
<file path=[Content_Types].xml><?xml version="1.0" encoding="utf-8"?>
<Types xmlns="http://schemas.openxmlformats.org/package/2006/content-types">
  <Default Extension="bin" ContentType="application/vnd.openxmlformats-officedocument.spreadsheetml.printerSettings"/>
  <Default Extension="jpg" ContentType="image/jp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drawings/drawing4.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5.xml" ContentType="application/vnd.openxmlformats-officedocument.drawing+xml"/>
  <Override PartName="/xl/drawings/drawing6.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slicers/slicer3.xml" ContentType="application/vnd.ms-excel.slicer+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1.xml" ContentType="application/vnd.openxmlformats-officedocument.spreadsheetml.comment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10.xml" ContentType="application/vnd.openxmlformats-officedocument.drawing+xml"/>
  <Override PartName="/xl/tables/table23.xml" ContentType="application/vnd.openxmlformats-officedocument.spreadsheetml.table+xml"/>
  <Override PartName="/xl/drawings/drawing11.xml" ContentType="application/vnd.openxmlformats-officedocument.drawing+xml"/>
  <Override PartName="/xl/slicers/slicer4.xml" ContentType="application/vnd.ms-excel.slicer+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24.xml" ContentType="application/vnd.openxmlformats-officedocument.spreadsheetml.table+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Ellery\Desktop\WORK0628\值\"/>
    </mc:Choice>
  </mc:AlternateContent>
  <xr:revisionPtr revIDLastSave="0" documentId="13_ncr:1_{799BFA35-DFB5-4A43-984C-7CAE3D52FB59}" xr6:coauthVersionLast="47" xr6:coauthVersionMax="47" xr10:uidLastSave="{00000000-0000-0000-0000-000000000000}"/>
  <workbookProtection workbookAlgorithmName="SHA-512" workbookHashValue="d4sPVTQmOqxYpZcJoysplm4oIhg+BFoIBbW0oHTHvMmhV5znlJSOX55deYMc3OdU9pd7uOE2dtOSdC4MZbir7g==" workbookSaltValue="y0Oq13OdqZeAy3MfCUkHQQ==" workbookSpinCount="100000" lockStructure="1"/>
  <bookViews>
    <workbookView xWindow="4440" yWindow="1820" windowWidth="31570" windowHeight="16130" xr2:uid="{00000000-000D-0000-FFFF-FFFF00000000}"/>
  </bookViews>
  <sheets>
    <sheet name="主畫面" sheetId="106" r:id="rId1"/>
    <sheet name="投資商品現金流試算表" sheetId="82" r:id="rId2"/>
    <sheet name="自由選" sheetId="90" r:id="rId3"/>
    <sheet name="篩選吧" sheetId="80" r:id="rId4"/>
    <sheet name="使用說明(2)" sheetId="47" state="veryHidden" r:id="rId5"/>
    <sheet name="庫存管理" sheetId="107" r:id="rId6"/>
    <sheet name="2_Check_code" sheetId="78" state="hidden" r:id="rId7"/>
    <sheet name="bond" sheetId="77" state="hidden" r:id="rId8"/>
    <sheet name="1_重設數據" sheetId="86" state="hidden" r:id="rId9"/>
    <sheet name="庫存管理_列印" sheetId="128" state="veryHidden" r:id="rId10"/>
    <sheet name="庫存現金流" sheetId="115" state="veryHidden" r:id="rId11"/>
    <sheet name="model" sheetId="112" state="veryHidden" r:id="rId12"/>
    <sheet name="換券投組" sheetId="120" state="veryHidden" r:id="rId13"/>
    <sheet name="Change單" sheetId="114" state="veryHidden" r:id="rId14"/>
    <sheet name="Change投" sheetId="121" state="veryHidden" r:id="rId15"/>
    <sheet name="Tssco-bond portfolio(2)" sheetId="108" state="veryHidden" r:id="rId16"/>
    <sheet name="Tssco-bond portfolio(Pro)" sheetId="92" state="veryHidden" r:id="rId17"/>
    <sheet name="Tssco-bond portfolio" sheetId="46" state="veryHidden" r:id="rId18"/>
    <sheet name="績效圖" sheetId="109" state="veryHidden" r:id="rId19"/>
    <sheet name="績效圖(Pro)" sheetId="94" state="veryHidden" r:id="rId20"/>
    <sheet name="銀行-TSS" sheetId="23" state="veryHidden" r:id="rId21"/>
    <sheet name="TSS_換券單檔" sheetId="124" state="veryHidden" r:id="rId22"/>
    <sheet name="換券單檔" sheetId="113" state="veryHidden" r:id="rId23"/>
    <sheet name="庫存管理_中繼頁" sheetId="131" state="veryHidden" r:id="rId24"/>
    <sheet name="多檔換券Max" sheetId="126" state="veryHidden" r:id="rId25"/>
    <sheet name="3_是否下架" sheetId="101" state="hidden" r:id="rId26"/>
    <sheet name="5_非固定類型(手動)" sheetId="84" state="hidden" r:id="rId27"/>
    <sheet name="6_休假日" sheetId="105" state="hidden" r:id="rId28"/>
    <sheet name="7_發行日例外" sheetId="116" state="hidden" r:id="rId29"/>
    <sheet name="credit rating" sheetId="55" state="veryHidden" r:id="rId30"/>
    <sheet name="Bond_DES" sheetId="25" state="hidden" r:id="rId31"/>
    <sheet name="庫存管理(Pro)" sheetId="98" state="veryHidden" r:id="rId32"/>
    <sheet name="商品代碼-中繼頁" sheetId="127" state="veryHidden" r:id="rId33"/>
    <sheet name="TSS_換券投組" sheetId="123" state="veryHidden" r:id="rId34"/>
  </sheets>
  <functionGroups builtInGroupCount="19"/>
  <externalReferences>
    <externalReference r:id="rId35"/>
  </externalReferences>
  <definedNames>
    <definedName name="_xlnm._FilterDatabase" localSheetId="8" hidden="1">'3_是否下架'!$A$1:$C$45</definedName>
    <definedName name="_xlnm._FilterDatabase" localSheetId="25" hidden="1">'3_是否下架'!$A$1:$C$45</definedName>
    <definedName name="_xlnm._FilterDatabase" localSheetId="7" hidden="1">bond!$A$3:$AX$291</definedName>
    <definedName name="_xlnm._FilterDatabase" localSheetId="30" hidden="1">Bond_DES!$A$1:$K$177</definedName>
    <definedName name="_xlnm._FilterDatabase" localSheetId="14" hidden="1">Change投!#REF!</definedName>
    <definedName name="_xlnm._FilterDatabase" localSheetId="13" hidden="1">Change單!#REF!</definedName>
    <definedName name="_xlnm._FilterDatabase" localSheetId="11" hidden="1">model!$A$23:$B$25</definedName>
    <definedName name="_xlnm._FilterDatabase" localSheetId="33" hidden="1">TSS_換券投組!$A$2:$AE$588</definedName>
    <definedName name="_xlnm._FilterDatabase" localSheetId="21" hidden="1">TSS_換券單檔!$A$2:$CN$588</definedName>
    <definedName name="_xlnm._FilterDatabase" localSheetId="15" hidden="1">'Tssco-bond portfolio(2)'!#REF!</definedName>
    <definedName name="_xlnm._FilterDatabase" localSheetId="16" hidden="1">'Tssco-bond portfolio(Pro)'!#REF!</definedName>
    <definedName name="_xlnm._FilterDatabase" localSheetId="12" hidden="1">換券投組!$N$143:$N$178</definedName>
    <definedName name="_xlnm._FilterDatabase" localSheetId="20" hidden="1">'銀行-TSS'!$A$2:$AN$588</definedName>
    <definedName name="_xlnm._FilterDatabase" localSheetId="3" hidden="1">篩選吧!$B$12:$W$290</definedName>
    <definedName name="CIQWBGuid" hidden="1">"523349c5-dc97-4972-88ec-5ee46b73c6d5"</definedName>
    <definedName name="CIQWBInfo" hidden="1">"{ ""CIQVersion"":""9.50.2716.4594"" }"</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"05/25/2023 04:32:50"</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MF" localSheetId="24">[1]績效圖!$A$2</definedName>
    <definedName name="MF">model!$A$1</definedName>
    <definedName name="MF_Pro">model!$A$2</definedName>
    <definedName name="_xlnm.Print_Area" localSheetId="0">主畫面!$A$1:$T$55</definedName>
    <definedName name="_xlnm.Print_Area" localSheetId="2">自由選!$A$2:$Q$76</definedName>
    <definedName name="_xlnm.Print_Area" localSheetId="1">OFFSET(投資商品現金流試算表!$B$3,0,0,COUNT(投資商品現金流試算表!$B$17:$B$1000)+15,13)</definedName>
    <definedName name="_xlnm.Print_Area" localSheetId="5">庫存管理!$O$2:$BA$175</definedName>
    <definedName name="_xlnm.Print_Area" localSheetId="31">'庫存管理(Pro)'!$B$2:$U$70</definedName>
    <definedName name="_xlnm.Print_Area" localSheetId="23">庫存管理_中繼頁!$O$2:$BA$44</definedName>
    <definedName name="_xlnm.Print_Area" localSheetId="9">庫存管理_列印!$O$2:$BA$122</definedName>
    <definedName name="_xlnm.Print_Area" localSheetId="3">OFFSET(篩選吧!$B$11,0,0,COUNT(篩選吧!$H$12:$H$977)+2,22)</definedName>
    <definedName name="_xlnm.Print_Titles" localSheetId="1">投資商品現金流試算表!$17:$17</definedName>
    <definedName name="_xlnm.Print_Titles" localSheetId="3">篩選吧!$11:$12</definedName>
    <definedName name="Slicer_名稱">#N/A</definedName>
    <definedName name="Slicer_名稱1">#N/A</definedName>
    <definedName name="Slicer_客戶資格2">#N/A</definedName>
    <definedName name="Slicer_頁面名稱">#N/A</definedName>
    <definedName name="Slicer_頁面名稱1">#N/A</definedName>
    <definedName name="Slicer_清單">#N/A</definedName>
    <definedName name="Slicer_報酬率">#N/A</definedName>
    <definedName name="Slicer_項目">#N/A</definedName>
    <definedName name="Slicer_匯率索引">#N/A</definedName>
    <definedName name="Slicer_匯率索引1">#N/A</definedName>
    <definedName name="Slicer_資格名稱">#N/A</definedName>
    <definedName name="Slicer_資格名稱1">#N/A</definedName>
    <definedName name="Slicer_幣別">#N/A</definedName>
    <definedName name="Slicer_模型名稱">#N/A</definedName>
    <definedName name="Slicer_模型名稱1">#N/A</definedName>
    <definedName name="SpreadsheetBuilder_1" localSheetId="14" hidden="1">#REF!</definedName>
    <definedName name="SpreadsheetBuilder_1" localSheetId="13" hidden="1">#REF!</definedName>
    <definedName name="SpreadsheetBuilder_1" localSheetId="33" hidden="1">#REF!</definedName>
    <definedName name="SpreadsheetBuilder_1" localSheetId="21" hidden="1">#REF!</definedName>
    <definedName name="SpreadsheetBuilder_1" localSheetId="0" hidden="1">#REF!</definedName>
    <definedName name="SpreadsheetBuilder_1" localSheetId="24" hidden="1">#REF!</definedName>
    <definedName name="SpreadsheetBuilder_1" localSheetId="10" hidden="1">#REF!</definedName>
    <definedName name="SpreadsheetBuilder_1" localSheetId="5" hidden="1">#REF!</definedName>
    <definedName name="SpreadsheetBuilder_1" localSheetId="31" hidden="1">#REF!</definedName>
    <definedName name="SpreadsheetBuilder_1" localSheetId="23" hidden="1">#REF!</definedName>
    <definedName name="SpreadsheetBuilder_1" localSheetId="9" hidden="1">#REF!</definedName>
    <definedName name="SpreadsheetBuilder_1" localSheetId="12" hidden="1">#REF!</definedName>
    <definedName name="SpreadsheetBuilder_1" localSheetId="3" hidden="1">#REF!</definedName>
    <definedName name="SpreadsheetBuilder_1" hidden="1">#REF!</definedName>
    <definedName name="SpreadsheetBuilder_2" localSheetId="14" hidden="1">#REF!</definedName>
    <definedName name="SpreadsheetBuilder_2" localSheetId="13" hidden="1">#REF!</definedName>
    <definedName name="SpreadsheetBuilder_2" localSheetId="33" hidden="1">#REF!</definedName>
    <definedName name="SpreadsheetBuilder_2" localSheetId="21" hidden="1">#REF!</definedName>
    <definedName name="SpreadsheetBuilder_2" localSheetId="0" hidden="1">#REF!</definedName>
    <definedName name="SpreadsheetBuilder_2" localSheetId="24" hidden="1">#REF!</definedName>
    <definedName name="SpreadsheetBuilder_2" localSheetId="10" hidden="1">#REF!</definedName>
    <definedName name="SpreadsheetBuilder_2" localSheetId="5" hidden="1">#REF!</definedName>
    <definedName name="SpreadsheetBuilder_2" localSheetId="31" hidden="1">#REF!</definedName>
    <definedName name="SpreadsheetBuilder_2" localSheetId="23" hidden="1">#REF!</definedName>
    <definedName name="SpreadsheetBuilder_2" localSheetId="9" hidden="1">#REF!</definedName>
    <definedName name="SpreadsheetBuilder_2" localSheetId="12" hidden="1">#REF!</definedName>
    <definedName name="SpreadsheetBuilder_2" localSheetId="3" hidden="1">#REF!</definedName>
    <definedName name="SpreadsheetBuilder_2" hidden="1">#REF!</definedName>
    <definedName name="SpreadsheetBuilder_3" localSheetId="14" hidden="1">#REF!</definedName>
    <definedName name="SpreadsheetBuilder_3" localSheetId="13" hidden="1">#REF!</definedName>
    <definedName name="SpreadsheetBuilder_3" localSheetId="33" hidden="1">#REF!</definedName>
    <definedName name="SpreadsheetBuilder_3" localSheetId="21" hidden="1">#REF!</definedName>
    <definedName name="SpreadsheetBuilder_3" localSheetId="0" hidden="1">#REF!</definedName>
    <definedName name="SpreadsheetBuilder_3" localSheetId="24" hidden="1">#REF!</definedName>
    <definedName name="SpreadsheetBuilder_3" localSheetId="10" hidden="1">#REF!</definedName>
    <definedName name="SpreadsheetBuilder_3" localSheetId="5" hidden="1">#REF!</definedName>
    <definedName name="SpreadsheetBuilder_3" localSheetId="31" hidden="1">#REF!</definedName>
    <definedName name="SpreadsheetBuilder_3" localSheetId="23" hidden="1">#REF!</definedName>
    <definedName name="SpreadsheetBuilder_3" localSheetId="9" hidden="1">#REF!</definedName>
    <definedName name="SpreadsheetBuilder_3" localSheetId="12" hidden="1">#REF!</definedName>
    <definedName name="SpreadsheetBuilder_3" localSheetId="3" hidden="1">#REF!</definedName>
    <definedName name="SpreadsheetBuilder_3" hidden="1">#REF!</definedName>
    <definedName name="TWD_利息報酬率">OFFSET('績效圖(Pro)'!$E$18,0,0,1,'績效圖(Pro)'!$A$6)</definedName>
    <definedName name="TWD_匯率報酬率">OFFSET('績效圖(Pro)'!$E$20,0,0,1,'績效圖(Pro)'!$A$6)</definedName>
    <definedName name="TWD_價格報酬率">OFFSET('績效圖(Pro)'!$E$17,0,0,1,'績效圖(Pro)'!$A$6)</definedName>
    <definedName name="TWD_總報酬率">OFFSET('績效圖(Pro)'!$E$19,0,0,1,'績效圖(Pro)'!$A$6)</definedName>
    <definedName name="USD_利息報酬率">OFFSET('績效圖(Pro)'!$E$15,0,0,1,'績效圖(Pro)'!$A$6)</definedName>
    <definedName name="USD_價格報酬率">OFFSET('績效圖(Pro)'!$E$14,0,0,1,'績效圖(Pro)'!$A$6)</definedName>
    <definedName name="USD_總報酬率">OFFSET('績效圖(Pro)'!$E$16,0,0,1,'績效圖(Pro)'!$A$6)</definedName>
    <definedName name="X及Y軸調整_F" localSheetId="24">OFFSET([1]自由現金流!$R$12,0,0,COUNT([1]自由現金流!$K$12:$K$163))</definedName>
    <definedName name="X及Y軸調整_F">OFFSET('Tssco-bond portfolio'!$H$40,0,0,COUNT('Tssco-bond portfolio'!$C$40:$C$110))</definedName>
    <definedName name="休AUD" localSheetId="24">OFFSET('[1]2_休假日'!$D$3,0,0,COUNT('[1]2_休假日'!$D$3:$D$915),1)</definedName>
    <definedName name="休AUD">OFFSET('6_休假日'!$D$3,0,0,COUNT('6_休假日'!$D$3:$D$915),1)</definedName>
    <definedName name="休CAD" localSheetId="24">OFFSET('[1]2_休假日'!$E$3,0,0,COUNT('[1]2_休假日'!$E$3:$E$900),1)</definedName>
    <definedName name="休CAD">OFFSET('6_休假日'!$E$3,0,0,COUNT('6_休假日'!$E$3:$E$900),1)</definedName>
    <definedName name="休CNY" localSheetId="24">OFFSET('[1]2_休假日'!$B$3,0,0,COUNT('[1]2_休假日'!$B$3:$B$845),1)</definedName>
    <definedName name="休CNY">OFFSET('6_休假日'!$B$3,0,0,COUNT('6_休假日'!$B$3:$B$845),1)</definedName>
    <definedName name="休EUR" localSheetId="24">OFFSET('[1]2_休假日'!$G$3,0,0,COUNT('[1]2_休假日'!$G$3:$G$935),1)</definedName>
    <definedName name="休EUR">OFFSET('6_休假日'!$G$3,0,0,COUNT('6_休假日'!$G$3:$G$935),1)</definedName>
    <definedName name="休NZD" localSheetId="24">OFFSET('[1]2_休假日'!$F$3,0,0,COUNT('[1]2_休假日'!$F$3:$F$907),1)</definedName>
    <definedName name="休NZD">OFFSET('6_休假日'!$F$3,0,0,COUNT('6_休假日'!$F$3:$F$907),1)</definedName>
    <definedName name="休TWD">OFFSET('6_休假日'!$H$3,0,0,COUNT('6_休假日'!$H$3:$H$891),1)</definedName>
    <definedName name="休USD" localSheetId="24">OFFSET('[1]2_休假日'!$A$3,0,0,COUNT('[1]2_休假日'!$A$3:$A$891),1)</definedName>
    <definedName name="休USD">OFFSET('6_休假日'!$A$3,0,0,COUNT('6_休假日'!$A$3:$A$891),1)</definedName>
    <definedName name="休ZAR" localSheetId="24">OFFSET('[1]2_休假日'!$C$3,0,0,COUNT('[1]2_休假日'!$C$3:$C$897),1)</definedName>
    <definedName name="休ZAR">OFFSET('6_休假日'!$C$3,0,0,COUNT('6_休假日'!$C$3:$C$897),1)</definedName>
    <definedName name="全美" localSheetId="15">'Tssco-bond portfolio(2)'!$BR$1</definedName>
    <definedName name="全美" localSheetId="24">'[1]Tssco-bond portfolio (3)'!$BX$1</definedName>
    <definedName name="全美">'Tssco-bond portfolio(Pro)'!$BP$1</definedName>
    <definedName name="年度_2">OFFSET('Tssco-bond portfolio'!$A$32,0,0,COUNT('Tssco-bond portfolio'!$C$32:$C$110))</definedName>
    <definedName name="年度_F" localSheetId="24">OFFSET([1]自由現金流!$H$12,0,0,COUNT([1]自由現金流!$K$12:$K$163))</definedName>
    <definedName name="年度_F">OFFSET('Tssco-bond portfolio'!$A$40,0,0,COUNT('Tssco-bond portfolio'!$C$40:$C$110))</definedName>
    <definedName name="年度_庫" localSheetId="24">OFFSET([1]庫存現金流!$L$12,[1]庫存現金流!$A$2,0,COUNT([1]庫存現金流!$S$12:$S$163)-[1]庫存現金流!$A$2)</definedName>
    <definedName name="年度_庫" localSheetId="23">OFFSET(庫存現金流!$H$12,庫存現金流!$A$2,0,COUNT(庫存現金流!#REF!)-庫存現金流!$A$2)</definedName>
    <definedName name="年度_庫" localSheetId="9">OFFSET(庫存現金流!$H$12,庫存現金流!$A$2,0,COUNT(庫存現金流!#REF!)-庫存現金流!$A$2)</definedName>
    <definedName name="年度_庫">OFFSET(庫存現金流!$H$12,庫存現金流!$A$2,0,COUNT(庫存現金流!#REF!)-庫存現金流!$A$2)</definedName>
    <definedName name="投入本金_F" localSheetId="24">OFFSET([1]自由現金流!$Q$12,0,0,COUNT([1]自由現金流!$K$12:$K$163))</definedName>
    <definedName name="投入本金_F">OFFSET('Tssco-bond portfolio'!$J$40,0,0,COUNT('Tssco-bond portfolio'!$C$40:$C$110))</definedName>
    <definedName name="投入結構" localSheetId="15">OFFSET('Tssco-bond portfolio(2)'!$D$50,0,0,COUNTIF('Tssco-bond portfolio(2)'!$D$50:$D$61,"&gt;0"),1)</definedName>
    <definedName name="投入結構" localSheetId="24">OFFSET('[1]Tssco-bond portfolio (3)'!$D$50,0,0,COUNTIF('[1]Tssco-bond portfolio (3)'!$D$50:$D$61,"&gt;0"),1)</definedName>
    <definedName name="投入結構">OFFSET('Tssco-bond portfolio(Pro)'!$D$50,0,0,COUNTIF('Tssco-bond portfolio(Pro)'!$D$50:$D$61,"&gt;0"),1)</definedName>
    <definedName name="投組選單">OFFSET(換券投組!$AN$2,0,0,COUNTIF(換券投組!$AN$2:$AN$13,"&lt;&gt;0"))</definedName>
    <definedName name="投換_可申購面額">OFFSET(TSS_換券投組!$R$3,0,0,COUNT(TSS_換券單檔!$F:$F,"&gt;=0"))</definedName>
    <definedName name="投換_年領利息">OFFSET(TSS_換券投組!$S$3,0,0,COUNT(TSS_換券單檔!$F:$F,"&gt;=0"))</definedName>
    <definedName name="投換_剩餘年期">OFFSET(TSS_換券投組!$T$3,0,0,COUNT(TSS_換券單檔!$F:$F,"&gt;=0"))</definedName>
    <definedName name="投換_殖利率">OFFSET(TSS_換券投組!$U$3,0,0,COUNT(TSS_換券單檔!$F:$F,"&gt;=0"))</definedName>
    <definedName name="投換_增值潛力">OFFSET(TSS_換券投組!$Y$3,0,0,COUNT(TSS_換券單檔!$F:$F,"&gt;=0"))</definedName>
    <definedName name="非當年利息_F" localSheetId="24">OFFSET([1]自由現金流!$O$12,,0,COUNT([1]自由現金流!$K$12:$K$163))</definedName>
    <definedName name="非當年利息_F">OFFSET('Tssco-bond portfolio'!$F$40,0,0,COUNT('Tssco-bond portfolio'!$C$40:$C$110))</definedName>
    <definedName name="庫存債券清單">OFFSET(換券單檔!$AL$2,0,0,COUNTIF(換券單檔!$AL$2:$AL$13,"&lt;&gt;0"))</definedName>
    <definedName name="累計本利和_F">OFFSET('Tssco-bond portfolio'!$D$40,0,0,COUNT('Tssco-bond portfolio'!$D$40:$D$110))</definedName>
    <definedName name="累計利息_F">OFFSET('Tssco-bond portfolio'!$C$40,0,0,COUNT('Tssco-bond portfolio'!$C$40:$C$110))</definedName>
    <definedName name="累積到期面額_F" localSheetId="24">OFFSET([1]自由現金流!$P$12,0,0,COUNT([1]自由現金流!$K$12:$K$163))</definedName>
    <definedName name="累積到期面額_F">OFFSET('Tssco-bond portfolio'!$I$40,0,0,COUNT('Tssco-bond portfolio'!$C$40:$C$110))</definedName>
    <definedName name="單換_可申購面額">OFFSET(TSS_換券單檔!$R$3,0,0,COUNT('銀行-TSS'!$H:$H,"&gt;=0"))</definedName>
    <definedName name="單換_年領利息">OFFSET(TSS_換券單檔!$S$3,0,0,COUNT(TSS_換券單檔!$F:$F,"&gt;=0"))</definedName>
    <definedName name="單換_剩餘年期">OFFSET(TSS_換券單檔!$T$3,0,0,COUNT('銀行-TSS'!$H:$H,"&gt;=0"))</definedName>
    <definedName name="單換_殖利率">OFFSET(TSS_換券單檔!$U$3,0,0,COUNT('銀行-TSS'!$H:$H,"&gt;=0"))</definedName>
    <definedName name="單換_增值潛力">OFFSET(TSS_換券單檔!$Y$3,0,0,COUNT('銀行-TSS'!$H:$H,"&gt;=0"))</definedName>
    <definedName name="開關" localSheetId="24">[1]貼上值!$Y$1</definedName>
    <definedName name="開關">'銀行-TSS'!$C$1</definedName>
    <definedName name="當年利息_F" localSheetId="24">OFFSET([1]自由現金流!$J$12,0,0,COUNT([1]自由現金流!$K$12:$K$163))</definedName>
    <definedName name="當年利息_F">OFFSET('Tssco-bond portfolio'!$G$40,0,0,COUNT('Tssco-bond portfolio'!$C$40:$C$110))</definedName>
    <definedName name="當年到期面額_F">OFFSET('Tssco-bond portfolio'!$E$40,0,0,COUNT('Tssco-bond portfolio'!$C$40:$C$110))</definedName>
    <definedName name="當前結構" localSheetId="15">OFFSET('Tssco-bond portfolio(2)'!$E$50,0,0,COUNTIF('Tssco-bond portfolio(2)'!$D$50:$D$61,"&gt;0"),1)</definedName>
    <definedName name="當前結構" localSheetId="24">OFFSET('[1]Tssco-bond portfolio (3)'!$E$50,0,0,COUNTIF('[1]Tssco-bond portfolio (3)'!$D$50:$D$61,"&gt;0"),1)</definedName>
    <definedName name="當前結構">OFFSET('Tssco-bond portfolio(Pro)'!$E$50,0,0,COUNTIF('Tssco-bond portfolio(Pro)'!$D$50:$D$61,"&gt;0"),1)</definedName>
    <definedName name="綜合數列" localSheetId="15">OFFSET('Tssco-bond portfolio(2)'!$C$50,0,0,COUNTIF('Tssco-bond portfolio(2)'!$D$50:$D$61,"&gt;0"),1)</definedName>
    <definedName name="綜合數列" localSheetId="24">OFFSET('[1]Tssco-bond portfolio (3)'!$C$50,0,0,COUNTIF('[1]Tssco-bond portfolio (3)'!$D$50:$D$61,"&gt;0"),1)</definedName>
    <definedName name="綜合數列">OFFSET('Tssco-bond portfolio(Pro)'!$C$50,0,0,COUNTIF('Tssco-bond portfolio(Pro)'!$D$50:$D$61,"&gt;0"),1)</definedName>
    <definedName name="績效圖X軸">OFFSET('績效圖(Pro)'!$E$10,0,0,2,'績效圖(Pro)'!$A$6)</definedName>
    <definedName name="轉換債券清單" localSheetId="23">OFFSET(庫存管理_中繼頁!#REF!,0,0,COUNTIF(庫存管理_中繼頁!#REF!,"&gt;0"))</definedName>
    <definedName name="轉換債券清單" localSheetId="9">OFFSET(庫存管理_列印!#REF!,0,0,COUNTIF(庫存管理_列印!#REF!,"&gt;0"))</definedName>
    <definedName name="轉換債券清單">OFFSET(庫存管理!$Z$45,0,0,COUNTIF(庫存管理!$Y$45:$Y$50,"&gt;0"))</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86" l="1"/>
  <c r="I5" i="86"/>
  <c r="I6" i="86"/>
  <c r="C5" i="86"/>
  <c r="C4" i="86"/>
  <c r="C3" i="86"/>
  <c r="I4" i="86"/>
  <c r="I8" i="86"/>
  <c r="I7" i="86"/>
  <c r="I3" i="86"/>
  <c r="Z3" i="86"/>
  <c r="I2" i="86"/>
  <c r="R38" i="127"/>
  <c r="S38" i="127"/>
  <c r="T38" i="127"/>
  <c r="U38" i="127"/>
  <c r="R39" i="127"/>
  <c r="S39" i="127"/>
  <c r="T39" i="127"/>
  <c r="U39" i="127"/>
  <c r="R40" i="127"/>
  <c r="S40" i="127"/>
  <c r="T40" i="127"/>
  <c r="U40" i="127"/>
  <c r="R41" i="127"/>
  <c r="S41" i="127"/>
  <c r="T41" i="127"/>
  <c r="U41" i="127"/>
  <c r="R42" i="127"/>
  <c r="S42" i="127"/>
  <c r="T42" i="127"/>
  <c r="U42" i="127"/>
  <c r="R43" i="127"/>
  <c r="S43" i="127"/>
  <c r="T43" i="127"/>
  <c r="U43" i="127"/>
  <c r="R44" i="127"/>
  <c r="S44" i="127"/>
  <c r="T44" i="127"/>
  <c r="U44" i="127"/>
  <c r="R45" i="127"/>
  <c r="S45" i="127"/>
  <c r="T45" i="127"/>
  <c r="U45" i="127"/>
  <c r="R46" i="127"/>
  <c r="S46" i="127"/>
  <c r="T46" i="127"/>
  <c r="U46" i="127"/>
  <c r="R47" i="127"/>
  <c r="S47" i="127"/>
  <c r="T47" i="127"/>
  <c r="U47" i="127"/>
  <c r="R48" i="127"/>
  <c r="S48" i="127"/>
  <c r="T48" i="127"/>
  <c r="U48" i="127"/>
  <c r="R49" i="127"/>
  <c r="S49" i="127"/>
  <c r="T49" i="127"/>
  <c r="U49" i="127"/>
  <c r="R50" i="127"/>
  <c r="S50" i="127"/>
  <c r="T50" i="127"/>
  <c r="U50" i="127"/>
  <c r="R51" i="127"/>
  <c r="S51" i="127"/>
  <c r="T51" i="127"/>
  <c r="U51" i="127"/>
  <c r="R52" i="127"/>
  <c r="S52" i="127"/>
  <c r="T52" i="127"/>
  <c r="U52" i="127"/>
  <c r="R53" i="127"/>
  <c r="S53" i="127"/>
  <c r="T53" i="127"/>
  <c r="U53" i="127"/>
  <c r="R54" i="127"/>
  <c r="S54" i="127"/>
  <c r="T54" i="127"/>
  <c r="U54" i="127"/>
  <c r="R55" i="127"/>
  <c r="S55" i="127"/>
  <c r="T55" i="127"/>
  <c r="U55" i="127"/>
  <c r="R56" i="127"/>
  <c r="S56" i="127"/>
  <c r="T56" i="127"/>
  <c r="U56" i="127"/>
  <c r="R57" i="127"/>
  <c r="S57" i="127"/>
  <c r="T57" i="127"/>
  <c r="U57" i="127"/>
  <c r="R58" i="127"/>
  <c r="S58" i="127"/>
  <c r="T58" i="127"/>
  <c r="U58" i="127"/>
  <c r="R59" i="127"/>
  <c r="S59" i="127"/>
  <c r="T59" i="127"/>
  <c r="U59" i="127"/>
  <c r="R60" i="127"/>
  <c r="S60" i="127"/>
  <c r="T60" i="127"/>
  <c r="U60" i="127"/>
  <c r="R61" i="127"/>
  <c r="S61" i="127"/>
  <c r="T61" i="127"/>
  <c r="U61" i="127"/>
  <c r="R62" i="127"/>
  <c r="S62" i="127"/>
  <c r="T62" i="127"/>
  <c r="U62" i="127"/>
  <c r="R63" i="127"/>
  <c r="S63" i="127"/>
  <c r="T63" i="127"/>
  <c r="U63" i="127"/>
  <c r="R64" i="127"/>
  <c r="S64" i="127"/>
  <c r="T64" i="127"/>
  <c r="U64" i="127"/>
  <c r="R65" i="127"/>
  <c r="S65" i="127"/>
  <c r="T65" i="127"/>
  <c r="U65" i="127"/>
  <c r="R66" i="127"/>
  <c r="S66" i="127"/>
  <c r="T66" i="127"/>
  <c r="U66" i="127"/>
  <c r="R67" i="127"/>
  <c r="S67" i="127"/>
  <c r="T67" i="127"/>
  <c r="U67" i="127"/>
  <c r="R68" i="127"/>
  <c r="S68" i="127"/>
  <c r="T68" i="127"/>
  <c r="U68" i="127"/>
  <c r="R69" i="127"/>
  <c r="S69" i="127"/>
  <c r="T69" i="127"/>
  <c r="U69" i="127"/>
  <c r="R70" i="127"/>
  <c r="S70" i="127"/>
  <c r="T70" i="127"/>
  <c r="U70" i="127"/>
  <c r="R71" i="127"/>
  <c r="S71" i="127"/>
  <c r="T71" i="127"/>
  <c r="U71" i="127"/>
  <c r="R72" i="127"/>
  <c r="S72" i="127"/>
  <c r="T72" i="127"/>
  <c r="U72" i="127"/>
  <c r="R73" i="127"/>
  <c r="S73" i="127"/>
  <c r="T73" i="127"/>
  <c r="U73" i="127"/>
  <c r="R74" i="127"/>
  <c r="S74" i="127"/>
  <c r="T74" i="127"/>
  <c r="U74" i="127"/>
  <c r="R75" i="127"/>
  <c r="S75" i="127"/>
  <c r="T75" i="127"/>
  <c r="U75" i="127"/>
  <c r="R76" i="127"/>
  <c r="S76" i="127"/>
  <c r="T76" i="127"/>
  <c r="U76" i="127"/>
  <c r="R77" i="127"/>
  <c r="S77" i="127"/>
  <c r="T77" i="127"/>
  <c r="U77" i="127"/>
  <c r="R78" i="127"/>
  <c r="S78" i="127"/>
  <c r="T78" i="127"/>
  <c r="U78" i="127"/>
  <c r="R79" i="127"/>
  <c r="S79" i="127"/>
  <c r="T79" i="127"/>
  <c r="U79" i="127"/>
  <c r="R80" i="127"/>
  <c r="S80" i="127"/>
  <c r="T80" i="127"/>
  <c r="U80" i="127"/>
  <c r="R81" i="127"/>
  <c r="S81" i="127"/>
  <c r="T81" i="127"/>
  <c r="U81" i="127"/>
  <c r="R82" i="127"/>
  <c r="S82" i="127"/>
  <c r="T82" i="127"/>
  <c r="U82" i="127"/>
  <c r="R83" i="127"/>
  <c r="S83" i="127"/>
  <c r="T83" i="127"/>
  <c r="U83" i="127"/>
  <c r="R84" i="127"/>
  <c r="S84" i="127"/>
  <c r="T84" i="127"/>
  <c r="U84" i="127"/>
  <c r="R85" i="127"/>
  <c r="S85" i="127"/>
  <c r="T85" i="127"/>
  <c r="U85" i="127"/>
  <c r="R86" i="127"/>
  <c r="S86" i="127"/>
  <c r="T86" i="127"/>
  <c r="U86" i="127"/>
  <c r="R87" i="127"/>
  <c r="S87" i="127"/>
  <c r="T87" i="127"/>
  <c r="U87" i="127"/>
  <c r="R88" i="127"/>
  <c r="S88" i="127"/>
  <c r="T88" i="127"/>
  <c r="U88" i="127"/>
  <c r="R89" i="127"/>
  <c r="S89" i="127"/>
  <c r="T89" i="127"/>
  <c r="U89" i="127"/>
  <c r="R90" i="127"/>
  <c r="S90" i="127"/>
  <c r="T90" i="127"/>
  <c r="U90" i="127"/>
  <c r="R91" i="127"/>
  <c r="S91" i="127"/>
  <c r="T91" i="127"/>
  <c r="U91" i="127"/>
  <c r="R92" i="127"/>
  <c r="S92" i="127"/>
  <c r="T92" i="127"/>
  <c r="U92" i="127"/>
  <c r="R93" i="127"/>
  <c r="S93" i="127"/>
  <c r="T93" i="127"/>
  <c r="U93" i="127"/>
  <c r="R94" i="127"/>
  <c r="S94" i="127"/>
  <c r="T94" i="127"/>
  <c r="U94" i="127"/>
  <c r="R95" i="127"/>
  <c r="S95" i="127"/>
  <c r="T95" i="127"/>
  <c r="U95" i="127"/>
  <c r="R96" i="127"/>
  <c r="S96" i="127"/>
  <c r="T96" i="127"/>
  <c r="U96" i="127"/>
  <c r="R97" i="127"/>
  <c r="S97" i="127"/>
  <c r="T97" i="127"/>
  <c r="U97" i="127"/>
  <c r="R98" i="127"/>
  <c r="S98" i="127"/>
  <c r="T98" i="127"/>
  <c r="U98" i="127"/>
  <c r="R99" i="127"/>
  <c r="S99" i="127"/>
  <c r="T99" i="127"/>
  <c r="U99" i="127"/>
  <c r="R100" i="127"/>
  <c r="S100" i="127"/>
  <c r="T100" i="127"/>
  <c r="U100" i="127"/>
  <c r="R101" i="127"/>
  <c r="S101" i="127"/>
  <c r="T101" i="127"/>
  <c r="U101" i="127"/>
  <c r="R102" i="127"/>
  <c r="S102" i="127"/>
  <c r="T102" i="127"/>
  <c r="U102" i="127"/>
  <c r="R103" i="127"/>
  <c r="S103" i="127"/>
  <c r="T103" i="127"/>
  <c r="U103" i="127"/>
  <c r="R104" i="127"/>
  <c r="S104" i="127"/>
  <c r="T104" i="127"/>
  <c r="U104" i="127"/>
  <c r="R105" i="127"/>
  <c r="S105" i="127"/>
  <c r="T105" i="127"/>
  <c r="U105" i="127"/>
  <c r="R106" i="127"/>
  <c r="S106" i="127"/>
  <c r="T106" i="127"/>
  <c r="U106" i="127"/>
  <c r="R107" i="127"/>
  <c r="S107" i="127"/>
  <c r="T107" i="127"/>
  <c r="U107" i="127"/>
  <c r="R108" i="127"/>
  <c r="S108" i="127"/>
  <c r="T108" i="127"/>
  <c r="U108" i="127"/>
  <c r="R109" i="127"/>
  <c r="S109" i="127"/>
  <c r="T109" i="127"/>
  <c r="U109" i="127"/>
  <c r="R110" i="127"/>
  <c r="S110" i="127"/>
  <c r="T110" i="127"/>
  <c r="U110" i="127"/>
  <c r="R111" i="127"/>
  <c r="S111" i="127"/>
  <c r="T111" i="127"/>
  <c r="U111" i="127"/>
  <c r="R112" i="127"/>
  <c r="S112" i="127"/>
  <c r="T112" i="127"/>
  <c r="U112" i="127"/>
  <c r="R113" i="127"/>
  <c r="S113" i="127"/>
  <c r="T113" i="127"/>
  <c r="U113" i="127"/>
  <c r="R114" i="127"/>
  <c r="S114" i="127"/>
  <c r="T114" i="127"/>
  <c r="U114" i="127"/>
  <c r="R115" i="127"/>
  <c r="S115" i="127"/>
  <c r="T115" i="127"/>
  <c r="U115" i="127"/>
  <c r="R116" i="127"/>
  <c r="S116" i="127"/>
  <c r="T116" i="127"/>
  <c r="U116" i="127"/>
  <c r="R117" i="127"/>
  <c r="S117" i="127"/>
  <c r="T117" i="127"/>
  <c r="U117" i="127"/>
  <c r="R118" i="127"/>
  <c r="S118" i="127"/>
  <c r="T118" i="127"/>
  <c r="U118" i="127"/>
  <c r="R119" i="127"/>
  <c r="S119" i="127"/>
  <c r="T119" i="127"/>
  <c r="U119" i="127"/>
  <c r="R120" i="127"/>
  <c r="S120" i="127"/>
  <c r="T120" i="127"/>
  <c r="U120" i="127"/>
  <c r="R121" i="127"/>
  <c r="S121" i="127"/>
  <c r="T121" i="127"/>
  <c r="U121" i="127"/>
  <c r="R122" i="127"/>
  <c r="S122" i="127"/>
  <c r="T122" i="127"/>
  <c r="U122" i="127"/>
  <c r="R123" i="127"/>
  <c r="S123" i="127"/>
  <c r="T123" i="127"/>
  <c r="U123" i="127"/>
  <c r="R124" i="127"/>
  <c r="S124" i="127"/>
  <c r="T124" i="127"/>
  <c r="U124" i="127"/>
  <c r="R125" i="127"/>
  <c r="S125" i="127"/>
  <c r="T125" i="127"/>
  <c r="U125" i="127"/>
  <c r="R126" i="127"/>
  <c r="S126" i="127"/>
  <c r="T126" i="127"/>
  <c r="U126" i="127"/>
  <c r="R127" i="127"/>
  <c r="S127" i="127"/>
  <c r="T127" i="127"/>
  <c r="U127" i="127"/>
  <c r="R128" i="127"/>
  <c r="S128" i="127"/>
  <c r="T128" i="127"/>
  <c r="U128" i="127"/>
  <c r="R129" i="127"/>
  <c r="S129" i="127"/>
  <c r="T129" i="127"/>
  <c r="U129" i="127"/>
  <c r="R130" i="127"/>
  <c r="S130" i="127"/>
  <c r="T130" i="127"/>
  <c r="U130" i="127"/>
  <c r="R131" i="127"/>
  <c r="S131" i="127"/>
  <c r="T131" i="127"/>
  <c r="U131" i="127"/>
  <c r="R132" i="127"/>
  <c r="S132" i="127"/>
  <c r="T132" i="127"/>
  <c r="U132" i="127"/>
  <c r="R133" i="127"/>
  <c r="S133" i="127"/>
  <c r="T133" i="127"/>
  <c r="U133" i="127"/>
  <c r="R134" i="127"/>
  <c r="S134" i="127"/>
  <c r="T134" i="127"/>
  <c r="U134" i="127"/>
  <c r="R135" i="127"/>
  <c r="S135" i="127"/>
  <c r="T135" i="127"/>
  <c r="U135" i="127"/>
  <c r="R136" i="127"/>
  <c r="S136" i="127"/>
  <c r="T136" i="127"/>
  <c r="U136" i="127"/>
  <c r="R137" i="127"/>
  <c r="S137" i="127"/>
  <c r="T137" i="127"/>
  <c r="U137" i="127"/>
  <c r="R138" i="127"/>
  <c r="S138" i="127"/>
  <c r="T138" i="127"/>
  <c r="U138" i="127"/>
  <c r="R139" i="127"/>
  <c r="S139" i="127"/>
  <c r="T139" i="127"/>
  <c r="U139" i="127"/>
  <c r="R140" i="127"/>
  <c r="S140" i="127"/>
  <c r="T140" i="127"/>
  <c r="U140" i="127"/>
  <c r="R141" i="127"/>
  <c r="S141" i="127"/>
  <c r="T141" i="127"/>
  <c r="U141" i="127"/>
  <c r="R142" i="127"/>
  <c r="S142" i="127"/>
  <c r="T142" i="127"/>
  <c r="U142" i="127"/>
  <c r="R143" i="127"/>
  <c r="S143" i="127"/>
  <c r="T143" i="127"/>
  <c r="U143" i="127"/>
  <c r="R144" i="127"/>
  <c r="S144" i="127"/>
  <c r="T144" i="127"/>
  <c r="U144" i="127"/>
  <c r="R145" i="127"/>
  <c r="S145" i="127"/>
  <c r="T145" i="127"/>
  <c r="U145" i="127"/>
  <c r="R146" i="127"/>
  <c r="S146" i="127"/>
  <c r="T146" i="127"/>
  <c r="U146" i="127"/>
  <c r="R147" i="127"/>
  <c r="S147" i="127"/>
  <c r="T147" i="127"/>
  <c r="U147" i="127"/>
  <c r="R148" i="127"/>
  <c r="S148" i="127"/>
  <c r="T148" i="127"/>
  <c r="U148" i="127"/>
  <c r="R149" i="127"/>
  <c r="S149" i="127"/>
  <c r="T149" i="127"/>
  <c r="U149" i="127"/>
  <c r="R150" i="127"/>
  <c r="S150" i="127"/>
  <c r="T150" i="127"/>
  <c r="U150" i="127"/>
  <c r="R151" i="127"/>
  <c r="S151" i="127"/>
  <c r="T151" i="127"/>
  <c r="U151" i="127"/>
  <c r="R152" i="127"/>
  <c r="S152" i="127"/>
  <c r="T152" i="127"/>
  <c r="U152" i="127"/>
  <c r="R153" i="127"/>
  <c r="S153" i="127"/>
  <c r="T153" i="127"/>
  <c r="U153" i="127"/>
  <c r="R154" i="127"/>
  <c r="S154" i="127"/>
  <c r="T154" i="127"/>
  <c r="U154" i="127"/>
  <c r="R155" i="127"/>
  <c r="S155" i="127"/>
  <c r="T155" i="127"/>
  <c r="U155" i="127"/>
  <c r="R156" i="127"/>
  <c r="S156" i="127"/>
  <c r="T156" i="127"/>
  <c r="U156" i="127"/>
  <c r="R157" i="127"/>
  <c r="S157" i="127"/>
  <c r="T157" i="127"/>
  <c r="U157" i="127"/>
  <c r="R158" i="127"/>
  <c r="S158" i="127"/>
  <c r="T158" i="127"/>
  <c r="U158" i="127"/>
  <c r="R159" i="127"/>
  <c r="S159" i="127"/>
  <c r="T159" i="127"/>
  <c r="U159" i="127"/>
  <c r="R160" i="127"/>
  <c r="S160" i="127"/>
  <c r="T160" i="127"/>
  <c r="U160" i="127"/>
  <c r="R161" i="127"/>
  <c r="S161" i="127"/>
  <c r="T161" i="127"/>
  <c r="U161" i="127"/>
  <c r="R162" i="127"/>
  <c r="S162" i="127"/>
  <c r="T162" i="127"/>
  <c r="U162" i="127"/>
  <c r="R163" i="127"/>
  <c r="S163" i="127"/>
  <c r="T163" i="127"/>
  <c r="U163" i="127"/>
  <c r="R164" i="127"/>
  <c r="S164" i="127"/>
  <c r="T164" i="127"/>
  <c r="U164" i="127"/>
  <c r="R165" i="127"/>
  <c r="S165" i="127"/>
  <c r="T165" i="127"/>
  <c r="U165" i="127"/>
  <c r="R166" i="127"/>
  <c r="S166" i="127"/>
  <c r="T166" i="127"/>
  <c r="U166" i="127"/>
  <c r="R167" i="127"/>
  <c r="S167" i="127"/>
  <c r="T167" i="127"/>
  <c r="U167" i="127"/>
  <c r="R168" i="127"/>
  <c r="S168" i="127"/>
  <c r="T168" i="127"/>
  <c r="U168" i="127"/>
  <c r="R169" i="127"/>
  <c r="S169" i="127"/>
  <c r="T169" i="127"/>
  <c r="U169" i="127"/>
  <c r="R170" i="127"/>
  <c r="S170" i="127"/>
  <c r="T170" i="127"/>
  <c r="U170" i="127"/>
  <c r="R171" i="127"/>
  <c r="S171" i="127"/>
  <c r="T171" i="127"/>
  <c r="U171" i="127"/>
  <c r="R172" i="127"/>
  <c r="S172" i="127"/>
  <c r="T172" i="127"/>
  <c r="U172" i="127"/>
  <c r="R173" i="127"/>
  <c r="S173" i="127"/>
  <c r="T173" i="127"/>
  <c r="U173" i="127"/>
  <c r="R174" i="127"/>
  <c r="S174" i="127"/>
  <c r="T174" i="127"/>
  <c r="U174" i="127"/>
  <c r="R175" i="127"/>
  <c r="S175" i="127"/>
  <c r="T175" i="127"/>
  <c r="U175" i="127"/>
  <c r="R176" i="127"/>
  <c r="S176" i="127"/>
  <c r="T176" i="127"/>
  <c r="U176" i="127"/>
  <c r="R177" i="127"/>
  <c r="S177" i="127"/>
  <c r="T177" i="127"/>
  <c r="U177" i="127"/>
  <c r="R178" i="127"/>
  <c r="S178" i="127"/>
  <c r="T178" i="127"/>
  <c r="U178" i="127"/>
  <c r="R179" i="127"/>
  <c r="S179" i="127"/>
  <c r="T179" i="127"/>
  <c r="U179" i="127"/>
  <c r="R180" i="127"/>
  <c r="S180" i="127"/>
  <c r="T180" i="127"/>
  <c r="U180" i="127"/>
  <c r="M6" i="127"/>
  <c r="M5" i="127"/>
  <c r="M4" i="127"/>
  <c r="M3" i="127"/>
  <c r="M2" i="127"/>
  <c r="D416" i="25"/>
  <c r="A416" i="25"/>
  <c r="D415" i="25"/>
  <c r="A415" i="25"/>
  <c r="D414" i="25"/>
  <c r="A414" i="25"/>
  <c r="D413" i="25"/>
  <c r="A413" i="25"/>
  <c r="D412" i="25"/>
  <c r="A412" i="25"/>
  <c r="D411" i="25"/>
  <c r="A411" i="25"/>
  <c r="D410" i="25"/>
  <c r="A410" i="25"/>
  <c r="D409" i="25"/>
  <c r="A409" i="25"/>
  <c r="D408" i="25"/>
  <c r="A408" i="25"/>
  <c r="D407" i="25"/>
  <c r="A407" i="25"/>
  <c r="D406" i="25"/>
  <c r="A406" i="25"/>
  <c r="D405" i="25"/>
  <c r="A405" i="25"/>
  <c r="D404" i="25"/>
  <c r="A404" i="25"/>
  <c r="D403" i="25"/>
  <c r="A403" i="25"/>
  <c r="D402" i="25"/>
  <c r="A402" i="25"/>
  <c r="D401" i="25"/>
  <c r="A401" i="25"/>
  <c r="D400" i="25"/>
  <c r="A400" i="25"/>
  <c r="D399" i="25"/>
  <c r="A399" i="25"/>
  <c r="D398" i="25"/>
  <c r="A398" i="25"/>
  <c r="D397" i="25"/>
  <c r="A397" i="25"/>
  <c r="D396" i="25"/>
  <c r="A396" i="25"/>
  <c r="D395" i="25"/>
  <c r="A395" i="25"/>
  <c r="D394" i="25"/>
  <c r="A394" i="25"/>
  <c r="D393" i="25"/>
  <c r="A393" i="25"/>
  <c r="D392" i="25"/>
  <c r="A392" i="25"/>
  <c r="D391" i="25"/>
  <c r="A391" i="25"/>
  <c r="D390" i="25"/>
  <c r="A390" i="25"/>
  <c r="D389" i="25"/>
  <c r="A389" i="25"/>
  <c r="D388" i="25"/>
  <c r="A388" i="25"/>
  <c r="D387" i="25"/>
  <c r="A387" i="25"/>
  <c r="D386" i="25"/>
  <c r="A386" i="25"/>
  <c r="D385" i="25"/>
  <c r="A385" i="25"/>
  <c r="D384" i="25"/>
  <c r="A384" i="25"/>
  <c r="D383" i="25"/>
  <c r="A383" i="25"/>
  <c r="D382" i="25"/>
  <c r="A382" i="25"/>
  <c r="D381" i="25"/>
  <c r="A381" i="25"/>
  <c r="D380" i="25"/>
  <c r="A380" i="25"/>
  <c r="D379" i="25"/>
  <c r="A379" i="25"/>
  <c r="D378" i="25"/>
  <c r="A378" i="25"/>
  <c r="D377" i="25"/>
  <c r="A377" i="25"/>
  <c r="D376" i="25"/>
  <c r="A376" i="25"/>
  <c r="D375" i="25"/>
  <c r="A375" i="25"/>
  <c r="D374" i="25"/>
  <c r="A374" i="25"/>
  <c r="D373" i="25"/>
  <c r="A373" i="25"/>
  <c r="D372" i="25"/>
  <c r="A372" i="25"/>
  <c r="D371" i="25"/>
  <c r="A371" i="25"/>
  <c r="D370" i="25"/>
  <c r="A370" i="25"/>
  <c r="D369" i="25"/>
  <c r="A369" i="25"/>
  <c r="D368" i="25"/>
  <c r="A368" i="25"/>
  <c r="D367" i="25"/>
  <c r="A367" i="25"/>
  <c r="D366" i="25"/>
  <c r="A366" i="25"/>
  <c r="D365" i="25"/>
  <c r="A365" i="25"/>
  <c r="D364" i="25"/>
  <c r="A364" i="25"/>
  <c r="D363" i="25"/>
  <c r="A363" i="25"/>
  <c r="D362" i="25"/>
  <c r="A362" i="25"/>
  <c r="D361" i="25"/>
  <c r="A361" i="25"/>
  <c r="D360" i="25"/>
  <c r="A360" i="25"/>
  <c r="D359" i="25"/>
  <c r="A359" i="25"/>
  <c r="D358" i="25"/>
  <c r="A358" i="25"/>
  <c r="D357" i="25"/>
  <c r="A357" i="25"/>
  <c r="D356" i="25"/>
  <c r="A356" i="25"/>
  <c r="D355" i="25"/>
  <c r="A355" i="25"/>
  <c r="D354" i="25"/>
  <c r="A354" i="25"/>
  <c r="D353" i="25"/>
  <c r="A353" i="25"/>
  <c r="D352" i="25"/>
  <c r="A352" i="25"/>
  <c r="D351" i="25"/>
  <c r="A351" i="25"/>
  <c r="D350" i="25"/>
  <c r="A350" i="25"/>
  <c r="D349" i="25"/>
  <c r="A349" i="25"/>
  <c r="D348" i="25"/>
  <c r="A348" i="25"/>
  <c r="D347" i="25"/>
  <c r="A347" i="25"/>
  <c r="D346" i="25"/>
  <c r="A346" i="25"/>
  <c r="D345" i="25"/>
  <c r="A345" i="25"/>
  <c r="D344" i="25"/>
  <c r="A344" i="25"/>
  <c r="D343" i="25"/>
  <c r="A343" i="25"/>
  <c r="D342" i="25"/>
  <c r="A342" i="25"/>
  <c r="D341" i="25"/>
  <c r="A341" i="25"/>
  <c r="D340" i="25"/>
  <c r="A340" i="25"/>
  <c r="D339" i="25"/>
  <c r="A339" i="25"/>
  <c r="D338" i="25"/>
  <c r="A338" i="25"/>
  <c r="D337" i="25"/>
  <c r="A337" i="25"/>
  <c r="D336" i="25"/>
  <c r="A336" i="25"/>
  <c r="D335" i="25"/>
  <c r="A335" i="25"/>
  <c r="D334" i="25"/>
  <c r="A334" i="25"/>
  <c r="D333" i="25"/>
  <c r="A333" i="25"/>
  <c r="D332" i="25"/>
  <c r="A332" i="25"/>
  <c r="D331" i="25"/>
  <c r="A331" i="25"/>
  <c r="D330" i="25"/>
  <c r="A330" i="25"/>
  <c r="D329" i="25"/>
  <c r="A329" i="25"/>
  <c r="D328" i="25"/>
  <c r="A328" i="25"/>
  <c r="D327" i="25"/>
  <c r="A327" i="25"/>
  <c r="D326" i="25"/>
  <c r="A326" i="25"/>
  <c r="D325" i="25"/>
  <c r="A325" i="25"/>
  <c r="D324" i="25"/>
  <c r="A324" i="25"/>
  <c r="D323" i="25"/>
  <c r="A323" i="25"/>
  <c r="D322" i="25"/>
  <c r="A322" i="25"/>
  <c r="D321" i="25"/>
  <c r="A321" i="25"/>
  <c r="D320" i="25"/>
  <c r="A320" i="25"/>
  <c r="D319" i="25"/>
  <c r="A319" i="25"/>
  <c r="D318" i="25"/>
  <c r="A318" i="25"/>
  <c r="D317" i="25"/>
  <c r="A317" i="25"/>
  <c r="D316" i="25"/>
  <c r="A316" i="25"/>
  <c r="D315" i="25"/>
  <c r="A315" i="25"/>
  <c r="D314" i="25"/>
  <c r="A314" i="25"/>
  <c r="D313" i="25"/>
  <c r="A313" i="25"/>
  <c r="D312" i="25"/>
  <c r="A312" i="25"/>
  <c r="D311" i="25"/>
  <c r="A311" i="25"/>
  <c r="D310" i="25"/>
  <c r="A310" i="25"/>
  <c r="D309" i="25"/>
  <c r="A309" i="25"/>
  <c r="D308" i="25"/>
  <c r="A308" i="25"/>
  <c r="D307" i="25"/>
  <c r="A307" i="25"/>
  <c r="D306" i="25"/>
  <c r="A306" i="25"/>
  <c r="D305" i="25"/>
  <c r="A305" i="25"/>
  <c r="D304" i="25"/>
  <c r="A304" i="25"/>
  <c r="D303" i="25"/>
  <c r="A303" i="25"/>
  <c r="D302" i="25"/>
  <c r="A302" i="25"/>
  <c r="D301" i="25"/>
  <c r="A301" i="25"/>
  <c r="D300" i="25"/>
  <c r="A300" i="25"/>
  <c r="D299" i="25"/>
  <c r="A299" i="25"/>
  <c r="D298" i="25"/>
  <c r="A298" i="25"/>
  <c r="D297" i="25"/>
  <c r="A297" i="25"/>
  <c r="D296" i="25"/>
  <c r="A296" i="25"/>
  <c r="D295" i="25"/>
  <c r="A295" i="25"/>
  <c r="D294" i="25"/>
  <c r="A294" i="25"/>
  <c r="D293" i="25"/>
  <c r="A293" i="25"/>
  <c r="D292" i="25"/>
  <c r="A292" i="25"/>
  <c r="D291" i="25"/>
  <c r="A291" i="25"/>
  <c r="D290" i="25"/>
  <c r="A290" i="25"/>
  <c r="D289" i="25"/>
  <c r="A289" i="25"/>
  <c r="D288" i="25"/>
  <c r="A288" i="25"/>
  <c r="D287" i="25"/>
  <c r="A287" i="25"/>
  <c r="D286" i="25"/>
  <c r="A286" i="25"/>
  <c r="D285" i="25"/>
  <c r="A285" i="25"/>
  <c r="D284" i="25"/>
  <c r="A284" i="25"/>
  <c r="D283" i="25"/>
  <c r="A283" i="25"/>
  <c r="D282" i="25"/>
  <c r="A282" i="25"/>
  <c r="D281" i="25"/>
  <c r="A281" i="25"/>
  <c r="D280" i="25"/>
  <c r="A280" i="25"/>
  <c r="D279" i="25"/>
  <c r="A279" i="25"/>
  <c r="D278" i="25"/>
  <c r="A278" i="25"/>
  <c r="D277" i="25"/>
  <c r="A277" i="25"/>
  <c r="D276" i="25"/>
  <c r="A276" i="25"/>
  <c r="D275" i="25"/>
  <c r="A275" i="25"/>
  <c r="D274" i="25"/>
  <c r="A274" i="25"/>
  <c r="D273" i="25"/>
  <c r="A273" i="25"/>
  <c r="D272" i="25"/>
  <c r="A272" i="25"/>
  <c r="D271" i="25"/>
  <c r="A271" i="25"/>
  <c r="D270" i="25"/>
  <c r="A270" i="25"/>
  <c r="D269" i="25"/>
  <c r="A269" i="25"/>
  <c r="D268" i="25"/>
  <c r="A268" i="25"/>
  <c r="D267" i="25"/>
  <c r="A267" i="25"/>
  <c r="D266" i="25"/>
  <c r="A266" i="25"/>
  <c r="D265" i="25"/>
  <c r="A265" i="25"/>
  <c r="D264" i="25"/>
  <c r="A264" i="25"/>
  <c r="D263" i="25"/>
  <c r="A263" i="25"/>
  <c r="D262" i="25"/>
  <c r="A262" i="25"/>
  <c r="D261" i="25"/>
  <c r="A261" i="25"/>
  <c r="D260" i="25"/>
  <c r="A260" i="25"/>
  <c r="D259" i="25"/>
  <c r="A259" i="25"/>
  <c r="D258" i="25"/>
  <c r="A258" i="25"/>
  <c r="D257" i="25"/>
  <c r="A257" i="25"/>
  <c r="D256" i="25"/>
  <c r="A256" i="25"/>
  <c r="D255" i="25"/>
  <c r="A255" i="25"/>
  <c r="D254" i="25"/>
  <c r="A254" i="25"/>
  <c r="D253" i="25"/>
  <c r="A253" i="25"/>
  <c r="D252" i="25"/>
  <c r="A252" i="25"/>
  <c r="D251" i="25"/>
  <c r="A251" i="25"/>
  <c r="D250" i="25"/>
  <c r="A250" i="25"/>
  <c r="D249" i="25"/>
  <c r="A249" i="25"/>
  <c r="D248" i="25"/>
  <c r="A248" i="25"/>
  <c r="D247" i="25"/>
  <c r="A247" i="25"/>
  <c r="D246" i="25"/>
  <c r="A246" i="25"/>
  <c r="D245" i="25"/>
  <c r="A245" i="25"/>
  <c r="D244" i="25"/>
  <c r="A244" i="25"/>
  <c r="D243" i="25"/>
  <c r="A243" i="25"/>
  <c r="D242" i="25"/>
  <c r="A242" i="25"/>
  <c r="D241" i="25"/>
  <c r="A241" i="25"/>
  <c r="D240" i="25"/>
  <c r="A240" i="25"/>
  <c r="D239" i="25"/>
  <c r="A239" i="25"/>
  <c r="D238" i="25"/>
  <c r="A238" i="25"/>
  <c r="D237" i="25"/>
  <c r="A237" i="25"/>
  <c r="D236" i="25"/>
  <c r="A236" i="25"/>
  <c r="D235" i="25"/>
  <c r="A235" i="25"/>
  <c r="D234" i="25"/>
  <c r="A234" i="25"/>
  <c r="D233" i="25"/>
  <c r="A233" i="25"/>
  <c r="D232" i="25"/>
  <c r="A232" i="25"/>
  <c r="D231" i="25"/>
  <c r="A231" i="25"/>
  <c r="D230" i="25"/>
  <c r="A230" i="25"/>
  <c r="D229" i="25"/>
  <c r="A229" i="25"/>
  <c r="D228" i="25"/>
  <c r="A228" i="25"/>
  <c r="D227" i="25"/>
  <c r="A227" i="25"/>
  <c r="D226" i="25"/>
  <c r="A226" i="25"/>
  <c r="D225" i="25"/>
  <c r="A225" i="25"/>
  <c r="D224" i="25"/>
  <c r="A224" i="25"/>
  <c r="D223" i="25"/>
  <c r="A223" i="25"/>
  <c r="D222" i="25"/>
  <c r="A222" i="25"/>
  <c r="D221" i="25"/>
  <c r="A221" i="25"/>
  <c r="A220" i="25"/>
  <c r="D219" i="25"/>
  <c r="A219" i="25"/>
  <c r="D218" i="25"/>
  <c r="A218" i="25"/>
  <c r="D217" i="25"/>
  <c r="A217" i="25"/>
  <c r="A216" i="25"/>
  <c r="D215" i="25"/>
  <c r="A215" i="25"/>
  <c r="D214" i="25"/>
  <c r="A214" i="25"/>
  <c r="D213" i="25"/>
  <c r="A213" i="25"/>
  <c r="D212" i="25"/>
  <c r="A212" i="25"/>
  <c r="D211" i="25"/>
  <c r="A211" i="25"/>
  <c r="D210" i="25"/>
  <c r="A210" i="25"/>
  <c r="D209" i="25"/>
  <c r="A209" i="25"/>
  <c r="D208" i="25"/>
  <c r="A208" i="25"/>
  <c r="D207" i="25"/>
  <c r="A207" i="25"/>
  <c r="D206" i="25"/>
  <c r="A206" i="25"/>
  <c r="D205" i="25"/>
  <c r="A205" i="25"/>
  <c r="D204" i="25"/>
  <c r="A204" i="25"/>
  <c r="D203" i="25"/>
  <c r="A203" i="25"/>
  <c r="D202" i="25"/>
  <c r="A202" i="25"/>
  <c r="D201" i="25"/>
  <c r="A201" i="25"/>
  <c r="D200" i="25"/>
  <c r="A200" i="25"/>
  <c r="D199" i="25"/>
  <c r="A199" i="25"/>
  <c r="D198" i="25"/>
  <c r="A198" i="25"/>
  <c r="D197" i="25"/>
  <c r="A197" i="25"/>
  <c r="D196" i="25"/>
  <c r="A196" i="25"/>
  <c r="D195" i="25"/>
  <c r="A195" i="25"/>
  <c r="D194" i="25"/>
  <c r="A194" i="25"/>
  <c r="D193" i="25"/>
  <c r="A193" i="25"/>
  <c r="D192" i="25"/>
  <c r="A192" i="25"/>
  <c r="D191" i="25"/>
  <c r="A191" i="25"/>
  <c r="D190" i="25"/>
  <c r="A190" i="25"/>
  <c r="D189" i="25"/>
  <c r="A189" i="25"/>
  <c r="D188" i="25"/>
  <c r="A188" i="25"/>
  <c r="D187" i="25"/>
  <c r="A187" i="25"/>
  <c r="D186" i="25"/>
  <c r="A186" i="25"/>
  <c r="D185" i="25"/>
  <c r="A185" i="25"/>
  <c r="D184" i="25"/>
  <c r="A184" i="25"/>
  <c r="D183" i="25"/>
  <c r="A183" i="25"/>
  <c r="D182" i="25"/>
  <c r="A182" i="25"/>
  <c r="D181" i="25"/>
  <c r="A181" i="25"/>
  <c r="D180" i="25"/>
  <c r="A180" i="25"/>
  <c r="D179" i="25"/>
  <c r="A179" i="25"/>
  <c r="D178" i="25"/>
  <c r="A178" i="25"/>
  <c r="D177" i="25"/>
  <c r="A177" i="25"/>
  <c r="D176" i="25"/>
  <c r="A176" i="25"/>
  <c r="D175" i="25"/>
  <c r="A175" i="25"/>
  <c r="D174" i="25"/>
  <c r="A174" i="25"/>
  <c r="D173" i="25"/>
  <c r="A173" i="25"/>
  <c r="D172" i="25"/>
  <c r="A172" i="25"/>
  <c r="D171" i="25"/>
  <c r="A171" i="25"/>
  <c r="D170" i="25"/>
  <c r="A170" i="25"/>
  <c r="D169" i="25"/>
  <c r="A169" i="25"/>
  <c r="D168" i="25"/>
  <c r="A168" i="25"/>
  <c r="D167" i="25"/>
  <c r="A167" i="25"/>
  <c r="D166" i="25"/>
  <c r="A166" i="25"/>
  <c r="D165" i="25"/>
  <c r="A165" i="25"/>
  <c r="D164" i="25"/>
  <c r="A164" i="25"/>
  <c r="D163" i="25"/>
  <c r="A163" i="25"/>
  <c r="D162" i="25"/>
  <c r="A162" i="25"/>
  <c r="D161" i="25"/>
  <c r="A161" i="25"/>
  <c r="D160" i="25"/>
  <c r="A160" i="25"/>
  <c r="D159" i="25"/>
  <c r="A159" i="25"/>
  <c r="D158" i="25"/>
  <c r="A158" i="25"/>
  <c r="D157" i="25"/>
  <c r="A157" i="25"/>
  <c r="D156" i="25"/>
  <c r="A156" i="25"/>
  <c r="D155" i="25"/>
  <c r="A155" i="25"/>
  <c r="D154" i="25"/>
  <c r="A154" i="25"/>
  <c r="D153" i="25"/>
  <c r="A153" i="25"/>
  <c r="D152" i="25"/>
  <c r="A152" i="25"/>
  <c r="D151" i="25"/>
  <c r="A151" i="25"/>
  <c r="D150" i="25"/>
  <c r="A150" i="25"/>
  <c r="D149" i="25"/>
  <c r="A149" i="25"/>
  <c r="D148" i="25"/>
  <c r="A148" i="25"/>
  <c r="D147" i="25"/>
  <c r="A147" i="25"/>
  <c r="D146" i="25"/>
  <c r="A146" i="25"/>
  <c r="D145" i="25"/>
  <c r="A145" i="25"/>
  <c r="D144" i="25"/>
  <c r="A144" i="25"/>
  <c r="D143" i="25"/>
  <c r="A143" i="25"/>
  <c r="D142" i="25"/>
  <c r="A142" i="25"/>
  <c r="D141" i="25"/>
  <c r="A141" i="25"/>
  <c r="D140" i="25"/>
  <c r="A140" i="25"/>
  <c r="D139" i="25"/>
  <c r="A139" i="25"/>
  <c r="D138" i="25"/>
  <c r="A138" i="25"/>
  <c r="D137" i="25"/>
  <c r="A137" i="25"/>
  <c r="D136" i="25"/>
  <c r="A136" i="25"/>
  <c r="D135" i="25"/>
  <c r="A135" i="25"/>
  <c r="D134" i="25"/>
  <c r="A134" i="25"/>
  <c r="D133" i="25"/>
  <c r="A133" i="25"/>
  <c r="D132" i="25"/>
  <c r="A132" i="25"/>
  <c r="D131" i="25"/>
  <c r="A131" i="25"/>
  <c r="D130" i="25"/>
  <c r="A130" i="25"/>
  <c r="D129" i="25"/>
  <c r="A129" i="25"/>
  <c r="D128" i="25"/>
  <c r="A128" i="25"/>
  <c r="D127" i="25"/>
  <c r="A127" i="25"/>
  <c r="D126" i="25"/>
  <c r="A126" i="25"/>
  <c r="D125" i="25"/>
  <c r="A125" i="25"/>
  <c r="D124" i="25"/>
  <c r="A124" i="25"/>
  <c r="D123" i="25"/>
  <c r="A123" i="25"/>
  <c r="D122" i="25"/>
  <c r="A122" i="25"/>
  <c r="D121" i="25"/>
  <c r="A121" i="25"/>
  <c r="D120" i="25"/>
  <c r="A120" i="25"/>
  <c r="A119" i="25"/>
  <c r="D118" i="25"/>
  <c r="A118" i="25"/>
  <c r="D117" i="25"/>
  <c r="A117" i="25"/>
  <c r="D116" i="25"/>
  <c r="A116" i="25"/>
  <c r="D115" i="25"/>
  <c r="A115" i="25"/>
  <c r="D114" i="25"/>
  <c r="A114" i="25"/>
  <c r="D113" i="25"/>
  <c r="A113" i="25"/>
  <c r="D112" i="25"/>
  <c r="A112" i="25"/>
  <c r="D111" i="25"/>
  <c r="A111" i="25"/>
  <c r="D110" i="25"/>
  <c r="A110" i="25"/>
  <c r="D109" i="25"/>
  <c r="A109" i="25"/>
  <c r="D108" i="25"/>
  <c r="A108" i="25"/>
  <c r="D107" i="25"/>
  <c r="A107" i="25"/>
  <c r="D106" i="25"/>
  <c r="A106" i="25"/>
  <c r="D105" i="25"/>
  <c r="A105" i="25"/>
  <c r="D104" i="25"/>
  <c r="A104" i="25"/>
  <c r="D103" i="25"/>
  <c r="A103" i="25"/>
  <c r="D102" i="25"/>
  <c r="A102" i="25"/>
  <c r="D101" i="25"/>
  <c r="A101" i="25"/>
  <c r="D100" i="25"/>
  <c r="A100" i="25"/>
  <c r="D99" i="25"/>
  <c r="A99" i="25"/>
  <c r="A98" i="25"/>
  <c r="D97" i="25"/>
  <c r="A97" i="25"/>
  <c r="D96" i="25"/>
  <c r="A96" i="25"/>
  <c r="D95" i="25"/>
  <c r="A95" i="25"/>
  <c r="D94" i="25"/>
  <c r="A94" i="25"/>
  <c r="D93" i="25"/>
  <c r="A93" i="25"/>
  <c r="D92" i="25"/>
  <c r="A92" i="25"/>
  <c r="D91" i="25"/>
  <c r="A91" i="25"/>
  <c r="D90" i="25"/>
  <c r="A90" i="25"/>
  <c r="D89" i="25"/>
  <c r="A89" i="25"/>
  <c r="D88" i="25"/>
  <c r="A88" i="25"/>
  <c r="D87" i="25"/>
  <c r="A87" i="25"/>
  <c r="D86" i="25"/>
  <c r="A86" i="25"/>
  <c r="D85" i="25"/>
  <c r="A85" i="25"/>
  <c r="D84" i="25"/>
  <c r="A84" i="25"/>
  <c r="D83" i="25"/>
  <c r="A83" i="25"/>
  <c r="A82" i="25"/>
  <c r="D81" i="25"/>
  <c r="A81" i="25"/>
  <c r="D80" i="25"/>
  <c r="A80" i="25"/>
  <c r="D79" i="25"/>
  <c r="A79" i="25"/>
  <c r="D78" i="25"/>
  <c r="A78" i="25"/>
  <c r="D77" i="25"/>
  <c r="A77" i="25"/>
  <c r="D76" i="25"/>
  <c r="A76" i="25"/>
  <c r="D75" i="25"/>
  <c r="A75" i="25"/>
  <c r="D74" i="25"/>
  <c r="A74" i="25"/>
  <c r="D73" i="25"/>
  <c r="A73" i="25"/>
  <c r="D72" i="25"/>
  <c r="A72" i="25"/>
  <c r="D71" i="25"/>
  <c r="A71" i="25"/>
  <c r="D70" i="25"/>
  <c r="A70" i="25"/>
  <c r="D69" i="25"/>
  <c r="A69" i="25"/>
  <c r="D68" i="25"/>
  <c r="A68" i="25"/>
  <c r="D67" i="25"/>
  <c r="A67" i="25"/>
  <c r="D66" i="25"/>
  <c r="A66" i="25"/>
  <c r="D65" i="25"/>
  <c r="A65" i="25"/>
  <c r="D64" i="25"/>
  <c r="A64" i="25"/>
  <c r="D63" i="25"/>
  <c r="A63" i="25"/>
  <c r="D62" i="25"/>
  <c r="A62" i="25"/>
  <c r="D61" i="25"/>
  <c r="A61" i="25"/>
  <c r="D60" i="25"/>
  <c r="A60" i="25"/>
  <c r="D59" i="25"/>
  <c r="A59" i="25"/>
  <c r="D58" i="25"/>
  <c r="A58" i="25"/>
  <c r="D57" i="25"/>
  <c r="A57" i="25"/>
  <c r="D56" i="25"/>
  <c r="A56" i="25"/>
  <c r="D55" i="25"/>
  <c r="A55" i="25"/>
  <c r="D54" i="25"/>
  <c r="A54" i="25"/>
  <c r="D53" i="25"/>
  <c r="A53" i="25"/>
  <c r="D52" i="25"/>
  <c r="A52" i="25"/>
  <c r="D51" i="25"/>
  <c r="A51" i="25"/>
  <c r="D50" i="25"/>
  <c r="A50" i="25"/>
  <c r="D49" i="25"/>
  <c r="A49" i="25"/>
  <c r="D48" i="25"/>
  <c r="A48" i="25"/>
  <c r="D47" i="25"/>
  <c r="A47" i="25"/>
  <c r="D46" i="25"/>
  <c r="A46" i="25"/>
  <c r="D45" i="25"/>
  <c r="A45" i="25"/>
  <c r="D44" i="25"/>
  <c r="A44" i="25"/>
  <c r="D43" i="25"/>
  <c r="A43" i="25"/>
  <c r="D42" i="25"/>
  <c r="A42" i="25"/>
  <c r="D41" i="25"/>
  <c r="A41" i="25"/>
  <c r="D40" i="25"/>
  <c r="A40" i="25"/>
  <c r="D39" i="25"/>
  <c r="A39" i="25"/>
  <c r="D38" i="25"/>
  <c r="A38" i="25"/>
  <c r="D37" i="25"/>
  <c r="A37" i="25"/>
  <c r="D36" i="25"/>
  <c r="A36" i="25"/>
  <c r="D35" i="25"/>
  <c r="A35" i="25"/>
  <c r="D34" i="25"/>
  <c r="A34" i="25"/>
  <c r="D33" i="25"/>
  <c r="A33" i="25"/>
  <c r="D32" i="25"/>
  <c r="A32" i="25"/>
  <c r="D31" i="25"/>
  <c r="A31" i="25"/>
  <c r="D30" i="25"/>
  <c r="A30" i="25"/>
  <c r="D29" i="25"/>
  <c r="A29" i="25"/>
  <c r="D28" i="25"/>
  <c r="A28" i="25"/>
  <c r="D27" i="25"/>
  <c r="A27" i="25"/>
  <c r="D26" i="25"/>
  <c r="A26" i="25"/>
  <c r="D25" i="25"/>
  <c r="A25" i="25"/>
  <c r="D24" i="25"/>
  <c r="A24" i="25"/>
  <c r="D23" i="25"/>
  <c r="A23" i="25"/>
  <c r="D22" i="25"/>
  <c r="A22" i="25"/>
  <c r="D21" i="25"/>
  <c r="A21" i="25"/>
  <c r="D20" i="25"/>
  <c r="A20" i="25"/>
  <c r="D19" i="25"/>
  <c r="A19" i="25"/>
  <c r="D18" i="25"/>
  <c r="A18" i="25"/>
  <c r="D17" i="25"/>
  <c r="A17" i="25"/>
  <c r="D16" i="25"/>
  <c r="A16" i="25"/>
  <c r="D15" i="25"/>
  <c r="A15" i="25"/>
  <c r="D14" i="25"/>
  <c r="A14" i="25"/>
  <c r="D13" i="25"/>
  <c r="A13" i="25"/>
  <c r="D12" i="25"/>
  <c r="A12" i="25"/>
  <c r="A11" i="25"/>
  <c r="D10" i="25"/>
  <c r="A10" i="25"/>
  <c r="D9" i="25"/>
  <c r="A9" i="25"/>
  <c r="D8" i="25"/>
  <c r="A8" i="25"/>
  <c r="D7" i="25"/>
  <c r="A7" i="25"/>
  <c r="D6" i="25"/>
  <c r="A6" i="25"/>
  <c r="D5" i="25"/>
  <c r="A5" i="25"/>
  <c r="D4" i="25"/>
  <c r="A4" i="25"/>
  <c r="D3" i="25"/>
  <c r="A3" i="25"/>
  <c r="D2" i="25"/>
  <c r="A2" i="25"/>
  <c r="Y12" i="113" l="1"/>
  <c r="Y12" i="120"/>
  <c r="A5" i="112" l="1"/>
  <c r="Z6" i="113" l="1"/>
  <c r="AI50" i="128"/>
  <c r="AI49" i="128"/>
  <c r="AI48" i="128"/>
  <c r="AI47" i="128"/>
  <c r="AI46" i="128"/>
  <c r="AI45" i="128"/>
  <c r="AA4" i="113" l="1"/>
  <c r="AA12" i="113"/>
  <c r="AA11" i="113"/>
  <c r="AA5" i="113"/>
  <c r="AA13" i="113"/>
  <c r="AA7" i="113"/>
  <c r="AA6" i="113"/>
  <c r="AA2" i="113"/>
  <c r="AA8" i="113"/>
  <c r="AA3" i="113"/>
  <c r="AA9" i="113"/>
  <c r="AA10" i="113"/>
  <c r="B1" i="113"/>
  <c r="D5" i="113"/>
  <c r="G2" i="108" l="1"/>
  <c r="BJ5" i="107" l="1"/>
  <c r="E31" i="108" l="1"/>
  <c r="P11" i="109" l="1"/>
  <c r="O11" i="109"/>
  <c r="N11" i="109"/>
  <c r="M11" i="109"/>
  <c r="L11" i="109"/>
  <c r="K11" i="109"/>
  <c r="J11" i="109"/>
  <c r="I11" i="109"/>
  <c r="H11" i="109"/>
  <c r="G11" i="109"/>
  <c r="F11" i="109"/>
  <c r="E11" i="109"/>
  <c r="E9" i="109"/>
  <c r="F9" i="109" l="1"/>
  <c r="G9" i="109" s="1"/>
  <c r="H9" i="109" s="1"/>
  <c r="I9" i="109" s="1"/>
  <c r="J9" i="109" s="1"/>
  <c r="K9" i="109" s="1"/>
  <c r="L9" i="109" s="1"/>
  <c r="M9" i="109" s="1"/>
  <c r="N9" i="109" s="1"/>
  <c r="O9" i="109" s="1"/>
  <c r="P9" i="109" s="1"/>
  <c r="F2" i="131"/>
  <c r="B2" i="127" l="1"/>
  <c r="R26" i="127" s="1"/>
  <c r="C2" i="127"/>
  <c r="S26" i="127" s="1"/>
  <c r="D2" i="127"/>
  <c r="T26" i="127" s="1"/>
  <c r="E2" i="127"/>
  <c r="U26" i="127" s="1"/>
  <c r="B3" i="127"/>
  <c r="R27" i="127" s="1"/>
  <c r="C3" i="127"/>
  <c r="S27" i="127" s="1"/>
  <c r="D3" i="127"/>
  <c r="T27" i="127" s="1"/>
  <c r="E3" i="127"/>
  <c r="U27" i="127" s="1"/>
  <c r="B4" i="127"/>
  <c r="R28" i="127" s="1"/>
  <c r="C4" i="127"/>
  <c r="S28" i="127" s="1"/>
  <c r="D4" i="127"/>
  <c r="T28" i="127" s="1"/>
  <c r="E4" i="127"/>
  <c r="U28" i="127" s="1"/>
  <c r="B5" i="127"/>
  <c r="R29" i="127" s="1"/>
  <c r="C5" i="127"/>
  <c r="S29" i="127" s="1"/>
  <c r="D5" i="127"/>
  <c r="T29" i="127" s="1"/>
  <c r="E5" i="127"/>
  <c r="U29" i="127" s="1"/>
  <c r="B6" i="127"/>
  <c r="R30" i="127" s="1"/>
  <c r="C6" i="127"/>
  <c r="S30" i="127" s="1"/>
  <c r="D6" i="127"/>
  <c r="T30" i="127" s="1"/>
  <c r="E6" i="127"/>
  <c r="U30" i="127" s="1"/>
  <c r="B7" i="127"/>
  <c r="R31" i="127" s="1"/>
  <c r="C7" i="127"/>
  <c r="S31" i="127" s="1"/>
  <c r="D7" i="127"/>
  <c r="T31" i="127" s="1"/>
  <c r="E7" i="127"/>
  <c r="U31" i="127" s="1"/>
  <c r="B8" i="127"/>
  <c r="R32" i="127" s="1"/>
  <c r="C8" i="127"/>
  <c r="S32" i="127" s="1"/>
  <c r="D8" i="127"/>
  <c r="T32" i="127" s="1"/>
  <c r="E8" i="127"/>
  <c r="U32" i="127" s="1"/>
  <c r="B9" i="127"/>
  <c r="R33" i="127" s="1"/>
  <c r="C9" i="127"/>
  <c r="S33" i="127" s="1"/>
  <c r="D9" i="127"/>
  <c r="T33" i="127" s="1"/>
  <c r="E9" i="127"/>
  <c r="U33" i="127" s="1"/>
  <c r="B10" i="127"/>
  <c r="R34" i="127" s="1"/>
  <c r="C10" i="127"/>
  <c r="S34" i="127" s="1"/>
  <c r="D10" i="127"/>
  <c r="T34" i="127" s="1"/>
  <c r="E10" i="127"/>
  <c r="U34" i="127" s="1"/>
  <c r="B11" i="127"/>
  <c r="R35" i="127" s="1"/>
  <c r="C11" i="127"/>
  <c r="S35" i="127" s="1"/>
  <c r="D11" i="127"/>
  <c r="T35" i="127" s="1"/>
  <c r="E11" i="127"/>
  <c r="U35" i="127" s="1"/>
  <c r="B12" i="127"/>
  <c r="R36" i="127" s="1"/>
  <c r="C12" i="127"/>
  <c r="S36" i="127" s="1"/>
  <c r="D12" i="127"/>
  <c r="T36" i="127" s="1"/>
  <c r="E12" i="127"/>
  <c r="U36" i="127" s="1"/>
  <c r="B13" i="127"/>
  <c r="R37" i="127" s="1"/>
  <c r="C13" i="127"/>
  <c r="S37" i="127" s="1"/>
  <c r="D13" i="127"/>
  <c r="T37" i="127" s="1"/>
  <c r="E13" i="127"/>
  <c r="U37" i="127" s="1"/>
  <c r="S13" i="127" l="1"/>
  <c r="S25" i="127"/>
  <c r="S9" i="127"/>
  <c r="S21" i="127"/>
  <c r="S5" i="127"/>
  <c r="S17" i="127"/>
  <c r="S3" i="127"/>
  <c r="S15" i="127"/>
  <c r="R11" i="127"/>
  <c r="R23" i="127"/>
  <c r="R7" i="127"/>
  <c r="R19" i="127"/>
  <c r="R5" i="127"/>
  <c r="R17" i="127"/>
  <c r="U12" i="127"/>
  <c r="U24" i="127"/>
  <c r="U8" i="127"/>
  <c r="U20" i="127"/>
  <c r="U4" i="127"/>
  <c r="U16" i="127"/>
  <c r="T12" i="127"/>
  <c r="T24" i="127"/>
  <c r="T8" i="127"/>
  <c r="T20" i="127"/>
  <c r="T4" i="127"/>
  <c r="T16" i="127"/>
  <c r="S12" i="127"/>
  <c r="S24" i="127"/>
  <c r="S8" i="127"/>
  <c r="S20" i="127"/>
  <c r="S6" i="127"/>
  <c r="S18" i="127"/>
  <c r="S2" i="127"/>
  <c r="S14" i="127"/>
  <c r="R10" i="127"/>
  <c r="R22" i="127"/>
  <c r="R8" i="127"/>
  <c r="R20" i="127"/>
  <c r="R4" i="127"/>
  <c r="R16" i="127"/>
  <c r="U13" i="127"/>
  <c r="U25" i="127"/>
  <c r="U11" i="127"/>
  <c r="U23" i="127"/>
  <c r="U9" i="127"/>
  <c r="U21" i="127"/>
  <c r="U7" i="127"/>
  <c r="U19" i="127"/>
  <c r="U5" i="127"/>
  <c r="U17" i="127"/>
  <c r="U3" i="127"/>
  <c r="U15" i="127"/>
  <c r="S11" i="127"/>
  <c r="S23" i="127"/>
  <c r="S7" i="127"/>
  <c r="S19" i="127"/>
  <c r="R13" i="127"/>
  <c r="R25" i="127"/>
  <c r="R9" i="127"/>
  <c r="R21" i="127"/>
  <c r="R3" i="127"/>
  <c r="R15" i="127"/>
  <c r="U10" i="127"/>
  <c r="U22" i="127"/>
  <c r="U6" i="127"/>
  <c r="U18" i="127"/>
  <c r="U2" i="127"/>
  <c r="U14" i="127"/>
  <c r="T10" i="127"/>
  <c r="T22" i="127"/>
  <c r="T6" i="127"/>
  <c r="T18" i="127"/>
  <c r="T2" i="127"/>
  <c r="T14" i="127"/>
  <c r="S10" i="127"/>
  <c r="S22" i="127"/>
  <c r="S4" i="127"/>
  <c r="S16" i="127"/>
  <c r="R12" i="127"/>
  <c r="R24" i="127"/>
  <c r="R6" i="127"/>
  <c r="R18" i="127"/>
  <c r="R2" i="127"/>
  <c r="R14" i="127"/>
  <c r="T13" i="127"/>
  <c r="T25" i="127"/>
  <c r="T11" i="127"/>
  <c r="T23" i="127"/>
  <c r="T9" i="127"/>
  <c r="T21" i="127"/>
  <c r="T7" i="127"/>
  <c r="T19" i="127"/>
  <c r="T5" i="127"/>
  <c r="T17" i="127"/>
  <c r="T3" i="127"/>
  <c r="T15" i="127"/>
  <c r="F6" i="127"/>
  <c r="F10" i="127"/>
  <c r="F7" i="127"/>
  <c r="F4" i="127"/>
  <c r="F12" i="127"/>
  <c r="F9" i="127"/>
  <c r="F3" i="127"/>
  <c r="F13" i="127"/>
  <c r="F11" i="127"/>
  <c r="F8" i="127"/>
  <c r="F5" i="127"/>
  <c r="F2" i="127"/>
  <c r="V37" i="127"/>
  <c r="V36" i="127"/>
  <c r="V35" i="127"/>
  <c r="V34" i="127"/>
  <c r="V33" i="127"/>
  <c r="V32" i="127"/>
  <c r="V31" i="127"/>
  <c r="V30" i="127"/>
  <c r="V29" i="127"/>
  <c r="V28" i="127"/>
  <c r="V27" i="127"/>
  <c r="V26" i="127"/>
  <c r="V25" i="127"/>
  <c r="V24" i="127"/>
  <c r="V23" i="127"/>
  <c r="V22" i="127"/>
  <c r="V21" i="127"/>
  <c r="V20" i="127"/>
  <c r="V19" i="127"/>
  <c r="V18" i="127"/>
  <c r="V17" i="127"/>
  <c r="V16" i="127"/>
  <c r="V15" i="127"/>
  <c r="V14" i="127"/>
  <c r="V13" i="127"/>
  <c r="V12" i="127"/>
  <c r="V11" i="127"/>
  <c r="V10" i="127"/>
  <c r="V9" i="127"/>
  <c r="V8" i="127"/>
  <c r="V7" i="127"/>
  <c r="V6" i="127"/>
  <c r="V5" i="127"/>
  <c r="V4" i="127"/>
  <c r="V3" i="127"/>
  <c r="V2" i="127"/>
  <c r="AJ2" i="127" l="1" a="1"/>
  <c r="AJ2" i="127" s="1"/>
  <c r="W13" i="127"/>
  <c r="W34" i="127"/>
  <c r="W37" i="127"/>
  <c r="W7" i="127"/>
  <c r="W23" i="127"/>
  <c r="W29" i="127"/>
  <c r="W20" i="127"/>
  <c r="W35" i="127"/>
  <c r="W31" i="127"/>
  <c r="W4" i="127"/>
  <c r="W16" i="127"/>
  <c r="W28" i="127"/>
  <c r="W10" i="127"/>
  <c r="W25" i="127"/>
  <c r="W19" i="127"/>
  <c r="W22" i="127"/>
  <c r="W6" i="127"/>
  <c r="W12" i="127"/>
  <c r="W18" i="127"/>
  <c r="W21" i="127"/>
  <c r="W32" i="127"/>
  <c r="T37" i="108" s="1"/>
  <c r="W2" i="127"/>
  <c r="W8" i="127"/>
  <c r="W14" i="127"/>
  <c r="W27" i="127"/>
  <c r="W30" i="127"/>
  <c r="W24" i="127"/>
  <c r="W26" i="127"/>
  <c r="W5" i="127"/>
  <c r="W11" i="127"/>
  <c r="W17" i="127"/>
  <c r="W3" i="127"/>
  <c r="W9" i="127"/>
  <c r="W15" i="127"/>
  <c r="W36" i="127"/>
  <c r="W33" i="127"/>
  <c r="T33" i="108" l="1"/>
  <c r="W35" i="108"/>
  <c r="Z35" i="115" s="1"/>
  <c r="X33" i="108"/>
  <c r="W33" i="108"/>
  <c r="Z33" i="115" s="1"/>
  <c r="Z29" i="127"/>
  <c r="W37" i="108"/>
  <c r="Z37" i="115" s="1"/>
  <c r="X37" i="108"/>
  <c r="T35" i="108"/>
  <c r="T34" i="108"/>
  <c r="W41" i="108"/>
  <c r="Z41" i="115" s="1"/>
  <c r="W42" i="108"/>
  <c r="Z42" i="115" s="1"/>
  <c r="W32" i="108"/>
  <c r="Z32" i="115" s="1"/>
  <c r="Z27" i="127"/>
  <c r="X32" i="108"/>
  <c r="T32" i="108"/>
  <c r="T41" i="108"/>
  <c r="X40" i="108"/>
  <c r="Z35" i="127"/>
  <c r="T40" i="108"/>
  <c r="W40" i="108"/>
  <c r="Z40" i="115" s="1"/>
  <c r="X42" i="108"/>
  <c r="T38" i="108"/>
  <c r="X38" i="108"/>
  <c r="Z33" i="127"/>
  <c r="W38" i="108"/>
  <c r="Z38" i="115" s="1"/>
  <c r="W31" i="108"/>
  <c r="Z31" i="115" s="1"/>
  <c r="T31" i="108"/>
  <c r="X31" i="108"/>
  <c r="T42" i="108"/>
  <c r="X34" i="108"/>
  <c r="Z34" i="127"/>
  <c r="X39" i="108"/>
  <c r="T39" i="108"/>
  <c r="W39" i="108"/>
  <c r="Z39" i="115" s="1"/>
  <c r="W36" i="108"/>
  <c r="Z36" i="115" s="1"/>
  <c r="X35" i="108"/>
  <c r="Z31" i="127"/>
  <c r="T36" i="108"/>
  <c r="X10" i="108"/>
  <c r="X18" i="108"/>
  <c r="X9" i="108"/>
  <c r="X11" i="108"/>
  <c r="X15" i="108"/>
  <c r="T10" i="108"/>
  <c r="T18" i="108"/>
  <c r="X14" i="108"/>
  <c r="Z8" i="127"/>
  <c r="X16" i="108"/>
  <c r="X12" i="108"/>
  <c r="X8" i="108"/>
  <c r="X17" i="108"/>
  <c r="T7" i="108"/>
  <c r="T14" i="108"/>
  <c r="T16" i="108"/>
  <c r="T12" i="108"/>
  <c r="T8" i="108"/>
  <c r="T15" i="108"/>
  <c r="X7" i="108"/>
  <c r="T17" i="108"/>
  <c r="W13" i="108"/>
  <c r="W15" i="108"/>
  <c r="Z11" i="127"/>
  <c r="T11" i="108"/>
  <c r="T9" i="108"/>
  <c r="X13" i="108"/>
  <c r="T13" i="108"/>
  <c r="W14" i="108"/>
  <c r="T30" i="108"/>
  <c r="T22" i="108"/>
  <c r="T23" i="108"/>
  <c r="T27" i="108"/>
  <c r="Z17" i="127"/>
  <c r="Z15" i="127"/>
  <c r="T21" i="108"/>
  <c r="T28" i="108"/>
  <c r="X20" i="108"/>
  <c r="X27" i="108"/>
  <c r="T26" i="108"/>
  <c r="T29" i="108"/>
  <c r="W28" i="108"/>
  <c r="Z28" i="115" s="1"/>
  <c r="T24" i="108"/>
  <c r="X22" i="108"/>
  <c r="T25" i="108"/>
  <c r="X26" i="108"/>
  <c r="X19" i="108"/>
  <c r="W26" i="108"/>
  <c r="Z26" i="115" s="1"/>
  <c r="Z25" i="127"/>
  <c r="Z19" i="127"/>
  <c r="Z20" i="127"/>
  <c r="T20" i="108"/>
  <c r="T19" i="108"/>
  <c r="W21" i="108"/>
  <c r="Z21" i="115" s="1"/>
  <c r="Y20" i="127"/>
  <c r="Z37" i="127"/>
  <c r="Z24" i="127"/>
  <c r="Z22" i="127"/>
  <c r="Z14" i="127"/>
  <c r="Z30" i="127"/>
  <c r="Z16" i="127"/>
  <c r="Z23" i="127"/>
  <c r="Z21" i="127"/>
  <c r="Z28" i="127"/>
  <c r="Z26" i="127"/>
  <c r="X30" i="108"/>
  <c r="X28" i="108"/>
  <c r="W29" i="108"/>
  <c r="Z29" i="115" s="1"/>
  <c r="W20" i="108"/>
  <c r="Z20" i="115" s="1"/>
  <c r="W19" i="108"/>
  <c r="Z19" i="115" s="1"/>
  <c r="X23" i="108"/>
  <c r="W23" i="108"/>
  <c r="Z23" i="115" s="1"/>
  <c r="X25" i="108"/>
  <c r="X21" i="108"/>
  <c r="W22" i="108"/>
  <c r="Z22" i="115" s="1"/>
  <c r="W24" i="108"/>
  <c r="Z24" i="115" s="1"/>
  <c r="X41" i="108"/>
  <c r="W27" i="108"/>
  <c r="Z27" i="115" s="1"/>
  <c r="X29" i="108"/>
  <c r="X24" i="108"/>
  <c r="X36" i="108"/>
  <c r="W34" i="108"/>
  <c r="Z34" i="115" s="1"/>
  <c r="X106" i="107"/>
  <c r="Y32" i="127" l="1"/>
  <c r="Y30" i="127"/>
  <c r="Y28" i="127"/>
  <c r="Y35" i="127"/>
  <c r="Y37" i="127"/>
  <c r="Y26" i="127"/>
  <c r="Y27" i="127"/>
  <c r="Y36" i="127"/>
  <c r="Y29" i="127"/>
  <c r="Z32" i="127"/>
  <c r="Z36" i="127"/>
  <c r="Y34" i="127"/>
  <c r="Y33" i="127"/>
  <c r="Y31" i="127"/>
  <c r="W25" i="108"/>
  <c r="Z25" i="115" s="1"/>
  <c r="Y23" i="127"/>
  <c r="Y17" i="127"/>
  <c r="Y18" i="127"/>
  <c r="Y21" i="127"/>
  <c r="Y22" i="127"/>
  <c r="Y16" i="127"/>
  <c r="Y24" i="127"/>
  <c r="Y25" i="127"/>
  <c r="Y15" i="127"/>
  <c r="Z18" i="127"/>
  <c r="Y19" i="127"/>
  <c r="Y14" i="127"/>
  <c r="W30" i="108"/>
  <c r="Z30" i="115" s="1"/>
  <c r="Y11" i="127"/>
  <c r="Y13" i="127"/>
  <c r="Z13" i="127"/>
  <c r="Y12" i="127"/>
  <c r="Z12" i="127"/>
  <c r="Y10" i="127"/>
  <c r="Z10" i="127"/>
  <c r="Z9" i="127"/>
  <c r="Y9" i="127"/>
  <c r="Y2" i="127"/>
  <c r="Z2" i="127"/>
  <c r="Y6" i="127"/>
  <c r="Z6" i="127"/>
  <c r="Y3" i="127"/>
  <c r="Z3" i="127"/>
  <c r="Y7" i="127"/>
  <c r="Z7" i="127"/>
  <c r="Y5" i="127"/>
  <c r="Z5" i="127"/>
  <c r="Z4" i="127"/>
  <c r="Y4" i="127"/>
  <c r="Y8" i="127"/>
  <c r="W16" i="108"/>
  <c r="W17" i="108"/>
  <c r="W7" i="108"/>
  <c r="W2" i="108" s="1"/>
  <c r="D4" i="113" s="1"/>
  <c r="W8" i="108"/>
  <c r="W9" i="108"/>
  <c r="W18" i="108"/>
  <c r="W10" i="108"/>
  <c r="W11" i="108"/>
  <c r="W12" i="108"/>
  <c r="C16" i="127" a="1"/>
  <c r="C16" i="127" s="1"/>
  <c r="AA26" i="127"/>
  <c r="AA34" i="127"/>
  <c r="AA35" i="127"/>
  <c r="AE2" i="127" a="1"/>
  <c r="AE2" i="127" s="1"/>
  <c r="B31" i="127" s="1"/>
  <c r="AA36" i="127"/>
  <c r="AA33" i="127"/>
  <c r="AA37" i="127"/>
  <c r="AA31" i="127"/>
  <c r="AA27" i="127"/>
  <c r="AA22" i="127"/>
  <c r="AA28" i="127"/>
  <c r="AA23" i="127"/>
  <c r="AA29" i="127"/>
  <c r="AA25" i="127"/>
  <c r="AA32" i="127"/>
  <c r="AA20" i="127"/>
  <c r="AA30" i="127"/>
  <c r="AA19" i="127"/>
  <c r="AA21" i="127"/>
  <c r="AA24" i="127"/>
  <c r="AA6" i="127"/>
  <c r="AA14" i="127"/>
  <c r="AA17" i="127"/>
  <c r="AA11" i="127"/>
  <c r="AA18" i="127"/>
  <c r="AA4" i="127"/>
  <c r="AA13" i="127"/>
  <c r="AA7" i="127"/>
  <c r="AA16" i="127"/>
  <c r="AA9" i="127"/>
  <c r="AA8" i="127"/>
  <c r="AA15" i="127"/>
  <c r="AA2" i="127" a="1"/>
  <c r="AA2" i="127" s="1"/>
  <c r="AA3" i="127"/>
  <c r="AA5" i="127"/>
  <c r="AA10" i="127"/>
  <c r="AA12" i="127"/>
  <c r="P18" i="128"/>
  <c r="P17" i="128"/>
  <c r="P16" i="128"/>
  <c r="P15" i="128"/>
  <c r="P14" i="128"/>
  <c r="P13" i="128"/>
  <c r="P12" i="128"/>
  <c r="P11" i="128"/>
  <c r="P10" i="128"/>
  <c r="P9" i="128"/>
  <c r="Z9" i="128" s="1"/>
  <c r="P8" i="128"/>
  <c r="Z8" i="128" s="1"/>
  <c r="P7" i="128"/>
  <c r="Z7" i="128" s="1"/>
  <c r="Z1" i="127" l="1"/>
  <c r="Y1" i="127"/>
  <c r="A2" i="115"/>
  <c r="BM5" i="131"/>
  <c r="B16" i="127"/>
  <c r="Z4" i="113" s="1"/>
  <c r="AE6" i="120"/>
  <c r="Z12" i="113"/>
  <c r="AG2" i="127"/>
  <c r="D31" i="127" s="1"/>
  <c r="AH2" i="127"/>
  <c r="E31" i="127" s="1"/>
  <c r="AE3" i="127" a="1"/>
  <c r="AE3" i="127" s="1"/>
  <c r="B32" i="127" s="1"/>
  <c r="Z16" i="128"/>
  <c r="Y16" i="128"/>
  <c r="X16" i="128"/>
  <c r="Y7" i="128"/>
  <c r="X7" i="128"/>
  <c r="Y9" i="128"/>
  <c r="X9" i="128"/>
  <c r="Z15" i="128"/>
  <c r="Y15" i="128"/>
  <c r="X15" i="128"/>
  <c r="Z11" i="128"/>
  <c r="Y11" i="128"/>
  <c r="X11" i="128"/>
  <c r="Z17" i="128"/>
  <c r="Y17" i="128"/>
  <c r="X17" i="128"/>
  <c r="Z10" i="128"/>
  <c r="Y10" i="128"/>
  <c r="X10" i="128"/>
  <c r="Z12" i="128"/>
  <c r="Y12" i="128"/>
  <c r="X12" i="128"/>
  <c r="Z18" i="128"/>
  <c r="Y18" i="128"/>
  <c r="X18" i="128"/>
  <c r="Z13" i="128"/>
  <c r="Y13" i="128"/>
  <c r="X13" i="128"/>
  <c r="Y8" i="128"/>
  <c r="X8" i="128"/>
  <c r="Z14" i="128"/>
  <c r="Y14" i="128"/>
  <c r="X14" i="128"/>
  <c r="P44" i="128"/>
  <c r="V99" i="128"/>
  <c r="F40" i="128"/>
  <c r="BI11" i="107"/>
  <c r="BI7" i="107"/>
  <c r="BI8" i="107"/>
  <c r="X53" i="128" l="1"/>
  <c r="AH3" i="127"/>
  <c r="E32" i="127" s="1"/>
  <c r="AE4" i="127" a="1"/>
  <c r="AE4" i="127" s="1"/>
  <c r="AG4" i="127" s="1"/>
  <c r="D33" i="127" s="1"/>
  <c r="AG3" i="127"/>
  <c r="D32" i="127" s="1"/>
  <c r="N1" i="127"/>
  <c r="M1" i="127"/>
  <c r="AE5" i="127" l="1" a="1"/>
  <c r="AE5" i="127" s="1"/>
  <c r="AE6" i="127" s="1" a="1"/>
  <c r="AE6" i="127" s="1"/>
  <c r="AG6" i="127" s="1"/>
  <c r="D35" i="127" s="1"/>
  <c r="AH4" i="127"/>
  <c r="E33" i="127" s="1"/>
  <c r="B33" i="127"/>
  <c r="AF2" i="127" a="1"/>
  <c r="AF2" i="127" s="1"/>
  <c r="C31" i="127" s="1"/>
  <c r="T13" i="120"/>
  <c r="AG5" i="127" l="1"/>
  <c r="D34" i="127" s="1"/>
  <c r="AH5" i="127"/>
  <c r="E34" i="127" s="1"/>
  <c r="B34" i="127"/>
  <c r="B35" i="127"/>
  <c r="AE7" i="127" a="1"/>
  <c r="AE7" i="127" s="1"/>
  <c r="AE8" i="127" s="1" a="1"/>
  <c r="AE8" i="127" s="1"/>
  <c r="AE9" i="127" s="1" a="1"/>
  <c r="AE9" i="127" s="1"/>
  <c r="B38" i="127" s="1"/>
  <c r="AH6" i="127"/>
  <c r="E35" i="127" s="1"/>
  <c r="AF4" i="127" a="1"/>
  <c r="AF4" i="127" s="1"/>
  <c r="C33" i="127" s="1"/>
  <c r="AF3" i="127" a="1"/>
  <c r="AF3" i="127" s="1"/>
  <c r="C32" i="127" s="1"/>
  <c r="AF5" i="127" a="1"/>
  <c r="AF5" i="127" s="1"/>
  <c r="C34" i="127" s="1"/>
  <c r="AF6" i="127" a="1"/>
  <c r="AF6" i="127" s="1"/>
  <c r="C35" i="127" s="1"/>
  <c r="A9" i="112"/>
  <c r="AG8" i="127" l="1"/>
  <c r="D37" i="127" s="1"/>
  <c r="AG7" i="127"/>
  <c r="D36" i="127" s="1"/>
  <c r="AF9" i="127" a="1"/>
  <c r="AF9" i="127" s="1"/>
  <c r="C38" i="127" s="1"/>
  <c r="AE10" i="127" a="1"/>
  <c r="AE10" i="127" s="1"/>
  <c r="AE11" i="127" s="1" a="1"/>
  <c r="AE11" i="127" s="1"/>
  <c r="AF11" i="127" s="1" a="1"/>
  <c r="AF11" i="127" s="1"/>
  <c r="C40" i="127" s="1"/>
  <c r="B37" i="127"/>
  <c r="AH8" i="127"/>
  <c r="E37" i="127" s="1"/>
  <c r="AF8" i="127" a="1"/>
  <c r="AF8" i="127" s="1"/>
  <c r="C37" i="127" s="1"/>
  <c r="B36" i="127"/>
  <c r="AH9" i="127"/>
  <c r="E38" i="127" s="1"/>
  <c r="AF7" i="127" a="1"/>
  <c r="AF7" i="127" s="1"/>
  <c r="C36" i="127" s="1"/>
  <c r="AH7" i="127"/>
  <c r="E36" i="127" s="1"/>
  <c r="AG9" i="127"/>
  <c r="D38" i="127" s="1"/>
  <c r="R6" i="120"/>
  <c r="P36" i="120"/>
  <c r="P37" i="120"/>
  <c r="P38" i="120"/>
  <c r="P39" i="120"/>
  <c r="P40" i="120"/>
  <c r="AH10" i="127" l="1"/>
  <c r="E39" i="127" s="1"/>
  <c r="B40" i="127"/>
  <c r="AG10" i="127"/>
  <c r="D39" i="127" s="1"/>
  <c r="AH11" i="127"/>
  <c r="E40" i="127" s="1"/>
  <c r="AE12" i="127" a="1"/>
  <c r="AE12" i="127" s="1"/>
  <c r="AG12" i="127" s="1"/>
  <c r="D41" i="127" s="1"/>
  <c r="B39" i="127"/>
  <c r="AG11" i="127"/>
  <c r="D40" i="127" s="1"/>
  <c r="AF10" i="127" a="1"/>
  <c r="AF10" i="127" s="1"/>
  <c r="C39" i="127" s="1"/>
  <c r="P35" i="120"/>
  <c r="AE13" i="127" l="1" a="1"/>
  <c r="AE13" i="127" s="1"/>
  <c r="B42" i="127" s="1"/>
  <c r="AF12" i="127" a="1"/>
  <c r="AF12" i="127" s="1"/>
  <c r="C41" i="127" s="1"/>
  <c r="B41" i="127"/>
  <c r="AH12" i="127"/>
  <c r="E41" i="127" s="1"/>
  <c r="R6" i="113"/>
  <c r="AH13" i="127" l="1"/>
  <c r="E42" i="127" s="1"/>
  <c r="AG13" i="127"/>
  <c r="D42" i="127" s="1"/>
  <c r="AE14" i="127" a="1"/>
  <c r="AE14" i="127" s="1"/>
  <c r="AH14" i="127" s="1"/>
  <c r="AF13" i="127" a="1"/>
  <c r="AF13" i="127" s="1"/>
  <c r="C42" i="127" s="1"/>
  <c r="AE15" i="127" l="1" a="1"/>
  <c r="AE15" i="127" s="1"/>
  <c r="AF15" i="127" s="1" a="1"/>
  <c r="AF15" i="127" s="1"/>
  <c r="AG14" i="127"/>
  <c r="AF14" i="127" a="1"/>
  <c r="AF14" i="127" s="1"/>
  <c r="A12" i="112"/>
  <c r="A2" i="112"/>
  <c r="AH15" i="127" l="1"/>
  <c r="AE16" i="127" a="1"/>
  <c r="AE16" i="127" s="1"/>
  <c r="AF16" i="127" s="1" a="1"/>
  <c r="AF16" i="127" s="1"/>
  <c r="AG15" i="127"/>
  <c r="E44" i="120"/>
  <c r="E61" i="120" s="1"/>
  <c r="D44" i="120"/>
  <c r="D77" i="120" s="1"/>
  <c r="G3" i="120"/>
  <c r="D3" i="120"/>
  <c r="AG16" i="127" l="1"/>
  <c r="AH16" i="127"/>
  <c r="AE17" i="127" a="1"/>
  <c r="AE17" i="127" s="1"/>
  <c r="AF17" i="127" s="1" a="1"/>
  <c r="AF17" i="127" s="1"/>
  <c r="E77" i="120"/>
  <c r="D61" i="120"/>
  <c r="AH17" i="127" l="1"/>
  <c r="AG17" i="127"/>
  <c r="AE18" i="127" a="1"/>
  <c r="AE18" i="127" s="1"/>
  <c r="AG18" i="127" s="1"/>
  <c r="A6" i="115"/>
  <c r="F93" i="107"/>
  <c r="AE19" i="127" l="1" a="1"/>
  <c r="AE19" i="127" s="1"/>
  <c r="AF19" i="127" s="1" a="1"/>
  <c r="AF19" i="127" s="1"/>
  <c r="AF18" i="127" a="1"/>
  <c r="AF18" i="127" s="1"/>
  <c r="AH18" i="127"/>
  <c r="D6" i="115"/>
  <c r="C6" i="115"/>
  <c r="AH19" i="127" l="1"/>
  <c r="AE20" i="127" a="1"/>
  <c r="AE20" i="127" s="1"/>
  <c r="AH20" i="127" s="1"/>
  <c r="AG19" i="127"/>
  <c r="H12" i="107"/>
  <c r="A83" i="78"/>
  <c r="A84" i="78"/>
  <c r="A85" i="78"/>
  <c r="A86" i="78"/>
  <c r="A87" i="78"/>
  <c r="A82" i="78"/>
  <c r="AG20" i="127" l="1"/>
  <c r="AF20" i="127" a="1"/>
  <c r="AF20" i="127" s="1"/>
  <c r="AE21" i="127" a="1"/>
  <c r="AE21" i="127" s="1"/>
  <c r="AF21" i="127" s="1" a="1"/>
  <c r="AF21" i="127" s="1"/>
  <c r="AD65" i="120"/>
  <c r="P138" i="120" s="1"/>
  <c r="AA138" i="120" s="1"/>
  <c r="AD66" i="120"/>
  <c r="P139" i="120" s="1"/>
  <c r="AA139" i="120" s="1"/>
  <c r="AD67" i="120"/>
  <c r="P140" i="120" s="1"/>
  <c r="AD68" i="120"/>
  <c r="P141" i="120" s="1"/>
  <c r="AD69" i="120"/>
  <c r="P142" i="120" s="1"/>
  <c r="AD64" i="120"/>
  <c r="P137" i="120" l="1"/>
  <c r="AA137" i="120" s="1"/>
  <c r="AD62" i="120"/>
  <c r="AE22" i="127" a="1"/>
  <c r="AE22" i="127" s="1"/>
  <c r="AE23" i="127" s="1" a="1"/>
  <c r="AE23" i="127" s="1"/>
  <c r="AG21" i="127"/>
  <c r="AH21" i="127"/>
  <c r="AA141" i="120"/>
  <c r="AA142" i="120"/>
  <c r="AA140" i="120"/>
  <c r="AE62" i="120"/>
  <c r="D86" i="120"/>
  <c r="AH22" i="127" l="1"/>
  <c r="AG22" i="127"/>
  <c r="AF22" i="127" a="1"/>
  <c r="AF22" i="127" s="1"/>
  <c r="AE24" i="127" a="1"/>
  <c r="AE24" i="127" s="1"/>
  <c r="AG23" i="127"/>
  <c r="AH23" i="127"/>
  <c r="AF23" i="127" a="1"/>
  <c r="AF23" i="127" s="1"/>
  <c r="Z170" i="107"/>
  <c r="Z117" i="128"/>
  <c r="D37" i="121"/>
  <c r="AE25" i="127" l="1" a="1"/>
  <c r="AE25" i="127" s="1"/>
  <c r="AF24" i="127" a="1"/>
  <c r="AF24" i="127" s="1"/>
  <c r="AG24" i="127"/>
  <c r="AH24" i="127"/>
  <c r="V152" i="107"/>
  <c r="AE26" i="127" l="1" a="1"/>
  <c r="AE26" i="127" s="1"/>
  <c r="AF25" i="127" a="1"/>
  <c r="AF25" i="127" s="1"/>
  <c r="AH25" i="127"/>
  <c r="AG25" i="127"/>
  <c r="O35" i="113"/>
  <c r="O36" i="113"/>
  <c r="O37" i="113"/>
  <c r="O38" i="113"/>
  <c r="O39" i="113"/>
  <c r="O40" i="113"/>
  <c r="A7" i="112"/>
  <c r="AE27" i="127" l="1" a="1"/>
  <c r="AE27" i="127" s="1"/>
  <c r="AF26" i="127" a="1"/>
  <c r="AF26" i="127" s="1"/>
  <c r="AH26" i="127"/>
  <c r="AG26" i="127"/>
  <c r="AE28" i="127" l="1" a="1"/>
  <c r="AE28" i="127" s="1"/>
  <c r="AG27" i="127"/>
  <c r="AF27" i="127" a="1"/>
  <c r="AF27" i="127" s="1"/>
  <c r="AH27" i="127"/>
  <c r="K7" i="121"/>
  <c r="AE29" i="127" l="1" a="1"/>
  <c r="AE29" i="127" s="1"/>
  <c r="AG28" i="127"/>
  <c r="AF28" i="127" a="1"/>
  <c r="AF28" i="127" s="1"/>
  <c r="AH28" i="127"/>
  <c r="A7" i="126"/>
  <c r="AE30" i="127" l="1" a="1"/>
  <c r="AE30" i="127" s="1"/>
  <c r="AG29" i="127"/>
  <c r="AF29" i="127" a="1"/>
  <c r="AF29" i="127" s="1"/>
  <c r="AH29" i="127"/>
  <c r="K8" i="121"/>
  <c r="K9" i="121"/>
  <c r="K10" i="121"/>
  <c r="K11" i="121"/>
  <c r="K12" i="121"/>
  <c r="D43" i="121"/>
  <c r="D42" i="121"/>
  <c r="D41" i="121"/>
  <c r="D40" i="121"/>
  <c r="D39" i="121"/>
  <c r="D38" i="121"/>
  <c r="S7" i="121"/>
  <c r="Q65" i="115" s="1"/>
  <c r="P65" i="115" s="1"/>
  <c r="S9" i="121" l="1"/>
  <c r="S8" i="121"/>
  <c r="S12" i="121"/>
  <c r="S11" i="121"/>
  <c r="S10" i="121"/>
  <c r="Q68" i="115" s="1"/>
  <c r="P68" i="115" s="1"/>
  <c r="AE31" i="127" a="1"/>
  <c r="AE31" i="127" s="1"/>
  <c r="AG30" i="127"/>
  <c r="AF30" i="127" a="1"/>
  <c r="AF30" i="127" s="1"/>
  <c r="AH30" i="127"/>
  <c r="K2" i="121"/>
  <c r="B6" i="115" s="1"/>
  <c r="A11" i="126"/>
  <c r="AM7" i="121"/>
  <c r="A12" i="126"/>
  <c r="A9" i="126"/>
  <c r="A8" i="126"/>
  <c r="A10" i="126"/>
  <c r="T7" i="121"/>
  <c r="AN7" i="121"/>
  <c r="AE7" i="121"/>
  <c r="AB7" i="121"/>
  <c r="A10" i="112"/>
  <c r="O6" i="113"/>
  <c r="AM11" i="121" l="1"/>
  <c r="AN11" i="121"/>
  <c r="AE11" i="121"/>
  <c r="T11" i="121"/>
  <c r="AB11" i="121"/>
  <c r="T12" i="121"/>
  <c r="AM12" i="121"/>
  <c r="AE12" i="121"/>
  <c r="AB12" i="121"/>
  <c r="AN12" i="121"/>
  <c r="AN10" i="121"/>
  <c r="T10" i="121"/>
  <c r="AE10" i="121"/>
  <c r="AM10" i="121"/>
  <c r="AB10" i="121"/>
  <c r="AE8" i="121"/>
  <c r="T8" i="121"/>
  <c r="AN8" i="121"/>
  <c r="AB8" i="121"/>
  <c r="AM8" i="121"/>
  <c r="T9" i="121"/>
  <c r="AB9" i="121"/>
  <c r="AN9" i="121"/>
  <c r="AE9" i="121"/>
  <c r="AM9" i="121"/>
  <c r="AE32" i="127" a="1"/>
  <c r="AE32" i="127" s="1"/>
  <c r="AG31" i="127"/>
  <c r="AH31" i="127"/>
  <c r="AF31" i="127" a="1"/>
  <c r="AF31" i="127" s="1"/>
  <c r="P18" i="120"/>
  <c r="O6" i="120"/>
  <c r="Q66" i="115"/>
  <c r="P66" i="115" s="1"/>
  <c r="Q67" i="115"/>
  <c r="P67" i="115" s="1"/>
  <c r="Q70" i="115"/>
  <c r="P70" i="115" s="1"/>
  <c r="Q69" i="115"/>
  <c r="P69" i="115" s="1"/>
  <c r="A8" i="112"/>
  <c r="A3" i="112"/>
  <c r="AE33" i="127" l="1" a="1"/>
  <c r="AE33" i="127" s="1"/>
  <c r="AH32" i="127"/>
  <c r="AF32" i="127" a="1"/>
  <c r="AF32" i="127" s="1"/>
  <c r="AG32" i="127"/>
  <c r="Z53" i="128"/>
  <c r="Z106" i="107"/>
  <c r="V1" i="124"/>
  <c r="X66" i="128"/>
  <c r="X119" i="107"/>
  <c r="V1" i="123"/>
  <c r="D13" i="120"/>
  <c r="A1" i="112"/>
  <c r="P2" i="131" s="1"/>
  <c r="P2" i="128" l="1"/>
  <c r="AE34" i="127" a="1"/>
  <c r="AE34" i="127" s="1"/>
  <c r="AG33" i="127"/>
  <c r="AF33" i="127" a="1"/>
  <c r="AF33" i="127" s="1"/>
  <c r="AH33" i="127"/>
  <c r="G13" i="120"/>
  <c r="C92" i="120"/>
  <c r="C91" i="120"/>
  <c r="C90" i="120"/>
  <c r="C89" i="120"/>
  <c r="C88" i="120"/>
  <c r="C87" i="120"/>
  <c r="AE35" i="127" l="1" a="1"/>
  <c r="AE35" i="127" s="1"/>
  <c r="AG34" i="127"/>
  <c r="AH34" i="127"/>
  <c r="AF34" i="127" a="1"/>
  <c r="AF34" i="127" s="1"/>
  <c r="AR171" i="107"/>
  <c r="AR118" i="128"/>
  <c r="AV171" i="107"/>
  <c r="AV118" i="128"/>
  <c r="AF171" i="107"/>
  <c r="AF118" i="128"/>
  <c r="AJ171" i="107"/>
  <c r="AJ118" i="128"/>
  <c r="AN171" i="107"/>
  <c r="AN118" i="128"/>
  <c r="AB171" i="107"/>
  <c r="AB118" i="128"/>
  <c r="F6" i="120"/>
  <c r="E28" i="120"/>
  <c r="C6" i="120"/>
  <c r="C70" i="113"/>
  <c r="AR83" i="107" s="1"/>
  <c r="C71" i="113"/>
  <c r="AV83" i="107" s="1"/>
  <c r="AE36" i="127" l="1" a="1"/>
  <c r="AE36" i="127" s="1"/>
  <c r="AG35" i="127"/>
  <c r="AH35" i="127"/>
  <c r="AF35" i="127" a="1"/>
  <c r="AF35" i="127" s="1"/>
  <c r="O18" i="113"/>
  <c r="AC43" i="107" s="1"/>
  <c r="D28" i="120"/>
  <c r="AE37" i="127" l="1" a="1"/>
  <c r="AE37" i="127" s="1"/>
  <c r="AG36" i="127"/>
  <c r="AF36" i="127" a="1"/>
  <c r="AF36" i="127" s="1"/>
  <c r="AH36" i="127"/>
  <c r="G77" i="120"/>
  <c r="AG37" i="127" l="1"/>
  <c r="AF37" i="127" a="1"/>
  <c r="AF37" i="127" s="1"/>
  <c r="AH37" i="127"/>
  <c r="F77" i="120"/>
  <c r="D65" i="113"/>
  <c r="Z81" i="107" s="1"/>
  <c r="C66" i="113"/>
  <c r="AB83" i="107" s="1"/>
  <c r="C67" i="113"/>
  <c r="AF83" i="107" s="1"/>
  <c r="C68" i="113"/>
  <c r="AJ83" i="107" s="1"/>
  <c r="C69" i="113"/>
  <c r="AN83" i="107" s="1"/>
  <c r="D70" i="80"/>
  <c r="D120" i="80"/>
  <c r="A4" i="23" l="1"/>
  <c r="A4" i="124" s="1"/>
  <c r="A5" i="23"/>
  <c r="A5" i="124" s="1"/>
  <c r="A6" i="23"/>
  <c r="A6" i="124" s="1"/>
  <c r="A7" i="23"/>
  <c r="A7" i="124" s="1"/>
  <c r="A8" i="23"/>
  <c r="A8" i="124" s="1"/>
  <c r="A9" i="23"/>
  <c r="A9" i="124" s="1"/>
  <c r="A10" i="23"/>
  <c r="A10" i="124" s="1"/>
  <c r="A11" i="23"/>
  <c r="A11" i="124" s="1"/>
  <c r="A12" i="23"/>
  <c r="A12" i="124" s="1"/>
  <c r="A13" i="23"/>
  <c r="A13" i="124" s="1"/>
  <c r="A14" i="23"/>
  <c r="A14" i="124" s="1"/>
  <c r="A15" i="23"/>
  <c r="A15" i="124" s="1"/>
  <c r="A16" i="23"/>
  <c r="A16" i="124" s="1"/>
  <c r="A17" i="23"/>
  <c r="A17" i="124" s="1"/>
  <c r="A18" i="23"/>
  <c r="A18" i="124" s="1"/>
  <c r="A19" i="23"/>
  <c r="A19" i="124" s="1"/>
  <c r="A20" i="23"/>
  <c r="A20" i="124" s="1"/>
  <c r="A21" i="23"/>
  <c r="A21" i="124" s="1"/>
  <c r="A22" i="23"/>
  <c r="A22" i="124" s="1"/>
  <c r="A23" i="23"/>
  <c r="A23" i="124" s="1"/>
  <c r="A24" i="23"/>
  <c r="A24" i="124" s="1"/>
  <c r="A25" i="23"/>
  <c r="A25" i="124" s="1"/>
  <c r="A26" i="23"/>
  <c r="A26" i="124" s="1"/>
  <c r="A27" i="23"/>
  <c r="A27" i="124" s="1"/>
  <c r="A28" i="23"/>
  <c r="A28" i="124" s="1"/>
  <c r="A29" i="23"/>
  <c r="A29" i="124" s="1"/>
  <c r="A30" i="23"/>
  <c r="A30" i="124" s="1"/>
  <c r="A31" i="23"/>
  <c r="A31" i="124" s="1"/>
  <c r="A32" i="23"/>
  <c r="A32" i="124" s="1"/>
  <c r="A33" i="23"/>
  <c r="A33" i="124" s="1"/>
  <c r="A34" i="23"/>
  <c r="A34" i="124" s="1"/>
  <c r="A35" i="23"/>
  <c r="A35" i="124" s="1"/>
  <c r="A36" i="23"/>
  <c r="A36" i="124" s="1"/>
  <c r="A37" i="23"/>
  <c r="A37" i="124" s="1"/>
  <c r="A38" i="23"/>
  <c r="A38" i="124" s="1"/>
  <c r="A39" i="23"/>
  <c r="A39" i="124" s="1"/>
  <c r="A40" i="23"/>
  <c r="A40" i="124" s="1"/>
  <c r="A41" i="23"/>
  <c r="A41" i="124" s="1"/>
  <c r="A42" i="23"/>
  <c r="A42" i="124" s="1"/>
  <c r="A43" i="23"/>
  <c r="A43" i="124" s="1"/>
  <c r="A44" i="23"/>
  <c r="A44" i="124" s="1"/>
  <c r="A45" i="23"/>
  <c r="A45" i="124" s="1"/>
  <c r="A46" i="23"/>
  <c r="A46" i="124" s="1"/>
  <c r="A47" i="23"/>
  <c r="A47" i="124" s="1"/>
  <c r="A48" i="23"/>
  <c r="A48" i="124" s="1"/>
  <c r="A49" i="23"/>
  <c r="A49" i="124" s="1"/>
  <c r="A50" i="23"/>
  <c r="A50" i="124" s="1"/>
  <c r="A51" i="23"/>
  <c r="A51" i="124" s="1"/>
  <c r="A52" i="23"/>
  <c r="A52" i="124" s="1"/>
  <c r="A53" i="23"/>
  <c r="A53" i="124" s="1"/>
  <c r="A54" i="23"/>
  <c r="A54" i="124" s="1"/>
  <c r="A55" i="23"/>
  <c r="A55" i="124" s="1"/>
  <c r="A56" i="23"/>
  <c r="A56" i="124" s="1"/>
  <c r="A57" i="23"/>
  <c r="A57" i="124" s="1"/>
  <c r="A58" i="23"/>
  <c r="A58" i="124" s="1"/>
  <c r="A59" i="23"/>
  <c r="A59" i="124" s="1"/>
  <c r="A60" i="23"/>
  <c r="A60" i="124" s="1"/>
  <c r="A61" i="23"/>
  <c r="A61" i="124" s="1"/>
  <c r="A62" i="23"/>
  <c r="A62" i="124" s="1"/>
  <c r="A63" i="23"/>
  <c r="A63" i="124" s="1"/>
  <c r="A64" i="23"/>
  <c r="A64" i="124" s="1"/>
  <c r="A65" i="23"/>
  <c r="A65" i="124" s="1"/>
  <c r="A66" i="23"/>
  <c r="A66" i="124" s="1"/>
  <c r="A67" i="23"/>
  <c r="A67" i="124" s="1"/>
  <c r="A68" i="23"/>
  <c r="A68" i="124" s="1"/>
  <c r="A69" i="23"/>
  <c r="A69" i="124" s="1"/>
  <c r="A70" i="23"/>
  <c r="A70" i="124" s="1"/>
  <c r="A71" i="23"/>
  <c r="A71" i="124" s="1"/>
  <c r="A72" i="23"/>
  <c r="A72" i="124" s="1"/>
  <c r="A73" i="23"/>
  <c r="A73" i="124" s="1"/>
  <c r="A74" i="23"/>
  <c r="A74" i="124" s="1"/>
  <c r="A75" i="23"/>
  <c r="A75" i="124" s="1"/>
  <c r="A76" i="23"/>
  <c r="A76" i="124" s="1"/>
  <c r="A77" i="23"/>
  <c r="A77" i="124" s="1"/>
  <c r="A78" i="23"/>
  <c r="A78" i="124" s="1"/>
  <c r="A79" i="23"/>
  <c r="A79" i="124" s="1"/>
  <c r="A80" i="23"/>
  <c r="A80" i="124" s="1"/>
  <c r="A81" i="23"/>
  <c r="A81" i="124" s="1"/>
  <c r="A82" i="23"/>
  <c r="A82" i="124" s="1"/>
  <c r="A83" i="23"/>
  <c r="A83" i="124" s="1"/>
  <c r="A84" i="23"/>
  <c r="A84" i="124" s="1"/>
  <c r="A85" i="23"/>
  <c r="A85" i="124" s="1"/>
  <c r="A86" i="23"/>
  <c r="A86" i="124" s="1"/>
  <c r="A87" i="23"/>
  <c r="A87" i="124" s="1"/>
  <c r="A88" i="23"/>
  <c r="A88" i="124" s="1"/>
  <c r="A89" i="23"/>
  <c r="A89" i="124" s="1"/>
  <c r="A90" i="23"/>
  <c r="A90" i="124" s="1"/>
  <c r="A91" i="23"/>
  <c r="A91" i="124" s="1"/>
  <c r="A92" i="23"/>
  <c r="A92" i="124" s="1"/>
  <c r="A93" i="23"/>
  <c r="A93" i="124" s="1"/>
  <c r="A94" i="23"/>
  <c r="A94" i="124" s="1"/>
  <c r="A95" i="23"/>
  <c r="A95" i="124" s="1"/>
  <c r="A96" i="23"/>
  <c r="A96" i="124" s="1"/>
  <c r="A97" i="23"/>
  <c r="A97" i="124" s="1"/>
  <c r="A98" i="23"/>
  <c r="A98" i="124" s="1"/>
  <c r="A99" i="23"/>
  <c r="A99" i="124" s="1"/>
  <c r="A100" i="23"/>
  <c r="A100" i="124" s="1"/>
  <c r="A101" i="23"/>
  <c r="A101" i="124" s="1"/>
  <c r="A102" i="23"/>
  <c r="A102" i="124" s="1"/>
  <c r="A103" i="23"/>
  <c r="A103" i="124" s="1"/>
  <c r="A104" i="23"/>
  <c r="A104" i="124" s="1"/>
  <c r="A105" i="23"/>
  <c r="A105" i="124" s="1"/>
  <c r="A106" i="23"/>
  <c r="A106" i="124" s="1"/>
  <c r="A107" i="23"/>
  <c r="A107" i="124" s="1"/>
  <c r="A108" i="23"/>
  <c r="A108" i="124" s="1"/>
  <c r="A109" i="23"/>
  <c r="A109" i="124" s="1"/>
  <c r="A110" i="23"/>
  <c r="A110" i="124" s="1"/>
  <c r="A111" i="23"/>
  <c r="A111" i="124" s="1"/>
  <c r="A112" i="23"/>
  <c r="A112" i="124" s="1"/>
  <c r="A113" i="23"/>
  <c r="A113" i="124" s="1"/>
  <c r="A114" i="23"/>
  <c r="A114" i="124" s="1"/>
  <c r="A115" i="23"/>
  <c r="A115" i="124" s="1"/>
  <c r="A116" i="23"/>
  <c r="A116" i="124" s="1"/>
  <c r="A117" i="23"/>
  <c r="A117" i="124" s="1"/>
  <c r="A118" i="23"/>
  <c r="A118" i="124" s="1"/>
  <c r="A119" i="23"/>
  <c r="A119" i="124" s="1"/>
  <c r="A120" i="23"/>
  <c r="A120" i="124" s="1"/>
  <c r="A121" i="23"/>
  <c r="A121" i="124" s="1"/>
  <c r="A122" i="23"/>
  <c r="A122" i="124" s="1"/>
  <c r="A123" i="23"/>
  <c r="A123" i="124" s="1"/>
  <c r="A124" i="23"/>
  <c r="A124" i="124" s="1"/>
  <c r="A125" i="23"/>
  <c r="A125" i="124" s="1"/>
  <c r="A126" i="23"/>
  <c r="A126" i="124" s="1"/>
  <c r="A127" i="23"/>
  <c r="A127" i="124" s="1"/>
  <c r="A128" i="23"/>
  <c r="A128" i="124" s="1"/>
  <c r="A129" i="23"/>
  <c r="A129" i="124" s="1"/>
  <c r="A130" i="23"/>
  <c r="A130" i="124" s="1"/>
  <c r="A131" i="23"/>
  <c r="A131" i="124" s="1"/>
  <c r="A132" i="23"/>
  <c r="A132" i="124" s="1"/>
  <c r="A133" i="23"/>
  <c r="A133" i="124" s="1"/>
  <c r="A134" i="23"/>
  <c r="A134" i="124" s="1"/>
  <c r="A135" i="23"/>
  <c r="A135" i="124" s="1"/>
  <c r="A136" i="23"/>
  <c r="A136" i="124" s="1"/>
  <c r="A137" i="23"/>
  <c r="A137" i="124" s="1"/>
  <c r="A138" i="23"/>
  <c r="A138" i="124" s="1"/>
  <c r="A139" i="23"/>
  <c r="A139" i="124" s="1"/>
  <c r="A140" i="23"/>
  <c r="A140" i="124" s="1"/>
  <c r="A141" i="23"/>
  <c r="A141" i="124" s="1"/>
  <c r="A142" i="23"/>
  <c r="A142" i="124" s="1"/>
  <c r="A143" i="23"/>
  <c r="A143" i="124" s="1"/>
  <c r="A144" i="23"/>
  <c r="A144" i="124" s="1"/>
  <c r="A145" i="23"/>
  <c r="A145" i="124" s="1"/>
  <c r="A146" i="23"/>
  <c r="A146" i="124" s="1"/>
  <c r="A147" i="23"/>
  <c r="A147" i="124" s="1"/>
  <c r="A148" i="23"/>
  <c r="A148" i="124" s="1"/>
  <c r="A149" i="23"/>
  <c r="A149" i="124" s="1"/>
  <c r="A150" i="23"/>
  <c r="A150" i="124" s="1"/>
  <c r="A151" i="23"/>
  <c r="A151" i="124" s="1"/>
  <c r="A152" i="23"/>
  <c r="A152" i="124" s="1"/>
  <c r="A153" i="23"/>
  <c r="A153" i="124" s="1"/>
  <c r="A154" i="23"/>
  <c r="A154" i="124" s="1"/>
  <c r="A155" i="23"/>
  <c r="A155" i="124" s="1"/>
  <c r="A156" i="23"/>
  <c r="A156" i="124" s="1"/>
  <c r="A157" i="23"/>
  <c r="A157" i="124" s="1"/>
  <c r="A158" i="23"/>
  <c r="A158" i="124" s="1"/>
  <c r="A159" i="23"/>
  <c r="A159" i="124" s="1"/>
  <c r="A160" i="23"/>
  <c r="A160" i="124" s="1"/>
  <c r="A161" i="23"/>
  <c r="A161" i="124" s="1"/>
  <c r="A162" i="23"/>
  <c r="A162" i="124" s="1"/>
  <c r="A163" i="23"/>
  <c r="A163" i="124" s="1"/>
  <c r="A164" i="23"/>
  <c r="A164" i="124" s="1"/>
  <c r="A165" i="23"/>
  <c r="A165" i="124" s="1"/>
  <c r="A166" i="23"/>
  <c r="A166" i="124" s="1"/>
  <c r="A167" i="23"/>
  <c r="A167" i="124" s="1"/>
  <c r="A168" i="23"/>
  <c r="A168" i="124" s="1"/>
  <c r="A169" i="23"/>
  <c r="A169" i="124" s="1"/>
  <c r="A170" i="23"/>
  <c r="A170" i="124" s="1"/>
  <c r="A171" i="23"/>
  <c r="A171" i="124" s="1"/>
  <c r="A172" i="23"/>
  <c r="A172" i="124" s="1"/>
  <c r="A173" i="23"/>
  <c r="A173" i="124" s="1"/>
  <c r="A174" i="23"/>
  <c r="A174" i="124" s="1"/>
  <c r="A175" i="23"/>
  <c r="A175" i="124" s="1"/>
  <c r="A176" i="23"/>
  <c r="A176" i="124" s="1"/>
  <c r="A177" i="23"/>
  <c r="A177" i="124" s="1"/>
  <c r="A178" i="23"/>
  <c r="A178" i="124" s="1"/>
  <c r="A179" i="23"/>
  <c r="A179" i="124" s="1"/>
  <c r="A180" i="23"/>
  <c r="A180" i="124" s="1"/>
  <c r="A181" i="23"/>
  <c r="A181" i="124" s="1"/>
  <c r="A182" i="23"/>
  <c r="A182" i="124" s="1"/>
  <c r="A183" i="23"/>
  <c r="A183" i="124" s="1"/>
  <c r="A184" i="23"/>
  <c r="A184" i="124" s="1"/>
  <c r="A185" i="23"/>
  <c r="A185" i="124" s="1"/>
  <c r="A186" i="23"/>
  <c r="A186" i="124" s="1"/>
  <c r="A187" i="23"/>
  <c r="A187" i="124" s="1"/>
  <c r="A188" i="23"/>
  <c r="A188" i="124" s="1"/>
  <c r="A189" i="23"/>
  <c r="A189" i="124" s="1"/>
  <c r="A190" i="23"/>
  <c r="A190" i="124" s="1"/>
  <c r="A191" i="23"/>
  <c r="A191" i="124" s="1"/>
  <c r="A192" i="23"/>
  <c r="A192" i="124" s="1"/>
  <c r="A193" i="23"/>
  <c r="A193" i="124" s="1"/>
  <c r="A194" i="23"/>
  <c r="A194" i="124" s="1"/>
  <c r="A195" i="23"/>
  <c r="A195" i="124" s="1"/>
  <c r="A196" i="23"/>
  <c r="A196" i="124" s="1"/>
  <c r="A197" i="23"/>
  <c r="A197" i="124" s="1"/>
  <c r="A198" i="23"/>
  <c r="A198" i="124" s="1"/>
  <c r="A199" i="23"/>
  <c r="A199" i="124" s="1"/>
  <c r="A200" i="23"/>
  <c r="A200" i="124" s="1"/>
  <c r="A201" i="23"/>
  <c r="A201" i="124" s="1"/>
  <c r="A202" i="23"/>
  <c r="A202" i="124" s="1"/>
  <c r="A203" i="23"/>
  <c r="A203" i="124" s="1"/>
  <c r="A204" i="23"/>
  <c r="A204" i="124" s="1"/>
  <c r="A205" i="23"/>
  <c r="A205" i="124" s="1"/>
  <c r="A206" i="23"/>
  <c r="A206" i="124" s="1"/>
  <c r="A207" i="23"/>
  <c r="A207" i="124" s="1"/>
  <c r="A208" i="23"/>
  <c r="A208" i="124" s="1"/>
  <c r="A209" i="23"/>
  <c r="A209" i="124" s="1"/>
  <c r="A210" i="23"/>
  <c r="A210" i="124" s="1"/>
  <c r="A211" i="23"/>
  <c r="A211" i="124" s="1"/>
  <c r="A212" i="23"/>
  <c r="A212" i="124" s="1"/>
  <c r="A213" i="23"/>
  <c r="A213" i="124" s="1"/>
  <c r="A214" i="23"/>
  <c r="A214" i="124" s="1"/>
  <c r="A215" i="23"/>
  <c r="A215" i="124" s="1"/>
  <c r="A216" i="23"/>
  <c r="A216" i="124" s="1"/>
  <c r="A217" i="23"/>
  <c r="A217" i="124" s="1"/>
  <c r="A218" i="23"/>
  <c r="A218" i="124" s="1"/>
  <c r="A219" i="23"/>
  <c r="A219" i="124" s="1"/>
  <c r="A220" i="23"/>
  <c r="A220" i="124" s="1"/>
  <c r="A221" i="23"/>
  <c r="A221" i="124" s="1"/>
  <c r="A222" i="23"/>
  <c r="A222" i="124" s="1"/>
  <c r="A223" i="23"/>
  <c r="A223" i="124" s="1"/>
  <c r="A224" i="23"/>
  <c r="A224" i="124" s="1"/>
  <c r="A225" i="23"/>
  <c r="A225" i="124" s="1"/>
  <c r="A226" i="23"/>
  <c r="A226" i="124" s="1"/>
  <c r="A227" i="23"/>
  <c r="A227" i="124" s="1"/>
  <c r="A228" i="23"/>
  <c r="A228" i="124" s="1"/>
  <c r="A229" i="23"/>
  <c r="A229" i="124" s="1"/>
  <c r="A230" i="23"/>
  <c r="A230" i="124" s="1"/>
  <c r="A231" i="23"/>
  <c r="A231" i="124" s="1"/>
  <c r="A232" i="23"/>
  <c r="A232" i="124" s="1"/>
  <c r="A233" i="23"/>
  <c r="A233" i="124" s="1"/>
  <c r="A234" i="23"/>
  <c r="A234" i="124" s="1"/>
  <c r="A235" i="23"/>
  <c r="A235" i="124" s="1"/>
  <c r="A236" i="23"/>
  <c r="A236" i="124" s="1"/>
  <c r="A237" i="23"/>
  <c r="A237" i="124" s="1"/>
  <c r="A238" i="23"/>
  <c r="A238" i="124" s="1"/>
  <c r="A239" i="23"/>
  <c r="A239" i="124" s="1"/>
  <c r="A240" i="23"/>
  <c r="A240" i="124" s="1"/>
  <c r="A241" i="23"/>
  <c r="A241" i="124" s="1"/>
  <c r="A242" i="23"/>
  <c r="A242" i="124" s="1"/>
  <c r="A243" i="23"/>
  <c r="A243" i="124" s="1"/>
  <c r="A244" i="23"/>
  <c r="A244" i="124" s="1"/>
  <c r="A245" i="23"/>
  <c r="A245" i="124" s="1"/>
  <c r="A246" i="23"/>
  <c r="A246" i="124" s="1"/>
  <c r="A247" i="23"/>
  <c r="A247" i="124" s="1"/>
  <c r="A248" i="23"/>
  <c r="A248" i="124" s="1"/>
  <c r="A249" i="23"/>
  <c r="A249" i="124" s="1"/>
  <c r="A250" i="23"/>
  <c r="A250" i="124" s="1"/>
  <c r="A251" i="23"/>
  <c r="A251" i="124" s="1"/>
  <c r="A252" i="23"/>
  <c r="A252" i="124" s="1"/>
  <c r="A253" i="23"/>
  <c r="A253" i="124" s="1"/>
  <c r="A254" i="23"/>
  <c r="A254" i="124" s="1"/>
  <c r="A255" i="23"/>
  <c r="A255" i="124" s="1"/>
  <c r="A256" i="23"/>
  <c r="A256" i="124" s="1"/>
  <c r="A257" i="23"/>
  <c r="A257" i="124" s="1"/>
  <c r="A258" i="23"/>
  <c r="A258" i="124" s="1"/>
  <c r="A259" i="23"/>
  <c r="A259" i="124" s="1"/>
  <c r="A260" i="23"/>
  <c r="A260" i="124" s="1"/>
  <c r="A261" i="23"/>
  <c r="A261" i="124" s="1"/>
  <c r="A262" i="23"/>
  <c r="A262" i="124" s="1"/>
  <c r="A263" i="23"/>
  <c r="A263" i="124" s="1"/>
  <c r="A264" i="23"/>
  <c r="A264" i="124" s="1"/>
  <c r="A265" i="23"/>
  <c r="A265" i="124" s="1"/>
  <c r="A266" i="23"/>
  <c r="A266" i="124" s="1"/>
  <c r="A267" i="23"/>
  <c r="A267" i="124" s="1"/>
  <c r="A268" i="23"/>
  <c r="A268" i="124" s="1"/>
  <c r="A269" i="23"/>
  <c r="A269" i="124" s="1"/>
  <c r="A270" i="23"/>
  <c r="A270" i="124" s="1"/>
  <c r="A271" i="23"/>
  <c r="A271" i="124" s="1"/>
  <c r="A272" i="23"/>
  <c r="A272" i="124" s="1"/>
  <c r="A273" i="23"/>
  <c r="A273" i="124" s="1"/>
  <c r="A274" i="23"/>
  <c r="A274" i="124" s="1"/>
  <c r="A275" i="23"/>
  <c r="A275" i="124" s="1"/>
  <c r="A276" i="23"/>
  <c r="A276" i="124" s="1"/>
  <c r="A277" i="23"/>
  <c r="A277" i="124" s="1"/>
  <c r="A278" i="23"/>
  <c r="A278" i="124" s="1"/>
  <c r="A279" i="23"/>
  <c r="A279" i="124" s="1"/>
  <c r="A280" i="23"/>
  <c r="A280" i="124" s="1"/>
  <c r="A281" i="23"/>
  <c r="A281" i="124" s="1"/>
  <c r="A282" i="23"/>
  <c r="A282" i="124" s="1"/>
  <c r="A283" i="23"/>
  <c r="A283" i="124" s="1"/>
  <c r="A284" i="23"/>
  <c r="A284" i="124" s="1"/>
  <c r="A285" i="23"/>
  <c r="A285" i="124" s="1"/>
  <c r="A286" i="23"/>
  <c r="A286" i="124" s="1"/>
  <c r="A287" i="23"/>
  <c r="A287" i="124" s="1"/>
  <c r="A288" i="23"/>
  <c r="A288" i="124" s="1"/>
  <c r="A289" i="23"/>
  <c r="A289" i="124" s="1"/>
  <c r="A290" i="23"/>
  <c r="A290" i="124" s="1"/>
  <c r="A291" i="23"/>
  <c r="A291" i="124" s="1"/>
  <c r="A292" i="23"/>
  <c r="A292" i="124" s="1"/>
  <c r="A293" i="23"/>
  <c r="A293" i="124" s="1"/>
  <c r="A294" i="23"/>
  <c r="A294" i="124" s="1"/>
  <c r="A295" i="23"/>
  <c r="A295" i="124" s="1"/>
  <c r="A296" i="23"/>
  <c r="A296" i="124" s="1"/>
  <c r="A297" i="23"/>
  <c r="A297" i="124" s="1"/>
  <c r="A298" i="23"/>
  <c r="A298" i="124" s="1"/>
  <c r="A299" i="23"/>
  <c r="A299" i="124" s="1"/>
  <c r="A300" i="23"/>
  <c r="A300" i="124" s="1"/>
  <c r="A301" i="23"/>
  <c r="A301" i="124" s="1"/>
  <c r="A302" i="23"/>
  <c r="A302" i="124" s="1"/>
  <c r="A303" i="23"/>
  <c r="A303" i="124" s="1"/>
  <c r="A304" i="23"/>
  <c r="A304" i="124" s="1"/>
  <c r="A305" i="23"/>
  <c r="A305" i="124" s="1"/>
  <c r="A306" i="23"/>
  <c r="A306" i="124" s="1"/>
  <c r="A307" i="23"/>
  <c r="A307" i="124" s="1"/>
  <c r="A308" i="23"/>
  <c r="A308" i="124" s="1"/>
  <c r="A309" i="23"/>
  <c r="A309" i="124" s="1"/>
  <c r="A310" i="23"/>
  <c r="A310" i="124" s="1"/>
  <c r="A311" i="23"/>
  <c r="A311" i="124" s="1"/>
  <c r="A312" i="23"/>
  <c r="A312" i="124" s="1"/>
  <c r="A313" i="23"/>
  <c r="A313" i="124" s="1"/>
  <c r="A314" i="23"/>
  <c r="A314" i="124" s="1"/>
  <c r="A315" i="23"/>
  <c r="A315" i="124" s="1"/>
  <c r="A316" i="23"/>
  <c r="A316" i="124" s="1"/>
  <c r="A317" i="23"/>
  <c r="A317" i="124" s="1"/>
  <c r="A318" i="23"/>
  <c r="A318" i="124" s="1"/>
  <c r="A319" i="23"/>
  <c r="A319" i="124" s="1"/>
  <c r="A320" i="23"/>
  <c r="A320" i="124" s="1"/>
  <c r="A321" i="23"/>
  <c r="A321" i="124" s="1"/>
  <c r="A322" i="23"/>
  <c r="A322" i="124" s="1"/>
  <c r="A323" i="23"/>
  <c r="A323" i="124" s="1"/>
  <c r="A324" i="23"/>
  <c r="A324" i="124" s="1"/>
  <c r="A325" i="23"/>
  <c r="A325" i="124" s="1"/>
  <c r="A326" i="23"/>
  <c r="A326" i="124" s="1"/>
  <c r="A327" i="23"/>
  <c r="A327" i="124" s="1"/>
  <c r="A328" i="23"/>
  <c r="A328" i="124" s="1"/>
  <c r="A329" i="23"/>
  <c r="A329" i="124" s="1"/>
  <c r="A330" i="23"/>
  <c r="A330" i="124" s="1"/>
  <c r="A331" i="23"/>
  <c r="A331" i="124" s="1"/>
  <c r="A332" i="23"/>
  <c r="A332" i="124" s="1"/>
  <c r="A333" i="23"/>
  <c r="A333" i="124" s="1"/>
  <c r="A334" i="23"/>
  <c r="A334" i="124" s="1"/>
  <c r="A335" i="23"/>
  <c r="A335" i="124" s="1"/>
  <c r="A336" i="23"/>
  <c r="A336" i="124" s="1"/>
  <c r="A337" i="23"/>
  <c r="A337" i="124" s="1"/>
  <c r="A338" i="23"/>
  <c r="A338" i="124" s="1"/>
  <c r="A339" i="23"/>
  <c r="A339" i="124" s="1"/>
  <c r="A340" i="23"/>
  <c r="A340" i="124" s="1"/>
  <c r="A341" i="23"/>
  <c r="A341" i="124" s="1"/>
  <c r="A342" i="23"/>
  <c r="A342" i="124" s="1"/>
  <c r="A343" i="23"/>
  <c r="A343" i="124" s="1"/>
  <c r="A344" i="23"/>
  <c r="A344" i="124" s="1"/>
  <c r="A345" i="23"/>
  <c r="A345" i="124" s="1"/>
  <c r="A346" i="23"/>
  <c r="A346" i="124" s="1"/>
  <c r="A347" i="23"/>
  <c r="A347" i="124" s="1"/>
  <c r="A348" i="23"/>
  <c r="A348" i="124" s="1"/>
  <c r="A349" i="23"/>
  <c r="A349" i="124" s="1"/>
  <c r="A350" i="23"/>
  <c r="A350" i="124" s="1"/>
  <c r="A351" i="23"/>
  <c r="A351" i="124" s="1"/>
  <c r="A352" i="23"/>
  <c r="A352" i="124" s="1"/>
  <c r="A353" i="23"/>
  <c r="A353" i="124" s="1"/>
  <c r="A354" i="23"/>
  <c r="A354" i="124" s="1"/>
  <c r="A355" i="23"/>
  <c r="A355" i="124" s="1"/>
  <c r="A356" i="23"/>
  <c r="A356" i="124" s="1"/>
  <c r="A357" i="23"/>
  <c r="A357" i="124" s="1"/>
  <c r="A358" i="23"/>
  <c r="A358" i="124" s="1"/>
  <c r="A359" i="23"/>
  <c r="A359" i="124" s="1"/>
  <c r="A360" i="23"/>
  <c r="A360" i="124" s="1"/>
  <c r="A361" i="23"/>
  <c r="A361" i="124" s="1"/>
  <c r="A362" i="23"/>
  <c r="A362" i="124" s="1"/>
  <c r="A363" i="23"/>
  <c r="A363" i="124" s="1"/>
  <c r="A364" i="23"/>
  <c r="A364" i="124" s="1"/>
  <c r="A365" i="23"/>
  <c r="A365" i="124" s="1"/>
  <c r="A366" i="23"/>
  <c r="A366" i="124" s="1"/>
  <c r="A367" i="23"/>
  <c r="A367" i="124" s="1"/>
  <c r="A368" i="23"/>
  <c r="A368" i="124" s="1"/>
  <c r="A369" i="23"/>
  <c r="A369" i="124" s="1"/>
  <c r="A370" i="23"/>
  <c r="A370" i="124" s="1"/>
  <c r="A371" i="23"/>
  <c r="A371" i="124" s="1"/>
  <c r="A372" i="23"/>
  <c r="A372" i="124" s="1"/>
  <c r="A373" i="23"/>
  <c r="A373" i="124" s="1"/>
  <c r="A374" i="23"/>
  <c r="A374" i="124" s="1"/>
  <c r="A375" i="23"/>
  <c r="A375" i="124" s="1"/>
  <c r="A376" i="23"/>
  <c r="A376" i="124" s="1"/>
  <c r="A377" i="23"/>
  <c r="A377" i="124" s="1"/>
  <c r="A378" i="23"/>
  <c r="A378" i="124" s="1"/>
  <c r="A379" i="23"/>
  <c r="A379" i="124" s="1"/>
  <c r="A380" i="23"/>
  <c r="A380" i="124" s="1"/>
  <c r="A381" i="23"/>
  <c r="A381" i="124" s="1"/>
  <c r="A382" i="23"/>
  <c r="A382" i="124" s="1"/>
  <c r="A383" i="23"/>
  <c r="A383" i="124" s="1"/>
  <c r="A384" i="23"/>
  <c r="A384" i="124" s="1"/>
  <c r="A385" i="23"/>
  <c r="A385" i="124" s="1"/>
  <c r="A386" i="23"/>
  <c r="A386" i="124" s="1"/>
  <c r="A387" i="23"/>
  <c r="A387" i="124" s="1"/>
  <c r="A388" i="23"/>
  <c r="A388" i="124" s="1"/>
  <c r="A389" i="23"/>
  <c r="A389" i="124" s="1"/>
  <c r="A390" i="23"/>
  <c r="A390" i="124" s="1"/>
  <c r="A391" i="23"/>
  <c r="A391" i="124" s="1"/>
  <c r="A392" i="23"/>
  <c r="A392" i="124" s="1"/>
  <c r="A393" i="23"/>
  <c r="A393" i="124" s="1"/>
  <c r="A394" i="23"/>
  <c r="A394" i="124" s="1"/>
  <c r="A395" i="23"/>
  <c r="A395" i="124" s="1"/>
  <c r="A396" i="23"/>
  <c r="A396" i="124" s="1"/>
  <c r="A397" i="23"/>
  <c r="A397" i="124" s="1"/>
  <c r="A398" i="23"/>
  <c r="A398" i="124" s="1"/>
  <c r="A399" i="23"/>
  <c r="A399" i="124" s="1"/>
  <c r="A400" i="23"/>
  <c r="A400" i="124" s="1"/>
  <c r="A401" i="23"/>
  <c r="A401" i="124" s="1"/>
  <c r="A402" i="23"/>
  <c r="A402" i="124" s="1"/>
  <c r="A403" i="23"/>
  <c r="A403" i="124" s="1"/>
  <c r="A404" i="23"/>
  <c r="A404" i="124" s="1"/>
  <c r="A405" i="23"/>
  <c r="A405" i="124" s="1"/>
  <c r="A406" i="23"/>
  <c r="A406" i="124" s="1"/>
  <c r="A407" i="23"/>
  <c r="A407" i="124" s="1"/>
  <c r="A408" i="23"/>
  <c r="A408" i="124" s="1"/>
  <c r="A409" i="23"/>
  <c r="A409" i="124" s="1"/>
  <c r="A410" i="23"/>
  <c r="A410" i="124" s="1"/>
  <c r="A411" i="23"/>
  <c r="A411" i="124" s="1"/>
  <c r="A412" i="23"/>
  <c r="A412" i="124" s="1"/>
  <c r="A413" i="23"/>
  <c r="A413" i="124" s="1"/>
  <c r="A414" i="23"/>
  <c r="A414" i="124" s="1"/>
  <c r="A415" i="23"/>
  <c r="A415" i="124" s="1"/>
  <c r="A416" i="23"/>
  <c r="A416" i="124" s="1"/>
  <c r="A417" i="23"/>
  <c r="A417" i="124" s="1"/>
  <c r="A418" i="23"/>
  <c r="A418" i="124" s="1"/>
  <c r="A419" i="23"/>
  <c r="A419" i="124" s="1"/>
  <c r="A420" i="23"/>
  <c r="A420" i="124" s="1"/>
  <c r="A421" i="23"/>
  <c r="A421" i="124" s="1"/>
  <c r="A422" i="23"/>
  <c r="A422" i="124" s="1"/>
  <c r="A423" i="23"/>
  <c r="A423" i="124" s="1"/>
  <c r="A424" i="23"/>
  <c r="A424" i="124" s="1"/>
  <c r="A425" i="23"/>
  <c r="A425" i="124" s="1"/>
  <c r="A426" i="23"/>
  <c r="A426" i="124" s="1"/>
  <c r="A427" i="23"/>
  <c r="A427" i="124" s="1"/>
  <c r="A428" i="23"/>
  <c r="A428" i="124" s="1"/>
  <c r="A429" i="23"/>
  <c r="A429" i="124" s="1"/>
  <c r="A430" i="23"/>
  <c r="A430" i="124" s="1"/>
  <c r="A431" i="23"/>
  <c r="A431" i="124" s="1"/>
  <c r="A432" i="23"/>
  <c r="A432" i="124" s="1"/>
  <c r="A433" i="23"/>
  <c r="A433" i="124" s="1"/>
  <c r="A434" i="23"/>
  <c r="A434" i="124" s="1"/>
  <c r="A435" i="23"/>
  <c r="A435" i="124" s="1"/>
  <c r="A436" i="23"/>
  <c r="A436" i="124" s="1"/>
  <c r="A437" i="23"/>
  <c r="A437" i="124" s="1"/>
  <c r="A438" i="23"/>
  <c r="A438" i="124" s="1"/>
  <c r="A439" i="23"/>
  <c r="A439" i="124" s="1"/>
  <c r="A440" i="23"/>
  <c r="A440" i="124" s="1"/>
  <c r="A441" i="23"/>
  <c r="A441" i="124" s="1"/>
  <c r="A442" i="23"/>
  <c r="A442" i="124" s="1"/>
  <c r="A443" i="23"/>
  <c r="A443" i="124" s="1"/>
  <c r="A444" i="23"/>
  <c r="A444" i="124" s="1"/>
  <c r="A445" i="23"/>
  <c r="A445" i="124" s="1"/>
  <c r="A446" i="23"/>
  <c r="A446" i="124" s="1"/>
  <c r="A447" i="23"/>
  <c r="A447" i="124" s="1"/>
  <c r="A448" i="23"/>
  <c r="A448" i="124" s="1"/>
  <c r="A449" i="23"/>
  <c r="A449" i="124" s="1"/>
  <c r="A450" i="23"/>
  <c r="A450" i="124" s="1"/>
  <c r="A451" i="23"/>
  <c r="A451" i="124" s="1"/>
  <c r="A452" i="23"/>
  <c r="A452" i="124" s="1"/>
  <c r="A453" i="23"/>
  <c r="A453" i="124" s="1"/>
  <c r="A454" i="23"/>
  <c r="A454" i="124" s="1"/>
  <c r="A455" i="23"/>
  <c r="A455" i="124" s="1"/>
  <c r="A456" i="23"/>
  <c r="A456" i="124" s="1"/>
  <c r="A457" i="23"/>
  <c r="A457" i="124" s="1"/>
  <c r="A458" i="23"/>
  <c r="A458" i="124" s="1"/>
  <c r="A459" i="23"/>
  <c r="A459" i="124" s="1"/>
  <c r="A460" i="23"/>
  <c r="A460" i="124" s="1"/>
  <c r="A461" i="23"/>
  <c r="A461" i="124" s="1"/>
  <c r="A462" i="23"/>
  <c r="A462" i="124" s="1"/>
  <c r="A463" i="23"/>
  <c r="A463" i="124" s="1"/>
  <c r="A464" i="23"/>
  <c r="A464" i="124" s="1"/>
  <c r="A465" i="23"/>
  <c r="A465" i="124" s="1"/>
  <c r="A466" i="23"/>
  <c r="A466" i="124" s="1"/>
  <c r="A467" i="23"/>
  <c r="A467" i="124" s="1"/>
  <c r="A468" i="23"/>
  <c r="A468" i="124" s="1"/>
  <c r="A469" i="23"/>
  <c r="A469" i="124" s="1"/>
  <c r="A470" i="23"/>
  <c r="A470" i="124" s="1"/>
  <c r="A471" i="23"/>
  <c r="A471" i="124" s="1"/>
  <c r="A472" i="23"/>
  <c r="A472" i="124" s="1"/>
  <c r="A473" i="23"/>
  <c r="A473" i="124" s="1"/>
  <c r="A474" i="23"/>
  <c r="A474" i="124" s="1"/>
  <c r="A475" i="23"/>
  <c r="A475" i="124" s="1"/>
  <c r="A476" i="23"/>
  <c r="A476" i="124" s="1"/>
  <c r="A477" i="23"/>
  <c r="A477" i="124" s="1"/>
  <c r="A478" i="23"/>
  <c r="A478" i="124" s="1"/>
  <c r="A479" i="23"/>
  <c r="A479" i="124" s="1"/>
  <c r="A480" i="23"/>
  <c r="A480" i="124" s="1"/>
  <c r="A481" i="23"/>
  <c r="A481" i="124" s="1"/>
  <c r="A482" i="23"/>
  <c r="A482" i="124" s="1"/>
  <c r="A483" i="23"/>
  <c r="A483" i="124" s="1"/>
  <c r="A484" i="23"/>
  <c r="A484" i="124" s="1"/>
  <c r="A485" i="23"/>
  <c r="A485" i="124" s="1"/>
  <c r="A486" i="23"/>
  <c r="A486" i="124" s="1"/>
  <c r="A487" i="23"/>
  <c r="A487" i="124" s="1"/>
  <c r="A488" i="23"/>
  <c r="A488" i="124" s="1"/>
  <c r="A489" i="23"/>
  <c r="A489" i="124" s="1"/>
  <c r="A490" i="23"/>
  <c r="A490" i="124" s="1"/>
  <c r="A491" i="23"/>
  <c r="A491" i="124" s="1"/>
  <c r="A492" i="23"/>
  <c r="A492" i="124" s="1"/>
  <c r="A493" i="23"/>
  <c r="A493" i="124" s="1"/>
  <c r="A494" i="23"/>
  <c r="A494" i="124" s="1"/>
  <c r="A495" i="23"/>
  <c r="A495" i="124" s="1"/>
  <c r="A496" i="23"/>
  <c r="A496" i="124" s="1"/>
  <c r="A497" i="23"/>
  <c r="A497" i="124" s="1"/>
  <c r="A498" i="23"/>
  <c r="A498" i="124" s="1"/>
  <c r="A499" i="23"/>
  <c r="A499" i="124" s="1"/>
  <c r="A500" i="23"/>
  <c r="A500" i="124" s="1"/>
  <c r="A501" i="23"/>
  <c r="A501" i="124" s="1"/>
  <c r="A502" i="23"/>
  <c r="A502" i="124" s="1"/>
  <c r="A503" i="23"/>
  <c r="A503" i="124" s="1"/>
  <c r="A504" i="23"/>
  <c r="A504" i="124" s="1"/>
  <c r="A505" i="23"/>
  <c r="A505" i="124" s="1"/>
  <c r="A506" i="23"/>
  <c r="A506" i="124" s="1"/>
  <c r="A507" i="23"/>
  <c r="A507" i="124" s="1"/>
  <c r="A508" i="23"/>
  <c r="A508" i="124" s="1"/>
  <c r="A509" i="23"/>
  <c r="A509" i="124" s="1"/>
  <c r="A510" i="23"/>
  <c r="A510" i="124" s="1"/>
  <c r="A511" i="23"/>
  <c r="A511" i="124" s="1"/>
  <c r="A512" i="23"/>
  <c r="A512" i="124" s="1"/>
  <c r="A513" i="23"/>
  <c r="A513" i="124" s="1"/>
  <c r="A514" i="23"/>
  <c r="A514" i="124" s="1"/>
  <c r="A515" i="23"/>
  <c r="A515" i="124" s="1"/>
  <c r="A516" i="23"/>
  <c r="A516" i="124" s="1"/>
  <c r="A517" i="23"/>
  <c r="A517" i="124" s="1"/>
  <c r="A518" i="23"/>
  <c r="A518" i="124" s="1"/>
  <c r="A519" i="23"/>
  <c r="A519" i="124" s="1"/>
  <c r="A520" i="23"/>
  <c r="A520" i="124" s="1"/>
  <c r="A521" i="23"/>
  <c r="A521" i="124" s="1"/>
  <c r="A522" i="23"/>
  <c r="A522" i="124" s="1"/>
  <c r="A523" i="23"/>
  <c r="A523" i="124" s="1"/>
  <c r="A524" i="23"/>
  <c r="A524" i="124" s="1"/>
  <c r="A525" i="23"/>
  <c r="A525" i="124" s="1"/>
  <c r="A526" i="23"/>
  <c r="A526" i="124" s="1"/>
  <c r="A527" i="23"/>
  <c r="A527" i="124" s="1"/>
  <c r="A528" i="23"/>
  <c r="A528" i="124" s="1"/>
  <c r="A529" i="23"/>
  <c r="A529" i="124" s="1"/>
  <c r="A530" i="23"/>
  <c r="A530" i="124" s="1"/>
  <c r="A531" i="23"/>
  <c r="A531" i="124" s="1"/>
  <c r="A532" i="23"/>
  <c r="A532" i="124" s="1"/>
  <c r="A533" i="23"/>
  <c r="A533" i="124" s="1"/>
  <c r="A534" i="23"/>
  <c r="A534" i="124" s="1"/>
  <c r="A535" i="23"/>
  <c r="A535" i="124" s="1"/>
  <c r="A536" i="23"/>
  <c r="A536" i="124" s="1"/>
  <c r="A537" i="23"/>
  <c r="A537" i="124" s="1"/>
  <c r="A538" i="23"/>
  <c r="A538" i="124" s="1"/>
  <c r="A539" i="23"/>
  <c r="A539" i="124" s="1"/>
  <c r="A540" i="23"/>
  <c r="A540" i="124" s="1"/>
  <c r="A541" i="23"/>
  <c r="A541" i="124" s="1"/>
  <c r="A542" i="23"/>
  <c r="A542" i="124" s="1"/>
  <c r="A543" i="23"/>
  <c r="A543" i="124" s="1"/>
  <c r="A544" i="23"/>
  <c r="A544" i="124" s="1"/>
  <c r="A545" i="23"/>
  <c r="A545" i="124" s="1"/>
  <c r="A546" i="23"/>
  <c r="A546" i="124" s="1"/>
  <c r="A547" i="23"/>
  <c r="A547" i="124" s="1"/>
  <c r="A548" i="23"/>
  <c r="A548" i="124" s="1"/>
  <c r="A549" i="23"/>
  <c r="A549" i="124" s="1"/>
  <c r="A550" i="23"/>
  <c r="A550" i="124" s="1"/>
  <c r="A551" i="23"/>
  <c r="A551" i="124" s="1"/>
  <c r="A552" i="23"/>
  <c r="A552" i="124" s="1"/>
  <c r="A553" i="23"/>
  <c r="A553" i="124" s="1"/>
  <c r="A554" i="23"/>
  <c r="A554" i="124" s="1"/>
  <c r="A555" i="23"/>
  <c r="A555" i="124" s="1"/>
  <c r="A556" i="23"/>
  <c r="A556" i="124" s="1"/>
  <c r="A557" i="23"/>
  <c r="A557" i="124" s="1"/>
  <c r="A558" i="23"/>
  <c r="A558" i="124" s="1"/>
  <c r="A559" i="23"/>
  <c r="A559" i="124" s="1"/>
  <c r="A560" i="23"/>
  <c r="A560" i="124" s="1"/>
  <c r="A561" i="23"/>
  <c r="A561" i="124" s="1"/>
  <c r="A562" i="23"/>
  <c r="A562" i="124" s="1"/>
  <c r="A563" i="23"/>
  <c r="A563" i="124" s="1"/>
  <c r="A564" i="23"/>
  <c r="A564" i="124" s="1"/>
  <c r="A565" i="23"/>
  <c r="A565" i="124" s="1"/>
  <c r="A566" i="23"/>
  <c r="A566" i="124" s="1"/>
  <c r="A567" i="23"/>
  <c r="A567" i="124" s="1"/>
  <c r="A568" i="23"/>
  <c r="A568" i="124" s="1"/>
  <c r="A569" i="23"/>
  <c r="A569" i="124" s="1"/>
  <c r="A570" i="23"/>
  <c r="A570" i="124" s="1"/>
  <c r="A571" i="23"/>
  <c r="A571" i="124" s="1"/>
  <c r="A572" i="23"/>
  <c r="A572" i="124" s="1"/>
  <c r="A573" i="23"/>
  <c r="A573" i="124" s="1"/>
  <c r="A574" i="23"/>
  <c r="A574" i="124" s="1"/>
  <c r="A575" i="23"/>
  <c r="A575" i="124" s="1"/>
  <c r="A576" i="23"/>
  <c r="A576" i="124" s="1"/>
  <c r="A577" i="23"/>
  <c r="A577" i="124" s="1"/>
  <c r="A578" i="23"/>
  <c r="A578" i="124" s="1"/>
  <c r="A579" i="23"/>
  <c r="A579" i="124" s="1"/>
  <c r="A580" i="23"/>
  <c r="A580" i="124" s="1"/>
  <c r="A581" i="23"/>
  <c r="A581" i="124" s="1"/>
  <c r="A582" i="23"/>
  <c r="A582" i="124" s="1"/>
  <c r="A583" i="23"/>
  <c r="A583" i="124" s="1"/>
  <c r="A584" i="23"/>
  <c r="A584" i="124" s="1"/>
  <c r="A585" i="23"/>
  <c r="A585" i="124" s="1"/>
  <c r="A586" i="23"/>
  <c r="A586" i="124" s="1"/>
  <c r="A587" i="23"/>
  <c r="A587" i="124" s="1"/>
  <c r="A588" i="23"/>
  <c r="A588" i="124" s="1"/>
  <c r="D253" i="80"/>
  <c r="D79" i="80"/>
  <c r="D119" i="80"/>
  <c r="D214" i="80"/>
  <c r="D155" i="80"/>
  <c r="D49" i="80"/>
  <c r="A585" i="123" l="1"/>
  <c r="A579" i="123"/>
  <c r="A573" i="123"/>
  <c r="A567" i="123"/>
  <c r="A561" i="123"/>
  <c r="A555" i="123"/>
  <c r="A549" i="123"/>
  <c r="A543" i="123"/>
  <c r="A537" i="123"/>
  <c r="A531" i="123"/>
  <c r="A525" i="123"/>
  <c r="A519" i="123"/>
  <c r="A513" i="123"/>
  <c r="A507" i="123"/>
  <c r="A501" i="123"/>
  <c r="A495" i="123"/>
  <c r="A489" i="123"/>
  <c r="A483" i="123"/>
  <c r="A477" i="123"/>
  <c r="A471" i="123"/>
  <c r="A465" i="123"/>
  <c r="A459" i="123"/>
  <c r="A453" i="123"/>
  <c r="A447" i="123"/>
  <c r="A441" i="123"/>
  <c r="A435" i="123"/>
  <c r="A429" i="123"/>
  <c r="A423" i="123"/>
  <c r="A417" i="123"/>
  <c r="A411" i="123"/>
  <c r="A405" i="123"/>
  <c r="A399" i="123"/>
  <c r="A393" i="123"/>
  <c r="A387" i="123"/>
  <c r="A381" i="123"/>
  <c r="A375" i="123"/>
  <c r="A369" i="123"/>
  <c r="A363" i="123"/>
  <c r="A357" i="123"/>
  <c r="A351" i="123"/>
  <c r="A345" i="123"/>
  <c r="A339" i="123"/>
  <c r="A333" i="123"/>
  <c r="A327" i="123"/>
  <c r="A321" i="123"/>
  <c r="A315" i="123"/>
  <c r="A309" i="123"/>
  <c r="A303" i="123"/>
  <c r="A297" i="123"/>
  <c r="A291" i="123"/>
  <c r="A584" i="123"/>
  <c r="A578" i="123"/>
  <c r="A572" i="123"/>
  <c r="A566" i="123"/>
  <c r="A560" i="123"/>
  <c r="A554" i="123"/>
  <c r="A548" i="123"/>
  <c r="A542" i="123"/>
  <c r="A536" i="123"/>
  <c r="A530" i="123"/>
  <c r="A524" i="123"/>
  <c r="A518" i="123"/>
  <c r="A512" i="123"/>
  <c r="A506" i="123"/>
  <c r="A500" i="123"/>
  <c r="A494" i="123"/>
  <c r="A488" i="123"/>
  <c r="A482" i="123"/>
  <c r="A476" i="123"/>
  <c r="A470" i="123"/>
  <c r="A464" i="123"/>
  <c r="A458" i="123"/>
  <c r="A452" i="123"/>
  <c r="A446" i="123"/>
  <c r="A440" i="123"/>
  <c r="A434" i="123"/>
  <c r="A428" i="123"/>
  <c r="A422" i="123"/>
  <c r="A416" i="123"/>
  <c r="A410" i="123"/>
  <c r="A404" i="123"/>
  <c r="A398" i="123"/>
  <c r="A392" i="123"/>
  <c r="A386" i="123"/>
  <c r="A380" i="123"/>
  <c r="A374" i="123"/>
  <c r="A368" i="123"/>
  <c r="A362" i="123"/>
  <c r="A356" i="123"/>
  <c r="A350" i="123"/>
  <c r="A344" i="123"/>
  <c r="A338" i="123"/>
  <c r="A332" i="123"/>
  <c r="A326" i="123"/>
  <c r="A320" i="123"/>
  <c r="A314" i="123"/>
  <c r="A308" i="123"/>
  <c r="A302" i="123"/>
  <c r="A296" i="123"/>
  <c r="A583" i="123"/>
  <c r="A577" i="123"/>
  <c r="A571" i="123"/>
  <c r="A565" i="123"/>
  <c r="A559" i="123"/>
  <c r="A553" i="123"/>
  <c r="A547" i="123"/>
  <c r="A541" i="123"/>
  <c r="A535" i="123"/>
  <c r="A529" i="123"/>
  <c r="A523" i="123"/>
  <c r="A517" i="123"/>
  <c r="A511" i="123"/>
  <c r="A505" i="123"/>
  <c r="A499" i="123"/>
  <c r="A493" i="123"/>
  <c r="A487" i="123"/>
  <c r="A481" i="123"/>
  <c r="A475" i="123"/>
  <c r="A469" i="123"/>
  <c r="A463" i="123"/>
  <c r="A457" i="123"/>
  <c r="A451" i="123"/>
  <c r="A445" i="123"/>
  <c r="A439" i="123"/>
  <c r="A433" i="123"/>
  <c r="A427" i="123"/>
  <c r="A421" i="123"/>
  <c r="A415" i="123"/>
  <c r="A409" i="123"/>
  <c r="A403" i="123"/>
  <c r="A397" i="123"/>
  <c r="A391" i="123"/>
  <c r="A385" i="123"/>
  <c r="A379" i="123"/>
  <c r="A373" i="123"/>
  <c r="A367" i="123"/>
  <c r="A361" i="123"/>
  <c r="A355" i="123"/>
  <c r="A349" i="123"/>
  <c r="A343" i="123"/>
  <c r="A337" i="123"/>
  <c r="A331" i="123"/>
  <c r="A325" i="123"/>
  <c r="A319" i="123"/>
  <c r="A313" i="123"/>
  <c r="A307" i="123"/>
  <c r="A301" i="123"/>
  <c r="A295" i="123"/>
  <c r="A588" i="123"/>
  <c r="A582" i="123"/>
  <c r="A576" i="123"/>
  <c r="A570" i="123"/>
  <c r="A564" i="123"/>
  <c r="A558" i="123"/>
  <c r="A552" i="123"/>
  <c r="A546" i="123"/>
  <c r="A540" i="123"/>
  <c r="A534" i="123"/>
  <c r="A528" i="123"/>
  <c r="A522" i="123"/>
  <c r="A516" i="123"/>
  <c r="A510" i="123"/>
  <c r="A504" i="123"/>
  <c r="A498" i="123"/>
  <c r="A492" i="123"/>
  <c r="A486" i="123"/>
  <c r="A480" i="123"/>
  <c r="A474" i="123"/>
  <c r="A468" i="123"/>
  <c r="A462" i="123"/>
  <c r="A456" i="123"/>
  <c r="A450" i="123"/>
  <c r="A444" i="123"/>
  <c r="A438" i="123"/>
  <c r="A432" i="123"/>
  <c r="A426" i="123"/>
  <c r="A420" i="123"/>
  <c r="A414" i="123"/>
  <c r="A408" i="123"/>
  <c r="A402" i="123"/>
  <c r="A396" i="123"/>
  <c r="A390" i="123"/>
  <c r="A384" i="123"/>
  <c r="A378" i="123"/>
  <c r="A372" i="123"/>
  <c r="A366" i="123"/>
  <c r="A360" i="123"/>
  <c r="A354" i="123"/>
  <c r="A348" i="123"/>
  <c r="A342" i="123"/>
  <c r="A336" i="123"/>
  <c r="A330" i="123"/>
  <c r="A324" i="123"/>
  <c r="A318" i="123"/>
  <c r="A312" i="123"/>
  <c r="A306" i="123"/>
  <c r="A300" i="123"/>
  <c r="A294" i="123"/>
  <c r="A587" i="123"/>
  <c r="A581" i="123"/>
  <c r="A575" i="123"/>
  <c r="A569" i="123"/>
  <c r="A563" i="123"/>
  <c r="A557" i="123"/>
  <c r="A551" i="123"/>
  <c r="A545" i="123"/>
  <c r="A539" i="123"/>
  <c r="A533" i="123"/>
  <c r="A527" i="123"/>
  <c r="A521" i="123"/>
  <c r="A515" i="123"/>
  <c r="A509" i="123"/>
  <c r="A503" i="123"/>
  <c r="A497" i="123"/>
  <c r="A491" i="123"/>
  <c r="A485" i="123"/>
  <c r="A479" i="123"/>
  <c r="A473" i="123"/>
  <c r="A467" i="123"/>
  <c r="A461" i="123"/>
  <c r="A455" i="123"/>
  <c r="A449" i="123"/>
  <c r="A443" i="123"/>
  <c r="A437" i="123"/>
  <c r="A431" i="123"/>
  <c r="A425" i="123"/>
  <c r="A419" i="123"/>
  <c r="A413" i="123"/>
  <c r="A407" i="123"/>
  <c r="A401" i="123"/>
  <c r="A395" i="123"/>
  <c r="A389" i="123"/>
  <c r="A383" i="123"/>
  <c r="A377" i="123"/>
  <c r="A371" i="123"/>
  <c r="A365" i="123"/>
  <c r="A359" i="123"/>
  <c r="A353" i="123"/>
  <c r="A347" i="123"/>
  <c r="A341" i="123"/>
  <c r="A335" i="123"/>
  <c r="A329" i="123"/>
  <c r="A323" i="123"/>
  <c r="A317" i="123"/>
  <c r="A311" i="123"/>
  <c r="A305" i="123"/>
  <c r="A299" i="123"/>
  <c r="A293" i="123"/>
  <c r="A586" i="123"/>
  <c r="A580" i="123"/>
  <c r="A574" i="123"/>
  <c r="A568" i="123"/>
  <c r="A562" i="123"/>
  <c r="A556" i="123"/>
  <c r="A550" i="123"/>
  <c r="A544" i="123"/>
  <c r="A538" i="123"/>
  <c r="A532" i="123"/>
  <c r="A526" i="123"/>
  <c r="A520" i="123"/>
  <c r="A514" i="123"/>
  <c r="A508" i="123"/>
  <c r="A502" i="123"/>
  <c r="A496" i="123"/>
  <c r="A490" i="123"/>
  <c r="A484" i="123"/>
  <c r="A478" i="123"/>
  <c r="A472" i="123"/>
  <c r="A466" i="123"/>
  <c r="A460" i="123"/>
  <c r="A454" i="123"/>
  <c r="A448" i="123"/>
  <c r="A442" i="123"/>
  <c r="A436" i="123"/>
  <c r="A430" i="123"/>
  <c r="A424" i="123"/>
  <c r="A418" i="123"/>
  <c r="A412" i="123"/>
  <c r="A406" i="123"/>
  <c r="A400" i="123"/>
  <c r="A394" i="123"/>
  <c r="A388" i="123"/>
  <c r="A382" i="123"/>
  <c r="A376" i="123"/>
  <c r="A370" i="123"/>
  <c r="A364" i="123"/>
  <c r="A358" i="123"/>
  <c r="A352" i="123"/>
  <c r="A346" i="123"/>
  <c r="A340" i="123"/>
  <c r="A334" i="123"/>
  <c r="A328" i="123"/>
  <c r="A322" i="123"/>
  <c r="A316" i="123"/>
  <c r="A310" i="123"/>
  <c r="A304" i="123"/>
  <c r="A298" i="123"/>
  <c r="A292" i="123"/>
  <c r="A285" i="123"/>
  <c r="A279" i="123"/>
  <c r="A273" i="123"/>
  <c r="A267" i="123"/>
  <c r="A261" i="123"/>
  <c r="A255" i="123"/>
  <c r="A249" i="123"/>
  <c r="A243" i="123"/>
  <c r="A237" i="123"/>
  <c r="A231" i="123"/>
  <c r="A225" i="123"/>
  <c r="A219" i="123"/>
  <c r="A213" i="123"/>
  <c r="A207" i="123"/>
  <c r="A201" i="123"/>
  <c r="A195" i="123"/>
  <c r="A189" i="123"/>
  <c r="A183" i="123"/>
  <c r="A177" i="123"/>
  <c r="A171" i="123"/>
  <c r="A165" i="123"/>
  <c r="A159" i="123"/>
  <c r="A153" i="123"/>
  <c r="A147" i="123"/>
  <c r="A141" i="123"/>
  <c r="A135" i="123"/>
  <c r="A129" i="123"/>
  <c r="A123" i="123"/>
  <c r="A117" i="123"/>
  <c r="A111" i="123"/>
  <c r="A105" i="123"/>
  <c r="A99" i="123"/>
  <c r="A93" i="123"/>
  <c r="A87" i="123"/>
  <c r="A81" i="123"/>
  <c r="A75" i="123"/>
  <c r="A69" i="123"/>
  <c r="A63" i="123"/>
  <c r="A57" i="123"/>
  <c r="A51" i="123"/>
  <c r="A45" i="123"/>
  <c r="A39" i="123"/>
  <c r="A33" i="123"/>
  <c r="A27" i="123"/>
  <c r="A21" i="123"/>
  <c r="A15" i="123"/>
  <c r="A9" i="123"/>
  <c r="A290" i="123"/>
  <c r="A284" i="123"/>
  <c r="A278" i="123"/>
  <c r="A272" i="123"/>
  <c r="A266" i="123"/>
  <c r="A260" i="123"/>
  <c r="A254" i="123"/>
  <c r="A248" i="123"/>
  <c r="A242" i="123"/>
  <c r="A236" i="123"/>
  <c r="A230" i="123"/>
  <c r="A224" i="123"/>
  <c r="A218" i="123"/>
  <c r="A212" i="123"/>
  <c r="A206" i="123"/>
  <c r="A200" i="123"/>
  <c r="A194" i="123"/>
  <c r="A188" i="123"/>
  <c r="A182" i="123"/>
  <c r="A176" i="123"/>
  <c r="A170" i="123"/>
  <c r="A164" i="123"/>
  <c r="A158" i="123"/>
  <c r="A152" i="123"/>
  <c r="A146" i="123"/>
  <c r="A140" i="123"/>
  <c r="A134" i="123"/>
  <c r="A128" i="123"/>
  <c r="A122" i="123"/>
  <c r="A116" i="123"/>
  <c r="A110" i="123"/>
  <c r="A104" i="123"/>
  <c r="A98" i="123"/>
  <c r="A92" i="123"/>
  <c r="A86" i="123"/>
  <c r="A80" i="123"/>
  <c r="A74" i="123"/>
  <c r="A68" i="123"/>
  <c r="A62" i="123"/>
  <c r="A56" i="123"/>
  <c r="A50" i="123"/>
  <c r="A44" i="123"/>
  <c r="A38" i="123"/>
  <c r="A32" i="123"/>
  <c r="A26" i="123"/>
  <c r="A20" i="123"/>
  <c r="A14" i="123"/>
  <c r="A8" i="123"/>
  <c r="A289" i="123"/>
  <c r="A283" i="123"/>
  <c r="A277" i="123"/>
  <c r="A271" i="123"/>
  <c r="A265" i="123"/>
  <c r="A259" i="123"/>
  <c r="A253" i="123"/>
  <c r="A247" i="123"/>
  <c r="A241" i="123"/>
  <c r="A235" i="123"/>
  <c r="A229" i="123"/>
  <c r="A223" i="123"/>
  <c r="A217" i="123"/>
  <c r="A211" i="123"/>
  <c r="A205" i="123"/>
  <c r="A199" i="123"/>
  <c r="A193" i="123"/>
  <c r="A187" i="123"/>
  <c r="A181" i="123"/>
  <c r="A175" i="123"/>
  <c r="A169" i="123"/>
  <c r="A163" i="123"/>
  <c r="A157" i="123"/>
  <c r="A151" i="123"/>
  <c r="A145" i="123"/>
  <c r="A139" i="123"/>
  <c r="A133" i="123"/>
  <c r="A127" i="123"/>
  <c r="A121" i="123"/>
  <c r="A115" i="123"/>
  <c r="A109" i="123"/>
  <c r="A103" i="123"/>
  <c r="A97" i="123"/>
  <c r="A91" i="123"/>
  <c r="A85" i="123"/>
  <c r="A79" i="123"/>
  <c r="A73" i="123"/>
  <c r="A67" i="123"/>
  <c r="A61" i="123"/>
  <c r="A55" i="123"/>
  <c r="A49" i="123"/>
  <c r="A43" i="123"/>
  <c r="A37" i="123"/>
  <c r="A31" i="123"/>
  <c r="A25" i="123"/>
  <c r="A19" i="123"/>
  <c r="A13" i="123"/>
  <c r="A7" i="123"/>
  <c r="A288" i="123"/>
  <c r="A282" i="123"/>
  <c r="A276" i="123"/>
  <c r="A270" i="123"/>
  <c r="A264" i="123"/>
  <c r="A258" i="123"/>
  <c r="A252" i="123"/>
  <c r="A246" i="123"/>
  <c r="A240" i="123"/>
  <c r="A234" i="123"/>
  <c r="A228" i="123"/>
  <c r="A222" i="123"/>
  <c r="A216" i="123"/>
  <c r="A210" i="123"/>
  <c r="A204" i="123"/>
  <c r="A198" i="123"/>
  <c r="A192" i="123"/>
  <c r="A186" i="123"/>
  <c r="A180" i="123"/>
  <c r="A174" i="123"/>
  <c r="A168" i="123"/>
  <c r="A162" i="123"/>
  <c r="A156" i="123"/>
  <c r="A150" i="123"/>
  <c r="A144" i="123"/>
  <c r="A138" i="123"/>
  <c r="A132" i="123"/>
  <c r="A126" i="123"/>
  <c r="A120" i="123"/>
  <c r="A114" i="123"/>
  <c r="A108" i="123"/>
  <c r="A102" i="123"/>
  <c r="A96" i="123"/>
  <c r="A90" i="123"/>
  <c r="A84" i="123"/>
  <c r="A78" i="123"/>
  <c r="A72" i="123"/>
  <c r="A66" i="123"/>
  <c r="A60" i="123"/>
  <c r="A54" i="123"/>
  <c r="A48" i="123"/>
  <c r="A42" i="123"/>
  <c r="A36" i="123"/>
  <c r="A30" i="123"/>
  <c r="A24" i="123"/>
  <c r="A18" i="123"/>
  <c r="A12" i="123"/>
  <c r="A6" i="123"/>
  <c r="A287" i="123"/>
  <c r="A281" i="123"/>
  <c r="A275" i="123"/>
  <c r="A269" i="123"/>
  <c r="A263" i="123"/>
  <c r="A257" i="123"/>
  <c r="A251" i="123"/>
  <c r="A245" i="123"/>
  <c r="A239" i="123"/>
  <c r="A233" i="123"/>
  <c r="A227" i="123"/>
  <c r="A221" i="123"/>
  <c r="A215" i="123"/>
  <c r="A209" i="123"/>
  <c r="A203" i="123"/>
  <c r="A197" i="123"/>
  <c r="A191" i="123"/>
  <c r="A185" i="123"/>
  <c r="A179" i="123"/>
  <c r="A173" i="123"/>
  <c r="A167" i="123"/>
  <c r="A161" i="123"/>
  <c r="A155" i="123"/>
  <c r="A149" i="123"/>
  <c r="A143" i="123"/>
  <c r="A137" i="123"/>
  <c r="A131" i="123"/>
  <c r="A125" i="123"/>
  <c r="A119" i="123"/>
  <c r="A113" i="123"/>
  <c r="A107" i="123"/>
  <c r="A101" i="123"/>
  <c r="A95" i="123"/>
  <c r="A89" i="123"/>
  <c r="A83" i="123"/>
  <c r="A77" i="123"/>
  <c r="A71" i="123"/>
  <c r="A65" i="123"/>
  <c r="A59" i="123"/>
  <c r="A53" i="123"/>
  <c r="A47" i="123"/>
  <c r="A41" i="123"/>
  <c r="A35" i="123"/>
  <c r="A29" i="123"/>
  <c r="A23" i="123"/>
  <c r="A17" i="123"/>
  <c r="A11" i="123"/>
  <c r="A5" i="123"/>
  <c r="A286" i="123"/>
  <c r="A280" i="123"/>
  <c r="A274" i="123"/>
  <c r="A268" i="123"/>
  <c r="A262" i="123"/>
  <c r="A256" i="123"/>
  <c r="A250" i="123"/>
  <c r="A244" i="123"/>
  <c r="A238" i="123"/>
  <c r="A232" i="123"/>
  <c r="A226" i="123"/>
  <c r="A220" i="123"/>
  <c r="A214" i="123"/>
  <c r="A208" i="123"/>
  <c r="A202" i="123"/>
  <c r="A196" i="123"/>
  <c r="A190" i="123"/>
  <c r="A184" i="123"/>
  <c r="A178" i="123"/>
  <c r="A172" i="123"/>
  <c r="A166" i="123"/>
  <c r="A160" i="123"/>
  <c r="A154" i="123"/>
  <c r="A148" i="123"/>
  <c r="A142" i="123"/>
  <c r="A136" i="123"/>
  <c r="A130" i="123"/>
  <c r="A124" i="123"/>
  <c r="A118" i="123"/>
  <c r="A112" i="123"/>
  <c r="A106" i="123"/>
  <c r="A100" i="123"/>
  <c r="A94" i="123"/>
  <c r="A88" i="123"/>
  <c r="A82" i="123"/>
  <c r="A76" i="123"/>
  <c r="A70" i="123"/>
  <c r="A64" i="123"/>
  <c r="A58" i="123"/>
  <c r="A52" i="123"/>
  <c r="A46" i="123"/>
  <c r="A40" i="123"/>
  <c r="A34" i="123"/>
  <c r="A28" i="123"/>
  <c r="A22" i="123"/>
  <c r="A16" i="123"/>
  <c r="A10" i="123"/>
  <c r="A4" i="123"/>
  <c r="AL284" i="23"/>
  <c r="AL278" i="23"/>
  <c r="AL272" i="23"/>
  <c r="AL266" i="23"/>
  <c r="AL260" i="23"/>
  <c r="AL254" i="23"/>
  <c r="AL248" i="23"/>
  <c r="AL242" i="23"/>
  <c r="AL236" i="23"/>
  <c r="AL230" i="23"/>
  <c r="AL224" i="23"/>
  <c r="AL218" i="23"/>
  <c r="AL212" i="23"/>
  <c r="AL206" i="23"/>
  <c r="AL200" i="23"/>
  <c r="AL194" i="23"/>
  <c r="AL188" i="23"/>
  <c r="AL182" i="23"/>
  <c r="AL176" i="23"/>
  <c r="AL170" i="23"/>
  <c r="AL164" i="23"/>
  <c r="AL158" i="23"/>
  <c r="AL152" i="23"/>
  <c r="AL146" i="23"/>
  <c r="AL140" i="23"/>
  <c r="AL134" i="23"/>
  <c r="AL128" i="23"/>
  <c r="AL122" i="23"/>
  <c r="AL116" i="23"/>
  <c r="AL110" i="23"/>
  <c r="AL104" i="23"/>
  <c r="AL98" i="23"/>
  <c r="AL92" i="23"/>
  <c r="AL86" i="23"/>
  <c r="AL80" i="23"/>
  <c r="AL74" i="23"/>
  <c r="AL68" i="23"/>
  <c r="AL62" i="23"/>
  <c r="AL56" i="23"/>
  <c r="AL50" i="23"/>
  <c r="AL44" i="23"/>
  <c r="AL38" i="23"/>
  <c r="AL32" i="23"/>
  <c r="AL26" i="23"/>
  <c r="AL20" i="23"/>
  <c r="AL14" i="23"/>
  <c r="AL8" i="23"/>
  <c r="AL283" i="23"/>
  <c r="AL277" i="23"/>
  <c r="AL271" i="23"/>
  <c r="AL265" i="23"/>
  <c r="AL259" i="23"/>
  <c r="AL253" i="23"/>
  <c r="AL247" i="23"/>
  <c r="AL241" i="23"/>
  <c r="AL235" i="23"/>
  <c r="AL229" i="23"/>
  <c r="AL223" i="23"/>
  <c r="AL217" i="23"/>
  <c r="AL211" i="23"/>
  <c r="AL205" i="23"/>
  <c r="AL199" i="23"/>
  <c r="AL193" i="23"/>
  <c r="AL187" i="23"/>
  <c r="AL181" i="23"/>
  <c r="AL175" i="23"/>
  <c r="AL169" i="23"/>
  <c r="AL163" i="23"/>
  <c r="AL157" i="23"/>
  <c r="AL151" i="23"/>
  <c r="AL145" i="23"/>
  <c r="AL139" i="23"/>
  <c r="AL133" i="23"/>
  <c r="AL127" i="23"/>
  <c r="AL121" i="23"/>
  <c r="AL115" i="23"/>
  <c r="AL109" i="23"/>
  <c r="AL103" i="23"/>
  <c r="AL97" i="23"/>
  <c r="AL91" i="23"/>
  <c r="AL85" i="23"/>
  <c r="AL79" i="23"/>
  <c r="AL73" i="23"/>
  <c r="AL67" i="23"/>
  <c r="AL61" i="23"/>
  <c r="AL55" i="23"/>
  <c r="AL49" i="23"/>
  <c r="AL43" i="23"/>
  <c r="AL37" i="23"/>
  <c r="AL31" i="23"/>
  <c r="AL25" i="23"/>
  <c r="AL19" i="23"/>
  <c r="AL13" i="23"/>
  <c r="AL7" i="23"/>
  <c r="AL282" i="23"/>
  <c r="AL276" i="23"/>
  <c r="AL270" i="23"/>
  <c r="AL264" i="23"/>
  <c r="AL258" i="23"/>
  <c r="AL252" i="23"/>
  <c r="AL246" i="23"/>
  <c r="AL240" i="23"/>
  <c r="AL234" i="23"/>
  <c r="AL228" i="23"/>
  <c r="AL222" i="23"/>
  <c r="AL216" i="23"/>
  <c r="AL210" i="23"/>
  <c r="AL204" i="23"/>
  <c r="AL198" i="23"/>
  <c r="AL192" i="23"/>
  <c r="AL186" i="23"/>
  <c r="AL180" i="23"/>
  <c r="AL174" i="23"/>
  <c r="AL168" i="23"/>
  <c r="AL162" i="23"/>
  <c r="AL156" i="23"/>
  <c r="AL150" i="23"/>
  <c r="AL144" i="23"/>
  <c r="AL138" i="23"/>
  <c r="AL132" i="23"/>
  <c r="AL126" i="23"/>
  <c r="AL120" i="23"/>
  <c r="AL114" i="23"/>
  <c r="AL108" i="23"/>
  <c r="AL102" i="23"/>
  <c r="AL96" i="23"/>
  <c r="AL90" i="23"/>
  <c r="AL84" i="23"/>
  <c r="AL78" i="23"/>
  <c r="AL72" i="23"/>
  <c r="AL66" i="23"/>
  <c r="AL60" i="23"/>
  <c r="AL54" i="23"/>
  <c r="AL48" i="23"/>
  <c r="AL42" i="23"/>
  <c r="AL36" i="23"/>
  <c r="AL30" i="23"/>
  <c r="AL24" i="23"/>
  <c r="AL18" i="23"/>
  <c r="AL12" i="23"/>
  <c r="AL6" i="23"/>
  <c r="AL281" i="23"/>
  <c r="AL275" i="23"/>
  <c r="AL269" i="23"/>
  <c r="AL263" i="23"/>
  <c r="AL257" i="23"/>
  <c r="AL251" i="23"/>
  <c r="AL245" i="23"/>
  <c r="AL239" i="23"/>
  <c r="AL233" i="23"/>
  <c r="AL227" i="23"/>
  <c r="AL221" i="23"/>
  <c r="AL215" i="23"/>
  <c r="AL209" i="23"/>
  <c r="AL203" i="23"/>
  <c r="AL197" i="23"/>
  <c r="AL191" i="23"/>
  <c r="AL185" i="23"/>
  <c r="AL179" i="23"/>
  <c r="AL173" i="23"/>
  <c r="AL167" i="23"/>
  <c r="AL161" i="23"/>
  <c r="AL155" i="23"/>
  <c r="AL149" i="23"/>
  <c r="AL143" i="23"/>
  <c r="AL137" i="23"/>
  <c r="AL131" i="23"/>
  <c r="AL125" i="23"/>
  <c r="AL119" i="23"/>
  <c r="AL113" i="23"/>
  <c r="AL107" i="23"/>
  <c r="AL101" i="23"/>
  <c r="AL95" i="23"/>
  <c r="AL89" i="23"/>
  <c r="AL83" i="23"/>
  <c r="AL77" i="23"/>
  <c r="AL71" i="23"/>
  <c r="AL65" i="23"/>
  <c r="AL59" i="23"/>
  <c r="AL53" i="23"/>
  <c r="AL47" i="23"/>
  <c r="AL41" i="23"/>
  <c r="AL35" i="23"/>
  <c r="AL29" i="23"/>
  <c r="AL23" i="23"/>
  <c r="AL17" i="23"/>
  <c r="AL11" i="23"/>
  <c r="AL5" i="23"/>
  <c r="AL280" i="23"/>
  <c r="AL274" i="23"/>
  <c r="AL268" i="23"/>
  <c r="AL262" i="23"/>
  <c r="AL256" i="23"/>
  <c r="AL250" i="23"/>
  <c r="AL244" i="23"/>
  <c r="AL238" i="23"/>
  <c r="AL232" i="23"/>
  <c r="AL226" i="23"/>
  <c r="AL220" i="23"/>
  <c r="AL214" i="23"/>
  <c r="AL208" i="23"/>
  <c r="AL202" i="23"/>
  <c r="AL196" i="23"/>
  <c r="AL190" i="23"/>
  <c r="AL184" i="23"/>
  <c r="AL178" i="23"/>
  <c r="AL172" i="23"/>
  <c r="AL166" i="23"/>
  <c r="AL160" i="23"/>
  <c r="AL154" i="23"/>
  <c r="AL148" i="23"/>
  <c r="AL142" i="23"/>
  <c r="AL136" i="23"/>
  <c r="AL130" i="23"/>
  <c r="AL124" i="23"/>
  <c r="AL118" i="23"/>
  <c r="AL112" i="23"/>
  <c r="AL106" i="23"/>
  <c r="AL100" i="23"/>
  <c r="AL94" i="23"/>
  <c r="AL88" i="23"/>
  <c r="AL82" i="23"/>
  <c r="AL76" i="23"/>
  <c r="AL70" i="23"/>
  <c r="AL64" i="23"/>
  <c r="AL58" i="23"/>
  <c r="AL52" i="23"/>
  <c r="AL46" i="23"/>
  <c r="AL40" i="23"/>
  <c r="AL34" i="23"/>
  <c r="AL28" i="23"/>
  <c r="AL22" i="23"/>
  <c r="AL16" i="23"/>
  <c r="AL10" i="23"/>
  <c r="AL4" i="23"/>
  <c r="AL279" i="23"/>
  <c r="AL273" i="23"/>
  <c r="AL267" i="23"/>
  <c r="AL261" i="23"/>
  <c r="AL255" i="23"/>
  <c r="AL249" i="23"/>
  <c r="AL243" i="23"/>
  <c r="AL237" i="23"/>
  <c r="AL231" i="23"/>
  <c r="AL225" i="23"/>
  <c r="AL219" i="23"/>
  <c r="AL213" i="23"/>
  <c r="AL207" i="23"/>
  <c r="AL201" i="23"/>
  <c r="AL195" i="23"/>
  <c r="AL189" i="23"/>
  <c r="AL183" i="23"/>
  <c r="AL177" i="23"/>
  <c r="AL171" i="23"/>
  <c r="AL165" i="23"/>
  <c r="AL159" i="23"/>
  <c r="AL153" i="23"/>
  <c r="AL147" i="23"/>
  <c r="AL141" i="23"/>
  <c r="AL135" i="23"/>
  <c r="AL129" i="23"/>
  <c r="AL123" i="23"/>
  <c r="AL117" i="23"/>
  <c r="AL111" i="23"/>
  <c r="AL105" i="23"/>
  <c r="AL99" i="23"/>
  <c r="AL93" i="23"/>
  <c r="AL87" i="23"/>
  <c r="AL81" i="23"/>
  <c r="AL75" i="23"/>
  <c r="AL69" i="23"/>
  <c r="AL63" i="23"/>
  <c r="AL57" i="23"/>
  <c r="AL51" i="23"/>
  <c r="AL45" i="23"/>
  <c r="AL39" i="23"/>
  <c r="AL33" i="23"/>
  <c r="AL27" i="23"/>
  <c r="AL21" i="23"/>
  <c r="AL15" i="23"/>
  <c r="AL9" i="23"/>
  <c r="AL575" i="23"/>
  <c r="AL559" i="23"/>
  <c r="AL535" i="23"/>
  <c r="AL519" i="23"/>
  <c r="AL495" i="23"/>
  <c r="AL471" i="23"/>
  <c r="AL439" i="23"/>
  <c r="AL391" i="23"/>
  <c r="AL327" i="23"/>
  <c r="AL573" i="23"/>
  <c r="AL557" i="23"/>
  <c r="AL541" i="23"/>
  <c r="AL525" i="23"/>
  <c r="AL509" i="23"/>
  <c r="AL493" i="23"/>
  <c r="AL477" i="23"/>
  <c r="AL461" i="23"/>
  <c r="AL445" i="23"/>
  <c r="AL429" i="23"/>
  <c r="AL405" i="23"/>
  <c r="AL381" i="23"/>
  <c r="AL333" i="23"/>
  <c r="AL587" i="23"/>
  <c r="AL579" i="23"/>
  <c r="AL571" i="23"/>
  <c r="AL563" i="23"/>
  <c r="AL555" i="23"/>
  <c r="AL547" i="23"/>
  <c r="AL539" i="23"/>
  <c r="AL531" i="23"/>
  <c r="AL523" i="23"/>
  <c r="AL515" i="23"/>
  <c r="AL507" i="23"/>
  <c r="AL499" i="23"/>
  <c r="AL491" i="23"/>
  <c r="AL483" i="23"/>
  <c r="AL475" i="23"/>
  <c r="AL467" i="23"/>
  <c r="AL459" i="23"/>
  <c r="AL451" i="23"/>
  <c r="AL443" i="23"/>
  <c r="AL435" i="23"/>
  <c r="AL427" i="23"/>
  <c r="AL419" i="23"/>
  <c r="AL411" i="23"/>
  <c r="AL403" i="23"/>
  <c r="AL395" i="23"/>
  <c r="AL387" i="23"/>
  <c r="AL379" i="23"/>
  <c r="AL371" i="23"/>
  <c r="AL363" i="23"/>
  <c r="AL355" i="23"/>
  <c r="AL347" i="23"/>
  <c r="AL339" i="23"/>
  <c r="AL331" i="23"/>
  <c r="AL323" i="23"/>
  <c r="AL315" i="23"/>
  <c r="AL307" i="23"/>
  <c r="AL299" i="23"/>
  <c r="AL291" i="23"/>
  <c r="AL586" i="23"/>
  <c r="AL578" i="23"/>
  <c r="AL570" i="23"/>
  <c r="AL562" i="23"/>
  <c r="AL554" i="23"/>
  <c r="AL546" i="23"/>
  <c r="AL538" i="23"/>
  <c r="AL530" i="23"/>
  <c r="AL522" i="23"/>
  <c r="AL514" i="23"/>
  <c r="AL506" i="23"/>
  <c r="AL498" i="23"/>
  <c r="AL490" i="23"/>
  <c r="AL482" i="23"/>
  <c r="AL474" i="23"/>
  <c r="AL466" i="23"/>
  <c r="AL458" i="23"/>
  <c r="AL450" i="23"/>
  <c r="AL442" i="23"/>
  <c r="AL434" i="23"/>
  <c r="AL426" i="23"/>
  <c r="AL418" i="23"/>
  <c r="AL410" i="23"/>
  <c r="AL402" i="23"/>
  <c r="AL394" i="23"/>
  <c r="AL386" i="23"/>
  <c r="AL378" i="23"/>
  <c r="AL370" i="23"/>
  <c r="AL362" i="23"/>
  <c r="AL354" i="23"/>
  <c r="AL346" i="23"/>
  <c r="AL338" i="23"/>
  <c r="AL330" i="23"/>
  <c r="AL322" i="23"/>
  <c r="AL314" i="23"/>
  <c r="AL306" i="23"/>
  <c r="AL298" i="23"/>
  <c r="AL290" i="23"/>
  <c r="AL585" i="23"/>
  <c r="AL577" i="23"/>
  <c r="AL569" i="23"/>
  <c r="AL561" i="23"/>
  <c r="AL553" i="23"/>
  <c r="AL545" i="23"/>
  <c r="AL537" i="23"/>
  <c r="AL529" i="23"/>
  <c r="AL521" i="23"/>
  <c r="AL513" i="23"/>
  <c r="AL505" i="23"/>
  <c r="AL497" i="23"/>
  <c r="AL489" i="23"/>
  <c r="AL481" i="23"/>
  <c r="AL473" i="23"/>
  <c r="AL465" i="23"/>
  <c r="AL457" i="23"/>
  <c r="AL449" i="23"/>
  <c r="AL441" i="23"/>
  <c r="AL433" i="23"/>
  <c r="AL425" i="23"/>
  <c r="AL417" i="23"/>
  <c r="AL409" i="23"/>
  <c r="AL401" i="23"/>
  <c r="AL393" i="23"/>
  <c r="AL385" i="23"/>
  <c r="AL377" i="23"/>
  <c r="AL369" i="23"/>
  <c r="AL361" i="23"/>
  <c r="AL353" i="23"/>
  <c r="AL345" i="23"/>
  <c r="AL337" i="23"/>
  <c r="AL329" i="23"/>
  <c r="AL321" i="23"/>
  <c r="AL313" i="23"/>
  <c r="AL305" i="23"/>
  <c r="AL297" i="23"/>
  <c r="AL289" i="23"/>
  <c r="AL581" i="23"/>
  <c r="AL565" i="23"/>
  <c r="AL549" i="23"/>
  <c r="AL533" i="23"/>
  <c r="AL517" i="23"/>
  <c r="AL501" i="23"/>
  <c r="AL485" i="23"/>
  <c r="AL469" i="23"/>
  <c r="AL453" i="23"/>
  <c r="AL437" i="23"/>
  <c r="AL421" i="23"/>
  <c r="AL413" i="23"/>
  <c r="AL397" i="23"/>
  <c r="AL389" i="23"/>
  <c r="AL373" i="23"/>
  <c r="AL365" i="23"/>
  <c r="AL357" i="23"/>
  <c r="AL349" i="23"/>
  <c r="AL341" i="23"/>
  <c r="AL325" i="23"/>
  <c r="AL317" i="23"/>
  <c r="AL309" i="23"/>
  <c r="AL301" i="23"/>
  <c r="AL293" i="23"/>
  <c r="AL285" i="23"/>
  <c r="AL584" i="23"/>
  <c r="AL576" i="23"/>
  <c r="AL568" i="23"/>
  <c r="AL560" i="23"/>
  <c r="AL552" i="23"/>
  <c r="AL544" i="23"/>
  <c r="AL536" i="23"/>
  <c r="AL528" i="23"/>
  <c r="AL520" i="23"/>
  <c r="AL512" i="23"/>
  <c r="AL504" i="23"/>
  <c r="AL496" i="23"/>
  <c r="AL488" i="23"/>
  <c r="AL480" i="23"/>
  <c r="AL472" i="23"/>
  <c r="AL464" i="23"/>
  <c r="AL456" i="23"/>
  <c r="AL448" i="23"/>
  <c r="AL440" i="23"/>
  <c r="AL432" i="23"/>
  <c r="AL424" i="23"/>
  <c r="AL416" i="23"/>
  <c r="AL408" i="23"/>
  <c r="AL400" i="23"/>
  <c r="AL392" i="23"/>
  <c r="AL384" i="23"/>
  <c r="AL376" i="23"/>
  <c r="AL368" i="23"/>
  <c r="AL360" i="23"/>
  <c r="AL352" i="23"/>
  <c r="AL344" i="23"/>
  <c r="AL336" i="23"/>
  <c r="AL328" i="23"/>
  <c r="AL320" i="23"/>
  <c r="AL312" i="23"/>
  <c r="AL304" i="23"/>
  <c r="AL296" i="23"/>
  <c r="AL288" i="23"/>
  <c r="AL582" i="23"/>
  <c r="AL574" i="23"/>
  <c r="AL566" i="23"/>
  <c r="AL558" i="23"/>
  <c r="AL550" i="23"/>
  <c r="AL542" i="23"/>
  <c r="AL534" i="23"/>
  <c r="AL526" i="23"/>
  <c r="AL518" i="23"/>
  <c r="AL510" i="23"/>
  <c r="AL502" i="23"/>
  <c r="AL494" i="23"/>
  <c r="AL486" i="23"/>
  <c r="AL478" i="23"/>
  <c r="AL470" i="23"/>
  <c r="AL462" i="23"/>
  <c r="AL454" i="23"/>
  <c r="AL446" i="23"/>
  <c r="AL438" i="23"/>
  <c r="AL430" i="23"/>
  <c r="AL422" i="23"/>
  <c r="AL414" i="23"/>
  <c r="AL406" i="23"/>
  <c r="AL398" i="23"/>
  <c r="AL390" i="23"/>
  <c r="AL382" i="23"/>
  <c r="AL374" i="23"/>
  <c r="AL366" i="23"/>
  <c r="AL358" i="23"/>
  <c r="AL350" i="23"/>
  <c r="AL342" i="23"/>
  <c r="AL334" i="23"/>
  <c r="AL326" i="23"/>
  <c r="AL318" i="23"/>
  <c r="AL310" i="23"/>
  <c r="AL302" i="23"/>
  <c r="AL294" i="23"/>
  <c r="AL286" i="23"/>
  <c r="AL583" i="23"/>
  <c r="AL567" i="23"/>
  <c r="AL551" i="23"/>
  <c r="AL543" i="23"/>
  <c r="AL527" i="23"/>
  <c r="AL511" i="23"/>
  <c r="AL503" i="23"/>
  <c r="AL487" i="23"/>
  <c r="AL479" i="23"/>
  <c r="AL463" i="23"/>
  <c r="AL455" i="23"/>
  <c r="AL447" i="23"/>
  <c r="AL431" i="23"/>
  <c r="AL423" i="23"/>
  <c r="AL415" i="23"/>
  <c r="AL407" i="23"/>
  <c r="AL399" i="23"/>
  <c r="AL383" i="23"/>
  <c r="AL375" i="23"/>
  <c r="AL367" i="23"/>
  <c r="AL359" i="23"/>
  <c r="AL351" i="23"/>
  <c r="AL343" i="23"/>
  <c r="AL335" i="23"/>
  <c r="AL319" i="23"/>
  <c r="AL311" i="23"/>
  <c r="AL303" i="23"/>
  <c r="AL295" i="23"/>
  <c r="AL287" i="23"/>
  <c r="AL588" i="23"/>
  <c r="AL580" i="23"/>
  <c r="AL572" i="23"/>
  <c r="AL564" i="23"/>
  <c r="AL556" i="23"/>
  <c r="AL548" i="23"/>
  <c r="AL540" i="23"/>
  <c r="AL532" i="23"/>
  <c r="AL524" i="23"/>
  <c r="AL516" i="23"/>
  <c r="AL508" i="23"/>
  <c r="AL500" i="23"/>
  <c r="AL492" i="23"/>
  <c r="AL484" i="23"/>
  <c r="AL476" i="23"/>
  <c r="AL468" i="23"/>
  <c r="AL460" i="23"/>
  <c r="AL452" i="23"/>
  <c r="AL444" i="23"/>
  <c r="AL436" i="23"/>
  <c r="AL428" i="23"/>
  <c r="AL420" i="23"/>
  <c r="AL412" i="23"/>
  <c r="AL404" i="23"/>
  <c r="AL396" i="23"/>
  <c r="AL388" i="23"/>
  <c r="AL380" i="23"/>
  <c r="AL372" i="23"/>
  <c r="AL364" i="23"/>
  <c r="AL356" i="23"/>
  <c r="AL348" i="23"/>
  <c r="AL340" i="23"/>
  <c r="AL332" i="23"/>
  <c r="AL324" i="23"/>
  <c r="AL316" i="23"/>
  <c r="AL308" i="23"/>
  <c r="AL300" i="23"/>
  <c r="AL292" i="23"/>
  <c r="D69" i="80"/>
  <c r="D138" i="80"/>
  <c r="D154" i="80"/>
  <c r="CN298" i="124" l="1"/>
  <c r="CI298" i="124"/>
  <c r="CD298" i="124"/>
  <c r="BY298" i="124"/>
  <c r="BO298" i="124"/>
  <c r="BT298" i="124"/>
  <c r="BJ298" i="124"/>
  <c r="BE298" i="124"/>
  <c r="AZ298" i="124"/>
  <c r="AP298" i="124"/>
  <c r="AU298" i="124"/>
  <c r="AK298" i="124"/>
  <c r="CN316" i="124"/>
  <c r="CI316" i="124"/>
  <c r="CD316" i="124"/>
  <c r="BY316" i="124"/>
  <c r="BO316" i="124"/>
  <c r="BJ316" i="124"/>
  <c r="BT316" i="124"/>
  <c r="BE316" i="124"/>
  <c r="AP316" i="124"/>
  <c r="AZ316" i="124"/>
  <c r="AU316" i="124"/>
  <c r="AK316" i="124"/>
  <c r="CN334" i="124"/>
  <c r="CI334" i="124"/>
  <c r="CD334" i="124"/>
  <c r="BO334" i="124"/>
  <c r="BJ334" i="124"/>
  <c r="BT334" i="124"/>
  <c r="BE334" i="124"/>
  <c r="BY334" i="124"/>
  <c r="AZ334" i="124"/>
  <c r="AP334" i="124"/>
  <c r="AU334" i="124"/>
  <c r="AK334" i="124"/>
  <c r="CN352" i="124"/>
  <c r="CI352" i="124"/>
  <c r="CD352" i="124"/>
  <c r="BO352" i="124"/>
  <c r="BJ352" i="124"/>
  <c r="BT352" i="124"/>
  <c r="BE352" i="124"/>
  <c r="BY352" i="124"/>
  <c r="AP352" i="124"/>
  <c r="AZ352" i="124"/>
  <c r="AU352" i="124"/>
  <c r="AK352" i="124"/>
  <c r="CN370" i="124"/>
  <c r="CI370" i="124"/>
  <c r="CD370" i="124"/>
  <c r="BO370" i="124"/>
  <c r="BY370" i="124"/>
  <c r="BJ370" i="124"/>
  <c r="BT370" i="124"/>
  <c r="BE370" i="124"/>
  <c r="AZ370" i="124"/>
  <c r="AP370" i="124"/>
  <c r="AU370" i="124"/>
  <c r="AK370" i="124"/>
  <c r="CI388" i="124"/>
  <c r="CD388" i="124"/>
  <c r="CN388" i="124"/>
  <c r="BO388" i="124"/>
  <c r="BJ388" i="124"/>
  <c r="BT388" i="124"/>
  <c r="BE388" i="124"/>
  <c r="BY388" i="124"/>
  <c r="AP388" i="124"/>
  <c r="AZ388" i="124"/>
  <c r="AU388" i="124"/>
  <c r="AK388" i="124"/>
  <c r="CI406" i="124"/>
  <c r="CD406" i="124"/>
  <c r="CN406" i="124"/>
  <c r="BO406" i="124"/>
  <c r="BJ406" i="124"/>
  <c r="BY406" i="124"/>
  <c r="BT406" i="124"/>
  <c r="BE406" i="124"/>
  <c r="AZ406" i="124"/>
  <c r="AP406" i="124"/>
  <c r="AU406" i="124"/>
  <c r="AK406" i="124"/>
  <c r="CI424" i="124"/>
  <c r="CD424" i="124"/>
  <c r="CN424" i="124"/>
  <c r="BO424" i="124"/>
  <c r="BJ424" i="124"/>
  <c r="BY424" i="124"/>
  <c r="BT424" i="124"/>
  <c r="BE424" i="124"/>
  <c r="AP424" i="124"/>
  <c r="AZ424" i="124"/>
  <c r="AU424" i="124"/>
  <c r="AK424" i="124"/>
  <c r="CI442" i="124"/>
  <c r="CD442" i="124"/>
  <c r="CN442" i="124"/>
  <c r="BO442" i="124"/>
  <c r="BE442" i="124"/>
  <c r="BJ442" i="124"/>
  <c r="BY442" i="124"/>
  <c r="BT442" i="124"/>
  <c r="AZ442" i="124"/>
  <c r="AP442" i="124"/>
  <c r="AU442" i="124"/>
  <c r="AK442" i="124"/>
  <c r="AK460" i="124"/>
  <c r="CI460" i="124"/>
  <c r="CD460" i="124"/>
  <c r="CN460" i="124"/>
  <c r="BO460" i="124"/>
  <c r="BY460" i="124"/>
  <c r="BT460" i="124"/>
  <c r="BE460" i="124"/>
  <c r="BJ460" i="124"/>
  <c r="AP460" i="124"/>
  <c r="AZ460" i="124"/>
  <c r="AU460" i="124"/>
  <c r="CI478" i="124"/>
  <c r="CN478" i="124"/>
  <c r="CD478" i="124"/>
  <c r="BO478" i="124"/>
  <c r="BY478" i="124"/>
  <c r="BE478" i="124"/>
  <c r="BT478" i="124"/>
  <c r="BJ478" i="124"/>
  <c r="AZ478" i="124"/>
  <c r="AP478" i="124"/>
  <c r="AU478" i="124"/>
  <c r="AK478" i="124"/>
  <c r="AK496" i="124"/>
  <c r="CI496" i="124"/>
  <c r="CN496" i="124"/>
  <c r="CD496" i="124"/>
  <c r="BO496" i="124"/>
  <c r="BT496" i="124"/>
  <c r="BE496" i="124"/>
  <c r="BJ496" i="124"/>
  <c r="BY496" i="124"/>
  <c r="AZ496" i="124"/>
  <c r="AP496" i="124"/>
  <c r="AU496" i="124"/>
  <c r="AK514" i="124"/>
  <c r="CN514" i="124"/>
  <c r="CD514" i="124"/>
  <c r="CI514" i="124"/>
  <c r="BY514" i="124"/>
  <c r="BE514" i="124"/>
  <c r="BJ514" i="124"/>
  <c r="BT514" i="124"/>
  <c r="BO514" i="124"/>
  <c r="AZ514" i="124"/>
  <c r="AP514" i="124"/>
  <c r="AU514" i="124"/>
  <c r="CN532" i="124"/>
  <c r="CD532" i="124"/>
  <c r="CI532" i="124"/>
  <c r="BY532" i="124"/>
  <c r="BT532" i="124"/>
  <c r="BE532" i="124"/>
  <c r="BO532" i="124"/>
  <c r="BJ532" i="124"/>
  <c r="AZ532" i="124"/>
  <c r="AP532" i="124"/>
  <c r="AU532" i="124"/>
  <c r="AK532" i="124"/>
  <c r="CN550" i="124"/>
  <c r="CD550" i="124"/>
  <c r="CI550" i="124"/>
  <c r="BE550" i="124"/>
  <c r="BT550" i="124"/>
  <c r="BJ550" i="124"/>
  <c r="BY550" i="124"/>
  <c r="BO550" i="124"/>
  <c r="AZ550" i="124"/>
  <c r="AP550" i="124"/>
  <c r="AU550" i="124"/>
  <c r="AK550" i="124"/>
  <c r="CN568" i="124"/>
  <c r="CD568" i="124"/>
  <c r="CI568" i="124"/>
  <c r="BY568" i="124"/>
  <c r="BT568" i="124"/>
  <c r="BE568" i="124"/>
  <c r="BO568" i="124"/>
  <c r="BJ568" i="124"/>
  <c r="AZ568" i="124"/>
  <c r="AP568" i="124"/>
  <c r="AU568" i="124"/>
  <c r="AK568" i="124"/>
  <c r="CN586" i="124"/>
  <c r="CD586" i="124"/>
  <c r="CI586" i="124"/>
  <c r="BY586" i="124"/>
  <c r="BE586" i="124"/>
  <c r="BJ586" i="124"/>
  <c r="BT586" i="124"/>
  <c r="BO586" i="124"/>
  <c r="AZ586" i="124"/>
  <c r="AP586" i="124"/>
  <c r="AU586" i="124"/>
  <c r="AK586" i="124"/>
  <c r="AK305" i="124"/>
  <c r="CN305" i="124"/>
  <c r="CI305" i="124"/>
  <c r="CD305" i="124"/>
  <c r="BY305" i="124"/>
  <c r="BT305" i="124"/>
  <c r="BJ305" i="124"/>
  <c r="BE305" i="124"/>
  <c r="BO305" i="124"/>
  <c r="AZ305" i="124"/>
  <c r="AU305" i="124"/>
  <c r="AP305" i="124"/>
  <c r="AK323" i="124"/>
  <c r="CN323" i="124"/>
  <c r="CI323" i="124"/>
  <c r="CD323" i="124"/>
  <c r="BT323" i="124"/>
  <c r="BY323" i="124"/>
  <c r="BO323" i="124"/>
  <c r="BE323" i="124"/>
  <c r="BJ323" i="124"/>
  <c r="AZ323" i="124"/>
  <c r="AU323" i="124"/>
  <c r="AP323" i="124"/>
  <c r="AK341" i="124"/>
  <c r="CN341" i="124"/>
  <c r="CI341" i="124"/>
  <c r="CD341" i="124"/>
  <c r="BY341" i="124"/>
  <c r="BT341" i="124"/>
  <c r="BJ341" i="124"/>
  <c r="BO341" i="124"/>
  <c r="AZ341" i="124"/>
  <c r="BE341" i="124"/>
  <c r="AU341" i="124"/>
  <c r="AP341" i="124"/>
  <c r="AK359" i="124"/>
  <c r="CN359" i="124"/>
  <c r="CI359" i="124"/>
  <c r="CD359" i="124"/>
  <c r="BY359" i="124"/>
  <c r="BT359" i="124"/>
  <c r="BO359" i="124"/>
  <c r="BJ359" i="124"/>
  <c r="AZ359" i="124"/>
  <c r="BE359" i="124"/>
  <c r="AU359" i="124"/>
  <c r="AP359" i="124"/>
  <c r="AK377" i="124"/>
  <c r="CN377" i="124"/>
  <c r="CI377" i="124"/>
  <c r="CD377" i="124"/>
  <c r="BY377" i="124"/>
  <c r="BT377" i="124"/>
  <c r="BJ377" i="124"/>
  <c r="BO377" i="124"/>
  <c r="AZ377" i="124"/>
  <c r="BE377" i="124"/>
  <c r="AU377" i="124"/>
  <c r="AP377" i="124"/>
  <c r="AK395" i="124"/>
  <c r="CN395" i="124"/>
  <c r="CI395" i="124"/>
  <c r="CD395" i="124"/>
  <c r="BY395" i="124"/>
  <c r="BT395" i="124"/>
  <c r="BO395" i="124"/>
  <c r="BJ395" i="124"/>
  <c r="AZ395" i="124"/>
  <c r="BE395" i="124"/>
  <c r="AU395" i="124"/>
  <c r="AP395" i="124"/>
  <c r="AK413" i="124"/>
  <c r="CN413" i="124"/>
  <c r="CI413" i="124"/>
  <c r="CD413" i="124"/>
  <c r="BT413" i="124"/>
  <c r="BY413" i="124"/>
  <c r="BJ413" i="124"/>
  <c r="BO413" i="124"/>
  <c r="AZ413" i="124"/>
  <c r="AU413" i="124"/>
  <c r="BE413" i="124"/>
  <c r="AP413" i="124"/>
  <c r="AK431" i="124"/>
  <c r="CN431" i="124"/>
  <c r="CI431" i="124"/>
  <c r="CD431" i="124"/>
  <c r="BT431" i="124"/>
  <c r="BY431" i="124"/>
  <c r="BO431" i="124"/>
  <c r="BJ431" i="124"/>
  <c r="AZ431" i="124"/>
  <c r="BE431" i="124"/>
  <c r="AU431" i="124"/>
  <c r="AP431" i="124"/>
  <c r="AK449" i="124"/>
  <c r="CN449" i="124"/>
  <c r="CI449" i="124"/>
  <c r="CD449" i="124"/>
  <c r="BT449" i="124"/>
  <c r="BO449" i="124"/>
  <c r="BJ449" i="124"/>
  <c r="BY449" i="124"/>
  <c r="AZ449" i="124"/>
  <c r="AU449" i="124"/>
  <c r="BE449" i="124"/>
  <c r="AP449" i="124"/>
  <c r="AK467" i="124"/>
  <c r="CN467" i="124"/>
  <c r="CI467" i="124"/>
  <c r="CD467" i="124"/>
  <c r="BT467" i="124"/>
  <c r="BY467" i="124"/>
  <c r="BO467" i="124"/>
  <c r="BJ467" i="124"/>
  <c r="BE467" i="124"/>
  <c r="AZ467" i="124"/>
  <c r="AU467" i="124"/>
  <c r="AP467" i="124"/>
  <c r="CN485" i="124"/>
  <c r="CI485" i="124"/>
  <c r="CD485" i="124"/>
  <c r="BT485" i="124"/>
  <c r="BY485" i="124"/>
  <c r="BJ485" i="124"/>
  <c r="BO485" i="124"/>
  <c r="AZ485" i="124"/>
  <c r="AU485" i="124"/>
  <c r="BE485" i="124"/>
  <c r="AP485" i="124"/>
  <c r="AK485" i="124"/>
  <c r="CN503" i="124"/>
  <c r="CI503" i="124"/>
  <c r="CD503" i="124"/>
  <c r="BT503" i="124"/>
  <c r="BO503" i="124"/>
  <c r="BJ503" i="124"/>
  <c r="BY503" i="124"/>
  <c r="BE503" i="124"/>
  <c r="AZ503" i="124"/>
  <c r="AU503" i="124"/>
  <c r="AP503" i="124"/>
  <c r="AK503" i="124"/>
  <c r="CN521" i="124"/>
  <c r="CI521" i="124"/>
  <c r="CD521" i="124"/>
  <c r="BT521" i="124"/>
  <c r="BY521" i="124"/>
  <c r="BO521" i="124"/>
  <c r="BJ521" i="124"/>
  <c r="AZ521" i="124"/>
  <c r="AU521" i="124"/>
  <c r="BE521" i="124"/>
  <c r="AP521" i="124"/>
  <c r="AK521" i="124"/>
  <c r="CN539" i="124"/>
  <c r="CI539" i="124"/>
  <c r="CD539" i="124"/>
  <c r="BT539" i="124"/>
  <c r="BO539" i="124"/>
  <c r="BY539" i="124"/>
  <c r="BJ539" i="124"/>
  <c r="BE539" i="124"/>
  <c r="AZ539" i="124"/>
  <c r="AU539" i="124"/>
  <c r="AP539" i="124"/>
  <c r="AK539" i="124"/>
  <c r="CN557" i="124"/>
  <c r="CI557" i="124"/>
  <c r="CD557" i="124"/>
  <c r="BT557" i="124"/>
  <c r="BO557" i="124"/>
  <c r="BJ557" i="124"/>
  <c r="BY557" i="124"/>
  <c r="AZ557" i="124"/>
  <c r="AU557" i="124"/>
  <c r="BE557" i="124"/>
  <c r="AP557" i="124"/>
  <c r="AK557" i="124"/>
  <c r="CN575" i="124"/>
  <c r="CI575" i="124"/>
  <c r="CD575" i="124"/>
  <c r="BT575" i="124"/>
  <c r="BY575" i="124"/>
  <c r="BO575" i="124"/>
  <c r="BJ575" i="124"/>
  <c r="BE575" i="124"/>
  <c r="AZ575" i="124"/>
  <c r="AU575" i="124"/>
  <c r="AP575" i="124"/>
  <c r="AK575" i="124"/>
  <c r="AK294" i="124"/>
  <c r="CN294" i="124"/>
  <c r="BY294" i="124"/>
  <c r="CI294" i="124"/>
  <c r="CD294" i="124"/>
  <c r="BT294" i="124"/>
  <c r="BO294" i="124"/>
  <c r="AZ294" i="124"/>
  <c r="BJ294" i="124"/>
  <c r="BE294" i="124"/>
  <c r="AU294" i="124"/>
  <c r="AP294" i="124"/>
  <c r="CN312" i="124"/>
  <c r="CI312" i="124"/>
  <c r="BY312" i="124"/>
  <c r="BT312" i="124"/>
  <c r="CD312" i="124"/>
  <c r="AZ312" i="124"/>
  <c r="BE312" i="124"/>
  <c r="BO312" i="124"/>
  <c r="BJ312" i="124"/>
  <c r="AU312" i="124"/>
  <c r="AP312" i="124"/>
  <c r="AK312" i="124"/>
  <c r="AK330" i="124"/>
  <c r="CN330" i="124"/>
  <c r="BY330" i="124"/>
  <c r="CI330" i="124"/>
  <c r="BT330" i="124"/>
  <c r="CD330" i="124"/>
  <c r="BO330" i="124"/>
  <c r="AZ330" i="124"/>
  <c r="BJ330" i="124"/>
  <c r="BE330" i="124"/>
  <c r="AU330" i="124"/>
  <c r="AP330" i="124"/>
  <c r="CN348" i="124"/>
  <c r="BY348" i="124"/>
  <c r="CI348" i="124"/>
  <c r="BT348" i="124"/>
  <c r="CD348" i="124"/>
  <c r="AZ348" i="124"/>
  <c r="BO348" i="124"/>
  <c r="BE348" i="124"/>
  <c r="BJ348" i="124"/>
  <c r="AU348" i="124"/>
  <c r="AP348" i="124"/>
  <c r="AK348" i="124"/>
  <c r="AK366" i="124"/>
  <c r="CN366" i="124"/>
  <c r="BY366" i="124"/>
  <c r="BT366" i="124"/>
  <c r="CI366" i="124"/>
  <c r="CD366" i="124"/>
  <c r="BO366" i="124"/>
  <c r="AZ366" i="124"/>
  <c r="BJ366" i="124"/>
  <c r="BE366" i="124"/>
  <c r="AU366" i="124"/>
  <c r="AP366" i="124"/>
  <c r="BY384" i="124"/>
  <c r="CN384" i="124"/>
  <c r="BT384" i="124"/>
  <c r="CD384" i="124"/>
  <c r="CI384" i="124"/>
  <c r="AZ384" i="124"/>
  <c r="BE384" i="124"/>
  <c r="BO384" i="124"/>
  <c r="BJ384" i="124"/>
  <c r="AU384" i="124"/>
  <c r="AP384" i="124"/>
  <c r="AK384" i="124"/>
  <c r="AK402" i="124"/>
  <c r="BY402" i="124"/>
  <c r="CN402" i="124"/>
  <c r="CI402" i="124"/>
  <c r="BT402" i="124"/>
  <c r="CD402" i="124"/>
  <c r="BO402" i="124"/>
  <c r="AZ402" i="124"/>
  <c r="BJ402" i="124"/>
  <c r="BE402" i="124"/>
  <c r="AU402" i="124"/>
  <c r="AP402" i="124"/>
  <c r="BY420" i="124"/>
  <c r="CN420" i="124"/>
  <c r="BT420" i="124"/>
  <c r="CI420" i="124"/>
  <c r="CD420" i="124"/>
  <c r="AZ420" i="124"/>
  <c r="BO420" i="124"/>
  <c r="BE420" i="124"/>
  <c r="BJ420" i="124"/>
  <c r="AU420" i="124"/>
  <c r="AP420" i="124"/>
  <c r="AK420" i="124"/>
  <c r="AK438" i="124"/>
  <c r="BY438" i="124"/>
  <c r="CN438" i="124"/>
  <c r="BT438" i="124"/>
  <c r="CD438" i="124"/>
  <c r="CI438" i="124"/>
  <c r="BO438" i="124"/>
  <c r="AZ438" i="124"/>
  <c r="BE438" i="124"/>
  <c r="BJ438" i="124"/>
  <c r="AU438" i="124"/>
  <c r="AP438" i="124"/>
  <c r="BY456" i="124"/>
  <c r="CN456" i="124"/>
  <c r="CI456" i="124"/>
  <c r="BT456" i="124"/>
  <c r="CD456" i="124"/>
  <c r="AZ456" i="124"/>
  <c r="BE456" i="124"/>
  <c r="BO456" i="124"/>
  <c r="BJ456" i="124"/>
  <c r="AU456" i="124"/>
  <c r="AP456" i="124"/>
  <c r="AK456" i="124"/>
  <c r="AK474" i="124"/>
  <c r="BY474" i="124"/>
  <c r="CN474" i="124"/>
  <c r="BT474" i="124"/>
  <c r="CI474" i="124"/>
  <c r="CD474" i="124"/>
  <c r="BO474" i="124"/>
  <c r="BE474" i="124"/>
  <c r="BJ474" i="124"/>
  <c r="AU474" i="124"/>
  <c r="AZ474" i="124"/>
  <c r="AP474" i="124"/>
  <c r="BY492" i="124"/>
  <c r="CN492" i="124"/>
  <c r="CD492" i="124"/>
  <c r="BT492" i="124"/>
  <c r="CI492" i="124"/>
  <c r="BO492" i="124"/>
  <c r="BE492" i="124"/>
  <c r="BJ492" i="124"/>
  <c r="AU492" i="124"/>
  <c r="AZ492" i="124"/>
  <c r="AP492" i="124"/>
  <c r="AK492" i="124"/>
  <c r="CI510" i="124"/>
  <c r="BY510" i="124"/>
  <c r="CN510" i="124"/>
  <c r="BT510" i="124"/>
  <c r="CD510" i="124"/>
  <c r="BO510" i="124"/>
  <c r="BE510" i="124"/>
  <c r="BJ510" i="124"/>
  <c r="AU510" i="124"/>
  <c r="AZ510" i="124"/>
  <c r="AP510" i="124"/>
  <c r="AK510" i="124"/>
  <c r="CI528" i="124"/>
  <c r="BY528" i="124"/>
  <c r="CN528" i="124"/>
  <c r="CD528" i="124"/>
  <c r="BT528" i="124"/>
  <c r="BE528" i="124"/>
  <c r="BJ528" i="124"/>
  <c r="BO528" i="124"/>
  <c r="AU528" i="124"/>
  <c r="AZ528" i="124"/>
  <c r="AP528" i="124"/>
  <c r="AK528" i="124"/>
  <c r="CI546" i="124"/>
  <c r="BY546" i="124"/>
  <c r="CN546" i="124"/>
  <c r="BT546" i="124"/>
  <c r="CD546" i="124"/>
  <c r="BO546" i="124"/>
  <c r="BE546" i="124"/>
  <c r="BJ546" i="124"/>
  <c r="AU546" i="124"/>
  <c r="AZ546" i="124"/>
  <c r="AP546" i="124"/>
  <c r="AK546" i="124"/>
  <c r="CI564" i="124"/>
  <c r="BY564" i="124"/>
  <c r="CN564" i="124"/>
  <c r="CD564" i="124"/>
  <c r="BT564" i="124"/>
  <c r="BE564" i="124"/>
  <c r="BJ564" i="124"/>
  <c r="BO564" i="124"/>
  <c r="AU564" i="124"/>
  <c r="AZ564" i="124"/>
  <c r="AP564" i="124"/>
  <c r="AK564" i="124"/>
  <c r="CN582" i="124"/>
  <c r="CI582" i="124"/>
  <c r="BY582" i="124"/>
  <c r="BT582" i="124"/>
  <c r="CD582" i="124"/>
  <c r="BO582" i="124"/>
  <c r="BE582" i="124"/>
  <c r="BJ582" i="124"/>
  <c r="AU582" i="124"/>
  <c r="AZ582" i="124"/>
  <c r="AP582" i="124"/>
  <c r="AK582" i="124"/>
  <c r="CI301" i="124"/>
  <c r="CN301" i="124"/>
  <c r="CD301" i="124"/>
  <c r="BT301" i="124"/>
  <c r="BY301" i="124"/>
  <c r="BO301" i="124"/>
  <c r="BJ301" i="124"/>
  <c r="AZ301" i="124"/>
  <c r="AU301" i="124"/>
  <c r="AP301" i="124"/>
  <c r="BE301" i="124"/>
  <c r="AK301" i="124"/>
  <c r="CI319" i="124"/>
  <c r="CN319" i="124"/>
  <c r="CD319" i="124"/>
  <c r="BT319" i="124"/>
  <c r="BY319" i="124"/>
  <c r="BO319" i="124"/>
  <c r="BJ319" i="124"/>
  <c r="BE319" i="124"/>
  <c r="AU319" i="124"/>
  <c r="AP319" i="124"/>
  <c r="AZ319" i="124"/>
  <c r="AK319" i="124"/>
  <c r="CI337" i="124"/>
  <c r="CN337" i="124"/>
  <c r="CD337" i="124"/>
  <c r="BY337" i="124"/>
  <c r="BT337" i="124"/>
  <c r="BO337" i="124"/>
  <c r="BJ337" i="124"/>
  <c r="AZ337" i="124"/>
  <c r="AU337" i="124"/>
  <c r="BE337" i="124"/>
  <c r="AP337" i="124"/>
  <c r="AK337" i="124"/>
  <c r="CI355" i="124"/>
  <c r="CN355" i="124"/>
  <c r="CD355" i="124"/>
  <c r="BY355" i="124"/>
  <c r="BT355" i="124"/>
  <c r="BO355" i="124"/>
  <c r="BJ355" i="124"/>
  <c r="AU355" i="124"/>
  <c r="BE355" i="124"/>
  <c r="AP355" i="124"/>
  <c r="AZ355" i="124"/>
  <c r="AK355" i="124"/>
  <c r="CI373" i="124"/>
  <c r="CD373" i="124"/>
  <c r="CN373" i="124"/>
  <c r="BY373" i="124"/>
  <c r="BT373" i="124"/>
  <c r="BO373" i="124"/>
  <c r="BJ373" i="124"/>
  <c r="AZ373" i="124"/>
  <c r="AU373" i="124"/>
  <c r="BE373" i="124"/>
  <c r="AP373" i="124"/>
  <c r="AK373" i="124"/>
  <c r="CI391" i="124"/>
  <c r="CD391" i="124"/>
  <c r="CN391" i="124"/>
  <c r="BY391" i="124"/>
  <c r="BT391" i="124"/>
  <c r="BO391" i="124"/>
  <c r="BJ391" i="124"/>
  <c r="AU391" i="124"/>
  <c r="BE391" i="124"/>
  <c r="AP391" i="124"/>
  <c r="AZ391" i="124"/>
  <c r="AK391" i="124"/>
  <c r="CI409" i="124"/>
  <c r="CN409" i="124"/>
  <c r="CD409" i="124"/>
  <c r="BY409" i="124"/>
  <c r="BT409" i="124"/>
  <c r="BO409" i="124"/>
  <c r="BJ409" i="124"/>
  <c r="AZ409" i="124"/>
  <c r="AU409" i="124"/>
  <c r="BE409" i="124"/>
  <c r="AP409" i="124"/>
  <c r="AK409" i="124"/>
  <c r="CI427" i="124"/>
  <c r="CD427" i="124"/>
  <c r="CN427" i="124"/>
  <c r="BY427" i="124"/>
  <c r="BO427" i="124"/>
  <c r="BT427" i="124"/>
  <c r="BJ427" i="124"/>
  <c r="AU427" i="124"/>
  <c r="BE427" i="124"/>
  <c r="AP427" i="124"/>
  <c r="AZ427" i="124"/>
  <c r="AK427" i="124"/>
  <c r="CI445" i="124"/>
  <c r="CN445" i="124"/>
  <c r="CD445" i="124"/>
  <c r="BY445" i="124"/>
  <c r="BO445" i="124"/>
  <c r="BT445" i="124"/>
  <c r="BJ445" i="124"/>
  <c r="AZ445" i="124"/>
  <c r="AU445" i="124"/>
  <c r="BE445" i="124"/>
  <c r="AP445" i="124"/>
  <c r="AK445" i="124"/>
  <c r="CI463" i="124"/>
  <c r="CD463" i="124"/>
  <c r="CN463" i="124"/>
  <c r="BY463" i="124"/>
  <c r="BO463" i="124"/>
  <c r="BT463" i="124"/>
  <c r="BJ463" i="124"/>
  <c r="AU463" i="124"/>
  <c r="BE463" i="124"/>
  <c r="AP463" i="124"/>
  <c r="AZ463" i="124"/>
  <c r="AK463" i="124"/>
  <c r="CI481" i="124"/>
  <c r="CN481" i="124"/>
  <c r="CD481" i="124"/>
  <c r="BY481" i="124"/>
  <c r="BO481" i="124"/>
  <c r="BT481" i="124"/>
  <c r="BJ481" i="124"/>
  <c r="AU481" i="124"/>
  <c r="BE481" i="124"/>
  <c r="AZ481" i="124"/>
  <c r="AP481" i="124"/>
  <c r="AK481" i="124"/>
  <c r="CI499" i="124"/>
  <c r="CN499" i="124"/>
  <c r="CD499" i="124"/>
  <c r="BY499" i="124"/>
  <c r="BO499" i="124"/>
  <c r="BT499" i="124"/>
  <c r="BJ499" i="124"/>
  <c r="AU499" i="124"/>
  <c r="AZ499" i="124"/>
  <c r="BE499" i="124"/>
  <c r="AP499" i="124"/>
  <c r="AK499" i="124"/>
  <c r="AK517" i="124"/>
  <c r="CN517" i="124"/>
  <c r="CI517" i="124"/>
  <c r="CD517" i="124"/>
  <c r="BY517" i="124"/>
  <c r="BT517" i="124"/>
  <c r="BO517" i="124"/>
  <c r="BJ517" i="124"/>
  <c r="AU517" i="124"/>
  <c r="BE517" i="124"/>
  <c r="AZ517" i="124"/>
  <c r="AP517" i="124"/>
  <c r="AK535" i="124"/>
  <c r="CN535" i="124"/>
  <c r="CI535" i="124"/>
  <c r="CD535" i="124"/>
  <c r="BY535" i="124"/>
  <c r="BT535" i="124"/>
  <c r="BO535" i="124"/>
  <c r="BJ535" i="124"/>
  <c r="AU535" i="124"/>
  <c r="AZ535" i="124"/>
  <c r="BE535" i="124"/>
  <c r="AP535" i="124"/>
  <c r="AK553" i="124"/>
  <c r="CN553" i="124"/>
  <c r="CI553" i="124"/>
  <c r="CD553" i="124"/>
  <c r="BY553" i="124"/>
  <c r="BT553" i="124"/>
  <c r="BO553" i="124"/>
  <c r="BJ553" i="124"/>
  <c r="AU553" i="124"/>
  <c r="BE553" i="124"/>
  <c r="AZ553" i="124"/>
  <c r="AP553" i="124"/>
  <c r="AK571" i="124"/>
  <c r="CN571" i="124"/>
  <c r="CI571" i="124"/>
  <c r="CD571" i="124"/>
  <c r="BY571" i="124"/>
  <c r="BT571" i="124"/>
  <c r="BO571" i="124"/>
  <c r="BJ571" i="124"/>
  <c r="AU571" i="124"/>
  <c r="AZ571" i="124"/>
  <c r="BE571" i="124"/>
  <c r="AP571" i="124"/>
  <c r="AK296" i="124"/>
  <c r="CN296" i="124"/>
  <c r="CI296" i="124"/>
  <c r="CD296" i="124"/>
  <c r="BT296" i="124"/>
  <c r="BO296" i="124"/>
  <c r="BY296" i="124"/>
  <c r="BJ296" i="124"/>
  <c r="AZ296" i="124"/>
  <c r="BE296" i="124"/>
  <c r="AP296" i="124"/>
  <c r="AU296" i="124"/>
  <c r="CN314" i="124"/>
  <c r="CI314" i="124"/>
  <c r="CD314" i="124"/>
  <c r="BY314" i="124"/>
  <c r="BO314" i="124"/>
  <c r="BT314" i="124"/>
  <c r="AZ314" i="124"/>
  <c r="BE314" i="124"/>
  <c r="BJ314" i="124"/>
  <c r="AP314" i="124"/>
  <c r="AU314" i="124"/>
  <c r="AK314" i="124"/>
  <c r="AK332" i="124"/>
  <c r="CN332" i="124"/>
  <c r="CI332" i="124"/>
  <c r="CD332" i="124"/>
  <c r="BO332" i="124"/>
  <c r="BT332" i="124"/>
  <c r="BY332" i="124"/>
  <c r="BJ332" i="124"/>
  <c r="AZ332" i="124"/>
  <c r="BE332" i="124"/>
  <c r="AP332" i="124"/>
  <c r="AU332" i="124"/>
  <c r="CN350" i="124"/>
  <c r="CI350" i="124"/>
  <c r="CD350" i="124"/>
  <c r="BO350" i="124"/>
  <c r="BT350" i="124"/>
  <c r="BY350" i="124"/>
  <c r="AZ350" i="124"/>
  <c r="BE350" i="124"/>
  <c r="BJ350" i="124"/>
  <c r="AP350" i="124"/>
  <c r="AU350" i="124"/>
  <c r="AK350" i="124"/>
  <c r="AK368" i="124"/>
  <c r="CN368" i="124"/>
  <c r="CI368" i="124"/>
  <c r="CD368" i="124"/>
  <c r="BO368" i="124"/>
  <c r="BT368" i="124"/>
  <c r="BY368" i="124"/>
  <c r="BJ368" i="124"/>
  <c r="AZ368" i="124"/>
  <c r="BE368" i="124"/>
  <c r="AP368" i="124"/>
  <c r="AU368" i="124"/>
  <c r="CN386" i="124"/>
  <c r="CI386" i="124"/>
  <c r="CD386" i="124"/>
  <c r="BO386" i="124"/>
  <c r="BT386" i="124"/>
  <c r="BY386" i="124"/>
  <c r="AZ386" i="124"/>
  <c r="BE386" i="124"/>
  <c r="BJ386" i="124"/>
  <c r="AP386" i="124"/>
  <c r="AU386" i="124"/>
  <c r="AK386" i="124"/>
  <c r="AK404" i="124"/>
  <c r="CN404" i="124"/>
  <c r="CI404" i="124"/>
  <c r="CD404" i="124"/>
  <c r="BO404" i="124"/>
  <c r="BT404" i="124"/>
  <c r="BJ404" i="124"/>
  <c r="AZ404" i="124"/>
  <c r="BY404" i="124"/>
  <c r="BE404" i="124"/>
  <c r="AP404" i="124"/>
  <c r="AU404" i="124"/>
  <c r="CN422" i="124"/>
  <c r="CI422" i="124"/>
  <c r="CD422" i="124"/>
  <c r="BO422" i="124"/>
  <c r="BT422" i="124"/>
  <c r="BY422" i="124"/>
  <c r="AZ422" i="124"/>
  <c r="BJ422" i="124"/>
  <c r="AP422" i="124"/>
  <c r="AU422" i="124"/>
  <c r="BE422" i="124"/>
  <c r="AK422" i="124"/>
  <c r="AK440" i="124"/>
  <c r="CN440" i="124"/>
  <c r="CI440" i="124"/>
  <c r="CD440" i="124"/>
  <c r="BO440" i="124"/>
  <c r="BT440" i="124"/>
  <c r="BY440" i="124"/>
  <c r="BJ440" i="124"/>
  <c r="AZ440" i="124"/>
  <c r="BE440" i="124"/>
  <c r="AP440" i="124"/>
  <c r="AU440" i="124"/>
  <c r="CN458" i="124"/>
  <c r="CI458" i="124"/>
  <c r="CD458" i="124"/>
  <c r="BO458" i="124"/>
  <c r="BT458" i="124"/>
  <c r="BJ458" i="124"/>
  <c r="AZ458" i="124"/>
  <c r="BY458" i="124"/>
  <c r="AP458" i="124"/>
  <c r="AU458" i="124"/>
  <c r="BE458" i="124"/>
  <c r="AK458" i="124"/>
  <c r="AK476" i="124"/>
  <c r="CN476" i="124"/>
  <c r="CI476" i="124"/>
  <c r="CD476" i="124"/>
  <c r="BO476" i="124"/>
  <c r="BT476" i="124"/>
  <c r="BJ476" i="124"/>
  <c r="BY476" i="124"/>
  <c r="BE476" i="124"/>
  <c r="AP476" i="124"/>
  <c r="AU476" i="124"/>
  <c r="AZ476" i="124"/>
  <c r="CN494" i="124"/>
  <c r="CI494" i="124"/>
  <c r="CD494" i="124"/>
  <c r="BO494" i="124"/>
  <c r="BT494" i="124"/>
  <c r="BY494" i="124"/>
  <c r="BJ494" i="124"/>
  <c r="AP494" i="124"/>
  <c r="AU494" i="124"/>
  <c r="BE494" i="124"/>
  <c r="AZ494" i="124"/>
  <c r="AK494" i="124"/>
  <c r="AK512" i="124"/>
  <c r="CN512" i="124"/>
  <c r="CI512" i="124"/>
  <c r="CD512" i="124"/>
  <c r="BT512" i="124"/>
  <c r="BO512" i="124"/>
  <c r="BJ512" i="124"/>
  <c r="BY512" i="124"/>
  <c r="BE512" i="124"/>
  <c r="AP512" i="124"/>
  <c r="AU512" i="124"/>
  <c r="AZ512" i="124"/>
  <c r="AK530" i="124"/>
  <c r="CN530" i="124"/>
  <c r="CI530" i="124"/>
  <c r="CD530" i="124"/>
  <c r="BT530" i="124"/>
  <c r="BO530" i="124"/>
  <c r="BJ530" i="124"/>
  <c r="BY530" i="124"/>
  <c r="AP530" i="124"/>
  <c r="AU530" i="124"/>
  <c r="BE530" i="124"/>
  <c r="AZ530" i="124"/>
  <c r="AK548" i="124"/>
  <c r="CN548" i="124"/>
  <c r="CI548" i="124"/>
  <c r="CD548" i="124"/>
  <c r="BT548" i="124"/>
  <c r="BY548" i="124"/>
  <c r="BO548" i="124"/>
  <c r="BJ548" i="124"/>
  <c r="BE548" i="124"/>
  <c r="AP548" i="124"/>
  <c r="AU548" i="124"/>
  <c r="AZ548" i="124"/>
  <c r="AK566" i="124"/>
  <c r="CN566" i="124"/>
  <c r="CI566" i="124"/>
  <c r="CD566" i="124"/>
  <c r="BT566" i="124"/>
  <c r="BO566" i="124"/>
  <c r="BJ566" i="124"/>
  <c r="BY566" i="124"/>
  <c r="AP566" i="124"/>
  <c r="AU566" i="124"/>
  <c r="BE566" i="124"/>
  <c r="AZ566" i="124"/>
  <c r="AK584" i="124"/>
  <c r="CN584" i="124"/>
  <c r="CI584" i="124"/>
  <c r="CD584" i="124"/>
  <c r="BT584" i="124"/>
  <c r="BO584" i="124"/>
  <c r="BJ584" i="124"/>
  <c r="BY584" i="124"/>
  <c r="BE584" i="124"/>
  <c r="AP584" i="124"/>
  <c r="AU584" i="124"/>
  <c r="AZ584" i="124"/>
  <c r="CN303" i="124"/>
  <c r="CI303" i="124"/>
  <c r="BY303" i="124"/>
  <c r="CD303" i="124"/>
  <c r="BT303" i="124"/>
  <c r="BO303" i="124"/>
  <c r="BJ303" i="124"/>
  <c r="BE303" i="124"/>
  <c r="AP303" i="124"/>
  <c r="AZ303" i="124"/>
  <c r="AU303" i="124"/>
  <c r="AK303" i="124"/>
  <c r="CN321" i="124"/>
  <c r="CI321" i="124"/>
  <c r="BY321" i="124"/>
  <c r="CD321" i="124"/>
  <c r="BT321" i="124"/>
  <c r="BO321" i="124"/>
  <c r="BJ321" i="124"/>
  <c r="BE321" i="124"/>
  <c r="AP321" i="124"/>
  <c r="AU321" i="124"/>
  <c r="AZ321" i="124"/>
  <c r="AK321" i="124"/>
  <c r="CN339" i="124"/>
  <c r="BY339" i="124"/>
  <c r="CI339" i="124"/>
  <c r="CD339" i="124"/>
  <c r="BT339" i="124"/>
  <c r="BO339" i="124"/>
  <c r="BJ339" i="124"/>
  <c r="BE339" i="124"/>
  <c r="AP339" i="124"/>
  <c r="AZ339" i="124"/>
  <c r="AU339" i="124"/>
  <c r="AK339" i="124"/>
  <c r="CN357" i="124"/>
  <c r="BY357" i="124"/>
  <c r="CD357" i="124"/>
  <c r="CI357" i="124"/>
  <c r="BT357" i="124"/>
  <c r="BO357" i="124"/>
  <c r="BJ357" i="124"/>
  <c r="BE357" i="124"/>
  <c r="AP357" i="124"/>
  <c r="AU357" i="124"/>
  <c r="AZ357" i="124"/>
  <c r="AK357" i="124"/>
  <c r="CN375" i="124"/>
  <c r="CI375" i="124"/>
  <c r="BY375" i="124"/>
  <c r="CD375" i="124"/>
  <c r="BT375" i="124"/>
  <c r="BO375" i="124"/>
  <c r="BJ375" i="124"/>
  <c r="BE375" i="124"/>
  <c r="AP375" i="124"/>
  <c r="AZ375" i="124"/>
  <c r="AU375" i="124"/>
  <c r="AK375" i="124"/>
  <c r="CN393" i="124"/>
  <c r="BY393" i="124"/>
  <c r="CI393" i="124"/>
  <c r="CD393" i="124"/>
  <c r="BT393" i="124"/>
  <c r="BO393" i="124"/>
  <c r="BJ393" i="124"/>
  <c r="BE393" i="124"/>
  <c r="AP393" i="124"/>
  <c r="AZ393" i="124"/>
  <c r="AU393" i="124"/>
  <c r="AK393" i="124"/>
  <c r="CN411" i="124"/>
  <c r="BY411" i="124"/>
  <c r="CD411" i="124"/>
  <c r="CI411" i="124"/>
  <c r="BT411" i="124"/>
  <c r="BO411" i="124"/>
  <c r="BJ411" i="124"/>
  <c r="BE411" i="124"/>
  <c r="AP411" i="124"/>
  <c r="AZ411" i="124"/>
  <c r="AU411" i="124"/>
  <c r="AK411" i="124"/>
  <c r="CN429" i="124"/>
  <c r="CI429" i="124"/>
  <c r="BY429" i="124"/>
  <c r="CD429" i="124"/>
  <c r="BO429" i="124"/>
  <c r="BJ429" i="124"/>
  <c r="BT429" i="124"/>
  <c r="BE429" i="124"/>
  <c r="AP429" i="124"/>
  <c r="AZ429" i="124"/>
  <c r="AU429" i="124"/>
  <c r="AK429" i="124"/>
  <c r="CN447" i="124"/>
  <c r="BY447" i="124"/>
  <c r="CI447" i="124"/>
  <c r="CD447" i="124"/>
  <c r="BO447" i="124"/>
  <c r="BJ447" i="124"/>
  <c r="BT447" i="124"/>
  <c r="BE447" i="124"/>
  <c r="AZ447" i="124"/>
  <c r="AP447" i="124"/>
  <c r="AU447" i="124"/>
  <c r="AK447" i="124"/>
  <c r="CN465" i="124"/>
  <c r="BY465" i="124"/>
  <c r="CD465" i="124"/>
  <c r="CI465" i="124"/>
  <c r="BO465" i="124"/>
  <c r="BJ465" i="124"/>
  <c r="BT465" i="124"/>
  <c r="BE465" i="124"/>
  <c r="AZ465" i="124"/>
  <c r="AU465" i="124"/>
  <c r="AP465" i="124"/>
  <c r="AK465" i="124"/>
  <c r="CN483" i="124"/>
  <c r="CI483" i="124"/>
  <c r="BY483" i="124"/>
  <c r="CD483" i="124"/>
  <c r="BO483" i="124"/>
  <c r="BJ483" i="124"/>
  <c r="BT483" i="124"/>
  <c r="BE483" i="124"/>
  <c r="AZ483" i="124"/>
  <c r="AP483" i="124"/>
  <c r="AU483" i="124"/>
  <c r="AK483" i="124"/>
  <c r="CN501" i="124"/>
  <c r="BY501" i="124"/>
  <c r="CI501" i="124"/>
  <c r="CD501" i="124"/>
  <c r="BT501" i="124"/>
  <c r="BJ501" i="124"/>
  <c r="BO501" i="124"/>
  <c r="BE501" i="124"/>
  <c r="AZ501" i="124"/>
  <c r="AP501" i="124"/>
  <c r="AU501" i="124"/>
  <c r="AK501" i="124"/>
  <c r="CN519" i="124"/>
  <c r="CI519" i="124"/>
  <c r="BY519" i="124"/>
  <c r="CD519" i="124"/>
  <c r="BO519" i="124"/>
  <c r="BJ519" i="124"/>
  <c r="BT519" i="124"/>
  <c r="BE519" i="124"/>
  <c r="AZ519" i="124"/>
  <c r="AP519" i="124"/>
  <c r="AU519" i="124"/>
  <c r="AK519" i="124"/>
  <c r="CN537" i="124"/>
  <c r="CI537" i="124"/>
  <c r="BY537" i="124"/>
  <c r="CD537" i="124"/>
  <c r="BJ537" i="124"/>
  <c r="BT537" i="124"/>
  <c r="BO537" i="124"/>
  <c r="BE537" i="124"/>
  <c r="AZ537" i="124"/>
  <c r="AP537" i="124"/>
  <c r="AU537" i="124"/>
  <c r="AK537" i="124"/>
  <c r="CN555" i="124"/>
  <c r="CI555" i="124"/>
  <c r="BY555" i="124"/>
  <c r="CD555" i="124"/>
  <c r="BO555" i="124"/>
  <c r="BJ555" i="124"/>
  <c r="BT555" i="124"/>
  <c r="BE555" i="124"/>
  <c r="AZ555" i="124"/>
  <c r="AP555" i="124"/>
  <c r="AU555" i="124"/>
  <c r="AK555" i="124"/>
  <c r="CI573" i="124"/>
  <c r="CN573" i="124"/>
  <c r="BY573" i="124"/>
  <c r="CD573" i="124"/>
  <c r="BT573" i="124"/>
  <c r="BJ573" i="124"/>
  <c r="BO573" i="124"/>
  <c r="BE573" i="124"/>
  <c r="AZ573" i="124"/>
  <c r="AU573" i="124"/>
  <c r="AP573" i="124"/>
  <c r="AK573" i="124"/>
  <c r="CN304" i="124"/>
  <c r="CI304" i="124"/>
  <c r="CD304" i="124"/>
  <c r="BY304" i="124"/>
  <c r="BO304" i="124"/>
  <c r="BJ304" i="124"/>
  <c r="BE304" i="124"/>
  <c r="BT304" i="124"/>
  <c r="AP304" i="124"/>
  <c r="AZ304" i="124"/>
  <c r="AU304" i="124"/>
  <c r="AK304" i="124"/>
  <c r="CN322" i="124"/>
  <c r="CI322" i="124"/>
  <c r="CD322" i="124"/>
  <c r="BY322" i="124"/>
  <c r="BO322" i="124"/>
  <c r="BJ322" i="124"/>
  <c r="BT322" i="124"/>
  <c r="BE322" i="124"/>
  <c r="AZ322" i="124"/>
  <c r="AP322" i="124"/>
  <c r="AU322" i="124"/>
  <c r="AK322" i="124"/>
  <c r="CN340" i="124"/>
  <c r="CI340" i="124"/>
  <c r="CD340" i="124"/>
  <c r="BY340" i="124"/>
  <c r="BO340" i="124"/>
  <c r="BJ340" i="124"/>
  <c r="BE340" i="124"/>
  <c r="BT340" i="124"/>
  <c r="AP340" i="124"/>
  <c r="AZ340" i="124"/>
  <c r="AU340" i="124"/>
  <c r="AK340" i="124"/>
  <c r="CN358" i="124"/>
  <c r="CI358" i="124"/>
  <c r="CD358" i="124"/>
  <c r="BY358" i="124"/>
  <c r="BO358" i="124"/>
  <c r="BJ358" i="124"/>
  <c r="BT358" i="124"/>
  <c r="BE358" i="124"/>
  <c r="AZ358" i="124"/>
  <c r="AP358" i="124"/>
  <c r="AU358" i="124"/>
  <c r="AK358" i="124"/>
  <c r="CN376" i="124"/>
  <c r="CI376" i="124"/>
  <c r="CD376" i="124"/>
  <c r="BY376" i="124"/>
  <c r="BO376" i="124"/>
  <c r="BJ376" i="124"/>
  <c r="BE376" i="124"/>
  <c r="BT376" i="124"/>
  <c r="AP376" i="124"/>
  <c r="AZ376" i="124"/>
  <c r="AU376" i="124"/>
  <c r="AK376" i="124"/>
  <c r="CI394" i="124"/>
  <c r="CD394" i="124"/>
  <c r="CN394" i="124"/>
  <c r="BY394" i="124"/>
  <c r="BO394" i="124"/>
  <c r="BJ394" i="124"/>
  <c r="BT394" i="124"/>
  <c r="BE394" i="124"/>
  <c r="AZ394" i="124"/>
  <c r="AP394" i="124"/>
  <c r="AU394" i="124"/>
  <c r="AK394" i="124"/>
  <c r="CI412" i="124"/>
  <c r="CD412" i="124"/>
  <c r="CN412" i="124"/>
  <c r="BY412" i="124"/>
  <c r="BO412" i="124"/>
  <c r="BJ412" i="124"/>
  <c r="BE412" i="124"/>
  <c r="BT412" i="124"/>
  <c r="AP412" i="124"/>
  <c r="AZ412" i="124"/>
  <c r="AU412" i="124"/>
  <c r="AK412" i="124"/>
  <c r="CI430" i="124"/>
  <c r="CD430" i="124"/>
  <c r="CN430" i="124"/>
  <c r="BY430" i="124"/>
  <c r="BO430" i="124"/>
  <c r="BJ430" i="124"/>
  <c r="BE430" i="124"/>
  <c r="BT430" i="124"/>
  <c r="AZ430" i="124"/>
  <c r="AP430" i="124"/>
  <c r="AU430" i="124"/>
  <c r="AK430" i="124"/>
  <c r="CI448" i="124"/>
  <c r="CD448" i="124"/>
  <c r="CN448" i="124"/>
  <c r="BY448" i="124"/>
  <c r="BO448" i="124"/>
  <c r="BT448" i="124"/>
  <c r="BE448" i="124"/>
  <c r="BJ448" i="124"/>
  <c r="AP448" i="124"/>
  <c r="AZ448" i="124"/>
  <c r="AU448" i="124"/>
  <c r="AK448" i="124"/>
  <c r="CI466" i="124"/>
  <c r="CN466" i="124"/>
  <c r="CD466" i="124"/>
  <c r="BY466" i="124"/>
  <c r="BO466" i="124"/>
  <c r="BE466" i="124"/>
  <c r="BJ466" i="124"/>
  <c r="BT466" i="124"/>
  <c r="AZ466" i="124"/>
  <c r="AP466" i="124"/>
  <c r="AU466" i="124"/>
  <c r="AK466" i="124"/>
  <c r="CI484" i="124"/>
  <c r="CN484" i="124"/>
  <c r="CD484" i="124"/>
  <c r="BY484" i="124"/>
  <c r="BO484" i="124"/>
  <c r="BT484" i="124"/>
  <c r="BE484" i="124"/>
  <c r="BJ484" i="124"/>
  <c r="AZ484" i="124"/>
  <c r="AP484" i="124"/>
  <c r="AU484" i="124"/>
  <c r="AK484" i="124"/>
  <c r="CI502" i="124"/>
  <c r="CN502" i="124"/>
  <c r="CD502" i="124"/>
  <c r="BY502" i="124"/>
  <c r="BE502" i="124"/>
  <c r="BT502" i="124"/>
  <c r="BJ502" i="124"/>
  <c r="BO502" i="124"/>
  <c r="AZ502" i="124"/>
  <c r="AP502" i="124"/>
  <c r="AU502" i="124"/>
  <c r="AK502" i="124"/>
  <c r="CN520" i="124"/>
  <c r="CD520" i="124"/>
  <c r="CI520" i="124"/>
  <c r="BY520" i="124"/>
  <c r="BT520" i="124"/>
  <c r="BE520" i="124"/>
  <c r="BO520" i="124"/>
  <c r="BJ520" i="124"/>
  <c r="AZ520" i="124"/>
  <c r="AP520" i="124"/>
  <c r="AU520" i="124"/>
  <c r="AK520" i="124"/>
  <c r="CN538" i="124"/>
  <c r="CD538" i="124"/>
  <c r="CI538" i="124"/>
  <c r="BY538" i="124"/>
  <c r="BE538" i="124"/>
  <c r="BJ538" i="124"/>
  <c r="BT538" i="124"/>
  <c r="BO538" i="124"/>
  <c r="AZ538" i="124"/>
  <c r="AP538" i="124"/>
  <c r="AU538" i="124"/>
  <c r="AK538" i="124"/>
  <c r="CN556" i="124"/>
  <c r="CD556" i="124"/>
  <c r="CI556" i="124"/>
  <c r="BY556" i="124"/>
  <c r="BT556" i="124"/>
  <c r="BE556" i="124"/>
  <c r="BO556" i="124"/>
  <c r="BJ556" i="124"/>
  <c r="AZ556" i="124"/>
  <c r="AP556" i="124"/>
  <c r="AU556" i="124"/>
  <c r="AK556" i="124"/>
  <c r="CD574" i="124"/>
  <c r="CN574" i="124"/>
  <c r="CI574" i="124"/>
  <c r="BY574" i="124"/>
  <c r="BE574" i="124"/>
  <c r="BT574" i="124"/>
  <c r="BJ574" i="124"/>
  <c r="BO574" i="124"/>
  <c r="AZ574" i="124"/>
  <c r="AP574" i="124"/>
  <c r="AU574" i="124"/>
  <c r="AK574" i="124"/>
  <c r="AK293" i="124"/>
  <c r="CN293" i="124"/>
  <c r="CD293" i="124"/>
  <c r="CI293" i="124"/>
  <c r="BT293" i="124"/>
  <c r="BY293" i="124"/>
  <c r="BJ293" i="124"/>
  <c r="BE293" i="124"/>
  <c r="BO293" i="124"/>
  <c r="AZ293" i="124"/>
  <c r="AU293" i="124"/>
  <c r="AP293" i="124"/>
  <c r="AK311" i="124"/>
  <c r="CN311" i="124"/>
  <c r="CI311" i="124"/>
  <c r="CD311" i="124"/>
  <c r="BT311" i="124"/>
  <c r="BY311" i="124"/>
  <c r="BE311" i="124"/>
  <c r="BO311" i="124"/>
  <c r="BJ311" i="124"/>
  <c r="AZ311" i="124"/>
  <c r="AU311" i="124"/>
  <c r="AP311" i="124"/>
  <c r="AK329" i="124"/>
  <c r="CN329" i="124"/>
  <c r="CD329" i="124"/>
  <c r="CI329" i="124"/>
  <c r="BY329" i="124"/>
  <c r="BT329" i="124"/>
  <c r="BJ329" i="124"/>
  <c r="BE329" i="124"/>
  <c r="BO329" i="124"/>
  <c r="AZ329" i="124"/>
  <c r="AU329" i="124"/>
  <c r="AP329" i="124"/>
  <c r="AK347" i="124"/>
  <c r="CN347" i="124"/>
  <c r="CD347" i="124"/>
  <c r="BY347" i="124"/>
  <c r="CI347" i="124"/>
  <c r="BT347" i="124"/>
  <c r="BO347" i="124"/>
  <c r="BJ347" i="124"/>
  <c r="AZ347" i="124"/>
  <c r="BE347" i="124"/>
  <c r="AU347" i="124"/>
  <c r="AP347" i="124"/>
  <c r="AK365" i="124"/>
  <c r="CN365" i="124"/>
  <c r="CI365" i="124"/>
  <c r="CD365" i="124"/>
  <c r="BY365" i="124"/>
  <c r="BT365" i="124"/>
  <c r="BJ365" i="124"/>
  <c r="BO365" i="124"/>
  <c r="AZ365" i="124"/>
  <c r="BE365" i="124"/>
  <c r="AU365" i="124"/>
  <c r="AP365" i="124"/>
  <c r="AK383" i="124"/>
  <c r="CN383" i="124"/>
  <c r="CD383" i="124"/>
  <c r="CI383" i="124"/>
  <c r="BY383" i="124"/>
  <c r="BT383" i="124"/>
  <c r="BO383" i="124"/>
  <c r="BJ383" i="124"/>
  <c r="AZ383" i="124"/>
  <c r="BE383" i="124"/>
  <c r="AU383" i="124"/>
  <c r="AP383" i="124"/>
  <c r="AK401" i="124"/>
  <c r="CN401" i="124"/>
  <c r="CD401" i="124"/>
  <c r="BY401" i="124"/>
  <c r="CI401" i="124"/>
  <c r="BT401" i="124"/>
  <c r="BJ401" i="124"/>
  <c r="BO401" i="124"/>
  <c r="AZ401" i="124"/>
  <c r="AU401" i="124"/>
  <c r="BE401" i="124"/>
  <c r="AP401" i="124"/>
  <c r="AK419" i="124"/>
  <c r="CN419" i="124"/>
  <c r="CI419" i="124"/>
  <c r="CD419" i="124"/>
  <c r="BY419" i="124"/>
  <c r="BT419" i="124"/>
  <c r="BO419" i="124"/>
  <c r="BJ419" i="124"/>
  <c r="AZ419" i="124"/>
  <c r="BE419" i="124"/>
  <c r="AU419" i="124"/>
  <c r="AP419" i="124"/>
  <c r="AK437" i="124"/>
  <c r="CN437" i="124"/>
  <c r="CD437" i="124"/>
  <c r="CI437" i="124"/>
  <c r="BY437" i="124"/>
  <c r="BT437" i="124"/>
  <c r="BJ437" i="124"/>
  <c r="BO437" i="124"/>
  <c r="AZ437" i="124"/>
  <c r="AU437" i="124"/>
  <c r="BE437" i="124"/>
  <c r="AP437" i="124"/>
  <c r="AK455" i="124"/>
  <c r="CN455" i="124"/>
  <c r="CD455" i="124"/>
  <c r="BY455" i="124"/>
  <c r="CI455" i="124"/>
  <c r="BT455" i="124"/>
  <c r="BO455" i="124"/>
  <c r="BJ455" i="124"/>
  <c r="AZ455" i="124"/>
  <c r="BE455" i="124"/>
  <c r="AU455" i="124"/>
  <c r="AP455" i="124"/>
  <c r="CN473" i="124"/>
  <c r="CI473" i="124"/>
  <c r="BY473" i="124"/>
  <c r="CD473" i="124"/>
  <c r="BT473" i="124"/>
  <c r="BO473" i="124"/>
  <c r="BJ473" i="124"/>
  <c r="AZ473" i="124"/>
  <c r="AU473" i="124"/>
  <c r="BE473" i="124"/>
  <c r="AP473" i="124"/>
  <c r="AK473" i="124"/>
  <c r="CN491" i="124"/>
  <c r="CI491" i="124"/>
  <c r="BY491" i="124"/>
  <c r="CD491" i="124"/>
  <c r="BT491" i="124"/>
  <c r="BO491" i="124"/>
  <c r="BJ491" i="124"/>
  <c r="BE491" i="124"/>
  <c r="AZ491" i="124"/>
  <c r="AU491" i="124"/>
  <c r="AP491" i="124"/>
  <c r="AK491" i="124"/>
  <c r="CN509" i="124"/>
  <c r="CI509" i="124"/>
  <c r="BY509" i="124"/>
  <c r="CD509" i="124"/>
  <c r="BT509" i="124"/>
  <c r="BO509" i="124"/>
  <c r="BJ509" i="124"/>
  <c r="AZ509" i="124"/>
  <c r="AU509" i="124"/>
  <c r="BE509" i="124"/>
  <c r="AP509" i="124"/>
  <c r="AK509" i="124"/>
  <c r="CN527" i="124"/>
  <c r="CI527" i="124"/>
  <c r="BY527" i="124"/>
  <c r="CD527" i="124"/>
  <c r="BT527" i="124"/>
  <c r="BO527" i="124"/>
  <c r="BJ527" i="124"/>
  <c r="BE527" i="124"/>
  <c r="AZ527" i="124"/>
  <c r="AU527" i="124"/>
  <c r="AP527" i="124"/>
  <c r="AK527" i="124"/>
  <c r="CN545" i="124"/>
  <c r="CI545" i="124"/>
  <c r="BY545" i="124"/>
  <c r="CD545" i="124"/>
  <c r="BT545" i="124"/>
  <c r="BO545" i="124"/>
  <c r="BJ545" i="124"/>
  <c r="AZ545" i="124"/>
  <c r="AU545" i="124"/>
  <c r="BE545" i="124"/>
  <c r="AP545" i="124"/>
  <c r="AK545" i="124"/>
  <c r="CN563" i="124"/>
  <c r="CI563" i="124"/>
  <c r="BY563" i="124"/>
  <c r="CD563" i="124"/>
  <c r="BT563" i="124"/>
  <c r="BO563" i="124"/>
  <c r="BJ563" i="124"/>
  <c r="BE563" i="124"/>
  <c r="AZ563" i="124"/>
  <c r="AU563" i="124"/>
  <c r="AP563" i="124"/>
  <c r="AK563" i="124"/>
  <c r="CN581" i="124"/>
  <c r="CI581" i="124"/>
  <c r="BY581" i="124"/>
  <c r="CD581" i="124"/>
  <c r="BT581" i="124"/>
  <c r="BO581" i="124"/>
  <c r="BJ581" i="124"/>
  <c r="AZ581" i="124"/>
  <c r="AU581" i="124"/>
  <c r="BE581" i="124"/>
  <c r="AP581" i="124"/>
  <c r="AK581" i="124"/>
  <c r="CN300" i="124"/>
  <c r="CI300" i="124"/>
  <c r="BY300" i="124"/>
  <c r="CD300" i="124"/>
  <c r="BT300" i="124"/>
  <c r="AZ300" i="124"/>
  <c r="BO300" i="124"/>
  <c r="BE300" i="124"/>
  <c r="BJ300" i="124"/>
  <c r="AU300" i="124"/>
  <c r="AP300" i="124"/>
  <c r="AK300" i="124"/>
  <c r="CN318" i="124"/>
  <c r="CI318" i="124"/>
  <c r="BY318" i="124"/>
  <c r="CD318" i="124"/>
  <c r="BT318" i="124"/>
  <c r="BO318" i="124"/>
  <c r="AZ318" i="124"/>
  <c r="BJ318" i="124"/>
  <c r="BE318" i="124"/>
  <c r="AU318" i="124"/>
  <c r="AP318" i="124"/>
  <c r="AK318" i="124"/>
  <c r="CN336" i="124"/>
  <c r="CI336" i="124"/>
  <c r="BY336" i="124"/>
  <c r="CD336" i="124"/>
  <c r="BT336" i="124"/>
  <c r="AZ336" i="124"/>
  <c r="BE336" i="124"/>
  <c r="BO336" i="124"/>
  <c r="BJ336" i="124"/>
  <c r="AU336" i="124"/>
  <c r="AP336" i="124"/>
  <c r="AK336" i="124"/>
  <c r="CN354" i="124"/>
  <c r="CI354" i="124"/>
  <c r="BY354" i="124"/>
  <c r="CD354" i="124"/>
  <c r="BT354" i="124"/>
  <c r="BO354" i="124"/>
  <c r="AZ354" i="124"/>
  <c r="BJ354" i="124"/>
  <c r="BE354" i="124"/>
  <c r="AU354" i="124"/>
  <c r="AP354" i="124"/>
  <c r="AK354" i="124"/>
  <c r="CI372" i="124"/>
  <c r="CN372" i="124"/>
  <c r="BY372" i="124"/>
  <c r="CD372" i="124"/>
  <c r="BT372" i="124"/>
  <c r="AZ372" i="124"/>
  <c r="BO372" i="124"/>
  <c r="BE372" i="124"/>
  <c r="BJ372" i="124"/>
  <c r="AU372" i="124"/>
  <c r="AP372" i="124"/>
  <c r="AK372" i="124"/>
  <c r="CI390" i="124"/>
  <c r="CN390" i="124"/>
  <c r="BY390" i="124"/>
  <c r="CD390" i="124"/>
  <c r="BT390" i="124"/>
  <c r="BO390" i="124"/>
  <c r="AZ390" i="124"/>
  <c r="BJ390" i="124"/>
  <c r="BE390" i="124"/>
  <c r="AU390" i="124"/>
  <c r="AP390" i="124"/>
  <c r="AK390" i="124"/>
  <c r="CI408" i="124"/>
  <c r="CN408" i="124"/>
  <c r="BY408" i="124"/>
  <c r="CD408" i="124"/>
  <c r="BT408" i="124"/>
  <c r="AZ408" i="124"/>
  <c r="BE408" i="124"/>
  <c r="BO408" i="124"/>
  <c r="BJ408" i="124"/>
  <c r="AU408" i="124"/>
  <c r="AP408" i="124"/>
  <c r="AK408" i="124"/>
  <c r="CI426" i="124"/>
  <c r="CN426" i="124"/>
  <c r="BY426" i="124"/>
  <c r="CD426" i="124"/>
  <c r="BT426" i="124"/>
  <c r="BO426" i="124"/>
  <c r="AZ426" i="124"/>
  <c r="BJ426" i="124"/>
  <c r="BE426" i="124"/>
  <c r="AU426" i="124"/>
  <c r="AP426" i="124"/>
  <c r="AK426" i="124"/>
  <c r="CI444" i="124"/>
  <c r="CN444" i="124"/>
  <c r="BY444" i="124"/>
  <c r="CD444" i="124"/>
  <c r="BT444" i="124"/>
  <c r="AZ444" i="124"/>
  <c r="BO444" i="124"/>
  <c r="BE444" i="124"/>
  <c r="BJ444" i="124"/>
  <c r="AU444" i="124"/>
  <c r="AP444" i="124"/>
  <c r="AK444" i="124"/>
  <c r="CI462" i="124"/>
  <c r="CN462" i="124"/>
  <c r="BY462" i="124"/>
  <c r="CD462" i="124"/>
  <c r="BT462" i="124"/>
  <c r="BO462" i="124"/>
  <c r="AZ462" i="124"/>
  <c r="BE462" i="124"/>
  <c r="BJ462" i="124"/>
  <c r="AU462" i="124"/>
  <c r="AP462" i="124"/>
  <c r="AK462" i="124"/>
  <c r="CI480" i="124"/>
  <c r="CN480" i="124"/>
  <c r="BY480" i="124"/>
  <c r="CD480" i="124"/>
  <c r="BT480" i="124"/>
  <c r="BE480" i="124"/>
  <c r="BO480" i="124"/>
  <c r="BJ480" i="124"/>
  <c r="AU480" i="124"/>
  <c r="AZ480" i="124"/>
  <c r="AP480" i="124"/>
  <c r="AK480" i="124"/>
  <c r="CI498" i="124"/>
  <c r="CN498" i="124"/>
  <c r="BY498" i="124"/>
  <c r="BT498" i="124"/>
  <c r="CD498" i="124"/>
  <c r="BO498" i="124"/>
  <c r="BE498" i="124"/>
  <c r="BJ498" i="124"/>
  <c r="AU498" i="124"/>
  <c r="AZ498" i="124"/>
  <c r="AP498" i="124"/>
  <c r="AK498" i="124"/>
  <c r="CN516" i="124"/>
  <c r="BY516" i="124"/>
  <c r="CI516" i="124"/>
  <c r="CD516" i="124"/>
  <c r="BT516" i="124"/>
  <c r="BE516" i="124"/>
  <c r="BJ516" i="124"/>
  <c r="BO516" i="124"/>
  <c r="AU516" i="124"/>
  <c r="AZ516" i="124"/>
  <c r="AP516" i="124"/>
  <c r="AK516" i="124"/>
  <c r="CN534" i="124"/>
  <c r="BY534" i="124"/>
  <c r="CI534" i="124"/>
  <c r="BT534" i="124"/>
  <c r="CD534" i="124"/>
  <c r="BO534" i="124"/>
  <c r="BE534" i="124"/>
  <c r="BJ534" i="124"/>
  <c r="AU534" i="124"/>
  <c r="AZ534" i="124"/>
  <c r="AP534" i="124"/>
  <c r="AK534" i="124"/>
  <c r="CN552" i="124"/>
  <c r="BY552" i="124"/>
  <c r="CI552" i="124"/>
  <c r="CD552" i="124"/>
  <c r="BT552" i="124"/>
  <c r="BE552" i="124"/>
  <c r="BJ552" i="124"/>
  <c r="BO552" i="124"/>
  <c r="AU552" i="124"/>
  <c r="AZ552" i="124"/>
  <c r="AP552" i="124"/>
  <c r="AK552" i="124"/>
  <c r="CN570" i="124"/>
  <c r="BY570" i="124"/>
  <c r="CI570" i="124"/>
  <c r="BT570" i="124"/>
  <c r="CD570" i="124"/>
  <c r="BO570" i="124"/>
  <c r="BE570" i="124"/>
  <c r="BJ570" i="124"/>
  <c r="AU570" i="124"/>
  <c r="AZ570" i="124"/>
  <c r="AP570" i="124"/>
  <c r="AK570" i="124"/>
  <c r="BY588" i="124"/>
  <c r="CN588" i="124"/>
  <c r="CI588" i="124"/>
  <c r="CD588" i="124"/>
  <c r="BT588" i="124"/>
  <c r="BE588" i="124"/>
  <c r="BJ588" i="124"/>
  <c r="BO588" i="124"/>
  <c r="AU588" i="124"/>
  <c r="AZ588" i="124"/>
  <c r="AP588" i="124"/>
  <c r="AK588" i="124"/>
  <c r="CI307" i="124"/>
  <c r="CN307" i="124"/>
  <c r="CD307" i="124"/>
  <c r="BT307" i="124"/>
  <c r="BY307" i="124"/>
  <c r="BO307" i="124"/>
  <c r="BJ307" i="124"/>
  <c r="AU307" i="124"/>
  <c r="BE307" i="124"/>
  <c r="AP307" i="124"/>
  <c r="AZ307" i="124"/>
  <c r="AK307" i="124"/>
  <c r="CI325" i="124"/>
  <c r="CN325" i="124"/>
  <c r="CD325" i="124"/>
  <c r="BT325" i="124"/>
  <c r="BY325" i="124"/>
  <c r="BO325" i="124"/>
  <c r="BJ325" i="124"/>
  <c r="AZ325" i="124"/>
  <c r="AU325" i="124"/>
  <c r="BE325" i="124"/>
  <c r="AP325" i="124"/>
  <c r="AK325" i="124"/>
  <c r="CI343" i="124"/>
  <c r="CN343" i="124"/>
  <c r="CD343" i="124"/>
  <c r="BT343" i="124"/>
  <c r="BO343" i="124"/>
  <c r="BY343" i="124"/>
  <c r="BJ343" i="124"/>
  <c r="BE343" i="124"/>
  <c r="AU343" i="124"/>
  <c r="AP343" i="124"/>
  <c r="AZ343" i="124"/>
  <c r="AK343" i="124"/>
  <c r="CI361" i="124"/>
  <c r="CN361" i="124"/>
  <c r="CD361" i="124"/>
  <c r="BT361" i="124"/>
  <c r="BO361" i="124"/>
  <c r="BJ361" i="124"/>
  <c r="BY361" i="124"/>
  <c r="BE361" i="124"/>
  <c r="AZ361" i="124"/>
  <c r="AU361" i="124"/>
  <c r="AP361" i="124"/>
  <c r="AK361" i="124"/>
  <c r="CI379" i="124"/>
  <c r="CD379" i="124"/>
  <c r="CN379" i="124"/>
  <c r="BT379" i="124"/>
  <c r="BO379" i="124"/>
  <c r="BJ379" i="124"/>
  <c r="BY379" i="124"/>
  <c r="BE379" i="124"/>
  <c r="AU379" i="124"/>
  <c r="AP379" i="124"/>
  <c r="AZ379" i="124"/>
  <c r="AK379" i="124"/>
  <c r="CI397" i="124"/>
  <c r="CN397" i="124"/>
  <c r="CD397" i="124"/>
  <c r="BT397" i="124"/>
  <c r="BO397" i="124"/>
  <c r="BY397" i="124"/>
  <c r="BJ397" i="124"/>
  <c r="AZ397" i="124"/>
  <c r="AU397" i="124"/>
  <c r="BE397" i="124"/>
  <c r="AP397" i="124"/>
  <c r="AK397" i="124"/>
  <c r="CI415" i="124"/>
  <c r="CD415" i="124"/>
  <c r="CN415" i="124"/>
  <c r="BT415" i="124"/>
  <c r="BO415" i="124"/>
  <c r="BJ415" i="124"/>
  <c r="BY415" i="124"/>
  <c r="AU415" i="124"/>
  <c r="BE415" i="124"/>
  <c r="AP415" i="124"/>
  <c r="AZ415" i="124"/>
  <c r="AK415" i="124"/>
  <c r="CI433" i="124"/>
  <c r="CN433" i="124"/>
  <c r="CD433" i="124"/>
  <c r="BO433" i="124"/>
  <c r="BT433" i="124"/>
  <c r="BY433" i="124"/>
  <c r="BJ433" i="124"/>
  <c r="AZ433" i="124"/>
  <c r="AU433" i="124"/>
  <c r="BE433" i="124"/>
  <c r="AP433" i="124"/>
  <c r="AK433" i="124"/>
  <c r="CI451" i="124"/>
  <c r="CD451" i="124"/>
  <c r="CN451" i="124"/>
  <c r="BO451" i="124"/>
  <c r="BT451" i="124"/>
  <c r="BY451" i="124"/>
  <c r="BJ451" i="124"/>
  <c r="AU451" i="124"/>
  <c r="BE451" i="124"/>
  <c r="AP451" i="124"/>
  <c r="AZ451" i="124"/>
  <c r="AK451" i="124"/>
  <c r="CI469" i="124"/>
  <c r="CN469" i="124"/>
  <c r="CD469" i="124"/>
  <c r="BO469" i="124"/>
  <c r="BT469" i="124"/>
  <c r="BY469" i="124"/>
  <c r="BJ469" i="124"/>
  <c r="AU469" i="124"/>
  <c r="BE469" i="124"/>
  <c r="AZ469" i="124"/>
  <c r="AP469" i="124"/>
  <c r="AK469" i="124"/>
  <c r="CI487" i="124"/>
  <c r="CN487" i="124"/>
  <c r="CD487" i="124"/>
  <c r="BO487" i="124"/>
  <c r="BT487" i="124"/>
  <c r="BY487" i="124"/>
  <c r="BJ487" i="124"/>
  <c r="AU487" i="124"/>
  <c r="AZ487" i="124"/>
  <c r="BE487" i="124"/>
  <c r="AP487" i="124"/>
  <c r="AK487" i="124"/>
  <c r="CN505" i="124"/>
  <c r="CD505" i="124"/>
  <c r="CI505" i="124"/>
  <c r="BY505" i="124"/>
  <c r="BT505" i="124"/>
  <c r="BO505" i="124"/>
  <c r="BJ505" i="124"/>
  <c r="AU505" i="124"/>
  <c r="BE505" i="124"/>
  <c r="AZ505" i="124"/>
  <c r="AP505" i="124"/>
  <c r="AK505" i="124"/>
  <c r="AK523" i="124"/>
  <c r="CN523" i="124"/>
  <c r="CD523" i="124"/>
  <c r="CI523" i="124"/>
  <c r="BT523" i="124"/>
  <c r="BO523" i="124"/>
  <c r="BY523" i="124"/>
  <c r="BJ523" i="124"/>
  <c r="AU523" i="124"/>
  <c r="AZ523" i="124"/>
  <c r="BE523" i="124"/>
  <c r="AP523" i="124"/>
  <c r="AK541" i="124"/>
  <c r="CN541" i="124"/>
  <c r="CD541" i="124"/>
  <c r="CI541" i="124"/>
  <c r="BT541" i="124"/>
  <c r="BY541" i="124"/>
  <c r="BO541" i="124"/>
  <c r="BJ541" i="124"/>
  <c r="AU541" i="124"/>
  <c r="BE541" i="124"/>
  <c r="AZ541" i="124"/>
  <c r="AP541" i="124"/>
  <c r="AK559" i="124"/>
  <c r="CN559" i="124"/>
  <c r="CD559" i="124"/>
  <c r="CI559" i="124"/>
  <c r="BT559" i="124"/>
  <c r="BY559" i="124"/>
  <c r="BO559" i="124"/>
  <c r="BJ559" i="124"/>
  <c r="AU559" i="124"/>
  <c r="AZ559" i="124"/>
  <c r="BE559" i="124"/>
  <c r="AP559" i="124"/>
  <c r="AK577" i="124"/>
  <c r="CN577" i="124"/>
  <c r="CD577" i="124"/>
  <c r="CI577" i="124"/>
  <c r="BT577" i="124"/>
  <c r="BO577" i="124"/>
  <c r="BY577" i="124"/>
  <c r="BJ577" i="124"/>
  <c r="AU577" i="124"/>
  <c r="BE577" i="124"/>
  <c r="AZ577" i="124"/>
  <c r="AP577" i="124"/>
  <c r="AK302" i="124"/>
  <c r="CN302" i="124"/>
  <c r="CD302" i="124"/>
  <c r="CI302" i="124"/>
  <c r="BY302" i="124"/>
  <c r="BO302" i="124"/>
  <c r="BT302" i="124"/>
  <c r="AZ302" i="124"/>
  <c r="BE302" i="124"/>
  <c r="BJ302" i="124"/>
  <c r="AP302" i="124"/>
  <c r="AU302" i="124"/>
  <c r="CN320" i="124"/>
  <c r="CD320" i="124"/>
  <c r="CI320" i="124"/>
  <c r="BO320" i="124"/>
  <c r="BT320" i="124"/>
  <c r="BY320" i="124"/>
  <c r="BJ320" i="124"/>
  <c r="AZ320" i="124"/>
  <c r="BE320" i="124"/>
  <c r="AP320" i="124"/>
  <c r="AU320" i="124"/>
  <c r="AK320" i="124"/>
  <c r="AK338" i="124"/>
  <c r="CN338" i="124"/>
  <c r="CI338" i="124"/>
  <c r="CD338" i="124"/>
  <c r="BO338" i="124"/>
  <c r="BY338" i="124"/>
  <c r="BT338" i="124"/>
  <c r="AZ338" i="124"/>
  <c r="BE338" i="124"/>
  <c r="BJ338" i="124"/>
  <c r="AP338" i="124"/>
  <c r="AU338" i="124"/>
  <c r="CN356" i="124"/>
  <c r="CD356" i="124"/>
  <c r="CI356" i="124"/>
  <c r="BO356" i="124"/>
  <c r="BY356" i="124"/>
  <c r="BT356" i="124"/>
  <c r="BJ356" i="124"/>
  <c r="AZ356" i="124"/>
  <c r="BE356" i="124"/>
  <c r="AP356" i="124"/>
  <c r="AU356" i="124"/>
  <c r="AK356" i="124"/>
  <c r="AK374" i="124"/>
  <c r="CN374" i="124"/>
  <c r="CD374" i="124"/>
  <c r="BO374" i="124"/>
  <c r="BY374" i="124"/>
  <c r="BT374" i="124"/>
  <c r="CI374" i="124"/>
  <c r="AZ374" i="124"/>
  <c r="BE374" i="124"/>
  <c r="BJ374" i="124"/>
  <c r="AP374" i="124"/>
  <c r="AU374" i="124"/>
  <c r="CN392" i="124"/>
  <c r="CI392" i="124"/>
  <c r="CD392" i="124"/>
  <c r="BO392" i="124"/>
  <c r="BY392" i="124"/>
  <c r="BT392" i="124"/>
  <c r="BJ392" i="124"/>
  <c r="AZ392" i="124"/>
  <c r="BE392" i="124"/>
  <c r="AP392" i="124"/>
  <c r="AU392" i="124"/>
  <c r="AK392" i="124"/>
  <c r="AK410" i="124"/>
  <c r="CN410" i="124"/>
  <c r="CD410" i="124"/>
  <c r="CI410" i="124"/>
  <c r="BO410" i="124"/>
  <c r="BY410" i="124"/>
  <c r="BT410" i="124"/>
  <c r="AZ410" i="124"/>
  <c r="BJ410" i="124"/>
  <c r="AP410" i="124"/>
  <c r="AU410" i="124"/>
  <c r="BE410" i="124"/>
  <c r="CN428" i="124"/>
  <c r="CD428" i="124"/>
  <c r="BO428" i="124"/>
  <c r="BY428" i="124"/>
  <c r="BT428" i="124"/>
  <c r="CI428" i="124"/>
  <c r="BJ428" i="124"/>
  <c r="AZ428" i="124"/>
  <c r="BE428" i="124"/>
  <c r="AP428" i="124"/>
  <c r="AU428" i="124"/>
  <c r="AK428" i="124"/>
  <c r="AK446" i="124"/>
  <c r="CN446" i="124"/>
  <c r="CI446" i="124"/>
  <c r="CD446" i="124"/>
  <c r="BO446" i="124"/>
  <c r="BY446" i="124"/>
  <c r="BT446" i="124"/>
  <c r="BJ446" i="124"/>
  <c r="AZ446" i="124"/>
  <c r="AP446" i="124"/>
  <c r="AU446" i="124"/>
  <c r="BE446" i="124"/>
  <c r="CN464" i="124"/>
  <c r="CD464" i="124"/>
  <c r="CI464" i="124"/>
  <c r="BO464" i="124"/>
  <c r="BY464" i="124"/>
  <c r="BT464" i="124"/>
  <c r="BJ464" i="124"/>
  <c r="AZ464" i="124"/>
  <c r="BE464" i="124"/>
  <c r="AP464" i="124"/>
  <c r="AU464" i="124"/>
  <c r="AK464" i="124"/>
  <c r="AK482" i="124"/>
  <c r="CN482" i="124"/>
  <c r="CD482" i="124"/>
  <c r="BO482" i="124"/>
  <c r="BY482" i="124"/>
  <c r="BT482" i="124"/>
  <c r="CI482" i="124"/>
  <c r="BJ482" i="124"/>
  <c r="AP482" i="124"/>
  <c r="AU482" i="124"/>
  <c r="BE482" i="124"/>
  <c r="AZ482" i="124"/>
  <c r="CN500" i="124"/>
  <c r="CI500" i="124"/>
  <c r="CD500" i="124"/>
  <c r="BY500" i="124"/>
  <c r="BT500" i="124"/>
  <c r="BO500" i="124"/>
  <c r="BJ500" i="124"/>
  <c r="BE500" i="124"/>
  <c r="AP500" i="124"/>
  <c r="AU500" i="124"/>
  <c r="AZ500" i="124"/>
  <c r="AK500" i="124"/>
  <c r="AK518" i="124"/>
  <c r="CN518" i="124"/>
  <c r="CI518" i="124"/>
  <c r="CD518" i="124"/>
  <c r="BY518" i="124"/>
  <c r="BT518" i="124"/>
  <c r="BO518" i="124"/>
  <c r="BJ518" i="124"/>
  <c r="AP518" i="124"/>
  <c r="AU518" i="124"/>
  <c r="BE518" i="124"/>
  <c r="AZ518" i="124"/>
  <c r="AK536" i="124"/>
  <c r="CN536" i="124"/>
  <c r="CI536" i="124"/>
  <c r="CD536" i="124"/>
  <c r="BY536" i="124"/>
  <c r="BT536" i="124"/>
  <c r="BO536" i="124"/>
  <c r="BJ536" i="124"/>
  <c r="BE536" i="124"/>
  <c r="AP536" i="124"/>
  <c r="AU536" i="124"/>
  <c r="AZ536" i="124"/>
  <c r="AK554" i="124"/>
  <c r="CN554" i="124"/>
  <c r="CI554" i="124"/>
  <c r="CD554" i="124"/>
  <c r="BY554" i="124"/>
  <c r="BT554" i="124"/>
  <c r="BO554" i="124"/>
  <c r="BJ554" i="124"/>
  <c r="AP554" i="124"/>
  <c r="AU554" i="124"/>
  <c r="BE554" i="124"/>
  <c r="AZ554" i="124"/>
  <c r="AK572" i="124"/>
  <c r="CN572" i="124"/>
  <c r="CI572" i="124"/>
  <c r="CD572" i="124"/>
  <c r="BY572" i="124"/>
  <c r="BT572" i="124"/>
  <c r="BO572" i="124"/>
  <c r="BJ572" i="124"/>
  <c r="BE572" i="124"/>
  <c r="AP572" i="124"/>
  <c r="AU572" i="124"/>
  <c r="AZ572" i="124"/>
  <c r="CN291" i="124"/>
  <c r="CI291" i="124"/>
  <c r="CD291" i="124"/>
  <c r="BY291" i="124"/>
  <c r="BT291" i="124"/>
  <c r="BO291" i="124"/>
  <c r="BJ291" i="124"/>
  <c r="BE291" i="124"/>
  <c r="AP291" i="124"/>
  <c r="AZ291" i="124"/>
  <c r="AU291" i="124"/>
  <c r="AK291" i="124"/>
  <c r="CN309" i="124"/>
  <c r="CI309" i="124"/>
  <c r="CD309" i="124"/>
  <c r="BY309" i="124"/>
  <c r="BO309" i="124"/>
  <c r="BJ309" i="124"/>
  <c r="BT309" i="124"/>
  <c r="BE309" i="124"/>
  <c r="AP309" i="124"/>
  <c r="AU309" i="124"/>
  <c r="AZ309" i="124"/>
  <c r="AK309" i="124"/>
  <c r="CN327" i="124"/>
  <c r="CI327" i="124"/>
  <c r="CD327" i="124"/>
  <c r="BY327" i="124"/>
  <c r="BO327" i="124"/>
  <c r="BJ327" i="124"/>
  <c r="BT327" i="124"/>
  <c r="BE327" i="124"/>
  <c r="AP327" i="124"/>
  <c r="AZ327" i="124"/>
  <c r="AU327" i="124"/>
  <c r="AK327" i="124"/>
  <c r="CN345" i="124"/>
  <c r="CI345" i="124"/>
  <c r="CD345" i="124"/>
  <c r="BY345" i="124"/>
  <c r="BO345" i="124"/>
  <c r="BJ345" i="124"/>
  <c r="BT345" i="124"/>
  <c r="BE345" i="124"/>
  <c r="AP345" i="124"/>
  <c r="AU345" i="124"/>
  <c r="AZ345" i="124"/>
  <c r="AK345" i="124"/>
  <c r="CN363" i="124"/>
  <c r="CI363" i="124"/>
  <c r="CD363" i="124"/>
  <c r="BY363" i="124"/>
  <c r="BO363" i="124"/>
  <c r="BJ363" i="124"/>
  <c r="BT363" i="124"/>
  <c r="BE363" i="124"/>
  <c r="AP363" i="124"/>
  <c r="AZ363" i="124"/>
  <c r="AU363" i="124"/>
  <c r="AK363" i="124"/>
  <c r="CN381" i="124"/>
  <c r="CI381" i="124"/>
  <c r="CD381" i="124"/>
  <c r="BY381" i="124"/>
  <c r="BO381" i="124"/>
  <c r="BJ381" i="124"/>
  <c r="BT381" i="124"/>
  <c r="BE381" i="124"/>
  <c r="AP381" i="124"/>
  <c r="AZ381" i="124"/>
  <c r="AU381" i="124"/>
  <c r="AK381" i="124"/>
  <c r="CN399" i="124"/>
  <c r="CI399" i="124"/>
  <c r="CD399" i="124"/>
  <c r="BY399" i="124"/>
  <c r="BO399" i="124"/>
  <c r="BJ399" i="124"/>
  <c r="BT399" i="124"/>
  <c r="BE399" i="124"/>
  <c r="AP399" i="124"/>
  <c r="AZ399" i="124"/>
  <c r="AU399" i="124"/>
  <c r="AK399" i="124"/>
  <c r="CN417" i="124"/>
  <c r="CI417" i="124"/>
  <c r="CD417" i="124"/>
  <c r="BY417" i="124"/>
  <c r="BO417" i="124"/>
  <c r="BJ417" i="124"/>
  <c r="BT417" i="124"/>
  <c r="BE417" i="124"/>
  <c r="AP417" i="124"/>
  <c r="AZ417" i="124"/>
  <c r="AU417" i="124"/>
  <c r="AK417" i="124"/>
  <c r="CN435" i="124"/>
  <c r="CI435" i="124"/>
  <c r="CD435" i="124"/>
  <c r="BY435" i="124"/>
  <c r="BO435" i="124"/>
  <c r="BJ435" i="124"/>
  <c r="BT435" i="124"/>
  <c r="BE435" i="124"/>
  <c r="AP435" i="124"/>
  <c r="AZ435" i="124"/>
  <c r="AU435" i="124"/>
  <c r="AK435" i="124"/>
  <c r="CN453" i="124"/>
  <c r="CI453" i="124"/>
  <c r="CD453" i="124"/>
  <c r="BY453" i="124"/>
  <c r="BO453" i="124"/>
  <c r="BT453" i="124"/>
  <c r="BJ453" i="124"/>
  <c r="BE453" i="124"/>
  <c r="AZ453" i="124"/>
  <c r="AP453" i="124"/>
  <c r="AU453" i="124"/>
  <c r="AK453" i="124"/>
  <c r="CN471" i="124"/>
  <c r="CI471" i="124"/>
  <c r="BY471" i="124"/>
  <c r="CD471" i="124"/>
  <c r="BO471" i="124"/>
  <c r="BJ471" i="124"/>
  <c r="BT471" i="124"/>
  <c r="BE471" i="124"/>
  <c r="AZ471" i="124"/>
  <c r="AU471" i="124"/>
  <c r="AP471" i="124"/>
  <c r="AK471" i="124"/>
  <c r="CN489" i="124"/>
  <c r="CI489" i="124"/>
  <c r="BY489" i="124"/>
  <c r="CD489" i="124"/>
  <c r="BO489" i="124"/>
  <c r="BJ489" i="124"/>
  <c r="BT489" i="124"/>
  <c r="BE489" i="124"/>
  <c r="AZ489" i="124"/>
  <c r="AU489" i="124"/>
  <c r="AP489" i="124"/>
  <c r="AK489" i="124"/>
  <c r="CN507" i="124"/>
  <c r="BY507" i="124"/>
  <c r="CD507" i="124"/>
  <c r="CI507" i="124"/>
  <c r="BO507" i="124"/>
  <c r="BJ507" i="124"/>
  <c r="BT507" i="124"/>
  <c r="BE507" i="124"/>
  <c r="AZ507" i="124"/>
  <c r="AU507" i="124"/>
  <c r="AP507" i="124"/>
  <c r="AK507" i="124"/>
  <c r="CN525" i="124"/>
  <c r="BY525" i="124"/>
  <c r="CI525" i="124"/>
  <c r="CD525" i="124"/>
  <c r="BT525" i="124"/>
  <c r="BJ525" i="124"/>
  <c r="BO525" i="124"/>
  <c r="BE525" i="124"/>
  <c r="AZ525" i="124"/>
  <c r="AP525" i="124"/>
  <c r="AU525" i="124"/>
  <c r="AK525" i="124"/>
  <c r="CN543" i="124"/>
  <c r="BY543" i="124"/>
  <c r="CD543" i="124"/>
  <c r="CI543" i="124"/>
  <c r="BO543" i="124"/>
  <c r="BJ543" i="124"/>
  <c r="BT543" i="124"/>
  <c r="BE543" i="124"/>
  <c r="AZ543" i="124"/>
  <c r="AU543" i="124"/>
  <c r="AP543" i="124"/>
  <c r="AK543" i="124"/>
  <c r="CN561" i="124"/>
  <c r="BY561" i="124"/>
  <c r="CI561" i="124"/>
  <c r="CD561" i="124"/>
  <c r="BJ561" i="124"/>
  <c r="BT561" i="124"/>
  <c r="BO561" i="124"/>
  <c r="BE561" i="124"/>
  <c r="AZ561" i="124"/>
  <c r="AP561" i="124"/>
  <c r="AU561" i="124"/>
  <c r="AK561" i="124"/>
  <c r="CN579" i="124"/>
  <c r="BY579" i="124"/>
  <c r="CD579" i="124"/>
  <c r="CI579" i="124"/>
  <c r="BO579" i="124"/>
  <c r="BJ579" i="124"/>
  <c r="BT579" i="124"/>
  <c r="BE579" i="124"/>
  <c r="AZ579" i="124"/>
  <c r="AP579" i="124"/>
  <c r="AU579" i="124"/>
  <c r="AK579" i="124"/>
  <c r="CN292" i="124"/>
  <c r="CI292" i="124"/>
  <c r="CD292" i="124"/>
  <c r="BY292" i="124"/>
  <c r="BT292" i="124"/>
  <c r="BO292" i="124"/>
  <c r="BJ292" i="124"/>
  <c r="BE292" i="124"/>
  <c r="AP292" i="124"/>
  <c r="AZ292" i="124"/>
  <c r="AU292" i="124"/>
  <c r="AK292" i="124"/>
  <c r="CN310" i="124"/>
  <c r="CI310" i="124"/>
  <c r="CD310" i="124"/>
  <c r="BY310" i="124"/>
  <c r="BO310" i="124"/>
  <c r="BJ310" i="124"/>
  <c r="BT310" i="124"/>
  <c r="BE310" i="124"/>
  <c r="AZ310" i="124"/>
  <c r="AP310" i="124"/>
  <c r="AU310" i="124"/>
  <c r="AK310" i="124"/>
  <c r="CN328" i="124"/>
  <c r="CI328" i="124"/>
  <c r="CD328" i="124"/>
  <c r="BY328" i="124"/>
  <c r="BO328" i="124"/>
  <c r="BJ328" i="124"/>
  <c r="BT328" i="124"/>
  <c r="BE328" i="124"/>
  <c r="AP328" i="124"/>
  <c r="AZ328" i="124"/>
  <c r="AU328" i="124"/>
  <c r="AK328" i="124"/>
  <c r="CN346" i="124"/>
  <c r="CI346" i="124"/>
  <c r="CD346" i="124"/>
  <c r="BY346" i="124"/>
  <c r="BO346" i="124"/>
  <c r="BJ346" i="124"/>
  <c r="BT346" i="124"/>
  <c r="BE346" i="124"/>
  <c r="AZ346" i="124"/>
  <c r="AP346" i="124"/>
  <c r="AU346" i="124"/>
  <c r="AK346" i="124"/>
  <c r="CN364" i="124"/>
  <c r="CI364" i="124"/>
  <c r="CD364" i="124"/>
  <c r="BY364" i="124"/>
  <c r="BO364" i="124"/>
  <c r="BJ364" i="124"/>
  <c r="BT364" i="124"/>
  <c r="BE364" i="124"/>
  <c r="AP364" i="124"/>
  <c r="AZ364" i="124"/>
  <c r="AU364" i="124"/>
  <c r="AK364" i="124"/>
  <c r="CN382" i="124"/>
  <c r="CI382" i="124"/>
  <c r="CD382" i="124"/>
  <c r="BY382" i="124"/>
  <c r="BO382" i="124"/>
  <c r="BJ382" i="124"/>
  <c r="BT382" i="124"/>
  <c r="BE382" i="124"/>
  <c r="AZ382" i="124"/>
  <c r="AP382" i="124"/>
  <c r="AU382" i="124"/>
  <c r="AK382" i="124"/>
  <c r="CI400" i="124"/>
  <c r="CD400" i="124"/>
  <c r="CN400" i="124"/>
  <c r="BY400" i="124"/>
  <c r="BO400" i="124"/>
  <c r="BJ400" i="124"/>
  <c r="BT400" i="124"/>
  <c r="BE400" i="124"/>
  <c r="AP400" i="124"/>
  <c r="AZ400" i="124"/>
  <c r="AU400" i="124"/>
  <c r="AK400" i="124"/>
  <c r="CI418" i="124"/>
  <c r="CD418" i="124"/>
  <c r="CN418" i="124"/>
  <c r="BY418" i="124"/>
  <c r="BO418" i="124"/>
  <c r="BJ418" i="124"/>
  <c r="BT418" i="124"/>
  <c r="BE418" i="124"/>
  <c r="AZ418" i="124"/>
  <c r="AP418" i="124"/>
  <c r="AU418" i="124"/>
  <c r="AK418" i="124"/>
  <c r="CI436" i="124"/>
  <c r="CD436" i="124"/>
  <c r="CN436" i="124"/>
  <c r="BY436" i="124"/>
  <c r="BO436" i="124"/>
  <c r="BT436" i="124"/>
  <c r="BE436" i="124"/>
  <c r="BJ436" i="124"/>
  <c r="AP436" i="124"/>
  <c r="AZ436" i="124"/>
  <c r="AU436" i="124"/>
  <c r="AK436" i="124"/>
  <c r="CI454" i="124"/>
  <c r="CD454" i="124"/>
  <c r="CN454" i="124"/>
  <c r="BY454" i="124"/>
  <c r="BO454" i="124"/>
  <c r="BE454" i="124"/>
  <c r="BT454" i="124"/>
  <c r="BJ454" i="124"/>
  <c r="AZ454" i="124"/>
  <c r="AP454" i="124"/>
  <c r="AU454" i="124"/>
  <c r="AK454" i="124"/>
  <c r="CI472" i="124"/>
  <c r="CD472" i="124"/>
  <c r="CN472" i="124"/>
  <c r="BY472" i="124"/>
  <c r="BO472" i="124"/>
  <c r="BT472" i="124"/>
  <c r="BE472" i="124"/>
  <c r="BJ472" i="124"/>
  <c r="AZ472" i="124"/>
  <c r="AP472" i="124"/>
  <c r="AU472" i="124"/>
  <c r="AK472" i="124"/>
  <c r="CI490" i="124"/>
  <c r="CD490" i="124"/>
  <c r="CN490" i="124"/>
  <c r="BY490" i="124"/>
  <c r="BO490" i="124"/>
  <c r="BE490" i="124"/>
  <c r="BJ490" i="124"/>
  <c r="BT490" i="124"/>
  <c r="AZ490" i="124"/>
  <c r="AP490" i="124"/>
  <c r="AU490" i="124"/>
  <c r="AK490" i="124"/>
  <c r="CD508" i="124"/>
  <c r="CN508" i="124"/>
  <c r="CI508" i="124"/>
  <c r="BY508" i="124"/>
  <c r="BT508" i="124"/>
  <c r="BE508" i="124"/>
  <c r="BO508" i="124"/>
  <c r="BJ508" i="124"/>
  <c r="AZ508" i="124"/>
  <c r="AP508" i="124"/>
  <c r="AU508" i="124"/>
  <c r="AK508" i="124"/>
  <c r="CD526" i="124"/>
  <c r="CN526" i="124"/>
  <c r="CI526" i="124"/>
  <c r="BY526" i="124"/>
  <c r="BE526" i="124"/>
  <c r="BT526" i="124"/>
  <c r="BJ526" i="124"/>
  <c r="BO526" i="124"/>
  <c r="AZ526" i="124"/>
  <c r="AP526" i="124"/>
  <c r="AU526" i="124"/>
  <c r="AK526" i="124"/>
  <c r="CD544" i="124"/>
  <c r="CN544" i="124"/>
  <c r="CI544" i="124"/>
  <c r="BY544" i="124"/>
  <c r="BT544" i="124"/>
  <c r="BE544" i="124"/>
  <c r="BO544" i="124"/>
  <c r="BJ544" i="124"/>
  <c r="AZ544" i="124"/>
  <c r="AP544" i="124"/>
  <c r="AU544" i="124"/>
  <c r="AK544" i="124"/>
  <c r="CD562" i="124"/>
  <c r="CN562" i="124"/>
  <c r="CI562" i="124"/>
  <c r="BY562" i="124"/>
  <c r="BE562" i="124"/>
  <c r="BJ562" i="124"/>
  <c r="BT562" i="124"/>
  <c r="BO562" i="124"/>
  <c r="AZ562" i="124"/>
  <c r="AP562" i="124"/>
  <c r="AU562" i="124"/>
  <c r="AK562" i="124"/>
  <c r="CN580" i="124"/>
  <c r="CD580" i="124"/>
  <c r="CI580" i="124"/>
  <c r="BY580" i="124"/>
  <c r="BT580" i="124"/>
  <c r="BE580" i="124"/>
  <c r="BO580" i="124"/>
  <c r="BJ580" i="124"/>
  <c r="AZ580" i="124"/>
  <c r="AP580" i="124"/>
  <c r="AU580" i="124"/>
  <c r="AK580" i="124"/>
  <c r="AK299" i="124"/>
  <c r="CN299" i="124"/>
  <c r="CI299" i="124"/>
  <c r="BT299" i="124"/>
  <c r="CD299" i="124"/>
  <c r="BY299" i="124"/>
  <c r="BO299" i="124"/>
  <c r="BE299" i="124"/>
  <c r="BJ299" i="124"/>
  <c r="AZ299" i="124"/>
  <c r="AU299" i="124"/>
  <c r="AP299" i="124"/>
  <c r="AK317" i="124"/>
  <c r="CN317" i="124"/>
  <c r="CI317" i="124"/>
  <c r="BY317" i="124"/>
  <c r="CD317" i="124"/>
  <c r="BT317" i="124"/>
  <c r="BJ317" i="124"/>
  <c r="BE317" i="124"/>
  <c r="BO317" i="124"/>
  <c r="AZ317" i="124"/>
  <c r="AU317" i="124"/>
  <c r="AP317" i="124"/>
  <c r="AK335" i="124"/>
  <c r="CN335" i="124"/>
  <c r="CI335" i="124"/>
  <c r="CD335" i="124"/>
  <c r="BY335" i="124"/>
  <c r="BT335" i="124"/>
  <c r="BO335" i="124"/>
  <c r="BJ335" i="124"/>
  <c r="AZ335" i="124"/>
  <c r="AU335" i="124"/>
  <c r="AP335" i="124"/>
  <c r="BE335" i="124"/>
  <c r="AK353" i="124"/>
  <c r="CN353" i="124"/>
  <c r="CD353" i="124"/>
  <c r="CI353" i="124"/>
  <c r="BY353" i="124"/>
  <c r="BT353" i="124"/>
  <c r="BJ353" i="124"/>
  <c r="BO353" i="124"/>
  <c r="AZ353" i="124"/>
  <c r="AU353" i="124"/>
  <c r="BE353" i="124"/>
  <c r="AP353" i="124"/>
  <c r="AK371" i="124"/>
  <c r="CN371" i="124"/>
  <c r="CI371" i="124"/>
  <c r="CD371" i="124"/>
  <c r="BY371" i="124"/>
  <c r="BT371" i="124"/>
  <c r="BO371" i="124"/>
  <c r="BJ371" i="124"/>
  <c r="AZ371" i="124"/>
  <c r="AU371" i="124"/>
  <c r="AP371" i="124"/>
  <c r="BE371" i="124"/>
  <c r="AK389" i="124"/>
  <c r="CN389" i="124"/>
  <c r="CI389" i="124"/>
  <c r="CD389" i="124"/>
  <c r="BY389" i="124"/>
  <c r="BT389" i="124"/>
  <c r="BJ389" i="124"/>
  <c r="BO389" i="124"/>
  <c r="AZ389" i="124"/>
  <c r="AU389" i="124"/>
  <c r="BE389" i="124"/>
  <c r="AP389" i="124"/>
  <c r="AK407" i="124"/>
  <c r="CN407" i="124"/>
  <c r="CD407" i="124"/>
  <c r="CI407" i="124"/>
  <c r="BY407" i="124"/>
  <c r="BT407" i="124"/>
  <c r="BO407" i="124"/>
  <c r="BJ407" i="124"/>
  <c r="AZ407" i="124"/>
  <c r="BE407" i="124"/>
  <c r="AU407" i="124"/>
  <c r="AP407" i="124"/>
  <c r="AK425" i="124"/>
  <c r="CN425" i="124"/>
  <c r="CI425" i="124"/>
  <c r="CD425" i="124"/>
  <c r="BY425" i="124"/>
  <c r="BT425" i="124"/>
  <c r="BJ425" i="124"/>
  <c r="BO425" i="124"/>
  <c r="AZ425" i="124"/>
  <c r="AU425" i="124"/>
  <c r="BE425" i="124"/>
  <c r="AP425" i="124"/>
  <c r="AK443" i="124"/>
  <c r="CN443" i="124"/>
  <c r="CI443" i="124"/>
  <c r="CD443" i="124"/>
  <c r="BY443" i="124"/>
  <c r="BT443" i="124"/>
  <c r="BO443" i="124"/>
  <c r="BJ443" i="124"/>
  <c r="AZ443" i="124"/>
  <c r="BE443" i="124"/>
  <c r="AU443" i="124"/>
  <c r="AP443" i="124"/>
  <c r="AK461" i="124"/>
  <c r="CN461" i="124"/>
  <c r="CD461" i="124"/>
  <c r="CI461" i="124"/>
  <c r="BY461" i="124"/>
  <c r="BT461" i="124"/>
  <c r="BJ461" i="124"/>
  <c r="BO461" i="124"/>
  <c r="AZ461" i="124"/>
  <c r="AU461" i="124"/>
  <c r="BE461" i="124"/>
  <c r="AP461" i="124"/>
  <c r="CN479" i="124"/>
  <c r="CI479" i="124"/>
  <c r="CD479" i="124"/>
  <c r="BY479" i="124"/>
  <c r="BT479" i="124"/>
  <c r="BO479" i="124"/>
  <c r="BJ479" i="124"/>
  <c r="BE479" i="124"/>
  <c r="AZ479" i="124"/>
  <c r="AU479" i="124"/>
  <c r="AP479" i="124"/>
  <c r="AK479" i="124"/>
  <c r="CN497" i="124"/>
  <c r="CI497" i="124"/>
  <c r="CD497" i="124"/>
  <c r="BY497" i="124"/>
  <c r="BT497" i="124"/>
  <c r="BO497" i="124"/>
  <c r="BJ497" i="124"/>
  <c r="AZ497" i="124"/>
  <c r="AU497" i="124"/>
  <c r="BE497" i="124"/>
  <c r="AP497" i="124"/>
  <c r="AK497" i="124"/>
  <c r="CN515" i="124"/>
  <c r="CI515" i="124"/>
  <c r="CD515" i="124"/>
  <c r="BY515" i="124"/>
  <c r="BT515" i="124"/>
  <c r="BO515" i="124"/>
  <c r="BJ515" i="124"/>
  <c r="BE515" i="124"/>
  <c r="AZ515" i="124"/>
  <c r="AU515" i="124"/>
  <c r="AP515" i="124"/>
  <c r="AK515" i="124"/>
  <c r="CN533" i="124"/>
  <c r="CI533" i="124"/>
  <c r="CD533" i="124"/>
  <c r="BY533" i="124"/>
  <c r="BT533" i="124"/>
  <c r="BO533" i="124"/>
  <c r="BJ533" i="124"/>
  <c r="AZ533" i="124"/>
  <c r="AU533" i="124"/>
  <c r="BE533" i="124"/>
  <c r="AP533" i="124"/>
  <c r="AK533" i="124"/>
  <c r="CN551" i="124"/>
  <c r="CI551" i="124"/>
  <c r="CD551" i="124"/>
  <c r="BY551" i="124"/>
  <c r="BT551" i="124"/>
  <c r="BO551" i="124"/>
  <c r="BJ551" i="124"/>
  <c r="BE551" i="124"/>
  <c r="AZ551" i="124"/>
  <c r="AU551" i="124"/>
  <c r="AP551" i="124"/>
  <c r="AK551" i="124"/>
  <c r="CN569" i="124"/>
  <c r="CI569" i="124"/>
  <c r="CD569" i="124"/>
  <c r="BY569" i="124"/>
  <c r="BT569" i="124"/>
  <c r="BO569" i="124"/>
  <c r="BJ569" i="124"/>
  <c r="AZ569" i="124"/>
  <c r="AU569" i="124"/>
  <c r="BE569" i="124"/>
  <c r="AP569" i="124"/>
  <c r="AK569" i="124"/>
  <c r="CN587" i="124"/>
  <c r="CI587" i="124"/>
  <c r="CD587" i="124"/>
  <c r="BY587" i="124"/>
  <c r="BT587" i="124"/>
  <c r="BO587" i="124"/>
  <c r="BE587" i="124"/>
  <c r="AZ587" i="124"/>
  <c r="BJ587" i="124"/>
  <c r="AU587" i="124"/>
  <c r="AP587" i="124"/>
  <c r="AK587" i="124"/>
  <c r="CN306" i="124"/>
  <c r="BY306" i="124"/>
  <c r="CI306" i="124"/>
  <c r="BT306" i="124"/>
  <c r="CD306" i="124"/>
  <c r="BO306" i="124"/>
  <c r="AZ306" i="124"/>
  <c r="BJ306" i="124"/>
  <c r="BE306" i="124"/>
  <c r="AU306" i="124"/>
  <c r="AP306" i="124"/>
  <c r="AK306" i="124"/>
  <c r="CN324" i="124"/>
  <c r="CI324" i="124"/>
  <c r="BY324" i="124"/>
  <c r="BT324" i="124"/>
  <c r="CD324" i="124"/>
  <c r="AZ324" i="124"/>
  <c r="BO324" i="124"/>
  <c r="BE324" i="124"/>
  <c r="BJ324" i="124"/>
  <c r="AU324" i="124"/>
  <c r="AP324" i="124"/>
  <c r="AK324" i="124"/>
  <c r="CN342" i="124"/>
  <c r="CI342" i="124"/>
  <c r="BY342" i="124"/>
  <c r="BT342" i="124"/>
  <c r="CD342" i="124"/>
  <c r="BO342" i="124"/>
  <c r="AZ342" i="124"/>
  <c r="BJ342" i="124"/>
  <c r="BE342" i="124"/>
  <c r="AU342" i="124"/>
  <c r="AP342" i="124"/>
  <c r="AK342" i="124"/>
  <c r="CN360" i="124"/>
  <c r="BY360" i="124"/>
  <c r="CI360" i="124"/>
  <c r="BT360" i="124"/>
  <c r="CD360" i="124"/>
  <c r="AZ360" i="124"/>
  <c r="BE360" i="124"/>
  <c r="BO360" i="124"/>
  <c r="BJ360" i="124"/>
  <c r="AU360" i="124"/>
  <c r="AP360" i="124"/>
  <c r="AK360" i="124"/>
  <c r="CN378" i="124"/>
  <c r="CI378" i="124"/>
  <c r="BY378" i="124"/>
  <c r="BT378" i="124"/>
  <c r="CD378" i="124"/>
  <c r="BO378" i="124"/>
  <c r="AZ378" i="124"/>
  <c r="BJ378" i="124"/>
  <c r="BE378" i="124"/>
  <c r="AU378" i="124"/>
  <c r="AP378" i="124"/>
  <c r="AK378" i="124"/>
  <c r="CI396" i="124"/>
  <c r="BY396" i="124"/>
  <c r="CN396" i="124"/>
  <c r="BT396" i="124"/>
  <c r="CD396" i="124"/>
  <c r="AZ396" i="124"/>
  <c r="BO396" i="124"/>
  <c r="BE396" i="124"/>
  <c r="BJ396" i="124"/>
  <c r="AU396" i="124"/>
  <c r="AP396" i="124"/>
  <c r="AK396" i="124"/>
  <c r="BY414" i="124"/>
  <c r="CN414" i="124"/>
  <c r="CI414" i="124"/>
  <c r="BT414" i="124"/>
  <c r="CD414" i="124"/>
  <c r="BO414" i="124"/>
  <c r="AZ414" i="124"/>
  <c r="BJ414" i="124"/>
  <c r="BE414" i="124"/>
  <c r="AU414" i="124"/>
  <c r="AP414" i="124"/>
  <c r="AK414" i="124"/>
  <c r="CI432" i="124"/>
  <c r="BY432" i="124"/>
  <c r="CN432" i="124"/>
  <c r="BT432" i="124"/>
  <c r="CD432" i="124"/>
  <c r="AZ432" i="124"/>
  <c r="BE432" i="124"/>
  <c r="BO432" i="124"/>
  <c r="BJ432" i="124"/>
  <c r="AU432" i="124"/>
  <c r="AP432" i="124"/>
  <c r="AK432" i="124"/>
  <c r="CI450" i="124"/>
  <c r="BY450" i="124"/>
  <c r="CN450" i="124"/>
  <c r="BT450" i="124"/>
  <c r="CD450" i="124"/>
  <c r="BO450" i="124"/>
  <c r="AZ450" i="124"/>
  <c r="BE450" i="124"/>
  <c r="BJ450" i="124"/>
  <c r="AU450" i="124"/>
  <c r="AP450" i="124"/>
  <c r="AK450" i="124"/>
  <c r="AK468" i="124"/>
  <c r="BY468" i="124"/>
  <c r="CN468" i="124"/>
  <c r="CI468" i="124"/>
  <c r="CD468" i="124"/>
  <c r="BT468" i="124"/>
  <c r="BO468" i="124"/>
  <c r="BE468" i="124"/>
  <c r="BJ468" i="124"/>
  <c r="AU468" i="124"/>
  <c r="AZ468" i="124"/>
  <c r="AP468" i="124"/>
  <c r="CI486" i="124"/>
  <c r="BY486" i="124"/>
  <c r="CN486" i="124"/>
  <c r="BT486" i="124"/>
  <c r="CD486" i="124"/>
  <c r="BO486" i="124"/>
  <c r="BE486" i="124"/>
  <c r="BJ486" i="124"/>
  <c r="AU486" i="124"/>
  <c r="AZ486" i="124"/>
  <c r="AP486" i="124"/>
  <c r="AK486" i="124"/>
  <c r="CI504" i="124"/>
  <c r="BY504" i="124"/>
  <c r="CN504" i="124"/>
  <c r="CD504" i="124"/>
  <c r="BT504" i="124"/>
  <c r="BE504" i="124"/>
  <c r="BJ504" i="124"/>
  <c r="BO504" i="124"/>
  <c r="AU504" i="124"/>
  <c r="AZ504" i="124"/>
  <c r="AP504" i="124"/>
  <c r="AK504" i="124"/>
  <c r="CI522" i="124"/>
  <c r="BY522" i="124"/>
  <c r="CN522" i="124"/>
  <c r="BT522" i="124"/>
  <c r="CD522" i="124"/>
  <c r="BO522" i="124"/>
  <c r="BE522" i="124"/>
  <c r="BJ522" i="124"/>
  <c r="AU522" i="124"/>
  <c r="AZ522" i="124"/>
  <c r="AP522" i="124"/>
  <c r="AK522" i="124"/>
  <c r="CI540" i="124"/>
  <c r="BY540" i="124"/>
  <c r="CN540" i="124"/>
  <c r="CD540" i="124"/>
  <c r="BT540" i="124"/>
  <c r="BE540" i="124"/>
  <c r="BJ540" i="124"/>
  <c r="BO540" i="124"/>
  <c r="AU540" i="124"/>
  <c r="AZ540" i="124"/>
  <c r="AP540" i="124"/>
  <c r="AK540" i="124"/>
  <c r="CI558" i="124"/>
  <c r="BY558" i="124"/>
  <c r="CN558" i="124"/>
  <c r="BT558" i="124"/>
  <c r="CD558" i="124"/>
  <c r="BO558" i="124"/>
  <c r="BE558" i="124"/>
  <c r="BJ558" i="124"/>
  <c r="AU558" i="124"/>
  <c r="AZ558" i="124"/>
  <c r="AP558" i="124"/>
  <c r="AK558" i="124"/>
  <c r="CN576" i="124"/>
  <c r="CI576" i="124"/>
  <c r="BY576" i="124"/>
  <c r="CD576" i="124"/>
  <c r="BT576" i="124"/>
  <c r="BE576" i="124"/>
  <c r="BJ576" i="124"/>
  <c r="BO576" i="124"/>
  <c r="AU576" i="124"/>
  <c r="AZ576" i="124"/>
  <c r="AP576" i="124"/>
  <c r="AK576" i="124"/>
  <c r="CI295" i="124"/>
  <c r="CN295" i="124"/>
  <c r="CD295" i="124"/>
  <c r="BY295" i="124"/>
  <c r="BO295" i="124"/>
  <c r="BJ295" i="124"/>
  <c r="BT295" i="124"/>
  <c r="AU295" i="124"/>
  <c r="BE295" i="124"/>
  <c r="AP295" i="124"/>
  <c r="AZ295" i="124"/>
  <c r="AK295" i="124"/>
  <c r="CI313" i="124"/>
  <c r="CN313" i="124"/>
  <c r="CD313" i="124"/>
  <c r="BT313" i="124"/>
  <c r="BY313" i="124"/>
  <c r="BO313" i="124"/>
  <c r="BJ313" i="124"/>
  <c r="BE313" i="124"/>
  <c r="AZ313" i="124"/>
  <c r="AU313" i="124"/>
  <c r="AP313" i="124"/>
  <c r="AK313" i="124"/>
  <c r="CI331" i="124"/>
  <c r="CN331" i="124"/>
  <c r="CD331" i="124"/>
  <c r="BT331" i="124"/>
  <c r="BY331" i="124"/>
  <c r="BO331" i="124"/>
  <c r="BJ331" i="124"/>
  <c r="AU331" i="124"/>
  <c r="BE331" i="124"/>
  <c r="AP331" i="124"/>
  <c r="AZ331" i="124"/>
  <c r="AK331" i="124"/>
  <c r="CI349" i="124"/>
  <c r="CN349" i="124"/>
  <c r="CD349" i="124"/>
  <c r="BT349" i="124"/>
  <c r="BY349" i="124"/>
  <c r="BO349" i="124"/>
  <c r="BJ349" i="124"/>
  <c r="AZ349" i="124"/>
  <c r="AU349" i="124"/>
  <c r="BE349" i="124"/>
  <c r="AP349" i="124"/>
  <c r="AK349" i="124"/>
  <c r="CI367" i="124"/>
  <c r="CN367" i="124"/>
  <c r="CD367" i="124"/>
  <c r="BT367" i="124"/>
  <c r="BY367" i="124"/>
  <c r="BO367" i="124"/>
  <c r="BJ367" i="124"/>
  <c r="AU367" i="124"/>
  <c r="BE367" i="124"/>
  <c r="AP367" i="124"/>
  <c r="AZ367" i="124"/>
  <c r="AK367" i="124"/>
  <c r="CI385" i="124"/>
  <c r="CN385" i="124"/>
  <c r="CD385" i="124"/>
  <c r="BT385" i="124"/>
  <c r="BY385" i="124"/>
  <c r="BO385" i="124"/>
  <c r="BJ385" i="124"/>
  <c r="AZ385" i="124"/>
  <c r="AU385" i="124"/>
  <c r="BE385" i="124"/>
  <c r="AP385" i="124"/>
  <c r="AK385" i="124"/>
  <c r="CI403" i="124"/>
  <c r="CD403" i="124"/>
  <c r="CN403" i="124"/>
  <c r="BT403" i="124"/>
  <c r="BY403" i="124"/>
  <c r="BO403" i="124"/>
  <c r="BJ403" i="124"/>
  <c r="AU403" i="124"/>
  <c r="BE403" i="124"/>
  <c r="AP403" i="124"/>
  <c r="AZ403" i="124"/>
  <c r="AK403" i="124"/>
  <c r="CI421" i="124"/>
  <c r="CN421" i="124"/>
  <c r="CD421" i="124"/>
  <c r="BT421" i="124"/>
  <c r="BY421" i="124"/>
  <c r="BO421" i="124"/>
  <c r="BJ421" i="124"/>
  <c r="AZ421" i="124"/>
  <c r="AU421" i="124"/>
  <c r="BE421" i="124"/>
  <c r="AP421" i="124"/>
  <c r="AK421" i="124"/>
  <c r="CI439" i="124"/>
  <c r="CD439" i="124"/>
  <c r="CN439" i="124"/>
  <c r="BY439" i="124"/>
  <c r="BO439" i="124"/>
  <c r="BT439" i="124"/>
  <c r="BJ439" i="124"/>
  <c r="AU439" i="124"/>
  <c r="BE439" i="124"/>
  <c r="AP439" i="124"/>
  <c r="AZ439" i="124"/>
  <c r="AK439" i="124"/>
  <c r="CI457" i="124"/>
  <c r="CN457" i="124"/>
  <c r="CD457" i="124"/>
  <c r="BY457" i="124"/>
  <c r="BO457" i="124"/>
  <c r="BT457" i="124"/>
  <c r="BJ457" i="124"/>
  <c r="AZ457" i="124"/>
  <c r="AU457" i="124"/>
  <c r="BE457" i="124"/>
  <c r="AP457" i="124"/>
  <c r="AK457" i="124"/>
  <c r="CI475" i="124"/>
  <c r="CN475" i="124"/>
  <c r="CD475" i="124"/>
  <c r="BY475" i="124"/>
  <c r="BO475" i="124"/>
  <c r="BT475" i="124"/>
  <c r="BJ475" i="124"/>
  <c r="AU475" i="124"/>
  <c r="AZ475" i="124"/>
  <c r="BE475" i="124"/>
  <c r="AP475" i="124"/>
  <c r="AK475" i="124"/>
  <c r="CI493" i="124"/>
  <c r="CN493" i="124"/>
  <c r="CD493" i="124"/>
  <c r="BY493" i="124"/>
  <c r="BO493" i="124"/>
  <c r="BT493" i="124"/>
  <c r="BJ493" i="124"/>
  <c r="AU493" i="124"/>
  <c r="BE493" i="124"/>
  <c r="AZ493" i="124"/>
  <c r="AP493" i="124"/>
  <c r="AK493" i="124"/>
  <c r="CN511" i="124"/>
  <c r="CD511" i="124"/>
  <c r="BY511" i="124"/>
  <c r="CI511" i="124"/>
  <c r="BT511" i="124"/>
  <c r="BO511" i="124"/>
  <c r="BJ511" i="124"/>
  <c r="AU511" i="124"/>
  <c r="AZ511" i="124"/>
  <c r="BE511" i="124"/>
  <c r="AP511" i="124"/>
  <c r="AK511" i="124"/>
  <c r="AK529" i="124"/>
  <c r="CN529" i="124"/>
  <c r="CD529" i="124"/>
  <c r="BY529" i="124"/>
  <c r="CI529" i="124"/>
  <c r="BT529" i="124"/>
  <c r="BO529" i="124"/>
  <c r="BJ529" i="124"/>
  <c r="AU529" i="124"/>
  <c r="BE529" i="124"/>
  <c r="AZ529" i="124"/>
  <c r="AP529" i="124"/>
  <c r="AK547" i="124"/>
  <c r="CN547" i="124"/>
  <c r="CD547" i="124"/>
  <c r="BY547" i="124"/>
  <c r="CI547" i="124"/>
  <c r="BT547" i="124"/>
  <c r="BO547" i="124"/>
  <c r="BJ547" i="124"/>
  <c r="AU547" i="124"/>
  <c r="AZ547" i="124"/>
  <c r="BE547" i="124"/>
  <c r="AP547" i="124"/>
  <c r="AK565" i="124"/>
  <c r="CN565" i="124"/>
  <c r="CD565" i="124"/>
  <c r="BY565" i="124"/>
  <c r="CI565" i="124"/>
  <c r="BT565" i="124"/>
  <c r="BO565" i="124"/>
  <c r="BJ565" i="124"/>
  <c r="AU565" i="124"/>
  <c r="BE565" i="124"/>
  <c r="AZ565" i="124"/>
  <c r="AP565" i="124"/>
  <c r="AK583" i="124"/>
  <c r="CN583" i="124"/>
  <c r="CD583" i="124"/>
  <c r="BY583" i="124"/>
  <c r="CI583" i="124"/>
  <c r="BT583" i="124"/>
  <c r="BO583" i="124"/>
  <c r="BJ583" i="124"/>
  <c r="AU583" i="124"/>
  <c r="AZ583" i="124"/>
  <c r="BE583" i="124"/>
  <c r="AP583" i="124"/>
  <c r="CN308" i="124"/>
  <c r="CI308" i="124"/>
  <c r="CD308" i="124"/>
  <c r="BO308" i="124"/>
  <c r="BT308" i="124"/>
  <c r="BY308" i="124"/>
  <c r="BJ308" i="124"/>
  <c r="AZ308" i="124"/>
  <c r="BE308" i="124"/>
  <c r="AP308" i="124"/>
  <c r="AU308" i="124"/>
  <c r="AK308" i="124"/>
  <c r="CN326" i="124"/>
  <c r="CI326" i="124"/>
  <c r="CD326" i="124"/>
  <c r="BY326" i="124"/>
  <c r="BO326" i="124"/>
  <c r="BT326" i="124"/>
  <c r="AZ326" i="124"/>
  <c r="BE326" i="124"/>
  <c r="BJ326" i="124"/>
  <c r="AP326" i="124"/>
  <c r="AU326" i="124"/>
  <c r="AK326" i="124"/>
  <c r="CN344" i="124"/>
  <c r="CI344" i="124"/>
  <c r="CD344" i="124"/>
  <c r="BO344" i="124"/>
  <c r="BT344" i="124"/>
  <c r="BY344" i="124"/>
  <c r="BJ344" i="124"/>
  <c r="AZ344" i="124"/>
  <c r="BE344" i="124"/>
  <c r="AP344" i="124"/>
  <c r="AU344" i="124"/>
  <c r="AK344" i="124"/>
  <c r="CN362" i="124"/>
  <c r="CI362" i="124"/>
  <c r="CD362" i="124"/>
  <c r="BO362" i="124"/>
  <c r="BT362" i="124"/>
  <c r="BY362" i="124"/>
  <c r="AZ362" i="124"/>
  <c r="BE362" i="124"/>
  <c r="BJ362" i="124"/>
  <c r="AP362" i="124"/>
  <c r="AU362" i="124"/>
  <c r="AK362" i="124"/>
  <c r="CN380" i="124"/>
  <c r="CD380" i="124"/>
  <c r="BO380" i="124"/>
  <c r="BT380" i="124"/>
  <c r="CI380" i="124"/>
  <c r="BY380" i="124"/>
  <c r="BJ380" i="124"/>
  <c r="AZ380" i="124"/>
  <c r="BE380" i="124"/>
  <c r="AP380" i="124"/>
  <c r="AU380" i="124"/>
  <c r="AK380" i="124"/>
  <c r="CN398" i="124"/>
  <c r="CD398" i="124"/>
  <c r="BO398" i="124"/>
  <c r="CI398" i="124"/>
  <c r="BT398" i="124"/>
  <c r="BY398" i="124"/>
  <c r="AZ398" i="124"/>
  <c r="BJ398" i="124"/>
  <c r="AP398" i="124"/>
  <c r="AU398" i="124"/>
  <c r="BE398" i="124"/>
  <c r="AK398" i="124"/>
  <c r="CN416" i="124"/>
  <c r="CI416" i="124"/>
  <c r="CD416" i="124"/>
  <c r="BO416" i="124"/>
  <c r="BT416" i="124"/>
  <c r="BY416" i="124"/>
  <c r="BJ416" i="124"/>
  <c r="AZ416" i="124"/>
  <c r="BE416" i="124"/>
  <c r="AP416" i="124"/>
  <c r="AU416" i="124"/>
  <c r="AK416" i="124"/>
  <c r="CN434" i="124"/>
  <c r="CD434" i="124"/>
  <c r="BO434" i="124"/>
  <c r="BT434" i="124"/>
  <c r="CI434" i="124"/>
  <c r="BY434" i="124"/>
  <c r="BJ434" i="124"/>
  <c r="AZ434" i="124"/>
  <c r="AP434" i="124"/>
  <c r="AU434" i="124"/>
  <c r="BE434" i="124"/>
  <c r="AK434" i="124"/>
  <c r="CN452" i="124"/>
  <c r="CD452" i="124"/>
  <c r="BO452" i="124"/>
  <c r="CI452" i="124"/>
  <c r="BT452" i="124"/>
  <c r="BY452" i="124"/>
  <c r="BJ452" i="124"/>
  <c r="AZ452" i="124"/>
  <c r="BE452" i="124"/>
  <c r="AP452" i="124"/>
  <c r="AU452" i="124"/>
  <c r="AK452" i="124"/>
  <c r="CN470" i="124"/>
  <c r="CD470" i="124"/>
  <c r="CI470" i="124"/>
  <c r="BO470" i="124"/>
  <c r="BT470" i="124"/>
  <c r="BY470" i="124"/>
  <c r="BJ470" i="124"/>
  <c r="AP470" i="124"/>
  <c r="AU470" i="124"/>
  <c r="BE470" i="124"/>
  <c r="AZ470" i="124"/>
  <c r="AK470" i="124"/>
  <c r="CN488" i="124"/>
  <c r="CD488" i="124"/>
  <c r="BO488" i="124"/>
  <c r="BT488" i="124"/>
  <c r="CI488" i="124"/>
  <c r="BY488" i="124"/>
  <c r="BJ488" i="124"/>
  <c r="BE488" i="124"/>
  <c r="AP488" i="124"/>
  <c r="AU488" i="124"/>
  <c r="AZ488" i="124"/>
  <c r="AK488" i="124"/>
  <c r="CN506" i="124"/>
  <c r="CI506" i="124"/>
  <c r="CD506" i="124"/>
  <c r="BT506" i="124"/>
  <c r="BY506" i="124"/>
  <c r="BO506" i="124"/>
  <c r="BJ506" i="124"/>
  <c r="AP506" i="124"/>
  <c r="AU506" i="124"/>
  <c r="BE506" i="124"/>
  <c r="AZ506" i="124"/>
  <c r="AK506" i="124"/>
  <c r="AK524" i="124"/>
  <c r="CN524" i="124"/>
  <c r="CI524" i="124"/>
  <c r="CD524" i="124"/>
  <c r="BT524" i="124"/>
  <c r="BY524" i="124"/>
  <c r="BO524" i="124"/>
  <c r="BJ524" i="124"/>
  <c r="BE524" i="124"/>
  <c r="AP524" i="124"/>
  <c r="AU524" i="124"/>
  <c r="AZ524" i="124"/>
  <c r="AK542" i="124"/>
  <c r="CN542" i="124"/>
  <c r="CI542" i="124"/>
  <c r="CD542" i="124"/>
  <c r="BT542" i="124"/>
  <c r="BY542" i="124"/>
  <c r="BO542" i="124"/>
  <c r="BJ542" i="124"/>
  <c r="AP542" i="124"/>
  <c r="AU542" i="124"/>
  <c r="BE542" i="124"/>
  <c r="AZ542" i="124"/>
  <c r="AK560" i="124"/>
  <c r="CN560" i="124"/>
  <c r="CI560" i="124"/>
  <c r="CD560" i="124"/>
  <c r="BT560" i="124"/>
  <c r="BY560" i="124"/>
  <c r="BO560" i="124"/>
  <c r="BJ560" i="124"/>
  <c r="BE560" i="124"/>
  <c r="AP560" i="124"/>
  <c r="AU560" i="124"/>
  <c r="AZ560" i="124"/>
  <c r="AK578" i="124"/>
  <c r="CN578" i="124"/>
  <c r="CI578" i="124"/>
  <c r="CD578" i="124"/>
  <c r="BT578" i="124"/>
  <c r="BY578" i="124"/>
  <c r="BO578" i="124"/>
  <c r="BJ578" i="124"/>
  <c r="AP578" i="124"/>
  <c r="AU578" i="124"/>
  <c r="BE578" i="124"/>
  <c r="AZ578" i="124"/>
  <c r="CN297" i="124"/>
  <c r="CI297" i="124"/>
  <c r="BY297" i="124"/>
  <c r="CD297" i="124"/>
  <c r="BO297" i="124"/>
  <c r="BT297" i="124"/>
  <c r="BJ297" i="124"/>
  <c r="BE297" i="124"/>
  <c r="AP297" i="124"/>
  <c r="AU297" i="124"/>
  <c r="AZ297" i="124"/>
  <c r="AK297" i="124"/>
  <c r="CN315" i="124"/>
  <c r="CI315" i="124"/>
  <c r="BY315" i="124"/>
  <c r="CD315" i="124"/>
  <c r="BO315" i="124"/>
  <c r="BJ315" i="124"/>
  <c r="BT315" i="124"/>
  <c r="BE315" i="124"/>
  <c r="AP315" i="124"/>
  <c r="AZ315" i="124"/>
  <c r="AU315" i="124"/>
  <c r="AK315" i="124"/>
  <c r="CN333" i="124"/>
  <c r="BY333" i="124"/>
  <c r="CI333" i="124"/>
  <c r="CD333" i="124"/>
  <c r="BO333" i="124"/>
  <c r="BJ333" i="124"/>
  <c r="BT333" i="124"/>
  <c r="BE333" i="124"/>
  <c r="AP333" i="124"/>
  <c r="AU333" i="124"/>
  <c r="AZ333" i="124"/>
  <c r="AK333" i="124"/>
  <c r="CN351" i="124"/>
  <c r="CI351" i="124"/>
  <c r="BY351" i="124"/>
  <c r="CD351" i="124"/>
  <c r="BO351" i="124"/>
  <c r="BJ351" i="124"/>
  <c r="BT351" i="124"/>
  <c r="BE351" i="124"/>
  <c r="AP351" i="124"/>
  <c r="AZ351" i="124"/>
  <c r="AU351" i="124"/>
  <c r="AK351" i="124"/>
  <c r="CN369" i="124"/>
  <c r="CI369" i="124"/>
  <c r="BY369" i="124"/>
  <c r="CD369" i="124"/>
  <c r="BO369" i="124"/>
  <c r="BJ369" i="124"/>
  <c r="BT369" i="124"/>
  <c r="BE369" i="124"/>
  <c r="AP369" i="124"/>
  <c r="AZ369" i="124"/>
  <c r="AU369" i="124"/>
  <c r="AK369" i="124"/>
  <c r="CN387" i="124"/>
  <c r="BY387" i="124"/>
  <c r="CI387" i="124"/>
  <c r="CD387" i="124"/>
  <c r="BO387" i="124"/>
  <c r="BJ387" i="124"/>
  <c r="BT387" i="124"/>
  <c r="BE387" i="124"/>
  <c r="AP387" i="124"/>
  <c r="AZ387" i="124"/>
  <c r="AU387" i="124"/>
  <c r="AK387" i="124"/>
  <c r="CN405" i="124"/>
  <c r="CI405" i="124"/>
  <c r="BY405" i="124"/>
  <c r="CD405" i="124"/>
  <c r="BO405" i="124"/>
  <c r="BJ405" i="124"/>
  <c r="BT405" i="124"/>
  <c r="BE405" i="124"/>
  <c r="AP405" i="124"/>
  <c r="AZ405" i="124"/>
  <c r="AU405" i="124"/>
  <c r="AK405" i="124"/>
  <c r="CN423" i="124"/>
  <c r="CI423" i="124"/>
  <c r="BY423" i="124"/>
  <c r="CD423" i="124"/>
  <c r="BO423" i="124"/>
  <c r="BJ423" i="124"/>
  <c r="BT423" i="124"/>
  <c r="BE423" i="124"/>
  <c r="AP423" i="124"/>
  <c r="AZ423" i="124"/>
  <c r="AU423" i="124"/>
  <c r="AK423" i="124"/>
  <c r="CN441" i="124"/>
  <c r="BY441" i="124"/>
  <c r="CI441" i="124"/>
  <c r="CD441" i="124"/>
  <c r="BO441" i="124"/>
  <c r="BJ441" i="124"/>
  <c r="BT441" i="124"/>
  <c r="BE441" i="124"/>
  <c r="AZ441" i="124"/>
  <c r="AU441" i="124"/>
  <c r="AP441" i="124"/>
  <c r="AK441" i="124"/>
  <c r="CN459" i="124"/>
  <c r="CI459" i="124"/>
  <c r="BY459" i="124"/>
  <c r="CD459" i="124"/>
  <c r="BO459" i="124"/>
  <c r="BJ459" i="124"/>
  <c r="BT459" i="124"/>
  <c r="BE459" i="124"/>
  <c r="AZ459" i="124"/>
  <c r="AU459" i="124"/>
  <c r="AP459" i="124"/>
  <c r="AK459" i="124"/>
  <c r="CN477" i="124"/>
  <c r="CI477" i="124"/>
  <c r="BY477" i="124"/>
  <c r="CD477" i="124"/>
  <c r="BO477" i="124"/>
  <c r="BT477" i="124"/>
  <c r="BJ477" i="124"/>
  <c r="BE477" i="124"/>
  <c r="AZ477" i="124"/>
  <c r="AP477" i="124"/>
  <c r="AU477" i="124"/>
  <c r="AK477" i="124"/>
  <c r="CN495" i="124"/>
  <c r="BY495" i="124"/>
  <c r="CI495" i="124"/>
  <c r="CD495" i="124"/>
  <c r="BO495" i="124"/>
  <c r="BJ495" i="124"/>
  <c r="BT495" i="124"/>
  <c r="BE495" i="124"/>
  <c r="AZ495" i="124"/>
  <c r="AU495" i="124"/>
  <c r="AP495" i="124"/>
  <c r="AK495" i="124"/>
  <c r="CN513" i="124"/>
  <c r="CI513" i="124"/>
  <c r="BY513" i="124"/>
  <c r="CD513" i="124"/>
  <c r="BJ513" i="124"/>
  <c r="BT513" i="124"/>
  <c r="BO513" i="124"/>
  <c r="BE513" i="124"/>
  <c r="AZ513" i="124"/>
  <c r="AU513" i="124"/>
  <c r="AP513" i="124"/>
  <c r="AK513" i="124"/>
  <c r="CN531" i="124"/>
  <c r="CI531" i="124"/>
  <c r="BY531" i="124"/>
  <c r="CD531" i="124"/>
  <c r="BO531" i="124"/>
  <c r="BJ531" i="124"/>
  <c r="BT531" i="124"/>
  <c r="BE531" i="124"/>
  <c r="AZ531" i="124"/>
  <c r="AP531" i="124"/>
  <c r="AU531" i="124"/>
  <c r="AK531" i="124"/>
  <c r="CN549" i="124"/>
  <c r="CI549" i="124"/>
  <c r="BY549" i="124"/>
  <c r="CD549" i="124"/>
  <c r="BT549" i="124"/>
  <c r="BJ549" i="124"/>
  <c r="BO549" i="124"/>
  <c r="BE549" i="124"/>
  <c r="AZ549" i="124"/>
  <c r="AU549" i="124"/>
  <c r="AP549" i="124"/>
  <c r="AK549" i="124"/>
  <c r="CN567" i="124"/>
  <c r="CI567" i="124"/>
  <c r="BY567" i="124"/>
  <c r="CD567" i="124"/>
  <c r="BO567" i="124"/>
  <c r="BJ567" i="124"/>
  <c r="BT567" i="124"/>
  <c r="BE567" i="124"/>
  <c r="AZ567" i="124"/>
  <c r="AU567" i="124"/>
  <c r="AP567" i="124"/>
  <c r="AK567" i="124"/>
  <c r="CN585" i="124"/>
  <c r="CI585" i="124"/>
  <c r="BY585" i="124"/>
  <c r="CD585" i="124"/>
  <c r="BJ585" i="124"/>
  <c r="BT585" i="124"/>
  <c r="BO585" i="124"/>
  <c r="BE585" i="124"/>
  <c r="AZ585" i="124"/>
  <c r="AP585" i="124"/>
  <c r="AU585" i="124"/>
  <c r="AK585" i="124"/>
  <c r="AD293" i="123"/>
  <c r="AE293" i="123" s="1"/>
  <c r="Z293" i="123"/>
  <c r="AA293" i="123" s="1"/>
  <c r="AD317" i="123"/>
  <c r="AE317" i="123" s="1"/>
  <c r="Z317" i="123"/>
  <c r="AA317" i="123" s="1"/>
  <c r="Z341" i="123"/>
  <c r="AA341" i="123" s="1"/>
  <c r="AD341" i="123"/>
  <c r="AE341" i="123" s="1"/>
  <c r="AD365" i="123"/>
  <c r="AE365" i="123" s="1"/>
  <c r="Z365" i="123"/>
  <c r="AA365" i="123" s="1"/>
  <c r="AD389" i="123"/>
  <c r="AE389" i="123" s="1"/>
  <c r="Z389" i="123"/>
  <c r="AA389" i="123" s="1"/>
  <c r="AD413" i="123"/>
  <c r="AE413" i="123" s="1"/>
  <c r="Z413" i="123"/>
  <c r="AA413" i="123" s="1"/>
  <c r="Z437" i="123"/>
  <c r="AA437" i="123" s="1"/>
  <c r="AD437" i="123"/>
  <c r="AE437" i="123" s="1"/>
  <c r="Z461" i="123"/>
  <c r="AA461" i="123" s="1"/>
  <c r="AD461" i="123"/>
  <c r="AE461" i="123" s="1"/>
  <c r="Z485" i="123"/>
  <c r="AA485" i="123" s="1"/>
  <c r="AD485" i="123"/>
  <c r="AE485" i="123" s="1"/>
  <c r="AD509" i="123"/>
  <c r="AE509" i="123" s="1"/>
  <c r="Z509" i="123"/>
  <c r="AA509" i="123" s="1"/>
  <c r="AD533" i="123"/>
  <c r="AE533" i="123" s="1"/>
  <c r="Z533" i="123"/>
  <c r="AA533" i="123" s="1"/>
  <c r="AD557" i="123"/>
  <c r="AE557" i="123" s="1"/>
  <c r="Z557" i="123"/>
  <c r="AA557" i="123" s="1"/>
  <c r="AD581" i="123"/>
  <c r="AE581" i="123" s="1"/>
  <c r="Z581" i="123"/>
  <c r="AA581" i="123" s="1"/>
  <c r="AD330" i="123"/>
  <c r="AE330" i="123" s="1"/>
  <c r="Z330" i="123"/>
  <c r="AA330" i="123" s="1"/>
  <c r="AD394" i="123"/>
  <c r="AE394" i="123" s="1"/>
  <c r="Z394" i="123"/>
  <c r="AA394" i="123" s="1"/>
  <c r="AD450" i="123"/>
  <c r="AE450" i="123" s="1"/>
  <c r="Z450" i="123"/>
  <c r="AA450" i="123" s="1"/>
  <c r="AD498" i="123"/>
  <c r="AE498" i="123" s="1"/>
  <c r="Z498" i="123"/>
  <c r="AA498" i="123" s="1"/>
  <c r="AD570" i="123"/>
  <c r="AE570" i="123" s="1"/>
  <c r="Z570" i="123"/>
  <c r="AA570" i="123" s="1"/>
  <c r="AD355" i="123"/>
  <c r="AE355" i="123" s="1"/>
  <c r="Z355" i="123"/>
  <c r="AA355" i="123" s="1"/>
  <c r="Z428" i="123"/>
  <c r="AA428" i="123" s="1"/>
  <c r="AD428" i="123"/>
  <c r="AE428" i="123" s="1"/>
  <c r="AD516" i="123"/>
  <c r="AE516" i="123" s="1"/>
  <c r="Z516" i="123"/>
  <c r="AA516" i="123" s="1"/>
  <c r="AD310" i="123"/>
  <c r="AE310" i="123" s="1"/>
  <c r="Z310" i="123"/>
  <c r="AA310" i="123" s="1"/>
  <c r="AD334" i="123"/>
  <c r="AE334" i="123" s="1"/>
  <c r="Z334" i="123"/>
  <c r="AA334" i="123" s="1"/>
  <c r="AD358" i="123"/>
  <c r="AE358" i="123" s="1"/>
  <c r="Z358" i="123"/>
  <c r="AA358" i="123" s="1"/>
  <c r="AD382" i="123"/>
  <c r="AE382" i="123" s="1"/>
  <c r="Z382" i="123"/>
  <c r="AA382" i="123" s="1"/>
  <c r="AD406" i="123"/>
  <c r="AE406" i="123" s="1"/>
  <c r="Z406" i="123"/>
  <c r="AA406" i="123" s="1"/>
  <c r="Z430" i="123"/>
  <c r="AA430" i="123" s="1"/>
  <c r="AD430" i="123"/>
  <c r="AE430" i="123" s="1"/>
  <c r="Z454" i="123"/>
  <c r="AA454" i="123" s="1"/>
  <c r="AD454" i="123"/>
  <c r="AE454" i="123" s="1"/>
  <c r="Z478" i="123"/>
  <c r="AA478" i="123" s="1"/>
  <c r="AD478" i="123"/>
  <c r="AE478" i="123" s="1"/>
  <c r="AD502" i="123"/>
  <c r="AE502" i="123" s="1"/>
  <c r="Z502" i="123"/>
  <c r="AA502" i="123" s="1"/>
  <c r="AD526" i="123"/>
  <c r="AE526" i="123" s="1"/>
  <c r="Z526" i="123"/>
  <c r="AA526" i="123" s="1"/>
  <c r="AD550" i="123"/>
  <c r="AE550" i="123" s="1"/>
  <c r="Z550" i="123"/>
  <c r="AA550" i="123" s="1"/>
  <c r="AD574" i="123"/>
  <c r="AE574" i="123" s="1"/>
  <c r="Z574" i="123"/>
  <c r="AA574" i="123" s="1"/>
  <c r="Z314" i="123"/>
  <c r="AA314" i="123" s="1"/>
  <c r="AD314" i="123"/>
  <c r="AE314" i="123" s="1"/>
  <c r="AD378" i="123"/>
  <c r="AE378" i="123" s="1"/>
  <c r="Z378" i="123"/>
  <c r="AA378" i="123" s="1"/>
  <c r="Z426" i="123"/>
  <c r="AA426" i="123" s="1"/>
  <c r="AD426" i="123"/>
  <c r="AE426" i="123" s="1"/>
  <c r="Z482" i="123"/>
  <c r="AA482" i="123" s="1"/>
  <c r="AD482" i="123"/>
  <c r="AE482" i="123" s="1"/>
  <c r="AD546" i="123"/>
  <c r="AE546" i="123" s="1"/>
  <c r="Z546" i="123"/>
  <c r="AA546" i="123" s="1"/>
  <c r="AD347" i="123"/>
  <c r="AE347" i="123" s="1"/>
  <c r="Z347" i="123"/>
  <c r="AA347" i="123" s="1"/>
  <c r="AD475" i="123"/>
  <c r="AE475" i="123" s="1"/>
  <c r="Z475" i="123"/>
  <c r="AA475" i="123" s="1"/>
  <c r="AD587" i="123"/>
  <c r="AE587" i="123" s="1"/>
  <c r="Z587" i="123"/>
  <c r="AA587" i="123" s="1"/>
  <c r="AD364" i="123"/>
  <c r="AE364" i="123" s="1"/>
  <c r="Z364" i="123"/>
  <c r="AA364" i="123" s="1"/>
  <c r="Z460" i="123"/>
  <c r="AA460" i="123" s="1"/>
  <c r="AD460" i="123"/>
  <c r="AE460" i="123" s="1"/>
  <c r="Y332" i="124"/>
  <c r="S332" i="124"/>
  <c r="R332" i="124"/>
  <c r="AD332" i="124"/>
  <c r="AE332" i="124" s="1"/>
  <c r="AD303" i="123"/>
  <c r="AE303" i="123" s="1"/>
  <c r="Z303" i="123"/>
  <c r="AA303" i="123" s="1"/>
  <c r="AD327" i="123"/>
  <c r="AE327" i="123" s="1"/>
  <c r="Z327" i="123"/>
  <c r="AA327" i="123" s="1"/>
  <c r="AD351" i="123"/>
  <c r="AE351" i="123" s="1"/>
  <c r="Z351" i="123"/>
  <c r="AA351" i="123" s="1"/>
  <c r="AD375" i="123"/>
  <c r="AE375" i="123" s="1"/>
  <c r="Z375" i="123"/>
  <c r="AA375" i="123" s="1"/>
  <c r="AD399" i="123"/>
  <c r="AE399" i="123" s="1"/>
  <c r="Z399" i="123"/>
  <c r="AA399" i="123" s="1"/>
  <c r="Z423" i="123"/>
  <c r="AA423" i="123" s="1"/>
  <c r="AD423" i="123"/>
  <c r="AE423" i="123" s="1"/>
  <c r="Z447" i="123"/>
  <c r="AA447" i="123" s="1"/>
  <c r="AD447" i="123"/>
  <c r="AE447" i="123" s="1"/>
  <c r="Z471" i="123"/>
  <c r="AA471" i="123" s="1"/>
  <c r="AD471" i="123"/>
  <c r="AE471" i="123" s="1"/>
  <c r="AD495" i="123"/>
  <c r="AE495" i="123" s="1"/>
  <c r="Z495" i="123"/>
  <c r="AA495" i="123" s="1"/>
  <c r="AD519" i="123"/>
  <c r="AE519" i="123" s="1"/>
  <c r="Z519" i="123"/>
  <c r="AA519" i="123" s="1"/>
  <c r="AD543" i="123"/>
  <c r="AE543" i="123" s="1"/>
  <c r="Z543" i="123"/>
  <c r="AA543" i="123" s="1"/>
  <c r="AD567" i="123"/>
  <c r="AE567" i="123" s="1"/>
  <c r="Z567" i="123"/>
  <c r="AA567" i="123" s="1"/>
  <c r="AD578" i="123"/>
  <c r="AE578" i="123" s="1"/>
  <c r="Z578" i="123"/>
  <c r="AA578" i="123" s="1"/>
  <c r="Z379" i="123"/>
  <c r="AA379" i="123" s="1"/>
  <c r="AD379" i="123"/>
  <c r="AE379" i="123" s="1"/>
  <c r="AD499" i="123"/>
  <c r="AE499" i="123" s="1"/>
  <c r="Z499" i="123"/>
  <c r="AA499" i="123" s="1"/>
  <c r="AD292" i="123"/>
  <c r="AE292" i="123" s="1"/>
  <c r="Z292" i="123"/>
  <c r="AA292" i="123" s="1"/>
  <c r="Z356" i="123"/>
  <c r="AA356" i="123" s="1"/>
  <c r="AD356" i="123"/>
  <c r="AE356" i="123" s="1"/>
  <c r="Z452" i="123"/>
  <c r="AA452" i="123" s="1"/>
  <c r="AD452" i="123"/>
  <c r="AE452" i="123" s="1"/>
  <c r="AD564" i="123"/>
  <c r="AE564" i="123" s="1"/>
  <c r="Z564" i="123"/>
  <c r="AA564" i="123" s="1"/>
  <c r="Z304" i="123"/>
  <c r="AA304" i="123" s="1"/>
  <c r="AD304" i="123"/>
  <c r="AE304" i="123" s="1"/>
  <c r="AD328" i="123"/>
  <c r="AE328" i="123" s="1"/>
  <c r="Z328" i="123"/>
  <c r="AA328" i="123" s="1"/>
  <c r="Z352" i="123"/>
  <c r="AA352" i="123" s="1"/>
  <c r="AD352" i="123"/>
  <c r="AE352" i="123" s="1"/>
  <c r="Z376" i="123"/>
  <c r="AA376" i="123" s="1"/>
  <c r="AD376" i="123"/>
  <c r="AE376" i="123" s="1"/>
  <c r="AD400" i="123"/>
  <c r="AE400" i="123" s="1"/>
  <c r="Z400" i="123"/>
  <c r="AA400" i="123" s="1"/>
  <c r="AD424" i="123"/>
  <c r="AE424" i="123" s="1"/>
  <c r="Z424" i="123"/>
  <c r="AA424" i="123" s="1"/>
  <c r="Z448" i="123"/>
  <c r="AA448" i="123" s="1"/>
  <c r="AD448" i="123"/>
  <c r="AE448" i="123" s="1"/>
  <c r="Z472" i="123"/>
  <c r="AA472" i="123" s="1"/>
  <c r="AD472" i="123"/>
  <c r="AE472" i="123" s="1"/>
  <c r="AD496" i="123"/>
  <c r="AE496" i="123" s="1"/>
  <c r="Z496" i="123"/>
  <c r="AA496" i="123" s="1"/>
  <c r="AD520" i="123"/>
  <c r="AE520" i="123" s="1"/>
  <c r="Z520" i="123"/>
  <c r="AA520" i="123" s="1"/>
  <c r="AD544" i="123"/>
  <c r="AE544" i="123" s="1"/>
  <c r="Z544" i="123"/>
  <c r="AA544" i="123" s="1"/>
  <c r="AD568" i="123"/>
  <c r="AE568" i="123" s="1"/>
  <c r="Z568" i="123"/>
  <c r="AA568" i="123" s="1"/>
  <c r="Z372" i="123"/>
  <c r="AA372" i="123" s="1"/>
  <c r="AD372" i="123"/>
  <c r="AE372" i="123" s="1"/>
  <c r="AD556" i="123"/>
  <c r="AE556" i="123" s="1"/>
  <c r="Z556" i="123"/>
  <c r="AA556" i="123" s="1"/>
  <c r="Z305" i="123"/>
  <c r="AA305" i="123" s="1"/>
  <c r="AD305" i="123"/>
  <c r="AE305" i="123" s="1"/>
  <c r="AD329" i="123"/>
  <c r="AE329" i="123" s="1"/>
  <c r="Z329" i="123"/>
  <c r="AA329" i="123" s="1"/>
  <c r="AD353" i="123"/>
  <c r="AE353" i="123" s="1"/>
  <c r="Z353" i="123"/>
  <c r="AA353" i="123" s="1"/>
  <c r="Z377" i="123"/>
  <c r="AA377" i="123" s="1"/>
  <c r="AD377" i="123"/>
  <c r="AE377" i="123" s="1"/>
  <c r="AD401" i="123"/>
  <c r="AE401" i="123" s="1"/>
  <c r="Z401" i="123"/>
  <c r="AA401" i="123" s="1"/>
  <c r="Z425" i="123"/>
  <c r="AA425" i="123" s="1"/>
  <c r="AD425" i="123"/>
  <c r="AE425" i="123" s="1"/>
  <c r="Z473" i="123"/>
  <c r="AA473" i="123" s="1"/>
  <c r="AD473" i="123"/>
  <c r="AE473" i="123" s="1"/>
  <c r="AD497" i="123"/>
  <c r="AE497" i="123" s="1"/>
  <c r="Z497" i="123"/>
  <c r="AA497" i="123" s="1"/>
  <c r="AD521" i="123"/>
  <c r="AE521" i="123" s="1"/>
  <c r="Z521" i="123"/>
  <c r="AA521" i="123" s="1"/>
  <c r="AD545" i="123"/>
  <c r="AE545" i="123" s="1"/>
  <c r="Z545" i="123"/>
  <c r="AA545" i="123" s="1"/>
  <c r="AD569" i="123"/>
  <c r="AE569" i="123" s="1"/>
  <c r="Z569" i="123"/>
  <c r="AA569" i="123" s="1"/>
  <c r="AD299" i="123"/>
  <c r="AE299" i="123" s="1"/>
  <c r="Z299" i="123"/>
  <c r="AA299" i="123" s="1"/>
  <c r="Z403" i="123"/>
  <c r="AA403" i="123" s="1"/>
  <c r="AD403" i="123"/>
  <c r="AE403" i="123" s="1"/>
  <c r="AD523" i="123"/>
  <c r="AE523" i="123" s="1"/>
  <c r="Z523" i="123"/>
  <c r="AA523" i="123" s="1"/>
  <c r="Z362" i="123"/>
  <c r="AA362" i="123" s="1"/>
  <c r="AD362" i="123"/>
  <c r="AE362" i="123" s="1"/>
  <c r="AD514" i="123"/>
  <c r="AE514" i="123" s="1"/>
  <c r="Z514" i="123"/>
  <c r="AA514" i="123" s="1"/>
  <c r="AD371" i="123"/>
  <c r="AE371" i="123" s="1"/>
  <c r="Z371" i="123"/>
  <c r="AA371" i="123" s="1"/>
  <c r="Z476" i="123"/>
  <c r="AA476" i="123" s="1"/>
  <c r="AD476" i="123"/>
  <c r="AE476" i="123" s="1"/>
  <c r="Y293" i="124"/>
  <c r="R293" i="124"/>
  <c r="S293" i="124"/>
  <c r="AD293" i="124"/>
  <c r="AE293" i="124" s="1"/>
  <c r="Y317" i="124"/>
  <c r="S317" i="124"/>
  <c r="R317" i="124"/>
  <c r="AD317" i="124"/>
  <c r="AE317" i="124" s="1"/>
  <c r="Y341" i="124"/>
  <c r="R341" i="124"/>
  <c r="S341" i="124"/>
  <c r="AD341" i="124"/>
  <c r="AE341" i="124" s="1"/>
  <c r="Y330" i="124"/>
  <c r="R330" i="124"/>
  <c r="S330" i="124"/>
  <c r="AD330" i="124"/>
  <c r="AE330" i="124" s="1"/>
  <c r="Z467" i="123"/>
  <c r="AA467" i="123" s="1"/>
  <c r="AD467" i="123"/>
  <c r="AE467" i="123" s="1"/>
  <c r="Z316" i="123"/>
  <c r="AA316" i="123" s="1"/>
  <c r="AD316" i="123"/>
  <c r="AE316" i="123" s="1"/>
  <c r="Y310" i="124"/>
  <c r="S310" i="124"/>
  <c r="R310" i="124"/>
  <c r="AD310" i="124"/>
  <c r="AE310" i="124" s="1"/>
  <c r="Y334" i="124"/>
  <c r="AD334" i="124"/>
  <c r="AE334" i="124" s="1"/>
  <c r="R334" i="124"/>
  <c r="S334" i="124"/>
  <c r="Y306" i="124"/>
  <c r="R306" i="124"/>
  <c r="S306" i="124"/>
  <c r="AD306" i="124"/>
  <c r="AE306" i="124" s="1"/>
  <c r="Y347" i="124"/>
  <c r="S347" i="124"/>
  <c r="R347" i="124"/>
  <c r="AD347" i="124"/>
  <c r="AE347" i="124" s="1"/>
  <c r="AD572" i="123"/>
  <c r="AE572" i="123" s="1"/>
  <c r="Z572" i="123"/>
  <c r="AA572" i="123" s="1"/>
  <c r="Y303" i="124"/>
  <c r="S303" i="124"/>
  <c r="R303" i="124"/>
  <c r="AD303" i="124"/>
  <c r="AE303" i="124" s="1"/>
  <c r="Y327" i="124"/>
  <c r="S327" i="124"/>
  <c r="R327" i="124"/>
  <c r="AD327" i="124"/>
  <c r="AE327" i="124" s="1"/>
  <c r="Y338" i="124"/>
  <c r="S338" i="124"/>
  <c r="AD338" i="124"/>
  <c r="AE338" i="124" s="1"/>
  <c r="R338" i="124"/>
  <c r="Y324" i="124"/>
  <c r="R324" i="124"/>
  <c r="S324" i="124"/>
  <c r="AD324" i="124"/>
  <c r="AE324" i="124" s="1"/>
  <c r="Y304" i="124"/>
  <c r="S304" i="124"/>
  <c r="R304" i="124"/>
  <c r="AD304" i="124"/>
  <c r="AE304" i="124" s="1"/>
  <c r="Y328" i="124"/>
  <c r="R328" i="124"/>
  <c r="S328" i="124"/>
  <c r="AD328" i="124"/>
  <c r="AE328" i="124" s="1"/>
  <c r="Y316" i="124"/>
  <c r="AD316" i="124"/>
  <c r="AE316" i="124" s="1"/>
  <c r="S316" i="124"/>
  <c r="R316" i="124"/>
  <c r="Z449" i="123"/>
  <c r="AA449" i="123" s="1"/>
  <c r="AD449" i="123"/>
  <c r="AE449" i="123" s="1"/>
  <c r="Y305" i="124"/>
  <c r="S305" i="124"/>
  <c r="R305" i="124"/>
  <c r="AD305" i="124"/>
  <c r="AE305" i="124" s="1"/>
  <c r="Y329" i="124"/>
  <c r="R329" i="124"/>
  <c r="S329" i="124"/>
  <c r="AD329" i="124"/>
  <c r="AE329" i="124" s="1"/>
  <c r="AD491" i="123"/>
  <c r="AE491" i="123" s="1"/>
  <c r="Z491" i="123"/>
  <c r="AA491" i="123" s="1"/>
  <c r="AD340" i="123"/>
  <c r="AE340" i="123" s="1"/>
  <c r="Z340" i="123"/>
  <c r="AA340" i="123" s="1"/>
  <c r="Z301" i="123"/>
  <c r="AA301" i="123" s="1"/>
  <c r="AD301" i="123"/>
  <c r="AE301" i="123" s="1"/>
  <c r="Z325" i="123"/>
  <c r="AA325" i="123" s="1"/>
  <c r="AD325" i="123"/>
  <c r="AE325" i="123" s="1"/>
  <c r="Z349" i="123"/>
  <c r="AA349" i="123" s="1"/>
  <c r="AD349" i="123"/>
  <c r="AE349" i="123" s="1"/>
  <c r="Z373" i="123"/>
  <c r="AA373" i="123" s="1"/>
  <c r="AD373" i="123"/>
  <c r="AE373" i="123" s="1"/>
  <c r="Z397" i="123"/>
  <c r="AA397" i="123" s="1"/>
  <c r="AD397" i="123"/>
  <c r="AE397" i="123" s="1"/>
  <c r="Z421" i="123"/>
  <c r="AA421" i="123" s="1"/>
  <c r="AD421" i="123"/>
  <c r="AE421" i="123" s="1"/>
  <c r="Z445" i="123"/>
  <c r="AA445" i="123" s="1"/>
  <c r="AD445" i="123"/>
  <c r="AE445" i="123" s="1"/>
  <c r="AD469" i="123"/>
  <c r="AE469" i="123" s="1"/>
  <c r="Z469" i="123"/>
  <c r="AA469" i="123" s="1"/>
  <c r="AD493" i="123"/>
  <c r="AE493" i="123" s="1"/>
  <c r="Z493" i="123"/>
  <c r="AA493" i="123" s="1"/>
  <c r="AD517" i="123"/>
  <c r="AE517" i="123" s="1"/>
  <c r="Z517" i="123"/>
  <c r="AA517" i="123" s="1"/>
  <c r="AD541" i="123"/>
  <c r="AE541" i="123" s="1"/>
  <c r="Z541" i="123"/>
  <c r="AA541" i="123" s="1"/>
  <c r="AD565" i="123"/>
  <c r="AE565" i="123" s="1"/>
  <c r="Z565" i="123"/>
  <c r="AA565" i="123" s="1"/>
  <c r="AD346" i="123"/>
  <c r="AE346" i="123" s="1"/>
  <c r="Z346" i="123"/>
  <c r="AA346" i="123" s="1"/>
  <c r="Z410" i="123"/>
  <c r="AA410" i="123" s="1"/>
  <c r="AD410" i="123"/>
  <c r="AE410" i="123" s="1"/>
  <c r="AD474" i="123"/>
  <c r="AE474" i="123" s="1"/>
  <c r="Z474" i="123"/>
  <c r="AA474" i="123" s="1"/>
  <c r="AD522" i="123"/>
  <c r="AE522" i="123" s="1"/>
  <c r="Z522" i="123"/>
  <c r="AA522" i="123" s="1"/>
  <c r="AD291" i="123"/>
  <c r="AE291" i="123" s="1"/>
  <c r="Z291" i="123"/>
  <c r="AA291" i="123" s="1"/>
  <c r="AD395" i="123"/>
  <c r="AE395" i="123" s="1"/>
  <c r="Z395" i="123"/>
  <c r="AA395" i="123" s="1"/>
  <c r="AD515" i="123"/>
  <c r="AE515" i="123" s="1"/>
  <c r="Z515" i="123"/>
  <c r="AA515" i="123" s="1"/>
  <c r="AD548" i="123"/>
  <c r="AE548" i="123" s="1"/>
  <c r="Z548" i="123"/>
  <c r="AA548" i="123" s="1"/>
  <c r="AD294" i="123"/>
  <c r="AE294" i="123" s="1"/>
  <c r="Z294" i="123"/>
  <c r="AA294" i="123" s="1"/>
  <c r="AD318" i="123"/>
  <c r="AE318" i="123" s="1"/>
  <c r="Z318" i="123"/>
  <c r="AA318" i="123" s="1"/>
  <c r="AD342" i="123"/>
  <c r="AE342" i="123" s="1"/>
  <c r="Z342" i="123"/>
  <c r="AA342" i="123" s="1"/>
  <c r="AD366" i="123"/>
  <c r="AE366" i="123" s="1"/>
  <c r="Z366" i="123"/>
  <c r="AA366" i="123" s="1"/>
  <c r="AD390" i="123"/>
  <c r="AE390" i="123" s="1"/>
  <c r="Z390" i="123"/>
  <c r="AA390" i="123" s="1"/>
  <c r="AD414" i="123"/>
  <c r="AE414" i="123" s="1"/>
  <c r="Z414" i="123"/>
  <c r="AA414" i="123" s="1"/>
  <c r="AD438" i="123"/>
  <c r="AE438" i="123" s="1"/>
  <c r="Z438" i="123"/>
  <c r="AA438" i="123" s="1"/>
  <c r="AD462" i="123"/>
  <c r="AE462" i="123" s="1"/>
  <c r="Z462" i="123"/>
  <c r="AA462" i="123" s="1"/>
  <c r="AD486" i="123"/>
  <c r="AE486" i="123" s="1"/>
  <c r="Z486" i="123"/>
  <c r="AA486" i="123" s="1"/>
  <c r="AD510" i="123"/>
  <c r="AE510" i="123" s="1"/>
  <c r="Z510" i="123"/>
  <c r="AA510" i="123" s="1"/>
  <c r="AD534" i="123"/>
  <c r="AE534" i="123" s="1"/>
  <c r="Z534" i="123"/>
  <c r="AA534" i="123" s="1"/>
  <c r="AD558" i="123"/>
  <c r="AE558" i="123" s="1"/>
  <c r="Z558" i="123"/>
  <c r="AA558" i="123" s="1"/>
  <c r="AD582" i="123"/>
  <c r="AE582" i="123" s="1"/>
  <c r="Z582" i="123"/>
  <c r="AA582" i="123" s="1"/>
  <c r="Z338" i="123"/>
  <c r="AA338" i="123" s="1"/>
  <c r="AD338" i="123"/>
  <c r="AE338" i="123" s="1"/>
  <c r="Z386" i="123"/>
  <c r="AA386" i="123" s="1"/>
  <c r="AD386" i="123"/>
  <c r="AE386" i="123" s="1"/>
  <c r="Z442" i="123"/>
  <c r="AA442" i="123" s="1"/>
  <c r="AD442" i="123"/>
  <c r="AE442" i="123" s="1"/>
  <c r="AD506" i="123"/>
  <c r="AE506" i="123" s="1"/>
  <c r="Z506" i="123"/>
  <c r="AA506" i="123" s="1"/>
  <c r="AD554" i="123"/>
  <c r="AE554" i="123" s="1"/>
  <c r="Z554" i="123"/>
  <c r="AA554" i="123" s="1"/>
  <c r="AD387" i="123"/>
  <c r="AE387" i="123" s="1"/>
  <c r="Z387" i="123"/>
  <c r="AA387" i="123" s="1"/>
  <c r="AD507" i="123"/>
  <c r="AE507" i="123" s="1"/>
  <c r="Z507" i="123"/>
  <c r="AA507" i="123" s="1"/>
  <c r="AD308" i="123"/>
  <c r="AE308" i="123" s="1"/>
  <c r="Z308" i="123"/>
  <c r="AA308" i="123" s="1"/>
  <c r="AD500" i="123"/>
  <c r="AE500" i="123" s="1"/>
  <c r="Z500" i="123"/>
  <c r="AA500" i="123" s="1"/>
  <c r="AD311" i="123"/>
  <c r="AE311" i="123" s="1"/>
  <c r="Z311" i="123"/>
  <c r="AA311" i="123" s="1"/>
  <c r="AD335" i="123"/>
  <c r="AE335" i="123" s="1"/>
  <c r="Z335" i="123"/>
  <c r="AA335" i="123" s="1"/>
  <c r="AD359" i="123"/>
  <c r="AE359" i="123" s="1"/>
  <c r="Z359" i="123"/>
  <c r="AA359" i="123" s="1"/>
  <c r="AD383" i="123"/>
  <c r="AE383" i="123" s="1"/>
  <c r="Z383" i="123"/>
  <c r="AA383" i="123" s="1"/>
  <c r="AD407" i="123"/>
  <c r="AE407" i="123" s="1"/>
  <c r="Z407" i="123"/>
  <c r="AA407" i="123" s="1"/>
  <c r="Z431" i="123"/>
  <c r="AA431" i="123" s="1"/>
  <c r="AD431" i="123"/>
  <c r="AE431" i="123" s="1"/>
  <c r="Z455" i="123"/>
  <c r="AA455" i="123" s="1"/>
  <c r="AD455" i="123"/>
  <c r="AE455" i="123" s="1"/>
  <c r="AD479" i="123"/>
  <c r="AE479" i="123" s="1"/>
  <c r="Z479" i="123"/>
  <c r="AA479" i="123" s="1"/>
  <c r="AD503" i="123"/>
  <c r="AE503" i="123" s="1"/>
  <c r="Z503" i="123"/>
  <c r="AA503" i="123" s="1"/>
  <c r="AD527" i="123"/>
  <c r="AE527" i="123" s="1"/>
  <c r="Z527" i="123"/>
  <c r="AA527" i="123" s="1"/>
  <c r="AD551" i="123"/>
  <c r="AE551" i="123" s="1"/>
  <c r="Z551" i="123"/>
  <c r="AA551" i="123" s="1"/>
  <c r="AD575" i="123"/>
  <c r="AE575" i="123" s="1"/>
  <c r="Z575" i="123"/>
  <c r="AA575" i="123" s="1"/>
  <c r="Z307" i="123"/>
  <c r="AA307" i="123" s="1"/>
  <c r="AD307" i="123"/>
  <c r="AE307" i="123" s="1"/>
  <c r="Z419" i="123"/>
  <c r="AA419" i="123" s="1"/>
  <c r="AD419" i="123"/>
  <c r="AE419" i="123" s="1"/>
  <c r="AD539" i="123"/>
  <c r="AE539" i="123" s="1"/>
  <c r="Z539" i="123"/>
  <c r="AA539" i="123" s="1"/>
  <c r="Z300" i="123"/>
  <c r="AA300" i="123" s="1"/>
  <c r="AD300" i="123"/>
  <c r="AE300" i="123" s="1"/>
  <c r="AD396" i="123"/>
  <c r="AE396" i="123" s="1"/>
  <c r="Z396" i="123"/>
  <c r="AA396" i="123" s="1"/>
  <c r="Z484" i="123"/>
  <c r="AA484" i="123" s="1"/>
  <c r="AD484" i="123"/>
  <c r="AE484" i="123" s="1"/>
  <c r="AD312" i="123"/>
  <c r="AE312" i="123" s="1"/>
  <c r="Z312" i="123"/>
  <c r="AA312" i="123" s="1"/>
  <c r="Z336" i="123"/>
  <c r="AA336" i="123" s="1"/>
  <c r="AD336" i="123"/>
  <c r="AE336" i="123" s="1"/>
  <c r="AD360" i="123"/>
  <c r="AE360" i="123" s="1"/>
  <c r="Z360" i="123"/>
  <c r="AA360" i="123" s="1"/>
  <c r="AD384" i="123"/>
  <c r="AE384" i="123" s="1"/>
  <c r="Z384" i="123"/>
  <c r="AA384" i="123" s="1"/>
  <c r="Z408" i="123"/>
  <c r="AA408" i="123" s="1"/>
  <c r="AD408" i="123"/>
  <c r="AE408" i="123" s="1"/>
  <c r="AD432" i="123"/>
  <c r="AE432" i="123" s="1"/>
  <c r="Z432" i="123"/>
  <c r="AA432" i="123" s="1"/>
  <c r="AD456" i="123"/>
  <c r="AE456" i="123" s="1"/>
  <c r="Z456" i="123"/>
  <c r="AA456" i="123" s="1"/>
  <c r="AD480" i="123"/>
  <c r="AE480" i="123" s="1"/>
  <c r="Z480" i="123"/>
  <c r="AA480" i="123" s="1"/>
  <c r="AD504" i="123"/>
  <c r="AE504" i="123" s="1"/>
  <c r="Z504" i="123"/>
  <c r="AA504" i="123" s="1"/>
  <c r="AD528" i="123"/>
  <c r="AE528" i="123" s="1"/>
  <c r="Z528" i="123"/>
  <c r="AA528" i="123" s="1"/>
  <c r="AD552" i="123"/>
  <c r="AE552" i="123" s="1"/>
  <c r="Z552" i="123"/>
  <c r="AA552" i="123" s="1"/>
  <c r="AD576" i="123"/>
  <c r="AE576" i="123" s="1"/>
  <c r="Z576" i="123"/>
  <c r="AA576" i="123" s="1"/>
  <c r="Z313" i="123"/>
  <c r="AA313" i="123" s="1"/>
  <c r="AD313" i="123"/>
  <c r="AE313" i="123" s="1"/>
  <c r="Z337" i="123"/>
  <c r="AA337" i="123" s="1"/>
  <c r="AD337" i="123"/>
  <c r="AE337" i="123" s="1"/>
  <c r="Z361" i="123"/>
  <c r="AA361" i="123" s="1"/>
  <c r="AD361" i="123"/>
  <c r="AE361" i="123" s="1"/>
  <c r="Z385" i="123"/>
  <c r="AA385" i="123" s="1"/>
  <c r="AD385" i="123"/>
  <c r="AE385" i="123" s="1"/>
  <c r="Z409" i="123"/>
  <c r="AA409" i="123" s="1"/>
  <c r="AD409" i="123"/>
  <c r="AE409" i="123" s="1"/>
  <c r="Z433" i="123"/>
  <c r="AA433" i="123" s="1"/>
  <c r="AD433" i="123"/>
  <c r="AE433" i="123" s="1"/>
  <c r="Z457" i="123"/>
  <c r="AA457" i="123" s="1"/>
  <c r="AD457" i="123"/>
  <c r="AE457" i="123" s="1"/>
  <c r="AD481" i="123"/>
  <c r="AE481" i="123" s="1"/>
  <c r="Z481" i="123"/>
  <c r="AA481" i="123" s="1"/>
  <c r="AD505" i="123"/>
  <c r="AE505" i="123" s="1"/>
  <c r="Z505" i="123"/>
  <c r="AA505" i="123" s="1"/>
  <c r="AD529" i="123"/>
  <c r="AE529" i="123" s="1"/>
  <c r="Z529" i="123"/>
  <c r="AA529" i="123" s="1"/>
  <c r="Y313" i="124"/>
  <c r="S313" i="124"/>
  <c r="AD313" i="124"/>
  <c r="AE313" i="124" s="1"/>
  <c r="R313" i="124"/>
  <c r="Y337" i="124"/>
  <c r="R337" i="124"/>
  <c r="S337" i="124"/>
  <c r="AD337" i="124"/>
  <c r="AE337" i="124" s="1"/>
  <c r="Z331" i="123"/>
  <c r="AA331" i="123" s="1"/>
  <c r="AD331" i="123"/>
  <c r="AE331" i="123" s="1"/>
  <c r="Z443" i="123"/>
  <c r="AA443" i="123" s="1"/>
  <c r="AD443" i="123"/>
  <c r="AE443" i="123" s="1"/>
  <c r="AD563" i="123"/>
  <c r="AE563" i="123" s="1"/>
  <c r="Z563" i="123"/>
  <c r="AA563" i="123" s="1"/>
  <c r="Z418" i="123"/>
  <c r="AA418" i="123" s="1"/>
  <c r="AD418" i="123"/>
  <c r="AE418" i="123" s="1"/>
  <c r="AD562" i="123"/>
  <c r="AE562" i="123" s="1"/>
  <c r="Z562" i="123"/>
  <c r="AA562" i="123" s="1"/>
  <c r="AD411" i="123"/>
  <c r="AE411" i="123" s="1"/>
  <c r="Z411" i="123"/>
  <c r="AA411" i="123" s="1"/>
  <c r="Y291" i="124"/>
  <c r="S291" i="124"/>
  <c r="R291" i="124"/>
  <c r="AD291" i="124"/>
  <c r="AE291" i="124" s="1"/>
  <c r="Y292" i="124"/>
  <c r="R292" i="124"/>
  <c r="S292" i="124"/>
  <c r="AD292" i="124"/>
  <c r="AE292" i="124" s="1"/>
  <c r="Y301" i="124"/>
  <c r="S301" i="124"/>
  <c r="R301" i="124"/>
  <c r="AD301" i="124"/>
  <c r="AE301" i="124" s="1"/>
  <c r="Y325" i="124"/>
  <c r="S325" i="124"/>
  <c r="R325" i="124"/>
  <c r="AD325" i="124"/>
  <c r="AE325" i="124" s="1"/>
  <c r="AD348" i="123"/>
  <c r="AE348" i="123" s="1"/>
  <c r="Z348" i="123"/>
  <c r="AA348" i="123" s="1"/>
  <c r="AD468" i="123"/>
  <c r="AE468" i="123" s="1"/>
  <c r="Z468" i="123"/>
  <c r="AA468" i="123" s="1"/>
  <c r="Y308" i="124"/>
  <c r="R308" i="124"/>
  <c r="S308" i="124"/>
  <c r="AD308" i="124"/>
  <c r="AE308" i="124" s="1"/>
  <c r="Y294" i="124"/>
  <c r="S294" i="124"/>
  <c r="AD294" i="124"/>
  <c r="AE294" i="124" s="1"/>
  <c r="R294" i="124"/>
  <c r="Y318" i="124"/>
  <c r="S318" i="124"/>
  <c r="R318" i="124"/>
  <c r="AD318" i="124"/>
  <c r="AE318" i="124" s="1"/>
  <c r="Y342" i="124"/>
  <c r="R342" i="124"/>
  <c r="S342" i="124"/>
  <c r="AD342" i="124"/>
  <c r="AE342" i="124" s="1"/>
  <c r="Y314" i="124"/>
  <c r="R314" i="124"/>
  <c r="S314" i="124"/>
  <c r="AD314" i="124"/>
  <c r="AE314" i="124" s="1"/>
  <c r="Z388" i="123"/>
  <c r="AA388" i="123" s="1"/>
  <c r="AD388" i="123"/>
  <c r="AE388" i="123" s="1"/>
  <c r="Y311" i="124"/>
  <c r="S311" i="124"/>
  <c r="R311" i="124"/>
  <c r="AD311" i="124"/>
  <c r="AE311" i="124" s="1"/>
  <c r="Y335" i="124"/>
  <c r="R335" i="124"/>
  <c r="S335" i="124"/>
  <c r="AD335" i="124"/>
  <c r="AE335" i="124" s="1"/>
  <c r="Y299" i="124"/>
  <c r="R299" i="124"/>
  <c r="S299" i="124"/>
  <c r="AD299" i="124"/>
  <c r="AE299" i="124" s="1"/>
  <c r="Y312" i="124"/>
  <c r="R312" i="124"/>
  <c r="S312" i="124"/>
  <c r="AD312" i="124"/>
  <c r="AE312" i="124" s="1"/>
  <c r="Y336" i="124"/>
  <c r="R336" i="124"/>
  <c r="S336" i="124"/>
  <c r="AD336" i="124"/>
  <c r="AE336" i="124" s="1"/>
  <c r="AD444" i="123"/>
  <c r="AE444" i="123" s="1"/>
  <c r="Z444" i="123"/>
  <c r="AA444" i="123" s="1"/>
  <c r="AD553" i="123"/>
  <c r="AE553" i="123" s="1"/>
  <c r="Z553" i="123"/>
  <c r="AA553" i="123" s="1"/>
  <c r="AD577" i="123"/>
  <c r="AE577" i="123" s="1"/>
  <c r="Z577" i="123"/>
  <c r="AA577" i="123" s="1"/>
  <c r="Y323" i="124"/>
  <c r="S323" i="124"/>
  <c r="R323" i="124"/>
  <c r="AD323" i="124"/>
  <c r="AE323" i="124" s="1"/>
  <c r="Y322" i="124"/>
  <c r="S322" i="124"/>
  <c r="R322" i="124"/>
  <c r="AD322" i="124"/>
  <c r="AE322" i="124" s="1"/>
  <c r="AD531" i="123"/>
  <c r="AE531" i="123" s="1"/>
  <c r="Z531" i="123"/>
  <c r="AA531" i="123" s="1"/>
  <c r="Z404" i="123"/>
  <c r="AA404" i="123" s="1"/>
  <c r="AD404" i="123"/>
  <c r="AE404" i="123" s="1"/>
  <c r="AD532" i="123"/>
  <c r="AE532" i="123" s="1"/>
  <c r="Z532" i="123"/>
  <c r="AA532" i="123" s="1"/>
  <c r="Z309" i="123"/>
  <c r="AA309" i="123" s="1"/>
  <c r="AD309" i="123"/>
  <c r="AE309" i="123" s="1"/>
  <c r="Z333" i="123"/>
  <c r="AA333" i="123" s="1"/>
  <c r="AD333" i="123"/>
  <c r="AE333" i="123" s="1"/>
  <c r="Z357" i="123"/>
  <c r="AA357" i="123" s="1"/>
  <c r="AD357" i="123"/>
  <c r="AE357" i="123" s="1"/>
  <c r="Z381" i="123"/>
  <c r="AA381" i="123" s="1"/>
  <c r="AD381" i="123"/>
  <c r="AE381" i="123" s="1"/>
  <c r="Z405" i="123"/>
  <c r="AA405" i="123" s="1"/>
  <c r="AD405" i="123"/>
  <c r="AE405" i="123" s="1"/>
  <c r="Z429" i="123"/>
  <c r="AA429" i="123" s="1"/>
  <c r="AD429" i="123"/>
  <c r="AE429" i="123" s="1"/>
  <c r="Z453" i="123"/>
  <c r="AA453" i="123" s="1"/>
  <c r="AD453" i="123"/>
  <c r="AE453" i="123" s="1"/>
  <c r="Z477" i="123"/>
  <c r="AA477" i="123" s="1"/>
  <c r="AD477" i="123"/>
  <c r="AE477" i="123" s="1"/>
  <c r="AD501" i="123"/>
  <c r="AE501" i="123" s="1"/>
  <c r="Z501" i="123"/>
  <c r="AA501" i="123" s="1"/>
  <c r="AD525" i="123"/>
  <c r="AE525" i="123" s="1"/>
  <c r="Z525" i="123"/>
  <c r="AA525" i="123" s="1"/>
  <c r="AD549" i="123"/>
  <c r="AE549" i="123" s="1"/>
  <c r="Z549" i="123"/>
  <c r="AA549" i="123" s="1"/>
  <c r="AD573" i="123"/>
  <c r="AE573" i="123" s="1"/>
  <c r="Z573" i="123"/>
  <c r="AA573" i="123" s="1"/>
  <c r="AD306" i="123"/>
  <c r="AE306" i="123" s="1"/>
  <c r="Z306" i="123"/>
  <c r="AA306" i="123" s="1"/>
  <c r="AD370" i="123"/>
  <c r="AE370" i="123" s="1"/>
  <c r="Z370" i="123"/>
  <c r="AA370" i="123" s="1"/>
  <c r="Z434" i="123"/>
  <c r="AA434" i="123" s="1"/>
  <c r="AD434" i="123"/>
  <c r="AE434" i="123" s="1"/>
  <c r="AD490" i="123"/>
  <c r="AE490" i="123" s="1"/>
  <c r="Z490" i="123"/>
  <c r="AA490" i="123" s="1"/>
  <c r="AD538" i="123"/>
  <c r="AE538" i="123" s="1"/>
  <c r="Z538" i="123"/>
  <c r="AA538" i="123" s="1"/>
  <c r="AD315" i="123"/>
  <c r="AE315" i="123" s="1"/>
  <c r="Z315" i="123"/>
  <c r="AA315" i="123" s="1"/>
  <c r="Z427" i="123"/>
  <c r="AA427" i="123" s="1"/>
  <c r="AD427" i="123"/>
  <c r="AE427" i="123" s="1"/>
  <c r="Y315" i="124"/>
  <c r="S315" i="124"/>
  <c r="R315" i="124"/>
  <c r="AD315" i="124"/>
  <c r="AE315" i="124" s="1"/>
  <c r="AD492" i="123"/>
  <c r="AE492" i="123" s="1"/>
  <c r="Z492" i="123"/>
  <c r="AA492" i="123" s="1"/>
  <c r="AD588" i="123"/>
  <c r="AE588" i="123" s="1"/>
  <c r="Z588" i="123"/>
  <c r="AA588" i="123" s="1"/>
  <c r="Z302" i="123"/>
  <c r="AA302" i="123" s="1"/>
  <c r="AD302" i="123"/>
  <c r="AE302" i="123" s="1"/>
  <c r="Z326" i="123"/>
  <c r="AA326" i="123" s="1"/>
  <c r="AD326" i="123"/>
  <c r="AE326" i="123" s="1"/>
  <c r="Z350" i="123"/>
  <c r="AA350" i="123" s="1"/>
  <c r="AD350" i="123"/>
  <c r="AE350" i="123" s="1"/>
  <c r="Z374" i="123"/>
  <c r="AA374" i="123" s="1"/>
  <c r="AD374" i="123"/>
  <c r="AE374" i="123" s="1"/>
  <c r="Z398" i="123"/>
  <c r="AA398" i="123" s="1"/>
  <c r="AD398" i="123"/>
  <c r="AE398" i="123" s="1"/>
  <c r="AD422" i="123"/>
  <c r="AE422" i="123" s="1"/>
  <c r="Z422" i="123"/>
  <c r="AA422" i="123" s="1"/>
  <c r="Z446" i="123"/>
  <c r="AA446" i="123" s="1"/>
  <c r="AD446" i="123"/>
  <c r="AE446" i="123" s="1"/>
  <c r="Z470" i="123"/>
  <c r="AA470" i="123" s="1"/>
  <c r="AD470" i="123"/>
  <c r="AE470" i="123" s="1"/>
  <c r="AD494" i="123"/>
  <c r="AE494" i="123" s="1"/>
  <c r="Z494" i="123"/>
  <c r="AA494" i="123" s="1"/>
  <c r="AD518" i="123"/>
  <c r="AE518" i="123" s="1"/>
  <c r="Z518" i="123"/>
  <c r="AA518" i="123" s="1"/>
  <c r="AD542" i="123"/>
  <c r="AE542" i="123" s="1"/>
  <c r="Z542" i="123"/>
  <c r="AA542" i="123" s="1"/>
  <c r="AD566" i="123"/>
  <c r="AE566" i="123" s="1"/>
  <c r="Z566" i="123"/>
  <c r="AA566" i="123" s="1"/>
  <c r="AD298" i="123"/>
  <c r="AE298" i="123" s="1"/>
  <c r="Z298" i="123"/>
  <c r="AA298" i="123" s="1"/>
  <c r="AD354" i="123"/>
  <c r="AE354" i="123" s="1"/>
  <c r="Z354" i="123"/>
  <c r="AA354" i="123" s="1"/>
  <c r="AD402" i="123"/>
  <c r="AE402" i="123" s="1"/>
  <c r="Z402" i="123"/>
  <c r="AA402" i="123" s="1"/>
  <c r="Z466" i="123"/>
  <c r="AA466" i="123" s="1"/>
  <c r="AD466" i="123"/>
  <c r="AE466" i="123" s="1"/>
  <c r="AD530" i="123"/>
  <c r="AE530" i="123" s="1"/>
  <c r="Z530" i="123"/>
  <c r="AA530" i="123" s="1"/>
  <c r="AD586" i="123"/>
  <c r="AE586" i="123" s="1"/>
  <c r="Z586" i="123"/>
  <c r="AA586" i="123" s="1"/>
  <c r="Z435" i="123"/>
  <c r="AA435" i="123" s="1"/>
  <c r="AD435" i="123"/>
  <c r="AE435" i="123" s="1"/>
  <c r="AD547" i="123"/>
  <c r="AE547" i="123" s="1"/>
  <c r="Z547" i="123"/>
  <c r="AA547" i="123" s="1"/>
  <c r="Z332" i="123"/>
  <c r="AA332" i="123" s="1"/>
  <c r="AD332" i="123"/>
  <c r="AE332" i="123" s="1"/>
  <c r="Z420" i="123"/>
  <c r="AA420" i="123" s="1"/>
  <c r="AD420" i="123"/>
  <c r="AE420" i="123" s="1"/>
  <c r="AD540" i="123"/>
  <c r="AE540" i="123" s="1"/>
  <c r="Z540" i="123"/>
  <c r="AA540" i="123" s="1"/>
  <c r="Z295" i="123"/>
  <c r="AA295" i="123" s="1"/>
  <c r="AD295" i="123"/>
  <c r="AE295" i="123" s="1"/>
  <c r="AD319" i="123"/>
  <c r="AE319" i="123" s="1"/>
  <c r="Z319" i="123"/>
  <c r="AA319" i="123" s="1"/>
  <c r="Z343" i="123"/>
  <c r="AA343" i="123" s="1"/>
  <c r="AD343" i="123"/>
  <c r="AE343" i="123" s="1"/>
  <c r="Z367" i="123"/>
  <c r="AA367" i="123" s="1"/>
  <c r="AD367" i="123"/>
  <c r="AE367" i="123" s="1"/>
  <c r="AD391" i="123"/>
  <c r="AE391" i="123" s="1"/>
  <c r="Z391" i="123"/>
  <c r="AA391" i="123" s="1"/>
  <c r="Z415" i="123"/>
  <c r="AA415" i="123" s="1"/>
  <c r="AD415" i="123"/>
  <c r="AE415" i="123" s="1"/>
  <c r="Z439" i="123"/>
  <c r="AA439" i="123" s="1"/>
  <c r="AD439" i="123"/>
  <c r="AE439" i="123" s="1"/>
  <c r="Z463" i="123"/>
  <c r="AA463" i="123" s="1"/>
  <c r="AD463" i="123"/>
  <c r="AE463" i="123" s="1"/>
  <c r="AD487" i="123"/>
  <c r="AE487" i="123" s="1"/>
  <c r="Z487" i="123"/>
  <c r="AA487" i="123" s="1"/>
  <c r="AD511" i="123"/>
  <c r="AE511" i="123" s="1"/>
  <c r="Z511" i="123"/>
  <c r="AA511" i="123" s="1"/>
  <c r="AD535" i="123"/>
  <c r="AE535" i="123" s="1"/>
  <c r="Z535" i="123"/>
  <c r="AA535" i="123" s="1"/>
  <c r="AD559" i="123"/>
  <c r="AE559" i="123" s="1"/>
  <c r="Z559" i="123"/>
  <c r="AA559" i="123" s="1"/>
  <c r="AD583" i="123"/>
  <c r="AE583" i="123" s="1"/>
  <c r="Z583" i="123"/>
  <c r="AA583" i="123" s="1"/>
  <c r="AD339" i="123"/>
  <c r="AE339" i="123" s="1"/>
  <c r="Z339" i="123"/>
  <c r="AA339" i="123" s="1"/>
  <c r="Z459" i="123"/>
  <c r="AA459" i="123" s="1"/>
  <c r="AD459" i="123"/>
  <c r="AE459" i="123" s="1"/>
  <c r="AD579" i="123"/>
  <c r="AE579" i="123" s="1"/>
  <c r="Z579" i="123"/>
  <c r="AA579" i="123" s="1"/>
  <c r="AD524" i="123"/>
  <c r="AE524" i="123" s="1"/>
  <c r="Z524" i="123"/>
  <c r="AA524" i="123" s="1"/>
  <c r="Z296" i="123"/>
  <c r="AA296" i="123" s="1"/>
  <c r="AD296" i="123"/>
  <c r="AE296" i="123" s="1"/>
  <c r="Z320" i="123"/>
  <c r="AA320" i="123" s="1"/>
  <c r="AD320" i="123"/>
  <c r="AE320" i="123" s="1"/>
  <c r="AD344" i="123"/>
  <c r="AE344" i="123" s="1"/>
  <c r="Z344" i="123"/>
  <c r="AA344" i="123" s="1"/>
  <c r="Z368" i="123"/>
  <c r="AA368" i="123" s="1"/>
  <c r="AD368" i="123"/>
  <c r="AE368" i="123" s="1"/>
  <c r="Z392" i="123"/>
  <c r="AA392" i="123" s="1"/>
  <c r="AD392" i="123"/>
  <c r="AE392" i="123" s="1"/>
  <c r="Z416" i="123"/>
  <c r="AA416" i="123" s="1"/>
  <c r="AD416" i="123"/>
  <c r="AE416" i="123" s="1"/>
  <c r="Z440" i="123"/>
  <c r="AA440" i="123" s="1"/>
  <c r="AD440" i="123"/>
  <c r="AE440" i="123" s="1"/>
  <c r="Z464" i="123"/>
  <c r="AA464" i="123" s="1"/>
  <c r="AD464" i="123"/>
  <c r="AE464" i="123" s="1"/>
  <c r="AD488" i="123"/>
  <c r="AE488" i="123" s="1"/>
  <c r="Z488" i="123"/>
  <c r="AA488" i="123" s="1"/>
  <c r="AD512" i="123"/>
  <c r="AE512" i="123" s="1"/>
  <c r="Z512" i="123"/>
  <c r="AA512" i="123" s="1"/>
  <c r="AD536" i="123"/>
  <c r="AE536" i="123" s="1"/>
  <c r="Z536" i="123"/>
  <c r="AA536" i="123" s="1"/>
  <c r="AD560" i="123"/>
  <c r="AE560" i="123" s="1"/>
  <c r="Z560" i="123"/>
  <c r="AA560" i="123" s="1"/>
  <c r="AD584" i="123"/>
  <c r="AE584" i="123" s="1"/>
  <c r="Z584" i="123"/>
  <c r="AA584" i="123" s="1"/>
  <c r="Z297" i="123"/>
  <c r="AA297" i="123" s="1"/>
  <c r="AD297" i="123"/>
  <c r="AE297" i="123" s="1"/>
  <c r="Z321" i="123"/>
  <c r="AA321" i="123" s="1"/>
  <c r="AD321" i="123"/>
  <c r="AE321" i="123" s="1"/>
  <c r="Z345" i="123"/>
  <c r="AA345" i="123" s="1"/>
  <c r="AD345" i="123"/>
  <c r="AE345" i="123" s="1"/>
  <c r="Z369" i="123"/>
  <c r="AA369" i="123" s="1"/>
  <c r="AD369" i="123"/>
  <c r="AE369" i="123" s="1"/>
  <c r="Z393" i="123"/>
  <c r="AA393" i="123" s="1"/>
  <c r="AD393" i="123"/>
  <c r="AE393" i="123" s="1"/>
  <c r="Z417" i="123"/>
  <c r="AA417" i="123" s="1"/>
  <c r="AD417" i="123"/>
  <c r="AE417" i="123" s="1"/>
  <c r="Z441" i="123"/>
  <c r="AA441" i="123" s="1"/>
  <c r="AD441" i="123"/>
  <c r="AE441" i="123" s="1"/>
  <c r="Z465" i="123"/>
  <c r="AA465" i="123" s="1"/>
  <c r="AD465" i="123"/>
  <c r="AE465" i="123" s="1"/>
  <c r="AD537" i="123"/>
  <c r="AE537" i="123" s="1"/>
  <c r="Z537" i="123"/>
  <c r="AA537" i="123" s="1"/>
  <c r="AD561" i="123"/>
  <c r="AE561" i="123" s="1"/>
  <c r="Z561" i="123"/>
  <c r="AA561" i="123" s="1"/>
  <c r="AD585" i="123"/>
  <c r="AE585" i="123" s="1"/>
  <c r="Z585" i="123"/>
  <c r="AA585" i="123" s="1"/>
  <c r="AD363" i="123"/>
  <c r="AE363" i="123" s="1"/>
  <c r="Z363" i="123"/>
  <c r="AA363" i="123" s="1"/>
  <c r="Z483" i="123"/>
  <c r="AA483" i="123" s="1"/>
  <c r="AD483" i="123"/>
  <c r="AE483" i="123" s="1"/>
  <c r="AD322" i="123"/>
  <c r="AE322" i="123" s="1"/>
  <c r="Z322" i="123"/>
  <c r="AA322" i="123" s="1"/>
  <c r="Z458" i="123"/>
  <c r="AA458" i="123" s="1"/>
  <c r="AD458" i="123"/>
  <c r="AE458" i="123" s="1"/>
  <c r="AD323" i="123"/>
  <c r="AE323" i="123" s="1"/>
  <c r="Z323" i="123"/>
  <c r="AA323" i="123" s="1"/>
  <c r="Z451" i="123"/>
  <c r="AA451" i="123" s="1"/>
  <c r="AD451" i="123"/>
  <c r="AE451" i="123" s="1"/>
  <c r="AD571" i="123"/>
  <c r="AE571" i="123" s="1"/>
  <c r="Z571" i="123"/>
  <c r="AA571" i="123" s="1"/>
  <c r="Z436" i="123"/>
  <c r="AA436" i="123" s="1"/>
  <c r="AD436" i="123"/>
  <c r="AE436" i="123" s="1"/>
  <c r="AD580" i="123"/>
  <c r="AE580" i="123" s="1"/>
  <c r="Z580" i="123"/>
  <c r="AA580" i="123" s="1"/>
  <c r="Y309" i="124"/>
  <c r="S309" i="124"/>
  <c r="R309" i="124"/>
  <c r="AD309" i="124"/>
  <c r="AE309" i="124" s="1"/>
  <c r="Y333" i="124"/>
  <c r="S333" i="124"/>
  <c r="R333" i="124"/>
  <c r="AD333" i="124"/>
  <c r="AE333" i="124" s="1"/>
  <c r="Y298" i="124"/>
  <c r="R298" i="124"/>
  <c r="S298" i="124"/>
  <c r="AD298" i="124"/>
  <c r="AE298" i="124" s="1"/>
  <c r="AD555" i="123"/>
  <c r="AE555" i="123" s="1"/>
  <c r="Z555" i="123"/>
  <c r="AA555" i="123" s="1"/>
  <c r="AD380" i="123"/>
  <c r="AE380" i="123" s="1"/>
  <c r="Z380" i="123"/>
  <c r="AA380" i="123" s="1"/>
  <c r="Y348" i="124"/>
  <c r="R348" i="124"/>
  <c r="S348" i="124"/>
  <c r="AD348" i="124"/>
  <c r="AE348" i="124" s="1"/>
  <c r="Y302" i="124"/>
  <c r="S302" i="124"/>
  <c r="R302" i="124"/>
  <c r="AD302" i="124"/>
  <c r="AE302" i="124" s="1"/>
  <c r="Y326" i="124"/>
  <c r="R326" i="124"/>
  <c r="S326" i="124"/>
  <c r="AD326" i="124"/>
  <c r="AE326" i="124" s="1"/>
  <c r="Y346" i="124"/>
  <c r="R346" i="124"/>
  <c r="S346" i="124"/>
  <c r="AD346" i="124"/>
  <c r="AE346" i="124" s="1"/>
  <c r="Y307" i="124"/>
  <c r="R307" i="124"/>
  <c r="AD307" i="124"/>
  <c r="AE307" i="124" s="1"/>
  <c r="S307" i="124"/>
  <c r="Y300" i="124"/>
  <c r="R300" i="124"/>
  <c r="S300" i="124"/>
  <c r="AD300" i="124"/>
  <c r="AE300" i="124" s="1"/>
  <c r="Y295" i="124"/>
  <c r="S295" i="124"/>
  <c r="R295" i="124"/>
  <c r="AD295" i="124"/>
  <c r="AE295" i="124" s="1"/>
  <c r="Y319" i="124"/>
  <c r="S319" i="124"/>
  <c r="R319" i="124"/>
  <c r="AD319" i="124"/>
  <c r="AE319" i="124" s="1"/>
  <c r="Y343" i="124"/>
  <c r="R343" i="124"/>
  <c r="S343" i="124"/>
  <c r="AD343" i="124"/>
  <c r="AE343" i="124" s="1"/>
  <c r="Y339" i="124"/>
  <c r="S339" i="124"/>
  <c r="R339" i="124"/>
  <c r="AD339" i="124"/>
  <c r="AE339" i="124" s="1"/>
  <c r="AD324" i="123"/>
  <c r="AE324" i="123" s="1"/>
  <c r="Z324" i="123"/>
  <c r="AA324" i="123" s="1"/>
  <c r="AD412" i="123"/>
  <c r="AE412" i="123" s="1"/>
  <c r="Z412" i="123"/>
  <c r="AA412" i="123" s="1"/>
  <c r="Y296" i="124"/>
  <c r="S296" i="124"/>
  <c r="R296" i="124"/>
  <c r="AD296" i="124"/>
  <c r="AE296" i="124" s="1"/>
  <c r="Y320" i="124"/>
  <c r="R320" i="124"/>
  <c r="S320" i="124"/>
  <c r="AD320" i="124"/>
  <c r="AE320" i="124" s="1"/>
  <c r="Y344" i="124"/>
  <c r="S344" i="124"/>
  <c r="R344" i="124"/>
  <c r="AD344" i="124"/>
  <c r="AE344" i="124" s="1"/>
  <c r="AD508" i="123"/>
  <c r="AE508" i="123" s="1"/>
  <c r="Z508" i="123"/>
  <c r="AA508" i="123" s="1"/>
  <c r="AD489" i="123"/>
  <c r="AE489" i="123" s="1"/>
  <c r="Z489" i="123"/>
  <c r="AA489" i="123" s="1"/>
  <c r="AD513" i="123"/>
  <c r="AE513" i="123" s="1"/>
  <c r="Z513" i="123"/>
  <c r="AA513" i="123" s="1"/>
  <c r="Y297" i="124"/>
  <c r="S297" i="124"/>
  <c r="R297" i="124"/>
  <c r="AD297" i="124"/>
  <c r="AE297" i="124" s="1"/>
  <c r="Y321" i="124"/>
  <c r="S321" i="124"/>
  <c r="R321" i="124"/>
  <c r="AD321" i="124"/>
  <c r="AE321" i="124" s="1"/>
  <c r="Y345" i="124"/>
  <c r="S345" i="124"/>
  <c r="R345" i="124"/>
  <c r="AD345" i="124"/>
  <c r="AE345" i="124" s="1"/>
  <c r="Y331" i="124"/>
  <c r="S331" i="124"/>
  <c r="R331" i="124"/>
  <c r="AD331" i="124"/>
  <c r="AE331" i="124" s="1"/>
  <c r="Y340" i="124"/>
  <c r="S340" i="124"/>
  <c r="R340" i="124"/>
  <c r="AD340" i="124"/>
  <c r="AE340" i="124" s="1"/>
  <c r="Z332" i="124"/>
  <c r="AA332" i="124" s="1"/>
  <c r="Z293" i="124"/>
  <c r="AA293" i="124" s="1"/>
  <c r="Z317" i="124"/>
  <c r="AA317" i="124" s="1"/>
  <c r="Z341" i="124"/>
  <c r="AA341" i="124" s="1"/>
  <c r="Z330" i="124"/>
  <c r="AA330" i="124" s="1"/>
  <c r="Z310" i="124"/>
  <c r="AA310" i="124" s="1"/>
  <c r="Z334" i="124"/>
  <c r="AA334" i="124" s="1"/>
  <c r="Z306" i="124"/>
  <c r="AA306" i="124" s="1"/>
  <c r="Z347" i="124"/>
  <c r="AA347" i="124" s="1"/>
  <c r="Z303" i="124"/>
  <c r="AA303" i="124" s="1"/>
  <c r="Z327" i="124"/>
  <c r="AA327" i="124" s="1"/>
  <c r="Z338" i="124"/>
  <c r="AA338" i="124" s="1"/>
  <c r="Z324" i="124"/>
  <c r="AA324" i="124" s="1"/>
  <c r="Z304" i="124"/>
  <c r="AA304" i="124" s="1"/>
  <c r="Z328" i="124"/>
  <c r="AA328" i="124" s="1"/>
  <c r="Z316" i="124"/>
  <c r="AA316" i="124" s="1"/>
  <c r="Z305" i="124"/>
  <c r="AA305" i="124" s="1"/>
  <c r="Z329" i="124"/>
  <c r="AA329" i="124" s="1"/>
  <c r="Z313" i="124"/>
  <c r="AA313" i="124" s="1"/>
  <c r="Z337" i="124"/>
  <c r="AA337" i="124" s="1"/>
  <c r="Z291" i="124"/>
  <c r="AA291" i="124" s="1"/>
  <c r="Z292" i="124"/>
  <c r="AA292" i="124" s="1"/>
  <c r="Z301" i="124"/>
  <c r="AA301" i="124" s="1"/>
  <c r="Z325" i="124"/>
  <c r="AA325" i="124" s="1"/>
  <c r="Z308" i="124"/>
  <c r="AA308" i="124" s="1"/>
  <c r="Z294" i="124"/>
  <c r="AA294" i="124" s="1"/>
  <c r="Z318" i="124"/>
  <c r="AA318" i="124" s="1"/>
  <c r="Z342" i="124"/>
  <c r="AA342" i="124" s="1"/>
  <c r="Z314" i="124"/>
  <c r="AA314" i="124" s="1"/>
  <c r="Z311" i="124"/>
  <c r="AA311" i="124" s="1"/>
  <c r="Z335" i="124"/>
  <c r="AA335" i="124" s="1"/>
  <c r="Z299" i="124"/>
  <c r="AA299" i="124" s="1"/>
  <c r="Z312" i="124"/>
  <c r="AA312" i="124" s="1"/>
  <c r="Z336" i="124"/>
  <c r="AA336" i="124" s="1"/>
  <c r="Z323" i="124"/>
  <c r="AA323" i="124" s="1"/>
  <c r="Z322" i="124"/>
  <c r="AA322" i="124" s="1"/>
  <c r="Z315" i="124"/>
  <c r="AA315" i="124" s="1"/>
  <c r="Z309" i="124"/>
  <c r="AA309" i="124" s="1"/>
  <c r="Z333" i="124"/>
  <c r="AA333" i="124" s="1"/>
  <c r="Z298" i="124"/>
  <c r="AA298" i="124" s="1"/>
  <c r="Z348" i="124"/>
  <c r="AA348" i="124" s="1"/>
  <c r="Z302" i="124"/>
  <c r="AA302" i="124" s="1"/>
  <c r="Z326" i="124"/>
  <c r="AA326" i="124" s="1"/>
  <c r="Z346" i="124"/>
  <c r="AA346" i="124" s="1"/>
  <c r="Z307" i="124"/>
  <c r="AA307" i="124" s="1"/>
  <c r="Z300" i="124"/>
  <c r="AA300" i="124" s="1"/>
  <c r="Z295" i="124"/>
  <c r="AA295" i="124" s="1"/>
  <c r="Z319" i="124"/>
  <c r="AA319" i="124" s="1"/>
  <c r="Z343" i="124"/>
  <c r="AA343" i="124" s="1"/>
  <c r="Z339" i="124"/>
  <c r="AA339" i="124" s="1"/>
  <c r="Z296" i="124"/>
  <c r="AA296" i="124" s="1"/>
  <c r="Z320" i="124"/>
  <c r="AA320" i="124" s="1"/>
  <c r="Z344" i="124"/>
  <c r="AA344" i="124" s="1"/>
  <c r="Z297" i="124"/>
  <c r="AA297" i="124" s="1"/>
  <c r="Z321" i="124"/>
  <c r="AA321" i="124" s="1"/>
  <c r="Z345" i="124"/>
  <c r="AA345" i="124" s="1"/>
  <c r="Z331" i="124"/>
  <c r="AA331" i="124" s="1"/>
  <c r="Z340" i="124"/>
  <c r="AA340" i="124" s="1"/>
  <c r="Y317" i="123"/>
  <c r="R317" i="123"/>
  <c r="S317" i="123"/>
  <c r="Y349" i="123"/>
  <c r="R349" i="123"/>
  <c r="S349" i="123"/>
  <c r="Y381" i="123"/>
  <c r="R381" i="123"/>
  <c r="S381" i="123"/>
  <c r="Y413" i="123"/>
  <c r="R413" i="123"/>
  <c r="S413" i="123"/>
  <c r="Y330" i="123"/>
  <c r="R330" i="123"/>
  <c r="S330" i="123"/>
  <c r="Y410" i="123"/>
  <c r="R410" i="123"/>
  <c r="S410" i="123"/>
  <c r="R395" i="123"/>
  <c r="S395" i="123"/>
  <c r="Y395" i="123"/>
  <c r="R302" i="123"/>
  <c r="S302" i="123"/>
  <c r="Y302" i="123"/>
  <c r="Y334" i="123"/>
  <c r="R334" i="123"/>
  <c r="S334" i="123"/>
  <c r="Y366" i="123"/>
  <c r="R366" i="123"/>
  <c r="S366" i="123"/>
  <c r="Y398" i="123"/>
  <c r="R398" i="123"/>
  <c r="S398" i="123"/>
  <c r="Y298" i="123"/>
  <c r="R298" i="123"/>
  <c r="S298" i="123"/>
  <c r="Y378" i="123"/>
  <c r="R378" i="123"/>
  <c r="S378" i="123"/>
  <c r="R347" i="123"/>
  <c r="S347" i="123"/>
  <c r="Y347" i="123"/>
  <c r="Y332" i="123"/>
  <c r="R332" i="123"/>
  <c r="S332" i="123"/>
  <c r="R319" i="123"/>
  <c r="S319" i="123"/>
  <c r="Y319" i="123"/>
  <c r="Y351" i="123"/>
  <c r="R351" i="123"/>
  <c r="S351" i="123"/>
  <c r="Y383" i="123"/>
  <c r="R383" i="123"/>
  <c r="S383" i="123"/>
  <c r="Y415" i="123"/>
  <c r="R415" i="123"/>
  <c r="S415" i="123"/>
  <c r="Y339" i="123"/>
  <c r="R339" i="123"/>
  <c r="S339" i="123"/>
  <c r="Y300" i="123"/>
  <c r="S300" i="123"/>
  <c r="R300" i="123"/>
  <c r="Y312" i="123"/>
  <c r="R312" i="123"/>
  <c r="S312" i="123"/>
  <c r="Y344" i="123"/>
  <c r="R344" i="123"/>
  <c r="S344" i="123"/>
  <c r="Y376" i="123"/>
  <c r="R376" i="123"/>
  <c r="S376" i="123"/>
  <c r="Y408" i="123"/>
  <c r="R408" i="123"/>
  <c r="S408" i="123"/>
  <c r="Y297" i="123"/>
  <c r="R297" i="123"/>
  <c r="S297" i="123"/>
  <c r="R329" i="123"/>
  <c r="S329" i="123"/>
  <c r="Y329" i="123"/>
  <c r="Y361" i="123"/>
  <c r="R361" i="123"/>
  <c r="S361" i="123"/>
  <c r="Y393" i="123"/>
  <c r="R393" i="123"/>
  <c r="S393" i="123"/>
  <c r="Y403" i="123"/>
  <c r="R403" i="123"/>
  <c r="S403" i="123"/>
  <c r="Y371" i="123"/>
  <c r="R371" i="123"/>
  <c r="S371" i="123"/>
  <c r="Y412" i="123"/>
  <c r="R412" i="123"/>
  <c r="S412" i="123"/>
  <c r="Y293" i="123"/>
  <c r="R293" i="123"/>
  <c r="S293" i="123"/>
  <c r="Y325" i="123"/>
  <c r="R325" i="123"/>
  <c r="S325" i="123"/>
  <c r="R357" i="123"/>
  <c r="S357" i="123"/>
  <c r="Y357" i="123"/>
  <c r="Y389" i="123"/>
  <c r="R389" i="123"/>
  <c r="S389" i="123"/>
  <c r="Y421" i="123"/>
  <c r="R421" i="123"/>
  <c r="S421" i="123"/>
  <c r="R346" i="123"/>
  <c r="S346" i="123"/>
  <c r="Y346" i="123"/>
  <c r="Y291" i="123"/>
  <c r="R291" i="123"/>
  <c r="S291" i="123"/>
  <c r="R310" i="123"/>
  <c r="S310" i="123"/>
  <c r="Y310" i="123"/>
  <c r="Y342" i="123"/>
  <c r="R342" i="123"/>
  <c r="S342" i="123"/>
  <c r="Y374" i="123"/>
  <c r="R374" i="123"/>
  <c r="S374" i="123"/>
  <c r="Y406" i="123"/>
  <c r="R406" i="123"/>
  <c r="S406" i="123"/>
  <c r="Y314" i="123"/>
  <c r="R314" i="123"/>
  <c r="S314" i="123"/>
  <c r="Y386" i="123"/>
  <c r="R386" i="123"/>
  <c r="S386" i="123"/>
  <c r="Y387" i="123"/>
  <c r="R387" i="123"/>
  <c r="S387" i="123"/>
  <c r="Y364" i="123"/>
  <c r="R364" i="123"/>
  <c r="S364" i="123"/>
  <c r="Y295" i="123"/>
  <c r="R295" i="123"/>
  <c r="S295" i="123"/>
  <c r="Y327" i="123"/>
  <c r="R327" i="123"/>
  <c r="S327" i="123"/>
  <c r="Y359" i="123"/>
  <c r="R359" i="123"/>
  <c r="S359" i="123"/>
  <c r="S391" i="123"/>
  <c r="R391" i="123"/>
  <c r="Y391" i="123"/>
  <c r="R379" i="123"/>
  <c r="S379" i="123"/>
  <c r="Y379" i="123"/>
  <c r="R320" i="123"/>
  <c r="S320" i="123"/>
  <c r="Y320" i="123"/>
  <c r="Y352" i="123"/>
  <c r="R352" i="123"/>
  <c r="S352" i="123"/>
  <c r="Y384" i="123"/>
  <c r="R384" i="123"/>
  <c r="S384" i="123"/>
  <c r="Y416" i="123"/>
  <c r="R416" i="123"/>
  <c r="S416" i="123"/>
  <c r="Y305" i="123"/>
  <c r="R305" i="123"/>
  <c r="S305" i="123"/>
  <c r="R337" i="123"/>
  <c r="S337" i="123"/>
  <c r="Y337" i="123"/>
  <c r="Y369" i="123"/>
  <c r="R369" i="123"/>
  <c r="S369" i="123"/>
  <c r="Y401" i="123"/>
  <c r="R401" i="123"/>
  <c r="S401" i="123"/>
  <c r="R299" i="123"/>
  <c r="Y299" i="123"/>
  <c r="S299" i="123"/>
  <c r="Y322" i="123"/>
  <c r="R322" i="123"/>
  <c r="S322" i="123"/>
  <c r="R411" i="123"/>
  <c r="S411" i="123"/>
  <c r="Y411" i="123"/>
  <c r="Y316" i="123"/>
  <c r="R316" i="123"/>
  <c r="S316" i="123"/>
  <c r="Y324" i="123"/>
  <c r="R324" i="123"/>
  <c r="S324" i="123"/>
  <c r="R301" i="123"/>
  <c r="S301" i="123"/>
  <c r="Y301" i="123"/>
  <c r="Y333" i="123"/>
  <c r="R333" i="123"/>
  <c r="S333" i="123"/>
  <c r="Y365" i="123"/>
  <c r="R365" i="123"/>
  <c r="S365" i="123"/>
  <c r="Y397" i="123"/>
  <c r="R397" i="123"/>
  <c r="S397" i="123"/>
  <c r="Y370" i="123"/>
  <c r="R370" i="123"/>
  <c r="S370" i="123"/>
  <c r="R315" i="123"/>
  <c r="S315" i="123"/>
  <c r="Y315" i="123"/>
  <c r="Y318" i="123"/>
  <c r="R318" i="123"/>
  <c r="S318" i="123"/>
  <c r="Y350" i="123"/>
  <c r="R350" i="123"/>
  <c r="S350" i="123"/>
  <c r="S382" i="123"/>
  <c r="R382" i="123"/>
  <c r="Y382" i="123"/>
  <c r="Y414" i="123"/>
  <c r="R414" i="123"/>
  <c r="S414" i="123"/>
  <c r="Y338" i="123"/>
  <c r="R338" i="123"/>
  <c r="S338" i="123"/>
  <c r="Y402" i="123"/>
  <c r="R402" i="123"/>
  <c r="S402" i="123"/>
  <c r="Y303" i="123"/>
  <c r="R303" i="123"/>
  <c r="S303" i="123"/>
  <c r="Y335" i="123"/>
  <c r="R335" i="123"/>
  <c r="S335" i="123"/>
  <c r="Y367" i="123"/>
  <c r="R367" i="123"/>
  <c r="S367" i="123"/>
  <c r="Y399" i="123"/>
  <c r="R399" i="123"/>
  <c r="S399" i="123"/>
  <c r="Y419" i="123"/>
  <c r="R419" i="123"/>
  <c r="S419" i="123"/>
  <c r="R356" i="123"/>
  <c r="S356" i="123"/>
  <c r="Y356" i="123"/>
  <c r="Y296" i="123"/>
  <c r="R296" i="123"/>
  <c r="S296" i="123"/>
  <c r="R328" i="123"/>
  <c r="S328" i="123"/>
  <c r="Y328" i="123"/>
  <c r="Y360" i="123"/>
  <c r="R360" i="123"/>
  <c r="S360" i="123"/>
  <c r="Y392" i="123"/>
  <c r="R392" i="123"/>
  <c r="S392" i="123"/>
  <c r="Y313" i="123"/>
  <c r="R313" i="123"/>
  <c r="S313" i="123"/>
  <c r="Y345" i="123"/>
  <c r="S345" i="123"/>
  <c r="R345" i="123"/>
  <c r="Y377" i="123"/>
  <c r="R377" i="123"/>
  <c r="S377" i="123"/>
  <c r="S409" i="123"/>
  <c r="R409" i="123"/>
  <c r="Y409" i="123"/>
  <c r="R331" i="123"/>
  <c r="Y331" i="123"/>
  <c r="S331" i="123"/>
  <c r="R362" i="123"/>
  <c r="S362" i="123"/>
  <c r="Y362" i="123"/>
  <c r="R348" i="123"/>
  <c r="S348" i="123"/>
  <c r="Y348" i="123"/>
  <c r="Y388" i="123"/>
  <c r="R388" i="123"/>
  <c r="S388" i="123"/>
  <c r="Y340" i="123"/>
  <c r="R340" i="123"/>
  <c r="S340" i="123"/>
  <c r="Y309" i="123"/>
  <c r="S309" i="123"/>
  <c r="R309" i="123"/>
  <c r="Y341" i="123"/>
  <c r="R341" i="123"/>
  <c r="S341" i="123"/>
  <c r="S373" i="123"/>
  <c r="R373" i="123"/>
  <c r="Y373" i="123"/>
  <c r="Y405" i="123"/>
  <c r="R405" i="123"/>
  <c r="S405" i="123"/>
  <c r="Y306" i="123"/>
  <c r="R306" i="123"/>
  <c r="S306" i="123"/>
  <c r="Y394" i="123"/>
  <c r="R394" i="123"/>
  <c r="S394" i="123"/>
  <c r="Y355" i="123"/>
  <c r="R355" i="123"/>
  <c r="S355" i="123"/>
  <c r="Y294" i="123"/>
  <c r="R294" i="123"/>
  <c r="S294" i="123"/>
  <c r="Y326" i="123"/>
  <c r="R326" i="123"/>
  <c r="S326" i="123"/>
  <c r="Y358" i="123"/>
  <c r="R358" i="123"/>
  <c r="S358" i="123"/>
  <c r="Y390" i="123"/>
  <c r="R390" i="123"/>
  <c r="S390" i="123"/>
  <c r="Y354" i="123"/>
  <c r="R354" i="123"/>
  <c r="S354" i="123"/>
  <c r="Y308" i="123"/>
  <c r="R308" i="123"/>
  <c r="S308" i="123"/>
  <c r="Y420" i="123"/>
  <c r="R420" i="123"/>
  <c r="S420" i="123"/>
  <c r="R311" i="123"/>
  <c r="S311" i="123"/>
  <c r="Y311" i="123"/>
  <c r="Y343" i="123"/>
  <c r="R343" i="123"/>
  <c r="S343" i="123"/>
  <c r="Y375" i="123"/>
  <c r="R375" i="123"/>
  <c r="S375" i="123"/>
  <c r="Y407" i="123"/>
  <c r="R407" i="123"/>
  <c r="S407" i="123"/>
  <c r="Y307" i="123"/>
  <c r="R307" i="123"/>
  <c r="S307" i="123"/>
  <c r="Y292" i="123"/>
  <c r="R292" i="123"/>
  <c r="S292" i="123"/>
  <c r="Y396" i="123"/>
  <c r="R396" i="123"/>
  <c r="S396" i="123"/>
  <c r="Y304" i="123"/>
  <c r="R304" i="123"/>
  <c r="S304" i="123"/>
  <c r="Y336" i="123"/>
  <c r="S336" i="123"/>
  <c r="R336" i="123"/>
  <c r="Y368" i="123"/>
  <c r="R368" i="123"/>
  <c r="S368" i="123"/>
  <c r="S400" i="123"/>
  <c r="R400" i="123"/>
  <c r="Y400" i="123"/>
  <c r="Y372" i="123"/>
  <c r="R372" i="123"/>
  <c r="S372" i="123"/>
  <c r="Y321" i="123"/>
  <c r="R321" i="123"/>
  <c r="S321" i="123"/>
  <c r="Y353" i="123"/>
  <c r="R353" i="123"/>
  <c r="S353" i="123"/>
  <c r="Y385" i="123"/>
  <c r="R385" i="123"/>
  <c r="S385" i="123"/>
  <c r="Y417" i="123"/>
  <c r="R417" i="123"/>
  <c r="S417" i="123"/>
  <c r="Y363" i="123"/>
  <c r="R363" i="123"/>
  <c r="S363" i="123"/>
  <c r="Y418" i="123"/>
  <c r="S418" i="123"/>
  <c r="R418" i="123"/>
  <c r="Y323" i="123"/>
  <c r="R323" i="123"/>
  <c r="S323" i="123"/>
  <c r="Y380" i="123"/>
  <c r="R380" i="123"/>
  <c r="S380" i="123"/>
  <c r="Y404" i="123"/>
  <c r="R404" i="123"/>
  <c r="S404" i="123"/>
  <c r="W8" i="92"/>
  <c r="W9" i="92"/>
  <c r="W10" i="92"/>
  <c r="W11" i="92"/>
  <c r="W12" i="92"/>
  <c r="W13" i="92"/>
  <c r="W14" i="92"/>
  <c r="W15" i="92"/>
  <c r="W16" i="92"/>
  <c r="W17" i="92"/>
  <c r="W18" i="92"/>
  <c r="W19" i="92"/>
  <c r="W20" i="92"/>
  <c r="W21" i="92"/>
  <c r="W22" i="92"/>
  <c r="W23" i="92"/>
  <c r="W24" i="92"/>
  <c r="W25" i="92"/>
  <c r="W26" i="92"/>
  <c r="W27" i="92"/>
  <c r="W28" i="92"/>
  <c r="W29" i="92"/>
  <c r="W30" i="92"/>
  <c r="W31" i="92"/>
  <c r="W32" i="92"/>
  <c r="W33" i="92"/>
  <c r="W34" i="92"/>
  <c r="W35" i="92"/>
  <c r="W36" i="92"/>
  <c r="V8" i="92"/>
  <c r="V9" i="92"/>
  <c r="V10" i="92"/>
  <c r="V11" i="92"/>
  <c r="V12" i="92"/>
  <c r="V13" i="92"/>
  <c r="V14" i="92"/>
  <c r="V15" i="92"/>
  <c r="V16" i="92"/>
  <c r="V17" i="92"/>
  <c r="V18" i="92"/>
  <c r="V19" i="92"/>
  <c r="V20" i="92"/>
  <c r="V21" i="92"/>
  <c r="V22" i="92"/>
  <c r="V23" i="92"/>
  <c r="V24" i="92"/>
  <c r="V25" i="92"/>
  <c r="V26" i="92"/>
  <c r="V27" i="92"/>
  <c r="V28" i="92"/>
  <c r="V29" i="92"/>
  <c r="V30" i="92"/>
  <c r="V31" i="92"/>
  <c r="V32" i="92"/>
  <c r="V33" i="92"/>
  <c r="V34" i="92"/>
  <c r="V35" i="92"/>
  <c r="V36" i="92"/>
  <c r="U404" i="123" l="1"/>
  <c r="T404" i="123"/>
  <c r="T323" i="123"/>
  <c r="U323" i="123"/>
  <c r="T363" i="123"/>
  <c r="U363" i="123"/>
  <c r="T385" i="123"/>
  <c r="U385" i="123"/>
  <c r="T321" i="123"/>
  <c r="U321" i="123"/>
  <c r="T400" i="123"/>
  <c r="U400" i="123"/>
  <c r="T396" i="123"/>
  <c r="U396" i="123"/>
  <c r="T307" i="123"/>
  <c r="U307" i="123"/>
  <c r="T375" i="123"/>
  <c r="U375" i="123"/>
  <c r="U308" i="123"/>
  <c r="T308" i="123"/>
  <c r="T390" i="123"/>
  <c r="U390" i="123"/>
  <c r="U326" i="123"/>
  <c r="T326" i="123"/>
  <c r="T355" i="123"/>
  <c r="U355" i="123"/>
  <c r="T306" i="123"/>
  <c r="U306" i="123"/>
  <c r="T373" i="123"/>
  <c r="U373" i="123"/>
  <c r="T388" i="123"/>
  <c r="U388" i="123"/>
  <c r="T409" i="123"/>
  <c r="U409" i="123"/>
  <c r="U392" i="123"/>
  <c r="T392" i="123"/>
  <c r="T399" i="123"/>
  <c r="U399" i="123"/>
  <c r="T335" i="123"/>
  <c r="U335" i="123"/>
  <c r="T402" i="123"/>
  <c r="U402" i="123"/>
  <c r="T414" i="123"/>
  <c r="U414" i="123"/>
  <c r="U350" i="123"/>
  <c r="T350" i="123"/>
  <c r="T397" i="123"/>
  <c r="U397" i="123"/>
  <c r="T333" i="123"/>
  <c r="U333" i="123"/>
  <c r="T324" i="123"/>
  <c r="U324" i="123"/>
  <c r="T369" i="123"/>
  <c r="U369" i="123"/>
  <c r="T305" i="123"/>
  <c r="U305" i="123"/>
  <c r="T384" i="123"/>
  <c r="U384" i="123"/>
  <c r="T391" i="123"/>
  <c r="U391" i="123"/>
  <c r="T327" i="123"/>
  <c r="U327" i="123"/>
  <c r="T364" i="123"/>
  <c r="U364" i="123"/>
  <c r="U386" i="123"/>
  <c r="T386" i="123"/>
  <c r="T406" i="123"/>
  <c r="U406" i="123"/>
  <c r="T342" i="123"/>
  <c r="U342" i="123"/>
  <c r="T291" i="123"/>
  <c r="U291" i="123"/>
  <c r="T421" i="123"/>
  <c r="U421" i="123"/>
  <c r="T293" i="123"/>
  <c r="U293" i="123"/>
  <c r="T371" i="123"/>
  <c r="U371" i="123"/>
  <c r="T393" i="123"/>
  <c r="U393" i="123"/>
  <c r="T408" i="123"/>
  <c r="U408" i="123"/>
  <c r="U344" i="123"/>
  <c r="T344" i="123"/>
  <c r="T415" i="123"/>
  <c r="U415" i="123"/>
  <c r="T351" i="123"/>
  <c r="U351" i="123"/>
  <c r="U332" i="123"/>
  <c r="T332" i="123"/>
  <c r="T378" i="123"/>
  <c r="U378" i="123"/>
  <c r="U398" i="123"/>
  <c r="T398" i="123"/>
  <c r="T334" i="123"/>
  <c r="U334" i="123"/>
  <c r="T330" i="123"/>
  <c r="U330" i="123"/>
  <c r="T381" i="123"/>
  <c r="U381" i="123"/>
  <c r="T317" i="123"/>
  <c r="U317" i="123"/>
  <c r="T311" i="123"/>
  <c r="U311" i="123"/>
  <c r="U362" i="123"/>
  <c r="T362" i="123"/>
  <c r="T328" i="123"/>
  <c r="U328" i="123"/>
  <c r="U356" i="123"/>
  <c r="T356" i="123"/>
  <c r="T315" i="123"/>
  <c r="U315" i="123"/>
  <c r="T411" i="123"/>
  <c r="U411" i="123"/>
  <c r="T299" i="123"/>
  <c r="U299" i="123"/>
  <c r="U320" i="123"/>
  <c r="T320" i="123"/>
  <c r="T357" i="123"/>
  <c r="U357" i="123"/>
  <c r="T329" i="123"/>
  <c r="U329" i="123"/>
  <c r="T395" i="123"/>
  <c r="U395" i="123"/>
  <c r="T418" i="123"/>
  <c r="U418" i="123"/>
  <c r="U380" i="123"/>
  <c r="T380" i="123"/>
  <c r="T417" i="123"/>
  <c r="U417" i="123"/>
  <c r="T353" i="123"/>
  <c r="U353" i="123"/>
  <c r="T372" i="123"/>
  <c r="U372" i="123"/>
  <c r="U368" i="123"/>
  <c r="T368" i="123"/>
  <c r="T304" i="123"/>
  <c r="U304" i="123"/>
  <c r="T292" i="123"/>
  <c r="U292" i="123"/>
  <c r="T407" i="123"/>
  <c r="U407" i="123"/>
  <c r="T343" i="123"/>
  <c r="U343" i="123"/>
  <c r="T420" i="123"/>
  <c r="U420" i="123"/>
  <c r="T354" i="123"/>
  <c r="U354" i="123"/>
  <c r="T358" i="123"/>
  <c r="U358" i="123"/>
  <c r="T294" i="123"/>
  <c r="U294" i="123"/>
  <c r="T394" i="123"/>
  <c r="U394" i="123"/>
  <c r="T405" i="123"/>
  <c r="U405" i="123"/>
  <c r="T341" i="123"/>
  <c r="U341" i="123"/>
  <c r="T340" i="123"/>
  <c r="U340" i="123"/>
  <c r="T377" i="123"/>
  <c r="U377" i="123"/>
  <c r="T313" i="123"/>
  <c r="U313" i="123"/>
  <c r="T360" i="123"/>
  <c r="U360" i="123"/>
  <c r="U296" i="123"/>
  <c r="T296" i="123"/>
  <c r="T419" i="123"/>
  <c r="U419" i="123"/>
  <c r="T367" i="123"/>
  <c r="U367" i="123"/>
  <c r="T303" i="123"/>
  <c r="U303" i="123"/>
  <c r="U338" i="123"/>
  <c r="T338" i="123"/>
  <c r="T382" i="123"/>
  <c r="U382" i="123"/>
  <c r="T318" i="123"/>
  <c r="U318" i="123"/>
  <c r="T370" i="123"/>
  <c r="U370" i="123"/>
  <c r="T365" i="123"/>
  <c r="U365" i="123"/>
  <c r="T316" i="123"/>
  <c r="U316" i="123"/>
  <c r="T322" i="123"/>
  <c r="U322" i="123"/>
  <c r="T401" i="123"/>
  <c r="U401" i="123"/>
  <c r="U416" i="123"/>
  <c r="T416" i="123"/>
  <c r="T352" i="123"/>
  <c r="U352" i="123"/>
  <c r="T359" i="123"/>
  <c r="U359" i="123"/>
  <c r="T295" i="123"/>
  <c r="U295" i="123"/>
  <c r="T387" i="123"/>
  <c r="U387" i="123"/>
  <c r="U314" i="123"/>
  <c r="T314" i="123"/>
  <c r="U374" i="123"/>
  <c r="T374" i="123"/>
  <c r="T389" i="123"/>
  <c r="U389" i="123"/>
  <c r="T325" i="123"/>
  <c r="U325" i="123"/>
  <c r="T412" i="123"/>
  <c r="U412" i="123"/>
  <c r="T403" i="123"/>
  <c r="U403" i="123"/>
  <c r="T361" i="123"/>
  <c r="U361" i="123"/>
  <c r="T297" i="123"/>
  <c r="U297" i="123"/>
  <c r="T376" i="123"/>
  <c r="U376" i="123"/>
  <c r="T312" i="123"/>
  <c r="U312" i="123"/>
  <c r="T339" i="123"/>
  <c r="U339" i="123"/>
  <c r="T383" i="123"/>
  <c r="U383" i="123"/>
  <c r="T298" i="123"/>
  <c r="U298" i="123"/>
  <c r="T366" i="123"/>
  <c r="U366" i="123"/>
  <c r="U410" i="123"/>
  <c r="T410" i="123"/>
  <c r="T413" i="123"/>
  <c r="U413" i="123"/>
  <c r="T349" i="123"/>
  <c r="U349" i="123"/>
  <c r="T348" i="123"/>
  <c r="U348" i="123"/>
  <c r="T331" i="123"/>
  <c r="U331" i="123"/>
  <c r="T301" i="123"/>
  <c r="U301" i="123"/>
  <c r="T337" i="123"/>
  <c r="U337" i="123"/>
  <c r="T379" i="123"/>
  <c r="U379" i="123"/>
  <c r="T310" i="123"/>
  <c r="U310" i="123"/>
  <c r="T346" i="123"/>
  <c r="U346" i="123"/>
  <c r="T319" i="123"/>
  <c r="U319" i="123"/>
  <c r="T347" i="123"/>
  <c r="U347" i="123"/>
  <c r="U302" i="123"/>
  <c r="T302" i="123"/>
  <c r="T336" i="123"/>
  <c r="U336" i="123"/>
  <c r="T309" i="123"/>
  <c r="U309" i="123"/>
  <c r="T345" i="123"/>
  <c r="U345" i="123"/>
  <c r="T300" i="123"/>
  <c r="U300" i="123"/>
  <c r="T340" i="124"/>
  <c r="U340" i="124"/>
  <c r="U323" i="124"/>
  <c r="T323" i="124"/>
  <c r="U343" i="124"/>
  <c r="T343" i="124"/>
  <c r="U300" i="124"/>
  <c r="T300" i="124"/>
  <c r="U326" i="124"/>
  <c r="T326" i="124"/>
  <c r="U336" i="124"/>
  <c r="T336" i="124"/>
  <c r="U335" i="124"/>
  <c r="T335" i="124"/>
  <c r="T292" i="124"/>
  <c r="U292" i="124"/>
  <c r="T316" i="124"/>
  <c r="U316" i="124"/>
  <c r="T328" i="124"/>
  <c r="U328" i="124"/>
  <c r="U306" i="124"/>
  <c r="T306" i="124"/>
  <c r="U295" i="124"/>
  <c r="T295" i="124"/>
  <c r="U301" i="124"/>
  <c r="T301" i="124"/>
  <c r="U305" i="124"/>
  <c r="T305" i="124"/>
  <c r="U303" i="124"/>
  <c r="T303" i="124"/>
  <c r="U347" i="124"/>
  <c r="T347" i="124"/>
  <c r="T310" i="124"/>
  <c r="U310" i="124"/>
  <c r="U332" i="124"/>
  <c r="T332" i="124"/>
  <c r="U321" i="124"/>
  <c r="T321" i="124"/>
  <c r="U320" i="124"/>
  <c r="T320" i="124"/>
  <c r="T346" i="124"/>
  <c r="U346" i="124"/>
  <c r="U348" i="124"/>
  <c r="T348" i="124"/>
  <c r="U299" i="124"/>
  <c r="T299" i="124"/>
  <c r="U342" i="124"/>
  <c r="T342" i="124"/>
  <c r="U294" i="124"/>
  <c r="T294" i="124"/>
  <c r="U308" i="124"/>
  <c r="T308" i="124"/>
  <c r="U337" i="124"/>
  <c r="T337" i="124"/>
  <c r="U324" i="124"/>
  <c r="T324" i="124"/>
  <c r="U341" i="124"/>
  <c r="T341" i="124"/>
  <c r="U339" i="124"/>
  <c r="T339" i="124"/>
  <c r="U345" i="124"/>
  <c r="T345" i="124"/>
  <c r="U344" i="124"/>
  <c r="T344" i="124"/>
  <c r="U319" i="124"/>
  <c r="T319" i="124"/>
  <c r="U302" i="124"/>
  <c r="T302" i="124"/>
  <c r="U315" i="124"/>
  <c r="T315" i="124"/>
  <c r="T322" i="124"/>
  <c r="U322" i="124"/>
  <c r="U311" i="124"/>
  <c r="T311" i="124"/>
  <c r="U325" i="124"/>
  <c r="T325" i="124"/>
  <c r="U291" i="124"/>
  <c r="T291" i="124"/>
  <c r="T304" i="124"/>
  <c r="U304" i="124"/>
  <c r="U327" i="124"/>
  <c r="T327" i="124"/>
  <c r="T334" i="124"/>
  <c r="U334" i="124"/>
  <c r="U333" i="124"/>
  <c r="T333" i="124"/>
  <c r="U307" i="124"/>
  <c r="T307" i="124"/>
  <c r="T298" i="124"/>
  <c r="U298" i="124"/>
  <c r="U312" i="124"/>
  <c r="T312" i="124"/>
  <c r="U314" i="124"/>
  <c r="T314" i="124"/>
  <c r="U313" i="124"/>
  <c r="T313" i="124"/>
  <c r="U329" i="124"/>
  <c r="T329" i="124"/>
  <c r="U338" i="124"/>
  <c r="T338" i="124"/>
  <c r="U330" i="124"/>
  <c r="T330" i="124"/>
  <c r="U293" i="124"/>
  <c r="T293" i="124"/>
  <c r="U331" i="124"/>
  <c r="T331" i="124"/>
  <c r="U297" i="124"/>
  <c r="T297" i="124"/>
  <c r="U296" i="124"/>
  <c r="T296" i="124"/>
  <c r="U309" i="124"/>
  <c r="T309" i="124"/>
  <c r="U318" i="124"/>
  <c r="T318" i="124"/>
  <c r="U317" i="124"/>
  <c r="T317" i="124"/>
  <c r="G2" i="84" l="1"/>
  <c r="D3" i="113" l="1"/>
  <c r="C6" i="113" l="1"/>
  <c r="D28" i="113" s="1"/>
  <c r="A77" i="78"/>
  <c r="D40" i="113" l="1"/>
  <c r="D11" i="113"/>
  <c r="Q49" i="107" s="1"/>
  <c r="C2" i="115"/>
  <c r="D43" i="114" l="1"/>
  <c r="D42" i="114"/>
  <c r="D41" i="114"/>
  <c r="D40" i="114"/>
  <c r="D39" i="114"/>
  <c r="D38" i="114"/>
  <c r="D37" i="114"/>
  <c r="I2" i="108" l="1"/>
  <c r="J2" i="108" s="1"/>
  <c r="K2" i="108" s="1"/>
  <c r="D15" i="113" l="1"/>
  <c r="D56" i="113"/>
  <c r="D16" i="113"/>
  <c r="C67" i="23"/>
  <c r="C72" i="23"/>
  <c r="C77" i="23"/>
  <c r="C92" i="23"/>
  <c r="C111" i="23"/>
  <c r="C116" i="23"/>
  <c r="C130" i="23"/>
  <c r="C135" i="23"/>
  <c r="C140" i="23"/>
  <c r="C169" i="23"/>
  <c r="C174" i="23"/>
  <c r="C192" i="23"/>
  <c r="C209" i="23"/>
  <c r="C214" i="23"/>
  <c r="C219" i="23"/>
  <c r="C226" i="23"/>
  <c r="C236" i="23"/>
  <c r="C241" i="23"/>
  <c r="C246" i="23"/>
  <c r="C253" i="23"/>
  <c r="C258" i="23"/>
  <c r="C265" i="23"/>
  <c r="C270" i="23"/>
  <c r="C275" i="23"/>
  <c r="C427" i="23"/>
  <c r="C480" i="23"/>
  <c r="C542" i="23"/>
  <c r="C559" i="23"/>
  <c r="C575" i="23"/>
  <c r="AH253" i="23" l="1"/>
  <c r="AH214" i="23"/>
  <c r="AH135" i="23"/>
  <c r="AH72" i="23"/>
  <c r="AH575" i="23"/>
  <c r="AH542" i="23"/>
  <c r="AH480" i="23"/>
  <c r="AH427" i="23"/>
  <c r="AH246" i="23"/>
  <c r="AH209" i="23"/>
  <c r="AH130" i="23"/>
  <c r="AH67" i="23"/>
  <c r="AH275" i="23"/>
  <c r="AH241" i="23"/>
  <c r="AH192" i="23"/>
  <c r="AH116" i="23"/>
  <c r="AH270" i="23"/>
  <c r="AH236" i="23"/>
  <c r="AH174" i="23"/>
  <c r="AH111" i="23"/>
  <c r="AH265" i="23"/>
  <c r="AH226" i="23"/>
  <c r="AH169" i="23"/>
  <c r="AH92" i="23"/>
  <c r="AH559" i="23"/>
  <c r="AH258" i="23"/>
  <c r="AH219" i="23"/>
  <c r="AH140" i="23"/>
  <c r="AH77" i="23"/>
  <c r="F56" i="113"/>
  <c r="C585" i="23"/>
  <c r="C579" i="23"/>
  <c r="C573" i="23"/>
  <c r="C567" i="23"/>
  <c r="C561" i="23"/>
  <c r="C555" i="23"/>
  <c r="C549" i="23"/>
  <c r="C543" i="23"/>
  <c r="C537" i="23"/>
  <c r="C531" i="23"/>
  <c r="C525" i="23"/>
  <c r="C519" i="23"/>
  <c r="C513" i="23"/>
  <c r="C501" i="23"/>
  <c r="C495" i="23"/>
  <c r="C489" i="23"/>
  <c r="C483" i="23"/>
  <c r="C477" i="23"/>
  <c r="C471" i="23"/>
  <c r="C465" i="23"/>
  <c r="C459" i="23"/>
  <c r="C453" i="23"/>
  <c r="C441" i="23"/>
  <c r="C435" i="23"/>
  <c r="C429" i="23"/>
  <c r="C423" i="23"/>
  <c r="C417" i="23"/>
  <c r="C411" i="23"/>
  <c r="C405" i="23"/>
  <c r="C399" i="23"/>
  <c r="C387" i="23"/>
  <c r="C381" i="23"/>
  <c r="C375" i="23"/>
  <c r="C369" i="23"/>
  <c r="C363" i="23"/>
  <c r="C357" i="23"/>
  <c r="C345" i="23"/>
  <c r="C339" i="23"/>
  <c r="C333" i="23"/>
  <c r="C327" i="23"/>
  <c r="C321" i="23"/>
  <c r="C315" i="23"/>
  <c r="C309" i="23"/>
  <c r="C303" i="23"/>
  <c r="C297" i="23"/>
  <c r="C291" i="23"/>
  <c r="C285" i="23"/>
  <c r="C279" i="23"/>
  <c r="C393" i="23"/>
  <c r="C351" i="23"/>
  <c r="C447" i="23"/>
  <c r="C507" i="23"/>
  <c r="C583" i="23"/>
  <c r="C577" i="23"/>
  <c r="C571" i="23"/>
  <c r="C565" i="23"/>
  <c r="C553" i="23"/>
  <c r="C547" i="23"/>
  <c r="C541" i="23"/>
  <c r="C535" i="23"/>
  <c r="C529" i="23"/>
  <c r="C523" i="23"/>
  <c r="C517" i="23"/>
  <c r="C511" i="23"/>
  <c r="C505" i="23"/>
  <c r="C499" i="23"/>
  <c r="C493" i="23"/>
  <c r="C487" i="23"/>
  <c r="C481" i="23"/>
  <c r="C475" i="23"/>
  <c r="C469" i="23"/>
  <c r="C463" i="23"/>
  <c r="C457" i="23"/>
  <c r="C451" i="23"/>
  <c r="C445" i="23"/>
  <c r="C439" i="23"/>
  <c r="C433" i="23"/>
  <c r="C421" i="23"/>
  <c r="C415" i="23"/>
  <c r="C409" i="23"/>
  <c r="C403" i="23"/>
  <c r="C397" i="23"/>
  <c r="C391" i="23"/>
  <c r="C385" i="23"/>
  <c r="C379" i="23"/>
  <c r="C373" i="23"/>
  <c r="C367" i="23"/>
  <c r="C361" i="23"/>
  <c r="C355" i="23"/>
  <c r="C349" i="23"/>
  <c r="C343" i="23"/>
  <c r="C337" i="23"/>
  <c r="C331" i="23"/>
  <c r="C325" i="23"/>
  <c r="C319" i="23"/>
  <c r="C313" i="23"/>
  <c r="C307" i="23"/>
  <c r="C301" i="23"/>
  <c r="C295" i="23"/>
  <c r="C289" i="23"/>
  <c r="C283" i="23"/>
  <c r="C584" i="23"/>
  <c r="C534" i="23"/>
  <c r="C588" i="23"/>
  <c r="C582" i="23"/>
  <c r="C576" i="23"/>
  <c r="C570" i="23"/>
  <c r="C564" i="23"/>
  <c r="C558" i="23"/>
  <c r="C552" i="23"/>
  <c r="C546" i="23"/>
  <c r="C540" i="23"/>
  <c r="C528" i="23"/>
  <c r="C522" i="23"/>
  <c r="C516" i="23"/>
  <c r="C510" i="23"/>
  <c r="C504" i="23"/>
  <c r="C498" i="23"/>
  <c r="C492" i="23"/>
  <c r="C486" i="23"/>
  <c r="C474" i="23"/>
  <c r="C468" i="23"/>
  <c r="C462" i="23"/>
  <c r="C456" i="23"/>
  <c r="C450" i="23"/>
  <c r="C444" i="23"/>
  <c r="C438" i="23"/>
  <c r="C432" i="23"/>
  <c r="C426" i="23"/>
  <c r="C420" i="23"/>
  <c r="C414" i="23"/>
  <c r="C408" i="23"/>
  <c r="C402" i="23"/>
  <c r="C396" i="23"/>
  <c r="C390" i="23"/>
  <c r="C384" i="23"/>
  <c r="C378" i="23"/>
  <c r="C372" i="23"/>
  <c r="C366" i="23"/>
  <c r="C360" i="23"/>
  <c r="C354" i="23"/>
  <c r="C348" i="23"/>
  <c r="C342" i="23"/>
  <c r="C336" i="23"/>
  <c r="C330" i="23"/>
  <c r="C318" i="23"/>
  <c r="C312" i="23"/>
  <c r="C306" i="23"/>
  <c r="C300" i="23"/>
  <c r="C294" i="23"/>
  <c r="C288" i="23"/>
  <c r="C282" i="23"/>
  <c r="C587" i="23"/>
  <c r="C581" i="23"/>
  <c r="C569" i="23"/>
  <c r="C563" i="23"/>
  <c r="C557" i="23"/>
  <c r="C545" i="23"/>
  <c r="C539" i="23"/>
  <c r="C533" i="23"/>
  <c r="C527" i="23"/>
  <c r="C521" i="23"/>
  <c r="C515" i="23"/>
  <c r="C509" i="23"/>
  <c r="C503" i="23"/>
  <c r="C497" i="23"/>
  <c r="C491" i="23"/>
  <c r="C485" i="23"/>
  <c r="C479" i="23"/>
  <c r="C473" i="23"/>
  <c r="C467" i="23"/>
  <c r="C461" i="23"/>
  <c r="C455" i="23"/>
  <c r="C449" i="23"/>
  <c r="C443" i="23"/>
  <c r="C437" i="23"/>
  <c r="C431" i="23"/>
  <c r="C425" i="23"/>
  <c r="C419" i="23"/>
  <c r="C413" i="23"/>
  <c r="C407" i="23"/>
  <c r="C401" i="23"/>
  <c r="C395" i="23"/>
  <c r="C389" i="23"/>
  <c r="C383" i="23"/>
  <c r="C377" i="23"/>
  <c r="C371" i="23"/>
  <c r="C365" i="23"/>
  <c r="C359" i="23"/>
  <c r="C353" i="23"/>
  <c r="C347" i="23"/>
  <c r="C341" i="23"/>
  <c r="C335" i="23"/>
  <c r="C329" i="23"/>
  <c r="C323" i="23"/>
  <c r="C317" i="23"/>
  <c r="C311" i="23"/>
  <c r="C305" i="23"/>
  <c r="C299" i="23"/>
  <c r="C293" i="23"/>
  <c r="C287" i="23"/>
  <c r="C281" i="23"/>
  <c r="C586" i="23"/>
  <c r="C580" i="23"/>
  <c r="C574" i="23"/>
  <c r="C568" i="23"/>
  <c r="C562" i="23"/>
  <c r="C556" i="23"/>
  <c r="C550" i="23"/>
  <c r="C544" i="23"/>
  <c r="C538" i="23"/>
  <c r="C532" i="23"/>
  <c r="C526" i="23"/>
  <c r="C520" i="23"/>
  <c r="C514" i="23"/>
  <c r="C508" i="23"/>
  <c r="C502" i="23"/>
  <c r="C496" i="23"/>
  <c r="C490" i="23"/>
  <c r="C484" i="23"/>
  <c r="C478" i="23"/>
  <c r="C472" i="23"/>
  <c r="C466" i="23"/>
  <c r="C460" i="23"/>
  <c r="C454" i="23"/>
  <c r="C448" i="23"/>
  <c r="C442" i="23"/>
  <c r="C436" i="23"/>
  <c r="C430" i="23"/>
  <c r="C424" i="23"/>
  <c r="C418" i="23"/>
  <c r="C412" i="23"/>
  <c r="C406" i="23"/>
  <c r="C400" i="23"/>
  <c r="C394" i="23"/>
  <c r="C388" i="23"/>
  <c r="C382" i="23"/>
  <c r="C376" i="23"/>
  <c r="C370" i="23"/>
  <c r="C364" i="23"/>
  <c r="C358" i="23"/>
  <c r="C352" i="23"/>
  <c r="C346" i="23"/>
  <c r="C340" i="23"/>
  <c r="C334" i="23"/>
  <c r="C328" i="23"/>
  <c r="C322" i="23"/>
  <c r="C316" i="23"/>
  <c r="C310" i="23"/>
  <c r="C304" i="23"/>
  <c r="C298" i="23"/>
  <c r="C292" i="23"/>
  <c r="C286" i="23"/>
  <c r="C280" i="23"/>
  <c r="C551" i="23"/>
  <c r="C578" i="23"/>
  <c r="C572" i="23"/>
  <c r="C566" i="23"/>
  <c r="C560" i="23"/>
  <c r="C554" i="23"/>
  <c r="C548" i="23"/>
  <c r="C536" i="23"/>
  <c r="C530" i="23"/>
  <c r="C524" i="23"/>
  <c r="C518" i="23"/>
  <c r="C512" i="23"/>
  <c r="C506" i="23"/>
  <c r="C500" i="23"/>
  <c r="C494" i="23"/>
  <c r="C488" i="23"/>
  <c r="C482" i="23"/>
  <c r="C476" i="23"/>
  <c r="C470" i="23"/>
  <c r="C464" i="23"/>
  <c r="C458" i="23"/>
  <c r="C452" i="23"/>
  <c r="C446" i="23"/>
  <c r="C440" i="23"/>
  <c r="C434" i="23"/>
  <c r="C428" i="23"/>
  <c r="C422" i="23"/>
  <c r="C416" i="23"/>
  <c r="C410" i="23"/>
  <c r="C404" i="23"/>
  <c r="C398" i="23"/>
  <c r="C392" i="23"/>
  <c r="C386" i="23"/>
  <c r="C380" i="23"/>
  <c r="C374" i="23"/>
  <c r="C368" i="23"/>
  <c r="C362" i="23"/>
  <c r="C356" i="23"/>
  <c r="C350" i="23"/>
  <c r="C344" i="23"/>
  <c r="C338" i="23"/>
  <c r="C332" i="23"/>
  <c r="C326" i="23"/>
  <c r="C320" i="23"/>
  <c r="C314" i="23"/>
  <c r="C308" i="23"/>
  <c r="C302" i="23"/>
  <c r="C296" i="23"/>
  <c r="C290" i="23"/>
  <c r="C284" i="23"/>
  <c r="C278" i="23"/>
  <c r="C324" i="23"/>
  <c r="C276" i="23"/>
  <c r="C243" i="23"/>
  <c r="C237" i="23"/>
  <c r="C231" i="23"/>
  <c r="C225" i="23"/>
  <c r="C213" i="23"/>
  <c r="C201" i="23"/>
  <c r="C195" i="23"/>
  <c r="C189" i="23"/>
  <c r="C183" i="23"/>
  <c r="C177" i="23"/>
  <c r="C171" i="23"/>
  <c r="C159" i="23"/>
  <c r="C153" i="23"/>
  <c r="C147" i="23"/>
  <c r="C141" i="23"/>
  <c r="C129" i="23"/>
  <c r="C123" i="23"/>
  <c r="C117" i="23"/>
  <c r="C105" i="23"/>
  <c r="C99" i="23"/>
  <c r="C93" i="23"/>
  <c r="C87" i="23"/>
  <c r="C81" i="23"/>
  <c r="C75" i="23"/>
  <c r="C69" i="23"/>
  <c r="C63" i="23"/>
  <c r="C57" i="23"/>
  <c r="C51" i="23"/>
  <c r="C45" i="23"/>
  <c r="C39" i="23"/>
  <c r="C33" i="23"/>
  <c r="C27" i="23"/>
  <c r="C21" i="23"/>
  <c r="C9" i="23"/>
  <c r="C256" i="23"/>
  <c r="C212" i="23"/>
  <c r="C188" i="23"/>
  <c r="C255" i="23"/>
  <c r="C272" i="23"/>
  <c r="C266" i="23"/>
  <c r="C260" i="23"/>
  <c r="C254" i="23"/>
  <c r="C248" i="23"/>
  <c r="C242" i="23"/>
  <c r="C206" i="23"/>
  <c r="C200" i="23"/>
  <c r="C194" i="23"/>
  <c r="C134" i="23"/>
  <c r="C128" i="23"/>
  <c r="C122" i="23"/>
  <c r="C110" i="23"/>
  <c r="C104" i="23"/>
  <c r="C98" i="23"/>
  <c r="C86" i="23"/>
  <c r="C80" i="23"/>
  <c r="C74" i="23"/>
  <c r="C68" i="23"/>
  <c r="C62" i="23"/>
  <c r="C56" i="23"/>
  <c r="C50" i="23"/>
  <c r="C38" i="23"/>
  <c r="C32" i="23"/>
  <c r="C26" i="23"/>
  <c r="C20" i="23"/>
  <c r="C14" i="23"/>
  <c r="C8" i="23"/>
  <c r="C268" i="23"/>
  <c r="C239" i="23"/>
  <c r="C155" i="23"/>
  <c r="C126" i="23"/>
  <c r="C267" i="23"/>
  <c r="C230" i="23"/>
  <c r="C224" i="23"/>
  <c r="C218" i="23"/>
  <c r="C182" i="23"/>
  <c r="C176" i="23"/>
  <c r="C170" i="23"/>
  <c r="C164" i="23"/>
  <c r="C158" i="23"/>
  <c r="C152" i="23"/>
  <c r="C146" i="23"/>
  <c r="C277" i="23"/>
  <c r="C271" i="23"/>
  <c r="C259" i="23"/>
  <c r="C247" i="23"/>
  <c r="C235" i="23"/>
  <c r="C223" i="23"/>
  <c r="C211" i="23"/>
  <c r="C205" i="23"/>
  <c r="C199" i="23"/>
  <c r="C193" i="23"/>
  <c r="C187" i="23"/>
  <c r="C181" i="23"/>
  <c r="C175" i="23"/>
  <c r="C163" i="23"/>
  <c r="C157" i="23"/>
  <c r="C151" i="23"/>
  <c r="C145" i="23"/>
  <c r="C139" i="23"/>
  <c r="C133" i="23"/>
  <c r="C127" i="23"/>
  <c r="C115" i="23"/>
  <c r="C109" i="23"/>
  <c r="C103" i="23"/>
  <c r="C97" i="23"/>
  <c r="C91" i="23"/>
  <c r="C85" i="23"/>
  <c r="C79" i="23"/>
  <c r="C73" i="23"/>
  <c r="C61" i="23"/>
  <c r="C55" i="23"/>
  <c r="C49" i="23"/>
  <c r="C43" i="23"/>
  <c r="C37" i="23"/>
  <c r="C31" i="23"/>
  <c r="C25" i="23"/>
  <c r="C19" i="23"/>
  <c r="C13" i="23"/>
  <c r="C7" i="23"/>
  <c r="C251" i="23"/>
  <c r="C222" i="23"/>
  <c r="C207" i="23"/>
  <c r="C179" i="23"/>
  <c r="C150" i="23"/>
  <c r="C121" i="23"/>
  <c r="C58" i="23"/>
  <c r="C264" i="23"/>
  <c r="C252" i="23"/>
  <c r="C240" i="23"/>
  <c r="C228" i="23"/>
  <c r="C216" i="23"/>
  <c r="C210" i="23"/>
  <c r="C204" i="23"/>
  <c r="C198" i="23"/>
  <c r="C186" i="23"/>
  <c r="C180" i="23"/>
  <c r="C168" i="23"/>
  <c r="C162" i="23"/>
  <c r="C156" i="23"/>
  <c r="C144" i="23"/>
  <c r="C138" i="23"/>
  <c r="C132" i="23"/>
  <c r="C120" i="23"/>
  <c r="C114" i="23"/>
  <c r="C108" i="23"/>
  <c r="C102" i="23"/>
  <c r="C96" i="23"/>
  <c r="C90" i="23"/>
  <c r="C84" i="23"/>
  <c r="C78" i="23"/>
  <c r="C66" i="23"/>
  <c r="C60" i="23"/>
  <c r="C54" i="23"/>
  <c r="C48" i="23"/>
  <c r="C42" i="23"/>
  <c r="C36" i="23"/>
  <c r="C24" i="23"/>
  <c r="C18" i="23"/>
  <c r="C12" i="23"/>
  <c r="C6" i="23"/>
  <c r="C263" i="23"/>
  <c r="C249" i="23"/>
  <c r="C234" i="23"/>
  <c r="C202" i="23"/>
  <c r="C88" i="23"/>
  <c r="C44" i="23"/>
  <c r="C269" i="23"/>
  <c r="C257" i="23"/>
  <c r="C245" i="23"/>
  <c r="C233" i="23"/>
  <c r="C227" i="23"/>
  <c r="C221" i="23"/>
  <c r="C215" i="23"/>
  <c r="C203" i="23"/>
  <c r="C197" i="23"/>
  <c r="C191" i="23"/>
  <c r="C185" i="23"/>
  <c r="C173" i="23"/>
  <c r="C167" i="23"/>
  <c r="C161" i="23"/>
  <c r="C149" i="23"/>
  <c r="C143" i="23"/>
  <c r="C137" i="23"/>
  <c r="C131" i="23"/>
  <c r="C125" i="23"/>
  <c r="C119" i="23"/>
  <c r="C113" i="23"/>
  <c r="C101" i="23"/>
  <c r="C95" i="23"/>
  <c r="C89" i="23"/>
  <c r="C71" i="23"/>
  <c r="C65" i="23"/>
  <c r="C59" i="23"/>
  <c r="C53" i="23"/>
  <c r="C47" i="23"/>
  <c r="C41" i="23"/>
  <c r="C35" i="23"/>
  <c r="C29" i="23"/>
  <c r="C23" i="23"/>
  <c r="C17" i="23"/>
  <c r="C11" i="23"/>
  <c r="C5" i="23"/>
  <c r="C261" i="23"/>
  <c r="C217" i="23"/>
  <c r="C83" i="23"/>
  <c r="C30" i="23"/>
  <c r="C274" i="23"/>
  <c r="C262" i="23"/>
  <c r="C250" i="23"/>
  <c r="C238" i="23"/>
  <c r="C232" i="23"/>
  <c r="C220" i="23"/>
  <c r="C208" i="23"/>
  <c r="C196" i="23"/>
  <c r="C190" i="23"/>
  <c r="C184" i="23"/>
  <c r="C178" i="23"/>
  <c r="C172" i="23"/>
  <c r="C166" i="23"/>
  <c r="C160" i="23"/>
  <c r="C154" i="23"/>
  <c r="C148" i="23"/>
  <c r="C142" i="23"/>
  <c r="C136" i="23"/>
  <c r="C124" i="23"/>
  <c r="C118" i="23"/>
  <c r="C112" i="23"/>
  <c r="C106" i="23"/>
  <c r="C100" i="23"/>
  <c r="C94" i="23"/>
  <c r="C82" i="23"/>
  <c r="C76" i="23"/>
  <c r="C70" i="23"/>
  <c r="C64" i="23"/>
  <c r="C52" i="23"/>
  <c r="C46" i="23"/>
  <c r="C40" i="23"/>
  <c r="C34" i="23"/>
  <c r="C28" i="23"/>
  <c r="C22" i="23"/>
  <c r="C16" i="23"/>
  <c r="C10" i="23"/>
  <c r="C4" i="23"/>
  <c r="C273" i="23"/>
  <c r="C244" i="23"/>
  <c r="C229" i="23"/>
  <c r="C165" i="23"/>
  <c r="C107" i="23"/>
  <c r="C15" i="23"/>
  <c r="AH142" i="23" l="1"/>
  <c r="AH70" i="23"/>
  <c r="AH154" i="23"/>
  <c r="AH190" i="23"/>
  <c r="AH250" i="23"/>
  <c r="AH261" i="23"/>
  <c r="AH35" i="23"/>
  <c r="AH71" i="23"/>
  <c r="AH125" i="23"/>
  <c r="AH167" i="23"/>
  <c r="AH215" i="23"/>
  <c r="AH269" i="23"/>
  <c r="AH263" i="23"/>
  <c r="AH42" i="23"/>
  <c r="AH84" i="23"/>
  <c r="AH120" i="23"/>
  <c r="AH168" i="23"/>
  <c r="AH216" i="23"/>
  <c r="AH121" i="23"/>
  <c r="AH7" i="23"/>
  <c r="AH43" i="23"/>
  <c r="AH85" i="23"/>
  <c r="AH127" i="23"/>
  <c r="AH163" i="23"/>
  <c r="AH205" i="23"/>
  <c r="AH271" i="23"/>
  <c r="AH170" i="23"/>
  <c r="AH267" i="23"/>
  <c r="AH14" i="23"/>
  <c r="AH56" i="23"/>
  <c r="AH98" i="23"/>
  <c r="AH194" i="23"/>
  <c r="AH260" i="23"/>
  <c r="AH256" i="23"/>
  <c r="AH45" i="23"/>
  <c r="AH81" i="23"/>
  <c r="AH123" i="23"/>
  <c r="AH171" i="23"/>
  <c r="AH213" i="23"/>
  <c r="AH324" i="23"/>
  <c r="AH308" i="23"/>
  <c r="AH344" i="23"/>
  <c r="AH380" i="23"/>
  <c r="AH416" i="23"/>
  <c r="AH452" i="23"/>
  <c r="AH488" i="23"/>
  <c r="AH524" i="23"/>
  <c r="AH566" i="23"/>
  <c r="AH292" i="23"/>
  <c r="AH328" i="23"/>
  <c r="AH364" i="23"/>
  <c r="AH400" i="23"/>
  <c r="AH436" i="23"/>
  <c r="AH472" i="23"/>
  <c r="AH508" i="23"/>
  <c r="AH544" i="23"/>
  <c r="AH580" i="23"/>
  <c r="AH305" i="23"/>
  <c r="AH341" i="23"/>
  <c r="AH377" i="23"/>
  <c r="AH413" i="23"/>
  <c r="AH449" i="23"/>
  <c r="AH485" i="23"/>
  <c r="AH521" i="23"/>
  <c r="AH563" i="23"/>
  <c r="AH294" i="23"/>
  <c r="AH336" i="23"/>
  <c r="AH372" i="23"/>
  <c r="AH408" i="23"/>
  <c r="AH444" i="23"/>
  <c r="AH486" i="23"/>
  <c r="AH522" i="23"/>
  <c r="AH564" i="23"/>
  <c r="AH584" i="23"/>
  <c r="AH313" i="23"/>
  <c r="AH349" i="23"/>
  <c r="AH385" i="23"/>
  <c r="AH421" i="23"/>
  <c r="AH463" i="23"/>
  <c r="AH499" i="23"/>
  <c r="AH535" i="23"/>
  <c r="AH577" i="23"/>
  <c r="AH279" i="23"/>
  <c r="AH315" i="23"/>
  <c r="AH357" i="23"/>
  <c r="AH399" i="23"/>
  <c r="AH435" i="23"/>
  <c r="AH477" i="23"/>
  <c r="AH519" i="23"/>
  <c r="AH555" i="23"/>
  <c r="AH229" i="23"/>
  <c r="AH28" i="23"/>
  <c r="AH273" i="23"/>
  <c r="AH34" i="23"/>
  <c r="AH76" i="23"/>
  <c r="AH118" i="23"/>
  <c r="AH160" i="23"/>
  <c r="AH196" i="23"/>
  <c r="AH262" i="23"/>
  <c r="AH5" i="23"/>
  <c r="AH41" i="23"/>
  <c r="AH89" i="23"/>
  <c r="AH131" i="23"/>
  <c r="AH173" i="23"/>
  <c r="AH221" i="23"/>
  <c r="AH44" i="23"/>
  <c r="AH6" i="23"/>
  <c r="AH48" i="23"/>
  <c r="AH90" i="23"/>
  <c r="AH132" i="23"/>
  <c r="AH180" i="23"/>
  <c r="AH228" i="23"/>
  <c r="AH150" i="23"/>
  <c r="AH13" i="23"/>
  <c r="AH49" i="23"/>
  <c r="AH91" i="23"/>
  <c r="AH133" i="23"/>
  <c r="AH175" i="23"/>
  <c r="AH211" i="23"/>
  <c r="AH277" i="23"/>
  <c r="AH176" i="23"/>
  <c r="AH126" i="23"/>
  <c r="AH20" i="23"/>
  <c r="AH62" i="23"/>
  <c r="AH104" i="23"/>
  <c r="AH200" i="23"/>
  <c r="AH266" i="23"/>
  <c r="AH9" i="23"/>
  <c r="AH51" i="23"/>
  <c r="AH87" i="23"/>
  <c r="AH129" i="23"/>
  <c r="AH177" i="23"/>
  <c r="AH225" i="23"/>
  <c r="AH278" i="23"/>
  <c r="AH314" i="23"/>
  <c r="AH350" i="23"/>
  <c r="AH386" i="23"/>
  <c r="AH422" i="23"/>
  <c r="AH458" i="23"/>
  <c r="AH494" i="23"/>
  <c r="AH530" i="23"/>
  <c r="AH572" i="23"/>
  <c r="AH298" i="23"/>
  <c r="AH334" i="23"/>
  <c r="AH370" i="23"/>
  <c r="AH406" i="23"/>
  <c r="AH442" i="23"/>
  <c r="AH478" i="23"/>
  <c r="AH514" i="23"/>
  <c r="AH550" i="23"/>
  <c r="AH586" i="23"/>
  <c r="AH311" i="23"/>
  <c r="AH347" i="23"/>
  <c r="AH383" i="23"/>
  <c r="AH419" i="23"/>
  <c r="AH455" i="23"/>
  <c r="AH491" i="23"/>
  <c r="AH527" i="23"/>
  <c r="AH569" i="23"/>
  <c r="AH300" i="23"/>
  <c r="AH342" i="23"/>
  <c r="AH378" i="23"/>
  <c r="AH414" i="23"/>
  <c r="AH450" i="23"/>
  <c r="AH492" i="23"/>
  <c r="AH528" i="23"/>
  <c r="AH570" i="23"/>
  <c r="AH283" i="23"/>
  <c r="AH319" i="23"/>
  <c r="AH355" i="23"/>
  <c r="AH391" i="23"/>
  <c r="AH433" i="23"/>
  <c r="AH469" i="23"/>
  <c r="AH505" i="23"/>
  <c r="AH541" i="23"/>
  <c r="AH583" i="23"/>
  <c r="AH285" i="23"/>
  <c r="AH321" i="23"/>
  <c r="AH363" i="23"/>
  <c r="AH405" i="23"/>
  <c r="AH441" i="23"/>
  <c r="AH483" i="23"/>
  <c r="AH525" i="23"/>
  <c r="AH561" i="23"/>
  <c r="AH165" i="23"/>
  <c r="AH100" i="23"/>
  <c r="AH112" i="23"/>
  <c r="AH15" i="23"/>
  <c r="AH4" i="23"/>
  <c r="AH40" i="23"/>
  <c r="AH82" i="23"/>
  <c r="AH124" i="23"/>
  <c r="AH166" i="23"/>
  <c r="AH208" i="23"/>
  <c r="AH274" i="23"/>
  <c r="AH11" i="23"/>
  <c r="AH47" i="23"/>
  <c r="AH95" i="23"/>
  <c r="AH137" i="23"/>
  <c r="AH185" i="23"/>
  <c r="AH227" i="23"/>
  <c r="AH88" i="23"/>
  <c r="AH12" i="23"/>
  <c r="AH54" i="23"/>
  <c r="AH96" i="23"/>
  <c r="AH138" i="23"/>
  <c r="AH186" i="23"/>
  <c r="AH240" i="23"/>
  <c r="AH179" i="23"/>
  <c r="AH19" i="23"/>
  <c r="AH55" i="23"/>
  <c r="AH97" i="23"/>
  <c r="AH139" i="23"/>
  <c r="AH181" i="23"/>
  <c r="AH223" i="23"/>
  <c r="AH146" i="23"/>
  <c r="AH182" i="23"/>
  <c r="AH155" i="23"/>
  <c r="AH26" i="23"/>
  <c r="AH68" i="23"/>
  <c r="AH110" i="23"/>
  <c r="AH206" i="23"/>
  <c r="AH272" i="23"/>
  <c r="AH21" i="23"/>
  <c r="AH57" i="23"/>
  <c r="AH93" i="23"/>
  <c r="AH141" i="23"/>
  <c r="AH183" i="23"/>
  <c r="AH231" i="23"/>
  <c r="AH284" i="23"/>
  <c r="AH320" i="23"/>
  <c r="AH356" i="23"/>
  <c r="AH392" i="23"/>
  <c r="AH428" i="23"/>
  <c r="AH464" i="23"/>
  <c r="AH500" i="23"/>
  <c r="AH536" i="23"/>
  <c r="AH578" i="23"/>
  <c r="AH304" i="23"/>
  <c r="AH340" i="23"/>
  <c r="AH376" i="23"/>
  <c r="AH412" i="23"/>
  <c r="AH448" i="23"/>
  <c r="AH484" i="23"/>
  <c r="AH520" i="23"/>
  <c r="AH556" i="23"/>
  <c r="AH281" i="23"/>
  <c r="AH317" i="23"/>
  <c r="AH353" i="23"/>
  <c r="AH389" i="23"/>
  <c r="AH425" i="23"/>
  <c r="AH461" i="23"/>
  <c r="AH497" i="23"/>
  <c r="AH533" i="23"/>
  <c r="AH581" i="23"/>
  <c r="AH306" i="23"/>
  <c r="AH348" i="23"/>
  <c r="AH384" i="23"/>
  <c r="AH420" i="23"/>
  <c r="AH456" i="23"/>
  <c r="AH498" i="23"/>
  <c r="AH540" i="23"/>
  <c r="AH576" i="23"/>
  <c r="AH289" i="23"/>
  <c r="AH325" i="23"/>
  <c r="AH361" i="23"/>
  <c r="AH397" i="23"/>
  <c r="AH439" i="23"/>
  <c r="AH475" i="23"/>
  <c r="AH511" i="23"/>
  <c r="AH547" i="23"/>
  <c r="AH507" i="23"/>
  <c r="AH291" i="23"/>
  <c r="AH327" i="23"/>
  <c r="AH369" i="23"/>
  <c r="AH411" i="23"/>
  <c r="AH453" i="23"/>
  <c r="AH489" i="23"/>
  <c r="AH531" i="23"/>
  <c r="AH567" i="23"/>
  <c r="AH244" i="23"/>
  <c r="AH107" i="23"/>
  <c r="AH10" i="23"/>
  <c r="AH46" i="23"/>
  <c r="AH94" i="23"/>
  <c r="AH136" i="23"/>
  <c r="AH172" i="23"/>
  <c r="AH220" i="23"/>
  <c r="AH30" i="23"/>
  <c r="AH17" i="23"/>
  <c r="AH53" i="23"/>
  <c r="AH101" i="23"/>
  <c r="AH143" i="23"/>
  <c r="AH191" i="23"/>
  <c r="AH233" i="23"/>
  <c r="AH202" i="23"/>
  <c r="AH18" i="23"/>
  <c r="AH60" i="23"/>
  <c r="AH102" i="23"/>
  <c r="AH144" i="23"/>
  <c r="AH198" i="23"/>
  <c r="AH252" i="23"/>
  <c r="AH207" i="23"/>
  <c r="AH25" i="23"/>
  <c r="AH61" i="23"/>
  <c r="AH103" i="23"/>
  <c r="AH145" i="23"/>
  <c r="AH187" i="23"/>
  <c r="AH235" i="23"/>
  <c r="AH152" i="23"/>
  <c r="AH218" i="23"/>
  <c r="AH239" i="23"/>
  <c r="AH32" i="23"/>
  <c r="AH74" i="23"/>
  <c r="AH122" i="23"/>
  <c r="AH242" i="23"/>
  <c r="AH255" i="23"/>
  <c r="AH27" i="23"/>
  <c r="AH63" i="23"/>
  <c r="AH99" i="23"/>
  <c r="AH147" i="23"/>
  <c r="AH189" i="23"/>
  <c r="AH237" i="23"/>
  <c r="AH290" i="23"/>
  <c r="AH326" i="23"/>
  <c r="AH362" i="23"/>
  <c r="AH398" i="23"/>
  <c r="AH434" i="23"/>
  <c r="AH470" i="23"/>
  <c r="AH506" i="23"/>
  <c r="AH548" i="23"/>
  <c r="AH551" i="23"/>
  <c r="AH310" i="23"/>
  <c r="AH346" i="23"/>
  <c r="AH382" i="23"/>
  <c r="AH418" i="23"/>
  <c r="AH454" i="23"/>
  <c r="AH490" i="23"/>
  <c r="AH526" i="23"/>
  <c r="AH562" i="23"/>
  <c r="AH287" i="23"/>
  <c r="AH323" i="23"/>
  <c r="AH359" i="23"/>
  <c r="AH395" i="23"/>
  <c r="AH431" i="23"/>
  <c r="AH467" i="23"/>
  <c r="AH503" i="23"/>
  <c r="AH539" i="23"/>
  <c r="AH587" i="23"/>
  <c r="AH312" i="23"/>
  <c r="AH354" i="23"/>
  <c r="AH390" i="23"/>
  <c r="AH426" i="23"/>
  <c r="AH462" i="23"/>
  <c r="AH504" i="23"/>
  <c r="AH546" i="23"/>
  <c r="AH582" i="23"/>
  <c r="AH295" i="23"/>
  <c r="AH331" i="23"/>
  <c r="AH367" i="23"/>
  <c r="AH403" i="23"/>
  <c r="AH445" i="23"/>
  <c r="AH481" i="23"/>
  <c r="AH517" i="23"/>
  <c r="AH553" i="23"/>
  <c r="AH447" i="23"/>
  <c r="AH297" i="23"/>
  <c r="AH333" i="23"/>
  <c r="AH375" i="23"/>
  <c r="AH417" i="23"/>
  <c r="AH459" i="23"/>
  <c r="AH495" i="23"/>
  <c r="AH537" i="23"/>
  <c r="AH573" i="23"/>
  <c r="AH16" i="23"/>
  <c r="AH52" i="23"/>
  <c r="AH232" i="23"/>
  <c r="AH83" i="23"/>
  <c r="AH23" i="23"/>
  <c r="AH59" i="23"/>
  <c r="AH113" i="23"/>
  <c r="AH149" i="23"/>
  <c r="AH197" i="23"/>
  <c r="AH245" i="23"/>
  <c r="AH234" i="23"/>
  <c r="AH24" i="23"/>
  <c r="AH66" i="23"/>
  <c r="AH108" i="23"/>
  <c r="AH156" i="23"/>
  <c r="AH204" i="23"/>
  <c r="AH264" i="23"/>
  <c r="AH222" i="23"/>
  <c r="AH31" i="23"/>
  <c r="AH73" i="23"/>
  <c r="AH109" i="23"/>
  <c r="AH151" i="23"/>
  <c r="AH193" i="23"/>
  <c r="AH247" i="23"/>
  <c r="AH158" i="23"/>
  <c r="AH224" i="23"/>
  <c r="AH268" i="23"/>
  <c r="AH38" i="23"/>
  <c r="AH80" i="23"/>
  <c r="AH128" i="23"/>
  <c r="AH248" i="23"/>
  <c r="AH188" i="23"/>
  <c r="AH33" i="23"/>
  <c r="AH69" i="23"/>
  <c r="AH105" i="23"/>
  <c r="AH153" i="23"/>
  <c r="AH195" i="23"/>
  <c r="AH243" i="23"/>
  <c r="AH296" i="23"/>
  <c r="AH332" i="23"/>
  <c r="AH368" i="23"/>
  <c r="AH404" i="23"/>
  <c r="AH440" i="23"/>
  <c r="AH476" i="23"/>
  <c r="AH512" i="23"/>
  <c r="AH554" i="23"/>
  <c r="AH280" i="23"/>
  <c r="AH316" i="23"/>
  <c r="AH352" i="23"/>
  <c r="AH388" i="23"/>
  <c r="AH424" i="23"/>
  <c r="AH460" i="23"/>
  <c r="AH496" i="23"/>
  <c r="AH532" i="23"/>
  <c r="AH568" i="23"/>
  <c r="AH293" i="23"/>
  <c r="AH329" i="23"/>
  <c r="AH365" i="23"/>
  <c r="AH401" i="23"/>
  <c r="AH437" i="23"/>
  <c r="AH473" i="23"/>
  <c r="AH509" i="23"/>
  <c r="AH545" i="23"/>
  <c r="AH282" i="23"/>
  <c r="AH318" i="23"/>
  <c r="AH360" i="23"/>
  <c r="AH396" i="23"/>
  <c r="AH432" i="23"/>
  <c r="AH468" i="23"/>
  <c r="AH510" i="23"/>
  <c r="AH552" i="23"/>
  <c r="AH588" i="23"/>
  <c r="AH301" i="23"/>
  <c r="AH337" i="23"/>
  <c r="AH373" i="23"/>
  <c r="AH409" i="23"/>
  <c r="AH451" i="23"/>
  <c r="AH487" i="23"/>
  <c r="AH523" i="23"/>
  <c r="AH565" i="23"/>
  <c r="AH351" i="23"/>
  <c r="AH303" i="23"/>
  <c r="AH339" i="23"/>
  <c r="AH381" i="23"/>
  <c r="AH423" i="23"/>
  <c r="AH465" i="23"/>
  <c r="AH501" i="23"/>
  <c r="AH543" i="23"/>
  <c r="AH579" i="23"/>
  <c r="AH178" i="23"/>
  <c r="AH22" i="23"/>
  <c r="AH64" i="23"/>
  <c r="AH106" i="23"/>
  <c r="AH148" i="23"/>
  <c r="AH184" i="23"/>
  <c r="AH238" i="23"/>
  <c r="AH217" i="23"/>
  <c r="AH29" i="23"/>
  <c r="AH65" i="23"/>
  <c r="AH119" i="23"/>
  <c r="AH161" i="23"/>
  <c r="AH203" i="23"/>
  <c r="AH257" i="23"/>
  <c r="AH249" i="23"/>
  <c r="AH36" i="23"/>
  <c r="AH78" i="23"/>
  <c r="AH114" i="23"/>
  <c r="AH162" i="23"/>
  <c r="AH210" i="23"/>
  <c r="AH58" i="23"/>
  <c r="AH251" i="23"/>
  <c r="AH37" i="23"/>
  <c r="AH79" i="23"/>
  <c r="AH115" i="23"/>
  <c r="AH157" i="23"/>
  <c r="AH199" i="23"/>
  <c r="AH259" i="23"/>
  <c r="AH164" i="23"/>
  <c r="AH230" i="23"/>
  <c r="AH8" i="23"/>
  <c r="AH50" i="23"/>
  <c r="AH86" i="23"/>
  <c r="AH134" i="23"/>
  <c r="AH254" i="23"/>
  <c r="AH212" i="23"/>
  <c r="AH39" i="23"/>
  <c r="AH75" i="23"/>
  <c r="AH117" i="23"/>
  <c r="AH159" i="23"/>
  <c r="AH201" i="23"/>
  <c r="AH276" i="23"/>
  <c r="AH302" i="23"/>
  <c r="AH338" i="23"/>
  <c r="AH374" i="23"/>
  <c r="AH410" i="23"/>
  <c r="AH446" i="23"/>
  <c r="AH482" i="23"/>
  <c r="AH518" i="23"/>
  <c r="AH560" i="23"/>
  <c r="AH286" i="23"/>
  <c r="AH322" i="23"/>
  <c r="AH358" i="23"/>
  <c r="AH394" i="23"/>
  <c r="AH430" i="23"/>
  <c r="AH466" i="23"/>
  <c r="AH502" i="23"/>
  <c r="AH538" i="23"/>
  <c r="AH574" i="23"/>
  <c r="AH299" i="23"/>
  <c r="AH335" i="23"/>
  <c r="AH371" i="23"/>
  <c r="AH407" i="23"/>
  <c r="AH443" i="23"/>
  <c r="AH479" i="23"/>
  <c r="AH515" i="23"/>
  <c r="AH557" i="23"/>
  <c r="AH288" i="23"/>
  <c r="AH330" i="23"/>
  <c r="AH366" i="23"/>
  <c r="AH402" i="23"/>
  <c r="AH438" i="23"/>
  <c r="AH474" i="23"/>
  <c r="AH516" i="23"/>
  <c r="AH558" i="23"/>
  <c r="AH534" i="23"/>
  <c r="AH307" i="23"/>
  <c r="AH343" i="23"/>
  <c r="AH379" i="23"/>
  <c r="AH415" i="23"/>
  <c r="AH457" i="23"/>
  <c r="AH493" i="23"/>
  <c r="AH529" i="23"/>
  <c r="AH571" i="23"/>
  <c r="AH393" i="23"/>
  <c r="AH309" i="23"/>
  <c r="AH345" i="23"/>
  <c r="AH387" i="23"/>
  <c r="AH429" i="23"/>
  <c r="AH471" i="23"/>
  <c r="AH513" i="23"/>
  <c r="AH549" i="23"/>
  <c r="AH585" i="23"/>
  <c r="D47" i="80"/>
  <c r="N4" i="82" l="1"/>
  <c r="A1" i="23"/>
  <c r="AX4" i="128" l="1"/>
  <c r="AX41" i="128" s="1"/>
  <c r="AX4" i="131"/>
  <c r="D50" i="80"/>
  <c r="D147" i="80"/>
  <c r="D258" i="80"/>
  <c r="D106" i="80"/>
  <c r="AX96" i="128" l="1"/>
  <c r="D199" i="80"/>
  <c r="D59" i="80"/>
  <c r="D176" i="80"/>
  <c r="D179" i="80"/>
  <c r="D103" i="80"/>
  <c r="D221" i="80"/>
  <c r="D252" i="80"/>
  <c r="D110" i="80"/>
  <c r="D187" i="80"/>
  <c r="D137" i="80"/>
  <c r="D51" i="80"/>
  <c r="D197" i="80"/>
  <c r="D283" i="80"/>
  <c r="D127" i="80"/>
  <c r="D71" i="80"/>
  <c r="D22" i="80"/>
  <c r="D189" i="80"/>
  <c r="D216" i="80"/>
  <c r="D172" i="80"/>
  <c r="D41" i="80"/>
  <c r="D16" i="80"/>
  <c r="D72" i="80"/>
  <c r="D274" i="80"/>
  <c r="D241" i="80"/>
  <c r="D277" i="80"/>
  <c r="D255" i="80"/>
  <c r="D186" i="80"/>
  <c r="D31" i="80"/>
  <c r="D273" i="80"/>
  <c r="D56" i="80"/>
  <c r="D32" i="80"/>
  <c r="D160" i="80"/>
  <c r="D92" i="80"/>
  <c r="D68" i="80"/>
  <c r="D37" i="80"/>
  <c r="D286" i="80"/>
  <c r="D256" i="80"/>
  <c r="D152" i="80"/>
  <c r="D61" i="80"/>
  <c r="D135" i="80"/>
  <c r="D247" i="80"/>
  <c r="D192" i="80"/>
  <c r="D64" i="80"/>
  <c r="D285" i="80"/>
  <c r="D52" i="80"/>
  <c r="D46" i="80"/>
  <c r="D157" i="80"/>
  <c r="D219" i="80"/>
  <c r="D226" i="80"/>
  <c r="D60" i="80"/>
  <c r="D261" i="80"/>
  <c r="D156" i="80"/>
  <c r="D196" i="80"/>
  <c r="D182" i="80"/>
  <c r="D112" i="80"/>
  <c r="D167" i="80"/>
  <c r="D40" i="80"/>
  <c r="D94" i="80"/>
  <c r="D91" i="80"/>
  <c r="D66" i="80"/>
  <c r="D224" i="80"/>
  <c r="D177" i="80"/>
  <c r="D217" i="80"/>
  <c r="D80" i="80"/>
  <c r="D228" i="80"/>
  <c r="D166" i="80"/>
  <c r="D215" i="80"/>
  <c r="D136" i="80"/>
  <c r="D53" i="80"/>
  <c r="D117" i="80"/>
  <c r="D30" i="80"/>
  <c r="D45" i="80"/>
  <c r="D29" i="80"/>
  <c r="D265" i="80"/>
  <c r="D159" i="80"/>
  <c r="D173" i="80"/>
  <c r="D101" i="80"/>
  <c r="D39" i="80"/>
  <c r="D163" i="80"/>
  <c r="D142" i="80"/>
  <c r="D195" i="80"/>
  <c r="D129" i="80"/>
  <c r="D243" i="80"/>
  <c r="D205" i="80"/>
  <c r="D105" i="80"/>
  <c r="D33" i="80"/>
  <c r="D48" i="80"/>
  <c r="D251" i="80"/>
  <c r="D76" i="80"/>
  <c r="D13" i="80"/>
  <c r="D204" i="80"/>
  <c r="D74" i="80"/>
  <c r="D144" i="80"/>
  <c r="D118" i="80"/>
  <c r="D262" i="80"/>
  <c r="D222" i="80"/>
  <c r="D282" i="80"/>
  <c r="D238" i="80"/>
  <c r="D146" i="80"/>
  <c r="D180" i="80"/>
  <c r="D175" i="80"/>
  <c r="D90" i="80"/>
  <c r="D268" i="80"/>
  <c r="D165" i="80"/>
  <c r="D269" i="80"/>
  <c r="D109" i="80"/>
  <c r="D250" i="80"/>
  <c r="D65" i="80"/>
  <c r="D194" i="80"/>
  <c r="D84" i="80"/>
  <c r="D149" i="80"/>
  <c r="D183" i="80"/>
  <c r="D203" i="80"/>
  <c r="D174" i="80"/>
  <c r="D233" i="80"/>
  <c r="D288" i="80"/>
  <c r="D151" i="80"/>
  <c r="D54" i="80"/>
  <c r="D123" i="80"/>
  <c r="D211" i="80"/>
  <c r="D236" i="80"/>
  <c r="D93" i="80"/>
  <c r="D83" i="80"/>
  <c r="D279" i="80"/>
  <c r="D58" i="80"/>
  <c r="D249" i="80"/>
  <c r="D107" i="80"/>
  <c r="D202" i="80"/>
  <c r="D140" i="80"/>
  <c r="D275" i="80"/>
  <c r="D280" i="80"/>
  <c r="D81" i="80"/>
  <c r="D209" i="80"/>
  <c r="D161" i="80"/>
  <c r="D188" i="80"/>
  <c r="D264" i="80"/>
  <c r="D14" i="80"/>
  <c r="D153" i="80"/>
  <c r="D150" i="80"/>
  <c r="D193" i="80"/>
  <c r="D245" i="80"/>
  <c r="D96" i="80"/>
  <c r="D99" i="80"/>
  <c r="D190" i="80"/>
  <c r="D34" i="80"/>
  <c r="D231" i="80"/>
  <c r="D126" i="80"/>
  <c r="D169" i="80"/>
  <c r="D18" i="80"/>
  <c r="D21" i="80"/>
  <c r="D210" i="80"/>
  <c r="D230" i="80"/>
  <c r="D208" i="80"/>
  <c r="D248" i="80"/>
  <c r="D132" i="80"/>
  <c r="D213" i="80"/>
  <c r="D223" i="80"/>
  <c r="D20" i="80"/>
  <c r="D102" i="80"/>
  <c r="D281" i="80"/>
  <c r="D171" i="80"/>
  <c r="D246" i="80"/>
  <c r="D240" i="80"/>
  <c r="D25" i="80"/>
  <c r="D278" i="80"/>
  <c r="D242" i="80"/>
  <c r="D98" i="80"/>
  <c r="D115" i="80"/>
  <c r="D124" i="80"/>
  <c r="D55" i="80"/>
  <c r="D97" i="80"/>
  <c r="D104" i="80"/>
  <c r="D276" i="80"/>
  <c r="D181" i="80"/>
  <c r="D133" i="80"/>
  <c r="D43" i="80"/>
  <c r="D141" i="80"/>
  <c r="D88" i="80"/>
  <c r="D229" i="80"/>
  <c r="D78" i="80"/>
  <c r="D218" i="80"/>
  <c r="D257" i="80"/>
  <c r="D87" i="80"/>
  <c r="D263" i="80"/>
  <c r="D148" i="80"/>
  <c r="D108" i="80"/>
  <c r="D82" i="80"/>
  <c r="D28" i="80"/>
  <c r="D57" i="80"/>
  <c r="D134" i="80"/>
  <c r="D24" i="80"/>
  <c r="D130" i="80"/>
  <c r="D38" i="80"/>
  <c r="D42" i="80"/>
  <c r="D170" i="80"/>
  <c r="D206" i="80"/>
  <c r="D121" i="80"/>
  <c r="D237" i="80"/>
  <c r="D125" i="80"/>
  <c r="D86" i="80"/>
  <c r="D184" i="80"/>
  <c r="D234" i="80"/>
  <c r="D178" i="80"/>
  <c r="D128" i="80"/>
  <c r="D290" i="80"/>
  <c r="D85" i="80"/>
  <c r="D19" i="80"/>
  <c r="D122" i="80"/>
  <c r="D212" i="80"/>
  <c r="D67" i="80"/>
  <c r="D270" i="80"/>
  <c r="D75" i="80"/>
  <c r="D35" i="80"/>
  <c r="D113" i="80"/>
  <c r="D95" i="80"/>
  <c r="D289" i="80"/>
  <c r="D100" i="80"/>
  <c r="D168" i="80"/>
  <c r="D272" i="80"/>
  <c r="D232" i="80"/>
  <c r="D271" i="80"/>
  <c r="D89" i="80"/>
  <c r="D111" i="80"/>
  <c r="D266" i="80"/>
  <c r="D73" i="80"/>
  <c r="D139" i="80"/>
  <c r="D36" i="80"/>
  <c r="D164" i="80"/>
  <c r="D198" i="80"/>
  <c r="D200" i="80"/>
  <c r="D225" i="80"/>
  <c r="D284" i="80"/>
  <c r="D287" i="80"/>
  <c r="D62" i="80"/>
  <c r="D114" i="80"/>
  <c r="D131" i="80"/>
  <c r="D267" i="80"/>
  <c r="D77" i="80"/>
  <c r="D244" i="80"/>
  <c r="D143" i="80"/>
  <c r="D259" i="80"/>
  <c r="D239" i="80"/>
  <c r="D207" i="80"/>
  <c r="D15" i="80"/>
  <c r="D191" i="80"/>
  <c r="D162" i="80"/>
  <c r="D23" i="80"/>
  <c r="D27" i="80"/>
  <c r="D185" i="80"/>
  <c r="D44" i="80"/>
  <c r="D145" i="80"/>
  <c r="D63" i="80"/>
  <c r="D17" i="80"/>
  <c r="D235" i="80"/>
  <c r="D254" i="80"/>
  <c r="D116" i="80"/>
  <c r="D260" i="80"/>
  <c r="D220" i="80"/>
  <c r="D227" i="80"/>
  <c r="D201" i="80"/>
  <c r="D158" i="80"/>
  <c r="D26" i="80"/>
  <c r="AE8" i="98" l="1"/>
  <c r="S8" i="92" s="1"/>
  <c r="AE9" i="98"/>
  <c r="S9" i="92" s="1"/>
  <c r="AE10" i="98"/>
  <c r="S10" i="92" s="1"/>
  <c r="AE11" i="98"/>
  <c r="S11" i="92" s="1"/>
  <c r="AE12" i="98"/>
  <c r="S12" i="92" s="1"/>
  <c r="AE13" i="98"/>
  <c r="S13" i="92" s="1"/>
  <c r="AE14" i="98"/>
  <c r="S14" i="92" s="1"/>
  <c r="AE15" i="98"/>
  <c r="S15" i="92" s="1"/>
  <c r="AE16" i="98"/>
  <c r="S16" i="92" s="1"/>
  <c r="AE17" i="98"/>
  <c r="S17" i="92" s="1"/>
  <c r="AE18" i="98"/>
  <c r="S18" i="92" s="1"/>
  <c r="AE19" i="98"/>
  <c r="S19" i="92" s="1"/>
  <c r="AE20" i="98"/>
  <c r="S20" i="92" s="1"/>
  <c r="AE21" i="98"/>
  <c r="S21" i="92" s="1"/>
  <c r="AE22" i="98"/>
  <c r="S22" i="92" s="1"/>
  <c r="AE23" i="98"/>
  <c r="S23" i="92" s="1"/>
  <c r="AE24" i="98"/>
  <c r="S24" i="92" s="1"/>
  <c r="AE25" i="98"/>
  <c r="S25" i="92" s="1"/>
  <c r="AE26" i="98"/>
  <c r="S26" i="92" s="1"/>
  <c r="AE27" i="98"/>
  <c r="S27" i="92" s="1"/>
  <c r="AE28" i="98"/>
  <c r="S28" i="92" s="1"/>
  <c r="AE29" i="98"/>
  <c r="S29" i="92" s="1"/>
  <c r="AE30" i="98"/>
  <c r="S30" i="92" s="1"/>
  <c r="AE31" i="98"/>
  <c r="S31" i="92" s="1"/>
  <c r="AE32" i="98"/>
  <c r="S32" i="92" s="1"/>
  <c r="AE33" i="98"/>
  <c r="S33" i="92" s="1"/>
  <c r="AE34" i="98"/>
  <c r="S34" i="92" s="1"/>
  <c r="AE35" i="98"/>
  <c r="S35" i="92" s="1"/>
  <c r="AE36" i="98"/>
  <c r="S36" i="92" s="1"/>
  <c r="AE7" i="98"/>
  <c r="S7" i="92" s="1"/>
  <c r="BI9" i="107"/>
  <c r="BI10" i="107"/>
  <c r="BI12" i="107"/>
  <c r="BI13" i="107"/>
  <c r="BI14" i="107"/>
  <c r="BI15" i="107"/>
  <c r="BI16" i="107"/>
  <c r="BI17" i="107"/>
  <c r="BI18" i="107"/>
  <c r="B2" i="98"/>
  <c r="P2" i="107" l="1"/>
  <c r="D38" i="108"/>
  <c r="D39" i="108"/>
  <c r="D40" i="108"/>
  <c r="D41" i="108"/>
  <c r="D42" i="108"/>
  <c r="D43" i="108"/>
  <c r="D37" i="108"/>
  <c r="D41" i="92" l="1"/>
  <c r="D40" i="92"/>
  <c r="D39" i="92"/>
  <c r="D38" i="92"/>
  <c r="D37" i="92"/>
  <c r="W7" i="92"/>
  <c r="V7" i="92"/>
  <c r="D43" i="92"/>
  <c r="D42" i="92"/>
  <c r="A63" i="78" l="1"/>
  <c r="B63" i="78" s="1"/>
  <c r="A64" i="78"/>
  <c r="B64" i="78" s="1"/>
  <c r="A65" i="78"/>
  <c r="B65" i="78" s="1"/>
  <c r="A66" i="78"/>
  <c r="B66" i="78" s="1"/>
  <c r="A67" i="78"/>
  <c r="B67" i="78" s="1"/>
  <c r="A68" i="78"/>
  <c r="B68" i="78" s="1"/>
  <c r="A69" i="78"/>
  <c r="B69" i="78" s="1"/>
  <c r="A70" i="78"/>
  <c r="B70" i="78" s="1"/>
  <c r="A71" i="78"/>
  <c r="B71" i="78" s="1"/>
  <c r="A72" i="78"/>
  <c r="B72" i="78" s="1"/>
  <c r="A73" i="78"/>
  <c r="B73" i="78" s="1"/>
  <c r="A62" i="78"/>
  <c r="H18" i="107"/>
  <c r="E43" i="121" s="1"/>
  <c r="H17" i="107"/>
  <c r="E42" i="121" s="1"/>
  <c r="H16" i="107"/>
  <c r="E41" i="121" s="1"/>
  <c r="H15" i="107"/>
  <c r="E40" i="121" s="1"/>
  <c r="H14" i="107"/>
  <c r="E39" i="121" s="1"/>
  <c r="H13" i="107"/>
  <c r="E38" i="121" s="1"/>
  <c r="E37" i="121"/>
  <c r="A2" i="109"/>
  <c r="A1" i="109"/>
  <c r="D48" i="108"/>
  <c r="A3" i="23"/>
  <c r="A3" i="124" s="1"/>
  <c r="B1" i="23"/>
  <c r="Z13" i="115" l="1"/>
  <c r="Z7" i="115"/>
  <c r="Z18" i="115"/>
  <c r="Z12" i="115"/>
  <c r="Z17" i="115"/>
  <c r="Z11" i="115"/>
  <c r="Z16" i="115"/>
  <c r="Z10" i="115"/>
  <c r="Z15" i="115"/>
  <c r="Z9" i="115"/>
  <c r="Z14" i="115"/>
  <c r="Z8" i="115"/>
  <c r="A3" i="123"/>
  <c r="D566" i="123"/>
  <c r="D440" i="123"/>
  <c r="D504" i="123"/>
  <c r="D478" i="123"/>
  <c r="D541" i="123"/>
  <c r="D585" i="123"/>
  <c r="D586" i="123"/>
  <c r="D482" i="123"/>
  <c r="D576" i="123"/>
  <c r="D464" i="123"/>
  <c r="D473" i="123"/>
  <c r="D495" i="123"/>
  <c r="D462" i="123"/>
  <c r="D588" i="123"/>
  <c r="D510" i="123"/>
  <c r="D484" i="123"/>
  <c r="D532" i="123"/>
  <c r="D573" i="123"/>
  <c r="D513" i="123"/>
  <c r="D571" i="123"/>
  <c r="D435" i="123"/>
  <c r="D556" i="123"/>
  <c r="D489" i="123"/>
  <c r="D548" i="123"/>
  <c r="D458" i="123"/>
  <c r="D296" i="123"/>
  <c r="D337" i="123"/>
  <c r="D378" i="123"/>
  <c r="D420" i="123"/>
  <c r="D298" i="124"/>
  <c r="D200" i="124"/>
  <c r="D249" i="124"/>
  <c r="D273" i="124"/>
  <c r="D270" i="124"/>
  <c r="D325" i="123"/>
  <c r="D366" i="123"/>
  <c r="D407" i="123"/>
  <c r="D203" i="124"/>
  <c r="D345" i="124"/>
  <c r="D206" i="124"/>
  <c r="D267" i="124"/>
  <c r="D318" i="124"/>
  <c r="D305" i="123"/>
  <c r="D346" i="123"/>
  <c r="D388" i="123"/>
  <c r="D123" i="124"/>
  <c r="D269" i="124"/>
  <c r="D291" i="124"/>
  <c r="D255" i="124"/>
  <c r="D300" i="123"/>
  <c r="D341" i="123"/>
  <c r="D382" i="123"/>
  <c r="D85" i="124"/>
  <c r="D224" i="124"/>
  <c r="D208" i="124"/>
  <c r="D320" i="124"/>
  <c r="D343" i="124"/>
  <c r="D321" i="123"/>
  <c r="D362" i="123"/>
  <c r="D404" i="123"/>
  <c r="D234" i="124"/>
  <c r="D313" i="124"/>
  <c r="D237" i="124"/>
  <c r="D247" i="124"/>
  <c r="D337" i="124"/>
  <c r="D322" i="123"/>
  <c r="D364" i="123"/>
  <c r="D405" i="123"/>
  <c r="D242" i="124"/>
  <c r="D295" i="124"/>
  <c r="D214" i="124"/>
  <c r="D279" i="124"/>
  <c r="D73" i="124"/>
  <c r="D118" i="124"/>
  <c r="D160" i="124"/>
  <c r="D521" i="124"/>
  <c r="D105" i="124"/>
  <c r="D149" i="124"/>
  <c r="D177" i="124"/>
  <c r="D83" i="124"/>
  <c r="D128" i="124"/>
  <c r="D169" i="124"/>
  <c r="D92" i="124"/>
  <c r="D135" i="124"/>
  <c r="D178" i="124"/>
  <c r="D78" i="124"/>
  <c r="D122" i="124"/>
  <c r="D180" i="124"/>
  <c r="D95" i="124"/>
  <c r="D138" i="124"/>
  <c r="D529" i="123"/>
  <c r="D444" i="123"/>
  <c r="D520" i="123"/>
  <c r="D560" i="123"/>
  <c r="D584" i="123"/>
  <c r="D546" i="123"/>
  <c r="D452" i="123"/>
  <c r="D518" i="123"/>
  <c r="D559" i="123"/>
  <c r="D549" i="123"/>
  <c r="D494" i="123"/>
  <c r="D446" i="123"/>
  <c r="D581" i="123"/>
  <c r="D477" i="123"/>
  <c r="D460" i="123"/>
  <c r="D426" i="123"/>
  <c r="D558" i="123"/>
  <c r="D476" i="123"/>
  <c r="D487" i="123"/>
  <c r="D469" i="123"/>
  <c r="D463" i="123"/>
  <c r="D496" i="123"/>
  <c r="D437" i="123"/>
  <c r="D517" i="123"/>
  <c r="D511" i="123"/>
  <c r="D303" i="123"/>
  <c r="D344" i="123"/>
  <c r="D385" i="123"/>
  <c r="D476" i="124"/>
  <c r="D346" i="124"/>
  <c r="D327" i="124"/>
  <c r="D264" i="124"/>
  <c r="D278" i="124"/>
  <c r="D10" i="123"/>
  <c r="D332" i="123"/>
  <c r="D373" i="123"/>
  <c r="D414" i="123"/>
  <c r="D258" i="124"/>
  <c r="D9" i="124"/>
  <c r="D211" i="124"/>
  <c r="D254" i="124"/>
  <c r="D253" i="124"/>
  <c r="D312" i="123"/>
  <c r="D353" i="123"/>
  <c r="D394" i="123"/>
  <c r="D167" i="124"/>
  <c r="D315" i="124"/>
  <c r="D222" i="124"/>
  <c r="D271" i="124"/>
  <c r="D306" i="123"/>
  <c r="D348" i="123"/>
  <c r="D389" i="123"/>
  <c r="D129" i="124"/>
  <c r="D207" i="124"/>
  <c r="D280" i="124"/>
  <c r="D188" i="124"/>
  <c r="D57" i="123"/>
  <c r="D328" i="123"/>
  <c r="D369" i="123"/>
  <c r="D410" i="123"/>
  <c r="D282" i="124"/>
  <c r="D192" i="124"/>
  <c r="D283" i="124"/>
  <c r="D310" i="124"/>
  <c r="D56" i="123"/>
  <c r="D329" i="123"/>
  <c r="D370" i="123"/>
  <c r="D412" i="123"/>
  <c r="D290" i="124"/>
  <c r="D229" i="124"/>
  <c r="D293" i="124"/>
  <c r="D317" i="124"/>
  <c r="D81" i="124"/>
  <c r="D126" i="124"/>
  <c r="D66" i="124"/>
  <c r="D112" i="124"/>
  <c r="D155" i="124"/>
  <c r="D158" i="124"/>
  <c r="D91" i="124"/>
  <c r="D134" i="124"/>
  <c r="D171" i="124"/>
  <c r="D99" i="124"/>
  <c r="D143" i="124"/>
  <c r="D186" i="124"/>
  <c r="D86" i="124"/>
  <c r="D6" i="124"/>
  <c r="D559" i="124"/>
  <c r="D102" i="124"/>
  <c r="D470" i="123"/>
  <c r="D445" i="123"/>
  <c r="D538" i="123"/>
  <c r="D552" i="123"/>
  <c r="D537" i="123"/>
  <c r="D430" i="123"/>
  <c r="D542" i="123"/>
  <c r="D575" i="123"/>
  <c r="D562" i="123"/>
  <c r="D481" i="123"/>
  <c r="D522" i="123"/>
  <c r="D530" i="123"/>
  <c r="D578" i="123"/>
  <c r="D527" i="123"/>
  <c r="D498" i="123"/>
  <c r="D422" i="123"/>
  <c r="D425" i="123"/>
  <c r="D568" i="123"/>
  <c r="D439" i="123"/>
  <c r="D461" i="123"/>
  <c r="D506" i="123"/>
  <c r="D583" i="123"/>
  <c r="D428" i="123"/>
  <c r="D509" i="123"/>
  <c r="D574" i="123"/>
  <c r="D310" i="123"/>
  <c r="D351" i="123"/>
  <c r="D392" i="123"/>
  <c r="D108" i="124"/>
  <c r="D217" i="124"/>
  <c r="D259" i="124"/>
  <c r="D199" i="124"/>
  <c r="D307" i="124"/>
  <c r="D297" i="123"/>
  <c r="D338" i="123"/>
  <c r="D380" i="123"/>
  <c r="D421" i="123"/>
  <c r="D306" i="124"/>
  <c r="D341" i="124"/>
  <c r="D212" i="124"/>
  <c r="D339" i="124"/>
  <c r="D302" i="124"/>
  <c r="D319" i="123"/>
  <c r="D360" i="123"/>
  <c r="D401" i="123"/>
  <c r="D219" i="124"/>
  <c r="D5" i="124"/>
  <c r="D194" i="124"/>
  <c r="D347" i="124"/>
  <c r="D313" i="123"/>
  <c r="D354" i="123"/>
  <c r="D396" i="123"/>
  <c r="D173" i="124"/>
  <c r="D263" i="124"/>
  <c r="D231" i="124"/>
  <c r="D305" i="124"/>
  <c r="D294" i="123"/>
  <c r="D335" i="123"/>
  <c r="D376" i="123"/>
  <c r="D417" i="123"/>
  <c r="D330" i="124"/>
  <c r="D216" i="124"/>
  <c r="D223" i="124"/>
  <c r="D257" i="124"/>
  <c r="D295" i="123"/>
  <c r="D336" i="123"/>
  <c r="D377" i="123"/>
  <c r="D418" i="123"/>
  <c r="D338" i="124"/>
  <c r="D228" i="124"/>
  <c r="D248" i="124"/>
  <c r="D334" i="124"/>
  <c r="D89" i="124"/>
  <c r="D132" i="124"/>
  <c r="D174" i="124"/>
  <c r="D74" i="124"/>
  <c r="D119" i="124"/>
  <c r="D162" i="124"/>
  <c r="D240" i="124"/>
  <c r="D98" i="124"/>
  <c r="D142" i="124"/>
  <c r="D510" i="124"/>
  <c r="D7" i="124"/>
  <c r="D151" i="124"/>
  <c r="D165" i="124"/>
  <c r="D94" i="124"/>
  <c r="D136" i="124"/>
  <c r="D64" i="124"/>
  <c r="D109" i="124"/>
  <c r="D154" i="124"/>
  <c r="D448" i="123"/>
  <c r="D485" i="123"/>
  <c r="D526" i="123"/>
  <c r="D545" i="123"/>
  <c r="D505" i="123"/>
  <c r="D434" i="123"/>
  <c r="D468" i="123"/>
  <c r="D572" i="123"/>
  <c r="D493" i="123"/>
  <c r="D521" i="123"/>
  <c r="D499" i="123"/>
  <c r="D488" i="123"/>
  <c r="D543" i="123"/>
  <c r="D492" i="123"/>
  <c r="D567" i="123"/>
  <c r="D454" i="123"/>
  <c r="D508" i="123"/>
  <c r="D557" i="123"/>
  <c r="D500" i="123"/>
  <c r="D516" i="123"/>
  <c r="D512" i="123"/>
  <c r="D457" i="123"/>
  <c r="D479" i="123"/>
  <c r="D423" i="123"/>
  <c r="D501" i="123"/>
  <c r="D317" i="123"/>
  <c r="D358" i="123"/>
  <c r="D399" i="123"/>
  <c r="D153" i="124"/>
  <c r="D232" i="124"/>
  <c r="D226" i="124"/>
  <c r="D272" i="124"/>
  <c r="D230" i="124"/>
  <c r="D304" i="123"/>
  <c r="D345" i="123"/>
  <c r="D386" i="123"/>
  <c r="D69" i="124"/>
  <c r="D344" i="124"/>
  <c r="D245" i="124"/>
  <c r="D246" i="124"/>
  <c r="D311" i="124"/>
  <c r="D59" i="123"/>
  <c r="D326" i="123"/>
  <c r="D367" i="123"/>
  <c r="D408" i="123"/>
  <c r="D266" i="124"/>
  <c r="D215" i="124"/>
  <c r="D195" i="124"/>
  <c r="D325" i="124"/>
  <c r="D320" i="123"/>
  <c r="D361" i="123"/>
  <c r="D402" i="123"/>
  <c r="D227" i="124"/>
  <c r="D225" i="124"/>
  <c r="D287" i="124"/>
  <c r="D275" i="124"/>
  <c r="D301" i="123"/>
  <c r="D342" i="123"/>
  <c r="D383" i="123"/>
  <c r="D93" i="124"/>
  <c r="D304" i="124"/>
  <c r="D289" i="124"/>
  <c r="D288" i="124"/>
  <c r="D329" i="124"/>
  <c r="D302" i="123"/>
  <c r="D343" i="123"/>
  <c r="D384" i="123"/>
  <c r="D101" i="124"/>
  <c r="D294" i="124"/>
  <c r="D241" i="124"/>
  <c r="D286" i="124"/>
  <c r="D333" i="124"/>
  <c r="D96" i="124"/>
  <c r="D140" i="124"/>
  <c r="D182" i="124"/>
  <c r="D82" i="124"/>
  <c r="D127" i="124"/>
  <c r="D168" i="124"/>
  <c r="D473" i="124"/>
  <c r="D106" i="124"/>
  <c r="D150" i="124"/>
  <c r="D68" i="124"/>
  <c r="D114" i="124"/>
  <c r="D157" i="124"/>
  <c r="D166" i="124"/>
  <c r="D100" i="124"/>
  <c r="D144" i="124"/>
  <c r="D72" i="124"/>
  <c r="D117" i="124"/>
  <c r="D172" i="124"/>
  <c r="D332" i="124"/>
  <c r="D291" i="123"/>
  <c r="D438" i="123"/>
  <c r="D455" i="123"/>
  <c r="D480" i="123"/>
  <c r="D561" i="123"/>
  <c r="D534" i="123"/>
  <c r="D471" i="123"/>
  <c r="D429" i="123"/>
  <c r="D565" i="123"/>
  <c r="D525" i="123"/>
  <c r="D528" i="123"/>
  <c r="D450" i="123"/>
  <c r="D490" i="123"/>
  <c r="D453" i="123"/>
  <c r="D564" i="123"/>
  <c r="D465" i="123"/>
  <c r="D514" i="123"/>
  <c r="D533" i="123"/>
  <c r="D442" i="123"/>
  <c r="D432" i="123"/>
  <c r="D551" i="123"/>
  <c r="D569" i="123"/>
  <c r="D497" i="123"/>
  <c r="D447" i="123"/>
  <c r="D535" i="123"/>
  <c r="D540" i="123"/>
  <c r="D324" i="123"/>
  <c r="D365" i="123"/>
  <c r="D406" i="123"/>
  <c r="D196" i="124"/>
  <c r="D277" i="124"/>
  <c r="D265" i="124"/>
  <c r="D210" i="124"/>
  <c r="D321" i="124"/>
  <c r="D311" i="123"/>
  <c r="D352" i="123"/>
  <c r="D393" i="123"/>
  <c r="D116" i="124"/>
  <c r="D331" i="124"/>
  <c r="D4" i="124"/>
  <c r="D204" i="124"/>
  <c r="D238" i="124"/>
  <c r="D292" i="123"/>
  <c r="D333" i="123"/>
  <c r="D374" i="123"/>
  <c r="D415" i="123"/>
  <c r="D314" i="124"/>
  <c r="D256" i="124"/>
  <c r="D303" i="124"/>
  <c r="D58" i="123"/>
  <c r="D327" i="123"/>
  <c r="D368" i="123"/>
  <c r="D409" i="123"/>
  <c r="D274" i="124"/>
  <c r="D251" i="124"/>
  <c r="D239" i="124"/>
  <c r="D335" i="124"/>
  <c r="D308" i="123"/>
  <c r="D349" i="123"/>
  <c r="D390" i="123"/>
  <c r="D137" i="124"/>
  <c r="D319" i="124"/>
  <c r="D297" i="124"/>
  <c r="D209" i="124"/>
  <c r="D326" i="124"/>
  <c r="D309" i="123"/>
  <c r="D350" i="123"/>
  <c r="D391" i="123"/>
  <c r="D145" i="124"/>
  <c r="D233" i="124"/>
  <c r="D235" i="124"/>
  <c r="D323" i="124"/>
  <c r="D572" i="124"/>
  <c r="D104" i="124"/>
  <c r="D148" i="124"/>
  <c r="D185" i="124"/>
  <c r="D90" i="124"/>
  <c r="D133" i="124"/>
  <c r="D176" i="124"/>
  <c r="D67" i="124"/>
  <c r="D113" i="124"/>
  <c r="D156" i="124"/>
  <c r="D76" i="124"/>
  <c r="D121" i="124"/>
  <c r="D164" i="124"/>
  <c r="D62" i="124"/>
  <c r="D449" i="123"/>
  <c r="D472" i="123"/>
  <c r="D536" i="123"/>
  <c r="D582" i="123"/>
  <c r="D524" i="123"/>
  <c r="D486" i="123"/>
  <c r="D502" i="123"/>
  <c r="D570" i="123"/>
  <c r="D503" i="123"/>
  <c r="D466" i="123"/>
  <c r="D431" i="123"/>
  <c r="D553" i="123"/>
  <c r="D550" i="123"/>
  <c r="D424" i="123"/>
  <c r="D519" i="123"/>
  <c r="D577" i="123"/>
  <c r="D544" i="123"/>
  <c r="D580" i="123"/>
  <c r="D436" i="123"/>
  <c r="D456" i="123"/>
  <c r="D554" i="123"/>
  <c r="D441" i="123"/>
  <c r="D433" i="123"/>
  <c r="D474" i="123"/>
  <c r="D11" i="123"/>
  <c r="D330" i="123"/>
  <c r="D372" i="123"/>
  <c r="D413" i="123"/>
  <c r="D250" i="124"/>
  <c r="D197" i="124"/>
  <c r="D193" i="124"/>
  <c r="D301" i="124"/>
  <c r="D261" i="124"/>
  <c r="D318" i="123"/>
  <c r="D359" i="123"/>
  <c r="D400" i="123"/>
  <c r="D159" i="124"/>
  <c r="D328" i="124"/>
  <c r="D220" i="124"/>
  <c r="D285" i="124"/>
  <c r="D336" i="124"/>
  <c r="D298" i="123"/>
  <c r="D340" i="123"/>
  <c r="D381" i="123"/>
  <c r="D77" i="124"/>
  <c r="D299" i="124"/>
  <c r="D262" i="124"/>
  <c r="D309" i="124"/>
  <c r="D293" i="123"/>
  <c r="D334" i="123"/>
  <c r="D375" i="123"/>
  <c r="D416" i="123"/>
  <c r="D322" i="124"/>
  <c r="D312" i="124"/>
  <c r="D187" i="124"/>
  <c r="D281" i="124"/>
  <c r="D314" i="123"/>
  <c r="D356" i="123"/>
  <c r="D397" i="123"/>
  <c r="D181" i="124"/>
  <c r="D296" i="124"/>
  <c r="D218" i="124"/>
  <c r="D243" i="124"/>
  <c r="D342" i="124"/>
  <c r="D316" i="123"/>
  <c r="D357" i="123"/>
  <c r="D398" i="123"/>
  <c r="D189" i="124"/>
  <c r="D202" i="124"/>
  <c r="D201" i="124"/>
  <c r="D190" i="124"/>
  <c r="D65" i="124"/>
  <c r="D111" i="124"/>
  <c r="D13" i="124"/>
  <c r="D179" i="124"/>
  <c r="D97" i="124"/>
  <c r="D141" i="124"/>
  <c r="D184" i="124"/>
  <c r="D75" i="124"/>
  <c r="D120" i="124"/>
  <c r="D163" i="124"/>
  <c r="D84" i="124"/>
  <c r="D10" i="124"/>
  <c r="D170" i="124"/>
  <c r="D70" i="124"/>
  <c r="D115" i="124"/>
  <c r="D12" i="124"/>
  <c r="D88" i="124"/>
  <c r="D107" i="124"/>
  <c r="D547" i="123"/>
  <c r="D348" i="124"/>
  <c r="D539" i="123"/>
  <c r="D324" i="124"/>
  <c r="D299" i="123"/>
  <c r="D284" i="124"/>
  <c r="D323" i="123"/>
  <c r="D110" i="124"/>
  <c r="D363" i="123"/>
  <c r="D87" i="124"/>
  <c r="D443" i="123"/>
  <c r="D205" i="124"/>
  <c r="D57" i="124"/>
  <c r="D505" i="124"/>
  <c r="D111" i="123"/>
  <c r="D9" i="123"/>
  <c r="D575" i="124"/>
  <c r="D23" i="123"/>
  <c r="D133" i="123"/>
  <c r="D284" i="123"/>
  <c r="D426" i="124"/>
  <c r="D377" i="124"/>
  <c r="D183" i="123"/>
  <c r="D214" i="123"/>
  <c r="D12" i="123"/>
  <c r="D462" i="124"/>
  <c r="D389" i="124"/>
  <c r="D450" i="124"/>
  <c r="D282" i="123"/>
  <c r="D240" i="123"/>
  <c r="D168" i="123"/>
  <c r="D94" i="123"/>
  <c r="D172" i="123"/>
  <c r="D37" i="123"/>
  <c r="D189" i="123"/>
  <c r="D501" i="124"/>
  <c r="D20" i="124"/>
  <c r="D412" i="124"/>
  <c r="D103" i="123"/>
  <c r="D531" i="124"/>
  <c r="D382" i="124"/>
  <c r="D397" i="124"/>
  <c r="D352" i="124"/>
  <c r="D78" i="123"/>
  <c r="D244" i="123"/>
  <c r="D508" i="124"/>
  <c r="D248" i="123"/>
  <c r="D288" i="123"/>
  <c r="D260" i="123"/>
  <c r="D540" i="124"/>
  <c r="D452" i="124"/>
  <c r="D489" i="124"/>
  <c r="D180" i="123"/>
  <c r="D107" i="123"/>
  <c r="D441" i="124"/>
  <c r="D204" i="123"/>
  <c r="D581" i="124"/>
  <c r="D253" i="123"/>
  <c r="D175" i="123"/>
  <c r="D101" i="123"/>
  <c r="D433" i="124"/>
  <c r="D264" i="123"/>
  <c r="D196" i="123"/>
  <c r="D287" i="123"/>
  <c r="D39" i="124"/>
  <c r="D411" i="124"/>
  <c r="D110" i="123"/>
  <c r="D39" i="123"/>
  <c r="D573" i="124"/>
  <c r="D275" i="123"/>
  <c r="D435" i="124"/>
  <c r="D431" i="124"/>
  <c r="D370" i="124"/>
  <c r="D128" i="123"/>
  <c r="D47" i="123"/>
  <c r="D587" i="124"/>
  <c r="D15" i="123"/>
  <c r="D14" i="123"/>
  <c r="D69" i="123"/>
  <c r="D516" i="124"/>
  <c r="D481" i="124"/>
  <c r="D200" i="123"/>
  <c r="D229" i="123"/>
  <c r="D153" i="123"/>
  <c r="D463" i="124"/>
  <c r="D13" i="123"/>
  <c r="D28" i="124"/>
  <c r="D533" i="124"/>
  <c r="D104" i="123"/>
  <c r="D407" i="124"/>
  <c r="D125" i="123"/>
  <c r="D466" i="124"/>
  <c r="D459" i="124"/>
  <c r="D406" i="124"/>
  <c r="D474" i="124"/>
  <c r="D249" i="123"/>
  <c r="D401" i="124"/>
  <c r="D378" i="124"/>
  <c r="D436" i="124"/>
  <c r="D179" i="123"/>
  <c r="D22" i="124"/>
  <c r="D40" i="124"/>
  <c r="D216" i="123"/>
  <c r="D502" i="124"/>
  <c r="D267" i="123"/>
  <c r="D152" i="124"/>
  <c r="D563" i="123"/>
  <c r="D183" i="124"/>
  <c r="D555" i="123"/>
  <c r="D161" i="124"/>
  <c r="D475" i="123"/>
  <c r="D147" i="124"/>
  <c r="D307" i="123"/>
  <c r="D260" i="124"/>
  <c r="D403" i="123"/>
  <c r="D236" i="124"/>
  <c r="D459" i="123"/>
  <c r="D395" i="123"/>
  <c r="D42" i="124"/>
  <c r="D54" i="123"/>
  <c r="D261" i="123"/>
  <c r="D274" i="123"/>
  <c r="D112" i="123"/>
  <c r="D188" i="123"/>
  <c r="D40" i="123"/>
  <c r="D206" i="123"/>
  <c r="D371" i="124"/>
  <c r="D535" i="124"/>
  <c r="D415" i="124"/>
  <c r="D121" i="123"/>
  <c r="D21" i="124"/>
  <c r="D427" i="124"/>
  <c r="D361" i="124"/>
  <c r="D477" i="124"/>
  <c r="D199" i="123"/>
  <c r="D280" i="123"/>
  <c r="D75" i="123"/>
  <c r="D368" i="124"/>
  <c r="D527" i="124"/>
  <c r="D169" i="123"/>
  <c r="D96" i="123"/>
  <c r="D363" i="124"/>
  <c r="D579" i="124"/>
  <c r="D84" i="123"/>
  <c r="D33" i="123"/>
  <c r="D529" i="124"/>
  <c r="D487" i="124"/>
  <c r="D503" i="124"/>
  <c r="D38" i="123"/>
  <c r="D230" i="123"/>
  <c r="D154" i="123"/>
  <c r="D79" i="123"/>
  <c r="D25" i="124"/>
  <c r="D31" i="123"/>
  <c r="D173" i="123"/>
  <c r="D373" i="124"/>
  <c r="D517" i="124"/>
  <c r="D159" i="123"/>
  <c r="D85" i="123"/>
  <c r="D403" i="124"/>
  <c r="D515" i="124"/>
  <c r="D440" i="124"/>
  <c r="D398" i="124"/>
  <c r="D21" i="123"/>
  <c r="D82" i="123"/>
  <c r="D357" i="124"/>
  <c r="D405" i="124"/>
  <c r="D176" i="123"/>
  <c r="D102" i="123"/>
  <c r="D551" i="124"/>
  <c r="D26" i="124"/>
  <c r="D27" i="123"/>
  <c r="D34" i="123"/>
  <c r="D184" i="123"/>
  <c r="D447" i="124"/>
  <c r="D187" i="123"/>
  <c r="D511" i="124"/>
  <c r="D495" i="124"/>
  <c r="D355" i="124"/>
  <c r="D7" i="123"/>
  <c r="D201" i="123"/>
  <c r="D129" i="123"/>
  <c r="D205" i="123"/>
  <c r="D247" i="123"/>
  <c r="D222" i="123"/>
  <c r="D530" i="124"/>
  <c r="D545" i="124"/>
  <c r="D416" i="124"/>
  <c r="D138" i="123"/>
  <c r="D379" i="124"/>
  <c r="D514" i="124"/>
  <c r="D221" i="123"/>
  <c r="D18" i="123"/>
  <c r="D584" i="124"/>
  <c r="D497" i="124"/>
  <c r="D496" i="124"/>
  <c r="D499" i="124"/>
  <c r="D134" i="123"/>
  <c r="D518" i="124"/>
  <c r="D34" i="124"/>
  <c r="D51" i="124"/>
  <c r="D24" i="123"/>
  <c r="D555" i="124"/>
  <c r="D583" i="124"/>
  <c r="D237" i="123"/>
  <c r="D106" i="123"/>
  <c r="D386" i="124"/>
  <c r="D542" i="124"/>
  <c r="D239" i="123"/>
  <c r="D50" i="124"/>
  <c r="D135" i="123"/>
  <c r="D80" i="124"/>
  <c r="D579" i="123"/>
  <c r="D387" i="123"/>
  <c r="D316" i="124"/>
  <c r="D379" i="123"/>
  <c r="D515" i="123"/>
  <c r="D300" i="124"/>
  <c r="D451" i="123"/>
  <c r="D125" i="124"/>
  <c r="D427" i="123"/>
  <c r="D103" i="124"/>
  <c r="D221" i="124"/>
  <c r="D38" i="124"/>
  <c r="D490" i="124"/>
  <c r="D215" i="123"/>
  <c r="D164" i="123"/>
  <c r="D90" i="123"/>
  <c r="D442" i="124"/>
  <c r="D353" i="124"/>
  <c r="D185" i="123"/>
  <c r="D113" i="123"/>
  <c r="D27" i="124"/>
  <c r="D369" i="124"/>
  <c r="D99" i="123"/>
  <c r="D262" i="123"/>
  <c r="D460" i="124"/>
  <c r="D438" i="124"/>
  <c r="D470" i="124"/>
  <c r="D375" i="124"/>
  <c r="D534" i="124"/>
  <c r="D51" i="123"/>
  <c r="D227" i="123"/>
  <c r="D380" i="124"/>
  <c r="D151" i="123"/>
  <c r="D76" i="123"/>
  <c r="D356" i="124"/>
  <c r="D19" i="124"/>
  <c r="D482" i="124"/>
  <c r="D60" i="123"/>
  <c r="D156" i="123"/>
  <c r="D354" i="124"/>
  <c r="D418" i="124"/>
  <c r="D182" i="123"/>
  <c r="D139" i="123"/>
  <c r="D290" i="123"/>
  <c r="D471" i="124"/>
  <c r="D506" i="124"/>
  <c r="D19" i="123"/>
  <c r="D80" i="123"/>
  <c r="D372" i="124"/>
  <c r="D16" i="124"/>
  <c r="D66" i="123"/>
  <c r="D29" i="123"/>
  <c r="D160" i="123"/>
  <c r="D467" i="124"/>
  <c r="D31" i="124"/>
  <c r="D53" i="123"/>
  <c r="D233" i="123"/>
  <c r="D22" i="123"/>
  <c r="D28" i="123"/>
  <c r="D83" i="123"/>
  <c r="D32" i="123"/>
  <c r="D30" i="124"/>
  <c r="D564" i="124"/>
  <c r="D520" i="124"/>
  <c r="D163" i="123"/>
  <c r="D89" i="123"/>
  <c r="D544" i="124"/>
  <c r="D574" i="124"/>
  <c r="D410" i="124"/>
  <c r="D554" i="124"/>
  <c r="D231" i="123"/>
  <c r="D181" i="123"/>
  <c r="D108" i="123"/>
  <c r="D44" i="124"/>
  <c r="D392" i="124"/>
  <c r="D202" i="123"/>
  <c r="D130" i="123"/>
  <c r="D566" i="124"/>
  <c r="D404" i="124"/>
  <c r="D117" i="123"/>
  <c r="D276" i="123"/>
  <c r="D541" i="124"/>
  <c r="D528" i="124"/>
  <c r="D65" i="123"/>
  <c r="D74" i="123"/>
  <c r="D52" i="124"/>
  <c r="D532" i="124"/>
  <c r="D18" i="124"/>
  <c r="D385" i="124"/>
  <c r="D50" i="123"/>
  <c r="D569" i="124"/>
  <c r="D488" i="124"/>
  <c r="D365" i="124"/>
  <c r="D396" i="124"/>
  <c r="D186" i="123"/>
  <c r="D61" i="124"/>
  <c r="D157" i="123"/>
  <c r="D553" i="124"/>
  <c r="D17" i="124"/>
  <c r="D158" i="123"/>
  <c r="D167" i="123"/>
  <c r="D444" i="124"/>
  <c r="D359" i="124"/>
  <c r="D124" i="124"/>
  <c r="D340" i="124"/>
  <c r="D339" i="123"/>
  <c r="D175" i="124"/>
  <c r="D331" i="123"/>
  <c r="D531" i="123"/>
  <c r="D139" i="124"/>
  <c r="D491" i="123"/>
  <c r="D276" i="124"/>
  <c r="D467" i="123"/>
  <c r="D252" i="124"/>
  <c r="D63" i="124"/>
  <c r="D429" i="124"/>
  <c r="D388" i="124"/>
  <c r="D576" i="124"/>
  <c r="D71" i="123"/>
  <c r="D8" i="123"/>
  <c r="D390" i="124"/>
  <c r="D165" i="123"/>
  <c r="D91" i="123"/>
  <c r="D60" i="124"/>
  <c r="D37" i="124"/>
  <c r="D413" i="124"/>
  <c r="D245" i="123"/>
  <c r="D174" i="123"/>
  <c r="D100" i="123"/>
  <c r="D523" i="124"/>
  <c r="D234" i="123"/>
  <c r="D558" i="124"/>
  <c r="D251" i="123"/>
  <c r="D208" i="123"/>
  <c r="D136" i="123"/>
  <c r="D485" i="124"/>
  <c r="D285" i="123"/>
  <c r="D228" i="123"/>
  <c r="D152" i="123"/>
  <c r="D469" i="124"/>
  <c r="D374" i="124"/>
  <c r="D144" i="123"/>
  <c r="D63" i="123"/>
  <c r="D383" i="124"/>
  <c r="D509" i="124"/>
  <c r="D538" i="124"/>
  <c r="D443" i="124"/>
  <c r="D44" i="123"/>
  <c r="D212" i="123"/>
  <c r="D423" i="124"/>
  <c r="D140" i="123"/>
  <c r="D242" i="123"/>
  <c r="D41" i="124"/>
  <c r="D46" i="124"/>
  <c r="D419" i="124"/>
  <c r="D220" i="123"/>
  <c r="D147" i="123"/>
  <c r="D67" i="123"/>
  <c r="D364" i="124"/>
  <c r="D461" i="124"/>
  <c r="D255" i="123"/>
  <c r="D273" i="123"/>
  <c r="D142" i="123"/>
  <c r="D478" i="124"/>
  <c r="D54" i="124"/>
  <c r="D61" i="123"/>
  <c r="D155" i="123"/>
  <c r="D556" i="124"/>
  <c r="D376" i="124"/>
  <c r="D149" i="123"/>
  <c r="D70" i="123"/>
  <c r="D393" i="124"/>
  <c r="D428" i="124"/>
  <c r="D381" i="124"/>
  <c r="D55" i="124"/>
  <c r="D59" i="124"/>
  <c r="D504" i="124"/>
  <c r="D86" i="123"/>
  <c r="D42" i="123"/>
  <c r="D562" i="124"/>
  <c r="D432" i="124"/>
  <c r="D109" i="123"/>
  <c r="D552" i="124"/>
  <c r="D561" i="124"/>
  <c r="D35" i="124"/>
  <c r="D257" i="123"/>
  <c r="D190" i="123"/>
  <c r="D118" i="123"/>
  <c r="D422" i="124"/>
  <c r="D268" i="123"/>
  <c r="D588" i="124"/>
  <c r="D250" i="123"/>
  <c r="D48" i="124"/>
  <c r="D524" i="124"/>
  <c r="D219" i="123"/>
  <c r="D498" i="124"/>
  <c r="D543" i="124"/>
  <c r="D126" i="123"/>
  <c r="D507" i="124"/>
  <c r="D105" i="123"/>
  <c r="D114" i="123"/>
  <c r="D446" i="124"/>
  <c r="D4" i="123"/>
  <c r="D560" i="124"/>
  <c r="D549" i="124"/>
  <c r="D6" i="123"/>
  <c r="D537" i="124"/>
  <c r="D289" i="123"/>
  <c r="D43" i="123"/>
  <c r="D130" i="124"/>
  <c r="D198" i="124"/>
  <c r="D347" i="123"/>
  <c r="D308" i="124"/>
  <c r="D315" i="123"/>
  <c r="D292" i="124"/>
  <c r="D419" i="123"/>
  <c r="D507" i="123"/>
  <c r="D8" i="124"/>
  <c r="D483" i="123"/>
  <c r="D71" i="124"/>
  <c r="D213" i="124"/>
  <c r="D246" i="123"/>
  <c r="D565" i="124"/>
  <c r="D286" i="123"/>
  <c r="D223" i="123"/>
  <c r="D16" i="123"/>
  <c r="D491" i="124"/>
  <c r="D72" i="123"/>
  <c r="D5" i="123"/>
  <c r="D166" i="123"/>
  <c r="D493" i="124"/>
  <c r="D349" i="124"/>
  <c r="D20" i="123"/>
  <c r="D81" i="123"/>
  <c r="D350" i="124"/>
  <c r="D577" i="124"/>
  <c r="D455" i="124"/>
  <c r="D475" i="124"/>
  <c r="D193" i="123"/>
  <c r="D115" i="123"/>
  <c r="D408" i="124"/>
  <c r="D384" i="124"/>
  <c r="D209" i="123"/>
  <c r="D137" i="123"/>
  <c r="D585" i="124"/>
  <c r="D391" i="124"/>
  <c r="D35" i="123"/>
  <c r="D279" i="123"/>
  <c r="D217" i="123"/>
  <c r="D360" i="124"/>
  <c r="D25" i="123"/>
  <c r="D563" i="124"/>
  <c r="D265" i="123"/>
  <c r="D191" i="123"/>
  <c r="D119" i="123"/>
  <c r="D445" i="124"/>
  <c r="D45" i="123"/>
  <c r="D213" i="123"/>
  <c r="D141" i="123"/>
  <c r="D451" i="124"/>
  <c r="D366" i="124"/>
  <c r="D127" i="123"/>
  <c r="D46" i="123"/>
  <c r="D571" i="124"/>
  <c r="D367" i="124"/>
  <c r="D486" i="124"/>
  <c r="D417" i="124"/>
  <c r="D122" i="123"/>
  <c r="D277" i="123"/>
  <c r="D457" i="124"/>
  <c r="D480" i="124"/>
  <c r="D143" i="123"/>
  <c r="D62" i="123"/>
  <c r="D45" i="124"/>
  <c r="D582" i="124"/>
  <c r="D48" i="123"/>
  <c r="D26" i="123"/>
  <c r="D150" i="123"/>
  <c r="D519" i="124"/>
  <c r="D49" i="124"/>
  <c r="D258" i="123"/>
  <c r="D472" i="124"/>
  <c r="D526" i="124"/>
  <c r="D235" i="123"/>
  <c r="D161" i="123"/>
  <c r="D399" i="124"/>
  <c r="D87" i="123"/>
  <c r="D254" i="123"/>
  <c r="D454" i="124"/>
  <c r="D437" i="124"/>
  <c r="D578" i="124"/>
  <c r="D170" i="123"/>
  <c r="D97" i="123"/>
  <c r="D424" i="124"/>
  <c r="D281" i="123"/>
  <c r="D536" i="124"/>
  <c r="D548" i="124"/>
  <c r="D194" i="123"/>
  <c r="D207" i="123"/>
  <c r="D241" i="123"/>
  <c r="D146" i="123"/>
  <c r="D23" i="124"/>
  <c r="D266" i="123"/>
  <c r="D421" i="124"/>
  <c r="D434" i="124"/>
  <c r="D269" i="123"/>
  <c r="D550" i="124"/>
  <c r="D468" i="124"/>
  <c r="D525" i="124"/>
  <c r="D92" i="123"/>
  <c r="D145" i="123"/>
  <c r="D362" i="124"/>
  <c r="D479" i="124"/>
  <c r="D211" i="123"/>
  <c r="D395" i="124"/>
  <c r="D64" i="123"/>
  <c r="D43" i="124"/>
  <c r="D387" i="124"/>
  <c r="D146" i="124"/>
  <c r="D191" i="124"/>
  <c r="D523" i="123"/>
  <c r="D11" i="124"/>
  <c r="D355" i="123"/>
  <c r="D131" i="124"/>
  <c r="D371" i="123"/>
  <c r="D268" i="124"/>
  <c r="D411" i="123"/>
  <c r="D244" i="124"/>
  <c r="D587" i="123"/>
  <c r="D79" i="124"/>
  <c r="D24" i="124"/>
  <c r="D425" i="124"/>
  <c r="D210" i="123"/>
  <c r="D132" i="123"/>
  <c r="D402" i="124"/>
  <c r="D351" i="124"/>
  <c r="D224" i="123"/>
  <c r="D17" i="123"/>
  <c r="D73" i="123"/>
  <c r="D494" i="124"/>
  <c r="D271" i="123"/>
  <c r="D52" i="123"/>
  <c r="D232" i="123"/>
  <c r="D358" i="124"/>
  <c r="D448" i="124"/>
  <c r="D500" i="124"/>
  <c r="D56" i="124"/>
  <c r="D93" i="123"/>
  <c r="D256" i="123"/>
  <c r="D465" i="124"/>
  <c r="D259" i="123"/>
  <c r="D116" i="123"/>
  <c r="D41" i="123"/>
  <c r="D484" i="124"/>
  <c r="D400" i="124"/>
  <c r="D449" i="124"/>
  <c r="D197" i="123"/>
  <c r="D124" i="123"/>
  <c r="D36" i="124"/>
  <c r="D567" i="124"/>
  <c r="D53" i="124"/>
  <c r="D177" i="123"/>
  <c r="D98" i="123"/>
  <c r="D394" i="124"/>
  <c r="D557" i="124"/>
  <c r="D192" i="123"/>
  <c r="D120" i="123"/>
  <c r="D513" i="124"/>
  <c r="D547" i="124"/>
  <c r="D243" i="123"/>
  <c r="D270" i="123"/>
  <c r="D95" i="123"/>
  <c r="D409" i="124"/>
  <c r="D49" i="123"/>
  <c r="D570" i="124"/>
  <c r="D512" i="124"/>
  <c r="D263" i="123"/>
  <c r="D195" i="123"/>
  <c r="D430" i="124"/>
  <c r="D123" i="123"/>
  <c r="D278" i="123"/>
  <c r="D586" i="124"/>
  <c r="D47" i="124"/>
  <c r="D458" i="124"/>
  <c r="D203" i="123"/>
  <c r="D131" i="123"/>
  <c r="D580" i="124"/>
  <c r="D492" i="124"/>
  <c r="D29" i="124"/>
  <c r="D171" i="123"/>
  <c r="D539" i="124"/>
  <c r="D225" i="123"/>
  <c r="D148" i="123"/>
  <c r="D68" i="123"/>
  <c r="D15" i="124"/>
  <c r="D236" i="123"/>
  <c r="D162" i="123"/>
  <c r="D88" i="123"/>
  <c r="D546" i="124"/>
  <c r="D283" i="123"/>
  <c r="D77" i="123"/>
  <c r="D30" i="123"/>
  <c r="D522" i="124"/>
  <c r="D218" i="123"/>
  <c r="D464" i="124"/>
  <c r="D439" i="124"/>
  <c r="D414" i="124"/>
  <c r="D483" i="124"/>
  <c r="D198" i="123"/>
  <c r="D568" i="124"/>
  <c r="D32" i="124"/>
  <c r="D178" i="123"/>
  <c r="D272" i="123"/>
  <c r="D456" i="124"/>
  <c r="D453" i="124"/>
  <c r="D33" i="124"/>
  <c r="D238" i="123"/>
  <c r="D252" i="123"/>
  <c r="D36" i="123"/>
  <c r="D420" i="124"/>
  <c r="D226" i="123"/>
  <c r="C1" i="23"/>
  <c r="C3" i="23"/>
  <c r="D14" i="124" s="1"/>
  <c r="AL3" i="23"/>
  <c r="B62" i="78"/>
  <c r="E42" i="108"/>
  <c r="E42" i="114"/>
  <c r="E37" i="108"/>
  <c r="E37" i="114"/>
  <c r="E43" i="108"/>
  <c r="E43" i="114"/>
  <c r="E38" i="108"/>
  <c r="E38" i="114"/>
  <c r="E39" i="108"/>
  <c r="E39" i="114"/>
  <c r="E40" i="108"/>
  <c r="E40" i="114"/>
  <c r="E41" i="108"/>
  <c r="E41" i="114"/>
  <c r="A53" i="78"/>
  <c r="B53" i="78" s="1"/>
  <c r="A54" i="78"/>
  <c r="B54" i="78" s="1"/>
  <c r="A55" i="78"/>
  <c r="B55" i="78" s="1"/>
  <c r="A56" i="78"/>
  <c r="B56" i="78" s="1"/>
  <c r="A57" i="78"/>
  <c r="B57" i="78" s="1"/>
  <c r="A29" i="78"/>
  <c r="B29" i="78" s="1"/>
  <c r="A30" i="78"/>
  <c r="B30" i="78" s="1"/>
  <c r="A31" i="78"/>
  <c r="B31" i="78" s="1"/>
  <c r="A32" i="78"/>
  <c r="B32" i="78" s="1"/>
  <c r="A33" i="78"/>
  <c r="B33" i="78" s="1"/>
  <c r="A34" i="78"/>
  <c r="B34" i="78" s="1"/>
  <c r="A35" i="78"/>
  <c r="B35" i="78" s="1"/>
  <c r="A36" i="78"/>
  <c r="B36" i="78" s="1"/>
  <c r="A37" i="78"/>
  <c r="B37" i="78" s="1"/>
  <c r="A38" i="78"/>
  <c r="B38" i="78" s="1"/>
  <c r="A39" i="78"/>
  <c r="B39" i="78" s="1"/>
  <c r="A40" i="78"/>
  <c r="B40" i="78" s="1"/>
  <c r="A41" i="78"/>
  <c r="B41" i="78" s="1"/>
  <c r="A42" i="78"/>
  <c r="B42" i="78" s="1"/>
  <c r="A43" i="78"/>
  <c r="B43" i="78" s="1"/>
  <c r="A44" i="78"/>
  <c r="B44" i="78" s="1"/>
  <c r="A45" i="78"/>
  <c r="B45" i="78" s="1"/>
  <c r="A46" i="78"/>
  <c r="B46" i="78" s="1"/>
  <c r="A47" i="78"/>
  <c r="B47" i="78" s="1"/>
  <c r="A48" i="78"/>
  <c r="B48" i="78" s="1"/>
  <c r="A49" i="78"/>
  <c r="B49" i="78" s="1"/>
  <c r="A50" i="78"/>
  <c r="B50" i="78" s="1"/>
  <c r="A51" i="78"/>
  <c r="B51" i="78" s="1"/>
  <c r="A52" i="78"/>
  <c r="B52" i="78" s="1"/>
  <c r="C44" i="101"/>
  <c r="C43" i="101"/>
  <c r="C42" i="101"/>
  <c r="C41" i="101"/>
  <c r="C40" i="101"/>
  <c r="C39" i="101"/>
  <c r="C38" i="101"/>
  <c r="C37" i="101"/>
  <c r="C36" i="101"/>
  <c r="C35" i="101"/>
  <c r="C34" i="101"/>
  <c r="C33" i="101"/>
  <c r="C32" i="101"/>
  <c r="C31" i="101"/>
  <c r="C30" i="101"/>
  <c r="C29" i="101"/>
  <c r="C28" i="101"/>
  <c r="C27" i="101"/>
  <c r="C26" i="101"/>
  <c r="C25" i="101"/>
  <c r="C24" i="101"/>
  <c r="C23" i="101"/>
  <c r="I35" i="108" l="1"/>
  <c r="I41" i="108"/>
  <c r="I34" i="108"/>
  <c r="I40" i="108"/>
  <c r="I39" i="108"/>
  <c r="I38" i="108"/>
  <c r="I36" i="108"/>
  <c r="I42" i="108"/>
  <c r="I37" i="108"/>
  <c r="I7" i="108"/>
  <c r="I13" i="108"/>
  <c r="I19" i="108"/>
  <c r="I25" i="108"/>
  <c r="I31" i="108"/>
  <c r="I28" i="108"/>
  <c r="I11" i="108"/>
  <c r="I8" i="108"/>
  <c r="I14" i="108"/>
  <c r="I20" i="108"/>
  <c r="I26" i="108"/>
  <c r="I32" i="108"/>
  <c r="I16" i="108"/>
  <c r="I23" i="108"/>
  <c r="I9" i="108"/>
  <c r="I15" i="108"/>
  <c r="I21" i="108"/>
  <c r="I27" i="108"/>
  <c r="I33" i="108"/>
  <c r="I10" i="108"/>
  <c r="I29" i="108"/>
  <c r="I12" i="108"/>
  <c r="I18" i="108"/>
  <c r="I24" i="108"/>
  <c r="I30" i="108"/>
  <c r="I22" i="108"/>
  <c r="I17" i="108"/>
  <c r="Q17" i="128"/>
  <c r="Q15" i="128"/>
  <c r="Q13" i="128"/>
  <c r="Q9" i="128"/>
  <c r="Q11" i="128"/>
  <c r="Q7" i="128"/>
  <c r="Q18" i="128"/>
  <c r="Q12" i="128"/>
  <c r="Q10" i="128"/>
  <c r="Q14" i="128"/>
  <c r="Q16" i="128"/>
  <c r="Q8" i="128"/>
  <c r="D3" i="124"/>
  <c r="D3" i="123"/>
  <c r="D58" i="124"/>
  <c r="D55" i="123"/>
  <c r="B4" i="23"/>
  <c r="B4" i="124" s="1"/>
  <c r="B12" i="23"/>
  <c r="B12" i="124" s="1"/>
  <c r="B20" i="23"/>
  <c r="B20" i="124" s="1"/>
  <c r="B28" i="23"/>
  <c r="B28" i="124" s="1"/>
  <c r="B36" i="23"/>
  <c r="B36" i="124" s="1"/>
  <c r="B44" i="23"/>
  <c r="B44" i="124" s="1"/>
  <c r="B52" i="23"/>
  <c r="B52" i="124" s="1"/>
  <c r="B60" i="23"/>
  <c r="B60" i="124" s="1"/>
  <c r="B68" i="23"/>
  <c r="B68" i="124" s="1"/>
  <c r="B76" i="23"/>
  <c r="B76" i="124" s="1"/>
  <c r="B84" i="23"/>
  <c r="B84" i="124" s="1"/>
  <c r="B92" i="23"/>
  <c r="B92" i="124" s="1"/>
  <c r="B100" i="23"/>
  <c r="B100" i="124" s="1"/>
  <c r="B108" i="23"/>
  <c r="B108" i="124" s="1"/>
  <c r="B116" i="23"/>
  <c r="B116" i="124" s="1"/>
  <c r="B124" i="23"/>
  <c r="B124" i="124" s="1"/>
  <c r="B132" i="23"/>
  <c r="B132" i="124" s="1"/>
  <c r="B140" i="23"/>
  <c r="B140" i="124" s="1"/>
  <c r="B148" i="23"/>
  <c r="B148" i="124" s="1"/>
  <c r="B156" i="23"/>
  <c r="B156" i="124" s="1"/>
  <c r="B164" i="23"/>
  <c r="B164" i="124" s="1"/>
  <c r="B172" i="23"/>
  <c r="B172" i="124" s="1"/>
  <c r="B180" i="23"/>
  <c r="B180" i="124" s="1"/>
  <c r="B188" i="23"/>
  <c r="B188" i="124" s="1"/>
  <c r="B196" i="23"/>
  <c r="B196" i="124" s="1"/>
  <c r="B204" i="23"/>
  <c r="B204" i="124" s="1"/>
  <c r="B212" i="23"/>
  <c r="B212" i="124" s="1"/>
  <c r="B220" i="23"/>
  <c r="B220" i="124" s="1"/>
  <c r="B228" i="23"/>
  <c r="B228" i="124" s="1"/>
  <c r="B236" i="23"/>
  <c r="B236" i="124" s="1"/>
  <c r="B244" i="23"/>
  <c r="B244" i="124" s="1"/>
  <c r="B252" i="23"/>
  <c r="B252" i="124" s="1"/>
  <c r="B260" i="23"/>
  <c r="B260" i="124" s="1"/>
  <c r="B268" i="23"/>
  <c r="B268" i="124" s="1"/>
  <c r="B276" i="23"/>
  <c r="B276" i="124" s="1"/>
  <c r="B284" i="23"/>
  <c r="B284" i="124" s="1"/>
  <c r="B292" i="23"/>
  <c r="B300" i="23"/>
  <c r="B308" i="23"/>
  <c r="B316" i="23"/>
  <c r="B324" i="23"/>
  <c r="B332" i="23"/>
  <c r="B340" i="23"/>
  <c r="B348" i="23"/>
  <c r="B356" i="23"/>
  <c r="B364" i="23"/>
  <c r="B372" i="23"/>
  <c r="B380" i="23"/>
  <c r="B388" i="23"/>
  <c r="B396" i="23"/>
  <c r="B404" i="23"/>
  <c r="B412" i="23"/>
  <c r="B420" i="23"/>
  <c r="B428" i="23"/>
  <c r="B436" i="23"/>
  <c r="B444" i="23"/>
  <c r="B452" i="23"/>
  <c r="B460" i="23"/>
  <c r="B468" i="23"/>
  <c r="B476" i="23"/>
  <c r="B484" i="23"/>
  <c r="B492" i="23"/>
  <c r="B500" i="23"/>
  <c r="B508" i="23"/>
  <c r="B516" i="23"/>
  <c r="B524" i="23"/>
  <c r="B532" i="23"/>
  <c r="B540" i="23"/>
  <c r="B548" i="23"/>
  <c r="B556" i="23"/>
  <c r="B564" i="23"/>
  <c r="B572" i="23"/>
  <c r="B580" i="23"/>
  <c r="B588" i="23"/>
  <c r="B5" i="23"/>
  <c r="B5" i="124" s="1"/>
  <c r="B13" i="23"/>
  <c r="B13" i="124" s="1"/>
  <c r="B21" i="23"/>
  <c r="B21" i="124" s="1"/>
  <c r="B29" i="23"/>
  <c r="B29" i="124" s="1"/>
  <c r="B37" i="23"/>
  <c r="B37" i="124" s="1"/>
  <c r="B45" i="23"/>
  <c r="B45" i="124" s="1"/>
  <c r="B53" i="23"/>
  <c r="B53" i="124" s="1"/>
  <c r="B61" i="23"/>
  <c r="B61" i="124" s="1"/>
  <c r="B69" i="23"/>
  <c r="B69" i="124" s="1"/>
  <c r="B77" i="23"/>
  <c r="B77" i="124" s="1"/>
  <c r="B85" i="23"/>
  <c r="B85" i="124" s="1"/>
  <c r="B93" i="23"/>
  <c r="B93" i="124" s="1"/>
  <c r="B101" i="23"/>
  <c r="B101" i="124" s="1"/>
  <c r="B109" i="23"/>
  <c r="B109" i="124" s="1"/>
  <c r="B117" i="23"/>
  <c r="B117" i="124" s="1"/>
  <c r="B125" i="23"/>
  <c r="B125" i="124" s="1"/>
  <c r="B133" i="23"/>
  <c r="B133" i="124" s="1"/>
  <c r="B141" i="23"/>
  <c r="B141" i="124" s="1"/>
  <c r="B149" i="23"/>
  <c r="B149" i="124" s="1"/>
  <c r="B157" i="23"/>
  <c r="B157" i="124" s="1"/>
  <c r="B165" i="23"/>
  <c r="B165" i="124" s="1"/>
  <c r="B173" i="23"/>
  <c r="B173" i="124" s="1"/>
  <c r="B181" i="23"/>
  <c r="B181" i="124" s="1"/>
  <c r="B189" i="23"/>
  <c r="B189" i="124" s="1"/>
  <c r="B197" i="23"/>
  <c r="B197" i="124" s="1"/>
  <c r="B205" i="23"/>
  <c r="B205" i="124" s="1"/>
  <c r="B213" i="23"/>
  <c r="B213" i="124" s="1"/>
  <c r="B221" i="23"/>
  <c r="B221" i="124" s="1"/>
  <c r="B229" i="23"/>
  <c r="B229" i="124" s="1"/>
  <c r="B237" i="23"/>
  <c r="B237" i="124" s="1"/>
  <c r="B245" i="23"/>
  <c r="B245" i="124" s="1"/>
  <c r="B253" i="23"/>
  <c r="B253" i="124" s="1"/>
  <c r="B261" i="23"/>
  <c r="B261" i="124" s="1"/>
  <c r="B269" i="23"/>
  <c r="B269" i="124" s="1"/>
  <c r="B277" i="23"/>
  <c r="B277" i="124" s="1"/>
  <c r="B285" i="23"/>
  <c r="B285" i="124" s="1"/>
  <c r="B293" i="23"/>
  <c r="B301" i="23"/>
  <c r="B309" i="23"/>
  <c r="B317" i="23"/>
  <c r="B325" i="23"/>
  <c r="B333" i="23"/>
  <c r="B341" i="23"/>
  <c r="B349" i="23"/>
  <c r="B357" i="23"/>
  <c r="B365" i="23"/>
  <c r="B373" i="23"/>
  <c r="B381" i="23"/>
  <c r="B389" i="23"/>
  <c r="B397" i="23"/>
  <c r="B405" i="23"/>
  <c r="B413" i="23"/>
  <c r="B421" i="23"/>
  <c r="B429" i="23"/>
  <c r="B437" i="23"/>
  <c r="B445" i="23"/>
  <c r="B453" i="23"/>
  <c r="B461" i="23"/>
  <c r="B469" i="23"/>
  <c r="B477" i="23"/>
  <c r="B485" i="23"/>
  <c r="B493" i="23"/>
  <c r="B501" i="23"/>
  <c r="B509" i="23"/>
  <c r="B517" i="23"/>
  <c r="B525" i="23"/>
  <c r="B533" i="23"/>
  <c r="B541" i="23"/>
  <c r="B549" i="23"/>
  <c r="B557" i="23"/>
  <c r="B565" i="23"/>
  <c r="B573" i="23"/>
  <c r="B581" i="23"/>
  <c r="B6" i="23"/>
  <c r="B6" i="124" s="1"/>
  <c r="B14" i="23"/>
  <c r="B14" i="124" s="1"/>
  <c r="B22" i="23"/>
  <c r="B22" i="124" s="1"/>
  <c r="B30" i="23"/>
  <c r="B30" i="124" s="1"/>
  <c r="B38" i="23"/>
  <c r="B38" i="124" s="1"/>
  <c r="B46" i="23"/>
  <c r="B46" i="124" s="1"/>
  <c r="B54" i="23"/>
  <c r="B54" i="124" s="1"/>
  <c r="B62" i="23"/>
  <c r="B62" i="124" s="1"/>
  <c r="B70" i="23"/>
  <c r="B70" i="124" s="1"/>
  <c r="B78" i="23"/>
  <c r="B78" i="124" s="1"/>
  <c r="B86" i="23"/>
  <c r="B86" i="124" s="1"/>
  <c r="B94" i="23"/>
  <c r="B94" i="124" s="1"/>
  <c r="B102" i="23"/>
  <c r="B102" i="124" s="1"/>
  <c r="B110" i="23"/>
  <c r="B110" i="124" s="1"/>
  <c r="B118" i="23"/>
  <c r="B118" i="124" s="1"/>
  <c r="B126" i="23"/>
  <c r="B126" i="124" s="1"/>
  <c r="B134" i="23"/>
  <c r="B134" i="124" s="1"/>
  <c r="B142" i="23"/>
  <c r="B142" i="124" s="1"/>
  <c r="B150" i="23"/>
  <c r="B150" i="124" s="1"/>
  <c r="B158" i="23"/>
  <c r="B158" i="124" s="1"/>
  <c r="B166" i="23"/>
  <c r="B166" i="124" s="1"/>
  <c r="B174" i="23"/>
  <c r="B174" i="124" s="1"/>
  <c r="B182" i="23"/>
  <c r="B182" i="124" s="1"/>
  <c r="B190" i="23"/>
  <c r="B190" i="124" s="1"/>
  <c r="B198" i="23"/>
  <c r="B198" i="124" s="1"/>
  <c r="B206" i="23"/>
  <c r="B206" i="124" s="1"/>
  <c r="B214" i="23"/>
  <c r="B214" i="124" s="1"/>
  <c r="B222" i="23"/>
  <c r="B222" i="124" s="1"/>
  <c r="B230" i="23"/>
  <c r="B230" i="124" s="1"/>
  <c r="B238" i="23"/>
  <c r="B238" i="124" s="1"/>
  <c r="B246" i="23"/>
  <c r="B246" i="124" s="1"/>
  <c r="B254" i="23"/>
  <c r="B254" i="124" s="1"/>
  <c r="B262" i="23"/>
  <c r="B262" i="124" s="1"/>
  <c r="B270" i="23"/>
  <c r="B270" i="124" s="1"/>
  <c r="B278" i="23"/>
  <c r="B278" i="124" s="1"/>
  <c r="B286" i="23"/>
  <c r="B286" i="124" s="1"/>
  <c r="B294" i="23"/>
  <c r="B302" i="23"/>
  <c r="B310" i="23"/>
  <c r="B318" i="23"/>
  <c r="B326" i="23"/>
  <c r="B334" i="23"/>
  <c r="B342" i="23"/>
  <c r="B350" i="23"/>
  <c r="B358" i="23"/>
  <c r="B366" i="23"/>
  <c r="B374" i="23"/>
  <c r="B382" i="23"/>
  <c r="B390" i="23"/>
  <c r="B398" i="23"/>
  <c r="B406" i="23"/>
  <c r="B414" i="23"/>
  <c r="B422" i="23"/>
  <c r="B430" i="23"/>
  <c r="B438" i="23"/>
  <c r="B446" i="23"/>
  <c r="B454" i="23"/>
  <c r="B462" i="23"/>
  <c r="B470" i="23"/>
  <c r="B478" i="23"/>
  <c r="B486" i="23"/>
  <c r="B494" i="23"/>
  <c r="B502" i="23"/>
  <c r="B510" i="23"/>
  <c r="B518" i="23"/>
  <c r="B526" i="23"/>
  <c r="B534" i="23"/>
  <c r="B542" i="23"/>
  <c r="B550" i="23"/>
  <c r="B558" i="23"/>
  <c r="B566" i="23"/>
  <c r="B574" i="23"/>
  <c r="B582" i="23"/>
  <c r="B472" i="23"/>
  <c r="B584" i="23"/>
  <c r="B7" i="23"/>
  <c r="B7" i="124" s="1"/>
  <c r="B15" i="23"/>
  <c r="B15" i="124" s="1"/>
  <c r="B23" i="23"/>
  <c r="B23" i="124" s="1"/>
  <c r="B31" i="23"/>
  <c r="B31" i="124" s="1"/>
  <c r="B39" i="23"/>
  <c r="B39" i="124" s="1"/>
  <c r="B47" i="23"/>
  <c r="B47" i="124" s="1"/>
  <c r="B55" i="23"/>
  <c r="B55" i="124" s="1"/>
  <c r="B63" i="23"/>
  <c r="B63" i="124" s="1"/>
  <c r="B71" i="23"/>
  <c r="B71" i="124" s="1"/>
  <c r="B79" i="23"/>
  <c r="B79" i="124" s="1"/>
  <c r="B87" i="23"/>
  <c r="B87" i="124" s="1"/>
  <c r="B95" i="23"/>
  <c r="B95" i="124" s="1"/>
  <c r="B103" i="23"/>
  <c r="B103" i="124" s="1"/>
  <c r="B111" i="23"/>
  <c r="B111" i="124" s="1"/>
  <c r="B119" i="23"/>
  <c r="B119" i="124" s="1"/>
  <c r="B127" i="23"/>
  <c r="B127" i="124" s="1"/>
  <c r="B135" i="23"/>
  <c r="B135" i="124" s="1"/>
  <c r="B143" i="23"/>
  <c r="B143" i="124" s="1"/>
  <c r="B151" i="23"/>
  <c r="B151" i="124" s="1"/>
  <c r="B159" i="23"/>
  <c r="B159" i="124" s="1"/>
  <c r="B167" i="23"/>
  <c r="B167" i="124" s="1"/>
  <c r="B175" i="23"/>
  <c r="B175" i="124" s="1"/>
  <c r="B183" i="23"/>
  <c r="B183" i="124" s="1"/>
  <c r="B191" i="23"/>
  <c r="B191" i="124" s="1"/>
  <c r="B199" i="23"/>
  <c r="B199" i="124" s="1"/>
  <c r="B207" i="23"/>
  <c r="B207" i="124" s="1"/>
  <c r="B215" i="23"/>
  <c r="B215" i="124" s="1"/>
  <c r="B223" i="23"/>
  <c r="B223" i="124" s="1"/>
  <c r="B231" i="23"/>
  <c r="B231" i="124" s="1"/>
  <c r="B239" i="23"/>
  <c r="B239" i="124" s="1"/>
  <c r="B247" i="23"/>
  <c r="B247" i="124" s="1"/>
  <c r="B255" i="23"/>
  <c r="B255" i="124" s="1"/>
  <c r="B263" i="23"/>
  <c r="B263" i="124" s="1"/>
  <c r="B271" i="23"/>
  <c r="B271" i="124" s="1"/>
  <c r="B279" i="23"/>
  <c r="B279" i="124" s="1"/>
  <c r="B287" i="23"/>
  <c r="B287" i="124" s="1"/>
  <c r="B295" i="23"/>
  <c r="B303" i="23"/>
  <c r="B311" i="23"/>
  <c r="B319" i="23"/>
  <c r="B327" i="23"/>
  <c r="B335" i="23"/>
  <c r="B343" i="23"/>
  <c r="B351" i="23"/>
  <c r="B359" i="23"/>
  <c r="B367" i="23"/>
  <c r="B375" i="23"/>
  <c r="B383" i="23"/>
  <c r="B391" i="23"/>
  <c r="B399" i="23"/>
  <c r="B407" i="23"/>
  <c r="B415" i="23"/>
  <c r="B423" i="23"/>
  <c r="B431" i="23"/>
  <c r="B439" i="23"/>
  <c r="B447" i="23"/>
  <c r="B455" i="23"/>
  <c r="B463" i="23"/>
  <c r="B471" i="23"/>
  <c r="B479" i="23"/>
  <c r="B487" i="23"/>
  <c r="B495" i="23"/>
  <c r="B503" i="23"/>
  <c r="B511" i="23"/>
  <c r="B519" i="23"/>
  <c r="B527" i="23"/>
  <c r="B535" i="23"/>
  <c r="B543" i="23"/>
  <c r="B551" i="23"/>
  <c r="B559" i="23"/>
  <c r="B567" i="23"/>
  <c r="B575" i="23"/>
  <c r="B583" i="23"/>
  <c r="B480" i="23"/>
  <c r="B576" i="23"/>
  <c r="B569" i="23"/>
  <c r="B8" i="23"/>
  <c r="B8" i="124" s="1"/>
  <c r="B16" i="23"/>
  <c r="B16" i="124" s="1"/>
  <c r="B24" i="23"/>
  <c r="B24" i="124" s="1"/>
  <c r="B32" i="23"/>
  <c r="B32" i="124" s="1"/>
  <c r="B40" i="23"/>
  <c r="B40" i="124" s="1"/>
  <c r="B48" i="23"/>
  <c r="B48" i="124" s="1"/>
  <c r="B56" i="23"/>
  <c r="B56" i="124" s="1"/>
  <c r="B64" i="23"/>
  <c r="B64" i="124" s="1"/>
  <c r="B72" i="23"/>
  <c r="B72" i="124" s="1"/>
  <c r="B80" i="23"/>
  <c r="B80" i="124" s="1"/>
  <c r="B88" i="23"/>
  <c r="B88" i="124" s="1"/>
  <c r="B96" i="23"/>
  <c r="B96" i="124" s="1"/>
  <c r="B104" i="23"/>
  <c r="B104" i="124" s="1"/>
  <c r="B112" i="23"/>
  <c r="B112" i="124" s="1"/>
  <c r="B120" i="23"/>
  <c r="B120" i="124" s="1"/>
  <c r="B128" i="23"/>
  <c r="B128" i="124" s="1"/>
  <c r="B136" i="23"/>
  <c r="B136" i="124" s="1"/>
  <c r="B144" i="23"/>
  <c r="B144" i="124" s="1"/>
  <c r="B152" i="23"/>
  <c r="B152" i="124" s="1"/>
  <c r="B160" i="23"/>
  <c r="B160" i="124" s="1"/>
  <c r="B168" i="23"/>
  <c r="B168" i="124" s="1"/>
  <c r="B176" i="23"/>
  <c r="B176" i="124" s="1"/>
  <c r="B184" i="23"/>
  <c r="B184" i="124" s="1"/>
  <c r="B192" i="23"/>
  <c r="B192" i="124" s="1"/>
  <c r="B200" i="23"/>
  <c r="B200" i="124" s="1"/>
  <c r="B208" i="23"/>
  <c r="B208" i="124" s="1"/>
  <c r="B216" i="23"/>
  <c r="B216" i="124" s="1"/>
  <c r="B224" i="23"/>
  <c r="B224" i="124" s="1"/>
  <c r="B232" i="23"/>
  <c r="B232" i="124" s="1"/>
  <c r="B240" i="23"/>
  <c r="B240" i="124" s="1"/>
  <c r="B248" i="23"/>
  <c r="B248" i="124" s="1"/>
  <c r="B256" i="23"/>
  <c r="B256" i="124" s="1"/>
  <c r="B264" i="23"/>
  <c r="B264" i="124" s="1"/>
  <c r="B272" i="23"/>
  <c r="B272" i="124" s="1"/>
  <c r="B280" i="23"/>
  <c r="B280" i="124" s="1"/>
  <c r="B288" i="23"/>
  <c r="B296" i="23"/>
  <c r="B304" i="23"/>
  <c r="B312" i="23"/>
  <c r="B320" i="23"/>
  <c r="B328" i="23"/>
  <c r="B336" i="23"/>
  <c r="B344" i="23"/>
  <c r="B352" i="23"/>
  <c r="B360" i="23"/>
  <c r="B368" i="23"/>
  <c r="B376" i="23"/>
  <c r="B384" i="23"/>
  <c r="B392" i="23"/>
  <c r="B400" i="23"/>
  <c r="B408" i="23"/>
  <c r="B416" i="23"/>
  <c r="B424" i="23"/>
  <c r="B432" i="23"/>
  <c r="B440" i="23"/>
  <c r="B448" i="23"/>
  <c r="B456" i="23"/>
  <c r="B464" i="23"/>
  <c r="B488" i="23"/>
  <c r="B496" i="23"/>
  <c r="B504" i="23"/>
  <c r="B512" i="23"/>
  <c r="B520" i="23"/>
  <c r="B528" i="23"/>
  <c r="B536" i="23"/>
  <c r="B544" i="23"/>
  <c r="B552" i="23"/>
  <c r="B560" i="23"/>
  <c r="B568" i="23"/>
  <c r="B9" i="23"/>
  <c r="B9" i="124" s="1"/>
  <c r="B17" i="23"/>
  <c r="B17" i="124" s="1"/>
  <c r="B25" i="23"/>
  <c r="B25" i="124" s="1"/>
  <c r="B33" i="23"/>
  <c r="B33" i="124" s="1"/>
  <c r="B41" i="23"/>
  <c r="B41" i="124" s="1"/>
  <c r="B49" i="23"/>
  <c r="B49" i="124" s="1"/>
  <c r="B57" i="23"/>
  <c r="B57" i="124" s="1"/>
  <c r="B65" i="23"/>
  <c r="B65" i="124" s="1"/>
  <c r="B73" i="23"/>
  <c r="B73" i="124" s="1"/>
  <c r="B81" i="23"/>
  <c r="B81" i="124" s="1"/>
  <c r="B89" i="23"/>
  <c r="B89" i="124" s="1"/>
  <c r="B97" i="23"/>
  <c r="B97" i="124" s="1"/>
  <c r="B105" i="23"/>
  <c r="B105" i="124" s="1"/>
  <c r="B113" i="23"/>
  <c r="B113" i="124" s="1"/>
  <c r="B121" i="23"/>
  <c r="B121" i="124" s="1"/>
  <c r="B129" i="23"/>
  <c r="B129" i="124" s="1"/>
  <c r="B137" i="23"/>
  <c r="B137" i="124" s="1"/>
  <c r="B145" i="23"/>
  <c r="B145" i="124" s="1"/>
  <c r="B153" i="23"/>
  <c r="B153" i="124" s="1"/>
  <c r="B161" i="23"/>
  <c r="B161" i="124" s="1"/>
  <c r="B169" i="23"/>
  <c r="B169" i="124" s="1"/>
  <c r="B177" i="23"/>
  <c r="B177" i="124" s="1"/>
  <c r="B185" i="23"/>
  <c r="B185" i="124" s="1"/>
  <c r="B193" i="23"/>
  <c r="B193" i="124" s="1"/>
  <c r="B201" i="23"/>
  <c r="B201" i="124" s="1"/>
  <c r="B209" i="23"/>
  <c r="B209" i="124" s="1"/>
  <c r="B217" i="23"/>
  <c r="B217" i="124" s="1"/>
  <c r="B225" i="23"/>
  <c r="B225" i="124" s="1"/>
  <c r="B233" i="23"/>
  <c r="B233" i="124" s="1"/>
  <c r="B241" i="23"/>
  <c r="B241" i="124" s="1"/>
  <c r="B249" i="23"/>
  <c r="B249" i="124" s="1"/>
  <c r="B257" i="23"/>
  <c r="B257" i="124" s="1"/>
  <c r="B265" i="23"/>
  <c r="B265" i="124" s="1"/>
  <c r="B273" i="23"/>
  <c r="B273" i="124" s="1"/>
  <c r="B281" i="23"/>
  <c r="B281" i="124" s="1"/>
  <c r="B289" i="23"/>
  <c r="B297" i="23"/>
  <c r="B305" i="23"/>
  <c r="B313" i="23"/>
  <c r="B321" i="23"/>
  <c r="B329" i="23"/>
  <c r="B337" i="23"/>
  <c r="B345" i="23"/>
  <c r="B353" i="23"/>
  <c r="B361" i="23"/>
  <c r="B369" i="23"/>
  <c r="B377" i="23"/>
  <c r="B385" i="23"/>
  <c r="B393" i="23"/>
  <c r="B401" i="23"/>
  <c r="B409" i="23"/>
  <c r="B417" i="23"/>
  <c r="B425" i="23"/>
  <c r="B433" i="23"/>
  <c r="B441" i="23"/>
  <c r="B449" i="23"/>
  <c r="B457" i="23"/>
  <c r="B465" i="23"/>
  <c r="B473" i="23"/>
  <c r="B481" i="23"/>
  <c r="B489" i="23"/>
  <c r="B497" i="23"/>
  <c r="B505" i="23"/>
  <c r="B513" i="23"/>
  <c r="B521" i="23"/>
  <c r="B529" i="23"/>
  <c r="B537" i="23"/>
  <c r="B545" i="23"/>
  <c r="B553" i="23"/>
  <c r="B561" i="23"/>
  <c r="B577" i="23"/>
  <c r="B585" i="23"/>
  <c r="B10" i="23"/>
  <c r="B10" i="124" s="1"/>
  <c r="B18" i="23"/>
  <c r="B18" i="124" s="1"/>
  <c r="B26" i="23"/>
  <c r="B26" i="124" s="1"/>
  <c r="B34" i="23"/>
  <c r="B34" i="124" s="1"/>
  <c r="B42" i="23"/>
  <c r="B42" i="124" s="1"/>
  <c r="B50" i="23"/>
  <c r="B50" i="124" s="1"/>
  <c r="B58" i="23"/>
  <c r="B58" i="124" s="1"/>
  <c r="B66" i="23"/>
  <c r="B66" i="124" s="1"/>
  <c r="B74" i="23"/>
  <c r="B74" i="124" s="1"/>
  <c r="B82" i="23"/>
  <c r="B82" i="124" s="1"/>
  <c r="B90" i="23"/>
  <c r="B90" i="124" s="1"/>
  <c r="B98" i="23"/>
  <c r="B98" i="124" s="1"/>
  <c r="B106" i="23"/>
  <c r="B106" i="124" s="1"/>
  <c r="B114" i="23"/>
  <c r="B114" i="124" s="1"/>
  <c r="B122" i="23"/>
  <c r="B122" i="124" s="1"/>
  <c r="B130" i="23"/>
  <c r="B130" i="124" s="1"/>
  <c r="B138" i="23"/>
  <c r="B138" i="124" s="1"/>
  <c r="B146" i="23"/>
  <c r="B146" i="124" s="1"/>
  <c r="B154" i="23"/>
  <c r="B154" i="124" s="1"/>
  <c r="B162" i="23"/>
  <c r="B162" i="124" s="1"/>
  <c r="B170" i="23"/>
  <c r="B170" i="124" s="1"/>
  <c r="B178" i="23"/>
  <c r="B178" i="124" s="1"/>
  <c r="B186" i="23"/>
  <c r="B186" i="124" s="1"/>
  <c r="B194" i="23"/>
  <c r="B194" i="124" s="1"/>
  <c r="B202" i="23"/>
  <c r="B202" i="124" s="1"/>
  <c r="B210" i="23"/>
  <c r="B210" i="124" s="1"/>
  <c r="B218" i="23"/>
  <c r="B218" i="124" s="1"/>
  <c r="B226" i="23"/>
  <c r="B226" i="124" s="1"/>
  <c r="B234" i="23"/>
  <c r="B234" i="124" s="1"/>
  <c r="B242" i="23"/>
  <c r="B242" i="124" s="1"/>
  <c r="B250" i="23"/>
  <c r="B250" i="124" s="1"/>
  <c r="B258" i="23"/>
  <c r="B258" i="124" s="1"/>
  <c r="B266" i="23"/>
  <c r="B266" i="124" s="1"/>
  <c r="B274" i="23"/>
  <c r="B274" i="124" s="1"/>
  <c r="B282" i="23"/>
  <c r="B282" i="124" s="1"/>
  <c r="B290" i="23"/>
  <c r="B298" i="23"/>
  <c r="B306" i="23"/>
  <c r="B314" i="23"/>
  <c r="B322" i="23"/>
  <c r="B330" i="23"/>
  <c r="B338" i="23"/>
  <c r="B346" i="23"/>
  <c r="B354" i="23"/>
  <c r="B362" i="23"/>
  <c r="B370" i="23"/>
  <c r="B378" i="23"/>
  <c r="B386" i="23"/>
  <c r="B394" i="23"/>
  <c r="B402" i="23"/>
  <c r="B410" i="23"/>
  <c r="B418" i="23"/>
  <c r="B426" i="23"/>
  <c r="B434" i="23"/>
  <c r="B442" i="23"/>
  <c r="B450" i="23"/>
  <c r="B458" i="23"/>
  <c r="B466" i="23"/>
  <c r="B474" i="23"/>
  <c r="B482" i="23"/>
  <c r="B490" i="23"/>
  <c r="B498" i="23"/>
  <c r="B506" i="23"/>
  <c r="B514" i="23"/>
  <c r="B522" i="23"/>
  <c r="B530" i="23"/>
  <c r="B538" i="23"/>
  <c r="B546" i="23"/>
  <c r="B554" i="23"/>
  <c r="B562" i="23"/>
  <c r="B570" i="23"/>
  <c r="B578" i="23"/>
  <c r="B586" i="23"/>
  <c r="B11" i="23"/>
  <c r="B11" i="124" s="1"/>
  <c r="B19" i="23"/>
  <c r="B19" i="124" s="1"/>
  <c r="B27" i="23"/>
  <c r="B27" i="124" s="1"/>
  <c r="B35" i="23"/>
  <c r="B35" i="124" s="1"/>
  <c r="B43" i="23"/>
  <c r="B43" i="124" s="1"/>
  <c r="B51" i="23"/>
  <c r="B51" i="124" s="1"/>
  <c r="B59" i="23"/>
  <c r="B59" i="124" s="1"/>
  <c r="B67" i="23"/>
  <c r="B67" i="124" s="1"/>
  <c r="B75" i="23"/>
  <c r="B75" i="124" s="1"/>
  <c r="B83" i="23"/>
  <c r="B83" i="124" s="1"/>
  <c r="B91" i="23"/>
  <c r="B91" i="124" s="1"/>
  <c r="B99" i="23"/>
  <c r="B99" i="124" s="1"/>
  <c r="B115" i="23"/>
  <c r="B115" i="124" s="1"/>
  <c r="B179" i="23"/>
  <c r="B179" i="124" s="1"/>
  <c r="B243" i="23"/>
  <c r="B243" i="124" s="1"/>
  <c r="B307" i="23"/>
  <c r="B371" i="23"/>
  <c r="B435" i="23"/>
  <c r="B499" i="23"/>
  <c r="B563" i="23"/>
  <c r="B147" i="23"/>
  <c r="B147" i="124" s="1"/>
  <c r="B467" i="23"/>
  <c r="B155" i="23"/>
  <c r="B155" i="124" s="1"/>
  <c r="B475" i="23"/>
  <c r="B123" i="23"/>
  <c r="B123" i="124" s="1"/>
  <c r="B187" i="23"/>
  <c r="B187" i="124" s="1"/>
  <c r="B251" i="23"/>
  <c r="B251" i="124" s="1"/>
  <c r="B315" i="23"/>
  <c r="B379" i="23"/>
  <c r="B443" i="23"/>
  <c r="B507" i="23"/>
  <c r="B571" i="23"/>
  <c r="B211" i="23"/>
  <c r="B211" i="124" s="1"/>
  <c r="B403" i="23"/>
  <c r="B219" i="23"/>
  <c r="B219" i="124" s="1"/>
  <c r="B131" i="23"/>
  <c r="B131" i="124" s="1"/>
  <c r="B195" i="23"/>
  <c r="B195" i="124" s="1"/>
  <c r="B259" i="23"/>
  <c r="B259" i="124" s="1"/>
  <c r="B323" i="23"/>
  <c r="B387" i="23"/>
  <c r="B451" i="23"/>
  <c r="B515" i="23"/>
  <c r="B579" i="23"/>
  <c r="B275" i="23"/>
  <c r="B275" i="124" s="1"/>
  <c r="B347" i="23"/>
  <c r="B539" i="23"/>
  <c r="B139" i="23"/>
  <c r="B139" i="124" s="1"/>
  <c r="B203" i="23"/>
  <c r="B203" i="124" s="1"/>
  <c r="B267" i="23"/>
  <c r="B267" i="124" s="1"/>
  <c r="B331" i="23"/>
  <c r="B395" i="23"/>
  <c r="B459" i="23"/>
  <c r="B523" i="23"/>
  <c r="B587" i="23"/>
  <c r="B339" i="23"/>
  <c r="B531" i="23"/>
  <c r="B283" i="23"/>
  <c r="B283" i="124" s="1"/>
  <c r="B411" i="23"/>
  <c r="B163" i="23"/>
  <c r="B163" i="124" s="1"/>
  <c r="B227" i="23"/>
  <c r="B227" i="124" s="1"/>
  <c r="B291" i="23"/>
  <c r="B355" i="23"/>
  <c r="B419" i="23"/>
  <c r="B483" i="23"/>
  <c r="B547" i="23"/>
  <c r="B107" i="23"/>
  <c r="B107" i="124" s="1"/>
  <c r="B171" i="23"/>
  <c r="B171" i="124" s="1"/>
  <c r="B235" i="23"/>
  <c r="B235" i="124" s="1"/>
  <c r="B299" i="23"/>
  <c r="B363" i="23"/>
  <c r="B427" i="23"/>
  <c r="B491" i="23"/>
  <c r="B555" i="23"/>
  <c r="C62" i="78"/>
  <c r="N14" i="86"/>
  <c r="N13" i="86"/>
  <c r="N12" i="86"/>
  <c r="N11" i="86"/>
  <c r="N10" i="86"/>
  <c r="N9" i="86"/>
  <c r="N8" i="86"/>
  <c r="N7" i="86"/>
  <c r="N6" i="86"/>
  <c r="N5" i="86"/>
  <c r="N4" i="86"/>
  <c r="N3" i="86"/>
  <c r="N2" i="86"/>
  <c r="P9" i="131" l="1"/>
  <c r="X9" i="131" s="1"/>
  <c r="P14" i="131"/>
  <c r="X14" i="131" s="1"/>
  <c r="P10" i="131"/>
  <c r="X10" i="131" s="1"/>
  <c r="P8" i="131"/>
  <c r="X8" i="131" s="1"/>
  <c r="P13" i="131"/>
  <c r="X13" i="131" s="1"/>
  <c r="P11" i="131"/>
  <c r="X11" i="131" s="1"/>
  <c r="P12" i="131"/>
  <c r="X12" i="131" s="1"/>
  <c r="P15" i="131"/>
  <c r="X15" i="131" s="1"/>
  <c r="P7" i="131"/>
  <c r="P28" i="131"/>
  <c r="P35" i="131"/>
  <c r="P22" i="131"/>
  <c r="P29" i="131"/>
  <c r="P36" i="131"/>
  <c r="X36" i="131" s="1"/>
  <c r="P21" i="131"/>
  <c r="P34" i="131"/>
  <c r="P19" i="131"/>
  <c r="P20" i="131"/>
  <c r="P27" i="131"/>
  <c r="P18" i="131"/>
  <c r="P25" i="131"/>
  <c r="P26" i="131"/>
  <c r="P33" i="131"/>
  <c r="X33" i="131" s="1"/>
  <c r="P17" i="131"/>
  <c r="P24" i="131"/>
  <c r="P31" i="131"/>
  <c r="P32" i="131"/>
  <c r="P16" i="131"/>
  <c r="P23" i="131"/>
  <c r="X23" i="131" s="1"/>
  <c r="P30" i="131"/>
  <c r="P37" i="131"/>
  <c r="P38" i="131"/>
  <c r="J7" i="108"/>
  <c r="K7" i="108" s="1"/>
  <c r="Q29" i="115"/>
  <c r="P29" i="115" s="1"/>
  <c r="Q19" i="115"/>
  <c r="P19" i="115" s="1"/>
  <c r="Q38" i="115"/>
  <c r="P38" i="115" s="1"/>
  <c r="Q22" i="115"/>
  <c r="P22" i="115" s="1"/>
  <c r="Q23" i="115"/>
  <c r="P23" i="115" s="1"/>
  <c r="Q39" i="115"/>
  <c r="P39" i="115" s="1"/>
  <c r="Q30" i="115"/>
  <c r="P30" i="115" s="1"/>
  <c r="Q33" i="115"/>
  <c r="P33" i="115" s="1"/>
  <c r="Q40" i="115"/>
  <c r="P40" i="115" s="1"/>
  <c r="Q24" i="115"/>
  <c r="P24" i="115" s="1"/>
  <c r="Q27" i="115"/>
  <c r="P27" i="115" s="1"/>
  <c r="Q32" i="115"/>
  <c r="P32" i="115" s="1"/>
  <c r="Q28" i="115"/>
  <c r="P28" i="115" s="1"/>
  <c r="Q37" i="115"/>
  <c r="P37" i="115" s="1"/>
  <c r="Q34" i="115"/>
  <c r="P34" i="115" s="1"/>
  <c r="Q21" i="115"/>
  <c r="P21" i="115" s="1"/>
  <c r="Q26" i="115"/>
  <c r="P26" i="115" s="1"/>
  <c r="Q31" i="115"/>
  <c r="P31" i="115" s="1"/>
  <c r="Q42" i="115"/>
  <c r="P42" i="115" s="1"/>
  <c r="Q41" i="115"/>
  <c r="P41" i="115" s="1"/>
  <c r="Q20" i="115"/>
  <c r="P20" i="115" s="1"/>
  <c r="Q25" i="115"/>
  <c r="P25" i="115" s="1"/>
  <c r="Q36" i="115"/>
  <c r="P36" i="115" s="1"/>
  <c r="Q35" i="115"/>
  <c r="P35" i="115" s="1"/>
  <c r="P42" i="131"/>
  <c r="P39" i="131"/>
  <c r="P40" i="131"/>
  <c r="P41" i="131"/>
  <c r="AN18" i="108"/>
  <c r="AN9" i="108"/>
  <c r="AN11" i="108"/>
  <c r="AN12" i="108"/>
  <c r="AN23" i="108"/>
  <c r="AN28" i="108"/>
  <c r="AN29" i="108"/>
  <c r="AN16" i="108"/>
  <c r="AN31" i="108"/>
  <c r="AN10" i="108"/>
  <c r="AN32" i="108"/>
  <c r="AN25" i="108"/>
  <c r="AN17" i="108"/>
  <c r="AN33" i="108"/>
  <c r="AN26" i="108"/>
  <c r="AN19" i="108"/>
  <c r="AN22" i="108"/>
  <c r="AN27" i="108"/>
  <c r="AN20" i="108"/>
  <c r="AN13" i="108"/>
  <c r="AN30" i="108"/>
  <c r="AN21" i="108"/>
  <c r="AN14" i="108"/>
  <c r="AN24" i="108"/>
  <c r="AN15" i="108"/>
  <c r="AN8" i="108"/>
  <c r="AN7" i="108"/>
  <c r="CK42" i="108"/>
  <c r="AE42" i="108"/>
  <c r="DF42" i="108"/>
  <c r="CP42" i="108"/>
  <c r="CU42" i="108"/>
  <c r="DL42" i="108"/>
  <c r="AE40" i="108"/>
  <c r="CK40" i="108"/>
  <c r="CU40" i="108"/>
  <c r="DL40" i="108"/>
  <c r="DF40" i="108"/>
  <c r="CP40" i="108"/>
  <c r="DF36" i="108"/>
  <c r="CP36" i="108"/>
  <c r="CK36" i="108"/>
  <c r="AE36" i="108"/>
  <c r="CU36" i="108"/>
  <c r="DL36" i="108"/>
  <c r="CK34" i="108"/>
  <c r="AE34" i="108"/>
  <c r="CU34" i="108"/>
  <c r="DL34" i="108"/>
  <c r="DF34" i="108"/>
  <c r="CP34" i="108"/>
  <c r="CP38" i="108"/>
  <c r="DF38" i="108"/>
  <c r="CK38" i="108"/>
  <c r="AE38" i="108"/>
  <c r="CU38" i="108"/>
  <c r="DL38" i="108"/>
  <c r="CK41" i="108"/>
  <c r="AE41" i="108"/>
  <c r="CU41" i="108"/>
  <c r="DL41" i="108"/>
  <c r="DF41" i="108"/>
  <c r="CP41" i="108"/>
  <c r="DL39" i="108"/>
  <c r="CP39" i="108"/>
  <c r="DF39" i="108"/>
  <c r="CK39" i="108"/>
  <c r="AE39" i="108"/>
  <c r="CU39" i="108"/>
  <c r="AE37" i="108"/>
  <c r="CK37" i="108"/>
  <c r="CU37" i="108"/>
  <c r="DL37" i="108"/>
  <c r="CP37" i="108"/>
  <c r="DF37" i="108"/>
  <c r="CP35" i="108"/>
  <c r="DF35" i="108"/>
  <c r="CK35" i="108"/>
  <c r="AE35" i="108"/>
  <c r="CU35" i="108"/>
  <c r="DL35" i="108"/>
  <c r="AN38" i="108"/>
  <c r="AN37" i="108"/>
  <c r="AN34" i="108"/>
  <c r="AN42" i="108"/>
  <c r="AN39" i="108"/>
  <c r="AN41" i="108"/>
  <c r="AN36" i="108"/>
  <c r="AN40" i="108"/>
  <c r="AN35" i="108"/>
  <c r="CP21" i="108"/>
  <c r="DF21" i="108"/>
  <c r="AE21" i="108"/>
  <c r="CK21" i="108"/>
  <c r="DL21" i="108"/>
  <c r="CU21" i="108"/>
  <c r="CU26" i="108"/>
  <c r="CK26" i="108"/>
  <c r="AE26" i="108"/>
  <c r="DF26" i="108"/>
  <c r="CP26" i="108"/>
  <c r="DL26" i="108"/>
  <c r="CU31" i="108"/>
  <c r="CP31" i="108"/>
  <c r="DF31" i="108"/>
  <c r="CK31" i="108"/>
  <c r="DL31" i="108"/>
  <c r="AE31" i="108"/>
  <c r="AI37" i="108"/>
  <c r="AJ37" i="108" s="1"/>
  <c r="J37" i="108"/>
  <c r="DM37" i="108"/>
  <c r="J42" i="108"/>
  <c r="AI42" i="108"/>
  <c r="AJ42" i="108" s="1"/>
  <c r="CV42" i="108" s="1"/>
  <c r="DM42" i="108"/>
  <c r="DF20" i="108"/>
  <c r="DL20" i="108"/>
  <c r="CK20" i="108"/>
  <c r="CU20" i="108"/>
  <c r="AE20" i="108"/>
  <c r="CP20" i="108"/>
  <c r="DF25" i="108"/>
  <c r="DL25" i="108"/>
  <c r="CP25" i="108"/>
  <c r="AE25" i="108"/>
  <c r="CK25" i="108"/>
  <c r="CU25" i="108"/>
  <c r="DM38" i="108"/>
  <c r="AI38" i="108"/>
  <c r="AJ38" i="108" s="1"/>
  <c r="J38" i="108"/>
  <c r="DM41" i="108"/>
  <c r="J41" i="108"/>
  <c r="AI41" i="108"/>
  <c r="AJ41" i="108" s="1"/>
  <c r="CV41" i="108" s="1"/>
  <c r="DF29" i="108"/>
  <c r="DL29" i="108"/>
  <c r="CU29" i="108"/>
  <c r="AE29" i="108"/>
  <c r="CK29" i="108"/>
  <c r="CP29" i="108"/>
  <c r="AE19" i="108"/>
  <c r="DF19" i="108"/>
  <c r="DL19" i="108"/>
  <c r="CP19" i="108"/>
  <c r="CK19" i="108"/>
  <c r="CU19" i="108"/>
  <c r="DM40" i="108"/>
  <c r="J40" i="108"/>
  <c r="AI40" i="108"/>
  <c r="AJ40" i="108" s="1"/>
  <c r="CK24" i="108"/>
  <c r="CP24" i="108"/>
  <c r="AE24" i="108"/>
  <c r="CU24" i="108"/>
  <c r="DF24" i="108"/>
  <c r="DL24" i="108"/>
  <c r="CK27" i="108"/>
  <c r="DF27" i="108"/>
  <c r="CP27" i="108"/>
  <c r="DL27" i="108"/>
  <c r="AE27" i="108"/>
  <c r="CU27" i="108"/>
  <c r="CP28" i="108"/>
  <c r="DF28" i="108"/>
  <c r="DL28" i="108"/>
  <c r="CK28" i="108"/>
  <c r="AE28" i="108"/>
  <c r="CU28" i="108"/>
  <c r="CP22" i="108"/>
  <c r="DL22" i="108"/>
  <c r="DF22" i="108"/>
  <c r="CK22" i="108"/>
  <c r="AE22" i="108"/>
  <c r="CU22" i="108"/>
  <c r="CP23" i="108"/>
  <c r="AE23" i="108"/>
  <c r="DL23" i="108"/>
  <c r="CK23" i="108"/>
  <c r="DF23" i="108"/>
  <c r="CU23" i="108"/>
  <c r="J36" i="108"/>
  <c r="AI36" i="108"/>
  <c r="AJ36" i="108" s="1"/>
  <c r="DM36" i="108"/>
  <c r="DF32" i="108"/>
  <c r="DL32" i="108"/>
  <c r="CU32" i="108"/>
  <c r="CK32" i="108"/>
  <c r="AE32" i="108"/>
  <c r="CP32" i="108"/>
  <c r="DM34" i="108"/>
  <c r="J34" i="108"/>
  <c r="AI34" i="108"/>
  <c r="AJ34" i="108" s="1"/>
  <c r="CP30" i="108"/>
  <c r="DL30" i="108"/>
  <c r="CK30" i="108"/>
  <c r="DF30" i="108"/>
  <c r="AE30" i="108"/>
  <c r="CU30" i="108"/>
  <c r="CK33" i="108"/>
  <c r="CU33" i="108"/>
  <c r="AE33" i="108"/>
  <c r="DF33" i="108"/>
  <c r="CP33" i="108"/>
  <c r="DL33" i="108"/>
  <c r="DM39" i="108"/>
  <c r="J39" i="108"/>
  <c r="AI39" i="108"/>
  <c r="AJ39" i="108" s="1"/>
  <c r="DM35" i="108"/>
  <c r="J35" i="108"/>
  <c r="AI35" i="108"/>
  <c r="AJ35" i="108" s="1"/>
  <c r="AI27" i="108"/>
  <c r="AJ27" i="108" s="1"/>
  <c r="DM27" i="108"/>
  <c r="J27" i="108"/>
  <c r="DM33" i="108"/>
  <c r="J33" i="108"/>
  <c r="AI33" i="108"/>
  <c r="AJ33" i="108" s="1"/>
  <c r="J32" i="108"/>
  <c r="AI32" i="108"/>
  <c r="AJ32" i="108" s="1"/>
  <c r="DM32" i="108"/>
  <c r="DM22" i="108"/>
  <c r="J22" i="108"/>
  <c r="AI22" i="108"/>
  <c r="AJ22" i="108" s="1"/>
  <c r="DM25" i="108"/>
  <c r="AI25" i="108"/>
  <c r="AJ25" i="108" s="1"/>
  <c r="J25" i="108"/>
  <c r="J30" i="108"/>
  <c r="AI30" i="108"/>
  <c r="AJ30" i="108" s="1"/>
  <c r="DM30" i="108"/>
  <c r="AI31" i="108"/>
  <c r="AJ31" i="108" s="1"/>
  <c r="CV31" i="108" s="1"/>
  <c r="DM31" i="108"/>
  <c r="J31" i="108"/>
  <c r="AI21" i="108"/>
  <c r="AJ21" i="108" s="1"/>
  <c r="DM21" i="108"/>
  <c r="J21" i="108"/>
  <c r="AI29" i="108"/>
  <c r="AJ29" i="108" s="1"/>
  <c r="DM29" i="108"/>
  <c r="J29" i="108"/>
  <c r="J24" i="108"/>
  <c r="K24" i="108" s="1"/>
  <c r="AI24" i="108"/>
  <c r="AJ24" i="108" s="1"/>
  <c r="DM24" i="108"/>
  <c r="J26" i="108"/>
  <c r="AI26" i="108"/>
  <c r="AJ26" i="108" s="1"/>
  <c r="DM26" i="108"/>
  <c r="J20" i="108"/>
  <c r="AI20" i="108"/>
  <c r="AJ20" i="108" s="1"/>
  <c r="DM20" i="108"/>
  <c r="J28" i="108"/>
  <c r="AI28" i="108"/>
  <c r="AJ28" i="108" s="1"/>
  <c r="DM28" i="108"/>
  <c r="DM23" i="108"/>
  <c r="J23" i="108"/>
  <c r="AI23" i="108"/>
  <c r="AJ23" i="108" s="1"/>
  <c r="DM19" i="108"/>
  <c r="AI19" i="108"/>
  <c r="AJ19" i="108" s="1"/>
  <c r="CV19" i="108" s="1"/>
  <c r="J19" i="108"/>
  <c r="K19" i="108" s="1"/>
  <c r="B292" i="124"/>
  <c r="C292" i="124" s="1"/>
  <c r="B298" i="124"/>
  <c r="C298" i="124" s="1"/>
  <c r="B304" i="124"/>
  <c r="C304" i="124" s="1"/>
  <c r="B310" i="124"/>
  <c r="C310" i="124" s="1"/>
  <c r="B316" i="124"/>
  <c r="C316" i="124" s="1"/>
  <c r="B322" i="124"/>
  <c r="C322" i="124" s="1"/>
  <c r="B328" i="124"/>
  <c r="C328" i="124" s="1"/>
  <c r="B334" i="124"/>
  <c r="C334" i="124" s="1"/>
  <c r="B340" i="124"/>
  <c r="C340" i="124" s="1"/>
  <c r="B346" i="124"/>
  <c r="C346" i="124" s="1"/>
  <c r="B352" i="124"/>
  <c r="C352" i="124" s="1"/>
  <c r="B358" i="124"/>
  <c r="C358" i="124" s="1"/>
  <c r="B364" i="124"/>
  <c r="C364" i="124" s="1"/>
  <c r="B370" i="124"/>
  <c r="C370" i="124" s="1"/>
  <c r="B376" i="124"/>
  <c r="C376" i="124" s="1"/>
  <c r="B382" i="124"/>
  <c r="C382" i="124" s="1"/>
  <c r="B388" i="124"/>
  <c r="C388" i="124" s="1"/>
  <c r="B394" i="124"/>
  <c r="C394" i="124" s="1"/>
  <c r="B400" i="124"/>
  <c r="C400" i="124" s="1"/>
  <c r="B406" i="124"/>
  <c r="C406" i="124" s="1"/>
  <c r="B412" i="124"/>
  <c r="C412" i="124" s="1"/>
  <c r="B418" i="124"/>
  <c r="C418" i="124" s="1"/>
  <c r="B424" i="124"/>
  <c r="C424" i="124" s="1"/>
  <c r="B430" i="124"/>
  <c r="C430" i="124" s="1"/>
  <c r="B436" i="124"/>
  <c r="C436" i="124" s="1"/>
  <c r="B442" i="124"/>
  <c r="C442" i="124" s="1"/>
  <c r="B448" i="124"/>
  <c r="C448" i="124" s="1"/>
  <c r="B454" i="124"/>
  <c r="C454" i="124" s="1"/>
  <c r="B460" i="124"/>
  <c r="C460" i="124" s="1"/>
  <c r="B293" i="124"/>
  <c r="C293" i="124" s="1"/>
  <c r="B299" i="124"/>
  <c r="C299" i="124" s="1"/>
  <c r="B305" i="124"/>
  <c r="C305" i="124" s="1"/>
  <c r="B311" i="124"/>
  <c r="C311" i="124" s="1"/>
  <c r="B317" i="124"/>
  <c r="C317" i="124" s="1"/>
  <c r="B323" i="124"/>
  <c r="C323" i="124" s="1"/>
  <c r="B329" i="124"/>
  <c r="C329" i="124" s="1"/>
  <c r="B335" i="124"/>
  <c r="C335" i="124" s="1"/>
  <c r="B341" i="124"/>
  <c r="C341" i="124" s="1"/>
  <c r="B347" i="124"/>
  <c r="C347" i="124" s="1"/>
  <c r="B353" i="124"/>
  <c r="C353" i="124" s="1"/>
  <c r="B359" i="124"/>
  <c r="C359" i="124" s="1"/>
  <c r="B365" i="124"/>
  <c r="C365" i="124" s="1"/>
  <c r="B371" i="124"/>
  <c r="C371" i="124" s="1"/>
  <c r="B377" i="124"/>
  <c r="C377" i="124" s="1"/>
  <c r="B383" i="124"/>
  <c r="C383" i="124" s="1"/>
  <c r="B389" i="124"/>
  <c r="C389" i="124" s="1"/>
  <c r="B395" i="124"/>
  <c r="C395" i="124" s="1"/>
  <c r="B401" i="124"/>
  <c r="C401" i="124" s="1"/>
  <c r="B407" i="124"/>
  <c r="C407" i="124" s="1"/>
  <c r="B413" i="124"/>
  <c r="C413" i="124" s="1"/>
  <c r="B419" i="124"/>
  <c r="C419" i="124" s="1"/>
  <c r="B425" i="124"/>
  <c r="C425" i="124" s="1"/>
  <c r="B431" i="124"/>
  <c r="C431" i="124" s="1"/>
  <c r="B437" i="124"/>
  <c r="C437" i="124" s="1"/>
  <c r="B443" i="124"/>
  <c r="C443" i="124" s="1"/>
  <c r="B449" i="124"/>
  <c r="C449" i="124" s="1"/>
  <c r="B455" i="124"/>
  <c r="C455" i="124" s="1"/>
  <c r="B461" i="124"/>
  <c r="C461" i="124" s="1"/>
  <c r="B467" i="124"/>
  <c r="C467" i="124" s="1"/>
  <c r="B473" i="124"/>
  <c r="C473" i="124" s="1"/>
  <c r="B288" i="124"/>
  <c r="C288" i="124" s="1"/>
  <c r="B294" i="124"/>
  <c r="C294" i="124" s="1"/>
  <c r="B300" i="124"/>
  <c r="C300" i="124" s="1"/>
  <c r="B306" i="124"/>
  <c r="C306" i="124" s="1"/>
  <c r="B312" i="124"/>
  <c r="C312" i="124" s="1"/>
  <c r="B318" i="124"/>
  <c r="C318" i="124" s="1"/>
  <c r="B324" i="124"/>
  <c r="C324" i="124" s="1"/>
  <c r="B330" i="124"/>
  <c r="C330" i="124" s="1"/>
  <c r="B336" i="124"/>
  <c r="C336" i="124" s="1"/>
  <c r="B342" i="124"/>
  <c r="C342" i="124" s="1"/>
  <c r="B348" i="124"/>
  <c r="C348" i="124" s="1"/>
  <c r="B354" i="124"/>
  <c r="C354" i="124" s="1"/>
  <c r="B360" i="124"/>
  <c r="C360" i="124" s="1"/>
  <c r="B366" i="124"/>
  <c r="C366" i="124" s="1"/>
  <c r="B372" i="124"/>
  <c r="C372" i="124" s="1"/>
  <c r="B378" i="124"/>
  <c r="C378" i="124" s="1"/>
  <c r="B384" i="124"/>
  <c r="C384" i="124" s="1"/>
  <c r="B390" i="124"/>
  <c r="C390" i="124" s="1"/>
  <c r="B396" i="124"/>
  <c r="C396" i="124" s="1"/>
  <c r="B402" i="124"/>
  <c r="C402" i="124" s="1"/>
  <c r="B408" i="124"/>
  <c r="C408" i="124" s="1"/>
  <c r="B414" i="124"/>
  <c r="C414" i="124" s="1"/>
  <c r="B420" i="124"/>
  <c r="C420" i="124" s="1"/>
  <c r="B426" i="124"/>
  <c r="C426" i="124" s="1"/>
  <c r="B432" i="124"/>
  <c r="B438" i="124"/>
  <c r="C438" i="124" s="1"/>
  <c r="B444" i="124"/>
  <c r="C444" i="124" s="1"/>
  <c r="B450" i="124"/>
  <c r="C450" i="124" s="1"/>
  <c r="B456" i="124"/>
  <c r="C456" i="124" s="1"/>
  <c r="B462" i="124"/>
  <c r="C462" i="124" s="1"/>
  <c r="B468" i="124"/>
  <c r="C468" i="124" s="1"/>
  <c r="B474" i="124"/>
  <c r="C474" i="124" s="1"/>
  <c r="B480" i="124"/>
  <c r="C480" i="124" s="1"/>
  <c r="B486" i="124"/>
  <c r="C486" i="124" s="1"/>
  <c r="B492" i="124"/>
  <c r="C492" i="124" s="1"/>
  <c r="B498" i="124"/>
  <c r="C498" i="124" s="1"/>
  <c r="B504" i="124"/>
  <c r="C504" i="124" s="1"/>
  <c r="B510" i="124"/>
  <c r="C510" i="124" s="1"/>
  <c r="B289" i="124"/>
  <c r="C289" i="124" s="1"/>
  <c r="B295" i="124"/>
  <c r="C295" i="124" s="1"/>
  <c r="B301" i="124"/>
  <c r="C301" i="124" s="1"/>
  <c r="B307" i="124"/>
  <c r="C307" i="124" s="1"/>
  <c r="B313" i="124"/>
  <c r="C313" i="124" s="1"/>
  <c r="B319" i="124"/>
  <c r="C319" i="124" s="1"/>
  <c r="B325" i="124"/>
  <c r="C325" i="124" s="1"/>
  <c r="B331" i="124"/>
  <c r="C331" i="124" s="1"/>
  <c r="B337" i="124"/>
  <c r="C337" i="124" s="1"/>
  <c r="B343" i="124"/>
  <c r="C343" i="124" s="1"/>
  <c r="B349" i="124"/>
  <c r="C349" i="124" s="1"/>
  <c r="B355" i="124"/>
  <c r="C355" i="124" s="1"/>
  <c r="B361" i="124"/>
  <c r="C361" i="124" s="1"/>
  <c r="B367" i="124"/>
  <c r="C367" i="124" s="1"/>
  <c r="B373" i="124"/>
  <c r="C373" i="124" s="1"/>
  <c r="B379" i="124"/>
  <c r="C379" i="124" s="1"/>
  <c r="B385" i="124"/>
  <c r="C385" i="124" s="1"/>
  <c r="B391" i="124"/>
  <c r="C391" i="124" s="1"/>
  <c r="B397" i="124"/>
  <c r="C397" i="124" s="1"/>
  <c r="B403" i="124"/>
  <c r="C403" i="124" s="1"/>
  <c r="B409" i="124"/>
  <c r="C409" i="124" s="1"/>
  <c r="B415" i="124"/>
  <c r="C415" i="124" s="1"/>
  <c r="B421" i="124"/>
  <c r="C421" i="124" s="1"/>
  <c r="B427" i="124"/>
  <c r="C427" i="124" s="1"/>
  <c r="B433" i="124"/>
  <c r="C433" i="124" s="1"/>
  <c r="B439" i="124"/>
  <c r="C439" i="124" s="1"/>
  <c r="B445" i="124"/>
  <c r="C445" i="124" s="1"/>
  <c r="B451" i="124"/>
  <c r="C451" i="124" s="1"/>
  <c r="B457" i="124"/>
  <c r="C457" i="124" s="1"/>
  <c r="B463" i="124"/>
  <c r="C463" i="124" s="1"/>
  <c r="B469" i="124"/>
  <c r="C469" i="124" s="1"/>
  <c r="B475" i="124"/>
  <c r="C475" i="124" s="1"/>
  <c r="B481" i="124"/>
  <c r="C481" i="124" s="1"/>
  <c r="B487" i="124"/>
  <c r="C487" i="124" s="1"/>
  <c r="B291" i="124"/>
  <c r="C291" i="124" s="1"/>
  <c r="B297" i="124"/>
  <c r="C297" i="124" s="1"/>
  <c r="B303" i="124"/>
  <c r="C303" i="124" s="1"/>
  <c r="B309" i="124"/>
  <c r="C309" i="124" s="1"/>
  <c r="B315" i="124"/>
  <c r="C315" i="124" s="1"/>
  <c r="B321" i="124"/>
  <c r="C321" i="124" s="1"/>
  <c r="B327" i="124"/>
  <c r="C327" i="124" s="1"/>
  <c r="B333" i="124"/>
  <c r="C333" i="124" s="1"/>
  <c r="B339" i="124"/>
  <c r="C339" i="124" s="1"/>
  <c r="B345" i="124"/>
  <c r="C345" i="124" s="1"/>
  <c r="B351" i="124"/>
  <c r="C351" i="124" s="1"/>
  <c r="B357" i="124"/>
  <c r="C357" i="124" s="1"/>
  <c r="B363" i="124"/>
  <c r="C363" i="124" s="1"/>
  <c r="B369" i="124"/>
  <c r="C369" i="124" s="1"/>
  <c r="B375" i="124"/>
  <c r="C375" i="124" s="1"/>
  <c r="B381" i="124"/>
  <c r="C381" i="124" s="1"/>
  <c r="B387" i="124"/>
  <c r="C387" i="124" s="1"/>
  <c r="B393" i="124"/>
  <c r="C393" i="124" s="1"/>
  <c r="B399" i="124"/>
  <c r="C399" i="124" s="1"/>
  <c r="B405" i="124"/>
  <c r="C405" i="124" s="1"/>
  <c r="B411" i="124"/>
  <c r="C411" i="124" s="1"/>
  <c r="B417" i="124"/>
  <c r="C417" i="124" s="1"/>
  <c r="B423" i="124"/>
  <c r="C423" i="124" s="1"/>
  <c r="B429" i="124"/>
  <c r="C429" i="124" s="1"/>
  <c r="B435" i="124"/>
  <c r="C435" i="124" s="1"/>
  <c r="B441" i="124"/>
  <c r="C441" i="124" s="1"/>
  <c r="B447" i="124"/>
  <c r="C447" i="124" s="1"/>
  <c r="B453" i="124"/>
  <c r="C453" i="124" s="1"/>
  <c r="B459" i="124"/>
  <c r="C459" i="124" s="1"/>
  <c r="B465" i="124"/>
  <c r="C465" i="124" s="1"/>
  <c r="B471" i="124"/>
  <c r="C471" i="124" s="1"/>
  <c r="B477" i="124"/>
  <c r="C477" i="124" s="1"/>
  <c r="B296" i="124"/>
  <c r="C296" i="124" s="1"/>
  <c r="B332" i="124"/>
  <c r="C332" i="124" s="1"/>
  <c r="B368" i="124"/>
  <c r="C368" i="124" s="1"/>
  <c r="B404" i="124"/>
  <c r="C404" i="124" s="1"/>
  <c r="B440" i="124"/>
  <c r="C440" i="124" s="1"/>
  <c r="B470" i="124"/>
  <c r="C470" i="124" s="1"/>
  <c r="B483" i="124"/>
  <c r="C483" i="124" s="1"/>
  <c r="B491" i="124"/>
  <c r="C491" i="124" s="1"/>
  <c r="B499" i="124"/>
  <c r="C499" i="124" s="1"/>
  <c r="B506" i="124"/>
  <c r="C506" i="124" s="1"/>
  <c r="B513" i="124"/>
  <c r="C513" i="124" s="1"/>
  <c r="B519" i="124"/>
  <c r="C519" i="124" s="1"/>
  <c r="B525" i="124"/>
  <c r="C525" i="124" s="1"/>
  <c r="B537" i="124"/>
  <c r="C537" i="124" s="1"/>
  <c r="B549" i="124"/>
  <c r="C549" i="124" s="1"/>
  <c r="B561" i="124"/>
  <c r="C561" i="124" s="1"/>
  <c r="B573" i="124"/>
  <c r="C573" i="124" s="1"/>
  <c r="B532" i="124"/>
  <c r="C532" i="124" s="1"/>
  <c r="B550" i="124"/>
  <c r="C550" i="124" s="1"/>
  <c r="B568" i="124"/>
  <c r="C568" i="124" s="1"/>
  <c r="B586" i="124"/>
  <c r="C586" i="124" s="1"/>
  <c r="B557" i="124"/>
  <c r="C557" i="124" s="1"/>
  <c r="B581" i="124"/>
  <c r="C581" i="124" s="1"/>
  <c r="B576" i="124"/>
  <c r="C576" i="124" s="1"/>
  <c r="B302" i="124"/>
  <c r="C302" i="124" s="1"/>
  <c r="B338" i="124"/>
  <c r="C338" i="124" s="1"/>
  <c r="B374" i="124"/>
  <c r="C374" i="124" s="1"/>
  <c r="B410" i="124"/>
  <c r="C410" i="124" s="1"/>
  <c r="B446" i="124"/>
  <c r="C446" i="124" s="1"/>
  <c r="B472" i="124"/>
  <c r="C472" i="124" s="1"/>
  <c r="B484" i="124"/>
  <c r="C484" i="124" s="1"/>
  <c r="B493" i="124"/>
  <c r="C493" i="124" s="1"/>
  <c r="B500" i="124"/>
  <c r="C500" i="124" s="1"/>
  <c r="B507" i="124"/>
  <c r="C507" i="124" s="1"/>
  <c r="B514" i="124"/>
  <c r="C514" i="124" s="1"/>
  <c r="B520" i="124"/>
  <c r="C520" i="124" s="1"/>
  <c r="B526" i="124"/>
  <c r="C526" i="124" s="1"/>
  <c r="B538" i="124"/>
  <c r="C538" i="124" s="1"/>
  <c r="B556" i="124"/>
  <c r="C556" i="124" s="1"/>
  <c r="B574" i="124"/>
  <c r="C574" i="124" s="1"/>
  <c r="B545" i="124"/>
  <c r="C545" i="124" s="1"/>
  <c r="B569" i="124"/>
  <c r="C569" i="124" s="1"/>
  <c r="B564" i="124"/>
  <c r="C564" i="124" s="1"/>
  <c r="B503" i="124"/>
  <c r="C503" i="124" s="1"/>
  <c r="B523" i="124"/>
  <c r="C523" i="124" s="1"/>
  <c r="B541" i="124"/>
  <c r="C541" i="124" s="1"/>
  <c r="B559" i="124"/>
  <c r="C559" i="124" s="1"/>
  <c r="B583" i="124"/>
  <c r="C583" i="124" s="1"/>
  <c r="B308" i="124"/>
  <c r="C308" i="124" s="1"/>
  <c r="B344" i="124"/>
  <c r="C344" i="124" s="1"/>
  <c r="B380" i="124"/>
  <c r="C380" i="124" s="1"/>
  <c r="B416" i="124"/>
  <c r="C416" i="124" s="1"/>
  <c r="B452" i="124"/>
  <c r="C452" i="124" s="1"/>
  <c r="B476" i="124"/>
  <c r="C476" i="124" s="1"/>
  <c r="B485" i="124"/>
  <c r="C485" i="124" s="1"/>
  <c r="B494" i="124"/>
  <c r="C494" i="124" s="1"/>
  <c r="B501" i="124"/>
  <c r="C501" i="124" s="1"/>
  <c r="B508" i="124"/>
  <c r="C508" i="124" s="1"/>
  <c r="B515" i="124"/>
  <c r="C515" i="124" s="1"/>
  <c r="B521" i="124"/>
  <c r="C521" i="124" s="1"/>
  <c r="B527" i="124"/>
  <c r="C527" i="124" s="1"/>
  <c r="B533" i="124"/>
  <c r="C533" i="124" s="1"/>
  <c r="B539" i="124"/>
  <c r="C539" i="124" s="1"/>
  <c r="B563" i="124"/>
  <c r="C563" i="124" s="1"/>
  <c r="B587" i="124"/>
  <c r="C587" i="124" s="1"/>
  <c r="B588" i="124"/>
  <c r="C588" i="124" s="1"/>
  <c r="B392" i="124"/>
  <c r="C392" i="124" s="1"/>
  <c r="B464" i="124"/>
  <c r="C464" i="124" s="1"/>
  <c r="B489" i="124"/>
  <c r="C489" i="124" s="1"/>
  <c r="B511" i="124"/>
  <c r="C511" i="124" s="1"/>
  <c r="B529" i="124"/>
  <c r="C529" i="124" s="1"/>
  <c r="B547" i="124"/>
  <c r="C547" i="124" s="1"/>
  <c r="B571" i="124"/>
  <c r="C571" i="124" s="1"/>
  <c r="B314" i="124"/>
  <c r="C314" i="124" s="1"/>
  <c r="B350" i="124"/>
  <c r="C350" i="124" s="1"/>
  <c r="B386" i="124"/>
  <c r="C386" i="124" s="1"/>
  <c r="B422" i="124"/>
  <c r="C422" i="124" s="1"/>
  <c r="B458" i="124"/>
  <c r="C458" i="124" s="1"/>
  <c r="B478" i="124"/>
  <c r="C478" i="124" s="1"/>
  <c r="B488" i="124"/>
  <c r="C488" i="124" s="1"/>
  <c r="B495" i="124"/>
  <c r="C495" i="124" s="1"/>
  <c r="B502" i="124"/>
  <c r="C502" i="124" s="1"/>
  <c r="B509" i="124"/>
  <c r="C509" i="124" s="1"/>
  <c r="B516" i="124"/>
  <c r="C516" i="124" s="1"/>
  <c r="B522" i="124"/>
  <c r="C522" i="124" s="1"/>
  <c r="B528" i="124"/>
  <c r="C528" i="124" s="1"/>
  <c r="B534" i="124"/>
  <c r="C534" i="124" s="1"/>
  <c r="B540" i="124"/>
  <c r="C540" i="124" s="1"/>
  <c r="B546" i="124"/>
  <c r="C546" i="124" s="1"/>
  <c r="B552" i="124"/>
  <c r="C552" i="124" s="1"/>
  <c r="B558" i="124"/>
  <c r="C558" i="124" s="1"/>
  <c r="B582" i="124"/>
  <c r="C582" i="124" s="1"/>
  <c r="B320" i="124"/>
  <c r="C320" i="124" s="1"/>
  <c r="B356" i="124"/>
  <c r="C356" i="124" s="1"/>
  <c r="B428" i="124"/>
  <c r="C428" i="124" s="1"/>
  <c r="B479" i="124"/>
  <c r="C479" i="124" s="1"/>
  <c r="B496" i="124"/>
  <c r="C496" i="124" s="1"/>
  <c r="B517" i="124"/>
  <c r="C517" i="124" s="1"/>
  <c r="B535" i="124"/>
  <c r="C535" i="124" s="1"/>
  <c r="B553" i="124"/>
  <c r="C553" i="124" s="1"/>
  <c r="B577" i="124"/>
  <c r="C577" i="124" s="1"/>
  <c r="B290" i="124"/>
  <c r="C290" i="124" s="1"/>
  <c r="B326" i="124"/>
  <c r="C326" i="124" s="1"/>
  <c r="B362" i="124"/>
  <c r="C362" i="124" s="1"/>
  <c r="B398" i="124"/>
  <c r="C398" i="124" s="1"/>
  <c r="B434" i="124"/>
  <c r="C434" i="124" s="1"/>
  <c r="B466" i="124"/>
  <c r="C466" i="124" s="1"/>
  <c r="B482" i="124"/>
  <c r="C482" i="124" s="1"/>
  <c r="B490" i="124"/>
  <c r="C490" i="124" s="1"/>
  <c r="B497" i="124"/>
  <c r="C497" i="124" s="1"/>
  <c r="B505" i="124"/>
  <c r="C505" i="124" s="1"/>
  <c r="B512" i="124"/>
  <c r="C512" i="124" s="1"/>
  <c r="B518" i="124"/>
  <c r="C518" i="124" s="1"/>
  <c r="B524" i="124"/>
  <c r="C524" i="124" s="1"/>
  <c r="B530" i="124"/>
  <c r="C530" i="124" s="1"/>
  <c r="B536" i="124"/>
  <c r="C536" i="124" s="1"/>
  <c r="B542" i="124"/>
  <c r="C542" i="124" s="1"/>
  <c r="B548" i="124"/>
  <c r="C548" i="124" s="1"/>
  <c r="B554" i="124"/>
  <c r="C554" i="124" s="1"/>
  <c r="B560" i="124"/>
  <c r="C560" i="124" s="1"/>
  <c r="B566" i="124"/>
  <c r="C566" i="124" s="1"/>
  <c r="B572" i="124"/>
  <c r="C572" i="124" s="1"/>
  <c r="B578" i="124"/>
  <c r="C578" i="124" s="1"/>
  <c r="B584" i="124"/>
  <c r="C584" i="124" s="1"/>
  <c r="B531" i="124"/>
  <c r="C531" i="124" s="1"/>
  <c r="B543" i="124"/>
  <c r="C543" i="124" s="1"/>
  <c r="B555" i="124"/>
  <c r="C555" i="124" s="1"/>
  <c r="B567" i="124"/>
  <c r="C567" i="124" s="1"/>
  <c r="B579" i="124"/>
  <c r="C579" i="124" s="1"/>
  <c r="B585" i="124"/>
  <c r="C585" i="124" s="1"/>
  <c r="B544" i="124"/>
  <c r="C544" i="124" s="1"/>
  <c r="B562" i="124"/>
  <c r="C562" i="124" s="1"/>
  <c r="B580" i="124"/>
  <c r="C580" i="124" s="1"/>
  <c r="B551" i="124"/>
  <c r="C551" i="124" s="1"/>
  <c r="B575" i="124"/>
  <c r="C575" i="124" s="1"/>
  <c r="B570" i="124"/>
  <c r="C570" i="124" s="1"/>
  <c r="B565" i="124"/>
  <c r="C565" i="124" s="1"/>
  <c r="B286" i="123"/>
  <c r="C286" i="123" s="1"/>
  <c r="B221" i="123"/>
  <c r="C221" i="123" s="1"/>
  <c r="B234" i="123"/>
  <c r="C234" i="123" s="1"/>
  <c r="B289" i="123"/>
  <c r="C289" i="123" s="1"/>
  <c r="B227" i="123"/>
  <c r="C227" i="123" s="1"/>
  <c r="B52" i="123"/>
  <c r="C52" i="123" s="1"/>
  <c r="B53" i="123"/>
  <c r="C53" i="123" s="1"/>
  <c r="B242" i="123"/>
  <c r="C242" i="123" s="1"/>
  <c r="B54" i="123"/>
  <c r="C54" i="123" s="1"/>
  <c r="B290" i="123"/>
  <c r="C290" i="123" s="1"/>
  <c r="B26" i="123"/>
  <c r="C26" i="123" s="1"/>
  <c r="B253" i="123"/>
  <c r="C253" i="123" s="1"/>
  <c r="B244" i="123"/>
  <c r="C244" i="123" s="1"/>
  <c r="B50" i="123"/>
  <c r="C50" i="123" s="1"/>
  <c r="B235" i="123"/>
  <c r="C235" i="123" s="1"/>
  <c r="B278" i="123"/>
  <c r="C278" i="123" s="1"/>
  <c r="B515" i="123"/>
  <c r="C515" i="123" s="1"/>
  <c r="B42" i="123"/>
  <c r="C42" i="123" s="1"/>
  <c r="B32" i="123"/>
  <c r="C32" i="123" s="1"/>
  <c r="B31" i="123"/>
  <c r="C31" i="123" s="1"/>
  <c r="B248" i="123"/>
  <c r="C248" i="123" s="1"/>
  <c r="B239" i="123"/>
  <c r="C239" i="123" s="1"/>
  <c r="B232" i="123"/>
  <c r="C232" i="123" s="1"/>
  <c r="B40" i="123"/>
  <c r="C40" i="123" s="1"/>
  <c r="B25" i="123"/>
  <c r="C25" i="123" s="1"/>
  <c r="B240" i="123"/>
  <c r="C240" i="123" s="1"/>
  <c r="B251" i="123"/>
  <c r="C251" i="123" s="1"/>
  <c r="B8" i="123"/>
  <c r="C8" i="123" s="1"/>
  <c r="B246" i="123"/>
  <c r="C246" i="123" s="1"/>
  <c r="B267" i="123"/>
  <c r="C267" i="123" s="1"/>
  <c r="B241" i="123"/>
  <c r="C241" i="123" s="1"/>
  <c r="B46" i="123"/>
  <c r="C46" i="123" s="1"/>
  <c r="B217" i="123"/>
  <c r="C217" i="123" s="1"/>
  <c r="B51" i="123"/>
  <c r="C51" i="123" s="1"/>
  <c r="B570" i="123"/>
  <c r="C570" i="123" s="1"/>
  <c r="B561" i="123"/>
  <c r="C561" i="123" s="1"/>
  <c r="B434" i="123"/>
  <c r="C434" i="123" s="1"/>
  <c r="B536" i="123"/>
  <c r="C536" i="123" s="1"/>
  <c r="B454" i="123"/>
  <c r="C454" i="123" s="1"/>
  <c r="B489" i="123"/>
  <c r="C489" i="123" s="1"/>
  <c r="B513" i="123"/>
  <c r="C513" i="123" s="1"/>
  <c r="B582" i="123"/>
  <c r="C582" i="123" s="1"/>
  <c r="B495" i="123"/>
  <c r="C495" i="123" s="1"/>
  <c r="B435" i="123"/>
  <c r="C435" i="123" s="1"/>
  <c r="B580" i="123"/>
  <c r="C580" i="123" s="1"/>
  <c r="B477" i="123"/>
  <c r="C477" i="123" s="1"/>
  <c r="B499" i="123"/>
  <c r="C499" i="123" s="1"/>
  <c r="B507" i="123"/>
  <c r="C507" i="123" s="1"/>
  <c r="B276" i="123"/>
  <c r="C276" i="123" s="1"/>
  <c r="B491" i="123"/>
  <c r="C491" i="123" s="1"/>
  <c r="B526" i="123"/>
  <c r="C526" i="123" s="1"/>
  <c r="B534" i="123"/>
  <c r="C534" i="123" s="1"/>
  <c r="B519" i="123"/>
  <c r="C519" i="123" s="1"/>
  <c r="B462" i="123"/>
  <c r="C462" i="123" s="1"/>
  <c r="B562" i="123"/>
  <c r="C562" i="123" s="1"/>
  <c r="B550" i="123"/>
  <c r="C550" i="123" s="1"/>
  <c r="B479" i="123"/>
  <c r="C479" i="123" s="1"/>
  <c r="B545" i="123"/>
  <c r="C545" i="123" s="1"/>
  <c r="B441" i="123"/>
  <c r="C441" i="123" s="1"/>
  <c r="B502" i="123"/>
  <c r="C502" i="123" s="1"/>
  <c r="B539" i="123"/>
  <c r="C539" i="123" s="1"/>
  <c r="B254" i="123"/>
  <c r="C254" i="123" s="1"/>
  <c r="B557" i="123"/>
  <c r="C557" i="123" s="1"/>
  <c r="B541" i="123"/>
  <c r="C541" i="123" s="1"/>
  <c r="B446" i="123"/>
  <c r="C446" i="123" s="1"/>
  <c r="B469" i="123"/>
  <c r="C469" i="123" s="1"/>
  <c r="B429" i="123"/>
  <c r="C429" i="123" s="1"/>
  <c r="B49" i="123"/>
  <c r="C49" i="123" s="1"/>
  <c r="B36" i="123"/>
  <c r="C36" i="123" s="1"/>
  <c r="B211" i="123"/>
  <c r="C211" i="123" s="1"/>
  <c r="B544" i="123"/>
  <c r="C544" i="123" s="1"/>
  <c r="B509" i="123"/>
  <c r="C509" i="123" s="1"/>
  <c r="B225" i="123"/>
  <c r="C225" i="123" s="1"/>
  <c r="B532" i="123"/>
  <c r="C532" i="123" s="1"/>
  <c r="B455" i="123"/>
  <c r="C455" i="123" s="1"/>
  <c r="B282" i="123"/>
  <c r="C282" i="123" s="1"/>
  <c r="B28" i="123"/>
  <c r="C28" i="123" s="1"/>
  <c r="B581" i="123"/>
  <c r="C581" i="123" s="1"/>
  <c r="B444" i="123"/>
  <c r="C444" i="123" s="1"/>
  <c r="B508" i="123"/>
  <c r="C508" i="123" s="1"/>
  <c r="B424" i="123"/>
  <c r="C424" i="123" s="1"/>
  <c r="B529" i="123"/>
  <c r="C529" i="123" s="1"/>
  <c r="B494" i="123"/>
  <c r="C494" i="123" s="1"/>
  <c r="B451" i="123"/>
  <c r="C451" i="123" s="1"/>
  <c r="B585" i="123"/>
  <c r="C585" i="123" s="1"/>
  <c r="B511" i="123"/>
  <c r="C511" i="123" s="1"/>
  <c r="B464" i="123"/>
  <c r="C464" i="123" s="1"/>
  <c r="B569" i="123"/>
  <c r="C569" i="123" s="1"/>
  <c r="B520" i="123"/>
  <c r="C520" i="123" s="1"/>
  <c r="B436" i="123"/>
  <c r="C436" i="123" s="1"/>
  <c r="B476" i="123"/>
  <c r="C476" i="123" s="1"/>
  <c r="B542" i="123"/>
  <c r="C542" i="123" s="1"/>
  <c r="B512" i="123"/>
  <c r="C512" i="123" s="1"/>
  <c r="B496" i="123"/>
  <c r="C496" i="123" s="1"/>
  <c r="B440" i="123"/>
  <c r="C440" i="123" s="1"/>
  <c r="B500" i="123"/>
  <c r="C500" i="123" s="1"/>
  <c r="B566" i="123"/>
  <c r="C566" i="123" s="1"/>
  <c r="B425" i="123"/>
  <c r="C425" i="123" s="1"/>
  <c r="B504" i="123"/>
  <c r="C504" i="123" s="1"/>
  <c r="B432" i="123"/>
  <c r="C432" i="123" s="1"/>
  <c r="B488" i="123"/>
  <c r="C488" i="123" s="1"/>
  <c r="B433" i="123"/>
  <c r="C433" i="123" s="1"/>
  <c r="B564" i="123"/>
  <c r="C564" i="123" s="1"/>
  <c r="B45" i="123"/>
  <c r="C45" i="123" s="1"/>
  <c r="B578" i="123"/>
  <c r="C578" i="123" s="1"/>
  <c r="B530" i="123"/>
  <c r="C530" i="123" s="1"/>
  <c r="B445" i="123"/>
  <c r="C445" i="123" s="1"/>
  <c r="B565" i="123"/>
  <c r="C565" i="123" s="1"/>
  <c r="B579" i="123"/>
  <c r="C579" i="123" s="1"/>
  <c r="B456" i="123"/>
  <c r="C456" i="123" s="1"/>
  <c r="B492" i="123"/>
  <c r="C492" i="123" s="1"/>
  <c r="B484" i="123"/>
  <c r="C484" i="123" s="1"/>
  <c r="B481" i="123"/>
  <c r="C481" i="123" s="1"/>
  <c r="B576" i="123"/>
  <c r="C576" i="123" s="1"/>
  <c r="B514" i="123"/>
  <c r="C514" i="123" s="1"/>
  <c r="B447" i="123"/>
  <c r="C447" i="123" s="1"/>
  <c r="B549" i="123"/>
  <c r="C549" i="123" s="1"/>
  <c r="B478" i="123"/>
  <c r="C478" i="123" s="1"/>
  <c r="B522" i="123"/>
  <c r="C522" i="123" s="1"/>
  <c r="B568" i="123"/>
  <c r="C568" i="123" s="1"/>
  <c r="B535" i="123"/>
  <c r="C535" i="123" s="1"/>
  <c r="B430" i="123"/>
  <c r="C430" i="123" s="1"/>
  <c r="B453" i="123"/>
  <c r="C453" i="123" s="1"/>
  <c r="B574" i="123"/>
  <c r="C574" i="123" s="1"/>
  <c r="B460" i="123"/>
  <c r="C460" i="123" s="1"/>
  <c r="B219" i="123"/>
  <c r="C219" i="123" s="1"/>
  <c r="B505" i="123"/>
  <c r="C505" i="123" s="1"/>
  <c r="B556" i="123"/>
  <c r="C556" i="123" s="1"/>
  <c r="B423" i="123"/>
  <c r="C423" i="123" s="1"/>
  <c r="B449" i="123"/>
  <c r="C449" i="123" s="1"/>
  <c r="B583" i="123"/>
  <c r="C583" i="123" s="1"/>
  <c r="B573" i="123"/>
  <c r="C573" i="123" s="1"/>
  <c r="B577" i="123"/>
  <c r="C577" i="123" s="1"/>
  <c r="B523" i="123"/>
  <c r="C523" i="123" s="1"/>
  <c r="B538" i="123"/>
  <c r="C538" i="123" s="1"/>
  <c r="B571" i="123"/>
  <c r="C571" i="123" s="1"/>
  <c r="B559" i="123"/>
  <c r="C559" i="123" s="1"/>
  <c r="B525" i="123"/>
  <c r="C525" i="123" s="1"/>
  <c r="B437" i="123"/>
  <c r="C437" i="123" s="1"/>
  <c r="B468" i="123"/>
  <c r="C468" i="123" s="1"/>
  <c r="B546" i="123"/>
  <c r="C546" i="123" s="1"/>
  <c r="B279" i="123"/>
  <c r="C279" i="123" s="1"/>
  <c r="B281" i="123"/>
  <c r="C281" i="123" s="1"/>
  <c r="B284" i="123"/>
  <c r="C284" i="123" s="1"/>
  <c r="B428" i="123"/>
  <c r="C428" i="123" s="1"/>
  <c r="B487" i="123"/>
  <c r="C487" i="123" s="1"/>
  <c r="B533" i="123"/>
  <c r="C533" i="123" s="1"/>
  <c r="B490" i="123"/>
  <c r="C490" i="123" s="1"/>
  <c r="B560" i="123"/>
  <c r="C560" i="123" s="1"/>
  <c r="B470" i="123"/>
  <c r="C470" i="123" s="1"/>
  <c r="B543" i="123"/>
  <c r="C543" i="123" s="1"/>
  <c r="B563" i="123"/>
  <c r="C563" i="123" s="1"/>
  <c r="B506" i="123"/>
  <c r="C506" i="123" s="1"/>
  <c r="B475" i="123"/>
  <c r="C475" i="123" s="1"/>
  <c r="B463" i="123"/>
  <c r="C463" i="123" s="1"/>
  <c r="B426" i="123"/>
  <c r="C426" i="123" s="1"/>
  <c r="B43" i="123"/>
  <c r="C43" i="123" s="1"/>
  <c r="B485" i="123"/>
  <c r="C485" i="123" s="1"/>
  <c r="B269" i="123"/>
  <c r="C269" i="123" s="1"/>
  <c r="B263" i="123"/>
  <c r="C263" i="123" s="1"/>
  <c r="B497" i="123"/>
  <c r="C497" i="123" s="1"/>
  <c r="B223" i="123"/>
  <c r="C223" i="123" s="1"/>
  <c r="B34" i="123"/>
  <c r="C34" i="123" s="1"/>
  <c r="B5" i="123"/>
  <c r="C5" i="123" s="1"/>
  <c r="B510" i="123"/>
  <c r="C510" i="123" s="1"/>
  <c r="B584" i="123"/>
  <c r="C584" i="123" s="1"/>
  <c r="B457" i="123"/>
  <c r="C457" i="123" s="1"/>
  <c r="B554" i="123"/>
  <c r="C554" i="123" s="1"/>
  <c r="B30" i="123"/>
  <c r="C30" i="123" s="1"/>
  <c r="B15" i="123"/>
  <c r="C15" i="123" s="1"/>
  <c r="B35" i="123"/>
  <c r="C35" i="123" s="1"/>
  <c r="B218" i="123"/>
  <c r="C218" i="123" s="1"/>
  <c r="B575" i="123"/>
  <c r="C575" i="123" s="1"/>
  <c r="B443" i="123"/>
  <c r="C443" i="123" s="1"/>
  <c r="B474" i="123"/>
  <c r="C474" i="123" s="1"/>
  <c r="B450" i="123"/>
  <c r="C450" i="123" s="1"/>
  <c r="B33" i="123"/>
  <c r="C33" i="123" s="1"/>
  <c r="B277" i="123"/>
  <c r="C277" i="123" s="1"/>
  <c r="B572" i="123"/>
  <c r="C572" i="123" s="1"/>
  <c r="B238" i="123"/>
  <c r="C238" i="123" s="1"/>
  <c r="B41" i="123"/>
  <c r="C41" i="123" s="1"/>
  <c r="B283" i="123"/>
  <c r="C283" i="123" s="1"/>
  <c r="B518" i="123"/>
  <c r="C518" i="123" s="1"/>
  <c r="B461" i="123"/>
  <c r="C461" i="123" s="1"/>
  <c r="B482" i="123"/>
  <c r="C482" i="123" s="1"/>
  <c r="B498" i="123"/>
  <c r="C498" i="123" s="1"/>
  <c r="B517" i="123"/>
  <c r="C517" i="123" s="1"/>
  <c r="B528" i="123"/>
  <c r="C528" i="123" s="1"/>
  <c r="B548" i="123"/>
  <c r="C548" i="123" s="1"/>
  <c r="B521" i="123"/>
  <c r="C521" i="123" s="1"/>
  <c r="B459" i="123"/>
  <c r="C459" i="123" s="1"/>
  <c r="B442" i="123"/>
  <c r="C442" i="123" s="1"/>
  <c r="B268" i="123"/>
  <c r="C268" i="123" s="1"/>
  <c r="B255" i="123"/>
  <c r="C255" i="123" s="1"/>
  <c r="B258" i="123"/>
  <c r="C258" i="123" s="1"/>
  <c r="B259" i="123"/>
  <c r="C259" i="123" s="1"/>
  <c r="B61" i="123"/>
  <c r="C61" i="123" s="1"/>
  <c r="B260" i="123"/>
  <c r="C260" i="123" s="1"/>
  <c r="B233" i="123"/>
  <c r="C233" i="123" s="1"/>
  <c r="B448" i="123"/>
  <c r="C448" i="123" s="1"/>
  <c r="B250" i="123"/>
  <c r="C250" i="123" s="1"/>
  <c r="B552" i="123"/>
  <c r="C552" i="123" s="1"/>
  <c r="B422" i="123"/>
  <c r="C422" i="123" s="1"/>
  <c r="B471" i="123"/>
  <c r="C471" i="123" s="1"/>
  <c r="B588" i="123"/>
  <c r="C588" i="123" s="1"/>
  <c r="B553" i="123"/>
  <c r="C553" i="123" s="1"/>
  <c r="B29" i="123"/>
  <c r="C29" i="123" s="1"/>
  <c r="B547" i="123"/>
  <c r="C547" i="123" s="1"/>
  <c r="B39" i="123"/>
  <c r="C39" i="123" s="1"/>
  <c r="B252" i="123"/>
  <c r="C252" i="123" s="1"/>
  <c r="B236" i="123"/>
  <c r="C236" i="123" s="1"/>
  <c r="B9" i="123"/>
  <c r="C9" i="123" s="1"/>
  <c r="B7" i="123"/>
  <c r="C7" i="123" s="1"/>
  <c r="B230" i="123"/>
  <c r="C230" i="123" s="1"/>
  <c r="B427" i="123"/>
  <c r="C427" i="123" s="1"/>
  <c r="B458" i="123"/>
  <c r="C458" i="123" s="1"/>
  <c r="B431" i="123"/>
  <c r="C431" i="123" s="1"/>
  <c r="B438" i="123"/>
  <c r="C438" i="123" s="1"/>
  <c r="B503" i="123"/>
  <c r="C503" i="123" s="1"/>
  <c r="B228" i="123"/>
  <c r="C228" i="123" s="1"/>
  <c r="B272" i="123"/>
  <c r="C272" i="123" s="1"/>
  <c r="B256" i="123"/>
  <c r="C256" i="123" s="1"/>
  <c r="B537" i="123"/>
  <c r="C537" i="123" s="1"/>
  <c r="B231" i="123"/>
  <c r="C231" i="123" s="1"/>
  <c r="B516" i="123"/>
  <c r="C516" i="123" s="1"/>
  <c r="B527" i="123"/>
  <c r="C527" i="123" s="1"/>
  <c r="B247" i="123"/>
  <c r="C247" i="123" s="1"/>
  <c r="B558" i="123"/>
  <c r="C558" i="123" s="1"/>
  <c r="B472" i="123"/>
  <c r="C472" i="123" s="1"/>
  <c r="B467" i="123"/>
  <c r="C467" i="123" s="1"/>
  <c r="B524" i="123"/>
  <c r="C524" i="123" s="1"/>
  <c r="B245" i="123"/>
  <c r="C245" i="123" s="1"/>
  <c r="B44" i="123"/>
  <c r="C44" i="123" s="1"/>
  <c r="B214" i="123"/>
  <c r="C214" i="123" s="1"/>
  <c r="B264" i="123"/>
  <c r="C264" i="123" s="1"/>
  <c r="B587" i="123"/>
  <c r="C587" i="123" s="1"/>
  <c r="B483" i="123"/>
  <c r="C483" i="123" s="1"/>
  <c r="B567" i="123"/>
  <c r="C567" i="123" s="1"/>
  <c r="B37" i="123"/>
  <c r="C37" i="123" s="1"/>
  <c r="B285" i="123"/>
  <c r="C285" i="123" s="1"/>
  <c r="B493" i="123"/>
  <c r="C493" i="123" s="1"/>
  <c r="B226" i="123"/>
  <c r="C226" i="123" s="1"/>
  <c r="B551" i="123"/>
  <c r="C551" i="123" s="1"/>
  <c r="B439" i="123"/>
  <c r="C439" i="123" s="1"/>
  <c r="B222" i="123"/>
  <c r="C222" i="123" s="1"/>
  <c r="B262" i="123"/>
  <c r="C262" i="123" s="1"/>
  <c r="B249" i="123"/>
  <c r="C249" i="123" s="1"/>
  <c r="B38" i="123"/>
  <c r="C38" i="123" s="1"/>
  <c r="B273" i="123"/>
  <c r="C273" i="123" s="1"/>
  <c r="B480" i="123"/>
  <c r="C480" i="123" s="1"/>
  <c r="B466" i="123"/>
  <c r="C466" i="123" s="1"/>
  <c r="B265" i="123"/>
  <c r="C265" i="123" s="1"/>
  <c r="B540" i="123"/>
  <c r="C540" i="123" s="1"/>
  <c r="B27" i="123"/>
  <c r="C27" i="123" s="1"/>
  <c r="B465" i="123"/>
  <c r="C465" i="123" s="1"/>
  <c r="B261" i="123"/>
  <c r="C261" i="123" s="1"/>
  <c r="B48" i="123"/>
  <c r="C48" i="123" s="1"/>
  <c r="B212" i="123"/>
  <c r="C212" i="123" s="1"/>
  <c r="B243" i="123"/>
  <c r="C243" i="123" s="1"/>
  <c r="B270" i="123"/>
  <c r="C270" i="123" s="1"/>
  <c r="B224" i="123"/>
  <c r="C224" i="123" s="1"/>
  <c r="B275" i="123"/>
  <c r="C275" i="123" s="1"/>
  <c r="B216" i="123"/>
  <c r="C216" i="123" s="1"/>
  <c r="B586" i="123"/>
  <c r="C586" i="123" s="1"/>
  <c r="B271" i="123"/>
  <c r="C271" i="123" s="1"/>
  <c r="B501" i="123"/>
  <c r="C501" i="123" s="1"/>
  <c r="B555" i="123"/>
  <c r="C555" i="123" s="1"/>
  <c r="B473" i="123"/>
  <c r="C473" i="123" s="1"/>
  <c r="B257" i="123"/>
  <c r="C257" i="123" s="1"/>
  <c r="B531" i="123"/>
  <c r="C531" i="123" s="1"/>
  <c r="B213" i="123"/>
  <c r="C213" i="123" s="1"/>
  <c r="B229" i="123"/>
  <c r="C229" i="123" s="1"/>
  <c r="B47" i="123"/>
  <c r="C47" i="123" s="1"/>
  <c r="B220" i="123"/>
  <c r="C220" i="123" s="1"/>
  <c r="B237" i="123"/>
  <c r="C237" i="123" s="1"/>
  <c r="B486" i="123"/>
  <c r="C486" i="123" s="1"/>
  <c r="B23" i="123"/>
  <c r="C23" i="123" s="1"/>
  <c r="B215" i="123"/>
  <c r="C215" i="123" s="1"/>
  <c r="B60" i="123"/>
  <c r="C60" i="123" s="1"/>
  <c r="B452" i="123"/>
  <c r="C452" i="123" s="1"/>
  <c r="B266" i="123"/>
  <c r="C266" i="123" s="1"/>
  <c r="B210" i="123"/>
  <c r="C210" i="123" s="1"/>
  <c r="B202" i="123"/>
  <c r="C202" i="123" s="1"/>
  <c r="B206" i="123"/>
  <c r="C206" i="123" s="1"/>
  <c r="B208" i="123"/>
  <c r="C208" i="123" s="1"/>
  <c r="B207" i="123"/>
  <c r="C207" i="123" s="1"/>
  <c r="B200" i="123"/>
  <c r="C200" i="123" s="1"/>
  <c r="B197" i="123"/>
  <c r="C197" i="123" s="1"/>
  <c r="B189" i="123"/>
  <c r="C189" i="123" s="1"/>
  <c r="B182" i="123"/>
  <c r="C182" i="123" s="1"/>
  <c r="B175" i="123"/>
  <c r="C175" i="123" s="1"/>
  <c r="B167" i="123"/>
  <c r="C167" i="123" s="1"/>
  <c r="B159" i="123"/>
  <c r="C159" i="123" s="1"/>
  <c r="B19" i="123"/>
  <c r="C19" i="123" s="1"/>
  <c r="B205" i="123"/>
  <c r="C205" i="123" s="1"/>
  <c r="B194" i="123"/>
  <c r="C194" i="123" s="1"/>
  <c r="B186" i="123"/>
  <c r="C186" i="123" s="1"/>
  <c r="B179" i="123"/>
  <c r="C179" i="123" s="1"/>
  <c r="B204" i="123"/>
  <c r="C204" i="123" s="1"/>
  <c r="B203" i="123"/>
  <c r="C203" i="123" s="1"/>
  <c r="B199" i="123"/>
  <c r="C199" i="123" s="1"/>
  <c r="B191" i="123"/>
  <c r="C191" i="123" s="1"/>
  <c r="B184" i="123"/>
  <c r="C184" i="123" s="1"/>
  <c r="B177" i="123"/>
  <c r="C177" i="123" s="1"/>
  <c r="B169" i="123"/>
  <c r="C169" i="123" s="1"/>
  <c r="B161" i="123"/>
  <c r="C161" i="123" s="1"/>
  <c r="B201" i="123"/>
  <c r="C201" i="123" s="1"/>
  <c r="B193" i="123"/>
  <c r="C193" i="123" s="1"/>
  <c r="B185" i="123"/>
  <c r="C185" i="123" s="1"/>
  <c r="B198" i="123"/>
  <c r="C198" i="123" s="1"/>
  <c r="B190" i="123"/>
  <c r="C190" i="123" s="1"/>
  <c r="B183" i="123"/>
  <c r="C183" i="123" s="1"/>
  <c r="B176" i="123"/>
  <c r="C176" i="123" s="1"/>
  <c r="B168" i="123"/>
  <c r="C168" i="123" s="1"/>
  <c r="B95" i="123"/>
  <c r="C95" i="123" s="1"/>
  <c r="B195" i="123"/>
  <c r="C195" i="123" s="1"/>
  <c r="B187" i="123"/>
  <c r="C187" i="123" s="1"/>
  <c r="B180" i="123"/>
  <c r="C180" i="123" s="1"/>
  <c r="B173" i="123"/>
  <c r="C173" i="123" s="1"/>
  <c r="B209" i="123"/>
  <c r="C209" i="123" s="1"/>
  <c r="B196" i="123"/>
  <c r="C196" i="123" s="1"/>
  <c r="B24" i="123"/>
  <c r="C24" i="123" s="1"/>
  <c r="B174" i="123"/>
  <c r="C174" i="123" s="1"/>
  <c r="B171" i="123"/>
  <c r="C171" i="123" s="1"/>
  <c r="B158" i="123"/>
  <c r="C158" i="123" s="1"/>
  <c r="B153" i="123"/>
  <c r="C153" i="123" s="1"/>
  <c r="B16" i="123"/>
  <c r="C16" i="123" s="1"/>
  <c r="B145" i="123"/>
  <c r="C145" i="123" s="1"/>
  <c r="B138" i="123"/>
  <c r="C138" i="123" s="1"/>
  <c r="B130" i="123"/>
  <c r="C130" i="123" s="1"/>
  <c r="B123" i="123"/>
  <c r="C123" i="123" s="1"/>
  <c r="B115" i="123"/>
  <c r="C115" i="123" s="1"/>
  <c r="B107" i="123"/>
  <c r="C107" i="123" s="1"/>
  <c r="B99" i="123"/>
  <c r="C99" i="123" s="1"/>
  <c r="B91" i="123"/>
  <c r="C91" i="123" s="1"/>
  <c r="B4" i="123"/>
  <c r="C4" i="123" s="1"/>
  <c r="B78" i="123"/>
  <c r="C78" i="123" s="1"/>
  <c r="B70" i="123"/>
  <c r="C70" i="123" s="1"/>
  <c r="B62" i="123"/>
  <c r="C62" i="123" s="1"/>
  <c r="B188" i="123"/>
  <c r="C188" i="123" s="1"/>
  <c r="B172" i="123"/>
  <c r="C172" i="123" s="1"/>
  <c r="B166" i="123"/>
  <c r="C166" i="123" s="1"/>
  <c r="B21" i="123"/>
  <c r="C21" i="123" s="1"/>
  <c r="B152" i="123"/>
  <c r="C152" i="123" s="1"/>
  <c r="B14" i="123"/>
  <c r="C14" i="123" s="1"/>
  <c r="B142" i="123"/>
  <c r="C142" i="123" s="1"/>
  <c r="B135" i="123"/>
  <c r="C135" i="123" s="1"/>
  <c r="B127" i="123"/>
  <c r="C127" i="123" s="1"/>
  <c r="B120" i="123"/>
  <c r="C120" i="123" s="1"/>
  <c r="B112" i="123"/>
  <c r="C112" i="123" s="1"/>
  <c r="B104" i="123"/>
  <c r="C104" i="123" s="1"/>
  <c r="B97" i="123"/>
  <c r="C97" i="123" s="1"/>
  <c r="B88" i="123"/>
  <c r="C88" i="123" s="1"/>
  <c r="B83" i="123"/>
  <c r="C83" i="123" s="1"/>
  <c r="B165" i="123"/>
  <c r="C165" i="123" s="1"/>
  <c r="B164" i="123"/>
  <c r="C164" i="123" s="1"/>
  <c r="B157" i="123"/>
  <c r="C157" i="123" s="1"/>
  <c r="B18" i="123"/>
  <c r="C18" i="123" s="1"/>
  <c r="B146" i="123"/>
  <c r="C146" i="123" s="1"/>
  <c r="B140" i="123"/>
  <c r="C140" i="123" s="1"/>
  <c r="B132" i="123"/>
  <c r="C132" i="123" s="1"/>
  <c r="B124" i="123"/>
  <c r="C124" i="123" s="1"/>
  <c r="B117" i="123"/>
  <c r="C117" i="123" s="1"/>
  <c r="B109" i="123"/>
  <c r="C109" i="123" s="1"/>
  <c r="B101" i="123"/>
  <c r="C101" i="123" s="1"/>
  <c r="B93" i="123"/>
  <c r="C93" i="123" s="1"/>
  <c r="B85" i="123"/>
  <c r="C85" i="123" s="1"/>
  <c r="B80" i="123"/>
  <c r="C80" i="123" s="1"/>
  <c r="B72" i="123"/>
  <c r="C72" i="123" s="1"/>
  <c r="B64" i="123"/>
  <c r="C64" i="123" s="1"/>
  <c r="B192" i="123"/>
  <c r="C192" i="123" s="1"/>
  <c r="B163" i="123"/>
  <c r="C163" i="123" s="1"/>
  <c r="B156" i="123"/>
  <c r="C156" i="123" s="1"/>
  <c r="B20" i="123"/>
  <c r="C20" i="123" s="1"/>
  <c r="B150" i="123"/>
  <c r="C150" i="123" s="1"/>
  <c r="B144" i="123"/>
  <c r="C144" i="123" s="1"/>
  <c r="B137" i="123"/>
  <c r="C137" i="123" s="1"/>
  <c r="B129" i="123"/>
  <c r="C129" i="123" s="1"/>
  <c r="B122" i="123"/>
  <c r="C122" i="123" s="1"/>
  <c r="B114" i="123"/>
  <c r="C114" i="123" s="1"/>
  <c r="B106" i="123"/>
  <c r="C106" i="123" s="1"/>
  <c r="B288" i="123"/>
  <c r="C288" i="123" s="1"/>
  <c r="B90" i="123"/>
  <c r="C90" i="123" s="1"/>
  <c r="B77" i="123"/>
  <c r="C77" i="123" s="1"/>
  <c r="B162" i="123"/>
  <c r="C162" i="123" s="1"/>
  <c r="B151" i="123"/>
  <c r="C151" i="123" s="1"/>
  <c r="B148" i="123"/>
  <c r="C148" i="123" s="1"/>
  <c r="B12" i="123"/>
  <c r="C12" i="123" s="1"/>
  <c r="B134" i="123"/>
  <c r="C134" i="123" s="1"/>
  <c r="B126" i="123"/>
  <c r="C126" i="123" s="1"/>
  <c r="B119" i="123"/>
  <c r="C119" i="123" s="1"/>
  <c r="B111" i="123"/>
  <c r="C111" i="123" s="1"/>
  <c r="B103" i="123"/>
  <c r="C103" i="123" s="1"/>
  <c r="B96" i="123"/>
  <c r="C96" i="123" s="1"/>
  <c r="B87" i="123"/>
  <c r="C87" i="123" s="1"/>
  <c r="B82" i="123"/>
  <c r="C82" i="123" s="1"/>
  <c r="B181" i="123"/>
  <c r="C181" i="123" s="1"/>
  <c r="B178" i="123"/>
  <c r="C178" i="123" s="1"/>
  <c r="B160" i="123"/>
  <c r="C160" i="123" s="1"/>
  <c r="B155" i="123"/>
  <c r="C155" i="123" s="1"/>
  <c r="B17" i="123"/>
  <c r="C17" i="123" s="1"/>
  <c r="B13" i="123"/>
  <c r="C13" i="123" s="1"/>
  <c r="B139" i="123"/>
  <c r="C139" i="123" s="1"/>
  <c r="B131" i="123"/>
  <c r="C131" i="123" s="1"/>
  <c r="B287" i="123"/>
  <c r="C287" i="123" s="1"/>
  <c r="B116" i="123"/>
  <c r="C116" i="123" s="1"/>
  <c r="B108" i="123"/>
  <c r="C108" i="123" s="1"/>
  <c r="B100" i="123"/>
  <c r="C100" i="123" s="1"/>
  <c r="B92" i="123"/>
  <c r="C92" i="123" s="1"/>
  <c r="B6" i="123"/>
  <c r="C6" i="123" s="1"/>
  <c r="B79" i="123"/>
  <c r="C79" i="123" s="1"/>
  <c r="B71" i="123"/>
  <c r="C71" i="123" s="1"/>
  <c r="B63" i="123"/>
  <c r="C63" i="123" s="1"/>
  <c r="B291" i="123"/>
  <c r="C291" i="123" s="1"/>
  <c r="B170" i="123"/>
  <c r="C170" i="123" s="1"/>
  <c r="B154" i="123"/>
  <c r="C154" i="123" s="1"/>
  <c r="B149" i="123"/>
  <c r="C149" i="123" s="1"/>
  <c r="B143" i="123"/>
  <c r="C143" i="123" s="1"/>
  <c r="B136" i="123"/>
  <c r="C136" i="123" s="1"/>
  <c r="B128" i="123"/>
  <c r="C128" i="123" s="1"/>
  <c r="B121" i="123"/>
  <c r="C121" i="123" s="1"/>
  <c r="B113" i="123"/>
  <c r="C113" i="123" s="1"/>
  <c r="B105" i="123"/>
  <c r="C105" i="123" s="1"/>
  <c r="B98" i="123"/>
  <c r="C98" i="123" s="1"/>
  <c r="B89" i="123"/>
  <c r="C89" i="123" s="1"/>
  <c r="B84" i="123"/>
  <c r="C84" i="123" s="1"/>
  <c r="B76" i="123"/>
  <c r="C76" i="123" s="1"/>
  <c r="B68" i="123"/>
  <c r="C68" i="123" s="1"/>
  <c r="B74" i="123"/>
  <c r="C74" i="123" s="1"/>
  <c r="B66" i="123"/>
  <c r="C66" i="123" s="1"/>
  <c r="B59" i="123"/>
  <c r="C59" i="123" s="1"/>
  <c r="B295" i="123"/>
  <c r="C295" i="123" s="1"/>
  <c r="B303" i="123"/>
  <c r="C303" i="123" s="1"/>
  <c r="B311" i="123"/>
  <c r="C311" i="123" s="1"/>
  <c r="B319" i="123"/>
  <c r="C319" i="123" s="1"/>
  <c r="B327" i="123"/>
  <c r="C327" i="123" s="1"/>
  <c r="B335" i="123"/>
  <c r="C335" i="123" s="1"/>
  <c r="B343" i="123"/>
  <c r="C343" i="123" s="1"/>
  <c r="B351" i="123"/>
  <c r="C351" i="123" s="1"/>
  <c r="B359" i="123"/>
  <c r="C359" i="123" s="1"/>
  <c r="B147" i="123"/>
  <c r="C147" i="123" s="1"/>
  <c r="B118" i="123"/>
  <c r="C118" i="123" s="1"/>
  <c r="B86" i="123"/>
  <c r="C86" i="123" s="1"/>
  <c r="B75" i="123"/>
  <c r="C75" i="123" s="1"/>
  <c r="B67" i="123"/>
  <c r="C67" i="123" s="1"/>
  <c r="B11" i="123"/>
  <c r="C11" i="123" s="1"/>
  <c r="B298" i="123"/>
  <c r="C298" i="123" s="1"/>
  <c r="B306" i="123"/>
  <c r="C306" i="123" s="1"/>
  <c r="B314" i="123"/>
  <c r="C314" i="123" s="1"/>
  <c r="B322" i="123"/>
  <c r="C322" i="123" s="1"/>
  <c r="B330" i="123"/>
  <c r="C330" i="123" s="1"/>
  <c r="B338" i="123"/>
  <c r="C338" i="123" s="1"/>
  <c r="B346" i="123"/>
  <c r="C346" i="123" s="1"/>
  <c r="B354" i="123"/>
  <c r="C354" i="123" s="1"/>
  <c r="B362" i="123"/>
  <c r="C362" i="123" s="1"/>
  <c r="B370" i="123"/>
  <c r="C370" i="123" s="1"/>
  <c r="B378" i="123"/>
  <c r="C378" i="123" s="1"/>
  <c r="B386" i="123"/>
  <c r="C386" i="123" s="1"/>
  <c r="B394" i="123"/>
  <c r="C394" i="123" s="1"/>
  <c r="B293" i="123"/>
  <c r="C293" i="123" s="1"/>
  <c r="B301" i="123"/>
  <c r="C301" i="123" s="1"/>
  <c r="B309" i="123"/>
  <c r="C309" i="123" s="1"/>
  <c r="B317" i="123"/>
  <c r="C317" i="123" s="1"/>
  <c r="B325" i="123"/>
  <c r="C325" i="123" s="1"/>
  <c r="B333" i="123"/>
  <c r="C333" i="123" s="1"/>
  <c r="B341" i="123"/>
  <c r="C341" i="123" s="1"/>
  <c r="B349" i="123"/>
  <c r="C349" i="123" s="1"/>
  <c r="B357" i="123"/>
  <c r="C357" i="123" s="1"/>
  <c r="B365" i="123"/>
  <c r="C365" i="123" s="1"/>
  <c r="B373" i="123"/>
  <c r="C373" i="123" s="1"/>
  <c r="B381" i="123"/>
  <c r="C381" i="123" s="1"/>
  <c r="B389" i="123"/>
  <c r="C389" i="123" s="1"/>
  <c r="B397" i="123"/>
  <c r="C397" i="123" s="1"/>
  <c r="B141" i="123"/>
  <c r="C141" i="123" s="1"/>
  <c r="B110" i="123"/>
  <c r="C110" i="123" s="1"/>
  <c r="B81" i="123"/>
  <c r="C81" i="123" s="1"/>
  <c r="B10" i="123"/>
  <c r="C10" i="123" s="1"/>
  <c r="B296" i="123"/>
  <c r="C296" i="123" s="1"/>
  <c r="B304" i="123"/>
  <c r="C304" i="123" s="1"/>
  <c r="B312" i="123"/>
  <c r="C312" i="123" s="1"/>
  <c r="B320" i="123"/>
  <c r="C320" i="123" s="1"/>
  <c r="B328" i="123"/>
  <c r="C328" i="123" s="1"/>
  <c r="B336" i="123"/>
  <c r="C336" i="123" s="1"/>
  <c r="B344" i="123"/>
  <c r="C344" i="123" s="1"/>
  <c r="B352" i="123"/>
  <c r="C352" i="123" s="1"/>
  <c r="B360" i="123"/>
  <c r="C360" i="123" s="1"/>
  <c r="B368" i="123"/>
  <c r="C368" i="123" s="1"/>
  <c r="B376" i="123"/>
  <c r="C376" i="123" s="1"/>
  <c r="B384" i="123"/>
  <c r="C384" i="123" s="1"/>
  <c r="B392" i="123"/>
  <c r="C392" i="123" s="1"/>
  <c r="B299" i="123"/>
  <c r="C299" i="123" s="1"/>
  <c r="B307" i="123"/>
  <c r="C307" i="123" s="1"/>
  <c r="B315" i="123"/>
  <c r="C315" i="123" s="1"/>
  <c r="B323" i="123"/>
  <c r="C323" i="123" s="1"/>
  <c r="B331" i="123"/>
  <c r="C331" i="123" s="1"/>
  <c r="B339" i="123"/>
  <c r="C339" i="123" s="1"/>
  <c r="B347" i="123"/>
  <c r="C347" i="123" s="1"/>
  <c r="B355" i="123"/>
  <c r="C355" i="123" s="1"/>
  <c r="B363" i="123"/>
  <c r="C363" i="123" s="1"/>
  <c r="B371" i="123"/>
  <c r="C371" i="123" s="1"/>
  <c r="B379" i="123"/>
  <c r="C379" i="123" s="1"/>
  <c r="B133" i="123"/>
  <c r="C133" i="123" s="1"/>
  <c r="B102" i="123"/>
  <c r="C102" i="123" s="1"/>
  <c r="B294" i="123"/>
  <c r="C294" i="123" s="1"/>
  <c r="B302" i="123"/>
  <c r="C302" i="123" s="1"/>
  <c r="B310" i="123"/>
  <c r="C310" i="123" s="1"/>
  <c r="B318" i="123"/>
  <c r="C318" i="123" s="1"/>
  <c r="B326" i="123"/>
  <c r="C326" i="123" s="1"/>
  <c r="B334" i="123"/>
  <c r="C334" i="123" s="1"/>
  <c r="B342" i="123"/>
  <c r="C342" i="123" s="1"/>
  <c r="B350" i="123"/>
  <c r="C350" i="123" s="1"/>
  <c r="B358" i="123"/>
  <c r="C358" i="123" s="1"/>
  <c r="B366" i="123"/>
  <c r="C366" i="123" s="1"/>
  <c r="B374" i="123"/>
  <c r="C374" i="123" s="1"/>
  <c r="B382" i="123"/>
  <c r="C382" i="123" s="1"/>
  <c r="B390" i="123"/>
  <c r="C390" i="123" s="1"/>
  <c r="B274" i="123"/>
  <c r="C274" i="123" s="1"/>
  <c r="B280" i="123"/>
  <c r="C280" i="123" s="1"/>
  <c r="B125" i="123"/>
  <c r="C125" i="123" s="1"/>
  <c r="B94" i="123"/>
  <c r="C94" i="123" s="1"/>
  <c r="B58" i="123"/>
  <c r="C58" i="123" s="1"/>
  <c r="B56" i="123"/>
  <c r="C56" i="123" s="1"/>
  <c r="B292" i="123"/>
  <c r="C292" i="123" s="1"/>
  <c r="B300" i="123"/>
  <c r="C300" i="123" s="1"/>
  <c r="B308" i="123"/>
  <c r="C308" i="123" s="1"/>
  <c r="B316" i="123"/>
  <c r="C316" i="123" s="1"/>
  <c r="B324" i="123"/>
  <c r="C324" i="123" s="1"/>
  <c r="B332" i="123"/>
  <c r="C332" i="123" s="1"/>
  <c r="B340" i="123"/>
  <c r="C340" i="123" s="1"/>
  <c r="B348" i="123"/>
  <c r="C348" i="123" s="1"/>
  <c r="B356" i="123"/>
  <c r="C356" i="123" s="1"/>
  <c r="B364" i="123"/>
  <c r="C364" i="123" s="1"/>
  <c r="B372" i="123"/>
  <c r="C372" i="123" s="1"/>
  <c r="B380" i="123"/>
  <c r="C380" i="123" s="1"/>
  <c r="B388" i="123"/>
  <c r="C388" i="123" s="1"/>
  <c r="B65" i="123"/>
  <c r="C65" i="123" s="1"/>
  <c r="B407" i="123"/>
  <c r="C407" i="123" s="1"/>
  <c r="B415" i="123"/>
  <c r="C415" i="123" s="1"/>
  <c r="B69" i="123"/>
  <c r="C69" i="123" s="1"/>
  <c r="B297" i="123"/>
  <c r="C297" i="123" s="1"/>
  <c r="B329" i="123"/>
  <c r="C329" i="123" s="1"/>
  <c r="B361" i="123"/>
  <c r="C361" i="123" s="1"/>
  <c r="B402" i="123"/>
  <c r="C402" i="123" s="1"/>
  <c r="B410" i="123"/>
  <c r="C410" i="123" s="1"/>
  <c r="B418" i="123"/>
  <c r="C418" i="123" s="1"/>
  <c r="B73" i="123"/>
  <c r="C73" i="123" s="1"/>
  <c r="B377" i="123"/>
  <c r="C377" i="123" s="1"/>
  <c r="B391" i="123"/>
  <c r="C391" i="123" s="1"/>
  <c r="B398" i="123"/>
  <c r="C398" i="123" s="1"/>
  <c r="B405" i="123"/>
  <c r="C405" i="123" s="1"/>
  <c r="B413" i="123"/>
  <c r="C413" i="123" s="1"/>
  <c r="B421" i="123"/>
  <c r="C421" i="123" s="1"/>
  <c r="B401" i="123"/>
  <c r="C401" i="123" s="1"/>
  <c r="B57" i="123"/>
  <c r="C57" i="123" s="1"/>
  <c r="B305" i="123"/>
  <c r="C305" i="123" s="1"/>
  <c r="B337" i="123"/>
  <c r="C337" i="123" s="1"/>
  <c r="B375" i="123"/>
  <c r="C375" i="123" s="1"/>
  <c r="B395" i="123"/>
  <c r="C395" i="123" s="1"/>
  <c r="B396" i="123"/>
  <c r="C396" i="123" s="1"/>
  <c r="B399" i="123"/>
  <c r="C399" i="123" s="1"/>
  <c r="B408" i="123"/>
  <c r="C408" i="123" s="1"/>
  <c r="B416" i="123"/>
  <c r="C416" i="123" s="1"/>
  <c r="B419" i="123"/>
  <c r="C419" i="123" s="1"/>
  <c r="B383" i="123"/>
  <c r="C383" i="123" s="1"/>
  <c r="B400" i="123"/>
  <c r="C400" i="123" s="1"/>
  <c r="B403" i="123"/>
  <c r="C403" i="123" s="1"/>
  <c r="B411" i="123"/>
  <c r="C411" i="123" s="1"/>
  <c r="B22" i="123"/>
  <c r="C22" i="123" s="1"/>
  <c r="B313" i="123"/>
  <c r="C313" i="123" s="1"/>
  <c r="B345" i="123"/>
  <c r="C345" i="123" s="1"/>
  <c r="B385" i="123"/>
  <c r="C385" i="123" s="1"/>
  <c r="B393" i="123"/>
  <c r="C393" i="123" s="1"/>
  <c r="B406" i="123"/>
  <c r="C406" i="123" s="1"/>
  <c r="B414" i="123"/>
  <c r="C414" i="123" s="1"/>
  <c r="B369" i="123"/>
  <c r="C369" i="123" s="1"/>
  <c r="B417" i="123"/>
  <c r="C417" i="123" s="1"/>
  <c r="B321" i="123"/>
  <c r="C321" i="123" s="1"/>
  <c r="B353" i="123"/>
  <c r="C353" i="123" s="1"/>
  <c r="B367" i="123"/>
  <c r="C367" i="123" s="1"/>
  <c r="B387" i="123"/>
  <c r="C387" i="123" s="1"/>
  <c r="B404" i="123"/>
  <c r="C404" i="123" s="1"/>
  <c r="B412" i="123"/>
  <c r="C412" i="123" s="1"/>
  <c r="B420" i="123"/>
  <c r="C420" i="123" s="1"/>
  <c r="B409" i="123"/>
  <c r="C409" i="123" s="1"/>
  <c r="C32" i="124"/>
  <c r="C34" i="124"/>
  <c r="C280" i="124"/>
  <c r="C287" i="124"/>
  <c r="C195" i="124"/>
  <c r="C256" i="124"/>
  <c r="C277" i="124"/>
  <c r="C254" i="124"/>
  <c r="C50" i="124"/>
  <c r="C201" i="124"/>
  <c r="C48" i="124"/>
  <c r="C281" i="124"/>
  <c r="C210" i="124"/>
  <c r="C236" i="124"/>
  <c r="C26" i="124"/>
  <c r="C223" i="124"/>
  <c r="C273" i="124"/>
  <c r="C263" i="124"/>
  <c r="C230" i="124"/>
  <c r="C9" i="124"/>
  <c r="C206" i="124"/>
  <c r="C61" i="124"/>
  <c r="C267" i="124"/>
  <c r="C259" i="124"/>
  <c r="C264" i="124"/>
  <c r="C200" i="124"/>
  <c r="C271" i="124"/>
  <c r="C241" i="124"/>
  <c r="C19" i="124"/>
  <c r="C43" i="124"/>
  <c r="C57" i="124"/>
  <c r="C23" i="124"/>
  <c r="C22" i="124"/>
  <c r="C18" i="124"/>
  <c r="C38" i="124"/>
  <c r="C51" i="124"/>
  <c r="C56" i="124"/>
  <c r="C21" i="124"/>
  <c r="C47" i="124"/>
  <c r="C192" i="124"/>
  <c r="C227" i="124"/>
  <c r="C198" i="124"/>
  <c r="C205" i="124"/>
  <c r="C269" i="124"/>
  <c r="C262" i="124"/>
  <c r="C220" i="124"/>
  <c r="C279" i="124"/>
  <c r="C232" i="124"/>
  <c r="C285" i="124"/>
  <c r="C202" i="124"/>
  <c r="C16" i="124"/>
  <c r="C240" i="124"/>
  <c r="C242" i="124"/>
  <c r="C276" i="124"/>
  <c r="C286" i="124"/>
  <c r="C228" i="124"/>
  <c r="C17" i="124"/>
  <c r="C283" i="124"/>
  <c r="C221" i="124"/>
  <c r="C53" i="124"/>
  <c r="C239" i="124"/>
  <c r="C5" i="124"/>
  <c r="C250" i="124"/>
  <c r="C261" i="124"/>
  <c r="C208" i="124"/>
  <c r="C268" i="124"/>
  <c r="C190" i="124"/>
  <c r="C204" i="124"/>
  <c r="C4" i="124"/>
  <c r="C257" i="124"/>
  <c r="C199" i="124"/>
  <c r="C59" i="124"/>
  <c r="C212" i="124"/>
  <c r="C60" i="124"/>
  <c r="C255" i="124"/>
  <c r="C214" i="124"/>
  <c r="C224" i="124"/>
  <c r="C248" i="124"/>
  <c r="C265" i="124"/>
  <c r="C247" i="124"/>
  <c r="C260" i="124"/>
  <c r="C207" i="124"/>
  <c r="C278" i="124"/>
  <c r="C194" i="124"/>
  <c r="C213" i="124"/>
  <c r="C222" i="124"/>
  <c r="C258" i="124"/>
  <c r="C246" i="124"/>
  <c r="C245" i="124"/>
  <c r="C282" i="124"/>
  <c r="C203" i="124"/>
  <c r="C191" i="124"/>
  <c r="C30" i="124"/>
  <c r="C284" i="124"/>
  <c r="C42" i="124"/>
  <c r="C243" i="124"/>
  <c r="C229" i="124"/>
  <c r="C266" i="124"/>
  <c r="C231" i="124"/>
  <c r="C37" i="124"/>
  <c r="C244" i="124"/>
  <c r="C197" i="124"/>
  <c r="C217" i="124"/>
  <c r="C226" i="124"/>
  <c r="C235" i="124"/>
  <c r="C233" i="124"/>
  <c r="C40" i="124"/>
  <c r="C253" i="124"/>
  <c r="C237" i="124"/>
  <c r="C46" i="124"/>
  <c r="C270" i="124"/>
  <c r="C188" i="124"/>
  <c r="C215" i="124"/>
  <c r="C41" i="124"/>
  <c r="C31" i="124"/>
  <c r="C272" i="124"/>
  <c r="C249" i="124"/>
  <c r="C209" i="124"/>
  <c r="C225" i="124"/>
  <c r="C196" i="124"/>
  <c r="C251" i="124"/>
  <c r="C218" i="124"/>
  <c r="C274" i="124"/>
  <c r="C211" i="124"/>
  <c r="C275" i="124"/>
  <c r="C189" i="124"/>
  <c r="C193" i="124"/>
  <c r="C252" i="124"/>
  <c r="C238" i="124"/>
  <c r="C219" i="124"/>
  <c r="C216" i="124"/>
  <c r="C55" i="124"/>
  <c r="C187" i="124"/>
  <c r="C234" i="124"/>
  <c r="C35" i="124"/>
  <c r="C27" i="124"/>
  <c r="C66" i="124"/>
  <c r="C74" i="124"/>
  <c r="C82" i="124"/>
  <c r="C90" i="124"/>
  <c r="C98" i="124"/>
  <c r="C106" i="124"/>
  <c r="C113" i="124"/>
  <c r="C120" i="124"/>
  <c r="C128" i="124"/>
  <c r="C134" i="124"/>
  <c r="C142" i="124"/>
  <c r="C150" i="124"/>
  <c r="C157" i="124"/>
  <c r="C164" i="124"/>
  <c r="C170" i="124"/>
  <c r="C178" i="124"/>
  <c r="C186" i="124"/>
  <c r="C52" i="124"/>
  <c r="C67" i="124"/>
  <c r="C75" i="124"/>
  <c r="C83" i="124"/>
  <c r="C91" i="124"/>
  <c r="C99" i="124"/>
  <c r="C7" i="124"/>
  <c r="C114" i="124"/>
  <c r="C121" i="124"/>
  <c r="C10" i="124"/>
  <c r="C135" i="124"/>
  <c r="C143" i="124"/>
  <c r="C151" i="124"/>
  <c r="C12" i="124"/>
  <c r="C165" i="124"/>
  <c r="C171" i="124"/>
  <c r="C179" i="124"/>
  <c r="C123" i="124"/>
  <c r="C145" i="124"/>
  <c r="C167" i="124"/>
  <c r="C146" i="124"/>
  <c r="C182" i="124"/>
  <c r="C155" i="124"/>
  <c r="C44" i="124"/>
  <c r="C25" i="124"/>
  <c r="C49" i="124"/>
  <c r="C68" i="124"/>
  <c r="C76" i="124"/>
  <c r="C84" i="124"/>
  <c r="C92" i="124"/>
  <c r="C100" i="124"/>
  <c r="C107" i="124"/>
  <c r="C115" i="124"/>
  <c r="C122" i="124"/>
  <c r="C6" i="124"/>
  <c r="C136" i="124"/>
  <c r="C144" i="124"/>
  <c r="C152" i="124"/>
  <c r="C158" i="124"/>
  <c r="C166" i="124"/>
  <c r="C172" i="124"/>
  <c r="C180" i="124"/>
  <c r="C129" i="124"/>
  <c r="C153" i="124"/>
  <c r="C181" i="124"/>
  <c r="C160" i="124"/>
  <c r="C175" i="124"/>
  <c r="C176" i="124"/>
  <c r="C24" i="124"/>
  <c r="C33" i="124"/>
  <c r="C69" i="124"/>
  <c r="C77" i="124"/>
  <c r="C85" i="124"/>
  <c r="C93" i="124"/>
  <c r="C101" i="124"/>
  <c r="C108" i="124"/>
  <c r="C116" i="124"/>
  <c r="C137" i="124"/>
  <c r="C159" i="124"/>
  <c r="C173" i="124"/>
  <c r="C183" i="124"/>
  <c r="C168" i="124"/>
  <c r="C36" i="124"/>
  <c r="C20" i="124"/>
  <c r="C54" i="124"/>
  <c r="C28" i="124"/>
  <c r="C62" i="124"/>
  <c r="C70" i="124"/>
  <c r="C78" i="124"/>
  <c r="C86" i="124"/>
  <c r="C94" i="124"/>
  <c r="C102" i="124"/>
  <c r="C109" i="124"/>
  <c r="C117" i="124"/>
  <c r="C124" i="124"/>
  <c r="C130" i="124"/>
  <c r="C138" i="124"/>
  <c r="C154" i="124"/>
  <c r="C174" i="124"/>
  <c r="C148" i="124"/>
  <c r="C39" i="124"/>
  <c r="C15" i="124"/>
  <c r="C63" i="124"/>
  <c r="C71" i="124"/>
  <c r="C79" i="124"/>
  <c r="C87" i="124"/>
  <c r="C95" i="124"/>
  <c r="C103" i="124"/>
  <c r="C110" i="124"/>
  <c r="C8" i="124"/>
  <c r="C125" i="124"/>
  <c r="C131" i="124"/>
  <c r="C139" i="124"/>
  <c r="C147" i="124"/>
  <c r="C13" i="124"/>
  <c r="C161" i="124"/>
  <c r="C11" i="124"/>
  <c r="C162" i="124"/>
  <c r="C45" i="124"/>
  <c r="C64" i="124"/>
  <c r="C72" i="124"/>
  <c r="C80" i="124"/>
  <c r="C88" i="124"/>
  <c r="C96" i="124"/>
  <c r="C104" i="124"/>
  <c r="C111" i="124"/>
  <c r="C118" i="124"/>
  <c r="C126" i="124"/>
  <c r="C132" i="124"/>
  <c r="C140" i="124"/>
  <c r="C184" i="124"/>
  <c r="C112" i="124"/>
  <c r="C169" i="124"/>
  <c r="C97" i="124"/>
  <c r="C119" i="124"/>
  <c r="C177" i="124"/>
  <c r="C185" i="124"/>
  <c r="C156" i="124"/>
  <c r="C65" i="124"/>
  <c r="C127" i="124"/>
  <c r="C73" i="124"/>
  <c r="C133" i="124"/>
  <c r="C89" i="124"/>
  <c r="C81" i="124"/>
  <c r="C141" i="124"/>
  <c r="C105" i="124"/>
  <c r="C163" i="124"/>
  <c r="C149" i="124"/>
  <c r="AO491" i="23"/>
  <c r="AP491" i="23"/>
  <c r="AO475" i="23"/>
  <c r="AP475" i="23"/>
  <c r="AO394" i="23"/>
  <c r="AP394" i="23"/>
  <c r="AO521" i="23"/>
  <c r="AP521" i="23"/>
  <c r="AO9" i="23"/>
  <c r="AP9" i="23"/>
  <c r="AO176" i="23"/>
  <c r="AP176" i="23"/>
  <c r="AO399" i="23"/>
  <c r="AP399" i="23"/>
  <c r="AO143" i="23"/>
  <c r="AP143" i="23"/>
  <c r="AO166" i="23"/>
  <c r="AP166" i="23"/>
  <c r="AO173" i="23"/>
  <c r="AP173" i="23"/>
  <c r="AO60" i="23"/>
  <c r="AP60" i="23"/>
  <c r="AO555" i="23"/>
  <c r="AP555" i="23"/>
  <c r="AO547" i="23"/>
  <c r="AP547" i="23"/>
  <c r="AO283" i="23"/>
  <c r="AP283" i="23"/>
  <c r="AO267" i="23"/>
  <c r="AP267" i="23"/>
  <c r="AO451" i="23"/>
  <c r="AP451" i="23"/>
  <c r="AO211" i="23"/>
  <c r="AP211" i="23"/>
  <c r="AO123" i="23"/>
  <c r="AP123" i="23"/>
  <c r="AO371" i="23"/>
  <c r="AP371" i="23"/>
  <c r="AO75" i="23"/>
  <c r="AP75" i="23"/>
  <c r="AO11" i="23"/>
  <c r="AP11" i="23"/>
  <c r="AO530" i="23"/>
  <c r="AP530" i="23"/>
  <c r="AO466" i="23"/>
  <c r="AP466" i="23"/>
  <c r="AO402" i="23"/>
  <c r="AP402" i="23"/>
  <c r="AO338" i="23"/>
  <c r="AP338" i="23"/>
  <c r="AO274" i="23"/>
  <c r="AP274" i="23"/>
  <c r="AO210" i="23"/>
  <c r="AP210" i="23"/>
  <c r="AO146" i="23"/>
  <c r="AP146" i="23"/>
  <c r="AO82" i="23"/>
  <c r="AP82" i="23"/>
  <c r="AO18" i="23"/>
  <c r="AP18" i="23"/>
  <c r="AO529" i="23"/>
  <c r="AP529" i="23"/>
  <c r="AO465" i="23"/>
  <c r="AP465" i="23"/>
  <c r="AO401" i="23"/>
  <c r="AP401" i="23"/>
  <c r="AO337" i="23"/>
  <c r="AP337" i="23"/>
  <c r="AO273" i="23"/>
  <c r="AP273" i="23"/>
  <c r="AO209" i="23"/>
  <c r="AP209" i="23"/>
  <c r="AO145" i="23"/>
  <c r="AP145" i="23"/>
  <c r="AO81" i="23"/>
  <c r="AP81" i="23"/>
  <c r="AO17" i="23"/>
  <c r="AP17" i="23"/>
  <c r="AO520" i="23"/>
  <c r="AP520" i="23"/>
  <c r="AO440" i="23"/>
  <c r="AP440" i="23"/>
  <c r="AO376" i="23"/>
  <c r="AP376" i="23"/>
  <c r="AO312" i="23"/>
  <c r="AP312" i="23"/>
  <c r="AO248" i="23"/>
  <c r="AP248" i="23"/>
  <c r="AO184" i="23"/>
  <c r="AP184" i="23"/>
  <c r="AO120" i="23"/>
  <c r="AP120" i="23"/>
  <c r="AO56" i="23"/>
  <c r="AP56" i="23"/>
  <c r="AO576" i="23"/>
  <c r="AP576" i="23"/>
  <c r="AO535" i="23"/>
  <c r="AP535" i="23"/>
  <c r="AO471" i="23"/>
  <c r="AP471" i="23"/>
  <c r="AO407" i="23"/>
  <c r="AP407" i="23"/>
  <c r="AO343" i="23"/>
  <c r="AP343" i="23"/>
  <c r="AO279" i="23"/>
  <c r="AP279" i="23"/>
  <c r="AO215" i="23"/>
  <c r="AP215" i="23"/>
  <c r="AO151" i="23"/>
  <c r="AP151" i="23"/>
  <c r="AO87" i="23"/>
  <c r="AP87" i="23"/>
  <c r="AO23" i="23"/>
  <c r="AP23" i="23"/>
  <c r="AO558" i="23"/>
  <c r="AP558" i="23"/>
  <c r="AO494" i="23"/>
  <c r="AP494" i="23"/>
  <c r="AO430" i="23"/>
  <c r="AP430" i="23"/>
  <c r="AO366" i="23"/>
  <c r="AP366" i="23"/>
  <c r="AO302" i="23"/>
  <c r="AP302" i="23"/>
  <c r="AO238" i="23"/>
  <c r="AP238" i="23"/>
  <c r="AO174" i="23"/>
  <c r="AP174" i="23"/>
  <c r="AO110" i="23"/>
  <c r="AP110" i="23"/>
  <c r="AO46" i="23"/>
  <c r="AP46" i="23"/>
  <c r="AO565" i="23"/>
  <c r="AP565" i="23"/>
  <c r="AO501" i="23"/>
  <c r="AP501" i="23"/>
  <c r="AO437" i="23"/>
  <c r="AP437" i="23"/>
  <c r="AO373" i="23"/>
  <c r="AP373" i="23"/>
  <c r="AO309" i="23"/>
  <c r="AP309" i="23"/>
  <c r="AO245" i="23"/>
  <c r="AP245" i="23"/>
  <c r="AO181" i="23"/>
  <c r="AP181" i="23"/>
  <c r="AO117" i="23"/>
  <c r="AP117" i="23"/>
  <c r="AO53" i="23"/>
  <c r="AP53" i="23"/>
  <c r="AO580" i="23"/>
  <c r="AP580" i="23"/>
  <c r="AO516" i="23"/>
  <c r="AP516" i="23"/>
  <c r="AO452" i="23"/>
  <c r="AP452" i="23"/>
  <c r="AO388" i="23"/>
  <c r="AP388" i="23"/>
  <c r="AO324" i="23"/>
  <c r="AP324" i="23"/>
  <c r="AO260" i="23"/>
  <c r="AP260" i="23"/>
  <c r="AO196" i="23"/>
  <c r="AP196" i="23"/>
  <c r="AO132" i="23"/>
  <c r="AP132" i="23"/>
  <c r="AO68" i="23"/>
  <c r="AP68" i="23"/>
  <c r="AO4" i="23"/>
  <c r="AP4" i="23"/>
  <c r="AO203" i="23"/>
  <c r="AP203" i="23"/>
  <c r="AO330" i="23"/>
  <c r="AP330" i="23"/>
  <c r="AO201" i="23"/>
  <c r="AP201" i="23"/>
  <c r="AO48" i="23"/>
  <c r="AP48" i="23"/>
  <c r="AO79" i="23"/>
  <c r="AP79" i="23"/>
  <c r="AO102" i="23"/>
  <c r="AP102" i="23"/>
  <c r="AO365" i="23"/>
  <c r="AP365" i="23"/>
  <c r="AO380" i="23"/>
  <c r="AP380" i="23"/>
  <c r="AO139" i="23"/>
  <c r="AP139" i="23"/>
  <c r="AO323" i="23"/>
  <c r="AP323" i="23"/>
  <c r="AO507" i="23"/>
  <c r="AP507" i="23"/>
  <c r="AO155" i="23"/>
  <c r="AP155" i="23"/>
  <c r="AO243" i="23"/>
  <c r="AP243" i="23"/>
  <c r="AO59" i="23"/>
  <c r="AP59" i="23"/>
  <c r="AO578" i="23"/>
  <c r="AP578" i="23"/>
  <c r="AO514" i="23"/>
  <c r="AP514" i="23"/>
  <c r="AO450" i="23"/>
  <c r="AP450" i="23"/>
  <c r="AO386" i="23"/>
  <c r="AP386" i="23"/>
  <c r="AO322" i="23"/>
  <c r="AP322" i="23"/>
  <c r="AO258" i="23"/>
  <c r="AP258" i="23"/>
  <c r="AO194" i="23"/>
  <c r="AP194" i="23"/>
  <c r="AO130" i="23"/>
  <c r="AP130" i="23"/>
  <c r="AO66" i="23"/>
  <c r="AP66" i="23"/>
  <c r="AO585" i="23"/>
  <c r="AP585" i="23"/>
  <c r="AO513" i="23"/>
  <c r="AP513" i="23"/>
  <c r="AO449" i="23"/>
  <c r="AP449" i="23"/>
  <c r="AO385" i="23"/>
  <c r="AP385" i="23"/>
  <c r="AO321" i="23"/>
  <c r="AP321" i="23"/>
  <c r="AO257" i="23"/>
  <c r="AP257" i="23"/>
  <c r="AO193" i="23"/>
  <c r="AP193" i="23"/>
  <c r="AO129" i="23"/>
  <c r="AP129" i="23"/>
  <c r="AO65" i="23"/>
  <c r="AP65" i="23"/>
  <c r="AO568" i="23"/>
  <c r="AP568" i="23"/>
  <c r="AO504" i="23"/>
  <c r="AP504" i="23"/>
  <c r="AO424" i="23"/>
  <c r="AP424" i="23"/>
  <c r="AO360" i="23"/>
  <c r="AP360" i="23"/>
  <c r="AO296" i="23"/>
  <c r="AP296" i="23"/>
  <c r="AO232" i="23"/>
  <c r="AP232" i="23"/>
  <c r="AO168" i="23"/>
  <c r="AP168" i="23"/>
  <c r="AO104" i="23"/>
  <c r="AP104" i="23"/>
  <c r="AO40" i="23"/>
  <c r="AP40" i="23"/>
  <c r="AO583" i="23"/>
  <c r="AP583" i="23"/>
  <c r="AO519" i="23"/>
  <c r="AP519" i="23"/>
  <c r="AO455" i="23"/>
  <c r="AP455" i="23"/>
  <c r="AO391" i="23"/>
  <c r="AP391" i="23"/>
  <c r="AO327" i="23"/>
  <c r="AP327" i="23"/>
  <c r="AO263" i="23"/>
  <c r="AP263" i="23"/>
  <c r="AO199" i="23"/>
  <c r="AP199" i="23"/>
  <c r="AO135" i="23"/>
  <c r="AP135" i="23"/>
  <c r="AO71" i="23"/>
  <c r="AP71" i="23"/>
  <c r="AO7" i="23"/>
  <c r="AP7" i="23"/>
  <c r="AO542" i="23"/>
  <c r="AP542" i="23"/>
  <c r="AO478" i="23"/>
  <c r="AP478" i="23"/>
  <c r="AO414" i="23"/>
  <c r="AP414" i="23"/>
  <c r="AO350" i="23"/>
  <c r="AP350" i="23"/>
  <c r="AO286" i="23"/>
  <c r="AP286" i="23"/>
  <c r="AO222" i="23"/>
  <c r="AP222" i="23"/>
  <c r="AO158" i="23"/>
  <c r="AP158" i="23"/>
  <c r="AO94" i="23"/>
  <c r="AP94" i="23"/>
  <c r="AO30" i="23"/>
  <c r="AP30" i="23"/>
  <c r="AO549" i="23"/>
  <c r="AP549" i="23"/>
  <c r="AO485" i="23"/>
  <c r="AP485" i="23"/>
  <c r="AO421" i="23"/>
  <c r="AP421" i="23"/>
  <c r="AO357" i="23"/>
  <c r="AP357" i="23"/>
  <c r="AO293" i="23"/>
  <c r="AP293" i="23"/>
  <c r="AO229" i="23"/>
  <c r="AP229" i="23"/>
  <c r="AO165" i="23"/>
  <c r="AP165" i="23"/>
  <c r="AO101" i="23"/>
  <c r="AP101" i="23"/>
  <c r="AO37" i="23"/>
  <c r="AP37" i="23"/>
  <c r="AO564" i="23"/>
  <c r="AP564" i="23"/>
  <c r="AO500" i="23"/>
  <c r="AP500" i="23"/>
  <c r="AO436" i="23"/>
  <c r="AP436" i="23"/>
  <c r="AO372" i="23"/>
  <c r="AP372" i="23"/>
  <c r="AO308" i="23"/>
  <c r="AP308" i="23"/>
  <c r="AO244" i="23"/>
  <c r="AP244" i="23"/>
  <c r="AO180" i="23"/>
  <c r="AP180" i="23"/>
  <c r="AO116" i="23"/>
  <c r="AP116" i="23"/>
  <c r="AO52" i="23"/>
  <c r="AP52" i="23"/>
  <c r="AO483" i="23"/>
  <c r="AP483" i="23"/>
  <c r="AO307" i="23"/>
  <c r="AP307" i="23"/>
  <c r="AO202" i="23"/>
  <c r="AP202" i="23"/>
  <c r="AO457" i="23"/>
  <c r="AP457" i="23"/>
  <c r="AO137" i="23"/>
  <c r="AP137" i="23"/>
  <c r="AO368" i="23"/>
  <c r="AP368" i="23"/>
  <c r="AO480" i="23"/>
  <c r="AP480" i="23"/>
  <c r="AO335" i="23"/>
  <c r="AP335" i="23"/>
  <c r="AO550" i="23"/>
  <c r="AP550" i="23"/>
  <c r="AO230" i="23"/>
  <c r="AP230" i="23"/>
  <c r="AO493" i="23"/>
  <c r="AP493" i="23"/>
  <c r="AO45" i="23"/>
  <c r="AP45" i="23"/>
  <c r="AO188" i="23"/>
  <c r="AP188" i="23"/>
  <c r="AO339" i="23"/>
  <c r="AP339" i="23"/>
  <c r="AO363" i="23"/>
  <c r="AP363" i="23"/>
  <c r="AO355" i="23"/>
  <c r="AP355" i="23"/>
  <c r="AO587" i="23"/>
  <c r="AP587" i="23"/>
  <c r="AO539" i="23"/>
  <c r="AP539" i="23"/>
  <c r="AO259" i="23"/>
  <c r="AP259" i="23"/>
  <c r="AO443" i="23"/>
  <c r="AP443" i="23"/>
  <c r="AO467" i="23"/>
  <c r="AP467" i="23"/>
  <c r="AO179" i="23"/>
  <c r="AP179" i="23"/>
  <c r="AO51" i="23"/>
  <c r="AP51" i="23"/>
  <c r="AO570" i="23"/>
  <c r="AP570" i="23"/>
  <c r="AO506" i="23"/>
  <c r="AP506" i="23"/>
  <c r="AO442" i="23"/>
  <c r="AP442" i="23"/>
  <c r="AO378" i="23"/>
  <c r="AP378" i="23"/>
  <c r="AO314" i="23"/>
  <c r="AP314" i="23"/>
  <c r="AO250" i="23"/>
  <c r="AP250" i="23"/>
  <c r="AO186" i="23"/>
  <c r="AP186" i="23"/>
  <c r="AO122" i="23"/>
  <c r="AP122" i="23"/>
  <c r="AO58" i="23"/>
  <c r="AP58" i="23"/>
  <c r="AO577" i="23"/>
  <c r="AP577" i="23"/>
  <c r="AO505" i="23"/>
  <c r="AP505" i="23"/>
  <c r="AO441" i="23"/>
  <c r="AP441" i="23"/>
  <c r="AO377" i="23"/>
  <c r="AP377" i="23"/>
  <c r="AO313" i="23"/>
  <c r="AP313" i="23"/>
  <c r="AO249" i="23"/>
  <c r="AP249" i="23"/>
  <c r="AO185" i="23"/>
  <c r="AP185" i="23"/>
  <c r="AO121" i="23"/>
  <c r="AP121" i="23"/>
  <c r="AO57" i="23"/>
  <c r="AP57" i="23"/>
  <c r="AO560" i="23"/>
  <c r="AP560" i="23"/>
  <c r="AO496" i="23"/>
  <c r="AP496" i="23"/>
  <c r="AO416" i="23"/>
  <c r="AP416" i="23"/>
  <c r="AO352" i="23"/>
  <c r="AP352" i="23"/>
  <c r="AO288" i="23"/>
  <c r="AP288" i="23"/>
  <c r="AO224" i="23"/>
  <c r="AP224" i="23"/>
  <c r="AO160" i="23"/>
  <c r="AP160" i="23"/>
  <c r="AO96" i="23"/>
  <c r="AP96" i="23"/>
  <c r="AO32" i="23"/>
  <c r="AP32" i="23"/>
  <c r="AO575" i="23"/>
  <c r="AP575" i="23"/>
  <c r="AO511" i="23"/>
  <c r="AP511" i="23"/>
  <c r="AO447" i="23"/>
  <c r="AP447" i="23"/>
  <c r="AO383" i="23"/>
  <c r="AP383" i="23"/>
  <c r="AO319" i="23"/>
  <c r="AP319" i="23"/>
  <c r="AO255" i="23"/>
  <c r="AP255" i="23"/>
  <c r="AO191" i="23"/>
  <c r="AP191" i="23"/>
  <c r="AO127" i="23"/>
  <c r="AP127" i="23"/>
  <c r="AO63" i="23"/>
  <c r="AP63" i="23"/>
  <c r="AO584" i="23"/>
  <c r="AP584" i="23"/>
  <c r="AO534" i="23"/>
  <c r="AP534" i="23"/>
  <c r="AO470" i="23"/>
  <c r="AP470" i="23"/>
  <c r="AO406" i="23"/>
  <c r="AP406" i="23"/>
  <c r="AO342" i="23"/>
  <c r="AP342" i="23"/>
  <c r="AO278" i="23"/>
  <c r="AP278" i="23"/>
  <c r="AO214" i="23"/>
  <c r="AP214" i="23"/>
  <c r="AO150" i="23"/>
  <c r="AP150" i="23"/>
  <c r="AO86" i="23"/>
  <c r="AP86" i="23"/>
  <c r="AO22" i="23"/>
  <c r="AP22" i="23"/>
  <c r="AO541" i="23"/>
  <c r="AP541" i="23"/>
  <c r="AO477" i="23"/>
  <c r="AP477" i="23"/>
  <c r="AO413" i="23"/>
  <c r="AP413" i="23"/>
  <c r="AO349" i="23"/>
  <c r="AP349" i="23"/>
  <c r="AO285" i="23"/>
  <c r="AP285" i="23"/>
  <c r="AO221" i="23"/>
  <c r="AP221" i="23"/>
  <c r="AO157" i="23"/>
  <c r="AP157" i="23"/>
  <c r="AO93" i="23"/>
  <c r="AP93" i="23"/>
  <c r="AO29" i="23"/>
  <c r="AP29" i="23"/>
  <c r="AO556" i="23"/>
  <c r="AP556" i="23"/>
  <c r="AO492" i="23"/>
  <c r="AP492" i="23"/>
  <c r="AO428" i="23"/>
  <c r="AP428" i="23"/>
  <c r="AO364" i="23"/>
  <c r="AP364" i="23"/>
  <c r="AO300" i="23"/>
  <c r="AP300" i="23"/>
  <c r="AO236" i="23"/>
  <c r="AP236" i="23"/>
  <c r="AO172" i="23"/>
  <c r="AP172" i="23"/>
  <c r="AO108" i="23"/>
  <c r="AP108" i="23"/>
  <c r="AO44" i="23"/>
  <c r="AP44" i="23"/>
  <c r="AO571" i="23"/>
  <c r="AP571" i="23"/>
  <c r="AO458" i="23"/>
  <c r="AP458" i="23"/>
  <c r="AO10" i="23"/>
  <c r="AP10" i="23"/>
  <c r="AO73" i="23"/>
  <c r="AP73" i="23"/>
  <c r="AO112" i="23"/>
  <c r="AP112" i="23"/>
  <c r="AO271" i="23"/>
  <c r="AP271" i="23"/>
  <c r="AO486" i="23"/>
  <c r="AP486" i="23"/>
  <c r="AO294" i="23"/>
  <c r="AP294" i="23"/>
  <c r="AO557" i="23"/>
  <c r="AP557" i="23"/>
  <c r="AO301" i="23"/>
  <c r="AP301" i="23"/>
  <c r="AO572" i="23"/>
  <c r="AP572" i="23"/>
  <c r="AO252" i="23"/>
  <c r="AP252" i="23"/>
  <c r="AO427" i="23"/>
  <c r="AP427" i="23"/>
  <c r="AO299" i="23"/>
  <c r="AP299" i="23"/>
  <c r="AO291" i="23"/>
  <c r="AP291" i="23"/>
  <c r="AO523" i="23"/>
  <c r="AP523" i="23"/>
  <c r="AO347" i="23"/>
  <c r="AP347" i="23"/>
  <c r="AO195" i="23"/>
  <c r="AP195" i="23"/>
  <c r="AO379" i="23"/>
  <c r="AP379" i="23"/>
  <c r="AO147" i="23"/>
  <c r="AP147" i="23"/>
  <c r="AO115" i="23"/>
  <c r="AP115" i="23"/>
  <c r="AO43" i="23"/>
  <c r="AP43" i="23"/>
  <c r="AO562" i="23"/>
  <c r="AP562" i="23"/>
  <c r="AO498" i="23"/>
  <c r="AP498" i="23"/>
  <c r="AO434" i="23"/>
  <c r="AP434" i="23"/>
  <c r="AO370" i="23"/>
  <c r="AP370" i="23"/>
  <c r="AO306" i="23"/>
  <c r="AP306" i="23"/>
  <c r="AO242" i="23"/>
  <c r="AP242" i="23"/>
  <c r="AO178" i="23"/>
  <c r="AP178" i="23"/>
  <c r="AO114" i="23"/>
  <c r="AP114" i="23"/>
  <c r="AO50" i="23"/>
  <c r="AP50" i="23"/>
  <c r="AO561" i="23"/>
  <c r="AP561" i="23"/>
  <c r="AO497" i="23"/>
  <c r="AP497" i="23"/>
  <c r="AO433" i="23"/>
  <c r="AP433" i="23"/>
  <c r="AO369" i="23"/>
  <c r="AP369" i="23"/>
  <c r="AO305" i="23"/>
  <c r="AP305" i="23"/>
  <c r="AO241" i="23"/>
  <c r="AP241" i="23"/>
  <c r="AO177" i="23"/>
  <c r="AP177" i="23"/>
  <c r="AO113" i="23"/>
  <c r="AP113" i="23"/>
  <c r="AO49" i="23"/>
  <c r="AP49" i="23"/>
  <c r="AO552" i="23"/>
  <c r="AP552" i="23"/>
  <c r="AO488" i="23"/>
  <c r="AP488" i="23"/>
  <c r="AO408" i="23"/>
  <c r="AP408" i="23"/>
  <c r="AO344" i="23"/>
  <c r="AP344" i="23"/>
  <c r="AO280" i="23"/>
  <c r="AP280" i="23"/>
  <c r="AO216" i="23"/>
  <c r="AP216" i="23"/>
  <c r="AO152" i="23"/>
  <c r="AP152" i="23"/>
  <c r="AO88" i="23"/>
  <c r="AP88" i="23"/>
  <c r="AO24" i="23"/>
  <c r="AP24" i="23"/>
  <c r="AO567" i="23"/>
  <c r="AP567" i="23"/>
  <c r="AO503" i="23"/>
  <c r="AP503" i="23"/>
  <c r="AO439" i="23"/>
  <c r="AP439" i="23"/>
  <c r="AO375" i="23"/>
  <c r="AP375" i="23"/>
  <c r="AO311" i="23"/>
  <c r="AP311" i="23"/>
  <c r="AO247" i="23"/>
  <c r="AP247" i="23"/>
  <c r="AO183" i="23"/>
  <c r="AP183" i="23"/>
  <c r="AO119" i="23"/>
  <c r="AP119" i="23"/>
  <c r="AO55" i="23"/>
  <c r="AP55" i="23"/>
  <c r="AO472" i="23"/>
  <c r="AP472" i="23"/>
  <c r="AO526" i="23"/>
  <c r="AP526" i="23"/>
  <c r="AO462" i="23"/>
  <c r="AP462" i="23"/>
  <c r="AO398" i="23"/>
  <c r="AP398" i="23"/>
  <c r="AO334" i="23"/>
  <c r="AP334" i="23"/>
  <c r="AO270" i="23"/>
  <c r="AP270" i="23"/>
  <c r="AO206" i="23"/>
  <c r="AP206" i="23"/>
  <c r="AO142" i="23"/>
  <c r="AP142" i="23"/>
  <c r="AO78" i="23"/>
  <c r="AP78" i="23"/>
  <c r="AO14" i="23"/>
  <c r="AP14" i="23"/>
  <c r="AO533" i="23"/>
  <c r="AP533" i="23"/>
  <c r="AO469" i="23"/>
  <c r="AP469" i="23"/>
  <c r="AO405" i="23"/>
  <c r="AP405" i="23"/>
  <c r="AO341" i="23"/>
  <c r="AP341" i="23"/>
  <c r="AO277" i="23"/>
  <c r="AP277" i="23"/>
  <c r="AO213" i="23"/>
  <c r="AP213" i="23"/>
  <c r="AO149" i="23"/>
  <c r="AP149" i="23"/>
  <c r="AO85" i="23"/>
  <c r="AP85" i="23"/>
  <c r="AO21" i="23"/>
  <c r="AP21" i="23"/>
  <c r="AO548" i="23"/>
  <c r="AP548" i="23"/>
  <c r="AO484" i="23"/>
  <c r="AP484" i="23"/>
  <c r="AO420" i="23"/>
  <c r="AP420" i="23"/>
  <c r="AO356" i="23"/>
  <c r="AP356" i="23"/>
  <c r="AO292" i="23"/>
  <c r="AP292" i="23"/>
  <c r="AO228" i="23"/>
  <c r="AP228" i="23"/>
  <c r="AO164" i="23"/>
  <c r="AP164" i="23"/>
  <c r="AO100" i="23"/>
  <c r="AP100" i="23"/>
  <c r="AO36" i="23"/>
  <c r="AP36" i="23"/>
  <c r="AO531" i="23"/>
  <c r="AP531" i="23"/>
  <c r="AO586" i="23"/>
  <c r="AP586" i="23"/>
  <c r="AO138" i="23"/>
  <c r="AP138" i="23"/>
  <c r="AO329" i="23"/>
  <c r="AP329" i="23"/>
  <c r="AO240" i="23"/>
  <c r="AP240" i="23"/>
  <c r="AO422" i="23"/>
  <c r="AP422" i="23"/>
  <c r="AO235" i="23"/>
  <c r="AP235" i="23"/>
  <c r="AO227" i="23"/>
  <c r="AP227" i="23"/>
  <c r="AO459" i="23"/>
  <c r="AP459" i="23"/>
  <c r="AO275" i="23"/>
  <c r="AP275" i="23"/>
  <c r="AO131" i="23"/>
  <c r="AP131" i="23"/>
  <c r="AO315" i="23"/>
  <c r="AP315" i="23"/>
  <c r="AO563" i="23"/>
  <c r="AP563" i="23"/>
  <c r="AO99" i="23"/>
  <c r="AP99" i="23"/>
  <c r="AO35" i="23"/>
  <c r="AP35" i="23"/>
  <c r="AO554" i="23"/>
  <c r="AP554" i="23"/>
  <c r="AO490" i="23"/>
  <c r="AP490" i="23"/>
  <c r="AO426" i="23"/>
  <c r="AP426" i="23"/>
  <c r="AO362" i="23"/>
  <c r="AP362" i="23"/>
  <c r="AO298" i="23"/>
  <c r="AP298" i="23"/>
  <c r="AO234" i="23"/>
  <c r="AP234" i="23"/>
  <c r="AO170" i="23"/>
  <c r="AP170" i="23"/>
  <c r="AO106" i="23"/>
  <c r="AP106" i="23"/>
  <c r="AO42" i="23"/>
  <c r="AP42" i="23"/>
  <c r="AO553" i="23"/>
  <c r="AP553" i="23"/>
  <c r="AO489" i="23"/>
  <c r="AP489" i="23"/>
  <c r="AO425" i="23"/>
  <c r="AP425" i="23"/>
  <c r="AO361" i="23"/>
  <c r="AP361" i="23"/>
  <c r="AO297" i="23"/>
  <c r="AP297" i="23"/>
  <c r="AO233" i="23"/>
  <c r="AP233" i="23"/>
  <c r="AO169" i="23"/>
  <c r="AP169" i="23"/>
  <c r="AO105" i="23"/>
  <c r="AP105" i="23"/>
  <c r="AO41" i="23"/>
  <c r="AP41" i="23"/>
  <c r="AO544" i="23"/>
  <c r="AP544" i="23"/>
  <c r="AO464" i="23"/>
  <c r="AP464" i="23"/>
  <c r="AO400" i="23"/>
  <c r="AP400" i="23"/>
  <c r="AO336" i="23"/>
  <c r="AP336" i="23"/>
  <c r="AO272" i="23"/>
  <c r="AP272" i="23"/>
  <c r="AO208" i="23"/>
  <c r="AP208" i="23"/>
  <c r="AO144" i="23"/>
  <c r="AP144" i="23"/>
  <c r="AO80" i="23"/>
  <c r="AP80" i="23"/>
  <c r="AO16" i="23"/>
  <c r="AP16" i="23"/>
  <c r="AO559" i="23"/>
  <c r="AP559" i="23"/>
  <c r="AO495" i="23"/>
  <c r="AP495" i="23"/>
  <c r="AO431" i="23"/>
  <c r="AP431" i="23"/>
  <c r="AO367" i="23"/>
  <c r="AP367" i="23"/>
  <c r="AO303" i="23"/>
  <c r="AP303" i="23"/>
  <c r="AO239" i="23"/>
  <c r="AP239" i="23"/>
  <c r="AO175" i="23"/>
  <c r="AP175" i="23"/>
  <c r="AO111" i="23"/>
  <c r="AP111" i="23"/>
  <c r="AO47" i="23"/>
  <c r="AP47" i="23"/>
  <c r="AO582" i="23"/>
  <c r="AP582" i="23"/>
  <c r="AO518" i="23"/>
  <c r="AP518" i="23"/>
  <c r="AO454" i="23"/>
  <c r="AP454" i="23"/>
  <c r="AO390" i="23"/>
  <c r="AP390" i="23"/>
  <c r="AO326" i="23"/>
  <c r="AP326" i="23"/>
  <c r="AO262" i="23"/>
  <c r="AP262" i="23"/>
  <c r="AO198" i="23"/>
  <c r="AP198" i="23"/>
  <c r="AO134" i="23"/>
  <c r="AP134" i="23"/>
  <c r="AO70" i="23"/>
  <c r="AP70" i="23"/>
  <c r="AO6" i="23"/>
  <c r="AP6" i="23"/>
  <c r="AO525" i="23"/>
  <c r="AP525" i="23"/>
  <c r="AO461" i="23"/>
  <c r="AP461" i="23"/>
  <c r="AO397" i="23"/>
  <c r="AP397" i="23"/>
  <c r="AO333" i="23"/>
  <c r="AP333" i="23"/>
  <c r="AO269" i="23"/>
  <c r="AP269" i="23"/>
  <c r="AO205" i="23"/>
  <c r="AP205" i="23"/>
  <c r="AO141" i="23"/>
  <c r="AP141" i="23"/>
  <c r="AO77" i="23"/>
  <c r="AP77" i="23"/>
  <c r="AO13" i="23"/>
  <c r="AP13" i="23"/>
  <c r="AO540" i="23"/>
  <c r="AP540" i="23"/>
  <c r="AO476" i="23"/>
  <c r="AP476" i="23"/>
  <c r="AO412" i="23"/>
  <c r="AP412" i="23"/>
  <c r="AO348" i="23"/>
  <c r="AP348" i="23"/>
  <c r="AO284" i="23"/>
  <c r="AP284" i="23"/>
  <c r="AO220" i="23"/>
  <c r="AP220" i="23"/>
  <c r="AO156" i="23"/>
  <c r="AP156" i="23"/>
  <c r="AO92" i="23"/>
  <c r="AP92" i="23"/>
  <c r="AO28" i="23"/>
  <c r="AP28" i="23"/>
  <c r="AO67" i="23"/>
  <c r="AP67" i="23"/>
  <c r="AO266" i="23"/>
  <c r="AP266" i="23"/>
  <c r="AO393" i="23"/>
  <c r="AP393" i="23"/>
  <c r="AO432" i="23"/>
  <c r="AP432" i="23"/>
  <c r="AO527" i="23"/>
  <c r="AP527" i="23"/>
  <c r="AO15" i="23"/>
  <c r="AP15" i="23"/>
  <c r="AO38" i="23"/>
  <c r="AP38" i="23"/>
  <c r="AO237" i="23"/>
  <c r="AP237" i="23"/>
  <c r="AO444" i="23"/>
  <c r="AP444" i="23"/>
  <c r="AO124" i="23"/>
  <c r="AP124" i="23"/>
  <c r="AO171" i="23"/>
  <c r="AP171" i="23"/>
  <c r="AO163" i="23"/>
  <c r="AP163" i="23"/>
  <c r="AO395" i="23"/>
  <c r="AP395" i="23"/>
  <c r="AO579" i="23"/>
  <c r="AP579" i="23"/>
  <c r="AO219" i="23"/>
  <c r="AP219" i="23"/>
  <c r="AO251" i="23"/>
  <c r="AP251" i="23"/>
  <c r="AO499" i="23"/>
  <c r="AP499" i="23"/>
  <c r="AO91" i="23"/>
  <c r="AP91" i="23"/>
  <c r="AO27" i="23"/>
  <c r="AP27" i="23"/>
  <c r="AO546" i="23"/>
  <c r="AP546" i="23"/>
  <c r="AO482" i="23"/>
  <c r="AP482" i="23"/>
  <c r="AO418" i="23"/>
  <c r="AP418" i="23"/>
  <c r="AO354" i="23"/>
  <c r="AP354" i="23"/>
  <c r="AO290" i="23"/>
  <c r="AP290" i="23"/>
  <c r="AO226" i="23"/>
  <c r="AP226" i="23"/>
  <c r="AO162" i="23"/>
  <c r="AP162" i="23"/>
  <c r="AO98" i="23"/>
  <c r="AP98" i="23"/>
  <c r="AO34" i="23"/>
  <c r="AP34" i="23"/>
  <c r="AO545" i="23"/>
  <c r="AP545" i="23"/>
  <c r="AO481" i="23"/>
  <c r="AP481" i="23"/>
  <c r="AO417" i="23"/>
  <c r="AP417" i="23"/>
  <c r="AO353" i="23"/>
  <c r="AP353" i="23"/>
  <c r="AO289" i="23"/>
  <c r="AP289" i="23"/>
  <c r="AO225" i="23"/>
  <c r="AP225" i="23"/>
  <c r="AO161" i="23"/>
  <c r="AP161" i="23"/>
  <c r="AO97" i="23"/>
  <c r="AP97" i="23"/>
  <c r="AO33" i="23"/>
  <c r="AP33" i="23"/>
  <c r="AO536" i="23"/>
  <c r="AP536" i="23"/>
  <c r="AO456" i="23"/>
  <c r="AP456" i="23"/>
  <c r="AO392" i="23"/>
  <c r="AP392" i="23"/>
  <c r="AO328" i="23"/>
  <c r="AP328" i="23"/>
  <c r="AO264" i="23"/>
  <c r="AP264" i="23"/>
  <c r="AO200" i="23"/>
  <c r="AP200" i="23"/>
  <c r="AO136" i="23"/>
  <c r="AP136" i="23"/>
  <c r="AO72" i="23"/>
  <c r="AP72" i="23"/>
  <c r="AO8" i="23"/>
  <c r="AP8" i="23"/>
  <c r="AO551" i="23"/>
  <c r="AP551" i="23"/>
  <c r="AO487" i="23"/>
  <c r="AP487" i="23"/>
  <c r="AO423" i="23"/>
  <c r="AP423" i="23"/>
  <c r="AO359" i="23"/>
  <c r="AP359" i="23"/>
  <c r="AO295" i="23"/>
  <c r="AP295" i="23"/>
  <c r="AO231" i="23"/>
  <c r="AP231" i="23"/>
  <c r="AO167" i="23"/>
  <c r="AP167" i="23"/>
  <c r="AO103" i="23"/>
  <c r="AP103" i="23"/>
  <c r="AO39" i="23"/>
  <c r="AP39" i="23"/>
  <c r="AO574" i="23"/>
  <c r="AP574" i="23"/>
  <c r="AO510" i="23"/>
  <c r="AP510" i="23"/>
  <c r="AO446" i="23"/>
  <c r="AP446" i="23"/>
  <c r="AO382" i="23"/>
  <c r="AP382" i="23"/>
  <c r="AO318" i="23"/>
  <c r="AP318" i="23"/>
  <c r="AO254" i="23"/>
  <c r="AP254" i="23"/>
  <c r="AO190" i="23"/>
  <c r="AP190" i="23"/>
  <c r="AO126" i="23"/>
  <c r="AP126" i="23"/>
  <c r="AO62" i="23"/>
  <c r="AP62" i="23"/>
  <c r="AO581" i="23"/>
  <c r="AP581" i="23"/>
  <c r="AO517" i="23"/>
  <c r="AP517" i="23"/>
  <c r="AO453" i="23"/>
  <c r="AP453" i="23"/>
  <c r="AO389" i="23"/>
  <c r="AP389" i="23"/>
  <c r="AO325" i="23"/>
  <c r="AP325" i="23"/>
  <c r="AO261" i="23"/>
  <c r="AP261" i="23"/>
  <c r="AO197" i="23"/>
  <c r="AP197" i="23"/>
  <c r="AO133" i="23"/>
  <c r="AP133" i="23"/>
  <c r="AO69" i="23"/>
  <c r="AP69" i="23"/>
  <c r="AO5" i="23"/>
  <c r="AP5" i="23"/>
  <c r="AO532" i="23"/>
  <c r="AP532" i="23"/>
  <c r="AO468" i="23"/>
  <c r="AP468" i="23"/>
  <c r="AO404" i="23"/>
  <c r="AP404" i="23"/>
  <c r="AO340" i="23"/>
  <c r="AP340" i="23"/>
  <c r="AO276" i="23"/>
  <c r="AP276" i="23"/>
  <c r="AO212" i="23"/>
  <c r="AP212" i="23"/>
  <c r="AO148" i="23"/>
  <c r="AP148" i="23"/>
  <c r="AO84" i="23"/>
  <c r="AP84" i="23"/>
  <c r="AO20" i="23"/>
  <c r="AP20" i="23"/>
  <c r="AO387" i="23"/>
  <c r="AP387" i="23"/>
  <c r="AO522" i="23"/>
  <c r="AP522" i="23"/>
  <c r="AO74" i="23"/>
  <c r="AP74" i="23"/>
  <c r="AO265" i="23"/>
  <c r="AP265" i="23"/>
  <c r="AO512" i="23"/>
  <c r="AP512" i="23"/>
  <c r="AO304" i="23"/>
  <c r="AP304" i="23"/>
  <c r="AO463" i="23"/>
  <c r="AP463" i="23"/>
  <c r="AO207" i="23"/>
  <c r="AP207" i="23"/>
  <c r="AO358" i="23"/>
  <c r="AP358" i="23"/>
  <c r="AO429" i="23"/>
  <c r="AP429" i="23"/>
  <c r="AO109" i="23"/>
  <c r="AP109" i="23"/>
  <c r="AO508" i="23"/>
  <c r="AP508" i="23"/>
  <c r="AO316" i="23"/>
  <c r="AP316" i="23"/>
  <c r="AO419" i="23"/>
  <c r="AP419" i="23"/>
  <c r="AO107" i="23"/>
  <c r="AP107" i="23"/>
  <c r="AO411" i="23"/>
  <c r="AP411" i="23"/>
  <c r="AO331" i="23"/>
  <c r="AP331" i="23"/>
  <c r="AO515" i="23"/>
  <c r="AP515" i="23"/>
  <c r="AO403" i="23"/>
  <c r="AP403" i="23"/>
  <c r="AO187" i="23"/>
  <c r="AP187" i="23"/>
  <c r="AO435" i="23"/>
  <c r="AP435" i="23"/>
  <c r="AO83" i="23"/>
  <c r="AP83" i="23"/>
  <c r="AO19" i="23"/>
  <c r="AP19" i="23"/>
  <c r="AO538" i="23"/>
  <c r="AP538" i="23"/>
  <c r="AO474" i="23"/>
  <c r="AP474" i="23"/>
  <c r="AO410" i="23"/>
  <c r="AP410" i="23"/>
  <c r="AO346" i="23"/>
  <c r="AP346" i="23"/>
  <c r="AO282" i="23"/>
  <c r="AP282" i="23"/>
  <c r="AO218" i="23"/>
  <c r="AP218" i="23"/>
  <c r="AO154" i="23"/>
  <c r="AP154" i="23"/>
  <c r="AO90" i="23"/>
  <c r="AP90" i="23"/>
  <c r="AO26" i="23"/>
  <c r="AP26" i="23"/>
  <c r="AO537" i="23"/>
  <c r="AP537" i="23"/>
  <c r="AO473" i="23"/>
  <c r="AP473" i="23"/>
  <c r="AO409" i="23"/>
  <c r="AP409" i="23"/>
  <c r="AO345" i="23"/>
  <c r="AP345" i="23"/>
  <c r="AO281" i="23"/>
  <c r="AP281" i="23"/>
  <c r="AO217" i="23"/>
  <c r="AP217" i="23"/>
  <c r="AO153" i="23"/>
  <c r="AP153" i="23"/>
  <c r="AO89" i="23"/>
  <c r="AP89" i="23"/>
  <c r="AO25" i="23"/>
  <c r="AP25" i="23"/>
  <c r="AO528" i="23"/>
  <c r="AP528" i="23"/>
  <c r="AO448" i="23"/>
  <c r="AP448" i="23"/>
  <c r="AO384" i="23"/>
  <c r="AP384" i="23"/>
  <c r="AO320" i="23"/>
  <c r="AP320" i="23"/>
  <c r="AO256" i="23"/>
  <c r="AP256" i="23"/>
  <c r="AO192" i="23"/>
  <c r="AP192" i="23"/>
  <c r="AO128" i="23"/>
  <c r="AP128" i="23"/>
  <c r="AO64" i="23"/>
  <c r="AP64" i="23"/>
  <c r="AO569" i="23"/>
  <c r="AP569" i="23"/>
  <c r="AO543" i="23"/>
  <c r="AP543" i="23"/>
  <c r="AO479" i="23"/>
  <c r="AP479" i="23"/>
  <c r="AO415" i="23"/>
  <c r="AP415" i="23"/>
  <c r="AO351" i="23"/>
  <c r="AP351" i="23"/>
  <c r="AO287" i="23"/>
  <c r="AP287" i="23"/>
  <c r="AO223" i="23"/>
  <c r="AP223" i="23"/>
  <c r="AO159" i="23"/>
  <c r="AP159" i="23"/>
  <c r="AO95" i="23"/>
  <c r="AP95" i="23"/>
  <c r="AO31" i="23"/>
  <c r="AP31" i="23"/>
  <c r="AO566" i="23"/>
  <c r="AP566" i="23"/>
  <c r="AO502" i="23"/>
  <c r="AP502" i="23"/>
  <c r="AO438" i="23"/>
  <c r="AP438" i="23"/>
  <c r="AO374" i="23"/>
  <c r="AP374" i="23"/>
  <c r="AO310" i="23"/>
  <c r="AP310" i="23"/>
  <c r="AO246" i="23"/>
  <c r="AP246" i="23"/>
  <c r="AO182" i="23"/>
  <c r="AP182" i="23"/>
  <c r="AO118" i="23"/>
  <c r="AP118" i="23"/>
  <c r="AO54" i="23"/>
  <c r="AP54" i="23"/>
  <c r="AO573" i="23"/>
  <c r="AP573" i="23"/>
  <c r="AO509" i="23"/>
  <c r="AP509" i="23"/>
  <c r="AO445" i="23"/>
  <c r="AP445" i="23"/>
  <c r="AO381" i="23"/>
  <c r="AP381" i="23"/>
  <c r="AO317" i="23"/>
  <c r="AP317" i="23"/>
  <c r="AO253" i="23"/>
  <c r="AP253" i="23"/>
  <c r="AO189" i="23"/>
  <c r="AP189" i="23"/>
  <c r="AO125" i="23"/>
  <c r="AP125" i="23"/>
  <c r="AO61" i="23"/>
  <c r="AP61" i="23"/>
  <c r="AO588" i="23"/>
  <c r="AP588" i="23"/>
  <c r="AO524" i="23"/>
  <c r="AP524" i="23"/>
  <c r="AO460" i="23"/>
  <c r="AP460" i="23"/>
  <c r="AO396" i="23"/>
  <c r="AP396" i="23"/>
  <c r="AO332" i="23"/>
  <c r="AP332" i="23"/>
  <c r="AO268" i="23"/>
  <c r="AP268" i="23"/>
  <c r="AO204" i="23"/>
  <c r="AP204" i="23"/>
  <c r="AO140" i="23"/>
  <c r="AP140" i="23"/>
  <c r="AO76" i="23"/>
  <c r="AP76" i="23"/>
  <c r="AO12" i="23"/>
  <c r="AP12" i="23"/>
  <c r="A28" i="78"/>
  <c r="B28" i="78" s="1"/>
  <c r="X28" i="131" l="1"/>
  <c r="BI28" i="131" s="1"/>
  <c r="X21" i="131"/>
  <c r="BI21" i="131" s="1"/>
  <c r="X38" i="131"/>
  <c r="BI38" i="131" s="1"/>
  <c r="X31" i="131"/>
  <c r="BI31" i="131" s="1"/>
  <c r="X18" i="131"/>
  <c r="BI18" i="131" s="1"/>
  <c r="X27" i="131"/>
  <c r="BI27" i="131" s="1"/>
  <c r="X17" i="131"/>
  <c r="BI17" i="131" s="1"/>
  <c r="X20" i="131"/>
  <c r="BI20" i="131" s="1"/>
  <c r="X19" i="131"/>
  <c r="BI19" i="131" s="1"/>
  <c r="X35" i="131"/>
  <c r="X37" i="131"/>
  <c r="BI37" i="131" s="1"/>
  <c r="X24" i="131"/>
  <c r="BI24" i="131" s="1"/>
  <c r="X29" i="131"/>
  <c r="BI29" i="131" s="1"/>
  <c r="X22" i="131"/>
  <c r="BI22" i="131" s="1"/>
  <c r="X16" i="131"/>
  <c r="BI16" i="131" s="1"/>
  <c r="X26" i="131"/>
  <c r="BI26" i="131" s="1"/>
  <c r="X34" i="131"/>
  <c r="BI34" i="131" s="1"/>
  <c r="X30" i="131"/>
  <c r="BI30" i="131" s="1"/>
  <c r="X32" i="131"/>
  <c r="BI32" i="131" s="1"/>
  <c r="X25" i="131"/>
  <c r="BI25" i="131" s="1"/>
  <c r="X7" i="131"/>
  <c r="BI7" i="131" s="1"/>
  <c r="Z7" i="131"/>
  <c r="Y7" i="131"/>
  <c r="Z11" i="131"/>
  <c r="Y11" i="131"/>
  <c r="Z35" i="131"/>
  <c r="Y35" i="131"/>
  <c r="Z30" i="131"/>
  <c r="Y30" i="131"/>
  <c r="Z25" i="131"/>
  <c r="Y25" i="131"/>
  <c r="Z36" i="131"/>
  <c r="Y36" i="131"/>
  <c r="Z16" i="131"/>
  <c r="Y16" i="131"/>
  <c r="Z37" i="131"/>
  <c r="Y37" i="131"/>
  <c r="Z34" i="131"/>
  <c r="Y34" i="131"/>
  <c r="Z19" i="131"/>
  <c r="Y19" i="131"/>
  <c r="Z32" i="131"/>
  <c r="Y32" i="131"/>
  <c r="Z28" i="131"/>
  <c r="Y28" i="131"/>
  <c r="Z18" i="131"/>
  <c r="Y18" i="131"/>
  <c r="Z24" i="131"/>
  <c r="Y24" i="131"/>
  <c r="Z13" i="131"/>
  <c r="Y13" i="131"/>
  <c r="Z26" i="131"/>
  <c r="Y26" i="131"/>
  <c r="Z10" i="131"/>
  <c r="Y10" i="131"/>
  <c r="Z23" i="131"/>
  <c r="Y23" i="131"/>
  <c r="Z12" i="131"/>
  <c r="Y12" i="131"/>
  <c r="Z20" i="131"/>
  <c r="Y20" i="131"/>
  <c r="Z33" i="131"/>
  <c r="Y33" i="131"/>
  <c r="Z38" i="131"/>
  <c r="Y38" i="131"/>
  <c r="Z14" i="131"/>
  <c r="Y14" i="131"/>
  <c r="Z27" i="131"/>
  <c r="Y27" i="131"/>
  <c r="Z17" i="131"/>
  <c r="Y17" i="131"/>
  <c r="Z31" i="131"/>
  <c r="Y31" i="131"/>
  <c r="Z9" i="131"/>
  <c r="Y9" i="131"/>
  <c r="Z15" i="131"/>
  <c r="Y15" i="131"/>
  <c r="Z8" i="131"/>
  <c r="Y8" i="131"/>
  <c r="Z21" i="131"/>
  <c r="Y21" i="131"/>
  <c r="Z22" i="131"/>
  <c r="Y22" i="131"/>
  <c r="Z29" i="131"/>
  <c r="Y29" i="131"/>
  <c r="X40" i="131"/>
  <c r="BI40" i="131" s="1"/>
  <c r="BI36" i="131"/>
  <c r="BI13" i="131"/>
  <c r="BI10" i="131"/>
  <c r="BI23" i="131"/>
  <c r="BI12" i="131"/>
  <c r="X41" i="131"/>
  <c r="BI41" i="131" s="1"/>
  <c r="BI33" i="131"/>
  <c r="X42" i="131"/>
  <c r="BI42" i="131" s="1"/>
  <c r="BI14" i="131"/>
  <c r="BI9" i="131"/>
  <c r="BI15" i="131"/>
  <c r="BI8" i="131"/>
  <c r="X39" i="131"/>
  <c r="BI39" i="131" s="1"/>
  <c r="AB2" i="113"/>
  <c r="AB3" i="113"/>
  <c r="AE9" i="120"/>
  <c r="AH9" i="120" s="1"/>
  <c r="AE12" i="120"/>
  <c r="AH12" i="120" s="1"/>
  <c r="AE13" i="120"/>
  <c r="AG13" i="120" s="1"/>
  <c r="AE11" i="120"/>
  <c r="X101" i="107" s="1"/>
  <c r="AE10" i="120"/>
  <c r="X100" i="107" s="1"/>
  <c r="AE8" i="120"/>
  <c r="DO31" i="108"/>
  <c r="Z39" i="131"/>
  <c r="Q35" i="131"/>
  <c r="Y40" i="131"/>
  <c r="Y42" i="131"/>
  <c r="Q24" i="131"/>
  <c r="AB7" i="113"/>
  <c r="AB4" i="113"/>
  <c r="AB5" i="113"/>
  <c r="Q26" i="131"/>
  <c r="AB9" i="113"/>
  <c r="AB12" i="113"/>
  <c r="AB6" i="113"/>
  <c r="AB13" i="113"/>
  <c r="AB8" i="113"/>
  <c r="AB10" i="113"/>
  <c r="AB11" i="113"/>
  <c r="B77" i="78"/>
  <c r="C77" i="78" s="1"/>
  <c r="R43" i="107" s="1"/>
  <c r="DO38" i="108"/>
  <c r="DO36" i="108"/>
  <c r="DO42" i="108"/>
  <c r="DO34" i="108"/>
  <c r="DO40" i="108"/>
  <c r="DO41" i="108"/>
  <c r="DO37" i="108"/>
  <c r="DO29" i="108"/>
  <c r="DO23" i="108"/>
  <c r="DO35" i="108"/>
  <c r="DO24" i="108"/>
  <c r="DO25" i="108"/>
  <c r="DO30" i="108"/>
  <c r="DO22" i="108"/>
  <c r="DO26" i="108"/>
  <c r="DO32" i="108"/>
  <c r="DO20" i="108"/>
  <c r="DO33" i="108"/>
  <c r="DO19" i="108"/>
  <c r="DO39" i="108"/>
  <c r="DO27" i="108"/>
  <c r="DO28" i="108"/>
  <c r="DO21" i="108"/>
  <c r="Z42" i="131"/>
  <c r="Q42" i="131"/>
  <c r="Q32" i="131"/>
  <c r="Q40" i="131"/>
  <c r="Q34" i="131"/>
  <c r="Q17" i="131"/>
  <c r="Q14" i="131"/>
  <c r="Q13" i="131"/>
  <c r="Q36" i="131"/>
  <c r="Q9" i="131"/>
  <c r="Z40" i="131"/>
  <c r="Q10" i="131"/>
  <c r="Q8" i="131"/>
  <c r="Z41" i="131"/>
  <c r="Q41" i="131"/>
  <c r="Q33" i="131"/>
  <c r="Y41" i="131"/>
  <c r="Q22" i="131"/>
  <c r="Q29" i="131"/>
  <c r="Q31" i="131"/>
  <c r="Q27" i="131"/>
  <c r="Q21" i="131"/>
  <c r="Q30" i="131"/>
  <c r="Q25" i="131"/>
  <c r="Q37" i="131"/>
  <c r="Y39" i="131"/>
  <c r="Q19" i="131"/>
  <c r="Q20" i="131"/>
  <c r="Q23" i="131"/>
  <c r="Q38" i="131"/>
  <c r="Q28" i="131"/>
  <c r="Q39" i="131"/>
  <c r="Q16" i="131"/>
  <c r="Q18" i="131"/>
  <c r="Q12" i="131"/>
  <c r="Q7" i="131"/>
  <c r="Q15" i="131"/>
  <c r="Q11" i="131"/>
  <c r="DJ37" i="108"/>
  <c r="DG37" i="108"/>
  <c r="AA42" i="108"/>
  <c r="K42" i="108"/>
  <c r="Z42" i="108" s="1"/>
  <c r="DB36" i="108"/>
  <c r="DB34" i="108"/>
  <c r="CT37" i="108"/>
  <c r="CQ37" i="108"/>
  <c r="AA39" i="108"/>
  <c r="K39" i="108"/>
  <c r="Z39" i="108" s="1"/>
  <c r="CQ41" i="108"/>
  <c r="CT41" i="108"/>
  <c r="DG38" i="108"/>
  <c r="DJ38" i="108"/>
  <c r="CQ36" i="108"/>
  <c r="CT36" i="108"/>
  <c r="CQ42" i="108"/>
  <c r="CT42" i="108"/>
  <c r="AA34" i="108"/>
  <c r="K34" i="108"/>
  <c r="Z34" i="108" s="1"/>
  <c r="AA40" i="108"/>
  <c r="K40" i="108"/>
  <c r="Z40" i="108" s="1"/>
  <c r="AA37" i="108"/>
  <c r="K37" i="108"/>
  <c r="Z37" i="108" s="1"/>
  <c r="DB41" i="108"/>
  <c r="DB37" i="108"/>
  <c r="DG41" i="108"/>
  <c r="DJ41" i="108"/>
  <c r="CQ38" i="108"/>
  <c r="CT38" i="108"/>
  <c r="DG36" i="108"/>
  <c r="DJ36" i="108"/>
  <c r="DG42" i="108"/>
  <c r="DJ42" i="108"/>
  <c r="AA41" i="108"/>
  <c r="K41" i="108"/>
  <c r="Z41" i="108" s="1"/>
  <c r="CQ34" i="108"/>
  <c r="CT34" i="108"/>
  <c r="DB35" i="108"/>
  <c r="DB39" i="108"/>
  <c r="DB38" i="108"/>
  <c r="DG39" i="108"/>
  <c r="DJ39" i="108"/>
  <c r="DJ34" i="108"/>
  <c r="DG34" i="108"/>
  <c r="AA36" i="108"/>
  <c r="K36" i="108"/>
  <c r="Z36" i="108" s="1"/>
  <c r="AA38" i="108"/>
  <c r="K38" i="108"/>
  <c r="Z38" i="108" s="1"/>
  <c r="DG35" i="108"/>
  <c r="DJ35" i="108"/>
  <c r="CQ39" i="108"/>
  <c r="CT39" i="108"/>
  <c r="CT40" i="108"/>
  <c r="CQ40" i="108"/>
  <c r="AA35" i="108"/>
  <c r="K35" i="108"/>
  <c r="Z35" i="108" s="1"/>
  <c r="DB40" i="108"/>
  <c r="DB42" i="108"/>
  <c r="CQ35" i="108"/>
  <c r="CT35" i="108"/>
  <c r="DJ40" i="108"/>
  <c r="DG40" i="108"/>
  <c r="AA23" i="108"/>
  <c r="K23" i="108"/>
  <c r="Z23" i="108" s="1"/>
  <c r="DB26" i="108"/>
  <c r="DB29" i="108"/>
  <c r="AA33" i="108"/>
  <c r="K33" i="108"/>
  <c r="Z33" i="108" s="1"/>
  <c r="CQ22" i="108"/>
  <c r="CT22" i="108"/>
  <c r="CQ28" i="108"/>
  <c r="CT28" i="108"/>
  <c r="DG27" i="108"/>
  <c r="DJ27" i="108"/>
  <c r="CQ24" i="108"/>
  <c r="CT24" i="108"/>
  <c r="DG20" i="108"/>
  <c r="DJ20" i="108"/>
  <c r="DG21" i="108"/>
  <c r="DJ21" i="108"/>
  <c r="DB19" i="108"/>
  <c r="AA26" i="108"/>
  <c r="K26" i="108"/>
  <c r="Z26" i="108" s="1"/>
  <c r="AA29" i="108"/>
  <c r="K29" i="108"/>
  <c r="Z29" i="108" s="1"/>
  <c r="CT30" i="108"/>
  <c r="CQ30" i="108"/>
  <c r="DG23" i="108"/>
  <c r="DJ23" i="108"/>
  <c r="CT19" i="108"/>
  <c r="CQ19" i="108"/>
  <c r="DJ25" i="108"/>
  <c r="DG25" i="108"/>
  <c r="DG31" i="108"/>
  <c r="DJ31" i="108"/>
  <c r="CQ26" i="108"/>
  <c r="CT26" i="108"/>
  <c r="CQ21" i="108"/>
  <c r="CT21" i="108"/>
  <c r="DB28" i="108"/>
  <c r="DB20" i="108"/>
  <c r="AA31" i="108"/>
  <c r="K31" i="108"/>
  <c r="Z31" i="108" s="1"/>
  <c r="AA30" i="108"/>
  <c r="K30" i="108"/>
  <c r="Z30" i="108" s="1"/>
  <c r="DB32" i="108"/>
  <c r="AA27" i="108"/>
  <c r="K27" i="108"/>
  <c r="Z27" i="108" s="1"/>
  <c r="DJ30" i="108"/>
  <c r="DG30" i="108"/>
  <c r="CT32" i="108"/>
  <c r="CQ32" i="108"/>
  <c r="DG32" i="108"/>
  <c r="DJ32" i="108"/>
  <c r="DJ22" i="108"/>
  <c r="DG22" i="108"/>
  <c r="DG24" i="108"/>
  <c r="DJ24" i="108"/>
  <c r="CT29" i="108"/>
  <c r="CQ29" i="108"/>
  <c r="CQ31" i="108"/>
  <c r="CT31" i="108"/>
  <c r="AA20" i="108"/>
  <c r="K20" i="108"/>
  <c r="Z20" i="108" s="1"/>
  <c r="DB30" i="108"/>
  <c r="DB22" i="108"/>
  <c r="AA32" i="108"/>
  <c r="K32" i="108"/>
  <c r="Z32" i="108" s="1"/>
  <c r="DB27" i="108"/>
  <c r="CQ33" i="108"/>
  <c r="CT33" i="108"/>
  <c r="CT23" i="108"/>
  <c r="CQ23" i="108"/>
  <c r="DJ29" i="108"/>
  <c r="DG29" i="108"/>
  <c r="CT25" i="108"/>
  <c r="CQ25" i="108"/>
  <c r="DB24" i="108"/>
  <c r="DB21" i="108"/>
  <c r="AA25" i="108"/>
  <c r="K25" i="108"/>
  <c r="Z25" i="108" s="1"/>
  <c r="AA22" i="108"/>
  <c r="K22" i="108"/>
  <c r="Z22" i="108" s="1"/>
  <c r="DG28" i="108"/>
  <c r="DJ28" i="108"/>
  <c r="CQ27" i="108"/>
  <c r="CT27" i="108"/>
  <c r="DG19" i="108"/>
  <c r="DJ19" i="108"/>
  <c r="CT20" i="108"/>
  <c r="CQ20" i="108"/>
  <c r="DJ26" i="108"/>
  <c r="DG26" i="108"/>
  <c r="DB23" i="108"/>
  <c r="AA28" i="108"/>
  <c r="K28" i="108"/>
  <c r="Z28" i="108" s="1"/>
  <c r="AA21" i="108"/>
  <c r="K21" i="108"/>
  <c r="Z21" i="108" s="1"/>
  <c r="DB31" i="108"/>
  <c r="DB25" i="108"/>
  <c r="DB33" i="108"/>
  <c r="DJ33" i="108"/>
  <c r="DG33" i="108"/>
  <c r="C29" i="124"/>
  <c r="X231" i="123"/>
  <c r="W231" i="123"/>
  <c r="C432" i="124"/>
  <c r="X544" i="123"/>
  <c r="W211" i="123"/>
  <c r="W544" i="123"/>
  <c r="W34" i="123"/>
  <c r="X211" i="123"/>
  <c r="X34" i="123"/>
  <c r="W281" i="123"/>
  <c r="W563" i="123"/>
  <c r="X563" i="123"/>
  <c r="X281" i="123"/>
  <c r="X28" i="123"/>
  <c r="W247" i="123"/>
  <c r="X247" i="123"/>
  <c r="X257" i="123"/>
  <c r="W36" i="123"/>
  <c r="W257" i="123"/>
  <c r="W279" i="123"/>
  <c r="W264" i="123"/>
  <c r="X470" i="123"/>
  <c r="X574" i="123"/>
  <c r="X222" i="123"/>
  <c r="X227" i="123"/>
  <c r="W268" i="123"/>
  <c r="W261" i="123"/>
  <c r="W43" i="123"/>
  <c r="W49" i="123"/>
  <c r="W259" i="123"/>
  <c r="W37" i="123"/>
  <c r="X549" i="123"/>
  <c r="X554" i="123"/>
  <c r="X567" i="123"/>
  <c r="X564" i="123"/>
  <c r="X524" i="123"/>
  <c r="X559" i="123"/>
  <c r="X562" i="123"/>
  <c r="W267" i="123"/>
  <c r="W226" i="123"/>
  <c r="W272" i="123"/>
  <c r="W228" i="123"/>
  <c r="W266" i="123"/>
  <c r="X522" i="123"/>
  <c r="X465" i="123"/>
  <c r="X426" i="123"/>
  <c r="X445" i="123"/>
  <c r="X44" i="123"/>
  <c r="X461" i="123"/>
  <c r="X585" i="123"/>
  <c r="X534" i="123"/>
  <c r="W216" i="123"/>
  <c r="W265" i="123"/>
  <c r="X535" i="123"/>
  <c r="X490" i="123"/>
  <c r="X520" i="123"/>
  <c r="X431" i="123"/>
  <c r="X427" i="123"/>
  <c r="W262" i="123"/>
  <c r="X43" i="123"/>
  <c r="X259" i="123"/>
  <c r="X37" i="123"/>
  <c r="X216" i="123"/>
  <c r="X265" i="123"/>
  <c r="X262" i="123"/>
  <c r="X279" i="123"/>
  <c r="X267" i="123"/>
  <c r="X226" i="123"/>
  <c r="X264" i="123"/>
  <c r="X272" i="123"/>
  <c r="X228" i="123"/>
  <c r="X234" i="123"/>
  <c r="X29" i="123"/>
  <c r="X266" i="123"/>
  <c r="W574" i="123"/>
  <c r="W549" i="123"/>
  <c r="W465" i="123"/>
  <c r="W554" i="123"/>
  <c r="W222" i="123"/>
  <c r="W567" i="123"/>
  <c r="W490" i="123"/>
  <c r="W445" i="123"/>
  <c r="W564" i="123"/>
  <c r="W44" i="123"/>
  <c r="W221" i="123"/>
  <c r="W524" i="123"/>
  <c r="W461" i="123"/>
  <c r="W520" i="123"/>
  <c r="W585" i="123"/>
  <c r="W234" i="123"/>
  <c r="W559" i="123"/>
  <c r="W431" i="123"/>
  <c r="W427" i="123"/>
  <c r="W534" i="123"/>
  <c r="W562" i="123"/>
  <c r="W526" i="123"/>
  <c r="W434" i="123"/>
  <c r="W561" i="123"/>
  <c r="W29" i="123"/>
  <c r="W444" i="123"/>
  <c r="W572" i="123"/>
  <c r="W240" i="123"/>
  <c r="W541" i="123"/>
  <c r="W435" i="123"/>
  <c r="W513" i="123"/>
  <c r="W61" i="123"/>
  <c r="W220" i="123"/>
  <c r="W443" i="123"/>
  <c r="W470" i="123"/>
  <c r="W535" i="123"/>
  <c r="W522" i="123"/>
  <c r="W426" i="123"/>
  <c r="W271" i="123"/>
  <c r="W38" i="123"/>
  <c r="W244" i="123"/>
  <c r="W5" i="123"/>
  <c r="W9" i="123"/>
  <c r="W219" i="123"/>
  <c r="W453" i="123"/>
  <c r="W466" i="123"/>
  <c r="W560" i="123"/>
  <c r="W481" i="123"/>
  <c r="W565" i="123"/>
  <c r="W493" i="123"/>
  <c r="W498" i="123"/>
  <c r="W530" i="123"/>
  <c r="W433" i="123"/>
  <c r="W566" i="123"/>
  <c r="W512" i="123"/>
  <c r="W467" i="123"/>
  <c r="W537" i="123"/>
  <c r="W510" i="123"/>
  <c r="W476" i="123"/>
  <c r="W569" i="123"/>
  <c r="W451" i="123"/>
  <c r="W424" i="123"/>
  <c r="W263" i="123"/>
  <c r="X275" i="123"/>
  <c r="X251" i="123"/>
  <c r="X225" i="123"/>
  <c r="W473" i="123"/>
  <c r="W468" i="123"/>
  <c r="W478" i="123"/>
  <c r="W437" i="123"/>
  <c r="W447" i="123"/>
  <c r="W483" i="123"/>
  <c r="W457" i="123"/>
  <c r="W432" i="123"/>
  <c r="W440" i="123"/>
  <c r="W518" i="123"/>
  <c r="W525" i="123"/>
  <c r="W458" i="123"/>
  <c r="X223" i="123"/>
  <c r="X245" i="123"/>
  <c r="X268" i="123"/>
  <c r="X32" i="123"/>
  <c r="X249" i="123"/>
  <c r="X214" i="123"/>
  <c r="X36" i="123"/>
  <c r="X283" i="123"/>
  <c r="X215" i="123"/>
  <c r="W254" i="123"/>
  <c r="W218" i="123"/>
  <c r="W577" i="123"/>
  <c r="W30" i="123"/>
  <c r="W258" i="123"/>
  <c r="W428" i="123"/>
  <c r="X221" i="123"/>
  <c r="X246" i="123"/>
  <c r="X526" i="123"/>
  <c r="X434" i="123"/>
  <c r="X40" i="123"/>
  <c r="X561" i="123"/>
  <c r="X444" i="123"/>
  <c r="X572" i="123"/>
  <c r="X240" i="123"/>
  <c r="X541" i="123"/>
  <c r="X435" i="123"/>
  <c r="X31" i="123"/>
  <c r="X513" i="123"/>
  <c r="X61" i="123"/>
  <c r="X220" i="123"/>
  <c r="X443" i="123"/>
  <c r="W246" i="123"/>
  <c r="W27" i="123"/>
  <c r="W278" i="123"/>
  <c r="W241" i="123"/>
  <c r="W270" i="123"/>
  <c r="X555" i="123"/>
  <c r="X586" i="123"/>
  <c r="X540" i="123"/>
  <c r="X528" i="123"/>
  <c r="X514" i="123"/>
  <c r="X492" i="123"/>
  <c r="X579" i="123"/>
  <c r="X429" i="123"/>
  <c r="X439" i="123"/>
  <c r="X248" i="123"/>
  <c r="X488" i="123"/>
  <c r="X500" i="123"/>
  <c r="X472" i="123"/>
  <c r="X51" i="123"/>
  <c r="X475" i="123"/>
  <c r="W40" i="123"/>
  <c r="W31" i="123"/>
  <c r="X460" i="123"/>
  <c r="X430" i="123"/>
  <c r="X568" i="123"/>
  <c r="X581" i="123"/>
  <c r="X480" i="123"/>
  <c r="X484" i="123"/>
  <c r="X250" i="123"/>
  <c r="X587" i="123"/>
  <c r="X482" i="123"/>
  <c r="X578" i="123"/>
  <c r="X504" i="123"/>
  <c r="X496" i="123"/>
  <c r="X527" i="123"/>
  <c r="X584" i="123"/>
  <c r="X230" i="123"/>
  <c r="X539" i="123"/>
  <c r="X550" i="123"/>
  <c r="X236" i="123"/>
  <c r="X8" i="123"/>
  <c r="X474" i="123"/>
  <c r="X497" i="123"/>
  <c r="X446" i="123"/>
  <c r="X33" i="123"/>
  <c r="X269" i="123"/>
  <c r="X570" i="123"/>
  <c r="X519" i="123"/>
  <c r="X529" i="123"/>
  <c r="X459" i="123"/>
  <c r="W28" i="123"/>
  <c r="W32" i="123"/>
  <c r="W249" i="123"/>
  <c r="W214" i="123"/>
  <c r="W256" i="123"/>
  <c r="W283" i="123"/>
  <c r="W230" i="123"/>
  <c r="X254" i="123"/>
  <c r="X218" i="123"/>
  <c r="X577" i="123"/>
  <c r="X30" i="123"/>
  <c r="X258" i="123"/>
  <c r="X428" i="123"/>
  <c r="X473" i="123"/>
  <c r="X271" i="123"/>
  <c r="X219" i="123"/>
  <c r="X468" i="123"/>
  <c r="X270" i="123"/>
  <c r="X453" i="123"/>
  <c r="X478" i="123"/>
  <c r="X27" i="123"/>
  <c r="X466" i="123"/>
  <c r="X38" i="123"/>
  <c r="X560" i="123"/>
  <c r="X437" i="123"/>
  <c r="X481" i="123"/>
  <c r="X278" i="123"/>
  <c r="X565" i="123"/>
  <c r="X447" i="123"/>
  <c r="X493" i="123"/>
  <c r="X483" i="123"/>
  <c r="X498" i="123"/>
  <c r="X457" i="123"/>
  <c r="X530" i="123"/>
  <c r="X433" i="123"/>
  <c r="X432" i="123"/>
  <c r="X566" i="123"/>
  <c r="X440" i="123"/>
  <c r="X512" i="123"/>
  <c r="X244" i="123"/>
  <c r="X467" i="123"/>
  <c r="X537" i="123"/>
  <c r="X518" i="123"/>
  <c r="X510" i="123"/>
  <c r="X525" i="123"/>
  <c r="X476" i="123"/>
  <c r="X569" i="123"/>
  <c r="X5" i="123"/>
  <c r="X451" i="123"/>
  <c r="X424" i="123"/>
  <c r="X458" i="123"/>
  <c r="X241" i="123"/>
  <c r="X507" i="123"/>
  <c r="X499" i="123"/>
  <c r="X491" i="123"/>
  <c r="X9" i="123"/>
  <c r="X588" i="123"/>
  <c r="X41" i="123"/>
  <c r="X506" i="123"/>
  <c r="X455" i="123"/>
  <c r="X263" i="123"/>
  <c r="X25" i="123"/>
  <c r="X495" i="123"/>
  <c r="X489" i="123"/>
  <c r="X580" i="123"/>
  <c r="X448" i="123"/>
  <c r="X452" i="123"/>
  <c r="X23" i="123"/>
  <c r="X575" i="123"/>
  <c r="X485" i="123"/>
  <c r="X546" i="123"/>
  <c r="X284" i="123"/>
  <c r="X213" i="123"/>
  <c r="X232" i="123"/>
  <c r="X556" i="123"/>
  <c r="X39" i="123"/>
  <c r="W507" i="123"/>
  <c r="W499" i="123"/>
  <c r="W491" i="123"/>
  <c r="W588" i="123"/>
  <c r="W41" i="123"/>
  <c r="W506" i="123"/>
  <c r="W455" i="123"/>
  <c r="W25" i="123"/>
  <c r="W495" i="123"/>
  <c r="W489" i="123"/>
  <c r="W580" i="123"/>
  <c r="W448" i="123"/>
  <c r="W452" i="123"/>
  <c r="W23" i="123"/>
  <c r="W575" i="123"/>
  <c r="W485" i="123"/>
  <c r="W546" i="123"/>
  <c r="W284" i="123"/>
  <c r="W213" i="123"/>
  <c r="W232" i="123"/>
  <c r="W556" i="123"/>
  <c r="W39" i="123"/>
  <c r="X276" i="123"/>
  <c r="X494" i="123"/>
  <c r="X553" i="123"/>
  <c r="X503" i="123"/>
  <c r="X479" i="123"/>
  <c r="X7" i="123"/>
  <c r="X502" i="123"/>
  <c r="X441" i="123"/>
  <c r="X509" i="123"/>
  <c r="X229" i="123"/>
  <c r="X571" i="123"/>
  <c r="X35" i="123"/>
  <c r="X15" i="123"/>
  <c r="X573" i="123"/>
  <c r="X449" i="123"/>
  <c r="X505" i="123"/>
  <c r="X422" i="123"/>
  <c r="X239" i="123"/>
  <c r="X511" i="123"/>
  <c r="X477" i="123"/>
  <c r="X462" i="123"/>
  <c r="X277" i="123"/>
  <c r="X532" i="123"/>
  <c r="X469" i="123"/>
  <c r="X557" i="123"/>
  <c r="X582" i="123"/>
  <c r="X454" i="123"/>
  <c r="X545" i="123"/>
  <c r="X515" i="123"/>
  <c r="X487" i="123"/>
  <c r="X536" i="123"/>
  <c r="X60" i="123"/>
  <c r="X486" i="123"/>
  <c r="X442" i="123"/>
  <c r="W555" i="123"/>
  <c r="W586" i="123"/>
  <c r="W275" i="123"/>
  <c r="W460" i="123"/>
  <c r="W430" i="123"/>
  <c r="W568" i="123"/>
  <c r="W581" i="123"/>
  <c r="W540" i="123"/>
  <c r="W480" i="123"/>
  <c r="W528" i="123"/>
  <c r="W251" i="123"/>
  <c r="W514" i="123"/>
  <c r="W484" i="123"/>
  <c r="W492" i="123"/>
  <c r="W579" i="123"/>
  <c r="W227" i="123"/>
  <c r="W429" i="123"/>
  <c r="W250" i="123"/>
  <c r="W439" i="123"/>
  <c r="W587" i="123"/>
  <c r="W482" i="123"/>
  <c r="W248" i="123"/>
  <c r="W578" i="123"/>
  <c r="W488" i="123"/>
  <c r="W504" i="123"/>
  <c r="W500" i="123"/>
  <c r="W496" i="123"/>
  <c r="W472" i="123"/>
  <c r="W527" i="123"/>
  <c r="W51" i="123"/>
  <c r="W584" i="123"/>
  <c r="W475" i="123"/>
  <c r="W276" i="123"/>
  <c r="W511" i="123"/>
  <c r="W494" i="123"/>
  <c r="W553" i="123"/>
  <c r="W503" i="123"/>
  <c r="W225" i="123"/>
  <c r="W479" i="123"/>
  <c r="W7" i="123"/>
  <c r="W223" i="123"/>
  <c r="W502" i="123"/>
  <c r="W441" i="123"/>
  <c r="W477" i="123"/>
  <c r="W462" i="123"/>
  <c r="W509" i="123"/>
  <c r="W245" i="123"/>
  <c r="W277" i="123"/>
  <c r="W532" i="123"/>
  <c r="W469" i="123"/>
  <c r="W557" i="123"/>
  <c r="W582" i="123"/>
  <c r="W454" i="123"/>
  <c r="W545" i="123"/>
  <c r="W515" i="123"/>
  <c r="W487" i="123"/>
  <c r="W536" i="123"/>
  <c r="W60" i="123"/>
  <c r="W486" i="123"/>
  <c r="W442" i="123"/>
  <c r="W229" i="123"/>
  <c r="W571" i="123"/>
  <c r="W35" i="123"/>
  <c r="W15" i="123"/>
  <c r="W573" i="123"/>
  <c r="W449" i="123"/>
  <c r="W505" i="123"/>
  <c r="W422" i="123"/>
  <c r="W239" i="123"/>
  <c r="X47" i="123"/>
  <c r="X543" i="123"/>
  <c r="X538" i="123"/>
  <c r="X523" i="123"/>
  <c r="X255" i="123"/>
  <c r="X583" i="123"/>
  <c r="X423" i="123"/>
  <c r="X450" i="123"/>
  <c r="W539" i="123"/>
  <c r="W550" i="123"/>
  <c r="W236" i="123"/>
  <c r="W8" i="123"/>
  <c r="W474" i="123"/>
  <c r="W497" i="123"/>
  <c r="W446" i="123"/>
  <c r="W33" i="123"/>
  <c r="W269" i="123"/>
  <c r="W570" i="123"/>
  <c r="W519" i="123"/>
  <c r="W529" i="123"/>
  <c r="W215" i="123"/>
  <c r="W459" i="123"/>
  <c r="W47" i="123"/>
  <c r="W543" i="123"/>
  <c r="W538" i="123"/>
  <c r="W523" i="123"/>
  <c r="W255" i="123"/>
  <c r="W583" i="123"/>
  <c r="W423" i="123"/>
  <c r="W450" i="123"/>
  <c r="W375" i="124"/>
  <c r="W252" i="123"/>
  <c r="W26" i="124"/>
  <c r="W242" i="123"/>
  <c r="X373" i="124"/>
  <c r="X212" i="123"/>
  <c r="W373" i="124"/>
  <c r="W212" i="123"/>
  <c r="W55" i="124"/>
  <c r="W552" i="123"/>
  <c r="W532" i="124"/>
  <c r="W46" i="123"/>
  <c r="X55" i="124"/>
  <c r="X552" i="123"/>
  <c r="X532" i="124"/>
  <c r="X46" i="123"/>
  <c r="X498" i="124"/>
  <c r="X224" i="123"/>
  <c r="X37" i="124"/>
  <c r="X48" i="123"/>
  <c r="X394" i="124"/>
  <c r="X260" i="123"/>
  <c r="W18" i="124"/>
  <c r="W235" i="123"/>
  <c r="W584" i="124"/>
  <c r="W233" i="123"/>
  <c r="W540" i="124"/>
  <c r="W285" i="123"/>
  <c r="W403" i="124"/>
  <c r="W42" i="123"/>
  <c r="W394" i="124"/>
  <c r="W260" i="123"/>
  <c r="X18" i="124"/>
  <c r="X235" i="123"/>
  <c r="X584" i="124"/>
  <c r="X233" i="123"/>
  <c r="X540" i="124"/>
  <c r="X285" i="123"/>
  <c r="X579" i="124"/>
  <c r="X50" i="123"/>
  <c r="X403" i="124"/>
  <c r="X42" i="123"/>
  <c r="W498" i="124"/>
  <c r="W224" i="123"/>
  <c r="W37" i="124"/>
  <c r="W48" i="123"/>
  <c r="W579" i="124"/>
  <c r="W50" i="123"/>
  <c r="X299" i="124"/>
  <c r="X531" i="123"/>
  <c r="X253" i="124"/>
  <c r="X501" i="123"/>
  <c r="X289" i="124"/>
  <c r="X521" i="123"/>
  <c r="X381" i="124"/>
  <c r="X243" i="123"/>
  <c r="X22" i="124"/>
  <c r="X49" i="123"/>
  <c r="X234" i="124"/>
  <c r="X471" i="123"/>
  <c r="X23" i="124"/>
  <c r="X261" i="123"/>
  <c r="X57" i="124"/>
  <c r="X53" i="123"/>
  <c r="X42" i="124"/>
  <c r="X273" i="123"/>
  <c r="X284" i="124"/>
  <c r="X517" i="123"/>
  <c r="X380" i="124"/>
  <c r="X290" i="123"/>
  <c r="X337" i="124"/>
  <c r="X576" i="123"/>
  <c r="X501" i="124"/>
  <c r="X26" i="123"/>
  <c r="X222" i="124"/>
  <c r="X456" i="123"/>
  <c r="X530" i="124"/>
  <c r="X253" i="123"/>
  <c r="X312" i="124"/>
  <c r="X547" i="123"/>
  <c r="X316" i="124"/>
  <c r="X551" i="123"/>
  <c r="X382" i="124"/>
  <c r="X52" i="123"/>
  <c r="X214" i="124"/>
  <c r="X463" i="123"/>
  <c r="X59" i="124"/>
  <c r="X45" i="123"/>
  <c r="X190" i="124"/>
  <c r="X425" i="123"/>
  <c r="X275" i="124"/>
  <c r="X508" i="123"/>
  <c r="X323" i="124"/>
  <c r="X558" i="123"/>
  <c r="X283" i="124"/>
  <c r="X516" i="123"/>
  <c r="X17" i="124"/>
  <c r="X256" i="123"/>
  <c r="X300" i="124"/>
  <c r="X533" i="123"/>
  <c r="X298" i="124"/>
  <c r="X542" i="123"/>
  <c r="X202" i="124"/>
  <c r="X436" i="123"/>
  <c r="X232" i="124"/>
  <c r="X464" i="123"/>
  <c r="X417" i="124"/>
  <c r="X286" i="123"/>
  <c r="X205" i="124"/>
  <c r="X438" i="123"/>
  <c r="X210" i="123"/>
  <c r="X206" i="123"/>
  <c r="X202" i="123"/>
  <c r="X203" i="123"/>
  <c r="X198" i="123"/>
  <c r="X189" i="123"/>
  <c r="X181" i="123"/>
  <c r="X177" i="123"/>
  <c r="X168" i="123"/>
  <c r="X159" i="123"/>
  <c r="X208" i="123"/>
  <c r="X201" i="123"/>
  <c r="X193" i="123"/>
  <c r="X274" i="123"/>
  <c r="X180" i="123"/>
  <c r="X172" i="123"/>
  <c r="X163" i="123"/>
  <c r="X22" i="123"/>
  <c r="X154" i="123"/>
  <c r="X280" i="123"/>
  <c r="X150" i="123"/>
  <c r="X147" i="123"/>
  <c r="X144" i="123"/>
  <c r="X141" i="123"/>
  <c r="X137" i="123"/>
  <c r="X133" i="123"/>
  <c r="X129" i="123"/>
  <c r="X125" i="123"/>
  <c r="X122" i="123"/>
  <c r="X118" i="123"/>
  <c r="X114" i="123"/>
  <c r="X110" i="123"/>
  <c r="X106" i="123"/>
  <c r="X102" i="123"/>
  <c r="X288" i="123"/>
  <c r="X94" i="123"/>
  <c r="X90" i="123"/>
  <c r="X86" i="123"/>
  <c r="X81" i="123"/>
  <c r="X77" i="123"/>
  <c r="X73" i="123"/>
  <c r="X69" i="123"/>
  <c r="X65" i="123"/>
  <c r="X59" i="123"/>
  <c r="X11" i="123"/>
  <c r="X293" i="123"/>
  <c r="X297" i="123"/>
  <c r="X301" i="123"/>
  <c r="X305" i="123"/>
  <c r="X309" i="123"/>
  <c r="X313" i="123"/>
  <c r="X317" i="123"/>
  <c r="X321" i="123"/>
  <c r="X325" i="123"/>
  <c r="X329" i="123"/>
  <c r="X333" i="123"/>
  <c r="X337" i="123"/>
  <c r="X341" i="123"/>
  <c r="X345" i="123"/>
  <c r="X349" i="123"/>
  <c r="X353" i="123"/>
  <c r="X357" i="123"/>
  <c r="X361" i="123"/>
  <c r="X365" i="123"/>
  <c r="X369" i="123"/>
  <c r="X373" i="123"/>
  <c r="X377" i="123"/>
  <c r="X381" i="123"/>
  <c r="X197" i="123"/>
  <c r="X188" i="123"/>
  <c r="X184" i="123"/>
  <c r="X176" i="123"/>
  <c r="X167" i="123"/>
  <c r="X158" i="123"/>
  <c r="X207" i="123"/>
  <c r="X95" i="123"/>
  <c r="X192" i="123"/>
  <c r="X187" i="123"/>
  <c r="X179" i="123"/>
  <c r="X171" i="123"/>
  <c r="X162" i="123"/>
  <c r="X157" i="123"/>
  <c r="X21" i="123"/>
  <c r="X153" i="123"/>
  <c r="X18" i="123"/>
  <c r="X149" i="123"/>
  <c r="X146" i="123"/>
  <c r="X143" i="123"/>
  <c r="X140" i="123"/>
  <c r="X136" i="123"/>
  <c r="X132" i="123"/>
  <c r="X128" i="123"/>
  <c r="X124" i="123"/>
  <c r="X121" i="123"/>
  <c r="X117" i="123"/>
  <c r="X113" i="123"/>
  <c r="X109" i="123"/>
  <c r="X105" i="123"/>
  <c r="X101" i="123"/>
  <c r="X98" i="123"/>
  <c r="X93" i="123"/>
  <c r="X89" i="123"/>
  <c r="X85" i="123"/>
  <c r="X84" i="123"/>
  <c r="X80" i="123"/>
  <c r="X76" i="123"/>
  <c r="X72" i="123"/>
  <c r="X68" i="123"/>
  <c r="X64" i="123"/>
  <c r="X58" i="123"/>
  <c r="X10" i="123"/>
  <c r="X294" i="123"/>
  <c r="X298" i="123"/>
  <c r="X302" i="123"/>
  <c r="X306" i="123"/>
  <c r="X310" i="123"/>
  <c r="X314" i="123"/>
  <c r="X318" i="123"/>
  <c r="X322" i="123"/>
  <c r="X326" i="123"/>
  <c r="X330" i="123"/>
  <c r="X205" i="123"/>
  <c r="X196" i="123"/>
  <c r="X191" i="123"/>
  <c r="X183" i="123"/>
  <c r="X175" i="123"/>
  <c r="X166" i="123"/>
  <c r="X161" i="123"/>
  <c r="X209" i="123"/>
  <c r="X194" i="123"/>
  <c r="X185" i="123"/>
  <c r="X178" i="123"/>
  <c r="X173" i="123"/>
  <c r="X164" i="123"/>
  <c r="X155" i="123"/>
  <c r="X19" i="123"/>
  <c r="X151" i="123"/>
  <c r="X16" i="123"/>
  <c r="X148" i="123"/>
  <c r="X145" i="123"/>
  <c r="X12" i="123"/>
  <c r="X138" i="123"/>
  <c r="X134" i="123"/>
  <c r="X130" i="123"/>
  <c r="X126" i="123"/>
  <c r="X123" i="123"/>
  <c r="X119" i="123"/>
  <c r="X115" i="123"/>
  <c r="X111" i="123"/>
  <c r="X107" i="123"/>
  <c r="X103" i="123"/>
  <c r="X99" i="123"/>
  <c r="X96" i="123"/>
  <c r="X91" i="123"/>
  <c r="X87" i="123"/>
  <c r="X4" i="123"/>
  <c r="X82" i="123"/>
  <c r="X78" i="123"/>
  <c r="X74" i="123"/>
  <c r="X70" i="123"/>
  <c r="X66" i="123"/>
  <c r="X62" i="123"/>
  <c r="X56" i="123"/>
  <c r="X292" i="123"/>
  <c r="X296" i="123"/>
  <c r="X300" i="123"/>
  <c r="X304" i="123"/>
  <c r="X308" i="123"/>
  <c r="X312" i="123"/>
  <c r="X316" i="123"/>
  <c r="X320" i="123"/>
  <c r="X324" i="123"/>
  <c r="X328" i="123"/>
  <c r="X332" i="123"/>
  <c r="X336" i="123"/>
  <c r="X340" i="123"/>
  <c r="X344" i="123"/>
  <c r="X348" i="123"/>
  <c r="X352" i="123"/>
  <c r="X356" i="123"/>
  <c r="X360" i="123"/>
  <c r="X364" i="123"/>
  <c r="X368" i="123"/>
  <c r="X372" i="123"/>
  <c r="X376" i="123"/>
  <c r="X195" i="123"/>
  <c r="X24" i="123"/>
  <c r="X17" i="123"/>
  <c r="X139" i="123"/>
  <c r="X287" i="123"/>
  <c r="X108" i="123"/>
  <c r="X92" i="123"/>
  <c r="X79" i="123"/>
  <c r="X63" i="123"/>
  <c r="X299" i="123"/>
  <c r="X315" i="123"/>
  <c r="X331" i="123"/>
  <c r="X342" i="123"/>
  <c r="X387" i="123"/>
  <c r="X396" i="123"/>
  <c r="X400" i="123"/>
  <c r="X404" i="123"/>
  <c r="X408" i="123"/>
  <c r="X412" i="123"/>
  <c r="X416" i="123"/>
  <c r="X420" i="123"/>
  <c r="X152" i="123"/>
  <c r="X97" i="123"/>
  <c r="X327" i="123"/>
  <c r="X399" i="123"/>
  <c r="X415" i="123"/>
  <c r="X160" i="123"/>
  <c r="X343" i="123"/>
  <c r="X354" i="123"/>
  <c r="X362" i="123"/>
  <c r="X370" i="123"/>
  <c r="X378" i="123"/>
  <c r="X383" i="123"/>
  <c r="X392" i="123"/>
  <c r="X127" i="123"/>
  <c r="X295" i="123"/>
  <c r="X407" i="123"/>
  <c r="X156" i="123"/>
  <c r="X14" i="123"/>
  <c r="X135" i="123"/>
  <c r="X120" i="123"/>
  <c r="X104" i="123"/>
  <c r="X88" i="123"/>
  <c r="X75" i="123"/>
  <c r="X57" i="123"/>
  <c r="X303" i="123"/>
  <c r="X319" i="123"/>
  <c r="X334" i="123"/>
  <c r="X388" i="123"/>
  <c r="X393" i="123"/>
  <c r="X397" i="123"/>
  <c r="X401" i="123"/>
  <c r="X405" i="123"/>
  <c r="X409" i="123"/>
  <c r="X413" i="123"/>
  <c r="X417" i="123"/>
  <c r="X421" i="123"/>
  <c r="X165" i="123"/>
  <c r="X112" i="123"/>
  <c r="X311" i="123"/>
  <c r="X395" i="123"/>
  <c r="X411" i="123"/>
  <c r="X359" i="123"/>
  <c r="X382" i="123"/>
  <c r="X190" i="123"/>
  <c r="X174" i="123"/>
  <c r="X335" i="123"/>
  <c r="X346" i="123"/>
  <c r="X355" i="123"/>
  <c r="X363" i="123"/>
  <c r="X371" i="123"/>
  <c r="X379" i="123"/>
  <c r="X384" i="123"/>
  <c r="X389" i="123"/>
  <c r="X200" i="123"/>
  <c r="X83" i="123"/>
  <c r="X350" i="123"/>
  <c r="X386" i="123"/>
  <c r="X199" i="123"/>
  <c r="X391" i="123"/>
  <c r="X186" i="123"/>
  <c r="X170" i="123"/>
  <c r="X20" i="123"/>
  <c r="X13" i="123"/>
  <c r="X131" i="123"/>
  <c r="X116" i="123"/>
  <c r="X100" i="123"/>
  <c r="X6" i="123"/>
  <c r="X71" i="123"/>
  <c r="X291" i="123"/>
  <c r="X307" i="123"/>
  <c r="X323" i="123"/>
  <c r="X347" i="123"/>
  <c r="X385" i="123"/>
  <c r="X394" i="123"/>
  <c r="X398" i="123"/>
  <c r="X402" i="123"/>
  <c r="X406" i="123"/>
  <c r="X410" i="123"/>
  <c r="X414" i="123"/>
  <c r="X418" i="123"/>
  <c r="X182" i="123"/>
  <c r="X351" i="123"/>
  <c r="X375" i="123"/>
  <c r="X204" i="123"/>
  <c r="X169" i="123"/>
  <c r="X338" i="123"/>
  <c r="X358" i="123"/>
  <c r="X366" i="123"/>
  <c r="X374" i="123"/>
  <c r="X380" i="123"/>
  <c r="X390" i="123"/>
  <c r="X142" i="123"/>
  <c r="X67" i="123"/>
  <c r="X339" i="123"/>
  <c r="X403" i="123"/>
  <c r="X419" i="123"/>
  <c r="X367" i="123"/>
  <c r="X569" i="124"/>
  <c r="X217" i="123"/>
  <c r="X393" i="124"/>
  <c r="X238" i="123"/>
  <c r="X500" i="124"/>
  <c r="X282" i="123"/>
  <c r="X56" i="124"/>
  <c r="X54" i="123"/>
  <c r="X534" i="124"/>
  <c r="X237" i="123"/>
  <c r="X379" i="124"/>
  <c r="X289" i="123"/>
  <c r="W379" i="124"/>
  <c r="W289" i="123"/>
  <c r="W371" i="124"/>
  <c r="W548" i="123"/>
  <c r="W299" i="124"/>
  <c r="W531" i="123"/>
  <c r="W253" i="124"/>
  <c r="W501" i="123"/>
  <c r="W289" i="124"/>
  <c r="W521" i="123"/>
  <c r="W381" i="124"/>
  <c r="W243" i="123"/>
  <c r="W234" i="124"/>
  <c r="W471" i="123"/>
  <c r="W57" i="124"/>
  <c r="W53" i="123"/>
  <c r="W42" i="124"/>
  <c r="W273" i="123"/>
  <c r="W284" i="124"/>
  <c r="W517" i="123"/>
  <c r="W380" i="124"/>
  <c r="W290" i="123"/>
  <c r="W337" i="124"/>
  <c r="W576" i="123"/>
  <c r="W501" i="124"/>
  <c r="W26" i="123"/>
  <c r="W222" i="124"/>
  <c r="W456" i="123"/>
  <c r="W530" i="124"/>
  <c r="W253" i="123"/>
  <c r="W312" i="124"/>
  <c r="W547" i="123"/>
  <c r="W316" i="124"/>
  <c r="W551" i="123"/>
  <c r="W382" i="124"/>
  <c r="W52" i="123"/>
  <c r="W214" i="124"/>
  <c r="W463" i="123"/>
  <c r="W59" i="124"/>
  <c r="W45" i="123"/>
  <c r="W190" i="124"/>
  <c r="W425" i="123"/>
  <c r="W275" i="124"/>
  <c r="W508" i="123"/>
  <c r="W323" i="124"/>
  <c r="W558" i="123"/>
  <c r="W283" i="124"/>
  <c r="W516" i="123"/>
  <c r="W300" i="124"/>
  <c r="W533" i="123"/>
  <c r="W298" i="124"/>
  <c r="W542" i="123"/>
  <c r="W202" i="124"/>
  <c r="W436" i="123"/>
  <c r="W232" i="124"/>
  <c r="W464" i="123"/>
  <c r="W417" i="124"/>
  <c r="W286" i="123"/>
  <c r="W205" i="124"/>
  <c r="W438" i="123"/>
  <c r="W210" i="123"/>
  <c r="W206" i="123"/>
  <c r="W202" i="123"/>
  <c r="W199" i="123"/>
  <c r="W195" i="123"/>
  <c r="W191" i="123"/>
  <c r="W187" i="123"/>
  <c r="W184" i="123"/>
  <c r="W180" i="123"/>
  <c r="W177" i="123"/>
  <c r="W173" i="123"/>
  <c r="W169" i="123"/>
  <c r="W165" i="123"/>
  <c r="W161" i="123"/>
  <c r="W157" i="123"/>
  <c r="W209" i="123"/>
  <c r="W205" i="123"/>
  <c r="W201" i="123"/>
  <c r="W208" i="123"/>
  <c r="W193" i="123"/>
  <c r="W274" i="123"/>
  <c r="W172" i="123"/>
  <c r="W163" i="123"/>
  <c r="W22" i="123"/>
  <c r="W154" i="123"/>
  <c r="W280" i="123"/>
  <c r="W150" i="123"/>
  <c r="W147" i="123"/>
  <c r="W144" i="123"/>
  <c r="W141" i="123"/>
  <c r="W137" i="123"/>
  <c r="W133" i="123"/>
  <c r="W129" i="123"/>
  <c r="W125" i="123"/>
  <c r="W122" i="123"/>
  <c r="W118" i="123"/>
  <c r="W114" i="123"/>
  <c r="W110" i="123"/>
  <c r="W106" i="123"/>
  <c r="W102" i="123"/>
  <c r="W288" i="123"/>
  <c r="W94" i="123"/>
  <c r="W90" i="123"/>
  <c r="W86" i="123"/>
  <c r="W81" i="123"/>
  <c r="W77" i="123"/>
  <c r="W73" i="123"/>
  <c r="W69" i="123"/>
  <c r="W65" i="123"/>
  <c r="W59" i="123"/>
  <c r="W11" i="123"/>
  <c r="W293" i="123"/>
  <c r="W297" i="123"/>
  <c r="W301" i="123"/>
  <c r="W305" i="123"/>
  <c r="W309" i="123"/>
  <c r="W313" i="123"/>
  <c r="W317" i="123"/>
  <c r="W321" i="123"/>
  <c r="W325" i="123"/>
  <c r="W329" i="123"/>
  <c r="W333" i="123"/>
  <c r="W337" i="123"/>
  <c r="W341" i="123"/>
  <c r="W345" i="123"/>
  <c r="W349" i="123"/>
  <c r="W353" i="123"/>
  <c r="W357" i="123"/>
  <c r="W361" i="123"/>
  <c r="W365" i="123"/>
  <c r="W369" i="123"/>
  <c r="W373" i="123"/>
  <c r="W377" i="123"/>
  <c r="W381" i="123"/>
  <c r="W385" i="123"/>
  <c r="W389" i="123"/>
  <c r="W393" i="123"/>
  <c r="W197" i="123"/>
  <c r="W188" i="123"/>
  <c r="W176" i="123"/>
  <c r="W167" i="123"/>
  <c r="W158" i="123"/>
  <c r="W207" i="123"/>
  <c r="W95" i="123"/>
  <c r="W192" i="123"/>
  <c r="W179" i="123"/>
  <c r="W171" i="123"/>
  <c r="W162" i="123"/>
  <c r="W21" i="123"/>
  <c r="W153" i="123"/>
  <c r="W18" i="123"/>
  <c r="W149" i="123"/>
  <c r="W146" i="123"/>
  <c r="W143" i="123"/>
  <c r="W140" i="123"/>
  <c r="W136" i="123"/>
  <c r="W132" i="123"/>
  <c r="W128" i="123"/>
  <c r="W124" i="123"/>
  <c r="W121" i="123"/>
  <c r="W117" i="123"/>
  <c r="W113" i="123"/>
  <c r="W109" i="123"/>
  <c r="W105" i="123"/>
  <c r="W101" i="123"/>
  <c r="W98" i="123"/>
  <c r="W93" i="123"/>
  <c r="W89" i="123"/>
  <c r="W85" i="123"/>
  <c r="W84" i="123"/>
  <c r="W80" i="123"/>
  <c r="W76" i="123"/>
  <c r="W72" i="123"/>
  <c r="W68" i="123"/>
  <c r="W64" i="123"/>
  <c r="W58" i="123"/>
  <c r="W10" i="123"/>
  <c r="W294" i="123"/>
  <c r="W298" i="123"/>
  <c r="W302" i="123"/>
  <c r="W306" i="123"/>
  <c r="W310" i="123"/>
  <c r="W314" i="123"/>
  <c r="W318" i="123"/>
  <c r="W322" i="123"/>
  <c r="W326" i="123"/>
  <c r="W330" i="123"/>
  <c r="W334" i="123"/>
  <c r="W338" i="123"/>
  <c r="W342" i="123"/>
  <c r="W346" i="123"/>
  <c r="W350" i="123"/>
  <c r="W354" i="123"/>
  <c r="W358" i="123"/>
  <c r="W362" i="123"/>
  <c r="W366" i="123"/>
  <c r="W370" i="123"/>
  <c r="W374" i="123"/>
  <c r="W378" i="123"/>
  <c r="W196" i="123"/>
  <c r="W183" i="123"/>
  <c r="W175" i="123"/>
  <c r="W166" i="123"/>
  <c r="W200" i="123"/>
  <c r="W186" i="123"/>
  <c r="W24" i="123"/>
  <c r="W170" i="123"/>
  <c r="W156" i="123"/>
  <c r="W20" i="123"/>
  <c r="W152" i="123"/>
  <c r="W17" i="123"/>
  <c r="W14" i="123"/>
  <c r="W13" i="123"/>
  <c r="W142" i="123"/>
  <c r="W139" i="123"/>
  <c r="W135" i="123"/>
  <c r="W131" i="123"/>
  <c r="W127" i="123"/>
  <c r="W287" i="123"/>
  <c r="W120" i="123"/>
  <c r="W116" i="123"/>
  <c r="W112" i="123"/>
  <c r="W108" i="123"/>
  <c r="W104" i="123"/>
  <c r="W100" i="123"/>
  <c r="W97" i="123"/>
  <c r="W92" i="123"/>
  <c r="W88" i="123"/>
  <c r="W6" i="123"/>
  <c r="W83" i="123"/>
  <c r="W79" i="123"/>
  <c r="W75" i="123"/>
  <c r="W71" i="123"/>
  <c r="W67" i="123"/>
  <c r="W63" i="123"/>
  <c r="W57" i="123"/>
  <c r="W291" i="123"/>
  <c r="W295" i="123"/>
  <c r="W299" i="123"/>
  <c r="W303" i="123"/>
  <c r="W307" i="123"/>
  <c r="W311" i="123"/>
  <c r="W315" i="123"/>
  <c r="W319" i="123"/>
  <c r="W323" i="123"/>
  <c r="W327" i="123"/>
  <c r="W331" i="123"/>
  <c r="W335" i="123"/>
  <c r="W339" i="123"/>
  <c r="W343" i="123"/>
  <c r="W347" i="123"/>
  <c r="W351" i="123"/>
  <c r="W203" i="123"/>
  <c r="W198" i="123"/>
  <c r="W189" i="123"/>
  <c r="W181" i="123"/>
  <c r="W168" i="123"/>
  <c r="W159" i="123"/>
  <c r="W160" i="123"/>
  <c r="W352" i="123"/>
  <c r="W360" i="123"/>
  <c r="W368" i="123"/>
  <c r="W376" i="123"/>
  <c r="W383" i="123"/>
  <c r="W392" i="123"/>
  <c r="W418" i="123"/>
  <c r="W375" i="123"/>
  <c r="W194" i="123"/>
  <c r="W178" i="123"/>
  <c r="W16" i="123"/>
  <c r="W138" i="123"/>
  <c r="W123" i="123"/>
  <c r="W107" i="123"/>
  <c r="W91" i="123"/>
  <c r="W78" i="123"/>
  <c r="W62" i="123"/>
  <c r="W300" i="123"/>
  <c r="W316" i="123"/>
  <c r="W332" i="123"/>
  <c r="W388" i="123"/>
  <c r="W397" i="123"/>
  <c r="W401" i="123"/>
  <c r="W405" i="123"/>
  <c r="W409" i="123"/>
  <c r="W413" i="123"/>
  <c r="W417" i="123"/>
  <c r="W421" i="123"/>
  <c r="W410" i="123"/>
  <c r="W182" i="123"/>
  <c r="W359" i="123"/>
  <c r="W391" i="123"/>
  <c r="W412" i="123"/>
  <c r="W190" i="123"/>
  <c r="W174" i="123"/>
  <c r="W344" i="123"/>
  <c r="W355" i="123"/>
  <c r="W363" i="123"/>
  <c r="W371" i="123"/>
  <c r="W379" i="123"/>
  <c r="W384" i="123"/>
  <c r="W414" i="123"/>
  <c r="W367" i="123"/>
  <c r="W12" i="123"/>
  <c r="W82" i="123"/>
  <c r="W312" i="123"/>
  <c r="W400" i="123"/>
  <c r="W155" i="123"/>
  <c r="W148" i="123"/>
  <c r="W134" i="123"/>
  <c r="W119" i="123"/>
  <c r="W103" i="123"/>
  <c r="W87" i="123"/>
  <c r="W74" i="123"/>
  <c r="W56" i="123"/>
  <c r="W304" i="123"/>
  <c r="W320" i="123"/>
  <c r="W394" i="123"/>
  <c r="W398" i="123"/>
  <c r="W402" i="123"/>
  <c r="W406" i="123"/>
  <c r="W164" i="123"/>
  <c r="W111" i="123"/>
  <c r="W66" i="123"/>
  <c r="W340" i="123"/>
  <c r="W408" i="123"/>
  <c r="W204" i="123"/>
  <c r="W336" i="123"/>
  <c r="W356" i="123"/>
  <c r="W364" i="123"/>
  <c r="W372" i="123"/>
  <c r="W380" i="123"/>
  <c r="W390" i="123"/>
  <c r="W151" i="123"/>
  <c r="W126" i="123"/>
  <c r="W96" i="123"/>
  <c r="W296" i="123"/>
  <c r="W396" i="123"/>
  <c r="W416" i="123"/>
  <c r="W185" i="123"/>
  <c r="W19" i="123"/>
  <c r="W145" i="123"/>
  <c r="W130" i="123"/>
  <c r="W115" i="123"/>
  <c r="W99" i="123"/>
  <c r="W4" i="123"/>
  <c r="W70" i="123"/>
  <c r="W292" i="123"/>
  <c r="W308" i="123"/>
  <c r="W324" i="123"/>
  <c r="W348" i="123"/>
  <c r="W386" i="123"/>
  <c r="W395" i="123"/>
  <c r="W399" i="123"/>
  <c r="W403" i="123"/>
  <c r="W407" i="123"/>
  <c r="W411" i="123"/>
  <c r="W415" i="123"/>
  <c r="W419" i="123"/>
  <c r="W382" i="123"/>
  <c r="W328" i="123"/>
  <c r="W387" i="123"/>
  <c r="W404" i="123"/>
  <c r="W420" i="123"/>
  <c r="W569" i="124"/>
  <c r="W217" i="123"/>
  <c r="W393" i="124"/>
  <c r="W238" i="123"/>
  <c r="W500" i="124"/>
  <c r="W282" i="123"/>
  <c r="W56" i="124"/>
  <c r="W54" i="123"/>
  <c r="W534" i="124"/>
  <c r="W237" i="123"/>
  <c r="X371" i="124"/>
  <c r="X548" i="123"/>
  <c r="X375" i="124"/>
  <c r="X252" i="123"/>
  <c r="X26" i="124"/>
  <c r="X242" i="123"/>
  <c r="W40" i="124"/>
  <c r="W356" i="124"/>
  <c r="W410" i="124"/>
  <c r="W487" i="124"/>
  <c r="W60" i="124"/>
  <c r="W320" i="124"/>
  <c r="W346" i="124"/>
  <c r="X40" i="124"/>
  <c r="X564" i="124"/>
  <c r="X357" i="124"/>
  <c r="X378" i="124"/>
  <c r="X410" i="124"/>
  <c r="X487" i="124"/>
  <c r="X60" i="124"/>
  <c r="X352" i="124"/>
  <c r="X438" i="124"/>
  <c r="X48" i="124"/>
  <c r="X356" i="124"/>
  <c r="W237" i="124"/>
  <c r="W437" i="124"/>
  <c r="W235" i="124"/>
  <c r="W217" i="124"/>
  <c r="W244" i="124"/>
  <c r="W413" i="124"/>
  <c r="W481" i="124"/>
  <c r="W506" i="124"/>
  <c r="W229" i="124"/>
  <c r="W397" i="124"/>
  <c r="W203" i="124"/>
  <c r="W245" i="124"/>
  <c r="W326" i="124"/>
  <c r="W213" i="124"/>
  <c r="W260" i="124"/>
  <c r="W247" i="124"/>
  <c r="W265" i="124"/>
  <c r="W224" i="124"/>
  <c r="W290" i="124"/>
  <c r="W199" i="124"/>
  <c r="W4" i="124"/>
  <c r="W328" i="124"/>
  <c r="W208" i="124"/>
  <c r="W278" i="124"/>
  <c r="W5" i="124"/>
  <c r="W302" i="124"/>
  <c r="W286" i="124"/>
  <c r="W276" i="124"/>
  <c r="W294" i="124"/>
  <c r="W240" i="124"/>
  <c r="W329" i="124"/>
  <c r="W220" i="124"/>
  <c r="W189" i="124"/>
  <c r="W227" i="124"/>
  <c r="W306" i="124"/>
  <c r="W271" i="124"/>
  <c r="W264" i="124"/>
  <c r="W259" i="124"/>
  <c r="W348" i="124"/>
  <c r="W273" i="124"/>
  <c r="W223" i="124"/>
  <c r="W254" i="124"/>
  <c r="W256" i="124"/>
  <c r="W341" i="124"/>
  <c r="W216" i="124"/>
  <c r="W218" i="124"/>
  <c r="W336" i="124"/>
  <c r="X320" i="124"/>
  <c r="X346" i="124"/>
  <c r="X226" i="124"/>
  <c r="X197" i="124"/>
  <c r="X331" i="124"/>
  <c r="X308" i="124"/>
  <c r="X266" i="124"/>
  <c r="X243" i="124"/>
  <c r="X297" i="124"/>
  <c r="X30" i="124"/>
  <c r="X282" i="124"/>
  <c r="X246" i="124"/>
  <c r="X258" i="124"/>
  <c r="X340" i="124"/>
  <c r="X310" i="124"/>
  <c r="X194" i="124"/>
  <c r="X207" i="124"/>
  <c r="X347" i="124"/>
  <c r="X248" i="124"/>
  <c r="X367" i="124"/>
  <c r="X338" i="124"/>
  <c r="X257" i="124"/>
  <c r="X204" i="124"/>
  <c r="X268" i="124"/>
  <c r="X261" i="124"/>
  <c r="X239" i="124"/>
  <c r="X221" i="124"/>
  <c r="X29" i="124"/>
  <c r="X343" i="124"/>
  <c r="X242" i="124"/>
  <c r="X16" i="124"/>
  <c r="X279" i="124"/>
  <c r="X262" i="124"/>
  <c r="X317" i="124"/>
  <c r="X269" i="124"/>
  <c r="X241" i="124"/>
  <c r="X428" i="124"/>
  <c r="X267" i="124"/>
  <c r="X206" i="124"/>
  <c r="X9" i="124"/>
  <c r="X230" i="124"/>
  <c r="X274" i="124"/>
  <c r="X47" i="124"/>
  <c r="X301" i="124"/>
  <c r="X236" i="124"/>
  <c r="X319" i="124"/>
  <c r="X342" i="124"/>
  <c r="X195" i="124"/>
  <c r="X307" i="124"/>
  <c r="X280" i="124"/>
  <c r="X252" i="124"/>
  <c r="X303" i="124"/>
  <c r="X251" i="124"/>
  <c r="X196" i="124"/>
  <c r="W226" i="124"/>
  <c r="W197" i="124"/>
  <c r="W331" i="124"/>
  <c r="W308" i="124"/>
  <c r="W266" i="124"/>
  <c r="W243" i="124"/>
  <c r="W297" i="124"/>
  <c r="W30" i="124"/>
  <c r="W282" i="124"/>
  <c r="W246" i="124"/>
  <c r="W258" i="124"/>
  <c r="W340" i="124"/>
  <c r="W22" i="124"/>
  <c r="W23" i="124"/>
  <c r="W17" i="124"/>
  <c r="X401" i="124"/>
  <c r="W310" i="124"/>
  <c r="W194" i="124"/>
  <c r="W207" i="124"/>
  <c r="W347" i="124"/>
  <c r="W248" i="124"/>
  <c r="W338" i="124"/>
  <c r="W257" i="124"/>
  <c r="W204" i="124"/>
  <c r="W268" i="124"/>
  <c r="W261" i="124"/>
  <c r="W239" i="124"/>
  <c r="W221" i="124"/>
  <c r="W343" i="124"/>
  <c r="W242" i="124"/>
  <c r="W16" i="124"/>
  <c r="W279" i="124"/>
  <c r="W262" i="124"/>
  <c r="W317" i="124"/>
  <c r="W269" i="124"/>
  <c r="W241" i="124"/>
  <c r="W267" i="124"/>
  <c r="W206" i="124"/>
  <c r="W9" i="124"/>
  <c r="W230" i="124"/>
  <c r="W274" i="124"/>
  <c r="W301" i="124"/>
  <c r="W236" i="124"/>
  <c r="W319" i="124"/>
  <c r="W342" i="124"/>
  <c r="W195" i="124"/>
  <c r="W307" i="124"/>
  <c r="X335" i="124"/>
  <c r="X305" i="124"/>
  <c r="X315" i="124"/>
  <c r="X318" i="124"/>
  <c r="X191" i="124"/>
  <c r="X330" i="124"/>
  <c r="W233" i="124"/>
  <c r="W335" i="124"/>
  <c r="W305" i="124"/>
  <c r="W291" i="124"/>
  <c r="W315" i="124"/>
  <c r="W231" i="124"/>
  <c r="W318" i="124"/>
  <c r="W191" i="124"/>
  <c r="W582" i="124"/>
  <c r="W330" i="124"/>
  <c r="W388" i="124"/>
  <c r="W255" i="124"/>
  <c r="W212" i="124"/>
  <c r="W327" i="124"/>
  <c r="W250" i="124"/>
  <c r="W228" i="124"/>
  <c r="W309" i="124"/>
  <c r="W285" i="124"/>
  <c r="W345" i="124"/>
  <c r="W322" i="124"/>
  <c r="W198" i="124"/>
  <c r="W192" i="124"/>
  <c r="W304" i="124"/>
  <c r="W325" i="124"/>
  <c r="W293" i="124"/>
  <c r="W200" i="124"/>
  <c r="W324" i="124"/>
  <c r="X233" i="124"/>
  <c r="X291" i="124"/>
  <c r="X231" i="124"/>
  <c r="X582" i="124"/>
  <c r="X388" i="124"/>
  <c r="X237" i="124"/>
  <c r="X437" i="124"/>
  <c r="X235" i="124"/>
  <c r="X481" i="124"/>
  <c r="X217" i="124"/>
  <c r="X244" i="124"/>
  <c r="X506" i="124"/>
  <c r="X229" i="124"/>
  <c r="X397" i="124"/>
  <c r="X413" i="124"/>
  <c r="X203" i="124"/>
  <c r="X245" i="124"/>
  <c r="X326" i="124"/>
  <c r="X213" i="124"/>
  <c r="X260" i="124"/>
  <c r="X247" i="124"/>
  <c r="X265" i="124"/>
  <c r="X224" i="124"/>
  <c r="X290" i="124"/>
  <c r="X199" i="124"/>
  <c r="X4" i="124"/>
  <c r="X328" i="124"/>
  <c r="X208" i="124"/>
  <c r="X278" i="124"/>
  <c r="X5" i="124"/>
  <c r="X302" i="124"/>
  <c r="X286" i="124"/>
  <c r="X276" i="124"/>
  <c r="X294" i="124"/>
  <c r="X240" i="124"/>
  <c r="X329" i="124"/>
  <c r="X220" i="124"/>
  <c r="X189" i="124"/>
  <c r="X227" i="124"/>
  <c r="X306" i="124"/>
  <c r="X271" i="124"/>
  <c r="X264" i="124"/>
  <c r="X259" i="124"/>
  <c r="X348" i="124"/>
  <c r="W423" i="124"/>
  <c r="W53" i="124"/>
  <c r="W400" i="124"/>
  <c r="W61" i="124"/>
  <c r="W408" i="124"/>
  <c r="W483" i="124"/>
  <c r="W587" i="124"/>
  <c r="W492" i="124"/>
  <c r="W485" i="124"/>
  <c r="W46" i="124"/>
  <c r="W586" i="124"/>
  <c r="X423" i="124"/>
  <c r="X53" i="124"/>
  <c r="X400" i="124"/>
  <c r="X408" i="124"/>
  <c r="X273" i="124"/>
  <c r="X223" i="124"/>
  <c r="X587" i="124"/>
  <c r="X254" i="124"/>
  <c r="X256" i="124"/>
  <c r="X341" i="124"/>
  <c r="X216" i="124"/>
  <c r="X218" i="124"/>
  <c r="X336" i="124"/>
  <c r="W249" i="124"/>
  <c r="W313" i="124"/>
  <c r="W402" i="124"/>
  <c r="W541" i="124"/>
  <c r="W41" i="124"/>
  <c r="W321" i="124"/>
  <c r="W552" i="124"/>
  <c r="X311" i="124"/>
  <c r="X370" i="124"/>
  <c r="X422" i="124"/>
  <c r="X38" i="124"/>
  <c r="X333" i="124"/>
  <c r="X215" i="124"/>
  <c r="X270" i="124"/>
  <c r="X187" i="124"/>
  <c r="X528" i="124"/>
  <c r="W377" i="124"/>
  <c r="X491" i="124"/>
  <c r="W522" i="124"/>
  <c r="W564" i="124"/>
  <c r="W34" i="124"/>
  <c r="W367" i="124"/>
  <c r="W29" i="124"/>
  <c r="W491" i="124"/>
  <c r="W428" i="124"/>
  <c r="W443" i="124"/>
  <c r="W47" i="124"/>
  <c r="W21" i="124"/>
  <c r="W280" i="124"/>
  <c r="W252" i="124"/>
  <c r="W303" i="124"/>
  <c r="W401" i="124"/>
  <c r="W251" i="124"/>
  <c r="W196" i="124"/>
  <c r="W311" i="124"/>
  <c r="W370" i="124"/>
  <c r="W422" i="124"/>
  <c r="W38" i="124"/>
  <c r="W333" i="124"/>
  <c r="W215" i="124"/>
  <c r="W270" i="124"/>
  <c r="W187" i="124"/>
  <c r="W528" i="124"/>
  <c r="X34" i="124"/>
  <c r="X21" i="124"/>
  <c r="X515" i="124"/>
  <c r="X354" i="124"/>
  <c r="X485" i="124"/>
  <c r="X295" i="124"/>
  <c r="X314" i="124"/>
  <c r="X538" i="124"/>
  <c r="X399" i="124"/>
  <c r="X238" i="124"/>
  <c r="X263" i="124"/>
  <c r="X210" i="124"/>
  <c r="X430" i="124"/>
  <c r="X334" i="124"/>
  <c r="X287" i="124"/>
  <c r="X296" i="124"/>
  <c r="X480" i="124"/>
  <c r="X225" i="124"/>
  <c r="X51" i="124"/>
  <c r="X512" i="124"/>
  <c r="X272" i="124"/>
  <c r="X292" i="124"/>
  <c r="X31" i="124"/>
  <c r="X344" i="124"/>
  <c r="X188" i="124"/>
  <c r="X219" i="124"/>
  <c r="W361" i="124"/>
  <c r="X492" i="124"/>
  <c r="X576" i="124"/>
  <c r="X32" i="124"/>
  <c r="W515" i="124"/>
  <c r="W576" i="124"/>
  <c r="W357" i="124"/>
  <c r="W354" i="124"/>
  <c r="W378" i="124"/>
  <c r="W32" i="124"/>
  <c r="W352" i="124"/>
  <c r="W438" i="124"/>
  <c r="W295" i="124"/>
  <c r="W314" i="124"/>
  <c r="W538" i="124"/>
  <c r="W399" i="124"/>
  <c r="W238" i="124"/>
  <c r="W263" i="124"/>
  <c r="W210" i="124"/>
  <c r="W48" i="124"/>
  <c r="W430" i="124"/>
  <c r="W334" i="124"/>
  <c r="W287" i="124"/>
  <c r="W296" i="124"/>
  <c r="W480" i="124"/>
  <c r="W225" i="124"/>
  <c r="W51" i="124"/>
  <c r="W512" i="124"/>
  <c r="W272" i="124"/>
  <c r="W292" i="124"/>
  <c r="W31" i="124"/>
  <c r="W344" i="124"/>
  <c r="W188" i="124"/>
  <c r="W219" i="124"/>
  <c r="X443" i="124"/>
  <c r="X46" i="124"/>
  <c r="X586" i="124"/>
  <c r="X536" i="124"/>
  <c r="X420" i="124"/>
  <c r="X570" i="124"/>
  <c r="X531" i="124"/>
  <c r="X452" i="124"/>
  <c r="X255" i="124"/>
  <c r="X212" i="124"/>
  <c r="X327" i="124"/>
  <c r="X577" i="124"/>
  <c r="X43" i="124"/>
  <c r="X250" i="124"/>
  <c r="X495" i="124"/>
  <c r="X228" i="124"/>
  <c r="X19" i="124"/>
  <c r="X309" i="124"/>
  <c r="X285" i="124"/>
  <c r="X360" i="124"/>
  <c r="X345" i="124"/>
  <c r="X409" i="124"/>
  <c r="X322" i="124"/>
  <c r="X198" i="124"/>
  <c r="X192" i="124"/>
  <c r="X304" i="124"/>
  <c r="X325" i="124"/>
  <c r="X293" i="124"/>
  <c r="X200" i="124"/>
  <c r="X398" i="124"/>
  <c r="X324" i="124"/>
  <c r="X35" i="124"/>
  <c r="X211" i="124"/>
  <c r="X332" i="124"/>
  <c r="X288" i="124"/>
  <c r="X281" i="124"/>
  <c r="X201" i="124"/>
  <c r="X50" i="124"/>
  <c r="X277" i="124"/>
  <c r="X505" i="124"/>
  <c r="X504" i="124"/>
  <c r="X447" i="124"/>
  <c r="X209" i="124"/>
  <c r="X396" i="124"/>
  <c r="X478" i="124"/>
  <c r="X339" i="124"/>
  <c r="X355" i="124"/>
  <c r="X358" i="124"/>
  <c r="X193" i="124"/>
  <c r="X522" i="124"/>
  <c r="W536" i="124"/>
  <c r="W420" i="124"/>
  <c r="W570" i="124"/>
  <c r="W531" i="124"/>
  <c r="W452" i="124"/>
  <c r="W577" i="124"/>
  <c r="W43" i="124"/>
  <c r="W495" i="124"/>
  <c r="W19" i="124"/>
  <c r="W360" i="124"/>
  <c r="W409" i="124"/>
  <c r="W398" i="124"/>
  <c r="W35" i="124"/>
  <c r="W211" i="124"/>
  <c r="W332" i="124"/>
  <c r="W288" i="124"/>
  <c r="W281" i="124"/>
  <c r="W201" i="124"/>
  <c r="W50" i="124"/>
  <c r="W277" i="124"/>
  <c r="W505" i="124"/>
  <c r="W504" i="124"/>
  <c r="W447" i="124"/>
  <c r="W209" i="124"/>
  <c r="W396" i="124"/>
  <c r="W478" i="124"/>
  <c r="W339" i="124"/>
  <c r="W355" i="124"/>
  <c r="W358" i="124"/>
  <c r="W193" i="124"/>
  <c r="X377" i="124"/>
  <c r="X61" i="124"/>
  <c r="X483" i="124"/>
  <c r="X361" i="124"/>
  <c r="X249" i="124"/>
  <c r="X313" i="124"/>
  <c r="X402" i="124"/>
  <c r="X541" i="124"/>
  <c r="X41" i="124"/>
  <c r="X321" i="124"/>
  <c r="X552" i="124"/>
  <c r="X499" i="124"/>
  <c r="X460" i="124"/>
  <c r="X463" i="124"/>
  <c r="X545" i="124"/>
  <c r="X508" i="124"/>
  <c r="X461" i="124"/>
  <c r="X359" i="124"/>
  <c r="X489" i="124"/>
  <c r="X27" i="124"/>
  <c r="X471" i="124"/>
  <c r="X524" i="124"/>
  <c r="X544" i="124"/>
  <c r="X376" i="124"/>
  <c r="X392" i="124"/>
  <c r="X477" i="124"/>
  <c r="X389" i="124"/>
  <c r="X415" i="124"/>
  <c r="X421" i="124"/>
  <c r="X390" i="124"/>
  <c r="X507" i="124"/>
  <c r="X521" i="124"/>
  <c r="X66" i="124"/>
  <c r="X74" i="124"/>
  <c r="X82" i="124"/>
  <c r="X90" i="124"/>
  <c r="X98" i="124"/>
  <c r="X106" i="124"/>
  <c r="X113" i="124"/>
  <c r="X120" i="124"/>
  <c r="X128" i="124"/>
  <c r="X134" i="124"/>
  <c r="X142" i="124"/>
  <c r="X150" i="124"/>
  <c r="X157" i="124"/>
  <c r="X164" i="124"/>
  <c r="X170" i="124"/>
  <c r="X178" i="124"/>
  <c r="X186" i="124"/>
  <c r="X537" i="124"/>
  <c r="X465" i="124"/>
  <c r="X449" i="124"/>
  <c r="X368" i="124"/>
  <c r="X517" i="124"/>
  <c r="X435" i="124"/>
  <c r="X407" i="124"/>
  <c r="X456" i="124"/>
  <c r="X469" i="124"/>
  <c r="X433" i="124"/>
  <c r="X509" i="124"/>
  <c r="X474" i="124"/>
  <c r="X555" i="124"/>
  <c r="X513" i="124"/>
  <c r="X563" i="124"/>
  <c r="X52" i="124"/>
  <c r="X424" i="124"/>
  <c r="X546" i="124"/>
  <c r="X384" i="124"/>
  <c r="X440" i="124"/>
  <c r="X364" i="124"/>
  <c r="X366" i="124"/>
  <c r="X426" i="124"/>
  <c r="X425" i="124"/>
  <c r="X549" i="124"/>
  <c r="X573" i="124"/>
  <c r="X473" i="124"/>
  <c r="X67" i="124"/>
  <c r="X75" i="124"/>
  <c r="X83" i="124"/>
  <c r="X91" i="124"/>
  <c r="X99" i="124"/>
  <c r="X7" i="124"/>
  <c r="X114" i="124"/>
  <c r="X121" i="124"/>
  <c r="X10" i="124"/>
  <c r="X135" i="124"/>
  <c r="X143" i="124"/>
  <c r="X151" i="124"/>
  <c r="X12" i="124"/>
  <c r="X165" i="124"/>
  <c r="X171" i="124"/>
  <c r="X179" i="124"/>
  <c r="X160" i="124"/>
  <c r="X147" i="124"/>
  <c r="X464" i="124"/>
  <c r="X503" i="124"/>
  <c r="X566" i="124"/>
  <c r="X441" i="124"/>
  <c r="X439" i="124"/>
  <c r="X453" i="124"/>
  <c r="X556" i="124"/>
  <c r="X44" i="124"/>
  <c r="X529" i="124"/>
  <c r="X462" i="124"/>
  <c r="X535" i="124"/>
  <c r="X25" i="124"/>
  <c r="X49" i="124"/>
  <c r="X583" i="124"/>
  <c r="X520" i="124"/>
  <c r="X363" i="124"/>
  <c r="X457" i="124"/>
  <c r="X387" i="124"/>
  <c r="X588" i="124"/>
  <c r="X466" i="124"/>
  <c r="X353" i="124"/>
  <c r="X418" i="124"/>
  <c r="X533" i="124"/>
  <c r="X412" i="124"/>
  <c r="X561" i="124"/>
  <c r="X510" i="124"/>
  <c r="X68" i="124"/>
  <c r="X76" i="124"/>
  <c r="X84" i="124"/>
  <c r="X92" i="124"/>
  <c r="X100" i="124"/>
  <c r="X107" i="124"/>
  <c r="X115" i="124"/>
  <c r="X122" i="124"/>
  <c r="X6" i="124"/>
  <c r="X136" i="124"/>
  <c r="X144" i="124"/>
  <c r="X152" i="124"/>
  <c r="X158" i="124"/>
  <c r="X166" i="124"/>
  <c r="X172" i="124"/>
  <c r="X180" i="124"/>
  <c r="X154" i="124"/>
  <c r="X182" i="124"/>
  <c r="X11" i="124"/>
  <c r="X459" i="124"/>
  <c r="X436" i="124"/>
  <c r="X385" i="124"/>
  <c r="X482" i="124"/>
  <c r="X497" i="124"/>
  <c r="X472" i="124"/>
  <c r="X446" i="124"/>
  <c r="X526" i="124"/>
  <c r="X451" i="124"/>
  <c r="X525" i="124"/>
  <c r="X24" i="124"/>
  <c r="X33" i="124"/>
  <c r="X578" i="124"/>
  <c r="X551" i="124"/>
  <c r="X581" i="124"/>
  <c r="X543" i="124"/>
  <c r="X350" i="124"/>
  <c r="X494" i="124"/>
  <c r="X557" i="124"/>
  <c r="X574" i="124"/>
  <c r="X479" i="124"/>
  <c r="X411" i="124"/>
  <c r="X484" i="124"/>
  <c r="X475" i="124"/>
  <c r="X476" i="124"/>
  <c r="X69" i="124"/>
  <c r="X77" i="124"/>
  <c r="X85" i="124"/>
  <c r="X93" i="124"/>
  <c r="X101" i="124"/>
  <c r="X108" i="124"/>
  <c r="X116" i="124"/>
  <c r="X123" i="124"/>
  <c r="X129" i="124"/>
  <c r="X137" i="124"/>
  <c r="X145" i="124"/>
  <c r="X153" i="124"/>
  <c r="X159" i="124"/>
  <c r="X167" i="124"/>
  <c r="X173" i="124"/>
  <c r="X181" i="124"/>
  <c r="X146" i="124"/>
  <c r="X174" i="124"/>
  <c r="X175" i="124"/>
  <c r="X575" i="124"/>
  <c r="X450" i="124"/>
  <c r="X448" i="124"/>
  <c r="X454" i="124"/>
  <c r="X568" i="124"/>
  <c r="X442" i="124"/>
  <c r="X496" i="124"/>
  <c r="X36" i="124"/>
  <c r="X20" i="124"/>
  <c r="X54" i="124"/>
  <c r="X554" i="124"/>
  <c r="X395" i="124"/>
  <c r="X28" i="124"/>
  <c r="X372" i="124"/>
  <c r="X488" i="124"/>
  <c r="X414" i="124"/>
  <c r="X514" i="124"/>
  <c r="X404" i="124"/>
  <c r="X527" i="124"/>
  <c r="X486" i="124"/>
  <c r="X518" i="124"/>
  <c r="X62" i="124"/>
  <c r="X70" i="124"/>
  <c r="X78" i="124"/>
  <c r="X86" i="124"/>
  <c r="X94" i="124"/>
  <c r="X102" i="124"/>
  <c r="X109" i="124"/>
  <c r="X117" i="124"/>
  <c r="X124" i="124"/>
  <c r="X130" i="124"/>
  <c r="X138" i="124"/>
  <c r="X13" i="124"/>
  <c r="X429" i="124"/>
  <c r="X467" i="124"/>
  <c r="X419" i="124"/>
  <c r="X432" i="124"/>
  <c r="X565" i="124"/>
  <c r="X434" i="124"/>
  <c r="X580" i="124"/>
  <c r="X39" i="124"/>
  <c r="X15" i="124"/>
  <c r="X455" i="124"/>
  <c r="X523" i="124"/>
  <c r="X349" i="124"/>
  <c r="X362" i="124"/>
  <c r="X511" i="124"/>
  <c r="X365" i="124"/>
  <c r="X383" i="124"/>
  <c r="X391" i="124"/>
  <c r="X405" i="124"/>
  <c r="X431" i="124"/>
  <c r="X548" i="124"/>
  <c r="X560" i="124"/>
  <c r="X63" i="124"/>
  <c r="X71" i="124"/>
  <c r="X79" i="124"/>
  <c r="X87" i="124"/>
  <c r="X95" i="124"/>
  <c r="X103" i="124"/>
  <c r="X110" i="124"/>
  <c r="X8" i="124"/>
  <c r="X125" i="124"/>
  <c r="X131" i="124"/>
  <c r="X139" i="124"/>
  <c r="X161" i="124"/>
  <c r="X183" i="124"/>
  <c r="X493" i="124"/>
  <c r="X445" i="124"/>
  <c r="X470" i="124"/>
  <c r="X519" i="124"/>
  <c r="X458" i="124"/>
  <c r="X585" i="124"/>
  <c r="X558" i="124"/>
  <c r="X444" i="124"/>
  <c r="X550" i="124"/>
  <c r="X553" i="124"/>
  <c r="X351" i="124"/>
  <c r="X567" i="124"/>
  <c r="X386" i="124"/>
  <c r="X374" i="124"/>
  <c r="X516" i="124"/>
  <c r="X539" i="124"/>
  <c r="X468" i="124"/>
  <c r="X571" i="124"/>
  <c r="X547" i="124"/>
  <c r="X542" i="124"/>
  <c r="X572" i="124"/>
  <c r="X65" i="124"/>
  <c r="X73" i="124"/>
  <c r="X81" i="124"/>
  <c r="X89" i="124"/>
  <c r="X97" i="124"/>
  <c r="X105" i="124"/>
  <c r="X112" i="124"/>
  <c r="X119" i="124"/>
  <c r="X127" i="124"/>
  <c r="X133" i="124"/>
  <c r="X141" i="124"/>
  <c r="X149" i="124"/>
  <c r="X156" i="124"/>
  <c r="X163" i="124"/>
  <c r="X169" i="124"/>
  <c r="X177" i="124"/>
  <c r="X185" i="124"/>
  <c r="X490" i="124"/>
  <c r="X559" i="124"/>
  <c r="X118" i="124"/>
  <c r="X176" i="124"/>
  <c r="X502" i="124"/>
  <c r="X64" i="124"/>
  <c r="X126" i="124"/>
  <c r="X184" i="124"/>
  <c r="X416" i="124"/>
  <c r="X72" i="124"/>
  <c r="X132" i="124"/>
  <c r="X104" i="124"/>
  <c r="X45" i="124"/>
  <c r="X80" i="124"/>
  <c r="X140" i="124"/>
  <c r="X562" i="124"/>
  <c r="X88" i="124"/>
  <c r="X148" i="124"/>
  <c r="X162" i="124"/>
  <c r="X406" i="124"/>
  <c r="X96" i="124"/>
  <c r="X155" i="124"/>
  <c r="X427" i="124"/>
  <c r="X369" i="124"/>
  <c r="X111" i="124"/>
  <c r="X168" i="124"/>
  <c r="W499" i="124"/>
  <c r="W460" i="124"/>
  <c r="W463" i="124"/>
  <c r="W545" i="124"/>
  <c r="W508" i="124"/>
  <c r="W461" i="124"/>
  <c r="W359" i="124"/>
  <c r="W489" i="124"/>
  <c r="W27" i="124"/>
  <c r="W471" i="124"/>
  <c r="W524" i="124"/>
  <c r="W544" i="124"/>
  <c r="W376" i="124"/>
  <c r="W392" i="124"/>
  <c r="W477" i="124"/>
  <c r="W389" i="124"/>
  <c r="W415" i="124"/>
  <c r="W421" i="124"/>
  <c r="W390" i="124"/>
  <c r="W507" i="124"/>
  <c r="W521" i="124"/>
  <c r="W66" i="124"/>
  <c r="W74" i="124"/>
  <c r="W82" i="124"/>
  <c r="W90" i="124"/>
  <c r="W98" i="124"/>
  <c r="W106" i="124"/>
  <c r="W113" i="124"/>
  <c r="W120" i="124"/>
  <c r="W128" i="124"/>
  <c r="W134" i="124"/>
  <c r="W142" i="124"/>
  <c r="W150" i="124"/>
  <c r="W157" i="124"/>
  <c r="W164" i="124"/>
  <c r="W170" i="124"/>
  <c r="W178" i="124"/>
  <c r="W186" i="124"/>
  <c r="W555" i="124"/>
  <c r="W52" i="124"/>
  <c r="W546" i="124"/>
  <c r="W440" i="124"/>
  <c r="W366" i="124"/>
  <c r="W425" i="124"/>
  <c r="W573" i="124"/>
  <c r="W67" i="124"/>
  <c r="W83" i="124"/>
  <c r="W99" i="124"/>
  <c r="W114" i="124"/>
  <c r="W435" i="124"/>
  <c r="W407" i="124"/>
  <c r="W456" i="124"/>
  <c r="W469" i="124"/>
  <c r="W433" i="124"/>
  <c r="W509" i="124"/>
  <c r="W474" i="124"/>
  <c r="W513" i="124"/>
  <c r="W563" i="124"/>
  <c r="W424" i="124"/>
  <c r="W384" i="124"/>
  <c r="W364" i="124"/>
  <c r="W426" i="124"/>
  <c r="W549" i="124"/>
  <c r="W473" i="124"/>
  <c r="W75" i="124"/>
  <c r="W91" i="124"/>
  <c r="W7" i="124"/>
  <c r="W439" i="124"/>
  <c r="W453" i="124"/>
  <c r="W556" i="124"/>
  <c r="W44" i="124"/>
  <c r="W529" i="124"/>
  <c r="W462" i="124"/>
  <c r="W535" i="124"/>
  <c r="W25" i="124"/>
  <c r="W49" i="124"/>
  <c r="W583" i="124"/>
  <c r="W520" i="124"/>
  <c r="W363" i="124"/>
  <c r="W457" i="124"/>
  <c r="W387" i="124"/>
  <c r="W588" i="124"/>
  <c r="W466" i="124"/>
  <c r="W353" i="124"/>
  <c r="W418" i="124"/>
  <c r="W533" i="124"/>
  <c r="W412" i="124"/>
  <c r="W561" i="124"/>
  <c r="W510" i="124"/>
  <c r="W68" i="124"/>
  <c r="W76" i="124"/>
  <c r="W84" i="124"/>
  <c r="W92" i="124"/>
  <c r="W100" i="124"/>
  <c r="W107" i="124"/>
  <c r="W115" i="124"/>
  <c r="W122" i="124"/>
  <c r="W6" i="124"/>
  <c r="W136" i="124"/>
  <c r="W144" i="124"/>
  <c r="W152" i="124"/>
  <c r="W158" i="124"/>
  <c r="W166" i="124"/>
  <c r="W172" i="124"/>
  <c r="W180" i="124"/>
  <c r="W475" i="124"/>
  <c r="W69" i="124"/>
  <c r="W85" i="124"/>
  <c r="W101" i="124"/>
  <c r="W108" i="124"/>
  <c r="W123" i="124"/>
  <c r="W137" i="124"/>
  <c r="W153" i="124"/>
  <c r="W167" i="124"/>
  <c r="W173" i="124"/>
  <c r="W482" i="124"/>
  <c r="W497" i="124"/>
  <c r="W472" i="124"/>
  <c r="W446" i="124"/>
  <c r="W526" i="124"/>
  <c r="W451" i="124"/>
  <c r="W525" i="124"/>
  <c r="W24" i="124"/>
  <c r="W33" i="124"/>
  <c r="W578" i="124"/>
  <c r="W551" i="124"/>
  <c r="W581" i="124"/>
  <c r="W543" i="124"/>
  <c r="W350" i="124"/>
  <c r="W494" i="124"/>
  <c r="W557" i="124"/>
  <c r="W574" i="124"/>
  <c r="W479" i="124"/>
  <c r="W411" i="124"/>
  <c r="W484" i="124"/>
  <c r="W476" i="124"/>
  <c r="W77" i="124"/>
  <c r="W93" i="124"/>
  <c r="W116" i="124"/>
  <c r="W129" i="124"/>
  <c r="W145" i="124"/>
  <c r="W159" i="124"/>
  <c r="W181" i="124"/>
  <c r="W575" i="124"/>
  <c r="W450" i="124"/>
  <c r="W448" i="124"/>
  <c r="W454" i="124"/>
  <c r="W568" i="124"/>
  <c r="W442" i="124"/>
  <c r="W496" i="124"/>
  <c r="W36" i="124"/>
  <c r="W20" i="124"/>
  <c r="W54" i="124"/>
  <c r="W554" i="124"/>
  <c r="W395" i="124"/>
  <c r="W28" i="124"/>
  <c r="W372" i="124"/>
  <c r="W488" i="124"/>
  <c r="W414" i="124"/>
  <c r="W514" i="124"/>
  <c r="W404" i="124"/>
  <c r="W527" i="124"/>
  <c r="W486" i="124"/>
  <c r="W518" i="124"/>
  <c r="W62" i="124"/>
  <c r="W70" i="124"/>
  <c r="W78" i="124"/>
  <c r="W86" i="124"/>
  <c r="W94" i="124"/>
  <c r="W102" i="124"/>
  <c r="W109" i="124"/>
  <c r="W117" i="124"/>
  <c r="W124" i="124"/>
  <c r="W130" i="124"/>
  <c r="W138" i="124"/>
  <c r="W146" i="124"/>
  <c r="W154" i="124"/>
  <c r="W160" i="124"/>
  <c r="W174" i="124"/>
  <c r="W182" i="124"/>
  <c r="W429" i="124"/>
  <c r="W467" i="124"/>
  <c r="W419" i="124"/>
  <c r="W432" i="124"/>
  <c r="W565" i="124"/>
  <c r="W434" i="124"/>
  <c r="W580" i="124"/>
  <c r="W39" i="124"/>
  <c r="W15" i="124"/>
  <c r="W455" i="124"/>
  <c r="W523" i="124"/>
  <c r="W349" i="124"/>
  <c r="W362" i="124"/>
  <c r="W511" i="124"/>
  <c r="W365" i="124"/>
  <c r="W383" i="124"/>
  <c r="W391" i="124"/>
  <c r="W405" i="124"/>
  <c r="W431" i="124"/>
  <c r="W548" i="124"/>
  <c r="W560" i="124"/>
  <c r="W63" i="124"/>
  <c r="W71" i="124"/>
  <c r="W79" i="124"/>
  <c r="W87" i="124"/>
  <c r="W95" i="124"/>
  <c r="W103" i="124"/>
  <c r="W110" i="124"/>
  <c r="W8" i="124"/>
  <c r="W125" i="124"/>
  <c r="W131" i="124"/>
  <c r="W139" i="124"/>
  <c r="W147" i="124"/>
  <c r="W13" i="124"/>
  <c r="W161" i="124"/>
  <c r="W11" i="124"/>
  <c r="W175" i="124"/>
  <c r="W183" i="124"/>
  <c r="W184" i="124"/>
  <c r="W537" i="124"/>
  <c r="W464" i="124"/>
  <c r="W465" i="124"/>
  <c r="W503" i="124"/>
  <c r="W459" i="124"/>
  <c r="W449" i="124"/>
  <c r="W566" i="124"/>
  <c r="W368" i="124"/>
  <c r="W436" i="124"/>
  <c r="W441" i="124"/>
  <c r="W517" i="124"/>
  <c r="W385" i="124"/>
  <c r="W490" i="124"/>
  <c r="W502" i="124"/>
  <c r="W416" i="124"/>
  <c r="W45" i="124"/>
  <c r="W562" i="124"/>
  <c r="W406" i="124"/>
  <c r="W427" i="124"/>
  <c r="W369" i="124"/>
  <c r="W559" i="124"/>
  <c r="W64" i="124"/>
  <c r="W72" i="124"/>
  <c r="W80" i="124"/>
  <c r="W88" i="124"/>
  <c r="W96" i="124"/>
  <c r="W104" i="124"/>
  <c r="W111" i="124"/>
  <c r="W118" i="124"/>
  <c r="W126" i="124"/>
  <c r="W132" i="124"/>
  <c r="W140" i="124"/>
  <c r="W148" i="124"/>
  <c r="W155" i="124"/>
  <c r="W162" i="124"/>
  <c r="W168" i="124"/>
  <c r="W176" i="124"/>
  <c r="W445" i="124"/>
  <c r="W553" i="124"/>
  <c r="W571" i="124"/>
  <c r="W97" i="124"/>
  <c r="W135" i="124"/>
  <c r="W165" i="124"/>
  <c r="W141" i="124"/>
  <c r="W470" i="124"/>
  <c r="W351" i="124"/>
  <c r="W547" i="124"/>
  <c r="W105" i="124"/>
  <c r="W169" i="124"/>
  <c r="W468" i="124"/>
  <c r="W519" i="124"/>
  <c r="W567" i="124"/>
  <c r="W542" i="124"/>
  <c r="W112" i="124"/>
  <c r="W143" i="124"/>
  <c r="W171" i="124"/>
  <c r="W179" i="124"/>
  <c r="W493" i="124"/>
  <c r="W458" i="124"/>
  <c r="W386" i="124"/>
  <c r="W572" i="124"/>
  <c r="W119" i="124"/>
  <c r="W149" i="124"/>
  <c r="W177" i="124"/>
  <c r="W185" i="124"/>
  <c r="W163" i="124"/>
  <c r="W585" i="124"/>
  <c r="W374" i="124"/>
  <c r="W65" i="124"/>
  <c r="W121" i="124"/>
  <c r="W151" i="124"/>
  <c r="W550" i="124"/>
  <c r="W558" i="124"/>
  <c r="W516" i="124"/>
  <c r="W73" i="124"/>
  <c r="W127" i="124"/>
  <c r="W156" i="124"/>
  <c r="W89" i="124"/>
  <c r="W444" i="124"/>
  <c r="W539" i="124"/>
  <c r="W81" i="124"/>
  <c r="W10" i="124"/>
  <c r="W12" i="124"/>
  <c r="W133" i="124"/>
  <c r="A1" i="94"/>
  <c r="Q15" i="107" l="1"/>
  <c r="Q12" i="107"/>
  <c r="Q14" i="107"/>
  <c r="Q11" i="107"/>
  <c r="Q13" i="107"/>
  <c r="Q10" i="107"/>
  <c r="Q16" i="107"/>
  <c r="BI35" i="131"/>
  <c r="BI11" i="131"/>
  <c r="AG9" i="120"/>
  <c r="J5" i="120"/>
  <c r="AH10" i="120"/>
  <c r="J6" i="120"/>
  <c r="AH11" i="120"/>
  <c r="X50" i="128"/>
  <c r="AH13" i="120"/>
  <c r="X98" i="107"/>
  <c r="J3" i="120" s="1"/>
  <c r="AH8" i="120"/>
  <c r="X103" i="107"/>
  <c r="J8" i="120" s="1"/>
  <c r="X48" i="128"/>
  <c r="AG11" i="120"/>
  <c r="AG10" i="120"/>
  <c r="X47" i="128"/>
  <c r="X102" i="107"/>
  <c r="J7" i="120" s="1"/>
  <c r="X49" i="128"/>
  <c r="AG12" i="120"/>
  <c r="X45" i="128"/>
  <c r="AG8" i="120"/>
  <c r="X46" i="128"/>
  <c r="X99" i="107"/>
  <c r="J4" i="120" s="1"/>
  <c r="AE2" i="113"/>
  <c r="AE8" i="113"/>
  <c r="AE6" i="113"/>
  <c r="AE5" i="113"/>
  <c r="AE11" i="113"/>
  <c r="AE3" i="113"/>
  <c r="AE12" i="113"/>
  <c r="AE4" i="113"/>
  <c r="AE10" i="113"/>
  <c r="AE13" i="113"/>
  <c r="AE9" i="113"/>
  <c r="AE7" i="113"/>
  <c r="Q17" i="107"/>
  <c r="Q8" i="107"/>
  <c r="Q18" i="107"/>
  <c r="Q7" i="107"/>
  <c r="Q9" i="107"/>
  <c r="AB51" i="98"/>
  <c r="E43" i="92" s="1"/>
  <c r="A2" i="94"/>
  <c r="AB46" i="98"/>
  <c r="E38" i="92" s="1"/>
  <c r="AB47" i="98"/>
  <c r="E39" i="92" s="1"/>
  <c r="AB48" i="98"/>
  <c r="E40" i="92" s="1"/>
  <c r="AB49" i="98"/>
  <c r="E41" i="92" s="1"/>
  <c r="AB50" i="98"/>
  <c r="E42" i="92" s="1"/>
  <c r="AB45" i="98"/>
  <c r="E37" i="92" s="1"/>
  <c r="H7" i="108" l="1"/>
  <c r="H13" i="108"/>
  <c r="H19" i="108"/>
  <c r="H25" i="108"/>
  <c r="H31" i="108"/>
  <c r="H37" i="108"/>
  <c r="H8" i="108"/>
  <c r="H20" i="108"/>
  <c r="H32" i="108"/>
  <c r="H15" i="108"/>
  <c r="H27" i="108"/>
  <c r="H39" i="108"/>
  <c r="H16" i="108"/>
  <c r="H28" i="108"/>
  <c r="H40" i="108"/>
  <c r="H17" i="108"/>
  <c r="H29" i="108"/>
  <c r="H41" i="108"/>
  <c r="H38" i="108"/>
  <c r="H12" i="108"/>
  <c r="H18" i="108"/>
  <c r="H24" i="108"/>
  <c r="H30" i="108"/>
  <c r="H36" i="108"/>
  <c r="H42" i="108"/>
  <c r="H14" i="108"/>
  <c r="H26" i="108"/>
  <c r="H9" i="108"/>
  <c r="H21" i="108"/>
  <c r="H33" i="108"/>
  <c r="H10" i="108"/>
  <c r="H22" i="108"/>
  <c r="H34" i="108"/>
  <c r="H11" i="108"/>
  <c r="H23" i="108"/>
  <c r="H35" i="108"/>
  <c r="AG6" i="120"/>
  <c r="C2" i="101"/>
  <c r="C3" i="101"/>
  <c r="C4" i="101"/>
  <c r="C5" i="101"/>
  <c r="C6" i="101"/>
  <c r="C7" i="101"/>
  <c r="C8" i="101"/>
  <c r="C9" i="101"/>
  <c r="C10" i="101"/>
  <c r="C11" i="101"/>
  <c r="C12" i="101"/>
  <c r="C13" i="101"/>
  <c r="C14" i="101"/>
  <c r="C15" i="101"/>
  <c r="C16" i="101"/>
  <c r="C17" i="101"/>
  <c r="C18" i="101"/>
  <c r="C19" i="101"/>
  <c r="C20" i="101"/>
  <c r="C21" i="101"/>
  <c r="C22" i="101"/>
  <c r="D48" i="92" l="1"/>
  <c r="U19" i="90" l="1"/>
  <c r="U18" i="90"/>
  <c r="U17" i="90"/>
  <c r="U16" i="90"/>
  <c r="U15" i="90"/>
  <c r="U14" i="90"/>
  <c r="U13" i="90"/>
  <c r="U12" i="90"/>
  <c r="U11" i="90"/>
  <c r="U10" i="90"/>
  <c r="U9" i="90"/>
  <c r="U8" i="90"/>
  <c r="A8" i="78" l="1"/>
  <c r="B8" i="78" s="1"/>
  <c r="A9" i="78"/>
  <c r="B9" i="78" s="1"/>
  <c r="A10" i="78"/>
  <c r="B10" i="78" s="1"/>
  <c r="A11" i="78"/>
  <c r="B11" i="78" s="1"/>
  <c r="A12" i="78"/>
  <c r="B12" i="78" s="1"/>
  <c r="A13" i="78"/>
  <c r="B13" i="78" s="1"/>
  <c r="A14" i="78"/>
  <c r="B14" i="78" s="1"/>
  <c r="A15" i="78"/>
  <c r="B15" i="78" s="1"/>
  <c r="A16" i="78"/>
  <c r="B16" i="78" s="1"/>
  <c r="A17" i="78"/>
  <c r="B17" i="78" s="1"/>
  <c r="A18" i="78"/>
  <c r="B18" i="78" s="1"/>
  <c r="A7" i="78"/>
  <c r="B7" i="78" s="1"/>
  <c r="N8" i="46" l="1"/>
  <c r="N9" i="46"/>
  <c r="N10" i="46"/>
  <c r="N11" i="46"/>
  <c r="N12" i="46"/>
  <c r="N13" i="46"/>
  <c r="N14" i="46"/>
  <c r="N15" i="46"/>
  <c r="N16" i="46"/>
  <c r="N17" i="46"/>
  <c r="N18" i="46"/>
  <c r="N7" i="46"/>
  <c r="A8" i="46"/>
  <c r="A9" i="46"/>
  <c r="A10" i="46"/>
  <c r="A11" i="46"/>
  <c r="A12" i="46"/>
  <c r="A13" i="46"/>
  <c r="A14" i="46"/>
  <c r="A15" i="46"/>
  <c r="A16" i="46"/>
  <c r="A17" i="46"/>
  <c r="A18" i="46"/>
  <c r="A7" i="46"/>
  <c r="C8" i="78" l="1"/>
  <c r="A3" i="78"/>
  <c r="B3" i="78" s="1"/>
  <c r="A40" i="46"/>
  <c r="L18" i="46"/>
  <c r="L16" i="46"/>
  <c r="L13" i="46"/>
  <c r="L11" i="46"/>
  <c r="J25" i="90"/>
  <c r="L7" i="46" l="1"/>
  <c r="C17" i="78"/>
  <c r="C14" i="78"/>
  <c r="C9" i="78"/>
  <c r="C3" i="78"/>
  <c r="L8" i="46"/>
  <c r="A3" i="46"/>
  <c r="L12" i="46"/>
  <c r="L9" i="46"/>
  <c r="L10" i="46"/>
  <c r="L15" i="46"/>
  <c r="L14" i="46"/>
  <c r="C10" i="78"/>
  <c r="C7" i="78"/>
  <c r="L17" i="46"/>
  <c r="C18" i="78"/>
  <c r="A41" i="46"/>
  <c r="C15" i="78"/>
  <c r="C13" i="78"/>
  <c r="C12" i="78"/>
  <c r="C16" i="78"/>
  <c r="C11" i="78"/>
  <c r="G7" i="84"/>
  <c r="F7" i="84"/>
  <c r="G6" i="84"/>
  <c r="F6" i="84"/>
  <c r="G5" i="84"/>
  <c r="F5" i="84"/>
  <c r="G4" i="84"/>
  <c r="F4" i="84"/>
  <c r="G3" i="84"/>
  <c r="F3" i="84"/>
  <c r="T37" i="82"/>
  <c r="F2" i="84"/>
  <c r="T36" i="82" s="1"/>
  <c r="T40" i="82"/>
  <c r="T35" i="82"/>
  <c r="T21" i="82"/>
  <c r="T38" i="82" l="1"/>
  <c r="H10" i="92"/>
  <c r="H16" i="92"/>
  <c r="H22" i="92"/>
  <c r="H28" i="92"/>
  <c r="H34" i="92"/>
  <c r="H11" i="92"/>
  <c r="H17" i="92"/>
  <c r="H23" i="92"/>
  <c r="H29" i="92"/>
  <c r="H35" i="92"/>
  <c r="H12" i="92"/>
  <c r="H18" i="92"/>
  <c r="H24" i="92"/>
  <c r="H30" i="92"/>
  <c r="H36" i="92"/>
  <c r="H7" i="92"/>
  <c r="H13" i="92"/>
  <c r="H19" i="92"/>
  <c r="H25" i="92"/>
  <c r="H31" i="92"/>
  <c r="H8" i="92"/>
  <c r="H14" i="92"/>
  <c r="H20" i="92"/>
  <c r="H26" i="92"/>
  <c r="H32" i="92"/>
  <c r="H9" i="92"/>
  <c r="H15" i="92"/>
  <c r="H21" i="92"/>
  <c r="H27" i="92"/>
  <c r="H33" i="92"/>
  <c r="C7" i="98"/>
  <c r="C31" i="98"/>
  <c r="C25" i="98"/>
  <c r="C19" i="98"/>
  <c r="C13" i="98"/>
  <c r="C36" i="98"/>
  <c r="C30" i="98"/>
  <c r="C24" i="98"/>
  <c r="C18" i="98"/>
  <c r="C12" i="98"/>
  <c r="C35" i="98"/>
  <c r="C29" i="98"/>
  <c r="C23" i="98"/>
  <c r="C17" i="98"/>
  <c r="C11" i="98"/>
  <c r="C34" i="98"/>
  <c r="C28" i="98"/>
  <c r="C22" i="98"/>
  <c r="C16" i="98"/>
  <c r="C10" i="98"/>
  <c r="C33" i="98"/>
  <c r="C27" i="98"/>
  <c r="C21" i="98"/>
  <c r="C15" i="98"/>
  <c r="C9" i="98"/>
  <c r="C32" i="98"/>
  <c r="C26" i="98"/>
  <c r="C20" i="98"/>
  <c r="C14" i="98"/>
  <c r="C8" i="98"/>
  <c r="B3" i="23"/>
  <c r="L27" i="46"/>
  <c r="AH3" i="23"/>
  <c r="N27" i="46"/>
  <c r="A42" i="46"/>
  <c r="T17" i="82"/>
  <c r="AX4" i="107"/>
  <c r="AX149" i="107" s="1"/>
  <c r="BQ7" i="108" l="1"/>
  <c r="BQ39" i="108"/>
  <c r="BQ40" i="108"/>
  <c r="BQ42" i="108"/>
  <c r="BQ41" i="108"/>
  <c r="BQ17" i="108"/>
  <c r="BQ16" i="108"/>
  <c r="BQ18" i="108"/>
  <c r="V16" i="131"/>
  <c r="V18" i="131"/>
  <c r="V14" i="131"/>
  <c r="V17" i="131"/>
  <c r="V15" i="131"/>
  <c r="BQ29" i="108"/>
  <c r="BQ33" i="108"/>
  <c r="BQ34" i="108"/>
  <c r="BQ36" i="108"/>
  <c r="BQ19" i="108"/>
  <c r="BQ24" i="108"/>
  <c r="BQ21" i="108"/>
  <c r="BQ35" i="108"/>
  <c r="BQ38" i="108"/>
  <c r="BQ27" i="108"/>
  <c r="BQ26" i="108"/>
  <c r="BQ22" i="108"/>
  <c r="BQ32" i="108"/>
  <c r="BQ31" i="108"/>
  <c r="BQ23" i="108"/>
  <c r="BQ28" i="108"/>
  <c r="BQ20" i="108"/>
  <c r="BQ30" i="108"/>
  <c r="BQ37" i="108"/>
  <c r="BQ25" i="108"/>
  <c r="V37" i="131"/>
  <c r="V24" i="131"/>
  <c r="V22" i="131"/>
  <c r="V35" i="131"/>
  <c r="V34" i="131"/>
  <c r="V26" i="131"/>
  <c r="V27" i="131"/>
  <c r="V29" i="131"/>
  <c r="V30" i="131"/>
  <c r="V19" i="131"/>
  <c r="V23" i="131"/>
  <c r="V25" i="131"/>
  <c r="V32" i="131"/>
  <c r="V20" i="131"/>
  <c r="V31" i="131"/>
  <c r="V36" i="131"/>
  <c r="V28" i="131"/>
  <c r="V33" i="131"/>
  <c r="V38" i="131"/>
  <c r="V21" i="131"/>
  <c r="V7" i="131"/>
  <c r="V11" i="131"/>
  <c r="V13" i="131"/>
  <c r="V9" i="131"/>
  <c r="V10" i="131"/>
  <c r="V12" i="131"/>
  <c r="V8" i="131"/>
  <c r="BQ9" i="108"/>
  <c r="BQ14" i="108"/>
  <c r="BQ13" i="108"/>
  <c r="BQ12" i="108"/>
  <c r="BQ15" i="108"/>
  <c r="BQ10" i="108"/>
  <c r="BQ8" i="108"/>
  <c r="BQ11" i="108"/>
  <c r="BJ7" i="131"/>
  <c r="BM7" i="131" s="1"/>
  <c r="BJ30" i="131"/>
  <c r="BM30" i="131" s="1"/>
  <c r="BJ39" i="131"/>
  <c r="BM39" i="131" s="1"/>
  <c r="BJ24" i="131"/>
  <c r="BM24" i="131" s="1"/>
  <c r="BJ42" i="131"/>
  <c r="BM42" i="131" s="1"/>
  <c r="BJ8" i="131"/>
  <c r="BM8" i="131" s="1"/>
  <c r="BJ40" i="131"/>
  <c r="BM40" i="131" s="1"/>
  <c r="BJ13" i="131"/>
  <c r="BM13" i="131" s="1"/>
  <c r="BJ15" i="131"/>
  <c r="BM15" i="131" s="1"/>
  <c r="BJ28" i="131"/>
  <c r="BM28" i="131" s="1"/>
  <c r="BJ23" i="131"/>
  <c r="BM23" i="131" s="1"/>
  <c r="BJ22" i="131"/>
  <c r="BM22" i="131" s="1"/>
  <c r="BJ21" i="131"/>
  <c r="BM21" i="131" s="1"/>
  <c r="BJ17" i="131"/>
  <c r="BM17" i="131" s="1"/>
  <c r="BJ27" i="131"/>
  <c r="BM27" i="131" s="1"/>
  <c r="BJ19" i="131"/>
  <c r="BM19" i="131" s="1"/>
  <c r="BJ26" i="131"/>
  <c r="BM26" i="131" s="1"/>
  <c r="BJ34" i="131"/>
  <c r="BM34" i="131" s="1"/>
  <c r="BJ29" i="131"/>
  <c r="BM29" i="131" s="1"/>
  <c r="BJ20" i="131"/>
  <c r="BM20" i="131" s="1"/>
  <c r="BJ16" i="131"/>
  <c r="BM16" i="131" s="1"/>
  <c r="BJ18" i="131"/>
  <c r="BM18" i="131" s="1"/>
  <c r="BJ37" i="131"/>
  <c r="BM37" i="131" s="1"/>
  <c r="BJ35" i="131"/>
  <c r="BM35" i="131" s="1"/>
  <c r="BJ11" i="131"/>
  <c r="BM11" i="131" s="1"/>
  <c r="BJ10" i="131"/>
  <c r="BM10" i="131" s="1"/>
  <c r="BJ12" i="131"/>
  <c r="BM12" i="131" s="1"/>
  <c r="BJ31" i="131"/>
  <c r="BM31" i="131" s="1"/>
  <c r="BJ36" i="131"/>
  <c r="BM36" i="131" s="1"/>
  <c r="BJ25" i="131"/>
  <c r="BM25" i="131" s="1"/>
  <c r="BJ14" i="131"/>
  <c r="BM14" i="131" s="1"/>
  <c r="BJ38" i="131"/>
  <c r="BM38" i="131" s="1"/>
  <c r="BJ33" i="131"/>
  <c r="BM33" i="131" s="1"/>
  <c r="BJ41" i="131"/>
  <c r="BM41" i="131" s="1"/>
  <c r="BJ32" i="131"/>
  <c r="BM32" i="131" s="1"/>
  <c r="BJ9" i="131"/>
  <c r="BM9" i="131" s="1"/>
  <c r="AG11" i="121"/>
  <c r="AH11" i="121" s="1"/>
  <c r="AG8" i="121"/>
  <c r="AH8" i="121" s="1"/>
  <c r="AG12" i="121"/>
  <c r="AH12" i="121" s="1"/>
  <c r="AG10" i="121"/>
  <c r="AH10" i="121" s="1"/>
  <c r="AG9" i="121"/>
  <c r="AH9" i="121" s="1"/>
  <c r="Z140" i="120"/>
  <c r="Z139" i="120"/>
  <c r="Z138" i="120"/>
  <c r="Z137" i="120"/>
  <c r="Z142" i="120"/>
  <c r="Z141" i="120"/>
  <c r="BH1" i="124"/>
  <c r="AX1" i="124"/>
  <c r="BR1" i="124"/>
  <c r="CG1" i="124"/>
  <c r="AN1" i="124"/>
  <c r="BC1" i="124"/>
  <c r="BM1" i="124"/>
  <c r="BW1" i="124"/>
  <c r="CL1" i="124"/>
  <c r="B3" i="124"/>
  <c r="X8" i="113"/>
  <c r="X13" i="120"/>
  <c r="X8" i="120"/>
  <c r="X9" i="120"/>
  <c r="X11" i="120"/>
  <c r="X10" i="120"/>
  <c r="X12" i="120"/>
  <c r="X11" i="113"/>
  <c r="X12" i="113"/>
  <c r="X10" i="113"/>
  <c r="X13" i="113"/>
  <c r="X9" i="113"/>
  <c r="DM7" i="108"/>
  <c r="C14" i="124"/>
  <c r="B3" i="123"/>
  <c r="CN27" i="92"/>
  <c r="CN20" i="92"/>
  <c r="CN13" i="92"/>
  <c r="CN12" i="92"/>
  <c r="CN34" i="92"/>
  <c r="CN21" i="92"/>
  <c r="CN14" i="92"/>
  <c r="CN7" i="92"/>
  <c r="CN35" i="92"/>
  <c r="CN28" i="92"/>
  <c r="CN15" i="92"/>
  <c r="CN8" i="92"/>
  <c r="CN36" i="92"/>
  <c r="CN29" i="92"/>
  <c r="CN22" i="92"/>
  <c r="CN9" i="92"/>
  <c r="CN31" i="92"/>
  <c r="CN30" i="92"/>
  <c r="CN23" i="92"/>
  <c r="CN16" i="92"/>
  <c r="CN32" i="92"/>
  <c r="CN25" i="92"/>
  <c r="CN24" i="92"/>
  <c r="CN17" i="92"/>
  <c r="CN10" i="92"/>
  <c r="CN33" i="92"/>
  <c r="CN26" i="92"/>
  <c r="CN19" i="92"/>
  <c r="CN18" i="92"/>
  <c r="CN11" i="92"/>
  <c r="Q8" i="115"/>
  <c r="P8" i="115" s="1"/>
  <c r="CP8" i="108"/>
  <c r="Q7" i="115"/>
  <c r="P7" i="115" s="1"/>
  <c r="CP7" i="108"/>
  <c r="Q10" i="115"/>
  <c r="P10" i="115" s="1"/>
  <c r="CP10" i="108"/>
  <c r="Q15" i="115"/>
  <c r="P15" i="115" s="1"/>
  <c r="CP15" i="108"/>
  <c r="Q18" i="115"/>
  <c r="P18" i="115" s="1"/>
  <c r="CP18" i="108"/>
  <c r="Q13" i="115"/>
  <c r="P13" i="115" s="1"/>
  <c r="CP13" i="108"/>
  <c r="Q16" i="115"/>
  <c r="P16" i="115" s="1"/>
  <c r="CP16" i="108"/>
  <c r="Q9" i="115"/>
  <c r="P9" i="115" s="1"/>
  <c r="CP9" i="108"/>
  <c r="Q12" i="115"/>
  <c r="P12" i="115" s="1"/>
  <c r="CP12" i="108"/>
  <c r="Q17" i="115"/>
  <c r="P17" i="115" s="1"/>
  <c r="CP17" i="108"/>
  <c r="Q14" i="115"/>
  <c r="P14" i="115" s="1"/>
  <c r="CP14" i="108"/>
  <c r="Q11" i="115"/>
  <c r="P11" i="115" s="1"/>
  <c r="CP11" i="108"/>
  <c r="B55" i="123"/>
  <c r="DL7" i="108"/>
  <c r="AO3" i="23"/>
  <c r="W3" i="124" s="1"/>
  <c r="AP3" i="23"/>
  <c r="X3" i="124" s="1"/>
  <c r="AG7" i="121"/>
  <c r="AH7" i="121" s="1"/>
  <c r="AJ7" i="121" s="1"/>
  <c r="AB65" i="115" s="1"/>
  <c r="AX41" i="107"/>
  <c r="AX94" i="107"/>
  <c r="M3" i="23"/>
  <c r="DL8" i="108"/>
  <c r="DM8" i="108"/>
  <c r="DL11" i="108"/>
  <c r="DM11" i="108"/>
  <c r="DL10" i="108"/>
  <c r="DM10" i="108"/>
  <c r="DL9" i="108"/>
  <c r="DM9" i="108"/>
  <c r="DL12" i="108"/>
  <c r="DM12" i="108"/>
  <c r="DL15" i="108"/>
  <c r="DM15" i="108"/>
  <c r="DL18" i="108"/>
  <c r="DM18" i="108"/>
  <c r="DL14" i="108"/>
  <c r="DM14" i="108"/>
  <c r="DL17" i="108"/>
  <c r="DM17" i="108"/>
  <c r="DL13" i="108"/>
  <c r="DM13" i="108"/>
  <c r="DL16" i="108"/>
  <c r="DM16" i="108"/>
  <c r="J9" i="108"/>
  <c r="K9" i="108" s="1"/>
  <c r="J12" i="108"/>
  <c r="K12" i="108" s="1"/>
  <c r="Z12" i="108" s="1"/>
  <c r="J15" i="108"/>
  <c r="K15" i="108" s="1"/>
  <c r="Z15" i="108" s="1"/>
  <c r="J18" i="108"/>
  <c r="K18" i="108" s="1"/>
  <c r="Z18" i="108" s="1"/>
  <c r="J14" i="108"/>
  <c r="K14" i="108" s="1"/>
  <c r="Z14" i="108" s="1"/>
  <c r="J17" i="108"/>
  <c r="K17" i="108" s="1"/>
  <c r="Z17" i="108" s="1"/>
  <c r="J10" i="108"/>
  <c r="K10" i="108" s="1"/>
  <c r="Z10" i="108" s="1"/>
  <c r="J8" i="108"/>
  <c r="K8" i="108" s="1"/>
  <c r="J11" i="108"/>
  <c r="K11" i="108" s="1"/>
  <c r="Z11" i="108" s="1"/>
  <c r="J13" i="108"/>
  <c r="K13" i="108" s="1"/>
  <c r="Z13" i="108" s="1"/>
  <c r="J16" i="108"/>
  <c r="K16" i="108" s="1"/>
  <c r="Z16" i="108" s="1"/>
  <c r="R70" i="80"/>
  <c r="R120" i="80"/>
  <c r="AF8" i="98"/>
  <c r="AF10" i="98"/>
  <c r="AF12" i="98"/>
  <c r="AF23" i="98"/>
  <c r="AF35" i="98"/>
  <c r="AF16" i="98"/>
  <c r="AF18" i="98"/>
  <c r="AF20" i="98"/>
  <c r="AF14" i="98"/>
  <c r="AF29" i="98"/>
  <c r="AF24" i="98"/>
  <c r="AF26" i="98"/>
  <c r="AF28" i="98"/>
  <c r="AF22" i="98"/>
  <c r="AF31" i="98"/>
  <c r="AF32" i="98"/>
  <c r="AF34" i="98"/>
  <c r="AF36" i="98"/>
  <c r="AF30" i="98"/>
  <c r="AF15" i="98"/>
  <c r="AF9" i="98"/>
  <c r="AF11" i="98"/>
  <c r="AF17" i="98"/>
  <c r="AF19" i="98"/>
  <c r="AF13" i="98"/>
  <c r="AF25" i="98"/>
  <c r="AF27" i="98"/>
  <c r="AF21" i="98"/>
  <c r="AF33" i="98"/>
  <c r="BJ7" i="107"/>
  <c r="AF7" i="98"/>
  <c r="BJ8" i="107"/>
  <c r="BJ13" i="107"/>
  <c r="BJ16" i="107"/>
  <c r="BJ14" i="107"/>
  <c r="BJ9" i="107"/>
  <c r="BJ15" i="107"/>
  <c r="BJ17" i="107"/>
  <c r="BM17" i="107" s="1"/>
  <c r="BJ10" i="107"/>
  <c r="BJ18" i="107"/>
  <c r="BM18" i="107" s="1"/>
  <c r="BJ11" i="107"/>
  <c r="BJ12" i="107"/>
  <c r="R253" i="80"/>
  <c r="R79" i="80"/>
  <c r="R119" i="80"/>
  <c r="R155" i="80"/>
  <c r="R214" i="80"/>
  <c r="R49" i="80"/>
  <c r="R154" i="80"/>
  <c r="R138" i="80"/>
  <c r="R69" i="80"/>
  <c r="AE7" i="108"/>
  <c r="AE10" i="108"/>
  <c r="AE13" i="108"/>
  <c r="AE16" i="108"/>
  <c r="AE15" i="108"/>
  <c r="AE18" i="108"/>
  <c r="AE9" i="108"/>
  <c r="AE12" i="108"/>
  <c r="AE14" i="108"/>
  <c r="AE17" i="108"/>
  <c r="AE8" i="108"/>
  <c r="AE11" i="108"/>
  <c r="CS9" i="92"/>
  <c r="CS31" i="92"/>
  <c r="CS30" i="92"/>
  <c r="CS23" i="92"/>
  <c r="CS16" i="92"/>
  <c r="CS32" i="92"/>
  <c r="CS25" i="92"/>
  <c r="CS24" i="92"/>
  <c r="CS17" i="92"/>
  <c r="CS10" i="92"/>
  <c r="CS33" i="92"/>
  <c r="CS26" i="92"/>
  <c r="CS19" i="92"/>
  <c r="CS18" i="92"/>
  <c r="CS11" i="92"/>
  <c r="CS27" i="92"/>
  <c r="CS20" i="92"/>
  <c r="CS13" i="92"/>
  <c r="CS12" i="92"/>
  <c r="CS34" i="92"/>
  <c r="CS21" i="92"/>
  <c r="CS14" i="92"/>
  <c r="CS35" i="92"/>
  <c r="CS28" i="92"/>
  <c r="CS15" i="92"/>
  <c r="CS8" i="92"/>
  <c r="CS36" i="92"/>
  <c r="CS29" i="92"/>
  <c r="CS22" i="92"/>
  <c r="DF11" i="108"/>
  <c r="DF8" i="108"/>
  <c r="DF13" i="108"/>
  <c r="DF16" i="108"/>
  <c r="DF10" i="108"/>
  <c r="DF15" i="108"/>
  <c r="DF9" i="108"/>
  <c r="DF18" i="108"/>
  <c r="DG18" i="108" s="1"/>
  <c r="DF12" i="108"/>
  <c r="DJ12" i="108" s="1"/>
  <c r="DF14" i="108"/>
  <c r="DF17" i="108"/>
  <c r="AN317" i="23"/>
  <c r="AN222" i="23"/>
  <c r="AN463" i="23"/>
  <c r="AN315" i="23"/>
  <c r="AN536" i="23"/>
  <c r="AN42" i="23"/>
  <c r="AN83" i="23"/>
  <c r="AN294" i="23"/>
  <c r="AN401" i="23"/>
  <c r="AN393" i="23"/>
  <c r="AN457" i="23"/>
  <c r="AN486" i="23"/>
  <c r="AN505" i="23"/>
  <c r="AN537" i="23"/>
  <c r="AN465" i="23"/>
  <c r="AN368" i="23"/>
  <c r="AN586" i="23"/>
  <c r="AN514" i="23"/>
  <c r="AN442" i="23"/>
  <c r="AN332" i="23"/>
  <c r="AN215" i="23"/>
  <c r="AN528" i="23"/>
  <c r="AN456" i="23"/>
  <c r="AN392" i="23"/>
  <c r="AN312" i="23"/>
  <c r="AN567" i="23"/>
  <c r="AN495" i="23"/>
  <c r="AN407" i="23"/>
  <c r="AN296" i="23"/>
  <c r="AN444" i="23"/>
  <c r="AN372" i="23"/>
  <c r="AN303" i="23"/>
  <c r="AN581" i="23"/>
  <c r="AN557" i="23"/>
  <c r="AN533" i="23"/>
  <c r="AN509" i="23"/>
  <c r="AN485" i="23"/>
  <c r="AN461" i="23"/>
  <c r="AN437" i="23"/>
  <c r="AN374" i="23"/>
  <c r="AN302" i="23"/>
  <c r="AN143" i="23"/>
  <c r="AN125" i="23"/>
  <c r="AN264" i="23"/>
  <c r="AN288" i="23"/>
  <c r="AN230" i="23"/>
  <c r="AN158" i="23"/>
  <c r="AN86" i="23"/>
  <c r="AN14" i="23"/>
  <c r="AN182" i="23"/>
  <c r="AN110" i="23"/>
  <c r="AN38" i="23"/>
  <c r="AN210" i="23"/>
  <c r="AN138" i="23"/>
  <c r="AN66" i="23"/>
  <c r="AN242" i="23"/>
  <c r="AN170" i="23"/>
  <c r="AN98" i="23"/>
  <c r="AN26" i="23"/>
  <c r="AN415" i="23"/>
  <c r="AN391" i="23"/>
  <c r="AN364" i="23"/>
  <c r="AN340" i="23"/>
  <c r="AN316" i="23"/>
  <c r="AN292" i="23"/>
  <c r="AN268" i="23"/>
  <c r="AN216" i="23"/>
  <c r="AN144" i="23"/>
  <c r="AN72" i="23"/>
  <c r="AN256" i="23"/>
  <c r="AN232" i="23"/>
  <c r="AN208" i="23"/>
  <c r="AN184" i="23"/>
  <c r="AN160" i="23"/>
  <c r="AN136" i="23"/>
  <c r="AN112" i="23"/>
  <c r="AN88" i="23"/>
  <c r="AN64" i="23"/>
  <c r="AN40" i="23"/>
  <c r="AN16" i="23"/>
  <c r="AN468" i="23"/>
  <c r="AN390" i="23"/>
  <c r="AN535" i="23"/>
  <c r="AN502" i="23"/>
  <c r="AN584" i="23"/>
  <c r="AN381" i="23"/>
  <c r="AN275" i="23"/>
  <c r="AN93" i="23"/>
  <c r="AN45" i="23"/>
  <c r="AN5" i="23"/>
  <c r="AN394" i="23"/>
  <c r="AN343" i="23"/>
  <c r="AN295" i="23"/>
  <c r="AN227" i="23"/>
  <c r="AN155" i="23"/>
  <c r="AN11" i="23"/>
  <c r="AN235" i="23"/>
  <c r="AN211" i="23"/>
  <c r="AN187" i="23"/>
  <c r="AN163" i="23"/>
  <c r="AN139" i="23"/>
  <c r="AN115" i="23"/>
  <c r="AN43" i="23"/>
  <c r="AN272" i="23"/>
  <c r="AN375" i="23"/>
  <c r="AN383" i="23"/>
  <c r="AN344" i="23"/>
  <c r="AN588" i="23"/>
  <c r="AN462" i="23"/>
  <c r="AN526" i="23"/>
  <c r="AN454" i="23"/>
  <c r="AN360" i="23"/>
  <c r="AN579" i="23"/>
  <c r="AN507" i="23"/>
  <c r="AN435" i="23"/>
  <c r="AN324" i="23"/>
  <c r="AN204" i="23"/>
  <c r="AN517" i="23"/>
  <c r="AN445" i="23"/>
  <c r="AN385" i="23"/>
  <c r="AN308" i="23"/>
  <c r="AN556" i="23"/>
  <c r="AN484" i="23"/>
  <c r="AN399" i="23"/>
  <c r="AN570" i="23"/>
  <c r="AN433" i="23"/>
  <c r="AN365" i="23"/>
  <c r="AN299" i="23"/>
  <c r="AN578" i="23"/>
  <c r="AN554" i="23"/>
  <c r="AN530" i="23"/>
  <c r="AN506" i="23"/>
  <c r="AN482" i="23"/>
  <c r="AN458" i="23"/>
  <c r="AN434" i="23"/>
  <c r="AN363" i="23"/>
  <c r="AN291" i="23"/>
  <c r="AN132" i="23"/>
  <c r="AN114" i="23"/>
  <c r="AN257" i="23"/>
  <c r="AN281" i="23"/>
  <c r="AN219" i="23"/>
  <c r="AN147" i="23"/>
  <c r="AN75" i="23"/>
  <c r="AN243" i="23"/>
  <c r="AN171" i="23"/>
  <c r="AN99" i="23"/>
  <c r="AN27" i="23"/>
  <c r="AN203" i="23"/>
  <c r="AN131" i="23"/>
  <c r="AN59" i="23"/>
  <c r="AN231" i="23"/>
  <c r="AN159" i="23"/>
  <c r="AN87" i="23"/>
  <c r="AN15" i="23"/>
  <c r="AN412" i="23"/>
  <c r="AN388" i="23"/>
  <c r="AN361" i="23"/>
  <c r="AN337" i="23"/>
  <c r="AN313" i="23"/>
  <c r="AN289" i="23"/>
  <c r="AN265" i="23"/>
  <c r="AN209" i="23"/>
  <c r="AN137" i="23"/>
  <c r="AN65" i="23"/>
  <c r="AN253" i="23"/>
  <c r="AN229" i="23"/>
  <c r="AN205" i="23"/>
  <c r="AN181" i="23"/>
  <c r="AN157" i="23"/>
  <c r="AN133" i="23"/>
  <c r="AN109" i="23"/>
  <c r="AN85" i="23"/>
  <c r="AN61" i="23"/>
  <c r="AN37" i="23"/>
  <c r="AN13" i="23"/>
  <c r="AN450" i="23"/>
  <c r="AN432" i="23"/>
  <c r="AN555" i="23"/>
  <c r="AN532" i="23"/>
  <c r="AN359" i="23"/>
  <c r="AN404" i="23"/>
  <c r="AN441" i="23"/>
  <c r="AN469" i="23"/>
  <c r="AN587" i="23"/>
  <c r="AN539" i="23"/>
  <c r="AN443" i="23"/>
  <c r="AN395" i="23"/>
  <c r="AN282" i="23"/>
  <c r="AN248" i="23"/>
  <c r="AN200" i="23"/>
  <c r="AN84" i="23"/>
  <c r="AN116" i="23"/>
  <c r="AN397" i="23"/>
  <c r="AN274" i="23"/>
  <c r="AN70" i="23"/>
  <c r="AN439" i="23"/>
  <c r="AN529" i="23"/>
  <c r="AN544" i="23"/>
  <c r="AN453" i="23"/>
  <c r="AN396" i="23"/>
  <c r="AN426" i="23"/>
  <c r="AN311" i="23"/>
  <c r="AN512" i="23"/>
  <c r="AN464" i="23"/>
  <c r="AN309" i="23"/>
  <c r="AN237" i="23"/>
  <c r="AN189" i="23"/>
  <c r="AN221" i="23"/>
  <c r="AN77" i="23"/>
  <c r="AN177" i="23"/>
  <c r="AN418" i="23"/>
  <c r="AN367" i="23"/>
  <c r="AN271" i="23"/>
  <c r="AN67" i="23"/>
  <c r="AN558" i="23"/>
  <c r="AN321" i="23"/>
  <c r="AN329" i="23"/>
  <c r="AN290" i="23"/>
  <c r="AN577" i="23"/>
  <c r="AN410" i="23"/>
  <c r="AN519" i="23"/>
  <c r="AN447" i="23"/>
  <c r="AN341" i="23"/>
  <c r="AN568" i="23"/>
  <c r="AN496" i="23"/>
  <c r="AN416" i="23"/>
  <c r="AN305" i="23"/>
  <c r="AN582" i="23"/>
  <c r="AN510" i="23"/>
  <c r="AN438" i="23"/>
  <c r="AN366" i="23"/>
  <c r="AN300" i="23"/>
  <c r="AN549" i="23"/>
  <c r="AN477" i="23"/>
  <c r="AN377" i="23"/>
  <c r="AN523" i="23"/>
  <c r="AN429" i="23"/>
  <c r="AN357" i="23"/>
  <c r="AN287" i="23"/>
  <c r="AN575" i="23"/>
  <c r="AN551" i="23"/>
  <c r="AN527" i="23"/>
  <c r="AN503" i="23"/>
  <c r="AN479" i="23"/>
  <c r="AN455" i="23"/>
  <c r="AN431" i="23"/>
  <c r="AN356" i="23"/>
  <c r="AN284" i="23"/>
  <c r="AN89" i="23"/>
  <c r="AN71" i="23"/>
  <c r="AN161" i="23"/>
  <c r="AN270" i="23"/>
  <c r="AN212" i="23"/>
  <c r="AN140" i="23"/>
  <c r="AN68" i="23"/>
  <c r="AN236" i="23"/>
  <c r="AN164" i="23"/>
  <c r="AN92" i="23"/>
  <c r="AN20" i="23"/>
  <c r="AN192" i="23"/>
  <c r="AN120" i="23"/>
  <c r="AN48" i="23"/>
  <c r="AN224" i="23"/>
  <c r="AN152" i="23"/>
  <c r="AN80" i="23"/>
  <c r="AN8" i="23"/>
  <c r="AN409" i="23"/>
  <c r="AN382" i="23"/>
  <c r="AN358" i="23"/>
  <c r="AN334" i="23"/>
  <c r="AN310" i="23"/>
  <c r="AN286" i="23"/>
  <c r="AN262" i="23"/>
  <c r="AN198" i="23"/>
  <c r="AN126" i="23"/>
  <c r="AN54" i="23"/>
  <c r="AN250" i="23"/>
  <c r="AN226" i="23"/>
  <c r="AN202" i="23"/>
  <c r="AN178" i="23"/>
  <c r="AN154" i="23"/>
  <c r="AN130" i="23"/>
  <c r="AN106" i="23"/>
  <c r="AN82" i="23"/>
  <c r="AN58" i="23"/>
  <c r="AN34" i="23"/>
  <c r="AN10" i="23"/>
  <c r="AN511" i="23"/>
  <c r="AN233" i="23"/>
  <c r="AN546" i="23"/>
  <c r="AN513" i="23"/>
  <c r="AN384" i="23"/>
  <c r="AN515" i="23"/>
  <c r="AN179" i="23"/>
  <c r="AN104" i="23"/>
  <c r="AN56" i="23"/>
  <c r="AN188" i="23"/>
  <c r="AN421" i="23"/>
  <c r="AN322" i="23"/>
  <c r="AN162" i="23"/>
  <c r="AN18" i="23"/>
  <c r="AN190" i="23"/>
  <c r="AN142" i="23"/>
  <c r="AN22" i="23"/>
  <c r="AN516" i="23"/>
  <c r="AN351" i="23"/>
  <c r="AN574" i="23"/>
  <c r="AN380" i="23"/>
  <c r="AN488" i="23"/>
  <c r="AN186" i="23"/>
  <c r="AN21" i="23"/>
  <c r="AN149" i="23"/>
  <c r="AN33" i="23"/>
  <c r="AN319" i="23"/>
  <c r="AN19" i="23"/>
  <c r="AN547" i="23"/>
  <c r="AN254" i="23"/>
  <c r="AN576" i="23"/>
  <c r="AN583" i="23"/>
  <c r="AN559" i="23"/>
  <c r="AN580" i="23"/>
  <c r="AN508" i="23"/>
  <c r="AN436" i="23"/>
  <c r="AN333" i="23"/>
  <c r="AN561" i="23"/>
  <c r="AN489" i="23"/>
  <c r="AN408" i="23"/>
  <c r="AN297" i="23"/>
  <c r="AN571" i="23"/>
  <c r="AN499" i="23"/>
  <c r="AN423" i="23"/>
  <c r="AN362" i="23"/>
  <c r="AN293" i="23"/>
  <c r="AN538" i="23"/>
  <c r="AN466" i="23"/>
  <c r="AN369" i="23"/>
  <c r="AN498" i="23"/>
  <c r="AN422" i="23"/>
  <c r="AN353" i="23"/>
  <c r="AN278" i="23"/>
  <c r="AN572" i="23"/>
  <c r="AN548" i="23"/>
  <c r="AN524" i="23"/>
  <c r="AN500" i="23"/>
  <c r="AN476" i="23"/>
  <c r="AN452" i="23"/>
  <c r="AN420" i="23"/>
  <c r="AN345" i="23"/>
  <c r="AN273" i="23"/>
  <c r="AN78" i="23"/>
  <c r="AN60" i="23"/>
  <c r="AN150" i="23"/>
  <c r="AN263" i="23"/>
  <c r="AN201" i="23"/>
  <c r="AN129" i="23"/>
  <c r="AN57" i="23"/>
  <c r="AN225" i="23"/>
  <c r="AN153" i="23"/>
  <c r="AN81" i="23"/>
  <c r="AN9" i="23"/>
  <c r="AN185" i="23"/>
  <c r="AN113" i="23"/>
  <c r="AN41" i="23"/>
  <c r="AN213" i="23"/>
  <c r="AN141" i="23"/>
  <c r="AN69" i="23"/>
  <c r="AN430" i="23"/>
  <c r="AN406" i="23"/>
  <c r="AN379" i="23"/>
  <c r="AN355" i="23"/>
  <c r="AN331" i="23"/>
  <c r="AN307" i="23"/>
  <c r="AN283" i="23"/>
  <c r="AN259" i="23"/>
  <c r="AN191" i="23"/>
  <c r="AN119" i="23"/>
  <c r="AN47" i="23"/>
  <c r="AN247" i="23"/>
  <c r="AN223" i="23"/>
  <c r="AN199" i="23"/>
  <c r="AN175" i="23"/>
  <c r="AN151" i="23"/>
  <c r="AN127" i="23"/>
  <c r="AN103" i="23"/>
  <c r="AN79" i="23"/>
  <c r="AN55" i="23"/>
  <c r="AN31" i="23"/>
  <c r="AN7" i="23"/>
  <c r="AN348" i="23"/>
  <c r="AN534" i="23"/>
  <c r="AN398" i="23"/>
  <c r="AN460" i="23"/>
  <c r="AN474" i="23"/>
  <c r="AN339" i="23"/>
  <c r="AN323" i="23"/>
  <c r="AN563" i="23"/>
  <c r="AN467" i="23"/>
  <c r="AN320" i="23"/>
  <c r="AN53" i="23"/>
  <c r="AN32" i="23"/>
  <c r="AN128" i="23"/>
  <c r="AN228" i="23"/>
  <c r="AN12" i="23"/>
  <c r="AN44" i="23"/>
  <c r="AN370" i="23"/>
  <c r="AN346" i="23"/>
  <c r="AN298" i="23"/>
  <c r="AN234" i="23"/>
  <c r="AN90" i="23"/>
  <c r="AN238" i="23"/>
  <c r="AN214" i="23"/>
  <c r="AN166" i="23"/>
  <c r="AN118" i="23"/>
  <c r="AN46" i="23"/>
  <c r="AN336" i="23"/>
  <c r="AN472" i="23"/>
  <c r="AN258" i="23"/>
  <c r="AN335" i="23"/>
  <c r="AN451" i="23"/>
  <c r="AN560" i="23"/>
  <c r="AN440" i="23"/>
  <c r="AN168" i="23"/>
  <c r="AN165" i="23"/>
  <c r="AN117" i="23"/>
  <c r="AN105" i="23"/>
  <c r="AN91" i="23"/>
  <c r="AN386" i="23"/>
  <c r="AN504" i="23"/>
  <c r="AN249" i="23"/>
  <c r="AN565" i="23"/>
  <c r="AN540" i="23"/>
  <c r="AN552" i="23"/>
  <c r="AN573" i="23"/>
  <c r="AN501" i="23"/>
  <c r="AN425" i="23"/>
  <c r="AN314" i="23"/>
  <c r="AN550" i="23"/>
  <c r="AN478" i="23"/>
  <c r="AN389" i="23"/>
  <c r="AN285" i="23"/>
  <c r="AN564" i="23"/>
  <c r="AN492" i="23"/>
  <c r="AN419" i="23"/>
  <c r="AN354" i="23"/>
  <c r="AN279" i="23"/>
  <c r="AN531" i="23"/>
  <c r="AN459" i="23"/>
  <c r="AN350" i="23"/>
  <c r="AN487" i="23"/>
  <c r="AN414" i="23"/>
  <c r="AN330" i="23"/>
  <c r="AN269" i="23"/>
  <c r="AN569" i="23"/>
  <c r="AN545" i="23"/>
  <c r="AN521" i="23"/>
  <c r="AN497" i="23"/>
  <c r="AN473" i="23"/>
  <c r="AN449" i="23"/>
  <c r="AN413" i="23"/>
  <c r="AN338" i="23"/>
  <c r="AN266" i="23"/>
  <c r="AN35" i="23"/>
  <c r="AN17" i="23"/>
  <c r="AN107" i="23"/>
  <c r="AN251" i="23"/>
  <c r="AN194" i="23"/>
  <c r="AN122" i="23"/>
  <c r="AN50" i="23"/>
  <c r="AN218" i="23"/>
  <c r="AN146" i="23"/>
  <c r="AN74" i="23"/>
  <c r="AN246" i="23"/>
  <c r="AN174" i="23"/>
  <c r="AN102" i="23"/>
  <c r="AN30" i="23"/>
  <c r="AN206" i="23"/>
  <c r="AN134" i="23"/>
  <c r="AN62" i="23"/>
  <c r="AN427" i="23"/>
  <c r="AN403" i="23"/>
  <c r="AN376" i="23"/>
  <c r="AN352" i="23"/>
  <c r="AN328" i="23"/>
  <c r="AN304" i="23"/>
  <c r="AN280" i="23"/>
  <c r="AN252" i="23"/>
  <c r="AN180" i="23"/>
  <c r="AN108" i="23"/>
  <c r="AN36" i="23"/>
  <c r="AN244" i="23"/>
  <c r="AN220" i="23"/>
  <c r="AN196" i="23"/>
  <c r="AN172" i="23"/>
  <c r="AN148" i="23"/>
  <c r="AN124" i="23"/>
  <c r="AN100" i="23"/>
  <c r="AN76" i="23"/>
  <c r="AN52" i="23"/>
  <c r="AN28" i="23"/>
  <c r="AN4" i="23"/>
  <c r="AN405" i="23"/>
  <c r="AN483" i="23"/>
  <c r="AN267" i="23"/>
  <c r="AN585" i="23"/>
  <c r="AN318" i="23"/>
  <c r="AN491" i="23"/>
  <c r="AN197" i="23"/>
  <c r="AN176" i="23"/>
  <c r="AN156" i="23"/>
  <c r="AN94" i="23"/>
  <c r="AN525" i="23"/>
  <c r="AN371" i="23"/>
  <c r="AN493" i="23"/>
  <c r="AN428" i="23"/>
  <c r="AN522" i="23"/>
  <c r="AN475" i="23"/>
  <c r="AN541" i="23"/>
  <c r="AN562" i="23"/>
  <c r="AN490" i="23"/>
  <c r="AN417" i="23"/>
  <c r="AN306" i="23"/>
  <c r="AN543" i="23"/>
  <c r="AN471" i="23"/>
  <c r="AN378" i="23"/>
  <c r="AN276" i="23"/>
  <c r="AN553" i="23"/>
  <c r="AN481" i="23"/>
  <c r="AN411" i="23"/>
  <c r="AN347" i="23"/>
  <c r="AN261" i="23"/>
  <c r="AN520" i="23"/>
  <c r="AN448" i="23"/>
  <c r="AN342" i="23"/>
  <c r="AN480" i="23"/>
  <c r="AN387" i="23"/>
  <c r="AN326" i="23"/>
  <c r="AN260" i="23"/>
  <c r="AN566" i="23"/>
  <c r="AN542" i="23"/>
  <c r="AN518" i="23"/>
  <c r="AN494" i="23"/>
  <c r="AN470" i="23"/>
  <c r="AN446" i="23"/>
  <c r="AN402" i="23"/>
  <c r="AN327" i="23"/>
  <c r="AN240" i="23"/>
  <c r="AN24" i="23"/>
  <c r="AN6" i="23"/>
  <c r="AN96" i="23"/>
  <c r="AN255" i="23"/>
  <c r="AN183" i="23"/>
  <c r="AN111" i="23"/>
  <c r="AN39" i="23"/>
  <c r="AN207" i="23"/>
  <c r="AN135" i="23"/>
  <c r="AN63" i="23"/>
  <c r="AN239" i="23"/>
  <c r="AN167" i="23"/>
  <c r="AN95" i="23"/>
  <c r="AN23" i="23"/>
  <c r="AN195" i="23"/>
  <c r="AN123" i="23"/>
  <c r="AN51" i="23"/>
  <c r="AN424" i="23"/>
  <c r="AN400" i="23"/>
  <c r="AN373" i="23"/>
  <c r="AN349" i="23"/>
  <c r="AN325" i="23"/>
  <c r="AN301" i="23"/>
  <c r="AN277" i="23"/>
  <c r="AN245" i="23"/>
  <c r="AN173" i="23"/>
  <c r="AN101" i="23"/>
  <c r="AN29" i="23"/>
  <c r="AN241" i="23"/>
  <c r="AN217" i="23"/>
  <c r="AN193" i="23"/>
  <c r="AN169" i="23"/>
  <c r="AN145" i="23"/>
  <c r="AN121" i="23"/>
  <c r="AN97" i="23"/>
  <c r="AN73" i="23"/>
  <c r="AN49" i="23"/>
  <c r="AN25" i="23"/>
  <c r="AN3" i="23"/>
  <c r="I14" i="114"/>
  <c r="J14" i="114" s="1"/>
  <c r="I17" i="114"/>
  <c r="J17" i="114" s="1"/>
  <c r="I9" i="114"/>
  <c r="J9" i="114" s="1"/>
  <c r="I11" i="114"/>
  <c r="J11" i="114" s="1"/>
  <c r="I12" i="114"/>
  <c r="J12" i="114" s="1"/>
  <c r="X12" i="114" s="1"/>
  <c r="I19" i="114"/>
  <c r="J19" i="114" s="1"/>
  <c r="X19" i="114" s="1"/>
  <c r="I10" i="114"/>
  <c r="J10" i="114" s="1"/>
  <c r="I13" i="114"/>
  <c r="J13" i="114" s="1"/>
  <c r="I16" i="114"/>
  <c r="J16" i="114" s="1"/>
  <c r="I15" i="114"/>
  <c r="J15" i="114" s="1"/>
  <c r="I18" i="114"/>
  <c r="M18" i="114" s="1"/>
  <c r="I8" i="114"/>
  <c r="J8" i="114" s="1"/>
  <c r="CU13" i="108"/>
  <c r="CU16" i="108"/>
  <c r="CU8" i="108"/>
  <c r="CU11" i="108"/>
  <c r="CU10" i="108"/>
  <c r="CU15" i="108"/>
  <c r="CU18" i="108"/>
  <c r="CU9" i="108"/>
  <c r="CU12" i="108"/>
  <c r="CU14" i="108"/>
  <c r="CU17" i="108"/>
  <c r="CU7" i="108"/>
  <c r="I294" i="23"/>
  <c r="AG294" i="23"/>
  <c r="AM294" i="23"/>
  <c r="E294" i="23"/>
  <c r="K294" i="23"/>
  <c r="Q294" i="23"/>
  <c r="F294" i="23"/>
  <c r="L294" i="23"/>
  <c r="R294" i="23"/>
  <c r="H294" i="23"/>
  <c r="N294" i="23"/>
  <c r="AF294" i="23"/>
  <c r="S294" i="23"/>
  <c r="AK294" i="23"/>
  <c r="D294" i="23"/>
  <c r="G294" i="23"/>
  <c r="J294" i="23"/>
  <c r="M294" i="23"/>
  <c r="AE294" i="23"/>
  <c r="P294" i="23"/>
  <c r="H450" i="23"/>
  <c r="N450" i="23"/>
  <c r="AF450" i="23"/>
  <c r="E450" i="23"/>
  <c r="K450" i="23"/>
  <c r="Q450" i="23"/>
  <c r="F450" i="23"/>
  <c r="L450" i="23"/>
  <c r="R450" i="23"/>
  <c r="G450" i="23"/>
  <c r="M450" i="23"/>
  <c r="S450" i="23"/>
  <c r="AE450" i="23"/>
  <c r="AK450" i="23"/>
  <c r="P450" i="23"/>
  <c r="D450" i="23"/>
  <c r="AM450" i="23"/>
  <c r="I450" i="23"/>
  <c r="J450" i="23"/>
  <c r="AG450" i="23"/>
  <c r="D249" i="23"/>
  <c r="J249" i="23"/>
  <c r="P249" i="23"/>
  <c r="E249" i="23"/>
  <c r="K249" i="23"/>
  <c r="Q249" i="23"/>
  <c r="F249" i="23"/>
  <c r="L249" i="23"/>
  <c r="R249" i="23"/>
  <c r="G249" i="23"/>
  <c r="M249" i="23"/>
  <c r="S249" i="23"/>
  <c r="AE249" i="23"/>
  <c r="AK249" i="23"/>
  <c r="H249" i="23"/>
  <c r="N249" i="23"/>
  <c r="AF249" i="23"/>
  <c r="I249" i="23"/>
  <c r="AG249" i="23"/>
  <c r="AM249" i="23"/>
  <c r="F336" i="23"/>
  <c r="L336" i="23"/>
  <c r="R336" i="23"/>
  <c r="J336" i="23"/>
  <c r="Q336" i="23"/>
  <c r="AF336" i="23"/>
  <c r="AM336" i="23"/>
  <c r="D336" i="23"/>
  <c r="K336" i="23"/>
  <c r="S336" i="23"/>
  <c r="AG336" i="23"/>
  <c r="E336" i="23"/>
  <c r="M336" i="23"/>
  <c r="G336" i="23"/>
  <c r="N336" i="23"/>
  <c r="H336" i="23"/>
  <c r="AK336" i="23"/>
  <c r="I336" i="23"/>
  <c r="P336" i="23"/>
  <c r="AE336" i="23"/>
  <c r="G457" i="23"/>
  <c r="M457" i="23"/>
  <c r="S457" i="23"/>
  <c r="F457" i="23"/>
  <c r="L457" i="23"/>
  <c r="R457" i="23"/>
  <c r="I457" i="23"/>
  <c r="Q457" i="23"/>
  <c r="AG457" i="23"/>
  <c r="J457" i="23"/>
  <c r="K457" i="23"/>
  <c r="D457" i="23"/>
  <c r="N457" i="23"/>
  <c r="AK457" i="23"/>
  <c r="E457" i="23"/>
  <c r="AE457" i="23"/>
  <c r="H457" i="23"/>
  <c r="P457" i="23"/>
  <c r="AF457" i="23"/>
  <c r="AM457" i="23"/>
  <c r="G583" i="23"/>
  <c r="M583" i="23"/>
  <c r="S583" i="23"/>
  <c r="AE583" i="23"/>
  <c r="AK583" i="23"/>
  <c r="I583" i="23"/>
  <c r="AG583" i="23"/>
  <c r="AM583" i="23"/>
  <c r="D583" i="23"/>
  <c r="J583" i="23"/>
  <c r="P583" i="23"/>
  <c r="F583" i="23"/>
  <c r="L583" i="23"/>
  <c r="R583" i="23"/>
  <c r="E583" i="23"/>
  <c r="H583" i="23"/>
  <c r="K583" i="23"/>
  <c r="N583" i="23"/>
  <c r="AF583" i="23"/>
  <c r="Q583" i="23"/>
  <c r="H588" i="23"/>
  <c r="N588" i="23"/>
  <c r="AF588" i="23"/>
  <c r="D588" i="23"/>
  <c r="J588" i="23"/>
  <c r="P588" i="23"/>
  <c r="E588" i="23"/>
  <c r="K588" i="23"/>
  <c r="Q588" i="23"/>
  <c r="G588" i="23"/>
  <c r="M588" i="23"/>
  <c r="S588" i="23"/>
  <c r="AE588" i="23"/>
  <c r="AK588" i="23"/>
  <c r="AG588" i="23"/>
  <c r="R588" i="23"/>
  <c r="F588" i="23"/>
  <c r="AM588" i="23"/>
  <c r="I588" i="23"/>
  <c r="L588" i="23"/>
  <c r="H516" i="23"/>
  <c r="N516" i="23"/>
  <c r="AF516" i="23"/>
  <c r="D516" i="23"/>
  <c r="K516" i="23"/>
  <c r="R516" i="23"/>
  <c r="AG516" i="23"/>
  <c r="AM516" i="23"/>
  <c r="E516" i="23"/>
  <c r="L516" i="23"/>
  <c r="S516" i="23"/>
  <c r="F516" i="23"/>
  <c r="M516" i="23"/>
  <c r="G516" i="23"/>
  <c r="I516" i="23"/>
  <c r="P516" i="23"/>
  <c r="AK516" i="23"/>
  <c r="J516" i="23"/>
  <c r="Q516" i="23"/>
  <c r="AE516" i="23"/>
  <c r="E573" i="23"/>
  <c r="K573" i="23"/>
  <c r="Q573" i="23"/>
  <c r="F573" i="23"/>
  <c r="L573" i="23"/>
  <c r="R573" i="23"/>
  <c r="G573" i="23"/>
  <c r="M573" i="23"/>
  <c r="S573" i="23"/>
  <c r="AE573" i="23"/>
  <c r="AK573" i="23"/>
  <c r="H573" i="23"/>
  <c r="N573" i="23"/>
  <c r="AF573" i="23"/>
  <c r="D573" i="23"/>
  <c r="J573" i="23"/>
  <c r="P573" i="23"/>
  <c r="AG573" i="23"/>
  <c r="I573" i="23"/>
  <c r="AM573" i="23"/>
  <c r="E519" i="23"/>
  <c r="K519" i="23"/>
  <c r="Q519" i="23"/>
  <c r="F519" i="23"/>
  <c r="L519" i="23"/>
  <c r="R519" i="23"/>
  <c r="G519" i="23"/>
  <c r="M519" i="23"/>
  <c r="S519" i="23"/>
  <c r="AE519" i="23"/>
  <c r="AK519" i="23"/>
  <c r="H519" i="23"/>
  <c r="N519" i="23"/>
  <c r="AF519" i="23"/>
  <c r="I519" i="23"/>
  <c r="AG519" i="23"/>
  <c r="AM519" i="23"/>
  <c r="D519" i="23"/>
  <c r="J519" i="23"/>
  <c r="P519" i="23"/>
  <c r="D465" i="23"/>
  <c r="J465" i="23"/>
  <c r="P465" i="23"/>
  <c r="H465" i="23"/>
  <c r="AK465" i="23"/>
  <c r="I465" i="23"/>
  <c r="Q465" i="23"/>
  <c r="AE465" i="23"/>
  <c r="K465" i="23"/>
  <c r="R465" i="23"/>
  <c r="AF465" i="23"/>
  <c r="AM465" i="23"/>
  <c r="E465" i="23"/>
  <c r="L465" i="23"/>
  <c r="S465" i="23"/>
  <c r="AG465" i="23"/>
  <c r="F465" i="23"/>
  <c r="M465" i="23"/>
  <c r="G465" i="23"/>
  <c r="N465" i="23"/>
  <c r="H398" i="23"/>
  <c r="N398" i="23"/>
  <c r="AF398" i="23"/>
  <c r="E398" i="23"/>
  <c r="L398" i="23"/>
  <c r="S398" i="23"/>
  <c r="G398" i="23"/>
  <c r="I398" i="23"/>
  <c r="P398" i="23"/>
  <c r="AK398" i="23"/>
  <c r="J398" i="23"/>
  <c r="Q398" i="23"/>
  <c r="AE398" i="23"/>
  <c r="D398" i="23"/>
  <c r="K398" i="23"/>
  <c r="R398" i="23"/>
  <c r="AG398" i="23"/>
  <c r="AM398" i="23"/>
  <c r="F398" i="23"/>
  <c r="M398" i="23"/>
  <c r="G314" i="23"/>
  <c r="M314" i="23"/>
  <c r="S314" i="23"/>
  <c r="AE314" i="23"/>
  <c r="AK314" i="23"/>
  <c r="D314" i="23"/>
  <c r="J314" i="23"/>
  <c r="P314" i="23"/>
  <c r="F314" i="23"/>
  <c r="K314" i="23"/>
  <c r="L314" i="23"/>
  <c r="AM314" i="23"/>
  <c r="N314" i="23"/>
  <c r="AF314" i="23"/>
  <c r="E314" i="23"/>
  <c r="AG314" i="23"/>
  <c r="H314" i="23"/>
  <c r="Q314" i="23"/>
  <c r="I314" i="23"/>
  <c r="R314" i="23"/>
  <c r="E543" i="23"/>
  <c r="K543" i="23"/>
  <c r="Q543" i="23"/>
  <c r="F543" i="23"/>
  <c r="L543" i="23"/>
  <c r="R543" i="23"/>
  <c r="G543" i="23"/>
  <c r="M543" i="23"/>
  <c r="S543" i="23"/>
  <c r="AE543" i="23"/>
  <c r="AK543" i="23"/>
  <c r="H543" i="23"/>
  <c r="N543" i="23"/>
  <c r="AF543" i="23"/>
  <c r="D543" i="23"/>
  <c r="J543" i="23"/>
  <c r="P543" i="23"/>
  <c r="AG543" i="23"/>
  <c r="I543" i="23"/>
  <c r="AM543" i="23"/>
  <c r="F489" i="23"/>
  <c r="L489" i="23"/>
  <c r="R489" i="23"/>
  <c r="G489" i="23"/>
  <c r="M489" i="23"/>
  <c r="S489" i="23"/>
  <c r="AE489" i="23"/>
  <c r="AK489" i="23"/>
  <c r="H489" i="23"/>
  <c r="N489" i="23"/>
  <c r="AF489" i="23"/>
  <c r="I489" i="23"/>
  <c r="AG489" i="23"/>
  <c r="AM489" i="23"/>
  <c r="D489" i="23"/>
  <c r="J489" i="23"/>
  <c r="P489" i="23"/>
  <c r="E489" i="23"/>
  <c r="K489" i="23"/>
  <c r="Q489" i="23"/>
  <c r="E435" i="23"/>
  <c r="K435" i="23"/>
  <c r="Q435" i="23"/>
  <c r="H435" i="23"/>
  <c r="N435" i="23"/>
  <c r="AF435" i="23"/>
  <c r="I435" i="23"/>
  <c r="AG435" i="23"/>
  <c r="AM435" i="23"/>
  <c r="D435" i="23"/>
  <c r="J435" i="23"/>
  <c r="P435" i="23"/>
  <c r="M435" i="23"/>
  <c r="AE435" i="23"/>
  <c r="R435" i="23"/>
  <c r="S435" i="23"/>
  <c r="AK435" i="23"/>
  <c r="F435" i="23"/>
  <c r="G435" i="23"/>
  <c r="L435" i="23"/>
  <c r="E351" i="23"/>
  <c r="K351" i="23"/>
  <c r="Q351" i="23"/>
  <c r="F351" i="23"/>
  <c r="L351" i="23"/>
  <c r="R351" i="23"/>
  <c r="G351" i="23"/>
  <c r="M351" i="23"/>
  <c r="S351" i="23"/>
  <c r="AE351" i="23"/>
  <c r="AK351" i="23"/>
  <c r="H351" i="23"/>
  <c r="N351" i="23"/>
  <c r="AF351" i="23"/>
  <c r="I351" i="23"/>
  <c r="AG351" i="23"/>
  <c r="AM351" i="23"/>
  <c r="D351" i="23"/>
  <c r="J351" i="23"/>
  <c r="P351" i="23"/>
  <c r="I276" i="23"/>
  <c r="AG276" i="23"/>
  <c r="AM276" i="23"/>
  <c r="D276" i="23"/>
  <c r="J276" i="23"/>
  <c r="P276" i="23"/>
  <c r="E276" i="23"/>
  <c r="M276" i="23"/>
  <c r="AE276" i="23"/>
  <c r="F276" i="23"/>
  <c r="N276" i="23"/>
  <c r="AF276" i="23"/>
  <c r="G276" i="23"/>
  <c r="Q276" i="23"/>
  <c r="H276" i="23"/>
  <c r="R276" i="23"/>
  <c r="L276" i="23"/>
  <c r="K276" i="23"/>
  <c r="S276" i="23"/>
  <c r="AK276" i="23"/>
  <c r="H582" i="23"/>
  <c r="N582" i="23"/>
  <c r="AF582" i="23"/>
  <c r="D582" i="23"/>
  <c r="J582" i="23"/>
  <c r="P582" i="23"/>
  <c r="E582" i="23"/>
  <c r="K582" i="23"/>
  <c r="Q582" i="23"/>
  <c r="G582" i="23"/>
  <c r="M582" i="23"/>
  <c r="S582" i="23"/>
  <c r="AE582" i="23"/>
  <c r="AK582" i="23"/>
  <c r="L582" i="23"/>
  <c r="AG582" i="23"/>
  <c r="R582" i="23"/>
  <c r="F582" i="23"/>
  <c r="AM582" i="23"/>
  <c r="I582" i="23"/>
  <c r="H528" i="23"/>
  <c r="N528" i="23"/>
  <c r="AF528" i="23"/>
  <c r="I528" i="23"/>
  <c r="AG528" i="23"/>
  <c r="AM528" i="23"/>
  <c r="D528" i="23"/>
  <c r="J528" i="23"/>
  <c r="P528" i="23"/>
  <c r="E528" i="23"/>
  <c r="K528" i="23"/>
  <c r="Q528" i="23"/>
  <c r="G528" i="23"/>
  <c r="M528" i="23"/>
  <c r="S528" i="23"/>
  <c r="AE528" i="23"/>
  <c r="AK528" i="23"/>
  <c r="F528" i="23"/>
  <c r="L528" i="23"/>
  <c r="R528" i="23"/>
  <c r="G474" i="23"/>
  <c r="M474" i="23"/>
  <c r="S474" i="23"/>
  <c r="AE474" i="23"/>
  <c r="AK474" i="23"/>
  <c r="I474" i="23"/>
  <c r="P474" i="23"/>
  <c r="J474" i="23"/>
  <c r="Q474" i="23"/>
  <c r="AF474" i="23"/>
  <c r="AM474" i="23"/>
  <c r="D474" i="23"/>
  <c r="K474" i="23"/>
  <c r="R474" i="23"/>
  <c r="AG474" i="23"/>
  <c r="E474" i="23"/>
  <c r="L474" i="23"/>
  <c r="F474" i="23"/>
  <c r="N474" i="23"/>
  <c r="H474" i="23"/>
  <c r="E419" i="23"/>
  <c r="K419" i="23"/>
  <c r="Q419" i="23"/>
  <c r="D419" i="23"/>
  <c r="L419" i="23"/>
  <c r="S419" i="23"/>
  <c r="AG419" i="23"/>
  <c r="AM419" i="23"/>
  <c r="G419" i="23"/>
  <c r="N419" i="23"/>
  <c r="H419" i="23"/>
  <c r="I419" i="23"/>
  <c r="P419" i="23"/>
  <c r="AE419" i="23"/>
  <c r="AK419" i="23"/>
  <c r="J419" i="23"/>
  <c r="R419" i="23"/>
  <c r="AF419" i="23"/>
  <c r="F419" i="23"/>
  <c r="M419" i="23"/>
  <c r="H366" i="23"/>
  <c r="N366" i="23"/>
  <c r="AF366" i="23"/>
  <c r="D366" i="23"/>
  <c r="J366" i="23"/>
  <c r="P366" i="23"/>
  <c r="I366" i="23"/>
  <c r="R366" i="23"/>
  <c r="AG366" i="23"/>
  <c r="AM366" i="23"/>
  <c r="K366" i="23"/>
  <c r="S366" i="23"/>
  <c r="L366" i="23"/>
  <c r="E366" i="23"/>
  <c r="M366" i="23"/>
  <c r="F366" i="23"/>
  <c r="AK366" i="23"/>
  <c r="G366" i="23"/>
  <c r="Q366" i="23"/>
  <c r="AE366" i="23"/>
  <c r="I312" i="23"/>
  <c r="AG312" i="23"/>
  <c r="AM312" i="23"/>
  <c r="F312" i="23"/>
  <c r="L312" i="23"/>
  <c r="R312" i="23"/>
  <c r="H312" i="23"/>
  <c r="N312" i="23"/>
  <c r="AF312" i="23"/>
  <c r="E312" i="23"/>
  <c r="Q312" i="23"/>
  <c r="G312" i="23"/>
  <c r="S312" i="23"/>
  <c r="AE312" i="23"/>
  <c r="J312" i="23"/>
  <c r="K312" i="23"/>
  <c r="M312" i="23"/>
  <c r="AK312" i="23"/>
  <c r="D312" i="23"/>
  <c r="P312" i="23"/>
  <c r="E585" i="23"/>
  <c r="K585" i="23"/>
  <c r="Q585" i="23"/>
  <c r="G585" i="23"/>
  <c r="M585" i="23"/>
  <c r="S585" i="23"/>
  <c r="AE585" i="23"/>
  <c r="AK585" i="23"/>
  <c r="H585" i="23"/>
  <c r="N585" i="23"/>
  <c r="AF585" i="23"/>
  <c r="D585" i="23"/>
  <c r="J585" i="23"/>
  <c r="P585" i="23"/>
  <c r="AG585" i="23"/>
  <c r="R585" i="23"/>
  <c r="F585" i="23"/>
  <c r="AM585" i="23"/>
  <c r="I585" i="23"/>
  <c r="L585" i="23"/>
  <c r="E531" i="23"/>
  <c r="K531" i="23"/>
  <c r="Q531" i="23"/>
  <c r="F531" i="23"/>
  <c r="L531" i="23"/>
  <c r="R531" i="23"/>
  <c r="G531" i="23"/>
  <c r="M531" i="23"/>
  <c r="S531" i="23"/>
  <c r="AE531" i="23"/>
  <c r="AK531" i="23"/>
  <c r="H531" i="23"/>
  <c r="N531" i="23"/>
  <c r="AF531" i="23"/>
  <c r="D531" i="23"/>
  <c r="J531" i="23"/>
  <c r="P531" i="23"/>
  <c r="AG531" i="23"/>
  <c r="I531" i="23"/>
  <c r="AM531" i="23"/>
  <c r="D477" i="23"/>
  <c r="J477" i="23"/>
  <c r="P477" i="23"/>
  <c r="F477" i="23"/>
  <c r="M477" i="23"/>
  <c r="G477" i="23"/>
  <c r="N477" i="23"/>
  <c r="H477" i="23"/>
  <c r="AK477" i="23"/>
  <c r="I477" i="23"/>
  <c r="Q477" i="23"/>
  <c r="AE477" i="23"/>
  <c r="K477" i="23"/>
  <c r="R477" i="23"/>
  <c r="AF477" i="23"/>
  <c r="AM477" i="23"/>
  <c r="E477" i="23"/>
  <c r="L477" i="23"/>
  <c r="S477" i="23"/>
  <c r="AG477" i="23"/>
  <c r="E407" i="23"/>
  <c r="K407" i="23"/>
  <c r="Q407" i="23"/>
  <c r="G407" i="23"/>
  <c r="N407" i="23"/>
  <c r="I407" i="23"/>
  <c r="P407" i="23"/>
  <c r="AE407" i="23"/>
  <c r="J407" i="23"/>
  <c r="R407" i="23"/>
  <c r="AF407" i="23"/>
  <c r="AM407" i="23"/>
  <c r="D407" i="23"/>
  <c r="L407" i="23"/>
  <c r="S407" i="23"/>
  <c r="AG407" i="23"/>
  <c r="F407" i="23"/>
  <c r="M407" i="23"/>
  <c r="AK407" i="23"/>
  <c r="H407" i="23"/>
  <c r="D323" i="23"/>
  <c r="J323" i="23"/>
  <c r="P323" i="23"/>
  <c r="G323" i="23"/>
  <c r="M323" i="23"/>
  <c r="S323" i="23"/>
  <c r="AE323" i="23"/>
  <c r="AK323" i="23"/>
  <c r="K323" i="23"/>
  <c r="L323" i="23"/>
  <c r="AM323" i="23"/>
  <c r="E323" i="23"/>
  <c r="N323" i="23"/>
  <c r="AF323" i="23"/>
  <c r="F323" i="23"/>
  <c r="AG323" i="23"/>
  <c r="H323" i="23"/>
  <c r="Q323" i="23"/>
  <c r="I323" i="23"/>
  <c r="R323" i="23"/>
  <c r="H487" i="23"/>
  <c r="N487" i="23"/>
  <c r="AF487" i="23"/>
  <c r="I487" i="23"/>
  <c r="AG487" i="23"/>
  <c r="AM487" i="23"/>
  <c r="D487" i="23"/>
  <c r="J487" i="23"/>
  <c r="P487" i="23"/>
  <c r="E487" i="23"/>
  <c r="K487" i="23"/>
  <c r="Q487" i="23"/>
  <c r="F487" i="23"/>
  <c r="L487" i="23"/>
  <c r="R487" i="23"/>
  <c r="G487" i="23"/>
  <c r="M487" i="23"/>
  <c r="S487" i="23"/>
  <c r="AE487" i="23"/>
  <c r="AK487" i="23"/>
  <c r="E429" i="23"/>
  <c r="K429" i="23"/>
  <c r="Q429" i="23"/>
  <c r="G429" i="23"/>
  <c r="M429" i="23"/>
  <c r="S429" i="23"/>
  <c r="AE429" i="23"/>
  <c r="AK429" i="23"/>
  <c r="H429" i="23"/>
  <c r="N429" i="23"/>
  <c r="AF429" i="23"/>
  <c r="I429" i="23"/>
  <c r="AG429" i="23"/>
  <c r="AM429" i="23"/>
  <c r="D429" i="23"/>
  <c r="J429" i="23"/>
  <c r="P429" i="23"/>
  <c r="F429" i="23"/>
  <c r="L429" i="23"/>
  <c r="R429" i="23"/>
  <c r="E372" i="23"/>
  <c r="K372" i="23"/>
  <c r="Q372" i="23"/>
  <c r="F372" i="23"/>
  <c r="L372" i="23"/>
  <c r="R372" i="23"/>
  <c r="G372" i="23"/>
  <c r="M372" i="23"/>
  <c r="S372" i="23"/>
  <c r="AE372" i="23"/>
  <c r="AK372" i="23"/>
  <c r="H372" i="23"/>
  <c r="N372" i="23"/>
  <c r="AF372" i="23"/>
  <c r="I372" i="23"/>
  <c r="AG372" i="23"/>
  <c r="AM372" i="23"/>
  <c r="D372" i="23"/>
  <c r="J372" i="23"/>
  <c r="P372" i="23"/>
  <c r="I318" i="23"/>
  <c r="AG318" i="23"/>
  <c r="AM318" i="23"/>
  <c r="F318" i="23"/>
  <c r="L318" i="23"/>
  <c r="R318" i="23"/>
  <c r="K318" i="23"/>
  <c r="D318" i="23"/>
  <c r="M318" i="23"/>
  <c r="AE318" i="23"/>
  <c r="E318" i="23"/>
  <c r="N318" i="23"/>
  <c r="AF318" i="23"/>
  <c r="G318" i="23"/>
  <c r="P318" i="23"/>
  <c r="H318" i="23"/>
  <c r="Q318" i="23"/>
  <c r="J318" i="23"/>
  <c r="S318" i="23"/>
  <c r="AK318" i="23"/>
  <c r="H269" i="23"/>
  <c r="N269" i="23"/>
  <c r="AF269" i="23"/>
  <c r="I269" i="23"/>
  <c r="AG269" i="23"/>
  <c r="AM269" i="23"/>
  <c r="D269" i="23"/>
  <c r="J269" i="23"/>
  <c r="P269" i="23"/>
  <c r="E269" i="23"/>
  <c r="K269" i="23"/>
  <c r="Q269" i="23"/>
  <c r="F269" i="23"/>
  <c r="G269" i="23"/>
  <c r="L269" i="23"/>
  <c r="M269" i="23"/>
  <c r="AE269" i="23"/>
  <c r="S269" i="23"/>
  <c r="AK269" i="23"/>
  <c r="R269" i="23"/>
  <c r="F572" i="23"/>
  <c r="L572" i="23"/>
  <c r="R572" i="23"/>
  <c r="G572" i="23"/>
  <c r="M572" i="23"/>
  <c r="S572" i="23"/>
  <c r="AE572" i="23"/>
  <c r="AK572" i="23"/>
  <c r="H572" i="23"/>
  <c r="N572" i="23"/>
  <c r="AF572" i="23"/>
  <c r="I572" i="23"/>
  <c r="AG572" i="23"/>
  <c r="AM572" i="23"/>
  <c r="E572" i="23"/>
  <c r="K572" i="23"/>
  <c r="Q572" i="23"/>
  <c r="D572" i="23"/>
  <c r="J572" i="23"/>
  <c r="P572" i="23"/>
  <c r="F554" i="23"/>
  <c r="L554" i="23"/>
  <c r="R554" i="23"/>
  <c r="G554" i="23"/>
  <c r="M554" i="23"/>
  <c r="S554" i="23"/>
  <c r="AE554" i="23"/>
  <c r="AK554" i="23"/>
  <c r="H554" i="23"/>
  <c r="N554" i="23"/>
  <c r="AF554" i="23"/>
  <c r="I554" i="23"/>
  <c r="AG554" i="23"/>
  <c r="AM554" i="23"/>
  <c r="E554" i="23"/>
  <c r="K554" i="23"/>
  <c r="Q554" i="23"/>
  <c r="J554" i="23"/>
  <c r="P554" i="23"/>
  <c r="D554" i="23"/>
  <c r="F536" i="23"/>
  <c r="L536" i="23"/>
  <c r="R536" i="23"/>
  <c r="G536" i="23"/>
  <c r="M536" i="23"/>
  <c r="S536" i="23"/>
  <c r="AE536" i="23"/>
  <c r="AK536" i="23"/>
  <c r="H536" i="23"/>
  <c r="N536" i="23"/>
  <c r="AF536" i="23"/>
  <c r="I536" i="23"/>
  <c r="AG536" i="23"/>
  <c r="AM536" i="23"/>
  <c r="E536" i="23"/>
  <c r="K536" i="23"/>
  <c r="Q536" i="23"/>
  <c r="D536" i="23"/>
  <c r="J536" i="23"/>
  <c r="P536" i="23"/>
  <c r="F518" i="23"/>
  <c r="L518" i="23"/>
  <c r="R518" i="23"/>
  <c r="H518" i="23"/>
  <c r="I518" i="23"/>
  <c r="P518" i="23"/>
  <c r="AE518" i="23"/>
  <c r="AK518" i="23"/>
  <c r="J518" i="23"/>
  <c r="Q518" i="23"/>
  <c r="AF518" i="23"/>
  <c r="D518" i="23"/>
  <c r="K518" i="23"/>
  <c r="S518" i="23"/>
  <c r="AG518" i="23"/>
  <c r="AM518" i="23"/>
  <c r="E518" i="23"/>
  <c r="M518" i="23"/>
  <c r="G518" i="23"/>
  <c r="N518" i="23"/>
  <c r="H500" i="23"/>
  <c r="N500" i="23"/>
  <c r="AF500" i="23"/>
  <c r="I500" i="23"/>
  <c r="AG500" i="23"/>
  <c r="AM500" i="23"/>
  <c r="D500" i="23"/>
  <c r="J500" i="23"/>
  <c r="P500" i="23"/>
  <c r="E500" i="23"/>
  <c r="K500" i="23"/>
  <c r="Q500" i="23"/>
  <c r="F500" i="23"/>
  <c r="L500" i="23"/>
  <c r="R500" i="23"/>
  <c r="AE500" i="23"/>
  <c r="AK500" i="23"/>
  <c r="G500" i="23"/>
  <c r="M500" i="23"/>
  <c r="S500" i="23"/>
  <c r="G482" i="23"/>
  <c r="M482" i="23"/>
  <c r="S482" i="23"/>
  <c r="AE482" i="23"/>
  <c r="AK482" i="23"/>
  <c r="H482" i="23"/>
  <c r="N482" i="23"/>
  <c r="AF482" i="23"/>
  <c r="I482" i="23"/>
  <c r="AG482" i="23"/>
  <c r="AM482" i="23"/>
  <c r="D482" i="23"/>
  <c r="J482" i="23"/>
  <c r="P482" i="23"/>
  <c r="E482" i="23"/>
  <c r="K482" i="23"/>
  <c r="Q482" i="23"/>
  <c r="F482" i="23"/>
  <c r="L482" i="23"/>
  <c r="R482" i="23"/>
  <c r="E464" i="23"/>
  <c r="K464" i="23"/>
  <c r="Q464" i="23"/>
  <c r="I464" i="23"/>
  <c r="P464" i="23"/>
  <c r="AE464" i="23"/>
  <c r="J464" i="23"/>
  <c r="R464" i="23"/>
  <c r="AF464" i="23"/>
  <c r="AM464" i="23"/>
  <c r="D464" i="23"/>
  <c r="L464" i="23"/>
  <c r="S464" i="23"/>
  <c r="AG464" i="23"/>
  <c r="F464" i="23"/>
  <c r="M464" i="23"/>
  <c r="G464" i="23"/>
  <c r="N464" i="23"/>
  <c r="H464" i="23"/>
  <c r="AK464" i="23"/>
  <c r="F446" i="23"/>
  <c r="L446" i="23"/>
  <c r="R446" i="23"/>
  <c r="I446" i="23"/>
  <c r="AG446" i="23"/>
  <c r="AM446" i="23"/>
  <c r="D446" i="23"/>
  <c r="J446" i="23"/>
  <c r="P446" i="23"/>
  <c r="E446" i="23"/>
  <c r="K446" i="23"/>
  <c r="Q446" i="23"/>
  <c r="G446" i="23"/>
  <c r="H446" i="23"/>
  <c r="M446" i="23"/>
  <c r="AE446" i="23"/>
  <c r="N446" i="23"/>
  <c r="AF446" i="23"/>
  <c r="S446" i="23"/>
  <c r="AK446" i="23"/>
  <c r="H420" i="23"/>
  <c r="N420" i="23"/>
  <c r="AF420" i="23"/>
  <c r="D420" i="23"/>
  <c r="J420" i="23"/>
  <c r="P420" i="23"/>
  <c r="E420" i="23"/>
  <c r="K420" i="23"/>
  <c r="Q420" i="23"/>
  <c r="F420" i="23"/>
  <c r="L420" i="23"/>
  <c r="R420" i="23"/>
  <c r="G420" i="23"/>
  <c r="M420" i="23"/>
  <c r="S420" i="23"/>
  <c r="AE420" i="23"/>
  <c r="AK420" i="23"/>
  <c r="I420" i="23"/>
  <c r="AM420" i="23"/>
  <c r="AG420" i="23"/>
  <c r="E363" i="23"/>
  <c r="K363" i="23"/>
  <c r="Q363" i="23"/>
  <c r="F363" i="23"/>
  <c r="L363" i="23"/>
  <c r="R363" i="23"/>
  <c r="G363" i="23"/>
  <c r="M363" i="23"/>
  <c r="S363" i="23"/>
  <c r="AE363" i="23"/>
  <c r="AK363" i="23"/>
  <c r="H363" i="23"/>
  <c r="N363" i="23"/>
  <c r="AF363" i="23"/>
  <c r="I363" i="23"/>
  <c r="AG363" i="23"/>
  <c r="AM363" i="23"/>
  <c r="D363" i="23"/>
  <c r="J363" i="23"/>
  <c r="P363" i="23"/>
  <c r="F309" i="23"/>
  <c r="L309" i="23"/>
  <c r="R309" i="23"/>
  <c r="I309" i="23"/>
  <c r="AG309" i="23"/>
  <c r="AM309" i="23"/>
  <c r="E309" i="23"/>
  <c r="K309" i="23"/>
  <c r="Q309" i="23"/>
  <c r="N309" i="23"/>
  <c r="D309" i="23"/>
  <c r="P309" i="23"/>
  <c r="G309" i="23"/>
  <c r="S309" i="23"/>
  <c r="AE309" i="23"/>
  <c r="H309" i="23"/>
  <c r="AF309" i="23"/>
  <c r="J309" i="23"/>
  <c r="M309" i="23"/>
  <c r="AK309" i="23"/>
  <c r="G240" i="23"/>
  <c r="M240" i="23"/>
  <c r="S240" i="23"/>
  <c r="AE240" i="23"/>
  <c r="AK240" i="23"/>
  <c r="H240" i="23"/>
  <c r="N240" i="23"/>
  <c r="AF240" i="23"/>
  <c r="I240" i="23"/>
  <c r="AG240" i="23"/>
  <c r="AM240" i="23"/>
  <c r="D240" i="23"/>
  <c r="J240" i="23"/>
  <c r="P240" i="23"/>
  <c r="E240" i="23"/>
  <c r="K240" i="23"/>
  <c r="Q240" i="23"/>
  <c r="F240" i="23"/>
  <c r="L240" i="23"/>
  <c r="R240" i="23"/>
  <c r="I78" i="23"/>
  <c r="AG78" i="23"/>
  <c r="AM78" i="23"/>
  <c r="D78" i="23"/>
  <c r="J78" i="23"/>
  <c r="P78" i="23"/>
  <c r="E78" i="23"/>
  <c r="K78" i="23"/>
  <c r="Q78" i="23"/>
  <c r="F78" i="23"/>
  <c r="L78" i="23"/>
  <c r="R78" i="23"/>
  <c r="H78" i="23"/>
  <c r="N78" i="23"/>
  <c r="AF78" i="23"/>
  <c r="G78" i="23"/>
  <c r="M78" i="23"/>
  <c r="S78" i="23"/>
  <c r="AE78" i="23"/>
  <c r="AK78" i="23"/>
  <c r="G114" i="23"/>
  <c r="M114" i="23"/>
  <c r="S114" i="23"/>
  <c r="AE114" i="23"/>
  <c r="AK114" i="23"/>
  <c r="H114" i="23"/>
  <c r="N114" i="23"/>
  <c r="AF114" i="23"/>
  <c r="I114" i="23"/>
  <c r="AG114" i="23"/>
  <c r="AM114" i="23"/>
  <c r="D114" i="23"/>
  <c r="J114" i="23"/>
  <c r="P114" i="23"/>
  <c r="E114" i="23"/>
  <c r="K114" i="23"/>
  <c r="Q114" i="23"/>
  <c r="F114" i="23"/>
  <c r="L114" i="23"/>
  <c r="R114" i="23"/>
  <c r="H275" i="23"/>
  <c r="N275" i="23"/>
  <c r="AF275" i="23"/>
  <c r="D275" i="23"/>
  <c r="J275" i="23"/>
  <c r="P275" i="23"/>
  <c r="E275" i="23"/>
  <c r="K275" i="23"/>
  <c r="Q275" i="23"/>
  <c r="I275" i="23"/>
  <c r="AG275" i="23"/>
  <c r="L275" i="23"/>
  <c r="M275" i="23"/>
  <c r="AK275" i="23"/>
  <c r="G275" i="23"/>
  <c r="S275" i="23"/>
  <c r="AE275" i="23"/>
  <c r="F275" i="23"/>
  <c r="R275" i="23"/>
  <c r="AM275" i="23"/>
  <c r="D96" i="23"/>
  <c r="J96" i="23"/>
  <c r="P96" i="23"/>
  <c r="E96" i="23"/>
  <c r="K96" i="23"/>
  <c r="Q96" i="23"/>
  <c r="F96" i="23"/>
  <c r="L96" i="23"/>
  <c r="R96" i="23"/>
  <c r="G96" i="23"/>
  <c r="M96" i="23"/>
  <c r="S96" i="23"/>
  <c r="AE96" i="23"/>
  <c r="AK96" i="23"/>
  <c r="H96" i="23"/>
  <c r="N96" i="23"/>
  <c r="AF96" i="23"/>
  <c r="I96" i="23"/>
  <c r="AG96" i="23"/>
  <c r="AM96" i="23"/>
  <c r="H263" i="23"/>
  <c r="N263" i="23"/>
  <c r="AF263" i="23"/>
  <c r="I263" i="23"/>
  <c r="AG263" i="23"/>
  <c r="AM263" i="23"/>
  <c r="D263" i="23"/>
  <c r="J263" i="23"/>
  <c r="P263" i="23"/>
  <c r="E263" i="23"/>
  <c r="K263" i="23"/>
  <c r="Q263" i="23"/>
  <c r="F263" i="23"/>
  <c r="L263" i="23"/>
  <c r="R263" i="23"/>
  <c r="G263" i="23"/>
  <c r="M263" i="23"/>
  <c r="S263" i="23"/>
  <c r="AK263" i="23"/>
  <c r="AE263" i="23"/>
  <c r="I219" i="23"/>
  <c r="AG219" i="23"/>
  <c r="AM219" i="23"/>
  <c r="D219" i="23"/>
  <c r="J219" i="23"/>
  <c r="P219" i="23"/>
  <c r="E219" i="23"/>
  <c r="K219" i="23"/>
  <c r="Q219" i="23"/>
  <c r="G219" i="23"/>
  <c r="M219" i="23"/>
  <c r="S219" i="23"/>
  <c r="AE219" i="23"/>
  <c r="AK219" i="23"/>
  <c r="R219" i="23"/>
  <c r="F219" i="23"/>
  <c r="H219" i="23"/>
  <c r="L219" i="23"/>
  <c r="N219" i="23"/>
  <c r="AF219" i="23"/>
  <c r="F165" i="23"/>
  <c r="L165" i="23"/>
  <c r="R165" i="23"/>
  <c r="G165" i="23"/>
  <c r="M165" i="23"/>
  <c r="S165" i="23"/>
  <c r="AE165" i="23"/>
  <c r="AK165" i="23"/>
  <c r="H165" i="23"/>
  <c r="N165" i="23"/>
  <c r="AF165" i="23"/>
  <c r="I165" i="23"/>
  <c r="AG165" i="23"/>
  <c r="AM165" i="23"/>
  <c r="D165" i="23"/>
  <c r="J165" i="23"/>
  <c r="P165" i="23"/>
  <c r="E165" i="23"/>
  <c r="K165" i="23"/>
  <c r="Q165" i="23"/>
  <c r="D111" i="23"/>
  <c r="J111" i="23"/>
  <c r="P111" i="23"/>
  <c r="H111" i="23"/>
  <c r="I111" i="23"/>
  <c r="Q111" i="23"/>
  <c r="K111" i="23"/>
  <c r="R111" i="23"/>
  <c r="E111" i="23"/>
  <c r="L111" i="23"/>
  <c r="S111" i="23"/>
  <c r="AE111" i="23"/>
  <c r="AK111" i="23"/>
  <c r="F111" i="23"/>
  <c r="M111" i="23"/>
  <c r="AF111" i="23"/>
  <c r="G111" i="23"/>
  <c r="N111" i="23"/>
  <c r="AG111" i="23"/>
  <c r="AM111" i="23"/>
  <c r="E57" i="23"/>
  <c r="K57" i="23"/>
  <c r="Q57" i="23"/>
  <c r="G57" i="23"/>
  <c r="M57" i="23"/>
  <c r="S57" i="23"/>
  <c r="AE57" i="23"/>
  <c r="AK57" i="23"/>
  <c r="I57" i="23"/>
  <c r="AG57" i="23"/>
  <c r="AM57" i="23"/>
  <c r="N57" i="23"/>
  <c r="D57" i="23"/>
  <c r="P57" i="23"/>
  <c r="F57" i="23"/>
  <c r="R57" i="23"/>
  <c r="H57" i="23"/>
  <c r="AF57" i="23"/>
  <c r="L57" i="23"/>
  <c r="J57" i="23"/>
  <c r="D243" i="23"/>
  <c r="J243" i="23"/>
  <c r="P243" i="23"/>
  <c r="E243" i="23"/>
  <c r="K243" i="23"/>
  <c r="Q243" i="23"/>
  <c r="F243" i="23"/>
  <c r="L243" i="23"/>
  <c r="R243" i="23"/>
  <c r="G243" i="23"/>
  <c r="M243" i="23"/>
  <c r="S243" i="23"/>
  <c r="AE243" i="23"/>
  <c r="AK243" i="23"/>
  <c r="H243" i="23"/>
  <c r="N243" i="23"/>
  <c r="AF243" i="23"/>
  <c r="I243" i="23"/>
  <c r="AG243" i="23"/>
  <c r="AM243" i="23"/>
  <c r="G189" i="23"/>
  <c r="M189" i="23"/>
  <c r="S189" i="23"/>
  <c r="AE189" i="23"/>
  <c r="AK189" i="23"/>
  <c r="H189" i="23"/>
  <c r="N189" i="23"/>
  <c r="AF189" i="23"/>
  <c r="E189" i="23"/>
  <c r="K189" i="23"/>
  <c r="Q189" i="23"/>
  <c r="F189" i="23"/>
  <c r="R189" i="23"/>
  <c r="I189" i="23"/>
  <c r="AG189" i="23"/>
  <c r="J189" i="23"/>
  <c r="L189" i="23"/>
  <c r="D189" i="23"/>
  <c r="P189" i="23"/>
  <c r="AM189" i="23"/>
  <c r="F135" i="23"/>
  <c r="L135" i="23"/>
  <c r="R135" i="23"/>
  <c r="I135" i="23"/>
  <c r="AG135" i="23"/>
  <c r="AM135" i="23"/>
  <c r="D135" i="23"/>
  <c r="M135" i="23"/>
  <c r="AE135" i="23"/>
  <c r="E135" i="23"/>
  <c r="N135" i="23"/>
  <c r="AF135" i="23"/>
  <c r="G135" i="23"/>
  <c r="P135" i="23"/>
  <c r="H135" i="23"/>
  <c r="Q135" i="23"/>
  <c r="J135" i="23"/>
  <c r="S135" i="23"/>
  <c r="K135" i="23"/>
  <c r="AK135" i="23"/>
  <c r="F81" i="23"/>
  <c r="L81" i="23"/>
  <c r="R81" i="23"/>
  <c r="G81" i="23"/>
  <c r="M81" i="23"/>
  <c r="S81" i="23"/>
  <c r="AE81" i="23"/>
  <c r="AK81" i="23"/>
  <c r="H81" i="23"/>
  <c r="N81" i="23"/>
  <c r="AF81" i="23"/>
  <c r="I81" i="23"/>
  <c r="AG81" i="23"/>
  <c r="AM81" i="23"/>
  <c r="E81" i="23"/>
  <c r="K81" i="23"/>
  <c r="Q81" i="23"/>
  <c r="D81" i="23"/>
  <c r="J81" i="23"/>
  <c r="P81" i="23"/>
  <c r="D27" i="23"/>
  <c r="J27" i="23"/>
  <c r="P27" i="23"/>
  <c r="E27" i="23"/>
  <c r="K27" i="23"/>
  <c r="Q27" i="23"/>
  <c r="F27" i="23"/>
  <c r="L27" i="23"/>
  <c r="R27" i="23"/>
  <c r="G27" i="23"/>
  <c r="M27" i="23"/>
  <c r="S27" i="23"/>
  <c r="AE27" i="23"/>
  <c r="AK27" i="23"/>
  <c r="I27" i="23"/>
  <c r="AG27" i="23"/>
  <c r="AM27" i="23"/>
  <c r="H27" i="23"/>
  <c r="N27" i="23"/>
  <c r="AF27" i="23"/>
  <c r="H221" i="23"/>
  <c r="N221" i="23"/>
  <c r="AF221" i="23"/>
  <c r="I221" i="23"/>
  <c r="AG221" i="23"/>
  <c r="AM221" i="23"/>
  <c r="E221" i="23"/>
  <c r="K221" i="23"/>
  <c r="Q221" i="23"/>
  <c r="F221" i="23"/>
  <c r="R221" i="23"/>
  <c r="G221" i="23"/>
  <c r="S221" i="23"/>
  <c r="AE221" i="23"/>
  <c r="J221" i="23"/>
  <c r="L221" i="23"/>
  <c r="M221" i="23"/>
  <c r="AK221" i="23"/>
  <c r="D221" i="23"/>
  <c r="P221" i="23"/>
  <c r="D167" i="23"/>
  <c r="J167" i="23"/>
  <c r="P167" i="23"/>
  <c r="E167" i="23"/>
  <c r="K167" i="23"/>
  <c r="Q167" i="23"/>
  <c r="F167" i="23"/>
  <c r="L167" i="23"/>
  <c r="R167" i="23"/>
  <c r="G167" i="23"/>
  <c r="M167" i="23"/>
  <c r="S167" i="23"/>
  <c r="AE167" i="23"/>
  <c r="AK167" i="23"/>
  <c r="H167" i="23"/>
  <c r="N167" i="23"/>
  <c r="AF167" i="23"/>
  <c r="I167" i="23"/>
  <c r="AG167" i="23"/>
  <c r="AM167" i="23"/>
  <c r="H113" i="23"/>
  <c r="N113" i="23"/>
  <c r="AF113" i="23"/>
  <c r="I113" i="23"/>
  <c r="AG113" i="23"/>
  <c r="AM113" i="23"/>
  <c r="D113" i="23"/>
  <c r="J113" i="23"/>
  <c r="P113" i="23"/>
  <c r="E113" i="23"/>
  <c r="K113" i="23"/>
  <c r="Q113" i="23"/>
  <c r="F113" i="23"/>
  <c r="L113" i="23"/>
  <c r="R113" i="23"/>
  <c r="G113" i="23"/>
  <c r="M113" i="23"/>
  <c r="S113" i="23"/>
  <c r="AE113" i="23"/>
  <c r="AK113" i="23"/>
  <c r="I59" i="23"/>
  <c r="AG59" i="23"/>
  <c r="AM59" i="23"/>
  <c r="E59" i="23"/>
  <c r="K59" i="23"/>
  <c r="Q59" i="23"/>
  <c r="G59" i="23"/>
  <c r="M59" i="23"/>
  <c r="S59" i="23"/>
  <c r="AE59" i="23"/>
  <c r="AK59" i="23"/>
  <c r="H59" i="23"/>
  <c r="AF59" i="23"/>
  <c r="J59" i="23"/>
  <c r="L59" i="23"/>
  <c r="N59" i="23"/>
  <c r="F59" i="23"/>
  <c r="R59" i="23"/>
  <c r="P59" i="23"/>
  <c r="D59" i="23"/>
  <c r="H5" i="23"/>
  <c r="N5" i="23"/>
  <c r="AF5" i="23"/>
  <c r="I5" i="23"/>
  <c r="AG5" i="23"/>
  <c r="AM5" i="23"/>
  <c r="D5" i="23"/>
  <c r="J5" i="23"/>
  <c r="P5" i="23"/>
  <c r="E5" i="23"/>
  <c r="K5" i="23"/>
  <c r="Q5" i="23"/>
  <c r="F5" i="23"/>
  <c r="L5" i="23"/>
  <c r="R5" i="23"/>
  <c r="AE5" i="23"/>
  <c r="AK5" i="23"/>
  <c r="G5" i="23"/>
  <c r="S5" i="23"/>
  <c r="M5" i="23"/>
  <c r="H195" i="23"/>
  <c r="N195" i="23"/>
  <c r="AF195" i="23"/>
  <c r="I195" i="23"/>
  <c r="AG195" i="23"/>
  <c r="AM195" i="23"/>
  <c r="D195" i="23"/>
  <c r="J195" i="23"/>
  <c r="P195" i="23"/>
  <c r="E195" i="23"/>
  <c r="K195" i="23"/>
  <c r="Q195" i="23"/>
  <c r="F195" i="23"/>
  <c r="L195" i="23"/>
  <c r="R195" i="23"/>
  <c r="G195" i="23"/>
  <c r="M195" i="23"/>
  <c r="S195" i="23"/>
  <c r="AE195" i="23"/>
  <c r="AK195" i="23"/>
  <c r="H141" i="23"/>
  <c r="N141" i="23"/>
  <c r="AF141" i="23"/>
  <c r="I141" i="23"/>
  <c r="AG141" i="23"/>
  <c r="AM141" i="23"/>
  <c r="D141" i="23"/>
  <c r="J141" i="23"/>
  <c r="P141" i="23"/>
  <c r="E141" i="23"/>
  <c r="K141" i="23"/>
  <c r="Q141" i="23"/>
  <c r="F141" i="23"/>
  <c r="L141" i="23"/>
  <c r="R141" i="23"/>
  <c r="G141" i="23"/>
  <c r="M141" i="23"/>
  <c r="S141" i="23"/>
  <c r="AE141" i="23"/>
  <c r="AK141" i="23"/>
  <c r="E87" i="23"/>
  <c r="K87" i="23"/>
  <c r="Q87" i="23"/>
  <c r="G87" i="23"/>
  <c r="N87" i="23"/>
  <c r="H87" i="23"/>
  <c r="AK87" i="23"/>
  <c r="I87" i="23"/>
  <c r="P87" i="23"/>
  <c r="AE87" i="23"/>
  <c r="J87" i="23"/>
  <c r="R87" i="23"/>
  <c r="AF87" i="23"/>
  <c r="AM87" i="23"/>
  <c r="D87" i="23"/>
  <c r="L87" i="23"/>
  <c r="S87" i="23"/>
  <c r="AG87" i="23"/>
  <c r="F87" i="23"/>
  <c r="M87" i="23"/>
  <c r="D33" i="23"/>
  <c r="J33" i="23"/>
  <c r="P33" i="23"/>
  <c r="E33" i="23"/>
  <c r="K33" i="23"/>
  <c r="Q33" i="23"/>
  <c r="F33" i="23"/>
  <c r="L33" i="23"/>
  <c r="R33" i="23"/>
  <c r="G33" i="23"/>
  <c r="M33" i="23"/>
  <c r="S33" i="23"/>
  <c r="AE33" i="23"/>
  <c r="AK33" i="23"/>
  <c r="I33" i="23"/>
  <c r="AG33" i="23"/>
  <c r="AM33" i="23"/>
  <c r="H33" i="23"/>
  <c r="N33" i="23"/>
  <c r="AF33" i="23"/>
  <c r="D424" i="23"/>
  <c r="J424" i="23"/>
  <c r="P424" i="23"/>
  <c r="F424" i="23"/>
  <c r="L424" i="23"/>
  <c r="R424" i="23"/>
  <c r="G424" i="23"/>
  <c r="M424" i="23"/>
  <c r="S424" i="23"/>
  <c r="AE424" i="23"/>
  <c r="AK424" i="23"/>
  <c r="H424" i="23"/>
  <c r="N424" i="23"/>
  <c r="AF424" i="23"/>
  <c r="I424" i="23"/>
  <c r="AG424" i="23"/>
  <c r="AM424" i="23"/>
  <c r="E424" i="23"/>
  <c r="K424" i="23"/>
  <c r="Q424" i="23"/>
  <c r="F406" i="23"/>
  <c r="L406" i="23"/>
  <c r="R406" i="23"/>
  <c r="H406" i="23"/>
  <c r="AK406" i="23"/>
  <c r="J406" i="23"/>
  <c r="Q406" i="23"/>
  <c r="AF406" i="23"/>
  <c r="AM406" i="23"/>
  <c r="D406" i="23"/>
  <c r="K406" i="23"/>
  <c r="S406" i="23"/>
  <c r="AG406" i="23"/>
  <c r="E406" i="23"/>
  <c r="M406" i="23"/>
  <c r="G406" i="23"/>
  <c r="N406" i="23"/>
  <c r="P406" i="23"/>
  <c r="AE406" i="23"/>
  <c r="I406" i="23"/>
  <c r="G388" i="23"/>
  <c r="M388" i="23"/>
  <c r="S388" i="23"/>
  <c r="AE388" i="23"/>
  <c r="AK388" i="23"/>
  <c r="I388" i="23"/>
  <c r="D388" i="23"/>
  <c r="J388" i="23"/>
  <c r="P388" i="23"/>
  <c r="E388" i="23"/>
  <c r="K388" i="23"/>
  <c r="Q388" i="23"/>
  <c r="F388" i="23"/>
  <c r="L388" i="23"/>
  <c r="R388" i="23"/>
  <c r="H388" i="23"/>
  <c r="N388" i="23"/>
  <c r="AF388" i="23"/>
  <c r="AG388" i="23"/>
  <c r="AM388" i="23"/>
  <c r="G367" i="23"/>
  <c r="M367" i="23"/>
  <c r="S367" i="23"/>
  <c r="AE367" i="23"/>
  <c r="AK367" i="23"/>
  <c r="I367" i="23"/>
  <c r="P367" i="23"/>
  <c r="J367" i="23"/>
  <c r="Q367" i="23"/>
  <c r="AF367" i="23"/>
  <c r="AM367" i="23"/>
  <c r="D367" i="23"/>
  <c r="K367" i="23"/>
  <c r="R367" i="23"/>
  <c r="AG367" i="23"/>
  <c r="E367" i="23"/>
  <c r="L367" i="23"/>
  <c r="F367" i="23"/>
  <c r="N367" i="23"/>
  <c r="H367" i="23"/>
  <c r="G349" i="23"/>
  <c r="M349" i="23"/>
  <c r="S349" i="23"/>
  <c r="AE349" i="23"/>
  <c r="AK349" i="23"/>
  <c r="H349" i="23"/>
  <c r="N349" i="23"/>
  <c r="AF349" i="23"/>
  <c r="I349" i="23"/>
  <c r="AG349" i="23"/>
  <c r="AM349" i="23"/>
  <c r="D349" i="23"/>
  <c r="J349" i="23"/>
  <c r="P349" i="23"/>
  <c r="E349" i="23"/>
  <c r="K349" i="23"/>
  <c r="Q349" i="23"/>
  <c r="F349" i="23"/>
  <c r="L349" i="23"/>
  <c r="R349" i="23"/>
  <c r="E331" i="23"/>
  <c r="K331" i="23"/>
  <c r="Q331" i="23"/>
  <c r="J331" i="23"/>
  <c r="R331" i="23"/>
  <c r="AF331" i="23"/>
  <c r="AM331" i="23"/>
  <c r="D331" i="23"/>
  <c r="L331" i="23"/>
  <c r="S331" i="23"/>
  <c r="AG331" i="23"/>
  <c r="F331" i="23"/>
  <c r="M331" i="23"/>
  <c r="G331" i="23"/>
  <c r="N331" i="23"/>
  <c r="H331" i="23"/>
  <c r="AK331" i="23"/>
  <c r="I331" i="23"/>
  <c r="P331" i="23"/>
  <c r="AE331" i="23"/>
  <c r="H313" i="23"/>
  <c r="N313" i="23"/>
  <c r="AF313" i="23"/>
  <c r="E313" i="23"/>
  <c r="K313" i="23"/>
  <c r="Q313" i="23"/>
  <c r="G313" i="23"/>
  <c r="M313" i="23"/>
  <c r="S313" i="23"/>
  <c r="AE313" i="23"/>
  <c r="AK313" i="23"/>
  <c r="D313" i="23"/>
  <c r="P313" i="23"/>
  <c r="AM313" i="23"/>
  <c r="F313" i="23"/>
  <c r="R313" i="23"/>
  <c r="I313" i="23"/>
  <c r="AG313" i="23"/>
  <c r="J313" i="23"/>
  <c r="L313" i="23"/>
  <c r="H295" i="23"/>
  <c r="N295" i="23"/>
  <c r="AF295" i="23"/>
  <c r="D295" i="23"/>
  <c r="J295" i="23"/>
  <c r="P295" i="23"/>
  <c r="E295" i="23"/>
  <c r="K295" i="23"/>
  <c r="Q295" i="23"/>
  <c r="G295" i="23"/>
  <c r="M295" i="23"/>
  <c r="S295" i="23"/>
  <c r="AE295" i="23"/>
  <c r="AK295" i="23"/>
  <c r="AG295" i="23"/>
  <c r="R295" i="23"/>
  <c r="F295" i="23"/>
  <c r="AM295" i="23"/>
  <c r="I295" i="23"/>
  <c r="L295" i="23"/>
  <c r="H277" i="23"/>
  <c r="N277" i="23"/>
  <c r="AF277" i="23"/>
  <c r="I277" i="23"/>
  <c r="AG277" i="23"/>
  <c r="AM277" i="23"/>
  <c r="K277" i="23"/>
  <c r="S277" i="23"/>
  <c r="AK277" i="23"/>
  <c r="D277" i="23"/>
  <c r="L277" i="23"/>
  <c r="E277" i="23"/>
  <c r="M277" i="23"/>
  <c r="AE277" i="23"/>
  <c r="F277" i="23"/>
  <c r="P277" i="23"/>
  <c r="J277" i="23"/>
  <c r="R277" i="23"/>
  <c r="G277" i="23"/>
  <c r="Q277" i="23"/>
  <c r="F259" i="23"/>
  <c r="L259" i="23"/>
  <c r="R259" i="23"/>
  <c r="G259" i="23"/>
  <c r="M259" i="23"/>
  <c r="S259" i="23"/>
  <c r="AE259" i="23"/>
  <c r="AK259" i="23"/>
  <c r="H259" i="23"/>
  <c r="N259" i="23"/>
  <c r="AF259" i="23"/>
  <c r="I259" i="23"/>
  <c r="AG259" i="23"/>
  <c r="AM259" i="23"/>
  <c r="D259" i="23"/>
  <c r="J259" i="23"/>
  <c r="P259" i="23"/>
  <c r="E259" i="23"/>
  <c r="K259" i="23"/>
  <c r="Q259" i="23"/>
  <c r="F209" i="23"/>
  <c r="L209" i="23"/>
  <c r="R209" i="23"/>
  <c r="G209" i="23"/>
  <c r="M209" i="23"/>
  <c r="S209" i="23"/>
  <c r="AE209" i="23"/>
  <c r="AK209" i="23"/>
  <c r="H209" i="23"/>
  <c r="N209" i="23"/>
  <c r="AF209" i="23"/>
  <c r="I209" i="23"/>
  <c r="AG209" i="23"/>
  <c r="AM209" i="23"/>
  <c r="D209" i="23"/>
  <c r="J209" i="23"/>
  <c r="P209" i="23"/>
  <c r="E209" i="23"/>
  <c r="K209" i="23"/>
  <c r="Q209" i="23"/>
  <c r="F155" i="23"/>
  <c r="L155" i="23"/>
  <c r="R155" i="23"/>
  <c r="G155" i="23"/>
  <c r="M155" i="23"/>
  <c r="S155" i="23"/>
  <c r="AE155" i="23"/>
  <c r="AK155" i="23"/>
  <c r="H155" i="23"/>
  <c r="N155" i="23"/>
  <c r="AF155" i="23"/>
  <c r="I155" i="23"/>
  <c r="AG155" i="23"/>
  <c r="AM155" i="23"/>
  <c r="D155" i="23"/>
  <c r="J155" i="23"/>
  <c r="P155" i="23"/>
  <c r="E155" i="23"/>
  <c r="K155" i="23"/>
  <c r="Q155" i="23"/>
  <c r="E101" i="23"/>
  <c r="K101" i="23"/>
  <c r="Q101" i="23"/>
  <c r="F101" i="23"/>
  <c r="L101" i="23"/>
  <c r="R101" i="23"/>
  <c r="G101" i="23"/>
  <c r="M101" i="23"/>
  <c r="S101" i="23"/>
  <c r="AE101" i="23"/>
  <c r="AK101" i="23"/>
  <c r="H101" i="23"/>
  <c r="N101" i="23"/>
  <c r="AF101" i="23"/>
  <c r="D101" i="23"/>
  <c r="J101" i="23"/>
  <c r="P101" i="23"/>
  <c r="I101" i="23"/>
  <c r="AM101" i="23"/>
  <c r="AG101" i="23"/>
  <c r="H47" i="23"/>
  <c r="N47" i="23"/>
  <c r="AF47" i="23"/>
  <c r="D47" i="23"/>
  <c r="J47" i="23"/>
  <c r="P47" i="23"/>
  <c r="E47" i="23"/>
  <c r="K47" i="23"/>
  <c r="Q47" i="23"/>
  <c r="G47" i="23"/>
  <c r="M47" i="23"/>
  <c r="S47" i="23"/>
  <c r="AE47" i="23"/>
  <c r="AK47" i="23"/>
  <c r="F47" i="23"/>
  <c r="AM47" i="23"/>
  <c r="I47" i="23"/>
  <c r="L47" i="23"/>
  <c r="AG47" i="23"/>
  <c r="R47" i="23"/>
  <c r="F253" i="23"/>
  <c r="L253" i="23"/>
  <c r="R253" i="23"/>
  <c r="G253" i="23"/>
  <c r="M253" i="23"/>
  <c r="S253" i="23"/>
  <c r="AE253" i="23"/>
  <c r="AK253" i="23"/>
  <c r="H253" i="23"/>
  <c r="N253" i="23"/>
  <c r="AF253" i="23"/>
  <c r="I253" i="23"/>
  <c r="AG253" i="23"/>
  <c r="AM253" i="23"/>
  <c r="D253" i="23"/>
  <c r="J253" i="23"/>
  <c r="P253" i="23"/>
  <c r="E253" i="23"/>
  <c r="K253" i="23"/>
  <c r="Q253" i="23"/>
  <c r="F235" i="23"/>
  <c r="L235" i="23"/>
  <c r="R235" i="23"/>
  <c r="G235" i="23"/>
  <c r="M235" i="23"/>
  <c r="S235" i="23"/>
  <c r="AE235" i="23"/>
  <c r="AK235" i="23"/>
  <c r="H235" i="23"/>
  <c r="N235" i="23"/>
  <c r="AF235" i="23"/>
  <c r="I235" i="23"/>
  <c r="AG235" i="23"/>
  <c r="AM235" i="23"/>
  <c r="D235" i="23"/>
  <c r="J235" i="23"/>
  <c r="P235" i="23"/>
  <c r="E235" i="23"/>
  <c r="K235" i="23"/>
  <c r="Q235" i="23"/>
  <c r="D217" i="23"/>
  <c r="J217" i="23"/>
  <c r="P217" i="23"/>
  <c r="E217" i="23"/>
  <c r="K217" i="23"/>
  <c r="Q217" i="23"/>
  <c r="F217" i="23"/>
  <c r="L217" i="23"/>
  <c r="R217" i="23"/>
  <c r="G217" i="23"/>
  <c r="M217" i="23"/>
  <c r="S217" i="23"/>
  <c r="AE217" i="23"/>
  <c r="AK217" i="23"/>
  <c r="I217" i="23"/>
  <c r="AG217" i="23"/>
  <c r="AM217" i="23"/>
  <c r="H217" i="23"/>
  <c r="N217" i="23"/>
  <c r="AF217" i="23"/>
  <c r="D199" i="23"/>
  <c r="J199" i="23"/>
  <c r="P199" i="23"/>
  <c r="E199" i="23"/>
  <c r="K199" i="23"/>
  <c r="Q199" i="23"/>
  <c r="F199" i="23"/>
  <c r="L199" i="23"/>
  <c r="R199" i="23"/>
  <c r="G199" i="23"/>
  <c r="M199" i="23"/>
  <c r="S199" i="23"/>
  <c r="AE199" i="23"/>
  <c r="AK199" i="23"/>
  <c r="H199" i="23"/>
  <c r="N199" i="23"/>
  <c r="AF199" i="23"/>
  <c r="I199" i="23"/>
  <c r="AG199" i="23"/>
  <c r="AM199" i="23"/>
  <c r="H181" i="23"/>
  <c r="N181" i="23"/>
  <c r="AF181" i="23"/>
  <c r="I181" i="23"/>
  <c r="AG181" i="23"/>
  <c r="AM181" i="23"/>
  <c r="D181" i="23"/>
  <c r="J181" i="23"/>
  <c r="P181" i="23"/>
  <c r="E181" i="23"/>
  <c r="K181" i="23"/>
  <c r="Q181" i="23"/>
  <c r="G181" i="23"/>
  <c r="M181" i="23"/>
  <c r="S181" i="23"/>
  <c r="AE181" i="23"/>
  <c r="AK181" i="23"/>
  <c r="R181" i="23"/>
  <c r="F181" i="23"/>
  <c r="L181" i="23"/>
  <c r="I163" i="23"/>
  <c r="AG163" i="23"/>
  <c r="AM163" i="23"/>
  <c r="J163" i="23"/>
  <c r="Q163" i="23"/>
  <c r="AE163" i="23"/>
  <c r="D163" i="23"/>
  <c r="K163" i="23"/>
  <c r="R163" i="23"/>
  <c r="AF163" i="23"/>
  <c r="E163" i="23"/>
  <c r="L163" i="23"/>
  <c r="S163" i="23"/>
  <c r="F163" i="23"/>
  <c r="M163" i="23"/>
  <c r="G163" i="23"/>
  <c r="N163" i="23"/>
  <c r="H163" i="23"/>
  <c r="P163" i="23"/>
  <c r="AK163" i="23"/>
  <c r="D145" i="23"/>
  <c r="J145" i="23"/>
  <c r="P145" i="23"/>
  <c r="E145" i="23"/>
  <c r="K145" i="23"/>
  <c r="Q145" i="23"/>
  <c r="F145" i="23"/>
  <c r="L145" i="23"/>
  <c r="R145" i="23"/>
  <c r="G145" i="23"/>
  <c r="M145" i="23"/>
  <c r="S145" i="23"/>
  <c r="AE145" i="23"/>
  <c r="AK145" i="23"/>
  <c r="H145" i="23"/>
  <c r="N145" i="23"/>
  <c r="AF145" i="23"/>
  <c r="I145" i="23"/>
  <c r="AG145" i="23"/>
  <c r="AM145" i="23"/>
  <c r="F127" i="23"/>
  <c r="L127" i="23"/>
  <c r="R127" i="23"/>
  <c r="H127" i="23"/>
  <c r="N127" i="23"/>
  <c r="AF127" i="23"/>
  <c r="I127" i="23"/>
  <c r="AG127" i="23"/>
  <c r="AM127" i="23"/>
  <c r="D127" i="23"/>
  <c r="J127" i="23"/>
  <c r="P127" i="23"/>
  <c r="E127" i="23"/>
  <c r="K127" i="23"/>
  <c r="Q127" i="23"/>
  <c r="AE127" i="23"/>
  <c r="AK127" i="23"/>
  <c r="G127" i="23"/>
  <c r="M127" i="23"/>
  <c r="S127" i="23"/>
  <c r="F109" i="23"/>
  <c r="L109" i="23"/>
  <c r="R109" i="23"/>
  <c r="H109" i="23"/>
  <c r="N109" i="23"/>
  <c r="AF109" i="23"/>
  <c r="D109" i="23"/>
  <c r="M109" i="23"/>
  <c r="AE109" i="23"/>
  <c r="AM109" i="23"/>
  <c r="E109" i="23"/>
  <c r="AG109" i="23"/>
  <c r="G109" i="23"/>
  <c r="P109" i="23"/>
  <c r="I109" i="23"/>
  <c r="Q109" i="23"/>
  <c r="J109" i="23"/>
  <c r="S109" i="23"/>
  <c r="AK109" i="23"/>
  <c r="K109" i="23"/>
  <c r="I91" i="23"/>
  <c r="AG91" i="23"/>
  <c r="AM91" i="23"/>
  <c r="D91" i="23"/>
  <c r="J91" i="23"/>
  <c r="P91" i="23"/>
  <c r="E91" i="23"/>
  <c r="K91" i="23"/>
  <c r="Q91" i="23"/>
  <c r="F91" i="23"/>
  <c r="L91" i="23"/>
  <c r="R91" i="23"/>
  <c r="G91" i="23"/>
  <c r="M91" i="23"/>
  <c r="S91" i="23"/>
  <c r="AE91" i="23"/>
  <c r="AK91" i="23"/>
  <c r="H91" i="23"/>
  <c r="N91" i="23"/>
  <c r="AF91" i="23"/>
  <c r="H73" i="23"/>
  <c r="N73" i="23"/>
  <c r="AF73" i="23"/>
  <c r="I73" i="23"/>
  <c r="AG73" i="23"/>
  <c r="AM73" i="23"/>
  <c r="D73" i="23"/>
  <c r="J73" i="23"/>
  <c r="P73" i="23"/>
  <c r="E73" i="23"/>
  <c r="K73" i="23"/>
  <c r="Q73" i="23"/>
  <c r="G73" i="23"/>
  <c r="M73" i="23"/>
  <c r="S73" i="23"/>
  <c r="AE73" i="23"/>
  <c r="AK73" i="23"/>
  <c r="F73" i="23"/>
  <c r="L73" i="23"/>
  <c r="R73" i="23"/>
  <c r="F55" i="23"/>
  <c r="L55" i="23"/>
  <c r="R55" i="23"/>
  <c r="G55" i="23"/>
  <c r="M55" i="23"/>
  <c r="S55" i="23"/>
  <c r="AE55" i="23"/>
  <c r="AK55" i="23"/>
  <c r="H55" i="23"/>
  <c r="N55" i="23"/>
  <c r="AF55" i="23"/>
  <c r="I55" i="23"/>
  <c r="AG55" i="23"/>
  <c r="AM55" i="23"/>
  <c r="E55" i="23"/>
  <c r="K55" i="23"/>
  <c r="Q55" i="23"/>
  <c r="D55" i="23"/>
  <c r="J55" i="23"/>
  <c r="P55" i="23"/>
  <c r="G37" i="23"/>
  <c r="M37" i="23"/>
  <c r="S37" i="23"/>
  <c r="AE37" i="23"/>
  <c r="AK37" i="23"/>
  <c r="H37" i="23"/>
  <c r="N37" i="23"/>
  <c r="AF37" i="23"/>
  <c r="I37" i="23"/>
  <c r="AG37" i="23"/>
  <c r="AM37" i="23"/>
  <c r="E37" i="23"/>
  <c r="K37" i="23"/>
  <c r="Q37" i="23"/>
  <c r="J37" i="23"/>
  <c r="L37" i="23"/>
  <c r="P37" i="23"/>
  <c r="R37" i="23"/>
  <c r="F37" i="23"/>
  <c r="D37" i="23"/>
  <c r="E19" i="23"/>
  <c r="K19" i="23"/>
  <c r="Q19" i="23"/>
  <c r="J19" i="23"/>
  <c r="R19" i="23"/>
  <c r="AF19" i="23"/>
  <c r="AM19" i="23"/>
  <c r="D19" i="23"/>
  <c r="L19" i="23"/>
  <c r="S19" i="23"/>
  <c r="AG19" i="23"/>
  <c r="F19" i="23"/>
  <c r="M19" i="23"/>
  <c r="G19" i="23"/>
  <c r="N19" i="23"/>
  <c r="I19" i="23"/>
  <c r="P19" i="23"/>
  <c r="AE19" i="23"/>
  <c r="AK19" i="23"/>
  <c r="H19" i="23"/>
  <c r="E272" i="23"/>
  <c r="K272" i="23"/>
  <c r="Q272" i="23"/>
  <c r="G272" i="23"/>
  <c r="M272" i="23"/>
  <c r="S272" i="23"/>
  <c r="AE272" i="23"/>
  <c r="AK272" i="23"/>
  <c r="H272" i="23"/>
  <c r="N272" i="23"/>
  <c r="AF272" i="23"/>
  <c r="D272" i="23"/>
  <c r="P272" i="23"/>
  <c r="AM272" i="23"/>
  <c r="F272" i="23"/>
  <c r="R272" i="23"/>
  <c r="I272" i="23"/>
  <c r="AG272" i="23"/>
  <c r="J272" i="23"/>
  <c r="L272" i="23"/>
  <c r="G439" i="23"/>
  <c r="M439" i="23"/>
  <c r="S439" i="23"/>
  <c r="AE439" i="23"/>
  <c r="AK439" i="23"/>
  <c r="D439" i="23"/>
  <c r="J439" i="23"/>
  <c r="P439" i="23"/>
  <c r="E439" i="23"/>
  <c r="K439" i="23"/>
  <c r="Q439" i="23"/>
  <c r="F439" i="23"/>
  <c r="L439" i="23"/>
  <c r="R439" i="23"/>
  <c r="H439" i="23"/>
  <c r="I439" i="23"/>
  <c r="N439" i="23"/>
  <c r="AF439" i="23"/>
  <c r="AG439" i="23"/>
  <c r="AM439" i="23"/>
  <c r="H576" i="23"/>
  <c r="N576" i="23"/>
  <c r="AF576" i="23"/>
  <c r="I576" i="23"/>
  <c r="AG576" i="23"/>
  <c r="AM576" i="23"/>
  <c r="D576" i="23"/>
  <c r="J576" i="23"/>
  <c r="P576" i="23"/>
  <c r="E576" i="23"/>
  <c r="K576" i="23"/>
  <c r="Q576" i="23"/>
  <c r="G576" i="23"/>
  <c r="M576" i="23"/>
  <c r="S576" i="23"/>
  <c r="AE576" i="23"/>
  <c r="AK576" i="23"/>
  <c r="L576" i="23"/>
  <c r="R576" i="23"/>
  <c r="F576" i="23"/>
  <c r="D344" i="23"/>
  <c r="J344" i="23"/>
  <c r="P344" i="23"/>
  <c r="G344" i="23"/>
  <c r="N344" i="23"/>
  <c r="H344" i="23"/>
  <c r="AK344" i="23"/>
  <c r="I344" i="23"/>
  <c r="Q344" i="23"/>
  <c r="AE344" i="23"/>
  <c r="K344" i="23"/>
  <c r="R344" i="23"/>
  <c r="AF344" i="23"/>
  <c r="AM344" i="23"/>
  <c r="E344" i="23"/>
  <c r="L344" i="23"/>
  <c r="S344" i="23"/>
  <c r="AG344" i="23"/>
  <c r="M344" i="23"/>
  <c r="F344" i="23"/>
  <c r="H540" i="23"/>
  <c r="N540" i="23"/>
  <c r="AF540" i="23"/>
  <c r="I540" i="23"/>
  <c r="AG540" i="23"/>
  <c r="AM540" i="23"/>
  <c r="D540" i="23"/>
  <c r="J540" i="23"/>
  <c r="P540" i="23"/>
  <c r="E540" i="23"/>
  <c r="K540" i="23"/>
  <c r="Q540" i="23"/>
  <c r="G540" i="23"/>
  <c r="M540" i="23"/>
  <c r="S540" i="23"/>
  <c r="AE540" i="23"/>
  <c r="AK540" i="23"/>
  <c r="L540" i="23"/>
  <c r="R540" i="23"/>
  <c r="F540" i="23"/>
  <c r="G577" i="23"/>
  <c r="M577" i="23"/>
  <c r="S577" i="23"/>
  <c r="AE577" i="23"/>
  <c r="AK577" i="23"/>
  <c r="I577" i="23"/>
  <c r="AG577" i="23"/>
  <c r="AM577" i="23"/>
  <c r="D577" i="23"/>
  <c r="J577" i="23"/>
  <c r="P577" i="23"/>
  <c r="F577" i="23"/>
  <c r="L577" i="23"/>
  <c r="R577" i="23"/>
  <c r="E577" i="23"/>
  <c r="H577" i="23"/>
  <c r="K577" i="23"/>
  <c r="N577" i="23"/>
  <c r="AF577" i="23"/>
  <c r="Q577" i="23"/>
  <c r="E505" i="23"/>
  <c r="K505" i="23"/>
  <c r="Q505" i="23"/>
  <c r="G505" i="23"/>
  <c r="M505" i="23"/>
  <c r="S505" i="23"/>
  <c r="AE505" i="23"/>
  <c r="AK505" i="23"/>
  <c r="D505" i="23"/>
  <c r="N505" i="23"/>
  <c r="AF505" i="23"/>
  <c r="F505" i="23"/>
  <c r="AG505" i="23"/>
  <c r="H505" i="23"/>
  <c r="P505" i="23"/>
  <c r="I505" i="23"/>
  <c r="R505" i="23"/>
  <c r="J505" i="23"/>
  <c r="L505" i="23"/>
  <c r="AM505" i="23"/>
  <c r="D562" i="23"/>
  <c r="J562" i="23"/>
  <c r="P562" i="23"/>
  <c r="E562" i="23"/>
  <c r="K562" i="23"/>
  <c r="Q562" i="23"/>
  <c r="F562" i="23"/>
  <c r="L562" i="23"/>
  <c r="R562" i="23"/>
  <c r="G562" i="23"/>
  <c r="M562" i="23"/>
  <c r="S562" i="23"/>
  <c r="AE562" i="23"/>
  <c r="AK562" i="23"/>
  <c r="I562" i="23"/>
  <c r="AG562" i="23"/>
  <c r="AM562" i="23"/>
  <c r="AF562" i="23"/>
  <c r="H562" i="23"/>
  <c r="N562" i="23"/>
  <c r="D508" i="23"/>
  <c r="J508" i="23"/>
  <c r="P508" i="23"/>
  <c r="H508" i="23"/>
  <c r="AK508" i="23"/>
  <c r="I508" i="23"/>
  <c r="Q508" i="23"/>
  <c r="AE508" i="23"/>
  <c r="K508" i="23"/>
  <c r="R508" i="23"/>
  <c r="AF508" i="23"/>
  <c r="AM508" i="23"/>
  <c r="E508" i="23"/>
  <c r="L508" i="23"/>
  <c r="S508" i="23"/>
  <c r="AG508" i="23"/>
  <c r="F508" i="23"/>
  <c r="M508" i="23"/>
  <c r="G508" i="23"/>
  <c r="N508" i="23"/>
  <c r="D454" i="23"/>
  <c r="J454" i="23"/>
  <c r="P454" i="23"/>
  <c r="I454" i="23"/>
  <c r="AG454" i="23"/>
  <c r="AM454" i="23"/>
  <c r="H454" i="23"/>
  <c r="R454" i="23"/>
  <c r="K454" i="23"/>
  <c r="S454" i="23"/>
  <c r="L454" i="23"/>
  <c r="AK454" i="23"/>
  <c r="E454" i="23"/>
  <c r="M454" i="23"/>
  <c r="AE454" i="23"/>
  <c r="F454" i="23"/>
  <c r="N454" i="23"/>
  <c r="AF454" i="23"/>
  <c r="G454" i="23"/>
  <c r="Q454" i="23"/>
  <c r="E390" i="23"/>
  <c r="K390" i="23"/>
  <c r="Q390" i="23"/>
  <c r="H390" i="23"/>
  <c r="N390" i="23"/>
  <c r="AF390" i="23"/>
  <c r="D390" i="23"/>
  <c r="J390" i="23"/>
  <c r="P390" i="23"/>
  <c r="G390" i="23"/>
  <c r="S390" i="23"/>
  <c r="AE390" i="23"/>
  <c r="L390" i="23"/>
  <c r="M390" i="23"/>
  <c r="AK390" i="23"/>
  <c r="F390" i="23"/>
  <c r="R390" i="23"/>
  <c r="AM390" i="23"/>
  <c r="I390" i="23"/>
  <c r="AG390" i="23"/>
  <c r="I306" i="23"/>
  <c r="AG306" i="23"/>
  <c r="AM306" i="23"/>
  <c r="F306" i="23"/>
  <c r="L306" i="23"/>
  <c r="R306" i="23"/>
  <c r="H306" i="23"/>
  <c r="N306" i="23"/>
  <c r="AF306" i="23"/>
  <c r="K306" i="23"/>
  <c r="M306" i="23"/>
  <c r="AK306" i="23"/>
  <c r="D306" i="23"/>
  <c r="P306" i="23"/>
  <c r="E306" i="23"/>
  <c r="Q306" i="23"/>
  <c r="G306" i="23"/>
  <c r="S306" i="23"/>
  <c r="AE306" i="23"/>
  <c r="J306" i="23"/>
  <c r="D586" i="23"/>
  <c r="J586" i="23"/>
  <c r="P586" i="23"/>
  <c r="F586" i="23"/>
  <c r="L586" i="23"/>
  <c r="R586" i="23"/>
  <c r="G586" i="23"/>
  <c r="M586" i="23"/>
  <c r="S586" i="23"/>
  <c r="AE586" i="23"/>
  <c r="AK586" i="23"/>
  <c r="I586" i="23"/>
  <c r="AG586" i="23"/>
  <c r="AM586" i="23"/>
  <c r="H586" i="23"/>
  <c r="K586" i="23"/>
  <c r="N586" i="23"/>
  <c r="AF586" i="23"/>
  <c r="Q586" i="23"/>
  <c r="E586" i="23"/>
  <c r="D532" i="23"/>
  <c r="J532" i="23"/>
  <c r="P532" i="23"/>
  <c r="E532" i="23"/>
  <c r="K532" i="23"/>
  <c r="Q532" i="23"/>
  <c r="F532" i="23"/>
  <c r="L532" i="23"/>
  <c r="R532" i="23"/>
  <c r="G532" i="23"/>
  <c r="M532" i="23"/>
  <c r="S532" i="23"/>
  <c r="AE532" i="23"/>
  <c r="AK532" i="23"/>
  <c r="I532" i="23"/>
  <c r="AG532" i="23"/>
  <c r="AM532" i="23"/>
  <c r="N532" i="23"/>
  <c r="AF532" i="23"/>
  <c r="H532" i="23"/>
  <c r="I478" i="23"/>
  <c r="AG478" i="23"/>
  <c r="AM478" i="23"/>
  <c r="D478" i="23"/>
  <c r="K478" i="23"/>
  <c r="R478" i="23"/>
  <c r="AF478" i="23"/>
  <c r="E478" i="23"/>
  <c r="L478" i="23"/>
  <c r="S478" i="23"/>
  <c r="F478" i="23"/>
  <c r="M478" i="23"/>
  <c r="G478" i="23"/>
  <c r="N478" i="23"/>
  <c r="H478" i="23"/>
  <c r="P478" i="23"/>
  <c r="AK478" i="23"/>
  <c r="J478" i="23"/>
  <c r="Q478" i="23"/>
  <c r="AE478" i="23"/>
  <c r="H416" i="23"/>
  <c r="N416" i="23"/>
  <c r="AF416" i="23"/>
  <c r="I416" i="23"/>
  <c r="P416" i="23"/>
  <c r="AK416" i="23"/>
  <c r="D416" i="23"/>
  <c r="K416" i="23"/>
  <c r="R416" i="23"/>
  <c r="AG416" i="23"/>
  <c r="AM416" i="23"/>
  <c r="E416" i="23"/>
  <c r="L416" i="23"/>
  <c r="S416" i="23"/>
  <c r="F416" i="23"/>
  <c r="M416" i="23"/>
  <c r="G416" i="23"/>
  <c r="AE416" i="23"/>
  <c r="J416" i="23"/>
  <c r="Q416" i="23"/>
  <c r="D332" i="23"/>
  <c r="J332" i="23"/>
  <c r="P332" i="23"/>
  <c r="I332" i="23"/>
  <c r="Q332" i="23"/>
  <c r="AE332" i="23"/>
  <c r="K332" i="23"/>
  <c r="R332" i="23"/>
  <c r="AF332" i="23"/>
  <c r="AM332" i="23"/>
  <c r="E332" i="23"/>
  <c r="L332" i="23"/>
  <c r="S332" i="23"/>
  <c r="AG332" i="23"/>
  <c r="F332" i="23"/>
  <c r="M332" i="23"/>
  <c r="G332" i="23"/>
  <c r="N332" i="23"/>
  <c r="H332" i="23"/>
  <c r="AK332" i="23"/>
  <c r="D267" i="23"/>
  <c r="J267" i="23"/>
  <c r="P267" i="23"/>
  <c r="E267" i="23"/>
  <c r="K267" i="23"/>
  <c r="Q267" i="23"/>
  <c r="F267" i="23"/>
  <c r="L267" i="23"/>
  <c r="R267" i="23"/>
  <c r="G267" i="23"/>
  <c r="M267" i="23"/>
  <c r="S267" i="23"/>
  <c r="AE267" i="23"/>
  <c r="AK267" i="23"/>
  <c r="AG267" i="23"/>
  <c r="AM267" i="23"/>
  <c r="H267" i="23"/>
  <c r="N267" i="23"/>
  <c r="AF267" i="23"/>
  <c r="I267" i="23"/>
  <c r="G571" i="23"/>
  <c r="M571" i="23"/>
  <c r="S571" i="23"/>
  <c r="AE571" i="23"/>
  <c r="AK571" i="23"/>
  <c r="H571" i="23"/>
  <c r="N571" i="23"/>
  <c r="AF571" i="23"/>
  <c r="I571" i="23"/>
  <c r="AG571" i="23"/>
  <c r="AM571" i="23"/>
  <c r="D571" i="23"/>
  <c r="J571" i="23"/>
  <c r="P571" i="23"/>
  <c r="F571" i="23"/>
  <c r="L571" i="23"/>
  <c r="R571" i="23"/>
  <c r="E571" i="23"/>
  <c r="K571" i="23"/>
  <c r="Q571" i="23"/>
  <c r="G517" i="23"/>
  <c r="M517" i="23"/>
  <c r="S517" i="23"/>
  <c r="AE517" i="23"/>
  <c r="AK517" i="23"/>
  <c r="I517" i="23"/>
  <c r="P517" i="23"/>
  <c r="J517" i="23"/>
  <c r="Q517" i="23"/>
  <c r="AF517" i="23"/>
  <c r="AM517" i="23"/>
  <c r="D517" i="23"/>
  <c r="K517" i="23"/>
  <c r="R517" i="23"/>
  <c r="AG517" i="23"/>
  <c r="E517" i="23"/>
  <c r="L517" i="23"/>
  <c r="F517" i="23"/>
  <c r="N517" i="23"/>
  <c r="H517" i="23"/>
  <c r="F463" i="23"/>
  <c r="L463" i="23"/>
  <c r="R463" i="23"/>
  <c r="J463" i="23"/>
  <c r="Q463" i="23"/>
  <c r="AF463" i="23"/>
  <c r="AM463" i="23"/>
  <c r="D463" i="23"/>
  <c r="K463" i="23"/>
  <c r="S463" i="23"/>
  <c r="AG463" i="23"/>
  <c r="E463" i="23"/>
  <c r="M463" i="23"/>
  <c r="G463" i="23"/>
  <c r="N463" i="23"/>
  <c r="H463" i="23"/>
  <c r="AK463" i="23"/>
  <c r="I463" i="23"/>
  <c r="P463" i="23"/>
  <c r="AE463" i="23"/>
  <c r="G411" i="23"/>
  <c r="M411" i="23"/>
  <c r="S411" i="23"/>
  <c r="AE411" i="23"/>
  <c r="AK411" i="23"/>
  <c r="H411" i="23"/>
  <c r="J411" i="23"/>
  <c r="Q411" i="23"/>
  <c r="AF411" i="23"/>
  <c r="AM411" i="23"/>
  <c r="D411" i="23"/>
  <c r="K411" i="23"/>
  <c r="R411" i="23"/>
  <c r="AG411" i="23"/>
  <c r="E411" i="23"/>
  <c r="L411" i="23"/>
  <c r="F411" i="23"/>
  <c r="N411" i="23"/>
  <c r="P411" i="23"/>
  <c r="I411" i="23"/>
  <c r="F362" i="23"/>
  <c r="L362" i="23"/>
  <c r="R362" i="23"/>
  <c r="G362" i="23"/>
  <c r="M362" i="23"/>
  <c r="S362" i="23"/>
  <c r="AE362" i="23"/>
  <c r="AK362" i="23"/>
  <c r="H362" i="23"/>
  <c r="N362" i="23"/>
  <c r="AF362" i="23"/>
  <c r="I362" i="23"/>
  <c r="AG362" i="23"/>
  <c r="AM362" i="23"/>
  <c r="D362" i="23"/>
  <c r="J362" i="23"/>
  <c r="P362" i="23"/>
  <c r="E362" i="23"/>
  <c r="K362" i="23"/>
  <c r="Q362" i="23"/>
  <c r="G308" i="23"/>
  <c r="M308" i="23"/>
  <c r="S308" i="23"/>
  <c r="AE308" i="23"/>
  <c r="AK308" i="23"/>
  <c r="D308" i="23"/>
  <c r="J308" i="23"/>
  <c r="P308" i="23"/>
  <c r="F308" i="23"/>
  <c r="L308" i="23"/>
  <c r="R308" i="23"/>
  <c r="E308" i="23"/>
  <c r="Q308" i="23"/>
  <c r="H308" i="23"/>
  <c r="AF308" i="23"/>
  <c r="I308" i="23"/>
  <c r="AG308" i="23"/>
  <c r="K308" i="23"/>
  <c r="N308" i="23"/>
  <c r="AM308" i="23"/>
  <c r="D574" i="23"/>
  <c r="J574" i="23"/>
  <c r="P574" i="23"/>
  <c r="E574" i="23"/>
  <c r="K574" i="23"/>
  <c r="Q574" i="23"/>
  <c r="F574" i="23"/>
  <c r="L574" i="23"/>
  <c r="R574" i="23"/>
  <c r="G574" i="23"/>
  <c r="M574" i="23"/>
  <c r="S574" i="23"/>
  <c r="AE574" i="23"/>
  <c r="AK574" i="23"/>
  <c r="I574" i="23"/>
  <c r="AG574" i="23"/>
  <c r="AM574" i="23"/>
  <c r="H574" i="23"/>
  <c r="N574" i="23"/>
  <c r="AF574" i="23"/>
  <c r="D520" i="23"/>
  <c r="J520" i="23"/>
  <c r="P520" i="23"/>
  <c r="E520" i="23"/>
  <c r="K520" i="23"/>
  <c r="Q520" i="23"/>
  <c r="F520" i="23"/>
  <c r="L520" i="23"/>
  <c r="R520" i="23"/>
  <c r="G520" i="23"/>
  <c r="M520" i="23"/>
  <c r="S520" i="23"/>
  <c r="AE520" i="23"/>
  <c r="AK520" i="23"/>
  <c r="H520" i="23"/>
  <c r="N520" i="23"/>
  <c r="AF520" i="23"/>
  <c r="I520" i="23"/>
  <c r="AG520" i="23"/>
  <c r="AM520" i="23"/>
  <c r="I466" i="23"/>
  <c r="AG466" i="23"/>
  <c r="AM466" i="23"/>
  <c r="F466" i="23"/>
  <c r="M466" i="23"/>
  <c r="G466" i="23"/>
  <c r="N466" i="23"/>
  <c r="H466" i="23"/>
  <c r="P466" i="23"/>
  <c r="AK466" i="23"/>
  <c r="J466" i="23"/>
  <c r="Q466" i="23"/>
  <c r="AE466" i="23"/>
  <c r="D466" i="23"/>
  <c r="K466" i="23"/>
  <c r="R466" i="23"/>
  <c r="AF466" i="23"/>
  <c r="E466" i="23"/>
  <c r="L466" i="23"/>
  <c r="S466" i="23"/>
  <c r="G399" i="23"/>
  <c r="M399" i="23"/>
  <c r="S399" i="23"/>
  <c r="AE399" i="23"/>
  <c r="AK399" i="23"/>
  <c r="J399" i="23"/>
  <c r="Q399" i="23"/>
  <c r="AF399" i="23"/>
  <c r="AM399" i="23"/>
  <c r="E399" i="23"/>
  <c r="L399" i="23"/>
  <c r="F399" i="23"/>
  <c r="N399" i="23"/>
  <c r="H399" i="23"/>
  <c r="I399" i="23"/>
  <c r="P399" i="23"/>
  <c r="AG399" i="23"/>
  <c r="D399" i="23"/>
  <c r="K399" i="23"/>
  <c r="R399" i="23"/>
  <c r="F315" i="23"/>
  <c r="L315" i="23"/>
  <c r="R315" i="23"/>
  <c r="I315" i="23"/>
  <c r="AG315" i="23"/>
  <c r="AM315" i="23"/>
  <c r="H315" i="23"/>
  <c r="Q315" i="23"/>
  <c r="J315" i="23"/>
  <c r="S315" i="23"/>
  <c r="AK315" i="23"/>
  <c r="K315" i="23"/>
  <c r="D315" i="23"/>
  <c r="M315" i="23"/>
  <c r="AE315" i="23"/>
  <c r="E315" i="23"/>
  <c r="N315" i="23"/>
  <c r="AF315" i="23"/>
  <c r="G315" i="23"/>
  <c r="P315" i="23"/>
  <c r="G480" i="23"/>
  <c r="M480" i="23"/>
  <c r="H480" i="23"/>
  <c r="AG480" i="23"/>
  <c r="AM480" i="23"/>
  <c r="I480" i="23"/>
  <c r="P480" i="23"/>
  <c r="J480" i="23"/>
  <c r="Q480" i="23"/>
  <c r="D480" i="23"/>
  <c r="K480" i="23"/>
  <c r="R480" i="23"/>
  <c r="E480" i="23"/>
  <c r="L480" i="23"/>
  <c r="S480" i="23"/>
  <c r="AE480" i="23"/>
  <c r="AK480" i="23"/>
  <c r="F480" i="23"/>
  <c r="N480" i="23"/>
  <c r="AF480" i="23"/>
  <c r="F422" i="23"/>
  <c r="L422" i="23"/>
  <c r="R422" i="23"/>
  <c r="H422" i="23"/>
  <c r="N422" i="23"/>
  <c r="AF422" i="23"/>
  <c r="I422" i="23"/>
  <c r="AG422" i="23"/>
  <c r="AM422" i="23"/>
  <c r="D422" i="23"/>
  <c r="J422" i="23"/>
  <c r="P422" i="23"/>
  <c r="E422" i="23"/>
  <c r="K422" i="23"/>
  <c r="Q422" i="23"/>
  <c r="M422" i="23"/>
  <c r="S422" i="23"/>
  <c r="AE422" i="23"/>
  <c r="AK422" i="23"/>
  <c r="G422" i="23"/>
  <c r="I365" i="23"/>
  <c r="AG365" i="23"/>
  <c r="AM365" i="23"/>
  <c r="E365" i="23"/>
  <c r="K365" i="23"/>
  <c r="Q365" i="23"/>
  <c r="J365" i="23"/>
  <c r="S365" i="23"/>
  <c r="AK365" i="23"/>
  <c r="L365" i="23"/>
  <c r="D365" i="23"/>
  <c r="M365" i="23"/>
  <c r="AE365" i="23"/>
  <c r="F365" i="23"/>
  <c r="N365" i="23"/>
  <c r="AF365" i="23"/>
  <c r="G365" i="23"/>
  <c r="P365" i="23"/>
  <c r="H365" i="23"/>
  <c r="R365" i="23"/>
  <c r="D311" i="23"/>
  <c r="J311" i="23"/>
  <c r="P311" i="23"/>
  <c r="G311" i="23"/>
  <c r="M311" i="23"/>
  <c r="S311" i="23"/>
  <c r="AE311" i="23"/>
  <c r="AK311" i="23"/>
  <c r="I311" i="23"/>
  <c r="AG311" i="23"/>
  <c r="AM311" i="23"/>
  <c r="H311" i="23"/>
  <c r="AF311" i="23"/>
  <c r="K311" i="23"/>
  <c r="L311" i="23"/>
  <c r="N311" i="23"/>
  <c r="E311" i="23"/>
  <c r="Q311" i="23"/>
  <c r="F311" i="23"/>
  <c r="R311" i="23"/>
  <c r="E260" i="23"/>
  <c r="K260" i="23"/>
  <c r="Q260" i="23"/>
  <c r="F260" i="23"/>
  <c r="L260" i="23"/>
  <c r="R260" i="23"/>
  <c r="G260" i="23"/>
  <c r="M260" i="23"/>
  <c r="S260" i="23"/>
  <c r="AE260" i="23"/>
  <c r="AK260" i="23"/>
  <c r="H260" i="23"/>
  <c r="N260" i="23"/>
  <c r="AF260" i="23"/>
  <c r="I260" i="23"/>
  <c r="AG260" i="23"/>
  <c r="AM260" i="23"/>
  <c r="D260" i="23"/>
  <c r="J260" i="23"/>
  <c r="P260" i="23"/>
  <c r="I587" i="23"/>
  <c r="AG587" i="23"/>
  <c r="AM587" i="23"/>
  <c r="E587" i="23"/>
  <c r="K587" i="23"/>
  <c r="Q587" i="23"/>
  <c r="F587" i="23"/>
  <c r="L587" i="23"/>
  <c r="R587" i="23"/>
  <c r="H587" i="23"/>
  <c r="N587" i="23"/>
  <c r="AF587" i="23"/>
  <c r="S587" i="23"/>
  <c r="AK587" i="23"/>
  <c r="D587" i="23"/>
  <c r="G587" i="23"/>
  <c r="J587" i="23"/>
  <c r="M587" i="23"/>
  <c r="AE587" i="23"/>
  <c r="P587" i="23"/>
  <c r="I569" i="23"/>
  <c r="AG569" i="23"/>
  <c r="AM569" i="23"/>
  <c r="D569" i="23"/>
  <c r="J569" i="23"/>
  <c r="P569" i="23"/>
  <c r="E569" i="23"/>
  <c r="K569" i="23"/>
  <c r="Q569" i="23"/>
  <c r="F569" i="23"/>
  <c r="L569" i="23"/>
  <c r="R569" i="23"/>
  <c r="H569" i="23"/>
  <c r="N569" i="23"/>
  <c r="AF569" i="23"/>
  <c r="G569" i="23"/>
  <c r="AK569" i="23"/>
  <c r="M569" i="23"/>
  <c r="S569" i="23"/>
  <c r="AE569" i="23"/>
  <c r="I551" i="23"/>
  <c r="AG551" i="23"/>
  <c r="AM551" i="23"/>
  <c r="D551" i="23"/>
  <c r="J551" i="23"/>
  <c r="P551" i="23"/>
  <c r="E551" i="23"/>
  <c r="K551" i="23"/>
  <c r="Q551" i="23"/>
  <c r="F551" i="23"/>
  <c r="L551" i="23"/>
  <c r="R551" i="23"/>
  <c r="H551" i="23"/>
  <c r="N551" i="23"/>
  <c r="AF551" i="23"/>
  <c r="S551" i="23"/>
  <c r="AE551" i="23"/>
  <c r="G551" i="23"/>
  <c r="AK551" i="23"/>
  <c r="M551" i="23"/>
  <c r="I533" i="23"/>
  <c r="AG533" i="23"/>
  <c r="AM533" i="23"/>
  <c r="D533" i="23"/>
  <c r="J533" i="23"/>
  <c r="P533" i="23"/>
  <c r="E533" i="23"/>
  <c r="K533" i="23"/>
  <c r="Q533" i="23"/>
  <c r="F533" i="23"/>
  <c r="L533" i="23"/>
  <c r="R533" i="23"/>
  <c r="H533" i="23"/>
  <c r="N533" i="23"/>
  <c r="AF533" i="23"/>
  <c r="G533" i="23"/>
  <c r="AK533" i="23"/>
  <c r="M533" i="23"/>
  <c r="S533" i="23"/>
  <c r="AE533" i="23"/>
  <c r="I515" i="23"/>
  <c r="AG515" i="23"/>
  <c r="AM515" i="23"/>
  <c r="E515" i="23"/>
  <c r="L515" i="23"/>
  <c r="S515" i="23"/>
  <c r="F515" i="23"/>
  <c r="M515" i="23"/>
  <c r="G515" i="23"/>
  <c r="N515" i="23"/>
  <c r="H515" i="23"/>
  <c r="P515" i="23"/>
  <c r="AK515" i="23"/>
  <c r="J515" i="23"/>
  <c r="Q515" i="23"/>
  <c r="AE515" i="23"/>
  <c r="D515" i="23"/>
  <c r="K515" i="23"/>
  <c r="R515" i="23"/>
  <c r="AF515" i="23"/>
  <c r="D497" i="23"/>
  <c r="J497" i="23"/>
  <c r="P497" i="23"/>
  <c r="E497" i="23"/>
  <c r="K497" i="23"/>
  <c r="Q497" i="23"/>
  <c r="F497" i="23"/>
  <c r="L497" i="23"/>
  <c r="R497" i="23"/>
  <c r="G497" i="23"/>
  <c r="M497" i="23"/>
  <c r="S497" i="23"/>
  <c r="AE497" i="23"/>
  <c r="AK497" i="23"/>
  <c r="H497" i="23"/>
  <c r="N497" i="23"/>
  <c r="AF497" i="23"/>
  <c r="I497" i="23"/>
  <c r="AG497" i="23"/>
  <c r="AM497" i="23"/>
  <c r="H479" i="23"/>
  <c r="N479" i="23"/>
  <c r="AF479" i="23"/>
  <c r="J479" i="23"/>
  <c r="Q479" i="23"/>
  <c r="AE479" i="23"/>
  <c r="D479" i="23"/>
  <c r="K479" i="23"/>
  <c r="R479" i="23"/>
  <c r="AG479" i="23"/>
  <c r="AM479" i="23"/>
  <c r="E479" i="23"/>
  <c r="L479" i="23"/>
  <c r="S479" i="23"/>
  <c r="F479" i="23"/>
  <c r="M479" i="23"/>
  <c r="G479" i="23"/>
  <c r="I479" i="23"/>
  <c r="P479" i="23"/>
  <c r="AK479" i="23"/>
  <c r="H461" i="23"/>
  <c r="N461" i="23"/>
  <c r="AF461" i="23"/>
  <c r="F461" i="23"/>
  <c r="M461" i="23"/>
  <c r="G461" i="23"/>
  <c r="I461" i="23"/>
  <c r="P461" i="23"/>
  <c r="AK461" i="23"/>
  <c r="J461" i="23"/>
  <c r="Q461" i="23"/>
  <c r="AE461" i="23"/>
  <c r="D461" i="23"/>
  <c r="K461" i="23"/>
  <c r="R461" i="23"/>
  <c r="AG461" i="23"/>
  <c r="AM461" i="23"/>
  <c r="E461" i="23"/>
  <c r="L461" i="23"/>
  <c r="S461" i="23"/>
  <c r="I443" i="23"/>
  <c r="AG443" i="23"/>
  <c r="AM443" i="23"/>
  <c r="F443" i="23"/>
  <c r="L443" i="23"/>
  <c r="R443" i="23"/>
  <c r="G443" i="23"/>
  <c r="M443" i="23"/>
  <c r="S443" i="23"/>
  <c r="AE443" i="23"/>
  <c r="AK443" i="23"/>
  <c r="H443" i="23"/>
  <c r="N443" i="23"/>
  <c r="AF443" i="23"/>
  <c r="Q443" i="23"/>
  <c r="D443" i="23"/>
  <c r="E443" i="23"/>
  <c r="J443" i="23"/>
  <c r="K443" i="23"/>
  <c r="P443" i="23"/>
  <c r="E413" i="23"/>
  <c r="K413" i="23"/>
  <c r="Q413" i="23"/>
  <c r="F413" i="23"/>
  <c r="M413" i="23"/>
  <c r="H413" i="23"/>
  <c r="AK413" i="23"/>
  <c r="I413" i="23"/>
  <c r="P413" i="23"/>
  <c r="AE413" i="23"/>
  <c r="J413" i="23"/>
  <c r="R413" i="23"/>
  <c r="AF413" i="23"/>
  <c r="AM413" i="23"/>
  <c r="D413" i="23"/>
  <c r="L413" i="23"/>
  <c r="S413" i="23"/>
  <c r="AG413" i="23"/>
  <c r="G413" i="23"/>
  <c r="N413" i="23"/>
  <c r="F356" i="23"/>
  <c r="L356" i="23"/>
  <c r="R356" i="23"/>
  <c r="G356" i="23"/>
  <c r="M356" i="23"/>
  <c r="S356" i="23"/>
  <c r="AE356" i="23"/>
  <c r="AK356" i="23"/>
  <c r="H356" i="23"/>
  <c r="N356" i="23"/>
  <c r="AF356" i="23"/>
  <c r="I356" i="23"/>
  <c r="AG356" i="23"/>
  <c r="AM356" i="23"/>
  <c r="D356" i="23"/>
  <c r="J356" i="23"/>
  <c r="P356" i="23"/>
  <c r="E356" i="23"/>
  <c r="K356" i="23"/>
  <c r="Q356" i="23"/>
  <c r="G302" i="23"/>
  <c r="M302" i="23"/>
  <c r="S302" i="23"/>
  <c r="AE302" i="23"/>
  <c r="AK302" i="23"/>
  <c r="D302" i="23"/>
  <c r="J302" i="23"/>
  <c r="P302" i="23"/>
  <c r="F302" i="23"/>
  <c r="L302" i="23"/>
  <c r="R302" i="23"/>
  <c r="K302" i="23"/>
  <c r="N302" i="23"/>
  <c r="AM302" i="23"/>
  <c r="E302" i="23"/>
  <c r="Q302" i="23"/>
  <c r="H302" i="23"/>
  <c r="AF302" i="23"/>
  <c r="I302" i="23"/>
  <c r="AG302" i="23"/>
  <c r="F197" i="23"/>
  <c r="L197" i="23"/>
  <c r="R197" i="23"/>
  <c r="G197" i="23"/>
  <c r="M197" i="23"/>
  <c r="S197" i="23"/>
  <c r="AE197" i="23"/>
  <c r="AK197" i="23"/>
  <c r="H197" i="23"/>
  <c r="N197" i="23"/>
  <c r="AF197" i="23"/>
  <c r="I197" i="23"/>
  <c r="AG197" i="23"/>
  <c r="AM197" i="23"/>
  <c r="D197" i="23"/>
  <c r="J197" i="23"/>
  <c r="P197" i="23"/>
  <c r="E197" i="23"/>
  <c r="K197" i="23"/>
  <c r="Q197" i="23"/>
  <c r="H35" i="23"/>
  <c r="N35" i="23"/>
  <c r="AF35" i="23"/>
  <c r="I35" i="23"/>
  <c r="AG35" i="23"/>
  <c r="AM35" i="23"/>
  <c r="D35" i="23"/>
  <c r="J35" i="23"/>
  <c r="P35" i="23"/>
  <c r="E35" i="23"/>
  <c r="K35" i="23"/>
  <c r="Q35" i="23"/>
  <c r="G35" i="23"/>
  <c r="M35" i="23"/>
  <c r="S35" i="23"/>
  <c r="AE35" i="23"/>
  <c r="AK35" i="23"/>
  <c r="L35" i="23"/>
  <c r="R35" i="23"/>
  <c r="F35" i="23"/>
  <c r="D71" i="23"/>
  <c r="J71" i="23"/>
  <c r="P71" i="23"/>
  <c r="E71" i="23"/>
  <c r="K71" i="23"/>
  <c r="Q71" i="23"/>
  <c r="F71" i="23"/>
  <c r="L71" i="23"/>
  <c r="R71" i="23"/>
  <c r="G71" i="23"/>
  <c r="M71" i="23"/>
  <c r="S71" i="23"/>
  <c r="AE71" i="23"/>
  <c r="AK71" i="23"/>
  <c r="I71" i="23"/>
  <c r="AG71" i="23"/>
  <c r="AM71" i="23"/>
  <c r="AF71" i="23"/>
  <c r="H71" i="23"/>
  <c r="N71" i="23"/>
  <c r="G264" i="23"/>
  <c r="M264" i="23"/>
  <c r="S264" i="23"/>
  <c r="AE264" i="23"/>
  <c r="AK264" i="23"/>
  <c r="H264" i="23"/>
  <c r="N264" i="23"/>
  <c r="AF264" i="23"/>
  <c r="I264" i="23"/>
  <c r="AG264" i="23"/>
  <c r="AM264" i="23"/>
  <c r="D264" i="23"/>
  <c r="J264" i="23"/>
  <c r="P264" i="23"/>
  <c r="E264" i="23"/>
  <c r="K264" i="23"/>
  <c r="Q264" i="23"/>
  <c r="F264" i="23"/>
  <c r="L264" i="23"/>
  <c r="R264" i="23"/>
  <c r="H53" i="23"/>
  <c r="N53" i="23"/>
  <c r="F53" i="23"/>
  <c r="M53" i="23"/>
  <c r="AF53" i="23"/>
  <c r="G53" i="23"/>
  <c r="AG53" i="23"/>
  <c r="AM53" i="23"/>
  <c r="I53" i="23"/>
  <c r="P53" i="23"/>
  <c r="J53" i="23"/>
  <c r="Q53" i="23"/>
  <c r="E53" i="23"/>
  <c r="L53" i="23"/>
  <c r="S53" i="23"/>
  <c r="AE53" i="23"/>
  <c r="AK53" i="23"/>
  <c r="D53" i="23"/>
  <c r="R53" i="23"/>
  <c r="K53" i="23"/>
  <c r="H251" i="23"/>
  <c r="N251" i="23"/>
  <c r="AF251" i="23"/>
  <c r="I251" i="23"/>
  <c r="AG251" i="23"/>
  <c r="AM251" i="23"/>
  <c r="D251" i="23"/>
  <c r="J251" i="23"/>
  <c r="P251" i="23"/>
  <c r="E251" i="23"/>
  <c r="K251" i="23"/>
  <c r="Q251" i="23"/>
  <c r="F251" i="23"/>
  <c r="L251" i="23"/>
  <c r="R251" i="23"/>
  <c r="G251" i="23"/>
  <c r="M251" i="23"/>
  <c r="S251" i="23"/>
  <c r="AE251" i="23"/>
  <c r="AK251" i="23"/>
  <c r="I212" i="23"/>
  <c r="AG212" i="23"/>
  <c r="AM212" i="23"/>
  <c r="D212" i="23"/>
  <c r="T13" i="113" s="1"/>
  <c r="J212" i="23"/>
  <c r="P212" i="23"/>
  <c r="E212" i="23"/>
  <c r="K212" i="23"/>
  <c r="Q212" i="23"/>
  <c r="F212" i="23"/>
  <c r="L212" i="23"/>
  <c r="R212" i="23"/>
  <c r="G212" i="23"/>
  <c r="M212" i="23"/>
  <c r="S212" i="23"/>
  <c r="AE212" i="23"/>
  <c r="AK212" i="23"/>
  <c r="H212" i="23"/>
  <c r="N212" i="23"/>
  <c r="AF212" i="23"/>
  <c r="I158" i="23"/>
  <c r="AG158" i="23"/>
  <c r="AM158" i="23"/>
  <c r="D158" i="23"/>
  <c r="J158" i="23"/>
  <c r="P158" i="23"/>
  <c r="E158" i="23"/>
  <c r="K158" i="23"/>
  <c r="Q158" i="23"/>
  <c r="F158" i="23"/>
  <c r="L158" i="23"/>
  <c r="R158" i="23"/>
  <c r="G158" i="23"/>
  <c r="M158" i="23"/>
  <c r="S158" i="23"/>
  <c r="AE158" i="23"/>
  <c r="AK158" i="23"/>
  <c r="H158" i="23"/>
  <c r="N158" i="23"/>
  <c r="AF158" i="23"/>
  <c r="H104" i="23"/>
  <c r="N104" i="23"/>
  <c r="AF104" i="23"/>
  <c r="I104" i="23"/>
  <c r="AG104" i="23"/>
  <c r="AM104" i="23"/>
  <c r="D104" i="23"/>
  <c r="J104" i="23"/>
  <c r="P104" i="23"/>
  <c r="E104" i="23"/>
  <c r="K104" i="23"/>
  <c r="Q104" i="23"/>
  <c r="G104" i="23"/>
  <c r="M104" i="23"/>
  <c r="S104" i="23"/>
  <c r="AE104" i="23"/>
  <c r="AK104" i="23"/>
  <c r="F104" i="23"/>
  <c r="L104" i="23"/>
  <c r="R104" i="23"/>
  <c r="E50" i="23"/>
  <c r="K50" i="23"/>
  <c r="Q50" i="23"/>
  <c r="H50" i="23"/>
  <c r="N50" i="23"/>
  <c r="AF50" i="23"/>
  <c r="D50" i="23"/>
  <c r="J50" i="23"/>
  <c r="P50" i="23"/>
  <c r="I50" i="23"/>
  <c r="AG50" i="23"/>
  <c r="L50" i="23"/>
  <c r="M50" i="23"/>
  <c r="AK50" i="23"/>
  <c r="G50" i="23"/>
  <c r="S50" i="23"/>
  <c r="AE50" i="23"/>
  <c r="AM50" i="23"/>
  <c r="F50" i="23"/>
  <c r="R50" i="23"/>
  <c r="E236" i="23"/>
  <c r="K236" i="23"/>
  <c r="Q236" i="23"/>
  <c r="F236" i="23"/>
  <c r="L236" i="23"/>
  <c r="R236" i="23"/>
  <c r="G236" i="23"/>
  <c r="M236" i="23"/>
  <c r="S236" i="23"/>
  <c r="AE236" i="23"/>
  <c r="AK236" i="23"/>
  <c r="H236" i="23"/>
  <c r="N236" i="23"/>
  <c r="AF236" i="23"/>
  <c r="I236" i="23"/>
  <c r="AG236" i="23"/>
  <c r="AM236" i="23"/>
  <c r="D236" i="23"/>
  <c r="J236" i="23"/>
  <c r="P236" i="23"/>
  <c r="G182" i="23"/>
  <c r="M182" i="23"/>
  <c r="S182" i="23"/>
  <c r="AE182" i="23"/>
  <c r="AK182" i="23"/>
  <c r="H182" i="23"/>
  <c r="N182" i="23"/>
  <c r="AF182" i="23"/>
  <c r="I182" i="23"/>
  <c r="AG182" i="23"/>
  <c r="AM182" i="23"/>
  <c r="D182" i="23"/>
  <c r="J182" i="23"/>
  <c r="P182" i="23"/>
  <c r="F182" i="23"/>
  <c r="L182" i="23"/>
  <c r="R182" i="23"/>
  <c r="E182" i="23"/>
  <c r="K182" i="23"/>
  <c r="Q182" i="23"/>
  <c r="E128" i="23"/>
  <c r="K128" i="23"/>
  <c r="Q128" i="23"/>
  <c r="G128" i="23"/>
  <c r="M128" i="23"/>
  <c r="S128" i="23"/>
  <c r="AE128" i="23"/>
  <c r="AK128" i="23"/>
  <c r="H128" i="23"/>
  <c r="N128" i="23"/>
  <c r="AF128" i="23"/>
  <c r="I128" i="23"/>
  <c r="AG128" i="23"/>
  <c r="AM128" i="23"/>
  <c r="D128" i="23"/>
  <c r="J128" i="23"/>
  <c r="P128" i="23"/>
  <c r="R128" i="23"/>
  <c r="F128" i="23"/>
  <c r="L128" i="23"/>
  <c r="G74" i="23"/>
  <c r="M74" i="23"/>
  <c r="S74" i="23"/>
  <c r="AE74" i="23"/>
  <c r="AK74" i="23"/>
  <c r="H74" i="23"/>
  <c r="N74" i="23"/>
  <c r="AF74" i="23"/>
  <c r="I74" i="23"/>
  <c r="AG74" i="23"/>
  <c r="AM74" i="23"/>
  <c r="D74" i="23"/>
  <c r="J74" i="23"/>
  <c r="P74" i="23"/>
  <c r="F74" i="23"/>
  <c r="L74" i="23"/>
  <c r="R74" i="23"/>
  <c r="Q74" i="23"/>
  <c r="E74" i="23"/>
  <c r="K74" i="23"/>
  <c r="D20" i="23"/>
  <c r="J20" i="23"/>
  <c r="P20" i="23"/>
  <c r="I20" i="23"/>
  <c r="Q20" i="23"/>
  <c r="AE20" i="23"/>
  <c r="K20" i="23"/>
  <c r="R20" i="23"/>
  <c r="AF20" i="23"/>
  <c r="AM20" i="23"/>
  <c r="E20" i="23"/>
  <c r="L20" i="23"/>
  <c r="S20" i="23"/>
  <c r="AG20" i="23"/>
  <c r="F20" i="23"/>
  <c r="M20" i="23"/>
  <c r="H20" i="23"/>
  <c r="AK20" i="23"/>
  <c r="G20" i="23"/>
  <c r="N20" i="23"/>
  <c r="E210" i="23"/>
  <c r="K210" i="23"/>
  <c r="Q210" i="23"/>
  <c r="F210" i="23"/>
  <c r="L210" i="23"/>
  <c r="R210" i="23"/>
  <c r="G210" i="23"/>
  <c r="M210" i="23"/>
  <c r="S210" i="23"/>
  <c r="AE210" i="23"/>
  <c r="AK210" i="23"/>
  <c r="H210" i="23"/>
  <c r="N210" i="23"/>
  <c r="AF210" i="23"/>
  <c r="I210" i="23"/>
  <c r="AG210" i="23"/>
  <c r="AM210" i="23"/>
  <c r="D210" i="23"/>
  <c r="J210" i="23"/>
  <c r="P210" i="23"/>
  <c r="E156" i="23"/>
  <c r="K156" i="23"/>
  <c r="Q156" i="23"/>
  <c r="F156" i="23"/>
  <c r="L156" i="23"/>
  <c r="R156" i="23"/>
  <c r="G156" i="23"/>
  <c r="M156" i="23"/>
  <c r="S156" i="23"/>
  <c r="AE156" i="23"/>
  <c r="AK156" i="23"/>
  <c r="H156" i="23"/>
  <c r="N156" i="23"/>
  <c r="AF156" i="23"/>
  <c r="I156" i="23"/>
  <c r="AG156" i="23"/>
  <c r="AM156" i="23"/>
  <c r="D156" i="23"/>
  <c r="J156" i="23"/>
  <c r="P156" i="23"/>
  <c r="D102" i="23"/>
  <c r="J102" i="23"/>
  <c r="P102" i="23"/>
  <c r="E102" i="23"/>
  <c r="K102" i="23"/>
  <c r="Q102" i="23"/>
  <c r="F102" i="23"/>
  <c r="L102" i="23"/>
  <c r="R102" i="23"/>
  <c r="G102" i="23"/>
  <c r="M102" i="23"/>
  <c r="S102" i="23"/>
  <c r="AE102" i="23"/>
  <c r="AK102" i="23"/>
  <c r="I102" i="23"/>
  <c r="AG102" i="23"/>
  <c r="AM102" i="23"/>
  <c r="AF102" i="23"/>
  <c r="H102" i="23"/>
  <c r="N102" i="23"/>
  <c r="G48" i="23"/>
  <c r="M48" i="23"/>
  <c r="S48" i="23"/>
  <c r="AE48" i="23"/>
  <c r="AK48" i="23"/>
  <c r="D48" i="23"/>
  <c r="J48" i="23"/>
  <c r="P48" i="23"/>
  <c r="F48" i="23"/>
  <c r="L48" i="23"/>
  <c r="R48" i="23"/>
  <c r="N48" i="23"/>
  <c r="AM48" i="23"/>
  <c r="E48" i="23"/>
  <c r="Q48" i="23"/>
  <c r="H48" i="23"/>
  <c r="AF48" i="23"/>
  <c r="K48" i="23"/>
  <c r="I48" i="23"/>
  <c r="AG48" i="23"/>
  <c r="E242" i="23"/>
  <c r="K242" i="23"/>
  <c r="Q242" i="23"/>
  <c r="F242" i="23"/>
  <c r="L242" i="23"/>
  <c r="R242" i="23"/>
  <c r="G242" i="23"/>
  <c r="M242" i="23"/>
  <c r="S242" i="23"/>
  <c r="AE242" i="23"/>
  <c r="AK242" i="23"/>
  <c r="H242" i="23"/>
  <c r="N242" i="23"/>
  <c r="AF242" i="23"/>
  <c r="I242" i="23"/>
  <c r="AG242" i="23"/>
  <c r="AM242" i="23"/>
  <c r="D242" i="23"/>
  <c r="J242" i="23"/>
  <c r="P242" i="23"/>
  <c r="H188" i="23"/>
  <c r="N188" i="23"/>
  <c r="AF188" i="23"/>
  <c r="I188" i="23"/>
  <c r="AG188" i="23"/>
  <c r="AM188" i="23"/>
  <c r="D188" i="23"/>
  <c r="J188" i="23"/>
  <c r="P188" i="23"/>
  <c r="F188" i="23"/>
  <c r="L188" i="23"/>
  <c r="R188" i="23"/>
  <c r="Q188" i="23"/>
  <c r="S188" i="23"/>
  <c r="E188" i="23"/>
  <c r="AK188" i="23"/>
  <c r="G188" i="23"/>
  <c r="K188" i="23"/>
  <c r="M188" i="23"/>
  <c r="AE188" i="23"/>
  <c r="G134" i="23"/>
  <c r="M134" i="23"/>
  <c r="S134" i="23"/>
  <c r="AE134" i="23"/>
  <c r="AK134" i="23"/>
  <c r="D134" i="23"/>
  <c r="J134" i="23"/>
  <c r="P134" i="23"/>
  <c r="F134" i="23"/>
  <c r="AG134" i="23"/>
  <c r="H134" i="23"/>
  <c r="Q134" i="23"/>
  <c r="I134" i="23"/>
  <c r="R134" i="23"/>
  <c r="K134" i="23"/>
  <c r="L134" i="23"/>
  <c r="AM134" i="23"/>
  <c r="E134" i="23"/>
  <c r="N134" i="23"/>
  <c r="AF134" i="23"/>
  <c r="G80" i="23"/>
  <c r="M80" i="23"/>
  <c r="S80" i="23"/>
  <c r="AE80" i="23"/>
  <c r="AK80" i="23"/>
  <c r="H80" i="23"/>
  <c r="N80" i="23"/>
  <c r="AF80" i="23"/>
  <c r="I80" i="23"/>
  <c r="AG80" i="23"/>
  <c r="AM80" i="23"/>
  <c r="D80" i="23"/>
  <c r="J80" i="23"/>
  <c r="P80" i="23"/>
  <c r="F80" i="23"/>
  <c r="L80" i="23"/>
  <c r="R80" i="23"/>
  <c r="Q80" i="23"/>
  <c r="E80" i="23"/>
  <c r="K80" i="23"/>
  <c r="E26" i="23"/>
  <c r="K26" i="23"/>
  <c r="Q26" i="23"/>
  <c r="F26" i="23"/>
  <c r="L26" i="23"/>
  <c r="R26" i="23"/>
  <c r="G26" i="23"/>
  <c r="M26" i="23"/>
  <c r="S26" i="23"/>
  <c r="AE26" i="23"/>
  <c r="AK26" i="23"/>
  <c r="H26" i="23"/>
  <c r="N26" i="23"/>
  <c r="AF26" i="23"/>
  <c r="D26" i="23"/>
  <c r="J26" i="23"/>
  <c r="P26" i="23"/>
  <c r="AG26" i="23"/>
  <c r="AM26" i="23"/>
  <c r="I26" i="23"/>
  <c r="G421" i="23"/>
  <c r="M421" i="23"/>
  <c r="S421" i="23"/>
  <c r="AE421" i="23"/>
  <c r="AK421" i="23"/>
  <c r="I421" i="23"/>
  <c r="AG421" i="23"/>
  <c r="AM421" i="23"/>
  <c r="D421" i="23"/>
  <c r="J421" i="23"/>
  <c r="P421" i="23"/>
  <c r="E421" i="23"/>
  <c r="K421" i="23"/>
  <c r="Q421" i="23"/>
  <c r="F421" i="23"/>
  <c r="L421" i="23"/>
  <c r="R421" i="23"/>
  <c r="AF421" i="23"/>
  <c r="H421" i="23"/>
  <c r="N421" i="23"/>
  <c r="I403" i="23"/>
  <c r="AG403" i="23"/>
  <c r="AM403" i="23"/>
  <c r="E403" i="23"/>
  <c r="L403" i="23"/>
  <c r="S403" i="23"/>
  <c r="G403" i="23"/>
  <c r="N403" i="23"/>
  <c r="H403" i="23"/>
  <c r="P403" i="23"/>
  <c r="AK403" i="23"/>
  <c r="J403" i="23"/>
  <c r="Q403" i="23"/>
  <c r="AE403" i="23"/>
  <c r="D403" i="23"/>
  <c r="K403" i="23"/>
  <c r="R403" i="23"/>
  <c r="AF403" i="23"/>
  <c r="F403" i="23"/>
  <c r="M403" i="23"/>
  <c r="G382" i="23"/>
  <c r="M382" i="23"/>
  <c r="S382" i="23"/>
  <c r="AE382" i="23"/>
  <c r="AK382" i="23"/>
  <c r="H382" i="23"/>
  <c r="N382" i="23"/>
  <c r="AF382" i="23"/>
  <c r="I382" i="23"/>
  <c r="AG382" i="23"/>
  <c r="AM382" i="23"/>
  <c r="D382" i="23"/>
  <c r="J382" i="23"/>
  <c r="P382" i="23"/>
  <c r="E382" i="23"/>
  <c r="K382" i="23"/>
  <c r="Q382" i="23"/>
  <c r="F382" i="23"/>
  <c r="L382" i="23"/>
  <c r="R382" i="23"/>
  <c r="D364" i="23"/>
  <c r="J364" i="23"/>
  <c r="P364" i="23"/>
  <c r="E364" i="23"/>
  <c r="K364" i="23"/>
  <c r="Q364" i="23"/>
  <c r="F364" i="23"/>
  <c r="L364" i="23"/>
  <c r="R364" i="23"/>
  <c r="H364" i="23"/>
  <c r="N364" i="23"/>
  <c r="AF364" i="23"/>
  <c r="I364" i="23"/>
  <c r="AM364" i="23"/>
  <c r="M364" i="23"/>
  <c r="AE364" i="23"/>
  <c r="AG364" i="23"/>
  <c r="S364" i="23"/>
  <c r="AK364" i="23"/>
  <c r="G364" i="23"/>
  <c r="D346" i="23"/>
  <c r="J346" i="23"/>
  <c r="P346" i="23"/>
  <c r="E346" i="23"/>
  <c r="K346" i="23"/>
  <c r="Q346" i="23"/>
  <c r="F346" i="23"/>
  <c r="L346" i="23"/>
  <c r="R346" i="23"/>
  <c r="G346" i="23"/>
  <c r="M346" i="23"/>
  <c r="S346" i="23"/>
  <c r="AE346" i="23"/>
  <c r="AK346" i="23"/>
  <c r="H346" i="23"/>
  <c r="N346" i="23"/>
  <c r="AF346" i="23"/>
  <c r="AG346" i="23"/>
  <c r="I346" i="23"/>
  <c r="AM346" i="23"/>
  <c r="E328" i="23"/>
  <c r="K328" i="23"/>
  <c r="Q328" i="23"/>
  <c r="H328" i="23"/>
  <c r="N328" i="23"/>
  <c r="AF328" i="23"/>
  <c r="J328" i="23"/>
  <c r="S328" i="23"/>
  <c r="AK328" i="23"/>
  <c r="L328" i="23"/>
  <c r="D328" i="23"/>
  <c r="M328" i="23"/>
  <c r="AE328" i="23"/>
  <c r="AM328" i="23"/>
  <c r="F328" i="23"/>
  <c r="AG328" i="23"/>
  <c r="G328" i="23"/>
  <c r="P328" i="23"/>
  <c r="I328" i="23"/>
  <c r="R328" i="23"/>
  <c r="E310" i="23"/>
  <c r="K310" i="23"/>
  <c r="Q310" i="23"/>
  <c r="H310" i="23"/>
  <c r="N310" i="23"/>
  <c r="AF310" i="23"/>
  <c r="D310" i="23"/>
  <c r="J310" i="23"/>
  <c r="P310" i="23"/>
  <c r="M310" i="23"/>
  <c r="AK310" i="23"/>
  <c r="F310" i="23"/>
  <c r="R310" i="23"/>
  <c r="AM310" i="23"/>
  <c r="G310" i="23"/>
  <c r="S310" i="23"/>
  <c r="AE310" i="23"/>
  <c r="I310" i="23"/>
  <c r="AG310" i="23"/>
  <c r="L310" i="23"/>
  <c r="E292" i="23"/>
  <c r="K292" i="23"/>
  <c r="Q292" i="23"/>
  <c r="G292" i="23"/>
  <c r="M292" i="23"/>
  <c r="S292" i="23"/>
  <c r="AE292" i="23"/>
  <c r="AK292" i="23"/>
  <c r="H292" i="23"/>
  <c r="N292" i="23"/>
  <c r="AF292" i="23"/>
  <c r="D292" i="23"/>
  <c r="J292" i="23"/>
  <c r="P292" i="23"/>
  <c r="L292" i="23"/>
  <c r="AG292" i="23"/>
  <c r="R292" i="23"/>
  <c r="F292" i="23"/>
  <c r="AM292" i="23"/>
  <c r="I292" i="23"/>
  <c r="I274" i="23"/>
  <c r="AG274" i="23"/>
  <c r="AM274" i="23"/>
  <c r="E274" i="23"/>
  <c r="K274" i="23"/>
  <c r="Q274" i="23"/>
  <c r="F274" i="23"/>
  <c r="L274" i="23"/>
  <c r="R274" i="23"/>
  <c r="J274" i="23"/>
  <c r="M274" i="23"/>
  <c r="AK274" i="23"/>
  <c r="N274" i="23"/>
  <c r="D274" i="23"/>
  <c r="P274" i="23"/>
  <c r="H274" i="23"/>
  <c r="AF274" i="23"/>
  <c r="G274" i="23"/>
  <c r="S274" i="23"/>
  <c r="AE274" i="23"/>
  <c r="G252" i="23"/>
  <c r="M252" i="23"/>
  <c r="S252" i="23"/>
  <c r="AE252" i="23"/>
  <c r="AK252" i="23"/>
  <c r="H252" i="23"/>
  <c r="N252" i="23"/>
  <c r="AF252" i="23"/>
  <c r="I252" i="23"/>
  <c r="AG252" i="23"/>
  <c r="AM252" i="23"/>
  <c r="D252" i="23"/>
  <c r="J252" i="23"/>
  <c r="P252" i="23"/>
  <c r="E252" i="23"/>
  <c r="K252" i="23"/>
  <c r="Q252" i="23"/>
  <c r="F252" i="23"/>
  <c r="L252" i="23"/>
  <c r="R252" i="23"/>
  <c r="E198" i="23"/>
  <c r="K198" i="23"/>
  <c r="Q198" i="23"/>
  <c r="F198" i="23"/>
  <c r="L198" i="23"/>
  <c r="R198" i="23"/>
  <c r="G198" i="23"/>
  <c r="M198" i="23"/>
  <c r="S198" i="23"/>
  <c r="AE198" i="23"/>
  <c r="AK198" i="23"/>
  <c r="H198" i="23"/>
  <c r="N198" i="23"/>
  <c r="AF198" i="23"/>
  <c r="I198" i="23"/>
  <c r="AG198" i="23"/>
  <c r="AM198" i="23"/>
  <c r="D198" i="23"/>
  <c r="J198" i="23"/>
  <c r="P198" i="23"/>
  <c r="E144" i="23"/>
  <c r="K144" i="23"/>
  <c r="Q144" i="23"/>
  <c r="F144" i="23"/>
  <c r="L144" i="23"/>
  <c r="R144" i="23"/>
  <c r="G144" i="23"/>
  <c r="M144" i="23"/>
  <c r="S144" i="23"/>
  <c r="AE144" i="23"/>
  <c r="AK144" i="23"/>
  <c r="H144" i="23"/>
  <c r="N144" i="23"/>
  <c r="AF144" i="23"/>
  <c r="I144" i="23"/>
  <c r="AG144" i="23"/>
  <c r="AM144" i="23"/>
  <c r="D144" i="23"/>
  <c r="J144" i="23"/>
  <c r="P144" i="23"/>
  <c r="D90" i="23"/>
  <c r="J90" i="23"/>
  <c r="P90" i="23"/>
  <c r="E90" i="23"/>
  <c r="K90" i="23"/>
  <c r="Q90" i="23"/>
  <c r="F90" i="23"/>
  <c r="L90" i="23"/>
  <c r="R90" i="23"/>
  <c r="G90" i="23"/>
  <c r="M90" i="23"/>
  <c r="S90" i="23"/>
  <c r="AE90" i="23"/>
  <c r="AK90" i="23"/>
  <c r="H90" i="23"/>
  <c r="N90" i="23"/>
  <c r="AF90" i="23"/>
  <c r="I90" i="23"/>
  <c r="AG90" i="23"/>
  <c r="AM90" i="23"/>
  <c r="H36" i="23"/>
  <c r="N36" i="23"/>
  <c r="AF36" i="23"/>
  <c r="I36" i="23"/>
  <c r="AG36" i="23"/>
  <c r="AM36" i="23"/>
  <c r="D36" i="23"/>
  <c r="J36" i="23"/>
  <c r="P36" i="23"/>
  <c r="F36" i="23"/>
  <c r="L36" i="23"/>
  <c r="R36" i="23"/>
  <c r="S36" i="23"/>
  <c r="E36" i="23"/>
  <c r="AK36" i="23"/>
  <c r="G36" i="23"/>
  <c r="K36" i="23"/>
  <c r="Q36" i="23"/>
  <c r="M36" i="23"/>
  <c r="AE36" i="23"/>
  <c r="I250" i="23"/>
  <c r="AG250" i="23"/>
  <c r="AM250" i="23"/>
  <c r="D250" i="23"/>
  <c r="J250" i="23"/>
  <c r="P250" i="23"/>
  <c r="E250" i="23"/>
  <c r="K250" i="23"/>
  <c r="Q250" i="23"/>
  <c r="F250" i="23"/>
  <c r="L250" i="23"/>
  <c r="R250" i="23"/>
  <c r="G250" i="23"/>
  <c r="M250" i="23"/>
  <c r="S250" i="23"/>
  <c r="AE250" i="23"/>
  <c r="AK250" i="23"/>
  <c r="H250" i="23"/>
  <c r="N250" i="23"/>
  <c r="AF250" i="23"/>
  <c r="I232" i="23"/>
  <c r="AG232" i="23"/>
  <c r="AM232" i="23"/>
  <c r="D232" i="23"/>
  <c r="J232" i="23"/>
  <c r="P232" i="23"/>
  <c r="E232" i="23"/>
  <c r="K232" i="23"/>
  <c r="Q232" i="23"/>
  <c r="F232" i="23"/>
  <c r="L232" i="23"/>
  <c r="R232" i="23"/>
  <c r="G232" i="23"/>
  <c r="M232" i="23"/>
  <c r="S232" i="23"/>
  <c r="AE232" i="23"/>
  <c r="AK232" i="23"/>
  <c r="H232" i="23"/>
  <c r="N232" i="23"/>
  <c r="AF232" i="23"/>
  <c r="G214" i="23"/>
  <c r="M214" i="23"/>
  <c r="S214" i="23"/>
  <c r="AE214" i="23"/>
  <c r="AK214" i="23"/>
  <c r="H214" i="23"/>
  <c r="N214" i="23"/>
  <c r="AF214" i="23"/>
  <c r="I214" i="23"/>
  <c r="AG214" i="23"/>
  <c r="AM214" i="23"/>
  <c r="D214" i="23"/>
  <c r="J214" i="23"/>
  <c r="P214" i="23"/>
  <c r="E214" i="23"/>
  <c r="K214" i="23"/>
  <c r="Q214" i="23"/>
  <c r="F214" i="23"/>
  <c r="L214" i="23"/>
  <c r="R214" i="23"/>
  <c r="G196" i="23"/>
  <c r="M196" i="23"/>
  <c r="S196" i="23"/>
  <c r="AE196" i="23"/>
  <c r="AK196" i="23"/>
  <c r="H196" i="23"/>
  <c r="N196" i="23"/>
  <c r="AF196" i="23"/>
  <c r="I196" i="23"/>
  <c r="AG196" i="23"/>
  <c r="AM196" i="23"/>
  <c r="D196" i="23"/>
  <c r="J196" i="23"/>
  <c r="P196" i="23"/>
  <c r="E196" i="23"/>
  <c r="K196" i="23"/>
  <c r="Q196" i="23"/>
  <c r="F196" i="23"/>
  <c r="L196" i="23"/>
  <c r="R196" i="23"/>
  <c r="E178" i="23"/>
  <c r="K178" i="23"/>
  <c r="Q178" i="23"/>
  <c r="F178" i="23"/>
  <c r="L178" i="23"/>
  <c r="R178" i="23"/>
  <c r="G178" i="23"/>
  <c r="M178" i="23"/>
  <c r="S178" i="23"/>
  <c r="AE178" i="23"/>
  <c r="AK178" i="23"/>
  <c r="H178" i="23"/>
  <c r="N178" i="23"/>
  <c r="AF178" i="23"/>
  <c r="I178" i="23"/>
  <c r="AG178" i="23"/>
  <c r="AM178" i="23"/>
  <c r="D178" i="23"/>
  <c r="J178" i="23"/>
  <c r="P178" i="23"/>
  <c r="H160" i="23"/>
  <c r="N160" i="23"/>
  <c r="AF160" i="23"/>
  <c r="I160" i="23"/>
  <c r="AG160" i="23"/>
  <c r="AM160" i="23"/>
  <c r="D160" i="23"/>
  <c r="J160" i="23"/>
  <c r="P160" i="23"/>
  <c r="E160" i="23"/>
  <c r="K160" i="23"/>
  <c r="Q160" i="23"/>
  <c r="F160" i="23"/>
  <c r="L160" i="23"/>
  <c r="R160" i="23"/>
  <c r="S160" i="23"/>
  <c r="AE160" i="23"/>
  <c r="G160" i="23"/>
  <c r="AK160" i="23"/>
  <c r="M160" i="23"/>
  <c r="G142" i="23"/>
  <c r="M142" i="23"/>
  <c r="S142" i="23"/>
  <c r="AE142" i="23"/>
  <c r="AK142" i="23"/>
  <c r="H142" i="23"/>
  <c r="N142" i="23"/>
  <c r="AF142" i="23"/>
  <c r="I142" i="23"/>
  <c r="AG142" i="23"/>
  <c r="AM142" i="23"/>
  <c r="D142" i="23"/>
  <c r="J142" i="23"/>
  <c r="P142" i="23"/>
  <c r="E142" i="23"/>
  <c r="K142" i="23"/>
  <c r="Q142" i="23"/>
  <c r="F142" i="23"/>
  <c r="L142" i="23"/>
  <c r="R142" i="23"/>
  <c r="I124" i="23"/>
  <c r="AG124" i="23"/>
  <c r="AM124" i="23"/>
  <c r="D124" i="23"/>
  <c r="J124" i="23"/>
  <c r="P124" i="23"/>
  <c r="E124" i="23"/>
  <c r="K124" i="23"/>
  <c r="Q124" i="23"/>
  <c r="F124" i="23"/>
  <c r="L124" i="23"/>
  <c r="R124" i="23"/>
  <c r="G124" i="23"/>
  <c r="M124" i="23"/>
  <c r="S124" i="23"/>
  <c r="AE124" i="23"/>
  <c r="AK124" i="23"/>
  <c r="H124" i="23"/>
  <c r="N124" i="23"/>
  <c r="AF124" i="23"/>
  <c r="F106" i="23"/>
  <c r="L106" i="23"/>
  <c r="R106" i="23"/>
  <c r="H106" i="23"/>
  <c r="N106" i="23"/>
  <c r="AF106" i="23"/>
  <c r="I106" i="23"/>
  <c r="AG106" i="23"/>
  <c r="AM106" i="23"/>
  <c r="E106" i="23"/>
  <c r="K106" i="23"/>
  <c r="Q106" i="23"/>
  <c r="D106" i="23"/>
  <c r="G106" i="23"/>
  <c r="J106" i="23"/>
  <c r="M106" i="23"/>
  <c r="AE106" i="23"/>
  <c r="P106" i="23"/>
  <c r="S106" i="23"/>
  <c r="AK106" i="23"/>
  <c r="D88" i="23"/>
  <c r="F88" i="23"/>
  <c r="L88" i="23"/>
  <c r="R88" i="23"/>
  <c r="G88" i="23"/>
  <c r="M88" i="23"/>
  <c r="S88" i="23"/>
  <c r="AE88" i="23"/>
  <c r="AK88" i="23"/>
  <c r="H88" i="23"/>
  <c r="N88" i="23"/>
  <c r="AF88" i="23"/>
  <c r="I88" i="23"/>
  <c r="AG88" i="23"/>
  <c r="AM88" i="23"/>
  <c r="J88" i="23"/>
  <c r="P88" i="23"/>
  <c r="E88" i="23"/>
  <c r="K88" i="23"/>
  <c r="Q88" i="23"/>
  <c r="E70" i="23"/>
  <c r="K70" i="23"/>
  <c r="Q70" i="23"/>
  <c r="F70" i="23"/>
  <c r="L70" i="23"/>
  <c r="R70" i="23"/>
  <c r="G70" i="23"/>
  <c r="M70" i="23"/>
  <c r="S70" i="23"/>
  <c r="AE70" i="23"/>
  <c r="AK70" i="23"/>
  <c r="H70" i="23"/>
  <c r="N70" i="23"/>
  <c r="AF70" i="23"/>
  <c r="D70" i="23"/>
  <c r="J70" i="23"/>
  <c r="P70" i="23"/>
  <c r="AG70" i="23"/>
  <c r="I70" i="23"/>
  <c r="AM70" i="23"/>
  <c r="I52" i="23"/>
  <c r="AG52" i="23"/>
  <c r="AM52" i="23"/>
  <c r="H52" i="23"/>
  <c r="N52" i="23"/>
  <c r="AF52" i="23"/>
  <c r="J52" i="23"/>
  <c r="R52" i="23"/>
  <c r="K52" i="23"/>
  <c r="S52" i="23"/>
  <c r="AK52" i="23"/>
  <c r="D52" i="23"/>
  <c r="L52" i="23"/>
  <c r="E52" i="23"/>
  <c r="M52" i="23"/>
  <c r="AE52" i="23"/>
  <c r="G52" i="23"/>
  <c r="Q52" i="23"/>
  <c r="F52" i="23"/>
  <c r="P52" i="23"/>
  <c r="I34" i="23"/>
  <c r="AG34" i="23"/>
  <c r="AM34" i="23"/>
  <c r="D34" i="23"/>
  <c r="J34" i="23"/>
  <c r="P34" i="23"/>
  <c r="E34" i="23"/>
  <c r="K34" i="23"/>
  <c r="Q34" i="23"/>
  <c r="F34" i="23"/>
  <c r="L34" i="23"/>
  <c r="R34" i="23"/>
  <c r="H34" i="23"/>
  <c r="N34" i="23"/>
  <c r="AF34" i="23"/>
  <c r="AE34" i="23"/>
  <c r="AK34" i="23"/>
  <c r="G34" i="23"/>
  <c r="S34" i="23"/>
  <c r="M34" i="23"/>
  <c r="G16" i="23"/>
  <c r="M16" i="23"/>
  <c r="S16" i="23"/>
  <c r="AE16" i="23"/>
  <c r="AK16" i="23"/>
  <c r="F16" i="23"/>
  <c r="N16" i="23"/>
  <c r="E16" i="23"/>
  <c r="L16" i="23"/>
  <c r="D16" i="23"/>
  <c r="P16" i="23"/>
  <c r="H16" i="23"/>
  <c r="Q16" i="23"/>
  <c r="AM16" i="23"/>
  <c r="I16" i="23"/>
  <c r="R16" i="23"/>
  <c r="K16" i="23"/>
  <c r="AG16" i="23"/>
  <c r="AF16" i="23"/>
  <c r="J16" i="23"/>
  <c r="I386" i="23"/>
  <c r="AG386" i="23"/>
  <c r="AM386" i="23"/>
  <c r="D386" i="23"/>
  <c r="J386" i="23"/>
  <c r="P386" i="23"/>
  <c r="E386" i="23"/>
  <c r="K386" i="23"/>
  <c r="Q386" i="23"/>
  <c r="F386" i="23"/>
  <c r="L386" i="23"/>
  <c r="R386" i="23"/>
  <c r="G386" i="23"/>
  <c r="M386" i="23"/>
  <c r="S386" i="23"/>
  <c r="AE386" i="23"/>
  <c r="AK386" i="23"/>
  <c r="H386" i="23"/>
  <c r="N386" i="23"/>
  <c r="AF386" i="23"/>
  <c r="H558" i="23"/>
  <c r="N558" i="23"/>
  <c r="AF558" i="23"/>
  <c r="I558" i="23"/>
  <c r="AG558" i="23"/>
  <c r="AM558" i="23"/>
  <c r="D558" i="23"/>
  <c r="J558" i="23"/>
  <c r="P558" i="23"/>
  <c r="E558" i="23"/>
  <c r="K558" i="23"/>
  <c r="Q558" i="23"/>
  <c r="G558" i="23"/>
  <c r="M558" i="23"/>
  <c r="S558" i="23"/>
  <c r="AE558" i="23"/>
  <c r="AK558" i="23"/>
  <c r="F558" i="23"/>
  <c r="L558" i="23"/>
  <c r="R558" i="23"/>
  <c r="E401" i="23"/>
  <c r="K401" i="23"/>
  <c r="Q401" i="23"/>
  <c r="H401" i="23"/>
  <c r="AK401" i="23"/>
  <c r="J401" i="23"/>
  <c r="R401" i="23"/>
  <c r="AF401" i="23"/>
  <c r="AM401" i="23"/>
  <c r="D401" i="23"/>
  <c r="L401" i="23"/>
  <c r="S401" i="23"/>
  <c r="AG401" i="23"/>
  <c r="F401" i="23"/>
  <c r="M401" i="23"/>
  <c r="G401" i="23"/>
  <c r="N401" i="23"/>
  <c r="P401" i="23"/>
  <c r="AE401" i="23"/>
  <c r="I401" i="23"/>
  <c r="H393" i="23"/>
  <c r="N393" i="23"/>
  <c r="AF393" i="23"/>
  <c r="G393" i="23"/>
  <c r="M393" i="23"/>
  <c r="S393" i="23"/>
  <c r="AE393" i="23"/>
  <c r="AK393" i="23"/>
  <c r="E393" i="23"/>
  <c r="AG393" i="23"/>
  <c r="I393" i="23"/>
  <c r="Q393" i="23"/>
  <c r="J393" i="23"/>
  <c r="R393" i="23"/>
  <c r="K393" i="23"/>
  <c r="D393" i="23"/>
  <c r="L393" i="23"/>
  <c r="AM393" i="23"/>
  <c r="F393" i="23"/>
  <c r="P393" i="23"/>
  <c r="G565" i="23"/>
  <c r="M565" i="23"/>
  <c r="S565" i="23"/>
  <c r="AE565" i="23"/>
  <c r="AK565" i="23"/>
  <c r="H565" i="23"/>
  <c r="N565" i="23"/>
  <c r="AF565" i="23"/>
  <c r="I565" i="23"/>
  <c r="AG565" i="23"/>
  <c r="AM565" i="23"/>
  <c r="D565" i="23"/>
  <c r="J565" i="23"/>
  <c r="P565" i="23"/>
  <c r="F565" i="23"/>
  <c r="L565" i="23"/>
  <c r="R565" i="23"/>
  <c r="K565" i="23"/>
  <c r="Q565" i="23"/>
  <c r="E565" i="23"/>
  <c r="G290" i="23"/>
  <c r="M290" i="23"/>
  <c r="S290" i="23"/>
  <c r="AE290" i="23"/>
  <c r="AK290" i="23"/>
  <c r="I290" i="23"/>
  <c r="AG290" i="23"/>
  <c r="AM290" i="23"/>
  <c r="D290" i="23"/>
  <c r="J290" i="23"/>
  <c r="P290" i="23"/>
  <c r="F290" i="23"/>
  <c r="L290" i="23"/>
  <c r="R290" i="23"/>
  <c r="E290" i="23"/>
  <c r="H290" i="23"/>
  <c r="K290" i="23"/>
  <c r="N290" i="23"/>
  <c r="AF290" i="23"/>
  <c r="Q290" i="23"/>
  <c r="F475" i="23"/>
  <c r="L475" i="23"/>
  <c r="R475" i="23"/>
  <c r="H475" i="23"/>
  <c r="AK475" i="23"/>
  <c r="I475" i="23"/>
  <c r="P475" i="23"/>
  <c r="AE475" i="23"/>
  <c r="J475" i="23"/>
  <c r="Q475" i="23"/>
  <c r="AF475" i="23"/>
  <c r="AM475" i="23"/>
  <c r="D475" i="23"/>
  <c r="K475" i="23"/>
  <c r="S475" i="23"/>
  <c r="AG475" i="23"/>
  <c r="E475" i="23"/>
  <c r="M475" i="23"/>
  <c r="G475" i="23"/>
  <c r="N475" i="23"/>
  <c r="G529" i="23"/>
  <c r="M529" i="23"/>
  <c r="S529" i="23"/>
  <c r="AE529" i="23"/>
  <c r="AK529" i="23"/>
  <c r="H529" i="23"/>
  <c r="N529" i="23"/>
  <c r="AF529" i="23"/>
  <c r="I529" i="23"/>
  <c r="AG529" i="23"/>
  <c r="AM529" i="23"/>
  <c r="D529" i="23"/>
  <c r="J529" i="23"/>
  <c r="P529" i="23"/>
  <c r="F529" i="23"/>
  <c r="L529" i="23"/>
  <c r="R529" i="23"/>
  <c r="K529" i="23"/>
  <c r="Q529" i="23"/>
  <c r="E529" i="23"/>
  <c r="G559" i="23"/>
  <c r="M559" i="23"/>
  <c r="S559" i="23"/>
  <c r="AE559" i="23"/>
  <c r="AK559" i="23"/>
  <c r="H559" i="23"/>
  <c r="N559" i="23"/>
  <c r="AF559" i="23"/>
  <c r="I559" i="23"/>
  <c r="AG559" i="23"/>
  <c r="AM559" i="23"/>
  <c r="D559" i="23"/>
  <c r="J559" i="23"/>
  <c r="P559" i="23"/>
  <c r="F559" i="23"/>
  <c r="L559" i="23"/>
  <c r="R559" i="23"/>
  <c r="Q559" i="23"/>
  <c r="E559" i="23"/>
  <c r="K559" i="23"/>
  <c r="G462" i="23"/>
  <c r="M462" i="23"/>
  <c r="S462" i="23"/>
  <c r="AE462" i="23"/>
  <c r="AK462" i="23"/>
  <c r="D462" i="23"/>
  <c r="K462" i="23"/>
  <c r="R462" i="23"/>
  <c r="AG462" i="23"/>
  <c r="E462" i="23"/>
  <c r="L462" i="23"/>
  <c r="F462" i="23"/>
  <c r="N462" i="23"/>
  <c r="H462" i="23"/>
  <c r="I462" i="23"/>
  <c r="P462" i="23"/>
  <c r="J462" i="23"/>
  <c r="Q462" i="23"/>
  <c r="AF462" i="23"/>
  <c r="AM462" i="23"/>
  <c r="E555" i="23"/>
  <c r="K555" i="23"/>
  <c r="Q555" i="23"/>
  <c r="F555" i="23"/>
  <c r="L555" i="23"/>
  <c r="R555" i="23"/>
  <c r="G555" i="23"/>
  <c r="M555" i="23"/>
  <c r="S555" i="23"/>
  <c r="AE555" i="23"/>
  <c r="AK555" i="23"/>
  <c r="H555" i="23"/>
  <c r="N555" i="23"/>
  <c r="AF555" i="23"/>
  <c r="D555" i="23"/>
  <c r="J555" i="23"/>
  <c r="P555" i="23"/>
  <c r="I555" i="23"/>
  <c r="AM555" i="23"/>
  <c r="AG555" i="23"/>
  <c r="G501" i="23"/>
  <c r="M501" i="23"/>
  <c r="S501" i="23"/>
  <c r="AE501" i="23"/>
  <c r="AK501" i="23"/>
  <c r="H501" i="23"/>
  <c r="N501" i="23"/>
  <c r="AF501" i="23"/>
  <c r="I501" i="23"/>
  <c r="AG501" i="23"/>
  <c r="AM501" i="23"/>
  <c r="D501" i="23"/>
  <c r="J501" i="23"/>
  <c r="P501" i="23"/>
  <c r="E501" i="23"/>
  <c r="K501" i="23"/>
  <c r="Q501" i="23"/>
  <c r="R501" i="23"/>
  <c r="F501" i="23"/>
  <c r="L501" i="23"/>
  <c r="E447" i="23"/>
  <c r="K447" i="23"/>
  <c r="Q447" i="23"/>
  <c r="H447" i="23"/>
  <c r="N447" i="23"/>
  <c r="AF447" i="23"/>
  <c r="I447" i="23"/>
  <c r="AG447" i="23"/>
  <c r="AM447" i="23"/>
  <c r="D447" i="23"/>
  <c r="J447" i="23"/>
  <c r="P447" i="23"/>
  <c r="S447" i="23"/>
  <c r="AK447" i="23"/>
  <c r="F447" i="23"/>
  <c r="G447" i="23"/>
  <c r="L447" i="23"/>
  <c r="M447" i="23"/>
  <c r="AE447" i="23"/>
  <c r="R447" i="23"/>
  <c r="F368" i="23"/>
  <c r="L368" i="23"/>
  <c r="H368" i="23"/>
  <c r="AG368" i="23"/>
  <c r="AM368" i="23"/>
  <c r="I368" i="23"/>
  <c r="P368" i="23"/>
  <c r="J368" i="23"/>
  <c r="Q368" i="23"/>
  <c r="D368" i="23"/>
  <c r="K368" i="23"/>
  <c r="R368" i="23"/>
  <c r="E368" i="23"/>
  <c r="M368" i="23"/>
  <c r="S368" i="23"/>
  <c r="AE368" i="23"/>
  <c r="AK368" i="23"/>
  <c r="G368" i="23"/>
  <c r="N368" i="23"/>
  <c r="AF368" i="23"/>
  <c r="H233" i="23"/>
  <c r="N233" i="23"/>
  <c r="AF233" i="23"/>
  <c r="I233" i="23"/>
  <c r="AG233" i="23"/>
  <c r="AM233" i="23"/>
  <c r="D233" i="23"/>
  <c r="J233" i="23"/>
  <c r="P233" i="23"/>
  <c r="E233" i="23"/>
  <c r="K233" i="23"/>
  <c r="Q233" i="23"/>
  <c r="F233" i="23"/>
  <c r="L233" i="23"/>
  <c r="R233" i="23"/>
  <c r="G233" i="23"/>
  <c r="M233" i="23"/>
  <c r="S233" i="23"/>
  <c r="AE233" i="23"/>
  <c r="AK233" i="23"/>
  <c r="E579" i="23"/>
  <c r="K579" i="23"/>
  <c r="Q579" i="23"/>
  <c r="G579" i="23"/>
  <c r="M579" i="23"/>
  <c r="S579" i="23"/>
  <c r="AE579" i="23"/>
  <c r="AK579" i="23"/>
  <c r="H579" i="23"/>
  <c r="N579" i="23"/>
  <c r="AF579" i="23"/>
  <c r="D579" i="23"/>
  <c r="J579" i="23"/>
  <c r="P579" i="23"/>
  <c r="L579" i="23"/>
  <c r="AG579" i="23"/>
  <c r="R579" i="23"/>
  <c r="F579" i="23"/>
  <c r="AM579" i="23"/>
  <c r="I579" i="23"/>
  <c r="E525" i="23"/>
  <c r="K525" i="23"/>
  <c r="Q525" i="23"/>
  <c r="F525" i="23"/>
  <c r="L525" i="23"/>
  <c r="R525" i="23"/>
  <c r="G525" i="23"/>
  <c r="M525" i="23"/>
  <c r="S525" i="23"/>
  <c r="AE525" i="23"/>
  <c r="AK525" i="23"/>
  <c r="H525" i="23"/>
  <c r="N525" i="23"/>
  <c r="AF525" i="23"/>
  <c r="I525" i="23"/>
  <c r="AG525" i="23"/>
  <c r="AM525" i="23"/>
  <c r="D525" i="23"/>
  <c r="J525" i="23"/>
  <c r="P525" i="23"/>
  <c r="D471" i="23"/>
  <c r="J471" i="23"/>
  <c r="P471" i="23"/>
  <c r="G471" i="23"/>
  <c r="N471" i="23"/>
  <c r="H471" i="23"/>
  <c r="AK471" i="23"/>
  <c r="I471" i="23"/>
  <c r="Q471" i="23"/>
  <c r="AE471" i="23"/>
  <c r="K471" i="23"/>
  <c r="R471" i="23"/>
  <c r="AF471" i="23"/>
  <c r="AM471" i="23"/>
  <c r="E471" i="23"/>
  <c r="L471" i="23"/>
  <c r="S471" i="23"/>
  <c r="AG471" i="23"/>
  <c r="F471" i="23"/>
  <c r="M471" i="23"/>
  <c r="D408" i="23"/>
  <c r="J408" i="23"/>
  <c r="P408" i="23"/>
  <c r="F408" i="23"/>
  <c r="M408" i="23"/>
  <c r="H408" i="23"/>
  <c r="AK408" i="23"/>
  <c r="I408" i="23"/>
  <c r="Q408" i="23"/>
  <c r="AE408" i="23"/>
  <c r="K408" i="23"/>
  <c r="R408" i="23"/>
  <c r="AF408" i="23"/>
  <c r="AM408" i="23"/>
  <c r="E408" i="23"/>
  <c r="L408" i="23"/>
  <c r="S408" i="23"/>
  <c r="AG408" i="23"/>
  <c r="G408" i="23"/>
  <c r="N408" i="23"/>
  <c r="I324" i="23"/>
  <c r="AG324" i="23"/>
  <c r="AM324" i="23"/>
  <c r="F324" i="23"/>
  <c r="L324" i="23"/>
  <c r="R324" i="23"/>
  <c r="H324" i="23"/>
  <c r="Q324" i="23"/>
  <c r="J324" i="23"/>
  <c r="S324" i="23"/>
  <c r="AK324" i="23"/>
  <c r="K324" i="23"/>
  <c r="D324" i="23"/>
  <c r="M324" i="23"/>
  <c r="AE324" i="23"/>
  <c r="E324" i="23"/>
  <c r="N324" i="23"/>
  <c r="AF324" i="23"/>
  <c r="G324" i="23"/>
  <c r="P324" i="23"/>
  <c r="G258" i="23"/>
  <c r="M258" i="23"/>
  <c r="S258" i="23"/>
  <c r="AE258" i="23"/>
  <c r="AK258" i="23"/>
  <c r="H258" i="23"/>
  <c r="N258" i="23"/>
  <c r="AF258" i="23"/>
  <c r="I258" i="23"/>
  <c r="AG258" i="23"/>
  <c r="AM258" i="23"/>
  <c r="D258" i="23"/>
  <c r="J258" i="23"/>
  <c r="P258" i="23"/>
  <c r="E258" i="23"/>
  <c r="K258" i="23"/>
  <c r="Q258" i="23"/>
  <c r="F258" i="23"/>
  <c r="L258" i="23"/>
  <c r="R258" i="23"/>
  <c r="H564" i="23"/>
  <c r="N564" i="23"/>
  <c r="AF564" i="23"/>
  <c r="I564" i="23"/>
  <c r="AG564" i="23"/>
  <c r="AM564" i="23"/>
  <c r="D564" i="23"/>
  <c r="J564" i="23"/>
  <c r="P564" i="23"/>
  <c r="E564" i="23"/>
  <c r="K564" i="23"/>
  <c r="Q564" i="23"/>
  <c r="G564" i="23"/>
  <c r="M564" i="23"/>
  <c r="S564" i="23"/>
  <c r="AE564" i="23"/>
  <c r="AK564" i="23"/>
  <c r="F564" i="23"/>
  <c r="L564" i="23"/>
  <c r="R564" i="23"/>
  <c r="H510" i="23"/>
  <c r="N510" i="23"/>
  <c r="AF510" i="23"/>
  <c r="E510" i="23"/>
  <c r="L510" i="23"/>
  <c r="S510" i="23"/>
  <c r="F510" i="23"/>
  <c r="M510" i="23"/>
  <c r="G510" i="23"/>
  <c r="I510" i="23"/>
  <c r="P510" i="23"/>
  <c r="AK510" i="23"/>
  <c r="J510" i="23"/>
  <c r="Q510" i="23"/>
  <c r="AE510" i="23"/>
  <c r="D510" i="23"/>
  <c r="K510" i="23"/>
  <c r="R510" i="23"/>
  <c r="AG510" i="23"/>
  <c r="AM510" i="23"/>
  <c r="H456" i="23"/>
  <c r="N456" i="23"/>
  <c r="AF456" i="23"/>
  <c r="G456" i="23"/>
  <c r="M456" i="23"/>
  <c r="S456" i="23"/>
  <c r="AE456" i="23"/>
  <c r="AK456" i="23"/>
  <c r="K456" i="23"/>
  <c r="D456" i="23"/>
  <c r="L456" i="23"/>
  <c r="AM456" i="23"/>
  <c r="E456" i="23"/>
  <c r="AG456" i="23"/>
  <c r="F456" i="23"/>
  <c r="P456" i="23"/>
  <c r="I456" i="23"/>
  <c r="Q456" i="23"/>
  <c r="J456" i="23"/>
  <c r="R456" i="23"/>
  <c r="H404" i="23"/>
  <c r="N404" i="23"/>
  <c r="AF404" i="23"/>
  <c r="D404" i="23"/>
  <c r="K404" i="23"/>
  <c r="R404" i="23"/>
  <c r="AG404" i="23"/>
  <c r="AM404" i="23"/>
  <c r="F404" i="23"/>
  <c r="M404" i="23"/>
  <c r="G404" i="23"/>
  <c r="I404" i="23"/>
  <c r="P404" i="23"/>
  <c r="AK404" i="23"/>
  <c r="J404" i="23"/>
  <c r="Q404" i="23"/>
  <c r="AE404" i="23"/>
  <c r="E404" i="23"/>
  <c r="L404" i="23"/>
  <c r="S404" i="23"/>
  <c r="H354" i="23"/>
  <c r="N354" i="23"/>
  <c r="AF354" i="23"/>
  <c r="I354" i="23"/>
  <c r="AG354" i="23"/>
  <c r="AM354" i="23"/>
  <c r="D354" i="23"/>
  <c r="J354" i="23"/>
  <c r="P354" i="23"/>
  <c r="E354" i="23"/>
  <c r="K354" i="23"/>
  <c r="Q354" i="23"/>
  <c r="F354" i="23"/>
  <c r="L354" i="23"/>
  <c r="R354" i="23"/>
  <c r="AK354" i="23"/>
  <c r="G354" i="23"/>
  <c r="M354" i="23"/>
  <c r="S354" i="23"/>
  <c r="AE354" i="23"/>
  <c r="I300" i="23"/>
  <c r="AG300" i="23"/>
  <c r="AM300" i="23"/>
  <c r="E300" i="23"/>
  <c r="K300" i="23"/>
  <c r="Q300" i="23"/>
  <c r="F300" i="23"/>
  <c r="L300" i="23"/>
  <c r="R300" i="23"/>
  <c r="H300" i="23"/>
  <c r="N300" i="23"/>
  <c r="AF300" i="23"/>
  <c r="G300" i="23"/>
  <c r="J300" i="23"/>
  <c r="M300" i="23"/>
  <c r="AE300" i="23"/>
  <c r="P300" i="23"/>
  <c r="S300" i="23"/>
  <c r="AK300" i="23"/>
  <c r="D300" i="23"/>
  <c r="E567" i="23"/>
  <c r="K567" i="23"/>
  <c r="Q567" i="23"/>
  <c r="F567" i="23"/>
  <c r="L567" i="23"/>
  <c r="R567" i="23"/>
  <c r="G567" i="23"/>
  <c r="M567" i="23"/>
  <c r="S567" i="23"/>
  <c r="AE567" i="23"/>
  <c r="AK567" i="23"/>
  <c r="H567" i="23"/>
  <c r="N567" i="23"/>
  <c r="AF567" i="23"/>
  <c r="D567" i="23"/>
  <c r="J567" i="23"/>
  <c r="P567" i="23"/>
  <c r="AG567" i="23"/>
  <c r="I567" i="23"/>
  <c r="AM567" i="23"/>
  <c r="E513" i="23"/>
  <c r="K513" i="23"/>
  <c r="Q513" i="23"/>
  <c r="H513" i="23"/>
  <c r="AK513" i="23"/>
  <c r="I513" i="23"/>
  <c r="P513" i="23"/>
  <c r="AE513" i="23"/>
  <c r="J513" i="23"/>
  <c r="R513" i="23"/>
  <c r="AF513" i="23"/>
  <c r="AM513" i="23"/>
  <c r="D513" i="23"/>
  <c r="L513" i="23"/>
  <c r="S513" i="23"/>
  <c r="AG513" i="23"/>
  <c r="F513" i="23"/>
  <c r="M513" i="23"/>
  <c r="G513" i="23"/>
  <c r="N513" i="23"/>
  <c r="D459" i="23"/>
  <c r="J459" i="23"/>
  <c r="P459" i="23"/>
  <c r="I459" i="23"/>
  <c r="Q459" i="23"/>
  <c r="AE459" i="23"/>
  <c r="K459" i="23"/>
  <c r="R459" i="23"/>
  <c r="AF459" i="23"/>
  <c r="AM459" i="23"/>
  <c r="E459" i="23"/>
  <c r="L459" i="23"/>
  <c r="S459" i="23"/>
  <c r="AG459" i="23"/>
  <c r="F459" i="23"/>
  <c r="M459" i="23"/>
  <c r="G459" i="23"/>
  <c r="N459" i="23"/>
  <c r="H459" i="23"/>
  <c r="AK459" i="23"/>
  <c r="F377" i="23"/>
  <c r="L377" i="23"/>
  <c r="R377" i="23"/>
  <c r="G377" i="23"/>
  <c r="M377" i="23"/>
  <c r="S377" i="23"/>
  <c r="AE377" i="23"/>
  <c r="AK377" i="23"/>
  <c r="H377" i="23"/>
  <c r="N377" i="23"/>
  <c r="AF377" i="23"/>
  <c r="I377" i="23"/>
  <c r="AG377" i="23"/>
  <c r="AM377" i="23"/>
  <c r="D377" i="23"/>
  <c r="J377" i="23"/>
  <c r="P377" i="23"/>
  <c r="E377" i="23"/>
  <c r="K377" i="23"/>
  <c r="Q377" i="23"/>
  <c r="G296" i="23"/>
  <c r="M296" i="23"/>
  <c r="S296" i="23"/>
  <c r="AE296" i="23"/>
  <c r="AK296" i="23"/>
  <c r="I296" i="23"/>
  <c r="AG296" i="23"/>
  <c r="AM296" i="23"/>
  <c r="D296" i="23"/>
  <c r="J296" i="23"/>
  <c r="P296" i="23"/>
  <c r="F296" i="23"/>
  <c r="L296" i="23"/>
  <c r="R296" i="23"/>
  <c r="H296" i="23"/>
  <c r="K296" i="23"/>
  <c r="N296" i="23"/>
  <c r="AF296" i="23"/>
  <c r="Q296" i="23"/>
  <c r="E296" i="23"/>
  <c r="F469" i="23"/>
  <c r="L469" i="23"/>
  <c r="R469" i="23"/>
  <c r="I469" i="23"/>
  <c r="P469" i="23"/>
  <c r="AE469" i="23"/>
  <c r="J469" i="23"/>
  <c r="Q469" i="23"/>
  <c r="AF469" i="23"/>
  <c r="AM469" i="23"/>
  <c r="D469" i="23"/>
  <c r="K469" i="23"/>
  <c r="S469" i="23"/>
  <c r="AG469" i="23"/>
  <c r="E469" i="23"/>
  <c r="M469" i="23"/>
  <c r="G469" i="23"/>
  <c r="N469" i="23"/>
  <c r="H469" i="23"/>
  <c r="AK469" i="23"/>
  <c r="D414" i="23"/>
  <c r="J414" i="23"/>
  <c r="P414" i="23"/>
  <c r="E414" i="23"/>
  <c r="L414" i="23"/>
  <c r="S414" i="23"/>
  <c r="AG414" i="23"/>
  <c r="G414" i="23"/>
  <c r="N414" i="23"/>
  <c r="H414" i="23"/>
  <c r="AK414" i="23"/>
  <c r="I414" i="23"/>
  <c r="Q414" i="23"/>
  <c r="AE414" i="23"/>
  <c r="K414" i="23"/>
  <c r="R414" i="23"/>
  <c r="AF414" i="23"/>
  <c r="AM414" i="23"/>
  <c r="F414" i="23"/>
  <c r="M414" i="23"/>
  <c r="E357" i="23"/>
  <c r="K357" i="23"/>
  <c r="Q357" i="23"/>
  <c r="F357" i="23"/>
  <c r="L357" i="23"/>
  <c r="R357" i="23"/>
  <c r="G357" i="23"/>
  <c r="M357" i="23"/>
  <c r="S357" i="23"/>
  <c r="AE357" i="23"/>
  <c r="AK357" i="23"/>
  <c r="H357" i="23"/>
  <c r="N357" i="23"/>
  <c r="AF357" i="23"/>
  <c r="I357" i="23"/>
  <c r="AG357" i="23"/>
  <c r="AM357" i="23"/>
  <c r="D357" i="23"/>
  <c r="J357" i="23"/>
  <c r="P357" i="23"/>
  <c r="F303" i="23"/>
  <c r="L303" i="23"/>
  <c r="R303" i="23"/>
  <c r="I303" i="23"/>
  <c r="AG303" i="23"/>
  <c r="AM303" i="23"/>
  <c r="E303" i="23"/>
  <c r="K303" i="23"/>
  <c r="Q303" i="23"/>
  <c r="H303" i="23"/>
  <c r="AF303" i="23"/>
  <c r="J303" i="23"/>
  <c r="M303" i="23"/>
  <c r="AK303" i="23"/>
  <c r="N303" i="23"/>
  <c r="D303" i="23"/>
  <c r="P303" i="23"/>
  <c r="G303" i="23"/>
  <c r="S303" i="23"/>
  <c r="AE303" i="23"/>
  <c r="F584" i="23"/>
  <c r="L584" i="23"/>
  <c r="R584" i="23"/>
  <c r="H584" i="23"/>
  <c r="N584" i="23"/>
  <c r="AF584" i="23"/>
  <c r="I584" i="23"/>
  <c r="AG584" i="23"/>
  <c r="AM584" i="23"/>
  <c r="E584" i="23"/>
  <c r="K584" i="23"/>
  <c r="Q584" i="23"/>
  <c r="S584" i="23"/>
  <c r="AK584" i="23"/>
  <c r="D584" i="23"/>
  <c r="G584" i="23"/>
  <c r="J584" i="23"/>
  <c r="M584" i="23"/>
  <c r="AE584" i="23"/>
  <c r="P584" i="23"/>
  <c r="F566" i="23"/>
  <c r="L566" i="23"/>
  <c r="R566" i="23"/>
  <c r="G566" i="23"/>
  <c r="M566" i="23"/>
  <c r="S566" i="23"/>
  <c r="AE566" i="23"/>
  <c r="AK566" i="23"/>
  <c r="H566" i="23"/>
  <c r="N566" i="23"/>
  <c r="AF566" i="23"/>
  <c r="I566" i="23"/>
  <c r="AG566" i="23"/>
  <c r="AM566" i="23"/>
  <c r="E566" i="23"/>
  <c r="K566" i="23"/>
  <c r="Q566" i="23"/>
  <c r="D566" i="23"/>
  <c r="J566" i="23"/>
  <c r="P566" i="23"/>
  <c r="F548" i="23"/>
  <c r="L548" i="23"/>
  <c r="R548" i="23"/>
  <c r="G548" i="23"/>
  <c r="M548" i="23"/>
  <c r="S548" i="23"/>
  <c r="AE548" i="23"/>
  <c r="AK548" i="23"/>
  <c r="H548" i="23"/>
  <c r="N548" i="23"/>
  <c r="AF548" i="23"/>
  <c r="I548" i="23"/>
  <c r="AG548" i="23"/>
  <c r="AM548" i="23"/>
  <c r="E548" i="23"/>
  <c r="K548" i="23"/>
  <c r="Q548" i="23"/>
  <c r="P548" i="23"/>
  <c r="D548" i="23"/>
  <c r="J548" i="23"/>
  <c r="F530" i="23"/>
  <c r="L530" i="23"/>
  <c r="R530" i="23"/>
  <c r="G530" i="23"/>
  <c r="M530" i="23"/>
  <c r="S530" i="23"/>
  <c r="AE530" i="23"/>
  <c r="AK530" i="23"/>
  <c r="H530" i="23"/>
  <c r="N530" i="23"/>
  <c r="AF530" i="23"/>
  <c r="I530" i="23"/>
  <c r="AG530" i="23"/>
  <c r="AM530" i="23"/>
  <c r="E530" i="23"/>
  <c r="K530" i="23"/>
  <c r="Q530" i="23"/>
  <c r="D530" i="23"/>
  <c r="J530" i="23"/>
  <c r="P530" i="23"/>
  <c r="F512" i="23"/>
  <c r="L512" i="23"/>
  <c r="R512" i="23"/>
  <c r="I512" i="23"/>
  <c r="P512" i="23"/>
  <c r="AE512" i="23"/>
  <c r="J512" i="23"/>
  <c r="Q512" i="23"/>
  <c r="AF512" i="23"/>
  <c r="AM512" i="23"/>
  <c r="D512" i="23"/>
  <c r="K512" i="23"/>
  <c r="S512" i="23"/>
  <c r="AG512" i="23"/>
  <c r="E512" i="23"/>
  <c r="M512" i="23"/>
  <c r="G512" i="23"/>
  <c r="N512" i="23"/>
  <c r="H512" i="23"/>
  <c r="AK512" i="23"/>
  <c r="G494" i="23"/>
  <c r="M494" i="23"/>
  <c r="S494" i="23"/>
  <c r="AE494" i="23"/>
  <c r="AK494" i="23"/>
  <c r="H494" i="23"/>
  <c r="N494" i="23"/>
  <c r="AF494" i="23"/>
  <c r="I494" i="23"/>
  <c r="AG494" i="23"/>
  <c r="AM494" i="23"/>
  <c r="D494" i="23"/>
  <c r="J494" i="23"/>
  <c r="P494" i="23"/>
  <c r="E494" i="23"/>
  <c r="K494" i="23"/>
  <c r="Q494" i="23"/>
  <c r="F494" i="23"/>
  <c r="L494" i="23"/>
  <c r="R494" i="23"/>
  <c r="E476" i="23"/>
  <c r="K476" i="23"/>
  <c r="Q476" i="23"/>
  <c r="G476" i="23"/>
  <c r="N476" i="23"/>
  <c r="H476" i="23"/>
  <c r="AK476" i="23"/>
  <c r="I476" i="23"/>
  <c r="P476" i="23"/>
  <c r="AE476" i="23"/>
  <c r="J476" i="23"/>
  <c r="R476" i="23"/>
  <c r="AF476" i="23"/>
  <c r="AM476" i="23"/>
  <c r="D476" i="23"/>
  <c r="L476" i="23"/>
  <c r="S476" i="23"/>
  <c r="AG476" i="23"/>
  <c r="F476" i="23"/>
  <c r="M476" i="23"/>
  <c r="E458" i="23"/>
  <c r="K458" i="23"/>
  <c r="Q458" i="23"/>
  <c r="J458" i="23"/>
  <c r="R458" i="23"/>
  <c r="AF458" i="23"/>
  <c r="AM458" i="23"/>
  <c r="D458" i="23"/>
  <c r="L458" i="23"/>
  <c r="S458" i="23"/>
  <c r="AG458" i="23"/>
  <c r="F458" i="23"/>
  <c r="M458" i="23"/>
  <c r="G458" i="23"/>
  <c r="N458" i="23"/>
  <c r="H458" i="23"/>
  <c r="AK458" i="23"/>
  <c r="I458" i="23"/>
  <c r="P458" i="23"/>
  <c r="AE458" i="23"/>
  <c r="F440" i="23"/>
  <c r="L440" i="23"/>
  <c r="R440" i="23"/>
  <c r="I440" i="23"/>
  <c r="AG440" i="23"/>
  <c r="AM440" i="23"/>
  <c r="D440" i="23"/>
  <c r="J440" i="23"/>
  <c r="P440" i="23"/>
  <c r="E440" i="23"/>
  <c r="K440" i="23"/>
  <c r="Q440" i="23"/>
  <c r="G440" i="23"/>
  <c r="H440" i="23"/>
  <c r="M440" i="23"/>
  <c r="AE440" i="23"/>
  <c r="N440" i="23"/>
  <c r="AF440" i="23"/>
  <c r="S440" i="23"/>
  <c r="AK440" i="23"/>
  <c r="D402" i="23"/>
  <c r="J402" i="23"/>
  <c r="P402" i="23"/>
  <c r="G402" i="23"/>
  <c r="N402" i="23"/>
  <c r="I402" i="23"/>
  <c r="Q402" i="23"/>
  <c r="AE402" i="23"/>
  <c r="K402" i="23"/>
  <c r="R402" i="23"/>
  <c r="AF402" i="23"/>
  <c r="AM402" i="23"/>
  <c r="E402" i="23"/>
  <c r="L402" i="23"/>
  <c r="S402" i="23"/>
  <c r="AG402" i="23"/>
  <c r="F402" i="23"/>
  <c r="M402" i="23"/>
  <c r="H402" i="23"/>
  <c r="AK402" i="23"/>
  <c r="E345" i="23"/>
  <c r="K345" i="23"/>
  <c r="Q345" i="23"/>
  <c r="F345" i="23"/>
  <c r="L345" i="23"/>
  <c r="R345" i="23"/>
  <c r="G345" i="23"/>
  <c r="M345" i="23"/>
  <c r="S345" i="23"/>
  <c r="AE345" i="23"/>
  <c r="AK345" i="23"/>
  <c r="H345" i="23"/>
  <c r="N345" i="23"/>
  <c r="AF345" i="23"/>
  <c r="I345" i="23"/>
  <c r="AG345" i="23"/>
  <c r="AM345" i="23"/>
  <c r="D345" i="23"/>
  <c r="J345" i="23"/>
  <c r="P345" i="23"/>
  <c r="F291" i="23"/>
  <c r="L291" i="23"/>
  <c r="R291" i="23"/>
  <c r="H291" i="23"/>
  <c r="N291" i="23"/>
  <c r="AF291" i="23"/>
  <c r="I291" i="23"/>
  <c r="AG291" i="23"/>
  <c r="AM291" i="23"/>
  <c r="E291" i="23"/>
  <c r="K291" i="23"/>
  <c r="Q291" i="23"/>
  <c r="P291" i="23"/>
  <c r="S291" i="23"/>
  <c r="AK291" i="23"/>
  <c r="D291" i="23"/>
  <c r="G291" i="23"/>
  <c r="J291" i="23"/>
  <c r="M291" i="23"/>
  <c r="AE291" i="23"/>
  <c r="D186" i="23"/>
  <c r="J186" i="23"/>
  <c r="P186" i="23"/>
  <c r="E186" i="23"/>
  <c r="K186" i="23"/>
  <c r="Q186" i="23"/>
  <c r="F186" i="23"/>
  <c r="L186" i="23"/>
  <c r="R186" i="23"/>
  <c r="H186" i="23"/>
  <c r="N186" i="23"/>
  <c r="AF186" i="23"/>
  <c r="M186" i="23"/>
  <c r="AE186" i="23"/>
  <c r="AG186" i="23"/>
  <c r="S186" i="23"/>
  <c r="AK186" i="23"/>
  <c r="G186" i="23"/>
  <c r="AM186" i="23"/>
  <c r="I186" i="23"/>
  <c r="F24" i="23"/>
  <c r="L24" i="23"/>
  <c r="R24" i="23"/>
  <c r="J24" i="23"/>
  <c r="Q24" i="23"/>
  <c r="AF24" i="23"/>
  <c r="AM24" i="23"/>
  <c r="D24" i="23"/>
  <c r="K24" i="23"/>
  <c r="S24" i="23"/>
  <c r="AG24" i="23"/>
  <c r="E24" i="23"/>
  <c r="M24" i="23"/>
  <c r="G24" i="23"/>
  <c r="N24" i="23"/>
  <c r="I24" i="23"/>
  <c r="P24" i="23"/>
  <c r="AE24" i="23"/>
  <c r="AK24" i="23"/>
  <c r="H24" i="23"/>
  <c r="H60" i="23"/>
  <c r="N60" i="23"/>
  <c r="AF60" i="23"/>
  <c r="D60" i="23"/>
  <c r="J60" i="23"/>
  <c r="P60" i="23"/>
  <c r="F60" i="23"/>
  <c r="L60" i="23"/>
  <c r="R60" i="23"/>
  <c r="G60" i="23"/>
  <c r="S60" i="23"/>
  <c r="AE60" i="23"/>
  <c r="I60" i="23"/>
  <c r="AG60" i="23"/>
  <c r="K60" i="23"/>
  <c r="M60" i="23"/>
  <c r="AK60" i="23"/>
  <c r="E60" i="23"/>
  <c r="Q60" i="23"/>
  <c r="AM60" i="23"/>
  <c r="H257" i="23"/>
  <c r="N257" i="23"/>
  <c r="AF257" i="23"/>
  <c r="I257" i="23"/>
  <c r="AG257" i="23"/>
  <c r="AM257" i="23"/>
  <c r="D257" i="23"/>
  <c r="T12" i="120" s="1"/>
  <c r="J257" i="23"/>
  <c r="P257" i="23"/>
  <c r="E257" i="23"/>
  <c r="K257" i="23"/>
  <c r="Q257" i="23"/>
  <c r="F257" i="23"/>
  <c r="L257" i="23"/>
  <c r="R257" i="23"/>
  <c r="G257" i="23"/>
  <c r="M257" i="23"/>
  <c r="S257" i="23"/>
  <c r="AE257" i="23"/>
  <c r="AK257" i="23"/>
  <c r="I42" i="23"/>
  <c r="AG42" i="23"/>
  <c r="AM42" i="23"/>
  <c r="F42" i="23"/>
  <c r="L42" i="23"/>
  <c r="R42" i="23"/>
  <c r="E42" i="23"/>
  <c r="N42" i="23"/>
  <c r="AF42" i="23"/>
  <c r="G42" i="23"/>
  <c r="P42" i="23"/>
  <c r="H42" i="23"/>
  <c r="Q42" i="23"/>
  <c r="J42" i="23"/>
  <c r="S42" i="23"/>
  <c r="AK42" i="23"/>
  <c r="D42" i="23"/>
  <c r="M42" i="23"/>
  <c r="AE42" i="23"/>
  <c r="K42" i="23"/>
  <c r="D255" i="23"/>
  <c r="J255" i="23"/>
  <c r="P255" i="23"/>
  <c r="E255" i="23"/>
  <c r="K255" i="23"/>
  <c r="Q255" i="23"/>
  <c r="F255" i="23"/>
  <c r="L255" i="23"/>
  <c r="R255" i="23"/>
  <c r="G255" i="23"/>
  <c r="M255" i="23"/>
  <c r="S255" i="23"/>
  <c r="AE255" i="23"/>
  <c r="AK255" i="23"/>
  <c r="H255" i="23"/>
  <c r="N255" i="23"/>
  <c r="AF255" i="23"/>
  <c r="I255" i="23"/>
  <c r="AG255" i="23"/>
  <c r="AM255" i="23"/>
  <c r="H201" i="23"/>
  <c r="N201" i="23"/>
  <c r="AF201" i="23"/>
  <c r="I201" i="23"/>
  <c r="AG201" i="23"/>
  <c r="AM201" i="23"/>
  <c r="D201" i="23"/>
  <c r="J201" i="23"/>
  <c r="P201" i="23"/>
  <c r="E201" i="23"/>
  <c r="K201" i="23"/>
  <c r="Q201" i="23"/>
  <c r="F201" i="23"/>
  <c r="L201" i="23"/>
  <c r="R201" i="23"/>
  <c r="G201" i="23"/>
  <c r="M201" i="23"/>
  <c r="S201" i="23"/>
  <c r="AE201" i="23"/>
  <c r="AK201" i="23"/>
  <c r="H147" i="23"/>
  <c r="N147" i="23"/>
  <c r="AF147" i="23"/>
  <c r="I147" i="23"/>
  <c r="AG147" i="23"/>
  <c r="AM147" i="23"/>
  <c r="D147" i="23"/>
  <c r="J147" i="23"/>
  <c r="P147" i="23"/>
  <c r="E147" i="23"/>
  <c r="K147" i="23"/>
  <c r="Q147" i="23"/>
  <c r="F147" i="23"/>
  <c r="L147" i="23"/>
  <c r="R147" i="23"/>
  <c r="G147" i="23"/>
  <c r="M147" i="23"/>
  <c r="S147" i="23"/>
  <c r="AE147" i="23"/>
  <c r="AK147" i="23"/>
  <c r="G93" i="23"/>
  <c r="M93" i="23"/>
  <c r="S93" i="23"/>
  <c r="AE93" i="23"/>
  <c r="AK93" i="23"/>
  <c r="H93" i="23"/>
  <c r="N93" i="23"/>
  <c r="AF93" i="23"/>
  <c r="I93" i="23"/>
  <c r="AG93" i="23"/>
  <c r="AM93" i="23"/>
  <c r="D93" i="23"/>
  <c r="J93" i="23"/>
  <c r="P93" i="23"/>
  <c r="E93" i="23"/>
  <c r="K93" i="23"/>
  <c r="Q93" i="23"/>
  <c r="F93" i="23"/>
  <c r="L93" i="23"/>
  <c r="R93" i="23"/>
  <c r="E39" i="23"/>
  <c r="K39" i="23"/>
  <c r="Q39" i="23"/>
  <c r="F39" i="23"/>
  <c r="L39" i="23"/>
  <c r="R39" i="23"/>
  <c r="I39" i="23"/>
  <c r="AG39" i="23"/>
  <c r="AM39" i="23"/>
  <c r="M39" i="23"/>
  <c r="AK39" i="23"/>
  <c r="N39" i="23"/>
  <c r="D39" i="23"/>
  <c r="P39" i="23"/>
  <c r="G39" i="23"/>
  <c r="S39" i="23"/>
  <c r="AE39" i="23"/>
  <c r="J39" i="23"/>
  <c r="H39" i="23"/>
  <c r="AF39" i="23"/>
  <c r="E225" i="23"/>
  <c r="K225" i="23"/>
  <c r="Q225" i="23"/>
  <c r="D225" i="23"/>
  <c r="L225" i="23"/>
  <c r="S225" i="23"/>
  <c r="AG225" i="23"/>
  <c r="F225" i="23"/>
  <c r="M225" i="23"/>
  <c r="G225" i="23"/>
  <c r="N225" i="23"/>
  <c r="H225" i="23"/>
  <c r="AK225" i="23"/>
  <c r="I225" i="23"/>
  <c r="P225" i="23"/>
  <c r="AE225" i="23"/>
  <c r="J225" i="23"/>
  <c r="R225" i="23"/>
  <c r="AF225" i="23"/>
  <c r="AM225" i="23"/>
  <c r="F171" i="23"/>
  <c r="L171" i="23"/>
  <c r="R171" i="23"/>
  <c r="G171" i="23"/>
  <c r="M171" i="23"/>
  <c r="S171" i="23"/>
  <c r="AE171" i="23"/>
  <c r="AK171" i="23"/>
  <c r="H171" i="23"/>
  <c r="N171" i="23"/>
  <c r="AF171" i="23"/>
  <c r="I171" i="23"/>
  <c r="AG171" i="23"/>
  <c r="AM171" i="23"/>
  <c r="D171" i="23"/>
  <c r="J171" i="23"/>
  <c r="P171" i="23"/>
  <c r="E171" i="23"/>
  <c r="K171" i="23"/>
  <c r="Q171" i="23"/>
  <c r="D117" i="23"/>
  <c r="J117" i="23"/>
  <c r="P117" i="23"/>
  <c r="E117" i="23"/>
  <c r="K117" i="23"/>
  <c r="Q117" i="23"/>
  <c r="F117" i="23"/>
  <c r="L117" i="23"/>
  <c r="R117" i="23"/>
  <c r="G117" i="23"/>
  <c r="M117" i="23"/>
  <c r="S117" i="23"/>
  <c r="AE117" i="23"/>
  <c r="AK117" i="23"/>
  <c r="H117" i="23"/>
  <c r="N117" i="23"/>
  <c r="AF117" i="23"/>
  <c r="I117" i="23"/>
  <c r="AG117" i="23"/>
  <c r="AM117" i="23"/>
  <c r="E63" i="23"/>
  <c r="K63" i="23"/>
  <c r="Q63" i="23"/>
  <c r="I63" i="23"/>
  <c r="AG63" i="23"/>
  <c r="AM63" i="23"/>
  <c r="H63" i="23"/>
  <c r="R63" i="23"/>
  <c r="J63" i="23"/>
  <c r="S63" i="23"/>
  <c r="AK63" i="23"/>
  <c r="L63" i="23"/>
  <c r="D63" i="23"/>
  <c r="M63" i="23"/>
  <c r="AE63" i="23"/>
  <c r="G63" i="23"/>
  <c r="P63" i="23"/>
  <c r="AF63" i="23"/>
  <c r="F63" i="23"/>
  <c r="N63" i="23"/>
  <c r="D9" i="23"/>
  <c r="J9" i="23"/>
  <c r="P9" i="23"/>
  <c r="F9" i="23"/>
  <c r="L9" i="23"/>
  <c r="R9" i="23"/>
  <c r="G9" i="23"/>
  <c r="M9" i="23"/>
  <c r="S9" i="23"/>
  <c r="H9" i="23"/>
  <c r="N9" i="23"/>
  <c r="AF9" i="23"/>
  <c r="E9" i="23"/>
  <c r="I9" i="23"/>
  <c r="AK9" i="23"/>
  <c r="K9" i="23"/>
  <c r="AE9" i="23"/>
  <c r="AM9" i="23"/>
  <c r="Q9" i="23"/>
  <c r="AG9" i="23"/>
  <c r="F203" i="23"/>
  <c r="L203" i="23"/>
  <c r="R203" i="23"/>
  <c r="G203" i="23"/>
  <c r="M203" i="23"/>
  <c r="S203" i="23"/>
  <c r="AE203" i="23"/>
  <c r="AK203" i="23"/>
  <c r="H203" i="23"/>
  <c r="N203" i="23"/>
  <c r="AF203" i="23"/>
  <c r="I203" i="23"/>
  <c r="AG203" i="23"/>
  <c r="AM203" i="23"/>
  <c r="D203" i="23"/>
  <c r="J203" i="23"/>
  <c r="P203" i="23"/>
  <c r="E203" i="23"/>
  <c r="K203" i="23"/>
  <c r="Q203" i="23"/>
  <c r="F149" i="23"/>
  <c r="L149" i="23"/>
  <c r="R149" i="23"/>
  <c r="G149" i="23"/>
  <c r="M149" i="23"/>
  <c r="S149" i="23"/>
  <c r="AE149" i="23"/>
  <c r="AK149" i="23"/>
  <c r="H149" i="23"/>
  <c r="N149" i="23"/>
  <c r="AF149" i="23"/>
  <c r="I149" i="23"/>
  <c r="AG149" i="23"/>
  <c r="AM149" i="23"/>
  <c r="D149" i="23"/>
  <c r="J149" i="23"/>
  <c r="P149" i="23"/>
  <c r="E149" i="23"/>
  <c r="K149" i="23"/>
  <c r="Q149" i="23"/>
  <c r="E95" i="23"/>
  <c r="K95" i="23"/>
  <c r="Q95" i="23"/>
  <c r="F95" i="23"/>
  <c r="L95" i="23"/>
  <c r="R95" i="23"/>
  <c r="G95" i="23"/>
  <c r="M95" i="23"/>
  <c r="S95" i="23"/>
  <c r="AE95" i="23"/>
  <c r="AK95" i="23"/>
  <c r="H95" i="23"/>
  <c r="N95" i="23"/>
  <c r="AF95" i="23"/>
  <c r="I95" i="23"/>
  <c r="AG95" i="23"/>
  <c r="AM95" i="23"/>
  <c r="D95" i="23"/>
  <c r="J95" i="23"/>
  <c r="P95" i="23"/>
  <c r="D41" i="23"/>
  <c r="J41" i="23"/>
  <c r="P41" i="23"/>
  <c r="G41" i="23"/>
  <c r="M41" i="23"/>
  <c r="S41" i="23"/>
  <c r="AE41" i="23"/>
  <c r="AK41" i="23"/>
  <c r="H41" i="23"/>
  <c r="Q41" i="23"/>
  <c r="I41" i="23"/>
  <c r="R41" i="23"/>
  <c r="K41" i="23"/>
  <c r="L41" i="23"/>
  <c r="AM41" i="23"/>
  <c r="F41" i="23"/>
  <c r="AG41" i="23"/>
  <c r="E41" i="23"/>
  <c r="N41" i="23"/>
  <c r="AF41" i="23"/>
  <c r="D231" i="23"/>
  <c r="J231" i="23"/>
  <c r="P231" i="23"/>
  <c r="E231" i="23"/>
  <c r="K231" i="23"/>
  <c r="Q231" i="23"/>
  <c r="F231" i="23"/>
  <c r="L231" i="23"/>
  <c r="R231" i="23"/>
  <c r="G231" i="23"/>
  <c r="M231" i="23"/>
  <c r="S231" i="23"/>
  <c r="AE231" i="23"/>
  <c r="AK231" i="23"/>
  <c r="H231" i="23"/>
  <c r="N231" i="23"/>
  <c r="AF231" i="23"/>
  <c r="I231" i="23"/>
  <c r="AG231" i="23"/>
  <c r="AM231" i="23"/>
  <c r="F177" i="23"/>
  <c r="L177" i="23"/>
  <c r="R177" i="23"/>
  <c r="G177" i="23"/>
  <c r="M177" i="23"/>
  <c r="S177" i="23"/>
  <c r="AE177" i="23"/>
  <c r="AK177" i="23"/>
  <c r="H177" i="23"/>
  <c r="N177" i="23"/>
  <c r="AF177" i="23"/>
  <c r="I177" i="23"/>
  <c r="AG177" i="23"/>
  <c r="AM177" i="23"/>
  <c r="D177" i="23"/>
  <c r="J177" i="23"/>
  <c r="P177" i="23"/>
  <c r="E177" i="23"/>
  <c r="K177" i="23"/>
  <c r="Q177" i="23"/>
  <c r="D123" i="23"/>
  <c r="J123" i="23"/>
  <c r="P123" i="23"/>
  <c r="E123" i="23"/>
  <c r="K123" i="23"/>
  <c r="Q123" i="23"/>
  <c r="F123" i="23"/>
  <c r="L123" i="23"/>
  <c r="R123" i="23"/>
  <c r="G123" i="23"/>
  <c r="M123" i="23"/>
  <c r="S123" i="23"/>
  <c r="AE123" i="23"/>
  <c r="AK123" i="23"/>
  <c r="H123" i="23"/>
  <c r="N123" i="23"/>
  <c r="AF123" i="23"/>
  <c r="I123" i="23"/>
  <c r="AG123" i="23"/>
  <c r="AM123" i="23"/>
  <c r="F69" i="23"/>
  <c r="L69" i="23"/>
  <c r="R69" i="23"/>
  <c r="G69" i="23"/>
  <c r="M69" i="23"/>
  <c r="S69" i="23"/>
  <c r="AE69" i="23"/>
  <c r="AK69" i="23"/>
  <c r="H69" i="23"/>
  <c r="N69" i="23"/>
  <c r="AF69" i="23"/>
  <c r="I69" i="23"/>
  <c r="AG69" i="23"/>
  <c r="AM69" i="23"/>
  <c r="E69" i="23"/>
  <c r="K69" i="23"/>
  <c r="Q69" i="23"/>
  <c r="D69" i="23"/>
  <c r="J69" i="23"/>
  <c r="P69" i="23"/>
  <c r="D15" i="23"/>
  <c r="J15" i="23"/>
  <c r="P15" i="23"/>
  <c r="H15" i="23"/>
  <c r="N15" i="23"/>
  <c r="AF15" i="23"/>
  <c r="F15" i="23"/>
  <c r="AK15" i="23"/>
  <c r="E15" i="23"/>
  <c r="M15" i="23"/>
  <c r="G15" i="23"/>
  <c r="S15" i="23"/>
  <c r="AE15" i="23"/>
  <c r="I15" i="23"/>
  <c r="AG15" i="23"/>
  <c r="K15" i="23"/>
  <c r="L15" i="23"/>
  <c r="R15" i="23"/>
  <c r="AM15" i="23"/>
  <c r="Q15" i="23"/>
  <c r="F418" i="23"/>
  <c r="L418" i="23"/>
  <c r="R418" i="23"/>
  <c r="E418" i="23"/>
  <c r="M418" i="23"/>
  <c r="H418" i="23"/>
  <c r="AK418" i="23"/>
  <c r="I418" i="23"/>
  <c r="P418" i="23"/>
  <c r="AE418" i="23"/>
  <c r="J418" i="23"/>
  <c r="Q418" i="23"/>
  <c r="AF418" i="23"/>
  <c r="AM418" i="23"/>
  <c r="D418" i="23"/>
  <c r="K418" i="23"/>
  <c r="S418" i="23"/>
  <c r="AG418" i="23"/>
  <c r="N418" i="23"/>
  <c r="G418" i="23"/>
  <c r="F400" i="23"/>
  <c r="L400" i="23"/>
  <c r="R400" i="23"/>
  <c r="I400" i="23"/>
  <c r="P400" i="23"/>
  <c r="AE400" i="23"/>
  <c r="D400" i="23"/>
  <c r="K400" i="23"/>
  <c r="S400" i="23"/>
  <c r="AG400" i="23"/>
  <c r="E400" i="23"/>
  <c r="M400" i="23"/>
  <c r="G400" i="23"/>
  <c r="N400" i="23"/>
  <c r="H400" i="23"/>
  <c r="AK400" i="23"/>
  <c r="AF400" i="23"/>
  <c r="AM400" i="23"/>
  <c r="J400" i="23"/>
  <c r="Q400" i="23"/>
  <c r="D379" i="23"/>
  <c r="J379" i="23"/>
  <c r="P379" i="23"/>
  <c r="E379" i="23"/>
  <c r="K379" i="23"/>
  <c r="Q379" i="23"/>
  <c r="F379" i="23"/>
  <c r="L379" i="23"/>
  <c r="R379" i="23"/>
  <c r="G379" i="23"/>
  <c r="M379" i="23"/>
  <c r="S379" i="23"/>
  <c r="AE379" i="23"/>
  <c r="AK379" i="23"/>
  <c r="H379" i="23"/>
  <c r="N379" i="23"/>
  <c r="AF379" i="23"/>
  <c r="I379" i="23"/>
  <c r="AG379" i="23"/>
  <c r="AM379" i="23"/>
  <c r="G361" i="23"/>
  <c r="M361" i="23"/>
  <c r="S361" i="23"/>
  <c r="AE361" i="23"/>
  <c r="AK361" i="23"/>
  <c r="H361" i="23"/>
  <c r="N361" i="23"/>
  <c r="AF361" i="23"/>
  <c r="I361" i="23"/>
  <c r="AG361" i="23"/>
  <c r="AM361" i="23"/>
  <c r="D361" i="23"/>
  <c r="J361" i="23"/>
  <c r="P361" i="23"/>
  <c r="E361" i="23"/>
  <c r="K361" i="23"/>
  <c r="Q361" i="23"/>
  <c r="R361" i="23"/>
  <c r="F361" i="23"/>
  <c r="L361" i="23"/>
  <c r="E343" i="23"/>
  <c r="K343" i="23"/>
  <c r="Q343" i="23"/>
  <c r="H343" i="23"/>
  <c r="AK343" i="23"/>
  <c r="I343" i="23"/>
  <c r="P343" i="23"/>
  <c r="AE343" i="23"/>
  <c r="J343" i="23"/>
  <c r="R343" i="23"/>
  <c r="AF343" i="23"/>
  <c r="AM343" i="23"/>
  <c r="D343" i="23"/>
  <c r="L343" i="23"/>
  <c r="S343" i="23"/>
  <c r="AG343" i="23"/>
  <c r="F343" i="23"/>
  <c r="M343" i="23"/>
  <c r="G343" i="23"/>
  <c r="N343" i="23"/>
  <c r="H325" i="23"/>
  <c r="N325" i="23"/>
  <c r="AF325" i="23"/>
  <c r="E325" i="23"/>
  <c r="K325" i="23"/>
  <c r="Q325" i="23"/>
  <c r="G325" i="23"/>
  <c r="P325" i="23"/>
  <c r="I325" i="23"/>
  <c r="R325" i="23"/>
  <c r="J325" i="23"/>
  <c r="S325" i="23"/>
  <c r="AK325" i="23"/>
  <c r="L325" i="23"/>
  <c r="D325" i="23"/>
  <c r="M325" i="23"/>
  <c r="AE325" i="23"/>
  <c r="AM325" i="23"/>
  <c r="F325" i="23"/>
  <c r="AG325" i="23"/>
  <c r="H307" i="23"/>
  <c r="N307" i="23"/>
  <c r="AF307" i="23"/>
  <c r="E307" i="23"/>
  <c r="K307" i="23"/>
  <c r="Q307" i="23"/>
  <c r="G307" i="23"/>
  <c r="M307" i="23"/>
  <c r="S307" i="23"/>
  <c r="AE307" i="23"/>
  <c r="AK307" i="23"/>
  <c r="I307" i="23"/>
  <c r="AG307" i="23"/>
  <c r="J307" i="23"/>
  <c r="L307" i="23"/>
  <c r="D307" i="23"/>
  <c r="P307" i="23"/>
  <c r="AM307" i="23"/>
  <c r="F307" i="23"/>
  <c r="R307" i="23"/>
  <c r="H289" i="23"/>
  <c r="N289" i="23"/>
  <c r="AF289" i="23"/>
  <c r="D289" i="23"/>
  <c r="J289" i="23"/>
  <c r="P289" i="23"/>
  <c r="E289" i="23"/>
  <c r="K289" i="23"/>
  <c r="Q289" i="23"/>
  <c r="G289" i="23"/>
  <c r="M289" i="23"/>
  <c r="S289" i="23"/>
  <c r="AE289" i="23"/>
  <c r="AK289" i="23"/>
  <c r="I289" i="23"/>
  <c r="L289" i="23"/>
  <c r="AG289" i="23"/>
  <c r="R289" i="23"/>
  <c r="F289" i="23"/>
  <c r="AM289" i="23"/>
  <c r="F271" i="23"/>
  <c r="L271" i="23"/>
  <c r="R271" i="23"/>
  <c r="H271" i="23"/>
  <c r="N271" i="23"/>
  <c r="AF271" i="23"/>
  <c r="I271" i="23"/>
  <c r="AG271" i="23"/>
  <c r="AM271" i="23"/>
  <c r="G271" i="23"/>
  <c r="S271" i="23"/>
  <c r="AE271" i="23"/>
  <c r="J271" i="23"/>
  <c r="K271" i="23"/>
  <c r="M271" i="23"/>
  <c r="AK271" i="23"/>
  <c r="E271" i="23"/>
  <c r="Q271" i="23"/>
  <c r="D271" i="23"/>
  <c r="P271" i="23"/>
  <c r="H245" i="23"/>
  <c r="N245" i="23"/>
  <c r="AF245" i="23"/>
  <c r="I245" i="23"/>
  <c r="AG245" i="23"/>
  <c r="AM245" i="23"/>
  <c r="D245" i="23"/>
  <c r="J245" i="23"/>
  <c r="P245" i="23"/>
  <c r="E245" i="23"/>
  <c r="K245" i="23"/>
  <c r="Q245" i="23"/>
  <c r="F245" i="23"/>
  <c r="L245" i="23"/>
  <c r="R245" i="23"/>
  <c r="G245" i="23"/>
  <c r="M245" i="23"/>
  <c r="S245" i="23"/>
  <c r="AE245" i="23"/>
  <c r="AK245" i="23"/>
  <c r="I191" i="23"/>
  <c r="AG191" i="23"/>
  <c r="AM191" i="23"/>
  <c r="G191" i="23"/>
  <c r="N191" i="23"/>
  <c r="H191" i="23"/>
  <c r="P191" i="23"/>
  <c r="AK191" i="23"/>
  <c r="J191" i="23"/>
  <c r="Q191" i="23"/>
  <c r="AE191" i="23"/>
  <c r="D191" i="23"/>
  <c r="K191" i="23"/>
  <c r="R191" i="23"/>
  <c r="AF191" i="23"/>
  <c r="E191" i="23"/>
  <c r="L191" i="23"/>
  <c r="S191" i="23"/>
  <c r="F191" i="23"/>
  <c r="M191" i="23"/>
  <c r="F137" i="23"/>
  <c r="L137" i="23"/>
  <c r="R137" i="23"/>
  <c r="G137" i="23"/>
  <c r="M137" i="23"/>
  <c r="S137" i="23"/>
  <c r="AE137" i="23"/>
  <c r="AK137" i="23"/>
  <c r="H137" i="23"/>
  <c r="N137" i="23"/>
  <c r="AF137" i="23"/>
  <c r="I137" i="23"/>
  <c r="AG137" i="23"/>
  <c r="AM137" i="23"/>
  <c r="D137" i="23"/>
  <c r="J137" i="23"/>
  <c r="P137" i="23"/>
  <c r="E137" i="23"/>
  <c r="K137" i="23"/>
  <c r="Q137" i="23"/>
  <c r="D83" i="23"/>
  <c r="J83" i="23"/>
  <c r="P83" i="23"/>
  <c r="E83" i="23"/>
  <c r="K83" i="23"/>
  <c r="Q83" i="23"/>
  <c r="F83" i="23"/>
  <c r="L83" i="23"/>
  <c r="R83" i="23"/>
  <c r="G83" i="23"/>
  <c r="M83" i="23"/>
  <c r="S83" i="23"/>
  <c r="AE83" i="23"/>
  <c r="AK83" i="23"/>
  <c r="I83" i="23"/>
  <c r="AG83" i="23"/>
  <c r="AM83" i="23"/>
  <c r="AF83" i="23"/>
  <c r="H83" i="23"/>
  <c r="N83" i="23"/>
  <c r="I29" i="23"/>
  <c r="AG29" i="23"/>
  <c r="AM29" i="23"/>
  <c r="D29" i="23"/>
  <c r="J29" i="23"/>
  <c r="P29" i="23"/>
  <c r="E29" i="23"/>
  <c r="K29" i="23"/>
  <c r="Q29" i="23"/>
  <c r="G29" i="23"/>
  <c r="M29" i="23"/>
  <c r="S29" i="23"/>
  <c r="AE29" i="23"/>
  <c r="AK29" i="23"/>
  <c r="H29" i="23"/>
  <c r="L29" i="23"/>
  <c r="N29" i="23"/>
  <c r="AF29" i="23"/>
  <c r="R29" i="23"/>
  <c r="F29" i="23"/>
  <c r="F247" i="23"/>
  <c r="L247" i="23"/>
  <c r="R247" i="23"/>
  <c r="G247" i="23"/>
  <c r="M247" i="23"/>
  <c r="S247" i="23"/>
  <c r="AE247" i="23"/>
  <c r="AK247" i="23"/>
  <c r="H247" i="23"/>
  <c r="N247" i="23"/>
  <c r="AF247" i="23"/>
  <c r="I247" i="23"/>
  <c r="AG247" i="23"/>
  <c r="AM247" i="23"/>
  <c r="D247" i="23"/>
  <c r="J247" i="23"/>
  <c r="P247" i="23"/>
  <c r="E247" i="23"/>
  <c r="K247" i="23"/>
  <c r="Q247" i="23"/>
  <c r="F229" i="23"/>
  <c r="L229" i="23"/>
  <c r="R229" i="23"/>
  <c r="G229" i="23"/>
  <c r="M229" i="23"/>
  <c r="S229" i="23"/>
  <c r="AE229" i="23"/>
  <c r="AK229" i="23"/>
  <c r="H229" i="23"/>
  <c r="N229" i="23"/>
  <c r="AF229" i="23"/>
  <c r="I229" i="23"/>
  <c r="AG229" i="23"/>
  <c r="AM229" i="23"/>
  <c r="D229" i="23"/>
  <c r="J229" i="23"/>
  <c r="P229" i="23"/>
  <c r="E229" i="23"/>
  <c r="K229" i="23"/>
  <c r="Q229" i="23"/>
  <c r="D211" i="23"/>
  <c r="J211" i="23"/>
  <c r="P211" i="23"/>
  <c r="E211" i="23"/>
  <c r="K211" i="23"/>
  <c r="Q211" i="23"/>
  <c r="F211" i="23"/>
  <c r="L211" i="23"/>
  <c r="R211" i="23"/>
  <c r="G211" i="23"/>
  <c r="M211" i="23"/>
  <c r="S211" i="23"/>
  <c r="AE211" i="23"/>
  <c r="AK211" i="23"/>
  <c r="H211" i="23"/>
  <c r="N211" i="23"/>
  <c r="AF211" i="23"/>
  <c r="I211" i="23"/>
  <c r="AG211" i="23"/>
  <c r="AM211" i="23"/>
  <c r="D193" i="23"/>
  <c r="J193" i="23"/>
  <c r="P193" i="23"/>
  <c r="E193" i="23"/>
  <c r="K193" i="23"/>
  <c r="Q193" i="23"/>
  <c r="F193" i="23"/>
  <c r="L193" i="23"/>
  <c r="R193" i="23"/>
  <c r="G193" i="23"/>
  <c r="M193" i="23"/>
  <c r="S193" i="23"/>
  <c r="AE193" i="23"/>
  <c r="AK193" i="23"/>
  <c r="H193" i="23"/>
  <c r="N193" i="23"/>
  <c r="AF193" i="23"/>
  <c r="I193" i="23"/>
  <c r="AG193" i="23"/>
  <c r="AM193" i="23"/>
  <c r="H175" i="23"/>
  <c r="N175" i="23"/>
  <c r="AF175" i="23"/>
  <c r="I175" i="23"/>
  <c r="AG175" i="23"/>
  <c r="AM175" i="23"/>
  <c r="D175" i="23"/>
  <c r="J175" i="23"/>
  <c r="P175" i="23"/>
  <c r="E175" i="23"/>
  <c r="K175" i="23"/>
  <c r="Q175" i="23"/>
  <c r="F175" i="23"/>
  <c r="L175" i="23"/>
  <c r="R175" i="23"/>
  <c r="G175" i="23"/>
  <c r="M175" i="23"/>
  <c r="S175" i="23"/>
  <c r="AE175" i="23"/>
  <c r="AK175" i="23"/>
  <c r="D157" i="23"/>
  <c r="J157" i="23"/>
  <c r="P157" i="23"/>
  <c r="E157" i="23"/>
  <c r="K157" i="23"/>
  <c r="Q157" i="23"/>
  <c r="F157" i="23"/>
  <c r="L157" i="23"/>
  <c r="R157" i="23"/>
  <c r="G157" i="23"/>
  <c r="M157" i="23"/>
  <c r="S157" i="23"/>
  <c r="AE157" i="23"/>
  <c r="AK157" i="23"/>
  <c r="H157" i="23"/>
  <c r="N157" i="23"/>
  <c r="AF157" i="23"/>
  <c r="I157" i="23"/>
  <c r="AG157" i="23"/>
  <c r="AM157" i="23"/>
  <c r="D139" i="23"/>
  <c r="J139" i="23"/>
  <c r="P139" i="23"/>
  <c r="E139" i="23"/>
  <c r="K139" i="23"/>
  <c r="Q139" i="23"/>
  <c r="F139" i="23"/>
  <c r="L139" i="23"/>
  <c r="R139" i="23"/>
  <c r="G139" i="23"/>
  <c r="M139" i="23"/>
  <c r="S139" i="23"/>
  <c r="AE139" i="23"/>
  <c r="AK139" i="23"/>
  <c r="H139" i="23"/>
  <c r="N139" i="23"/>
  <c r="AF139" i="23"/>
  <c r="I139" i="23"/>
  <c r="AG139" i="23"/>
  <c r="AM139" i="23"/>
  <c r="F121" i="23"/>
  <c r="L121" i="23"/>
  <c r="R121" i="23"/>
  <c r="G121" i="23"/>
  <c r="M121" i="23"/>
  <c r="S121" i="23"/>
  <c r="AE121" i="23"/>
  <c r="AK121" i="23"/>
  <c r="H121" i="23"/>
  <c r="N121" i="23"/>
  <c r="AF121" i="23"/>
  <c r="I121" i="23"/>
  <c r="AG121" i="23"/>
  <c r="AM121" i="23"/>
  <c r="D121" i="23"/>
  <c r="J121" i="23"/>
  <c r="P121" i="23"/>
  <c r="E121" i="23"/>
  <c r="K121" i="23"/>
  <c r="Q121" i="23"/>
  <c r="I103" i="23"/>
  <c r="AG103" i="23"/>
  <c r="AM103" i="23"/>
  <c r="D103" i="23"/>
  <c r="J103" i="23"/>
  <c r="P103" i="23"/>
  <c r="E103" i="23"/>
  <c r="K103" i="23"/>
  <c r="Q103" i="23"/>
  <c r="F103" i="23"/>
  <c r="L103" i="23"/>
  <c r="R103" i="23"/>
  <c r="H103" i="23"/>
  <c r="N103" i="23"/>
  <c r="AF103" i="23"/>
  <c r="M103" i="23"/>
  <c r="S103" i="23"/>
  <c r="AE103" i="23"/>
  <c r="G103" i="23"/>
  <c r="AK103" i="23"/>
  <c r="D85" i="23"/>
  <c r="J85" i="23"/>
  <c r="P85" i="23"/>
  <c r="E85" i="23"/>
  <c r="K85" i="23"/>
  <c r="Q85" i="23"/>
  <c r="G85" i="23"/>
  <c r="M85" i="23"/>
  <c r="S85" i="23"/>
  <c r="AE85" i="23"/>
  <c r="AK85" i="23"/>
  <c r="N85" i="23"/>
  <c r="AM85" i="23"/>
  <c r="F85" i="23"/>
  <c r="R85" i="23"/>
  <c r="H85" i="23"/>
  <c r="AF85" i="23"/>
  <c r="I85" i="23"/>
  <c r="AG85" i="23"/>
  <c r="L85" i="23"/>
  <c r="E67" i="23"/>
  <c r="K67" i="23"/>
  <c r="Q67" i="23"/>
  <c r="I67" i="23"/>
  <c r="P67" i="23"/>
  <c r="AE67" i="23"/>
  <c r="J67" i="23"/>
  <c r="R67" i="23"/>
  <c r="AF67" i="23"/>
  <c r="AM67" i="23"/>
  <c r="D67" i="23"/>
  <c r="L67" i="23"/>
  <c r="S67" i="23"/>
  <c r="AG67" i="23"/>
  <c r="F67" i="23"/>
  <c r="M67" i="23"/>
  <c r="H67" i="23"/>
  <c r="AK67" i="23"/>
  <c r="G67" i="23"/>
  <c r="N67" i="23"/>
  <c r="F49" i="23"/>
  <c r="L49" i="23"/>
  <c r="R49" i="23"/>
  <c r="I49" i="23"/>
  <c r="AG49" i="23"/>
  <c r="AM49" i="23"/>
  <c r="E49" i="23"/>
  <c r="K49" i="23"/>
  <c r="Q49" i="23"/>
  <c r="J49" i="23"/>
  <c r="M49" i="23"/>
  <c r="AK49" i="23"/>
  <c r="N49" i="23"/>
  <c r="D49" i="23"/>
  <c r="P49" i="23"/>
  <c r="H49" i="23"/>
  <c r="AF49" i="23"/>
  <c r="G49" i="23"/>
  <c r="S49" i="23"/>
  <c r="AE49" i="23"/>
  <c r="I31" i="23"/>
  <c r="E31" i="23"/>
  <c r="K31" i="23"/>
  <c r="Q31" i="23"/>
  <c r="F31" i="23"/>
  <c r="N31" i="23"/>
  <c r="AK31" i="23"/>
  <c r="G31" i="23"/>
  <c r="P31" i="23"/>
  <c r="AE31" i="23"/>
  <c r="H31" i="23"/>
  <c r="R31" i="23"/>
  <c r="AF31" i="23"/>
  <c r="AM31" i="23"/>
  <c r="J31" i="23"/>
  <c r="S31" i="23"/>
  <c r="AG31" i="23"/>
  <c r="D31" i="23"/>
  <c r="M31" i="23"/>
  <c r="L31" i="23"/>
  <c r="F13" i="23"/>
  <c r="L13" i="23"/>
  <c r="R13" i="23"/>
  <c r="D13" i="23"/>
  <c r="J13" i="23"/>
  <c r="P13" i="23"/>
  <c r="I13" i="23"/>
  <c r="S13" i="23"/>
  <c r="AK13" i="23"/>
  <c r="E13" i="23"/>
  <c r="N13" i="23"/>
  <c r="AF13" i="23"/>
  <c r="H13" i="23"/>
  <c r="Q13" i="23"/>
  <c r="AM13" i="23"/>
  <c r="G13" i="23"/>
  <c r="K13" i="23"/>
  <c r="AG13" i="23"/>
  <c r="M13" i="23"/>
  <c r="AE13" i="23"/>
  <c r="F371" i="23"/>
  <c r="L371" i="23"/>
  <c r="R371" i="23"/>
  <c r="G371" i="23"/>
  <c r="M371" i="23"/>
  <c r="S371" i="23"/>
  <c r="AE371" i="23"/>
  <c r="AK371" i="23"/>
  <c r="H371" i="23"/>
  <c r="N371" i="23"/>
  <c r="AF371" i="23"/>
  <c r="I371" i="23"/>
  <c r="AG371" i="23"/>
  <c r="AM371" i="23"/>
  <c r="D371" i="23"/>
  <c r="J371" i="23"/>
  <c r="P371" i="23"/>
  <c r="E371" i="23"/>
  <c r="K371" i="23"/>
  <c r="Q371" i="23"/>
  <c r="G547" i="23"/>
  <c r="M547" i="23"/>
  <c r="S547" i="23"/>
  <c r="AE547" i="23"/>
  <c r="AK547" i="23"/>
  <c r="H547" i="23"/>
  <c r="N547" i="23"/>
  <c r="AF547" i="23"/>
  <c r="I547" i="23"/>
  <c r="AG547" i="23"/>
  <c r="AM547" i="23"/>
  <c r="D547" i="23"/>
  <c r="J547" i="23"/>
  <c r="P547" i="23"/>
  <c r="F547" i="23"/>
  <c r="L547" i="23"/>
  <c r="R547" i="23"/>
  <c r="E547" i="23"/>
  <c r="K547" i="23"/>
  <c r="Q547" i="23"/>
  <c r="H375" i="23"/>
  <c r="N375" i="23"/>
  <c r="AF375" i="23"/>
  <c r="I375" i="23"/>
  <c r="AG375" i="23"/>
  <c r="AM375" i="23"/>
  <c r="D375" i="23"/>
  <c r="J375" i="23"/>
  <c r="P375" i="23"/>
  <c r="E375" i="23"/>
  <c r="K375" i="23"/>
  <c r="Q375" i="23"/>
  <c r="F375" i="23"/>
  <c r="L375" i="23"/>
  <c r="R375" i="23"/>
  <c r="G375" i="23"/>
  <c r="M375" i="23"/>
  <c r="S375" i="23"/>
  <c r="AE375" i="23"/>
  <c r="AK375" i="23"/>
  <c r="F383" i="23"/>
  <c r="L383" i="23"/>
  <c r="R383" i="23"/>
  <c r="G383" i="23"/>
  <c r="M383" i="23"/>
  <c r="S383" i="23"/>
  <c r="AE383" i="23"/>
  <c r="AK383" i="23"/>
  <c r="H383" i="23"/>
  <c r="N383" i="23"/>
  <c r="AF383" i="23"/>
  <c r="I383" i="23"/>
  <c r="AG383" i="23"/>
  <c r="AM383" i="23"/>
  <c r="D383" i="23"/>
  <c r="J383" i="23"/>
  <c r="P383" i="23"/>
  <c r="E383" i="23"/>
  <c r="K383" i="23"/>
  <c r="Q383" i="23"/>
  <c r="H522" i="23"/>
  <c r="N522" i="23"/>
  <c r="AF522" i="23"/>
  <c r="I522" i="23"/>
  <c r="AG522" i="23"/>
  <c r="AM522" i="23"/>
  <c r="D522" i="23"/>
  <c r="J522" i="23"/>
  <c r="P522" i="23"/>
  <c r="E522" i="23"/>
  <c r="K522" i="23"/>
  <c r="Q522" i="23"/>
  <c r="F522" i="23"/>
  <c r="L522" i="23"/>
  <c r="R522" i="23"/>
  <c r="G522" i="23"/>
  <c r="M522" i="23"/>
  <c r="S522" i="23"/>
  <c r="AE522" i="23"/>
  <c r="AK522" i="23"/>
  <c r="H432" i="23"/>
  <c r="N432" i="23"/>
  <c r="AF432" i="23"/>
  <c r="D432" i="23"/>
  <c r="J432" i="23"/>
  <c r="P432" i="23"/>
  <c r="E432" i="23"/>
  <c r="K432" i="23"/>
  <c r="Q432" i="23"/>
  <c r="F432" i="23"/>
  <c r="L432" i="23"/>
  <c r="R432" i="23"/>
  <c r="G432" i="23"/>
  <c r="M432" i="23"/>
  <c r="S432" i="23"/>
  <c r="AE432" i="23"/>
  <c r="AK432" i="23"/>
  <c r="AG432" i="23"/>
  <c r="I432" i="23"/>
  <c r="AM432" i="23"/>
  <c r="I486" i="23"/>
  <c r="AG486" i="23"/>
  <c r="AM486" i="23"/>
  <c r="D486" i="23"/>
  <c r="J486" i="23"/>
  <c r="P486" i="23"/>
  <c r="E486" i="23"/>
  <c r="K486" i="23"/>
  <c r="Q486" i="23"/>
  <c r="F486" i="23"/>
  <c r="L486" i="23"/>
  <c r="R486" i="23"/>
  <c r="G486" i="23"/>
  <c r="M486" i="23"/>
  <c r="S486" i="23"/>
  <c r="AE486" i="23"/>
  <c r="AK486" i="23"/>
  <c r="H486" i="23"/>
  <c r="N486" i="23"/>
  <c r="AF486" i="23"/>
  <c r="H552" i="23"/>
  <c r="N552" i="23"/>
  <c r="AF552" i="23"/>
  <c r="I552" i="23"/>
  <c r="AG552" i="23"/>
  <c r="AM552" i="23"/>
  <c r="D552" i="23"/>
  <c r="J552" i="23"/>
  <c r="P552" i="23"/>
  <c r="E552" i="23"/>
  <c r="K552" i="23"/>
  <c r="Q552" i="23"/>
  <c r="G552" i="23"/>
  <c r="M552" i="23"/>
  <c r="S552" i="23"/>
  <c r="AE552" i="23"/>
  <c r="AK552" i="23"/>
  <c r="F552" i="23"/>
  <c r="L552" i="23"/>
  <c r="R552" i="23"/>
  <c r="H410" i="23"/>
  <c r="N410" i="23"/>
  <c r="AF410" i="23"/>
  <c r="J410" i="23"/>
  <c r="Q410" i="23"/>
  <c r="AE410" i="23"/>
  <c r="E410" i="23"/>
  <c r="L410" i="23"/>
  <c r="S410" i="23"/>
  <c r="F410" i="23"/>
  <c r="M410" i="23"/>
  <c r="G410" i="23"/>
  <c r="I410" i="23"/>
  <c r="P410" i="23"/>
  <c r="AK410" i="23"/>
  <c r="AG410" i="23"/>
  <c r="D410" i="23"/>
  <c r="K410" i="23"/>
  <c r="AM410" i="23"/>
  <c r="R410" i="23"/>
  <c r="D544" i="23"/>
  <c r="J544" i="23"/>
  <c r="P544" i="23"/>
  <c r="E544" i="23"/>
  <c r="K544" i="23"/>
  <c r="Q544" i="23"/>
  <c r="F544" i="23"/>
  <c r="L544" i="23"/>
  <c r="R544" i="23"/>
  <c r="G544" i="23"/>
  <c r="M544" i="23"/>
  <c r="S544" i="23"/>
  <c r="AE544" i="23"/>
  <c r="AK544" i="23"/>
  <c r="I544" i="23"/>
  <c r="AG544" i="23"/>
  <c r="AM544" i="23"/>
  <c r="H544" i="23"/>
  <c r="N544" i="23"/>
  <c r="AF544" i="23"/>
  <c r="E490" i="23"/>
  <c r="K490" i="23"/>
  <c r="Q490" i="23"/>
  <c r="F490" i="23"/>
  <c r="L490" i="23"/>
  <c r="R490" i="23"/>
  <c r="G490" i="23"/>
  <c r="M490" i="23"/>
  <c r="S490" i="23"/>
  <c r="AE490" i="23"/>
  <c r="AK490" i="23"/>
  <c r="H490" i="23"/>
  <c r="N490" i="23"/>
  <c r="AF490" i="23"/>
  <c r="I490" i="23"/>
  <c r="AG490" i="23"/>
  <c r="AM490" i="23"/>
  <c r="D490" i="23"/>
  <c r="J490" i="23"/>
  <c r="P490" i="23"/>
  <c r="D436" i="23"/>
  <c r="J436" i="23"/>
  <c r="P436" i="23"/>
  <c r="G436" i="23"/>
  <c r="M436" i="23"/>
  <c r="S436" i="23"/>
  <c r="AE436" i="23"/>
  <c r="AK436" i="23"/>
  <c r="H436" i="23"/>
  <c r="N436" i="23"/>
  <c r="AF436" i="23"/>
  <c r="I436" i="23"/>
  <c r="AG436" i="23"/>
  <c r="AM436" i="23"/>
  <c r="F436" i="23"/>
  <c r="K436" i="23"/>
  <c r="L436" i="23"/>
  <c r="Q436" i="23"/>
  <c r="R436" i="23"/>
  <c r="E436" i="23"/>
  <c r="H360" i="23"/>
  <c r="N360" i="23"/>
  <c r="AF360" i="23"/>
  <c r="I360" i="23"/>
  <c r="AG360" i="23"/>
  <c r="AM360" i="23"/>
  <c r="D360" i="23"/>
  <c r="J360" i="23"/>
  <c r="P360" i="23"/>
  <c r="E360" i="23"/>
  <c r="K360" i="23"/>
  <c r="Q360" i="23"/>
  <c r="F360" i="23"/>
  <c r="L360" i="23"/>
  <c r="R360" i="23"/>
  <c r="AE360" i="23"/>
  <c r="AK360" i="23"/>
  <c r="G360" i="23"/>
  <c r="M360" i="23"/>
  <c r="S360" i="23"/>
  <c r="H222" i="23"/>
  <c r="N222" i="23"/>
  <c r="AF222" i="23"/>
  <c r="D222" i="23"/>
  <c r="J222" i="23"/>
  <c r="P222" i="23"/>
  <c r="L222" i="23"/>
  <c r="E222" i="23"/>
  <c r="M222" i="23"/>
  <c r="AE222" i="23"/>
  <c r="AM222" i="23"/>
  <c r="F222" i="23"/>
  <c r="AG222" i="23"/>
  <c r="G222" i="23"/>
  <c r="Q222" i="23"/>
  <c r="I222" i="23"/>
  <c r="R222" i="23"/>
  <c r="K222" i="23"/>
  <c r="S222" i="23"/>
  <c r="AK222" i="23"/>
  <c r="D568" i="23"/>
  <c r="J568" i="23"/>
  <c r="P568" i="23"/>
  <c r="E568" i="23"/>
  <c r="K568" i="23"/>
  <c r="Q568" i="23"/>
  <c r="F568" i="23"/>
  <c r="L568" i="23"/>
  <c r="R568" i="23"/>
  <c r="G568" i="23"/>
  <c r="M568" i="23"/>
  <c r="S568" i="23"/>
  <c r="AE568" i="23"/>
  <c r="AK568" i="23"/>
  <c r="I568" i="23"/>
  <c r="AG568" i="23"/>
  <c r="AM568" i="23"/>
  <c r="N568" i="23"/>
  <c r="AF568" i="23"/>
  <c r="H568" i="23"/>
  <c r="D514" i="23"/>
  <c r="J514" i="23"/>
  <c r="P514" i="23"/>
  <c r="G514" i="23"/>
  <c r="N514" i="23"/>
  <c r="H514" i="23"/>
  <c r="AK514" i="23"/>
  <c r="I514" i="23"/>
  <c r="Q514" i="23"/>
  <c r="AE514" i="23"/>
  <c r="K514" i="23"/>
  <c r="R514" i="23"/>
  <c r="AF514" i="23"/>
  <c r="AM514" i="23"/>
  <c r="E514" i="23"/>
  <c r="L514" i="23"/>
  <c r="S514" i="23"/>
  <c r="AG514" i="23"/>
  <c r="F514" i="23"/>
  <c r="M514" i="23"/>
  <c r="I460" i="23"/>
  <c r="AG460" i="23"/>
  <c r="AM460" i="23"/>
  <c r="G460" i="23"/>
  <c r="N460" i="23"/>
  <c r="H460" i="23"/>
  <c r="P460" i="23"/>
  <c r="AK460" i="23"/>
  <c r="J460" i="23"/>
  <c r="Q460" i="23"/>
  <c r="AE460" i="23"/>
  <c r="D460" i="23"/>
  <c r="K460" i="23"/>
  <c r="R460" i="23"/>
  <c r="AF460" i="23"/>
  <c r="E460" i="23"/>
  <c r="L460" i="23"/>
  <c r="S460" i="23"/>
  <c r="F460" i="23"/>
  <c r="M460" i="23"/>
  <c r="F389" i="23"/>
  <c r="L389" i="23"/>
  <c r="R389" i="23"/>
  <c r="I389" i="23"/>
  <c r="AG389" i="23"/>
  <c r="AM389" i="23"/>
  <c r="D389" i="23"/>
  <c r="J389" i="23"/>
  <c r="P389" i="23"/>
  <c r="E389" i="23"/>
  <c r="K389" i="23"/>
  <c r="Q389" i="23"/>
  <c r="N389" i="23"/>
  <c r="AF389" i="23"/>
  <c r="AK389" i="23"/>
  <c r="G389" i="23"/>
  <c r="H389" i="23"/>
  <c r="M389" i="23"/>
  <c r="AE389" i="23"/>
  <c r="S389" i="23"/>
  <c r="D305" i="23"/>
  <c r="J305" i="23"/>
  <c r="P305" i="23"/>
  <c r="G305" i="23"/>
  <c r="M305" i="23"/>
  <c r="S305" i="23"/>
  <c r="AE305" i="23"/>
  <c r="AK305" i="23"/>
  <c r="I305" i="23"/>
  <c r="AG305" i="23"/>
  <c r="AM305" i="23"/>
  <c r="N305" i="23"/>
  <c r="E305" i="23"/>
  <c r="Q305" i="23"/>
  <c r="F305" i="23"/>
  <c r="R305" i="23"/>
  <c r="H305" i="23"/>
  <c r="AF305" i="23"/>
  <c r="K305" i="23"/>
  <c r="L305" i="23"/>
  <c r="F215" i="23"/>
  <c r="L215" i="23"/>
  <c r="R215" i="23"/>
  <c r="G215" i="23"/>
  <c r="M215" i="23"/>
  <c r="S215" i="23"/>
  <c r="AE215" i="23"/>
  <c r="AK215" i="23"/>
  <c r="H215" i="23"/>
  <c r="N215" i="23"/>
  <c r="AF215" i="23"/>
  <c r="I215" i="23"/>
  <c r="AG215" i="23"/>
  <c r="AM215" i="23"/>
  <c r="D215" i="23"/>
  <c r="J215" i="23"/>
  <c r="P215" i="23"/>
  <c r="E215" i="23"/>
  <c r="K215" i="23"/>
  <c r="Q215" i="23"/>
  <c r="G553" i="23"/>
  <c r="M553" i="23"/>
  <c r="S553" i="23"/>
  <c r="AE553" i="23"/>
  <c r="AK553" i="23"/>
  <c r="H553" i="23"/>
  <c r="N553" i="23"/>
  <c r="AF553" i="23"/>
  <c r="I553" i="23"/>
  <c r="AG553" i="23"/>
  <c r="AM553" i="23"/>
  <c r="D553" i="23"/>
  <c r="J553" i="23"/>
  <c r="P553" i="23"/>
  <c r="F553" i="23"/>
  <c r="L553" i="23"/>
  <c r="R553" i="23"/>
  <c r="E553" i="23"/>
  <c r="K553" i="23"/>
  <c r="Q553" i="23"/>
  <c r="H499" i="23"/>
  <c r="N499" i="23"/>
  <c r="AF499" i="23"/>
  <c r="I499" i="23"/>
  <c r="AG499" i="23"/>
  <c r="AM499" i="23"/>
  <c r="D499" i="23"/>
  <c r="J499" i="23"/>
  <c r="P499" i="23"/>
  <c r="E499" i="23"/>
  <c r="K499" i="23"/>
  <c r="Q499" i="23"/>
  <c r="F499" i="23"/>
  <c r="L499" i="23"/>
  <c r="R499" i="23"/>
  <c r="G499" i="23"/>
  <c r="M499" i="23"/>
  <c r="S499" i="23"/>
  <c r="AE499" i="23"/>
  <c r="AK499" i="23"/>
  <c r="G445" i="23"/>
  <c r="M445" i="23"/>
  <c r="S445" i="23"/>
  <c r="AE445" i="23"/>
  <c r="AK445" i="23"/>
  <c r="D445" i="23"/>
  <c r="J445" i="23"/>
  <c r="P445" i="23"/>
  <c r="E445" i="23"/>
  <c r="K445" i="23"/>
  <c r="Q445" i="23"/>
  <c r="F445" i="23"/>
  <c r="L445" i="23"/>
  <c r="R445" i="23"/>
  <c r="I445" i="23"/>
  <c r="N445" i="23"/>
  <c r="AF445" i="23"/>
  <c r="AG445" i="23"/>
  <c r="AM445" i="23"/>
  <c r="H445" i="23"/>
  <c r="D396" i="23"/>
  <c r="J396" i="23"/>
  <c r="P396" i="23"/>
  <c r="H396" i="23"/>
  <c r="AK396" i="23"/>
  <c r="K396" i="23"/>
  <c r="R396" i="23"/>
  <c r="AF396" i="23"/>
  <c r="AM396" i="23"/>
  <c r="E396" i="23"/>
  <c r="L396" i="23"/>
  <c r="S396" i="23"/>
  <c r="AG396" i="23"/>
  <c r="F396" i="23"/>
  <c r="M396" i="23"/>
  <c r="G396" i="23"/>
  <c r="N396" i="23"/>
  <c r="Q396" i="23"/>
  <c r="AE396" i="23"/>
  <c r="I396" i="23"/>
  <c r="I347" i="23"/>
  <c r="AG347" i="23"/>
  <c r="AM347" i="23"/>
  <c r="D347" i="23"/>
  <c r="J347" i="23"/>
  <c r="P347" i="23"/>
  <c r="E347" i="23"/>
  <c r="K347" i="23"/>
  <c r="Q347" i="23"/>
  <c r="F347" i="23"/>
  <c r="L347" i="23"/>
  <c r="R347" i="23"/>
  <c r="G347" i="23"/>
  <c r="M347" i="23"/>
  <c r="S347" i="23"/>
  <c r="AE347" i="23"/>
  <c r="AK347" i="23"/>
  <c r="AF347" i="23"/>
  <c r="H347" i="23"/>
  <c r="N347" i="23"/>
  <c r="D293" i="23"/>
  <c r="J293" i="23"/>
  <c r="P293" i="23"/>
  <c r="F293" i="23"/>
  <c r="L293" i="23"/>
  <c r="R293" i="23"/>
  <c r="G293" i="23"/>
  <c r="M293" i="23"/>
  <c r="S293" i="23"/>
  <c r="AE293" i="23"/>
  <c r="AK293" i="23"/>
  <c r="I293" i="23"/>
  <c r="AG293" i="23"/>
  <c r="AM293" i="23"/>
  <c r="E293" i="23"/>
  <c r="H293" i="23"/>
  <c r="K293" i="23"/>
  <c r="N293" i="23"/>
  <c r="AF293" i="23"/>
  <c r="Q293" i="23"/>
  <c r="D556" i="23"/>
  <c r="J556" i="23"/>
  <c r="P556" i="23"/>
  <c r="E556" i="23"/>
  <c r="K556" i="23"/>
  <c r="Q556" i="23"/>
  <c r="F556" i="23"/>
  <c r="L556" i="23"/>
  <c r="R556" i="23"/>
  <c r="G556" i="23"/>
  <c r="M556" i="23"/>
  <c r="S556" i="23"/>
  <c r="AE556" i="23"/>
  <c r="AK556" i="23"/>
  <c r="I556" i="23"/>
  <c r="AG556" i="23"/>
  <c r="AM556" i="23"/>
  <c r="AF556" i="23"/>
  <c r="H556" i="23"/>
  <c r="N556" i="23"/>
  <c r="F502" i="23"/>
  <c r="L502" i="23"/>
  <c r="R502" i="23"/>
  <c r="H502" i="23"/>
  <c r="N502" i="23"/>
  <c r="AF502" i="23"/>
  <c r="I502" i="23"/>
  <c r="AG502" i="23"/>
  <c r="AM502" i="23"/>
  <c r="D502" i="23"/>
  <c r="J502" i="23"/>
  <c r="P502" i="23"/>
  <c r="S502" i="23"/>
  <c r="AK502" i="23"/>
  <c r="E502" i="23"/>
  <c r="G502" i="23"/>
  <c r="K502" i="23"/>
  <c r="M502" i="23"/>
  <c r="AE502" i="23"/>
  <c r="Q502" i="23"/>
  <c r="D448" i="23"/>
  <c r="J448" i="23"/>
  <c r="P448" i="23"/>
  <c r="G448" i="23"/>
  <c r="M448" i="23"/>
  <c r="S448" i="23"/>
  <c r="AE448" i="23"/>
  <c r="AK448" i="23"/>
  <c r="H448" i="23"/>
  <c r="N448" i="23"/>
  <c r="AF448" i="23"/>
  <c r="I448" i="23"/>
  <c r="AG448" i="23"/>
  <c r="AM448" i="23"/>
  <c r="L448" i="23"/>
  <c r="Q448" i="23"/>
  <c r="R448" i="23"/>
  <c r="E448" i="23"/>
  <c r="F448" i="23"/>
  <c r="K448" i="23"/>
  <c r="H369" i="23"/>
  <c r="N369" i="23"/>
  <c r="AF369" i="23"/>
  <c r="I369" i="23"/>
  <c r="AG369" i="23"/>
  <c r="AM369" i="23"/>
  <c r="D369" i="23"/>
  <c r="J369" i="23"/>
  <c r="P369" i="23"/>
  <c r="E369" i="23"/>
  <c r="K369" i="23"/>
  <c r="Q369" i="23"/>
  <c r="F369" i="23"/>
  <c r="L369" i="23"/>
  <c r="R369" i="23"/>
  <c r="G369" i="23"/>
  <c r="M369" i="23"/>
  <c r="S369" i="23"/>
  <c r="AE369" i="23"/>
  <c r="AK369" i="23"/>
  <c r="H570" i="23"/>
  <c r="N570" i="23"/>
  <c r="AF570" i="23"/>
  <c r="I570" i="23"/>
  <c r="AG570" i="23"/>
  <c r="AM570" i="23"/>
  <c r="D570" i="23"/>
  <c r="J570" i="23"/>
  <c r="P570" i="23"/>
  <c r="E570" i="23"/>
  <c r="K570" i="23"/>
  <c r="Q570" i="23"/>
  <c r="G570" i="23"/>
  <c r="M570" i="23"/>
  <c r="S570" i="23"/>
  <c r="AE570" i="23"/>
  <c r="AK570" i="23"/>
  <c r="R570" i="23"/>
  <c r="F570" i="23"/>
  <c r="L570" i="23"/>
  <c r="G451" i="23"/>
  <c r="M451" i="23"/>
  <c r="S451" i="23"/>
  <c r="AE451" i="23"/>
  <c r="AK451" i="23"/>
  <c r="D451" i="23"/>
  <c r="J451" i="23"/>
  <c r="P451" i="23"/>
  <c r="E451" i="23"/>
  <c r="K451" i="23"/>
  <c r="Q451" i="23"/>
  <c r="F451" i="23"/>
  <c r="L451" i="23"/>
  <c r="R451" i="23"/>
  <c r="N451" i="23"/>
  <c r="AF451" i="23"/>
  <c r="AG451" i="23"/>
  <c r="AM451" i="23"/>
  <c r="H451" i="23"/>
  <c r="I451" i="23"/>
  <c r="H387" i="23"/>
  <c r="N387" i="23"/>
  <c r="AF387" i="23"/>
  <c r="D387" i="23"/>
  <c r="J387" i="23"/>
  <c r="P387" i="23"/>
  <c r="E387" i="23"/>
  <c r="K387" i="23"/>
  <c r="Q387" i="23"/>
  <c r="F387" i="23"/>
  <c r="L387" i="23"/>
  <c r="R387" i="23"/>
  <c r="G387" i="23"/>
  <c r="M387" i="23"/>
  <c r="S387" i="23"/>
  <c r="AE387" i="23"/>
  <c r="AK387" i="23"/>
  <c r="AG387" i="23"/>
  <c r="I387" i="23"/>
  <c r="AM387" i="23"/>
  <c r="I353" i="23"/>
  <c r="AG353" i="23"/>
  <c r="AM353" i="23"/>
  <c r="D353" i="23"/>
  <c r="J353" i="23"/>
  <c r="P353" i="23"/>
  <c r="E353" i="23"/>
  <c r="K353" i="23"/>
  <c r="Q353" i="23"/>
  <c r="F353" i="23"/>
  <c r="L353" i="23"/>
  <c r="R353" i="23"/>
  <c r="G353" i="23"/>
  <c r="M353" i="23"/>
  <c r="S353" i="23"/>
  <c r="AE353" i="23"/>
  <c r="AK353" i="23"/>
  <c r="N353" i="23"/>
  <c r="AF353" i="23"/>
  <c r="H353" i="23"/>
  <c r="D299" i="23"/>
  <c r="J299" i="23"/>
  <c r="P299" i="23"/>
  <c r="F299" i="23"/>
  <c r="L299" i="23"/>
  <c r="R299" i="23"/>
  <c r="G299" i="23"/>
  <c r="M299" i="23"/>
  <c r="S299" i="23"/>
  <c r="AE299" i="23"/>
  <c r="AK299" i="23"/>
  <c r="I299" i="23"/>
  <c r="AG299" i="23"/>
  <c r="AM299" i="23"/>
  <c r="K299" i="23"/>
  <c r="N299" i="23"/>
  <c r="AF299" i="23"/>
  <c r="Q299" i="23"/>
  <c r="E299" i="23"/>
  <c r="H299" i="23"/>
  <c r="I581" i="23"/>
  <c r="AG581" i="23"/>
  <c r="AM581" i="23"/>
  <c r="E581" i="23"/>
  <c r="K581" i="23"/>
  <c r="Q581" i="23"/>
  <c r="F581" i="23"/>
  <c r="L581" i="23"/>
  <c r="R581" i="23"/>
  <c r="H581" i="23"/>
  <c r="N581" i="23"/>
  <c r="AF581" i="23"/>
  <c r="P581" i="23"/>
  <c r="S581" i="23"/>
  <c r="AK581" i="23"/>
  <c r="D581" i="23"/>
  <c r="G581" i="23"/>
  <c r="J581" i="23"/>
  <c r="M581" i="23"/>
  <c r="AE581" i="23"/>
  <c r="I563" i="23"/>
  <c r="AG563" i="23"/>
  <c r="AM563" i="23"/>
  <c r="D563" i="23"/>
  <c r="J563" i="23"/>
  <c r="P563" i="23"/>
  <c r="E563" i="23"/>
  <c r="K563" i="23"/>
  <c r="Q563" i="23"/>
  <c r="F563" i="23"/>
  <c r="L563" i="23"/>
  <c r="R563" i="23"/>
  <c r="H563" i="23"/>
  <c r="N563" i="23"/>
  <c r="AF563" i="23"/>
  <c r="G563" i="23"/>
  <c r="AK563" i="23"/>
  <c r="M563" i="23"/>
  <c r="S563" i="23"/>
  <c r="AE563" i="23"/>
  <c r="I545" i="23"/>
  <c r="AG545" i="23"/>
  <c r="AM545" i="23"/>
  <c r="D545" i="23"/>
  <c r="J545" i="23"/>
  <c r="P545" i="23"/>
  <c r="E545" i="23"/>
  <c r="K545" i="23"/>
  <c r="Q545" i="23"/>
  <c r="F545" i="23"/>
  <c r="L545" i="23"/>
  <c r="R545" i="23"/>
  <c r="H545" i="23"/>
  <c r="N545" i="23"/>
  <c r="AF545" i="23"/>
  <c r="AE545" i="23"/>
  <c r="G545" i="23"/>
  <c r="AK545" i="23"/>
  <c r="M545" i="23"/>
  <c r="S545" i="23"/>
  <c r="I527" i="23"/>
  <c r="AG527" i="23"/>
  <c r="AM527" i="23"/>
  <c r="D527" i="23"/>
  <c r="J527" i="23"/>
  <c r="P527" i="23"/>
  <c r="E527" i="23"/>
  <c r="K527" i="23"/>
  <c r="Q527" i="23"/>
  <c r="F527" i="23"/>
  <c r="L527" i="23"/>
  <c r="R527" i="23"/>
  <c r="H527" i="23"/>
  <c r="N527" i="23"/>
  <c r="AF527" i="23"/>
  <c r="G527" i="23"/>
  <c r="AK527" i="23"/>
  <c r="M527" i="23"/>
  <c r="S527" i="23"/>
  <c r="AE527" i="23"/>
  <c r="I509" i="23"/>
  <c r="AG509" i="23"/>
  <c r="AM509" i="23"/>
  <c r="F509" i="23"/>
  <c r="M509" i="23"/>
  <c r="G509" i="23"/>
  <c r="N509" i="23"/>
  <c r="H509" i="23"/>
  <c r="P509" i="23"/>
  <c r="AK509" i="23"/>
  <c r="J509" i="23"/>
  <c r="Q509" i="23"/>
  <c r="AE509" i="23"/>
  <c r="D509" i="23"/>
  <c r="K509" i="23"/>
  <c r="R509" i="23"/>
  <c r="AF509" i="23"/>
  <c r="E509" i="23"/>
  <c r="L509" i="23"/>
  <c r="S509" i="23"/>
  <c r="D491" i="23"/>
  <c r="J491" i="23"/>
  <c r="P491" i="23"/>
  <c r="E491" i="23"/>
  <c r="K491" i="23"/>
  <c r="Q491" i="23"/>
  <c r="F491" i="23"/>
  <c r="L491" i="23"/>
  <c r="R491" i="23"/>
  <c r="G491" i="23"/>
  <c r="M491" i="23"/>
  <c r="S491" i="23"/>
  <c r="AE491" i="23"/>
  <c r="AK491" i="23"/>
  <c r="H491" i="23"/>
  <c r="N491" i="23"/>
  <c r="AF491" i="23"/>
  <c r="I491" i="23"/>
  <c r="AG491" i="23"/>
  <c r="AM491" i="23"/>
  <c r="H473" i="23"/>
  <c r="N473" i="23"/>
  <c r="AF473" i="23"/>
  <c r="D473" i="23"/>
  <c r="K473" i="23"/>
  <c r="R473" i="23"/>
  <c r="AG473" i="23"/>
  <c r="AM473" i="23"/>
  <c r="E473" i="23"/>
  <c r="L473" i="23"/>
  <c r="S473" i="23"/>
  <c r="F473" i="23"/>
  <c r="M473" i="23"/>
  <c r="G473" i="23"/>
  <c r="I473" i="23"/>
  <c r="P473" i="23"/>
  <c r="AK473" i="23"/>
  <c r="J473" i="23"/>
  <c r="Q473" i="23"/>
  <c r="AE473" i="23"/>
  <c r="I455" i="23"/>
  <c r="AG455" i="23"/>
  <c r="AM455" i="23"/>
  <c r="H455" i="23"/>
  <c r="N455" i="23"/>
  <c r="AF455" i="23"/>
  <c r="E455" i="23"/>
  <c r="M455" i="23"/>
  <c r="AE455" i="23"/>
  <c r="F455" i="23"/>
  <c r="P455" i="23"/>
  <c r="G455" i="23"/>
  <c r="Q455" i="23"/>
  <c r="J455" i="23"/>
  <c r="R455" i="23"/>
  <c r="K455" i="23"/>
  <c r="S455" i="23"/>
  <c r="AK455" i="23"/>
  <c r="D455" i="23"/>
  <c r="L455" i="23"/>
  <c r="I437" i="23"/>
  <c r="AG437" i="23"/>
  <c r="AM437" i="23"/>
  <c r="F437" i="23"/>
  <c r="L437" i="23"/>
  <c r="R437" i="23"/>
  <c r="G437" i="23"/>
  <c r="M437" i="23"/>
  <c r="S437" i="23"/>
  <c r="AE437" i="23"/>
  <c r="AK437" i="23"/>
  <c r="H437" i="23"/>
  <c r="N437" i="23"/>
  <c r="AF437" i="23"/>
  <c r="P437" i="23"/>
  <c r="Q437" i="23"/>
  <c r="D437" i="23"/>
  <c r="E437" i="23"/>
  <c r="J437" i="23"/>
  <c r="K437" i="23"/>
  <c r="E395" i="23"/>
  <c r="K395" i="23"/>
  <c r="Q395" i="23"/>
  <c r="I395" i="23"/>
  <c r="P395" i="23"/>
  <c r="AE395" i="23"/>
  <c r="D395" i="23"/>
  <c r="L395" i="23"/>
  <c r="S395" i="23"/>
  <c r="AG395" i="23"/>
  <c r="F395" i="23"/>
  <c r="M395" i="23"/>
  <c r="G395" i="23"/>
  <c r="N395" i="23"/>
  <c r="H395" i="23"/>
  <c r="AK395" i="23"/>
  <c r="AF395" i="23"/>
  <c r="AM395" i="23"/>
  <c r="J395" i="23"/>
  <c r="R395" i="23"/>
  <c r="D338" i="23"/>
  <c r="J338" i="23"/>
  <c r="P338" i="23"/>
  <c r="H338" i="23"/>
  <c r="AK338" i="23"/>
  <c r="I338" i="23"/>
  <c r="Q338" i="23"/>
  <c r="AE338" i="23"/>
  <c r="K338" i="23"/>
  <c r="R338" i="23"/>
  <c r="AF338" i="23"/>
  <c r="AM338" i="23"/>
  <c r="E338" i="23"/>
  <c r="L338" i="23"/>
  <c r="S338" i="23"/>
  <c r="AG338" i="23"/>
  <c r="F338" i="23"/>
  <c r="M338" i="23"/>
  <c r="G338" i="23"/>
  <c r="N338" i="23"/>
  <c r="G284" i="23"/>
  <c r="M284" i="23"/>
  <c r="S284" i="23"/>
  <c r="AE284" i="23"/>
  <c r="AK284" i="23"/>
  <c r="H284" i="23"/>
  <c r="N284" i="23"/>
  <c r="AF284" i="23"/>
  <c r="I284" i="23"/>
  <c r="AG284" i="23"/>
  <c r="AM284" i="23"/>
  <c r="D284" i="23"/>
  <c r="J284" i="23"/>
  <c r="P284" i="23"/>
  <c r="F284" i="23"/>
  <c r="L284" i="23"/>
  <c r="R284" i="23"/>
  <c r="E284" i="23"/>
  <c r="K284" i="23"/>
  <c r="Q284" i="23"/>
  <c r="F143" i="23"/>
  <c r="L143" i="23"/>
  <c r="R143" i="23"/>
  <c r="G143" i="23"/>
  <c r="M143" i="23"/>
  <c r="S143" i="23"/>
  <c r="AE143" i="23"/>
  <c r="AK143" i="23"/>
  <c r="H143" i="23"/>
  <c r="N143" i="23"/>
  <c r="AF143" i="23"/>
  <c r="I143" i="23"/>
  <c r="AG143" i="23"/>
  <c r="AM143" i="23"/>
  <c r="D143" i="23"/>
  <c r="J143" i="23"/>
  <c r="P143" i="23"/>
  <c r="E143" i="23"/>
  <c r="K143" i="23"/>
  <c r="Q143" i="23"/>
  <c r="D179" i="23"/>
  <c r="J179" i="23"/>
  <c r="P179" i="23"/>
  <c r="E179" i="23"/>
  <c r="K179" i="23"/>
  <c r="Q179" i="23"/>
  <c r="F179" i="23"/>
  <c r="L179" i="23"/>
  <c r="R179" i="23"/>
  <c r="G179" i="23"/>
  <c r="M179" i="23"/>
  <c r="S179" i="23"/>
  <c r="AE179" i="23"/>
  <c r="AK179" i="23"/>
  <c r="H179" i="23"/>
  <c r="N179" i="23"/>
  <c r="AF179" i="23"/>
  <c r="I179" i="23"/>
  <c r="AG179" i="23"/>
  <c r="AM179" i="23"/>
  <c r="F17" i="23"/>
  <c r="L17" i="23"/>
  <c r="R17" i="23"/>
  <c r="E17" i="23"/>
  <c r="M17" i="23"/>
  <c r="D17" i="23"/>
  <c r="K17" i="23"/>
  <c r="S17" i="23"/>
  <c r="AG17" i="23"/>
  <c r="I17" i="23"/>
  <c r="AE17" i="23"/>
  <c r="J17" i="23"/>
  <c r="AF17" i="23"/>
  <c r="N17" i="23"/>
  <c r="AK17" i="23"/>
  <c r="H17" i="23"/>
  <c r="Q17" i="23"/>
  <c r="AM17" i="23"/>
  <c r="G17" i="23"/>
  <c r="P17" i="23"/>
  <c r="H161" i="23"/>
  <c r="N161" i="23"/>
  <c r="AF161" i="23"/>
  <c r="D161" i="23"/>
  <c r="J161" i="23"/>
  <c r="P161" i="23"/>
  <c r="E161" i="23"/>
  <c r="K161" i="23"/>
  <c r="Q161" i="23"/>
  <c r="F161" i="23"/>
  <c r="R161" i="23"/>
  <c r="G161" i="23"/>
  <c r="S161" i="23"/>
  <c r="AK161" i="23"/>
  <c r="I161" i="23"/>
  <c r="L161" i="23"/>
  <c r="AE161" i="23"/>
  <c r="AM161" i="23"/>
  <c r="M161" i="23"/>
  <c r="AG161" i="23"/>
  <c r="I288" i="23"/>
  <c r="AG288" i="23"/>
  <c r="AM288" i="23"/>
  <c r="E288" i="23"/>
  <c r="K288" i="23"/>
  <c r="Q288" i="23"/>
  <c r="F288" i="23"/>
  <c r="L288" i="23"/>
  <c r="R288" i="23"/>
  <c r="H288" i="23"/>
  <c r="N288" i="23"/>
  <c r="AF288" i="23"/>
  <c r="M288" i="23"/>
  <c r="AE288" i="23"/>
  <c r="P288" i="23"/>
  <c r="S288" i="23"/>
  <c r="AK288" i="23"/>
  <c r="D288" i="23"/>
  <c r="G288" i="23"/>
  <c r="J288" i="23"/>
  <c r="E248" i="23"/>
  <c r="K248" i="23"/>
  <c r="Q248" i="23"/>
  <c r="F248" i="23"/>
  <c r="L248" i="23"/>
  <c r="R248" i="23"/>
  <c r="G248" i="23"/>
  <c r="M248" i="23"/>
  <c r="S248" i="23"/>
  <c r="AE248" i="23"/>
  <c r="AK248" i="23"/>
  <c r="H248" i="23"/>
  <c r="N248" i="23"/>
  <c r="AF248" i="23"/>
  <c r="I248" i="23"/>
  <c r="AG248" i="23"/>
  <c r="AM248" i="23"/>
  <c r="D248" i="23"/>
  <c r="J248" i="23"/>
  <c r="P248" i="23"/>
  <c r="I194" i="23"/>
  <c r="AG194" i="23"/>
  <c r="AM194" i="23"/>
  <c r="D194" i="23"/>
  <c r="J194" i="23"/>
  <c r="P194" i="23"/>
  <c r="E194" i="23"/>
  <c r="K194" i="23"/>
  <c r="Q194" i="23"/>
  <c r="F194" i="23"/>
  <c r="L194" i="23"/>
  <c r="R194" i="23"/>
  <c r="G194" i="23"/>
  <c r="M194" i="23"/>
  <c r="S194" i="23"/>
  <c r="AE194" i="23"/>
  <c r="AK194" i="23"/>
  <c r="H194" i="23"/>
  <c r="N194" i="23"/>
  <c r="AF194" i="23"/>
  <c r="I140" i="23"/>
  <c r="AG140" i="23"/>
  <c r="AM140" i="23"/>
  <c r="D140" i="23"/>
  <c r="J140" i="23"/>
  <c r="P140" i="23"/>
  <c r="E140" i="23"/>
  <c r="K140" i="23"/>
  <c r="Q140" i="23"/>
  <c r="F140" i="23"/>
  <c r="L140" i="23"/>
  <c r="R140" i="23"/>
  <c r="G140" i="23"/>
  <c r="M140" i="23"/>
  <c r="S140" i="23"/>
  <c r="AE140" i="23"/>
  <c r="AK140" i="23"/>
  <c r="H140" i="23"/>
  <c r="N140" i="23"/>
  <c r="AF140" i="23"/>
  <c r="D86" i="23"/>
  <c r="J86" i="23"/>
  <c r="P86" i="23"/>
  <c r="F86" i="23"/>
  <c r="L86" i="23"/>
  <c r="R86" i="23"/>
  <c r="I86" i="23"/>
  <c r="S86" i="23"/>
  <c r="AK86" i="23"/>
  <c r="K86" i="23"/>
  <c r="M86" i="23"/>
  <c r="AE86" i="23"/>
  <c r="AM86" i="23"/>
  <c r="E86" i="23"/>
  <c r="N86" i="23"/>
  <c r="AF86" i="23"/>
  <c r="G86" i="23"/>
  <c r="AG86" i="23"/>
  <c r="H86" i="23"/>
  <c r="Q86" i="23"/>
  <c r="D32" i="23"/>
  <c r="J32" i="23"/>
  <c r="P32" i="23"/>
  <c r="G32" i="23"/>
  <c r="N32" i="23"/>
  <c r="H32" i="23"/>
  <c r="I32" i="23"/>
  <c r="Q32" i="23"/>
  <c r="AE32" i="23"/>
  <c r="AK32" i="23"/>
  <c r="K32" i="23"/>
  <c r="R32" i="23"/>
  <c r="AF32" i="23"/>
  <c r="F32" i="23"/>
  <c r="M32" i="23"/>
  <c r="L32" i="23"/>
  <c r="S32" i="23"/>
  <c r="AG32" i="23"/>
  <c r="E32" i="23"/>
  <c r="AM32" i="23"/>
  <c r="I218" i="23"/>
  <c r="D218" i="23"/>
  <c r="J218" i="23"/>
  <c r="P218" i="23"/>
  <c r="E218" i="23"/>
  <c r="K218" i="23"/>
  <c r="Q218" i="23"/>
  <c r="F218" i="23"/>
  <c r="L218" i="23"/>
  <c r="R218" i="23"/>
  <c r="H218" i="23"/>
  <c r="N218" i="23"/>
  <c r="AF218" i="23"/>
  <c r="AM218" i="23"/>
  <c r="G218" i="23"/>
  <c r="AE218" i="23"/>
  <c r="M218" i="23"/>
  <c r="AG218" i="23"/>
  <c r="S218" i="23"/>
  <c r="AK218" i="23"/>
  <c r="H164" i="23"/>
  <c r="N164" i="23"/>
  <c r="AF164" i="23"/>
  <c r="I164" i="23"/>
  <c r="P164" i="23"/>
  <c r="AK164" i="23"/>
  <c r="J164" i="23"/>
  <c r="Q164" i="23"/>
  <c r="AE164" i="23"/>
  <c r="D164" i="23"/>
  <c r="K164" i="23"/>
  <c r="R164" i="23"/>
  <c r="AG164" i="23"/>
  <c r="AM164" i="23"/>
  <c r="E164" i="23"/>
  <c r="L164" i="23"/>
  <c r="S164" i="23"/>
  <c r="F164" i="23"/>
  <c r="M164" i="23"/>
  <c r="G164" i="23"/>
  <c r="E110" i="23"/>
  <c r="K110" i="23"/>
  <c r="Q110" i="23"/>
  <c r="I110" i="23"/>
  <c r="P110" i="23"/>
  <c r="AE110" i="23"/>
  <c r="J110" i="23"/>
  <c r="R110" i="23"/>
  <c r="AF110" i="23"/>
  <c r="AM110" i="23"/>
  <c r="D110" i="23"/>
  <c r="L110" i="23"/>
  <c r="S110" i="23"/>
  <c r="AG110" i="23"/>
  <c r="F110" i="23"/>
  <c r="M110" i="23"/>
  <c r="G110" i="23"/>
  <c r="N110" i="23"/>
  <c r="H110" i="23"/>
  <c r="AK110" i="23"/>
  <c r="F56" i="23"/>
  <c r="L56" i="23"/>
  <c r="R56" i="23"/>
  <c r="H56" i="23"/>
  <c r="N56" i="23"/>
  <c r="AF56" i="23"/>
  <c r="D56" i="23"/>
  <c r="J56" i="23"/>
  <c r="P56" i="23"/>
  <c r="G56" i="23"/>
  <c r="S56" i="23"/>
  <c r="AE56" i="23"/>
  <c r="I56" i="23"/>
  <c r="AG56" i="23"/>
  <c r="K56" i="23"/>
  <c r="M56" i="23"/>
  <c r="AK56" i="23"/>
  <c r="E56" i="23"/>
  <c r="Q56" i="23"/>
  <c r="AM56" i="23"/>
  <c r="G246" i="23"/>
  <c r="M246" i="23"/>
  <c r="S246" i="23"/>
  <c r="AE246" i="23"/>
  <c r="AK246" i="23"/>
  <c r="H246" i="23"/>
  <c r="N246" i="23"/>
  <c r="AF246" i="23"/>
  <c r="I246" i="23"/>
  <c r="AG246" i="23"/>
  <c r="AM246" i="23"/>
  <c r="D246" i="23"/>
  <c r="J246" i="23"/>
  <c r="P246" i="23"/>
  <c r="E246" i="23"/>
  <c r="K246" i="23"/>
  <c r="Q246" i="23"/>
  <c r="F246" i="23"/>
  <c r="L246" i="23"/>
  <c r="R246" i="23"/>
  <c r="H192" i="23"/>
  <c r="N192" i="23"/>
  <c r="AF192" i="23"/>
  <c r="F192" i="23"/>
  <c r="M192" i="23"/>
  <c r="G192" i="23"/>
  <c r="I192" i="23"/>
  <c r="P192" i="23"/>
  <c r="AK192" i="23"/>
  <c r="J192" i="23"/>
  <c r="Q192" i="23"/>
  <c r="AE192" i="23"/>
  <c r="D192" i="23"/>
  <c r="K192" i="23"/>
  <c r="R192" i="23"/>
  <c r="AG192" i="23"/>
  <c r="AM192" i="23"/>
  <c r="E192" i="23"/>
  <c r="L192" i="23"/>
  <c r="S192" i="23"/>
  <c r="E138" i="23"/>
  <c r="K138" i="23"/>
  <c r="Q138" i="23"/>
  <c r="F138" i="23"/>
  <c r="L138" i="23"/>
  <c r="R138" i="23"/>
  <c r="G138" i="23"/>
  <c r="M138" i="23"/>
  <c r="S138" i="23"/>
  <c r="AE138" i="23"/>
  <c r="AK138" i="23"/>
  <c r="H138" i="23"/>
  <c r="N138" i="23"/>
  <c r="AF138" i="23"/>
  <c r="I138" i="23"/>
  <c r="AG138" i="23"/>
  <c r="AM138" i="23"/>
  <c r="D138" i="23"/>
  <c r="J138" i="23"/>
  <c r="P138" i="23"/>
  <c r="D84" i="23"/>
  <c r="J84" i="23"/>
  <c r="P84" i="23"/>
  <c r="E84" i="23"/>
  <c r="K84" i="23"/>
  <c r="Q84" i="23"/>
  <c r="F84" i="23"/>
  <c r="L84" i="23"/>
  <c r="R84" i="23"/>
  <c r="H84" i="23"/>
  <c r="N84" i="23"/>
  <c r="AF84" i="23"/>
  <c r="G84" i="23"/>
  <c r="AM84" i="23"/>
  <c r="I84" i="23"/>
  <c r="M84" i="23"/>
  <c r="AE84" i="23"/>
  <c r="AG84" i="23"/>
  <c r="S84" i="23"/>
  <c r="AK84" i="23"/>
  <c r="H30" i="23"/>
  <c r="N30" i="23"/>
  <c r="AF30" i="23"/>
  <c r="I30" i="23"/>
  <c r="D30" i="23"/>
  <c r="J30" i="23"/>
  <c r="P30" i="23"/>
  <c r="F30" i="23"/>
  <c r="L30" i="23"/>
  <c r="R30" i="23"/>
  <c r="E30" i="23"/>
  <c r="G30" i="23"/>
  <c r="AK30" i="23"/>
  <c r="K30" i="23"/>
  <c r="M30" i="23"/>
  <c r="AM30" i="23"/>
  <c r="S30" i="23"/>
  <c r="AG30" i="23"/>
  <c r="Q30" i="23"/>
  <c r="AE30" i="23"/>
  <c r="F224" i="23"/>
  <c r="L224" i="23"/>
  <c r="R224" i="23"/>
  <c r="H224" i="23"/>
  <c r="N224" i="23"/>
  <c r="AF224" i="23"/>
  <c r="G224" i="23"/>
  <c r="P224" i="23"/>
  <c r="I224" i="23"/>
  <c r="Q224" i="23"/>
  <c r="J224" i="23"/>
  <c r="S224" i="23"/>
  <c r="AK224" i="23"/>
  <c r="K224" i="23"/>
  <c r="D224" i="23"/>
  <c r="M224" i="23"/>
  <c r="AE224" i="23"/>
  <c r="AM224" i="23"/>
  <c r="E224" i="23"/>
  <c r="AG224" i="23"/>
  <c r="G170" i="23"/>
  <c r="M170" i="23"/>
  <c r="S170" i="23"/>
  <c r="AE170" i="23"/>
  <c r="AK170" i="23"/>
  <c r="H170" i="23"/>
  <c r="N170" i="23"/>
  <c r="AF170" i="23"/>
  <c r="I170" i="23"/>
  <c r="AG170" i="23"/>
  <c r="AM170" i="23"/>
  <c r="D170" i="23"/>
  <c r="J170" i="23"/>
  <c r="P170" i="23"/>
  <c r="E170" i="23"/>
  <c r="K170" i="23"/>
  <c r="Q170" i="23"/>
  <c r="F170" i="23"/>
  <c r="L170" i="23"/>
  <c r="R170" i="23"/>
  <c r="E116" i="23"/>
  <c r="K116" i="23"/>
  <c r="Q116" i="23"/>
  <c r="F116" i="23"/>
  <c r="L116" i="23"/>
  <c r="R116" i="23"/>
  <c r="G116" i="23"/>
  <c r="M116" i="23"/>
  <c r="S116" i="23"/>
  <c r="AE116" i="23"/>
  <c r="AK116" i="23"/>
  <c r="H116" i="23"/>
  <c r="N116" i="23"/>
  <c r="AF116" i="23"/>
  <c r="I116" i="23"/>
  <c r="AG116" i="23"/>
  <c r="AM116" i="23"/>
  <c r="D116" i="23"/>
  <c r="J116" i="23"/>
  <c r="P116" i="23"/>
  <c r="F62" i="23"/>
  <c r="L62" i="23"/>
  <c r="R62" i="23"/>
  <c r="D62" i="23"/>
  <c r="J62" i="23"/>
  <c r="P62" i="23"/>
  <c r="K62" i="23"/>
  <c r="M62" i="23"/>
  <c r="AE62" i="23"/>
  <c r="AM62" i="23"/>
  <c r="E62" i="23"/>
  <c r="N62" i="23"/>
  <c r="AF62" i="23"/>
  <c r="G62" i="23"/>
  <c r="AG62" i="23"/>
  <c r="I62" i="23"/>
  <c r="S62" i="23"/>
  <c r="AK62" i="23"/>
  <c r="H62" i="23"/>
  <c r="Q62" i="23"/>
  <c r="E8" i="23"/>
  <c r="K8" i="23"/>
  <c r="Q8" i="23"/>
  <c r="F8" i="23"/>
  <c r="L8" i="23"/>
  <c r="R8" i="23"/>
  <c r="G8" i="23"/>
  <c r="M8" i="23"/>
  <c r="S8" i="23"/>
  <c r="AE8" i="23"/>
  <c r="AK8" i="23"/>
  <c r="H8" i="23"/>
  <c r="N8" i="23"/>
  <c r="AF8" i="23"/>
  <c r="I8" i="23"/>
  <c r="AG8" i="23"/>
  <c r="AM8" i="23"/>
  <c r="D8" i="23"/>
  <c r="P8" i="23"/>
  <c r="J8" i="23"/>
  <c r="I415" i="23"/>
  <c r="AG415" i="23"/>
  <c r="AM415" i="23"/>
  <c r="J415" i="23"/>
  <c r="Q415" i="23"/>
  <c r="AE415" i="23"/>
  <c r="E415" i="23"/>
  <c r="L415" i="23"/>
  <c r="S415" i="23"/>
  <c r="F415" i="23"/>
  <c r="M415" i="23"/>
  <c r="G415" i="23"/>
  <c r="N415" i="23"/>
  <c r="H415" i="23"/>
  <c r="P415" i="23"/>
  <c r="AK415" i="23"/>
  <c r="AF415" i="23"/>
  <c r="D415" i="23"/>
  <c r="K415" i="23"/>
  <c r="R415" i="23"/>
  <c r="I397" i="23"/>
  <c r="AG397" i="23"/>
  <c r="AM397" i="23"/>
  <c r="F397" i="23"/>
  <c r="M397" i="23"/>
  <c r="H397" i="23"/>
  <c r="P397" i="23"/>
  <c r="AK397" i="23"/>
  <c r="J397" i="23"/>
  <c r="Q397" i="23"/>
  <c r="AE397" i="23"/>
  <c r="D397" i="23"/>
  <c r="K397" i="23"/>
  <c r="R397" i="23"/>
  <c r="AF397" i="23"/>
  <c r="E397" i="23"/>
  <c r="L397" i="23"/>
  <c r="S397" i="23"/>
  <c r="N397" i="23"/>
  <c r="G397" i="23"/>
  <c r="G376" i="23"/>
  <c r="M376" i="23"/>
  <c r="S376" i="23"/>
  <c r="AE376" i="23"/>
  <c r="AK376" i="23"/>
  <c r="H376" i="23"/>
  <c r="N376" i="23"/>
  <c r="AF376" i="23"/>
  <c r="I376" i="23"/>
  <c r="AG376" i="23"/>
  <c r="AM376" i="23"/>
  <c r="D376" i="23"/>
  <c r="J376" i="23"/>
  <c r="P376" i="23"/>
  <c r="E376" i="23"/>
  <c r="K376" i="23"/>
  <c r="Q376" i="23"/>
  <c r="F376" i="23"/>
  <c r="L376" i="23"/>
  <c r="R376" i="23"/>
  <c r="D358" i="23"/>
  <c r="J358" i="23"/>
  <c r="P358" i="23"/>
  <c r="E358" i="23"/>
  <c r="K358" i="23"/>
  <c r="Q358" i="23"/>
  <c r="F358" i="23"/>
  <c r="L358" i="23"/>
  <c r="R358" i="23"/>
  <c r="G358" i="23"/>
  <c r="M358" i="23"/>
  <c r="S358" i="23"/>
  <c r="AE358" i="23"/>
  <c r="AK358" i="23"/>
  <c r="H358" i="23"/>
  <c r="N358" i="23"/>
  <c r="AF358" i="23"/>
  <c r="AG358" i="23"/>
  <c r="I358" i="23"/>
  <c r="AM358" i="23"/>
  <c r="H340" i="23"/>
  <c r="N340" i="23"/>
  <c r="AF340" i="23"/>
  <c r="E340" i="23"/>
  <c r="L340" i="23"/>
  <c r="S340" i="23"/>
  <c r="F340" i="23"/>
  <c r="M340" i="23"/>
  <c r="G340" i="23"/>
  <c r="I340" i="23"/>
  <c r="P340" i="23"/>
  <c r="AK340" i="23"/>
  <c r="J340" i="23"/>
  <c r="Q340" i="23"/>
  <c r="AE340" i="23"/>
  <c r="K340" i="23"/>
  <c r="R340" i="23"/>
  <c r="AG340" i="23"/>
  <c r="D340" i="23"/>
  <c r="AM340" i="23"/>
  <c r="E322" i="23"/>
  <c r="K322" i="23"/>
  <c r="Q322" i="23"/>
  <c r="H322" i="23"/>
  <c r="N322" i="23"/>
  <c r="AF322" i="23"/>
  <c r="D322" i="23"/>
  <c r="M322" i="23"/>
  <c r="AE322" i="23"/>
  <c r="AM322" i="23"/>
  <c r="F322" i="23"/>
  <c r="AG322" i="23"/>
  <c r="G322" i="23"/>
  <c r="P322" i="23"/>
  <c r="I322" i="23"/>
  <c r="R322" i="23"/>
  <c r="J322" i="23"/>
  <c r="S322" i="23"/>
  <c r="AK322" i="23"/>
  <c r="L322" i="23"/>
  <c r="E304" i="23"/>
  <c r="K304" i="23"/>
  <c r="Q304" i="23"/>
  <c r="H304" i="23"/>
  <c r="N304" i="23"/>
  <c r="AF304" i="23"/>
  <c r="D304" i="23"/>
  <c r="J304" i="23"/>
  <c r="P304" i="23"/>
  <c r="G304" i="23"/>
  <c r="S304" i="23"/>
  <c r="AE304" i="23"/>
  <c r="I304" i="23"/>
  <c r="AG304" i="23"/>
  <c r="L304" i="23"/>
  <c r="M304" i="23"/>
  <c r="AK304" i="23"/>
  <c r="F304" i="23"/>
  <c r="R304" i="23"/>
  <c r="AM304" i="23"/>
  <c r="E286" i="23"/>
  <c r="K286" i="23"/>
  <c r="Q286" i="23"/>
  <c r="G286" i="23"/>
  <c r="M286" i="23"/>
  <c r="S286" i="23"/>
  <c r="AE286" i="23"/>
  <c r="AK286" i="23"/>
  <c r="H286" i="23"/>
  <c r="N286" i="23"/>
  <c r="AF286" i="23"/>
  <c r="D286" i="23"/>
  <c r="J286" i="23"/>
  <c r="P286" i="23"/>
  <c r="F286" i="23"/>
  <c r="AM286" i="23"/>
  <c r="I286" i="23"/>
  <c r="L286" i="23"/>
  <c r="AG286" i="23"/>
  <c r="R286" i="23"/>
  <c r="I268" i="23"/>
  <c r="AG268" i="23"/>
  <c r="AM268" i="23"/>
  <c r="D268" i="23"/>
  <c r="J268" i="23"/>
  <c r="P268" i="23"/>
  <c r="E268" i="23"/>
  <c r="K268" i="23"/>
  <c r="Q268" i="23"/>
  <c r="F268" i="23"/>
  <c r="L268" i="23"/>
  <c r="R268" i="23"/>
  <c r="M268" i="23"/>
  <c r="AE268" i="23"/>
  <c r="N268" i="23"/>
  <c r="AF268" i="23"/>
  <c r="S268" i="23"/>
  <c r="AK268" i="23"/>
  <c r="H268" i="23"/>
  <c r="G268" i="23"/>
  <c r="G234" i="23"/>
  <c r="M234" i="23"/>
  <c r="S234" i="23"/>
  <c r="AE234" i="23"/>
  <c r="AK234" i="23"/>
  <c r="H234" i="23"/>
  <c r="N234" i="23"/>
  <c r="AF234" i="23"/>
  <c r="I234" i="23"/>
  <c r="AG234" i="23"/>
  <c r="AM234" i="23"/>
  <c r="D234" i="23"/>
  <c r="J234" i="23"/>
  <c r="P234" i="23"/>
  <c r="E234" i="23"/>
  <c r="K234" i="23"/>
  <c r="Q234" i="23"/>
  <c r="F234" i="23"/>
  <c r="L234" i="23"/>
  <c r="R234" i="23"/>
  <c r="I180" i="23"/>
  <c r="AG180" i="23"/>
  <c r="AM180" i="23"/>
  <c r="D180" i="23"/>
  <c r="J180" i="23"/>
  <c r="P180" i="23"/>
  <c r="E180" i="23"/>
  <c r="K180" i="23"/>
  <c r="Q180" i="23"/>
  <c r="F180" i="23"/>
  <c r="L180" i="23"/>
  <c r="R180" i="23"/>
  <c r="H180" i="23"/>
  <c r="N180" i="23"/>
  <c r="AF180" i="23"/>
  <c r="AE180" i="23"/>
  <c r="AK180" i="23"/>
  <c r="G180" i="23"/>
  <c r="M180" i="23"/>
  <c r="S180" i="23"/>
  <c r="G126" i="23"/>
  <c r="M126" i="23"/>
  <c r="S126" i="23"/>
  <c r="AE126" i="23"/>
  <c r="AK126" i="23"/>
  <c r="H126" i="23"/>
  <c r="N126" i="23"/>
  <c r="AF126" i="23"/>
  <c r="I126" i="23"/>
  <c r="AG126" i="23"/>
  <c r="AM126" i="23"/>
  <c r="D126" i="23"/>
  <c r="J126" i="23"/>
  <c r="P126" i="23"/>
  <c r="E126" i="23"/>
  <c r="K126" i="23"/>
  <c r="Q126" i="23"/>
  <c r="F126" i="23"/>
  <c r="L126" i="23"/>
  <c r="R126" i="23"/>
  <c r="I72" i="23"/>
  <c r="AG72" i="23"/>
  <c r="AM72" i="23"/>
  <c r="D72" i="23"/>
  <c r="J72" i="23"/>
  <c r="P72" i="23"/>
  <c r="E72" i="23"/>
  <c r="K72" i="23"/>
  <c r="Q72" i="23"/>
  <c r="F72" i="23"/>
  <c r="L72" i="23"/>
  <c r="R72" i="23"/>
  <c r="H72" i="23"/>
  <c r="N72" i="23"/>
  <c r="AF72" i="23"/>
  <c r="G72" i="23"/>
  <c r="M72" i="23"/>
  <c r="S72" i="23"/>
  <c r="AE72" i="23"/>
  <c r="AK72" i="23"/>
  <c r="E18" i="23"/>
  <c r="K18" i="23"/>
  <c r="Q18" i="23"/>
  <c r="D18" i="23"/>
  <c r="L18" i="23"/>
  <c r="S18" i="23"/>
  <c r="AE18" i="23"/>
  <c r="J18" i="23"/>
  <c r="R18" i="23"/>
  <c r="N18" i="23"/>
  <c r="AG18" i="23"/>
  <c r="F18" i="23"/>
  <c r="G18" i="23"/>
  <c r="P18" i="23"/>
  <c r="H18" i="23"/>
  <c r="AK18" i="23"/>
  <c r="M18" i="23"/>
  <c r="AF18" i="23"/>
  <c r="AM18" i="23"/>
  <c r="I18" i="23"/>
  <c r="I244" i="23"/>
  <c r="AG244" i="23"/>
  <c r="AM244" i="23"/>
  <c r="D244" i="23"/>
  <c r="J244" i="23"/>
  <c r="P244" i="23"/>
  <c r="E244" i="23"/>
  <c r="K244" i="23"/>
  <c r="Q244" i="23"/>
  <c r="F244" i="23"/>
  <c r="L244" i="23"/>
  <c r="R244" i="23"/>
  <c r="G244" i="23"/>
  <c r="M244" i="23"/>
  <c r="S244" i="23"/>
  <c r="AE244" i="23"/>
  <c r="AK244" i="23"/>
  <c r="H244" i="23"/>
  <c r="N244" i="23"/>
  <c r="AF244" i="23"/>
  <c r="D226" i="23"/>
  <c r="J226" i="23"/>
  <c r="P226" i="23"/>
  <c r="K226" i="23"/>
  <c r="R226" i="23"/>
  <c r="AF226" i="23"/>
  <c r="AM226" i="23"/>
  <c r="E226" i="23"/>
  <c r="L226" i="23"/>
  <c r="S226" i="23"/>
  <c r="AG226" i="23"/>
  <c r="F226" i="23"/>
  <c r="M226" i="23"/>
  <c r="G226" i="23"/>
  <c r="N226" i="23"/>
  <c r="H226" i="23"/>
  <c r="AK226" i="23"/>
  <c r="I226" i="23"/>
  <c r="Q226" i="23"/>
  <c r="AE226" i="23"/>
  <c r="G208" i="23"/>
  <c r="M208" i="23"/>
  <c r="S208" i="23"/>
  <c r="AE208" i="23"/>
  <c r="AK208" i="23"/>
  <c r="H208" i="23"/>
  <c r="N208" i="23"/>
  <c r="AF208" i="23"/>
  <c r="I208" i="23"/>
  <c r="AG208" i="23"/>
  <c r="AM208" i="23"/>
  <c r="D208" i="23"/>
  <c r="J208" i="23"/>
  <c r="P208" i="23"/>
  <c r="E208" i="23"/>
  <c r="K208" i="23"/>
  <c r="Q208" i="23"/>
  <c r="F208" i="23"/>
  <c r="L208" i="23"/>
  <c r="R208" i="23"/>
  <c r="F190" i="23"/>
  <c r="L190" i="23"/>
  <c r="R190" i="23"/>
  <c r="D190" i="23"/>
  <c r="J190" i="23"/>
  <c r="P190" i="23"/>
  <c r="M190" i="23"/>
  <c r="AE190" i="23"/>
  <c r="E190" i="23"/>
  <c r="N190" i="23"/>
  <c r="AF190" i="23"/>
  <c r="AM190" i="23"/>
  <c r="G190" i="23"/>
  <c r="AG190" i="23"/>
  <c r="H190" i="23"/>
  <c r="Q190" i="23"/>
  <c r="I190" i="23"/>
  <c r="S190" i="23"/>
  <c r="K190" i="23"/>
  <c r="AK190" i="23"/>
  <c r="E172" i="23"/>
  <c r="K172" i="23"/>
  <c r="Q172" i="23"/>
  <c r="F172" i="23"/>
  <c r="L172" i="23"/>
  <c r="R172" i="23"/>
  <c r="G172" i="23"/>
  <c r="M172" i="23"/>
  <c r="S172" i="23"/>
  <c r="AE172" i="23"/>
  <c r="AK172" i="23"/>
  <c r="H172" i="23"/>
  <c r="N172" i="23"/>
  <c r="AF172" i="23"/>
  <c r="I172" i="23"/>
  <c r="AG172" i="23"/>
  <c r="AM172" i="23"/>
  <c r="D172" i="23"/>
  <c r="J172" i="23"/>
  <c r="P172" i="23"/>
  <c r="G154" i="23"/>
  <c r="M154" i="23"/>
  <c r="S154" i="23"/>
  <c r="AE154" i="23"/>
  <c r="AK154" i="23"/>
  <c r="H154" i="23"/>
  <c r="N154" i="23"/>
  <c r="AF154" i="23"/>
  <c r="I154" i="23"/>
  <c r="AG154" i="23"/>
  <c r="AM154" i="23"/>
  <c r="D154" i="23"/>
  <c r="J154" i="23"/>
  <c r="P154" i="23"/>
  <c r="E154" i="23"/>
  <c r="K154" i="23"/>
  <c r="Q154" i="23"/>
  <c r="F154" i="23"/>
  <c r="L154" i="23"/>
  <c r="R154" i="23"/>
  <c r="H136" i="23"/>
  <c r="N136" i="23"/>
  <c r="AF136" i="23"/>
  <c r="I136" i="23"/>
  <c r="P136" i="23"/>
  <c r="AK136" i="23"/>
  <c r="J136" i="23"/>
  <c r="Q136" i="23"/>
  <c r="AE136" i="23"/>
  <c r="D136" i="23"/>
  <c r="K136" i="23"/>
  <c r="R136" i="23"/>
  <c r="AG136" i="23"/>
  <c r="AM136" i="23"/>
  <c r="E136" i="23"/>
  <c r="L136" i="23"/>
  <c r="S136" i="23"/>
  <c r="F136" i="23"/>
  <c r="M136" i="23"/>
  <c r="G136" i="23"/>
  <c r="I118" i="23"/>
  <c r="AG118" i="23"/>
  <c r="AM118" i="23"/>
  <c r="D118" i="23"/>
  <c r="J118" i="23"/>
  <c r="P118" i="23"/>
  <c r="E118" i="23"/>
  <c r="K118" i="23"/>
  <c r="Q118" i="23"/>
  <c r="F118" i="23"/>
  <c r="L118" i="23"/>
  <c r="R118" i="23"/>
  <c r="G118" i="23"/>
  <c r="M118" i="23"/>
  <c r="S118" i="23"/>
  <c r="AE118" i="23"/>
  <c r="AK118" i="23"/>
  <c r="H118" i="23"/>
  <c r="N118" i="23"/>
  <c r="AF118" i="23"/>
  <c r="F100" i="23"/>
  <c r="L100" i="23"/>
  <c r="R100" i="23"/>
  <c r="G100" i="23"/>
  <c r="M100" i="23"/>
  <c r="S100" i="23"/>
  <c r="AE100" i="23"/>
  <c r="AK100" i="23"/>
  <c r="H100" i="23"/>
  <c r="N100" i="23"/>
  <c r="AF100" i="23"/>
  <c r="I100" i="23"/>
  <c r="AG100" i="23"/>
  <c r="AM100" i="23"/>
  <c r="E100" i="23"/>
  <c r="K100" i="23"/>
  <c r="Q100" i="23"/>
  <c r="J100" i="23"/>
  <c r="P100" i="23"/>
  <c r="D100" i="23"/>
  <c r="E82" i="23"/>
  <c r="K82" i="23"/>
  <c r="Q82" i="23"/>
  <c r="F82" i="23"/>
  <c r="L82" i="23"/>
  <c r="R82" i="23"/>
  <c r="G82" i="23"/>
  <c r="M82" i="23"/>
  <c r="S82" i="23"/>
  <c r="AE82" i="23"/>
  <c r="AK82" i="23"/>
  <c r="H82" i="23"/>
  <c r="N82" i="23"/>
  <c r="AF82" i="23"/>
  <c r="D82" i="23"/>
  <c r="J82" i="23"/>
  <c r="P82" i="23"/>
  <c r="AG82" i="23"/>
  <c r="I82" i="23"/>
  <c r="AM82" i="23"/>
  <c r="H64" i="23"/>
  <c r="N64" i="23"/>
  <c r="AF64" i="23"/>
  <c r="F64" i="23"/>
  <c r="M64" i="23"/>
  <c r="G64" i="23"/>
  <c r="I64" i="23"/>
  <c r="P64" i="23"/>
  <c r="AK64" i="23"/>
  <c r="J64" i="23"/>
  <c r="Q64" i="23"/>
  <c r="AE64" i="23"/>
  <c r="E64" i="23"/>
  <c r="L64" i="23"/>
  <c r="S64" i="23"/>
  <c r="K64" i="23"/>
  <c r="R64" i="23"/>
  <c r="AG64" i="23"/>
  <c r="D64" i="23"/>
  <c r="AM64" i="23"/>
  <c r="H46" i="23"/>
  <c r="N46" i="23"/>
  <c r="AF46" i="23"/>
  <c r="D46" i="23"/>
  <c r="K46" i="23"/>
  <c r="R46" i="23"/>
  <c r="AG46" i="23"/>
  <c r="AM46" i="23"/>
  <c r="E46" i="23"/>
  <c r="L46" i="23"/>
  <c r="S46" i="23"/>
  <c r="F46" i="23"/>
  <c r="M46" i="23"/>
  <c r="G46" i="23"/>
  <c r="J46" i="23"/>
  <c r="Q46" i="23"/>
  <c r="AE46" i="23"/>
  <c r="AK46" i="23"/>
  <c r="P46" i="23"/>
  <c r="I46" i="23"/>
  <c r="I28" i="23"/>
  <c r="AG28" i="23"/>
  <c r="D28" i="23"/>
  <c r="J28" i="23"/>
  <c r="P28" i="23"/>
  <c r="E28" i="23"/>
  <c r="K28" i="23"/>
  <c r="Q28" i="23"/>
  <c r="F28" i="23"/>
  <c r="L28" i="23"/>
  <c r="R28" i="23"/>
  <c r="H28" i="23"/>
  <c r="N28" i="23"/>
  <c r="AF28" i="23"/>
  <c r="AE28" i="23"/>
  <c r="AK28" i="23"/>
  <c r="G28" i="23"/>
  <c r="M28" i="23"/>
  <c r="AM28" i="23"/>
  <c r="S28" i="23"/>
  <c r="I10" i="23"/>
  <c r="AG10" i="23"/>
  <c r="AM10" i="23"/>
  <c r="G10" i="23"/>
  <c r="M10" i="23"/>
  <c r="S10" i="23"/>
  <c r="AE10" i="23"/>
  <c r="AK10" i="23"/>
  <c r="E10" i="23"/>
  <c r="N10" i="23"/>
  <c r="AF10" i="23"/>
  <c r="F10" i="23"/>
  <c r="P10" i="23"/>
  <c r="H10" i="23"/>
  <c r="Q10" i="23"/>
  <c r="J10" i="23"/>
  <c r="R10" i="23"/>
  <c r="D10" i="23"/>
  <c r="L10" i="23"/>
  <c r="K10" i="23"/>
  <c r="H348" i="23"/>
  <c r="N348" i="23"/>
  <c r="AF348" i="23"/>
  <c r="I348" i="23"/>
  <c r="AG348" i="23"/>
  <c r="AM348" i="23"/>
  <c r="D348" i="23"/>
  <c r="J348" i="23"/>
  <c r="P348" i="23"/>
  <c r="E348" i="23"/>
  <c r="K348" i="23"/>
  <c r="Q348" i="23"/>
  <c r="F348" i="23"/>
  <c r="L348" i="23"/>
  <c r="R348" i="23"/>
  <c r="G348" i="23"/>
  <c r="M348" i="23"/>
  <c r="S348" i="23"/>
  <c r="AE348" i="23"/>
  <c r="AK348" i="23"/>
  <c r="D504" i="23"/>
  <c r="F504" i="23"/>
  <c r="L504" i="23"/>
  <c r="R504" i="23"/>
  <c r="H504" i="23"/>
  <c r="N504" i="23"/>
  <c r="AF504" i="23"/>
  <c r="G504" i="23"/>
  <c r="P504" i="23"/>
  <c r="I504" i="23"/>
  <c r="Q504" i="23"/>
  <c r="J504" i="23"/>
  <c r="S504" i="23"/>
  <c r="AK504" i="23"/>
  <c r="K504" i="23"/>
  <c r="M504" i="23"/>
  <c r="AE504" i="23"/>
  <c r="AM504" i="23"/>
  <c r="E504" i="23"/>
  <c r="AG504" i="23"/>
  <c r="F321" i="23"/>
  <c r="L321" i="23"/>
  <c r="R321" i="23"/>
  <c r="I321" i="23"/>
  <c r="AG321" i="23"/>
  <c r="AM321" i="23"/>
  <c r="E321" i="23"/>
  <c r="N321" i="23"/>
  <c r="AF321" i="23"/>
  <c r="G321" i="23"/>
  <c r="P321" i="23"/>
  <c r="H321" i="23"/>
  <c r="Q321" i="23"/>
  <c r="J321" i="23"/>
  <c r="S321" i="23"/>
  <c r="AK321" i="23"/>
  <c r="K321" i="23"/>
  <c r="D321" i="23"/>
  <c r="M321" i="23"/>
  <c r="AE321" i="23"/>
  <c r="F428" i="23"/>
  <c r="L428" i="23"/>
  <c r="R428" i="23"/>
  <c r="H428" i="23"/>
  <c r="N428" i="23"/>
  <c r="AF428" i="23"/>
  <c r="I428" i="23"/>
  <c r="AG428" i="23"/>
  <c r="AM428" i="23"/>
  <c r="D428" i="23"/>
  <c r="J428" i="23"/>
  <c r="P428" i="23"/>
  <c r="E428" i="23"/>
  <c r="K428" i="23"/>
  <c r="Q428" i="23"/>
  <c r="G428" i="23"/>
  <c r="M428" i="23"/>
  <c r="S428" i="23"/>
  <c r="AE428" i="23"/>
  <c r="AK428" i="23"/>
  <c r="D329" i="23"/>
  <c r="J329" i="23"/>
  <c r="P329" i="23"/>
  <c r="G329" i="23"/>
  <c r="M329" i="23"/>
  <c r="S329" i="23"/>
  <c r="AE329" i="23"/>
  <c r="AK329" i="23"/>
  <c r="H329" i="23"/>
  <c r="Q329" i="23"/>
  <c r="I329" i="23"/>
  <c r="R329" i="23"/>
  <c r="K329" i="23"/>
  <c r="L329" i="23"/>
  <c r="AM329" i="23"/>
  <c r="E329" i="23"/>
  <c r="N329" i="23"/>
  <c r="AF329" i="23"/>
  <c r="F329" i="23"/>
  <c r="AG329" i="23"/>
  <c r="G511" i="23"/>
  <c r="M511" i="23"/>
  <c r="S511" i="23"/>
  <c r="AE511" i="23"/>
  <c r="AK511" i="23"/>
  <c r="J511" i="23"/>
  <c r="Q511" i="23"/>
  <c r="AF511" i="23"/>
  <c r="AM511" i="23"/>
  <c r="D511" i="23"/>
  <c r="K511" i="23"/>
  <c r="R511" i="23"/>
  <c r="AG511" i="23"/>
  <c r="E511" i="23"/>
  <c r="L511" i="23"/>
  <c r="F511" i="23"/>
  <c r="N511" i="23"/>
  <c r="H511" i="23"/>
  <c r="I511" i="23"/>
  <c r="P511" i="23"/>
  <c r="G541" i="23"/>
  <c r="M541" i="23"/>
  <c r="S541" i="23"/>
  <c r="AE541" i="23"/>
  <c r="AK541" i="23"/>
  <c r="H541" i="23"/>
  <c r="N541" i="23"/>
  <c r="AF541" i="23"/>
  <c r="I541" i="23"/>
  <c r="AG541" i="23"/>
  <c r="AM541" i="23"/>
  <c r="D541" i="23"/>
  <c r="J541" i="23"/>
  <c r="P541" i="23"/>
  <c r="F541" i="23"/>
  <c r="L541" i="23"/>
  <c r="R541" i="23"/>
  <c r="E541" i="23"/>
  <c r="K541" i="23"/>
  <c r="Q541" i="23"/>
  <c r="E537" i="23"/>
  <c r="K537" i="23"/>
  <c r="Q537" i="23"/>
  <c r="F537" i="23"/>
  <c r="L537" i="23"/>
  <c r="R537" i="23"/>
  <c r="G537" i="23"/>
  <c r="M537" i="23"/>
  <c r="S537" i="23"/>
  <c r="AE537" i="23"/>
  <c r="AK537" i="23"/>
  <c r="H537" i="23"/>
  <c r="N537" i="23"/>
  <c r="AF537" i="23"/>
  <c r="D537" i="23"/>
  <c r="J537" i="23"/>
  <c r="P537" i="23"/>
  <c r="AG537" i="23"/>
  <c r="I537" i="23"/>
  <c r="AM537" i="23"/>
  <c r="F483" i="23"/>
  <c r="L483" i="23"/>
  <c r="R483" i="23"/>
  <c r="G483" i="23"/>
  <c r="M483" i="23"/>
  <c r="S483" i="23"/>
  <c r="AE483" i="23"/>
  <c r="AK483" i="23"/>
  <c r="H483" i="23"/>
  <c r="N483" i="23"/>
  <c r="AF483" i="23"/>
  <c r="I483" i="23"/>
  <c r="AG483" i="23"/>
  <c r="AM483" i="23"/>
  <c r="D483" i="23"/>
  <c r="J483" i="23"/>
  <c r="P483" i="23"/>
  <c r="E483" i="23"/>
  <c r="K483" i="23"/>
  <c r="Q483" i="23"/>
  <c r="I425" i="23"/>
  <c r="AG425" i="23"/>
  <c r="AM425" i="23"/>
  <c r="E425" i="23"/>
  <c r="K425" i="23"/>
  <c r="Q425" i="23"/>
  <c r="F425" i="23"/>
  <c r="L425" i="23"/>
  <c r="R425" i="23"/>
  <c r="G425" i="23"/>
  <c r="M425" i="23"/>
  <c r="S425" i="23"/>
  <c r="AE425" i="23"/>
  <c r="AK425" i="23"/>
  <c r="H425" i="23"/>
  <c r="N425" i="23"/>
  <c r="AF425" i="23"/>
  <c r="D425" i="23"/>
  <c r="J425" i="23"/>
  <c r="P425" i="23"/>
  <c r="G341" i="23"/>
  <c r="M341" i="23"/>
  <c r="S341" i="23"/>
  <c r="AE341" i="23"/>
  <c r="AK341" i="23"/>
  <c r="J341" i="23"/>
  <c r="Q341" i="23"/>
  <c r="AF341" i="23"/>
  <c r="AM341" i="23"/>
  <c r="D341" i="23"/>
  <c r="K341" i="23"/>
  <c r="R341" i="23"/>
  <c r="AG341" i="23"/>
  <c r="E341" i="23"/>
  <c r="L341" i="23"/>
  <c r="F341" i="23"/>
  <c r="N341" i="23"/>
  <c r="H341" i="23"/>
  <c r="I341" i="23"/>
  <c r="P341" i="23"/>
  <c r="E561" i="23"/>
  <c r="K561" i="23"/>
  <c r="Q561" i="23"/>
  <c r="F561" i="23"/>
  <c r="L561" i="23"/>
  <c r="R561" i="23"/>
  <c r="G561" i="23"/>
  <c r="M561" i="23"/>
  <c r="S561" i="23"/>
  <c r="AE561" i="23"/>
  <c r="AK561" i="23"/>
  <c r="H561" i="23"/>
  <c r="N561" i="23"/>
  <c r="AF561" i="23"/>
  <c r="D561" i="23"/>
  <c r="J561" i="23"/>
  <c r="P561" i="23"/>
  <c r="AG561" i="23"/>
  <c r="I561" i="23"/>
  <c r="AM561" i="23"/>
  <c r="E507" i="23"/>
  <c r="K507" i="23"/>
  <c r="Q507" i="23"/>
  <c r="I507" i="23"/>
  <c r="P507" i="23"/>
  <c r="AE507" i="23"/>
  <c r="J507" i="23"/>
  <c r="R507" i="23"/>
  <c r="AF507" i="23"/>
  <c r="AM507" i="23"/>
  <c r="D507" i="23"/>
  <c r="L507" i="23"/>
  <c r="S507" i="23"/>
  <c r="AG507" i="23"/>
  <c r="F507" i="23"/>
  <c r="M507" i="23"/>
  <c r="G507" i="23"/>
  <c r="N507" i="23"/>
  <c r="H507" i="23"/>
  <c r="AK507" i="23"/>
  <c r="E453" i="23"/>
  <c r="K453" i="23"/>
  <c r="Q453" i="23"/>
  <c r="I453" i="23"/>
  <c r="D453" i="23"/>
  <c r="J453" i="23"/>
  <c r="P453" i="23"/>
  <c r="F453" i="23"/>
  <c r="R453" i="23"/>
  <c r="G453" i="23"/>
  <c r="S453" i="23"/>
  <c r="AE453" i="23"/>
  <c r="AM453" i="23"/>
  <c r="H453" i="23"/>
  <c r="AF453" i="23"/>
  <c r="L453" i="23"/>
  <c r="AG453" i="23"/>
  <c r="M453" i="23"/>
  <c r="N453" i="23"/>
  <c r="AK453" i="23"/>
  <c r="E378" i="23"/>
  <c r="K378" i="23"/>
  <c r="Q378" i="23"/>
  <c r="F378" i="23"/>
  <c r="L378" i="23"/>
  <c r="R378" i="23"/>
  <c r="G378" i="23"/>
  <c r="M378" i="23"/>
  <c r="S378" i="23"/>
  <c r="AE378" i="23"/>
  <c r="AK378" i="23"/>
  <c r="H378" i="23"/>
  <c r="N378" i="23"/>
  <c r="AF378" i="23"/>
  <c r="I378" i="23"/>
  <c r="AG378" i="23"/>
  <c r="AM378" i="23"/>
  <c r="D378" i="23"/>
  <c r="J378" i="23"/>
  <c r="P378" i="23"/>
  <c r="F297" i="23"/>
  <c r="L297" i="23"/>
  <c r="R297" i="23"/>
  <c r="H297" i="23"/>
  <c r="N297" i="23"/>
  <c r="AF297" i="23"/>
  <c r="I297" i="23"/>
  <c r="AG297" i="23"/>
  <c r="AM297" i="23"/>
  <c r="E297" i="23"/>
  <c r="K297" i="23"/>
  <c r="Q297" i="23"/>
  <c r="D297" i="23"/>
  <c r="G297" i="23"/>
  <c r="J297" i="23"/>
  <c r="M297" i="23"/>
  <c r="AE297" i="23"/>
  <c r="P297" i="23"/>
  <c r="S297" i="23"/>
  <c r="AK297" i="23"/>
  <c r="E204" i="23"/>
  <c r="K204" i="23"/>
  <c r="Q204" i="23"/>
  <c r="F204" i="23"/>
  <c r="L204" i="23"/>
  <c r="R204" i="23"/>
  <c r="G204" i="23"/>
  <c r="M204" i="23"/>
  <c r="S204" i="23"/>
  <c r="AE204" i="23"/>
  <c r="AK204" i="23"/>
  <c r="H204" i="23"/>
  <c r="N204" i="23"/>
  <c r="AF204" i="23"/>
  <c r="I204" i="23"/>
  <c r="AG204" i="23"/>
  <c r="AM204" i="23"/>
  <c r="D204" i="23"/>
  <c r="J204" i="23"/>
  <c r="P204" i="23"/>
  <c r="H546" i="23"/>
  <c r="N546" i="23"/>
  <c r="AF546" i="23"/>
  <c r="I546" i="23"/>
  <c r="AG546" i="23"/>
  <c r="AM546" i="23"/>
  <c r="D546" i="23"/>
  <c r="J546" i="23"/>
  <c r="P546" i="23"/>
  <c r="E546" i="23"/>
  <c r="K546" i="23"/>
  <c r="Q546" i="23"/>
  <c r="G546" i="23"/>
  <c r="M546" i="23"/>
  <c r="S546" i="23"/>
  <c r="AE546" i="23"/>
  <c r="AK546" i="23"/>
  <c r="F546" i="23"/>
  <c r="L546" i="23"/>
  <c r="R546" i="23"/>
  <c r="I492" i="23"/>
  <c r="AG492" i="23"/>
  <c r="AM492" i="23"/>
  <c r="D492" i="23"/>
  <c r="J492" i="23"/>
  <c r="P492" i="23"/>
  <c r="E492" i="23"/>
  <c r="K492" i="23"/>
  <c r="Q492" i="23"/>
  <c r="F492" i="23"/>
  <c r="L492" i="23"/>
  <c r="R492" i="23"/>
  <c r="G492" i="23"/>
  <c r="M492" i="23"/>
  <c r="S492" i="23"/>
  <c r="AE492" i="23"/>
  <c r="AK492" i="23"/>
  <c r="H492" i="23"/>
  <c r="N492" i="23"/>
  <c r="AF492" i="23"/>
  <c r="H438" i="23"/>
  <c r="N438" i="23"/>
  <c r="AF438" i="23"/>
  <c r="E438" i="23"/>
  <c r="K438" i="23"/>
  <c r="Q438" i="23"/>
  <c r="F438" i="23"/>
  <c r="L438" i="23"/>
  <c r="R438" i="23"/>
  <c r="G438" i="23"/>
  <c r="M438" i="23"/>
  <c r="S438" i="23"/>
  <c r="AE438" i="23"/>
  <c r="AK438" i="23"/>
  <c r="J438" i="23"/>
  <c r="AG438" i="23"/>
  <c r="P438" i="23"/>
  <c r="D438" i="23"/>
  <c r="AM438" i="23"/>
  <c r="I438" i="23"/>
  <c r="I392" i="23"/>
  <c r="AG392" i="23"/>
  <c r="AM392" i="23"/>
  <c r="H392" i="23"/>
  <c r="N392" i="23"/>
  <c r="AF392" i="23"/>
  <c r="G392" i="23"/>
  <c r="Q392" i="23"/>
  <c r="K392" i="23"/>
  <c r="S392" i="23"/>
  <c r="AK392" i="23"/>
  <c r="D392" i="23"/>
  <c r="L392" i="23"/>
  <c r="E392" i="23"/>
  <c r="M392" i="23"/>
  <c r="AE392" i="23"/>
  <c r="F392" i="23"/>
  <c r="P392" i="23"/>
  <c r="J392" i="23"/>
  <c r="R392" i="23"/>
  <c r="I339" i="23"/>
  <c r="AG339" i="23"/>
  <c r="AM339" i="23"/>
  <c r="F339" i="23"/>
  <c r="M339" i="23"/>
  <c r="G339" i="23"/>
  <c r="N339" i="23"/>
  <c r="H339" i="23"/>
  <c r="P339" i="23"/>
  <c r="AK339" i="23"/>
  <c r="J339" i="23"/>
  <c r="Q339" i="23"/>
  <c r="AE339" i="23"/>
  <c r="D339" i="23"/>
  <c r="K339" i="23"/>
  <c r="R339" i="23"/>
  <c r="AF339" i="23"/>
  <c r="S339" i="23"/>
  <c r="E339" i="23"/>
  <c r="L339" i="23"/>
  <c r="G279" i="23"/>
  <c r="M279" i="23"/>
  <c r="S279" i="23"/>
  <c r="AE279" i="23"/>
  <c r="AK279" i="23"/>
  <c r="E279" i="23"/>
  <c r="L279" i="23"/>
  <c r="F279" i="23"/>
  <c r="N279" i="23"/>
  <c r="H279" i="23"/>
  <c r="I279" i="23"/>
  <c r="P279" i="23"/>
  <c r="D279" i="23"/>
  <c r="K279" i="23"/>
  <c r="R279" i="23"/>
  <c r="AG279" i="23"/>
  <c r="AF279" i="23"/>
  <c r="AM279" i="23"/>
  <c r="J279" i="23"/>
  <c r="Q279" i="23"/>
  <c r="E549" i="23"/>
  <c r="K549" i="23"/>
  <c r="Q549" i="23"/>
  <c r="F549" i="23"/>
  <c r="L549" i="23"/>
  <c r="R549" i="23"/>
  <c r="G549" i="23"/>
  <c r="M549" i="23"/>
  <c r="S549" i="23"/>
  <c r="AE549" i="23"/>
  <c r="AK549" i="23"/>
  <c r="H549" i="23"/>
  <c r="N549" i="23"/>
  <c r="AF549" i="23"/>
  <c r="D549" i="23"/>
  <c r="J549" i="23"/>
  <c r="P549" i="23"/>
  <c r="I549" i="23"/>
  <c r="AM549" i="23"/>
  <c r="AG549" i="23"/>
  <c r="F495" i="23"/>
  <c r="L495" i="23"/>
  <c r="R495" i="23"/>
  <c r="G495" i="23"/>
  <c r="M495" i="23"/>
  <c r="S495" i="23"/>
  <c r="AE495" i="23"/>
  <c r="AK495" i="23"/>
  <c r="H495" i="23"/>
  <c r="N495" i="23"/>
  <c r="AF495" i="23"/>
  <c r="I495" i="23"/>
  <c r="AG495" i="23"/>
  <c r="AM495" i="23"/>
  <c r="D495" i="23"/>
  <c r="J495" i="23"/>
  <c r="P495" i="23"/>
  <c r="E495" i="23"/>
  <c r="K495" i="23"/>
  <c r="Q495" i="23"/>
  <c r="E441" i="23"/>
  <c r="K441" i="23"/>
  <c r="Q441" i="23"/>
  <c r="H441" i="23"/>
  <c r="N441" i="23"/>
  <c r="AF441" i="23"/>
  <c r="I441" i="23"/>
  <c r="AG441" i="23"/>
  <c r="AM441" i="23"/>
  <c r="D441" i="23"/>
  <c r="J441" i="23"/>
  <c r="P441" i="23"/>
  <c r="R441" i="23"/>
  <c r="S441" i="23"/>
  <c r="AK441" i="23"/>
  <c r="F441" i="23"/>
  <c r="G441" i="23"/>
  <c r="L441" i="23"/>
  <c r="M441" i="23"/>
  <c r="AE441" i="23"/>
  <c r="F350" i="23"/>
  <c r="L350" i="23"/>
  <c r="R350" i="23"/>
  <c r="G350" i="23"/>
  <c r="M350" i="23"/>
  <c r="S350" i="23"/>
  <c r="AE350" i="23"/>
  <c r="AK350" i="23"/>
  <c r="H350" i="23"/>
  <c r="N350" i="23"/>
  <c r="AF350" i="23"/>
  <c r="I350" i="23"/>
  <c r="AG350" i="23"/>
  <c r="AM350" i="23"/>
  <c r="D350" i="23"/>
  <c r="J350" i="23"/>
  <c r="P350" i="23"/>
  <c r="K350" i="23"/>
  <c r="Q350" i="23"/>
  <c r="E350" i="23"/>
  <c r="G523" i="23"/>
  <c r="M523" i="23"/>
  <c r="S523" i="23"/>
  <c r="AE523" i="23"/>
  <c r="AK523" i="23"/>
  <c r="H523" i="23"/>
  <c r="N523" i="23"/>
  <c r="AF523" i="23"/>
  <c r="I523" i="23"/>
  <c r="AG523" i="23"/>
  <c r="AM523" i="23"/>
  <c r="D523" i="23"/>
  <c r="J523" i="23"/>
  <c r="P523" i="23"/>
  <c r="E523" i="23"/>
  <c r="K523" i="23"/>
  <c r="Q523" i="23"/>
  <c r="F523" i="23"/>
  <c r="L523" i="23"/>
  <c r="R523" i="23"/>
  <c r="H444" i="23"/>
  <c r="N444" i="23"/>
  <c r="AF444" i="23"/>
  <c r="E444" i="23"/>
  <c r="K444" i="23"/>
  <c r="Q444" i="23"/>
  <c r="F444" i="23"/>
  <c r="L444" i="23"/>
  <c r="R444" i="23"/>
  <c r="G444" i="23"/>
  <c r="M444" i="23"/>
  <c r="S444" i="23"/>
  <c r="AE444" i="23"/>
  <c r="AK444" i="23"/>
  <c r="AG444" i="23"/>
  <c r="P444" i="23"/>
  <c r="D444" i="23"/>
  <c r="AM444" i="23"/>
  <c r="I444" i="23"/>
  <c r="J444" i="23"/>
  <c r="E384" i="23"/>
  <c r="K384" i="23"/>
  <c r="Q384" i="23"/>
  <c r="F384" i="23"/>
  <c r="L384" i="23"/>
  <c r="R384" i="23"/>
  <c r="G384" i="23"/>
  <c r="M384" i="23"/>
  <c r="S384" i="23"/>
  <c r="AE384" i="23"/>
  <c r="AK384" i="23"/>
  <c r="H384" i="23"/>
  <c r="N384" i="23"/>
  <c r="AF384" i="23"/>
  <c r="I384" i="23"/>
  <c r="AG384" i="23"/>
  <c r="AM384" i="23"/>
  <c r="D384" i="23"/>
  <c r="J384" i="23"/>
  <c r="P384" i="23"/>
  <c r="I330" i="23"/>
  <c r="AG330" i="23"/>
  <c r="F330" i="23"/>
  <c r="L330" i="23"/>
  <c r="R330" i="23"/>
  <c r="E330" i="23"/>
  <c r="N330" i="23"/>
  <c r="AF330" i="23"/>
  <c r="G330" i="23"/>
  <c r="P330" i="23"/>
  <c r="H330" i="23"/>
  <c r="Q330" i="23"/>
  <c r="J330" i="23"/>
  <c r="S330" i="23"/>
  <c r="AK330" i="23"/>
  <c r="K330" i="23"/>
  <c r="D330" i="23"/>
  <c r="M330" i="23"/>
  <c r="AE330" i="23"/>
  <c r="AM330" i="23"/>
  <c r="D287" i="23"/>
  <c r="J287" i="23"/>
  <c r="P287" i="23"/>
  <c r="F287" i="23"/>
  <c r="L287" i="23"/>
  <c r="R287" i="23"/>
  <c r="G287" i="23"/>
  <c r="M287" i="23"/>
  <c r="S287" i="23"/>
  <c r="AE287" i="23"/>
  <c r="AK287" i="23"/>
  <c r="I287" i="23"/>
  <c r="AG287" i="23"/>
  <c r="AM287" i="23"/>
  <c r="Q287" i="23"/>
  <c r="E287" i="23"/>
  <c r="H287" i="23"/>
  <c r="K287" i="23"/>
  <c r="N287" i="23"/>
  <c r="AF287" i="23"/>
  <c r="F578" i="23"/>
  <c r="L578" i="23"/>
  <c r="R578" i="23"/>
  <c r="H578" i="23"/>
  <c r="N578" i="23"/>
  <c r="AF578" i="23"/>
  <c r="I578" i="23"/>
  <c r="AG578" i="23"/>
  <c r="AM578" i="23"/>
  <c r="E578" i="23"/>
  <c r="K578" i="23"/>
  <c r="Q578" i="23"/>
  <c r="P578" i="23"/>
  <c r="S578" i="23"/>
  <c r="AK578" i="23"/>
  <c r="D578" i="23"/>
  <c r="G578" i="23"/>
  <c r="J578" i="23"/>
  <c r="M578" i="23"/>
  <c r="AE578" i="23"/>
  <c r="F560" i="23"/>
  <c r="L560" i="23"/>
  <c r="R560" i="23"/>
  <c r="G560" i="23"/>
  <c r="M560" i="23"/>
  <c r="S560" i="23"/>
  <c r="AE560" i="23"/>
  <c r="AK560" i="23"/>
  <c r="H560" i="23"/>
  <c r="N560" i="23"/>
  <c r="AF560" i="23"/>
  <c r="I560" i="23"/>
  <c r="AG560" i="23"/>
  <c r="AM560" i="23"/>
  <c r="E560" i="23"/>
  <c r="K560" i="23"/>
  <c r="Q560" i="23"/>
  <c r="D560" i="23"/>
  <c r="J560" i="23"/>
  <c r="P560" i="23"/>
  <c r="F542" i="23"/>
  <c r="L542" i="23"/>
  <c r="R542" i="23"/>
  <c r="G542" i="23"/>
  <c r="M542" i="23"/>
  <c r="S542" i="23"/>
  <c r="AE542" i="23"/>
  <c r="AK542" i="23"/>
  <c r="H542" i="23"/>
  <c r="N542" i="23"/>
  <c r="AF542" i="23"/>
  <c r="I542" i="23"/>
  <c r="AG542" i="23"/>
  <c r="AM542" i="23"/>
  <c r="E542" i="23"/>
  <c r="K542" i="23"/>
  <c r="Q542" i="23"/>
  <c r="D542" i="23"/>
  <c r="J542" i="23"/>
  <c r="P542" i="23"/>
  <c r="F524" i="23"/>
  <c r="L524" i="23"/>
  <c r="R524" i="23"/>
  <c r="G524" i="23"/>
  <c r="M524" i="23"/>
  <c r="S524" i="23"/>
  <c r="AE524" i="23"/>
  <c r="AK524" i="23"/>
  <c r="H524" i="23"/>
  <c r="N524" i="23"/>
  <c r="AF524" i="23"/>
  <c r="I524" i="23"/>
  <c r="AG524" i="23"/>
  <c r="AM524" i="23"/>
  <c r="D524" i="23"/>
  <c r="J524" i="23"/>
  <c r="P524" i="23"/>
  <c r="E524" i="23"/>
  <c r="K524" i="23"/>
  <c r="Q524" i="23"/>
  <c r="D506" i="23"/>
  <c r="J506" i="23"/>
  <c r="P506" i="23"/>
  <c r="F506" i="23"/>
  <c r="L506" i="23"/>
  <c r="R506" i="23"/>
  <c r="M506" i="23"/>
  <c r="AE506" i="23"/>
  <c r="AM506" i="23"/>
  <c r="E506" i="23"/>
  <c r="N506" i="23"/>
  <c r="AF506" i="23"/>
  <c r="G506" i="23"/>
  <c r="AG506" i="23"/>
  <c r="H506" i="23"/>
  <c r="Q506" i="23"/>
  <c r="I506" i="23"/>
  <c r="S506" i="23"/>
  <c r="AK506" i="23"/>
  <c r="K506" i="23"/>
  <c r="G488" i="23"/>
  <c r="M488" i="23"/>
  <c r="S488" i="23"/>
  <c r="AE488" i="23"/>
  <c r="AK488" i="23"/>
  <c r="H488" i="23"/>
  <c r="N488" i="23"/>
  <c r="AF488" i="23"/>
  <c r="I488" i="23"/>
  <c r="AG488" i="23"/>
  <c r="AM488" i="23"/>
  <c r="D488" i="23"/>
  <c r="J488" i="23"/>
  <c r="P488" i="23"/>
  <c r="E488" i="23"/>
  <c r="K488" i="23"/>
  <c r="Q488" i="23"/>
  <c r="F488" i="23"/>
  <c r="L488" i="23"/>
  <c r="R488" i="23"/>
  <c r="E470" i="23"/>
  <c r="K470" i="23"/>
  <c r="Q470" i="23"/>
  <c r="H470" i="23"/>
  <c r="AK470" i="23"/>
  <c r="I470" i="23"/>
  <c r="P470" i="23"/>
  <c r="AE470" i="23"/>
  <c r="J470" i="23"/>
  <c r="R470" i="23"/>
  <c r="AF470" i="23"/>
  <c r="AM470" i="23"/>
  <c r="D470" i="23"/>
  <c r="L470" i="23"/>
  <c r="S470" i="23"/>
  <c r="AG470" i="23"/>
  <c r="F470" i="23"/>
  <c r="M470" i="23"/>
  <c r="G470" i="23"/>
  <c r="N470" i="23"/>
  <c r="F452" i="23"/>
  <c r="L452" i="23"/>
  <c r="R452" i="23"/>
  <c r="D452" i="23"/>
  <c r="J452" i="23"/>
  <c r="P452" i="23"/>
  <c r="E452" i="23"/>
  <c r="K452" i="23"/>
  <c r="Q452" i="23"/>
  <c r="H452" i="23"/>
  <c r="AF452" i="23"/>
  <c r="I452" i="23"/>
  <c r="AG452" i="23"/>
  <c r="M452" i="23"/>
  <c r="AK452" i="23"/>
  <c r="N452" i="23"/>
  <c r="AM452" i="23"/>
  <c r="G452" i="23"/>
  <c r="S452" i="23"/>
  <c r="AE452" i="23"/>
  <c r="F434" i="23"/>
  <c r="L434" i="23"/>
  <c r="R434" i="23"/>
  <c r="H434" i="23"/>
  <c r="N434" i="23"/>
  <c r="AF434" i="23"/>
  <c r="I434" i="23"/>
  <c r="AG434" i="23"/>
  <c r="AM434" i="23"/>
  <c r="D434" i="23"/>
  <c r="J434" i="23"/>
  <c r="P434" i="23"/>
  <c r="E434" i="23"/>
  <c r="K434" i="23"/>
  <c r="Q434" i="23"/>
  <c r="AK434" i="23"/>
  <c r="G434" i="23"/>
  <c r="M434" i="23"/>
  <c r="S434" i="23"/>
  <c r="AE434" i="23"/>
  <c r="H381" i="23"/>
  <c r="N381" i="23"/>
  <c r="AF381" i="23"/>
  <c r="I381" i="23"/>
  <c r="AG381" i="23"/>
  <c r="AM381" i="23"/>
  <c r="D381" i="23"/>
  <c r="J381" i="23"/>
  <c r="P381" i="23"/>
  <c r="E381" i="23"/>
  <c r="K381" i="23"/>
  <c r="Q381" i="23"/>
  <c r="F381" i="23"/>
  <c r="L381" i="23"/>
  <c r="R381" i="23"/>
  <c r="G381" i="23"/>
  <c r="M381" i="23"/>
  <c r="S381" i="23"/>
  <c r="AE381" i="23"/>
  <c r="AK381" i="23"/>
  <c r="F327" i="23"/>
  <c r="L327" i="23"/>
  <c r="R327" i="23"/>
  <c r="I327" i="23"/>
  <c r="AG327" i="23"/>
  <c r="AM327" i="23"/>
  <c r="K327" i="23"/>
  <c r="D327" i="23"/>
  <c r="M327" i="23"/>
  <c r="AE327" i="23"/>
  <c r="E327" i="23"/>
  <c r="N327" i="23"/>
  <c r="AF327" i="23"/>
  <c r="G327" i="23"/>
  <c r="P327" i="23"/>
  <c r="H327" i="23"/>
  <c r="Q327" i="23"/>
  <c r="J327" i="23"/>
  <c r="S327" i="23"/>
  <c r="AK327" i="23"/>
  <c r="D273" i="23"/>
  <c r="J273" i="23"/>
  <c r="P273" i="23"/>
  <c r="F273" i="23"/>
  <c r="L273" i="23"/>
  <c r="R273" i="23"/>
  <c r="G273" i="23"/>
  <c r="M273" i="23"/>
  <c r="S273" i="23"/>
  <c r="AE273" i="23"/>
  <c r="AK273" i="23"/>
  <c r="N273" i="23"/>
  <c r="AM273" i="23"/>
  <c r="E273" i="23"/>
  <c r="Q273" i="23"/>
  <c r="H273" i="23"/>
  <c r="AF273" i="23"/>
  <c r="K273" i="23"/>
  <c r="I273" i="23"/>
  <c r="AG273" i="23"/>
  <c r="I132" i="23"/>
  <c r="AG132" i="23"/>
  <c r="AM132" i="23"/>
  <c r="F132" i="23"/>
  <c r="L132" i="23"/>
  <c r="R132" i="23"/>
  <c r="J132" i="23"/>
  <c r="S132" i="23"/>
  <c r="AK132" i="23"/>
  <c r="K132" i="23"/>
  <c r="D132" i="23"/>
  <c r="M132" i="23"/>
  <c r="AE132" i="23"/>
  <c r="E132" i="23"/>
  <c r="N132" i="23"/>
  <c r="AF132" i="23"/>
  <c r="G132" i="23"/>
  <c r="P132" i="23"/>
  <c r="H132" i="23"/>
  <c r="Q132" i="23"/>
  <c r="I168" i="23"/>
  <c r="AG168" i="23"/>
  <c r="AM168" i="23"/>
  <c r="D168" i="23"/>
  <c r="J168" i="23"/>
  <c r="P168" i="23"/>
  <c r="E168" i="23"/>
  <c r="K168" i="23"/>
  <c r="Q168" i="23"/>
  <c r="F168" i="23"/>
  <c r="L168" i="23"/>
  <c r="R168" i="23"/>
  <c r="G168" i="23"/>
  <c r="M168" i="23"/>
  <c r="S168" i="23"/>
  <c r="AE168" i="23"/>
  <c r="AK168" i="23"/>
  <c r="H168" i="23"/>
  <c r="N168" i="23"/>
  <c r="AF168" i="23"/>
  <c r="G6" i="23"/>
  <c r="E52" i="123" s="1"/>
  <c r="M6" i="23"/>
  <c r="S6" i="23"/>
  <c r="AE6" i="23"/>
  <c r="AK6" i="23"/>
  <c r="H6" i="23"/>
  <c r="N6" i="23"/>
  <c r="AF6" i="23"/>
  <c r="I6" i="23"/>
  <c r="AG6" i="23"/>
  <c r="AM6" i="23"/>
  <c r="D6" i="23"/>
  <c r="J6" i="23"/>
  <c r="P6" i="23"/>
  <c r="E6" i="23"/>
  <c r="K6" i="23"/>
  <c r="Q6" i="23"/>
  <c r="L6" i="23"/>
  <c r="R6" i="23"/>
  <c r="F6" i="23"/>
  <c r="E150" i="23"/>
  <c r="K150" i="23"/>
  <c r="Q150" i="23"/>
  <c r="F150" i="23"/>
  <c r="L150" i="23"/>
  <c r="R150" i="23"/>
  <c r="G150" i="23"/>
  <c r="M150" i="23"/>
  <c r="S150" i="23"/>
  <c r="AE150" i="23"/>
  <c r="AK150" i="23"/>
  <c r="H150" i="23"/>
  <c r="N150" i="23"/>
  <c r="AF150" i="23"/>
  <c r="I150" i="23"/>
  <c r="AG150" i="23"/>
  <c r="AM150" i="23"/>
  <c r="D150" i="23"/>
  <c r="J150" i="23"/>
  <c r="P150" i="23"/>
  <c r="D281" i="23"/>
  <c r="J281" i="23"/>
  <c r="P281" i="23"/>
  <c r="E281" i="23"/>
  <c r="K281" i="23"/>
  <c r="Q281" i="23"/>
  <c r="F281" i="23"/>
  <c r="L281" i="23"/>
  <c r="R281" i="23"/>
  <c r="G281" i="23"/>
  <c r="M281" i="23"/>
  <c r="S281" i="23"/>
  <c r="AE281" i="23"/>
  <c r="AK281" i="23"/>
  <c r="I281" i="23"/>
  <c r="AG281" i="23"/>
  <c r="AM281" i="23"/>
  <c r="H281" i="23"/>
  <c r="N281" i="23"/>
  <c r="AF281" i="23"/>
  <c r="D237" i="23"/>
  <c r="J237" i="23"/>
  <c r="P237" i="23"/>
  <c r="E237" i="23"/>
  <c r="K237" i="23"/>
  <c r="Q237" i="23"/>
  <c r="F237" i="23"/>
  <c r="L237" i="23"/>
  <c r="R237" i="23"/>
  <c r="G237" i="23"/>
  <c r="M237" i="23"/>
  <c r="S237" i="23"/>
  <c r="AE237" i="23"/>
  <c r="AK237" i="23"/>
  <c r="H237" i="23"/>
  <c r="N237" i="23"/>
  <c r="AF237" i="23"/>
  <c r="I237" i="23"/>
  <c r="AG237" i="23"/>
  <c r="AM237" i="23"/>
  <c r="F183" i="23"/>
  <c r="L183" i="23"/>
  <c r="R183" i="23"/>
  <c r="G183" i="23"/>
  <c r="M183" i="23"/>
  <c r="S183" i="23"/>
  <c r="AE183" i="23"/>
  <c r="AK183" i="23"/>
  <c r="H183" i="23"/>
  <c r="N183" i="23"/>
  <c r="AF183" i="23"/>
  <c r="I183" i="23"/>
  <c r="AG183" i="23"/>
  <c r="AM183" i="23"/>
  <c r="E183" i="23"/>
  <c r="K183" i="23"/>
  <c r="Q183" i="23"/>
  <c r="P183" i="23"/>
  <c r="D183" i="23"/>
  <c r="J183" i="23"/>
  <c r="D129" i="23"/>
  <c r="J129" i="23"/>
  <c r="P129" i="23"/>
  <c r="F129" i="23"/>
  <c r="L129" i="23"/>
  <c r="R129" i="23"/>
  <c r="H129" i="23"/>
  <c r="N129" i="23"/>
  <c r="AF129" i="23"/>
  <c r="I129" i="23"/>
  <c r="AG129" i="23"/>
  <c r="AM129" i="23"/>
  <c r="E129" i="23"/>
  <c r="AK129" i="23"/>
  <c r="G129" i="23"/>
  <c r="K129" i="23"/>
  <c r="M129" i="23"/>
  <c r="AE129" i="23"/>
  <c r="Q129" i="23"/>
  <c r="S129" i="23"/>
  <c r="F75" i="23"/>
  <c r="L75" i="23"/>
  <c r="R75" i="23"/>
  <c r="G75" i="23"/>
  <c r="M75" i="23"/>
  <c r="S75" i="23"/>
  <c r="AE75" i="23"/>
  <c r="AK75" i="23"/>
  <c r="H75" i="23"/>
  <c r="N75" i="23"/>
  <c r="AF75" i="23"/>
  <c r="I75" i="23"/>
  <c r="AG75" i="23"/>
  <c r="AM75" i="23"/>
  <c r="E75" i="23"/>
  <c r="K75" i="23"/>
  <c r="Q75" i="23"/>
  <c r="D75" i="23"/>
  <c r="J75" i="23"/>
  <c r="P75" i="23"/>
  <c r="I21" i="23"/>
  <c r="AG21" i="23"/>
  <c r="AM21" i="23"/>
  <c r="G21" i="23"/>
  <c r="N21" i="23"/>
  <c r="H21" i="23"/>
  <c r="P21" i="23"/>
  <c r="AK21" i="23"/>
  <c r="J21" i="23"/>
  <c r="Q21" i="23"/>
  <c r="AE21" i="23"/>
  <c r="D21" i="23"/>
  <c r="K21" i="23"/>
  <c r="R21" i="23"/>
  <c r="AF21" i="23"/>
  <c r="F21" i="23"/>
  <c r="M21" i="23"/>
  <c r="S21" i="23"/>
  <c r="L21" i="23"/>
  <c r="E21" i="23"/>
  <c r="H207" i="23"/>
  <c r="N207" i="23"/>
  <c r="AF207" i="23"/>
  <c r="I207" i="23"/>
  <c r="AG207" i="23"/>
  <c r="AM207" i="23"/>
  <c r="D207" i="23"/>
  <c r="J207" i="23"/>
  <c r="P207" i="23"/>
  <c r="E207" i="23"/>
  <c r="K207" i="23"/>
  <c r="Q207" i="23"/>
  <c r="F207" i="23"/>
  <c r="L207" i="23"/>
  <c r="R207" i="23"/>
  <c r="G207" i="23"/>
  <c r="M207" i="23"/>
  <c r="S207" i="23"/>
  <c r="AE207" i="23"/>
  <c r="AK207" i="23"/>
  <c r="H153" i="23"/>
  <c r="N153" i="23"/>
  <c r="AF153" i="23"/>
  <c r="I153" i="23"/>
  <c r="AG153" i="23"/>
  <c r="AM153" i="23"/>
  <c r="D153" i="23"/>
  <c r="J153" i="23"/>
  <c r="P153" i="23"/>
  <c r="E153" i="23"/>
  <c r="K153" i="23"/>
  <c r="Q153" i="23"/>
  <c r="F153" i="23"/>
  <c r="L153" i="23"/>
  <c r="R153" i="23"/>
  <c r="G153" i="23"/>
  <c r="M153" i="23"/>
  <c r="S153" i="23"/>
  <c r="AE153" i="23"/>
  <c r="AK153" i="23"/>
  <c r="G99" i="23"/>
  <c r="M99" i="23"/>
  <c r="S99" i="23"/>
  <c r="AE99" i="23"/>
  <c r="AK99" i="23"/>
  <c r="H99" i="23"/>
  <c r="N99" i="23"/>
  <c r="AF99" i="23"/>
  <c r="I99" i="23"/>
  <c r="AG99" i="23"/>
  <c r="AM99" i="23"/>
  <c r="D99" i="23"/>
  <c r="J99" i="23"/>
  <c r="P99" i="23"/>
  <c r="F99" i="23"/>
  <c r="L99" i="23"/>
  <c r="R99" i="23"/>
  <c r="E99" i="23"/>
  <c r="K99" i="23"/>
  <c r="Q99" i="23"/>
  <c r="I45" i="23"/>
  <c r="AG45" i="23"/>
  <c r="AM45" i="23"/>
  <c r="E45" i="23"/>
  <c r="L45" i="23"/>
  <c r="S45" i="23"/>
  <c r="F45" i="23"/>
  <c r="M45" i="23"/>
  <c r="G45" i="23"/>
  <c r="N45" i="23"/>
  <c r="H45" i="23"/>
  <c r="P45" i="23"/>
  <c r="AK45" i="23"/>
  <c r="D45" i="23"/>
  <c r="K45" i="23"/>
  <c r="R45" i="23"/>
  <c r="AF45" i="23"/>
  <c r="AE45" i="23"/>
  <c r="J45" i="23"/>
  <c r="Q45" i="23"/>
  <c r="H239" i="23"/>
  <c r="N239" i="23"/>
  <c r="AF239" i="23"/>
  <c r="I239" i="23"/>
  <c r="AG239" i="23"/>
  <c r="AM239" i="23"/>
  <c r="D239" i="23"/>
  <c r="J239" i="23"/>
  <c r="P239" i="23"/>
  <c r="E239" i="23"/>
  <c r="K239" i="23"/>
  <c r="Q239" i="23"/>
  <c r="F239" i="23"/>
  <c r="L239" i="23"/>
  <c r="R239" i="23"/>
  <c r="G239" i="23"/>
  <c r="M239" i="23"/>
  <c r="S239" i="23"/>
  <c r="AE239" i="23"/>
  <c r="AK239" i="23"/>
  <c r="D185" i="23"/>
  <c r="J185" i="23"/>
  <c r="P185" i="23"/>
  <c r="E185" i="23"/>
  <c r="K185" i="23"/>
  <c r="Q185" i="23"/>
  <c r="F185" i="23"/>
  <c r="L185" i="23"/>
  <c r="R185" i="23"/>
  <c r="G185" i="23"/>
  <c r="M185" i="23"/>
  <c r="S185" i="23"/>
  <c r="AE185" i="23"/>
  <c r="AK185" i="23"/>
  <c r="I185" i="23"/>
  <c r="AG185" i="23"/>
  <c r="AM185" i="23"/>
  <c r="AF185" i="23"/>
  <c r="H185" i="23"/>
  <c r="N185" i="23"/>
  <c r="D131" i="23"/>
  <c r="J131" i="23"/>
  <c r="P131" i="23"/>
  <c r="G131" i="23"/>
  <c r="M131" i="23"/>
  <c r="S131" i="23"/>
  <c r="AE131" i="23"/>
  <c r="AK131" i="23"/>
  <c r="L131" i="23"/>
  <c r="AM131" i="23"/>
  <c r="E131" i="23"/>
  <c r="N131" i="23"/>
  <c r="AF131" i="23"/>
  <c r="F131" i="23"/>
  <c r="AG131" i="23"/>
  <c r="H131" i="23"/>
  <c r="Q131" i="23"/>
  <c r="I131" i="23"/>
  <c r="R131" i="23"/>
  <c r="K131" i="23"/>
  <c r="D77" i="23"/>
  <c r="J77" i="23"/>
  <c r="P77" i="23"/>
  <c r="E77" i="23"/>
  <c r="K77" i="23"/>
  <c r="Q77" i="23"/>
  <c r="F77" i="23"/>
  <c r="L77" i="23"/>
  <c r="R77" i="23"/>
  <c r="G77" i="23"/>
  <c r="M77" i="23"/>
  <c r="S77" i="23"/>
  <c r="AE77" i="23"/>
  <c r="AK77" i="23"/>
  <c r="I77" i="23"/>
  <c r="AG77" i="23"/>
  <c r="AM77" i="23"/>
  <c r="AF77" i="23"/>
  <c r="H77" i="23"/>
  <c r="N77" i="23"/>
  <c r="G23" i="23"/>
  <c r="M23" i="23"/>
  <c r="S23" i="23"/>
  <c r="AE23" i="23"/>
  <c r="AK23" i="23"/>
  <c r="D23" i="23"/>
  <c r="K23" i="23"/>
  <c r="R23" i="23"/>
  <c r="AG23" i="23"/>
  <c r="E23" i="23"/>
  <c r="L23" i="23"/>
  <c r="F23" i="23"/>
  <c r="N23" i="23"/>
  <c r="H23" i="23"/>
  <c r="J23" i="23"/>
  <c r="Q23" i="23"/>
  <c r="AF23" i="23"/>
  <c r="AM23" i="23"/>
  <c r="I23" i="23"/>
  <c r="P23" i="23"/>
  <c r="H213" i="23"/>
  <c r="N213" i="23"/>
  <c r="AF213" i="23"/>
  <c r="I213" i="23"/>
  <c r="AG213" i="23"/>
  <c r="AM213" i="23"/>
  <c r="D213" i="23"/>
  <c r="J213" i="23"/>
  <c r="P213" i="23"/>
  <c r="E213" i="23"/>
  <c r="K213" i="23"/>
  <c r="Q213" i="23"/>
  <c r="F213" i="23"/>
  <c r="L213" i="23"/>
  <c r="R213" i="23"/>
  <c r="G213" i="23"/>
  <c r="M213" i="23"/>
  <c r="S213" i="23"/>
  <c r="AE213" i="23"/>
  <c r="AK213" i="23"/>
  <c r="H159" i="23"/>
  <c r="N159" i="23"/>
  <c r="AF159" i="23"/>
  <c r="I159" i="23"/>
  <c r="AG159" i="23"/>
  <c r="AM159" i="23"/>
  <c r="D159" i="23"/>
  <c r="J159" i="23"/>
  <c r="P159" i="23"/>
  <c r="E159" i="23"/>
  <c r="K159" i="23"/>
  <c r="Q159" i="23"/>
  <c r="F159" i="23"/>
  <c r="L159" i="23"/>
  <c r="R159" i="23"/>
  <c r="G159" i="23"/>
  <c r="M159" i="23"/>
  <c r="S159" i="23"/>
  <c r="AE159" i="23"/>
  <c r="AK159" i="23"/>
  <c r="G105" i="23"/>
  <c r="M105" i="23"/>
  <c r="S105" i="23"/>
  <c r="AE105" i="23"/>
  <c r="AK105" i="23"/>
  <c r="H105" i="23"/>
  <c r="N105" i="23"/>
  <c r="AF105" i="23"/>
  <c r="I105" i="23"/>
  <c r="AG105" i="23"/>
  <c r="AM105" i="23"/>
  <c r="D105" i="23"/>
  <c r="J105" i="23"/>
  <c r="P105" i="23"/>
  <c r="F105" i="23"/>
  <c r="L105" i="23"/>
  <c r="R105" i="23"/>
  <c r="Q105" i="23"/>
  <c r="E105" i="23"/>
  <c r="K105" i="23"/>
  <c r="D51" i="23"/>
  <c r="J51" i="23"/>
  <c r="P51" i="23"/>
  <c r="I51" i="23"/>
  <c r="AG51" i="23"/>
  <c r="AM51" i="23"/>
  <c r="E51" i="23"/>
  <c r="M51" i="23"/>
  <c r="AE51" i="23"/>
  <c r="F51" i="23"/>
  <c r="N51" i="23"/>
  <c r="AF51" i="23"/>
  <c r="G51" i="23"/>
  <c r="Q51" i="23"/>
  <c r="H51" i="23"/>
  <c r="R51" i="23"/>
  <c r="L51" i="23"/>
  <c r="AK51" i="23"/>
  <c r="K51" i="23"/>
  <c r="S51" i="23"/>
  <c r="D430" i="23"/>
  <c r="J430" i="23"/>
  <c r="P430" i="23"/>
  <c r="F430" i="23"/>
  <c r="L430" i="23"/>
  <c r="R430" i="23"/>
  <c r="G430" i="23"/>
  <c r="M430" i="23"/>
  <c r="S430" i="23"/>
  <c r="AE430" i="23"/>
  <c r="AK430" i="23"/>
  <c r="H430" i="23"/>
  <c r="N430" i="23"/>
  <c r="AF430" i="23"/>
  <c r="I430" i="23"/>
  <c r="AG430" i="23"/>
  <c r="AM430" i="23"/>
  <c r="Q430" i="23"/>
  <c r="E430" i="23"/>
  <c r="K430" i="23"/>
  <c r="F412" i="23"/>
  <c r="L412" i="23"/>
  <c r="R412" i="23"/>
  <c r="G412" i="23"/>
  <c r="N412" i="23"/>
  <c r="I412" i="23"/>
  <c r="P412" i="23"/>
  <c r="AE412" i="23"/>
  <c r="J412" i="23"/>
  <c r="Q412" i="23"/>
  <c r="AF412" i="23"/>
  <c r="AM412" i="23"/>
  <c r="D412" i="23"/>
  <c r="K412" i="23"/>
  <c r="S412" i="23"/>
  <c r="AG412" i="23"/>
  <c r="E412" i="23"/>
  <c r="M412" i="23"/>
  <c r="AK412" i="23"/>
  <c r="H412" i="23"/>
  <c r="F394" i="23"/>
  <c r="L394" i="23"/>
  <c r="R394" i="23"/>
  <c r="J394" i="23"/>
  <c r="Q394" i="23"/>
  <c r="AF394" i="23"/>
  <c r="AM394" i="23"/>
  <c r="E394" i="23"/>
  <c r="M394" i="23"/>
  <c r="G394" i="23"/>
  <c r="N394" i="23"/>
  <c r="H394" i="23"/>
  <c r="AK394" i="23"/>
  <c r="I394" i="23"/>
  <c r="P394" i="23"/>
  <c r="AE394" i="23"/>
  <c r="AG394" i="23"/>
  <c r="D394" i="23"/>
  <c r="K394" i="23"/>
  <c r="S394" i="23"/>
  <c r="D373" i="23"/>
  <c r="J373" i="23"/>
  <c r="P373" i="23"/>
  <c r="E373" i="23"/>
  <c r="K373" i="23"/>
  <c r="Q373" i="23"/>
  <c r="F373" i="23"/>
  <c r="L373" i="23"/>
  <c r="R373" i="23"/>
  <c r="G373" i="23"/>
  <c r="M373" i="23"/>
  <c r="S373" i="23"/>
  <c r="AE373" i="23"/>
  <c r="AK373" i="23"/>
  <c r="H373" i="23"/>
  <c r="N373" i="23"/>
  <c r="AF373" i="23"/>
  <c r="I373" i="23"/>
  <c r="AG373" i="23"/>
  <c r="AM373" i="23"/>
  <c r="G355" i="23"/>
  <c r="M355" i="23"/>
  <c r="S355" i="23"/>
  <c r="AE355" i="23"/>
  <c r="AK355" i="23"/>
  <c r="H355" i="23"/>
  <c r="N355" i="23"/>
  <c r="AF355" i="23"/>
  <c r="I355" i="23"/>
  <c r="AG355" i="23"/>
  <c r="AM355" i="23"/>
  <c r="D355" i="23"/>
  <c r="J355" i="23"/>
  <c r="P355" i="23"/>
  <c r="E355" i="23"/>
  <c r="K355" i="23"/>
  <c r="Q355" i="23"/>
  <c r="F355" i="23"/>
  <c r="L355" i="23"/>
  <c r="R355" i="23"/>
  <c r="E337" i="23"/>
  <c r="K337" i="23"/>
  <c r="Q337" i="23"/>
  <c r="I337" i="23"/>
  <c r="P337" i="23"/>
  <c r="AE337" i="23"/>
  <c r="J337" i="23"/>
  <c r="R337" i="23"/>
  <c r="AF337" i="23"/>
  <c r="AM337" i="23"/>
  <c r="D337" i="23"/>
  <c r="L337" i="23"/>
  <c r="S337" i="23"/>
  <c r="AG337" i="23"/>
  <c r="F337" i="23"/>
  <c r="M337" i="23"/>
  <c r="G337" i="23"/>
  <c r="N337" i="23"/>
  <c r="AK337" i="23"/>
  <c r="H337" i="23"/>
  <c r="H319" i="23"/>
  <c r="N319" i="23"/>
  <c r="AF319" i="23"/>
  <c r="E319" i="23"/>
  <c r="K319" i="23"/>
  <c r="Q319" i="23"/>
  <c r="J319" i="23"/>
  <c r="S319" i="23"/>
  <c r="AK319" i="23"/>
  <c r="L319" i="23"/>
  <c r="D319" i="23"/>
  <c r="M319" i="23"/>
  <c r="AE319" i="23"/>
  <c r="AM319" i="23"/>
  <c r="F319" i="23"/>
  <c r="AG319" i="23"/>
  <c r="G319" i="23"/>
  <c r="P319" i="23"/>
  <c r="I319" i="23"/>
  <c r="R319" i="23"/>
  <c r="H301" i="23"/>
  <c r="N301" i="23"/>
  <c r="AF301" i="23"/>
  <c r="D301" i="23"/>
  <c r="J301" i="23"/>
  <c r="P301" i="23"/>
  <c r="E301" i="23"/>
  <c r="K301" i="23"/>
  <c r="Q301" i="23"/>
  <c r="G301" i="23"/>
  <c r="M301" i="23"/>
  <c r="S301" i="23"/>
  <c r="AE301" i="23"/>
  <c r="AK301" i="23"/>
  <c r="F301" i="23"/>
  <c r="AM301" i="23"/>
  <c r="I301" i="23"/>
  <c r="L301" i="23"/>
  <c r="AG301" i="23"/>
  <c r="R301" i="23"/>
  <c r="H283" i="23"/>
  <c r="N283" i="23"/>
  <c r="AF283" i="23"/>
  <c r="I283" i="23"/>
  <c r="AG283" i="23"/>
  <c r="AM283" i="23"/>
  <c r="D283" i="23"/>
  <c r="J283" i="23"/>
  <c r="P283" i="23"/>
  <c r="E283" i="23"/>
  <c r="K283" i="23"/>
  <c r="Q283" i="23"/>
  <c r="G283" i="23"/>
  <c r="M283" i="23"/>
  <c r="S283" i="23"/>
  <c r="AE283" i="23"/>
  <c r="AK283" i="23"/>
  <c r="L283" i="23"/>
  <c r="R283" i="23"/>
  <c r="F283" i="23"/>
  <c r="F265" i="23"/>
  <c r="L265" i="23"/>
  <c r="R265" i="23"/>
  <c r="G265" i="23"/>
  <c r="M265" i="23"/>
  <c r="S265" i="23"/>
  <c r="AE265" i="23"/>
  <c r="AK265" i="23"/>
  <c r="H265" i="23"/>
  <c r="N265" i="23"/>
  <c r="AF265" i="23"/>
  <c r="I265" i="23"/>
  <c r="AG265" i="23"/>
  <c r="AM265" i="23"/>
  <c r="D265" i="23"/>
  <c r="J265" i="23"/>
  <c r="P265" i="23"/>
  <c r="Q265" i="23"/>
  <c r="K265" i="23"/>
  <c r="E265" i="23"/>
  <c r="H227" i="23"/>
  <c r="N227" i="23"/>
  <c r="AF227" i="23"/>
  <c r="I227" i="23"/>
  <c r="AG227" i="23"/>
  <c r="AM227" i="23"/>
  <c r="D227" i="23"/>
  <c r="J227" i="23"/>
  <c r="P227" i="23"/>
  <c r="E227" i="23"/>
  <c r="K227" i="23"/>
  <c r="Q227" i="23"/>
  <c r="F227" i="23"/>
  <c r="L227" i="23"/>
  <c r="R227" i="23"/>
  <c r="G227" i="23"/>
  <c r="M227" i="23"/>
  <c r="S227" i="23"/>
  <c r="AE227" i="23"/>
  <c r="AK227" i="23"/>
  <c r="D173" i="23"/>
  <c r="J173" i="23"/>
  <c r="P173" i="23"/>
  <c r="E173" i="23"/>
  <c r="K173" i="23"/>
  <c r="Q173" i="23"/>
  <c r="F173" i="23"/>
  <c r="L173" i="23"/>
  <c r="R173" i="23"/>
  <c r="G173" i="23"/>
  <c r="M173" i="23"/>
  <c r="S173" i="23"/>
  <c r="AE173" i="23"/>
  <c r="AK173" i="23"/>
  <c r="H173" i="23"/>
  <c r="N173" i="23"/>
  <c r="AF173" i="23"/>
  <c r="I173" i="23"/>
  <c r="AG173" i="23"/>
  <c r="AM173" i="23"/>
  <c r="H119" i="23"/>
  <c r="N119" i="23"/>
  <c r="AF119" i="23"/>
  <c r="I119" i="23"/>
  <c r="AG119" i="23"/>
  <c r="AM119" i="23"/>
  <c r="D119" i="23"/>
  <c r="J119" i="23"/>
  <c r="P119" i="23"/>
  <c r="E119" i="23"/>
  <c r="K119" i="23"/>
  <c r="Q119" i="23"/>
  <c r="F119" i="23"/>
  <c r="L119" i="23"/>
  <c r="R119" i="23"/>
  <c r="G119" i="23"/>
  <c r="M119" i="23"/>
  <c r="S119" i="23"/>
  <c r="AE119" i="23"/>
  <c r="AK119" i="23"/>
  <c r="G65" i="23"/>
  <c r="M65" i="23"/>
  <c r="S65" i="23"/>
  <c r="AE65" i="23"/>
  <c r="AK65" i="23"/>
  <c r="D65" i="23"/>
  <c r="K65" i="23"/>
  <c r="R65" i="23"/>
  <c r="AG65" i="23"/>
  <c r="E65" i="23"/>
  <c r="L65" i="23"/>
  <c r="F65" i="23"/>
  <c r="N65" i="23"/>
  <c r="H65" i="23"/>
  <c r="J65" i="23"/>
  <c r="Q65" i="23"/>
  <c r="AF65" i="23"/>
  <c r="AM65" i="23"/>
  <c r="I65" i="23"/>
  <c r="P65" i="23"/>
  <c r="H11" i="23"/>
  <c r="N11" i="23"/>
  <c r="AF11" i="23"/>
  <c r="F11" i="23"/>
  <c r="L11" i="23"/>
  <c r="R11" i="23"/>
  <c r="D11" i="23"/>
  <c r="M11" i="23"/>
  <c r="AE11" i="23"/>
  <c r="AM11" i="23"/>
  <c r="E11" i="23"/>
  <c r="AG11" i="23"/>
  <c r="G11" i="23"/>
  <c r="P11" i="23"/>
  <c r="I11" i="23"/>
  <c r="Q11" i="23"/>
  <c r="K11" i="23"/>
  <c r="AK11" i="23"/>
  <c r="S11" i="23"/>
  <c r="J11" i="23"/>
  <c r="F241" i="23"/>
  <c r="L241" i="23"/>
  <c r="R241" i="23"/>
  <c r="G241" i="23"/>
  <c r="M241" i="23"/>
  <c r="S241" i="23"/>
  <c r="AE241" i="23"/>
  <c r="AK241" i="23"/>
  <c r="H241" i="23"/>
  <c r="N241" i="23"/>
  <c r="AF241" i="23"/>
  <c r="I241" i="23"/>
  <c r="AG241" i="23"/>
  <c r="AM241" i="23"/>
  <c r="D241" i="23"/>
  <c r="J241" i="23"/>
  <c r="P241" i="23"/>
  <c r="E241" i="23"/>
  <c r="K241" i="23"/>
  <c r="Q241" i="23"/>
  <c r="G223" i="23"/>
  <c r="M223" i="23"/>
  <c r="S223" i="23"/>
  <c r="AE223" i="23"/>
  <c r="AK223" i="23"/>
  <c r="I223" i="23"/>
  <c r="AG223" i="23"/>
  <c r="AM223" i="23"/>
  <c r="H223" i="23"/>
  <c r="Q223" i="23"/>
  <c r="J223" i="23"/>
  <c r="R223" i="23"/>
  <c r="K223" i="23"/>
  <c r="D223" i="23"/>
  <c r="L223" i="23"/>
  <c r="E223" i="23"/>
  <c r="N223" i="23"/>
  <c r="AF223" i="23"/>
  <c r="F223" i="23"/>
  <c r="P223" i="23"/>
  <c r="D205" i="23"/>
  <c r="J205" i="23"/>
  <c r="P205" i="23"/>
  <c r="E205" i="23"/>
  <c r="K205" i="23"/>
  <c r="Q205" i="23"/>
  <c r="F205" i="23"/>
  <c r="L205" i="23"/>
  <c r="R205" i="23"/>
  <c r="G205" i="23"/>
  <c r="M205" i="23"/>
  <c r="S205" i="23"/>
  <c r="AE205" i="23"/>
  <c r="AK205" i="23"/>
  <c r="H205" i="23"/>
  <c r="N205" i="23"/>
  <c r="AF205" i="23"/>
  <c r="I205" i="23"/>
  <c r="AG205" i="23"/>
  <c r="AM205" i="23"/>
  <c r="I187" i="23"/>
  <c r="AG187" i="23"/>
  <c r="AM187" i="23"/>
  <c r="D187" i="23"/>
  <c r="J187" i="23"/>
  <c r="P187" i="23"/>
  <c r="E187" i="23"/>
  <c r="K187" i="23"/>
  <c r="Q187" i="23"/>
  <c r="G187" i="23"/>
  <c r="M187" i="23"/>
  <c r="S187" i="23"/>
  <c r="AE187" i="23"/>
  <c r="AK187" i="23"/>
  <c r="F187" i="23"/>
  <c r="H187" i="23"/>
  <c r="L187" i="23"/>
  <c r="N187" i="23"/>
  <c r="AF187" i="23"/>
  <c r="R187" i="23"/>
  <c r="H169" i="23"/>
  <c r="N169" i="23"/>
  <c r="AF169" i="23"/>
  <c r="I169" i="23"/>
  <c r="AG169" i="23"/>
  <c r="AM169" i="23"/>
  <c r="D169" i="23"/>
  <c r="J169" i="23"/>
  <c r="P169" i="23"/>
  <c r="E169" i="23"/>
  <c r="K169" i="23"/>
  <c r="Q169" i="23"/>
  <c r="F169" i="23"/>
  <c r="L169" i="23"/>
  <c r="R169" i="23"/>
  <c r="G169" i="23"/>
  <c r="M169" i="23"/>
  <c r="S169" i="23"/>
  <c r="AE169" i="23"/>
  <c r="AK169" i="23"/>
  <c r="D151" i="23"/>
  <c r="J151" i="23"/>
  <c r="P151" i="23"/>
  <c r="E151" i="23"/>
  <c r="K151" i="23"/>
  <c r="Q151" i="23"/>
  <c r="F151" i="23"/>
  <c r="L151" i="23"/>
  <c r="R151" i="23"/>
  <c r="G151" i="23"/>
  <c r="M151" i="23"/>
  <c r="S151" i="23"/>
  <c r="AE151" i="23"/>
  <c r="AK151" i="23"/>
  <c r="H151" i="23"/>
  <c r="N151" i="23"/>
  <c r="AF151" i="23"/>
  <c r="I151" i="23"/>
  <c r="AG151" i="23"/>
  <c r="AM151" i="23"/>
  <c r="H133" i="23"/>
  <c r="N133" i="23"/>
  <c r="AF133" i="23"/>
  <c r="E133" i="23"/>
  <c r="K133" i="23"/>
  <c r="Q133" i="23"/>
  <c r="I133" i="23"/>
  <c r="R133" i="23"/>
  <c r="J133" i="23"/>
  <c r="S133" i="23"/>
  <c r="AK133" i="23"/>
  <c r="L133" i="23"/>
  <c r="D133" i="23"/>
  <c r="M133" i="23"/>
  <c r="AE133" i="23"/>
  <c r="AM133" i="23"/>
  <c r="F133" i="23"/>
  <c r="AG133" i="23"/>
  <c r="G133" i="23"/>
  <c r="P133" i="23"/>
  <c r="F115" i="23"/>
  <c r="L115" i="23"/>
  <c r="R115" i="23"/>
  <c r="G115" i="23"/>
  <c r="M115" i="23"/>
  <c r="S115" i="23"/>
  <c r="AE115" i="23"/>
  <c r="AK115" i="23"/>
  <c r="H115" i="23"/>
  <c r="N115" i="23"/>
  <c r="AF115" i="23"/>
  <c r="I115" i="23"/>
  <c r="AG115" i="23"/>
  <c r="AM115" i="23"/>
  <c r="D115" i="23"/>
  <c r="J115" i="23"/>
  <c r="P115" i="23"/>
  <c r="E115" i="23"/>
  <c r="K115" i="23"/>
  <c r="Q115" i="23"/>
  <c r="I97" i="23"/>
  <c r="AG97" i="23"/>
  <c r="AM97" i="23"/>
  <c r="D97" i="23"/>
  <c r="J97" i="23"/>
  <c r="P97" i="23"/>
  <c r="E97" i="23"/>
  <c r="K97" i="23"/>
  <c r="Q97" i="23"/>
  <c r="F97" i="23"/>
  <c r="L97" i="23"/>
  <c r="R97" i="23"/>
  <c r="H97" i="23"/>
  <c r="N97" i="23"/>
  <c r="AF97" i="23"/>
  <c r="S97" i="23"/>
  <c r="AE97" i="23"/>
  <c r="G97" i="23"/>
  <c r="AK97" i="23"/>
  <c r="M97" i="23"/>
  <c r="H79" i="23"/>
  <c r="N79" i="23"/>
  <c r="AF79" i="23"/>
  <c r="I79" i="23"/>
  <c r="AG79" i="23"/>
  <c r="AM79" i="23"/>
  <c r="D79" i="23"/>
  <c r="J79" i="23"/>
  <c r="P79" i="23"/>
  <c r="E79" i="23"/>
  <c r="K79" i="23"/>
  <c r="Q79" i="23"/>
  <c r="G79" i="23"/>
  <c r="M79" i="23"/>
  <c r="S79" i="23"/>
  <c r="AE79" i="23"/>
  <c r="AK79" i="23"/>
  <c r="F79" i="23"/>
  <c r="L79" i="23"/>
  <c r="R79" i="23"/>
  <c r="G61" i="23"/>
  <c r="M61" i="23"/>
  <c r="S61" i="23"/>
  <c r="AE61" i="23"/>
  <c r="AK61" i="23"/>
  <c r="E61" i="23"/>
  <c r="K61" i="23"/>
  <c r="Q61" i="23"/>
  <c r="L61" i="23"/>
  <c r="AM61" i="23"/>
  <c r="D61" i="23"/>
  <c r="N61" i="23"/>
  <c r="AF61" i="23"/>
  <c r="F61" i="23"/>
  <c r="AG61" i="23"/>
  <c r="H61" i="23"/>
  <c r="P61" i="23"/>
  <c r="J61" i="23"/>
  <c r="I61" i="23"/>
  <c r="R61" i="23"/>
  <c r="H43" i="23"/>
  <c r="N43" i="23"/>
  <c r="E43" i="23"/>
  <c r="K43" i="23"/>
  <c r="Q43" i="23"/>
  <c r="D43" i="23"/>
  <c r="M43" i="23"/>
  <c r="AK43" i="23"/>
  <c r="F43" i="23"/>
  <c r="AE43" i="23"/>
  <c r="G43" i="23"/>
  <c r="P43" i="23"/>
  <c r="AF43" i="23"/>
  <c r="AM43" i="23"/>
  <c r="I43" i="23"/>
  <c r="R43" i="23"/>
  <c r="AG43" i="23"/>
  <c r="L43" i="23"/>
  <c r="J43" i="23"/>
  <c r="S43" i="23"/>
  <c r="E25" i="23"/>
  <c r="K25" i="23"/>
  <c r="Q25" i="23"/>
  <c r="I25" i="23"/>
  <c r="P25" i="23"/>
  <c r="J25" i="23"/>
  <c r="R25" i="23"/>
  <c r="AE25" i="23"/>
  <c r="AK25" i="23"/>
  <c r="D25" i="23"/>
  <c r="L25" i="23"/>
  <c r="S25" i="23"/>
  <c r="AF25" i="23"/>
  <c r="F25" i="23"/>
  <c r="M25" i="23"/>
  <c r="AG25" i="23"/>
  <c r="AM25" i="23"/>
  <c r="H25" i="23"/>
  <c r="G25" i="23"/>
  <c r="N25" i="23"/>
  <c r="F7" i="23"/>
  <c r="L7" i="23"/>
  <c r="R7" i="23"/>
  <c r="G7" i="23"/>
  <c r="M7" i="23"/>
  <c r="S7" i="23"/>
  <c r="AE7" i="23"/>
  <c r="AK7" i="23"/>
  <c r="H7" i="23"/>
  <c r="N7" i="23"/>
  <c r="AF7" i="23"/>
  <c r="I7" i="23"/>
  <c r="AG7" i="23"/>
  <c r="AM7" i="23"/>
  <c r="D7" i="23"/>
  <c r="J7" i="23"/>
  <c r="P7" i="23"/>
  <c r="E7" i="23"/>
  <c r="K7" i="23"/>
  <c r="Q7" i="23"/>
  <c r="D317" i="23"/>
  <c r="J317" i="23"/>
  <c r="P317" i="23"/>
  <c r="G317" i="23"/>
  <c r="M317" i="23"/>
  <c r="S317" i="23"/>
  <c r="AE317" i="23"/>
  <c r="AK317" i="23"/>
  <c r="E317" i="23"/>
  <c r="N317" i="23"/>
  <c r="AF317" i="23"/>
  <c r="F317" i="23"/>
  <c r="AG317" i="23"/>
  <c r="H317" i="23"/>
  <c r="Q317" i="23"/>
  <c r="I317" i="23"/>
  <c r="R317" i="23"/>
  <c r="K317" i="23"/>
  <c r="L317" i="23"/>
  <c r="AM317" i="23"/>
  <c r="H493" i="23"/>
  <c r="N493" i="23"/>
  <c r="AF493" i="23"/>
  <c r="I493" i="23"/>
  <c r="AG493" i="23"/>
  <c r="AM493" i="23"/>
  <c r="D493" i="23"/>
  <c r="J493" i="23"/>
  <c r="P493" i="23"/>
  <c r="E493" i="23"/>
  <c r="K493" i="23"/>
  <c r="Q493" i="23"/>
  <c r="F493" i="23"/>
  <c r="L493" i="23"/>
  <c r="R493" i="23"/>
  <c r="G493" i="23"/>
  <c r="M493" i="23"/>
  <c r="S493" i="23"/>
  <c r="AE493" i="23"/>
  <c r="AK493" i="23"/>
  <c r="E254" i="23"/>
  <c r="K254" i="23"/>
  <c r="Q254" i="23"/>
  <c r="F254" i="23"/>
  <c r="L254" i="23"/>
  <c r="R254" i="23"/>
  <c r="G254" i="23"/>
  <c r="M254" i="23"/>
  <c r="S254" i="23"/>
  <c r="AE254" i="23"/>
  <c r="AK254" i="23"/>
  <c r="H254" i="23"/>
  <c r="N254" i="23"/>
  <c r="AF254" i="23"/>
  <c r="I254" i="23"/>
  <c r="AG254" i="23"/>
  <c r="AM254" i="23"/>
  <c r="D254" i="23"/>
  <c r="J254" i="23"/>
  <c r="P254" i="23"/>
  <c r="G405" i="23"/>
  <c r="M405" i="23"/>
  <c r="S405" i="23"/>
  <c r="AE405" i="23"/>
  <c r="AK405" i="23"/>
  <c r="I405" i="23"/>
  <c r="P405" i="23"/>
  <c r="D405" i="23"/>
  <c r="K405" i="23"/>
  <c r="R405" i="23"/>
  <c r="AG405" i="23"/>
  <c r="E405" i="23"/>
  <c r="L405" i="23"/>
  <c r="F405" i="23"/>
  <c r="N405" i="23"/>
  <c r="H405" i="23"/>
  <c r="AF405" i="23"/>
  <c r="AM405" i="23"/>
  <c r="J405" i="23"/>
  <c r="Q405" i="23"/>
  <c r="G468" i="23"/>
  <c r="M468" i="23"/>
  <c r="S468" i="23"/>
  <c r="AE468" i="23"/>
  <c r="AK468" i="23"/>
  <c r="J468" i="23"/>
  <c r="Q468" i="23"/>
  <c r="AF468" i="23"/>
  <c r="AM468" i="23"/>
  <c r="D468" i="23"/>
  <c r="K468" i="23"/>
  <c r="R468" i="23"/>
  <c r="AG468" i="23"/>
  <c r="E468" i="23"/>
  <c r="L468" i="23"/>
  <c r="F468" i="23"/>
  <c r="N468" i="23"/>
  <c r="H468" i="23"/>
  <c r="I468" i="23"/>
  <c r="P468" i="23"/>
  <c r="H534" i="23"/>
  <c r="N534" i="23"/>
  <c r="AF534" i="23"/>
  <c r="I534" i="23"/>
  <c r="AG534" i="23"/>
  <c r="AM534" i="23"/>
  <c r="D534" i="23"/>
  <c r="J534" i="23"/>
  <c r="P534" i="23"/>
  <c r="E534" i="23"/>
  <c r="K534" i="23"/>
  <c r="Q534" i="23"/>
  <c r="G534" i="23"/>
  <c r="M534" i="23"/>
  <c r="S534" i="23"/>
  <c r="AE534" i="23"/>
  <c r="AK534" i="23"/>
  <c r="R534" i="23"/>
  <c r="F534" i="23"/>
  <c r="L534" i="23"/>
  <c r="D580" i="23"/>
  <c r="J580" i="23"/>
  <c r="P580" i="23"/>
  <c r="F580" i="23"/>
  <c r="L580" i="23"/>
  <c r="R580" i="23"/>
  <c r="G580" i="23"/>
  <c r="M580" i="23"/>
  <c r="S580" i="23"/>
  <c r="AE580" i="23"/>
  <c r="AK580" i="23"/>
  <c r="I580" i="23"/>
  <c r="AG580" i="23"/>
  <c r="AM580" i="23"/>
  <c r="E580" i="23"/>
  <c r="H580" i="23"/>
  <c r="K580" i="23"/>
  <c r="N580" i="23"/>
  <c r="AF580" i="23"/>
  <c r="Q580" i="23"/>
  <c r="D526" i="23"/>
  <c r="J526" i="23"/>
  <c r="P526" i="23"/>
  <c r="E526" i="23"/>
  <c r="K526" i="23"/>
  <c r="Q526" i="23"/>
  <c r="F526" i="23"/>
  <c r="L526" i="23"/>
  <c r="R526" i="23"/>
  <c r="G526" i="23"/>
  <c r="M526" i="23"/>
  <c r="S526" i="23"/>
  <c r="AE526" i="23"/>
  <c r="AK526" i="23"/>
  <c r="H526" i="23"/>
  <c r="N526" i="23"/>
  <c r="I526" i="23"/>
  <c r="AG526" i="23"/>
  <c r="AM526" i="23"/>
  <c r="AF526" i="23"/>
  <c r="I472" i="23"/>
  <c r="AG472" i="23"/>
  <c r="AM472" i="23"/>
  <c r="E472" i="23"/>
  <c r="L472" i="23"/>
  <c r="S472" i="23"/>
  <c r="F472" i="23"/>
  <c r="M472" i="23"/>
  <c r="G472" i="23"/>
  <c r="N472" i="23"/>
  <c r="H472" i="23"/>
  <c r="P472" i="23"/>
  <c r="AK472" i="23"/>
  <c r="J472" i="23"/>
  <c r="Q472" i="23"/>
  <c r="AE472" i="23"/>
  <c r="D472" i="23"/>
  <c r="K472" i="23"/>
  <c r="R472" i="23"/>
  <c r="AF472" i="23"/>
  <c r="G417" i="23"/>
  <c r="M417" i="23"/>
  <c r="S417" i="23"/>
  <c r="AE417" i="23"/>
  <c r="AK417" i="23"/>
  <c r="F417" i="23"/>
  <c r="N417" i="23"/>
  <c r="I417" i="23"/>
  <c r="P417" i="23"/>
  <c r="J417" i="23"/>
  <c r="Q417" i="23"/>
  <c r="AF417" i="23"/>
  <c r="AM417" i="23"/>
  <c r="D417" i="23"/>
  <c r="K417" i="23"/>
  <c r="R417" i="23"/>
  <c r="AG417" i="23"/>
  <c r="E417" i="23"/>
  <c r="L417" i="23"/>
  <c r="H417" i="23"/>
  <c r="I333" i="23"/>
  <c r="AG333" i="23"/>
  <c r="AM333" i="23"/>
  <c r="G333" i="23"/>
  <c r="N333" i="23"/>
  <c r="H333" i="23"/>
  <c r="P333" i="23"/>
  <c r="AK333" i="23"/>
  <c r="J333" i="23"/>
  <c r="Q333" i="23"/>
  <c r="AE333" i="23"/>
  <c r="D333" i="23"/>
  <c r="K333" i="23"/>
  <c r="R333" i="23"/>
  <c r="AF333" i="23"/>
  <c r="E333" i="23"/>
  <c r="L333" i="23"/>
  <c r="S333" i="23"/>
  <c r="F333" i="23"/>
  <c r="M333" i="23"/>
  <c r="D550" i="23"/>
  <c r="J550" i="23"/>
  <c r="P550" i="23"/>
  <c r="E550" i="23"/>
  <c r="K550" i="23"/>
  <c r="Q550" i="23"/>
  <c r="F550" i="23"/>
  <c r="L550" i="23"/>
  <c r="R550" i="23"/>
  <c r="G550" i="23"/>
  <c r="M550" i="23"/>
  <c r="S550" i="23"/>
  <c r="AE550" i="23"/>
  <c r="AK550" i="23"/>
  <c r="I550" i="23"/>
  <c r="AG550" i="23"/>
  <c r="AM550" i="23"/>
  <c r="AF550" i="23"/>
  <c r="H550" i="23"/>
  <c r="N550" i="23"/>
  <c r="E496" i="23"/>
  <c r="K496" i="23"/>
  <c r="Q496" i="23"/>
  <c r="F496" i="23"/>
  <c r="L496" i="23"/>
  <c r="R496" i="23"/>
  <c r="G496" i="23"/>
  <c r="M496" i="23"/>
  <c r="S496" i="23"/>
  <c r="AE496" i="23"/>
  <c r="AK496" i="23"/>
  <c r="H496" i="23"/>
  <c r="N496" i="23"/>
  <c r="AF496" i="23"/>
  <c r="I496" i="23"/>
  <c r="AG496" i="23"/>
  <c r="AM496" i="23"/>
  <c r="D496" i="23"/>
  <c r="J496" i="23"/>
  <c r="P496" i="23"/>
  <c r="D442" i="23"/>
  <c r="J442" i="23"/>
  <c r="P442" i="23"/>
  <c r="G442" i="23"/>
  <c r="M442" i="23"/>
  <c r="S442" i="23"/>
  <c r="AE442" i="23"/>
  <c r="AK442" i="23"/>
  <c r="H442" i="23"/>
  <c r="N442" i="23"/>
  <c r="AF442" i="23"/>
  <c r="I442" i="23"/>
  <c r="AG442" i="23"/>
  <c r="AM442" i="23"/>
  <c r="K442" i="23"/>
  <c r="L442" i="23"/>
  <c r="Q442" i="23"/>
  <c r="R442" i="23"/>
  <c r="E442" i="23"/>
  <c r="F442" i="23"/>
  <c r="I359" i="23"/>
  <c r="AG359" i="23"/>
  <c r="AM359" i="23"/>
  <c r="D359" i="23"/>
  <c r="J359" i="23"/>
  <c r="P359" i="23"/>
  <c r="E359" i="23"/>
  <c r="K359" i="23"/>
  <c r="Q359" i="23"/>
  <c r="F359" i="23"/>
  <c r="L359" i="23"/>
  <c r="R359" i="23"/>
  <c r="G359" i="23"/>
  <c r="M359" i="23"/>
  <c r="S359" i="23"/>
  <c r="AE359" i="23"/>
  <c r="AK359" i="23"/>
  <c r="H359" i="23"/>
  <c r="N359" i="23"/>
  <c r="AF359" i="23"/>
  <c r="F285" i="23"/>
  <c r="L285" i="23"/>
  <c r="R285" i="23"/>
  <c r="H285" i="23"/>
  <c r="N285" i="23"/>
  <c r="AF285" i="23"/>
  <c r="I285" i="23"/>
  <c r="AG285" i="23"/>
  <c r="AM285" i="23"/>
  <c r="E285" i="23"/>
  <c r="K285" i="23"/>
  <c r="Q285" i="23"/>
  <c r="J285" i="23"/>
  <c r="M285" i="23"/>
  <c r="AE285" i="23"/>
  <c r="P285" i="23"/>
  <c r="S285" i="23"/>
  <c r="AK285" i="23"/>
  <c r="D285" i="23"/>
  <c r="G285" i="23"/>
  <c r="G535" i="23"/>
  <c r="M535" i="23"/>
  <c r="S535" i="23"/>
  <c r="AE535" i="23"/>
  <c r="AK535" i="23"/>
  <c r="H535" i="23"/>
  <c r="N535" i="23"/>
  <c r="AF535" i="23"/>
  <c r="I535" i="23"/>
  <c r="AG535" i="23"/>
  <c r="AM535" i="23"/>
  <c r="D535" i="23"/>
  <c r="J535" i="23"/>
  <c r="P535" i="23"/>
  <c r="F535" i="23"/>
  <c r="L535" i="23"/>
  <c r="R535" i="23"/>
  <c r="E535" i="23"/>
  <c r="K535" i="23"/>
  <c r="Q535" i="23"/>
  <c r="H481" i="23"/>
  <c r="N481" i="23"/>
  <c r="AF481" i="23"/>
  <c r="I481" i="23"/>
  <c r="AG481" i="23"/>
  <c r="AM481" i="23"/>
  <c r="D481" i="23"/>
  <c r="J481" i="23"/>
  <c r="P481" i="23"/>
  <c r="E481" i="23"/>
  <c r="K481" i="23"/>
  <c r="Q481" i="23"/>
  <c r="F481" i="23"/>
  <c r="L481" i="23"/>
  <c r="R481" i="23"/>
  <c r="G481" i="23"/>
  <c r="M481" i="23"/>
  <c r="S481" i="23"/>
  <c r="AE481" i="23"/>
  <c r="AK481" i="23"/>
  <c r="E423" i="23"/>
  <c r="K423" i="23"/>
  <c r="Q423" i="23"/>
  <c r="G423" i="23"/>
  <c r="M423" i="23"/>
  <c r="S423" i="23"/>
  <c r="AE423" i="23"/>
  <c r="AK423" i="23"/>
  <c r="H423" i="23"/>
  <c r="N423" i="23"/>
  <c r="AF423" i="23"/>
  <c r="I423" i="23"/>
  <c r="AG423" i="23"/>
  <c r="AM423" i="23"/>
  <c r="D423" i="23"/>
  <c r="J423" i="23"/>
  <c r="P423" i="23"/>
  <c r="F423" i="23"/>
  <c r="L423" i="23"/>
  <c r="R423" i="23"/>
  <c r="D385" i="23"/>
  <c r="J385" i="23"/>
  <c r="P385" i="23"/>
  <c r="E385" i="23"/>
  <c r="K385" i="23"/>
  <c r="Q385" i="23"/>
  <c r="F385" i="23"/>
  <c r="L385" i="23"/>
  <c r="R385" i="23"/>
  <c r="G385" i="23"/>
  <c r="M385" i="23"/>
  <c r="S385" i="23"/>
  <c r="AE385" i="23"/>
  <c r="AK385" i="23"/>
  <c r="H385" i="23"/>
  <c r="N385" i="23"/>
  <c r="AF385" i="23"/>
  <c r="I385" i="23"/>
  <c r="AG385" i="23"/>
  <c r="AM385" i="23"/>
  <c r="G335" i="23"/>
  <c r="M335" i="23"/>
  <c r="S335" i="23"/>
  <c r="AE335" i="23"/>
  <c r="AK335" i="23"/>
  <c r="D335" i="23"/>
  <c r="K335" i="23"/>
  <c r="R335" i="23"/>
  <c r="AG335" i="23"/>
  <c r="E335" i="23"/>
  <c r="L335" i="23"/>
  <c r="F335" i="23"/>
  <c r="N335" i="23"/>
  <c r="H335" i="23"/>
  <c r="I335" i="23"/>
  <c r="P335" i="23"/>
  <c r="J335" i="23"/>
  <c r="Q335" i="23"/>
  <c r="AF335" i="23"/>
  <c r="AM335" i="23"/>
  <c r="D261" i="23"/>
  <c r="J261" i="23"/>
  <c r="P261" i="23"/>
  <c r="E261" i="23"/>
  <c r="K261" i="23"/>
  <c r="Q261" i="23"/>
  <c r="F261" i="23"/>
  <c r="L261" i="23"/>
  <c r="R261" i="23"/>
  <c r="G261" i="23"/>
  <c r="M261" i="23"/>
  <c r="S261" i="23"/>
  <c r="AE261" i="23"/>
  <c r="AK261" i="23"/>
  <c r="H261" i="23"/>
  <c r="N261" i="23"/>
  <c r="AF261" i="23"/>
  <c r="I261" i="23"/>
  <c r="AG261" i="23"/>
  <c r="AM261" i="23"/>
  <c r="D538" i="23"/>
  <c r="J538" i="23"/>
  <c r="P538" i="23"/>
  <c r="E538" i="23"/>
  <c r="K538" i="23"/>
  <c r="Q538" i="23"/>
  <c r="F538" i="23"/>
  <c r="L538" i="23"/>
  <c r="R538" i="23"/>
  <c r="G538" i="23"/>
  <c r="M538" i="23"/>
  <c r="S538" i="23"/>
  <c r="AE538" i="23"/>
  <c r="AK538" i="23"/>
  <c r="I538" i="23"/>
  <c r="AG538" i="23"/>
  <c r="AM538" i="23"/>
  <c r="H538" i="23"/>
  <c r="N538" i="23"/>
  <c r="AF538" i="23"/>
  <c r="E484" i="23"/>
  <c r="K484" i="23"/>
  <c r="Q484" i="23"/>
  <c r="F484" i="23"/>
  <c r="L484" i="23"/>
  <c r="R484" i="23"/>
  <c r="G484" i="23"/>
  <c r="M484" i="23"/>
  <c r="S484" i="23"/>
  <c r="AE484" i="23"/>
  <c r="AK484" i="23"/>
  <c r="H484" i="23"/>
  <c r="N484" i="23"/>
  <c r="AF484" i="23"/>
  <c r="I484" i="23"/>
  <c r="AG484" i="23"/>
  <c r="AM484" i="23"/>
  <c r="D484" i="23"/>
  <c r="J484" i="23"/>
  <c r="P484" i="23"/>
  <c r="H426" i="23"/>
  <c r="N426" i="23"/>
  <c r="AF426" i="23"/>
  <c r="D426" i="23"/>
  <c r="J426" i="23"/>
  <c r="P426" i="23"/>
  <c r="E426" i="23"/>
  <c r="K426" i="23"/>
  <c r="Q426" i="23"/>
  <c r="F426" i="23"/>
  <c r="L426" i="23"/>
  <c r="R426" i="23"/>
  <c r="G426" i="23"/>
  <c r="M426" i="23"/>
  <c r="S426" i="23"/>
  <c r="AE426" i="23"/>
  <c r="AK426" i="23"/>
  <c r="AG426" i="23"/>
  <c r="I426" i="23"/>
  <c r="AM426" i="23"/>
  <c r="F342" i="23"/>
  <c r="L342" i="23"/>
  <c r="R342" i="23"/>
  <c r="I342" i="23"/>
  <c r="P342" i="23"/>
  <c r="AE342" i="23"/>
  <c r="J342" i="23"/>
  <c r="Q342" i="23"/>
  <c r="AF342" i="23"/>
  <c r="AM342" i="23"/>
  <c r="D342" i="23"/>
  <c r="K342" i="23"/>
  <c r="S342" i="23"/>
  <c r="AG342" i="23"/>
  <c r="E342" i="23"/>
  <c r="M342" i="23"/>
  <c r="G342" i="23"/>
  <c r="N342" i="23"/>
  <c r="AK342" i="23"/>
  <c r="H342" i="23"/>
  <c r="I498" i="23"/>
  <c r="AG498" i="23"/>
  <c r="AM498" i="23"/>
  <c r="D498" i="23"/>
  <c r="J498" i="23"/>
  <c r="P498" i="23"/>
  <c r="E498" i="23"/>
  <c r="K498" i="23"/>
  <c r="Q498" i="23"/>
  <c r="F498" i="23"/>
  <c r="L498" i="23"/>
  <c r="R498" i="23"/>
  <c r="G498" i="23"/>
  <c r="M498" i="23"/>
  <c r="S498" i="23"/>
  <c r="AE498" i="23"/>
  <c r="AK498" i="23"/>
  <c r="H498" i="23"/>
  <c r="N498" i="23"/>
  <c r="AF498" i="23"/>
  <c r="G433" i="23"/>
  <c r="M433" i="23"/>
  <c r="S433" i="23"/>
  <c r="AE433" i="23"/>
  <c r="AK433" i="23"/>
  <c r="I433" i="23"/>
  <c r="AG433" i="23"/>
  <c r="AM433" i="23"/>
  <c r="D433" i="23"/>
  <c r="J433" i="23"/>
  <c r="P433" i="23"/>
  <c r="E433" i="23"/>
  <c r="K433" i="23"/>
  <c r="Q433" i="23"/>
  <c r="F433" i="23"/>
  <c r="L433" i="23"/>
  <c r="R433" i="23"/>
  <c r="N433" i="23"/>
  <c r="AF433" i="23"/>
  <c r="H433" i="23"/>
  <c r="I380" i="23"/>
  <c r="AG380" i="23"/>
  <c r="AM380" i="23"/>
  <c r="D380" i="23"/>
  <c r="J380" i="23"/>
  <c r="P380" i="23"/>
  <c r="E380" i="23"/>
  <c r="K380" i="23"/>
  <c r="Q380" i="23"/>
  <c r="F380" i="23"/>
  <c r="L380" i="23"/>
  <c r="R380" i="23"/>
  <c r="G380" i="23"/>
  <c r="M380" i="23"/>
  <c r="S380" i="23"/>
  <c r="AE380" i="23"/>
  <c r="AK380" i="23"/>
  <c r="H380" i="23"/>
  <c r="N380" i="23"/>
  <c r="AF380" i="23"/>
  <c r="G326" i="23"/>
  <c r="M326" i="23"/>
  <c r="S326" i="23"/>
  <c r="AE326" i="23"/>
  <c r="AK326" i="23"/>
  <c r="D326" i="23"/>
  <c r="J326" i="23"/>
  <c r="P326" i="23"/>
  <c r="E326" i="23"/>
  <c r="N326" i="23"/>
  <c r="AF326" i="23"/>
  <c r="F326" i="23"/>
  <c r="AG326" i="23"/>
  <c r="H326" i="23"/>
  <c r="Q326" i="23"/>
  <c r="I326" i="23"/>
  <c r="R326" i="23"/>
  <c r="K326" i="23"/>
  <c r="L326" i="23"/>
  <c r="AM326" i="23"/>
  <c r="H278" i="23"/>
  <c r="N278" i="23"/>
  <c r="AF278" i="23"/>
  <c r="G278" i="23"/>
  <c r="I278" i="23"/>
  <c r="P278" i="23"/>
  <c r="AK278" i="23"/>
  <c r="J278" i="23"/>
  <c r="Q278" i="23"/>
  <c r="AE278" i="23"/>
  <c r="D278" i="23"/>
  <c r="K278" i="23"/>
  <c r="R278" i="23"/>
  <c r="AG278" i="23"/>
  <c r="AM278" i="23"/>
  <c r="F278" i="23"/>
  <c r="M278" i="23"/>
  <c r="E278" i="23"/>
  <c r="L278" i="23"/>
  <c r="S278" i="23"/>
  <c r="I575" i="23"/>
  <c r="AG575" i="23"/>
  <c r="AM575" i="23"/>
  <c r="D575" i="23"/>
  <c r="J575" i="23"/>
  <c r="P575" i="23"/>
  <c r="E575" i="23"/>
  <c r="K575" i="23"/>
  <c r="Q575" i="23"/>
  <c r="F575" i="23"/>
  <c r="L575" i="23"/>
  <c r="R575" i="23"/>
  <c r="H575" i="23"/>
  <c r="N575" i="23"/>
  <c r="AF575" i="23"/>
  <c r="AE575" i="23"/>
  <c r="G575" i="23"/>
  <c r="AK575" i="23"/>
  <c r="M575" i="23"/>
  <c r="S575" i="23"/>
  <c r="I557" i="23"/>
  <c r="AG557" i="23"/>
  <c r="AM557" i="23"/>
  <c r="D557" i="23"/>
  <c r="J557" i="23"/>
  <c r="P557" i="23"/>
  <c r="E557" i="23"/>
  <c r="K557" i="23"/>
  <c r="Q557" i="23"/>
  <c r="F557" i="23"/>
  <c r="L557" i="23"/>
  <c r="R557" i="23"/>
  <c r="H557" i="23"/>
  <c r="N557" i="23"/>
  <c r="AF557" i="23"/>
  <c r="M557" i="23"/>
  <c r="S557" i="23"/>
  <c r="AE557" i="23"/>
  <c r="G557" i="23"/>
  <c r="AK557" i="23"/>
  <c r="I539" i="23"/>
  <c r="AG539" i="23"/>
  <c r="AM539" i="23"/>
  <c r="D539" i="23"/>
  <c r="J539" i="23"/>
  <c r="P539" i="23"/>
  <c r="E539" i="23"/>
  <c r="K539" i="23"/>
  <c r="Q539" i="23"/>
  <c r="F539" i="23"/>
  <c r="L539" i="23"/>
  <c r="R539" i="23"/>
  <c r="H539" i="23"/>
  <c r="N539" i="23"/>
  <c r="AF539" i="23"/>
  <c r="AE539" i="23"/>
  <c r="G539" i="23"/>
  <c r="AK539" i="23"/>
  <c r="M539" i="23"/>
  <c r="S539" i="23"/>
  <c r="I521" i="23"/>
  <c r="AG521" i="23"/>
  <c r="AM521" i="23"/>
  <c r="D521" i="23"/>
  <c r="J521" i="23"/>
  <c r="P521" i="23"/>
  <c r="E521" i="23"/>
  <c r="K521" i="23"/>
  <c r="Q521" i="23"/>
  <c r="F521" i="23"/>
  <c r="L521" i="23"/>
  <c r="R521" i="23"/>
  <c r="G521" i="23"/>
  <c r="M521" i="23"/>
  <c r="S521" i="23"/>
  <c r="AE521" i="23"/>
  <c r="AK521" i="23"/>
  <c r="H521" i="23"/>
  <c r="N521" i="23"/>
  <c r="AF521" i="23"/>
  <c r="E503" i="23"/>
  <c r="K503" i="23"/>
  <c r="Q503" i="23"/>
  <c r="G503" i="23"/>
  <c r="M503" i="23"/>
  <c r="S503" i="23"/>
  <c r="AE503" i="23"/>
  <c r="AK503" i="23"/>
  <c r="H503" i="23"/>
  <c r="N503" i="23"/>
  <c r="AF503" i="23"/>
  <c r="I503" i="23"/>
  <c r="AG503" i="23"/>
  <c r="AM503" i="23"/>
  <c r="L503" i="23"/>
  <c r="P503" i="23"/>
  <c r="R503" i="23"/>
  <c r="D503" i="23"/>
  <c r="F503" i="23"/>
  <c r="J503" i="23"/>
  <c r="D485" i="23"/>
  <c r="J485" i="23"/>
  <c r="P485" i="23"/>
  <c r="E485" i="23"/>
  <c r="K485" i="23"/>
  <c r="Q485" i="23"/>
  <c r="F485" i="23"/>
  <c r="L485" i="23"/>
  <c r="R485" i="23"/>
  <c r="G485" i="23"/>
  <c r="M485" i="23"/>
  <c r="S485" i="23"/>
  <c r="AE485" i="23"/>
  <c r="AK485" i="23"/>
  <c r="H485" i="23"/>
  <c r="N485" i="23"/>
  <c r="AF485" i="23"/>
  <c r="I485" i="23"/>
  <c r="AG485" i="23"/>
  <c r="AM485" i="23"/>
  <c r="H467" i="23"/>
  <c r="N467" i="23"/>
  <c r="AF467" i="23"/>
  <c r="E467" i="23"/>
  <c r="L467" i="23"/>
  <c r="S467" i="23"/>
  <c r="F467" i="23"/>
  <c r="M467" i="23"/>
  <c r="G467" i="23"/>
  <c r="I467" i="23"/>
  <c r="P467" i="23"/>
  <c r="AK467" i="23"/>
  <c r="J467" i="23"/>
  <c r="Q467" i="23"/>
  <c r="AE467" i="23"/>
  <c r="D467" i="23"/>
  <c r="K467" i="23"/>
  <c r="R467" i="23"/>
  <c r="AG467" i="23"/>
  <c r="AM467" i="23"/>
  <c r="I449" i="23"/>
  <c r="AG449" i="23"/>
  <c r="AM449" i="23"/>
  <c r="F449" i="23"/>
  <c r="L449" i="23"/>
  <c r="R449" i="23"/>
  <c r="G449" i="23"/>
  <c r="M449" i="23"/>
  <c r="S449" i="23"/>
  <c r="AE449" i="23"/>
  <c r="AK449" i="23"/>
  <c r="H449" i="23"/>
  <c r="N449" i="23"/>
  <c r="AF449" i="23"/>
  <c r="D449" i="23"/>
  <c r="E449" i="23"/>
  <c r="J449" i="23"/>
  <c r="K449" i="23"/>
  <c r="P449" i="23"/>
  <c r="Q449" i="23"/>
  <c r="I431" i="23"/>
  <c r="AG431" i="23"/>
  <c r="AM431" i="23"/>
  <c r="E431" i="23"/>
  <c r="K431" i="23"/>
  <c r="Q431" i="23"/>
  <c r="F431" i="23"/>
  <c r="L431" i="23"/>
  <c r="R431" i="23"/>
  <c r="G431" i="23"/>
  <c r="M431" i="23"/>
  <c r="S431" i="23"/>
  <c r="AE431" i="23"/>
  <c r="AK431" i="23"/>
  <c r="H431" i="23"/>
  <c r="N431" i="23"/>
  <c r="AF431" i="23"/>
  <c r="D431" i="23"/>
  <c r="J431" i="23"/>
  <c r="P431" i="23"/>
  <c r="I374" i="23"/>
  <c r="AG374" i="23"/>
  <c r="AM374" i="23"/>
  <c r="D374" i="23"/>
  <c r="J374" i="23"/>
  <c r="P374" i="23"/>
  <c r="E374" i="23"/>
  <c r="K374" i="23"/>
  <c r="Q374" i="23"/>
  <c r="F374" i="23"/>
  <c r="L374" i="23"/>
  <c r="R374" i="23"/>
  <c r="G374" i="23"/>
  <c r="M374" i="23"/>
  <c r="S374" i="23"/>
  <c r="AE374" i="23"/>
  <c r="AK374" i="23"/>
  <c r="H374" i="23"/>
  <c r="N374" i="23"/>
  <c r="AF374" i="23"/>
  <c r="G320" i="23"/>
  <c r="M320" i="23"/>
  <c r="S320" i="23"/>
  <c r="AE320" i="23"/>
  <c r="AK320" i="23"/>
  <c r="D320" i="23"/>
  <c r="J320" i="23"/>
  <c r="P320" i="23"/>
  <c r="H320" i="23"/>
  <c r="Q320" i="23"/>
  <c r="I320" i="23"/>
  <c r="R320" i="23"/>
  <c r="K320" i="23"/>
  <c r="L320" i="23"/>
  <c r="AM320" i="23"/>
  <c r="E320" i="23"/>
  <c r="N320" i="23"/>
  <c r="AF320" i="23"/>
  <c r="F320" i="23"/>
  <c r="AG320" i="23"/>
  <c r="E266" i="23"/>
  <c r="K266" i="23"/>
  <c r="Q266" i="23"/>
  <c r="F266" i="23"/>
  <c r="L266" i="23"/>
  <c r="R266" i="23"/>
  <c r="G266" i="23"/>
  <c r="M266" i="23"/>
  <c r="S266" i="23"/>
  <c r="AE266" i="23"/>
  <c r="AK266" i="23"/>
  <c r="H266" i="23"/>
  <c r="N266" i="23"/>
  <c r="AF266" i="23"/>
  <c r="D266" i="23"/>
  <c r="AM266" i="23"/>
  <c r="I266" i="23"/>
  <c r="J266" i="23"/>
  <c r="P266" i="23"/>
  <c r="AG266" i="23"/>
  <c r="E89" i="23"/>
  <c r="K89" i="23"/>
  <c r="Q89" i="23"/>
  <c r="F89" i="23"/>
  <c r="L89" i="23"/>
  <c r="R89" i="23"/>
  <c r="G89" i="23"/>
  <c r="M89" i="23"/>
  <c r="S89" i="23"/>
  <c r="AE89" i="23"/>
  <c r="AK89" i="23"/>
  <c r="H89" i="23"/>
  <c r="N89" i="23"/>
  <c r="AF89" i="23"/>
  <c r="I89" i="23"/>
  <c r="AG89" i="23"/>
  <c r="AM89" i="23"/>
  <c r="D89" i="23"/>
  <c r="J89" i="23"/>
  <c r="P89" i="23"/>
  <c r="H125" i="23"/>
  <c r="N125" i="23"/>
  <c r="AF125" i="23"/>
  <c r="I125" i="23"/>
  <c r="AG125" i="23"/>
  <c r="AM125" i="23"/>
  <c r="D125" i="23"/>
  <c r="J125" i="23"/>
  <c r="P125" i="23"/>
  <c r="E125" i="23"/>
  <c r="K125" i="23"/>
  <c r="Q125" i="23"/>
  <c r="F125" i="23"/>
  <c r="L125" i="23"/>
  <c r="R125" i="23"/>
  <c r="G125" i="23"/>
  <c r="M125" i="23"/>
  <c r="S125" i="23"/>
  <c r="AE125" i="23"/>
  <c r="AK125" i="23"/>
  <c r="I282" i="23"/>
  <c r="AG282" i="23"/>
  <c r="AM282" i="23"/>
  <c r="D282" i="23"/>
  <c r="J282" i="23"/>
  <c r="P282" i="23"/>
  <c r="E282" i="23"/>
  <c r="K282" i="23"/>
  <c r="Q282" i="23"/>
  <c r="F282" i="23"/>
  <c r="L282" i="23"/>
  <c r="R282" i="23"/>
  <c r="H282" i="23"/>
  <c r="N282" i="23"/>
  <c r="AF282" i="23"/>
  <c r="AE282" i="23"/>
  <c r="G282" i="23"/>
  <c r="AK282" i="23"/>
  <c r="M282" i="23"/>
  <c r="S282" i="23"/>
  <c r="E107" i="23"/>
  <c r="K107" i="23"/>
  <c r="Q107" i="23"/>
  <c r="H107" i="23"/>
  <c r="N107" i="23"/>
  <c r="AF107" i="23"/>
  <c r="D107" i="23"/>
  <c r="J107" i="23"/>
  <c r="P107" i="23"/>
  <c r="M107" i="23"/>
  <c r="AK107" i="23"/>
  <c r="F107" i="23"/>
  <c r="R107" i="23"/>
  <c r="AM107" i="23"/>
  <c r="G107" i="23"/>
  <c r="S107" i="23"/>
  <c r="AE107" i="23"/>
  <c r="I107" i="23"/>
  <c r="AG107" i="23"/>
  <c r="L107" i="23"/>
  <c r="G270" i="23"/>
  <c r="M270" i="23"/>
  <c r="S270" i="23"/>
  <c r="AE270" i="23"/>
  <c r="AK270" i="23"/>
  <c r="H270" i="23"/>
  <c r="N270" i="23"/>
  <c r="AF270" i="23"/>
  <c r="I270" i="23"/>
  <c r="AG270" i="23"/>
  <c r="AM270" i="23"/>
  <c r="D270" i="23"/>
  <c r="J270" i="23"/>
  <c r="P270" i="23"/>
  <c r="Q270" i="23"/>
  <c r="R270" i="23"/>
  <c r="E270" i="23"/>
  <c r="F270" i="23"/>
  <c r="L270" i="23"/>
  <c r="K270" i="23"/>
  <c r="E230" i="23"/>
  <c r="K230" i="23"/>
  <c r="Q230" i="23"/>
  <c r="F230" i="23"/>
  <c r="L230" i="23"/>
  <c r="R230" i="23"/>
  <c r="G230" i="23"/>
  <c r="M230" i="23"/>
  <c r="S230" i="23"/>
  <c r="AE230" i="23"/>
  <c r="AK230" i="23"/>
  <c r="H230" i="23"/>
  <c r="N230" i="23"/>
  <c r="AF230" i="23"/>
  <c r="I230" i="23"/>
  <c r="AG230" i="23"/>
  <c r="AM230" i="23"/>
  <c r="D230" i="23"/>
  <c r="J230" i="23"/>
  <c r="P230" i="23"/>
  <c r="G176" i="23"/>
  <c r="M176" i="23"/>
  <c r="S176" i="23"/>
  <c r="AE176" i="23"/>
  <c r="AK176" i="23"/>
  <c r="H176" i="23"/>
  <c r="N176" i="23"/>
  <c r="AF176" i="23"/>
  <c r="I176" i="23"/>
  <c r="AG176" i="23"/>
  <c r="AM176" i="23"/>
  <c r="D176" i="23"/>
  <c r="J176" i="23"/>
  <c r="P176" i="23"/>
  <c r="E176" i="23"/>
  <c r="K176" i="23"/>
  <c r="Q176" i="23"/>
  <c r="F176" i="23"/>
  <c r="L176" i="23"/>
  <c r="R176" i="23"/>
  <c r="E122" i="23"/>
  <c r="K122" i="23"/>
  <c r="Q122" i="23"/>
  <c r="F122" i="23"/>
  <c r="L122" i="23"/>
  <c r="R122" i="23"/>
  <c r="G122" i="23"/>
  <c r="M122" i="23"/>
  <c r="S122" i="23"/>
  <c r="AE122" i="23"/>
  <c r="AK122" i="23"/>
  <c r="H122" i="23"/>
  <c r="N122" i="23"/>
  <c r="AF122" i="23"/>
  <c r="I122" i="23"/>
  <c r="AG122" i="23"/>
  <c r="AM122" i="23"/>
  <c r="D122" i="23"/>
  <c r="J122" i="23"/>
  <c r="P122" i="23"/>
  <c r="D68" i="23"/>
  <c r="J68" i="23"/>
  <c r="P68" i="23"/>
  <c r="H68" i="23"/>
  <c r="AK68" i="23"/>
  <c r="I68" i="23"/>
  <c r="Q68" i="23"/>
  <c r="AE68" i="23"/>
  <c r="K68" i="23"/>
  <c r="R68" i="23"/>
  <c r="AF68" i="23"/>
  <c r="AM68" i="23"/>
  <c r="E68" i="23"/>
  <c r="L68" i="23"/>
  <c r="S68" i="23"/>
  <c r="AG68" i="23"/>
  <c r="G68" i="23"/>
  <c r="N68" i="23"/>
  <c r="M68" i="23"/>
  <c r="F68" i="23"/>
  <c r="E14" i="23"/>
  <c r="K14" i="23"/>
  <c r="Q14" i="23"/>
  <c r="I14" i="23"/>
  <c r="AG14" i="23"/>
  <c r="AM14" i="23"/>
  <c r="G14" i="23"/>
  <c r="P14" i="23"/>
  <c r="L14" i="23"/>
  <c r="F14" i="23"/>
  <c r="N14" i="23"/>
  <c r="AF14" i="23"/>
  <c r="M14" i="23"/>
  <c r="AE14" i="23"/>
  <c r="R14" i="23"/>
  <c r="S14" i="23"/>
  <c r="D14" i="23"/>
  <c r="AK14" i="23"/>
  <c r="J14" i="23"/>
  <c r="H14" i="23"/>
  <c r="I200" i="23"/>
  <c r="AG200" i="23"/>
  <c r="AM200" i="23"/>
  <c r="D200" i="23"/>
  <c r="J200" i="23"/>
  <c r="P200" i="23"/>
  <c r="E200" i="23"/>
  <c r="K200" i="23"/>
  <c r="Q200" i="23"/>
  <c r="F200" i="23"/>
  <c r="L200" i="23"/>
  <c r="R200" i="23"/>
  <c r="G200" i="23"/>
  <c r="M200" i="23"/>
  <c r="S200" i="23"/>
  <c r="AE200" i="23"/>
  <c r="AK200" i="23"/>
  <c r="H200" i="23"/>
  <c r="N200" i="23"/>
  <c r="AF200" i="23"/>
  <c r="I146" i="23"/>
  <c r="AG146" i="23"/>
  <c r="AM146" i="23"/>
  <c r="D146" i="23"/>
  <c r="J146" i="23"/>
  <c r="P146" i="23"/>
  <c r="E146" i="23"/>
  <c r="K146" i="23"/>
  <c r="Q146" i="23"/>
  <c r="F146" i="23"/>
  <c r="L146" i="23"/>
  <c r="R146" i="23"/>
  <c r="G146" i="23"/>
  <c r="M146" i="23"/>
  <c r="S146" i="23"/>
  <c r="AE146" i="23"/>
  <c r="AK146" i="23"/>
  <c r="H146" i="23"/>
  <c r="N146" i="23"/>
  <c r="AF146" i="23"/>
  <c r="H92" i="23"/>
  <c r="N92" i="23"/>
  <c r="AF92" i="23"/>
  <c r="I92" i="23"/>
  <c r="AG92" i="23"/>
  <c r="AM92" i="23"/>
  <c r="D92" i="23"/>
  <c r="J92" i="23"/>
  <c r="P92" i="23"/>
  <c r="E92" i="23"/>
  <c r="K92" i="23"/>
  <c r="Q92" i="23"/>
  <c r="F92" i="23"/>
  <c r="L92" i="23"/>
  <c r="R92" i="23"/>
  <c r="G92" i="23"/>
  <c r="M92" i="23"/>
  <c r="S92" i="23"/>
  <c r="AE92" i="23"/>
  <c r="AK92" i="23"/>
  <c r="F38" i="23"/>
  <c r="L38" i="23"/>
  <c r="R38" i="23"/>
  <c r="G38" i="23"/>
  <c r="M38" i="23"/>
  <c r="S38" i="23"/>
  <c r="AE38" i="23"/>
  <c r="AK38" i="23"/>
  <c r="H38" i="23"/>
  <c r="N38" i="23"/>
  <c r="AF38" i="23"/>
  <c r="D38" i="23"/>
  <c r="J38" i="23"/>
  <c r="P38" i="23"/>
  <c r="E38" i="23"/>
  <c r="AM38" i="23"/>
  <c r="I38" i="23"/>
  <c r="K38" i="23"/>
  <c r="AG38" i="23"/>
  <c r="Q38" i="23"/>
  <c r="G228" i="23"/>
  <c r="M228" i="23"/>
  <c r="S228" i="23"/>
  <c r="AE228" i="23"/>
  <c r="AK228" i="23"/>
  <c r="H228" i="23"/>
  <c r="N228" i="23"/>
  <c r="AF228" i="23"/>
  <c r="I228" i="23"/>
  <c r="AG228" i="23"/>
  <c r="AM228" i="23"/>
  <c r="D228" i="23"/>
  <c r="J228" i="23"/>
  <c r="P228" i="23"/>
  <c r="E228" i="23"/>
  <c r="K228" i="23"/>
  <c r="Q228" i="23"/>
  <c r="F228" i="23"/>
  <c r="L228" i="23"/>
  <c r="R228" i="23"/>
  <c r="I174" i="23"/>
  <c r="AG174" i="23"/>
  <c r="AM174" i="23"/>
  <c r="D174" i="23"/>
  <c r="J174" i="23"/>
  <c r="P174" i="23"/>
  <c r="E174" i="23"/>
  <c r="K174" i="23"/>
  <c r="Q174" i="23"/>
  <c r="F174" i="23"/>
  <c r="L174" i="23"/>
  <c r="R174" i="23"/>
  <c r="G174" i="23"/>
  <c r="M174" i="23"/>
  <c r="S174" i="23"/>
  <c r="AE174" i="23"/>
  <c r="AK174" i="23"/>
  <c r="H174" i="23"/>
  <c r="N174" i="23"/>
  <c r="AF174" i="23"/>
  <c r="G120" i="23"/>
  <c r="M120" i="23"/>
  <c r="S120" i="23"/>
  <c r="AE120" i="23"/>
  <c r="AK120" i="23"/>
  <c r="H120" i="23"/>
  <c r="N120" i="23"/>
  <c r="AF120" i="23"/>
  <c r="I120" i="23"/>
  <c r="AG120" i="23"/>
  <c r="AM120" i="23"/>
  <c r="D120" i="23"/>
  <c r="J120" i="23"/>
  <c r="P120" i="23"/>
  <c r="E120" i="23"/>
  <c r="K120" i="23"/>
  <c r="Q120" i="23"/>
  <c r="F120" i="23"/>
  <c r="L120" i="23"/>
  <c r="R120" i="23"/>
  <c r="F66" i="23"/>
  <c r="L66" i="23"/>
  <c r="R66" i="23"/>
  <c r="J66" i="23"/>
  <c r="Q66" i="23"/>
  <c r="AF66" i="23"/>
  <c r="AM66" i="23"/>
  <c r="D66" i="23"/>
  <c r="K66" i="23"/>
  <c r="S66" i="23"/>
  <c r="AG66" i="23"/>
  <c r="E66" i="23"/>
  <c r="M66" i="23"/>
  <c r="G66" i="23"/>
  <c r="N66" i="23"/>
  <c r="I66" i="23"/>
  <c r="P66" i="23"/>
  <c r="AE66" i="23"/>
  <c r="AK66" i="23"/>
  <c r="H66" i="23"/>
  <c r="G12" i="23"/>
  <c r="M12" i="23"/>
  <c r="S12" i="23"/>
  <c r="AE12" i="23"/>
  <c r="AK12" i="23"/>
  <c r="E12" i="23"/>
  <c r="K12" i="23"/>
  <c r="Q12" i="23"/>
  <c r="J12" i="23"/>
  <c r="L12" i="23"/>
  <c r="D12" i="23"/>
  <c r="N12" i="23"/>
  <c r="AF12" i="23"/>
  <c r="F12" i="23"/>
  <c r="AG12" i="23"/>
  <c r="I12" i="23"/>
  <c r="R12" i="23"/>
  <c r="P12" i="23"/>
  <c r="AM12" i="23"/>
  <c r="H12" i="23"/>
  <c r="I206" i="23"/>
  <c r="AG206" i="23"/>
  <c r="AM206" i="23"/>
  <c r="D206" i="23"/>
  <c r="J206" i="23"/>
  <c r="P206" i="23"/>
  <c r="E206" i="23"/>
  <c r="K206" i="23"/>
  <c r="Q206" i="23"/>
  <c r="F206" i="23"/>
  <c r="L206" i="23"/>
  <c r="R206" i="23"/>
  <c r="G206" i="23"/>
  <c r="M206" i="23"/>
  <c r="S206" i="23"/>
  <c r="AE206" i="23"/>
  <c r="AK206" i="23"/>
  <c r="H206" i="23"/>
  <c r="N206" i="23"/>
  <c r="AF206" i="23"/>
  <c r="I152" i="23"/>
  <c r="AG152" i="23"/>
  <c r="AM152" i="23"/>
  <c r="D152" i="23"/>
  <c r="J152" i="23"/>
  <c r="P152" i="23"/>
  <c r="E152" i="23"/>
  <c r="K152" i="23"/>
  <c r="Q152" i="23"/>
  <c r="F152" i="23"/>
  <c r="L152" i="23"/>
  <c r="R152" i="23"/>
  <c r="G152" i="23"/>
  <c r="M152" i="23"/>
  <c r="S152" i="23"/>
  <c r="AE152" i="23"/>
  <c r="AK152" i="23"/>
  <c r="H152" i="23"/>
  <c r="N152" i="23"/>
  <c r="AF152" i="23"/>
  <c r="H98" i="23"/>
  <c r="N98" i="23"/>
  <c r="AF98" i="23"/>
  <c r="I98" i="23"/>
  <c r="AG98" i="23"/>
  <c r="AM98" i="23"/>
  <c r="D98" i="23"/>
  <c r="J98" i="23"/>
  <c r="P98" i="23"/>
  <c r="E98" i="23"/>
  <c r="K98" i="23"/>
  <c r="Q98" i="23"/>
  <c r="G98" i="23"/>
  <c r="M98" i="23"/>
  <c r="S98" i="23"/>
  <c r="AE98" i="23"/>
  <c r="AK98" i="23"/>
  <c r="F98" i="23"/>
  <c r="L98" i="23"/>
  <c r="R98" i="23"/>
  <c r="D44" i="23"/>
  <c r="J44" i="23"/>
  <c r="P44" i="23"/>
  <c r="G44" i="23"/>
  <c r="N44" i="23"/>
  <c r="H44" i="23"/>
  <c r="AK44" i="23"/>
  <c r="I44" i="23"/>
  <c r="Q44" i="23"/>
  <c r="AE44" i="23"/>
  <c r="K44" i="23"/>
  <c r="R44" i="23"/>
  <c r="AF44" i="23"/>
  <c r="AM44" i="23"/>
  <c r="F44" i="23"/>
  <c r="M44" i="23"/>
  <c r="AG44" i="23"/>
  <c r="E44" i="23"/>
  <c r="L44" i="23"/>
  <c r="S44" i="23"/>
  <c r="G427" i="23"/>
  <c r="M427" i="23"/>
  <c r="S427" i="23"/>
  <c r="AE427" i="23"/>
  <c r="AK427" i="23"/>
  <c r="I427" i="23"/>
  <c r="AG427" i="23"/>
  <c r="AM427" i="23"/>
  <c r="D427" i="23"/>
  <c r="J427" i="23"/>
  <c r="P427" i="23"/>
  <c r="E427" i="23"/>
  <c r="K427" i="23"/>
  <c r="Q427" i="23"/>
  <c r="F427" i="23"/>
  <c r="L427" i="23"/>
  <c r="R427" i="23"/>
  <c r="AF427" i="23"/>
  <c r="H427" i="23"/>
  <c r="N427" i="23"/>
  <c r="I409" i="23"/>
  <c r="AG409" i="23"/>
  <c r="AM409" i="23"/>
  <c r="D409" i="23"/>
  <c r="K409" i="23"/>
  <c r="R409" i="23"/>
  <c r="AF409" i="23"/>
  <c r="F409" i="23"/>
  <c r="M409" i="23"/>
  <c r="G409" i="23"/>
  <c r="N409" i="23"/>
  <c r="H409" i="23"/>
  <c r="P409" i="23"/>
  <c r="AK409" i="23"/>
  <c r="J409" i="23"/>
  <c r="Q409" i="23"/>
  <c r="AE409" i="23"/>
  <c r="E409" i="23"/>
  <c r="L409" i="23"/>
  <c r="S409" i="23"/>
  <c r="D391" i="23"/>
  <c r="J391" i="23"/>
  <c r="P391" i="23"/>
  <c r="I391" i="23"/>
  <c r="AG391" i="23"/>
  <c r="AM391" i="23"/>
  <c r="L391" i="23"/>
  <c r="AK391" i="23"/>
  <c r="F391" i="23"/>
  <c r="N391" i="23"/>
  <c r="AF391" i="23"/>
  <c r="G391" i="23"/>
  <c r="Q391" i="23"/>
  <c r="H391" i="23"/>
  <c r="R391" i="23"/>
  <c r="K391" i="23"/>
  <c r="S391" i="23"/>
  <c r="E391" i="23"/>
  <c r="M391" i="23"/>
  <c r="AE391" i="23"/>
  <c r="G370" i="23"/>
  <c r="M370" i="23"/>
  <c r="S370" i="23"/>
  <c r="AE370" i="23"/>
  <c r="AK370" i="23"/>
  <c r="H370" i="23"/>
  <c r="N370" i="23"/>
  <c r="AF370" i="23"/>
  <c r="I370" i="23"/>
  <c r="AG370" i="23"/>
  <c r="AM370" i="23"/>
  <c r="D370" i="23"/>
  <c r="J370" i="23"/>
  <c r="P370" i="23"/>
  <c r="E370" i="23"/>
  <c r="K370" i="23"/>
  <c r="Q370" i="23"/>
  <c r="F370" i="23"/>
  <c r="L370" i="23"/>
  <c r="R370" i="23"/>
  <c r="D352" i="23"/>
  <c r="J352" i="23"/>
  <c r="P352" i="23"/>
  <c r="E352" i="23"/>
  <c r="K352" i="23"/>
  <c r="Q352" i="23"/>
  <c r="F352" i="23"/>
  <c r="L352" i="23"/>
  <c r="R352" i="23"/>
  <c r="G352" i="23"/>
  <c r="M352" i="23"/>
  <c r="S352" i="23"/>
  <c r="AE352" i="23"/>
  <c r="AK352" i="23"/>
  <c r="H352" i="23"/>
  <c r="N352" i="23"/>
  <c r="AF352" i="23"/>
  <c r="AG352" i="23"/>
  <c r="I352" i="23"/>
  <c r="AM352" i="23"/>
  <c r="H334" i="23"/>
  <c r="N334" i="23"/>
  <c r="AF334" i="23"/>
  <c r="F334" i="23"/>
  <c r="M334" i="23"/>
  <c r="G334" i="23"/>
  <c r="I334" i="23"/>
  <c r="P334" i="23"/>
  <c r="AK334" i="23"/>
  <c r="J334" i="23"/>
  <c r="Q334" i="23"/>
  <c r="AE334" i="23"/>
  <c r="D334" i="23"/>
  <c r="K334" i="23"/>
  <c r="R334" i="23"/>
  <c r="AG334" i="23"/>
  <c r="AM334" i="23"/>
  <c r="E334" i="23"/>
  <c r="L334" i="23"/>
  <c r="S334" i="23"/>
  <c r="E316" i="23"/>
  <c r="K316" i="23"/>
  <c r="Q316" i="23"/>
  <c r="H316" i="23"/>
  <c r="N316" i="23"/>
  <c r="AF316" i="23"/>
  <c r="G316" i="23"/>
  <c r="P316" i="23"/>
  <c r="I316" i="23"/>
  <c r="R316" i="23"/>
  <c r="J316" i="23"/>
  <c r="S316" i="23"/>
  <c r="AK316" i="23"/>
  <c r="L316" i="23"/>
  <c r="D316" i="23"/>
  <c r="M316" i="23"/>
  <c r="AE316" i="23"/>
  <c r="AM316" i="23"/>
  <c r="F316" i="23"/>
  <c r="AG316" i="23"/>
  <c r="E298" i="23"/>
  <c r="K298" i="23"/>
  <c r="Q298" i="23"/>
  <c r="G298" i="23"/>
  <c r="M298" i="23"/>
  <c r="S298" i="23"/>
  <c r="AE298" i="23"/>
  <c r="AK298" i="23"/>
  <c r="H298" i="23"/>
  <c r="N298" i="23"/>
  <c r="AF298" i="23"/>
  <c r="D298" i="23"/>
  <c r="J298" i="23"/>
  <c r="P298" i="23"/>
  <c r="R298" i="23"/>
  <c r="F298" i="23"/>
  <c r="AM298" i="23"/>
  <c r="I298" i="23"/>
  <c r="L298" i="23"/>
  <c r="AG298" i="23"/>
  <c r="F280" i="23"/>
  <c r="D280" i="23"/>
  <c r="K280" i="23"/>
  <c r="Q280" i="23"/>
  <c r="E280" i="23"/>
  <c r="L280" i="23"/>
  <c r="R280" i="23"/>
  <c r="G280" i="23"/>
  <c r="M280" i="23"/>
  <c r="S280" i="23"/>
  <c r="AE280" i="23"/>
  <c r="AK280" i="23"/>
  <c r="H280" i="23"/>
  <c r="N280" i="23"/>
  <c r="AF280" i="23"/>
  <c r="J280" i="23"/>
  <c r="P280" i="23"/>
  <c r="AG280" i="23"/>
  <c r="I280" i="23"/>
  <c r="AM280" i="23"/>
  <c r="I262" i="23"/>
  <c r="AG262" i="23"/>
  <c r="AM262" i="23"/>
  <c r="D262" i="23"/>
  <c r="J262" i="23"/>
  <c r="P262" i="23"/>
  <c r="E262" i="23"/>
  <c r="K262" i="23"/>
  <c r="Q262" i="23"/>
  <c r="F262" i="23"/>
  <c r="L262" i="23"/>
  <c r="R262" i="23"/>
  <c r="G262" i="23"/>
  <c r="M262" i="23"/>
  <c r="S262" i="23"/>
  <c r="AE262" i="23"/>
  <c r="AK262" i="23"/>
  <c r="H262" i="23"/>
  <c r="N262" i="23"/>
  <c r="AF262" i="23"/>
  <c r="E216" i="23"/>
  <c r="K216" i="23"/>
  <c r="Q216" i="23"/>
  <c r="F216" i="23"/>
  <c r="L216" i="23"/>
  <c r="R216" i="23"/>
  <c r="G216" i="23"/>
  <c r="M216" i="23"/>
  <c r="S216" i="23"/>
  <c r="AE216" i="23"/>
  <c r="AK216" i="23"/>
  <c r="H216" i="23"/>
  <c r="N216" i="23"/>
  <c r="AF216" i="23"/>
  <c r="D216" i="23"/>
  <c r="J216" i="23"/>
  <c r="P216" i="23"/>
  <c r="AG216" i="23"/>
  <c r="I216" i="23"/>
  <c r="AM216" i="23"/>
  <c r="D162" i="23"/>
  <c r="J162" i="23"/>
  <c r="P162" i="23"/>
  <c r="E162" i="23"/>
  <c r="L162" i="23"/>
  <c r="S162" i="23"/>
  <c r="AG162" i="23"/>
  <c r="F162" i="23"/>
  <c r="M162" i="23"/>
  <c r="G162" i="23"/>
  <c r="N162" i="23"/>
  <c r="H162" i="23"/>
  <c r="AK162" i="23"/>
  <c r="I162" i="23"/>
  <c r="Q162" i="23"/>
  <c r="AE162" i="23"/>
  <c r="K162" i="23"/>
  <c r="R162" i="23"/>
  <c r="AF162" i="23"/>
  <c r="AM162" i="23"/>
  <c r="D108" i="23"/>
  <c r="J108" i="23"/>
  <c r="P108" i="23"/>
  <c r="G108" i="23"/>
  <c r="M108" i="23"/>
  <c r="S108" i="23"/>
  <c r="AE108" i="23"/>
  <c r="AK108" i="23"/>
  <c r="I108" i="23"/>
  <c r="AG108" i="23"/>
  <c r="AM108" i="23"/>
  <c r="H108" i="23"/>
  <c r="AF108" i="23"/>
  <c r="K108" i="23"/>
  <c r="L108" i="23"/>
  <c r="N108" i="23"/>
  <c r="E108" i="23"/>
  <c r="Q108" i="23"/>
  <c r="F108" i="23"/>
  <c r="R108" i="23"/>
  <c r="G54" i="23"/>
  <c r="M54" i="23"/>
  <c r="S54" i="23"/>
  <c r="AE54" i="23"/>
  <c r="AK54" i="23"/>
  <c r="H54" i="23"/>
  <c r="N54" i="23"/>
  <c r="AF54" i="23"/>
  <c r="I54" i="23"/>
  <c r="AG54" i="23"/>
  <c r="AM54" i="23"/>
  <c r="D54" i="23"/>
  <c r="J54" i="23"/>
  <c r="P54" i="23"/>
  <c r="F54" i="23"/>
  <c r="L54" i="23"/>
  <c r="R54" i="23"/>
  <c r="E54" i="23"/>
  <c r="K54" i="23"/>
  <c r="Q54" i="23"/>
  <c r="I256" i="23"/>
  <c r="AG256" i="23"/>
  <c r="AM256" i="23"/>
  <c r="D256" i="23"/>
  <c r="J256" i="23"/>
  <c r="P256" i="23"/>
  <c r="E256" i="23"/>
  <c r="K256" i="23"/>
  <c r="Q256" i="23"/>
  <c r="F256" i="23"/>
  <c r="L256" i="23"/>
  <c r="R256" i="23"/>
  <c r="G256" i="23"/>
  <c r="M256" i="23"/>
  <c r="S256" i="23"/>
  <c r="AE256" i="23"/>
  <c r="AK256" i="23"/>
  <c r="H256" i="23"/>
  <c r="N256" i="23"/>
  <c r="AF256" i="23"/>
  <c r="I238" i="23"/>
  <c r="AG238" i="23"/>
  <c r="AM238" i="23"/>
  <c r="D238" i="23"/>
  <c r="J238" i="23"/>
  <c r="P238" i="23"/>
  <c r="E238" i="23"/>
  <c r="K238" i="23"/>
  <c r="Q238" i="23"/>
  <c r="F238" i="23"/>
  <c r="L238" i="23"/>
  <c r="R238" i="23"/>
  <c r="G238" i="23"/>
  <c r="M238" i="23"/>
  <c r="S238" i="23"/>
  <c r="AE238" i="23"/>
  <c r="AK238" i="23"/>
  <c r="H238" i="23"/>
  <c r="N238" i="23"/>
  <c r="AF238" i="23"/>
  <c r="H220" i="23"/>
  <c r="N220" i="23"/>
  <c r="AF220" i="23"/>
  <c r="I220" i="23"/>
  <c r="AG220" i="23"/>
  <c r="AM220" i="23"/>
  <c r="D220" i="23"/>
  <c r="J220" i="23"/>
  <c r="P220" i="23"/>
  <c r="F220" i="23"/>
  <c r="L220" i="23"/>
  <c r="R220" i="23"/>
  <c r="M220" i="23"/>
  <c r="AE220" i="23"/>
  <c r="Q220" i="23"/>
  <c r="S220" i="23"/>
  <c r="AK220" i="23"/>
  <c r="E220" i="23"/>
  <c r="G220" i="23"/>
  <c r="K220" i="23"/>
  <c r="G202" i="23"/>
  <c r="M202" i="23"/>
  <c r="S202" i="23"/>
  <c r="AE202" i="23"/>
  <c r="AK202" i="23"/>
  <c r="H202" i="23"/>
  <c r="N202" i="23"/>
  <c r="AF202" i="23"/>
  <c r="I202" i="23"/>
  <c r="AG202" i="23"/>
  <c r="AM202" i="23"/>
  <c r="D202" i="23"/>
  <c r="J202" i="23"/>
  <c r="P202" i="23"/>
  <c r="E202" i="23"/>
  <c r="K202" i="23"/>
  <c r="Q202" i="23"/>
  <c r="F202" i="23"/>
  <c r="L202" i="23"/>
  <c r="R202" i="23"/>
  <c r="E184" i="23"/>
  <c r="K184" i="23"/>
  <c r="Q184" i="23"/>
  <c r="F184" i="23"/>
  <c r="L184" i="23"/>
  <c r="R184" i="23"/>
  <c r="G184" i="23"/>
  <c r="M184" i="23"/>
  <c r="S184" i="23"/>
  <c r="AE184" i="23"/>
  <c r="AK184" i="23"/>
  <c r="H184" i="23"/>
  <c r="N184" i="23"/>
  <c r="AF184" i="23"/>
  <c r="D184" i="23"/>
  <c r="J184" i="23"/>
  <c r="P184" i="23"/>
  <c r="I184" i="23"/>
  <c r="AM184" i="23"/>
  <c r="AG184" i="23"/>
  <c r="E166" i="23"/>
  <c r="K166" i="23"/>
  <c r="Q166" i="23"/>
  <c r="F166" i="23"/>
  <c r="L166" i="23"/>
  <c r="R166" i="23"/>
  <c r="G166" i="23"/>
  <c r="M166" i="23"/>
  <c r="S166" i="23"/>
  <c r="AE166" i="23"/>
  <c r="AK166" i="23"/>
  <c r="H166" i="23"/>
  <c r="N166" i="23"/>
  <c r="AF166" i="23"/>
  <c r="I166" i="23"/>
  <c r="AG166" i="23"/>
  <c r="AM166" i="23"/>
  <c r="D166" i="23"/>
  <c r="J166" i="23"/>
  <c r="P166" i="23"/>
  <c r="G148" i="23"/>
  <c r="M148" i="23"/>
  <c r="S148" i="23"/>
  <c r="AE148" i="23"/>
  <c r="AK148" i="23"/>
  <c r="H148" i="23"/>
  <c r="N148" i="23"/>
  <c r="AF148" i="23"/>
  <c r="I148" i="23"/>
  <c r="AG148" i="23"/>
  <c r="AM148" i="23"/>
  <c r="D148" i="23"/>
  <c r="J148" i="23"/>
  <c r="P148" i="23"/>
  <c r="E148" i="23"/>
  <c r="K148" i="23"/>
  <c r="Q148" i="23"/>
  <c r="F148" i="23"/>
  <c r="L148" i="23"/>
  <c r="R148" i="23"/>
  <c r="I130" i="23"/>
  <c r="E130" i="23"/>
  <c r="K130" i="23"/>
  <c r="Q130" i="23"/>
  <c r="H130" i="23"/>
  <c r="N130" i="23"/>
  <c r="AF130" i="23"/>
  <c r="J130" i="23"/>
  <c r="AG130" i="23"/>
  <c r="L130" i="23"/>
  <c r="M130" i="23"/>
  <c r="D130" i="23"/>
  <c r="P130" i="23"/>
  <c r="AK130" i="23"/>
  <c r="F130" i="23"/>
  <c r="R130" i="23"/>
  <c r="G130" i="23"/>
  <c r="S130" i="23"/>
  <c r="AE130" i="23"/>
  <c r="AM130" i="23"/>
  <c r="I112" i="23"/>
  <c r="AG112" i="23"/>
  <c r="AM112" i="23"/>
  <c r="D112" i="23"/>
  <c r="J112" i="23"/>
  <c r="P112" i="23"/>
  <c r="E112" i="23"/>
  <c r="K112" i="23"/>
  <c r="Q112" i="23"/>
  <c r="F112" i="23"/>
  <c r="L112" i="23"/>
  <c r="R112" i="23"/>
  <c r="G112" i="23"/>
  <c r="M112" i="23"/>
  <c r="S112" i="23"/>
  <c r="AE112" i="23"/>
  <c r="AK112" i="23"/>
  <c r="H112" i="23"/>
  <c r="N112" i="23"/>
  <c r="AF112" i="23"/>
  <c r="F94" i="23"/>
  <c r="L94" i="23"/>
  <c r="R94" i="23"/>
  <c r="G94" i="23"/>
  <c r="M94" i="23"/>
  <c r="S94" i="23"/>
  <c r="AE94" i="23"/>
  <c r="AK94" i="23"/>
  <c r="H94" i="23"/>
  <c r="N94" i="23"/>
  <c r="AF94" i="23"/>
  <c r="I94" i="23"/>
  <c r="AG94" i="23"/>
  <c r="AM94" i="23"/>
  <c r="D94" i="23"/>
  <c r="J94" i="23"/>
  <c r="P94" i="23"/>
  <c r="E94" i="23"/>
  <c r="K94" i="23"/>
  <c r="Q94" i="23"/>
  <c r="E76" i="23"/>
  <c r="K76" i="23"/>
  <c r="Q76" i="23"/>
  <c r="F76" i="23"/>
  <c r="L76" i="23"/>
  <c r="R76" i="23"/>
  <c r="G76" i="23"/>
  <c r="M76" i="23"/>
  <c r="S76" i="23"/>
  <c r="AE76" i="23"/>
  <c r="AK76" i="23"/>
  <c r="H76" i="23"/>
  <c r="N76" i="23"/>
  <c r="AF76" i="23"/>
  <c r="D76" i="23"/>
  <c r="J76" i="23"/>
  <c r="P76" i="23"/>
  <c r="AG76" i="23"/>
  <c r="I76" i="23"/>
  <c r="AM76" i="23"/>
  <c r="D58" i="23"/>
  <c r="J58" i="23"/>
  <c r="P58" i="23"/>
  <c r="F58" i="23"/>
  <c r="L58" i="23"/>
  <c r="R58" i="23"/>
  <c r="H58" i="23"/>
  <c r="N58" i="23"/>
  <c r="AF58" i="23"/>
  <c r="M58" i="23"/>
  <c r="AK58" i="23"/>
  <c r="E58" i="23"/>
  <c r="Q58" i="23"/>
  <c r="AM58" i="23"/>
  <c r="G58" i="23"/>
  <c r="S58" i="23"/>
  <c r="AE58" i="23"/>
  <c r="K58" i="23"/>
  <c r="I58" i="23"/>
  <c r="AG58" i="23"/>
  <c r="D40" i="23"/>
  <c r="E40" i="23"/>
  <c r="K40" i="23"/>
  <c r="Q40" i="23"/>
  <c r="H40" i="23"/>
  <c r="N40" i="23"/>
  <c r="AF40" i="23"/>
  <c r="J40" i="23"/>
  <c r="S40" i="23"/>
  <c r="AK40" i="23"/>
  <c r="L40" i="23"/>
  <c r="M40" i="23"/>
  <c r="AE40" i="23"/>
  <c r="AM40" i="23"/>
  <c r="F40" i="23"/>
  <c r="AG40" i="23"/>
  <c r="I40" i="23"/>
  <c r="R40" i="23"/>
  <c r="G40" i="23"/>
  <c r="P40" i="23"/>
  <c r="H22" i="23"/>
  <c r="N22" i="23"/>
  <c r="AF22" i="23"/>
  <c r="F22" i="23"/>
  <c r="M22" i="23"/>
  <c r="G22" i="23"/>
  <c r="I22" i="23"/>
  <c r="P22" i="23"/>
  <c r="AK22" i="23"/>
  <c r="J22" i="23"/>
  <c r="Q22" i="23"/>
  <c r="AE22" i="23"/>
  <c r="E22" i="23"/>
  <c r="L22" i="23"/>
  <c r="S22" i="23"/>
  <c r="K22" i="23"/>
  <c r="R22" i="23"/>
  <c r="AG22" i="23"/>
  <c r="D22" i="23"/>
  <c r="AM22" i="23"/>
  <c r="I4" i="23"/>
  <c r="AG4" i="23"/>
  <c r="AM4" i="23"/>
  <c r="D4" i="23"/>
  <c r="J4" i="23"/>
  <c r="P4" i="23"/>
  <c r="E4" i="23"/>
  <c r="K4" i="23"/>
  <c r="Q4" i="23"/>
  <c r="F4" i="23"/>
  <c r="L4" i="23"/>
  <c r="R4" i="23"/>
  <c r="G4" i="23"/>
  <c r="M4" i="23"/>
  <c r="S4" i="23"/>
  <c r="AE4" i="23"/>
  <c r="AK4" i="23"/>
  <c r="H4" i="23"/>
  <c r="N4" i="23"/>
  <c r="AF4" i="23"/>
  <c r="R47" i="80"/>
  <c r="DD7" i="92"/>
  <c r="CS7" i="92"/>
  <c r="DF7" i="108"/>
  <c r="DD15" i="92"/>
  <c r="DH15" i="92" s="1"/>
  <c r="AO15" i="92" s="1"/>
  <c r="DD25" i="92"/>
  <c r="DH25" i="92" s="1"/>
  <c r="AO25" i="92" s="1"/>
  <c r="DD12" i="92"/>
  <c r="DH12" i="92" s="1"/>
  <c r="DD22" i="92"/>
  <c r="DH22" i="92" s="1"/>
  <c r="AO22" i="92" s="1"/>
  <c r="DD28" i="92"/>
  <c r="DH28" i="92" s="1"/>
  <c r="AO28" i="92" s="1"/>
  <c r="DD35" i="92"/>
  <c r="DH35" i="92" s="1"/>
  <c r="AO35" i="92" s="1"/>
  <c r="DD29" i="92"/>
  <c r="DH29" i="92" s="1"/>
  <c r="AO29" i="92" s="1"/>
  <c r="DD26" i="92"/>
  <c r="DH26" i="92" s="1"/>
  <c r="AO26" i="92" s="1"/>
  <c r="DD23" i="92"/>
  <c r="DH23" i="92" s="1"/>
  <c r="AO23" i="92" s="1"/>
  <c r="DD18" i="92"/>
  <c r="DH18" i="92" s="1"/>
  <c r="AO18" i="92" s="1"/>
  <c r="DD19" i="92"/>
  <c r="DH19" i="92" s="1"/>
  <c r="AO19" i="92" s="1"/>
  <c r="DD13" i="92"/>
  <c r="DH13" i="92" s="1"/>
  <c r="DD20" i="92"/>
  <c r="DH20" i="92" s="1"/>
  <c r="AO20" i="92" s="1"/>
  <c r="DD36" i="92"/>
  <c r="DH36" i="92" s="1"/>
  <c r="AO36" i="92" s="1"/>
  <c r="DD17" i="92"/>
  <c r="DH17" i="92" s="1"/>
  <c r="AO17" i="92" s="1"/>
  <c r="DD21" i="92"/>
  <c r="DH21" i="92" s="1"/>
  <c r="AO21" i="92" s="1"/>
  <c r="DD32" i="92"/>
  <c r="DH32" i="92" s="1"/>
  <c r="AO32" i="92" s="1"/>
  <c r="DD33" i="92"/>
  <c r="DH33" i="92" s="1"/>
  <c r="AO33" i="92" s="1"/>
  <c r="DD14" i="92"/>
  <c r="DH14" i="92" s="1"/>
  <c r="DD30" i="92"/>
  <c r="DH30" i="92" s="1"/>
  <c r="AO30" i="92" s="1"/>
  <c r="DD11" i="92"/>
  <c r="DH11" i="92" s="1"/>
  <c r="DD31" i="92"/>
  <c r="DH31" i="92" s="1"/>
  <c r="AO31" i="92" s="1"/>
  <c r="DD9" i="92"/>
  <c r="DH9" i="92" s="1"/>
  <c r="DD16" i="92"/>
  <c r="DH16" i="92" s="1"/>
  <c r="AO16" i="92" s="1"/>
  <c r="DD10" i="92"/>
  <c r="DH10" i="92" s="1"/>
  <c r="DD27" i="92"/>
  <c r="DH27" i="92" s="1"/>
  <c r="AO27" i="92" s="1"/>
  <c r="DD8" i="92"/>
  <c r="DH8" i="92" s="1"/>
  <c r="DD24" i="92"/>
  <c r="DH24" i="92" s="1"/>
  <c r="AO24" i="92" s="1"/>
  <c r="DD34" i="92"/>
  <c r="DH34" i="92" s="1"/>
  <c r="AO34" i="92" s="1"/>
  <c r="C100" i="108"/>
  <c r="AM7" i="92"/>
  <c r="R147" i="80"/>
  <c r="R258" i="80"/>
  <c r="R106" i="80"/>
  <c r="R50" i="80"/>
  <c r="R176" i="80"/>
  <c r="R199" i="80"/>
  <c r="R280" i="80"/>
  <c r="R161" i="80"/>
  <c r="R53" i="80"/>
  <c r="R164" i="80"/>
  <c r="R81" i="80"/>
  <c r="R239" i="80"/>
  <c r="R96" i="80"/>
  <c r="R290" i="80"/>
  <c r="R254" i="80"/>
  <c r="R142" i="80"/>
  <c r="R145" i="80"/>
  <c r="R222" i="80"/>
  <c r="R117" i="80"/>
  <c r="R105" i="80"/>
  <c r="R235" i="80"/>
  <c r="R266" i="80"/>
  <c r="R244" i="80"/>
  <c r="R259" i="80"/>
  <c r="R271" i="80"/>
  <c r="R45" i="80"/>
  <c r="R198" i="80"/>
  <c r="R100" i="80"/>
  <c r="R150" i="80"/>
  <c r="R272" i="80"/>
  <c r="R191" i="80"/>
  <c r="R15" i="80"/>
  <c r="R126" i="80"/>
  <c r="R193" i="80"/>
  <c r="R220" i="80"/>
  <c r="R63" i="80"/>
  <c r="R29" i="80"/>
  <c r="R116" i="80"/>
  <c r="R207" i="80"/>
  <c r="R267" i="80"/>
  <c r="R182" i="80"/>
  <c r="R249" i="80"/>
  <c r="R95" i="80"/>
  <c r="R131" i="80"/>
  <c r="R233" i="80"/>
  <c r="R37" i="80"/>
  <c r="R135" i="80"/>
  <c r="R90" i="80"/>
  <c r="R168" i="80"/>
  <c r="R108" i="80"/>
  <c r="R237" i="80"/>
  <c r="R173" i="80"/>
  <c r="R130" i="80"/>
  <c r="R87" i="80"/>
  <c r="R184" i="80"/>
  <c r="R123" i="80"/>
  <c r="R181" i="80"/>
  <c r="R162" i="80"/>
  <c r="R83" i="80"/>
  <c r="R40" i="80"/>
  <c r="R42" i="80"/>
  <c r="R195" i="80"/>
  <c r="R251" i="80"/>
  <c r="R185" i="80"/>
  <c r="R24" i="80"/>
  <c r="R287" i="80"/>
  <c r="R46" i="80"/>
  <c r="R289" i="80"/>
  <c r="R89" i="80"/>
  <c r="R203" i="80"/>
  <c r="R30" i="80"/>
  <c r="R225" i="80"/>
  <c r="R60" i="80"/>
  <c r="R263" i="80"/>
  <c r="R192" i="80"/>
  <c r="R177" i="80"/>
  <c r="R286" i="80"/>
  <c r="R25" i="80"/>
  <c r="R276" i="80"/>
  <c r="R144" i="80"/>
  <c r="R66" i="80"/>
  <c r="R186" i="80"/>
  <c r="R74" i="80"/>
  <c r="R187" i="80"/>
  <c r="R94" i="80"/>
  <c r="R166" i="80"/>
  <c r="R218" i="80"/>
  <c r="R64" i="80"/>
  <c r="R265" i="80"/>
  <c r="R224" i="80"/>
  <c r="R157" i="80"/>
  <c r="R124" i="80"/>
  <c r="R211" i="80"/>
  <c r="R215" i="80"/>
  <c r="R71" i="80"/>
  <c r="R127" i="80"/>
  <c r="R217" i="80"/>
  <c r="R112" i="80"/>
  <c r="R284" i="80"/>
  <c r="R17" i="80"/>
  <c r="R33" i="80"/>
  <c r="R283" i="80"/>
  <c r="R273" i="80"/>
  <c r="R255" i="80"/>
  <c r="R151" i="80"/>
  <c r="R88" i="80"/>
  <c r="R209" i="80"/>
  <c r="R73" i="80"/>
  <c r="R82" i="80"/>
  <c r="R21" i="80"/>
  <c r="R189" i="80"/>
  <c r="R26" i="80"/>
  <c r="R167" i="80"/>
  <c r="R204" i="80"/>
  <c r="R109" i="80"/>
  <c r="R246" i="80"/>
  <c r="R241" i="80"/>
  <c r="R77" i="80"/>
  <c r="R38" i="80"/>
  <c r="R169" i="80"/>
  <c r="R149" i="80"/>
  <c r="R75" i="80"/>
  <c r="R122" i="80"/>
  <c r="R78" i="80"/>
  <c r="R213" i="80"/>
  <c r="R278" i="80"/>
  <c r="R84" i="80"/>
  <c r="R140" i="80"/>
  <c r="R114" i="80"/>
  <c r="R250" i="80"/>
  <c r="R179" i="80"/>
  <c r="R14" i="80"/>
  <c r="R86" i="80"/>
  <c r="R229" i="80"/>
  <c r="R113" i="80"/>
  <c r="R62" i="80"/>
  <c r="R270" i="80"/>
  <c r="R170" i="80"/>
  <c r="R190" i="80"/>
  <c r="R111" i="80"/>
  <c r="R171" i="80"/>
  <c r="R133" i="80"/>
  <c r="R245" i="80"/>
  <c r="R97" i="80"/>
  <c r="R67" i="80"/>
  <c r="R210" i="80"/>
  <c r="R232" i="80"/>
  <c r="R243" i="80"/>
  <c r="R282" i="80"/>
  <c r="R129" i="80"/>
  <c r="R85" i="80"/>
  <c r="R57" i="80"/>
  <c r="R275" i="80"/>
  <c r="R277" i="80"/>
  <c r="R228" i="80"/>
  <c r="R262" i="80"/>
  <c r="R51" i="80"/>
  <c r="R178" i="80"/>
  <c r="R172" i="80"/>
  <c r="R269" i="80"/>
  <c r="R104" i="80"/>
  <c r="R16" i="80"/>
  <c r="R110" i="80"/>
  <c r="R194" i="80"/>
  <c r="R13" i="80"/>
  <c r="R56" i="80"/>
  <c r="R274" i="80"/>
  <c r="R248" i="80"/>
  <c r="R268" i="80"/>
  <c r="R257" i="80"/>
  <c r="R221" i="80"/>
  <c r="R264" i="80"/>
  <c r="R175" i="80"/>
  <c r="R19" i="80"/>
  <c r="R59" i="80"/>
  <c r="R216" i="80"/>
  <c r="R121" i="80"/>
  <c r="R137" i="80"/>
  <c r="R48" i="80"/>
  <c r="R39" i="80"/>
  <c r="R174" i="80"/>
  <c r="R238" i="80"/>
  <c r="R252" i="80"/>
  <c r="R208" i="80"/>
  <c r="K3" i="23"/>
  <c r="S3" i="23"/>
  <c r="H1" i="92"/>
  <c r="A6" i="94" s="1"/>
  <c r="L3" i="23"/>
  <c r="Q3" i="23"/>
  <c r="J3" i="23"/>
  <c r="E3" i="23"/>
  <c r="H3" i="23"/>
  <c r="AE3" i="23"/>
  <c r="AF3" i="23"/>
  <c r="I3" i="23"/>
  <c r="AJ3" i="23" s="1"/>
  <c r="G3" i="23"/>
  <c r="F3" i="23"/>
  <c r="AG3" i="23"/>
  <c r="D3" i="23"/>
  <c r="R3" i="23"/>
  <c r="N3" i="23"/>
  <c r="AM3" i="23"/>
  <c r="AI7" i="108"/>
  <c r="AJ7" i="108" s="1"/>
  <c r="CK7" i="108"/>
  <c r="CI35" i="92"/>
  <c r="AM35" i="92"/>
  <c r="AM28" i="92"/>
  <c r="CI28" i="92"/>
  <c r="AH28" i="92"/>
  <c r="AI28" i="92" s="1"/>
  <c r="CT28" i="92" s="1"/>
  <c r="I28" i="92"/>
  <c r="AD28" i="92"/>
  <c r="AM21" i="92"/>
  <c r="CI21" i="92"/>
  <c r="AH21" i="92"/>
  <c r="AI21" i="92" s="1"/>
  <c r="CT21" i="92" s="1"/>
  <c r="AD21" i="92"/>
  <c r="I21" i="92"/>
  <c r="AM14" i="92"/>
  <c r="CI14" i="92"/>
  <c r="AD14" i="92"/>
  <c r="I14" i="92"/>
  <c r="AH14" i="92"/>
  <c r="AI14" i="92" s="1"/>
  <c r="CT14" i="92" s="1"/>
  <c r="L11" i="94"/>
  <c r="L10" i="94" s="1"/>
  <c r="C107" i="92"/>
  <c r="CI7" i="92"/>
  <c r="E11" i="94"/>
  <c r="E10" i="94" s="1"/>
  <c r="AD7" i="92"/>
  <c r="I7" i="92"/>
  <c r="C100" i="92"/>
  <c r="AH7" i="92"/>
  <c r="AI7" i="92" s="1"/>
  <c r="AM29" i="92"/>
  <c r="CI29" i="92"/>
  <c r="I29" i="92"/>
  <c r="AD29" i="92"/>
  <c r="AH29" i="92"/>
  <c r="AI29" i="92" s="1"/>
  <c r="CT29" i="92" s="1"/>
  <c r="AM22" i="92"/>
  <c r="CI22" i="92"/>
  <c r="AD22" i="92"/>
  <c r="AH22" i="92"/>
  <c r="AI22" i="92" s="1"/>
  <c r="CT22" i="92" s="1"/>
  <c r="I22" i="92"/>
  <c r="CI15" i="92"/>
  <c r="AM15" i="92"/>
  <c r="AD15" i="92"/>
  <c r="I15" i="92"/>
  <c r="AH15" i="92"/>
  <c r="AI15" i="92" s="1"/>
  <c r="CT15" i="92" s="1"/>
  <c r="M11" i="94"/>
  <c r="M10" i="94" s="1"/>
  <c r="C108" i="92"/>
  <c r="CI8" i="92"/>
  <c r="AM8" i="92"/>
  <c r="AD8" i="92"/>
  <c r="F11" i="94"/>
  <c r="F10" i="94" s="1"/>
  <c r="I8" i="92"/>
  <c r="C101" i="92"/>
  <c r="AH8" i="92"/>
  <c r="AI8" i="92" s="1"/>
  <c r="CI36" i="92"/>
  <c r="AM36" i="92"/>
  <c r="AH36" i="92"/>
  <c r="AI36" i="92" s="1"/>
  <c r="CT36" i="92" s="1"/>
  <c r="AD36" i="92"/>
  <c r="I36" i="92"/>
  <c r="CI23" i="92"/>
  <c r="AM23" i="92"/>
  <c r="I23" i="92"/>
  <c r="AD23" i="92"/>
  <c r="AH23" i="92"/>
  <c r="AI23" i="92" s="1"/>
  <c r="CT23" i="92" s="1"/>
  <c r="CI16" i="92"/>
  <c r="AM16" i="92"/>
  <c r="AH16" i="92"/>
  <c r="AI16" i="92" s="1"/>
  <c r="CT16" i="92" s="1"/>
  <c r="AD16" i="92"/>
  <c r="I16" i="92"/>
  <c r="N11" i="94"/>
  <c r="N10" i="94" s="1"/>
  <c r="C109" i="92"/>
  <c r="AM9" i="92"/>
  <c r="CI9" i="92"/>
  <c r="I9" i="92"/>
  <c r="AD9" i="92"/>
  <c r="AH9" i="92"/>
  <c r="AI9" i="92" s="1"/>
  <c r="CT9" i="92" s="1"/>
  <c r="G11" i="94"/>
  <c r="G10" i="94" s="1"/>
  <c r="C102" i="92"/>
  <c r="AM31" i="92"/>
  <c r="CI31" i="92"/>
  <c r="CI30" i="92"/>
  <c r="AM30" i="92"/>
  <c r="AH30" i="92"/>
  <c r="AI30" i="92" s="1"/>
  <c r="CT30" i="92" s="1"/>
  <c r="I30" i="92"/>
  <c r="AD30" i="92"/>
  <c r="AM17" i="92"/>
  <c r="CI17" i="92"/>
  <c r="AD17" i="92"/>
  <c r="AH17" i="92"/>
  <c r="AI17" i="92" s="1"/>
  <c r="CT17" i="92" s="1"/>
  <c r="I17" i="92"/>
  <c r="O11" i="94"/>
  <c r="O10" i="94" s="1"/>
  <c r="C110" i="92"/>
  <c r="CI10" i="92"/>
  <c r="AM10" i="92"/>
  <c r="AD10" i="92"/>
  <c r="I10" i="92"/>
  <c r="AH10" i="92"/>
  <c r="AI10" i="92" s="1"/>
  <c r="H11" i="94"/>
  <c r="H10" i="94" s="1"/>
  <c r="C103" i="92"/>
  <c r="AM32" i="92"/>
  <c r="CI32" i="92"/>
  <c r="AD32" i="92"/>
  <c r="AH32" i="92"/>
  <c r="AI32" i="92" s="1"/>
  <c r="CT32" i="92" s="1"/>
  <c r="I32" i="92"/>
  <c r="AM25" i="92"/>
  <c r="CI25" i="92"/>
  <c r="I25" i="92"/>
  <c r="AH25" i="92"/>
  <c r="AI25" i="92" s="1"/>
  <c r="CT25" i="92" s="1"/>
  <c r="AD25" i="92"/>
  <c r="CI24" i="92"/>
  <c r="AM24" i="92"/>
  <c r="AD24" i="92"/>
  <c r="I24" i="92"/>
  <c r="AH24" i="92"/>
  <c r="AI24" i="92" s="1"/>
  <c r="CT24" i="92" s="1"/>
  <c r="AM11" i="92"/>
  <c r="CI11" i="92"/>
  <c r="AH11" i="92"/>
  <c r="AI11" i="92" s="1"/>
  <c r="CT11" i="92" s="1"/>
  <c r="AD11" i="92"/>
  <c r="I11" i="92"/>
  <c r="I11" i="94"/>
  <c r="I10" i="94" s="1"/>
  <c r="C104" i="92"/>
  <c r="AM33" i="92"/>
  <c r="CI33" i="92"/>
  <c r="I33" i="92"/>
  <c r="AH33" i="92"/>
  <c r="AI33" i="92" s="1"/>
  <c r="CT33" i="92" s="1"/>
  <c r="AD33" i="92"/>
  <c r="AM26" i="92"/>
  <c r="CI26" i="92"/>
  <c r="I26" i="92"/>
  <c r="AH26" i="92"/>
  <c r="AI26" i="92" s="1"/>
  <c r="CT26" i="92" s="1"/>
  <c r="AD26" i="92"/>
  <c r="AM19" i="92"/>
  <c r="CI19" i="92"/>
  <c r="AH19" i="92"/>
  <c r="AI19" i="92" s="1"/>
  <c r="CT19" i="92" s="1"/>
  <c r="I19" i="92"/>
  <c r="J19" i="92" s="1"/>
  <c r="AD19" i="92"/>
  <c r="AM18" i="92"/>
  <c r="CI18" i="92"/>
  <c r="U11" i="94"/>
  <c r="U10" i="94" s="1"/>
  <c r="X11" i="94"/>
  <c r="X10" i="94" s="1"/>
  <c r="S11" i="94"/>
  <c r="S10" i="94" s="1"/>
  <c r="AB11" i="94"/>
  <c r="AB10" i="94" s="1"/>
  <c r="Y11" i="94"/>
  <c r="Y10" i="94" s="1"/>
  <c r="AA11" i="94"/>
  <c r="AA10" i="94" s="1"/>
  <c r="AD11" i="94"/>
  <c r="AD10" i="94" s="1"/>
  <c r="Z11" i="94"/>
  <c r="Z10" i="94" s="1"/>
  <c r="AH18" i="92"/>
  <c r="AI18" i="92" s="1"/>
  <c r="CT18" i="92" s="1"/>
  <c r="AE11" i="94"/>
  <c r="AE10" i="94" s="1"/>
  <c r="AD18" i="92"/>
  <c r="V11" i="94"/>
  <c r="V10" i="94" s="1"/>
  <c r="I18" i="92"/>
  <c r="W11" i="94"/>
  <c r="W10" i="94" s="1"/>
  <c r="AH11" i="94"/>
  <c r="AH10" i="94" s="1"/>
  <c r="T11" i="94"/>
  <c r="T10" i="94" s="1"/>
  <c r="Q11" i="94"/>
  <c r="Q10" i="94" s="1"/>
  <c r="R11" i="94"/>
  <c r="R10" i="94" s="1"/>
  <c r="P11" i="94"/>
  <c r="P10" i="94" s="1"/>
  <c r="C111" i="92"/>
  <c r="CI34" i="92"/>
  <c r="AM34" i="92"/>
  <c r="AM27" i="92"/>
  <c r="CI27" i="92"/>
  <c r="I27" i="92"/>
  <c r="AD27" i="92"/>
  <c r="AH27" i="92"/>
  <c r="AI27" i="92" s="1"/>
  <c r="CT27" i="92" s="1"/>
  <c r="CI20" i="92"/>
  <c r="AM20" i="92"/>
  <c r="I20" i="92"/>
  <c r="AH20" i="92"/>
  <c r="AI20" i="92" s="1"/>
  <c r="CT20" i="92" s="1"/>
  <c r="AD20" i="92"/>
  <c r="CI13" i="92"/>
  <c r="AM13" i="92"/>
  <c r="AH13" i="92"/>
  <c r="AI13" i="92" s="1"/>
  <c r="CT13" i="92" s="1"/>
  <c r="AD13" i="92"/>
  <c r="I13" i="92"/>
  <c r="K11" i="94"/>
  <c r="K10" i="94" s="1"/>
  <c r="C106" i="92"/>
  <c r="AM12" i="92"/>
  <c r="CI12" i="92"/>
  <c r="AD12" i="92"/>
  <c r="AH12" i="92"/>
  <c r="AI12" i="92" s="1"/>
  <c r="CT12" i="92" s="1"/>
  <c r="I12" i="92"/>
  <c r="J11" i="94"/>
  <c r="J10" i="94" s="1"/>
  <c r="C105" i="92"/>
  <c r="AI15" i="108"/>
  <c r="AJ15" i="108" s="1"/>
  <c r="C108" i="108"/>
  <c r="CK15" i="108"/>
  <c r="CK18" i="108"/>
  <c r="AI18" i="108"/>
  <c r="AJ18" i="108" s="1"/>
  <c r="C111" i="108"/>
  <c r="AI9" i="108"/>
  <c r="AJ9" i="108" s="1"/>
  <c r="CK9" i="108"/>
  <c r="C102" i="108"/>
  <c r="CK12" i="108"/>
  <c r="C105" i="108"/>
  <c r="AI12" i="108"/>
  <c r="AJ12" i="108" s="1"/>
  <c r="CK14" i="108"/>
  <c r="AI14" i="108"/>
  <c r="AJ14" i="108" s="1"/>
  <c r="C107" i="108"/>
  <c r="AI17" i="108"/>
  <c r="AJ17" i="108" s="1"/>
  <c r="C110" i="108"/>
  <c r="CK17" i="108"/>
  <c r="C101" i="108"/>
  <c r="CK8" i="108"/>
  <c r="AI8" i="108"/>
  <c r="AJ8" i="108" s="1"/>
  <c r="CK11" i="108"/>
  <c r="C104" i="108"/>
  <c r="AI11" i="108"/>
  <c r="AJ11" i="108" s="1"/>
  <c r="C106" i="108"/>
  <c r="CK13" i="108"/>
  <c r="AI13" i="108"/>
  <c r="AJ13" i="108" s="1"/>
  <c r="AI16" i="108"/>
  <c r="AJ16" i="108" s="1"/>
  <c r="C109" i="108"/>
  <c r="CK16" i="108"/>
  <c r="AI10" i="108"/>
  <c r="AJ10" i="108" s="1"/>
  <c r="CK10" i="108"/>
  <c r="C103" i="108"/>
  <c r="P3" i="23"/>
  <c r="R143" i="80"/>
  <c r="R279" i="80"/>
  <c r="R197" i="80"/>
  <c r="R201" i="80"/>
  <c r="BO7" i="92"/>
  <c r="H7" i="98" s="1"/>
  <c r="R27" i="80"/>
  <c r="R146" i="80"/>
  <c r="R31" i="80"/>
  <c r="R35" i="80"/>
  <c r="R102" i="80"/>
  <c r="R163" i="80"/>
  <c r="R43" i="80"/>
  <c r="R260" i="80"/>
  <c r="R136" i="80"/>
  <c r="R285" i="80"/>
  <c r="R242" i="80"/>
  <c r="R34" i="80"/>
  <c r="R212" i="80"/>
  <c r="R61" i="80"/>
  <c r="R180" i="80"/>
  <c r="R36" i="80"/>
  <c r="R41" i="80"/>
  <c r="R261" i="80"/>
  <c r="R128" i="80"/>
  <c r="R160" i="80"/>
  <c r="R44" i="80"/>
  <c r="R58" i="80"/>
  <c r="R158" i="80"/>
  <c r="R103" i="80"/>
  <c r="R183" i="80"/>
  <c r="R200" i="80"/>
  <c r="R156" i="80"/>
  <c r="R227" i="80"/>
  <c r="R23" i="80"/>
  <c r="R159" i="80"/>
  <c r="R72" i="80"/>
  <c r="R20" i="80"/>
  <c r="R98" i="80"/>
  <c r="R125" i="80"/>
  <c r="R101" i="80"/>
  <c r="R91" i="80"/>
  <c r="R92" i="80"/>
  <c r="R202" i="80"/>
  <c r="R118" i="80"/>
  <c r="R236" i="80"/>
  <c r="R76" i="80"/>
  <c r="R205" i="80"/>
  <c r="R219" i="80"/>
  <c r="R139" i="80"/>
  <c r="R65" i="80"/>
  <c r="R152" i="80"/>
  <c r="R28" i="80"/>
  <c r="R247" i="80"/>
  <c r="R134" i="80"/>
  <c r="U27" i="46"/>
  <c r="R22" i="80"/>
  <c r="R148" i="80"/>
  <c r="R99" i="80"/>
  <c r="R230" i="80"/>
  <c r="R132" i="80"/>
  <c r="R223" i="80"/>
  <c r="R188" i="80"/>
  <c r="R234" i="80"/>
  <c r="R54" i="80"/>
  <c r="R206" i="80"/>
  <c r="R256" i="80"/>
  <c r="AK3" i="23"/>
  <c r="R32" i="80"/>
  <c r="R55" i="80"/>
  <c r="R52" i="80"/>
  <c r="R288" i="80"/>
  <c r="R231" i="80"/>
  <c r="R153" i="80"/>
  <c r="R18" i="80"/>
  <c r="R281" i="80"/>
  <c r="R80" i="80"/>
  <c r="R141" i="80"/>
  <c r="R196" i="80"/>
  <c r="R107" i="80"/>
  <c r="BO13" i="92"/>
  <c r="BO17" i="92"/>
  <c r="BO22" i="92"/>
  <c r="H22" i="98" s="1"/>
  <c r="BO10" i="92"/>
  <c r="BO30" i="92"/>
  <c r="H30" i="98" s="1"/>
  <c r="BO19" i="92"/>
  <c r="H19" i="98" s="1"/>
  <c r="BO33" i="92"/>
  <c r="H33" i="98" s="1"/>
  <c r="BO11" i="92"/>
  <c r="BO28" i="92"/>
  <c r="H28" i="98" s="1"/>
  <c r="BO25" i="92"/>
  <c r="H25" i="98" s="1"/>
  <c r="BO26" i="92"/>
  <c r="H26" i="98" s="1"/>
  <c r="BO24" i="92"/>
  <c r="H24" i="98" s="1"/>
  <c r="BO15" i="92"/>
  <c r="BO32" i="92"/>
  <c r="H32" i="98" s="1"/>
  <c r="BO36" i="92"/>
  <c r="H36" i="98" s="1"/>
  <c r="BO20" i="92"/>
  <c r="H20" i="98" s="1"/>
  <c r="BO18" i="92"/>
  <c r="BO9" i="92"/>
  <c r="BO16" i="92"/>
  <c r="BO27" i="92"/>
  <c r="H27" i="98" s="1"/>
  <c r="BO14" i="92"/>
  <c r="BO12" i="92"/>
  <c r="BO29" i="92"/>
  <c r="H29" i="98" s="1"/>
  <c r="BO21" i="92"/>
  <c r="H21" i="98" s="1"/>
  <c r="BO23" i="92"/>
  <c r="H23" i="98" s="1"/>
  <c r="U11" i="46"/>
  <c r="U8" i="46"/>
  <c r="U13" i="46"/>
  <c r="R226" i="80"/>
  <c r="U4" i="98"/>
  <c r="BO8" i="92"/>
  <c r="H8" i="98" s="1"/>
  <c r="U17" i="46"/>
  <c r="U15" i="46"/>
  <c r="R93" i="80"/>
  <c r="R115" i="80"/>
  <c r="R165" i="80"/>
  <c r="R240" i="80"/>
  <c r="U12" i="46"/>
  <c r="T18" i="82"/>
  <c r="U18" i="82" s="1"/>
  <c r="U10" i="46"/>
  <c r="U7" i="46"/>
  <c r="U14" i="46"/>
  <c r="U16" i="46"/>
  <c r="U9" i="46"/>
  <c r="W11" i="80"/>
  <c r="P3" i="90"/>
  <c r="U18" i="46"/>
  <c r="A43" i="46"/>
  <c r="AA18" i="46"/>
  <c r="AA15" i="46"/>
  <c r="AA9" i="46"/>
  <c r="AA10" i="46"/>
  <c r="AA12" i="46"/>
  <c r="AA17" i="46"/>
  <c r="AA11" i="46"/>
  <c r="AA13" i="46"/>
  <c r="AA16" i="46"/>
  <c r="AA7" i="46"/>
  <c r="AA14" i="46"/>
  <c r="AA8" i="46"/>
  <c r="H54" i="123" l="1"/>
  <c r="W13" i="120"/>
  <c r="V41" i="131"/>
  <c r="AA41" i="131" s="1"/>
  <c r="V42" i="131"/>
  <c r="AA42" i="131" s="1"/>
  <c r="V40" i="131"/>
  <c r="AA40" i="131" s="1"/>
  <c r="V39" i="131"/>
  <c r="AA39" i="131" s="1"/>
  <c r="BQ3" i="108"/>
  <c r="BK13" i="131"/>
  <c r="BK18" i="131"/>
  <c r="BK31" i="131"/>
  <c r="BK12" i="131"/>
  <c r="BK17" i="131"/>
  <c r="BK16" i="131"/>
  <c r="BK20" i="131"/>
  <c r="BK15" i="131"/>
  <c r="BK27" i="131"/>
  <c r="BK36" i="131"/>
  <c r="BK33" i="131"/>
  <c r="BK32" i="131"/>
  <c r="BK30" i="131"/>
  <c r="BK19" i="131"/>
  <c r="BK28" i="131"/>
  <c r="BK29" i="131"/>
  <c r="BK22" i="131"/>
  <c r="BK25" i="131"/>
  <c r="BK8" i="131"/>
  <c r="BK7" i="131"/>
  <c r="BK14" i="131"/>
  <c r="BK23" i="131"/>
  <c r="BK11" i="131"/>
  <c r="BK24" i="131"/>
  <c r="BK21" i="131"/>
  <c r="BK34" i="131"/>
  <c r="BK37" i="131"/>
  <c r="BK39" i="131"/>
  <c r="BK9" i="131"/>
  <c r="BK26" i="131"/>
  <c r="BK42" i="131"/>
  <c r="BK10" i="131"/>
  <c r="BK35" i="131"/>
  <c r="BK38" i="131"/>
  <c r="BK40" i="131"/>
  <c r="BK41" i="131"/>
  <c r="BM7" i="107"/>
  <c r="BM7" i="128" s="1"/>
  <c r="F54" i="123"/>
  <c r="AC64" i="120"/>
  <c r="AC68" i="120"/>
  <c r="AC69" i="120"/>
  <c r="AC65" i="120"/>
  <c r="AC66" i="120"/>
  <c r="AC67" i="120"/>
  <c r="AQ47" i="128"/>
  <c r="AQ50" i="128"/>
  <c r="AT50" i="128"/>
  <c r="AI12" i="121"/>
  <c r="AJ12" i="121"/>
  <c r="AF11" i="121"/>
  <c r="AI11" i="121"/>
  <c r="AJ11" i="121"/>
  <c r="AQ46" i="128"/>
  <c r="AT46" i="128"/>
  <c r="AP10" i="121"/>
  <c r="H10" i="126" s="1"/>
  <c r="AI10" i="121"/>
  <c r="AJ10" i="121"/>
  <c r="AQ48" i="128"/>
  <c r="AQ49" i="128"/>
  <c r="AT49" i="128"/>
  <c r="AT47" i="128"/>
  <c r="AT48" i="128"/>
  <c r="AQ45" i="128"/>
  <c r="AT45" i="128"/>
  <c r="Q40" i="108"/>
  <c r="O42" i="108"/>
  <c r="AA42" i="115" s="1"/>
  <c r="AF42" i="108"/>
  <c r="AF40" i="108"/>
  <c r="AC13" i="113"/>
  <c r="AH13" i="113" s="1"/>
  <c r="V9" i="121"/>
  <c r="AE1" i="108"/>
  <c r="D36" i="113" s="1"/>
  <c r="AI9" i="121"/>
  <c r="AJ9" i="121"/>
  <c r="Y8" i="121"/>
  <c r="AV8" i="121" s="1"/>
  <c r="U8" i="121"/>
  <c r="AH65" i="120" s="1"/>
  <c r="AI65" i="120" s="1"/>
  <c r="AI8" i="121"/>
  <c r="AJ8" i="121"/>
  <c r="AA50" i="128"/>
  <c r="AD50" i="128"/>
  <c r="X9" i="121"/>
  <c r="Z8" i="121"/>
  <c r="V11" i="121"/>
  <c r="W8" i="121"/>
  <c r="AF10" i="121"/>
  <c r="Y10" i="121"/>
  <c r="AP9" i="121"/>
  <c r="H9" i="126" s="1"/>
  <c r="W9" i="121"/>
  <c r="AF8" i="121"/>
  <c r="U11" i="121"/>
  <c r="D11" i="126" s="1"/>
  <c r="V8" i="121"/>
  <c r="Z9" i="121"/>
  <c r="AP8" i="121"/>
  <c r="H8" i="126" s="1"/>
  <c r="Y12" i="121"/>
  <c r="AS11" i="121"/>
  <c r="AP11" i="121"/>
  <c r="H11" i="126" s="1"/>
  <c r="AP12" i="121"/>
  <c r="H12" i="126" s="1"/>
  <c r="X8" i="121"/>
  <c r="X10" i="121"/>
  <c r="AS10" i="121"/>
  <c r="W11" i="121"/>
  <c r="U10" i="121"/>
  <c r="AH67" i="120" s="1"/>
  <c r="AI67" i="120" s="1"/>
  <c r="Y9" i="121"/>
  <c r="X11" i="121"/>
  <c r="U12" i="121"/>
  <c r="D12" i="126" s="1"/>
  <c r="W12" i="121"/>
  <c r="V12" i="121"/>
  <c r="Z11" i="121"/>
  <c r="AS12" i="121"/>
  <c r="AS8" i="121"/>
  <c r="Y11" i="121"/>
  <c r="Z10" i="121"/>
  <c r="X12" i="121"/>
  <c r="W10" i="121"/>
  <c r="Z12" i="121"/>
  <c r="U9" i="121"/>
  <c r="AH66" i="120" s="1"/>
  <c r="AI66" i="120" s="1"/>
  <c r="AS9" i="121"/>
  <c r="V10" i="121"/>
  <c r="AF12" i="121"/>
  <c r="AF9" i="121"/>
  <c r="E54" i="123"/>
  <c r="AF36" i="108"/>
  <c r="M35" i="108"/>
  <c r="O35" i="108"/>
  <c r="R35" i="108"/>
  <c r="N35" i="108"/>
  <c r="Q35" i="108"/>
  <c r="AF35" i="108"/>
  <c r="V9" i="107"/>
  <c r="AC4" i="113"/>
  <c r="DO13" i="108"/>
  <c r="DO15" i="108"/>
  <c r="DO11" i="108"/>
  <c r="DO17" i="108"/>
  <c r="DO12" i="108"/>
  <c r="DO8" i="108"/>
  <c r="DO7" i="108"/>
  <c r="DO14" i="108"/>
  <c r="DO9" i="108"/>
  <c r="DO16" i="108"/>
  <c r="DO18" i="108"/>
  <c r="DO10" i="108"/>
  <c r="I54" i="123"/>
  <c r="Q36" i="108"/>
  <c r="L35" i="108"/>
  <c r="L40" i="108"/>
  <c r="N42" i="108"/>
  <c r="R36" i="108"/>
  <c r="L19" i="108"/>
  <c r="Q42" i="108"/>
  <c r="M42" i="108"/>
  <c r="N39" i="108"/>
  <c r="R42" i="108"/>
  <c r="R39" i="108"/>
  <c r="AF39" i="108"/>
  <c r="N36" i="108"/>
  <c r="N40" i="108"/>
  <c r="M39" i="108"/>
  <c r="L36" i="108"/>
  <c r="R40" i="108"/>
  <c r="O40" i="108"/>
  <c r="O36" i="108"/>
  <c r="R41" i="108"/>
  <c r="L39" i="108"/>
  <c r="M40" i="108"/>
  <c r="N19" i="108"/>
  <c r="M19" i="108"/>
  <c r="AF19" i="108"/>
  <c r="R34" i="108"/>
  <c r="O37" i="108"/>
  <c r="L37" i="108"/>
  <c r="N38" i="108"/>
  <c r="L41" i="108"/>
  <c r="M41" i="108"/>
  <c r="R38" i="108"/>
  <c r="O38" i="108"/>
  <c r="L42" i="108"/>
  <c r="Q41" i="108"/>
  <c r="Q37" i="108"/>
  <c r="O39" i="108"/>
  <c r="AA39" i="115" s="1"/>
  <c r="N41" i="108"/>
  <c r="L34" i="108"/>
  <c r="O41" i="108"/>
  <c r="AA41" i="115" s="1"/>
  <c r="Q34" i="108"/>
  <c r="M34" i="108"/>
  <c r="AF37" i="108"/>
  <c r="R37" i="108"/>
  <c r="U37" i="115" s="1"/>
  <c r="V37" i="115" s="1"/>
  <c r="Q39" i="108"/>
  <c r="AF38" i="108"/>
  <c r="Q38" i="108"/>
  <c r="M38" i="108"/>
  <c r="M37" i="108"/>
  <c r="M36" i="108"/>
  <c r="O34" i="108"/>
  <c r="AA34" i="115" s="1"/>
  <c r="N34" i="108"/>
  <c r="L38" i="108"/>
  <c r="AF41" i="108"/>
  <c r="AF34" i="108"/>
  <c r="N37" i="108"/>
  <c r="R19" i="108"/>
  <c r="U19" i="115" s="1"/>
  <c r="V19" i="115" s="1"/>
  <c r="O19" i="108"/>
  <c r="Q19" i="108"/>
  <c r="BM18" i="128"/>
  <c r="BM17" i="128"/>
  <c r="L28" i="108"/>
  <c r="Q27" i="108"/>
  <c r="M22" i="108"/>
  <c r="N29" i="108"/>
  <c r="AF33" i="108"/>
  <c r="O29" i="108"/>
  <c r="R25" i="108"/>
  <c r="U25" i="115" s="1"/>
  <c r="V25" i="115" s="1"/>
  <c r="N20" i="108"/>
  <c r="R31" i="108"/>
  <c r="U31" i="115" s="1"/>
  <c r="V31" i="115" s="1"/>
  <c r="L27" i="108"/>
  <c r="M20" i="108"/>
  <c r="O22" i="108"/>
  <c r="R23" i="108"/>
  <c r="U23" i="115" s="1"/>
  <c r="V23" i="115" s="1"/>
  <c r="N21" i="108"/>
  <c r="AF22" i="108"/>
  <c r="N23" i="108"/>
  <c r="L26" i="108"/>
  <c r="O30" i="108"/>
  <c r="M27" i="108"/>
  <c r="R29" i="108"/>
  <c r="U29" i="115" s="1"/>
  <c r="V29" i="115" s="1"/>
  <c r="M25" i="108"/>
  <c r="O28" i="108"/>
  <c r="O25" i="108"/>
  <c r="O26" i="108"/>
  <c r="L25" i="108"/>
  <c r="O27" i="108"/>
  <c r="L21" i="108"/>
  <c r="L31" i="108"/>
  <c r="O32" i="108"/>
  <c r="M24" i="108"/>
  <c r="M30" i="108"/>
  <c r="Q29" i="108"/>
  <c r="AF20" i="108"/>
  <c r="Q21" i="108"/>
  <c r="L22" i="108"/>
  <c r="L23" i="108"/>
  <c r="N26" i="108"/>
  <c r="Q22" i="108"/>
  <c r="M26" i="108"/>
  <c r="AF21" i="108"/>
  <c r="N33" i="108"/>
  <c r="O20" i="108"/>
  <c r="Q30" i="108"/>
  <c r="L32" i="108"/>
  <c r="M28" i="108"/>
  <c r="M29" i="108"/>
  <c r="N25" i="108"/>
  <c r="AF31" i="108"/>
  <c r="R22" i="108"/>
  <c r="U22" i="115" s="1"/>
  <c r="V22" i="115" s="1"/>
  <c r="AF26" i="108"/>
  <c r="Q31" i="108"/>
  <c r="N32" i="108"/>
  <c r="Q28" i="108"/>
  <c r="AF23" i="108"/>
  <c r="O24" i="108"/>
  <c r="Q33" i="108"/>
  <c r="R20" i="108"/>
  <c r="U20" i="115" s="1"/>
  <c r="V20" i="115" s="1"/>
  <c r="AF30" i="108"/>
  <c r="M33" i="108"/>
  <c r="N28" i="108"/>
  <c r="R21" i="108"/>
  <c r="U21" i="115" s="1"/>
  <c r="V21" i="115" s="1"/>
  <c r="N22" i="108"/>
  <c r="O23" i="108"/>
  <c r="O31" i="108"/>
  <c r="Q32" i="108"/>
  <c r="Q23" i="108"/>
  <c r="L24" i="108"/>
  <c r="M31" i="108"/>
  <c r="O33" i="108"/>
  <c r="AF28" i="108"/>
  <c r="AF29" i="108"/>
  <c r="M32" i="108"/>
  <c r="R28" i="108"/>
  <c r="U28" i="115" s="1"/>
  <c r="V28" i="115" s="1"/>
  <c r="Q24" i="108"/>
  <c r="N30" i="108"/>
  <c r="AF27" i="108"/>
  <c r="R26" i="108"/>
  <c r="U26" i="115" s="1"/>
  <c r="V26" i="115" s="1"/>
  <c r="Q25" i="108"/>
  <c r="R27" i="108"/>
  <c r="U27" i="115" s="1"/>
  <c r="V27" i="115" s="1"/>
  <c r="L20" i="108"/>
  <c r="M21" i="108"/>
  <c r="R32" i="108"/>
  <c r="U32" i="115" s="1"/>
  <c r="V32" i="115" s="1"/>
  <c r="R24" i="108"/>
  <c r="U24" i="115" s="1"/>
  <c r="V24" i="115" s="1"/>
  <c r="AF32" i="108"/>
  <c r="M23" i="108"/>
  <c r="N24" i="108"/>
  <c r="L30" i="108"/>
  <c r="Q20" i="108"/>
  <c r="O21" i="108"/>
  <c r="R33" i="108"/>
  <c r="U33" i="115" s="1"/>
  <c r="V33" i="115" s="1"/>
  <c r="L29" i="108"/>
  <c r="AF25" i="108"/>
  <c r="N27" i="108"/>
  <c r="Q26" i="108"/>
  <c r="N31" i="108"/>
  <c r="L33" i="108"/>
  <c r="AF24" i="108"/>
  <c r="R30" i="108"/>
  <c r="U30" i="115" s="1"/>
  <c r="V30" i="115" s="1"/>
  <c r="AD49" i="128"/>
  <c r="AA49" i="128"/>
  <c r="AA48" i="128"/>
  <c r="AD48" i="128"/>
  <c r="BM14" i="107"/>
  <c r="BM16" i="107"/>
  <c r="BM15" i="107"/>
  <c r="BM11" i="107"/>
  <c r="BM10" i="107"/>
  <c r="BM13" i="107"/>
  <c r="BM12" i="107"/>
  <c r="BM9" i="107"/>
  <c r="BM8" i="107"/>
  <c r="AI1" i="124"/>
  <c r="T12" i="113"/>
  <c r="AA45" i="128"/>
  <c r="AD45" i="128"/>
  <c r="AD47" i="128"/>
  <c r="AA47" i="128"/>
  <c r="AD46" i="128"/>
  <c r="AA46" i="128"/>
  <c r="AA17" i="128"/>
  <c r="AA16" i="128"/>
  <c r="AA18" i="128"/>
  <c r="AA15" i="128"/>
  <c r="AA14" i="128"/>
  <c r="AA13" i="128"/>
  <c r="AA11" i="128"/>
  <c r="AA12" i="128"/>
  <c r="AA10" i="128"/>
  <c r="M290" i="123"/>
  <c r="T11" i="120"/>
  <c r="T10" i="120"/>
  <c r="T9" i="120"/>
  <c r="T8" i="120"/>
  <c r="W12" i="120"/>
  <c r="T8" i="113"/>
  <c r="W11" i="120"/>
  <c r="T11" i="113"/>
  <c r="T9" i="113"/>
  <c r="T10" i="113"/>
  <c r="C3" i="124"/>
  <c r="AJ64" i="120"/>
  <c r="AJ66" i="120"/>
  <c r="AJ65" i="120"/>
  <c r="AJ67" i="120"/>
  <c r="AJ69" i="120"/>
  <c r="AJ68" i="120"/>
  <c r="C3" i="123"/>
  <c r="L54" i="123"/>
  <c r="I242" i="123"/>
  <c r="G252" i="123"/>
  <c r="I52" i="123"/>
  <c r="L290" i="123"/>
  <c r="H257" i="123"/>
  <c r="F52" i="123"/>
  <c r="H242" i="123"/>
  <c r="G242" i="123"/>
  <c r="L52" i="123"/>
  <c r="G52" i="123"/>
  <c r="E290" i="123"/>
  <c r="L242" i="123"/>
  <c r="I271" i="123"/>
  <c r="H290" i="123"/>
  <c r="H243" i="123"/>
  <c r="AE64" i="120"/>
  <c r="H52" i="123"/>
  <c r="E242" i="123"/>
  <c r="I290" i="123"/>
  <c r="G290" i="123"/>
  <c r="CB1" i="124"/>
  <c r="AS1" i="124"/>
  <c r="F290" i="123"/>
  <c r="BU1" i="124"/>
  <c r="CJ1" i="124"/>
  <c r="CE1" i="124"/>
  <c r="BF1" i="124"/>
  <c r="BA1" i="124"/>
  <c r="BZ1" i="124"/>
  <c r="BP1" i="124"/>
  <c r="AQ1" i="124"/>
  <c r="AV1" i="124"/>
  <c r="BK1" i="124"/>
  <c r="M54" i="123"/>
  <c r="M52" i="123"/>
  <c r="G286" i="123"/>
  <c r="L286" i="123"/>
  <c r="M242" i="123"/>
  <c r="M289" i="123"/>
  <c r="F286" i="123"/>
  <c r="M46" i="123"/>
  <c r="G54" i="123"/>
  <c r="H9" i="123"/>
  <c r="E243" i="123"/>
  <c r="L289" i="123"/>
  <c r="E270" i="123"/>
  <c r="H289" i="123"/>
  <c r="H286" i="123"/>
  <c r="L53" i="123"/>
  <c r="G53" i="123"/>
  <c r="M55" i="123"/>
  <c r="E289" i="123"/>
  <c r="F35" i="123"/>
  <c r="H55" i="123"/>
  <c r="I286" i="123"/>
  <c r="E286" i="123"/>
  <c r="G270" i="123"/>
  <c r="G238" i="123"/>
  <c r="H53" i="123"/>
  <c r="I53" i="123"/>
  <c r="L228" i="123"/>
  <c r="F242" i="123"/>
  <c r="G261" i="123"/>
  <c r="L218" i="123"/>
  <c r="I289" i="123"/>
  <c r="F53" i="123"/>
  <c r="M286" i="123"/>
  <c r="M53" i="123"/>
  <c r="L262" i="123"/>
  <c r="H261" i="123"/>
  <c r="G289" i="123"/>
  <c r="F289" i="123"/>
  <c r="E53" i="123"/>
  <c r="W14" i="124"/>
  <c r="W3" i="123"/>
  <c r="X14" i="124"/>
  <c r="X3" i="123"/>
  <c r="E503" i="123"/>
  <c r="AD100" i="107"/>
  <c r="AA99" i="107"/>
  <c r="AD99" i="107"/>
  <c r="H218" i="123"/>
  <c r="AD98" i="107"/>
  <c r="AA103" i="107"/>
  <c r="AD103" i="107"/>
  <c r="AA98" i="107"/>
  <c r="AA102" i="107"/>
  <c r="AD102" i="107"/>
  <c r="AA101" i="107"/>
  <c r="AD101" i="107"/>
  <c r="AA100" i="107"/>
  <c r="G214" i="123"/>
  <c r="Z7" i="108"/>
  <c r="F456" i="123"/>
  <c r="F531" i="123"/>
  <c r="F450" i="123"/>
  <c r="C12" i="126"/>
  <c r="AF12" i="120"/>
  <c r="D8" i="113"/>
  <c r="AF8" i="120"/>
  <c r="C55" i="123"/>
  <c r="C8" i="126"/>
  <c r="AF11" i="120"/>
  <c r="AF10" i="120"/>
  <c r="AF9" i="120"/>
  <c r="AF13" i="120"/>
  <c r="L243" i="123"/>
  <c r="C7" i="126"/>
  <c r="C9" i="126"/>
  <c r="E586" i="123"/>
  <c r="F218" i="123"/>
  <c r="C58" i="124"/>
  <c r="D13" i="113"/>
  <c r="Z43" i="107" s="1"/>
  <c r="D6" i="113"/>
  <c r="D12" i="113"/>
  <c r="C11" i="126"/>
  <c r="C10" i="126"/>
  <c r="CO11" i="92"/>
  <c r="CR11" i="92"/>
  <c r="CO17" i="92"/>
  <c r="CR17" i="92"/>
  <c r="CO30" i="92"/>
  <c r="CR30" i="92"/>
  <c r="CO8" i="92"/>
  <c r="CR8" i="92"/>
  <c r="CO21" i="92"/>
  <c r="CR21" i="92"/>
  <c r="CO18" i="92"/>
  <c r="CR18" i="92"/>
  <c r="CO24" i="92"/>
  <c r="CR24" i="92"/>
  <c r="CO31" i="92"/>
  <c r="CR31" i="92"/>
  <c r="CO15" i="92"/>
  <c r="CR15" i="92"/>
  <c r="CO34" i="92"/>
  <c r="CR34" i="92"/>
  <c r="CO19" i="92"/>
  <c r="CR19" i="92"/>
  <c r="CO25" i="92"/>
  <c r="CR25" i="92"/>
  <c r="CO9" i="92"/>
  <c r="CR9" i="92"/>
  <c r="CO28" i="92"/>
  <c r="CR28" i="92"/>
  <c r="CO12" i="92"/>
  <c r="CR12" i="92"/>
  <c r="CO26" i="92"/>
  <c r="CR26" i="92"/>
  <c r="CO32" i="92"/>
  <c r="CR32" i="92"/>
  <c r="CO22" i="92"/>
  <c r="CR22" i="92"/>
  <c r="CO35" i="92"/>
  <c r="CR35" i="92"/>
  <c r="CO13" i="92"/>
  <c r="CR13" i="92"/>
  <c r="CO33" i="92"/>
  <c r="CR33" i="92"/>
  <c r="CO16" i="92"/>
  <c r="CR16" i="92"/>
  <c r="CO29" i="92"/>
  <c r="CR29" i="92"/>
  <c r="CO7" i="92"/>
  <c r="CR7" i="92"/>
  <c r="CO20" i="92"/>
  <c r="CR20" i="92"/>
  <c r="CO10" i="92"/>
  <c r="CR10" i="92"/>
  <c r="CO23" i="92"/>
  <c r="CR23" i="92"/>
  <c r="CO36" i="92"/>
  <c r="CR36" i="92"/>
  <c r="CO14" i="92"/>
  <c r="CR14" i="92"/>
  <c r="CO27" i="92"/>
  <c r="CR27" i="92"/>
  <c r="CQ11" i="108"/>
  <c r="CT11" i="108"/>
  <c r="CQ12" i="108"/>
  <c r="CT12" i="108"/>
  <c r="CQ13" i="108"/>
  <c r="CT13" i="108"/>
  <c r="CQ10" i="108"/>
  <c r="CT10" i="108"/>
  <c r="CQ14" i="108"/>
  <c r="CT14" i="108"/>
  <c r="CQ9" i="108"/>
  <c r="CT9" i="108"/>
  <c r="CQ18" i="108"/>
  <c r="CT18" i="108"/>
  <c r="CQ7" i="108"/>
  <c r="CT7" i="108"/>
  <c r="CQ17" i="108"/>
  <c r="CT17" i="108"/>
  <c r="CQ16" i="108"/>
  <c r="CT16" i="108"/>
  <c r="CQ15" i="108"/>
  <c r="CT15" i="108"/>
  <c r="CQ8" i="108"/>
  <c r="CT8" i="108"/>
  <c r="H271" i="123"/>
  <c r="H575" i="123"/>
  <c r="H542" i="123"/>
  <c r="M453" i="123"/>
  <c r="M438" i="123"/>
  <c r="Q70" i="80"/>
  <c r="V120" i="80"/>
  <c r="P120" i="80"/>
  <c r="V70" i="80"/>
  <c r="K120" i="80"/>
  <c r="P70" i="80"/>
  <c r="F70" i="80"/>
  <c r="K70" i="80"/>
  <c r="J120" i="80"/>
  <c r="J70" i="80"/>
  <c r="F120" i="80"/>
  <c r="E120" i="80"/>
  <c r="AI5" i="46"/>
  <c r="AJ6" i="46" s="1"/>
  <c r="MZ6" i="46" s="1"/>
  <c r="E70" i="80"/>
  <c r="Q120" i="80"/>
  <c r="I266" i="123"/>
  <c r="M38" i="123"/>
  <c r="M236" i="123"/>
  <c r="E23" i="123"/>
  <c r="I216" i="123"/>
  <c r="L247" i="123"/>
  <c r="AE67" i="120"/>
  <c r="AE68" i="120"/>
  <c r="AE65" i="120"/>
  <c r="AE66" i="120"/>
  <c r="AE69" i="120"/>
  <c r="AS7" i="121"/>
  <c r="M273" i="123"/>
  <c r="M49" i="123"/>
  <c r="M217" i="123"/>
  <c r="L224" i="123"/>
  <c r="L266" i="123"/>
  <c r="G262" i="123"/>
  <c r="H465" i="123"/>
  <c r="E476" i="123"/>
  <c r="H514" i="123"/>
  <c r="E266" i="123"/>
  <c r="H211" i="123"/>
  <c r="M233" i="123"/>
  <c r="M213" i="123"/>
  <c r="L35" i="123"/>
  <c r="M268" i="123"/>
  <c r="M238" i="123"/>
  <c r="M285" i="123"/>
  <c r="M467" i="123"/>
  <c r="G489" i="123"/>
  <c r="I450" i="123"/>
  <c r="G503" i="123"/>
  <c r="I503" i="123"/>
  <c r="I430" i="123"/>
  <c r="H247" i="123"/>
  <c r="L222" i="123"/>
  <c r="I218" i="123"/>
  <c r="F430" i="123"/>
  <c r="M535" i="123"/>
  <c r="G439" i="123"/>
  <c r="M27" i="123"/>
  <c r="M215" i="123"/>
  <c r="M39" i="123"/>
  <c r="M277" i="123"/>
  <c r="L238" i="123"/>
  <c r="M270" i="123"/>
  <c r="M284" i="123"/>
  <c r="M266" i="123"/>
  <c r="M227" i="123"/>
  <c r="F211" i="123"/>
  <c r="G273" i="123"/>
  <c r="E261" i="123"/>
  <c r="I214" i="123"/>
  <c r="I9" i="123"/>
  <c r="I250" i="123"/>
  <c r="H35" i="123"/>
  <c r="H214" i="123"/>
  <c r="F30" i="123"/>
  <c r="G28" i="123"/>
  <c r="F250" i="123"/>
  <c r="G224" i="123"/>
  <c r="E47" i="123"/>
  <c r="H233" i="123"/>
  <c r="L223" i="123"/>
  <c r="L46" i="123"/>
  <c r="I257" i="123"/>
  <c r="E275" i="123"/>
  <c r="E211" i="123"/>
  <c r="I244" i="123"/>
  <c r="E250" i="123"/>
  <c r="I239" i="123"/>
  <c r="H28" i="123"/>
  <c r="I233" i="123"/>
  <c r="E224" i="123"/>
  <c r="L47" i="123"/>
  <c r="E15" i="123"/>
  <c r="H262" i="123"/>
  <c r="F229" i="123"/>
  <c r="H216" i="123"/>
  <c r="F271" i="123"/>
  <c r="L258" i="123"/>
  <c r="F223" i="123"/>
  <c r="G46" i="123"/>
  <c r="L271" i="123"/>
  <c r="L28" i="123"/>
  <c r="M31" i="123"/>
  <c r="M234" i="123"/>
  <c r="G257" i="123"/>
  <c r="E28" i="123"/>
  <c r="H275" i="123"/>
  <c r="E273" i="123"/>
  <c r="E239" i="123"/>
  <c r="F224" i="123"/>
  <c r="I46" i="123"/>
  <c r="G239" i="123"/>
  <c r="G233" i="123"/>
  <c r="E35" i="123"/>
  <c r="I245" i="123"/>
  <c r="F261" i="123"/>
  <c r="G244" i="123"/>
  <c r="G218" i="123"/>
  <c r="L15" i="123"/>
  <c r="E534" i="123"/>
  <c r="F424" i="123"/>
  <c r="L235" i="123"/>
  <c r="F489" i="123"/>
  <c r="F270" i="123"/>
  <c r="G8" i="123"/>
  <c r="E229" i="123"/>
  <c r="I222" i="123"/>
  <c r="E245" i="123"/>
  <c r="F247" i="123"/>
  <c r="E212" i="123"/>
  <c r="G34" i="123"/>
  <c r="G266" i="123"/>
  <c r="G226" i="123"/>
  <c r="H223" i="123"/>
  <c r="I8" i="123"/>
  <c r="H264" i="123"/>
  <c r="G538" i="123"/>
  <c r="I226" i="123"/>
  <c r="G441" i="123"/>
  <c r="G474" i="123"/>
  <c r="G544" i="123"/>
  <c r="G513" i="123"/>
  <c r="E271" i="123"/>
  <c r="E46" i="123"/>
  <c r="L557" i="123"/>
  <c r="L489" i="123"/>
  <c r="H32" i="123"/>
  <c r="G554" i="123"/>
  <c r="G453" i="123"/>
  <c r="F534" i="123"/>
  <c r="F557" i="123"/>
  <c r="E424" i="123"/>
  <c r="E489" i="123"/>
  <c r="E509" i="123"/>
  <c r="E574" i="123"/>
  <c r="F509" i="123"/>
  <c r="F574" i="123"/>
  <c r="G228" i="123"/>
  <c r="F503" i="123"/>
  <c r="F518" i="123"/>
  <c r="F571" i="123"/>
  <c r="F443" i="123"/>
  <c r="F558" i="123"/>
  <c r="F212" i="123"/>
  <c r="G15" i="123"/>
  <c r="G424" i="123"/>
  <c r="G465" i="123"/>
  <c r="G574" i="123"/>
  <c r="G518" i="123"/>
  <c r="G443" i="123"/>
  <c r="F266" i="123"/>
  <c r="G222" i="123"/>
  <c r="F245" i="123"/>
  <c r="L261" i="123"/>
  <c r="G450" i="123"/>
  <c r="G438" i="123"/>
  <c r="I235" i="123"/>
  <c r="L212" i="123"/>
  <c r="G456" i="123"/>
  <c r="H250" i="123"/>
  <c r="I47" i="123"/>
  <c r="H258" i="123"/>
  <c r="H229" i="123"/>
  <c r="H61" i="123"/>
  <c r="F61" i="123"/>
  <c r="G575" i="123"/>
  <c r="G514" i="123"/>
  <c r="G562" i="123"/>
  <c r="H245" i="123"/>
  <c r="G534" i="123"/>
  <c r="G509" i="123"/>
  <c r="G542" i="123"/>
  <c r="G571" i="123"/>
  <c r="G558" i="123"/>
  <c r="G557" i="123"/>
  <c r="G476" i="123"/>
  <c r="G492" i="123"/>
  <c r="G531" i="123"/>
  <c r="I30" i="123"/>
  <c r="G586" i="123"/>
  <c r="L424" i="123"/>
  <c r="L509" i="123"/>
  <c r="F226" i="123"/>
  <c r="L574" i="123"/>
  <c r="L456" i="123"/>
  <c r="L492" i="123"/>
  <c r="L518" i="123"/>
  <c r="L531" i="123"/>
  <c r="L571" i="123"/>
  <c r="L443" i="123"/>
  <c r="L558" i="123"/>
  <c r="G247" i="123"/>
  <c r="I247" i="123"/>
  <c r="E34" i="123"/>
  <c r="L438" i="123"/>
  <c r="I34" i="123"/>
  <c r="H8" i="123"/>
  <c r="L534" i="123"/>
  <c r="F252" i="123"/>
  <c r="L465" i="123"/>
  <c r="L575" i="123"/>
  <c r="I228" i="123"/>
  <c r="L542" i="123"/>
  <c r="L514" i="123"/>
  <c r="G466" i="123"/>
  <c r="G483" i="123"/>
  <c r="G212" i="123"/>
  <c r="H270" i="123"/>
  <c r="L23" i="123"/>
  <c r="F235" i="123"/>
  <c r="L538" i="123"/>
  <c r="F584" i="123"/>
  <c r="L264" i="123"/>
  <c r="H221" i="123"/>
  <c r="L476" i="123"/>
  <c r="I31" i="123"/>
  <c r="E61" i="123"/>
  <c r="M269" i="123"/>
  <c r="M47" i="123"/>
  <c r="M249" i="123"/>
  <c r="E465" i="123"/>
  <c r="E575" i="123"/>
  <c r="F492" i="123"/>
  <c r="E542" i="123"/>
  <c r="E538" i="123"/>
  <c r="F465" i="123"/>
  <c r="F575" i="123"/>
  <c r="E456" i="123"/>
  <c r="F542" i="123"/>
  <c r="E513" i="123"/>
  <c r="G264" i="123"/>
  <c r="F476" i="123"/>
  <c r="E492" i="123"/>
  <c r="E518" i="123"/>
  <c r="E531" i="123"/>
  <c r="E571" i="123"/>
  <c r="E443" i="123"/>
  <c r="E558" i="123"/>
  <c r="F439" i="123"/>
  <c r="F262" i="123"/>
  <c r="F538" i="123"/>
  <c r="F438" i="123"/>
  <c r="E438" i="123"/>
  <c r="F513" i="123"/>
  <c r="E439" i="123"/>
  <c r="F441" i="123"/>
  <c r="G31" i="123"/>
  <c r="E557" i="123"/>
  <c r="E450" i="123"/>
  <c r="F239" i="123"/>
  <c r="H47" i="123"/>
  <c r="I258" i="123"/>
  <c r="G223" i="123"/>
  <c r="L226" i="123"/>
  <c r="L275" i="123"/>
  <c r="E214" i="123"/>
  <c r="L30" i="123"/>
  <c r="L34" i="123"/>
  <c r="E233" i="123"/>
  <c r="I252" i="123"/>
  <c r="I15" i="123"/>
  <c r="I262" i="123"/>
  <c r="E8" i="123"/>
  <c r="F257" i="123"/>
  <c r="L252" i="123"/>
  <c r="F228" i="123"/>
  <c r="F46" i="123"/>
  <c r="F222" i="123"/>
  <c r="F244" i="123"/>
  <c r="E9" i="123"/>
  <c r="L257" i="123"/>
  <c r="H238" i="123"/>
  <c r="L244" i="123"/>
  <c r="F34" i="123"/>
  <c r="L584" i="123"/>
  <c r="L450" i="123"/>
  <c r="I211" i="123"/>
  <c r="L273" i="123"/>
  <c r="L31" i="123"/>
  <c r="H46" i="123"/>
  <c r="I270" i="123"/>
  <c r="E238" i="123"/>
  <c r="I229" i="123"/>
  <c r="E276" i="123"/>
  <c r="I35" i="123"/>
  <c r="M426" i="123"/>
  <c r="M507" i="123"/>
  <c r="M252" i="123"/>
  <c r="M465" i="123"/>
  <c r="M553" i="123"/>
  <c r="M566" i="123"/>
  <c r="M435" i="123"/>
  <c r="M442" i="123"/>
  <c r="M485" i="123"/>
  <c r="E514" i="123"/>
  <c r="L239" i="123"/>
  <c r="F586" i="123"/>
  <c r="F562" i="123"/>
  <c r="F258" i="123"/>
  <c r="L270" i="123"/>
  <c r="I223" i="123"/>
  <c r="G30" i="123"/>
  <c r="G275" i="123"/>
  <c r="I261" i="123"/>
  <c r="F514" i="123"/>
  <c r="H224" i="123"/>
  <c r="F47" i="123"/>
  <c r="E584" i="123"/>
  <c r="F585" i="123"/>
  <c r="F487" i="123"/>
  <c r="F481" i="123"/>
  <c r="F451" i="123"/>
  <c r="F216" i="123"/>
  <c r="M29" i="123"/>
  <c r="E31" i="123"/>
  <c r="M240" i="123"/>
  <c r="G250" i="123"/>
  <c r="F453" i="123"/>
  <c r="E481" i="123"/>
  <c r="E483" i="123"/>
  <c r="F25" i="123"/>
  <c r="M260" i="123"/>
  <c r="M462" i="123"/>
  <c r="L9" i="123"/>
  <c r="M226" i="123"/>
  <c r="G9" i="123"/>
  <c r="H239" i="123"/>
  <c r="L214" i="123"/>
  <c r="M43" i="123"/>
  <c r="M214" i="123"/>
  <c r="M37" i="123"/>
  <c r="F474" i="123"/>
  <c r="F544" i="123"/>
  <c r="E562" i="123"/>
  <c r="L503" i="123"/>
  <c r="L513" i="123"/>
  <c r="E430" i="123"/>
  <c r="F273" i="123"/>
  <c r="F31" i="123"/>
  <c r="M35" i="123"/>
  <c r="E487" i="123"/>
  <c r="F466" i="123"/>
  <c r="G485" i="123"/>
  <c r="F433" i="123"/>
  <c r="E269" i="123"/>
  <c r="G45" i="123"/>
  <c r="L25" i="123"/>
  <c r="M15" i="123"/>
  <c r="M218" i="123"/>
  <c r="G583" i="123"/>
  <c r="G422" i="123"/>
  <c r="M251" i="123"/>
  <c r="H276" i="123"/>
  <c r="M276" i="123"/>
  <c r="M259" i="123"/>
  <c r="E221" i="123"/>
  <c r="L453" i="123"/>
  <c r="F569" i="123"/>
  <c r="E583" i="123"/>
  <c r="F45" i="123"/>
  <c r="L441" i="123"/>
  <c r="L474" i="123"/>
  <c r="F581" i="123"/>
  <c r="E505" i="123"/>
  <c r="F468" i="123"/>
  <c r="G502" i="123"/>
  <c r="F490" i="123"/>
  <c r="E500" i="123"/>
  <c r="G552" i="123"/>
  <c r="L26" i="123"/>
  <c r="E441" i="123"/>
  <c r="E474" i="123"/>
  <c r="F32" i="123"/>
  <c r="I51" i="123"/>
  <c r="E453" i="123"/>
  <c r="G433" i="123"/>
  <c r="G569" i="123"/>
  <c r="M256" i="123"/>
  <c r="M8" i="123"/>
  <c r="M267" i="123"/>
  <c r="L564" i="123"/>
  <c r="G37" i="123"/>
  <c r="L588" i="123"/>
  <c r="F475" i="123"/>
  <c r="E435" i="123"/>
  <c r="E452" i="123"/>
  <c r="L452" i="123"/>
  <c r="E543" i="123"/>
  <c r="G442" i="123"/>
  <c r="F467" i="123"/>
  <c r="E521" i="123"/>
  <c r="F437" i="123"/>
  <c r="L522" i="123"/>
  <c r="E517" i="123"/>
  <c r="E530" i="123"/>
  <c r="L572" i="123"/>
  <c r="L528" i="123"/>
  <c r="L425" i="123"/>
  <c r="E504" i="123"/>
  <c r="E459" i="123"/>
  <c r="E473" i="123"/>
  <c r="L454" i="123"/>
  <c r="F428" i="123"/>
  <c r="L493" i="123"/>
  <c r="F532" i="123"/>
  <c r="L285" i="123"/>
  <c r="F491" i="123"/>
  <c r="F506" i="123"/>
  <c r="F444" i="123"/>
  <c r="H45" i="123"/>
  <c r="H236" i="123"/>
  <c r="E50" i="123"/>
  <c r="E41" i="123"/>
  <c r="G41" i="123"/>
  <c r="L230" i="123"/>
  <c r="E27" i="123"/>
  <c r="G263" i="123"/>
  <c r="L277" i="123"/>
  <c r="E260" i="123"/>
  <c r="L439" i="123"/>
  <c r="E544" i="123"/>
  <c r="H51" i="123"/>
  <c r="I32" i="123"/>
  <c r="L487" i="123"/>
  <c r="H272" i="123"/>
  <c r="L586" i="123"/>
  <c r="M245" i="123"/>
  <c r="M237" i="123"/>
  <c r="L544" i="123"/>
  <c r="L554" i="123"/>
  <c r="L481" i="123"/>
  <c r="E466" i="123"/>
  <c r="L466" i="123"/>
  <c r="F485" i="123"/>
  <c r="G581" i="123"/>
  <c r="G477" i="123"/>
  <c r="G468" i="123"/>
  <c r="G490" i="123"/>
  <c r="M23" i="123"/>
  <c r="M223" i="123"/>
  <c r="H252" i="123"/>
  <c r="H476" i="123"/>
  <c r="H586" i="123"/>
  <c r="H451" i="123"/>
  <c r="H433" i="123"/>
  <c r="H468" i="123"/>
  <c r="H490" i="123"/>
  <c r="F233" i="123"/>
  <c r="H442" i="123"/>
  <c r="I255" i="123"/>
  <c r="H222" i="123"/>
  <c r="F282" i="123"/>
  <c r="E219" i="123"/>
  <c r="H478" i="123"/>
  <c r="H532" i="123"/>
  <c r="G285" i="123"/>
  <c r="F249" i="123"/>
  <c r="G515" i="123"/>
  <c r="G423" i="123"/>
  <c r="H533" i="123"/>
  <c r="G549" i="123"/>
  <c r="G526" i="123"/>
  <c r="H220" i="123"/>
  <c r="F220" i="123"/>
  <c r="H520" i="123"/>
  <c r="H516" i="123"/>
  <c r="F536" i="123"/>
  <c r="G486" i="123"/>
  <c r="F429" i="123"/>
  <c r="L427" i="123"/>
  <c r="H494" i="123"/>
  <c r="F494" i="123"/>
  <c r="H582" i="123"/>
  <c r="F582" i="123"/>
  <c r="G525" i="123"/>
  <c r="H538" i="123"/>
  <c r="H228" i="123"/>
  <c r="L250" i="123"/>
  <c r="G584" i="123"/>
  <c r="G585" i="123"/>
  <c r="G481" i="123"/>
  <c r="H534" i="123"/>
  <c r="E257" i="123"/>
  <c r="H489" i="123"/>
  <c r="E228" i="123"/>
  <c r="H266" i="123"/>
  <c r="G271" i="123"/>
  <c r="H235" i="123"/>
  <c r="G47" i="123"/>
  <c r="H562" i="123"/>
  <c r="H424" i="123"/>
  <c r="H509" i="123"/>
  <c r="H574" i="123"/>
  <c r="F214" i="123"/>
  <c r="H492" i="123"/>
  <c r="H518" i="123"/>
  <c r="H531" i="123"/>
  <c r="H571" i="123"/>
  <c r="H443" i="123"/>
  <c r="H558" i="123"/>
  <c r="H30" i="123"/>
  <c r="H584" i="123"/>
  <c r="L211" i="123"/>
  <c r="G430" i="123"/>
  <c r="H226" i="123"/>
  <c r="H438" i="123"/>
  <c r="H456" i="123"/>
  <c r="H513" i="123"/>
  <c r="H439" i="123"/>
  <c r="L269" i="123"/>
  <c r="F221" i="123"/>
  <c r="H15" i="123"/>
  <c r="H450" i="123"/>
  <c r="H503" i="123"/>
  <c r="I273" i="123"/>
  <c r="H557" i="123"/>
  <c r="F9" i="123"/>
  <c r="I275" i="123"/>
  <c r="H585" i="123"/>
  <c r="H483" i="123"/>
  <c r="H422" i="123"/>
  <c r="G588" i="123"/>
  <c r="G500" i="123"/>
  <c r="H212" i="123"/>
  <c r="F15" i="123"/>
  <c r="E223" i="123"/>
  <c r="L570" i="123"/>
  <c r="F278" i="123"/>
  <c r="I264" i="123"/>
  <c r="L42" i="123"/>
  <c r="L547" i="123"/>
  <c r="L461" i="123"/>
  <c r="F499" i="123"/>
  <c r="I5" i="123"/>
  <c r="E60" i="123"/>
  <c r="E561" i="123"/>
  <c r="G524" i="123"/>
  <c r="F524" i="123"/>
  <c r="G43" i="123"/>
  <c r="E553" i="123"/>
  <c r="G573" i="123"/>
  <c r="L36" i="123"/>
  <c r="E498" i="123"/>
  <c r="L529" i="123"/>
  <c r="E259" i="123"/>
  <c r="H460" i="123"/>
  <c r="E548" i="123"/>
  <c r="E33" i="123"/>
  <c r="L455" i="123"/>
  <c r="H565" i="123"/>
  <c r="F565" i="123"/>
  <c r="E576" i="123"/>
  <c r="L566" i="123"/>
  <c r="F566" i="123"/>
  <c r="H480" i="123"/>
  <c r="F556" i="123"/>
  <c r="H578" i="123"/>
  <c r="G277" i="123"/>
  <c r="E471" i="123"/>
  <c r="L539" i="123"/>
  <c r="G523" i="123"/>
  <c r="E237" i="123"/>
  <c r="G535" i="123"/>
  <c r="F512" i="123"/>
  <c r="F457" i="123"/>
  <c r="F519" i="123"/>
  <c r="H577" i="123"/>
  <c r="F462" i="123"/>
  <c r="I254" i="123"/>
  <c r="F567" i="123"/>
  <c r="G580" i="123"/>
  <c r="F436" i="123"/>
  <c r="G426" i="123"/>
  <c r="H225" i="123"/>
  <c r="G579" i="123"/>
  <c r="G545" i="123"/>
  <c r="L248" i="123"/>
  <c r="F240" i="123"/>
  <c r="L246" i="123"/>
  <c r="H256" i="123"/>
  <c r="M481" i="123"/>
  <c r="M497" i="123"/>
  <c r="M490" i="123"/>
  <c r="M434" i="123"/>
  <c r="M540" i="123"/>
  <c r="M551" i="123"/>
  <c r="M431" i="123"/>
  <c r="M476" i="123"/>
  <c r="M498" i="123"/>
  <c r="M478" i="123"/>
  <c r="M544" i="123"/>
  <c r="M543" i="123"/>
  <c r="M521" i="123"/>
  <c r="M463" i="123"/>
  <c r="M505" i="123"/>
  <c r="M567" i="123"/>
  <c r="M26" i="123"/>
  <c r="M554" i="123"/>
  <c r="M9" i="123"/>
  <c r="M561" i="123"/>
  <c r="M571" i="123"/>
  <c r="M559" i="123"/>
  <c r="M271" i="123"/>
  <c r="M216" i="123"/>
  <c r="M440" i="123"/>
  <c r="M451" i="123"/>
  <c r="M221" i="123"/>
  <c r="M574" i="123"/>
  <c r="M244" i="123"/>
  <c r="M474" i="123"/>
  <c r="M44" i="123"/>
  <c r="E262" i="123"/>
  <c r="H244" i="123"/>
  <c r="L229" i="123"/>
  <c r="L61" i="123"/>
  <c r="G23" i="123"/>
  <c r="E216" i="123"/>
  <c r="L245" i="123"/>
  <c r="M523" i="123"/>
  <c r="M220" i="123"/>
  <c r="M477" i="123"/>
  <c r="M469" i="123"/>
  <c r="M525" i="123"/>
  <c r="M480" i="123"/>
  <c r="M282" i="123"/>
  <c r="I238" i="123"/>
  <c r="I61" i="123"/>
  <c r="F28" i="123"/>
  <c r="I276" i="123"/>
  <c r="F23" i="123"/>
  <c r="M495" i="123"/>
  <c r="M524" i="123"/>
  <c r="M443" i="123"/>
  <c r="M565" i="123"/>
  <c r="M564" i="123"/>
  <c r="M570" i="123"/>
  <c r="M460" i="123"/>
  <c r="M487" i="123"/>
  <c r="M457" i="123"/>
  <c r="M502" i="123"/>
  <c r="M541" i="123"/>
  <c r="M36" i="123"/>
  <c r="M248" i="123"/>
  <c r="H34" i="123"/>
  <c r="F8" i="123"/>
  <c r="L7" i="123"/>
  <c r="E264" i="123"/>
  <c r="F43" i="123"/>
  <c r="M569" i="123"/>
  <c r="M470" i="123"/>
  <c r="M475" i="123"/>
  <c r="M556" i="123"/>
  <c r="M547" i="123"/>
  <c r="M539" i="123"/>
  <c r="M526" i="123"/>
  <c r="M461" i="123"/>
  <c r="M33" i="123"/>
  <c r="M509" i="123"/>
  <c r="M261" i="123"/>
  <c r="M483" i="123"/>
  <c r="M560" i="123"/>
  <c r="M258" i="123"/>
  <c r="I489" i="123"/>
  <c r="F275" i="123"/>
  <c r="I492" i="123"/>
  <c r="L51" i="123"/>
  <c r="G51" i="123"/>
  <c r="G32" i="123"/>
  <c r="I586" i="123"/>
  <c r="I562" i="123"/>
  <c r="H487" i="123"/>
  <c r="I466" i="123"/>
  <c r="L485" i="123"/>
  <c r="I433" i="123"/>
  <c r="I569" i="123"/>
  <c r="H269" i="123"/>
  <c r="E422" i="123"/>
  <c r="I581" i="123"/>
  <c r="H505" i="123"/>
  <c r="L477" i="123"/>
  <c r="F564" i="123"/>
  <c r="I468" i="123"/>
  <c r="L37" i="123"/>
  <c r="L502" i="123"/>
  <c r="I490" i="123"/>
  <c r="H500" i="123"/>
  <c r="I475" i="123"/>
  <c r="L552" i="123"/>
  <c r="H435" i="123"/>
  <c r="G452" i="123"/>
  <c r="F543" i="123"/>
  <c r="H543" i="123"/>
  <c r="G555" i="123"/>
  <c r="E442" i="123"/>
  <c r="I467" i="123"/>
  <c r="H521" i="123"/>
  <c r="I546" i="123"/>
  <c r="I283" i="123"/>
  <c r="I559" i="123"/>
  <c r="H265" i="123"/>
  <c r="G236" i="123"/>
  <c r="G50" i="123"/>
  <c r="I432" i="123"/>
  <c r="I482" i="123"/>
  <c r="I573" i="123"/>
  <c r="I551" i="123"/>
  <c r="I458" i="123"/>
  <c r="F272" i="123"/>
  <c r="L253" i="123"/>
  <c r="I471" i="123"/>
  <c r="I447" i="123"/>
  <c r="I497" i="123"/>
  <c r="H537" i="123"/>
  <c r="H567" i="123"/>
  <c r="H436" i="123"/>
  <c r="F225" i="123"/>
  <c r="E469" i="123"/>
  <c r="E268" i="123"/>
  <c r="F40" i="123"/>
  <c r="H541" i="123"/>
  <c r="F541" i="123"/>
  <c r="G434" i="123"/>
  <c r="F496" i="123"/>
  <c r="L508" i="123"/>
  <c r="E540" i="123"/>
  <c r="I543" i="123"/>
  <c r="E252" i="123"/>
  <c r="I438" i="123"/>
  <c r="I531" i="123"/>
  <c r="H441" i="123"/>
  <c r="H474" i="123"/>
  <c r="H544" i="123"/>
  <c r="H554" i="123"/>
  <c r="E451" i="123"/>
  <c r="E433" i="123"/>
  <c r="I483" i="123"/>
  <c r="L569" i="123"/>
  <c r="L510" i="123"/>
  <c r="I422" i="123"/>
  <c r="L221" i="123"/>
  <c r="L581" i="123"/>
  <c r="H477" i="123"/>
  <c r="G564" i="123"/>
  <c r="E468" i="123"/>
  <c r="L231" i="123"/>
  <c r="I37" i="123"/>
  <c r="F440" i="123"/>
  <c r="L440" i="123"/>
  <c r="I502" i="123"/>
  <c r="E490" i="123"/>
  <c r="E247" i="123"/>
  <c r="G258" i="123"/>
  <c r="G475" i="123"/>
  <c r="L475" i="123"/>
  <c r="F479" i="123"/>
  <c r="I213" i="123"/>
  <c r="H555" i="123"/>
  <c r="I479" i="123"/>
  <c r="I550" i="123"/>
  <c r="I526" i="123"/>
  <c r="I465" i="123"/>
  <c r="I575" i="123"/>
  <c r="I456" i="123"/>
  <c r="I542" i="123"/>
  <c r="I513" i="123"/>
  <c r="I514" i="123"/>
  <c r="E51" i="123"/>
  <c r="E32" i="123"/>
  <c r="L430" i="123"/>
  <c r="L562" i="123"/>
  <c r="H273" i="123"/>
  <c r="E554" i="123"/>
  <c r="H453" i="123"/>
  <c r="E585" i="123"/>
  <c r="G487" i="123"/>
  <c r="G451" i="123"/>
  <c r="H485" i="123"/>
  <c r="F483" i="123"/>
  <c r="G269" i="123"/>
  <c r="G510" i="123"/>
  <c r="F422" i="123"/>
  <c r="G221" i="123"/>
  <c r="G505" i="123"/>
  <c r="F477" i="123"/>
  <c r="G231" i="123"/>
  <c r="F37" i="123"/>
  <c r="H37" i="123"/>
  <c r="F502" i="123"/>
  <c r="H502" i="123"/>
  <c r="F588" i="123"/>
  <c r="I500" i="123"/>
  <c r="G243" i="123"/>
  <c r="H552" i="123"/>
  <c r="L479" i="123"/>
  <c r="I435" i="123"/>
  <c r="I452" i="123"/>
  <c r="L213" i="123"/>
  <c r="I534" i="123"/>
  <c r="I557" i="123"/>
  <c r="I476" i="123"/>
  <c r="I439" i="123"/>
  <c r="I585" i="123"/>
  <c r="I487" i="123"/>
  <c r="I481" i="123"/>
  <c r="I451" i="123"/>
  <c r="H466" i="123"/>
  <c r="E485" i="123"/>
  <c r="E235" i="123"/>
  <c r="L483" i="123"/>
  <c r="L583" i="123"/>
  <c r="I583" i="123"/>
  <c r="F269" i="123"/>
  <c r="I510" i="123"/>
  <c r="L422" i="123"/>
  <c r="I221" i="123"/>
  <c r="I505" i="123"/>
  <c r="H564" i="123"/>
  <c r="I231" i="123"/>
  <c r="E37" i="123"/>
  <c r="E502" i="123"/>
  <c r="I588" i="123"/>
  <c r="F500" i="123"/>
  <c r="I243" i="123"/>
  <c r="E552" i="123"/>
  <c r="G479" i="123"/>
  <c r="F435" i="123"/>
  <c r="G213" i="123"/>
  <c r="G543" i="123"/>
  <c r="L442" i="123"/>
  <c r="I442" i="123"/>
  <c r="I538" i="123"/>
  <c r="E30" i="123"/>
  <c r="I441" i="123"/>
  <c r="I474" i="123"/>
  <c r="I544" i="123"/>
  <c r="I554" i="123"/>
  <c r="I224" i="123"/>
  <c r="H569" i="123"/>
  <c r="F583" i="123"/>
  <c r="I269" i="123"/>
  <c r="H510" i="123"/>
  <c r="F510" i="123"/>
  <c r="H581" i="123"/>
  <c r="L505" i="123"/>
  <c r="F505" i="123"/>
  <c r="E477" i="123"/>
  <c r="E564" i="123"/>
  <c r="H231" i="123"/>
  <c r="F231" i="123"/>
  <c r="H440" i="123"/>
  <c r="E588" i="123"/>
  <c r="L500" i="123"/>
  <c r="F243" i="123"/>
  <c r="H31" i="123"/>
  <c r="H475" i="123"/>
  <c r="L435" i="123"/>
  <c r="L543" i="123"/>
  <c r="I555" i="123"/>
  <c r="F442" i="123"/>
  <c r="H467" i="123"/>
  <c r="L521" i="123"/>
  <c r="F51" i="123"/>
  <c r="G211" i="123"/>
  <c r="H430" i="123"/>
  <c r="F554" i="123"/>
  <c r="I453" i="123"/>
  <c r="L585" i="123"/>
  <c r="H481" i="123"/>
  <c r="L451" i="123"/>
  <c r="I485" i="123"/>
  <c r="L433" i="123"/>
  <c r="G235" i="123"/>
  <c r="E569" i="123"/>
  <c r="H583" i="123"/>
  <c r="E510" i="123"/>
  <c r="E581" i="123"/>
  <c r="L468" i="123"/>
  <c r="E231" i="123"/>
  <c r="G440" i="123"/>
  <c r="I440" i="123"/>
  <c r="E440" i="123"/>
  <c r="L490" i="123"/>
  <c r="H588" i="123"/>
  <c r="L233" i="123"/>
  <c r="E258" i="123"/>
  <c r="E475" i="123"/>
  <c r="I552" i="123"/>
  <c r="H479" i="123"/>
  <c r="G435" i="123"/>
  <c r="H452" i="123"/>
  <c r="F213" i="123"/>
  <c r="H213" i="123"/>
  <c r="I424" i="123"/>
  <c r="I509" i="123"/>
  <c r="E226" i="123"/>
  <c r="I574" i="123"/>
  <c r="I518" i="123"/>
  <c r="I571" i="123"/>
  <c r="I443" i="123"/>
  <c r="I558" i="123"/>
  <c r="I584" i="123"/>
  <c r="L32" i="123"/>
  <c r="I477" i="123"/>
  <c r="I564" i="123"/>
  <c r="F552" i="123"/>
  <c r="I212" i="123"/>
  <c r="E479" i="123"/>
  <c r="F452" i="123"/>
  <c r="E213" i="123"/>
  <c r="L555" i="123"/>
  <c r="E255" i="123"/>
  <c r="H437" i="123"/>
  <c r="G437" i="123"/>
  <c r="I522" i="123"/>
  <c r="L431" i="123"/>
  <c r="F517" i="123"/>
  <c r="H517" i="123"/>
  <c r="I572" i="123"/>
  <c r="I528" i="123"/>
  <c r="I425" i="123"/>
  <c r="F501" i="123"/>
  <c r="F38" i="123"/>
  <c r="G546" i="123"/>
  <c r="F459" i="123"/>
  <c r="I437" i="123"/>
  <c r="F522" i="123"/>
  <c r="G431" i="123"/>
  <c r="H530" i="123"/>
  <c r="E222" i="123"/>
  <c r="F572" i="123"/>
  <c r="F528" i="123"/>
  <c r="F425" i="123"/>
  <c r="L501" i="123"/>
  <c r="L38" i="123"/>
  <c r="H504" i="123"/>
  <c r="I282" i="123"/>
  <c r="H219" i="123"/>
  <c r="I459" i="123"/>
  <c r="G459" i="123"/>
  <c r="L472" i="123"/>
  <c r="F550" i="123"/>
  <c r="H473" i="123"/>
  <c r="F454" i="123"/>
  <c r="L484" i="123"/>
  <c r="L8" i="123"/>
  <c r="I428" i="123"/>
  <c r="F493" i="123"/>
  <c r="G532" i="123"/>
  <c r="I532" i="123"/>
  <c r="I281" i="123"/>
  <c r="I249" i="123"/>
  <c r="I491" i="123"/>
  <c r="L515" i="123"/>
  <c r="E241" i="123"/>
  <c r="E495" i="123"/>
  <c r="L423" i="123"/>
  <c r="I506" i="123"/>
  <c r="E283" i="123"/>
  <c r="L549" i="123"/>
  <c r="I444" i="123"/>
  <c r="F526" i="123"/>
  <c r="I220" i="123"/>
  <c r="G559" i="123"/>
  <c r="O559" i="123" s="1"/>
  <c r="H563" i="123"/>
  <c r="E449" i="123"/>
  <c r="E560" i="123"/>
  <c r="G470" i="123"/>
  <c r="I536" i="123"/>
  <c r="G7" i="123"/>
  <c r="L486" i="123"/>
  <c r="I429" i="123"/>
  <c r="H251" i="123"/>
  <c r="G251" i="123"/>
  <c r="F427" i="123"/>
  <c r="I494" i="123"/>
  <c r="E507" i="123"/>
  <c r="I582" i="123"/>
  <c r="F570" i="123"/>
  <c r="H50" i="123"/>
  <c r="I278" i="123"/>
  <c r="F42" i="123"/>
  <c r="E432" i="123"/>
  <c r="F547" i="123"/>
  <c r="F461" i="123"/>
  <c r="E499" i="123"/>
  <c r="I499" i="123"/>
  <c r="H60" i="123"/>
  <c r="F230" i="123"/>
  <c r="H561" i="123"/>
  <c r="I524" i="123"/>
  <c r="L43" i="123"/>
  <c r="G445" i="123"/>
  <c r="H553" i="123"/>
  <c r="G568" i="123"/>
  <c r="F36" i="123"/>
  <c r="H498" i="123"/>
  <c r="G511" i="123"/>
  <c r="E448" i="123"/>
  <c r="G232" i="123"/>
  <c r="H259" i="123"/>
  <c r="H548" i="123"/>
  <c r="G464" i="123"/>
  <c r="H33" i="123"/>
  <c r="F455" i="123"/>
  <c r="H27" i="123"/>
  <c r="I565" i="123"/>
  <c r="H576" i="123"/>
  <c r="L263" i="123"/>
  <c r="I566" i="123"/>
  <c r="F255" i="123"/>
  <c r="G467" i="123"/>
  <c r="L467" i="123"/>
  <c r="H431" i="123"/>
  <c r="L517" i="123"/>
  <c r="G530" i="123"/>
  <c r="G572" i="123"/>
  <c r="G501" i="123"/>
  <c r="H38" i="123"/>
  <c r="G504" i="123"/>
  <c r="G219" i="123"/>
  <c r="F546" i="123"/>
  <c r="H459" i="123"/>
  <c r="E472" i="123"/>
  <c r="E550" i="123"/>
  <c r="G454" i="123"/>
  <c r="E484" i="123"/>
  <c r="F284" i="123"/>
  <c r="L428" i="123"/>
  <c r="E285" i="123"/>
  <c r="F276" i="123"/>
  <c r="G276" i="123"/>
  <c r="I267" i="123"/>
  <c r="F527" i="123"/>
  <c r="H527" i="123"/>
  <c r="L249" i="123"/>
  <c r="L491" i="123"/>
  <c r="I241" i="123"/>
  <c r="L463" i="123"/>
  <c r="I495" i="123"/>
  <c r="L506" i="123"/>
  <c r="E533" i="123"/>
  <c r="G283" i="123"/>
  <c r="I549" i="123"/>
  <c r="L444" i="123"/>
  <c r="H526" i="123"/>
  <c r="E526" i="123"/>
  <c r="E220" i="123"/>
  <c r="F559" i="123"/>
  <c r="G563" i="123"/>
  <c r="L563" i="123"/>
  <c r="E265" i="123"/>
  <c r="I449" i="123"/>
  <c r="E520" i="123"/>
  <c r="I560" i="123"/>
  <c r="E45" i="123"/>
  <c r="H470" i="123"/>
  <c r="E516" i="123"/>
  <c r="L536" i="123"/>
  <c r="E7" i="123"/>
  <c r="L429" i="123"/>
  <c r="F26" i="123"/>
  <c r="E494" i="123"/>
  <c r="I507" i="123"/>
  <c r="G44" i="123"/>
  <c r="F44" i="123"/>
  <c r="E582" i="123"/>
  <c r="L488" i="123"/>
  <c r="H278" i="123"/>
  <c r="F264" i="123"/>
  <c r="L432" i="123"/>
  <c r="F432" i="123"/>
  <c r="G547" i="123"/>
  <c r="F5" i="123"/>
  <c r="G60" i="123"/>
  <c r="G25" i="123"/>
  <c r="E524" i="123"/>
  <c r="H445" i="123"/>
  <c r="E555" i="123"/>
  <c r="L255" i="123"/>
  <c r="I521" i="123"/>
  <c r="E431" i="123"/>
  <c r="G517" i="123"/>
  <c r="I530" i="123"/>
  <c r="I501" i="123"/>
  <c r="G38" i="123"/>
  <c r="I504" i="123"/>
  <c r="H282" i="123"/>
  <c r="E244" i="123"/>
  <c r="I219" i="123"/>
  <c r="H472" i="123"/>
  <c r="G472" i="123"/>
  <c r="E478" i="123"/>
  <c r="G550" i="123"/>
  <c r="I473" i="123"/>
  <c r="H484" i="123"/>
  <c r="L284" i="123"/>
  <c r="G284" i="123"/>
  <c r="G493" i="123"/>
  <c r="H281" i="123"/>
  <c r="F281" i="123"/>
  <c r="G281" i="123"/>
  <c r="E267" i="123"/>
  <c r="E527" i="123"/>
  <c r="E249" i="123"/>
  <c r="H515" i="123"/>
  <c r="F241" i="123"/>
  <c r="G463" i="123"/>
  <c r="F495" i="123"/>
  <c r="H423" i="123"/>
  <c r="G533" i="123"/>
  <c r="F283" i="123"/>
  <c r="F549" i="123"/>
  <c r="H549" i="123"/>
  <c r="F449" i="123"/>
  <c r="G520" i="123"/>
  <c r="F560" i="123"/>
  <c r="I45" i="123"/>
  <c r="E470" i="123"/>
  <c r="G516" i="123"/>
  <c r="F7" i="123"/>
  <c r="H486" i="123"/>
  <c r="I26" i="123"/>
  <c r="E251" i="123"/>
  <c r="G61" i="123"/>
  <c r="F507" i="123"/>
  <c r="I525" i="123"/>
  <c r="I236" i="123"/>
  <c r="G488" i="123"/>
  <c r="I50" i="123"/>
  <c r="H41" i="123"/>
  <c r="G432" i="123"/>
  <c r="L5" i="123"/>
  <c r="I60" i="123"/>
  <c r="I561" i="123"/>
  <c r="L524" i="123"/>
  <c r="H43" i="123"/>
  <c r="E445" i="123"/>
  <c r="L482" i="123"/>
  <c r="I553" i="123"/>
  <c r="H573" i="123"/>
  <c r="E568" i="123"/>
  <c r="G498" i="123"/>
  <c r="H29" i="123"/>
  <c r="E511" i="123"/>
  <c r="L551" i="123"/>
  <c r="E232" i="123"/>
  <c r="E48" i="123"/>
  <c r="G255" i="123"/>
  <c r="F521" i="123"/>
  <c r="L437" i="123"/>
  <c r="H522" i="123"/>
  <c r="I517" i="123"/>
  <c r="F530" i="123"/>
  <c r="H572" i="123"/>
  <c r="H528" i="123"/>
  <c r="H425" i="123"/>
  <c r="E38" i="123"/>
  <c r="G245" i="123"/>
  <c r="F504" i="123"/>
  <c r="G282" i="123"/>
  <c r="I28" i="123"/>
  <c r="F219" i="123"/>
  <c r="E546" i="123"/>
  <c r="I472" i="123"/>
  <c r="G478" i="123"/>
  <c r="L550" i="123"/>
  <c r="F473" i="123"/>
  <c r="H454" i="123"/>
  <c r="I484" i="123"/>
  <c r="I284" i="123"/>
  <c r="H493" i="123"/>
  <c r="E532" i="123"/>
  <c r="L267" i="123"/>
  <c r="G267" i="123"/>
  <c r="E515" i="123"/>
  <c r="L241" i="123"/>
  <c r="I463" i="123"/>
  <c r="L495" i="123"/>
  <c r="E423" i="123"/>
  <c r="I533" i="123"/>
  <c r="L283" i="123"/>
  <c r="E549" i="123"/>
  <c r="E559" i="123"/>
  <c r="I265" i="123"/>
  <c r="L449" i="123"/>
  <c r="I520" i="123"/>
  <c r="L560" i="123"/>
  <c r="I516" i="123"/>
  <c r="H7" i="123"/>
  <c r="E486" i="123"/>
  <c r="E26" i="123"/>
  <c r="G26" i="123"/>
  <c r="H427" i="123"/>
  <c r="L507" i="123"/>
  <c r="H44" i="123"/>
  <c r="E44" i="123"/>
  <c r="E39" i="123"/>
  <c r="I39" i="123"/>
  <c r="E525" i="123"/>
  <c r="E236" i="123"/>
  <c r="F236" i="123"/>
  <c r="H570" i="123"/>
  <c r="I488" i="123"/>
  <c r="E278" i="123"/>
  <c r="H42" i="123"/>
  <c r="H547" i="123"/>
  <c r="H461" i="123"/>
  <c r="G5" i="123"/>
  <c r="F60" i="123"/>
  <c r="H230" i="123"/>
  <c r="H25" i="123"/>
  <c r="F561" i="123"/>
  <c r="E43" i="123"/>
  <c r="G482" i="123"/>
  <c r="F553" i="123"/>
  <c r="E573" i="123"/>
  <c r="H36" i="123"/>
  <c r="G29" i="123"/>
  <c r="I29" i="123"/>
  <c r="G529" i="123"/>
  <c r="E522" i="123"/>
  <c r="I431" i="123"/>
  <c r="L530" i="123"/>
  <c r="E572" i="123"/>
  <c r="E528" i="123"/>
  <c r="F238" i="123"/>
  <c r="E425" i="123"/>
  <c r="H501" i="123"/>
  <c r="L504" i="123"/>
  <c r="L282" i="123"/>
  <c r="L219" i="123"/>
  <c r="L546" i="123"/>
  <c r="F472" i="123"/>
  <c r="L473" i="123"/>
  <c r="E454" i="123"/>
  <c r="F484" i="123"/>
  <c r="H284" i="123"/>
  <c r="H428" i="123"/>
  <c r="E493" i="123"/>
  <c r="F285" i="123"/>
  <c r="F267" i="123"/>
  <c r="G527" i="123"/>
  <c r="H491" i="123"/>
  <c r="G241" i="123"/>
  <c r="H463" i="123"/>
  <c r="F463" i="123"/>
  <c r="G495" i="123"/>
  <c r="H506" i="123"/>
  <c r="F533" i="123"/>
  <c r="H444" i="123"/>
  <c r="I563" i="123"/>
  <c r="F265" i="123"/>
  <c r="G449" i="123"/>
  <c r="F520" i="123"/>
  <c r="G560" i="123"/>
  <c r="I470" i="123"/>
  <c r="F516" i="123"/>
  <c r="H536" i="123"/>
  <c r="H429" i="123"/>
  <c r="H26" i="123"/>
  <c r="E427" i="123"/>
  <c r="G507" i="123"/>
  <c r="L39" i="123"/>
  <c r="F39" i="123"/>
  <c r="H525" i="123"/>
  <c r="L236" i="123"/>
  <c r="E570" i="123"/>
  <c r="H488" i="123"/>
  <c r="F488" i="123"/>
  <c r="L50" i="123"/>
  <c r="L278" i="123"/>
  <c r="I41" i="123"/>
  <c r="E42" i="123"/>
  <c r="E547" i="123"/>
  <c r="E461" i="123"/>
  <c r="L60" i="123"/>
  <c r="E230" i="123"/>
  <c r="E25" i="123"/>
  <c r="L561" i="123"/>
  <c r="I445" i="123"/>
  <c r="L553" i="123"/>
  <c r="I568" i="123"/>
  <c r="E36" i="123"/>
  <c r="L498" i="123"/>
  <c r="E29" i="123"/>
  <c r="F29" i="123"/>
  <c r="I511" i="123"/>
  <c r="E529" i="123"/>
  <c r="G448" i="123"/>
  <c r="I232" i="123"/>
  <c r="F48" i="123"/>
  <c r="L259" i="123"/>
  <c r="F460" i="123"/>
  <c r="L548" i="123"/>
  <c r="H464" i="123"/>
  <c r="I464" i="123"/>
  <c r="L33" i="123"/>
  <c r="F33" i="123"/>
  <c r="E455" i="123"/>
  <c r="L27" i="123"/>
  <c r="F555" i="123"/>
  <c r="H255" i="123"/>
  <c r="E467" i="123"/>
  <c r="G521" i="123"/>
  <c r="E437" i="123"/>
  <c r="G522" i="123"/>
  <c r="F431" i="123"/>
  <c r="G528" i="123"/>
  <c r="G425" i="123"/>
  <c r="E501" i="123"/>
  <c r="I38" i="123"/>
  <c r="E282" i="123"/>
  <c r="H546" i="123"/>
  <c r="L459" i="123"/>
  <c r="L478" i="123"/>
  <c r="I478" i="123"/>
  <c r="G473" i="123"/>
  <c r="G484" i="123"/>
  <c r="E428" i="123"/>
  <c r="L532" i="123"/>
  <c r="E281" i="123"/>
  <c r="L276" i="123"/>
  <c r="H267" i="123"/>
  <c r="I527" i="123"/>
  <c r="H249" i="123"/>
  <c r="G249" i="123"/>
  <c r="E491" i="123"/>
  <c r="I515" i="123"/>
  <c r="E463" i="123"/>
  <c r="I423" i="123"/>
  <c r="E506" i="123"/>
  <c r="L533" i="123"/>
  <c r="E444" i="123"/>
  <c r="L526" i="123"/>
  <c r="L220" i="123"/>
  <c r="L559" i="123"/>
  <c r="F563" i="123"/>
  <c r="G265" i="123"/>
  <c r="L265" i="123"/>
  <c r="L520" i="123"/>
  <c r="L45" i="123"/>
  <c r="F470" i="123"/>
  <c r="L516" i="123"/>
  <c r="E536" i="123"/>
  <c r="I7" i="123"/>
  <c r="I486" i="123"/>
  <c r="E429" i="123"/>
  <c r="I251" i="123"/>
  <c r="G427" i="123"/>
  <c r="L494" i="123"/>
  <c r="L44" i="123"/>
  <c r="I44" i="123"/>
  <c r="L582" i="123"/>
  <c r="H39" i="123"/>
  <c r="F525" i="123"/>
  <c r="G570" i="123"/>
  <c r="E488" i="123"/>
  <c r="F50" i="123"/>
  <c r="G278" i="123"/>
  <c r="F41" i="123"/>
  <c r="H432" i="123"/>
  <c r="G461" i="123"/>
  <c r="H499" i="123"/>
  <c r="H5" i="123"/>
  <c r="G230" i="123"/>
  <c r="G561" i="123"/>
  <c r="I43" i="123"/>
  <c r="F445" i="123"/>
  <c r="H482" i="123"/>
  <c r="F573" i="123"/>
  <c r="F568" i="123"/>
  <c r="L29" i="123"/>
  <c r="F511" i="123"/>
  <c r="F529" i="123"/>
  <c r="I448" i="123"/>
  <c r="H551" i="123"/>
  <c r="F478" i="123"/>
  <c r="H550" i="123"/>
  <c r="I454" i="123"/>
  <c r="E218" i="123"/>
  <c r="E284" i="123"/>
  <c r="G428" i="123"/>
  <c r="I493" i="123"/>
  <c r="G229" i="123"/>
  <c r="H285" i="123"/>
  <c r="I285" i="123"/>
  <c r="L281" i="123"/>
  <c r="L527" i="123"/>
  <c r="G491" i="123"/>
  <c r="F515" i="123"/>
  <c r="H241" i="123"/>
  <c r="H495" i="123"/>
  <c r="F423" i="123"/>
  <c r="G506" i="123"/>
  <c r="H283" i="123"/>
  <c r="G444" i="123"/>
  <c r="G220" i="123"/>
  <c r="H559" i="123"/>
  <c r="E563" i="123"/>
  <c r="H449" i="123"/>
  <c r="H560" i="123"/>
  <c r="L470" i="123"/>
  <c r="G536" i="123"/>
  <c r="F486" i="123"/>
  <c r="G429" i="123"/>
  <c r="F251" i="123"/>
  <c r="L251" i="123"/>
  <c r="I427" i="123"/>
  <c r="G494" i="123"/>
  <c r="H507" i="123"/>
  <c r="G582" i="123"/>
  <c r="G39" i="123"/>
  <c r="L525" i="123"/>
  <c r="I570" i="123"/>
  <c r="L41" i="123"/>
  <c r="G42" i="123"/>
  <c r="I42" i="123"/>
  <c r="I547" i="123"/>
  <c r="I461" i="123"/>
  <c r="L499" i="123"/>
  <c r="G499" i="123"/>
  <c r="E5" i="123"/>
  <c r="I230" i="123"/>
  <c r="I25" i="123"/>
  <c r="H524" i="123"/>
  <c r="L445" i="123"/>
  <c r="E482" i="123"/>
  <c r="L568" i="123"/>
  <c r="I36" i="123"/>
  <c r="I498" i="123"/>
  <c r="F498" i="123"/>
  <c r="L511" i="123"/>
  <c r="F448" i="123"/>
  <c r="H448" i="123"/>
  <c r="E551" i="123"/>
  <c r="L232" i="123"/>
  <c r="G48" i="123"/>
  <c r="G548" i="123"/>
  <c r="E458" i="123"/>
  <c r="I455" i="123"/>
  <c r="G565" i="123"/>
  <c r="G566" i="123"/>
  <c r="L215" i="123"/>
  <c r="H556" i="123"/>
  <c r="L49" i="123"/>
  <c r="I277" i="123"/>
  <c r="I253" i="123"/>
  <c r="H539" i="123"/>
  <c r="F523" i="123"/>
  <c r="H446" i="123"/>
  <c r="G512" i="123"/>
  <c r="H457" i="123"/>
  <c r="E497" i="123"/>
  <c r="G519" i="123"/>
  <c r="G462" i="123"/>
  <c r="G537" i="123"/>
  <c r="G215" i="123"/>
  <c r="I556" i="123"/>
  <c r="E556" i="123"/>
  <c r="G49" i="123"/>
  <c r="F277" i="123"/>
  <c r="I272" i="123"/>
  <c r="H260" i="123"/>
  <c r="F253" i="123"/>
  <c r="E539" i="123"/>
  <c r="L523" i="123"/>
  <c r="F447" i="123"/>
  <c r="H237" i="123"/>
  <c r="E446" i="123"/>
  <c r="L535" i="123"/>
  <c r="I512" i="123"/>
  <c r="E457" i="123"/>
  <c r="I457" i="123"/>
  <c r="I519" i="123"/>
  <c r="I462" i="123"/>
  <c r="F279" i="123"/>
  <c r="E279" i="123"/>
  <c r="F254" i="123"/>
  <c r="I567" i="123"/>
  <c r="I436" i="123"/>
  <c r="L426" i="123"/>
  <c r="L225" i="123"/>
  <c r="I225" i="123"/>
  <c r="L579" i="123"/>
  <c r="G268" i="123"/>
  <c r="H268" i="123"/>
  <c r="L545" i="123"/>
  <c r="G40" i="123"/>
  <c r="I240" i="123"/>
  <c r="L227" i="123"/>
  <c r="I541" i="123"/>
  <c r="L434" i="123"/>
  <c r="I496" i="123"/>
  <c r="F246" i="123"/>
  <c r="F508" i="123"/>
  <c r="E587" i="123"/>
  <c r="E217" i="123"/>
  <c r="M283" i="123"/>
  <c r="M30" i="123"/>
  <c r="M265" i="123"/>
  <c r="M243" i="123"/>
  <c r="M517" i="123"/>
  <c r="M278" i="123"/>
  <c r="M222" i="123"/>
  <c r="M529" i="123"/>
  <c r="M473" i="123"/>
  <c r="M552" i="123"/>
  <c r="M514" i="123"/>
  <c r="M506" i="123"/>
  <c r="M580" i="123"/>
  <c r="M494" i="123"/>
  <c r="M585" i="123"/>
  <c r="M519" i="123"/>
  <c r="M496" i="123"/>
  <c r="M557" i="123"/>
  <c r="M25" i="123"/>
  <c r="M513" i="123"/>
  <c r="M455" i="123"/>
  <c r="M549" i="123"/>
  <c r="F482" i="123"/>
  <c r="G553" i="123"/>
  <c r="L573" i="123"/>
  <c r="H568" i="123"/>
  <c r="G36" i="123"/>
  <c r="H511" i="123"/>
  <c r="I529" i="123"/>
  <c r="F551" i="123"/>
  <c r="H232" i="123"/>
  <c r="I48" i="123"/>
  <c r="E460" i="123"/>
  <c r="F458" i="123"/>
  <c r="G455" i="123"/>
  <c r="E565" i="123"/>
  <c r="H23" i="123"/>
  <c r="G576" i="123"/>
  <c r="I263" i="123"/>
  <c r="E480" i="123"/>
  <c r="H215" i="123"/>
  <c r="E578" i="123"/>
  <c r="G272" i="123"/>
  <c r="L272" i="123"/>
  <c r="G253" i="123"/>
  <c r="G471" i="123"/>
  <c r="F471" i="123"/>
  <c r="E447" i="123"/>
  <c r="G447" i="123"/>
  <c r="I446" i="123"/>
  <c r="L512" i="123"/>
  <c r="G457" i="123"/>
  <c r="F497" i="123"/>
  <c r="L519" i="123"/>
  <c r="E577" i="123"/>
  <c r="L462" i="123"/>
  <c r="H254" i="123"/>
  <c r="E254" i="123"/>
  <c r="E567" i="123"/>
  <c r="L234" i="123"/>
  <c r="F580" i="123"/>
  <c r="E436" i="123"/>
  <c r="G225" i="123"/>
  <c r="G35" i="123"/>
  <c r="L469" i="123"/>
  <c r="L40" i="123"/>
  <c r="F248" i="123"/>
  <c r="L240" i="123"/>
  <c r="E541" i="123"/>
  <c r="G496" i="123"/>
  <c r="E256" i="123"/>
  <c r="G256" i="123"/>
  <c r="L540" i="123"/>
  <c r="I217" i="123"/>
  <c r="M491" i="123"/>
  <c r="M422" i="123"/>
  <c r="M7" i="123"/>
  <c r="M239" i="123"/>
  <c r="M60" i="123"/>
  <c r="M518" i="123"/>
  <c r="M464" i="123"/>
  <c r="M587" i="123"/>
  <c r="M450" i="123"/>
  <c r="M503" i="123"/>
  <c r="M446" i="123"/>
  <c r="M231" i="123"/>
  <c r="M40" i="123"/>
  <c r="M562" i="123"/>
  <c r="M456" i="123"/>
  <c r="M255" i="123"/>
  <c r="M275" i="123"/>
  <c r="M28" i="123"/>
  <c r="M584" i="123"/>
  <c r="M211" i="123"/>
  <c r="M527" i="123"/>
  <c r="M536" i="123"/>
  <c r="M212" i="123"/>
  <c r="M555" i="123"/>
  <c r="M515" i="123"/>
  <c r="M42" i="123"/>
  <c r="M262" i="123"/>
  <c r="M232" i="123"/>
  <c r="M229" i="123"/>
  <c r="I259" i="123"/>
  <c r="I548" i="123"/>
  <c r="L458" i="123"/>
  <c r="E464" i="123"/>
  <c r="G33" i="123"/>
  <c r="I27" i="123"/>
  <c r="I576" i="123"/>
  <c r="F263" i="123"/>
  <c r="H263" i="123"/>
  <c r="G480" i="123"/>
  <c r="E215" i="123"/>
  <c r="I49" i="123"/>
  <c r="G260" i="123"/>
  <c r="L471" i="123"/>
  <c r="H523" i="123"/>
  <c r="H447" i="123"/>
  <c r="G237" i="123"/>
  <c r="F446" i="123"/>
  <c r="I535" i="123"/>
  <c r="H535" i="123"/>
  <c r="G216" i="123"/>
  <c r="L497" i="123"/>
  <c r="G577" i="123"/>
  <c r="E537" i="123"/>
  <c r="G234" i="123"/>
  <c r="L580" i="123"/>
  <c r="H426" i="123"/>
  <c r="I579" i="123"/>
  <c r="H579" i="123"/>
  <c r="G469" i="123"/>
  <c r="I469" i="123"/>
  <c r="I268" i="123"/>
  <c r="H545" i="123"/>
  <c r="I227" i="123"/>
  <c r="H227" i="123"/>
  <c r="H434" i="123"/>
  <c r="E496" i="123"/>
  <c r="L587" i="123"/>
  <c r="G587" i="123"/>
  <c r="I540" i="123"/>
  <c r="F217" i="123"/>
  <c r="M441" i="123"/>
  <c r="M230" i="123"/>
  <c r="M531" i="123"/>
  <c r="M281" i="123"/>
  <c r="M224" i="123"/>
  <c r="M45" i="123"/>
  <c r="M432" i="123"/>
  <c r="M528" i="123"/>
  <c r="M48" i="123"/>
  <c r="M484" i="123"/>
  <c r="M264" i="123"/>
  <c r="M471" i="123"/>
  <c r="M444" i="123"/>
  <c r="M579" i="123"/>
  <c r="M582" i="123"/>
  <c r="M447" i="123"/>
  <c r="M424" i="123"/>
  <c r="M445" i="123"/>
  <c r="M250" i="123"/>
  <c r="M576" i="123"/>
  <c r="H529" i="123"/>
  <c r="L448" i="123"/>
  <c r="G551" i="123"/>
  <c r="L48" i="123"/>
  <c r="F259" i="123"/>
  <c r="I460" i="123"/>
  <c r="G460" i="123"/>
  <c r="F548" i="123"/>
  <c r="G458" i="123"/>
  <c r="L464" i="123"/>
  <c r="I33" i="123"/>
  <c r="H455" i="123"/>
  <c r="F27" i="123"/>
  <c r="I23" i="123"/>
  <c r="F576" i="123"/>
  <c r="E263" i="123"/>
  <c r="H566" i="123"/>
  <c r="I480" i="123"/>
  <c r="L556" i="123"/>
  <c r="I578" i="123"/>
  <c r="G578" i="123"/>
  <c r="E49" i="123"/>
  <c r="H277" i="123"/>
  <c r="I260" i="123"/>
  <c r="H253" i="123"/>
  <c r="G539" i="123"/>
  <c r="E523" i="123"/>
  <c r="I237" i="123"/>
  <c r="L446" i="123"/>
  <c r="F535" i="123"/>
  <c r="E535" i="123"/>
  <c r="L457" i="123"/>
  <c r="G497" i="123"/>
  <c r="I577" i="123"/>
  <c r="I537" i="123"/>
  <c r="L279" i="123"/>
  <c r="G254" i="123"/>
  <c r="I234" i="123"/>
  <c r="E426" i="123"/>
  <c r="F579" i="123"/>
  <c r="E579" i="123"/>
  <c r="F268" i="123"/>
  <c r="E545" i="123"/>
  <c r="I248" i="123"/>
  <c r="E227" i="123"/>
  <c r="E434" i="123"/>
  <c r="L496" i="123"/>
  <c r="H246" i="123"/>
  <c r="I256" i="123"/>
  <c r="H508" i="123"/>
  <c r="I587" i="123"/>
  <c r="G540" i="123"/>
  <c r="L217" i="123"/>
  <c r="M433" i="123"/>
  <c r="M537" i="123"/>
  <c r="M449" i="123"/>
  <c r="M508" i="123"/>
  <c r="M41" i="123"/>
  <c r="M572" i="123"/>
  <c r="M448" i="123"/>
  <c r="M454" i="123"/>
  <c r="M253" i="123"/>
  <c r="M575" i="123"/>
  <c r="M558" i="123"/>
  <c r="M272" i="123"/>
  <c r="M533" i="123"/>
  <c r="M436" i="123"/>
  <c r="M61" i="123"/>
  <c r="M489" i="123"/>
  <c r="M482" i="123"/>
  <c r="M439" i="123"/>
  <c r="M263" i="123"/>
  <c r="M520" i="123"/>
  <c r="M573" i="123"/>
  <c r="M466" i="123"/>
  <c r="M577" i="123"/>
  <c r="M563" i="123"/>
  <c r="M500" i="123"/>
  <c r="M246" i="123"/>
  <c r="M235" i="123"/>
  <c r="M437" i="123"/>
  <c r="M228" i="123"/>
  <c r="M568" i="123"/>
  <c r="M459" i="123"/>
  <c r="M586" i="123"/>
  <c r="L576" i="123"/>
  <c r="E566" i="123"/>
  <c r="F480" i="123"/>
  <c r="I215" i="123"/>
  <c r="G556" i="123"/>
  <c r="F578" i="123"/>
  <c r="H49" i="123"/>
  <c r="E277" i="123"/>
  <c r="L260" i="123"/>
  <c r="F260" i="123"/>
  <c r="E253" i="123"/>
  <c r="I539" i="123"/>
  <c r="L237" i="123"/>
  <c r="F237" i="123"/>
  <c r="G446" i="123"/>
  <c r="H512" i="123"/>
  <c r="H519" i="123"/>
  <c r="F577" i="123"/>
  <c r="H462" i="123"/>
  <c r="L537" i="123"/>
  <c r="F537" i="123"/>
  <c r="G279" i="123"/>
  <c r="H234" i="123"/>
  <c r="F234" i="123"/>
  <c r="L268" i="123"/>
  <c r="H40" i="123"/>
  <c r="E248" i="123"/>
  <c r="H240" i="123"/>
  <c r="F227" i="123"/>
  <c r="H496" i="123"/>
  <c r="E246" i="123"/>
  <c r="F256" i="123"/>
  <c r="E508" i="123"/>
  <c r="F587" i="123"/>
  <c r="G217" i="123"/>
  <c r="M257" i="123"/>
  <c r="M279" i="123"/>
  <c r="M488" i="123"/>
  <c r="M522" i="123"/>
  <c r="M472" i="123"/>
  <c r="M430" i="123"/>
  <c r="M241" i="123"/>
  <c r="M581" i="123"/>
  <c r="M254" i="123"/>
  <c r="M429" i="123"/>
  <c r="M452" i="123"/>
  <c r="M423" i="123"/>
  <c r="M499" i="123"/>
  <c r="M501" i="123"/>
  <c r="M492" i="123"/>
  <c r="M548" i="123"/>
  <c r="M428" i="123"/>
  <c r="M532" i="123"/>
  <c r="F232" i="123"/>
  <c r="H48" i="123"/>
  <c r="G259" i="123"/>
  <c r="L460" i="123"/>
  <c r="H458" i="123"/>
  <c r="F464" i="123"/>
  <c r="G27" i="123"/>
  <c r="L565" i="123"/>
  <c r="L480" i="123"/>
  <c r="F215" i="123"/>
  <c r="L578" i="123"/>
  <c r="F49" i="123"/>
  <c r="E272" i="123"/>
  <c r="H471" i="123"/>
  <c r="F539" i="123"/>
  <c r="I523" i="123"/>
  <c r="L447" i="123"/>
  <c r="E512" i="123"/>
  <c r="L216" i="123"/>
  <c r="H497" i="123"/>
  <c r="E519" i="123"/>
  <c r="L577" i="123"/>
  <c r="E462" i="123"/>
  <c r="L567" i="123"/>
  <c r="E234" i="123"/>
  <c r="I580" i="123"/>
  <c r="H580" i="123"/>
  <c r="L436" i="123"/>
  <c r="I426" i="123"/>
  <c r="E225" i="123"/>
  <c r="H469" i="123"/>
  <c r="I545" i="123"/>
  <c r="I40" i="123"/>
  <c r="E40" i="123"/>
  <c r="E240" i="123"/>
  <c r="G227" i="123"/>
  <c r="I434" i="123"/>
  <c r="G246" i="123"/>
  <c r="L256" i="123"/>
  <c r="G508" i="123"/>
  <c r="H587" i="123"/>
  <c r="H540" i="123"/>
  <c r="M219" i="123"/>
  <c r="M32" i="123"/>
  <c r="M486" i="123"/>
  <c r="M425" i="123"/>
  <c r="M550" i="123"/>
  <c r="M510" i="123"/>
  <c r="M479" i="123"/>
  <c r="M516" i="123"/>
  <c r="M534" i="123"/>
  <c r="M546" i="123"/>
  <c r="M5" i="123"/>
  <c r="M542" i="123"/>
  <c r="M458" i="123"/>
  <c r="M493" i="123"/>
  <c r="M225" i="123"/>
  <c r="M468" i="123"/>
  <c r="M545" i="123"/>
  <c r="M512" i="123"/>
  <c r="M588" i="123"/>
  <c r="M538" i="123"/>
  <c r="M504" i="123"/>
  <c r="M51" i="123"/>
  <c r="I279" i="123"/>
  <c r="H279" i="123"/>
  <c r="L254" i="123"/>
  <c r="G567" i="123"/>
  <c r="E580" i="123"/>
  <c r="G436" i="123"/>
  <c r="F426" i="123"/>
  <c r="F469" i="123"/>
  <c r="F545" i="123"/>
  <c r="H248" i="123"/>
  <c r="G248" i="123"/>
  <c r="G240" i="123"/>
  <c r="L541" i="123"/>
  <c r="G541" i="123"/>
  <c r="F434" i="123"/>
  <c r="I246" i="123"/>
  <c r="I508" i="123"/>
  <c r="F540" i="123"/>
  <c r="H217" i="123"/>
  <c r="M247" i="123"/>
  <c r="M578" i="123"/>
  <c r="M583" i="123"/>
  <c r="M427" i="123"/>
  <c r="M50" i="123"/>
  <c r="M530" i="123"/>
  <c r="M511" i="123"/>
  <c r="M34" i="123"/>
  <c r="AL1" i="124"/>
  <c r="X58" i="124"/>
  <c r="X55" i="123"/>
  <c r="W58" i="124"/>
  <c r="W55" i="123"/>
  <c r="I204" i="123"/>
  <c r="I208" i="123"/>
  <c r="I95" i="123"/>
  <c r="I199" i="123"/>
  <c r="I191" i="123"/>
  <c r="I184" i="123"/>
  <c r="I177" i="123"/>
  <c r="I169" i="123"/>
  <c r="I161" i="123"/>
  <c r="I21" i="123"/>
  <c r="I196" i="123"/>
  <c r="I188" i="123"/>
  <c r="I181" i="123"/>
  <c r="I174" i="123"/>
  <c r="I201" i="123"/>
  <c r="I193" i="123"/>
  <c r="I185" i="123"/>
  <c r="I24" i="123"/>
  <c r="I171" i="123"/>
  <c r="I163" i="123"/>
  <c r="I209" i="123"/>
  <c r="I195" i="123"/>
  <c r="I187" i="123"/>
  <c r="I180" i="123"/>
  <c r="I207" i="123"/>
  <c r="I206" i="123"/>
  <c r="I200" i="123"/>
  <c r="I192" i="123"/>
  <c r="I274" i="123"/>
  <c r="I178" i="123"/>
  <c r="I170" i="123"/>
  <c r="I205" i="123"/>
  <c r="I197" i="123"/>
  <c r="I189" i="123"/>
  <c r="I182" i="123"/>
  <c r="I175" i="123"/>
  <c r="I203" i="123"/>
  <c r="I202" i="123"/>
  <c r="I194" i="123"/>
  <c r="I183" i="123"/>
  <c r="I164" i="123"/>
  <c r="I20" i="123"/>
  <c r="I18" i="123"/>
  <c r="I146" i="123"/>
  <c r="I140" i="123"/>
  <c r="I132" i="123"/>
  <c r="I124" i="123"/>
  <c r="I117" i="123"/>
  <c r="I109" i="123"/>
  <c r="I101" i="123"/>
  <c r="I93" i="123"/>
  <c r="I85" i="123"/>
  <c r="I80" i="123"/>
  <c r="I72" i="123"/>
  <c r="I64" i="123"/>
  <c r="I176" i="123"/>
  <c r="I162" i="123"/>
  <c r="I156" i="123"/>
  <c r="I150" i="123"/>
  <c r="I144" i="123"/>
  <c r="I137" i="123"/>
  <c r="I129" i="123"/>
  <c r="I122" i="123"/>
  <c r="I114" i="123"/>
  <c r="I106" i="123"/>
  <c r="I288" i="123"/>
  <c r="I90" i="123"/>
  <c r="I3" i="123"/>
  <c r="I186" i="123"/>
  <c r="I160" i="123"/>
  <c r="I155" i="123"/>
  <c r="I19" i="123"/>
  <c r="I151" i="123"/>
  <c r="I148" i="123"/>
  <c r="I12" i="123"/>
  <c r="I134" i="123"/>
  <c r="I126" i="123"/>
  <c r="I119" i="123"/>
  <c r="I111" i="123"/>
  <c r="I103" i="123"/>
  <c r="I96" i="123"/>
  <c r="I87" i="123"/>
  <c r="I82" i="123"/>
  <c r="I74" i="123"/>
  <c r="I66" i="123"/>
  <c r="I154" i="123"/>
  <c r="I17" i="123"/>
  <c r="I13" i="123"/>
  <c r="I139" i="123"/>
  <c r="I131" i="123"/>
  <c r="I287" i="123"/>
  <c r="I116" i="123"/>
  <c r="I108" i="123"/>
  <c r="I100" i="123"/>
  <c r="I92" i="123"/>
  <c r="I6" i="123"/>
  <c r="I79" i="123"/>
  <c r="I190" i="123"/>
  <c r="I159" i="123"/>
  <c r="I149" i="123"/>
  <c r="I143" i="123"/>
  <c r="I136" i="123"/>
  <c r="I128" i="123"/>
  <c r="I121" i="123"/>
  <c r="I113" i="123"/>
  <c r="I105" i="123"/>
  <c r="I98" i="123"/>
  <c r="I89" i="123"/>
  <c r="I84" i="123"/>
  <c r="I210" i="123"/>
  <c r="I198" i="123"/>
  <c r="I172" i="123"/>
  <c r="I158" i="123"/>
  <c r="I22" i="123"/>
  <c r="I153" i="123"/>
  <c r="I280" i="123"/>
  <c r="I147" i="123"/>
  <c r="I141" i="123"/>
  <c r="I133" i="123"/>
  <c r="I125" i="123"/>
  <c r="I118" i="123"/>
  <c r="I110" i="123"/>
  <c r="I102" i="123"/>
  <c r="I94" i="123"/>
  <c r="I86" i="123"/>
  <c r="I81" i="123"/>
  <c r="I73" i="123"/>
  <c r="I65" i="123"/>
  <c r="I11" i="123"/>
  <c r="I179" i="123"/>
  <c r="I168" i="123"/>
  <c r="I167" i="123"/>
  <c r="I166" i="123"/>
  <c r="I165" i="123"/>
  <c r="I16" i="123"/>
  <c r="I145" i="123"/>
  <c r="I138" i="123"/>
  <c r="I130" i="123"/>
  <c r="I123" i="123"/>
  <c r="I115" i="123"/>
  <c r="I107" i="123"/>
  <c r="I99" i="123"/>
  <c r="I91" i="123"/>
  <c r="I4" i="123"/>
  <c r="I78" i="123"/>
  <c r="I70" i="123"/>
  <c r="I142" i="123"/>
  <c r="I112" i="123"/>
  <c r="I83" i="123"/>
  <c r="I10" i="123"/>
  <c r="I293" i="123"/>
  <c r="I301" i="123"/>
  <c r="I309" i="123"/>
  <c r="I317" i="123"/>
  <c r="I325" i="123"/>
  <c r="I333" i="123"/>
  <c r="I341" i="123"/>
  <c r="I349" i="123"/>
  <c r="I357" i="123"/>
  <c r="I365" i="123"/>
  <c r="I157" i="123"/>
  <c r="I69" i="123"/>
  <c r="I296" i="123"/>
  <c r="I304" i="123"/>
  <c r="I312" i="123"/>
  <c r="I320" i="123"/>
  <c r="I328" i="123"/>
  <c r="I336" i="123"/>
  <c r="I344" i="123"/>
  <c r="I352" i="123"/>
  <c r="I360" i="123"/>
  <c r="I368" i="123"/>
  <c r="I376" i="123"/>
  <c r="I384" i="123"/>
  <c r="I392" i="123"/>
  <c r="I400" i="123"/>
  <c r="I135" i="123"/>
  <c r="I104" i="123"/>
  <c r="I77" i="123"/>
  <c r="I291" i="123"/>
  <c r="I299" i="123"/>
  <c r="I307" i="123"/>
  <c r="I315" i="123"/>
  <c r="I323" i="123"/>
  <c r="I331" i="123"/>
  <c r="I339" i="123"/>
  <c r="I347" i="123"/>
  <c r="I355" i="123"/>
  <c r="I363" i="123"/>
  <c r="I371" i="123"/>
  <c r="I379" i="123"/>
  <c r="I387" i="123"/>
  <c r="I395" i="123"/>
  <c r="I173" i="123"/>
  <c r="I58" i="123"/>
  <c r="I57" i="123"/>
  <c r="I294" i="123"/>
  <c r="I302" i="123"/>
  <c r="I310" i="123"/>
  <c r="I318" i="123"/>
  <c r="I326" i="123"/>
  <c r="I334" i="123"/>
  <c r="I342" i="123"/>
  <c r="I350" i="123"/>
  <c r="I358" i="123"/>
  <c r="I366" i="123"/>
  <c r="I374" i="123"/>
  <c r="I382" i="123"/>
  <c r="I390" i="123"/>
  <c r="I152" i="123"/>
  <c r="I127" i="123"/>
  <c r="I97" i="123"/>
  <c r="I59" i="123"/>
  <c r="I297" i="123"/>
  <c r="I305" i="123"/>
  <c r="I313" i="123"/>
  <c r="I321" i="123"/>
  <c r="I329" i="123"/>
  <c r="I337" i="123"/>
  <c r="I345" i="123"/>
  <c r="I353" i="123"/>
  <c r="I361" i="123"/>
  <c r="I369" i="123"/>
  <c r="I377" i="123"/>
  <c r="I75" i="123"/>
  <c r="I67" i="123"/>
  <c r="I62" i="123"/>
  <c r="I56" i="123"/>
  <c r="I292" i="123"/>
  <c r="I300" i="123"/>
  <c r="I308" i="123"/>
  <c r="I316" i="123"/>
  <c r="I324" i="123"/>
  <c r="I332" i="123"/>
  <c r="I340" i="123"/>
  <c r="I348" i="123"/>
  <c r="I356" i="123"/>
  <c r="I364" i="123"/>
  <c r="I372" i="123"/>
  <c r="I380" i="123"/>
  <c r="I388" i="123"/>
  <c r="I76" i="123"/>
  <c r="I68" i="123"/>
  <c r="I298" i="123"/>
  <c r="I306" i="123"/>
  <c r="I314" i="123"/>
  <c r="I322" i="123"/>
  <c r="I330" i="123"/>
  <c r="I338" i="123"/>
  <c r="I346" i="123"/>
  <c r="I354" i="123"/>
  <c r="I362" i="123"/>
  <c r="I370" i="123"/>
  <c r="I378" i="123"/>
  <c r="I386" i="123"/>
  <c r="I14" i="123"/>
  <c r="I303" i="123"/>
  <c r="I335" i="123"/>
  <c r="I385" i="123"/>
  <c r="I393" i="123"/>
  <c r="I399" i="123"/>
  <c r="I405" i="123"/>
  <c r="I413" i="123"/>
  <c r="I327" i="123"/>
  <c r="I367" i="123"/>
  <c r="I394" i="123"/>
  <c r="I408" i="123"/>
  <c r="I416" i="123"/>
  <c r="I381" i="123"/>
  <c r="I415" i="123"/>
  <c r="I311" i="123"/>
  <c r="I343" i="123"/>
  <c r="I403" i="123"/>
  <c r="I411" i="123"/>
  <c r="I419" i="123"/>
  <c r="I359" i="123"/>
  <c r="I406" i="123"/>
  <c r="I414" i="123"/>
  <c r="I88" i="123"/>
  <c r="I319" i="123"/>
  <c r="I351" i="123"/>
  <c r="I389" i="123"/>
  <c r="I401" i="123"/>
  <c r="I409" i="123"/>
  <c r="I417" i="123"/>
  <c r="I63" i="123"/>
  <c r="I375" i="123"/>
  <c r="I391" i="123"/>
  <c r="I404" i="123"/>
  <c r="I412" i="123"/>
  <c r="I420" i="123"/>
  <c r="I120" i="123"/>
  <c r="I295" i="123"/>
  <c r="I396" i="123"/>
  <c r="I407" i="123"/>
  <c r="I71" i="123"/>
  <c r="I373" i="123"/>
  <c r="I383" i="123"/>
  <c r="I397" i="123"/>
  <c r="I402" i="123"/>
  <c r="I410" i="123"/>
  <c r="I418" i="123"/>
  <c r="I421" i="123"/>
  <c r="I398" i="123"/>
  <c r="E208" i="123"/>
  <c r="E204" i="123"/>
  <c r="E210" i="123"/>
  <c r="E95" i="123"/>
  <c r="E195" i="123"/>
  <c r="E187" i="123"/>
  <c r="E180" i="123"/>
  <c r="E173" i="123"/>
  <c r="E165" i="123"/>
  <c r="E157" i="123"/>
  <c r="E153" i="123"/>
  <c r="E209" i="123"/>
  <c r="E192" i="123"/>
  <c r="E274" i="123"/>
  <c r="E178" i="123"/>
  <c r="E207" i="123"/>
  <c r="E206" i="123"/>
  <c r="E200" i="123"/>
  <c r="E197" i="123"/>
  <c r="E189" i="123"/>
  <c r="E182" i="123"/>
  <c r="E175" i="123"/>
  <c r="E167" i="123"/>
  <c r="E203" i="123"/>
  <c r="E202" i="123"/>
  <c r="E199" i="123"/>
  <c r="E191" i="123"/>
  <c r="E184" i="123"/>
  <c r="E196" i="123"/>
  <c r="E188" i="123"/>
  <c r="E181" i="123"/>
  <c r="E174" i="123"/>
  <c r="E201" i="123"/>
  <c r="E193" i="123"/>
  <c r="E185" i="123"/>
  <c r="E24" i="123"/>
  <c r="E171" i="123"/>
  <c r="E198" i="123"/>
  <c r="E176" i="123"/>
  <c r="E170" i="123"/>
  <c r="E159" i="123"/>
  <c r="E154" i="123"/>
  <c r="E149" i="123"/>
  <c r="E143" i="123"/>
  <c r="E136" i="123"/>
  <c r="E128" i="123"/>
  <c r="E121" i="123"/>
  <c r="E113" i="123"/>
  <c r="E105" i="123"/>
  <c r="E98" i="123"/>
  <c r="E89" i="123"/>
  <c r="E84" i="123"/>
  <c r="E76" i="123"/>
  <c r="E68" i="123"/>
  <c r="E58" i="123"/>
  <c r="E186" i="123"/>
  <c r="E22" i="123"/>
  <c r="E280" i="123"/>
  <c r="E147" i="123"/>
  <c r="E141" i="123"/>
  <c r="E133" i="123"/>
  <c r="E125" i="123"/>
  <c r="E118" i="123"/>
  <c r="E110" i="123"/>
  <c r="E102" i="123"/>
  <c r="E94" i="123"/>
  <c r="E86" i="123"/>
  <c r="E81" i="123"/>
  <c r="E158" i="123"/>
  <c r="E16" i="123"/>
  <c r="E145" i="123"/>
  <c r="E138" i="123"/>
  <c r="E130" i="123"/>
  <c r="E123" i="123"/>
  <c r="E115" i="123"/>
  <c r="E107" i="123"/>
  <c r="E99" i="123"/>
  <c r="E91" i="123"/>
  <c r="E4" i="123"/>
  <c r="E78" i="123"/>
  <c r="E70" i="123"/>
  <c r="E62" i="123"/>
  <c r="E190" i="123"/>
  <c r="E177" i="123"/>
  <c r="E172" i="123"/>
  <c r="E166" i="123"/>
  <c r="E21" i="123"/>
  <c r="E152" i="123"/>
  <c r="E14" i="123"/>
  <c r="E142" i="123"/>
  <c r="E135" i="123"/>
  <c r="E127" i="123"/>
  <c r="E120" i="123"/>
  <c r="E112" i="123"/>
  <c r="E104" i="123"/>
  <c r="E97" i="123"/>
  <c r="E88" i="123"/>
  <c r="E83" i="123"/>
  <c r="E168" i="123"/>
  <c r="E164" i="123"/>
  <c r="E18" i="123"/>
  <c r="E146" i="123"/>
  <c r="E140" i="123"/>
  <c r="E132" i="123"/>
  <c r="E124" i="123"/>
  <c r="E117" i="123"/>
  <c r="E109" i="123"/>
  <c r="E101" i="123"/>
  <c r="E93" i="123"/>
  <c r="E85" i="123"/>
  <c r="E80" i="123"/>
  <c r="E179" i="123"/>
  <c r="E163" i="123"/>
  <c r="E156" i="123"/>
  <c r="E20" i="123"/>
  <c r="E150" i="123"/>
  <c r="E144" i="123"/>
  <c r="E137" i="123"/>
  <c r="E129" i="123"/>
  <c r="E122" i="123"/>
  <c r="E114" i="123"/>
  <c r="E106" i="123"/>
  <c r="E288" i="123"/>
  <c r="E90" i="123"/>
  <c r="E3" i="123"/>
  <c r="E77" i="123"/>
  <c r="E69" i="123"/>
  <c r="E59" i="123"/>
  <c r="E194" i="123"/>
  <c r="E169" i="123"/>
  <c r="E162" i="123"/>
  <c r="E161" i="123"/>
  <c r="E19" i="123"/>
  <c r="E151" i="123"/>
  <c r="E148" i="123"/>
  <c r="E12" i="123"/>
  <c r="E134" i="123"/>
  <c r="E126" i="123"/>
  <c r="E119" i="123"/>
  <c r="E111" i="123"/>
  <c r="E103" i="123"/>
  <c r="E96" i="123"/>
  <c r="E87" i="123"/>
  <c r="E82" i="123"/>
  <c r="E74" i="123"/>
  <c r="E66" i="123"/>
  <c r="E73" i="123"/>
  <c r="E65" i="123"/>
  <c r="E57" i="123"/>
  <c r="E297" i="123"/>
  <c r="E305" i="123"/>
  <c r="E313" i="123"/>
  <c r="E321" i="123"/>
  <c r="E329" i="123"/>
  <c r="E337" i="123"/>
  <c r="E345" i="123"/>
  <c r="E353" i="123"/>
  <c r="E361" i="123"/>
  <c r="E139" i="123"/>
  <c r="E108" i="123"/>
  <c r="E56" i="123"/>
  <c r="E292" i="123"/>
  <c r="E300" i="123"/>
  <c r="E308" i="123"/>
  <c r="E316" i="123"/>
  <c r="E324" i="123"/>
  <c r="E332" i="123"/>
  <c r="E340" i="123"/>
  <c r="E348" i="123"/>
  <c r="E356" i="123"/>
  <c r="E364" i="123"/>
  <c r="E372" i="123"/>
  <c r="E380" i="123"/>
  <c r="E388" i="123"/>
  <c r="E396" i="123"/>
  <c r="E79" i="123"/>
  <c r="E295" i="123"/>
  <c r="E303" i="123"/>
  <c r="E311" i="123"/>
  <c r="E319" i="123"/>
  <c r="E327" i="123"/>
  <c r="E335" i="123"/>
  <c r="E343" i="123"/>
  <c r="E351" i="123"/>
  <c r="E359" i="123"/>
  <c r="E367" i="123"/>
  <c r="E375" i="123"/>
  <c r="E383" i="123"/>
  <c r="E391" i="123"/>
  <c r="E399" i="123"/>
  <c r="E183" i="123"/>
  <c r="E160" i="123"/>
  <c r="E131" i="123"/>
  <c r="E100" i="123"/>
  <c r="E75" i="123"/>
  <c r="E67" i="123"/>
  <c r="E11" i="123"/>
  <c r="E298" i="123"/>
  <c r="E306" i="123"/>
  <c r="E314" i="123"/>
  <c r="E322" i="123"/>
  <c r="E330" i="123"/>
  <c r="E338" i="123"/>
  <c r="E346" i="123"/>
  <c r="E354" i="123"/>
  <c r="E362" i="123"/>
  <c r="E370" i="123"/>
  <c r="E378" i="123"/>
  <c r="E386" i="123"/>
  <c r="E394" i="123"/>
  <c r="E205" i="123"/>
  <c r="E71" i="123"/>
  <c r="E63" i="123"/>
  <c r="E293" i="123"/>
  <c r="E301" i="123"/>
  <c r="E309" i="123"/>
  <c r="E317" i="123"/>
  <c r="E325" i="123"/>
  <c r="E333" i="123"/>
  <c r="E341" i="123"/>
  <c r="E349" i="123"/>
  <c r="E357" i="123"/>
  <c r="E365" i="123"/>
  <c r="E373" i="123"/>
  <c r="E155" i="123"/>
  <c r="E17" i="123"/>
  <c r="E287" i="123"/>
  <c r="E92" i="123"/>
  <c r="E10" i="123"/>
  <c r="E296" i="123"/>
  <c r="E304" i="123"/>
  <c r="E312" i="123"/>
  <c r="E320" i="123"/>
  <c r="E328" i="123"/>
  <c r="E336" i="123"/>
  <c r="E344" i="123"/>
  <c r="E352" i="123"/>
  <c r="E360" i="123"/>
  <c r="E368" i="123"/>
  <c r="E376" i="123"/>
  <c r="E384" i="123"/>
  <c r="E13" i="123"/>
  <c r="E116" i="123"/>
  <c r="E6" i="123"/>
  <c r="E294" i="123"/>
  <c r="E302" i="123"/>
  <c r="E310" i="123"/>
  <c r="E318" i="123"/>
  <c r="E326" i="123"/>
  <c r="E334" i="123"/>
  <c r="E342" i="123"/>
  <c r="E350" i="123"/>
  <c r="E358" i="123"/>
  <c r="E366" i="123"/>
  <c r="E374" i="123"/>
  <c r="E382" i="123"/>
  <c r="E390" i="123"/>
  <c r="E369" i="123"/>
  <c r="E392" i="123"/>
  <c r="E401" i="123"/>
  <c r="E409" i="123"/>
  <c r="E417" i="123"/>
  <c r="E307" i="123"/>
  <c r="E339" i="123"/>
  <c r="E387" i="123"/>
  <c r="E404" i="123"/>
  <c r="E412" i="123"/>
  <c r="E420" i="123"/>
  <c r="E400" i="123"/>
  <c r="E411" i="123"/>
  <c r="E389" i="123"/>
  <c r="E407" i="123"/>
  <c r="E415" i="123"/>
  <c r="E64" i="123"/>
  <c r="E315" i="123"/>
  <c r="E347" i="123"/>
  <c r="E379" i="123"/>
  <c r="E397" i="123"/>
  <c r="E402" i="123"/>
  <c r="E410" i="123"/>
  <c r="E418" i="123"/>
  <c r="E419" i="123"/>
  <c r="E377" i="123"/>
  <c r="E381" i="123"/>
  <c r="E398" i="123"/>
  <c r="E405" i="123"/>
  <c r="E413" i="123"/>
  <c r="E421" i="123"/>
  <c r="E72" i="123"/>
  <c r="E291" i="123"/>
  <c r="E323" i="123"/>
  <c r="E355" i="123"/>
  <c r="E395" i="123"/>
  <c r="E408" i="123"/>
  <c r="E416" i="123"/>
  <c r="E299" i="123"/>
  <c r="E331" i="123"/>
  <c r="E363" i="123"/>
  <c r="E371" i="123"/>
  <c r="E385" i="123"/>
  <c r="E393" i="123"/>
  <c r="E406" i="123"/>
  <c r="E414" i="123"/>
  <c r="E403" i="123"/>
  <c r="F203" i="123"/>
  <c r="F207" i="123"/>
  <c r="F200" i="123"/>
  <c r="F198" i="123"/>
  <c r="F190" i="123"/>
  <c r="F183" i="123"/>
  <c r="F176" i="123"/>
  <c r="F168" i="123"/>
  <c r="F160" i="123"/>
  <c r="F20" i="123"/>
  <c r="F210" i="123"/>
  <c r="F95" i="123"/>
  <c r="F195" i="123"/>
  <c r="F187" i="123"/>
  <c r="F180" i="123"/>
  <c r="F173" i="123"/>
  <c r="F209" i="123"/>
  <c r="F208" i="123"/>
  <c r="F192" i="123"/>
  <c r="F274" i="123"/>
  <c r="F178" i="123"/>
  <c r="F170" i="123"/>
  <c r="F162" i="123"/>
  <c r="F205" i="123"/>
  <c r="F204" i="123"/>
  <c r="F194" i="123"/>
  <c r="F186" i="123"/>
  <c r="F179" i="123"/>
  <c r="F202" i="123"/>
  <c r="F199" i="123"/>
  <c r="F191" i="123"/>
  <c r="F184" i="123"/>
  <c r="F177" i="123"/>
  <c r="F169" i="123"/>
  <c r="F196" i="123"/>
  <c r="F188" i="123"/>
  <c r="F181" i="123"/>
  <c r="F174" i="123"/>
  <c r="F201" i="123"/>
  <c r="F155" i="123"/>
  <c r="F17" i="123"/>
  <c r="F13" i="123"/>
  <c r="F139" i="123"/>
  <c r="F131" i="123"/>
  <c r="F287" i="123"/>
  <c r="F116" i="123"/>
  <c r="F108" i="123"/>
  <c r="F100" i="123"/>
  <c r="F92" i="123"/>
  <c r="F6" i="123"/>
  <c r="F79" i="123"/>
  <c r="F71" i="123"/>
  <c r="F63" i="123"/>
  <c r="F193" i="123"/>
  <c r="F159" i="123"/>
  <c r="F154" i="123"/>
  <c r="F149" i="123"/>
  <c r="F143" i="123"/>
  <c r="F136" i="123"/>
  <c r="F128" i="123"/>
  <c r="F121" i="123"/>
  <c r="F113" i="123"/>
  <c r="F105" i="123"/>
  <c r="F98" i="123"/>
  <c r="F89" i="123"/>
  <c r="F84" i="123"/>
  <c r="F24" i="123"/>
  <c r="F171" i="123"/>
  <c r="F22" i="123"/>
  <c r="F153" i="123"/>
  <c r="F280" i="123"/>
  <c r="F147" i="123"/>
  <c r="F141" i="123"/>
  <c r="F133" i="123"/>
  <c r="F125" i="123"/>
  <c r="F118" i="123"/>
  <c r="F110" i="123"/>
  <c r="F102" i="123"/>
  <c r="F94" i="123"/>
  <c r="F86" i="123"/>
  <c r="F81" i="123"/>
  <c r="F73" i="123"/>
  <c r="F65" i="123"/>
  <c r="F182" i="123"/>
  <c r="F167" i="123"/>
  <c r="F158" i="123"/>
  <c r="F16" i="123"/>
  <c r="F145" i="123"/>
  <c r="F138" i="123"/>
  <c r="F130" i="123"/>
  <c r="F123" i="123"/>
  <c r="F115" i="123"/>
  <c r="F107" i="123"/>
  <c r="F99" i="123"/>
  <c r="F91" i="123"/>
  <c r="F4" i="123"/>
  <c r="F78" i="123"/>
  <c r="F172" i="123"/>
  <c r="F166" i="123"/>
  <c r="F165" i="123"/>
  <c r="F157" i="123"/>
  <c r="F21" i="123"/>
  <c r="F152" i="123"/>
  <c r="F14" i="123"/>
  <c r="F142" i="123"/>
  <c r="F135" i="123"/>
  <c r="F127" i="123"/>
  <c r="F120" i="123"/>
  <c r="F112" i="123"/>
  <c r="F104" i="123"/>
  <c r="F97" i="123"/>
  <c r="F88" i="123"/>
  <c r="F83" i="123"/>
  <c r="F206" i="123"/>
  <c r="F185" i="123"/>
  <c r="F175" i="123"/>
  <c r="F164" i="123"/>
  <c r="F18" i="123"/>
  <c r="F146" i="123"/>
  <c r="F140" i="123"/>
  <c r="F132" i="123"/>
  <c r="F124" i="123"/>
  <c r="F117" i="123"/>
  <c r="F109" i="123"/>
  <c r="F101" i="123"/>
  <c r="F93" i="123"/>
  <c r="F85" i="123"/>
  <c r="F80" i="123"/>
  <c r="F72" i="123"/>
  <c r="F64" i="123"/>
  <c r="F10" i="123"/>
  <c r="F163" i="123"/>
  <c r="F156" i="123"/>
  <c r="F150" i="123"/>
  <c r="F144" i="123"/>
  <c r="F137" i="123"/>
  <c r="F129" i="123"/>
  <c r="F122" i="123"/>
  <c r="F114" i="123"/>
  <c r="F106" i="123"/>
  <c r="F288" i="123"/>
  <c r="F90" i="123"/>
  <c r="F3" i="123"/>
  <c r="F77" i="123"/>
  <c r="F69" i="123"/>
  <c r="F148" i="123"/>
  <c r="F119" i="123"/>
  <c r="F87" i="123"/>
  <c r="F294" i="123"/>
  <c r="F302" i="123"/>
  <c r="F310" i="123"/>
  <c r="F318" i="123"/>
  <c r="F326" i="123"/>
  <c r="F334" i="123"/>
  <c r="F342" i="123"/>
  <c r="F350" i="123"/>
  <c r="F358" i="123"/>
  <c r="F366" i="123"/>
  <c r="F189" i="123"/>
  <c r="F161" i="123"/>
  <c r="F58" i="123"/>
  <c r="F57" i="123"/>
  <c r="F297" i="123"/>
  <c r="F305" i="123"/>
  <c r="F313" i="123"/>
  <c r="F321" i="123"/>
  <c r="F329" i="123"/>
  <c r="F337" i="123"/>
  <c r="F345" i="123"/>
  <c r="F353" i="123"/>
  <c r="F361" i="123"/>
  <c r="F369" i="123"/>
  <c r="F377" i="123"/>
  <c r="F385" i="123"/>
  <c r="F393" i="123"/>
  <c r="F12" i="123"/>
  <c r="F111" i="123"/>
  <c r="F82" i="123"/>
  <c r="F74" i="123"/>
  <c r="F70" i="123"/>
  <c r="F66" i="123"/>
  <c r="F59" i="123"/>
  <c r="F56" i="123"/>
  <c r="F292" i="123"/>
  <c r="F300" i="123"/>
  <c r="F308" i="123"/>
  <c r="F316" i="123"/>
  <c r="F324" i="123"/>
  <c r="F332" i="123"/>
  <c r="F340" i="123"/>
  <c r="F348" i="123"/>
  <c r="F356" i="123"/>
  <c r="F364" i="123"/>
  <c r="F372" i="123"/>
  <c r="F380" i="123"/>
  <c r="F388" i="123"/>
  <c r="F396" i="123"/>
  <c r="F62" i="123"/>
  <c r="F295" i="123"/>
  <c r="F303" i="123"/>
  <c r="F311" i="123"/>
  <c r="F319" i="123"/>
  <c r="F327" i="123"/>
  <c r="F335" i="123"/>
  <c r="F343" i="123"/>
  <c r="F351" i="123"/>
  <c r="F359" i="123"/>
  <c r="F367" i="123"/>
  <c r="F375" i="123"/>
  <c r="F383" i="123"/>
  <c r="F391" i="123"/>
  <c r="F134" i="123"/>
  <c r="F103" i="123"/>
  <c r="F75" i="123"/>
  <c r="F67" i="123"/>
  <c r="F11" i="123"/>
  <c r="F298" i="123"/>
  <c r="F306" i="123"/>
  <c r="F314" i="123"/>
  <c r="F322" i="123"/>
  <c r="F330" i="123"/>
  <c r="F338" i="123"/>
  <c r="F346" i="123"/>
  <c r="F354" i="123"/>
  <c r="F362" i="123"/>
  <c r="F370" i="123"/>
  <c r="F378" i="123"/>
  <c r="F76" i="123"/>
  <c r="F68" i="123"/>
  <c r="F293" i="123"/>
  <c r="F301" i="123"/>
  <c r="F309" i="123"/>
  <c r="F317" i="123"/>
  <c r="F325" i="123"/>
  <c r="F333" i="123"/>
  <c r="F341" i="123"/>
  <c r="F349" i="123"/>
  <c r="F357" i="123"/>
  <c r="F365" i="123"/>
  <c r="F373" i="123"/>
  <c r="F381" i="123"/>
  <c r="F389" i="123"/>
  <c r="F197" i="123"/>
  <c r="F291" i="123"/>
  <c r="F299" i="123"/>
  <c r="F307" i="123"/>
  <c r="F315" i="123"/>
  <c r="F323" i="123"/>
  <c r="F331" i="123"/>
  <c r="F339" i="123"/>
  <c r="F347" i="123"/>
  <c r="F355" i="123"/>
  <c r="F363" i="123"/>
  <c r="F371" i="123"/>
  <c r="F379" i="123"/>
  <c r="F387" i="123"/>
  <c r="F296" i="123"/>
  <c r="F328" i="123"/>
  <c r="F360" i="123"/>
  <c r="F376" i="123"/>
  <c r="F406" i="123"/>
  <c r="F414" i="123"/>
  <c r="F352" i="123"/>
  <c r="F394" i="123"/>
  <c r="F374" i="123"/>
  <c r="F382" i="123"/>
  <c r="F392" i="123"/>
  <c r="F401" i="123"/>
  <c r="F409" i="123"/>
  <c r="F417" i="123"/>
  <c r="F395" i="123"/>
  <c r="F19" i="123"/>
  <c r="F304" i="123"/>
  <c r="F336" i="123"/>
  <c r="F384" i="123"/>
  <c r="F404" i="123"/>
  <c r="F412" i="123"/>
  <c r="F420" i="123"/>
  <c r="F320" i="123"/>
  <c r="F96" i="123"/>
  <c r="F407" i="123"/>
  <c r="F415" i="123"/>
  <c r="F408" i="123"/>
  <c r="F312" i="123"/>
  <c r="F344" i="123"/>
  <c r="F368" i="123"/>
  <c r="F386" i="123"/>
  <c r="F397" i="123"/>
  <c r="F402" i="123"/>
  <c r="F410" i="123"/>
  <c r="F418" i="123"/>
  <c r="F416" i="123"/>
  <c r="F126" i="123"/>
  <c r="F398" i="123"/>
  <c r="F399" i="123"/>
  <c r="F405" i="123"/>
  <c r="F413" i="123"/>
  <c r="F421" i="123"/>
  <c r="F151" i="123"/>
  <c r="F390" i="123"/>
  <c r="F400" i="123"/>
  <c r="F403" i="123"/>
  <c r="F411" i="123"/>
  <c r="F419" i="123"/>
  <c r="G206" i="123"/>
  <c r="G210" i="123"/>
  <c r="G202" i="123"/>
  <c r="G201" i="123"/>
  <c r="G193" i="123"/>
  <c r="G185" i="123"/>
  <c r="G24" i="123"/>
  <c r="G171" i="123"/>
  <c r="G163" i="123"/>
  <c r="G155" i="123"/>
  <c r="G198" i="123"/>
  <c r="G190" i="123"/>
  <c r="G183" i="123"/>
  <c r="G176" i="123"/>
  <c r="G95" i="123"/>
  <c r="G195" i="123"/>
  <c r="G187" i="123"/>
  <c r="G180" i="123"/>
  <c r="G173" i="123"/>
  <c r="G165" i="123"/>
  <c r="G197" i="123"/>
  <c r="G189" i="123"/>
  <c r="G182" i="123"/>
  <c r="G205" i="123"/>
  <c r="G204" i="123"/>
  <c r="O204" i="123" s="1"/>
  <c r="G203" i="123"/>
  <c r="G194" i="123"/>
  <c r="G186" i="123"/>
  <c r="G179" i="123"/>
  <c r="G172" i="123"/>
  <c r="G199" i="123"/>
  <c r="G191" i="123"/>
  <c r="G184" i="123"/>
  <c r="G177" i="123"/>
  <c r="G169" i="123"/>
  <c r="G196" i="123"/>
  <c r="G161" i="123"/>
  <c r="G160" i="123"/>
  <c r="G19" i="123"/>
  <c r="G151" i="123"/>
  <c r="G148" i="123"/>
  <c r="G12" i="123"/>
  <c r="G134" i="123"/>
  <c r="G126" i="123"/>
  <c r="G119" i="123"/>
  <c r="G111" i="123"/>
  <c r="G103" i="123"/>
  <c r="G96" i="123"/>
  <c r="G87" i="123"/>
  <c r="G82" i="123"/>
  <c r="G74" i="123"/>
  <c r="G66" i="123"/>
  <c r="G208" i="123"/>
  <c r="G200" i="123"/>
  <c r="G274" i="123"/>
  <c r="G170" i="123"/>
  <c r="G17" i="123"/>
  <c r="G13" i="123"/>
  <c r="G139" i="123"/>
  <c r="G131" i="123"/>
  <c r="G287" i="123"/>
  <c r="G116" i="123"/>
  <c r="G108" i="123"/>
  <c r="G100" i="123"/>
  <c r="G92" i="123"/>
  <c r="G6" i="123"/>
  <c r="G174" i="123"/>
  <c r="G159" i="123"/>
  <c r="G154" i="123"/>
  <c r="G149" i="123"/>
  <c r="G143" i="123"/>
  <c r="G136" i="123"/>
  <c r="G128" i="123"/>
  <c r="G121" i="123"/>
  <c r="G113" i="123"/>
  <c r="G105" i="123"/>
  <c r="G98" i="123"/>
  <c r="G89" i="123"/>
  <c r="G84" i="123"/>
  <c r="G76" i="123"/>
  <c r="G68" i="123"/>
  <c r="G58" i="123"/>
  <c r="G207" i="123"/>
  <c r="G188" i="123"/>
  <c r="O188" i="123" s="1"/>
  <c r="G22" i="123"/>
  <c r="G153" i="123"/>
  <c r="G280" i="123"/>
  <c r="G147" i="123"/>
  <c r="G141" i="123"/>
  <c r="G133" i="123"/>
  <c r="G125" i="123"/>
  <c r="G118" i="123"/>
  <c r="G110" i="123"/>
  <c r="G102" i="123"/>
  <c r="G94" i="123"/>
  <c r="G86" i="123"/>
  <c r="G81" i="123"/>
  <c r="G167" i="123"/>
  <c r="G158" i="123"/>
  <c r="G16" i="123"/>
  <c r="G145" i="123"/>
  <c r="G138" i="123"/>
  <c r="G130" i="123"/>
  <c r="G123" i="123"/>
  <c r="G115" i="123"/>
  <c r="G107" i="123"/>
  <c r="G99" i="123"/>
  <c r="G91" i="123"/>
  <c r="G4" i="123"/>
  <c r="G78" i="123"/>
  <c r="G192" i="123"/>
  <c r="G168" i="123"/>
  <c r="G166" i="123"/>
  <c r="G157" i="123"/>
  <c r="G21" i="123"/>
  <c r="G152" i="123"/>
  <c r="G14" i="123"/>
  <c r="G142" i="123"/>
  <c r="G135" i="123"/>
  <c r="G127" i="123"/>
  <c r="G120" i="123"/>
  <c r="G112" i="123"/>
  <c r="G104" i="123"/>
  <c r="G97" i="123"/>
  <c r="G88" i="123"/>
  <c r="G83" i="123"/>
  <c r="G75" i="123"/>
  <c r="G67" i="123"/>
  <c r="G57" i="123"/>
  <c r="G175" i="123"/>
  <c r="G164" i="123"/>
  <c r="G20" i="123"/>
  <c r="G18" i="123"/>
  <c r="G146" i="123"/>
  <c r="G140" i="123"/>
  <c r="G132" i="123"/>
  <c r="G124" i="123"/>
  <c r="G117" i="123"/>
  <c r="G109" i="123"/>
  <c r="G101" i="123"/>
  <c r="G93" i="123"/>
  <c r="G85" i="123"/>
  <c r="G80" i="123"/>
  <c r="G72" i="123"/>
  <c r="G64" i="123"/>
  <c r="G129" i="123"/>
  <c r="G288" i="123"/>
  <c r="G69" i="123"/>
  <c r="G291" i="123"/>
  <c r="G299" i="123"/>
  <c r="G307" i="123"/>
  <c r="G315" i="123"/>
  <c r="G323" i="123"/>
  <c r="G331" i="123"/>
  <c r="G339" i="123"/>
  <c r="G347" i="123"/>
  <c r="G355" i="123"/>
  <c r="G363" i="123"/>
  <c r="G77" i="123"/>
  <c r="G73" i="123"/>
  <c r="G65" i="123"/>
  <c r="G294" i="123"/>
  <c r="G302" i="123"/>
  <c r="G310" i="123"/>
  <c r="G318" i="123"/>
  <c r="G326" i="123"/>
  <c r="G334" i="123"/>
  <c r="G342" i="123"/>
  <c r="G350" i="123"/>
  <c r="G358" i="123"/>
  <c r="G366" i="123"/>
  <c r="G374" i="123"/>
  <c r="G382" i="123"/>
  <c r="G390" i="123"/>
  <c r="G398" i="123"/>
  <c r="G150" i="123"/>
  <c r="G122" i="123"/>
  <c r="G90" i="123"/>
  <c r="G297" i="123"/>
  <c r="G305" i="123"/>
  <c r="G313" i="123"/>
  <c r="G321" i="123"/>
  <c r="G329" i="123"/>
  <c r="G337" i="123"/>
  <c r="G345" i="123"/>
  <c r="G353" i="123"/>
  <c r="G361" i="123"/>
  <c r="G369" i="123"/>
  <c r="G377" i="123"/>
  <c r="G385" i="123"/>
  <c r="G393" i="123"/>
  <c r="G156" i="123"/>
  <c r="G79" i="123"/>
  <c r="O79" i="123" s="1"/>
  <c r="G70" i="123"/>
  <c r="O70" i="123" s="1"/>
  <c r="G59" i="123"/>
  <c r="G56" i="123"/>
  <c r="G292" i="123"/>
  <c r="G300" i="123"/>
  <c r="G308" i="123"/>
  <c r="G316" i="123"/>
  <c r="G324" i="123"/>
  <c r="G332" i="123"/>
  <c r="G340" i="123"/>
  <c r="G348" i="123"/>
  <c r="G356" i="123"/>
  <c r="G364" i="123"/>
  <c r="G372" i="123"/>
  <c r="G380" i="123"/>
  <c r="G388" i="123"/>
  <c r="G396" i="123"/>
  <c r="G178" i="123"/>
  <c r="G144" i="123"/>
  <c r="G114" i="123"/>
  <c r="G3" i="123"/>
  <c r="G62" i="123"/>
  <c r="G295" i="123"/>
  <c r="G303" i="123"/>
  <c r="G311" i="123"/>
  <c r="G319" i="123"/>
  <c r="G327" i="123"/>
  <c r="G335" i="123"/>
  <c r="G343" i="123"/>
  <c r="G351" i="123"/>
  <c r="G359" i="123"/>
  <c r="G367" i="123"/>
  <c r="G375" i="123"/>
  <c r="G71" i="123"/>
  <c r="G63" i="123"/>
  <c r="G11" i="123"/>
  <c r="G298" i="123"/>
  <c r="G306" i="123"/>
  <c r="G314" i="123"/>
  <c r="G322" i="123"/>
  <c r="G330" i="123"/>
  <c r="G338" i="123"/>
  <c r="G346" i="123"/>
  <c r="G354" i="123"/>
  <c r="G362" i="123"/>
  <c r="G370" i="123"/>
  <c r="G378" i="123"/>
  <c r="G386" i="123"/>
  <c r="G209" i="123"/>
  <c r="G162" i="123"/>
  <c r="G296" i="123"/>
  <c r="G304" i="123"/>
  <c r="G312" i="123"/>
  <c r="G320" i="123"/>
  <c r="G328" i="123"/>
  <c r="G336" i="123"/>
  <c r="G344" i="123"/>
  <c r="G352" i="123"/>
  <c r="G360" i="123"/>
  <c r="G368" i="123"/>
  <c r="G376" i="123"/>
  <c r="G384" i="123"/>
  <c r="G392" i="123"/>
  <c r="G137" i="123"/>
  <c r="G317" i="123"/>
  <c r="G349" i="123"/>
  <c r="G371" i="123"/>
  <c r="G400" i="123"/>
  <c r="G403" i="123"/>
  <c r="G411" i="123"/>
  <c r="G419" i="123"/>
  <c r="G181" i="123"/>
  <c r="G406" i="123"/>
  <c r="G414" i="123"/>
  <c r="G293" i="123"/>
  <c r="G325" i="123"/>
  <c r="G357" i="123"/>
  <c r="G387" i="123"/>
  <c r="G401" i="123"/>
  <c r="G409" i="123"/>
  <c r="G417" i="123"/>
  <c r="G405" i="123"/>
  <c r="G10" i="123"/>
  <c r="G389" i="123"/>
  <c r="G404" i="123"/>
  <c r="G412" i="123"/>
  <c r="G420" i="123"/>
  <c r="G309" i="123"/>
  <c r="G373" i="123"/>
  <c r="G399" i="123"/>
  <c r="G301" i="123"/>
  <c r="G333" i="123"/>
  <c r="G365" i="123"/>
  <c r="G379" i="123"/>
  <c r="O379" i="123" s="1"/>
  <c r="G391" i="123"/>
  <c r="G407" i="123"/>
  <c r="G415" i="123"/>
  <c r="G106" i="123"/>
  <c r="G383" i="123"/>
  <c r="G381" i="123"/>
  <c r="O381" i="123" s="1"/>
  <c r="G397" i="123"/>
  <c r="G402" i="123"/>
  <c r="G410" i="123"/>
  <c r="G418" i="123"/>
  <c r="G421" i="123"/>
  <c r="G394" i="123"/>
  <c r="G395" i="123"/>
  <c r="G408" i="123"/>
  <c r="G416" i="123"/>
  <c r="G341" i="123"/>
  <c r="G413" i="123"/>
  <c r="H209" i="123"/>
  <c r="H205" i="123"/>
  <c r="H196" i="123"/>
  <c r="H188" i="123"/>
  <c r="H181" i="123"/>
  <c r="H174" i="123"/>
  <c r="H166" i="123"/>
  <c r="H158" i="123"/>
  <c r="H154" i="123"/>
  <c r="H201" i="123"/>
  <c r="H193" i="123"/>
  <c r="H185" i="123"/>
  <c r="H24" i="123"/>
  <c r="H210" i="123"/>
  <c r="H198" i="123"/>
  <c r="H190" i="123"/>
  <c r="H183" i="123"/>
  <c r="H176" i="123"/>
  <c r="H168" i="123"/>
  <c r="H208" i="123"/>
  <c r="H207" i="123"/>
  <c r="H206" i="123"/>
  <c r="H200" i="123"/>
  <c r="H192" i="123"/>
  <c r="H274" i="123"/>
  <c r="H197" i="123"/>
  <c r="H189" i="123"/>
  <c r="H182" i="123"/>
  <c r="H175" i="123"/>
  <c r="H204" i="123"/>
  <c r="H203" i="123"/>
  <c r="H202" i="123"/>
  <c r="H194" i="123"/>
  <c r="H186" i="123"/>
  <c r="H179" i="123"/>
  <c r="H172" i="123"/>
  <c r="H199" i="123"/>
  <c r="H191" i="123"/>
  <c r="H178" i="123"/>
  <c r="H162" i="123"/>
  <c r="H156" i="123"/>
  <c r="H150" i="123"/>
  <c r="H144" i="123"/>
  <c r="H137" i="123"/>
  <c r="H129" i="123"/>
  <c r="H122" i="123"/>
  <c r="H114" i="123"/>
  <c r="H106" i="123"/>
  <c r="H288" i="123"/>
  <c r="H90" i="123"/>
  <c r="H3" i="123"/>
  <c r="H77" i="123"/>
  <c r="H69" i="123"/>
  <c r="H59" i="123"/>
  <c r="H161" i="123"/>
  <c r="H160" i="123"/>
  <c r="H155" i="123"/>
  <c r="H19" i="123"/>
  <c r="H151" i="123"/>
  <c r="H148" i="123"/>
  <c r="H12" i="123"/>
  <c r="H134" i="123"/>
  <c r="H126" i="123"/>
  <c r="H119" i="123"/>
  <c r="H111" i="123"/>
  <c r="H103" i="123"/>
  <c r="H96" i="123"/>
  <c r="H87" i="123"/>
  <c r="H82" i="123"/>
  <c r="H180" i="123"/>
  <c r="H170" i="123"/>
  <c r="H17" i="123"/>
  <c r="H13" i="123"/>
  <c r="H139" i="123"/>
  <c r="H131" i="123"/>
  <c r="H287" i="123"/>
  <c r="H116" i="123"/>
  <c r="H108" i="123"/>
  <c r="H100" i="123"/>
  <c r="H92" i="123"/>
  <c r="H6" i="123"/>
  <c r="H79" i="123"/>
  <c r="H71" i="123"/>
  <c r="H63" i="123"/>
  <c r="H171" i="123"/>
  <c r="H159" i="123"/>
  <c r="H149" i="123"/>
  <c r="H143" i="123"/>
  <c r="H136" i="123"/>
  <c r="H128" i="123"/>
  <c r="H121" i="123"/>
  <c r="H113" i="123"/>
  <c r="H105" i="123"/>
  <c r="H98" i="123"/>
  <c r="H89" i="123"/>
  <c r="H84" i="123"/>
  <c r="H195" i="123"/>
  <c r="H184" i="123"/>
  <c r="H177" i="123"/>
  <c r="H22" i="123"/>
  <c r="H153" i="123"/>
  <c r="H280" i="123"/>
  <c r="H147" i="123"/>
  <c r="H141" i="123"/>
  <c r="H133" i="123"/>
  <c r="H125" i="123"/>
  <c r="H118" i="123"/>
  <c r="H110" i="123"/>
  <c r="H102" i="123"/>
  <c r="H94" i="123"/>
  <c r="H86" i="123"/>
  <c r="H81" i="123"/>
  <c r="H167" i="123"/>
  <c r="H165" i="123"/>
  <c r="H16" i="123"/>
  <c r="H145" i="123"/>
  <c r="H138" i="123"/>
  <c r="H130" i="123"/>
  <c r="H123" i="123"/>
  <c r="H115" i="123"/>
  <c r="H107" i="123"/>
  <c r="H99" i="123"/>
  <c r="H91" i="123"/>
  <c r="H4" i="123"/>
  <c r="H78" i="123"/>
  <c r="H70" i="123"/>
  <c r="H62" i="123"/>
  <c r="H187" i="123"/>
  <c r="H173" i="123"/>
  <c r="H157" i="123"/>
  <c r="H21" i="123"/>
  <c r="H152" i="123"/>
  <c r="H14" i="123"/>
  <c r="H142" i="123"/>
  <c r="H135" i="123"/>
  <c r="H127" i="123"/>
  <c r="H120" i="123"/>
  <c r="H112" i="123"/>
  <c r="H104" i="123"/>
  <c r="H97" i="123"/>
  <c r="H88" i="123"/>
  <c r="H83" i="123"/>
  <c r="H75" i="123"/>
  <c r="H67" i="123"/>
  <c r="H296" i="123"/>
  <c r="H304" i="123"/>
  <c r="H312" i="123"/>
  <c r="H320" i="123"/>
  <c r="H328" i="123"/>
  <c r="H336" i="123"/>
  <c r="H344" i="123"/>
  <c r="H352" i="123"/>
  <c r="H360" i="123"/>
  <c r="H169" i="123"/>
  <c r="H132" i="123"/>
  <c r="H101" i="123"/>
  <c r="H291" i="123"/>
  <c r="H299" i="123"/>
  <c r="H307" i="123"/>
  <c r="H315" i="123"/>
  <c r="H323" i="123"/>
  <c r="H331" i="123"/>
  <c r="H339" i="123"/>
  <c r="H347" i="123"/>
  <c r="H355" i="123"/>
  <c r="H363" i="123"/>
  <c r="H371" i="123"/>
  <c r="H379" i="123"/>
  <c r="H387" i="123"/>
  <c r="H395" i="123"/>
  <c r="H95" i="123"/>
  <c r="H73" i="123"/>
  <c r="H65" i="123"/>
  <c r="H58" i="123"/>
  <c r="H57" i="123"/>
  <c r="H294" i="123"/>
  <c r="H302" i="123"/>
  <c r="H310" i="123"/>
  <c r="H318" i="123"/>
  <c r="H326" i="123"/>
  <c r="H334" i="123"/>
  <c r="H342" i="123"/>
  <c r="H350" i="123"/>
  <c r="H358" i="123"/>
  <c r="H366" i="123"/>
  <c r="H374" i="123"/>
  <c r="H382" i="123"/>
  <c r="H390" i="123"/>
  <c r="H398" i="123"/>
  <c r="H164" i="123"/>
  <c r="H18" i="123"/>
  <c r="H124" i="123"/>
  <c r="H93" i="123"/>
  <c r="H74" i="123"/>
  <c r="H66" i="123"/>
  <c r="H297" i="123"/>
  <c r="H305" i="123"/>
  <c r="H313" i="123"/>
  <c r="H321" i="123"/>
  <c r="H329" i="123"/>
  <c r="H337" i="123"/>
  <c r="H345" i="123"/>
  <c r="H353" i="123"/>
  <c r="H361" i="123"/>
  <c r="H369" i="123"/>
  <c r="H377" i="123"/>
  <c r="H385" i="123"/>
  <c r="H393" i="123"/>
  <c r="H20" i="123"/>
  <c r="H56" i="123"/>
  <c r="H292" i="123"/>
  <c r="H300" i="123"/>
  <c r="H308" i="123"/>
  <c r="H316" i="123"/>
  <c r="H324" i="123"/>
  <c r="H332" i="123"/>
  <c r="H340" i="123"/>
  <c r="H348" i="123"/>
  <c r="H356" i="123"/>
  <c r="H364" i="123"/>
  <c r="H372" i="123"/>
  <c r="H163" i="123"/>
  <c r="H146" i="123"/>
  <c r="H117" i="123"/>
  <c r="H85" i="123"/>
  <c r="H295" i="123"/>
  <c r="H303" i="123"/>
  <c r="H311" i="123"/>
  <c r="H319" i="123"/>
  <c r="H327" i="123"/>
  <c r="H335" i="123"/>
  <c r="H343" i="123"/>
  <c r="H351" i="123"/>
  <c r="H359" i="123"/>
  <c r="H367" i="123"/>
  <c r="H375" i="123"/>
  <c r="H383" i="123"/>
  <c r="H391" i="123"/>
  <c r="H140" i="123"/>
  <c r="H109" i="123"/>
  <c r="H80" i="123"/>
  <c r="H72" i="123"/>
  <c r="H64" i="123"/>
  <c r="H10" i="123"/>
  <c r="H293" i="123"/>
  <c r="H301" i="123"/>
  <c r="H309" i="123"/>
  <c r="H317" i="123"/>
  <c r="H325" i="123"/>
  <c r="H333" i="123"/>
  <c r="H341" i="123"/>
  <c r="H349" i="123"/>
  <c r="H357" i="123"/>
  <c r="H365" i="123"/>
  <c r="H373" i="123"/>
  <c r="H381" i="123"/>
  <c r="H389" i="123"/>
  <c r="H378" i="123"/>
  <c r="H380" i="123"/>
  <c r="H394" i="123"/>
  <c r="H408" i="123"/>
  <c r="H416" i="123"/>
  <c r="H76" i="123"/>
  <c r="H11" i="123"/>
  <c r="H314" i="123"/>
  <c r="H346" i="123"/>
  <c r="H376" i="123"/>
  <c r="H400" i="123"/>
  <c r="H403" i="123"/>
  <c r="H411" i="123"/>
  <c r="H419" i="123"/>
  <c r="H392" i="123"/>
  <c r="H406" i="123"/>
  <c r="H414" i="123"/>
  <c r="H410" i="123"/>
  <c r="H322" i="123"/>
  <c r="H354" i="123"/>
  <c r="H384" i="123"/>
  <c r="H401" i="123"/>
  <c r="H409" i="123"/>
  <c r="H417" i="123"/>
  <c r="H68" i="123"/>
  <c r="H370" i="123"/>
  <c r="H404" i="123"/>
  <c r="H412" i="123"/>
  <c r="H420" i="123"/>
  <c r="H397" i="123"/>
  <c r="H298" i="123"/>
  <c r="H330" i="123"/>
  <c r="H362" i="123"/>
  <c r="H368" i="123"/>
  <c r="H386" i="123"/>
  <c r="H396" i="123"/>
  <c r="H407" i="123"/>
  <c r="H415" i="123"/>
  <c r="H402" i="123"/>
  <c r="H306" i="123"/>
  <c r="H338" i="123"/>
  <c r="H399" i="123"/>
  <c r="H405" i="123"/>
  <c r="H413" i="123"/>
  <c r="H421" i="123"/>
  <c r="H388" i="123"/>
  <c r="H418" i="123"/>
  <c r="L205" i="123"/>
  <c r="L209" i="123"/>
  <c r="L201" i="123"/>
  <c r="L200" i="123"/>
  <c r="L192" i="123"/>
  <c r="L274" i="123"/>
  <c r="L178" i="123"/>
  <c r="L170" i="123"/>
  <c r="L162" i="123"/>
  <c r="L22" i="123"/>
  <c r="L204" i="123"/>
  <c r="L203" i="123"/>
  <c r="L197" i="123"/>
  <c r="L189" i="123"/>
  <c r="L182" i="123"/>
  <c r="L175" i="123"/>
  <c r="L202" i="123"/>
  <c r="L194" i="123"/>
  <c r="L186" i="123"/>
  <c r="L179" i="123"/>
  <c r="L172" i="123"/>
  <c r="L164" i="123"/>
  <c r="L196" i="123"/>
  <c r="L188" i="123"/>
  <c r="L181" i="123"/>
  <c r="L210" i="123"/>
  <c r="L193" i="123"/>
  <c r="L185" i="123"/>
  <c r="L24" i="123"/>
  <c r="L171" i="123"/>
  <c r="L95" i="123"/>
  <c r="L198" i="123"/>
  <c r="L190" i="123"/>
  <c r="L183" i="123"/>
  <c r="L176" i="123"/>
  <c r="L208" i="123"/>
  <c r="L207" i="123"/>
  <c r="L206" i="123"/>
  <c r="L195" i="123"/>
  <c r="L173" i="123"/>
  <c r="L168" i="123"/>
  <c r="L167" i="123"/>
  <c r="L166" i="123"/>
  <c r="L158" i="123"/>
  <c r="L153" i="123"/>
  <c r="L280" i="123"/>
  <c r="L147" i="123"/>
  <c r="L141" i="123"/>
  <c r="L133" i="123"/>
  <c r="L125" i="123"/>
  <c r="L118" i="123"/>
  <c r="L110" i="123"/>
  <c r="L102" i="123"/>
  <c r="L94" i="123"/>
  <c r="L86" i="123"/>
  <c r="L81" i="123"/>
  <c r="L73" i="123"/>
  <c r="L65" i="123"/>
  <c r="L191" i="123"/>
  <c r="L169" i="123"/>
  <c r="L165" i="123"/>
  <c r="L21" i="123"/>
  <c r="L16" i="123"/>
  <c r="L145" i="123"/>
  <c r="L138" i="123"/>
  <c r="L130" i="123"/>
  <c r="L123" i="123"/>
  <c r="L115" i="123"/>
  <c r="L107" i="123"/>
  <c r="L99" i="123"/>
  <c r="L91" i="123"/>
  <c r="L4" i="123"/>
  <c r="L163" i="123"/>
  <c r="L157" i="123"/>
  <c r="L152" i="123"/>
  <c r="L14" i="123"/>
  <c r="L142" i="123"/>
  <c r="L135" i="123"/>
  <c r="L127" i="123"/>
  <c r="L120" i="123"/>
  <c r="L112" i="123"/>
  <c r="L104" i="123"/>
  <c r="L97" i="123"/>
  <c r="L88" i="123"/>
  <c r="L83" i="123"/>
  <c r="L75" i="123"/>
  <c r="L67" i="123"/>
  <c r="L57" i="123"/>
  <c r="L199" i="123"/>
  <c r="L180" i="123"/>
  <c r="L161" i="123"/>
  <c r="L156" i="123"/>
  <c r="L20" i="123"/>
  <c r="L18" i="123"/>
  <c r="L146" i="123"/>
  <c r="L140" i="123"/>
  <c r="L132" i="123"/>
  <c r="L124" i="123"/>
  <c r="L117" i="123"/>
  <c r="L109" i="123"/>
  <c r="L101" i="123"/>
  <c r="L93" i="123"/>
  <c r="L85" i="123"/>
  <c r="L80" i="123"/>
  <c r="L174" i="123"/>
  <c r="L19" i="123"/>
  <c r="L150" i="123"/>
  <c r="L144" i="123"/>
  <c r="L137" i="123"/>
  <c r="L129" i="123"/>
  <c r="L122" i="123"/>
  <c r="L114" i="123"/>
  <c r="L106" i="123"/>
  <c r="L288" i="123"/>
  <c r="L90" i="123"/>
  <c r="L3" i="123"/>
  <c r="L184" i="123"/>
  <c r="L177" i="123"/>
  <c r="L160" i="123"/>
  <c r="L155" i="123"/>
  <c r="L151" i="123"/>
  <c r="L148" i="123"/>
  <c r="L12" i="123"/>
  <c r="L134" i="123"/>
  <c r="L126" i="123"/>
  <c r="L119" i="123"/>
  <c r="L111" i="123"/>
  <c r="L103" i="123"/>
  <c r="L96" i="123"/>
  <c r="L87" i="123"/>
  <c r="L82" i="123"/>
  <c r="L74" i="123"/>
  <c r="L66" i="123"/>
  <c r="L56" i="123"/>
  <c r="L159" i="123"/>
  <c r="L154" i="123"/>
  <c r="L17" i="123"/>
  <c r="L13" i="123"/>
  <c r="L139" i="123"/>
  <c r="L131" i="123"/>
  <c r="L287" i="123"/>
  <c r="L116" i="123"/>
  <c r="L108" i="123"/>
  <c r="L100" i="123"/>
  <c r="L92" i="123"/>
  <c r="L6" i="123"/>
  <c r="L79" i="123"/>
  <c r="L71" i="123"/>
  <c r="L136" i="123"/>
  <c r="L105" i="123"/>
  <c r="L76" i="123"/>
  <c r="L68" i="123"/>
  <c r="L63" i="123"/>
  <c r="L292" i="123"/>
  <c r="L300" i="123"/>
  <c r="L308" i="123"/>
  <c r="L316" i="123"/>
  <c r="L324" i="123"/>
  <c r="L332" i="123"/>
  <c r="L340" i="123"/>
  <c r="L348" i="123"/>
  <c r="L356" i="123"/>
  <c r="L364" i="123"/>
  <c r="L72" i="123"/>
  <c r="L64" i="123"/>
  <c r="L11" i="123"/>
  <c r="L295" i="123"/>
  <c r="L303" i="123"/>
  <c r="L311" i="123"/>
  <c r="L319" i="123"/>
  <c r="L327" i="123"/>
  <c r="L335" i="123"/>
  <c r="L343" i="123"/>
  <c r="L351" i="123"/>
  <c r="L359" i="123"/>
  <c r="L367" i="123"/>
  <c r="L375" i="123"/>
  <c r="L383" i="123"/>
  <c r="L391" i="123"/>
  <c r="L399" i="123"/>
  <c r="L128" i="123"/>
  <c r="L98" i="123"/>
  <c r="L298" i="123"/>
  <c r="L306" i="123"/>
  <c r="L314" i="123"/>
  <c r="L322" i="123"/>
  <c r="L330" i="123"/>
  <c r="L338" i="123"/>
  <c r="L346" i="123"/>
  <c r="L354" i="123"/>
  <c r="L362" i="123"/>
  <c r="L370" i="123"/>
  <c r="L378" i="123"/>
  <c r="L386" i="123"/>
  <c r="L394" i="123"/>
  <c r="L77" i="123"/>
  <c r="L69" i="123"/>
  <c r="L10" i="123"/>
  <c r="L293" i="123"/>
  <c r="L301" i="123"/>
  <c r="L309" i="123"/>
  <c r="L317" i="123"/>
  <c r="L325" i="123"/>
  <c r="L333" i="123"/>
  <c r="L341" i="123"/>
  <c r="L349" i="123"/>
  <c r="L357" i="123"/>
  <c r="L365" i="123"/>
  <c r="L373" i="123"/>
  <c r="L381" i="123"/>
  <c r="L389" i="123"/>
  <c r="L187" i="123"/>
  <c r="L149" i="123"/>
  <c r="L121" i="123"/>
  <c r="L89" i="123"/>
  <c r="L296" i="123"/>
  <c r="L304" i="123"/>
  <c r="L312" i="123"/>
  <c r="L320" i="123"/>
  <c r="L328" i="123"/>
  <c r="L336" i="123"/>
  <c r="L344" i="123"/>
  <c r="L352" i="123"/>
  <c r="L360" i="123"/>
  <c r="L368" i="123"/>
  <c r="L376" i="123"/>
  <c r="L70" i="123"/>
  <c r="L58" i="123"/>
  <c r="L291" i="123"/>
  <c r="L299" i="123"/>
  <c r="L307" i="123"/>
  <c r="L315" i="123"/>
  <c r="L323" i="123"/>
  <c r="L331" i="123"/>
  <c r="L339" i="123"/>
  <c r="L347" i="123"/>
  <c r="L355" i="123"/>
  <c r="L363" i="123"/>
  <c r="L371" i="123"/>
  <c r="L379" i="123"/>
  <c r="L387" i="123"/>
  <c r="L78" i="123"/>
  <c r="L62" i="123"/>
  <c r="L297" i="123"/>
  <c r="L305" i="123"/>
  <c r="L313" i="123"/>
  <c r="L321" i="123"/>
  <c r="L329" i="123"/>
  <c r="L337" i="123"/>
  <c r="L345" i="123"/>
  <c r="L353" i="123"/>
  <c r="L361" i="123"/>
  <c r="L369" i="123"/>
  <c r="L377" i="123"/>
  <c r="L385" i="123"/>
  <c r="L143" i="123"/>
  <c r="L310" i="123"/>
  <c r="L342" i="123"/>
  <c r="L388" i="123"/>
  <c r="L397" i="123"/>
  <c r="L404" i="123"/>
  <c r="L412" i="123"/>
  <c r="L420" i="123"/>
  <c r="L406" i="123"/>
  <c r="L59" i="123"/>
  <c r="L390" i="123"/>
  <c r="L395" i="123"/>
  <c r="L396" i="123"/>
  <c r="L398" i="123"/>
  <c r="L407" i="123"/>
  <c r="L415" i="123"/>
  <c r="L318" i="123"/>
  <c r="L350" i="123"/>
  <c r="L374" i="123"/>
  <c r="L380" i="123"/>
  <c r="L402" i="123"/>
  <c r="L410" i="123"/>
  <c r="L418" i="123"/>
  <c r="L414" i="123"/>
  <c r="L382" i="123"/>
  <c r="L392" i="123"/>
  <c r="L393" i="123"/>
  <c r="L405" i="123"/>
  <c r="L413" i="123"/>
  <c r="L421" i="123"/>
  <c r="L113" i="123"/>
  <c r="L84" i="123"/>
  <c r="L294" i="123"/>
  <c r="L326" i="123"/>
  <c r="L358" i="123"/>
  <c r="L372" i="123"/>
  <c r="L384" i="123"/>
  <c r="L400" i="123"/>
  <c r="L408" i="123"/>
  <c r="L416" i="123"/>
  <c r="L366" i="123"/>
  <c r="L403" i="123"/>
  <c r="L411" i="123"/>
  <c r="L419" i="123"/>
  <c r="L334" i="123"/>
  <c r="L401" i="123"/>
  <c r="L409" i="123"/>
  <c r="L417" i="123"/>
  <c r="L302" i="123"/>
  <c r="M208" i="123"/>
  <c r="M204" i="123"/>
  <c r="M207" i="123"/>
  <c r="M206" i="123"/>
  <c r="M195" i="123"/>
  <c r="M187" i="123"/>
  <c r="M180" i="123"/>
  <c r="M173" i="123"/>
  <c r="M165" i="123"/>
  <c r="M157" i="123"/>
  <c r="M153" i="123"/>
  <c r="M205" i="123"/>
  <c r="M200" i="123"/>
  <c r="M192" i="123"/>
  <c r="M274" i="123"/>
  <c r="M178" i="123"/>
  <c r="M203" i="123"/>
  <c r="M197" i="123"/>
  <c r="M189" i="123"/>
  <c r="M182" i="123"/>
  <c r="M175" i="123"/>
  <c r="M167" i="123"/>
  <c r="M199" i="123"/>
  <c r="M191" i="123"/>
  <c r="M184" i="123"/>
  <c r="M201" i="123"/>
  <c r="M196" i="123"/>
  <c r="M188" i="123"/>
  <c r="M181" i="123"/>
  <c r="M174" i="123"/>
  <c r="M210" i="123"/>
  <c r="M193" i="123"/>
  <c r="M185" i="123"/>
  <c r="M24" i="123"/>
  <c r="M171" i="123"/>
  <c r="M209" i="123"/>
  <c r="M95" i="123"/>
  <c r="M198" i="123"/>
  <c r="M22" i="123"/>
  <c r="M149" i="123"/>
  <c r="M143" i="123"/>
  <c r="M136" i="123"/>
  <c r="M128" i="123"/>
  <c r="M121" i="123"/>
  <c r="M113" i="123"/>
  <c r="M105" i="123"/>
  <c r="M98" i="123"/>
  <c r="M89" i="123"/>
  <c r="M84" i="123"/>
  <c r="M76" i="123"/>
  <c r="M68" i="123"/>
  <c r="M58" i="123"/>
  <c r="M183" i="123"/>
  <c r="M168" i="123"/>
  <c r="M166" i="123"/>
  <c r="M158" i="123"/>
  <c r="M280" i="123"/>
  <c r="M147" i="123"/>
  <c r="M141" i="123"/>
  <c r="M133" i="123"/>
  <c r="M125" i="123"/>
  <c r="M118" i="123"/>
  <c r="M110" i="123"/>
  <c r="M102" i="123"/>
  <c r="M94" i="123"/>
  <c r="M86" i="123"/>
  <c r="M81" i="123"/>
  <c r="M169" i="123"/>
  <c r="M164" i="123"/>
  <c r="M21" i="123"/>
  <c r="M16" i="123"/>
  <c r="M145" i="123"/>
  <c r="M138" i="123"/>
  <c r="M130" i="123"/>
  <c r="M123" i="123"/>
  <c r="M115" i="123"/>
  <c r="M107" i="123"/>
  <c r="M99" i="123"/>
  <c r="M91" i="123"/>
  <c r="M4" i="123"/>
  <c r="M78" i="123"/>
  <c r="M70" i="123"/>
  <c r="M62" i="123"/>
  <c r="M202" i="123"/>
  <c r="M186" i="123"/>
  <c r="M176" i="123"/>
  <c r="M163" i="123"/>
  <c r="M152" i="123"/>
  <c r="M14" i="123"/>
  <c r="M142" i="123"/>
  <c r="M135" i="123"/>
  <c r="M127" i="123"/>
  <c r="M120" i="123"/>
  <c r="M112" i="123"/>
  <c r="M104" i="123"/>
  <c r="M97" i="123"/>
  <c r="M88" i="123"/>
  <c r="M83" i="123"/>
  <c r="M170" i="123"/>
  <c r="M162" i="123"/>
  <c r="M161" i="123"/>
  <c r="M156" i="123"/>
  <c r="M20" i="123"/>
  <c r="M18" i="123"/>
  <c r="M146" i="123"/>
  <c r="M140" i="123"/>
  <c r="M132" i="123"/>
  <c r="M124" i="123"/>
  <c r="M117" i="123"/>
  <c r="M109" i="123"/>
  <c r="M101" i="123"/>
  <c r="M93" i="123"/>
  <c r="M85" i="123"/>
  <c r="M80" i="123"/>
  <c r="M190" i="123"/>
  <c r="M19" i="123"/>
  <c r="M150" i="123"/>
  <c r="M144" i="123"/>
  <c r="M137" i="123"/>
  <c r="M129" i="123"/>
  <c r="M122" i="123"/>
  <c r="M114" i="123"/>
  <c r="M106" i="123"/>
  <c r="M288" i="123"/>
  <c r="M90" i="123"/>
  <c r="M3" i="123"/>
  <c r="M77" i="123"/>
  <c r="M69" i="123"/>
  <c r="M59" i="123"/>
  <c r="M177" i="123"/>
  <c r="M160" i="123"/>
  <c r="M155" i="123"/>
  <c r="M151" i="123"/>
  <c r="M148" i="123"/>
  <c r="M12" i="123"/>
  <c r="M134" i="123"/>
  <c r="M126" i="123"/>
  <c r="M119" i="123"/>
  <c r="M111" i="123"/>
  <c r="M103" i="123"/>
  <c r="M96" i="123"/>
  <c r="M87" i="123"/>
  <c r="M82" i="123"/>
  <c r="M74" i="123"/>
  <c r="M66" i="123"/>
  <c r="M154" i="123"/>
  <c r="M13" i="123"/>
  <c r="M116" i="123"/>
  <c r="M6" i="123"/>
  <c r="M71" i="123"/>
  <c r="M56" i="123"/>
  <c r="M297" i="123"/>
  <c r="M305" i="123"/>
  <c r="M313" i="123"/>
  <c r="M321" i="123"/>
  <c r="M329" i="123"/>
  <c r="M337" i="123"/>
  <c r="M345" i="123"/>
  <c r="M353" i="123"/>
  <c r="M361" i="123"/>
  <c r="M179" i="123"/>
  <c r="M63" i="123"/>
  <c r="M292" i="123"/>
  <c r="M300" i="123"/>
  <c r="M308" i="123"/>
  <c r="M316" i="123"/>
  <c r="M324" i="123"/>
  <c r="M332" i="123"/>
  <c r="M340" i="123"/>
  <c r="M348" i="123"/>
  <c r="M356" i="123"/>
  <c r="M364" i="123"/>
  <c r="M372" i="123"/>
  <c r="M380" i="123"/>
  <c r="M388" i="123"/>
  <c r="M396" i="123"/>
  <c r="M139" i="123"/>
  <c r="M108" i="123"/>
  <c r="M72" i="123"/>
  <c r="M64" i="123"/>
  <c r="M11" i="123"/>
  <c r="M295" i="123"/>
  <c r="M303" i="123"/>
  <c r="M311" i="123"/>
  <c r="M319" i="123"/>
  <c r="M327" i="123"/>
  <c r="M335" i="123"/>
  <c r="M343" i="123"/>
  <c r="M351" i="123"/>
  <c r="M359" i="123"/>
  <c r="M367" i="123"/>
  <c r="M375" i="123"/>
  <c r="M383" i="123"/>
  <c r="M391" i="123"/>
  <c r="M194" i="123"/>
  <c r="M298" i="123"/>
  <c r="M306" i="123"/>
  <c r="M314" i="123"/>
  <c r="M322" i="123"/>
  <c r="M330" i="123"/>
  <c r="M338" i="123"/>
  <c r="M346" i="123"/>
  <c r="M354" i="123"/>
  <c r="M362" i="123"/>
  <c r="M370" i="123"/>
  <c r="M378" i="123"/>
  <c r="M386" i="123"/>
  <c r="M394" i="123"/>
  <c r="M131" i="123"/>
  <c r="M100" i="123"/>
  <c r="M79" i="123"/>
  <c r="M73" i="123"/>
  <c r="M65" i="123"/>
  <c r="M10" i="123"/>
  <c r="M293" i="123"/>
  <c r="M301" i="123"/>
  <c r="M309" i="123"/>
  <c r="M317" i="123"/>
  <c r="M325" i="123"/>
  <c r="M333" i="123"/>
  <c r="M341" i="123"/>
  <c r="M349" i="123"/>
  <c r="M357" i="123"/>
  <c r="M365" i="123"/>
  <c r="M373" i="123"/>
  <c r="M172" i="123"/>
  <c r="M159" i="123"/>
  <c r="M296" i="123"/>
  <c r="M304" i="123"/>
  <c r="M312" i="123"/>
  <c r="M320" i="123"/>
  <c r="M328" i="123"/>
  <c r="M336" i="123"/>
  <c r="M344" i="123"/>
  <c r="M352" i="123"/>
  <c r="M360" i="123"/>
  <c r="M368" i="123"/>
  <c r="M376" i="123"/>
  <c r="M384" i="123"/>
  <c r="M75" i="123"/>
  <c r="M67" i="123"/>
  <c r="M294" i="123"/>
  <c r="M302" i="123"/>
  <c r="M310" i="123"/>
  <c r="M318" i="123"/>
  <c r="M326" i="123"/>
  <c r="M334" i="123"/>
  <c r="M342" i="123"/>
  <c r="M350" i="123"/>
  <c r="M358" i="123"/>
  <c r="M366" i="123"/>
  <c r="M374" i="123"/>
  <c r="M382" i="123"/>
  <c r="M390" i="123"/>
  <c r="M299" i="123"/>
  <c r="M331" i="123"/>
  <c r="M363" i="123"/>
  <c r="M401" i="123"/>
  <c r="M409" i="123"/>
  <c r="M377" i="123"/>
  <c r="M411" i="123"/>
  <c r="M287" i="123"/>
  <c r="M371" i="123"/>
  <c r="M397" i="123"/>
  <c r="M404" i="123"/>
  <c r="M412" i="123"/>
  <c r="M420" i="123"/>
  <c r="M323" i="123"/>
  <c r="M355" i="123"/>
  <c r="M419" i="123"/>
  <c r="M307" i="123"/>
  <c r="M339" i="123"/>
  <c r="M369" i="123"/>
  <c r="M385" i="123"/>
  <c r="M395" i="123"/>
  <c r="M398" i="123"/>
  <c r="M407" i="123"/>
  <c r="M415" i="123"/>
  <c r="M291" i="123"/>
  <c r="M379" i="123"/>
  <c r="M17" i="123"/>
  <c r="M399" i="123"/>
  <c r="M402" i="123"/>
  <c r="M410" i="123"/>
  <c r="M418" i="123"/>
  <c r="M421" i="123"/>
  <c r="M403" i="123"/>
  <c r="M315" i="123"/>
  <c r="M347" i="123"/>
  <c r="M387" i="123"/>
  <c r="M392" i="123"/>
  <c r="M393" i="123"/>
  <c r="M405" i="123"/>
  <c r="M413" i="123"/>
  <c r="M57" i="123"/>
  <c r="M389" i="123"/>
  <c r="M400" i="123"/>
  <c r="M408" i="123"/>
  <c r="M416" i="123"/>
  <c r="M92" i="123"/>
  <c r="M381" i="123"/>
  <c r="M406" i="123"/>
  <c r="M414" i="123"/>
  <c r="M417" i="123"/>
  <c r="L42" i="124"/>
  <c r="L397" i="124"/>
  <c r="M375" i="124"/>
  <c r="M423" i="124"/>
  <c r="M531" i="124"/>
  <c r="L528" i="124"/>
  <c r="L57" i="124"/>
  <c r="M512" i="124"/>
  <c r="M569" i="124"/>
  <c r="M38" i="124"/>
  <c r="M61" i="124"/>
  <c r="M14" i="124"/>
  <c r="L34" i="124"/>
  <c r="L43" i="124"/>
  <c r="M382" i="124"/>
  <c r="M56" i="124"/>
  <c r="M26" i="124"/>
  <c r="M492" i="124"/>
  <c r="L56" i="124"/>
  <c r="L522" i="124"/>
  <c r="L31" i="124"/>
  <c r="L380" i="124"/>
  <c r="L478" i="124"/>
  <c r="L308" i="124"/>
  <c r="M584" i="124"/>
  <c r="M42" i="124"/>
  <c r="M380" i="124"/>
  <c r="L382" i="124"/>
  <c r="L512" i="124"/>
  <c r="M409" i="124"/>
  <c r="M480" i="124"/>
  <c r="M35" i="124"/>
  <c r="M57" i="124"/>
  <c r="L26" i="124"/>
  <c r="L417" i="124"/>
  <c r="M217" i="124"/>
  <c r="M305" i="124"/>
  <c r="M5" i="124"/>
  <c r="M205" i="124"/>
  <c r="M379" i="124"/>
  <c r="M491" i="124"/>
  <c r="M47" i="124"/>
  <c r="L357" i="124"/>
  <c r="L515" i="124"/>
  <c r="L379" i="124"/>
  <c r="M393" i="124"/>
  <c r="M48" i="124"/>
  <c r="M417" i="124"/>
  <c r="M540" i="124"/>
  <c r="M428" i="124"/>
  <c r="L487" i="124"/>
  <c r="M576" i="124"/>
  <c r="M564" i="124"/>
  <c r="L501" i="124"/>
  <c r="L58" i="124"/>
  <c r="L55" i="123"/>
  <c r="L51" i="124"/>
  <c r="L570" i="124"/>
  <c r="L582" i="124"/>
  <c r="L536" i="124"/>
  <c r="L408" i="124"/>
  <c r="L393" i="124"/>
  <c r="M402" i="124"/>
  <c r="M58" i="124"/>
  <c r="L410" i="124"/>
  <c r="L55" i="124"/>
  <c r="I358" i="124"/>
  <c r="I57" i="124"/>
  <c r="I219" i="124"/>
  <c r="I269" i="124"/>
  <c r="I197" i="124"/>
  <c r="I53" i="124"/>
  <c r="I31" i="124"/>
  <c r="I380" i="124"/>
  <c r="I478" i="124"/>
  <c r="I51" i="124"/>
  <c r="I541" i="124"/>
  <c r="I413" i="124"/>
  <c r="I382" i="124"/>
  <c r="I379" i="124"/>
  <c r="I504" i="124"/>
  <c r="I26" i="124"/>
  <c r="I18" i="124"/>
  <c r="I417" i="124"/>
  <c r="I38" i="124"/>
  <c r="I586" i="124"/>
  <c r="I498" i="124"/>
  <c r="I50" i="124"/>
  <c r="I428" i="124"/>
  <c r="I357" i="124"/>
  <c r="I56" i="124"/>
  <c r="I370" i="124"/>
  <c r="I528" i="124"/>
  <c r="I570" i="124"/>
  <c r="I438" i="124"/>
  <c r="I60" i="124"/>
  <c r="I21" i="124"/>
  <c r="I58" i="124"/>
  <c r="I55" i="123"/>
  <c r="H487" i="124"/>
  <c r="H357" i="124"/>
  <c r="H417" i="124"/>
  <c r="H492" i="124"/>
  <c r="H231" i="124"/>
  <c r="H382" i="124"/>
  <c r="H512" i="124"/>
  <c r="H485" i="124"/>
  <c r="H423" i="124"/>
  <c r="H336" i="124"/>
  <c r="H55" i="124"/>
  <c r="H399" i="124"/>
  <c r="H282" i="124"/>
  <c r="H51" i="124"/>
  <c r="H26" i="124"/>
  <c r="H56" i="124"/>
  <c r="H522" i="124"/>
  <c r="H428" i="124"/>
  <c r="H438" i="124"/>
  <c r="H21" i="124"/>
  <c r="H43" i="124"/>
  <c r="H495" i="124"/>
  <c r="H53" i="124"/>
  <c r="H358" i="124"/>
  <c r="H501" i="124"/>
  <c r="H298" i="124"/>
  <c r="H541" i="124"/>
  <c r="H31" i="124"/>
  <c r="H380" i="124"/>
  <c r="H23" i="124"/>
  <c r="H478" i="124"/>
  <c r="H379" i="124"/>
  <c r="H57" i="124"/>
  <c r="L319" i="124"/>
  <c r="L256" i="124"/>
  <c r="I452" i="124"/>
  <c r="L189" i="124"/>
  <c r="L274" i="124"/>
  <c r="L335" i="124"/>
  <c r="L222" i="124"/>
  <c r="L258" i="124"/>
  <c r="L286" i="124"/>
  <c r="L299" i="124"/>
  <c r="L209" i="124"/>
  <c r="L323" i="124"/>
  <c r="L504" i="124"/>
  <c r="L343" i="124"/>
  <c r="M245" i="124"/>
  <c r="M263" i="124"/>
  <c r="M255" i="124"/>
  <c r="M200" i="124"/>
  <c r="M485" i="124"/>
  <c r="L272" i="124"/>
  <c r="H58" i="124"/>
  <c r="I23" i="124"/>
  <c r="L304" i="124"/>
  <c r="L231" i="124"/>
  <c r="H452" i="124"/>
  <c r="L336" i="124"/>
  <c r="L298" i="124"/>
  <c r="L282" i="124"/>
  <c r="H505" i="124"/>
  <c r="M46" i="124"/>
  <c r="M371" i="124"/>
  <c r="L240" i="124"/>
  <c r="H388" i="124"/>
  <c r="G46" i="124"/>
  <c r="G272" i="124"/>
  <c r="G309" i="124"/>
  <c r="G34" i="124"/>
  <c r="G206" i="124"/>
  <c r="G238" i="124"/>
  <c r="G357" i="124"/>
  <c r="G485" i="124"/>
  <c r="G318" i="124"/>
  <c r="I515" i="124"/>
  <c r="H401" i="124"/>
  <c r="M394" i="124"/>
  <c r="M397" i="124"/>
  <c r="G247" i="124"/>
  <c r="G277" i="124"/>
  <c r="G410" i="124"/>
  <c r="G55" i="124"/>
  <c r="I512" i="124"/>
  <c r="G21" i="124"/>
  <c r="M266" i="124"/>
  <c r="M316" i="124"/>
  <c r="M198" i="124"/>
  <c r="M240" i="124"/>
  <c r="M265" i="124"/>
  <c r="M244" i="124"/>
  <c r="M289" i="124"/>
  <c r="M214" i="124"/>
  <c r="M270" i="124"/>
  <c r="M330" i="124"/>
  <c r="M541" i="124"/>
  <c r="G222" i="124"/>
  <c r="G56" i="124"/>
  <c r="G189" i="124"/>
  <c r="G231" i="124"/>
  <c r="G335" i="124"/>
  <c r="G286" i="124"/>
  <c r="G209" i="124"/>
  <c r="G358" i="124"/>
  <c r="G382" i="124"/>
  <c r="G417" i="124"/>
  <c r="G393" i="124"/>
  <c r="G229" i="124"/>
  <c r="G256" i="124"/>
  <c r="G26" i="124"/>
  <c r="G43" i="124"/>
  <c r="G269" i="124"/>
  <c r="G207" i="124"/>
  <c r="I375" i="124"/>
  <c r="G219" i="124"/>
  <c r="G205" i="124"/>
  <c r="G197" i="124"/>
  <c r="G512" i="124"/>
  <c r="G380" i="124"/>
  <c r="O380" i="124" s="1"/>
  <c r="G478" i="124"/>
  <c r="O478" i="124" s="1"/>
  <c r="G501" i="124"/>
  <c r="G388" i="124"/>
  <c r="G413" i="124"/>
  <c r="O413" i="124" s="1"/>
  <c r="G304" i="124"/>
  <c r="G274" i="124"/>
  <c r="G336" i="124"/>
  <c r="G487" i="124"/>
  <c r="G298" i="124"/>
  <c r="G370" i="124"/>
  <c r="G323" i="124"/>
  <c r="G282" i="124"/>
  <c r="G528" i="124"/>
  <c r="G50" i="124"/>
  <c r="O50" i="124" s="1"/>
  <c r="I397" i="124"/>
  <c r="G379" i="124"/>
  <c r="G319" i="124"/>
  <c r="G240" i="124"/>
  <c r="G258" i="124"/>
  <c r="G299" i="124"/>
  <c r="L485" i="124"/>
  <c r="G57" i="124"/>
  <c r="F56" i="124"/>
  <c r="F522" i="124"/>
  <c r="F53" i="124"/>
  <c r="F512" i="124"/>
  <c r="F34" i="124"/>
  <c r="F423" i="124"/>
  <c r="F57" i="124"/>
  <c r="F219" i="124"/>
  <c r="F222" i="124"/>
  <c r="F299" i="124"/>
  <c r="F197" i="124"/>
  <c r="F31" i="124"/>
  <c r="F380" i="124"/>
  <c r="F478" i="124"/>
  <c r="F402" i="124"/>
  <c r="F501" i="124"/>
  <c r="F379" i="124"/>
  <c r="F304" i="124"/>
  <c r="F319" i="124"/>
  <c r="F375" i="124"/>
  <c r="F240" i="124"/>
  <c r="F207" i="124"/>
  <c r="F26" i="124"/>
  <c r="F345" i="124"/>
  <c r="F498" i="124"/>
  <c r="F495" i="124"/>
  <c r="F582" i="124"/>
  <c r="F586" i="124"/>
  <c r="L309" i="124"/>
  <c r="L269" i="124"/>
  <c r="F50" i="124"/>
  <c r="F55" i="124"/>
  <c r="F38" i="124"/>
  <c r="E570" i="124"/>
  <c r="E57" i="124"/>
  <c r="H304" i="124"/>
  <c r="H240" i="124"/>
  <c r="H346" i="124"/>
  <c r="H325" i="124"/>
  <c r="E51" i="124"/>
  <c r="G53" i="124"/>
  <c r="E382" i="124"/>
  <c r="E512" i="124"/>
  <c r="E38" i="124"/>
  <c r="E23" i="124"/>
  <c r="E408" i="124"/>
  <c r="E401" i="124"/>
  <c r="L438" i="124"/>
  <c r="L21" i="124"/>
  <c r="M481" i="124"/>
  <c r="E240" i="124"/>
  <c r="E269" i="124"/>
  <c r="E346" i="124"/>
  <c r="E26" i="124"/>
  <c r="I410" i="124"/>
  <c r="E53" i="124"/>
  <c r="E417" i="124"/>
  <c r="E582" i="124"/>
  <c r="E357" i="124"/>
  <c r="F487" i="124"/>
  <c r="H370" i="124"/>
  <c r="E42" i="124"/>
  <c r="E18" i="124"/>
  <c r="E410" i="124"/>
  <c r="E423" i="124"/>
  <c r="E56" i="124"/>
  <c r="E189" i="124"/>
  <c r="E256" i="124"/>
  <c r="E274" i="124"/>
  <c r="E335" i="124"/>
  <c r="E522" i="124"/>
  <c r="E258" i="124"/>
  <c r="E286" i="124"/>
  <c r="E299" i="124"/>
  <c r="E209" i="124"/>
  <c r="E323" i="124"/>
  <c r="E528" i="124"/>
  <c r="E343" i="124"/>
  <c r="E308" i="124"/>
  <c r="E438" i="124"/>
  <c r="E60" i="124"/>
  <c r="E21" i="124"/>
  <c r="E393" i="124"/>
  <c r="I42" i="124"/>
  <c r="E43" i="124"/>
  <c r="E495" i="124"/>
  <c r="E515" i="124"/>
  <c r="E61" i="124"/>
  <c r="I522" i="124"/>
  <c r="E541" i="124"/>
  <c r="E31" i="124"/>
  <c r="E380" i="124"/>
  <c r="E402" i="124"/>
  <c r="E379" i="124"/>
  <c r="L399" i="124"/>
  <c r="E413" i="124"/>
  <c r="F60" i="124"/>
  <c r="H272" i="124"/>
  <c r="H309" i="124"/>
  <c r="G582" i="124"/>
  <c r="H397" i="124"/>
  <c r="E536" i="124"/>
  <c r="L505" i="124"/>
  <c r="G60" i="124"/>
  <c r="H256" i="124"/>
  <c r="L219" i="124"/>
  <c r="H42" i="124"/>
  <c r="G495" i="124"/>
  <c r="F410" i="124"/>
  <c r="L541" i="124"/>
  <c r="G397" i="124"/>
  <c r="I501" i="124"/>
  <c r="G61" i="124"/>
  <c r="H189" i="124"/>
  <c r="H274" i="124"/>
  <c r="H335" i="124"/>
  <c r="H258" i="124"/>
  <c r="H286" i="124"/>
  <c r="H299" i="124"/>
  <c r="H209" i="124"/>
  <c r="H323" i="124"/>
  <c r="H528" i="124"/>
  <c r="H343" i="124"/>
  <c r="H498" i="124"/>
  <c r="I43" i="124"/>
  <c r="E55" i="124"/>
  <c r="G541" i="124"/>
  <c r="G31" i="124"/>
  <c r="G38" i="124"/>
  <c r="I393" i="124"/>
  <c r="I536" i="124"/>
  <c r="H205" i="124"/>
  <c r="H222" i="124"/>
  <c r="H277" i="124"/>
  <c r="E370" i="124"/>
  <c r="H34" i="124"/>
  <c r="H207" i="124"/>
  <c r="E504" i="124"/>
  <c r="G504" i="124"/>
  <c r="I485" i="124"/>
  <c r="F252" i="124"/>
  <c r="F245" i="124"/>
  <c r="F220" i="124"/>
  <c r="F344" i="124"/>
  <c r="F276" i="124"/>
  <c r="F43" i="124"/>
  <c r="H50" i="124"/>
  <c r="H38" i="124"/>
  <c r="F393" i="124"/>
  <c r="L492" i="124"/>
  <c r="F492" i="124"/>
  <c r="H402" i="124"/>
  <c r="F536" i="124"/>
  <c r="F505" i="124"/>
  <c r="L401" i="124"/>
  <c r="H319" i="124"/>
  <c r="I61" i="124"/>
  <c r="H219" i="124"/>
  <c r="H269" i="124"/>
  <c r="E34" i="124"/>
  <c r="E358" i="124"/>
  <c r="I55" i="124"/>
  <c r="G423" i="124"/>
  <c r="F408" i="124"/>
  <c r="G438" i="124"/>
  <c r="I189" i="124"/>
  <c r="E452" i="124"/>
  <c r="F42" i="124"/>
  <c r="E50" i="124"/>
  <c r="E478" i="124"/>
  <c r="F399" i="124"/>
  <c r="H413" i="124"/>
  <c r="L428" i="124"/>
  <c r="E304" i="124"/>
  <c r="F189" i="124"/>
  <c r="F274" i="124"/>
  <c r="F335" i="124"/>
  <c r="F269" i="124"/>
  <c r="F286" i="124"/>
  <c r="F370" i="124"/>
  <c r="F209" i="124"/>
  <c r="F323" i="124"/>
  <c r="I34" i="124"/>
  <c r="F528" i="124"/>
  <c r="F343" i="124"/>
  <c r="F217" i="124"/>
  <c r="E245" i="124"/>
  <c r="E247" i="124"/>
  <c r="E187" i="124"/>
  <c r="L50" i="124"/>
  <c r="E492" i="124"/>
  <c r="I378" i="124"/>
  <c r="G428" i="124"/>
  <c r="I423" i="124"/>
  <c r="H375" i="124"/>
  <c r="F256" i="124"/>
  <c r="E231" i="124"/>
  <c r="F452" i="124"/>
  <c r="E336" i="124"/>
  <c r="E487" i="124"/>
  <c r="F258" i="124"/>
  <c r="E298" i="124"/>
  <c r="L370" i="124"/>
  <c r="E282" i="124"/>
  <c r="F308" i="124"/>
  <c r="F346" i="124"/>
  <c r="F325" i="124"/>
  <c r="E252" i="124"/>
  <c r="F229" i="124"/>
  <c r="F199" i="124"/>
  <c r="L498" i="124"/>
  <c r="F329" i="124"/>
  <c r="E344" i="124"/>
  <c r="E270" i="124"/>
  <c r="F358" i="124"/>
  <c r="H582" i="124"/>
  <c r="L443" i="124"/>
  <c r="G399" i="124"/>
  <c r="G408" i="124"/>
  <c r="I388" i="124"/>
  <c r="L60" i="124"/>
  <c r="E40" i="124"/>
  <c r="F504" i="124"/>
  <c r="L358" i="124"/>
  <c r="G570" i="124"/>
  <c r="L23" i="124"/>
  <c r="L61" i="124"/>
  <c r="E272" i="124"/>
  <c r="E309" i="124"/>
  <c r="E206" i="124"/>
  <c r="E238" i="124"/>
  <c r="H18" i="124"/>
  <c r="H410" i="124"/>
  <c r="L402" i="124"/>
  <c r="G402" i="124"/>
  <c r="H515" i="124"/>
  <c r="F413" i="124"/>
  <c r="F428" i="124"/>
  <c r="G505" i="124"/>
  <c r="H61" i="124"/>
  <c r="F231" i="124"/>
  <c r="F336" i="124"/>
  <c r="E222" i="124"/>
  <c r="F298" i="124"/>
  <c r="E277" i="124"/>
  <c r="F282" i="124"/>
  <c r="E249" i="124"/>
  <c r="I495" i="124"/>
  <c r="F51" i="124"/>
  <c r="I381" i="124"/>
  <c r="I582" i="124"/>
  <c r="E397" i="124"/>
  <c r="G47" i="124"/>
  <c r="F23" i="124"/>
  <c r="I402" i="124"/>
  <c r="E399" i="124"/>
  <c r="L413" i="124"/>
  <c r="H60" i="124"/>
  <c r="M530" i="124"/>
  <c r="F272" i="124"/>
  <c r="G452" i="124"/>
  <c r="F205" i="124"/>
  <c r="E205" i="124"/>
  <c r="F309" i="124"/>
  <c r="F277" i="124"/>
  <c r="E207" i="124"/>
  <c r="F206" i="124"/>
  <c r="F238" i="124"/>
  <c r="F357" i="124"/>
  <c r="F485" i="124"/>
  <c r="E325" i="124"/>
  <c r="F18" i="124"/>
  <c r="G18" i="124"/>
  <c r="L38" i="124"/>
  <c r="G536" i="124"/>
  <c r="O536" i="124" s="1"/>
  <c r="E505" i="124"/>
  <c r="L586" i="124"/>
  <c r="M51" i="124"/>
  <c r="M367" i="124"/>
  <c r="M357" i="124"/>
  <c r="M378" i="124"/>
  <c r="M534" i="124"/>
  <c r="E319" i="124"/>
  <c r="E219" i="124"/>
  <c r="H393" i="124"/>
  <c r="F397" i="124"/>
  <c r="I256" i="124"/>
  <c r="I258" i="124"/>
  <c r="G29" i="124"/>
  <c r="L18" i="124"/>
  <c r="G492" i="124"/>
  <c r="F438" i="124"/>
  <c r="M352" i="124"/>
  <c r="M191" i="124"/>
  <c r="M271" i="124"/>
  <c r="M538" i="124"/>
  <c r="L452" i="124"/>
  <c r="L355" i="124"/>
  <c r="G42" i="124"/>
  <c r="G498" i="124"/>
  <c r="H570" i="124"/>
  <c r="G23" i="124"/>
  <c r="H536" i="124"/>
  <c r="H586" i="124"/>
  <c r="M318" i="124"/>
  <c r="M324" i="124"/>
  <c r="L205" i="124"/>
  <c r="L495" i="124"/>
  <c r="F388" i="124"/>
  <c r="M398" i="124"/>
  <c r="G522" i="124"/>
  <c r="I487" i="124"/>
  <c r="H504" i="124"/>
  <c r="E485" i="124"/>
  <c r="G51" i="124"/>
  <c r="F515" i="124"/>
  <c r="G515" i="124"/>
  <c r="H408" i="124"/>
  <c r="I401" i="124"/>
  <c r="G586" i="124"/>
  <c r="M532" i="124"/>
  <c r="M498" i="124"/>
  <c r="I304" i="124"/>
  <c r="I319" i="124"/>
  <c r="I240" i="124"/>
  <c r="I207" i="124"/>
  <c r="I492" i="124"/>
  <c r="E501" i="124"/>
  <c r="I505" i="124"/>
  <c r="I552" i="124"/>
  <c r="F401" i="124"/>
  <c r="M199" i="124"/>
  <c r="M32" i="124"/>
  <c r="I46" i="124"/>
  <c r="O46" i="124" s="1"/>
  <c r="I272" i="124"/>
  <c r="I309" i="124"/>
  <c r="H29" i="124"/>
  <c r="I206" i="124"/>
  <c r="I238" i="124"/>
  <c r="E498" i="124"/>
  <c r="F270" i="124"/>
  <c r="I32" i="124"/>
  <c r="L552" i="124"/>
  <c r="F552" i="124"/>
  <c r="L423" i="124"/>
  <c r="I408" i="124"/>
  <c r="L40" i="124"/>
  <c r="M254" i="124"/>
  <c r="M30" i="124"/>
  <c r="M250" i="124"/>
  <c r="M209" i="124"/>
  <c r="M326" i="124"/>
  <c r="M327" i="124"/>
  <c r="M334" i="124"/>
  <c r="M226" i="124"/>
  <c r="M252" i="124"/>
  <c r="M224" i="124"/>
  <c r="M267" i="124"/>
  <c r="M281" i="124"/>
  <c r="M420" i="124"/>
  <c r="M257" i="124"/>
  <c r="M291" i="124"/>
  <c r="M487" i="124"/>
  <c r="M60" i="124"/>
  <c r="M239" i="124"/>
  <c r="M197" i="124"/>
  <c r="M410" i="124"/>
  <c r="L375" i="124"/>
  <c r="L53" i="124"/>
  <c r="F541" i="124"/>
  <c r="F570" i="124"/>
  <c r="I399" i="124"/>
  <c r="L217" i="124"/>
  <c r="H220" i="124"/>
  <c r="G249" i="124"/>
  <c r="H199" i="124"/>
  <c r="F235" i="124"/>
  <c r="G267" i="124"/>
  <c r="E532" i="124"/>
  <c r="I47" i="124"/>
  <c r="F378" i="124"/>
  <c r="L403" i="124"/>
  <c r="M506" i="124"/>
  <c r="M478" i="124"/>
  <c r="L207" i="124"/>
  <c r="G343" i="124"/>
  <c r="G345" i="124"/>
  <c r="G245" i="124"/>
  <c r="E586" i="124"/>
  <c r="M528" i="124"/>
  <c r="M31" i="124"/>
  <c r="E58" i="124"/>
  <c r="E55" i="123"/>
  <c r="E552" i="124"/>
  <c r="E355" i="124"/>
  <c r="L252" i="124"/>
  <c r="G344" i="124"/>
  <c r="G187" i="124"/>
  <c r="H381" i="124"/>
  <c r="F381" i="124"/>
  <c r="G373" i="124"/>
  <c r="E403" i="124"/>
  <c r="M306" i="124"/>
  <c r="M396" i="124"/>
  <c r="G308" i="124"/>
  <c r="G325" i="124"/>
  <c r="G58" i="124"/>
  <c r="G55" i="123"/>
  <c r="G346" i="124"/>
  <c r="M361" i="124"/>
  <c r="M53" i="124"/>
  <c r="F58" i="124"/>
  <c r="F55" i="123"/>
  <c r="G217" i="124"/>
  <c r="M55" i="124"/>
  <c r="M21" i="124"/>
  <c r="F61" i="124"/>
  <c r="L46" i="124"/>
  <c r="I274" i="124"/>
  <c r="I335" i="124"/>
  <c r="I286" i="124"/>
  <c r="L277" i="124"/>
  <c r="I209" i="124"/>
  <c r="I323" i="124"/>
  <c r="I355" i="124"/>
  <c r="I29" i="124"/>
  <c r="L206" i="124"/>
  <c r="L238" i="124"/>
  <c r="I343" i="124"/>
  <c r="E197" i="124"/>
  <c r="L318" i="124"/>
  <c r="E217" i="124"/>
  <c r="H345" i="124"/>
  <c r="L245" i="124"/>
  <c r="E229" i="124"/>
  <c r="L229" i="124"/>
  <c r="F249" i="124"/>
  <c r="G199" i="124"/>
  <c r="H247" i="124"/>
  <c r="G329" i="124"/>
  <c r="H187" i="124"/>
  <c r="G564" i="124"/>
  <c r="F355" i="124"/>
  <c r="L29" i="124"/>
  <c r="I308" i="124"/>
  <c r="I346" i="124"/>
  <c r="I325" i="124"/>
  <c r="H14" i="124"/>
  <c r="H252" i="124"/>
  <c r="I229" i="124"/>
  <c r="L249" i="124"/>
  <c r="I199" i="124"/>
  <c r="I329" i="124"/>
  <c r="H430" i="124"/>
  <c r="I564" i="124"/>
  <c r="H270" i="124"/>
  <c r="L9" i="124"/>
  <c r="F327" i="124"/>
  <c r="I235" i="124"/>
  <c r="L267" i="124"/>
  <c r="I255" i="124"/>
  <c r="H268" i="124"/>
  <c r="I584" i="124"/>
  <c r="I242" i="124"/>
  <c r="F373" i="124"/>
  <c r="E14" i="124"/>
  <c r="E430" i="124"/>
  <c r="F564" i="124"/>
  <c r="L327" i="124"/>
  <c r="H235" i="124"/>
  <c r="H255" i="124"/>
  <c r="F255" i="124"/>
  <c r="L348" i="124"/>
  <c r="E268" i="124"/>
  <c r="H584" i="124"/>
  <c r="F584" i="124"/>
  <c r="F242" i="124"/>
  <c r="I241" i="124"/>
  <c r="E201" i="124"/>
  <c r="E218" i="124"/>
  <c r="L218" i="124"/>
  <c r="H196" i="124"/>
  <c r="H46" i="124"/>
  <c r="E375" i="124"/>
  <c r="I205" i="124"/>
  <c r="I299" i="124"/>
  <c r="G355" i="124"/>
  <c r="H206" i="124"/>
  <c r="H238" i="124"/>
  <c r="H318" i="124"/>
  <c r="F14" i="124"/>
  <c r="E220" i="124"/>
  <c r="E199" i="124"/>
  <c r="I247" i="124"/>
  <c r="L329" i="124"/>
  <c r="L276" i="124"/>
  <c r="I187" i="124"/>
  <c r="L564" i="124"/>
  <c r="H9" i="124"/>
  <c r="G327" i="124"/>
  <c r="E235" i="124"/>
  <c r="E46" i="124"/>
  <c r="G375" i="124"/>
  <c r="I231" i="124"/>
  <c r="I336" i="124"/>
  <c r="I222" i="124"/>
  <c r="I298" i="124"/>
  <c r="I277" i="124"/>
  <c r="I282" i="124"/>
  <c r="E29" i="124"/>
  <c r="H308" i="124"/>
  <c r="L197" i="124"/>
  <c r="L325" i="124"/>
  <c r="E318" i="124"/>
  <c r="H217" i="124"/>
  <c r="E345" i="124"/>
  <c r="G14" i="124"/>
  <c r="G252" i="124"/>
  <c r="G220" i="124"/>
  <c r="H249" i="124"/>
  <c r="F247" i="124"/>
  <c r="G430" i="124"/>
  <c r="G276" i="124"/>
  <c r="F187" i="124"/>
  <c r="H355" i="124"/>
  <c r="I345" i="124"/>
  <c r="I252" i="124"/>
  <c r="I245" i="124"/>
  <c r="I220" i="124"/>
  <c r="H229" i="124"/>
  <c r="L247" i="124"/>
  <c r="L344" i="124"/>
  <c r="I344" i="124"/>
  <c r="F430" i="124"/>
  <c r="I276" i="124"/>
  <c r="L187" i="124"/>
  <c r="I270" i="124"/>
  <c r="H327" i="124"/>
  <c r="E267" i="124"/>
  <c r="I348" i="124"/>
  <c r="F268" i="124"/>
  <c r="I318" i="124"/>
  <c r="L14" i="124"/>
  <c r="H329" i="124"/>
  <c r="I430" i="124"/>
  <c r="L430" i="124"/>
  <c r="H276" i="124"/>
  <c r="H564" i="124"/>
  <c r="L270" i="124"/>
  <c r="E9" i="124"/>
  <c r="E327" i="124"/>
  <c r="H208" i="124"/>
  <c r="E348" i="124"/>
  <c r="L268" i="124"/>
  <c r="H242" i="124"/>
  <c r="L201" i="124"/>
  <c r="F46" i="124"/>
  <c r="F29" i="124"/>
  <c r="L346" i="124"/>
  <c r="H197" i="124"/>
  <c r="F318" i="124"/>
  <c r="I217" i="124"/>
  <c r="L345" i="124"/>
  <c r="I14" i="124"/>
  <c r="H245" i="124"/>
  <c r="L220" i="124"/>
  <c r="I249" i="124"/>
  <c r="L199" i="124"/>
  <c r="E329" i="124"/>
  <c r="H344" i="124"/>
  <c r="E276" i="124"/>
  <c r="E564" i="124"/>
  <c r="L235" i="124"/>
  <c r="G9" i="124"/>
  <c r="I9" i="124"/>
  <c r="I327" i="124"/>
  <c r="G235" i="124"/>
  <c r="G255" i="124"/>
  <c r="G348" i="124"/>
  <c r="G268" i="124"/>
  <c r="G584" i="124"/>
  <c r="I373" i="124"/>
  <c r="H373" i="124"/>
  <c r="E241" i="124"/>
  <c r="F218" i="124"/>
  <c r="L320" i="124"/>
  <c r="H203" i="124"/>
  <c r="G203" i="124"/>
  <c r="I291" i="124"/>
  <c r="L198" i="124"/>
  <c r="F284" i="124"/>
  <c r="H284" i="124"/>
  <c r="I332" i="124"/>
  <c r="I297" i="124"/>
  <c r="I190" i="124"/>
  <c r="F253" i="124"/>
  <c r="E47" i="124"/>
  <c r="E443" i="124"/>
  <c r="L356" i="124"/>
  <c r="G313" i="124"/>
  <c r="F225" i="124"/>
  <c r="F244" i="124"/>
  <c r="H314" i="124"/>
  <c r="F377" i="124"/>
  <c r="H377" i="124"/>
  <c r="I195" i="124"/>
  <c r="G193" i="124"/>
  <c r="I260" i="124"/>
  <c r="G311" i="124"/>
  <c r="H540" i="124"/>
  <c r="I540" i="124"/>
  <c r="H16" i="124"/>
  <c r="L221" i="124"/>
  <c r="G259" i="124"/>
  <c r="F280" i="124"/>
  <c r="H306" i="124"/>
  <c r="H254" i="124"/>
  <c r="F188" i="124"/>
  <c r="G273" i="124"/>
  <c r="H352" i="124"/>
  <c r="G211" i="124"/>
  <c r="G447" i="124"/>
  <c r="H322" i="124"/>
  <c r="E32" i="124"/>
  <c r="H215" i="124"/>
  <c r="L233" i="124"/>
  <c r="G303" i="124"/>
  <c r="F251" i="124"/>
  <c r="G194" i="124"/>
  <c r="F30" i="124"/>
  <c r="L30" i="124"/>
  <c r="I192" i="124"/>
  <c r="G262" i="124"/>
  <c r="H271" i="124"/>
  <c r="G342" i="124"/>
  <c r="G552" i="124"/>
  <c r="L294" i="124"/>
  <c r="I334" i="124"/>
  <c r="E388" i="124"/>
  <c r="G403" i="124"/>
  <c r="I403" i="124"/>
  <c r="I312" i="124"/>
  <c r="I228" i="124"/>
  <c r="L264" i="124"/>
  <c r="G264" i="124"/>
  <c r="E373" i="124"/>
  <c r="H201" i="124"/>
  <c r="G218" i="124"/>
  <c r="G320" i="124"/>
  <c r="H532" i="124"/>
  <c r="E196" i="124"/>
  <c r="I481" i="124"/>
  <c r="I5" i="124"/>
  <c r="H289" i="124"/>
  <c r="I203" i="124"/>
  <c r="F291" i="124"/>
  <c r="G198" i="124"/>
  <c r="H290" i="124"/>
  <c r="F332" i="124"/>
  <c r="F297" i="124"/>
  <c r="F190" i="124"/>
  <c r="L253" i="124"/>
  <c r="H204" i="124"/>
  <c r="G443" i="124"/>
  <c r="I500" i="124"/>
  <c r="G356" i="124"/>
  <c r="H437" i="124"/>
  <c r="I225" i="124"/>
  <c r="G225" i="124"/>
  <c r="L239" i="124"/>
  <c r="F314" i="124"/>
  <c r="G377" i="124"/>
  <c r="H237" i="124"/>
  <c r="F195" i="124"/>
  <c r="L246" i="124"/>
  <c r="I193" i="124"/>
  <c r="F260" i="124"/>
  <c r="I311" i="124"/>
  <c r="G301" i="124"/>
  <c r="I301" i="124"/>
  <c r="E16" i="124"/>
  <c r="I259" i="124"/>
  <c r="L280" i="124"/>
  <c r="E306" i="124"/>
  <c r="E254" i="124"/>
  <c r="L188" i="124"/>
  <c r="I273" i="124"/>
  <c r="E352" i="124"/>
  <c r="L315" i="124"/>
  <c r="I211" i="124"/>
  <c r="F293" i="124"/>
  <c r="I447" i="124"/>
  <c r="G322" i="124"/>
  <c r="H32" i="124"/>
  <c r="E215" i="124"/>
  <c r="G233" i="124"/>
  <c r="I303" i="124"/>
  <c r="L251" i="124"/>
  <c r="I194" i="124"/>
  <c r="H30" i="124"/>
  <c r="G30" i="124"/>
  <c r="F192" i="124"/>
  <c r="I262" i="124"/>
  <c r="E271" i="124"/>
  <c r="I342" i="124"/>
  <c r="F334" i="124"/>
  <c r="H579" i="124"/>
  <c r="F403" i="124"/>
  <c r="E4" i="124"/>
  <c r="F312" i="124"/>
  <c r="F228" i="124"/>
  <c r="E264" i="124"/>
  <c r="I264" i="124"/>
  <c r="F587" i="124"/>
  <c r="H324" i="124"/>
  <c r="I250" i="124"/>
  <c r="L576" i="124"/>
  <c r="G212" i="124"/>
  <c r="H317" i="124"/>
  <c r="G196" i="124"/>
  <c r="L481" i="124"/>
  <c r="F481" i="124"/>
  <c r="F5" i="124"/>
  <c r="E289" i="124"/>
  <c r="F203" i="124"/>
  <c r="L291" i="124"/>
  <c r="E284" i="124"/>
  <c r="E290" i="124"/>
  <c r="L332" i="124"/>
  <c r="L297" i="124"/>
  <c r="L190" i="124"/>
  <c r="E204" i="124"/>
  <c r="I443" i="124"/>
  <c r="F500" i="124"/>
  <c r="E437" i="124"/>
  <c r="I313" i="124"/>
  <c r="E225" i="124"/>
  <c r="H244" i="124"/>
  <c r="I314" i="124"/>
  <c r="E377" i="124"/>
  <c r="L377" i="124"/>
  <c r="E237" i="124"/>
  <c r="L195" i="124"/>
  <c r="F193" i="124"/>
  <c r="L260" i="124"/>
  <c r="F311" i="124"/>
  <c r="H301" i="124"/>
  <c r="F301" i="124"/>
  <c r="G540" i="124"/>
  <c r="L540" i="124"/>
  <c r="F259" i="124"/>
  <c r="G280" i="124"/>
  <c r="G188" i="124"/>
  <c r="F273" i="124"/>
  <c r="H300" i="124"/>
  <c r="I352" i="124"/>
  <c r="G315" i="124"/>
  <c r="F211" i="124"/>
  <c r="G293" i="124"/>
  <c r="I293" i="124"/>
  <c r="H447" i="124"/>
  <c r="F447" i="124"/>
  <c r="I322" i="124"/>
  <c r="H285" i="124"/>
  <c r="G59" i="124"/>
  <c r="H59" i="124"/>
  <c r="H283" i="124"/>
  <c r="F303" i="124"/>
  <c r="G251" i="124"/>
  <c r="F194" i="124"/>
  <c r="L192" i="124"/>
  <c r="H262" i="124"/>
  <c r="F262" i="124"/>
  <c r="H342" i="124"/>
  <c r="F342" i="124"/>
  <c r="G294" i="124"/>
  <c r="H538" i="124"/>
  <c r="G538" i="124"/>
  <c r="L334" i="124"/>
  <c r="G579" i="124"/>
  <c r="E579" i="124"/>
  <c r="I4" i="124"/>
  <c r="L312" i="124"/>
  <c r="L228" i="124"/>
  <c r="F264" i="124"/>
  <c r="I400" i="124"/>
  <c r="L587" i="124"/>
  <c r="E324" i="124"/>
  <c r="G250" i="124"/>
  <c r="F250" i="124"/>
  <c r="G576" i="124"/>
  <c r="I248" i="124"/>
  <c r="E317" i="124"/>
  <c r="I333" i="124"/>
  <c r="G333" i="124"/>
  <c r="E265" i="124"/>
  <c r="L296" i="124"/>
  <c r="I316" i="124"/>
  <c r="E354" i="124"/>
  <c r="H226" i="124"/>
  <c r="E371" i="124"/>
  <c r="I227" i="124"/>
  <c r="E48" i="124"/>
  <c r="L223" i="124"/>
  <c r="F208" i="124"/>
  <c r="L208" i="124"/>
  <c r="I267" i="124"/>
  <c r="E255" i="124"/>
  <c r="L381" i="124"/>
  <c r="E584" i="124"/>
  <c r="G242" i="124"/>
  <c r="L242" i="124"/>
  <c r="F241" i="124"/>
  <c r="H320" i="124"/>
  <c r="L532" i="124"/>
  <c r="G481" i="124"/>
  <c r="G5" i="124"/>
  <c r="L5" i="124"/>
  <c r="H198" i="124"/>
  <c r="L284" i="124"/>
  <c r="G290" i="124"/>
  <c r="G332" i="124"/>
  <c r="G253" i="124"/>
  <c r="F47" i="124"/>
  <c r="G204" i="124"/>
  <c r="F443" i="124"/>
  <c r="H356" i="124"/>
  <c r="G437" i="124"/>
  <c r="F313" i="124"/>
  <c r="H225" i="124"/>
  <c r="E239" i="124"/>
  <c r="E314" i="124"/>
  <c r="G195" i="124"/>
  <c r="E246" i="124"/>
  <c r="L193" i="124"/>
  <c r="L311" i="124"/>
  <c r="E540" i="124"/>
  <c r="F16" i="124"/>
  <c r="G16" i="124"/>
  <c r="I531" i="124"/>
  <c r="F221" i="124"/>
  <c r="H221" i="124"/>
  <c r="L378" i="124"/>
  <c r="L259" i="124"/>
  <c r="I306" i="124"/>
  <c r="L214" i="124"/>
  <c r="I254" i="124"/>
  <c r="L273" i="124"/>
  <c r="E300" i="124"/>
  <c r="G352" i="124"/>
  <c r="I315" i="124"/>
  <c r="L211" i="124"/>
  <c r="H293" i="124"/>
  <c r="E293" i="124"/>
  <c r="E447" i="124"/>
  <c r="F322" i="124"/>
  <c r="G32" i="124"/>
  <c r="L32" i="124"/>
  <c r="I215" i="124"/>
  <c r="E285" i="124"/>
  <c r="E59" i="124"/>
  <c r="H233" i="124"/>
  <c r="E283" i="124"/>
  <c r="L303" i="124"/>
  <c r="E428" i="124"/>
  <c r="L194" i="124"/>
  <c r="E262" i="124"/>
  <c r="I271" i="124"/>
  <c r="G577" i="124"/>
  <c r="F577" i="124"/>
  <c r="E342" i="124"/>
  <c r="L257" i="124"/>
  <c r="L4" i="124"/>
  <c r="F4" i="124"/>
  <c r="G312" i="124"/>
  <c r="G270" i="124"/>
  <c r="F9" i="124"/>
  <c r="F267" i="124"/>
  <c r="H267" i="124"/>
  <c r="F348" i="124"/>
  <c r="I268" i="124"/>
  <c r="G381" i="124"/>
  <c r="L241" i="124"/>
  <c r="I201" i="124"/>
  <c r="I218" i="124"/>
  <c r="E320" i="124"/>
  <c r="G532" i="124"/>
  <c r="I289" i="124"/>
  <c r="E198" i="124"/>
  <c r="G284" i="124"/>
  <c r="I290" i="124"/>
  <c r="I253" i="124"/>
  <c r="L47" i="124"/>
  <c r="I204" i="124"/>
  <c r="H500" i="124"/>
  <c r="E356" i="124"/>
  <c r="I437" i="124"/>
  <c r="H239" i="124"/>
  <c r="G239" i="124"/>
  <c r="E244" i="124"/>
  <c r="G314" i="124"/>
  <c r="I377" i="124"/>
  <c r="I237" i="124"/>
  <c r="H246" i="124"/>
  <c r="G260" i="124"/>
  <c r="E531" i="124"/>
  <c r="E221" i="124"/>
  <c r="E378" i="124"/>
  <c r="H280" i="124"/>
  <c r="F306" i="124"/>
  <c r="G214" i="124"/>
  <c r="F254" i="124"/>
  <c r="H188" i="124"/>
  <c r="G300" i="124"/>
  <c r="F352" i="124"/>
  <c r="F315" i="124"/>
  <c r="H315" i="124"/>
  <c r="F215" i="124"/>
  <c r="G285" i="124"/>
  <c r="I59" i="124"/>
  <c r="E233" i="124"/>
  <c r="G283" i="124"/>
  <c r="H251" i="124"/>
  <c r="E30" i="124"/>
  <c r="F271" i="124"/>
  <c r="I294" i="124"/>
  <c r="I538" i="124"/>
  <c r="G257" i="124"/>
  <c r="I579" i="124"/>
  <c r="L388" i="124"/>
  <c r="G4" i="124"/>
  <c r="L400" i="124"/>
  <c r="L373" i="124"/>
  <c r="G241" i="124"/>
  <c r="O241" i="124" s="1"/>
  <c r="F201" i="124"/>
  <c r="L196" i="124"/>
  <c r="I196" i="124"/>
  <c r="E481" i="124"/>
  <c r="F289" i="124"/>
  <c r="L203" i="124"/>
  <c r="H291" i="124"/>
  <c r="I284" i="124"/>
  <c r="F290" i="124"/>
  <c r="H332" i="124"/>
  <c r="H297" i="124"/>
  <c r="H190" i="124"/>
  <c r="F204" i="124"/>
  <c r="G500" i="124"/>
  <c r="F437" i="124"/>
  <c r="E313" i="124"/>
  <c r="I239" i="124"/>
  <c r="G244" i="124"/>
  <c r="L314" i="124"/>
  <c r="F237" i="124"/>
  <c r="H195" i="124"/>
  <c r="I246" i="124"/>
  <c r="H260" i="124"/>
  <c r="E301" i="124"/>
  <c r="L531" i="124"/>
  <c r="G531" i="124"/>
  <c r="O531" i="124" s="1"/>
  <c r="E280" i="124"/>
  <c r="L306" i="124"/>
  <c r="I214" i="124"/>
  <c r="L254" i="124"/>
  <c r="E188" i="124"/>
  <c r="I300" i="124"/>
  <c r="L352" i="124"/>
  <c r="E315" i="124"/>
  <c r="E322" i="124"/>
  <c r="L215" i="124"/>
  <c r="I285" i="124"/>
  <c r="I283" i="124"/>
  <c r="E251" i="124"/>
  <c r="H192" i="124"/>
  <c r="L271" i="124"/>
  <c r="H577" i="124"/>
  <c r="E577" i="124"/>
  <c r="E294" i="124"/>
  <c r="E538" i="124"/>
  <c r="F538" i="124"/>
  <c r="H334" i="124"/>
  <c r="I257" i="124"/>
  <c r="H403" i="124"/>
  <c r="H312" i="124"/>
  <c r="H228" i="124"/>
  <c r="G400" i="124"/>
  <c r="H587" i="124"/>
  <c r="F324" i="124"/>
  <c r="E576" i="124"/>
  <c r="G248" i="124"/>
  <c r="F317" i="124"/>
  <c r="I320" i="124"/>
  <c r="I532" i="124"/>
  <c r="F196" i="124"/>
  <c r="H481" i="124"/>
  <c r="H5" i="124"/>
  <c r="L289" i="124"/>
  <c r="E291" i="124"/>
  <c r="I198" i="124"/>
  <c r="L290" i="124"/>
  <c r="E332" i="124"/>
  <c r="E297" i="124"/>
  <c r="E190" i="124"/>
  <c r="H253" i="124"/>
  <c r="L204" i="124"/>
  <c r="L500" i="124"/>
  <c r="I356" i="124"/>
  <c r="L437" i="124"/>
  <c r="L313" i="124"/>
  <c r="F239" i="124"/>
  <c r="L237" i="124"/>
  <c r="E195" i="124"/>
  <c r="F246" i="124"/>
  <c r="H193" i="124"/>
  <c r="E260" i="124"/>
  <c r="H311" i="124"/>
  <c r="F540" i="124"/>
  <c r="I16" i="124"/>
  <c r="F531" i="124"/>
  <c r="G221" i="124"/>
  <c r="H259" i="124"/>
  <c r="G306" i="124"/>
  <c r="H214" i="124"/>
  <c r="F214" i="124"/>
  <c r="G254" i="124"/>
  <c r="H273" i="124"/>
  <c r="F300" i="124"/>
  <c r="H211" i="124"/>
  <c r="G215" i="124"/>
  <c r="F285" i="124"/>
  <c r="F59" i="124"/>
  <c r="I233" i="124"/>
  <c r="F283" i="124"/>
  <c r="H303" i="124"/>
  <c r="H194" i="124"/>
  <c r="E192" i="124"/>
  <c r="G271" i="124"/>
  <c r="H294" i="124"/>
  <c r="L538" i="124"/>
  <c r="E334" i="124"/>
  <c r="H257" i="124"/>
  <c r="F257" i="124"/>
  <c r="L579" i="124"/>
  <c r="E312" i="124"/>
  <c r="E228" i="124"/>
  <c r="E587" i="124"/>
  <c r="L324" i="124"/>
  <c r="I212" i="124"/>
  <c r="L317" i="124"/>
  <c r="I331" i="124"/>
  <c r="L265" i="124"/>
  <c r="E35" i="124"/>
  <c r="F35" i="124"/>
  <c r="I279" i="124"/>
  <c r="E296" i="124"/>
  <c r="G216" i="124"/>
  <c r="I41" i="124"/>
  <c r="F37" i="124"/>
  <c r="L354" i="124"/>
  <c r="F226" i="124"/>
  <c r="L371" i="124"/>
  <c r="H232" i="124"/>
  <c r="I232" i="124"/>
  <c r="L48" i="124"/>
  <c r="F48" i="124"/>
  <c r="G208" i="124"/>
  <c r="I208" i="124"/>
  <c r="E208" i="124"/>
  <c r="L255" i="124"/>
  <c r="H348" i="124"/>
  <c r="E381" i="124"/>
  <c r="L584" i="124"/>
  <c r="E242" i="124"/>
  <c r="H241" i="124"/>
  <c r="G201" i="124"/>
  <c r="H218" i="124"/>
  <c r="F320" i="124"/>
  <c r="F532" i="124"/>
  <c r="E5" i="124"/>
  <c r="G289" i="124"/>
  <c r="O289" i="124" s="1"/>
  <c r="E203" i="124"/>
  <c r="G291" i="124"/>
  <c r="F198" i="124"/>
  <c r="G297" i="124"/>
  <c r="G190" i="124"/>
  <c r="E253" i="124"/>
  <c r="H47" i="124"/>
  <c r="H443" i="124"/>
  <c r="E500" i="124"/>
  <c r="F356" i="124"/>
  <c r="H313" i="124"/>
  <c r="L225" i="124"/>
  <c r="L244" i="124"/>
  <c r="I244" i="124"/>
  <c r="G237" i="124"/>
  <c r="G246" i="124"/>
  <c r="E193" i="124"/>
  <c r="E311" i="124"/>
  <c r="L301" i="124"/>
  <c r="L16" i="124"/>
  <c r="H531" i="124"/>
  <c r="I221" i="124"/>
  <c r="H378" i="124"/>
  <c r="G378" i="124"/>
  <c r="O378" i="124" s="1"/>
  <c r="E259" i="124"/>
  <c r="I280" i="124"/>
  <c r="E214" i="124"/>
  <c r="I188" i="124"/>
  <c r="E273" i="124"/>
  <c r="L300" i="124"/>
  <c r="E211" i="124"/>
  <c r="L293" i="124"/>
  <c r="L447" i="124"/>
  <c r="L322" i="124"/>
  <c r="F32" i="124"/>
  <c r="L285" i="124"/>
  <c r="L59" i="124"/>
  <c r="F233" i="124"/>
  <c r="L283" i="124"/>
  <c r="E303" i="124"/>
  <c r="I251" i="124"/>
  <c r="E194" i="124"/>
  <c r="I30" i="124"/>
  <c r="G192" i="124"/>
  <c r="L262" i="124"/>
  <c r="L577" i="124"/>
  <c r="I577" i="124"/>
  <c r="L342" i="124"/>
  <c r="H552" i="124"/>
  <c r="F294" i="124"/>
  <c r="G334" i="124"/>
  <c r="E257" i="124"/>
  <c r="F579" i="124"/>
  <c r="H4" i="124"/>
  <c r="G228" i="124"/>
  <c r="H264" i="124"/>
  <c r="H400" i="124"/>
  <c r="G324" i="124"/>
  <c r="E400" i="124"/>
  <c r="I587" i="124"/>
  <c r="H250" i="124"/>
  <c r="F576" i="124"/>
  <c r="L212" i="124"/>
  <c r="E248" i="124"/>
  <c r="L331" i="124"/>
  <c r="I265" i="124"/>
  <c r="F265" i="124"/>
  <c r="L279" i="124"/>
  <c r="F216" i="124"/>
  <c r="H216" i="124"/>
  <c r="E316" i="124"/>
  <c r="L41" i="124"/>
  <c r="G37" i="124"/>
  <c r="G371" i="124"/>
  <c r="E227" i="124"/>
  <c r="I223" i="124"/>
  <c r="G326" i="124"/>
  <c r="G328" i="124"/>
  <c r="L480" i="124"/>
  <c r="H321" i="124"/>
  <c r="L22" i="124"/>
  <c r="I530" i="124"/>
  <c r="H295" i="124"/>
  <c r="F292" i="124"/>
  <c r="H210" i="124"/>
  <c r="G278" i="124"/>
  <c r="H224" i="124"/>
  <c r="E263" i="124"/>
  <c r="G287" i="124"/>
  <c r="G230" i="124"/>
  <c r="G302" i="124"/>
  <c r="I420" i="124"/>
  <c r="H420" i="124"/>
  <c r="L396" i="124"/>
  <c r="G330" i="124"/>
  <c r="E341" i="124"/>
  <c r="G202" i="124"/>
  <c r="F191" i="124"/>
  <c r="F236" i="124"/>
  <c r="F307" i="124"/>
  <c r="H367" i="124"/>
  <c r="G367" i="124"/>
  <c r="G288" i="124"/>
  <c r="L281" i="124"/>
  <c r="G281" i="124"/>
  <c r="F200" i="124"/>
  <c r="I360" i="124"/>
  <c r="I275" i="124"/>
  <c r="F266" i="124"/>
  <c r="H569" i="124"/>
  <c r="M16" i="124"/>
  <c r="M329" i="124"/>
  <c r="M233" i="124"/>
  <c r="M242" i="124"/>
  <c r="M321" i="124"/>
  <c r="M312" i="124"/>
  <c r="M354" i="124"/>
  <c r="M288" i="124"/>
  <c r="M295" i="124"/>
  <c r="M293" i="124"/>
  <c r="M422" i="124"/>
  <c r="M552" i="124"/>
  <c r="M228" i="124"/>
  <c r="M274" i="124"/>
  <c r="M443" i="124"/>
  <c r="M504" i="124"/>
  <c r="M40" i="124"/>
  <c r="M23" i="124"/>
  <c r="M247" i="124"/>
  <c r="M413" i="124"/>
  <c r="M358" i="124"/>
  <c r="M338" i="124"/>
  <c r="M344" i="124"/>
  <c r="M192" i="124"/>
  <c r="M579" i="124"/>
  <c r="M290" i="124"/>
  <c r="M279" i="124"/>
  <c r="M377" i="124"/>
  <c r="G331" i="124"/>
  <c r="H265" i="124"/>
  <c r="G279" i="124"/>
  <c r="E216" i="124"/>
  <c r="G41" i="124"/>
  <c r="H354" i="124"/>
  <c r="H371" i="124"/>
  <c r="G232" i="124"/>
  <c r="H48" i="124"/>
  <c r="F223" i="124"/>
  <c r="H506" i="124"/>
  <c r="I326" i="124"/>
  <c r="E361" i="124"/>
  <c r="H337" i="124"/>
  <c r="L483" i="124"/>
  <c r="I328" i="124"/>
  <c r="G480" i="124"/>
  <c r="I321" i="124"/>
  <c r="E321" i="124"/>
  <c r="G22" i="124"/>
  <c r="I19" i="124"/>
  <c r="H394" i="124"/>
  <c r="F530" i="124"/>
  <c r="E295" i="124"/>
  <c r="L292" i="124"/>
  <c r="F213" i="124"/>
  <c r="H534" i="124"/>
  <c r="E210" i="124"/>
  <c r="L305" i="124"/>
  <c r="I278" i="124"/>
  <c r="E224" i="124"/>
  <c r="I224" i="124"/>
  <c r="I287" i="124"/>
  <c r="I230" i="124"/>
  <c r="F420" i="124"/>
  <c r="E420" i="124"/>
  <c r="F396" i="124"/>
  <c r="I330" i="124"/>
  <c r="I202" i="124"/>
  <c r="L191" i="124"/>
  <c r="L491" i="124"/>
  <c r="I491" i="124"/>
  <c r="L340" i="124"/>
  <c r="I422" i="124"/>
  <c r="G40" i="124"/>
  <c r="H40" i="124"/>
  <c r="L307" i="124"/>
  <c r="G398" i="124"/>
  <c r="I288" i="124"/>
  <c r="L310" i="124"/>
  <c r="I281" i="124"/>
  <c r="L200" i="124"/>
  <c r="I261" i="124"/>
  <c r="F360" i="124"/>
  <c r="F275" i="124"/>
  <c r="E347" i="124"/>
  <c r="E569" i="124"/>
  <c r="M231" i="124"/>
  <c r="M317" i="124"/>
  <c r="M355" i="124"/>
  <c r="M328" i="124"/>
  <c r="M201" i="124"/>
  <c r="M196" i="124"/>
  <c r="M249" i="124"/>
  <c r="M230" i="124"/>
  <c r="M536" i="124"/>
  <c r="M381" i="124"/>
  <c r="M17" i="124"/>
  <c r="M284" i="124"/>
  <c r="M399" i="124"/>
  <c r="M570" i="124"/>
  <c r="M296" i="124"/>
  <c r="M237" i="124"/>
  <c r="M282" i="124"/>
  <c r="M273" i="124"/>
  <c r="M341" i="124"/>
  <c r="M262" i="124"/>
  <c r="M345" i="124"/>
  <c r="M287" i="124"/>
  <c r="M261" i="124"/>
  <c r="M319" i="124"/>
  <c r="M587" i="124"/>
  <c r="M277" i="124"/>
  <c r="M223" i="124"/>
  <c r="M315" i="124"/>
  <c r="E506" i="124"/>
  <c r="H326" i="124"/>
  <c r="F326" i="124"/>
  <c r="E337" i="124"/>
  <c r="G483" i="124"/>
  <c r="L328" i="124"/>
  <c r="F328" i="124"/>
  <c r="H243" i="124"/>
  <c r="F321" i="124"/>
  <c r="H338" i="124"/>
  <c r="F19" i="124"/>
  <c r="E394" i="124"/>
  <c r="L530" i="124"/>
  <c r="E234" i="124"/>
  <c r="I234" i="124"/>
  <c r="L295" i="124"/>
  <c r="G292" i="124"/>
  <c r="I213" i="124"/>
  <c r="E534" i="124"/>
  <c r="G305" i="124"/>
  <c r="F278" i="124"/>
  <c r="F224" i="124"/>
  <c r="I263" i="124"/>
  <c r="F287" i="124"/>
  <c r="H339" i="124"/>
  <c r="F230" i="124"/>
  <c r="H302" i="124"/>
  <c r="I396" i="124"/>
  <c r="H330" i="124"/>
  <c r="F330" i="124"/>
  <c r="G341" i="124"/>
  <c r="H202" i="124"/>
  <c r="F202" i="124"/>
  <c r="G191" i="124"/>
  <c r="H491" i="124"/>
  <c r="F491" i="124"/>
  <c r="G340" i="124"/>
  <c r="F422" i="124"/>
  <c r="E236" i="124"/>
  <c r="G307" i="124"/>
  <c r="F398" i="124"/>
  <c r="L367" i="124"/>
  <c r="F288" i="124"/>
  <c r="H281" i="124"/>
  <c r="F281" i="124"/>
  <c r="G200" i="124"/>
  <c r="F261" i="124"/>
  <c r="L360" i="124"/>
  <c r="H17" i="124"/>
  <c r="L275" i="124"/>
  <c r="E266" i="124"/>
  <c r="M501" i="124"/>
  <c r="M370" i="124"/>
  <c r="M322" i="124"/>
  <c r="M586" i="124"/>
  <c r="M208" i="124"/>
  <c r="M310" i="124"/>
  <c r="M220" i="124"/>
  <c r="M43" i="124"/>
  <c r="M335" i="124"/>
  <c r="M356" i="124"/>
  <c r="M238" i="124"/>
  <c r="M577" i="124"/>
  <c r="F400" i="124"/>
  <c r="G401" i="124"/>
  <c r="G587" i="124"/>
  <c r="E250" i="124"/>
  <c r="H212" i="124"/>
  <c r="F248" i="124"/>
  <c r="G317" i="124"/>
  <c r="L333" i="124"/>
  <c r="H331" i="124"/>
  <c r="H279" i="124"/>
  <c r="I296" i="124"/>
  <c r="F316" i="124"/>
  <c r="H41" i="124"/>
  <c r="I37" i="124"/>
  <c r="E226" i="124"/>
  <c r="F227" i="124"/>
  <c r="G223" i="124"/>
  <c r="E326" i="124"/>
  <c r="G361" i="124"/>
  <c r="H361" i="124"/>
  <c r="G337" i="124"/>
  <c r="I483" i="124"/>
  <c r="E243" i="124"/>
  <c r="H480" i="124"/>
  <c r="E338" i="124"/>
  <c r="G19" i="124"/>
  <c r="L19" i="124"/>
  <c r="G530" i="124"/>
  <c r="G234" i="124"/>
  <c r="F234" i="124"/>
  <c r="E213" i="124"/>
  <c r="G213" i="124"/>
  <c r="I210" i="124"/>
  <c r="L278" i="124"/>
  <c r="G224" i="124"/>
  <c r="F263" i="124"/>
  <c r="L287" i="124"/>
  <c r="E339" i="124"/>
  <c r="L230" i="124"/>
  <c r="H396" i="124"/>
  <c r="E396" i="124"/>
  <c r="E330" i="124"/>
  <c r="L409" i="124"/>
  <c r="F341" i="124"/>
  <c r="E202" i="124"/>
  <c r="G491" i="124"/>
  <c r="G422" i="124"/>
  <c r="L422" i="124"/>
  <c r="L236" i="124"/>
  <c r="L398" i="124"/>
  <c r="F367" i="124"/>
  <c r="L288" i="124"/>
  <c r="E281" i="124"/>
  <c r="G261" i="124"/>
  <c r="E17" i="124"/>
  <c r="G17" i="124"/>
  <c r="L266" i="124"/>
  <c r="I569" i="124"/>
  <c r="M259" i="124"/>
  <c r="M187" i="124"/>
  <c r="M401" i="124"/>
  <c r="M286" i="124"/>
  <c r="M232" i="124"/>
  <c r="M347" i="124"/>
  <c r="M219" i="124"/>
  <c r="M269" i="124"/>
  <c r="M210" i="124"/>
  <c r="M495" i="124"/>
  <c r="M325" i="124"/>
  <c r="M222" i="124"/>
  <c r="M522" i="124"/>
  <c r="M343" i="124"/>
  <c r="M308" i="124"/>
  <c r="M221" i="124"/>
  <c r="M430" i="124"/>
  <c r="M303" i="124"/>
  <c r="M373" i="124"/>
  <c r="M320" i="124"/>
  <c r="M280" i="124"/>
  <c r="M403" i="124"/>
  <c r="M582" i="124"/>
  <c r="M41" i="124"/>
  <c r="M311" i="124"/>
  <c r="I324" i="124"/>
  <c r="L250" i="124"/>
  <c r="H576" i="124"/>
  <c r="E212" i="124"/>
  <c r="L248" i="124"/>
  <c r="I317" i="124"/>
  <c r="H333" i="124"/>
  <c r="E331" i="124"/>
  <c r="G265" i="124"/>
  <c r="H35" i="124"/>
  <c r="E279" i="124"/>
  <c r="L316" i="124"/>
  <c r="E41" i="124"/>
  <c r="E37" i="124"/>
  <c r="I354" i="124"/>
  <c r="I371" i="124"/>
  <c r="L227" i="124"/>
  <c r="E232" i="124"/>
  <c r="G48" i="124"/>
  <c r="I506" i="124"/>
  <c r="I337" i="124"/>
  <c r="F483" i="124"/>
  <c r="H483" i="124"/>
  <c r="G243" i="124"/>
  <c r="E480" i="124"/>
  <c r="I22" i="124"/>
  <c r="G394" i="124"/>
  <c r="L234" i="124"/>
  <c r="H292" i="124"/>
  <c r="H213" i="124"/>
  <c r="G534" i="124"/>
  <c r="F210" i="124"/>
  <c r="I305" i="124"/>
  <c r="H305" i="124"/>
  <c r="L263" i="124"/>
  <c r="G339" i="124"/>
  <c r="E302" i="124"/>
  <c r="G409" i="124"/>
  <c r="L341" i="124"/>
  <c r="H191" i="124"/>
  <c r="I340" i="124"/>
  <c r="H340" i="124"/>
  <c r="G236" i="124"/>
  <c r="I236" i="124"/>
  <c r="I40" i="124"/>
  <c r="H307" i="124"/>
  <c r="I310" i="124"/>
  <c r="H310" i="124"/>
  <c r="H200" i="124"/>
  <c r="E261" i="124"/>
  <c r="L347" i="124"/>
  <c r="G347" i="124"/>
  <c r="I266" i="124"/>
  <c r="F569" i="124"/>
  <c r="M292" i="124"/>
  <c r="M447" i="124"/>
  <c r="M9" i="124"/>
  <c r="M236" i="124"/>
  <c r="M294" i="124"/>
  <c r="M243" i="124"/>
  <c r="M452" i="124"/>
  <c r="M500" i="124"/>
  <c r="M206" i="124"/>
  <c r="M438" i="124"/>
  <c r="M299" i="124"/>
  <c r="M515" i="124"/>
  <c r="M59" i="124"/>
  <c r="M50" i="124"/>
  <c r="M22" i="124"/>
  <c r="M4" i="124"/>
  <c r="M297" i="124"/>
  <c r="M37" i="124"/>
  <c r="M246" i="124"/>
  <c r="M388" i="124"/>
  <c r="M234" i="124"/>
  <c r="M211" i="124"/>
  <c r="M340" i="124"/>
  <c r="M342" i="124"/>
  <c r="M213" i="124"/>
  <c r="M189" i="124"/>
  <c r="M212" i="124"/>
  <c r="M34" i="124"/>
  <c r="M337" i="124"/>
  <c r="E333" i="124"/>
  <c r="G35" i="124"/>
  <c r="I35" i="124"/>
  <c r="G296" i="124"/>
  <c r="H296" i="124"/>
  <c r="L216" i="124"/>
  <c r="G316" i="124"/>
  <c r="L37" i="124"/>
  <c r="F354" i="124"/>
  <c r="I226" i="124"/>
  <c r="G226" i="124"/>
  <c r="F371" i="124"/>
  <c r="G227" i="124"/>
  <c r="L232" i="124"/>
  <c r="I48" i="124"/>
  <c r="H223" i="124"/>
  <c r="F506" i="124"/>
  <c r="I361" i="124"/>
  <c r="F337" i="124"/>
  <c r="E483" i="124"/>
  <c r="H328" i="124"/>
  <c r="I243" i="124"/>
  <c r="L321" i="124"/>
  <c r="I338" i="124"/>
  <c r="G338" i="124"/>
  <c r="E22" i="124"/>
  <c r="I394" i="124"/>
  <c r="H530" i="124"/>
  <c r="G295" i="124"/>
  <c r="E292" i="124"/>
  <c r="I534" i="124"/>
  <c r="L210" i="124"/>
  <c r="F305" i="124"/>
  <c r="E305" i="124"/>
  <c r="L224" i="124"/>
  <c r="G263" i="124"/>
  <c r="I339" i="124"/>
  <c r="I302" i="124"/>
  <c r="L420" i="124"/>
  <c r="G396" i="124"/>
  <c r="I409" i="124"/>
  <c r="E191" i="124"/>
  <c r="F340" i="124"/>
  <c r="E340" i="124"/>
  <c r="F40" i="124"/>
  <c r="E307" i="124"/>
  <c r="I367" i="124"/>
  <c r="E310" i="124"/>
  <c r="E200" i="124"/>
  <c r="L261" i="124"/>
  <c r="H360" i="124"/>
  <c r="I17" i="124"/>
  <c r="H275" i="124"/>
  <c r="I347" i="124"/>
  <c r="G266" i="124"/>
  <c r="L569" i="124"/>
  <c r="M302" i="124"/>
  <c r="M215" i="124"/>
  <c r="M275" i="124"/>
  <c r="M408" i="124"/>
  <c r="M332" i="124"/>
  <c r="M216" i="124"/>
  <c r="M195" i="124"/>
  <c r="M336" i="124"/>
  <c r="M323" i="124"/>
  <c r="M19" i="124"/>
  <c r="M300" i="124"/>
  <c r="M202" i="124"/>
  <c r="M505" i="124"/>
  <c r="M256" i="124"/>
  <c r="M248" i="124"/>
  <c r="M207" i="124"/>
  <c r="M483" i="124"/>
  <c r="M285" i="124"/>
  <c r="M333" i="124"/>
  <c r="M229" i="124"/>
  <c r="M339" i="124"/>
  <c r="M268" i="124"/>
  <c r="M360" i="124"/>
  <c r="M18" i="124"/>
  <c r="M203" i="124"/>
  <c r="M309" i="124"/>
  <c r="M331" i="124"/>
  <c r="M225" i="124"/>
  <c r="M346" i="124"/>
  <c r="E223" i="124"/>
  <c r="L506" i="124"/>
  <c r="L361" i="124"/>
  <c r="F361" i="124"/>
  <c r="L337" i="124"/>
  <c r="E328" i="124"/>
  <c r="F243" i="124"/>
  <c r="I480" i="124"/>
  <c r="G321" i="124"/>
  <c r="F338" i="124"/>
  <c r="H22" i="124"/>
  <c r="H19" i="124"/>
  <c r="L394" i="124"/>
  <c r="F394" i="124"/>
  <c r="E530" i="124"/>
  <c r="I295" i="124"/>
  <c r="L534" i="124"/>
  <c r="F534" i="124"/>
  <c r="G210" i="124"/>
  <c r="H278" i="124"/>
  <c r="H287" i="124"/>
  <c r="F339" i="124"/>
  <c r="H230" i="124"/>
  <c r="L302" i="124"/>
  <c r="F302" i="124"/>
  <c r="G420" i="124"/>
  <c r="H409" i="124"/>
  <c r="F409" i="124"/>
  <c r="H422" i="124"/>
  <c r="H398" i="124"/>
  <c r="E367" i="124"/>
  <c r="H288" i="124"/>
  <c r="F310" i="124"/>
  <c r="H261" i="124"/>
  <c r="E360" i="124"/>
  <c r="F17" i="124"/>
  <c r="E275" i="124"/>
  <c r="F347" i="124"/>
  <c r="G569" i="124"/>
  <c r="M194" i="124"/>
  <c r="M218" i="124"/>
  <c r="M188" i="124"/>
  <c r="M264" i="124"/>
  <c r="M253" i="124"/>
  <c r="M258" i="124"/>
  <c r="M193" i="124"/>
  <c r="M301" i="124"/>
  <c r="I576" i="124"/>
  <c r="F212" i="124"/>
  <c r="H248" i="124"/>
  <c r="F333" i="124"/>
  <c r="F331" i="124"/>
  <c r="L35" i="124"/>
  <c r="F279" i="124"/>
  <c r="F296" i="124"/>
  <c r="I216" i="124"/>
  <c r="H316" i="124"/>
  <c r="F41" i="124"/>
  <c r="H37" i="124"/>
  <c r="G354" i="124"/>
  <c r="L226" i="124"/>
  <c r="H227" i="124"/>
  <c r="F232" i="124"/>
  <c r="G506" i="124"/>
  <c r="L326" i="124"/>
  <c r="L243" i="124"/>
  <c r="F480" i="124"/>
  <c r="L338" i="124"/>
  <c r="F22" i="124"/>
  <c r="E19" i="124"/>
  <c r="H234" i="124"/>
  <c r="F295" i="124"/>
  <c r="I292" i="124"/>
  <c r="L213" i="124"/>
  <c r="E278" i="124"/>
  <c r="H263" i="124"/>
  <c r="E287" i="124"/>
  <c r="L339" i="124"/>
  <c r="E230" i="124"/>
  <c r="L330" i="124"/>
  <c r="E409" i="124"/>
  <c r="I341" i="124"/>
  <c r="H341" i="124"/>
  <c r="L202" i="124"/>
  <c r="I191" i="124"/>
  <c r="E491" i="124"/>
  <c r="E422" i="124"/>
  <c r="H236" i="124"/>
  <c r="I307" i="124"/>
  <c r="I398" i="124"/>
  <c r="E398" i="124"/>
  <c r="E288" i="124"/>
  <c r="G310" i="124"/>
  <c r="I200" i="124"/>
  <c r="G360" i="124"/>
  <c r="L17" i="124"/>
  <c r="G275" i="124"/>
  <c r="H347" i="124"/>
  <c r="H266" i="124"/>
  <c r="M437" i="124"/>
  <c r="M251" i="124"/>
  <c r="M190" i="124"/>
  <c r="M314" i="124"/>
  <c r="M276" i="124"/>
  <c r="M241" i="124"/>
  <c r="M283" i="124"/>
  <c r="M304" i="124"/>
  <c r="M313" i="124"/>
  <c r="M400" i="124"/>
  <c r="M298" i="124"/>
  <c r="M227" i="124"/>
  <c r="M260" i="124"/>
  <c r="M235" i="124"/>
  <c r="M307" i="124"/>
  <c r="M278" i="124"/>
  <c r="M348" i="124"/>
  <c r="M272" i="124"/>
  <c r="M204" i="124"/>
  <c r="M29" i="124"/>
  <c r="E499" i="124"/>
  <c r="E460" i="124"/>
  <c r="E463" i="124"/>
  <c r="E545" i="124"/>
  <c r="E508" i="124"/>
  <c r="E461" i="124"/>
  <c r="E359" i="124"/>
  <c r="E489" i="124"/>
  <c r="E27" i="124"/>
  <c r="E471" i="124"/>
  <c r="E524" i="124"/>
  <c r="E544" i="124"/>
  <c r="E376" i="124"/>
  <c r="E392" i="124"/>
  <c r="E477" i="124"/>
  <c r="E389" i="124"/>
  <c r="E415" i="124"/>
  <c r="E421" i="124"/>
  <c r="E390" i="124"/>
  <c r="E507" i="124"/>
  <c r="E521" i="124"/>
  <c r="E66" i="124"/>
  <c r="E74" i="124"/>
  <c r="E82" i="124"/>
  <c r="E90" i="124"/>
  <c r="E98" i="124"/>
  <c r="E106" i="124"/>
  <c r="E113" i="124"/>
  <c r="E120" i="124"/>
  <c r="E128" i="124"/>
  <c r="E134" i="124"/>
  <c r="E142" i="124"/>
  <c r="E150" i="124"/>
  <c r="E157" i="124"/>
  <c r="E164" i="124"/>
  <c r="E170" i="124"/>
  <c r="E178" i="124"/>
  <c r="E186" i="124"/>
  <c r="E10" i="124"/>
  <c r="E143" i="124"/>
  <c r="E151" i="124"/>
  <c r="E165" i="124"/>
  <c r="E179" i="124"/>
  <c r="E578" i="124"/>
  <c r="E543" i="124"/>
  <c r="E435" i="124"/>
  <c r="E407" i="124"/>
  <c r="E456" i="124"/>
  <c r="E469" i="124"/>
  <c r="E433" i="124"/>
  <c r="E509" i="124"/>
  <c r="E474" i="124"/>
  <c r="E555" i="124"/>
  <c r="E513" i="124"/>
  <c r="E563" i="124"/>
  <c r="E52" i="124"/>
  <c r="E424" i="124"/>
  <c r="E546" i="124"/>
  <c r="E384" i="124"/>
  <c r="E440" i="124"/>
  <c r="E364" i="124"/>
  <c r="E366" i="124"/>
  <c r="E426" i="124"/>
  <c r="E425" i="124"/>
  <c r="E549" i="124"/>
  <c r="E573" i="124"/>
  <c r="E473" i="124"/>
  <c r="E67" i="124"/>
  <c r="E75" i="124"/>
  <c r="E83" i="124"/>
  <c r="E91" i="124"/>
  <c r="E99" i="124"/>
  <c r="E7" i="124"/>
  <c r="E114" i="124"/>
  <c r="E121" i="124"/>
  <c r="E135" i="124"/>
  <c r="E12" i="124"/>
  <c r="E171" i="124"/>
  <c r="E525" i="124"/>
  <c r="E551" i="124"/>
  <c r="E494" i="124"/>
  <c r="E439" i="124"/>
  <c r="E453" i="124"/>
  <c r="E556" i="124"/>
  <c r="E44" i="124"/>
  <c r="E529" i="124"/>
  <c r="E462" i="124"/>
  <c r="E535" i="124"/>
  <c r="E25" i="124"/>
  <c r="E49" i="124"/>
  <c r="E583" i="124"/>
  <c r="E520" i="124"/>
  <c r="E363" i="124"/>
  <c r="E457" i="124"/>
  <c r="E387" i="124"/>
  <c r="E588" i="124"/>
  <c r="E466" i="124"/>
  <c r="E353" i="124"/>
  <c r="E418" i="124"/>
  <c r="E533" i="124"/>
  <c r="E412" i="124"/>
  <c r="E561" i="124"/>
  <c r="E510" i="124"/>
  <c r="E68" i="124"/>
  <c r="E76" i="124"/>
  <c r="E84" i="124"/>
  <c r="E92" i="124"/>
  <c r="E100" i="124"/>
  <c r="E107" i="124"/>
  <c r="E115" i="124"/>
  <c r="E122" i="124"/>
  <c r="E6" i="124"/>
  <c r="E136" i="124"/>
  <c r="E144" i="124"/>
  <c r="E152" i="124"/>
  <c r="E158" i="124"/>
  <c r="E166" i="124"/>
  <c r="E172" i="124"/>
  <c r="E180" i="124"/>
  <c r="E482" i="124"/>
  <c r="E497" i="124"/>
  <c r="E472" i="124"/>
  <c r="E446" i="124"/>
  <c r="E526" i="124"/>
  <c r="E451" i="124"/>
  <c r="E24" i="124"/>
  <c r="E33" i="124"/>
  <c r="E581" i="124"/>
  <c r="E575" i="124"/>
  <c r="E450" i="124"/>
  <c r="E448" i="124"/>
  <c r="E454" i="124"/>
  <c r="E568" i="124"/>
  <c r="E442" i="124"/>
  <c r="E496" i="124"/>
  <c r="E36" i="124"/>
  <c r="E20" i="124"/>
  <c r="E54" i="124"/>
  <c r="E554" i="124"/>
  <c r="E395" i="124"/>
  <c r="E28" i="124"/>
  <c r="E372" i="124"/>
  <c r="E488" i="124"/>
  <c r="E414" i="124"/>
  <c r="E514" i="124"/>
  <c r="E404" i="124"/>
  <c r="E527" i="124"/>
  <c r="E486" i="124"/>
  <c r="E518" i="124"/>
  <c r="E62" i="124"/>
  <c r="E70" i="124"/>
  <c r="E78" i="124"/>
  <c r="E86" i="124"/>
  <c r="E94" i="124"/>
  <c r="E102" i="124"/>
  <c r="E109" i="124"/>
  <c r="E117" i="124"/>
  <c r="E124" i="124"/>
  <c r="E130" i="124"/>
  <c r="E138" i="124"/>
  <c r="E146" i="124"/>
  <c r="E154" i="124"/>
  <c r="E160" i="124"/>
  <c r="E3" i="124"/>
  <c r="E174" i="124"/>
  <c r="E182" i="124"/>
  <c r="E429" i="124"/>
  <c r="E467" i="124"/>
  <c r="E419" i="124"/>
  <c r="E432" i="124"/>
  <c r="E565" i="124"/>
  <c r="E434" i="124"/>
  <c r="E580" i="124"/>
  <c r="E39" i="124"/>
  <c r="E15" i="124"/>
  <c r="E455" i="124"/>
  <c r="E523" i="124"/>
  <c r="E349" i="124"/>
  <c r="E362" i="124"/>
  <c r="E511" i="124"/>
  <c r="E365" i="124"/>
  <c r="E383" i="124"/>
  <c r="E391" i="124"/>
  <c r="E405" i="124"/>
  <c r="E431" i="124"/>
  <c r="E548" i="124"/>
  <c r="E560" i="124"/>
  <c r="E63" i="124"/>
  <c r="E71" i="124"/>
  <c r="E79" i="124"/>
  <c r="E87" i="124"/>
  <c r="E95" i="124"/>
  <c r="E103" i="124"/>
  <c r="E110" i="124"/>
  <c r="E8" i="124"/>
  <c r="E125" i="124"/>
  <c r="E131" i="124"/>
  <c r="E139" i="124"/>
  <c r="E147" i="124"/>
  <c r="E13" i="124"/>
  <c r="E161" i="124"/>
  <c r="E11" i="124"/>
  <c r="E175" i="124"/>
  <c r="E183" i="124"/>
  <c r="E464" i="124"/>
  <c r="E445" i="124"/>
  <c r="E585" i="124"/>
  <c r="E553" i="124"/>
  <c r="E502" i="124"/>
  <c r="E562" i="124"/>
  <c r="E484" i="124"/>
  <c r="E65" i="124"/>
  <c r="E88" i="124"/>
  <c r="E108" i="124"/>
  <c r="E127" i="124"/>
  <c r="E148" i="124"/>
  <c r="E167" i="124"/>
  <c r="E185" i="124"/>
  <c r="E132" i="124"/>
  <c r="E155" i="124"/>
  <c r="E436" i="124"/>
  <c r="E411" i="124"/>
  <c r="E101" i="124"/>
  <c r="E177" i="124"/>
  <c r="E104" i="124"/>
  <c r="E449" i="124"/>
  <c r="E105" i="124"/>
  <c r="E184" i="124"/>
  <c r="E465" i="124"/>
  <c r="E566" i="124"/>
  <c r="E517" i="124"/>
  <c r="E374" i="124"/>
  <c r="E468" i="124"/>
  <c r="E369" i="124"/>
  <c r="E69" i="124"/>
  <c r="E89" i="124"/>
  <c r="E111" i="124"/>
  <c r="E129" i="124"/>
  <c r="E149" i="124"/>
  <c r="E168" i="124"/>
  <c r="E112" i="124"/>
  <c r="E169" i="124"/>
  <c r="E470" i="124"/>
  <c r="E558" i="124"/>
  <c r="E351" i="124"/>
  <c r="E416" i="124"/>
  <c r="E479" i="124"/>
  <c r="E542" i="124"/>
  <c r="E72" i="124"/>
  <c r="E93" i="124"/>
  <c r="E153" i="124"/>
  <c r="E173" i="124"/>
  <c r="E459" i="124"/>
  <c r="E490" i="124"/>
  <c r="E572" i="124"/>
  <c r="E119" i="124"/>
  <c r="E159" i="124"/>
  <c r="E427" i="124"/>
  <c r="E123" i="124"/>
  <c r="E181" i="124"/>
  <c r="E574" i="124"/>
  <c r="E547" i="124"/>
  <c r="E145" i="124"/>
  <c r="E503" i="124"/>
  <c r="E368" i="124"/>
  <c r="E385" i="124"/>
  <c r="E516" i="124"/>
  <c r="E406" i="124"/>
  <c r="E475" i="124"/>
  <c r="E73" i="124"/>
  <c r="E96" i="124"/>
  <c r="E116" i="124"/>
  <c r="E133" i="124"/>
  <c r="E493" i="124"/>
  <c r="E550" i="124"/>
  <c r="E539" i="124"/>
  <c r="E81" i="124"/>
  <c r="E162" i="124"/>
  <c r="E441" i="124"/>
  <c r="E64" i="124"/>
  <c r="E126" i="124"/>
  <c r="E519" i="124"/>
  <c r="E444" i="124"/>
  <c r="E567" i="124"/>
  <c r="E557" i="124"/>
  <c r="E571" i="124"/>
  <c r="E559" i="124"/>
  <c r="E77" i="124"/>
  <c r="E97" i="124"/>
  <c r="E118" i="124"/>
  <c r="E137" i="124"/>
  <c r="E156" i="124"/>
  <c r="E176" i="124"/>
  <c r="E537" i="124"/>
  <c r="E45" i="124"/>
  <c r="E80" i="124"/>
  <c r="E140" i="124"/>
  <c r="E458" i="124"/>
  <c r="E386" i="124"/>
  <c r="E476" i="124"/>
  <c r="E141" i="124"/>
  <c r="E350" i="124"/>
  <c r="E85" i="124"/>
  <c r="E163" i="124"/>
  <c r="H499" i="124"/>
  <c r="H460" i="124"/>
  <c r="H463" i="124"/>
  <c r="H545" i="124"/>
  <c r="H508" i="124"/>
  <c r="H461" i="124"/>
  <c r="H359" i="124"/>
  <c r="H489" i="124"/>
  <c r="H27" i="124"/>
  <c r="H471" i="124"/>
  <c r="H524" i="124"/>
  <c r="H544" i="124"/>
  <c r="H376" i="124"/>
  <c r="H392" i="124"/>
  <c r="H477" i="124"/>
  <c r="H389" i="124"/>
  <c r="H415" i="124"/>
  <c r="H421" i="124"/>
  <c r="H390" i="124"/>
  <c r="H507" i="124"/>
  <c r="H521" i="124"/>
  <c r="H66" i="124"/>
  <c r="H74" i="124"/>
  <c r="H82" i="124"/>
  <c r="H90" i="124"/>
  <c r="H98" i="124"/>
  <c r="H106" i="124"/>
  <c r="H113" i="124"/>
  <c r="H120" i="124"/>
  <c r="H128" i="124"/>
  <c r="H134" i="124"/>
  <c r="H142" i="124"/>
  <c r="H150" i="124"/>
  <c r="H157" i="124"/>
  <c r="H164" i="124"/>
  <c r="H170" i="124"/>
  <c r="H178" i="124"/>
  <c r="H186" i="124"/>
  <c r="H435" i="124"/>
  <c r="H407" i="124"/>
  <c r="H456" i="124"/>
  <c r="H469" i="124"/>
  <c r="H433" i="124"/>
  <c r="H509" i="124"/>
  <c r="H474" i="124"/>
  <c r="H555" i="124"/>
  <c r="H513" i="124"/>
  <c r="H563" i="124"/>
  <c r="H52" i="124"/>
  <c r="H424" i="124"/>
  <c r="H546" i="124"/>
  <c r="H384" i="124"/>
  <c r="H440" i="124"/>
  <c r="H364" i="124"/>
  <c r="H366" i="124"/>
  <c r="H426" i="124"/>
  <c r="H425" i="124"/>
  <c r="H549" i="124"/>
  <c r="H573" i="124"/>
  <c r="H473" i="124"/>
  <c r="H67" i="124"/>
  <c r="H75" i="124"/>
  <c r="H83" i="124"/>
  <c r="H91" i="124"/>
  <c r="H99" i="124"/>
  <c r="H7" i="124"/>
  <c r="H114" i="124"/>
  <c r="H121" i="124"/>
  <c r="H10" i="124"/>
  <c r="H135" i="124"/>
  <c r="H143" i="124"/>
  <c r="H151" i="124"/>
  <c r="H12" i="124"/>
  <c r="H165" i="124"/>
  <c r="H171" i="124"/>
  <c r="H179" i="124"/>
  <c r="H6" i="124"/>
  <c r="H152" i="124"/>
  <c r="H172" i="124"/>
  <c r="H482" i="124"/>
  <c r="H446" i="124"/>
  <c r="H525" i="124"/>
  <c r="H551" i="124"/>
  <c r="H350" i="124"/>
  <c r="H479" i="124"/>
  <c r="H475" i="124"/>
  <c r="H77" i="124"/>
  <c r="H101" i="124"/>
  <c r="H439" i="124"/>
  <c r="H453" i="124"/>
  <c r="H556" i="124"/>
  <c r="H44" i="124"/>
  <c r="H529" i="124"/>
  <c r="H462" i="124"/>
  <c r="H535" i="124"/>
  <c r="H25" i="124"/>
  <c r="H49" i="124"/>
  <c r="H583" i="124"/>
  <c r="H520" i="124"/>
  <c r="H363" i="124"/>
  <c r="H457" i="124"/>
  <c r="H387" i="124"/>
  <c r="H588" i="124"/>
  <c r="H466" i="124"/>
  <c r="H353" i="124"/>
  <c r="H418" i="124"/>
  <c r="H533" i="124"/>
  <c r="H412" i="124"/>
  <c r="H561" i="124"/>
  <c r="H510" i="124"/>
  <c r="H68" i="124"/>
  <c r="H76" i="124"/>
  <c r="H84" i="124"/>
  <c r="H92" i="124"/>
  <c r="H100" i="124"/>
  <c r="H107" i="124"/>
  <c r="H115" i="124"/>
  <c r="H122" i="124"/>
  <c r="H136" i="124"/>
  <c r="H144" i="124"/>
  <c r="H158" i="124"/>
  <c r="H166" i="124"/>
  <c r="H180" i="124"/>
  <c r="H497" i="124"/>
  <c r="H472" i="124"/>
  <c r="H451" i="124"/>
  <c r="H33" i="124"/>
  <c r="H581" i="124"/>
  <c r="H494" i="124"/>
  <c r="H574" i="124"/>
  <c r="H484" i="124"/>
  <c r="H69" i="124"/>
  <c r="H93" i="124"/>
  <c r="H116" i="124"/>
  <c r="H129" i="124"/>
  <c r="H526" i="124"/>
  <c r="H24" i="124"/>
  <c r="H578" i="124"/>
  <c r="H543" i="124"/>
  <c r="H557" i="124"/>
  <c r="H411" i="124"/>
  <c r="H476" i="124"/>
  <c r="H85" i="124"/>
  <c r="H108" i="124"/>
  <c r="H123" i="124"/>
  <c r="H575" i="124"/>
  <c r="H450" i="124"/>
  <c r="H448" i="124"/>
  <c r="H454" i="124"/>
  <c r="H568" i="124"/>
  <c r="H442" i="124"/>
  <c r="H496" i="124"/>
  <c r="H36" i="124"/>
  <c r="H20" i="124"/>
  <c r="H54" i="124"/>
  <c r="H554" i="124"/>
  <c r="H395" i="124"/>
  <c r="H28" i="124"/>
  <c r="H372" i="124"/>
  <c r="H488" i="124"/>
  <c r="H414" i="124"/>
  <c r="H514" i="124"/>
  <c r="H404" i="124"/>
  <c r="H527" i="124"/>
  <c r="H486" i="124"/>
  <c r="H518" i="124"/>
  <c r="H62" i="124"/>
  <c r="H70" i="124"/>
  <c r="H78" i="124"/>
  <c r="H86" i="124"/>
  <c r="H94" i="124"/>
  <c r="H102" i="124"/>
  <c r="H109" i="124"/>
  <c r="H117" i="124"/>
  <c r="H124" i="124"/>
  <c r="H130" i="124"/>
  <c r="H138" i="124"/>
  <c r="H146" i="124"/>
  <c r="H154" i="124"/>
  <c r="H160" i="124"/>
  <c r="H3" i="124"/>
  <c r="H429" i="124"/>
  <c r="H467" i="124"/>
  <c r="H419" i="124"/>
  <c r="H432" i="124"/>
  <c r="H565" i="124"/>
  <c r="H434" i="124"/>
  <c r="H580" i="124"/>
  <c r="H39" i="124"/>
  <c r="H15" i="124"/>
  <c r="H455" i="124"/>
  <c r="H523" i="124"/>
  <c r="H349" i="124"/>
  <c r="H362" i="124"/>
  <c r="H511" i="124"/>
  <c r="H365" i="124"/>
  <c r="H383" i="124"/>
  <c r="H391" i="124"/>
  <c r="H405" i="124"/>
  <c r="H431" i="124"/>
  <c r="H548" i="124"/>
  <c r="H560" i="124"/>
  <c r="H63" i="124"/>
  <c r="H71" i="124"/>
  <c r="H79" i="124"/>
  <c r="H87" i="124"/>
  <c r="H95" i="124"/>
  <c r="H103" i="124"/>
  <c r="H110" i="124"/>
  <c r="H8" i="124"/>
  <c r="H125" i="124"/>
  <c r="H131" i="124"/>
  <c r="H139" i="124"/>
  <c r="H147" i="124"/>
  <c r="H13" i="124"/>
  <c r="H161" i="124"/>
  <c r="H11" i="124"/>
  <c r="H175" i="124"/>
  <c r="H183" i="124"/>
  <c r="H176" i="124"/>
  <c r="H537" i="124"/>
  <c r="H464" i="124"/>
  <c r="H465" i="124"/>
  <c r="H503" i="124"/>
  <c r="H459" i="124"/>
  <c r="H449" i="124"/>
  <c r="H566" i="124"/>
  <c r="H368" i="124"/>
  <c r="H436" i="124"/>
  <c r="H441" i="124"/>
  <c r="H517" i="124"/>
  <c r="H385" i="124"/>
  <c r="H490" i="124"/>
  <c r="H502" i="124"/>
  <c r="H416" i="124"/>
  <c r="H45" i="124"/>
  <c r="H562" i="124"/>
  <c r="H406" i="124"/>
  <c r="H427" i="124"/>
  <c r="H369" i="124"/>
  <c r="H559" i="124"/>
  <c r="H64" i="124"/>
  <c r="H72" i="124"/>
  <c r="H80" i="124"/>
  <c r="H88" i="124"/>
  <c r="H96" i="124"/>
  <c r="H104" i="124"/>
  <c r="H111" i="124"/>
  <c r="H118" i="124"/>
  <c r="H126" i="124"/>
  <c r="H132" i="124"/>
  <c r="H140" i="124"/>
  <c r="H148" i="124"/>
  <c r="H155" i="124"/>
  <c r="H162" i="124"/>
  <c r="H168" i="124"/>
  <c r="H184" i="124"/>
  <c r="H585" i="124"/>
  <c r="H374" i="124"/>
  <c r="H65" i="124"/>
  <c r="H127" i="124"/>
  <c r="H159" i="124"/>
  <c r="H182" i="124"/>
  <c r="H163" i="124"/>
  <c r="H547" i="124"/>
  <c r="H156" i="124"/>
  <c r="H558" i="124"/>
  <c r="H516" i="124"/>
  <c r="H73" i="124"/>
  <c r="H133" i="124"/>
  <c r="H185" i="124"/>
  <c r="H351" i="124"/>
  <c r="H444" i="124"/>
  <c r="H539" i="124"/>
  <c r="H81" i="124"/>
  <c r="H137" i="124"/>
  <c r="H167" i="124"/>
  <c r="H105" i="124"/>
  <c r="H174" i="124"/>
  <c r="H458" i="124"/>
  <c r="H572" i="124"/>
  <c r="H181" i="124"/>
  <c r="H493" i="124"/>
  <c r="H550" i="124"/>
  <c r="H468" i="124"/>
  <c r="H89" i="124"/>
  <c r="H141" i="124"/>
  <c r="H169" i="124"/>
  <c r="H445" i="124"/>
  <c r="H553" i="124"/>
  <c r="H571" i="124"/>
  <c r="H97" i="124"/>
  <c r="H145" i="124"/>
  <c r="H173" i="124"/>
  <c r="H470" i="124"/>
  <c r="H149" i="124"/>
  <c r="H519" i="124"/>
  <c r="H567" i="124"/>
  <c r="H542" i="124"/>
  <c r="H112" i="124"/>
  <c r="H153" i="124"/>
  <c r="H177" i="124"/>
  <c r="H386" i="124"/>
  <c r="H119" i="124"/>
  <c r="M460" i="124"/>
  <c r="M463" i="124"/>
  <c r="M508" i="124"/>
  <c r="M359" i="124"/>
  <c r="M27" i="124"/>
  <c r="M524" i="124"/>
  <c r="M376" i="124"/>
  <c r="M477" i="124"/>
  <c r="M421" i="124"/>
  <c r="M435" i="124"/>
  <c r="M407" i="124"/>
  <c r="M456" i="124"/>
  <c r="M469" i="124"/>
  <c r="M433" i="124"/>
  <c r="M509" i="124"/>
  <c r="M474" i="124"/>
  <c r="M555" i="124"/>
  <c r="M513" i="124"/>
  <c r="M563" i="124"/>
  <c r="M52" i="124"/>
  <c r="M424" i="124"/>
  <c r="M546" i="124"/>
  <c r="M384" i="124"/>
  <c r="M440" i="124"/>
  <c r="M364" i="124"/>
  <c r="M366" i="124"/>
  <c r="M426" i="124"/>
  <c r="M425" i="124"/>
  <c r="M549" i="124"/>
  <c r="M573" i="124"/>
  <c r="M473" i="124"/>
  <c r="M67" i="124"/>
  <c r="M75" i="124"/>
  <c r="M83" i="124"/>
  <c r="M91" i="124"/>
  <c r="M99" i="124"/>
  <c r="M7" i="124"/>
  <c r="M114" i="124"/>
  <c r="M121" i="124"/>
  <c r="M10" i="124"/>
  <c r="M135" i="124"/>
  <c r="M143" i="124"/>
  <c r="M151" i="124"/>
  <c r="M12" i="124"/>
  <c r="M165" i="124"/>
  <c r="M171" i="124"/>
  <c r="M179" i="124"/>
  <c r="M574" i="124"/>
  <c r="M484" i="124"/>
  <c r="M476" i="124"/>
  <c r="M85" i="124"/>
  <c r="M101" i="124"/>
  <c r="M123" i="124"/>
  <c r="M145" i="124"/>
  <c r="M167" i="124"/>
  <c r="M181" i="124"/>
  <c r="M174" i="124"/>
  <c r="M439" i="124"/>
  <c r="M453" i="124"/>
  <c r="M556" i="124"/>
  <c r="M44" i="124"/>
  <c r="M529" i="124"/>
  <c r="M462" i="124"/>
  <c r="M535" i="124"/>
  <c r="M25" i="124"/>
  <c r="M49" i="124"/>
  <c r="M583" i="124"/>
  <c r="M520" i="124"/>
  <c r="M363" i="124"/>
  <c r="M457" i="124"/>
  <c r="M387" i="124"/>
  <c r="M588" i="124"/>
  <c r="M466" i="124"/>
  <c r="M353" i="124"/>
  <c r="M418" i="124"/>
  <c r="M533" i="124"/>
  <c r="M412" i="124"/>
  <c r="M561" i="124"/>
  <c r="M510" i="124"/>
  <c r="M68" i="124"/>
  <c r="M76" i="124"/>
  <c r="M84" i="124"/>
  <c r="M92" i="124"/>
  <c r="M100" i="124"/>
  <c r="M107" i="124"/>
  <c r="M115" i="124"/>
  <c r="M122" i="124"/>
  <c r="M6" i="124"/>
  <c r="M136" i="124"/>
  <c r="M144" i="124"/>
  <c r="M152" i="124"/>
  <c r="M158" i="124"/>
  <c r="M166" i="124"/>
  <c r="M172" i="124"/>
  <c r="M180" i="124"/>
  <c r="M557" i="124"/>
  <c r="M411" i="124"/>
  <c r="M475" i="124"/>
  <c r="M77" i="124"/>
  <c r="M93" i="124"/>
  <c r="M116" i="124"/>
  <c r="M137" i="124"/>
  <c r="M159" i="124"/>
  <c r="M160" i="124"/>
  <c r="M482" i="124"/>
  <c r="M497" i="124"/>
  <c r="M472" i="124"/>
  <c r="M446" i="124"/>
  <c r="M526" i="124"/>
  <c r="M451" i="124"/>
  <c r="M525" i="124"/>
  <c r="M24" i="124"/>
  <c r="M33" i="124"/>
  <c r="M578" i="124"/>
  <c r="M551" i="124"/>
  <c r="M581" i="124"/>
  <c r="M543" i="124"/>
  <c r="M350" i="124"/>
  <c r="M494" i="124"/>
  <c r="M479" i="124"/>
  <c r="M69" i="124"/>
  <c r="M108" i="124"/>
  <c r="M129" i="124"/>
  <c r="M153" i="124"/>
  <c r="M173" i="124"/>
  <c r="M182" i="124"/>
  <c r="M575" i="124"/>
  <c r="M450" i="124"/>
  <c r="M448" i="124"/>
  <c r="M454" i="124"/>
  <c r="M568" i="124"/>
  <c r="M442" i="124"/>
  <c r="M496" i="124"/>
  <c r="M36" i="124"/>
  <c r="M20" i="124"/>
  <c r="M54" i="124"/>
  <c r="M554" i="124"/>
  <c r="M395" i="124"/>
  <c r="M28" i="124"/>
  <c r="M372" i="124"/>
  <c r="M488" i="124"/>
  <c r="M414" i="124"/>
  <c r="M514" i="124"/>
  <c r="M404" i="124"/>
  <c r="M527" i="124"/>
  <c r="M486" i="124"/>
  <c r="M518" i="124"/>
  <c r="M62" i="124"/>
  <c r="M70" i="124"/>
  <c r="M78" i="124"/>
  <c r="M86" i="124"/>
  <c r="M94" i="124"/>
  <c r="M102" i="124"/>
  <c r="M109" i="124"/>
  <c r="M117" i="124"/>
  <c r="M124" i="124"/>
  <c r="M130" i="124"/>
  <c r="M138" i="124"/>
  <c r="M146" i="124"/>
  <c r="M154" i="124"/>
  <c r="M3" i="124"/>
  <c r="M429" i="124"/>
  <c r="M467" i="124"/>
  <c r="M419" i="124"/>
  <c r="M432" i="124"/>
  <c r="M565" i="124"/>
  <c r="M434" i="124"/>
  <c r="M580" i="124"/>
  <c r="M39" i="124"/>
  <c r="M15" i="124"/>
  <c r="M455" i="124"/>
  <c r="M523" i="124"/>
  <c r="M349" i="124"/>
  <c r="M362" i="124"/>
  <c r="M511" i="124"/>
  <c r="M365" i="124"/>
  <c r="M383" i="124"/>
  <c r="M391" i="124"/>
  <c r="M405" i="124"/>
  <c r="M431" i="124"/>
  <c r="M548" i="124"/>
  <c r="M560" i="124"/>
  <c r="M63" i="124"/>
  <c r="M71" i="124"/>
  <c r="M79" i="124"/>
  <c r="M87" i="124"/>
  <c r="M95" i="124"/>
  <c r="M103" i="124"/>
  <c r="M110" i="124"/>
  <c r="M8" i="124"/>
  <c r="M125" i="124"/>
  <c r="M131" i="124"/>
  <c r="M139" i="124"/>
  <c r="M147" i="124"/>
  <c r="M13" i="124"/>
  <c r="M161" i="124"/>
  <c r="M11" i="124"/>
  <c r="M175" i="124"/>
  <c r="M183" i="124"/>
  <c r="M493" i="124"/>
  <c r="M445" i="124"/>
  <c r="M470" i="124"/>
  <c r="M519" i="124"/>
  <c r="M458" i="124"/>
  <c r="M585" i="124"/>
  <c r="M558" i="124"/>
  <c r="M444" i="124"/>
  <c r="M550" i="124"/>
  <c r="M553" i="124"/>
  <c r="M351" i="124"/>
  <c r="M567" i="124"/>
  <c r="M386" i="124"/>
  <c r="M374" i="124"/>
  <c r="M516" i="124"/>
  <c r="M539" i="124"/>
  <c r="M468" i="124"/>
  <c r="M571" i="124"/>
  <c r="M547" i="124"/>
  <c r="M542" i="124"/>
  <c r="M572" i="124"/>
  <c r="M65" i="124"/>
  <c r="M73" i="124"/>
  <c r="M81" i="124"/>
  <c r="M89" i="124"/>
  <c r="M97" i="124"/>
  <c r="M105" i="124"/>
  <c r="M112" i="124"/>
  <c r="M119" i="124"/>
  <c r="M127" i="124"/>
  <c r="M133" i="124"/>
  <c r="M141" i="124"/>
  <c r="M149" i="124"/>
  <c r="M156" i="124"/>
  <c r="M163" i="124"/>
  <c r="M169" i="124"/>
  <c r="M177" i="124"/>
  <c r="M185" i="124"/>
  <c r="M499" i="124"/>
  <c r="M545" i="124"/>
  <c r="M461" i="124"/>
  <c r="M489" i="124"/>
  <c r="M471" i="124"/>
  <c r="M544" i="124"/>
  <c r="M392" i="124"/>
  <c r="M389" i="124"/>
  <c r="M415" i="124"/>
  <c r="M507" i="124"/>
  <c r="M113" i="124"/>
  <c r="M170" i="124"/>
  <c r="M566" i="124"/>
  <c r="M416" i="124"/>
  <c r="M559" i="124"/>
  <c r="M88" i="124"/>
  <c r="M118" i="124"/>
  <c r="M148" i="124"/>
  <c r="M368" i="124"/>
  <c r="M45" i="124"/>
  <c r="M521" i="124"/>
  <c r="M90" i="124"/>
  <c r="M120" i="124"/>
  <c r="M150" i="124"/>
  <c r="M178" i="124"/>
  <c r="M537" i="124"/>
  <c r="M436" i="124"/>
  <c r="M562" i="124"/>
  <c r="M64" i="124"/>
  <c r="M96" i="124"/>
  <c r="M126" i="124"/>
  <c r="M155" i="124"/>
  <c r="M184" i="124"/>
  <c r="M464" i="124"/>
  <c r="M441" i="124"/>
  <c r="M406" i="124"/>
  <c r="M66" i="124"/>
  <c r="M98" i="124"/>
  <c r="M128" i="124"/>
  <c r="M157" i="124"/>
  <c r="M186" i="124"/>
  <c r="M503" i="124"/>
  <c r="M385" i="124"/>
  <c r="M390" i="124"/>
  <c r="M74" i="124"/>
  <c r="M134" i="124"/>
  <c r="M465" i="124"/>
  <c r="M517" i="124"/>
  <c r="M427" i="124"/>
  <c r="M72" i="124"/>
  <c r="M104" i="124"/>
  <c r="M132" i="124"/>
  <c r="M162" i="124"/>
  <c r="M106" i="124"/>
  <c r="M164" i="124"/>
  <c r="M459" i="124"/>
  <c r="M490" i="124"/>
  <c r="M369" i="124"/>
  <c r="M80" i="124"/>
  <c r="M111" i="124"/>
  <c r="M140" i="124"/>
  <c r="M168" i="124"/>
  <c r="M449" i="124"/>
  <c r="M502" i="124"/>
  <c r="M82" i="124"/>
  <c r="M142" i="124"/>
  <c r="M176" i="124"/>
  <c r="L499" i="124"/>
  <c r="L460" i="124"/>
  <c r="L463" i="124"/>
  <c r="L545" i="124"/>
  <c r="L508" i="124"/>
  <c r="L461" i="124"/>
  <c r="L359" i="124"/>
  <c r="L489" i="124"/>
  <c r="L27" i="124"/>
  <c r="L471" i="124"/>
  <c r="L524" i="124"/>
  <c r="L544" i="124"/>
  <c r="L376" i="124"/>
  <c r="L392" i="124"/>
  <c r="L477" i="124"/>
  <c r="L389" i="124"/>
  <c r="L415" i="124"/>
  <c r="L421" i="124"/>
  <c r="L390" i="124"/>
  <c r="L507" i="124"/>
  <c r="L521" i="124"/>
  <c r="L66" i="124"/>
  <c r="L74" i="124"/>
  <c r="L82" i="124"/>
  <c r="L90" i="124"/>
  <c r="L98" i="124"/>
  <c r="L106" i="124"/>
  <c r="L113" i="124"/>
  <c r="L120" i="124"/>
  <c r="L128" i="124"/>
  <c r="L134" i="124"/>
  <c r="L142" i="124"/>
  <c r="L150" i="124"/>
  <c r="L157" i="124"/>
  <c r="L164" i="124"/>
  <c r="L170" i="124"/>
  <c r="L178" i="124"/>
  <c r="L186" i="124"/>
  <c r="L435" i="124"/>
  <c r="L407" i="124"/>
  <c r="L456" i="124"/>
  <c r="L469" i="124"/>
  <c r="L433" i="124"/>
  <c r="L509" i="124"/>
  <c r="L474" i="124"/>
  <c r="L555" i="124"/>
  <c r="L513" i="124"/>
  <c r="L563" i="124"/>
  <c r="L52" i="124"/>
  <c r="L424" i="124"/>
  <c r="L546" i="124"/>
  <c r="L384" i="124"/>
  <c r="L440" i="124"/>
  <c r="L364" i="124"/>
  <c r="L366" i="124"/>
  <c r="L426" i="124"/>
  <c r="L425" i="124"/>
  <c r="L549" i="124"/>
  <c r="L573" i="124"/>
  <c r="L473" i="124"/>
  <c r="L67" i="124"/>
  <c r="L75" i="124"/>
  <c r="L83" i="124"/>
  <c r="L91" i="124"/>
  <c r="L99" i="124"/>
  <c r="L7" i="124"/>
  <c r="L114" i="124"/>
  <c r="L121" i="124"/>
  <c r="L10" i="124"/>
  <c r="L135" i="124"/>
  <c r="L143" i="124"/>
  <c r="L151" i="124"/>
  <c r="L12" i="124"/>
  <c r="L165" i="124"/>
  <c r="L171" i="124"/>
  <c r="L179" i="124"/>
  <c r="L445" i="124"/>
  <c r="L439" i="124"/>
  <c r="L453" i="124"/>
  <c r="L556" i="124"/>
  <c r="L44" i="124"/>
  <c r="L529" i="124"/>
  <c r="L462" i="124"/>
  <c r="L535" i="124"/>
  <c r="L25" i="124"/>
  <c r="L49" i="124"/>
  <c r="L583" i="124"/>
  <c r="L520" i="124"/>
  <c r="L363" i="124"/>
  <c r="L457" i="124"/>
  <c r="L387" i="124"/>
  <c r="L588" i="124"/>
  <c r="L466" i="124"/>
  <c r="L353" i="124"/>
  <c r="L418" i="124"/>
  <c r="L533" i="124"/>
  <c r="L412" i="124"/>
  <c r="L561" i="124"/>
  <c r="L510" i="124"/>
  <c r="L68" i="124"/>
  <c r="L76" i="124"/>
  <c r="L84" i="124"/>
  <c r="L92" i="124"/>
  <c r="L100" i="124"/>
  <c r="L107" i="124"/>
  <c r="L115" i="124"/>
  <c r="L122" i="124"/>
  <c r="L6" i="124"/>
  <c r="L136" i="124"/>
  <c r="L144" i="124"/>
  <c r="L152" i="124"/>
  <c r="L158" i="124"/>
  <c r="L166" i="124"/>
  <c r="L172" i="124"/>
  <c r="L180" i="124"/>
  <c r="L160" i="124"/>
  <c r="L182" i="124"/>
  <c r="L95" i="124"/>
  <c r="L125" i="124"/>
  <c r="L13" i="124"/>
  <c r="L11" i="124"/>
  <c r="L493" i="124"/>
  <c r="L482" i="124"/>
  <c r="L497" i="124"/>
  <c r="L472" i="124"/>
  <c r="L446" i="124"/>
  <c r="L526" i="124"/>
  <c r="L451" i="124"/>
  <c r="L525" i="124"/>
  <c r="L24" i="124"/>
  <c r="L33" i="124"/>
  <c r="L578" i="124"/>
  <c r="L551" i="124"/>
  <c r="L581" i="124"/>
  <c r="L543" i="124"/>
  <c r="L350" i="124"/>
  <c r="L494" i="124"/>
  <c r="L557" i="124"/>
  <c r="L574" i="124"/>
  <c r="L479" i="124"/>
  <c r="L411" i="124"/>
  <c r="L484" i="124"/>
  <c r="L475" i="124"/>
  <c r="L476" i="124"/>
  <c r="L69" i="124"/>
  <c r="L77" i="124"/>
  <c r="L85" i="124"/>
  <c r="L93" i="124"/>
  <c r="L101" i="124"/>
  <c r="L108" i="124"/>
  <c r="L116" i="124"/>
  <c r="L123" i="124"/>
  <c r="L129" i="124"/>
  <c r="L137" i="124"/>
  <c r="L145" i="124"/>
  <c r="L153" i="124"/>
  <c r="L159" i="124"/>
  <c r="L167" i="124"/>
  <c r="L173" i="124"/>
  <c r="L181" i="124"/>
  <c r="L154" i="124"/>
  <c r="L174" i="124"/>
  <c r="L87" i="124"/>
  <c r="L8" i="124"/>
  <c r="L147" i="124"/>
  <c r="L175" i="124"/>
  <c r="L575" i="124"/>
  <c r="L450" i="124"/>
  <c r="L448" i="124"/>
  <c r="L454" i="124"/>
  <c r="L568" i="124"/>
  <c r="L442" i="124"/>
  <c r="L496" i="124"/>
  <c r="L36" i="124"/>
  <c r="L20" i="124"/>
  <c r="L54" i="124"/>
  <c r="L554" i="124"/>
  <c r="L395" i="124"/>
  <c r="L28" i="124"/>
  <c r="L372" i="124"/>
  <c r="L488" i="124"/>
  <c r="L414" i="124"/>
  <c r="L514" i="124"/>
  <c r="L404" i="124"/>
  <c r="L527" i="124"/>
  <c r="L486" i="124"/>
  <c r="L518" i="124"/>
  <c r="L62" i="124"/>
  <c r="L70" i="124"/>
  <c r="L78" i="124"/>
  <c r="L86" i="124"/>
  <c r="L94" i="124"/>
  <c r="L102" i="124"/>
  <c r="L109" i="124"/>
  <c r="L117" i="124"/>
  <c r="L124" i="124"/>
  <c r="L130" i="124"/>
  <c r="L138" i="124"/>
  <c r="L146" i="124"/>
  <c r="L3" i="124"/>
  <c r="L103" i="124"/>
  <c r="L139" i="124"/>
  <c r="L183" i="124"/>
  <c r="L429" i="124"/>
  <c r="L467" i="124"/>
  <c r="L419" i="124"/>
  <c r="L432" i="124"/>
  <c r="L565" i="124"/>
  <c r="L434" i="124"/>
  <c r="L580" i="124"/>
  <c r="L39" i="124"/>
  <c r="L15" i="124"/>
  <c r="L455" i="124"/>
  <c r="L523" i="124"/>
  <c r="L349" i="124"/>
  <c r="L362" i="124"/>
  <c r="L511" i="124"/>
  <c r="L365" i="124"/>
  <c r="L383" i="124"/>
  <c r="L391" i="124"/>
  <c r="L405" i="124"/>
  <c r="L431" i="124"/>
  <c r="L548" i="124"/>
  <c r="L560" i="124"/>
  <c r="L63" i="124"/>
  <c r="L71" i="124"/>
  <c r="L79" i="124"/>
  <c r="L110" i="124"/>
  <c r="L131" i="124"/>
  <c r="L161" i="124"/>
  <c r="L537" i="124"/>
  <c r="L464" i="124"/>
  <c r="L465" i="124"/>
  <c r="L503" i="124"/>
  <c r="L459" i="124"/>
  <c r="L449" i="124"/>
  <c r="L566" i="124"/>
  <c r="L368" i="124"/>
  <c r="L436" i="124"/>
  <c r="L441" i="124"/>
  <c r="L517" i="124"/>
  <c r="L385" i="124"/>
  <c r="L490" i="124"/>
  <c r="L502" i="124"/>
  <c r="L416" i="124"/>
  <c r="L45" i="124"/>
  <c r="L562" i="124"/>
  <c r="L406" i="124"/>
  <c r="L427" i="124"/>
  <c r="L369" i="124"/>
  <c r="L559" i="124"/>
  <c r="L64" i="124"/>
  <c r="L72" i="124"/>
  <c r="L80" i="124"/>
  <c r="L88" i="124"/>
  <c r="L96" i="124"/>
  <c r="L104" i="124"/>
  <c r="L111" i="124"/>
  <c r="L118" i="124"/>
  <c r="L126" i="124"/>
  <c r="L132" i="124"/>
  <c r="L140" i="124"/>
  <c r="L148" i="124"/>
  <c r="L155" i="124"/>
  <c r="L162" i="124"/>
  <c r="L168" i="124"/>
  <c r="L176" i="124"/>
  <c r="L184" i="124"/>
  <c r="L470" i="124"/>
  <c r="L351" i="124"/>
  <c r="L547" i="124"/>
  <c r="L105" i="124"/>
  <c r="L519" i="124"/>
  <c r="L567" i="124"/>
  <c r="L542" i="124"/>
  <c r="L112" i="124"/>
  <c r="L169" i="124"/>
  <c r="L163" i="124"/>
  <c r="L458" i="124"/>
  <c r="L386" i="124"/>
  <c r="L572" i="124"/>
  <c r="L119" i="124"/>
  <c r="L177" i="124"/>
  <c r="L97" i="124"/>
  <c r="L585" i="124"/>
  <c r="L374" i="124"/>
  <c r="L65" i="124"/>
  <c r="L127" i="124"/>
  <c r="L185" i="124"/>
  <c r="L156" i="124"/>
  <c r="L558" i="124"/>
  <c r="L516" i="124"/>
  <c r="L73" i="124"/>
  <c r="L133" i="124"/>
  <c r="L444" i="124"/>
  <c r="L539" i="124"/>
  <c r="L81" i="124"/>
  <c r="L141" i="124"/>
  <c r="L571" i="124"/>
  <c r="L550" i="124"/>
  <c r="L468" i="124"/>
  <c r="L89" i="124"/>
  <c r="L149" i="124"/>
  <c r="L553" i="124"/>
  <c r="I499" i="124"/>
  <c r="I460" i="124"/>
  <c r="I463" i="124"/>
  <c r="I545" i="124"/>
  <c r="I508" i="124"/>
  <c r="I461" i="124"/>
  <c r="I359" i="124"/>
  <c r="I489" i="124"/>
  <c r="I27" i="124"/>
  <c r="I471" i="124"/>
  <c r="I524" i="124"/>
  <c r="I544" i="124"/>
  <c r="I376" i="124"/>
  <c r="I392" i="124"/>
  <c r="I477" i="124"/>
  <c r="I389" i="124"/>
  <c r="I415" i="124"/>
  <c r="I421" i="124"/>
  <c r="I390" i="124"/>
  <c r="I507" i="124"/>
  <c r="I521" i="124"/>
  <c r="I66" i="124"/>
  <c r="I74" i="124"/>
  <c r="I82" i="124"/>
  <c r="I90" i="124"/>
  <c r="I98" i="124"/>
  <c r="I106" i="124"/>
  <c r="I113" i="124"/>
  <c r="I120" i="124"/>
  <c r="I128" i="124"/>
  <c r="I134" i="124"/>
  <c r="I142" i="124"/>
  <c r="I150" i="124"/>
  <c r="I157" i="124"/>
  <c r="I164" i="124"/>
  <c r="I170" i="124"/>
  <c r="I178" i="124"/>
  <c r="I186" i="124"/>
  <c r="I516" i="124"/>
  <c r="I547" i="124"/>
  <c r="I435" i="124"/>
  <c r="I407" i="124"/>
  <c r="I456" i="124"/>
  <c r="I469" i="124"/>
  <c r="I433" i="124"/>
  <c r="I509" i="124"/>
  <c r="I474" i="124"/>
  <c r="I555" i="124"/>
  <c r="I513" i="124"/>
  <c r="I563" i="124"/>
  <c r="I52" i="124"/>
  <c r="I424" i="124"/>
  <c r="I546" i="124"/>
  <c r="I384" i="124"/>
  <c r="I440" i="124"/>
  <c r="I364" i="124"/>
  <c r="I366" i="124"/>
  <c r="I426" i="124"/>
  <c r="I425" i="124"/>
  <c r="I549" i="124"/>
  <c r="I573" i="124"/>
  <c r="I473" i="124"/>
  <c r="I67" i="124"/>
  <c r="I75" i="124"/>
  <c r="I83" i="124"/>
  <c r="I91" i="124"/>
  <c r="I99" i="124"/>
  <c r="I7" i="124"/>
  <c r="I114" i="124"/>
  <c r="I121" i="124"/>
  <c r="I10" i="124"/>
  <c r="I135" i="124"/>
  <c r="I143" i="124"/>
  <c r="I151" i="124"/>
  <c r="I12" i="124"/>
  <c r="I165" i="124"/>
  <c r="I171" i="124"/>
  <c r="I179" i="124"/>
  <c r="I439" i="124"/>
  <c r="I453" i="124"/>
  <c r="I556" i="124"/>
  <c r="I44" i="124"/>
  <c r="I529" i="124"/>
  <c r="I462" i="124"/>
  <c r="I535" i="124"/>
  <c r="I25" i="124"/>
  <c r="I49" i="124"/>
  <c r="I583" i="124"/>
  <c r="I520" i="124"/>
  <c r="I363" i="124"/>
  <c r="I457" i="124"/>
  <c r="I387" i="124"/>
  <c r="I588" i="124"/>
  <c r="I466" i="124"/>
  <c r="I353" i="124"/>
  <c r="I418" i="124"/>
  <c r="I533" i="124"/>
  <c r="I412" i="124"/>
  <c r="I561" i="124"/>
  <c r="I510" i="124"/>
  <c r="I68" i="124"/>
  <c r="I76" i="124"/>
  <c r="I84" i="124"/>
  <c r="I92" i="124"/>
  <c r="I100" i="124"/>
  <c r="I107" i="124"/>
  <c r="I115" i="124"/>
  <c r="I122" i="124"/>
  <c r="I6" i="124"/>
  <c r="I136" i="124"/>
  <c r="I144" i="124"/>
  <c r="I152" i="124"/>
  <c r="I158" i="124"/>
  <c r="I166" i="124"/>
  <c r="I172" i="124"/>
  <c r="I180" i="124"/>
  <c r="I482" i="124"/>
  <c r="I497" i="124"/>
  <c r="I472" i="124"/>
  <c r="I446" i="124"/>
  <c r="I526" i="124"/>
  <c r="I451" i="124"/>
  <c r="I525" i="124"/>
  <c r="I24" i="124"/>
  <c r="I33" i="124"/>
  <c r="I578" i="124"/>
  <c r="I551" i="124"/>
  <c r="I581" i="124"/>
  <c r="I543" i="124"/>
  <c r="I350" i="124"/>
  <c r="I494" i="124"/>
  <c r="I557" i="124"/>
  <c r="I574" i="124"/>
  <c r="I479" i="124"/>
  <c r="I411" i="124"/>
  <c r="I484" i="124"/>
  <c r="I475" i="124"/>
  <c r="I476" i="124"/>
  <c r="I69" i="124"/>
  <c r="I77" i="124"/>
  <c r="I85" i="124"/>
  <c r="I93" i="124"/>
  <c r="I101" i="124"/>
  <c r="I108" i="124"/>
  <c r="I116" i="124"/>
  <c r="I123" i="124"/>
  <c r="I129" i="124"/>
  <c r="I137" i="124"/>
  <c r="I145" i="124"/>
  <c r="I153" i="124"/>
  <c r="I159" i="124"/>
  <c r="I167" i="124"/>
  <c r="I173" i="124"/>
  <c r="I181" i="124"/>
  <c r="I182" i="124"/>
  <c r="I575" i="124"/>
  <c r="I450" i="124"/>
  <c r="I448" i="124"/>
  <c r="I454" i="124"/>
  <c r="I568" i="124"/>
  <c r="I442" i="124"/>
  <c r="I496" i="124"/>
  <c r="I36" i="124"/>
  <c r="I20" i="124"/>
  <c r="I54" i="124"/>
  <c r="I554" i="124"/>
  <c r="I395" i="124"/>
  <c r="I28" i="124"/>
  <c r="I372" i="124"/>
  <c r="I488" i="124"/>
  <c r="I414" i="124"/>
  <c r="I514" i="124"/>
  <c r="I404" i="124"/>
  <c r="I527" i="124"/>
  <c r="I486" i="124"/>
  <c r="I518" i="124"/>
  <c r="I62" i="124"/>
  <c r="I70" i="124"/>
  <c r="I78" i="124"/>
  <c r="I86" i="124"/>
  <c r="I94" i="124"/>
  <c r="I102" i="124"/>
  <c r="I109" i="124"/>
  <c r="I117" i="124"/>
  <c r="I124" i="124"/>
  <c r="I130" i="124"/>
  <c r="I138" i="124"/>
  <c r="I146" i="124"/>
  <c r="I154" i="124"/>
  <c r="I160" i="124"/>
  <c r="I3" i="124"/>
  <c r="I174" i="124"/>
  <c r="I458" i="124"/>
  <c r="I550" i="124"/>
  <c r="I386" i="124"/>
  <c r="I571" i="124"/>
  <c r="I429" i="124"/>
  <c r="I467" i="124"/>
  <c r="I419" i="124"/>
  <c r="I432" i="124"/>
  <c r="I565" i="124"/>
  <c r="I434" i="124"/>
  <c r="I580" i="124"/>
  <c r="I39" i="124"/>
  <c r="I15" i="124"/>
  <c r="I455" i="124"/>
  <c r="I523" i="124"/>
  <c r="I349" i="124"/>
  <c r="I362" i="124"/>
  <c r="I511" i="124"/>
  <c r="I365" i="124"/>
  <c r="I383" i="124"/>
  <c r="I391" i="124"/>
  <c r="I405" i="124"/>
  <c r="I431" i="124"/>
  <c r="I548" i="124"/>
  <c r="I560" i="124"/>
  <c r="I63" i="124"/>
  <c r="I71" i="124"/>
  <c r="I79" i="124"/>
  <c r="I87" i="124"/>
  <c r="I95" i="124"/>
  <c r="I103" i="124"/>
  <c r="I110" i="124"/>
  <c r="I8" i="124"/>
  <c r="I125" i="124"/>
  <c r="I131" i="124"/>
  <c r="I139" i="124"/>
  <c r="I147" i="124"/>
  <c r="I13" i="124"/>
  <c r="I161" i="124"/>
  <c r="I11" i="124"/>
  <c r="I175" i="124"/>
  <c r="I183" i="124"/>
  <c r="I493" i="124"/>
  <c r="I445" i="124"/>
  <c r="I519" i="124"/>
  <c r="I558" i="124"/>
  <c r="I553" i="124"/>
  <c r="I567" i="124"/>
  <c r="I539" i="124"/>
  <c r="I537" i="124"/>
  <c r="I464" i="124"/>
  <c r="I465" i="124"/>
  <c r="I503" i="124"/>
  <c r="I459" i="124"/>
  <c r="I449" i="124"/>
  <c r="I566" i="124"/>
  <c r="I368" i="124"/>
  <c r="I436" i="124"/>
  <c r="I441" i="124"/>
  <c r="I517" i="124"/>
  <c r="I385" i="124"/>
  <c r="I490" i="124"/>
  <c r="I502" i="124"/>
  <c r="I416" i="124"/>
  <c r="I45" i="124"/>
  <c r="I562" i="124"/>
  <c r="I406" i="124"/>
  <c r="I427" i="124"/>
  <c r="I369" i="124"/>
  <c r="I559" i="124"/>
  <c r="I64" i="124"/>
  <c r="I72" i="124"/>
  <c r="I80" i="124"/>
  <c r="I88" i="124"/>
  <c r="I96" i="124"/>
  <c r="I104" i="124"/>
  <c r="I111" i="124"/>
  <c r="I118" i="124"/>
  <c r="I126" i="124"/>
  <c r="I132" i="124"/>
  <c r="I140" i="124"/>
  <c r="I148" i="124"/>
  <c r="I155" i="124"/>
  <c r="I162" i="124"/>
  <c r="I168" i="124"/>
  <c r="I176" i="124"/>
  <c r="I184" i="124"/>
  <c r="I470" i="124"/>
  <c r="I585" i="124"/>
  <c r="I444" i="124"/>
  <c r="I351" i="124"/>
  <c r="I374" i="124"/>
  <c r="I468" i="124"/>
  <c r="I542" i="124"/>
  <c r="I169" i="124"/>
  <c r="I572" i="124"/>
  <c r="I119" i="124"/>
  <c r="I177" i="124"/>
  <c r="I127" i="124"/>
  <c r="I65" i="124"/>
  <c r="I185" i="124"/>
  <c r="I73" i="124"/>
  <c r="I133" i="124"/>
  <c r="I89" i="124"/>
  <c r="I97" i="124"/>
  <c r="I81" i="124"/>
  <c r="I141" i="124"/>
  <c r="I149" i="124"/>
  <c r="I156" i="124"/>
  <c r="I105" i="124"/>
  <c r="I163" i="124"/>
  <c r="I112" i="124"/>
  <c r="G499" i="124"/>
  <c r="G460" i="124"/>
  <c r="G463" i="124"/>
  <c r="G545" i="124"/>
  <c r="G508" i="124"/>
  <c r="G461" i="124"/>
  <c r="G359" i="124"/>
  <c r="G489" i="124"/>
  <c r="G27" i="124"/>
  <c r="G471" i="124"/>
  <c r="G524" i="124"/>
  <c r="G544" i="124"/>
  <c r="G376" i="124"/>
  <c r="G392" i="124"/>
  <c r="G477" i="124"/>
  <c r="G389" i="124"/>
  <c r="G415" i="124"/>
  <c r="G421" i="124"/>
  <c r="G390" i="124"/>
  <c r="G507" i="124"/>
  <c r="G521" i="124"/>
  <c r="G66" i="124"/>
  <c r="G74" i="124"/>
  <c r="G82" i="124"/>
  <c r="G90" i="124"/>
  <c r="G98" i="124"/>
  <c r="G106" i="124"/>
  <c r="G113" i="124"/>
  <c r="G120" i="124"/>
  <c r="G128" i="124"/>
  <c r="G134" i="124"/>
  <c r="G142" i="124"/>
  <c r="G150" i="124"/>
  <c r="G157" i="124"/>
  <c r="G164" i="124"/>
  <c r="G170" i="124"/>
  <c r="G178" i="124"/>
  <c r="G186" i="124"/>
  <c r="G165" i="124"/>
  <c r="G435" i="124"/>
  <c r="G407" i="124"/>
  <c r="G456" i="124"/>
  <c r="G469" i="124"/>
  <c r="G433" i="124"/>
  <c r="G509" i="124"/>
  <c r="G474" i="124"/>
  <c r="G555" i="124"/>
  <c r="G513" i="124"/>
  <c r="G563" i="124"/>
  <c r="G52" i="124"/>
  <c r="G424" i="124"/>
  <c r="G546" i="124"/>
  <c r="G384" i="124"/>
  <c r="G440" i="124"/>
  <c r="G364" i="124"/>
  <c r="G366" i="124"/>
  <c r="G426" i="124"/>
  <c r="G425" i="124"/>
  <c r="G549" i="124"/>
  <c r="G573" i="124"/>
  <c r="G473" i="124"/>
  <c r="G67" i="124"/>
  <c r="G75" i="124"/>
  <c r="G83" i="124"/>
  <c r="G91" i="124"/>
  <c r="G99" i="124"/>
  <c r="G7" i="124"/>
  <c r="G114" i="124"/>
  <c r="G121" i="124"/>
  <c r="G10" i="124"/>
  <c r="G135" i="124"/>
  <c r="G143" i="124"/>
  <c r="G151" i="124"/>
  <c r="G12" i="124"/>
  <c r="G171" i="124"/>
  <c r="G179" i="124"/>
  <c r="G436" i="124"/>
  <c r="G490" i="124"/>
  <c r="G562" i="124"/>
  <c r="G427" i="124"/>
  <c r="G64" i="124"/>
  <c r="G439" i="124"/>
  <c r="G453" i="124"/>
  <c r="G556" i="124"/>
  <c r="G44" i="124"/>
  <c r="G529" i="124"/>
  <c r="G462" i="124"/>
  <c r="G535" i="124"/>
  <c r="G25" i="124"/>
  <c r="G49" i="124"/>
  <c r="G583" i="124"/>
  <c r="G520" i="124"/>
  <c r="G363" i="124"/>
  <c r="G457" i="124"/>
  <c r="G387" i="124"/>
  <c r="G588" i="124"/>
  <c r="G466" i="124"/>
  <c r="G353" i="124"/>
  <c r="G418" i="124"/>
  <c r="G533" i="124"/>
  <c r="G412" i="124"/>
  <c r="G561" i="124"/>
  <c r="G510" i="124"/>
  <c r="G68" i="124"/>
  <c r="G76" i="124"/>
  <c r="G84" i="124"/>
  <c r="G92" i="124"/>
  <c r="G100" i="124"/>
  <c r="G107" i="124"/>
  <c r="G115" i="124"/>
  <c r="G122" i="124"/>
  <c r="G6" i="124"/>
  <c r="G136" i="124"/>
  <c r="G144" i="124"/>
  <c r="G152" i="124"/>
  <c r="G158" i="124"/>
  <c r="G166" i="124"/>
  <c r="G172" i="124"/>
  <c r="G180" i="124"/>
  <c r="G11" i="124"/>
  <c r="O11" i="124" s="1"/>
  <c r="G80" i="124"/>
  <c r="G482" i="124"/>
  <c r="G497" i="124"/>
  <c r="G472" i="124"/>
  <c r="G446" i="124"/>
  <c r="G526" i="124"/>
  <c r="G451" i="124"/>
  <c r="G525" i="124"/>
  <c r="G24" i="124"/>
  <c r="G33" i="124"/>
  <c r="G578" i="124"/>
  <c r="G551" i="124"/>
  <c r="G581" i="124"/>
  <c r="G543" i="124"/>
  <c r="G350" i="124"/>
  <c r="G494" i="124"/>
  <c r="G557" i="124"/>
  <c r="G574" i="124"/>
  <c r="G479" i="124"/>
  <c r="G411" i="124"/>
  <c r="G484" i="124"/>
  <c r="G475" i="124"/>
  <c r="G476" i="124"/>
  <c r="G69" i="124"/>
  <c r="G77" i="124"/>
  <c r="G85" i="124"/>
  <c r="G93" i="124"/>
  <c r="G101" i="124"/>
  <c r="G108" i="124"/>
  <c r="G116" i="124"/>
  <c r="G123" i="124"/>
  <c r="G129" i="124"/>
  <c r="G137" i="124"/>
  <c r="G145" i="124"/>
  <c r="G153" i="124"/>
  <c r="G159" i="124"/>
  <c r="G167" i="124"/>
  <c r="G173" i="124"/>
  <c r="G181" i="124"/>
  <c r="G182" i="124"/>
  <c r="G183" i="124"/>
  <c r="G503" i="124"/>
  <c r="G441" i="124"/>
  <c r="O441" i="124" s="1"/>
  <c r="G502" i="124"/>
  <c r="G406" i="124"/>
  <c r="G96" i="124"/>
  <c r="G575" i="124"/>
  <c r="G450" i="124"/>
  <c r="G448" i="124"/>
  <c r="G454" i="124"/>
  <c r="G568" i="124"/>
  <c r="G442" i="124"/>
  <c r="G496" i="124"/>
  <c r="G36" i="124"/>
  <c r="G20" i="124"/>
  <c r="G54" i="124"/>
  <c r="G554" i="124"/>
  <c r="G395" i="124"/>
  <c r="G28" i="124"/>
  <c r="G372" i="124"/>
  <c r="G488" i="124"/>
  <c r="G414" i="124"/>
  <c r="G514" i="124"/>
  <c r="G404" i="124"/>
  <c r="G527" i="124"/>
  <c r="G486" i="124"/>
  <c r="G518" i="124"/>
  <c r="G62" i="124"/>
  <c r="G70" i="124"/>
  <c r="G78" i="124"/>
  <c r="G86" i="124"/>
  <c r="G94" i="124"/>
  <c r="G102" i="124"/>
  <c r="G109" i="124"/>
  <c r="G117" i="124"/>
  <c r="G124" i="124"/>
  <c r="G130" i="124"/>
  <c r="G138" i="124"/>
  <c r="G146" i="124"/>
  <c r="G154" i="124"/>
  <c r="G160" i="124"/>
  <c r="G3" i="124"/>
  <c r="G174" i="124"/>
  <c r="G161" i="124"/>
  <c r="G464" i="124"/>
  <c r="G459" i="124"/>
  <c r="O459" i="124" s="1"/>
  <c r="G566" i="124"/>
  <c r="G517" i="124"/>
  <c r="G416" i="124"/>
  <c r="G369" i="124"/>
  <c r="G429" i="124"/>
  <c r="G467" i="124"/>
  <c r="G419" i="124"/>
  <c r="G432" i="124"/>
  <c r="G565" i="124"/>
  <c r="G434" i="124"/>
  <c r="G580" i="124"/>
  <c r="G39" i="124"/>
  <c r="G15" i="124"/>
  <c r="G455" i="124"/>
  <c r="G523" i="124"/>
  <c r="G349" i="124"/>
  <c r="G362" i="124"/>
  <c r="G511" i="124"/>
  <c r="G365" i="124"/>
  <c r="G383" i="124"/>
  <c r="G391" i="124"/>
  <c r="G405" i="124"/>
  <c r="G431" i="124"/>
  <c r="G548" i="124"/>
  <c r="G560" i="124"/>
  <c r="G63" i="124"/>
  <c r="G71" i="124"/>
  <c r="G79" i="124"/>
  <c r="G87" i="124"/>
  <c r="G95" i="124"/>
  <c r="G103" i="124"/>
  <c r="G110" i="124"/>
  <c r="G8" i="124"/>
  <c r="G125" i="124"/>
  <c r="G131" i="124"/>
  <c r="G139" i="124"/>
  <c r="G147" i="124"/>
  <c r="G13" i="124"/>
  <c r="G175" i="124"/>
  <c r="G493" i="124"/>
  <c r="G445" i="124"/>
  <c r="G470" i="124"/>
  <c r="G519" i="124"/>
  <c r="G458" i="124"/>
  <c r="G585" i="124"/>
  <c r="G558" i="124"/>
  <c r="G444" i="124"/>
  <c r="G550" i="124"/>
  <c r="G553" i="124"/>
  <c r="G351" i="124"/>
  <c r="G567" i="124"/>
  <c r="G386" i="124"/>
  <c r="G374" i="124"/>
  <c r="G516" i="124"/>
  <c r="G539" i="124"/>
  <c r="G468" i="124"/>
  <c r="G571" i="124"/>
  <c r="G547" i="124"/>
  <c r="O547" i="124" s="1"/>
  <c r="G542" i="124"/>
  <c r="G572" i="124"/>
  <c r="G65" i="124"/>
  <c r="G73" i="124"/>
  <c r="G81" i="124"/>
  <c r="G89" i="124"/>
  <c r="G97" i="124"/>
  <c r="G105" i="124"/>
  <c r="G112" i="124"/>
  <c r="G119" i="124"/>
  <c r="G127" i="124"/>
  <c r="O127" i="124" s="1"/>
  <c r="G133" i="124"/>
  <c r="G141" i="124"/>
  <c r="G149" i="124"/>
  <c r="G156" i="124"/>
  <c r="G163" i="124"/>
  <c r="G169" i="124"/>
  <c r="G177" i="124"/>
  <c r="G185" i="124"/>
  <c r="G537" i="124"/>
  <c r="G465" i="124"/>
  <c r="G449" i="124"/>
  <c r="G368" i="124"/>
  <c r="G385" i="124"/>
  <c r="G45" i="124"/>
  <c r="O45" i="124" s="1"/>
  <c r="G559" i="124"/>
  <c r="G88" i="124"/>
  <c r="G72" i="124"/>
  <c r="G155" i="124"/>
  <c r="G104" i="124"/>
  <c r="G162" i="124"/>
  <c r="G111" i="124"/>
  <c r="G168" i="124"/>
  <c r="G140" i="124"/>
  <c r="G118" i="124"/>
  <c r="G176" i="124"/>
  <c r="G126" i="124"/>
  <c r="G184" i="124"/>
  <c r="G132" i="124"/>
  <c r="G148" i="124"/>
  <c r="F417" i="124"/>
  <c r="F21" i="124"/>
  <c r="F499" i="124"/>
  <c r="F460" i="124"/>
  <c r="F463" i="124"/>
  <c r="F545" i="124"/>
  <c r="F508" i="124"/>
  <c r="F461" i="124"/>
  <c r="F359" i="124"/>
  <c r="F489" i="124"/>
  <c r="F27" i="124"/>
  <c r="F471" i="124"/>
  <c r="F524" i="124"/>
  <c r="F544" i="124"/>
  <c r="F376" i="124"/>
  <c r="F392" i="124"/>
  <c r="F477" i="124"/>
  <c r="F389" i="124"/>
  <c r="F415" i="124"/>
  <c r="F421" i="124"/>
  <c r="F390" i="124"/>
  <c r="F507" i="124"/>
  <c r="F521" i="124"/>
  <c r="F66" i="124"/>
  <c r="F74" i="124"/>
  <c r="F82" i="124"/>
  <c r="F90" i="124"/>
  <c r="F98" i="124"/>
  <c r="F106" i="124"/>
  <c r="F113" i="124"/>
  <c r="F120" i="124"/>
  <c r="F128" i="124"/>
  <c r="F134" i="124"/>
  <c r="F142" i="124"/>
  <c r="F150" i="124"/>
  <c r="F157" i="124"/>
  <c r="F164" i="124"/>
  <c r="F170" i="124"/>
  <c r="F178" i="124"/>
  <c r="F186" i="124"/>
  <c r="F519" i="124"/>
  <c r="F558" i="124"/>
  <c r="F553" i="124"/>
  <c r="F539" i="124"/>
  <c r="F572" i="124"/>
  <c r="F435" i="124"/>
  <c r="F407" i="124"/>
  <c r="F456" i="124"/>
  <c r="F469" i="124"/>
  <c r="F433" i="124"/>
  <c r="F509" i="124"/>
  <c r="F474" i="124"/>
  <c r="F555" i="124"/>
  <c r="F513" i="124"/>
  <c r="F563" i="124"/>
  <c r="F52" i="124"/>
  <c r="F424" i="124"/>
  <c r="F546" i="124"/>
  <c r="F384" i="124"/>
  <c r="F440" i="124"/>
  <c r="F364" i="124"/>
  <c r="F366" i="124"/>
  <c r="F426" i="124"/>
  <c r="F425" i="124"/>
  <c r="F549" i="124"/>
  <c r="F573" i="124"/>
  <c r="F473" i="124"/>
  <c r="F67" i="124"/>
  <c r="F75" i="124"/>
  <c r="F83" i="124"/>
  <c r="F91" i="124"/>
  <c r="F99" i="124"/>
  <c r="F7" i="124"/>
  <c r="F114" i="124"/>
  <c r="F121" i="124"/>
  <c r="F10" i="124"/>
  <c r="F135" i="124"/>
  <c r="F143" i="124"/>
  <c r="F151" i="124"/>
  <c r="F12" i="124"/>
  <c r="F165" i="124"/>
  <c r="F171" i="124"/>
  <c r="F179" i="124"/>
  <c r="F439" i="124"/>
  <c r="F453" i="124"/>
  <c r="F556" i="124"/>
  <c r="F44" i="124"/>
  <c r="F529" i="124"/>
  <c r="F462" i="124"/>
  <c r="F535" i="124"/>
  <c r="F25" i="124"/>
  <c r="F49" i="124"/>
  <c r="F583" i="124"/>
  <c r="F520" i="124"/>
  <c r="F363" i="124"/>
  <c r="F457" i="124"/>
  <c r="F387" i="124"/>
  <c r="F588" i="124"/>
  <c r="F466" i="124"/>
  <c r="F353" i="124"/>
  <c r="F418" i="124"/>
  <c r="F533" i="124"/>
  <c r="F412" i="124"/>
  <c r="F561" i="124"/>
  <c r="F510" i="124"/>
  <c r="F68" i="124"/>
  <c r="F76" i="124"/>
  <c r="F84" i="124"/>
  <c r="F92" i="124"/>
  <c r="F100" i="124"/>
  <c r="F107" i="124"/>
  <c r="F115" i="124"/>
  <c r="F122" i="124"/>
  <c r="F6" i="124"/>
  <c r="F136" i="124"/>
  <c r="F144" i="124"/>
  <c r="F152" i="124"/>
  <c r="F158" i="124"/>
  <c r="F166" i="124"/>
  <c r="F172" i="124"/>
  <c r="F180" i="124"/>
  <c r="F3" i="124"/>
  <c r="F182" i="124"/>
  <c r="F183" i="124"/>
  <c r="F585" i="124"/>
  <c r="F351" i="124"/>
  <c r="F516" i="124"/>
  <c r="F482" i="124"/>
  <c r="F497" i="124"/>
  <c r="F472" i="124"/>
  <c r="F446" i="124"/>
  <c r="F526" i="124"/>
  <c r="F451" i="124"/>
  <c r="F525" i="124"/>
  <c r="F24" i="124"/>
  <c r="F33" i="124"/>
  <c r="F578" i="124"/>
  <c r="F551" i="124"/>
  <c r="F581" i="124"/>
  <c r="F543" i="124"/>
  <c r="F350" i="124"/>
  <c r="F494" i="124"/>
  <c r="F557" i="124"/>
  <c r="F574" i="124"/>
  <c r="F479" i="124"/>
  <c r="F411" i="124"/>
  <c r="F484" i="124"/>
  <c r="F475" i="124"/>
  <c r="F476" i="124"/>
  <c r="F69" i="124"/>
  <c r="F77" i="124"/>
  <c r="F85" i="124"/>
  <c r="F93" i="124"/>
  <c r="F101" i="124"/>
  <c r="F108" i="124"/>
  <c r="F116" i="124"/>
  <c r="F123" i="124"/>
  <c r="F129" i="124"/>
  <c r="F137" i="124"/>
  <c r="F145" i="124"/>
  <c r="F153" i="124"/>
  <c r="F159" i="124"/>
  <c r="F167" i="124"/>
  <c r="F173" i="124"/>
  <c r="F181" i="124"/>
  <c r="F160" i="124"/>
  <c r="F11" i="124"/>
  <c r="F575" i="124"/>
  <c r="F450" i="124"/>
  <c r="F448" i="124"/>
  <c r="F454" i="124"/>
  <c r="F568" i="124"/>
  <c r="F442" i="124"/>
  <c r="F496" i="124"/>
  <c r="F36" i="124"/>
  <c r="F20" i="124"/>
  <c r="F54" i="124"/>
  <c r="F554" i="124"/>
  <c r="F395" i="124"/>
  <c r="F28" i="124"/>
  <c r="F372" i="124"/>
  <c r="F488" i="124"/>
  <c r="F414" i="124"/>
  <c r="F514" i="124"/>
  <c r="F404" i="124"/>
  <c r="F527" i="124"/>
  <c r="F486" i="124"/>
  <c r="F518" i="124"/>
  <c r="F62" i="124"/>
  <c r="F70" i="124"/>
  <c r="F78" i="124"/>
  <c r="F86" i="124"/>
  <c r="F94" i="124"/>
  <c r="F102" i="124"/>
  <c r="F109" i="124"/>
  <c r="F117" i="124"/>
  <c r="F124" i="124"/>
  <c r="F130" i="124"/>
  <c r="F138" i="124"/>
  <c r="F146" i="124"/>
  <c r="F154" i="124"/>
  <c r="F174" i="124"/>
  <c r="F175" i="124"/>
  <c r="F493" i="124"/>
  <c r="F445" i="124"/>
  <c r="F470" i="124"/>
  <c r="F458" i="124"/>
  <c r="F444" i="124"/>
  <c r="F567" i="124"/>
  <c r="F468" i="124"/>
  <c r="F429" i="124"/>
  <c r="F467" i="124"/>
  <c r="F419" i="124"/>
  <c r="F432" i="124"/>
  <c r="F565" i="124"/>
  <c r="F434" i="124"/>
  <c r="F580" i="124"/>
  <c r="F39" i="124"/>
  <c r="F15" i="124"/>
  <c r="F455" i="124"/>
  <c r="F523" i="124"/>
  <c r="F349" i="124"/>
  <c r="F362" i="124"/>
  <c r="F511" i="124"/>
  <c r="F365" i="124"/>
  <c r="F383" i="124"/>
  <c r="F391" i="124"/>
  <c r="F405" i="124"/>
  <c r="F431" i="124"/>
  <c r="F548" i="124"/>
  <c r="F560" i="124"/>
  <c r="F63" i="124"/>
  <c r="F71" i="124"/>
  <c r="F79" i="124"/>
  <c r="F87" i="124"/>
  <c r="F95" i="124"/>
  <c r="F103" i="124"/>
  <c r="F110" i="124"/>
  <c r="F8" i="124"/>
  <c r="F125" i="124"/>
  <c r="F131" i="124"/>
  <c r="F139" i="124"/>
  <c r="F147" i="124"/>
  <c r="F13" i="124"/>
  <c r="F161" i="124"/>
  <c r="F386" i="124"/>
  <c r="F571" i="124"/>
  <c r="F537" i="124"/>
  <c r="F464" i="124"/>
  <c r="F465" i="124"/>
  <c r="F503" i="124"/>
  <c r="F459" i="124"/>
  <c r="F449" i="124"/>
  <c r="F566" i="124"/>
  <c r="F368" i="124"/>
  <c r="F436" i="124"/>
  <c r="F441" i="124"/>
  <c r="F517" i="124"/>
  <c r="F385" i="124"/>
  <c r="F490" i="124"/>
  <c r="F502" i="124"/>
  <c r="F416" i="124"/>
  <c r="F45" i="124"/>
  <c r="F562" i="124"/>
  <c r="F406" i="124"/>
  <c r="F427" i="124"/>
  <c r="F369" i="124"/>
  <c r="F559" i="124"/>
  <c r="F64" i="124"/>
  <c r="F72" i="124"/>
  <c r="F80" i="124"/>
  <c r="F88" i="124"/>
  <c r="F96" i="124"/>
  <c r="F104" i="124"/>
  <c r="F111" i="124"/>
  <c r="F118" i="124"/>
  <c r="F126" i="124"/>
  <c r="F132" i="124"/>
  <c r="F140" i="124"/>
  <c r="F148" i="124"/>
  <c r="F155" i="124"/>
  <c r="F162" i="124"/>
  <c r="F168" i="124"/>
  <c r="F176" i="124"/>
  <c r="F184" i="124"/>
  <c r="F550" i="124"/>
  <c r="F374" i="124"/>
  <c r="F542" i="124"/>
  <c r="F547" i="124"/>
  <c r="F119" i="124"/>
  <c r="F177" i="124"/>
  <c r="F65" i="124"/>
  <c r="F127" i="124"/>
  <c r="F185" i="124"/>
  <c r="F73" i="124"/>
  <c r="F133" i="124"/>
  <c r="F141" i="124"/>
  <c r="F81" i="124"/>
  <c r="F89" i="124"/>
  <c r="F149" i="124"/>
  <c r="F156" i="124"/>
  <c r="F97" i="124"/>
  <c r="F105" i="124"/>
  <c r="F163" i="124"/>
  <c r="F112" i="124"/>
  <c r="F169" i="124"/>
  <c r="F382" i="124"/>
  <c r="AG1" i="124"/>
  <c r="AQ98" i="107"/>
  <c r="AQ100" i="107"/>
  <c r="AT100" i="107"/>
  <c r="AQ101" i="107"/>
  <c r="AT98" i="107"/>
  <c r="AT101" i="107"/>
  <c r="AT103" i="107"/>
  <c r="AT99" i="107"/>
  <c r="AT102" i="107"/>
  <c r="AQ99" i="107"/>
  <c r="AQ103" i="107"/>
  <c r="AQ102" i="107"/>
  <c r="G24" i="120"/>
  <c r="H120" i="80"/>
  <c r="H70" i="80"/>
  <c r="L70" i="80"/>
  <c r="M70" i="80" s="1"/>
  <c r="L120" i="80"/>
  <c r="M120" i="80" s="1"/>
  <c r="N120" i="80"/>
  <c r="N70" i="80"/>
  <c r="O4" i="23"/>
  <c r="O112" i="23"/>
  <c r="O166" i="23"/>
  <c r="O54" i="23"/>
  <c r="O162" i="23"/>
  <c r="O216" i="23"/>
  <c r="O44" i="23"/>
  <c r="O66" i="23"/>
  <c r="O174" i="23"/>
  <c r="O176" i="23"/>
  <c r="O89" i="23"/>
  <c r="O320" i="23"/>
  <c r="O374" i="23"/>
  <c r="O521" i="23"/>
  <c r="O380" i="23"/>
  <c r="O538" i="23"/>
  <c r="O535" i="23"/>
  <c r="O405" i="23"/>
  <c r="O223" i="23"/>
  <c r="O412" i="23"/>
  <c r="O430" i="23"/>
  <c r="O21" i="23"/>
  <c r="O6" i="23"/>
  <c r="O488" i="23"/>
  <c r="O578" i="23"/>
  <c r="O287" i="23"/>
  <c r="O392" i="23"/>
  <c r="O204" i="23"/>
  <c r="O453" i="23"/>
  <c r="O537" i="23"/>
  <c r="O511" i="23"/>
  <c r="O28" i="23"/>
  <c r="O82" i="23"/>
  <c r="O244" i="23"/>
  <c r="O126" i="23"/>
  <c r="O304" i="23"/>
  <c r="O376" i="23"/>
  <c r="O8" i="23"/>
  <c r="O170" i="23"/>
  <c r="O246" i="23"/>
  <c r="O32" i="23"/>
  <c r="O248" i="23"/>
  <c r="O284" i="23"/>
  <c r="O437" i="23"/>
  <c r="O581" i="23"/>
  <c r="O396" i="23"/>
  <c r="O490" i="23"/>
  <c r="O547" i="23"/>
  <c r="O13" i="23"/>
  <c r="O95" i="23"/>
  <c r="O93" i="23"/>
  <c r="O24" i="23"/>
  <c r="O186" i="23"/>
  <c r="O402" i="23"/>
  <c r="O458" i="23"/>
  <c r="O476" i="23"/>
  <c r="O494" i="23"/>
  <c r="O584" i="23"/>
  <c r="O258" i="23"/>
  <c r="O447" i="23"/>
  <c r="O501" i="23"/>
  <c r="O559" i="23"/>
  <c r="O16" i="23"/>
  <c r="O52" i="23"/>
  <c r="O70" i="23"/>
  <c r="O106" i="23"/>
  <c r="O124" i="23"/>
  <c r="O178" i="23"/>
  <c r="O232" i="23"/>
  <c r="O252" i="23"/>
  <c r="O134" i="23"/>
  <c r="O210" i="23"/>
  <c r="O212" i="23"/>
  <c r="O264" i="23"/>
  <c r="O517" i="23"/>
  <c r="O37" i="23"/>
  <c r="O91" i="23"/>
  <c r="O127" i="23"/>
  <c r="O33" i="23"/>
  <c r="O27" i="23"/>
  <c r="O135" i="23"/>
  <c r="O189" i="23"/>
  <c r="O114" i="23"/>
  <c r="O407" i="23"/>
  <c r="O477" i="23"/>
  <c r="O474" i="23"/>
  <c r="O435" i="23"/>
  <c r="O573" i="23"/>
  <c r="O294" i="23"/>
  <c r="O22" i="23"/>
  <c r="O94" i="23"/>
  <c r="O391" i="23"/>
  <c r="O427" i="23"/>
  <c r="O12" i="23"/>
  <c r="O38" i="23"/>
  <c r="O282" i="23"/>
  <c r="O503" i="23"/>
  <c r="O539" i="23"/>
  <c r="O278" i="23"/>
  <c r="O326" i="23"/>
  <c r="O342" i="23"/>
  <c r="O426" i="23"/>
  <c r="O472" i="23"/>
  <c r="O7" i="23"/>
  <c r="O43" i="23"/>
  <c r="O97" i="23"/>
  <c r="O115" i="23"/>
  <c r="O187" i="23"/>
  <c r="O11" i="23"/>
  <c r="O283" i="23"/>
  <c r="O213" i="23"/>
  <c r="O207" i="23"/>
  <c r="O129" i="23"/>
  <c r="O183" i="23"/>
  <c r="O273" i="23"/>
  <c r="O524" i="23"/>
  <c r="O350" i="23"/>
  <c r="O483" i="23"/>
  <c r="O504" i="23"/>
  <c r="O348" i="23"/>
  <c r="O10" i="23"/>
  <c r="O46" i="23"/>
  <c r="O180" i="23"/>
  <c r="O340" i="23"/>
  <c r="O358" i="23"/>
  <c r="O143" i="23"/>
  <c r="O338" i="23"/>
  <c r="O563" i="23"/>
  <c r="O570" i="23"/>
  <c r="O293" i="23"/>
  <c r="O347" i="23"/>
  <c r="O499" i="23"/>
  <c r="O360" i="23"/>
  <c r="O436" i="23"/>
  <c r="O31" i="23"/>
  <c r="O85" i="23"/>
  <c r="O103" i="23"/>
  <c r="O121" i="23"/>
  <c r="O229" i="23"/>
  <c r="O289" i="23"/>
  <c r="O343" i="23"/>
  <c r="O400" i="23"/>
  <c r="O123" i="23"/>
  <c r="O203" i="23"/>
  <c r="O63" i="23"/>
  <c r="O117" i="23"/>
  <c r="O147" i="23"/>
  <c r="O42" i="23"/>
  <c r="O530" i="23"/>
  <c r="O469" i="23"/>
  <c r="O377" i="23"/>
  <c r="O459" i="23"/>
  <c r="O513" i="23"/>
  <c r="O354" i="23"/>
  <c r="O510" i="23"/>
  <c r="O579" i="23"/>
  <c r="O290" i="23"/>
  <c r="O558" i="23"/>
  <c r="O34" i="23"/>
  <c r="O292" i="23"/>
  <c r="O346" i="23"/>
  <c r="O188" i="23"/>
  <c r="O48" i="23"/>
  <c r="O102" i="23"/>
  <c r="O20" i="23"/>
  <c r="O104" i="23"/>
  <c r="O251" i="23"/>
  <c r="O71" i="23"/>
  <c r="O356" i="23"/>
  <c r="O515" i="23"/>
  <c r="O551" i="23"/>
  <c r="O311" i="23"/>
  <c r="O332" i="23"/>
  <c r="O416" i="23"/>
  <c r="O532" i="23"/>
  <c r="O235" i="23"/>
  <c r="O47" i="23"/>
  <c r="O259" i="23"/>
  <c r="O295" i="23"/>
  <c r="O5" i="23"/>
  <c r="O59" i="23"/>
  <c r="O111" i="23"/>
  <c r="O78" i="23"/>
  <c r="O518" i="23"/>
  <c r="O536" i="23"/>
  <c r="O318" i="23"/>
  <c r="O429" i="23"/>
  <c r="O585" i="23"/>
  <c r="O366" i="23"/>
  <c r="O419" i="23"/>
  <c r="O528" i="23"/>
  <c r="O465" i="23"/>
  <c r="O516" i="23"/>
  <c r="O583" i="23"/>
  <c r="O450" i="23"/>
  <c r="O184" i="23"/>
  <c r="O238" i="23"/>
  <c r="O262" i="23"/>
  <c r="O370" i="23"/>
  <c r="O409" i="23"/>
  <c r="O152" i="23"/>
  <c r="O228" i="23"/>
  <c r="O146" i="23"/>
  <c r="O14" i="23"/>
  <c r="O230" i="23"/>
  <c r="O107" i="23"/>
  <c r="O266" i="23"/>
  <c r="O496" i="23"/>
  <c r="O333" i="23"/>
  <c r="O417" i="23"/>
  <c r="O468" i="23"/>
  <c r="O281" i="23"/>
  <c r="O168" i="23"/>
  <c r="O132" i="23"/>
  <c r="O434" i="23"/>
  <c r="O330" i="23"/>
  <c r="O523" i="23"/>
  <c r="O441" i="23"/>
  <c r="O339" i="23"/>
  <c r="O492" i="23"/>
  <c r="O341" i="23"/>
  <c r="O541" i="23"/>
  <c r="O329" i="23"/>
  <c r="O154" i="23"/>
  <c r="O208" i="23"/>
  <c r="O226" i="23"/>
  <c r="O322" i="23"/>
  <c r="O397" i="23"/>
  <c r="O84" i="23"/>
  <c r="O138" i="23"/>
  <c r="O140" i="23"/>
  <c r="O509" i="23"/>
  <c r="O460" i="23"/>
  <c r="O544" i="23"/>
  <c r="O486" i="23"/>
  <c r="O49" i="23"/>
  <c r="O271" i="23"/>
  <c r="O15" i="23"/>
  <c r="O9" i="23"/>
  <c r="O291" i="23"/>
  <c r="O345" i="23"/>
  <c r="O440" i="23"/>
  <c r="O357" i="23"/>
  <c r="O414" i="23"/>
  <c r="O300" i="23"/>
  <c r="O471" i="23"/>
  <c r="O525" i="23"/>
  <c r="O368" i="23"/>
  <c r="O555" i="23"/>
  <c r="O529" i="23"/>
  <c r="O565" i="23"/>
  <c r="O401" i="23"/>
  <c r="O142" i="23"/>
  <c r="O196" i="23"/>
  <c r="O250" i="23"/>
  <c r="O144" i="23"/>
  <c r="O274" i="23"/>
  <c r="O310" i="23"/>
  <c r="O364" i="23"/>
  <c r="O382" i="23"/>
  <c r="O26" i="23"/>
  <c r="O182" i="23"/>
  <c r="O50" i="23"/>
  <c r="O302" i="23"/>
  <c r="O443" i="23"/>
  <c r="O587" i="23"/>
  <c r="O260" i="23"/>
  <c r="O315" i="23"/>
  <c r="O399" i="23"/>
  <c r="O574" i="23"/>
  <c r="O463" i="23"/>
  <c r="O571" i="23"/>
  <c r="O390" i="23"/>
  <c r="O439" i="23"/>
  <c r="O19" i="23"/>
  <c r="O217" i="23"/>
  <c r="O349" i="23"/>
  <c r="O388" i="23"/>
  <c r="O363" i="23"/>
  <c r="O446" i="23"/>
  <c r="O372" i="23"/>
  <c r="O323" i="23"/>
  <c r="O531" i="23"/>
  <c r="O276" i="23"/>
  <c r="O351" i="23"/>
  <c r="O543" i="23"/>
  <c r="O457" i="23"/>
  <c r="O336" i="23"/>
  <c r="O130" i="23"/>
  <c r="O280" i="23"/>
  <c r="O298" i="23"/>
  <c r="O334" i="23"/>
  <c r="O352" i="23"/>
  <c r="O68" i="23"/>
  <c r="O125" i="23"/>
  <c r="O557" i="23"/>
  <c r="O433" i="23"/>
  <c r="O385" i="23"/>
  <c r="O481" i="23"/>
  <c r="O442" i="23"/>
  <c r="O550" i="23"/>
  <c r="O526" i="23"/>
  <c r="O580" i="23"/>
  <c r="O534" i="23"/>
  <c r="O169" i="23"/>
  <c r="O241" i="23"/>
  <c r="O227" i="23"/>
  <c r="O265" i="23"/>
  <c r="O301" i="23"/>
  <c r="O337" i="23"/>
  <c r="O373" i="23"/>
  <c r="O131" i="23"/>
  <c r="O185" i="23"/>
  <c r="O75" i="23"/>
  <c r="O237" i="23"/>
  <c r="O327" i="23"/>
  <c r="O381" i="23"/>
  <c r="O470" i="23"/>
  <c r="O542" i="23"/>
  <c r="O546" i="23"/>
  <c r="O507" i="23"/>
  <c r="O321" i="23"/>
  <c r="O64" i="23"/>
  <c r="O190" i="23"/>
  <c r="O72" i="23"/>
  <c r="O62" i="23"/>
  <c r="O30" i="23"/>
  <c r="O192" i="23"/>
  <c r="O218" i="23"/>
  <c r="O161" i="23"/>
  <c r="O395" i="23"/>
  <c r="O473" i="23"/>
  <c r="O491" i="23"/>
  <c r="O527" i="23"/>
  <c r="O299" i="23"/>
  <c r="O353" i="23"/>
  <c r="O387" i="23"/>
  <c r="O369" i="23"/>
  <c r="O448" i="23"/>
  <c r="O556" i="23"/>
  <c r="O445" i="23"/>
  <c r="O215" i="23"/>
  <c r="O305" i="23"/>
  <c r="O410" i="23"/>
  <c r="O432" i="23"/>
  <c r="O375" i="23"/>
  <c r="O67" i="23"/>
  <c r="O139" i="23"/>
  <c r="O175" i="23"/>
  <c r="O193" i="23"/>
  <c r="O247" i="23"/>
  <c r="O83" i="23"/>
  <c r="O137" i="23"/>
  <c r="O245" i="23"/>
  <c r="O307" i="23"/>
  <c r="O379" i="23"/>
  <c r="O177" i="23"/>
  <c r="O171" i="23"/>
  <c r="O201" i="23"/>
  <c r="O255" i="23"/>
  <c r="O257" i="23"/>
  <c r="O512" i="23"/>
  <c r="O548" i="23"/>
  <c r="O404" i="23"/>
  <c r="O564" i="23"/>
  <c r="O408" i="23"/>
  <c r="O475" i="23"/>
  <c r="O393" i="23"/>
  <c r="O160" i="23"/>
  <c r="O36" i="23"/>
  <c r="O90" i="23"/>
  <c r="O403" i="23"/>
  <c r="O128" i="23"/>
  <c r="O53" i="23"/>
  <c r="O35" i="23"/>
  <c r="O197" i="23"/>
  <c r="O461" i="23"/>
  <c r="O569" i="23"/>
  <c r="O520" i="23"/>
  <c r="O362" i="23"/>
  <c r="O411" i="23"/>
  <c r="O478" i="23"/>
  <c r="O306" i="23"/>
  <c r="O508" i="23"/>
  <c r="O576" i="23"/>
  <c r="O73" i="23"/>
  <c r="O145" i="23"/>
  <c r="O181" i="23"/>
  <c r="O199" i="23"/>
  <c r="O253" i="23"/>
  <c r="O155" i="23"/>
  <c r="O313" i="23"/>
  <c r="O141" i="23"/>
  <c r="O221" i="23"/>
  <c r="O275" i="23"/>
  <c r="O309" i="23"/>
  <c r="O420" i="23"/>
  <c r="O464" i="23"/>
  <c r="O554" i="23"/>
  <c r="O269" i="23"/>
  <c r="O582" i="23"/>
  <c r="O489" i="23"/>
  <c r="O588" i="23"/>
  <c r="O249" i="23"/>
  <c r="O76" i="23"/>
  <c r="O148" i="23"/>
  <c r="O202" i="23"/>
  <c r="O256" i="23"/>
  <c r="O316" i="23"/>
  <c r="O206" i="23"/>
  <c r="O120" i="23"/>
  <c r="O200" i="23"/>
  <c r="O122" i="23"/>
  <c r="O270" i="23"/>
  <c r="O449" i="23"/>
  <c r="O498" i="23"/>
  <c r="O484" i="23"/>
  <c r="O335" i="23"/>
  <c r="O285" i="23"/>
  <c r="O359" i="23"/>
  <c r="O254" i="23"/>
  <c r="O65" i="23"/>
  <c r="O355" i="23"/>
  <c r="O394" i="23"/>
  <c r="O51" i="23"/>
  <c r="O105" i="23"/>
  <c r="O23" i="23"/>
  <c r="O99" i="23"/>
  <c r="O150" i="23"/>
  <c r="O506" i="23"/>
  <c r="O384" i="23"/>
  <c r="O549" i="23"/>
  <c r="O279" i="23"/>
  <c r="O297" i="23"/>
  <c r="O378" i="23"/>
  <c r="O561" i="23"/>
  <c r="O428" i="23"/>
  <c r="O118" i="23"/>
  <c r="O172" i="23"/>
  <c r="O234" i="23"/>
  <c r="O268" i="23"/>
  <c r="O415" i="23"/>
  <c r="O116" i="23"/>
  <c r="O224" i="23"/>
  <c r="O56" i="23"/>
  <c r="O86" i="23"/>
  <c r="O194" i="23"/>
  <c r="O288" i="23"/>
  <c r="O455" i="23"/>
  <c r="O451" i="23"/>
  <c r="O502" i="23"/>
  <c r="O553" i="23"/>
  <c r="O389" i="23"/>
  <c r="O514" i="23"/>
  <c r="O29" i="23"/>
  <c r="O191" i="23"/>
  <c r="O361" i="23"/>
  <c r="O418" i="23"/>
  <c r="O41" i="23"/>
  <c r="O225" i="23"/>
  <c r="O303" i="23"/>
  <c r="O296" i="23"/>
  <c r="O567" i="23"/>
  <c r="O324" i="23"/>
  <c r="O462" i="23"/>
  <c r="O386" i="23"/>
  <c r="O88" i="23"/>
  <c r="O214" i="23"/>
  <c r="O198" i="23"/>
  <c r="O328" i="23"/>
  <c r="O80" i="23"/>
  <c r="O242" i="23"/>
  <c r="O156" i="23"/>
  <c r="O74" i="23"/>
  <c r="O236" i="23"/>
  <c r="O158" i="23"/>
  <c r="O365" i="23"/>
  <c r="O422" i="23"/>
  <c r="O480" i="23"/>
  <c r="O466" i="23"/>
  <c r="O308" i="23"/>
  <c r="O586" i="23"/>
  <c r="O454" i="23"/>
  <c r="O344" i="23"/>
  <c r="O109" i="23"/>
  <c r="O163" i="23"/>
  <c r="O101" i="23"/>
  <c r="O331" i="23"/>
  <c r="O367" i="23"/>
  <c r="O406" i="23"/>
  <c r="O424" i="23"/>
  <c r="O87" i="23"/>
  <c r="O219" i="23"/>
  <c r="O240" i="23"/>
  <c r="O482" i="23"/>
  <c r="O314" i="23"/>
  <c r="O519" i="23"/>
  <c r="O40" i="23"/>
  <c r="O58" i="23"/>
  <c r="O220" i="23"/>
  <c r="O108" i="23"/>
  <c r="O98" i="23"/>
  <c r="O92" i="23"/>
  <c r="O431" i="23"/>
  <c r="O467" i="23"/>
  <c r="O485" i="23"/>
  <c r="O575" i="23"/>
  <c r="O261" i="23"/>
  <c r="O423" i="23"/>
  <c r="O493" i="23"/>
  <c r="O317" i="23"/>
  <c r="O25" i="23"/>
  <c r="O61" i="23"/>
  <c r="O79" i="23"/>
  <c r="O133" i="23"/>
  <c r="O151" i="23"/>
  <c r="O205" i="23"/>
  <c r="O119" i="23"/>
  <c r="O173" i="23"/>
  <c r="O319" i="23"/>
  <c r="O159" i="23"/>
  <c r="O77" i="23"/>
  <c r="O239" i="23"/>
  <c r="O45" i="23"/>
  <c r="O153" i="23"/>
  <c r="O452" i="23"/>
  <c r="O560" i="23"/>
  <c r="O444" i="23"/>
  <c r="O495" i="23"/>
  <c r="O438" i="23"/>
  <c r="O425" i="23"/>
  <c r="O100" i="23"/>
  <c r="O136" i="23"/>
  <c r="O18" i="23"/>
  <c r="O286" i="23"/>
  <c r="O110" i="23"/>
  <c r="O164" i="23"/>
  <c r="O17" i="23"/>
  <c r="O179" i="23"/>
  <c r="O545" i="23"/>
  <c r="O568" i="23"/>
  <c r="O222" i="23"/>
  <c r="O552" i="23"/>
  <c r="O522" i="23"/>
  <c r="O383" i="23"/>
  <c r="O371" i="23"/>
  <c r="O157" i="23"/>
  <c r="O211" i="23"/>
  <c r="O325" i="23"/>
  <c r="O69" i="23"/>
  <c r="O231" i="23"/>
  <c r="O149" i="23"/>
  <c r="O39" i="23"/>
  <c r="O60" i="23"/>
  <c r="O566" i="23"/>
  <c r="O456" i="23"/>
  <c r="O233" i="23"/>
  <c r="O421" i="23"/>
  <c r="O413" i="23"/>
  <c r="O479" i="23"/>
  <c r="O497" i="23"/>
  <c r="O533" i="23"/>
  <c r="O267" i="23"/>
  <c r="O562" i="23"/>
  <c r="O505" i="23"/>
  <c r="O577" i="23"/>
  <c r="O540" i="23"/>
  <c r="O272" i="23"/>
  <c r="O55" i="23"/>
  <c r="O209" i="23"/>
  <c r="O277" i="23"/>
  <c r="O195" i="23"/>
  <c r="O113" i="23"/>
  <c r="O167" i="23"/>
  <c r="O81" i="23"/>
  <c r="O243" i="23"/>
  <c r="O57" i="23"/>
  <c r="O165" i="23"/>
  <c r="O263" i="23"/>
  <c r="O96" i="23"/>
  <c r="O500" i="23"/>
  <c r="O572" i="23"/>
  <c r="O487" i="23"/>
  <c r="O312" i="23"/>
  <c r="O398" i="23"/>
  <c r="O3" i="23"/>
  <c r="V503" i="23"/>
  <c r="V557" i="23"/>
  <c r="V326" i="23"/>
  <c r="V498" i="23"/>
  <c r="V484" i="23"/>
  <c r="V359" i="23"/>
  <c r="V442" i="23"/>
  <c r="V472" i="23"/>
  <c r="V301" i="23"/>
  <c r="V470" i="23"/>
  <c r="V488" i="23"/>
  <c r="V542" i="23"/>
  <c r="V384" i="23"/>
  <c r="V549" i="23"/>
  <c r="V378" i="23"/>
  <c r="V561" i="23"/>
  <c r="V504" i="23"/>
  <c r="V304" i="23"/>
  <c r="V376" i="23"/>
  <c r="V338" i="23"/>
  <c r="V395" i="23"/>
  <c r="V455" i="23"/>
  <c r="V527" i="23"/>
  <c r="V387" i="23"/>
  <c r="V451" i="23"/>
  <c r="V445" i="23"/>
  <c r="V432" i="23"/>
  <c r="V476" i="23"/>
  <c r="V494" i="23"/>
  <c r="V548" i="23"/>
  <c r="V296" i="23"/>
  <c r="V459" i="23"/>
  <c r="V567" i="23"/>
  <c r="V408" i="23"/>
  <c r="V579" i="23"/>
  <c r="V447" i="23"/>
  <c r="V501" i="23"/>
  <c r="V529" i="23"/>
  <c r="V565" i="23"/>
  <c r="V386" i="23"/>
  <c r="V292" i="23"/>
  <c r="V479" i="23"/>
  <c r="V515" i="23"/>
  <c r="V569" i="23"/>
  <c r="V480" i="23"/>
  <c r="V399" i="23"/>
  <c r="V332" i="23"/>
  <c r="V586" i="23"/>
  <c r="V439" i="23"/>
  <c r="V367" i="23"/>
  <c r="V406" i="23"/>
  <c r="V420" i="23"/>
  <c r="V554" i="23"/>
  <c r="V318" i="23"/>
  <c r="V429" i="23"/>
  <c r="V407" i="23"/>
  <c r="V477" i="23"/>
  <c r="V585" i="23"/>
  <c r="V312" i="23"/>
  <c r="V366" i="23"/>
  <c r="V419" i="23"/>
  <c r="V582" i="23"/>
  <c r="V435" i="23"/>
  <c r="V465" i="23"/>
  <c r="V519" i="23"/>
  <c r="V516" i="23"/>
  <c r="V588" i="23"/>
  <c r="V431" i="23"/>
  <c r="V449" i="23"/>
  <c r="V485" i="23"/>
  <c r="V333" i="23"/>
  <c r="U70" i="80"/>
  <c r="V524" i="23"/>
  <c r="V330" i="23"/>
  <c r="V339" i="23"/>
  <c r="V392" i="23"/>
  <c r="V297" i="23"/>
  <c r="V425" i="23"/>
  <c r="V483" i="23"/>
  <c r="V329" i="23"/>
  <c r="V348" i="23"/>
  <c r="V437" i="23"/>
  <c r="V509" i="23"/>
  <c r="V570" i="23"/>
  <c r="V448" i="23"/>
  <c r="V499" i="23"/>
  <c r="V553" i="23"/>
  <c r="V460" i="23"/>
  <c r="V360" i="23"/>
  <c r="V544" i="23"/>
  <c r="V377" i="23"/>
  <c r="V354" i="23"/>
  <c r="V558" i="23"/>
  <c r="V356" i="23"/>
  <c r="V497" i="23"/>
  <c r="V574" i="23"/>
  <c r="V577" i="23"/>
  <c r="V424" i="23"/>
  <c r="V323" i="23"/>
  <c r="V528" i="23"/>
  <c r="V450" i="23"/>
  <c r="V409" i="23"/>
  <c r="V4" i="23"/>
  <c r="V298" i="23"/>
  <c r="V370" i="23"/>
  <c r="V391" i="23"/>
  <c r="V374" i="23"/>
  <c r="V521" i="23"/>
  <c r="V575" i="23"/>
  <c r="V380" i="23"/>
  <c r="V417" i="23"/>
  <c r="V394" i="23"/>
  <c r="V327" i="23"/>
  <c r="V434" i="23"/>
  <c r="V560" i="23"/>
  <c r="V523" i="23"/>
  <c r="V350" i="23"/>
  <c r="V441" i="23"/>
  <c r="V453" i="23"/>
  <c r="V537" i="23"/>
  <c r="V511" i="23"/>
  <c r="V321" i="23"/>
  <c r="V322" i="23"/>
  <c r="V473" i="23"/>
  <c r="V545" i="23"/>
  <c r="V490" i="23"/>
  <c r="V402" i="23"/>
  <c r="V566" i="23"/>
  <c r="V303" i="23"/>
  <c r="V414" i="23"/>
  <c r="V471" i="23"/>
  <c r="V401" i="23"/>
  <c r="V310" i="23"/>
  <c r="V382" i="23"/>
  <c r="V403" i="23"/>
  <c r="V413" i="23"/>
  <c r="V533" i="23"/>
  <c r="V308" i="23"/>
  <c r="V517" i="23"/>
  <c r="V478" i="23"/>
  <c r="V390" i="23"/>
  <c r="V508" i="23"/>
  <c r="V331" i="23"/>
  <c r="V349" i="23"/>
  <c r="V309" i="23"/>
  <c r="V572" i="23"/>
  <c r="V474" i="23"/>
  <c r="V573" i="23"/>
  <c r="V467" i="23"/>
  <c r="V342" i="23"/>
  <c r="V335" i="23"/>
  <c r="V481" i="23"/>
  <c r="V535" i="23"/>
  <c r="V550" i="23"/>
  <c r="V534" i="23"/>
  <c r="V381" i="23"/>
  <c r="V506" i="23"/>
  <c r="V578" i="23"/>
  <c r="V546" i="23"/>
  <c r="V358" i="23"/>
  <c r="V397" i="23"/>
  <c r="U120" i="80"/>
  <c r="V581" i="23"/>
  <c r="V369" i="23"/>
  <c r="V556" i="23"/>
  <c r="V293" i="23"/>
  <c r="V396" i="23"/>
  <c r="V389" i="23"/>
  <c r="V568" i="23"/>
  <c r="V436" i="23"/>
  <c r="V375" i="23"/>
  <c r="V547" i="23"/>
  <c r="V307" i="23"/>
  <c r="V418" i="23"/>
  <c r="V584" i="23"/>
  <c r="V469" i="23"/>
  <c r="V564" i="23"/>
  <c r="V462" i="23"/>
  <c r="V393" i="23"/>
  <c r="V346" i="23"/>
  <c r="V421" i="23"/>
  <c r="V302" i="23"/>
  <c r="V311" i="23"/>
  <c r="V315" i="23"/>
  <c r="V466" i="23"/>
  <c r="V362" i="23"/>
  <c r="V576" i="23"/>
  <c r="V313" i="23"/>
  <c r="V518" i="23"/>
  <c r="V489" i="23"/>
  <c r="V314" i="23"/>
  <c r="V583" i="23"/>
  <c r="V294" i="23"/>
  <c r="V316" i="23"/>
  <c r="V334" i="23"/>
  <c r="V539" i="23"/>
  <c r="V426" i="23"/>
  <c r="V423" i="23"/>
  <c r="V496" i="23"/>
  <c r="V468" i="23"/>
  <c r="V317" i="23"/>
  <c r="V337" i="23"/>
  <c r="V355" i="23"/>
  <c r="V452" i="23"/>
  <c r="V492" i="23"/>
  <c r="V507" i="23"/>
  <c r="V341" i="23"/>
  <c r="V428" i="23"/>
  <c r="V415" i="23"/>
  <c r="V563" i="23"/>
  <c r="V353" i="23"/>
  <c r="V347" i="23"/>
  <c r="V514" i="23"/>
  <c r="V410" i="23"/>
  <c r="V486" i="23"/>
  <c r="V343" i="23"/>
  <c r="V361" i="23"/>
  <c r="V345" i="23"/>
  <c r="V458" i="23"/>
  <c r="V530" i="23"/>
  <c r="V357" i="23"/>
  <c r="V513" i="23"/>
  <c r="V525" i="23"/>
  <c r="V368" i="23"/>
  <c r="V555" i="23"/>
  <c r="V328" i="23"/>
  <c r="V443" i="23"/>
  <c r="V461" i="23"/>
  <c r="V551" i="23"/>
  <c r="V422" i="23"/>
  <c r="V463" i="23"/>
  <c r="V505" i="23"/>
  <c r="V344" i="23"/>
  <c r="V295" i="23"/>
  <c r="V363" i="23"/>
  <c r="V464" i="23"/>
  <c r="V482" i="23"/>
  <c r="V536" i="23"/>
  <c r="V372" i="23"/>
  <c r="V531" i="23"/>
  <c r="V351" i="23"/>
  <c r="V543" i="23"/>
  <c r="V336" i="23"/>
  <c r="V352" i="23"/>
  <c r="V427" i="23"/>
  <c r="V320" i="23"/>
  <c r="V433" i="23"/>
  <c r="V538" i="23"/>
  <c r="V385" i="23"/>
  <c r="V526" i="23"/>
  <c r="V580" i="23"/>
  <c r="V405" i="23"/>
  <c r="V493" i="23"/>
  <c r="V319" i="23"/>
  <c r="V373" i="23"/>
  <c r="V412" i="23"/>
  <c r="V430" i="23"/>
  <c r="V444" i="23"/>
  <c r="V495" i="23"/>
  <c r="V438" i="23"/>
  <c r="V541" i="23"/>
  <c r="V340" i="23"/>
  <c r="V491" i="23"/>
  <c r="V299" i="23"/>
  <c r="V502" i="23"/>
  <c r="V305" i="23"/>
  <c r="V552" i="23"/>
  <c r="V522" i="23"/>
  <c r="V383" i="23"/>
  <c r="V371" i="23"/>
  <c r="V325" i="23"/>
  <c r="V379" i="23"/>
  <c r="V400" i="23"/>
  <c r="V291" i="23"/>
  <c r="V440" i="23"/>
  <c r="V512" i="23"/>
  <c r="V300" i="23"/>
  <c r="V404" i="23"/>
  <c r="V456" i="23"/>
  <c r="V510" i="23"/>
  <c r="V324" i="23"/>
  <c r="V559" i="23"/>
  <c r="V475" i="23"/>
  <c r="V364" i="23"/>
  <c r="V587" i="23"/>
  <c r="V365" i="23"/>
  <c r="V520" i="23"/>
  <c r="V411" i="23"/>
  <c r="V571" i="23"/>
  <c r="V416" i="23"/>
  <c r="V532" i="23"/>
  <c r="V306" i="23"/>
  <c r="V454" i="23"/>
  <c r="V562" i="23"/>
  <c r="V540" i="23"/>
  <c r="V388" i="23"/>
  <c r="V446" i="23"/>
  <c r="V500" i="23"/>
  <c r="V487" i="23"/>
  <c r="V398" i="23"/>
  <c r="V457" i="23"/>
  <c r="M10" i="121"/>
  <c r="W3" i="108"/>
  <c r="D10" i="120" s="1"/>
  <c r="O9" i="108"/>
  <c r="M8" i="108"/>
  <c r="O7" i="108"/>
  <c r="O12" i="108"/>
  <c r="O11" i="108"/>
  <c r="M10" i="108"/>
  <c r="M11" i="108"/>
  <c r="O10" i="108"/>
  <c r="O15" i="108"/>
  <c r="M12" i="108"/>
  <c r="M9" i="108"/>
  <c r="M7" i="108"/>
  <c r="M7" i="121"/>
  <c r="M8" i="121"/>
  <c r="M9" i="121"/>
  <c r="V7" i="121"/>
  <c r="X7" i="121"/>
  <c r="AP7" i="121"/>
  <c r="H7" i="126" s="1"/>
  <c r="M18" i="108"/>
  <c r="M14" i="108"/>
  <c r="M15" i="108"/>
  <c r="M13" i="108"/>
  <c r="M17" i="108"/>
  <c r="M16" i="108"/>
  <c r="U7" i="121"/>
  <c r="AH64" i="120" s="1"/>
  <c r="AI64" i="120" s="1"/>
  <c r="M12" i="121"/>
  <c r="M11" i="121"/>
  <c r="Z7" i="121"/>
  <c r="Y7" i="121"/>
  <c r="W7" i="121"/>
  <c r="S65" i="115" s="1"/>
  <c r="AF7" i="121"/>
  <c r="W120" i="80"/>
  <c r="W70" i="80"/>
  <c r="O8" i="108"/>
  <c r="O16" i="108"/>
  <c r="O17" i="108"/>
  <c r="O14" i="108"/>
  <c r="O18" i="108"/>
  <c r="O13" i="108"/>
  <c r="D23" i="120"/>
  <c r="E13" i="120"/>
  <c r="W10" i="120" s="1"/>
  <c r="G120" i="80"/>
  <c r="G70" i="80"/>
  <c r="S120" i="80"/>
  <c r="S70" i="80"/>
  <c r="V79" i="80"/>
  <c r="H253" i="80"/>
  <c r="N79" i="80"/>
  <c r="G79" i="80"/>
  <c r="Q253" i="80"/>
  <c r="W253" i="80"/>
  <c r="V253" i="80"/>
  <c r="F79" i="80"/>
  <c r="F119" i="80"/>
  <c r="N119" i="80"/>
  <c r="G253" i="80"/>
  <c r="U253" i="80"/>
  <c r="K253" i="80"/>
  <c r="J79" i="80"/>
  <c r="H79" i="80"/>
  <c r="W119" i="80"/>
  <c r="E253" i="80"/>
  <c r="U79" i="80"/>
  <c r="K79" i="80"/>
  <c r="U119" i="80"/>
  <c r="E119" i="80"/>
  <c r="P119" i="80"/>
  <c r="N253" i="80"/>
  <c r="L79" i="80"/>
  <c r="M79" i="80" s="1"/>
  <c r="L119" i="80"/>
  <c r="M119" i="80" s="1"/>
  <c r="Q119" i="80"/>
  <c r="V119" i="80"/>
  <c r="W79" i="80"/>
  <c r="K119" i="80"/>
  <c r="G119" i="80"/>
  <c r="P253" i="80"/>
  <c r="L253" i="80"/>
  <c r="M253" i="80" s="1"/>
  <c r="P79" i="80"/>
  <c r="F253" i="80"/>
  <c r="E79" i="80"/>
  <c r="J253" i="80"/>
  <c r="Q79" i="80"/>
  <c r="J119" i="80"/>
  <c r="H119" i="80"/>
  <c r="W49" i="80"/>
  <c r="P155" i="80"/>
  <c r="L155" i="80"/>
  <c r="M155" i="80" s="1"/>
  <c r="K214" i="80"/>
  <c r="V155" i="80"/>
  <c r="N214" i="80"/>
  <c r="J155" i="80"/>
  <c r="N155" i="80"/>
  <c r="G214" i="80"/>
  <c r="V214" i="80"/>
  <c r="W155" i="80"/>
  <c r="U155" i="80"/>
  <c r="K155" i="80"/>
  <c r="G155" i="80"/>
  <c r="F214" i="80"/>
  <c r="H155" i="80"/>
  <c r="F155" i="80"/>
  <c r="E214" i="80"/>
  <c r="W214" i="80"/>
  <c r="L214" i="80"/>
  <c r="M214" i="80" s="1"/>
  <c r="Q155" i="80"/>
  <c r="U214" i="80"/>
  <c r="J214" i="80"/>
  <c r="P214" i="80"/>
  <c r="S119" i="80"/>
  <c r="E155" i="80"/>
  <c r="Q214" i="80"/>
  <c r="H214" i="80"/>
  <c r="S253" i="80"/>
  <c r="S79" i="80"/>
  <c r="U49" i="80"/>
  <c r="H49" i="80"/>
  <c r="L49" i="80"/>
  <c r="M49" i="80" s="1"/>
  <c r="E49" i="80"/>
  <c r="P49" i="80"/>
  <c r="G49" i="80"/>
  <c r="F49" i="80"/>
  <c r="Q49" i="80"/>
  <c r="N49" i="80"/>
  <c r="V49" i="80"/>
  <c r="K49" i="80"/>
  <c r="S155" i="80"/>
  <c r="J49" i="80"/>
  <c r="S214" i="80"/>
  <c r="S49" i="80"/>
  <c r="P154" i="80"/>
  <c r="V10" i="46"/>
  <c r="W10" i="46" s="1"/>
  <c r="L154" i="80"/>
  <c r="M154" i="80" s="1"/>
  <c r="Q154" i="80"/>
  <c r="J154" i="80"/>
  <c r="L138" i="80"/>
  <c r="M138" i="80" s="1"/>
  <c r="K154" i="80"/>
  <c r="Q138" i="80"/>
  <c r="W138" i="80"/>
  <c r="U138" i="80"/>
  <c r="K138" i="80"/>
  <c r="E154" i="80"/>
  <c r="W154" i="80"/>
  <c r="G138" i="80"/>
  <c r="V154" i="80"/>
  <c r="U69" i="80"/>
  <c r="F69" i="80"/>
  <c r="K69" i="80"/>
  <c r="G69" i="80"/>
  <c r="V138" i="80"/>
  <c r="J138" i="80"/>
  <c r="F154" i="80"/>
  <c r="E69" i="80"/>
  <c r="W69" i="80"/>
  <c r="H69" i="80"/>
  <c r="J69" i="80"/>
  <c r="L69" i="80"/>
  <c r="M69" i="80" s="1"/>
  <c r="F138" i="80"/>
  <c r="P138" i="80"/>
  <c r="H154" i="80"/>
  <c r="N154" i="80"/>
  <c r="P69" i="80"/>
  <c r="Q69" i="80"/>
  <c r="E138" i="80"/>
  <c r="N138" i="80"/>
  <c r="H138" i="80"/>
  <c r="G154" i="80"/>
  <c r="N69" i="80"/>
  <c r="V69" i="80"/>
  <c r="S69" i="80"/>
  <c r="U154" i="80"/>
  <c r="S154" i="80"/>
  <c r="S138" i="80"/>
  <c r="DJ18" i="108"/>
  <c r="CZ13" i="92"/>
  <c r="CZ20" i="92"/>
  <c r="CZ10" i="92"/>
  <c r="CZ35" i="92"/>
  <c r="CZ26" i="92"/>
  <c r="CZ33" i="92"/>
  <c r="CZ28" i="92"/>
  <c r="DA18" i="92"/>
  <c r="DB18" i="92"/>
  <c r="DA22" i="92"/>
  <c r="DB22" i="92"/>
  <c r="DA26" i="92"/>
  <c r="DB26" i="92"/>
  <c r="DA33" i="92"/>
  <c r="DB33" i="92"/>
  <c r="DA17" i="92"/>
  <c r="DB17" i="92"/>
  <c r="DA23" i="92"/>
  <c r="DB23" i="92"/>
  <c r="DA19" i="92"/>
  <c r="DB19" i="92"/>
  <c r="DA24" i="92"/>
  <c r="DB24" i="92"/>
  <c r="DA30" i="92"/>
  <c r="DB30" i="92"/>
  <c r="DA25" i="92"/>
  <c r="DB25" i="92"/>
  <c r="DA32" i="92"/>
  <c r="DB32" i="92"/>
  <c r="DA16" i="92"/>
  <c r="DB16" i="92"/>
  <c r="DA36" i="92"/>
  <c r="DB36" i="92"/>
  <c r="DA21" i="92"/>
  <c r="DB21" i="92"/>
  <c r="DA27" i="92"/>
  <c r="DB27" i="92"/>
  <c r="DA28" i="92"/>
  <c r="DB28" i="92"/>
  <c r="DA20" i="92"/>
  <c r="DB20" i="92"/>
  <c r="CZ18" i="92"/>
  <c r="DA15" i="92"/>
  <c r="DB15" i="92"/>
  <c r="DA29" i="92"/>
  <c r="DB29" i="92"/>
  <c r="CZ11" i="92"/>
  <c r="CZ8" i="92"/>
  <c r="CZ12" i="92"/>
  <c r="CZ25" i="92"/>
  <c r="CZ32" i="92"/>
  <c r="CZ14" i="92"/>
  <c r="CZ21" i="92"/>
  <c r="CZ7" i="92"/>
  <c r="CZ31" i="92"/>
  <c r="CZ15" i="92"/>
  <c r="CZ27" i="92"/>
  <c r="CZ30" i="92"/>
  <c r="CZ9" i="92"/>
  <c r="CZ22" i="92"/>
  <c r="CZ29" i="92"/>
  <c r="CZ34" i="92"/>
  <c r="CZ36" i="92"/>
  <c r="CZ19" i="92"/>
  <c r="CZ24" i="92"/>
  <c r="CZ17" i="92"/>
  <c r="CZ16" i="92"/>
  <c r="CZ23" i="92"/>
  <c r="CY27" i="92"/>
  <c r="CY18" i="92"/>
  <c r="CY22" i="92"/>
  <c r="CY26" i="92"/>
  <c r="CY33" i="92"/>
  <c r="CY17" i="92"/>
  <c r="CY23" i="92"/>
  <c r="CY19" i="92"/>
  <c r="CY24" i="92"/>
  <c r="CY30" i="92"/>
  <c r="CY25" i="92"/>
  <c r="CY32" i="92"/>
  <c r="CY16" i="92"/>
  <c r="CY36" i="92"/>
  <c r="CY21" i="92"/>
  <c r="CY28" i="92"/>
  <c r="CY20" i="92"/>
  <c r="CY15" i="92"/>
  <c r="CY29" i="92"/>
  <c r="DE24" i="92"/>
  <c r="AJ24" i="92" s="1"/>
  <c r="AN24" i="92" s="1"/>
  <c r="DE10" i="92"/>
  <c r="DE31" i="92"/>
  <c r="AJ31" i="92" s="1"/>
  <c r="DE14" i="92"/>
  <c r="DE21" i="92"/>
  <c r="AJ21" i="92" s="1"/>
  <c r="AN21" i="92" s="1"/>
  <c r="DE20" i="92"/>
  <c r="AJ20" i="92" s="1"/>
  <c r="AN20" i="92" s="1"/>
  <c r="DE18" i="92"/>
  <c r="AJ18" i="92" s="1"/>
  <c r="AN18" i="92" s="1"/>
  <c r="DE29" i="92"/>
  <c r="AJ29" i="92" s="1"/>
  <c r="AN29" i="92" s="1"/>
  <c r="DE22" i="92"/>
  <c r="AJ22" i="92" s="1"/>
  <c r="AN22" i="92" s="1"/>
  <c r="DE15" i="92"/>
  <c r="DE8" i="92"/>
  <c r="DE16" i="92"/>
  <c r="DE11" i="92"/>
  <c r="DE33" i="92"/>
  <c r="AJ33" i="92" s="1"/>
  <c r="AN33" i="92" s="1"/>
  <c r="DE17" i="92"/>
  <c r="AJ17" i="92" s="1"/>
  <c r="AN17" i="92" s="1"/>
  <c r="DE13" i="92"/>
  <c r="DE23" i="92"/>
  <c r="AJ23" i="92" s="1"/>
  <c r="AN23" i="92" s="1"/>
  <c r="DE35" i="92"/>
  <c r="AJ35" i="92" s="1"/>
  <c r="DE12" i="92"/>
  <c r="DE7" i="92"/>
  <c r="DH7" i="92"/>
  <c r="DE34" i="92"/>
  <c r="AJ34" i="92" s="1"/>
  <c r="DE27" i="92"/>
  <c r="AJ27" i="92" s="1"/>
  <c r="AN27" i="92" s="1"/>
  <c r="DE9" i="92"/>
  <c r="DE30" i="92"/>
  <c r="AJ30" i="92" s="1"/>
  <c r="AN30" i="92" s="1"/>
  <c r="DE32" i="92"/>
  <c r="AJ32" i="92" s="1"/>
  <c r="AN32" i="92" s="1"/>
  <c r="DE36" i="92"/>
  <c r="AJ36" i="92" s="1"/>
  <c r="AN36" i="92" s="1"/>
  <c r="DE19" i="92"/>
  <c r="AJ19" i="92" s="1"/>
  <c r="AN19" i="92" s="1"/>
  <c r="DE26" i="92"/>
  <c r="AJ26" i="92" s="1"/>
  <c r="AN26" i="92" s="1"/>
  <c r="DE28" i="92"/>
  <c r="AJ28" i="92" s="1"/>
  <c r="AN28" i="92" s="1"/>
  <c r="DE25" i="92"/>
  <c r="AJ25" i="92" s="1"/>
  <c r="AN25" i="92" s="1"/>
  <c r="DG12" i="108"/>
  <c r="DB11" i="108"/>
  <c r="DB16" i="108"/>
  <c r="DB12" i="108"/>
  <c r="DB9" i="108"/>
  <c r="DB13" i="108"/>
  <c r="DB14" i="108"/>
  <c r="DB10" i="108"/>
  <c r="DB8" i="108"/>
  <c r="DB17" i="108"/>
  <c r="DB18" i="108"/>
  <c r="DB15" i="108"/>
  <c r="DJ7" i="108"/>
  <c r="DG7" i="108"/>
  <c r="DB7" i="108"/>
  <c r="N7" i="108"/>
  <c r="J18" i="114"/>
  <c r="X18" i="114" s="1"/>
  <c r="M19" i="114"/>
  <c r="T319" i="23"/>
  <c r="U319" i="23" s="1"/>
  <c r="T15" i="23"/>
  <c r="U15" i="23" s="1"/>
  <c r="T128" i="23"/>
  <c r="U128" i="23" s="1"/>
  <c r="T85" i="23"/>
  <c r="U85" i="23" s="1"/>
  <c r="T329" i="23"/>
  <c r="U329" i="23" s="1"/>
  <c r="T41" i="23"/>
  <c r="U41" i="23" s="1"/>
  <c r="AH11" i="46"/>
  <c r="AG11" i="46" s="1"/>
  <c r="AF11" i="46" s="1"/>
  <c r="F11" i="46" s="1"/>
  <c r="J12" i="90" s="1"/>
  <c r="T467" i="23"/>
  <c r="U467" i="23" s="1"/>
  <c r="E18" i="80"/>
  <c r="M8" i="114"/>
  <c r="X8" i="114"/>
  <c r="T585" i="23"/>
  <c r="U585" i="23" s="1"/>
  <c r="P18" i="114"/>
  <c r="Z18" i="114"/>
  <c r="W18" i="114"/>
  <c r="M10" i="114"/>
  <c r="X10" i="114"/>
  <c r="M11" i="114"/>
  <c r="X11" i="114"/>
  <c r="M12" i="114"/>
  <c r="M17" i="114"/>
  <c r="X17" i="114"/>
  <c r="M9" i="114"/>
  <c r="X9" i="114"/>
  <c r="M14" i="114"/>
  <c r="X14" i="114"/>
  <c r="M15" i="114"/>
  <c r="X15" i="114"/>
  <c r="M13" i="114"/>
  <c r="X13" i="114"/>
  <c r="M16" i="114"/>
  <c r="X16" i="114"/>
  <c r="L18" i="80"/>
  <c r="M18" i="80" s="1"/>
  <c r="Q18" i="114"/>
  <c r="R18" i="114"/>
  <c r="AA18" i="114"/>
  <c r="U18" i="114"/>
  <c r="S18" i="114"/>
  <c r="Z9" i="108"/>
  <c r="Z8" i="108"/>
  <c r="U18" i="80"/>
  <c r="T165" i="23"/>
  <c r="U165" i="23" s="1"/>
  <c r="X3" i="23"/>
  <c r="AA3" i="23" s="1"/>
  <c r="T340" i="23"/>
  <c r="U340" i="23" s="1"/>
  <c r="T160" i="23"/>
  <c r="U160" i="23" s="1"/>
  <c r="T287" i="23"/>
  <c r="U287" i="23" s="1"/>
  <c r="T398" i="23"/>
  <c r="U398" i="23" s="1"/>
  <c r="T6" i="23"/>
  <c r="U6" i="23" s="1"/>
  <c r="T383" i="23"/>
  <c r="U383" i="23" s="1"/>
  <c r="T113" i="23"/>
  <c r="U113" i="23" s="1"/>
  <c r="T114" i="23"/>
  <c r="U114" i="23" s="1"/>
  <c r="T312" i="23"/>
  <c r="U312" i="23" s="1"/>
  <c r="T22" i="23"/>
  <c r="U22" i="23" s="1"/>
  <c r="T427" i="23"/>
  <c r="U427" i="23" s="1"/>
  <c r="T269" i="23"/>
  <c r="U269" i="23" s="1"/>
  <c r="T227" i="23"/>
  <c r="U227" i="23" s="1"/>
  <c r="T522" i="23"/>
  <c r="U522" i="23" s="1"/>
  <c r="T441" i="23"/>
  <c r="U441" i="23" s="1"/>
  <c r="T403" i="23"/>
  <c r="U403" i="23" s="1"/>
  <c r="T253" i="23"/>
  <c r="U253" i="23" s="1"/>
  <c r="T419" i="23"/>
  <c r="U419" i="23" s="1"/>
  <c r="T20" i="23"/>
  <c r="U20" i="23" s="1"/>
  <c r="T587" i="23"/>
  <c r="U587" i="23" s="1"/>
  <c r="T60" i="23"/>
  <c r="U60" i="23" s="1"/>
  <c r="T580" i="23"/>
  <c r="U580" i="23" s="1"/>
  <c r="T331" i="23"/>
  <c r="U331" i="23" s="1"/>
  <c r="T275" i="23"/>
  <c r="U275" i="23" s="1"/>
  <c r="T299" i="23"/>
  <c r="U299" i="23" s="1"/>
  <c r="T466" i="23"/>
  <c r="U466" i="23" s="1"/>
  <c r="T362" i="23"/>
  <c r="U362" i="23" s="1"/>
  <c r="T503" i="23"/>
  <c r="U503" i="23" s="1"/>
  <c r="T169" i="23"/>
  <c r="U169" i="23" s="1"/>
  <c r="T438" i="23"/>
  <c r="U438" i="23" s="1"/>
  <c r="T415" i="23"/>
  <c r="U415" i="23" s="1"/>
  <c r="T149" i="23"/>
  <c r="U149" i="23" s="1"/>
  <c r="T171" i="23"/>
  <c r="U171" i="23" s="1"/>
  <c r="T377" i="23"/>
  <c r="U377" i="23" s="1"/>
  <c r="T479" i="23"/>
  <c r="U479" i="23" s="1"/>
  <c r="T515" i="23"/>
  <c r="U515" i="23" s="1"/>
  <c r="T55" i="23"/>
  <c r="U55" i="23" s="1"/>
  <c r="T5" i="23"/>
  <c r="U5" i="23" s="1"/>
  <c r="T298" i="23"/>
  <c r="U298" i="23" s="1"/>
  <c r="T426" i="23"/>
  <c r="U426" i="23" s="1"/>
  <c r="T97" i="23"/>
  <c r="U97" i="23" s="1"/>
  <c r="T161" i="23"/>
  <c r="U161" i="23" s="1"/>
  <c r="T432" i="23"/>
  <c r="U432" i="23" s="1"/>
  <c r="T147" i="23"/>
  <c r="U147" i="23" s="1"/>
  <c r="T572" i="23"/>
  <c r="U572" i="23" s="1"/>
  <c r="T451" i="23"/>
  <c r="U451" i="23" s="1"/>
  <c r="T445" i="23"/>
  <c r="U445" i="23" s="1"/>
  <c r="T512" i="23"/>
  <c r="U512" i="23" s="1"/>
  <c r="T50" i="23"/>
  <c r="U50" i="23" s="1"/>
  <c r="T411" i="23"/>
  <c r="U411" i="23" s="1"/>
  <c r="T463" i="23"/>
  <c r="U463" i="23" s="1"/>
  <c r="T582" i="23"/>
  <c r="U582" i="23" s="1"/>
  <c r="T472" i="23"/>
  <c r="U472" i="23" s="1"/>
  <c r="T304" i="23"/>
  <c r="U304" i="23" s="1"/>
  <c r="T310" i="23"/>
  <c r="U310" i="23" s="1"/>
  <c r="T461" i="23"/>
  <c r="U461" i="23" s="1"/>
  <c r="T209" i="23"/>
  <c r="U209" i="23" s="1"/>
  <c r="T58" i="23"/>
  <c r="U58" i="23" s="1"/>
  <c r="T132" i="23"/>
  <c r="U132" i="23" s="1"/>
  <c r="T418" i="23"/>
  <c r="U418" i="23" s="1"/>
  <c r="T42" i="23"/>
  <c r="U42" i="23" s="1"/>
  <c r="T188" i="23"/>
  <c r="U188" i="23" s="1"/>
  <c r="T272" i="23"/>
  <c r="U272" i="23" s="1"/>
  <c r="T219" i="23"/>
  <c r="U219" i="23" s="1"/>
  <c r="T420" i="23"/>
  <c r="U420" i="23" s="1"/>
  <c r="T280" i="23"/>
  <c r="U280" i="23" s="1"/>
  <c r="T334" i="23"/>
  <c r="U334" i="23" s="1"/>
  <c r="T92" i="23"/>
  <c r="U92" i="23" s="1"/>
  <c r="T223" i="23"/>
  <c r="U223" i="23" s="1"/>
  <c r="T241" i="23"/>
  <c r="U241" i="23" s="1"/>
  <c r="T283" i="23"/>
  <c r="U283" i="23" s="1"/>
  <c r="T159" i="23"/>
  <c r="U159" i="23" s="1"/>
  <c r="T524" i="23"/>
  <c r="U524" i="23" s="1"/>
  <c r="T348" i="23"/>
  <c r="U348" i="23" s="1"/>
  <c r="T192" i="23"/>
  <c r="U192" i="23" s="1"/>
  <c r="T437" i="23"/>
  <c r="U437" i="23" s="1"/>
  <c r="T566" i="23"/>
  <c r="U566" i="23" s="1"/>
  <c r="T233" i="23"/>
  <c r="U233" i="23" s="1"/>
  <c r="T292" i="23"/>
  <c r="U292" i="23" s="1"/>
  <c r="T356" i="23"/>
  <c r="U356" i="23" s="1"/>
  <c r="T315" i="23"/>
  <c r="U315" i="23" s="1"/>
  <c r="T478" i="23"/>
  <c r="U478" i="23" s="1"/>
  <c r="T576" i="23"/>
  <c r="U576" i="23" s="1"/>
  <c r="T439" i="23"/>
  <c r="U439" i="23" s="1"/>
  <c r="T37" i="23"/>
  <c r="U37" i="23" s="1"/>
  <c r="T424" i="23"/>
  <c r="U424" i="23" s="1"/>
  <c r="T81" i="23"/>
  <c r="U81" i="23" s="1"/>
  <c r="T189" i="23"/>
  <c r="U189" i="23" s="1"/>
  <c r="T366" i="23"/>
  <c r="U366" i="23" s="1"/>
  <c r="T493" i="23"/>
  <c r="U493" i="23" s="1"/>
  <c r="T115" i="23"/>
  <c r="U115" i="23" s="1"/>
  <c r="T265" i="23"/>
  <c r="U265" i="23" s="1"/>
  <c r="T430" i="23"/>
  <c r="U430" i="23" s="1"/>
  <c r="T183" i="23"/>
  <c r="U183" i="23" s="1"/>
  <c r="T28" i="23"/>
  <c r="U28" i="23" s="1"/>
  <c r="T215" i="23"/>
  <c r="U215" i="23" s="1"/>
  <c r="T229" i="23"/>
  <c r="U229" i="23" s="1"/>
  <c r="T390" i="23"/>
  <c r="U390" i="23" s="1"/>
  <c r="T127" i="23"/>
  <c r="U127" i="23" s="1"/>
  <c r="T429" i="23"/>
  <c r="U429" i="23" s="1"/>
  <c r="T285" i="23"/>
  <c r="U285" i="23" s="1"/>
  <c r="T25" i="23"/>
  <c r="U25" i="23" s="1"/>
  <c r="T448" i="23"/>
  <c r="U448" i="23" s="1"/>
  <c r="T499" i="23"/>
  <c r="U499" i="23" s="1"/>
  <c r="T69" i="23"/>
  <c r="U69" i="23" s="1"/>
  <c r="T459" i="23"/>
  <c r="U459" i="23" s="1"/>
  <c r="T456" i="23"/>
  <c r="U456" i="23" s="1"/>
  <c r="T197" i="23"/>
  <c r="U197" i="23" s="1"/>
  <c r="T141" i="23"/>
  <c r="U141" i="23" s="1"/>
  <c r="T94" i="23"/>
  <c r="U94" i="23" s="1"/>
  <c r="T220" i="23"/>
  <c r="U220" i="23" s="1"/>
  <c r="T66" i="23"/>
  <c r="U66" i="23" s="1"/>
  <c r="T282" i="23"/>
  <c r="U282" i="23" s="1"/>
  <c r="T125" i="23"/>
  <c r="U125" i="23" s="1"/>
  <c r="T449" i="23"/>
  <c r="U449" i="23" s="1"/>
  <c r="T391" i="23"/>
  <c r="U391" i="23" s="1"/>
  <c r="T409" i="23"/>
  <c r="U409" i="23" s="1"/>
  <c r="T539" i="23"/>
  <c r="U539" i="23" s="1"/>
  <c r="T38" i="23"/>
  <c r="U38" i="23" s="1"/>
  <c r="T107" i="23"/>
  <c r="U107" i="23" s="1"/>
  <c r="T481" i="23"/>
  <c r="U481" i="23" s="1"/>
  <c r="T317" i="23"/>
  <c r="U317" i="23" s="1"/>
  <c r="T119" i="23"/>
  <c r="U119" i="23" s="1"/>
  <c r="T213" i="23"/>
  <c r="U213" i="23" s="1"/>
  <c r="T207" i="23"/>
  <c r="U207" i="23" s="1"/>
  <c r="T428" i="23"/>
  <c r="U428" i="23" s="1"/>
  <c r="T293" i="23"/>
  <c r="U293" i="23" s="1"/>
  <c r="T29" i="23"/>
  <c r="U29" i="23" s="1"/>
  <c r="T394" i="23"/>
  <c r="U394" i="23" s="1"/>
  <c r="T56" i="23"/>
  <c r="U56" i="23" s="1"/>
  <c r="T509" i="23"/>
  <c r="U509" i="23" s="1"/>
  <c r="T191" i="23"/>
  <c r="U191" i="23" s="1"/>
  <c r="T7" i="23"/>
  <c r="U7" i="23" s="1"/>
  <c r="T239" i="23"/>
  <c r="U239" i="23" s="1"/>
  <c r="T129" i="23"/>
  <c r="U129" i="23" s="1"/>
  <c r="T273" i="23"/>
  <c r="U273" i="23" s="1"/>
  <c r="T560" i="23"/>
  <c r="U560" i="23" s="1"/>
  <c r="T483" i="23"/>
  <c r="U483" i="23" s="1"/>
  <c r="T321" i="23"/>
  <c r="U321" i="23" s="1"/>
  <c r="T18" i="23"/>
  <c r="U18" i="23" s="1"/>
  <c r="T387" i="23"/>
  <c r="U387" i="23" s="1"/>
  <c r="T389" i="23"/>
  <c r="U389" i="23" s="1"/>
  <c r="T121" i="23"/>
  <c r="U121" i="23" s="1"/>
  <c r="T175" i="23"/>
  <c r="U175" i="23" s="1"/>
  <c r="T247" i="23"/>
  <c r="U247" i="23" s="1"/>
  <c r="T245" i="23"/>
  <c r="U245" i="23" s="1"/>
  <c r="T153" i="23"/>
  <c r="U153" i="23" s="1"/>
  <c r="T75" i="23"/>
  <c r="U75" i="23" s="1"/>
  <c r="T350" i="23"/>
  <c r="U350" i="23" s="1"/>
  <c r="T495" i="23"/>
  <c r="U495" i="23" s="1"/>
  <c r="T224" i="23"/>
  <c r="U224" i="23" s="1"/>
  <c r="T278" i="23"/>
  <c r="U278" i="23" s="1"/>
  <c r="T131" i="23"/>
  <c r="U131" i="23" s="1"/>
  <c r="T381" i="23"/>
  <c r="U381" i="23" s="1"/>
  <c r="T506" i="23"/>
  <c r="U506" i="23" s="1"/>
  <c r="T542" i="23"/>
  <c r="U542" i="23" s="1"/>
  <c r="T444" i="23"/>
  <c r="U444" i="23" s="1"/>
  <c r="T100" i="23"/>
  <c r="U100" i="23" s="1"/>
  <c r="T190" i="23"/>
  <c r="U190" i="23" s="1"/>
  <c r="T143" i="23"/>
  <c r="U143" i="23" s="1"/>
  <c r="T369" i="23"/>
  <c r="U369" i="23" s="1"/>
  <c r="T396" i="23"/>
  <c r="U396" i="23" s="1"/>
  <c r="T360" i="23"/>
  <c r="U360" i="23" s="1"/>
  <c r="T375" i="23"/>
  <c r="U375" i="23" s="1"/>
  <c r="T371" i="23"/>
  <c r="U371" i="23" s="1"/>
  <c r="T137" i="23"/>
  <c r="U137" i="23" s="1"/>
  <c r="T187" i="23"/>
  <c r="U187" i="23" s="1"/>
  <c r="T105" i="23"/>
  <c r="U105" i="23" s="1"/>
  <c r="T99" i="23"/>
  <c r="U99" i="23" s="1"/>
  <c r="T279" i="23"/>
  <c r="U279" i="23" s="1"/>
  <c r="T453" i="23"/>
  <c r="U453" i="23" s="1"/>
  <c r="T180" i="23"/>
  <c r="U180" i="23" s="1"/>
  <c r="T17" i="23"/>
  <c r="U17" i="23" s="1"/>
  <c r="T460" i="23"/>
  <c r="U460" i="23" s="1"/>
  <c r="T31" i="23"/>
  <c r="U31" i="23" s="1"/>
  <c r="T271" i="23"/>
  <c r="U271" i="23" s="1"/>
  <c r="T186" i="23"/>
  <c r="U186" i="23" s="1"/>
  <c r="T584" i="23"/>
  <c r="U584" i="23" s="1"/>
  <c r="T469" i="23"/>
  <c r="U469" i="23" s="1"/>
  <c r="T406" i="23"/>
  <c r="U406" i="23" s="1"/>
  <c r="T135" i="23"/>
  <c r="U135" i="23" s="1"/>
  <c r="T57" i="23"/>
  <c r="U57" i="23" s="1"/>
  <c r="T536" i="23"/>
  <c r="U536" i="23" s="1"/>
  <c r="T487" i="23"/>
  <c r="U487" i="23" s="1"/>
  <c r="T435" i="23"/>
  <c r="U435" i="23" s="1"/>
  <c r="T450" i="23"/>
  <c r="U450" i="23" s="1"/>
  <c r="T201" i="23"/>
  <c r="U201" i="23" s="1"/>
  <c r="T402" i="23"/>
  <c r="U402" i="23" s="1"/>
  <c r="T458" i="23"/>
  <c r="U458" i="23" s="1"/>
  <c r="T548" i="23"/>
  <c r="U548" i="23" s="1"/>
  <c r="T443" i="23"/>
  <c r="U443" i="23" s="1"/>
  <c r="T235" i="23"/>
  <c r="U235" i="23" s="1"/>
  <c r="T155" i="23"/>
  <c r="U155" i="23" s="1"/>
  <c r="T259" i="23"/>
  <c r="U259" i="23" s="1"/>
  <c r="T195" i="23"/>
  <c r="U195" i="23" s="1"/>
  <c r="T263" i="23"/>
  <c r="U263" i="23" s="1"/>
  <c r="T364" i="23"/>
  <c r="U364" i="23" s="1"/>
  <c r="T182" i="23"/>
  <c r="U182" i="23" s="1"/>
  <c r="T109" i="23"/>
  <c r="U109" i="23" s="1"/>
  <c r="T163" i="23"/>
  <c r="U163" i="23" s="1"/>
  <c r="T177" i="23"/>
  <c r="U177" i="23" s="1"/>
  <c r="T203" i="23"/>
  <c r="U203" i="23" s="1"/>
  <c r="T9" i="23"/>
  <c r="U9" i="23" s="1"/>
  <c r="T257" i="23"/>
  <c r="U257" i="23" s="1"/>
  <c r="T24" i="23"/>
  <c r="U24" i="23" s="1"/>
  <c r="T530" i="23"/>
  <c r="U530" i="23" s="1"/>
  <c r="T354" i="23"/>
  <c r="U354" i="23" s="1"/>
  <c r="T579" i="23"/>
  <c r="U579" i="23" s="1"/>
  <c r="T559" i="23"/>
  <c r="U559" i="23" s="1"/>
  <c r="T401" i="23"/>
  <c r="U401" i="23" s="1"/>
  <c r="T551" i="23"/>
  <c r="U551" i="23" s="1"/>
  <c r="T332" i="23"/>
  <c r="U332" i="23" s="1"/>
  <c r="T586" i="23"/>
  <c r="U586" i="23" s="1"/>
  <c r="T518" i="23"/>
  <c r="U518" i="23" s="1"/>
  <c r="T573" i="23"/>
  <c r="U573" i="23" s="1"/>
  <c r="T336" i="23"/>
  <c r="U336" i="23" s="1"/>
  <c r="T393" i="23"/>
  <c r="U393" i="23" s="1"/>
  <c r="T500" i="23"/>
  <c r="U500" i="23" s="1"/>
  <c r="T554" i="23"/>
  <c r="U554" i="23" s="1"/>
  <c r="T251" i="23"/>
  <c r="U251" i="23" s="1"/>
  <c r="T416" i="23"/>
  <c r="U416" i="23" s="1"/>
  <c r="T505" i="23"/>
  <c r="U505" i="23" s="1"/>
  <c r="T19" i="23"/>
  <c r="U19" i="23" s="1"/>
  <c r="T59" i="23"/>
  <c r="U59" i="23" s="1"/>
  <c r="AI76" i="23"/>
  <c r="AJ76" i="23"/>
  <c r="AJ94" i="23"/>
  <c r="AI94" i="23"/>
  <c r="AJ220" i="23"/>
  <c r="AI220" i="23"/>
  <c r="T238" i="23"/>
  <c r="U238" i="23" s="1"/>
  <c r="T262" i="23"/>
  <c r="U262" i="23" s="1"/>
  <c r="T352" i="23"/>
  <c r="U352" i="23" s="1"/>
  <c r="X427" i="23"/>
  <c r="AA427" i="23" s="1"/>
  <c r="Z427" i="23"/>
  <c r="AC427" i="23" s="1"/>
  <c r="T98" i="23"/>
  <c r="U98" i="23" s="1"/>
  <c r="AI98" i="23"/>
  <c r="AJ98" i="23"/>
  <c r="T152" i="23"/>
  <c r="U152" i="23" s="1"/>
  <c r="AJ38" i="23"/>
  <c r="AI38" i="23"/>
  <c r="AI92" i="23"/>
  <c r="AJ92" i="23"/>
  <c r="T146" i="23"/>
  <c r="U146" i="23" s="1"/>
  <c r="T14" i="23"/>
  <c r="U14" i="23" s="1"/>
  <c r="AI14" i="23"/>
  <c r="AJ14" i="23"/>
  <c r="AJ68" i="23"/>
  <c r="AI68" i="23"/>
  <c r="T122" i="23"/>
  <c r="U122" i="23" s="1"/>
  <c r="T176" i="23"/>
  <c r="U176" i="23" s="1"/>
  <c r="T270" i="23"/>
  <c r="U270" i="23" s="1"/>
  <c r="Z125" i="23"/>
  <c r="AC125" i="23" s="1"/>
  <c r="X125" i="23"/>
  <c r="AA125" i="23" s="1"/>
  <c r="AI320" i="23"/>
  <c r="AJ320" i="23"/>
  <c r="X449" i="23"/>
  <c r="AA449" i="23" s="1"/>
  <c r="Z449" i="23"/>
  <c r="AC449" i="23" s="1"/>
  <c r="Z467" i="23"/>
  <c r="AC467" i="23" s="1"/>
  <c r="X467" i="23"/>
  <c r="AA467" i="23" s="1"/>
  <c r="AI503" i="23"/>
  <c r="AJ503" i="23"/>
  <c r="X326" i="23"/>
  <c r="AA326" i="23" s="1"/>
  <c r="Z326" i="23"/>
  <c r="AC326" i="23" s="1"/>
  <c r="T380" i="23"/>
  <c r="U380" i="23" s="1"/>
  <c r="AI433" i="23"/>
  <c r="AJ433" i="23"/>
  <c r="T385" i="23"/>
  <c r="U385" i="23" s="1"/>
  <c r="Z481" i="23"/>
  <c r="AC481" i="23" s="1"/>
  <c r="X481" i="23"/>
  <c r="AA481" i="23" s="1"/>
  <c r="T442" i="23"/>
  <c r="U442" i="23" s="1"/>
  <c r="T496" i="23"/>
  <c r="U496" i="23" s="1"/>
  <c r="AI550" i="23"/>
  <c r="AJ550" i="23"/>
  <c r="T550" i="23"/>
  <c r="U550" i="23" s="1"/>
  <c r="X417" i="23"/>
  <c r="AA417" i="23" s="1"/>
  <c r="Z417" i="23"/>
  <c r="AC417" i="23" s="1"/>
  <c r="T534" i="23"/>
  <c r="U534" i="23" s="1"/>
  <c r="X7" i="23"/>
  <c r="AA7" i="23" s="1"/>
  <c r="Z7" i="23"/>
  <c r="AC7" i="23" s="1"/>
  <c r="Z79" i="23"/>
  <c r="AC79" i="23" s="1"/>
  <c r="X79" i="23"/>
  <c r="AA79" i="23" s="1"/>
  <c r="X115" i="23"/>
  <c r="AA115" i="23" s="1"/>
  <c r="Z115" i="23"/>
  <c r="AC115" i="23" s="1"/>
  <c r="T151" i="23"/>
  <c r="U151" i="23" s="1"/>
  <c r="T205" i="23"/>
  <c r="U205" i="23" s="1"/>
  <c r="AJ241" i="23"/>
  <c r="AI241" i="23"/>
  <c r="T65" i="23"/>
  <c r="U65" i="23" s="1"/>
  <c r="Z119" i="23"/>
  <c r="AC119" i="23" s="1"/>
  <c r="X119" i="23"/>
  <c r="AA119" i="23" s="1"/>
  <c r="T173" i="23"/>
  <c r="U173" i="23" s="1"/>
  <c r="AJ265" i="23"/>
  <c r="AI265" i="23"/>
  <c r="AI283" i="23"/>
  <c r="AJ283" i="23"/>
  <c r="Z301" i="23"/>
  <c r="AC301" i="23" s="1"/>
  <c r="X301" i="23"/>
  <c r="AA301" i="23" s="1"/>
  <c r="AI337" i="23"/>
  <c r="AJ337" i="23"/>
  <c r="AJ394" i="23"/>
  <c r="AI394" i="23"/>
  <c r="Z159" i="23"/>
  <c r="AC159" i="23" s="1"/>
  <c r="X159" i="23"/>
  <c r="AA159" i="23" s="1"/>
  <c r="AI213" i="23"/>
  <c r="AJ213" i="23"/>
  <c r="T23" i="23"/>
  <c r="U23" i="23" s="1"/>
  <c r="Z239" i="23"/>
  <c r="AC239" i="23" s="1"/>
  <c r="X239" i="23"/>
  <c r="AA239" i="23" s="1"/>
  <c r="Z99" i="23"/>
  <c r="AC99" i="23" s="1"/>
  <c r="X99" i="23"/>
  <c r="AA99" i="23" s="1"/>
  <c r="Z153" i="23"/>
  <c r="AC153" i="23" s="1"/>
  <c r="X153" i="23"/>
  <c r="AA153" i="23" s="1"/>
  <c r="AI207" i="23"/>
  <c r="AJ207" i="23"/>
  <c r="AJ75" i="23"/>
  <c r="AI75" i="23"/>
  <c r="AI281" i="23"/>
  <c r="AJ281" i="23"/>
  <c r="T281" i="23"/>
  <c r="U281" i="23" s="1"/>
  <c r="AJ327" i="23"/>
  <c r="AI327" i="23"/>
  <c r="AI470" i="23"/>
  <c r="AJ470" i="23"/>
  <c r="X524" i="23"/>
  <c r="AA524" i="23" s="1"/>
  <c r="Z524" i="23"/>
  <c r="AC524" i="23" s="1"/>
  <c r="AJ542" i="23"/>
  <c r="AI542" i="23"/>
  <c r="X560" i="23"/>
  <c r="AA560" i="23" s="1"/>
  <c r="Z560" i="23"/>
  <c r="AC560" i="23" s="1"/>
  <c r="T384" i="23"/>
  <c r="U384" i="23" s="1"/>
  <c r="Z444" i="23"/>
  <c r="AC444" i="23" s="1"/>
  <c r="X444" i="23"/>
  <c r="AA444" i="23" s="1"/>
  <c r="AJ350" i="23"/>
  <c r="AI350" i="23"/>
  <c r="X495" i="23"/>
  <c r="AA495" i="23" s="1"/>
  <c r="Z495" i="23"/>
  <c r="AC495" i="23" s="1"/>
  <c r="T549" i="23"/>
  <c r="U549" i="23" s="1"/>
  <c r="Z279" i="23"/>
  <c r="AC279" i="23" s="1"/>
  <c r="X279" i="23"/>
  <c r="AA279" i="23" s="1"/>
  <c r="T204" i="23"/>
  <c r="U204" i="23" s="1"/>
  <c r="AI507" i="23"/>
  <c r="AJ507" i="23"/>
  <c r="AI561" i="23"/>
  <c r="AJ561" i="23"/>
  <c r="T341" i="23"/>
  <c r="U341" i="23" s="1"/>
  <c r="T425" i="23"/>
  <c r="U425" i="23" s="1"/>
  <c r="X483" i="23"/>
  <c r="AA483" i="23" s="1"/>
  <c r="Z483" i="23"/>
  <c r="AC483" i="23" s="1"/>
  <c r="T537" i="23"/>
  <c r="U537" i="23" s="1"/>
  <c r="X511" i="23"/>
  <c r="AA511" i="23" s="1"/>
  <c r="Z511" i="23"/>
  <c r="AC511" i="23" s="1"/>
  <c r="AI329" i="23"/>
  <c r="AJ329" i="23"/>
  <c r="X321" i="23"/>
  <c r="AA321" i="23" s="1"/>
  <c r="Z321" i="23"/>
  <c r="AC321" i="23" s="1"/>
  <c r="Z348" i="23"/>
  <c r="AC348" i="23" s="1"/>
  <c r="X348" i="23"/>
  <c r="AA348" i="23" s="1"/>
  <c r="T10" i="23"/>
  <c r="U10" i="23" s="1"/>
  <c r="AI136" i="23"/>
  <c r="AJ136" i="23"/>
  <c r="T172" i="23"/>
  <c r="U172" i="23" s="1"/>
  <c r="X190" i="23"/>
  <c r="AA190" i="23" s="1"/>
  <c r="Z190" i="23"/>
  <c r="AC190" i="23" s="1"/>
  <c r="T226" i="23"/>
  <c r="U226" i="23" s="1"/>
  <c r="T126" i="23"/>
  <c r="U126" i="23" s="1"/>
  <c r="T376" i="23"/>
  <c r="U376" i="23" s="1"/>
  <c r="T116" i="23"/>
  <c r="U116" i="23" s="1"/>
  <c r="T170" i="23"/>
  <c r="U170" i="23" s="1"/>
  <c r="X224" i="23"/>
  <c r="AA224" i="23" s="1"/>
  <c r="Z224" i="23"/>
  <c r="AC224" i="23" s="1"/>
  <c r="T30" i="23"/>
  <c r="U30" i="23" s="1"/>
  <c r="AI84" i="23"/>
  <c r="AJ84" i="23"/>
  <c r="T84" i="23"/>
  <c r="U84" i="23" s="1"/>
  <c r="T246" i="23"/>
  <c r="U246" i="23" s="1"/>
  <c r="AJ56" i="23"/>
  <c r="AI56" i="23"/>
  <c r="AI164" i="23"/>
  <c r="AJ164" i="23"/>
  <c r="T140" i="23"/>
  <c r="U140" i="23" s="1"/>
  <c r="AJ17" i="23"/>
  <c r="AI17" i="23"/>
  <c r="X17" i="23"/>
  <c r="AA17" i="23" s="1"/>
  <c r="Z17" i="23"/>
  <c r="AC17" i="23" s="1"/>
  <c r="AJ143" i="23"/>
  <c r="AI143" i="23"/>
  <c r="AI338" i="23"/>
  <c r="AJ338" i="23"/>
  <c r="Z455" i="23"/>
  <c r="AC455" i="23" s="1"/>
  <c r="X455" i="23"/>
  <c r="AA455" i="23" s="1"/>
  <c r="T473" i="23"/>
  <c r="U473" i="23" s="1"/>
  <c r="T491" i="23"/>
  <c r="U491" i="23" s="1"/>
  <c r="X509" i="23"/>
  <c r="AA509" i="23" s="1"/>
  <c r="Z509" i="23"/>
  <c r="AC509" i="23" s="1"/>
  <c r="T563" i="23"/>
  <c r="U563" i="23" s="1"/>
  <c r="Z570" i="23"/>
  <c r="AC570" i="23" s="1"/>
  <c r="X570" i="23"/>
  <c r="AA570" i="23" s="1"/>
  <c r="AI369" i="23"/>
  <c r="AJ369" i="23"/>
  <c r="Z448" i="23"/>
  <c r="AC448" i="23" s="1"/>
  <c r="X448" i="23"/>
  <c r="AA448" i="23" s="1"/>
  <c r="AI556" i="23"/>
  <c r="AJ556" i="23"/>
  <c r="T556" i="23"/>
  <c r="U556" i="23" s="1"/>
  <c r="T347" i="23"/>
  <c r="U347" i="23" s="1"/>
  <c r="Z396" i="23"/>
  <c r="AC396" i="23" s="1"/>
  <c r="X396" i="23"/>
  <c r="AA396" i="23" s="1"/>
  <c r="AI445" i="23"/>
  <c r="AJ445" i="23"/>
  <c r="X445" i="23"/>
  <c r="AA445" i="23" s="1"/>
  <c r="Z445" i="23"/>
  <c r="AC445" i="23" s="1"/>
  <c r="X389" i="23"/>
  <c r="AA389" i="23" s="1"/>
  <c r="Z389" i="23"/>
  <c r="AC389" i="23" s="1"/>
  <c r="T514" i="23"/>
  <c r="U514" i="23" s="1"/>
  <c r="AI222" i="23"/>
  <c r="AJ222" i="23"/>
  <c r="AI360" i="23"/>
  <c r="AJ360" i="23"/>
  <c r="T490" i="23"/>
  <c r="U490" i="23" s="1"/>
  <c r="AI544" i="23"/>
  <c r="AJ544" i="23"/>
  <c r="T544" i="23"/>
  <c r="U544" i="23" s="1"/>
  <c r="T552" i="23"/>
  <c r="U552" i="23" s="1"/>
  <c r="AI552" i="23"/>
  <c r="AJ552" i="23"/>
  <c r="Z522" i="23"/>
  <c r="AC522" i="23" s="1"/>
  <c r="X522" i="23"/>
  <c r="AA522" i="23" s="1"/>
  <c r="Z375" i="23"/>
  <c r="AC375" i="23" s="1"/>
  <c r="X375" i="23"/>
  <c r="AA375" i="23" s="1"/>
  <c r="AI67" i="23"/>
  <c r="AJ67" i="23"/>
  <c r="AI85" i="23"/>
  <c r="AJ85" i="23"/>
  <c r="AI175" i="23"/>
  <c r="AJ175" i="23"/>
  <c r="X247" i="23"/>
  <c r="AA247" i="23" s="1"/>
  <c r="Z247" i="23"/>
  <c r="AC247" i="23" s="1"/>
  <c r="AI83" i="23"/>
  <c r="AJ83" i="23"/>
  <c r="T83" i="23"/>
  <c r="U83" i="23" s="1"/>
  <c r="X137" i="23"/>
  <c r="AA137" i="23" s="1"/>
  <c r="Z137" i="23"/>
  <c r="AC137" i="23" s="1"/>
  <c r="X191" i="23"/>
  <c r="AA191" i="23" s="1"/>
  <c r="Z191" i="23"/>
  <c r="AC191" i="23" s="1"/>
  <c r="AI245" i="23"/>
  <c r="AJ245" i="23"/>
  <c r="T307" i="23"/>
  <c r="U307" i="23" s="1"/>
  <c r="Z307" i="23"/>
  <c r="AC307" i="23" s="1"/>
  <c r="X307" i="23"/>
  <c r="AA307" i="23" s="1"/>
  <c r="T343" i="23"/>
  <c r="U343" i="23" s="1"/>
  <c r="AJ418" i="23"/>
  <c r="AI418" i="23"/>
  <c r="X418" i="23"/>
  <c r="AA418" i="23" s="1"/>
  <c r="Z418" i="23"/>
  <c r="AC418" i="23" s="1"/>
  <c r="AJ69" i="23"/>
  <c r="AI69" i="23"/>
  <c r="T123" i="23"/>
  <c r="U123" i="23" s="1"/>
  <c r="X177" i="23"/>
  <c r="AA177" i="23" s="1"/>
  <c r="Z177" i="23"/>
  <c r="AC177" i="23" s="1"/>
  <c r="AJ149" i="23"/>
  <c r="AI149" i="23"/>
  <c r="X9" i="23"/>
  <c r="AA9" i="23" s="1"/>
  <c r="Z9" i="23"/>
  <c r="AC9" i="23" s="1"/>
  <c r="T117" i="23"/>
  <c r="U117" i="23" s="1"/>
  <c r="X171" i="23"/>
  <c r="AA171" i="23" s="1"/>
  <c r="Z171" i="23"/>
  <c r="AC171" i="23" s="1"/>
  <c r="Z147" i="23"/>
  <c r="AC147" i="23" s="1"/>
  <c r="X147" i="23"/>
  <c r="AA147" i="23" s="1"/>
  <c r="AI201" i="23"/>
  <c r="AJ201" i="23"/>
  <c r="AI257" i="23"/>
  <c r="AJ257" i="23"/>
  <c r="AJ60" i="23"/>
  <c r="AI60" i="23"/>
  <c r="X24" i="23"/>
  <c r="AA24" i="23" s="1"/>
  <c r="Z24" i="23"/>
  <c r="AC24" i="23" s="1"/>
  <c r="AI186" i="23"/>
  <c r="AJ186" i="23"/>
  <c r="T345" i="23"/>
  <c r="U345" i="23" s="1"/>
  <c r="AI476" i="23"/>
  <c r="AJ476" i="23"/>
  <c r="X530" i="23"/>
  <c r="AA530" i="23" s="1"/>
  <c r="Z530" i="23"/>
  <c r="AC530" i="23" s="1"/>
  <c r="AJ566" i="23"/>
  <c r="AI566" i="23"/>
  <c r="AJ414" i="23"/>
  <c r="AI414" i="23"/>
  <c r="X296" i="23"/>
  <c r="AA296" i="23" s="1"/>
  <c r="Z296" i="23"/>
  <c r="AC296" i="23" s="1"/>
  <c r="T296" i="23"/>
  <c r="U296" i="23" s="1"/>
  <c r="X377" i="23"/>
  <c r="AA377" i="23" s="1"/>
  <c r="Z377" i="23"/>
  <c r="AC377" i="23" s="1"/>
  <c r="X459" i="23"/>
  <c r="AA459" i="23" s="1"/>
  <c r="Z459" i="23"/>
  <c r="AC459" i="23" s="1"/>
  <c r="AI567" i="23"/>
  <c r="AJ567" i="23"/>
  <c r="Z354" i="23"/>
  <c r="AC354" i="23" s="1"/>
  <c r="X354" i="23"/>
  <c r="AA354" i="23" s="1"/>
  <c r="Z456" i="23"/>
  <c r="AC456" i="23" s="1"/>
  <c r="X456" i="23"/>
  <c r="AA456" i="23" s="1"/>
  <c r="AI510" i="23"/>
  <c r="AJ510" i="23"/>
  <c r="T564" i="23"/>
  <c r="U564" i="23" s="1"/>
  <c r="AI564" i="23"/>
  <c r="AJ564" i="23"/>
  <c r="X324" i="23"/>
  <c r="AA324" i="23" s="1"/>
  <c r="Z324" i="23"/>
  <c r="AC324" i="23" s="1"/>
  <c r="AI408" i="23"/>
  <c r="AJ408" i="23"/>
  <c r="T471" i="23"/>
  <c r="U471" i="23" s="1"/>
  <c r="T525" i="23"/>
  <c r="U525" i="23" s="1"/>
  <c r="AI579" i="23"/>
  <c r="AJ579" i="23"/>
  <c r="AI233" i="23"/>
  <c r="AJ233" i="23"/>
  <c r="T368" i="23"/>
  <c r="U368" i="23" s="1"/>
  <c r="Z462" i="23"/>
  <c r="AC462" i="23" s="1"/>
  <c r="X462" i="23"/>
  <c r="AA462" i="23" s="1"/>
  <c r="Z529" i="23"/>
  <c r="AC529" i="23" s="1"/>
  <c r="X529" i="23"/>
  <c r="AA529" i="23" s="1"/>
  <c r="AJ475" i="23"/>
  <c r="AI475" i="23"/>
  <c r="AJ290" i="23"/>
  <c r="AI290" i="23"/>
  <c r="Z565" i="23"/>
  <c r="AC565" i="23" s="1"/>
  <c r="X565" i="23"/>
  <c r="AA565" i="23" s="1"/>
  <c r="AI401" i="23"/>
  <c r="AJ401" i="23"/>
  <c r="T386" i="23"/>
  <c r="U386" i="23" s="1"/>
  <c r="AI16" i="23"/>
  <c r="AJ16" i="23"/>
  <c r="T34" i="23"/>
  <c r="U34" i="23" s="1"/>
  <c r="X88" i="23"/>
  <c r="AA88" i="23" s="1"/>
  <c r="Z88" i="23"/>
  <c r="AC88" i="23" s="1"/>
  <c r="Z160" i="23"/>
  <c r="AC160" i="23" s="1"/>
  <c r="X160" i="23"/>
  <c r="AA160" i="23" s="1"/>
  <c r="T250" i="23"/>
  <c r="U250" i="23" s="1"/>
  <c r="T90" i="23"/>
  <c r="U90" i="23" s="1"/>
  <c r="T198" i="23"/>
  <c r="U198" i="23" s="1"/>
  <c r="T252" i="23"/>
  <c r="U252" i="23" s="1"/>
  <c r="T134" i="23"/>
  <c r="U134" i="23" s="1"/>
  <c r="T242" i="23"/>
  <c r="U242" i="23" s="1"/>
  <c r="X48" i="23"/>
  <c r="AA48" i="23" s="1"/>
  <c r="Z48" i="23"/>
  <c r="AC48" i="23" s="1"/>
  <c r="T156" i="23"/>
  <c r="U156" i="23" s="1"/>
  <c r="Z182" i="23"/>
  <c r="AC182" i="23" s="1"/>
  <c r="X182" i="23"/>
  <c r="AA182" i="23" s="1"/>
  <c r="T236" i="23"/>
  <c r="U236" i="23" s="1"/>
  <c r="T264" i="23"/>
  <c r="U264" i="23" s="1"/>
  <c r="Z35" i="23"/>
  <c r="AC35" i="23" s="1"/>
  <c r="X35" i="23"/>
  <c r="AA35" i="23" s="1"/>
  <c r="AJ356" i="23"/>
  <c r="AI356" i="23"/>
  <c r="AI413" i="23"/>
  <c r="AJ413" i="23"/>
  <c r="T365" i="23"/>
  <c r="U365" i="23" s="1"/>
  <c r="AJ315" i="23"/>
  <c r="AI315" i="23"/>
  <c r="T520" i="23"/>
  <c r="U520" i="23" s="1"/>
  <c r="AJ362" i="23"/>
  <c r="AI362" i="23"/>
  <c r="AJ411" i="23"/>
  <c r="AI411" i="23"/>
  <c r="AJ463" i="23"/>
  <c r="AI463" i="23"/>
  <c r="AI517" i="23"/>
  <c r="AJ517" i="23"/>
  <c r="X332" i="23"/>
  <c r="AA332" i="23" s="1"/>
  <c r="Z332" i="23"/>
  <c r="AC332" i="23" s="1"/>
  <c r="AI416" i="23"/>
  <c r="AJ416" i="23"/>
  <c r="X586" i="23"/>
  <c r="AA586" i="23" s="1"/>
  <c r="Z586" i="23"/>
  <c r="AC586" i="23" s="1"/>
  <c r="X306" i="23"/>
  <c r="AA306" i="23" s="1"/>
  <c r="Z306" i="23"/>
  <c r="AC306" i="23" s="1"/>
  <c r="AI576" i="23"/>
  <c r="AJ576" i="23"/>
  <c r="X439" i="23"/>
  <c r="AA439" i="23" s="1"/>
  <c r="Z439" i="23"/>
  <c r="AC439" i="23" s="1"/>
  <c r="AI19" i="23"/>
  <c r="AJ19" i="23"/>
  <c r="AI55" i="23"/>
  <c r="AJ55" i="23"/>
  <c r="T73" i="23"/>
  <c r="U73" i="23" s="1"/>
  <c r="AI73" i="23"/>
  <c r="AJ73" i="23"/>
  <c r="T91" i="23"/>
  <c r="U91" i="23" s="1"/>
  <c r="X109" i="23"/>
  <c r="AA109" i="23" s="1"/>
  <c r="Z109" i="23"/>
  <c r="AC109" i="23" s="1"/>
  <c r="X163" i="23"/>
  <c r="AA163" i="23" s="1"/>
  <c r="Z163" i="23"/>
  <c r="AC163" i="23" s="1"/>
  <c r="AI181" i="23"/>
  <c r="AJ181" i="23"/>
  <c r="X253" i="23"/>
  <c r="AA253" i="23" s="1"/>
  <c r="Z253" i="23"/>
  <c r="AC253" i="23" s="1"/>
  <c r="AI47" i="23"/>
  <c r="AJ47" i="23"/>
  <c r="X155" i="23"/>
  <c r="AA155" i="23" s="1"/>
  <c r="Z155" i="23"/>
  <c r="AC155" i="23" s="1"/>
  <c r="AJ209" i="23"/>
  <c r="AI209" i="23"/>
  <c r="T277" i="23"/>
  <c r="U277" i="23" s="1"/>
  <c r="Z277" i="23"/>
  <c r="AC277" i="23" s="1"/>
  <c r="X277" i="23"/>
  <c r="AA277" i="23" s="1"/>
  <c r="T295" i="23"/>
  <c r="U295" i="23" s="1"/>
  <c r="Z313" i="23"/>
  <c r="AC313" i="23" s="1"/>
  <c r="X313" i="23"/>
  <c r="AA313" i="23" s="1"/>
  <c r="AI331" i="23"/>
  <c r="AJ331" i="23"/>
  <c r="X367" i="23"/>
  <c r="AA367" i="23" s="1"/>
  <c r="Z367" i="23"/>
  <c r="AC367" i="23" s="1"/>
  <c r="AJ424" i="23"/>
  <c r="AI424" i="23"/>
  <c r="AI141" i="23"/>
  <c r="AJ141" i="23"/>
  <c r="Z5" i="23"/>
  <c r="AC5" i="23" s="1"/>
  <c r="X5" i="23"/>
  <c r="AA5" i="23" s="1"/>
  <c r="AI221" i="23"/>
  <c r="AJ221" i="23"/>
  <c r="AJ81" i="23"/>
  <c r="AI81" i="23"/>
  <c r="AI135" i="23"/>
  <c r="AJ135" i="23"/>
  <c r="AI189" i="23"/>
  <c r="AJ189" i="23"/>
  <c r="AJ165" i="23"/>
  <c r="AI165" i="23"/>
  <c r="T240" i="23"/>
  <c r="U240" i="23" s="1"/>
  <c r="X309" i="23"/>
  <c r="AA309" i="23" s="1"/>
  <c r="Z309" i="23"/>
  <c r="AC309" i="23" s="1"/>
  <c r="T363" i="23"/>
  <c r="U363" i="23" s="1"/>
  <c r="T482" i="23"/>
  <c r="U482" i="23" s="1"/>
  <c r="X536" i="23"/>
  <c r="AA536" i="23" s="1"/>
  <c r="Z536" i="23"/>
  <c r="AC536" i="23" s="1"/>
  <c r="AJ572" i="23"/>
  <c r="AI572" i="23"/>
  <c r="Z487" i="23"/>
  <c r="AC487" i="23" s="1"/>
  <c r="X487" i="23"/>
  <c r="AA487" i="23" s="1"/>
  <c r="T323" i="23"/>
  <c r="U323" i="23" s="1"/>
  <c r="AI477" i="23"/>
  <c r="AJ477" i="23"/>
  <c r="T474" i="23"/>
  <c r="U474" i="23" s="1"/>
  <c r="Z528" i="23"/>
  <c r="AC528" i="23" s="1"/>
  <c r="X528" i="23"/>
  <c r="AA528" i="23" s="1"/>
  <c r="AI582" i="23"/>
  <c r="AJ582" i="23"/>
  <c r="T351" i="23"/>
  <c r="U351" i="23" s="1"/>
  <c r="X489" i="23"/>
  <c r="AA489" i="23" s="1"/>
  <c r="Z489" i="23"/>
  <c r="AC489" i="23" s="1"/>
  <c r="T543" i="23"/>
  <c r="U543" i="23" s="1"/>
  <c r="T314" i="23"/>
  <c r="U314" i="23" s="1"/>
  <c r="X314" i="23"/>
  <c r="AA314" i="23" s="1"/>
  <c r="Z314" i="23"/>
  <c r="AC314" i="23" s="1"/>
  <c r="T465" i="23"/>
  <c r="U465" i="23" s="1"/>
  <c r="AI573" i="23"/>
  <c r="AJ573" i="23"/>
  <c r="Z588" i="23"/>
  <c r="AC588" i="23" s="1"/>
  <c r="X588" i="23"/>
  <c r="AA588" i="23" s="1"/>
  <c r="T457" i="23"/>
  <c r="U457" i="23" s="1"/>
  <c r="Z450" i="23"/>
  <c r="AC450" i="23" s="1"/>
  <c r="X450" i="23"/>
  <c r="AA450" i="23" s="1"/>
  <c r="T294" i="23"/>
  <c r="U294" i="23" s="1"/>
  <c r="X4" i="23"/>
  <c r="AA4" i="23" s="1"/>
  <c r="Z4" i="23"/>
  <c r="AC4" i="23" s="1"/>
  <c r="AJ58" i="23"/>
  <c r="AI58" i="23"/>
  <c r="Z148" i="23"/>
  <c r="AC148" i="23" s="1"/>
  <c r="X148" i="23"/>
  <c r="AA148" i="23" s="1"/>
  <c r="AI166" i="23"/>
  <c r="AJ166" i="23"/>
  <c r="AI184" i="23"/>
  <c r="AJ184" i="23"/>
  <c r="X184" i="23"/>
  <c r="AA184" i="23" s="1"/>
  <c r="Z184" i="23"/>
  <c r="AC184" i="23" s="1"/>
  <c r="AI238" i="23"/>
  <c r="AJ238" i="23"/>
  <c r="AJ54" i="23"/>
  <c r="AI54" i="23"/>
  <c r="X108" i="23"/>
  <c r="AA108" i="23" s="1"/>
  <c r="Z108" i="23"/>
  <c r="AC108" i="23" s="1"/>
  <c r="AI262" i="23"/>
  <c r="AJ262" i="23"/>
  <c r="X280" i="23"/>
  <c r="AA280" i="23" s="1"/>
  <c r="Z280" i="23"/>
  <c r="AC280" i="23" s="1"/>
  <c r="Z316" i="23"/>
  <c r="AC316" i="23" s="1"/>
  <c r="X316" i="23"/>
  <c r="AA316" i="23" s="1"/>
  <c r="AI152" i="23"/>
  <c r="AJ152" i="23"/>
  <c r="X174" i="23"/>
  <c r="AA174" i="23" s="1"/>
  <c r="Z174" i="23"/>
  <c r="AC174" i="23" s="1"/>
  <c r="AI146" i="23"/>
  <c r="AJ146" i="23"/>
  <c r="AI176" i="23"/>
  <c r="AJ176" i="23"/>
  <c r="X230" i="23"/>
  <c r="AA230" i="23" s="1"/>
  <c r="Z230" i="23"/>
  <c r="AC230" i="23" s="1"/>
  <c r="AI282" i="23"/>
  <c r="AJ282" i="23"/>
  <c r="AI89" i="23"/>
  <c r="AJ89" i="23"/>
  <c r="X266" i="23"/>
  <c r="AA266" i="23" s="1"/>
  <c r="Z266" i="23"/>
  <c r="AC266" i="23" s="1"/>
  <c r="Z320" i="23"/>
  <c r="AC320" i="23" s="1"/>
  <c r="X320" i="23"/>
  <c r="AA320" i="23" s="1"/>
  <c r="X374" i="23"/>
  <c r="AA374" i="23" s="1"/>
  <c r="Z374" i="23"/>
  <c r="AC374" i="23" s="1"/>
  <c r="AI431" i="23"/>
  <c r="AJ431" i="23"/>
  <c r="AI485" i="23"/>
  <c r="AJ485" i="23"/>
  <c r="X521" i="23"/>
  <c r="AA521" i="23" s="1"/>
  <c r="Z521" i="23"/>
  <c r="AC521" i="23" s="1"/>
  <c r="AI539" i="23"/>
  <c r="AJ539" i="23"/>
  <c r="X575" i="23"/>
  <c r="AA575" i="23" s="1"/>
  <c r="Z575" i="23"/>
  <c r="AC575" i="23" s="1"/>
  <c r="AI380" i="23"/>
  <c r="AJ380" i="23"/>
  <c r="X498" i="23"/>
  <c r="AA498" i="23" s="1"/>
  <c r="Z498" i="23"/>
  <c r="AC498" i="23" s="1"/>
  <c r="AI484" i="23"/>
  <c r="AJ484" i="23"/>
  <c r="AI261" i="23"/>
  <c r="AJ261" i="23"/>
  <c r="AI335" i="23"/>
  <c r="AJ335" i="23"/>
  <c r="Z423" i="23"/>
  <c r="AC423" i="23" s="1"/>
  <c r="X423" i="23"/>
  <c r="AA423" i="23" s="1"/>
  <c r="AJ535" i="23"/>
  <c r="AI535" i="23"/>
  <c r="X285" i="23"/>
  <c r="AA285" i="23" s="1"/>
  <c r="Z285" i="23"/>
  <c r="AC285" i="23" s="1"/>
  <c r="X359" i="23"/>
  <c r="AA359" i="23" s="1"/>
  <c r="Z359" i="23"/>
  <c r="AC359" i="23" s="1"/>
  <c r="AI442" i="23"/>
  <c r="AJ442" i="23"/>
  <c r="AJ333" i="23"/>
  <c r="AI333" i="23"/>
  <c r="X580" i="23"/>
  <c r="AA580" i="23" s="1"/>
  <c r="Z580" i="23"/>
  <c r="AC580" i="23" s="1"/>
  <c r="AI468" i="23"/>
  <c r="AJ468" i="23"/>
  <c r="AI254" i="23"/>
  <c r="AJ254" i="23"/>
  <c r="X43" i="23"/>
  <c r="AA43" i="23" s="1"/>
  <c r="Z43" i="23"/>
  <c r="AC43" i="23" s="1"/>
  <c r="X97" i="23"/>
  <c r="AA97" i="23" s="1"/>
  <c r="Z97" i="23"/>
  <c r="AC97" i="23" s="1"/>
  <c r="X373" i="23"/>
  <c r="AA373" i="23" s="1"/>
  <c r="Z373" i="23"/>
  <c r="AC373" i="23" s="1"/>
  <c r="X51" i="23"/>
  <c r="AA51" i="23" s="1"/>
  <c r="Z51" i="23"/>
  <c r="AC51" i="23" s="1"/>
  <c r="X77" i="23"/>
  <c r="AA77" i="23" s="1"/>
  <c r="Z77" i="23"/>
  <c r="AC77" i="23" s="1"/>
  <c r="AJ21" i="23"/>
  <c r="AI21" i="23"/>
  <c r="X129" i="23"/>
  <c r="AA129" i="23" s="1"/>
  <c r="Z129" i="23"/>
  <c r="AC129" i="23" s="1"/>
  <c r="X237" i="23"/>
  <c r="AA237" i="23" s="1"/>
  <c r="Z237" i="23"/>
  <c r="AC237" i="23" s="1"/>
  <c r="X150" i="23"/>
  <c r="AA150" i="23" s="1"/>
  <c r="Z150" i="23"/>
  <c r="AC150" i="23" s="1"/>
  <c r="Z6" i="23"/>
  <c r="AC6" i="23" s="1"/>
  <c r="X6" i="23"/>
  <c r="AA6" i="23" s="1"/>
  <c r="X168" i="23"/>
  <c r="AA168" i="23" s="1"/>
  <c r="Z168" i="23"/>
  <c r="AC168" i="23" s="1"/>
  <c r="AJ132" i="23"/>
  <c r="AI132" i="23"/>
  <c r="T327" i="23"/>
  <c r="U327" i="23" s="1"/>
  <c r="T452" i="23"/>
  <c r="U452" i="23" s="1"/>
  <c r="X470" i="23"/>
  <c r="AA470" i="23" s="1"/>
  <c r="Z470" i="23"/>
  <c r="AC470" i="23" s="1"/>
  <c r="Z488" i="23"/>
  <c r="AC488" i="23" s="1"/>
  <c r="X488" i="23"/>
  <c r="AA488" i="23" s="1"/>
  <c r="AJ578" i="23"/>
  <c r="AI578" i="23"/>
  <c r="X330" i="23"/>
  <c r="AA330" i="23" s="1"/>
  <c r="Z330" i="23"/>
  <c r="AC330" i="23" s="1"/>
  <c r="AJ330" i="23"/>
  <c r="AI330" i="23"/>
  <c r="AI444" i="23"/>
  <c r="AJ444" i="23"/>
  <c r="X339" i="23"/>
  <c r="AA339" i="23" s="1"/>
  <c r="Z339" i="23"/>
  <c r="AC339" i="23" s="1"/>
  <c r="AI392" i="23"/>
  <c r="AJ392" i="23"/>
  <c r="X492" i="23"/>
  <c r="AA492" i="23" s="1"/>
  <c r="Z492" i="23"/>
  <c r="AC492" i="23" s="1"/>
  <c r="T297" i="23"/>
  <c r="U297" i="23" s="1"/>
  <c r="X378" i="23"/>
  <c r="AA378" i="23" s="1"/>
  <c r="Z378" i="23"/>
  <c r="AC378" i="23" s="1"/>
  <c r="X561" i="23"/>
  <c r="AA561" i="23" s="1"/>
  <c r="Z561" i="23"/>
  <c r="AC561" i="23" s="1"/>
  <c r="Z329" i="23"/>
  <c r="AC329" i="23" s="1"/>
  <c r="X329" i="23"/>
  <c r="AA329" i="23" s="1"/>
  <c r="Z136" i="23"/>
  <c r="AC136" i="23" s="1"/>
  <c r="X136" i="23"/>
  <c r="AA136" i="23" s="1"/>
  <c r="X244" i="23"/>
  <c r="AA244" i="23" s="1"/>
  <c r="Z244" i="23"/>
  <c r="AC244" i="23" s="1"/>
  <c r="X18" i="23"/>
  <c r="AA18" i="23" s="1"/>
  <c r="Z18" i="23"/>
  <c r="AC18" i="23" s="1"/>
  <c r="AI126" i="23"/>
  <c r="AJ126" i="23"/>
  <c r="AI180" i="23"/>
  <c r="AJ180" i="23"/>
  <c r="Z234" i="23"/>
  <c r="AC234" i="23" s="1"/>
  <c r="X234" i="23"/>
  <c r="AA234" i="23" s="1"/>
  <c r="X268" i="23"/>
  <c r="AA268" i="23" s="1"/>
  <c r="Z268" i="23"/>
  <c r="AC268" i="23" s="1"/>
  <c r="Z286" i="23"/>
  <c r="AC286" i="23" s="1"/>
  <c r="X286" i="23"/>
  <c r="AA286" i="23" s="1"/>
  <c r="X358" i="23"/>
  <c r="AA358" i="23" s="1"/>
  <c r="Z358" i="23"/>
  <c r="AC358" i="23" s="1"/>
  <c r="AI376" i="23"/>
  <c r="AJ376" i="23"/>
  <c r="AI397" i="23"/>
  <c r="AJ397" i="23"/>
  <c r="AI8" i="23"/>
  <c r="AJ8" i="23"/>
  <c r="AI170" i="23"/>
  <c r="AJ170" i="23"/>
  <c r="X138" i="23"/>
  <c r="AA138" i="23" s="1"/>
  <c r="Z138" i="23"/>
  <c r="AC138" i="23" s="1"/>
  <c r="AI246" i="23"/>
  <c r="AJ246" i="23"/>
  <c r="X56" i="23"/>
  <c r="AA56" i="23" s="1"/>
  <c r="Z56" i="23"/>
  <c r="AC56" i="23" s="1"/>
  <c r="Z164" i="23"/>
  <c r="AC164" i="23" s="1"/>
  <c r="X164" i="23"/>
  <c r="AA164" i="23" s="1"/>
  <c r="X218" i="23"/>
  <c r="AA218" i="23" s="1"/>
  <c r="Z218" i="23"/>
  <c r="AC218" i="23" s="1"/>
  <c r="AI218" i="23"/>
  <c r="AJ218" i="23"/>
  <c r="X86" i="23"/>
  <c r="AA86" i="23" s="1"/>
  <c r="Z86" i="23"/>
  <c r="AC86" i="23" s="1"/>
  <c r="AI140" i="23"/>
  <c r="AJ140" i="23"/>
  <c r="AI248" i="23"/>
  <c r="AJ248" i="23"/>
  <c r="AI288" i="23"/>
  <c r="AJ288" i="23"/>
  <c r="AI179" i="23"/>
  <c r="AJ179" i="23"/>
  <c r="AJ284" i="23"/>
  <c r="AI284" i="23"/>
  <c r="AI455" i="23"/>
  <c r="AJ455" i="23"/>
  <c r="AI473" i="23"/>
  <c r="AJ473" i="23"/>
  <c r="AI509" i="23"/>
  <c r="AJ509" i="23"/>
  <c r="X545" i="23"/>
  <c r="AA545" i="23" s="1"/>
  <c r="Z545" i="23"/>
  <c r="AC545" i="23" s="1"/>
  <c r="AI563" i="23"/>
  <c r="AJ563" i="23"/>
  <c r="X581" i="23"/>
  <c r="AA581" i="23" s="1"/>
  <c r="Z581" i="23"/>
  <c r="AC581" i="23" s="1"/>
  <c r="AJ299" i="23"/>
  <c r="AI299" i="23"/>
  <c r="AI387" i="23"/>
  <c r="AJ387" i="23"/>
  <c r="AI448" i="23"/>
  <c r="AJ448" i="23"/>
  <c r="X502" i="23"/>
  <c r="AA502" i="23" s="1"/>
  <c r="Z502" i="23"/>
  <c r="AC502" i="23" s="1"/>
  <c r="AI347" i="23"/>
  <c r="AJ347" i="23"/>
  <c r="X568" i="23"/>
  <c r="AA568" i="23" s="1"/>
  <c r="Z568" i="23"/>
  <c r="AC568" i="23" s="1"/>
  <c r="AI436" i="23"/>
  <c r="AJ436" i="23"/>
  <c r="AJ547" i="23"/>
  <c r="AI547" i="23"/>
  <c r="T13" i="23"/>
  <c r="U13" i="23" s="1"/>
  <c r="AI31" i="23"/>
  <c r="AJ31" i="23"/>
  <c r="AI139" i="23"/>
  <c r="AJ139" i="23"/>
  <c r="X157" i="23"/>
  <c r="AA157" i="23" s="1"/>
  <c r="Z157" i="23"/>
  <c r="AC157" i="23" s="1"/>
  <c r="AI193" i="23"/>
  <c r="AJ193" i="23"/>
  <c r="X211" i="23"/>
  <c r="AA211" i="23" s="1"/>
  <c r="Z211" i="23"/>
  <c r="AC211" i="23" s="1"/>
  <c r="X271" i="23"/>
  <c r="AA271" i="23" s="1"/>
  <c r="Z271" i="23"/>
  <c r="AC271" i="23" s="1"/>
  <c r="AJ271" i="23"/>
  <c r="AI271" i="23"/>
  <c r="AI361" i="23"/>
  <c r="AJ361" i="23"/>
  <c r="AI379" i="23"/>
  <c r="AJ379" i="23"/>
  <c r="X400" i="23"/>
  <c r="AA400" i="23" s="1"/>
  <c r="Z400" i="23"/>
  <c r="AC400" i="23" s="1"/>
  <c r="X231" i="23"/>
  <c r="AA231" i="23" s="1"/>
  <c r="Z231" i="23"/>
  <c r="AC231" i="23" s="1"/>
  <c r="X95" i="23"/>
  <c r="AA95" i="23" s="1"/>
  <c r="Z95" i="23"/>
  <c r="AC95" i="23" s="1"/>
  <c r="AI255" i="23"/>
  <c r="AJ255" i="23"/>
  <c r="Z60" i="23"/>
  <c r="AC60" i="23" s="1"/>
  <c r="X60" i="23"/>
  <c r="AA60" i="23" s="1"/>
  <c r="AJ291" i="23"/>
  <c r="AI291" i="23"/>
  <c r="AI357" i="23"/>
  <c r="AJ357" i="23"/>
  <c r="AI459" i="23"/>
  <c r="AJ459" i="23"/>
  <c r="X567" i="23"/>
  <c r="AA567" i="23" s="1"/>
  <c r="Z567" i="23"/>
  <c r="AC567" i="23" s="1"/>
  <c r="AI300" i="23"/>
  <c r="AJ300" i="23"/>
  <c r="AI456" i="23"/>
  <c r="AJ456" i="23"/>
  <c r="AI368" i="23"/>
  <c r="AJ368" i="23"/>
  <c r="AI501" i="23"/>
  <c r="AJ501" i="23"/>
  <c r="AI555" i="23"/>
  <c r="AJ555" i="23"/>
  <c r="X555" i="23"/>
  <c r="AA555" i="23" s="1"/>
  <c r="Z555" i="23"/>
  <c r="AC555" i="23" s="1"/>
  <c r="AJ529" i="23"/>
  <c r="AI529" i="23"/>
  <c r="X475" i="23"/>
  <c r="AA475" i="23" s="1"/>
  <c r="Z475" i="23"/>
  <c r="AC475" i="23" s="1"/>
  <c r="X290" i="23"/>
  <c r="AA290" i="23" s="1"/>
  <c r="Z290" i="23"/>
  <c r="AC290" i="23" s="1"/>
  <c r="AJ565" i="23"/>
  <c r="AI565" i="23"/>
  <c r="AI386" i="23"/>
  <c r="AJ386" i="23"/>
  <c r="AI34" i="23"/>
  <c r="AJ34" i="23"/>
  <c r="AJ88" i="23"/>
  <c r="AI88" i="23"/>
  <c r="X106" i="23"/>
  <c r="AA106" i="23" s="1"/>
  <c r="Z106" i="23"/>
  <c r="AC106" i="23" s="1"/>
  <c r="X124" i="23"/>
  <c r="AA124" i="23" s="1"/>
  <c r="Z124" i="23"/>
  <c r="AC124" i="23" s="1"/>
  <c r="AI178" i="23"/>
  <c r="AJ178" i="23"/>
  <c r="Z214" i="23"/>
  <c r="AC214" i="23" s="1"/>
  <c r="X214" i="23"/>
  <c r="AA214" i="23" s="1"/>
  <c r="X232" i="23"/>
  <c r="AA232" i="23" s="1"/>
  <c r="Z232" i="23"/>
  <c r="AC232" i="23" s="1"/>
  <c r="AI250" i="23"/>
  <c r="AJ250" i="23"/>
  <c r="X144" i="23"/>
  <c r="AA144" i="23" s="1"/>
  <c r="Z144" i="23"/>
  <c r="AC144" i="23" s="1"/>
  <c r="AI252" i="23"/>
  <c r="AJ252" i="23"/>
  <c r="AI274" i="23"/>
  <c r="AJ274" i="23"/>
  <c r="Z328" i="23"/>
  <c r="AC328" i="23" s="1"/>
  <c r="X328" i="23"/>
  <c r="AA328" i="23" s="1"/>
  <c r="X346" i="23"/>
  <c r="AA346" i="23" s="1"/>
  <c r="Z346" i="23"/>
  <c r="AC346" i="23" s="1"/>
  <c r="Z403" i="23"/>
  <c r="AC403" i="23" s="1"/>
  <c r="X403" i="23"/>
  <c r="AA403" i="23" s="1"/>
  <c r="X26" i="23"/>
  <c r="AA26" i="23" s="1"/>
  <c r="Z26" i="23"/>
  <c r="AC26" i="23" s="1"/>
  <c r="AI134" i="23"/>
  <c r="AJ134" i="23"/>
  <c r="AJ48" i="23"/>
  <c r="AI48" i="23"/>
  <c r="AI210" i="23"/>
  <c r="AJ210" i="23"/>
  <c r="X212" i="23"/>
  <c r="AA212" i="23" s="1"/>
  <c r="Z212" i="23"/>
  <c r="AC212" i="23" s="1"/>
  <c r="AI264" i="23"/>
  <c r="AJ264" i="23"/>
  <c r="X443" i="23"/>
  <c r="AA443" i="23" s="1"/>
  <c r="Z443" i="23"/>
  <c r="AC443" i="23" s="1"/>
  <c r="AJ443" i="23"/>
  <c r="AI443" i="23"/>
  <c r="AI497" i="23"/>
  <c r="AJ497" i="23"/>
  <c r="Z515" i="23"/>
  <c r="AC515" i="23" s="1"/>
  <c r="X515" i="23"/>
  <c r="AA515" i="23" s="1"/>
  <c r="X533" i="23"/>
  <c r="AA533" i="23" s="1"/>
  <c r="Z533" i="23"/>
  <c r="AC533" i="23" s="1"/>
  <c r="AI551" i="23"/>
  <c r="AJ551" i="23"/>
  <c r="X260" i="23"/>
  <c r="AA260" i="23" s="1"/>
  <c r="Z260" i="23"/>
  <c r="AC260" i="23" s="1"/>
  <c r="AJ422" i="23"/>
  <c r="AI422" i="23"/>
  <c r="X308" i="23"/>
  <c r="AA308" i="23" s="1"/>
  <c r="Z308" i="23"/>
  <c r="AC308" i="23" s="1"/>
  <c r="AJ571" i="23"/>
  <c r="AI571" i="23"/>
  <c r="AI332" i="23"/>
  <c r="AJ332" i="23"/>
  <c r="AI478" i="23"/>
  <c r="AJ478" i="23"/>
  <c r="X532" i="23"/>
  <c r="AA532" i="23" s="1"/>
  <c r="Z532" i="23"/>
  <c r="AC532" i="23" s="1"/>
  <c r="Z390" i="23"/>
  <c r="AC390" i="23" s="1"/>
  <c r="X390" i="23"/>
  <c r="AA390" i="23" s="1"/>
  <c r="AI454" i="23"/>
  <c r="AJ454" i="23"/>
  <c r="X508" i="23"/>
  <c r="AA508" i="23" s="1"/>
  <c r="Z508" i="23"/>
  <c r="AC508" i="23" s="1"/>
  <c r="X344" i="23"/>
  <c r="AA344" i="23" s="1"/>
  <c r="Z344" i="23"/>
  <c r="AC344" i="23" s="1"/>
  <c r="Z37" i="23"/>
  <c r="AC37" i="23" s="1"/>
  <c r="X37" i="23"/>
  <c r="AA37" i="23" s="1"/>
  <c r="AI91" i="23"/>
  <c r="AJ91" i="23"/>
  <c r="AJ109" i="23"/>
  <c r="AI109" i="23"/>
  <c r="X127" i="23"/>
  <c r="AA127" i="23" s="1"/>
  <c r="Z127" i="23"/>
  <c r="AC127" i="23" s="1"/>
  <c r="AI145" i="23"/>
  <c r="AJ145" i="23"/>
  <c r="AI199" i="23"/>
  <c r="AJ199" i="23"/>
  <c r="X217" i="23"/>
  <c r="AA217" i="23" s="1"/>
  <c r="Z217" i="23"/>
  <c r="AC217" i="23" s="1"/>
  <c r="Z331" i="23"/>
  <c r="AC331" i="23" s="1"/>
  <c r="X331" i="23"/>
  <c r="AA331" i="23" s="1"/>
  <c r="Z349" i="23"/>
  <c r="AC349" i="23" s="1"/>
  <c r="X349" i="23"/>
  <c r="AA349" i="23" s="1"/>
  <c r="X167" i="23"/>
  <c r="AA167" i="23" s="1"/>
  <c r="Z167" i="23"/>
  <c r="AC167" i="23" s="1"/>
  <c r="X243" i="23"/>
  <c r="AA243" i="23" s="1"/>
  <c r="Z243" i="23"/>
  <c r="AC243" i="23" s="1"/>
  <c r="AI57" i="23"/>
  <c r="AJ57" i="23"/>
  <c r="AI111" i="23"/>
  <c r="AJ111" i="23"/>
  <c r="X219" i="23"/>
  <c r="AA219" i="23" s="1"/>
  <c r="Z219" i="23"/>
  <c r="AC219" i="23" s="1"/>
  <c r="X96" i="23"/>
  <c r="AA96" i="23" s="1"/>
  <c r="Z96" i="23"/>
  <c r="AC96" i="23" s="1"/>
  <c r="AI240" i="23"/>
  <c r="AJ240" i="23"/>
  <c r="AI482" i="23"/>
  <c r="AJ482" i="23"/>
  <c r="AI372" i="23"/>
  <c r="AJ372" i="23"/>
  <c r="Z429" i="23"/>
  <c r="AC429" i="23" s="1"/>
  <c r="X429" i="23"/>
  <c r="AA429" i="23" s="1"/>
  <c r="AI323" i="23"/>
  <c r="AJ323" i="23"/>
  <c r="X407" i="23"/>
  <c r="AA407" i="23" s="1"/>
  <c r="Z407" i="23"/>
  <c r="AC407" i="23" s="1"/>
  <c r="Z585" i="23"/>
  <c r="AC585" i="23" s="1"/>
  <c r="X585" i="23"/>
  <c r="AA585" i="23" s="1"/>
  <c r="AJ312" i="23"/>
  <c r="AI312" i="23"/>
  <c r="AI276" i="23"/>
  <c r="AJ276" i="23"/>
  <c r="AI314" i="23"/>
  <c r="AJ314" i="23"/>
  <c r="AI519" i="23"/>
  <c r="AJ519" i="23"/>
  <c r="X573" i="23"/>
  <c r="AA573" i="23" s="1"/>
  <c r="Z573" i="23"/>
  <c r="AC573" i="23" s="1"/>
  <c r="Z516" i="23"/>
  <c r="AC516" i="23" s="1"/>
  <c r="X516" i="23"/>
  <c r="AA516" i="23" s="1"/>
  <c r="X249" i="23"/>
  <c r="AA249" i="23" s="1"/>
  <c r="Z249" i="23"/>
  <c r="AC249" i="23" s="1"/>
  <c r="X76" i="23"/>
  <c r="AA76" i="23" s="1"/>
  <c r="Z76" i="23"/>
  <c r="AC76" i="23" s="1"/>
  <c r="X112" i="23"/>
  <c r="AA112" i="23" s="1"/>
  <c r="Z112" i="23"/>
  <c r="AC112" i="23" s="1"/>
  <c r="AI130" i="23"/>
  <c r="AJ130" i="23"/>
  <c r="Z202" i="23"/>
  <c r="AC202" i="23" s="1"/>
  <c r="X202" i="23"/>
  <c r="AA202" i="23" s="1"/>
  <c r="Z162" i="23"/>
  <c r="AC162" i="23" s="1"/>
  <c r="X162" i="23"/>
  <c r="AA162" i="23" s="1"/>
  <c r="AI391" i="23"/>
  <c r="AJ391" i="23"/>
  <c r="Z120" i="23"/>
  <c r="AC120" i="23" s="1"/>
  <c r="X120" i="23"/>
  <c r="AA120" i="23" s="1"/>
  <c r="T4" i="23"/>
  <c r="U4" i="23" s="1"/>
  <c r="X58" i="23"/>
  <c r="AA58" i="23" s="1"/>
  <c r="Z58" i="23"/>
  <c r="AC58" i="23" s="1"/>
  <c r="T76" i="23"/>
  <c r="U76" i="23" s="1"/>
  <c r="T112" i="23"/>
  <c r="U112" i="23" s="1"/>
  <c r="T130" i="23"/>
  <c r="U130" i="23" s="1"/>
  <c r="T148" i="23"/>
  <c r="U148" i="23" s="1"/>
  <c r="T184" i="23"/>
  <c r="U184" i="23" s="1"/>
  <c r="T202" i="23"/>
  <c r="U202" i="23" s="1"/>
  <c r="Z220" i="23"/>
  <c r="AC220" i="23" s="1"/>
  <c r="X220" i="23"/>
  <c r="AA220" i="23" s="1"/>
  <c r="Z54" i="23"/>
  <c r="AC54" i="23" s="1"/>
  <c r="X54" i="23"/>
  <c r="AA54" i="23" s="1"/>
  <c r="AI162" i="23"/>
  <c r="AJ162" i="23"/>
  <c r="AI216" i="23"/>
  <c r="AJ216" i="23"/>
  <c r="AI352" i="23"/>
  <c r="AJ352" i="23"/>
  <c r="X409" i="23"/>
  <c r="AA409" i="23" s="1"/>
  <c r="Z409" i="23"/>
  <c r="AC409" i="23" s="1"/>
  <c r="AI427" i="23"/>
  <c r="AJ427" i="23"/>
  <c r="AJ44" i="23"/>
  <c r="AI44" i="23"/>
  <c r="X66" i="23"/>
  <c r="AA66" i="23" s="1"/>
  <c r="Z66" i="23"/>
  <c r="AC66" i="23" s="1"/>
  <c r="T120" i="23"/>
  <c r="U120" i="23" s="1"/>
  <c r="T174" i="23"/>
  <c r="U174" i="23" s="1"/>
  <c r="X38" i="23"/>
  <c r="AA38" i="23" s="1"/>
  <c r="Z38" i="23"/>
  <c r="AC38" i="23" s="1"/>
  <c r="T68" i="23"/>
  <c r="U68" i="23" s="1"/>
  <c r="T230" i="23"/>
  <c r="U230" i="23" s="1"/>
  <c r="AI107" i="23"/>
  <c r="AJ107" i="23"/>
  <c r="AI125" i="23"/>
  <c r="AJ125" i="23"/>
  <c r="AI266" i="23"/>
  <c r="AJ266" i="23"/>
  <c r="T266" i="23"/>
  <c r="U266" i="23" s="1"/>
  <c r="T374" i="23"/>
  <c r="U374" i="23" s="1"/>
  <c r="T521" i="23"/>
  <c r="U521" i="23" s="1"/>
  <c r="T575" i="23"/>
  <c r="U575" i="23" s="1"/>
  <c r="T498" i="23"/>
  <c r="U498" i="23" s="1"/>
  <c r="Z335" i="23"/>
  <c r="AC335" i="23" s="1"/>
  <c r="X335" i="23"/>
  <c r="AA335" i="23" s="1"/>
  <c r="AI423" i="23"/>
  <c r="AJ423" i="23"/>
  <c r="AI481" i="23"/>
  <c r="AJ481" i="23"/>
  <c r="Z535" i="23"/>
  <c r="AC535" i="23" s="1"/>
  <c r="X535" i="23"/>
  <c r="AA535" i="23" s="1"/>
  <c r="T359" i="23"/>
  <c r="U359" i="23" s="1"/>
  <c r="X333" i="23"/>
  <c r="AA333" i="23" s="1"/>
  <c r="Z333" i="23"/>
  <c r="AC333" i="23" s="1"/>
  <c r="T417" i="23"/>
  <c r="U417" i="23" s="1"/>
  <c r="AI526" i="23"/>
  <c r="AJ526" i="23"/>
  <c r="Z534" i="23"/>
  <c r="AC534" i="23" s="1"/>
  <c r="X534" i="23"/>
  <c r="AA534" i="23" s="1"/>
  <c r="X468" i="23"/>
  <c r="AA468" i="23" s="1"/>
  <c r="Z468" i="23"/>
  <c r="AC468" i="23" s="1"/>
  <c r="Z405" i="23"/>
  <c r="AC405" i="23" s="1"/>
  <c r="X405" i="23"/>
  <c r="AA405" i="23" s="1"/>
  <c r="AI405" i="23"/>
  <c r="AJ405" i="23"/>
  <c r="Z493" i="23"/>
  <c r="AC493" i="23" s="1"/>
  <c r="X493" i="23"/>
  <c r="AA493" i="23" s="1"/>
  <c r="AI317" i="23"/>
  <c r="AJ317" i="23"/>
  <c r="AJ7" i="23"/>
  <c r="AI7" i="23"/>
  <c r="AJ25" i="23"/>
  <c r="AI25" i="23"/>
  <c r="X61" i="23"/>
  <c r="AA61" i="23" s="1"/>
  <c r="Z61" i="23"/>
  <c r="AC61" i="23" s="1"/>
  <c r="T79" i="23"/>
  <c r="U79" i="23" s="1"/>
  <c r="AI79" i="23"/>
  <c r="AJ79" i="23"/>
  <c r="AJ115" i="23"/>
  <c r="AI115" i="23"/>
  <c r="Z133" i="23"/>
  <c r="AC133" i="23" s="1"/>
  <c r="X133" i="23"/>
  <c r="AA133" i="23" s="1"/>
  <c r="Z169" i="23"/>
  <c r="AC169" i="23" s="1"/>
  <c r="X169" i="23"/>
  <c r="AA169" i="23" s="1"/>
  <c r="Z223" i="23"/>
  <c r="AC223" i="23" s="1"/>
  <c r="X223" i="23"/>
  <c r="AA223" i="23" s="1"/>
  <c r="AI223" i="23"/>
  <c r="AJ223" i="23"/>
  <c r="AI119" i="23"/>
  <c r="AJ119" i="23"/>
  <c r="Z227" i="23"/>
  <c r="AC227" i="23" s="1"/>
  <c r="X227" i="23"/>
  <c r="AA227" i="23" s="1"/>
  <c r="X265" i="23"/>
  <c r="AA265" i="23" s="1"/>
  <c r="Z265" i="23"/>
  <c r="AC265" i="23" s="1"/>
  <c r="AI301" i="23"/>
  <c r="AJ301" i="23"/>
  <c r="Z319" i="23"/>
  <c r="AC319" i="23" s="1"/>
  <c r="X319" i="23"/>
  <c r="AA319" i="23" s="1"/>
  <c r="T337" i="23"/>
  <c r="U337" i="23" s="1"/>
  <c r="T373" i="23"/>
  <c r="U373" i="23" s="1"/>
  <c r="X394" i="23"/>
  <c r="AA394" i="23" s="1"/>
  <c r="Z394" i="23"/>
  <c r="AC394" i="23" s="1"/>
  <c r="AJ412" i="23"/>
  <c r="AI412" i="23"/>
  <c r="AJ430" i="23"/>
  <c r="AI430" i="23"/>
  <c r="AI159" i="23"/>
  <c r="AJ159" i="23"/>
  <c r="AI77" i="23"/>
  <c r="AJ77" i="23"/>
  <c r="T77" i="23"/>
  <c r="U77" i="23" s="1"/>
  <c r="AI131" i="23"/>
  <c r="AJ131" i="23"/>
  <c r="AI239" i="23"/>
  <c r="AJ239" i="23"/>
  <c r="AI153" i="23"/>
  <c r="AJ153" i="23"/>
  <c r="X75" i="23"/>
  <c r="AA75" i="23" s="1"/>
  <c r="Z75" i="23"/>
  <c r="AC75" i="23" s="1"/>
  <c r="AJ183" i="23"/>
  <c r="AI183" i="23"/>
  <c r="T237" i="23"/>
  <c r="U237" i="23" s="1"/>
  <c r="T150" i="23"/>
  <c r="U150" i="23" s="1"/>
  <c r="T168" i="23"/>
  <c r="U168" i="23" s="1"/>
  <c r="X273" i="23"/>
  <c r="AA273" i="23" s="1"/>
  <c r="Z273" i="23"/>
  <c r="AC273" i="23" s="1"/>
  <c r="Z381" i="23"/>
  <c r="AC381" i="23" s="1"/>
  <c r="X381" i="23"/>
  <c r="AA381" i="23" s="1"/>
  <c r="X452" i="23"/>
  <c r="AA452" i="23" s="1"/>
  <c r="Z452" i="23"/>
  <c r="AC452" i="23" s="1"/>
  <c r="T470" i="23"/>
  <c r="U470" i="23" s="1"/>
  <c r="T488" i="23"/>
  <c r="U488" i="23" s="1"/>
  <c r="AJ524" i="23"/>
  <c r="AI524" i="23"/>
  <c r="X542" i="23"/>
  <c r="AA542" i="23" s="1"/>
  <c r="Z542" i="23"/>
  <c r="AC542" i="23" s="1"/>
  <c r="T330" i="23"/>
  <c r="U330" i="23" s="1"/>
  <c r="X350" i="23"/>
  <c r="AA350" i="23" s="1"/>
  <c r="Z350" i="23"/>
  <c r="AC350" i="23" s="1"/>
  <c r="AJ495" i="23"/>
  <c r="AI495" i="23"/>
  <c r="AI438" i="23"/>
  <c r="AJ438" i="23"/>
  <c r="Z438" i="23"/>
  <c r="AC438" i="23" s="1"/>
  <c r="X438" i="23"/>
  <c r="AA438" i="23" s="1"/>
  <c r="T492" i="23"/>
  <c r="U492" i="23" s="1"/>
  <c r="Z546" i="23"/>
  <c r="AC546" i="23" s="1"/>
  <c r="X546" i="23"/>
  <c r="AA546" i="23" s="1"/>
  <c r="T378" i="23"/>
  <c r="U378" i="23" s="1"/>
  <c r="AI453" i="23"/>
  <c r="AJ453" i="23"/>
  <c r="T507" i="23"/>
  <c r="U507" i="23" s="1"/>
  <c r="T561" i="23"/>
  <c r="U561" i="23" s="1"/>
  <c r="AJ483" i="23"/>
  <c r="AI483" i="23"/>
  <c r="T511" i="23"/>
  <c r="U511" i="23" s="1"/>
  <c r="AJ504" i="23"/>
  <c r="AI504" i="23"/>
  <c r="T504" i="23"/>
  <c r="U504" i="23" s="1"/>
  <c r="AI348" i="23"/>
  <c r="AJ348" i="23"/>
  <c r="X10" i="23"/>
  <c r="AA10" i="23" s="1"/>
  <c r="Z10" i="23"/>
  <c r="AC10" i="23" s="1"/>
  <c r="X28" i="23"/>
  <c r="AA28" i="23" s="1"/>
  <c r="Z28" i="23"/>
  <c r="AC28" i="23" s="1"/>
  <c r="T46" i="23"/>
  <c r="U46" i="23" s="1"/>
  <c r="AI82" i="23"/>
  <c r="AJ82" i="23"/>
  <c r="AJ100" i="23"/>
  <c r="AI100" i="23"/>
  <c r="T244" i="23"/>
  <c r="U244" i="23" s="1"/>
  <c r="T234" i="23"/>
  <c r="U234" i="23" s="1"/>
  <c r="T268" i="23"/>
  <c r="U268" i="23" s="1"/>
  <c r="AI286" i="23"/>
  <c r="AJ286" i="23"/>
  <c r="AI340" i="23"/>
  <c r="AJ340" i="23"/>
  <c r="T358" i="23"/>
  <c r="U358" i="23" s="1"/>
  <c r="AJ62" i="23"/>
  <c r="AI62" i="23"/>
  <c r="X62" i="23"/>
  <c r="AA62" i="23" s="1"/>
  <c r="Z62" i="23"/>
  <c r="AC62" i="23" s="1"/>
  <c r="AJ30" i="23"/>
  <c r="AI30" i="23"/>
  <c r="T138" i="23"/>
  <c r="U138" i="23" s="1"/>
  <c r="AI110" i="23"/>
  <c r="AJ110" i="23"/>
  <c r="T218" i="23"/>
  <c r="U218" i="23" s="1"/>
  <c r="AJ86" i="23"/>
  <c r="AI86" i="23"/>
  <c r="AI161" i="23"/>
  <c r="AJ161" i="23"/>
  <c r="Z284" i="23"/>
  <c r="AC284" i="23" s="1"/>
  <c r="X284" i="23"/>
  <c r="AA284" i="23" s="1"/>
  <c r="T338" i="23"/>
  <c r="U338" i="23" s="1"/>
  <c r="T395" i="23"/>
  <c r="U395" i="23" s="1"/>
  <c r="AI395" i="23"/>
  <c r="AJ395" i="23"/>
  <c r="X437" i="23"/>
  <c r="AA437" i="23" s="1"/>
  <c r="Z437" i="23"/>
  <c r="AC437" i="23" s="1"/>
  <c r="T545" i="23"/>
  <c r="U545" i="23" s="1"/>
  <c r="T581" i="23"/>
  <c r="U581" i="23" s="1"/>
  <c r="Z387" i="23"/>
  <c r="AC387" i="23" s="1"/>
  <c r="X387" i="23"/>
  <c r="AA387" i="23" s="1"/>
  <c r="AI570" i="23"/>
  <c r="AJ570" i="23"/>
  <c r="AI396" i="23"/>
  <c r="AJ396" i="23"/>
  <c r="Z499" i="23"/>
  <c r="AC499" i="23" s="1"/>
  <c r="X499" i="23"/>
  <c r="AA499" i="23" s="1"/>
  <c r="X215" i="23"/>
  <c r="AA215" i="23" s="1"/>
  <c r="Z215" i="23"/>
  <c r="AC215" i="23" s="1"/>
  <c r="T305" i="23"/>
  <c r="U305" i="23" s="1"/>
  <c r="AJ389" i="23"/>
  <c r="AI389" i="23"/>
  <c r="AI568" i="23"/>
  <c r="AJ568" i="23"/>
  <c r="T568" i="23"/>
  <c r="U568" i="23" s="1"/>
  <c r="T410" i="23"/>
  <c r="U410" i="23" s="1"/>
  <c r="AI432" i="23"/>
  <c r="AJ432" i="23"/>
  <c r="Z432" i="23"/>
  <c r="AC432" i="23" s="1"/>
  <c r="X432" i="23"/>
  <c r="AA432" i="23" s="1"/>
  <c r="AI522" i="23"/>
  <c r="AJ522" i="23"/>
  <c r="X383" i="23"/>
  <c r="AA383" i="23" s="1"/>
  <c r="Z383" i="23"/>
  <c r="AC383" i="23" s="1"/>
  <c r="AI375" i="23"/>
  <c r="AJ375" i="23"/>
  <c r="Z547" i="23"/>
  <c r="AC547" i="23" s="1"/>
  <c r="X547" i="23"/>
  <c r="AA547" i="23" s="1"/>
  <c r="X371" i="23"/>
  <c r="AA371" i="23" s="1"/>
  <c r="Z371" i="23"/>
  <c r="AC371" i="23" s="1"/>
  <c r="AJ13" i="23"/>
  <c r="AI13" i="23"/>
  <c r="AJ49" i="23"/>
  <c r="AI49" i="23"/>
  <c r="T67" i="23"/>
  <c r="U67" i="23" s="1"/>
  <c r="X121" i="23"/>
  <c r="AA121" i="23" s="1"/>
  <c r="Z121" i="23"/>
  <c r="AC121" i="23" s="1"/>
  <c r="T157" i="23"/>
  <c r="U157" i="23" s="1"/>
  <c r="T211" i="23"/>
  <c r="U211" i="23" s="1"/>
  <c r="X229" i="23"/>
  <c r="AA229" i="23" s="1"/>
  <c r="Z229" i="23"/>
  <c r="AC229" i="23" s="1"/>
  <c r="AJ247" i="23"/>
  <c r="AI247" i="23"/>
  <c r="AJ137" i="23"/>
  <c r="AI137" i="23"/>
  <c r="AI289" i="23"/>
  <c r="AJ289" i="23"/>
  <c r="T361" i="23"/>
  <c r="U361" i="23" s="1"/>
  <c r="AJ400" i="23"/>
  <c r="AI400" i="23"/>
  <c r="X69" i="23"/>
  <c r="AA69" i="23" s="1"/>
  <c r="Z69" i="23"/>
  <c r="AC69" i="23" s="1"/>
  <c r="AJ177" i="23"/>
  <c r="AI177" i="23"/>
  <c r="T231" i="23"/>
  <c r="U231" i="23" s="1"/>
  <c r="Z41" i="23"/>
  <c r="AC41" i="23" s="1"/>
  <c r="X41" i="23"/>
  <c r="AA41" i="23" s="1"/>
  <c r="T95" i="23"/>
  <c r="U95" i="23" s="1"/>
  <c r="X203" i="23"/>
  <c r="AA203" i="23" s="1"/>
  <c r="Z203" i="23"/>
  <c r="AC203" i="23" s="1"/>
  <c r="AI63" i="23"/>
  <c r="AJ63" i="23"/>
  <c r="AJ171" i="23"/>
  <c r="AI171" i="23"/>
  <c r="AI225" i="23"/>
  <c r="AJ225" i="23"/>
  <c r="AI147" i="23"/>
  <c r="AJ147" i="23"/>
  <c r="AJ24" i="23"/>
  <c r="AI24" i="23"/>
  <c r="X402" i="23"/>
  <c r="AA402" i="23" s="1"/>
  <c r="Z402" i="23"/>
  <c r="AC402" i="23" s="1"/>
  <c r="X440" i="23"/>
  <c r="AA440" i="23" s="1"/>
  <c r="Z440" i="23"/>
  <c r="AC440" i="23" s="1"/>
  <c r="T476" i="23"/>
  <c r="U476" i="23" s="1"/>
  <c r="AJ512" i="23"/>
  <c r="AI512" i="23"/>
  <c r="AJ548" i="23"/>
  <c r="AI548" i="23"/>
  <c r="X566" i="23"/>
  <c r="AA566" i="23" s="1"/>
  <c r="Z566" i="23"/>
  <c r="AC566" i="23" s="1"/>
  <c r="AJ303" i="23"/>
  <c r="AI303" i="23"/>
  <c r="T414" i="23"/>
  <c r="U414" i="23" s="1"/>
  <c r="AJ469" i="23"/>
  <c r="AI469" i="23"/>
  <c r="AJ377" i="23"/>
  <c r="AI377" i="23"/>
  <c r="AI513" i="23"/>
  <c r="AJ513" i="23"/>
  <c r="T567" i="23"/>
  <c r="U567" i="23" s="1"/>
  <c r="AI354" i="23"/>
  <c r="AJ354" i="23"/>
  <c r="Z404" i="23"/>
  <c r="AC404" i="23" s="1"/>
  <c r="X404" i="23"/>
  <c r="AA404" i="23" s="1"/>
  <c r="AI404" i="23"/>
  <c r="AJ404" i="23"/>
  <c r="Z510" i="23"/>
  <c r="AC510" i="23" s="1"/>
  <c r="X510" i="23"/>
  <c r="AA510" i="23" s="1"/>
  <c r="T408" i="23"/>
  <c r="U408" i="23" s="1"/>
  <c r="T447" i="23"/>
  <c r="U447" i="23" s="1"/>
  <c r="T501" i="23"/>
  <c r="U501" i="23" s="1"/>
  <c r="T555" i="23"/>
  <c r="U555" i="23" s="1"/>
  <c r="T462" i="23"/>
  <c r="U462" i="23" s="1"/>
  <c r="T290" i="23"/>
  <c r="U290" i="23" s="1"/>
  <c r="AI393" i="23"/>
  <c r="AJ393" i="23"/>
  <c r="Z558" i="23"/>
  <c r="AC558" i="23" s="1"/>
  <c r="X558" i="23"/>
  <c r="AA558" i="23" s="1"/>
  <c r="X16" i="23"/>
  <c r="AA16" i="23" s="1"/>
  <c r="Z16" i="23"/>
  <c r="AC16" i="23" s="1"/>
  <c r="Z52" i="23"/>
  <c r="AC52" i="23" s="1"/>
  <c r="X52" i="23"/>
  <c r="AA52" i="23" s="1"/>
  <c r="AI70" i="23"/>
  <c r="AJ70" i="23"/>
  <c r="T124" i="23"/>
  <c r="U124" i="23" s="1"/>
  <c r="AI160" i="23"/>
  <c r="AJ160" i="23"/>
  <c r="T214" i="23"/>
  <c r="U214" i="23" s="1"/>
  <c r="T232" i="23"/>
  <c r="U232" i="23" s="1"/>
  <c r="Z36" i="23"/>
  <c r="AC36" i="23" s="1"/>
  <c r="X36" i="23"/>
  <c r="AA36" i="23" s="1"/>
  <c r="AJ36" i="23"/>
  <c r="AI36" i="23"/>
  <c r="T144" i="23"/>
  <c r="U144" i="23" s="1"/>
  <c r="AI292" i="23"/>
  <c r="AJ292" i="23"/>
  <c r="AI310" i="23"/>
  <c r="AJ310" i="23"/>
  <c r="T346" i="23"/>
  <c r="U346" i="23" s="1"/>
  <c r="AJ364" i="23"/>
  <c r="AI364" i="23"/>
  <c r="X421" i="23"/>
  <c r="AA421" i="23" s="1"/>
  <c r="Z421" i="23"/>
  <c r="AC421" i="23" s="1"/>
  <c r="T26" i="23"/>
  <c r="U26" i="23" s="1"/>
  <c r="X134" i="23"/>
  <c r="AA134" i="23" s="1"/>
  <c r="Z134" i="23"/>
  <c r="AC134" i="23" s="1"/>
  <c r="X20" i="23"/>
  <c r="AA20" i="23" s="1"/>
  <c r="Z20" i="23"/>
  <c r="AC20" i="23" s="1"/>
  <c r="Z104" i="23"/>
  <c r="AC104" i="23" s="1"/>
  <c r="X104" i="23"/>
  <c r="AA104" i="23" s="1"/>
  <c r="T212" i="23"/>
  <c r="U212" i="23" s="1"/>
  <c r="Z251" i="23"/>
  <c r="AC251" i="23" s="1"/>
  <c r="X251" i="23"/>
  <c r="AA251" i="23" s="1"/>
  <c r="AI53" i="23"/>
  <c r="AJ53" i="23"/>
  <c r="AI35" i="23"/>
  <c r="AJ35" i="23"/>
  <c r="X197" i="23"/>
  <c r="AA197" i="23" s="1"/>
  <c r="Z197" i="23"/>
  <c r="AC197" i="23" s="1"/>
  <c r="T302" i="23"/>
  <c r="U302" i="23" s="1"/>
  <c r="T413" i="23"/>
  <c r="U413" i="23" s="1"/>
  <c r="AI479" i="23"/>
  <c r="AJ479" i="23"/>
  <c r="T533" i="23"/>
  <c r="U533" i="23" s="1"/>
  <c r="T260" i="23"/>
  <c r="U260" i="23" s="1"/>
  <c r="T311" i="23"/>
  <c r="U311" i="23" s="1"/>
  <c r="AI311" i="23"/>
  <c r="AJ311" i="23"/>
  <c r="T308" i="23"/>
  <c r="U308" i="23" s="1"/>
  <c r="X463" i="23"/>
  <c r="AA463" i="23" s="1"/>
  <c r="Z463" i="23"/>
  <c r="AC463" i="23" s="1"/>
  <c r="X517" i="23"/>
  <c r="AA517" i="23" s="1"/>
  <c r="Z517" i="23"/>
  <c r="AC517" i="23" s="1"/>
  <c r="Z571" i="23"/>
  <c r="AC571" i="23" s="1"/>
  <c r="X571" i="23"/>
  <c r="AA571" i="23" s="1"/>
  <c r="AI532" i="23"/>
  <c r="AJ532" i="23"/>
  <c r="T532" i="23"/>
  <c r="U532" i="23" s="1"/>
  <c r="T454" i="23"/>
  <c r="U454" i="23" s="1"/>
  <c r="AI508" i="23"/>
  <c r="AJ508" i="23"/>
  <c r="AJ577" i="23"/>
  <c r="AI577" i="23"/>
  <c r="Z540" i="23"/>
  <c r="AC540" i="23" s="1"/>
  <c r="X540" i="23"/>
  <c r="AA540" i="23" s="1"/>
  <c r="AJ344" i="23"/>
  <c r="AI344" i="23"/>
  <c r="X55" i="23"/>
  <c r="AA55" i="23" s="1"/>
  <c r="Z55" i="23"/>
  <c r="AC55" i="23" s="1"/>
  <c r="T181" i="23"/>
  <c r="U181" i="23" s="1"/>
  <c r="AI217" i="23"/>
  <c r="AJ217" i="23"/>
  <c r="T217" i="23"/>
  <c r="U217" i="23" s="1"/>
  <c r="X235" i="23"/>
  <c r="AA235" i="23" s="1"/>
  <c r="Z235" i="23"/>
  <c r="AC235" i="23" s="1"/>
  <c r="AJ253" i="23"/>
  <c r="AI253" i="23"/>
  <c r="T47" i="23"/>
  <c r="U47" i="23" s="1"/>
  <c r="AJ155" i="23"/>
  <c r="AI155" i="23"/>
  <c r="X259" i="23"/>
  <c r="AA259" i="23" s="1"/>
  <c r="Z259" i="23"/>
  <c r="AC259" i="23" s="1"/>
  <c r="T349" i="23"/>
  <c r="U349" i="23" s="1"/>
  <c r="T367" i="23"/>
  <c r="U367" i="23" s="1"/>
  <c r="AI388" i="23"/>
  <c r="AJ388" i="23"/>
  <c r="AJ406" i="23"/>
  <c r="AI406" i="23"/>
  <c r="X406" i="23"/>
  <c r="AA406" i="23" s="1"/>
  <c r="Z406" i="23"/>
  <c r="AC406" i="23" s="1"/>
  <c r="X424" i="23"/>
  <c r="AA424" i="23" s="1"/>
  <c r="Z424" i="23"/>
  <c r="AC424" i="23" s="1"/>
  <c r="AI87" i="23"/>
  <c r="AJ87" i="23"/>
  <c r="Z195" i="23"/>
  <c r="AC195" i="23" s="1"/>
  <c r="X195" i="23"/>
  <c r="AA195" i="23" s="1"/>
  <c r="AI5" i="23"/>
  <c r="AJ5" i="23"/>
  <c r="Z113" i="23"/>
  <c r="AC113" i="23" s="1"/>
  <c r="X113" i="23"/>
  <c r="AA113" i="23" s="1"/>
  <c r="T167" i="23"/>
  <c r="U167" i="23" s="1"/>
  <c r="Z221" i="23"/>
  <c r="AC221" i="23" s="1"/>
  <c r="X221" i="23"/>
  <c r="AA221" i="23" s="1"/>
  <c r="X81" i="23"/>
  <c r="AA81" i="23" s="1"/>
  <c r="Z81" i="23"/>
  <c r="AC81" i="23" s="1"/>
  <c r="T243" i="23"/>
  <c r="U243" i="23" s="1"/>
  <c r="Z263" i="23"/>
  <c r="AC263" i="23" s="1"/>
  <c r="X263" i="23"/>
  <c r="AA263" i="23" s="1"/>
  <c r="T96" i="23"/>
  <c r="U96" i="23" s="1"/>
  <c r="Z275" i="23"/>
  <c r="AC275" i="23" s="1"/>
  <c r="X275" i="23"/>
  <c r="AA275" i="23" s="1"/>
  <c r="Z420" i="23"/>
  <c r="AC420" i="23" s="1"/>
  <c r="X420" i="23"/>
  <c r="AA420" i="23" s="1"/>
  <c r="X446" i="23"/>
  <c r="AA446" i="23" s="1"/>
  <c r="Z446" i="23"/>
  <c r="AC446" i="23" s="1"/>
  <c r="AI464" i="23"/>
  <c r="AJ464" i="23"/>
  <c r="Z500" i="23"/>
  <c r="AC500" i="23" s="1"/>
  <c r="X500" i="23"/>
  <c r="AA500" i="23" s="1"/>
  <c r="AJ554" i="23"/>
  <c r="AI554" i="23"/>
  <c r="X572" i="23"/>
  <c r="AA572" i="23" s="1"/>
  <c r="Z572" i="23"/>
  <c r="AC572" i="23" s="1"/>
  <c r="Z269" i="23"/>
  <c r="AC269" i="23" s="1"/>
  <c r="X269" i="23"/>
  <c r="AA269" i="23" s="1"/>
  <c r="AI429" i="23"/>
  <c r="AJ429" i="23"/>
  <c r="AI487" i="23"/>
  <c r="AJ487" i="23"/>
  <c r="AI407" i="23"/>
  <c r="AJ407" i="23"/>
  <c r="T477" i="23"/>
  <c r="U477" i="23" s="1"/>
  <c r="AI531" i="23"/>
  <c r="AJ531" i="23"/>
  <c r="AI419" i="23"/>
  <c r="AJ419" i="23"/>
  <c r="AI474" i="23"/>
  <c r="AJ474" i="23"/>
  <c r="T528" i="23"/>
  <c r="U528" i="23" s="1"/>
  <c r="AI528" i="23"/>
  <c r="AJ528" i="23"/>
  <c r="Z582" i="23"/>
  <c r="AC582" i="23" s="1"/>
  <c r="X582" i="23"/>
  <c r="AA582" i="23" s="1"/>
  <c r="T276" i="23"/>
  <c r="U276" i="23" s="1"/>
  <c r="AJ489" i="23"/>
  <c r="AI489" i="23"/>
  <c r="T588" i="23"/>
  <c r="U588" i="23" s="1"/>
  <c r="AJ583" i="23"/>
  <c r="AI583" i="23"/>
  <c r="X457" i="23"/>
  <c r="AA457" i="23" s="1"/>
  <c r="Z457" i="23"/>
  <c r="AC457" i="23" s="1"/>
  <c r="AJ336" i="23"/>
  <c r="AI336" i="23"/>
  <c r="T249" i="23"/>
  <c r="U249" i="23" s="1"/>
  <c r="T54" i="23"/>
  <c r="U54" i="23" s="1"/>
  <c r="Z298" i="23"/>
  <c r="AC298" i="23" s="1"/>
  <c r="X298" i="23"/>
  <c r="AA298" i="23" s="1"/>
  <c r="AI334" i="23"/>
  <c r="AJ334" i="23"/>
  <c r="Z370" i="23"/>
  <c r="AC370" i="23" s="1"/>
  <c r="X370" i="23"/>
  <c r="AA370" i="23" s="1"/>
  <c r="X206" i="23"/>
  <c r="AA206" i="23" s="1"/>
  <c r="Z206" i="23"/>
  <c r="AC206" i="23" s="1"/>
  <c r="T12" i="23"/>
  <c r="U12" i="23" s="1"/>
  <c r="AI120" i="23"/>
  <c r="AJ120" i="23"/>
  <c r="AI174" i="23"/>
  <c r="AJ174" i="23"/>
  <c r="Z228" i="23"/>
  <c r="AC228" i="23" s="1"/>
  <c r="X228" i="23"/>
  <c r="AA228" i="23" s="1"/>
  <c r="X200" i="23"/>
  <c r="AA200" i="23" s="1"/>
  <c r="Z200" i="23"/>
  <c r="AC200" i="23" s="1"/>
  <c r="X14" i="23"/>
  <c r="AA14" i="23" s="1"/>
  <c r="Z14" i="23"/>
  <c r="AC14" i="23" s="1"/>
  <c r="AI122" i="23"/>
  <c r="AJ122" i="23"/>
  <c r="AI270" i="23"/>
  <c r="AJ270" i="23"/>
  <c r="Z107" i="23"/>
  <c r="AC107" i="23" s="1"/>
  <c r="X107" i="23"/>
  <c r="AA107" i="23" s="1"/>
  <c r="X89" i="23"/>
  <c r="AA89" i="23" s="1"/>
  <c r="Z89" i="23"/>
  <c r="AC89" i="23" s="1"/>
  <c r="AI374" i="23"/>
  <c r="AJ374" i="23"/>
  <c r="X431" i="23"/>
  <c r="AA431" i="23" s="1"/>
  <c r="Z431" i="23"/>
  <c r="AC431" i="23" s="1"/>
  <c r="X485" i="23"/>
  <c r="AA485" i="23" s="1"/>
  <c r="Z485" i="23"/>
  <c r="AC485" i="23" s="1"/>
  <c r="AI521" i="23"/>
  <c r="AJ521" i="23"/>
  <c r="X557" i="23"/>
  <c r="AA557" i="23" s="1"/>
  <c r="Z557" i="23"/>
  <c r="AC557" i="23" s="1"/>
  <c r="AI575" i="23"/>
  <c r="AJ575" i="23"/>
  <c r="T326" i="23"/>
  <c r="U326" i="23" s="1"/>
  <c r="AI498" i="23"/>
  <c r="AJ498" i="23"/>
  <c r="X484" i="23"/>
  <c r="AA484" i="23" s="1"/>
  <c r="Z484" i="23"/>
  <c r="AC484" i="23" s="1"/>
  <c r="X538" i="23"/>
  <c r="AA538" i="23" s="1"/>
  <c r="Z538" i="23"/>
  <c r="AC538" i="23" s="1"/>
  <c r="X261" i="23"/>
  <c r="AA261" i="23" s="1"/>
  <c r="Z261" i="23"/>
  <c r="AC261" i="23" s="1"/>
  <c r="AI385" i="23"/>
  <c r="AJ385" i="23"/>
  <c r="T535" i="23"/>
  <c r="U535" i="23" s="1"/>
  <c r="AI359" i="23"/>
  <c r="AJ359" i="23"/>
  <c r="AI496" i="23"/>
  <c r="AJ496" i="23"/>
  <c r="AI472" i="23"/>
  <c r="AJ472" i="23"/>
  <c r="X526" i="23"/>
  <c r="AA526" i="23" s="1"/>
  <c r="Z526" i="23"/>
  <c r="AC526" i="23" s="1"/>
  <c r="X254" i="23"/>
  <c r="AA254" i="23" s="1"/>
  <c r="Z254" i="23"/>
  <c r="AC254" i="23" s="1"/>
  <c r="AI97" i="23"/>
  <c r="AJ97" i="23"/>
  <c r="AI151" i="23"/>
  <c r="AJ151" i="23"/>
  <c r="X187" i="23"/>
  <c r="AA187" i="23" s="1"/>
  <c r="Z187" i="23"/>
  <c r="AC187" i="23" s="1"/>
  <c r="AI205" i="23"/>
  <c r="AJ205" i="23"/>
  <c r="AI173" i="23"/>
  <c r="AJ173" i="23"/>
  <c r="AI319" i="23"/>
  <c r="AJ319" i="23"/>
  <c r="X337" i="23"/>
  <c r="AA337" i="23" s="1"/>
  <c r="Z337" i="23"/>
  <c r="AC337" i="23" s="1"/>
  <c r="Z355" i="23"/>
  <c r="AC355" i="23" s="1"/>
  <c r="X355" i="23"/>
  <c r="AA355" i="23" s="1"/>
  <c r="X412" i="23"/>
  <c r="AA412" i="23" s="1"/>
  <c r="Z412" i="23"/>
  <c r="AC412" i="23" s="1"/>
  <c r="X430" i="23"/>
  <c r="AA430" i="23" s="1"/>
  <c r="Z430" i="23"/>
  <c r="AC430" i="23" s="1"/>
  <c r="X185" i="23"/>
  <c r="AA185" i="23" s="1"/>
  <c r="Z185" i="23"/>
  <c r="AC185" i="23" s="1"/>
  <c r="AI45" i="23"/>
  <c r="AJ45" i="23"/>
  <c r="AI6" i="23"/>
  <c r="AJ6" i="23"/>
  <c r="AI168" i="23"/>
  <c r="AJ168" i="23"/>
  <c r="AJ273" i="23"/>
  <c r="AI273" i="23"/>
  <c r="X327" i="23"/>
  <c r="AA327" i="23" s="1"/>
  <c r="Z327" i="23"/>
  <c r="AC327" i="23" s="1"/>
  <c r="X434" i="23"/>
  <c r="AA434" i="23" s="1"/>
  <c r="Z434" i="23"/>
  <c r="AC434" i="23" s="1"/>
  <c r="T434" i="23"/>
  <c r="U434" i="23" s="1"/>
  <c r="AJ452" i="23"/>
  <c r="AI452" i="23"/>
  <c r="AI488" i="23"/>
  <c r="AJ488" i="23"/>
  <c r="AJ506" i="23"/>
  <c r="AI506" i="23"/>
  <c r="X578" i="23"/>
  <c r="AA578" i="23" s="1"/>
  <c r="Z578" i="23"/>
  <c r="AC578" i="23" s="1"/>
  <c r="AJ287" i="23"/>
  <c r="AI287" i="23"/>
  <c r="AI384" i="23"/>
  <c r="AJ384" i="23"/>
  <c r="Z523" i="23"/>
  <c r="AC523" i="23" s="1"/>
  <c r="X523" i="23"/>
  <c r="AA523" i="23" s="1"/>
  <c r="AI441" i="23"/>
  <c r="AJ441" i="23"/>
  <c r="Z441" i="23"/>
  <c r="AC441" i="23" s="1"/>
  <c r="X441" i="23"/>
  <c r="AA441" i="23" s="1"/>
  <c r="AI339" i="23"/>
  <c r="AJ339" i="23"/>
  <c r="AI492" i="23"/>
  <c r="AJ492" i="23"/>
  <c r="AI204" i="23"/>
  <c r="AJ204" i="23"/>
  <c r="AJ297" i="23"/>
  <c r="AI297" i="23"/>
  <c r="X507" i="23"/>
  <c r="AA507" i="23" s="1"/>
  <c r="Z507" i="23"/>
  <c r="AC507" i="23" s="1"/>
  <c r="AI341" i="23"/>
  <c r="AJ341" i="23"/>
  <c r="AI425" i="23"/>
  <c r="AJ425" i="23"/>
  <c r="AJ541" i="23"/>
  <c r="AI541" i="23"/>
  <c r="X428" i="23"/>
  <c r="AA428" i="23" s="1"/>
  <c r="Z428" i="23"/>
  <c r="AC428" i="23" s="1"/>
  <c r="AI28" i="23"/>
  <c r="AJ28" i="23"/>
  <c r="Z64" i="23"/>
  <c r="AC64" i="23" s="1"/>
  <c r="X64" i="23"/>
  <c r="AA64" i="23" s="1"/>
  <c r="AI64" i="23"/>
  <c r="AJ64" i="23"/>
  <c r="X82" i="23"/>
  <c r="AA82" i="23" s="1"/>
  <c r="Z82" i="23"/>
  <c r="AC82" i="23" s="1"/>
  <c r="X118" i="23"/>
  <c r="AA118" i="23" s="1"/>
  <c r="Z118" i="23"/>
  <c r="AC118" i="23" s="1"/>
  <c r="Z154" i="23"/>
  <c r="AC154" i="23" s="1"/>
  <c r="X154" i="23"/>
  <c r="AA154" i="23" s="1"/>
  <c r="AI172" i="23"/>
  <c r="AJ172" i="23"/>
  <c r="AI190" i="23"/>
  <c r="AJ190" i="23"/>
  <c r="Z208" i="23"/>
  <c r="AC208" i="23" s="1"/>
  <c r="X208" i="23"/>
  <c r="AA208" i="23" s="1"/>
  <c r="Z226" i="23"/>
  <c r="AC226" i="23" s="1"/>
  <c r="X226" i="23"/>
  <c r="AA226" i="23" s="1"/>
  <c r="AI244" i="23"/>
  <c r="AJ244" i="23"/>
  <c r="X72" i="23"/>
  <c r="AA72" i="23" s="1"/>
  <c r="Z72" i="23"/>
  <c r="AC72" i="23" s="1"/>
  <c r="AI234" i="23"/>
  <c r="AJ234" i="23"/>
  <c r="AI268" i="23"/>
  <c r="AJ268" i="23"/>
  <c r="Z322" i="23"/>
  <c r="AC322" i="23" s="1"/>
  <c r="X322" i="23"/>
  <c r="AA322" i="23" s="1"/>
  <c r="X397" i="23"/>
  <c r="AA397" i="23" s="1"/>
  <c r="Z397" i="23"/>
  <c r="AC397" i="23" s="1"/>
  <c r="X8" i="23"/>
  <c r="AA8" i="23" s="1"/>
  <c r="Z8" i="23"/>
  <c r="AC8" i="23" s="1"/>
  <c r="AI116" i="23"/>
  <c r="AJ116" i="23"/>
  <c r="AI192" i="23"/>
  <c r="AJ192" i="23"/>
  <c r="X32" i="23"/>
  <c r="AA32" i="23" s="1"/>
  <c r="Z32" i="23"/>
  <c r="AC32" i="23" s="1"/>
  <c r="AI32" i="23"/>
  <c r="AJ32" i="23"/>
  <c r="T86" i="23"/>
  <c r="U86" i="23" s="1"/>
  <c r="X194" i="23"/>
  <c r="AA194" i="23" s="1"/>
  <c r="Z194" i="23"/>
  <c r="AC194" i="23" s="1"/>
  <c r="X248" i="23"/>
  <c r="AA248" i="23" s="1"/>
  <c r="Z248" i="23"/>
  <c r="AC248" i="23" s="1"/>
  <c r="X288" i="23"/>
  <c r="AA288" i="23" s="1"/>
  <c r="Z288" i="23"/>
  <c r="AC288" i="23" s="1"/>
  <c r="X179" i="23"/>
  <c r="AA179" i="23" s="1"/>
  <c r="Z179" i="23"/>
  <c r="AC179" i="23" s="1"/>
  <c r="T284" i="23"/>
  <c r="U284" i="23" s="1"/>
  <c r="AJ437" i="23"/>
  <c r="AI437" i="23"/>
  <c r="Z473" i="23"/>
  <c r="AC473" i="23" s="1"/>
  <c r="X473" i="23"/>
  <c r="AA473" i="23" s="1"/>
  <c r="AI491" i="23"/>
  <c r="AJ491" i="23"/>
  <c r="X527" i="23"/>
  <c r="AA527" i="23" s="1"/>
  <c r="Z527" i="23"/>
  <c r="AC527" i="23" s="1"/>
  <c r="AI545" i="23"/>
  <c r="AJ545" i="23"/>
  <c r="X353" i="23"/>
  <c r="AA353" i="23" s="1"/>
  <c r="Z353" i="23"/>
  <c r="AC353" i="23" s="1"/>
  <c r="T502" i="23"/>
  <c r="U502" i="23" s="1"/>
  <c r="AJ293" i="23"/>
  <c r="AI293" i="23"/>
  <c r="AJ553" i="23"/>
  <c r="AI553" i="23"/>
  <c r="AJ460" i="23"/>
  <c r="AI460" i="23"/>
  <c r="X514" i="23"/>
  <c r="AA514" i="23" s="1"/>
  <c r="Z514" i="23"/>
  <c r="AC514" i="23" s="1"/>
  <c r="Z222" i="23"/>
  <c r="AC222" i="23" s="1"/>
  <c r="X222" i="23"/>
  <c r="AA222" i="23" s="1"/>
  <c r="AI490" i="23"/>
  <c r="AJ490" i="23"/>
  <c r="AI410" i="23"/>
  <c r="AJ410" i="23"/>
  <c r="X486" i="23"/>
  <c r="AA486" i="23" s="1"/>
  <c r="Z486" i="23"/>
  <c r="AC486" i="23" s="1"/>
  <c r="T547" i="23"/>
  <c r="U547" i="23" s="1"/>
  <c r="T49" i="23"/>
  <c r="U49" i="23" s="1"/>
  <c r="X67" i="23"/>
  <c r="AA67" i="23" s="1"/>
  <c r="Z67" i="23"/>
  <c r="AC67" i="23" s="1"/>
  <c r="Z85" i="23"/>
  <c r="AC85" i="23" s="1"/>
  <c r="X85" i="23"/>
  <c r="AA85" i="23" s="1"/>
  <c r="X103" i="23"/>
  <c r="AA103" i="23" s="1"/>
  <c r="Z103" i="23"/>
  <c r="AC103" i="23" s="1"/>
  <c r="X139" i="23"/>
  <c r="AA139" i="23" s="1"/>
  <c r="Z139" i="23"/>
  <c r="AC139" i="23" s="1"/>
  <c r="X193" i="23"/>
  <c r="AA193" i="23" s="1"/>
  <c r="Z193" i="23"/>
  <c r="AC193" i="23" s="1"/>
  <c r="Z29" i="23"/>
  <c r="AC29" i="23" s="1"/>
  <c r="X29" i="23"/>
  <c r="AA29" i="23" s="1"/>
  <c r="X379" i="23"/>
  <c r="AA379" i="23" s="1"/>
  <c r="Z379" i="23"/>
  <c r="AC379" i="23" s="1"/>
  <c r="T400" i="23"/>
  <c r="U400" i="23" s="1"/>
  <c r="AI123" i="23"/>
  <c r="AJ123" i="23"/>
  <c r="T63" i="23"/>
  <c r="U63" i="23" s="1"/>
  <c r="AI117" i="23"/>
  <c r="AJ117" i="23"/>
  <c r="AI39" i="23"/>
  <c r="AJ39" i="23"/>
  <c r="X39" i="23"/>
  <c r="AA39" i="23" s="1"/>
  <c r="Z39" i="23"/>
  <c r="AC39" i="23" s="1"/>
  <c r="Z93" i="23"/>
  <c r="AC93" i="23" s="1"/>
  <c r="X93" i="23"/>
  <c r="AA93" i="23" s="1"/>
  <c r="X255" i="23"/>
  <c r="AA255" i="23" s="1"/>
  <c r="Z255" i="23"/>
  <c r="AC255" i="23" s="1"/>
  <c r="X291" i="23"/>
  <c r="AA291" i="23" s="1"/>
  <c r="Z291" i="23"/>
  <c r="AC291" i="23" s="1"/>
  <c r="AI345" i="23"/>
  <c r="AJ345" i="23"/>
  <c r="AJ402" i="23"/>
  <c r="AI402" i="23"/>
  <c r="X476" i="23"/>
  <c r="AA476" i="23" s="1"/>
  <c r="Z476" i="23"/>
  <c r="AC476" i="23" s="1"/>
  <c r="Z494" i="23"/>
  <c r="AC494" i="23" s="1"/>
  <c r="X494" i="23"/>
  <c r="AA494" i="23" s="1"/>
  <c r="X512" i="23"/>
  <c r="AA512" i="23" s="1"/>
  <c r="Z512" i="23"/>
  <c r="AC512" i="23" s="1"/>
  <c r="AJ584" i="23"/>
  <c r="AI584" i="23"/>
  <c r="T303" i="23"/>
  <c r="U303" i="23" s="1"/>
  <c r="X357" i="23"/>
  <c r="AA357" i="23" s="1"/>
  <c r="Z357" i="23"/>
  <c r="AC357" i="23" s="1"/>
  <c r="Z414" i="23"/>
  <c r="AC414" i="23" s="1"/>
  <c r="X414" i="23"/>
  <c r="AA414" i="23" s="1"/>
  <c r="X469" i="23"/>
  <c r="AA469" i="23" s="1"/>
  <c r="Z469" i="23"/>
  <c r="AC469" i="23" s="1"/>
  <c r="X513" i="23"/>
  <c r="AA513" i="23" s="1"/>
  <c r="Z513" i="23"/>
  <c r="AC513" i="23" s="1"/>
  <c r="X300" i="23"/>
  <c r="AA300" i="23" s="1"/>
  <c r="Z300" i="23"/>
  <c r="AC300" i="23" s="1"/>
  <c r="Z258" i="23"/>
  <c r="AC258" i="23" s="1"/>
  <c r="X258" i="23"/>
  <c r="AA258" i="23" s="1"/>
  <c r="X471" i="23"/>
  <c r="AA471" i="23" s="1"/>
  <c r="Z471" i="23"/>
  <c r="AC471" i="23" s="1"/>
  <c r="AI525" i="23"/>
  <c r="AJ525" i="23"/>
  <c r="Z579" i="23"/>
  <c r="AC579" i="23" s="1"/>
  <c r="X579" i="23"/>
  <c r="AA579" i="23" s="1"/>
  <c r="T529" i="23"/>
  <c r="U529" i="23" s="1"/>
  <c r="T565" i="23"/>
  <c r="U565" i="23" s="1"/>
  <c r="Z401" i="23"/>
  <c r="AC401" i="23" s="1"/>
  <c r="X401" i="23"/>
  <c r="AA401" i="23" s="1"/>
  <c r="T52" i="23"/>
  <c r="U52" i="23" s="1"/>
  <c r="X70" i="23"/>
  <c r="AA70" i="23" s="1"/>
  <c r="Z70" i="23"/>
  <c r="AC70" i="23" s="1"/>
  <c r="T106" i="23"/>
  <c r="U106" i="23" s="1"/>
  <c r="AI124" i="23"/>
  <c r="AJ124" i="23"/>
  <c r="Z142" i="23"/>
  <c r="AC142" i="23" s="1"/>
  <c r="X142" i="23"/>
  <c r="AA142" i="23" s="1"/>
  <c r="X178" i="23"/>
  <c r="AA178" i="23" s="1"/>
  <c r="Z178" i="23"/>
  <c r="AC178" i="23" s="1"/>
  <c r="Z196" i="23"/>
  <c r="AC196" i="23" s="1"/>
  <c r="X196" i="23"/>
  <c r="AA196" i="23" s="1"/>
  <c r="AI214" i="23"/>
  <c r="AJ214" i="23"/>
  <c r="AI232" i="23"/>
  <c r="AJ232" i="23"/>
  <c r="AI90" i="23"/>
  <c r="AJ90" i="23"/>
  <c r="AI198" i="23"/>
  <c r="AJ198" i="23"/>
  <c r="X274" i="23"/>
  <c r="AA274" i="23" s="1"/>
  <c r="Z274" i="23"/>
  <c r="AC274" i="23" s="1"/>
  <c r="Z310" i="23"/>
  <c r="AC310" i="23" s="1"/>
  <c r="X310" i="23"/>
  <c r="AA310" i="23" s="1"/>
  <c r="Z382" i="23"/>
  <c r="AC382" i="23" s="1"/>
  <c r="X382" i="23"/>
  <c r="AA382" i="23" s="1"/>
  <c r="T421" i="23"/>
  <c r="U421" i="23" s="1"/>
  <c r="Z80" i="23"/>
  <c r="AC80" i="23" s="1"/>
  <c r="X80" i="23"/>
  <c r="AA80" i="23" s="1"/>
  <c r="AJ80" i="23"/>
  <c r="AI80" i="23"/>
  <c r="Z188" i="23"/>
  <c r="AC188" i="23" s="1"/>
  <c r="X188" i="23"/>
  <c r="AA188" i="23" s="1"/>
  <c r="AI242" i="23"/>
  <c r="AJ242" i="23"/>
  <c r="X102" i="23"/>
  <c r="AA102" i="23" s="1"/>
  <c r="Z102" i="23"/>
  <c r="AC102" i="23" s="1"/>
  <c r="AI156" i="23"/>
  <c r="AJ156" i="23"/>
  <c r="X210" i="23"/>
  <c r="AA210" i="23" s="1"/>
  <c r="Z210" i="23"/>
  <c r="AC210" i="23" s="1"/>
  <c r="AI20" i="23"/>
  <c r="AJ20" i="23"/>
  <c r="Z74" i="23"/>
  <c r="AC74" i="23" s="1"/>
  <c r="X74" i="23"/>
  <c r="AA74" i="23" s="1"/>
  <c r="AJ74" i="23"/>
  <c r="AI74" i="23"/>
  <c r="Z128" i="23"/>
  <c r="AC128" i="23" s="1"/>
  <c r="X128" i="23"/>
  <c r="AA128" i="23" s="1"/>
  <c r="AI236" i="23"/>
  <c r="AJ236" i="23"/>
  <c r="Z50" i="23"/>
  <c r="AC50" i="23" s="1"/>
  <c r="X50" i="23"/>
  <c r="AA50" i="23" s="1"/>
  <c r="X158" i="23"/>
  <c r="AA158" i="23" s="1"/>
  <c r="Z158" i="23"/>
  <c r="AC158" i="23" s="1"/>
  <c r="AI212" i="23"/>
  <c r="AJ212" i="23"/>
  <c r="T53" i="23"/>
  <c r="U53" i="23" s="1"/>
  <c r="Z53" i="23"/>
  <c r="AC53" i="23" s="1"/>
  <c r="X53" i="23"/>
  <c r="AA53" i="23" s="1"/>
  <c r="X71" i="23"/>
  <c r="AA71" i="23" s="1"/>
  <c r="Z71" i="23"/>
  <c r="AC71" i="23" s="1"/>
  <c r="T35" i="23"/>
  <c r="U35" i="23" s="1"/>
  <c r="X302" i="23"/>
  <c r="AA302" i="23" s="1"/>
  <c r="Z302" i="23"/>
  <c r="AC302" i="23" s="1"/>
  <c r="X413" i="23"/>
  <c r="AA413" i="23" s="1"/>
  <c r="Z413" i="23"/>
  <c r="AC413" i="23" s="1"/>
  <c r="AI461" i="23"/>
  <c r="AJ461" i="23"/>
  <c r="X497" i="23"/>
  <c r="AA497" i="23" s="1"/>
  <c r="Z497" i="23"/>
  <c r="AC497" i="23" s="1"/>
  <c r="AI533" i="23"/>
  <c r="AJ533" i="23"/>
  <c r="X569" i="23"/>
  <c r="AA569" i="23" s="1"/>
  <c r="Z569" i="23"/>
  <c r="AC569" i="23" s="1"/>
  <c r="AI587" i="23"/>
  <c r="AJ587" i="23"/>
  <c r="AI365" i="23"/>
  <c r="AJ365" i="23"/>
  <c r="X480" i="23"/>
  <c r="AA480" i="23" s="1"/>
  <c r="Z480" i="23"/>
  <c r="AC480" i="23" s="1"/>
  <c r="AI399" i="23"/>
  <c r="AJ399" i="23"/>
  <c r="AI520" i="23"/>
  <c r="AJ520" i="23"/>
  <c r="X574" i="23"/>
  <c r="AA574" i="23" s="1"/>
  <c r="Z574" i="23"/>
  <c r="AC574" i="23" s="1"/>
  <c r="AJ308" i="23"/>
  <c r="AI308" i="23"/>
  <c r="T571" i="23"/>
  <c r="U571" i="23" s="1"/>
  <c r="X267" i="23"/>
  <c r="AA267" i="23" s="1"/>
  <c r="Z267" i="23"/>
  <c r="AC267" i="23" s="1"/>
  <c r="AJ586" i="23"/>
  <c r="AI586" i="23"/>
  <c r="T306" i="23"/>
  <c r="U306" i="23" s="1"/>
  <c r="AJ306" i="23"/>
  <c r="AI306" i="23"/>
  <c r="Z454" i="23"/>
  <c r="AC454" i="23" s="1"/>
  <c r="X454" i="23"/>
  <c r="AA454" i="23" s="1"/>
  <c r="X562" i="23"/>
  <c r="AA562" i="23" s="1"/>
  <c r="Z562" i="23"/>
  <c r="AC562" i="23" s="1"/>
  <c r="X505" i="23"/>
  <c r="AA505" i="23" s="1"/>
  <c r="Z505" i="23"/>
  <c r="AC505" i="23" s="1"/>
  <c r="X577" i="23"/>
  <c r="AA577" i="23" s="1"/>
  <c r="Z577" i="23"/>
  <c r="AC577" i="23" s="1"/>
  <c r="Z272" i="23"/>
  <c r="AC272" i="23" s="1"/>
  <c r="X272" i="23"/>
  <c r="AA272" i="23" s="1"/>
  <c r="Z19" i="23"/>
  <c r="AC19" i="23" s="1"/>
  <c r="X19" i="23"/>
  <c r="AA19" i="23" s="1"/>
  <c r="AJ127" i="23"/>
  <c r="AI127" i="23"/>
  <c r="X145" i="23"/>
  <c r="AA145" i="23" s="1"/>
  <c r="Z145" i="23"/>
  <c r="AC145" i="23" s="1"/>
  <c r="X199" i="23"/>
  <c r="AA199" i="23" s="1"/>
  <c r="Z199" i="23"/>
  <c r="AC199" i="23" s="1"/>
  <c r="AI101" i="23"/>
  <c r="AJ101" i="23"/>
  <c r="X101" i="23"/>
  <c r="AA101" i="23" s="1"/>
  <c r="Z101" i="23"/>
  <c r="AC101" i="23" s="1"/>
  <c r="AI295" i="23"/>
  <c r="AJ295" i="23"/>
  <c r="AI349" i="23"/>
  <c r="AJ349" i="23"/>
  <c r="X388" i="23"/>
  <c r="AA388" i="23" s="1"/>
  <c r="Z388" i="23"/>
  <c r="AC388" i="23" s="1"/>
  <c r="X33" i="23"/>
  <c r="AA33" i="23" s="1"/>
  <c r="Z33" i="23"/>
  <c r="AC33" i="23" s="1"/>
  <c r="AI59" i="23"/>
  <c r="AJ59" i="23"/>
  <c r="X27" i="23"/>
  <c r="AA27" i="23" s="1"/>
  <c r="Z27" i="23"/>
  <c r="AC27" i="23" s="1"/>
  <c r="Z57" i="23"/>
  <c r="AC57" i="23" s="1"/>
  <c r="X57" i="23"/>
  <c r="AA57" i="23" s="1"/>
  <c r="X111" i="23"/>
  <c r="AA111" i="23" s="1"/>
  <c r="Z111" i="23"/>
  <c r="AC111" i="23" s="1"/>
  <c r="AI219" i="23"/>
  <c r="AJ219" i="23"/>
  <c r="Z114" i="23"/>
  <c r="AC114" i="23" s="1"/>
  <c r="X114" i="23"/>
  <c r="AA114" i="23" s="1"/>
  <c r="X78" i="23"/>
  <c r="AA78" i="23" s="1"/>
  <c r="Z78" i="23"/>
  <c r="AC78" i="23" s="1"/>
  <c r="AI363" i="23"/>
  <c r="AJ363" i="23"/>
  <c r="AI420" i="23"/>
  <c r="AJ420" i="23"/>
  <c r="X372" i="23"/>
  <c r="AA372" i="23" s="1"/>
  <c r="Z372" i="23"/>
  <c r="AC372" i="23" s="1"/>
  <c r="X323" i="23"/>
  <c r="AA323" i="23" s="1"/>
  <c r="Z323" i="23"/>
  <c r="AC323" i="23" s="1"/>
  <c r="X531" i="23"/>
  <c r="AA531" i="23" s="1"/>
  <c r="Z531" i="23"/>
  <c r="AC531" i="23" s="1"/>
  <c r="X312" i="23"/>
  <c r="AA312" i="23" s="1"/>
  <c r="Z312" i="23"/>
  <c r="AC312" i="23" s="1"/>
  <c r="Z419" i="23"/>
  <c r="AC419" i="23" s="1"/>
  <c r="X419" i="23"/>
  <c r="AA419" i="23" s="1"/>
  <c r="AI351" i="23"/>
  <c r="AJ351" i="23"/>
  <c r="AI435" i="23"/>
  <c r="AJ435" i="23"/>
  <c r="Z435" i="23"/>
  <c r="AC435" i="23" s="1"/>
  <c r="X435" i="23"/>
  <c r="AA435" i="23" s="1"/>
  <c r="AI543" i="23"/>
  <c r="AJ543" i="23"/>
  <c r="X465" i="23"/>
  <c r="AA465" i="23" s="1"/>
  <c r="Z465" i="23"/>
  <c r="AC465" i="23" s="1"/>
  <c r="X519" i="23"/>
  <c r="AA519" i="23" s="1"/>
  <c r="Z519" i="23"/>
  <c r="AC519" i="23" s="1"/>
  <c r="X583" i="23"/>
  <c r="AA583" i="23" s="1"/>
  <c r="Z583" i="23"/>
  <c r="AC583" i="23" s="1"/>
  <c r="AI450" i="23"/>
  <c r="AJ450" i="23"/>
  <c r="AI294" i="23"/>
  <c r="AJ294" i="23"/>
  <c r="AI4" i="23"/>
  <c r="AJ4" i="23"/>
  <c r="AI112" i="23"/>
  <c r="AJ112" i="23"/>
  <c r="AI148" i="23"/>
  <c r="AJ148" i="23"/>
  <c r="X166" i="23"/>
  <c r="AA166" i="23" s="1"/>
  <c r="Z166" i="23"/>
  <c r="AC166" i="23" s="1"/>
  <c r="AI202" i="23"/>
  <c r="AJ202" i="23"/>
  <c r="X256" i="23"/>
  <c r="AA256" i="23" s="1"/>
  <c r="Z256" i="23"/>
  <c r="AC256" i="23" s="1"/>
  <c r="X216" i="23"/>
  <c r="AA216" i="23" s="1"/>
  <c r="Z216" i="23"/>
  <c r="AC216" i="23" s="1"/>
  <c r="AI298" i="23"/>
  <c r="AJ298" i="23"/>
  <c r="AI409" i="23"/>
  <c r="AJ409" i="23"/>
  <c r="T40" i="23"/>
  <c r="U40" i="23" s="1"/>
  <c r="Z40" i="23"/>
  <c r="AC40" i="23" s="1"/>
  <c r="X40" i="23"/>
  <c r="AA40" i="23" s="1"/>
  <c r="X94" i="23"/>
  <c r="AA94" i="23" s="1"/>
  <c r="Z94" i="23"/>
  <c r="AC94" i="23" s="1"/>
  <c r="T166" i="23"/>
  <c r="U166" i="23" s="1"/>
  <c r="T256" i="23"/>
  <c r="U256" i="23" s="1"/>
  <c r="T108" i="23"/>
  <c r="U108" i="23" s="1"/>
  <c r="AI108" i="23"/>
  <c r="AJ108" i="23"/>
  <c r="T162" i="23"/>
  <c r="U162" i="23" s="1"/>
  <c r="T216" i="23"/>
  <c r="U216" i="23" s="1"/>
  <c r="AI280" i="23"/>
  <c r="AJ280" i="23"/>
  <c r="T316" i="23"/>
  <c r="U316" i="23" s="1"/>
  <c r="Z334" i="23"/>
  <c r="AC334" i="23" s="1"/>
  <c r="X334" i="23"/>
  <c r="AA334" i="23" s="1"/>
  <c r="T370" i="23"/>
  <c r="U370" i="23" s="1"/>
  <c r="X391" i="23"/>
  <c r="AA391" i="23" s="1"/>
  <c r="Z391" i="23"/>
  <c r="AC391" i="23" s="1"/>
  <c r="X44" i="23"/>
  <c r="AA44" i="23" s="1"/>
  <c r="Z44" i="23"/>
  <c r="AC44" i="23" s="1"/>
  <c r="T44" i="23"/>
  <c r="U44" i="23" s="1"/>
  <c r="Z98" i="23"/>
  <c r="AC98" i="23" s="1"/>
  <c r="X98" i="23"/>
  <c r="AA98" i="23" s="1"/>
  <c r="T206" i="23"/>
  <c r="U206" i="23" s="1"/>
  <c r="AI12" i="23"/>
  <c r="AJ12" i="23"/>
  <c r="X12" i="23"/>
  <c r="AA12" i="23" s="1"/>
  <c r="Z12" i="23"/>
  <c r="AC12" i="23" s="1"/>
  <c r="AJ66" i="23"/>
  <c r="AI66" i="23"/>
  <c r="T228" i="23"/>
  <c r="U228" i="23" s="1"/>
  <c r="Z92" i="23"/>
  <c r="AC92" i="23" s="1"/>
  <c r="X92" i="23"/>
  <c r="AA92" i="23" s="1"/>
  <c r="T200" i="23"/>
  <c r="U200" i="23" s="1"/>
  <c r="T89" i="23"/>
  <c r="U89" i="23" s="1"/>
  <c r="T431" i="23"/>
  <c r="U431" i="23" s="1"/>
  <c r="AI467" i="23"/>
  <c r="AJ467" i="23"/>
  <c r="T485" i="23"/>
  <c r="U485" i="23" s="1"/>
  <c r="T557" i="23"/>
  <c r="U557" i="23" s="1"/>
  <c r="Z278" i="23"/>
  <c r="AC278" i="23" s="1"/>
  <c r="X278" i="23"/>
  <c r="AA278" i="23" s="1"/>
  <c r="AI326" i="23"/>
  <c r="AJ326" i="23"/>
  <c r="X433" i="23"/>
  <c r="AA433" i="23" s="1"/>
  <c r="Z433" i="23"/>
  <c r="AC433" i="23" s="1"/>
  <c r="AJ342" i="23"/>
  <c r="AI342" i="23"/>
  <c r="AI426" i="23"/>
  <c r="AJ426" i="23"/>
  <c r="Z426" i="23"/>
  <c r="AC426" i="23" s="1"/>
  <c r="X426" i="23"/>
  <c r="AA426" i="23" s="1"/>
  <c r="T484" i="23"/>
  <c r="U484" i="23" s="1"/>
  <c r="AI538" i="23"/>
  <c r="AJ538" i="23"/>
  <c r="T538" i="23"/>
  <c r="U538" i="23" s="1"/>
  <c r="T261" i="23"/>
  <c r="U261" i="23" s="1"/>
  <c r="T335" i="23"/>
  <c r="U335" i="23" s="1"/>
  <c r="T423" i="23"/>
  <c r="U423" i="23" s="1"/>
  <c r="T333" i="23"/>
  <c r="U333" i="23" s="1"/>
  <c r="AI417" i="23"/>
  <c r="AJ417" i="23"/>
  <c r="T526" i="23"/>
  <c r="U526" i="23" s="1"/>
  <c r="AI534" i="23"/>
  <c r="AJ534" i="23"/>
  <c r="T468" i="23"/>
  <c r="U468" i="23" s="1"/>
  <c r="T405" i="23"/>
  <c r="U405" i="23" s="1"/>
  <c r="T254" i="23"/>
  <c r="U254" i="23" s="1"/>
  <c r="AI493" i="23"/>
  <c r="AJ493" i="23"/>
  <c r="X317" i="23"/>
  <c r="AA317" i="23" s="1"/>
  <c r="Z317" i="23"/>
  <c r="AC317" i="23" s="1"/>
  <c r="T43" i="23"/>
  <c r="U43" i="23" s="1"/>
  <c r="T61" i="23"/>
  <c r="U61" i="23" s="1"/>
  <c r="T133" i="23"/>
  <c r="U133" i="23" s="1"/>
  <c r="AI169" i="23"/>
  <c r="AJ169" i="23"/>
  <c r="X241" i="23"/>
  <c r="AA241" i="23" s="1"/>
  <c r="Z241" i="23"/>
  <c r="AC241" i="23" s="1"/>
  <c r="Z11" i="23"/>
  <c r="AC11" i="23" s="1"/>
  <c r="X11" i="23"/>
  <c r="AA11" i="23" s="1"/>
  <c r="T11" i="23"/>
  <c r="U11" i="23" s="1"/>
  <c r="Z65" i="23"/>
  <c r="AC65" i="23" s="1"/>
  <c r="X65" i="23"/>
  <c r="AA65" i="23" s="1"/>
  <c r="AI227" i="23"/>
  <c r="AJ227" i="23"/>
  <c r="Z283" i="23"/>
  <c r="AC283" i="23" s="1"/>
  <c r="X283" i="23"/>
  <c r="AA283" i="23" s="1"/>
  <c r="T301" i="23"/>
  <c r="U301" i="23" s="1"/>
  <c r="T355" i="23"/>
  <c r="U355" i="23" s="1"/>
  <c r="T51" i="23"/>
  <c r="U51" i="23" s="1"/>
  <c r="Z213" i="23"/>
  <c r="AC213" i="23" s="1"/>
  <c r="X213" i="23"/>
  <c r="AA213" i="23" s="1"/>
  <c r="Z23" i="23"/>
  <c r="AC23" i="23" s="1"/>
  <c r="X23" i="23"/>
  <c r="AA23" i="23" s="1"/>
  <c r="X131" i="23"/>
  <c r="AA131" i="23" s="1"/>
  <c r="Z131" i="23"/>
  <c r="AC131" i="23" s="1"/>
  <c r="AI185" i="23"/>
  <c r="AJ185" i="23"/>
  <c r="T185" i="23"/>
  <c r="U185" i="23" s="1"/>
  <c r="T45" i="23"/>
  <c r="U45" i="23" s="1"/>
  <c r="Z207" i="23"/>
  <c r="AC207" i="23" s="1"/>
  <c r="X207" i="23"/>
  <c r="AA207" i="23" s="1"/>
  <c r="X21" i="23"/>
  <c r="AA21" i="23" s="1"/>
  <c r="Z21" i="23"/>
  <c r="AC21" i="23" s="1"/>
  <c r="T21" i="23"/>
  <c r="U21" i="23" s="1"/>
  <c r="X183" i="23"/>
  <c r="AA183" i="23" s="1"/>
  <c r="Z183" i="23"/>
  <c r="AC183" i="23" s="1"/>
  <c r="X132" i="23"/>
  <c r="AA132" i="23" s="1"/>
  <c r="Z132" i="23"/>
  <c r="AC132" i="23" s="1"/>
  <c r="AI381" i="23"/>
  <c r="AJ381" i="23"/>
  <c r="AJ560" i="23"/>
  <c r="AI560" i="23"/>
  <c r="X287" i="23"/>
  <c r="AA287" i="23" s="1"/>
  <c r="Z287" i="23"/>
  <c r="AC287" i="23" s="1"/>
  <c r="T523" i="23"/>
  <c r="U523" i="23" s="1"/>
  <c r="T339" i="23"/>
  <c r="U339" i="23" s="1"/>
  <c r="T392" i="23"/>
  <c r="U392" i="23" s="1"/>
  <c r="Z392" i="23"/>
  <c r="AC392" i="23" s="1"/>
  <c r="X392" i="23"/>
  <c r="AA392" i="23" s="1"/>
  <c r="T546" i="23"/>
  <c r="U546" i="23" s="1"/>
  <c r="AI546" i="23"/>
  <c r="AJ546" i="23"/>
  <c r="X341" i="23"/>
  <c r="AA341" i="23" s="1"/>
  <c r="Z341" i="23"/>
  <c r="AC341" i="23" s="1"/>
  <c r="AI537" i="23"/>
  <c r="AJ537" i="23"/>
  <c r="Z541" i="23"/>
  <c r="AC541" i="23" s="1"/>
  <c r="X541" i="23"/>
  <c r="AA541" i="23" s="1"/>
  <c r="AJ321" i="23"/>
  <c r="AI321" i="23"/>
  <c r="X504" i="23"/>
  <c r="AA504" i="23" s="1"/>
  <c r="Z504" i="23"/>
  <c r="AC504" i="23" s="1"/>
  <c r="AI46" i="23"/>
  <c r="AJ46" i="23"/>
  <c r="T82" i="23"/>
  <c r="U82" i="23" s="1"/>
  <c r="X100" i="23"/>
  <c r="AA100" i="23" s="1"/>
  <c r="Z100" i="23"/>
  <c r="AC100" i="23" s="1"/>
  <c r="T118" i="23"/>
  <c r="U118" i="23" s="1"/>
  <c r="T136" i="23"/>
  <c r="U136" i="23" s="1"/>
  <c r="T154" i="23"/>
  <c r="U154" i="23" s="1"/>
  <c r="T208" i="23"/>
  <c r="U208" i="23" s="1"/>
  <c r="AI226" i="23"/>
  <c r="AJ226" i="23"/>
  <c r="AJ18" i="23"/>
  <c r="AI18" i="23"/>
  <c r="T72" i="23"/>
  <c r="U72" i="23" s="1"/>
  <c r="T286" i="23"/>
  <c r="U286" i="23" s="1"/>
  <c r="AI304" i="23"/>
  <c r="AJ304" i="23"/>
  <c r="T322" i="23"/>
  <c r="U322" i="23" s="1"/>
  <c r="Z340" i="23"/>
  <c r="AC340" i="23" s="1"/>
  <c r="X340" i="23"/>
  <c r="AA340" i="23" s="1"/>
  <c r="AI358" i="23"/>
  <c r="AJ358" i="23"/>
  <c r="X415" i="23"/>
  <c r="AA415" i="23" s="1"/>
  <c r="Z415" i="23"/>
  <c r="AC415" i="23" s="1"/>
  <c r="T8" i="23"/>
  <c r="U8" i="23" s="1"/>
  <c r="Z192" i="23"/>
  <c r="AC192" i="23" s="1"/>
  <c r="X192" i="23"/>
  <c r="AA192" i="23" s="1"/>
  <c r="T110" i="23"/>
  <c r="U110" i="23" s="1"/>
  <c r="T164" i="23"/>
  <c r="U164" i="23" s="1"/>
  <c r="T32" i="23"/>
  <c r="U32" i="23" s="1"/>
  <c r="T194" i="23"/>
  <c r="U194" i="23" s="1"/>
  <c r="T248" i="23"/>
  <c r="U248" i="23" s="1"/>
  <c r="T288" i="23"/>
  <c r="U288" i="23" s="1"/>
  <c r="T179" i="23"/>
  <c r="U179" i="23" s="1"/>
  <c r="X143" i="23"/>
  <c r="AA143" i="23" s="1"/>
  <c r="Z143" i="23"/>
  <c r="AC143" i="23" s="1"/>
  <c r="T455" i="23"/>
  <c r="U455" i="23" s="1"/>
  <c r="T527" i="23"/>
  <c r="U527" i="23" s="1"/>
  <c r="T353" i="23"/>
  <c r="U353" i="23" s="1"/>
  <c r="AI451" i="23"/>
  <c r="AJ451" i="23"/>
  <c r="X451" i="23"/>
  <c r="AA451" i="23" s="1"/>
  <c r="Z451" i="23"/>
  <c r="AC451" i="23" s="1"/>
  <c r="T570" i="23"/>
  <c r="U570" i="23" s="1"/>
  <c r="Z369" i="23"/>
  <c r="AC369" i="23" s="1"/>
  <c r="X369" i="23"/>
  <c r="AA369" i="23" s="1"/>
  <c r="AI499" i="23"/>
  <c r="AJ499" i="23"/>
  <c r="Z553" i="23"/>
  <c r="AC553" i="23" s="1"/>
  <c r="X553" i="23"/>
  <c r="AA553" i="23" s="1"/>
  <c r="AJ215" i="23"/>
  <c r="AI215" i="23"/>
  <c r="AI305" i="23"/>
  <c r="AJ305" i="23"/>
  <c r="X460" i="23"/>
  <c r="AA460" i="23" s="1"/>
  <c r="Z460" i="23"/>
  <c r="AC460" i="23" s="1"/>
  <c r="AJ514" i="23"/>
  <c r="AI514" i="23"/>
  <c r="Z360" i="23"/>
  <c r="AC360" i="23" s="1"/>
  <c r="X360" i="23"/>
  <c r="AA360" i="23" s="1"/>
  <c r="Z436" i="23"/>
  <c r="AC436" i="23" s="1"/>
  <c r="X436" i="23"/>
  <c r="AA436" i="23" s="1"/>
  <c r="Z552" i="23"/>
  <c r="AC552" i="23" s="1"/>
  <c r="X552" i="23"/>
  <c r="AA552" i="23" s="1"/>
  <c r="T486" i="23"/>
  <c r="U486" i="23" s="1"/>
  <c r="AJ383" i="23"/>
  <c r="AI383" i="23"/>
  <c r="AJ371" i="23"/>
  <c r="AI371" i="23"/>
  <c r="X49" i="23"/>
  <c r="AA49" i="23" s="1"/>
  <c r="Z49" i="23"/>
  <c r="AC49" i="23" s="1"/>
  <c r="T103" i="23"/>
  <c r="U103" i="23" s="1"/>
  <c r="AJ121" i="23"/>
  <c r="AI121" i="23"/>
  <c r="T139" i="23"/>
  <c r="U139" i="23" s="1"/>
  <c r="Z175" i="23"/>
  <c r="AC175" i="23" s="1"/>
  <c r="X175" i="23"/>
  <c r="AA175" i="23" s="1"/>
  <c r="T193" i="23"/>
  <c r="U193" i="23" s="1"/>
  <c r="AJ229" i="23"/>
  <c r="AI229" i="23"/>
  <c r="Z245" i="23"/>
  <c r="AC245" i="23" s="1"/>
  <c r="X245" i="23"/>
  <c r="AA245" i="23" s="1"/>
  <c r="T289" i="23"/>
  <c r="U289" i="23" s="1"/>
  <c r="Z289" i="23"/>
  <c r="AC289" i="23" s="1"/>
  <c r="X289" i="23"/>
  <c r="AA289" i="23" s="1"/>
  <c r="AI307" i="23"/>
  <c r="AJ307" i="23"/>
  <c r="T325" i="23"/>
  <c r="U325" i="23" s="1"/>
  <c r="Z325" i="23"/>
  <c r="AC325" i="23" s="1"/>
  <c r="X325" i="23"/>
  <c r="AA325" i="23" s="1"/>
  <c r="AI343" i="23"/>
  <c r="AJ343" i="23"/>
  <c r="T379" i="23"/>
  <c r="U379" i="23" s="1"/>
  <c r="AJ15" i="23"/>
  <c r="AI15" i="23"/>
  <c r="Z15" i="23"/>
  <c r="AC15" i="23" s="1"/>
  <c r="X15" i="23"/>
  <c r="AA15" i="23" s="1"/>
  <c r="AI41" i="23"/>
  <c r="AJ41" i="23"/>
  <c r="X149" i="23"/>
  <c r="AA149" i="23" s="1"/>
  <c r="Z149" i="23"/>
  <c r="AC149" i="23" s="1"/>
  <c r="AJ203" i="23"/>
  <c r="AI203" i="23"/>
  <c r="T225" i="23"/>
  <c r="U225" i="23" s="1"/>
  <c r="T39" i="23"/>
  <c r="U39" i="23" s="1"/>
  <c r="T93" i="23"/>
  <c r="U93" i="23" s="1"/>
  <c r="Z201" i="23"/>
  <c r="AC201" i="23" s="1"/>
  <c r="X201" i="23"/>
  <c r="AA201" i="23" s="1"/>
  <c r="T255" i="23"/>
  <c r="U255" i="23" s="1"/>
  <c r="X42" i="23"/>
  <c r="AA42" i="23" s="1"/>
  <c r="Z42" i="23"/>
  <c r="AC42" i="23" s="1"/>
  <c r="Z257" i="23"/>
  <c r="AC257" i="23" s="1"/>
  <c r="X257" i="23"/>
  <c r="AA257" i="23" s="1"/>
  <c r="AJ440" i="23"/>
  <c r="AI440" i="23"/>
  <c r="AI458" i="23"/>
  <c r="AJ458" i="23"/>
  <c r="T494" i="23"/>
  <c r="U494" i="23" s="1"/>
  <c r="AJ530" i="23"/>
  <c r="AI530" i="23"/>
  <c r="X548" i="23"/>
  <c r="AA548" i="23" s="1"/>
  <c r="Z548" i="23"/>
  <c r="AC548" i="23" s="1"/>
  <c r="X303" i="23"/>
  <c r="AA303" i="23" s="1"/>
  <c r="Z303" i="23"/>
  <c r="AC303" i="23" s="1"/>
  <c r="T357" i="23"/>
  <c r="U357" i="23" s="1"/>
  <c r="AJ296" i="23"/>
  <c r="AI296" i="23"/>
  <c r="T513" i="23"/>
  <c r="U513" i="23" s="1"/>
  <c r="T300" i="23"/>
  <c r="U300" i="23" s="1"/>
  <c r="T404" i="23"/>
  <c r="U404" i="23" s="1"/>
  <c r="T510" i="23"/>
  <c r="U510" i="23" s="1"/>
  <c r="Z564" i="23"/>
  <c r="AC564" i="23" s="1"/>
  <c r="X564" i="23"/>
  <c r="AA564" i="23" s="1"/>
  <c r="T258" i="23"/>
  <c r="U258" i="23" s="1"/>
  <c r="AJ471" i="23"/>
  <c r="AI471" i="23"/>
  <c r="Z233" i="23"/>
  <c r="AC233" i="23" s="1"/>
  <c r="X233" i="23"/>
  <c r="AA233" i="23" s="1"/>
  <c r="T558" i="23"/>
  <c r="U558" i="23" s="1"/>
  <c r="AI558" i="23"/>
  <c r="AJ558" i="23"/>
  <c r="T70" i="23"/>
  <c r="U70" i="23" s="1"/>
  <c r="T88" i="23"/>
  <c r="U88" i="23" s="1"/>
  <c r="T142" i="23"/>
  <c r="U142" i="23" s="1"/>
  <c r="T178" i="23"/>
  <c r="U178" i="23" s="1"/>
  <c r="T196" i="23"/>
  <c r="U196" i="23" s="1"/>
  <c r="T36" i="23"/>
  <c r="U36" i="23" s="1"/>
  <c r="T274" i="23"/>
  <c r="U274" i="23" s="1"/>
  <c r="T328" i="23"/>
  <c r="U328" i="23" s="1"/>
  <c r="AI346" i="23"/>
  <c r="AJ346" i="23"/>
  <c r="T382" i="23"/>
  <c r="U382" i="23" s="1"/>
  <c r="AI421" i="23"/>
  <c r="AJ421" i="23"/>
  <c r="AI26" i="23"/>
  <c r="AJ26" i="23"/>
  <c r="AJ188" i="23"/>
  <c r="AI188" i="23"/>
  <c r="T48" i="23"/>
  <c r="U48" i="23" s="1"/>
  <c r="AI102" i="23"/>
  <c r="AJ102" i="23"/>
  <c r="T102" i="23"/>
  <c r="U102" i="23" s="1"/>
  <c r="T210" i="23"/>
  <c r="U210" i="23" s="1"/>
  <c r="AI128" i="23"/>
  <c r="AJ128" i="23"/>
  <c r="T104" i="23"/>
  <c r="U104" i="23" s="1"/>
  <c r="AI104" i="23"/>
  <c r="AJ104" i="23"/>
  <c r="T158" i="23"/>
  <c r="U158" i="23" s="1"/>
  <c r="AI251" i="23"/>
  <c r="AJ251" i="23"/>
  <c r="AI71" i="23"/>
  <c r="AJ71" i="23"/>
  <c r="T71" i="23"/>
  <c r="U71" i="23" s="1"/>
  <c r="AJ197" i="23"/>
  <c r="AI197" i="23"/>
  <c r="X356" i="23"/>
  <c r="AA356" i="23" s="1"/>
  <c r="Z356" i="23"/>
  <c r="AC356" i="23" s="1"/>
  <c r="Z461" i="23"/>
  <c r="AC461" i="23" s="1"/>
  <c r="X461" i="23"/>
  <c r="AA461" i="23" s="1"/>
  <c r="Z479" i="23"/>
  <c r="AC479" i="23" s="1"/>
  <c r="X479" i="23"/>
  <c r="AA479" i="23" s="1"/>
  <c r="T497" i="23"/>
  <c r="U497" i="23" s="1"/>
  <c r="T569" i="23"/>
  <c r="U569" i="23" s="1"/>
  <c r="T480" i="23"/>
  <c r="U480" i="23" s="1"/>
  <c r="X315" i="23"/>
  <c r="AA315" i="23" s="1"/>
  <c r="Z315" i="23"/>
  <c r="AC315" i="23" s="1"/>
  <c r="T399" i="23"/>
  <c r="U399" i="23" s="1"/>
  <c r="X399" i="23"/>
  <c r="AA399" i="23" s="1"/>
  <c r="Z399" i="23"/>
  <c r="AC399" i="23" s="1"/>
  <c r="X466" i="23"/>
  <c r="AA466" i="23" s="1"/>
  <c r="Z466" i="23"/>
  <c r="AC466" i="23" s="1"/>
  <c r="AI574" i="23"/>
  <c r="AJ574" i="23"/>
  <c r="T574" i="23"/>
  <c r="U574" i="23" s="1"/>
  <c r="X362" i="23"/>
  <c r="AA362" i="23" s="1"/>
  <c r="Z362" i="23"/>
  <c r="AC362" i="23" s="1"/>
  <c r="T517" i="23"/>
  <c r="U517" i="23" s="1"/>
  <c r="AI267" i="23"/>
  <c r="AJ267" i="23"/>
  <c r="T267" i="23"/>
  <c r="U267" i="23" s="1"/>
  <c r="Z416" i="23"/>
  <c r="AC416" i="23" s="1"/>
  <c r="X416" i="23"/>
  <c r="AA416" i="23" s="1"/>
  <c r="T508" i="23"/>
  <c r="U508" i="23" s="1"/>
  <c r="AI562" i="23"/>
  <c r="AJ562" i="23"/>
  <c r="T562" i="23"/>
  <c r="U562" i="23" s="1"/>
  <c r="AI505" i="23"/>
  <c r="AJ505" i="23"/>
  <c r="T577" i="23"/>
  <c r="U577" i="23" s="1"/>
  <c r="AI540" i="23"/>
  <c r="AJ540" i="23"/>
  <c r="T344" i="23"/>
  <c r="U344" i="23" s="1"/>
  <c r="Z576" i="23"/>
  <c r="AC576" i="23" s="1"/>
  <c r="X576" i="23"/>
  <c r="AA576" i="23" s="1"/>
  <c r="Z73" i="23"/>
  <c r="AC73" i="23" s="1"/>
  <c r="X73" i="23"/>
  <c r="AA73" i="23" s="1"/>
  <c r="T145" i="23"/>
  <c r="U145" i="23" s="1"/>
  <c r="Z181" i="23"/>
  <c r="AC181" i="23" s="1"/>
  <c r="X181" i="23"/>
  <c r="AA181" i="23" s="1"/>
  <c r="T199" i="23"/>
  <c r="U199" i="23" s="1"/>
  <c r="AJ235" i="23"/>
  <c r="AI235" i="23"/>
  <c r="Z47" i="23"/>
  <c r="AC47" i="23" s="1"/>
  <c r="X47" i="23"/>
  <c r="AA47" i="23" s="1"/>
  <c r="T101" i="23"/>
  <c r="U101" i="23" s="1"/>
  <c r="X209" i="23"/>
  <c r="AA209" i="23" s="1"/>
  <c r="Z209" i="23"/>
  <c r="AC209" i="23" s="1"/>
  <c r="AJ259" i="23"/>
  <c r="AI259" i="23"/>
  <c r="AJ277" i="23"/>
  <c r="AI277" i="23"/>
  <c r="Z295" i="23"/>
  <c r="AC295" i="23" s="1"/>
  <c r="X295" i="23"/>
  <c r="AA295" i="23" s="1"/>
  <c r="AI313" i="23"/>
  <c r="AJ313" i="23"/>
  <c r="AI367" i="23"/>
  <c r="AJ367" i="23"/>
  <c r="T388" i="23"/>
  <c r="U388" i="23" s="1"/>
  <c r="AI33" i="23"/>
  <c r="AJ33" i="23"/>
  <c r="T33" i="23"/>
  <c r="U33" i="23" s="1"/>
  <c r="T87" i="23"/>
  <c r="U87" i="23" s="1"/>
  <c r="Z141" i="23"/>
  <c r="AC141" i="23" s="1"/>
  <c r="X141" i="23"/>
  <c r="AA141" i="23" s="1"/>
  <c r="AI195" i="23"/>
  <c r="AJ195" i="23"/>
  <c r="AI113" i="23"/>
  <c r="AJ113" i="23"/>
  <c r="T221" i="23"/>
  <c r="U221" i="23" s="1"/>
  <c r="AI27" i="23"/>
  <c r="AJ27" i="23"/>
  <c r="T27" i="23"/>
  <c r="U27" i="23" s="1"/>
  <c r="X135" i="23"/>
  <c r="AA135" i="23" s="1"/>
  <c r="Z135" i="23"/>
  <c r="AC135" i="23" s="1"/>
  <c r="T111" i="23"/>
  <c r="U111" i="23" s="1"/>
  <c r="X165" i="23"/>
  <c r="AA165" i="23" s="1"/>
  <c r="Z165" i="23"/>
  <c r="AC165" i="23" s="1"/>
  <c r="AI263" i="23"/>
  <c r="AJ263" i="23"/>
  <c r="T78" i="23"/>
  <c r="U78" i="23" s="1"/>
  <c r="AJ309" i="23"/>
  <c r="AI309" i="23"/>
  <c r="AJ446" i="23"/>
  <c r="AI446" i="23"/>
  <c r="T464" i="23"/>
  <c r="U464" i="23" s="1"/>
  <c r="AI500" i="23"/>
  <c r="AJ500" i="23"/>
  <c r="AJ536" i="23"/>
  <c r="AI536" i="23"/>
  <c r="X554" i="23"/>
  <c r="AA554" i="23" s="1"/>
  <c r="Z554" i="23"/>
  <c r="AC554" i="23" s="1"/>
  <c r="AI269" i="23"/>
  <c r="AJ269" i="23"/>
  <c r="T372" i="23"/>
  <c r="U372" i="23" s="1"/>
  <c r="T407" i="23"/>
  <c r="U407" i="23" s="1"/>
  <c r="T531" i="23"/>
  <c r="U531" i="23" s="1"/>
  <c r="Z366" i="23"/>
  <c r="AC366" i="23" s="1"/>
  <c r="X366" i="23"/>
  <c r="AA366" i="23" s="1"/>
  <c r="X474" i="23"/>
  <c r="AA474" i="23" s="1"/>
  <c r="Z474" i="23"/>
  <c r="AC474" i="23" s="1"/>
  <c r="AJ398" i="23"/>
  <c r="AI398" i="23"/>
  <c r="Z398" i="23"/>
  <c r="AC398" i="23" s="1"/>
  <c r="X398" i="23"/>
  <c r="AA398" i="23" s="1"/>
  <c r="AI465" i="23"/>
  <c r="AJ465" i="23"/>
  <c r="T519" i="23"/>
  <c r="U519" i="23" s="1"/>
  <c r="T516" i="23"/>
  <c r="U516" i="23" s="1"/>
  <c r="T583" i="23"/>
  <c r="U583" i="23" s="1"/>
  <c r="X336" i="23"/>
  <c r="AA336" i="23" s="1"/>
  <c r="Z336" i="23"/>
  <c r="AC336" i="23" s="1"/>
  <c r="Z22" i="23"/>
  <c r="AC22" i="23" s="1"/>
  <c r="X22" i="23"/>
  <c r="AA22" i="23" s="1"/>
  <c r="AI22" i="23"/>
  <c r="AJ22" i="23"/>
  <c r="AI40" i="23"/>
  <c r="AJ40" i="23"/>
  <c r="Z130" i="23"/>
  <c r="AC130" i="23" s="1"/>
  <c r="X130" i="23"/>
  <c r="AA130" i="23" s="1"/>
  <c r="X238" i="23"/>
  <c r="AA238" i="23" s="1"/>
  <c r="Z238" i="23"/>
  <c r="AC238" i="23" s="1"/>
  <c r="AI256" i="23"/>
  <c r="AJ256" i="23"/>
  <c r="X262" i="23"/>
  <c r="AA262" i="23" s="1"/>
  <c r="Z262" i="23"/>
  <c r="AC262" i="23" s="1"/>
  <c r="AI316" i="23"/>
  <c r="AJ316" i="23"/>
  <c r="X352" i="23"/>
  <c r="AA352" i="23" s="1"/>
  <c r="Z352" i="23"/>
  <c r="AC352" i="23" s="1"/>
  <c r="AI370" i="23"/>
  <c r="AJ370" i="23"/>
  <c r="X152" i="23"/>
  <c r="AA152" i="23" s="1"/>
  <c r="Z152" i="23"/>
  <c r="AC152" i="23" s="1"/>
  <c r="AI206" i="23"/>
  <c r="AJ206" i="23"/>
  <c r="AI228" i="23"/>
  <c r="AJ228" i="23"/>
  <c r="X146" i="23"/>
  <c r="AA146" i="23" s="1"/>
  <c r="Z146" i="23"/>
  <c r="AC146" i="23" s="1"/>
  <c r="AI200" i="23"/>
  <c r="AJ200" i="23"/>
  <c r="X68" i="23"/>
  <c r="AA68" i="23" s="1"/>
  <c r="Z68" i="23"/>
  <c r="AC68" i="23" s="1"/>
  <c r="X122" i="23"/>
  <c r="AA122" i="23" s="1"/>
  <c r="Z122" i="23"/>
  <c r="AC122" i="23" s="1"/>
  <c r="Z176" i="23"/>
  <c r="AC176" i="23" s="1"/>
  <c r="X176" i="23"/>
  <c r="AA176" i="23" s="1"/>
  <c r="AI230" i="23"/>
  <c r="AJ230" i="23"/>
  <c r="Z270" i="23"/>
  <c r="AC270" i="23" s="1"/>
  <c r="X270" i="23"/>
  <c r="AA270" i="23" s="1"/>
  <c r="X282" i="23"/>
  <c r="AA282" i="23" s="1"/>
  <c r="Z282" i="23"/>
  <c r="AC282" i="23" s="1"/>
  <c r="T320" i="23"/>
  <c r="U320" i="23" s="1"/>
  <c r="AJ449" i="23"/>
  <c r="AI449" i="23"/>
  <c r="Z503" i="23"/>
  <c r="AC503" i="23" s="1"/>
  <c r="X503" i="23"/>
  <c r="AA503" i="23" s="1"/>
  <c r="X539" i="23"/>
  <c r="AA539" i="23" s="1"/>
  <c r="Z539" i="23"/>
  <c r="AC539" i="23" s="1"/>
  <c r="AI557" i="23"/>
  <c r="AJ557" i="23"/>
  <c r="AJ278" i="23"/>
  <c r="AI278" i="23"/>
  <c r="X380" i="23"/>
  <c r="AA380" i="23" s="1"/>
  <c r="Z380" i="23"/>
  <c r="AC380" i="23" s="1"/>
  <c r="T433" i="23"/>
  <c r="U433" i="23" s="1"/>
  <c r="X342" i="23"/>
  <c r="AA342" i="23" s="1"/>
  <c r="Z342" i="23"/>
  <c r="AC342" i="23" s="1"/>
  <c r="T342" i="23"/>
  <c r="U342" i="23" s="1"/>
  <c r="X385" i="23"/>
  <c r="AA385" i="23" s="1"/>
  <c r="Z385" i="23"/>
  <c r="AC385" i="23" s="1"/>
  <c r="AJ285" i="23"/>
  <c r="AI285" i="23"/>
  <c r="Z442" i="23"/>
  <c r="AC442" i="23" s="1"/>
  <c r="X442" i="23"/>
  <c r="AA442" i="23" s="1"/>
  <c r="X496" i="23"/>
  <c r="AA496" i="23" s="1"/>
  <c r="Z496" i="23"/>
  <c r="AC496" i="23" s="1"/>
  <c r="X550" i="23"/>
  <c r="AA550" i="23" s="1"/>
  <c r="Z550" i="23"/>
  <c r="AC550" i="23" s="1"/>
  <c r="Z472" i="23"/>
  <c r="AC472" i="23" s="1"/>
  <c r="X472" i="23"/>
  <c r="AA472" i="23" s="1"/>
  <c r="AJ580" i="23"/>
  <c r="AI580" i="23"/>
  <c r="X25" i="23"/>
  <c r="AA25" i="23" s="1"/>
  <c r="Z25" i="23"/>
  <c r="AC25" i="23" s="1"/>
  <c r="AI43" i="23"/>
  <c r="AJ43" i="23"/>
  <c r="AI61" i="23"/>
  <c r="AJ61" i="23"/>
  <c r="AI133" i="23"/>
  <c r="AJ133" i="23"/>
  <c r="X151" i="23"/>
  <c r="AA151" i="23" s="1"/>
  <c r="Z151" i="23"/>
  <c r="AC151" i="23" s="1"/>
  <c r="AI187" i="23"/>
  <c r="AJ187" i="23"/>
  <c r="X205" i="23"/>
  <c r="AA205" i="23" s="1"/>
  <c r="Z205" i="23"/>
  <c r="AC205" i="23" s="1"/>
  <c r="AJ11" i="23"/>
  <c r="AI11" i="23"/>
  <c r="AI65" i="23"/>
  <c r="AJ65" i="23"/>
  <c r="X173" i="23"/>
  <c r="AA173" i="23" s="1"/>
  <c r="Z173" i="23"/>
  <c r="AC173" i="23" s="1"/>
  <c r="AI355" i="23"/>
  <c r="AJ355" i="23"/>
  <c r="AI373" i="23"/>
  <c r="AJ373" i="23"/>
  <c r="T412" i="23"/>
  <c r="U412" i="23" s="1"/>
  <c r="AI51" i="23"/>
  <c r="AJ51" i="23"/>
  <c r="Z105" i="23"/>
  <c r="AC105" i="23" s="1"/>
  <c r="X105" i="23"/>
  <c r="AA105" i="23" s="1"/>
  <c r="AJ105" i="23"/>
  <c r="AI105" i="23"/>
  <c r="AI23" i="23"/>
  <c r="AJ23" i="23"/>
  <c r="Z45" i="23"/>
  <c r="AC45" i="23" s="1"/>
  <c r="X45" i="23"/>
  <c r="AA45" i="23" s="1"/>
  <c r="AJ99" i="23"/>
  <c r="AI99" i="23"/>
  <c r="AJ129" i="23"/>
  <c r="AI129" i="23"/>
  <c r="AI237" i="23"/>
  <c r="AJ237" i="23"/>
  <c r="X281" i="23"/>
  <c r="AA281" i="23" s="1"/>
  <c r="Z281" i="23"/>
  <c r="AC281" i="23" s="1"/>
  <c r="AI150" i="23"/>
  <c r="AJ150" i="23"/>
  <c r="AJ434" i="23"/>
  <c r="AI434" i="23"/>
  <c r="X506" i="23"/>
  <c r="AA506" i="23" s="1"/>
  <c r="Z506" i="23"/>
  <c r="AC506" i="23" s="1"/>
  <c r="T578" i="23"/>
  <c r="U578" i="23" s="1"/>
  <c r="X384" i="23"/>
  <c r="AA384" i="23" s="1"/>
  <c r="Z384" i="23"/>
  <c r="AC384" i="23" s="1"/>
  <c r="AI523" i="23"/>
  <c r="AJ523" i="23"/>
  <c r="AI549" i="23"/>
  <c r="AJ549" i="23"/>
  <c r="X549" i="23"/>
  <c r="AA549" i="23" s="1"/>
  <c r="Z549" i="23"/>
  <c r="AC549" i="23" s="1"/>
  <c r="AI279" i="23"/>
  <c r="AJ279" i="23"/>
  <c r="X204" i="23"/>
  <c r="AA204" i="23" s="1"/>
  <c r="Z204" i="23"/>
  <c r="AC204" i="23" s="1"/>
  <c r="X297" i="23"/>
  <c r="AA297" i="23" s="1"/>
  <c r="Z297" i="23"/>
  <c r="AC297" i="23" s="1"/>
  <c r="AI378" i="23"/>
  <c r="AJ378" i="23"/>
  <c r="X453" i="23"/>
  <c r="AA453" i="23" s="1"/>
  <c r="Z453" i="23"/>
  <c r="AC453" i="23" s="1"/>
  <c r="X425" i="23"/>
  <c r="AA425" i="23" s="1"/>
  <c r="Z425" i="23"/>
  <c r="AC425" i="23" s="1"/>
  <c r="X537" i="23"/>
  <c r="AA537" i="23" s="1"/>
  <c r="Z537" i="23"/>
  <c r="AC537" i="23" s="1"/>
  <c r="T541" i="23"/>
  <c r="U541" i="23" s="1"/>
  <c r="AI511" i="23"/>
  <c r="AJ511" i="23"/>
  <c r="AJ428" i="23"/>
  <c r="AI428" i="23"/>
  <c r="AI10" i="23"/>
  <c r="AJ10" i="23"/>
  <c r="Z46" i="23"/>
  <c r="AC46" i="23" s="1"/>
  <c r="X46" i="23"/>
  <c r="AA46" i="23" s="1"/>
  <c r="T64" i="23"/>
  <c r="U64" i="23" s="1"/>
  <c r="AI118" i="23"/>
  <c r="AJ118" i="23"/>
  <c r="AI154" i="23"/>
  <c r="AJ154" i="23"/>
  <c r="X172" i="23"/>
  <c r="AA172" i="23" s="1"/>
  <c r="Z172" i="23"/>
  <c r="AC172" i="23" s="1"/>
  <c r="AI208" i="23"/>
  <c r="AJ208" i="23"/>
  <c r="AI72" i="23"/>
  <c r="AJ72" i="23"/>
  <c r="Z126" i="23"/>
  <c r="AC126" i="23" s="1"/>
  <c r="X126" i="23"/>
  <c r="AA126" i="23" s="1"/>
  <c r="X180" i="23"/>
  <c r="AA180" i="23" s="1"/>
  <c r="Z180" i="23"/>
  <c r="AC180" i="23" s="1"/>
  <c r="Z304" i="23"/>
  <c r="AC304" i="23" s="1"/>
  <c r="X304" i="23"/>
  <c r="AA304" i="23" s="1"/>
  <c r="AI322" i="23"/>
  <c r="AJ322" i="23"/>
  <c r="Z376" i="23"/>
  <c r="AC376" i="23" s="1"/>
  <c r="X376" i="23"/>
  <c r="AA376" i="23" s="1"/>
  <c r="T397" i="23"/>
  <c r="U397" i="23" s="1"/>
  <c r="AI415" i="23"/>
  <c r="AJ415" i="23"/>
  <c r="T62" i="23"/>
  <c r="U62" i="23" s="1"/>
  <c r="X116" i="23"/>
  <c r="AA116" i="23" s="1"/>
  <c r="Z116" i="23"/>
  <c r="AC116" i="23" s="1"/>
  <c r="Z170" i="23"/>
  <c r="AC170" i="23" s="1"/>
  <c r="X170" i="23"/>
  <c r="AA170" i="23" s="1"/>
  <c r="AJ224" i="23"/>
  <c r="AI224" i="23"/>
  <c r="Z30" i="23"/>
  <c r="AC30" i="23" s="1"/>
  <c r="X30" i="23"/>
  <c r="AA30" i="23" s="1"/>
  <c r="X84" i="23"/>
  <c r="AA84" i="23" s="1"/>
  <c r="Z84" i="23"/>
  <c r="AC84" i="23" s="1"/>
  <c r="AI138" i="23"/>
  <c r="AJ138" i="23"/>
  <c r="Z246" i="23"/>
  <c r="AC246" i="23" s="1"/>
  <c r="X246" i="23"/>
  <c r="AA246" i="23" s="1"/>
  <c r="X110" i="23"/>
  <c r="AA110" i="23" s="1"/>
  <c r="Z110" i="23"/>
  <c r="AC110" i="23" s="1"/>
  <c r="X140" i="23"/>
  <c r="AA140" i="23" s="1"/>
  <c r="Z140" i="23"/>
  <c r="AC140" i="23" s="1"/>
  <c r="AI194" i="23"/>
  <c r="AJ194" i="23"/>
  <c r="Z161" i="23"/>
  <c r="AC161" i="23" s="1"/>
  <c r="X161" i="23"/>
  <c r="AA161" i="23" s="1"/>
  <c r="X338" i="23"/>
  <c r="AA338" i="23" s="1"/>
  <c r="Z338" i="23"/>
  <c r="AC338" i="23" s="1"/>
  <c r="X395" i="23"/>
  <c r="AA395" i="23" s="1"/>
  <c r="Z395" i="23"/>
  <c r="AC395" i="23" s="1"/>
  <c r="X491" i="23"/>
  <c r="AA491" i="23" s="1"/>
  <c r="Z491" i="23"/>
  <c r="AC491" i="23" s="1"/>
  <c r="AI527" i="23"/>
  <c r="AJ527" i="23"/>
  <c r="X563" i="23"/>
  <c r="AA563" i="23" s="1"/>
  <c r="Z563" i="23"/>
  <c r="AC563" i="23" s="1"/>
  <c r="AI581" i="23"/>
  <c r="AJ581" i="23"/>
  <c r="X299" i="23"/>
  <c r="AA299" i="23" s="1"/>
  <c r="Z299" i="23"/>
  <c r="AC299" i="23" s="1"/>
  <c r="AI353" i="23"/>
  <c r="AJ353" i="23"/>
  <c r="AJ502" i="23"/>
  <c r="AI502" i="23"/>
  <c r="X556" i="23"/>
  <c r="AA556" i="23" s="1"/>
  <c r="Z556" i="23"/>
  <c r="AC556" i="23" s="1"/>
  <c r="X293" i="23"/>
  <c r="AA293" i="23" s="1"/>
  <c r="Z293" i="23"/>
  <c r="AC293" i="23" s="1"/>
  <c r="X347" i="23"/>
  <c r="AA347" i="23" s="1"/>
  <c r="Z347" i="23"/>
  <c r="AC347" i="23" s="1"/>
  <c r="T553" i="23"/>
  <c r="U553" i="23" s="1"/>
  <c r="Z305" i="23"/>
  <c r="AC305" i="23" s="1"/>
  <c r="X305" i="23"/>
  <c r="AA305" i="23" s="1"/>
  <c r="T222" i="23"/>
  <c r="U222" i="23" s="1"/>
  <c r="T436" i="23"/>
  <c r="U436" i="23" s="1"/>
  <c r="X490" i="23"/>
  <c r="AA490" i="23" s="1"/>
  <c r="Z490" i="23"/>
  <c r="AC490" i="23" s="1"/>
  <c r="X544" i="23"/>
  <c r="AA544" i="23" s="1"/>
  <c r="Z544" i="23"/>
  <c r="AC544" i="23" s="1"/>
  <c r="Z410" i="23"/>
  <c r="AC410" i="23" s="1"/>
  <c r="X410" i="23"/>
  <c r="AA410" i="23" s="1"/>
  <c r="AI486" i="23"/>
  <c r="AJ486" i="23"/>
  <c r="X13" i="23"/>
  <c r="AA13" i="23" s="1"/>
  <c r="Z13" i="23"/>
  <c r="AC13" i="23" s="1"/>
  <c r="X31" i="23"/>
  <c r="AA31" i="23" s="1"/>
  <c r="Z31" i="23"/>
  <c r="AC31" i="23" s="1"/>
  <c r="AI103" i="23"/>
  <c r="AJ103" i="23"/>
  <c r="AI157" i="23"/>
  <c r="AJ157" i="23"/>
  <c r="AI211" i="23"/>
  <c r="AJ211" i="23"/>
  <c r="AI29" i="23"/>
  <c r="AJ29" i="23"/>
  <c r="X83" i="23"/>
  <c r="AA83" i="23" s="1"/>
  <c r="Z83" i="23"/>
  <c r="AC83" i="23" s="1"/>
  <c r="AJ191" i="23"/>
  <c r="AI191" i="23"/>
  <c r="AI325" i="23"/>
  <c r="AJ325" i="23"/>
  <c r="X343" i="23"/>
  <c r="AA343" i="23" s="1"/>
  <c r="Z343" i="23"/>
  <c r="AC343" i="23" s="1"/>
  <c r="Z361" i="23"/>
  <c r="AC361" i="23" s="1"/>
  <c r="X361" i="23"/>
  <c r="AA361" i="23" s="1"/>
  <c r="X123" i="23"/>
  <c r="AA123" i="23" s="1"/>
  <c r="Z123" i="23"/>
  <c r="AC123" i="23" s="1"/>
  <c r="AI231" i="23"/>
  <c r="AJ231" i="23"/>
  <c r="AI95" i="23"/>
  <c r="AJ95" i="23"/>
  <c r="AJ9" i="23"/>
  <c r="AI9" i="23"/>
  <c r="Z63" i="23"/>
  <c r="AC63" i="23" s="1"/>
  <c r="X63" i="23"/>
  <c r="AA63" i="23" s="1"/>
  <c r="X117" i="23"/>
  <c r="AA117" i="23" s="1"/>
  <c r="Z117" i="23"/>
  <c r="AC117" i="23" s="1"/>
  <c r="Z225" i="23"/>
  <c r="AC225" i="23" s="1"/>
  <c r="X225" i="23"/>
  <c r="AA225" i="23" s="1"/>
  <c r="AI93" i="23"/>
  <c r="AJ93" i="23"/>
  <c r="AJ42" i="23"/>
  <c r="AI42" i="23"/>
  <c r="X186" i="23"/>
  <c r="AA186" i="23" s="1"/>
  <c r="Z186" i="23"/>
  <c r="AC186" i="23" s="1"/>
  <c r="T291" i="23"/>
  <c r="U291" i="23" s="1"/>
  <c r="X345" i="23"/>
  <c r="AA345" i="23" s="1"/>
  <c r="Z345" i="23"/>
  <c r="AC345" i="23" s="1"/>
  <c r="T440" i="23"/>
  <c r="U440" i="23" s="1"/>
  <c r="Z458" i="23"/>
  <c r="AC458" i="23" s="1"/>
  <c r="X458" i="23"/>
  <c r="AA458" i="23" s="1"/>
  <c r="AI494" i="23"/>
  <c r="AJ494" i="23"/>
  <c r="X584" i="23"/>
  <c r="AA584" i="23" s="1"/>
  <c r="Z584" i="23"/>
  <c r="AC584" i="23" s="1"/>
  <c r="AI258" i="23"/>
  <c r="AJ258" i="23"/>
  <c r="T324" i="23"/>
  <c r="U324" i="23" s="1"/>
  <c r="AJ324" i="23"/>
  <c r="AI324" i="23"/>
  <c r="X408" i="23"/>
  <c r="AA408" i="23" s="1"/>
  <c r="Z408" i="23"/>
  <c r="AC408" i="23" s="1"/>
  <c r="X525" i="23"/>
  <c r="AA525" i="23" s="1"/>
  <c r="Z525" i="23"/>
  <c r="AC525" i="23" s="1"/>
  <c r="X368" i="23"/>
  <c r="AA368" i="23" s="1"/>
  <c r="Z368" i="23"/>
  <c r="AC368" i="23" s="1"/>
  <c r="AI447" i="23"/>
  <c r="AJ447" i="23"/>
  <c r="Z447" i="23"/>
  <c r="AC447" i="23" s="1"/>
  <c r="X447" i="23"/>
  <c r="AA447" i="23" s="1"/>
  <c r="Z501" i="23"/>
  <c r="AC501" i="23" s="1"/>
  <c r="X501" i="23"/>
  <c r="AA501" i="23" s="1"/>
  <c r="AI462" i="23"/>
  <c r="AJ462" i="23"/>
  <c r="Z559" i="23"/>
  <c r="AC559" i="23" s="1"/>
  <c r="X559" i="23"/>
  <c r="AA559" i="23" s="1"/>
  <c r="AJ559" i="23"/>
  <c r="AI559" i="23"/>
  <c r="T475" i="23"/>
  <c r="U475" i="23" s="1"/>
  <c r="Z393" i="23"/>
  <c r="AC393" i="23" s="1"/>
  <c r="X393" i="23"/>
  <c r="AA393" i="23" s="1"/>
  <c r="X386" i="23"/>
  <c r="AA386" i="23" s="1"/>
  <c r="Z386" i="23"/>
  <c r="AC386" i="23" s="1"/>
  <c r="T16" i="23"/>
  <c r="U16" i="23" s="1"/>
  <c r="X34" i="23"/>
  <c r="AA34" i="23" s="1"/>
  <c r="Z34" i="23"/>
  <c r="AC34" i="23" s="1"/>
  <c r="AJ52" i="23"/>
  <c r="AI52" i="23"/>
  <c r="AJ106" i="23"/>
  <c r="AI106" i="23"/>
  <c r="AI142" i="23"/>
  <c r="AJ142" i="23"/>
  <c r="AI196" i="23"/>
  <c r="AJ196" i="23"/>
  <c r="X250" i="23"/>
  <c r="AA250" i="23" s="1"/>
  <c r="Z250" i="23"/>
  <c r="AC250" i="23" s="1"/>
  <c r="X90" i="23"/>
  <c r="AA90" i="23" s="1"/>
  <c r="Z90" i="23"/>
  <c r="AC90" i="23" s="1"/>
  <c r="AI144" i="23"/>
  <c r="AJ144" i="23"/>
  <c r="X198" i="23"/>
  <c r="AA198" i="23" s="1"/>
  <c r="Z198" i="23"/>
  <c r="AC198" i="23" s="1"/>
  <c r="Z252" i="23"/>
  <c r="AC252" i="23" s="1"/>
  <c r="X252" i="23"/>
  <c r="AA252" i="23" s="1"/>
  <c r="Z292" i="23"/>
  <c r="AC292" i="23" s="1"/>
  <c r="X292" i="23"/>
  <c r="AA292" i="23" s="1"/>
  <c r="AI328" i="23"/>
  <c r="AJ328" i="23"/>
  <c r="X364" i="23"/>
  <c r="AA364" i="23" s="1"/>
  <c r="Z364" i="23"/>
  <c r="AC364" i="23" s="1"/>
  <c r="AI382" i="23"/>
  <c r="AJ382" i="23"/>
  <c r="AJ403" i="23"/>
  <c r="AI403" i="23"/>
  <c r="T80" i="23"/>
  <c r="U80" i="23" s="1"/>
  <c r="X242" i="23"/>
  <c r="AA242" i="23" s="1"/>
  <c r="Z242" i="23"/>
  <c r="AC242" i="23" s="1"/>
  <c r="X156" i="23"/>
  <c r="AA156" i="23" s="1"/>
  <c r="Z156" i="23"/>
  <c r="AC156" i="23" s="1"/>
  <c r="T74" i="23"/>
  <c r="U74" i="23" s="1"/>
  <c r="AJ182" i="23"/>
  <c r="AI182" i="23"/>
  <c r="X236" i="23"/>
  <c r="AA236" i="23" s="1"/>
  <c r="Z236" i="23"/>
  <c r="AC236" i="23" s="1"/>
  <c r="AI50" i="23"/>
  <c r="AJ50" i="23"/>
  <c r="AI158" i="23"/>
  <c r="AJ158" i="23"/>
  <c r="Z264" i="23"/>
  <c r="AC264" i="23" s="1"/>
  <c r="X264" i="23"/>
  <c r="AA264" i="23" s="1"/>
  <c r="AJ302" i="23"/>
  <c r="AI302" i="23"/>
  <c r="AI515" i="23"/>
  <c r="AJ515" i="23"/>
  <c r="X551" i="23"/>
  <c r="AA551" i="23" s="1"/>
  <c r="Z551" i="23"/>
  <c r="AC551" i="23" s="1"/>
  <c r="AI569" i="23"/>
  <c r="AJ569" i="23"/>
  <c r="X587" i="23"/>
  <c r="AA587" i="23" s="1"/>
  <c r="Z587" i="23"/>
  <c r="AC587" i="23" s="1"/>
  <c r="AI260" i="23"/>
  <c r="AJ260" i="23"/>
  <c r="X311" i="23"/>
  <c r="AA311" i="23" s="1"/>
  <c r="Z311" i="23"/>
  <c r="AC311" i="23" s="1"/>
  <c r="X365" i="23"/>
  <c r="AA365" i="23" s="1"/>
  <c r="Z365" i="23"/>
  <c r="AC365" i="23" s="1"/>
  <c r="X422" i="23"/>
  <c r="AA422" i="23" s="1"/>
  <c r="Z422" i="23"/>
  <c r="AC422" i="23" s="1"/>
  <c r="T422" i="23"/>
  <c r="U422" i="23" s="1"/>
  <c r="AI480" i="23"/>
  <c r="AJ480" i="23"/>
  <c r="AI466" i="23"/>
  <c r="AJ466" i="23"/>
  <c r="X520" i="23"/>
  <c r="AA520" i="23" s="1"/>
  <c r="Z520" i="23"/>
  <c r="AC520" i="23" s="1"/>
  <c r="X411" i="23"/>
  <c r="AA411" i="23" s="1"/>
  <c r="Z411" i="23"/>
  <c r="AC411" i="23" s="1"/>
  <c r="Z478" i="23"/>
  <c r="AC478" i="23" s="1"/>
  <c r="X478" i="23"/>
  <c r="AA478" i="23" s="1"/>
  <c r="AI390" i="23"/>
  <c r="AJ390" i="23"/>
  <c r="T540" i="23"/>
  <c r="U540" i="23" s="1"/>
  <c r="AI439" i="23"/>
  <c r="AJ439" i="23"/>
  <c r="AI272" i="23"/>
  <c r="AJ272" i="23"/>
  <c r="AI37" i="23"/>
  <c r="AJ37" i="23"/>
  <c r="X91" i="23"/>
  <c r="AA91" i="23" s="1"/>
  <c r="Z91" i="23"/>
  <c r="AC91" i="23" s="1"/>
  <c r="AI163" i="23"/>
  <c r="AJ163" i="23"/>
  <c r="T313" i="23"/>
  <c r="U313" i="23" s="1"/>
  <c r="X87" i="23"/>
  <c r="AA87" i="23" s="1"/>
  <c r="Z87" i="23"/>
  <c r="AC87" i="23" s="1"/>
  <c r="X59" i="23"/>
  <c r="AA59" i="23" s="1"/>
  <c r="Z59" i="23"/>
  <c r="AC59" i="23" s="1"/>
  <c r="AI167" i="23"/>
  <c r="AJ167" i="23"/>
  <c r="Z189" i="23"/>
  <c r="AC189" i="23" s="1"/>
  <c r="X189" i="23"/>
  <c r="AA189" i="23" s="1"/>
  <c r="AI243" i="23"/>
  <c r="AJ243" i="23"/>
  <c r="AI96" i="23"/>
  <c r="AJ96" i="23"/>
  <c r="AI275" i="23"/>
  <c r="AJ275" i="23"/>
  <c r="AI114" i="23"/>
  <c r="AJ114" i="23"/>
  <c r="AI78" i="23"/>
  <c r="AJ78" i="23"/>
  <c r="Z240" i="23"/>
  <c r="AC240" i="23" s="1"/>
  <c r="X240" i="23"/>
  <c r="AA240" i="23" s="1"/>
  <c r="T309" i="23"/>
  <c r="U309" i="23" s="1"/>
  <c r="X363" i="23"/>
  <c r="AA363" i="23" s="1"/>
  <c r="Z363" i="23"/>
  <c r="AC363" i="23" s="1"/>
  <c r="T446" i="23"/>
  <c r="U446" i="23" s="1"/>
  <c r="X464" i="23"/>
  <c r="AA464" i="23" s="1"/>
  <c r="Z464" i="23"/>
  <c r="AC464" i="23" s="1"/>
  <c r="Z482" i="23"/>
  <c r="AC482" i="23" s="1"/>
  <c r="X482" i="23"/>
  <c r="AA482" i="23" s="1"/>
  <c r="X518" i="23"/>
  <c r="AA518" i="23" s="1"/>
  <c r="Z518" i="23"/>
  <c r="AC518" i="23" s="1"/>
  <c r="AJ518" i="23"/>
  <c r="AI518" i="23"/>
  <c r="X318" i="23"/>
  <c r="AA318" i="23" s="1"/>
  <c r="Z318" i="23"/>
  <c r="AC318" i="23" s="1"/>
  <c r="T318" i="23"/>
  <c r="U318" i="23" s="1"/>
  <c r="AJ318" i="23"/>
  <c r="AI318" i="23"/>
  <c r="X477" i="23"/>
  <c r="AA477" i="23" s="1"/>
  <c r="Z477" i="23"/>
  <c r="AC477" i="23" s="1"/>
  <c r="AI585" i="23"/>
  <c r="AJ585" i="23"/>
  <c r="AI366" i="23"/>
  <c r="AJ366" i="23"/>
  <c r="X276" i="23"/>
  <c r="AA276" i="23" s="1"/>
  <c r="Z276" i="23"/>
  <c r="AC276" i="23" s="1"/>
  <c r="X351" i="23"/>
  <c r="AA351" i="23" s="1"/>
  <c r="Z351" i="23"/>
  <c r="AC351" i="23" s="1"/>
  <c r="T489" i="23"/>
  <c r="U489" i="23" s="1"/>
  <c r="X543" i="23"/>
  <c r="AA543" i="23" s="1"/>
  <c r="Z543" i="23"/>
  <c r="AC543" i="23" s="1"/>
  <c r="AI516" i="23"/>
  <c r="AJ516" i="23"/>
  <c r="AI588" i="23"/>
  <c r="AJ588" i="23"/>
  <c r="AJ457" i="23"/>
  <c r="AI457" i="23"/>
  <c r="AI249" i="23"/>
  <c r="AJ249" i="23"/>
  <c r="X294" i="23"/>
  <c r="AA294" i="23" s="1"/>
  <c r="Z294" i="23"/>
  <c r="AC294" i="23" s="1"/>
  <c r="L147" i="80"/>
  <c r="M147" i="80" s="1"/>
  <c r="H147" i="80"/>
  <c r="W240" i="80"/>
  <c r="E147" i="80"/>
  <c r="F140" i="80"/>
  <c r="E47" i="80"/>
  <c r="Q47" i="80"/>
  <c r="K47" i="80"/>
  <c r="H47" i="80"/>
  <c r="W47" i="80"/>
  <c r="J47" i="80"/>
  <c r="U47" i="80"/>
  <c r="G47" i="80"/>
  <c r="L47" i="80"/>
  <c r="M47" i="80" s="1"/>
  <c r="V47" i="80"/>
  <c r="P47" i="80"/>
  <c r="F47" i="80"/>
  <c r="N47" i="80"/>
  <c r="U205" i="80"/>
  <c r="H177" i="80"/>
  <c r="W29" i="80"/>
  <c r="W250" i="80"/>
  <c r="V176" i="80"/>
  <c r="W160" i="80"/>
  <c r="H121" i="80"/>
  <c r="F50" i="80"/>
  <c r="U152" i="80"/>
  <c r="G50" i="80"/>
  <c r="W117" i="80"/>
  <c r="W284" i="80"/>
  <c r="W99" i="80"/>
  <c r="W286" i="80"/>
  <c r="P227" i="80"/>
  <c r="N45" i="80"/>
  <c r="W112" i="80"/>
  <c r="P204" i="80"/>
  <c r="V106" i="80"/>
  <c r="W255" i="80"/>
  <c r="E227" i="80"/>
  <c r="H227" i="80"/>
  <c r="W287" i="80"/>
  <c r="F212" i="80"/>
  <c r="H81" i="80"/>
  <c r="W237" i="80"/>
  <c r="W95" i="80"/>
  <c r="S47" i="80"/>
  <c r="Q50" i="80"/>
  <c r="U227" i="80"/>
  <c r="F256" i="80"/>
  <c r="W186" i="80"/>
  <c r="W172" i="80"/>
  <c r="L177" i="80"/>
  <c r="M177" i="80" s="1"/>
  <c r="L110" i="80"/>
  <c r="M110" i="80" s="1"/>
  <c r="W239" i="80"/>
  <c r="E186" i="80"/>
  <c r="Q228" i="80"/>
  <c r="H50" i="80"/>
  <c r="Q222" i="80"/>
  <c r="F147" i="80"/>
  <c r="P170" i="80"/>
  <c r="J252" i="80"/>
  <c r="V147" i="80"/>
  <c r="W33" i="80"/>
  <c r="E105" i="80"/>
  <c r="W106" i="80"/>
  <c r="L89" i="80"/>
  <c r="M89" i="80" s="1"/>
  <c r="K147" i="80"/>
  <c r="P50" i="80"/>
  <c r="Q184" i="80"/>
  <c r="P147" i="80"/>
  <c r="E191" i="80"/>
  <c r="J106" i="80"/>
  <c r="K106" i="80"/>
  <c r="K16" i="80"/>
  <c r="P110" i="80"/>
  <c r="W252" i="80"/>
  <c r="L106" i="80"/>
  <c r="M106" i="80" s="1"/>
  <c r="J50" i="80"/>
  <c r="W127" i="80"/>
  <c r="J196" i="80"/>
  <c r="N106" i="80"/>
  <c r="K140" i="80"/>
  <c r="K201" i="80"/>
  <c r="F89" i="80"/>
  <c r="E222" i="80"/>
  <c r="K252" i="80"/>
  <c r="W110" i="80"/>
  <c r="P223" i="80"/>
  <c r="L257" i="80"/>
  <c r="M257" i="80" s="1"/>
  <c r="W147" i="80"/>
  <c r="P212" i="80"/>
  <c r="P196" i="80"/>
  <c r="N147" i="80"/>
  <c r="N121" i="80"/>
  <c r="E106" i="80"/>
  <c r="J213" i="80"/>
  <c r="N196" i="80"/>
  <c r="Q64" i="80"/>
  <c r="Q205" i="80"/>
  <c r="N222" i="80"/>
  <c r="N50" i="80"/>
  <c r="E50" i="80"/>
  <c r="K50" i="80"/>
  <c r="Q106" i="80"/>
  <c r="W50" i="80"/>
  <c r="G196" i="80"/>
  <c r="H106" i="80"/>
  <c r="H228" i="80"/>
  <c r="L50" i="80"/>
  <c r="M50" i="80" s="1"/>
  <c r="V64" i="80"/>
  <c r="U48" i="80"/>
  <c r="H176" i="80"/>
  <c r="P89" i="80"/>
  <c r="L136" i="80"/>
  <c r="M136" i="80" s="1"/>
  <c r="V50" i="80"/>
  <c r="Q223" i="80"/>
  <c r="G39" i="80"/>
  <c r="U212" i="80"/>
  <c r="Q183" i="80"/>
  <c r="J183" i="80"/>
  <c r="P181" i="80"/>
  <c r="W136" i="80"/>
  <c r="P144" i="80"/>
  <c r="J177" i="80"/>
  <c r="H213" i="80"/>
  <c r="W109" i="80"/>
  <c r="J147" i="80"/>
  <c r="V256" i="80"/>
  <c r="Q147" i="80"/>
  <c r="L286" i="80"/>
  <c r="M286" i="80" s="1"/>
  <c r="G147" i="80"/>
  <c r="F106" i="80"/>
  <c r="W257" i="80"/>
  <c r="E228" i="80"/>
  <c r="G106" i="80"/>
  <c r="E89" i="80"/>
  <c r="Q136" i="80"/>
  <c r="H105" i="80"/>
  <c r="P105" i="80"/>
  <c r="W265" i="80"/>
  <c r="L213" i="80"/>
  <c r="M213" i="80" s="1"/>
  <c r="V201" i="80"/>
  <c r="P106" i="80"/>
  <c r="U106" i="80"/>
  <c r="W222" i="80"/>
  <c r="S201" i="80"/>
  <c r="L105" i="80"/>
  <c r="M105" i="80" s="1"/>
  <c r="V184" i="80"/>
  <c r="K105" i="80"/>
  <c r="W268" i="80"/>
  <c r="Q181" i="80"/>
  <c r="V144" i="80"/>
  <c r="V204" i="80"/>
  <c r="U89" i="80"/>
  <c r="E136" i="80"/>
  <c r="P224" i="80"/>
  <c r="W167" i="80"/>
  <c r="K196" i="80"/>
  <c r="F136" i="80"/>
  <c r="G136" i="80"/>
  <c r="N16" i="80"/>
  <c r="W218" i="80"/>
  <c r="L196" i="80"/>
  <c r="M196" i="80" s="1"/>
  <c r="U213" i="80"/>
  <c r="N213" i="80"/>
  <c r="Q89" i="80"/>
  <c r="J222" i="80"/>
  <c r="K23" i="80"/>
  <c r="L216" i="80"/>
  <c r="M216" i="80" s="1"/>
  <c r="E23" i="80"/>
  <c r="W159" i="80"/>
  <c r="F159" i="80"/>
  <c r="P100" i="80"/>
  <c r="W189" i="80"/>
  <c r="U100" i="80"/>
  <c r="G151" i="80"/>
  <c r="G143" i="80"/>
  <c r="P143" i="80"/>
  <c r="H197" i="80"/>
  <c r="W161" i="80"/>
  <c r="L159" i="80"/>
  <c r="M159" i="80" s="1"/>
  <c r="J258" i="80"/>
  <c r="G258" i="80"/>
  <c r="E258" i="80"/>
  <c r="N243" i="80"/>
  <c r="W182" i="80"/>
  <c r="J28" i="80"/>
  <c r="K116" i="80"/>
  <c r="N156" i="80"/>
  <c r="H114" i="80"/>
  <c r="W22" i="80"/>
  <c r="V67" i="80"/>
  <c r="V137" i="80"/>
  <c r="V278" i="80"/>
  <c r="U233" i="80"/>
  <c r="H36" i="80"/>
  <c r="P61" i="80"/>
  <c r="W207" i="80"/>
  <c r="V46" i="80"/>
  <c r="L279" i="80"/>
  <c r="M279" i="80" s="1"/>
  <c r="Q197" i="80"/>
  <c r="N258" i="80"/>
  <c r="W258" i="80"/>
  <c r="K28" i="80"/>
  <c r="N28" i="80"/>
  <c r="G28" i="80"/>
  <c r="W87" i="80"/>
  <c r="L81" i="80"/>
  <c r="M81" i="80" s="1"/>
  <c r="P114" i="80"/>
  <c r="J208" i="80"/>
  <c r="Q208" i="80"/>
  <c r="V99" i="80"/>
  <c r="V80" i="80"/>
  <c r="P151" i="80"/>
  <c r="G141" i="80"/>
  <c r="W233" i="80"/>
  <c r="L41" i="80"/>
  <c r="M41" i="80" s="1"/>
  <c r="V245" i="80"/>
  <c r="E279" i="80"/>
  <c r="G197" i="80"/>
  <c r="L197" i="80"/>
  <c r="M197" i="80" s="1"/>
  <c r="V187" i="80"/>
  <c r="H258" i="80"/>
  <c r="L258" i="80"/>
  <c r="M258" i="80" s="1"/>
  <c r="P242" i="80"/>
  <c r="H242" i="80"/>
  <c r="H243" i="80"/>
  <c r="V133" i="80"/>
  <c r="F116" i="80"/>
  <c r="W31" i="80"/>
  <c r="W26" i="80"/>
  <c r="P81" i="80"/>
  <c r="Q163" i="80"/>
  <c r="W152" i="80"/>
  <c r="K260" i="80"/>
  <c r="J217" i="80"/>
  <c r="P206" i="80"/>
  <c r="N172" i="80"/>
  <c r="G99" i="80"/>
  <c r="J99" i="80"/>
  <c r="J112" i="80"/>
  <c r="J210" i="80"/>
  <c r="W251" i="80"/>
  <c r="L143" i="80"/>
  <c r="M143" i="80" s="1"/>
  <c r="W137" i="80"/>
  <c r="U61" i="80"/>
  <c r="E197" i="80"/>
  <c r="W221" i="80"/>
  <c r="P258" i="80"/>
  <c r="V258" i="80"/>
  <c r="F258" i="80"/>
  <c r="U72" i="80"/>
  <c r="L28" i="80"/>
  <c r="M28" i="80" s="1"/>
  <c r="P116" i="80"/>
  <c r="L68" i="80"/>
  <c r="M68" i="80" s="1"/>
  <c r="E290" i="80"/>
  <c r="Q178" i="80"/>
  <c r="V208" i="80"/>
  <c r="J190" i="80"/>
  <c r="J80" i="80"/>
  <c r="L23" i="80"/>
  <c r="M23" i="80" s="1"/>
  <c r="W157" i="80"/>
  <c r="H151" i="80"/>
  <c r="V21" i="80"/>
  <c r="L61" i="80"/>
  <c r="M61" i="80" s="1"/>
  <c r="E177" i="80"/>
  <c r="K258" i="80"/>
  <c r="Q258" i="80"/>
  <c r="N188" i="80"/>
  <c r="P28" i="80"/>
  <c r="H28" i="80"/>
  <c r="N116" i="80"/>
  <c r="W94" i="80"/>
  <c r="N114" i="80"/>
  <c r="W114" i="80"/>
  <c r="J23" i="80"/>
  <c r="H241" i="80"/>
  <c r="J229" i="80"/>
  <c r="H143" i="80"/>
  <c r="Q233" i="80"/>
  <c r="U192" i="80"/>
  <c r="W216" i="80"/>
  <c r="L29" i="80"/>
  <c r="M29" i="80" s="1"/>
  <c r="U98" i="80"/>
  <c r="V123" i="80"/>
  <c r="G195" i="80"/>
  <c r="P55" i="80"/>
  <c r="J153" i="80"/>
  <c r="Q160" i="80"/>
  <c r="N270" i="80"/>
  <c r="W190" i="80"/>
  <c r="W203" i="80"/>
  <c r="P99" i="80"/>
  <c r="W80" i="80"/>
  <c r="Q166" i="80"/>
  <c r="V42" i="80"/>
  <c r="F288" i="80"/>
  <c r="P26" i="80"/>
  <c r="J288" i="80"/>
  <c r="G26" i="80"/>
  <c r="E215" i="80"/>
  <c r="U203" i="80"/>
  <c r="L31" i="80"/>
  <c r="M31" i="80" s="1"/>
  <c r="Q22" i="80"/>
  <c r="E22" i="80"/>
  <c r="CW26" i="92"/>
  <c r="CW32" i="92"/>
  <c r="CW29" i="92"/>
  <c r="CW27" i="92"/>
  <c r="CW23" i="92"/>
  <c r="CW25" i="92"/>
  <c r="CW33" i="92"/>
  <c r="CW36" i="92"/>
  <c r="CW19" i="92"/>
  <c r="CW24" i="92"/>
  <c r="CW22" i="92"/>
  <c r="CW20" i="92"/>
  <c r="CW28" i="92"/>
  <c r="CW30" i="92"/>
  <c r="CW21" i="92"/>
  <c r="P199" i="80"/>
  <c r="L53" i="80"/>
  <c r="M53" i="80" s="1"/>
  <c r="U93" i="80"/>
  <c r="L236" i="80"/>
  <c r="M236" i="80" s="1"/>
  <c r="K31" i="80"/>
  <c r="N94" i="80"/>
  <c r="V203" i="80"/>
  <c r="Q172" i="80"/>
  <c r="H26" i="80"/>
  <c r="G31" i="80"/>
  <c r="L285" i="80"/>
  <c r="M285" i="80" s="1"/>
  <c r="W13" i="80"/>
  <c r="V59" i="80"/>
  <c r="H206" i="80"/>
  <c r="U75" i="80"/>
  <c r="U199" i="80"/>
  <c r="E148" i="80"/>
  <c r="J125" i="80"/>
  <c r="P125" i="80"/>
  <c r="U195" i="80"/>
  <c r="V276" i="80"/>
  <c r="U188" i="80"/>
  <c r="H180" i="80"/>
  <c r="L215" i="80"/>
  <c r="M215" i="80" s="1"/>
  <c r="L188" i="80"/>
  <c r="M188" i="80" s="1"/>
  <c r="H97" i="80"/>
  <c r="L148" i="80"/>
  <c r="M148" i="80" s="1"/>
  <c r="E156" i="80"/>
  <c r="K101" i="80"/>
  <c r="H171" i="80"/>
  <c r="Q57" i="80"/>
  <c r="L199" i="80"/>
  <c r="M199" i="80" s="1"/>
  <c r="J243" i="80"/>
  <c r="J277" i="80"/>
  <c r="J87" i="80"/>
  <c r="J78" i="80"/>
  <c r="G224" i="80"/>
  <c r="J161" i="80"/>
  <c r="K188" i="80"/>
  <c r="P101" i="80"/>
  <c r="K178" i="80"/>
  <c r="V172" i="80"/>
  <c r="V128" i="80"/>
  <c r="K57" i="80"/>
  <c r="Q168" i="80"/>
  <c r="N97" i="80"/>
  <c r="H55" i="80"/>
  <c r="L55" i="80"/>
  <c r="M55" i="80" s="1"/>
  <c r="H92" i="80"/>
  <c r="K159" i="80"/>
  <c r="F290" i="80"/>
  <c r="L243" i="80"/>
  <c r="M243" i="80" s="1"/>
  <c r="W178" i="80"/>
  <c r="J254" i="80"/>
  <c r="L219" i="80"/>
  <c r="M219" i="80" s="1"/>
  <c r="E243" i="80"/>
  <c r="H72" i="80"/>
  <c r="J283" i="80"/>
  <c r="F73" i="80"/>
  <c r="L22" i="80"/>
  <c r="M22" i="80" s="1"/>
  <c r="E288" i="80"/>
  <c r="E158" i="80"/>
  <c r="G152" i="80"/>
  <c r="P90" i="80"/>
  <c r="W206" i="80"/>
  <c r="U180" i="80"/>
  <c r="H215" i="80"/>
  <c r="G288" i="80"/>
  <c r="L54" i="80"/>
  <c r="M54" i="80" s="1"/>
  <c r="Q152" i="80"/>
  <c r="E43" i="80"/>
  <c r="G101" i="80"/>
  <c r="K236" i="80"/>
  <c r="F145" i="80"/>
  <c r="H15" i="80"/>
  <c r="E41" i="80"/>
  <c r="V168" i="80"/>
  <c r="W261" i="80"/>
  <c r="L72" i="80"/>
  <c r="M72" i="80" s="1"/>
  <c r="W195" i="80"/>
  <c r="F52" i="80"/>
  <c r="E19" i="80"/>
  <c r="V19" i="80"/>
  <c r="K239" i="80"/>
  <c r="N52" i="80"/>
  <c r="N184" i="80"/>
  <c r="G13" i="80"/>
  <c r="Q90" i="80"/>
  <c r="G184" i="80"/>
  <c r="H270" i="80"/>
  <c r="U288" i="80"/>
  <c r="E13" i="80"/>
  <c r="P184" i="80"/>
  <c r="E224" i="80"/>
  <c r="J178" i="80"/>
  <c r="G270" i="80"/>
  <c r="P178" i="80"/>
  <c r="U163" i="80"/>
  <c r="F22" i="80"/>
  <c r="W71" i="80"/>
  <c r="U42" i="80"/>
  <c r="L290" i="80"/>
  <c r="M290" i="80" s="1"/>
  <c r="K163" i="80"/>
  <c r="J55" i="80"/>
  <c r="L90" i="80"/>
  <c r="M90" i="80" s="1"/>
  <c r="V93" i="80"/>
  <c r="H166" i="80"/>
  <c r="Q288" i="80"/>
  <c r="P288" i="80"/>
  <c r="V22" i="80"/>
  <c r="P180" i="80"/>
  <c r="F152" i="80"/>
  <c r="Q145" i="80"/>
  <c r="U67" i="80"/>
  <c r="L158" i="80"/>
  <c r="M158" i="80" s="1"/>
  <c r="E54" i="80"/>
  <c r="H236" i="80"/>
  <c r="H90" i="80"/>
  <c r="V261" i="80"/>
  <c r="J160" i="80"/>
  <c r="J290" i="80"/>
  <c r="V217" i="80"/>
  <c r="U190" i="80"/>
  <c r="H288" i="80"/>
  <c r="U158" i="80"/>
  <c r="G90" i="80"/>
  <c r="P215" i="80"/>
  <c r="W166" i="80"/>
  <c r="E270" i="80"/>
  <c r="S81" i="80"/>
  <c r="J184" i="80"/>
  <c r="K54" i="80"/>
  <c r="V161" i="80"/>
  <c r="U290" i="80"/>
  <c r="E178" i="80"/>
  <c r="V259" i="80"/>
  <c r="K153" i="80"/>
  <c r="P290" i="80"/>
  <c r="E163" i="80"/>
  <c r="H153" i="80"/>
  <c r="Q153" i="80"/>
  <c r="N180" i="80"/>
  <c r="H54" i="80"/>
  <c r="G180" i="80"/>
  <c r="Q283" i="80"/>
  <c r="U22" i="80"/>
  <c r="Q112" i="80"/>
  <c r="L93" i="80"/>
  <c r="M93" i="80" s="1"/>
  <c r="L99" i="80"/>
  <c r="M99" i="80" s="1"/>
  <c r="K93" i="80"/>
  <c r="H184" i="80"/>
  <c r="K81" i="80"/>
  <c r="U270" i="80"/>
  <c r="K22" i="80"/>
  <c r="G178" i="80"/>
  <c r="N190" i="80"/>
  <c r="J145" i="80"/>
  <c r="H290" i="80"/>
  <c r="P190" i="80"/>
  <c r="V71" i="80"/>
  <c r="P152" i="80"/>
  <c r="K42" i="80"/>
  <c r="U26" i="80"/>
  <c r="E260" i="80"/>
  <c r="H172" i="80"/>
  <c r="P163" i="80"/>
  <c r="L153" i="80"/>
  <c r="M153" i="80" s="1"/>
  <c r="L190" i="80"/>
  <c r="M190" i="80" s="1"/>
  <c r="J166" i="80"/>
  <c r="E180" i="80"/>
  <c r="L178" i="80"/>
  <c r="M178" i="80" s="1"/>
  <c r="N163" i="80"/>
  <c r="U55" i="80"/>
  <c r="V283" i="80"/>
  <c r="Q190" i="80"/>
  <c r="U54" i="80"/>
  <c r="E55" i="80"/>
  <c r="J103" i="80"/>
  <c r="L26" i="80"/>
  <c r="M26" i="80" s="1"/>
  <c r="N95" i="80"/>
  <c r="Q114" i="80"/>
  <c r="E256" i="80"/>
  <c r="V26" i="80"/>
  <c r="U160" i="80"/>
  <c r="N219" i="80"/>
  <c r="N269" i="80"/>
  <c r="Q269" i="80"/>
  <c r="J139" i="80"/>
  <c r="S205" i="80"/>
  <c r="K288" i="80"/>
  <c r="N22" i="80"/>
  <c r="S136" i="80"/>
  <c r="E103" i="80"/>
  <c r="U139" i="80"/>
  <c r="S37" i="80"/>
  <c r="K269" i="80"/>
  <c r="P48" i="80"/>
  <c r="L234" i="80"/>
  <c r="M234" i="80" s="1"/>
  <c r="U231" i="80"/>
  <c r="G125" i="80"/>
  <c r="Q267" i="80"/>
  <c r="W139" i="80"/>
  <c r="L51" i="80"/>
  <c r="M51" i="80" s="1"/>
  <c r="Q72" i="80"/>
  <c r="L156" i="80"/>
  <c r="M156" i="80" s="1"/>
  <c r="G115" i="80"/>
  <c r="P259" i="80"/>
  <c r="J114" i="80"/>
  <c r="L277" i="80"/>
  <c r="M277" i="80" s="1"/>
  <c r="P94" i="80"/>
  <c r="H43" i="80"/>
  <c r="N125" i="80"/>
  <c r="P266" i="80"/>
  <c r="H273" i="80"/>
  <c r="K169" i="80"/>
  <c r="H139" i="80"/>
  <c r="G232" i="80"/>
  <c r="J238" i="80"/>
  <c r="P158" i="80"/>
  <c r="H221" i="80"/>
  <c r="N31" i="80"/>
  <c r="K256" i="80"/>
  <c r="K103" i="80"/>
  <c r="V166" i="80"/>
  <c r="V14" i="80"/>
  <c r="G95" i="80"/>
  <c r="H277" i="80"/>
  <c r="P277" i="80"/>
  <c r="L97" i="80"/>
  <c r="M97" i="80" s="1"/>
  <c r="H93" i="80"/>
  <c r="N234" i="80"/>
  <c r="Q55" i="80"/>
  <c r="Q217" i="80"/>
  <c r="G94" i="80"/>
  <c r="E269" i="80"/>
  <c r="U99" i="80"/>
  <c r="V269" i="80"/>
  <c r="K68" i="80"/>
  <c r="E199" i="80"/>
  <c r="V274" i="80"/>
  <c r="L92" i="80"/>
  <c r="M92" i="80" s="1"/>
  <c r="N92" i="80"/>
  <c r="G231" i="80"/>
  <c r="K20" i="80"/>
  <c r="Q43" i="80"/>
  <c r="Q189" i="80"/>
  <c r="L261" i="80"/>
  <c r="M261" i="80" s="1"/>
  <c r="K53" i="80"/>
  <c r="E57" i="80"/>
  <c r="H200" i="80"/>
  <c r="H118" i="80"/>
  <c r="H209" i="80"/>
  <c r="Q66" i="80"/>
  <c r="H100" i="80"/>
  <c r="V238" i="80"/>
  <c r="G277" i="80"/>
  <c r="H157" i="80"/>
  <c r="H128" i="80"/>
  <c r="N68" i="80"/>
  <c r="W276" i="80"/>
  <c r="F139" i="80"/>
  <c r="H68" i="80"/>
  <c r="H169" i="80"/>
  <c r="J234" i="80"/>
  <c r="N159" i="80"/>
  <c r="J230" i="80"/>
  <c r="S58" i="80"/>
  <c r="E94" i="80"/>
  <c r="H75" i="80"/>
  <c r="K95" i="80"/>
  <c r="G22" i="80"/>
  <c r="F110" i="80"/>
  <c r="E188" i="80"/>
  <c r="H247" i="80"/>
  <c r="J182" i="80"/>
  <c r="N103" i="80"/>
  <c r="H234" i="80"/>
  <c r="V68" i="80"/>
  <c r="E274" i="80"/>
  <c r="J94" i="80"/>
  <c r="H156" i="80"/>
  <c r="S242" i="80"/>
  <c r="Q182" i="80"/>
  <c r="E15" i="80"/>
  <c r="N132" i="80"/>
  <c r="P95" i="80"/>
  <c r="L95" i="80"/>
  <c r="M95" i="80" s="1"/>
  <c r="P169" i="80"/>
  <c r="U31" i="80"/>
  <c r="V175" i="80"/>
  <c r="E132" i="80"/>
  <c r="E125" i="80"/>
  <c r="K125" i="80"/>
  <c r="E277" i="80"/>
  <c r="V87" i="80"/>
  <c r="Q113" i="80"/>
  <c r="P234" i="80"/>
  <c r="V221" i="80"/>
  <c r="G91" i="80"/>
  <c r="U156" i="80"/>
  <c r="U243" i="80"/>
  <c r="N148" i="80"/>
  <c r="G188" i="80"/>
  <c r="H115" i="80"/>
  <c r="U115" i="80"/>
  <c r="E100" i="80"/>
  <c r="Q77" i="80"/>
  <c r="H160" i="80"/>
  <c r="V170" i="80"/>
  <c r="G190" i="80"/>
  <c r="Q239" i="80"/>
  <c r="E282" i="80"/>
  <c r="Q266" i="80"/>
  <c r="W53" i="80"/>
  <c r="H127" i="80"/>
  <c r="P282" i="80"/>
  <c r="G53" i="80"/>
  <c r="H190" i="80"/>
  <c r="N99" i="80"/>
  <c r="N75" i="80"/>
  <c r="G134" i="80"/>
  <c r="P200" i="80"/>
  <c r="G56" i="80"/>
  <c r="E91" i="80"/>
  <c r="P115" i="80"/>
  <c r="G24" i="80"/>
  <c r="V24" i="80"/>
  <c r="J171" i="80"/>
  <c r="J224" i="80"/>
  <c r="L209" i="80"/>
  <c r="M209" i="80" s="1"/>
  <c r="J133" i="80"/>
  <c r="N55" i="80"/>
  <c r="V140" i="80"/>
  <c r="Q177" i="80"/>
  <c r="P103" i="80"/>
  <c r="E53" i="80"/>
  <c r="N15" i="80"/>
  <c r="S247" i="80"/>
  <c r="E92" i="80"/>
  <c r="J285" i="80"/>
  <c r="W277" i="80"/>
  <c r="P261" i="80"/>
  <c r="N139" i="80"/>
  <c r="E72" i="80"/>
  <c r="E153" i="80"/>
  <c r="K285" i="80"/>
  <c r="H230" i="80"/>
  <c r="H103" i="80"/>
  <c r="H101" i="80"/>
  <c r="E169" i="80"/>
  <c r="Q139" i="80"/>
  <c r="K72" i="80"/>
  <c r="J45" i="80"/>
  <c r="V194" i="80"/>
  <c r="S98" i="80"/>
  <c r="Q26" i="80"/>
  <c r="K94" i="80"/>
  <c r="H20" i="80"/>
  <c r="H125" i="80"/>
  <c r="Q185" i="80"/>
  <c r="P34" i="80"/>
  <c r="G128" i="80"/>
  <c r="G52" i="80"/>
  <c r="F68" i="80"/>
  <c r="L32" i="80"/>
  <c r="M32" i="80" s="1"/>
  <c r="K32" i="80"/>
  <c r="Q80" i="80"/>
  <c r="K185" i="80"/>
  <c r="N101" i="80"/>
  <c r="F169" i="80"/>
  <c r="U43" i="80"/>
  <c r="G127" i="80"/>
  <c r="K195" i="80"/>
  <c r="Q274" i="80"/>
  <c r="J274" i="80"/>
  <c r="L282" i="80"/>
  <c r="M282" i="80" s="1"/>
  <c r="N54" i="80"/>
  <c r="E78" i="80"/>
  <c r="G158" i="80"/>
  <c r="W273" i="80"/>
  <c r="K152" i="80"/>
  <c r="E101" i="80"/>
  <c r="P264" i="80"/>
  <c r="G200" i="80"/>
  <c r="P52" i="80"/>
  <c r="F171" i="80"/>
  <c r="G216" i="80"/>
  <c r="P230" i="80"/>
  <c r="V237" i="80"/>
  <c r="K58" i="80"/>
  <c r="N63" i="80"/>
  <c r="Q59" i="80"/>
  <c r="V111" i="80"/>
  <c r="E73" i="80"/>
  <c r="W21" i="80"/>
  <c r="U85" i="80"/>
  <c r="E212" i="80"/>
  <c r="U39" i="80"/>
  <c r="H144" i="80"/>
  <c r="E263" i="80"/>
  <c r="E26" i="80"/>
  <c r="H199" i="80"/>
  <c r="G199" i="80"/>
  <c r="K132" i="80"/>
  <c r="V267" i="80"/>
  <c r="G169" i="80"/>
  <c r="U128" i="80"/>
  <c r="U148" i="80"/>
  <c r="N224" i="80"/>
  <c r="L195" i="80"/>
  <c r="M195" i="80" s="1"/>
  <c r="S150" i="80"/>
  <c r="W151" i="80"/>
  <c r="J176" i="80"/>
  <c r="E179" i="80"/>
  <c r="W274" i="80"/>
  <c r="F127" i="80"/>
  <c r="P92" i="80"/>
  <c r="H269" i="80"/>
  <c r="V231" i="80"/>
  <c r="H132" i="80"/>
  <c r="V198" i="80"/>
  <c r="Q53" i="80"/>
  <c r="V249" i="80"/>
  <c r="Q234" i="80"/>
  <c r="K41" i="80"/>
  <c r="K118" i="80"/>
  <c r="J255" i="80"/>
  <c r="P54" i="80"/>
  <c r="F102" i="80"/>
  <c r="G157" i="80"/>
  <c r="J57" i="80"/>
  <c r="H73" i="80"/>
  <c r="P41" i="80"/>
  <c r="P72" i="80"/>
  <c r="E52" i="80"/>
  <c r="P68" i="80"/>
  <c r="L91" i="80"/>
  <c r="M91" i="80" s="1"/>
  <c r="H91" i="80"/>
  <c r="P156" i="80"/>
  <c r="K243" i="80"/>
  <c r="K202" i="80"/>
  <c r="G148" i="80"/>
  <c r="J188" i="80"/>
  <c r="U171" i="80"/>
  <c r="Q164" i="80"/>
  <c r="G76" i="80"/>
  <c r="P168" i="80"/>
  <c r="H179" i="80"/>
  <c r="N127" i="80"/>
  <c r="L180" i="80"/>
  <c r="M180" i="80" s="1"/>
  <c r="P57" i="80"/>
  <c r="P128" i="80"/>
  <c r="N72" i="80"/>
  <c r="W270" i="80"/>
  <c r="W78" i="80"/>
  <c r="V66" i="80"/>
  <c r="F57" i="80"/>
  <c r="E128" i="80"/>
  <c r="U90" i="80"/>
  <c r="J246" i="80"/>
  <c r="J62" i="80"/>
  <c r="J76" i="80"/>
  <c r="G211" i="80"/>
  <c r="Q211" i="80"/>
  <c r="S164" i="80"/>
  <c r="S89" i="80"/>
  <c r="F31" i="80"/>
  <c r="P285" i="80"/>
  <c r="N13" i="80"/>
  <c r="H282" i="80"/>
  <c r="L103" i="80"/>
  <c r="M103" i="80" s="1"/>
  <c r="U274" i="80"/>
  <c r="H261" i="80"/>
  <c r="L184" i="80"/>
  <c r="M184" i="80" s="1"/>
  <c r="G269" i="80"/>
  <c r="V53" i="80"/>
  <c r="N169" i="80"/>
  <c r="F200" i="80"/>
  <c r="J221" i="80"/>
  <c r="K51" i="80"/>
  <c r="J72" i="80"/>
  <c r="E115" i="80"/>
  <c r="P216" i="80"/>
  <c r="P195" i="80"/>
  <c r="L163" i="80"/>
  <c r="M163" i="80" s="1"/>
  <c r="N153" i="80"/>
  <c r="G132" i="80"/>
  <c r="H102" i="80"/>
  <c r="K43" i="80"/>
  <c r="U244" i="80"/>
  <c r="U239" i="80"/>
  <c r="Q159" i="80"/>
  <c r="Q133" i="80"/>
  <c r="L235" i="80"/>
  <c r="M235" i="80" s="1"/>
  <c r="J187" i="80"/>
  <c r="P58" i="80"/>
  <c r="Q141" i="80"/>
  <c r="H279" i="80"/>
  <c r="G279" i="80"/>
  <c r="G48" i="80"/>
  <c r="J179" i="80"/>
  <c r="U125" i="80"/>
  <c r="Q117" i="80"/>
  <c r="P236" i="80"/>
  <c r="H34" i="80"/>
  <c r="G234" i="80"/>
  <c r="Q284" i="80"/>
  <c r="Q176" i="80"/>
  <c r="Q109" i="80"/>
  <c r="Q19" i="80"/>
  <c r="E31" i="80"/>
  <c r="F285" i="80"/>
  <c r="U282" i="80"/>
  <c r="N288" i="80"/>
  <c r="W124" i="80"/>
  <c r="L132" i="80"/>
  <c r="M132" i="80" s="1"/>
  <c r="Q125" i="80"/>
  <c r="K75" i="80"/>
  <c r="V266" i="80"/>
  <c r="H95" i="80"/>
  <c r="F158" i="80"/>
  <c r="J59" i="80"/>
  <c r="J152" i="80"/>
  <c r="Q128" i="80"/>
  <c r="G145" i="80"/>
  <c r="F115" i="80"/>
  <c r="K100" i="80"/>
  <c r="V25" i="80"/>
  <c r="E175" i="80"/>
  <c r="Q231" i="80"/>
  <c r="G20" i="80"/>
  <c r="L83" i="80"/>
  <c r="M83" i="80" s="1"/>
  <c r="V189" i="80"/>
  <c r="F157" i="80"/>
  <c r="W66" i="80"/>
  <c r="N117" i="80"/>
  <c r="J165" i="80"/>
  <c r="L169" i="80"/>
  <c r="M169" i="80" s="1"/>
  <c r="E264" i="80"/>
  <c r="U34" i="80"/>
  <c r="H134" i="80"/>
  <c r="Q244" i="80"/>
  <c r="K244" i="80"/>
  <c r="L73" i="80"/>
  <c r="M73" i="80" s="1"/>
  <c r="G68" i="80"/>
  <c r="N173" i="80"/>
  <c r="U173" i="80"/>
  <c r="U202" i="80"/>
  <c r="W150" i="80"/>
  <c r="J88" i="80"/>
  <c r="N171" i="80"/>
  <c r="E164" i="80"/>
  <c r="J164" i="80"/>
  <c r="N62" i="80"/>
  <c r="L247" i="80"/>
  <c r="M247" i="80" s="1"/>
  <c r="H159" i="80"/>
  <c r="Q82" i="80"/>
  <c r="G153" i="80"/>
  <c r="N290" i="80"/>
  <c r="P186" i="80"/>
  <c r="E192" i="80"/>
  <c r="K190" i="80"/>
  <c r="E127" i="80"/>
  <c r="Q238" i="80"/>
  <c r="E75" i="80"/>
  <c r="N198" i="80"/>
  <c r="Q277" i="80"/>
  <c r="H51" i="80"/>
  <c r="W226" i="80"/>
  <c r="U118" i="80"/>
  <c r="N282" i="80"/>
  <c r="J266" i="80"/>
  <c r="P78" i="80"/>
  <c r="H198" i="80"/>
  <c r="J15" i="80"/>
  <c r="G179" i="80"/>
  <c r="L179" i="80"/>
  <c r="M179" i="80" s="1"/>
  <c r="J127" i="80"/>
  <c r="U285" i="80"/>
  <c r="Q94" i="80"/>
  <c r="Q83" i="80"/>
  <c r="P132" i="80"/>
  <c r="N102" i="80"/>
  <c r="N43" i="80"/>
  <c r="L125" i="80"/>
  <c r="M125" i="80" s="1"/>
  <c r="N277" i="80"/>
  <c r="Q273" i="80"/>
  <c r="J261" i="80"/>
  <c r="J40" i="80"/>
  <c r="E97" i="80"/>
  <c r="Q249" i="80"/>
  <c r="P139" i="80"/>
  <c r="U134" i="80"/>
  <c r="V200" i="80"/>
  <c r="U200" i="80"/>
  <c r="U41" i="80"/>
  <c r="N91" i="80"/>
  <c r="V268" i="80"/>
  <c r="V188" i="80"/>
  <c r="P24" i="80"/>
  <c r="L270" i="80"/>
  <c r="M270" i="80" s="1"/>
  <c r="N100" i="80"/>
  <c r="G247" i="80"/>
  <c r="H32" i="80"/>
  <c r="E159" i="80"/>
  <c r="U170" i="80"/>
  <c r="V142" i="80"/>
  <c r="V34" i="80"/>
  <c r="W113" i="80"/>
  <c r="P73" i="80"/>
  <c r="L15" i="80"/>
  <c r="M15" i="80" s="1"/>
  <c r="J265" i="80"/>
  <c r="Q243" i="80"/>
  <c r="V129" i="80"/>
  <c r="Q148" i="80"/>
  <c r="K148" i="80"/>
  <c r="H188" i="80"/>
  <c r="K115" i="80"/>
  <c r="N178" i="80"/>
  <c r="W283" i="80"/>
  <c r="Q137" i="80"/>
  <c r="U32" i="80"/>
  <c r="N32" i="80"/>
  <c r="G118" i="80"/>
  <c r="J110" i="80"/>
  <c r="K110" i="80"/>
  <c r="G186" i="80"/>
  <c r="L186" i="80"/>
  <c r="M186" i="80" s="1"/>
  <c r="P46" i="80"/>
  <c r="N217" i="80"/>
  <c r="K279" i="80"/>
  <c r="H232" i="80"/>
  <c r="P260" i="80"/>
  <c r="N142" i="80"/>
  <c r="U164" i="80"/>
  <c r="U222" i="80"/>
  <c r="H31" i="80"/>
  <c r="Q285" i="80"/>
  <c r="J269" i="80"/>
  <c r="J189" i="80"/>
  <c r="J53" i="80"/>
  <c r="J66" i="80"/>
  <c r="V182" i="80"/>
  <c r="J249" i="80"/>
  <c r="E234" i="80"/>
  <c r="U234" i="80"/>
  <c r="J91" i="80"/>
  <c r="E202" i="80"/>
  <c r="Q188" i="80"/>
  <c r="U178" i="80"/>
  <c r="G100" i="80"/>
  <c r="G62" i="80"/>
  <c r="H195" i="80"/>
  <c r="P153" i="80"/>
  <c r="G290" i="80"/>
  <c r="K55" i="80"/>
  <c r="Q40" i="80"/>
  <c r="S147" i="80"/>
  <c r="U262" i="80"/>
  <c r="Q280" i="80"/>
  <c r="J137" i="80"/>
  <c r="J60" i="80"/>
  <c r="U76" i="80"/>
  <c r="E146" i="80"/>
  <c r="W38" i="80"/>
  <c r="V104" i="80"/>
  <c r="G212" i="80"/>
  <c r="E252" i="80"/>
  <c r="G252" i="80"/>
  <c r="N110" i="80"/>
  <c r="F186" i="80"/>
  <c r="H39" i="80"/>
  <c r="L39" i="80"/>
  <c r="M39" i="80" s="1"/>
  <c r="V33" i="80"/>
  <c r="G33" i="80"/>
  <c r="L205" i="80"/>
  <c r="M205" i="80" s="1"/>
  <c r="U58" i="80"/>
  <c r="E242" i="80"/>
  <c r="L141" i="80"/>
  <c r="M141" i="80" s="1"/>
  <c r="U140" i="80"/>
  <c r="L210" i="80"/>
  <c r="M210" i="80" s="1"/>
  <c r="K126" i="80"/>
  <c r="E232" i="80"/>
  <c r="U232" i="80"/>
  <c r="P191" i="80"/>
  <c r="J44" i="80"/>
  <c r="Q44" i="80"/>
  <c r="Q20" i="80"/>
  <c r="E231" i="80"/>
  <c r="L20" i="80"/>
  <c r="M20" i="80" s="1"/>
  <c r="V20" i="80"/>
  <c r="G83" i="80"/>
  <c r="V108" i="80"/>
  <c r="Q78" i="80"/>
  <c r="J86" i="80"/>
  <c r="E273" i="80"/>
  <c r="L157" i="80"/>
  <c r="M157" i="80" s="1"/>
  <c r="K165" i="80"/>
  <c r="G65" i="80"/>
  <c r="N264" i="80"/>
  <c r="K264" i="80"/>
  <c r="U57" i="80"/>
  <c r="N34" i="80"/>
  <c r="L34" i="80"/>
  <c r="M34" i="80" s="1"/>
  <c r="V113" i="80"/>
  <c r="N128" i="80"/>
  <c r="P244" i="80"/>
  <c r="G244" i="80"/>
  <c r="H244" i="80"/>
  <c r="H175" i="80"/>
  <c r="W275" i="80"/>
  <c r="J240" i="80"/>
  <c r="N157" i="80"/>
  <c r="N244" i="80"/>
  <c r="U147" i="80"/>
  <c r="G173" i="80"/>
  <c r="J268" i="80"/>
  <c r="K262" i="80"/>
  <c r="L202" i="80"/>
  <c r="M202" i="80" s="1"/>
  <c r="V85" i="80"/>
  <c r="L164" i="80"/>
  <c r="M164" i="80" s="1"/>
  <c r="U241" i="80"/>
  <c r="Q76" i="80"/>
  <c r="N146" i="80"/>
  <c r="J82" i="80"/>
  <c r="F18" i="80"/>
  <c r="U38" i="80"/>
  <c r="H122" i="80"/>
  <c r="K225" i="80"/>
  <c r="Q131" i="80"/>
  <c r="H252" i="80"/>
  <c r="H110" i="80"/>
  <c r="N186" i="80"/>
  <c r="J46" i="80"/>
  <c r="J192" i="80"/>
  <c r="P39" i="80"/>
  <c r="H205" i="80"/>
  <c r="Q210" i="80"/>
  <c r="Q130" i="80"/>
  <c r="J130" i="80"/>
  <c r="G35" i="80"/>
  <c r="N287" i="80"/>
  <c r="U175" i="80"/>
  <c r="P20" i="80"/>
  <c r="K240" i="80"/>
  <c r="Q108" i="80"/>
  <c r="U50" i="80"/>
  <c r="U157" i="80"/>
  <c r="Q157" i="80"/>
  <c r="Q169" i="80"/>
  <c r="G264" i="80"/>
  <c r="Q134" i="80"/>
  <c r="N134" i="80"/>
  <c r="N73" i="80"/>
  <c r="E51" i="80"/>
  <c r="L56" i="80"/>
  <c r="M56" i="80" s="1"/>
  <c r="Q56" i="80"/>
  <c r="Q52" i="80"/>
  <c r="K91" i="80"/>
  <c r="J280" i="80"/>
  <c r="W88" i="80"/>
  <c r="Q88" i="80"/>
  <c r="L88" i="80"/>
  <c r="M88" i="80" s="1"/>
  <c r="K171" i="80"/>
  <c r="N85" i="80"/>
  <c r="P164" i="80"/>
  <c r="S106" i="80"/>
  <c r="J175" i="80"/>
  <c r="G175" i="80"/>
  <c r="N20" i="80"/>
  <c r="P102" i="80"/>
  <c r="E102" i="80"/>
  <c r="F43" i="80"/>
  <c r="W108" i="80"/>
  <c r="Q86" i="80"/>
  <c r="V63" i="80"/>
  <c r="P157" i="80"/>
  <c r="H65" i="80"/>
  <c r="G57" i="80"/>
  <c r="P134" i="80"/>
  <c r="L134" i="80"/>
  <c r="M134" i="80" s="1"/>
  <c r="L244" i="80"/>
  <c r="M244" i="80" s="1"/>
  <c r="K200" i="80"/>
  <c r="V56" i="80"/>
  <c r="J21" i="80"/>
  <c r="V150" i="80"/>
  <c r="E289" i="80"/>
  <c r="N164" i="80"/>
  <c r="L137" i="80"/>
  <c r="M137" i="80" s="1"/>
  <c r="W241" i="80"/>
  <c r="V167" i="80"/>
  <c r="H29" i="80"/>
  <c r="N29" i="80"/>
  <c r="N76" i="80"/>
  <c r="L82" i="80"/>
  <c r="M82" i="80" s="1"/>
  <c r="W82" i="80"/>
  <c r="V109" i="80"/>
  <c r="H18" i="80"/>
  <c r="G18" i="80"/>
  <c r="P179" i="80"/>
  <c r="N175" i="80"/>
  <c r="L231" i="80"/>
  <c r="M231" i="80" s="1"/>
  <c r="J231" i="80"/>
  <c r="E20" i="80"/>
  <c r="V102" i="80"/>
  <c r="L102" i="80"/>
  <c r="M102" i="80" s="1"/>
  <c r="G43" i="80"/>
  <c r="J43" i="80"/>
  <c r="Q240" i="80"/>
  <c r="S50" i="80"/>
  <c r="V117" i="80"/>
  <c r="U281" i="80"/>
  <c r="L57" i="80"/>
  <c r="M57" i="80" s="1"/>
  <c r="J113" i="80"/>
  <c r="J134" i="80"/>
  <c r="K128" i="80"/>
  <c r="E244" i="80"/>
  <c r="H56" i="80"/>
  <c r="K52" i="80"/>
  <c r="J173" i="80"/>
  <c r="P262" i="80"/>
  <c r="F202" i="80"/>
  <c r="Q21" i="80"/>
  <c r="Q246" i="80"/>
  <c r="Q150" i="80"/>
  <c r="P188" i="80"/>
  <c r="W280" i="80"/>
  <c r="J24" i="80"/>
  <c r="K289" i="80"/>
  <c r="K231" i="80"/>
  <c r="P117" i="80"/>
  <c r="P65" i="80"/>
  <c r="E200" i="80"/>
  <c r="L173" i="80"/>
  <c r="M173" i="80" s="1"/>
  <c r="L262" i="80"/>
  <c r="M262" i="80" s="1"/>
  <c r="N202" i="80"/>
  <c r="J289" i="80"/>
  <c r="Q289" i="80"/>
  <c r="G164" i="80"/>
  <c r="Q60" i="80"/>
  <c r="N167" i="80"/>
  <c r="H146" i="80"/>
  <c r="Q25" i="80"/>
  <c r="N38" i="80"/>
  <c r="G38" i="80"/>
  <c r="H38" i="80"/>
  <c r="W104" i="80"/>
  <c r="J122" i="80"/>
  <c r="H212" i="80"/>
  <c r="K186" i="80"/>
  <c r="E205" i="80"/>
  <c r="V84" i="80"/>
  <c r="G210" i="80"/>
  <c r="N126" i="80"/>
  <c r="F287" i="80"/>
  <c r="K44" i="80"/>
  <c r="U44" i="80"/>
  <c r="K179" i="80"/>
  <c r="P127" i="80"/>
  <c r="U92" i="80"/>
  <c r="Q175" i="80"/>
  <c r="F231" i="80"/>
  <c r="J20" i="80"/>
  <c r="V83" i="80"/>
  <c r="K102" i="80"/>
  <c r="V86" i="80"/>
  <c r="J267" i="80"/>
  <c r="N261" i="80"/>
  <c r="J157" i="80"/>
  <c r="Q142" i="80"/>
  <c r="L101" i="80"/>
  <c r="M101" i="80" s="1"/>
  <c r="U101" i="80"/>
  <c r="Q101" i="80"/>
  <c r="N65" i="80"/>
  <c r="G97" i="80"/>
  <c r="L264" i="80"/>
  <c r="M264" i="80" s="1"/>
  <c r="Q264" i="80"/>
  <c r="J128" i="80"/>
  <c r="U73" i="80"/>
  <c r="G289" i="80"/>
  <c r="F164" i="80"/>
  <c r="Q17" i="80"/>
  <c r="K17" i="80"/>
  <c r="Q62" i="80"/>
  <c r="H62" i="80"/>
  <c r="K241" i="80"/>
  <c r="P241" i="80"/>
  <c r="Q216" i="80"/>
  <c r="G32" i="80"/>
  <c r="G29" i="80"/>
  <c r="G159" i="80"/>
  <c r="K146" i="80"/>
  <c r="P146" i="80"/>
  <c r="P209" i="80"/>
  <c r="L230" i="80"/>
  <c r="M230" i="80" s="1"/>
  <c r="P133" i="80"/>
  <c r="K109" i="80"/>
  <c r="P18" i="80"/>
  <c r="K18" i="80"/>
  <c r="S38" i="80"/>
  <c r="N122" i="80"/>
  <c r="N212" i="80"/>
  <c r="W162" i="80"/>
  <c r="N252" i="80"/>
  <c r="Q110" i="80"/>
  <c r="H186" i="80"/>
  <c r="H46" i="80"/>
  <c r="K192" i="80"/>
  <c r="V192" i="80"/>
  <c r="W177" i="80"/>
  <c r="G177" i="80"/>
  <c r="F39" i="80"/>
  <c r="N39" i="80"/>
  <c r="J33" i="80"/>
  <c r="K205" i="80"/>
  <c r="J205" i="80"/>
  <c r="E58" i="80"/>
  <c r="J193" i="80"/>
  <c r="V242" i="80"/>
  <c r="K141" i="80"/>
  <c r="F141" i="80"/>
  <c r="P140" i="80"/>
  <c r="P126" i="80"/>
  <c r="N130" i="80"/>
  <c r="N35" i="80"/>
  <c r="U287" i="80"/>
  <c r="Q191" i="80"/>
  <c r="J271" i="80"/>
  <c r="G36" i="80"/>
  <c r="E36" i="80"/>
  <c r="H44" i="80"/>
  <c r="J197" i="80"/>
  <c r="U197" i="80"/>
  <c r="W16" i="80"/>
  <c r="E61" i="80"/>
  <c r="H61" i="80"/>
  <c r="H196" i="80"/>
  <c r="N136" i="80"/>
  <c r="N105" i="80"/>
  <c r="K48" i="80"/>
  <c r="P222" i="80"/>
  <c r="K222" i="80"/>
  <c r="W229" i="80"/>
  <c r="U107" i="80"/>
  <c r="W245" i="80"/>
  <c r="K151" i="80"/>
  <c r="E223" i="80"/>
  <c r="G223" i="80"/>
  <c r="V223" i="80"/>
  <c r="V89" i="80"/>
  <c r="G16" i="80"/>
  <c r="W228" i="80"/>
  <c r="J64" i="80"/>
  <c r="U136" i="80"/>
  <c r="F48" i="80"/>
  <c r="E151" i="80"/>
  <c r="L227" i="80"/>
  <c r="M227" i="80" s="1"/>
  <c r="S258" i="80"/>
  <c r="Q221" i="80"/>
  <c r="P56" i="80"/>
  <c r="U68" i="80"/>
  <c r="E173" i="80"/>
  <c r="Q268" i="80"/>
  <c r="E262" i="80"/>
  <c r="H21" i="80"/>
  <c r="P148" i="80"/>
  <c r="H148" i="80"/>
  <c r="F188" i="80"/>
  <c r="N280" i="80"/>
  <c r="W115" i="80"/>
  <c r="L100" i="80"/>
  <c r="M100" i="80" s="1"/>
  <c r="V17" i="80"/>
  <c r="L239" i="80"/>
  <c r="M239" i="80" s="1"/>
  <c r="F241" i="80"/>
  <c r="N216" i="80"/>
  <c r="W60" i="80"/>
  <c r="J247" i="80"/>
  <c r="Q224" i="80"/>
  <c r="E32" i="80"/>
  <c r="E29" i="80"/>
  <c r="V159" i="80"/>
  <c r="P76" i="80"/>
  <c r="Q209" i="80"/>
  <c r="K209" i="80"/>
  <c r="K230" i="80"/>
  <c r="E38" i="80"/>
  <c r="P38" i="80"/>
  <c r="L122" i="80"/>
  <c r="M122" i="80" s="1"/>
  <c r="K122" i="80"/>
  <c r="P237" i="80"/>
  <c r="K212" i="80"/>
  <c r="J131" i="80"/>
  <c r="U110" i="80"/>
  <c r="V286" i="80"/>
  <c r="E286" i="80"/>
  <c r="Q46" i="80"/>
  <c r="L192" i="80"/>
  <c r="M192" i="80" s="1"/>
  <c r="J58" i="80"/>
  <c r="U141" i="80"/>
  <c r="U279" i="80"/>
  <c r="Q140" i="80"/>
  <c r="V126" i="80"/>
  <c r="G257" i="80"/>
  <c r="P232" i="80"/>
  <c r="L130" i="80"/>
  <c r="M130" i="80" s="1"/>
  <c r="H35" i="80"/>
  <c r="W272" i="80"/>
  <c r="N191" i="80"/>
  <c r="V271" i="80"/>
  <c r="P36" i="80"/>
  <c r="L36" i="80"/>
  <c r="M36" i="80" s="1"/>
  <c r="E44" i="80"/>
  <c r="H99" i="80"/>
  <c r="W123" i="80"/>
  <c r="N208" i="80"/>
  <c r="G23" i="80"/>
  <c r="K197" i="80"/>
  <c r="K61" i="80"/>
  <c r="V81" i="80"/>
  <c r="E28" i="80"/>
  <c r="N143" i="80"/>
  <c r="N200" i="80"/>
  <c r="G41" i="80"/>
  <c r="E56" i="80"/>
  <c r="N56" i="80"/>
  <c r="U91" i="80"/>
  <c r="Q91" i="80"/>
  <c r="V226" i="80"/>
  <c r="G262" i="80"/>
  <c r="V246" i="80"/>
  <c r="W246" i="80"/>
  <c r="V280" i="80"/>
  <c r="V88" i="80"/>
  <c r="V289" i="80"/>
  <c r="K164" i="80"/>
  <c r="V77" i="80"/>
  <c r="V62" i="80"/>
  <c r="P62" i="80"/>
  <c r="E247" i="80"/>
  <c r="K224" i="80"/>
  <c r="P29" i="80"/>
  <c r="L76" i="80"/>
  <c r="M76" i="80" s="1"/>
  <c r="F76" i="80"/>
  <c r="G146" i="80"/>
  <c r="F209" i="80"/>
  <c r="N230" i="80"/>
  <c r="W133" i="80"/>
  <c r="L38" i="80"/>
  <c r="M38" i="80" s="1"/>
  <c r="Q122" i="80"/>
  <c r="W168" i="80"/>
  <c r="J237" i="80"/>
  <c r="L207" i="80"/>
  <c r="M207" i="80" s="1"/>
  <c r="Q187" i="80"/>
  <c r="Q252" i="80"/>
  <c r="G110" i="80"/>
  <c r="H286" i="80"/>
  <c r="P192" i="80"/>
  <c r="P177" i="80"/>
  <c r="Q39" i="80"/>
  <c r="E39" i="80"/>
  <c r="G58" i="80"/>
  <c r="V250" i="80"/>
  <c r="H193" i="80"/>
  <c r="Q193" i="80"/>
  <c r="U242" i="80"/>
  <c r="P141" i="80"/>
  <c r="N141" i="80"/>
  <c r="K35" i="80"/>
  <c r="G287" i="80"/>
  <c r="K287" i="80"/>
  <c r="L191" i="80"/>
  <c r="M191" i="80" s="1"/>
  <c r="Q271" i="80"/>
  <c r="K36" i="80"/>
  <c r="N44" i="80"/>
  <c r="P197" i="80"/>
  <c r="Q16" i="80"/>
  <c r="G61" i="80"/>
  <c r="N61" i="80"/>
  <c r="E196" i="80"/>
  <c r="J228" i="80"/>
  <c r="H48" i="80"/>
  <c r="L48" i="80"/>
  <c r="M48" i="80" s="1"/>
  <c r="J233" i="80"/>
  <c r="H98" i="80"/>
  <c r="K107" i="80"/>
  <c r="U223" i="80"/>
  <c r="K263" i="80"/>
  <c r="N263" i="80"/>
  <c r="U28" i="80"/>
  <c r="V114" i="80"/>
  <c r="Q23" i="80"/>
  <c r="J284" i="80"/>
  <c r="V284" i="80"/>
  <c r="J116" i="80"/>
  <c r="P136" i="80"/>
  <c r="U144" i="80"/>
  <c r="E48" i="80"/>
  <c r="E213" i="80"/>
  <c r="J98" i="80"/>
  <c r="Q229" i="80"/>
  <c r="L223" i="80"/>
  <c r="M223" i="80" s="1"/>
  <c r="L263" i="80"/>
  <c r="M263" i="80" s="1"/>
  <c r="J89" i="80"/>
  <c r="P23" i="80"/>
  <c r="U258" i="80"/>
  <c r="E195" i="80"/>
  <c r="P159" i="80"/>
  <c r="H76" i="80"/>
  <c r="E76" i="80"/>
  <c r="W146" i="80"/>
  <c r="W211" i="80"/>
  <c r="E209" i="80"/>
  <c r="U230" i="80"/>
  <c r="J25" i="80"/>
  <c r="F82" i="80"/>
  <c r="J109" i="80"/>
  <c r="J18" i="80"/>
  <c r="U122" i="80"/>
  <c r="L252" i="80"/>
  <c r="M252" i="80" s="1"/>
  <c r="U252" i="80"/>
  <c r="U286" i="80"/>
  <c r="G286" i="80"/>
  <c r="J39" i="80"/>
  <c r="N205" i="80"/>
  <c r="N248" i="80"/>
  <c r="P279" i="80"/>
  <c r="V174" i="80"/>
  <c r="U126" i="80"/>
  <c r="K232" i="80"/>
  <c r="L35" i="80"/>
  <c r="M35" i="80" s="1"/>
  <c r="G191" i="80"/>
  <c r="J136" i="80"/>
  <c r="H222" i="80"/>
  <c r="J151" i="80"/>
  <c r="U23" i="80"/>
  <c r="Q227" i="80"/>
  <c r="F201" i="80"/>
  <c r="Q104" i="80"/>
  <c r="E122" i="80"/>
  <c r="V235" i="80"/>
  <c r="V37" i="80"/>
  <c r="N192" i="80"/>
  <c r="H192" i="80"/>
  <c r="N177" i="80"/>
  <c r="P205" i="80"/>
  <c r="G205" i="80"/>
  <c r="F205" i="80"/>
  <c r="V74" i="80"/>
  <c r="J84" i="80"/>
  <c r="L58" i="80"/>
  <c r="M58" i="80" s="1"/>
  <c r="P193" i="80"/>
  <c r="V248" i="80"/>
  <c r="G242" i="80"/>
  <c r="E141" i="80"/>
  <c r="N279" i="80"/>
  <c r="J232" i="80"/>
  <c r="N232" i="80"/>
  <c r="W130" i="80"/>
  <c r="P287" i="80"/>
  <c r="H287" i="80"/>
  <c r="J191" i="80"/>
  <c r="E16" i="80"/>
  <c r="J144" i="80"/>
  <c r="G233" i="80"/>
  <c r="E81" i="80"/>
  <c r="N223" i="80"/>
  <c r="J223" i="80"/>
  <c r="W263" i="80"/>
  <c r="J181" i="80"/>
  <c r="Q28" i="80"/>
  <c r="N23" i="80"/>
  <c r="E116" i="80"/>
  <c r="S163" i="80"/>
  <c r="S209" i="80"/>
  <c r="S122" i="80"/>
  <c r="S151" i="80"/>
  <c r="S274" i="80"/>
  <c r="S195" i="80"/>
  <c r="S134" i="80"/>
  <c r="S97" i="80"/>
  <c r="U224" i="80"/>
  <c r="U179" i="80"/>
  <c r="U20" i="80"/>
  <c r="S244" i="80"/>
  <c r="S31" i="80"/>
  <c r="S236" i="80"/>
  <c r="S289" i="80"/>
  <c r="S101" i="80"/>
  <c r="S132" i="80"/>
  <c r="U215" i="80"/>
  <c r="S152" i="80"/>
  <c r="S290" i="80"/>
  <c r="S243" i="80"/>
  <c r="S127" i="80"/>
  <c r="S200" i="80"/>
  <c r="S73" i="80"/>
  <c r="Q220" i="80"/>
  <c r="S51" i="80"/>
  <c r="S262" i="80"/>
  <c r="U265" i="80"/>
  <c r="V220" i="80"/>
  <c r="S157" i="80"/>
  <c r="S42" i="80"/>
  <c r="S36" i="80"/>
  <c r="S171" i="80"/>
  <c r="S22" i="80"/>
  <c r="U29" i="80"/>
  <c r="S28" i="80"/>
  <c r="S165" i="80"/>
  <c r="S68" i="80"/>
  <c r="S17" i="80"/>
  <c r="U105" i="80"/>
  <c r="J220" i="80"/>
  <c r="U135" i="80"/>
  <c r="S139" i="80"/>
  <c r="S62" i="80"/>
  <c r="N220" i="80"/>
  <c r="S29" i="80"/>
  <c r="S16" i="80"/>
  <c r="S196" i="80"/>
  <c r="S92" i="80"/>
  <c r="S269" i="80"/>
  <c r="J199" i="80"/>
  <c r="F26" i="80"/>
  <c r="U103" i="80"/>
  <c r="Q199" i="80"/>
  <c r="V233" i="80"/>
  <c r="V165" i="80"/>
  <c r="K206" i="80"/>
  <c r="V35" i="80"/>
  <c r="N118" i="80"/>
  <c r="N57" i="80"/>
  <c r="V251" i="80"/>
  <c r="V211" i="80"/>
  <c r="E65" i="80"/>
  <c r="L248" i="80"/>
  <c r="M248" i="80" s="1"/>
  <c r="Q87" i="80"/>
  <c r="N18" i="80"/>
  <c r="E230" i="80"/>
  <c r="H231" i="80"/>
  <c r="L128" i="80"/>
  <c r="M128" i="80" s="1"/>
  <c r="U247" i="80"/>
  <c r="U102" i="80"/>
  <c r="U159" i="80"/>
  <c r="U97" i="80"/>
  <c r="H173" i="80"/>
  <c r="L127" i="80"/>
  <c r="M127" i="80" s="1"/>
  <c r="V60" i="80"/>
  <c r="K286" i="80"/>
  <c r="V281" i="80"/>
  <c r="W142" i="80"/>
  <c r="V185" i="80"/>
  <c r="E139" i="80"/>
  <c r="N231" i="80"/>
  <c r="E118" i="80"/>
  <c r="G202" i="80"/>
  <c r="G44" i="80"/>
  <c r="L212" i="80"/>
  <c r="M212" i="80" s="1"/>
  <c r="K76" i="80"/>
  <c r="G236" i="80"/>
  <c r="G163" i="80"/>
  <c r="E207" i="80"/>
  <c r="K97" i="80"/>
  <c r="L222" i="80"/>
  <c r="M222" i="80" s="1"/>
  <c r="E90" i="80"/>
  <c r="K90" i="80"/>
  <c r="U225" i="80"/>
  <c r="U46" i="80"/>
  <c r="U209" i="80"/>
  <c r="L232" i="80"/>
  <c r="M232" i="80" s="1"/>
  <c r="G45" i="80"/>
  <c r="S100" i="80"/>
  <c r="L224" i="80"/>
  <c r="M224" i="80" s="1"/>
  <c r="N262" i="80"/>
  <c r="U81" i="80"/>
  <c r="V255" i="80"/>
  <c r="V210" i="80"/>
  <c r="W46" i="80"/>
  <c r="V130" i="80"/>
  <c r="W84" i="80"/>
  <c r="N81" i="80"/>
  <c r="W248" i="80"/>
  <c r="V239" i="80"/>
  <c r="W37" i="80"/>
  <c r="V225" i="80"/>
  <c r="W42" i="80"/>
  <c r="V260" i="80"/>
  <c r="K156" i="80"/>
  <c r="E143" i="80"/>
  <c r="P22" i="80"/>
  <c r="G55" i="80"/>
  <c r="G139" i="80"/>
  <c r="F65" i="80"/>
  <c r="G54" i="80"/>
  <c r="F118" i="80"/>
  <c r="K136" i="80"/>
  <c r="F91" i="80"/>
  <c r="F20" i="80"/>
  <c r="G227" i="80"/>
  <c r="L139" i="80"/>
  <c r="M139" i="80" s="1"/>
  <c r="G215" i="80"/>
  <c r="S173" i="80"/>
  <c r="L288" i="80"/>
  <c r="M288" i="80" s="1"/>
  <c r="F173" i="80"/>
  <c r="F38" i="80"/>
  <c r="G192" i="80"/>
  <c r="K277" i="80"/>
  <c r="U277" i="80"/>
  <c r="K29" i="80"/>
  <c r="S105" i="80"/>
  <c r="S141" i="80"/>
  <c r="E176" i="80"/>
  <c r="J17" i="80"/>
  <c r="J273" i="80"/>
  <c r="J52" i="80"/>
  <c r="J90" i="80"/>
  <c r="J185" i="80"/>
  <c r="J216" i="80"/>
  <c r="J209" i="80"/>
  <c r="G238" i="80"/>
  <c r="K45" i="80"/>
  <c r="V95" i="80"/>
  <c r="W44" i="80"/>
  <c r="L43" i="80"/>
  <c r="M43" i="80" s="1"/>
  <c r="H223" i="80"/>
  <c r="N247" i="80"/>
  <c r="H158" i="80"/>
  <c r="H163" i="80"/>
  <c r="S91" i="80"/>
  <c r="F125" i="80"/>
  <c r="U236" i="80"/>
  <c r="S43" i="80"/>
  <c r="U111" i="80"/>
  <c r="F35" i="80"/>
  <c r="G75" i="80"/>
  <c r="G171" i="80"/>
  <c r="E249" i="80"/>
  <c r="P75" i="80"/>
  <c r="U151" i="80"/>
  <c r="N93" i="80"/>
  <c r="K21" i="80"/>
  <c r="E210" i="80"/>
  <c r="K210" i="80"/>
  <c r="H216" i="80"/>
  <c r="Q237" i="80"/>
  <c r="V115" i="80"/>
  <c r="V105" i="80"/>
  <c r="V82" i="80"/>
  <c r="G170" i="80"/>
  <c r="W85" i="80"/>
  <c r="U186" i="80"/>
  <c r="W86" i="80"/>
  <c r="U132" i="80"/>
  <c r="L152" i="80"/>
  <c r="M152" i="80" s="1"/>
  <c r="P247" i="80"/>
  <c r="N197" i="80"/>
  <c r="P43" i="80"/>
  <c r="S102" i="80"/>
  <c r="S146" i="80"/>
  <c r="H164" i="80"/>
  <c r="N90" i="80"/>
  <c r="K177" i="80"/>
  <c r="G209" i="80"/>
  <c r="H262" i="80"/>
  <c r="G81" i="80"/>
  <c r="E110" i="80"/>
  <c r="N26" i="80"/>
  <c r="W59" i="80"/>
  <c r="W23" i="80"/>
  <c r="W173" i="80"/>
  <c r="W196" i="80"/>
  <c r="W269" i="80"/>
  <c r="V78" i="80"/>
  <c r="W271" i="80"/>
  <c r="W238" i="80"/>
  <c r="V257" i="80"/>
  <c r="V48" i="80"/>
  <c r="V272" i="80"/>
  <c r="V240" i="80"/>
  <c r="W210" i="80"/>
  <c r="W83" i="80"/>
  <c r="W107" i="80"/>
  <c r="W145" i="80"/>
  <c r="V228" i="80"/>
  <c r="W194" i="80"/>
  <c r="V290" i="80"/>
  <c r="W93" i="80"/>
  <c r="V94" i="80"/>
  <c r="V125" i="80"/>
  <c r="V164" i="80"/>
  <c r="W198" i="80"/>
  <c r="V202" i="80"/>
  <c r="V91" i="80"/>
  <c r="V13" i="80"/>
  <c r="V141" i="80"/>
  <c r="W25" i="80"/>
  <c r="W279" i="80"/>
  <c r="V265" i="80"/>
  <c r="W165" i="80"/>
  <c r="W227" i="80"/>
  <c r="W281" i="80"/>
  <c r="W43" i="80"/>
  <c r="W163" i="80"/>
  <c r="W141" i="80"/>
  <c r="V57" i="80"/>
  <c r="W64" i="80"/>
  <c r="W81" i="80"/>
  <c r="V270" i="80"/>
  <c r="V224" i="80"/>
  <c r="V97" i="80"/>
  <c r="V275" i="80"/>
  <c r="V107" i="80"/>
  <c r="V196" i="80"/>
  <c r="W217" i="80"/>
  <c r="W57" i="80"/>
  <c r="V162" i="80"/>
  <c r="V193" i="80"/>
  <c r="V112" i="80"/>
  <c r="V96" i="80"/>
  <c r="U145" i="80"/>
  <c r="W121" i="80"/>
  <c r="V149" i="80"/>
  <c r="W244" i="80"/>
  <c r="U245" i="80"/>
  <c r="W100" i="80"/>
  <c r="V262" i="80"/>
  <c r="V171" i="80"/>
  <c r="V30" i="80"/>
  <c r="W45" i="80"/>
  <c r="W282" i="80"/>
  <c r="W197" i="80"/>
  <c r="W236" i="80"/>
  <c r="V179" i="80"/>
  <c r="W153" i="80"/>
  <c r="W249" i="80"/>
  <c r="V232" i="80"/>
  <c r="V213" i="80"/>
  <c r="W191" i="80"/>
  <c r="V116" i="80"/>
  <c r="W52" i="80"/>
  <c r="W235" i="80"/>
  <c r="V186" i="80"/>
  <c r="V51" i="80"/>
  <c r="V36" i="80"/>
  <c r="V212" i="80"/>
  <c r="W143" i="80"/>
  <c r="W199" i="80"/>
  <c r="W201" i="80"/>
  <c r="W41" i="80"/>
  <c r="W278" i="80"/>
  <c r="W285" i="80"/>
  <c r="W230" i="80"/>
  <c r="W132" i="80"/>
  <c r="W92" i="80"/>
  <c r="V15" i="80"/>
  <c r="W98" i="80"/>
  <c r="W260" i="80"/>
  <c r="W72" i="80"/>
  <c r="V23" i="80"/>
  <c r="V227" i="80"/>
  <c r="V39" i="80"/>
  <c r="V156" i="80"/>
  <c r="W219" i="80"/>
  <c r="W65" i="80"/>
  <c r="W220" i="80"/>
  <c r="W118" i="80"/>
  <c r="W266" i="80"/>
  <c r="E206" i="80"/>
  <c r="U143" i="80"/>
  <c r="F55" i="80"/>
  <c r="H109" i="80"/>
  <c r="F219" i="80"/>
  <c r="U36" i="80"/>
  <c r="L118" i="80"/>
  <c r="M118" i="80" s="1"/>
  <c r="P15" i="80"/>
  <c r="U15" i="80"/>
  <c r="F62" i="80"/>
  <c r="K219" i="80"/>
  <c r="N152" i="80"/>
  <c r="E183" i="80"/>
  <c r="U65" i="80"/>
  <c r="E160" i="80"/>
  <c r="G260" i="80"/>
  <c r="H41" i="80"/>
  <c r="N242" i="80"/>
  <c r="N207" i="80"/>
  <c r="E219" i="80"/>
  <c r="N42" i="80"/>
  <c r="F98" i="80"/>
  <c r="E62" i="80"/>
  <c r="N98" i="80"/>
  <c r="F172" i="80"/>
  <c r="P40" i="80"/>
  <c r="G207" i="80"/>
  <c r="U40" i="80"/>
  <c r="P207" i="80"/>
  <c r="H86" i="80"/>
  <c r="E86" i="80"/>
  <c r="U95" i="80"/>
  <c r="L116" i="80"/>
  <c r="M116" i="80" s="1"/>
  <c r="P243" i="80"/>
  <c r="N273" i="80"/>
  <c r="S85" i="80"/>
  <c r="H42" i="80"/>
  <c r="W184" i="80"/>
  <c r="V241" i="80"/>
  <c r="W175" i="80"/>
  <c r="W17" i="80"/>
  <c r="W48" i="80"/>
  <c r="W193" i="80"/>
  <c r="W32" i="80"/>
  <c r="V195" i="80"/>
  <c r="V145" i="80"/>
  <c r="W149" i="80"/>
  <c r="W234" i="80"/>
  <c r="V263" i="80"/>
  <c r="W129" i="80"/>
  <c r="W73" i="80"/>
  <c r="W262" i="80"/>
  <c r="W289" i="80"/>
  <c r="W171" i="80"/>
  <c r="W181" i="80"/>
  <c r="V151" i="80"/>
  <c r="V178" i="80"/>
  <c r="V124" i="80"/>
  <c r="W30" i="80"/>
  <c r="W105" i="80"/>
  <c r="W67" i="80"/>
  <c r="P77" i="80"/>
  <c r="W179" i="80"/>
  <c r="W35" i="80"/>
  <c r="V29" i="80"/>
  <c r="V157" i="80"/>
  <c r="W213" i="80"/>
  <c r="W259" i="80"/>
  <c r="V177" i="80"/>
  <c r="V252" i="80"/>
  <c r="V173" i="80"/>
  <c r="V38" i="80"/>
  <c r="V273" i="80"/>
  <c r="W116" i="80"/>
  <c r="V40" i="80"/>
  <c r="V222" i="80"/>
  <c r="V163" i="80"/>
  <c r="W51" i="80"/>
  <c r="V206" i="80"/>
  <c r="W36" i="80"/>
  <c r="W212" i="80"/>
  <c r="V32" i="80"/>
  <c r="V234" i="80"/>
  <c r="W15" i="80"/>
  <c r="V16" i="80"/>
  <c r="V139" i="80"/>
  <c r="W39" i="80"/>
  <c r="W156" i="80"/>
  <c r="W267" i="80"/>
  <c r="V146" i="80"/>
  <c r="V58" i="80"/>
  <c r="E99" i="80"/>
  <c r="S39" i="80"/>
  <c r="G37" i="80"/>
  <c r="S261" i="80"/>
  <c r="G261" i="80"/>
  <c r="G15" i="80"/>
  <c r="H16" i="80"/>
  <c r="F16" i="80"/>
  <c r="L98" i="80"/>
  <c r="M98" i="80" s="1"/>
  <c r="G156" i="80"/>
  <c r="U219" i="80"/>
  <c r="H58" i="80"/>
  <c r="F44" i="80"/>
  <c r="G160" i="80"/>
  <c r="G34" i="80"/>
  <c r="N36" i="80"/>
  <c r="K98" i="80"/>
  <c r="H280" i="80"/>
  <c r="U191" i="80"/>
  <c r="P172" i="80"/>
  <c r="N86" i="80"/>
  <c r="E85" i="80"/>
  <c r="G116" i="80"/>
  <c r="L40" i="80"/>
  <c r="M40" i="80" s="1"/>
  <c r="F222" i="80"/>
  <c r="F273" i="80"/>
  <c r="H140" i="80"/>
  <c r="N283" i="80"/>
  <c r="S207" i="80"/>
  <c r="N201" i="80"/>
  <c r="G249" i="80"/>
  <c r="U207" i="80"/>
  <c r="G82" i="80"/>
  <c r="G239" i="80"/>
  <c r="H88" i="80"/>
  <c r="H22" i="80"/>
  <c r="H240" i="80"/>
  <c r="E109" i="80"/>
  <c r="P183" i="80"/>
  <c r="P118" i="80"/>
  <c r="P91" i="80"/>
  <c r="E34" i="80"/>
  <c r="N199" i="80"/>
  <c r="E261" i="80"/>
  <c r="H201" i="80"/>
  <c r="E283" i="80"/>
  <c r="H283" i="80"/>
  <c r="N40" i="80"/>
  <c r="G273" i="80"/>
  <c r="G225" i="80"/>
  <c r="H207" i="80"/>
  <c r="H225" i="80"/>
  <c r="G122" i="80"/>
  <c r="K82" i="80"/>
  <c r="E211" i="80"/>
  <c r="N209" i="80"/>
  <c r="E66" i="80"/>
  <c r="N111" i="80"/>
  <c r="K114" i="80"/>
  <c r="E82" i="80"/>
  <c r="P201" i="80"/>
  <c r="P14" i="80"/>
  <c r="E182" i="80"/>
  <c r="U82" i="80"/>
  <c r="G140" i="80"/>
  <c r="E33" i="80"/>
  <c r="E14" i="80"/>
  <c r="E174" i="80"/>
  <c r="E60" i="80"/>
  <c r="U108" i="80"/>
  <c r="U78" i="80"/>
  <c r="G267" i="80"/>
  <c r="U169" i="80"/>
  <c r="K267" i="80"/>
  <c r="S108" i="80"/>
  <c r="F108" i="80"/>
  <c r="H108" i="80"/>
  <c r="G21" i="80"/>
  <c r="S21" i="80"/>
  <c r="H268" i="80"/>
  <c r="U123" i="80"/>
  <c r="P71" i="80"/>
  <c r="W232" i="80"/>
  <c r="W68" i="80"/>
  <c r="V254" i="80"/>
  <c r="W204" i="80"/>
  <c r="W290" i="80"/>
  <c r="V131" i="80"/>
  <c r="W126" i="80"/>
  <c r="W187" i="80"/>
  <c r="W96" i="80"/>
  <c r="W24" i="80"/>
  <c r="V135" i="80"/>
  <c r="W208" i="80"/>
  <c r="V181" i="80"/>
  <c r="W14" i="80"/>
  <c r="W131" i="80"/>
  <c r="V277" i="80"/>
  <c r="V127" i="80"/>
  <c r="W77" i="80"/>
  <c r="V279" i="80"/>
  <c r="V209" i="80"/>
  <c r="W102" i="80"/>
  <c r="V75" i="80"/>
  <c r="W231" i="80"/>
  <c r="W97" i="80"/>
  <c r="W89" i="80"/>
  <c r="W134" i="80"/>
  <c r="V243" i="80"/>
  <c r="W164" i="80"/>
  <c r="V215" i="80"/>
  <c r="V169" i="80"/>
  <c r="V205" i="80"/>
  <c r="V61" i="80"/>
  <c r="V136" i="80"/>
  <c r="W128" i="80"/>
  <c r="V236" i="80"/>
  <c r="W188" i="80"/>
  <c r="W223" i="80"/>
  <c r="W202" i="80"/>
  <c r="W91" i="80"/>
  <c r="W125" i="80"/>
  <c r="W20" i="80"/>
  <c r="W40" i="80"/>
  <c r="W62" i="80"/>
  <c r="V28" i="80"/>
  <c r="V54" i="80"/>
  <c r="W200" i="80"/>
  <c r="V44" i="80"/>
  <c r="V160" i="80"/>
  <c r="U261" i="80"/>
  <c r="E152" i="80"/>
  <c r="E250" i="80"/>
  <c r="K143" i="80"/>
  <c r="L242" i="80"/>
  <c r="M242" i="80" s="1"/>
  <c r="N236" i="80"/>
  <c r="E98" i="80"/>
  <c r="S227" i="80"/>
  <c r="L200" i="80"/>
  <c r="M200" i="80" s="1"/>
  <c r="H183" i="80"/>
  <c r="N58" i="80"/>
  <c r="P160" i="80"/>
  <c r="N260" i="80"/>
  <c r="N59" i="80"/>
  <c r="G206" i="80"/>
  <c r="F206" i="80"/>
  <c r="U260" i="80"/>
  <c r="N225" i="80"/>
  <c r="S156" i="80"/>
  <c r="N89" i="80"/>
  <c r="H52" i="80"/>
  <c r="E280" i="80"/>
  <c r="U86" i="80"/>
  <c r="E95" i="80"/>
  <c r="K86" i="80"/>
  <c r="S172" i="80"/>
  <c r="G86" i="80"/>
  <c r="P86" i="80"/>
  <c r="H249" i="80"/>
  <c r="E157" i="80"/>
  <c r="P97" i="80"/>
  <c r="U273" i="80"/>
  <c r="U116" i="80"/>
  <c r="E40" i="80"/>
  <c r="F283" i="80"/>
  <c r="P283" i="80"/>
  <c r="U283" i="80"/>
  <c r="L42" i="80"/>
  <c r="M42" i="80" s="1"/>
  <c r="G42" i="80"/>
  <c r="W135" i="80"/>
  <c r="V18" i="80"/>
  <c r="V122" i="80"/>
  <c r="V264" i="80"/>
  <c r="W209" i="80"/>
  <c r="W58" i="80"/>
  <c r="W75" i="80"/>
  <c r="V90" i="80"/>
  <c r="G283" i="80"/>
  <c r="V288" i="80"/>
  <c r="W243" i="80"/>
  <c r="W215" i="80"/>
  <c r="W169" i="80"/>
  <c r="W205" i="80"/>
  <c r="W61" i="80"/>
  <c r="W183" i="80"/>
  <c r="F143" i="80"/>
  <c r="V180" i="80"/>
  <c r="V76" i="80"/>
  <c r="V55" i="80"/>
  <c r="V148" i="80"/>
  <c r="K92" i="80"/>
  <c r="V101" i="80"/>
  <c r="W28" i="80"/>
  <c r="W54" i="80"/>
  <c r="V247" i="80"/>
  <c r="V152" i="80"/>
  <c r="V103" i="80"/>
  <c r="V158" i="80"/>
  <c r="V134" i="80"/>
  <c r="K65" i="80"/>
  <c r="P231" i="80"/>
  <c r="P162" i="80"/>
  <c r="L160" i="80"/>
  <c r="M160" i="80" s="1"/>
  <c r="H202" i="80"/>
  <c r="G98" i="80"/>
  <c r="H219" i="80"/>
  <c r="N183" i="80"/>
  <c r="L183" i="80"/>
  <c r="M183" i="80" s="1"/>
  <c r="S65" i="80"/>
  <c r="N160" i="80"/>
  <c r="S41" i="80"/>
  <c r="L260" i="80"/>
  <c r="M260" i="80" s="1"/>
  <c r="G285" i="80"/>
  <c r="G102" i="80"/>
  <c r="G103" i="80"/>
  <c r="L16" i="80"/>
  <c r="M16" i="80" s="1"/>
  <c r="L201" i="80"/>
  <c r="M201" i="80" s="1"/>
  <c r="G40" i="80"/>
  <c r="P280" i="80"/>
  <c r="H111" i="80"/>
  <c r="H191" i="80"/>
  <c r="S191" i="80"/>
  <c r="K172" i="80"/>
  <c r="E172" i="80"/>
  <c r="L249" i="80"/>
  <c r="M249" i="80" s="1"/>
  <c r="E140" i="80"/>
  <c r="N144" i="80"/>
  <c r="G213" i="80"/>
  <c r="H40" i="80"/>
  <c r="G172" i="80"/>
  <c r="F90" i="80"/>
  <c r="G89" i="80"/>
  <c r="L283" i="80"/>
  <c r="M283" i="80" s="1"/>
  <c r="L273" i="80"/>
  <c r="M273" i="80" s="1"/>
  <c r="L172" i="80"/>
  <c r="M172" i="80" s="1"/>
  <c r="L225" i="80"/>
  <c r="M225" i="80" s="1"/>
  <c r="P256" i="80"/>
  <c r="U35" i="80"/>
  <c r="H82" i="80"/>
  <c r="P249" i="80"/>
  <c r="L144" i="80"/>
  <c r="M144" i="80" s="1"/>
  <c r="P42" i="80"/>
  <c r="G85" i="80"/>
  <c r="W19" i="80"/>
  <c r="W254" i="80"/>
  <c r="V216" i="80"/>
  <c r="V110" i="80"/>
  <c r="W176" i="80"/>
  <c r="W158" i="80"/>
  <c r="W74" i="80"/>
  <c r="V121" i="80"/>
  <c r="V244" i="80"/>
  <c r="W224" i="80"/>
  <c r="V100" i="80"/>
  <c r="W192" i="80"/>
  <c r="V73" i="80"/>
  <c r="W18" i="80"/>
  <c r="V229" i="80"/>
  <c r="V287" i="80"/>
  <c r="W122" i="80"/>
  <c r="V218" i="80"/>
  <c r="W264" i="80"/>
  <c r="V45" i="80"/>
  <c r="V282" i="80"/>
  <c r="V197" i="80"/>
  <c r="W170" i="80"/>
  <c r="W111" i="80"/>
  <c r="V190" i="80"/>
  <c r="V207" i="80"/>
  <c r="V31" i="80"/>
  <c r="V153" i="80"/>
  <c r="W140" i="80"/>
  <c r="W144" i="80"/>
  <c r="W90" i="80"/>
  <c r="V191" i="80"/>
  <c r="W288" i="80"/>
  <c r="W63" i="80"/>
  <c r="W56" i="80"/>
  <c r="V52" i="80"/>
  <c r="W256" i="80"/>
  <c r="W34" i="80"/>
  <c r="W185" i="80"/>
  <c r="V143" i="80"/>
  <c r="W242" i="80"/>
  <c r="V199" i="80"/>
  <c r="W180" i="80"/>
  <c r="W76" i="80"/>
  <c r="V41" i="80"/>
  <c r="V285" i="80"/>
  <c r="V43" i="80"/>
  <c r="V230" i="80"/>
  <c r="V132" i="80"/>
  <c r="W55" i="80"/>
  <c r="W148" i="80"/>
  <c r="V92" i="80"/>
  <c r="W101" i="80"/>
  <c r="W225" i="80"/>
  <c r="V98" i="80"/>
  <c r="V72" i="80"/>
  <c r="W247" i="80"/>
  <c r="W174" i="80"/>
  <c r="V219" i="80"/>
  <c r="V183" i="80"/>
  <c r="W103" i="80"/>
  <c r="V65" i="80"/>
  <c r="V118" i="80"/>
  <c r="P32" i="80"/>
  <c r="L206" i="80"/>
  <c r="M206" i="80" s="1"/>
  <c r="K223" i="80"/>
  <c r="G230" i="80"/>
  <c r="K99" i="80"/>
  <c r="U146" i="80"/>
  <c r="P109" i="80"/>
  <c r="P219" i="80"/>
  <c r="F160" i="80"/>
  <c r="U206" i="80"/>
  <c r="H260" i="80"/>
  <c r="E134" i="80"/>
  <c r="K15" i="80"/>
  <c r="U16" i="80"/>
  <c r="P98" i="80"/>
  <c r="U62" i="80"/>
  <c r="K39" i="80"/>
  <c r="G219" i="80"/>
  <c r="U183" i="80"/>
  <c r="G183" i="80"/>
  <c r="L65" i="80"/>
  <c r="M65" i="80" s="1"/>
  <c r="L44" i="80"/>
  <c r="M44" i="80" s="1"/>
  <c r="S160" i="80"/>
  <c r="E236" i="80"/>
  <c r="N41" i="80"/>
  <c r="E285" i="80"/>
  <c r="H256" i="80"/>
  <c r="H285" i="80"/>
  <c r="E111" i="80"/>
  <c r="G111" i="80"/>
  <c r="L146" i="80"/>
  <c r="M146" i="80" s="1"/>
  <c r="G222" i="80"/>
  <c r="P82" i="80"/>
  <c r="U52" i="80"/>
  <c r="E239" i="80"/>
  <c r="K191" i="80"/>
  <c r="E201" i="80"/>
  <c r="E144" i="80"/>
  <c r="P85" i="80"/>
  <c r="P273" i="80"/>
  <c r="L85" i="80"/>
  <c r="M85" i="80" s="1"/>
  <c r="P35" i="80"/>
  <c r="F215" i="80"/>
  <c r="N249" i="80"/>
  <c r="L142" i="80"/>
  <c r="M142" i="80" s="1"/>
  <c r="H185" i="80"/>
  <c r="E114" i="80"/>
  <c r="P278" i="80"/>
  <c r="N289" i="80"/>
  <c r="P289" i="80"/>
  <c r="H229" i="80"/>
  <c r="S66" i="80"/>
  <c r="F211" i="80"/>
  <c r="E185" i="80"/>
  <c r="L278" i="80"/>
  <c r="M278" i="80" s="1"/>
  <c r="P185" i="80"/>
  <c r="K278" i="80"/>
  <c r="G124" i="80"/>
  <c r="G14" i="80"/>
  <c r="E181" i="80"/>
  <c r="E203" i="80"/>
  <c r="P142" i="80"/>
  <c r="H289" i="80"/>
  <c r="L14" i="80"/>
  <c r="M14" i="80" s="1"/>
  <c r="H14" i="80"/>
  <c r="U114" i="80"/>
  <c r="E248" i="80"/>
  <c r="H211" i="80"/>
  <c r="S88" i="80"/>
  <c r="E190" i="80"/>
  <c r="S245" i="80"/>
  <c r="G274" i="80"/>
  <c r="F208" i="80"/>
  <c r="H45" i="80"/>
  <c r="F144" i="80"/>
  <c r="N271" i="80"/>
  <c r="K161" i="80"/>
  <c r="L217" i="80"/>
  <c r="M217" i="80" s="1"/>
  <c r="L60" i="80"/>
  <c r="M60" i="80" s="1"/>
  <c r="K108" i="80"/>
  <c r="K137" i="80"/>
  <c r="K78" i="80"/>
  <c r="L129" i="80"/>
  <c r="M129" i="80" s="1"/>
  <c r="G256" i="80"/>
  <c r="F274" i="80"/>
  <c r="U208" i="80"/>
  <c r="E135" i="80"/>
  <c r="L135" i="80"/>
  <c r="M135" i="80" s="1"/>
  <c r="H135" i="80"/>
  <c r="L94" i="80"/>
  <c r="M94" i="80" s="1"/>
  <c r="H78" i="80"/>
  <c r="P108" i="80"/>
  <c r="U60" i="80"/>
  <c r="H63" i="80"/>
  <c r="U83" i="80"/>
  <c r="N268" i="80"/>
  <c r="E71" i="80"/>
  <c r="E237" i="80"/>
  <c r="G174" i="80"/>
  <c r="E217" i="80"/>
  <c r="U269" i="80"/>
  <c r="P137" i="80"/>
  <c r="P218" i="80"/>
  <c r="S218" i="80"/>
  <c r="H263" i="80"/>
  <c r="K104" i="80"/>
  <c r="E266" i="80"/>
  <c r="L266" i="80"/>
  <c r="M266" i="80" s="1"/>
  <c r="E45" i="80"/>
  <c r="S63" i="80"/>
  <c r="K217" i="80"/>
  <c r="E168" i="80"/>
  <c r="N71" i="80"/>
  <c r="K59" i="80"/>
  <c r="L271" i="80"/>
  <c r="M271" i="80" s="1"/>
  <c r="L66" i="80"/>
  <c r="M66" i="80" s="1"/>
  <c r="N181" i="80"/>
  <c r="G181" i="80"/>
  <c r="K124" i="80"/>
  <c r="G161" i="80"/>
  <c r="P211" i="80"/>
  <c r="S229" i="80"/>
  <c r="H278" i="80"/>
  <c r="E124" i="80"/>
  <c r="F181" i="80"/>
  <c r="F14" i="80"/>
  <c r="N278" i="80"/>
  <c r="K280" i="80"/>
  <c r="U142" i="80"/>
  <c r="U280" i="80"/>
  <c r="F248" i="80"/>
  <c r="H181" i="80"/>
  <c r="E287" i="80"/>
  <c r="G114" i="80"/>
  <c r="K229" i="80"/>
  <c r="K211" i="80"/>
  <c r="K245" i="80"/>
  <c r="K182" i="80"/>
  <c r="F29" i="80"/>
  <c r="H142" i="80"/>
  <c r="K46" i="80"/>
  <c r="K33" i="80"/>
  <c r="S33" i="80"/>
  <c r="N161" i="80"/>
  <c r="P161" i="80"/>
  <c r="L33" i="80"/>
  <c r="M33" i="80" s="1"/>
  <c r="H33" i="80"/>
  <c r="F161" i="80"/>
  <c r="H170" i="80"/>
  <c r="N179" i="80"/>
  <c r="H161" i="80"/>
  <c r="N46" i="80"/>
  <c r="L171" i="80"/>
  <c r="M171" i="80" s="1"/>
  <c r="L181" i="80"/>
  <c r="M181" i="80" s="1"/>
  <c r="G237" i="80"/>
  <c r="H174" i="80"/>
  <c r="S276" i="80"/>
  <c r="S60" i="80"/>
  <c r="H60" i="80"/>
  <c r="U137" i="80"/>
  <c r="N78" i="80"/>
  <c r="P51" i="80"/>
  <c r="U129" i="80"/>
  <c r="L267" i="80"/>
  <c r="M267" i="80" s="1"/>
  <c r="N137" i="80"/>
  <c r="P60" i="80"/>
  <c r="K63" i="80"/>
  <c r="U63" i="80"/>
  <c r="N83" i="80"/>
  <c r="N21" i="80"/>
  <c r="P21" i="80"/>
  <c r="E268" i="80"/>
  <c r="H71" i="80"/>
  <c r="L71" i="80"/>
  <c r="M71" i="80" s="1"/>
  <c r="H237" i="80"/>
  <c r="U174" i="80"/>
  <c r="S93" i="80"/>
  <c r="P269" i="80"/>
  <c r="H137" i="80"/>
  <c r="F133" i="80"/>
  <c r="K77" i="80"/>
  <c r="G282" i="80"/>
  <c r="G182" i="80"/>
  <c r="N37" i="80"/>
  <c r="H37" i="80"/>
  <c r="P263" i="80"/>
  <c r="U266" i="80"/>
  <c r="H266" i="80"/>
  <c r="S266" i="80"/>
  <c r="G104" i="80"/>
  <c r="E170" i="80"/>
  <c r="S257" i="80"/>
  <c r="U263" i="80"/>
  <c r="N276" i="80"/>
  <c r="L13" i="80"/>
  <c r="M13" i="80" s="1"/>
  <c r="H25" i="80"/>
  <c r="H59" i="80"/>
  <c r="E265" i="80"/>
  <c r="K237" i="80"/>
  <c r="S237" i="80"/>
  <c r="K174" i="80"/>
  <c r="E93" i="80"/>
  <c r="P217" i="80"/>
  <c r="E276" i="80"/>
  <c r="G137" i="80"/>
  <c r="N218" i="80"/>
  <c r="L37" i="80"/>
  <c r="M37" i="80" s="1"/>
  <c r="K133" i="80"/>
  <c r="K135" i="80"/>
  <c r="P104" i="80"/>
  <c r="U104" i="80"/>
  <c r="E257" i="80"/>
  <c r="U133" i="80"/>
  <c r="P123" i="80"/>
  <c r="U168" i="80"/>
  <c r="E218" i="80"/>
  <c r="F168" i="80"/>
  <c r="G113" i="80"/>
  <c r="H189" i="80"/>
  <c r="E189" i="80"/>
  <c r="P226" i="80"/>
  <c r="G66" i="80"/>
  <c r="L189" i="80"/>
  <c r="M189" i="80" s="1"/>
  <c r="U238" i="80"/>
  <c r="G284" i="80"/>
  <c r="G165" i="80"/>
  <c r="P235" i="80"/>
  <c r="L284" i="80"/>
  <c r="M284" i="80" s="1"/>
  <c r="U189" i="80"/>
  <c r="G17" i="80"/>
  <c r="G251" i="80"/>
  <c r="K255" i="80"/>
  <c r="H246" i="80"/>
  <c r="G63" i="80"/>
  <c r="P210" i="80"/>
  <c r="H123" i="80"/>
  <c r="H67" i="80"/>
  <c r="L187" i="80"/>
  <c r="M187" i="80" s="1"/>
  <c r="U167" i="80"/>
  <c r="K198" i="80"/>
  <c r="E187" i="80"/>
  <c r="G167" i="80"/>
  <c r="F187" i="80"/>
  <c r="U117" i="80"/>
  <c r="L228" i="80"/>
  <c r="M228" i="80" s="1"/>
  <c r="F270" i="80"/>
  <c r="S204" i="80"/>
  <c r="F19" i="80"/>
  <c r="L281" i="80"/>
  <c r="M281" i="80" s="1"/>
  <c r="P281" i="80"/>
  <c r="L96" i="80"/>
  <c r="M96" i="80" s="1"/>
  <c r="S281" i="80"/>
  <c r="L67" i="80"/>
  <c r="M67" i="80" s="1"/>
  <c r="U259" i="80"/>
  <c r="K204" i="80"/>
  <c r="U131" i="80"/>
  <c r="L74" i="80"/>
  <c r="M74" i="80" s="1"/>
  <c r="S126" i="80"/>
  <c r="G217" i="80"/>
  <c r="U177" i="80"/>
  <c r="G201" i="80"/>
  <c r="P173" i="80"/>
  <c r="G73" i="80"/>
  <c r="P33" i="80"/>
  <c r="F86" i="80"/>
  <c r="H194" i="80"/>
  <c r="H107" i="80"/>
  <c r="K71" i="80"/>
  <c r="F25" i="80"/>
  <c r="G144" i="80"/>
  <c r="G150" i="80"/>
  <c r="K112" i="80"/>
  <c r="F189" i="80"/>
  <c r="G112" i="80"/>
  <c r="N112" i="80"/>
  <c r="L113" i="80"/>
  <c r="M113" i="80" s="1"/>
  <c r="G166" i="80"/>
  <c r="U201" i="80"/>
  <c r="P225" i="80"/>
  <c r="U289" i="80"/>
  <c r="G280" i="80"/>
  <c r="S142" i="80"/>
  <c r="L124" i="80"/>
  <c r="M124" i="80" s="1"/>
  <c r="N14" i="80"/>
  <c r="K181" i="80"/>
  <c r="L161" i="80"/>
  <c r="M161" i="80" s="1"/>
  <c r="S46" i="80"/>
  <c r="G88" i="80"/>
  <c r="U248" i="80"/>
  <c r="P124" i="80"/>
  <c r="K142" i="80"/>
  <c r="G185" i="80"/>
  <c r="H248" i="80"/>
  <c r="P239" i="80"/>
  <c r="U278" i="80"/>
  <c r="P229" i="80"/>
  <c r="N82" i="80"/>
  <c r="L211" i="80"/>
  <c r="M211" i="80" s="1"/>
  <c r="F42" i="80"/>
  <c r="H267" i="80"/>
  <c r="P182" i="80"/>
  <c r="H77" i="80"/>
  <c r="F190" i="80"/>
  <c r="U33" i="80"/>
  <c r="U161" i="80"/>
  <c r="S161" i="80"/>
  <c r="L151" i="80"/>
  <c r="M151" i="80" s="1"/>
  <c r="K14" i="80"/>
  <c r="U88" i="80"/>
  <c r="L229" i="80"/>
  <c r="M229" i="80" s="1"/>
  <c r="P174" i="80"/>
  <c r="F93" i="80"/>
  <c r="H13" i="80"/>
  <c r="P276" i="80"/>
  <c r="L269" i="80"/>
  <c r="M269" i="80" s="1"/>
  <c r="G108" i="80"/>
  <c r="E137" i="80"/>
  <c r="H94" i="80"/>
  <c r="G71" i="80"/>
  <c r="P274" i="80"/>
  <c r="N129" i="80"/>
  <c r="L274" i="80"/>
  <c r="M274" i="80" s="1"/>
  <c r="P135" i="80"/>
  <c r="E129" i="80"/>
  <c r="G78" i="80"/>
  <c r="P83" i="80"/>
  <c r="L21" i="80"/>
  <c r="M21" i="80" s="1"/>
  <c r="U268" i="80"/>
  <c r="G123" i="80"/>
  <c r="H210" i="80"/>
  <c r="L237" i="80"/>
  <c r="M237" i="80" s="1"/>
  <c r="N174" i="80"/>
  <c r="H57" i="80"/>
  <c r="F182" i="80"/>
  <c r="L182" i="80"/>
  <c r="M182" i="80" s="1"/>
  <c r="U45" i="80"/>
  <c r="F77" i="80"/>
  <c r="G133" i="80"/>
  <c r="P208" i="80"/>
  <c r="N104" i="80"/>
  <c r="L104" i="80"/>
  <c r="M104" i="80" s="1"/>
  <c r="K266" i="80"/>
  <c r="U37" i="80"/>
  <c r="K37" i="80"/>
  <c r="N239" i="80"/>
  <c r="L114" i="80"/>
  <c r="M114" i="80" s="1"/>
  <c r="S124" i="80"/>
  <c r="S14" i="80"/>
  <c r="G142" i="80"/>
  <c r="N88" i="80"/>
  <c r="L280" i="80"/>
  <c r="M280" i="80" s="1"/>
  <c r="G248" i="80"/>
  <c r="U124" i="80"/>
  <c r="S278" i="80"/>
  <c r="U109" i="80"/>
  <c r="G229" i="80"/>
  <c r="S144" i="80"/>
  <c r="L289" i="80"/>
  <c r="M289" i="80" s="1"/>
  <c r="P37" i="80"/>
  <c r="E77" i="80"/>
  <c r="F46" i="80"/>
  <c r="E46" i="80"/>
  <c r="E161" i="80"/>
  <c r="N33" i="80"/>
  <c r="K88" i="80"/>
  <c r="U14" i="80"/>
  <c r="L174" i="80"/>
  <c r="M174" i="80" s="1"/>
  <c r="H217" i="80"/>
  <c r="U217" i="80"/>
  <c r="L276" i="80"/>
  <c r="M276" i="80" s="1"/>
  <c r="G60" i="80"/>
  <c r="E108" i="80"/>
  <c r="S78" i="80"/>
  <c r="P267" i="80"/>
  <c r="H129" i="80"/>
  <c r="G51" i="80"/>
  <c r="G129" i="80"/>
  <c r="U94" i="80"/>
  <c r="F21" i="80"/>
  <c r="N237" i="80"/>
  <c r="P93" i="80"/>
  <c r="L168" i="80"/>
  <c r="M168" i="80" s="1"/>
  <c r="H182" i="80"/>
  <c r="U77" i="80"/>
  <c r="L170" i="80"/>
  <c r="M170" i="80" s="1"/>
  <c r="N274" i="80"/>
  <c r="N25" i="80"/>
  <c r="S104" i="80"/>
  <c r="H104" i="80"/>
  <c r="H208" i="80"/>
  <c r="G77" i="80"/>
  <c r="S77" i="80"/>
  <c r="N77" i="80"/>
  <c r="L77" i="80"/>
  <c r="M77" i="80" s="1"/>
  <c r="N109" i="80"/>
  <c r="N257" i="80"/>
  <c r="P257" i="80"/>
  <c r="G218" i="80"/>
  <c r="H168" i="80"/>
  <c r="K40" i="80"/>
  <c r="F225" i="80"/>
  <c r="E42" i="80"/>
  <c r="L86" i="80"/>
  <c r="M86" i="80" s="1"/>
  <c r="F207" i="80"/>
  <c r="K249" i="80"/>
  <c r="P252" i="80"/>
  <c r="L140" i="80"/>
  <c r="M140" i="80" s="1"/>
  <c r="K207" i="80"/>
  <c r="L75" i="80"/>
  <c r="M75" i="80" s="1"/>
  <c r="L111" i="80"/>
  <c r="M111" i="80" s="1"/>
  <c r="N185" i="80"/>
  <c r="F124" i="80"/>
  <c r="H124" i="80"/>
  <c r="G278" i="80"/>
  <c r="L287" i="80"/>
  <c r="M287" i="80" s="1"/>
  <c r="P248" i="80"/>
  <c r="N211" i="80"/>
  <c r="F185" i="80"/>
  <c r="E229" i="80"/>
  <c r="F114" i="80"/>
  <c r="G46" i="80"/>
  <c r="E278" i="80"/>
  <c r="F289" i="80"/>
  <c r="L185" i="80"/>
  <c r="M185" i="80" s="1"/>
  <c r="U185" i="80"/>
  <c r="N124" i="80"/>
  <c r="N229" i="80"/>
  <c r="E88" i="80"/>
  <c r="N140" i="80"/>
  <c r="U267" i="80"/>
  <c r="E208" i="80"/>
  <c r="H264" i="80"/>
  <c r="P45" i="80"/>
  <c r="U181" i="80"/>
  <c r="U211" i="80"/>
  <c r="P13" i="80"/>
  <c r="G276" i="80"/>
  <c r="H276" i="80"/>
  <c r="N60" i="80"/>
  <c r="F78" i="80"/>
  <c r="F135" i="80"/>
  <c r="U51" i="80"/>
  <c r="U246" i="80"/>
  <c r="N256" i="80"/>
  <c r="S129" i="80"/>
  <c r="H274" i="80"/>
  <c r="K129" i="80"/>
  <c r="L208" i="80"/>
  <c r="M208" i="80" s="1"/>
  <c r="N267" i="80"/>
  <c r="N48" i="80"/>
  <c r="K276" i="80"/>
  <c r="N108" i="80"/>
  <c r="P63" i="80"/>
  <c r="S83" i="80"/>
  <c r="K290" i="80"/>
  <c r="L123" i="80"/>
  <c r="M123" i="80" s="1"/>
  <c r="U71" i="80"/>
  <c r="G93" i="80"/>
  <c r="U182" i="80"/>
  <c r="L45" i="80"/>
  <c r="M45" i="80" s="1"/>
  <c r="L133" i="80"/>
  <c r="M133" i="80" s="1"/>
  <c r="L109" i="80"/>
  <c r="M109" i="80" s="1"/>
  <c r="G263" i="80"/>
  <c r="E104" i="80"/>
  <c r="F266" i="80"/>
  <c r="N266" i="80"/>
  <c r="N135" i="80"/>
  <c r="E37" i="80"/>
  <c r="N113" i="80"/>
  <c r="U257" i="80"/>
  <c r="F257" i="80"/>
  <c r="G168" i="80"/>
  <c r="L256" i="80"/>
  <c r="M256" i="80" s="1"/>
  <c r="H165" i="80"/>
  <c r="U226" i="80"/>
  <c r="H17" i="80"/>
  <c r="S284" i="80"/>
  <c r="E271" i="80"/>
  <c r="U17" i="80"/>
  <c r="L165" i="80"/>
  <c r="M165" i="80" s="1"/>
  <c r="K189" i="80"/>
  <c r="L241" i="80"/>
  <c r="M241" i="80" s="1"/>
  <c r="H226" i="80"/>
  <c r="H30" i="80"/>
  <c r="P30" i="80"/>
  <c r="H251" i="80"/>
  <c r="F63" i="80"/>
  <c r="L194" i="80"/>
  <c r="M194" i="80" s="1"/>
  <c r="N123" i="80"/>
  <c r="P107" i="80"/>
  <c r="K268" i="80"/>
  <c r="U30" i="80"/>
  <c r="U218" i="80"/>
  <c r="K30" i="80"/>
  <c r="H126" i="80"/>
  <c r="G187" i="80"/>
  <c r="P198" i="80"/>
  <c r="U198" i="80"/>
  <c r="U121" i="80"/>
  <c r="E167" i="80"/>
  <c r="P149" i="80"/>
  <c r="K187" i="80"/>
  <c r="S167" i="80"/>
  <c r="F121" i="80"/>
  <c r="K259" i="80"/>
  <c r="P270" i="80"/>
  <c r="H96" i="80"/>
  <c r="F204" i="80"/>
  <c r="U216" i="80"/>
  <c r="P96" i="80"/>
  <c r="S117" i="80"/>
  <c r="S194" i="80"/>
  <c r="H149" i="80"/>
  <c r="L259" i="80"/>
  <c r="M259" i="80" s="1"/>
  <c r="E216" i="80"/>
  <c r="K281" i="80"/>
  <c r="N145" i="80"/>
  <c r="U176" i="80"/>
  <c r="E126" i="80"/>
  <c r="G80" i="80"/>
  <c r="P53" i="80"/>
  <c r="S76" i="80"/>
  <c r="H85" i="80"/>
  <c r="P171" i="80"/>
  <c r="F137" i="80"/>
  <c r="S187" i="80"/>
  <c r="L78" i="80"/>
  <c r="M78" i="80" s="1"/>
  <c r="G245" i="80"/>
  <c r="P286" i="80"/>
  <c r="E235" i="80"/>
  <c r="E68" i="80"/>
  <c r="N51" i="80"/>
  <c r="U237" i="80"/>
  <c r="H141" i="80"/>
  <c r="U249" i="80"/>
  <c r="H89" i="80"/>
  <c r="U229" i="80"/>
  <c r="N215" i="80"/>
  <c r="N221" i="80"/>
  <c r="U150" i="80"/>
  <c r="P112" i="80"/>
  <c r="E130" i="80"/>
  <c r="S221" i="80"/>
  <c r="E221" i="80"/>
  <c r="H130" i="80"/>
  <c r="E233" i="80"/>
  <c r="S265" i="80"/>
  <c r="K284" i="80"/>
  <c r="N66" i="80"/>
  <c r="G271" i="80"/>
  <c r="L175" i="80"/>
  <c r="M175" i="80" s="1"/>
  <c r="E241" i="80"/>
  <c r="N189" i="80"/>
  <c r="H66" i="80"/>
  <c r="N235" i="80"/>
  <c r="G241" i="80"/>
  <c r="H235" i="80"/>
  <c r="G189" i="80"/>
  <c r="N17" i="80"/>
  <c r="K226" i="80"/>
  <c r="E30" i="80"/>
  <c r="S133" i="80"/>
  <c r="H133" i="80"/>
  <c r="F246" i="80"/>
  <c r="E107" i="80"/>
  <c r="P268" i="80"/>
  <c r="G67" i="80"/>
  <c r="L218" i="80"/>
  <c r="M218" i="80" s="1"/>
  <c r="U187" i="80"/>
  <c r="L198" i="80"/>
  <c r="M198" i="80" s="1"/>
  <c r="S198" i="80"/>
  <c r="L121" i="80"/>
  <c r="M121" i="80" s="1"/>
  <c r="L167" i="80"/>
  <c r="M167" i="80" s="1"/>
  <c r="P121" i="80"/>
  <c r="N194" i="80"/>
  <c r="G84" i="80"/>
  <c r="U96" i="80"/>
  <c r="S19" i="80"/>
  <c r="E84" i="80"/>
  <c r="E259" i="80"/>
  <c r="E281" i="80"/>
  <c r="E272" i="80"/>
  <c r="U19" i="80"/>
  <c r="K272" i="80"/>
  <c r="H204" i="80"/>
  <c r="K228" i="80"/>
  <c r="H84" i="80"/>
  <c r="P19" i="80"/>
  <c r="E204" i="80"/>
  <c r="K145" i="80"/>
  <c r="G131" i="80"/>
  <c r="G176" i="80"/>
  <c r="E145" i="80"/>
  <c r="G87" i="80"/>
  <c r="U127" i="80"/>
  <c r="G74" i="80"/>
  <c r="E24" i="80"/>
  <c r="L233" i="80"/>
  <c r="M233" i="80" s="1"/>
  <c r="P129" i="80"/>
  <c r="H136" i="80"/>
  <c r="S223" i="80"/>
  <c r="S90" i="80"/>
  <c r="N227" i="80"/>
  <c r="K139" i="80"/>
  <c r="N195" i="80"/>
  <c r="H24" i="80"/>
  <c r="S125" i="80"/>
  <c r="G72" i="80"/>
  <c r="S181" i="80"/>
  <c r="P122" i="80"/>
  <c r="N150" i="80"/>
  <c r="G126" i="80"/>
  <c r="H150" i="80"/>
  <c r="P130" i="80"/>
  <c r="P221" i="80"/>
  <c r="N255" i="80"/>
  <c r="N166" i="80"/>
  <c r="H233" i="80"/>
  <c r="L162" i="80"/>
  <c r="M162" i="80" s="1"/>
  <c r="H162" i="80"/>
  <c r="Q279" i="80"/>
  <c r="Q41" i="80"/>
  <c r="Q203" i="80"/>
  <c r="Q63" i="80"/>
  <c r="Q81" i="80"/>
  <c r="Q201" i="80"/>
  <c r="Q241" i="80"/>
  <c r="Q257" i="80"/>
  <c r="Q248" i="80"/>
  <c r="Q287" i="80"/>
  <c r="Q204" i="80"/>
  <c r="Q195" i="80"/>
  <c r="Q170" i="80"/>
  <c r="Q96" i="80"/>
  <c r="Q236" i="80"/>
  <c r="E254" i="80"/>
  <c r="G64" i="80"/>
  <c r="U24" i="80"/>
  <c r="N64" i="80"/>
  <c r="U64" i="80"/>
  <c r="F220" i="80"/>
  <c r="K220" i="80"/>
  <c r="H257" i="80"/>
  <c r="S263" i="80"/>
  <c r="N168" i="80"/>
  <c r="U276" i="80"/>
  <c r="L265" i="80"/>
  <c r="M265" i="80" s="1"/>
  <c r="N241" i="80"/>
  <c r="N24" i="80"/>
  <c r="L238" i="80"/>
  <c r="M238" i="80" s="1"/>
  <c r="L17" i="80"/>
  <c r="M17" i="80" s="1"/>
  <c r="E238" i="80"/>
  <c r="G235" i="80"/>
  <c r="K238" i="80"/>
  <c r="P284" i="80"/>
  <c r="E17" i="80"/>
  <c r="H271" i="80"/>
  <c r="N133" i="80"/>
  <c r="N182" i="80"/>
  <c r="L251" i="80"/>
  <c r="M251" i="80" s="1"/>
  <c r="E67" i="80"/>
  <c r="N251" i="80"/>
  <c r="F255" i="80"/>
  <c r="U210" i="80"/>
  <c r="K83" i="80"/>
  <c r="L268" i="80"/>
  <c r="M268" i="80" s="1"/>
  <c r="K270" i="80"/>
  <c r="H131" i="80"/>
  <c r="E131" i="80"/>
  <c r="F198" i="80"/>
  <c r="P167" i="80"/>
  <c r="G149" i="80"/>
  <c r="N187" i="80"/>
  <c r="G198" i="80"/>
  <c r="U228" i="80"/>
  <c r="F281" i="80"/>
  <c r="G96" i="80"/>
  <c r="P228" i="80"/>
  <c r="K194" i="80"/>
  <c r="G19" i="80"/>
  <c r="U194" i="80"/>
  <c r="H19" i="80"/>
  <c r="E117" i="80"/>
  <c r="N84" i="80"/>
  <c r="F216" i="80"/>
  <c r="U204" i="80"/>
  <c r="N131" i="80"/>
  <c r="L145" i="80"/>
  <c r="M145" i="80" s="1"/>
  <c r="H145" i="80"/>
  <c r="E194" i="80"/>
  <c r="L87" i="80"/>
  <c r="M87" i="80" s="1"/>
  <c r="N80" i="80"/>
  <c r="U87" i="80"/>
  <c r="U80" i="80"/>
  <c r="E133" i="80"/>
  <c r="E21" i="80"/>
  <c r="N285" i="80"/>
  <c r="E35" i="80"/>
  <c r="G135" i="80"/>
  <c r="G266" i="80"/>
  <c r="N158" i="80"/>
  <c r="S277" i="80"/>
  <c r="P255" i="80"/>
  <c r="E63" i="80"/>
  <c r="E123" i="80"/>
  <c r="P88" i="80"/>
  <c r="N226" i="80"/>
  <c r="K257" i="80"/>
  <c r="H239" i="80"/>
  <c r="H178" i="80"/>
  <c r="E251" i="80"/>
  <c r="N259" i="80"/>
  <c r="N170" i="80"/>
  <c r="S75" i="80"/>
  <c r="G208" i="80"/>
  <c r="U56" i="80"/>
  <c r="L46" i="80"/>
  <c r="M46" i="80" s="1"/>
  <c r="G221" i="80"/>
  <c r="P250" i="80"/>
  <c r="E113" i="80"/>
  <c r="E284" i="80"/>
  <c r="L115" i="80"/>
  <c r="M115" i="80" s="1"/>
  <c r="K271" i="80"/>
  <c r="U235" i="80"/>
  <c r="N165" i="80"/>
  <c r="P175" i="80"/>
  <c r="K175" i="80"/>
  <c r="N284" i="80"/>
  <c r="U284" i="80"/>
  <c r="P189" i="80"/>
  <c r="E226" i="80"/>
  <c r="F238" i="80"/>
  <c r="K235" i="80"/>
  <c r="K221" i="80"/>
  <c r="N238" i="80"/>
  <c r="G226" i="80"/>
  <c r="U165" i="80"/>
  <c r="F251" i="80"/>
  <c r="U251" i="80"/>
  <c r="K251" i="80"/>
  <c r="F67" i="80"/>
  <c r="P67" i="80"/>
  <c r="G107" i="80"/>
  <c r="L107" i="80"/>
  <c r="M107" i="80" s="1"/>
  <c r="G268" i="80"/>
  <c r="N107" i="80"/>
  <c r="U21" i="80"/>
  <c r="F107" i="80"/>
  <c r="L30" i="80"/>
  <c r="M30" i="80" s="1"/>
  <c r="K67" i="80"/>
  <c r="E198" i="80"/>
  <c r="H167" i="80"/>
  <c r="H187" i="80"/>
  <c r="G121" i="80"/>
  <c r="K113" i="80"/>
  <c r="U113" i="80"/>
  <c r="G204" i="80"/>
  <c r="G194" i="80"/>
  <c r="N96" i="80"/>
  <c r="N272" i="80"/>
  <c r="N228" i="80"/>
  <c r="K84" i="80"/>
  <c r="L149" i="80"/>
  <c r="M149" i="80" s="1"/>
  <c r="N19" i="80"/>
  <c r="G117" i="80"/>
  <c r="P84" i="80"/>
  <c r="F259" i="80"/>
  <c r="G281" i="80"/>
  <c r="K216" i="80"/>
  <c r="E96" i="80"/>
  <c r="L272" i="80"/>
  <c r="M272" i="80" s="1"/>
  <c r="U272" i="80"/>
  <c r="S145" i="80"/>
  <c r="G243" i="80"/>
  <c r="N87" i="80"/>
  <c r="E171" i="80"/>
  <c r="S80" i="80"/>
  <c r="K80" i="80"/>
  <c r="H87" i="80"/>
  <c r="P74" i="80"/>
  <c r="P80" i="80"/>
  <c r="F24" i="80"/>
  <c r="S197" i="80"/>
  <c r="L131" i="80"/>
  <c r="M131" i="80" s="1"/>
  <c r="S271" i="80"/>
  <c r="E142" i="80"/>
  <c r="S103" i="80"/>
  <c r="U172" i="80"/>
  <c r="G105" i="80"/>
  <c r="U256" i="80"/>
  <c r="E80" i="80"/>
  <c r="E87" i="80"/>
  <c r="K162" i="80"/>
  <c r="P16" i="80"/>
  <c r="L62" i="80"/>
  <c r="M62" i="80" s="1"/>
  <c r="H272" i="80"/>
  <c r="K117" i="80"/>
  <c r="H83" i="80"/>
  <c r="N115" i="80"/>
  <c r="H113" i="80"/>
  <c r="H152" i="80"/>
  <c r="N151" i="80"/>
  <c r="P44" i="80"/>
  <c r="P150" i="80"/>
  <c r="K74" i="80"/>
  <c r="L150" i="80"/>
  <c r="M150" i="80" s="1"/>
  <c r="H112" i="80"/>
  <c r="L112" i="80"/>
  <c r="M112" i="80" s="1"/>
  <c r="E74" i="80"/>
  <c r="S112" i="80"/>
  <c r="K130" i="80"/>
  <c r="U255" i="80"/>
  <c r="U13" i="80"/>
  <c r="H218" i="80"/>
  <c r="S250" i="80"/>
  <c r="G265" i="80"/>
  <c r="P66" i="80"/>
  <c r="U271" i="80"/>
  <c r="P238" i="80"/>
  <c r="U66" i="80"/>
  <c r="U275" i="80"/>
  <c r="F165" i="80"/>
  <c r="N286" i="80"/>
  <c r="E165" i="80"/>
  <c r="P271" i="80"/>
  <c r="P17" i="80"/>
  <c r="P165" i="80"/>
  <c r="L226" i="80"/>
  <c r="M226" i="80" s="1"/>
  <c r="H284" i="80"/>
  <c r="H238" i="80"/>
  <c r="G30" i="80"/>
  <c r="N30" i="80"/>
  <c r="E83" i="80"/>
  <c r="L255" i="80"/>
  <c r="M255" i="80" s="1"/>
  <c r="N210" i="80"/>
  <c r="L63" i="80"/>
  <c r="M63" i="80" s="1"/>
  <c r="K123" i="80"/>
  <c r="F30" i="80"/>
  <c r="N67" i="80"/>
  <c r="P251" i="80"/>
  <c r="N149" i="80"/>
  <c r="K149" i="80"/>
  <c r="P187" i="80"/>
  <c r="U149" i="80"/>
  <c r="E121" i="80"/>
  <c r="K121" i="80"/>
  <c r="E149" i="80"/>
  <c r="G259" i="80"/>
  <c r="K96" i="80"/>
  <c r="P272" i="80"/>
  <c r="H281" i="80"/>
  <c r="L84" i="80"/>
  <c r="M84" i="80" s="1"/>
  <c r="G272" i="80"/>
  <c r="G228" i="80"/>
  <c r="L204" i="80"/>
  <c r="M204" i="80" s="1"/>
  <c r="N204" i="80"/>
  <c r="U84" i="80"/>
  <c r="P194" i="80"/>
  <c r="N281" i="80"/>
  <c r="L19" i="80"/>
  <c r="M19" i="80" s="1"/>
  <c r="H259" i="80"/>
  <c r="S272" i="80"/>
  <c r="K19" i="80"/>
  <c r="L117" i="80"/>
  <c r="M117" i="80" s="1"/>
  <c r="H117" i="80"/>
  <c r="P145" i="80"/>
  <c r="N176" i="80"/>
  <c r="P131" i="80"/>
  <c r="K131" i="80"/>
  <c r="L176" i="80"/>
  <c r="M176" i="80" s="1"/>
  <c r="H74" i="80"/>
  <c r="U74" i="80"/>
  <c r="K87" i="80"/>
  <c r="N74" i="80"/>
  <c r="P176" i="80"/>
  <c r="F87" i="80"/>
  <c r="L126" i="80"/>
  <c r="M126" i="80" s="1"/>
  <c r="U196" i="80"/>
  <c r="U153" i="80"/>
  <c r="P202" i="80"/>
  <c r="L52" i="80"/>
  <c r="M52" i="80" s="1"/>
  <c r="K127" i="80"/>
  <c r="U264" i="80"/>
  <c r="G109" i="80"/>
  <c r="K13" i="80"/>
  <c r="P31" i="80"/>
  <c r="G92" i="80"/>
  <c r="P213" i="80"/>
  <c r="F156" i="80"/>
  <c r="H116" i="80"/>
  <c r="N206" i="80"/>
  <c r="P111" i="80"/>
  <c r="E225" i="80"/>
  <c r="L108" i="80"/>
  <c r="M108" i="80" s="1"/>
  <c r="E267" i="80"/>
  <c r="H23" i="80"/>
  <c r="G193" i="80"/>
  <c r="L166" i="80"/>
  <c r="M166" i="80" s="1"/>
  <c r="G255" i="80"/>
  <c r="H53" i="80"/>
  <c r="P59" i="80"/>
  <c r="H245" i="80"/>
  <c r="Q24" i="80"/>
  <c r="Q232" i="80"/>
  <c r="Q144" i="80"/>
  <c r="Q98" i="80"/>
  <c r="Q54" i="80"/>
  <c r="Q247" i="80"/>
  <c r="Q200" i="80"/>
  <c r="Q161" i="80"/>
  <c r="Q151" i="80"/>
  <c r="Q30" i="80"/>
  <c r="Q45" i="80"/>
  <c r="Q212" i="80"/>
  <c r="Q196" i="80"/>
  <c r="Q93" i="80"/>
  <c r="Q102" i="80"/>
  <c r="Q202" i="80"/>
  <c r="Q250" i="80"/>
  <c r="Q129" i="80"/>
  <c r="Q171" i="80"/>
  <c r="Q192" i="80"/>
  <c r="Q38" i="80"/>
  <c r="Q103" i="80"/>
  <c r="Q158" i="80"/>
  <c r="Q186" i="80"/>
  <c r="Q254" i="80"/>
  <c r="Q127" i="80"/>
  <c r="Q37" i="80"/>
  <c r="Q242" i="80"/>
  <c r="Q180" i="80"/>
  <c r="Q174" i="80"/>
  <c r="Q13" i="80"/>
  <c r="Q74" i="80"/>
  <c r="Q276" i="80"/>
  <c r="Q126" i="80"/>
  <c r="Q31" i="80"/>
  <c r="Q198" i="80"/>
  <c r="Q92" i="80"/>
  <c r="Q15" i="80"/>
  <c r="Q265" i="80"/>
  <c r="Q226" i="80"/>
  <c r="Q286" i="80"/>
  <c r="Q14" i="80"/>
  <c r="Q235" i="80"/>
  <c r="Q278" i="80"/>
  <c r="Q73" i="80"/>
  <c r="Q116" i="80"/>
  <c r="Q146" i="80"/>
  <c r="Q58" i="80"/>
  <c r="Q124" i="80"/>
  <c r="Q272" i="80"/>
  <c r="Q67" i="80"/>
  <c r="Q218" i="80"/>
  <c r="Q34" i="80"/>
  <c r="Q259" i="80"/>
  <c r="Q282" i="80"/>
  <c r="Q32" i="80"/>
  <c r="Q115" i="80"/>
  <c r="Q260" i="80"/>
  <c r="Q121" i="80"/>
  <c r="Q167" i="80"/>
  <c r="Q149" i="80"/>
  <c r="N203" i="80"/>
  <c r="L254" i="80"/>
  <c r="M254" i="80" s="1"/>
  <c r="U240" i="80"/>
  <c r="U220" i="80"/>
  <c r="P64" i="80"/>
  <c r="P25" i="80"/>
  <c r="G246" i="80"/>
  <c r="U250" i="80"/>
  <c r="N275" i="80"/>
  <c r="L240" i="80"/>
  <c r="M240" i="80" s="1"/>
  <c r="U112" i="80"/>
  <c r="L221" i="80"/>
  <c r="M221" i="80" s="1"/>
  <c r="U221" i="80"/>
  <c r="G130" i="80"/>
  <c r="F130" i="80"/>
  <c r="E112" i="80"/>
  <c r="E150" i="80"/>
  <c r="P166" i="80"/>
  <c r="P233" i="80"/>
  <c r="E193" i="80"/>
  <c r="E255" i="80"/>
  <c r="N233" i="80"/>
  <c r="L24" i="80"/>
  <c r="M24" i="80" s="1"/>
  <c r="N162" i="80"/>
  <c r="E162" i="80"/>
  <c r="J54" i="80"/>
  <c r="J200" i="80"/>
  <c r="J30" i="80"/>
  <c r="J169" i="80"/>
  <c r="J212" i="80"/>
  <c r="J93" i="80"/>
  <c r="J102" i="80"/>
  <c r="J202" i="80"/>
  <c r="J250" i="80"/>
  <c r="E184" i="80"/>
  <c r="J129" i="80"/>
  <c r="J38" i="80"/>
  <c r="J158" i="80"/>
  <c r="J186" i="80"/>
  <c r="J37" i="80"/>
  <c r="J242" i="80"/>
  <c r="J180" i="80"/>
  <c r="J174" i="80"/>
  <c r="J13" i="80"/>
  <c r="J74" i="80"/>
  <c r="J276" i="80"/>
  <c r="J126" i="80"/>
  <c r="J31" i="80"/>
  <c r="J198" i="80"/>
  <c r="J92" i="80"/>
  <c r="J226" i="80"/>
  <c r="J286" i="80"/>
  <c r="J14" i="80"/>
  <c r="J235" i="80"/>
  <c r="J278" i="80"/>
  <c r="J73" i="80"/>
  <c r="J146" i="80"/>
  <c r="J124" i="80"/>
  <c r="J272" i="80"/>
  <c r="J67" i="80"/>
  <c r="J218" i="80"/>
  <c r="J34" i="80"/>
  <c r="J259" i="80"/>
  <c r="J282" i="80"/>
  <c r="J32" i="80"/>
  <c r="J115" i="80"/>
  <c r="J260" i="80"/>
  <c r="J121" i="80"/>
  <c r="J167" i="80"/>
  <c r="J149" i="80"/>
  <c r="H275" i="80"/>
  <c r="H203" i="80"/>
  <c r="S254" i="80"/>
  <c r="P203" i="80"/>
  <c r="H220" i="80"/>
  <c r="H224" i="80"/>
  <c r="U25" i="80"/>
  <c r="P240" i="80"/>
  <c r="G275" i="80"/>
  <c r="K150" i="80"/>
  <c r="F221" i="80"/>
  <c r="U130" i="80"/>
  <c r="P113" i="80"/>
  <c r="U166" i="80"/>
  <c r="N53" i="80"/>
  <c r="K193" i="80"/>
  <c r="N265" i="80"/>
  <c r="U184" i="80"/>
  <c r="E245" i="80"/>
  <c r="L245" i="80"/>
  <c r="M245" i="80" s="1"/>
  <c r="U59" i="80"/>
  <c r="U162" i="80"/>
  <c r="J56" i="80"/>
  <c r="U193" i="80"/>
  <c r="J77" i="80"/>
  <c r="J279" i="80"/>
  <c r="J41" i="80"/>
  <c r="J101" i="80"/>
  <c r="J159" i="80"/>
  <c r="J168" i="80"/>
  <c r="J142" i="80"/>
  <c r="J172" i="80"/>
  <c r="J203" i="80"/>
  <c r="J264" i="80"/>
  <c r="J63" i="80"/>
  <c r="J150" i="80"/>
  <c r="J81" i="80"/>
  <c r="J148" i="80"/>
  <c r="J22" i="80"/>
  <c r="J244" i="80"/>
  <c r="J140" i="80"/>
  <c r="J201" i="80"/>
  <c r="J16" i="80"/>
  <c r="J227" i="80"/>
  <c r="J241" i="80"/>
  <c r="J257" i="80"/>
  <c r="J248" i="80"/>
  <c r="J104" i="80"/>
  <c r="J239" i="80"/>
  <c r="J287" i="80"/>
  <c r="J19" i="80"/>
  <c r="J117" i="80"/>
  <c r="J83" i="80"/>
  <c r="J204" i="80"/>
  <c r="J195" i="80"/>
  <c r="J170" i="80"/>
  <c r="J96" i="80"/>
  <c r="J211" i="80"/>
  <c r="J236" i="80"/>
  <c r="J141" i="80"/>
  <c r="J108" i="80"/>
  <c r="H254" i="80"/>
  <c r="P254" i="80"/>
  <c r="L203" i="80"/>
  <c r="M203" i="80" s="1"/>
  <c r="G240" i="80"/>
  <c r="P246" i="80"/>
  <c r="H64" i="80"/>
  <c r="G25" i="80"/>
  <c r="E246" i="80"/>
  <c r="H250" i="80"/>
  <c r="N250" i="80"/>
  <c r="N246" i="80"/>
  <c r="U53" i="80"/>
  <c r="P265" i="80"/>
  <c r="K166" i="80"/>
  <c r="N193" i="80"/>
  <c r="F193" i="80"/>
  <c r="K184" i="80"/>
  <c r="N245" i="80"/>
  <c r="L59" i="80"/>
  <c r="M59" i="80" s="1"/>
  <c r="Q165" i="80"/>
  <c r="Q18" i="80"/>
  <c r="Q215" i="80"/>
  <c r="Q290" i="80"/>
  <c r="Q179" i="80"/>
  <c r="Q261" i="80"/>
  <c r="Q35" i="80"/>
  <c r="Q100" i="80"/>
  <c r="Q97" i="80"/>
  <c r="Q135" i="80"/>
  <c r="Q85" i="80"/>
  <c r="Q95" i="80"/>
  <c r="Q219" i="80"/>
  <c r="Q105" i="80"/>
  <c r="Q256" i="80"/>
  <c r="Q275" i="80"/>
  <c r="Q255" i="80"/>
  <c r="Q36" i="80"/>
  <c r="Q123" i="80"/>
  <c r="Q29" i="80"/>
  <c r="Q230" i="80"/>
  <c r="Q99" i="80"/>
  <c r="Q162" i="80"/>
  <c r="Q245" i="80"/>
  <c r="Q263" i="80"/>
  <c r="Q213" i="80"/>
  <c r="Q262" i="80"/>
  <c r="Q173" i="80"/>
  <c r="Q156" i="80"/>
  <c r="Q48" i="80"/>
  <c r="Q33" i="80"/>
  <c r="Q65" i="80"/>
  <c r="Q68" i="80"/>
  <c r="Q118" i="80"/>
  <c r="Q251" i="80"/>
  <c r="Q51" i="80"/>
  <c r="Q206" i="80"/>
  <c r="Q194" i="80"/>
  <c r="Q61" i="80"/>
  <c r="Q107" i="80"/>
  <c r="Q143" i="80"/>
  <c r="Q71" i="80"/>
  <c r="Q84" i="80"/>
  <c r="Q270" i="80"/>
  <c r="Q111" i="80"/>
  <c r="Q281" i="80"/>
  <c r="Q225" i="80"/>
  <c r="Q207" i="80"/>
  <c r="Q75" i="80"/>
  <c r="Q132" i="80"/>
  <c r="Q42" i="80"/>
  <c r="E240" i="80"/>
  <c r="K275" i="80"/>
  <c r="L275" i="80"/>
  <c r="M275" i="80" s="1"/>
  <c r="U254" i="80"/>
  <c r="L246" i="80"/>
  <c r="M246" i="80" s="1"/>
  <c r="L64" i="80"/>
  <c r="M64" i="80" s="1"/>
  <c r="E25" i="80"/>
  <c r="S64" i="80"/>
  <c r="P220" i="80"/>
  <c r="L220" i="80"/>
  <c r="M220" i="80" s="1"/>
  <c r="S224" i="80"/>
  <c r="G220" i="80"/>
  <c r="P275" i="80"/>
  <c r="G254" i="80"/>
  <c r="L80" i="80"/>
  <c r="M80" i="80" s="1"/>
  <c r="P87" i="80"/>
  <c r="H80" i="80"/>
  <c r="L193" i="80"/>
  <c r="M193" i="80" s="1"/>
  <c r="H265" i="80"/>
  <c r="E166" i="80"/>
  <c r="F233" i="80"/>
  <c r="K233" i="80"/>
  <c r="H255" i="80"/>
  <c r="P245" i="80"/>
  <c r="E59" i="80"/>
  <c r="G162" i="80"/>
  <c r="S113" i="80"/>
  <c r="J215" i="80"/>
  <c r="J163" i="80"/>
  <c r="J35" i="80"/>
  <c r="J100" i="80"/>
  <c r="J97" i="80"/>
  <c r="J135" i="80"/>
  <c r="J85" i="80"/>
  <c r="J95" i="80"/>
  <c r="J219" i="80"/>
  <c r="J26" i="80"/>
  <c r="J105" i="80"/>
  <c r="J256" i="80"/>
  <c r="J275" i="80"/>
  <c r="J36" i="80"/>
  <c r="J123" i="80"/>
  <c r="J29" i="80"/>
  <c r="J162" i="80"/>
  <c r="J245" i="80"/>
  <c r="J263" i="80"/>
  <c r="J262" i="80"/>
  <c r="J156" i="80"/>
  <c r="J48" i="80"/>
  <c r="J65" i="80"/>
  <c r="J68" i="80"/>
  <c r="J118" i="80"/>
  <c r="J251" i="80"/>
  <c r="J51" i="80"/>
  <c r="J206" i="80"/>
  <c r="J194" i="80"/>
  <c r="J61" i="80"/>
  <c r="J107" i="80"/>
  <c r="J143" i="80"/>
  <c r="J71" i="80"/>
  <c r="J270" i="80"/>
  <c r="J111" i="80"/>
  <c r="J281" i="80"/>
  <c r="J225" i="80"/>
  <c r="J207" i="80"/>
  <c r="J75" i="80"/>
  <c r="J132" i="80"/>
  <c r="J42" i="80"/>
  <c r="G59" i="80"/>
  <c r="K254" i="80"/>
  <c r="N254" i="80"/>
  <c r="E220" i="80"/>
  <c r="N240" i="80"/>
  <c r="G203" i="80"/>
  <c r="E64" i="80"/>
  <c r="L25" i="80"/>
  <c r="M25" i="80" s="1"/>
  <c r="L250" i="80"/>
  <c r="M250" i="80" s="1"/>
  <c r="G250" i="80"/>
  <c r="E275" i="80"/>
  <c r="R68" i="80"/>
  <c r="F176" i="80"/>
  <c r="K199" i="80"/>
  <c r="S176" i="80"/>
  <c r="S199" i="80"/>
  <c r="K176" i="80"/>
  <c r="F199" i="80"/>
  <c r="S264" i="80"/>
  <c r="S23" i="80"/>
  <c r="F243" i="80"/>
  <c r="F249" i="80"/>
  <c r="S178" i="80"/>
  <c r="F237" i="80"/>
  <c r="S26" i="80"/>
  <c r="S222" i="80"/>
  <c r="S267" i="80"/>
  <c r="K170" i="80"/>
  <c r="S234" i="80"/>
  <c r="S32" i="80"/>
  <c r="F36" i="80"/>
  <c r="S61" i="80"/>
  <c r="F32" i="80"/>
  <c r="F148" i="80"/>
  <c r="F247" i="80"/>
  <c r="S109" i="80"/>
  <c r="K160" i="80"/>
  <c r="F51" i="80"/>
  <c r="S34" i="80"/>
  <c r="S54" i="80"/>
  <c r="F183" i="80"/>
  <c r="S44" i="80"/>
  <c r="S128" i="80"/>
  <c r="K180" i="80"/>
  <c r="F153" i="80"/>
  <c r="F191" i="80"/>
  <c r="S215" i="80"/>
  <c r="S213" i="80"/>
  <c r="F177" i="80"/>
  <c r="F95" i="80"/>
  <c r="S190" i="80"/>
  <c r="S211" i="80"/>
  <c r="F142" i="80"/>
  <c r="F269" i="80"/>
  <c r="F94" i="80"/>
  <c r="F60" i="80"/>
  <c r="K60" i="80"/>
  <c r="S45" i="80"/>
  <c r="F235" i="80"/>
  <c r="F271" i="80"/>
  <c r="S175" i="80"/>
  <c r="F210" i="80"/>
  <c r="F131" i="80"/>
  <c r="S270" i="80"/>
  <c r="S228" i="80"/>
  <c r="F126" i="80"/>
  <c r="S210" i="80"/>
  <c r="K157" i="80"/>
  <c r="S20" i="80"/>
  <c r="F53" i="80"/>
  <c r="S130" i="80"/>
  <c r="K24" i="80"/>
  <c r="K203" i="80"/>
  <c r="K64" i="80"/>
  <c r="F275" i="80"/>
  <c r="S240" i="80"/>
  <c r="F264" i="80"/>
  <c r="F229" i="80"/>
  <c r="S13" i="80"/>
  <c r="S84" i="80"/>
  <c r="K248" i="80"/>
  <c r="F230" i="80"/>
  <c r="S256" i="80"/>
  <c r="S280" i="80"/>
  <c r="K73" i="80"/>
  <c r="S239" i="80"/>
  <c r="S282" i="80"/>
  <c r="F45" i="80"/>
  <c r="K168" i="80"/>
  <c r="S216" i="80"/>
  <c r="S53" i="80"/>
  <c r="F245" i="80"/>
  <c r="S115" i="80"/>
  <c r="K89" i="80"/>
  <c r="S143" i="80"/>
  <c r="F99" i="80"/>
  <c r="S188" i="80"/>
  <c r="S111" i="80"/>
  <c r="F134" i="80"/>
  <c r="F72" i="80"/>
  <c r="K158" i="80"/>
  <c r="F146" i="80"/>
  <c r="S206" i="80"/>
  <c r="S260" i="80"/>
  <c r="F284" i="80"/>
  <c r="S225" i="80"/>
  <c r="K38" i="80"/>
  <c r="K215" i="80"/>
  <c r="S249" i="80"/>
  <c r="K56" i="80"/>
  <c r="F40" i="80"/>
  <c r="F85" i="80"/>
  <c r="S153" i="80"/>
  <c r="S185" i="80"/>
  <c r="F239" i="80"/>
  <c r="F105" i="80"/>
  <c r="S174" i="80"/>
  <c r="F244" i="80"/>
  <c r="S123" i="80"/>
  <c r="F100" i="80"/>
  <c r="K282" i="80"/>
  <c r="K26" i="80"/>
  <c r="F218" i="80"/>
  <c r="F83" i="80"/>
  <c r="F96" i="80"/>
  <c r="F149" i="80"/>
  <c r="S149" i="80"/>
  <c r="K167" i="80"/>
  <c r="S259" i="80"/>
  <c r="F80" i="80"/>
  <c r="S179" i="80"/>
  <c r="S94" i="80"/>
  <c r="F104" i="80"/>
  <c r="F280" i="80"/>
  <c r="F150" i="80"/>
  <c r="S233" i="80"/>
  <c r="S166" i="80"/>
  <c r="F265" i="80"/>
  <c r="S255" i="80"/>
  <c r="S162" i="80"/>
  <c r="K265" i="80"/>
  <c r="S203" i="80"/>
  <c r="S25" i="80"/>
  <c r="S275" i="80"/>
  <c r="F84" i="80"/>
  <c r="F59" i="80"/>
  <c r="S118" i="80"/>
  <c r="S86" i="80"/>
  <c r="S131" i="80"/>
  <c r="S232" i="80"/>
  <c r="S35" i="80"/>
  <c r="F178" i="80"/>
  <c r="S287" i="80"/>
  <c r="F263" i="80"/>
  <c r="F17" i="80"/>
  <c r="F162" i="80"/>
  <c r="F254" i="80"/>
  <c r="F240" i="80"/>
  <c r="S246" i="80"/>
  <c r="K134" i="80"/>
  <c r="F61" i="80"/>
  <c r="F132" i="80"/>
  <c r="S148" i="80"/>
  <c r="K234" i="80"/>
  <c r="F260" i="80"/>
  <c r="S202" i="80"/>
  <c r="S72" i="80"/>
  <c r="S159" i="80"/>
  <c r="K62" i="80"/>
  <c r="S219" i="80"/>
  <c r="K183" i="80"/>
  <c r="F103" i="80"/>
  <c r="S180" i="80"/>
  <c r="F34" i="80"/>
  <c r="F111" i="80"/>
  <c r="S52" i="80"/>
  <c r="S186" i="80"/>
  <c r="F213" i="80"/>
  <c r="S177" i="80"/>
  <c r="S252" i="80"/>
  <c r="F56" i="80"/>
  <c r="K85" i="80"/>
  <c r="F97" i="80"/>
  <c r="F192" i="80"/>
  <c r="F276" i="80"/>
  <c r="S48" i="80"/>
  <c r="S268" i="80"/>
  <c r="F123" i="80"/>
  <c r="S217" i="80"/>
  <c r="S168" i="80"/>
  <c r="S182" i="80"/>
  <c r="F71" i="80"/>
  <c r="S96" i="80"/>
  <c r="K34" i="80"/>
  <c r="S74" i="80"/>
  <c r="S184" i="80"/>
  <c r="F203" i="80"/>
  <c r="K25" i="80"/>
  <c r="K250" i="80"/>
  <c r="F179" i="80"/>
  <c r="F54" i="80"/>
  <c r="S67" i="80"/>
  <c r="F278" i="80"/>
  <c r="F227" i="80"/>
  <c r="S135" i="80"/>
  <c r="F37" i="80"/>
  <c r="F109" i="80"/>
  <c r="S208" i="80"/>
  <c r="F226" i="80"/>
  <c r="S30" i="80"/>
  <c r="S238" i="80"/>
  <c r="S189" i="80"/>
  <c r="S82" i="80"/>
  <c r="K218" i="80"/>
  <c r="S231" i="80"/>
  <c r="F58" i="80"/>
  <c r="F128" i="80"/>
  <c r="F261" i="80"/>
  <c r="F223" i="80"/>
  <c r="S55" i="80"/>
  <c r="S99" i="80"/>
  <c r="F23" i="80"/>
  <c r="K227" i="80"/>
  <c r="F92" i="80"/>
  <c r="S15" i="80"/>
  <c r="F15" i="80"/>
  <c r="S212" i="80"/>
  <c r="S285" i="80"/>
  <c r="F242" i="80"/>
  <c r="S40" i="80"/>
  <c r="F252" i="80"/>
  <c r="S288" i="80"/>
  <c r="K173" i="80"/>
  <c r="K273" i="80"/>
  <c r="F75" i="80"/>
  <c r="K144" i="80"/>
  <c r="F151" i="80"/>
  <c r="S192" i="80"/>
  <c r="S114" i="80"/>
  <c r="S248" i="80"/>
  <c r="S140" i="80"/>
  <c r="F224" i="80"/>
  <c r="F170" i="80"/>
  <c r="F196" i="80"/>
  <c r="K274" i="80"/>
  <c r="F267" i="80"/>
  <c r="F129" i="80"/>
  <c r="F268" i="80"/>
  <c r="S107" i="80"/>
  <c r="F197" i="80"/>
  <c r="S286" i="80"/>
  <c r="S226" i="80"/>
  <c r="S235" i="80"/>
  <c r="F194" i="80"/>
  <c r="S87" i="80"/>
  <c r="F163" i="80"/>
  <c r="K66" i="80"/>
  <c r="S241" i="80"/>
  <c r="F166" i="80"/>
  <c r="F113" i="80"/>
  <c r="S220" i="80"/>
  <c r="F64" i="80"/>
  <c r="K246" i="80"/>
  <c r="S24" i="80"/>
  <c r="S121" i="80"/>
  <c r="F41" i="80"/>
  <c r="S57" i="80"/>
  <c r="S251" i="80"/>
  <c r="K242" i="80"/>
  <c r="S158" i="80"/>
  <c r="S56" i="80"/>
  <c r="K213" i="80"/>
  <c r="F88" i="80"/>
  <c r="F13" i="80"/>
  <c r="F282" i="80"/>
  <c r="F286" i="80"/>
  <c r="S18" i="80"/>
  <c r="S116" i="80"/>
  <c r="F28" i="80"/>
  <c r="F180" i="80"/>
  <c r="F234" i="80"/>
  <c r="K261" i="80"/>
  <c r="S230" i="80"/>
  <c r="F236" i="80"/>
  <c r="K247" i="80"/>
  <c r="S183" i="80"/>
  <c r="S169" i="80"/>
  <c r="S283" i="80"/>
  <c r="K283" i="80"/>
  <c r="S95" i="80"/>
  <c r="S273" i="80"/>
  <c r="K111" i="80"/>
  <c r="F122" i="80"/>
  <c r="S279" i="80"/>
  <c r="F277" i="80"/>
  <c r="F279" i="80"/>
  <c r="F33" i="80"/>
  <c r="S170" i="80"/>
  <c r="F174" i="80"/>
  <c r="S137" i="80"/>
  <c r="F262" i="80"/>
  <c r="S71" i="80"/>
  <c r="F217" i="80"/>
  <c r="F66" i="80"/>
  <c r="F81" i="80"/>
  <c r="F195" i="80"/>
  <c r="F272" i="80"/>
  <c r="F228" i="80"/>
  <c r="F117" i="80"/>
  <c r="F74" i="80"/>
  <c r="F167" i="80"/>
  <c r="F112" i="80"/>
  <c r="S193" i="80"/>
  <c r="F184" i="80"/>
  <c r="S59" i="80"/>
  <c r="F175" i="80"/>
  <c r="F232" i="80"/>
  <c r="F101" i="80"/>
  <c r="K208" i="80"/>
  <c r="F250" i="80"/>
  <c r="S110" i="80"/>
  <c r="Z3" i="23"/>
  <c r="AC3" i="23" s="1"/>
  <c r="C9" i="90"/>
  <c r="O14" i="86"/>
  <c r="AI8" i="46"/>
  <c r="J11" i="46"/>
  <c r="AB11" i="46" s="1"/>
  <c r="D12" i="90" s="1"/>
  <c r="V13" i="46"/>
  <c r="W13" i="46" s="1"/>
  <c r="BK14" i="107"/>
  <c r="AI3" i="23"/>
  <c r="G9" i="46"/>
  <c r="L10" i="90" s="1"/>
  <c r="E13" i="46"/>
  <c r="J13" i="46"/>
  <c r="AB13" i="46" s="1"/>
  <c r="D14" i="90" s="1"/>
  <c r="V8" i="46"/>
  <c r="W8" i="46" s="1"/>
  <c r="AI14" i="46"/>
  <c r="I9" i="46"/>
  <c r="T9" i="46" s="1"/>
  <c r="I18" i="46"/>
  <c r="T18" i="46" s="1"/>
  <c r="I11" i="46"/>
  <c r="T11" i="46" s="1"/>
  <c r="V9" i="46"/>
  <c r="W9" i="46" s="1"/>
  <c r="AI9" i="46"/>
  <c r="M9" i="46"/>
  <c r="O6" i="86"/>
  <c r="H15" i="46"/>
  <c r="M16" i="90" s="1"/>
  <c r="AI15" i="46"/>
  <c r="I12" i="46"/>
  <c r="T12" i="46" s="1"/>
  <c r="AI12" i="46"/>
  <c r="I17" i="46"/>
  <c r="T17" i="46" s="1"/>
  <c r="G12" i="46"/>
  <c r="L13" i="90" s="1"/>
  <c r="B17" i="46"/>
  <c r="N18" i="90" s="1"/>
  <c r="O18" i="90" s="1"/>
  <c r="I14" i="46"/>
  <c r="T14" i="46" s="1"/>
  <c r="BK18" i="107"/>
  <c r="AH13" i="46"/>
  <c r="AG13" i="46" s="1"/>
  <c r="AF13" i="46" s="1"/>
  <c r="F13" i="46" s="1"/>
  <c r="K14" i="90" s="1"/>
  <c r="H18" i="46"/>
  <c r="M19" i="90" s="1"/>
  <c r="C12" i="90"/>
  <c r="V16" i="46"/>
  <c r="W16" i="46" s="1"/>
  <c r="H7" i="46"/>
  <c r="M8" i="90" s="1"/>
  <c r="Q14" i="92"/>
  <c r="DG14" i="92" s="1"/>
  <c r="J18" i="46"/>
  <c r="AB18" i="46" s="1"/>
  <c r="D19" i="90" s="1"/>
  <c r="BK16" i="107"/>
  <c r="I7" i="46"/>
  <c r="H14" i="46"/>
  <c r="M15" i="90" s="1"/>
  <c r="O8" i="86"/>
  <c r="BK15" i="107"/>
  <c r="V11" i="46"/>
  <c r="W11" i="46" s="1"/>
  <c r="O5" i="86"/>
  <c r="AI17" i="46"/>
  <c r="AH15" i="46"/>
  <c r="AG15" i="46" s="1"/>
  <c r="AF15" i="46" s="1"/>
  <c r="F15" i="46" s="1"/>
  <c r="J16" i="90" s="1"/>
  <c r="AI10" i="46"/>
  <c r="I13" i="46"/>
  <c r="T13" i="46" s="1"/>
  <c r="C11" i="90"/>
  <c r="I16" i="46"/>
  <c r="T16" i="46" s="1"/>
  <c r="V15" i="46"/>
  <c r="W15" i="46" s="1"/>
  <c r="V7" i="46"/>
  <c r="W7" i="46" s="1"/>
  <c r="V14" i="46"/>
  <c r="W14" i="46" s="1"/>
  <c r="D10" i="46"/>
  <c r="H11" i="90" s="1"/>
  <c r="AI13" i="46"/>
  <c r="V18" i="46"/>
  <c r="W18" i="46" s="1"/>
  <c r="V12" i="46"/>
  <c r="W12" i="46" s="1"/>
  <c r="D17" i="46"/>
  <c r="H18" i="90" s="1"/>
  <c r="AI11" i="46"/>
  <c r="J15" i="46"/>
  <c r="AB15" i="46" s="1"/>
  <c r="D16" i="90" s="1"/>
  <c r="V17" i="46"/>
  <c r="W17" i="46" s="1"/>
  <c r="B12" i="46"/>
  <c r="N13" i="90" s="1"/>
  <c r="O13" i="90" s="1"/>
  <c r="AI16" i="46"/>
  <c r="AI7" i="46"/>
  <c r="J10" i="46"/>
  <c r="AB10" i="46" s="1"/>
  <c r="D11" i="90" s="1"/>
  <c r="AI18" i="46"/>
  <c r="C19" i="90"/>
  <c r="G18" i="46"/>
  <c r="L19" i="90" s="1"/>
  <c r="I10" i="46"/>
  <c r="T10" i="46" s="1"/>
  <c r="G14" i="46"/>
  <c r="L15" i="90" s="1"/>
  <c r="H9" i="46"/>
  <c r="M10" i="90" s="1"/>
  <c r="B15" i="46"/>
  <c r="N16" i="90" s="1"/>
  <c r="O16" i="90" s="1"/>
  <c r="I15" i="46"/>
  <c r="T15" i="46" s="1"/>
  <c r="G8" i="46"/>
  <c r="L9" i="90" s="1"/>
  <c r="AH9" i="46"/>
  <c r="AG9" i="46" s="1"/>
  <c r="AF9" i="46" s="1"/>
  <c r="F9" i="46" s="1"/>
  <c r="J10" i="90" s="1"/>
  <c r="Q17" i="92"/>
  <c r="DG17" i="92" s="1"/>
  <c r="G27" i="80"/>
  <c r="Q15" i="92"/>
  <c r="DG15" i="92" s="1"/>
  <c r="Q27" i="92"/>
  <c r="DG27" i="92" s="1"/>
  <c r="L27" i="80"/>
  <c r="M27" i="80" s="1"/>
  <c r="V27" i="80"/>
  <c r="W27" i="80"/>
  <c r="K27" i="80"/>
  <c r="H27" i="80"/>
  <c r="S27" i="80"/>
  <c r="U27" i="80"/>
  <c r="P27" i="80"/>
  <c r="F27" i="80"/>
  <c r="N27" i="80"/>
  <c r="E27" i="80"/>
  <c r="Q27" i="80"/>
  <c r="J27" i="80"/>
  <c r="Q16" i="92"/>
  <c r="DG16" i="92" s="1"/>
  <c r="AA8" i="108"/>
  <c r="N14" i="92"/>
  <c r="R16" i="108"/>
  <c r="AA14" i="108"/>
  <c r="AA15" i="108"/>
  <c r="AA13" i="108"/>
  <c r="AA11" i="108"/>
  <c r="AA17" i="108"/>
  <c r="D13" i="46"/>
  <c r="H14" i="90" s="1"/>
  <c r="AA16" i="108"/>
  <c r="AA18" i="108"/>
  <c r="AA9" i="108"/>
  <c r="T3" i="23"/>
  <c r="U3" i="23" s="1"/>
  <c r="AA10" i="108"/>
  <c r="AA7" i="108"/>
  <c r="Z13" i="92"/>
  <c r="J13" i="92"/>
  <c r="Y13" i="92" s="1"/>
  <c r="L13" i="98" s="1"/>
  <c r="Z18" i="92"/>
  <c r="J18" i="92"/>
  <c r="Y18" i="92" s="1"/>
  <c r="L18" i="98" s="1"/>
  <c r="Z11" i="92"/>
  <c r="J11" i="92"/>
  <c r="Y11" i="92" s="1"/>
  <c r="L11" i="98" s="1"/>
  <c r="Z25" i="92"/>
  <c r="J25" i="92"/>
  <c r="Y25" i="92" s="1"/>
  <c r="L25" i="98" s="1"/>
  <c r="Z32" i="92"/>
  <c r="J32" i="92"/>
  <c r="Y32" i="92" s="1"/>
  <c r="L32" i="98" s="1"/>
  <c r="Z8" i="92"/>
  <c r="J8" i="92"/>
  <c r="Y8" i="92" s="1"/>
  <c r="L8" i="98" s="1"/>
  <c r="Z22" i="92"/>
  <c r="J22" i="92"/>
  <c r="Y22" i="92" s="1"/>
  <c r="L22" i="98" s="1"/>
  <c r="Z7" i="92"/>
  <c r="J7" i="92"/>
  <c r="Y7" i="92" s="1"/>
  <c r="L7" i="98" s="1"/>
  <c r="Z14" i="92"/>
  <c r="J14" i="92"/>
  <c r="Y14" i="92" s="1"/>
  <c r="L14" i="98" s="1"/>
  <c r="Z21" i="92"/>
  <c r="J21" i="92"/>
  <c r="Y21" i="92" s="1"/>
  <c r="L21" i="98" s="1"/>
  <c r="Z27" i="92"/>
  <c r="J27" i="92"/>
  <c r="Y27" i="92" s="1"/>
  <c r="L27" i="98" s="1"/>
  <c r="Z12" i="92"/>
  <c r="J12" i="92"/>
  <c r="Y12" i="92" s="1"/>
  <c r="L12" i="98" s="1"/>
  <c r="Z17" i="92"/>
  <c r="J17" i="92"/>
  <c r="Y17" i="92" s="1"/>
  <c r="L17" i="98" s="1"/>
  <c r="Z36" i="92"/>
  <c r="J36" i="92"/>
  <c r="Y36" i="92" s="1"/>
  <c r="L36" i="98" s="1"/>
  <c r="Z26" i="92"/>
  <c r="J26" i="92"/>
  <c r="Y26" i="92" s="1"/>
  <c r="L26" i="98" s="1"/>
  <c r="Z9" i="92"/>
  <c r="J9" i="92"/>
  <c r="Y9" i="92" s="1"/>
  <c r="L9" i="98" s="1"/>
  <c r="Z23" i="92"/>
  <c r="J23" i="92"/>
  <c r="Y23" i="92" s="1"/>
  <c r="L23" i="98" s="1"/>
  <c r="Z28" i="92"/>
  <c r="J28" i="92"/>
  <c r="Y28" i="92" s="1"/>
  <c r="L28" i="98" s="1"/>
  <c r="Z24" i="92"/>
  <c r="J24" i="92"/>
  <c r="Y24" i="92" s="1"/>
  <c r="L24" i="98" s="1"/>
  <c r="Z16" i="92"/>
  <c r="J16" i="92"/>
  <c r="Y16" i="92" s="1"/>
  <c r="L16" i="98" s="1"/>
  <c r="Z29" i="92"/>
  <c r="J29" i="92"/>
  <c r="Y29" i="92" s="1"/>
  <c r="L29" i="98" s="1"/>
  <c r="Z20" i="92"/>
  <c r="J20" i="92"/>
  <c r="Y20" i="92" s="1"/>
  <c r="L20" i="98" s="1"/>
  <c r="Z33" i="92"/>
  <c r="J33" i="92"/>
  <c r="Y33" i="92" s="1"/>
  <c r="L33" i="98" s="1"/>
  <c r="Z10" i="92"/>
  <c r="J10" i="92"/>
  <c r="Y10" i="92" s="1"/>
  <c r="L10" i="98" s="1"/>
  <c r="Z30" i="92"/>
  <c r="J30" i="92"/>
  <c r="Y30" i="92" s="1"/>
  <c r="L30" i="98" s="1"/>
  <c r="Z15" i="92"/>
  <c r="J15" i="92"/>
  <c r="Y15" i="92" s="1"/>
  <c r="L15" i="98" s="1"/>
  <c r="AA12" i="108"/>
  <c r="AH16" i="46"/>
  <c r="AG16" i="46" s="1"/>
  <c r="AF16" i="46" s="1"/>
  <c r="F16" i="46" s="1"/>
  <c r="J17" i="90" s="1"/>
  <c r="BK7" i="107"/>
  <c r="BP16" i="92"/>
  <c r="H16" i="98"/>
  <c r="BP15" i="92"/>
  <c r="H15" i="98"/>
  <c r="BP11" i="92"/>
  <c r="H11" i="98"/>
  <c r="BP14" i="92"/>
  <c r="H14" i="98"/>
  <c r="BP13" i="92"/>
  <c r="H13" i="98"/>
  <c r="BP9" i="92"/>
  <c r="H9" i="98"/>
  <c r="BP17" i="92"/>
  <c r="H17" i="98"/>
  <c r="BP12" i="92"/>
  <c r="H12" i="98"/>
  <c r="BP18" i="92"/>
  <c r="H18" i="98"/>
  <c r="BP10" i="92"/>
  <c r="H10" i="98"/>
  <c r="D15" i="46"/>
  <c r="H16" i="90" s="1"/>
  <c r="I12" i="82"/>
  <c r="BK17" i="107"/>
  <c r="BK8" i="107"/>
  <c r="BK10" i="107"/>
  <c r="BK11" i="107"/>
  <c r="BK9" i="107"/>
  <c r="BK12" i="107"/>
  <c r="BK13" i="107"/>
  <c r="M15" i="46"/>
  <c r="O11" i="86"/>
  <c r="AG8" i="98"/>
  <c r="C17" i="90"/>
  <c r="O3" i="86"/>
  <c r="K24" i="92"/>
  <c r="K15" i="92"/>
  <c r="K18" i="92"/>
  <c r="N27" i="92"/>
  <c r="L9" i="92"/>
  <c r="D16" i="46"/>
  <c r="H17" i="90" s="1"/>
  <c r="E17" i="46"/>
  <c r="O10" i="86"/>
  <c r="D11" i="46"/>
  <c r="H12" i="90" s="1"/>
  <c r="P14" i="92"/>
  <c r="J12" i="46"/>
  <c r="AB12" i="46" s="1"/>
  <c r="D13" i="90" s="1"/>
  <c r="P27" i="92"/>
  <c r="P29" i="92"/>
  <c r="P15" i="92"/>
  <c r="P26" i="92"/>
  <c r="G15" i="46"/>
  <c r="L16" i="90" s="1"/>
  <c r="C16" i="90"/>
  <c r="C18" i="46"/>
  <c r="E19" i="90" s="1"/>
  <c r="G11" i="46"/>
  <c r="L12" i="90" s="1"/>
  <c r="M8" i="46"/>
  <c r="B14" i="46"/>
  <c r="B10" i="46"/>
  <c r="E9" i="46"/>
  <c r="E10" i="46"/>
  <c r="L20" i="92"/>
  <c r="H16" i="46"/>
  <c r="M17" i="90" s="1"/>
  <c r="B18" i="46"/>
  <c r="X18" i="46" s="1"/>
  <c r="G13" i="46"/>
  <c r="L14" i="90" s="1"/>
  <c r="G7" i="46"/>
  <c r="L8" i="90" s="1"/>
  <c r="C16" i="46"/>
  <c r="E17" i="90" s="1"/>
  <c r="G17" i="46"/>
  <c r="L18" i="90" s="1"/>
  <c r="B16" i="46"/>
  <c r="G10" i="46"/>
  <c r="L11" i="90" s="1"/>
  <c r="G16" i="46"/>
  <c r="L17" i="90" s="1"/>
  <c r="H12" i="82"/>
  <c r="C11" i="46"/>
  <c r="E12" i="90" s="1"/>
  <c r="K25" i="92"/>
  <c r="H10" i="46"/>
  <c r="M11" i="90" s="1"/>
  <c r="J9" i="46"/>
  <c r="AB9" i="46" s="1"/>
  <c r="D10" i="90" s="1"/>
  <c r="M25" i="92"/>
  <c r="AG25" i="98"/>
  <c r="D9" i="46"/>
  <c r="H10" i="90" s="1"/>
  <c r="AG22" i="98"/>
  <c r="H12" i="46"/>
  <c r="M13" i="90" s="1"/>
  <c r="AG17" i="98"/>
  <c r="AG33" i="98"/>
  <c r="AG20" i="98"/>
  <c r="AG26" i="98"/>
  <c r="AG36" i="98"/>
  <c r="AG24" i="98"/>
  <c r="O2" i="86"/>
  <c r="P25" i="92"/>
  <c r="M18" i="46"/>
  <c r="H11" i="46"/>
  <c r="M12" i="90" s="1"/>
  <c r="J17" i="46"/>
  <c r="AB17" i="46" s="1"/>
  <c r="D18" i="90" s="1"/>
  <c r="C15" i="46"/>
  <c r="E16" i="90" s="1"/>
  <c r="E15" i="46"/>
  <c r="B11" i="46"/>
  <c r="X11" i="46" s="1"/>
  <c r="C13" i="46"/>
  <c r="E14" i="90" s="1"/>
  <c r="C12" i="82"/>
  <c r="D18" i="82" s="1"/>
  <c r="N25" i="92"/>
  <c r="M10" i="46"/>
  <c r="L29" i="92"/>
  <c r="M27" i="92"/>
  <c r="P17" i="92"/>
  <c r="L19" i="92"/>
  <c r="L24" i="92"/>
  <c r="K26" i="92"/>
  <c r="L17" i="92"/>
  <c r="L32" i="92"/>
  <c r="AE14" i="92"/>
  <c r="L16" i="108"/>
  <c r="R15" i="108"/>
  <c r="L15" i="108"/>
  <c r="R17" i="108"/>
  <c r="Q15" i="108"/>
  <c r="AF17" i="108"/>
  <c r="T22" i="82"/>
  <c r="C8" i="82" s="1"/>
  <c r="T30" i="82"/>
  <c r="P16" i="82" s="1"/>
  <c r="Q17" i="108"/>
  <c r="M17" i="92"/>
  <c r="K13" i="92"/>
  <c r="P12" i="92"/>
  <c r="AE25" i="92"/>
  <c r="N24" i="92"/>
  <c r="L13" i="92"/>
  <c r="AG13" i="98"/>
  <c r="L12" i="92"/>
  <c r="Q12" i="92"/>
  <c r="DG12" i="92" s="1"/>
  <c r="D18" i="46"/>
  <c r="H19" i="90" s="1"/>
  <c r="AH14" i="46"/>
  <c r="M13" i="46"/>
  <c r="Q10" i="92"/>
  <c r="DG10" i="92" s="1"/>
  <c r="P18" i="92"/>
  <c r="N17" i="92"/>
  <c r="K12" i="82"/>
  <c r="AE18" i="92"/>
  <c r="F12" i="82"/>
  <c r="T29" i="82"/>
  <c r="T27" i="82" s="1"/>
  <c r="D12" i="82"/>
  <c r="K10" i="92"/>
  <c r="E16" i="46"/>
  <c r="K28" i="92"/>
  <c r="K17" i="92"/>
  <c r="AG15" i="98"/>
  <c r="N12" i="92"/>
  <c r="AG30" i="98"/>
  <c r="AG18" i="98"/>
  <c r="D7" i="46"/>
  <c r="H8" i="90" s="1"/>
  <c r="E11" i="46"/>
  <c r="AG27" i="98"/>
  <c r="L17" i="108"/>
  <c r="C10" i="90"/>
  <c r="AG7" i="98"/>
  <c r="AG19" i="98"/>
  <c r="K14" i="92"/>
  <c r="L18" i="92"/>
  <c r="AG14" i="98"/>
  <c r="N18" i="92"/>
  <c r="P24" i="92"/>
  <c r="AE19" i="92"/>
  <c r="M18" i="92"/>
  <c r="AG10" i="98"/>
  <c r="AG12" i="98"/>
  <c r="AE17" i="92"/>
  <c r="AH17" i="46"/>
  <c r="AG17" i="46" s="1"/>
  <c r="AF17" i="46" s="1"/>
  <c r="F17" i="46" s="1"/>
  <c r="J18" i="90" s="1"/>
  <c r="C9" i="46"/>
  <c r="E10" i="90" s="1"/>
  <c r="M16" i="46"/>
  <c r="M11" i="46"/>
  <c r="C18" i="90"/>
  <c r="K27" i="92"/>
  <c r="L21" i="92"/>
  <c r="AE24" i="92"/>
  <c r="M23" i="92"/>
  <c r="M24" i="92"/>
  <c r="L14" i="92"/>
  <c r="Q24" i="92"/>
  <c r="DG24" i="92" s="1"/>
  <c r="C15" i="90"/>
  <c r="M16" i="92"/>
  <c r="Q25" i="92"/>
  <c r="DG25" i="92" s="1"/>
  <c r="L26" i="92"/>
  <c r="Q23" i="92"/>
  <c r="DG23" i="92" s="1"/>
  <c r="L27" i="92"/>
  <c r="L15" i="92"/>
  <c r="AE26" i="92"/>
  <c r="AE27" i="92"/>
  <c r="Q22" i="92"/>
  <c r="DG22" i="92" s="1"/>
  <c r="AH7" i="46"/>
  <c r="AG7" i="46" s="1"/>
  <c r="AF7" i="46" s="1"/>
  <c r="AE15" i="92"/>
  <c r="Q13" i="92"/>
  <c r="DG13" i="92" s="1"/>
  <c r="L23" i="92"/>
  <c r="H13" i="46"/>
  <c r="M14" i="90" s="1"/>
  <c r="L25" i="92"/>
  <c r="AE11" i="92"/>
  <c r="M12" i="92"/>
  <c r="Q18" i="92"/>
  <c r="DG18" i="92" s="1"/>
  <c r="AE13" i="92"/>
  <c r="K16" i="92"/>
  <c r="B13" i="46"/>
  <c r="N14" i="90" s="1"/>
  <c r="O14" i="90" s="1"/>
  <c r="M11" i="92"/>
  <c r="N9" i="92"/>
  <c r="P32" i="92"/>
  <c r="M9" i="92"/>
  <c r="Q9" i="92"/>
  <c r="DG9" i="92" s="1"/>
  <c r="M15" i="92"/>
  <c r="N16" i="92"/>
  <c r="B9" i="46"/>
  <c r="X9" i="46" s="1"/>
  <c r="N15" i="92"/>
  <c r="N17" i="108"/>
  <c r="M14" i="92"/>
  <c r="N16" i="108"/>
  <c r="K12" i="92"/>
  <c r="T31" i="82"/>
  <c r="N15" i="108"/>
  <c r="O13" i="86"/>
  <c r="M26" i="92"/>
  <c r="N22" i="92"/>
  <c r="M22" i="92"/>
  <c r="P22" i="92"/>
  <c r="AF16" i="108"/>
  <c r="Q16" i="108"/>
  <c r="T25" i="82"/>
  <c r="T26" i="82" s="1"/>
  <c r="Q21" i="92"/>
  <c r="DG21" i="92" s="1"/>
  <c r="Q26" i="92"/>
  <c r="DG26" i="92" s="1"/>
  <c r="L11" i="92"/>
  <c r="C14" i="90"/>
  <c r="J14" i="46"/>
  <c r="AB14" i="46" s="1"/>
  <c r="D15" i="90" s="1"/>
  <c r="C7" i="46"/>
  <c r="E8" i="90" s="1"/>
  <c r="M13" i="92"/>
  <c r="O4" i="86"/>
  <c r="C14" i="46"/>
  <c r="E15" i="90" s="1"/>
  <c r="C17" i="46"/>
  <c r="E18" i="90" s="1"/>
  <c r="P16" i="92"/>
  <c r="AG16" i="98"/>
  <c r="AE16" i="92"/>
  <c r="K23" i="92"/>
  <c r="M19" i="92"/>
  <c r="M32" i="92"/>
  <c r="N26" i="92"/>
  <c r="AE12" i="92"/>
  <c r="Q19" i="92"/>
  <c r="DG19" i="92" s="1"/>
  <c r="M21" i="92"/>
  <c r="D12" i="46"/>
  <c r="H13" i="90" s="1"/>
  <c r="AG29" i="98"/>
  <c r="M14" i="46"/>
  <c r="AG35" i="98"/>
  <c r="G12" i="82"/>
  <c r="C10" i="46"/>
  <c r="E11" i="90" s="1"/>
  <c r="M7" i="46"/>
  <c r="AG32" i="98"/>
  <c r="AG9" i="98"/>
  <c r="M12" i="46"/>
  <c r="K11" i="92"/>
  <c r="N13" i="92"/>
  <c r="N23" i="92"/>
  <c r="P13" i="92"/>
  <c r="AG23" i="98"/>
  <c r="O9" i="86"/>
  <c r="AG21" i="98"/>
  <c r="N29" i="92"/>
  <c r="N32" i="92"/>
  <c r="AG34" i="98"/>
  <c r="N19" i="92"/>
  <c r="Q29" i="92"/>
  <c r="DG29" i="92" s="1"/>
  <c r="O12" i="86"/>
  <c r="AH12" i="46"/>
  <c r="AG12" i="46" s="1"/>
  <c r="AF12" i="46" s="1"/>
  <c r="F12" i="46" s="1"/>
  <c r="K13" i="90" s="1"/>
  <c r="AF10" i="108"/>
  <c r="O7" i="86"/>
  <c r="J7" i="46"/>
  <c r="AB7" i="46" s="1"/>
  <c r="D8" i="90" s="1"/>
  <c r="N14" i="108"/>
  <c r="Q12" i="108"/>
  <c r="AF14" i="108"/>
  <c r="Q13" i="108"/>
  <c r="R12" i="108"/>
  <c r="AF15" i="108"/>
  <c r="R13" i="108"/>
  <c r="Q14" i="108"/>
  <c r="R14" i="108"/>
  <c r="L12" i="108"/>
  <c r="N12" i="108"/>
  <c r="L14" i="108"/>
  <c r="AF13" i="108"/>
  <c r="L13" i="108"/>
  <c r="N13" i="108"/>
  <c r="AE21" i="92"/>
  <c r="M28" i="92"/>
  <c r="Q32" i="92"/>
  <c r="DG32" i="92" s="1"/>
  <c r="AG31" i="98"/>
  <c r="R11" i="108"/>
  <c r="AF18" i="108"/>
  <c r="AF11" i="108"/>
  <c r="AG28" i="98"/>
  <c r="Q11" i="108"/>
  <c r="Q10" i="108"/>
  <c r="Q7" i="108"/>
  <c r="L10" i="108"/>
  <c r="N18" i="108"/>
  <c r="N8" i="108"/>
  <c r="L18" i="108"/>
  <c r="N9" i="108"/>
  <c r="N10" i="108"/>
  <c r="N11" i="108"/>
  <c r="L9" i="108"/>
  <c r="R7" i="108"/>
  <c r="U7" i="115" s="1"/>
  <c r="R18" i="108"/>
  <c r="Q9" i="108"/>
  <c r="Q18" i="108"/>
  <c r="R9" i="108"/>
  <c r="Q8" i="108"/>
  <c r="L8" i="108"/>
  <c r="L7" i="108"/>
  <c r="L11" i="108"/>
  <c r="R10" i="108"/>
  <c r="AF12" i="108"/>
  <c r="AF9" i="108"/>
  <c r="AF8" i="108"/>
  <c r="AF7" i="108"/>
  <c r="R8" i="108"/>
  <c r="M29" i="92"/>
  <c r="AE22" i="92"/>
  <c r="E14" i="46"/>
  <c r="P30" i="92"/>
  <c r="T30" i="92" s="1"/>
  <c r="U30" i="92" s="1"/>
  <c r="B8" i="46"/>
  <c r="X8" i="46" s="1"/>
  <c r="P36" i="92"/>
  <c r="K9" i="92"/>
  <c r="K19" i="92"/>
  <c r="P33" i="92"/>
  <c r="K32" i="92"/>
  <c r="K21" i="92"/>
  <c r="K36" i="92"/>
  <c r="AE28" i="92"/>
  <c r="L33" i="92"/>
  <c r="L36" i="92"/>
  <c r="K29" i="92"/>
  <c r="D14" i="46"/>
  <c r="H15" i="90" s="1"/>
  <c r="N28" i="92"/>
  <c r="N7" i="92"/>
  <c r="N33" i="92"/>
  <c r="N36" i="92"/>
  <c r="N30" i="92"/>
  <c r="E18" i="46"/>
  <c r="T34" i="82"/>
  <c r="B16" i="82" s="1"/>
  <c r="AE29" i="92"/>
  <c r="Q30" i="92"/>
  <c r="DG30" i="92" s="1"/>
  <c r="P28" i="92"/>
  <c r="AH8" i="46"/>
  <c r="AG8" i="46" s="1"/>
  <c r="AF8" i="46" s="1"/>
  <c r="F8" i="46" s="1"/>
  <c r="K9" i="90" s="1"/>
  <c r="Q8" i="92"/>
  <c r="DG8" i="92" s="1"/>
  <c r="Q28" i="92"/>
  <c r="DG28" i="92" s="1"/>
  <c r="Q20" i="92"/>
  <c r="DG20" i="92" s="1"/>
  <c r="Q33" i="92"/>
  <c r="DG33" i="92" s="1"/>
  <c r="AE9" i="92"/>
  <c r="N21" i="92"/>
  <c r="Q36" i="92"/>
  <c r="DG36" i="92" s="1"/>
  <c r="Q7" i="92"/>
  <c r="DG7" i="92" s="1"/>
  <c r="AE32" i="92"/>
  <c r="K33" i="92"/>
  <c r="M30" i="92"/>
  <c r="AE36" i="92"/>
  <c r="M36" i="92"/>
  <c r="AE33" i="92"/>
  <c r="AE30" i="92"/>
  <c r="M33" i="92"/>
  <c r="B7" i="46"/>
  <c r="N8" i="90" s="1"/>
  <c r="O8" i="90" s="1"/>
  <c r="L28" i="92"/>
  <c r="K30" i="92"/>
  <c r="L30" i="92"/>
  <c r="L7" i="92"/>
  <c r="K7" i="92"/>
  <c r="P19" i="92"/>
  <c r="AE7" i="92"/>
  <c r="AE10" i="92"/>
  <c r="C8" i="90"/>
  <c r="E12" i="46"/>
  <c r="M7" i="92"/>
  <c r="M10" i="92"/>
  <c r="N11" i="92"/>
  <c r="P7" i="92"/>
  <c r="N8" i="92"/>
  <c r="P9" i="92"/>
  <c r="P21" i="92"/>
  <c r="E7" i="46"/>
  <c r="N10" i="92"/>
  <c r="K20" i="92"/>
  <c r="K22" i="92"/>
  <c r="C8" i="46"/>
  <c r="E9" i="90" s="1"/>
  <c r="K8" i="92"/>
  <c r="H8" i="46"/>
  <c r="M9" i="90" s="1"/>
  <c r="J16" i="46"/>
  <c r="AB16" i="46" s="1"/>
  <c r="D17" i="90" s="1"/>
  <c r="L8" i="92"/>
  <c r="J8" i="46"/>
  <c r="AB8" i="46" s="1"/>
  <c r="D9" i="90" s="1"/>
  <c r="AE8" i="92"/>
  <c r="AE20" i="92"/>
  <c r="AG11" i="98"/>
  <c r="I8" i="46"/>
  <c r="T8" i="46" s="1"/>
  <c r="M8" i="92"/>
  <c r="M20" i="92"/>
  <c r="AH10" i="46"/>
  <c r="AG10" i="46" s="1"/>
  <c r="AF10" i="46" s="1"/>
  <c r="F10" i="46" s="1"/>
  <c r="K11" i="90" s="1"/>
  <c r="H17" i="46"/>
  <c r="M18" i="90" s="1"/>
  <c r="AH18" i="46"/>
  <c r="AG18" i="46" s="1"/>
  <c r="AF18" i="46" s="1"/>
  <c r="F18" i="46" s="1"/>
  <c r="P23" i="92"/>
  <c r="P11" i="92"/>
  <c r="P8" i="92"/>
  <c r="L12" i="82"/>
  <c r="E8" i="46"/>
  <c r="C13" i="90"/>
  <c r="M17" i="46"/>
  <c r="P10" i="92"/>
  <c r="P20" i="92"/>
  <c r="C12" i="46"/>
  <c r="E13" i="90" s="1"/>
  <c r="D8" i="46"/>
  <c r="H9" i="90" s="1"/>
  <c r="N20" i="92"/>
  <c r="AE23" i="92"/>
  <c r="Q11" i="92"/>
  <c r="DG11" i="92" s="1"/>
  <c r="L16" i="92"/>
  <c r="L22" i="92"/>
  <c r="L10" i="92"/>
  <c r="M12" i="82"/>
  <c r="BP29" i="92"/>
  <c r="BP30" i="92"/>
  <c r="BP27" i="92"/>
  <c r="BP28" i="92"/>
  <c r="BP36" i="92"/>
  <c r="BP20" i="92"/>
  <c r="BP24" i="92"/>
  <c r="BP23" i="92"/>
  <c r="BP26" i="92"/>
  <c r="BP22" i="92"/>
  <c r="BP21" i="92"/>
  <c r="BP33" i="92"/>
  <c r="BP32" i="92"/>
  <c r="BP25" i="92"/>
  <c r="BP19" i="92"/>
  <c r="BP7" i="92"/>
  <c r="BP8" i="92"/>
  <c r="A44" i="46"/>
  <c r="V18" i="107" l="1"/>
  <c r="AP23" i="92"/>
  <c r="T23" i="92"/>
  <c r="U23" i="92" s="1"/>
  <c r="V17" i="107"/>
  <c r="AC12" i="113"/>
  <c r="CF1" i="124" s="1"/>
  <c r="AG7" i="108"/>
  <c r="Y25" i="115"/>
  <c r="Y23" i="115"/>
  <c r="Y32" i="115"/>
  <c r="Y28" i="115"/>
  <c r="Y40" i="115"/>
  <c r="Y26" i="115"/>
  <c r="Y20" i="115"/>
  <c r="Y21" i="115"/>
  <c r="Y37" i="115"/>
  <c r="Y31" i="115"/>
  <c r="Y38" i="115"/>
  <c r="Y41" i="115"/>
  <c r="Y24" i="115"/>
  <c r="Y33" i="115"/>
  <c r="Y22" i="115"/>
  <c r="Y29" i="115"/>
  <c r="Y27" i="115"/>
  <c r="Y35" i="115"/>
  <c r="Y30" i="115"/>
  <c r="Y39" i="115"/>
  <c r="CV28" i="108"/>
  <c r="DC28" i="108" s="1"/>
  <c r="DD28" i="108" s="1"/>
  <c r="AQ28" i="108" s="1"/>
  <c r="AP28" i="108" s="1"/>
  <c r="AR28" i="108" s="1"/>
  <c r="BL15" i="131"/>
  <c r="BN15" i="131" s="1"/>
  <c r="BL28" i="131"/>
  <c r="BN28" i="131" s="1"/>
  <c r="BL30" i="131"/>
  <c r="BN30" i="131" s="1"/>
  <c r="BL31" i="131"/>
  <c r="BN31" i="131" s="1"/>
  <c r="BL17" i="131"/>
  <c r="BN17" i="131" s="1"/>
  <c r="BL16" i="131"/>
  <c r="BN16" i="131" s="1"/>
  <c r="BL29" i="131"/>
  <c r="BN29" i="131" s="1"/>
  <c r="BL27" i="131"/>
  <c r="BN27" i="131" s="1"/>
  <c r="BL32" i="131"/>
  <c r="BN32" i="131" s="1"/>
  <c r="BL33" i="131"/>
  <c r="BN33" i="131" s="1"/>
  <c r="BL20" i="131"/>
  <c r="BN20" i="131" s="1"/>
  <c r="BL19" i="131"/>
  <c r="BN19" i="131" s="1"/>
  <c r="BL8" i="131"/>
  <c r="BN8" i="131" s="1"/>
  <c r="BL7" i="131"/>
  <c r="BN7" i="131" s="1"/>
  <c r="BL18" i="131"/>
  <c r="BN18" i="131" s="1"/>
  <c r="BL42" i="131"/>
  <c r="BN42" i="131" s="1"/>
  <c r="BL34" i="131"/>
  <c r="BN34" i="131" s="1"/>
  <c r="BL39" i="131"/>
  <c r="BN39" i="131" s="1"/>
  <c r="BL40" i="131"/>
  <c r="BN40" i="131" s="1"/>
  <c r="BL36" i="131"/>
  <c r="BN36" i="131" s="1"/>
  <c r="BL37" i="131"/>
  <c r="BN37" i="131" s="1"/>
  <c r="BL38" i="131"/>
  <c r="BN38" i="131" s="1"/>
  <c r="BL41" i="131"/>
  <c r="BN41" i="131" s="1"/>
  <c r="BL35" i="131"/>
  <c r="BN35" i="131" s="1"/>
  <c r="BL25" i="131"/>
  <c r="BN25" i="131" s="1"/>
  <c r="BL21" i="131"/>
  <c r="BN21" i="131" s="1"/>
  <c r="BL23" i="131"/>
  <c r="BN23" i="131" s="1"/>
  <c r="BL24" i="131"/>
  <c r="BN24" i="131" s="1"/>
  <c r="BL22" i="131"/>
  <c r="BN22" i="131" s="1"/>
  <c r="BL26" i="131"/>
  <c r="BN26" i="131" s="1"/>
  <c r="BL10" i="131"/>
  <c r="BN10" i="131" s="1"/>
  <c r="BL14" i="131"/>
  <c r="BN14" i="131" s="1"/>
  <c r="BL12" i="131"/>
  <c r="BN12" i="131" s="1"/>
  <c r="BL13" i="131"/>
  <c r="BN13" i="131" s="1"/>
  <c r="BL9" i="131"/>
  <c r="BN9" i="131" s="1"/>
  <c r="BL11" i="131"/>
  <c r="BN11" i="131" s="1"/>
  <c r="T142" i="120"/>
  <c r="S142" i="120"/>
  <c r="S141" i="120"/>
  <c r="T141" i="120"/>
  <c r="AP18" i="92"/>
  <c r="AZ40" i="108"/>
  <c r="S140" i="120"/>
  <c r="T140" i="120"/>
  <c r="BA40" i="108"/>
  <c r="AG42" i="108"/>
  <c r="BO42" i="108" s="1"/>
  <c r="CV21" i="108"/>
  <c r="DC21" i="108" s="1"/>
  <c r="DD21" i="108" s="1"/>
  <c r="AQ21" i="108" s="1"/>
  <c r="AP21" i="108" s="1"/>
  <c r="AR21" i="108" s="1"/>
  <c r="AR1" i="124"/>
  <c r="AH4" i="113"/>
  <c r="CK1" i="124"/>
  <c r="D18" i="113"/>
  <c r="T22" i="92"/>
  <c r="U22" i="92" s="1"/>
  <c r="T12" i="92"/>
  <c r="U12" i="92" s="1"/>
  <c r="T25" i="92"/>
  <c r="U25" i="92" s="1"/>
  <c r="T13" i="92"/>
  <c r="U13" i="92" s="1"/>
  <c r="T19" i="92"/>
  <c r="U19" i="92" s="1"/>
  <c r="AP19" i="92"/>
  <c r="T21" i="92"/>
  <c r="U21" i="92" s="1"/>
  <c r="D10" i="113"/>
  <c r="AW8" i="121"/>
  <c r="AT8" i="121"/>
  <c r="AU8" i="121" s="1"/>
  <c r="AZ35" i="108"/>
  <c r="AV11" i="121"/>
  <c r="AW11" i="121"/>
  <c r="AT11" i="121"/>
  <c r="AU11" i="121" s="1"/>
  <c r="AT9" i="121"/>
  <c r="AU9" i="121" s="1"/>
  <c r="AV9" i="121"/>
  <c r="AW9" i="121"/>
  <c r="AQ10" i="121"/>
  <c r="G10" i="126" s="1"/>
  <c r="AQ9" i="121"/>
  <c r="G9" i="126" s="1"/>
  <c r="AQ12" i="121"/>
  <c r="G12" i="126" s="1"/>
  <c r="E12" i="126" s="1"/>
  <c r="AQ8" i="121"/>
  <c r="G8" i="126" s="1"/>
  <c r="AQ11" i="121"/>
  <c r="AT12" i="121"/>
  <c r="AU12" i="121" s="1"/>
  <c r="AV12" i="121"/>
  <c r="AW12" i="121"/>
  <c r="AW10" i="121"/>
  <c r="AV10" i="121"/>
  <c r="AT10" i="121"/>
  <c r="AU10" i="121" s="1"/>
  <c r="AI98" i="128"/>
  <c r="AI151" i="107"/>
  <c r="W24" i="115"/>
  <c r="S24" i="115"/>
  <c r="S22" i="115"/>
  <c r="W22" i="115"/>
  <c r="AG27" i="108"/>
  <c r="BO27" i="108" s="1"/>
  <c r="AA27" i="115"/>
  <c r="S21" i="115"/>
  <c r="W21" i="115"/>
  <c r="W20" i="115"/>
  <c r="S20" i="115"/>
  <c r="S37" i="115"/>
  <c r="W37" i="115"/>
  <c r="W41" i="115"/>
  <c r="S41" i="115"/>
  <c r="AG38" i="108"/>
  <c r="BO38" i="108" s="1"/>
  <c r="AA38" i="115"/>
  <c r="AG37" i="108"/>
  <c r="BO37" i="108" s="1"/>
  <c r="AA37" i="115"/>
  <c r="S39" i="115"/>
  <c r="W39" i="115"/>
  <c r="S35" i="115"/>
  <c r="W35" i="115"/>
  <c r="AG24" i="108"/>
  <c r="AA24" i="115"/>
  <c r="S26" i="115"/>
  <c r="W26" i="115"/>
  <c r="U38" i="115"/>
  <c r="V38" i="115" s="1"/>
  <c r="DI34" i="108"/>
  <c r="U34" i="115"/>
  <c r="V34" i="115" s="1"/>
  <c r="DI41" i="108"/>
  <c r="U41" i="115"/>
  <c r="V41" i="115" s="1"/>
  <c r="S40" i="115"/>
  <c r="W40" i="115"/>
  <c r="DI35" i="108"/>
  <c r="U35" i="115"/>
  <c r="V35" i="115" s="1"/>
  <c r="S28" i="115"/>
  <c r="W28" i="115"/>
  <c r="AG20" i="108"/>
  <c r="BO20" i="108" s="1"/>
  <c r="AA20" i="115"/>
  <c r="AG26" i="108"/>
  <c r="BO26" i="108" s="1"/>
  <c r="AA26" i="115"/>
  <c r="AG30" i="108"/>
  <c r="BO30" i="108" s="1"/>
  <c r="AA30" i="115"/>
  <c r="AG22" i="108"/>
  <c r="BO22" i="108" s="1"/>
  <c r="AA22" i="115"/>
  <c r="AG29" i="108"/>
  <c r="BO29" i="108" s="1"/>
  <c r="AA29" i="115"/>
  <c r="AG36" i="108"/>
  <c r="BO36" i="108" s="1"/>
  <c r="AA36" i="115"/>
  <c r="W36" i="115"/>
  <c r="S36" i="115"/>
  <c r="AZ42" i="108"/>
  <c r="Y42" i="115"/>
  <c r="BA36" i="108"/>
  <c r="Y36" i="115"/>
  <c r="AG35" i="108"/>
  <c r="BO35" i="108" s="1"/>
  <c r="AA35" i="115"/>
  <c r="S31" i="115"/>
  <c r="W31" i="115"/>
  <c r="AG21" i="108"/>
  <c r="BO21" i="108" s="1"/>
  <c r="AA21" i="115"/>
  <c r="W25" i="115"/>
  <c r="S25" i="115"/>
  <c r="W33" i="115"/>
  <c r="S33" i="115"/>
  <c r="AG32" i="108"/>
  <c r="BO32" i="108" s="1"/>
  <c r="AA32" i="115"/>
  <c r="AG25" i="108"/>
  <c r="BO25" i="108" s="1"/>
  <c r="AA25" i="115"/>
  <c r="BA19" i="108"/>
  <c r="Y19" i="115"/>
  <c r="BA34" i="108"/>
  <c r="Y34" i="115"/>
  <c r="AG40" i="108"/>
  <c r="BO40" i="108" s="1"/>
  <c r="AA40" i="115"/>
  <c r="AG31" i="108"/>
  <c r="BO31" i="108" s="1"/>
  <c r="AA31" i="115"/>
  <c r="S32" i="115"/>
  <c r="W32" i="115"/>
  <c r="AG28" i="108"/>
  <c r="BO28" i="108" s="1"/>
  <c r="AA28" i="115"/>
  <c r="W23" i="115"/>
  <c r="S23" i="115"/>
  <c r="W29" i="115"/>
  <c r="S29" i="115"/>
  <c r="AG19" i="108"/>
  <c r="AA19" i="115"/>
  <c r="S34" i="115"/>
  <c r="W34" i="115"/>
  <c r="W38" i="115"/>
  <c r="S38" i="115"/>
  <c r="W19" i="115"/>
  <c r="S19" i="115"/>
  <c r="DI40" i="108"/>
  <c r="U40" i="115"/>
  <c r="V40" i="115" s="1"/>
  <c r="U39" i="115"/>
  <c r="V39" i="115" s="1"/>
  <c r="DI36" i="108"/>
  <c r="U36" i="115"/>
  <c r="V36" i="115" s="1"/>
  <c r="S27" i="115"/>
  <c r="W27" i="115"/>
  <c r="W30" i="115"/>
  <c r="S30" i="115"/>
  <c r="AG33" i="108"/>
  <c r="BO33" i="108" s="1"/>
  <c r="AA33" i="115"/>
  <c r="AG23" i="108"/>
  <c r="BO23" i="108" s="1"/>
  <c r="AA23" i="115"/>
  <c r="DC42" i="108"/>
  <c r="DD42" i="108" s="1"/>
  <c r="U42" i="115"/>
  <c r="V42" i="115" s="1"/>
  <c r="S42" i="115"/>
  <c r="W42" i="115"/>
  <c r="BA35" i="108"/>
  <c r="AX35" i="108"/>
  <c r="AY35" i="108" s="1"/>
  <c r="AZ36" i="108"/>
  <c r="DI39" i="108"/>
  <c r="AX36" i="108"/>
  <c r="AY36" i="108" s="1"/>
  <c r="AQ42" i="108"/>
  <c r="AP42" i="108" s="1"/>
  <c r="AR42" i="108" s="1"/>
  <c r="BA42" i="108"/>
  <c r="AX42" i="108"/>
  <c r="AY42" i="108" s="1"/>
  <c r="DI42" i="108"/>
  <c r="AX39" i="108"/>
  <c r="AY39" i="108" s="1"/>
  <c r="DC41" i="108"/>
  <c r="DD41" i="108" s="1"/>
  <c r="AX40" i="108"/>
  <c r="AY40" i="108" s="1"/>
  <c r="AX41" i="108"/>
  <c r="AY41" i="108" s="1"/>
  <c r="AX34" i="108"/>
  <c r="AY34" i="108" s="1"/>
  <c r="AZ19" i="108"/>
  <c r="AX37" i="108"/>
  <c r="AY37" i="108" s="1"/>
  <c r="DI38" i="108"/>
  <c r="AQ41" i="108"/>
  <c r="AP41" i="108" s="1"/>
  <c r="AR41" i="108" s="1"/>
  <c r="BA39" i="108"/>
  <c r="AZ39" i="108"/>
  <c r="AX38" i="108"/>
  <c r="AY38" i="108" s="1"/>
  <c r="BA41" i="108"/>
  <c r="AZ41" i="108"/>
  <c r="AZ34" i="108"/>
  <c r="AX19" i="108"/>
  <c r="AY19" i="108" s="1"/>
  <c r="AZ37" i="108"/>
  <c r="AZ38" i="108"/>
  <c r="BA37" i="108"/>
  <c r="BA38" i="108"/>
  <c r="DI19" i="108"/>
  <c r="AQ31" i="108"/>
  <c r="AP31" i="108" s="1"/>
  <c r="AR31" i="108" s="1"/>
  <c r="AQ19" i="108"/>
  <c r="AP19" i="108" s="1"/>
  <c r="AG34" i="108"/>
  <c r="BO34" i="108" s="1"/>
  <c r="AG41" i="108"/>
  <c r="BO41" i="108" s="1"/>
  <c r="AG39" i="108"/>
  <c r="BO39" i="108" s="1"/>
  <c r="DI37" i="108"/>
  <c r="DC19" i="108"/>
  <c r="DD19" i="108" s="1"/>
  <c r="AG11" i="108"/>
  <c r="AG13" i="108"/>
  <c r="AG12" i="108"/>
  <c r="AG18" i="108"/>
  <c r="AG14" i="108"/>
  <c r="AG17" i="108"/>
  <c r="AG15" i="108"/>
  <c r="AG9" i="108"/>
  <c r="AG16" i="108"/>
  <c r="AG10" i="108"/>
  <c r="AG8" i="108"/>
  <c r="AP30" i="92"/>
  <c r="O237" i="124"/>
  <c r="AA8" i="128"/>
  <c r="BM8" i="128"/>
  <c r="BM9" i="128"/>
  <c r="BM12" i="128"/>
  <c r="BM13" i="128"/>
  <c r="BM10" i="128"/>
  <c r="BM11" i="128"/>
  <c r="BM15" i="128"/>
  <c r="BM16" i="128"/>
  <c r="BM14" i="128"/>
  <c r="BA27" i="108"/>
  <c r="AZ27" i="108"/>
  <c r="DI24" i="108"/>
  <c r="DI26" i="108"/>
  <c r="DI25" i="108"/>
  <c r="DI32" i="108"/>
  <c r="DI20" i="108"/>
  <c r="DI31" i="108"/>
  <c r="DC31" i="108"/>
  <c r="DD31" i="108" s="1"/>
  <c r="DI29" i="108"/>
  <c r="AX27" i="108"/>
  <c r="AY27" i="108" s="1"/>
  <c r="DI27" i="108"/>
  <c r="DI28" i="108"/>
  <c r="DI21" i="108"/>
  <c r="DI22" i="108"/>
  <c r="DI23" i="108"/>
  <c r="DI30" i="108"/>
  <c r="DI33" i="108"/>
  <c r="BA25" i="108"/>
  <c r="AX25" i="108"/>
  <c r="AY25" i="108" s="1"/>
  <c r="AZ25" i="108"/>
  <c r="AZ23" i="108"/>
  <c r="BA23" i="108"/>
  <c r="AX23" i="108"/>
  <c r="AY23" i="108" s="1"/>
  <c r="AX30" i="108"/>
  <c r="AY30" i="108" s="1"/>
  <c r="AZ30" i="108"/>
  <c r="BA30" i="108"/>
  <c r="AX32" i="108"/>
  <c r="AY32" i="108" s="1"/>
  <c r="AZ32" i="108"/>
  <c r="BA32" i="108"/>
  <c r="AZ28" i="108"/>
  <c r="AX28" i="108"/>
  <c r="BA28" i="108"/>
  <c r="AZ26" i="108"/>
  <c r="AX26" i="108"/>
  <c r="BA26" i="108"/>
  <c r="AZ20" i="108"/>
  <c r="AX20" i="108"/>
  <c r="BA20" i="108"/>
  <c r="AZ31" i="108"/>
  <c r="BA31" i="108"/>
  <c r="AX31" i="108"/>
  <c r="AY31" i="108" s="1"/>
  <c r="BA21" i="108"/>
  <c r="AX21" i="108"/>
  <c r="AY21" i="108" s="1"/>
  <c r="AZ21" i="108"/>
  <c r="AX24" i="108"/>
  <c r="AY24" i="108" s="1"/>
  <c r="AZ24" i="108"/>
  <c r="BA24" i="108"/>
  <c r="AX33" i="108"/>
  <c r="BA33" i="108"/>
  <c r="AZ33" i="108"/>
  <c r="AX22" i="108"/>
  <c r="AZ22" i="108"/>
  <c r="BA22" i="108"/>
  <c r="BA29" i="108"/>
  <c r="AX29" i="108"/>
  <c r="AY29" i="108" s="1"/>
  <c r="AZ29" i="108"/>
  <c r="O265" i="124"/>
  <c r="V137" i="120"/>
  <c r="T137" i="120"/>
  <c r="S137" i="120"/>
  <c r="T139" i="120"/>
  <c r="S138" i="120"/>
  <c r="S139" i="120"/>
  <c r="V138" i="120"/>
  <c r="T138" i="120"/>
  <c r="X139" i="120"/>
  <c r="V139" i="120"/>
  <c r="X137" i="120"/>
  <c r="Y139" i="120"/>
  <c r="Y138" i="120"/>
  <c r="X138" i="120"/>
  <c r="Y137" i="120"/>
  <c r="Y142" i="120"/>
  <c r="V141" i="120"/>
  <c r="V140" i="120"/>
  <c r="V142" i="120"/>
  <c r="X141" i="120"/>
  <c r="Y141" i="120"/>
  <c r="Y140" i="120"/>
  <c r="X140" i="120"/>
  <c r="X142" i="120"/>
  <c r="AP32" i="92"/>
  <c r="T15" i="92"/>
  <c r="U15" i="92" s="1"/>
  <c r="AP29" i="92"/>
  <c r="T29" i="92"/>
  <c r="U29" i="92" s="1"/>
  <c r="AP28" i="92"/>
  <c r="AP17" i="92"/>
  <c r="T18" i="92"/>
  <c r="U18" i="92" s="1"/>
  <c r="T17" i="92"/>
  <c r="U17" i="92" s="1"/>
  <c r="T28" i="92"/>
  <c r="U28" i="92" s="1"/>
  <c r="T27" i="92"/>
  <c r="U27" i="92" s="1"/>
  <c r="AP15" i="92"/>
  <c r="T33" i="92"/>
  <c r="U33" i="92" s="1"/>
  <c r="AP21" i="92"/>
  <c r="T32" i="92"/>
  <c r="U32" i="92" s="1"/>
  <c r="T14" i="92"/>
  <c r="U14" i="92" s="1"/>
  <c r="AA9" i="128"/>
  <c r="AL102" i="107"/>
  <c r="AL49" i="128"/>
  <c r="Q50" i="107"/>
  <c r="Y101" i="107"/>
  <c r="Y48" i="128"/>
  <c r="AL101" i="107"/>
  <c r="AL48" i="128"/>
  <c r="AL103" i="107"/>
  <c r="AL50" i="128"/>
  <c r="Y103" i="107"/>
  <c r="Y50" i="128"/>
  <c r="Y45" i="128"/>
  <c r="AL100" i="107"/>
  <c r="AL47" i="128"/>
  <c r="Y99" i="107"/>
  <c r="Y46" i="128"/>
  <c r="AL99" i="107"/>
  <c r="AL46" i="128"/>
  <c r="Y100" i="107"/>
  <c r="Y47" i="128"/>
  <c r="Y102" i="107"/>
  <c r="Y49" i="128"/>
  <c r="AL98" i="107"/>
  <c r="AL45" i="128"/>
  <c r="T24" i="92"/>
  <c r="U24" i="92" s="1"/>
  <c r="W8" i="120"/>
  <c r="W9" i="120"/>
  <c r="T35" i="120"/>
  <c r="T16" i="92"/>
  <c r="U16" i="92" s="1"/>
  <c r="T26" i="92"/>
  <c r="U26" i="92" s="1"/>
  <c r="T20" i="92"/>
  <c r="U20" i="92" s="1"/>
  <c r="T36" i="92"/>
  <c r="U36" i="92" s="1"/>
  <c r="T36" i="120"/>
  <c r="T37" i="120"/>
  <c r="T38" i="120"/>
  <c r="T39" i="120"/>
  <c r="T40" i="120"/>
  <c r="T8" i="92"/>
  <c r="U8" i="92" s="1"/>
  <c r="T11" i="92"/>
  <c r="U11" i="92" s="1"/>
  <c r="T7" i="92"/>
  <c r="U7" i="92" s="1"/>
  <c r="T9" i="92"/>
  <c r="U9" i="92" s="1"/>
  <c r="T10" i="92"/>
  <c r="U10" i="92" s="1"/>
  <c r="Y10" i="115"/>
  <c r="Y8" i="115"/>
  <c r="Y13" i="115"/>
  <c r="Y15" i="115"/>
  <c r="Y11" i="115"/>
  <c r="Y9" i="115"/>
  <c r="Y16" i="115"/>
  <c r="Y14" i="115"/>
  <c r="Y12" i="115"/>
  <c r="Y17" i="115"/>
  <c r="AK64" i="120"/>
  <c r="AK65" i="120"/>
  <c r="AK66" i="120"/>
  <c r="AK67" i="120"/>
  <c r="AK68" i="120"/>
  <c r="AK69" i="120"/>
  <c r="AP16" i="92"/>
  <c r="AP24" i="92"/>
  <c r="AP20" i="92"/>
  <c r="R40" i="113"/>
  <c r="R39" i="113"/>
  <c r="O53" i="123"/>
  <c r="O271" i="123"/>
  <c r="O242" i="123"/>
  <c r="O252" i="123"/>
  <c r="O476" i="123"/>
  <c r="O214" i="123"/>
  <c r="O44" i="123"/>
  <c r="R36" i="113"/>
  <c r="AA16" i="115"/>
  <c r="AA18" i="115"/>
  <c r="AA17" i="115"/>
  <c r="AA15" i="115"/>
  <c r="AA14" i="115"/>
  <c r="AA8" i="115"/>
  <c r="AA9" i="115"/>
  <c r="AA13" i="115"/>
  <c r="AA11" i="115"/>
  <c r="AA12" i="115"/>
  <c r="AA10" i="115"/>
  <c r="O238" i="123"/>
  <c r="O261" i="123"/>
  <c r="O270" i="123"/>
  <c r="J226" i="123"/>
  <c r="N226" i="123" s="1"/>
  <c r="J53" i="123"/>
  <c r="N53" i="123" s="1"/>
  <c r="J289" i="123"/>
  <c r="N289" i="123" s="1"/>
  <c r="J52" i="123"/>
  <c r="N52" i="123" s="1"/>
  <c r="J242" i="123"/>
  <c r="N242" i="123" s="1"/>
  <c r="J290" i="123"/>
  <c r="N290" i="123" s="1"/>
  <c r="J261" i="123"/>
  <c r="N261" i="123" s="1"/>
  <c r="J286" i="123"/>
  <c r="N286" i="123" s="1"/>
  <c r="J54" i="123"/>
  <c r="N54" i="123" s="1"/>
  <c r="R38" i="113"/>
  <c r="R37" i="113"/>
  <c r="R35" i="113"/>
  <c r="AP26" i="92"/>
  <c r="AP36" i="92"/>
  <c r="O523" i="123"/>
  <c r="O11" i="46"/>
  <c r="CV15" i="108"/>
  <c r="DC15" i="108" s="1"/>
  <c r="DD15" i="108" s="1"/>
  <c r="AQ15" i="108" s="1"/>
  <c r="AB70" i="115"/>
  <c r="CV10" i="108"/>
  <c r="I70" i="80"/>
  <c r="D14" i="113"/>
  <c r="O216" i="123"/>
  <c r="D7" i="113"/>
  <c r="I120" i="80"/>
  <c r="AH69" i="120"/>
  <c r="AI69" i="120" s="1"/>
  <c r="AH68" i="120"/>
  <c r="AI68" i="120" s="1"/>
  <c r="D7" i="126"/>
  <c r="D10" i="126"/>
  <c r="D9" i="126"/>
  <c r="D8" i="126"/>
  <c r="O492" i="123"/>
  <c r="O47" i="123"/>
  <c r="AP33" i="92"/>
  <c r="AP22" i="92"/>
  <c r="AP27" i="92"/>
  <c r="AP25" i="92"/>
  <c r="B87" i="126"/>
  <c r="E34" i="126"/>
  <c r="E40" i="126"/>
  <c r="E35" i="126"/>
  <c r="E41" i="126"/>
  <c r="E33" i="126"/>
  <c r="E19" i="126"/>
  <c r="E24" i="126"/>
  <c r="E25" i="126"/>
  <c r="E20" i="126"/>
  <c r="E21" i="126"/>
  <c r="E22" i="126"/>
  <c r="E23" i="126"/>
  <c r="O266" i="123"/>
  <c r="B90" i="126"/>
  <c r="F90" i="126" s="1"/>
  <c r="B91" i="126"/>
  <c r="B92" i="126"/>
  <c r="F92" i="126" s="1"/>
  <c r="B88" i="126"/>
  <c r="B89" i="126"/>
  <c r="O356" i="123"/>
  <c r="O70" i="80"/>
  <c r="O16" i="46"/>
  <c r="O18" i="46"/>
  <c r="T120" i="80"/>
  <c r="O120" i="80"/>
  <c r="O14" i="46"/>
  <c r="T70" i="80"/>
  <c r="O317" i="123"/>
  <c r="AI7" i="121"/>
  <c r="O332" i="123"/>
  <c r="O522" i="123"/>
  <c r="O283" i="123"/>
  <c r="O262" i="123"/>
  <c r="AV7" i="121"/>
  <c r="AW7" i="121"/>
  <c r="Y68" i="115"/>
  <c r="Y65" i="115"/>
  <c r="AT7" i="121"/>
  <c r="AU7" i="121" s="1"/>
  <c r="Y69" i="115"/>
  <c r="Y67" i="115"/>
  <c r="Y66" i="115"/>
  <c r="Y70" i="115"/>
  <c r="Y7" i="115"/>
  <c r="AX7" i="108"/>
  <c r="J556" i="123"/>
  <c r="N556" i="123" s="1"/>
  <c r="O552" i="123"/>
  <c r="O160" i="123"/>
  <c r="O381" i="124"/>
  <c r="O530" i="124"/>
  <c r="O400" i="124"/>
  <c r="O428" i="124"/>
  <c r="O508" i="123"/>
  <c r="O587" i="123"/>
  <c r="O576" i="123"/>
  <c r="O470" i="123"/>
  <c r="O564" i="123"/>
  <c r="O557" i="123"/>
  <c r="O148" i="123"/>
  <c r="O514" i="123"/>
  <c r="O156" i="123"/>
  <c r="O101" i="123"/>
  <c r="J12" i="82"/>
  <c r="AS2" i="121"/>
  <c r="O569" i="123"/>
  <c r="O513" i="123"/>
  <c r="O212" i="123"/>
  <c r="O579" i="123"/>
  <c r="O567" i="123"/>
  <c r="O432" i="123"/>
  <c r="O467" i="123"/>
  <c r="O422" i="123"/>
  <c r="O275" i="123"/>
  <c r="O473" i="123"/>
  <c r="O584" i="123"/>
  <c r="O451" i="123"/>
  <c r="O439" i="123"/>
  <c r="O15" i="123"/>
  <c r="O546" i="123"/>
  <c r="O117" i="123"/>
  <c r="O260" i="123"/>
  <c r="O496" i="123"/>
  <c r="O427" i="123"/>
  <c r="O38" i="123"/>
  <c r="O511" i="123"/>
  <c r="O236" i="123"/>
  <c r="O538" i="123"/>
  <c r="O478" i="123"/>
  <c r="O449" i="123"/>
  <c r="O278" i="123"/>
  <c r="O49" i="123"/>
  <c r="O553" i="123"/>
  <c r="O463" i="123"/>
  <c r="O25" i="123"/>
  <c r="O487" i="123"/>
  <c r="O43" i="123"/>
  <c r="O222" i="123"/>
  <c r="O442" i="123"/>
  <c r="O122" i="123"/>
  <c r="O124" i="123"/>
  <c r="O17" i="123"/>
  <c r="O187" i="123"/>
  <c r="O482" i="123"/>
  <c r="O529" i="123"/>
  <c r="O534" i="123"/>
  <c r="O281" i="123"/>
  <c r="O479" i="123"/>
  <c r="O471" i="123"/>
  <c r="O583" i="123"/>
  <c r="O161" i="123"/>
  <c r="O462" i="123"/>
  <c r="O61" i="123"/>
  <c r="O136" i="123"/>
  <c r="O580" i="123"/>
  <c r="O189" i="123"/>
  <c r="O197" i="123"/>
  <c r="O447" i="123"/>
  <c r="O430" i="124"/>
  <c r="O26" i="124"/>
  <c r="O272" i="124"/>
  <c r="O421" i="123"/>
  <c r="O441" i="123"/>
  <c r="O324" i="124"/>
  <c r="O206" i="124"/>
  <c r="O525" i="123"/>
  <c r="O541" i="123"/>
  <c r="O480" i="123"/>
  <c r="O227" i="123"/>
  <c r="O246" i="123"/>
  <c r="O217" i="123"/>
  <c r="O330" i="123"/>
  <c r="O121" i="123"/>
  <c r="O6" i="123"/>
  <c r="O65" i="123"/>
  <c r="O272" i="123"/>
  <c r="O543" i="123"/>
  <c r="O483" i="123"/>
  <c r="O485" i="123"/>
  <c r="O247" i="123"/>
  <c r="O215" i="123"/>
  <c r="O524" i="123"/>
  <c r="O226" i="123"/>
  <c r="O434" i="123"/>
  <c r="O468" i="123"/>
  <c r="O33" i="123"/>
  <c r="O227" i="124"/>
  <c r="O528" i="123"/>
  <c r="O29" i="124"/>
  <c r="O358" i="124"/>
  <c r="O324" i="123"/>
  <c r="O331" i="123"/>
  <c r="O157" i="123"/>
  <c r="O133" i="123"/>
  <c r="O551" i="123"/>
  <c r="O477" i="123"/>
  <c r="O37" i="123"/>
  <c r="O531" i="123"/>
  <c r="O233" i="123"/>
  <c r="O224" i="123"/>
  <c r="O218" i="123"/>
  <c r="O450" i="123"/>
  <c r="O279" i="123"/>
  <c r="O390" i="123"/>
  <c r="O138" i="123"/>
  <c r="O185" i="123"/>
  <c r="O77" i="123"/>
  <c r="O351" i="123"/>
  <c r="O303" i="123"/>
  <c r="O361" i="123"/>
  <c r="O24" i="123"/>
  <c r="O254" i="123"/>
  <c r="O268" i="123"/>
  <c r="O31" i="123"/>
  <c r="O472" i="123"/>
  <c r="O224" i="124"/>
  <c r="O202" i="124"/>
  <c r="O298" i="124"/>
  <c r="O18" i="124"/>
  <c r="O311" i="123"/>
  <c r="O322" i="123"/>
  <c r="O388" i="123"/>
  <c r="O344" i="123"/>
  <c r="O111" i="123"/>
  <c r="O253" i="123"/>
  <c r="O40" i="123"/>
  <c r="O455" i="123"/>
  <c r="O461" i="123"/>
  <c r="O570" i="123"/>
  <c r="O265" i="123"/>
  <c r="O527" i="123"/>
  <c r="O29" i="123"/>
  <c r="O516" i="123"/>
  <c r="O517" i="123"/>
  <c r="O488" i="123"/>
  <c r="O26" i="123"/>
  <c r="O533" i="123"/>
  <c r="O493" i="123"/>
  <c r="O60" i="123"/>
  <c r="O267" i="123"/>
  <c r="O532" i="123"/>
  <c r="O572" i="123"/>
  <c r="O243" i="123"/>
  <c r="O588" i="123"/>
  <c r="O585" i="123"/>
  <c r="O285" i="123"/>
  <c r="O490" i="123"/>
  <c r="O502" i="123"/>
  <c r="O258" i="123"/>
  <c r="O586" i="123"/>
  <c r="O438" i="123"/>
  <c r="O474" i="123"/>
  <c r="O244" i="123"/>
  <c r="O503" i="123"/>
  <c r="O464" i="123"/>
  <c r="O277" i="123"/>
  <c r="O41" i="123"/>
  <c r="O558" i="123"/>
  <c r="O144" i="123"/>
  <c r="O380" i="123"/>
  <c r="O300" i="123"/>
  <c r="O205" i="123"/>
  <c r="O208" i="123"/>
  <c r="O177" i="124"/>
  <c r="O186" i="124"/>
  <c r="O142" i="124"/>
  <c r="O98" i="124"/>
  <c r="O507" i="124"/>
  <c r="O392" i="124"/>
  <c r="O489" i="124"/>
  <c r="O460" i="124"/>
  <c r="O340" i="123"/>
  <c r="O321" i="123"/>
  <c r="J15" i="123"/>
  <c r="N15" i="123" s="1"/>
  <c r="O150" i="124"/>
  <c r="O106" i="124"/>
  <c r="O521" i="124"/>
  <c r="O477" i="124"/>
  <c r="O27" i="124"/>
  <c r="O463" i="124"/>
  <c r="O569" i="124"/>
  <c r="O370" i="124"/>
  <c r="O490" i="124"/>
  <c r="O170" i="124"/>
  <c r="O128" i="124"/>
  <c r="O82" i="124"/>
  <c r="O421" i="124"/>
  <c r="O544" i="124"/>
  <c r="O461" i="124"/>
  <c r="O470" i="124"/>
  <c r="O157" i="124"/>
  <c r="O113" i="124"/>
  <c r="O66" i="124"/>
  <c r="O389" i="124"/>
  <c r="O471" i="124"/>
  <c r="O545" i="124"/>
  <c r="O553" i="124"/>
  <c r="O164" i="124"/>
  <c r="O120" i="124"/>
  <c r="O74" i="124"/>
  <c r="O415" i="124"/>
  <c r="O524" i="124"/>
  <c r="O508" i="124"/>
  <c r="J541" i="123"/>
  <c r="N541" i="123" s="1"/>
  <c r="J216" i="123"/>
  <c r="N216" i="123" s="1"/>
  <c r="O491" i="124"/>
  <c r="O60" i="124"/>
  <c r="O336" i="124"/>
  <c r="J537" i="123"/>
  <c r="N537" i="123" s="1"/>
  <c r="J490" i="123"/>
  <c r="N490" i="123" s="1"/>
  <c r="J458" i="123"/>
  <c r="N458" i="123" s="1"/>
  <c r="J47" i="123"/>
  <c r="N47" i="123" s="1"/>
  <c r="O80" i="124"/>
  <c r="O178" i="124"/>
  <c r="O134" i="124"/>
  <c r="O90" i="124"/>
  <c r="O390" i="124"/>
  <c r="O376" i="124"/>
  <c r="O359" i="124"/>
  <c r="O499" i="124"/>
  <c r="AA65" i="115"/>
  <c r="O398" i="123"/>
  <c r="O400" i="123"/>
  <c r="O506" i="123"/>
  <c r="O301" i="123"/>
  <c r="O169" i="123"/>
  <c r="O243" i="124"/>
  <c r="O50" i="123"/>
  <c r="O270" i="124"/>
  <c r="O307" i="124"/>
  <c r="O389" i="123"/>
  <c r="O22" i="123"/>
  <c r="O179" i="123"/>
  <c r="O131" i="123"/>
  <c r="O352" i="123"/>
  <c r="O339" i="123"/>
  <c r="O104" i="123"/>
  <c r="O209" i="124"/>
  <c r="O58" i="124"/>
  <c r="O412" i="123"/>
  <c r="O411" i="123"/>
  <c r="O334" i="123"/>
  <c r="O228" i="124"/>
  <c r="O232" i="124"/>
  <c r="O356" i="124"/>
  <c r="O239" i="124"/>
  <c r="O538" i="124"/>
  <c r="O16" i="124"/>
  <c r="O267" i="124"/>
  <c r="O301" i="124"/>
  <c r="O564" i="124"/>
  <c r="O249" i="124"/>
  <c r="O522" i="124"/>
  <c r="O505" i="124"/>
  <c r="O34" i="124"/>
  <c r="O397" i="124"/>
  <c r="O229" i="124"/>
  <c r="O512" i="124"/>
  <c r="O413" i="123"/>
  <c r="O392" i="123"/>
  <c r="O293" i="123"/>
  <c r="O305" i="123"/>
  <c r="O374" i="123"/>
  <c r="O201" i="123"/>
  <c r="O194" i="123"/>
  <c r="O88" i="123"/>
  <c r="O315" i="123"/>
  <c r="O172" i="123"/>
  <c r="O176" i="123"/>
  <c r="O313" i="123"/>
  <c r="O382" i="123"/>
  <c r="O14" i="123"/>
  <c r="O4" i="123"/>
  <c r="O145" i="123"/>
  <c r="O183" i="123"/>
  <c r="O573" i="123"/>
  <c r="O71" i="123"/>
  <c r="O125" i="123"/>
  <c r="J265" i="123"/>
  <c r="N265" i="123" s="1"/>
  <c r="O219" i="123"/>
  <c r="O420" i="123"/>
  <c r="O234" i="123"/>
  <c r="O237" i="123"/>
  <c r="O256" i="123"/>
  <c r="O457" i="123"/>
  <c r="O484" i="123"/>
  <c r="O501" i="123"/>
  <c r="O582" i="123"/>
  <c r="O231" i="123"/>
  <c r="J283" i="123"/>
  <c r="N283" i="123" s="1"/>
  <c r="J41" i="123"/>
  <c r="N41" i="123" s="1"/>
  <c r="J256" i="123"/>
  <c r="N256" i="123" s="1"/>
  <c r="J50" i="123"/>
  <c r="J269" i="123"/>
  <c r="N269" i="123" s="1"/>
  <c r="J532" i="123"/>
  <c r="N532" i="123" s="1"/>
  <c r="J492" i="123"/>
  <c r="N492" i="123" s="1"/>
  <c r="J508" i="123"/>
  <c r="N508" i="123" s="1"/>
  <c r="J447" i="123"/>
  <c r="N447" i="123" s="1"/>
  <c r="J584" i="123"/>
  <c r="N584" i="123" s="1"/>
  <c r="J60" i="123"/>
  <c r="N60" i="123" s="1"/>
  <c r="J214" i="123"/>
  <c r="N214" i="123" s="1"/>
  <c r="J33" i="123"/>
  <c r="N33" i="123" s="1"/>
  <c r="J531" i="123"/>
  <c r="N531" i="123" s="1"/>
  <c r="J553" i="123"/>
  <c r="N553" i="123" s="1"/>
  <c r="J488" i="123"/>
  <c r="N488" i="123" s="1"/>
  <c r="J483" i="123"/>
  <c r="N483" i="123" s="1"/>
  <c r="J438" i="123"/>
  <c r="N438" i="123" s="1"/>
  <c r="J471" i="123"/>
  <c r="N471" i="123" s="1"/>
  <c r="J482" i="123"/>
  <c r="N482" i="123" s="1"/>
  <c r="J546" i="123"/>
  <c r="N546" i="123" s="1"/>
  <c r="J479" i="123"/>
  <c r="N479" i="123" s="1"/>
  <c r="J441" i="123"/>
  <c r="N441" i="123" s="1"/>
  <c r="J463" i="123"/>
  <c r="N463" i="123" s="1"/>
  <c r="J461" i="123"/>
  <c r="N461" i="123" s="1"/>
  <c r="J487" i="123"/>
  <c r="N487" i="123" s="1"/>
  <c r="J557" i="123"/>
  <c r="N557" i="123" s="1"/>
  <c r="J564" i="123"/>
  <c r="N564" i="123" s="1"/>
  <c r="J524" i="123"/>
  <c r="N524" i="123" s="1"/>
  <c r="J484" i="123"/>
  <c r="N484" i="123" s="1"/>
  <c r="J472" i="123"/>
  <c r="N472" i="123" s="1"/>
  <c r="J468" i="123"/>
  <c r="N468" i="123" s="1"/>
  <c r="J551" i="123"/>
  <c r="N551" i="123" s="1"/>
  <c r="J501" i="123"/>
  <c r="N501" i="123" s="1"/>
  <c r="J543" i="123"/>
  <c r="N543" i="123" s="1"/>
  <c r="J477" i="123"/>
  <c r="N477" i="123" s="1"/>
  <c r="J567" i="123"/>
  <c r="N567" i="123" s="1"/>
  <c r="J582" i="123"/>
  <c r="N582" i="123" s="1"/>
  <c r="J478" i="123"/>
  <c r="N478" i="123" s="1"/>
  <c r="J502" i="123"/>
  <c r="N502" i="123" s="1"/>
  <c r="J516" i="123"/>
  <c r="N516" i="123" s="1"/>
  <c r="J511" i="123"/>
  <c r="N511" i="123" s="1"/>
  <c r="J587" i="123"/>
  <c r="N587" i="123" s="1"/>
  <c r="J480" i="123"/>
  <c r="N480" i="123" s="1"/>
  <c r="J522" i="123"/>
  <c r="N522" i="123" s="1"/>
  <c r="J527" i="123"/>
  <c r="N527" i="123" s="1"/>
  <c r="J579" i="123"/>
  <c r="N579" i="123" s="1"/>
  <c r="J513" i="123"/>
  <c r="N513" i="123" s="1"/>
  <c r="J422" i="123"/>
  <c r="N422" i="123" s="1"/>
  <c r="J439" i="123"/>
  <c r="N439" i="123" s="1"/>
  <c r="J61" i="123"/>
  <c r="N61" i="123" s="1"/>
  <c r="J533" i="123"/>
  <c r="N533" i="123" s="1"/>
  <c r="J586" i="123"/>
  <c r="N586" i="123" s="1"/>
  <c r="J464" i="123"/>
  <c r="N464" i="123" s="1"/>
  <c r="J473" i="123"/>
  <c r="N473" i="123" s="1"/>
  <c r="J449" i="123"/>
  <c r="N449" i="123" s="1"/>
  <c r="J281" i="123"/>
  <c r="N281" i="123" s="1"/>
  <c r="J231" i="123"/>
  <c r="J503" i="123"/>
  <c r="N503" i="123" s="1"/>
  <c r="J559" i="123"/>
  <c r="N559" i="123" s="1"/>
  <c r="J233" i="123"/>
  <c r="J38" i="123"/>
  <c r="J244" i="123"/>
  <c r="J243" i="123"/>
  <c r="J40" i="123"/>
  <c r="N40" i="123" s="1"/>
  <c r="O286" i="124"/>
  <c r="J474" i="123"/>
  <c r="N474" i="123" s="1"/>
  <c r="J219" i="123"/>
  <c r="N219" i="123" s="1"/>
  <c r="J569" i="123"/>
  <c r="N569" i="123" s="1"/>
  <c r="J476" i="123"/>
  <c r="N476" i="123" s="1"/>
  <c r="J270" i="123"/>
  <c r="N270" i="123" s="1"/>
  <c r="J37" i="123"/>
  <c r="N37" i="123" s="1"/>
  <c r="J279" i="123"/>
  <c r="N279" i="123" s="1"/>
  <c r="J266" i="123"/>
  <c r="N266" i="123" s="1"/>
  <c r="J262" i="123"/>
  <c r="O31" i="124"/>
  <c r="J25" i="123"/>
  <c r="N25" i="123" s="1"/>
  <c r="J215" i="123"/>
  <c r="N215" i="123" s="1"/>
  <c r="J580" i="123"/>
  <c r="N580" i="123" s="1"/>
  <c r="J253" i="123"/>
  <c r="J434" i="123"/>
  <c r="N434" i="123" s="1"/>
  <c r="J234" i="123"/>
  <c r="J467" i="123"/>
  <c r="N467" i="123" s="1"/>
  <c r="J588" i="123"/>
  <c r="N588" i="123" s="1"/>
  <c r="J485" i="123"/>
  <c r="N485" i="123" s="1"/>
  <c r="J558" i="123"/>
  <c r="N558" i="123" s="1"/>
  <c r="J462" i="123"/>
  <c r="N462" i="123" s="1"/>
  <c r="J573" i="123"/>
  <c r="N573" i="123" s="1"/>
  <c r="J457" i="123"/>
  <c r="N457" i="123" s="1"/>
  <c r="J247" i="123"/>
  <c r="J227" i="123"/>
  <c r="N227" i="123" s="1"/>
  <c r="J583" i="123"/>
  <c r="N583" i="123" s="1"/>
  <c r="J236" i="123"/>
  <c r="J254" i="123"/>
  <c r="N254" i="123" s="1"/>
  <c r="J455" i="123"/>
  <c r="N455" i="123" s="1"/>
  <c r="J26" i="123"/>
  <c r="N26" i="123" s="1"/>
  <c r="J514" i="123"/>
  <c r="N514" i="123" s="1"/>
  <c r="J217" i="123"/>
  <c r="N217" i="123" s="1"/>
  <c r="J237" i="123"/>
  <c r="J517" i="123"/>
  <c r="N517" i="123" s="1"/>
  <c r="J212" i="123"/>
  <c r="N212" i="123" s="1"/>
  <c r="J538" i="123"/>
  <c r="N538" i="123" s="1"/>
  <c r="J44" i="123"/>
  <c r="N44" i="123" s="1"/>
  <c r="J277" i="123"/>
  <c r="N277" i="123" s="1"/>
  <c r="J525" i="123"/>
  <c r="N525" i="123" s="1"/>
  <c r="J275" i="123"/>
  <c r="N275" i="123" s="1"/>
  <c r="J241" i="123"/>
  <c r="J496" i="123"/>
  <c r="N496" i="123" s="1"/>
  <c r="J523" i="123"/>
  <c r="N523" i="123" s="1"/>
  <c r="J43" i="123"/>
  <c r="N43" i="123" s="1"/>
  <c r="J267" i="123"/>
  <c r="N267" i="123" s="1"/>
  <c r="J552" i="123"/>
  <c r="N552" i="123" s="1"/>
  <c r="J49" i="123"/>
  <c r="N49" i="123" s="1"/>
  <c r="J529" i="123"/>
  <c r="N529" i="123" s="1"/>
  <c r="J506" i="123"/>
  <c r="N506" i="123" s="1"/>
  <c r="J238" i="123"/>
  <c r="J451" i="123"/>
  <c r="N451" i="123" s="1"/>
  <c r="J252" i="123"/>
  <c r="J246" i="123"/>
  <c r="J570" i="123"/>
  <c r="N570" i="123" s="1"/>
  <c r="J427" i="123"/>
  <c r="N427" i="123" s="1"/>
  <c r="J493" i="123"/>
  <c r="N493" i="123" s="1"/>
  <c r="J528" i="123"/>
  <c r="N528" i="123" s="1"/>
  <c r="J224" i="123"/>
  <c r="N224" i="123" s="1"/>
  <c r="J450" i="123"/>
  <c r="N450" i="123" s="1"/>
  <c r="O373" i="124"/>
  <c r="J260" i="123"/>
  <c r="N260" i="123" s="1"/>
  <c r="J258" i="123"/>
  <c r="N258" i="123" s="1"/>
  <c r="J222" i="123"/>
  <c r="N222" i="123" s="1"/>
  <c r="J29" i="123"/>
  <c r="N29" i="123" s="1"/>
  <c r="J442" i="123"/>
  <c r="N442" i="123" s="1"/>
  <c r="J534" i="123"/>
  <c r="N534" i="123" s="1"/>
  <c r="J268" i="123"/>
  <c r="N268" i="123" s="1"/>
  <c r="J576" i="123"/>
  <c r="N576" i="123" s="1"/>
  <c r="J432" i="123"/>
  <c r="N432" i="123" s="1"/>
  <c r="J470" i="123"/>
  <c r="N470" i="123" s="1"/>
  <c r="J218" i="123"/>
  <c r="N218" i="123" s="1"/>
  <c r="J572" i="123"/>
  <c r="N572" i="123" s="1"/>
  <c r="J272" i="123"/>
  <c r="J271" i="123"/>
  <c r="N271" i="123" s="1"/>
  <c r="J31" i="123"/>
  <c r="N31" i="123" s="1"/>
  <c r="J585" i="123"/>
  <c r="N585" i="123" s="1"/>
  <c r="J285" i="123"/>
  <c r="N285" i="123" s="1"/>
  <c r="J278" i="123"/>
  <c r="N278" i="123" s="1"/>
  <c r="O296" i="124"/>
  <c r="O197" i="124"/>
  <c r="O280" i="124"/>
  <c r="O256" i="124"/>
  <c r="O21" i="124"/>
  <c r="O379" i="124"/>
  <c r="O244" i="124"/>
  <c r="O205" i="124"/>
  <c r="O515" i="124"/>
  <c r="O452" i="124"/>
  <c r="O438" i="124"/>
  <c r="O498" i="124"/>
  <c r="O304" i="124"/>
  <c r="O401" i="124"/>
  <c r="O231" i="124"/>
  <c r="O192" i="123"/>
  <c r="O487" i="124"/>
  <c r="O23" i="124"/>
  <c r="O308" i="124"/>
  <c r="O361" i="124"/>
  <c r="O43" i="124"/>
  <c r="O357" i="124"/>
  <c r="O61" i="124"/>
  <c r="O225" i="124"/>
  <c r="O409" i="124"/>
  <c r="O347" i="124"/>
  <c r="O317" i="124"/>
  <c r="O200" i="124"/>
  <c r="O577" i="124"/>
  <c r="O211" i="124"/>
  <c r="O291" i="124"/>
  <c r="O584" i="124"/>
  <c r="O255" i="124"/>
  <c r="O343" i="124"/>
  <c r="O344" i="124"/>
  <c r="O258" i="124"/>
  <c r="O375" i="124"/>
  <c r="O410" i="124"/>
  <c r="O528" i="124"/>
  <c r="O38" i="124"/>
  <c r="O541" i="124"/>
  <c r="O417" i="123"/>
  <c r="O406" i="123"/>
  <c r="O370" i="123"/>
  <c r="O306" i="123"/>
  <c r="O358" i="123"/>
  <c r="O294" i="123"/>
  <c r="O83" i="123"/>
  <c r="O147" i="123"/>
  <c r="O143" i="123"/>
  <c r="O137" i="123"/>
  <c r="O80" i="123"/>
  <c r="O274" i="123"/>
  <c r="O191" i="123"/>
  <c r="O40" i="124"/>
  <c r="O300" i="124"/>
  <c r="O325" i="124"/>
  <c r="O399" i="123"/>
  <c r="O323" i="124"/>
  <c r="O376" i="123"/>
  <c r="O312" i="123"/>
  <c r="O299" i="123"/>
  <c r="O245" i="124"/>
  <c r="O47" i="124"/>
  <c r="O388" i="124"/>
  <c r="O485" i="124"/>
  <c r="O30" i="124"/>
  <c r="O59" i="124"/>
  <c r="O403" i="124"/>
  <c r="O329" i="124"/>
  <c r="O326" i="124"/>
  <c r="O306" i="124"/>
  <c r="O219" i="124"/>
  <c r="O19" i="124"/>
  <c r="O330" i="124"/>
  <c r="O226" i="124"/>
  <c r="O35" i="124"/>
  <c r="O422" i="124"/>
  <c r="O278" i="124"/>
  <c r="O328" i="124"/>
  <c r="O279" i="124"/>
  <c r="O284" i="124"/>
  <c r="O259" i="124"/>
  <c r="O9" i="124"/>
  <c r="O252" i="124"/>
  <c r="O217" i="124"/>
  <c r="O299" i="124"/>
  <c r="O282" i="124"/>
  <c r="O393" i="124"/>
  <c r="O189" i="124"/>
  <c r="O55" i="124"/>
  <c r="O318" i="124"/>
  <c r="O570" i="124"/>
  <c r="O418" i="123"/>
  <c r="O320" i="123"/>
  <c r="O99" i="123"/>
  <c r="O81" i="123"/>
  <c r="O141" i="123"/>
  <c r="O72" i="123"/>
  <c r="O132" i="123"/>
  <c r="O195" i="123"/>
  <c r="O184" i="123"/>
  <c r="O10" i="123"/>
  <c r="O371" i="123"/>
  <c r="O165" i="123"/>
  <c r="O178" i="123"/>
  <c r="O174" i="123"/>
  <c r="O202" i="123"/>
  <c r="O32" i="124"/>
  <c r="O263" i="124"/>
  <c r="O443" i="124"/>
  <c r="O586" i="124"/>
  <c r="O22" i="124"/>
  <c r="O17" i="124"/>
  <c r="O212" i="124"/>
  <c r="O310" i="124"/>
  <c r="O354" i="124"/>
  <c r="O292" i="124"/>
  <c r="O257" i="124"/>
  <c r="O248" i="124"/>
  <c r="O294" i="124"/>
  <c r="O293" i="124"/>
  <c r="O233" i="124"/>
  <c r="O377" i="124"/>
  <c r="O218" i="124"/>
  <c r="O260" i="124"/>
  <c r="O313" i="124"/>
  <c r="O309" i="124"/>
  <c r="O192" i="124"/>
  <c r="O335" i="124"/>
  <c r="O242" i="124"/>
  <c r="O274" i="124"/>
  <c r="O216" i="124"/>
  <c r="O53" i="124"/>
  <c r="O442" i="124"/>
  <c r="O100" i="124"/>
  <c r="O520" i="124"/>
  <c r="O556" i="124"/>
  <c r="O37" i="124"/>
  <c r="O500" i="124"/>
  <c r="O118" i="123"/>
  <c r="O504" i="124"/>
  <c r="O338" i="123"/>
  <c r="O164" i="123"/>
  <c r="O207" i="123"/>
  <c r="O33" i="124"/>
  <c r="O482" i="124"/>
  <c r="O573" i="124"/>
  <c r="O546" i="124"/>
  <c r="O433" i="124"/>
  <c r="O342" i="124"/>
  <c r="O303" i="124"/>
  <c r="O312" i="124"/>
  <c r="O4" i="124"/>
  <c r="O290" i="124"/>
  <c r="O315" i="124"/>
  <c r="O322" i="124"/>
  <c r="O194" i="124"/>
  <c r="O269" i="124"/>
  <c r="O360" i="124"/>
  <c r="O208" i="124"/>
  <c r="O285" i="124"/>
  <c r="O214" i="124"/>
  <c r="O215" i="124"/>
  <c r="O333" i="124"/>
  <c r="O314" i="124"/>
  <c r="O273" i="124"/>
  <c r="O540" i="124"/>
  <c r="O190" i="124"/>
  <c r="O276" i="124"/>
  <c r="O235" i="124"/>
  <c r="O345" i="124"/>
  <c r="O492" i="124"/>
  <c r="O402" i="124"/>
  <c r="O408" i="124"/>
  <c r="O423" i="124"/>
  <c r="O247" i="124"/>
  <c r="O238" i="124"/>
  <c r="O56" i="124"/>
  <c r="O397" i="123"/>
  <c r="O401" i="123"/>
  <c r="O408" i="123"/>
  <c r="O68" i="123"/>
  <c r="O62" i="123"/>
  <c r="O127" i="123"/>
  <c r="O360" i="123"/>
  <c r="O142" i="123"/>
  <c r="O153" i="123"/>
  <c r="O98" i="123"/>
  <c r="O287" i="123"/>
  <c r="O90" i="123"/>
  <c r="O150" i="123"/>
  <c r="O93" i="123"/>
  <c r="O18" i="123"/>
  <c r="O182" i="123"/>
  <c r="O196" i="124"/>
  <c r="O382" i="124"/>
  <c r="O88" i="124"/>
  <c r="O398" i="124"/>
  <c r="O183" i="124"/>
  <c r="O151" i="124"/>
  <c r="O91" i="124"/>
  <c r="O426" i="124"/>
  <c r="O563" i="124"/>
  <c r="O407" i="124"/>
  <c r="O371" i="124"/>
  <c r="O148" i="124"/>
  <c r="O125" i="124"/>
  <c r="O63" i="124"/>
  <c r="O511" i="124"/>
  <c r="O434" i="124"/>
  <c r="O550" i="124"/>
  <c r="O130" i="124"/>
  <c r="O70" i="124"/>
  <c r="O488" i="124"/>
  <c r="O496" i="124"/>
  <c r="O166" i="124"/>
  <c r="O107" i="124"/>
  <c r="O412" i="124"/>
  <c r="O363" i="124"/>
  <c r="O44" i="124"/>
  <c r="O537" i="124"/>
  <c r="O297" i="124"/>
  <c r="O552" i="124"/>
  <c r="O69" i="123"/>
  <c r="O20" i="123"/>
  <c r="O399" i="124"/>
  <c r="O5" i="124"/>
  <c r="O14" i="124"/>
  <c r="O236" i="124"/>
  <c r="O210" i="124"/>
  <c r="O261" i="124"/>
  <c r="O253" i="124"/>
  <c r="O319" i="124"/>
  <c r="O576" i="124"/>
  <c r="O254" i="124"/>
  <c r="O79" i="124"/>
  <c r="O394" i="124"/>
  <c r="O369" i="124"/>
  <c r="O503" i="124"/>
  <c r="O145" i="124"/>
  <c r="O85" i="124"/>
  <c r="O574" i="124"/>
  <c r="O159" i="123"/>
  <c r="O171" i="124"/>
  <c r="O168" i="124"/>
  <c r="O77" i="124"/>
  <c r="O506" i="124"/>
  <c r="O339" i="124"/>
  <c r="O587" i="124"/>
  <c r="E13" i="113"/>
  <c r="Q44" i="107" s="1"/>
  <c r="O561" i="124"/>
  <c r="O338" i="124"/>
  <c r="O230" i="124"/>
  <c r="O283" i="124"/>
  <c r="O246" i="124"/>
  <c r="O201" i="124"/>
  <c r="O271" i="124"/>
  <c r="O437" i="124"/>
  <c r="O579" i="124"/>
  <c r="O352" i="124"/>
  <c r="O250" i="124"/>
  <c r="O193" i="124"/>
  <c r="O481" i="124"/>
  <c r="O203" i="124"/>
  <c r="O348" i="124"/>
  <c r="O327" i="124"/>
  <c r="O139" i="124"/>
  <c r="O383" i="124"/>
  <c r="O39" i="124"/>
  <c r="O340" i="124"/>
  <c r="O483" i="124"/>
  <c r="O321" i="124"/>
  <c r="O275" i="124"/>
  <c r="O223" i="124"/>
  <c r="O221" i="124"/>
  <c r="O447" i="124"/>
  <c r="O268" i="124"/>
  <c r="O199" i="124"/>
  <c r="O495" i="124"/>
  <c r="O582" i="124"/>
  <c r="O42" i="124"/>
  <c r="O240" i="124"/>
  <c r="O501" i="124"/>
  <c r="O207" i="124"/>
  <c r="O222" i="124"/>
  <c r="O277" i="124"/>
  <c r="O417" i="124"/>
  <c r="O51" i="124"/>
  <c r="O57" i="124"/>
  <c r="O359" i="123"/>
  <c r="O416" i="123"/>
  <c r="O393" i="123"/>
  <c r="O350" i="123"/>
  <c r="O304" i="123"/>
  <c r="O333" i="123"/>
  <c r="O115" i="123"/>
  <c r="O94" i="123"/>
  <c r="O89" i="123"/>
  <c r="O149" i="123"/>
  <c r="O116" i="123"/>
  <c r="O74" i="123"/>
  <c r="O134" i="123"/>
  <c r="O85" i="123"/>
  <c r="O175" i="123"/>
  <c r="O163" i="123"/>
  <c r="O140" i="124"/>
  <c r="O116" i="124"/>
  <c r="O295" i="124"/>
  <c r="O191" i="124"/>
  <c r="O213" i="124"/>
  <c r="O281" i="124"/>
  <c r="O41" i="124"/>
  <c r="O532" i="124"/>
  <c r="O195" i="124"/>
  <c r="O204" i="124"/>
  <c r="O251" i="124"/>
  <c r="O188" i="124"/>
  <c r="O264" i="124"/>
  <c r="O198" i="124"/>
  <c r="O320" i="124"/>
  <c r="O262" i="124"/>
  <c r="O311" i="124"/>
  <c r="O332" i="124"/>
  <c r="O220" i="124"/>
  <c r="O187" i="124"/>
  <c r="O355" i="124"/>
  <c r="O346" i="124"/>
  <c r="O420" i="124"/>
  <c r="D23" i="113"/>
  <c r="O10" i="46"/>
  <c r="BL18" i="107"/>
  <c r="BN18" i="107" s="1"/>
  <c r="O526" i="124"/>
  <c r="BL17" i="107"/>
  <c r="BN17" i="107" s="1"/>
  <c r="O13" i="46"/>
  <c r="O124" i="124"/>
  <c r="O62" i="124"/>
  <c r="O158" i="124"/>
  <c r="O533" i="124"/>
  <c r="O468" i="124"/>
  <c r="O559" i="124"/>
  <c r="O185" i="124"/>
  <c r="O147" i="124"/>
  <c r="O87" i="124"/>
  <c r="O391" i="124"/>
  <c r="O15" i="124"/>
  <c r="O429" i="124"/>
  <c r="O118" i="124"/>
  <c r="O153" i="124"/>
  <c r="O93" i="124"/>
  <c r="O479" i="124"/>
  <c r="O578" i="124"/>
  <c r="O497" i="124"/>
  <c r="O341" i="124"/>
  <c r="O316" i="124"/>
  <c r="O448" i="124"/>
  <c r="O76" i="124"/>
  <c r="O384" i="124"/>
  <c r="O12" i="124"/>
  <c r="J436" i="123"/>
  <c r="N436" i="123" s="1"/>
  <c r="J437" i="123"/>
  <c r="N437" i="123" s="1"/>
  <c r="J554" i="123"/>
  <c r="N554" i="123" s="1"/>
  <c r="J257" i="123"/>
  <c r="N257" i="123" s="1"/>
  <c r="J446" i="123"/>
  <c r="N446" i="123" s="1"/>
  <c r="J460" i="123"/>
  <c r="N460" i="123" s="1"/>
  <c r="J520" i="123"/>
  <c r="N520" i="123" s="1"/>
  <c r="J568" i="123"/>
  <c r="N568" i="123" s="1"/>
  <c r="J435" i="123"/>
  <c r="N435" i="123" s="1"/>
  <c r="J575" i="123"/>
  <c r="N575" i="123" s="1"/>
  <c r="J48" i="123"/>
  <c r="N48" i="123" s="1"/>
  <c r="J456" i="123"/>
  <c r="N456" i="123" s="1"/>
  <c r="J423" i="123"/>
  <c r="N423" i="123" s="1"/>
  <c r="J273" i="123"/>
  <c r="N273" i="123" s="1"/>
  <c r="J230" i="123"/>
  <c r="J223" i="123"/>
  <c r="N223" i="123" s="1"/>
  <c r="J500" i="123"/>
  <c r="N500" i="123" s="1"/>
  <c r="J515" i="123"/>
  <c r="N515" i="123" s="1"/>
  <c r="J581" i="123"/>
  <c r="N581" i="123" s="1"/>
  <c r="J540" i="123"/>
  <c r="N540" i="123" s="1"/>
  <c r="J535" i="123"/>
  <c r="N535" i="123" s="1"/>
  <c r="J276" i="123"/>
  <c r="N276" i="123" s="1"/>
  <c r="J51" i="123"/>
  <c r="N51" i="123" s="1"/>
  <c r="J448" i="123"/>
  <c r="N448" i="123" s="1"/>
  <c r="J235" i="123"/>
  <c r="J5" i="123"/>
  <c r="N5" i="123" s="1"/>
  <c r="J555" i="123"/>
  <c r="N555" i="123" s="1"/>
  <c r="J8" i="123"/>
  <c r="N8" i="123" s="1"/>
  <c r="J466" i="123"/>
  <c r="N466" i="123" s="1"/>
  <c r="J9" i="123"/>
  <c r="N9" i="123" s="1"/>
  <c r="J42" i="123"/>
  <c r="N42" i="123" s="1"/>
  <c r="J45" i="123"/>
  <c r="N45" i="123" s="1"/>
  <c r="J245" i="123"/>
  <c r="J207" i="123"/>
  <c r="N207" i="123" s="1"/>
  <c r="J203" i="123"/>
  <c r="N203" i="123" s="1"/>
  <c r="J202" i="123"/>
  <c r="N202" i="123" s="1"/>
  <c r="J194" i="123"/>
  <c r="N194" i="123" s="1"/>
  <c r="J186" i="123"/>
  <c r="N186" i="123" s="1"/>
  <c r="J179" i="123"/>
  <c r="N179" i="123" s="1"/>
  <c r="J172" i="123"/>
  <c r="N172" i="123" s="1"/>
  <c r="J164" i="123"/>
  <c r="N164" i="123" s="1"/>
  <c r="J156" i="123"/>
  <c r="J199" i="123"/>
  <c r="N199" i="123" s="1"/>
  <c r="J191" i="123"/>
  <c r="N191" i="123" s="1"/>
  <c r="J184" i="123"/>
  <c r="N184" i="123" s="1"/>
  <c r="J177" i="123"/>
  <c r="N177" i="123" s="1"/>
  <c r="J196" i="123"/>
  <c r="N196" i="123" s="1"/>
  <c r="J188" i="123"/>
  <c r="N188" i="123" s="1"/>
  <c r="J181" i="123"/>
  <c r="N181" i="123" s="1"/>
  <c r="J174" i="123"/>
  <c r="N174" i="123" s="1"/>
  <c r="J166" i="123"/>
  <c r="N166" i="123" s="1"/>
  <c r="J210" i="123"/>
  <c r="N210" i="123" s="1"/>
  <c r="J95" i="123"/>
  <c r="N95" i="123" s="1"/>
  <c r="J198" i="123"/>
  <c r="N198" i="123" s="1"/>
  <c r="J190" i="123"/>
  <c r="N190" i="123" s="1"/>
  <c r="J183" i="123"/>
  <c r="N183" i="123" s="1"/>
  <c r="J209" i="123"/>
  <c r="N209" i="123" s="1"/>
  <c r="J208" i="123"/>
  <c r="N208" i="123" s="1"/>
  <c r="J195" i="123"/>
  <c r="N195" i="123" s="1"/>
  <c r="J187" i="123"/>
  <c r="N187" i="123" s="1"/>
  <c r="J180" i="123"/>
  <c r="N180" i="123" s="1"/>
  <c r="J173" i="123"/>
  <c r="N173" i="123" s="1"/>
  <c r="J206" i="123"/>
  <c r="N206" i="123" s="1"/>
  <c r="J200" i="123"/>
  <c r="N200" i="123" s="1"/>
  <c r="J192" i="123"/>
  <c r="N192" i="123" s="1"/>
  <c r="J274" i="123"/>
  <c r="N274" i="123" s="1"/>
  <c r="J178" i="123"/>
  <c r="N178" i="123" s="1"/>
  <c r="J170" i="123"/>
  <c r="N170" i="123" s="1"/>
  <c r="J205" i="123"/>
  <c r="N205" i="123" s="1"/>
  <c r="J204" i="123"/>
  <c r="N204" i="123" s="1"/>
  <c r="J197" i="123"/>
  <c r="N197" i="123" s="1"/>
  <c r="J189" i="123"/>
  <c r="N189" i="123" s="1"/>
  <c r="J169" i="123"/>
  <c r="N169" i="123" s="1"/>
  <c r="J163" i="123"/>
  <c r="N163" i="123" s="1"/>
  <c r="J157" i="123"/>
  <c r="N157" i="123" s="1"/>
  <c r="J152" i="123"/>
  <c r="N152" i="123" s="1"/>
  <c r="J14" i="123"/>
  <c r="N14" i="123" s="1"/>
  <c r="J142" i="123"/>
  <c r="N142" i="123" s="1"/>
  <c r="J135" i="123"/>
  <c r="N135" i="123" s="1"/>
  <c r="J127" i="123"/>
  <c r="N127" i="123" s="1"/>
  <c r="J120" i="123"/>
  <c r="N120" i="123" s="1"/>
  <c r="J112" i="123"/>
  <c r="N112" i="123" s="1"/>
  <c r="J104" i="123"/>
  <c r="N104" i="123" s="1"/>
  <c r="J97" i="123"/>
  <c r="N97" i="123" s="1"/>
  <c r="J88" i="123"/>
  <c r="N88" i="123" s="1"/>
  <c r="J83" i="123"/>
  <c r="N83" i="123" s="1"/>
  <c r="J75" i="123"/>
  <c r="N75" i="123" s="1"/>
  <c r="J67" i="123"/>
  <c r="N67" i="123" s="1"/>
  <c r="J20" i="123"/>
  <c r="N20" i="123" s="1"/>
  <c r="J18" i="123"/>
  <c r="N18" i="123" s="1"/>
  <c r="J146" i="123"/>
  <c r="N146" i="123" s="1"/>
  <c r="J140" i="123"/>
  <c r="N140" i="123" s="1"/>
  <c r="J132" i="123"/>
  <c r="J124" i="123"/>
  <c r="N124" i="123" s="1"/>
  <c r="J117" i="123"/>
  <c r="J109" i="123"/>
  <c r="N109" i="123" s="1"/>
  <c r="J101" i="123"/>
  <c r="N101" i="123" s="1"/>
  <c r="J93" i="123"/>
  <c r="N93" i="123" s="1"/>
  <c r="J85" i="123"/>
  <c r="J193" i="123"/>
  <c r="N193" i="123" s="1"/>
  <c r="J176" i="123"/>
  <c r="N176" i="123" s="1"/>
  <c r="J162" i="123"/>
  <c r="N162" i="123" s="1"/>
  <c r="J161" i="123"/>
  <c r="N161" i="123" s="1"/>
  <c r="J150" i="123"/>
  <c r="N150" i="123" s="1"/>
  <c r="J144" i="123"/>
  <c r="N144" i="123" s="1"/>
  <c r="J137" i="123"/>
  <c r="N137" i="123" s="1"/>
  <c r="J129" i="123"/>
  <c r="N129" i="123" s="1"/>
  <c r="J122" i="123"/>
  <c r="N122" i="123" s="1"/>
  <c r="J114" i="123"/>
  <c r="N114" i="123" s="1"/>
  <c r="J106" i="123"/>
  <c r="N106" i="123" s="1"/>
  <c r="J288" i="123"/>
  <c r="J90" i="123"/>
  <c r="N90" i="123" s="1"/>
  <c r="J3" i="123"/>
  <c r="N3" i="123" s="1"/>
  <c r="J77" i="123"/>
  <c r="N77" i="123" s="1"/>
  <c r="J69" i="123"/>
  <c r="N69" i="123" s="1"/>
  <c r="J59" i="123"/>
  <c r="J24" i="123"/>
  <c r="N24" i="123" s="1"/>
  <c r="J160" i="123"/>
  <c r="N160" i="123" s="1"/>
  <c r="J155" i="123"/>
  <c r="N155" i="123" s="1"/>
  <c r="J19" i="123"/>
  <c r="N19" i="123" s="1"/>
  <c r="J151" i="123"/>
  <c r="N151" i="123" s="1"/>
  <c r="J148" i="123"/>
  <c r="N148" i="123" s="1"/>
  <c r="J12" i="123"/>
  <c r="N12" i="123" s="1"/>
  <c r="J134" i="123"/>
  <c r="N134" i="123" s="1"/>
  <c r="J126" i="123"/>
  <c r="N126" i="123" s="1"/>
  <c r="J119" i="123"/>
  <c r="N119" i="123" s="1"/>
  <c r="J111" i="123"/>
  <c r="N111" i="123" s="1"/>
  <c r="J103" i="123"/>
  <c r="N103" i="123" s="1"/>
  <c r="J96" i="123"/>
  <c r="N96" i="123" s="1"/>
  <c r="J87" i="123"/>
  <c r="N87" i="123" s="1"/>
  <c r="J82" i="123"/>
  <c r="N82" i="123" s="1"/>
  <c r="J182" i="123"/>
  <c r="N182" i="123" s="1"/>
  <c r="J171" i="123"/>
  <c r="N171" i="123" s="1"/>
  <c r="J154" i="123"/>
  <c r="N154" i="123" s="1"/>
  <c r="J17" i="123"/>
  <c r="N17" i="123" s="1"/>
  <c r="J13" i="123"/>
  <c r="N13" i="123" s="1"/>
  <c r="J139" i="123"/>
  <c r="J131" i="123"/>
  <c r="N131" i="123" s="1"/>
  <c r="J287" i="123"/>
  <c r="N287" i="123" s="1"/>
  <c r="J116" i="123"/>
  <c r="N116" i="123" s="1"/>
  <c r="J108" i="123"/>
  <c r="N108" i="123" s="1"/>
  <c r="J100" i="123"/>
  <c r="N100" i="123" s="1"/>
  <c r="J92" i="123"/>
  <c r="N92" i="123" s="1"/>
  <c r="J6" i="123"/>
  <c r="N6" i="123" s="1"/>
  <c r="J79" i="123"/>
  <c r="N79" i="123" s="1"/>
  <c r="J201" i="123"/>
  <c r="N201" i="123" s="1"/>
  <c r="J159" i="123"/>
  <c r="J149" i="123"/>
  <c r="J143" i="123"/>
  <c r="N143" i="123" s="1"/>
  <c r="J136" i="123"/>
  <c r="N136" i="123" s="1"/>
  <c r="J128" i="123"/>
  <c r="N128" i="123" s="1"/>
  <c r="J121" i="123"/>
  <c r="N121" i="123" s="1"/>
  <c r="J113" i="123"/>
  <c r="N113" i="123" s="1"/>
  <c r="J105" i="123"/>
  <c r="N105" i="123" s="1"/>
  <c r="J98" i="123"/>
  <c r="N98" i="123" s="1"/>
  <c r="J89" i="123"/>
  <c r="N89" i="123" s="1"/>
  <c r="J84" i="123"/>
  <c r="N84" i="123" s="1"/>
  <c r="J76" i="123"/>
  <c r="N76" i="123" s="1"/>
  <c r="J68" i="123"/>
  <c r="N68" i="123" s="1"/>
  <c r="J58" i="123"/>
  <c r="J185" i="123"/>
  <c r="N185" i="123" s="1"/>
  <c r="J158" i="123"/>
  <c r="N158" i="123" s="1"/>
  <c r="J22" i="123"/>
  <c r="N22" i="123" s="1"/>
  <c r="J153" i="123"/>
  <c r="N153" i="123" s="1"/>
  <c r="J280" i="123"/>
  <c r="N280" i="123" s="1"/>
  <c r="J147" i="123"/>
  <c r="N147" i="123" s="1"/>
  <c r="J141" i="123"/>
  <c r="N141" i="123" s="1"/>
  <c r="J133" i="123"/>
  <c r="N133" i="123" s="1"/>
  <c r="J125" i="123"/>
  <c r="N125" i="123" s="1"/>
  <c r="J118" i="123"/>
  <c r="N118" i="123" s="1"/>
  <c r="J110" i="123"/>
  <c r="N110" i="123" s="1"/>
  <c r="J102" i="123"/>
  <c r="N102" i="123" s="1"/>
  <c r="J94" i="123"/>
  <c r="N94" i="123" s="1"/>
  <c r="J86" i="123"/>
  <c r="N86" i="123" s="1"/>
  <c r="J81" i="123"/>
  <c r="N81" i="123" s="1"/>
  <c r="J73" i="123"/>
  <c r="N73" i="123" s="1"/>
  <c r="J65" i="123"/>
  <c r="N65" i="123" s="1"/>
  <c r="J175" i="123"/>
  <c r="N175" i="123" s="1"/>
  <c r="J16" i="123"/>
  <c r="N16" i="123" s="1"/>
  <c r="J123" i="123"/>
  <c r="N123" i="123" s="1"/>
  <c r="J91" i="123"/>
  <c r="N91" i="123" s="1"/>
  <c r="J80" i="123"/>
  <c r="N80" i="123" s="1"/>
  <c r="J72" i="123"/>
  <c r="N72" i="123" s="1"/>
  <c r="J64" i="123"/>
  <c r="N64" i="123" s="1"/>
  <c r="J298" i="123"/>
  <c r="N298" i="123" s="1"/>
  <c r="J306" i="123"/>
  <c r="N306" i="123" s="1"/>
  <c r="J314" i="123"/>
  <c r="N314" i="123" s="1"/>
  <c r="J322" i="123"/>
  <c r="N322" i="123" s="1"/>
  <c r="J330" i="123"/>
  <c r="N330" i="123" s="1"/>
  <c r="J338" i="123"/>
  <c r="N338" i="123" s="1"/>
  <c r="J346" i="123"/>
  <c r="N346" i="123" s="1"/>
  <c r="J354" i="123"/>
  <c r="N354" i="123" s="1"/>
  <c r="J362" i="123"/>
  <c r="N362" i="123" s="1"/>
  <c r="J165" i="123"/>
  <c r="J10" i="123"/>
  <c r="J293" i="123"/>
  <c r="N293" i="123" s="1"/>
  <c r="J301" i="123"/>
  <c r="N301" i="123" s="1"/>
  <c r="J309" i="123"/>
  <c r="N309" i="123" s="1"/>
  <c r="J317" i="123"/>
  <c r="N317" i="123" s="1"/>
  <c r="J325" i="123"/>
  <c r="N325" i="123" s="1"/>
  <c r="J333" i="123"/>
  <c r="N333" i="123" s="1"/>
  <c r="J341" i="123"/>
  <c r="N341" i="123" s="1"/>
  <c r="J349" i="123"/>
  <c r="N349" i="123" s="1"/>
  <c r="J357" i="123"/>
  <c r="N357" i="123" s="1"/>
  <c r="J365" i="123"/>
  <c r="N365" i="123" s="1"/>
  <c r="J373" i="123"/>
  <c r="N373" i="123" s="1"/>
  <c r="J381" i="123"/>
  <c r="N381" i="123" s="1"/>
  <c r="J389" i="123"/>
  <c r="N389" i="123" s="1"/>
  <c r="J397" i="123"/>
  <c r="N397" i="123" s="1"/>
  <c r="J21" i="123"/>
  <c r="N21" i="123" s="1"/>
  <c r="J145" i="123"/>
  <c r="J115" i="123"/>
  <c r="N115" i="123" s="1"/>
  <c r="J4" i="123"/>
  <c r="N4" i="123" s="1"/>
  <c r="J296" i="123"/>
  <c r="N296" i="123" s="1"/>
  <c r="J304" i="123"/>
  <c r="N304" i="123" s="1"/>
  <c r="J312" i="123"/>
  <c r="N312" i="123" s="1"/>
  <c r="J320" i="123"/>
  <c r="N320" i="123" s="1"/>
  <c r="J328" i="123"/>
  <c r="N328" i="123" s="1"/>
  <c r="J336" i="123"/>
  <c r="N336" i="123" s="1"/>
  <c r="J344" i="123"/>
  <c r="N344" i="123" s="1"/>
  <c r="J352" i="123"/>
  <c r="N352" i="123" s="1"/>
  <c r="J360" i="123"/>
  <c r="N360" i="123" s="1"/>
  <c r="J368" i="123"/>
  <c r="N368" i="123" s="1"/>
  <c r="J376" i="123"/>
  <c r="N376" i="123" s="1"/>
  <c r="J384" i="123"/>
  <c r="N384" i="123" s="1"/>
  <c r="J392" i="123"/>
  <c r="N392" i="123" s="1"/>
  <c r="J168" i="123"/>
  <c r="N168" i="123" s="1"/>
  <c r="J291" i="123"/>
  <c r="N291" i="123" s="1"/>
  <c r="J299" i="123"/>
  <c r="N299" i="123" s="1"/>
  <c r="J307" i="123"/>
  <c r="N307" i="123" s="1"/>
  <c r="J315" i="123"/>
  <c r="N315" i="123" s="1"/>
  <c r="J323" i="123"/>
  <c r="N323" i="123" s="1"/>
  <c r="J331" i="123"/>
  <c r="N331" i="123" s="1"/>
  <c r="J339" i="123"/>
  <c r="N339" i="123" s="1"/>
  <c r="J347" i="123"/>
  <c r="N347" i="123" s="1"/>
  <c r="J355" i="123"/>
  <c r="N355" i="123" s="1"/>
  <c r="J363" i="123"/>
  <c r="N363" i="123" s="1"/>
  <c r="J371" i="123"/>
  <c r="N371" i="123" s="1"/>
  <c r="J379" i="123"/>
  <c r="N379" i="123" s="1"/>
  <c r="J387" i="123"/>
  <c r="N387" i="123" s="1"/>
  <c r="J395" i="123"/>
  <c r="N395" i="123" s="1"/>
  <c r="J138" i="123"/>
  <c r="N138" i="123" s="1"/>
  <c r="J107" i="123"/>
  <c r="N107" i="123" s="1"/>
  <c r="J74" i="123"/>
  <c r="N74" i="123" s="1"/>
  <c r="J70" i="123"/>
  <c r="N70" i="123" s="1"/>
  <c r="J66" i="123"/>
  <c r="N66" i="123" s="1"/>
  <c r="J57" i="123"/>
  <c r="N57" i="123" s="1"/>
  <c r="J294" i="123"/>
  <c r="N294" i="123" s="1"/>
  <c r="J302" i="123"/>
  <c r="N302" i="123" s="1"/>
  <c r="J310" i="123"/>
  <c r="N310" i="123" s="1"/>
  <c r="J318" i="123"/>
  <c r="N318" i="123" s="1"/>
  <c r="J326" i="123"/>
  <c r="N326" i="123" s="1"/>
  <c r="J334" i="123"/>
  <c r="N334" i="123" s="1"/>
  <c r="J342" i="123"/>
  <c r="N342" i="123" s="1"/>
  <c r="J350" i="123"/>
  <c r="N350" i="123" s="1"/>
  <c r="J358" i="123"/>
  <c r="N358" i="123" s="1"/>
  <c r="J366" i="123"/>
  <c r="N366" i="123" s="1"/>
  <c r="J374" i="123"/>
  <c r="N374" i="123" s="1"/>
  <c r="J167" i="123"/>
  <c r="N167" i="123" s="1"/>
  <c r="J297" i="123"/>
  <c r="N297" i="123" s="1"/>
  <c r="J305" i="123"/>
  <c r="N305" i="123" s="1"/>
  <c r="J313" i="123"/>
  <c r="N313" i="123" s="1"/>
  <c r="J321" i="123"/>
  <c r="N321" i="123" s="1"/>
  <c r="J329" i="123"/>
  <c r="N329" i="123" s="1"/>
  <c r="J337" i="123"/>
  <c r="N337" i="123" s="1"/>
  <c r="J345" i="123"/>
  <c r="N345" i="123" s="1"/>
  <c r="J353" i="123"/>
  <c r="N353" i="123" s="1"/>
  <c r="J361" i="123"/>
  <c r="N361" i="123" s="1"/>
  <c r="J369" i="123"/>
  <c r="N369" i="123" s="1"/>
  <c r="J377" i="123"/>
  <c r="N377" i="123" s="1"/>
  <c r="J385" i="123"/>
  <c r="N385" i="123" s="1"/>
  <c r="J71" i="123"/>
  <c r="N71" i="123" s="1"/>
  <c r="J63" i="123"/>
  <c r="N63" i="123" s="1"/>
  <c r="J11" i="123"/>
  <c r="N11" i="123" s="1"/>
  <c r="J295" i="123"/>
  <c r="N295" i="123" s="1"/>
  <c r="J303" i="123"/>
  <c r="N303" i="123" s="1"/>
  <c r="J311" i="123"/>
  <c r="N311" i="123" s="1"/>
  <c r="J319" i="123"/>
  <c r="N319" i="123" s="1"/>
  <c r="J327" i="123"/>
  <c r="N327" i="123" s="1"/>
  <c r="J335" i="123"/>
  <c r="N335" i="123" s="1"/>
  <c r="J343" i="123"/>
  <c r="N343" i="123" s="1"/>
  <c r="J351" i="123"/>
  <c r="N351" i="123" s="1"/>
  <c r="J359" i="123"/>
  <c r="N359" i="123" s="1"/>
  <c r="J367" i="123"/>
  <c r="N367" i="123" s="1"/>
  <c r="J375" i="123"/>
  <c r="N375" i="123" s="1"/>
  <c r="J383" i="123"/>
  <c r="N383" i="123" s="1"/>
  <c r="J391" i="123"/>
  <c r="N391" i="123" s="1"/>
  <c r="J130" i="123"/>
  <c r="N130" i="123" s="1"/>
  <c r="J292" i="123"/>
  <c r="N292" i="123" s="1"/>
  <c r="J324" i="123"/>
  <c r="N324" i="123" s="1"/>
  <c r="J356" i="123"/>
  <c r="N356" i="123" s="1"/>
  <c r="J390" i="123"/>
  <c r="N390" i="123" s="1"/>
  <c r="J402" i="123"/>
  <c r="N402" i="123" s="1"/>
  <c r="J410" i="123"/>
  <c r="N410" i="123" s="1"/>
  <c r="J418" i="123"/>
  <c r="N418" i="123" s="1"/>
  <c r="J378" i="123"/>
  <c r="N378" i="123" s="1"/>
  <c r="J380" i="123"/>
  <c r="N380" i="123" s="1"/>
  <c r="J393" i="123"/>
  <c r="N393" i="123" s="1"/>
  <c r="J399" i="123"/>
  <c r="N399" i="123" s="1"/>
  <c r="J405" i="123"/>
  <c r="N405" i="123" s="1"/>
  <c r="J413" i="123"/>
  <c r="N413" i="123" s="1"/>
  <c r="J421" i="123"/>
  <c r="N421" i="123" s="1"/>
  <c r="J300" i="123"/>
  <c r="N300" i="123" s="1"/>
  <c r="J332" i="123"/>
  <c r="N332" i="123" s="1"/>
  <c r="J364" i="123"/>
  <c r="N364" i="123" s="1"/>
  <c r="J382" i="123"/>
  <c r="N382" i="123" s="1"/>
  <c r="J394" i="123"/>
  <c r="N394" i="123" s="1"/>
  <c r="J400" i="123"/>
  <c r="N400" i="123" s="1"/>
  <c r="J408" i="123"/>
  <c r="N408" i="123" s="1"/>
  <c r="J416" i="123"/>
  <c r="N416" i="123" s="1"/>
  <c r="J420" i="123"/>
  <c r="N420" i="123" s="1"/>
  <c r="J78" i="123"/>
  <c r="N78" i="123" s="1"/>
  <c r="J372" i="123"/>
  <c r="N372" i="123" s="1"/>
  <c r="J403" i="123"/>
  <c r="N403" i="123" s="1"/>
  <c r="J411" i="123"/>
  <c r="N411" i="123" s="1"/>
  <c r="J419" i="123"/>
  <c r="N419" i="123" s="1"/>
  <c r="J348" i="123"/>
  <c r="N348" i="123" s="1"/>
  <c r="J308" i="123"/>
  <c r="N308" i="123" s="1"/>
  <c r="J340" i="123"/>
  <c r="N340" i="123" s="1"/>
  <c r="J406" i="123"/>
  <c r="N406" i="123" s="1"/>
  <c r="J414" i="123"/>
  <c r="N414" i="123" s="1"/>
  <c r="J316" i="123"/>
  <c r="N316" i="123" s="1"/>
  <c r="J404" i="123"/>
  <c r="N404" i="123" s="1"/>
  <c r="J370" i="123"/>
  <c r="N370" i="123" s="1"/>
  <c r="J401" i="123"/>
  <c r="N401" i="123" s="1"/>
  <c r="J409" i="123"/>
  <c r="N409" i="123" s="1"/>
  <c r="J417" i="123"/>
  <c r="N417" i="123" s="1"/>
  <c r="J386" i="123"/>
  <c r="N386" i="123" s="1"/>
  <c r="J412" i="123"/>
  <c r="N412" i="123" s="1"/>
  <c r="J62" i="123"/>
  <c r="N62" i="123" s="1"/>
  <c r="J56" i="123"/>
  <c r="J388" i="123"/>
  <c r="N388" i="123" s="1"/>
  <c r="J396" i="123"/>
  <c r="N396" i="123" s="1"/>
  <c r="J398" i="123"/>
  <c r="N398" i="123" s="1"/>
  <c r="J407" i="123"/>
  <c r="N407" i="123" s="1"/>
  <c r="J415" i="123"/>
  <c r="N415" i="123" s="1"/>
  <c r="J99" i="123"/>
  <c r="N99" i="123" s="1"/>
  <c r="J571" i="123"/>
  <c r="N571" i="123" s="1"/>
  <c r="J221" i="123"/>
  <c r="N221" i="123" s="1"/>
  <c r="J30" i="123"/>
  <c r="N30" i="123" s="1"/>
  <c r="J494" i="123"/>
  <c r="N494" i="123" s="1"/>
  <c r="J213" i="123"/>
  <c r="N213" i="123" s="1"/>
  <c r="J562" i="123"/>
  <c r="N562" i="123" s="1"/>
  <c r="J547" i="123"/>
  <c r="N547" i="123" s="1"/>
  <c r="J430" i="123"/>
  <c r="N430" i="123" s="1"/>
  <c r="J240" i="123"/>
  <c r="N240" i="123" s="1"/>
  <c r="J577" i="123"/>
  <c r="N577" i="123" s="1"/>
  <c r="J39" i="123"/>
  <c r="N39" i="123" s="1"/>
  <c r="J284" i="123"/>
  <c r="N284" i="123" s="1"/>
  <c r="J259" i="123"/>
  <c r="N259" i="123" s="1"/>
  <c r="J518" i="123"/>
  <c r="N518" i="123" s="1"/>
  <c r="J225" i="123"/>
  <c r="N225" i="123" s="1"/>
  <c r="J220" i="123"/>
  <c r="N220" i="123" s="1"/>
  <c r="J486" i="123"/>
  <c r="N486" i="123" s="1"/>
  <c r="J491" i="123"/>
  <c r="N491" i="123" s="1"/>
  <c r="J475" i="123"/>
  <c r="N475" i="123" s="1"/>
  <c r="J481" i="123"/>
  <c r="N481" i="123" s="1"/>
  <c r="J239" i="123"/>
  <c r="J424" i="123"/>
  <c r="N424" i="123" s="1"/>
  <c r="J251" i="123"/>
  <c r="J499" i="123"/>
  <c r="N499" i="123" s="1"/>
  <c r="J444" i="123"/>
  <c r="N444" i="123" s="1"/>
  <c r="J433" i="123"/>
  <c r="N433" i="123" s="1"/>
  <c r="J489" i="123"/>
  <c r="N489" i="123" s="1"/>
  <c r="J530" i="123"/>
  <c r="N530" i="123" s="1"/>
  <c r="J542" i="123"/>
  <c r="N542" i="123" s="1"/>
  <c r="J7" i="123"/>
  <c r="N7" i="123" s="1"/>
  <c r="J249" i="123"/>
  <c r="J469" i="123"/>
  <c r="N469" i="123" s="1"/>
  <c r="J27" i="123"/>
  <c r="N27" i="123" s="1"/>
  <c r="J264" i="123"/>
  <c r="N264" i="123" s="1"/>
  <c r="J550" i="123"/>
  <c r="N550" i="123" s="1"/>
  <c r="J255" i="123"/>
  <c r="N255" i="123" s="1"/>
  <c r="J443" i="123"/>
  <c r="N443" i="123" s="1"/>
  <c r="O73" i="124"/>
  <c r="O558" i="124"/>
  <c r="O13" i="124"/>
  <c r="O95" i="124"/>
  <c r="O405" i="124"/>
  <c r="O455" i="124"/>
  <c r="O467" i="124"/>
  <c r="O179" i="124"/>
  <c r="O114" i="124"/>
  <c r="J545" i="123"/>
  <c r="N545" i="123" s="1"/>
  <c r="J578" i="123"/>
  <c r="N578" i="123" s="1"/>
  <c r="J459" i="123"/>
  <c r="N459" i="123" s="1"/>
  <c r="J453" i="123"/>
  <c r="N453" i="123" s="1"/>
  <c r="J526" i="123"/>
  <c r="N526" i="123" s="1"/>
  <c r="J425" i="123"/>
  <c r="N425" i="123" s="1"/>
  <c r="J574" i="123"/>
  <c r="N574" i="123" s="1"/>
  <c r="J507" i="123"/>
  <c r="N507" i="123" s="1"/>
  <c r="J549" i="123"/>
  <c r="N549" i="123" s="1"/>
  <c r="J28" i="123"/>
  <c r="N28" i="123" s="1"/>
  <c r="J440" i="123"/>
  <c r="N440" i="123" s="1"/>
  <c r="J445" i="123"/>
  <c r="N445" i="123" s="1"/>
  <c r="J512" i="123"/>
  <c r="N512" i="123" s="1"/>
  <c r="J263" i="123"/>
  <c r="N263" i="123" s="1"/>
  <c r="J536" i="123"/>
  <c r="N536" i="123" s="1"/>
  <c r="J211" i="123"/>
  <c r="N211" i="123" s="1"/>
  <c r="J232" i="123"/>
  <c r="J46" i="123"/>
  <c r="N46" i="123" s="1"/>
  <c r="O266" i="124"/>
  <c r="O367" i="124"/>
  <c r="O234" i="124"/>
  <c r="O337" i="124"/>
  <c r="O334" i="124"/>
  <c r="J35" i="123"/>
  <c r="N35" i="123" s="1"/>
  <c r="J560" i="123"/>
  <c r="N560" i="123" s="1"/>
  <c r="J497" i="123"/>
  <c r="N497" i="123" s="1"/>
  <c r="J36" i="123"/>
  <c r="N36" i="123" s="1"/>
  <c r="J454" i="123"/>
  <c r="N454" i="123" s="1"/>
  <c r="J431" i="123"/>
  <c r="N431" i="123" s="1"/>
  <c r="J509" i="123"/>
  <c r="N509" i="123" s="1"/>
  <c r="J519" i="123"/>
  <c r="N519" i="123" s="1"/>
  <c r="J566" i="123"/>
  <c r="N566" i="123" s="1"/>
  <c r="J282" i="123"/>
  <c r="N282" i="123" s="1"/>
  <c r="J561" i="123"/>
  <c r="N561" i="123" s="1"/>
  <c r="J544" i="123"/>
  <c r="N544" i="123" s="1"/>
  <c r="J565" i="123"/>
  <c r="N565" i="123" s="1"/>
  <c r="J250" i="123"/>
  <c r="J498" i="123"/>
  <c r="N498" i="123" s="1"/>
  <c r="J504" i="123"/>
  <c r="N504" i="123" s="1"/>
  <c r="J426" i="123"/>
  <c r="N426" i="123" s="1"/>
  <c r="J510" i="123"/>
  <c r="N510" i="123" s="1"/>
  <c r="J34" i="123"/>
  <c r="N34" i="123" s="1"/>
  <c r="J521" i="123"/>
  <c r="N521" i="123" s="1"/>
  <c r="J465" i="123"/>
  <c r="N465" i="123" s="1"/>
  <c r="J23" i="123"/>
  <c r="N23" i="123" s="1"/>
  <c r="J429" i="123"/>
  <c r="N429" i="123" s="1"/>
  <c r="J495" i="123"/>
  <c r="N495" i="123" s="1"/>
  <c r="J229" i="123"/>
  <c r="J548" i="123"/>
  <c r="N548" i="123" s="1"/>
  <c r="J563" i="123"/>
  <c r="N563" i="123" s="1"/>
  <c r="J452" i="123"/>
  <c r="N452" i="123" s="1"/>
  <c r="J32" i="123"/>
  <c r="N32" i="123" s="1"/>
  <c r="J248" i="123"/>
  <c r="J428" i="123"/>
  <c r="N428" i="123" s="1"/>
  <c r="J505" i="123"/>
  <c r="N505" i="123" s="1"/>
  <c r="J539" i="123"/>
  <c r="N539" i="123" s="1"/>
  <c r="J228" i="123"/>
  <c r="O542" i="124"/>
  <c r="O519" i="124"/>
  <c r="O160" i="124"/>
  <c r="O102" i="124"/>
  <c r="O527" i="124"/>
  <c r="O554" i="124"/>
  <c r="O136" i="124"/>
  <c r="O466" i="124"/>
  <c r="O25" i="124"/>
  <c r="O181" i="124"/>
  <c r="O123" i="124"/>
  <c r="O476" i="124"/>
  <c r="O350" i="124"/>
  <c r="O451" i="124"/>
  <c r="O137" i="124"/>
  <c r="O557" i="124"/>
  <c r="O24" i="124"/>
  <c r="O119" i="124"/>
  <c r="O458" i="124"/>
  <c r="O372" i="124"/>
  <c r="O162" i="124"/>
  <c r="O571" i="124"/>
  <c r="O445" i="124"/>
  <c r="O146" i="124"/>
  <c r="O86" i="124"/>
  <c r="O514" i="124"/>
  <c r="O20" i="124"/>
  <c r="O575" i="124"/>
  <c r="O180" i="124"/>
  <c r="O122" i="124"/>
  <c r="O510" i="124"/>
  <c r="O387" i="124"/>
  <c r="O462" i="124"/>
  <c r="O165" i="124"/>
  <c r="O104" i="124"/>
  <c r="O149" i="124"/>
  <c r="O65" i="124"/>
  <c r="O374" i="124"/>
  <c r="O7" i="124"/>
  <c r="O549" i="124"/>
  <c r="O424" i="124"/>
  <c r="O469" i="124"/>
  <c r="O368" i="124"/>
  <c r="O173" i="124"/>
  <c r="O475" i="124"/>
  <c r="O543" i="124"/>
  <c r="O539" i="124"/>
  <c r="O585" i="124"/>
  <c r="O288" i="124"/>
  <c r="J57" i="124"/>
  <c r="N57" i="124" s="1"/>
  <c r="J281" i="124"/>
  <c r="N281" i="124" s="1"/>
  <c r="J302" i="124"/>
  <c r="N302" i="124" s="1"/>
  <c r="J321" i="124"/>
  <c r="N321" i="124" s="1"/>
  <c r="J306" i="124"/>
  <c r="N306" i="124" s="1"/>
  <c r="J255" i="124"/>
  <c r="N255" i="124" s="1"/>
  <c r="J227" i="124"/>
  <c r="N227" i="124" s="1"/>
  <c r="J576" i="124"/>
  <c r="N576" i="124" s="1"/>
  <c r="J417" i="124"/>
  <c r="N417" i="124" s="1"/>
  <c r="J56" i="124"/>
  <c r="N56" i="124" s="1"/>
  <c r="J26" i="124"/>
  <c r="N26" i="124" s="1"/>
  <c r="J379" i="124"/>
  <c r="N379" i="124" s="1"/>
  <c r="J382" i="124"/>
  <c r="N382" i="124" s="1"/>
  <c r="J430" i="124"/>
  <c r="N430" i="124" s="1"/>
  <c r="J586" i="124"/>
  <c r="N586" i="124" s="1"/>
  <c r="J380" i="124"/>
  <c r="N380" i="124" s="1"/>
  <c r="J58" i="124"/>
  <c r="N58" i="124" s="1"/>
  <c r="J55" i="123"/>
  <c r="N55" i="123" s="1"/>
  <c r="O48" i="124"/>
  <c r="O287" i="124"/>
  <c r="J409" i="124"/>
  <c r="N409" i="124" s="1"/>
  <c r="O406" i="124"/>
  <c r="O131" i="124"/>
  <c r="O71" i="124"/>
  <c r="O365" i="124"/>
  <c r="O580" i="124"/>
  <c r="O386" i="124"/>
  <c r="O414" i="124"/>
  <c r="O529" i="124"/>
  <c r="O99" i="124"/>
  <c r="O425" i="124"/>
  <c r="O52" i="124"/>
  <c r="O456" i="124"/>
  <c r="O534" i="124"/>
  <c r="O396" i="124"/>
  <c r="O305" i="124"/>
  <c r="O480" i="124"/>
  <c r="O331" i="124"/>
  <c r="O302" i="124"/>
  <c r="O351" i="124"/>
  <c r="O182" i="124"/>
  <c r="O129" i="124"/>
  <c r="O69" i="124"/>
  <c r="O494" i="124"/>
  <c r="O525" i="124"/>
  <c r="J536" i="124"/>
  <c r="N536" i="124" s="1"/>
  <c r="O493" i="124"/>
  <c r="O138" i="124"/>
  <c r="O78" i="124"/>
  <c r="O36" i="124"/>
  <c r="O172" i="124"/>
  <c r="O115" i="124"/>
  <c r="O457" i="124"/>
  <c r="O155" i="124"/>
  <c r="O141" i="124"/>
  <c r="O464" i="124"/>
  <c r="J352" i="124"/>
  <c r="N352" i="124" s="1"/>
  <c r="J377" i="124"/>
  <c r="N377" i="124" s="1"/>
  <c r="J504" i="124"/>
  <c r="N504" i="124" s="1"/>
  <c r="J32" i="124"/>
  <c r="N32" i="124" s="1"/>
  <c r="J367" i="124"/>
  <c r="N367" i="124" s="1"/>
  <c r="O111" i="124"/>
  <c r="O385" i="124"/>
  <c r="O154" i="124"/>
  <c r="O94" i="124"/>
  <c r="O404" i="124"/>
  <c r="O54" i="124"/>
  <c r="O450" i="124"/>
  <c r="O6" i="124"/>
  <c r="O68" i="124"/>
  <c r="O588" i="124"/>
  <c r="O535" i="124"/>
  <c r="J452" i="124"/>
  <c r="N452" i="124" s="1"/>
  <c r="J534" i="124"/>
  <c r="N534" i="124" s="1"/>
  <c r="O156" i="124"/>
  <c r="J403" i="124"/>
  <c r="N403" i="124" s="1"/>
  <c r="J481" i="124"/>
  <c r="N481" i="124" s="1"/>
  <c r="J55" i="124"/>
  <c r="N55" i="124" s="1"/>
  <c r="J480" i="124"/>
  <c r="N480" i="124" s="1"/>
  <c r="J43" i="124"/>
  <c r="N43" i="124" s="1"/>
  <c r="J371" i="124"/>
  <c r="N371" i="124" s="1"/>
  <c r="J569" i="124"/>
  <c r="N569" i="124" s="1"/>
  <c r="J16" i="124"/>
  <c r="N16" i="124" s="1"/>
  <c r="J18" i="124"/>
  <c r="N18" i="124" s="1"/>
  <c r="J21" i="124"/>
  <c r="N21" i="124" s="1"/>
  <c r="J370" i="124"/>
  <c r="N370" i="124" s="1"/>
  <c r="J354" i="124"/>
  <c r="N354" i="124" s="1"/>
  <c r="J399" i="124"/>
  <c r="N399" i="124" s="1"/>
  <c r="J61" i="124"/>
  <c r="N61" i="124" s="1"/>
  <c r="J59" i="124"/>
  <c r="N59" i="124" s="1"/>
  <c r="J51" i="124"/>
  <c r="N51" i="124" s="1"/>
  <c r="J541" i="124"/>
  <c r="N541" i="124" s="1"/>
  <c r="J552" i="124"/>
  <c r="N552" i="124" s="1"/>
  <c r="J410" i="124"/>
  <c r="N410" i="124" s="1"/>
  <c r="O96" i="124"/>
  <c r="J361" i="124"/>
  <c r="N361" i="124" s="1"/>
  <c r="J495" i="124"/>
  <c r="N495" i="124" s="1"/>
  <c r="J398" i="124"/>
  <c r="N398" i="124" s="1"/>
  <c r="J60" i="124"/>
  <c r="N60" i="124" s="1"/>
  <c r="J42" i="124"/>
  <c r="N42" i="124" s="1"/>
  <c r="J394" i="124"/>
  <c r="N394" i="124" s="1"/>
  <c r="J413" i="124"/>
  <c r="N413" i="124" s="1"/>
  <c r="J505" i="124"/>
  <c r="N505" i="124" s="1"/>
  <c r="J17" i="124"/>
  <c r="N17" i="124" s="1"/>
  <c r="J423" i="124"/>
  <c r="N423" i="124" s="1"/>
  <c r="J515" i="124"/>
  <c r="N515" i="124" s="1"/>
  <c r="J34" i="124"/>
  <c r="N34" i="124" s="1"/>
  <c r="J396" i="124"/>
  <c r="N396" i="124" s="1"/>
  <c r="J29" i="124"/>
  <c r="N29" i="124" s="1"/>
  <c r="J47" i="124"/>
  <c r="N47" i="124" s="1"/>
  <c r="J531" i="124"/>
  <c r="N531" i="124" s="1"/>
  <c r="J355" i="124"/>
  <c r="N355" i="124" s="1"/>
  <c r="J375" i="124"/>
  <c r="N375" i="124" s="1"/>
  <c r="J360" i="124"/>
  <c r="N360" i="124" s="1"/>
  <c r="J402" i="124"/>
  <c r="N402" i="124" s="1"/>
  <c r="J447" i="124"/>
  <c r="N447" i="124" s="1"/>
  <c r="J358" i="124"/>
  <c r="N358" i="124" s="1"/>
  <c r="J570" i="124"/>
  <c r="N570" i="124" s="1"/>
  <c r="J540" i="124"/>
  <c r="N540" i="124" s="1"/>
  <c r="J19" i="124"/>
  <c r="N19" i="124" s="1"/>
  <c r="J30" i="124"/>
  <c r="N30" i="124" s="1"/>
  <c r="J239" i="124"/>
  <c r="N239" i="124" s="1"/>
  <c r="J235" i="124"/>
  <c r="N235" i="124" s="1"/>
  <c r="J14" i="124"/>
  <c r="N14" i="124" s="1"/>
  <c r="J316" i="124"/>
  <c r="N316" i="124" s="1"/>
  <c r="J253" i="124"/>
  <c r="N253" i="124" s="1"/>
  <c r="J512" i="124"/>
  <c r="N512" i="124" s="1"/>
  <c r="J9" i="124"/>
  <c r="N9" i="124" s="1"/>
  <c r="J330" i="124"/>
  <c r="N330" i="124" s="1"/>
  <c r="J264" i="124"/>
  <c r="N264" i="124" s="1"/>
  <c r="J342" i="124"/>
  <c r="N342" i="124" s="1"/>
  <c r="J211" i="124"/>
  <c r="N211" i="124" s="1"/>
  <c r="J267" i="124"/>
  <c r="N267" i="124" s="1"/>
  <c r="J199" i="124"/>
  <c r="N199" i="124" s="1"/>
  <c r="J256" i="124"/>
  <c r="N256" i="124" s="1"/>
  <c r="J333" i="124"/>
  <c r="N333" i="124" s="1"/>
  <c r="J224" i="124"/>
  <c r="N224" i="124" s="1"/>
  <c r="J378" i="124"/>
  <c r="N378" i="124" s="1"/>
  <c r="J50" i="124"/>
  <c r="N50" i="124" s="1"/>
  <c r="J345" i="124"/>
  <c r="N345" i="124" s="1"/>
  <c r="J236" i="124"/>
  <c r="N236" i="124" s="1"/>
  <c r="J506" i="124"/>
  <c r="N506" i="124" s="1"/>
  <c r="J388" i="124"/>
  <c r="N388" i="124" s="1"/>
  <c r="J314" i="124"/>
  <c r="N314" i="124" s="1"/>
  <c r="J31" i="124"/>
  <c r="N31" i="124" s="1"/>
  <c r="J209" i="124"/>
  <c r="N209" i="124" s="1"/>
  <c r="J307" i="124"/>
  <c r="N307" i="124" s="1"/>
  <c r="J338" i="124"/>
  <c r="N338" i="124" s="1"/>
  <c r="J283" i="124"/>
  <c r="N283" i="124" s="1"/>
  <c r="J225" i="124"/>
  <c r="N225" i="124" s="1"/>
  <c r="J217" i="124"/>
  <c r="N217" i="124" s="1"/>
  <c r="J279" i="124"/>
  <c r="N279" i="124" s="1"/>
  <c r="J293" i="124"/>
  <c r="N293" i="124" s="1"/>
  <c r="J190" i="124"/>
  <c r="N190" i="124" s="1"/>
  <c r="J335" i="124"/>
  <c r="N335" i="124" s="1"/>
  <c r="J347" i="124"/>
  <c r="N347" i="124" s="1"/>
  <c r="J243" i="124"/>
  <c r="N243" i="124" s="1"/>
  <c r="J271" i="124"/>
  <c r="N271" i="124" s="1"/>
  <c r="J315" i="124"/>
  <c r="N315" i="124" s="1"/>
  <c r="J492" i="124"/>
  <c r="N492" i="124" s="1"/>
  <c r="J208" i="124"/>
  <c r="N208" i="124" s="1"/>
  <c r="J212" i="124"/>
  <c r="N212" i="124" s="1"/>
  <c r="J291" i="124"/>
  <c r="N291" i="124" s="1"/>
  <c r="J278" i="124"/>
  <c r="N278" i="124" s="1"/>
  <c r="J483" i="124"/>
  <c r="N483" i="124" s="1"/>
  <c r="J303" i="124"/>
  <c r="N303" i="124" s="1"/>
  <c r="J221" i="124"/>
  <c r="N221" i="124" s="1"/>
  <c r="J584" i="124"/>
  <c r="N584" i="124" s="1"/>
  <c r="J308" i="124"/>
  <c r="N308" i="124" s="1"/>
  <c r="J340" i="124"/>
  <c r="N340" i="124" s="1"/>
  <c r="J41" i="124"/>
  <c r="N41" i="124" s="1"/>
  <c r="J408" i="124"/>
  <c r="N408" i="124" s="1"/>
  <c r="J437" i="124"/>
  <c r="N437" i="124" s="1"/>
  <c r="J532" i="124"/>
  <c r="N532" i="124" s="1"/>
  <c r="J277" i="124"/>
  <c r="N277" i="124" s="1"/>
  <c r="J422" i="124"/>
  <c r="N422" i="124" s="1"/>
  <c r="J187" i="124"/>
  <c r="N187" i="124" s="1"/>
  <c r="J207" i="124"/>
  <c r="N207" i="124" s="1"/>
  <c r="J263" i="124"/>
  <c r="N263" i="124" s="1"/>
  <c r="J195" i="124"/>
  <c r="N195" i="124" s="1"/>
  <c r="J198" i="124"/>
  <c r="N198" i="124" s="1"/>
  <c r="J274" i="124"/>
  <c r="N274" i="124" s="1"/>
  <c r="J287" i="124"/>
  <c r="N287" i="124" s="1"/>
  <c r="J328" i="124"/>
  <c r="N328" i="124" s="1"/>
  <c r="J300" i="124"/>
  <c r="N300" i="124" s="1"/>
  <c r="J346" i="124"/>
  <c r="N346" i="124" s="1"/>
  <c r="J232" i="124"/>
  <c r="N232" i="124" s="1"/>
  <c r="J324" i="124"/>
  <c r="N324" i="124" s="1"/>
  <c r="J237" i="124"/>
  <c r="N237" i="124" s="1"/>
  <c r="J485" i="124"/>
  <c r="N485" i="124" s="1"/>
  <c r="J326" i="124"/>
  <c r="N326" i="124" s="1"/>
  <c r="J215" i="124"/>
  <c r="N215" i="124" s="1"/>
  <c r="J420" i="124"/>
  <c r="N420" i="124" s="1"/>
  <c r="J265" i="124"/>
  <c r="N265" i="124" s="1"/>
  <c r="J579" i="124"/>
  <c r="N579" i="124" s="1"/>
  <c r="J204" i="124"/>
  <c r="N204" i="124" s="1"/>
  <c r="J269" i="124"/>
  <c r="N269" i="124" s="1"/>
  <c r="J191" i="124"/>
  <c r="N191" i="124" s="1"/>
  <c r="J301" i="124"/>
  <c r="N301" i="124" s="1"/>
  <c r="J276" i="124"/>
  <c r="N276" i="124" s="1"/>
  <c r="J258" i="124"/>
  <c r="N258" i="124" s="1"/>
  <c r="J275" i="124"/>
  <c r="N275" i="124" s="1"/>
  <c r="J213" i="124"/>
  <c r="N213" i="124" s="1"/>
  <c r="J343" i="124"/>
  <c r="N343" i="124" s="1"/>
  <c r="J231" i="124"/>
  <c r="N231" i="124" s="1"/>
  <c r="J194" i="124"/>
  <c r="N194" i="124" s="1"/>
  <c r="J254" i="124"/>
  <c r="N254" i="124" s="1"/>
  <c r="J311" i="124"/>
  <c r="N311" i="124" s="1"/>
  <c r="J397" i="124"/>
  <c r="N397" i="124" s="1"/>
  <c r="J401" i="124"/>
  <c r="N401" i="124" s="1"/>
  <c r="J356" i="124"/>
  <c r="N356" i="124" s="1"/>
  <c r="J218" i="124"/>
  <c r="N218" i="124" s="1"/>
  <c r="J357" i="124"/>
  <c r="N357" i="124" s="1"/>
  <c r="J487" i="124"/>
  <c r="N487" i="124" s="1"/>
  <c r="J48" i="124"/>
  <c r="N48" i="124" s="1"/>
  <c r="J193" i="124"/>
  <c r="N193" i="124" s="1"/>
  <c r="J270" i="124"/>
  <c r="N270" i="124" s="1"/>
  <c r="J299" i="124"/>
  <c r="N299" i="124" s="1"/>
  <c r="J295" i="124"/>
  <c r="N295" i="124" s="1"/>
  <c r="J317" i="124"/>
  <c r="N317" i="124" s="1"/>
  <c r="J53" i="124"/>
  <c r="N53" i="124" s="1"/>
  <c r="J309" i="124"/>
  <c r="N309" i="124" s="1"/>
  <c r="J202" i="124"/>
  <c r="N202" i="124" s="1"/>
  <c r="J257" i="124"/>
  <c r="N257" i="124" s="1"/>
  <c r="J203" i="124"/>
  <c r="N203" i="124" s="1"/>
  <c r="J381" i="124"/>
  <c r="N381" i="124" s="1"/>
  <c r="J247" i="124"/>
  <c r="N247" i="124" s="1"/>
  <c r="J205" i="124"/>
  <c r="N205" i="124" s="1"/>
  <c r="J310" i="124"/>
  <c r="N310" i="124" s="1"/>
  <c r="J234" i="124"/>
  <c r="N234" i="124" s="1"/>
  <c r="J248" i="124"/>
  <c r="N248" i="124" s="1"/>
  <c r="J313" i="124"/>
  <c r="N313" i="124" s="1"/>
  <c r="J241" i="124"/>
  <c r="N241" i="124" s="1"/>
  <c r="J318" i="124"/>
  <c r="N318" i="124" s="1"/>
  <c r="J206" i="124"/>
  <c r="N206" i="124" s="1"/>
  <c r="J210" i="124"/>
  <c r="N210" i="124" s="1"/>
  <c r="J226" i="124"/>
  <c r="N226" i="124" s="1"/>
  <c r="J285" i="124"/>
  <c r="N285" i="124" s="1"/>
  <c r="J214" i="124"/>
  <c r="N214" i="124" s="1"/>
  <c r="J582" i="124"/>
  <c r="N582" i="124" s="1"/>
  <c r="J331" i="124"/>
  <c r="N331" i="124" s="1"/>
  <c r="J228" i="124"/>
  <c r="N228" i="124" s="1"/>
  <c r="J322" i="124"/>
  <c r="N322" i="124" s="1"/>
  <c r="J23" i="124"/>
  <c r="N23" i="124" s="1"/>
  <c r="J201" i="124"/>
  <c r="N201" i="124" s="1"/>
  <c r="J336" i="124"/>
  <c r="N336" i="124" s="1"/>
  <c r="J341" i="124"/>
  <c r="N341" i="124" s="1"/>
  <c r="J37" i="124"/>
  <c r="N37" i="124" s="1"/>
  <c r="J344" i="124"/>
  <c r="N344" i="124" s="1"/>
  <c r="J530" i="124"/>
  <c r="N530" i="124" s="1"/>
  <c r="J587" i="124"/>
  <c r="N587" i="124" s="1"/>
  <c r="J538" i="124"/>
  <c r="N538" i="124" s="1"/>
  <c r="J222" i="124"/>
  <c r="N222" i="124" s="1"/>
  <c r="J200" i="124"/>
  <c r="N200" i="124" s="1"/>
  <c r="J188" i="124"/>
  <c r="N188" i="124" s="1"/>
  <c r="J5" i="124"/>
  <c r="N5" i="124" s="1"/>
  <c r="J348" i="124"/>
  <c r="N348" i="124" s="1"/>
  <c r="J249" i="124"/>
  <c r="N249" i="124" s="1"/>
  <c r="J223" i="124"/>
  <c r="N223" i="124" s="1"/>
  <c r="J438" i="124"/>
  <c r="N438" i="124" s="1"/>
  <c r="J501" i="124"/>
  <c r="N501" i="124" s="1"/>
  <c r="J443" i="124"/>
  <c r="N443" i="124" s="1"/>
  <c r="J268" i="124"/>
  <c r="N268" i="124" s="1"/>
  <c r="J282" i="124"/>
  <c r="N282" i="124" s="1"/>
  <c r="J280" i="124"/>
  <c r="N280" i="124" s="1"/>
  <c r="J284" i="124"/>
  <c r="N284" i="124" s="1"/>
  <c r="J564" i="124"/>
  <c r="N564" i="124" s="1"/>
  <c r="J266" i="124"/>
  <c r="N266" i="124" s="1"/>
  <c r="J305" i="124"/>
  <c r="N305" i="124" s="1"/>
  <c r="J373" i="124"/>
  <c r="N373" i="124" s="1"/>
  <c r="J272" i="124"/>
  <c r="N272" i="124" s="1"/>
  <c r="J216" i="124"/>
  <c r="N216" i="124" s="1"/>
  <c r="J577" i="124"/>
  <c r="N577" i="124" s="1"/>
  <c r="J400" i="124"/>
  <c r="N400" i="124" s="1"/>
  <c r="J294" i="124"/>
  <c r="N294" i="124" s="1"/>
  <c r="J320" i="124"/>
  <c r="N320" i="124" s="1"/>
  <c r="J261" i="124"/>
  <c r="N261" i="124" s="1"/>
  <c r="J292" i="124"/>
  <c r="N292" i="124" s="1"/>
  <c r="J22" i="124"/>
  <c r="N22" i="124" s="1"/>
  <c r="J296" i="124"/>
  <c r="N296" i="124" s="1"/>
  <c r="J262" i="124"/>
  <c r="N262" i="124" s="1"/>
  <c r="J273" i="124"/>
  <c r="N273" i="124" s="1"/>
  <c r="J393" i="124"/>
  <c r="N393" i="124" s="1"/>
  <c r="J220" i="124"/>
  <c r="N220" i="124" s="1"/>
  <c r="J325" i="124"/>
  <c r="N325" i="124" s="1"/>
  <c r="J312" i="124"/>
  <c r="N312" i="124" s="1"/>
  <c r="J334" i="124"/>
  <c r="N334" i="124" s="1"/>
  <c r="J192" i="124"/>
  <c r="N192" i="124" s="1"/>
  <c r="J260" i="124"/>
  <c r="N260" i="124" s="1"/>
  <c r="J297" i="124"/>
  <c r="N297" i="124" s="1"/>
  <c r="J498" i="124"/>
  <c r="N498" i="124" s="1"/>
  <c r="J197" i="124"/>
  <c r="N197" i="124" s="1"/>
  <c r="J219" i="124"/>
  <c r="N219" i="124" s="1"/>
  <c r="J288" i="124"/>
  <c r="N288" i="124" s="1"/>
  <c r="J339" i="124"/>
  <c r="N339" i="124" s="1"/>
  <c r="J252" i="124"/>
  <c r="N252" i="124" s="1"/>
  <c r="J319" i="124"/>
  <c r="N319" i="124" s="1"/>
  <c r="J327" i="124"/>
  <c r="N327" i="124" s="1"/>
  <c r="J286" i="124"/>
  <c r="N286" i="124" s="1"/>
  <c r="J491" i="124"/>
  <c r="N491" i="124" s="1"/>
  <c r="J250" i="124"/>
  <c r="N250" i="124" s="1"/>
  <c r="J246" i="124"/>
  <c r="N246" i="124" s="1"/>
  <c r="J329" i="124"/>
  <c r="N329" i="124" s="1"/>
  <c r="J240" i="124"/>
  <c r="N240" i="124" s="1"/>
  <c r="J323" i="124"/>
  <c r="N323" i="124" s="1"/>
  <c r="J230" i="124"/>
  <c r="N230" i="124" s="1"/>
  <c r="J35" i="124"/>
  <c r="N35" i="124" s="1"/>
  <c r="J251" i="124"/>
  <c r="N251" i="124" s="1"/>
  <c r="J259" i="124"/>
  <c r="N259" i="124" s="1"/>
  <c r="J196" i="124"/>
  <c r="N196" i="124" s="1"/>
  <c r="J245" i="124"/>
  <c r="N245" i="124" s="1"/>
  <c r="J304" i="124"/>
  <c r="N304" i="124" s="1"/>
  <c r="J40" i="124"/>
  <c r="N40" i="124" s="1"/>
  <c r="J337" i="124"/>
  <c r="N337" i="124" s="1"/>
  <c r="J4" i="124"/>
  <c r="N4" i="124" s="1"/>
  <c r="J233" i="124"/>
  <c r="N233" i="124" s="1"/>
  <c r="J478" i="124"/>
  <c r="N478" i="124" s="1"/>
  <c r="J332" i="124"/>
  <c r="N332" i="124" s="1"/>
  <c r="J189" i="124"/>
  <c r="N189" i="124" s="1"/>
  <c r="O176" i="124"/>
  <c r="O121" i="124"/>
  <c r="O473" i="124"/>
  <c r="O509" i="124"/>
  <c r="O97" i="124"/>
  <c r="O8" i="124"/>
  <c r="O560" i="124"/>
  <c r="O362" i="124"/>
  <c r="O565" i="124"/>
  <c r="O517" i="124"/>
  <c r="O427" i="124"/>
  <c r="O465" i="124"/>
  <c r="O562" i="124"/>
  <c r="O81" i="124"/>
  <c r="O444" i="124"/>
  <c r="O436" i="124"/>
  <c r="O143" i="124"/>
  <c r="O83" i="124"/>
  <c r="O366" i="124"/>
  <c r="O513" i="124"/>
  <c r="O435" i="124"/>
  <c r="O175" i="124"/>
  <c r="O337" i="123"/>
  <c r="O548" i="124"/>
  <c r="O453" i="124"/>
  <c r="O472" i="124"/>
  <c r="O353" i="124"/>
  <c r="O474" i="124"/>
  <c r="O516" i="124"/>
  <c r="O105" i="124"/>
  <c r="O133" i="124"/>
  <c r="O169" i="124"/>
  <c r="O184" i="124"/>
  <c r="O64" i="124"/>
  <c r="O502" i="124"/>
  <c r="O449" i="124"/>
  <c r="O161" i="124"/>
  <c r="O431" i="124"/>
  <c r="O419" i="124"/>
  <c r="O3" i="124"/>
  <c r="O109" i="124"/>
  <c r="O486" i="124"/>
  <c r="O395" i="124"/>
  <c r="O454" i="124"/>
  <c r="O159" i="124"/>
  <c r="O101" i="124"/>
  <c r="O411" i="124"/>
  <c r="O551" i="124"/>
  <c r="O144" i="124"/>
  <c r="O84" i="124"/>
  <c r="O49" i="124"/>
  <c r="O439" i="124"/>
  <c r="O10" i="124"/>
  <c r="O67" i="124"/>
  <c r="O440" i="124"/>
  <c r="O163" i="124"/>
  <c r="O126" i="124"/>
  <c r="O103" i="124"/>
  <c r="O523" i="124"/>
  <c r="O112" i="124"/>
  <c r="O89" i="124"/>
  <c r="O572" i="124"/>
  <c r="O132" i="124"/>
  <c r="O72" i="124"/>
  <c r="O416" i="124"/>
  <c r="O566" i="124"/>
  <c r="O567" i="124"/>
  <c r="O110" i="124"/>
  <c r="O349" i="124"/>
  <c r="O432" i="124"/>
  <c r="O174" i="124"/>
  <c r="O117" i="124"/>
  <c r="O518" i="124"/>
  <c r="O28" i="124"/>
  <c r="O568" i="124"/>
  <c r="O152" i="124"/>
  <c r="O92" i="124"/>
  <c r="O418" i="124"/>
  <c r="O583" i="124"/>
  <c r="O135" i="124"/>
  <c r="O75" i="124"/>
  <c r="O364" i="124"/>
  <c r="O555" i="124"/>
  <c r="J500" i="124"/>
  <c r="N500" i="124" s="1"/>
  <c r="J38" i="124"/>
  <c r="N38" i="124" s="1"/>
  <c r="J289" i="124"/>
  <c r="N289" i="124" s="1"/>
  <c r="J46" i="124"/>
  <c r="N46" i="124" s="1"/>
  <c r="J238" i="124"/>
  <c r="N238" i="124" s="1"/>
  <c r="J522" i="124"/>
  <c r="N522" i="124" s="1"/>
  <c r="J229" i="124"/>
  <c r="N229" i="124" s="1"/>
  <c r="J499" i="124"/>
  <c r="N499" i="124" s="1"/>
  <c r="J460" i="124"/>
  <c r="N460" i="124" s="1"/>
  <c r="J463" i="124"/>
  <c r="N463" i="124" s="1"/>
  <c r="J545" i="124"/>
  <c r="N545" i="124" s="1"/>
  <c r="J508" i="124"/>
  <c r="N508" i="124" s="1"/>
  <c r="J461" i="124"/>
  <c r="N461" i="124" s="1"/>
  <c r="J359" i="124"/>
  <c r="N359" i="124" s="1"/>
  <c r="J489" i="124"/>
  <c r="N489" i="124" s="1"/>
  <c r="J27" i="124"/>
  <c r="N27" i="124" s="1"/>
  <c r="J471" i="124"/>
  <c r="N471" i="124" s="1"/>
  <c r="J524" i="124"/>
  <c r="N524" i="124" s="1"/>
  <c r="J544" i="124"/>
  <c r="N544" i="124" s="1"/>
  <c r="J376" i="124"/>
  <c r="N376" i="124" s="1"/>
  <c r="J392" i="124"/>
  <c r="N392" i="124" s="1"/>
  <c r="J477" i="124"/>
  <c r="N477" i="124" s="1"/>
  <c r="J389" i="124"/>
  <c r="N389" i="124" s="1"/>
  <c r="J415" i="124"/>
  <c r="N415" i="124" s="1"/>
  <c r="J421" i="124"/>
  <c r="N421" i="124" s="1"/>
  <c r="J390" i="124"/>
  <c r="N390" i="124" s="1"/>
  <c r="J507" i="124"/>
  <c r="N507" i="124" s="1"/>
  <c r="J521" i="124"/>
  <c r="N521" i="124" s="1"/>
  <c r="J66" i="124"/>
  <c r="N66" i="124" s="1"/>
  <c r="J74" i="124"/>
  <c r="N74" i="124" s="1"/>
  <c r="J82" i="124"/>
  <c r="N82" i="124" s="1"/>
  <c r="J90" i="124"/>
  <c r="N90" i="124" s="1"/>
  <c r="J98" i="124"/>
  <c r="N98" i="124" s="1"/>
  <c r="J106" i="124"/>
  <c r="N106" i="124" s="1"/>
  <c r="J113" i="124"/>
  <c r="N113" i="124" s="1"/>
  <c r="J120" i="124"/>
  <c r="N120" i="124" s="1"/>
  <c r="J128" i="124"/>
  <c r="N128" i="124" s="1"/>
  <c r="J134" i="124"/>
  <c r="N134" i="124" s="1"/>
  <c r="J142" i="124"/>
  <c r="N142" i="124" s="1"/>
  <c r="J150" i="124"/>
  <c r="N150" i="124" s="1"/>
  <c r="J157" i="124"/>
  <c r="N157" i="124" s="1"/>
  <c r="J164" i="124"/>
  <c r="N164" i="124" s="1"/>
  <c r="J170" i="124"/>
  <c r="N170" i="124" s="1"/>
  <c r="J178" i="124"/>
  <c r="N178" i="124" s="1"/>
  <c r="J186" i="124"/>
  <c r="N186" i="124" s="1"/>
  <c r="J509" i="124"/>
  <c r="N509" i="124" s="1"/>
  <c r="J555" i="124"/>
  <c r="N555" i="124" s="1"/>
  <c r="J563" i="124"/>
  <c r="N563" i="124" s="1"/>
  <c r="J424" i="124"/>
  <c r="N424" i="124" s="1"/>
  <c r="J384" i="124"/>
  <c r="N384" i="124" s="1"/>
  <c r="J364" i="124"/>
  <c r="N364" i="124" s="1"/>
  <c r="J426" i="124"/>
  <c r="N426" i="124" s="1"/>
  <c r="J549" i="124"/>
  <c r="N549" i="124" s="1"/>
  <c r="J67" i="124"/>
  <c r="N67" i="124" s="1"/>
  <c r="J83" i="124"/>
  <c r="N83" i="124" s="1"/>
  <c r="J435" i="124"/>
  <c r="N435" i="124" s="1"/>
  <c r="J407" i="124"/>
  <c r="N407" i="124" s="1"/>
  <c r="J456" i="124"/>
  <c r="N456" i="124" s="1"/>
  <c r="J469" i="124"/>
  <c r="N469" i="124" s="1"/>
  <c r="J433" i="124"/>
  <c r="N433" i="124" s="1"/>
  <c r="J474" i="124"/>
  <c r="N474" i="124" s="1"/>
  <c r="J513" i="124"/>
  <c r="N513" i="124" s="1"/>
  <c r="J52" i="124"/>
  <c r="N52" i="124" s="1"/>
  <c r="J546" i="124"/>
  <c r="N546" i="124" s="1"/>
  <c r="J440" i="124"/>
  <c r="N440" i="124" s="1"/>
  <c r="J366" i="124"/>
  <c r="N366" i="124" s="1"/>
  <c r="J425" i="124"/>
  <c r="N425" i="124" s="1"/>
  <c r="J573" i="124"/>
  <c r="N573" i="124" s="1"/>
  <c r="J473" i="124"/>
  <c r="N473" i="124" s="1"/>
  <c r="J75" i="124"/>
  <c r="N75" i="124" s="1"/>
  <c r="J91" i="124"/>
  <c r="N91" i="124" s="1"/>
  <c r="J439" i="124"/>
  <c r="N439" i="124" s="1"/>
  <c r="J453" i="124"/>
  <c r="N453" i="124" s="1"/>
  <c r="J556" i="124"/>
  <c r="N556" i="124" s="1"/>
  <c r="J44" i="124"/>
  <c r="N44" i="124" s="1"/>
  <c r="J529" i="124"/>
  <c r="N529" i="124" s="1"/>
  <c r="J462" i="124"/>
  <c r="N462" i="124" s="1"/>
  <c r="J535" i="124"/>
  <c r="N535" i="124" s="1"/>
  <c r="J25" i="124"/>
  <c r="N25" i="124" s="1"/>
  <c r="J49" i="124"/>
  <c r="N49" i="124" s="1"/>
  <c r="J583" i="124"/>
  <c r="N583" i="124" s="1"/>
  <c r="J520" i="124"/>
  <c r="N520" i="124" s="1"/>
  <c r="J363" i="124"/>
  <c r="N363" i="124" s="1"/>
  <c r="J457" i="124"/>
  <c r="N457" i="124" s="1"/>
  <c r="J387" i="124"/>
  <c r="N387" i="124" s="1"/>
  <c r="J588" i="124"/>
  <c r="N588" i="124" s="1"/>
  <c r="J466" i="124"/>
  <c r="N466" i="124" s="1"/>
  <c r="J353" i="124"/>
  <c r="N353" i="124" s="1"/>
  <c r="J418" i="124"/>
  <c r="N418" i="124" s="1"/>
  <c r="J533" i="124"/>
  <c r="N533" i="124" s="1"/>
  <c r="J412" i="124"/>
  <c r="N412" i="124" s="1"/>
  <c r="J561" i="124"/>
  <c r="N561" i="124" s="1"/>
  <c r="J510" i="124"/>
  <c r="N510" i="124" s="1"/>
  <c r="J68" i="124"/>
  <c r="N68" i="124" s="1"/>
  <c r="J76" i="124"/>
  <c r="N76" i="124" s="1"/>
  <c r="J84" i="124"/>
  <c r="N84" i="124" s="1"/>
  <c r="J92" i="124"/>
  <c r="N92" i="124" s="1"/>
  <c r="J100" i="124"/>
  <c r="N100" i="124" s="1"/>
  <c r="J107" i="124"/>
  <c r="N107" i="124" s="1"/>
  <c r="J115" i="124"/>
  <c r="N115" i="124" s="1"/>
  <c r="J122" i="124"/>
  <c r="N122" i="124" s="1"/>
  <c r="J6" i="124"/>
  <c r="N6" i="124" s="1"/>
  <c r="J136" i="124"/>
  <c r="N136" i="124" s="1"/>
  <c r="J144" i="124"/>
  <c r="N144" i="124" s="1"/>
  <c r="J152" i="124"/>
  <c r="N152" i="124" s="1"/>
  <c r="J158" i="124"/>
  <c r="N158" i="124" s="1"/>
  <c r="J166" i="124"/>
  <c r="N166" i="124" s="1"/>
  <c r="J172" i="124"/>
  <c r="N172" i="124" s="1"/>
  <c r="J180" i="124"/>
  <c r="N180" i="124" s="1"/>
  <c r="J482" i="124"/>
  <c r="N482" i="124" s="1"/>
  <c r="J497" i="124"/>
  <c r="N497" i="124" s="1"/>
  <c r="J472" i="124"/>
  <c r="N472" i="124" s="1"/>
  <c r="J575" i="124"/>
  <c r="N575" i="124" s="1"/>
  <c r="J450" i="124"/>
  <c r="N450" i="124" s="1"/>
  <c r="J448" i="124"/>
  <c r="N448" i="124" s="1"/>
  <c r="J454" i="124"/>
  <c r="N454" i="124" s="1"/>
  <c r="J568" i="124"/>
  <c r="N568" i="124" s="1"/>
  <c r="J442" i="124"/>
  <c r="N442" i="124" s="1"/>
  <c r="J496" i="124"/>
  <c r="N496" i="124" s="1"/>
  <c r="J36" i="124"/>
  <c r="N36" i="124" s="1"/>
  <c r="J20" i="124"/>
  <c r="N20" i="124" s="1"/>
  <c r="J54" i="124"/>
  <c r="N54" i="124" s="1"/>
  <c r="J554" i="124"/>
  <c r="N554" i="124" s="1"/>
  <c r="J395" i="124"/>
  <c r="N395" i="124" s="1"/>
  <c r="J28" i="124"/>
  <c r="N28" i="124" s="1"/>
  <c r="J372" i="124"/>
  <c r="N372" i="124" s="1"/>
  <c r="J488" i="124"/>
  <c r="N488" i="124" s="1"/>
  <c r="J414" i="124"/>
  <c r="N414" i="124" s="1"/>
  <c r="J514" i="124"/>
  <c r="N514" i="124" s="1"/>
  <c r="J404" i="124"/>
  <c r="N404" i="124" s="1"/>
  <c r="J527" i="124"/>
  <c r="N527" i="124" s="1"/>
  <c r="J486" i="124"/>
  <c r="N486" i="124" s="1"/>
  <c r="J518" i="124"/>
  <c r="N518" i="124" s="1"/>
  <c r="J62" i="124"/>
  <c r="N62" i="124" s="1"/>
  <c r="J70" i="124"/>
  <c r="N70" i="124" s="1"/>
  <c r="J78" i="124"/>
  <c r="N78" i="124" s="1"/>
  <c r="J86" i="124"/>
  <c r="N86" i="124" s="1"/>
  <c r="J94" i="124"/>
  <c r="N94" i="124" s="1"/>
  <c r="J102" i="124"/>
  <c r="N102" i="124" s="1"/>
  <c r="J109" i="124"/>
  <c r="N109" i="124" s="1"/>
  <c r="J117" i="124"/>
  <c r="N117" i="124" s="1"/>
  <c r="J124" i="124"/>
  <c r="N124" i="124" s="1"/>
  <c r="J130" i="124"/>
  <c r="N130" i="124" s="1"/>
  <c r="J138" i="124"/>
  <c r="N138" i="124" s="1"/>
  <c r="J146" i="124"/>
  <c r="N146" i="124" s="1"/>
  <c r="J154" i="124"/>
  <c r="N154" i="124" s="1"/>
  <c r="J160" i="124"/>
  <c r="N160" i="124" s="1"/>
  <c r="J3" i="124"/>
  <c r="N3" i="124" s="1"/>
  <c r="J174" i="124"/>
  <c r="N174" i="124" s="1"/>
  <c r="J182" i="124"/>
  <c r="N182" i="124" s="1"/>
  <c r="J429" i="124"/>
  <c r="N429" i="124" s="1"/>
  <c r="J467" i="124"/>
  <c r="N467" i="124" s="1"/>
  <c r="J419" i="124"/>
  <c r="N419" i="124" s="1"/>
  <c r="J432" i="124"/>
  <c r="N432" i="124" s="1"/>
  <c r="J565" i="124"/>
  <c r="N565" i="124" s="1"/>
  <c r="J434" i="124"/>
  <c r="N434" i="124" s="1"/>
  <c r="J580" i="124"/>
  <c r="N580" i="124" s="1"/>
  <c r="J39" i="124"/>
  <c r="N39" i="124" s="1"/>
  <c r="J15" i="124"/>
  <c r="N15" i="124" s="1"/>
  <c r="J455" i="124"/>
  <c r="N455" i="124" s="1"/>
  <c r="J523" i="124"/>
  <c r="N523" i="124" s="1"/>
  <c r="J349" i="124"/>
  <c r="N349" i="124" s="1"/>
  <c r="J362" i="124"/>
  <c r="N362" i="124" s="1"/>
  <c r="J511" i="124"/>
  <c r="N511" i="124" s="1"/>
  <c r="J365" i="124"/>
  <c r="N365" i="124" s="1"/>
  <c r="J383" i="124"/>
  <c r="N383" i="124" s="1"/>
  <c r="J391" i="124"/>
  <c r="N391" i="124" s="1"/>
  <c r="J405" i="124"/>
  <c r="N405" i="124" s="1"/>
  <c r="J431" i="124"/>
  <c r="N431" i="124" s="1"/>
  <c r="J548" i="124"/>
  <c r="N548" i="124" s="1"/>
  <c r="J560" i="124"/>
  <c r="N560" i="124" s="1"/>
  <c r="J63" i="124"/>
  <c r="N63" i="124" s="1"/>
  <c r="J71" i="124"/>
  <c r="N71" i="124" s="1"/>
  <c r="J79" i="124"/>
  <c r="N79" i="124" s="1"/>
  <c r="J87" i="124"/>
  <c r="N87" i="124" s="1"/>
  <c r="J95" i="124"/>
  <c r="N95" i="124" s="1"/>
  <c r="J103" i="124"/>
  <c r="N103" i="124" s="1"/>
  <c r="J110" i="124"/>
  <c r="N110" i="124" s="1"/>
  <c r="J8" i="124"/>
  <c r="N8" i="124" s="1"/>
  <c r="J125" i="124"/>
  <c r="N125" i="124" s="1"/>
  <c r="J131" i="124"/>
  <c r="N131" i="124" s="1"/>
  <c r="J139" i="124"/>
  <c r="N139" i="124" s="1"/>
  <c r="J147" i="124"/>
  <c r="N147" i="124" s="1"/>
  <c r="J13" i="124"/>
  <c r="N13" i="124" s="1"/>
  <c r="J161" i="124"/>
  <c r="N161" i="124" s="1"/>
  <c r="J11" i="124"/>
  <c r="N11" i="124" s="1"/>
  <c r="J175" i="124"/>
  <c r="N175" i="124" s="1"/>
  <c r="J183" i="124"/>
  <c r="N183" i="124" s="1"/>
  <c r="J140" i="124"/>
  <c r="N140" i="124" s="1"/>
  <c r="J155" i="124"/>
  <c r="N155" i="124" s="1"/>
  <c r="J168" i="124"/>
  <c r="N168" i="124" s="1"/>
  <c r="J184" i="124"/>
  <c r="N184" i="124" s="1"/>
  <c r="J537" i="124"/>
  <c r="N537" i="124" s="1"/>
  <c r="J464" i="124"/>
  <c r="N464" i="124" s="1"/>
  <c r="J465" i="124"/>
  <c r="N465" i="124" s="1"/>
  <c r="J503" i="124"/>
  <c r="N503" i="124" s="1"/>
  <c r="J459" i="124"/>
  <c r="N459" i="124" s="1"/>
  <c r="J449" i="124"/>
  <c r="N449" i="124" s="1"/>
  <c r="J566" i="124"/>
  <c r="N566" i="124" s="1"/>
  <c r="J368" i="124"/>
  <c r="N368" i="124" s="1"/>
  <c r="J436" i="124"/>
  <c r="N436" i="124" s="1"/>
  <c r="J441" i="124"/>
  <c r="N441" i="124" s="1"/>
  <c r="J517" i="124"/>
  <c r="N517" i="124" s="1"/>
  <c r="J385" i="124"/>
  <c r="N385" i="124" s="1"/>
  <c r="J490" i="124"/>
  <c r="N490" i="124" s="1"/>
  <c r="J502" i="124"/>
  <c r="N502" i="124" s="1"/>
  <c r="J416" i="124"/>
  <c r="N416" i="124" s="1"/>
  <c r="J45" i="124"/>
  <c r="N45" i="124" s="1"/>
  <c r="J562" i="124"/>
  <c r="N562" i="124" s="1"/>
  <c r="J406" i="124"/>
  <c r="N406" i="124" s="1"/>
  <c r="J427" i="124"/>
  <c r="N427" i="124" s="1"/>
  <c r="J369" i="124"/>
  <c r="N369" i="124" s="1"/>
  <c r="J559" i="124"/>
  <c r="N559" i="124" s="1"/>
  <c r="J64" i="124"/>
  <c r="N64" i="124" s="1"/>
  <c r="J72" i="124"/>
  <c r="N72" i="124" s="1"/>
  <c r="J80" i="124"/>
  <c r="N80" i="124" s="1"/>
  <c r="J88" i="124"/>
  <c r="N88" i="124" s="1"/>
  <c r="J96" i="124"/>
  <c r="N96" i="124" s="1"/>
  <c r="J104" i="124"/>
  <c r="N104" i="124" s="1"/>
  <c r="J111" i="124"/>
  <c r="N111" i="124" s="1"/>
  <c r="J118" i="124"/>
  <c r="N118" i="124" s="1"/>
  <c r="J126" i="124"/>
  <c r="N126" i="124" s="1"/>
  <c r="J132" i="124"/>
  <c r="N132" i="124" s="1"/>
  <c r="J148" i="124"/>
  <c r="N148" i="124" s="1"/>
  <c r="J162" i="124"/>
  <c r="N162" i="124" s="1"/>
  <c r="J176" i="124"/>
  <c r="N176" i="124" s="1"/>
  <c r="J519" i="124"/>
  <c r="N519" i="124" s="1"/>
  <c r="J444" i="124"/>
  <c r="N444" i="124" s="1"/>
  <c r="J567" i="124"/>
  <c r="N567" i="124" s="1"/>
  <c r="J539" i="124"/>
  <c r="N539" i="124" s="1"/>
  <c r="J542" i="124"/>
  <c r="N542" i="124" s="1"/>
  <c r="J7" i="124"/>
  <c r="N7" i="124" s="1"/>
  <c r="J127" i="124"/>
  <c r="N127" i="124" s="1"/>
  <c r="J165" i="124"/>
  <c r="N165" i="124" s="1"/>
  <c r="J476" i="124"/>
  <c r="N476" i="124" s="1"/>
  <c r="J171" i="124"/>
  <c r="N171" i="124" s="1"/>
  <c r="J526" i="124"/>
  <c r="N526" i="124" s="1"/>
  <c r="J33" i="124"/>
  <c r="N33" i="124" s="1"/>
  <c r="J543" i="124"/>
  <c r="N543" i="124" s="1"/>
  <c r="J574" i="124"/>
  <c r="N574" i="124" s="1"/>
  <c r="J475" i="124"/>
  <c r="N475" i="124" s="1"/>
  <c r="J85" i="124"/>
  <c r="N85" i="124" s="1"/>
  <c r="J108" i="124"/>
  <c r="N108" i="124" s="1"/>
  <c r="J10" i="124"/>
  <c r="N10" i="124" s="1"/>
  <c r="J149" i="124"/>
  <c r="N149" i="124" s="1"/>
  <c r="J167" i="124"/>
  <c r="N167" i="124" s="1"/>
  <c r="J93" i="124"/>
  <c r="N93" i="124" s="1"/>
  <c r="J179" i="124"/>
  <c r="N179" i="124" s="1"/>
  <c r="J458" i="124"/>
  <c r="N458" i="124" s="1"/>
  <c r="J550" i="124"/>
  <c r="N550" i="124" s="1"/>
  <c r="J386" i="124"/>
  <c r="N386" i="124" s="1"/>
  <c r="J468" i="124"/>
  <c r="N468" i="124" s="1"/>
  <c r="J572" i="124"/>
  <c r="N572" i="124" s="1"/>
  <c r="J89" i="124"/>
  <c r="N89" i="124" s="1"/>
  <c r="J112" i="124"/>
  <c r="N112" i="124" s="1"/>
  <c r="J129" i="124"/>
  <c r="N129" i="124" s="1"/>
  <c r="J151" i="124"/>
  <c r="N151" i="124" s="1"/>
  <c r="J169" i="124"/>
  <c r="N169" i="124" s="1"/>
  <c r="J578" i="124"/>
  <c r="N578" i="124" s="1"/>
  <c r="J114" i="124"/>
  <c r="N114" i="124" s="1"/>
  <c r="J153" i="124"/>
  <c r="N153" i="124" s="1"/>
  <c r="J451" i="124"/>
  <c r="N451" i="124" s="1"/>
  <c r="J350" i="124"/>
  <c r="N350" i="124" s="1"/>
  <c r="J133" i="124"/>
  <c r="N133" i="124" s="1"/>
  <c r="J493" i="124"/>
  <c r="N493" i="124" s="1"/>
  <c r="J585" i="124"/>
  <c r="N585" i="124" s="1"/>
  <c r="J553" i="124"/>
  <c r="N553" i="124" s="1"/>
  <c r="J374" i="124"/>
  <c r="N374" i="124" s="1"/>
  <c r="J571" i="124"/>
  <c r="N571" i="124" s="1"/>
  <c r="J65" i="124"/>
  <c r="N65" i="124" s="1"/>
  <c r="J97" i="124"/>
  <c r="N97" i="124" s="1"/>
  <c r="J116" i="124"/>
  <c r="N116" i="124" s="1"/>
  <c r="J135" i="124"/>
  <c r="N135" i="124" s="1"/>
  <c r="J156" i="124"/>
  <c r="N156" i="124" s="1"/>
  <c r="J173" i="124"/>
  <c r="N173" i="124" s="1"/>
  <c r="J470" i="124"/>
  <c r="N470" i="124" s="1"/>
  <c r="J558" i="124"/>
  <c r="N558" i="124" s="1"/>
  <c r="J351" i="124"/>
  <c r="N351" i="124" s="1"/>
  <c r="J516" i="124"/>
  <c r="N516" i="124" s="1"/>
  <c r="J547" i="124"/>
  <c r="N547" i="124" s="1"/>
  <c r="J73" i="124"/>
  <c r="N73" i="124" s="1"/>
  <c r="J101" i="124"/>
  <c r="N101" i="124" s="1"/>
  <c r="J121" i="124"/>
  <c r="N121" i="124" s="1"/>
  <c r="J141" i="124"/>
  <c r="N141" i="124" s="1"/>
  <c r="J445" i="124"/>
  <c r="N445" i="124" s="1"/>
  <c r="J525" i="124"/>
  <c r="N525" i="124" s="1"/>
  <c r="J551" i="124"/>
  <c r="N551" i="124" s="1"/>
  <c r="J494" i="124"/>
  <c r="N494" i="124" s="1"/>
  <c r="J411" i="124"/>
  <c r="N411" i="124" s="1"/>
  <c r="J69" i="124"/>
  <c r="N69" i="124" s="1"/>
  <c r="J99" i="124"/>
  <c r="N99" i="124" s="1"/>
  <c r="J119" i="124"/>
  <c r="N119" i="124" s="1"/>
  <c r="J137" i="124"/>
  <c r="N137" i="124" s="1"/>
  <c r="J12" i="124"/>
  <c r="N12" i="124" s="1"/>
  <c r="J177" i="124"/>
  <c r="N177" i="124" s="1"/>
  <c r="J446" i="124"/>
  <c r="N446" i="124" s="1"/>
  <c r="J24" i="124"/>
  <c r="N24" i="124" s="1"/>
  <c r="J581" i="124"/>
  <c r="J557" i="124"/>
  <c r="N557" i="124" s="1"/>
  <c r="J484" i="124"/>
  <c r="N484" i="124" s="1"/>
  <c r="J77" i="124"/>
  <c r="N77" i="124" s="1"/>
  <c r="J105" i="124"/>
  <c r="N105" i="124" s="1"/>
  <c r="J123" i="124"/>
  <c r="N123" i="124" s="1"/>
  <c r="J143" i="124"/>
  <c r="N143" i="124" s="1"/>
  <c r="J163" i="124"/>
  <c r="N163" i="124" s="1"/>
  <c r="J181" i="124"/>
  <c r="N181" i="124" s="1"/>
  <c r="J81" i="124"/>
  <c r="N81" i="124" s="1"/>
  <c r="J145" i="124"/>
  <c r="N145" i="124" s="1"/>
  <c r="J185" i="124"/>
  <c r="N185" i="124" s="1"/>
  <c r="J479" i="124"/>
  <c r="N479" i="124" s="1"/>
  <c r="J159" i="124"/>
  <c r="N159" i="124" s="1"/>
  <c r="J242" i="124"/>
  <c r="N242" i="124" s="1"/>
  <c r="J528" i="124"/>
  <c r="N528" i="124" s="1"/>
  <c r="J244" i="124"/>
  <c r="N244" i="124" s="1"/>
  <c r="J290" i="124"/>
  <c r="N290" i="124" s="1"/>
  <c r="J298" i="124"/>
  <c r="N298" i="124" s="1"/>
  <c r="J428" i="124"/>
  <c r="N428" i="124" s="1"/>
  <c r="O167" i="124"/>
  <c r="O108" i="124"/>
  <c r="O484" i="124"/>
  <c r="O581" i="124"/>
  <c r="O446" i="124"/>
  <c r="O309" i="123"/>
  <c r="AA7" i="115"/>
  <c r="Y18" i="115"/>
  <c r="S9" i="115"/>
  <c r="W9" i="115"/>
  <c r="S18" i="115"/>
  <c r="W18" i="115"/>
  <c r="S10" i="115"/>
  <c r="W10" i="115"/>
  <c r="S14" i="115"/>
  <c r="W14" i="115"/>
  <c r="S11" i="115"/>
  <c r="W11" i="115"/>
  <c r="S13" i="115"/>
  <c r="W13" i="115"/>
  <c r="S16" i="115"/>
  <c r="W16" i="115"/>
  <c r="S17" i="115"/>
  <c r="W17" i="115"/>
  <c r="S8" i="115"/>
  <c r="W8" i="115"/>
  <c r="S12" i="115"/>
  <c r="W12" i="115"/>
  <c r="S15" i="115"/>
  <c r="W15" i="115"/>
  <c r="S7" i="115"/>
  <c r="W7" i="115"/>
  <c r="DI9" i="108"/>
  <c r="DJ9" i="108" s="1"/>
  <c r="U9" i="115"/>
  <c r="V9" i="115" s="1"/>
  <c r="DI14" i="108"/>
  <c r="DJ14" i="108" s="1"/>
  <c r="U14" i="115"/>
  <c r="V14" i="115" s="1"/>
  <c r="DI8" i="108"/>
  <c r="DJ8" i="108" s="1"/>
  <c r="U8" i="115"/>
  <c r="V8" i="115" s="1"/>
  <c r="DI11" i="108"/>
  <c r="DJ11" i="108" s="1"/>
  <c r="U11" i="115"/>
  <c r="V11" i="115" s="1"/>
  <c r="DI16" i="108"/>
  <c r="DJ16" i="108" s="1"/>
  <c r="U16" i="115"/>
  <c r="V16" i="115" s="1"/>
  <c r="DI10" i="108"/>
  <c r="DJ10" i="108" s="1"/>
  <c r="U10" i="115"/>
  <c r="V10" i="115" s="1"/>
  <c r="DI13" i="108"/>
  <c r="DJ13" i="108" s="1"/>
  <c r="U13" i="115"/>
  <c r="V13" i="115" s="1"/>
  <c r="DI17" i="108"/>
  <c r="DJ17" i="108" s="1"/>
  <c r="U17" i="115"/>
  <c r="V17" i="115" s="1"/>
  <c r="DI18" i="108"/>
  <c r="U18" i="115"/>
  <c r="V18" i="115" s="1"/>
  <c r="DI12" i="108"/>
  <c r="U12" i="115"/>
  <c r="V12" i="115" s="1"/>
  <c r="DI15" i="108"/>
  <c r="DJ15" i="108" s="1"/>
  <c r="U15" i="115"/>
  <c r="V15" i="115" s="1"/>
  <c r="Q46" i="107"/>
  <c r="AB66" i="115"/>
  <c r="AB69" i="115"/>
  <c r="AB68" i="115"/>
  <c r="AA69" i="115"/>
  <c r="AA67" i="115"/>
  <c r="AA66" i="115"/>
  <c r="AA70" i="115"/>
  <c r="AA68" i="115"/>
  <c r="U70" i="115"/>
  <c r="U67" i="115"/>
  <c r="U69" i="115"/>
  <c r="U68" i="115"/>
  <c r="U66" i="115"/>
  <c r="U65" i="115"/>
  <c r="S70" i="115"/>
  <c r="S68" i="115"/>
  <c r="S67" i="115"/>
  <c r="S66" i="115"/>
  <c r="S69" i="115"/>
  <c r="O32" i="123"/>
  <c r="O437" i="123"/>
  <c r="O425" i="123"/>
  <c r="O54" i="123"/>
  <c r="O100" i="123"/>
  <c r="O378" i="123"/>
  <c r="O255" i="123"/>
  <c r="O168" i="123"/>
  <c r="O155" i="123"/>
  <c r="O540" i="123"/>
  <c r="O307" i="123"/>
  <c r="O203" i="123"/>
  <c r="O410" i="123"/>
  <c r="O341" i="123"/>
  <c r="O230" i="123"/>
  <c r="O556" i="123"/>
  <c r="O353" i="123"/>
  <c r="O346" i="123"/>
  <c r="O199" i="123"/>
  <c r="O465" i="123"/>
  <c r="P43" i="107"/>
  <c r="O154" i="123"/>
  <c r="O415" i="123"/>
  <c r="AH33" i="98"/>
  <c r="O78" i="123"/>
  <c r="O497" i="123"/>
  <c r="O308" i="123"/>
  <c r="O458" i="123"/>
  <c r="O386" i="123"/>
  <c r="O414" i="123"/>
  <c r="O158" i="123"/>
  <c r="O64" i="123"/>
  <c r="O82" i="123"/>
  <c r="O436" i="123"/>
  <c r="O289" i="123"/>
  <c r="O395" i="123"/>
  <c r="O510" i="123"/>
  <c r="O568" i="123"/>
  <c r="O102" i="123"/>
  <c r="O547" i="123"/>
  <c r="O139" i="123"/>
  <c r="O383" i="123"/>
  <c r="O28" i="123"/>
  <c r="O542" i="123"/>
  <c r="O536" i="123"/>
  <c r="O146" i="123"/>
  <c r="O405" i="123"/>
  <c r="O323" i="123"/>
  <c r="O235" i="123"/>
  <c r="O327" i="123"/>
  <c r="O180" i="123"/>
  <c r="O67" i="123"/>
  <c r="O316" i="123"/>
  <c r="O12" i="123"/>
  <c r="O537" i="123"/>
  <c r="O55" i="123"/>
  <c r="O349" i="123"/>
  <c r="O84" i="123"/>
  <c r="O426" i="123"/>
  <c r="O335" i="123"/>
  <c r="O209" i="123"/>
  <c r="O173" i="123"/>
  <c r="O560" i="123"/>
  <c r="O459" i="123"/>
  <c r="O92" i="123"/>
  <c r="O440" i="123"/>
  <c r="O469" i="123"/>
  <c r="O190" i="123"/>
  <c r="O429" i="123"/>
  <c r="O108" i="123"/>
  <c r="O291" i="123"/>
  <c r="O276" i="123"/>
  <c r="O563" i="123"/>
  <c r="O367" i="123"/>
  <c r="O342" i="123"/>
  <c r="O239" i="123"/>
  <c r="O515" i="123"/>
  <c r="O107" i="123"/>
  <c r="O7" i="123"/>
  <c r="O19" i="123"/>
  <c r="O257" i="123"/>
  <c r="O264" i="123"/>
  <c r="O240" i="123"/>
  <c r="O75" i="123"/>
  <c r="O302" i="123"/>
  <c r="O319" i="123"/>
  <c r="O329" i="123"/>
  <c r="O310" i="123"/>
  <c r="O499" i="123"/>
  <c r="O220" i="123"/>
  <c r="O428" i="123"/>
  <c r="O504" i="123"/>
  <c r="O288" i="123"/>
  <c r="O372" i="123"/>
  <c r="O491" i="123"/>
  <c r="O574" i="123"/>
  <c r="O171" i="123"/>
  <c r="O170" i="123"/>
  <c r="O248" i="123"/>
  <c r="O555" i="123"/>
  <c r="O453" i="123"/>
  <c r="O347" i="123"/>
  <c r="O364" i="123"/>
  <c r="O106" i="123"/>
  <c r="O228" i="123"/>
  <c r="O286" i="123"/>
  <c r="O280" i="123"/>
  <c r="O21" i="123"/>
  <c r="O206" i="123"/>
  <c r="O213" i="123"/>
  <c r="O181" i="123"/>
  <c r="O550" i="123"/>
  <c r="O539" i="123"/>
  <c r="O113" i="123"/>
  <c r="O297" i="123"/>
  <c r="O384" i="123"/>
  <c r="O509" i="123"/>
  <c r="O46" i="123"/>
  <c r="O57" i="123"/>
  <c r="O566" i="123"/>
  <c r="O112" i="123"/>
  <c r="O430" i="123"/>
  <c r="O245" i="123"/>
  <c r="O507" i="123"/>
  <c r="O73" i="123"/>
  <c r="O151" i="123"/>
  <c r="O166" i="123"/>
  <c r="O456" i="123"/>
  <c r="O431" i="123"/>
  <c r="O460" i="123"/>
  <c r="O423" i="123"/>
  <c r="O66" i="123"/>
  <c r="O561" i="123"/>
  <c r="O409" i="123"/>
  <c r="O518" i="123"/>
  <c r="O249" i="123"/>
  <c r="O296" i="123"/>
  <c r="O369" i="123"/>
  <c r="O363" i="123"/>
  <c r="O3" i="123"/>
  <c r="O530" i="123"/>
  <c r="O571" i="123"/>
  <c r="O354" i="123"/>
  <c r="O8" i="123"/>
  <c r="O454" i="123"/>
  <c r="O385" i="123"/>
  <c r="O545" i="123"/>
  <c r="O387" i="123"/>
  <c r="O326" i="123"/>
  <c r="O110" i="123"/>
  <c r="O519" i="123"/>
  <c r="O336" i="123"/>
  <c r="O42" i="123"/>
  <c r="O578" i="123"/>
  <c r="O87" i="123"/>
  <c r="O63" i="123"/>
  <c r="O445" i="123"/>
  <c r="O452" i="123"/>
  <c r="O123" i="123"/>
  <c r="O295" i="123"/>
  <c r="O494" i="123"/>
  <c r="O403" i="123"/>
  <c r="O86" i="123"/>
  <c r="O263" i="123"/>
  <c r="O36" i="123"/>
  <c r="O407" i="123"/>
  <c r="O498" i="123"/>
  <c r="O45" i="123"/>
  <c r="O404" i="123"/>
  <c r="O251" i="123"/>
  <c r="O377" i="123"/>
  <c r="O162" i="123"/>
  <c r="O535" i="123"/>
  <c r="O448" i="123"/>
  <c r="O97" i="123"/>
  <c r="O282" i="123"/>
  <c r="O512" i="123"/>
  <c r="O11" i="123"/>
  <c r="O126" i="123"/>
  <c r="O58" i="123"/>
  <c r="O481" i="123"/>
  <c r="O241" i="123"/>
  <c r="O273" i="123"/>
  <c r="O23" i="123"/>
  <c r="O521" i="123"/>
  <c r="O554" i="123"/>
  <c r="O526" i="123"/>
  <c r="O95" i="123"/>
  <c r="O120" i="123"/>
  <c r="O198" i="123"/>
  <c r="O365" i="123"/>
  <c r="O475" i="123"/>
  <c r="O520" i="123"/>
  <c r="O152" i="123"/>
  <c r="O225" i="123"/>
  <c r="O221" i="123"/>
  <c r="O298" i="123"/>
  <c r="O13" i="123"/>
  <c r="O76" i="123"/>
  <c r="O357" i="123"/>
  <c r="O269" i="123"/>
  <c r="O394" i="123"/>
  <c r="O229" i="123"/>
  <c r="O48" i="123"/>
  <c r="O34" i="123"/>
  <c r="O314" i="123"/>
  <c r="O328" i="123"/>
  <c r="O211" i="123"/>
  <c r="O575" i="123"/>
  <c r="O105" i="123"/>
  <c r="O129" i="123"/>
  <c r="O250" i="123"/>
  <c r="O91" i="123"/>
  <c r="O103" i="123"/>
  <c r="O424" i="123"/>
  <c r="O391" i="123"/>
  <c r="O343" i="123"/>
  <c r="O345" i="123"/>
  <c r="O562" i="123"/>
  <c r="O446" i="123"/>
  <c r="O548" i="123"/>
  <c r="O130" i="123"/>
  <c r="O495" i="123"/>
  <c r="O444" i="123"/>
  <c r="O167" i="123"/>
  <c r="O5" i="123"/>
  <c r="O290" i="123"/>
  <c r="O443" i="123"/>
  <c r="O466" i="123"/>
  <c r="O396" i="123"/>
  <c r="O223" i="123"/>
  <c r="O325" i="123"/>
  <c r="O59" i="123"/>
  <c r="O435" i="123"/>
  <c r="O56" i="123"/>
  <c r="O51" i="123"/>
  <c r="O565" i="123"/>
  <c r="O402" i="123"/>
  <c r="O292" i="123"/>
  <c r="O284" i="123"/>
  <c r="O366" i="123"/>
  <c r="O186" i="123"/>
  <c r="O200" i="123"/>
  <c r="O114" i="123"/>
  <c r="O135" i="123"/>
  <c r="O581" i="123"/>
  <c r="O39" i="123"/>
  <c r="O96" i="123"/>
  <c r="O259" i="123"/>
  <c r="O375" i="123"/>
  <c r="O52" i="123"/>
  <c r="O489" i="123"/>
  <c r="O577" i="123"/>
  <c r="O373" i="123"/>
  <c r="O16" i="123"/>
  <c r="O140" i="123"/>
  <c r="O486" i="123"/>
  <c r="O549" i="123"/>
  <c r="O128" i="123"/>
  <c r="O35" i="123"/>
  <c r="O419" i="123"/>
  <c r="O348" i="123"/>
  <c r="O27" i="123"/>
  <c r="O232" i="123"/>
  <c r="O109" i="123"/>
  <c r="O193" i="123"/>
  <c r="O433" i="123"/>
  <c r="O500" i="123"/>
  <c r="O505" i="123"/>
  <c r="O210" i="123"/>
  <c r="O318" i="123"/>
  <c r="O362" i="123"/>
  <c r="O196" i="123"/>
  <c r="O355" i="123"/>
  <c r="O544" i="123"/>
  <c r="O30" i="123"/>
  <c r="O119" i="123"/>
  <c r="O9" i="123"/>
  <c r="O177" i="123"/>
  <c r="O368" i="123"/>
  <c r="AQ7" i="121"/>
  <c r="G11" i="126"/>
  <c r="AF1" i="108"/>
  <c r="D35" i="113" s="1"/>
  <c r="D4" i="120"/>
  <c r="T155" i="80"/>
  <c r="I253" i="80"/>
  <c r="O155" i="80"/>
  <c r="I119" i="80"/>
  <c r="I79" i="80"/>
  <c r="O119" i="80"/>
  <c r="T79" i="80"/>
  <c r="I214" i="80"/>
  <c r="T253" i="80"/>
  <c r="O79" i="80"/>
  <c r="T119" i="80"/>
  <c r="O253" i="80"/>
  <c r="I155" i="80"/>
  <c r="T49" i="80"/>
  <c r="T214" i="80"/>
  <c r="O49" i="80"/>
  <c r="I49" i="80"/>
  <c r="O154" i="80"/>
  <c r="O214" i="80"/>
  <c r="T154" i="80"/>
  <c r="I69" i="80"/>
  <c r="O69" i="80"/>
  <c r="I138" i="80"/>
  <c r="I154" i="80"/>
  <c r="T69" i="80"/>
  <c r="T138" i="80"/>
  <c r="O138" i="80"/>
  <c r="O72" i="80"/>
  <c r="O185" i="80"/>
  <c r="AP14" i="92"/>
  <c r="AO14" i="92" s="1"/>
  <c r="DA14" i="92"/>
  <c r="DB14" i="92" s="1"/>
  <c r="CT10" i="92"/>
  <c r="DA10" i="92" s="1"/>
  <c r="DB10" i="92" s="1"/>
  <c r="DI19" i="92"/>
  <c r="DI26" i="92"/>
  <c r="DI27" i="92"/>
  <c r="DI32" i="92"/>
  <c r="DI24" i="92"/>
  <c r="DI29" i="92"/>
  <c r="CT8" i="92"/>
  <c r="DA8" i="92" s="1"/>
  <c r="DB8" i="92" s="1"/>
  <c r="AP8" i="92" s="1"/>
  <c r="AO8" i="92" s="1"/>
  <c r="DI33" i="92"/>
  <c r="DI20" i="92"/>
  <c r="CT7" i="92"/>
  <c r="DA7" i="92" s="1"/>
  <c r="DB7" i="92" s="1"/>
  <c r="AP7" i="92" s="1"/>
  <c r="DI7" i="92" s="1"/>
  <c r="DI21" i="92"/>
  <c r="DI36" i="92"/>
  <c r="DI15" i="92"/>
  <c r="DI22" i="92"/>
  <c r="DI28" i="92"/>
  <c r="DI17" i="92"/>
  <c r="DI16" i="92"/>
  <c r="DI25" i="92"/>
  <c r="DI23" i="92"/>
  <c r="DI30" i="92"/>
  <c r="DI18" i="92"/>
  <c r="AP13" i="92"/>
  <c r="AO13" i="92" s="1"/>
  <c r="DA13" i="92"/>
  <c r="DB13" i="92" s="1"/>
  <c r="CG33" i="92"/>
  <c r="CG29" i="92"/>
  <c r="CG26" i="92"/>
  <c r="CG22" i="92"/>
  <c r="CG28" i="92"/>
  <c r="CG19" i="92"/>
  <c r="CG23" i="92"/>
  <c r="CG15" i="92"/>
  <c r="CG24" i="92"/>
  <c r="CG27" i="92"/>
  <c r="CG20" i="92"/>
  <c r="CG21" i="92"/>
  <c r="CG30" i="92"/>
  <c r="CG18" i="92"/>
  <c r="CG36" i="92"/>
  <c r="CG32" i="92"/>
  <c r="CG16" i="92"/>
  <c r="CG17" i="92"/>
  <c r="CG25" i="92"/>
  <c r="AP9" i="92"/>
  <c r="AO9" i="92" s="1"/>
  <c r="AP12" i="92"/>
  <c r="AO12" i="92" s="1"/>
  <c r="AP11" i="92"/>
  <c r="AO11" i="92" s="1"/>
  <c r="DA9" i="92"/>
  <c r="DB9" i="92" s="1"/>
  <c r="DA11" i="92"/>
  <c r="DB11" i="92" s="1"/>
  <c r="DA12" i="92"/>
  <c r="DB12" i="92" s="1"/>
  <c r="DI7" i="108"/>
  <c r="V7" i="115"/>
  <c r="CV12" i="108"/>
  <c r="CV17" i="108"/>
  <c r="CV13" i="108"/>
  <c r="CV16" i="108"/>
  <c r="T7" i="46"/>
  <c r="Q70" i="46" s="1"/>
  <c r="P19" i="114"/>
  <c r="AA19" i="114"/>
  <c r="Z19" i="114"/>
  <c r="W19" i="114"/>
  <c r="U19" i="114"/>
  <c r="N19" i="114"/>
  <c r="O19" i="114" s="1"/>
  <c r="T19" i="114"/>
  <c r="Q19" i="114"/>
  <c r="AB19" i="114"/>
  <c r="AC19" i="114" s="1"/>
  <c r="AE19" i="114" s="1"/>
  <c r="S19" i="114"/>
  <c r="R19" i="114"/>
  <c r="I183" i="80"/>
  <c r="K12" i="90"/>
  <c r="T42" i="82"/>
  <c r="U8" i="114"/>
  <c r="W8" i="114"/>
  <c r="S8" i="114"/>
  <c r="Z8" i="114"/>
  <c r="AA8" i="114"/>
  <c r="AB8" i="114"/>
  <c r="AC8" i="114" s="1"/>
  <c r="T8" i="114"/>
  <c r="N8" i="114"/>
  <c r="R8" i="114"/>
  <c r="Q8" i="114"/>
  <c r="P8" i="114"/>
  <c r="R17" i="114"/>
  <c r="AB11" i="114"/>
  <c r="AC11" i="114" s="1"/>
  <c r="R11" i="114"/>
  <c r="AA10" i="114"/>
  <c r="Q11" i="114"/>
  <c r="T11" i="114"/>
  <c r="U11" i="114"/>
  <c r="AA11" i="114"/>
  <c r="S11" i="114"/>
  <c r="N11" i="114"/>
  <c r="O11" i="114" s="1"/>
  <c r="Z13" i="114"/>
  <c r="I140" i="80"/>
  <c r="I80" i="80"/>
  <c r="R10" i="114"/>
  <c r="AB10" i="114"/>
  <c r="AC10" i="114" s="1"/>
  <c r="S17" i="114"/>
  <c r="N10" i="114"/>
  <c r="O10" i="114" s="1"/>
  <c r="AA17" i="114"/>
  <c r="T10" i="114"/>
  <c r="T17" i="114"/>
  <c r="U17" i="114"/>
  <c r="Q10" i="114"/>
  <c r="Q17" i="114"/>
  <c r="T12" i="114"/>
  <c r="N12" i="114"/>
  <c r="O12" i="114" s="1"/>
  <c r="AB12" i="114"/>
  <c r="AC12" i="114" s="1"/>
  <c r="S12" i="114"/>
  <c r="Q16" i="114"/>
  <c r="T16" i="114"/>
  <c r="S14" i="114"/>
  <c r="R16" i="114"/>
  <c r="AB14" i="114"/>
  <c r="AC14" i="114" s="1"/>
  <c r="U16" i="114"/>
  <c r="U12" i="114"/>
  <c r="R14" i="114"/>
  <c r="Q14" i="114"/>
  <c r="S16" i="114"/>
  <c r="Q12" i="114"/>
  <c r="U14" i="114"/>
  <c r="AB16" i="114"/>
  <c r="AC16" i="114" s="1"/>
  <c r="N16" i="114"/>
  <c r="AA14" i="114"/>
  <c r="AA16" i="114"/>
  <c r="AA12" i="114"/>
  <c r="T14" i="114"/>
  <c r="R12" i="114"/>
  <c r="AB17" i="114"/>
  <c r="AC17" i="114" s="1"/>
  <c r="S10" i="114"/>
  <c r="P13" i="114"/>
  <c r="P9" i="114"/>
  <c r="P11" i="114"/>
  <c r="P15" i="114"/>
  <c r="P17" i="114"/>
  <c r="P10" i="114"/>
  <c r="P16" i="114"/>
  <c r="P14" i="114"/>
  <c r="P12" i="114"/>
  <c r="W15" i="114"/>
  <c r="W17" i="114"/>
  <c r="W10" i="114"/>
  <c r="W16" i="114"/>
  <c r="W14" i="114"/>
  <c r="W12" i="114"/>
  <c r="W13" i="114"/>
  <c r="W9" i="114"/>
  <c r="W11" i="114"/>
  <c r="S9" i="114"/>
  <c r="U10" i="114"/>
  <c r="Z10" i="114"/>
  <c r="Z16" i="114"/>
  <c r="Z12" i="114"/>
  <c r="T9" i="114"/>
  <c r="Q9" i="114"/>
  <c r="U9" i="114"/>
  <c r="Z15" i="114"/>
  <c r="Z17" i="114"/>
  <c r="R9" i="114"/>
  <c r="AA9" i="114"/>
  <c r="N14" i="114"/>
  <c r="Z14" i="114"/>
  <c r="Z9" i="114"/>
  <c r="AB9" i="114"/>
  <c r="AC9" i="114" s="1"/>
  <c r="N9" i="114"/>
  <c r="Z11" i="114"/>
  <c r="N17" i="114"/>
  <c r="DF19" i="92"/>
  <c r="DF26" i="92"/>
  <c r="DF18" i="92"/>
  <c r="DF27" i="92"/>
  <c r="DF32" i="92"/>
  <c r="DF24" i="92"/>
  <c r="DF29" i="92"/>
  <c r="DF33" i="92"/>
  <c r="DF20" i="92"/>
  <c r="DF21" i="92"/>
  <c r="DF36" i="92"/>
  <c r="DF22" i="92"/>
  <c r="DF28" i="92"/>
  <c r="DF25" i="92"/>
  <c r="DF23" i="92"/>
  <c r="DF30" i="92"/>
  <c r="DF17" i="92"/>
  <c r="DF16" i="92"/>
  <c r="CV11" i="108"/>
  <c r="I252" i="80"/>
  <c r="I208" i="80"/>
  <c r="I16" i="80"/>
  <c r="I210" i="80"/>
  <c r="I177" i="80"/>
  <c r="I201" i="80"/>
  <c r="I106" i="80"/>
  <c r="I40" i="80"/>
  <c r="I23" i="80"/>
  <c r="I217" i="80"/>
  <c r="I229" i="80"/>
  <c r="N18" i="114"/>
  <c r="AB18" i="114"/>
  <c r="AC18" i="114" s="1"/>
  <c r="T18" i="114"/>
  <c r="I163" i="80"/>
  <c r="I196" i="80"/>
  <c r="I283" i="80"/>
  <c r="I99" i="80"/>
  <c r="I28" i="80"/>
  <c r="I237" i="80"/>
  <c r="Y396" i="23"/>
  <c r="AB396" i="23" s="1"/>
  <c r="AD396" i="23" s="1"/>
  <c r="W396" i="23" s="1"/>
  <c r="AF27" i="92"/>
  <c r="BM27" i="92" s="1"/>
  <c r="AF14" i="92"/>
  <c r="BM14" i="92" s="1"/>
  <c r="Y491" i="23"/>
  <c r="AB491" i="23" s="1"/>
  <c r="AD491" i="23" s="1"/>
  <c r="W491" i="23" s="1"/>
  <c r="Y537" i="23"/>
  <c r="AB537" i="23" s="1"/>
  <c r="AD537" i="23" s="1"/>
  <c r="W537" i="23" s="1"/>
  <c r="Y226" i="23"/>
  <c r="AB226" i="23" s="1"/>
  <c r="AD226" i="23" s="1"/>
  <c r="Y420" i="23"/>
  <c r="AB420" i="23" s="1"/>
  <c r="AD420" i="23" s="1"/>
  <c r="W420" i="23" s="1"/>
  <c r="Y390" i="23"/>
  <c r="AB390" i="23" s="1"/>
  <c r="AD390" i="23" s="1"/>
  <c r="W390" i="23" s="1"/>
  <c r="Y218" i="23"/>
  <c r="AB218" i="23" s="1"/>
  <c r="AD218" i="23" s="1"/>
  <c r="Y225" i="23"/>
  <c r="AB225" i="23" s="1"/>
  <c r="AD225" i="23" s="1"/>
  <c r="Y477" i="23"/>
  <c r="AB477" i="23" s="1"/>
  <c r="AD477" i="23" s="1"/>
  <c r="W477" i="23" s="1"/>
  <c r="Y318" i="23"/>
  <c r="AB318" i="23" s="1"/>
  <c r="AD318" i="23" s="1"/>
  <c r="W318" i="23" s="1"/>
  <c r="Y310" i="23"/>
  <c r="AB310" i="23" s="1"/>
  <c r="AD310" i="23" s="1"/>
  <c r="W310" i="23" s="1"/>
  <c r="Y328" i="23"/>
  <c r="AB328" i="23" s="1"/>
  <c r="AD328" i="23" s="1"/>
  <c r="W328" i="23" s="1"/>
  <c r="Y450" i="23"/>
  <c r="AB450" i="23" s="1"/>
  <c r="AD450" i="23" s="1"/>
  <c r="W450" i="23" s="1"/>
  <c r="Y545" i="23"/>
  <c r="AB545" i="23" s="1"/>
  <c r="AD545" i="23" s="1"/>
  <c r="W545" i="23" s="1"/>
  <c r="Y201" i="23"/>
  <c r="AB201" i="23" s="1"/>
  <c r="AD201" i="23" s="1"/>
  <c r="Y410" i="23"/>
  <c r="AB410" i="23" s="1"/>
  <c r="AD410" i="23" s="1"/>
  <c r="W410" i="23" s="1"/>
  <c r="Y351" i="23"/>
  <c r="AB351" i="23" s="1"/>
  <c r="AD351" i="23" s="1"/>
  <c r="W351" i="23" s="1"/>
  <c r="Y551" i="23"/>
  <c r="AB551" i="23" s="1"/>
  <c r="AD551" i="23" s="1"/>
  <c r="W551" i="23" s="1"/>
  <c r="Y419" i="23"/>
  <c r="AB419" i="23" s="1"/>
  <c r="AD419" i="23" s="1"/>
  <c r="W419" i="23" s="1"/>
  <c r="Y484" i="23"/>
  <c r="AB484" i="23" s="1"/>
  <c r="AD484" i="23" s="1"/>
  <c r="W484" i="23" s="1"/>
  <c r="Y427" i="23"/>
  <c r="AB427" i="23" s="1"/>
  <c r="AD427" i="23" s="1"/>
  <c r="W427" i="23" s="1"/>
  <c r="Y568" i="23"/>
  <c r="AB568" i="23" s="1"/>
  <c r="AD568" i="23" s="1"/>
  <c r="W568" i="23" s="1"/>
  <c r="Y13" i="23"/>
  <c r="AB13" i="23" s="1"/>
  <c r="AD13" i="23" s="1"/>
  <c r="Y556" i="23"/>
  <c r="AB556" i="23" s="1"/>
  <c r="AD556" i="23" s="1"/>
  <c r="W556" i="23" s="1"/>
  <c r="Y366" i="23"/>
  <c r="AB366" i="23" s="1"/>
  <c r="AD366" i="23" s="1"/>
  <c r="W366" i="23" s="1"/>
  <c r="Y554" i="23"/>
  <c r="AB554" i="23" s="1"/>
  <c r="AD554" i="23" s="1"/>
  <c r="W554" i="23" s="1"/>
  <c r="Y193" i="23"/>
  <c r="AB193" i="23" s="1"/>
  <c r="AD193" i="23" s="1"/>
  <c r="Y185" i="23"/>
  <c r="AB185" i="23" s="1"/>
  <c r="AD185" i="23" s="1"/>
  <c r="Y485" i="23"/>
  <c r="AB485" i="23" s="1"/>
  <c r="AD485" i="23" s="1"/>
  <c r="W485" i="23" s="1"/>
  <c r="Y500" i="23"/>
  <c r="AB500" i="23" s="1"/>
  <c r="AD500" i="23" s="1"/>
  <c r="W500" i="23" s="1"/>
  <c r="Y566" i="23"/>
  <c r="AB566" i="23" s="1"/>
  <c r="AD566" i="23" s="1"/>
  <c r="W566" i="23" s="1"/>
  <c r="Y227" i="23"/>
  <c r="AB227" i="23" s="1"/>
  <c r="AD227" i="23" s="1"/>
  <c r="Y559" i="23"/>
  <c r="AB559" i="23" s="1"/>
  <c r="AD559" i="23" s="1"/>
  <c r="W559" i="23" s="1"/>
  <c r="Y451" i="23"/>
  <c r="AB451" i="23" s="1"/>
  <c r="AD451" i="23" s="1"/>
  <c r="W451" i="23" s="1"/>
  <c r="Y334" i="23"/>
  <c r="AB334" i="23" s="1"/>
  <c r="AD334" i="23" s="1"/>
  <c r="W334" i="23" s="1"/>
  <c r="Y249" i="23"/>
  <c r="AB249" i="23" s="1"/>
  <c r="AD249" i="23" s="1"/>
  <c r="Y403" i="23"/>
  <c r="AB403" i="23" s="1"/>
  <c r="AD403" i="23" s="1"/>
  <c r="W403" i="23" s="1"/>
  <c r="Y95" i="23"/>
  <c r="AB95" i="23" s="1"/>
  <c r="AD95" i="23" s="1"/>
  <c r="Y90" i="23"/>
  <c r="AB90" i="23" s="1"/>
  <c r="AD90" i="23" s="1"/>
  <c r="Y453" i="23"/>
  <c r="AB453" i="23" s="1"/>
  <c r="AD453" i="23" s="1"/>
  <c r="W453" i="23" s="1"/>
  <c r="Y143" i="23"/>
  <c r="AB143" i="23" s="1"/>
  <c r="AD143" i="23" s="1"/>
  <c r="Y278" i="23"/>
  <c r="AB278" i="23" s="1"/>
  <c r="AD278" i="23" s="1"/>
  <c r="Y471" i="23"/>
  <c r="AB471" i="23" s="1"/>
  <c r="AD471" i="23" s="1"/>
  <c r="W471" i="23" s="1"/>
  <c r="Y397" i="23"/>
  <c r="AB397" i="23" s="1"/>
  <c r="AD397" i="23" s="1"/>
  <c r="W397" i="23" s="1"/>
  <c r="Y118" i="23"/>
  <c r="AB118" i="23" s="1"/>
  <c r="AD118" i="23" s="1"/>
  <c r="Y206" i="23"/>
  <c r="AB206" i="23" s="1"/>
  <c r="AD206" i="23" s="1"/>
  <c r="Y572" i="23"/>
  <c r="AB572" i="23" s="1"/>
  <c r="AD572" i="23" s="1"/>
  <c r="W572" i="23" s="1"/>
  <c r="Y499" i="23"/>
  <c r="AB499" i="23" s="1"/>
  <c r="AD499" i="23" s="1"/>
  <c r="W499" i="23" s="1"/>
  <c r="Y75" i="23"/>
  <c r="AB75" i="23" s="1"/>
  <c r="AD75" i="23" s="1"/>
  <c r="Y394" i="23"/>
  <c r="AB394" i="23" s="1"/>
  <c r="AD394" i="23" s="1"/>
  <c r="W394" i="23" s="1"/>
  <c r="Y529" i="23"/>
  <c r="AB529" i="23" s="1"/>
  <c r="AD529" i="23" s="1"/>
  <c r="W529" i="23" s="1"/>
  <c r="Y294" i="23"/>
  <c r="AB294" i="23" s="1"/>
  <c r="AD294" i="23" s="1"/>
  <c r="W294" i="23" s="1"/>
  <c r="Y311" i="23"/>
  <c r="AB311" i="23" s="1"/>
  <c r="AD311" i="23" s="1"/>
  <c r="W311" i="23" s="1"/>
  <c r="Y130" i="23"/>
  <c r="AB130" i="23" s="1"/>
  <c r="AD130" i="23" s="1"/>
  <c r="Y295" i="23"/>
  <c r="AB295" i="23" s="1"/>
  <c r="AD295" i="23" s="1"/>
  <c r="W295" i="23" s="1"/>
  <c r="Y426" i="23"/>
  <c r="AB426" i="23" s="1"/>
  <c r="AD426" i="23" s="1"/>
  <c r="W426" i="23" s="1"/>
  <c r="Y94" i="23"/>
  <c r="AB94" i="23" s="1"/>
  <c r="AD94" i="23" s="1"/>
  <c r="Y519" i="23"/>
  <c r="AB519" i="23" s="1"/>
  <c r="AD519" i="23" s="1"/>
  <c r="W519" i="23" s="1"/>
  <c r="Y454" i="23"/>
  <c r="AB454" i="23" s="1"/>
  <c r="AD454" i="23" s="1"/>
  <c r="W454" i="23" s="1"/>
  <c r="Y67" i="23"/>
  <c r="AB67" i="23" s="1"/>
  <c r="AD67" i="23" s="1"/>
  <c r="Y582" i="23"/>
  <c r="AB582" i="23" s="1"/>
  <c r="AD582" i="23" s="1"/>
  <c r="W582" i="23" s="1"/>
  <c r="Y113" i="23"/>
  <c r="AB113" i="23" s="1"/>
  <c r="AD113" i="23" s="1"/>
  <c r="Y20" i="23"/>
  <c r="AB20" i="23" s="1"/>
  <c r="AD20" i="23" s="1"/>
  <c r="Y96" i="23"/>
  <c r="AB96" i="23" s="1"/>
  <c r="AD96" i="23" s="1"/>
  <c r="Y244" i="23"/>
  <c r="AB244" i="23" s="1"/>
  <c r="AD244" i="23" s="1"/>
  <c r="Y332" i="23"/>
  <c r="AB332" i="23" s="1"/>
  <c r="AD332" i="23" s="1"/>
  <c r="W332" i="23" s="1"/>
  <c r="Y580" i="23"/>
  <c r="AB580" i="23" s="1"/>
  <c r="AD580" i="23" s="1"/>
  <c r="W580" i="23" s="1"/>
  <c r="Y280" i="23"/>
  <c r="AB280" i="23" s="1"/>
  <c r="AD280" i="23" s="1"/>
  <c r="Y160" i="23"/>
  <c r="AB160" i="23" s="1"/>
  <c r="AD160" i="23" s="1"/>
  <c r="Y9" i="23"/>
  <c r="AB9" i="23" s="1"/>
  <c r="AD9" i="23" s="1"/>
  <c r="Y522" i="23"/>
  <c r="AB522" i="23" s="1"/>
  <c r="AD522" i="23" s="1"/>
  <c r="W522" i="23" s="1"/>
  <c r="Y481" i="23"/>
  <c r="AB481" i="23" s="1"/>
  <c r="AD481" i="23" s="1"/>
  <c r="W481" i="23" s="1"/>
  <c r="Y365" i="23"/>
  <c r="AB365" i="23" s="1"/>
  <c r="AD365" i="23" s="1"/>
  <c r="W365" i="23" s="1"/>
  <c r="Y458" i="23"/>
  <c r="AB458" i="23" s="1"/>
  <c r="AD458" i="23" s="1"/>
  <c r="W458" i="23" s="1"/>
  <c r="Y305" i="23"/>
  <c r="AB305" i="23" s="1"/>
  <c r="AD305" i="23" s="1"/>
  <c r="W305" i="23" s="1"/>
  <c r="Y270" i="23"/>
  <c r="AB270" i="23" s="1"/>
  <c r="AD270" i="23" s="1"/>
  <c r="Y122" i="23"/>
  <c r="AB122" i="23" s="1"/>
  <c r="AD122" i="23" s="1"/>
  <c r="Y352" i="23"/>
  <c r="AB352" i="23" s="1"/>
  <c r="AD352" i="23" s="1"/>
  <c r="W352" i="23" s="1"/>
  <c r="Y553" i="23"/>
  <c r="AB553" i="23" s="1"/>
  <c r="AD553" i="23" s="1"/>
  <c r="W553" i="23" s="1"/>
  <c r="Y131" i="23"/>
  <c r="AB131" i="23" s="1"/>
  <c r="AD131" i="23" s="1"/>
  <c r="Y145" i="23"/>
  <c r="AB145" i="23" s="1"/>
  <c r="AD145" i="23" s="1"/>
  <c r="Y19" i="23"/>
  <c r="AB19" i="23" s="1"/>
  <c r="AD19" i="23" s="1"/>
  <c r="Y272" i="23"/>
  <c r="AB272" i="23" s="1"/>
  <c r="AD272" i="23" s="1"/>
  <c r="Y53" i="23"/>
  <c r="AB53" i="23" s="1"/>
  <c r="AD53" i="23" s="1"/>
  <c r="Y158" i="23"/>
  <c r="AB158" i="23" s="1"/>
  <c r="AD158" i="23" s="1"/>
  <c r="Y80" i="23"/>
  <c r="AB80" i="23" s="1"/>
  <c r="AD80" i="23" s="1"/>
  <c r="Y93" i="23"/>
  <c r="AB93" i="23" s="1"/>
  <c r="AD93" i="23" s="1"/>
  <c r="Y379" i="23"/>
  <c r="AB379" i="23" s="1"/>
  <c r="AD379" i="23" s="1"/>
  <c r="W379" i="23" s="1"/>
  <c r="Y507" i="23"/>
  <c r="AB507" i="23" s="1"/>
  <c r="AD507" i="23" s="1"/>
  <c r="W507" i="23" s="1"/>
  <c r="Y261" i="23"/>
  <c r="AB261" i="23" s="1"/>
  <c r="AD261" i="23" s="1"/>
  <c r="Y446" i="23"/>
  <c r="AB446" i="23" s="1"/>
  <c r="AD446" i="23" s="1"/>
  <c r="W446" i="23" s="1"/>
  <c r="Y81" i="23"/>
  <c r="AB81" i="23" s="1"/>
  <c r="AD81" i="23" s="1"/>
  <c r="Y69" i="23"/>
  <c r="AB69" i="23" s="1"/>
  <c r="AD69" i="23" s="1"/>
  <c r="Y229" i="23"/>
  <c r="AB229" i="23" s="1"/>
  <c r="AD229" i="23" s="1"/>
  <c r="Y211" i="23"/>
  <c r="AB211" i="23" s="1"/>
  <c r="AD211" i="23" s="1"/>
  <c r="Y168" i="23"/>
  <c r="AB168" i="23" s="1"/>
  <c r="AD168" i="23" s="1"/>
  <c r="Y150" i="23"/>
  <c r="AB150" i="23" s="1"/>
  <c r="AD150" i="23" s="1"/>
  <c r="Y163" i="23"/>
  <c r="AB163" i="23" s="1"/>
  <c r="AD163" i="23" s="1"/>
  <c r="Y363" i="23"/>
  <c r="AB363" i="23" s="1"/>
  <c r="AD363" i="23" s="1"/>
  <c r="W363" i="23" s="1"/>
  <c r="Y293" i="23"/>
  <c r="AB293" i="23" s="1"/>
  <c r="AD293" i="23" s="1"/>
  <c r="W293" i="23" s="1"/>
  <c r="Y338" i="23"/>
  <c r="AB338" i="23" s="1"/>
  <c r="AD338" i="23" s="1"/>
  <c r="W338" i="23" s="1"/>
  <c r="Y246" i="23"/>
  <c r="AB246" i="23" s="1"/>
  <c r="AD246" i="23" s="1"/>
  <c r="Y170" i="23"/>
  <c r="AB170" i="23" s="1"/>
  <c r="AD170" i="23" s="1"/>
  <c r="Y105" i="23"/>
  <c r="AB105" i="23" s="1"/>
  <c r="AD105" i="23" s="1"/>
  <c r="Y442" i="23"/>
  <c r="AB442" i="23" s="1"/>
  <c r="AD442" i="23" s="1"/>
  <c r="W442" i="23" s="1"/>
  <c r="Y385" i="23"/>
  <c r="AB385" i="23" s="1"/>
  <c r="AD385" i="23" s="1"/>
  <c r="W385" i="23" s="1"/>
  <c r="Y282" i="23"/>
  <c r="AB282" i="23" s="1"/>
  <c r="AD282" i="23" s="1"/>
  <c r="Y146" i="23"/>
  <c r="AB146" i="23" s="1"/>
  <c r="AD146" i="23" s="1"/>
  <c r="Y325" i="23"/>
  <c r="AB325" i="23" s="1"/>
  <c r="AD325" i="23" s="1"/>
  <c r="W325" i="23" s="1"/>
  <c r="Y289" i="23"/>
  <c r="AB289" i="23" s="1"/>
  <c r="AD289" i="23" s="1"/>
  <c r="Y21" i="23"/>
  <c r="AB21" i="23" s="1"/>
  <c r="AD21" i="23" s="1"/>
  <c r="Y44" i="23"/>
  <c r="AB44" i="23" s="1"/>
  <c r="AD44" i="23" s="1"/>
  <c r="Y323" i="23"/>
  <c r="AB323" i="23" s="1"/>
  <c r="AD323" i="23" s="1"/>
  <c r="W323" i="23" s="1"/>
  <c r="Y469" i="23"/>
  <c r="AB469" i="23" s="1"/>
  <c r="AD469" i="23" s="1"/>
  <c r="W469" i="23" s="1"/>
  <c r="Y357" i="23"/>
  <c r="AB357" i="23" s="1"/>
  <c r="AD357" i="23" s="1"/>
  <c r="W357" i="23" s="1"/>
  <c r="Y526" i="23"/>
  <c r="AB526" i="23" s="1"/>
  <c r="AD526" i="23" s="1"/>
  <c r="W526" i="23" s="1"/>
  <c r="Y16" i="23"/>
  <c r="AB16" i="23" s="1"/>
  <c r="AD16" i="23" s="1"/>
  <c r="Y405" i="23"/>
  <c r="AB405" i="23" s="1"/>
  <c r="AD405" i="23" s="1"/>
  <c r="W405" i="23" s="1"/>
  <c r="Y112" i="23"/>
  <c r="AB112" i="23" s="1"/>
  <c r="AD112" i="23" s="1"/>
  <c r="Y86" i="23"/>
  <c r="AB86" i="23" s="1"/>
  <c r="AD86" i="23" s="1"/>
  <c r="Y136" i="23"/>
  <c r="AB136" i="23" s="1"/>
  <c r="AD136" i="23" s="1"/>
  <c r="Y314" i="23"/>
  <c r="AB314" i="23" s="1"/>
  <c r="AD314" i="23" s="1"/>
  <c r="W314" i="23" s="1"/>
  <c r="Y313" i="23"/>
  <c r="AB313" i="23" s="1"/>
  <c r="AD313" i="23" s="1"/>
  <c r="W313" i="23" s="1"/>
  <c r="Y439" i="23"/>
  <c r="AB439" i="23" s="1"/>
  <c r="AD439" i="23" s="1"/>
  <c r="W439" i="23" s="1"/>
  <c r="Y354" i="23"/>
  <c r="AB354" i="23" s="1"/>
  <c r="AD354" i="23" s="1"/>
  <c r="W354" i="23" s="1"/>
  <c r="Y459" i="23"/>
  <c r="AB459" i="23" s="1"/>
  <c r="AD459" i="23" s="1"/>
  <c r="W459" i="23" s="1"/>
  <c r="Y530" i="23"/>
  <c r="AB530" i="23" s="1"/>
  <c r="AD530" i="23" s="1"/>
  <c r="W530" i="23" s="1"/>
  <c r="Y389" i="23"/>
  <c r="AB389" i="23" s="1"/>
  <c r="AD389" i="23" s="1"/>
  <c r="W389" i="23" s="1"/>
  <c r="Y301" i="23"/>
  <c r="AB301" i="23" s="1"/>
  <c r="AD301" i="23" s="1"/>
  <c r="W301" i="23" s="1"/>
  <c r="Y264" i="23"/>
  <c r="AB264" i="23" s="1"/>
  <c r="AD264" i="23" s="1"/>
  <c r="Y501" i="23"/>
  <c r="AB501" i="23" s="1"/>
  <c r="AD501" i="23" s="1"/>
  <c r="W501" i="23" s="1"/>
  <c r="Y563" i="23"/>
  <c r="AB563" i="23" s="1"/>
  <c r="AD563" i="23" s="1"/>
  <c r="W563" i="23" s="1"/>
  <c r="Y472" i="23"/>
  <c r="AB472" i="23" s="1"/>
  <c r="AD472" i="23" s="1"/>
  <c r="W472" i="23" s="1"/>
  <c r="Y433" i="23"/>
  <c r="AB433" i="23" s="1"/>
  <c r="AD433" i="23" s="1"/>
  <c r="W433" i="23" s="1"/>
  <c r="Y128" i="23"/>
  <c r="AB128" i="23" s="1"/>
  <c r="AD128" i="23" s="1"/>
  <c r="Y355" i="23"/>
  <c r="AB355" i="23" s="1"/>
  <c r="AD355" i="23" s="1"/>
  <c r="W355" i="23" s="1"/>
  <c r="Y187" i="23"/>
  <c r="AB187" i="23" s="1"/>
  <c r="AD187" i="23" s="1"/>
  <c r="Y557" i="23"/>
  <c r="AB557" i="23" s="1"/>
  <c r="AD557" i="23" s="1"/>
  <c r="W557" i="23" s="1"/>
  <c r="Y298" i="23"/>
  <c r="AB298" i="23" s="1"/>
  <c r="AD298" i="23" s="1"/>
  <c r="W298" i="23" s="1"/>
  <c r="Y61" i="23"/>
  <c r="AB61" i="23" s="1"/>
  <c r="AD61" i="23" s="1"/>
  <c r="Y308" i="23"/>
  <c r="AB308" i="23" s="1"/>
  <c r="AD308" i="23" s="1"/>
  <c r="W308" i="23" s="1"/>
  <c r="Y515" i="23"/>
  <c r="AB515" i="23" s="1"/>
  <c r="AD515" i="23" s="1"/>
  <c r="W515" i="23" s="1"/>
  <c r="Y330" i="23"/>
  <c r="AB330" i="23" s="1"/>
  <c r="AD330" i="23" s="1"/>
  <c r="W330" i="23" s="1"/>
  <c r="Y528" i="23"/>
  <c r="AB528" i="23" s="1"/>
  <c r="AD528" i="23" s="1"/>
  <c r="W528" i="23" s="1"/>
  <c r="Y467" i="23"/>
  <c r="AB467" i="23" s="1"/>
  <c r="AD467" i="23" s="1"/>
  <c r="W467" i="23" s="1"/>
  <c r="Y242" i="23"/>
  <c r="AB242" i="23" s="1"/>
  <c r="AD242" i="23" s="1"/>
  <c r="Y447" i="23"/>
  <c r="AB447" i="23" s="1"/>
  <c r="AD447" i="23" s="1"/>
  <c r="W447" i="23" s="1"/>
  <c r="Y368" i="23"/>
  <c r="AB368" i="23" s="1"/>
  <c r="AD368" i="23" s="1"/>
  <c r="W368" i="23" s="1"/>
  <c r="Y345" i="23"/>
  <c r="AB345" i="23" s="1"/>
  <c r="AD345" i="23" s="1"/>
  <c r="W345" i="23" s="1"/>
  <c r="Y116" i="23"/>
  <c r="AB116" i="23" s="1"/>
  <c r="AD116" i="23" s="1"/>
  <c r="Y297" i="23"/>
  <c r="AB297" i="23" s="1"/>
  <c r="AD297" i="23" s="1"/>
  <c r="W297" i="23" s="1"/>
  <c r="Y281" i="23"/>
  <c r="AB281" i="23" s="1"/>
  <c r="AD281" i="23" s="1"/>
  <c r="Y151" i="23"/>
  <c r="AB151" i="23" s="1"/>
  <c r="AD151" i="23" s="1"/>
  <c r="Y496" i="23"/>
  <c r="AB496" i="23" s="1"/>
  <c r="AD496" i="23" s="1"/>
  <c r="W496" i="23" s="1"/>
  <c r="Y238" i="23"/>
  <c r="AB238" i="23" s="1"/>
  <c r="AD238" i="23" s="1"/>
  <c r="Y340" i="23"/>
  <c r="AB340" i="23" s="1"/>
  <c r="AD340" i="23" s="1"/>
  <c r="W340" i="23" s="1"/>
  <c r="Y183" i="23"/>
  <c r="AB183" i="23" s="1"/>
  <c r="AD183" i="23" s="1"/>
  <c r="Y207" i="23"/>
  <c r="AB207" i="23" s="1"/>
  <c r="AD207" i="23" s="1"/>
  <c r="Y11" i="23"/>
  <c r="AB11" i="23" s="1"/>
  <c r="AD11" i="23" s="1"/>
  <c r="Y98" i="23"/>
  <c r="AB98" i="23" s="1"/>
  <c r="AD98" i="23" s="1"/>
  <c r="Y531" i="23"/>
  <c r="AB531" i="23" s="1"/>
  <c r="AD531" i="23" s="1"/>
  <c r="W531" i="23" s="1"/>
  <c r="Y372" i="23"/>
  <c r="AB372" i="23" s="1"/>
  <c r="AD372" i="23" s="1"/>
  <c r="W372" i="23" s="1"/>
  <c r="Y57" i="23"/>
  <c r="AB57" i="23" s="1"/>
  <c r="AD57" i="23" s="1"/>
  <c r="Y33" i="23"/>
  <c r="AB33" i="23" s="1"/>
  <c r="AD33" i="23" s="1"/>
  <c r="Y70" i="23"/>
  <c r="AB70" i="23" s="1"/>
  <c r="AD70" i="23" s="1"/>
  <c r="Y414" i="23"/>
  <c r="AB414" i="23" s="1"/>
  <c r="AD414" i="23" s="1"/>
  <c r="W414" i="23" s="1"/>
  <c r="Y89" i="23"/>
  <c r="AB89" i="23" s="1"/>
  <c r="AD89" i="23" s="1"/>
  <c r="Y370" i="23"/>
  <c r="AB370" i="23" s="1"/>
  <c r="AD370" i="23" s="1"/>
  <c r="W370" i="23" s="1"/>
  <c r="Y134" i="23"/>
  <c r="AB134" i="23" s="1"/>
  <c r="AD134" i="23" s="1"/>
  <c r="Y52" i="23"/>
  <c r="AB52" i="23" s="1"/>
  <c r="AD52" i="23" s="1"/>
  <c r="Y203" i="23"/>
  <c r="AB203" i="23" s="1"/>
  <c r="AD203" i="23" s="1"/>
  <c r="Y284" i="23"/>
  <c r="AB284" i="23" s="1"/>
  <c r="AD284" i="23" s="1"/>
  <c r="Y62" i="23"/>
  <c r="AB62" i="23" s="1"/>
  <c r="AD62" i="23" s="1"/>
  <c r="Y381" i="23"/>
  <c r="AB381" i="23" s="1"/>
  <c r="AD381" i="23" s="1"/>
  <c r="W381" i="23" s="1"/>
  <c r="Y333" i="23"/>
  <c r="AB333" i="23" s="1"/>
  <c r="AD333" i="23" s="1"/>
  <c r="W333" i="23" s="1"/>
  <c r="Y535" i="23"/>
  <c r="AB535" i="23" s="1"/>
  <c r="AD535" i="23" s="1"/>
  <c r="W535" i="23" s="1"/>
  <c r="Y58" i="23"/>
  <c r="AB58" i="23" s="1"/>
  <c r="AD58" i="23" s="1"/>
  <c r="Y120" i="23"/>
  <c r="AB120" i="23" s="1"/>
  <c r="AD120" i="23" s="1"/>
  <c r="Y60" i="23"/>
  <c r="AB60" i="23" s="1"/>
  <c r="AD60" i="23" s="1"/>
  <c r="Y285" i="23"/>
  <c r="AB285" i="23" s="1"/>
  <c r="AD285" i="23" s="1"/>
  <c r="Y4" i="23"/>
  <c r="AB4" i="23" s="1"/>
  <c r="AD4" i="23" s="1"/>
  <c r="W4" i="23" s="1"/>
  <c r="Y489" i="23"/>
  <c r="AB489" i="23" s="1"/>
  <c r="AD489" i="23" s="1"/>
  <c r="W489" i="23" s="1"/>
  <c r="Y88" i="23"/>
  <c r="AB88" i="23" s="1"/>
  <c r="AD88" i="23" s="1"/>
  <c r="Y375" i="23"/>
  <c r="AB375" i="23" s="1"/>
  <c r="AD375" i="23" s="1"/>
  <c r="W375" i="23" s="1"/>
  <c r="Y543" i="23"/>
  <c r="AB543" i="23" s="1"/>
  <c r="AD543" i="23" s="1"/>
  <c r="W543" i="23" s="1"/>
  <c r="Y84" i="23"/>
  <c r="AB84" i="23" s="1"/>
  <c r="AD84" i="23" s="1"/>
  <c r="Y173" i="23"/>
  <c r="AB173" i="23" s="1"/>
  <c r="AD173" i="23" s="1"/>
  <c r="Y504" i="23"/>
  <c r="AB504" i="23" s="1"/>
  <c r="AD504" i="23" s="1"/>
  <c r="W504" i="23" s="1"/>
  <c r="Y210" i="23"/>
  <c r="AB210" i="23" s="1"/>
  <c r="AD210" i="23" s="1"/>
  <c r="Y412" i="23"/>
  <c r="AB412" i="23" s="1"/>
  <c r="AD412" i="23" s="1"/>
  <c r="W412" i="23" s="1"/>
  <c r="Y337" i="23"/>
  <c r="AB337" i="23" s="1"/>
  <c r="AD337" i="23" s="1"/>
  <c r="W337" i="23" s="1"/>
  <c r="Y517" i="23"/>
  <c r="AB517" i="23" s="1"/>
  <c r="AD517" i="23" s="1"/>
  <c r="W517" i="23" s="1"/>
  <c r="Y197" i="23"/>
  <c r="AB197" i="23" s="1"/>
  <c r="AD197" i="23" s="1"/>
  <c r="Y251" i="23"/>
  <c r="AB251" i="23" s="1"/>
  <c r="AD251" i="23" s="1"/>
  <c r="Y409" i="23"/>
  <c r="AB409" i="23" s="1"/>
  <c r="AD409" i="23" s="1"/>
  <c r="W409" i="23" s="1"/>
  <c r="Y349" i="23"/>
  <c r="AB349" i="23" s="1"/>
  <c r="AD349" i="23" s="1"/>
  <c r="W349" i="23" s="1"/>
  <c r="Y532" i="23"/>
  <c r="AB532" i="23" s="1"/>
  <c r="AD532" i="23" s="1"/>
  <c r="W532" i="23" s="1"/>
  <c r="Y26" i="23"/>
  <c r="AB26" i="23" s="1"/>
  <c r="AD26" i="23" s="1"/>
  <c r="Y346" i="23"/>
  <c r="AB346" i="23" s="1"/>
  <c r="AD346" i="23" s="1"/>
  <c r="W346" i="23" s="1"/>
  <c r="Y56" i="23"/>
  <c r="AB56" i="23" s="1"/>
  <c r="AD56" i="23" s="1"/>
  <c r="Y138" i="23"/>
  <c r="AB138" i="23" s="1"/>
  <c r="AD138" i="23" s="1"/>
  <c r="Y488" i="23"/>
  <c r="AB488" i="23" s="1"/>
  <c r="AD488" i="23" s="1"/>
  <c r="W488" i="23" s="1"/>
  <c r="Y6" i="23"/>
  <c r="AB6" i="23" s="1"/>
  <c r="AD6" i="23" s="1"/>
  <c r="Y174" i="23"/>
  <c r="AB174" i="23" s="1"/>
  <c r="AD174" i="23" s="1"/>
  <c r="Y184" i="23"/>
  <c r="AB184" i="23" s="1"/>
  <c r="AD184" i="23" s="1"/>
  <c r="Y147" i="23"/>
  <c r="AB147" i="23" s="1"/>
  <c r="AD147" i="23" s="1"/>
  <c r="Y570" i="23"/>
  <c r="AB570" i="23" s="1"/>
  <c r="AD570" i="23" s="1"/>
  <c r="W570" i="23" s="1"/>
  <c r="Y482" i="23"/>
  <c r="AB482" i="23" s="1"/>
  <c r="AD482" i="23" s="1"/>
  <c r="W482" i="23" s="1"/>
  <c r="Y189" i="23"/>
  <c r="AB189" i="23" s="1"/>
  <c r="AD189" i="23" s="1"/>
  <c r="Y361" i="23"/>
  <c r="AB361" i="23" s="1"/>
  <c r="AD361" i="23" s="1"/>
  <c r="W361" i="23" s="1"/>
  <c r="Y503" i="23"/>
  <c r="AB503" i="23" s="1"/>
  <c r="AD503" i="23" s="1"/>
  <c r="W503" i="23" s="1"/>
  <c r="Y399" i="23"/>
  <c r="AB399" i="23" s="1"/>
  <c r="AD399" i="23" s="1"/>
  <c r="W399" i="23" s="1"/>
  <c r="Y341" i="23"/>
  <c r="AB341" i="23" s="1"/>
  <c r="AD341" i="23" s="1"/>
  <c r="W341" i="23" s="1"/>
  <c r="Y23" i="23"/>
  <c r="AB23" i="23" s="1"/>
  <c r="AD23" i="23" s="1"/>
  <c r="Y583" i="23"/>
  <c r="AB583" i="23" s="1"/>
  <c r="AD583" i="23" s="1"/>
  <c r="W583" i="23" s="1"/>
  <c r="Y302" i="23"/>
  <c r="AB302" i="23" s="1"/>
  <c r="AD302" i="23" s="1"/>
  <c r="W302" i="23" s="1"/>
  <c r="Y401" i="23"/>
  <c r="AB401" i="23" s="1"/>
  <c r="AD401" i="23" s="1"/>
  <c r="W401" i="23" s="1"/>
  <c r="Y579" i="23"/>
  <c r="AB579" i="23" s="1"/>
  <c r="AD579" i="23" s="1"/>
  <c r="W579" i="23" s="1"/>
  <c r="Y523" i="23"/>
  <c r="AB523" i="23" s="1"/>
  <c r="AD523" i="23" s="1"/>
  <c r="W523" i="23" s="1"/>
  <c r="Y571" i="23"/>
  <c r="AB571" i="23" s="1"/>
  <c r="AD571" i="23" s="1"/>
  <c r="W571" i="23" s="1"/>
  <c r="Y547" i="23"/>
  <c r="AB547" i="23" s="1"/>
  <c r="AD547" i="23" s="1"/>
  <c r="W547" i="23" s="1"/>
  <c r="Y54" i="23"/>
  <c r="AB54" i="23" s="1"/>
  <c r="AD54" i="23" s="1"/>
  <c r="Y202" i="23"/>
  <c r="AB202" i="23" s="1"/>
  <c r="AD202" i="23" s="1"/>
  <c r="Y331" i="23"/>
  <c r="AB331" i="23" s="1"/>
  <c r="AD331" i="23" s="1"/>
  <c r="W331" i="23" s="1"/>
  <c r="Y320" i="23"/>
  <c r="AB320" i="23" s="1"/>
  <c r="AD320" i="23" s="1"/>
  <c r="W320" i="23" s="1"/>
  <c r="Y108" i="23"/>
  <c r="AB108" i="23" s="1"/>
  <c r="AD108" i="23" s="1"/>
  <c r="Y367" i="23"/>
  <c r="AB367" i="23" s="1"/>
  <c r="AD367" i="23" s="1"/>
  <c r="W367" i="23" s="1"/>
  <c r="Y462" i="23"/>
  <c r="AB462" i="23" s="1"/>
  <c r="AD462" i="23" s="1"/>
  <c r="W462" i="23" s="1"/>
  <c r="Y296" i="23"/>
  <c r="AB296" i="23" s="1"/>
  <c r="AD296" i="23" s="1"/>
  <c r="W296" i="23" s="1"/>
  <c r="Y448" i="23"/>
  <c r="AB448" i="23" s="1"/>
  <c r="AD448" i="23" s="1"/>
  <c r="W448" i="23" s="1"/>
  <c r="Y326" i="23"/>
  <c r="AB326" i="23" s="1"/>
  <c r="AD326" i="23" s="1"/>
  <c r="W326" i="23" s="1"/>
  <c r="Y276" i="23"/>
  <c r="AB276" i="23" s="1"/>
  <c r="AD276" i="23" s="1"/>
  <c r="Y87" i="23"/>
  <c r="AB87" i="23" s="1"/>
  <c r="AD87" i="23" s="1"/>
  <c r="Y91" i="23"/>
  <c r="AB91" i="23" s="1"/>
  <c r="AD91" i="23" s="1"/>
  <c r="Y520" i="23"/>
  <c r="AB520" i="23" s="1"/>
  <c r="AD520" i="23" s="1"/>
  <c r="W520" i="23" s="1"/>
  <c r="Y587" i="23"/>
  <c r="AB587" i="23" s="1"/>
  <c r="AD587" i="23" s="1"/>
  <c r="W587" i="23" s="1"/>
  <c r="Y364" i="23"/>
  <c r="AB364" i="23" s="1"/>
  <c r="AD364" i="23" s="1"/>
  <c r="W364" i="23" s="1"/>
  <c r="Y198" i="23"/>
  <c r="AB198" i="23" s="1"/>
  <c r="AD198" i="23" s="1"/>
  <c r="Y34" i="23"/>
  <c r="AB34" i="23" s="1"/>
  <c r="AD34" i="23" s="1"/>
  <c r="Y126" i="23"/>
  <c r="AB126" i="23" s="1"/>
  <c r="AD126" i="23" s="1"/>
  <c r="Y172" i="23"/>
  <c r="AB172" i="23" s="1"/>
  <c r="AD172" i="23" s="1"/>
  <c r="Y425" i="23"/>
  <c r="AB425" i="23" s="1"/>
  <c r="AD425" i="23" s="1"/>
  <c r="W425" i="23" s="1"/>
  <c r="Y45" i="23"/>
  <c r="AB45" i="23" s="1"/>
  <c r="AD45" i="23" s="1"/>
  <c r="Y205" i="23"/>
  <c r="AB205" i="23" s="1"/>
  <c r="AD205" i="23" s="1"/>
  <c r="Y380" i="23"/>
  <c r="AB380" i="23" s="1"/>
  <c r="AD380" i="23" s="1"/>
  <c r="W380" i="23" s="1"/>
  <c r="Y539" i="23"/>
  <c r="AB539" i="23" s="1"/>
  <c r="AD539" i="23" s="1"/>
  <c r="W539" i="23" s="1"/>
  <c r="Y68" i="23"/>
  <c r="AB68" i="23" s="1"/>
  <c r="AD68" i="23" s="1"/>
  <c r="Y152" i="23"/>
  <c r="AB152" i="23" s="1"/>
  <c r="AD152" i="23" s="1"/>
  <c r="Y22" i="23"/>
  <c r="AB22" i="23" s="1"/>
  <c r="AD22" i="23" s="1"/>
  <c r="Y398" i="23"/>
  <c r="AB398" i="23" s="1"/>
  <c r="AD398" i="23" s="1"/>
  <c r="W398" i="23" s="1"/>
  <c r="Y165" i="23"/>
  <c r="AB165" i="23" s="1"/>
  <c r="AD165" i="23" s="1"/>
  <c r="Y73" i="23"/>
  <c r="AB73" i="23" s="1"/>
  <c r="AD73" i="23" s="1"/>
  <c r="Y576" i="23"/>
  <c r="AB576" i="23" s="1"/>
  <c r="AD576" i="23" s="1"/>
  <c r="W576" i="23" s="1"/>
  <c r="Y416" i="23"/>
  <c r="AB416" i="23" s="1"/>
  <c r="AD416" i="23" s="1"/>
  <c r="W416" i="23" s="1"/>
  <c r="Y362" i="23"/>
  <c r="AB362" i="23" s="1"/>
  <c r="AD362" i="23" s="1"/>
  <c r="W362" i="23" s="1"/>
  <c r="Y15" i="23"/>
  <c r="AB15" i="23" s="1"/>
  <c r="AD15" i="23" s="1"/>
  <c r="Y245" i="23"/>
  <c r="AB245" i="23" s="1"/>
  <c r="AD245" i="23" s="1"/>
  <c r="Y175" i="23"/>
  <c r="AB175" i="23" s="1"/>
  <c r="AD175" i="23" s="1"/>
  <c r="Y436" i="23"/>
  <c r="AB436" i="23" s="1"/>
  <c r="AD436" i="23" s="1"/>
  <c r="W436" i="23" s="1"/>
  <c r="Y460" i="23"/>
  <c r="AB460" i="23" s="1"/>
  <c r="AD460" i="23" s="1"/>
  <c r="W460" i="23" s="1"/>
  <c r="Y192" i="23"/>
  <c r="AB192" i="23" s="1"/>
  <c r="AD192" i="23" s="1"/>
  <c r="Y541" i="23"/>
  <c r="AB541" i="23" s="1"/>
  <c r="AD541" i="23" s="1"/>
  <c r="W541" i="23" s="1"/>
  <c r="Y213" i="23"/>
  <c r="AB213" i="23" s="1"/>
  <c r="AD213" i="23" s="1"/>
  <c r="Y12" i="23"/>
  <c r="AB12" i="23" s="1"/>
  <c r="AD12" i="23" s="1"/>
  <c r="Y391" i="23"/>
  <c r="AB391" i="23" s="1"/>
  <c r="AD391" i="23" s="1"/>
  <c r="W391" i="23" s="1"/>
  <c r="Y166" i="23"/>
  <c r="AB166" i="23" s="1"/>
  <c r="AD166" i="23" s="1"/>
  <c r="Y465" i="23"/>
  <c r="AB465" i="23" s="1"/>
  <c r="AD465" i="23" s="1"/>
  <c r="W465" i="23" s="1"/>
  <c r="Y114" i="23"/>
  <c r="AB114" i="23" s="1"/>
  <c r="AD114" i="23" s="1"/>
  <c r="Y199" i="23"/>
  <c r="AB199" i="23" s="1"/>
  <c r="AD199" i="23" s="1"/>
  <c r="Y267" i="23"/>
  <c r="AB267" i="23" s="1"/>
  <c r="AD267" i="23" s="1"/>
  <c r="Y274" i="23"/>
  <c r="AB274" i="23" s="1"/>
  <c r="AD274" i="23" s="1"/>
  <c r="Y196" i="23"/>
  <c r="AB196" i="23" s="1"/>
  <c r="AD196" i="23" s="1"/>
  <c r="Y142" i="23"/>
  <c r="AB142" i="23" s="1"/>
  <c r="AD142" i="23" s="1"/>
  <c r="Y513" i="23"/>
  <c r="AB513" i="23" s="1"/>
  <c r="AD513" i="23" s="1"/>
  <c r="W513" i="23" s="1"/>
  <c r="Y512" i="23"/>
  <c r="AB512" i="23" s="1"/>
  <c r="AD512" i="23" s="1"/>
  <c r="W512" i="23" s="1"/>
  <c r="Y476" i="23"/>
  <c r="AB476" i="23" s="1"/>
  <c r="AD476" i="23" s="1"/>
  <c r="W476" i="23" s="1"/>
  <c r="Y291" i="23"/>
  <c r="AB291" i="23" s="1"/>
  <c r="AD291" i="23" s="1"/>
  <c r="W291" i="23" s="1"/>
  <c r="Y139" i="23"/>
  <c r="AB139" i="23" s="1"/>
  <c r="AD139" i="23" s="1"/>
  <c r="Y222" i="23"/>
  <c r="AB222" i="23" s="1"/>
  <c r="AD222" i="23" s="1"/>
  <c r="Y288" i="23"/>
  <c r="AB288" i="23" s="1"/>
  <c r="AD288" i="23" s="1"/>
  <c r="Y208" i="23"/>
  <c r="AB208" i="23" s="1"/>
  <c r="AD208" i="23" s="1"/>
  <c r="Y82" i="23"/>
  <c r="AB82" i="23" s="1"/>
  <c r="AD82" i="23" s="1"/>
  <c r="Y327" i="23"/>
  <c r="AB327" i="23" s="1"/>
  <c r="AD327" i="23" s="1"/>
  <c r="W327" i="23" s="1"/>
  <c r="Y431" i="23"/>
  <c r="AB431" i="23" s="1"/>
  <c r="AD431" i="23" s="1"/>
  <c r="W431" i="23" s="1"/>
  <c r="Y200" i="23"/>
  <c r="AB200" i="23" s="1"/>
  <c r="AD200" i="23" s="1"/>
  <c r="Y263" i="23"/>
  <c r="AB263" i="23" s="1"/>
  <c r="AD263" i="23" s="1"/>
  <c r="Y235" i="23"/>
  <c r="AB235" i="23" s="1"/>
  <c r="AD235" i="23" s="1"/>
  <c r="Y36" i="23"/>
  <c r="AB36" i="23" s="1"/>
  <c r="AD36" i="23" s="1"/>
  <c r="Y371" i="23"/>
  <c r="AB371" i="23" s="1"/>
  <c r="AD371" i="23" s="1"/>
  <c r="W371" i="23" s="1"/>
  <c r="Y432" i="23"/>
  <c r="AB432" i="23" s="1"/>
  <c r="AD432" i="23" s="1"/>
  <c r="W432" i="23" s="1"/>
  <c r="Y542" i="23"/>
  <c r="AB542" i="23" s="1"/>
  <c r="AD542" i="23" s="1"/>
  <c r="W542" i="23" s="1"/>
  <c r="Y223" i="23"/>
  <c r="AB223" i="23" s="1"/>
  <c r="AD223" i="23" s="1"/>
  <c r="Y468" i="23"/>
  <c r="AB468" i="23" s="1"/>
  <c r="AD468" i="23" s="1"/>
  <c r="W468" i="23" s="1"/>
  <c r="Y66" i="23"/>
  <c r="AB66" i="23" s="1"/>
  <c r="AD66" i="23" s="1"/>
  <c r="Y220" i="23"/>
  <c r="AB220" i="23" s="1"/>
  <c r="AD220" i="23" s="1"/>
  <c r="Y162" i="23"/>
  <c r="AB162" i="23" s="1"/>
  <c r="AD162" i="23" s="1"/>
  <c r="Y76" i="23"/>
  <c r="AB76" i="23" s="1"/>
  <c r="AD76" i="23" s="1"/>
  <c r="Y407" i="23"/>
  <c r="AB407" i="23" s="1"/>
  <c r="AD407" i="23" s="1"/>
  <c r="W407" i="23" s="1"/>
  <c r="Y429" i="23"/>
  <c r="AB429" i="23" s="1"/>
  <c r="AD429" i="23" s="1"/>
  <c r="W429" i="23" s="1"/>
  <c r="Y212" i="23"/>
  <c r="AB212" i="23" s="1"/>
  <c r="AD212" i="23" s="1"/>
  <c r="Y232" i="23"/>
  <c r="AB232" i="23" s="1"/>
  <c r="AD232" i="23" s="1"/>
  <c r="Y475" i="23"/>
  <c r="AB475" i="23" s="1"/>
  <c r="AD475" i="23" s="1"/>
  <c r="W475" i="23" s="1"/>
  <c r="Y555" i="23"/>
  <c r="AB555" i="23" s="1"/>
  <c r="AD555" i="23" s="1"/>
  <c r="W555" i="23" s="1"/>
  <c r="Y164" i="23"/>
  <c r="AB164" i="23" s="1"/>
  <c r="AD164" i="23" s="1"/>
  <c r="Y286" i="23"/>
  <c r="AB286" i="23" s="1"/>
  <c r="AD286" i="23" s="1"/>
  <c r="Y234" i="23"/>
  <c r="AB234" i="23" s="1"/>
  <c r="AD234" i="23" s="1"/>
  <c r="Y339" i="23"/>
  <c r="AB339" i="23" s="1"/>
  <c r="AD339" i="23" s="1"/>
  <c r="W339" i="23" s="1"/>
  <c r="Y97" i="23"/>
  <c r="AB97" i="23" s="1"/>
  <c r="AD97" i="23" s="1"/>
  <c r="Y498" i="23"/>
  <c r="AB498" i="23" s="1"/>
  <c r="AD498" i="23" s="1"/>
  <c r="W498" i="23" s="1"/>
  <c r="Y575" i="23"/>
  <c r="AB575" i="23" s="1"/>
  <c r="AD575" i="23" s="1"/>
  <c r="W575" i="23" s="1"/>
  <c r="Y521" i="23"/>
  <c r="AB521" i="23" s="1"/>
  <c r="AD521" i="23" s="1"/>
  <c r="W521" i="23" s="1"/>
  <c r="Y309" i="23"/>
  <c r="AB309" i="23" s="1"/>
  <c r="AD309" i="23" s="1"/>
  <c r="W309" i="23" s="1"/>
  <c r="Y277" i="23"/>
  <c r="AB277" i="23" s="1"/>
  <c r="AD277" i="23" s="1"/>
  <c r="Y253" i="23"/>
  <c r="AB253" i="23" s="1"/>
  <c r="AD253" i="23" s="1"/>
  <c r="Y35" i="23"/>
  <c r="AB35" i="23" s="1"/>
  <c r="AD35" i="23" s="1"/>
  <c r="Y182" i="23"/>
  <c r="AB182" i="23" s="1"/>
  <c r="AD182" i="23" s="1"/>
  <c r="Y377" i="23"/>
  <c r="AB377" i="23" s="1"/>
  <c r="AD377" i="23" s="1"/>
  <c r="W377" i="23" s="1"/>
  <c r="Y455" i="23"/>
  <c r="AB455" i="23" s="1"/>
  <c r="AD455" i="23" s="1"/>
  <c r="W455" i="23" s="1"/>
  <c r="Y321" i="23"/>
  <c r="AB321" i="23" s="1"/>
  <c r="AD321" i="23" s="1"/>
  <c r="W321" i="23" s="1"/>
  <c r="Y511" i="23"/>
  <c r="AB511" i="23" s="1"/>
  <c r="AD511" i="23" s="1"/>
  <c r="W511" i="23" s="1"/>
  <c r="Y524" i="23"/>
  <c r="AB524" i="23" s="1"/>
  <c r="AD524" i="23" s="1"/>
  <c r="W524" i="23" s="1"/>
  <c r="Y99" i="23"/>
  <c r="AB99" i="23" s="1"/>
  <c r="AD99" i="23" s="1"/>
  <c r="Y449" i="23"/>
  <c r="AB449" i="23" s="1"/>
  <c r="AD449" i="23" s="1"/>
  <c r="W449" i="23" s="1"/>
  <c r="Y518" i="23"/>
  <c r="AB518" i="23" s="1"/>
  <c r="AD518" i="23" s="1"/>
  <c r="W518" i="23" s="1"/>
  <c r="Y464" i="23"/>
  <c r="AB464" i="23" s="1"/>
  <c r="AD464" i="23" s="1"/>
  <c r="W464" i="23" s="1"/>
  <c r="Y478" i="23"/>
  <c r="AB478" i="23" s="1"/>
  <c r="AD478" i="23" s="1"/>
  <c r="W478" i="23" s="1"/>
  <c r="Y422" i="23"/>
  <c r="AB422" i="23" s="1"/>
  <c r="AD422" i="23" s="1"/>
  <c r="W422" i="23" s="1"/>
  <c r="Y292" i="23"/>
  <c r="AB292" i="23" s="1"/>
  <c r="AD292" i="23" s="1"/>
  <c r="W292" i="23" s="1"/>
  <c r="Y408" i="23"/>
  <c r="AB408" i="23" s="1"/>
  <c r="AD408" i="23" s="1"/>
  <c r="W408" i="23" s="1"/>
  <c r="Y584" i="23"/>
  <c r="AB584" i="23" s="1"/>
  <c r="AD584" i="23" s="1"/>
  <c r="W584" i="23" s="1"/>
  <c r="Y117" i="23"/>
  <c r="AB117" i="23" s="1"/>
  <c r="AD117" i="23" s="1"/>
  <c r="Y123" i="23"/>
  <c r="AB123" i="23" s="1"/>
  <c r="AD123" i="23" s="1"/>
  <c r="Y343" i="23"/>
  <c r="AB343" i="23" s="1"/>
  <c r="AD343" i="23" s="1"/>
  <c r="W343" i="23" s="1"/>
  <c r="Y31" i="23"/>
  <c r="AB31" i="23" s="1"/>
  <c r="AD31" i="23" s="1"/>
  <c r="Y490" i="23"/>
  <c r="AB490" i="23" s="1"/>
  <c r="AD490" i="23" s="1"/>
  <c r="W490" i="23" s="1"/>
  <c r="Y395" i="23"/>
  <c r="AB395" i="23" s="1"/>
  <c r="AD395" i="23" s="1"/>
  <c r="W395" i="23" s="1"/>
  <c r="Y140" i="23"/>
  <c r="AB140" i="23" s="1"/>
  <c r="AD140" i="23" s="1"/>
  <c r="Y376" i="23"/>
  <c r="AB376" i="23" s="1"/>
  <c r="AD376" i="23" s="1"/>
  <c r="W376" i="23" s="1"/>
  <c r="Y180" i="23"/>
  <c r="AB180" i="23" s="1"/>
  <c r="AD180" i="23" s="1"/>
  <c r="Y204" i="23"/>
  <c r="AB204" i="23" s="1"/>
  <c r="AD204" i="23" s="1"/>
  <c r="Y549" i="23"/>
  <c r="AB549" i="23" s="1"/>
  <c r="AD549" i="23" s="1"/>
  <c r="W549" i="23" s="1"/>
  <c r="Y176" i="23"/>
  <c r="AB176" i="23" s="1"/>
  <c r="AD176" i="23" s="1"/>
  <c r="Y474" i="23"/>
  <c r="AB474" i="23" s="1"/>
  <c r="AD474" i="23" s="1"/>
  <c r="W474" i="23" s="1"/>
  <c r="Y466" i="23"/>
  <c r="AB466" i="23" s="1"/>
  <c r="AD466" i="23" s="1"/>
  <c r="W466" i="23" s="1"/>
  <c r="Y315" i="23"/>
  <c r="AB315" i="23" s="1"/>
  <c r="AD315" i="23" s="1"/>
  <c r="W315" i="23" s="1"/>
  <c r="Y479" i="23"/>
  <c r="AB479" i="23" s="1"/>
  <c r="AD479" i="23" s="1"/>
  <c r="W479" i="23" s="1"/>
  <c r="Y548" i="23"/>
  <c r="AB548" i="23" s="1"/>
  <c r="AD548" i="23" s="1"/>
  <c r="W548" i="23" s="1"/>
  <c r="Y552" i="23"/>
  <c r="AB552" i="23" s="1"/>
  <c r="AD552" i="23" s="1"/>
  <c r="W552" i="23" s="1"/>
  <c r="Y360" i="23"/>
  <c r="AB360" i="23" s="1"/>
  <c r="AD360" i="23" s="1"/>
  <c r="W360" i="23" s="1"/>
  <c r="Y287" i="23"/>
  <c r="AB287" i="23" s="1"/>
  <c r="AD287" i="23" s="1"/>
  <c r="Y283" i="23"/>
  <c r="AB283" i="23" s="1"/>
  <c r="AD283" i="23" s="1"/>
  <c r="Y65" i="23"/>
  <c r="AB65" i="23" s="1"/>
  <c r="AD65" i="23" s="1"/>
  <c r="Y241" i="23"/>
  <c r="AB241" i="23" s="1"/>
  <c r="AD241" i="23" s="1"/>
  <c r="Y317" i="23"/>
  <c r="AB317" i="23" s="1"/>
  <c r="AD317" i="23" s="1"/>
  <c r="W317" i="23" s="1"/>
  <c r="Y40" i="23"/>
  <c r="AB40" i="23" s="1"/>
  <c r="AD40" i="23" s="1"/>
  <c r="Y256" i="23"/>
  <c r="AB256" i="23" s="1"/>
  <c r="AD256" i="23" s="1"/>
  <c r="Y435" i="23"/>
  <c r="AB435" i="23" s="1"/>
  <c r="AD435" i="23" s="1"/>
  <c r="W435" i="23" s="1"/>
  <c r="Y78" i="23"/>
  <c r="AB78" i="23" s="1"/>
  <c r="AD78" i="23" s="1"/>
  <c r="Y388" i="23"/>
  <c r="AB388" i="23" s="1"/>
  <c r="AD388" i="23" s="1"/>
  <c r="W388" i="23" s="1"/>
  <c r="Y101" i="23"/>
  <c r="AB101" i="23" s="1"/>
  <c r="AD101" i="23" s="1"/>
  <c r="Y505" i="23"/>
  <c r="AB505" i="23" s="1"/>
  <c r="AD505" i="23" s="1"/>
  <c r="W505" i="23" s="1"/>
  <c r="Y562" i="23"/>
  <c r="AB562" i="23" s="1"/>
  <c r="AD562" i="23" s="1"/>
  <c r="W562" i="23" s="1"/>
  <c r="Y574" i="23"/>
  <c r="AB574" i="23" s="1"/>
  <c r="AD574" i="23" s="1"/>
  <c r="W574" i="23" s="1"/>
  <c r="Y413" i="23"/>
  <c r="AB413" i="23" s="1"/>
  <c r="AD413" i="23" s="1"/>
  <c r="W413" i="23" s="1"/>
  <c r="Y50" i="23"/>
  <c r="AB50" i="23" s="1"/>
  <c r="AD50" i="23" s="1"/>
  <c r="Y74" i="23"/>
  <c r="AB74" i="23" s="1"/>
  <c r="AD74" i="23" s="1"/>
  <c r="Y382" i="23"/>
  <c r="AB382" i="23" s="1"/>
  <c r="AD382" i="23" s="1"/>
  <c r="W382" i="23" s="1"/>
  <c r="Y258" i="23"/>
  <c r="AB258" i="23" s="1"/>
  <c r="AD258" i="23" s="1"/>
  <c r="Y29" i="23"/>
  <c r="AB29" i="23" s="1"/>
  <c r="AD29" i="23" s="1"/>
  <c r="Y85" i="23"/>
  <c r="AB85" i="23" s="1"/>
  <c r="AD85" i="23" s="1"/>
  <c r="Y194" i="23"/>
  <c r="AB194" i="23" s="1"/>
  <c r="AD194" i="23" s="1"/>
  <c r="Y32" i="23"/>
  <c r="AB32" i="23" s="1"/>
  <c r="AD32" i="23" s="1"/>
  <c r="Y322" i="23"/>
  <c r="AB322" i="23" s="1"/>
  <c r="AD322" i="23" s="1"/>
  <c r="W322" i="23" s="1"/>
  <c r="Y154" i="23"/>
  <c r="AB154" i="23" s="1"/>
  <c r="AD154" i="23" s="1"/>
  <c r="Y428" i="23"/>
  <c r="AB428" i="23" s="1"/>
  <c r="AD428" i="23" s="1"/>
  <c r="W428" i="23" s="1"/>
  <c r="Y269" i="23"/>
  <c r="AB269" i="23" s="1"/>
  <c r="AD269" i="23" s="1"/>
  <c r="Y221" i="23"/>
  <c r="AB221" i="23" s="1"/>
  <c r="AD221" i="23" s="1"/>
  <c r="Y406" i="23"/>
  <c r="AB406" i="23" s="1"/>
  <c r="AD406" i="23" s="1"/>
  <c r="W406" i="23" s="1"/>
  <c r="Y55" i="23"/>
  <c r="AB55" i="23" s="1"/>
  <c r="AD55" i="23" s="1"/>
  <c r="Y540" i="23"/>
  <c r="AB540" i="23" s="1"/>
  <c r="AD540" i="23" s="1"/>
  <c r="W540" i="23" s="1"/>
  <c r="Y421" i="23"/>
  <c r="AB421" i="23" s="1"/>
  <c r="AD421" i="23" s="1"/>
  <c r="W421" i="23" s="1"/>
  <c r="Y558" i="23"/>
  <c r="AB558" i="23" s="1"/>
  <c r="AD558" i="23" s="1"/>
  <c r="W558" i="23" s="1"/>
  <c r="Y440" i="23"/>
  <c r="AB440" i="23" s="1"/>
  <c r="AD440" i="23" s="1"/>
  <c r="W440" i="23" s="1"/>
  <c r="Y387" i="23"/>
  <c r="AB387" i="23" s="1"/>
  <c r="AD387" i="23" s="1"/>
  <c r="W387" i="23" s="1"/>
  <c r="Y437" i="23"/>
  <c r="AB437" i="23" s="1"/>
  <c r="AD437" i="23" s="1"/>
  <c r="W437" i="23" s="1"/>
  <c r="Y10" i="23"/>
  <c r="AB10" i="23" s="1"/>
  <c r="AD10" i="23" s="1"/>
  <c r="Y438" i="23"/>
  <c r="AB438" i="23" s="1"/>
  <c r="AD438" i="23" s="1"/>
  <c r="W438" i="23" s="1"/>
  <c r="Y452" i="23"/>
  <c r="AB452" i="23" s="1"/>
  <c r="AD452" i="23" s="1"/>
  <c r="W452" i="23" s="1"/>
  <c r="Y273" i="23"/>
  <c r="AB273" i="23" s="1"/>
  <c r="AD273" i="23" s="1"/>
  <c r="Y319" i="23"/>
  <c r="AB319" i="23" s="1"/>
  <c r="AD319" i="23" s="1"/>
  <c r="W319" i="23" s="1"/>
  <c r="Y265" i="23"/>
  <c r="AB265" i="23" s="1"/>
  <c r="AD265" i="23" s="1"/>
  <c r="Y169" i="23"/>
  <c r="AB169" i="23" s="1"/>
  <c r="AD169" i="23" s="1"/>
  <c r="Y493" i="23"/>
  <c r="AB493" i="23" s="1"/>
  <c r="AD493" i="23" s="1"/>
  <c r="W493" i="23" s="1"/>
  <c r="Y38" i="23"/>
  <c r="AB38" i="23" s="1"/>
  <c r="AD38" i="23" s="1"/>
  <c r="Y573" i="23"/>
  <c r="AB573" i="23" s="1"/>
  <c r="AD573" i="23" s="1"/>
  <c r="W573" i="23" s="1"/>
  <c r="Y219" i="23"/>
  <c r="AB219" i="23" s="1"/>
  <c r="AD219" i="23" s="1"/>
  <c r="Y243" i="23"/>
  <c r="AB243" i="23" s="1"/>
  <c r="AD243" i="23" s="1"/>
  <c r="Y217" i="23"/>
  <c r="AB217" i="23" s="1"/>
  <c r="AD217" i="23" s="1"/>
  <c r="Y127" i="23"/>
  <c r="AB127" i="23" s="1"/>
  <c r="AD127" i="23" s="1"/>
  <c r="Y508" i="23"/>
  <c r="AB508" i="23" s="1"/>
  <c r="AD508" i="23" s="1"/>
  <c r="W508" i="23" s="1"/>
  <c r="Y443" i="23"/>
  <c r="AB443" i="23" s="1"/>
  <c r="AD443" i="23" s="1"/>
  <c r="W443" i="23" s="1"/>
  <c r="Y144" i="23"/>
  <c r="AB144" i="23" s="1"/>
  <c r="AD144" i="23" s="1"/>
  <c r="Y567" i="23"/>
  <c r="AB567" i="23" s="1"/>
  <c r="AD567" i="23" s="1"/>
  <c r="W567" i="23" s="1"/>
  <c r="Y271" i="23"/>
  <c r="AB271" i="23" s="1"/>
  <c r="AD271" i="23" s="1"/>
  <c r="Y502" i="23"/>
  <c r="AB502" i="23" s="1"/>
  <c r="AD502" i="23" s="1"/>
  <c r="W502" i="23" s="1"/>
  <c r="Y268" i="23"/>
  <c r="AB268" i="23" s="1"/>
  <c r="AD268" i="23" s="1"/>
  <c r="Y18" i="23"/>
  <c r="AB18" i="23" s="1"/>
  <c r="AD18" i="23" s="1"/>
  <c r="Y561" i="23"/>
  <c r="AB561" i="23" s="1"/>
  <c r="AD561" i="23" s="1"/>
  <c r="W561" i="23" s="1"/>
  <c r="Y492" i="23"/>
  <c r="AB492" i="23" s="1"/>
  <c r="AD492" i="23" s="1"/>
  <c r="W492" i="23" s="1"/>
  <c r="Y51" i="23"/>
  <c r="AB51" i="23" s="1"/>
  <c r="AD51" i="23" s="1"/>
  <c r="Y359" i="23"/>
  <c r="AB359" i="23" s="1"/>
  <c r="AD359" i="23" s="1"/>
  <c r="W359" i="23" s="1"/>
  <c r="Y423" i="23"/>
  <c r="AB423" i="23" s="1"/>
  <c r="AD423" i="23" s="1"/>
  <c r="W423" i="23" s="1"/>
  <c r="Y374" i="23"/>
  <c r="AB374" i="23" s="1"/>
  <c r="AD374" i="23" s="1"/>
  <c r="W374" i="23" s="1"/>
  <c r="Y266" i="23"/>
  <c r="AB266" i="23" s="1"/>
  <c r="AD266" i="23" s="1"/>
  <c r="Y148" i="23"/>
  <c r="AB148" i="23" s="1"/>
  <c r="AD148" i="23" s="1"/>
  <c r="Y155" i="23"/>
  <c r="AB155" i="23" s="1"/>
  <c r="AD155" i="23" s="1"/>
  <c r="Y109" i="23"/>
  <c r="AB109" i="23" s="1"/>
  <c r="AD109" i="23" s="1"/>
  <c r="Y565" i="23"/>
  <c r="AB565" i="23" s="1"/>
  <c r="AD565" i="23" s="1"/>
  <c r="W565" i="23" s="1"/>
  <c r="Y456" i="23"/>
  <c r="AB456" i="23" s="1"/>
  <c r="AD456" i="23" s="1"/>
  <c r="W456" i="23" s="1"/>
  <c r="Y24" i="23"/>
  <c r="AB24" i="23" s="1"/>
  <c r="AD24" i="23" s="1"/>
  <c r="Y171" i="23"/>
  <c r="AB171" i="23" s="1"/>
  <c r="AD171" i="23" s="1"/>
  <c r="Y137" i="23"/>
  <c r="AB137" i="23" s="1"/>
  <c r="AD137" i="23" s="1"/>
  <c r="Y247" i="23"/>
  <c r="AB247" i="23" s="1"/>
  <c r="AD247" i="23" s="1"/>
  <c r="Y17" i="23"/>
  <c r="AB17" i="23" s="1"/>
  <c r="AD17" i="23" s="1"/>
  <c r="Y190" i="23"/>
  <c r="AB190" i="23" s="1"/>
  <c r="AD190" i="23" s="1"/>
  <c r="Y483" i="23"/>
  <c r="AB483" i="23" s="1"/>
  <c r="AD483" i="23" s="1"/>
  <c r="W483" i="23" s="1"/>
  <c r="Y279" i="23"/>
  <c r="AB279" i="23" s="1"/>
  <c r="AD279" i="23" s="1"/>
  <c r="Y560" i="23"/>
  <c r="AB560" i="23" s="1"/>
  <c r="AD560" i="23" s="1"/>
  <c r="W560" i="23" s="1"/>
  <c r="Y153" i="23"/>
  <c r="AB153" i="23" s="1"/>
  <c r="AD153" i="23" s="1"/>
  <c r="Y239" i="23"/>
  <c r="AB239" i="23" s="1"/>
  <c r="AD239" i="23" s="1"/>
  <c r="Y159" i="23"/>
  <c r="AB159" i="23" s="1"/>
  <c r="AD159" i="23" s="1"/>
  <c r="Y115" i="23"/>
  <c r="AB115" i="23" s="1"/>
  <c r="AD115" i="23" s="1"/>
  <c r="Y7" i="23"/>
  <c r="AB7" i="23" s="1"/>
  <c r="AD7" i="23" s="1"/>
  <c r="Y236" i="23"/>
  <c r="AB236" i="23" s="1"/>
  <c r="AD236" i="23" s="1"/>
  <c r="Y156" i="23"/>
  <c r="AB156" i="23" s="1"/>
  <c r="AD156" i="23" s="1"/>
  <c r="Y250" i="23"/>
  <c r="AB250" i="23" s="1"/>
  <c r="AD250" i="23" s="1"/>
  <c r="Y386" i="23"/>
  <c r="AB386" i="23" s="1"/>
  <c r="AD386" i="23" s="1"/>
  <c r="W386" i="23" s="1"/>
  <c r="Y393" i="23"/>
  <c r="AB393" i="23" s="1"/>
  <c r="AD393" i="23" s="1"/>
  <c r="W393" i="23" s="1"/>
  <c r="Y186" i="23"/>
  <c r="AB186" i="23" s="1"/>
  <c r="AD186" i="23" s="1"/>
  <c r="Y83" i="23"/>
  <c r="AB83" i="23" s="1"/>
  <c r="AD83" i="23" s="1"/>
  <c r="Y347" i="23"/>
  <c r="AB347" i="23" s="1"/>
  <c r="AD347" i="23" s="1"/>
  <c r="W347" i="23" s="1"/>
  <c r="Y161" i="23"/>
  <c r="AB161" i="23" s="1"/>
  <c r="AD161" i="23" s="1"/>
  <c r="Y30" i="23"/>
  <c r="AB30" i="23" s="1"/>
  <c r="AD30" i="23" s="1"/>
  <c r="Y46" i="23"/>
  <c r="AB46" i="23" s="1"/>
  <c r="AD46" i="23" s="1"/>
  <c r="Y384" i="23"/>
  <c r="AB384" i="23" s="1"/>
  <c r="AD384" i="23" s="1"/>
  <c r="W384" i="23" s="1"/>
  <c r="Y506" i="23"/>
  <c r="AB506" i="23" s="1"/>
  <c r="AD506" i="23" s="1"/>
  <c r="W506" i="23" s="1"/>
  <c r="Y25" i="23"/>
  <c r="AB25" i="23" s="1"/>
  <c r="AD25" i="23" s="1"/>
  <c r="Y550" i="23"/>
  <c r="AB550" i="23" s="1"/>
  <c r="AD550" i="23" s="1"/>
  <c r="W550" i="23" s="1"/>
  <c r="Y342" i="23"/>
  <c r="AB342" i="23" s="1"/>
  <c r="AD342" i="23" s="1"/>
  <c r="W342" i="23" s="1"/>
  <c r="Y336" i="23"/>
  <c r="AB336" i="23" s="1"/>
  <c r="AD336" i="23" s="1"/>
  <c r="W336" i="23" s="1"/>
  <c r="Y141" i="23"/>
  <c r="AB141" i="23" s="1"/>
  <c r="AD141" i="23" s="1"/>
  <c r="Y47" i="23"/>
  <c r="AB47" i="23" s="1"/>
  <c r="AD47" i="23" s="1"/>
  <c r="Y181" i="23"/>
  <c r="AB181" i="23" s="1"/>
  <c r="AD181" i="23" s="1"/>
  <c r="Y356" i="23"/>
  <c r="AB356" i="23" s="1"/>
  <c r="AD356" i="23" s="1"/>
  <c r="W356" i="23" s="1"/>
  <c r="Y233" i="23"/>
  <c r="AB233" i="23" s="1"/>
  <c r="AD233" i="23" s="1"/>
  <c r="Y564" i="23"/>
  <c r="AB564" i="23" s="1"/>
  <c r="AD564" i="23" s="1"/>
  <c r="W564" i="23" s="1"/>
  <c r="Y42" i="23"/>
  <c r="AB42" i="23" s="1"/>
  <c r="AD42" i="23" s="1"/>
  <c r="Y149" i="23"/>
  <c r="AB149" i="23" s="1"/>
  <c r="AD149" i="23" s="1"/>
  <c r="Y49" i="23"/>
  <c r="AB49" i="23" s="1"/>
  <c r="AD49" i="23" s="1"/>
  <c r="Y369" i="23"/>
  <c r="AB369" i="23" s="1"/>
  <c r="AD369" i="23" s="1"/>
  <c r="W369" i="23" s="1"/>
  <c r="Y100" i="23"/>
  <c r="AB100" i="23" s="1"/>
  <c r="AD100" i="23" s="1"/>
  <c r="Y132" i="23"/>
  <c r="AB132" i="23" s="1"/>
  <c r="AD132" i="23" s="1"/>
  <c r="Y312" i="23"/>
  <c r="AB312" i="23" s="1"/>
  <c r="AD312" i="23" s="1"/>
  <c r="W312" i="23" s="1"/>
  <c r="Y480" i="23"/>
  <c r="AB480" i="23" s="1"/>
  <c r="AD480" i="23" s="1"/>
  <c r="W480" i="23" s="1"/>
  <c r="Y569" i="23"/>
  <c r="AB569" i="23" s="1"/>
  <c r="AD569" i="23" s="1"/>
  <c r="W569" i="23" s="1"/>
  <c r="Y497" i="23"/>
  <c r="AB497" i="23" s="1"/>
  <c r="AD497" i="23" s="1"/>
  <c r="W497" i="23" s="1"/>
  <c r="Y71" i="23"/>
  <c r="AB71" i="23" s="1"/>
  <c r="AD71" i="23" s="1"/>
  <c r="Y188" i="23"/>
  <c r="AB188" i="23" s="1"/>
  <c r="AD188" i="23" s="1"/>
  <c r="Y178" i="23"/>
  <c r="AB178" i="23" s="1"/>
  <c r="AD178" i="23" s="1"/>
  <c r="Y103" i="23"/>
  <c r="AB103" i="23" s="1"/>
  <c r="AD103" i="23" s="1"/>
  <c r="Y486" i="23"/>
  <c r="AB486" i="23" s="1"/>
  <c r="AD486" i="23" s="1"/>
  <c r="W486" i="23" s="1"/>
  <c r="Y514" i="23"/>
  <c r="AB514" i="23" s="1"/>
  <c r="AD514" i="23" s="1"/>
  <c r="W514" i="23" s="1"/>
  <c r="Y8" i="23"/>
  <c r="AB8" i="23" s="1"/>
  <c r="AD8" i="23" s="1"/>
  <c r="Y72" i="23"/>
  <c r="AB72" i="23" s="1"/>
  <c r="AD72" i="23" s="1"/>
  <c r="Y434" i="23"/>
  <c r="AB434" i="23" s="1"/>
  <c r="AD434" i="23" s="1"/>
  <c r="W434" i="23" s="1"/>
  <c r="Y430" i="23"/>
  <c r="AB430" i="23" s="1"/>
  <c r="AD430" i="23" s="1"/>
  <c r="W430" i="23" s="1"/>
  <c r="Y538" i="23"/>
  <c r="AB538" i="23" s="1"/>
  <c r="AD538" i="23" s="1"/>
  <c r="W538" i="23" s="1"/>
  <c r="Y107" i="23"/>
  <c r="AB107" i="23" s="1"/>
  <c r="AD107" i="23" s="1"/>
  <c r="Y457" i="23"/>
  <c r="AB457" i="23" s="1"/>
  <c r="AD457" i="23" s="1"/>
  <c r="W457" i="23" s="1"/>
  <c r="Y275" i="23"/>
  <c r="AB275" i="23" s="1"/>
  <c r="AD275" i="23" s="1"/>
  <c r="Y104" i="23"/>
  <c r="AB104" i="23" s="1"/>
  <c r="AD104" i="23" s="1"/>
  <c r="Y510" i="23"/>
  <c r="AB510" i="23" s="1"/>
  <c r="AD510" i="23" s="1"/>
  <c r="W510" i="23" s="1"/>
  <c r="Y404" i="23"/>
  <c r="AB404" i="23" s="1"/>
  <c r="AD404" i="23" s="1"/>
  <c r="W404" i="23" s="1"/>
  <c r="Y121" i="23"/>
  <c r="AB121" i="23" s="1"/>
  <c r="AD121" i="23" s="1"/>
  <c r="Y383" i="23"/>
  <c r="AB383" i="23" s="1"/>
  <c r="AD383" i="23" s="1"/>
  <c r="W383" i="23" s="1"/>
  <c r="Y28" i="23"/>
  <c r="AB28" i="23" s="1"/>
  <c r="AD28" i="23" s="1"/>
  <c r="Y350" i="23"/>
  <c r="AB350" i="23" s="1"/>
  <c r="AD350" i="23" s="1"/>
  <c r="W350" i="23" s="1"/>
  <c r="Y534" i="23"/>
  <c r="AB534" i="23" s="1"/>
  <c r="AD534" i="23" s="1"/>
  <c r="W534" i="23" s="1"/>
  <c r="Y533" i="23"/>
  <c r="AB533" i="23" s="1"/>
  <c r="AD533" i="23" s="1"/>
  <c r="W533" i="23" s="1"/>
  <c r="Y124" i="23"/>
  <c r="AB124" i="23" s="1"/>
  <c r="AD124" i="23" s="1"/>
  <c r="Y231" i="23"/>
  <c r="AB231" i="23" s="1"/>
  <c r="AD231" i="23" s="1"/>
  <c r="Y358" i="23"/>
  <c r="AB358" i="23" s="1"/>
  <c r="AD358" i="23" s="1"/>
  <c r="W358" i="23" s="1"/>
  <c r="Y237" i="23"/>
  <c r="AB237" i="23" s="1"/>
  <c r="AD237" i="23" s="1"/>
  <c r="Y230" i="23"/>
  <c r="AB230" i="23" s="1"/>
  <c r="AD230" i="23" s="1"/>
  <c r="Y316" i="23"/>
  <c r="AB316" i="23" s="1"/>
  <c r="AD316" i="23" s="1"/>
  <c r="W316" i="23" s="1"/>
  <c r="Y487" i="23"/>
  <c r="AB487" i="23" s="1"/>
  <c r="AD487" i="23" s="1"/>
  <c r="W487" i="23" s="1"/>
  <c r="Y536" i="23"/>
  <c r="AB536" i="23" s="1"/>
  <c r="AD536" i="23" s="1"/>
  <c r="W536" i="23" s="1"/>
  <c r="Y5" i="23"/>
  <c r="AB5" i="23" s="1"/>
  <c r="AD5" i="23" s="1"/>
  <c r="Y306" i="23"/>
  <c r="AB306" i="23" s="1"/>
  <c r="AD306" i="23" s="1"/>
  <c r="W306" i="23" s="1"/>
  <c r="Y324" i="23"/>
  <c r="AB324" i="23" s="1"/>
  <c r="AD324" i="23" s="1"/>
  <c r="W324" i="23" s="1"/>
  <c r="Y509" i="23"/>
  <c r="AB509" i="23" s="1"/>
  <c r="AD509" i="23" s="1"/>
  <c r="W509" i="23" s="1"/>
  <c r="Y348" i="23"/>
  <c r="AB348" i="23" s="1"/>
  <c r="AD348" i="23" s="1"/>
  <c r="W348" i="23" s="1"/>
  <c r="Y444" i="23"/>
  <c r="AB444" i="23" s="1"/>
  <c r="AD444" i="23" s="1"/>
  <c r="W444" i="23" s="1"/>
  <c r="Y240" i="23"/>
  <c r="AB240" i="23" s="1"/>
  <c r="AD240" i="23" s="1"/>
  <c r="Y59" i="23"/>
  <c r="AB59" i="23" s="1"/>
  <c r="AD59" i="23" s="1"/>
  <c r="Y411" i="23"/>
  <c r="AB411" i="23" s="1"/>
  <c r="AD411" i="23" s="1"/>
  <c r="W411" i="23" s="1"/>
  <c r="Y252" i="23"/>
  <c r="AB252" i="23" s="1"/>
  <c r="AD252" i="23" s="1"/>
  <c r="Y525" i="23"/>
  <c r="AB525" i="23" s="1"/>
  <c r="AD525" i="23" s="1"/>
  <c r="W525" i="23" s="1"/>
  <c r="Y63" i="23"/>
  <c r="AB63" i="23" s="1"/>
  <c r="AD63" i="23" s="1"/>
  <c r="Y544" i="23"/>
  <c r="AB544" i="23" s="1"/>
  <c r="AD544" i="23" s="1"/>
  <c r="W544" i="23" s="1"/>
  <c r="Y299" i="23"/>
  <c r="AB299" i="23" s="1"/>
  <c r="AD299" i="23" s="1"/>
  <c r="W299" i="23" s="1"/>
  <c r="Y110" i="23"/>
  <c r="AB110" i="23" s="1"/>
  <c r="AD110" i="23" s="1"/>
  <c r="Y304" i="23"/>
  <c r="AB304" i="23" s="1"/>
  <c r="AD304" i="23" s="1"/>
  <c r="W304" i="23" s="1"/>
  <c r="Y262" i="23"/>
  <c r="AB262" i="23" s="1"/>
  <c r="AD262" i="23" s="1"/>
  <c r="Y135" i="23"/>
  <c r="AB135" i="23" s="1"/>
  <c r="AD135" i="23" s="1"/>
  <c r="Y209" i="23"/>
  <c r="AB209" i="23" s="1"/>
  <c r="AD209" i="23" s="1"/>
  <c r="Y461" i="23"/>
  <c r="AB461" i="23" s="1"/>
  <c r="AD461" i="23" s="1"/>
  <c r="W461" i="23" s="1"/>
  <c r="Y303" i="23"/>
  <c r="AB303" i="23" s="1"/>
  <c r="AD303" i="23" s="1"/>
  <c r="W303" i="23" s="1"/>
  <c r="Y257" i="23"/>
  <c r="AB257" i="23" s="1"/>
  <c r="AD257" i="23" s="1"/>
  <c r="Y415" i="23"/>
  <c r="AB415" i="23" s="1"/>
  <c r="AD415" i="23" s="1"/>
  <c r="W415" i="23" s="1"/>
  <c r="Y392" i="23"/>
  <c r="AB392" i="23" s="1"/>
  <c r="AD392" i="23" s="1"/>
  <c r="W392" i="23" s="1"/>
  <c r="Y92" i="23"/>
  <c r="AB92" i="23" s="1"/>
  <c r="AD92" i="23" s="1"/>
  <c r="Y216" i="23"/>
  <c r="AB216" i="23" s="1"/>
  <c r="AD216" i="23" s="1"/>
  <c r="Y111" i="23"/>
  <c r="AB111" i="23" s="1"/>
  <c r="AD111" i="23" s="1"/>
  <c r="Y27" i="23"/>
  <c r="AB27" i="23" s="1"/>
  <c r="AD27" i="23" s="1"/>
  <c r="Y577" i="23"/>
  <c r="AB577" i="23" s="1"/>
  <c r="AD577" i="23" s="1"/>
  <c r="W577" i="23" s="1"/>
  <c r="Y102" i="23"/>
  <c r="AB102" i="23" s="1"/>
  <c r="AD102" i="23" s="1"/>
  <c r="Y300" i="23"/>
  <c r="AB300" i="23" s="1"/>
  <c r="AD300" i="23" s="1"/>
  <c r="W300" i="23" s="1"/>
  <c r="Y494" i="23"/>
  <c r="AB494" i="23" s="1"/>
  <c r="AD494" i="23" s="1"/>
  <c r="W494" i="23" s="1"/>
  <c r="Y255" i="23"/>
  <c r="AB255" i="23" s="1"/>
  <c r="AD255" i="23" s="1"/>
  <c r="Y39" i="23"/>
  <c r="AB39" i="23" s="1"/>
  <c r="AD39" i="23" s="1"/>
  <c r="Y353" i="23"/>
  <c r="AB353" i="23" s="1"/>
  <c r="AD353" i="23" s="1"/>
  <c r="W353" i="23" s="1"/>
  <c r="Y527" i="23"/>
  <c r="AB527" i="23" s="1"/>
  <c r="AD527" i="23" s="1"/>
  <c r="W527" i="23" s="1"/>
  <c r="Y473" i="23"/>
  <c r="AB473" i="23" s="1"/>
  <c r="AD473" i="23" s="1"/>
  <c r="W473" i="23" s="1"/>
  <c r="Y179" i="23"/>
  <c r="AB179" i="23" s="1"/>
  <c r="AD179" i="23" s="1"/>
  <c r="Y248" i="23"/>
  <c r="AB248" i="23" s="1"/>
  <c r="AD248" i="23" s="1"/>
  <c r="Y64" i="23"/>
  <c r="AB64" i="23" s="1"/>
  <c r="AD64" i="23" s="1"/>
  <c r="Y441" i="23"/>
  <c r="AB441" i="23" s="1"/>
  <c r="AD441" i="23" s="1"/>
  <c r="W441" i="23" s="1"/>
  <c r="Y578" i="23"/>
  <c r="AB578" i="23" s="1"/>
  <c r="AD578" i="23" s="1"/>
  <c r="W578" i="23" s="1"/>
  <c r="Y254" i="23"/>
  <c r="AB254" i="23" s="1"/>
  <c r="AD254" i="23" s="1"/>
  <c r="Y14" i="23"/>
  <c r="AB14" i="23" s="1"/>
  <c r="AD14" i="23" s="1"/>
  <c r="Y228" i="23"/>
  <c r="AB228" i="23" s="1"/>
  <c r="AD228" i="23" s="1"/>
  <c r="Y195" i="23"/>
  <c r="AB195" i="23" s="1"/>
  <c r="AD195" i="23" s="1"/>
  <c r="Y424" i="23"/>
  <c r="AB424" i="23" s="1"/>
  <c r="AD424" i="23" s="1"/>
  <c r="W424" i="23" s="1"/>
  <c r="Y259" i="23"/>
  <c r="AB259" i="23" s="1"/>
  <c r="AD259" i="23" s="1"/>
  <c r="Y463" i="23"/>
  <c r="AB463" i="23" s="1"/>
  <c r="AD463" i="23" s="1"/>
  <c r="W463" i="23" s="1"/>
  <c r="Y402" i="23"/>
  <c r="AB402" i="23" s="1"/>
  <c r="AD402" i="23" s="1"/>
  <c r="W402" i="23" s="1"/>
  <c r="Y41" i="23"/>
  <c r="AB41" i="23" s="1"/>
  <c r="AD41" i="23" s="1"/>
  <c r="Y215" i="23"/>
  <c r="AB215" i="23" s="1"/>
  <c r="AD215" i="23" s="1"/>
  <c r="Y546" i="23"/>
  <c r="AB546" i="23" s="1"/>
  <c r="AD546" i="23" s="1"/>
  <c r="W546" i="23" s="1"/>
  <c r="Y133" i="23"/>
  <c r="AB133" i="23" s="1"/>
  <c r="AD133" i="23" s="1"/>
  <c r="Y335" i="23"/>
  <c r="AB335" i="23" s="1"/>
  <c r="AD335" i="23" s="1"/>
  <c r="W335" i="23" s="1"/>
  <c r="Y516" i="23"/>
  <c r="AB516" i="23" s="1"/>
  <c r="AD516" i="23" s="1"/>
  <c r="W516" i="23" s="1"/>
  <c r="Y585" i="23"/>
  <c r="AB585" i="23" s="1"/>
  <c r="AD585" i="23" s="1"/>
  <c r="W585" i="23" s="1"/>
  <c r="Y167" i="23"/>
  <c r="AB167" i="23" s="1"/>
  <c r="AD167" i="23" s="1"/>
  <c r="Y37" i="23"/>
  <c r="AB37" i="23" s="1"/>
  <c r="AD37" i="23" s="1"/>
  <c r="Y344" i="23"/>
  <c r="AB344" i="23" s="1"/>
  <c r="AD344" i="23" s="1"/>
  <c r="W344" i="23" s="1"/>
  <c r="Y260" i="23"/>
  <c r="AB260" i="23" s="1"/>
  <c r="AD260" i="23" s="1"/>
  <c r="Y214" i="23"/>
  <c r="AB214" i="23" s="1"/>
  <c r="AD214" i="23" s="1"/>
  <c r="Y106" i="23"/>
  <c r="AB106" i="23" s="1"/>
  <c r="AD106" i="23" s="1"/>
  <c r="Y290" i="23"/>
  <c r="AB290" i="23" s="1"/>
  <c r="AD290" i="23" s="1"/>
  <c r="Y400" i="23"/>
  <c r="AB400" i="23" s="1"/>
  <c r="AD400" i="23" s="1"/>
  <c r="W400" i="23" s="1"/>
  <c r="Y157" i="23"/>
  <c r="AB157" i="23" s="1"/>
  <c r="AD157" i="23" s="1"/>
  <c r="Y581" i="23"/>
  <c r="AB581" i="23" s="1"/>
  <c r="AD581" i="23" s="1"/>
  <c r="W581" i="23" s="1"/>
  <c r="Y329" i="23"/>
  <c r="AB329" i="23" s="1"/>
  <c r="AD329" i="23" s="1"/>
  <c r="W329" i="23" s="1"/>
  <c r="Y378" i="23"/>
  <c r="AB378" i="23" s="1"/>
  <c r="AD378" i="23" s="1"/>
  <c r="W378" i="23" s="1"/>
  <c r="Y470" i="23"/>
  <c r="AB470" i="23" s="1"/>
  <c r="AD470" i="23" s="1"/>
  <c r="W470" i="23" s="1"/>
  <c r="Y129" i="23"/>
  <c r="AB129" i="23" s="1"/>
  <c r="AD129" i="23" s="1"/>
  <c r="Y77" i="23"/>
  <c r="AB77" i="23" s="1"/>
  <c r="AD77" i="23" s="1"/>
  <c r="Y373" i="23"/>
  <c r="AB373" i="23" s="1"/>
  <c r="AD373" i="23" s="1"/>
  <c r="W373" i="23" s="1"/>
  <c r="Y43" i="23"/>
  <c r="AB43" i="23" s="1"/>
  <c r="AD43" i="23" s="1"/>
  <c r="Y588" i="23"/>
  <c r="AB588" i="23" s="1"/>
  <c r="AD588" i="23" s="1"/>
  <c r="W588" i="23" s="1"/>
  <c r="Y586" i="23"/>
  <c r="AB586" i="23" s="1"/>
  <c r="AD586" i="23" s="1"/>
  <c r="W586" i="23" s="1"/>
  <c r="Y48" i="23"/>
  <c r="AB48" i="23" s="1"/>
  <c r="AD48" i="23" s="1"/>
  <c r="Y177" i="23"/>
  <c r="AB177" i="23" s="1"/>
  <c r="AD177" i="23" s="1"/>
  <c r="Y418" i="23"/>
  <c r="AB418" i="23" s="1"/>
  <c r="AD418" i="23" s="1"/>
  <c r="W418" i="23" s="1"/>
  <c r="Y307" i="23"/>
  <c r="AB307" i="23" s="1"/>
  <c r="AD307" i="23" s="1"/>
  <c r="W307" i="23" s="1"/>
  <c r="Y191" i="23"/>
  <c r="AB191" i="23" s="1"/>
  <c r="AD191" i="23" s="1"/>
  <c r="Y445" i="23"/>
  <c r="AB445" i="23" s="1"/>
  <c r="AD445" i="23" s="1"/>
  <c r="W445" i="23" s="1"/>
  <c r="Y224" i="23"/>
  <c r="AB224" i="23" s="1"/>
  <c r="AD224" i="23" s="1"/>
  <c r="Y495" i="23"/>
  <c r="AB495" i="23" s="1"/>
  <c r="AD495" i="23" s="1"/>
  <c r="W495" i="23" s="1"/>
  <c r="Y119" i="23"/>
  <c r="AB119" i="23" s="1"/>
  <c r="AD119" i="23" s="1"/>
  <c r="Y79" i="23"/>
  <c r="AB79" i="23" s="1"/>
  <c r="AD79" i="23" s="1"/>
  <c r="Y417" i="23"/>
  <c r="AB417" i="23" s="1"/>
  <c r="AD417" i="23" s="1"/>
  <c r="W417" i="23" s="1"/>
  <c r="Y125" i="23"/>
  <c r="AB125" i="23" s="1"/>
  <c r="AD125" i="23" s="1"/>
  <c r="I264" i="80"/>
  <c r="I112" i="80"/>
  <c r="I221" i="80"/>
  <c r="I260" i="80"/>
  <c r="I50" i="80"/>
  <c r="T23" i="80"/>
  <c r="I190" i="80"/>
  <c r="I47" i="80"/>
  <c r="I286" i="80"/>
  <c r="T47" i="80"/>
  <c r="O161" i="80"/>
  <c r="O286" i="80"/>
  <c r="O285" i="80"/>
  <c r="I116" i="80"/>
  <c r="O47" i="80"/>
  <c r="O224" i="80"/>
  <c r="I147" i="80"/>
  <c r="I20" i="80"/>
  <c r="O124" i="80"/>
  <c r="T281" i="80"/>
  <c r="T215" i="80"/>
  <c r="I258" i="80"/>
  <c r="T90" i="80"/>
  <c r="T32" i="80"/>
  <c r="T209" i="80"/>
  <c r="O126" i="80"/>
  <c r="I213" i="80"/>
  <c r="I222" i="80"/>
  <c r="I105" i="80"/>
  <c r="I194" i="80"/>
  <c r="T178" i="80"/>
  <c r="T136" i="80"/>
  <c r="T171" i="80"/>
  <c r="O106" i="80"/>
  <c r="T153" i="80"/>
  <c r="O26" i="80"/>
  <c r="T57" i="80"/>
  <c r="O90" i="80"/>
  <c r="O32" i="80"/>
  <c r="O125" i="80"/>
  <c r="O192" i="80"/>
  <c r="O13" i="80"/>
  <c r="T197" i="80"/>
  <c r="O81" i="80"/>
  <c r="O279" i="80"/>
  <c r="O269" i="80"/>
  <c r="T248" i="80"/>
  <c r="T125" i="80"/>
  <c r="T106" i="80"/>
  <c r="T128" i="80"/>
  <c r="T192" i="80"/>
  <c r="T54" i="80"/>
  <c r="O97" i="80"/>
  <c r="O101" i="80"/>
  <c r="T21" i="80"/>
  <c r="T244" i="80"/>
  <c r="O91" i="80"/>
  <c r="O57" i="80"/>
  <c r="T229" i="80"/>
  <c r="O152" i="80"/>
  <c r="T166" i="80"/>
  <c r="T18" i="80"/>
  <c r="O149" i="80"/>
  <c r="T151" i="80"/>
  <c r="O18" i="80"/>
  <c r="I153" i="80"/>
  <c r="T91" i="80"/>
  <c r="O263" i="80"/>
  <c r="O164" i="80"/>
  <c r="O209" i="80"/>
  <c r="O23" i="80"/>
  <c r="T242" i="80"/>
  <c r="O163" i="80"/>
  <c r="O247" i="80"/>
  <c r="O42" i="80"/>
  <c r="O118" i="80"/>
  <c r="T115" i="80"/>
  <c r="T64" i="80"/>
  <c r="O148" i="80"/>
  <c r="O287" i="80"/>
  <c r="O197" i="80"/>
  <c r="I44" i="80"/>
  <c r="O205" i="80"/>
  <c r="T275" i="80"/>
  <c r="O258" i="80"/>
  <c r="T148" i="80"/>
  <c r="T287" i="80"/>
  <c r="T179" i="80"/>
  <c r="T100" i="80"/>
  <c r="O102" i="80"/>
  <c r="T122" i="80"/>
  <c r="T231" i="80"/>
  <c r="T234" i="80"/>
  <c r="T110" i="80"/>
  <c r="O169" i="80"/>
  <c r="T205" i="80"/>
  <c r="O273" i="80"/>
  <c r="O231" i="80"/>
  <c r="T141" i="80"/>
  <c r="O36" i="80"/>
  <c r="O43" i="80"/>
  <c r="T127" i="80"/>
  <c r="T40" i="80"/>
  <c r="T41" i="80"/>
  <c r="T73" i="80"/>
  <c r="T61" i="80"/>
  <c r="O238" i="80"/>
  <c r="T16" i="80"/>
  <c r="T50" i="80"/>
  <c r="O261" i="80"/>
  <c r="O132" i="80"/>
  <c r="O213" i="80"/>
  <c r="T118" i="80"/>
  <c r="O271" i="80"/>
  <c r="T51" i="80"/>
  <c r="T230" i="80"/>
  <c r="T144" i="80"/>
  <c r="O210" i="80"/>
  <c r="O288" i="80"/>
  <c r="O45" i="80"/>
  <c r="O14" i="80"/>
  <c r="T222" i="80"/>
  <c r="O41" i="80"/>
  <c r="T156" i="80"/>
  <c r="O232" i="80"/>
  <c r="T147" i="80"/>
  <c r="O134" i="80"/>
  <c r="T68" i="80"/>
  <c r="O35" i="80"/>
  <c r="O144" i="80"/>
  <c r="T45" i="80"/>
  <c r="T107" i="80"/>
  <c r="T76" i="80"/>
  <c r="O222" i="80"/>
  <c r="O56" i="80"/>
  <c r="O74" i="80"/>
  <c r="O147" i="80"/>
  <c r="I188" i="80"/>
  <c r="O122" i="80"/>
  <c r="T95" i="80"/>
  <c r="O268" i="80"/>
  <c r="T190" i="80"/>
  <c r="T259" i="80"/>
  <c r="T163" i="80"/>
  <c r="O76" i="80"/>
  <c r="O290" i="80"/>
  <c r="T243" i="80"/>
  <c r="O186" i="80"/>
  <c r="T165" i="80"/>
  <c r="T258" i="80"/>
  <c r="O159" i="80"/>
  <c r="O212" i="80"/>
  <c r="O31" i="80"/>
  <c r="T130" i="80"/>
  <c r="T194" i="80"/>
  <c r="T53" i="80"/>
  <c r="O62" i="80"/>
  <c r="T196" i="80"/>
  <c r="T189" i="80"/>
  <c r="T131" i="80"/>
  <c r="T270" i="80"/>
  <c r="T15" i="80"/>
  <c r="O28" i="80"/>
  <c r="O243" i="80"/>
  <c r="T174" i="80"/>
  <c r="T264" i="80"/>
  <c r="T105" i="80"/>
  <c r="T159" i="80"/>
  <c r="O58" i="80"/>
  <c r="T139" i="80"/>
  <c r="O196" i="80"/>
  <c r="O20" i="80"/>
  <c r="O55" i="80"/>
  <c r="O117" i="80"/>
  <c r="O223" i="80"/>
  <c r="O103" i="80"/>
  <c r="T111" i="80"/>
  <c r="O50" i="80"/>
  <c r="I118" i="80"/>
  <c r="DF15" i="92"/>
  <c r="I288" i="80"/>
  <c r="I87" i="80"/>
  <c r="I31" i="80"/>
  <c r="I256" i="80"/>
  <c r="I184" i="80"/>
  <c r="I78" i="80"/>
  <c r="I159" i="80"/>
  <c r="I277" i="80"/>
  <c r="I125" i="80"/>
  <c r="I66" i="80"/>
  <c r="I239" i="80"/>
  <c r="I54" i="80"/>
  <c r="I42" i="80"/>
  <c r="I35" i="80"/>
  <c r="I22" i="80"/>
  <c r="I88" i="80"/>
  <c r="I233" i="80"/>
  <c r="I75" i="80"/>
  <c r="I241" i="80"/>
  <c r="I265" i="80"/>
  <c r="I101" i="80"/>
  <c r="I169" i="80"/>
  <c r="I254" i="80"/>
  <c r="I161" i="80"/>
  <c r="I279" i="80"/>
  <c r="I243" i="80"/>
  <c r="I57" i="80"/>
  <c r="I230" i="80"/>
  <c r="I178" i="80"/>
  <c r="I32" i="80"/>
  <c r="I195" i="80"/>
  <c r="I132" i="80"/>
  <c r="I262" i="80"/>
  <c r="BR13" i="92"/>
  <c r="BS13" i="92" s="1"/>
  <c r="BR16" i="92"/>
  <c r="BS16" i="92" s="1"/>
  <c r="BR14" i="92"/>
  <c r="BW14" i="92" s="1"/>
  <c r="BQ10" i="92"/>
  <c r="BT10" i="92" s="1"/>
  <c r="BR9" i="92"/>
  <c r="BV9" i="92" s="1"/>
  <c r="BQ15" i="92"/>
  <c r="BT15" i="92" s="1"/>
  <c r="I267" i="80"/>
  <c r="I134" i="80"/>
  <c r="I48" i="80"/>
  <c r="I261" i="80"/>
  <c r="I225" i="80"/>
  <c r="I255" i="80"/>
  <c r="I81" i="80"/>
  <c r="I137" i="80"/>
  <c r="I33" i="80"/>
  <c r="I60" i="80"/>
  <c r="I269" i="80"/>
  <c r="I236" i="80"/>
  <c r="I189" i="80"/>
  <c r="I46" i="80"/>
  <c r="I212" i="80"/>
  <c r="I36" i="80"/>
  <c r="I228" i="80"/>
  <c r="I17" i="80"/>
  <c r="I62" i="80"/>
  <c r="I115" i="80"/>
  <c r="I290" i="80"/>
  <c r="I76" i="80"/>
  <c r="I157" i="80"/>
  <c r="I127" i="80"/>
  <c r="I130" i="80"/>
  <c r="I209" i="80"/>
  <c r="I247" i="80"/>
  <c r="I84" i="80"/>
  <c r="I274" i="80"/>
  <c r="I21" i="80"/>
  <c r="I185" i="80"/>
  <c r="I45" i="80"/>
  <c r="I113" i="80"/>
  <c r="I146" i="80"/>
  <c r="I238" i="80"/>
  <c r="I145" i="80"/>
  <c r="I164" i="80"/>
  <c r="T223" i="80"/>
  <c r="T164" i="80"/>
  <c r="T58" i="80"/>
  <c r="I110" i="80"/>
  <c r="I240" i="80"/>
  <c r="I179" i="80"/>
  <c r="I133" i="80"/>
  <c r="I266" i="80"/>
  <c r="I131" i="80"/>
  <c r="I182" i="80"/>
  <c r="I94" i="80"/>
  <c r="I68" i="80"/>
  <c r="I95" i="80"/>
  <c r="I107" i="80"/>
  <c r="I61" i="80"/>
  <c r="I287" i="80"/>
  <c r="I234" i="80"/>
  <c r="I89" i="80"/>
  <c r="I24" i="80"/>
  <c r="I59" i="80"/>
  <c r="I246" i="80"/>
  <c r="I176" i="80"/>
  <c r="I148" i="80"/>
  <c r="I126" i="80"/>
  <c r="I93" i="80"/>
  <c r="I139" i="80"/>
  <c r="I160" i="80"/>
  <c r="I200" i="80"/>
  <c r="I271" i="80"/>
  <c r="I220" i="80"/>
  <c r="I82" i="80"/>
  <c r="T199" i="80"/>
  <c r="I141" i="80"/>
  <c r="I52" i="80"/>
  <c r="I144" i="80"/>
  <c r="I175" i="80"/>
  <c r="I173" i="80"/>
  <c r="I263" i="80"/>
  <c r="I199" i="80"/>
  <c r="I64" i="80"/>
  <c r="O199" i="80"/>
  <c r="I232" i="80"/>
  <c r="I25" i="80"/>
  <c r="I166" i="80"/>
  <c r="I41" i="80"/>
  <c r="I284" i="80"/>
  <c r="I114" i="80"/>
  <c r="I51" i="80"/>
  <c r="O16" i="80"/>
  <c r="I55" i="80"/>
  <c r="T206" i="80"/>
  <c r="I285" i="80"/>
  <c r="I98" i="80"/>
  <c r="I223" i="80"/>
  <c r="I103" i="80"/>
  <c r="I249" i="80"/>
  <c r="I15" i="80"/>
  <c r="I102" i="80"/>
  <c r="I280" i="80"/>
  <c r="I86" i="80"/>
  <c r="I268" i="80"/>
  <c r="I273" i="80"/>
  <c r="O89" i="80"/>
  <c r="AY26" i="92"/>
  <c r="AY29" i="92"/>
  <c r="AX14" i="92"/>
  <c r="I136" i="80"/>
  <c r="T202" i="80"/>
  <c r="O75" i="80"/>
  <c r="O105" i="80"/>
  <c r="O202" i="80"/>
  <c r="BA15" i="108"/>
  <c r="O176" i="80"/>
  <c r="I197" i="80"/>
  <c r="T103" i="80"/>
  <c r="I231" i="80"/>
  <c r="I187" i="80"/>
  <c r="I100" i="80"/>
  <c r="I244" i="80"/>
  <c r="I191" i="80"/>
  <c r="I193" i="80"/>
  <c r="I202" i="80"/>
  <c r="T75" i="80"/>
  <c r="T186" i="80"/>
  <c r="O115" i="80"/>
  <c r="I181" i="80"/>
  <c r="I39" i="80"/>
  <c r="T28" i="80"/>
  <c r="T207" i="80"/>
  <c r="I152" i="80"/>
  <c r="T212" i="80"/>
  <c r="I53" i="80"/>
  <c r="O289" i="80"/>
  <c r="I156" i="80"/>
  <c r="T188" i="80"/>
  <c r="I72" i="80"/>
  <c r="I224" i="80"/>
  <c r="I58" i="80"/>
  <c r="T152" i="80"/>
  <c r="O240" i="80"/>
  <c r="T185" i="80"/>
  <c r="O107" i="80"/>
  <c r="I171" i="80"/>
  <c r="I165" i="80"/>
  <c r="O260" i="80"/>
  <c r="T218" i="80"/>
  <c r="I192" i="80"/>
  <c r="T80" i="80"/>
  <c r="I43" i="80"/>
  <c r="I91" i="80"/>
  <c r="O80" i="80"/>
  <c r="T101" i="80"/>
  <c r="O151" i="80"/>
  <c r="O61" i="80"/>
  <c r="I151" i="80"/>
  <c r="T169" i="80"/>
  <c r="O177" i="80"/>
  <c r="O178" i="80"/>
  <c r="I128" i="80"/>
  <c r="T13" i="80"/>
  <c r="O99" i="80"/>
  <c r="I205" i="80"/>
  <c r="I122" i="80"/>
  <c r="I289" i="80"/>
  <c r="T29" i="80"/>
  <c r="I172" i="80"/>
  <c r="I77" i="80"/>
  <c r="I19" i="80"/>
  <c r="O255" i="80"/>
  <c r="I18" i="80"/>
  <c r="O201" i="80"/>
  <c r="O179" i="80"/>
  <c r="O136" i="80"/>
  <c r="O245" i="80"/>
  <c r="T81" i="80"/>
  <c r="T72" i="80"/>
  <c r="I109" i="80"/>
  <c r="T201" i="80"/>
  <c r="O140" i="80"/>
  <c r="O248" i="80"/>
  <c r="T286" i="80"/>
  <c r="I218" i="80"/>
  <c r="T132" i="80"/>
  <c r="O146" i="80"/>
  <c r="T42" i="80"/>
  <c r="O46" i="80"/>
  <c r="T288" i="80"/>
  <c r="T269" i="80"/>
  <c r="T210" i="80"/>
  <c r="O21" i="80"/>
  <c r="T22" i="80"/>
  <c r="I186" i="80"/>
  <c r="I235" i="80"/>
  <c r="O84" i="80"/>
  <c r="T279" i="80"/>
  <c r="T102" i="80"/>
  <c r="T55" i="80"/>
  <c r="O230" i="80"/>
  <c r="T20" i="80"/>
  <c r="T285" i="80"/>
  <c r="O190" i="80"/>
  <c r="T31" i="80"/>
  <c r="T149" i="80"/>
  <c r="O22" i="80"/>
  <c r="T26" i="80"/>
  <c r="O158" i="80"/>
  <c r="O141" i="80"/>
  <c r="O188" i="80"/>
  <c r="O244" i="80"/>
  <c r="T43" i="80"/>
  <c r="O128" i="80"/>
  <c r="T35" i="80"/>
  <c r="O100" i="80"/>
  <c r="T173" i="80"/>
  <c r="O109" i="80"/>
  <c r="I29" i="80"/>
  <c r="I203" i="80"/>
  <c r="I108" i="80"/>
  <c r="I111" i="80"/>
  <c r="I85" i="80"/>
  <c r="I272" i="80"/>
  <c r="I251" i="80"/>
  <c r="I71" i="80"/>
  <c r="I96" i="80"/>
  <c r="I167" i="80"/>
  <c r="I83" i="80"/>
  <c r="K10" i="90"/>
  <c r="X17" i="46"/>
  <c r="I67" i="80"/>
  <c r="I13" i="80"/>
  <c r="I275" i="80"/>
  <c r="I180" i="80"/>
  <c r="I281" i="80"/>
  <c r="I204" i="80"/>
  <c r="I216" i="80"/>
  <c r="I259" i="80"/>
  <c r="Q16" i="46"/>
  <c r="Z16" i="46" s="1"/>
  <c r="I38" i="80"/>
  <c r="I270" i="80"/>
  <c r="I104" i="80"/>
  <c r="I242" i="80"/>
  <c r="I56" i="80"/>
  <c r="I248" i="80"/>
  <c r="I198" i="80"/>
  <c r="I97" i="80"/>
  <c r="I34" i="80"/>
  <c r="I158" i="80"/>
  <c r="I117" i="80"/>
  <c r="I73" i="80"/>
  <c r="I206" i="80"/>
  <c r="I26" i="80"/>
  <c r="I170" i="80"/>
  <c r="I168" i="80"/>
  <c r="I74" i="80"/>
  <c r="I227" i="80"/>
  <c r="I162" i="80"/>
  <c r="I250" i="80"/>
  <c r="I282" i="80"/>
  <c r="I215" i="80"/>
  <c r="T158" i="80"/>
  <c r="I150" i="80"/>
  <c r="T204" i="80"/>
  <c r="O52" i="80"/>
  <c r="O54" i="80"/>
  <c r="T97" i="80"/>
  <c r="O264" i="80"/>
  <c r="T99" i="80"/>
  <c r="O170" i="80"/>
  <c r="T263" i="80"/>
  <c r="T255" i="80"/>
  <c r="O94" i="80"/>
  <c r="O277" i="80"/>
  <c r="T277" i="80"/>
  <c r="O29" i="80"/>
  <c r="T240" i="80"/>
  <c r="T232" i="80"/>
  <c r="O256" i="80"/>
  <c r="T289" i="80"/>
  <c r="T224" i="80"/>
  <c r="O139" i="80"/>
  <c r="O110" i="80"/>
  <c r="O156" i="80"/>
  <c r="T52" i="80"/>
  <c r="T256" i="80"/>
  <c r="T219" i="80"/>
  <c r="O51" i="80"/>
  <c r="O95" i="80"/>
  <c r="O216" i="80"/>
  <c r="T150" i="80"/>
  <c r="O241" i="80"/>
  <c r="O96" i="80"/>
  <c r="T17" i="80"/>
  <c r="O48" i="80"/>
  <c r="O262" i="80"/>
  <c r="I90" i="80"/>
  <c r="T93" i="80"/>
  <c r="T85" i="80"/>
  <c r="O193" i="80"/>
  <c r="O130" i="80"/>
  <c r="O236" i="80"/>
  <c r="T143" i="80"/>
  <c r="T116" i="80"/>
  <c r="T36" i="80"/>
  <c r="T124" i="80"/>
  <c r="O82" i="80"/>
  <c r="T109" i="80"/>
  <c r="O44" i="80"/>
  <c r="T44" i="80"/>
  <c r="O239" i="80"/>
  <c r="O207" i="80"/>
  <c r="T86" i="80"/>
  <c r="T191" i="80"/>
  <c r="O225" i="80"/>
  <c r="O181" i="80"/>
  <c r="O278" i="80"/>
  <c r="T104" i="80"/>
  <c r="T60" i="80"/>
  <c r="O63" i="80"/>
  <c r="T135" i="80"/>
  <c r="O112" i="80"/>
  <c r="T290" i="80"/>
  <c r="O37" i="80"/>
  <c r="T237" i="80"/>
  <c r="T245" i="80"/>
  <c r="T63" i="80"/>
  <c r="T71" i="80"/>
  <c r="O187" i="80"/>
  <c r="T67" i="80"/>
  <c r="O281" i="80"/>
  <c r="T87" i="80"/>
  <c r="O53" i="80"/>
  <c r="O270" i="80"/>
  <c r="T251" i="80"/>
  <c r="O19" i="80"/>
  <c r="T162" i="80"/>
  <c r="T235" i="80"/>
  <c r="O184" i="80"/>
  <c r="T184" i="80"/>
  <c r="O257" i="80"/>
  <c r="O121" i="80"/>
  <c r="T121" i="80"/>
  <c r="O111" i="80"/>
  <c r="O283" i="80"/>
  <c r="T213" i="80"/>
  <c r="O242" i="80"/>
  <c r="T66" i="80"/>
  <c r="O274" i="80"/>
  <c r="O173" i="80"/>
  <c r="O25" i="80"/>
  <c r="O282" i="80"/>
  <c r="T24" i="80"/>
  <c r="T180" i="80"/>
  <c r="I30" i="80"/>
  <c r="I129" i="80"/>
  <c r="I142" i="80"/>
  <c r="O219" i="80"/>
  <c r="O92" i="80"/>
  <c r="O143" i="80"/>
  <c r="O180" i="80"/>
  <c r="T260" i="80"/>
  <c r="T82" i="80"/>
  <c r="T161" i="80"/>
  <c r="T172" i="80"/>
  <c r="O104" i="80"/>
  <c r="T280" i="80"/>
  <c r="O217" i="80"/>
  <c r="O77" i="80"/>
  <c r="O284" i="80"/>
  <c r="O204" i="80"/>
  <c r="T268" i="80"/>
  <c r="T94" i="80"/>
  <c r="T33" i="80"/>
  <c r="O123" i="80"/>
  <c r="T145" i="80"/>
  <c r="T272" i="80"/>
  <c r="O87" i="80"/>
  <c r="T96" i="80"/>
  <c r="T233" i="80"/>
  <c r="O131" i="80"/>
  <c r="T193" i="80"/>
  <c r="O251" i="80"/>
  <c r="T238" i="80"/>
  <c r="T14" i="80"/>
  <c r="T217" i="80"/>
  <c r="O30" i="80"/>
  <c r="T123" i="80"/>
  <c r="T262" i="80"/>
  <c r="T228" i="80"/>
  <c r="T176" i="80"/>
  <c r="O220" i="80"/>
  <c r="T265" i="80"/>
  <c r="O250" i="80"/>
  <c r="T62" i="80"/>
  <c r="O265" i="80"/>
  <c r="T89" i="80"/>
  <c r="I226" i="80"/>
  <c r="I276" i="80"/>
  <c r="I219" i="80"/>
  <c r="T246" i="80"/>
  <c r="T160" i="80"/>
  <c r="T92" i="80"/>
  <c r="O116" i="80"/>
  <c r="T146" i="80"/>
  <c r="O40" i="80"/>
  <c r="T39" i="80"/>
  <c r="T142" i="80"/>
  <c r="O172" i="80"/>
  <c r="O276" i="80"/>
  <c r="O137" i="80"/>
  <c r="T282" i="80"/>
  <c r="T278" i="80"/>
  <c r="T252" i="80"/>
  <c r="T211" i="80"/>
  <c r="O211" i="80"/>
  <c r="T83" i="80"/>
  <c r="O266" i="80"/>
  <c r="T129" i="80"/>
  <c r="O78" i="80"/>
  <c r="T274" i="80"/>
  <c r="O67" i="80"/>
  <c r="T226" i="80"/>
  <c r="O175" i="80"/>
  <c r="O272" i="80"/>
  <c r="O150" i="80"/>
  <c r="O127" i="80"/>
  <c r="O195" i="80"/>
  <c r="T74" i="80"/>
  <c r="O162" i="80"/>
  <c r="T257" i="80"/>
  <c r="O65" i="80"/>
  <c r="O98" i="80"/>
  <c r="O227" i="80"/>
  <c r="O218" i="80"/>
  <c r="T34" i="80"/>
  <c r="O215" i="80"/>
  <c r="O168" i="80"/>
  <c r="O64" i="80"/>
  <c r="O60" i="80"/>
  <c r="O160" i="80"/>
  <c r="T170" i="80"/>
  <c r="I123" i="80"/>
  <c r="I257" i="80"/>
  <c r="I63" i="80"/>
  <c r="I278" i="80"/>
  <c r="T221" i="80"/>
  <c r="O93" i="80"/>
  <c r="T227" i="80"/>
  <c r="O15" i="80"/>
  <c r="O200" i="80"/>
  <c r="T239" i="80"/>
  <c r="O182" i="80"/>
  <c r="T182" i="80"/>
  <c r="O86" i="80"/>
  <c r="O191" i="80"/>
  <c r="T181" i="80"/>
  <c r="O114" i="80"/>
  <c r="T167" i="80"/>
  <c r="T133" i="80"/>
  <c r="T284" i="80"/>
  <c r="O174" i="80"/>
  <c r="O129" i="80"/>
  <c r="T37" i="80"/>
  <c r="O237" i="80"/>
  <c r="T187" i="80"/>
  <c r="O59" i="80"/>
  <c r="T126" i="80"/>
  <c r="O34" i="80"/>
  <c r="O233" i="80"/>
  <c r="T175" i="80"/>
  <c r="T241" i="80"/>
  <c r="T117" i="80"/>
  <c r="O189" i="80"/>
  <c r="T84" i="80"/>
  <c r="O235" i="80"/>
  <c r="O71" i="80"/>
  <c r="O194" i="80"/>
  <c r="O228" i="80"/>
  <c r="O254" i="80"/>
  <c r="T220" i="80"/>
  <c r="T203" i="80"/>
  <c r="T183" i="80"/>
  <c r="T134" i="80"/>
  <c r="I149" i="80"/>
  <c r="T208" i="80"/>
  <c r="I174" i="80"/>
  <c r="I245" i="80"/>
  <c r="I92" i="80"/>
  <c r="I143" i="80"/>
  <c r="O221" i="80"/>
  <c r="O183" i="80"/>
  <c r="T249" i="80"/>
  <c r="O229" i="80"/>
  <c r="T266" i="80"/>
  <c r="T168" i="80"/>
  <c r="O135" i="80"/>
  <c r="O133" i="80"/>
  <c r="T216" i="80"/>
  <c r="T112" i="80"/>
  <c r="O157" i="80"/>
  <c r="O88" i="80"/>
  <c r="O145" i="80"/>
  <c r="O66" i="80"/>
  <c r="T198" i="80"/>
  <c r="T19" i="80"/>
  <c r="O165" i="80"/>
  <c r="T25" i="80"/>
  <c r="T247" i="80"/>
  <c r="T261" i="80"/>
  <c r="O246" i="80"/>
  <c r="T273" i="80"/>
  <c r="T250" i="80"/>
  <c r="O85" i="80"/>
  <c r="O167" i="80"/>
  <c r="T56" i="80"/>
  <c r="O38" i="80"/>
  <c r="O73" i="80"/>
  <c r="O203" i="80"/>
  <c r="T157" i="80"/>
  <c r="I207" i="80"/>
  <c r="I37" i="80"/>
  <c r="I211" i="80"/>
  <c r="I124" i="80"/>
  <c r="I65" i="80"/>
  <c r="T254" i="80"/>
  <c r="O153" i="80"/>
  <c r="O206" i="80"/>
  <c r="T236" i="80"/>
  <c r="T98" i="80"/>
  <c r="T65" i="80"/>
  <c r="T283" i="80"/>
  <c r="T140" i="80"/>
  <c r="O142" i="80"/>
  <c r="O39" i="80"/>
  <c r="T200" i="80"/>
  <c r="O171" i="80"/>
  <c r="T46" i="80"/>
  <c r="O249" i="80"/>
  <c r="T177" i="80"/>
  <c r="T225" i="80"/>
  <c r="T276" i="80"/>
  <c r="T137" i="80"/>
  <c r="T38" i="80"/>
  <c r="O280" i="80"/>
  <c r="O252" i="80"/>
  <c r="T114" i="80"/>
  <c r="O208" i="80"/>
  <c r="O83" i="80"/>
  <c r="T78" i="80"/>
  <c r="T108" i="80"/>
  <c r="O259" i="80"/>
  <c r="T88" i="80"/>
  <c r="O33" i="80"/>
  <c r="T77" i="80"/>
  <c r="O267" i="80"/>
  <c r="T267" i="80"/>
  <c r="T59" i="80"/>
  <c r="O198" i="80"/>
  <c r="O226" i="80"/>
  <c r="T195" i="80"/>
  <c r="O108" i="80"/>
  <c r="T271" i="80"/>
  <c r="O17" i="80"/>
  <c r="O113" i="80"/>
  <c r="O166" i="80"/>
  <c r="T48" i="80"/>
  <c r="T113" i="80"/>
  <c r="O275" i="80"/>
  <c r="T30" i="80"/>
  <c r="O24" i="80"/>
  <c r="O234" i="80"/>
  <c r="I121" i="80"/>
  <c r="I14" i="80"/>
  <c r="I135" i="80"/>
  <c r="O8" i="46"/>
  <c r="O12" i="46"/>
  <c r="J14" i="90"/>
  <c r="K16" i="90"/>
  <c r="Q17" i="46"/>
  <c r="R17" i="46" s="1"/>
  <c r="AE10" i="46"/>
  <c r="MZ10" i="46" s="1"/>
  <c r="W27" i="46"/>
  <c r="J29" i="90" s="1"/>
  <c r="Y3" i="23"/>
  <c r="AB3" i="23" s="1"/>
  <c r="AD3" i="23" s="1"/>
  <c r="V3" i="23" s="1"/>
  <c r="O27" i="80"/>
  <c r="O68" i="80"/>
  <c r="V27" i="46"/>
  <c r="AH17" i="98"/>
  <c r="O15" i="46"/>
  <c r="Q14" i="46"/>
  <c r="Z14" i="46" s="1"/>
  <c r="X15" i="46"/>
  <c r="Q12" i="46"/>
  <c r="X12" i="46"/>
  <c r="Q15" i="46"/>
  <c r="Z15" i="46" s="1"/>
  <c r="BL14" i="107"/>
  <c r="BN14" i="107" s="1"/>
  <c r="AE17" i="46"/>
  <c r="AJ17" i="46" s="1"/>
  <c r="BL16" i="107"/>
  <c r="BN16" i="107" s="1"/>
  <c r="AV15" i="92"/>
  <c r="AW15" i="92" s="1"/>
  <c r="Q10" i="46"/>
  <c r="Z10" i="46" s="1"/>
  <c r="AH8" i="98"/>
  <c r="O9" i="46"/>
  <c r="O17" i="46"/>
  <c r="BL15" i="107"/>
  <c r="BN15" i="107" s="1"/>
  <c r="O7" i="46"/>
  <c r="BL8" i="107"/>
  <c r="BN8" i="107" s="1"/>
  <c r="K14" i="46"/>
  <c r="P14" i="46" s="1"/>
  <c r="B61" i="90" s="1"/>
  <c r="AV27" i="92"/>
  <c r="AW27" i="92" s="1"/>
  <c r="BD27" i="92" s="1"/>
  <c r="AFT6" i="46"/>
  <c r="AFT15" i="46" s="1"/>
  <c r="WD6" i="46"/>
  <c r="WD12" i="46" s="1"/>
  <c r="LQ6" i="46"/>
  <c r="LQ15" i="46" s="1"/>
  <c r="ADF6" i="46"/>
  <c r="ADF12" i="46" s="1"/>
  <c r="AIY6" i="46"/>
  <c r="AIY15" i="46" s="1"/>
  <c r="VM6" i="46"/>
  <c r="VM9" i="46" s="1"/>
  <c r="QV6" i="46"/>
  <c r="QV18" i="46" s="1"/>
  <c r="RY6" i="46"/>
  <c r="RY16" i="46" s="1"/>
  <c r="VK6" i="46"/>
  <c r="VK9" i="46" s="1"/>
  <c r="PC6" i="46"/>
  <c r="PC17" i="46" s="1"/>
  <c r="OO6" i="46"/>
  <c r="OO13" i="46" s="1"/>
  <c r="FT6" i="46"/>
  <c r="FN6" i="46"/>
  <c r="UZ6" i="46"/>
  <c r="UZ11" i="46" s="1"/>
  <c r="HP6" i="46"/>
  <c r="AIT6" i="46"/>
  <c r="AIT12" i="46" s="1"/>
  <c r="ZE6" i="46"/>
  <c r="ZE9" i="46" s="1"/>
  <c r="EB6" i="46"/>
  <c r="XW6" i="46"/>
  <c r="XW15" i="46" s="1"/>
  <c r="AFR6" i="46"/>
  <c r="AFR14" i="46" s="1"/>
  <c r="HN6" i="46"/>
  <c r="BX6" i="46"/>
  <c r="ZY6" i="46"/>
  <c r="ZY9" i="46" s="1"/>
  <c r="AFO6" i="46"/>
  <c r="AFO11" i="46" s="1"/>
  <c r="UT6" i="46"/>
  <c r="UT4" i="46" s="1"/>
  <c r="ACQ6" i="46"/>
  <c r="ACQ18" i="46" s="1"/>
  <c r="TM6" i="46"/>
  <c r="TM11" i="46" s="1"/>
  <c r="MQ6" i="46"/>
  <c r="HO6" i="46"/>
  <c r="JV6" i="46"/>
  <c r="FA6" i="46"/>
  <c r="MU6" i="46"/>
  <c r="MU4" i="46" s="1"/>
  <c r="AIK6" i="46"/>
  <c r="AAS6" i="46"/>
  <c r="AAS12" i="46" s="1"/>
  <c r="AGO6" i="46"/>
  <c r="AGO16" i="46" s="1"/>
  <c r="TC6" i="46"/>
  <c r="TC16" i="46" s="1"/>
  <c r="IA6" i="46"/>
  <c r="MV6" i="46"/>
  <c r="MV4" i="46" s="1"/>
  <c r="ADW6" i="46"/>
  <c r="ADW15" i="46" s="1"/>
  <c r="AL6" i="46"/>
  <c r="OB6" i="46"/>
  <c r="OB11" i="46" s="1"/>
  <c r="DV6" i="46"/>
  <c r="NN6" i="46"/>
  <c r="NN13" i="46" s="1"/>
  <c r="IN6" i="46"/>
  <c r="SF6" i="46"/>
  <c r="SF14" i="46" s="1"/>
  <c r="PB6" i="46"/>
  <c r="PB10" i="46" s="1"/>
  <c r="AM6" i="46"/>
  <c r="EK6" i="46"/>
  <c r="CS6" i="46"/>
  <c r="CS4" i="46" s="1"/>
  <c r="JS6" i="46"/>
  <c r="JS4" i="46" s="1"/>
  <c r="LE6" i="46"/>
  <c r="LE16" i="46" s="1"/>
  <c r="MW6" i="46"/>
  <c r="MW10" i="46" s="1"/>
  <c r="AJG6" i="46"/>
  <c r="AJG7" i="46" s="1"/>
  <c r="SL6" i="46"/>
  <c r="SL13" i="46" s="1"/>
  <c r="HQ6" i="46"/>
  <c r="ABC6" i="46"/>
  <c r="EM6" i="46"/>
  <c r="SO6" i="46"/>
  <c r="SO4" i="46" s="1"/>
  <c r="ACM6" i="46"/>
  <c r="ACM8" i="46" s="1"/>
  <c r="AFW6" i="46"/>
  <c r="AFW11" i="46" s="1"/>
  <c r="AHI6" i="46"/>
  <c r="AHI7" i="46" s="1"/>
  <c r="AHJ6" i="46"/>
  <c r="AHJ18" i="46" s="1"/>
  <c r="ADU6" i="46"/>
  <c r="ADU16" i="46" s="1"/>
  <c r="AHF6" i="46"/>
  <c r="AHF7" i="46" s="1"/>
  <c r="SQ6" i="46"/>
  <c r="SQ8" i="46" s="1"/>
  <c r="AJV6" i="46"/>
  <c r="AJV13" i="46" s="1"/>
  <c r="AHQ6" i="46"/>
  <c r="AHQ18" i="46" s="1"/>
  <c r="LX6" i="46"/>
  <c r="LX4" i="46" s="1"/>
  <c r="PU6" i="46"/>
  <c r="PU8" i="46" s="1"/>
  <c r="UE6" i="46"/>
  <c r="UE11" i="46" s="1"/>
  <c r="AU6" i="46"/>
  <c r="AK6" i="46"/>
  <c r="ADC6" i="46"/>
  <c r="ADC7" i="46" s="1"/>
  <c r="FY6" i="46"/>
  <c r="AIH6" i="46"/>
  <c r="AIH14" i="46" s="1"/>
  <c r="AEY6" i="46"/>
  <c r="AEY8" i="46" s="1"/>
  <c r="AE13" i="46"/>
  <c r="AJ13" i="46" s="1"/>
  <c r="TS6" i="46"/>
  <c r="TS14" i="46" s="1"/>
  <c r="ABG6" i="46"/>
  <c r="ABG17" i="46" s="1"/>
  <c r="BN6" i="46"/>
  <c r="PS6" i="46"/>
  <c r="PS12" i="46" s="1"/>
  <c r="ADL6" i="46"/>
  <c r="ADL12" i="46" s="1"/>
  <c r="LT6" i="46"/>
  <c r="LT15" i="46" s="1"/>
  <c r="EF6" i="46"/>
  <c r="OP6" i="46"/>
  <c r="YJ6" i="46"/>
  <c r="YJ9" i="46" s="1"/>
  <c r="UB6" i="46"/>
  <c r="UB15" i="46" s="1"/>
  <c r="AFB6" i="46"/>
  <c r="AFB10" i="46" s="1"/>
  <c r="XV6" i="46"/>
  <c r="XV4" i="46" s="1"/>
  <c r="RH6" i="46"/>
  <c r="OE6" i="46"/>
  <c r="OE13" i="46" s="1"/>
  <c r="ACD6" i="46"/>
  <c r="ACD8" i="46" s="1"/>
  <c r="XZ6" i="46"/>
  <c r="XZ12" i="46" s="1"/>
  <c r="KB6" i="46"/>
  <c r="KB15" i="46" s="1"/>
  <c r="AAN6" i="46"/>
  <c r="AAN15" i="46" s="1"/>
  <c r="AFG6" i="46"/>
  <c r="AFG15" i="46" s="1"/>
  <c r="WO6" i="46"/>
  <c r="WO8" i="46" s="1"/>
  <c r="NF6" i="46"/>
  <c r="NL6" i="46"/>
  <c r="NL16" i="46" s="1"/>
  <c r="IJ6" i="46"/>
  <c r="AGV6" i="46"/>
  <c r="AGV7" i="46" s="1"/>
  <c r="ADE6" i="46"/>
  <c r="ADE13" i="46" s="1"/>
  <c r="ADS6" i="46"/>
  <c r="ADS9" i="46" s="1"/>
  <c r="AJK6" i="46"/>
  <c r="AJK7" i="46" s="1"/>
  <c r="EQ6" i="46"/>
  <c r="EQ4" i="46" s="1"/>
  <c r="AIB6" i="46"/>
  <c r="AIB9" i="46" s="1"/>
  <c r="EX6" i="46"/>
  <c r="AIP6" i="46"/>
  <c r="AIP18" i="46" s="1"/>
  <c r="I27" i="80"/>
  <c r="BL13" i="107"/>
  <c r="BN13" i="107" s="1"/>
  <c r="BR18" i="92"/>
  <c r="BW18" i="92" s="1"/>
  <c r="BQ18" i="92"/>
  <c r="BT18" i="92" s="1"/>
  <c r="BQ11" i="92"/>
  <c r="BT11" i="92" s="1"/>
  <c r="BQ12" i="92"/>
  <c r="BT12" i="92" s="1"/>
  <c r="T27" i="80"/>
  <c r="HY6" i="46"/>
  <c r="HY4" i="46" s="1"/>
  <c r="KQ6" i="46"/>
  <c r="QR6" i="46"/>
  <c r="QR14" i="46" s="1"/>
  <c r="RO6" i="46"/>
  <c r="RO9" i="46" s="1"/>
  <c r="ZV6" i="46"/>
  <c r="ZV18" i="46" s="1"/>
  <c r="AIM6" i="46"/>
  <c r="AIM18" i="46" s="1"/>
  <c r="QO6" i="46"/>
  <c r="QO9" i="46" s="1"/>
  <c r="LI6" i="46"/>
  <c r="LI13" i="46" s="1"/>
  <c r="FB6" i="46"/>
  <c r="YP6" i="46"/>
  <c r="YP18" i="46" s="1"/>
  <c r="AEA6" i="46"/>
  <c r="MB6" i="46"/>
  <c r="MB15" i="46" s="1"/>
  <c r="ABE6" i="46"/>
  <c r="ABE12" i="46" s="1"/>
  <c r="PX6" i="46"/>
  <c r="PX13" i="46" s="1"/>
  <c r="AKM6" i="46"/>
  <c r="AKM13" i="46" s="1"/>
  <c r="KJ6" i="46"/>
  <c r="KJ15" i="46" s="1"/>
  <c r="OQ6" i="46"/>
  <c r="OQ17" i="46" s="1"/>
  <c r="GL6" i="46"/>
  <c r="GL4" i="46" s="1"/>
  <c r="WZ6" i="46"/>
  <c r="WZ17" i="46" s="1"/>
  <c r="PI6" i="46"/>
  <c r="PI12" i="46" s="1"/>
  <c r="VQ6" i="46"/>
  <c r="VQ4" i="46" s="1"/>
  <c r="AKO6" i="46"/>
  <c r="AKO12" i="46" s="1"/>
  <c r="NU6" i="46"/>
  <c r="ACT6" i="46"/>
  <c r="ACT9" i="46" s="1"/>
  <c r="CF6" i="46"/>
  <c r="AAO6" i="46"/>
  <c r="AAO18" i="46" s="1"/>
  <c r="ZO6" i="46"/>
  <c r="ZO8" i="46" s="1"/>
  <c r="VO6" i="46"/>
  <c r="VO14" i="46" s="1"/>
  <c r="LF6" i="46"/>
  <c r="LF14" i="46" s="1"/>
  <c r="ADD6" i="46"/>
  <c r="ADD7" i="46" s="1"/>
  <c r="AFJ6" i="46"/>
  <c r="AFJ15" i="46" s="1"/>
  <c r="FF6" i="46"/>
  <c r="FF4" i="46" s="1"/>
  <c r="SA6" i="46"/>
  <c r="SA10" i="46" s="1"/>
  <c r="ADO6" i="46"/>
  <c r="ADO17" i="46" s="1"/>
  <c r="BQ17" i="92"/>
  <c r="BT17" i="92" s="1"/>
  <c r="DD6" i="46"/>
  <c r="AEX6" i="46"/>
  <c r="AEX16" i="46" s="1"/>
  <c r="ACU6" i="46"/>
  <c r="ACU7" i="46" s="1"/>
  <c r="FS6" i="46"/>
  <c r="FS4" i="46" s="1"/>
  <c r="TD6" i="46"/>
  <c r="TD11" i="46" s="1"/>
  <c r="ABK6" i="46"/>
  <c r="ABK18" i="46" s="1"/>
  <c r="ACH6" i="46"/>
  <c r="ACH15" i="46" s="1"/>
  <c r="AX6" i="46"/>
  <c r="AX4" i="46" s="1"/>
  <c r="YU6" i="46"/>
  <c r="YU4" i="46" s="1"/>
  <c r="AGQ6" i="46"/>
  <c r="AGQ17" i="46" s="1"/>
  <c r="IL6" i="46"/>
  <c r="IL10" i="46" s="1"/>
  <c r="ABB6" i="46"/>
  <c r="ABB13" i="46" s="1"/>
  <c r="GF6" i="46"/>
  <c r="UH6" i="46"/>
  <c r="UH16" i="46" s="1"/>
  <c r="AEG6" i="46"/>
  <c r="AEG11" i="46" s="1"/>
  <c r="XH6" i="46"/>
  <c r="XH18" i="46" s="1"/>
  <c r="RP6" i="46"/>
  <c r="RP18" i="46" s="1"/>
  <c r="NP6" i="46"/>
  <c r="NP4" i="46" s="1"/>
  <c r="AFA6" i="46"/>
  <c r="AFA9" i="46" s="1"/>
  <c r="XR6" i="46"/>
  <c r="XR11" i="46" s="1"/>
  <c r="ABX6" i="46"/>
  <c r="ABX12" i="46" s="1"/>
  <c r="TW6" i="46"/>
  <c r="TW9" i="46" s="1"/>
  <c r="AFU6" i="46"/>
  <c r="AFU16" i="46" s="1"/>
  <c r="AAJ6" i="46"/>
  <c r="AAJ10" i="46" s="1"/>
  <c r="YM6" i="46"/>
  <c r="CN6" i="46"/>
  <c r="WT6" i="46"/>
  <c r="AEW6" i="46"/>
  <c r="AEW7" i="46" s="1"/>
  <c r="ACA6" i="46"/>
  <c r="ACA4" i="46" s="1"/>
  <c r="AHW6" i="46"/>
  <c r="AHW16" i="46" s="1"/>
  <c r="AFN6" i="46"/>
  <c r="VT6" i="46"/>
  <c r="VT18" i="46" s="1"/>
  <c r="ADG6" i="46"/>
  <c r="NY6" i="46"/>
  <c r="AIJ6" i="46"/>
  <c r="AIJ10" i="46" s="1"/>
  <c r="LO6" i="46"/>
  <c r="BR17" i="92"/>
  <c r="BS17" i="92" s="1"/>
  <c r="RX6" i="46"/>
  <c r="RX17" i="46" s="1"/>
  <c r="KG6" i="46"/>
  <c r="KG16" i="46" s="1"/>
  <c r="AFL6" i="46"/>
  <c r="AFL9" i="46" s="1"/>
  <c r="VV6" i="46"/>
  <c r="VV10" i="46" s="1"/>
  <c r="YL6" i="46"/>
  <c r="YL18" i="46" s="1"/>
  <c r="AQ6" i="46"/>
  <c r="ABL6" i="46"/>
  <c r="ABL14" i="46" s="1"/>
  <c r="CK6" i="46"/>
  <c r="AAX6" i="46"/>
  <c r="YR6" i="46"/>
  <c r="YR13" i="46" s="1"/>
  <c r="BC6" i="46"/>
  <c r="QK6" i="46"/>
  <c r="QK17" i="46" s="1"/>
  <c r="AJD6" i="46"/>
  <c r="AJD11" i="46" s="1"/>
  <c r="ACR6" i="46"/>
  <c r="ACR14" i="46" s="1"/>
  <c r="TP6" i="46"/>
  <c r="TP16" i="46" s="1"/>
  <c r="LK6" i="46"/>
  <c r="LL6" i="46"/>
  <c r="LL13" i="46" s="1"/>
  <c r="QI6" i="46"/>
  <c r="QI17" i="46" s="1"/>
  <c r="LC6" i="46"/>
  <c r="AGI6" i="46"/>
  <c r="AGI12" i="46" s="1"/>
  <c r="NH6" i="46"/>
  <c r="NH12" i="46" s="1"/>
  <c r="DI6" i="46"/>
  <c r="DI4" i="46" s="1"/>
  <c r="WP6" i="46"/>
  <c r="WP16" i="46" s="1"/>
  <c r="KK6" i="46"/>
  <c r="KK4" i="46" s="1"/>
  <c r="HK6" i="46"/>
  <c r="FC6" i="46"/>
  <c r="HV6" i="46"/>
  <c r="TF6" i="46"/>
  <c r="TF14" i="46" s="1"/>
  <c r="RC6" i="46"/>
  <c r="RC16" i="46" s="1"/>
  <c r="ZG6" i="46"/>
  <c r="ZG18" i="46" s="1"/>
  <c r="QJ6" i="46"/>
  <c r="MF6" i="46"/>
  <c r="MF16" i="46" s="1"/>
  <c r="AHX6" i="46"/>
  <c r="AIU6" i="46"/>
  <c r="AIU16" i="46" s="1"/>
  <c r="NO6" i="46"/>
  <c r="NO10" i="46" s="1"/>
  <c r="ZN6" i="46"/>
  <c r="ZN15" i="46" s="1"/>
  <c r="RV6" i="46"/>
  <c r="RV16" i="46" s="1"/>
  <c r="QC6" i="46"/>
  <c r="QC18" i="46" s="1"/>
  <c r="ABF6" i="46"/>
  <c r="ABF8" i="46" s="1"/>
  <c r="GE6" i="46"/>
  <c r="XX6" i="46"/>
  <c r="AAC6" i="46"/>
  <c r="AAC14" i="46" s="1"/>
  <c r="ZR6" i="46"/>
  <c r="ZR10" i="46" s="1"/>
  <c r="LW6" i="46"/>
  <c r="LW16" i="46" s="1"/>
  <c r="AW6" i="46"/>
  <c r="TA6" i="46"/>
  <c r="TA17" i="46" s="1"/>
  <c r="ABU6" i="46"/>
  <c r="ABU18" i="46" s="1"/>
  <c r="HI6" i="46"/>
  <c r="AHS6" i="46"/>
  <c r="AHS18" i="46" s="1"/>
  <c r="CI6" i="46"/>
  <c r="CI4" i="46" s="1"/>
  <c r="CC6" i="46"/>
  <c r="AAK6" i="46"/>
  <c r="AAK17" i="46" s="1"/>
  <c r="WW6" i="46"/>
  <c r="WW7" i="46" s="1"/>
  <c r="ABD6" i="46"/>
  <c r="ABD17" i="46" s="1"/>
  <c r="KC6" i="46"/>
  <c r="KC10" i="46" s="1"/>
  <c r="ABN6" i="46"/>
  <c r="ABN11" i="46" s="1"/>
  <c r="ACN6" i="46"/>
  <c r="ACN8" i="46" s="1"/>
  <c r="XU6" i="46"/>
  <c r="XU17" i="46" s="1"/>
  <c r="AII6" i="46"/>
  <c r="AII4" i="46" s="1"/>
  <c r="UJ6" i="46"/>
  <c r="UJ4" i="46" s="1"/>
  <c r="VH6" i="46"/>
  <c r="VH13" i="46" s="1"/>
  <c r="CR6" i="46"/>
  <c r="BA6" i="46"/>
  <c r="BE6" i="46"/>
  <c r="WV6" i="46"/>
  <c r="WV4" i="46" s="1"/>
  <c r="RD6" i="46"/>
  <c r="RD14" i="46" s="1"/>
  <c r="AJR6" i="46"/>
  <c r="AJR4" i="46" s="1"/>
  <c r="DE6" i="46"/>
  <c r="QN6" i="46"/>
  <c r="GY6" i="46"/>
  <c r="YS6" i="46"/>
  <c r="YS4" i="46" s="1"/>
  <c r="AIF6" i="46"/>
  <c r="AIF14" i="46" s="1"/>
  <c r="OW6" i="46"/>
  <c r="VD6" i="46"/>
  <c r="VD10" i="46" s="1"/>
  <c r="GC6" i="46"/>
  <c r="XD6" i="46"/>
  <c r="IZ6" i="46"/>
  <c r="HH6" i="46"/>
  <c r="AKJ6" i="46"/>
  <c r="AKJ7" i="46" s="1"/>
  <c r="LB6" i="46"/>
  <c r="QM6" i="46"/>
  <c r="ACV6" i="46"/>
  <c r="ACV7" i="46" s="1"/>
  <c r="AEN6" i="46"/>
  <c r="AEN10" i="46" s="1"/>
  <c r="TE6" i="46"/>
  <c r="TE15" i="46" s="1"/>
  <c r="AHR6" i="46"/>
  <c r="AHR11" i="46" s="1"/>
  <c r="JC6" i="46"/>
  <c r="OC6" i="46"/>
  <c r="OC17" i="46" s="1"/>
  <c r="AIS6" i="46"/>
  <c r="AIS7" i="46" s="1"/>
  <c r="AGL6" i="46"/>
  <c r="AGL17" i="46" s="1"/>
  <c r="YE6" i="46"/>
  <c r="YE10" i="46" s="1"/>
  <c r="GQ6" i="46"/>
  <c r="AFS6" i="46"/>
  <c r="AFS13" i="46" s="1"/>
  <c r="GX6" i="46"/>
  <c r="ADM6" i="46"/>
  <c r="ADM16" i="46" s="1"/>
  <c r="AN6" i="46"/>
  <c r="TO6" i="46"/>
  <c r="TO13" i="46" s="1"/>
  <c r="QW6" i="46"/>
  <c r="QW12" i="46" s="1"/>
  <c r="EH6" i="46"/>
  <c r="EH4" i="46" s="1"/>
  <c r="ZI6" i="46"/>
  <c r="ZI9" i="46" s="1"/>
  <c r="AIN6" i="46"/>
  <c r="AIN12" i="46" s="1"/>
  <c r="AJ4" i="46"/>
  <c r="ADZ6" i="46"/>
  <c r="ADZ16" i="46" s="1"/>
  <c r="AHL6" i="46"/>
  <c r="AHL13" i="46" s="1"/>
  <c r="AHA6" i="46"/>
  <c r="AHA7" i="46" s="1"/>
  <c r="AGF6" i="46"/>
  <c r="AGF4" i="46" s="1"/>
  <c r="PL6" i="46"/>
  <c r="PL8" i="46" s="1"/>
  <c r="GZ6" i="46"/>
  <c r="OU6" i="46"/>
  <c r="MO6" i="46"/>
  <c r="MO13" i="46" s="1"/>
  <c r="WL6" i="46"/>
  <c r="WL11" i="46" s="1"/>
  <c r="BR11" i="92"/>
  <c r="BS11" i="92" s="1"/>
  <c r="ABT6" i="46"/>
  <c r="ABT12" i="46" s="1"/>
  <c r="BL11" i="107"/>
  <c r="BN11" i="107" s="1"/>
  <c r="ADQ6" i="46"/>
  <c r="ADQ9" i="46" s="1"/>
  <c r="LZ6" i="46"/>
  <c r="PO6" i="46"/>
  <c r="JH6" i="46"/>
  <c r="JH4" i="46" s="1"/>
  <c r="KE6" i="46"/>
  <c r="IP6" i="46"/>
  <c r="HW6" i="46"/>
  <c r="SN6" i="46"/>
  <c r="AZ6" i="46"/>
  <c r="ACO6" i="46"/>
  <c r="BR6" i="46"/>
  <c r="RF6" i="46"/>
  <c r="RF8" i="46" s="1"/>
  <c r="UY6" i="46"/>
  <c r="UY9" i="46" s="1"/>
  <c r="FM6" i="46"/>
  <c r="RW6" i="46"/>
  <c r="RW9" i="46" s="1"/>
  <c r="QD6" i="46"/>
  <c r="AHD6" i="46"/>
  <c r="AHD13" i="46" s="1"/>
  <c r="MR6" i="46"/>
  <c r="AHG6" i="46"/>
  <c r="AHG12" i="46" s="1"/>
  <c r="AHV6" i="46"/>
  <c r="AHV14" i="46" s="1"/>
  <c r="TV6" i="46"/>
  <c r="TV16" i="46" s="1"/>
  <c r="YO6" i="46"/>
  <c r="YO17" i="46" s="1"/>
  <c r="ZC6" i="46"/>
  <c r="ZC11" i="46" s="1"/>
  <c r="VN6" i="46"/>
  <c r="VN15" i="46" s="1"/>
  <c r="NZ6" i="46"/>
  <c r="NZ4" i="46" s="1"/>
  <c r="RT6" i="46"/>
  <c r="RT15" i="46" s="1"/>
  <c r="DC6" i="46"/>
  <c r="PN6" i="46"/>
  <c r="PN8" i="46" s="1"/>
  <c r="OY6" i="46"/>
  <c r="OY18" i="46" s="1"/>
  <c r="ABS6" i="46"/>
  <c r="ABS4" i="46" s="1"/>
  <c r="QL6" i="46"/>
  <c r="QL17" i="46" s="1"/>
  <c r="NT6" i="46"/>
  <c r="KW6" i="46"/>
  <c r="YD6" i="46"/>
  <c r="IQ6" i="46"/>
  <c r="IQ4" i="46" s="1"/>
  <c r="QS6" i="46"/>
  <c r="QS14" i="46" s="1"/>
  <c r="IO6" i="46"/>
  <c r="IO13" i="46" s="1"/>
  <c r="FL6" i="46"/>
  <c r="FL8" i="46" s="1"/>
  <c r="CX6" i="46"/>
  <c r="ZU6" i="46"/>
  <c r="ZU16" i="46" s="1"/>
  <c r="AH20" i="98"/>
  <c r="AX29" i="92"/>
  <c r="BQ9" i="92"/>
  <c r="BT9" i="92" s="1"/>
  <c r="AAF6" i="46"/>
  <c r="AAF16" i="46" s="1"/>
  <c r="EP6" i="46"/>
  <c r="AGR6" i="46"/>
  <c r="AGR16" i="46" s="1"/>
  <c r="YT6" i="46"/>
  <c r="ZX6" i="46"/>
  <c r="ZX14" i="46" s="1"/>
  <c r="AAE6" i="46"/>
  <c r="AAE13" i="46" s="1"/>
  <c r="PR6" i="46"/>
  <c r="PR17" i="46" s="1"/>
  <c r="AGH6" i="46"/>
  <c r="AGH14" i="46" s="1"/>
  <c r="AJQ6" i="46"/>
  <c r="UO6" i="46"/>
  <c r="UO14" i="46" s="1"/>
  <c r="AIQ6" i="46"/>
  <c r="US6" i="46"/>
  <c r="US18" i="46" s="1"/>
  <c r="JT6" i="46"/>
  <c r="NC6" i="46"/>
  <c r="TH6" i="46"/>
  <c r="TH18" i="46" s="1"/>
  <c r="QB6" i="46"/>
  <c r="EU6" i="46"/>
  <c r="PV6" i="46"/>
  <c r="PV18" i="46" s="1"/>
  <c r="ADV6" i="46"/>
  <c r="ADV8" i="46" s="1"/>
  <c r="ACG6" i="46"/>
  <c r="IG6" i="46"/>
  <c r="QY6" i="46"/>
  <c r="HM6" i="46"/>
  <c r="FP6" i="46"/>
  <c r="IY6" i="46"/>
  <c r="IY15" i="46" s="1"/>
  <c r="OJ6" i="46"/>
  <c r="AAI6" i="46"/>
  <c r="AAI9" i="46" s="1"/>
  <c r="GT6" i="46"/>
  <c r="AAW6" i="46"/>
  <c r="AAW4" i="46" s="1"/>
  <c r="ABV6" i="46"/>
  <c r="ABV16" i="46" s="1"/>
  <c r="NB6" i="46"/>
  <c r="NB13" i="46" s="1"/>
  <c r="AIW6" i="46"/>
  <c r="AIW12" i="46" s="1"/>
  <c r="UC6" i="46"/>
  <c r="UC17" i="46" s="1"/>
  <c r="FI6" i="46"/>
  <c r="ACY6" i="46"/>
  <c r="ACY12" i="46" s="1"/>
  <c r="JG6" i="46"/>
  <c r="AAB6" i="46"/>
  <c r="AAB4" i="46" s="1"/>
  <c r="GJ6" i="46"/>
  <c r="GJ4" i="46" s="1"/>
  <c r="XC6" i="46"/>
  <c r="XC4" i="46" s="1"/>
  <c r="DK6" i="46"/>
  <c r="VB6" i="46"/>
  <c r="FJ6" i="46"/>
  <c r="YK6" i="46"/>
  <c r="YK15" i="46" s="1"/>
  <c r="GO6" i="46"/>
  <c r="WA6" i="46"/>
  <c r="WA12" i="46" s="1"/>
  <c r="AIR6" i="46"/>
  <c r="KV6" i="46"/>
  <c r="XY6" i="46"/>
  <c r="XY11" i="46" s="1"/>
  <c r="DA6" i="46"/>
  <c r="TT6" i="46"/>
  <c r="TT13" i="46" s="1"/>
  <c r="AHZ6" i="46"/>
  <c r="AHZ13" i="46" s="1"/>
  <c r="MT6" i="46"/>
  <c r="ACC6" i="46"/>
  <c r="ACC11" i="46" s="1"/>
  <c r="GW6" i="46"/>
  <c r="RM6" i="46"/>
  <c r="RM4" i="46" s="1"/>
  <c r="ADH6" i="46"/>
  <c r="ADH8" i="46" s="1"/>
  <c r="AP6" i="46"/>
  <c r="IU6" i="46"/>
  <c r="UP6" i="46"/>
  <c r="UP7" i="46" s="1"/>
  <c r="AIC6" i="46"/>
  <c r="AIC17" i="46" s="1"/>
  <c r="OK6" i="46"/>
  <c r="OK13" i="46" s="1"/>
  <c r="AEH6" i="46"/>
  <c r="AEH15" i="46" s="1"/>
  <c r="ID6" i="46"/>
  <c r="SW6" i="46"/>
  <c r="ABI6" i="46"/>
  <c r="ABI17" i="46" s="1"/>
  <c r="AED6" i="46"/>
  <c r="AED18" i="46" s="1"/>
  <c r="AGE6" i="46"/>
  <c r="AGE10" i="46" s="1"/>
  <c r="AJT6" i="46"/>
  <c r="HB6" i="46"/>
  <c r="WE6" i="46"/>
  <c r="AJH6" i="46"/>
  <c r="PP6" i="46"/>
  <c r="PP17" i="46" s="1"/>
  <c r="AFY6" i="46"/>
  <c r="AFY7" i="46" s="1"/>
  <c r="MG6" i="46"/>
  <c r="ACP6" i="46"/>
  <c r="ACP7" i="46" s="1"/>
  <c r="IX6" i="46"/>
  <c r="AAP6" i="46"/>
  <c r="AAP11" i="46" s="1"/>
  <c r="AT6" i="46"/>
  <c r="LU6" i="46"/>
  <c r="SI6" i="46"/>
  <c r="SI4" i="46" s="1"/>
  <c r="UR6" i="46"/>
  <c r="UR9" i="46" s="1"/>
  <c r="XO6" i="46"/>
  <c r="XO7" i="46" s="1"/>
  <c r="ABZ6" i="46"/>
  <c r="ABZ18" i="46" s="1"/>
  <c r="AGA6" i="46"/>
  <c r="AGA8" i="46" s="1"/>
  <c r="ADK6" i="46"/>
  <c r="ADK4" i="46" s="1"/>
  <c r="BV6" i="46"/>
  <c r="IB6" i="46"/>
  <c r="ABJ6" i="46"/>
  <c r="EN6" i="46"/>
  <c r="BT6" i="46"/>
  <c r="AKR6" i="46"/>
  <c r="AKR18" i="46" s="1"/>
  <c r="VZ6" i="46"/>
  <c r="VZ11" i="46" s="1"/>
  <c r="IE6" i="46"/>
  <c r="AAR6" i="46"/>
  <c r="AY6" i="46"/>
  <c r="ES6" i="46"/>
  <c r="KD6" i="46"/>
  <c r="KD16" i="46" s="1"/>
  <c r="SK6" i="46"/>
  <c r="SK13" i="46" s="1"/>
  <c r="RG6" i="46"/>
  <c r="FX6" i="46"/>
  <c r="AJU6" i="46"/>
  <c r="ZH6" i="46"/>
  <c r="ZH13" i="46" s="1"/>
  <c r="AHO6" i="46"/>
  <c r="AHO13" i="46" s="1"/>
  <c r="TJ6" i="46"/>
  <c r="TJ13" i="46" s="1"/>
  <c r="VE6" i="46"/>
  <c r="VE12" i="46" s="1"/>
  <c r="AJF6" i="46"/>
  <c r="AJF13" i="46" s="1"/>
  <c r="SP6" i="46"/>
  <c r="SP12" i="46" s="1"/>
  <c r="BZ6" i="46"/>
  <c r="SG6" i="46"/>
  <c r="SG10" i="46" s="1"/>
  <c r="BQ6" i="46"/>
  <c r="QQ6" i="46"/>
  <c r="QQ10" i="46" s="1"/>
  <c r="AEZ6" i="46"/>
  <c r="AEZ16" i="46" s="1"/>
  <c r="IV6" i="46"/>
  <c r="SE6" i="46"/>
  <c r="SE18" i="46" s="1"/>
  <c r="AGD6" i="46"/>
  <c r="AGD16" i="46" s="1"/>
  <c r="MD6" i="46"/>
  <c r="MD14" i="46" s="1"/>
  <c r="ACS6" i="46"/>
  <c r="ACS10" i="46" s="1"/>
  <c r="IS6" i="46"/>
  <c r="SS6" i="46"/>
  <c r="SS17" i="46" s="1"/>
  <c r="ZP6" i="46"/>
  <c r="ZP10" i="46" s="1"/>
  <c r="AJW6" i="46"/>
  <c r="AJW16" i="46" s="1"/>
  <c r="JE6" i="46"/>
  <c r="WF6" i="46"/>
  <c r="AFF6" i="46"/>
  <c r="HF6" i="46"/>
  <c r="RI6" i="46"/>
  <c r="RI14" i="46" s="1"/>
  <c r="ACE6" i="46"/>
  <c r="ACE14" i="46" s="1"/>
  <c r="AGP6" i="46"/>
  <c r="AHU6" i="46"/>
  <c r="AHU17" i="46" s="1"/>
  <c r="BU6" i="46"/>
  <c r="LP6" i="46"/>
  <c r="VU6" i="46"/>
  <c r="VU14" i="46" s="1"/>
  <c r="AKD6" i="46"/>
  <c r="AKD11" i="46" s="1"/>
  <c r="BJ6" i="46"/>
  <c r="JI6" i="46"/>
  <c r="KY6" i="46"/>
  <c r="ER6" i="46"/>
  <c r="CQ6" i="46"/>
  <c r="DT6" i="46"/>
  <c r="NE6" i="46"/>
  <c r="NE16" i="46" s="1"/>
  <c r="ZL6" i="46"/>
  <c r="ZL7" i="46" s="1"/>
  <c r="DH6" i="46"/>
  <c r="DH17" i="46" s="1"/>
  <c r="OS6" i="46"/>
  <c r="AAD6" i="46"/>
  <c r="AAD9" i="46" s="1"/>
  <c r="DZ6" i="46"/>
  <c r="NR6" i="46"/>
  <c r="VI6" i="46"/>
  <c r="VI7" i="46" s="1"/>
  <c r="AAY6" i="46"/>
  <c r="QP6" i="46"/>
  <c r="OM6" i="46"/>
  <c r="OM14" i="46" s="1"/>
  <c r="QX6" i="46"/>
  <c r="QX16" i="46" s="1"/>
  <c r="ABO6" i="46"/>
  <c r="ABO7" i="46" s="1"/>
  <c r="DS6" i="46"/>
  <c r="WN6" i="46"/>
  <c r="HT6" i="46"/>
  <c r="AAQ6" i="46"/>
  <c r="AAQ18" i="46" s="1"/>
  <c r="JK6" i="46"/>
  <c r="ACF6" i="46"/>
  <c r="ACF18" i="46" s="1"/>
  <c r="KZ6" i="46"/>
  <c r="KZ15" i="46" s="1"/>
  <c r="ADB6" i="46"/>
  <c r="ADB12" i="46" s="1"/>
  <c r="GP6" i="46"/>
  <c r="YC6" i="46"/>
  <c r="YC12" i="46" s="1"/>
  <c r="BY6" i="46"/>
  <c r="IW6" i="46"/>
  <c r="PT6" i="46"/>
  <c r="PT12" i="46" s="1"/>
  <c r="WI6" i="46"/>
  <c r="WI12" i="46" s="1"/>
  <c r="AEV6" i="46"/>
  <c r="AEV7" i="46" s="1"/>
  <c r="NQ6" i="46"/>
  <c r="NQ18" i="46" s="1"/>
  <c r="ON6" i="46"/>
  <c r="ON15" i="46" s="1"/>
  <c r="XE6" i="46"/>
  <c r="HR6" i="46"/>
  <c r="PY6" i="46"/>
  <c r="CY6" i="46"/>
  <c r="VW6" i="46"/>
  <c r="VW9" i="46" s="1"/>
  <c r="ADY6" i="46"/>
  <c r="ADY15" i="46" s="1"/>
  <c r="YN6" i="46"/>
  <c r="YN14" i="46" s="1"/>
  <c r="AGU6" i="46"/>
  <c r="XK6" i="46"/>
  <c r="XK12" i="46" s="1"/>
  <c r="ABR6" i="46"/>
  <c r="ZB6" i="46"/>
  <c r="ZB12" i="46" s="1"/>
  <c r="DQ6" i="46"/>
  <c r="NX6" i="46"/>
  <c r="SZ6" i="46"/>
  <c r="SZ7" i="46" s="1"/>
  <c r="UI6" i="46"/>
  <c r="UI12" i="46" s="1"/>
  <c r="KN6" i="46"/>
  <c r="KN10" i="46" s="1"/>
  <c r="SU6" i="46"/>
  <c r="SU18" i="46" s="1"/>
  <c r="AKN6" i="46"/>
  <c r="AKN7" i="46" s="1"/>
  <c r="RK6" i="46"/>
  <c r="RA6" i="46"/>
  <c r="RA4" i="46" s="1"/>
  <c r="ZZ6" i="46"/>
  <c r="JJ6" i="46"/>
  <c r="ADI6" i="46"/>
  <c r="ADI17" i="46" s="1"/>
  <c r="MS6" i="46"/>
  <c r="AFK6" i="46"/>
  <c r="EI6" i="46"/>
  <c r="SR6" i="46"/>
  <c r="AGY6" i="46"/>
  <c r="AGY9" i="46" s="1"/>
  <c r="KU6" i="46"/>
  <c r="KU10" i="46" s="1"/>
  <c r="ZJ6" i="46"/>
  <c r="ZJ17" i="46" s="1"/>
  <c r="AJM6" i="46"/>
  <c r="AJM10" i="46" s="1"/>
  <c r="PM6" i="46"/>
  <c r="PM16" i="46" s="1"/>
  <c r="AEQ6" i="46"/>
  <c r="DY6" i="46"/>
  <c r="OD6" i="46"/>
  <c r="OD11" i="46" s="1"/>
  <c r="VC6" i="46"/>
  <c r="VC18" i="46" s="1"/>
  <c r="ADP6" i="46"/>
  <c r="ADP9" i="46" s="1"/>
  <c r="HL6" i="46"/>
  <c r="RZ6" i="46"/>
  <c r="AEO6" i="46"/>
  <c r="AEO18" i="46" s="1"/>
  <c r="EC6" i="46"/>
  <c r="EC4" i="46" s="1"/>
  <c r="KM6" i="46"/>
  <c r="LR6" i="46"/>
  <c r="LR14" i="46" s="1"/>
  <c r="QE6" i="46"/>
  <c r="QE12" i="46" s="1"/>
  <c r="XL6" i="46"/>
  <c r="AFQ6" i="46"/>
  <c r="AFQ12" i="46" s="1"/>
  <c r="JM6" i="46"/>
  <c r="UD6" i="46"/>
  <c r="ZA6" i="46"/>
  <c r="AGG6" i="46"/>
  <c r="AGG12" i="46" s="1"/>
  <c r="AAL6" i="46"/>
  <c r="AAL9" i="46" s="1"/>
  <c r="YI6" i="46"/>
  <c r="YI15" i="46" s="1"/>
  <c r="ZD6" i="46"/>
  <c r="ZD17" i="46" s="1"/>
  <c r="AEU6" i="46"/>
  <c r="AEU11" i="46" s="1"/>
  <c r="BG6" i="46"/>
  <c r="ND6" i="46"/>
  <c r="ND15" i="46" s="1"/>
  <c r="ABA6" i="46"/>
  <c r="ABA7" i="46" s="1"/>
  <c r="EW6" i="46"/>
  <c r="ST6" i="46"/>
  <c r="ST12" i="46" s="1"/>
  <c r="AGT6" i="46"/>
  <c r="AGT18" i="46" s="1"/>
  <c r="AIG6" i="46"/>
  <c r="FQ6" i="46"/>
  <c r="FO6" i="46"/>
  <c r="DL6" i="46"/>
  <c r="DL4" i="46" s="1"/>
  <c r="CE6" i="46"/>
  <c r="GR6" i="46"/>
  <c r="SM6" i="46"/>
  <c r="SM10" i="46" s="1"/>
  <c r="AGJ6" i="46"/>
  <c r="AGJ8" i="46" s="1"/>
  <c r="PD6" i="46"/>
  <c r="AIA6" i="46"/>
  <c r="AIA18" i="46" s="1"/>
  <c r="QU6" i="46"/>
  <c r="QU8" i="46" s="1"/>
  <c r="AJP6" i="46"/>
  <c r="AJP18" i="46" s="1"/>
  <c r="UV6" i="46"/>
  <c r="DP6" i="46"/>
  <c r="TN6" i="46"/>
  <c r="AHY6" i="46"/>
  <c r="AHY14" i="46" s="1"/>
  <c r="LM6" i="46"/>
  <c r="LM4" i="46" s="1"/>
  <c r="WK6" i="46"/>
  <c r="WK10" i="46" s="1"/>
  <c r="ACB6" i="46"/>
  <c r="DB6" i="46"/>
  <c r="KA6" i="46"/>
  <c r="UF6" i="46"/>
  <c r="AGW6" i="46"/>
  <c r="AGW17" i="46" s="1"/>
  <c r="PG6" i="46"/>
  <c r="PG17" i="46" s="1"/>
  <c r="AIL6" i="46"/>
  <c r="TR6" i="46"/>
  <c r="TR15" i="46" s="1"/>
  <c r="AEP6" i="46"/>
  <c r="LN6" i="46"/>
  <c r="ADA6" i="46"/>
  <c r="ADA4" i="46" s="1"/>
  <c r="JY6" i="46"/>
  <c r="JY4" i="46" s="1"/>
  <c r="XQ6" i="46"/>
  <c r="AJB6" i="46"/>
  <c r="AJB12" i="46" s="1"/>
  <c r="JP6" i="46"/>
  <c r="UG6" i="46"/>
  <c r="UG16" i="46" s="1"/>
  <c r="AGX6" i="46"/>
  <c r="AGX18" i="46" s="1"/>
  <c r="LD6" i="46"/>
  <c r="LD13" i="46" s="1"/>
  <c r="ACI6" i="46"/>
  <c r="KS6" i="46"/>
  <c r="KS15" i="46" s="1"/>
  <c r="AET6" i="46"/>
  <c r="AET14" i="46" s="1"/>
  <c r="PZ6" i="46"/>
  <c r="PZ15" i="46" s="1"/>
  <c r="BF6" i="46"/>
  <c r="WM6" i="46"/>
  <c r="WM16" i="46" s="1"/>
  <c r="HS6" i="46"/>
  <c r="ACZ6" i="46"/>
  <c r="OF6" i="46"/>
  <c r="OF12" i="46" s="1"/>
  <c r="CJ6" i="46"/>
  <c r="AFX6" i="46"/>
  <c r="AFX15" i="46" s="1"/>
  <c r="ZK6" i="46"/>
  <c r="ZK15" i="46" s="1"/>
  <c r="XT6" i="46"/>
  <c r="XT8" i="46" s="1"/>
  <c r="BH6" i="46"/>
  <c r="AIE6" i="46"/>
  <c r="AS6" i="46"/>
  <c r="VR6" i="46"/>
  <c r="VR15" i="46" s="1"/>
  <c r="BR10" i="92"/>
  <c r="BV10" i="92" s="1"/>
  <c r="BQ14" i="92"/>
  <c r="BT14" i="92" s="1"/>
  <c r="BQ16" i="92"/>
  <c r="BT16" i="92" s="1"/>
  <c r="LV6" i="46"/>
  <c r="ME6" i="46"/>
  <c r="ME17" i="46" s="1"/>
  <c r="AHH6" i="46"/>
  <c r="AHH16" i="46" s="1"/>
  <c r="CM6" i="46"/>
  <c r="AEI6" i="46"/>
  <c r="AAZ6" i="46"/>
  <c r="EJ6" i="46"/>
  <c r="VP6" i="46"/>
  <c r="VP17" i="46" s="1"/>
  <c r="CU6" i="46"/>
  <c r="UA6" i="46"/>
  <c r="UA7" i="46" s="1"/>
  <c r="DR6" i="46"/>
  <c r="UX6" i="46"/>
  <c r="BS6" i="46"/>
  <c r="WQ6" i="46"/>
  <c r="WQ11" i="46" s="1"/>
  <c r="HX6" i="46"/>
  <c r="HX4" i="46" s="1"/>
  <c r="AKF6" i="46"/>
  <c r="AKF17" i="46" s="1"/>
  <c r="ACW6" i="46"/>
  <c r="ACW7" i="46" s="1"/>
  <c r="WJ6" i="46"/>
  <c r="PK6" i="46"/>
  <c r="PK12" i="46" s="1"/>
  <c r="GG6" i="46"/>
  <c r="AGC6" i="46"/>
  <c r="AGC4" i="46" s="1"/>
  <c r="RR6" i="46"/>
  <c r="RR4" i="46" s="1"/>
  <c r="MH6" i="46"/>
  <c r="MH4" i="46" s="1"/>
  <c r="ADN6" i="46"/>
  <c r="ADN15" i="46" s="1"/>
  <c r="MI6" i="46"/>
  <c r="MI17" i="46" s="1"/>
  <c r="AJS6" i="46"/>
  <c r="AJS4" i="46" s="1"/>
  <c r="ABP6" i="46"/>
  <c r="ABP18" i="46" s="1"/>
  <c r="AFI6" i="46"/>
  <c r="FE6" i="46"/>
  <c r="IC6" i="46"/>
  <c r="DN6" i="46"/>
  <c r="BD6" i="46"/>
  <c r="ZT6" i="46"/>
  <c r="ZT8" i="46" s="1"/>
  <c r="OI6" i="46"/>
  <c r="CV6" i="46"/>
  <c r="ADX6" i="46"/>
  <c r="YQ6" i="46"/>
  <c r="YQ17" i="46" s="1"/>
  <c r="YH6" i="46"/>
  <c r="YH13" i="46" s="1"/>
  <c r="MN6" i="46"/>
  <c r="AJO6" i="46"/>
  <c r="AJO7" i="46" s="1"/>
  <c r="KP6" i="46"/>
  <c r="QH6" i="46"/>
  <c r="QH12" i="46" s="1"/>
  <c r="JU6" i="46"/>
  <c r="JU17" i="46" s="1"/>
  <c r="KR6" i="46"/>
  <c r="KI6" i="46"/>
  <c r="VL6" i="46"/>
  <c r="VL16" i="46" s="1"/>
  <c r="AKQ6" i="46"/>
  <c r="AKQ15" i="46" s="1"/>
  <c r="XG6" i="46"/>
  <c r="XG9" i="46" s="1"/>
  <c r="AIO6" i="46"/>
  <c r="AIO14" i="46" s="1"/>
  <c r="HA6" i="46"/>
  <c r="CZ6" i="46"/>
  <c r="MM6" i="46"/>
  <c r="VX6" i="46"/>
  <c r="VX4" i="46" s="1"/>
  <c r="BI6" i="46"/>
  <c r="CH6" i="46"/>
  <c r="EZ6" i="46"/>
  <c r="GI6" i="46"/>
  <c r="GI4" i="46" s="1"/>
  <c r="HZ6" i="46"/>
  <c r="MY6" i="46"/>
  <c r="MY15" i="46" s="1"/>
  <c r="NI6" i="46"/>
  <c r="NI10" i="46" s="1"/>
  <c r="JZ6" i="46"/>
  <c r="JZ13" i="46" s="1"/>
  <c r="FW6" i="46"/>
  <c r="BL6" i="46"/>
  <c r="AJX6" i="46"/>
  <c r="AJX17" i="46" s="1"/>
  <c r="AKI6" i="46"/>
  <c r="AKI4" i="46" s="1"/>
  <c r="ABM6" i="46"/>
  <c r="ABM11" i="46" s="1"/>
  <c r="QT6" i="46"/>
  <c r="JB6" i="46"/>
  <c r="AEL6" i="46"/>
  <c r="AEL11" i="46" s="1"/>
  <c r="XS6" i="46"/>
  <c r="SH6" i="46"/>
  <c r="SH11" i="46" s="1"/>
  <c r="AEB6" i="46"/>
  <c r="AEB7" i="46" s="1"/>
  <c r="CB6" i="46"/>
  <c r="AIX6" i="46"/>
  <c r="AIX4" i="46" s="1"/>
  <c r="NS6" i="46"/>
  <c r="NS14" i="46" s="1"/>
  <c r="BP6" i="46"/>
  <c r="EV6" i="46"/>
  <c r="KL6" i="46"/>
  <c r="KL13" i="46" s="1"/>
  <c r="JL6" i="46"/>
  <c r="JL15" i="46" s="1"/>
  <c r="MP6" i="46"/>
  <c r="MP13" i="46" s="1"/>
  <c r="AGK6" i="46"/>
  <c r="AGK17" i="46" s="1"/>
  <c r="BO6" i="46"/>
  <c r="ABH6" i="46"/>
  <c r="ABH15" i="46" s="1"/>
  <c r="AHP6" i="46"/>
  <c r="AHP18" i="46" s="1"/>
  <c r="CP6" i="46"/>
  <c r="AJL6" i="46"/>
  <c r="AJL4" i="46" s="1"/>
  <c r="WR6" i="46"/>
  <c r="WR11" i="46" s="1"/>
  <c r="AFD6" i="46"/>
  <c r="AFD17" i="46" s="1"/>
  <c r="UM6" i="46"/>
  <c r="UM15" i="46" s="1"/>
  <c r="WB6" i="46"/>
  <c r="WB9" i="46" s="1"/>
  <c r="GV6" i="46"/>
  <c r="YB6" i="46"/>
  <c r="YB13" i="46" s="1"/>
  <c r="FG6" i="46"/>
  <c r="YY6" i="46"/>
  <c r="GD6" i="46"/>
  <c r="XJ6" i="46"/>
  <c r="EY6" i="46"/>
  <c r="EY17" i="46" s="1"/>
  <c r="ZM6" i="46"/>
  <c r="ZM12" i="46" s="1"/>
  <c r="PH6" i="46"/>
  <c r="PH18" i="46" s="1"/>
  <c r="DW6" i="46"/>
  <c r="DW4" i="46" s="1"/>
  <c r="AHK6" i="46"/>
  <c r="AHK9" i="46" s="1"/>
  <c r="AAV6" i="46"/>
  <c r="AAV12" i="46" s="1"/>
  <c r="TY6" i="46"/>
  <c r="NA6" i="46"/>
  <c r="NA17" i="46" s="1"/>
  <c r="AJE6" i="46"/>
  <c r="AJE9" i="46" s="1"/>
  <c r="VJ6" i="46"/>
  <c r="VJ10" i="46" s="1"/>
  <c r="OT6" i="46"/>
  <c r="OT16" i="46" s="1"/>
  <c r="AFZ6" i="46"/>
  <c r="AFZ13" i="46" s="1"/>
  <c r="SC6" i="46"/>
  <c r="CD6" i="46"/>
  <c r="AID6" i="46"/>
  <c r="AID11" i="46" s="1"/>
  <c r="HD6" i="46"/>
  <c r="NK6" i="46"/>
  <c r="NK17" i="46" s="1"/>
  <c r="OG6" i="46"/>
  <c r="OG17" i="46" s="1"/>
  <c r="NJ6" i="46"/>
  <c r="GB6" i="46"/>
  <c r="AER6" i="46"/>
  <c r="AER9" i="46" s="1"/>
  <c r="TG6" i="46"/>
  <c r="TG8" i="46" s="1"/>
  <c r="KF6" i="46"/>
  <c r="AIV6" i="46"/>
  <c r="AEK6" i="46"/>
  <c r="GS6" i="46"/>
  <c r="ADT6" i="46"/>
  <c r="ADT11" i="46" s="1"/>
  <c r="IK6" i="46"/>
  <c r="RB6" i="46"/>
  <c r="VF6" i="46"/>
  <c r="TQ6" i="46"/>
  <c r="SB6" i="46"/>
  <c r="SB10" i="46" s="1"/>
  <c r="QA6" i="46"/>
  <c r="QA8" i="46" s="1"/>
  <c r="ACJ6" i="46"/>
  <c r="ACJ9" i="46" s="1"/>
  <c r="RL6" i="46"/>
  <c r="RL13" i="46" s="1"/>
  <c r="AJY6" i="46"/>
  <c r="AJY14" i="46" s="1"/>
  <c r="KX6" i="46"/>
  <c r="KX14" i="46" s="1"/>
  <c r="LY6" i="46"/>
  <c r="OL6" i="46"/>
  <c r="OL17" i="46" s="1"/>
  <c r="TK6" i="46"/>
  <c r="TK8" i="46" s="1"/>
  <c r="AKH6" i="46"/>
  <c r="AKH15" i="46" s="1"/>
  <c r="JQ6" i="46"/>
  <c r="KH6" i="46"/>
  <c r="KH16" i="46" s="1"/>
  <c r="JX6" i="46"/>
  <c r="MA6" i="46"/>
  <c r="MA4" i="46" s="1"/>
  <c r="TX6" i="46"/>
  <c r="YW6" i="46"/>
  <c r="YW12" i="46" s="1"/>
  <c r="WG6" i="46"/>
  <c r="WG16" i="46" s="1"/>
  <c r="OH6" i="46"/>
  <c r="OH4" i="46" s="1"/>
  <c r="NG6" i="46"/>
  <c r="NG15" i="46" s="1"/>
  <c r="LH6" i="46"/>
  <c r="LH15" i="46" s="1"/>
  <c r="LS6" i="46"/>
  <c r="DM6" i="46"/>
  <c r="AFE6" i="46"/>
  <c r="AFE10" i="46" s="1"/>
  <c r="UL6" i="46"/>
  <c r="UL16" i="46" s="1"/>
  <c r="HU6" i="46"/>
  <c r="RS6" i="46"/>
  <c r="RS4" i="46" s="1"/>
  <c r="NW6" i="46"/>
  <c r="NW10" i="46" s="1"/>
  <c r="AAG6" i="46"/>
  <c r="AAG4" i="46" s="1"/>
  <c r="IH6" i="46"/>
  <c r="NM6" i="46"/>
  <c r="GH6" i="46"/>
  <c r="AAT6" i="46"/>
  <c r="AAT16" i="46" s="1"/>
  <c r="ABW6" i="46"/>
  <c r="ABW8" i="46" s="1"/>
  <c r="ML6" i="46"/>
  <c r="ML4" i="46" s="1"/>
  <c r="XB6" i="46"/>
  <c r="AES6" i="46"/>
  <c r="DO6" i="46"/>
  <c r="OA6" i="46"/>
  <c r="OA18" i="46" s="1"/>
  <c r="AFC6" i="46"/>
  <c r="BR12" i="92"/>
  <c r="BW12" i="92" s="1"/>
  <c r="BQ13" i="92"/>
  <c r="BT13" i="92" s="1"/>
  <c r="BR15" i="92"/>
  <c r="BV15" i="92" s="1"/>
  <c r="K17" i="90"/>
  <c r="AE16" i="46"/>
  <c r="AJ16" i="46" s="1"/>
  <c r="AE15" i="46"/>
  <c r="AJ15" i="46" s="1"/>
  <c r="BL9" i="107"/>
  <c r="BN9" i="107" s="1"/>
  <c r="BL7" i="107"/>
  <c r="BL12" i="107"/>
  <c r="BN12" i="107" s="1"/>
  <c r="BL10" i="107"/>
  <c r="BN10" i="107" s="1"/>
  <c r="AH25" i="98"/>
  <c r="AX26" i="92"/>
  <c r="AX15" i="92"/>
  <c r="AY15" i="92"/>
  <c r="AKA6" i="46"/>
  <c r="XA6" i="46"/>
  <c r="XA14" i="46" s="1"/>
  <c r="VG6" i="46"/>
  <c r="VG10" i="46" s="1"/>
  <c r="PF6" i="46"/>
  <c r="PF15" i="46" s="1"/>
  <c r="CT6" i="46"/>
  <c r="LA6" i="46"/>
  <c r="YF6" i="46"/>
  <c r="YF12" i="46" s="1"/>
  <c r="JO6" i="46"/>
  <c r="KO6" i="46"/>
  <c r="KO15" i="46" s="1"/>
  <c r="OR6" i="46"/>
  <c r="OR14" i="46" s="1"/>
  <c r="WY6" i="46"/>
  <c r="WY15" i="46" s="1"/>
  <c r="FU6" i="46"/>
  <c r="AAA6" i="46"/>
  <c r="AAA10" i="46" s="1"/>
  <c r="XM6" i="46"/>
  <c r="YX6" i="46"/>
  <c r="YX11" i="46" s="1"/>
  <c r="AHE6" i="46"/>
  <c r="AHE13" i="46" s="1"/>
  <c r="ZW6" i="46"/>
  <c r="TB6" i="46"/>
  <c r="TB18" i="46" s="1"/>
  <c r="IT6" i="46"/>
  <c r="AEF6" i="46"/>
  <c r="AEF16" i="46" s="1"/>
  <c r="CL6" i="46"/>
  <c r="JD6" i="46"/>
  <c r="JD10" i="46" s="1"/>
  <c r="IM6" i="46"/>
  <c r="IM15" i="46" s="1"/>
  <c r="WH6" i="46"/>
  <c r="WH12" i="46" s="1"/>
  <c r="FR6" i="46"/>
  <c r="ZQ6" i="46"/>
  <c r="JA6" i="46"/>
  <c r="YA6" i="46"/>
  <c r="YA13" i="46" s="1"/>
  <c r="BW6" i="46"/>
  <c r="QF6" i="46"/>
  <c r="QF14" i="46" s="1"/>
  <c r="AEM6" i="46"/>
  <c r="AEM15" i="46" s="1"/>
  <c r="II6" i="46"/>
  <c r="XF6" i="46"/>
  <c r="XF15" i="46" s="1"/>
  <c r="DF6" i="46"/>
  <c r="RQ6" i="46"/>
  <c r="RQ12" i="46" s="1"/>
  <c r="AHM6" i="46"/>
  <c r="AHM17" i="46" s="1"/>
  <c r="HG6" i="46"/>
  <c r="QZ6" i="46"/>
  <c r="AAU6" i="46"/>
  <c r="AAU17" i="46" s="1"/>
  <c r="AO6" i="46"/>
  <c r="OV6" i="46"/>
  <c r="XN6" i="46"/>
  <c r="XN17" i="46" s="1"/>
  <c r="AKC6" i="46"/>
  <c r="AKC7" i="46" s="1"/>
  <c r="MC6" i="46"/>
  <c r="UU6" i="46"/>
  <c r="UU4" i="46" s="1"/>
  <c r="ZF6" i="46"/>
  <c r="ZF11" i="46" s="1"/>
  <c r="AEC6" i="46"/>
  <c r="AEC18" i="46" s="1"/>
  <c r="AJJ6" i="46"/>
  <c r="AJJ18" i="46" s="1"/>
  <c r="FV6" i="46"/>
  <c r="TI6" i="46"/>
  <c r="TI18" i="46" s="1"/>
  <c r="AHB6" i="46"/>
  <c r="AHB13" i="46" s="1"/>
  <c r="EL6" i="46"/>
  <c r="MK6" i="46"/>
  <c r="MK17" i="46" s="1"/>
  <c r="PA6" i="46"/>
  <c r="PA13" i="46" s="1"/>
  <c r="MX6" i="46"/>
  <c r="MX15" i="46" s="1"/>
  <c r="HC6" i="46"/>
  <c r="KT6" i="46"/>
  <c r="KT13" i="46" s="1"/>
  <c r="SY6" i="46"/>
  <c r="SY8" i="46" s="1"/>
  <c r="AEJ6" i="46"/>
  <c r="AEJ18" i="46" s="1"/>
  <c r="IF6" i="46"/>
  <c r="IF15" i="46" s="1"/>
  <c r="WC6" i="46"/>
  <c r="AJZ6" i="46"/>
  <c r="LJ6" i="46"/>
  <c r="LJ16" i="46" s="1"/>
  <c r="WX6" i="46"/>
  <c r="WX9" i="46" s="1"/>
  <c r="AFM6" i="46"/>
  <c r="AFM12" i="46" s="1"/>
  <c r="CO6" i="46"/>
  <c r="BM6" i="46"/>
  <c r="AKG6" i="46"/>
  <c r="AKG4" i="46" s="1"/>
  <c r="AIZ6" i="46"/>
  <c r="AIZ14" i="46" s="1"/>
  <c r="AKE6" i="46"/>
  <c r="AKE7" i="46" s="1"/>
  <c r="JW6" i="46"/>
  <c r="JW15" i="46" s="1"/>
  <c r="YZ6" i="46"/>
  <c r="YZ9" i="46" s="1"/>
  <c r="FH6" i="46"/>
  <c r="VS6" i="46"/>
  <c r="CA6" i="46"/>
  <c r="SJ6" i="46"/>
  <c r="SJ11" i="46" s="1"/>
  <c r="AJN6" i="46"/>
  <c r="AJN8" i="46" s="1"/>
  <c r="JR6" i="46"/>
  <c r="JR13" i="46" s="1"/>
  <c r="VA6" i="46"/>
  <c r="VA14" i="46" s="1"/>
  <c r="AEE6" i="46"/>
  <c r="AEE15" i="46" s="1"/>
  <c r="AGZ6" i="46"/>
  <c r="AGZ7" i="46" s="1"/>
  <c r="AJA6" i="46"/>
  <c r="AJA7" i="46" s="1"/>
  <c r="BK6" i="46"/>
  <c r="JN6" i="46"/>
  <c r="JN4" i="46" s="1"/>
  <c r="N11" i="90"/>
  <c r="O11" i="90" s="1"/>
  <c r="AV14" i="92"/>
  <c r="AW14" i="92" s="1"/>
  <c r="AY14" i="92"/>
  <c r="ACL6" i="46"/>
  <c r="ACL8" i="46" s="1"/>
  <c r="DU6" i="46"/>
  <c r="DU4" i="46" s="1"/>
  <c r="GM6" i="46"/>
  <c r="AKP6" i="46"/>
  <c r="AKP9" i="46" s="1"/>
  <c r="QG6" i="46"/>
  <c r="FZ6" i="46"/>
  <c r="FK6" i="46"/>
  <c r="SV6" i="46"/>
  <c r="SV11" i="46" s="1"/>
  <c r="RN6" i="46"/>
  <c r="RN13" i="46" s="1"/>
  <c r="UW6" i="46"/>
  <c r="UW16" i="46" s="1"/>
  <c r="AFP6" i="46"/>
  <c r="AFP17" i="46" s="1"/>
  <c r="AHT6" i="46"/>
  <c r="AHT16" i="46" s="1"/>
  <c r="ZS6" i="46"/>
  <c r="ZS17" i="46" s="1"/>
  <c r="AFV6" i="46"/>
  <c r="AFV10" i="46" s="1"/>
  <c r="DG6" i="46"/>
  <c r="GN6" i="46"/>
  <c r="AGM6" i="46"/>
  <c r="AGM4" i="46" s="1"/>
  <c r="PJ6" i="46"/>
  <c r="AGS6" i="46"/>
  <c r="AGS17" i="46" s="1"/>
  <c r="TZ6" i="46"/>
  <c r="TZ18" i="46" s="1"/>
  <c r="XI6" i="46"/>
  <c r="XI8" i="46" s="1"/>
  <c r="AKB6" i="46"/>
  <c r="AKB14" i="46" s="1"/>
  <c r="EG6" i="46"/>
  <c r="AHC6" i="46"/>
  <c r="AHC14" i="46" s="1"/>
  <c r="AR6" i="46"/>
  <c r="EA6" i="46"/>
  <c r="HJ6" i="46"/>
  <c r="AJI6" i="46"/>
  <c r="AJI4" i="46" s="1"/>
  <c r="TL6" i="46"/>
  <c r="TL15" i="46" s="1"/>
  <c r="AKK6" i="46"/>
  <c r="AKK16" i="46" s="1"/>
  <c r="ADR6" i="46"/>
  <c r="ADR13" i="46" s="1"/>
  <c r="OX6" i="46"/>
  <c r="OX13" i="46" s="1"/>
  <c r="AKS6" i="46"/>
  <c r="AKS16" i="46" s="1"/>
  <c r="VY6" i="46"/>
  <c r="VY11" i="46" s="1"/>
  <c r="HE6" i="46"/>
  <c r="AAM6" i="46"/>
  <c r="AAM15" i="46" s="1"/>
  <c r="GU6" i="46"/>
  <c r="XP6" i="46"/>
  <c r="XP15" i="46" s="1"/>
  <c r="DX6" i="46"/>
  <c r="UQ6" i="46"/>
  <c r="UQ12" i="46" s="1"/>
  <c r="AKL6" i="46"/>
  <c r="AKL11" i="46" s="1"/>
  <c r="SX6" i="46"/>
  <c r="BB6" i="46"/>
  <c r="TU6" i="46"/>
  <c r="TU17" i="46" s="1"/>
  <c r="CG6" i="46"/>
  <c r="PW6" i="46"/>
  <c r="PW16" i="46" s="1"/>
  <c r="ACX6" i="46"/>
  <c r="ACX16" i="46" s="1"/>
  <c r="FD6" i="46"/>
  <c r="RU6" i="46"/>
  <c r="RU13" i="46" s="1"/>
  <c r="AGB6" i="46"/>
  <c r="AGB18" i="46" s="1"/>
  <c r="MJ6" i="46"/>
  <c r="MJ15" i="46" s="1"/>
  <c r="AAH6" i="46"/>
  <c r="ET6" i="46"/>
  <c r="UK6" i="46"/>
  <c r="UK18" i="46" s="1"/>
  <c r="AJC6" i="46"/>
  <c r="AJC12" i="46" s="1"/>
  <c r="GK6" i="46"/>
  <c r="OZ6" i="46"/>
  <c r="OZ10" i="46" s="1"/>
  <c r="WS6" i="46"/>
  <c r="WS11" i="46" s="1"/>
  <c r="AGN6" i="46"/>
  <c r="AGN4" i="46" s="1"/>
  <c r="IR6" i="46"/>
  <c r="YG6" i="46"/>
  <c r="YG15" i="46" s="1"/>
  <c r="EO6" i="46"/>
  <c r="RJ6" i="46"/>
  <c r="RJ18" i="46" s="1"/>
  <c r="ACK6" i="46"/>
  <c r="ACK14" i="46" s="1"/>
  <c r="CW6" i="46"/>
  <c r="GA6" i="46"/>
  <c r="JF6" i="46"/>
  <c r="JF13" i="46" s="1"/>
  <c r="LG6" i="46"/>
  <c r="LG15" i="46" s="1"/>
  <c r="SD6" i="46"/>
  <c r="SD8" i="46" s="1"/>
  <c r="ABY6" i="46"/>
  <c r="ABY13" i="46" s="1"/>
  <c r="EE6" i="46"/>
  <c r="UN6" i="46"/>
  <c r="UN16" i="46" s="1"/>
  <c r="AV6" i="46"/>
  <c r="BJ5" i="121" s="1"/>
  <c r="RE6" i="46"/>
  <c r="AHN6" i="46"/>
  <c r="AHN10" i="46" s="1"/>
  <c r="NV6" i="46"/>
  <c r="ADJ6" i="46"/>
  <c r="ADJ11" i="46" s="1"/>
  <c r="ED6" i="46"/>
  <c r="PE6" i="46"/>
  <c r="PE15" i="46" s="1"/>
  <c r="WU6" i="46"/>
  <c r="WU14" i="46" s="1"/>
  <c r="YV6" i="46"/>
  <c r="YV11" i="46" s="1"/>
  <c r="ABQ6" i="46"/>
  <c r="ABQ16" i="46" s="1"/>
  <c r="AFH6" i="46"/>
  <c r="AFH10" i="46" s="1"/>
  <c r="DJ6" i="46"/>
  <c r="PQ6" i="46"/>
  <c r="PQ15" i="46" s="1"/>
  <c r="AE11" i="46"/>
  <c r="AJ11" i="46" s="1"/>
  <c r="N15" i="90"/>
  <c r="O15" i="90" s="1"/>
  <c r="AZ15" i="108"/>
  <c r="AH13" i="98"/>
  <c r="AV26" i="92"/>
  <c r="AW26" i="92" s="1"/>
  <c r="BD26" i="92" s="1"/>
  <c r="AX27" i="92"/>
  <c r="AV29" i="92"/>
  <c r="AW29" i="92" s="1"/>
  <c r="BD29" i="92" s="1"/>
  <c r="AY27" i="92"/>
  <c r="AF20" i="92"/>
  <c r="BM20" i="92" s="1"/>
  <c r="AF9" i="92"/>
  <c r="BM9" i="92" s="1"/>
  <c r="AF18" i="92"/>
  <c r="BM18" i="92" s="1"/>
  <c r="AF12" i="92"/>
  <c r="BM12" i="92" s="1"/>
  <c r="AF24" i="92"/>
  <c r="BM24" i="92" s="1"/>
  <c r="AF32" i="92"/>
  <c r="BM32" i="92" s="1"/>
  <c r="AF15" i="92"/>
  <c r="BM15" i="92" s="1"/>
  <c r="AF29" i="92"/>
  <c r="BM29" i="92" s="1"/>
  <c r="AF30" i="92"/>
  <c r="BM30" i="92" s="1"/>
  <c r="AF23" i="92"/>
  <c r="BM23" i="92" s="1"/>
  <c r="AF22" i="92"/>
  <c r="BM22" i="92" s="1"/>
  <c r="AF36" i="92"/>
  <c r="BM36" i="92" s="1"/>
  <c r="AF13" i="92"/>
  <c r="BM13" i="92" s="1"/>
  <c r="AF16" i="92"/>
  <c r="BM16" i="92" s="1"/>
  <c r="AF17" i="92"/>
  <c r="BM17" i="92" s="1"/>
  <c r="AF25" i="92"/>
  <c r="BM25" i="92" s="1"/>
  <c r="AF10" i="92"/>
  <c r="BM10" i="92" s="1"/>
  <c r="AF28" i="92"/>
  <c r="BM28" i="92" s="1"/>
  <c r="AF11" i="92"/>
  <c r="BM11" i="92" s="1"/>
  <c r="AF26" i="92"/>
  <c r="BM26" i="92" s="1"/>
  <c r="AF21" i="92"/>
  <c r="BM21" i="92" s="1"/>
  <c r="AF33" i="92"/>
  <c r="BM33" i="92" s="1"/>
  <c r="N19" i="90"/>
  <c r="O19" i="90" s="1"/>
  <c r="X10" i="46"/>
  <c r="K15" i="46"/>
  <c r="P15" i="46" s="1"/>
  <c r="B64" i="90" s="1"/>
  <c r="K11" i="46"/>
  <c r="P11" i="46" s="1"/>
  <c r="B52" i="90" s="1"/>
  <c r="X16" i="46"/>
  <c r="N17" i="90"/>
  <c r="O17" i="90" s="1"/>
  <c r="Q18" i="46"/>
  <c r="Z18" i="46" s="1"/>
  <c r="AV25" i="92"/>
  <c r="AW25" i="92" s="1"/>
  <c r="BD25" i="92" s="1"/>
  <c r="X14" i="46"/>
  <c r="K16" i="46"/>
  <c r="P16" i="46" s="1"/>
  <c r="B67" i="90" s="1"/>
  <c r="G27" i="46" a="1"/>
  <c r="G27" i="46" s="1"/>
  <c r="O29" i="90" s="1"/>
  <c r="AE9" i="46"/>
  <c r="MZ9" i="46" s="1"/>
  <c r="K7" i="46"/>
  <c r="P7" i="46" s="1"/>
  <c r="B40" i="90" s="1"/>
  <c r="Q11" i="46"/>
  <c r="R11" i="46" s="1"/>
  <c r="AC11" i="46" s="1"/>
  <c r="K9" i="46"/>
  <c r="P9" i="46" s="1"/>
  <c r="B46" i="90" s="1"/>
  <c r="AV17" i="92"/>
  <c r="AW17" i="92" s="1"/>
  <c r="AX25" i="92"/>
  <c r="N12" i="90"/>
  <c r="O12" i="90" s="1"/>
  <c r="AX15" i="108"/>
  <c r="AY15" i="108" s="1"/>
  <c r="AY25" i="92"/>
  <c r="AG14" i="46"/>
  <c r="AF14" i="46" s="1"/>
  <c r="F14" i="46" s="1"/>
  <c r="K15" i="90" s="1"/>
  <c r="T23" i="82"/>
  <c r="AX17" i="108"/>
  <c r="AY17" i="108" s="1"/>
  <c r="AZ17" i="108"/>
  <c r="BA17" i="108"/>
  <c r="E12" i="82"/>
  <c r="AX17" i="92"/>
  <c r="AY17" i="92"/>
  <c r="AV7" i="92"/>
  <c r="AW7" i="92" s="1"/>
  <c r="AV11" i="92"/>
  <c r="AW11" i="92" s="1"/>
  <c r="AV21" i="92"/>
  <c r="AW21" i="92" s="1"/>
  <c r="BD21" i="92" s="1"/>
  <c r="AV30" i="92"/>
  <c r="AW30" i="92" s="1"/>
  <c r="BD30" i="92" s="1"/>
  <c r="AV18" i="92"/>
  <c r="AW18" i="92" s="1"/>
  <c r="AV9" i="92"/>
  <c r="AW9" i="92" s="1"/>
  <c r="AV16" i="92"/>
  <c r="AW16" i="92" s="1"/>
  <c r="AV24" i="92"/>
  <c r="AW24" i="92" s="1"/>
  <c r="BD24" i="92" s="1"/>
  <c r="AV23" i="92"/>
  <c r="AW23" i="92" s="1"/>
  <c r="BD23" i="92" s="1"/>
  <c r="AV32" i="92"/>
  <c r="AW32" i="92" s="1"/>
  <c r="BD32" i="92" s="1"/>
  <c r="AV20" i="92"/>
  <c r="AW20" i="92" s="1"/>
  <c r="BD20" i="92" s="1"/>
  <c r="AV8" i="92"/>
  <c r="AW8" i="92" s="1"/>
  <c r="AV22" i="92"/>
  <c r="AW22" i="92" s="1"/>
  <c r="BD22" i="92" s="1"/>
  <c r="AV10" i="92"/>
  <c r="AW10" i="92" s="1"/>
  <c r="AV28" i="92"/>
  <c r="AW28" i="92" s="1"/>
  <c r="BD28" i="92" s="1"/>
  <c r="AV33" i="92"/>
  <c r="AW33" i="92" s="1"/>
  <c r="BD33" i="92" s="1"/>
  <c r="AV36" i="92"/>
  <c r="AW36" i="92" s="1"/>
  <c r="BD36" i="92" s="1"/>
  <c r="AV13" i="92"/>
  <c r="AW13" i="92" s="1"/>
  <c r="AV12" i="92"/>
  <c r="AW12" i="92" s="1"/>
  <c r="AV19" i="92"/>
  <c r="AW19" i="92" s="1"/>
  <c r="BD19" i="92" s="1"/>
  <c r="AH14" i="98"/>
  <c r="AH15" i="98"/>
  <c r="AX23" i="92"/>
  <c r="AX18" i="92"/>
  <c r="AX20" i="92"/>
  <c r="AX8" i="92"/>
  <c r="AY16" i="92"/>
  <c r="AY24" i="92"/>
  <c r="AY10" i="92"/>
  <c r="AY28" i="92"/>
  <c r="AY33" i="92"/>
  <c r="AY36" i="92"/>
  <c r="AX32" i="92"/>
  <c r="AX19" i="92"/>
  <c r="AY22" i="92"/>
  <c r="AX11" i="92"/>
  <c r="AY21" i="92"/>
  <c r="AY30" i="92"/>
  <c r="AX12" i="92"/>
  <c r="AY12" i="92"/>
  <c r="K17" i="46"/>
  <c r="P17" i="46" s="1"/>
  <c r="B70" i="90" s="1"/>
  <c r="AE18" i="46"/>
  <c r="AJ18" i="46" s="1"/>
  <c r="AZ13" i="108"/>
  <c r="AZ12" i="108"/>
  <c r="AZ16" i="108"/>
  <c r="AF7" i="92"/>
  <c r="BM7" i="92" s="1"/>
  <c r="AH7" i="98"/>
  <c r="AY18" i="92"/>
  <c r="AX24" i="92"/>
  <c r="AH27" i="98"/>
  <c r="AE7" i="46"/>
  <c r="AJ7" i="46" s="1"/>
  <c r="K12" i="46"/>
  <c r="P12" i="46" s="1"/>
  <c r="B55" i="90" s="1"/>
  <c r="AH30" i="98"/>
  <c r="AH36" i="98"/>
  <c r="E8" i="82"/>
  <c r="Q13" i="46"/>
  <c r="AH22" i="98"/>
  <c r="AY32" i="92"/>
  <c r="X13" i="46"/>
  <c r="K18" i="90"/>
  <c r="AH24" i="98"/>
  <c r="AH26" i="98"/>
  <c r="AX22" i="92"/>
  <c r="BA16" i="108"/>
  <c r="T28" i="82"/>
  <c r="K13" i="46"/>
  <c r="P13" i="46" s="1"/>
  <c r="B58" i="90" s="1"/>
  <c r="N10" i="90"/>
  <c r="O10" i="90" s="1"/>
  <c r="AH12" i="98"/>
  <c r="Q9" i="46"/>
  <c r="Z9" i="46" s="1"/>
  <c r="AH10" i="98"/>
  <c r="AH16" i="98"/>
  <c r="AX16" i="108"/>
  <c r="AY16" i="108" s="1"/>
  <c r="K18" i="46"/>
  <c r="P18" i="46" s="1"/>
  <c r="B73" i="90" s="1"/>
  <c r="AX13" i="92"/>
  <c r="AX16" i="92"/>
  <c r="AE12" i="46"/>
  <c r="AY13" i="92"/>
  <c r="K10" i="46"/>
  <c r="P10" i="46" s="1"/>
  <c r="B49" i="90" s="1"/>
  <c r="M27" i="46"/>
  <c r="M3" i="46" s="1"/>
  <c r="AH19" i="98"/>
  <c r="AH9" i="98"/>
  <c r="AH29" i="98"/>
  <c r="AH32" i="98"/>
  <c r="AH35" i="98"/>
  <c r="AX12" i="108"/>
  <c r="AY12" i="108" s="1"/>
  <c r="BA12" i="108"/>
  <c r="Q8" i="46"/>
  <c r="Q7" i="46"/>
  <c r="J13" i="90"/>
  <c r="AH18" i="98"/>
  <c r="AH11" i="98"/>
  <c r="K8" i="46"/>
  <c r="P8" i="46" s="1"/>
  <c r="B43" i="90" s="1"/>
  <c r="AX14" i="108"/>
  <c r="AY14" i="108" s="1"/>
  <c r="AZ14" i="108"/>
  <c r="BA14" i="108"/>
  <c r="BA13" i="108"/>
  <c r="AX13" i="108"/>
  <c r="AY13" i="108" s="1"/>
  <c r="T19" i="82"/>
  <c r="B18" i="82" s="1"/>
  <c r="B19" i="82" s="1"/>
  <c r="T20" i="82"/>
  <c r="AZ9" i="108"/>
  <c r="AX9" i="108"/>
  <c r="AY9" i="108" s="1"/>
  <c r="BA9" i="108"/>
  <c r="BA7" i="108"/>
  <c r="AZ7" i="108"/>
  <c r="AX8" i="108"/>
  <c r="AY8" i="108" s="1"/>
  <c r="BA8" i="108"/>
  <c r="AZ8" i="108"/>
  <c r="AZ10" i="108"/>
  <c r="AX10" i="108"/>
  <c r="BA10" i="108"/>
  <c r="BA18" i="108"/>
  <c r="AZ18" i="108"/>
  <c r="AX18" i="108"/>
  <c r="AZ11" i="108"/>
  <c r="AX11" i="108"/>
  <c r="BA11" i="108"/>
  <c r="N9" i="90"/>
  <c r="O9" i="90" s="1"/>
  <c r="B27" i="46" a="1"/>
  <c r="B27" i="46" s="1"/>
  <c r="J31" i="90" s="1"/>
  <c r="AH28" i="98"/>
  <c r="AX36" i="92"/>
  <c r="AX33" i="92"/>
  <c r="AX30" i="92"/>
  <c r="AX28" i="92"/>
  <c r="AY19" i="92"/>
  <c r="AE14" i="46"/>
  <c r="AJ14" i="46" s="1"/>
  <c r="X7" i="46"/>
  <c r="AH34" i="98"/>
  <c r="J9" i="90"/>
  <c r="AH31" i="98"/>
  <c r="AH21" i="98"/>
  <c r="AX21" i="92"/>
  <c r="AX10" i="92"/>
  <c r="D27" i="46" a="1"/>
  <c r="D27" i="46" s="1"/>
  <c r="O27" i="90" s="1"/>
  <c r="J11" i="90"/>
  <c r="AY7" i="92"/>
  <c r="AX7" i="92"/>
  <c r="AF8" i="92"/>
  <c r="BM8" i="92" s="1"/>
  <c r="AI2" i="46" a="1"/>
  <c r="AI2" i="46" s="1"/>
  <c r="AY8" i="92"/>
  <c r="AY23" i="92"/>
  <c r="AH23" i="98"/>
  <c r="H27" i="46" a="1"/>
  <c r="H27" i="46" s="1"/>
  <c r="O25" i="90" s="1"/>
  <c r="AE8" i="46"/>
  <c r="AJ8" i="46" s="1"/>
  <c r="AY11" i="92"/>
  <c r="AY20" i="92"/>
  <c r="MZ15" i="46"/>
  <c r="MZ4" i="46"/>
  <c r="MZ16" i="46"/>
  <c r="MZ12" i="46"/>
  <c r="MZ13" i="46"/>
  <c r="MZ11" i="46"/>
  <c r="MZ17" i="46"/>
  <c r="BR22" i="92"/>
  <c r="BQ22" i="92"/>
  <c r="BQ23" i="92"/>
  <c r="BR23" i="92"/>
  <c r="BQ29" i="92"/>
  <c r="BR29" i="92"/>
  <c r="BQ19" i="92"/>
  <c r="BR19" i="92"/>
  <c r="AX9" i="92"/>
  <c r="BQ33" i="92"/>
  <c r="BR33" i="92"/>
  <c r="BR24" i="92"/>
  <c r="BQ24" i="92"/>
  <c r="BR28" i="92"/>
  <c r="BQ28" i="92"/>
  <c r="BQ27" i="92"/>
  <c r="BR27" i="92"/>
  <c r="BR25" i="92"/>
  <c r="BQ25" i="92"/>
  <c r="BQ30" i="92"/>
  <c r="BR30" i="92"/>
  <c r="BR32" i="92"/>
  <c r="BQ32" i="92"/>
  <c r="BQ20" i="92"/>
  <c r="BR20" i="92"/>
  <c r="BR21" i="92"/>
  <c r="BQ21" i="92"/>
  <c r="BR26" i="92"/>
  <c r="BQ26" i="92"/>
  <c r="BQ36" i="92"/>
  <c r="BR36" i="92"/>
  <c r="BQ7" i="92"/>
  <c r="BQ8" i="92"/>
  <c r="BR8" i="92"/>
  <c r="BR7" i="92"/>
  <c r="MZ14" i="46"/>
  <c r="K19" i="90"/>
  <c r="J19" i="90"/>
  <c r="F7" i="46"/>
  <c r="A45" i="46"/>
  <c r="D17" i="113" l="1"/>
  <c r="D61" i="113"/>
  <c r="AH12" i="113"/>
  <c r="N156" i="123"/>
  <c r="N58" i="123"/>
  <c r="N50" i="123"/>
  <c r="N59" i="123"/>
  <c r="N56" i="123"/>
  <c r="N10" i="123"/>
  <c r="N239" i="123"/>
  <c r="N236" i="123"/>
  <c r="N233" i="123"/>
  <c r="N238" i="123"/>
  <c r="N250" i="123"/>
  <c r="N241" i="123"/>
  <c r="N237" i="123"/>
  <c r="N247" i="123"/>
  <c r="N234" i="123"/>
  <c r="N231" i="123"/>
  <c r="N245" i="123"/>
  <c r="N235" i="123"/>
  <c r="N253" i="123"/>
  <c r="N243" i="123"/>
  <c r="N228" i="123"/>
  <c r="N232" i="123"/>
  <c r="N249" i="123"/>
  <c r="N251" i="123"/>
  <c r="N246" i="123"/>
  <c r="N244" i="123"/>
  <c r="N230" i="123"/>
  <c r="N252" i="123"/>
  <c r="E7" i="80"/>
  <c r="E8" i="80"/>
  <c r="B9" i="80"/>
  <c r="D29" i="113"/>
  <c r="D35" i="120"/>
  <c r="Q138" i="107" s="1"/>
  <c r="D36" i="120"/>
  <c r="D30" i="113"/>
  <c r="Q62" i="107" s="1"/>
  <c r="P1" i="124"/>
  <c r="D60" i="113"/>
  <c r="D58" i="113"/>
  <c r="D59" i="113"/>
  <c r="D62" i="113"/>
  <c r="D33" i="113"/>
  <c r="Q80" i="107" s="1"/>
  <c r="D57" i="113"/>
  <c r="Q48" i="107"/>
  <c r="AF11" i="113"/>
  <c r="CC1" i="124" s="1"/>
  <c r="AF2" i="113"/>
  <c r="AJ1" i="124" s="1"/>
  <c r="AF9" i="113"/>
  <c r="BS1" i="124" s="1"/>
  <c r="AF13" i="113"/>
  <c r="CM1" i="124" s="1"/>
  <c r="AF8" i="113"/>
  <c r="BN1" i="124" s="1"/>
  <c r="AF3" i="113"/>
  <c r="AO1" i="124" s="1"/>
  <c r="AF12" i="113"/>
  <c r="CH1" i="124" s="1"/>
  <c r="AF10" i="113"/>
  <c r="BX1" i="124" s="1"/>
  <c r="AF6" i="113"/>
  <c r="BD1" i="124" s="1"/>
  <c r="X23" i="115"/>
  <c r="X33" i="115"/>
  <c r="X37" i="115"/>
  <c r="X42" i="115"/>
  <c r="X19" i="115"/>
  <c r="X25" i="115"/>
  <c r="X36" i="115"/>
  <c r="X40" i="115"/>
  <c r="X35" i="115"/>
  <c r="X22" i="115"/>
  <c r="AF7" i="113"/>
  <c r="BI1" i="124" s="1"/>
  <c r="X32" i="115"/>
  <c r="X28" i="115"/>
  <c r="X20" i="115"/>
  <c r="X30" i="115"/>
  <c r="X38" i="115"/>
  <c r="X29" i="115"/>
  <c r="X26" i="115"/>
  <c r="X39" i="115"/>
  <c r="X21" i="115"/>
  <c r="X27" i="115"/>
  <c r="X34" i="115"/>
  <c r="X31" i="115"/>
  <c r="X41" i="115"/>
  <c r="X24" i="115"/>
  <c r="AF5" i="113"/>
  <c r="AY1" i="124" s="1"/>
  <c r="AF4" i="113"/>
  <c r="AT1" i="124" s="1"/>
  <c r="BN7" i="107"/>
  <c r="BO8" i="108"/>
  <c r="BO14" i="108"/>
  <c r="BO13" i="108"/>
  <c r="BO10" i="108"/>
  <c r="BO15" i="108"/>
  <c r="BO18" i="108"/>
  <c r="BO11" i="108"/>
  <c r="BO16" i="108"/>
  <c r="BO17" i="108"/>
  <c r="BO12" i="108"/>
  <c r="AY33" i="108"/>
  <c r="AY20" i="108"/>
  <c r="AY28" i="108"/>
  <c r="AY22" i="108"/>
  <c r="AY26" i="108"/>
  <c r="W141" i="120"/>
  <c r="N272" i="123"/>
  <c r="N262" i="123"/>
  <c r="N248" i="123"/>
  <c r="N38" i="123"/>
  <c r="N145" i="123"/>
  <c r="W140" i="120"/>
  <c r="N139" i="123"/>
  <c r="W137" i="120"/>
  <c r="N117" i="123"/>
  <c r="W139" i="120"/>
  <c r="N149" i="123"/>
  <c r="W138" i="120"/>
  <c r="N132" i="123"/>
  <c r="W142" i="120"/>
  <c r="N229" i="123"/>
  <c r="N159" i="123"/>
  <c r="N288" i="123"/>
  <c r="N85" i="123"/>
  <c r="N165" i="123"/>
  <c r="AA7" i="128"/>
  <c r="BN11" i="128"/>
  <c r="AI104" i="107"/>
  <c r="AI51" i="128"/>
  <c r="W6" i="23"/>
  <c r="V6" i="23"/>
  <c r="W5" i="23"/>
  <c r="V5" i="23"/>
  <c r="W13" i="113"/>
  <c r="W8" i="113"/>
  <c r="W12" i="113"/>
  <c r="W10" i="113"/>
  <c r="W11" i="113"/>
  <c r="W9" i="113"/>
  <c r="E6" i="113"/>
  <c r="AU72" i="107"/>
  <c r="AI61" i="120"/>
  <c r="W290" i="23"/>
  <c r="V290" i="23"/>
  <c r="DC10" i="108"/>
  <c r="DD10" i="108" s="1"/>
  <c r="AQ10" i="108" s="1"/>
  <c r="BO7" i="108"/>
  <c r="BO9" i="108"/>
  <c r="W70" i="115"/>
  <c r="Q45" i="107"/>
  <c r="AP15" i="108"/>
  <c r="AR15" i="108" s="1"/>
  <c r="E10" i="126"/>
  <c r="E11" i="126"/>
  <c r="E9" i="126"/>
  <c r="E8" i="126"/>
  <c r="E66" i="126"/>
  <c r="M41" i="126"/>
  <c r="E60" i="126"/>
  <c r="M35" i="126"/>
  <c r="E65" i="126"/>
  <c r="M40" i="126"/>
  <c r="E59" i="126"/>
  <c r="M34" i="126"/>
  <c r="E58" i="126"/>
  <c r="M33" i="126"/>
  <c r="N581" i="124"/>
  <c r="G7" i="126"/>
  <c r="G88" i="126" s="1"/>
  <c r="F11" i="126"/>
  <c r="F12" i="126"/>
  <c r="F9" i="126"/>
  <c r="F91" i="126"/>
  <c r="H91" i="126"/>
  <c r="H90" i="126"/>
  <c r="H87" i="126"/>
  <c r="F87" i="126"/>
  <c r="F7" i="126"/>
  <c r="H88" i="126"/>
  <c r="F88" i="126"/>
  <c r="H89" i="126"/>
  <c r="H92" i="126"/>
  <c r="F89" i="126"/>
  <c r="BJ4" i="121"/>
  <c r="BJ11" i="121" s="1"/>
  <c r="DX5" i="108"/>
  <c r="BF5" i="121"/>
  <c r="DU5" i="108"/>
  <c r="BC5" i="121"/>
  <c r="DZ5" i="108"/>
  <c r="BH5" i="121"/>
  <c r="DW5" i="108"/>
  <c r="BE5" i="121"/>
  <c r="DY5" i="108"/>
  <c r="BG5" i="121"/>
  <c r="DT5" i="108"/>
  <c r="BB5" i="121"/>
  <c r="EA5" i="108"/>
  <c r="BI5" i="121"/>
  <c r="DS5" i="108"/>
  <c r="BA5" i="121"/>
  <c r="DV5" i="108"/>
  <c r="BD5" i="121"/>
  <c r="DR5" i="108"/>
  <c r="AZ5" i="121"/>
  <c r="DQ5" i="108"/>
  <c r="AY5" i="121"/>
  <c r="AB67" i="115"/>
  <c r="AV4" i="46"/>
  <c r="EB5" i="108"/>
  <c r="AJ10" i="46"/>
  <c r="FZ13" i="46"/>
  <c r="GY16" i="46"/>
  <c r="W287" i="23"/>
  <c r="V287" i="23"/>
  <c r="W289" i="23"/>
  <c r="V289" i="23"/>
  <c r="BJ13" i="46"/>
  <c r="FC16" i="46"/>
  <c r="W285" i="23"/>
  <c r="V285" i="23"/>
  <c r="W286" i="23"/>
  <c r="V286" i="23"/>
  <c r="W288" i="23"/>
  <c r="V288" i="23"/>
  <c r="HE16" i="46"/>
  <c r="Y13" i="46"/>
  <c r="X12" i="115"/>
  <c r="X16" i="115"/>
  <c r="X14" i="115"/>
  <c r="X9" i="115"/>
  <c r="X8" i="115"/>
  <c r="X13" i="115"/>
  <c r="X10" i="115"/>
  <c r="X15" i="115"/>
  <c r="X17" i="115"/>
  <c r="X11" i="115"/>
  <c r="X18" i="115"/>
  <c r="W66" i="115"/>
  <c r="W67" i="115"/>
  <c r="W68" i="115"/>
  <c r="W69" i="115"/>
  <c r="P1" i="123"/>
  <c r="D30" i="120"/>
  <c r="D32" i="113"/>
  <c r="EX16" i="46"/>
  <c r="FM10" i="46"/>
  <c r="BL16" i="46"/>
  <c r="BE13" i="46"/>
  <c r="BX16" i="46"/>
  <c r="FU13" i="46"/>
  <c r="EF16" i="46"/>
  <c r="AM13" i="46"/>
  <c r="IT18" i="46"/>
  <c r="GB16" i="46"/>
  <c r="GG13" i="46"/>
  <c r="AS13" i="46"/>
  <c r="DA17" i="46"/>
  <c r="EU10" i="46"/>
  <c r="FP16" i="46"/>
  <c r="AT16" i="46"/>
  <c r="AZ16" i="46"/>
  <c r="W184" i="23"/>
  <c r="V184" i="23"/>
  <c r="W183" i="23"/>
  <c r="V183" i="23"/>
  <c r="W284" i="23"/>
  <c r="V284" i="23"/>
  <c r="W282" i="23"/>
  <c r="V282" i="23"/>
  <c r="W283" i="23"/>
  <c r="V283" i="23"/>
  <c r="ER17" i="46"/>
  <c r="CD17" i="46"/>
  <c r="QG7" i="46"/>
  <c r="QM7" i="46"/>
  <c r="CJ15" i="46"/>
  <c r="GM18" i="46"/>
  <c r="PO7" i="46"/>
  <c r="HM16" i="46"/>
  <c r="GC16" i="46"/>
  <c r="BF15" i="46"/>
  <c r="W281" i="23"/>
  <c r="V281" i="23"/>
  <c r="W280" i="23"/>
  <c r="V280" i="23"/>
  <c r="W279" i="23"/>
  <c r="V279" i="23"/>
  <c r="AR11" i="46"/>
  <c r="DO17" i="46"/>
  <c r="DC17" i="46"/>
  <c r="GZ18" i="46"/>
  <c r="JP7" i="46"/>
  <c r="FR16" i="46"/>
  <c r="MZ18" i="46"/>
  <c r="W164" i="23"/>
  <c r="V164" i="23"/>
  <c r="W185" i="23"/>
  <c r="V185" i="23"/>
  <c r="W192" i="23"/>
  <c r="V192" i="23"/>
  <c r="W45" i="23"/>
  <c r="V45" i="23"/>
  <c r="W7" i="23"/>
  <c r="V7" i="23"/>
  <c r="W40" i="23"/>
  <c r="V40" i="23"/>
  <c r="W77" i="23"/>
  <c r="V77" i="23"/>
  <c r="W272" i="23"/>
  <c r="V272" i="23"/>
  <c r="W13" i="23"/>
  <c r="V13" i="23"/>
  <c r="W231" i="23"/>
  <c r="V231" i="23"/>
  <c r="W8" i="23"/>
  <c r="V8" i="23"/>
  <c r="W30" i="23"/>
  <c r="V30" i="23"/>
  <c r="W273" i="23"/>
  <c r="V273" i="23"/>
  <c r="W165" i="23"/>
  <c r="V165" i="23"/>
  <c r="W89" i="23"/>
  <c r="V89" i="23"/>
  <c r="W78" i="23"/>
  <c r="V78" i="23"/>
  <c r="W263" i="23"/>
  <c r="V263" i="23"/>
  <c r="W21" i="23"/>
  <c r="V21" i="23"/>
  <c r="W69" i="23"/>
  <c r="V69" i="23"/>
  <c r="W193" i="23"/>
  <c r="V193" i="23"/>
  <c r="W41" i="23"/>
  <c r="V41" i="23"/>
  <c r="W14" i="23"/>
  <c r="V14" i="23"/>
  <c r="W186" i="23"/>
  <c r="V186" i="23"/>
  <c r="W75" i="23"/>
  <c r="V75" i="23"/>
  <c r="W72" i="23"/>
  <c r="V72" i="23"/>
  <c r="W46" i="23"/>
  <c r="V46" i="23"/>
  <c r="W66" i="23"/>
  <c r="V66" i="23"/>
  <c r="W91" i="23"/>
  <c r="V91" i="23"/>
  <c r="W278" i="23"/>
  <c r="V278" i="23"/>
  <c r="AJ9" i="46"/>
  <c r="EN8" i="46"/>
  <c r="DV8" i="46"/>
  <c r="KA18" i="46"/>
  <c r="KY18" i="46"/>
  <c r="LK18" i="46"/>
  <c r="AU18" i="46"/>
  <c r="RG7" i="46"/>
  <c r="GO18" i="46"/>
  <c r="AP10" i="92"/>
  <c r="AO10" i="92" s="1"/>
  <c r="DI14" i="92"/>
  <c r="DI13" i="92"/>
  <c r="DI9" i="92"/>
  <c r="DI11" i="92"/>
  <c r="DI8" i="92"/>
  <c r="DI12" i="92"/>
  <c r="AO7" i="92"/>
  <c r="AQ11" i="108"/>
  <c r="AP11" i="108" s="1"/>
  <c r="AR11" i="108" s="1"/>
  <c r="DC11" i="108"/>
  <c r="DD11" i="108" s="1"/>
  <c r="DC12" i="108"/>
  <c r="DD12" i="108" s="1"/>
  <c r="AQ12" i="108" s="1"/>
  <c r="AP12" i="108" s="1"/>
  <c r="AR12" i="108" s="1"/>
  <c r="DC16" i="108"/>
  <c r="DD16" i="108" s="1"/>
  <c r="AQ16" i="108" s="1"/>
  <c r="AP16" i="108" s="1"/>
  <c r="AR16" i="108" s="1"/>
  <c r="DC13" i="108"/>
  <c r="DD13" i="108" s="1"/>
  <c r="AQ13" i="108" s="1"/>
  <c r="DC17" i="108"/>
  <c r="DD17" i="108" s="1"/>
  <c r="AQ17" i="108" s="1"/>
  <c r="Y7" i="46"/>
  <c r="Z7" i="46"/>
  <c r="EG10" i="46"/>
  <c r="AY10" i="108"/>
  <c r="AW13" i="46"/>
  <c r="GP18" i="46"/>
  <c r="HT18" i="46"/>
  <c r="JV18" i="46"/>
  <c r="GD18" i="46"/>
  <c r="IK14" i="46"/>
  <c r="GX16" i="46"/>
  <c r="FB16" i="46"/>
  <c r="LB16" i="46"/>
  <c r="IH14" i="46"/>
  <c r="JQ14" i="46"/>
  <c r="GA14" i="46"/>
  <c r="JM14" i="46"/>
  <c r="FW14" i="46"/>
  <c r="JJ14" i="46"/>
  <c r="IS14" i="46"/>
  <c r="HB14" i="46"/>
  <c r="HV14" i="46"/>
  <c r="IW14" i="46"/>
  <c r="JE14" i="46"/>
  <c r="V67" i="115"/>
  <c r="V69" i="115"/>
  <c r="V66" i="115"/>
  <c r="V70" i="115"/>
  <c r="BY10" i="46"/>
  <c r="ES10" i="46"/>
  <c r="JC10" i="46"/>
  <c r="CK10" i="46"/>
  <c r="EM10" i="46"/>
  <c r="QD7" i="46"/>
  <c r="NY10" i="46"/>
  <c r="RH7" i="46"/>
  <c r="K40" i="46"/>
  <c r="E42" i="46"/>
  <c r="E41" i="46"/>
  <c r="E43" i="46"/>
  <c r="E44" i="46"/>
  <c r="K41" i="46"/>
  <c r="E40" i="46"/>
  <c r="I40" i="46" s="1"/>
  <c r="LZ12" i="46"/>
  <c r="NV12" i="46"/>
  <c r="NJ12" i="46"/>
  <c r="CH12" i="46"/>
  <c r="HP11" i="46"/>
  <c r="FN11" i="46"/>
  <c r="FT11" i="46"/>
  <c r="AD19" i="114"/>
  <c r="AD10" i="114"/>
  <c r="AD11" i="114"/>
  <c r="AE17" i="114"/>
  <c r="AD8" i="114"/>
  <c r="AE12" i="114"/>
  <c r="AD16" i="114"/>
  <c r="AD14" i="114"/>
  <c r="W264" i="23"/>
  <c r="V264" i="23"/>
  <c r="W187" i="23"/>
  <c r="V187" i="23"/>
  <c r="W194" i="23"/>
  <c r="V194" i="23"/>
  <c r="W166" i="23"/>
  <c r="V166" i="23"/>
  <c r="W201" i="23"/>
  <c r="V201" i="23"/>
  <c r="W232" i="23"/>
  <c r="V232" i="23"/>
  <c r="W215" i="23"/>
  <c r="V215" i="23"/>
  <c r="W219" i="23"/>
  <c r="V219" i="23"/>
  <c r="W258" i="23"/>
  <c r="V258" i="23"/>
  <c r="W274" i="23"/>
  <c r="V274" i="23"/>
  <c r="AE8" i="114"/>
  <c r="O8" i="114"/>
  <c r="AE11" i="114"/>
  <c r="AE10" i="114"/>
  <c r="AE14" i="114"/>
  <c r="AE16" i="114"/>
  <c r="V68" i="115"/>
  <c r="O16" i="114"/>
  <c r="AD17" i="114"/>
  <c r="O17" i="114"/>
  <c r="O14" i="114"/>
  <c r="O9" i="114"/>
  <c r="AE9" i="114"/>
  <c r="AD9" i="114"/>
  <c r="AE18" i="114"/>
  <c r="AD18" i="114"/>
  <c r="O18" i="114"/>
  <c r="FJ13" i="46"/>
  <c r="W48" i="23"/>
  <c r="V48" i="23"/>
  <c r="W248" i="23"/>
  <c r="V248" i="23"/>
  <c r="W27" i="23"/>
  <c r="V27" i="23"/>
  <c r="W257" i="23"/>
  <c r="V257" i="23"/>
  <c r="W59" i="23"/>
  <c r="V59" i="23"/>
  <c r="W230" i="23"/>
  <c r="V230" i="23"/>
  <c r="W74" i="23"/>
  <c r="V74" i="23"/>
  <c r="W195" i="23"/>
  <c r="V195" i="23"/>
  <c r="W254" i="23"/>
  <c r="V254" i="23"/>
  <c r="W179" i="23"/>
  <c r="V179" i="23"/>
  <c r="W111" i="23"/>
  <c r="V111" i="23"/>
  <c r="W240" i="23"/>
  <c r="V240" i="23"/>
  <c r="W181" i="23"/>
  <c r="V181" i="23"/>
  <c r="W191" i="23"/>
  <c r="V191" i="23"/>
  <c r="W43" i="23"/>
  <c r="V43" i="23"/>
  <c r="W37" i="23"/>
  <c r="V37" i="23"/>
  <c r="W228" i="23"/>
  <c r="V228" i="23"/>
  <c r="W64" i="23"/>
  <c r="V64" i="23"/>
  <c r="W102" i="23"/>
  <c r="V102" i="23"/>
  <c r="W92" i="23"/>
  <c r="V92" i="23"/>
  <c r="W252" i="23"/>
  <c r="V252" i="23"/>
  <c r="W121" i="23"/>
  <c r="V121" i="23"/>
  <c r="W47" i="23"/>
  <c r="V47" i="23"/>
  <c r="W224" i="23"/>
  <c r="V224" i="23"/>
  <c r="W260" i="23"/>
  <c r="V260" i="23"/>
  <c r="W167" i="23"/>
  <c r="V167" i="23"/>
  <c r="W209" i="23"/>
  <c r="V209" i="23"/>
  <c r="W262" i="23"/>
  <c r="V262" i="23"/>
  <c r="W104" i="23"/>
  <c r="V104" i="23"/>
  <c r="W107" i="23"/>
  <c r="V107" i="23"/>
  <c r="W161" i="23"/>
  <c r="V161" i="23"/>
  <c r="W148" i="23"/>
  <c r="V148" i="23"/>
  <c r="W18" i="23"/>
  <c r="V18" i="23"/>
  <c r="W85" i="23"/>
  <c r="V85" i="23"/>
  <c r="W176" i="23"/>
  <c r="V176" i="23"/>
  <c r="W12" i="23"/>
  <c r="V12" i="23"/>
  <c r="W79" i="23"/>
  <c r="V79" i="23"/>
  <c r="W157" i="23"/>
  <c r="V157" i="23"/>
  <c r="W106" i="23"/>
  <c r="V106" i="23"/>
  <c r="W133" i="23"/>
  <c r="V133" i="23"/>
  <c r="W39" i="23"/>
  <c r="V39" i="23"/>
  <c r="W216" i="23"/>
  <c r="V216" i="23"/>
  <c r="W135" i="23"/>
  <c r="V135" i="23"/>
  <c r="W110" i="23"/>
  <c r="V110" i="23"/>
  <c r="W10" i="23"/>
  <c r="V10" i="23"/>
  <c r="W65" i="23"/>
  <c r="V65" i="23"/>
  <c r="W125" i="23"/>
  <c r="V125" i="23"/>
  <c r="W119" i="23"/>
  <c r="V119" i="23"/>
  <c r="W177" i="23"/>
  <c r="V177" i="23"/>
  <c r="W129" i="23"/>
  <c r="V129" i="23"/>
  <c r="W214" i="23"/>
  <c r="V214" i="23"/>
  <c r="W259" i="23"/>
  <c r="V259" i="23"/>
  <c r="W255" i="23"/>
  <c r="V255" i="23"/>
  <c r="W154" i="23"/>
  <c r="V154" i="23"/>
  <c r="W29" i="23"/>
  <c r="V29" i="23"/>
  <c r="W35" i="23"/>
  <c r="V35" i="23"/>
  <c r="W73" i="23"/>
  <c r="V73" i="23"/>
  <c r="W99" i="23"/>
  <c r="V99" i="23"/>
  <c r="W147" i="23"/>
  <c r="V147" i="23"/>
  <c r="W112" i="23"/>
  <c r="V112" i="23"/>
  <c r="W227" i="23"/>
  <c r="V227" i="23"/>
  <c r="W28" i="23"/>
  <c r="V28" i="23"/>
  <c r="W251" i="23"/>
  <c r="V251" i="23"/>
  <c r="W67" i="23"/>
  <c r="V67" i="23"/>
  <c r="W142" i="23"/>
  <c r="V142" i="23"/>
  <c r="W44" i="23"/>
  <c r="V44" i="23"/>
  <c r="W11" i="23"/>
  <c r="V11" i="23"/>
  <c r="W124" i="23"/>
  <c r="V124" i="23"/>
  <c r="W202" i="23"/>
  <c r="V202" i="23"/>
  <c r="Y9" i="113" s="1"/>
  <c r="W188" i="23"/>
  <c r="V188" i="23"/>
  <c r="W23" i="23"/>
  <c r="V23" i="23"/>
  <c r="W49" i="23"/>
  <c r="V49" i="23"/>
  <c r="W159" i="23"/>
  <c r="V159" i="23"/>
  <c r="W266" i="23"/>
  <c r="V266" i="23"/>
  <c r="W217" i="23"/>
  <c r="V217" i="23"/>
  <c r="W123" i="23"/>
  <c r="V123" i="23"/>
  <c r="W76" i="23"/>
  <c r="V76" i="23"/>
  <c r="W19" i="23"/>
  <c r="V19" i="23"/>
  <c r="W205" i="23"/>
  <c r="V205" i="23"/>
  <c r="W276" i="23"/>
  <c r="V276" i="23"/>
  <c r="W163" i="23"/>
  <c r="V163" i="23"/>
  <c r="W113" i="23"/>
  <c r="V113" i="23"/>
  <c r="W210" i="23"/>
  <c r="V210" i="23"/>
  <c r="W146" i="23"/>
  <c r="V146" i="23"/>
  <c r="W90" i="23"/>
  <c r="V90" i="23"/>
  <c r="W182" i="23"/>
  <c r="V182" i="23"/>
  <c r="W26" i="23"/>
  <c r="V26" i="23"/>
  <c r="W62" i="23"/>
  <c r="V62" i="23"/>
  <c r="W197" i="23"/>
  <c r="V197" i="23"/>
  <c r="W261" i="23"/>
  <c r="V261" i="23"/>
  <c r="W103" i="23"/>
  <c r="V103" i="23"/>
  <c r="W196" i="23"/>
  <c r="V196" i="23"/>
  <c r="W98" i="23"/>
  <c r="V98" i="23"/>
  <c r="W225" i="23"/>
  <c r="V225" i="23"/>
  <c r="W237" i="23"/>
  <c r="V237" i="23"/>
  <c r="W54" i="23"/>
  <c r="V54" i="23"/>
  <c r="K54" i="123" s="1"/>
  <c r="V54" i="123" s="1"/>
  <c r="W71" i="23"/>
  <c r="V71" i="23"/>
  <c r="W132" i="23"/>
  <c r="V132" i="23"/>
  <c r="W149" i="23"/>
  <c r="V149" i="23"/>
  <c r="W83" i="23"/>
  <c r="V83" i="23"/>
  <c r="W239" i="23"/>
  <c r="V239" i="23"/>
  <c r="W243" i="23"/>
  <c r="V243" i="23"/>
  <c r="W38" i="23"/>
  <c r="V38" i="23"/>
  <c r="W169" i="23"/>
  <c r="V169" i="23"/>
  <c r="W55" i="23"/>
  <c r="V55" i="23"/>
  <c r="K55" i="123" s="1"/>
  <c r="V55" i="123" s="1"/>
  <c r="W101" i="23"/>
  <c r="V101" i="23"/>
  <c r="W117" i="23"/>
  <c r="V117" i="23"/>
  <c r="W277" i="23"/>
  <c r="V277" i="23"/>
  <c r="W162" i="23"/>
  <c r="V162" i="23"/>
  <c r="W199" i="23"/>
  <c r="V199" i="23"/>
  <c r="W172" i="23"/>
  <c r="V172" i="23"/>
  <c r="W211" i="23"/>
  <c r="V211" i="23"/>
  <c r="W20" i="23"/>
  <c r="V20" i="23"/>
  <c r="W81" i="23"/>
  <c r="V81" i="23"/>
  <c r="W128" i="23"/>
  <c r="V128" i="23"/>
  <c r="W94" i="23"/>
  <c r="V94" i="23"/>
  <c r="W151" i="23"/>
  <c r="V151" i="23"/>
  <c r="W58" i="23"/>
  <c r="V58" i="23"/>
  <c r="W108" i="23"/>
  <c r="V108" i="23"/>
  <c r="W244" i="23"/>
  <c r="V244" i="23"/>
  <c r="W114" i="23"/>
  <c r="V114" i="23"/>
  <c r="W143" i="23"/>
  <c r="V143" i="23"/>
  <c r="W238" i="23"/>
  <c r="V238" i="23"/>
  <c r="W126" i="23"/>
  <c r="V126" i="23"/>
  <c r="W271" i="23"/>
  <c r="V271" i="23"/>
  <c r="W127" i="23"/>
  <c r="V127" i="23"/>
  <c r="W275" i="23"/>
  <c r="V275" i="23"/>
  <c r="W42" i="23"/>
  <c r="V42" i="23"/>
  <c r="W250" i="23"/>
  <c r="V250" i="23"/>
  <c r="W153" i="23"/>
  <c r="V153" i="23"/>
  <c r="W247" i="23"/>
  <c r="V247" i="23"/>
  <c r="W155" i="23"/>
  <c r="V155" i="23"/>
  <c r="W265" i="23"/>
  <c r="V265" i="23"/>
  <c r="W50" i="23"/>
  <c r="V50" i="23"/>
  <c r="W140" i="23"/>
  <c r="V140" i="23"/>
  <c r="W120" i="23"/>
  <c r="V120" i="23"/>
  <c r="W61" i="23"/>
  <c r="V61" i="23"/>
  <c r="W200" i="23"/>
  <c r="V200" i="23"/>
  <c r="W82" i="23"/>
  <c r="V82" i="23"/>
  <c r="W139" i="23"/>
  <c r="V139" i="23"/>
  <c r="W267" i="23"/>
  <c r="V267" i="23"/>
  <c r="W22" i="23"/>
  <c r="V22" i="23"/>
  <c r="W203" i="23"/>
  <c r="V203" i="23"/>
  <c r="W206" i="23"/>
  <c r="V206" i="23"/>
  <c r="W70" i="23"/>
  <c r="V70" i="23"/>
  <c r="W158" i="23"/>
  <c r="V158" i="23"/>
  <c r="W57" i="23"/>
  <c r="V57" i="23"/>
  <c r="W270" i="23"/>
  <c r="V270" i="23"/>
  <c r="W116" i="23"/>
  <c r="V116" i="23"/>
  <c r="W174" i="23"/>
  <c r="V174" i="23"/>
  <c r="W234" i="23"/>
  <c r="V234" i="23"/>
  <c r="W118" i="23"/>
  <c r="V118" i="23"/>
  <c r="W53" i="23"/>
  <c r="V53" i="23"/>
  <c r="K53" i="123" s="1"/>
  <c r="V53" i="123" s="1"/>
  <c r="W17" i="23"/>
  <c r="V17" i="23"/>
  <c r="W233" i="23"/>
  <c r="V233" i="23"/>
  <c r="W25" i="23"/>
  <c r="V25" i="23"/>
  <c r="W180" i="23"/>
  <c r="V180" i="23"/>
  <c r="W63" i="23"/>
  <c r="V63" i="23"/>
  <c r="W156" i="23"/>
  <c r="V156" i="23"/>
  <c r="W190" i="23"/>
  <c r="V190" i="23"/>
  <c r="W137" i="23"/>
  <c r="V137" i="23"/>
  <c r="W97" i="23"/>
  <c r="V97" i="23"/>
  <c r="W16" i="23"/>
  <c r="V16" i="23"/>
  <c r="W221" i="23"/>
  <c r="V221" i="23"/>
  <c r="W241" i="23"/>
  <c r="V241" i="23"/>
  <c r="W31" i="23"/>
  <c r="V31" i="23"/>
  <c r="W34" i="23"/>
  <c r="V34" i="23"/>
  <c r="W220" i="23"/>
  <c r="V220" i="23"/>
  <c r="W36" i="23"/>
  <c r="V36" i="23"/>
  <c r="W222" i="23"/>
  <c r="V222" i="23"/>
  <c r="W80" i="23"/>
  <c r="V80" i="23"/>
  <c r="W175" i="23"/>
  <c r="V175" i="23"/>
  <c r="W152" i="23"/>
  <c r="V152" i="23"/>
  <c r="W9" i="23"/>
  <c r="V9" i="23"/>
  <c r="W95" i="23"/>
  <c r="V95" i="23"/>
  <c r="W130" i="23"/>
  <c r="V130" i="23"/>
  <c r="W173" i="23"/>
  <c r="V173" i="23"/>
  <c r="W246" i="23"/>
  <c r="V246" i="23"/>
  <c r="W242" i="23"/>
  <c r="V242" i="23"/>
  <c r="W96" i="23"/>
  <c r="V96" i="23"/>
  <c r="W249" i="23"/>
  <c r="V249" i="23"/>
  <c r="W208" i="23"/>
  <c r="V208" i="23"/>
  <c r="W145" i="23"/>
  <c r="V145" i="23"/>
  <c r="Y8" i="113" s="1"/>
  <c r="W122" i="23"/>
  <c r="V122" i="23"/>
  <c r="W100" i="23"/>
  <c r="V100" i="23"/>
  <c r="W141" i="23"/>
  <c r="V141" i="23"/>
  <c r="W236" i="23"/>
  <c r="V236" i="23"/>
  <c r="W115" i="23"/>
  <c r="V115" i="23"/>
  <c r="W171" i="23"/>
  <c r="V171" i="23"/>
  <c r="W51" i="23"/>
  <c r="V51" i="23"/>
  <c r="W144" i="23"/>
  <c r="V144" i="23"/>
  <c r="W134" i="23"/>
  <c r="V134" i="23"/>
  <c r="W32" i="23"/>
  <c r="V32" i="23"/>
  <c r="W256" i="23"/>
  <c r="V256" i="23"/>
  <c r="W226" i="23"/>
  <c r="V226" i="23"/>
  <c r="W213" i="23"/>
  <c r="V213" i="23"/>
  <c r="W245" i="23"/>
  <c r="V245" i="23"/>
  <c r="W68" i="23"/>
  <c r="V68" i="23"/>
  <c r="W170" i="23"/>
  <c r="V170" i="23"/>
  <c r="W160" i="23"/>
  <c r="V160" i="23"/>
  <c r="W150" i="23"/>
  <c r="V150" i="23"/>
  <c r="W86" i="23"/>
  <c r="V86" i="23"/>
  <c r="W60" i="23"/>
  <c r="V60" i="23"/>
  <c r="W93" i="23"/>
  <c r="V93" i="23"/>
  <c r="W105" i="23"/>
  <c r="V105" i="23"/>
  <c r="W56" i="23"/>
  <c r="V56" i="23"/>
  <c r="W88" i="23"/>
  <c r="V88" i="23"/>
  <c r="W138" i="23"/>
  <c r="V138" i="23"/>
  <c r="W223" i="23"/>
  <c r="V223" i="23"/>
  <c r="W229" i="23"/>
  <c r="V229" i="23"/>
  <c r="W52" i="23"/>
  <c r="V52" i="23"/>
  <c r="K52" i="123" s="1"/>
  <c r="V52" i="123" s="1"/>
  <c r="W33" i="23"/>
  <c r="V33" i="23"/>
  <c r="W109" i="23"/>
  <c r="V109" i="23"/>
  <c r="W268" i="23"/>
  <c r="V268" i="23"/>
  <c r="W178" i="23"/>
  <c r="V178" i="23"/>
  <c r="W189" i="23"/>
  <c r="V189" i="23"/>
  <c r="W24" i="23"/>
  <c r="V24" i="23"/>
  <c r="W269" i="23"/>
  <c r="V269" i="23"/>
  <c r="W204" i="23"/>
  <c r="V204" i="23"/>
  <c r="W253" i="23"/>
  <c r="V253" i="23"/>
  <c r="W212" i="23"/>
  <c r="V212" i="23"/>
  <c r="W235" i="23"/>
  <c r="V235" i="23"/>
  <c r="W131" i="23"/>
  <c r="V131" i="23"/>
  <c r="W15" i="23"/>
  <c r="V15" i="23"/>
  <c r="W84" i="23"/>
  <c r="V84" i="23"/>
  <c r="W198" i="23"/>
  <c r="V198" i="23"/>
  <c r="W87" i="23"/>
  <c r="V87" i="23"/>
  <c r="W168" i="23"/>
  <c r="V168" i="23"/>
  <c r="W136" i="23"/>
  <c r="V136" i="23"/>
  <c r="W207" i="23"/>
  <c r="V207" i="23"/>
  <c r="W218" i="23"/>
  <c r="V218" i="23"/>
  <c r="BG16" i="46"/>
  <c r="CW15" i="46"/>
  <c r="LN10" i="46"/>
  <c r="EL13" i="46"/>
  <c r="CF17" i="46"/>
  <c r="GV17" i="46"/>
  <c r="HZ17" i="46"/>
  <c r="KE11" i="46"/>
  <c r="HH17" i="46"/>
  <c r="EZ17" i="46"/>
  <c r="CQ16" i="46"/>
  <c r="GU15" i="46"/>
  <c r="EW11" i="46"/>
  <c r="DK7" i="46"/>
  <c r="FI12" i="46"/>
  <c r="HW12" i="46"/>
  <c r="HU7" i="46"/>
  <c r="KP9" i="46"/>
  <c r="DB13" i="46"/>
  <c r="DZ13" i="46"/>
  <c r="LO11" i="46"/>
  <c r="LU11" i="46"/>
  <c r="KV9" i="46"/>
  <c r="IZ9" i="46"/>
  <c r="DD18" i="46"/>
  <c r="DX9" i="46"/>
  <c r="BS16" i="46"/>
  <c r="LC12" i="46"/>
  <c r="EK11" i="46"/>
  <c r="ED9" i="46"/>
  <c r="JX9" i="46"/>
  <c r="JG11" i="46"/>
  <c r="KW11" i="46"/>
  <c r="KQ12" i="46"/>
  <c r="HQ12" i="46"/>
  <c r="BN14" i="92"/>
  <c r="BV13" i="92"/>
  <c r="BW13" i="92"/>
  <c r="BS9" i="92"/>
  <c r="BW9" i="92"/>
  <c r="BW16" i="92"/>
  <c r="BV16" i="92"/>
  <c r="BS14" i="92"/>
  <c r="BV14" i="92"/>
  <c r="CQ17" i="92"/>
  <c r="CQ18" i="92"/>
  <c r="CQ23" i="92"/>
  <c r="CQ25" i="92"/>
  <c r="CQ24" i="92"/>
  <c r="CQ27" i="92"/>
  <c r="CQ26" i="92"/>
  <c r="CQ19" i="92"/>
  <c r="CQ33" i="92"/>
  <c r="CQ28" i="92"/>
  <c r="CQ20" i="92"/>
  <c r="CQ21" i="92"/>
  <c r="CQ22" i="92"/>
  <c r="CQ36" i="92"/>
  <c r="CQ32" i="92"/>
  <c r="CQ30" i="92"/>
  <c r="CQ29" i="92"/>
  <c r="BF7" i="92"/>
  <c r="BE7" i="92"/>
  <c r="R16" i="46"/>
  <c r="AC16" i="46" s="1"/>
  <c r="Y16" i="46"/>
  <c r="HS13" i="46"/>
  <c r="BO17" i="46"/>
  <c r="MG10" i="46"/>
  <c r="GE17" i="46"/>
  <c r="HO17" i="46"/>
  <c r="FY17" i="46"/>
  <c r="CY17" i="46"/>
  <c r="JK17" i="46"/>
  <c r="JA9" i="46"/>
  <c r="CM17" i="46"/>
  <c r="FK13" i="46"/>
  <c r="HG13" i="46"/>
  <c r="CL15" i="46"/>
  <c r="BV7" i="46"/>
  <c r="CV11" i="46"/>
  <c r="GR8" i="46"/>
  <c r="LP11" i="46"/>
  <c r="OI9" i="46"/>
  <c r="BT15" i="46"/>
  <c r="HN15" i="46"/>
  <c r="CB8" i="46"/>
  <c r="IV12" i="46"/>
  <c r="AN11" i="46"/>
  <c r="IJ11" i="46"/>
  <c r="FD11" i="46"/>
  <c r="FO9" i="46"/>
  <c r="CR16" i="46"/>
  <c r="BH16" i="46"/>
  <c r="EB15" i="46"/>
  <c r="GH12" i="46"/>
  <c r="ET16" i="46"/>
  <c r="JT11" i="46"/>
  <c r="BC18" i="46"/>
  <c r="BN15" i="46"/>
  <c r="AL7" i="46"/>
  <c r="DJ16" i="46"/>
  <c r="KR11" i="46"/>
  <c r="AC17" i="46"/>
  <c r="Z17" i="46"/>
  <c r="BR10" i="46"/>
  <c r="Y8" i="46"/>
  <c r="FV10" i="46"/>
  <c r="DN10" i="46"/>
  <c r="HL10" i="46"/>
  <c r="IP10" i="46"/>
  <c r="Y12" i="46"/>
  <c r="Y17" i="46"/>
  <c r="W3" i="23"/>
  <c r="CE15" i="46"/>
  <c r="IG8" i="46"/>
  <c r="NU8" i="46"/>
  <c r="MQ8" i="46"/>
  <c r="LS9" i="46"/>
  <c r="NC9" i="46"/>
  <c r="LA9" i="46"/>
  <c r="KI8" i="46"/>
  <c r="AK8" i="46"/>
  <c r="LY9" i="46"/>
  <c r="GW9" i="46"/>
  <c r="AQ8" i="46"/>
  <c r="IA9" i="46"/>
  <c r="FA8" i="46"/>
  <c r="GK9" i="46"/>
  <c r="Z12" i="46"/>
  <c r="HC15" i="46"/>
  <c r="R15" i="46"/>
  <c r="AC15" i="46" s="1"/>
  <c r="Y15" i="46"/>
  <c r="R12" i="46"/>
  <c r="AC12" i="46" s="1"/>
  <c r="Y14" i="46"/>
  <c r="R14" i="46"/>
  <c r="FG15" i="46"/>
  <c r="EO15" i="46"/>
  <c r="CA15" i="46"/>
  <c r="CT17" i="46"/>
  <c r="BI16" i="46"/>
  <c r="EP18" i="46"/>
  <c r="GQ15" i="46"/>
  <c r="DE16" i="46"/>
  <c r="DQ16" i="46"/>
  <c r="DP13" i="46"/>
  <c r="EI15" i="46"/>
  <c r="JB9" i="46"/>
  <c r="CX13" i="46"/>
  <c r="CG15" i="46"/>
  <c r="DF17" i="46"/>
  <c r="CZ17" i="46"/>
  <c r="FQ12" i="46"/>
  <c r="GF17" i="46"/>
  <c r="MS8" i="46"/>
  <c r="NX9" i="46"/>
  <c r="IN17" i="46"/>
  <c r="BB13" i="46"/>
  <c r="II8" i="46"/>
  <c r="JO12" i="46"/>
  <c r="IE11" i="46"/>
  <c r="MN9" i="46"/>
  <c r="CP9" i="46"/>
  <c r="EA12" i="46"/>
  <c r="BD17" i="46"/>
  <c r="BZ13" i="46"/>
  <c r="HI15" i="46"/>
  <c r="CN17" i="46"/>
  <c r="KM11" i="46"/>
  <c r="HR9" i="46"/>
  <c r="NR9" i="46"/>
  <c r="IU8" i="46"/>
  <c r="OJ9" i="46"/>
  <c r="Y10" i="46"/>
  <c r="SO11" i="46"/>
  <c r="IJ10" i="46"/>
  <c r="AGO14" i="46"/>
  <c r="AJG17" i="46"/>
  <c r="TM16" i="46"/>
  <c r="PS14" i="46"/>
  <c r="SO14" i="46"/>
  <c r="WD7" i="46"/>
  <c r="CC17" i="46"/>
  <c r="WD13" i="46"/>
  <c r="DG17" i="46"/>
  <c r="VK18" i="46"/>
  <c r="HN13" i="46"/>
  <c r="NL18" i="46"/>
  <c r="BK17" i="46"/>
  <c r="BW17" i="46"/>
  <c r="GS17" i="46"/>
  <c r="EE17" i="46"/>
  <c r="CO17" i="46"/>
  <c r="DM17" i="46"/>
  <c r="DS17" i="46"/>
  <c r="R10" i="46"/>
  <c r="K43" i="46" s="1"/>
  <c r="MV12" i="46"/>
  <c r="AK7" i="46"/>
  <c r="ZE14" i="46"/>
  <c r="IC7" i="46"/>
  <c r="CU7" i="46"/>
  <c r="HJ15" i="46"/>
  <c r="WD9" i="46"/>
  <c r="WD11" i="46"/>
  <c r="OO4" i="46"/>
  <c r="RH13" i="46"/>
  <c r="PB13" i="46"/>
  <c r="ZE16" i="46"/>
  <c r="AJG15" i="46"/>
  <c r="AEY15" i="46"/>
  <c r="PB8" i="46"/>
  <c r="AFT10" i="46"/>
  <c r="ZY12" i="46"/>
  <c r="AAN14" i="46"/>
  <c r="ADS14" i="46"/>
  <c r="AFT4" i="46"/>
  <c r="ZY17" i="46"/>
  <c r="AAN8" i="46"/>
  <c r="OO9" i="46"/>
  <c r="JV4" i="46"/>
  <c r="MV11" i="46"/>
  <c r="ZE4" i="46"/>
  <c r="AFT18" i="46"/>
  <c r="AJG10" i="46"/>
  <c r="OO14" i="46"/>
  <c r="PB4" i="46"/>
  <c r="ZE18" i="46"/>
  <c r="AEY11" i="46"/>
  <c r="ADS13" i="46"/>
  <c r="ADS17" i="46"/>
  <c r="RH4" i="46"/>
  <c r="RH11" i="46"/>
  <c r="ZY11" i="46"/>
  <c r="JV17" i="46"/>
  <c r="RH14" i="46"/>
  <c r="RH8" i="46"/>
  <c r="ZE11" i="46"/>
  <c r="AJG13" i="46"/>
  <c r="JV7" i="46"/>
  <c r="MV14" i="46"/>
  <c r="PB9" i="46"/>
  <c r="AHI4" i="46"/>
  <c r="AAN11" i="46"/>
  <c r="ADS7" i="46"/>
  <c r="AIY9" i="46"/>
  <c r="AHI10" i="46"/>
  <c r="AEY14" i="46"/>
  <c r="PB12" i="46"/>
  <c r="AIY12" i="46"/>
  <c r="AHI16" i="46"/>
  <c r="JV16" i="46"/>
  <c r="AEY17" i="46"/>
  <c r="JV13" i="46"/>
  <c r="AIY18" i="46"/>
  <c r="AFT17" i="46"/>
  <c r="AJG16" i="46"/>
  <c r="AHI11" i="46"/>
  <c r="RY17" i="46"/>
  <c r="O27" i="46"/>
  <c r="O3" i="46" s="1"/>
  <c r="AAN7" i="46"/>
  <c r="OO18" i="46"/>
  <c r="ADS10" i="46"/>
  <c r="AIY14" i="46"/>
  <c r="ZY13" i="46"/>
  <c r="AEY9" i="46"/>
  <c r="AAN17" i="46"/>
  <c r="PB16" i="46"/>
  <c r="OO10" i="46"/>
  <c r="PB18" i="46"/>
  <c r="ADS16" i="46"/>
  <c r="JV15" i="46"/>
  <c r="RH16" i="46"/>
  <c r="MV13" i="46"/>
  <c r="AIY4" i="46"/>
  <c r="AIY13" i="46"/>
  <c r="ZE12" i="46"/>
  <c r="OO7" i="46"/>
  <c r="AFT8" i="46"/>
  <c r="AJG4" i="46"/>
  <c r="ZY10" i="46"/>
  <c r="ZY4" i="46"/>
  <c r="AHI14" i="46"/>
  <c r="AAN4" i="46"/>
  <c r="ADS15" i="46"/>
  <c r="RH17" i="46"/>
  <c r="MV16" i="46"/>
  <c r="AIY11" i="46"/>
  <c r="AIY10" i="46"/>
  <c r="ZE17" i="46"/>
  <c r="ZY16" i="46"/>
  <c r="AHI12" i="46"/>
  <c r="AEY10" i="46"/>
  <c r="AAN10" i="46"/>
  <c r="AEY4" i="46"/>
  <c r="JV10" i="46"/>
  <c r="MV10" i="46"/>
  <c r="PB15" i="46"/>
  <c r="OO8" i="46"/>
  <c r="ADS11" i="46"/>
  <c r="MV17" i="46"/>
  <c r="MV8" i="46"/>
  <c r="RH12" i="46"/>
  <c r="AIY16" i="46"/>
  <c r="AIY7" i="46"/>
  <c r="ZE8" i="46"/>
  <c r="AFT12" i="46"/>
  <c r="AFT13" i="46"/>
  <c r="AJG18" i="46"/>
  <c r="ZY18" i="46"/>
  <c r="ZY7" i="46"/>
  <c r="AHI8" i="46"/>
  <c r="AHI13" i="46"/>
  <c r="JV14" i="46"/>
  <c r="MV7" i="46"/>
  <c r="PB7" i="46"/>
  <c r="AJG9" i="46"/>
  <c r="AEY12" i="46"/>
  <c r="AAN16" i="46"/>
  <c r="OO11" i="46"/>
  <c r="ADS4" i="46"/>
  <c r="OO16" i="46"/>
  <c r="JV8" i="46"/>
  <c r="PB14" i="46"/>
  <c r="RH15" i="46"/>
  <c r="AFT14" i="46"/>
  <c r="AFT9" i="46"/>
  <c r="AJG11" i="46"/>
  <c r="ZY8" i="46"/>
  <c r="AEY7" i="46"/>
  <c r="AEY16" i="46"/>
  <c r="AAN18" i="46"/>
  <c r="AEY13" i="46"/>
  <c r="ADS12" i="46"/>
  <c r="PB11" i="46"/>
  <c r="ADS18" i="46"/>
  <c r="OO15" i="46"/>
  <c r="RH9" i="46"/>
  <c r="MV18" i="46"/>
  <c r="RH18" i="46"/>
  <c r="AIY8" i="46"/>
  <c r="ZE10" i="46"/>
  <c r="ZE13" i="46"/>
  <c r="AFT11" i="46"/>
  <c r="AFT7" i="46"/>
  <c r="AJG14" i="46"/>
  <c r="AJG8" i="46"/>
  <c r="ZY14" i="46"/>
  <c r="AHI18" i="46"/>
  <c r="AHI15" i="46"/>
  <c r="AEY18" i="46"/>
  <c r="AAN12" i="46"/>
  <c r="AAN9" i="46"/>
  <c r="AAN13" i="46"/>
  <c r="PB17" i="46"/>
  <c r="OO17" i="46"/>
  <c r="ADS8" i="46"/>
  <c r="OO12" i="46"/>
  <c r="MV15" i="46"/>
  <c r="RH10" i="46"/>
  <c r="AIY17" i="46"/>
  <c r="ZE15" i="46"/>
  <c r="ZE7" i="46"/>
  <c r="AFT16" i="46"/>
  <c r="AJG12" i="46"/>
  <c r="ZY15" i="46"/>
  <c r="AHI9" i="46"/>
  <c r="AHI17" i="46"/>
  <c r="UZ18" i="46"/>
  <c r="AGO18" i="46"/>
  <c r="AJV12" i="46"/>
  <c r="UB12" i="46"/>
  <c r="IJ16" i="46"/>
  <c r="AIP8" i="46"/>
  <c r="AJV9" i="46"/>
  <c r="AGO8" i="46"/>
  <c r="UB16" i="46"/>
  <c r="IJ12" i="46"/>
  <c r="NN10" i="46"/>
  <c r="LE4" i="46"/>
  <c r="UB7" i="46"/>
  <c r="ADC11" i="46"/>
  <c r="UZ13" i="46"/>
  <c r="NN4" i="46"/>
  <c r="ADC16" i="46"/>
  <c r="LE17" i="46"/>
  <c r="UB10" i="46"/>
  <c r="ADC8" i="46"/>
  <c r="TM15" i="46"/>
  <c r="UZ9" i="46"/>
  <c r="LE11" i="46"/>
  <c r="AIP11" i="46"/>
  <c r="SO8" i="46"/>
  <c r="SO12" i="46"/>
  <c r="AD16" i="46"/>
  <c r="HN16" i="46"/>
  <c r="YJ18" i="46"/>
  <c r="DV13" i="46"/>
  <c r="FN8" i="46"/>
  <c r="DV10" i="46"/>
  <c r="YJ10" i="46"/>
  <c r="VK8" i="46"/>
  <c r="DV17" i="46"/>
  <c r="VK12" i="46"/>
  <c r="FN18" i="46"/>
  <c r="AK16" i="46"/>
  <c r="SQ10" i="46"/>
  <c r="EM13" i="46"/>
  <c r="AAS17" i="46"/>
  <c r="SQ16" i="46"/>
  <c r="FN17" i="46"/>
  <c r="JS18" i="46"/>
  <c r="AK10" i="46"/>
  <c r="VK7" i="46"/>
  <c r="SQ9" i="46"/>
  <c r="BN10" i="46"/>
  <c r="AAS10" i="46"/>
  <c r="HN4" i="46"/>
  <c r="AAS18" i="46"/>
  <c r="EM11" i="46"/>
  <c r="HN10" i="46"/>
  <c r="AAS9" i="46"/>
  <c r="VM7" i="46"/>
  <c r="WD8" i="46"/>
  <c r="LT12" i="46"/>
  <c r="AHJ17" i="46"/>
  <c r="AFG18" i="46"/>
  <c r="LT11" i="46"/>
  <c r="AJK11" i="46"/>
  <c r="ADW14" i="46"/>
  <c r="AJK17" i="46"/>
  <c r="PU7" i="46"/>
  <c r="AHJ13" i="46"/>
  <c r="SL12" i="46"/>
  <c r="NN18" i="46"/>
  <c r="UB13" i="46"/>
  <c r="AIP13" i="46"/>
  <c r="TM10" i="46"/>
  <c r="TM13" i="46"/>
  <c r="PS9" i="46"/>
  <c r="PS8" i="46"/>
  <c r="PS10" i="46"/>
  <c r="AIP7" i="46"/>
  <c r="AJV10" i="46"/>
  <c r="AJV8" i="46"/>
  <c r="TM18" i="46"/>
  <c r="PS18" i="46"/>
  <c r="LE14" i="46"/>
  <c r="IJ17" i="46"/>
  <c r="AIP14" i="46"/>
  <c r="AJV7" i="46"/>
  <c r="UE7" i="46"/>
  <c r="SO9" i="46"/>
  <c r="UZ16" i="46"/>
  <c r="AGO12" i="46"/>
  <c r="PS13" i="46"/>
  <c r="AIP10" i="46"/>
  <c r="AJV11" i="46"/>
  <c r="ADC13" i="46"/>
  <c r="SO7" i="46"/>
  <c r="AGO11" i="46"/>
  <c r="ADF16" i="46"/>
  <c r="LE10" i="46"/>
  <c r="IJ4" i="46"/>
  <c r="ADC9" i="46"/>
  <c r="TM12" i="46"/>
  <c r="SO10" i="46"/>
  <c r="AGO17" i="46"/>
  <c r="UZ15" i="46"/>
  <c r="NN16" i="46"/>
  <c r="LE18" i="46"/>
  <c r="UB8" i="46"/>
  <c r="AIP16" i="46"/>
  <c r="ADC12" i="46"/>
  <c r="TM14" i="46"/>
  <c r="SO16" i="46"/>
  <c r="AGO10" i="46"/>
  <c r="UZ17" i="46"/>
  <c r="IJ14" i="46"/>
  <c r="NN15" i="46"/>
  <c r="NN17" i="46"/>
  <c r="NN11" i="46"/>
  <c r="UB4" i="46"/>
  <c r="IJ13" i="46"/>
  <c r="UB18" i="46"/>
  <c r="AIP9" i="46"/>
  <c r="AJV16" i="46"/>
  <c r="ADC14" i="46"/>
  <c r="SO17" i="46"/>
  <c r="UZ12" i="46"/>
  <c r="UZ7" i="46"/>
  <c r="AGO7" i="46"/>
  <c r="PS4" i="46"/>
  <c r="PS11" i="46"/>
  <c r="PS16" i="46"/>
  <c r="AFO4" i="46"/>
  <c r="RY15" i="46"/>
  <c r="LQ18" i="46"/>
  <c r="RY9" i="46"/>
  <c r="AIB15" i="46"/>
  <c r="RY12" i="46"/>
  <c r="LQ10" i="46"/>
  <c r="LQ12" i="46"/>
  <c r="ADM4" i="46"/>
  <c r="LQ11" i="46"/>
  <c r="RY8" i="46"/>
  <c r="RY7" i="46"/>
  <c r="LQ13" i="46"/>
  <c r="RY13" i="46"/>
  <c r="ADL10" i="46"/>
  <c r="MQ7" i="46"/>
  <c r="EB13" i="46"/>
  <c r="AM10" i="46"/>
  <c r="AHJ8" i="46"/>
  <c r="AM8" i="46"/>
  <c r="WD14" i="46"/>
  <c r="WD18" i="46"/>
  <c r="ADW8" i="46"/>
  <c r="PU15" i="46"/>
  <c r="OE18" i="46"/>
  <c r="ADW10" i="46"/>
  <c r="PU17" i="46"/>
  <c r="AHJ11" i="46"/>
  <c r="VM11" i="46"/>
  <c r="WD15" i="46"/>
  <c r="AFG14" i="46"/>
  <c r="AM7" i="46"/>
  <c r="AM12" i="46"/>
  <c r="OE10" i="46"/>
  <c r="NN8" i="46"/>
  <c r="LE12" i="46"/>
  <c r="PU10" i="46"/>
  <c r="UB9" i="46"/>
  <c r="UB14" i="46"/>
  <c r="AIP17" i="46"/>
  <c r="AJV14" i="46"/>
  <c r="AJV4" i="46"/>
  <c r="AJV15" i="46"/>
  <c r="VM4" i="46"/>
  <c r="ADC10" i="46"/>
  <c r="ADC15" i="46"/>
  <c r="TM7" i="46"/>
  <c r="SO18" i="46"/>
  <c r="SO15" i="46"/>
  <c r="WD16" i="46"/>
  <c r="AGO9" i="46"/>
  <c r="UZ10" i="46"/>
  <c r="PS17" i="46"/>
  <c r="TM8" i="46"/>
  <c r="NN7" i="46"/>
  <c r="IJ9" i="46"/>
  <c r="NN14" i="46"/>
  <c r="ADW12" i="46"/>
  <c r="PU11" i="46"/>
  <c r="LE13" i="46"/>
  <c r="IJ15" i="46"/>
  <c r="UB17" i="46"/>
  <c r="UB11" i="46"/>
  <c r="AIP4" i="46"/>
  <c r="AFO9" i="46"/>
  <c r="AJV18" i="46"/>
  <c r="AJV17" i="46"/>
  <c r="VM8" i="46"/>
  <c r="ADC17" i="46"/>
  <c r="ADC18" i="46"/>
  <c r="TM4" i="46"/>
  <c r="SO13" i="46"/>
  <c r="WD4" i="46"/>
  <c r="WD10" i="46"/>
  <c r="UZ8" i="46"/>
  <c r="SL7" i="46"/>
  <c r="AGO4" i="46"/>
  <c r="PS15" i="46"/>
  <c r="IJ18" i="46"/>
  <c r="EB18" i="46"/>
  <c r="PS7" i="46"/>
  <c r="NN12" i="46"/>
  <c r="LE15" i="46"/>
  <c r="AIP15" i="46"/>
  <c r="AIP12" i="46"/>
  <c r="AFO13" i="46"/>
  <c r="AFO17" i="46"/>
  <c r="TM9" i="46"/>
  <c r="ADC4" i="46"/>
  <c r="TM17" i="46"/>
  <c r="WD17" i="46"/>
  <c r="AGO15" i="46"/>
  <c r="UZ4" i="46"/>
  <c r="UZ14" i="46"/>
  <c r="AGO13" i="46"/>
  <c r="AFG11" i="46"/>
  <c r="ADL11" i="46"/>
  <c r="FY16" i="46"/>
  <c r="AFB8" i="46"/>
  <c r="TC18" i="46"/>
  <c r="AFB15" i="46"/>
  <c r="FY18" i="46"/>
  <c r="FY14" i="46"/>
  <c r="MW8" i="46"/>
  <c r="LT13" i="46"/>
  <c r="AJK16" i="46"/>
  <c r="OE7" i="46"/>
  <c r="OE14" i="46"/>
  <c r="ADW16" i="46"/>
  <c r="ADW13" i="46"/>
  <c r="PU4" i="46"/>
  <c r="AHJ16" i="46"/>
  <c r="AFO15" i="46"/>
  <c r="VM15" i="46"/>
  <c r="EB4" i="46"/>
  <c r="AM17" i="46"/>
  <c r="SL15" i="46"/>
  <c r="AJK14" i="46"/>
  <c r="EB7" i="46"/>
  <c r="OE15" i="46"/>
  <c r="ADW18" i="46"/>
  <c r="PU18" i="46"/>
  <c r="AHJ10" i="46"/>
  <c r="VM16" i="46"/>
  <c r="EB17" i="46"/>
  <c r="AFG13" i="46"/>
  <c r="AFO10" i="46"/>
  <c r="AFG10" i="46"/>
  <c r="AFG9" i="46"/>
  <c r="FA15" i="46"/>
  <c r="LT17" i="46"/>
  <c r="LT18" i="46"/>
  <c r="AJK15" i="46"/>
  <c r="AJK18" i="46"/>
  <c r="FA9" i="46"/>
  <c r="LT7" i="46"/>
  <c r="LT10" i="46"/>
  <c r="OE8" i="46"/>
  <c r="AFO14" i="46"/>
  <c r="AHJ12" i="46"/>
  <c r="VM13" i="46"/>
  <c r="EB16" i="46"/>
  <c r="AFG4" i="46"/>
  <c r="FA13" i="46"/>
  <c r="LT14" i="46"/>
  <c r="LT16" i="46"/>
  <c r="SL9" i="46"/>
  <c r="SL14" i="46"/>
  <c r="LT8" i="46"/>
  <c r="AJK4" i="46"/>
  <c r="FA14" i="46"/>
  <c r="FA16" i="46"/>
  <c r="AM9" i="46"/>
  <c r="FA10" i="46"/>
  <c r="OE11" i="46"/>
  <c r="EB10" i="46"/>
  <c r="PU13" i="46"/>
  <c r="AFO16" i="46"/>
  <c r="AFO7" i="46"/>
  <c r="AHJ9" i="46"/>
  <c r="VM10" i="46"/>
  <c r="AM4" i="46"/>
  <c r="AFG16" i="46"/>
  <c r="SL10" i="46"/>
  <c r="SL8" i="46"/>
  <c r="SL16" i="46"/>
  <c r="AJK9" i="46"/>
  <c r="FA17" i="46"/>
  <c r="OE17" i="46"/>
  <c r="ADW4" i="46"/>
  <c r="ADW7" i="46"/>
  <c r="PU16" i="46"/>
  <c r="AHJ14" i="46"/>
  <c r="VM12" i="46"/>
  <c r="VM17" i="46"/>
  <c r="AM11" i="46"/>
  <c r="AFG12" i="46"/>
  <c r="AK13" i="46"/>
  <c r="SL18" i="46"/>
  <c r="SL17" i="46"/>
  <c r="ACD15" i="46"/>
  <c r="DD10" i="46"/>
  <c r="DV7" i="46"/>
  <c r="YJ8" i="46"/>
  <c r="DD17" i="46"/>
  <c r="YS15" i="46"/>
  <c r="LQ14" i="46"/>
  <c r="RY11" i="46"/>
  <c r="LQ17" i="46"/>
  <c r="RY18" i="46"/>
  <c r="ABE7" i="46"/>
  <c r="RY10" i="46"/>
  <c r="RY4" i="46"/>
  <c r="LQ4" i="46"/>
  <c r="LQ16" i="46"/>
  <c r="JC14" i="46"/>
  <c r="LZ7" i="46"/>
  <c r="ADM14" i="46"/>
  <c r="YS7" i="46"/>
  <c r="ABE14" i="46"/>
  <c r="RY14" i="46"/>
  <c r="KC16" i="46"/>
  <c r="YS14" i="46"/>
  <c r="ADM15" i="46"/>
  <c r="AFL10" i="46"/>
  <c r="RT8" i="46"/>
  <c r="NP7" i="46"/>
  <c r="AGI15" i="46"/>
  <c r="PX17" i="46"/>
  <c r="HO14" i="46"/>
  <c r="AFB13" i="46"/>
  <c r="SF7" i="46"/>
  <c r="SF9" i="46"/>
  <c r="PC15" i="46"/>
  <c r="HO15" i="46"/>
  <c r="IA8" i="46"/>
  <c r="XV17" i="46"/>
  <c r="MW16" i="46"/>
  <c r="ACM11" i="46"/>
  <c r="BX13" i="46"/>
  <c r="MW9" i="46"/>
  <c r="AIT13" i="46"/>
  <c r="AIH9" i="46"/>
  <c r="ADE15" i="46"/>
  <c r="ADF13" i="46"/>
  <c r="AFW13" i="46"/>
  <c r="AIH11" i="46"/>
  <c r="XV7" i="46"/>
  <c r="IA15" i="46"/>
  <c r="ACV13" i="46"/>
  <c r="HY16" i="46"/>
  <c r="KB13" i="46"/>
  <c r="ADF18" i="46"/>
  <c r="AL11" i="46"/>
  <c r="EK14" i="46"/>
  <c r="ADU11" i="46"/>
  <c r="ADU18" i="46"/>
  <c r="VU16" i="46"/>
  <c r="QV15" i="46"/>
  <c r="WO12" i="46"/>
  <c r="HQ10" i="46"/>
  <c r="ACD13" i="46"/>
  <c r="EB14" i="46"/>
  <c r="OE16" i="46"/>
  <c r="ADW17" i="46"/>
  <c r="AM15" i="46"/>
  <c r="PU14" i="46"/>
  <c r="PU12" i="46"/>
  <c r="AFO8" i="46"/>
  <c r="AHJ7" i="46"/>
  <c r="AFO18" i="46"/>
  <c r="VM14" i="46"/>
  <c r="VM18" i="46"/>
  <c r="EB8" i="46"/>
  <c r="AFG7" i="46"/>
  <c r="AFG17" i="46"/>
  <c r="FA4" i="46"/>
  <c r="LT9" i="46"/>
  <c r="SL11" i="46"/>
  <c r="LT4" i="46"/>
  <c r="AJK13" i="46"/>
  <c r="AJK12" i="46"/>
  <c r="AFG8" i="46"/>
  <c r="LW10" i="46"/>
  <c r="AJK10" i="46"/>
  <c r="EB12" i="46"/>
  <c r="FA18" i="46"/>
  <c r="FA7" i="46"/>
  <c r="OE4" i="46"/>
  <c r="OE12" i="46"/>
  <c r="ADW11" i="46"/>
  <c r="ADW9" i="46"/>
  <c r="AHJ15" i="46"/>
  <c r="AHJ4" i="46"/>
  <c r="AFO12" i="46"/>
  <c r="SL4" i="46"/>
  <c r="AJK8" i="46"/>
  <c r="MU14" i="46"/>
  <c r="AL8" i="46"/>
  <c r="TS11" i="46"/>
  <c r="WO13" i="46"/>
  <c r="QV9" i="46"/>
  <c r="EK4" i="46"/>
  <c r="EF18" i="46"/>
  <c r="TS4" i="46"/>
  <c r="QV4" i="46"/>
  <c r="HQ13" i="46"/>
  <c r="ADU15" i="46"/>
  <c r="ADU14" i="46"/>
  <c r="EF11" i="46"/>
  <c r="LC13" i="46"/>
  <c r="AGV13" i="46"/>
  <c r="AGV8" i="46"/>
  <c r="AGV4" i="46"/>
  <c r="AGV15" i="46"/>
  <c r="AGV14" i="46"/>
  <c r="AGV18" i="46"/>
  <c r="AGV12" i="46"/>
  <c r="AGV9" i="46"/>
  <c r="AFB17" i="46"/>
  <c r="AFB9" i="46"/>
  <c r="AFB16" i="46"/>
  <c r="AFB14" i="46"/>
  <c r="AFB7" i="46"/>
  <c r="AFB11" i="46"/>
  <c r="AFB4" i="46"/>
  <c r="AFB12" i="46"/>
  <c r="ADL7" i="46"/>
  <c r="ADL13" i="46"/>
  <c r="ADL16" i="46"/>
  <c r="ADL8" i="46"/>
  <c r="ADL4" i="46"/>
  <c r="ADL15" i="46"/>
  <c r="ADL14" i="46"/>
  <c r="FY8" i="46"/>
  <c r="FY13" i="46"/>
  <c r="FY9" i="46"/>
  <c r="FY10" i="46"/>
  <c r="FY4" i="46"/>
  <c r="AHQ12" i="46"/>
  <c r="AHQ4" i="46"/>
  <c r="AHQ16" i="46"/>
  <c r="AHQ8" i="46"/>
  <c r="AHQ11" i="46"/>
  <c r="AHQ10" i="46"/>
  <c r="AHQ15" i="46"/>
  <c r="AHQ17" i="46"/>
  <c r="AHQ13" i="46"/>
  <c r="AHQ9" i="46"/>
  <c r="AHQ14" i="46"/>
  <c r="ACM7" i="46"/>
  <c r="ACM13" i="46"/>
  <c r="ACM16" i="46"/>
  <c r="ACM10" i="46"/>
  <c r="ACM18" i="46"/>
  <c r="ACM12" i="46"/>
  <c r="ACM9" i="46"/>
  <c r="MW15" i="46"/>
  <c r="MW4" i="46"/>
  <c r="MW11" i="46"/>
  <c r="MW12" i="46"/>
  <c r="MW7" i="46"/>
  <c r="MW18" i="46"/>
  <c r="IN18" i="46"/>
  <c r="IN10" i="46"/>
  <c r="IN7" i="46"/>
  <c r="IN12" i="46"/>
  <c r="IN13" i="46"/>
  <c r="IN4" i="46"/>
  <c r="IN15" i="46"/>
  <c r="IN11" i="46"/>
  <c r="TC14" i="46"/>
  <c r="TC4" i="46"/>
  <c r="TC13" i="46"/>
  <c r="TC15" i="46"/>
  <c r="TC12" i="46"/>
  <c r="TC8" i="46"/>
  <c r="TC17" i="46"/>
  <c r="TC10" i="46"/>
  <c r="TC7" i="46"/>
  <c r="TC9" i="46"/>
  <c r="MQ18" i="46"/>
  <c r="MQ17" i="46"/>
  <c r="MQ10" i="46"/>
  <c r="MQ14" i="46"/>
  <c r="MQ16" i="46"/>
  <c r="MQ4" i="46"/>
  <c r="HP4" i="46"/>
  <c r="HP7" i="46"/>
  <c r="HP8" i="46"/>
  <c r="HP14" i="46"/>
  <c r="HP17" i="46"/>
  <c r="HP12" i="46"/>
  <c r="HP9" i="46"/>
  <c r="HP16" i="46"/>
  <c r="HP13" i="46"/>
  <c r="HP18" i="46"/>
  <c r="HP10" i="46"/>
  <c r="IN14" i="46"/>
  <c r="HV11" i="46"/>
  <c r="MQ9" i="46"/>
  <c r="ACM14" i="46"/>
  <c r="ACM15" i="46"/>
  <c r="IN16" i="46"/>
  <c r="ADL17" i="46"/>
  <c r="IN9" i="46"/>
  <c r="MW17" i="46"/>
  <c r="AFB18" i="46"/>
  <c r="AGV16" i="46"/>
  <c r="MW13" i="46"/>
  <c r="ADM12" i="46"/>
  <c r="TC11" i="46"/>
  <c r="YD12" i="46"/>
  <c r="YD4" i="46"/>
  <c r="YD17" i="46"/>
  <c r="YD13" i="46"/>
  <c r="RT18" i="46"/>
  <c r="RT4" i="46"/>
  <c r="RT14" i="46"/>
  <c r="MR16" i="46"/>
  <c r="MR18" i="46"/>
  <c r="MR9" i="46"/>
  <c r="MR7" i="46"/>
  <c r="MR13" i="46"/>
  <c r="ACO4" i="46"/>
  <c r="ACO9" i="46"/>
  <c r="ACO16" i="46"/>
  <c r="ACO18" i="46"/>
  <c r="ACO11" i="46"/>
  <c r="ACO17" i="46"/>
  <c r="ACO14" i="46"/>
  <c r="LZ4" i="46"/>
  <c r="LZ13" i="46"/>
  <c r="LZ16" i="46"/>
  <c r="LZ18" i="46"/>
  <c r="LZ8" i="46"/>
  <c r="LZ10" i="46"/>
  <c r="LZ14" i="46"/>
  <c r="ADZ15" i="46"/>
  <c r="ADZ10" i="46"/>
  <c r="ADZ11" i="46"/>
  <c r="ADZ18" i="46"/>
  <c r="ADZ14" i="46"/>
  <c r="HH16" i="46"/>
  <c r="HH8" i="46"/>
  <c r="HH4" i="46"/>
  <c r="HH13" i="46"/>
  <c r="HH10" i="46"/>
  <c r="YS11" i="46"/>
  <c r="YS18" i="46"/>
  <c r="YS8" i="46"/>
  <c r="YS16" i="46"/>
  <c r="YS12" i="46"/>
  <c r="BA13" i="46"/>
  <c r="BA16" i="46"/>
  <c r="KC14" i="46"/>
  <c r="KC17" i="46"/>
  <c r="KC9" i="46"/>
  <c r="ABU17" i="46"/>
  <c r="ABU11" i="46"/>
  <c r="ABU9" i="46"/>
  <c r="ABU7" i="46"/>
  <c r="ABU8" i="46"/>
  <c r="BC8" i="46"/>
  <c r="BC15" i="46"/>
  <c r="BC7" i="46"/>
  <c r="BC9" i="46"/>
  <c r="BC4" i="46"/>
  <c r="AFL13" i="46"/>
  <c r="AFL14" i="46"/>
  <c r="AFL8" i="46"/>
  <c r="AFL7" i="46"/>
  <c r="ADG8" i="46"/>
  <c r="ADG7" i="46"/>
  <c r="YM13" i="46"/>
  <c r="YM18" i="46"/>
  <c r="YM14" i="46"/>
  <c r="YM8" i="46"/>
  <c r="YM12" i="46"/>
  <c r="YM15" i="46"/>
  <c r="RP8" i="46"/>
  <c r="RP13" i="46"/>
  <c r="RP12" i="46"/>
  <c r="RP4" i="46"/>
  <c r="RP10" i="46"/>
  <c r="RP11" i="46"/>
  <c r="DD13" i="46"/>
  <c r="DD4" i="46"/>
  <c r="DD7" i="46"/>
  <c r="DD8" i="46"/>
  <c r="LF17" i="46"/>
  <c r="LF7" i="46"/>
  <c r="ABE9" i="46"/>
  <c r="ABE15" i="46"/>
  <c r="ABE4" i="46"/>
  <c r="ABE13" i="46"/>
  <c r="ZV14" i="46"/>
  <c r="ZV8" i="46"/>
  <c r="ZV11" i="46"/>
  <c r="ZV15" i="46"/>
  <c r="QJ4" i="46"/>
  <c r="QJ15" i="46"/>
  <c r="QJ16" i="46"/>
  <c r="RT11" i="46"/>
  <c r="ABU15" i="46"/>
  <c r="MQ15" i="46"/>
  <c r="ADM13" i="46"/>
  <c r="AGV17" i="46"/>
  <c r="AFL15" i="46"/>
  <c r="LF16" i="46"/>
  <c r="FY7" i="46"/>
  <c r="RP7" i="46"/>
  <c r="MW14" i="46"/>
  <c r="QJ9" i="46"/>
  <c r="ACO12" i="46"/>
  <c r="ABU10" i="46"/>
  <c r="MQ13" i="46"/>
  <c r="AGV10" i="46"/>
  <c r="AGV11" i="46"/>
  <c r="YU13" i="46"/>
  <c r="AFL12" i="46"/>
  <c r="LF13" i="46"/>
  <c r="KF4" i="46"/>
  <c r="KF11" i="46"/>
  <c r="JC17" i="46"/>
  <c r="RT16" i="46"/>
  <c r="ACM17" i="46"/>
  <c r="ABU16" i="46"/>
  <c r="ADL9" i="46"/>
  <c r="JC16" i="46"/>
  <c r="YD7" i="46"/>
  <c r="HV18" i="46"/>
  <c r="HV4" i="46"/>
  <c r="HV9" i="46"/>
  <c r="HV8" i="46"/>
  <c r="HV7" i="46"/>
  <c r="ACO8" i="46"/>
  <c r="BC13" i="46"/>
  <c r="ACM4" i="46"/>
  <c r="IN8" i="46"/>
  <c r="ADL18" i="46"/>
  <c r="ZV12" i="46"/>
  <c r="YM7" i="46"/>
  <c r="FY15" i="46"/>
  <c r="AHQ7" i="46"/>
  <c r="QJ17" i="46"/>
  <c r="KC8" i="46"/>
  <c r="WP10" i="46"/>
  <c r="AII17" i="46"/>
  <c r="TP4" i="46"/>
  <c r="CF7" i="46"/>
  <c r="TP7" i="46"/>
  <c r="AJR12" i="46"/>
  <c r="ACA18" i="46"/>
  <c r="ZR18" i="46"/>
  <c r="NO13" i="46"/>
  <c r="OQ14" i="46"/>
  <c r="FL14" i="46"/>
  <c r="YE16" i="46"/>
  <c r="VD17" i="46"/>
  <c r="AGL15" i="46"/>
  <c r="CF18" i="46"/>
  <c r="ACA12" i="46"/>
  <c r="ACV8" i="46"/>
  <c r="ACA10" i="46"/>
  <c r="ZR12" i="46"/>
  <c r="ZR7" i="46"/>
  <c r="TD16" i="46"/>
  <c r="ACV9" i="46"/>
  <c r="AII9" i="46"/>
  <c r="AJR13" i="46"/>
  <c r="NO4" i="46"/>
  <c r="YO10" i="46"/>
  <c r="HY12" i="46"/>
  <c r="YO13" i="46"/>
  <c r="WP18" i="46"/>
  <c r="IA7" i="46"/>
  <c r="KB7" i="46"/>
  <c r="KB14" i="46"/>
  <c r="LX7" i="46"/>
  <c r="BX12" i="46"/>
  <c r="IA10" i="46"/>
  <c r="TO7" i="46"/>
  <c r="XV16" i="46"/>
  <c r="ADE4" i="46"/>
  <c r="XV8" i="46"/>
  <c r="AIT4" i="46"/>
  <c r="KB4" i="46"/>
  <c r="ADF17" i="46"/>
  <c r="AFW18" i="46"/>
  <c r="ADF15" i="46"/>
  <c r="AFW7" i="46"/>
  <c r="SF15" i="46"/>
  <c r="HO8" i="46"/>
  <c r="HO13" i="46"/>
  <c r="HO4" i="46"/>
  <c r="IA4" i="46"/>
  <c r="PC8" i="46"/>
  <c r="AIH4" i="46"/>
  <c r="LX16" i="46"/>
  <c r="IA14" i="46"/>
  <c r="IA16" i="46"/>
  <c r="KB10" i="46"/>
  <c r="XV15" i="46"/>
  <c r="ADE17" i="46"/>
  <c r="ADE9" i="46"/>
  <c r="XV11" i="46"/>
  <c r="AIT18" i="46"/>
  <c r="AIT7" i="46"/>
  <c r="ADF4" i="46"/>
  <c r="AFW12" i="46"/>
  <c r="ADF8" i="46"/>
  <c r="LX17" i="46"/>
  <c r="LX18" i="46"/>
  <c r="SF8" i="46"/>
  <c r="SF18" i="46"/>
  <c r="BX11" i="46"/>
  <c r="PC4" i="46"/>
  <c r="IA13" i="46"/>
  <c r="PC11" i="46"/>
  <c r="HO10" i="46"/>
  <c r="IA18" i="46"/>
  <c r="HO18" i="46"/>
  <c r="ADE18" i="46"/>
  <c r="XV18" i="46"/>
  <c r="KB17" i="46"/>
  <c r="AIT8" i="46"/>
  <c r="AIT14" i="46"/>
  <c r="ADF14" i="46"/>
  <c r="AIH8" i="46"/>
  <c r="AFW10" i="46"/>
  <c r="AFW4" i="46"/>
  <c r="AIH18" i="46"/>
  <c r="AIH17" i="46"/>
  <c r="SF10" i="46"/>
  <c r="SF4" i="46"/>
  <c r="BX4" i="46"/>
  <c r="IA17" i="46"/>
  <c r="HO7" i="46"/>
  <c r="KB18" i="46"/>
  <c r="HO16" i="46"/>
  <c r="ADE11" i="46"/>
  <c r="ADE7" i="46"/>
  <c r="XV9" i="46"/>
  <c r="KB16" i="46"/>
  <c r="AIT15" i="46"/>
  <c r="AIH15" i="46"/>
  <c r="AFW17" i="46"/>
  <c r="ADF7" i="46"/>
  <c r="AIH13" i="46"/>
  <c r="AIH7" i="46"/>
  <c r="SF12" i="46"/>
  <c r="SF16" i="46"/>
  <c r="BX17" i="46"/>
  <c r="PC10" i="46"/>
  <c r="AIT10" i="46"/>
  <c r="LX10" i="46"/>
  <c r="XV10" i="46"/>
  <c r="ADE8" i="46"/>
  <c r="ADE16" i="46"/>
  <c r="XV12" i="46"/>
  <c r="KB8" i="46"/>
  <c r="AIH10" i="46"/>
  <c r="AFW9" i="46"/>
  <c r="AFW15" i="46"/>
  <c r="LX15" i="46"/>
  <c r="LX14" i="46"/>
  <c r="SF13" i="46"/>
  <c r="BX9" i="46"/>
  <c r="PC14" i="46"/>
  <c r="PC12" i="46"/>
  <c r="PC16" i="46"/>
  <c r="HO9" i="46"/>
  <c r="ADE12" i="46"/>
  <c r="ADE10" i="46"/>
  <c r="XV14" i="46"/>
  <c r="AIT17" i="46"/>
  <c r="AIT16" i="46"/>
  <c r="LX11" i="46"/>
  <c r="AIH12" i="46"/>
  <c r="ADF11" i="46"/>
  <c r="AFW14" i="46"/>
  <c r="SF11" i="46"/>
  <c r="BX15" i="46"/>
  <c r="PC13" i="46"/>
  <c r="XV13" i="46"/>
  <c r="ADE14" i="46"/>
  <c r="AIT9" i="46"/>
  <c r="AIT11" i="46"/>
  <c r="ADF9" i="46"/>
  <c r="LX13" i="46"/>
  <c r="AFW8" i="46"/>
  <c r="ADF10" i="46"/>
  <c r="SF17" i="46"/>
  <c r="BX10" i="46"/>
  <c r="PC7" i="46"/>
  <c r="PC18" i="46"/>
  <c r="AFW16" i="46"/>
  <c r="AIH16" i="46"/>
  <c r="LX8" i="46"/>
  <c r="LX9" i="46"/>
  <c r="QV7" i="46"/>
  <c r="ACD9" i="46"/>
  <c r="QV14" i="46"/>
  <c r="HQ7" i="46"/>
  <c r="EF9" i="46"/>
  <c r="EQ10" i="46"/>
  <c r="TS12" i="46"/>
  <c r="ACD12" i="46"/>
  <c r="QV13" i="46"/>
  <c r="EF10" i="46"/>
  <c r="MU16" i="46"/>
  <c r="XW16" i="46"/>
  <c r="UE4" i="46"/>
  <c r="UT14" i="46"/>
  <c r="EQ12" i="46"/>
  <c r="XW4" i="46"/>
  <c r="EF4" i="46"/>
  <c r="UE10" i="46"/>
  <c r="GZ14" i="46"/>
  <c r="FL17" i="46"/>
  <c r="YO11" i="46"/>
  <c r="UH7" i="46"/>
  <c r="WO17" i="46"/>
  <c r="QV10" i="46"/>
  <c r="QV8" i="46"/>
  <c r="WP17" i="46"/>
  <c r="YE11" i="46"/>
  <c r="UE15" i="46"/>
  <c r="OQ15" i="46"/>
  <c r="AL10" i="46"/>
  <c r="TS16" i="46"/>
  <c r="KK16" i="46"/>
  <c r="EF15" i="46"/>
  <c r="QV16" i="46"/>
  <c r="EF12" i="46"/>
  <c r="ADU9" i="46"/>
  <c r="ACD7" i="46"/>
  <c r="WO11" i="46"/>
  <c r="QV11" i="46"/>
  <c r="QV17" i="46"/>
  <c r="FL4" i="46"/>
  <c r="HQ17" i="46"/>
  <c r="QV12" i="46"/>
  <c r="AL4" i="46"/>
  <c r="MU11" i="46"/>
  <c r="XW17" i="46"/>
  <c r="EQ17" i="46"/>
  <c r="XW8" i="46"/>
  <c r="EK17" i="46"/>
  <c r="UT13" i="46"/>
  <c r="FN14" i="46"/>
  <c r="JS7" i="46"/>
  <c r="HN18" i="46"/>
  <c r="JS9" i="46"/>
  <c r="BN8" i="46"/>
  <c r="BN16" i="46"/>
  <c r="HN17" i="46"/>
  <c r="NL8" i="46"/>
  <c r="YJ12" i="46"/>
  <c r="VK11" i="46"/>
  <c r="EX10" i="46"/>
  <c r="DV16" i="46"/>
  <c r="SQ14" i="46"/>
  <c r="SQ7" i="46"/>
  <c r="EM15" i="46"/>
  <c r="FN4" i="46"/>
  <c r="AK15" i="46"/>
  <c r="AAS15" i="46"/>
  <c r="AAS16" i="46"/>
  <c r="AK9" i="46"/>
  <c r="YJ13" i="46"/>
  <c r="NL12" i="46"/>
  <c r="YJ11" i="46"/>
  <c r="SQ12" i="46"/>
  <c r="SQ17" i="46"/>
  <c r="FN9" i="46"/>
  <c r="AAS4" i="46"/>
  <c r="JS15" i="46"/>
  <c r="JS12" i="46"/>
  <c r="JS17" i="46"/>
  <c r="EM17" i="46"/>
  <c r="EX12" i="46"/>
  <c r="YJ15" i="46"/>
  <c r="YJ4" i="46"/>
  <c r="HN8" i="46"/>
  <c r="SQ4" i="46"/>
  <c r="SQ11" i="46"/>
  <c r="FN13" i="46"/>
  <c r="YR14" i="46"/>
  <c r="AAS13" i="46"/>
  <c r="JS16" i="46"/>
  <c r="JS8" i="46"/>
  <c r="HN14" i="46"/>
  <c r="DV18" i="46"/>
  <c r="FN7" i="46"/>
  <c r="BN18" i="46"/>
  <c r="AK17" i="46"/>
  <c r="FN10" i="46"/>
  <c r="YJ17" i="46"/>
  <c r="YJ16" i="46"/>
  <c r="BN13" i="46"/>
  <c r="DV4" i="46"/>
  <c r="SQ13" i="46"/>
  <c r="SQ15" i="46"/>
  <c r="XH14" i="46"/>
  <c r="AK4" i="46"/>
  <c r="AAS7" i="46"/>
  <c r="JS13" i="46"/>
  <c r="JS11" i="46"/>
  <c r="AK18" i="46"/>
  <c r="EM14" i="46"/>
  <c r="BN7" i="46"/>
  <c r="EM18" i="46"/>
  <c r="HN7" i="46"/>
  <c r="EM16" i="46"/>
  <c r="BN4" i="46"/>
  <c r="YJ7" i="46"/>
  <c r="YJ14" i="46"/>
  <c r="VK16" i="46"/>
  <c r="VK14" i="46"/>
  <c r="DV15" i="46"/>
  <c r="SQ18" i="46"/>
  <c r="FN16" i="46"/>
  <c r="EM4" i="46"/>
  <c r="AAS11" i="46"/>
  <c r="AAS8" i="46"/>
  <c r="JS14" i="46"/>
  <c r="EM12" i="46"/>
  <c r="FN12" i="46"/>
  <c r="JS10" i="46"/>
  <c r="AHR8" i="46"/>
  <c r="BN17" i="46"/>
  <c r="VK15" i="46"/>
  <c r="VK17" i="46"/>
  <c r="VK10" i="46"/>
  <c r="VK4" i="46"/>
  <c r="QC13" i="46"/>
  <c r="VK13" i="46"/>
  <c r="VT16" i="46"/>
  <c r="AAS14" i="46"/>
  <c r="AAJ14" i="46"/>
  <c r="FT14" i="46"/>
  <c r="UE14" i="46"/>
  <c r="RX9" i="46"/>
  <c r="KQ18" i="46"/>
  <c r="KK14" i="46"/>
  <c r="EF14" i="46"/>
  <c r="HQ14" i="46"/>
  <c r="EK7" i="46"/>
  <c r="AL12" i="46"/>
  <c r="FT10" i="46"/>
  <c r="AEN17" i="46"/>
  <c r="TS7" i="46"/>
  <c r="KK15" i="46"/>
  <c r="ACD4" i="46"/>
  <c r="WO9" i="46"/>
  <c r="EF17" i="46"/>
  <c r="MU17" i="46"/>
  <c r="XW10" i="46"/>
  <c r="UE17" i="46"/>
  <c r="EQ13" i="46"/>
  <c r="UJ11" i="46"/>
  <c r="UT17" i="46"/>
  <c r="HQ4" i="46"/>
  <c r="UT12" i="46"/>
  <c r="HQ16" i="46"/>
  <c r="EQ9" i="46"/>
  <c r="EQ11" i="46"/>
  <c r="TS13" i="46"/>
  <c r="UH12" i="46"/>
  <c r="ADU7" i="46"/>
  <c r="ADU12" i="46"/>
  <c r="ACD11" i="46"/>
  <c r="ACD18" i="46"/>
  <c r="WO16" i="46"/>
  <c r="WO10" i="46"/>
  <c r="ADU17" i="46"/>
  <c r="ADU10" i="46"/>
  <c r="FT8" i="46"/>
  <c r="EF13" i="46"/>
  <c r="XW18" i="46"/>
  <c r="UE9" i="46"/>
  <c r="UE13" i="46"/>
  <c r="AIN10" i="46"/>
  <c r="UT10" i="46"/>
  <c r="UT15" i="46"/>
  <c r="TE17" i="46"/>
  <c r="AL18" i="46"/>
  <c r="EQ14" i="46"/>
  <c r="FT12" i="46"/>
  <c r="KK18" i="46"/>
  <c r="KQ9" i="46"/>
  <c r="AL9" i="46"/>
  <c r="HQ11" i="46"/>
  <c r="AL17" i="46"/>
  <c r="TS8" i="46"/>
  <c r="WO15" i="46"/>
  <c r="ACD10" i="46"/>
  <c r="ACD14" i="46"/>
  <c r="WO7" i="46"/>
  <c r="WO18" i="46"/>
  <c r="ADU13" i="46"/>
  <c r="AU15" i="46"/>
  <c r="ZC15" i="46"/>
  <c r="QR8" i="46"/>
  <c r="XW11" i="46"/>
  <c r="XW14" i="46"/>
  <c r="RX18" i="46"/>
  <c r="XW7" i="46"/>
  <c r="EK13" i="46"/>
  <c r="UE16" i="46"/>
  <c r="UE12" i="46"/>
  <c r="UT16" i="46"/>
  <c r="HQ8" i="46"/>
  <c r="UT11" i="46"/>
  <c r="ZN12" i="46"/>
  <c r="UT9" i="46"/>
  <c r="UT8" i="46"/>
  <c r="EQ7" i="46"/>
  <c r="HQ9" i="46"/>
  <c r="KK10" i="46"/>
  <c r="CX17" i="46"/>
  <c r="AL13" i="46"/>
  <c r="TS9" i="46"/>
  <c r="TS15" i="46"/>
  <c r="BV18" i="92"/>
  <c r="AAO17" i="46"/>
  <c r="ADU4" i="46"/>
  <c r="KK13" i="46"/>
  <c r="ADO14" i="46"/>
  <c r="ACD16" i="46"/>
  <c r="WO4" i="46"/>
  <c r="WO14" i="46"/>
  <c r="MU10" i="46"/>
  <c r="XW9" i="46"/>
  <c r="EK8" i="46"/>
  <c r="UE18" i="46"/>
  <c r="EQ8" i="46"/>
  <c r="UT18" i="46"/>
  <c r="FT4" i="46"/>
  <c r="AHW14" i="46"/>
  <c r="UE8" i="46"/>
  <c r="HQ18" i="46"/>
  <c r="MU18" i="46"/>
  <c r="EK9" i="46"/>
  <c r="EK10" i="46"/>
  <c r="AEN12" i="46"/>
  <c r="TS17" i="46"/>
  <c r="TS10" i="46"/>
  <c r="TS18" i="46"/>
  <c r="BS18" i="92"/>
  <c r="TE9" i="46"/>
  <c r="ACD17" i="46"/>
  <c r="ADU8" i="46"/>
  <c r="MU12" i="46"/>
  <c r="MU13" i="46"/>
  <c r="XW12" i="46"/>
  <c r="XW13" i="46"/>
  <c r="MU15" i="46"/>
  <c r="EK12" i="46"/>
  <c r="UJ8" i="46"/>
  <c r="UT7" i="46"/>
  <c r="DE13" i="46"/>
  <c r="MB14" i="46"/>
  <c r="AHR10" i="46"/>
  <c r="AHR13" i="46"/>
  <c r="FT13" i="46"/>
  <c r="PI8" i="46"/>
  <c r="AX8" i="46"/>
  <c r="YR9" i="46"/>
  <c r="VT15" i="46"/>
  <c r="ABD13" i="46"/>
  <c r="AAJ17" i="46"/>
  <c r="QC10" i="46"/>
  <c r="AHD11" i="46"/>
  <c r="FT18" i="46"/>
  <c r="FT7" i="46"/>
  <c r="KW7" i="46"/>
  <c r="AZ10" i="46"/>
  <c r="FT9" i="46"/>
  <c r="AHR15" i="46"/>
  <c r="AHR9" i="46"/>
  <c r="AHD4" i="46"/>
  <c r="QI16" i="46"/>
  <c r="QI14" i="46"/>
  <c r="KW13" i="46"/>
  <c r="FT17" i="46"/>
  <c r="YR8" i="46"/>
  <c r="MO16" i="46"/>
  <c r="PI4" i="46"/>
  <c r="ABD12" i="46"/>
  <c r="IZ15" i="46"/>
  <c r="CR18" i="46"/>
  <c r="AZ11" i="46"/>
  <c r="QI9" i="46"/>
  <c r="AHD7" i="46"/>
  <c r="ZG17" i="46"/>
  <c r="KW17" i="46"/>
  <c r="FT16" i="46"/>
  <c r="YR7" i="46"/>
  <c r="YR11" i="46"/>
  <c r="MO10" i="46"/>
  <c r="PI17" i="46"/>
  <c r="VO16" i="46"/>
  <c r="YR4" i="46"/>
  <c r="QC14" i="46"/>
  <c r="VT10" i="46"/>
  <c r="VT9" i="46"/>
  <c r="ABD8" i="46"/>
  <c r="AZ13" i="46"/>
  <c r="ACQ16" i="46"/>
  <c r="ZG4" i="46"/>
  <c r="QC11" i="46"/>
  <c r="VT14" i="46"/>
  <c r="NZ14" i="46"/>
  <c r="CR17" i="46"/>
  <c r="MB10" i="46"/>
  <c r="AX13" i="46"/>
  <c r="RO8" i="46"/>
  <c r="CQ4" i="46"/>
  <c r="ABD11" i="46"/>
  <c r="TA8" i="46"/>
  <c r="CR10" i="46"/>
  <c r="AX17" i="46"/>
  <c r="AAJ7" i="46"/>
  <c r="KW18" i="46"/>
  <c r="AX10" i="46"/>
  <c r="LY13" i="46"/>
  <c r="ZG11" i="46"/>
  <c r="FJ16" i="46"/>
  <c r="QI7" i="46"/>
  <c r="CQ17" i="46"/>
  <c r="XZ17" i="46"/>
  <c r="AHR14" i="46"/>
  <c r="ZG16" i="46"/>
  <c r="QI10" i="46"/>
  <c r="QD12" i="46"/>
  <c r="YR10" i="46"/>
  <c r="MB16" i="46"/>
  <c r="NT14" i="46"/>
  <c r="NT15" i="46"/>
  <c r="NT11" i="46"/>
  <c r="NT8" i="46"/>
  <c r="NT13" i="46"/>
  <c r="NT7" i="46"/>
  <c r="OU18" i="46"/>
  <c r="OU17" i="46"/>
  <c r="OU10" i="46"/>
  <c r="OU13" i="46"/>
  <c r="OU4" i="46"/>
  <c r="OU14" i="46"/>
  <c r="OU7" i="46"/>
  <c r="OU15" i="46"/>
  <c r="OU11" i="46"/>
  <c r="QN14" i="46"/>
  <c r="QN17" i="46"/>
  <c r="RV9" i="46"/>
  <c r="RV4" i="46"/>
  <c r="RV12" i="46"/>
  <c r="RV8" i="46"/>
  <c r="RV10" i="46"/>
  <c r="RV18" i="46"/>
  <c r="RV11" i="46"/>
  <c r="RV15" i="46"/>
  <c r="AFN4" i="46"/>
  <c r="AFN9" i="46"/>
  <c r="AFN16" i="46"/>
  <c r="AFN18" i="46"/>
  <c r="AFN17" i="46"/>
  <c r="AFN11" i="46"/>
  <c r="AFN7" i="46"/>
  <c r="AFN15" i="46"/>
  <c r="AFN14" i="46"/>
  <c r="AFN10" i="46"/>
  <c r="AFN8" i="46"/>
  <c r="AIK17" i="46"/>
  <c r="AIK7" i="46"/>
  <c r="AIK12" i="46"/>
  <c r="AIK14" i="46"/>
  <c r="AIK10" i="46"/>
  <c r="AIK9" i="46"/>
  <c r="AIK8" i="46"/>
  <c r="AIK18" i="46"/>
  <c r="AIK13" i="46"/>
  <c r="AIK11" i="46"/>
  <c r="AIK15" i="46"/>
  <c r="AIK4" i="46"/>
  <c r="VH8" i="46"/>
  <c r="AEI18" i="46"/>
  <c r="AEI13" i="46"/>
  <c r="AJQ15" i="46"/>
  <c r="AJQ16" i="46"/>
  <c r="AJQ11" i="46"/>
  <c r="XD18" i="46"/>
  <c r="XD10" i="46"/>
  <c r="XD15" i="46"/>
  <c r="XD4" i="46"/>
  <c r="XD9" i="46"/>
  <c r="XD11" i="46"/>
  <c r="XD13" i="46"/>
  <c r="XD16" i="46"/>
  <c r="XD12" i="46"/>
  <c r="HK11" i="46"/>
  <c r="HK10" i="46"/>
  <c r="HK8" i="46"/>
  <c r="CS10" i="46"/>
  <c r="CS7" i="46"/>
  <c r="CS9" i="46"/>
  <c r="CS13" i="46"/>
  <c r="CS16" i="46"/>
  <c r="CS17" i="46"/>
  <c r="CS18" i="46"/>
  <c r="XD14" i="46"/>
  <c r="CS8" i="46"/>
  <c r="RB10" i="46"/>
  <c r="RB7" i="46"/>
  <c r="EV10" i="46"/>
  <c r="EV18" i="46"/>
  <c r="ACZ17" i="46"/>
  <c r="ACZ8" i="46"/>
  <c r="ZU15" i="46"/>
  <c r="ZU14" i="46"/>
  <c r="ZU7" i="46"/>
  <c r="ZU9" i="46"/>
  <c r="ZU8" i="46"/>
  <c r="ZU4" i="46"/>
  <c r="ZU13" i="46"/>
  <c r="ZU18" i="46"/>
  <c r="ZU11" i="46"/>
  <c r="ZU12" i="46"/>
  <c r="ZU17" i="46"/>
  <c r="SN18" i="46"/>
  <c r="SN13" i="46"/>
  <c r="SN4" i="46"/>
  <c r="SN17" i="46"/>
  <c r="SN7" i="46"/>
  <c r="SN16" i="46"/>
  <c r="SN12" i="46"/>
  <c r="SN10" i="46"/>
  <c r="SN8" i="46"/>
  <c r="TE11" i="46"/>
  <c r="TE16" i="46"/>
  <c r="TE18" i="46"/>
  <c r="TE12" i="46"/>
  <c r="TE7" i="46"/>
  <c r="TE14" i="46"/>
  <c r="TE4" i="46"/>
  <c r="AAX17" i="46"/>
  <c r="AAX15" i="46"/>
  <c r="AAX9" i="46"/>
  <c r="AAX4" i="46"/>
  <c r="AAX7" i="46"/>
  <c r="AAX10" i="46"/>
  <c r="AAX14" i="46"/>
  <c r="AAX8" i="46"/>
  <c r="AAX11" i="46"/>
  <c r="AEA15" i="46"/>
  <c r="AEA18" i="46"/>
  <c r="AEA13" i="46"/>
  <c r="AEA10" i="46"/>
  <c r="AEA17" i="46"/>
  <c r="AEA14" i="46"/>
  <c r="AEA8" i="46"/>
  <c r="AEA12" i="46"/>
  <c r="AEA4" i="46"/>
  <c r="AEA16" i="46"/>
  <c r="AEA11" i="46"/>
  <c r="AIB7" i="46"/>
  <c r="AIB11" i="46"/>
  <c r="AIB14" i="46"/>
  <c r="AIB8" i="46"/>
  <c r="AIB12" i="46"/>
  <c r="AIB4" i="46"/>
  <c r="AIB17" i="46"/>
  <c r="AIB16" i="46"/>
  <c r="AIB13" i="46"/>
  <c r="AIB10" i="46"/>
  <c r="OP18" i="46"/>
  <c r="OP13" i="46"/>
  <c r="OP11" i="46"/>
  <c r="OP16" i="46"/>
  <c r="OP17" i="46"/>
  <c r="OP10" i="46"/>
  <c r="OP14" i="46"/>
  <c r="OP12" i="46"/>
  <c r="OP4" i="46"/>
  <c r="ABG18" i="46"/>
  <c r="ABG4" i="46"/>
  <c r="ABG8" i="46"/>
  <c r="ABG13" i="46"/>
  <c r="ABG10" i="46"/>
  <c r="ABG15" i="46"/>
  <c r="ABG7" i="46"/>
  <c r="ABC13" i="46"/>
  <c r="ABC7" i="46"/>
  <c r="ABC10" i="46"/>
  <c r="ABC4" i="46"/>
  <c r="ABC17" i="46"/>
  <c r="ABC12" i="46"/>
  <c r="ABC11" i="46"/>
  <c r="ABC9" i="46"/>
  <c r="ABC18" i="46"/>
  <c r="AFR11" i="46"/>
  <c r="AFR13" i="46"/>
  <c r="AFR7" i="46"/>
  <c r="AFR10" i="46"/>
  <c r="AFR16" i="46"/>
  <c r="AFR9" i="46"/>
  <c r="AFR12" i="46"/>
  <c r="AFR4" i="46"/>
  <c r="AU11" i="46"/>
  <c r="XZ9" i="46"/>
  <c r="TE8" i="46"/>
  <c r="ACZ15" i="46"/>
  <c r="RV17" i="46"/>
  <c r="AFS11" i="46"/>
  <c r="SN14" i="46"/>
  <c r="TE10" i="46"/>
  <c r="NT10" i="46"/>
  <c r="WZ15" i="46"/>
  <c r="AHF10" i="46"/>
  <c r="AAX13" i="46"/>
  <c r="NT12" i="46"/>
  <c r="AFR17" i="46"/>
  <c r="NT18" i="46"/>
  <c r="ABC16" i="46"/>
  <c r="AFS16" i="46"/>
  <c r="AFU12" i="46"/>
  <c r="AU10" i="46"/>
  <c r="ABG9" i="46"/>
  <c r="AU16" i="46"/>
  <c r="AHF11" i="46"/>
  <c r="AHF4" i="46"/>
  <c r="DM7" i="46"/>
  <c r="AHF16" i="46"/>
  <c r="AFR15" i="46"/>
  <c r="OU16" i="46"/>
  <c r="RV14" i="46"/>
  <c r="ABC8" i="46"/>
  <c r="XD17" i="46"/>
  <c r="XD8" i="46"/>
  <c r="AFS12" i="46"/>
  <c r="AFN13" i="46"/>
  <c r="SN11" i="46"/>
  <c r="UD16" i="46"/>
  <c r="UD13" i="46"/>
  <c r="AGU18" i="46"/>
  <c r="AGU11" i="46"/>
  <c r="QD10" i="46"/>
  <c r="QD8" i="46"/>
  <c r="QD13" i="46"/>
  <c r="QD11" i="46"/>
  <c r="QD15" i="46"/>
  <c r="QD4" i="46"/>
  <c r="QD9" i="46"/>
  <c r="QD17" i="46"/>
  <c r="AIN17" i="46"/>
  <c r="AIN11" i="46"/>
  <c r="AIN16" i="46"/>
  <c r="AIN9" i="46"/>
  <c r="AIN4" i="46"/>
  <c r="AIN7" i="46"/>
  <c r="AIN15" i="46"/>
  <c r="AIN18" i="46"/>
  <c r="AIN14" i="46"/>
  <c r="AIN13" i="46"/>
  <c r="WW15" i="46"/>
  <c r="WW17" i="46"/>
  <c r="WW9" i="46"/>
  <c r="WW13" i="46"/>
  <c r="WW10" i="46"/>
  <c r="WW12" i="46"/>
  <c r="WW18" i="46"/>
  <c r="WW16" i="46"/>
  <c r="WW8" i="46"/>
  <c r="WW14" i="46"/>
  <c r="WW11" i="46"/>
  <c r="AEG12" i="46"/>
  <c r="AEG9" i="46"/>
  <c r="ZO16" i="46"/>
  <c r="ZO13" i="46"/>
  <c r="NF17" i="46"/>
  <c r="NF16" i="46"/>
  <c r="NF14" i="46"/>
  <c r="NF13" i="46"/>
  <c r="NF15" i="46"/>
  <c r="NF4" i="46"/>
  <c r="NF10" i="46"/>
  <c r="NF12" i="46"/>
  <c r="NF18" i="46"/>
  <c r="NF11" i="46"/>
  <c r="OB13" i="46"/>
  <c r="OB8" i="46"/>
  <c r="OB7" i="46"/>
  <c r="OB9" i="46"/>
  <c r="OB15" i="46"/>
  <c r="OB18" i="46"/>
  <c r="OB12" i="46"/>
  <c r="OB16" i="46"/>
  <c r="OB10" i="46"/>
  <c r="OB14" i="46"/>
  <c r="AIB18" i="46"/>
  <c r="VN11" i="46"/>
  <c r="ABG11" i="46"/>
  <c r="OP15" i="46"/>
  <c r="EV14" i="46"/>
  <c r="AW15" i="46"/>
  <c r="ABG14" i="46"/>
  <c r="AFR18" i="46"/>
  <c r="OU8" i="46"/>
  <c r="OU12" i="46"/>
  <c r="VX11" i="46"/>
  <c r="QD14" i="46"/>
  <c r="RV13" i="46"/>
  <c r="ABC14" i="46"/>
  <c r="NF9" i="46"/>
  <c r="ZU10" i="46"/>
  <c r="AEA7" i="46"/>
  <c r="AFN12" i="46"/>
  <c r="OB4" i="46"/>
  <c r="VH17" i="46"/>
  <c r="VH12" i="46"/>
  <c r="VH16" i="46"/>
  <c r="VH4" i="46"/>
  <c r="VH14" i="46"/>
  <c r="VH15" i="46"/>
  <c r="VH11" i="46"/>
  <c r="VH9" i="46"/>
  <c r="VH10" i="46"/>
  <c r="VH7" i="46"/>
  <c r="LL15" i="46"/>
  <c r="LL18" i="46"/>
  <c r="LL14" i="46"/>
  <c r="LL4" i="46"/>
  <c r="LL17" i="46"/>
  <c r="LL16" i="46"/>
  <c r="LL7" i="46"/>
  <c r="LL8" i="46"/>
  <c r="LL10" i="46"/>
  <c r="AFU18" i="46"/>
  <c r="AFU7" i="46"/>
  <c r="AFU14" i="46"/>
  <c r="AFU4" i="46"/>
  <c r="AFU13" i="46"/>
  <c r="AFU8" i="46"/>
  <c r="AFU10" i="46"/>
  <c r="AFU17" i="46"/>
  <c r="AFU9" i="46"/>
  <c r="AFU11" i="46"/>
  <c r="AFU15" i="46"/>
  <c r="ACH18" i="46"/>
  <c r="ACH17" i="46"/>
  <c r="ACH11" i="46"/>
  <c r="ACH8" i="46"/>
  <c r="ACH7" i="46"/>
  <c r="ACH13" i="46"/>
  <c r="ACH14" i="46"/>
  <c r="ACH4" i="46"/>
  <c r="ACH10" i="46"/>
  <c r="ACH16" i="46"/>
  <c r="ACH12" i="46"/>
  <c r="WZ16" i="46"/>
  <c r="WZ13" i="46"/>
  <c r="WZ8" i="46"/>
  <c r="WZ12" i="46"/>
  <c r="WZ11" i="46"/>
  <c r="WZ10" i="46"/>
  <c r="WZ18" i="46"/>
  <c r="WZ14" i="46"/>
  <c r="WZ9" i="46"/>
  <c r="WZ7" i="46"/>
  <c r="WZ4" i="46"/>
  <c r="XZ18" i="46"/>
  <c r="XZ11" i="46"/>
  <c r="XZ8" i="46"/>
  <c r="XZ7" i="46"/>
  <c r="XZ14" i="46"/>
  <c r="XZ4" i="46"/>
  <c r="XZ15" i="46"/>
  <c r="XZ16" i="46"/>
  <c r="AU13" i="46"/>
  <c r="AU12" i="46"/>
  <c r="AU4" i="46"/>
  <c r="AHF13" i="46"/>
  <c r="AHF17" i="46"/>
  <c r="AHF9" i="46"/>
  <c r="AHF14" i="46"/>
  <c r="AHF18" i="46"/>
  <c r="AHF8" i="46"/>
  <c r="AHF15" i="46"/>
  <c r="ACQ7" i="46"/>
  <c r="ACQ9" i="46"/>
  <c r="ACQ4" i="46"/>
  <c r="ACQ14" i="46"/>
  <c r="ACQ12" i="46"/>
  <c r="ACQ11" i="46"/>
  <c r="ACQ13" i="46"/>
  <c r="ACQ17" i="46"/>
  <c r="ACQ10" i="46"/>
  <c r="AAX12" i="46"/>
  <c r="AAX18" i="46"/>
  <c r="ACQ8" i="46"/>
  <c r="QD16" i="46"/>
  <c r="AIK16" i="46"/>
  <c r="WW4" i="46"/>
  <c r="OP7" i="46"/>
  <c r="CS15" i="46"/>
  <c r="OP9" i="46"/>
  <c r="TE13" i="46"/>
  <c r="ABG12" i="46"/>
  <c r="NT4" i="46"/>
  <c r="QD18" i="46"/>
  <c r="AHF12" i="46"/>
  <c r="XZ10" i="46"/>
  <c r="AAX16" i="46"/>
  <c r="ABG16" i="46"/>
  <c r="ABC15" i="46"/>
  <c r="XZ13" i="46"/>
  <c r="NT17" i="46"/>
  <c r="NT16" i="46"/>
  <c r="ACQ15" i="46"/>
  <c r="AFR8" i="46"/>
  <c r="OU9" i="46"/>
  <c r="VX17" i="46"/>
  <c r="RV7" i="46"/>
  <c r="AU17" i="46"/>
  <c r="OB17" i="46"/>
  <c r="XD7" i="46"/>
  <c r="ACH9" i="46"/>
  <c r="AEA9" i="46"/>
  <c r="HK17" i="46"/>
  <c r="AIN8" i="46"/>
  <c r="OP8" i="46"/>
  <c r="VH18" i="46"/>
  <c r="NF7" i="46"/>
  <c r="ABK13" i="46"/>
  <c r="ABK7" i="46"/>
  <c r="AHW10" i="46"/>
  <c r="DE8" i="46"/>
  <c r="NL4" i="46"/>
  <c r="AHR12" i="46"/>
  <c r="EX13" i="46"/>
  <c r="KW15" i="46"/>
  <c r="QC16" i="46"/>
  <c r="CR13" i="46"/>
  <c r="MO11" i="46"/>
  <c r="PI11" i="46"/>
  <c r="GX13" i="46"/>
  <c r="ABD10" i="46"/>
  <c r="ABD7" i="46"/>
  <c r="RO4" i="46"/>
  <c r="AAJ16" i="46"/>
  <c r="IZ8" i="46"/>
  <c r="IZ14" i="46"/>
  <c r="EX14" i="46"/>
  <c r="KW14" i="46"/>
  <c r="AX12" i="46"/>
  <c r="AZ12" i="46"/>
  <c r="EX15" i="46"/>
  <c r="FW17" i="46"/>
  <c r="AHD12" i="46"/>
  <c r="IZ7" i="46"/>
  <c r="PI7" i="46"/>
  <c r="LY18" i="46"/>
  <c r="FC12" i="46"/>
  <c r="IZ11" i="46"/>
  <c r="AHR7" i="46"/>
  <c r="AHD14" i="46"/>
  <c r="AHD9" i="46"/>
  <c r="NL9" i="46"/>
  <c r="AZ4" i="46"/>
  <c r="ZG9" i="46"/>
  <c r="QI15" i="46"/>
  <c r="EX17" i="46"/>
  <c r="KW16" i="46"/>
  <c r="QC15" i="46"/>
  <c r="SE11" i="46"/>
  <c r="VT11" i="46"/>
  <c r="CR4" i="46"/>
  <c r="PI10" i="46"/>
  <c r="MB4" i="46"/>
  <c r="MO12" i="46"/>
  <c r="PI13" i="46"/>
  <c r="AED16" i="46"/>
  <c r="AAJ12" i="46"/>
  <c r="ABD16" i="46"/>
  <c r="ABD15" i="46"/>
  <c r="AX16" i="46"/>
  <c r="AHR17" i="46"/>
  <c r="AHD15" i="46"/>
  <c r="ZG14" i="46"/>
  <c r="FW12" i="46"/>
  <c r="FC9" i="46"/>
  <c r="MB12" i="46"/>
  <c r="QC9" i="46"/>
  <c r="AZ17" i="46"/>
  <c r="AHR18" i="46"/>
  <c r="ZG7" i="46"/>
  <c r="AHD17" i="46"/>
  <c r="AHD16" i="46"/>
  <c r="NL11" i="46"/>
  <c r="ZG12" i="46"/>
  <c r="QI8" i="46"/>
  <c r="QC12" i="46"/>
  <c r="ADQ4" i="46"/>
  <c r="EX11" i="46"/>
  <c r="IZ17" i="46"/>
  <c r="VT12" i="46"/>
  <c r="VT8" i="46"/>
  <c r="CR8" i="46"/>
  <c r="MB11" i="46"/>
  <c r="MO15" i="46"/>
  <c r="PI16" i="46"/>
  <c r="VR8" i="46"/>
  <c r="AAJ13" i="46"/>
  <c r="ABD9" i="46"/>
  <c r="MO14" i="46"/>
  <c r="MB18" i="46"/>
  <c r="CR7" i="46"/>
  <c r="AX18" i="46"/>
  <c r="EX9" i="46"/>
  <c r="BT16" i="46"/>
  <c r="KW10" i="46"/>
  <c r="KW12" i="46"/>
  <c r="IZ10" i="46"/>
  <c r="BT13" i="46"/>
  <c r="AHD18" i="46"/>
  <c r="NL13" i="46"/>
  <c r="NL17" i="46"/>
  <c r="ZG8" i="46"/>
  <c r="ZG13" i="46"/>
  <c r="QI13" i="46"/>
  <c r="QI4" i="46"/>
  <c r="KW8" i="46"/>
  <c r="QC7" i="46"/>
  <c r="XH11" i="46"/>
  <c r="ADQ11" i="46"/>
  <c r="IZ4" i="46"/>
  <c r="IZ13" i="46"/>
  <c r="VT4" i="46"/>
  <c r="YR17" i="46"/>
  <c r="VT17" i="46"/>
  <c r="CR15" i="46"/>
  <c r="MB17" i="46"/>
  <c r="MO18" i="46"/>
  <c r="PI18" i="46"/>
  <c r="RO18" i="46"/>
  <c r="AAJ11" i="46"/>
  <c r="AJL17" i="46"/>
  <c r="ABD18" i="46"/>
  <c r="AAJ15" i="46"/>
  <c r="AAJ4" i="46"/>
  <c r="ABD4" i="46"/>
  <c r="AZ9" i="46"/>
  <c r="AX7" i="46"/>
  <c r="FW11" i="46"/>
  <c r="MB9" i="46"/>
  <c r="KW9" i="46"/>
  <c r="AZ15" i="46"/>
  <c r="AHR4" i="46"/>
  <c r="NL10" i="46"/>
  <c r="AHD8" i="46"/>
  <c r="NL15" i="46"/>
  <c r="NL14" i="46"/>
  <c r="ZG10" i="46"/>
  <c r="ZG15" i="46"/>
  <c r="QI11" i="46"/>
  <c r="KW4" i="46"/>
  <c r="QC4" i="46"/>
  <c r="KG10" i="46"/>
  <c r="IZ16" i="46"/>
  <c r="YR12" i="46"/>
  <c r="MB13" i="46"/>
  <c r="MO17" i="46"/>
  <c r="PI15" i="46"/>
  <c r="AX9" i="46"/>
  <c r="YR18" i="46"/>
  <c r="VR10" i="46"/>
  <c r="VT7" i="46"/>
  <c r="AAJ8" i="46"/>
  <c r="RO12" i="46"/>
  <c r="AAJ9" i="46"/>
  <c r="IZ18" i="46"/>
  <c r="IZ12" i="46"/>
  <c r="AHR16" i="46"/>
  <c r="AHD10" i="46"/>
  <c r="QI12" i="46"/>
  <c r="QI18" i="46"/>
  <c r="QC8" i="46"/>
  <c r="EX4" i="46"/>
  <c r="QC17" i="46"/>
  <c r="YR16" i="46"/>
  <c r="YR15" i="46"/>
  <c r="VT13" i="46"/>
  <c r="MO4" i="46"/>
  <c r="PI14" i="46"/>
  <c r="AX11" i="46"/>
  <c r="TA15" i="46"/>
  <c r="ABD14" i="46"/>
  <c r="AAJ18" i="46"/>
  <c r="BN11" i="46"/>
  <c r="JV11" i="46"/>
  <c r="KB11" i="46"/>
  <c r="HH11" i="46"/>
  <c r="EB11" i="46"/>
  <c r="AX15" i="46"/>
  <c r="EC7" i="46"/>
  <c r="CD10" i="46"/>
  <c r="PV4" i="46"/>
  <c r="ADA16" i="46"/>
  <c r="YH14" i="46"/>
  <c r="PV13" i="46"/>
  <c r="YC17" i="46"/>
  <c r="SU8" i="46"/>
  <c r="ADA7" i="46"/>
  <c r="YH15" i="46"/>
  <c r="WQ16" i="46"/>
  <c r="CE13" i="46"/>
  <c r="EC8" i="46"/>
  <c r="FJ14" i="46"/>
  <c r="WQ15" i="46"/>
  <c r="AED9" i="46"/>
  <c r="YH4" i="46"/>
  <c r="GQ14" i="46"/>
  <c r="GZ12" i="46"/>
  <c r="AHW18" i="46"/>
  <c r="AHW9" i="46"/>
  <c r="AEN11" i="46"/>
  <c r="AEN9" i="46"/>
  <c r="AEN18" i="46"/>
  <c r="AAO4" i="46"/>
  <c r="UH13" i="46"/>
  <c r="ADO18" i="46"/>
  <c r="AAO13" i="46"/>
  <c r="TW10" i="46"/>
  <c r="LW15" i="46"/>
  <c r="ABK15" i="46"/>
  <c r="ZN4" i="46"/>
  <c r="ZN7" i="46"/>
  <c r="ZC8" i="46"/>
  <c r="GQ4" i="46"/>
  <c r="RX11" i="46"/>
  <c r="RX12" i="46"/>
  <c r="RX8" i="46"/>
  <c r="LK10" i="46"/>
  <c r="UJ16" i="46"/>
  <c r="UJ18" i="46"/>
  <c r="KQ17" i="46"/>
  <c r="KQ15" i="46"/>
  <c r="DE15" i="46"/>
  <c r="KQ4" i="46"/>
  <c r="DE17" i="46"/>
  <c r="AEN13" i="46"/>
  <c r="GL9" i="46"/>
  <c r="GZ17" i="46"/>
  <c r="ZI8" i="46"/>
  <c r="HW7" i="46"/>
  <c r="GQ16" i="46"/>
  <c r="AHW13" i="46"/>
  <c r="ZI7" i="46"/>
  <c r="LW11" i="46"/>
  <c r="LK16" i="46"/>
  <c r="LK13" i="46"/>
  <c r="AAK13" i="46"/>
  <c r="UJ9" i="46"/>
  <c r="UJ7" i="46"/>
  <c r="KQ8" i="46"/>
  <c r="GQ17" i="46"/>
  <c r="AEN7" i="46"/>
  <c r="UH11" i="46"/>
  <c r="AAO12" i="46"/>
  <c r="UH8" i="46"/>
  <c r="KK17" i="46"/>
  <c r="GL8" i="46"/>
  <c r="GL17" i="46"/>
  <c r="GZ4" i="46"/>
  <c r="LK4" i="46"/>
  <c r="DE4" i="46"/>
  <c r="KQ13" i="46"/>
  <c r="LW12" i="46"/>
  <c r="KK7" i="46"/>
  <c r="KK9" i="46"/>
  <c r="AHW11" i="46"/>
  <c r="AEN15" i="46"/>
  <c r="AAO10" i="46"/>
  <c r="AAO8" i="46"/>
  <c r="UH14" i="46"/>
  <c r="AAO14" i="46"/>
  <c r="KK11" i="46"/>
  <c r="KK12" i="46"/>
  <c r="ABK10" i="46"/>
  <c r="ABK11" i="46"/>
  <c r="ZN17" i="46"/>
  <c r="ZN9" i="46"/>
  <c r="GZ13" i="46"/>
  <c r="GL10" i="46"/>
  <c r="GL11" i="46"/>
  <c r="GQ8" i="46"/>
  <c r="CR11" i="46"/>
  <c r="UJ15" i="46"/>
  <c r="GL13" i="46"/>
  <c r="KQ16" i="46"/>
  <c r="KQ11" i="46"/>
  <c r="KQ7" i="46"/>
  <c r="AHW17" i="46"/>
  <c r="AEN8" i="46"/>
  <c r="LW4" i="46"/>
  <c r="ABK8" i="46"/>
  <c r="ZN18" i="46"/>
  <c r="GQ13" i="46"/>
  <c r="LK17" i="46"/>
  <c r="GL7" i="46"/>
  <c r="GQ9" i="46"/>
  <c r="AHW12" i="46"/>
  <c r="LW18" i="46"/>
  <c r="ABK16" i="46"/>
  <c r="GZ11" i="46"/>
  <c r="GL16" i="46"/>
  <c r="UJ17" i="46"/>
  <c r="GL14" i="46"/>
  <c r="DE18" i="46"/>
  <c r="AHW7" i="46"/>
  <c r="AEN4" i="46"/>
  <c r="AAO7" i="46"/>
  <c r="ABK12" i="46"/>
  <c r="ZN13" i="46"/>
  <c r="LW13" i="46"/>
  <c r="RX13" i="46"/>
  <c r="RX14" i="46"/>
  <c r="RX15" i="46"/>
  <c r="UJ13" i="46"/>
  <c r="UJ12" i="46"/>
  <c r="GQ18" i="46"/>
  <c r="MZ7" i="46"/>
  <c r="GZ9" i="46"/>
  <c r="GZ15" i="46"/>
  <c r="AHW15" i="46"/>
  <c r="RW14" i="46"/>
  <c r="AEN16" i="46"/>
  <c r="DE9" i="46"/>
  <c r="RW7" i="46"/>
  <c r="AHW4" i="46"/>
  <c r="RW11" i="46"/>
  <c r="UH9" i="46"/>
  <c r="AAO9" i="46"/>
  <c r="DV11" i="46"/>
  <c r="ABK4" i="46"/>
  <c r="ZN16" i="46"/>
  <c r="LK11" i="46"/>
  <c r="LK15" i="46"/>
  <c r="RX10" i="46"/>
  <c r="RX4" i="46"/>
  <c r="UJ10" i="46"/>
  <c r="KK8" i="46"/>
  <c r="GL12" i="46"/>
  <c r="AEN14" i="46"/>
  <c r="UH15" i="46"/>
  <c r="UH18" i="46"/>
  <c r="ZN14" i="46"/>
  <c r="GL18" i="46"/>
  <c r="AL16" i="46"/>
  <c r="CX4" i="46"/>
  <c r="AAO15" i="46"/>
  <c r="ZN11" i="46"/>
  <c r="AAK12" i="46"/>
  <c r="EX7" i="46"/>
  <c r="DE10" i="46"/>
  <c r="AAO16" i="46"/>
  <c r="UH4" i="46"/>
  <c r="UH10" i="46"/>
  <c r="LW17" i="46"/>
  <c r="ZN8" i="46"/>
  <c r="GZ16" i="46"/>
  <c r="GZ10" i="46"/>
  <c r="RX7" i="46"/>
  <c r="KQ14" i="46"/>
  <c r="DE7" i="46"/>
  <c r="GQ7" i="46"/>
  <c r="LW14" i="46"/>
  <c r="LK14" i="46"/>
  <c r="KQ10" i="46"/>
  <c r="GQ10" i="46"/>
  <c r="AHW8" i="46"/>
  <c r="RW13" i="46"/>
  <c r="RW17" i="46"/>
  <c r="UH17" i="46"/>
  <c r="AAO11" i="46"/>
  <c r="HN11" i="46"/>
  <c r="ABK14" i="46"/>
  <c r="ABK9" i="46"/>
  <c r="CK15" i="46"/>
  <c r="YP4" i="46"/>
  <c r="ABK17" i="46"/>
  <c r="ZN10" i="46"/>
  <c r="ZC17" i="46"/>
  <c r="ZC14" i="46"/>
  <c r="LL11" i="46"/>
  <c r="LK12" i="46"/>
  <c r="UJ14" i="46"/>
  <c r="LK8" i="46"/>
  <c r="RX16" i="46"/>
  <c r="MO9" i="46"/>
  <c r="AU9" i="46"/>
  <c r="CR12" i="46"/>
  <c r="SN9" i="46"/>
  <c r="PL11" i="46"/>
  <c r="OQ4" i="46"/>
  <c r="SN15" i="46"/>
  <c r="JV12" i="46"/>
  <c r="HH12" i="46"/>
  <c r="EQ18" i="46"/>
  <c r="QR7" i="46"/>
  <c r="MA14" i="46"/>
  <c r="VN13" i="46"/>
  <c r="GC13" i="46"/>
  <c r="AW8" i="46"/>
  <c r="ZO11" i="46"/>
  <c r="JC12" i="46"/>
  <c r="QN8" i="46"/>
  <c r="QN12" i="46"/>
  <c r="QR15" i="46"/>
  <c r="BA10" i="46"/>
  <c r="AFS10" i="46"/>
  <c r="AFS15" i="46"/>
  <c r="ABF15" i="46"/>
  <c r="AEG4" i="46"/>
  <c r="AEG15" i="46"/>
  <c r="AEG14" i="46"/>
  <c r="ADG16" i="46"/>
  <c r="HK16" i="46"/>
  <c r="MR17" i="46"/>
  <c r="YU10" i="46"/>
  <c r="VQ11" i="46"/>
  <c r="AM18" i="46"/>
  <c r="HK7" i="46"/>
  <c r="IY7" i="46"/>
  <c r="AW18" i="46"/>
  <c r="AW16" i="46"/>
  <c r="VN10" i="46"/>
  <c r="GC11" i="46"/>
  <c r="ABX16" i="46"/>
  <c r="ZO7" i="46"/>
  <c r="EH14" i="46"/>
  <c r="HK14" i="46"/>
  <c r="BA11" i="46"/>
  <c r="LC9" i="46"/>
  <c r="MR10" i="46"/>
  <c r="VN18" i="46"/>
  <c r="NB10" i="46"/>
  <c r="ABS14" i="46"/>
  <c r="ZO14" i="46"/>
  <c r="ZO17" i="46"/>
  <c r="ON8" i="46"/>
  <c r="ZO10" i="46"/>
  <c r="JC15" i="46"/>
  <c r="LC15" i="46"/>
  <c r="QN4" i="46"/>
  <c r="AGC11" i="46"/>
  <c r="QR16" i="46"/>
  <c r="QR9" i="46"/>
  <c r="LC4" i="46"/>
  <c r="AFS18" i="46"/>
  <c r="AFS14" i="46"/>
  <c r="ADG17" i="46"/>
  <c r="AEG16" i="46"/>
  <c r="AEG8" i="46"/>
  <c r="ADG14" i="46"/>
  <c r="HK4" i="46"/>
  <c r="YU7" i="46"/>
  <c r="SA18" i="46"/>
  <c r="AKN4" i="46"/>
  <c r="VQ17" i="46"/>
  <c r="VQ7" i="46"/>
  <c r="JC18" i="46"/>
  <c r="AW7" i="46"/>
  <c r="HK18" i="46"/>
  <c r="HK9" i="46"/>
  <c r="AW9" i="46"/>
  <c r="BA17" i="46"/>
  <c r="VN12" i="46"/>
  <c r="VN9" i="46"/>
  <c r="GC10" i="46"/>
  <c r="VN4" i="46"/>
  <c r="AW4" i="46"/>
  <c r="ABS15" i="46"/>
  <c r="ON17" i="46"/>
  <c r="ZO12" i="46"/>
  <c r="ZO15" i="46"/>
  <c r="QN7" i="46"/>
  <c r="QN18" i="46"/>
  <c r="AAF13" i="46"/>
  <c r="AGC12" i="46"/>
  <c r="QR12" i="46"/>
  <c r="QR17" i="46"/>
  <c r="WL17" i="46"/>
  <c r="QR13" i="46"/>
  <c r="LU18" i="46"/>
  <c r="AFS7" i="46"/>
  <c r="AFS4" i="46"/>
  <c r="AEG17" i="46"/>
  <c r="AEG10" i="46"/>
  <c r="ADG10" i="46"/>
  <c r="HK13" i="46"/>
  <c r="YU16" i="46"/>
  <c r="SA8" i="46"/>
  <c r="BA18" i="46"/>
  <c r="MR12" i="46"/>
  <c r="LC10" i="46"/>
  <c r="VN14" i="46"/>
  <c r="VN17" i="46"/>
  <c r="VN8" i="46"/>
  <c r="AER18" i="46"/>
  <c r="ABS8" i="46"/>
  <c r="ZO9" i="46"/>
  <c r="ZO4" i="46"/>
  <c r="JC4" i="46"/>
  <c r="QN16" i="46"/>
  <c r="QN13" i="46"/>
  <c r="QN10" i="46"/>
  <c r="QR11" i="46"/>
  <c r="QR10" i="46"/>
  <c r="QR18" i="46"/>
  <c r="WL9" i="46"/>
  <c r="AFS8" i="46"/>
  <c r="AFS17" i="46"/>
  <c r="ABF7" i="46"/>
  <c r="AEG18" i="46"/>
  <c r="AEG13" i="46"/>
  <c r="IP16" i="46"/>
  <c r="ADG18" i="46"/>
  <c r="HK12" i="46"/>
  <c r="YU15" i="46"/>
  <c r="DA18" i="46"/>
  <c r="MR14" i="46"/>
  <c r="LC14" i="46"/>
  <c r="AW17" i="46"/>
  <c r="AW10" i="46"/>
  <c r="VN7" i="46"/>
  <c r="VN16" i="46"/>
  <c r="ZO18" i="46"/>
  <c r="IY13" i="46"/>
  <c r="JY8" i="46"/>
  <c r="QN15" i="46"/>
  <c r="QN11" i="46"/>
  <c r="QR4" i="46"/>
  <c r="ABL7" i="46"/>
  <c r="WR8" i="46"/>
  <c r="AFS9" i="46"/>
  <c r="ABF14" i="46"/>
  <c r="ABF9" i="46"/>
  <c r="AEG7" i="46"/>
  <c r="AN10" i="46"/>
  <c r="AEX12" i="46"/>
  <c r="PO15" i="46"/>
  <c r="AKJ11" i="46"/>
  <c r="QK9" i="46"/>
  <c r="NF8" i="46"/>
  <c r="HI10" i="46"/>
  <c r="BE12" i="46"/>
  <c r="AEB15" i="46"/>
  <c r="PX10" i="46"/>
  <c r="IQ16" i="46"/>
  <c r="AIM12" i="46"/>
  <c r="ADD4" i="46"/>
  <c r="ADD13" i="46"/>
  <c r="DC16" i="46"/>
  <c r="CN9" i="46"/>
  <c r="AIC11" i="46"/>
  <c r="NP13" i="46"/>
  <c r="VV18" i="46"/>
  <c r="OC15" i="46"/>
  <c r="AIF18" i="46"/>
  <c r="AJ12" i="46"/>
  <c r="OD7" i="46"/>
  <c r="PX9" i="46"/>
  <c r="AHL16" i="46"/>
  <c r="AEX9" i="46"/>
  <c r="AKJ13" i="46"/>
  <c r="AHG10" i="46"/>
  <c r="AN16" i="46"/>
  <c r="ABN14" i="46"/>
  <c r="AHL9" i="46"/>
  <c r="PO11" i="46"/>
  <c r="OD18" i="46"/>
  <c r="ABN16" i="46"/>
  <c r="MF17" i="46"/>
  <c r="CN7" i="46"/>
  <c r="AGW12" i="46"/>
  <c r="VV4" i="46"/>
  <c r="BR13" i="46"/>
  <c r="JH15" i="46"/>
  <c r="FJ9" i="46"/>
  <c r="LD7" i="46"/>
  <c r="SE13" i="46"/>
  <c r="YC10" i="46"/>
  <c r="VR7" i="46"/>
  <c r="CD7" i="46"/>
  <c r="CD9" i="46"/>
  <c r="LY7" i="46"/>
  <c r="EC16" i="46"/>
  <c r="FJ12" i="46"/>
  <c r="BT8" i="46"/>
  <c r="CD11" i="46"/>
  <c r="FW13" i="46"/>
  <c r="ADA17" i="46"/>
  <c r="GH14" i="46"/>
  <c r="BT7" i="46"/>
  <c r="GZ7" i="46"/>
  <c r="IU9" i="46"/>
  <c r="WQ9" i="46"/>
  <c r="SE14" i="46"/>
  <c r="YC16" i="46"/>
  <c r="AED12" i="46"/>
  <c r="VR9" i="46"/>
  <c r="AED11" i="46"/>
  <c r="PV17" i="46"/>
  <c r="SU17" i="46"/>
  <c r="ADA11" i="46"/>
  <c r="YH18" i="46"/>
  <c r="WQ8" i="46"/>
  <c r="GH4" i="46"/>
  <c r="AED10" i="46"/>
  <c r="SU7" i="46"/>
  <c r="CE12" i="46"/>
  <c r="LY17" i="46"/>
  <c r="GH16" i="46"/>
  <c r="SE4" i="46"/>
  <c r="GH8" i="46"/>
  <c r="ADA8" i="46"/>
  <c r="FJ7" i="46"/>
  <c r="EF7" i="46"/>
  <c r="GH9" i="46"/>
  <c r="EC18" i="46"/>
  <c r="CD12" i="46"/>
  <c r="FW15" i="46"/>
  <c r="FJ15" i="46"/>
  <c r="WQ7" i="46"/>
  <c r="EC15" i="46"/>
  <c r="SE9" i="46"/>
  <c r="YC8" i="46"/>
  <c r="VR11" i="46"/>
  <c r="ADA10" i="46"/>
  <c r="YH12" i="46"/>
  <c r="ADA13" i="46"/>
  <c r="EC14" i="46"/>
  <c r="CE18" i="46"/>
  <c r="KL14" i="46"/>
  <c r="GH7" i="46"/>
  <c r="NL7" i="46"/>
  <c r="CD16" i="46"/>
  <c r="LY15" i="46"/>
  <c r="AL15" i="46"/>
  <c r="BT12" i="46"/>
  <c r="WQ14" i="46"/>
  <c r="FW10" i="46"/>
  <c r="DV12" i="46"/>
  <c r="FJ10" i="46"/>
  <c r="EC17" i="46"/>
  <c r="CE4" i="46"/>
  <c r="SE8" i="46"/>
  <c r="GH17" i="46"/>
  <c r="SE17" i="46"/>
  <c r="SE10" i="46"/>
  <c r="FJ17" i="46"/>
  <c r="GH13" i="46"/>
  <c r="AED13" i="46"/>
  <c r="AED7" i="46"/>
  <c r="VR18" i="46"/>
  <c r="VR16" i="46"/>
  <c r="PV15" i="46"/>
  <c r="SU16" i="46"/>
  <c r="ADA14" i="46"/>
  <c r="YH7" i="46"/>
  <c r="BT10" i="46"/>
  <c r="CD4" i="46"/>
  <c r="CQ18" i="46"/>
  <c r="BT18" i="46"/>
  <c r="IJ7" i="46"/>
  <c r="AED8" i="46"/>
  <c r="VR17" i="46"/>
  <c r="AED14" i="46"/>
  <c r="SU12" i="46"/>
  <c r="AJL14" i="46"/>
  <c r="KB12" i="46"/>
  <c r="CE11" i="46"/>
  <c r="FJ11" i="46"/>
  <c r="LY4" i="46"/>
  <c r="BT11" i="46"/>
  <c r="FJ4" i="46"/>
  <c r="FT15" i="46"/>
  <c r="SE15" i="46"/>
  <c r="GH11" i="46"/>
  <c r="SU15" i="46"/>
  <c r="PV16" i="46"/>
  <c r="AJL8" i="46"/>
  <c r="AZ7" i="46"/>
  <c r="BX7" i="46"/>
  <c r="MB7" i="46"/>
  <c r="CQ11" i="46"/>
  <c r="CE16" i="46"/>
  <c r="LY8" i="46"/>
  <c r="LY16" i="46"/>
  <c r="BT17" i="46"/>
  <c r="ABA10" i="46"/>
  <c r="WQ12" i="46"/>
  <c r="WQ17" i="46"/>
  <c r="WQ10" i="46"/>
  <c r="CE10" i="46"/>
  <c r="SE16" i="46"/>
  <c r="YC4" i="46"/>
  <c r="YC14" i="46"/>
  <c r="YC18" i="46"/>
  <c r="AED17" i="46"/>
  <c r="VR13" i="46"/>
  <c r="FN15" i="46"/>
  <c r="YC13" i="46"/>
  <c r="CQ13" i="46"/>
  <c r="ADA9" i="46"/>
  <c r="PV8" i="46"/>
  <c r="SU4" i="46"/>
  <c r="ADA15" i="46"/>
  <c r="ADA18" i="46"/>
  <c r="YH17" i="46"/>
  <c r="YH10" i="46"/>
  <c r="GH18" i="46"/>
  <c r="EK18" i="46"/>
  <c r="PV7" i="46"/>
  <c r="LY14" i="46"/>
  <c r="GH10" i="46"/>
  <c r="FW16" i="46"/>
  <c r="GH15" i="46"/>
  <c r="BS12" i="92"/>
  <c r="CD15" i="46"/>
  <c r="WQ18" i="46"/>
  <c r="WQ13" i="46"/>
  <c r="BT4" i="46"/>
  <c r="EC10" i="46"/>
  <c r="SE7" i="46"/>
  <c r="SE12" i="46"/>
  <c r="YC15" i="46"/>
  <c r="GL15" i="46"/>
  <c r="VR12" i="46"/>
  <c r="AED15" i="46"/>
  <c r="SU13" i="46"/>
  <c r="AJL16" i="46"/>
  <c r="AJL15" i="46"/>
  <c r="PV10" i="46"/>
  <c r="SU11" i="46"/>
  <c r="CQ15" i="46"/>
  <c r="AJL18" i="46"/>
  <c r="YH11" i="46"/>
  <c r="YH16" i="46"/>
  <c r="ADA12" i="46"/>
  <c r="CD13" i="46"/>
  <c r="YC9" i="46"/>
  <c r="HP15" i="46"/>
  <c r="FW18" i="46"/>
  <c r="FI9" i="46"/>
  <c r="CE17" i="46"/>
  <c r="FW4" i="46"/>
  <c r="EC9" i="46"/>
  <c r="AED4" i="46"/>
  <c r="YC7" i="46"/>
  <c r="SU10" i="46"/>
  <c r="SU9" i="46"/>
  <c r="AJL13" i="46"/>
  <c r="AJL11" i="46"/>
  <c r="SU14" i="46"/>
  <c r="AJL9" i="46"/>
  <c r="PV14" i="46"/>
  <c r="AJL10" i="46"/>
  <c r="AJL12" i="46"/>
  <c r="CQ10" i="46"/>
  <c r="DR16" i="46"/>
  <c r="CQ12" i="46"/>
  <c r="LY10" i="46"/>
  <c r="WQ4" i="46"/>
  <c r="PV11" i="46"/>
  <c r="AJL7" i="46"/>
  <c r="YH9" i="46"/>
  <c r="BN12" i="46"/>
  <c r="YC11" i="46"/>
  <c r="HN12" i="46"/>
  <c r="EC13" i="46"/>
  <c r="VR14" i="46"/>
  <c r="VR4" i="46"/>
  <c r="PV12" i="46"/>
  <c r="YH8" i="46"/>
  <c r="LL12" i="46"/>
  <c r="LX12" i="46"/>
  <c r="LK9" i="46"/>
  <c r="PI9" i="46"/>
  <c r="CQ9" i="46"/>
  <c r="OE9" i="46"/>
  <c r="PU9" i="46"/>
  <c r="LW9" i="46"/>
  <c r="MU9" i="46"/>
  <c r="FW9" i="46"/>
  <c r="EM9" i="46"/>
  <c r="BA9" i="46"/>
  <c r="LQ9" i="46"/>
  <c r="LE9" i="46"/>
  <c r="CE9" i="46"/>
  <c r="PC9" i="46"/>
  <c r="MB8" i="46"/>
  <c r="IJ8" i="46"/>
  <c r="AZ8" i="46"/>
  <c r="CD8" i="46"/>
  <c r="BX8" i="46"/>
  <c r="IQ18" i="46"/>
  <c r="MF7" i="46"/>
  <c r="CN12" i="46"/>
  <c r="IQ17" i="46"/>
  <c r="OD9" i="46"/>
  <c r="NP15" i="46"/>
  <c r="AN15" i="46"/>
  <c r="NP8" i="46"/>
  <c r="AHL11" i="46"/>
  <c r="ABN12" i="46"/>
  <c r="AGW15" i="46"/>
  <c r="EF8" i="46"/>
  <c r="VV12" i="46"/>
  <c r="VU17" i="46"/>
  <c r="AKJ15" i="46"/>
  <c r="MF15" i="46"/>
  <c r="SB9" i="46"/>
  <c r="PO13" i="46"/>
  <c r="BR11" i="46"/>
  <c r="QK12" i="46"/>
  <c r="QK11" i="46"/>
  <c r="QK7" i="46"/>
  <c r="ADD9" i="46"/>
  <c r="AIF13" i="46"/>
  <c r="BM9" i="46"/>
  <c r="LV7" i="46"/>
  <c r="HF7" i="46"/>
  <c r="HU9" i="46"/>
  <c r="BR15" i="46"/>
  <c r="VV14" i="46"/>
  <c r="PO8" i="46"/>
  <c r="MF10" i="46"/>
  <c r="TF13" i="46"/>
  <c r="AKO11" i="46"/>
  <c r="ADD15" i="46"/>
  <c r="MF18" i="46"/>
  <c r="NY9" i="46"/>
  <c r="BR9" i="46"/>
  <c r="DC12" i="46"/>
  <c r="MF12" i="46"/>
  <c r="HI16" i="46"/>
  <c r="CN10" i="46"/>
  <c r="NP12" i="46"/>
  <c r="NP17" i="46"/>
  <c r="IQ11" i="46"/>
  <c r="ABN18" i="46"/>
  <c r="CN8" i="46"/>
  <c r="AEX7" i="46"/>
  <c r="AHL18" i="46"/>
  <c r="NY17" i="46"/>
  <c r="AIM10" i="46"/>
  <c r="AKJ8" i="46"/>
  <c r="PO16" i="46"/>
  <c r="AGQ7" i="46"/>
  <c r="IQ9" i="46"/>
  <c r="ABN15" i="46"/>
  <c r="BR7" i="46"/>
  <c r="NP14" i="46"/>
  <c r="IQ10" i="46"/>
  <c r="ABN10" i="46"/>
  <c r="CN16" i="46"/>
  <c r="AEX17" i="46"/>
  <c r="AN13" i="46"/>
  <c r="FJ8" i="46"/>
  <c r="AKJ17" i="46"/>
  <c r="TF7" i="46"/>
  <c r="PO17" i="46"/>
  <c r="PO4" i="46"/>
  <c r="MF8" i="46"/>
  <c r="TF4" i="46"/>
  <c r="ADD18" i="46"/>
  <c r="AIF7" i="46"/>
  <c r="AIM14" i="46"/>
  <c r="BR16" i="46"/>
  <c r="AEX13" i="46"/>
  <c r="HI14" i="46"/>
  <c r="HI18" i="46"/>
  <c r="MF9" i="46"/>
  <c r="AN7" i="46"/>
  <c r="MF14" i="46"/>
  <c r="HI9" i="46"/>
  <c r="NP11" i="46"/>
  <c r="IQ13" i="46"/>
  <c r="ABN13" i="46"/>
  <c r="AEX8" i="46"/>
  <c r="AHL14" i="46"/>
  <c r="NP9" i="46"/>
  <c r="MZ8" i="46"/>
  <c r="VV9" i="46"/>
  <c r="AKJ9" i="46"/>
  <c r="TF17" i="46"/>
  <c r="MF13" i="46"/>
  <c r="QK15" i="46"/>
  <c r="ADD16" i="46"/>
  <c r="AIF17" i="46"/>
  <c r="AIF16" i="46"/>
  <c r="PX7" i="46"/>
  <c r="BR12" i="46"/>
  <c r="NP10" i="46"/>
  <c r="OD14" i="46"/>
  <c r="ABN4" i="46"/>
  <c r="AHL17" i="46"/>
  <c r="ABN7" i="46"/>
  <c r="AGI14" i="46"/>
  <c r="AEX15" i="46"/>
  <c r="AIM17" i="46"/>
  <c r="AKJ16" i="46"/>
  <c r="VV8" i="46"/>
  <c r="AKJ10" i="46"/>
  <c r="TF15" i="46"/>
  <c r="PX14" i="46"/>
  <c r="PO18" i="46"/>
  <c r="PX12" i="46"/>
  <c r="MF4" i="46"/>
  <c r="MP16" i="46"/>
  <c r="QK16" i="46"/>
  <c r="AIF9" i="46"/>
  <c r="EZ12" i="46"/>
  <c r="RK9" i="46"/>
  <c r="MT7" i="46"/>
  <c r="CN15" i="46"/>
  <c r="EX8" i="46"/>
  <c r="GZ8" i="46"/>
  <c r="GD12" i="46"/>
  <c r="EJ16" i="46"/>
  <c r="DY18" i="46"/>
  <c r="AO9" i="46"/>
  <c r="RE9" i="46"/>
  <c r="EV16" i="46"/>
  <c r="FE9" i="46"/>
  <c r="AP12" i="46"/>
  <c r="BR8" i="46"/>
  <c r="GN8" i="46"/>
  <c r="AY18" i="46"/>
  <c r="IB15" i="46"/>
  <c r="HA9" i="46"/>
  <c r="NU10" i="46"/>
  <c r="NH14" i="46"/>
  <c r="JK18" i="46"/>
  <c r="IL14" i="46"/>
  <c r="ZL18" i="46"/>
  <c r="WV17" i="46"/>
  <c r="AIS12" i="46"/>
  <c r="ACU18" i="46"/>
  <c r="JT12" i="46"/>
  <c r="NU9" i="46"/>
  <c r="RC9" i="46"/>
  <c r="QA10" i="46"/>
  <c r="ZL11" i="46"/>
  <c r="ABT14" i="46"/>
  <c r="IG7" i="46"/>
  <c r="AJB7" i="46"/>
  <c r="KP13" i="46"/>
  <c r="AGT10" i="46"/>
  <c r="JT10" i="46"/>
  <c r="GI10" i="46"/>
  <c r="OK9" i="46"/>
  <c r="VC15" i="46"/>
  <c r="SG7" i="46"/>
  <c r="WA18" i="46"/>
  <c r="AHV13" i="46"/>
  <c r="NK8" i="46"/>
  <c r="AJD14" i="46"/>
  <c r="RC7" i="46"/>
  <c r="JT9" i="46"/>
  <c r="LB10" i="46"/>
  <c r="ZK16" i="46"/>
  <c r="AKM14" i="46"/>
  <c r="AGK14" i="46"/>
  <c r="AGK13" i="46"/>
  <c r="ACW18" i="46"/>
  <c r="RF17" i="46"/>
  <c r="WV8" i="46"/>
  <c r="NH15" i="46"/>
  <c r="PN13" i="46"/>
  <c r="JT7" i="46"/>
  <c r="PG4" i="46"/>
  <c r="JH14" i="46"/>
  <c r="IG18" i="46"/>
  <c r="PT7" i="46"/>
  <c r="QE9" i="46"/>
  <c r="NH10" i="46"/>
  <c r="ACN9" i="46"/>
  <c r="NK14" i="46"/>
  <c r="AAB10" i="46"/>
  <c r="ZT10" i="46"/>
  <c r="UM4" i="46"/>
  <c r="UM13" i="46"/>
  <c r="UM12" i="46"/>
  <c r="UM10" i="46"/>
  <c r="DQ7" i="46"/>
  <c r="GI12" i="46"/>
  <c r="DQ18" i="46"/>
  <c r="LB14" i="46"/>
  <c r="CU9" i="46"/>
  <c r="GI15" i="46"/>
  <c r="JK10" i="46"/>
  <c r="IL17" i="46"/>
  <c r="ZK11" i="46"/>
  <c r="IL4" i="46"/>
  <c r="TO18" i="46"/>
  <c r="RA9" i="46"/>
  <c r="OK17" i="46"/>
  <c r="UM11" i="46"/>
  <c r="JH11" i="46"/>
  <c r="AKM7" i="46"/>
  <c r="PG16" i="46"/>
  <c r="AJB10" i="46"/>
  <c r="IG13" i="46"/>
  <c r="AJD15" i="46"/>
  <c r="AJD18" i="46"/>
  <c r="AFA12" i="46"/>
  <c r="AJD8" i="46"/>
  <c r="ACN16" i="46"/>
  <c r="WA4" i="46"/>
  <c r="AHS14" i="46"/>
  <c r="KP11" i="46"/>
  <c r="AFA18" i="46"/>
  <c r="ACW12" i="46"/>
  <c r="ACU13" i="46"/>
  <c r="ADK12" i="46"/>
  <c r="NH4" i="46"/>
  <c r="AAB17" i="46"/>
  <c r="VC7" i="46"/>
  <c r="ABT8" i="46"/>
  <c r="HB15" i="46"/>
  <c r="QA18" i="46"/>
  <c r="QA12" i="46"/>
  <c r="QA11" i="46"/>
  <c r="QA9" i="46"/>
  <c r="QA14" i="46"/>
  <c r="QA4" i="46"/>
  <c r="CU18" i="46"/>
  <c r="JK16" i="46"/>
  <c r="ML7" i="46"/>
  <c r="CU11" i="46"/>
  <c r="DQ9" i="46"/>
  <c r="ZK8" i="46"/>
  <c r="RS13" i="46"/>
  <c r="RA7" i="46"/>
  <c r="AKI11" i="46"/>
  <c r="UM8" i="46"/>
  <c r="AKI18" i="46"/>
  <c r="PN15" i="46"/>
  <c r="AKM16" i="46"/>
  <c r="AGK4" i="46"/>
  <c r="LB13" i="46"/>
  <c r="ML13" i="46"/>
  <c r="AJD12" i="46"/>
  <c r="ACN17" i="46"/>
  <c r="WA8" i="46"/>
  <c r="NU15" i="46"/>
  <c r="ZL4" i="46"/>
  <c r="AFA14" i="46"/>
  <c r="LB4" i="46"/>
  <c r="AJE8" i="46"/>
  <c r="CU8" i="46"/>
  <c r="AIS10" i="46"/>
  <c r="IE16" i="46"/>
  <c r="AIS15" i="46"/>
  <c r="NH8" i="46"/>
  <c r="ML18" i="46"/>
  <c r="ML11" i="46"/>
  <c r="DQ10" i="46"/>
  <c r="NH16" i="46"/>
  <c r="AAB8" i="46"/>
  <c r="VC17" i="46"/>
  <c r="ML9" i="46"/>
  <c r="ML12" i="46"/>
  <c r="ML10" i="46"/>
  <c r="ML15" i="46"/>
  <c r="AKH16" i="46"/>
  <c r="AKH13" i="46"/>
  <c r="AKH18" i="46"/>
  <c r="AKH17" i="46"/>
  <c r="AKH11" i="46"/>
  <c r="AKH4" i="46"/>
  <c r="NK13" i="46"/>
  <c r="NK16" i="46"/>
  <c r="NK15" i="46"/>
  <c r="NK18" i="46"/>
  <c r="NK10" i="46"/>
  <c r="AGK9" i="46"/>
  <c r="AGK7" i="46"/>
  <c r="AGK10" i="46"/>
  <c r="AGK12" i="46"/>
  <c r="KP10" i="46"/>
  <c r="KP8" i="46"/>
  <c r="KP18" i="46"/>
  <c r="KP17" i="46"/>
  <c r="KP15" i="46"/>
  <c r="KP12" i="46"/>
  <c r="ACW14" i="46"/>
  <c r="ACW11" i="46"/>
  <c r="ACW17" i="46"/>
  <c r="ACW8" i="46"/>
  <c r="PG14" i="46"/>
  <c r="PG18" i="46"/>
  <c r="PG12" i="46"/>
  <c r="PG9" i="46"/>
  <c r="PG13" i="46"/>
  <c r="AKD15" i="46"/>
  <c r="AKD8" i="46"/>
  <c r="AKD17" i="46"/>
  <c r="SG8" i="46"/>
  <c r="SG12" i="46"/>
  <c r="SG11" i="46"/>
  <c r="HB12" i="46"/>
  <c r="HB4" i="46"/>
  <c r="HB13" i="46"/>
  <c r="HB8" i="46"/>
  <c r="AHV11" i="46"/>
  <c r="AHV18" i="46"/>
  <c r="AHV17" i="46"/>
  <c r="AHV8" i="46"/>
  <c r="AHV15" i="46"/>
  <c r="AHA17" i="46"/>
  <c r="AHA12" i="46"/>
  <c r="AHA11" i="46"/>
  <c r="AHA9" i="46"/>
  <c r="AHA13" i="46"/>
  <c r="OW16" i="46"/>
  <c r="OW15" i="46"/>
  <c r="OW13" i="46"/>
  <c r="OW10" i="46"/>
  <c r="XX8" i="46"/>
  <c r="XX12" i="46"/>
  <c r="XX18" i="46"/>
  <c r="XX4" i="46"/>
  <c r="XX10" i="46"/>
  <c r="AFJ12" i="46"/>
  <c r="AFJ11" i="46"/>
  <c r="AFJ18" i="46"/>
  <c r="AFJ13" i="46"/>
  <c r="AFJ8" i="46"/>
  <c r="AFJ17" i="46"/>
  <c r="AFJ14" i="46"/>
  <c r="JK14" i="46"/>
  <c r="IE14" i="46"/>
  <c r="HB18" i="46"/>
  <c r="LB7" i="46"/>
  <c r="IE15" i="46"/>
  <c r="GI16" i="46"/>
  <c r="TO15" i="46"/>
  <c r="RS17" i="46"/>
  <c r="TO14" i="46"/>
  <c r="PN9" i="46"/>
  <c r="ACS13" i="46"/>
  <c r="UM18" i="46"/>
  <c r="ACS14" i="46"/>
  <c r="AKI9" i="46"/>
  <c r="AGK15" i="46"/>
  <c r="IG9" i="46"/>
  <c r="IG4" i="46"/>
  <c r="ACW10" i="46"/>
  <c r="WA17" i="46"/>
  <c r="NU4" i="46"/>
  <c r="ZL14" i="46"/>
  <c r="AFA4" i="46"/>
  <c r="AHV7" i="46"/>
  <c r="PT8" i="46"/>
  <c r="ACW16" i="46"/>
  <c r="AIS18" i="46"/>
  <c r="ADK18" i="46"/>
  <c r="IE4" i="46"/>
  <c r="NH11" i="46"/>
  <c r="NK12" i="46"/>
  <c r="VC10" i="46"/>
  <c r="AHA18" i="46"/>
  <c r="OW11" i="46"/>
  <c r="AKD14" i="46"/>
  <c r="PN18" i="46"/>
  <c r="PN10" i="46"/>
  <c r="PN12" i="46"/>
  <c r="PN17" i="46"/>
  <c r="PN14" i="46"/>
  <c r="ABT9" i="46"/>
  <c r="ABT15" i="46"/>
  <c r="ABT7" i="46"/>
  <c r="ABT13" i="46"/>
  <c r="LB18" i="46"/>
  <c r="LB15" i="46"/>
  <c r="LB9" i="46"/>
  <c r="LB17" i="46"/>
  <c r="LB8" i="46"/>
  <c r="LB12" i="46"/>
  <c r="AHS15" i="46"/>
  <c r="AHS7" i="46"/>
  <c r="AHS11" i="46"/>
  <c r="AHS16" i="46"/>
  <c r="NH18" i="46"/>
  <c r="NH7" i="46"/>
  <c r="NH13" i="46"/>
  <c r="NH17" i="46"/>
  <c r="AIJ15" i="46"/>
  <c r="AIJ13" i="46"/>
  <c r="AIJ12" i="46"/>
  <c r="AIJ14" i="46"/>
  <c r="AIJ9" i="46"/>
  <c r="AIJ16" i="46"/>
  <c r="QO11" i="46"/>
  <c r="QO7" i="46"/>
  <c r="QO10" i="46"/>
  <c r="QO13" i="46"/>
  <c r="KP7" i="46"/>
  <c r="HB10" i="46"/>
  <c r="UM7" i="46"/>
  <c r="PN4" i="46"/>
  <c r="QA13" i="46"/>
  <c r="PG15" i="46"/>
  <c r="PT9" i="46"/>
  <c r="NU16" i="46"/>
  <c r="AFA13" i="46"/>
  <c r="AHV12" i="46"/>
  <c r="PT17" i="46"/>
  <c r="XX7" i="46"/>
  <c r="ACW13" i="46"/>
  <c r="ACU17" i="46"/>
  <c r="YL9" i="46"/>
  <c r="YL15" i="46"/>
  <c r="ADK16" i="46"/>
  <c r="QO4" i="46"/>
  <c r="RC8" i="46"/>
  <c r="RC18" i="46"/>
  <c r="AIJ18" i="46"/>
  <c r="AIJ7" i="46"/>
  <c r="HB11" i="46"/>
  <c r="RC13" i="46"/>
  <c r="OW14" i="46"/>
  <c r="CU4" i="46"/>
  <c r="CU10" i="46"/>
  <c r="CU13" i="46"/>
  <c r="CU12" i="46"/>
  <c r="ZK12" i="46"/>
  <c r="ZK14" i="46"/>
  <c r="ZK13" i="46"/>
  <c r="ZK4" i="46"/>
  <c r="ZK9" i="46"/>
  <c r="AJB18" i="46"/>
  <c r="AJB4" i="46"/>
  <c r="AJB11" i="46"/>
  <c r="AJB16" i="46"/>
  <c r="AJB13" i="46"/>
  <c r="AJB15" i="46"/>
  <c r="AJB14" i="46"/>
  <c r="AGJ16" i="46"/>
  <c r="AGJ15" i="46"/>
  <c r="AGJ17" i="46"/>
  <c r="AGJ11" i="46"/>
  <c r="AGJ9" i="46"/>
  <c r="AGJ14" i="46"/>
  <c r="QE11" i="46"/>
  <c r="QE13" i="46"/>
  <c r="VC4" i="46"/>
  <c r="VC12" i="46"/>
  <c r="VC13" i="46"/>
  <c r="VC14" i="46"/>
  <c r="VC8" i="46"/>
  <c r="RA14" i="46"/>
  <c r="RA8" i="46"/>
  <c r="RA15" i="46"/>
  <c r="RA10" i="46"/>
  <c r="RA13" i="46"/>
  <c r="JK7" i="46"/>
  <c r="JK15" i="46"/>
  <c r="JK13" i="46"/>
  <c r="JK8" i="46"/>
  <c r="ZL9" i="46"/>
  <c r="ZL13" i="46"/>
  <c r="ZL12" i="46"/>
  <c r="ZL15" i="46"/>
  <c r="ACS11" i="46"/>
  <c r="ACS7" i="46"/>
  <c r="ACS18" i="46"/>
  <c r="ACS17" i="46"/>
  <c r="ACS8" i="46"/>
  <c r="IE9" i="46"/>
  <c r="IE13" i="46"/>
  <c r="AAB14" i="46"/>
  <c r="AAB11" i="46"/>
  <c r="AAB18" i="46"/>
  <c r="AAB13" i="46"/>
  <c r="AAB7" i="46"/>
  <c r="IG15" i="46"/>
  <c r="IG10" i="46"/>
  <c r="IG14" i="46"/>
  <c r="IG16" i="46"/>
  <c r="IG17" i="46"/>
  <c r="JT13" i="46"/>
  <c r="JT4" i="46"/>
  <c r="RF4" i="46"/>
  <c r="RF14" i="46"/>
  <c r="RF12" i="46"/>
  <c r="RF10" i="46"/>
  <c r="RF11" i="46"/>
  <c r="RF18" i="46"/>
  <c r="RF7" i="46"/>
  <c r="TO9" i="46"/>
  <c r="TO12" i="46"/>
  <c r="TO10" i="46"/>
  <c r="TO17" i="46"/>
  <c r="TO4" i="46"/>
  <c r="WV7" i="46"/>
  <c r="WV18" i="46"/>
  <c r="WV9" i="46"/>
  <c r="WV10" i="46"/>
  <c r="WV12" i="46"/>
  <c r="AHX4" i="46"/>
  <c r="AHX14" i="46"/>
  <c r="AHX7" i="46"/>
  <c r="AHX16" i="46"/>
  <c r="AHX13" i="46"/>
  <c r="AHX18" i="46"/>
  <c r="AJD13" i="46"/>
  <c r="AJD7" i="46"/>
  <c r="AJD17" i="46"/>
  <c r="AJD10" i="46"/>
  <c r="WT17" i="46"/>
  <c r="WT10" i="46"/>
  <c r="WT9" i="46"/>
  <c r="WT14" i="46"/>
  <c r="WT11" i="46"/>
  <c r="WT7" i="46"/>
  <c r="WT15" i="46"/>
  <c r="IL15" i="46"/>
  <c r="IL18" i="46"/>
  <c r="IL11" i="46"/>
  <c r="AKM17" i="46"/>
  <c r="AKM4" i="46"/>
  <c r="AKM15" i="46"/>
  <c r="AKM12" i="46"/>
  <c r="AKM10" i="46"/>
  <c r="AKM9" i="46"/>
  <c r="AKM18" i="46"/>
  <c r="JH18" i="46"/>
  <c r="KP14" i="46"/>
  <c r="HB7" i="46"/>
  <c r="JT14" i="46"/>
  <c r="IL7" i="46"/>
  <c r="PG7" i="46"/>
  <c r="OW7" i="46"/>
  <c r="JH9" i="46"/>
  <c r="IL12" i="46"/>
  <c r="ZK17" i="46"/>
  <c r="RA11" i="46"/>
  <c r="TO16" i="46"/>
  <c r="UM9" i="46"/>
  <c r="ACS15" i="46"/>
  <c r="PN16" i="46"/>
  <c r="QA15" i="46"/>
  <c r="PG8" i="46"/>
  <c r="AJB17" i="46"/>
  <c r="AGK16" i="46"/>
  <c r="XX11" i="46"/>
  <c r="NK11" i="46"/>
  <c r="LB11" i="46"/>
  <c r="AJD4" i="46"/>
  <c r="AHS13" i="46"/>
  <c r="ZL17" i="46"/>
  <c r="AHV4" i="46"/>
  <c r="XX15" i="46"/>
  <c r="QO15" i="46"/>
  <c r="RC12" i="46"/>
  <c r="RC11" i="46"/>
  <c r="QO14" i="46"/>
  <c r="AGJ7" i="46"/>
  <c r="AIJ17" i="46"/>
  <c r="HB17" i="46"/>
  <c r="SG18" i="46"/>
  <c r="AHX11" i="46"/>
  <c r="OW8" i="46"/>
  <c r="RS7" i="46"/>
  <c r="RS9" i="46"/>
  <c r="RS11" i="46"/>
  <c r="RS14" i="46"/>
  <c r="RS15" i="46"/>
  <c r="RS12" i="46"/>
  <c r="AJE4" i="46"/>
  <c r="AJE7" i="46"/>
  <c r="AJE11" i="46"/>
  <c r="AJE10" i="46"/>
  <c r="AJE15" i="46"/>
  <c r="AKI15" i="46"/>
  <c r="AKI8" i="46"/>
  <c r="AKI12" i="46"/>
  <c r="AKI14" i="46"/>
  <c r="AKI16" i="46"/>
  <c r="AKI10" i="46"/>
  <c r="AKI13" i="46"/>
  <c r="ZT16" i="46"/>
  <c r="ZT11" i="46"/>
  <c r="ZT9" i="46"/>
  <c r="ZT12" i="46"/>
  <c r="ZT4" i="46"/>
  <c r="AGT7" i="46"/>
  <c r="AGT9" i="46"/>
  <c r="AGT15" i="46"/>
  <c r="AGT8" i="46"/>
  <c r="AGT11" i="46"/>
  <c r="DQ15" i="46"/>
  <c r="DQ8" i="46"/>
  <c r="DQ4" i="46"/>
  <c r="PT18" i="46"/>
  <c r="PT16" i="46"/>
  <c r="PT4" i="46"/>
  <c r="PT13" i="46"/>
  <c r="PT11" i="46"/>
  <c r="ADK8" i="46"/>
  <c r="ADK7" i="46"/>
  <c r="ADK9" i="46"/>
  <c r="ADK14" i="46"/>
  <c r="ADK10" i="46"/>
  <c r="ADK13" i="46"/>
  <c r="OK14" i="46"/>
  <c r="OK11" i="46"/>
  <c r="OK8" i="46"/>
  <c r="OK10" i="46"/>
  <c r="OK16" i="46"/>
  <c r="OK12" i="46"/>
  <c r="WA11" i="46"/>
  <c r="WA7" i="46"/>
  <c r="WA14" i="46"/>
  <c r="WA10" i="46"/>
  <c r="QS13" i="46"/>
  <c r="QS7" i="46"/>
  <c r="QS17" i="46"/>
  <c r="QS12" i="46"/>
  <c r="QS10" i="46"/>
  <c r="QS16" i="46"/>
  <c r="QS9" i="46"/>
  <c r="QS15" i="46"/>
  <c r="JH17" i="46"/>
  <c r="JH10" i="46"/>
  <c r="JH12" i="46"/>
  <c r="JH16" i="46"/>
  <c r="JH7" i="46"/>
  <c r="AIS14" i="46"/>
  <c r="AIS13" i="46"/>
  <c r="AIS8" i="46"/>
  <c r="ACN11" i="46"/>
  <c r="ACN13" i="46"/>
  <c r="ACN14" i="46"/>
  <c r="ACN10" i="46"/>
  <c r="ACN18" i="46"/>
  <c r="ACN12" i="46"/>
  <c r="ACN7" i="46"/>
  <c r="RC17" i="46"/>
  <c r="RC10" i="46"/>
  <c r="YL4" i="46"/>
  <c r="YL16" i="46"/>
  <c r="YL7" i="46"/>
  <c r="YL8" i="46"/>
  <c r="YL13" i="46"/>
  <c r="AFA11" i="46"/>
  <c r="AFA16" i="46"/>
  <c r="AFA7" i="46"/>
  <c r="AFA8" i="46"/>
  <c r="AFA15" i="46"/>
  <c r="ACU10" i="46"/>
  <c r="ACU11" i="46"/>
  <c r="ACU8" i="46"/>
  <c r="ACU14" i="46"/>
  <c r="ACU16" i="46"/>
  <c r="ACU12" i="46"/>
  <c r="ACU4" i="46"/>
  <c r="NU11" i="46"/>
  <c r="NU14" i="46"/>
  <c r="NU13" i="46"/>
  <c r="NU12" i="46"/>
  <c r="NU18" i="46"/>
  <c r="NU7" i="46"/>
  <c r="NK7" i="46"/>
  <c r="DQ17" i="46"/>
  <c r="ZK10" i="46"/>
  <c r="TO8" i="46"/>
  <c r="JT18" i="46"/>
  <c r="IE18" i="46"/>
  <c r="QA7" i="46"/>
  <c r="PN7" i="46"/>
  <c r="NK9" i="46"/>
  <c r="IE17" i="46"/>
  <c r="JK9" i="46"/>
  <c r="IL16" i="46"/>
  <c r="ZK7" i="46"/>
  <c r="JT17" i="46"/>
  <c r="RS8" i="46"/>
  <c r="RS18" i="46"/>
  <c r="TO11" i="46"/>
  <c r="UM17" i="46"/>
  <c r="ACS9" i="46"/>
  <c r="UM14" i="46"/>
  <c r="OK15" i="46"/>
  <c r="JH8" i="46"/>
  <c r="ACS4" i="46"/>
  <c r="PN11" i="46"/>
  <c r="QA16" i="46"/>
  <c r="AKM8" i="46"/>
  <c r="PG11" i="46"/>
  <c r="AJB9" i="46"/>
  <c r="AGK8" i="46"/>
  <c r="PT15" i="46"/>
  <c r="ML17" i="46"/>
  <c r="AHS8" i="46"/>
  <c r="AJD9" i="46"/>
  <c r="ACN4" i="46"/>
  <c r="NU17" i="46"/>
  <c r="AHS12" i="46"/>
  <c r="AFA17" i="46"/>
  <c r="AHV16" i="46"/>
  <c r="PT14" i="46"/>
  <c r="XX9" i="46"/>
  <c r="AJE14" i="46"/>
  <c r="ACU15" i="46"/>
  <c r="YL10" i="46"/>
  <c r="YL17" i="46"/>
  <c r="WV11" i="46"/>
  <c r="QO12" i="46"/>
  <c r="AGT12" i="46"/>
  <c r="JK4" i="46"/>
  <c r="AGJ13" i="46"/>
  <c r="ABT4" i="46"/>
  <c r="AIJ11" i="46"/>
  <c r="RC4" i="46"/>
  <c r="AHX12" i="46"/>
  <c r="AFJ10" i="46"/>
  <c r="SG16" i="46"/>
  <c r="GI13" i="46"/>
  <c r="GI17" i="46"/>
  <c r="GI18" i="46"/>
  <c r="GI9" i="46"/>
  <c r="GI11" i="46"/>
  <c r="GI14" i="46"/>
  <c r="EY11" i="46"/>
  <c r="IL8" i="46"/>
  <c r="ZK18" i="46"/>
  <c r="RS16" i="46"/>
  <c r="IL13" i="46"/>
  <c r="RS10" i="46"/>
  <c r="RA18" i="46"/>
  <c r="RA16" i="46"/>
  <c r="OK7" i="46"/>
  <c r="AKI7" i="46"/>
  <c r="ACS12" i="46"/>
  <c r="OK18" i="46"/>
  <c r="UM16" i="46"/>
  <c r="JH13" i="46"/>
  <c r="ACS16" i="46"/>
  <c r="OK4" i="46"/>
  <c r="QA17" i="46"/>
  <c r="AKM11" i="46"/>
  <c r="PG10" i="46"/>
  <c r="AJB8" i="46"/>
  <c r="AGK11" i="46"/>
  <c r="AGK18" i="46"/>
  <c r="WA9" i="46"/>
  <c r="ML14" i="46"/>
  <c r="AHS10" i="46"/>
  <c r="AJD16" i="46"/>
  <c r="ACN15" i="46"/>
  <c r="WA13" i="46"/>
  <c r="AHS4" i="46"/>
  <c r="KP4" i="46"/>
  <c r="AFA10" i="46"/>
  <c r="XX16" i="46"/>
  <c r="AJE17" i="46"/>
  <c r="ACU9" i="46"/>
  <c r="AJE12" i="46"/>
  <c r="ADK11" i="46"/>
  <c r="RC14" i="46"/>
  <c r="QO18" i="46"/>
  <c r="QS8" i="46"/>
  <c r="AGT17" i="46"/>
  <c r="AGJ4" i="46"/>
  <c r="ABT16" i="46"/>
  <c r="QS4" i="46"/>
  <c r="AIJ8" i="46"/>
  <c r="ZT18" i="46"/>
  <c r="HB16" i="46"/>
  <c r="RC15" i="46"/>
  <c r="WT12" i="46"/>
  <c r="AFJ7" i="46"/>
  <c r="WT4" i="46"/>
  <c r="AKH8" i="46"/>
  <c r="AGL4" i="46"/>
  <c r="ACR8" i="46"/>
  <c r="TV14" i="46"/>
  <c r="GW17" i="46"/>
  <c r="AJS14" i="46"/>
  <c r="XR10" i="46"/>
  <c r="GS15" i="46"/>
  <c r="AKD13" i="46"/>
  <c r="AKH12" i="46"/>
  <c r="SG4" i="46"/>
  <c r="QE7" i="46"/>
  <c r="ZT17" i="46"/>
  <c r="IE12" i="46"/>
  <c r="SG9" i="46"/>
  <c r="QE17" i="46"/>
  <c r="AKD4" i="46"/>
  <c r="AKD16" i="46"/>
  <c r="AKD7" i="46"/>
  <c r="AKI17" i="46"/>
  <c r="NK4" i="46"/>
  <c r="ZL8" i="46"/>
  <c r="KP16" i="46"/>
  <c r="PT10" i="46"/>
  <c r="ACW15" i="46"/>
  <c r="AJE18" i="46"/>
  <c r="CU17" i="46"/>
  <c r="DQ13" i="46"/>
  <c r="IE10" i="46"/>
  <c r="AIS4" i="46"/>
  <c r="AGT4" i="46"/>
  <c r="AGT14" i="46"/>
  <c r="VC11" i="46"/>
  <c r="AGJ12" i="46"/>
  <c r="ABT17" i="46"/>
  <c r="AIJ4" i="46"/>
  <c r="AHA10" i="46"/>
  <c r="JT15" i="46"/>
  <c r="QE14" i="46"/>
  <c r="JT16" i="46"/>
  <c r="OW12" i="46"/>
  <c r="QE4" i="46"/>
  <c r="OW18" i="46"/>
  <c r="AKH7" i="46"/>
  <c r="AKD9" i="46"/>
  <c r="OW9" i="46"/>
  <c r="QE8" i="46"/>
  <c r="AHX8" i="46"/>
  <c r="JT8" i="46"/>
  <c r="SG14" i="46"/>
  <c r="QE16" i="46"/>
  <c r="AKH9" i="46"/>
  <c r="OW17" i="46"/>
  <c r="AKH14" i="46"/>
  <c r="OY7" i="46"/>
  <c r="LI15" i="46"/>
  <c r="GW16" i="46"/>
  <c r="GS13" i="46"/>
  <c r="LM15" i="46"/>
  <c r="LM14" i="46"/>
  <c r="ZH9" i="46"/>
  <c r="AQ7" i="46"/>
  <c r="RI9" i="46"/>
  <c r="ABB12" i="46"/>
  <c r="KU8" i="46"/>
  <c r="RD17" i="46"/>
  <c r="LI4" i="46"/>
  <c r="LI14" i="46"/>
  <c r="LM17" i="46"/>
  <c r="RD8" i="46"/>
  <c r="KU4" i="46"/>
  <c r="AT8" i="46"/>
  <c r="QW15" i="46"/>
  <c r="BF8" i="46"/>
  <c r="ABB18" i="46"/>
  <c r="LO16" i="46"/>
  <c r="ABB7" i="46"/>
  <c r="LI7" i="46"/>
  <c r="KE13" i="46"/>
  <c r="HA18" i="46"/>
  <c r="RI7" i="46"/>
  <c r="KU7" i="46"/>
  <c r="AT12" i="46"/>
  <c r="LM16" i="46"/>
  <c r="RD13" i="46"/>
  <c r="XR13" i="46"/>
  <c r="KU13" i="46"/>
  <c r="AAE4" i="46"/>
  <c r="FF8" i="46"/>
  <c r="IO14" i="46"/>
  <c r="HA16" i="46"/>
  <c r="RD18" i="46"/>
  <c r="GS7" i="46"/>
  <c r="KU16" i="46"/>
  <c r="KU17" i="46"/>
  <c r="DI15" i="46"/>
  <c r="XR17" i="46"/>
  <c r="BF12" i="46"/>
  <c r="DI17" i="46"/>
  <c r="ABB8" i="46"/>
  <c r="QW17" i="46"/>
  <c r="AEW17" i="46"/>
  <c r="DI11" i="46"/>
  <c r="FF14" i="46"/>
  <c r="RD10" i="46"/>
  <c r="AIX16" i="46"/>
  <c r="ZH11" i="46"/>
  <c r="AT7" i="46"/>
  <c r="DH7" i="46"/>
  <c r="DI16" i="46"/>
  <c r="GW4" i="46"/>
  <c r="RD15" i="46"/>
  <c r="AIX17" i="46"/>
  <c r="ZH15" i="46"/>
  <c r="XR9" i="46"/>
  <c r="AAE16" i="46"/>
  <c r="FF15" i="46"/>
  <c r="FB14" i="46"/>
  <c r="ACA8" i="46"/>
  <c r="AHO10" i="46"/>
  <c r="FB9" i="46"/>
  <c r="WP4" i="46"/>
  <c r="CF12" i="46"/>
  <c r="YE8" i="46"/>
  <c r="ACV12" i="46"/>
  <c r="NO17" i="46"/>
  <c r="SA7" i="46"/>
  <c r="PL15" i="46"/>
  <c r="OQ12" i="46"/>
  <c r="DC13" i="46"/>
  <c r="GF11" i="46"/>
  <c r="TP10" i="46"/>
  <c r="ABS7" i="46"/>
  <c r="AJR14" i="46"/>
  <c r="NO7" i="46"/>
  <c r="ACA17" i="46"/>
  <c r="YO7" i="46"/>
  <c r="YO4" i="46"/>
  <c r="TP9" i="46"/>
  <c r="ABS16" i="46"/>
  <c r="AJR17" i="46"/>
  <c r="WP7" i="46"/>
  <c r="AGW13" i="46"/>
  <c r="TD18" i="46"/>
  <c r="AKJ14" i="46"/>
  <c r="TF10" i="46"/>
  <c r="YE15" i="46"/>
  <c r="AKJ4" i="46"/>
  <c r="VV13" i="46"/>
  <c r="PO10" i="46"/>
  <c r="ABL13" i="46"/>
  <c r="YE13" i="46"/>
  <c r="FB17" i="46"/>
  <c r="AGA7" i="46"/>
  <c r="PO9" i="46"/>
  <c r="ACV15" i="46"/>
  <c r="OC10" i="46"/>
  <c r="NO18" i="46"/>
  <c r="BZ15" i="46"/>
  <c r="BR4" i="46"/>
  <c r="AFX10" i="46"/>
  <c r="QK18" i="46"/>
  <c r="AKO17" i="46"/>
  <c r="PL10" i="46"/>
  <c r="AHG7" i="46"/>
  <c r="TF16" i="46"/>
  <c r="TF8" i="46"/>
  <c r="AIF10" i="46"/>
  <c r="ADD10" i="46"/>
  <c r="AIF15" i="46"/>
  <c r="AN17" i="46"/>
  <c r="BV17" i="92"/>
  <c r="ABX9" i="46"/>
  <c r="ABX4" i="46"/>
  <c r="HI4" i="46"/>
  <c r="AIC15" i="46"/>
  <c r="AHL8" i="46"/>
  <c r="AHL10" i="46"/>
  <c r="ADY14" i="46"/>
  <c r="IQ15" i="46"/>
  <c r="ABN9" i="46"/>
  <c r="ABS11" i="46"/>
  <c r="CN4" i="46"/>
  <c r="HI8" i="46"/>
  <c r="AJR11" i="46"/>
  <c r="AEX14" i="46"/>
  <c r="AEX10" i="46"/>
  <c r="AHL4" i="46"/>
  <c r="AHL15" i="46"/>
  <c r="TD17" i="46"/>
  <c r="AIM8" i="46"/>
  <c r="AIM16" i="46"/>
  <c r="FL12" i="46"/>
  <c r="VV17" i="46"/>
  <c r="VV7" i="46"/>
  <c r="AKJ18" i="46"/>
  <c r="TF9" i="46"/>
  <c r="CF16" i="46"/>
  <c r="DC15" i="46"/>
  <c r="VU8" i="46"/>
  <c r="SB14" i="46"/>
  <c r="ABL16" i="46"/>
  <c r="PO12" i="46"/>
  <c r="PO14" i="46"/>
  <c r="PX11" i="46"/>
  <c r="YE18" i="46"/>
  <c r="NB11" i="46"/>
  <c r="TF18" i="46"/>
  <c r="PX8" i="46"/>
  <c r="OC16" i="46"/>
  <c r="ACV16" i="46"/>
  <c r="BR17" i="46"/>
  <c r="QK10" i="46"/>
  <c r="AKO8" i="46"/>
  <c r="QK4" i="46"/>
  <c r="PX15" i="46"/>
  <c r="AIF12" i="46"/>
  <c r="ADD8" i="46"/>
  <c r="ADD12" i="46"/>
  <c r="AIF4" i="46"/>
  <c r="HU14" i="46"/>
  <c r="CN18" i="46"/>
  <c r="FB7" i="46"/>
  <c r="MP7" i="46"/>
  <c r="PL7" i="46"/>
  <c r="HU16" i="46"/>
  <c r="IQ12" i="46"/>
  <c r="AN12" i="46"/>
  <c r="FB10" i="46"/>
  <c r="CN11" i="46"/>
  <c r="OD8" i="46"/>
  <c r="ZR4" i="46"/>
  <c r="IQ14" i="46"/>
  <c r="CC7" i="46"/>
  <c r="GF7" i="46"/>
  <c r="HI7" i="46"/>
  <c r="BD7" i="46"/>
  <c r="DC18" i="46"/>
  <c r="DC11" i="46"/>
  <c r="BD12" i="46"/>
  <c r="NA18" i="46"/>
  <c r="FM16" i="46"/>
  <c r="HI17" i="46"/>
  <c r="FM9" i="46"/>
  <c r="GC17" i="46"/>
  <c r="ZR13" i="46"/>
  <c r="HY10" i="46"/>
  <c r="AN8" i="46"/>
  <c r="BW17" i="92"/>
  <c r="ABX13" i="46"/>
  <c r="GC4" i="46"/>
  <c r="YO12" i="46"/>
  <c r="YO8" i="46"/>
  <c r="AIC4" i="46"/>
  <c r="AHL12" i="46"/>
  <c r="CF10" i="46"/>
  <c r="TP14" i="46"/>
  <c r="HU15" i="46"/>
  <c r="ABN17" i="46"/>
  <c r="ABS9" i="46"/>
  <c r="CN13" i="46"/>
  <c r="HI13" i="46"/>
  <c r="AJR15" i="46"/>
  <c r="AEX4" i="46"/>
  <c r="AEX18" i="46"/>
  <c r="ABX8" i="46"/>
  <c r="FB4" i="46"/>
  <c r="TD8" i="46"/>
  <c r="AIM7" i="46"/>
  <c r="AIM15" i="46"/>
  <c r="AIM13" i="46"/>
  <c r="FM8" i="46"/>
  <c r="FL13" i="46"/>
  <c r="FM15" i="46"/>
  <c r="VV11" i="46"/>
  <c r="VV15" i="46"/>
  <c r="TF12" i="46"/>
  <c r="DC4" i="46"/>
  <c r="CC8" i="46"/>
  <c r="ABL10" i="46"/>
  <c r="PX18" i="46"/>
  <c r="ZB11" i="46"/>
  <c r="GF4" i="46"/>
  <c r="ZB17" i="46"/>
  <c r="ABL4" i="46"/>
  <c r="OC11" i="46"/>
  <c r="QK13" i="46"/>
  <c r="AII12" i="46"/>
  <c r="PX16" i="46"/>
  <c r="ADD11" i="46"/>
  <c r="ADD14" i="46"/>
  <c r="AIF11" i="46"/>
  <c r="FB18" i="46"/>
  <c r="AN9" i="46"/>
  <c r="GC12" i="46"/>
  <c r="MF11" i="46"/>
  <c r="ACA9" i="46"/>
  <c r="ZR16" i="46"/>
  <c r="HY13" i="46"/>
  <c r="AN4" i="46"/>
  <c r="NP18" i="46"/>
  <c r="NP16" i="46"/>
  <c r="ABX10" i="46"/>
  <c r="AHO11" i="46"/>
  <c r="ABX11" i="46"/>
  <c r="AEX11" i="46"/>
  <c r="FL10" i="46"/>
  <c r="TP15" i="46"/>
  <c r="ABN8" i="46"/>
  <c r="ABS13" i="46"/>
  <c r="AJR16" i="46"/>
  <c r="AHL7" i="46"/>
  <c r="FB8" i="46"/>
  <c r="NY16" i="46"/>
  <c r="ST18" i="46"/>
  <c r="TD15" i="46"/>
  <c r="AIM11" i="46"/>
  <c r="AIM4" i="46"/>
  <c r="VV16" i="46"/>
  <c r="AKJ12" i="46"/>
  <c r="DC10" i="46"/>
  <c r="ABL18" i="46"/>
  <c r="PX4" i="46"/>
  <c r="TF11" i="46"/>
  <c r="DC9" i="46"/>
  <c r="GF8" i="46"/>
  <c r="IP15" i="46"/>
  <c r="QK14" i="46"/>
  <c r="AKO14" i="46"/>
  <c r="QK8" i="46"/>
  <c r="AII18" i="46"/>
  <c r="SA16" i="46"/>
  <c r="AIM9" i="46"/>
  <c r="ADD17" i="46"/>
  <c r="AIF8" i="46"/>
  <c r="GX12" i="46"/>
  <c r="GX14" i="46"/>
  <c r="CK18" i="46"/>
  <c r="FC7" i="46"/>
  <c r="IO18" i="46"/>
  <c r="HW18" i="46"/>
  <c r="AGQ12" i="46"/>
  <c r="AGI10" i="46"/>
  <c r="ADO15" i="46"/>
  <c r="NZ16" i="46"/>
  <c r="GE8" i="46"/>
  <c r="OC14" i="46"/>
  <c r="AAK16" i="46"/>
  <c r="GX11" i="46"/>
  <c r="AKO15" i="46"/>
  <c r="TA4" i="46"/>
  <c r="GY18" i="46"/>
  <c r="FC18" i="46"/>
  <c r="QL7" i="46"/>
  <c r="KG12" i="46"/>
  <c r="FC10" i="46"/>
  <c r="FC11" i="46"/>
  <c r="GE10" i="46"/>
  <c r="FC17" i="46"/>
  <c r="ACR11" i="46"/>
  <c r="AGQ13" i="46"/>
  <c r="BE11" i="46"/>
  <c r="ADO16" i="46"/>
  <c r="ADO10" i="46"/>
  <c r="ACR16" i="46"/>
  <c r="AGI17" i="46"/>
  <c r="AGI4" i="46"/>
  <c r="CK16" i="46"/>
  <c r="YP11" i="46"/>
  <c r="TW8" i="46"/>
  <c r="NY8" i="46"/>
  <c r="NY15" i="46"/>
  <c r="ZI12" i="46"/>
  <c r="ZI16" i="46"/>
  <c r="TW16" i="46"/>
  <c r="CK9" i="46"/>
  <c r="YP12" i="46"/>
  <c r="YP15" i="46"/>
  <c r="QM13" i="46"/>
  <c r="KG9" i="46"/>
  <c r="GY17" i="46"/>
  <c r="XH4" i="46"/>
  <c r="ADQ14" i="46"/>
  <c r="ADQ17" i="46"/>
  <c r="XH15" i="46"/>
  <c r="NZ15" i="46"/>
  <c r="NZ17" i="46"/>
  <c r="NZ8" i="46"/>
  <c r="OC8" i="46"/>
  <c r="AAK4" i="46"/>
  <c r="AAK10" i="46"/>
  <c r="GX9" i="46"/>
  <c r="AIU14" i="46"/>
  <c r="AKO16" i="46"/>
  <c r="TA14" i="46"/>
  <c r="TA18" i="46"/>
  <c r="AHG13" i="46"/>
  <c r="RO15" i="46"/>
  <c r="VO4" i="46"/>
  <c r="TA12" i="46"/>
  <c r="AHG9" i="46"/>
  <c r="RO11" i="46"/>
  <c r="VO17" i="46"/>
  <c r="KG14" i="46"/>
  <c r="GX7" i="46"/>
  <c r="GX18" i="46"/>
  <c r="BE9" i="46"/>
  <c r="CK12" i="46"/>
  <c r="CK11" i="46"/>
  <c r="ADO11" i="46"/>
  <c r="TW17" i="46"/>
  <c r="TW12" i="46"/>
  <c r="ZI14" i="46"/>
  <c r="NY11" i="46"/>
  <c r="ZI13" i="46"/>
  <c r="ZI17" i="46"/>
  <c r="TW15" i="46"/>
  <c r="CK13" i="46"/>
  <c r="YP14" i="46"/>
  <c r="KG11" i="46"/>
  <c r="XH16" i="46"/>
  <c r="GY4" i="46"/>
  <c r="XH17" i="46"/>
  <c r="ADQ15" i="46"/>
  <c r="NZ12" i="46"/>
  <c r="YP16" i="46"/>
  <c r="GE4" i="46"/>
  <c r="AAK8" i="46"/>
  <c r="OC9" i="46"/>
  <c r="AAK7" i="46"/>
  <c r="AAK14" i="46"/>
  <c r="GX17" i="46"/>
  <c r="AKO4" i="46"/>
  <c r="AKO10" i="46"/>
  <c r="AHG15" i="46"/>
  <c r="AHG16" i="46"/>
  <c r="AHG11" i="46"/>
  <c r="VO8" i="46"/>
  <c r="TA9" i="46"/>
  <c r="AHG18" i="46"/>
  <c r="TA7" i="46"/>
  <c r="TA11" i="46"/>
  <c r="GY8" i="46"/>
  <c r="KG18" i="46"/>
  <c r="GE16" i="46"/>
  <c r="GE9" i="46"/>
  <c r="BV11" i="92"/>
  <c r="ADO9" i="46"/>
  <c r="AGQ18" i="46"/>
  <c r="BE10" i="46"/>
  <c r="ADO4" i="46"/>
  <c r="AGI18" i="46"/>
  <c r="AGI7" i="46"/>
  <c r="FC14" i="46"/>
  <c r="GY7" i="46"/>
  <c r="FS9" i="46"/>
  <c r="GY12" i="46"/>
  <c r="FC4" i="46"/>
  <c r="BW11" i="92"/>
  <c r="BE17" i="46"/>
  <c r="ADO7" i="46"/>
  <c r="AGI8" i="46"/>
  <c r="AGI16" i="46"/>
  <c r="YP13" i="46"/>
  <c r="NY13" i="46"/>
  <c r="ZI4" i="46"/>
  <c r="ZI10" i="46"/>
  <c r="TW4" i="46"/>
  <c r="TW11" i="46"/>
  <c r="YP7" i="46"/>
  <c r="KG13" i="46"/>
  <c r="ADQ13" i="46"/>
  <c r="GY11" i="46"/>
  <c r="XH10" i="46"/>
  <c r="ADQ8" i="46"/>
  <c r="XH7" i="46"/>
  <c r="ADQ10" i="46"/>
  <c r="NZ7" i="46"/>
  <c r="NZ11" i="46"/>
  <c r="NZ13" i="46"/>
  <c r="GE13" i="46"/>
  <c r="OC7" i="46"/>
  <c r="OC18" i="46"/>
  <c r="AAK11" i="46"/>
  <c r="AAK18" i="46"/>
  <c r="GX8" i="46"/>
  <c r="AKO9" i="46"/>
  <c r="AKO13" i="46"/>
  <c r="TA13" i="46"/>
  <c r="VO11" i="46"/>
  <c r="VO18" i="46"/>
  <c r="TA16" i="46"/>
  <c r="AHG17" i="46"/>
  <c r="UY14" i="46"/>
  <c r="VO7" i="46"/>
  <c r="RO13" i="46"/>
  <c r="KG17" i="46"/>
  <c r="CK17" i="46"/>
  <c r="AGQ4" i="46"/>
  <c r="AGQ11" i="46"/>
  <c r="AGQ16" i="46"/>
  <c r="AGQ8" i="46"/>
  <c r="AGQ9" i="46"/>
  <c r="ADO12" i="46"/>
  <c r="AGQ15" i="46"/>
  <c r="NY18" i="46"/>
  <c r="GE14" i="46"/>
  <c r="GY14" i="46"/>
  <c r="GE7" i="46"/>
  <c r="IO7" i="46"/>
  <c r="GY10" i="46"/>
  <c r="GX10" i="46"/>
  <c r="FC8" i="46"/>
  <c r="AGQ14" i="46"/>
  <c r="BE4" i="46"/>
  <c r="ADO13" i="46"/>
  <c r="ADO8" i="46"/>
  <c r="AGI13" i="46"/>
  <c r="AGI9" i="46"/>
  <c r="YP8" i="46"/>
  <c r="TW13" i="46"/>
  <c r="KG4" i="46"/>
  <c r="NY4" i="46"/>
  <c r="NY12" i="46"/>
  <c r="ZI15" i="46"/>
  <c r="ZI18" i="46"/>
  <c r="TW14" i="46"/>
  <c r="TW18" i="46"/>
  <c r="CK4" i="46"/>
  <c r="YP17" i="46"/>
  <c r="KG15" i="46"/>
  <c r="GY13" i="46"/>
  <c r="XH12" i="46"/>
  <c r="ADQ12" i="46"/>
  <c r="ADQ16" i="46"/>
  <c r="XH9" i="46"/>
  <c r="ADQ18" i="46"/>
  <c r="QL8" i="46"/>
  <c r="NZ18" i="46"/>
  <c r="QL16" i="46"/>
  <c r="GE15" i="46"/>
  <c r="OC4" i="46"/>
  <c r="OC12" i="46"/>
  <c r="AAK15" i="46"/>
  <c r="AAK9" i="46"/>
  <c r="GX15" i="46"/>
  <c r="GX4" i="46"/>
  <c r="AIU11" i="46"/>
  <c r="AKO18" i="46"/>
  <c r="AKO7" i="46"/>
  <c r="RO7" i="46"/>
  <c r="VO9" i="46"/>
  <c r="VO12" i="46"/>
  <c r="TA10" i="46"/>
  <c r="RO10" i="46"/>
  <c r="AHG14" i="46"/>
  <c r="RO14" i="46"/>
  <c r="VO10" i="46"/>
  <c r="BE16" i="46"/>
  <c r="GE18" i="46"/>
  <c r="BE7" i="46"/>
  <c r="BE18" i="46"/>
  <c r="HW9" i="46"/>
  <c r="GY9" i="46"/>
  <c r="FC13" i="46"/>
  <c r="AGQ10" i="46"/>
  <c r="BE8" i="46"/>
  <c r="ACR4" i="46"/>
  <c r="AGI11" i="46"/>
  <c r="NY14" i="46"/>
  <c r="NY7" i="46"/>
  <c r="ZI11" i="46"/>
  <c r="TW7" i="46"/>
  <c r="YP10" i="46"/>
  <c r="YP9" i="46"/>
  <c r="XH13" i="46"/>
  <c r="ADQ7" i="46"/>
  <c r="XH8" i="46"/>
  <c r="NZ10" i="46"/>
  <c r="OC13" i="46"/>
  <c r="VO13" i="46"/>
  <c r="RO16" i="46"/>
  <c r="RO17" i="46"/>
  <c r="UY12" i="46"/>
  <c r="VO15" i="46"/>
  <c r="AAG18" i="46"/>
  <c r="IP13" i="46"/>
  <c r="WP15" i="46"/>
  <c r="CF13" i="46"/>
  <c r="XC17" i="46"/>
  <c r="SA9" i="46"/>
  <c r="OQ11" i="46"/>
  <c r="LI9" i="46"/>
  <c r="RD4" i="46"/>
  <c r="AIX8" i="46"/>
  <c r="KE18" i="46"/>
  <c r="GW7" i="46"/>
  <c r="AQ9" i="46"/>
  <c r="ACR17" i="46"/>
  <c r="ZH17" i="46"/>
  <c r="XR7" i="46"/>
  <c r="VW4" i="46"/>
  <c r="DI18" i="46"/>
  <c r="GW14" i="46"/>
  <c r="DH9" i="46"/>
  <c r="IO9" i="46"/>
  <c r="AT11" i="46"/>
  <c r="FS16" i="46"/>
  <c r="AJS15" i="46"/>
  <c r="ABB4" i="46"/>
  <c r="ABB10" i="46"/>
  <c r="XR8" i="46"/>
  <c r="FF13" i="46"/>
  <c r="UY16" i="46"/>
  <c r="FS14" i="46"/>
  <c r="LO9" i="46"/>
  <c r="AJS12" i="46"/>
  <c r="ABB14" i="46"/>
  <c r="KE15" i="46"/>
  <c r="ABB11" i="46"/>
  <c r="XR12" i="46"/>
  <c r="ABB17" i="46"/>
  <c r="ZD4" i="46"/>
  <c r="DI9" i="46"/>
  <c r="AIU15" i="46"/>
  <c r="ME15" i="46"/>
  <c r="KE7" i="46"/>
  <c r="KJ18" i="46"/>
  <c r="AQ16" i="46"/>
  <c r="BF9" i="46"/>
  <c r="LI18" i="46"/>
  <c r="AQ17" i="46"/>
  <c r="ME10" i="46"/>
  <c r="KE17" i="46"/>
  <c r="RD16" i="46"/>
  <c r="PF4" i="46"/>
  <c r="ACR13" i="46"/>
  <c r="ACR9" i="46"/>
  <c r="XR15" i="46"/>
  <c r="ZD7" i="46"/>
  <c r="OY16" i="46"/>
  <c r="AGL11" i="46"/>
  <c r="ACT14" i="46"/>
  <c r="AAC4" i="46"/>
  <c r="NG13" i="46"/>
  <c r="GS14" i="46"/>
  <c r="FS18" i="46"/>
  <c r="BF7" i="46"/>
  <c r="AT9" i="46"/>
  <c r="GW18" i="46"/>
  <c r="CI18" i="46"/>
  <c r="CI9" i="46"/>
  <c r="CI10" i="46"/>
  <c r="DG11" i="46"/>
  <c r="OY9" i="46"/>
  <c r="AJS18" i="46"/>
  <c r="KE16" i="46"/>
  <c r="ABB15" i="46"/>
  <c r="GW15" i="46"/>
  <c r="RD11" i="46"/>
  <c r="ZH16" i="46"/>
  <c r="ACR12" i="46"/>
  <c r="ACR18" i="46"/>
  <c r="ZH4" i="46"/>
  <c r="XR4" i="46"/>
  <c r="XR18" i="46"/>
  <c r="ZD11" i="46"/>
  <c r="QM17" i="46"/>
  <c r="AGF14" i="46"/>
  <c r="AGF13" i="46"/>
  <c r="ABV17" i="46"/>
  <c r="OY17" i="46"/>
  <c r="ABV15" i="46"/>
  <c r="AGL10" i="46"/>
  <c r="OM4" i="46"/>
  <c r="VD12" i="46"/>
  <c r="HA4" i="46"/>
  <c r="ACT12" i="46"/>
  <c r="NG17" i="46"/>
  <c r="KU14" i="46"/>
  <c r="FS10" i="46"/>
  <c r="TV11" i="46"/>
  <c r="IO8" i="46"/>
  <c r="AQ18" i="46"/>
  <c r="KJ14" i="46"/>
  <c r="KJ7" i="46"/>
  <c r="RD7" i="46"/>
  <c r="ME14" i="46"/>
  <c r="LO7" i="46"/>
  <c r="KE9" i="46"/>
  <c r="KE10" i="46"/>
  <c r="FS17" i="46"/>
  <c r="KE12" i="46"/>
  <c r="LI11" i="46"/>
  <c r="KJ10" i="46"/>
  <c r="AQ10" i="46"/>
  <c r="AJS9" i="46"/>
  <c r="KE4" i="46"/>
  <c r="ABB9" i="46"/>
  <c r="GS8" i="46"/>
  <c r="RD9" i="46"/>
  <c r="ACR7" i="46"/>
  <c r="ACR10" i="46"/>
  <c r="ZH8" i="46"/>
  <c r="XR16" i="46"/>
  <c r="ZD10" i="46"/>
  <c r="QM15" i="46"/>
  <c r="AGF10" i="46"/>
  <c r="ABV18" i="46"/>
  <c r="RI4" i="46"/>
  <c r="CI13" i="46"/>
  <c r="RI12" i="46"/>
  <c r="ZM15" i="46"/>
  <c r="XU13" i="46"/>
  <c r="ACT16" i="46"/>
  <c r="TV17" i="46"/>
  <c r="QW7" i="46"/>
  <c r="KE14" i="46"/>
  <c r="GS10" i="46"/>
  <c r="CI12" i="46"/>
  <c r="OM9" i="46"/>
  <c r="CI7" i="46"/>
  <c r="GS18" i="46"/>
  <c r="LM7" i="46"/>
  <c r="ME7" i="46"/>
  <c r="HA14" i="46"/>
  <c r="FS7" i="46"/>
  <c r="FF7" i="46"/>
  <c r="FF18" i="46"/>
  <c r="OM7" i="46"/>
  <c r="DI12" i="46"/>
  <c r="KJ12" i="46"/>
  <c r="KU18" i="46"/>
  <c r="LO10" i="46"/>
  <c r="IO10" i="46"/>
  <c r="LI12" i="46"/>
  <c r="LM9" i="46"/>
  <c r="KJ11" i="46"/>
  <c r="AJS17" i="46"/>
  <c r="KE8" i="46"/>
  <c r="GS11" i="46"/>
  <c r="ABB16" i="46"/>
  <c r="LM8" i="46"/>
  <c r="XR14" i="46"/>
  <c r="RD12" i="46"/>
  <c r="FF10" i="46"/>
  <c r="ACR15" i="46"/>
  <c r="ZH10" i="46"/>
  <c r="KJ16" i="46"/>
  <c r="QM14" i="46"/>
  <c r="AGF8" i="46"/>
  <c r="VD18" i="46"/>
  <c r="RI8" i="46"/>
  <c r="ZM16" i="46"/>
  <c r="ZM18" i="46"/>
  <c r="XU16" i="46"/>
  <c r="AAC17" i="46"/>
  <c r="AEW15" i="46"/>
  <c r="UY11" i="46"/>
  <c r="LO12" i="46"/>
  <c r="NS8" i="46"/>
  <c r="BH4" i="46"/>
  <c r="FM18" i="46"/>
  <c r="IP18" i="46"/>
  <c r="BH18" i="46"/>
  <c r="QX7" i="46"/>
  <c r="FL16" i="46"/>
  <c r="HU17" i="46"/>
  <c r="PL9" i="46"/>
  <c r="BD10" i="46"/>
  <c r="ACA11" i="46"/>
  <c r="ACA14" i="46"/>
  <c r="ZR8" i="46"/>
  <c r="ZR14" i="46"/>
  <c r="ABX15" i="46"/>
  <c r="YO18" i="46"/>
  <c r="ABX18" i="46"/>
  <c r="AJR10" i="46"/>
  <c r="TP13" i="46"/>
  <c r="TP18" i="46"/>
  <c r="ABS17" i="46"/>
  <c r="QX8" i="46"/>
  <c r="AJR18" i="46"/>
  <c r="AJR9" i="46"/>
  <c r="QQ12" i="46"/>
  <c r="FB11" i="46"/>
  <c r="ST11" i="46"/>
  <c r="WP14" i="46"/>
  <c r="AGW9" i="46"/>
  <c r="TD9" i="46"/>
  <c r="CC13" i="46"/>
  <c r="ABL12" i="46"/>
  <c r="ZB7" i="46"/>
  <c r="ABL11" i="46"/>
  <c r="YE4" i="46"/>
  <c r="CF15" i="46"/>
  <c r="ACV11" i="46"/>
  <c r="VP10" i="46"/>
  <c r="NO8" i="46"/>
  <c r="AII13" i="46"/>
  <c r="SA15" i="46"/>
  <c r="PL14" i="46"/>
  <c r="OQ18" i="46"/>
  <c r="DR18" i="46"/>
  <c r="HY18" i="46"/>
  <c r="FL7" i="46"/>
  <c r="EH7" i="46"/>
  <c r="OQ7" i="46"/>
  <c r="EH16" i="46"/>
  <c r="IP12" i="46"/>
  <c r="ACA13" i="46"/>
  <c r="NO9" i="46"/>
  <c r="RM15" i="46"/>
  <c r="GC9" i="46"/>
  <c r="ABX17" i="46"/>
  <c r="TP11" i="46"/>
  <c r="TP17" i="46"/>
  <c r="TP12" i="46"/>
  <c r="ABS18" i="46"/>
  <c r="AJR7" i="46"/>
  <c r="ST16" i="46"/>
  <c r="WP12" i="46"/>
  <c r="AAQ13" i="46"/>
  <c r="TD10" i="46"/>
  <c r="NB15" i="46"/>
  <c r="VU10" i="46"/>
  <c r="ABL17" i="46"/>
  <c r="GF16" i="46"/>
  <c r="ABL9" i="46"/>
  <c r="YE17" i="46"/>
  <c r="ACV17" i="46"/>
  <c r="XC10" i="46"/>
  <c r="NO15" i="46"/>
  <c r="IP8" i="46"/>
  <c r="AII14" i="46"/>
  <c r="AII8" i="46"/>
  <c r="PL13" i="46"/>
  <c r="HY15" i="46"/>
  <c r="HY9" i="46"/>
  <c r="ZR11" i="46"/>
  <c r="GC14" i="46"/>
  <c r="EH18" i="46"/>
  <c r="GF14" i="46"/>
  <c r="IP14" i="46"/>
  <c r="CC18" i="46"/>
  <c r="GF18" i="46"/>
  <c r="BD18" i="46"/>
  <c r="FB12" i="46"/>
  <c r="CC11" i="46"/>
  <c r="HY11" i="46"/>
  <c r="LU9" i="46"/>
  <c r="CC10" i="46"/>
  <c r="CC12" i="46"/>
  <c r="EH17" i="46"/>
  <c r="GC15" i="46"/>
  <c r="ACA7" i="46"/>
  <c r="ZR15" i="46"/>
  <c r="ACA16" i="46"/>
  <c r="ABX7" i="46"/>
  <c r="EH10" i="46"/>
  <c r="YO15" i="46"/>
  <c r="TP8" i="46"/>
  <c r="ABS12" i="46"/>
  <c r="AJR8" i="46"/>
  <c r="ST13" i="46"/>
  <c r="WP8" i="46"/>
  <c r="AAQ10" i="46"/>
  <c r="TD14" i="46"/>
  <c r="TD13" i="46"/>
  <c r="FM17" i="46"/>
  <c r="YE9" i="46"/>
  <c r="BD16" i="46"/>
  <c r="EH8" i="46"/>
  <c r="EH12" i="46"/>
  <c r="AGA10" i="46"/>
  <c r="AII7" i="46"/>
  <c r="ACV18" i="46"/>
  <c r="JG4" i="46"/>
  <c r="NO16" i="46"/>
  <c r="AFX14" i="46"/>
  <c r="IP9" i="46"/>
  <c r="SA4" i="46"/>
  <c r="AII10" i="46"/>
  <c r="EH15" i="46"/>
  <c r="US8" i="46"/>
  <c r="PL16" i="46"/>
  <c r="PL18" i="46"/>
  <c r="PL17" i="46"/>
  <c r="FL18" i="46"/>
  <c r="HY14" i="46"/>
  <c r="GC18" i="46"/>
  <c r="FM14" i="46"/>
  <c r="FM7" i="46"/>
  <c r="IP7" i="46"/>
  <c r="GF12" i="46"/>
  <c r="CC9" i="46"/>
  <c r="GF10" i="46"/>
  <c r="DR10" i="46"/>
  <c r="GF9" i="46"/>
  <c r="HY17" i="46"/>
  <c r="ACA15" i="46"/>
  <c r="ZR9" i="46"/>
  <c r="ZR17" i="46"/>
  <c r="YO16" i="46"/>
  <c r="ABX14" i="46"/>
  <c r="YO14" i="46"/>
  <c r="ABS10" i="46"/>
  <c r="FB13" i="46"/>
  <c r="WP11" i="46"/>
  <c r="YO9" i="46"/>
  <c r="CC4" i="46"/>
  <c r="EH11" i="46"/>
  <c r="FB15" i="46"/>
  <c r="BH15" i="46"/>
  <c r="AII15" i="46"/>
  <c r="IP4" i="46"/>
  <c r="US12" i="46"/>
  <c r="AII11" i="46"/>
  <c r="TR10" i="46"/>
  <c r="TR12" i="46"/>
  <c r="SZ16" i="46"/>
  <c r="SZ10" i="46"/>
  <c r="JI11" i="46"/>
  <c r="JI12" i="46"/>
  <c r="ID13" i="46"/>
  <c r="ID16" i="46"/>
  <c r="FL11" i="46"/>
  <c r="FL15" i="46"/>
  <c r="FM13" i="46"/>
  <c r="FM4" i="46"/>
  <c r="IP11" i="46"/>
  <c r="IP17" i="46"/>
  <c r="PL4" i="46"/>
  <c r="PL12" i="46"/>
  <c r="YE7" i="46"/>
  <c r="YE14" i="46"/>
  <c r="YE12" i="46"/>
  <c r="ACV14" i="46"/>
  <c r="ACV10" i="46"/>
  <c r="NO12" i="46"/>
  <c r="NO14" i="46"/>
  <c r="WP9" i="46"/>
  <c r="WP13" i="46"/>
  <c r="ABL15" i="46"/>
  <c r="ABL8" i="46"/>
  <c r="GF13" i="46"/>
  <c r="GF15" i="46"/>
  <c r="TD7" i="46"/>
  <c r="TD12" i="46"/>
  <c r="TD4" i="46"/>
  <c r="SA14" i="46"/>
  <c r="SA11" i="46"/>
  <c r="SA13" i="46"/>
  <c r="CF4" i="46"/>
  <c r="CF8" i="46"/>
  <c r="CF11" i="46"/>
  <c r="OQ16" i="46"/>
  <c r="OQ8" i="46"/>
  <c r="OQ9" i="46"/>
  <c r="ML16" i="46"/>
  <c r="ML8" i="46"/>
  <c r="ZT7" i="46"/>
  <c r="ZT14" i="46"/>
  <c r="ACW4" i="46"/>
  <c r="ACW9" i="46"/>
  <c r="QE15" i="46"/>
  <c r="QE18" i="46"/>
  <c r="RA12" i="46"/>
  <c r="RA17" i="46"/>
  <c r="ZL16" i="46"/>
  <c r="ZL10" i="46"/>
  <c r="AKD18" i="46"/>
  <c r="AKD10" i="46"/>
  <c r="AKD12" i="46"/>
  <c r="SG15" i="46"/>
  <c r="SG17" i="46"/>
  <c r="ADK15" i="46"/>
  <c r="ADK17" i="46"/>
  <c r="WA15" i="46"/>
  <c r="WA16" i="46"/>
  <c r="AAB12" i="46"/>
  <c r="AAB9" i="46"/>
  <c r="QS18" i="46"/>
  <c r="QS11" i="46"/>
  <c r="AHV9" i="46"/>
  <c r="AHV10" i="46"/>
  <c r="RF13" i="46"/>
  <c r="RF15" i="46"/>
  <c r="RF16" i="46"/>
  <c r="ABT10" i="46"/>
  <c r="ABT11" i="46"/>
  <c r="ABT18" i="46"/>
  <c r="AHA16" i="46"/>
  <c r="AHA4" i="46"/>
  <c r="AHA14" i="46"/>
  <c r="AHA15" i="46"/>
  <c r="AIS11" i="46"/>
  <c r="AIS16" i="46"/>
  <c r="AIS9" i="46"/>
  <c r="AIS17" i="46"/>
  <c r="WV14" i="46"/>
  <c r="WV13" i="46"/>
  <c r="WV15" i="46"/>
  <c r="WV16" i="46"/>
  <c r="AHS17" i="46"/>
  <c r="AHS9" i="46"/>
  <c r="XX14" i="46"/>
  <c r="XX17" i="46"/>
  <c r="XX13" i="46"/>
  <c r="AHX10" i="46"/>
  <c r="AHX9" i="46"/>
  <c r="AHX17" i="46"/>
  <c r="YL12" i="46"/>
  <c r="YL11" i="46"/>
  <c r="YL14" i="46"/>
  <c r="WT16" i="46"/>
  <c r="WT13" i="46"/>
  <c r="AFJ4" i="46"/>
  <c r="AFJ9" i="46"/>
  <c r="QO17" i="46"/>
  <c r="QO8" i="46"/>
  <c r="QO16" i="46"/>
  <c r="AJE13" i="46"/>
  <c r="AJE16" i="46"/>
  <c r="AGT13" i="46"/>
  <c r="AGT16" i="46"/>
  <c r="AAB16" i="46"/>
  <c r="AAB15" i="46"/>
  <c r="VC16" i="46"/>
  <c r="VC9" i="46"/>
  <c r="ACV4" i="46"/>
  <c r="AGJ18" i="46"/>
  <c r="AGJ10" i="46"/>
  <c r="NO11" i="46"/>
  <c r="ZT13" i="46"/>
  <c r="ZT15" i="46"/>
  <c r="AII16" i="46"/>
  <c r="SA17" i="46"/>
  <c r="SA12" i="46"/>
  <c r="EH13" i="46"/>
  <c r="OQ10" i="46"/>
  <c r="OT14" i="46"/>
  <c r="AFJ16" i="46"/>
  <c r="SG13" i="46"/>
  <c r="OW4" i="46"/>
  <c r="QE10" i="46"/>
  <c r="OQ13" i="46"/>
  <c r="AKH10" i="46"/>
  <c r="AHA8" i="46"/>
  <c r="WT8" i="46"/>
  <c r="AHX15" i="46"/>
  <c r="WT18" i="46"/>
  <c r="HA11" i="46"/>
  <c r="QW13" i="46"/>
  <c r="TV10" i="46"/>
  <c r="AAC7" i="46"/>
  <c r="VW11" i="46"/>
  <c r="ABV8" i="46"/>
  <c r="EL12" i="46"/>
  <c r="LM10" i="46"/>
  <c r="AJS8" i="46"/>
  <c r="AJS10" i="46"/>
  <c r="LM13" i="46"/>
  <c r="GS12" i="46"/>
  <c r="GW8" i="46"/>
  <c r="PF8" i="46"/>
  <c r="AIX11" i="46"/>
  <c r="ZH14" i="46"/>
  <c r="ZH7" i="46"/>
  <c r="QM8" i="46"/>
  <c r="KJ13" i="46"/>
  <c r="KJ4" i="46"/>
  <c r="ZD14" i="46"/>
  <c r="ZD18" i="46"/>
  <c r="KJ17" i="46"/>
  <c r="QM9" i="46"/>
  <c r="AGF15" i="46"/>
  <c r="ABV11" i="46"/>
  <c r="VD9" i="46"/>
  <c r="OY8" i="46"/>
  <c r="RI16" i="46"/>
  <c r="CI17" i="46"/>
  <c r="LI8" i="46"/>
  <c r="AT17" i="46"/>
  <c r="AGL8" i="46"/>
  <c r="OM11" i="46"/>
  <c r="OM16" i="46"/>
  <c r="ZM7" i="46"/>
  <c r="AGL7" i="46"/>
  <c r="AGL12" i="46"/>
  <c r="XU12" i="46"/>
  <c r="HA17" i="46"/>
  <c r="ACT10" i="46"/>
  <c r="ACT4" i="46"/>
  <c r="TV12" i="46"/>
  <c r="QW10" i="46"/>
  <c r="QW11" i="46"/>
  <c r="TV15" i="46"/>
  <c r="TV4" i="46"/>
  <c r="AIU17" i="46"/>
  <c r="NG11" i="46"/>
  <c r="QW8" i="46"/>
  <c r="AAC13" i="46"/>
  <c r="AGL16" i="46"/>
  <c r="AEW18" i="46"/>
  <c r="AIU8" i="46"/>
  <c r="NG10" i="46"/>
  <c r="AEW10" i="46"/>
  <c r="AEW4" i="46"/>
  <c r="AAE10" i="46"/>
  <c r="AAE8" i="46"/>
  <c r="AAE17" i="46"/>
  <c r="VW17" i="46"/>
  <c r="UY18" i="46"/>
  <c r="FF17" i="46"/>
  <c r="UY13" i="46"/>
  <c r="BF16" i="46"/>
  <c r="IO17" i="46"/>
  <c r="KU9" i="46"/>
  <c r="LM18" i="46"/>
  <c r="ZD15" i="46"/>
  <c r="AGF17" i="46"/>
  <c r="ABV13" i="46"/>
  <c r="ABV10" i="46"/>
  <c r="VD14" i="46"/>
  <c r="OY10" i="46"/>
  <c r="RI17" i="46"/>
  <c r="AQ13" i="46"/>
  <c r="RI15" i="46"/>
  <c r="AGL14" i="46"/>
  <c r="AGL13" i="46"/>
  <c r="OM17" i="46"/>
  <c r="ZM9" i="46"/>
  <c r="ZM4" i="46"/>
  <c r="OM12" i="46"/>
  <c r="XU18" i="46"/>
  <c r="HA13" i="46"/>
  <c r="ACT13" i="46"/>
  <c r="ACT8" i="46"/>
  <c r="QW16" i="46"/>
  <c r="TV18" i="46"/>
  <c r="NG18" i="46"/>
  <c r="AEW14" i="46"/>
  <c r="ME4" i="46"/>
  <c r="VW7" i="46"/>
  <c r="AAE18" i="46"/>
  <c r="AAE15" i="46"/>
  <c r="VW16" i="46"/>
  <c r="FF16" i="46"/>
  <c r="IO12" i="46"/>
  <c r="IO11" i="46"/>
  <c r="UY8" i="46"/>
  <c r="LO18" i="46"/>
  <c r="CI8" i="46"/>
  <c r="AIX7" i="46"/>
  <c r="AIX15" i="46"/>
  <c r="ZD13" i="46"/>
  <c r="ZD9" i="46"/>
  <c r="QM16" i="46"/>
  <c r="QM4" i="46"/>
  <c r="AGF9" i="46"/>
  <c r="ABV14" i="46"/>
  <c r="VD8" i="46"/>
  <c r="OY11" i="46"/>
  <c r="OY15" i="46"/>
  <c r="RI10" i="46"/>
  <c r="AT4" i="46"/>
  <c r="AQ15" i="46"/>
  <c r="FS8" i="46"/>
  <c r="CI11" i="46"/>
  <c r="LI17" i="46"/>
  <c r="OM8" i="46"/>
  <c r="OM15" i="46"/>
  <c r="ZM14" i="46"/>
  <c r="OY14" i="46"/>
  <c r="XU7" i="46"/>
  <c r="HA15" i="46"/>
  <c r="XU4" i="46"/>
  <c r="ACT15" i="46"/>
  <c r="ACT17" i="46"/>
  <c r="QW4" i="46"/>
  <c r="TV7" i="46"/>
  <c r="NG12" i="46"/>
  <c r="AIU10" i="46"/>
  <c r="AAC12" i="46"/>
  <c r="AEW9" i="46"/>
  <c r="AEW8" i="46"/>
  <c r="ME13" i="46"/>
  <c r="VW12" i="46"/>
  <c r="AAE9" i="46"/>
  <c r="AAE7" i="46"/>
  <c r="UY15" i="46"/>
  <c r="IO15" i="46"/>
  <c r="IO16" i="46"/>
  <c r="LO4" i="46"/>
  <c r="UY7" i="46"/>
  <c r="HA12" i="46"/>
  <c r="NG14" i="46"/>
  <c r="AJS11" i="46"/>
  <c r="GS16" i="46"/>
  <c r="GW13" i="46"/>
  <c r="KU15" i="46"/>
  <c r="AIX14" i="46"/>
  <c r="AIX9" i="46"/>
  <c r="ZH18" i="46"/>
  <c r="ZD16" i="46"/>
  <c r="QM11" i="46"/>
  <c r="QM12" i="46"/>
  <c r="AGF16" i="46"/>
  <c r="ABV7" i="46"/>
  <c r="VD7" i="46"/>
  <c r="VD13" i="46"/>
  <c r="OY13" i="46"/>
  <c r="RI11" i="46"/>
  <c r="RI18" i="46"/>
  <c r="AT10" i="46"/>
  <c r="AQ4" i="46"/>
  <c r="FS13" i="46"/>
  <c r="LI16" i="46"/>
  <c r="ZM17" i="46"/>
  <c r="OM18" i="46"/>
  <c r="ZM13" i="46"/>
  <c r="AGL18" i="46"/>
  <c r="XU8" i="46"/>
  <c r="XU14" i="46"/>
  <c r="HA10" i="46"/>
  <c r="ACT11" i="46"/>
  <c r="QW18" i="46"/>
  <c r="AAC11" i="46"/>
  <c r="TV8" i="46"/>
  <c r="AIU9" i="46"/>
  <c r="AIU13" i="46"/>
  <c r="AIU12" i="46"/>
  <c r="NG9" i="46"/>
  <c r="AIU7" i="46"/>
  <c r="NG4" i="46"/>
  <c r="AIU4" i="46"/>
  <c r="AAC9" i="46"/>
  <c r="AEW11" i="46"/>
  <c r="AEW16" i="46"/>
  <c r="ME16" i="46"/>
  <c r="AAE14" i="46"/>
  <c r="VW8" i="46"/>
  <c r="BF10" i="46"/>
  <c r="LO8" i="46"/>
  <c r="BF4" i="46"/>
  <c r="FF12" i="46"/>
  <c r="VW15" i="46"/>
  <c r="LO17" i="46"/>
  <c r="AJS13" i="46"/>
  <c r="GS4" i="46"/>
  <c r="AIX12" i="46"/>
  <c r="AIX18" i="46"/>
  <c r="ZH12" i="46"/>
  <c r="QM10" i="46"/>
  <c r="ZD8" i="46"/>
  <c r="KJ9" i="46"/>
  <c r="QM18" i="46"/>
  <c r="DI13" i="46"/>
  <c r="AGF7" i="46"/>
  <c r="AGF11" i="46"/>
  <c r="ABV12" i="46"/>
  <c r="VD16" i="46"/>
  <c r="VD4" i="46"/>
  <c r="OY12" i="46"/>
  <c r="RI13" i="46"/>
  <c r="AT13" i="46"/>
  <c r="FS15" i="46"/>
  <c r="ZM8" i="46"/>
  <c r="OM10" i="46"/>
  <c r="ZM11" i="46"/>
  <c r="AGL9" i="46"/>
  <c r="OM13" i="46"/>
  <c r="ACT7" i="46"/>
  <c r="XU9" i="46"/>
  <c r="XU10" i="46"/>
  <c r="ACT18" i="46"/>
  <c r="AAC10" i="46"/>
  <c r="TV9" i="46"/>
  <c r="QW14" i="46"/>
  <c r="TV13" i="46"/>
  <c r="AAC16" i="46"/>
  <c r="NG16" i="46"/>
  <c r="AIU18" i="46"/>
  <c r="AAC15" i="46"/>
  <c r="AAC18" i="46"/>
  <c r="AEW13" i="46"/>
  <c r="AEW12" i="46"/>
  <c r="ZM10" i="46"/>
  <c r="ME18" i="46"/>
  <c r="AAE11" i="46"/>
  <c r="IO4" i="46"/>
  <c r="VW18" i="46"/>
  <c r="UY4" i="46"/>
  <c r="LO13" i="46"/>
  <c r="LI10" i="46"/>
  <c r="DI10" i="46"/>
  <c r="KJ8" i="46"/>
  <c r="DG18" i="46"/>
  <c r="GS9" i="46"/>
  <c r="ME9" i="46"/>
  <c r="AJS7" i="46"/>
  <c r="AJS16" i="46"/>
  <c r="GW10" i="46"/>
  <c r="AIX13" i="46"/>
  <c r="AIX10" i="46"/>
  <c r="ZD12" i="46"/>
  <c r="AGF18" i="46"/>
  <c r="AGF12" i="46"/>
  <c r="ABV9" i="46"/>
  <c r="VD11" i="46"/>
  <c r="VD15" i="46"/>
  <c r="OY4" i="46"/>
  <c r="AT15" i="46"/>
  <c r="ABV4" i="46"/>
  <c r="XU11" i="46"/>
  <c r="XU15" i="46"/>
  <c r="QW9" i="46"/>
  <c r="AAC8" i="46"/>
  <c r="ME8" i="46"/>
  <c r="UY17" i="46"/>
  <c r="LO15" i="46"/>
  <c r="FF11" i="46"/>
  <c r="UY10" i="46"/>
  <c r="LO14" i="46"/>
  <c r="AAE12" i="46"/>
  <c r="DT13" i="46"/>
  <c r="DT17" i="46"/>
  <c r="WF13" i="46"/>
  <c r="WF15" i="46"/>
  <c r="YD16" i="46"/>
  <c r="YD14" i="46"/>
  <c r="YD15" i="46"/>
  <c r="YD9" i="46"/>
  <c r="YD8" i="46"/>
  <c r="YD10" i="46"/>
  <c r="YD18" i="46"/>
  <c r="YD11" i="46"/>
  <c r="RT10" i="46"/>
  <c r="RT17" i="46"/>
  <c r="RT13" i="46"/>
  <c r="RT12" i="46"/>
  <c r="RT7" i="46"/>
  <c r="RT9" i="46"/>
  <c r="MR8" i="46"/>
  <c r="MR4" i="46"/>
  <c r="MR11" i="46"/>
  <c r="MR15" i="46"/>
  <c r="ACO10" i="46"/>
  <c r="ACO7" i="46"/>
  <c r="ACO15" i="46"/>
  <c r="ACO13" i="46"/>
  <c r="LZ11" i="46"/>
  <c r="LZ9" i="46"/>
  <c r="LZ15" i="46"/>
  <c r="LZ17" i="46"/>
  <c r="WL14" i="46"/>
  <c r="WL12" i="46"/>
  <c r="WL4" i="46"/>
  <c r="WL18" i="46"/>
  <c r="WL7" i="46"/>
  <c r="WL8" i="46"/>
  <c r="WL10" i="46"/>
  <c r="WL15" i="46"/>
  <c r="WL13" i="46"/>
  <c r="WL16" i="46"/>
  <c r="ADZ7" i="46"/>
  <c r="ADZ9" i="46"/>
  <c r="ADZ4" i="46"/>
  <c r="ADZ17" i="46"/>
  <c r="ADZ13" i="46"/>
  <c r="ADZ12" i="46"/>
  <c r="ADZ8" i="46"/>
  <c r="ADM8" i="46"/>
  <c r="ADM18" i="46"/>
  <c r="ADM17" i="46"/>
  <c r="ADM9" i="46"/>
  <c r="ADM7" i="46"/>
  <c r="ADM10" i="46"/>
  <c r="ADM11" i="46"/>
  <c r="JC13" i="46"/>
  <c r="JC11" i="46"/>
  <c r="JC9" i="46"/>
  <c r="HH7" i="46"/>
  <c r="HH18" i="46"/>
  <c r="HH14" i="46"/>
  <c r="HH15" i="46"/>
  <c r="YS13" i="46"/>
  <c r="YS10" i="46"/>
  <c r="YS17" i="46"/>
  <c r="YS9" i="46"/>
  <c r="BA15" i="46"/>
  <c r="BA4" i="46"/>
  <c r="BA12" i="46"/>
  <c r="KC7" i="46"/>
  <c r="KC18" i="46"/>
  <c r="KC15" i="46"/>
  <c r="KC4" i="46"/>
  <c r="KC13" i="46"/>
  <c r="ABU4" i="46"/>
  <c r="ABU14" i="46"/>
  <c r="ABU13" i="46"/>
  <c r="ABU12" i="46"/>
  <c r="ABF12" i="46"/>
  <c r="ABF10" i="46"/>
  <c r="ABF17" i="46"/>
  <c r="ABF4" i="46"/>
  <c r="ABF11" i="46"/>
  <c r="ABF16" i="46"/>
  <c r="ABF18" i="46"/>
  <c r="ABF13" i="46"/>
  <c r="QJ18" i="46"/>
  <c r="QJ13" i="46"/>
  <c r="QJ10" i="46"/>
  <c r="QJ8" i="46"/>
  <c r="QJ7" i="46"/>
  <c r="QJ12" i="46"/>
  <c r="QJ11" i="46"/>
  <c r="QJ14" i="46"/>
  <c r="HV15" i="46"/>
  <c r="HV17" i="46"/>
  <c r="HV10" i="46"/>
  <c r="HV12" i="46"/>
  <c r="HV16" i="46"/>
  <c r="HV13" i="46"/>
  <c r="LC16" i="46"/>
  <c r="LC11" i="46"/>
  <c r="LC17" i="46"/>
  <c r="LC8" i="46"/>
  <c r="LC18" i="46"/>
  <c r="LC7" i="46"/>
  <c r="BC17" i="46"/>
  <c r="BC10" i="46"/>
  <c r="BC16" i="46"/>
  <c r="AFL17" i="46"/>
  <c r="AFL16" i="46"/>
  <c r="AFL4" i="46"/>
  <c r="AFL11" i="46"/>
  <c r="AFL18" i="46"/>
  <c r="ADG4" i="46"/>
  <c r="ADG11" i="46"/>
  <c r="ADG15" i="46"/>
  <c r="ADG13" i="46"/>
  <c r="ADG12" i="46"/>
  <c r="ADG9" i="46"/>
  <c r="YM16" i="46"/>
  <c r="YM17" i="46"/>
  <c r="YM10" i="46"/>
  <c r="YM9" i="46"/>
  <c r="YM11" i="46"/>
  <c r="YM4" i="46"/>
  <c r="RP15" i="46"/>
  <c r="RP9" i="46"/>
  <c r="RP14" i="46"/>
  <c r="RP16" i="46"/>
  <c r="RP17" i="46"/>
  <c r="YU18" i="46"/>
  <c r="YU14" i="46"/>
  <c r="YU17" i="46"/>
  <c r="YU9" i="46"/>
  <c r="YU8" i="46"/>
  <c r="YU11" i="46"/>
  <c r="YU12" i="46"/>
  <c r="DD12" i="46"/>
  <c r="DD15" i="46"/>
  <c r="DD16" i="46"/>
  <c r="DD11" i="46"/>
  <c r="LF15" i="46"/>
  <c r="LF8" i="46"/>
  <c r="LF11" i="46"/>
  <c r="LF12" i="46"/>
  <c r="LF10" i="46"/>
  <c r="LF18" i="46"/>
  <c r="LF4" i="46"/>
  <c r="VQ14" i="46"/>
  <c r="VQ12" i="46"/>
  <c r="VQ8" i="46"/>
  <c r="VQ10" i="46"/>
  <c r="VQ9" i="46"/>
  <c r="VQ18" i="46"/>
  <c r="VQ16" i="46"/>
  <c r="VQ15" i="46"/>
  <c r="VQ13" i="46"/>
  <c r="ABE11" i="46"/>
  <c r="ABE8" i="46"/>
  <c r="ABE16" i="46"/>
  <c r="ABE18" i="46"/>
  <c r="ABE10" i="46"/>
  <c r="ABE17" i="46"/>
  <c r="ZV4" i="46"/>
  <c r="ZV7" i="46"/>
  <c r="ZV17" i="46"/>
  <c r="ZV13" i="46"/>
  <c r="ZV9" i="46"/>
  <c r="ZV10" i="46"/>
  <c r="ZV16" i="46"/>
  <c r="PF10" i="46"/>
  <c r="SB18" i="46"/>
  <c r="VP7" i="46"/>
  <c r="AHG4" i="46"/>
  <c r="AHG8" i="46"/>
  <c r="DX18" i="46"/>
  <c r="EL16" i="46"/>
  <c r="NA11" i="46"/>
  <c r="CX18" i="46"/>
  <c r="RW4" i="46"/>
  <c r="RW15" i="46"/>
  <c r="ZC10" i="46"/>
  <c r="QL12" i="46"/>
  <c r="ZC16" i="46"/>
  <c r="QL13" i="46"/>
  <c r="CX8" i="46"/>
  <c r="ZC7" i="46"/>
  <c r="QL10" i="46"/>
  <c r="HW14" i="46"/>
  <c r="RW8" i="46"/>
  <c r="QL18" i="46"/>
  <c r="RW16" i="46"/>
  <c r="CX11" i="46"/>
  <c r="ZC18" i="46"/>
  <c r="QL11" i="46"/>
  <c r="HW4" i="46"/>
  <c r="RW10" i="46"/>
  <c r="CX10" i="46"/>
  <c r="ZC9" i="46"/>
  <c r="QL15" i="46"/>
  <c r="HW13" i="46"/>
  <c r="HW8" i="46"/>
  <c r="CX12" i="46"/>
  <c r="JB14" i="46"/>
  <c r="CX7" i="46"/>
  <c r="CX16" i="46"/>
  <c r="RW18" i="46"/>
  <c r="CX15" i="46"/>
  <c r="ZC12" i="46"/>
  <c r="QL14" i="46"/>
  <c r="HW16" i="46"/>
  <c r="HW11" i="46"/>
  <c r="QL4" i="46"/>
  <c r="HW17" i="46"/>
  <c r="HW10" i="46"/>
  <c r="ZC13" i="46"/>
  <c r="RW12" i="46"/>
  <c r="ADI13" i="46"/>
  <c r="ZC4" i="46"/>
  <c r="QL9" i="46"/>
  <c r="UD12" i="46"/>
  <c r="AEI8" i="46"/>
  <c r="FE10" i="46"/>
  <c r="PM10" i="46"/>
  <c r="AJW8" i="46"/>
  <c r="FE12" i="46"/>
  <c r="MA18" i="46"/>
  <c r="AGU16" i="46"/>
  <c r="VX16" i="46"/>
  <c r="DA10" i="46"/>
  <c r="AHU16" i="46"/>
  <c r="AER16" i="46"/>
  <c r="DS4" i="46"/>
  <c r="AEI12" i="46"/>
  <c r="VX8" i="46"/>
  <c r="UR13" i="46"/>
  <c r="KD8" i="46"/>
  <c r="AGC18" i="46"/>
  <c r="KD15" i="46"/>
  <c r="RB8" i="46"/>
  <c r="DS8" i="46"/>
  <c r="OA8" i="46"/>
  <c r="AFY13" i="46"/>
  <c r="UR11" i="46"/>
  <c r="FE11" i="46"/>
  <c r="AHU9" i="46"/>
  <c r="DS18" i="46"/>
  <c r="RB4" i="46"/>
  <c r="DZ17" i="46"/>
  <c r="UC15" i="46"/>
  <c r="OA17" i="46"/>
  <c r="AFY8" i="46"/>
  <c r="DS9" i="46"/>
  <c r="AEI9" i="46"/>
  <c r="AAF12" i="46"/>
  <c r="RB17" i="46"/>
  <c r="AFY18" i="46"/>
  <c r="KI10" i="46"/>
  <c r="MS13" i="46"/>
  <c r="AER7" i="46"/>
  <c r="AHU7" i="46"/>
  <c r="DA8" i="46"/>
  <c r="LD9" i="46"/>
  <c r="RB16" i="46"/>
  <c r="AP10" i="46"/>
  <c r="DZ4" i="46"/>
  <c r="UC8" i="46"/>
  <c r="FE4" i="46"/>
  <c r="AEL14" i="46"/>
  <c r="KI16" i="46"/>
  <c r="AS17" i="46"/>
  <c r="AER8" i="46"/>
  <c r="AHU10" i="46"/>
  <c r="ACZ16" i="46"/>
  <c r="AJP7" i="46"/>
  <c r="VE8" i="46"/>
  <c r="ADT13" i="46"/>
  <c r="LH12" i="46"/>
  <c r="AAG10" i="46"/>
  <c r="PH4" i="46"/>
  <c r="DR4" i="46"/>
  <c r="PH15" i="46"/>
  <c r="NS18" i="46"/>
  <c r="RL7" i="46"/>
  <c r="ABH10" i="46"/>
  <c r="LH4" i="46"/>
  <c r="ADT4" i="46"/>
  <c r="EI9" i="46"/>
  <c r="WR15" i="46"/>
  <c r="RG16" i="46"/>
  <c r="WR10" i="46"/>
  <c r="AGE16" i="46"/>
  <c r="AGR18" i="46"/>
  <c r="ACP10" i="46"/>
  <c r="AGD15" i="46"/>
  <c r="GR12" i="46"/>
  <c r="DT12" i="46"/>
  <c r="AAI13" i="46"/>
  <c r="ADV18" i="46"/>
  <c r="RG15" i="46"/>
  <c r="YK12" i="46"/>
  <c r="AAI17" i="46"/>
  <c r="ADV15" i="46"/>
  <c r="AKQ4" i="46"/>
  <c r="YW4" i="46"/>
  <c r="BY12" i="46"/>
  <c r="KF14" i="46"/>
  <c r="KF18" i="46"/>
  <c r="BL13" i="46"/>
  <c r="MN11" i="46"/>
  <c r="AGE12" i="46"/>
  <c r="AGR4" i="46"/>
  <c r="AKQ10" i="46"/>
  <c r="HR7" i="46"/>
  <c r="BL10" i="46"/>
  <c r="MH11" i="46"/>
  <c r="KS9" i="46"/>
  <c r="AID4" i="46"/>
  <c r="MN4" i="46"/>
  <c r="MN12" i="46"/>
  <c r="YK13" i="46"/>
  <c r="AGE4" i="46"/>
  <c r="AAT17" i="46"/>
  <c r="MH7" i="46"/>
  <c r="KS18" i="46"/>
  <c r="YW14" i="46"/>
  <c r="BL17" i="46"/>
  <c r="AKR9" i="46"/>
  <c r="HR8" i="46"/>
  <c r="VI14" i="46"/>
  <c r="GD13" i="46"/>
  <c r="GR9" i="46"/>
  <c r="SH14" i="46"/>
  <c r="AAT18" i="46"/>
  <c r="AID8" i="46"/>
  <c r="AGG18" i="46"/>
  <c r="YB7" i="46"/>
  <c r="DO15" i="46"/>
  <c r="QU9" i="46"/>
  <c r="BH7" i="46"/>
  <c r="JI18" i="46"/>
  <c r="DO11" i="46"/>
  <c r="GG10" i="46"/>
  <c r="CZ11" i="46"/>
  <c r="CV15" i="46"/>
  <c r="ABP4" i="46"/>
  <c r="WK11" i="46"/>
  <c r="QX12" i="46"/>
  <c r="QQ7" i="46"/>
  <c r="RL17" i="46"/>
  <c r="TR7" i="46"/>
  <c r="AAG14" i="46"/>
  <c r="WM14" i="46"/>
  <c r="NB17" i="46"/>
  <c r="AEU10" i="46"/>
  <c r="ADT15" i="46"/>
  <c r="TH8" i="46"/>
  <c r="AEU18" i="46"/>
  <c r="KR10" i="46"/>
  <c r="ADI15" i="46"/>
  <c r="ES18" i="46"/>
  <c r="LU10" i="46"/>
  <c r="ZJ14" i="46"/>
  <c r="AFQ15" i="46"/>
  <c r="NS9" i="46"/>
  <c r="LU12" i="46"/>
  <c r="SZ14" i="46"/>
  <c r="SZ4" i="46"/>
  <c r="AHH12" i="46"/>
  <c r="QQ4" i="46"/>
  <c r="ES15" i="46"/>
  <c r="AHO9" i="46"/>
  <c r="ZJ4" i="46"/>
  <c r="RM8" i="46"/>
  <c r="AHH7" i="46"/>
  <c r="WK18" i="46"/>
  <c r="JI4" i="46"/>
  <c r="WM13" i="46"/>
  <c r="AAG16" i="46"/>
  <c r="ID11" i="46"/>
  <c r="ADT16" i="46"/>
  <c r="TH11" i="46"/>
  <c r="HL16" i="46"/>
  <c r="KH14" i="46"/>
  <c r="QQ11" i="46"/>
  <c r="QU13" i="46"/>
  <c r="WK4" i="46"/>
  <c r="ADI18" i="46"/>
  <c r="KV7" i="46"/>
  <c r="MY9" i="46"/>
  <c r="FQ17" i="46"/>
  <c r="ZJ18" i="46"/>
  <c r="RM10" i="46"/>
  <c r="AHO16" i="46"/>
  <c r="ABP9" i="46"/>
  <c r="RL15" i="46"/>
  <c r="WM10" i="46"/>
  <c r="FQ9" i="46"/>
  <c r="CV17" i="46"/>
  <c r="AEU4" i="46"/>
  <c r="XC11" i="46"/>
  <c r="KZ14" i="46"/>
  <c r="LH14" i="46"/>
  <c r="RM17" i="46"/>
  <c r="KZ13" i="46"/>
  <c r="ABP17" i="46"/>
  <c r="NS4" i="46"/>
  <c r="ADY8" i="46"/>
  <c r="NQ15" i="46"/>
  <c r="RL10" i="46"/>
  <c r="WM12" i="46"/>
  <c r="ID4" i="46"/>
  <c r="AEU17" i="46"/>
  <c r="XC15" i="46"/>
  <c r="TH4" i="46"/>
  <c r="AEL7" i="46"/>
  <c r="AJW4" i="46"/>
  <c r="AJW9" i="46"/>
  <c r="FG10" i="46"/>
  <c r="VE10" i="46"/>
  <c r="KD18" i="46"/>
  <c r="IY18" i="46"/>
  <c r="KI14" i="46"/>
  <c r="IY9" i="46"/>
  <c r="MA9" i="46"/>
  <c r="MS9" i="46"/>
  <c r="FG17" i="46"/>
  <c r="FE15" i="46"/>
  <c r="DB15" i="46"/>
  <c r="MS15" i="46"/>
  <c r="DZ16" i="46"/>
  <c r="IV17" i="46"/>
  <c r="AER12" i="46"/>
  <c r="AHU15" i="46"/>
  <c r="AHU12" i="46"/>
  <c r="RB11" i="46"/>
  <c r="ACZ7" i="46"/>
  <c r="ACZ10" i="46"/>
  <c r="EN10" i="46"/>
  <c r="DS11" i="46"/>
  <c r="AP8" i="46"/>
  <c r="ON11" i="46"/>
  <c r="ON10" i="46"/>
  <c r="AGU8" i="46"/>
  <c r="VX18" i="46"/>
  <c r="VX14" i="46"/>
  <c r="AEI11" i="46"/>
  <c r="FE13" i="46"/>
  <c r="AAF11" i="46"/>
  <c r="UC16" i="46"/>
  <c r="UR4" i="46"/>
  <c r="UR7" i="46"/>
  <c r="AGC13" i="46"/>
  <c r="OA14" i="46"/>
  <c r="AJP15" i="46"/>
  <c r="AJP10" i="46"/>
  <c r="FG9" i="46"/>
  <c r="FG4" i="46"/>
  <c r="UD7" i="46"/>
  <c r="AJQ4" i="46"/>
  <c r="KD17" i="46"/>
  <c r="AFY12" i="46"/>
  <c r="VE16" i="46"/>
  <c r="AJW7" i="46"/>
  <c r="AFY4" i="46"/>
  <c r="VE15" i="46"/>
  <c r="AEL18" i="46"/>
  <c r="DM12" i="46"/>
  <c r="ON9" i="46"/>
  <c r="DB16" i="46"/>
  <c r="MS16" i="46"/>
  <c r="AER13" i="46"/>
  <c r="AHU13" i="46"/>
  <c r="AHK16" i="46"/>
  <c r="AER15" i="46"/>
  <c r="AHU4" i="46"/>
  <c r="AP16" i="46"/>
  <c r="GP10" i="46"/>
  <c r="LD17" i="46"/>
  <c r="ACZ4" i="46"/>
  <c r="ACZ14" i="46"/>
  <c r="LD16" i="46"/>
  <c r="DZ11" i="46"/>
  <c r="AER10" i="46"/>
  <c r="ON16" i="46"/>
  <c r="ON13" i="46"/>
  <c r="AGU15" i="46"/>
  <c r="VX13" i="46"/>
  <c r="AEI16" i="46"/>
  <c r="AAF7" i="46"/>
  <c r="UR18" i="46"/>
  <c r="UC11" i="46"/>
  <c r="UR16" i="46"/>
  <c r="UR15" i="46"/>
  <c r="AGC8" i="46"/>
  <c r="OA13" i="46"/>
  <c r="AJP9" i="46"/>
  <c r="ND16" i="46"/>
  <c r="ND10" i="46"/>
  <c r="AJP12" i="46"/>
  <c r="UC9" i="46"/>
  <c r="AJP11" i="46"/>
  <c r="FG13" i="46"/>
  <c r="UD17" i="46"/>
  <c r="AJQ9" i="46"/>
  <c r="VE7" i="46"/>
  <c r="AJW13" i="46"/>
  <c r="AEL15" i="46"/>
  <c r="AEL16" i="46"/>
  <c r="FG7" i="46"/>
  <c r="DB9" i="46"/>
  <c r="AP7" i="46"/>
  <c r="KI7" i="46"/>
  <c r="JZ18" i="46"/>
  <c r="MS7" i="46"/>
  <c r="PM7" i="46"/>
  <c r="DZ9" i="46"/>
  <c r="MS14" i="46"/>
  <c r="MS18" i="46"/>
  <c r="DM9" i="46"/>
  <c r="DB12" i="46"/>
  <c r="PM9" i="46"/>
  <c r="MA12" i="46"/>
  <c r="KD11" i="46"/>
  <c r="DZ15" i="46"/>
  <c r="MS17" i="46"/>
  <c r="AHU11" i="46"/>
  <c r="AHK15" i="46"/>
  <c r="AHK10" i="46"/>
  <c r="AER11" i="46"/>
  <c r="AP11" i="46"/>
  <c r="AP4" i="46"/>
  <c r="LD10" i="46"/>
  <c r="DS13" i="46"/>
  <c r="ACZ9" i="46"/>
  <c r="ACZ13" i="46"/>
  <c r="LD18" i="46"/>
  <c r="DZ12" i="46"/>
  <c r="ON4" i="46"/>
  <c r="AGU9" i="46"/>
  <c r="AGU10" i="46"/>
  <c r="VX12" i="46"/>
  <c r="AEI10" i="46"/>
  <c r="AAF9" i="46"/>
  <c r="AAF17" i="46"/>
  <c r="AGC7" i="46"/>
  <c r="UC14" i="46"/>
  <c r="UR8" i="46"/>
  <c r="AGC16" i="46"/>
  <c r="OA16" i="46"/>
  <c r="EV15" i="46"/>
  <c r="DB11" i="46"/>
  <c r="AJP13" i="46"/>
  <c r="ND13" i="46"/>
  <c r="UR12" i="46"/>
  <c r="DB4" i="46"/>
  <c r="LD11" i="46"/>
  <c r="ND17" i="46"/>
  <c r="UD10" i="46"/>
  <c r="AJQ12" i="46"/>
  <c r="VE13" i="46"/>
  <c r="MA16" i="46"/>
  <c r="KI18" i="46"/>
  <c r="ER9" i="46"/>
  <c r="ND12" i="46"/>
  <c r="DA7" i="46"/>
  <c r="DS7" i="46"/>
  <c r="ND14" i="46"/>
  <c r="MA10" i="46"/>
  <c r="MS10" i="46"/>
  <c r="IY17" i="46"/>
  <c r="ND9" i="46"/>
  <c r="MS12" i="46"/>
  <c r="MS11" i="46"/>
  <c r="KI9" i="46"/>
  <c r="OA9" i="46"/>
  <c r="CP15" i="46"/>
  <c r="MS4" i="46"/>
  <c r="DA4" i="46"/>
  <c r="AHK18" i="46"/>
  <c r="AER17" i="46"/>
  <c r="AHK8" i="46"/>
  <c r="DA12" i="46"/>
  <c r="AHK17" i="46"/>
  <c r="AER14" i="46"/>
  <c r="RB15" i="46"/>
  <c r="ACZ12" i="46"/>
  <c r="LD4" i="46"/>
  <c r="DZ8" i="46"/>
  <c r="RB12" i="46"/>
  <c r="AGU14" i="46"/>
  <c r="ON18" i="46"/>
  <c r="AGU13" i="46"/>
  <c r="AGU17" i="46"/>
  <c r="VX7" i="46"/>
  <c r="KI13" i="46"/>
  <c r="AEI17" i="46"/>
  <c r="AAF14" i="46"/>
  <c r="AAF4" i="46"/>
  <c r="UC7" i="46"/>
  <c r="UC12" i="46"/>
  <c r="UR17" i="46"/>
  <c r="AGC9" i="46"/>
  <c r="OA12" i="46"/>
  <c r="EV8" i="46"/>
  <c r="DB10" i="46"/>
  <c r="AJP4" i="46"/>
  <c r="AJP14" i="46"/>
  <c r="EV4" i="46"/>
  <c r="ND8" i="46"/>
  <c r="UD14" i="46"/>
  <c r="AJQ17" i="46"/>
  <c r="DM13" i="46"/>
  <c r="MA15" i="46"/>
  <c r="PM4" i="46"/>
  <c r="FE14" i="46"/>
  <c r="ND7" i="46"/>
  <c r="KD14" i="46"/>
  <c r="FE18" i="46"/>
  <c r="IY14" i="46"/>
  <c r="ON7" i="46"/>
  <c r="KD12" i="46"/>
  <c r="FG14" i="46"/>
  <c r="KN18" i="46"/>
  <c r="EU18" i="46"/>
  <c r="DB7" i="46"/>
  <c r="EN18" i="46"/>
  <c r="DA9" i="46"/>
  <c r="LD12" i="46"/>
  <c r="DS10" i="46"/>
  <c r="IY10" i="46"/>
  <c r="FE17" i="46"/>
  <c r="EV12" i="46"/>
  <c r="DA11" i="46"/>
  <c r="AHK7" i="46"/>
  <c r="AER4" i="46"/>
  <c r="AHK11" i="46"/>
  <c r="AHK12" i="46"/>
  <c r="RB9" i="46"/>
  <c r="LD14" i="46"/>
  <c r="ACZ11" i="46"/>
  <c r="AP13" i="46"/>
  <c r="DZ10" i="46"/>
  <c r="RB13" i="46"/>
  <c r="AHU14" i="46"/>
  <c r="VX9" i="46"/>
  <c r="AEI14" i="46"/>
  <c r="ON12" i="46"/>
  <c r="AGU4" i="46"/>
  <c r="AGU7" i="46"/>
  <c r="VX15" i="46"/>
  <c r="KI15" i="46"/>
  <c r="AEI15" i="46"/>
  <c r="AEI7" i="46"/>
  <c r="IY4" i="46"/>
  <c r="AHK14" i="46"/>
  <c r="AAF10" i="46"/>
  <c r="AAF15" i="46"/>
  <c r="UC13" i="46"/>
  <c r="UR10" i="46"/>
  <c r="AGC17" i="46"/>
  <c r="EV11" i="46"/>
  <c r="UC10" i="46"/>
  <c r="DB17" i="46"/>
  <c r="AGC15" i="46"/>
  <c r="AJP16" i="46"/>
  <c r="DB8" i="46"/>
  <c r="AJQ8" i="46"/>
  <c r="UD15" i="46"/>
  <c r="UD11" i="46"/>
  <c r="AJQ18" i="46"/>
  <c r="KD4" i="46"/>
  <c r="DM11" i="46"/>
  <c r="AJQ14" i="46"/>
  <c r="FG16" i="46"/>
  <c r="DM18" i="46"/>
  <c r="KD7" i="46"/>
  <c r="AP18" i="46"/>
  <c r="DZ14" i="46"/>
  <c r="EV7" i="46"/>
  <c r="MA7" i="46"/>
  <c r="DZ7" i="46"/>
  <c r="FG18" i="46"/>
  <c r="IY16" i="46"/>
  <c r="LN14" i="46"/>
  <c r="KI17" i="46"/>
  <c r="DS12" i="46"/>
  <c r="KD10" i="46"/>
  <c r="FE16" i="46"/>
  <c r="DA13" i="46"/>
  <c r="AHU18" i="46"/>
  <c r="AHK4" i="46"/>
  <c r="AHK13" i="46"/>
  <c r="AHU8" i="46"/>
  <c r="LD8" i="46"/>
  <c r="RB18" i="46"/>
  <c r="AP17" i="46"/>
  <c r="LD15" i="46"/>
  <c r="ACZ18" i="46"/>
  <c r="AP15" i="46"/>
  <c r="RB14" i="46"/>
  <c r="ON14" i="46"/>
  <c r="AGU12" i="46"/>
  <c r="VX10" i="46"/>
  <c r="AEI4" i="46"/>
  <c r="IY8" i="46"/>
  <c r="AAF18" i="46"/>
  <c r="UC4" i="46"/>
  <c r="UR14" i="46"/>
  <c r="AGC10" i="46"/>
  <c r="OA7" i="46"/>
  <c r="OA15" i="46"/>
  <c r="EV13" i="46"/>
  <c r="UC18" i="46"/>
  <c r="AGC14" i="46"/>
  <c r="AJP8" i="46"/>
  <c r="AJP17" i="46"/>
  <c r="ND18" i="46"/>
  <c r="ND11" i="46"/>
  <c r="EV9" i="46"/>
  <c r="AJQ13" i="46"/>
  <c r="UD4" i="46"/>
  <c r="UD18" i="46"/>
  <c r="AJQ7" i="46"/>
  <c r="KD13" i="46"/>
  <c r="PM15" i="46"/>
  <c r="AFY10" i="46"/>
  <c r="AJW12" i="46"/>
  <c r="TH12" i="46"/>
  <c r="ACE13" i="46"/>
  <c r="ACE11" i="46"/>
  <c r="HL13" i="46"/>
  <c r="OT13" i="46"/>
  <c r="FQ18" i="46"/>
  <c r="IB7" i="46"/>
  <c r="JJ7" i="46"/>
  <c r="CV9" i="46"/>
  <c r="NB7" i="46"/>
  <c r="LU14" i="46"/>
  <c r="KZ7" i="46"/>
  <c r="MY7" i="46"/>
  <c r="ID10" i="46"/>
  <c r="PR9" i="46"/>
  <c r="CZ10" i="46"/>
  <c r="RM9" i="46"/>
  <c r="LH11" i="46"/>
  <c r="AHO14" i="46"/>
  <c r="ZJ15" i="46"/>
  <c r="RM16" i="46"/>
  <c r="ZJ9" i="46"/>
  <c r="AHO17" i="46"/>
  <c r="ABP8" i="46"/>
  <c r="ABP15" i="46"/>
  <c r="NS15" i="46"/>
  <c r="AHH4" i="46"/>
  <c r="ADY11" i="46"/>
  <c r="QX15" i="46"/>
  <c r="AHH13" i="46"/>
  <c r="WK9" i="46"/>
  <c r="ADY9" i="46"/>
  <c r="QX18" i="46"/>
  <c r="WK8" i="46"/>
  <c r="RL4" i="46"/>
  <c r="TR17" i="46"/>
  <c r="WM17" i="46"/>
  <c r="AAG7" i="46"/>
  <c r="PR10" i="46"/>
  <c r="DR13" i="46"/>
  <c r="PH8" i="46"/>
  <c r="FQ4" i="46"/>
  <c r="PH12" i="46"/>
  <c r="SZ13" i="46"/>
  <c r="ABH12" i="46"/>
  <c r="BH13" i="46"/>
  <c r="PH17" i="46"/>
  <c r="ADT18" i="46"/>
  <c r="AEU16" i="46"/>
  <c r="ADT9" i="46"/>
  <c r="XC12" i="46"/>
  <c r="XC8" i="46"/>
  <c r="SZ15" i="46"/>
  <c r="SZ11" i="46"/>
  <c r="FQ13" i="46"/>
  <c r="CZ13" i="46"/>
  <c r="BH11" i="46"/>
  <c r="ACE16" i="46"/>
  <c r="TH13" i="46"/>
  <c r="HL15" i="46"/>
  <c r="LU15" i="46"/>
  <c r="TH14" i="46"/>
  <c r="HL4" i="46"/>
  <c r="HL9" i="46"/>
  <c r="IB14" i="46"/>
  <c r="FQ14" i="46"/>
  <c r="JI14" i="46"/>
  <c r="HL7" i="46"/>
  <c r="PH7" i="46"/>
  <c r="FQ11" i="46"/>
  <c r="KV18" i="46"/>
  <c r="LU7" i="46"/>
  <c r="MY10" i="46"/>
  <c r="FQ15" i="46"/>
  <c r="AHO12" i="46"/>
  <c r="LH8" i="46"/>
  <c r="ZJ13" i="46"/>
  <c r="ZJ11" i="46"/>
  <c r="RM11" i="46"/>
  <c r="AHO4" i="46"/>
  <c r="NS13" i="46"/>
  <c r="AHO8" i="46"/>
  <c r="ABP7" i="46"/>
  <c r="NS10" i="46"/>
  <c r="NS12" i="46"/>
  <c r="KZ10" i="46"/>
  <c r="WK13" i="46"/>
  <c r="AHH11" i="46"/>
  <c r="QQ18" i="46"/>
  <c r="ADY10" i="46"/>
  <c r="QX10" i="46"/>
  <c r="WK12" i="46"/>
  <c r="WK17" i="46"/>
  <c r="JI17" i="46"/>
  <c r="RL16" i="46"/>
  <c r="WM7" i="46"/>
  <c r="TR9" i="46"/>
  <c r="WM4" i="46"/>
  <c r="WM11" i="46"/>
  <c r="AAG12" i="46"/>
  <c r="PH11" i="46"/>
  <c r="PH16" i="46"/>
  <c r="ID8" i="46"/>
  <c r="SZ8" i="46"/>
  <c r="PH10" i="46"/>
  <c r="PR11" i="46"/>
  <c r="ID15" i="46"/>
  <c r="AEU8" i="46"/>
  <c r="AEU7" i="46"/>
  <c r="ADT8" i="46"/>
  <c r="ADT12" i="46"/>
  <c r="XC13" i="46"/>
  <c r="XC16" i="46"/>
  <c r="SZ18" i="46"/>
  <c r="FQ10" i="46"/>
  <c r="CZ15" i="46"/>
  <c r="TH16" i="46"/>
  <c r="ACE4" i="46"/>
  <c r="HL8" i="46"/>
  <c r="IB18" i="46"/>
  <c r="RM12" i="46"/>
  <c r="NS11" i="46"/>
  <c r="KZ17" i="46"/>
  <c r="ABP13" i="46"/>
  <c r="QX4" i="46"/>
  <c r="QQ17" i="46"/>
  <c r="AHH8" i="46"/>
  <c r="ADY7" i="46"/>
  <c r="QX14" i="46"/>
  <c r="IB10" i="46"/>
  <c r="IB17" i="46"/>
  <c r="IB11" i="46"/>
  <c r="JI9" i="46"/>
  <c r="RL18" i="46"/>
  <c r="TR13" i="46"/>
  <c r="TR11" i="46"/>
  <c r="WM8" i="46"/>
  <c r="DR9" i="46"/>
  <c r="PR15" i="46"/>
  <c r="PR12" i="46"/>
  <c r="PR18" i="46"/>
  <c r="MY4" i="46"/>
  <c r="LU13" i="46"/>
  <c r="CV8" i="46"/>
  <c r="CV4" i="46"/>
  <c r="QQ14" i="46"/>
  <c r="ABH14" i="46"/>
  <c r="ABH16" i="46"/>
  <c r="MY8" i="46"/>
  <c r="AEU15" i="46"/>
  <c r="AEU9" i="46"/>
  <c r="ADT14" i="46"/>
  <c r="XC18" i="46"/>
  <c r="TH17" i="46"/>
  <c r="ACE10" i="46"/>
  <c r="TH7" i="46"/>
  <c r="ACE8" i="46"/>
  <c r="CZ16" i="46"/>
  <c r="OT4" i="46"/>
  <c r="TH9" i="46"/>
  <c r="OT8" i="46"/>
  <c r="LH18" i="46"/>
  <c r="FQ16" i="46"/>
  <c r="CV16" i="46"/>
  <c r="KZ8" i="46"/>
  <c r="ABP11" i="46"/>
  <c r="ABP10" i="46"/>
  <c r="AHH15" i="46"/>
  <c r="ADY13" i="46"/>
  <c r="WK15" i="46"/>
  <c r="JI15" i="46"/>
  <c r="AAG15" i="46"/>
  <c r="WM18" i="46"/>
  <c r="AAG9" i="46"/>
  <c r="NB8" i="46"/>
  <c r="HL18" i="46"/>
  <c r="LH7" i="46"/>
  <c r="RM7" i="46"/>
  <c r="NB18" i="46"/>
  <c r="DR12" i="46"/>
  <c r="CV12" i="46"/>
  <c r="LH9" i="46"/>
  <c r="LH10" i="46"/>
  <c r="LH16" i="46"/>
  <c r="ZJ12" i="46"/>
  <c r="RM14" i="46"/>
  <c r="AHO18" i="46"/>
  <c r="KZ16" i="46"/>
  <c r="QQ9" i="46"/>
  <c r="AHH17" i="46"/>
  <c r="CV10" i="46"/>
  <c r="QQ16" i="46"/>
  <c r="ADY16" i="46"/>
  <c r="ADY12" i="46"/>
  <c r="QX17" i="46"/>
  <c r="QX13" i="46"/>
  <c r="WK7" i="46"/>
  <c r="AHH10" i="46"/>
  <c r="ABP12" i="46"/>
  <c r="JI10" i="46"/>
  <c r="RL11" i="46"/>
  <c r="TR18" i="46"/>
  <c r="WM15" i="46"/>
  <c r="TR4" i="46"/>
  <c r="NB4" i="46"/>
  <c r="DR17" i="46"/>
  <c r="PR13" i="46"/>
  <c r="PR8" i="46"/>
  <c r="MY18" i="46"/>
  <c r="LU16" i="46"/>
  <c r="CV13" i="46"/>
  <c r="ABH13" i="46"/>
  <c r="ABH11" i="46"/>
  <c r="PR16" i="46"/>
  <c r="LU17" i="46"/>
  <c r="SZ17" i="46"/>
  <c r="AEU14" i="46"/>
  <c r="ADT7" i="46"/>
  <c r="XC7" i="46"/>
  <c r="ACE17" i="46"/>
  <c r="ACE15" i="46"/>
  <c r="ACE12" i="46"/>
  <c r="TH15" i="46"/>
  <c r="ACE7" i="46"/>
  <c r="CZ8" i="46"/>
  <c r="OT7" i="46"/>
  <c r="HL17" i="46"/>
  <c r="OT11" i="46"/>
  <c r="OT9" i="46"/>
  <c r="OT15" i="46"/>
  <c r="OT17" i="46"/>
  <c r="LH13" i="46"/>
  <c r="ZJ7" i="46"/>
  <c r="ZJ10" i="46"/>
  <c r="AHO7" i="46"/>
  <c r="KZ11" i="46"/>
  <c r="AHH18" i="46"/>
  <c r="QX9" i="46"/>
  <c r="IB9" i="46"/>
  <c r="CZ18" i="46"/>
  <c r="HL14" i="46"/>
  <c r="CZ12" i="46"/>
  <c r="HM12" i="46"/>
  <c r="ID12" i="46"/>
  <c r="LH17" i="46"/>
  <c r="ZJ8" i="46"/>
  <c r="RM13" i="46"/>
  <c r="IB4" i="46"/>
  <c r="KZ4" i="46"/>
  <c r="NS16" i="46"/>
  <c r="WK14" i="46"/>
  <c r="AHH9" i="46"/>
  <c r="QQ8" i="46"/>
  <c r="ADY17" i="46"/>
  <c r="ADY4" i="46"/>
  <c r="QX11" i="46"/>
  <c r="WK16" i="46"/>
  <c r="BH10" i="46"/>
  <c r="IB8" i="46"/>
  <c r="AHO15" i="46"/>
  <c r="RL14" i="46"/>
  <c r="RL12" i="46"/>
  <c r="TR8" i="46"/>
  <c r="WM9" i="46"/>
  <c r="AAG11" i="46"/>
  <c r="NB12" i="46"/>
  <c r="DR15" i="46"/>
  <c r="PR14" i="46"/>
  <c r="MY11" i="46"/>
  <c r="ABH17" i="46"/>
  <c r="ABH4" i="46"/>
  <c r="ABH9" i="46"/>
  <c r="MY17" i="46"/>
  <c r="BH12" i="46"/>
  <c r="MY13" i="46"/>
  <c r="BH8" i="46"/>
  <c r="IB13" i="46"/>
  <c r="SZ12" i="46"/>
  <c r="AEU12" i="46"/>
  <c r="ADT17" i="46"/>
  <c r="XC14" i="46"/>
  <c r="SZ9" i="46"/>
  <c r="MY16" i="46"/>
  <c r="CZ4" i="46"/>
  <c r="TH10" i="46"/>
  <c r="ACE18" i="46"/>
  <c r="OT18" i="46"/>
  <c r="HL11" i="46"/>
  <c r="OT12" i="46"/>
  <c r="DR8" i="46"/>
  <c r="AAG8" i="46"/>
  <c r="DR7" i="46"/>
  <c r="CZ7" i="46"/>
  <c r="PR7" i="46"/>
  <c r="NB14" i="46"/>
  <c r="MY14" i="46"/>
  <c r="HL12" i="46"/>
  <c r="GV14" i="46"/>
  <c r="ID18" i="46"/>
  <c r="ID14" i="46"/>
  <c r="ID7" i="46"/>
  <c r="CV7" i="46"/>
  <c r="IB12" i="46"/>
  <c r="ID9" i="46"/>
  <c r="CZ9" i="46"/>
  <c r="ZJ16" i="46"/>
  <c r="RM18" i="46"/>
  <c r="ID17" i="46"/>
  <c r="IB16" i="46"/>
  <c r="KZ18" i="46"/>
  <c r="ABP16" i="46"/>
  <c r="ABP14" i="46"/>
  <c r="NS7" i="46"/>
  <c r="KZ12" i="46"/>
  <c r="AHH14" i="46"/>
  <c r="QQ15" i="46"/>
  <c r="ADY18" i="46"/>
  <c r="QQ13" i="46"/>
  <c r="NS17" i="46"/>
  <c r="JI16" i="46"/>
  <c r="JI13" i="46"/>
  <c r="RL8" i="46"/>
  <c r="TR14" i="46"/>
  <c r="TR16" i="46"/>
  <c r="AAG13" i="46"/>
  <c r="AAG17" i="46"/>
  <c r="DR11" i="46"/>
  <c r="NB16" i="46"/>
  <c r="PR4" i="46"/>
  <c r="MY12" i="46"/>
  <c r="PH14" i="46"/>
  <c r="PH13" i="46"/>
  <c r="ABH7" i="46"/>
  <c r="LU4" i="46"/>
  <c r="LU8" i="46"/>
  <c r="BH17" i="46"/>
  <c r="PH9" i="46"/>
  <c r="AEU13" i="46"/>
  <c r="ADT10" i="46"/>
  <c r="XC9" i="46"/>
  <c r="ABH8" i="46"/>
  <c r="ACE9" i="46"/>
  <c r="OT10" i="46"/>
  <c r="ABH18" i="46"/>
  <c r="AGX12" i="46"/>
  <c r="AGX14" i="46"/>
  <c r="YB12" i="46"/>
  <c r="ZP14" i="46"/>
  <c r="GG11" i="46"/>
  <c r="JX11" i="46"/>
  <c r="FP9" i="46"/>
  <c r="GB12" i="46"/>
  <c r="QU15" i="46"/>
  <c r="FP8" i="46"/>
  <c r="JX15" i="46"/>
  <c r="ZP12" i="46"/>
  <c r="PP10" i="46"/>
  <c r="DO18" i="46"/>
  <c r="KR7" i="46"/>
  <c r="JM9" i="46"/>
  <c r="XY10" i="46"/>
  <c r="FP4" i="46"/>
  <c r="ES12" i="46"/>
  <c r="JM16" i="46"/>
  <c r="AAD10" i="46"/>
  <c r="FP11" i="46"/>
  <c r="JB8" i="46"/>
  <c r="FP14" i="46"/>
  <c r="ES14" i="46"/>
  <c r="DO12" i="46"/>
  <c r="ES9" i="46"/>
  <c r="ADI7" i="46"/>
  <c r="KR13" i="46"/>
  <c r="ES16" i="46"/>
  <c r="DO9" i="46"/>
  <c r="JM8" i="46"/>
  <c r="JB10" i="46"/>
  <c r="GB11" i="46"/>
  <c r="GB17" i="46"/>
  <c r="KR4" i="46"/>
  <c r="QU14" i="46"/>
  <c r="DO13" i="46"/>
  <c r="ZP17" i="46"/>
  <c r="GB4" i="46"/>
  <c r="GB7" i="46"/>
  <c r="BW10" i="92"/>
  <c r="QU16" i="46"/>
  <c r="XY13" i="46"/>
  <c r="AGX7" i="46"/>
  <c r="NQ13" i="46"/>
  <c r="ZP7" i="46"/>
  <c r="AAD17" i="46"/>
  <c r="PP13" i="46"/>
  <c r="JX12" i="46"/>
  <c r="ADI9" i="46"/>
  <c r="NQ11" i="46"/>
  <c r="YB15" i="46"/>
  <c r="AGX11" i="46"/>
  <c r="YB9" i="46"/>
  <c r="PP12" i="46"/>
  <c r="GB9" i="46"/>
  <c r="NI7" i="46"/>
  <c r="ADI4" i="46"/>
  <c r="JM15" i="46"/>
  <c r="YB14" i="46"/>
  <c r="JB16" i="46"/>
  <c r="OA4" i="46"/>
  <c r="FG8" i="46"/>
  <c r="UD8" i="46"/>
  <c r="UD9" i="46"/>
  <c r="AJQ10" i="46"/>
  <c r="KD9" i="46"/>
  <c r="VE11" i="46"/>
  <c r="AFY11" i="46"/>
  <c r="VE17" i="46"/>
  <c r="DM4" i="46"/>
  <c r="PM12" i="46"/>
  <c r="MA17" i="46"/>
  <c r="AFY9" i="46"/>
  <c r="VE9" i="46"/>
  <c r="PM11" i="46"/>
  <c r="PM14" i="46"/>
  <c r="AJW10" i="46"/>
  <c r="ND4" i="46"/>
  <c r="AJW14" i="46"/>
  <c r="VE4" i="46"/>
  <c r="DM10" i="46"/>
  <c r="AJW18" i="46"/>
  <c r="AFY16" i="46"/>
  <c r="AEL17" i="46"/>
  <c r="VE14" i="46"/>
  <c r="EV17" i="46"/>
  <c r="MA8" i="46"/>
  <c r="PM13" i="46"/>
  <c r="AJW11" i="46"/>
  <c r="AEL12" i="46"/>
  <c r="AEL10" i="46"/>
  <c r="AEL9" i="46"/>
  <c r="OA11" i="46"/>
  <c r="OA10" i="46"/>
  <c r="KI4" i="46"/>
  <c r="AAF8" i="46"/>
  <c r="AFY17" i="46"/>
  <c r="AEL4" i="46"/>
  <c r="VE18" i="46"/>
  <c r="PM8" i="46"/>
  <c r="MA11" i="46"/>
  <c r="AFY14" i="46"/>
  <c r="AEL8" i="46"/>
  <c r="DM8" i="46"/>
  <c r="AJW17" i="46"/>
  <c r="PM18" i="46"/>
  <c r="MA13" i="46"/>
  <c r="PM17" i="46"/>
  <c r="AEL13" i="46"/>
  <c r="AFY15" i="46"/>
  <c r="AJW15" i="46"/>
  <c r="DY7" i="46"/>
  <c r="GD7" i="46"/>
  <c r="MH14" i="46"/>
  <c r="KM12" i="46"/>
  <c r="YW7" i="46"/>
  <c r="YW15" i="46"/>
  <c r="AHZ9" i="46"/>
  <c r="DP10" i="46"/>
  <c r="WF16" i="46"/>
  <c r="DT4" i="46"/>
  <c r="AHZ12" i="46"/>
  <c r="OL7" i="46"/>
  <c r="VI17" i="46"/>
  <c r="OL13" i="46"/>
  <c r="VI15" i="46"/>
  <c r="HR15" i="46"/>
  <c r="AAI8" i="46"/>
  <c r="VI9" i="46"/>
  <c r="KF17" i="46"/>
  <c r="JY15" i="46"/>
  <c r="GD15" i="46"/>
  <c r="KS11" i="46"/>
  <c r="BY13" i="46"/>
  <c r="BY15" i="46"/>
  <c r="EI8" i="46"/>
  <c r="BL8" i="46"/>
  <c r="WR16" i="46"/>
  <c r="WR4" i="46"/>
  <c r="ADV7" i="46"/>
  <c r="KM16" i="46"/>
  <c r="GR4" i="46"/>
  <c r="RG17" i="46"/>
  <c r="GR13" i="46"/>
  <c r="AAT13" i="46"/>
  <c r="SH18" i="46"/>
  <c r="SH8" i="46"/>
  <c r="MN13" i="46"/>
  <c r="AID14" i="46"/>
  <c r="AID9" i="46"/>
  <c r="AID13" i="46"/>
  <c r="AKN15" i="46"/>
  <c r="WR18" i="46"/>
  <c r="AGE13" i="46"/>
  <c r="ACP13" i="46"/>
  <c r="AKQ16" i="46"/>
  <c r="AGD9" i="46"/>
  <c r="AGD12" i="46"/>
  <c r="JY10" i="46"/>
  <c r="KS17" i="46"/>
  <c r="GD10" i="46"/>
  <c r="YW11" i="46"/>
  <c r="KM14" i="46"/>
  <c r="GD14" i="46"/>
  <c r="EI7" i="46"/>
  <c r="DP7" i="46"/>
  <c r="DT9" i="46"/>
  <c r="EI16" i="46"/>
  <c r="JY9" i="46"/>
  <c r="EI17" i="46"/>
  <c r="JY12" i="46"/>
  <c r="YW16" i="46"/>
  <c r="YW17" i="46"/>
  <c r="AHZ15" i="46"/>
  <c r="WF7" i="46"/>
  <c r="WF10" i="46"/>
  <c r="DT10" i="46"/>
  <c r="HX11" i="46"/>
  <c r="AKR10" i="46"/>
  <c r="YK14" i="46"/>
  <c r="VI10" i="46"/>
  <c r="AAI16" i="46"/>
  <c r="VI18" i="46"/>
  <c r="KF15" i="46"/>
  <c r="DP12" i="46"/>
  <c r="GD16" i="46"/>
  <c r="KS10" i="46"/>
  <c r="KS13" i="46"/>
  <c r="EI10" i="46"/>
  <c r="BL4" i="46"/>
  <c r="WR9" i="46"/>
  <c r="OL8" i="46"/>
  <c r="OL11" i="46"/>
  <c r="YK9" i="46"/>
  <c r="AKR7" i="46"/>
  <c r="ADV16" i="46"/>
  <c r="KM9" i="46"/>
  <c r="RG10" i="46"/>
  <c r="RG8" i="46"/>
  <c r="GR15" i="46"/>
  <c r="AAT7" i="46"/>
  <c r="SH7" i="46"/>
  <c r="SH16" i="46"/>
  <c r="MN17" i="46"/>
  <c r="AID16" i="46"/>
  <c r="AAT8" i="46"/>
  <c r="AKN17" i="46"/>
  <c r="AKN13" i="46"/>
  <c r="WR12" i="46"/>
  <c r="AGE9" i="46"/>
  <c r="AGE8" i="46"/>
  <c r="ACP8" i="46"/>
  <c r="ACP4" i="46"/>
  <c r="AKQ9" i="46"/>
  <c r="AGD18" i="46"/>
  <c r="AGD14" i="46"/>
  <c r="JY18" i="46"/>
  <c r="JL7" i="46"/>
  <c r="JY7" i="46"/>
  <c r="BY11" i="46"/>
  <c r="JY11" i="46"/>
  <c r="HX15" i="46"/>
  <c r="YW10" i="46"/>
  <c r="YW8" i="46"/>
  <c r="HX17" i="46"/>
  <c r="AHZ10" i="46"/>
  <c r="HX9" i="46"/>
  <c r="WF14" i="46"/>
  <c r="WF18" i="46"/>
  <c r="DT8" i="46"/>
  <c r="YK4" i="46"/>
  <c r="YK7" i="46"/>
  <c r="OL14" i="46"/>
  <c r="YK11" i="46"/>
  <c r="OL12" i="46"/>
  <c r="AAI11" i="46"/>
  <c r="VI11" i="46"/>
  <c r="JY17" i="46"/>
  <c r="DP15" i="46"/>
  <c r="GD4" i="46"/>
  <c r="KS12" i="46"/>
  <c r="EI13" i="46"/>
  <c r="BL11" i="46"/>
  <c r="YK8" i="46"/>
  <c r="OL18" i="46"/>
  <c r="AKR12" i="46"/>
  <c r="AKR13" i="46"/>
  <c r="ADV4" i="46"/>
  <c r="KM15" i="46"/>
  <c r="RG18" i="46"/>
  <c r="GR17" i="46"/>
  <c r="AAT10" i="46"/>
  <c r="SH17" i="46"/>
  <c r="SH12" i="46"/>
  <c r="MN16" i="46"/>
  <c r="AKN10" i="46"/>
  <c r="AGE14" i="46"/>
  <c r="AGE17" i="46"/>
  <c r="ACP18" i="46"/>
  <c r="AGR17" i="46"/>
  <c r="AGR12" i="46"/>
  <c r="ACP17" i="46"/>
  <c r="AKQ18" i="46"/>
  <c r="AGD4" i="46"/>
  <c r="AGG15" i="46"/>
  <c r="AGG14" i="46"/>
  <c r="AGG10" i="46"/>
  <c r="EJ14" i="46"/>
  <c r="JY14" i="46"/>
  <c r="EI18" i="46"/>
  <c r="BL9" i="46"/>
  <c r="MH9" i="46"/>
  <c r="MH10" i="46"/>
  <c r="KF12" i="46"/>
  <c r="EI14" i="46"/>
  <c r="HX14" i="46"/>
  <c r="BL7" i="46"/>
  <c r="KF7" i="46"/>
  <c r="HX18" i="46"/>
  <c r="MN7" i="46"/>
  <c r="BY18" i="46"/>
  <c r="HX7" i="46"/>
  <c r="MH18" i="46"/>
  <c r="MN14" i="46"/>
  <c r="KF9" i="46"/>
  <c r="MH12" i="46"/>
  <c r="DP17" i="46"/>
  <c r="BL15" i="46"/>
  <c r="YW13" i="46"/>
  <c r="HR17" i="46"/>
  <c r="JL8" i="46"/>
  <c r="HX8" i="46"/>
  <c r="AHZ18" i="46"/>
  <c r="AHZ16" i="46"/>
  <c r="YW18" i="46"/>
  <c r="AHZ14" i="46"/>
  <c r="WF17" i="46"/>
  <c r="WF4" i="46"/>
  <c r="WF12" i="46"/>
  <c r="AKR16" i="46"/>
  <c r="AKR15" i="46"/>
  <c r="VI8" i="46"/>
  <c r="AKR11" i="46"/>
  <c r="HR13" i="46"/>
  <c r="AAI4" i="46"/>
  <c r="AAI18" i="46"/>
  <c r="VI13" i="46"/>
  <c r="DP16" i="46"/>
  <c r="GD11" i="46"/>
  <c r="DP4" i="46"/>
  <c r="EI4" i="46"/>
  <c r="MH17" i="46"/>
  <c r="MH13" i="46"/>
  <c r="MH8" i="46"/>
  <c r="OL16" i="46"/>
  <c r="AKR17" i="46"/>
  <c r="YK17" i="46"/>
  <c r="ADV9" i="46"/>
  <c r="ADV11" i="46"/>
  <c r="KM4" i="46"/>
  <c r="RG9" i="46"/>
  <c r="GR16" i="46"/>
  <c r="AAT12" i="46"/>
  <c r="SH4" i="46"/>
  <c r="MN15" i="46"/>
  <c r="AID18" i="46"/>
  <c r="AKN8" i="46"/>
  <c r="AKN18" i="46"/>
  <c r="AGE15" i="46"/>
  <c r="ACP12" i="46"/>
  <c r="AGR7" i="46"/>
  <c r="ACP14" i="46"/>
  <c r="AKQ14" i="46"/>
  <c r="AGD13" i="46"/>
  <c r="AKQ11" i="46"/>
  <c r="AGR8" i="46"/>
  <c r="WF8" i="46"/>
  <c r="DT11" i="46"/>
  <c r="OL15" i="46"/>
  <c r="VI16" i="46"/>
  <c r="AKR8" i="46"/>
  <c r="AKR4" i="46"/>
  <c r="OL10" i="46"/>
  <c r="HR16" i="46"/>
  <c r="AAI12" i="46"/>
  <c r="AAI7" i="46"/>
  <c r="VI12" i="46"/>
  <c r="DP8" i="46"/>
  <c r="GD8" i="46"/>
  <c r="DP11" i="46"/>
  <c r="MH16" i="46"/>
  <c r="ADV17" i="46"/>
  <c r="ADV14" i="46"/>
  <c r="KM10" i="46"/>
  <c r="RG11" i="46"/>
  <c r="RG4" i="46"/>
  <c r="GR10" i="46"/>
  <c r="AAT4" i="46"/>
  <c r="SH15" i="46"/>
  <c r="MN8" i="46"/>
  <c r="AID17" i="46"/>
  <c r="AAT9" i="46"/>
  <c r="AKN11" i="46"/>
  <c r="AKN9" i="46"/>
  <c r="AGE11" i="46"/>
  <c r="AGR9" i="46"/>
  <c r="AGG16" i="46"/>
  <c r="AGD11" i="46"/>
  <c r="AGG8" i="46"/>
  <c r="ACP15" i="46"/>
  <c r="AGD10" i="46"/>
  <c r="AGD8" i="46"/>
  <c r="ACP11" i="46"/>
  <c r="KM17" i="46"/>
  <c r="AHZ8" i="46"/>
  <c r="HX13" i="46"/>
  <c r="WF11" i="46"/>
  <c r="KM18" i="46"/>
  <c r="DP18" i="46"/>
  <c r="GR18" i="46"/>
  <c r="DN7" i="46"/>
  <c r="DT7" i="46"/>
  <c r="GR7" i="46"/>
  <c r="EJ12" i="46"/>
  <c r="BL12" i="46"/>
  <c r="HR12" i="46"/>
  <c r="BY16" i="46"/>
  <c r="HX12" i="46"/>
  <c r="AHZ7" i="46"/>
  <c r="WF9" i="46"/>
  <c r="DT15" i="46"/>
  <c r="OL4" i="46"/>
  <c r="HR10" i="46"/>
  <c r="YK18" i="46"/>
  <c r="HR4" i="46"/>
  <c r="AAI14" i="46"/>
  <c r="AAI15" i="46"/>
  <c r="GD17" i="46"/>
  <c r="KF8" i="46"/>
  <c r="KF10" i="46"/>
  <c r="BY9" i="46"/>
  <c r="KS16" i="46"/>
  <c r="BY4" i="46"/>
  <c r="WR17" i="46"/>
  <c r="YK16" i="46"/>
  <c r="ADV10" i="46"/>
  <c r="ADV13" i="46"/>
  <c r="KM13" i="46"/>
  <c r="RG14" i="46"/>
  <c r="RG13" i="46"/>
  <c r="GR11" i="46"/>
  <c r="AAT14" i="46"/>
  <c r="SH9" i="46"/>
  <c r="MN18" i="46"/>
  <c r="AID7" i="46"/>
  <c r="AAT15" i="46"/>
  <c r="AKN14" i="46"/>
  <c r="AKN12" i="46"/>
  <c r="AGE18" i="46"/>
  <c r="AGR14" i="46"/>
  <c r="AGG11" i="46"/>
  <c r="AID12" i="46"/>
  <c r="AGG17" i="46"/>
  <c r="ACP16" i="46"/>
  <c r="AKQ13" i="46"/>
  <c r="AKQ8" i="46"/>
  <c r="AGD17" i="46"/>
  <c r="ACP9" i="46"/>
  <c r="AGG7" i="46"/>
  <c r="AKQ17" i="46"/>
  <c r="MN10" i="46"/>
  <c r="BY17" i="46"/>
  <c r="DY16" i="46"/>
  <c r="AHZ4" i="46"/>
  <c r="AHZ17" i="46"/>
  <c r="GR14" i="46"/>
  <c r="HR14" i="46"/>
  <c r="KS14" i="46"/>
  <c r="HR18" i="46"/>
  <c r="JY16" i="46"/>
  <c r="YW9" i="46"/>
  <c r="AHZ11" i="46"/>
  <c r="HX16" i="46"/>
  <c r="HX10" i="46"/>
  <c r="DT16" i="46"/>
  <c r="AKR14" i="46"/>
  <c r="YK10" i="46"/>
  <c r="HR11" i="46"/>
  <c r="AAI10" i="46"/>
  <c r="VI4" i="46"/>
  <c r="KF13" i="46"/>
  <c r="JY13" i="46"/>
  <c r="KF16" i="46"/>
  <c r="KS4" i="46"/>
  <c r="MH15" i="46"/>
  <c r="WR7" i="46"/>
  <c r="WR14" i="46"/>
  <c r="WR13" i="46"/>
  <c r="ADV12" i="46"/>
  <c r="RG12" i="46"/>
  <c r="SH10" i="46"/>
  <c r="AID10" i="46"/>
  <c r="AAT11" i="46"/>
  <c r="SH13" i="46"/>
  <c r="AID15" i="46"/>
  <c r="AKN16" i="46"/>
  <c r="AGE7" i="46"/>
  <c r="AGR15" i="46"/>
  <c r="AGR11" i="46"/>
  <c r="AGR13" i="46"/>
  <c r="AGR10" i="46"/>
  <c r="AGG4" i="46"/>
  <c r="AKQ12" i="46"/>
  <c r="AGG13" i="46"/>
  <c r="AGD7" i="46"/>
  <c r="AKQ7" i="46"/>
  <c r="AGG9" i="46"/>
  <c r="NA12" i="46"/>
  <c r="HU8" i="46"/>
  <c r="HU4" i="46"/>
  <c r="HU13" i="46"/>
  <c r="HU10" i="46"/>
  <c r="HU18" i="46"/>
  <c r="SB13" i="46"/>
  <c r="SB15" i="46"/>
  <c r="SB11" i="46"/>
  <c r="SB17" i="46"/>
  <c r="SB7" i="46"/>
  <c r="SB16" i="46"/>
  <c r="SB4" i="46"/>
  <c r="SB8" i="46"/>
  <c r="SB12" i="46"/>
  <c r="NA13" i="46"/>
  <c r="NA10" i="46"/>
  <c r="NA16" i="46"/>
  <c r="NA9" i="46"/>
  <c r="NA14" i="46"/>
  <c r="NA15" i="46"/>
  <c r="NA4" i="46"/>
  <c r="MP8" i="46"/>
  <c r="MP14" i="46"/>
  <c r="MP12" i="46"/>
  <c r="MP11" i="46"/>
  <c r="MP17" i="46"/>
  <c r="MP15" i="46"/>
  <c r="MP10" i="46"/>
  <c r="MP18" i="46"/>
  <c r="MP4" i="46"/>
  <c r="EZ8" i="46"/>
  <c r="EZ11" i="46"/>
  <c r="EZ10" i="46"/>
  <c r="EZ7" i="46"/>
  <c r="EZ4" i="46"/>
  <c r="EZ16" i="46"/>
  <c r="EZ14" i="46"/>
  <c r="EZ18" i="46"/>
  <c r="EZ13" i="46"/>
  <c r="EZ15" i="46"/>
  <c r="BD9" i="46"/>
  <c r="BD11" i="46"/>
  <c r="BD4" i="46"/>
  <c r="BD8" i="46"/>
  <c r="BD15" i="46"/>
  <c r="BD13" i="46"/>
  <c r="VP9" i="46"/>
  <c r="VP13" i="46"/>
  <c r="VP8" i="46"/>
  <c r="VP12" i="46"/>
  <c r="VP14" i="46"/>
  <c r="VP18" i="46"/>
  <c r="VP11" i="46"/>
  <c r="VP15" i="46"/>
  <c r="VP16" i="46"/>
  <c r="VP4" i="46"/>
  <c r="AFX4" i="46"/>
  <c r="AFX13" i="46"/>
  <c r="AFX16" i="46"/>
  <c r="AFX18" i="46"/>
  <c r="AFX8" i="46"/>
  <c r="AFX9" i="46"/>
  <c r="AFX7" i="46"/>
  <c r="AFX17" i="46"/>
  <c r="AFX11" i="46"/>
  <c r="AFX12" i="46"/>
  <c r="AGW11" i="46"/>
  <c r="AGW10" i="46"/>
  <c r="AGW16" i="46"/>
  <c r="AGW8" i="46"/>
  <c r="AGW7" i="46"/>
  <c r="AGW4" i="46"/>
  <c r="AGW18" i="46"/>
  <c r="AGW14" i="46"/>
  <c r="ST10" i="46"/>
  <c r="ST4" i="46"/>
  <c r="ST17" i="46"/>
  <c r="ST8" i="46"/>
  <c r="ST14" i="46"/>
  <c r="ST9" i="46"/>
  <c r="ST7" i="46"/>
  <c r="ST15" i="46"/>
  <c r="OD17" i="46"/>
  <c r="OD15" i="46"/>
  <c r="OD4" i="46"/>
  <c r="OD13" i="46"/>
  <c r="OD16" i="46"/>
  <c r="OD10" i="46"/>
  <c r="OD12" i="46"/>
  <c r="ZB15" i="46"/>
  <c r="ZB13" i="46"/>
  <c r="ZB8" i="46"/>
  <c r="ZB18" i="46"/>
  <c r="ZB9" i="46"/>
  <c r="ZB14" i="46"/>
  <c r="ZB16" i="46"/>
  <c r="ZB10" i="46"/>
  <c r="ZB4" i="46"/>
  <c r="AAQ12" i="46"/>
  <c r="AAQ4" i="46"/>
  <c r="AAQ7" i="46"/>
  <c r="AAQ17" i="46"/>
  <c r="AAQ14" i="46"/>
  <c r="AAQ15" i="46"/>
  <c r="AAQ8" i="46"/>
  <c r="AAQ11" i="46"/>
  <c r="AAQ9" i="46"/>
  <c r="AAQ16" i="46"/>
  <c r="VU11" i="46"/>
  <c r="VU7" i="46"/>
  <c r="VU15" i="46"/>
  <c r="VU18" i="46"/>
  <c r="VU4" i="46"/>
  <c r="VU9" i="46"/>
  <c r="VU12" i="46"/>
  <c r="VU13" i="46"/>
  <c r="BZ16" i="46"/>
  <c r="BZ18" i="46"/>
  <c r="BZ17" i="46"/>
  <c r="BZ12" i="46"/>
  <c r="BZ10" i="46"/>
  <c r="BZ7" i="46"/>
  <c r="BZ11" i="46"/>
  <c r="BZ4" i="46"/>
  <c r="BZ8" i="46"/>
  <c r="AGA14" i="46"/>
  <c r="AGA18" i="46"/>
  <c r="AGA13" i="46"/>
  <c r="AGA4" i="46"/>
  <c r="AGA16" i="46"/>
  <c r="AGA17" i="46"/>
  <c r="AGA9" i="46"/>
  <c r="AGA11" i="46"/>
  <c r="AGA12" i="46"/>
  <c r="AGA15" i="46"/>
  <c r="AIC16" i="46"/>
  <c r="AIC13" i="46"/>
  <c r="AIC9" i="46"/>
  <c r="AIC8" i="46"/>
  <c r="AIC14" i="46"/>
  <c r="AIC18" i="46"/>
  <c r="AIC10" i="46"/>
  <c r="AIC12" i="46"/>
  <c r="AIC7" i="46"/>
  <c r="JG15" i="46"/>
  <c r="JG17" i="46"/>
  <c r="JG10" i="46"/>
  <c r="JG7" i="46"/>
  <c r="JG16" i="46"/>
  <c r="JG18" i="46"/>
  <c r="JG8" i="46"/>
  <c r="JG9" i="46"/>
  <c r="JG13" i="46"/>
  <c r="JG12" i="46"/>
  <c r="JG14" i="46"/>
  <c r="US4" i="46"/>
  <c r="US11" i="46"/>
  <c r="US10" i="46"/>
  <c r="US14" i="46"/>
  <c r="US17" i="46"/>
  <c r="US7" i="46"/>
  <c r="US13" i="46"/>
  <c r="US15" i="46"/>
  <c r="US9" i="46"/>
  <c r="US16" i="46"/>
  <c r="GG9" i="46"/>
  <c r="FV12" i="46"/>
  <c r="JX10" i="46"/>
  <c r="FP17" i="46"/>
  <c r="ES17" i="46"/>
  <c r="QU17" i="46"/>
  <c r="KR16" i="46"/>
  <c r="QU12" i="46"/>
  <c r="NQ16" i="46"/>
  <c r="DO4" i="46"/>
  <c r="XY17" i="46"/>
  <c r="AGX9" i="46"/>
  <c r="XY18" i="46"/>
  <c r="JM17" i="46"/>
  <c r="AGX4" i="46"/>
  <c r="YB10" i="46"/>
  <c r="JB11" i="46"/>
  <c r="AAD16" i="46"/>
  <c r="JX16" i="46"/>
  <c r="XY14" i="46"/>
  <c r="YB11" i="46"/>
  <c r="ZP18" i="46"/>
  <c r="PP14" i="46"/>
  <c r="GB14" i="46"/>
  <c r="JX14" i="46"/>
  <c r="FV7" i="46"/>
  <c r="JX18" i="46"/>
  <c r="JB18" i="46"/>
  <c r="GG18" i="46"/>
  <c r="KR12" i="46"/>
  <c r="GG14" i="46"/>
  <c r="JM18" i="46"/>
  <c r="FP7" i="46"/>
  <c r="JM7" i="46"/>
  <c r="JX7" i="46"/>
  <c r="JB7" i="46"/>
  <c r="ES11" i="46"/>
  <c r="GB10" i="46"/>
  <c r="NQ9" i="46"/>
  <c r="JB12" i="46"/>
  <c r="JM10" i="46"/>
  <c r="JM11" i="46"/>
  <c r="ES4" i="46"/>
  <c r="ADI14" i="46"/>
  <c r="KR9" i="46"/>
  <c r="ADI12" i="46"/>
  <c r="KR17" i="46"/>
  <c r="QU4" i="46"/>
  <c r="ADI8" i="46"/>
  <c r="NQ7" i="46"/>
  <c r="AGX8" i="46"/>
  <c r="XY8" i="46"/>
  <c r="XY9" i="46"/>
  <c r="JM4" i="46"/>
  <c r="AGX15" i="46"/>
  <c r="YB18" i="46"/>
  <c r="FP13" i="46"/>
  <c r="AAD11" i="46"/>
  <c r="AAD14" i="46"/>
  <c r="ZP13" i="46"/>
  <c r="XY12" i="46"/>
  <c r="GG4" i="46"/>
  <c r="ADI16" i="46"/>
  <c r="AAD8" i="46"/>
  <c r="PP11" i="46"/>
  <c r="KR14" i="46"/>
  <c r="KR18" i="46"/>
  <c r="NQ10" i="46"/>
  <c r="JM12" i="46"/>
  <c r="BS10" i="92"/>
  <c r="ADI11" i="46"/>
  <c r="KR15" i="46"/>
  <c r="QU11" i="46"/>
  <c r="ADI10" i="46"/>
  <c r="NQ8" i="46"/>
  <c r="JM13" i="46"/>
  <c r="AGX17" i="46"/>
  <c r="YB17" i="46"/>
  <c r="FP10" i="46"/>
  <c r="JB17" i="46"/>
  <c r="ZP4" i="46"/>
  <c r="JX4" i="46"/>
  <c r="ZP9" i="46"/>
  <c r="JX17" i="46"/>
  <c r="GG17" i="46"/>
  <c r="AAD13" i="46"/>
  <c r="GG8" i="46"/>
  <c r="AGX16" i="46"/>
  <c r="GB8" i="46"/>
  <c r="PP15" i="46"/>
  <c r="KR8" i="46"/>
  <c r="QU10" i="46"/>
  <c r="QU18" i="46"/>
  <c r="NQ17" i="46"/>
  <c r="NQ12" i="46"/>
  <c r="DO10" i="46"/>
  <c r="XY16" i="46"/>
  <c r="XY15" i="46"/>
  <c r="AGX10" i="46"/>
  <c r="YB8" i="46"/>
  <c r="JB4" i="46"/>
  <c r="ZP16" i="46"/>
  <c r="JX8" i="46"/>
  <c r="ZP11" i="46"/>
  <c r="JX13" i="46"/>
  <c r="GG12" i="46"/>
  <c r="AAD15" i="46"/>
  <c r="AAD7" i="46"/>
  <c r="AAD12" i="46"/>
  <c r="GB13" i="46"/>
  <c r="AAD18" i="46"/>
  <c r="PP8" i="46"/>
  <c r="GG7" i="46"/>
  <c r="PP7" i="46"/>
  <c r="FP12" i="46"/>
  <c r="DO16" i="46"/>
  <c r="FP15" i="46"/>
  <c r="GB15" i="46"/>
  <c r="ES13" i="46"/>
  <c r="QU7" i="46"/>
  <c r="NQ4" i="46"/>
  <c r="NQ14" i="46"/>
  <c r="YB4" i="46"/>
  <c r="XY7" i="46"/>
  <c r="XY4" i="46"/>
  <c r="AGX13" i="46"/>
  <c r="YB16" i="46"/>
  <c r="JB15" i="46"/>
  <c r="ZP8" i="46"/>
  <c r="ZP15" i="46"/>
  <c r="GG16" i="46"/>
  <c r="JB13" i="46"/>
  <c r="AAD4" i="46"/>
  <c r="PP18" i="46"/>
  <c r="PP4" i="46"/>
  <c r="PF17" i="46"/>
  <c r="EL8" i="46"/>
  <c r="VW10" i="46"/>
  <c r="SJ12" i="46"/>
  <c r="SJ9" i="46"/>
  <c r="YA17" i="46"/>
  <c r="YA4" i="46"/>
  <c r="BF17" i="46"/>
  <c r="BF13" i="46"/>
  <c r="VW13" i="46"/>
  <c r="JN17" i="46"/>
  <c r="VW14" i="46"/>
  <c r="BF11" i="46"/>
  <c r="RJ4" i="46"/>
  <c r="KS7" i="46"/>
  <c r="PP16" i="46"/>
  <c r="SJ4" i="46"/>
  <c r="SJ10" i="46"/>
  <c r="JK11" i="46"/>
  <c r="DS16" i="46"/>
  <c r="EW7" i="46"/>
  <c r="AS18" i="46"/>
  <c r="JZ14" i="46"/>
  <c r="BS18" i="46"/>
  <c r="EJ18" i="46"/>
  <c r="BS12" i="46"/>
  <c r="LP18" i="46"/>
  <c r="EW9" i="46"/>
  <c r="DN12" i="46"/>
  <c r="DY12" i="46"/>
  <c r="DL10" i="46"/>
  <c r="KV10" i="46"/>
  <c r="KV11" i="46"/>
  <c r="AEF10" i="46"/>
  <c r="ABM4" i="46"/>
  <c r="AFQ4" i="46"/>
  <c r="MI9" i="46"/>
  <c r="DM16" i="46"/>
  <c r="BV12" i="92"/>
  <c r="AY11" i="46"/>
  <c r="KL11" i="46"/>
  <c r="OG14" i="46"/>
  <c r="ADN11" i="46"/>
  <c r="EK16" i="46"/>
  <c r="EN15" i="46"/>
  <c r="EN7" i="46"/>
  <c r="EN17" i="46"/>
  <c r="SP9" i="46"/>
  <c r="IV14" i="46"/>
  <c r="DY14" i="46"/>
  <c r="JL14" i="46"/>
  <c r="GP14" i="46"/>
  <c r="KH18" i="46"/>
  <c r="EU7" i="46"/>
  <c r="JZ7" i="46"/>
  <c r="DL7" i="46"/>
  <c r="DN9" i="46"/>
  <c r="KV14" i="46"/>
  <c r="AS9" i="46"/>
  <c r="AY9" i="46"/>
  <c r="HF12" i="46"/>
  <c r="ER16" i="46"/>
  <c r="CJ16" i="46"/>
  <c r="AJF7" i="46"/>
  <c r="ACC15" i="46"/>
  <c r="YI9" i="46"/>
  <c r="WB4" i="46"/>
  <c r="AEF17" i="46"/>
  <c r="DL13" i="46"/>
  <c r="AEV12" i="46"/>
  <c r="SP17" i="46"/>
  <c r="HM14" i="46"/>
  <c r="GV18" i="46"/>
  <c r="HF14" i="46"/>
  <c r="ER14" i="46"/>
  <c r="EW14" i="46"/>
  <c r="EN14" i="46"/>
  <c r="ER7" i="46"/>
  <c r="CY7" i="46"/>
  <c r="AS7" i="46"/>
  <c r="KH7" i="46"/>
  <c r="CB7" i="46"/>
  <c r="EJ7" i="46"/>
  <c r="LP7" i="46"/>
  <c r="CH7" i="46"/>
  <c r="KV12" i="46"/>
  <c r="LN7" i="46"/>
  <c r="JU12" i="46"/>
  <c r="DY9" i="46"/>
  <c r="JZ12" i="46"/>
  <c r="KL12" i="46"/>
  <c r="IS9" i="46"/>
  <c r="ER15" i="46"/>
  <c r="UL17" i="46"/>
  <c r="YI17" i="46"/>
  <c r="ACC10" i="46"/>
  <c r="AIA16" i="46"/>
  <c r="EW17" i="46"/>
  <c r="EW8" i="46"/>
  <c r="AEO14" i="46"/>
  <c r="KX18" i="46"/>
  <c r="GV10" i="46"/>
  <c r="YQ13" i="46"/>
  <c r="EN4" i="46"/>
  <c r="DY17" i="46"/>
  <c r="PZ14" i="46"/>
  <c r="EY14" i="46"/>
  <c r="CY18" i="46"/>
  <c r="IV18" i="46"/>
  <c r="HT14" i="46"/>
  <c r="HT7" i="46"/>
  <c r="AY7" i="46"/>
  <c r="KN7" i="46"/>
  <c r="DL12" i="46"/>
  <c r="LP9" i="46"/>
  <c r="EU16" i="46"/>
  <c r="LP10" i="46"/>
  <c r="IV10" i="46"/>
  <c r="KX12" i="46"/>
  <c r="CH10" i="46"/>
  <c r="EJ10" i="46"/>
  <c r="IH11" i="46"/>
  <c r="CY10" i="46"/>
  <c r="UL10" i="46"/>
  <c r="AFQ13" i="46"/>
  <c r="ACC12" i="46"/>
  <c r="YQ12" i="46"/>
  <c r="DL17" i="46"/>
  <c r="IU4" i="46"/>
  <c r="DN8" i="46"/>
  <c r="UP10" i="46"/>
  <c r="AIA4" i="46"/>
  <c r="JL18" i="46"/>
  <c r="KN14" i="46"/>
  <c r="JU18" i="46"/>
  <c r="GP7" i="46"/>
  <c r="IV7" i="46"/>
  <c r="DL18" i="46"/>
  <c r="NJ7" i="46"/>
  <c r="JL12" i="46"/>
  <c r="LV14" i="46"/>
  <c r="CY16" i="46"/>
  <c r="KX9" i="46"/>
  <c r="ER12" i="46"/>
  <c r="AS10" i="46"/>
  <c r="BS15" i="46"/>
  <c r="JL11" i="46"/>
  <c r="UL7" i="46"/>
  <c r="AFQ10" i="46"/>
  <c r="AFQ9" i="46"/>
  <c r="YI10" i="46"/>
  <c r="MI10" i="46"/>
  <c r="GV15" i="46"/>
  <c r="AS8" i="46"/>
  <c r="DA16" i="46"/>
  <c r="JL16" i="46"/>
  <c r="ACC18" i="46"/>
  <c r="AIA8" i="46"/>
  <c r="GV13" i="46"/>
  <c r="CU16" i="46"/>
  <c r="JL17" i="46"/>
  <c r="ACC16" i="46"/>
  <c r="EW13" i="46"/>
  <c r="UP15" i="46"/>
  <c r="LN18" i="46"/>
  <c r="PZ11" i="46"/>
  <c r="EJ9" i="46"/>
  <c r="PK11" i="46"/>
  <c r="JU14" i="46"/>
  <c r="CJ9" i="46"/>
  <c r="GV7" i="46"/>
  <c r="EW18" i="46"/>
  <c r="CH18" i="46"/>
  <c r="HF18" i="46"/>
  <c r="PZ7" i="46"/>
  <c r="LP14" i="46"/>
  <c r="CJ12" i="46"/>
  <c r="DY10" i="46"/>
  <c r="DY11" i="46"/>
  <c r="HM15" i="46"/>
  <c r="JL10" i="46"/>
  <c r="CY9" i="46"/>
  <c r="HM17" i="46"/>
  <c r="UL14" i="46"/>
  <c r="ACC4" i="46"/>
  <c r="AFQ17" i="46"/>
  <c r="YI13" i="46"/>
  <c r="MI11" i="46"/>
  <c r="CJ17" i="46"/>
  <c r="JL13" i="46"/>
  <c r="AIA17" i="46"/>
  <c r="CI16" i="46"/>
  <c r="AY12" i="46"/>
  <c r="AEO12" i="46"/>
  <c r="LN9" i="46"/>
  <c r="EY12" i="46"/>
  <c r="MI18" i="46"/>
  <c r="CB12" i="46"/>
  <c r="CC16" i="46"/>
  <c r="EQ16" i="46"/>
  <c r="LV12" i="46"/>
  <c r="CP12" i="46"/>
  <c r="JL9" i="46"/>
  <c r="YI7" i="46"/>
  <c r="YI4" i="46"/>
  <c r="AM16" i="46"/>
  <c r="AIA13" i="46"/>
  <c r="EW10" i="46"/>
  <c r="KH17" i="46"/>
  <c r="NJ10" i="46"/>
  <c r="UL4" i="46"/>
  <c r="AFQ11" i="46"/>
  <c r="MI4" i="46"/>
  <c r="YQ4" i="46"/>
  <c r="AIA14" i="46"/>
  <c r="AIA11" i="46"/>
  <c r="AEO13" i="46"/>
  <c r="LN13" i="46"/>
  <c r="HM18" i="46"/>
  <c r="EU14" i="46"/>
  <c r="CJ7" i="46"/>
  <c r="CP7" i="46"/>
  <c r="CB18" i="46"/>
  <c r="MI14" i="46"/>
  <c r="LN12" i="46"/>
  <c r="PK9" i="46"/>
  <c r="UL11" i="46"/>
  <c r="YI14" i="46"/>
  <c r="JL4" i="46"/>
  <c r="EG4" i="46"/>
  <c r="ACX10" i="46"/>
  <c r="MG12" i="46"/>
  <c r="GQ11" i="46"/>
  <c r="YN17" i="46"/>
  <c r="DW8" i="46"/>
  <c r="AJM7" i="46"/>
  <c r="NE4" i="46"/>
  <c r="IF16" i="46"/>
  <c r="FU8" i="46"/>
  <c r="VZ13" i="46"/>
  <c r="FU14" i="46"/>
  <c r="JN15" i="46"/>
  <c r="YN18" i="46"/>
  <c r="IK18" i="46"/>
  <c r="EG18" i="46"/>
  <c r="EG15" i="46"/>
  <c r="VJ11" i="46"/>
  <c r="NC18" i="46"/>
  <c r="AFD11" i="46"/>
  <c r="SK9" i="46"/>
  <c r="AFD10" i="46"/>
  <c r="DW7" i="46"/>
  <c r="EE9" i="46"/>
  <c r="BO10" i="46"/>
  <c r="IK17" i="46"/>
  <c r="NR12" i="46"/>
  <c r="EE16" i="46"/>
  <c r="EG9" i="46"/>
  <c r="YN10" i="46"/>
  <c r="YN13" i="46"/>
  <c r="ABO15" i="46"/>
  <c r="SK16" i="46"/>
  <c r="AEH8" i="46"/>
  <c r="EE8" i="46"/>
  <c r="AGH8" i="46"/>
  <c r="EG14" i="46"/>
  <c r="EE14" i="46"/>
  <c r="EE18" i="46"/>
  <c r="HZ14" i="46"/>
  <c r="EP14" i="46"/>
  <c r="DW17" i="46"/>
  <c r="JE18" i="46"/>
  <c r="GJ14" i="46"/>
  <c r="GO14" i="46"/>
  <c r="EE7" i="46"/>
  <c r="NE7" i="46"/>
  <c r="BO16" i="46"/>
  <c r="JN12" i="46"/>
  <c r="JE9" i="46"/>
  <c r="ACJ7" i="46"/>
  <c r="OI17" i="46"/>
  <c r="EG13" i="46"/>
  <c r="ADH9" i="46"/>
  <c r="ACF12" i="46"/>
  <c r="EE11" i="46"/>
  <c r="ACX11" i="46"/>
  <c r="TK15" i="46"/>
  <c r="TJ9" i="46"/>
  <c r="AHM10" i="46"/>
  <c r="AHM4" i="46"/>
  <c r="IW18" i="46"/>
  <c r="HE7" i="46"/>
  <c r="MG7" i="46"/>
  <c r="GO16" i="46"/>
  <c r="CM9" i="46"/>
  <c r="GO17" i="46"/>
  <c r="ACJ8" i="46"/>
  <c r="CM4" i="46"/>
  <c r="FU4" i="46"/>
  <c r="TT11" i="46"/>
  <c r="ABW12" i="46"/>
  <c r="RK16" i="46"/>
  <c r="EG17" i="46"/>
  <c r="ACX18" i="46"/>
  <c r="EE13" i="46"/>
  <c r="HZ8" i="46"/>
  <c r="EG11" i="46"/>
  <c r="EG12" i="46"/>
  <c r="EE10" i="46"/>
  <c r="JE10" i="46"/>
  <c r="NR16" i="46"/>
  <c r="YN15" i="46"/>
  <c r="AJO9" i="46"/>
  <c r="RK7" i="46"/>
  <c r="ADH12" i="46"/>
  <c r="ACX14" i="46"/>
  <c r="EG16" i="46"/>
  <c r="ACX13" i="46"/>
  <c r="NC11" i="46"/>
  <c r="GA13" i="46"/>
  <c r="GA16" i="46"/>
  <c r="GA10" i="46"/>
  <c r="SX17" i="46"/>
  <c r="SX10" i="46"/>
  <c r="SX11" i="46"/>
  <c r="SX12" i="46"/>
  <c r="XB11" i="46"/>
  <c r="XB10" i="46"/>
  <c r="XB14" i="46"/>
  <c r="XB18" i="46"/>
  <c r="XB9" i="46"/>
  <c r="XB12" i="46"/>
  <c r="XB15" i="46"/>
  <c r="XB17" i="46"/>
  <c r="XB16" i="46"/>
  <c r="XB4" i="46"/>
  <c r="XB8" i="46"/>
  <c r="XB7" i="46"/>
  <c r="XB13" i="46"/>
  <c r="AET16" i="46"/>
  <c r="AET17" i="46"/>
  <c r="AET18" i="46"/>
  <c r="AET13" i="46"/>
  <c r="AET11" i="46"/>
  <c r="AET10" i="46"/>
  <c r="AET8" i="46"/>
  <c r="AET4" i="46"/>
  <c r="AET15" i="46"/>
  <c r="AET7" i="46"/>
  <c r="AET12" i="46"/>
  <c r="AET9" i="46"/>
  <c r="TN11" i="46"/>
  <c r="TN13" i="46"/>
  <c r="TN17" i="46"/>
  <c r="TN16" i="46"/>
  <c r="TN8" i="46"/>
  <c r="TN7" i="46"/>
  <c r="TN18" i="46"/>
  <c r="TN4" i="46"/>
  <c r="TN9" i="46"/>
  <c r="TN14" i="46"/>
  <c r="TN10" i="46"/>
  <c r="XL16" i="46"/>
  <c r="XL12" i="46"/>
  <c r="XL7" i="46"/>
  <c r="XL17" i="46"/>
  <c r="XL9" i="46"/>
  <c r="XL18" i="46"/>
  <c r="XL13" i="46"/>
  <c r="XL11" i="46"/>
  <c r="XL10" i="46"/>
  <c r="XL14" i="46"/>
  <c r="XL15" i="46"/>
  <c r="XL4" i="46"/>
  <c r="ZZ12" i="46"/>
  <c r="ZZ11" i="46"/>
  <c r="ZZ14" i="46"/>
  <c r="ZZ8" i="46"/>
  <c r="ZZ18" i="46"/>
  <c r="ZZ9" i="46"/>
  <c r="ZZ7" i="46"/>
  <c r="ZZ4" i="46"/>
  <c r="ZZ16" i="46"/>
  <c r="ZZ13" i="46"/>
  <c r="ZZ10" i="46"/>
  <c r="ZZ15" i="46"/>
  <c r="ZZ17" i="46"/>
  <c r="PY14" i="46"/>
  <c r="PY17" i="46"/>
  <c r="PY18" i="46"/>
  <c r="PY10" i="46"/>
  <c r="PY13" i="46"/>
  <c r="PY12" i="46"/>
  <c r="PY15" i="46"/>
  <c r="PY8" i="46"/>
  <c r="PY4" i="46"/>
  <c r="PY7" i="46"/>
  <c r="PY11" i="46"/>
  <c r="AAY18" i="46"/>
  <c r="AAY9" i="46"/>
  <c r="AAY4" i="46"/>
  <c r="AAY16" i="46"/>
  <c r="AAY11" i="46"/>
  <c r="AAY13" i="46"/>
  <c r="AAY12" i="46"/>
  <c r="AAY8" i="46"/>
  <c r="AAY10" i="46"/>
  <c r="AAY17" i="46"/>
  <c r="AAY14" i="46"/>
  <c r="AAY7" i="46"/>
  <c r="AAY15" i="46"/>
  <c r="AFF7" i="46"/>
  <c r="AFF14" i="46"/>
  <c r="AFF16" i="46"/>
  <c r="AFF18" i="46"/>
  <c r="AFF10" i="46"/>
  <c r="AFF9" i="46"/>
  <c r="AFF12" i="46"/>
  <c r="AFF17" i="46"/>
  <c r="AFF11" i="46"/>
  <c r="AFF13" i="46"/>
  <c r="AFF15" i="46"/>
  <c r="AFF8" i="46"/>
  <c r="FX16" i="46"/>
  <c r="FX4" i="46"/>
  <c r="FX17" i="46"/>
  <c r="FX15" i="46"/>
  <c r="FX8" i="46"/>
  <c r="FX18" i="46"/>
  <c r="FX13" i="46"/>
  <c r="FX11" i="46"/>
  <c r="IX4" i="46"/>
  <c r="IX8" i="46"/>
  <c r="IX11" i="46"/>
  <c r="IX13" i="46"/>
  <c r="IX12" i="46"/>
  <c r="IX15" i="46"/>
  <c r="IX14" i="46"/>
  <c r="IX10" i="46"/>
  <c r="QB12" i="46"/>
  <c r="QB16" i="46"/>
  <c r="QB11" i="46"/>
  <c r="QB8" i="46"/>
  <c r="QB17" i="46"/>
  <c r="QB13" i="46"/>
  <c r="QB15" i="46"/>
  <c r="QB14" i="46"/>
  <c r="QB10" i="46"/>
  <c r="QB18" i="46"/>
  <c r="QB4" i="46"/>
  <c r="QB7" i="46"/>
  <c r="KA14" i="46"/>
  <c r="JP14" i="46"/>
  <c r="IH7" i="46"/>
  <c r="FX7" i="46"/>
  <c r="IS18" i="46"/>
  <c r="GA18" i="46"/>
  <c r="IU10" i="46"/>
  <c r="IH9" i="46"/>
  <c r="FR10" i="46"/>
  <c r="WI11" i="46"/>
  <c r="WB13" i="46"/>
  <c r="OG11" i="46"/>
  <c r="FX10" i="46"/>
  <c r="UI9" i="46"/>
  <c r="AEB11" i="46"/>
  <c r="JQ9" i="46"/>
  <c r="FO17" i="46"/>
  <c r="ADN8" i="46"/>
  <c r="WG18" i="46"/>
  <c r="WG12" i="46"/>
  <c r="WG13" i="46"/>
  <c r="WG7" i="46"/>
  <c r="WG11" i="46"/>
  <c r="WG15" i="46"/>
  <c r="WG9" i="46"/>
  <c r="WG8" i="46"/>
  <c r="WG14" i="46"/>
  <c r="WG4" i="46"/>
  <c r="WG17" i="46"/>
  <c r="WG10" i="46"/>
  <c r="AIV17" i="46"/>
  <c r="AIV14" i="46"/>
  <c r="AIV7" i="46"/>
  <c r="AIV9" i="46"/>
  <c r="AIV10" i="46"/>
  <c r="AIV12" i="46"/>
  <c r="AIV13" i="46"/>
  <c r="AIV16" i="46"/>
  <c r="AIV18" i="46"/>
  <c r="AIV8" i="46"/>
  <c r="AIV11" i="46"/>
  <c r="AIV15" i="46"/>
  <c r="XJ13" i="46"/>
  <c r="XJ9" i="46"/>
  <c r="XJ15" i="46"/>
  <c r="XJ7" i="46"/>
  <c r="XJ16" i="46"/>
  <c r="XJ11" i="46"/>
  <c r="XJ12" i="46"/>
  <c r="XJ10" i="46"/>
  <c r="XJ4" i="46"/>
  <c r="XJ17" i="46"/>
  <c r="XJ18" i="46"/>
  <c r="XJ8" i="46"/>
  <c r="AEB16" i="46"/>
  <c r="AEB14" i="46"/>
  <c r="AEB10" i="46"/>
  <c r="AEB17" i="46"/>
  <c r="AEB8" i="46"/>
  <c r="AEB4" i="46"/>
  <c r="AEB18" i="46"/>
  <c r="AEB13" i="46"/>
  <c r="AEB9" i="46"/>
  <c r="AEB12" i="46"/>
  <c r="XG12" i="46"/>
  <c r="XG16" i="46"/>
  <c r="XG11" i="46"/>
  <c r="XG13" i="46"/>
  <c r="XG18" i="46"/>
  <c r="XG14" i="46"/>
  <c r="XG10" i="46"/>
  <c r="XG17" i="46"/>
  <c r="XG8" i="46"/>
  <c r="ADX9" i="46"/>
  <c r="ADX15" i="46"/>
  <c r="ADX10" i="46"/>
  <c r="ADX7" i="46"/>
  <c r="ADX8" i="46"/>
  <c r="ADX17" i="46"/>
  <c r="ADX12" i="46"/>
  <c r="ADX16" i="46"/>
  <c r="ADX14" i="46"/>
  <c r="ADX18" i="46"/>
  <c r="ADX4" i="46"/>
  <c r="ADX13" i="46"/>
  <c r="UX9" i="46"/>
  <c r="UX15" i="46"/>
  <c r="UX4" i="46"/>
  <c r="UX7" i="46"/>
  <c r="UX18" i="46"/>
  <c r="UX8" i="46"/>
  <c r="UX16" i="46"/>
  <c r="UX14" i="46"/>
  <c r="UX13" i="46"/>
  <c r="UX17" i="46"/>
  <c r="UX10" i="46"/>
  <c r="UX11" i="46"/>
  <c r="UX12" i="46"/>
  <c r="AIE14" i="46"/>
  <c r="AIE7" i="46"/>
  <c r="AIE18" i="46"/>
  <c r="AIE15" i="46"/>
  <c r="AIE12" i="46"/>
  <c r="AIE10" i="46"/>
  <c r="AIE17" i="46"/>
  <c r="AIE8" i="46"/>
  <c r="AIE11" i="46"/>
  <c r="AIE9" i="46"/>
  <c r="AIE16" i="46"/>
  <c r="AIE4" i="46"/>
  <c r="AIE13" i="46"/>
  <c r="AEP4" i="46"/>
  <c r="AEP11" i="46"/>
  <c r="AEP12" i="46"/>
  <c r="AEP7" i="46"/>
  <c r="AEP13" i="46"/>
  <c r="AEP8" i="46"/>
  <c r="AEP9" i="46"/>
  <c r="AEP17" i="46"/>
  <c r="AEP14" i="46"/>
  <c r="AEP10" i="46"/>
  <c r="AEP16" i="46"/>
  <c r="AEP15" i="46"/>
  <c r="ABA18" i="46"/>
  <c r="ABA4" i="46"/>
  <c r="ABA17" i="46"/>
  <c r="ABA15" i="46"/>
  <c r="ABA8" i="46"/>
  <c r="ABA14" i="46"/>
  <c r="ABA13" i="46"/>
  <c r="ABA12" i="46"/>
  <c r="AEQ12" i="46"/>
  <c r="AEQ17" i="46"/>
  <c r="AEQ13" i="46"/>
  <c r="AEQ18" i="46"/>
  <c r="AEQ4" i="46"/>
  <c r="AEQ16" i="46"/>
  <c r="AEQ14" i="46"/>
  <c r="AEQ7" i="46"/>
  <c r="AEQ9" i="46"/>
  <c r="AEQ8" i="46"/>
  <c r="AEQ10" i="46"/>
  <c r="AEQ15" i="46"/>
  <c r="AEQ11" i="46"/>
  <c r="XK16" i="46"/>
  <c r="XK17" i="46"/>
  <c r="XK9" i="46"/>
  <c r="XK4" i="46"/>
  <c r="XK14" i="46"/>
  <c r="XK13" i="46"/>
  <c r="XK8" i="46"/>
  <c r="XK7" i="46"/>
  <c r="XK15" i="46"/>
  <c r="XK11" i="46"/>
  <c r="XK18" i="46"/>
  <c r="XK10" i="46"/>
  <c r="WN10" i="46"/>
  <c r="WN11" i="46"/>
  <c r="WN18" i="46"/>
  <c r="WN14" i="46"/>
  <c r="WN4" i="46"/>
  <c r="WN17" i="46"/>
  <c r="WN7" i="46"/>
  <c r="WN16" i="46"/>
  <c r="WN8" i="46"/>
  <c r="WN15" i="46"/>
  <c r="WN12" i="46"/>
  <c r="WN9" i="46"/>
  <c r="WN13" i="46"/>
  <c r="BU8" i="46"/>
  <c r="BU10" i="46"/>
  <c r="BU15" i="46"/>
  <c r="BU17" i="46"/>
  <c r="BU9" i="46"/>
  <c r="BU16" i="46"/>
  <c r="BU4" i="46"/>
  <c r="AJF14" i="46"/>
  <c r="AJF11" i="46"/>
  <c r="AJF9" i="46"/>
  <c r="AJF17" i="46"/>
  <c r="AJF18" i="46"/>
  <c r="AJF4" i="46"/>
  <c r="AJF10" i="46"/>
  <c r="AJF12" i="46"/>
  <c r="AJF15" i="46"/>
  <c r="XO9" i="46"/>
  <c r="XO13" i="46"/>
  <c r="XO17" i="46"/>
  <c r="XO8" i="46"/>
  <c r="XO10" i="46"/>
  <c r="XO11" i="46"/>
  <c r="XO14" i="46"/>
  <c r="XO15" i="46"/>
  <c r="XO4" i="46"/>
  <c r="XO12" i="46"/>
  <c r="XO18" i="46"/>
  <c r="XO16" i="46"/>
  <c r="SW15" i="46"/>
  <c r="SW10" i="46"/>
  <c r="SW18" i="46"/>
  <c r="SW17" i="46"/>
  <c r="SW9" i="46"/>
  <c r="SW14" i="46"/>
  <c r="SW13" i="46"/>
  <c r="SW16" i="46"/>
  <c r="SW7" i="46"/>
  <c r="SW12" i="46"/>
  <c r="SW4" i="46"/>
  <c r="SW8" i="46"/>
  <c r="SW11" i="46"/>
  <c r="AIR4" i="46"/>
  <c r="AIR16" i="46"/>
  <c r="AIR8" i="46"/>
  <c r="AIR12" i="46"/>
  <c r="AIR14" i="46"/>
  <c r="AIR9" i="46"/>
  <c r="AIR10" i="46"/>
  <c r="AIR15" i="46"/>
  <c r="AIR7" i="46"/>
  <c r="AIR13" i="46"/>
  <c r="AIR11" i="46"/>
  <c r="AIR18" i="46"/>
  <c r="FI13" i="46"/>
  <c r="FI4" i="46"/>
  <c r="FI16" i="46"/>
  <c r="FI8" i="46"/>
  <c r="FI17" i="46"/>
  <c r="FI10" i="46"/>
  <c r="GT17" i="46"/>
  <c r="GT11" i="46"/>
  <c r="GT4" i="46"/>
  <c r="GT9" i="46"/>
  <c r="GT13" i="46"/>
  <c r="GT12" i="46"/>
  <c r="GT18" i="46"/>
  <c r="GT8" i="46"/>
  <c r="GT16" i="46"/>
  <c r="GT10" i="46"/>
  <c r="GT7" i="46"/>
  <c r="QY11" i="46"/>
  <c r="QY10" i="46"/>
  <c r="QY4" i="46"/>
  <c r="QY9" i="46"/>
  <c r="QY13" i="46"/>
  <c r="QY17" i="46"/>
  <c r="QY12" i="46"/>
  <c r="QY16" i="46"/>
  <c r="QY7" i="46"/>
  <c r="QY18" i="46"/>
  <c r="QY14" i="46"/>
  <c r="QY8" i="46"/>
  <c r="QY15" i="46"/>
  <c r="YT12" i="46"/>
  <c r="YT9" i="46"/>
  <c r="YT7" i="46"/>
  <c r="YT13" i="46"/>
  <c r="YT14" i="46"/>
  <c r="YT17" i="46"/>
  <c r="YT10" i="46"/>
  <c r="YT11" i="46"/>
  <c r="YT8" i="46"/>
  <c r="YT16" i="46"/>
  <c r="YT4" i="46"/>
  <c r="YT18" i="46"/>
  <c r="YT15" i="46"/>
  <c r="JQ18" i="46"/>
  <c r="JQ17" i="46"/>
  <c r="ABM15" i="46"/>
  <c r="WB17" i="46"/>
  <c r="AEM13" i="46"/>
  <c r="OG7" i="46"/>
  <c r="KL16" i="46"/>
  <c r="XG15" i="46"/>
  <c r="AAL16" i="46"/>
  <c r="AAA11" i="46"/>
  <c r="BU13" i="46"/>
  <c r="TN15" i="46"/>
  <c r="NI8" i="46"/>
  <c r="IR4" i="46"/>
  <c r="IR11" i="46"/>
  <c r="PJ11" i="46"/>
  <c r="PJ12" i="46"/>
  <c r="PJ16" i="46"/>
  <c r="PJ17" i="46"/>
  <c r="FH11" i="46"/>
  <c r="FH17" i="46"/>
  <c r="FH10" i="46"/>
  <c r="FH18" i="46"/>
  <c r="FH13" i="46"/>
  <c r="WC8" i="46"/>
  <c r="WC9" i="46"/>
  <c r="WC15" i="46"/>
  <c r="FV4" i="46"/>
  <c r="FV11" i="46"/>
  <c r="FV8" i="46"/>
  <c r="FV13" i="46"/>
  <c r="FV9" i="46"/>
  <c r="FV15" i="46"/>
  <c r="FR4" i="46"/>
  <c r="FR14" i="46"/>
  <c r="FR17" i="46"/>
  <c r="FR8" i="46"/>
  <c r="FR15" i="46"/>
  <c r="AKA10" i="46"/>
  <c r="AKA11" i="46"/>
  <c r="AKA14" i="46"/>
  <c r="AKA15" i="46"/>
  <c r="AKA7" i="46"/>
  <c r="AKA16" i="46"/>
  <c r="AKA9" i="46"/>
  <c r="AKA13" i="46"/>
  <c r="AFE14" i="46"/>
  <c r="AFE16" i="46"/>
  <c r="AFE12" i="46"/>
  <c r="AFE11" i="46"/>
  <c r="AFE9" i="46"/>
  <c r="AFE17" i="46"/>
  <c r="AFE4" i="46"/>
  <c r="AFE8" i="46"/>
  <c r="AFE18" i="46"/>
  <c r="AFE13" i="46"/>
  <c r="AFE15" i="46"/>
  <c r="AFE7" i="46"/>
  <c r="VF15" i="46"/>
  <c r="VF9" i="46"/>
  <c r="VF11" i="46"/>
  <c r="VF14" i="46"/>
  <c r="VF18" i="46"/>
  <c r="VF16" i="46"/>
  <c r="VF13" i="46"/>
  <c r="VF4" i="46"/>
  <c r="VF17" i="46"/>
  <c r="VF10" i="46"/>
  <c r="VF12" i="46"/>
  <c r="VF8" i="46"/>
  <c r="AAV14" i="46"/>
  <c r="AAV9" i="46"/>
  <c r="AAV15" i="46"/>
  <c r="AAV16" i="46"/>
  <c r="AAV13" i="46"/>
  <c r="AAV10" i="46"/>
  <c r="AAV7" i="46"/>
  <c r="AAV4" i="46"/>
  <c r="AAV18" i="46"/>
  <c r="AAV8" i="46"/>
  <c r="AAV11" i="46"/>
  <c r="AAV17" i="46"/>
  <c r="KL9" i="46"/>
  <c r="KL15" i="46"/>
  <c r="KL10" i="46"/>
  <c r="KL17" i="46"/>
  <c r="KL4" i="46"/>
  <c r="KL18" i="46"/>
  <c r="BI8" i="46"/>
  <c r="BI4" i="46"/>
  <c r="BI9" i="46"/>
  <c r="BI15" i="46"/>
  <c r="BI7" i="46"/>
  <c r="BI17" i="46"/>
  <c r="BI13" i="46"/>
  <c r="BI10" i="46"/>
  <c r="ADN4" i="46"/>
  <c r="ADN13" i="46"/>
  <c r="ADN18" i="46"/>
  <c r="ADN16" i="46"/>
  <c r="ADN12" i="46"/>
  <c r="ADN9" i="46"/>
  <c r="ADN17" i="46"/>
  <c r="ADN14" i="46"/>
  <c r="ADN10" i="46"/>
  <c r="JP11" i="46"/>
  <c r="JP16" i="46"/>
  <c r="JP12" i="46"/>
  <c r="JP8" i="46"/>
  <c r="JP15" i="46"/>
  <c r="JP4" i="46"/>
  <c r="JP13" i="46"/>
  <c r="JP17" i="46"/>
  <c r="JP10" i="46"/>
  <c r="JP18" i="46"/>
  <c r="PD11" i="46"/>
  <c r="PD15" i="46"/>
  <c r="PD14" i="46"/>
  <c r="PD12" i="46"/>
  <c r="PD17" i="46"/>
  <c r="PD8" i="46"/>
  <c r="PD13" i="46"/>
  <c r="PD4" i="46"/>
  <c r="PD10" i="46"/>
  <c r="PD18" i="46"/>
  <c r="PD16" i="46"/>
  <c r="PD7" i="46"/>
  <c r="RZ15" i="46"/>
  <c r="RZ7" i="46"/>
  <c r="RZ11" i="46"/>
  <c r="RZ16" i="46"/>
  <c r="RZ10" i="46"/>
  <c r="RZ18" i="46"/>
  <c r="RZ14" i="46"/>
  <c r="RZ12" i="46"/>
  <c r="RZ17" i="46"/>
  <c r="RZ9" i="46"/>
  <c r="RZ4" i="46"/>
  <c r="RZ13" i="46"/>
  <c r="RZ8" i="46"/>
  <c r="UI15" i="46"/>
  <c r="UI14" i="46"/>
  <c r="UI8" i="46"/>
  <c r="UI11" i="46"/>
  <c r="UI17" i="46"/>
  <c r="UI10" i="46"/>
  <c r="UI7" i="46"/>
  <c r="UI18" i="46"/>
  <c r="ADB15" i="46"/>
  <c r="ADB14" i="46"/>
  <c r="ADB8" i="46"/>
  <c r="ADB18" i="46"/>
  <c r="ADB13" i="46"/>
  <c r="ADB17" i="46"/>
  <c r="ADB9" i="46"/>
  <c r="ADB7" i="46"/>
  <c r="ADB10" i="46"/>
  <c r="ADB16" i="46"/>
  <c r="KY15" i="46"/>
  <c r="KY13" i="46"/>
  <c r="KY4" i="46"/>
  <c r="KY16" i="46"/>
  <c r="KY17" i="46"/>
  <c r="KY10" i="46"/>
  <c r="KY9" i="46"/>
  <c r="KY12" i="46"/>
  <c r="KY11" i="46"/>
  <c r="AEZ13" i="46"/>
  <c r="AEZ8" i="46"/>
  <c r="AEZ11" i="46"/>
  <c r="AEZ15" i="46"/>
  <c r="AEZ18" i="46"/>
  <c r="AEZ7" i="46"/>
  <c r="AEZ10" i="46"/>
  <c r="AEZ14" i="46"/>
  <c r="AEZ17" i="46"/>
  <c r="AAR4" i="46"/>
  <c r="AAR17" i="46"/>
  <c r="AAR16" i="46"/>
  <c r="AAR7" i="46"/>
  <c r="AAR15" i="46"/>
  <c r="AAR13" i="46"/>
  <c r="AAR10" i="46"/>
  <c r="AAR11" i="46"/>
  <c r="AAR18" i="46"/>
  <c r="AAR14" i="46"/>
  <c r="AAR9" i="46"/>
  <c r="AAR8" i="46"/>
  <c r="AAR12" i="46"/>
  <c r="WE14" i="46"/>
  <c r="WE7" i="46"/>
  <c r="WE4" i="46"/>
  <c r="WE18" i="46"/>
  <c r="WE16" i="46"/>
  <c r="WE10" i="46"/>
  <c r="WE17" i="46"/>
  <c r="WE13" i="46"/>
  <c r="WE8" i="46"/>
  <c r="WE15" i="46"/>
  <c r="WE12" i="46"/>
  <c r="WE11" i="46"/>
  <c r="IU11" i="46"/>
  <c r="IU15" i="46"/>
  <c r="IU16" i="46"/>
  <c r="IU12" i="46"/>
  <c r="IU17" i="46"/>
  <c r="IU13" i="46"/>
  <c r="IU14" i="46"/>
  <c r="DK8" i="46"/>
  <c r="DK13" i="46"/>
  <c r="DK15" i="46"/>
  <c r="DK9" i="46"/>
  <c r="DK18" i="46"/>
  <c r="DK16" i="46"/>
  <c r="DK10" i="46"/>
  <c r="DK17" i="46"/>
  <c r="DK4" i="46"/>
  <c r="UO15" i="46"/>
  <c r="UO12" i="46"/>
  <c r="UO8" i="46"/>
  <c r="UO7" i="46"/>
  <c r="UO4" i="46"/>
  <c r="UO16" i="46"/>
  <c r="UO9" i="46"/>
  <c r="UO11" i="46"/>
  <c r="UO18" i="46"/>
  <c r="UO13" i="46"/>
  <c r="UO10" i="46"/>
  <c r="UO17" i="46"/>
  <c r="KL7" i="46"/>
  <c r="FO18" i="46"/>
  <c r="IX18" i="46"/>
  <c r="FV14" i="46"/>
  <c r="GT14" i="46"/>
  <c r="BU7" i="46"/>
  <c r="FI7" i="46"/>
  <c r="IU7" i="46"/>
  <c r="KY14" i="46"/>
  <c r="FR13" i="46"/>
  <c r="AEZ9" i="46"/>
  <c r="ADB11" i="46"/>
  <c r="AAL13" i="46"/>
  <c r="XG7" i="46"/>
  <c r="UI16" i="46"/>
  <c r="ABA11" i="46"/>
  <c r="ADB4" i="46"/>
  <c r="KL8" i="46"/>
  <c r="AIV4" i="46"/>
  <c r="AIR17" i="46"/>
  <c r="FX12" i="46"/>
  <c r="TN12" i="46"/>
  <c r="WE9" i="46"/>
  <c r="JQ15" i="46"/>
  <c r="JQ8" i="46"/>
  <c r="JQ4" i="46"/>
  <c r="JQ13" i="46"/>
  <c r="JQ10" i="46"/>
  <c r="JQ7" i="46"/>
  <c r="OG16" i="46"/>
  <c r="OG10" i="46"/>
  <c r="OG13" i="46"/>
  <c r="OG9" i="46"/>
  <c r="OG18" i="46"/>
  <c r="OG8" i="46"/>
  <c r="OG4" i="46"/>
  <c r="OG15" i="46"/>
  <c r="WB10" i="46"/>
  <c r="WB11" i="46"/>
  <c r="WB8" i="46"/>
  <c r="WB16" i="46"/>
  <c r="WB15" i="46"/>
  <c r="WB14" i="46"/>
  <c r="WB7" i="46"/>
  <c r="WB12" i="46"/>
  <c r="WB18" i="46"/>
  <c r="ABM17" i="46"/>
  <c r="ABM18" i="46"/>
  <c r="ABM12" i="46"/>
  <c r="ABM9" i="46"/>
  <c r="ABM10" i="46"/>
  <c r="ABM7" i="46"/>
  <c r="ABM16" i="46"/>
  <c r="ABM14" i="46"/>
  <c r="ABM8" i="46"/>
  <c r="ABM13" i="46"/>
  <c r="QH10" i="46"/>
  <c r="QH15" i="46"/>
  <c r="QH17" i="46"/>
  <c r="QH4" i="46"/>
  <c r="QH18" i="46"/>
  <c r="QH13" i="46"/>
  <c r="QH16" i="46"/>
  <c r="QH8" i="46"/>
  <c r="QH14" i="46"/>
  <c r="QH11" i="46"/>
  <c r="IC16" i="46"/>
  <c r="IC4" i="46"/>
  <c r="IC11" i="46"/>
  <c r="IC17" i="46"/>
  <c r="IC18" i="46"/>
  <c r="IC13" i="46"/>
  <c r="IC10" i="46"/>
  <c r="IC9" i="46"/>
  <c r="IC8" i="46"/>
  <c r="AAZ15" i="46"/>
  <c r="AAZ18" i="46"/>
  <c r="AAZ4" i="46"/>
  <c r="AAZ9" i="46"/>
  <c r="AAZ16" i="46"/>
  <c r="AAZ14" i="46"/>
  <c r="AAZ13" i="46"/>
  <c r="AAZ11" i="46"/>
  <c r="AAZ10" i="46"/>
  <c r="AAZ17" i="46"/>
  <c r="AAZ7" i="46"/>
  <c r="AAZ8" i="46"/>
  <c r="AAZ12" i="46"/>
  <c r="OF10" i="46"/>
  <c r="OF18" i="46"/>
  <c r="OF16" i="46"/>
  <c r="OF14" i="46"/>
  <c r="OF15" i="46"/>
  <c r="OF11" i="46"/>
  <c r="OF8" i="46"/>
  <c r="OF13" i="46"/>
  <c r="OF17" i="46"/>
  <c r="OF4" i="46"/>
  <c r="OF7" i="46"/>
  <c r="KA15" i="46"/>
  <c r="KA11" i="46"/>
  <c r="KA4" i="46"/>
  <c r="KA16" i="46"/>
  <c r="KA12" i="46"/>
  <c r="KA9" i="46"/>
  <c r="KA17" i="46"/>
  <c r="KA13" i="46"/>
  <c r="KA10" i="46"/>
  <c r="AAL14" i="46"/>
  <c r="AAL15" i="46"/>
  <c r="AAL11" i="46"/>
  <c r="AAL12" i="46"/>
  <c r="AAL8" i="46"/>
  <c r="AAL10" i="46"/>
  <c r="AAL17" i="46"/>
  <c r="AAL18" i="46"/>
  <c r="AAL7" i="46"/>
  <c r="AAL4" i="46"/>
  <c r="SR10" i="46"/>
  <c r="SR16" i="46"/>
  <c r="SR12" i="46"/>
  <c r="SR9" i="46"/>
  <c r="SR7" i="46"/>
  <c r="SR8" i="46"/>
  <c r="SR14" i="46"/>
  <c r="SR17" i="46"/>
  <c r="SR13" i="46"/>
  <c r="SR18" i="46"/>
  <c r="SR15" i="46"/>
  <c r="SR4" i="46"/>
  <c r="SR11" i="46"/>
  <c r="WI15" i="46"/>
  <c r="WI8" i="46"/>
  <c r="WI13" i="46"/>
  <c r="WI7" i="46"/>
  <c r="WI17" i="46"/>
  <c r="WI14" i="46"/>
  <c r="WI10" i="46"/>
  <c r="WI9" i="46"/>
  <c r="WI4" i="46"/>
  <c r="WI18" i="46"/>
  <c r="DH8" i="46"/>
  <c r="DH13" i="46"/>
  <c r="DH4" i="46"/>
  <c r="DH12" i="46"/>
  <c r="DH10" i="46"/>
  <c r="DH11" i="46"/>
  <c r="DH16" i="46"/>
  <c r="DH15" i="46"/>
  <c r="IS15" i="46"/>
  <c r="IS13" i="46"/>
  <c r="IS10" i="46"/>
  <c r="IS17" i="46"/>
  <c r="IS4" i="46"/>
  <c r="IS8" i="46"/>
  <c r="IS16" i="46"/>
  <c r="ABJ7" i="46"/>
  <c r="ABJ18" i="46"/>
  <c r="ABJ4" i="46"/>
  <c r="ABJ9" i="46"/>
  <c r="ABJ14" i="46"/>
  <c r="ABJ15" i="46"/>
  <c r="ABJ8" i="46"/>
  <c r="ABJ16" i="46"/>
  <c r="ABJ10" i="46"/>
  <c r="ABJ11" i="46"/>
  <c r="ABJ17" i="46"/>
  <c r="ABJ12" i="46"/>
  <c r="ABJ13" i="46"/>
  <c r="MT12" i="46"/>
  <c r="MT8" i="46"/>
  <c r="MT4" i="46"/>
  <c r="MT14" i="46"/>
  <c r="MT15" i="46"/>
  <c r="MT17" i="46"/>
  <c r="MT16" i="46"/>
  <c r="MT10" i="46"/>
  <c r="MT9" i="46"/>
  <c r="MT18" i="46"/>
  <c r="FI18" i="46"/>
  <c r="FX14" i="46"/>
  <c r="BU18" i="46"/>
  <c r="IU18" i="46"/>
  <c r="IX7" i="46"/>
  <c r="FH12" i="46"/>
  <c r="JQ16" i="46"/>
  <c r="IX16" i="46"/>
  <c r="AJF16" i="46"/>
  <c r="FR12" i="46"/>
  <c r="AEZ12" i="46"/>
  <c r="MT11" i="46"/>
  <c r="VF7" i="46"/>
  <c r="XG4" i="46"/>
  <c r="OG12" i="46"/>
  <c r="UI4" i="46"/>
  <c r="ABA9" i="46"/>
  <c r="ADX11" i="46"/>
  <c r="XL8" i="46"/>
  <c r="IH8" i="46"/>
  <c r="IH16" i="46"/>
  <c r="IH13" i="46"/>
  <c r="IH15" i="46"/>
  <c r="IH4" i="46"/>
  <c r="IH17" i="46"/>
  <c r="IH10" i="46"/>
  <c r="IH18" i="46"/>
  <c r="IH12" i="46"/>
  <c r="AJY16" i="46"/>
  <c r="AJY9" i="46"/>
  <c r="AJY13" i="46"/>
  <c r="AJY18" i="46"/>
  <c r="AJY4" i="46"/>
  <c r="AJY17" i="46"/>
  <c r="AJY10" i="46"/>
  <c r="AJY8" i="46"/>
  <c r="AJY7" i="46"/>
  <c r="AJY12" i="46"/>
  <c r="AJY11" i="46"/>
  <c r="AJY15" i="46"/>
  <c r="AFZ11" i="46"/>
  <c r="AFZ4" i="46"/>
  <c r="AFZ15" i="46"/>
  <c r="AFZ14" i="46"/>
  <c r="AFZ7" i="46"/>
  <c r="AFZ16" i="46"/>
  <c r="AFZ17" i="46"/>
  <c r="AFZ10" i="46"/>
  <c r="AFZ18" i="46"/>
  <c r="AFZ8" i="46"/>
  <c r="AFZ12" i="46"/>
  <c r="AFZ9" i="46"/>
  <c r="AHP15" i="46"/>
  <c r="AHP17" i="46"/>
  <c r="AHP10" i="46"/>
  <c r="AHP11" i="46"/>
  <c r="AHP12" i="46"/>
  <c r="AHP8" i="46"/>
  <c r="AHP7" i="46"/>
  <c r="AHP9" i="46"/>
  <c r="AHP13" i="46"/>
  <c r="AHP4" i="46"/>
  <c r="AHP14" i="46"/>
  <c r="AHP16" i="46"/>
  <c r="NI17" i="46"/>
  <c r="NI15" i="46"/>
  <c r="NI13" i="46"/>
  <c r="NI12" i="46"/>
  <c r="NI14" i="46"/>
  <c r="NI11" i="46"/>
  <c r="NI9" i="46"/>
  <c r="NI18" i="46"/>
  <c r="NI16" i="46"/>
  <c r="NI4" i="46"/>
  <c r="WJ8" i="46"/>
  <c r="WJ7" i="46"/>
  <c r="WJ16" i="46"/>
  <c r="WJ18" i="46"/>
  <c r="WJ11" i="46"/>
  <c r="WJ9" i="46"/>
  <c r="WJ15" i="46"/>
  <c r="WJ12" i="46"/>
  <c r="WJ17" i="46"/>
  <c r="WJ14" i="46"/>
  <c r="WJ13" i="46"/>
  <c r="WJ4" i="46"/>
  <c r="WJ10" i="46"/>
  <c r="FO13" i="46"/>
  <c r="FO11" i="46"/>
  <c r="FO8" i="46"/>
  <c r="FO4" i="46"/>
  <c r="FO10" i="46"/>
  <c r="FO7" i="46"/>
  <c r="FO14" i="46"/>
  <c r="FR7" i="46"/>
  <c r="FR18" i="46"/>
  <c r="IC14" i="46"/>
  <c r="FI14" i="46"/>
  <c r="FH7" i="46"/>
  <c r="IS7" i="46"/>
  <c r="BI18" i="46"/>
  <c r="QH7" i="46"/>
  <c r="FH14" i="46"/>
  <c r="PY9" i="46"/>
  <c r="FO12" i="46"/>
  <c r="IC12" i="46"/>
  <c r="IX17" i="46"/>
  <c r="FI11" i="46"/>
  <c r="AJF8" i="46"/>
  <c r="FR11" i="46"/>
  <c r="AEZ4" i="46"/>
  <c r="MT13" i="46"/>
  <c r="WI16" i="46"/>
  <c r="UI13" i="46"/>
  <c r="ABA16" i="46"/>
  <c r="FO16" i="46"/>
  <c r="ADN7" i="46"/>
  <c r="GT15" i="46"/>
  <c r="AFF4" i="46"/>
  <c r="AEP18" i="46"/>
  <c r="XJ14" i="46"/>
  <c r="PY16" i="46"/>
  <c r="FO15" i="46"/>
  <c r="MM15" i="46"/>
  <c r="MM11" i="46"/>
  <c r="MM4" i="46"/>
  <c r="MM18" i="46"/>
  <c r="MM17" i="46"/>
  <c r="MM13" i="46"/>
  <c r="MM16" i="46"/>
  <c r="HZ18" i="46"/>
  <c r="CM7" i="46"/>
  <c r="HS18" i="46"/>
  <c r="LR7" i="46"/>
  <c r="NR7" i="46"/>
  <c r="BG18" i="46"/>
  <c r="BG11" i="46"/>
  <c r="MG18" i="46"/>
  <c r="MG11" i="46"/>
  <c r="LR18" i="46"/>
  <c r="MG9" i="46"/>
  <c r="MM9" i="46"/>
  <c r="HZ16" i="46"/>
  <c r="BG15" i="46"/>
  <c r="BJ10" i="46"/>
  <c r="LS10" i="46"/>
  <c r="ACJ11" i="46"/>
  <c r="ACJ17" i="46"/>
  <c r="NE18" i="46"/>
  <c r="NR8" i="46"/>
  <c r="CM15" i="46"/>
  <c r="IW17" i="46"/>
  <c r="OI11" i="46"/>
  <c r="AKF8" i="46"/>
  <c r="ABW13" i="46"/>
  <c r="ABW9" i="46"/>
  <c r="LR10" i="46"/>
  <c r="AKF7" i="46"/>
  <c r="SK8" i="46"/>
  <c r="AFD13" i="46"/>
  <c r="HW15" i="46"/>
  <c r="SK18" i="46"/>
  <c r="RK17" i="46"/>
  <c r="EK15" i="46"/>
  <c r="AFD8" i="46"/>
  <c r="ABO10" i="46"/>
  <c r="AKG8" i="46"/>
  <c r="LS4" i="46"/>
  <c r="LR13" i="46"/>
  <c r="AKG11" i="46"/>
  <c r="AKG15" i="46"/>
  <c r="AKG14" i="46"/>
  <c r="AKG17" i="46"/>
  <c r="AKG13" i="46"/>
  <c r="AKG16" i="46"/>
  <c r="AKG18" i="46"/>
  <c r="AKG9" i="46"/>
  <c r="AKG12" i="46"/>
  <c r="AKG10" i="46"/>
  <c r="AKG7" i="46"/>
  <c r="AJZ7" i="46"/>
  <c r="AJZ4" i="46"/>
  <c r="AEF14" i="46"/>
  <c r="AEF4" i="46"/>
  <c r="AEF7" i="46"/>
  <c r="NW15" i="46"/>
  <c r="NW13" i="46"/>
  <c r="NW7" i="46"/>
  <c r="NW12" i="46"/>
  <c r="NW16" i="46"/>
  <c r="NW4" i="46"/>
  <c r="NW8" i="46"/>
  <c r="NW11" i="46"/>
  <c r="NW14" i="46"/>
  <c r="NW17" i="46"/>
  <c r="NW18" i="46"/>
  <c r="HD9" i="46"/>
  <c r="HD17" i="46"/>
  <c r="HD8" i="46"/>
  <c r="HD11" i="46"/>
  <c r="HD16" i="46"/>
  <c r="HD13" i="46"/>
  <c r="HD4" i="46"/>
  <c r="YY9" i="46"/>
  <c r="YY13" i="46"/>
  <c r="YY18" i="46"/>
  <c r="YY14" i="46"/>
  <c r="YY12" i="46"/>
  <c r="YY16" i="46"/>
  <c r="YY7" i="46"/>
  <c r="YY15" i="46"/>
  <c r="YY4" i="46"/>
  <c r="YY11" i="46"/>
  <c r="YY17" i="46"/>
  <c r="BP15" i="46"/>
  <c r="BP8" i="46"/>
  <c r="BP11" i="46"/>
  <c r="BP16" i="46"/>
  <c r="BP13" i="46"/>
  <c r="BP4" i="46"/>
  <c r="HZ15" i="46"/>
  <c r="HZ13" i="46"/>
  <c r="HZ11" i="46"/>
  <c r="HZ12" i="46"/>
  <c r="HZ4" i="46"/>
  <c r="AFI8" i="46"/>
  <c r="AFI14" i="46"/>
  <c r="AFI9" i="46"/>
  <c r="AFI13" i="46"/>
  <c r="AFI17" i="46"/>
  <c r="AFI11" i="46"/>
  <c r="AFI15" i="46"/>
  <c r="AFI18" i="46"/>
  <c r="XT14" i="46"/>
  <c r="XT13" i="46"/>
  <c r="XT18" i="46"/>
  <c r="XT10" i="46"/>
  <c r="XT17" i="46"/>
  <c r="XT15" i="46"/>
  <c r="XT12" i="46"/>
  <c r="XT7" i="46"/>
  <c r="XT4" i="46"/>
  <c r="XT16" i="46"/>
  <c r="XQ8" i="46"/>
  <c r="XQ11" i="46"/>
  <c r="XQ12" i="46"/>
  <c r="XQ10" i="46"/>
  <c r="XQ7" i="46"/>
  <c r="XQ9" i="46"/>
  <c r="XQ4" i="46"/>
  <c r="XQ13" i="46"/>
  <c r="XQ16" i="46"/>
  <c r="XQ15" i="46"/>
  <c r="XQ18" i="46"/>
  <c r="ACB15" i="46"/>
  <c r="ACB17" i="46"/>
  <c r="ACB10" i="46"/>
  <c r="ACB18" i="46"/>
  <c r="ACB7" i="46"/>
  <c r="ACB11" i="46"/>
  <c r="ACB13" i="46"/>
  <c r="ACB8" i="46"/>
  <c r="ACB12" i="46"/>
  <c r="ACB16" i="46"/>
  <c r="ACB4" i="46"/>
  <c r="ACB14" i="46"/>
  <c r="ACB9" i="46"/>
  <c r="AIG13" i="46"/>
  <c r="AIG10" i="46"/>
  <c r="AIG17" i="46"/>
  <c r="AIG4" i="46"/>
  <c r="AIG15" i="46"/>
  <c r="AIG18" i="46"/>
  <c r="AIG9" i="46"/>
  <c r="AIG11" i="46"/>
  <c r="AIG14" i="46"/>
  <c r="AIG12" i="46"/>
  <c r="AIG7" i="46"/>
  <c r="AIG16" i="46"/>
  <c r="AIG8" i="46"/>
  <c r="ZA4" i="46"/>
  <c r="ZA7" i="46"/>
  <c r="ZA16" i="46"/>
  <c r="ZA18" i="46"/>
  <c r="ZA13" i="46"/>
  <c r="ZA15" i="46"/>
  <c r="ZA17" i="46"/>
  <c r="ZA11" i="46"/>
  <c r="ZA10" i="46"/>
  <c r="ZA12" i="46"/>
  <c r="ZA8" i="46"/>
  <c r="ADP13" i="46"/>
  <c r="ADP15" i="46"/>
  <c r="ADP12" i="46"/>
  <c r="ADP16" i="46"/>
  <c r="ADP14" i="46"/>
  <c r="ADP18" i="46"/>
  <c r="ADP17" i="46"/>
  <c r="ADP8" i="46"/>
  <c r="ADP4" i="46"/>
  <c r="ADP7" i="46"/>
  <c r="ADP10" i="46"/>
  <c r="AFK17" i="46"/>
  <c r="AFK4" i="46"/>
  <c r="AFK9" i="46"/>
  <c r="AFK18" i="46"/>
  <c r="AFK7" i="46"/>
  <c r="AFK8" i="46"/>
  <c r="AFK10" i="46"/>
  <c r="AFK14" i="46"/>
  <c r="AFK16" i="46"/>
  <c r="AFK15" i="46"/>
  <c r="AFK12" i="46"/>
  <c r="NX16" i="46"/>
  <c r="NX10" i="46"/>
  <c r="NX11" i="46"/>
  <c r="NX18" i="46"/>
  <c r="NX4" i="46"/>
  <c r="NX12" i="46"/>
  <c r="NX13" i="46"/>
  <c r="NX8" i="46"/>
  <c r="NX15" i="46"/>
  <c r="XE15" i="46"/>
  <c r="XE11" i="46"/>
  <c r="XE9" i="46"/>
  <c r="XE8" i="46"/>
  <c r="XE13" i="46"/>
  <c r="XE16" i="46"/>
  <c r="XE18" i="46"/>
  <c r="XE12" i="46"/>
  <c r="XE10" i="46"/>
  <c r="XE4" i="46"/>
  <c r="XE17" i="46"/>
  <c r="XE7" i="46"/>
  <c r="ACF9" i="46"/>
  <c r="ACF7" i="46"/>
  <c r="ACF11" i="46"/>
  <c r="ACF4" i="46"/>
  <c r="ACF8" i="46"/>
  <c r="ACF13" i="46"/>
  <c r="ACF17" i="46"/>
  <c r="ACF16" i="46"/>
  <c r="ACF15" i="46"/>
  <c r="ACF10" i="46"/>
  <c r="NR13" i="46"/>
  <c r="NR18" i="46"/>
  <c r="NR17" i="46"/>
  <c r="NR10" i="46"/>
  <c r="BJ17" i="46"/>
  <c r="BJ9" i="46"/>
  <c r="BJ8" i="46"/>
  <c r="JE15" i="46"/>
  <c r="JE4" i="46"/>
  <c r="JE13" i="46"/>
  <c r="BQ11" i="46"/>
  <c r="BQ8" i="46"/>
  <c r="BQ17" i="46"/>
  <c r="BQ12" i="46"/>
  <c r="BQ13" i="46"/>
  <c r="BQ16" i="46"/>
  <c r="SK17" i="46"/>
  <c r="SK10" i="46"/>
  <c r="SK4" i="46"/>
  <c r="SK15" i="46"/>
  <c r="BV4" i="46"/>
  <c r="BV9" i="46"/>
  <c r="BV13" i="46"/>
  <c r="BV8" i="46"/>
  <c r="BV17" i="46"/>
  <c r="BV16" i="46"/>
  <c r="BV15" i="46"/>
  <c r="MG13" i="46"/>
  <c r="MG15" i="46"/>
  <c r="MG17" i="46"/>
  <c r="MG8" i="46"/>
  <c r="MG4" i="46"/>
  <c r="AEH18" i="46"/>
  <c r="AEH11" i="46"/>
  <c r="AEH12" i="46"/>
  <c r="AEH17" i="46"/>
  <c r="AEH14" i="46"/>
  <c r="AEH16" i="46"/>
  <c r="TT15" i="46"/>
  <c r="TT18" i="46"/>
  <c r="TT10" i="46"/>
  <c r="GJ17" i="46"/>
  <c r="GJ16" i="46"/>
  <c r="GJ11" i="46"/>
  <c r="GJ15" i="46"/>
  <c r="GJ8" i="46"/>
  <c r="GJ12" i="46"/>
  <c r="GJ13" i="46"/>
  <c r="ACG7" i="46"/>
  <c r="ACG13" i="46"/>
  <c r="ACG11" i="46"/>
  <c r="ACG8" i="46"/>
  <c r="ACG15" i="46"/>
  <c r="ACG14" i="46"/>
  <c r="ACG4" i="46"/>
  <c r="ACG12" i="46"/>
  <c r="ACG10" i="46"/>
  <c r="ACG16" i="46"/>
  <c r="ACG17" i="46"/>
  <c r="GJ18" i="46"/>
  <c r="DW18" i="46"/>
  <c r="MM14" i="46"/>
  <c r="JE16" i="46"/>
  <c r="DW16" i="46"/>
  <c r="HD10" i="46"/>
  <c r="AEF18" i="46"/>
  <c r="ACJ15" i="46"/>
  <c r="ACJ14" i="46"/>
  <c r="NE17" i="46"/>
  <c r="CM8" i="46"/>
  <c r="AJO13" i="46"/>
  <c r="OI15" i="46"/>
  <c r="CU15" i="46"/>
  <c r="OI14" i="46"/>
  <c r="AJO16" i="46"/>
  <c r="YN11" i="46"/>
  <c r="CC15" i="46"/>
  <c r="EW15" i="46"/>
  <c r="AEF15" i="46"/>
  <c r="AJO12" i="46"/>
  <c r="YN7" i="46"/>
  <c r="TT7" i="46"/>
  <c r="OI10" i="46"/>
  <c r="YN4" i="46"/>
  <c r="AEF8" i="46"/>
  <c r="OI4" i="46"/>
  <c r="AY15" i="46"/>
  <c r="AFD7" i="46"/>
  <c r="SK11" i="46"/>
  <c r="GJ10" i="46"/>
  <c r="SK14" i="46"/>
  <c r="HQ15" i="46"/>
  <c r="AEH10" i="46"/>
  <c r="ACG18" i="46"/>
  <c r="ACG9" i="46"/>
  <c r="TG10" i="46"/>
  <c r="AFI4" i="46"/>
  <c r="AFI12" i="46"/>
  <c r="XT9" i="46"/>
  <c r="BQ10" i="46"/>
  <c r="VS13" i="46"/>
  <c r="VS10" i="46"/>
  <c r="VS8" i="46"/>
  <c r="MC15" i="46"/>
  <c r="MC11" i="46"/>
  <c r="MC13" i="46"/>
  <c r="MC12" i="46"/>
  <c r="MC17" i="46"/>
  <c r="MC10" i="46"/>
  <c r="MC18" i="46"/>
  <c r="MC14" i="46"/>
  <c r="MC16" i="46"/>
  <c r="MC9" i="46"/>
  <c r="MC4" i="46"/>
  <c r="QZ17" i="46"/>
  <c r="QZ10" i="46"/>
  <c r="QZ14" i="46"/>
  <c r="ZQ9" i="46"/>
  <c r="ZQ7" i="46"/>
  <c r="XM12" i="46"/>
  <c r="XM4" i="46"/>
  <c r="GY15" i="46"/>
  <c r="DY15" i="46"/>
  <c r="BE15" i="46"/>
  <c r="EE15" i="46"/>
  <c r="DM15" i="46"/>
  <c r="FI15" i="46"/>
  <c r="DS15" i="46"/>
  <c r="HK15" i="46"/>
  <c r="AFC16" i="46"/>
  <c r="AFC18" i="46"/>
  <c r="AFC7" i="46"/>
  <c r="AFC4" i="46"/>
  <c r="AFC11" i="46"/>
  <c r="AFC14" i="46"/>
  <c r="AFC8" i="46"/>
  <c r="AFC10" i="46"/>
  <c r="AFC17" i="46"/>
  <c r="AFC15" i="46"/>
  <c r="AFC13" i="46"/>
  <c r="AFC12" i="46"/>
  <c r="AFC9" i="46"/>
  <c r="LS17" i="46"/>
  <c r="LS8" i="46"/>
  <c r="LS16" i="46"/>
  <c r="LS15" i="46"/>
  <c r="TK18" i="46"/>
  <c r="TK14" i="46"/>
  <c r="TK16" i="46"/>
  <c r="TK7" i="46"/>
  <c r="TK11" i="46"/>
  <c r="TK13" i="46"/>
  <c r="TK4" i="46"/>
  <c r="TK17" i="46"/>
  <c r="TK9" i="46"/>
  <c r="TK10" i="46"/>
  <c r="TK12" i="46"/>
  <c r="TG4" i="46"/>
  <c r="TG12" i="46"/>
  <c r="TG18" i="46"/>
  <c r="TG15" i="46"/>
  <c r="TG13" i="46"/>
  <c r="TG16" i="46"/>
  <c r="TG7" i="46"/>
  <c r="TG9" i="46"/>
  <c r="TG14" i="46"/>
  <c r="TG11" i="46"/>
  <c r="TG17" i="46"/>
  <c r="DW10" i="46"/>
  <c r="DW13" i="46"/>
  <c r="DW15" i="46"/>
  <c r="BO15" i="46"/>
  <c r="BO13" i="46"/>
  <c r="BO8" i="46"/>
  <c r="AJX15" i="46"/>
  <c r="AJX8" i="46"/>
  <c r="AJX16" i="46"/>
  <c r="AJX9" i="46"/>
  <c r="AJX7" i="46"/>
  <c r="AJX10" i="46"/>
  <c r="AJX4" i="46"/>
  <c r="AJX14" i="46"/>
  <c r="AJX13" i="46"/>
  <c r="AJX18" i="46"/>
  <c r="AJO15" i="46"/>
  <c r="AJO11" i="46"/>
  <c r="AJO17" i="46"/>
  <c r="AJO4" i="46"/>
  <c r="AJO8" i="46"/>
  <c r="AKF4" i="46"/>
  <c r="AKF13" i="46"/>
  <c r="AKF15" i="46"/>
  <c r="AKF12" i="46"/>
  <c r="AKF11" i="46"/>
  <c r="ACI15" i="46"/>
  <c r="ACI17" i="46"/>
  <c r="ACI10" i="46"/>
  <c r="ACI8" i="46"/>
  <c r="ACI14" i="46"/>
  <c r="ACI13" i="46"/>
  <c r="ACI11" i="46"/>
  <c r="ACI4" i="46"/>
  <c r="ACI9" i="46"/>
  <c r="ACI12" i="46"/>
  <c r="ACI7" i="46"/>
  <c r="ACI18" i="46"/>
  <c r="ACI16" i="46"/>
  <c r="AIL10" i="46"/>
  <c r="AIL14" i="46"/>
  <c r="AIL7" i="46"/>
  <c r="AIL16" i="46"/>
  <c r="AIL18" i="46"/>
  <c r="AIL9" i="46"/>
  <c r="AIL11" i="46"/>
  <c r="AIL12" i="46"/>
  <c r="AIL15" i="46"/>
  <c r="AIL4" i="46"/>
  <c r="AIL8" i="46"/>
  <c r="AIL13" i="46"/>
  <c r="AIL17" i="46"/>
  <c r="SM9" i="46"/>
  <c r="SM12" i="46"/>
  <c r="SM14" i="46"/>
  <c r="SM11" i="46"/>
  <c r="SM16" i="46"/>
  <c r="SM8" i="46"/>
  <c r="SM13" i="46"/>
  <c r="SM15" i="46"/>
  <c r="SM18" i="46"/>
  <c r="SM4" i="46"/>
  <c r="SM7" i="46"/>
  <c r="SM17" i="46"/>
  <c r="BG17" i="46"/>
  <c r="BG9" i="46"/>
  <c r="BG13" i="46"/>
  <c r="BG10" i="46"/>
  <c r="BG4" i="46"/>
  <c r="LR15" i="46"/>
  <c r="LR17" i="46"/>
  <c r="LR16" i="46"/>
  <c r="LR8" i="46"/>
  <c r="LR11" i="46"/>
  <c r="LR12" i="46"/>
  <c r="LR4" i="46"/>
  <c r="AJM18" i="46"/>
  <c r="AJM11" i="46"/>
  <c r="AJM9" i="46"/>
  <c r="AJM13" i="46"/>
  <c r="AJM17" i="46"/>
  <c r="AJM4" i="46"/>
  <c r="AJM12" i="46"/>
  <c r="AJM16" i="46"/>
  <c r="AJM14" i="46"/>
  <c r="AJM15" i="46"/>
  <c r="RK18" i="46"/>
  <c r="RK12" i="46"/>
  <c r="RK13" i="46"/>
  <c r="RK15" i="46"/>
  <c r="RK11" i="46"/>
  <c r="RK14" i="46"/>
  <c r="RK8" i="46"/>
  <c r="RK10" i="46"/>
  <c r="YN12" i="46"/>
  <c r="YN16" i="46"/>
  <c r="IW11" i="46"/>
  <c r="IW4" i="46"/>
  <c r="IW13" i="46"/>
  <c r="IW16" i="46"/>
  <c r="IW12" i="46"/>
  <c r="IW10" i="46"/>
  <c r="ABO18" i="46"/>
  <c r="ABO4" i="46"/>
  <c r="ABO11" i="46"/>
  <c r="ABO13" i="46"/>
  <c r="ABO12" i="46"/>
  <c r="ABO8" i="46"/>
  <c r="AGP18" i="46"/>
  <c r="AGP17" i="46"/>
  <c r="AGP10" i="46"/>
  <c r="AGP12" i="46"/>
  <c r="AGP16" i="46"/>
  <c r="AGP7" i="46"/>
  <c r="AGP14" i="46"/>
  <c r="AGP15" i="46"/>
  <c r="AGP11" i="46"/>
  <c r="AGP9" i="46"/>
  <c r="MD16" i="46"/>
  <c r="MD12" i="46"/>
  <c r="MD18" i="46"/>
  <c r="MD4" i="46"/>
  <c r="MD13" i="46"/>
  <c r="MD17" i="46"/>
  <c r="MD11" i="46"/>
  <c r="MD15" i="46"/>
  <c r="MD8" i="46"/>
  <c r="TJ16" i="46"/>
  <c r="TJ10" i="46"/>
  <c r="TJ12" i="46"/>
  <c r="TJ7" i="46"/>
  <c r="TJ17" i="46"/>
  <c r="TJ4" i="46"/>
  <c r="TJ11" i="46"/>
  <c r="TJ18" i="46"/>
  <c r="TJ14" i="46"/>
  <c r="TJ15" i="46"/>
  <c r="VZ4" i="46"/>
  <c r="VZ10" i="46"/>
  <c r="VZ17" i="46"/>
  <c r="VZ12" i="46"/>
  <c r="VZ18" i="46"/>
  <c r="VZ15" i="46"/>
  <c r="VZ7" i="46"/>
  <c r="VZ8" i="46"/>
  <c r="VZ16" i="46"/>
  <c r="VZ14" i="46"/>
  <c r="VZ9" i="46"/>
  <c r="SI14" i="46"/>
  <c r="SI8" i="46"/>
  <c r="SI13" i="46"/>
  <c r="SI9" i="46"/>
  <c r="SI15" i="46"/>
  <c r="SI17" i="46"/>
  <c r="SI11" i="46"/>
  <c r="SI18" i="46"/>
  <c r="SI16" i="46"/>
  <c r="SI12" i="46"/>
  <c r="SI7" i="46"/>
  <c r="AJT10" i="46"/>
  <c r="AJT8" i="46"/>
  <c r="AJT14" i="46"/>
  <c r="AJT12" i="46"/>
  <c r="AJT16" i="46"/>
  <c r="AJT7" i="46"/>
  <c r="AJT11" i="46"/>
  <c r="AJT13" i="46"/>
  <c r="AJT4" i="46"/>
  <c r="AJT15" i="46"/>
  <c r="AJT18" i="46"/>
  <c r="AJT9" i="46"/>
  <c r="ADH14" i="46"/>
  <c r="ADH11" i="46"/>
  <c r="ADH16" i="46"/>
  <c r="ADH17" i="46"/>
  <c r="ADH15" i="46"/>
  <c r="GO9" i="46"/>
  <c r="GO15" i="46"/>
  <c r="GO13" i="46"/>
  <c r="GO11" i="46"/>
  <c r="GO4" i="46"/>
  <c r="GO10" i="46"/>
  <c r="AIW14" i="46"/>
  <c r="AIW7" i="46"/>
  <c r="AIW16" i="46"/>
  <c r="AIW18" i="46"/>
  <c r="AIW4" i="46"/>
  <c r="AIW17" i="46"/>
  <c r="AIW8" i="46"/>
  <c r="AIW15" i="46"/>
  <c r="AIW13" i="46"/>
  <c r="AIW11" i="46"/>
  <c r="AIW10" i="46"/>
  <c r="OJ18" i="46"/>
  <c r="OJ4" i="46"/>
  <c r="OJ8" i="46"/>
  <c r="OJ12" i="46"/>
  <c r="OJ15" i="46"/>
  <c r="OJ14" i="46"/>
  <c r="OJ17" i="46"/>
  <c r="OJ11" i="46"/>
  <c r="OJ10" i="46"/>
  <c r="OJ13" i="46"/>
  <c r="NC12" i="46"/>
  <c r="NC4" i="46"/>
  <c r="NC15" i="46"/>
  <c r="NC13" i="46"/>
  <c r="NC16" i="46"/>
  <c r="NC8" i="46"/>
  <c r="NC17" i="46"/>
  <c r="EP17" i="46"/>
  <c r="EP16" i="46"/>
  <c r="EP11" i="46"/>
  <c r="EP4" i="46"/>
  <c r="EP8" i="46"/>
  <c r="EP15" i="46"/>
  <c r="EP13" i="46"/>
  <c r="EP9" i="46"/>
  <c r="BJ18" i="46"/>
  <c r="BJ7" i="46"/>
  <c r="GJ7" i="46"/>
  <c r="HD7" i="46"/>
  <c r="MM7" i="46"/>
  <c r="MG14" i="46"/>
  <c r="MD7" i="46"/>
  <c r="FK14" i="46"/>
  <c r="BV18" i="46"/>
  <c r="CM18" i="46"/>
  <c r="JE7" i="46"/>
  <c r="BQ18" i="46"/>
  <c r="BP18" i="46"/>
  <c r="HD18" i="46"/>
  <c r="NX7" i="46"/>
  <c r="LS14" i="46"/>
  <c r="NE14" i="46"/>
  <c r="HD12" i="46"/>
  <c r="CM16" i="46"/>
  <c r="NE10" i="46"/>
  <c r="HS15" i="46"/>
  <c r="BV11" i="46"/>
  <c r="AEF12" i="46"/>
  <c r="FC15" i="46"/>
  <c r="ACJ4" i="46"/>
  <c r="ACJ12" i="46"/>
  <c r="NE8" i="46"/>
  <c r="AS15" i="46"/>
  <c r="NE11" i="46"/>
  <c r="AEF9" i="46"/>
  <c r="TT8" i="46"/>
  <c r="AJO14" i="46"/>
  <c r="AKF9" i="46"/>
  <c r="HZ10" i="46"/>
  <c r="EQ15" i="46"/>
  <c r="TT9" i="46"/>
  <c r="TT4" i="46"/>
  <c r="AKF18" i="46"/>
  <c r="TT14" i="46"/>
  <c r="AEH4" i="46"/>
  <c r="MD10" i="46"/>
  <c r="ABO16" i="46"/>
  <c r="ADH18" i="46"/>
  <c r="SK7" i="46"/>
  <c r="IC15" i="46"/>
  <c r="ADH13" i="46"/>
  <c r="AEH7" i="46"/>
  <c r="AFK11" i="46"/>
  <c r="AGP13" i="46"/>
  <c r="AJX11" i="46"/>
  <c r="BQ4" i="46"/>
  <c r="JE8" i="46"/>
  <c r="NX17" i="46"/>
  <c r="ABW14" i="46"/>
  <c r="ABW4" i="46"/>
  <c r="ABW10" i="46"/>
  <c r="ABW16" i="46"/>
  <c r="TX9" i="46"/>
  <c r="TX18" i="46"/>
  <c r="TX14" i="46"/>
  <c r="TX17" i="46"/>
  <c r="TX10" i="46"/>
  <c r="TX12" i="46"/>
  <c r="TX11" i="46"/>
  <c r="TX15" i="46"/>
  <c r="TX16" i="46"/>
  <c r="TX8" i="46"/>
  <c r="TX7" i="46"/>
  <c r="TX13" i="46"/>
  <c r="TX4" i="46"/>
  <c r="IK13" i="46"/>
  <c r="IK16" i="46"/>
  <c r="IK12" i="46"/>
  <c r="IK11" i="46"/>
  <c r="IK9" i="46"/>
  <c r="IK10" i="46"/>
  <c r="IK15" i="46"/>
  <c r="IK4" i="46"/>
  <c r="VJ16" i="46"/>
  <c r="VJ17" i="46"/>
  <c r="VJ15" i="46"/>
  <c r="VJ13" i="46"/>
  <c r="VJ12" i="46"/>
  <c r="VJ18" i="46"/>
  <c r="VJ8" i="46"/>
  <c r="VJ9" i="46"/>
  <c r="VJ14" i="46"/>
  <c r="VJ7" i="46"/>
  <c r="VJ4" i="46"/>
  <c r="AFD15" i="46"/>
  <c r="AFD14" i="46"/>
  <c r="AFD12" i="46"/>
  <c r="XS9" i="46"/>
  <c r="XS14" i="46"/>
  <c r="XS15" i="46"/>
  <c r="XS4" i="46"/>
  <c r="XS7" i="46"/>
  <c r="XS8" i="46"/>
  <c r="XS16" i="46"/>
  <c r="XS11" i="46"/>
  <c r="XS13" i="46"/>
  <c r="XS17" i="46"/>
  <c r="XS12" i="46"/>
  <c r="XS18" i="46"/>
  <c r="VL18" i="46"/>
  <c r="VL17" i="46"/>
  <c r="VL13" i="46"/>
  <c r="VL7" i="46"/>
  <c r="VL12" i="46"/>
  <c r="VL15" i="46"/>
  <c r="VL4" i="46"/>
  <c r="VL14" i="46"/>
  <c r="VL11" i="46"/>
  <c r="VL10" i="46"/>
  <c r="VL9" i="46"/>
  <c r="RR16" i="46"/>
  <c r="RR18" i="46"/>
  <c r="RR10" i="46"/>
  <c r="RR14" i="46"/>
  <c r="RR17" i="46"/>
  <c r="RR15" i="46"/>
  <c r="RR8" i="46"/>
  <c r="RR11" i="46"/>
  <c r="RR13" i="46"/>
  <c r="RR7" i="46"/>
  <c r="RR9" i="46"/>
  <c r="RR12" i="46"/>
  <c r="UA14" i="46"/>
  <c r="UA12" i="46"/>
  <c r="UA8" i="46"/>
  <c r="UA10" i="46"/>
  <c r="UA18" i="46"/>
  <c r="UA13" i="46"/>
  <c r="UA11" i="46"/>
  <c r="UA16" i="46"/>
  <c r="UA4" i="46"/>
  <c r="UA15" i="46"/>
  <c r="UA9" i="46"/>
  <c r="UA17" i="46"/>
  <c r="HS11" i="46"/>
  <c r="HS4" i="46"/>
  <c r="HS12" i="46"/>
  <c r="HS9" i="46"/>
  <c r="HS10" i="46"/>
  <c r="HS16" i="46"/>
  <c r="HS17" i="46"/>
  <c r="UV15" i="46"/>
  <c r="UV17" i="46"/>
  <c r="UV18" i="46"/>
  <c r="UV16" i="46"/>
  <c r="UV8" i="46"/>
  <c r="UV7" i="46"/>
  <c r="UV11" i="46"/>
  <c r="UV12" i="46"/>
  <c r="UV4" i="46"/>
  <c r="UV14" i="46"/>
  <c r="UV9" i="46"/>
  <c r="UV13" i="46"/>
  <c r="AGH18" i="46"/>
  <c r="AGH16" i="46"/>
  <c r="AGH13" i="46"/>
  <c r="AGH11" i="46"/>
  <c r="AGH12" i="46"/>
  <c r="AGH10" i="46"/>
  <c r="AGH15" i="46"/>
  <c r="AGH9" i="46"/>
  <c r="AGH4" i="46"/>
  <c r="AGH17" i="46"/>
  <c r="HS14" i="46"/>
  <c r="BQ7" i="46"/>
  <c r="BP7" i="46"/>
  <c r="BO7" i="46"/>
  <c r="BG12" i="46"/>
  <c r="GO12" i="46"/>
  <c r="BP12" i="46"/>
  <c r="BV12" i="46"/>
  <c r="NC14" i="46"/>
  <c r="JE17" i="46"/>
  <c r="MM12" i="46"/>
  <c r="EP10" i="46"/>
  <c r="BV10" i="46"/>
  <c r="DW9" i="46"/>
  <c r="NC10" i="46"/>
  <c r="BJ11" i="46"/>
  <c r="BJ15" i="46"/>
  <c r="ACJ16" i="46"/>
  <c r="ACJ13" i="46"/>
  <c r="NR11" i="46"/>
  <c r="CM10" i="46"/>
  <c r="DW11" i="46"/>
  <c r="AEF13" i="46"/>
  <c r="TT17" i="46"/>
  <c r="BJ16" i="46"/>
  <c r="NE12" i="46"/>
  <c r="NR15" i="46"/>
  <c r="OI7" i="46"/>
  <c r="AKF16" i="46"/>
  <c r="YN8" i="46"/>
  <c r="DA15" i="46"/>
  <c r="AKF14" i="46"/>
  <c r="ABW15" i="46"/>
  <c r="AJO18" i="46"/>
  <c r="QZ12" i="46"/>
  <c r="GG15" i="46"/>
  <c r="AFD9" i="46"/>
  <c r="RK4" i="46"/>
  <c r="ADH10" i="46"/>
  <c r="CI15" i="46"/>
  <c r="ADH7" i="46"/>
  <c r="AEH9" i="46"/>
  <c r="ABO9" i="46"/>
  <c r="SK12" i="46"/>
  <c r="ACF14" i="46"/>
  <c r="AFK13" i="46"/>
  <c r="XQ14" i="46"/>
  <c r="ZA14" i="46"/>
  <c r="SI10" i="46"/>
  <c r="AJM8" i="46"/>
  <c r="ADP11" i="46"/>
  <c r="AFI10" i="46"/>
  <c r="AFI7" i="46"/>
  <c r="BP17" i="46"/>
  <c r="BO4" i="46"/>
  <c r="XM7" i="46"/>
  <c r="BP9" i="46"/>
  <c r="IW9" i="46"/>
  <c r="AGP4" i="46"/>
  <c r="XS10" i="46"/>
  <c r="AJT17" i="46"/>
  <c r="AFI16" i="46"/>
  <c r="OI12" i="46"/>
  <c r="OI13" i="46"/>
  <c r="OI8" i="46"/>
  <c r="HD14" i="46"/>
  <c r="HZ7" i="46"/>
  <c r="EP7" i="46"/>
  <c r="BO18" i="46"/>
  <c r="NC7" i="46"/>
  <c r="LS7" i="46"/>
  <c r="OJ7" i="46"/>
  <c r="BJ12" i="46"/>
  <c r="MG16" i="46"/>
  <c r="LS18" i="46"/>
  <c r="NW9" i="46"/>
  <c r="NE9" i="46"/>
  <c r="BQ9" i="46"/>
  <c r="MM10" i="46"/>
  <c r="BP10" i="46"/>
  <c r="BO9" i="46"/>
  <c r="EP12" i="46"/>
  <c r="BJ4" i="46"/>
  <c r="ACJ10" i="46"/>
  <c r="NE13" i="46"/>
  <c r="NR14" i="46"/>
  <c r="CM13" i="46"/>
  <c r="AEF11" i="46"/>
  <c r="TT12" i="46"/>
  <c r="NE15" i="46"/>
  <c r="NR4" i="46"/>
  <c r="OI16" i="46"/>
  <c r="AKF10" i="46"/>
  <c r="JE11" i="46"/>
  <c r="ACJ18" i="46"/>
  <c r="ABW7" i="46"/>
  <c r="ABW18" i="46"/>
  <c r="ABW17" i="46"/>
  <c r="ABW11" i="46"/>
  <c r="TT16" i="46"/>
  <c r="OI18" i="46"/>
  <c r="AJO10" i="46"/>
  <c r="YN9" i="46"/>
  <c r="AFD16" i="46"/>
  <c r="ABO17" i="46"/>
  <c r="AFD18" i="46"/>
  <c r="AFD4" i="46"/>
  <c r="ADH4" i="46"/>
  <c r="AEH13" i="46"/>
  <c r="ABO14" i="46"/>
  <c r="LS13" i="46"/>
  <c r="XQ17" i="46"/>
  <c r="OJ16" i="46"/>
  <c r="HD15" i="46"/>
  <c r="AIW9" i="46"/>
  <c r="ZA9" i="46"/>
  <c r="TJ8" i="46"/>
  <c r="UV10" i="46"/>
  <c r="BQ15" i="46"/>
  <c r="AGH7" i="46"/>
  <c r="XE14" i="46"/>
  <c r="YY10" i="46"/>
  <c r="YY8" i="46"/>
  <c r="VL8" i="46"/>
  <c r="IW15" i="46"/>
  <c r="XT11" i="46"/>
  <c r="AGP8" i="46"/>
  <c r="AJX12" i="46"/>
  <c r="MM8" i="46"/>
  <c r="NX14" i="46"/>
  <c r="AAH14" i="46"/>
  <c r="AAH11" i="46"/>
  <c r="OV14" i="46"/>
  <c r="OV13" i="46"/>
  <c r="ZW15" i="46"/>
  <c r="ZW16" i="46"/>
  <c r="ZW11" i="46"/>
  <c r="BS15" i="92"/>
  <c r="BW15" i="92"/>
  <c r="AES14" i="46"/>
  <c r="AES4" i="46"/>
  <c r="AES15" i="46"/>
  <c r="AES13" i="46"/>
  <c r="AES12" i="46"/>
  <c r="AES10" i="46"/>
  <c r="AES16" i="46"/>
  <c r="AES17" i="46"/>
  <c r="AES11" i="46"/>
  <c r="AES8" i="46"/>
  <c r="AES9" i="46"/>
  <c r="AES7" i="46"/>
  <c r="AES18" i="46"/>
  <c r="NM15" i="46"/>
  <c r="NM9" i="46"/>
  <c r="NM14" i="46"/>
  <c r="NM17" i="46"/>
  <c r="NM12" i="46"/>
  <c r="NM4" i="46"/>
  <c r="NM10" i="46"/>
  <c r="NM8" i="46"/>
  <c r="NM16" i="46"/>
  <c r="NM13" i="46"/>
  <c r="NM18" i="46"/>
  <c r="UL8" i="46"/>
  <c r="UL9" i="46"/>
  <c r="UL12" i="46"/>
  <c r="UL18" i="46"/>
  <c r="UL15" i="46"/>
  <c r="UL13" i="46"/>
  <c r="OH11" i="46"/>
  <c r="OH9" i="46"/>
  <c r="OH15" i="46"/>
  <c r="OH13" i="46"/>
  <c r="OH17" i="46"/>
  <c r="OH10" i="46"/>
  <c r="OH12" i="46"/>
  <c r="OH7" i="46"/>
  <c r="OH8" i="46"/>
  <c r="OH18" i="46"/>
  <c r="OH14" i="46"/>
  <c r="OH16" i="46"/>
  <c r="KH15" i="46"/>
  <c r="KH12" i="46"/>
  <c r="KH4" i="46"/>
  <c r="KH8" i="46"/>
  <c r="KH11" i="46"/>
  <c r="KX11" i="46"/>
  <c r="KX17" i="46"/>
  <c r="KX4" i="46"/>
  <c r="KX13" i="46"/>
  <c r="KX10" i="46"/>
  <c r="KX16" i="46"/>
  <c r="KX15" i="46"/>
  <c r="KX7" i="46"/>
  <c r="TQ15" i="46"/>
  <c r="TQ16" i="46"/>
  <c r="TQ13" i="46"/>
  <c r="TQ12" i="46"/>
  <c r="TQ14" i="46"/>
  <c r="TQ11" i="46"/>
  <c r="TQ4" i="46"/>
  <c r="TQ18" i="46"/>
  <c r="TQ7" i="46"/>
  <c r="TQ9" i="46"/>
  <c r="TQ8" i="46"/>
  <c r="TQ10" i="46"/>
  <c r="AEK8" i="46"/>
  <c r="AEK11" i="46"/>
  <c r="AEK16" i="46"/>
  <c r="AEK10" i="46"/>
  <c r="AEK14" i="46"/>
  <c r="AEK12" i="46"/>
  <c r="AEK7" i="46"/>
  <c r="AEK9" i="46"/>
  <c r="AEK15" i="46"/>
  <c r="AEK17" i="46"/>
  <c r="AEK13" i="46"/>
  <c r="AEK4" i="46"/>
  <c r="AEK18" i="46"/>
  <c r="NJ8" i="46"/>
  <c r="NJ16" i="46"/>
  <c r="NJ17" i="46"/>
  <c r="NJ18" i="46"/>
  <c r="NJ14" i="46"/>
  <c r="NJ15" i="46"/>
  <c r="NJ13" i="46"/>
  <c r="NJ11" i="46"/>
  <c r="NJ4" i="46"/>
  <c r="NJ9" i="46"/>
  <c r="SC12" i="46"/>
  <c r="SC16" i="46"/>
  <c r="SC13" i="46"/>
  <c r="SC9" i="46"/>
  <c r="SC4" i="46"/>
  <c r="SC18" i="46"/>
  <c r="SC17" i="46"/>
  <c r="SC11" i="46"/>
  <c r="SC10" i="46"/>
  <c r="SC15" i="46"/>
  <c r="SC14" i="46"/>
  <c r="SC8" i="46"/>
  <c r="SC7" i="46"/>
  <c r="TY18" i="46"/>
  <c r="TY11" i="46"/>
  <c r="TY8" i="46"/>
  <c r="TY15" i="46"/>
  <c r="TY7" i="46"/>
  <c r="TY13" i="46"/>
  <c r="TY10" i="46"/>
  <c r="TY14" i="46"/>
  <c r="TY17" i="46"/>
  <c r="TY16" i="46"/>
  <c r="TY12" i="46"/>
  <c r="TY9" i="46"/>
  <c r="EY9" i="46"/>
  <c r="EY16" i="46"/>
  <c r="EY13" i="46"/>
  <c r="EY4" i="46"/>
  <c r="EY10" i="46"/>
  <c r="EY15" i="46"/>
  <c r="EY18" i="46"/>
  <c r="GV8" i="46"/>
  <c r="GV16" i="46"/>
  <c r="GV12" i="46"/>
  <c r="GV4" i="46"/>
  <c r="GV11" i="46"/>
  <c r="CP4" i="46"/>
  <c r="CP16" i="46"/>
  <c r="CP8" i="46"/>
  <c r="CP10" i="46"/>
  <c r="CP13" i="46"/>
  <c r="CP17" i="46"/>
  <c r="CP11" i="46"/>
  <c r="CB9" i="46"/>
  <c r="CB13" i="46"/>
  <c r="CB16" i="46"/>
  <c r="CB15" i="46"/>
  <c r="CB4" i="46"/>
  <c r="CB11" i="46"/>
  <c r="CB17" i="46"/>
  <c r="CB10" i="46"/>
  <c r="QT14" i="46"/>
  <c r="QT11" i="46"/>
  <c r="QT7" i="46"/>
  <c r="QT18" i="46"/>
  <c r="QT17" i="46"/>
  <c r="QT10" i="46"/>
  <c r="QT8" i="46"/>
  <c r="QT13" i="46"/>
  <c r="QT16" i="46"/>
  <c r="QT12" i="46"/>
  <c r="QT4" i="46"/>
  <c r="QT15" i="46"/>
  <c r="JZ10" i="46"/>
  <c r="JZ9" i="46"/>
  <c r="JZ16" i="46"/>
  <c r="JZ4" i="46"/>
  <c r="JZ8" i="46"/>
  <c r="JZ11" i="46"/>
  <c r="CH4" i="46"/>
  <c r="CH11" i="46"/>
  <c r="CH8" i="46"/>
  <c r="CH15" i="46"/>
  <c r="CH17" i="46"/>
  <c r="CH9" i="46"/>
  <c r="CH13" i="46"/>
  <c r="AIO15" i="46"/>
  <c r="AIO12" i="46"/>
  <c r="AIO4" i="46"/>
  <c r="AIO11" i="46"/>
  <c r="AIO16" i="46"/>
  <c r="AIO8" i="46"/>
  <c r="AIO18" i="46"/>
  <c r="AIO10" i="46"/>
  <c r="AIO17" i="46"/>
  <c r="AIO13" i="46"/>
  <c r="JU16" i="46"/>
  <c r="JU13" i="46"/>
  <c r="JU10" i="46"/>
  <c r="JU9" i="46"/>
  <c r="JU11" i="46"/>
  <c r="JU4" i="46"/>
  <c r="JU15" i="46"/>
  <c r="YQ15" i="46"/>
  <c r="YQ8" i="46"/>
  <c r="YQ16" i="46"/>
  <c r="YQ14" i="46"/>
  <c r="YQ18" i="46"/>
  <c r="YQ9" i="46"/>
  <c r="YQ7" i="46"/>
  <c r="YQ10" i="46"/>
  <c r="YQ11" i="46"/>
  <c r="DN13" i="46"/>
  <c r="DN16" i="46"/>
  <c r="DN15" i="46"/>
  <c r="DN11" i="46"/>
  <c r="DN17" i="46"/>
  <c r="MI16" i="46"/>
  <c r="MI13" i="46"/>
  <c r="MI15" i="46"/>
  <c r="MI12" i="46"/>
  <c r="PK14" i="46"/>
  <c r="PK7" i="46"/>
  <c r="PK17" i="46"/>
  <c r="PK18" i="46"/>
  <c r="PK10" i="46"/>
  <c r="PK4" i="46"/>
  <c r="PK8" i="46"/>
  <c r="PK15" i="46"/>
  <c r="PK13" i="46"/>
  <c r="PK16" i="46"/>
  <c r="BS13" i="46"/>
  <c r="BS10" i="46"/>
  <c r="BS4" i="46"/>
  <c r="BS9" i="46"/>
  <c r="BS17" i="46"/>
  <c r="BS11" i="46"/>
  <c r="EJ8" i="46"/>
  <c r="EJ4" i="46"/>
  <c r="EJ13" i="46"/>
  <c r="EJ11" i="46"/>
  <c r="EJ15" i="46"/>
  <c r="EJ17" i="46"/>
  <c r="LV18" i="46"/>
  <c r="LV11" i="46"/>
  <c r="LV15" i="46"/>
  <c r="LV13" i="46"/>
  <c r="LV9" i="46"/>
  <c r="LV17" i="46"/>
  <c r="LV16" i="46"/>
  <c r="LV8" i="46"/>
  <c r="LV4" i="46"/>
  <c r="LV10" i="46"/>
  <c r="AS12" i="46"/>
  <c r="AS16" i="46"/>
  <c r="AS4" i="46"/>
  <c r="AS11" i="46"/>
  <c r="CJ4" i="46"/>
  <c r="CJ8" i="46"/>
  <c r="CJ11" i="46"/>
  <c r="CJ10" i="46"/>
  <c r="PZ8" i="46"/>
  <c r="PZ4" i="46"/>
  <c r="PZ12" i="46"/>
  <c r="PZ16" i="46"/>
  <c r="PZ10" i="46"/>
  <c r="PZ17" i="46"/>
  <c r="PZ9" i="46"/>
  <c r="PZ13" i="46"/>
  <c r="UG17" i="46"/>
  <c r="UG14" i="46"/>
  <c r="UG9" i="46"/>
  <c r="UG15" i="46"/>
  <c r="UG11" i="46"/>
  <c r="UG10" i="46"/>
  <c r="UG18" i="46"/>
  <c r="UG8" i="46"/>
  <c r="UG12" i="46"/>
  <c r="UG13" i="46"/>
  <c r="LN8" i="46"/>
  <c r="LN15" i="46"/>
  <c r="LN16" i="46"/>
  <c r="LN4" i="46"/>
  <c r="LN11" i="46"/>
  <c r="LN17" i="46"/>
  <c r="UF13" i="46"/>
  <c r="UF7" i="46"/>
  <c r="UF12" i="46"/>
  <c r="UF18" i="46"/>
  <c r="UF15" i="46"/>
  <c r="UF10" i="46"/>
  <c r="UF8" i="46"/>
  <c r="UF17" i="46"/>
  <c r="UF16" i="46"/>
  <c r="UF4" i="46"/>
  <c r="UF14" i="46"/>
  <c r="UF11" i="46"/>
  <c r="AHY10" i="46"/>
  <c r="AHY11" i="46"/>
  <c r="AHY8" i="46"/>
  <c r="AHY17" i="46"/>
  <c r="AHY9" i="46"/>
  <c r="AHY13" i="46"/>
  <c r="AHY15" i="46"/>
  <c r="AHY12" i="46"/>
  <c r="AHY7" i="46"/>
  <c r="AHY4" i="46"/>
  <c r="AHY16" i="46"/>
  <c r="AHY18" i="46"/>
  <c r="AIA15" i="46"/>
  <c r="AIA9" i="46"/>
  <c r="AIA12" i="46"/>
  <c r="AIA7" i="46"/>
  <c r="AIA10" i="46"/>
  <c r="DL9" i="46"/>
  <c r="DL15" i="46"/>
  <c r="DL11" i="46"/>
  <c r="DL16" i="46"/>
  <c r="DL8" i="46"/>
  <c r="EW12" i="46"/>
  <c r="EW4" i="46"/>
  <c r="EW16" i="46"/>
  <c r="YI12" i="46"/>
  <c r="YI18" i="46"/>
  <c r="YI16" i="46"/>
  <c r="YI11" i="46"/>
  <c r="YI8" i="46"/>
  <c r="AFQ14" i="46"/>
  <c r="AFQ16" i="46"/>
  <c r="AFQ18" i="46"/>
  <c r="AFQ8" i="46"/>
  <c r="AFQ7" i="46"/>
  <c r="AEO16" i="46"/>
  <c r="AEO15" i="46"/>
  <c r="AEO8" i="46"/>
  <c r="AEO7" i="46"/>
  <c r="AEO4" i="46"/>
  <c r="AEO17" i="46"/>
  <c r="AEO9" i="46"/>
  <c r="AEO10" i="46"/>
  <c r="AEO11" i="46"/>
  <c r="DY4" i="46"/>
  <c r="DY8" i="46"/>
  <c r="DY13" i="46"/>
  <c r="AGY10" i="46"/>
  <c r="AGY7" i="46"/>
  <c r="AGY4" i="46"/>
  <c r="AGY15" i="46"/>
  <c r="AGY12" i="46"/>
  <c r="AGY14" i="46"/>
  <c r="AGY11" i="46"/>
  <c r="AGY18" i="46"/>
  <c r="AGY16" i="46"/>
  <c r="AGY13" i="46"/>
  <c r="AGY17" i="46"/>
  <c r="AGY8" i="46"/>
  <c r="JJ17" i="46"/>
  <c r="JJ11" i="46"/>
  <c r="JJ16" i="46"/>
  <c r="JJ13" i="46"/>
  <c r="JJ4" i="46"/>
  <c r="JJ10" i="46"/>
  <c r="JJ8" i="46"/>
  <c r="JJ12" i="46"/>
  <c r="JJ15" i="46"/>
  <c r="JJ18" i="46"/>
  <c r="KN11" i="46"/>
  <c r="KN15" i="46"/>
  <c r="KN16" i="46"/>
  <c r="KN4" i="46"/>
  <c r="KN8" i="46"/>
  <c r="KN13" i="46"/>
  <c r="KN17" i="46"/>
  <c r="ABR17" i="46"/>
  <c r="ABR16" i="46"/>
  <c r="ABR13" i="46"/>
  <c r="ABR8" i="46"/>
  <c r="ABR15" i="46"/>
  <c r="ABR18" i="46"/>
  <c r="ABR9" i="46"/>
  <c r="ABR10" i="46"/>
  <c r="ABR7" i="46"/>
  <c r="ABR11" i="46"/>
  <c r="ABR14" i="46"/>
  <c r="ABR12" i="46"/>
  <c r="CY13" i="46"/>
  <c r="CY4" i="46"/>
  <c r="CY15" i="46"/>
  <c r="CY8" i="46"/>
  <c r="AEV16" i="46"/>
  <c r="AEV9" i="46"/>
  <c r="AEV17" i="46"/>
  <c r="AEV18" i="46"/>
  <c r="AEV10" i="46"/>
  <c r="AEV14" i="46"/>
  <c r="AEV11" i="46"/>
  <c r="AEV15" i="46"/>
  <c r="AEV4" i="46"/>
  <c r="AEV8" i="46"/>
  <c r="AEV13" i="46"/>
  <c r="GP8" i="46"/>
  <c r="GP16" i="46"/>
  <c r="GP15" i="46"/>
  <c r="GP13" i="46"/>
  <c r="GP12" i="46"/>
  <c r="GP17" i="46"/>
  <c r="GP4" i="46"/>
  <c r="HT15" i="46"/>
  <c r="HT16" i="46"/>
  <c r="HT12" i="46"/>
  <c r="HT17" i="46"/>
  <c r="HT13" i="46"/>
  <c r="HT10" i="46"/>
  <c r="HT11" i="46"/>
  <c r="HT4" i="46"/>
  <c r="HT8" i="46"/>
  <c r="QP15" i="46"/>
  <c r="QP18" i="46"/>
  <c r="QP13" i="46"/>
  <c r="QP14" i="46"/>
  <c r="QP4" i="46"/>
  <c r="QP7" i="46"/>
  <c r="QP9" i="46"/>
  <c r="QP16" i="46"/>
  <c r="QP12" i="46"/>
  <c r="QP17" i="46"/>
  <c r="QP10" i="46"/>
  <c r="QP8" i="46"/>
  <c r="QP11" i="46"/>
  <c r="OS7" i="46"/>
  <c r="OS13" i="46"/>
  <c r="OS11" i="46"/>
  <c r="OS9" i="46"/>
  <c r="OS16" i="46"/>
  <c r="OS4" i="46"/>
  <c r="OS14" i="46"/>
  <c r="OS12" i="46"/>
  <c r="OS15" i="46"/>
  <c r="OS18" i="46"/>
  <c r="OS10" i="46"/>
  <c r="OS17" i="46"/>
  <c r="ER13" i="46"/>
  <c r="ER11" i="46"/>
  <c r="ER4" i="46"/>
  <c r="ER8" i="46"/>
  <c r="ER10" i="46"/>
  <c r="LP8" i="46"/>
  <c r="LP17" i="46"/>
  <c r="LP15" i="46"/>
  <c r="LP16" i="46"/>
  <c r="LP4" i="46"/>
  <c r="LP12" i="46"/>
  <c r="HF9" i="46"/>
  <c r="HF4" i="46"/>
  <c r="HF17" i="46"/>
  <c r="HF16" i="46"/>
  <c r="HF13" i="46"/>
  <c r="HF15" i="46"/>
  <c r="HF10" i="46"/>
  <c r="HF11" i="46"/>
  <c r="HF8" i="46"/>
  <c r="SS8" i="46"/>
  <c r="SS4" i="46"/>
  <c r="SS15" i="46"/>
  <c r="SS14" i="46"/>
  <c r="SS16" i="46"/>
  <c r="SS11" i="46"/>
  <c r="SS10" i="46"/>
  <c r="SS12" i="46"/>
  <c r="SS13" i="46"/>
  <c r="SS18" i="46"/>
  <c r="SS7" i="46"/>
  <c r="SS9" i="46"/>
  <c r="IV16" i="46"/>
  <c r="IV4" i="46"/>
  <c r="IV8" i="46"/>
  <c r="IV11" i="46"/>
  <c r="IV15" i="46"/>
  <c r="IV9" i="46"/>
  <c r="SP11" i="46"/>
  <c r="SP7" i="46"/>
  <c r="SP16" i="46"/>
  <c r="SP15" i="46"/>
  <c r="SP14" i="46"/>
  <c r="SP10" i="46"/>
  <c r="SP4" i="46"/>
  <c r="SP13" i="46"/>
  <c r="SP18" i="46"/>
  <c r="AJU16" i="46"/>
  <c r="AJU8" i="46"/>
  <c r="AJU7" i="46"/>
  <c r="AJU9" i="46"/>
  <c r="AJU15" i="46"/>
  <c r="AJU4" i="46"/>
  <c r="AJU18" i="46"/>
  <c r="AJU14" i="46"/>
  <c r="AJU10" i="46"/>
  <c r="AJU13" i="46"/>
  <c r="AJU11" i="46"/>
  <c r="AJU12" i="46"/>
  <c r="AJU17" i="46"/>
  <c r="AY13" i="46"/>
  <c r="AY17" i="46"/>
  <c r="AY8" i="46"/>
  <c r="AY4" i="46"/>
  <c r="AY16" i="46"/>
  <c r="AY10" i="46"/>
  <c r="EN13" i="46"/>
  <c r="EN12" i="46"/>
  <c r="EN11" i="46"/>
  <c r="EN16" i="46"/>
  <c r="ABZ4" i="46"/>
  <c r="ABZ14" i="46"/>
  <c r="ABZ9" i="46"/>
  <c r="ABZ15" i="46"/>
  <c r="ABZ16" i="46"/>
  <c r="ABZ13" i="46"/>
  <c r="ABZ7" i="46"/>
  <c r="ABZ8" i="46"/>
  <c r="ABZ12" i="46"/>
  <c r="ABZ17" i="46"/>
  <c r="ABZ10" i="46"/>
  <c r="AAP17" i="46"/>
  <c r="AAP15" i="46"/>
  <c r="AAP12" i="46"/>
  <c r="AAP4" i="46"/>
  <c r="AAP14" i="46"/>
  <c r="AAP7" i="46"/>
  <c r="AAP13" i="46"/>
  <c r="AAP8" i="46"/>
  <c r="AAP9" i="46"/>
  <c r="AAP10" i="46"/>
  <c r="AAP18" i="46"/>
  <c r="AAP16" i="46"/>
  <c r="AJH10" i="46"/>
  <c r="AJH16" i="46"/>
  <c r="AJH15" i="46"/>
  <c r="AJH13" i="46"/>
  <c r="AJH8" i="46"/>
  <c r="AJH18" i="46"/>
  <c r="AJH7" i="46"/>
  <c r="AJH11" i="46"/>
  <c r="AJH12" i="46"/>
  <c r="AJH4" i="46"/>
  <c r="AJH14" i="46"/>
  <c r="AJH17" i="46"/>
  <c r="ABI15" i="46"/>
  <c r="ABI16" i="46"/>
  <c r="ABI4" i="46"/>
  <c r="ABI9" i="46"/>
  <c r="ABI7" i="46"/>
  <c r="ABI10" i="46"/>
  <c r="ABI13" i="46"/>
  <c r="ABI11" i="46"/>
  <c r="ABI14" i="46"/>
  <c r="ABI12" i="46"/>
  <c r="ABI18" i="46"/>
  <c r="ABI8" i="46"/>
  <c r="UP16" i="46"/>
  <c r="UP4" i="46"/>
  <c r="UP17" i="46"/>
  <c r="UP13" i="46"/>
  <c r="UP14" i="46"/>
  <c r="UP11" i="46"/>
  <c r="UP8" i="46"/>
  <c r="UP12" i="46"/>
  <c r="UP9" i="46"/>
  <c r="ACC17" i="46"/>
  <c r="ACC8" i="46"/>
  <c r="ACC9" i="46"/>
  <c r="ACC7" i="46"/>
  <c r="ACC14" i="46"/>
  <c r="ACC13" i="46"/>
  <c r="KV4" i="46"/>
  <c r="KV17" i="46"/>
  <c r="KV16" i="46"/>
  <c r="KV15" i="46"/>
  <c r="KV13" i="46"/>
  <c r="KV8" i="46"/>
  <c r="VB8" i="46"/>
  <c r="VB13" i="46"/>
  <c r="VB15" i="46"/>
  <c r="VB10" i="46"/>
  <c r="VB7" i="46"/>
  <c r="VB16" i="46"/>
  <c r="VB18" i="46"/>
  <c r="VB12" i="46"/>
  <c r="VB9" i="46"/>
  <c r="VB11" i="46"/>
  <c r="VB17" i="46"/>
  <c r="VB4" i="46"/>
  <c r="VB14" i="46"/>
  <c r="ACY18" i="46"/>
  <c r="ACY16" i="46"/>
  <c r="ACY8" i="46"/>
  <c r="ACY15" i="46"/>
  <c r="ACY17" i="46"/>
  <c r="ACY13" i="46"/>
  <c r="ACY11" i="46"/>
  <c r="ACY10" i="46"/>
  <c r="ACY7" i="46"/>
  <c r="ACY14" i="46"/>
  <c r="ACY9" i="46"/>
  <c r="ACY4" i="46"/>
  <c r="AAW14" i="46"/>
  <c r="AAW12" i="46"/>
  <c r="AAW13" i="46"/>
  <c r="AAW15" i="46"/>
  <c r="AAW16" i="46"/>
  <c r="AAW11" i="46"/>
  <c r="AAW7" i="46"/>
  <c r="AAW8" i="46"/>
  <c r="AAW18" i="46"/>
  <c r="AAW17" i="46"/>
  <c r="AAW9" i="46"/>
  <c r="AAW10" i="46"/>
  <c r="HM10" i="46"/>
  <c r="HM9" i="46"/>
  <c r="HM4" i="46"/>
  <c r="HM11" i="46"/>
  <c r="EU15" i="46"/>
  <c r="EU13" i="46"/>
  <c r="EU17" i="46"/>
  <c r="EU4" i="46"/>
  <c r="EU8" i="46"/>
  <c r="EU9" i="46"/>
  <c r="AIQ17" i="46"/>
  <c r="AIQ13" i="46"/>
  <c r="AIQ18" i="46"/>
  <c r="AIQ15" i="46"/>
  <c r="AIQ9" i="46"/>
  <c r="AIQ8" i="46"/>
  <c r="AIQ4" i="46"/>
  <c r="AIQ11" i="46"/>
  <c r="AIQ12" i="46"/>
  <c r="AIQ14" i="46"/>
  <c r="AIQ16" i="46"/>
  <c r="ZX17" i="46"/>
  <c r="ZX16" i="46"/>
  <c r="ZX9" i="46"/>
  <c r="ZX18" i="46"/>
  <c r="ZX10" i="46"/>
  <c r="ZX13" i="46"/>
  <c r="ZX4" i="46"/>
  <c r="ZX7" i="46"/>
  <c r="ZX12" i="46"/>
  <c r="ZX11" i="46"/>
  <c r="ZX15" i="46"/>
  <c r="ZX8" i="46"/>
  <c r="DN4" i="46"/>
  <c r="PZ18" i="46"/>
  <c r="UP18" i="46"/>
  <c r="UG7" i="46"/>
  <c r="ABZ11" i="46"/>
  <c r="UF9" i="46"/>
  <c r="AIQ10" i="46"/>
  <c r="AJH9" i="46"/>
  <c r="HM13" i="46"/>
  <c r="SP8" i="46"/>
  <c r="KH13" i="46"/>
  <c r="CJ13" i="46"/>
  <c r="KX8" i="46"/>
  <c r="JZ15" i="46"/>
  <c r="IV13" i="46"/>
  <c r="AIO9" i="46"/>
  <c r="ABR4" i="46"/>
  <c r="KN12" i="46"/>
  <c r="CH16" i="46"/>
  <c r="OS8" i="46"/>
  <c r="AIQ7" i="46"/>
  <c r="LP13" i="46"/>
  <c r="TQ17" i="46"/>
  <c r="KH10" i="46"/>
  <c r="JZ17" i="46"/>
  <c r="AIO7" i="46"/>
  <c r="UG4" i="46"/>
  <c r="TY4" i="46"/>
  <c r="NM11" i="46"/>
  <c r="GP11" i="46"/>
  <c r="DG16" i="46"/>
  <c r="PF14" i="46"/>
  <c r="PF13" i="46"/>
  <c r="EL4" i="46"/>
  <c r="DG8" i="46"/>
  <c r="YA9" i="46"/>
  <c r="YA16" i="46"/>
  <c r="SJ13" i="46"/>
  <c r="EL14" i="46"/>
  <c r="AD11" i="46"/>
  <c r="DG15" i="46"/>
  <c r="GM15" i="46"/>
  <c r="PF16" i="46"/>
  <c r="PF12" i="46"/>
  <c r="EL10" i="46"/>
  <c r="YA18" i="46"/>
  <c r="YA8" i="46"/>
  <c r="YA12" i="46"/>
  <c r="SJ7" i="46"/>
  <c r="AJA4" i="46"/>
  <c r="DX7" i="46"/>
  <c r="PF7" i="46"/>
  <c r="EL9" i="46"/>
  <c r="DX12" i="46"/>
  <c r="DG9" i="46"/>
  <c r="EL15" i="46"/>
  <c r="PF18" i="46"/>
  <c r="EL11" i="46"/>
  <c r="RJ7" i="46"/>
  <c r="DX17" i="46"/>
  <c r="RJ15" i="46"/>
  <c r="YA10" i="46"/>
  <c r="YA14" i="46"/>
  <c r="AKE9" i="46"/>
  <c r="SJ16" i="46"/>
  <c r="SJ8" i="46"/>
  <c r="SJ17" i="46"/>
  <c r="SJ18" i="46"/>
  <c r="DG12" i="46"/>
  <c r="EL7" i="46"/>
  <c r="DG7" i="46"/>
  <c r="PF9" i="46"/>
  <c r="DX10" i="46"/>
  <c r="ZF16" i="46"/>
  <c r="PF11" i="46"/>
  <c r="EL17" i="46"/>
  <c r="DX15" i="46"/>
  <c r="YA7" i="46"/>
  <c r="RJ17" i="46"/>
  <c r="SJ15" i="46"/>
  <c r="SJ14" i="46"/>
  <c r="GM17" i="46"/>
  <c r="JD4" i="46"/>
  <c r="RJ14" i="46"/>
  <c r="YA11" i="46"/>
  <c r="YA15" i="46"/>
  <c r="AKE13" i="46"/>
  <c r="DU11" i="46"/>
  <c r="EA17" i="46"/>
  <c r="KO10" i="46"/>
  <c r="DU12" i="46"/>
  <c r="EA14" i="46"/>
  <c r="EA16" i="46"/>
  <c r="TZ8" i="46"/>
  <c r="AGB13" i="46"/>
  <c r="AGB7" i="46"/>
  <c r="RE14" i="46"/>
  <c r="RE11" i="46"/>
  <c r="OX8" i="46"/>
  <c r="AEC16" i="46"/>
  <c r="ZW17" i="46"/>
  <c r="ZW4" i="46"/>
  <c r="OV18" i="46"/>
  <c r="IM9" i="46"/>
  <c r="BW16" i="46"/>
  <c r="ZW18" i="46"/>
  <c r="ZW14" i="46"/>
  <c r="AFM8" i="46"/>
  <c r="JW8" i="46"/>
  <c r="AJN12" i="46"/>
  <c r="ZW10" i="46"/>
  <c r="ZW9" i="46"/>
  <c r="VY8" i="46"/>
  <c r="AFM16" i="46"/>
  <c r="AFM18" i="46"/>
  <c r="IM7" i="46"/>
  <c r="OV7" i="46"/>
  <c r="ZW13" i="46"/>
  <c r="OV9" i="46"/>
  <c r="AFM14" i="46"/>
  <c r="JW14" i="46"/>
  <c r="ZW8" i="46"/>
  <c r="ZW12" i="46"/>
  <c r="OV15" i="46"/>
  <c r="FU7" i="46"/>
  <c r="JN7" i="46"/>
  <c r="IF18" i="46"/>
  <c r="FU10" i="46"/>
  <c r="FU12" i="46"/>
  <c r="FU17" i="46"/>
  <c r="IF17" i="46"/>
  <c r="FU16" i="46"/>
  <c r="VY14" i="46"/>
  <c r="UW9" i="46"/>
  <c r="AHM16" i="46"/>
  <c r="VY18" i="46"/>
  <c r="JN13" i="46"/>
  <c r="AHM13" i="46"/>
  <c r="JN8" i="46"/>
  <c r="IF14" i="46"/>
  <c r="JR7" i="46"/>
  <c r="LA7" i="46"/>
  <c r="JN10" i="46"/>
  <c r="FU9" i="46"/>
  <c r="IF10" i="46"/>
  <c r="IF8" i="46"/>
  <c r="WH17" i="46"/>
  <c r="PA7" i="46"/>
  <c r="ABQ15" i="46"/>
  <c r="WS12" i="46"/>
  <c r="AHM18" i="46"/>
  <c r="AHM8" i="46"/>
  <c r="JN16" i="46"/>
  <c r="IF4" i="46"/>
  <c r="IF11" i="46"/>
  <c r="ABQ18" i="46"/>
  <c r="WS7" i="46"/>
  <c r="VY17" i="46"/>
  <c r="XN18" i="46"/>
  <c r="AHM11" i="46"/>
  <c r="AHM12" i="46"/>
  <c r="JN11" i="46"/>
  <c r="JN9" i="46"/>
  <c r="IF7" i="46"/>
  <c r="IF12" i="46"/>
  <c r="UW13" i="46"/>
  <c r="WS9" i="46"/>
  <c r="AHM14" i="46"/>
  <c r="AHM9" i="46"/>
  <c r="FU18" i="46"/>
  <c r="FU11" i="46"/>
  <c r="IF13" i="46"/>
  <c r="JN18" i="46"/>
  <c r="JN14" i="46"/>
  <c r="QF7" i="46"/>
  <c r="FU15" i="46"/>
  <c r="BN29" i="92"/>
  <c r="LA13" i="46"/>
  <c r="ABQ7" i="46"/>
  <c r="UW4" i="46"/>
  <c r="AHM7" i="46"/>
  <c r="AHM15" i="46"/>
  <c r="AJC13" i="46"/>
  <c r="AJC14" i="46"/>
  <c r="PE9" i="46"/>
  <c r="XF10" i="46"/>
  <c r="UU10" i="46"/>
  <c r="XF17" i="46"/>
  <c r="ADR17" i="46"/>
  <c r="KO17" i="46"/>
  <c r="XF18" i="46"/>
  <c r="FK9" i="46"/>
  <c r="ADR11" i="46"/>
  <c r="KT14" i="46"/>
  <c r="PE7" i="46"/>
  <c r="FK16" i="46"/>
  <c r="FK15" i="46"/>
  <c r="AAU9" i="46"/>
  <c r="UU8" i="46"/>
  <c r="XF8" i="46"/>
  <c r="XF9" i="46"/>
  <c r="AJC11" i="46"/>
  <c r="FK10" i="46"/>
  <c r="ADR7" i="46"/>
  <c r="FK12" i="46"/>
  <c r="FK11" i="46"/>
  <c r="KT18" i="46"/>
  <c r="XF13" i="46"/>
  <c r="XF7" i="46"/>
  <c r="PE8" i="46"/>
  <c r="AJC7" i="46"/>
  <c r="ADR10" i="46"/>
  <c r="AGZ4" i="46"/>
  <c r="KT8" i="46"/>
  <c r="FK18" i="46"/>
  <c r="FK17" i="46"/>
  <c r="KT10" i="46"/>
  <c r="CL4" i="46"/>
  <c r="XF14" i="46"/>
  <c r="XF16" i="46"/>
  <c r="PE18" i="46"/>
  <c r="AJC16" i="46"/>
  <c r="PE16" i="46"/>
  <c r="KO13" i="46"/>
  <c r="AGZ15" i="46"/>
  <c r="KT15" i="46"/>
  <c r="KO14" i="46"/>
  <c r="KO9" i="46"/>
  <c r="XF4" i="46"/>
  <c r="XF11" i="46"/>
  <c r="PE11" i="46"/>
  <c r="AJC10" i="46"/>
  <c r="AGZ17" i="46"/>
  <c r="KT7" i="46"/>
  <c r="KO18" i="46"/>
  <c r="KO7" i="46"/>
  <c r="KO16" i="46"/>
  <c r="XF12" i="46"/>
  <c r="PE13" i="46"/>
  <c r="AJC18" i="46"/>
  <c r="FK4" i="46"/>
  <c r="ADR4" i="46"/>
  <c r="AEJ12" i="46"/>
  <c r="DG10" i="46"/>
  <c r="PE17" i="46"/>
  <c r="ACX4" i="46"/>
  <c r="AJC15" i="46"/>
  <c r="DX8" i="46"/>
  <c r="ACX9" i="46"/>
  <c r="ADR15" i="46"/>
  <c r="ADR8" i="46"/>
  <c r="RJ10" i="46"/>
  <c r="RJ11" i="46"/>
  <c r="AJC9" i="46"/>
  <c r="RJ8" i="46"/>
  <c r="DG13" i="46"/>
  <c r="PE10" i="46"/>
  <c r="ACX8" i="46"/>
  <c r="ACX15" i="46"/>
  <c r="AJC8" i="46"/>
  <c r="EE4" i="46"/>
  <c r="PE12" i="46"/>
  <c r="RJ16" i="46"/>
  <c r="DX16" i="46"/>
  <c r="ADR9" i="46"/>
  <c r="ADR14" i="46"/>
  <c r="AJN13" i="46"/>
  <c r="DX11" i="46"/>
  <c r="AIZ15" i="46"/>
  <c r="AJN16" i="46"/>
  <c r="PE4" i="46"/>
  <c r="PE14" i="46"/>
  <c r="ACX12" i="46"/>
  <c r="AJC4" i="46"/>
  <c r="EE12" i="46"/>
  <c r="RJ12" i="46"/>
  <c r="RJ13" i="46"/>
  <c r="ADR12" i="46"/>
  <c r="DG4" i="46"/>
  <c r="ACX7" i="46"/>
  <c r="AJC17" i="46"/>
  <c r="RJ9" i="46"/>
  <c r="DX4" i="46"/>
  <c r="ADR18" i="46"/>
  <c r="ACX17" i="46"/>
  <c r="ADR16" i="46"/>
  <c r="DX13" i="46"/>
  <c r="AJN14" i="46"/>
  <c r="ZF14" i="46"/>
  <c r="LA15" i="46"/>
  <c r="PA11" i="46"/>
  <c r="XN12" i="46"/>
  <c r="AJZ14" i="46"/>
  <c r="QF13" i="46"/>
  <c r="JD18" i="46"/>
  <c r="JR14" i="46"/>
  <c r="JR12" i="46"/>
  <c r="JD13" i="46"/>
  <c r="JR16" i="46"/>
  <c r="VS16" i="46"/>
  <c r="AHC13" i="46"/>
  <c r="XN10" i="46"/>
  <c r="DF10" i="46"/>
  <c r="QZ15" i="46"/>
  <c r="SY9" i="46"/>
  <c r="CA7" i="46"/>
  <c r="IT14" i="46"/>
  <c r="WY8" i="46"/>
  <c r="AKA8" i="46"/>
  <c r="AKA4" i="46"/>
  <c r="OV12" i="46"/>
  <c r="AFM4" i="46"/>
  <c r="AFM17" i="46"/>
  <c r="KT16" i="46"/>
  <c r="FH15" i="46"/>
  <c r="OV4" i="46"/>
  <c r="OV10" i="46"/>
  <c r="AFM11" i="46"/>
  <c r="AFM10" i="46"/>
  <c r="AGZ12" i="46"/>
  <c r="AGZ11" i="46"/>
  <c r="KT17" i="46"/>
  <c r="FH9" i="46"/>
  <c r="AFH15" i="46"/>
  <c r="ZW7" i="46"/>
  <c r="FV16" i="46"/>
  <c r="FV17" i="46"/>
  <c r="AKA12" i="46"/>
  <c r="AKA18" i="46"/>
  <c r="OV17" i="46"/>
  <c r="OV11" i="46"/>
  <c r="AGZ8" i="46"/>
  <c r="AGZ18" i="46"/>
  <c r="AGZ16" i="46"/>
  <c r="OV8" i="46"/>
  <c r="OV16" i="46"/>
  <c r="AFM13" i="46"/>
  <c r="AFM15" i="46"/>
  <c r="KO4" i="46"/>
  <c r="FH16" i="46"/>
  <c r="AGZ9" i="46"/>
  <c r="AGZ10" i="46"/>
  <c r="KO8" i="46"/>
  <c r="AGZ14" i="46"/>
  <c r="FH8" i="46"/>
  <c r="KT12" i="46"/>
  <c r="AKA17" i="46"/>
  <c r="AFM7" i="46"/>
  <c r="AFM9" i="46"/>
  <c r="AGZ13" i="46"/>
  <c r="KT4" i="46"/>
  <c r="KT11" i="46"/>
  <c r="FH4" i="46"/>
  <c r="BM18" i="46"/>
  <c r="AKC18" i="46"/>
  <c r="AKC8" i="46"/>
  <c r="AHB7" i="46"/>
  <c r="VG11" i="46"/>
  <c r="WY13" i="46"/>
  <c r="JA13" i="46"/>
  <c r="JA10" i="46"/>
  <c r="IT11" i="46"/>
  <c r="CA10" i="46"/>
  <c r="AHB4" i="46"/>
  <c r="RQ11" i="46"/>
  <c r="BK15" i="46"/>
  <c r="CA13" i="46"/>
  <c r="CO8" i="46"/>
  <c r="XA17" i="46"/>
  <c r="XA11" i="46"/>
  <c r="XA13" i="46"/>
  <c r="XA16" i="46"/>
  <c r="XA12" i="46"/>
  <c r="XA10" i="46"/>
  <c r="ZQ8" i="46"/>
  <c r="TU4" i="46"/>
  <c r="TB14" i="46"/>
  <c r="TB4" i="46"/>
  <c r="DF4" i="46"/>
  <c r="OR13" i="46"/>
  <c r="SY11" i="46"/>
  <c r="OR8" i="46"/>
  <c r="AJA13" i="46"/>
  <c r="TI14" i="46"/>
  <c r="AJA9" i="46"/>
  <c r="TI11" i="46"/>
  <c r="VS14" i="46"/>
  <c r="IR14" i="46"/>
  <c r="DF18" i="46"/>
  <c r="CO12" i="46"/>
  <c r="CO4" i="46"/>
  <c r="XA8" i="46"/>
  <c r="XA9" i="46"/>
  <c r="XA7" i="46"/>
  <c r="ZQ11" i="46"/>
  <c r="ZQ17" i="46"/>
  <c r="TU13" i="46"/>
  <c r="TB7" i="46"/>
  <c r="XN7" i="46"/>
  <c r="TB16" i="46"/>
  <c r="XN11" i="46"/>
  <c r="SY12" i="46"/>
  <c r="DF8" i="46"/>
  <c r="OR17" i="46"/>
  <c r="SY18" i="46"/>
  <c r="OR7" i="46"/>
  <c r="AJA15" i="46"/>
  <c r="TI13" i="46"/>
  <c r="AJA18" i="46"/>
  <c r="XN8" i="46"/>
  <c r="CO18" i="46"/>
  <c r="CO7" i="46"/>
  <c r="CO13" i="46"/>
  <c r="XA15" i="46"/>
  <c r="ZQ15" i="46"/>
  <c r="ZQ10" i="46"/>
  <c r="TB12" i="46"/>
  <c r="XN14" i="46"/>
  <c r="TB9" i="46"/>
  <c r="XN16" i="46"/>
  <c r="SY4" i="46"/>
  <c r="TB17" i="46"/>
  <c r="TB8" i="46"/>
  <c r="TB11" i="46"/>
  <c r="DF16" i="46"/>
  <c r="OR4" i="46"/>
  <c r="TI9" i="46"/>
  <c r="TI8" i="46"/>
  <c r="AJA11" i="46"/>
  <c r="VS9" i="46"/>
  <c r="DF7" i="46"/>
  <c r="DF12" i="46"/>
  <c r="CO16" i="46"/>
  <c r="XA4" i="46"/>
  <c r="ZQ14" i="46"/>
  <c r="ZQ12" i="46"/>
  <c r="ZQ18" i="46"/>
  <c r="AAH7" i="46"/>
  <c r="NV7" i="46"/>
  <c r="XN13" i="46"/>
  <c r="XN4" i="46"/>
  <c r="TB13" i="46"/>
  <c r="DF11" i="46"/>
  <c r="OR15" i="46"/>
  <c r="OR11" i="46"/>
  <c r="AJA17" i="46"/>
  <c r="AJA12" i="46"/>
  <c r="VS7" i="46"/>
  <c r="VS12" i="46"/>
  <c r="DF9" i="46"/>
  <c r="CO11" i="46"/>
  <c r="ZQ13" i="46"/>
  <c r="AKP13" i="46"/>
  <c r="XN9" i="46"/>
  <c r="DF13" i="46"/>
  <c r="OR10" i="46"/>
  <c r="SY17" i="46"/>
  <c r="OR12" i="46"/>
  <c r="XN15" i="46"/>
  <c r="TI15" i="46"/>
  <c r="AJA8" i="46"/>
  <c r="VS4" i="46"/>
  <c r="AJA10" i="46"/>
  <c r="VS15" i="46"/>
  <c r="VS17" i="46"/>
  <c r="CO15" i="46"/>
  <c r="ZQ4" i="46"/>
  <c r="DJ13" i="46"/>
  <c r="AAM10" i="46"/>
  <c r="TB10" i="46"/>
  <c r="SY16" i="46"/>
  <c r="SY14" i="46"/>
  <c r="AJI18" i="46"/>
  <c r="DF15" i="46"/>
  <c r="OR18" i="46"/>
  <c r="SY15" i="46"/>
  <c r="TI16" i="46"/>
  <c r="AJA14" i="46"/>
  <c r="TI17" i="46"/>
  <c r="VS11" i="46"/>
  <c r="TI12" i="46"/>
  <c r="VS18" i="46"/>
  <c r="IR18" i="46"/>
  <c r="CO9" i="46"/>
  <c r="CO10" i="46"/>
  <c r="XA18" i="46"/>
  <c r="ZQ16" i="46"/>
  <c r="TB15" i="46"/>
  <c r="SY7" i="46"/>
  <c r="SY10" i="46"/>
  <c r="SY13" i="46"/>
  <c r="AJI17" i="46"/>
  <c r="OR16" i="46"/>
  <c r="TI4" i="46"/>
  <c r="TI7" i="46"/>
  <c r="AJA16" i="46"/>
  <c r="TI10" i="46"/>
  <c r="LG8" i="46"/>
  <c r="FD7" i="46"/>
  <c r="JD16" i="46"/>
  <c r="QZ8" i="46"/>
  <c r="QZ7" i="46"/>
  <c r="LA18" i="46"/>
  <c r="PA18" i="46"/>
  <c r="JD17" i="46"/>
  <c r="UN12" i="46"/>
  <c r="AKE12" i="46"/>
  <c r="AKE15" i="46"/>
  <c r="AJZ18" i="46"/>
  <c r="XM10" i="46"/>
  <c r="XM13" i="46"/>
  <c r="QF4" i="46"/>
  <c r="QF10" i="46"/>
  <c r="JR9" i="46"/>
  <c r="JR8" i="46"/>
  <c r="GN18" i="46"/>
  <c r="LA14" i="46"/>
  <c r="ZF7" i="46"/>
  <c r="ZF13" i="46"/>
  <c r="PA12" i="46"/>
  <c r="PA16" i="46"/>
  <c r="JD8" i="46"/>
  <c r="AKE18" i="46"/>
  <c r="AKE16" i="46"/>
  <c r="AJZ8" i="46"/>
  <c r="XM8" i="46"/>
  <c r="QF15" i="46"/>
  <c r="QF12" i="46"/>
  <c r="XM16" i="46"/>
  <c r="ZF15" i="46"/>
  <c r="ZF10" i="46"/>
  <c r="ZF12" i="46"/>
  <c r="QZ11" i="46"/>
  <c r="QZ13" i="46"/>
  <c r="PA14" i="46"/>
  <c r="PA8" i="46"/>
  <c r="JD12" i="46"/>
  <c r="JD11" i="46"/>
  <c r="AKE4" i="46"/>
  <c r="LA4" i="46"/>
  <c r="XM11" i="46"/>
  <c r="AJZ9" i="46"/>
  <c r="AJZ10" i="46"/>
  <c r="XM17" i="46"/>
  <c r="QF18" i="46"/>
  <c r="AKE10" i="46"/>
  <c r="AJZ11" i="46"/>
  <c r="QF16" i="46"/>
  <c r="JR18" i="46"/>
  <c r="LA10" i="46"/>
  <c r="ZF9" i="46"/>
  <c r="QZ16" i="46"/>
  <c r="PA15" i="46"/>
  <c r="PA17" i="46"/>
  <c r="JD15" i="46"/>
  <c r="UQ9" i="46"/>
  <c r="AKE14" i="46"/>
  <c r="AJZ12" i="46"/>
  <c r="AJZ13" i="46"/>
  <c r="XM9" i="46"/>
  <c r="QF8" i="46"/>
  <c r="JR15" i="46"/>
  <c r="AKE8" i="46"/>
  <c r="GN7" i="46"/>
  <c r="ZF18" i="46"/>
  <c r="ZF4" i="46"/>
  <c r="QZ4" i="46"/>
  <c r="QZ18" i="46"/>
  <c r="ZF17" i="46"/>
  <c r="PA10" i="46"/>
  <c r="LA16" i="46"/>
  <c r="PA4" i="46"/>
  <c r="PA9" i="46"/>
  <c r="AKE11" i="46"/>
  <c r="AJZ16" i="46"/>
  <c r="AJZ15" i="46"/>
  <c r="XM15" i="46"/>
  <c r="XM18" i="46"/>
  <c r="QF17" i="46"/>
  <c r="JR4" i="46"/>
  <c r="OX4" i="46"/>
  <c r="QF9" i="46"/>
  <c r="JD14" i="46"/>
  <c r="JD7" i="46"/>
  <c r="JR10" i="46"/>
  <c r="ZF8" i="46"/>
  <c r="LA17" i="46"/>
  <c r="LA8" i="46"/>
  <c r="FD8" i="46"/>
  <c r="WU16" i="46"/>
  <c r="UQ11" i="46"/>
  <c r="AKE17" i="46"/>
  <c r="AJZ17" i="46"/>
  <c r="XM14" i="46"/>
  <c r="QF11" i="46"/>
  <c r="UQ14" i="46"/>
  <c r="JR17" i="46"/>
  <c r="JR11" i="46"/>
  <c r="VG12" i="46"/>
  <c r="IT7" i="46"/>
  <c r="JA18" i="46"/>
  <c r="BK11" i="46"/>
  <c r="IT10" i="46"/>
  <c r="BM13" i="46"/>
  <c r="AEJ16" i="46"/>
  <c r="AEJ7" i="46"/>
  <c r="WY11" i="46"/>
  <c r="WY9" i="46"/>
  <c r="AEJ10" i="46"/>
  <c r="VG18" i="46"/>
  <c r="RQ18" i="46"/>
  <c r="AHB16" i="46"/>
  <c r="AHB12" i="46"/>
  <c r="JA8" i="46"/>
  <c r="AHB14" i="46"/>
  <c r="BK4" i="46"/>
  <c r="CA8" i="46"/>
  <c r="AKC14" i="46"/>
  <c r="AKC17" i="46"/>
  <c r="RQ7" i="46"/>
  <c r="AKC13" i="46"/>
  <c r="BK18" i="46"/>
  <c r="CA16" i="46"/>
  <c r="CA17" i="46"/>
  <c r="WY14" i="46"/>
  <c r="AEJ17" i="46"/>
  <c r="AEJ4" i="46"/>
  <c r="VG9" i="46"/>
  <c r="VG4" i="46"/>
  <c r="RQ14" i="46"/>
  <c r="AHB18" i="46"/>
  <c r="AHB17" i="46"/>
  <c r="JA16" i="46"/>
  <c r="IT4" i="46"/>
  <c r="IT8" i="46"/>
  <c r="WY7" i="46"/>
  <c r="JA14" i="46"/>
  <c r="IT12" i="46"/>
  <c r="WY12" i="46"/>
  <c r="AEJ11" i="46"/>
  <c r="AEJ14" i="46"/>
  <c r="VG14" i="46"/>
  <c r="VG16" i="46"/>
  <c r="RQ4" i="46"/>
  <c r="AHB10" i="46"/>
  <c r="AHB15" i="46"/>
  <c r="AHB8" i="46"/>
  <c r="JA17" i="46"/>
  <c r="BK13" i="46"/>
  <c r="BK8" i="46"/>
  <c r="AKC11" i="46"/>
  <c r="IT9" i="46"/>
  <c r="AKC10" i="46"/>
  <c r="CA9" i="46"/>
  <c r="AEJ9" i="46"/>
  <c r="JA12" i="46"/>
  <c r="BM15" i="46"/>
  <c r="BK16" i="46"/>
  <c r="WY16" i="46"/>
  <c r="AEJ15" i="46"/>
  <c r="VG7" i="46"/>
  <c r="VG13" i="46"/>
  <c r="RQ9" i="46"/>
  <c r="RQ15" i="46"/>
  <c r="AHB9" i="46"/>
  <c r="JA4" i="46"/>
  <c r="IT15" i="46"/>
  <c r="AKC15" i="46"/>
  <c r="AKC16" i="46"/>
  <c r="IT16" i="46"/>
  <c r="AKC9" i="46"/>
  <c r="JA7" i="46"/>
  <c r="CA18" i="46"/>
  <c r="BM12" i="46"/>
  <c r="BK9" i="46"/>
  <c r="BM4" i="46"/>
  <c r="WY4" i="46"/>
  <c r="WY10" i="46"/>
  <c r="AEJ8" i="46"/>
  <c r="VG17" i="46"/>
  <c r="RQ17" i="46"/>
  <c r="RQ8" i="46"/>
  <c r="JA11" i="46"/>
  <c r="IT13" i="46"/>
  <c r="IT17" i="46"/>
  <c r="AKC12" i="46"/>
  <c r="AEJ13" i="46"/>
  <c r="VG15" i="46"/>
  <c r="JA15" i="46"/>
  <c r="AKC4" i="46"/>
  <c r="BK7" i="46"/>
  <c r="BM11" i="46"/>
  <c r="BK10" i="46"/>
  <c r="BK12" i="46"/>
  <c r="BM16" i="46"/>
  <c r="BM17" i="46"/>
  <c r="BM10" i="46"/>
  <c r="WY18" i="46"/>
  <c r="WY17" i="46"/>
  <c r="VG8" i="46"/>
  <c r="RQ10" i="46"/>
  <c r="RQ16" i="46"/>
  <c r="AHB11" i="46"/>
  <c r="RQ13" i="46"/>
  <c r="CA4" i="46"/>
  <c r="HG18" i="46"/>
  <c r="CL7" i="46"/>
  <c r="MK18" i="46"/>
  <c r="CT11" i="46"/>
  <c r="UU18" i="46"/>
  <c r="AAA15" i="46"/>
  <c r="AAA16" i="46"/>
  <c r="WC7" i="46"/>
  <c r="WC17" i="46"/>
  <c r="BB15" i="46"/>
  <c r="AGS8" i="46"/>
  <c r="AIZ4" i="46"/>
  <c r="HJ4" i="46"/>
  <c r="HE17" i="46"/>
  <c r="AJN9" i="46"/>
  <c r="AJN10" i="46"/>
  <c r="MK14" i="46"/>
  <c r="GM10" i="46"/>
  <c r="BW12" i="46"/>
  <c r="JF11" i="46"/>
  <c r="CT16" i="46"/>
  <c r="UU9" i="46"/>
  <c r="UU17" i="46"/>
  <c r="AAA18" i="46"/>
  <c r="CL11" i="46"/>
  <c r="WC16" i="46"/>
  <c r="WC12" i="46"/>
  <c r="AHN17" i="46"/>
  <c r="HG9" i="46"/>
  <c r="AIZ8" i="46"/>
  <c r="AIZ7" i="46"/>
  <c r="BW11" i="46"/>
  <c r="AJN4" i="46"/>
  <c r="AJN18" i="46"/>
  <c r="CT18" i="46"/>
  <c r="BW7" i="46"/>
  <c r="HG12" i="46"/>
  <c r="MK10" i="46"/>
  <c r="CT4" i="46"/>
  <c r="BW15" i="46"/>
  <c r="UU13" i="46"/>
  <c r="UU7" i="46"/>
  <c r="AAA9" i="46"/>
  <c r="CL12" i="46"/>
  <c r="WC10" i="46"/>
  <c r="WC14" i="46"/>
  <c r="AGS7" i="46"/>
  <c r="HG11" i="46"/>
  <c r="AIZ18" i="46"/>
  <c r="AIZ16" i="46"/>
  <c r="BW13" i="46"/>
  <c r="AJN17" i="46"/>
  <c r="CT8" i="46"/>
  <c r="MK7" i="46"/>
  <c r="CT12" i="46"/>
  <c r="MK15" i="46"/>
  <c r="CT15" i="46"/>
  <c r="BB10" i="46"/>
  <c r="UU14" i="46"/>
  <c r="UU15" i="46"/>
  <c r="AAA12" i="46"/>
  <c r="AAA13" i="46"/>
  <c r="CL8" i="46"/>
  <c r="WC13" i="46"/>
  <c r="AFP10" i="46"/>
  <c r="AFP13" i="46"/>
  <c r="AIZ11" i="46"/>
  <c r="AIZ9" i="46"/>
  <c r="BW4" i="46"/>
  <c r="AJN7" i="46"/>
  <c r="BW18" i="46"/>
  <c r="CL16" i="46"/>
  <c r="BW9" i="46"/>
  <c r="BW10" i="46"/>
  <c r="CT9" i="46"/>
  <c r="HG16" i="46"/>
  <c r="MK13" i="46"/>
  <c r="MK8" i="46"/>
  <c r="CL10" i="46"/>
  <c r="UU12" i="46"/>
  <c r="AAA17" i="46"/>
  <c r="AAA14" i="46"/>
  <c r="CL13" i="46"/>
  <c r="WC11" i="46"/>
  <c r="HG4" i="46"/>
  <c r="AIZ12" i="46"/>
  <c r="AIZ17" i="46"/>
  <c r="BW8" i="46"/>
  <c r="AJN15" i="46"/>
  <c r="HG14" i="46"/>
  <c r="CL18" i="46"/>
  <c r="CT7" i="46"/>
  <c r="HG15" i="46"/>
  <c r="MK9" i="46"/>
  <c r="HG17" i="46"/>
  <c r="MK16" i="46"/>
  <c r="CT13" i="46"/>
  <c r="UU16" i="46"/>
  <c r="CL17" i="46"/>
  <c r="WC18" i="46"/>
  <c r="HG10" i="46"/>
  <c r="AAA7" i="46"/>
  <c r="AIZ13" i="46"/>
  <c r="AIZ10" i="46"/>
  <c r="AJN11" i="46"/>
  <c r="CT10" i="46"/>
  <c r="MK4" i="46"/>
  <c r="UU11" i="46"/>
  <c r="AAA4" i="46"/>
  <c r="AAA8" i="46"/>
  <c r="WC4" i="46"/>
  <c r="AGN14" i="46"/>
  <c r="AFH13" i="46"/>
  <c r="EO8" i="46"/>
  <c r="AJJ7" i="46"/>
  <c r="JO10" i="46"/>
  <c r="AHE9" i="46"/>
  <c r="AHE7" i="46"/>
  <c r="AKK13" i="46"/>
  <c r="II11" i="46"/>
  <c r="II17" i="46"/>
  <c r="WH10" i="46"/>
  <c r="JO17" i="46"/>
  <c r="HC18" i="46"/>
  <c r="JW18" i="46"/>
  <c r="ET18" i="46"/>
  <c r="GU18" i="46"/>
  <c r="LJ14" i="46"/>
  <c r="MX7" i="46"/>
  <c r="PQ9" i="46"/>
  <c r="AAU12" i="46"/>
  <c r="XI12" i="46"/>
  <c r="MX14" i="46"/>
  <c r="AEM7" i="46"/>
  <c r="IM4" i="46"/>
  <c r="IM18" i="46"/>
  <c r="IM10" i="46"/>
  <c r="AAU18" i="46"/>
  <c r="YF10" i="46"/>
  <c r="JW16" i="46"/>
  <c r="AEM4" i="46"/>
  <c r="PQ17" i="46"/>
  <c r="VA9" i="46"/>
  <c r="IM16" i="46"/>
  <c r="AEC11" i="46"/>
  <c r="IM14" i="46"/>
  <c r="JW7" i="46"/>
  <c r="AEM18" i="46"/>
  <c r="AEM10" i="46"/>
  <c r="YX16" i="46"/>
  <c r="LJ18" i="46"/>
  <c r="IM13" i="46"/>
  <c r="MX13" i="46"/>
  <c r="AEM11" i="46"/>
  <c r="AEM9" i="46"/>
  <c r="AEM14" i="46"/>
  <c r="YX14" i="46"/>
  <c r="AEC14" i="46"/>
  <c r="YX9" i="46"/>
  <c r="AEC7" i="46"/>
  <c r="PQ12" i="46"/>
  <c r="IM17" i="46"/>
  <c r="LJ13" i="46"/>
  <c r="YF18" i="46"/>
  <c r="MX16" i="46"/>
  <c r="VA10" i="46"/>
  <c r="JW4" i="46"/>
  <c r="LJ7" i="46"/>
  <c r="LJ12" i="46"/>
  <c r="XI16" i="46"/>
  <c r="AAU16" i="46"/>
  <c r="AAU10" i="46"/>
  <c r="YX10" i="46"/>
  <c r="AEC9" i="46"/>
  <c r="YG9" i="46"/>
  <c r="YF13" i="46"/>
  <c r="YF11" i="46"/>
  <c r="MX4" i="46"/>
  <c r="MX17" i="46"/>
  <c r="JW9" i="46"/>
  <c r="VA12" i="46"/>
  <c r="MX10" i="46"/>
  <c r="AAU7" i="46"/>
  <c r="AEM12" i="46"/>
  <c r="AEM16" i="46"/>
  <c r="AEM8" i="46"/>
  <c r="AAU11" i="46"/>
  <c r="AEC17" i="46"/>
  <c r="YX8" i="46"/>
  <c r="YX12" i="46"/>
  <c r="AEC13" i="46"/>
  <c r="YF14" i="46"/>
  <c r="YF8" i="46"/>
  <c r="MX18" i="46"/>
  <c r="MX11" i="46"/>
  <c r="JW13" i="46"/>
  <c r="VA15" i="46"/>
  <c r="VA16" i="46"/>
  <c r="AEC8" i="46"/>
  <c r="AAU14" i="46"/>
  <c r="AAU15" i="46"/>
  <c r="AAU13" i="46"/>
  <c r="AEM17" i="46"/>
  <c r="QG8" i="46"/>
  <c r="YX7" i="46"/>
  <c r="LJ15" i="46"/>
  <c r="YF16" i="46"/>
  <c r="YF15" i="46"/>
  <c r="TL18" i="46"/>
  <c r="MX12" i="46"/>
  <c r="VA7" i="46"/>
  <c r="JW10" i="46"/>
  <c r="VA17" i="46"/>
  <c r="JW17" i="46"/>
  <c r="AAU8" i="46"/>
  <c r="AAU4" i="46"/>
  <c r="AEC4" i="46"/>
  <c r="YX15" i="46"/>
  <c r="AEC15" i="46"/>
  <c r="AEC12" i="46"/>
  <c r="SD18" i="46"/>
  <c r="QG10" i="46"/>
  <c r="LJ11" i="46"/>
  <c r="YF4" i="46"/>
  <c r="YF9" i="46"/>
  <c r="MX9" i="46"/>
  <c r="LJ4" i="46"/>
  <c r="VA4" i="46"/>
  <c r="VA13" i="46"/>
  <c r="YX17" i="46"/>
  <c r="YX4" i="46"/>
  <c r="AEC10" i="46"/>
  <c r="ZS16" i="46"/>
  <c r="YG13" i="46"/>
  <c r="LJ17" i="46"/>
  <c r="YF17" i="46"/>
  <c r="MX8" i="46"/>
  <c r="VA8" i="46"/>
  <c r="VA18" i="46"/>
  <c r="VA11" i="46"/>
  <c r="YX13" i="46"/>
  <c r="YX18" i="46"/>
  <c r="ZS4" i="46"/>
  <c r="ADJ10" i="46"/>
  <c r="CG9" i="46"/>
  <c r="IM8" i="46"/>
  <c r="LJ8" i="46"/>
  <c r="LJ10" i="46"/>
  <c r="LJ9" i="46"/>
  <c r="YF7" i="46"/>
  <c r="JO14" i="46"/>
  <c r="AO12" i="46"/>
  <c r="II10" i="46"/>
  <c r="II4" i="46"/>
  <c r="WH7" i="46"/>
  <c r="AO13" i="46"/>
  <c r="ABY9" i="46"/>
  <c r="XP8" i="46"/>
  <c r="XP17" i="46"/>
  <c r="AHE14" i="46"/>
  <c r="AHE17" i="46"/>
  <c r="AJJ16" i="46"/>
  <c r="AEE4" i="46"/>
  <c r="II12" i="46"/>
  <c r="II13" i="46"/>
  <c r="WH9" i="46"/>
  <c r="AO10" i="46"/>
  <c r="AO4" i="46"/>
  <c r="AFV17" i="46"/>
  <c r="ABY15" i="46"/>
  <c r="HC8" i="46"/>
  <c r="AHE18" i="46"/>
  <c r="AHE12" i="46"/>
  <c r="AJJ11" i="46"/>
  <c r="AJJ4" i="46"/>
  <c r="WX11" i="46"/>
  <c r="AEE13" i="46"/>
  <c r="II14" i="46"/>
  <c r="II9" i="46"/>
  <c r="AKB17" i="46"/>
  <c r="II15" i="46"/>
  <c r="WH15" i="46"/>
  <c r="WH14" i="46"/>
  <c r="XP16" i="46"/>
  <c r="JO11" i="46"/>
  <c r="AHE8" i="46"/>
  <c r="AHE4" i="46"/>
  <c r="AJJ15" i="46"/>
  <c r="AJJ9" i="46"/>
  <c r="JO4" i="46"/>
  <c r="WX10" i="46"/>
  <c r="AEE16" i="46"/>
  <c r="HC16" i="46"/>
  <c r="AO16" i="46"/>
  <c r="WH8" i="46"/>
  <c r="PW10" i="46"/>
  <c r="FZ16" i="46"/>
  <c r="JO15" i="46"/>
  <c r="AHE10" i="46"/>
  <c r="AHE15" i="46"/>
  <c r="AJJ10" i="46"/>
  <c r="AJJ17" i="46"/>
  <c r="WX4" i="46"/>
  <c r="AEE7" i="46"/>
  <c r="HC10" i="46"/>
  <c r="WH4" i="46"/>
  <c r="UK14" i="46"/>
  <c r="ED11" i="46"/>
  <c r="JO13" i="46"/>
  <c r="JO9" i="46"/>
  <c r="AHE11" i="46"/>
  <c r="AJJ12" i="46"/>
  <c r="AJJ8" i="46"/>
  <c r="WX18" i="46"/>
  <c r="AEE14" i="46"/>
  <c r="YZ4" i="46"/>
  <c r="II18" i="46"/>
  <c r="JO18" i="46"/>
  <c r="HC7" i="46"/>
  <c r="AO11" i="46"/>
  <c r="WH13" i="46"/>
  <c r="WH11" i="46"/>
  <c r="HC4" i="46"/>
  <c r="JO16" i="46"/>
  <c r="AKK15" i="46"/>
  <c r="AHE16" i="46"/>
  <c r="AJJ14" i="46"/>
  <c r="AJJ13" i="46"/>
  <c r="YZ7" i="46"/>
  <c r="AEE17" i="46"/>
  <c r="YZ16" i="46"/>
  <c r="WX16" i="46"/>
  <c r="HC14" i="46"/>
  <c r="II7" i="46"/>
  <c r="AO18" i="46"/>
  <c r="HC17" i="46"/>
  <c r="AO15" i="46"/>
  <c r="II16" i="46"/>
  <c r="WH18" i="46"/>
  <c r="WH16" i="46"/>
  <c r="AO17" i="46"/>
  <c r="EO13" i="46"/>
  <c r="XP4" i="46"/>
  <c r="HC9" i="46"/>
  <c r="HC13" i="46"/>
  <c r="YZ12" i="46"/>
  <c r="YZ17" i="46"/>
  <c r="IR7" i="46"/>
  <c r="TZ11" i="46"/>
  <c r="TU10" i="46"/>
  <c r="AHT4" i="46"/>
  <c r="AAH10" i="46"/>
  <c r="DJ12" i="46"/>
  <c r="AKP10" i="46"/>
  <c r="AAM8" i="46"/>
  <c r="AAH9" i="46"/>
  <c r="AJI11" i="46"/>
  <c r="LG18" i="46"/>
  <c r="IR12" i="46"/>
  <c r="LG4" i="46"/>
  <c r="AKP7" i="46"/>
  <c r="NV14" i="46"/>
  <c r="NV13" i="46"/>
  <c r="AAM11" i="46"/>
  <c r="AAM17" i="46"/>
  <c r="AJI16" i="46"/>
  <c r="LG7" i="46"/>
  <c r="IR17" i="46"/>
  <c r="TZ17" i="46"/>
  <c r="TU15" i="46"/>
  <c r="TU18" i="46"/>
  <c r="IR13" i="46"/>
  <c r="AHT14" i="46"/>
  <c r="AAH12" i="46"/>
  <c r="AAH15" i="46"/>
  <c r="NV18" i="46"/>
  <c r="DJ8" i="46"/>
  <c r="AKP12" i="46"/>
  <c r="AHT12" i="46"/>
  <c r="AAM4" i="46"/>
  <c r="AJI14" i="46"/>
  <c r="AJI7" i="46"/>
  <c r="WX8" i="46"/>
  <c r="WX12" i="46"/>
  <c r="AEE9" i="46"/>
  <c r="YZ14" i="46"/>
  <c r="YZ11" i="46"/>
  <c r="AEE12" i="46"/>
  <c r="IR8" i="46"/>
  <c r="DJ7" i="46"/>
  <c r="IR16" i="46"/>
  <c r="NV10" i="46"/>
  <c r="TZ12" i="46"/>
  <c r="DJ10" i="46"/>
  <c r="TU8" i="46"/>
  <c r="LG10" i="46"/>
  <c r="AHT10" i="46"/>
  <c r="AAH4" i="46"/>
  <c r="NV4" i="46"/>
  <c r="DJ17" i="46"/>
  <c r="AKP8" i="46"/>
  <c r="AKP14" i="46"/>
  <c r="AAM12" i="46"/>
  <c r="AAM18" i="46"/>
  <c r="AHT11" i="46"/>
  <c r="AHT9" i="46"/>
  <c r="AJI10" i="46"/>
  <c r="AJI13" i="46"/>
  <c r="WX15" i="46"/>
  <c r="AEE8" i="46"/>
  <c r="YZ13" i="46"/>
  <c r="YZ10" i="46"/>
  <c r="WX14" i="46"/>
  <c r="YZ8" i="46"/>
  <c r="AKP15" i="46"/>
  <c r="TZ15" i="46"/>
  <c r="IR10" i="46"/>
  <c r="TU12" i="46"/>
  <c r="AJI9" i="46"/>
  <c r="AAM13" i="46"/>
  <c r="TZ14" i="46"/>
  <c r="TZ16" i="46"/>
  <c r="TZ4" i="46"/>
  <c r="TU16" i="46"/>
  <c r="LG16" i="46"/>
  <c r="AHT17" i="46"/>
  <c r="TU7" i="46"/>
  <c r="AAH16" i="46"/>
  <c r="NV16" i="46"/>
  <c r="DJ11" i="46"/>
  <c r="AKP18" i="46"/>
  <c r="AAM9" i="46"/>
  <c r="NV9" i="46"/>
  <c r="AHT7" i="46"/>
  <c r="AJI12" i="46"/>
  <c r="AKP16" i="46"/>
  <c r="TZ9" i="46"/>
  <c r="IR15" i="46"/>
  <c r="AKP4" i="46"/>
  <c r="AJI8" i="46"/>
  <c r="DJ18" i="46"/>
  <c r="LG14" i="46"/>
  <c r="TZ7" i="46"/>
  <c r="TZ10" i="46"/>
  <c r="LG13" i="46"/>
  <c r="TU9" i="46"/>
  <c r="LG17" i="46"/>
  <c r="AHT8" i="46"/>
  <c r="TU14" i="46"/>
  <c r="AAH8" i="46"/>
  <c r="NV11" i="46"/>
  <c r="AKP11" i="46"/>
  <c r="AAM7" i="46"/>
  <c r="AJI15" i="46"/>
  <c r="ABY16" i="46"/>
  <c r="WX7" i="46"/>
  <c r="AEE11" i="46"/>
  <c r="AHT18" i="46"/>
  <c r="WX17" i="46"/>
  <c r="AEE10" i="46"/>
  <c r="YZ18" i="46"/>
  <c r="YZ15" i="46"/>
  <c r="AAH13" i="46"/>
  <c r="AAH18" i="46"/>
  <c r="NV15" i="46"/>
  <c r="DJ15" i="46"/>
  <c r="AAM16" i="46"/>
  <c r="LG9" i="46"/>
  <c r="TZ13" i="46"/>
  <c r="TU11" i="46"/>
  <c r="AHT13" i="46"/>
  <c r="AAH17" i="46"/>
  <c r="NV8" i="46"/>
  <c r="NV17" i="46"/>
  <c r="DJ4" i="46"/>
  <c r="AKP17" i="46"/>
  <c r="AHT15" i="46"/>
  <c r="AAM14" i="46"/>
  <c r="WX13" i="46"/>
  <c r="AEE18" i="46"/>
  <c r="XP18" i="46"/>
  <c r="FD17" i="46"/>
  <c r="FM11" i="46"/>
  <c r="GN11" i="46"/>
  <c r="CS11" i="46"/>
  <c r="GW11" i="46"/>
  <c r="WU15" i="46"/>
  <c r="GK16" i="46"/>
  <c r="IG11" i="46"/>
  <c r="HI11" i="46"/>
  <c r="FD16" i="46"/>
  <c r="OX18" i="46"/>
  <c r="OX12" i="46"/>
  <c r="GN9" i="46"/>
  <c r="AW11" i="46"/>
  <c r="ACK15" i="46"/>
  <c r="UQ10" i="46"/>
  <c r="OX14" i="46"/>
  <c r="SV16" i="46"/>
  <c r="FD12" i="46"/>
  <c r="FS11" i="46"/>
  <c r="AHC15" i="46"/>
  <c r="ACK16" i="46"/>
  <c r="AQ11" i="46"/>
  <c r="ACK12" i="46"/>
  <c r="UN8" i="46"/>
  <c r="UQ13" i="46"/>
  <c r="RN16" i="46"/>
  <c r="AV11" i="46"/>
  <c r="BN12" i="92"/>
  <c r="BN17" i="92"/>
  <c r="BN15" i="92"/>
  <c r="WU12" i="46"/>
  <c r="SV12" i="46"/>
  <c r="RU7" i="46"/>
  <c r="AR9" i="46"/>
  <c r="AR12" i="46"/>
  <c r="RU14" i="46"/>
  <c r="YV10" i="46"/>
  <c r="AKS12" i="46"/>
  <c r="RN14" i="46"/>
  <c r="AKL16" i="46"/>
  <c r="AGM10" i="46"/>
  <c r="AKL4" i="46"/>
  <c r="CW17" i="46"/>
  <c r="OZ16" i="46"/>
  <c r="CW16" i="46"/>
  <c r="AR10" i="46"/>
  <c r="GU14" i="46"/>
  <c r="GU16" i="46"/>
  <c r="XI14" i="46"/>
  <c r="SD10" i="46"/>
  <c r="YG16" i="46"/>
  <c r="XI4" i="46"/>
  <c r="XI7" i="46"/>
  <c r="SD12" i="46"/>
  <c r="PQ14" i="46"/>
  <c r="PQ13" i="46"/>
  <c r="YG10" i="46"/>
  <c r="QG14" i="46"/>
  <c r="CG10" i="46"/>
  <c r="ZS8" i="46"/>
  <c r="ADJ12" i="46"/>
  <c r="TL16" i="46"/>
  <c r="TL10" i="46"/>
  <c r="GU13" i="46"/>
  <c r="XI18" i="46"/>
  <c r="TL9" i="46"/>
  <c r="CG17" i="46"/>
  <c r="XI15" i="46"/>
  <c r="CG11" i="46"/>
  <c r="SD16" i="46"/>
  <c r="SD7" i="46"/>
  <c r="SD13" i="46"/>
  <c r="PQ4" i="46"/>
  <c r="ZS7" i="46"/>
  <c r="YG18" i="46"/>
  <c r="SD11" i="46"/>
  <c r="ADJ17" i="46"/>
  <c r="QG12" i="46"/>
  <c r="GU10" i="46"/>
  <c r="CG8" i="46"/>
  <c r="YG12" i="46"/>
  <c r="TL7" i="46"/>
  <c r="TL13" i="46"/>
  <c r="QG15" i="46"/>
  <c r="YG8" i="46"/>
  <c r="ZS10" i="46"/>
  <c r="PQ7" i="46"/>
  <c r="XI9" i="46"/>
  <c r="SD4" i="46"/>
  <c r="PQ16" i="46"/>
  <c r="QG4" i="46"/>
  <c r="ZS15" i="46"/>
  <c r="ET15" i="46"/>
  <c r="YG11" i="46"/>
  <c r="SD14" i="46"/>
  <c r="ADJ4" i="46"/>
  <c r="ET12" i="46"/>
  <c r="ADJ14" i="46"/>
  <c r="CG4" i="46"/>
  <c r="TL14" i="46"/>
  <c r="TL12" i="46"/>
  <c r="YG7" i="46"/>
  <c r="ZS13" i="46"/>
  <c r="ET14" i="46"/>
  <c r="ET7" i="46"/>
  <c r="CG7" i="46"/>
  <c r="CG18" i="46"/>
  <c r="GU17" i="46"/>
  <c r="XI13" i="46"/>
  <c r="ET10" i="46"/>
  <c r="SD9" i="46"/>
  <c r="SD15" i="46"/>
  <c r="PQ11" i="46"/>
  <c r="QG13" i="46"/>
  <c r="ZS9" i="46"/>
  <c r="ET4" i="46"/>
  <c r="YG17" i="46"/>
  <c r="ADJ16" i="46"/>
  <c r="GU9" i="46"/>
  <c r="ET8" i="46"/>
  <c r="YG14" i="46"/>
  <c r="ADJ13" i="46"/>
  <c r="TL4" i="46"/>
  <c r="TL11" i="46"/>
  <c r="QG11" i="46"/>
  <c r="PQ10" i="46"/>
  <c r="QG17" i="46"/>
  <c r="XI11" i="46"/>
  <c r="SD17" i="46"/>
  <c r="PQ18" i="46"/>
  <c r="ZS14" i="46"/>
  <c r="ET11" i="46"/>
  <c r="YG4" i="46"/>
  <c r="ADJ9" i="46"/>
  <c r="QG9" i="46"/>
  <c r="ADJ15" i="46"/>
  <c r="TL17" i="46"/>
  <c r="QG18" i="46"/>
  <c r="ET17" i="46"/>
  <c r="ADJ7" i="46"/>
  <c r="GU12" i="46"/>
  <c r="XI17" i="46"/>
  <c r="XI10" i="46"/>
  <c r="PQ8" i="46"/>
  <c r="ZS12" i="46"/>
  <c r="ET13" i="46"/>
  <c r="ADJ18" i="46"/>
  <c r="QG16" i="46"/>
  <c r="ADJ8" i="46"/>
  <c r="CG13" i="46"/>
  <c r="GU4" i="46"/>
  <c r="ZS18" i="46"/>
  <c r="GU11" i="46"/>
  <c r="ZS11" i="46"/>
  <c r="TL8" i="46"/>
  <c r="CG16" i="46"/>
  <c r="AV10" i="46"/>
  <c r="AGM12" i="46"/>
  <c r="AGM18" i="46"/>
  <c r="RU18" i="46"/>
  <c r="OZ11" i="46"/>
  <c r="CW10" i="46"/>
  <c r="YV12" i="46"/>
  <c r="YV17" i="46"/>
  <c r="RN11" i="46"/>
  <c r="AGM9" i="46"/>
  <c r="AKL9" i="46"/>
  <c r="OZ18" i="46"/>
  <c r="AV17" i="46"/>
  <c r="AKS18" i="46"/>
  <c r="AKS13" i="46"/>
  <c r="AR17" i="46"/>
  <c r="CW18" i="46"/>
  <c r="AV7" i="46"/>
  <c r="RU17" i="46"/>
  <c r="AGM11" i="46"/>
  <c r="AGM13" i="46"/>
  <c r="RU11" i="46"/>
  <c r="OZ12" i="46"/>
  <c r="CW13" i="46"/>
  <c r="YV4" i="46"/>
  <c r="YV9" i="46"/>
  <c r="RN18" i="46"/>
  <c r="AGM14" i="46"/>
  <c r="AKL14" i="46"/>
  <c r="AV16" i="46"/>
  <c r="AKS8" i="46"/>
  <c r="AKS14" i="46"/>
  <c r="AR4" i="46"/>
  <c r="AKS9" i="46"/>
  <c r="AR18" i="46"/>
  <c r="AGM17" i="46"/>
  <c r="RU12" i="46"/>
  <c r="OZ14" i="46"/>
  <c r="YV13" i="46"/>
  <c r="RN8" i="46"/>
  <c r="AKL13" i="46"/>
  <c r="AV15" i="46"/>
  <c r="AKS7" i="46"/>
  <c r="AR8" i="46"/>
  <c r="AKS15" i="46"/>
  <c r="AR7" i="46"/>
  <c r="AV18" i="46"/>
  <c r="OZ9" i="46"/>
  <c r="RU4" i="46"/>
  <c r="AGM8" i="46"/>
  <c r="RU15" i="46"/>
  <c r="OZ15" i="46"/>
  <c r="YV7" i="46"/>
  <c r="RN15" i="46"/>
  <c r="AKL7" i="46"/>
  <c r="YV14" i="46"/>
  <c r="AR15" i="46"/>
  <c r="YV8" i="46"/>
  <c r="AGM16" i="46"/>
  <c r="RU10" i="46"/>
  <c r="OZ8" i="46"/>
  <c r="YV15" i="46"/>
  <c r="RN7" i="46"/>
  <c r="RN9" i="46"/>
  <c r="AKL12" i="46"/>
  <c r="AV8" i="46"/>
  <c r="YV18" i="46"/>
  <c r="AKS10" i="46"/>
  <c r="AKL18" i="46"/>
  <c r="AR16" i="46"/>
  <c r="AKL8" i="46"/>
  <c r="OZ7" i="46"/>
  <c r="CW12" i="46"/>
  <c r="AGM15" i="46"/>
  <c r="RU16" i="46"/>
  <c r="OZ4" i="46"/>
  <c r="CW4" i="46"/>
  <c r="YV16" i="46"/>
  <c r="RN4" i="46"/>
  <c r="RN10" i="46"/>
  <c r="AKL17" i="46"/>
  <c r="AV12" i="46"/>
  <c r="AKL10" i="46"/>
  <c r="AKS17" i="46"/>
  <c r="AKS4" i="46"/>
  <c r="AKL15" i="46"/>
  <c r="AKS11" i="46"/>
  <c r="AR13" i="46"/>
  <c r="CW11" i="46"/>
  <c r="AGM7" i="46"/>
  <c r="RU8" i="46"/>
  <c r="OZ17" i="46"/>
  <c r="CW9" i="46"/>
  <c r="RN17" i="46"/>
  <c r="OZ13" i="46"/>
  <c r="AV13" i="46"/>
  <c r="RU9" i="46"/>
  <c r="RN12" i="46"/>
  <c r="ED14" i="46"/>
  <c r="EO14" i="46"/>
  <c r="FZ18" i="46"/>
  <c r="ED18" i="46"/>
  <c r="FZ12" i="46"/>
  <c r="FZ9" i="46"/>
  <c r="AKB4" i="46"/>
  <c r="UK4" i="46"/>
  <c r="PW15" i="46"/>
  <c r="EO17" i="46"/>
  <c r="FZ17" i="46"/>
  <c r="ABY4" i="46"/>
  <c r="PW11" i="46"/>
  <c r="AFV18" i="46"/>
  <c r="PW4" i="46"/>
  <c r="XP10" i="46"/>
  <c r="AKK9" i="46"/>
  <c r="XP7" i="46"/>
  <c r="FZ7" i="46"/>
  <c r="ED10" i="46"/>
  <c r="AKB15" i="46"/>
  <c r="UK17" i="46"/>
  <c r="PW7" i="46"/>
  <c r="EO4" i="46"/>
  <c r="FZ15" i="46"/>
  <c r="XP11" i="46"/>
  <c r="AFV8" i="46"/>
  <c r="AKK17" i="46"/>
  <c r="AKK12" i="46"/>
  <c r="ED7" i="46"/>
  <c r="EO16" i="46"/>
  <c r="FZ10" i="46"/>
  <c r="AKB8" i="46"/>
  <c r="UK9" i="46"/>
  <c r="PW13" i="46"/>
  <c r="ED16" i="46"/>
  <c r="AFV11" i="46"/>
  <c r="EO10" i="46"/>
  <c r="XP14" i="46"/>
  <c r="AFV15" i="46"/>
  <c r="ABY18" i="46"/>
  <c r="ABY17" i="46"/>
  <c r="AKK10" i="46"/>
  <c r="EO7" i="46"/>
  <c r="ED12" i="46"/>
  <c r="PW9" i="46"/>
  <c r="AKB16" i="46"/>
  <c r="AKB9" i="46"/>
  <c r="UK15" i="46"/>
  <c r="PW14" i="46"/>
  <c r="ED17" i="46"/>
  <c r="ABY8" i="46"/>
  <c r="AFV13" i="46"/>
  <c r="ABY11" i="46"/>
  <c r="AKK18" i="46"/>
  <c r="AFV9" i="46"/>
  <c r="AKB10" i="46"/>
  <c r="AKB13" i="46"/>
  <c r="UK8" i="46"/>
  <c r="AFV7" i="46"/>
  <c r="UK10" i="46"/>
  <c r="ED15" i="46"/>
  <c r="FZ8" i="46"/>
  <c r="AFV12" i="46"/>
  <c r="EO9" i="46"/>
  <c r="XP12" i="46"/>
  <c r="PW18" i="46"/>
  <c r="AKK7" i="46"/>
  <c r="AKK11" i="46"/>
  <c r="AKK8" i="46"/>
  <c r="ABY7" i="46"/>
  <c r="AKB11" i="46"/>
  <c r="AKB18" i="46"/>
  <c r="FZ11" i="46"/>
  <c r="UK12" i="46"/>
  <c r="UK16" i="46"/>
  <c r="AFV16" i="46"/>
  <c r="PW8" i="46"/>
  <c r="UK13" i="46"/>
  <c r="ED4" i="46"/>
  <c r="FZ4" i="46"/>
  <c r="PW12" i="46"/>
  <c r="ABY14" i="46"/>
  <c r="ED13" i="46"/>
  <c r="XP9" i="46"/>
  <c r="AKK14" i="46"/>
  <c r="FZ14" i="46"/>
  <c r="EO18" i="46"/>
  <c r="AKB7" i="46"/>
  <c r="AKB12" i="46"/>
  <c r="UK7" i="46"/>
  <c r="UK11" i="46"/>
  <c r="AFV4" i="46"/>
  <c r="PW17" i="46"/>
  <c r="ED8" i="46"/>
  <c r="XP13" i="46"/>
  <c r="ABY10" i="46"/>
  <c r="ABY12" i="46"/>
  <c r="AFV14" i="46"/>
  <c r="AKK4" i="46"/>
  <c r="HE15" i="46"/>
  <c r="AFH18" i="46"/>
  <c r="AGS9" i="46"/>
  <c r="BB11" i="46"/>
  <c r="MJ4" i="46"/>
  <c r="AGN16" i="46"/>
  <c r="AFH12" i="46"/>
  <c r="AFH17" i="46"/>
  <c r="JF9" i="46"/>
  <c r="AHN15" i="46"/>
  <c r="BB8" i="46"/>
  <c r="AFP14" i="46"/>
  <c r="AFP18" i="46"/>
  <c r="JF17" i="46"/>
  <c r="AFP11" i="46"/>
  <c r="HJ16" i="46"/>
  <c r="HJ12" i="46"/>
  <c r="GM12" i="46"/>
  <c r="AGS15" i="46"/>
  <c r="BB12" i="46"/>
  <c r="MJ12" i="46"/>
  <c r="AGN10" i="46"/>
  <c r="AFH4" i="46"/>
  <c r="AFH11" i="46"/>
  <c r="AGN9" i="46"/>
  <c r="JF8" i="46"/>
  <c r="AHN4" i="46"/>
  <c r="HE13" i="46"/>
  <c r="HE11" i="46"/>
  <c r="HJ9" i="46"/>
  <c r="JF7" i="46"/>
  <c r="HE18" i="46"/>
  <c r="JF12" i="46"/>
  <c r="HE9" i="46"/>
  <c r="HE10" i="46"/>
  <c r="AGS11" i="46"/>
  <c r="AGS10" i="46"/>
  <c r="BB17" i="46"/>
  <c r="MJ13" i="46"/>
  <c r="AGN12" i="46"/>
  <c r="AHN7" i="46"/>
  <c r="AFH14" i="46"/>
  <c r="AGN8" i="46"/>
  <c r="JF15" i="46"/>
  <c r="AHN16" i="46"/>
  <c r="AFP9" i="46"/>
  <c r="AFP15" i="46"/>
  <c r="HJ8" i="46"/>
  <c r="GM8" i="46"/>
  <c r="GM14" i="46"/>
  <c r="JF14" i="46"/>
  <c r="JF18" i="46"/>
  <c r="GM7" i="46"/>
  <c r="MJ18" i="46"/>
  <c r="GM9" i="46"/>
  <c r="HJ11" i="46"/>
  <c r="MJ10" i="46"/>
  <c r="GM13" i="46"/>
  <c r="AGS13" i="46"/>
  <c r="AGS18" i="46"/>
  <c r="BB16" i="46"/>
  <c r="AHN14" i="46"/>
  <c r="AFH7" i="46"/>
  <c r="AGN13" i="46"/>
  <c r="AHN9" i="46"/>
  <c r="AFH8" i="46"/>
  <c r="HE4" i="46"/>
  <c r="AFP12" i="46"/>
  <c r="AFP8" i="46"/>
  <c r="AFP16" i="46"/>
  <c r="HJ14" i="46"/>
  <c r="MJ7" i="46"/>
  <c r="GM11" i="46"/>
  <c r="GM16" i="46"/>
  <c r="AGS12" i="46"/>
  <c r="BB4" i="46"/>
  <c r="MJ11" i="46"/>
  <c r="AGN7" i="46"/>
  <c r="AFH9" i="46"/>
  <c r="AGS14" i="46"/>
  <c r="AGN17" i="46"/>
  <c r="AHN11" i="46"/>
  <c r="AFP4" i="46"/>
  <c r="GM4" i="46"/>
  <c r="HJ13" i="46"/>
  <c r="HJ7" i="46"/>
  <c r="MJ14" i="46"/>
  <c r="HE14" i="46"/>
  <c r="JF10" i="46"/>
  <c r="BN26" i="92"/>
  <c r="AGS4" i="46"/>
  <c r="MJ16" i="46"/>
  <c r="AGN15" i="46"/>
  <c r="AFH16" i="46"/>
  <c r="AGS16" i="46"/>
  <c r="MJ8" i="46"/>
  <c r="AGN18" i="46"/>
  <c r="JF16" i="46"/>
  <c r="AHN12" i="46"/>
  <c r="AHN18" i="46"/>
  <c r="HE8" i="46"/>
  <c r="HJ17" i="46"/>
  <c r="AFP7" i="46"/>
  <c r="HJ18" i="46"/>
  <c r="BB18" i="46"/>
  <c r="HJ10" i="46"/>
  <c r="BB7" i="46"/>
  <c r="MJ17" i="46"/>
  <c r="AGN11" i="46"/>
  <c r="JF4" i="46"/>
  <c r="AHN13" i="46"/>
  <c r="HE12" i="46"/>
  <c r="AHN8" i="46"/>
  <c r="UW7" i="46"/>
  <c r="EA4" i="46"/>
  <c r="EA10" i="46"/>
  <c r="GN12" i="46"/>
  <c r="DU16" i="46"/>
  <c r="CM11" i="46"/>
  <c r="LM11" i="46"/>
  <c r="CA11" i="46"/>
  <c r="BO11" i="46"/>
  <c r="JW11" i="46"/>
  <c r="CY11" i="46"/>
  <c r="IY11" i="46"/>
  <c r="AHC10" i="46"/>
  <c r="GN13" i="46"/>
  <c r="PJ8" i="46"/>
  <c r="AGB12" i="46"/>
  <c r="ABQ4" i="46"/>
  <c r="UW14" i="46"/>
  <c r="PJ14" i="46"/>
  <c r="SX7" i="46"/>
  <c r="GK4" i="46"/>
  <c r="WS18" i="46"/>
  <c r="ACK4" i="46"/>
  <c r="ACK11" i="46"/>
  <c r="UN10" i="46"/>
  <c r="RE16" i="46"/>
  <c r="WU10" i="46"/>
  <c r="GN17" i="46"/>
  <c r="VY7" i="46"/>
  <c r="OX15" i="46"/>
  <c r="SX8" i="46"/>
  <c r="SX4" i="46"/>
  <c r="VY13" i="46"/>
  <c r="GK7" i="46"/>
  <c r="FD10" i="46"/>
  <c r="EA15" i="46"/>
  <c r="GN15" i="46"/>
  <c r="BC11" i="46"/>
  <c r="KU11" i="46"/>
  <c r="EI11" i="46"/>
  <c r="DQ11" i="46"/>
  <c r="KC11" i="46"/>
  <c r="KI11" i="46"/>
  <c r="GE11" i="46"/>
  <c r="KO11" i="46"/>
  <c r="GA15" i="46"/>
  <c r="GN16" i="46"/>
  <c r="PJ10" i="46"/>
  <c r="FD13" i="46"/>
  <c r="AGB11" i="46"/>
  <c r="ABQ10" i="46"/>
  <c r="UW11" i="46"/>
  <c r="UW18" i="46"/>
  <c r="PJ18" i="46"/>
  <c r="SX15" i="46"/>
  <c r="WS16" i="46"/>
  <c r="ACK10" i="46"/>
  <c r="GA12" i="46"/>
  <c r="UN13" i="46"/>
  <c r="RE12" i="46"/>
  <c r="RE17" i="46"/>
  <c r="WU11" i="46"/>
  <c r="ACK7" i="46"/>
  <c r="UQ17" i="46"/>
  <c r="UW15" i="46"/>
  <c r="OX16" i="46"/>
  <c r="FA11" i="46"/>
  <c r="FG11" i="46"/>
  <c r="EA9" i="46"/>
  <c r="SV4" i="46"/>
  <c r="DU9" i="46"/>
  <c r="GK17" i="46"/>
  <c r="FD15" i="46"/>
  <c r="MK11" i="46"/>
  <c r="DU17" i="46"/>
  <c r="HO11" i="46"/>
  <c r="ME11" i="46"/>
  <c r="IA11" i="46"/>
  <c r="DK11" i="46"/>
  <c r="LG11" i="46"/>
  <c r="BU11" i="46"/>
  <c r="IS11" i="46"/>
  <c r="AHC7" i="46"/>
  <c r="AHC18" i="46"/>
  <c r="AHC12" i="46"/>
  <c r="FD4" i="46"/>
  <c r="AGB15" i="46"/>
  <c r="UN7" i="46"/>
  <c r="ABQ8" i="46"/>
  <c r="ABQ9" i="46"/>
  <c r="UW8" i="46"/>
  <c r="SX18" i="46"/>
  <c r="AGB4" i="46"/>
  <c r="WS15" i="46"/>
  <c r="WS13" i="46"/>
  <c r="EO11" i="46"/>
  <c r="ACK8" i="46"/>
  <c r="GA17" i="46"/>
  <c r="UN15" i="46"/>
  <c r="RE13" i="46"/>
  <c r="WU4" i="46"/>
  <c r="VY9" i="46"/>
  <c r="OX10" i="46"/>
  <c r="SX16" i="46"/>
  <c r="VY15" i="46"/>
  <c r="UQ18" i="46"/>
  <c r="RE8" i="46"/>
  <c r="GK10" i="46"/>
  <c r="UQ4" i="46"/>
  <c r="EA13" i="46"/>
  <c r="VY10" i="46"/>
  <c r="SV17" i="46"/>
  <c r="SV7" i="46"/>
  <c r="DU10" i="46"/>
  <c r="FD14" i="46"/>
  <c r="DU18" i="46"/>
  <c r="GK18" i="46"/>
  <c r="EA11" i="46"/>
  <c r="DU15" i="46"/>
  <c r="LY11" i="46"/>
  <c r="AK11" i="46"/>
  <c r="BI11" i="46"/>
  <c r="FY11" i="46"/>
  <c r="AHC11" i="46"/>
  <c r="AHC4" i="46"/>
  <c r="PJ13" i="46"/>
  <c r="AGB8" i="46"/>
  <c r="UN17" i="46"/>
  <c r="ABQ17" i="46"/>
  <c r="ABQ13" i="46"/>
  <c r="UW17" i="46"/>
  <c r="SX9" i="46"/>
  <c r="AGB10" i="46"/>
  <c r="GK13" i="46"/>
  <c r="WS4" i="46"/>
  <c r="WS17" i="46"/>
  <c r="ACK17" i="46"/>
  <c r="GA8" i="46"/>
  <c r="UN9" i="46"/>
  <c r="RE4" i="46"/>
  <c r="WU13" i="46"/>
  <c r="UQ7" i="46"/>
  <c r="VY16" i="46"/>
  <c r="VY4" i="46"/>
  <c r="GA4" i="46"/>
  <c r="UN14" i="46"/>
  <c r="UQ15" i="46"/>
  <c r="UN4" i="46"/>
  <c r="WU17" i="46"/>
  <c r="GK11" i="46"/>
  <c r="SV14" i="46"/>
  <c r="SV8" i="46"/>
  <c r="DU13" i="46"/>
  <c r="GK12" i="46"/>
  <c r="GN14" i="46"/>
  <c r="PJ7" i="46"/>
  <c r="GN10" i="46"/>
  <c r="GA9" i="46"/>
  <c r="LS11" i="46"/>
  <c r="HU11" i="46"/>
  <c r="IM11" i="46"/>
  <c r="DE11" i="46"/>
  <c r="MQ11" i="46"/>
  <c r="AHC9" i="46"/>
  <c r="JQ11" i="46"/>
  <c r="AHC16" i="46"/>
  <c r="AHC8" i="46"/>
  <c r="LA11" i="46"/>
  <c r="GN4" i="46"/>
  <c r="PJ4" i="46"/>
  <c r="AGB9" i="46"/>
  <c r="AGB17" i="46"/>
  <c r="RE10" i="46"/>
  <c r="ABQ12" i="46"/>
  <c r="UW10" i="46"/>
  <c r="SX14" i="46"/>
  <c r="AGB16" i="46"/>
  <c r="GK15" i="46"/>
  <c r="WS14" i="46"/>
  <c r="ACK9" i="46"/>
  <c r="UN18" i="46"/>
  <c r="RE18" i="46"/>
  <c r="WU7" i="46"/>
  <c r="ABQ11" i="46"/>
  <c r="WU9" i="46"/>
  <c r="WS8" i="46"/>
  <c r="VY12" i="46"/>
  <c r="UQ16" i="46"/>
  <c r="ACK13" i="46"/>
  <c r="SV18" i="46"/>
  <c r="SV9" i="46"/>
  <c r="SV15" i="46"/>
  <c r="GK14" i="46"/>
  <c r="EA18" i="46"/>
  <c r="GA7" i="46"/>
  <c r="FD9" i="46"/>
  <c r="EC11" i="46"/>
  <c r="HC11" i="46"/>
  <c r="EU11" i="46"/>
  <c r="AHC17" i="46"/>
  <c r="PJ15" i="46"/>
  <c r="AGB14" i="46"/>
  <c r="RE15" i="46"/>
  <c r="ABQ14" i="46"/>
  <c r="UW12" i="46"/>
  <c r="SX13" i="46"/>
  <c r="GK8" i="46"/>
  <c r="WS10" i="46"/>
  <c r="ACK18" i="46"/>
  <c r="UN11" i="46"/>
  <c r="RE7" i="46"/>
  <c r="WU18" i="46"/>
  <c r="OX11" i="46"/>
  <c r="WU8" i="46"/>
  <c r="OX7" i="46"/>
  <c r="GA11" i="46"/>
  <c r="OX17" i="46"/>
  <c r="UQ8" i="46"/>
  <c r="SV13" i="46"/>
  <c r="SV10" i="46"/>
  <c r="ACL18" i="46"/>
  <c r="ACL10" i="46"/>
  <c r="ACL15" i="46"/>
  <c r="ACL9" i="46"/>
  <c r="ACL17" i="46"/>
  <c r="ACL7" i="46"/>
  <c r="ACL16" i="46"/>
  <c r="ACL4" i="46"/>
  <c r="ACL12" i="46"/>
  <c r="ACL14" i="46"/>
  <c r="ACL11" i="46"/>
  <c r="ACL13" i="46"/>
  <c r="BC14" i="46"/>
  <c r="AS14" i="46"/>
  <c r="BY14" i="46"/>
  <c r="DK14" i="46"/>
  <c r="AW14" i="46"/>
  <c r="Y18" i="46"/>
  <c r="R18" i="46"/>
  <c r="AC18" i="46" s="1"/>
  <c r="CX9" i="46"/>
  <c r="HZ9" i="46"/>
  <c r="OX9" i="46"/>
  <c r="BN9" i="46"/>
  <c r="GP9" i="46"/>
  <c r="IX9" i="46"/>
  <c r="PV9" i="46"/>
  <c r="LL9" i="46"/>
  <c r="AD15" i="46"/>
  <c r="FR9" i="46"/>
  <c r="DV9" i="46"/>
  <c r="QZ9" i="46"/>
  <c r="NH9" i="46"/>
  <c r="HT9" i="46"/>
  <c r="IF9" i="46"/>
  <c r="JJ9" i="46"/>
  <c r="CL9" i="46"/>
  <c r="GD9" i="46"/>
  <c r="JD9" i="46"/>
  <c r="OF9" i="46"/>
  <c r="PJ9" i="46"/>
  <c r="MD9" i="46"/>
  <c r="KT9" i="46"/>
  <c r="JP9" i="46"/>
  <c r="NN9" i="46"/>
  <c r="NB9" i="46"/>
  <c r="MP9" i="46"/>
  <c r="BB9" i="46"/>
  <c r="RF9" i="46"/>
  <c r="QB9" i="46"/>
  <c r="MV9" i="46"/>
  <c r="HN9" i="46"/>
  <c r="PD9" i="46"/>
  <c r="LF9" i="46"/>
  <c r="ET9" i="46"/>
  <c r="KB9" i="46"/>
  <c r="Z11" i="46"/>
  <c r="BT9" i="46"/>
  <c r="Y11" i="46"/>
  <c r="DD9" i="46"/>
  <c r="JV9" i="46"/>
  <c r="EZ9" i="46"/>
  <c r="KN9" i="46"/>
  <c r="DP9" i="46"/>
  <c r="QT9" i="46"/>
  <c r="CR9" i="46"/>
  <c r="NT9" i="46"/>
  <c r="OL9" i="46"/>
  <c r="FF9" i="46"/>
  <c r="KH9" i="46"/>
  <c r="EH9" i="46"/>
  <c r="CF9" i="46"/>
  <c r="PP9" i="46"/>
  <c r="EB9" i="46"/>
  <c r="HH9" i="46"/>
  <c r="NZ9" i="46"/>
  <c r="AP9" i="46"/>
  <c r="MJ9" i="46"/>
  <c r="IL9" i="46"/>
  <c r="FL9" i="46"/>
  <c r="RL9" i="46"/>
  <c r="FX9" i="46"/>
  <c r="AV9" i="46"/>
  <c r="KZ9" i="46"/>
  <c r="DJ9" i="46"/>
  <c r="GV9" i="46"/>
  <c r="QH9" i="46"/>
  <c r="IR9" i="46"/>
  <c r="LR9" i="46"/>
  <c r="EN9" i="46"/>
  <c r="OR9" i="46"/>
  <c r="HB9" i="46"/>
  <c r="GJ9" i="46"/>
  <c r="BH9" i="46"/>
  <c r="BZ9" i="46"/>
  <c r="QN9" i="46"/>
  <c r="CW14" i="46"/>
  <c r="BG14" i="46"/>
  <c r="CM14" i="46"/>
  <c r="DV14" i="46"/>
  <c r="BR14" i="46"/>
  <c r="CK14" i="46"/>
  <c r="DA14" i="46"/>
  <c r="AK14" i="46"/>
  <c r="CY14" i="46"/>
  <c r="DT14" i="46"/>
  <c r="AQ14" i="46"/>
  <c r="BH14" i="46"/>
  <c r="DB14" i="46"/>
  <c r="CO14" i="46"/>
  <c r="DP14" i="46"/>
  <c r="AN14" i="46"/>
  <c r="BX14" i="46"/>
  <c r="CQ14" i="46"/>
  <c r="DJ14" i="46"/>
  <c r="CV14" i="46"/>
  <c r="CS14" i="46"/>
  <c r="BA14" i="46"/>
  <c r="AM14" i="46"/>
  <c r="BO14" i="46"/>
  <c r="BB14" i="46"/>
  <c r="CL14" i="46"/>
  <c r="BQ14" i="46"/>
  <c r="DW14" i="46"/>
  <c r="AT14" i="46"/>
  <c r="BS14" i="46"/>
  <c r="J15" i="90"/>
  <c r="BE14" i="46"/>
  <c r="DC14" i="46"/>
  <c r="DO14" i="46"/>
  <c r="DI14" i="46"/>
  <c r="AY14" i="46"/>
  <c r="BT14" i="46"/>
  <c r="DD14" i="46"/>
  <c r="DE14" i="46"/>
  <c r="BF14" i="46"/>
  <c r="DQ14" i="46"/>
  <c r="T57" i="46"/>
  <c r="BI14" i="46"/>
  <c r="AO14" i="46"/>
  <c r="CC14" i="46"/>
  <c r="DS14" i="46"/>
  <c r="T54" i="46"/>
  <c r="BW14" i="46"/>
  <c r="BZ14" i="46"/>
  <c r="CR14" i="46"/>
  <c r="CX14" i="46"/>
  <c r="DG14" i="46"/>
  <c r="DU14" i="46"/>
  <c r="BN14" i="46"/>
  <c r="CF14" i="46"/>
  <c r="BL14" i="46"/>
  <c r="BU14" i="46"/>
  <c r="BM14" i="46"/>
  <c r="T60" i="46"/>
  <c r="CP14" i="46"/>
  <c r="AU14" i="46"/>
  <c r="DN14" i="46"/>
  <c r="CD14" i="46"/>
  <c r="CI14" i="46"/>
  <c r="AP14" i="46"/>
  <c r="BK14" i="46"/>
  <c r="CE14" i="46"/>
  <c r="AZ14" i="46"/>
  <c r="CU14" i="46"/>
  <c r="CJ14" i="46"/>
  <c r="DH14" i="46"/>
  <c r="DM14" i="46"/>
  <c r="CA14" i="46"/>
  <c r="T63" i="46"/>
  <c r="AV14" i="46"/>
  <c r="CG14" i="46"/>
  <c r="BN25" i="92"/>
  <c r="T56" i="46"/>
  <c r="AI3" i="46"/>
  <c r="O34" i="90" s="1"/>
  <c r="O33" i="90" s="1"/>
  <c r="C67" i="78"/>
  <c r="C73" i="78"/>
  <c r="C68" i="78"/>
  <c r="C63" i="78"/>
  <c r="C69" i="78"/>
  <c r="C64" i="78"/>
  <c r="C70" i="78"/>
  <c r="C65" i="78"/>
  <c r="C71" i="78"/>
  <c r="C66" i="78"/>
  <c r="C72" i="78"/>
  <c r="AN18" i="46"/>
  <c r="GB18" i="46"/>
  <c r="BF18" i="46"/>
  <c r="CD18" i="46"/>
  <c r="CV18" i="46"/>
  <c r="FP18" i="46"/>
  <c r="AT18" i="46"/>
  <c r="DB18" i="46"/>
  <c r="FJ18" i="46"/>
  <c r="AZ18" i="46"/>
  <c r="T58" i="46"/>
  <c r="DZ18" i="46"/>
  <c r="BX18" i="46"/>
  <c r="CP18" i="46"/>
  <c r="DN18" i="46"/>
  <c r="T64" i="46"/>
  <c r="DT18" i="46"/>
  <c r="FV18" i="46"/>
  <c r="ER18" i="46"/>
  <c r="DH18" i="46"/>
  <c r="BL18" i="46"/>
  <c r="EL18" i="46"/>
  <c r="CJ18" i="46"/>
  <c r="FD18" i="46"/>
  <c r="BR18" i="46"/>
  <c r="EX18" i="46"/>
  <c r="BW7" i="92"/>
  <c r="BS7" i="92"/>
  <c r="BT26" i="92"/>
  <c r="BT32" i="92"/>
  <c r="BT19" i="92"/>
  <c r="BT20" i="92"/>
  <c r="BT27" i="92"/>
  <c r="BT24" i="92"/>
  <c r="BT29" i="92"/>
  <c r="BT7" i="92"/>
  <c r="BT36" i="92"/>
  <c r="BT28" i="92"/>
  <c r="BT23" i="92"/>
  <c r="BT8" i="92"/>
  <c r="BT21" i="92"/>
  <c r="BT30" i="92"/>
  <c r="BT22" i="92"/>
  <c r="BT25" i="92"/>
  <c r="BT33" i="92"/>
  <c r="BN13" i="92"/>
  <c r="BN11" i="92"/>
  <c r="BN10" i="92"/>
  <c r="BN16" i="92"/>
  <c r="BN9" i="92"/>
  <c r="BN18" i="92"/>
  <c r="IK7" i="46"/>
  <c r="FQ7" i="46"/>
  <c r="KA7" i="46"/>
  <c r="ES7" i="46"/>
  <c r="Z13" i="46"/>
  <c r="HM7" i="46"/>
  <c r="FE7" i="46"/>
  <c r="KY7" i="46"/>
  <c r="JO7" i="46"/>
  <c r="MU7" i="46"/>
  <c r="CH7" i="92"/>
  <c r="BN24" i="92"/>
  <c r="AD18" i="46"/>
  <c r="AD13" i="46"/>
  <c r="X27" i="46"/>
  <c r="IQ7" i="46"/>
  <c r="JC7" i="46"/>
  <c r="CK7" i="46"/>
  <c r="BA7" i="46"/>
  <c r="BS7" i="46"/>
  <c r="FW7" i="46"/>
  <c r="AO7" i="46"/>
  <c r="BG7" i="46"/>
  <c r="AU7" i="46"/>
  <c r="LQ7" i="46"/>
  <c r="MC7" i="46"/>
  <c r="CE7" i="46"/>
  <c r="GC7" i="46"/>
  <c r="GU7" i="46"/>
  <c r="EA7" i="46"/>
  <c r="DI7" i="46"/>
  <c r="HS7" i="46"/>
  <c r="EM7" i="46"/>
  <c r="LE7" i="46"/>
  <c r="LK7" i="46"/>
  <c r="NG7" i="46"/>
  <c r="HG7" i="46"/>
  <c r="HA7" i="46"/>
  <c r="MI7" i="46"/>
  <c r="NA7" i="46"/>
  <c r="MO7" i="46"/>
  <c r="LW7" i="46"/>
  <c r="JI7" i="46"/>
  <c r="IW7" i="46"/>
  <c r="BY7" i="46"/>
  <c r="JU7" i="46"/>
  <c r="CW7" i="46"/>
  <c r="BM7" i="46"/>
  <c r="GO7" i="46"/>
  <c r="KM7" i="46"/>
  <c r="CQ7" i="46"/>
  <c r="DO7" i="46"/>
  <c r="NM7" i="46"/>
  <c r="KG7" i="46"/>
  <c r="DU7" i="46"/>
  <c r="IE7" i="46"/>
  <c r="EY7" i="46"/>
  <c r="FK7" i="46"/>
  <c r="HY7" i="46"/>
  <c r="DC7" i="46"/>
  <c r="GI7" i="46"/>
  <c r="EG7" i="46"/>
  <c r="AD9" i="46"/>
  <c r="R13" i="46"/>
  <c r="AC13" i="46" s="1"/>
  <c r="R9" i="46"/>
  <c r="AC9" i="46" s="1"/>
  <c r="Y9" i="46"/>
  <c r="BN22" i="92"/>
  <c r="AD10" i="46"/>
  <c r="FG12" i="46"/>
  <c r="R7" i="46"/>
  <c r="K42" i="46" s="1"/>
  <c r="JE12" i="46"/>
  <c r="CS12" i="46"/>
  <c r="MQ12" i="46"/>
  <c r="EI12" i="46"/>
  <c r="AK12" i="46"/>
  <c r="HU12" i="46"/>
  <c r="MK12" i="46"/>
  <c r="LA12" i="46"/>
  <c r="DK12" i="46"/>
  <c r="AW12" i="46"/>
  <c r="FM12" i="46"/>
  <c r="KC12" i="46"/>
  <c r="BO12" i="46"/>
  <c r="HC12" i="46"/>
  <c r="BC12" i="46"/>
  <c r="HI12" i="46"/>
  <c r="JW12" i="46"/>
  <c r="EO12" i="46"/>
  <c r="GQ12" i="46"/>
  <c r="JQ12" i="46"/>
  <c r="LG12" i="46"/>
  <c r="FY12" i="46"/>
  <c r="IA12" i="46"/>
  <c r="GE12" i="46"/>
  <c r="BI12" i="46"/>
  <c r="KO12" i="46"/>
  <c r="T55" i="46"/>
  <c r="FS12" i="46"/>
  <c r="EU12" i="46"/>
  <c r="LS12" i="46"/>
  <c r="IS12" i="46"/>
  <c r="BU12" i="46"/>
  <c r="LY12" i="46"/>
  <c r="AQ12" i="46"/>
  <c r="IY12" i="46"/>
  <c r="CY12" i="46"/>
  <c r="IM12" i="46"/>
  <c r="LM12" i="46"/>
  <c r="KU12" i="46"/>
  <c r="HO12" i="46"/>
  <c r="JK12" i="46"/>
  <c r="CM12" i="46"/>
  <c r="FA12" i="46"/>
  <c r="DW12" i="46"/>
  <c r="DQ12" i="46"/>
  <c r="CA12" i="46"/>
  <c r="CG12" i="46"/>
  <c r="KI12" i="46"/>
  <c r="T61" i="46"/>
  <c r="EC12" i="46"/>
  <c r="DE12" i="46"/>
  <c r="IG12" i="46"/>
  <c r="GW12" i="46"/>
  <c r="ME12" i="46"/>
  <c r="AD17" i="46"/>
  <c r="R8" i="46"/>
  <c r="AC8" i="46" s="1"/>
  <c r="Z8" i="46"/>
  <c r="AD7" i="46"/>
  <c r="BN30" i="92"/>
  <c r="AY7" i="108"/>
  <c r="BN28" i="92"/>
  <c r="G18" i="82"/>
  <c r="H18" i="82" s="1"/>
  <c r="E18" i="82"/>
  <c r="F18" i="82" s="1"/>
  <c r="BN33" i="92"/>
  <c r="AY11" i="108"/>
  <c r="AY18" i="108"/>
  <c r="AX14" i="46"/>
  <c r="CT14" i="46"/>
  <c r="DR14" i="46"/>
  <c r="T62" i="46"/>
  <c r="AL14" i="46"/>
  <c r="CZ14" i="46"/>
  <c r="BP14" i="46"/>
  <c r="BV14" i="46"/>
  <c r="CN14" i="46"/>
  <c r="CH14" i="46"/>
  <c r="CB14" i="46"/>
  <c r="DF14" i="46"/>
  <c r="DX14" i="46"/>
  <c r="BD14" i="46"/>
  <c r="BJ14" i="46"/>
  <c r="AR14" i="46"/>
  <c r="DL14" i="46"/>
  <c r="LW8" i="46"/>
  <c r="JU8" i="46"/>
  <c r="HS8" i="46"/>
  <c r="HG8" i="46"/>
  <c r="CK8" i="46"/>
  <c r="IE8" i="46"/>
  <c r="ES8" i="46"/>
  <c r="HY8" i="46"/>
  <c r="BS8" i="46"/>
  <c r="KY8" i="46"/>
  <c r="FE8" i="46"/>
  <c r="LQ8" i="46"/>
  <c r="MO8" i="46"/>
  <c r="BN23" i="92"/>
  <c r="CE8" i="46"/>
  <c r="T59" i="46"/>
  <c r="AE27" i="46"/>
  <c r="AE29" i="46" s="1"/>
  <c r="DI8" i="46"/>
  <c r="FK8" i="46"/>
  <c r="EA8" i="46"/>
  <c r="NA8" i="46"/>
  <c r="MC8" i="46"/>
  <c r="BY8" i="46"/>
  <c r="EG8" i="46"/>
  <c r="JI8" i="46"/>
  <c r="MU8" i="46"/>
  <c r="BM8" i="46"/>
  <c r="KM8" i="46"/>
  <c r="KG8" i="46"/>
  <c r="DU8" i="46"/>
  <c r="GU8" i="46"/>
  <c r="AO8" i="46"/>
  <c r="DC8" i="46"/>
  <c r="T53" i="46"/>
  <c r="MI8" i="46"/>
  <c r="FQ8" i="46"/>
  <c r="EM8" i="46"/>
  <c r="CQ8" i="46"/>
  <c r="IQ8" i="46"/>
  <c r="JO8" i="46"/>
  <c r="KS8" i="46"/>
  <c r="JC8" i="46"/>
  <c r="BA8" i="46"/>
  <c r="GI8" i="46"/>
  <c r="IW8" i="46"/>
  <c r="NG8" i="46"/>
  <c r="FW8" i="46"/>
  <c r="AU8" i="46"/>
  <c r="KA8" i="46"/>
  <c r="GC8" i="46"/>
  <c r="HM8" i="46"/>
  <c r="LE8" i="46"/>
  <c r="GO8" i="46"/>
  <c r="IK8" i="46"/>
  <c r="DO8" i="46"/>
  <c r="CW8" i="46"/>
  <c r="BN20" i="92"/>
  <c r="BG8" i="46"/>
  <c r="HA8" i="46"/>
  <c r="EY8" i="46"/>
  <c r="BW30" i="92"/>
  <c r="BS30" i="92"/>
  <c r="BV30" i="92"/>
  <c r="BV25" i="92"/>
  <c r="BS25" i="92"/>
  <c r="BW25" i="92"/>
  <c r="AY9" i="92"/>
  <c r="BV36" i="92"/>
  <c r="BS36" i="92"/>
  <c r="BW36" i="92"/>
  <c r="BS21" i="92"/>
  <c r="BW21" i="92"/>
  <c r="BV21" i="92"/>
  <c r="BS24" i="92"/>
  <c r="BV24" i="92"/>
  <c r="BW24" i="92"/>
  <c r="BV33" i="92"/>
  <c r="BW33" i="92"/>
  <c r="BS33" i="92"/>
  <c r="BS27" i="92"/>
  <c r="BV27" i="92"/>
  <c r="BW27" i="92"/>
  <c r="BW29" i="92"/>
  <c r="BV29" i="92"/>
  <c r="BS29" i="92"/>
  <c r="BW26" i="92"/>
  <c r="BS26" i="92"/>
  <c r="BV26" i="92"/>
  <c r="BN27" i="92"/>
  <c r="BS22" i="92"/>
  <c r="BV22" i="92"/>
  <c r="BW22" i="92"/>
  <c r="BN36" i="92"/>
  <c r="BW32" i="92"/>
  <c r="BV32" i="92"/>
  <c r="BS32" i="92"/>
  <c r="BS23" i="92"/>
  <c r="BV23" i="92"/>
  <c r="BW23" i="92"/>
  <c r="BV28" i="92"/>
  <c r="BS28" i="92"/>
  <c r="BW28" i="92"/>
  <c r="BN32" i="92"/>
  <c r="BW20" i="92"/>
  <c r="BV20" i="92"/>
  <c r="BS20" i="92"/>
  <c r="BN21" i="92"/>
  <c r="C40" i="78"/>
  <c r="C50" i="78"/>
  <c r="C41" i="78"/>
  <c r="C55" i="78"/>
  <c r="C51" i="78"/>
  <c r="C42" i="78"/>
  <c r="C47" i="78"/>
  <c r="C56" i="78"/>
  <c r="C43" i="78"/>
  <c r="C57" i="78"/>
  <c r="C45" i="78"/>
  <c r="C46" i="78"/>
  <c r="C53" i="78"/>
  <c r="C49" i="78"/>
  <c r="C44" i="78"/>
  <c r="C54" i="78"/>
  <c r="C52" i="78"/>
  <c r="C48" i="78"/>
  <c r="BV7" i="92"/>
  <c r="BV8" i="92"/>
  <c r="C38" i="78"/>
  <c r="C39" i="78"/>
  <c r="BW8" i="92"/>
  <c r="BS8" i="92"/>
  <c r="BN8" i="92"/>
  <c r="BN7" i="92"/>
  <c r="AD12" i="46"/>
  <c r="G19" i="82"/>
  <c r="I19" i="82" s="1"/>
  <c r="B20" i="82"/>
  <c r="E19" i="82"/>
  <c r="K8" i="90"/>
  <c r="J8" i="90"/>
  <c r="A46" i="46"/>
  <c r="E45" i="46"/>
  <c r="C18" i="82"/>
  <c r="Y11" i="113" l="1"/>
  <c r="Y13" i="113"/>
  <c r="Y10" i="113"/>
  <c r="Y11" i="120"/>
  <c r="Y13" i="120"/>
  <c r="Y10" i="120"/>
  <c r="Y8" i="120"/>
  <c r="Y9" i="120"/>
  <c r="E42" i="126"/>
  <c r="E67" i="126" s="1"/>
  <c r="E43" i="126"/>
  <c r="E68" i="126" s="1"/>
  <c r="E44" i="126"/>
  <c r="E69" i="126" s="1"/>
  <c r="Q87" i="128"/>
  <c r="D37" i="120"/>
  <c r="Q85" i="128"/>
  <c r="Q140" i="107"/>
  <c r="Q60" i="107"/>
  <c r="O1" i="124"/>
  <c r="P11" i="124" s="1"/>
  <c r="Q78" i="107"/>
  <c r="AC1" i="124"/>
  <c r="AB296" i="124" s="1"/>
  <c r="AC296" i="124" s="1"/>
  <c r="AP10" i="108"/>
  <c r="AR10" i="108" s="1"/>
  <c r="BN7" i="128"/>
  <c r="BN9" i="128"/>
  <c r="BN17" i="128"/>
  <c r="BN16" i="128"/>
  <c r="BN12" i="128"/>
  <c r="BN13" i="128"/>
  <c r="BN18" i="128"/>
  <c r="BN15" i="128"/>
  <c r="BN8" i="128"/>
  <c r="BN10" i="128"/>
  <c r="BN14" i="128"/>
  <c r="DR4" i="108"/>
  <c r="DW4" i="108"/>
  <c r="DX4" i="108"/>
  <c r="DV4" i="108"/>
  <c r="DT4" i="108"/>
  <c r="DZ4" i="108"/>
  <c r="DQ4" i="108"/>
  <c r="DS4" i="108"/>
  <c r="DY4" i="108"/>
  <c r="DU4" i="108"/>
  <c r="Q1" i="124"/>
  <c r="Y1" i="124" s="1"/>
  <c r="K263" i="123"/>
  <c r="V263" i="123" s="1"/>
  <c r="F62" i="113"/>
  <c r="Q56" i="107"/>
  <c r="F58" i="113"/>
  <c r="Q54" i="107"/>
  <c r="F57" i="113"/>
  <c r="F60" i="113"/>
  <c r="F61" i="113"/>
  <c r="F59" i="113"/>
  <c r="Q61" i="128"/>
  <c r="Q63" i="128"/>
  <c r="U38" i="113"/>
  <c r="K382" i="124"/>
  <c r="V382" i="124" s="1"/>
  <c r="U37" i="113"/>
  <c r="U35" i="113"/>
  <c r="V36" i="120"/>
  <c r="V40" i="120"/>
  <c r="V37" i="120"/>
  <c r="V38" i="120"/>
  <c r="V39" i="120"/>
  <c r="U36" i="113"/>
  <c r="V35" i="120"/>
  <c r="U39" i="113"/>
  <c r="U40" i="113"/>
  <c r="E36" i="126"/>
  <c r="E61" i="126" s="1"/>
  <c r="E39" i="126"/>
  <c r="E64" i="126" s="1"/>
  <c r="E38" i="126"/>
  <c r="M38" i="126" s="1"/>
  <c r="E37" i="126"/>
  <c r="E62" i="126" s="1"/>
  <c r="G92" i="126"/>
  <c r="G91" i="126"/>
  <c r="D92" i="126"/>
  <c r="K289" i="123"/>
  <c r="V289" i="123" s="1"/>
  <c r="K58" i="124"/>
  <c r="V58" i="124" s="1"/>
  <c r="K57" i="124"/>
  <c r="V57" i="124" s="1"/>
  <c r="K56" i="124"/>
  <c r="V56" i="124" s="1"/>
  <c r="K290" i="123"/>
  <c r="V290" i="123" s="1"/>
  <c r="K286" i="123"/>
  <c r="V286" i="123" s="1"/>
  <c r="K44" i="123"/>
  <c r="V44" i="123" s="1"/>
  <c r="Z54" i="123"/>
  <c r="AA54" i="123" s="1"/>
  <c r="S54" i="123"/>
  <c r="R54" i="123"/>
  <c r="T54" i="123" s="1"/>
  <c r="Y54" i="123"/>
  <c r="K242" i="123"/>
  <c r="V242" i="123" s="1"/>
  <c r="K271" i="123"/>
  <c r="V271" i="123" s="1"/>
  <c r="K550" i="123"/>
  <c r="K477" i="123"/>
  <c r="K470" i="123"/>
  <c r="V470" i="123" s="1"/>
  <c r="K525" i="123"/>
  <c r="K564" i="123"/>
  <c r="K434" i="123"/>
  <c r="V434" i="123" s="1"/>
  <c r="K481" i="123"/>
  <c r="K453" i="123"/>
  <c r="K471" i="123"/>
  <c r="K427" i="123"/>
  <c r="G90" i="126"/>
  <c r="G89" i="126"/>
  <c r="E45" i="126"/>
  <c r="E70" i="126" s="1"/>
  <c r="E47" i="126"/>
  <c r="E72" i="126" s="1"/>
  <c r="G87" i="126"/>
  <c r="E46" i="126"/>
  <c r="E71" i="126" s="1"/>
  <c r="G55" i="126" s="1"/>
  <c r="G63" i="126" s="1"/>
  <c r="E48" i="126"/>
  <c r="E73" i="126" s="1"/>
  <c r="J55" i="126" s="1"/>
  <c r="D90" i="126"/>
  <c r="D91" i="126"/>
  <c r="D89" i="126"/>
  <c r="D87" i="126"/>
  <c r="K492" i="123"/>
  <c r="K568" i="123"/>
  <c r="K503" i="123"/>
  <c r="V503" i="123" s="1"/>
  <c r="K424" i="123"/>
  <c r="K432" i="123"/>
  <c r="K531" i="123"/>
  <c r="K585" i="123"/>
  <c r="K579" i="123"/>
  <c r="K588" i="123"/>
  <c r="V588" i="123" s="1"/>
  <c r="D88" i="126"/>
  <c r="E49" i="126"/>
  <c r="E74" i="126" s="1"/>
  <c r="E7" i="126"/>
  <c r="F10" i="126"/>
  <c r="F8" i="126"/>
  <c r="K534" i="123"/>
  <c r="K497" i="123"/>
  <c r="K436" i="123"/>
  <c r="K467" i="123"/>
  <c r="K464" i="123"/>
  <c r="K438" i="123"/>
  <c r="V438" i="123" s="1"/>
  <c r="K486" i="123"/>
  <c r="K566" i="123"/>
  <c r="K459" i="123"/>
  <c r="K457" i="123"/>
  <c r="K439" i="123"/>
  <c r="K580" i="123"/>
  <c r="K513" i="123"/>
  <c r="K430" i="123"/>
  <c r="K557" i="123"/>
  <c r="K563" i="123"/>
  <c r="K546" i="123"/>
  <c r="K451" i="123"/>
  <c r="K524" i="123"/>
  <c r="K549" i="123"/>
  <c r="K583" i="123"/>
  <c r="K500" i="123"/>
  <c r="K487" i="123"/>
  <c r="K527" i="123"/>
  <c r="K448" i="123"/>
  <c r="K529" i="123"/>
  <c r="V529" i="123" s="1"/>
  <c r="K442" i="123"/>
  <c r="K335" i="123"/>
  <c r="V335" i="123" s="1"/>
  <c r="K314" i="123"/>
  <c r="V314" i="123" s="1"/>
  <c r="K362" i="123"/>
  <c r="V362" i="123" s="1"/>
  <c r="K293" i="123"/>
  <c r="V293" i="123" s="1"/>
  <c r="K341" i="123"/>
  <c r="V341" i="123" s="1"/>
  <c r="K389" i="123"/>
  <c r="V389" i="123" s="1"/>
  <c r="K328" i="123"/>
  <c r="V328" i="123" s="1"/>
  <c r="K376" i="123"/>
  <c r="V376" i="123" s="1"/>
  <c r="K315" i="123"/>
  <c r="V315" i="123" s="1"/>
  <c r="K363" i="123"/>
  <c r="V363" i="123" s="1"/>
  <c r="K326" i="123"/>
  <c r="V326" i="123" s="1"/>
  <c r="K374" i="123"/>
  <c r="V374" i="123" s="1"/>
  <c r="K316" i="123"/>
  <c r="V316" i="123" s="1"/>
  <c r="K364" i="123"/>
  <c r="V364" i="123" s="1"/>
  <c r="K396" i="123"/>
  <c r="V396" i="123" s="1"/>
  <c r="K321" i="123"/>
  <c r="V321" i="123" s="1"/>
  <c r="K418" i="123"/>
  <c r="V418" i="123" s="1"/>
  <c r="K421" i="123"/>
  <c r="V421" i="123" s="1"/>
  <c r="K400" i="123"/>
  <c r="V400" i="123" s="1"/>
  <c r="K409" i="123"/>
  <c r="V409" i="123" s="1"/>
  <c r="K414" i="123"/>
  <c r="V414" i="123" s="1"/>
  <c r="K375" i="123"/>
  <c r="V375" i="123" s="1"/>
  <c r="K74" i="124"/>
  <c r="K120" i="124"/>
  <c r="K164" i="124"/>
  <c r="K83" i="124"/>
  <c r="K10" i="124"/>
  <c r="K171" i="124"/>
  <c r="K100" i="124"/>
  <c r="K144" i="124"/>
  <c r="K160" i="124"/>
  <c r="K93" i="124"/>
  <c r="K137" i="124"/>
  <c r="K181" i="124"/>
  <c r="K78" i="124"/>
  <c r="K124" i="124"/>
  <c r="K71" i="124"/>
  <c r="K8" i="124"/>
  <c r="K161" i="124"/>
  <c r="K80" i="124"/>
  <c r="K126" i="124"/>
  <c r="K168" i="124"/>
  <c r="K97" i="124"/>
  <c r="K119" i="124"/>
  <c r="K133" i="124"/>
  <c r="K295" i="123"/>
  <c r="V295" i="123" s="1"/>
  <c r="K343" i="123"/>
  <c r="V343" i="123" s="1"/>
  <c r="K322" i="123"/>
  <c r="V322" i="123" s="1"/>
  <c r="K370" i="123"/>
  <c r="V370" i="123" s="1"/>
  <c r="K301" i="123"/>
  <c r="V301" i="123" s="1"/>
  <c r="K349" i="123"/>
  <c r="V349" i="123" s="1"/>
  <c r="K397" i="123"/>
  <c r="V397" i="123" s="1"/>
  <c r="K336" i="123"/>
  <c r="V336" i="123" s="1"/>
  <c r="K384" i="123"/>
  <c r="V384" i="123" s="1"/>
  <c r="K323" i="123"/>
  <c r="V323" i="123" s="1"/>
  <c r="K371" i="123"/>
  <c r="V371" i="123" s="1"/>
  <c r="K334" i="123"/>
  <c r="V334" i="123" s="1"/>
  <c r="K382" i="123"/>
  <c r="V382" i="123" s="1"/>
  <c r="K324" i="123"/>
  <c r="V324" i="123" s="1"/>
  <c r="K372" i="123"/>
  <c r="V372" i="123" s="1"/>
  <c r="K398" i="123"/>
  <c r="V398" i="123" s="1"/>
  <c r="K353" i="123"/>
  <c r="V353" i="123" s="1"/>
  <c r="K367" i="123"/>
  <c r="V367" i="123" s="1"/>
  <c r="K391" i="123"/>
  <c r="V391" i="123" s="1"/>
  <c r="K408" i="123"/>
  <c r="V408" i="123" s="1"/>
  <c r="K305" i="123"/>
  <c r="V305" i="123" s="1"/>
  <c r="K313" i="123"/>
  <c r="V313" i="123" s="1"/>
  <c r="K82" i="124"/>
  <c r="K128" i="124"/>
  <c r="K170" i="124"/>
  <c r="K91" i="124"/>
  <c r="K135" i="124"/>
  <c r="K179" i="124"/>
  <c r="K107" i="124"/>
  <c r="K152" i="124"/>
  <c r="K184" i="124"/>
  <c r="K101" i="124"/>
  <c r="K145" i="124"/>
  <c r="K146" i="124"/>
  <c r="K86" i="124"/>
  <c r="K130" i="124"/>
  <c r="K79" i="124"/>
  <c r="K125" i="124"/>
  <c r="K11" i="124"/>
  <c r="K88" i="124"/>
  <c r="K132" i="124"/>
  <c r="K176" i="124"/>
  <c r="K156" i="124"/>
  <c r="K177" i="124"/>
  <c r="K303" i="123"/>
  <c r="V303" i="123" s="1"/>
  <c r="K351" i="123"/>
  <c r="V351" i="123" s="1"/>
  <c r="K330" i="123"/>
  <c r="V330" i="123" s="1"/>
  <c r="K378" i="123"/>
  <c r="V378" i="123" s="1"/>
  <c r="K309" i="123"/>
  <c r="V309" i="123" s="1"/>
  <c r="K357" i="123"/>
  <c r="V357" i="123" s="1"/>
  <c r="K296" i="123"/>
  <c r="V296" i="123" s="1"/>
  <c r="K344" i="123"/>
  <c r="V344" i="123" s="1"/>
  <c r="K392" i="123"/>
  <c r="V392" i="123" s="1"/>
  <c r="K331" i="123"/>
  <c r="V331" i="123" s="1"/>
  <c r="K294" i="123"/>
  <c r="V294" i="123" s="1"/>
  <c r="K342" i="123"/>
  <c r="V342" i="123" s="1"/>
  <c r="K390" i="123"/>
  <c r="V390" i="123" s="1"/>
  <c r="K332" i="123"/>
  <c r="V332" i="123" s="1"/>
  <c r="K380" i="123"/>
  <c r="V380" i="123" s="1"/>
  <c r="K407" i="123"/>
  <c r="V407" i="123" s="1"/>
  <c r="K369" i="123"/>
  <c r="V369" i="123" s="1"/>
  <c r="K393" i="123"/>
  <c r="V393" i="123" s="1"/>
  <c r="K297" i="123"/>
  <c r="V297" i="123" s="1"/>
  <c r="K416" i="123"/>
  <c r="V416" i="123" s="1"/>
  <c r="K337" i="123"/>
  <c r="V337" i="123" s="1"/>
  <c r="K345" i="123"/>
  <c r="V345" i="123" s="1"/>
  <c r="K90" i="124"/>
  <c r="K134" i="124"/>
  <c r="K178" i="124"/>
  <c r="K99" i="124"/>
  <c r="K143" i="124"/>
  <c r="K68" i="124"/>
  <c r="K115" i="124"/>
  <c r="K158" i="124"/>
  <c r="K476" i="124"/>
  <c r="K108" i="124"/>
  <c r="K153" i="124"/>
  <c r="K3" i="124"/>
  <c r="K94" i="124"/>
  <c r="K138" i="124"/>
  <c r="K87" i="124"/>
  <c r="K131" i="124"/>
  <c r="K175" i="124"/>
  <c r="K96" i="124"/>
  <c r="K140" i="124"/>
  <c r="K81" i="124"/>
  <c r="K163" i="124"/>
  <c r="K73" i="124"/>
  <c r="K311" i="123"/>
  <c r="V311" i="123" s="1"/>
  <c r="K359" i="123"/>
  <c r="V359" i="123" s="1"/>
  <c r="K338" i="123"/>
  <c r="V338" i="123" s="1"/>
  <c r="K386" i="123"/>
  <c r="V386" i="123" s="1"/>
  <c r="K317" i="123"/>
  <c r="V317" i="123" s="1"/>
  <c r="K365" i="123"/>
  <c r="V365" i="123" s="1"/>
  <c r="K304" i="123"/>
  <c r="V304" i="123" s="1"/>
  <c r="K352" i="123"/>
  <c r="V352" i="123" s="1"/>
  <c r="K291" i="123"/>
  <c r="V291" i="123" s="1"/>
  <c r="K339" i="123"/>
  <c r="V339" i="123" s="1"/>
  <c r="K302" i="123"/>
  <c r="V302" i="123" s="1"/>
  <c r="K350" i="123"/>
  <c r="V350" i="123" s="1"/>
  <c r="K292" i="123"/>
  <c r="V292" i="123" s="1"/>
  <c r="K340" i="123"/>
  <c r="V340" i="123" s="1"/>
  <c r="K388" i="123"/>
  <c r="V388" i="123" s="1"/>
  <c r="K415" i="123"/>
  <c r="V415" i="123" s="1"/>
  <c r="K385" i="123"/>
  <c r="V385" i="123" s="1"/>
  <c r="K399" i="123"/>
  <c r="V399" i="123" s="1"/>
  <c r="K329" i="123"/>
  <c r="V329" i="123" s="1"/>
  <c r="K403" i="123"/>
  <c r="V403" i="123" s="1"/>
  <c r="K377" i="123"/>
  <c r="V377" i="123" s="1"/>
  <c r="K404" i="123"/>
  <c r="V404" i="123" s="1"/>
  <c r="K98" i="124"/>
  <c r="K142" i="124"/>
  <c r="K186" i="124"/>
  <c r="K7" i="124"/>
  <c r="K151" i="124"/>
  <c r="K76" i="124"/>
  <c r="K122" i="124"/>
  <c r="K166" i="124"/>
  <c r="K69" i="124"/>
  <c r="K116" i="124"/>
  <c r="K159" i="124"/>
  <c r="K182" i="124"/>
  <c r="K102" i="124"/>
  <c r="K154" i="124"/>
  <c r="K95" i="124"/>
  <c r="K139" i="124"/>
  <c r="K183" i="124"/>
  <c r="K104" i="124"/>
  <c r="K148" i="124"/>
  <c r="K141" i="124"/>
  <c r="K105" i="124"/>
  <c r="K65" i="124"/>
  <c r="K319" i="123"/>
  <c r="V319" i="123" s="1"/>
  <c r="K298" i="123"/>
  <c r="V298" i="123" s="1"/>
  <c r="K346" i="123"/>
  <c r="V346" i="123" s="1"/>
  <c r="K394" i="123"/>
  <c r="V394" i="123" s="1"/>
  <c r="K325" i="123"/>
  <c r="V325" i="123" s="1"/>
  <c r="K373" i="123"/>
  <c r="V373" i="123" s="1"/>
  <c r="K312" i="123"/>
  <c r="V312" i="123" s="1"/>
  <c r="K360" i="123"/>
  <c r="V360" i="123" s="1"/>
  <c r="K299" i="123"/>
  <c r="V299" i="123" s="1"/>
  <c r="K347" i="123"/>
  <c r="V347" i="123" s="1"/>
  <c r="K310" i="123"/>
  <c r="V310" i="123" s="1"/>
  <c r="K358" i="123"/>
  <c r="V358" i="123" s="1"/>
  <c r="K300" i="123"/>
  <c r="V300" i="123" s="1"/>
  <c r="K348" i="123"/>
  <c r="V348" i="123" s="1"/>
  <c r="K383" i="123"/>
  <c r="V383" i="123" s="1"/>
  <c r="K401" i="123"/>
  <c r="V401" i="123" s="1"/>
  <c r="K402" i="123"/>
  <c r="V402" i="123" s="1"/>
  <c r="K405" i="123"/>
  <c r="V405" i="123" s="1"/>
  <c r="K361" i="123"/>
  <c r="V361" i="123" s="1"/>
  <c r="K411" i="123"/>
  <c r="V411" i="123" s="1"/>
  <c r="K379" i="123"/>
  <c r="V379" i="123" s="1"/>
  <c r="K412" i="123"/>
  <c r="V412" i="123" s="1"/>
  <c r="K106" i="124"/>
  <c r="K150" i="124"/>
  <c r="K67" i="124"/>
  <c r="K114" i="124"/>
  <c r="K12" i="124"/>
  <c r="K84" i="124"/>
  <c r="K6" i="124"/>
  <c r="K172" i="124"/>
  <c r="K77" i="124"/>
  <c r="K123" i="124"/>
  <c r="K167" i="124"/>
  <c r="K62" i="124"/>
  <c r="K109" i="124"/>
  <c r="K174" i="124"/>
  <c r="K103" i="124"/>
  <c r="K147" i="124"/>
  <c r="K64" i="124"/>
  <c r="K111" i="124"/>
  <c r="K155" i="124"/>
  <c r="K149" i="124"/>
  <c r="K112" i="124"/>
  <c r="K127" i="124"/>
  <c r="K327" i="123"/>
  <c r="V327" i="123" s="1"/>
  <c r="K306" i="123"/>
  <c r="V306" i="123" s="1"/>
  <c r="K354" i="123"/>
  <c r="V354" i="123" s="1"/>
  <c r="K10" i="123"/>
  <c r="V10" i="123" s="1"/>
  <c r="K333" i="123"/>
  <c r="V333" i="123" s="1"/>
  <c r="K381" i="123"/>
  <c r="V381" i="123" s="1"/>
  <c r="K320" i="123"/>
  <c r="V320" i="123" s="1"/>
  <c r="K368" i="123"/>
  <c r="V368" i="123" s="1"/>
  <c r="K307" i="123"/>
  <c r="V307" i="123" s="1"/>
  <c r="K355" i="123"/>
  <c r="V355" i="123" s="1"/>
  <c r="K318" i="123"/>
  <c r="V318" i="123" s="1"/>
  <c r="K366" i="123"/>
  <c r="V366" i="123" s="1"/>
  <c r="K308" i="123"/>
  <c r="V308" i="123" s="1"/>
  <c r="K356" i="123"/>
  <c r="V356" i="123" s="1"/>
  <c r="K395" i="123"/>
  <c r="V395" i="123" s="1"/>
  <c r="K417" i="123"/>
  <c r="V417" i="123" s="1"/>
  <c r="K410" i="123"/>
  <c r="V410" i="123" s="1"/>
  <c r="K413" i="123"/>
  <c r="V413" i="123" s="1"/>
  <c r="K387" i="123"/>
  <c r="V387" i="123" s="1"/>
  <c r="K419" i="123"/>
  <c r="V419" i="123" s="1"/>
  <c r="K406" i="123"/>
  <c r="V406" i="123" s="1"/>
  <c r="K420" i="123"/>
  <c r="V420" i="123" s="1"/>
  <c r="K66" i="124"/>
  <c r="K113" i="124"/>
  <c r="K157" i="124"/>
  <c r="K75" i="124"/>
  <c r="K121" i="124"/>
  <c r="K165" i="124"/>
  <c r="K92" i="124"/>
  <c r="K136" i="124"/>
  <c r="K180" i="124"/>
  <c r="K85" i="124"/>
  <c r="K129" i="124"/>
  <c r="K173" i="124"/>
  <c r="K70" i="124"/>
  <c r="K117" i="124"/>
  <c r="K63" i="124"/>
  <c r="K110" i="124"/>
  <c r="K13" i="124"/>
  <c r="K72" i="124"/>
  <c r="K118" i="124"/>
  <c r="K162" i="124"/>
  <c r="K89" i="124"/>
  <c r="K169" i="124"/>
  <c r="K185" i="124"/>
  <c r="EA4" i="108"/>
  <c r="AZ4" i="121"/>
  <c r="BA4" i="121"/>
  <c r="BB4" i="121"/>
  <c r="BH4" i="121"/>
  <c r="BF4" i="121"/>
  <c r="BD4" i="121"/>
  <c r="BI4" i="121"/>
  <c r="BG4" i="121"/>
  <c r="BE4" i="121"/>
  <c r="BC4" i="121"/>
  <c r="AY4" i="121"/>
  <c r="EB4" i="108"/>
  <c r="K58" i="123"/>
  <c r="V58" i="123" s="1"/>
  <c r="K572" i="124"/>
  <c r="K11" i="123"/>
  <c r="V11" i="123" s="1"/>
  <c r="K510" i="124"/>
  <c r="K559" i="124"/>
  <c r="K59" i="123"/>
  <c r="V59" i="123" s="1"/>
  <c r="K57" i="123"/>
  <c r="V57" i="123" s="1"/>
  <c r="K521" i="124"/>
  <c r="K56" i="123"/>
  <c r="V56" i="123" s="1"/>
  <c r="K473" i="124"/>
  <c r="K266" i="123"/>
  <c r="V266" i="123" s="1"/>
  <c r="K9" i="123"/>
  <c r="V9" i="123" s="1"/>
  <c r="K284" i="123"/>
  <c r="V284" i="123" s="1"/>
  <c r="K250" i="123"/>
  <c r="V250" i="123" s="1"/>
  <c r="K249" i="123"/>
  <c r="V249" i="123" s="1"/>
  <c r="K261" i="123"/>
  <c r="V261" i="123" s="1"/>
  <c r="K39" i="123"/>
  <c r="V39" i="123" s="1"/>
  <c r="K245" i="123"/>
  <c r="V245" i="123" s="1"/>
  <c r="K248" i="123"/>
  <c r="V248" i="123" s="1"/>
  <c r="K42" i="123"/>
  <c r="V42" i="123" s="1"/>
  <c r="K255" i="123"/>
  <c r="V255" i="123" s="1"/>
  <c r="K47" i="123"/>
  <c r="V47" i="123" s="1"/>
  <c r="K283" i="123"/>
  <c r="V283" i="123" s="1"/>
  <c r="K265" i="123"/>
  <c r="V265" i="123" s="1"/>
  <c r="K252" i="123"/>
  <c r="V252" i="123" s="1"/>
  <c r="K38" i="123"/>
  <c r="V38" i="123" s="1"/>
  <c r="K272" i="123"/>
  <c r="V272" i="123" s="1"/>
  <c r="K7" i="123"/>
  <c r="V7" i="123" s="1"/>
  <c r="K23" i="123"/>
  <c r="V23" i="123" s="1"/>
  <c r="K264" i="123"/>
  <c r="V264" i="123" s="1"/>
  <c r="K48" i="123"/>
  <c r="V48" i="123" s="1"/>
  <c r="K43" i="123"/>
  <c r="V43" i="123" s="1"/>
  <c r="K260" i="123"/>
  <c r="V260" i="123" s="1"/>
  <c r="K251" i="123"/>
  <c r="V251" i="123" s="1"/>
  <c r="K15" i="123"/>
  <c r="V15" i="123" s="1"/>
  <c r="K33" i="123"/>
  <c r="V33" i="123" s="1"/>
  <c r="K262" i="123"/>
  <c r="V262" i="123" s="1"/>
  <c r="K254" i="123"/>
  <c r="V254" i="123" s="1"/>
  <c r="K36" i="123"/>
  <c r="V36" i="123" s="1"/>
  <c r="K278" i="123"/>
  <c r="V278" i="123" s="1"/>
  <c r="K50" i="123"/>
  <c r="V50" i="123" s="1"/>
  <c r="K37" i="123"/>
  <c r="V37" i="123" s="1"/>
  <c r="K28" i="123"/>
  <c r="V28" i="123" s="1"/>
  <c r="K148" i="123"/>
  <c r="V148" i="123" s="1"/>
  <c r="K478" i="123"/>
  <c r="K124" i="123"/>
  <c r="V124" i="123" s="1"/>
  <c r="K440" i="123"/>
  <c r="V440" i="123" s="1"/>
  <c r="K198" i="123"/>
  <c r="V198" i="123" s="1"/>
  <c r="K555" i="123"/>
  <c r="K138" i="123"/>
  <c r="V138" i="123" s="1"/>
  <c r="K5" i="123"/>
  <c r="V5" i="123" s="1"/>
  <c r="K21" i="123"/>
  <c r="V21" i="123" s="1"/>
  <c r="K41" i="123"/>
  <c r="V41" i="123" s="1"/>
  <c r="K504" i="123"/>
  <c r="K161" i="123"/>
  <c r="V161" i="123" s="1"/>
  <c r="K222" i="123"/>
  <c r="V222" i="123" s="1"/>
  <c r="K117" i="123"/>
  <c r="V117" i="123" s="1"/>
  <c r="K445" i="123"/>
  <c r="K185" i="123"/>
  <c r="V185" i="123" s="1"/>
  <c r="K458" i="123"/>
  <c r="V458" i="123" s="1"/>
  <c r="K107" i="123"/>
  <c r="V107" i="123" s="1"/>
  <c r="K523" i="123"/>
  <c r="K274" i="123"/>
  <c r="V274" i="123" s="1"/>
  <c r="K511" i="123"/>
  <c r="K101" i="123"/>
  <c r="V101" i="123" s="1"/>
  <c r="K551" i="123"/>
  <c r="K175" i="123"/>
  <c r="V175" i="123" s="1"/>
  <c r="K488" i="123"/>
  <c r="K110" i="123"/>
  <c r="V110" i="123" s="1"/>
  <c r="K425" i="123"/>
  <c r="K109" i="123"/>
  <c r="V109" i="123" s="1"/>
  <c r="K40" i="123"/>
  <c r="V40" i="123" s="1"/>
  <c r="K536" i="123"/>
  <c r="K139" i="123"/>
  <c r="V139" i="123" s="1"/>
  <c r="K473" i="123"/>
  <c r="K189" i="123"/>
  <c r="V189" i="123" s="1"/>
  <c r="K533" i="123"/>
  <c r="K97" i="123"/>
  <c r="V97" i="123" s="1"/>
  <c r="K496" i="123"/>
  <c r="K71" i="123"/>
  <c r="V71" i="123" s="1"/>
  <c r="K575" i="123"/>
  <c r="K105" i="123"/>
  <c r="V105" i="123" s="1"/>
  <c r="K460" i="123"/>
  <c r="K95" i="123"/>
  <c r="V95" i="123" s="1"/>
  <c r="K431" i="123"/>
  <c r="V431" i="123" s="1"/>
  <c r="K159" i="123"/>
  <c r="V159" i="123" s="1"/>
  <c r="K516" i="123"/>
  <c r="K181" i="123"/>
  <c r="V181" i="123" s="1"/>
  <c r="K552" i="123"/>
  <c r="K106" i="123"/>
  <c r="V106" i="123" s="1"/>
  <c r="K232" i="123"/>
  <c r="V232" i="123" s="1"/>
  <c r="K132" i="123"/>
  <c r="V132" i="123" s="1"/>
  <c r="K483" i="123"/>
  <c r="K137" i="123"/>
  <c r="V137" i="123" s="1"/>
  <c r="K535" i="123"/>
  <c r="K125" i="123"/>
  <c r="V125" i="123" s="1"/>
  <c r="K565" i="123"/>
  <c r="K92" i="123"/>
  <c r="V92" i="123" s="1"/>
  <c r="K494" i="123"/>
  <c r="K183" i="123"/>
  <c r="V183" i="123" s="1"/>
  <c r="K230" i="123"/>
  <c r="V230" i="123" s="1"/>
  <c r="K128" i="123"/>
  <c r="V128" i="123" s="1"/>
  <c r="K586" i="123"/>
  <c r="K203" i="123"/>
  <c r="V203" i="123" s="1"/>
  <c r="K469" i="123"/>
  <c r="K194" i="123"/>
  <c r="V194" i="123" s="1"/>
  <c r="K239" i="123"/>
  <c r="V239" i="123" s="1"/>
  <c r="K155" i="123"/>
  <c r="V155" i="123" s="1"/>
  <c r="K484" i="123"/>
  <c r="K170" i="123"/>
  <c r="V170" i="123" s="1"/>
  <c r="K577" i="123"/>
  <c r="K133" i="123"/>
  <c r="V133" i="123" s="1"/>
  <c r="K259" i="123"/>
  <c r="V259" i="123" s="1"/>
  <c r="K236" i="123"/>
  <c r="V236" i="123" s="1"/>
  <c r="K18" i="123"/>
  <c r="V18" i="123" s="1"/>
  <c r="K227" i="123"/>
  <c r="V227" i="123" s="1"/>
  <c r="K287" i="123"/>
  <c r="V287" i="123" s="1"/>
  <c r="K450" i="123"/>
  <c r="K165" i="123"/>
  <c r="V165" i="123" s="1"/>
  <c r="K212" i="123"/>
  <c r="V212" i="123" s="1"/>
  <c r="K65" i="123"/>
  <c r="V65" i="123" s="1"/>
  <c r="K493" i="123"/>
  <c r="K62" i="123"/>
  <c r="V62" i="123" s="1"/>
  <c r="K35" i="123"/>
  <c r="V35" i="123" s="1"/>
  <c r="K446" i="123"/>
  <c r="K142" i="123"/>
  <c r="V142" i="123" s="1"/>
  <c r="K545" i="123"/>
  <c r="K100" i="123"/>
  <c r="V100" i="123" s="1"/>
  <c r="K452" i="123"/>
  <c r="K197" i="123"/>
  <c r="V197" i="123" s="1"/>
  <c r="K26" i="123"/>
  <c r="V26" i="123" s="1"/>
  <c r="K118" i="123"/>
  <c r="V118" i="123" s="1"/>
  <c r="K273" i="123"/>
  <c r="V273" i="123" s="1"/>
  <c r="K3" i="123"/>
  <c r="K548" i="123"/>
  <c r="K153" i="123"/>
  <c r="V153" i="123" s="1"/>
  <c r="K49" i="123"/>
  <c r="V49" i="123" s="1"/>
  <c r="K544" i="123"/>
  <c r="K80" i="123"/>
  <c r="V80" i="123" s="1"/>
  <c r="K29" i="123"/>
  <c r="V29" i="123" s="1"/>
  <c r="K16" i="123"/>
  <c r="V16" i="123" s="1"/>
  <c r="K46" i="123"/>
  <c r="V46" i="123" s="1"/>
  <c r="K522" i="123"/>
  <c r="K177" i="123"/>
  <c r="V177" i="123" s="1"/>
  <c r="K31" i="123"/>
  <c r="V31" i="123" s="1"/>
  <c r="K200" i="123"/>
  <c r="V200" i="123" s="1"/>
  <c r="K269" i="123"/>
  <c r="V269" i="123" s="1"/>
  <c r="K228" i="123"/>
  <c r="V228" i="123" s="1"/>
  <c r="K126" i="123"/>
  <c r="V126" i="123" s="1"/>
  <c r="K241" i="123"/>
  <c r="V241" i="123" s="1"/>
  <c r="K174" i="123"/>
  <c r="V174" i="123" s="1"/>
  <c r="K32" i="123"/>
  <c r="V32" i="123" s="1"/>
  <c r="K426" i="123"/>
  <c r="K164" i="123"/>
  <c r="V164" i="123" s="1"/>
  <c r="K491" i="123"/>
  <c r="V491" i="123" s="1"/>
  <c r="K207" i="123"/>
  <c r="V207" i="123" s="1"/>
  <c r="K270" i="123"/>
  <c r="V270" i="123" s="1"/>
  <c r="K526" i="123"/>
  <c r="K14" i="123"/>
  <c r="V14" i="123" s="1"/>
  <c r="K8" i="123"/>
  <c r="V8" i="123" s="1"/>
  <c r="K20" i="123"/>
  <c r="V20" i="123" s="1"/>
  <c r="K474" i="123"/>
  <c r="K113" i="123"/>
  <c r="V113" i="123" s="1"/>
  <c r="K218" i="123"/>
  <c r="V218" i="123" s="1"/>
  <c r="K96" i="123"/>
  <c r="V96" i="123" s="1"/>
  <c r="K51" i="123"/>
  <c r="V51" i="123" s="1"/>
  <c r="K247" i="123"/>
  <c r="V247" i="123" s="1"/>
  <c r="K240" i="123"/>
  <c r="V240" i="123" s="1"/>
  <c r="K166" i="123"/>
  <c r="V166" i="123" s="1"/>
  <c r="K560" i="123"/>
  <c r="K112" i="123"/>
  <c r="V112" i="123" s="1"/>
  <c r="K502" i="123"/>
  <c r="V502" i="123" s="1"/>
  <c r="K280" i="123"/>
  <c r="V280" i="123" s="1"/>
  <c r="K233" i="123"/>
  <c r="V233" i="123" s="1"/>
  <c r="K135" i="123"/>
  <c r="V135" i="123" s="1"/>
  <c r="K482" i="123"/>
  <c r="K143" i="123"/>
  <c r="V143" i="123" s="1"/>
  <c r="K512" i="123"/>
  <c r="K108" i="123"/>
  <c r="V108" i="123" s="1"/>
  <c r="K587" i="123"/>
  <c r="K77" i="123"/>
  <c r="V77" i="123" s="1"/>
  <c r="K501" i="123"/>
  <c r="K78" i="123"/>
  <c r="V78" i="123" s="1"/>
  <c r="K506" i="123"/>
  <c r="K114" i="123"/>
  <c r="V114" i="123" s="1"/>
  <c r="K34" i="123"/>
  <c r="V34" i="123" s="1"/>
  <c r="K574" i="123"/>
  <c r="K87" i="123"/>
  <c r="V87" i="123" s="1"/>
  <c r="K567" i="123"/>
  <c r="K188" i="123"/>
  <c r="V188" i="123" s="1"/>
  <c r="K530" i="123"/>
  <c r="K134" i="123"/>
  <c r="V134" i="123" s="1"/>
  <c r="K219" i="123"/>
  <c r="V219" i="123" s="1"/>
  <c r="K98" i="123"/>
  <c r="V98" i="123" s="1"/>
  <c r="K532" i="123"/>
  <c r="K121" i="123"/>
  <c r="V121" i="123" s="1"/>
  <c r="K281" i="123"/>
  <c r="V281" i="123" s="1"/>
  <c r="K443" i="123"/>
  <c r="K157" i="123"/>
  <c r="V157" i="123" s="1"/>
  <c r="K455" i="123"/>
  <c r="K173" i="123"/>
  <c r="V173" i="123" s="1"/>
  <c r="K514" i="123"/>
  <c r="V514" i="123" s="1"/>
  <c r="K12" i="123"/>
  <c r="V12" i="123" s="1"/>
  <c r="K243" i="123"/>
  <c r="V243" i="123" s="1"/>
  <c r="K178" i="123"/>
  <c r="V178" i="123" s="1"/>
  <c r="K539" i="123"/>
  <c r="K201" i="123"/>
  <c r="V201" i="123" s="1"/>
  <c r="K428" i="123"/>
  <c r="K186" i="123"/>
  <c r="V186" i="123" s="1"/>
  <c r="K229" i="123"/>
  <c r="V229" i="123" s="1"/>
  <c r="K127" i="123"/>
  <c r="V127" i="123" s="1"/>
  <c r="K454" i="123"/>
  <c r="K146" i="123"/>
  <c r="V146" i="123" s="1"/>
  <c r="K475" i="123"/>
  <c r="V475" i="123" s="1"/>
  <c r="K152" i="123"/>
  <c r="V152" i="123" s="1"/>
  <c r="K472" i="123"/>
  <c r="V472" i="123" s="1"/>
  <c r="K167" i="123"/>
  <c r="V167" i="123" s="1"/>
  <c r="K45" i="123"/>
  <c r="V45" i="123" s="1"/>
  <c r="K541" i="123"/>
  <c r="V541" i="123" s="1"/>
  <c r="K83" i="123"/>
  <c r="V83" i="123" s="1"/>
  <c r="K213" i="123"/>
  <c r="V213" i="123" s="1"/>
  <c r="K73" i="123"/>
  <c r="V73" i="123" s="1"/>
  <c r="K285" i="123"/>
  <c r="V285" i="123" s="1"/>
  <c r="K573" i="123"/>
  <c r="V573" i="123" s="1"/>
  <c r="K72" i="123"/>
  <c r="V72" i="123" s="1"/>
  <c r="K25" i="123"/>
  <c r="V25" i="123" s="1"/>
  <c r="K111" i="123"/>
  <c r="V111" i="123" s="1"/>
  <c r="K235" i="123"/>
  <c r="V235" i="123" s="1"/>
  <c r="K17" i="123"/>
  <c r="V17" i="123" s="1"/>
  <c r="K543" i="123"/>
  <c r="K67" i="123"/>
  <c r="V67" i="123" s="1"/>
  <c r="K505" i="123"/>
  <c r="K63" i="123"/>
  <c r="V63" i="123" s="1"/>
  <c r="K538" i="123"/>
  <c r="V538" i="123" s="1"/>
  <c r="K151" i="123"/>
  <c r="V151" i="123" s="1"/>
  <c r="K437" i="123"/>
  <c r="V437" i="123" s="1"/>
  <c r="K193" i="123"/>
  <c r="V193" i="123" s="1"/>
  <c r="K27" i="123"/>
  <c r="V27" i="123" s="1"/>
  <c r="K130" i="123"/>
  <c r="V130" i="123" s="1"/>
  <c r="K224" i="123"/>
  <c r="V224" i="123" s="1"/>
  <c r="K120" i="123"/>
  <c r="V120" i="123" s="1"/>
  <c r="K479" i="123"/>
  <c r="K180" i="123"/>
  <c r="V180" i="123" s="1"/>
  <c r="K220" i="123"/>
  <c r="V220" i="123" s="1"/>
  <c r="K288" i="123"/>
  <c r="V288" i="123" s="1"/>
  <c r="K429" i="123"/>
  <c r="K160" i="123"/>
  <c r="V160" i="123" s="1"/>
  <c r="K217" i="123"/>
  <c r="V217" i="123" s="1"/>
  <c r="K94" i="123"/>
  <c r="V94" i="123" s="1"/>
  <c r="K422" i="123"/>
  <c r="K158" i="123"/>
  <c r="V158" i="123" s="1"/>
  <c r="K542" i="123"/>
  <c r="K24" i="123"/>
  <c r="V24" i="123" s="1"/>
  <c r="K569" i="123"/>
  <c r="K102" i="123"/>
  <c r="V102" i="123" s="1"/>
  <c r="K444" i="123"/>
  <c r="K192" i="123"/>
  <c r="V192" i="123" s="1"/>
  <c r="K238" i="123"/>
  <c r="V238" i="123" s="1"/>
  <c r="K19" i="123"/>
  <c r="V19" i="123" s="1"/>
  <c r="K556" i="123"/>
  <c r="K79" i="123"/>
  <c r="V79" i="123" s="1"/>
  <c r="K581" i="123"/>
  <c r="K81" i="123"/>
  <c r="V81" i="123" s="1"/>
  <c r="K561" i="123"/>
  <c r="V561" i="123" s="1"/>
  <c r="K93" i="123"/>
  <c r="V93" i="123" s="1"/>
  <c r="K559" i="123"/>
  <c r="K75" i="123"/>
  <c r="V75" i="123" s="1"/>
  <c r="K246" i="123"/>
  <c r="V246" i="123" s="1"/>
  <c r="K485" i="123"/>
  <c r="K179" i="123"/>
  <c r="V179" i="123" s="1"/>
  <c r="K456" i="123"/>
  <c r="K169" i="123"/>
  <c r="V169" i="123" s="1"/>
  <c r="K490" i="123"/>
  <c r="K104" i="123"/>
  <c r="V104" i="123" s="1"/>
  <c r="K480" i="123"/>
  <c r="K144" i="123"/>
  <c r="V144" i="123" s="1"/>
  <c r="K447" i="123"/>
  <c r="V447" i="123" s="1"/>
  <c r="K168" i="123"/>
  <c r="V168" i="123" s="1"/>
  <c r="K257" i="123"/>
  <c r="V257" i="123" s="1"/>
  <c r="K468" i="123"/>
  <c r="V468" i="123" s="1"/>
  <c r="K172" i="123"/>
  <c r="V172" i="123" s="1"/>
  <c r="K509" i="123"/>
  <c r="K140" i="123"/>
  <c r="V140" i="123" s="1"/>
  <c r="K461" i="123"/>
  <c r="K187" i="123"/>
  <c r="V187" i="123" s="1"/>
  <c r="K221" i="123"/>
  <c r="V221" i="123" s="1"/>
  <c r="K116" i="123"/>
  <c r="V116" i="123" s="1"/>
  <c r="K507" i="123"/>
  <c r="K88" i="123"/>
  <c r="V88" i="123" s="1"/>
  <c r="K520" i="123"/>
  <c r="K22" i="123"/>
  <c r="V22" i="123" s="1"/>
  <c r="K558" i="123"/>
  <c r="K115" i="123"/>
  <c r="V115" i="123" s="1"/>
  <c r="K554" i="123"/>
  <c r="V554" i="123" s="1"/>
  <c r="K89" i="123"/>
  <c r="V89" i="123" s="1"/>
  <c r="K435" i="123"/>
  <c r="K163" i="123"/>
  <c r="V163" i="123" s="1"/>
  <c r="K216" i="123"/>
  <c r="V216" i="123" s="1"/>
  <c r="K90" i="123"/>
  <c r="V90" i="123" s="1"/>
  <c r="K268" i="123"/>
  <c r="V268" i="123" s="1"/>
  <c r="K150" i="123"/>
  <c r="V150" i="123" s="1"/>
  <c r="K279" i="123"/>
  <c r="V279" i="123" s="1"/>
  <c r="K244" i="123"/>
  <c r="V244" i="123" s="1"/>
  <c r="K191" i="123"/>
  <c r="V191" i="123" s="1"/>
  <c r="K499" i="123"/>
  <c r="V499" i="123" s="1"/>
  <c r="K171" i="123"/>
  <c r="V171" i="123" s="1"/>
  <c r="K231" i="123"/>
  <c r="V231" i="123" s="1"/>
  <c r="K129" i="123"/>
  <c r="V129" i="123" s="1"/>
  <c r="K498" i="123"/>
  <c r="K195" i="123"/>
  <c r="V195" i="123" s="1"/>
  <c r="K441" i="123"/>
  <c r="K206" i="123"/>
  <c r="V206" i="123" s="1"/>
  <c r="K489" i="123"/>
  <c r="K199" i="123"/>
  <c r="V199" i="123" s="1"/>
  <c r="K463" i="123"/>
  <c r="K156" i="123"/>
  <c r="V156" i="123" s="1"/>
  <c r="K226" i="123"/>
  <c r="V226" i="123" s="1"/>
  <c r="K123" i="123"/>
  <c r="V123" i="123" s="1"/>
  <c r="K225" i="123"/>
  <c r="V225" i="123" s="1"/>
  <c r="K122" i="123"/>
  <c r="V122" i="123" s="1"/>
  <c r="K517" i="123"/>
  <c r="K149" i="123"/>
  <c r="V149" i="123" s="1"/>
  <c r="K521" i="123"/>
  <c r="K210" i="123"/>
  <c r="V210" i="123" s="1"/>
  <c r="K584" i="123"/>
  <c r="K76" i="123"/>
  <c r="V76" i="123" s="1"/>
  <c r="K518" i="123"/>
  <c r="K136" i="123"/>
  <c r="V136" i="123" s="1"/>
  <c r="K515" i="123"/>
  <c r="K190" i="123"/>
  <c r="V190" i="123" s="1"/>
  <c r="K571" i="123"/>
  <c r="K208" i="123"/>
  <c r="V208" i="123" s="1"/>
  <c r="K519" i="123"/>
  <c r="K176" i="123"/>
  <c r="V176" i="123" s="1"/>
  <c r="K528" i="123"/>
  <c r="K202" i="123"/>
  <c r="V202" i="123" s="1"/>
  <c r="K572" i="123"/>
  <c r="K99" i="123"/>
  <c r="V99" i="123" s="1"/>
  <c r="K423" i="123"/>
  <c r="V423" i="123" s="1"/>
  <c r="K131" i="123"/>
  <c r="V131" i="123" s="1"/>
  <c r="K537" i="123"/>
  <c r="K69" i="123"/>
  <c r="V69" i="123" s="1"/>
  <c r="K433" i="123"/>
  <c r="K162" i="123"/>
  <c r="V162" i="123" s="1"/>
  <c r="K275" i="123"/>
  <c r="V275" i="123" s="1"/>
  <c r="K60" i="123"/>
  <c r="V60" i="123" s="1"/>
  <c r="K145" i="123"/>
  <c r="V145" i="123" s="1"/>
  <c r="K30" i="123"/>
  <c r="V30" i="123" s="1"/>
  <c r="K184" i="123"/>
  <c r="V184" i="123" s="1"/>
  <c r="K540" i="123"/>
  <c r="K70" i="123"/>
  <c r="V70" i="123" s="1"/>
  <c r="K449" i="123"/>
  <c r="K205" i="123"/>
  <c r="V205" i="123" s="1"/>
  <c r="K276" i="123"/>
  <c r="V276" i="123" s="1"/>
  <c r="K547" i="123"/>
  <c r="K204" i="123"/>
  <c r="V204" i="123" s="1"/>
  <c r="K267" i="123"/>
  <c r="V267" i="123" s="1"/>
  <c r="K462" i="123"/>
  <c r="K6" i="123"/>
  <c r="V6" i="123" s="1"/>
  <c r="K510" i="123"/>
  <c r="V510" i="123" s="1"/>
  <c r="K209" i="123"/>
  <c r="V209" i="123" s="1"/>
  <c r="K466" i="123"/>
  <c r="K196" i="123"/>
  <c r="V196" i="123" s="1"/>
  <c r="K465" i="123"/>
  <c r="K182" i="123"/>
  <c r="V182" i="123" s="1"/>
  <c r="K214" i="123"/>
  <c r="V214" i="123" s="1"/>
  <c r="K84" i="123"/>
  <c r="V84" i="123" s="1"/>
  <c r="K223" i="123"/>
  <c r="V223" i="123" s="1"/>
  <c r="K119" i="123"/>
  <c r="V119" i="123" s="1"/>
  <c r="K277" i="123"/>
  <c r="V277" i="123" s="1"/>
  <c r="K508" i="123"/>
  <c r="K103" i="123"/>
  <c r="V103" i="123" s="1"/>
  <c r="K234" i="123"/>
  <c r="V234" i="123" s="1"/>
  <c r="K13" i="123"/>
  <c r="V13" i="123" s="1"/>
  <c r="K582" i="123"/>
  <c r="K86" i="123"/>
  <c r="V86" i="123" s="1"/>
  <c r="K253" i="123"/>
  <c r="V253" i="123" s="1"/>
  <c r="K258" i="123"/>
  <c r="V258" i="123" s="1"/>
  <c r="K495" i="123"/>
  <c r="K147" i="123"/>
  <c r="V147" i="123" s="1"/>
  <c r="K256" i="123"/>
  <c r="V256" i="123" s="1"/>
  <c r="K282" i="123"/>
  <c r="V282" i="123" s="1"/>
  <c r="K578" i="123"/>
  <c r="K74" i="123"/>
  <c r="V74" i="123" s="1"/>
  <c r="K215" i="123"/>
  <c r="V215" i="123" s="1"/>
  <c r="K4" i="123"/>
  <c r="V4" i="123" s="1"/>
  <c r="K553" i="123"/>
  <c r="K91" i="123"/>
  <c r="V91" i="123" s="1"/>
  <c r="K237" i="123"/>
  <c r="V237" i="123" s="1"/>
  <c r="K154" i="123"/>
  <c r="V154" i="123" s="1"/>
  <c r="K562" i="123"/>
  <c r="K68" i="123"/>
  <c r="V68" i="123" s="1"/>
  <c r="K570" i="123"/>
  <c r="K85" i="123"/>
  <c r="V85" i="123" s="1"/>
  <c r="K61" i="123"/>
  <c r="V61" i="123" s="1"/>
  <c r="K141" i="123"/>
  <c r="V141" i="123" s="1"/>
  <c r="K576" i="123"/>
  <c r="V576" i="123" s="1"/>
  <c r="K82" i="123"/>
  <c r="V82" i="123" s="1"/>
  <c r="K476" i="123"/>
  <c r="K66" i="123"/>
  <c r="V66" i="123" s="1"/>
  <c r="K211" i="123"/>
  <c r="V211" i="123" s="1"/>
  <c r="K64" i="123"/>
  <c r="V64" i="123" s="1"/>
  <c r="Y440" i="123"/>
  <c r="Y458" i="123"/>
  <c r="Y470" i="123"/>
  <c r="Y514" i="123"/>
  <c r="Y503" i="123"/>
  <c r="Y491" i="123"/>
  <c r="Y502" i="123"/>
  <c r="Y475" i="123"/>
  <c r="Y472" i="123"/>
  <c r="Y576" i="123"/>
  <c r="Y431" i="123"/>
  <c r="Y561" i="123"/>
  <c r="Y447" i="123"/>
  <c r="Y468" i="123"/>
  <c r="Y554" i="123"/>
  <c r="Y529" i="123"/>
  <c r="Y541" i="123"/>
  <c r="Y573" i="123"/>
  <c r="Y538" i="123"/>
  <c r="Y438" i="123"/>
  <c r="Y437" i="123"/>
  <c r="Y499" i="123"/>
  <c r="Y434" i="123"/>
  <c r="Y423" i="123"/>
  <c r="Y510" i="123"/>
  <c r="Y588" i="123"/>
  <c r="R504" i="123"/>
  <c r="R551" i="123"/>
  <c r="R536" i="123"/>
  <c r="R533" i="123"/>
  <c r="R486" i="123"/>
  <c r="R483" i="123"/>
  <c r="R494" i="123"/>
  <c r="R586" i="123"/>
  <c r="R448" i="123"/>
  <c r="R430" i="123"/>
  <c r="R501" i="123"/>
  <c r="R574" i="123"/>
  <c r="R530" i="123"/>
  <c r="R428" i="123"/>
  <c r="R446" i="123"/>
  <c r="R544" i="123"/>
  <c r="R500" i="123"/>
  <c r="R526" i="123"/>
  <c r="R442" i="123"/>
  <c r="R454" i="123"/>
  <c r="R525" i="123"/>
  <c r="R471" i="123"/>
  <c r="R564" i="123"/>
  <c r="R479" i="123"/>
  <c r="R550" i="123"/>
  <c r="R429" i="123"/>
  <c r="R467" i="123"/>
  <c r="R422" i="123"/>
  <c r="R542" i="123"/>
  <c r="R524" i="123"/>
  <c r="R569" i="123"/>
  <c r="R444" i="123"/>
  <c r="R556" i="123"/>
  <c r="R581" i="123"/>
  <c r="R559" i="123"/>
  <c r="R485" i="123"/>
  <c r="R456" i="123"/>
  <c r="R490" i="123"/>
  <c r="R492" i="123"/>
  <c r="R480" i="123"/>
  <c r="R509" i="123"/>
  <c r="R461" i="123"/>
  <c r="R507" i="123"/>
  <c r="R520" i="123"/>
  <c r="R487" i="123"/>
  <c r="R553" i="123"/>
  <c r="R558" i="123"/>
  <c r="R580" i="123"/>
  <c r="R562" i="123"/>
  <c r="R555" i="123"/>
  <c r="R445" i="123"/>
  <c r="R511" i="123"/>
  <c r="R425" i="123"/>
  <c r="R496" i="123"/>
  <c r="R516" i="123"/>
  <c r="R565" i="123"/>
  <c r="R469" i="123"/>
  <c r="R484" i="123"/>
  <c r="R457" i="123"/>
  <c r="R512" i="123"/>
  <c r="R506" i="123"/>
  <c r="R567" i="123"/>
  <c r="R532" i="123"/>
  <c r="R455" i="123"/>
  <c r="R534" i="123"/>
  <c r="R545" i="123"/>
  <c r="R436" i="123"/>
  <c r="R522" i="123"/>
  <c r="R426" i="123"/>
  <c r="R474" i="123"/>
  <c r="R560" i="123"/>
  <c r="R505" i="123"/>
  <c r="R435" i="123"/>
  <c r="R563" i="123"/>
  <c r="R427" i="123"/>
  <c r="R451" i="123"/>
  <c r="R463" i="123"/>
  <c r="R517" i="123"/>
  <c r="R453" i="123"/>
  <c r="R521" i="123"/>
  <c r="R518" i="123"/>
  <c r="R515" i="123"/>
  <c r="R571" i="123"/>
  <c r="R519" i="123"/>
  <c r="R528" i="123"/>
  <c r="R572" i="123"/>
  <c r="R537" i="123"/>
  <c r="R433" i="123"/>
  <c r="R549" i="123"/>
  <c r="R540" i="123"/>
  <c r="R449" i="123"/>
  <c r="R547" i="123"/>
  <c r="R424" i="123"/>
  <c r="R566" i="123"/>
  <c r="R462" i="123"/>
  <c r="R459" i="123"/>
  <c r="R466" i="123"/>
  <c r="R531" i="123"/>
  <c r="R465" i="123"/>
  <c r="R439" i="123"/>
  <c r="R508" i="123"/>
  <c r="R582" i="123"/>
  <c r="R495" i="123"/>
  <c r="R578" i="123"/>
  <c r="R478" i="123"/>
  <c r="R523" i="123"/>
  <c r="R488" i="123"/>
  <c r="R473" i="123"/>
  <c r="R575" i="123"/>
  <c r="R460" i="123"/>
  <c r="R552" i="123"/>
  <c r="R568" i="123"/>
  <c r="R535" i="123"/>
  <c r="R583" i="123"/>
  <c r="R432" i="123"/>
  <c r="R577" i="123"/>
  <c r="R585" i="123"/>
  <c r="R579" i="123"/>
  <c r="R513" i="123"/>
  <c r="R450" i="123"/>
  <c r="R482" i="123"/>
  <c r="R587" i="123"/>
  <c r="R546" i="123"/>
  <c r="R477" i="123"/>
  <c r="R481" i="123"/>
  <c r="R443" i="123"/>
  <c r="R464" i="123"/>
  <c r="R539" i="123"/>
  <c r="R497" i="123"/>
  <c r="R452" i="123"/>
  <c r="R548" i="123"/>
  <c r="R527" i="123"/>
  <c r="R557" i="123"/>
  <c r="R543" i="123"/>
  <c r="R498" i="123"/>
  <c r="R441" i="123"/>
  <c r="R489" i="123"/>
  <c r="R584" i="123"/>
  <c r="R570" i="123"/>
  <c r="R476" i="123"/>
  <c r="R493" i="123"/>
  <c r="S475" i="123"/>
  <c r="R475" i="123"/>
  <c r="S472" i="123"/>
  <c r="R472" i="123"/>
  <c r="S514" i="123"/>
  <c r="R514" i="123"/>
  <c r="S491" i="123"/>
  <c r="R491" i="123"/>
  <c r="S437" i="123"/>
  <c r="R437" i="123"/>
  <c r="S561" i="123"/>
  <c r="R561" i="123"/>
  <c r="S447" i="123"/>
  <c r="R447" i="123"/>
  <c r="S468" i="123"/>
  <c r="R468" i="123"/>
  <c r="S554" i="123"/>
  <c r="R554" i="123"/>
  <c r="S529" i="123"/>
  <c r="R529" i="123"/>
  <c r="S541" i="123"/>
  <c r="R541" i="123"/>
  <c r="S573" i="123"/>
  <c r="R573" i="123"/>
  <c r="S538" i="123"/>
  <c r="R538" i="123"/>
  <c r="S588" i="123"/>
  <c r="R588" i="123"/>
  <c r="S576" i="123"/>
  <c r="R576" i="123"/>
  <c r="S440" i="123"/>
  <c r="R440" i="123"/>
  <c r="S438" i="123"/>
  <c r="R438" i="123"/>
  <c r="S431" i="123"/>
  <c r="R431" i="123"/>
  <c r="S503" i="123"/>
  <c r="R503" i="123"/>
  <c r="S499" i="123"/>
  <c r="R499" i="123"/>
  <c r="S434" i="123"/>
  <c r="R434" i="123"/>
  <c r="S423" i="123"/>
  <c r="R423" i="123"/>
  <c r="S510" i="123"/>
  <c r="R510" i="123"/>
  <c r="S458" i="123"/>
  <c r="R458" i="123"/>
  <c r="S470" i="123"/>
  <c r="R470" i="123"/>
  <c r="S502" i="123"/>
  <c r="R502" i="123"/>
  <c r="S564" i="123"/>
  <c r="S429" i="123"/>
  <c r="S422" i="123"/>
  <c r="S524" i="123"/>
  <c r="S444" i="123"/>
  <c r="S581" i="123"/>
  <c r="S485" i="123"/>
  <c r="S480" i="123"/>
  <c r="S487" i="123"/>
  <c r="S553" i="123"/>
  <c r="S580" i="123"/>
  <c r="S441" i="123"/>
  <c r="S463" i="123"/>
  <c r="S517" i="123"/>
  <c r="S521" i="123"/>
  <c r="S515" i="123"/>
  <c r="S572" i="123"/>
  <c r="S433" i="123"/>
  <c r="S449" i="123"/>
  <c r="S462" i="123"/>
  <c r="S466" i="123"/>
  <c r="S582" i="123"/>
  <c r="S570" i="123"/>
  <c r="S478" i="123"/>
  <c r="S555" i="123"/>
  <c r="S504" i="123"/>
  <c r="S445" i="123"/>
  <c r="S523" i="123"/>
  <c r="S511" i="123"/>
  <c r="S551" i="123"/>
  <c r="S488" i="123"/>
  <c r="S425" i="123"/>
  <c r="S536" i="123"/>
  <c r="S473" i="123"/>
  <c r="S533" i="123"/>
  <c r="S496" i="123"/>
  <c r="S575" i="123"/>
  <c r="S460" i="123"/>
  <c r="S486" i="123"/>
  <c r="S516" i="123"/>
  <c r="S552" i="123"/>
  <c r="S568" i="123"/>
  <c r="S483" i="123"/>
  <c r="S535" i="123"/>
  <c r="S583" i="123"/>
  <c r="S565" i="123"/>
  <c r="S494" i="123"/>
  <c r="S586" i="123"/>
  <c r="S469" i="123"/>
  <c r="S432" i="123"/>
  <c r="S484" i="123"/>
  <c r="S577" i="123"/>
  <c r="S457" i="123"/>
  <c r="S448" i="123"/>
  <c r="S585" i="123"/>
  <c r="S579" i="123"/>
  <c r="S513" i="123"/>
  <c r="S430" i="123"/>
  <c r="S493" i="123"/>
  <c r="S471" i="123"/>
  <c r="S479" i="123"/>
  <c r="S569" i="123"/>
  <c r="S556" i="123"/>
  <c r="S456" i="123"/>
  <c r="S461" i="123"/>
  <c r="S520" i="123"/>
  <c r="S558" i="123"/>
  <c r="S562" i="123"/>
  <c r="S505" i="123"/>
  <c r="S435" i="123"/>
  <c r="S563" i="123"/>
  <c r="S427" i="123"/>
  <c r="S498" i="123"/>
  <c r="S489" i="123"/>
  <c r="S584" i="123"/>
  <c r="S519" i="123"/>
  <c r="S537" i="123"/>
  <c r="S547" i="123"/>
  <c r="S424" i="123"/>
  <c r="S531" i="123"/>
  <c r="S495" i="123"/>
  <c r="S450" i="123"/>
  <c r="S482" i="123"/>
  <c r="S587" i="123"/>
  <c r="S506" i="123"/>
  <c r="S477" i="123"/>
  <c r="S567" i="123"/>
  <c r="S443" i="123"/>
  <c r="S534" i="123"/>
  <c r="S464" i="123"/>
  <c r="S539" i="123"/>
  <c r="S446" i="123"/>
  <c r="S497" i="123"/>
  <c r="S545" i="123"/>
  <c r="S452" i="123"/>
  <c r="S548" i="123"/>
  <c r="S436" i="123"/>
  <c r="S544" i="123"/>
  <c r="S500" i="123"/>
  <c r="S522" i="123"/>
  <c r="S527" i="123"/>
  <c r="S426" i="123"/>
  <c r="S526" i="123"/>
  <c r="S474" i="123"/>
  <c r="S442" i="123"/>
  <c r="S560" i="123"/>
  <c r="S557" i="123"/>
  <c r="S525" i="123"/>
  <c r="S550" i="123"/>
  <c r="S467" i="123"/>
  <c r="S542" i="123"/>
  <c r="S559" i="123"/>
  <c r="S490" i="123"/>
  <c r="S492" i="123"/>
  <c r="S509" i="123"/>
  <c r="S507" i="123"/>
  <c r="S543" i="123"/>
  <c r="S451" i="123"/>
  <c r="S453" i="123"/>
  <c r="S518" i="123"/>
  <c r="S571" i="123"/>
  <c r="S528" i="123"/>
  <c r="S549" i="123"/>
  <c r="S540" i="123"/>
  <c r="S566" i="123"/>
  <c r="S459" i="123"/>
  <c r="S465" i="123"/>
  <c r="S439" i="123"/>
  <c r="S508" i="123"/>
  <c r="S578" i="123"/>
  <c r="S476" i="123"/>
  <c r="S512" i="123"/>
  <c r="S501" i="123"/>
  <c r="S546" i="123"/>
  <c r="S574" i="123"/>
  <c r="S530" i="123"/>
  <c r="S532" i="123"/>
  <c r="S481" i="123"/>
  <c r="S455" i="123"/>
  <c r="S428" i="123"/>
  <c r="S454" i="123"/>
  <c r="K220" i="124"/>
  <c r="V220" i="124" s="1"/>
  <c r="K200" i="124"/>
  <c r="V200" i="124" s="1"/>
  <c r="K217" i="124"/>
  <c r="V217" i="124" s="1"/>
  <c r="K289" i="124"/>
  <c r="V289" i="124" s="1"/>
  <c r="K315" i="124"/>
  <c r="AF315" i="124" s="1"/>
  <c r="K522" i="124"/>
  <c r="V522" i="124" s="1"/>
  <c r="K189" i="124"/>
  <c r="AF189" i="124" s="1"/>
  <c r="K328" i="124"/>
  <c r="V328" i="124" s="1"/>
  <c r="K276" i="124"/>
  <c r="V276" i="124" s="1"/>
  <c r="K225" i="124"/>
  <c r="V225" i="124" s="1"/>
  <c r="K299" i="124"/>
  <c r="AF299" i="124" s="1"/>
  <c r="K207" i="124"/>
  <c r="V207" i="124" s="1"/>
  <c r="K32" i="124"/>
  <c r="V32" i="124" s="1"/>
  <c r="K420" i="124"/>
  <c r="V420" i="124" s="1"/>
  <c r="K192" i="124"/>
  <c r="V192" i="124" s="1"/>
  <c r="K348" i="124"/>
  <c r="V348" i="124" s="1"/>
  <c r="K233" i="124"/>
  <c r="V233" i="124" s="1"/>
  <c r="K60" i="124"/>
  <c r="AF60" i="124" s="1"/>
  <c r="K423" i="124"/>
  <c r="V423" i="124" s="1"/>
  <c r="K205" i="124"/>
  <c r="V205" i="124" s="1"/>
  <c r="K251" i="124"/>
  <c r="V251" i="124" s="1"/>
  <c r="K331" i="124"/>
  <c r="V331" i="124" s="1"/>
  <c r="K344" i="124"/>
  <c r="V344" i="124" s="1"/>
  <c r="K4" i="124"/>
  <c r="V4" i="124" s="1"/>
  <c r="K224" i="124"/>
  <c r="V224" i="124" s="1"/>
  <c r="K216" i="124"/>
  <c r="AF216" i="124" s="1"/>
  <c r="K345" i="124"/>
  <c r="AF345" i="124" s="1"/>
  <c r="K340" i="124"/>
  <c r="AF340" i="124" s="1"/>
  <c r="K26" i="124"/>
  <c r="V26" i="124" s="1"/>
  <c r="K579" i="124"/>
  <c r="V579" i="124" s="1"/>
  <c r="K277" i="124"/>
  <c r="V277" i="124" s="1"/>
  <c r="K197" i="124"/>
  <c r="V197" i="124" s="1"/>
  <c r="K380" i="124"/>
  <c r="V380" i="124" s="1"/>
  <c r="K9" i="124"/>
  <c r="V9" i="124" s="1"/>
  <c r="K245" i="124"/>
  <c r="V245" i="124" s="1"/>
  <c r="K304" i="124"/>
  <c r="V304" i="124" s="1"/>
  <c r="K232" i="124"/>
  <c r="V232" i="124" s="1"/>
  <c r="K263" i="124"/>
  <c r="V263" i="124" s="1"/>
  <c r="K202" i="124"/>
  <c r="AF202" i="124" s="1"/>
  <c r="K269" i="124"/>
  <c r="V269" i="124" s="1"/>
  <c r="K532" i="124"/>
  <c r="V532" i="124" s="1"/>
  <c r="K268" i="124"/>
  <c r="V268" i="124" s="1"/>
  <c r="K221" i="124"/>
  <c r="V221" i="124" s="1"/>
  <c r="K313" i="124"/>
  <c r="AF313" i="124" s="1"/>
  <c r="K504" i="124"/>
  <c r="AF504" i="124" s="1"/>
  <c r="K379" i="124"/>
  <c r="V379" i="124" s="1"/>
  <c r="K196" i="124"/>
  <c r="AF196" i="124" s="1"/>
  <c r="K319" i="124"/>
  <c r="V319" i="124" s="1"/>
  <c r="K294" i="124"/>
  <c r="V294" i="124" s="1"/>
  <c r="K234" i="124"/>
  <c r="V234" i="124" s="1"/>
  <c r="K327" i="124"/>
  <c r="V327" i="124" s="1"/>
  <c r="K314" i="124"/>
  <c r="V314" i="124" s="1"/>
  <c r="K5" i="124"/>
  <c r="V5" i="124" s="1"/>
  <c r="K250" i="124"/>
  <c r="V250" i="124" s="1"/>
  <c r="K47" i="124"/>
  <c r="V47" i="124" s="1"/>
  <c r="K388" i="124"/>
  <c r="V388" i="124" s="1"/>
  <c r="K14" i="124"/>
  <c r="K360" i="124"/>
  <c r="AF360" i="124" s="1"/>
  <c r="K37" i="124"/>
  <c r="AF37" i="124" s="1"/>
  <c r="K258" i="124"/>
  <c r="V258" i="124" s="1"/>
  <c r="K417" i="124"/>
  <c r="V417" i="124" s="1"/>
  <c r="K252" i="124"/>
  <c r="V252" i="124" s="1"/>
  <c r="K341" i="124"/>
  <c r="AF341" i="124" s="1"/>
  <c r="K296" i="124"/>
  <c r="V296" i="124" s="1"/>
  <c r="K531" i="124"/>
  <c r="V531" i="124" s="1"/>
  <c r="K357" i="124"/>
  <c r="V357" i="124" s="1"/>
  <c r="K23" i="124"/>
  <c r="V23" i="124" s="1"/>
  <c r="K576" i="124"/>
  <c r="AF576" i="124" s="1"/>
  <c r="K375" i="124"/>
  <c r="V375" i="124" s="1"/>
  <c r="K61" i="124"/>
  <c r="V61" i="124" s="1"/>
  <c r="K481" i="124"/>
  <c r="AF481" i="124" s="1"/>
  <c r="K21" i="124"/>
  <c r="AF21" i="124" s="1"/>
  <c r="K397" i="124"/>
  <c r="V397" i="124" s="1"/>
  <c r="K403" i="124"/>
  <c r="AF403" i="124" s="1"/>
  <c r="K552" i="124"/>
  <c r="V552" i="124" s="1"/>
  <c r="K31" i="124"/>
  <c r="AF31" i="124" s="1"/>
  <c r="K34" i="124"/>
  <c r="V34" i="124" s="1"/>
  <c r="K377" i="124"/>
  <c r="V377" i="124" s="1"/>
  <c r="K577" i="124"/>
  <c r="V577" i="124" s="1"/>
  <c r="K16" i="124"/>
  <c r="V16" i="124" s="1"/>
  <c r="K530" i="124"/>
  <c r="V530" i="124" s="1"/>
  <c r="K265" i="124"/>
  <c r="V265" i="124" s="1"/>
  <c r="K445" i="124"/>
  <c r="K214" i="124"/>
  <c r="V214" i="124" s="1"/>
  <c r="K359" i="124"/>
  <c r="K491" i="124"/>
  <c r="V491" i="124" s="1"/>
  <c r="K490" i="124"/>
  <c r="K280" i="124"/>
  <c r="V280" i="124" s="1"/>
  <c r="K448" i="124"/>
  <c r="K266" i="124"/>
  <c r="V266" i="124" s="1"/>
  <c r="K548" i="124"/>
  <c r="K312" i="124"/>
  <c r="V312" i="124" s="1"/>
  <c r="K429" i="124"/>
  <c r="K230" i="124"/>
  <c r="V230" i="124" s="1"/>
  <c r="K404" i="124"/>
  <c r="K229" i="124"/>
  <c r="V229" i="124" s="1"/>
  <c r="K464" i="124"/>
  <c r="K409" i="124"/>
  <c r="V409" i="124" s="1"/>
  <c r="K54" i="124"/>
  <c r="K272" i="124"/>
  <c r="V272" i="124" s="1"/>
  <c r="K513" i="124"/>
  <c r="K333" i="124"/>
  <c r="V333" i="124" s="1"/>
  <c r="K484" i="124"/>
  <c r="K587" i="124"/>
  <c r="AF587" i="124" s="1"/>
  <c r="K440" i="124"/>
  <c r="K18" i="124"/>
  <c r="V18" i="124" s="1"/>
  <c r="K20" i="124"/>
  <c r="K325" i="124"/>
  <c r="V325" i="124" s="1"/>
  <c r="K542" i="124"/>
  <c r="K582" i="124"/>
  <c r="AF582" i="124" s="1"/>
  <c r="K59" i="124"/>
  <c r="AF59" i="124" s="1"/>
  <c r="K281" i="124"/>
  <c r="AF281" i="124" s="1"/>
  <c r="K421" i="124"/>
  <c r="K541" i="124"/>
  <c r="V541" i="124" s="1"/>
  <c r="K412" i="124"/>
  <c r="K540" i="124"/>
  <c r="V540" i="124" s="1"/>
  <c r="K239" i="124"/>
  <c r="V239" i="124" s="1"/>
  <c r="K434" i="124"/>
  <c r="K256" i="124"/>
  <c r="AF256" i="124" s="1"/>
  <c r="K497" i="124"/>
  <c r="K270" i="124"/>
  <c r="V270" i="124" s="1"/>
  <c r="K518" i="124"/>
  <c r="K334" i="124"/>
  <c r="V334" i="124" s="1"/>
  <c r="K479" i="124"/>
  <c r="K505" i="124"/>
  <c r="V505" i="124" s="1"/>
  <c r="K520" i="124"/>
  <c r="K337" i="124"/>
  <c r="V337" i="124" s="1"/>
  <c r="K425" i="124"/>
  <c r="K358" i="124"/>
  <c r="V358" i="124" s="1"/>
  <c r="K254" i="124"/>
  <c r="V254" i="124" s="1"/>
  <c r="K583" i="124"/>
  <c r="K17" i="124"/>
  <c r="V17" i="124" s="1"/>
  <c r="K500" i="124"/>
  <c r="V500" i="124" s="1"/>
  <c r="K338" i="124"/>
  <c r="AF338" i="124" s="1"/>
  <c r="K549" i="124"/>
  <c r="K40" i="124"/>
  <c r="K436" i="124"/>
  <c r="K495" i="124"/>
  <c r="V495" i="124" s="1"/>
  <c r="K385" i="124"/>
  <c r="K206" i="124"/>
  <c r="V206" i="124" s="1"/>
  <c r="K482" i="124"/>
  <c r="K452" i="124"/>
  <c r="AF452" i="124" s="1"/>
  <c r="K362" i="124"/>
  <c r="K343" i="124"/>
  <c r="AF343" i="124" s="1"/>
  <c r="K547" i="124"/>
  <c r="K332" i="124"/>
  <c r="V332" i="124" s="1"/>
  <c r="K383" i="124"/>
  <c r="K199" i="124"/>
  <c r="V199" i="124" s="1"/>
  <c r="K535" i="124"/>
  <c r="K401" i="124"/>
  <c r="V401" i="124" s="1"/>
  <c r="K455" i="124"/>
  <c r="K244" i="124"/>
  <c r="V244" i="124" s="1"/>
  <c r="K543" i="124"/>
  <c r="K396" i="124"/>
  <c r="V396" i="124" s="1"/>
  <c r="K208" i="124"/>
  <c r="AF208" i="124" s="1"/>
  <c r="K450" i="124"/>
  <c r="K320" i="124"/>
  <c r="AF320" i="124" s="1"/>
  <c r="K523" i="124"/>
  <c r="K400" i="124"/>
  <c r="AF400" i="124" s="1"/>
  <c r="K24" i="124"/>
  <c r="K408" i="124"/>
  <c r="AF408" i="124" s="1"/>
  <c r="K204" i="124"/>
  <c r="V204" i="124" s="1"/>
  <c r="K525" i="124"/>
  <c r="K570" i="124"/>
  <c r="V570" i="124" s="1"/>
  <c r="K350" i="124"/>
  <c r="K212" i="124"/>
  <c r="V212" i="124" s="1"/>
  <c r="K469" i="124"/>
  <c r="K227" i="124"/>
  <c r="K365" i="124"/>
  <c r="K292" i="124"/>
  <c r="V292" i="124" s="1"/>
  <c r="K44" i="124"/>
  <c r="K279" i="124"/>
  <c r="V279" i="124" s="1"/>
  <c r="K557" i="124"/>
  <c r="K316" i="124"/>
  <c r="V316" i="124" s="1"/>
  <c r="K565" i="124"/>
  <c r="K257" i="124"/>
  <c r="V257" i="124" s="1"/>
  <c r="K588" i="124"/>
  <c r="K190" i="124"/>
  <c r="AF190" i="124" s="1"/>
  <c r="K494" i="124"/>
  <c r="K398" i="124"/>
  <c r="V398" i="124" s="1"/>
  <c r="K303" i="124"/>
  <c r="V303" i="124" s="1"/>
  <c r="K554" i="124"/>
  <c r="K237" i="124"/>
  <c r="V237" i="124" s="1"/>
  <c r="K419" i="124"/>
  <c r="K300" i="124"/>
  <c r="V300" i="124" s="1"/>
  <c r="K389" i="124"/>
  <c r="K261" i="124"/>
  <c r="V261" i="124" s="1"/>
  <c r="K486" i="124"/>
  <c r="K336" i="124"/>
  <c r="V336" i="124" s="1"/>
  <c r="K516" i="124"/>
  <c r="K226" i="124"/>
  <c r="V226" i="124" s="1"/>
  <c r="K407" i="124"/>
  <c r="K198" i="124"/>
  <c r="V198" i="124" s="1"/>
  <c r="K580" i="124"/>
  <c r="K283" i="124"/>
  <c r="V283" i="124" s="1"/>
  <c r="K503" i="124"/>
  <c r="K55" i="124"/>
  <c r="AF55" i="124" s="1"/>
  <c r="K416" i="124"/>
  <c r="K378" i="124"/>
  <c r="V378" i="124" s="1"/>
  <c r="K41" i="124"/>
  <c r="V41" i="124" s="1"/>
  <c r="K581" i="124"/>
  <c r="K247" i="124"/>
  <c r="V247" i="124" s="1"/>
  <c r="K517" i="124"/>
  <c r="K305" i="124"/>
  <c r="V305" i="124" s="1"/>
  <c r="K457" i="124"/>
  <c r="K51" i="124"/>
  <c r="V51" i="124" s="1"/>
  <c r="K326" i="124"/>
  <c r="V326" i="124" s="1"/>
  <c r="K514" i="124"/>
  <c r="K262" i="124"/>
  <c r="V262" i="124" s="1"/>
  <c r="K454" i="124"/>
  <c r="K352" i="124"/>
  <c r="AF352" i="124" s="1"/>
  <c r="K438" i="124"/>
  <c r="V438" i="124" s="1"/>
  <c r="K567" i="124"/>
  <c r="K346" i="124"/>
  <c r="V346" i="124" s="1"/>
  <c r="K537" i="124"/>
  <c r="K236" i="124"/>
  <c r="K460" i="124"/>
  <c r="K528" i="124"/>
  <c r="V528" i="124" s="1"/>
  <c r="K555" i="124"/>
  <c r="K246" i="124"/>
  <c r="V246" i="124" s="1"/>
  <c r="K462" i="124"/>
  <c r="K339" i="124"/>
  <c r="V339" i="124" s="1"/>
  <c r="K363" i="124"/>
  <c r="K367" i="124"/>
  <c r="K354" i="124"/>
  <c r="AF354" i="124" s="1"/>
  <c r="K240" i="124"/>
  <c r="V240" i="124" s="1"/>
  <c r="K573" i="124"/>
  <c r="K308" i="124"/>
  <c r="AF308" i="124" s="1"/>
  <c r="K475" i="124"/>
  <c r="K275" i="124"/>
  <c r="K364" i="124"/>
  <c r="K512" i="124"/>
  <c r="AF512" i="124" s="1"/>
  <c r="K507" i="124"/>
  <c r="K310" i="124"/>
  <c r="V310" i="124" s="1"/>
  <c r="K28" i="124"/>
  <c r="K219" i="124"/>
  <c r="V219" i="124" s="1"/>
  <c r="K585" i="124"/>
  <c r="K538" i="124"/>
  <c r="AF538" i="124" s="1"/>
  <c r="K33" i="124"/>
  <c r="K536" i="124"/>
  <c r="K410" i="124"/>
  <c r="V410" i="124" s="1"/>
  <c r="K492" i="124"/>
  <c r="V492" i="124" s="1"/>
  <c r="K563" i="124"/>
  <c r="K586" i="124"/>
  <c r="AF586" i="124" s="1"/>
  <c r="K562" i="124"/>
  <c r="K284" i="124"/>
  <c r="V284" i="124" s="1"/>
  <c r="K550" i="124"/>
  <c r="K286" i="124"/>
  <c r="AF286" i="124" s="1"/>
  <c r="K351" i="124"/>
  <c r="K297" i="124"/>
  <c r="V297" i="124" s="1"/>
  <c r="K493" i="124"/>
  <c r="K302" i="124"/>
  <c r="V302" i="124" s="1"/>
  <c r="K369" i="124"/>
  <c r="K355" i="124"/>
  <c r="V355" i="124" s="1"/>
  <c r="K446" i="124"/>
  <c r="K231" i="124"/>
  <c r="K432" i="124"/>
  <c r="K342" i="124"/>
  <c r="AF342" i="124" s="1"/>
  <c r="K418" i="124"/>
  <c r="K584" i="124"/>
  <c r="V584" i="124" s="1"/>
  <c r="K524" i="124"/>
  <c r="K248" i="124"/>
  <c r="V248" i="124" s="1"/>
  <c r="K553" i="124"/>
  <c r="K278" i="124"/>
  <c r="K488" i="124"/>
  <c r="K347" i="124"/>
  <c r="AF347" i="124" s="1"/>
  <c r="K427" i="124"/>
  <c r="K253" i="124"/>
  <c r="V253" i="124" s="1"/>
  <c r="K431" i="124"/>
  <c r="K273" i="124"/>
  <c r="V273" i="124" s="1"/>
  <c r="K502" i="124"/>
  <c r="K335" i="124"/>
  <c r="V335" i="124" s="1"/>
  <c r="K426" i="124"/>
  <c r="K330" i="124"/>
  <c r="V330" i="124" s="1"/>
  <c r="K465" i="124"/>
  <c r="K290" i="124"/>
  <c r="V290" i="124" s="1"/>
  <c r="K424" i="124"/>
  <c r="K437" i="124"/>
  <c r="V437" i="124" s="1"/>
  <c r="K539" i="124"/>
  <c r="K301" i="124"/>
  <c r="V301" i="124" s="1"/>
  <c r="K386" i="124"/>
  <c r="K515" i="124"/>
  <c r="V515" i="124" s="1"/>
  <c r="K428" i="124"/>
  <c r="AF428" i="124" s="1"/>
  <c r="K402" i="124"/>
  <c r="V402" i="124" s="1"/>
  <c r="K209" i="124"/>
  <c r="V209" i="124" s="1"/>
  <c r="K558" i="124"/>
  <c r="K223" i="124"/>
  <c r="V223" i="124" s="1"/>
  <c r="K458" i="124"/>
  <c r="K282" i="124"/>
  <c r="V282" i="124" s="1"/>
  <c r="K52" i="124"/>
  <c r="K381" i="124"/>
  <c r="V381" i="124" s="1"/>
  <c r="K529" i="124"/>
  <c r="K295" i="124"/>
  <c r="AF295" i="124" s="1"/>
  <c r="K499" i="124"/>
  <c r="K193" i="124"/>
  <c r="V193" i="124" s="1"/>
  <c r="K463" i="124"/>
  <c r="K422" i="124"/>
  <c r="V422" i="124" s="1"/>
  <c r="K210" i="124"/>
  <c r="AF210" i="124" s="1"/>
  <c r="K471" i="124"/>
  <c r="K307" i="124"/>
  <c r="V307" i="124" s="1"/>
  <c r="K414" i="124"/>
  <c r="K218" i="124"/>
  <c r="V218" i="124" s="1"/>
  <c r="K467" i="124"/>
  <c r="K501" i="124"/>
  <c r="K387" i="124"/>
  <c r="K42" i="124"/>
  <c r="AF42" i="124" s="1"/>
  <c r="K406" i="124"/>
  <c r="K371" i="124"/>
  <c r="AF371" i="124" s="1"/>
  <c r="K444" i="124"/>
  <c r="K22" i="124"/>
  <c r="V22" i="124" s="1"/>
  <c r="K485" i="124"/>
  <c r="AF485" i="124" s="1"/>
  <c r="K411" i="124"/>
  <c r="K35" i="124"/>
  <c r="V35" i="124" s="1"/>
  <c r="K15" i="124"/>
  <c r="K291" i="124"/>
  <c r="V291" i="124" s="1"/>
  <c r="K526" i="124"/>
  <c r="K50" i="124"/>
  <c r="V50" i="124" s="1"/>
  <c r="K453" i="124"/>
  <c r="K430" i="124"/>
  <c r="AF430" i="124" s="1"/>
  <c r="K309" i="124"/>
  <c r="K546" i="124"/>
  <c r="K306" i="124"/>
  <c r="AF306" i="124" s="1"/>
  <c r="K459" i="124"/>
  <c r="K191" i="124"/>
  <c r="V191" i="124" s="1"/>
  <c r="K461" i="124"/>
  <c r="K259" i="124"/>
  <c r="V259" i="124" s="1"/>
  <c r="K439" i="124"/>
  <c r="K293" i="124"/>
  <c r="K27" i="124"/>
  <c r="K399" i="124"/>
  <c r="V399" i="124" s="1"/>
  <c r="K36" i="124"/>
  <c r="K238" i="124"/>
  <c r="V238" i="124" s="1"/>
  <c r="K374" i="124"/>
  <c r="K478" i="124"/>
  <c r="V478" i="124" s="1"/>
  <c r="K366" i="124"/>
  <c r="K373" i="124"/>
  <c r="V373" i="124" s="1"/>
  <c r="K561" i="124"/>
  <c r="K260" i="124"/>
  <c r="AF260" i="124" s="1"/>
  <c r="K560" i="124"/>
  <c r="K201" i="124"/>
  <c r="AF201" i="124" s="1"/>
  <c r="K474" i="124"/>
  <c r="K356" i="124"/>
  <c r="AF356" i="124" s="1"/>
  <c r="K472" i="124"/>
  <c r="K370" i="124"/>
  <c r="AF370" i="124" s="1"/>
  <c r="K435" i="124"/>
  <c r="K215" i="124"/>
  <c r="V215" i="124" s="1"/>
  <c r="K575" i="124"/>
  <c r="K487" i="124"/>
  <c r="V487" i="124" s="1"/>
  <c r="K571" i="124"/>
  <c r="K443" i="124"/>
  <c r="V443" i="124" s="1"/>
  <c r="K384" i="124"/>
  <c r="K311" i="124"/>
  <c r="K544" i="124"/>
  <c r="K195" i="124"/>
  <c r="AF195" i="124" s="1"/>
  <c r="K578" i="124"/>
  <c r="K29" i="124"/>
  <c r="AF29" i="124" s="1"/>
  <c r="K53" i="124"/>
  <c r="AF53" i="124" s="1"/>
  <c r="K288" i="124"/>
  <c r="V288" i="124" s="1"/>
  <c r="K449" i="124"/>
  <c r="K413" i="124"/>
  <c r="K392" i="124"/>
  <c r="K267" i="124"/>
  <c r="V267" i="124" s="1"/>
  <c r="K49" i="124"/>
  <c r="K264" i="124"/>
  <c r="V264" i="124" s="1"/>
  <c r="K509" i="124"/>
  <c r="K287" i="124"/>
  <c r="V287" i="124" s="1"/>
  <c r="K568" i="124"/>
  <c r="K188" i="124"/>
  <c r="K395" i="124"/>
  <c r="K203" i="124"/>
  <c r="AF203" i="124" s="1"/>
  <c r="K456" i="124"/>
  <c r="K506" i="124"/>
  <c r="V506" i="124" s="1"/>
  <c r="K349" i="124"/>
  <c r="K498" i="124"/>
  <c r="V498" i="124" s="1"/>
  <c r="K376" i="124"/>
  <c r="K241" i="124"/>
  <c r="K519" i="124"/>
  <c r="K447" i="124"/>
  <c r="V447" i="124" s="1"/>
  <c r="K45" i="124"/>
  <c r="K194" i="124"/>
  <c r="V194" i="124" s="1"/>
  <c r="K496" i="124"/>
  <c r="K569" i="124"/>
  <c r="AF569" i="124" s="1"/>
  <c r="K353" i="124"/>
  <c r="K187" i="124"/>
  <c r="K566" i="124"/>
  <c r="K298" i="124"/>
  <c r="V298" i="124" s="1"/>
  <c r="K433" i="124"/>
  <c r="K329" i="124"/>
  <c r="AF329" i="124" s="1"/>
  <c r="K466" i="124"/>
  <c r="K211" i="124"/>
  <c r="AF211" i="124" s="1"/>
  <c r="K556" i="124"/>
  <c r="K393" i="124"/>
  <c r="K39" i="124"/>
  <c r="K361" i="124"/>
  <c r="AF361" i="124" s="1"/>
  <c r="K321" i="124"/>
  <c r="V321" i="124" s="1"/>
  <c r="K527" i="124"/>
  <c r="K564" i="124"/>
  <c r="AF564" i="124" s="1"/>
  <c r="K533" i="124"/>
  <c r="K324" i="124"/>
  <c r="V324" i="124" s="1"/>
  <c r="K574" i="124"/>
  <c r="K322" i="124"/>
  <c r="V322" i="124" s="1"/>
  <c r="K390" i="124"/>
  <c r="K249" i="124"/>
  <c r="AF249" i="124" s="1"/>
  <c r="K545" i="124"/>
  <c r="K222" i="124"/>
  <c r="V222" i="124" s="1"/>
  <c r="K451" i="124"/>
  <c r="K19" i="124"/>
  <c r="AF19" i="124" s="1"/>
  <c r="K255" i="124"/>
  <c r="K477" i="124"/>
  <c r="K483" i="124"/>
  <c r="AF483" i="124" s="1"/>
  <c r="K243" i="124"/>
  <c r="AF243" i="124" s="1"/>
  <c r="K441" i="124"/>
  <c r="K213" i="124"/>
  <c r="V213" i="124" s="1"/>
  <c r="K442" i="124"/>
  <c r="K46" i="124"/>
  <c r="AF46" i="124" s="1"/>
  <c r="K235" i="124"/>
  <c r="K508" i="124"/>
  <c r="K274" i="124"/>
  <c r="AF274" i="124" s="1"/>
  <c r="K551" i="124"/>
  <c r="K228" i="124"/>
  <c r="V228" i="124" s="1"/>
  <c r="K470" i="124"/>
  <c r="K43" i="124"/>
  <c r="AF43" i="124" s="1"/>
  <c r="K372" i="124"/>
  <c r="K394" i="124"/>
  <c r="AF394" i="124" s="1"/>
  <c r="K271" i="124"/>
  <c r="K415" i="124"/>
  <c r="K285" i="124"/>
  <c r="V285" i="124" s="1"/>
  <c r="K25" i="124"/>
  <c r="K30" i="124"/>
  <c r="AF30" i="124" s="1"/>
  <c r="CN30" i="124" s="1"/>
  <c r="K38" i="124"/>
  <c r="V38" i="124" s="1"/>
  <c r="K48" i="124"/>
  <c r="AF48" i="124" s="1"/>
  <c r="K480" i="124"/>
  <c r="K405" i="124"/>
  <c r="K317" i="124"/>
  <c r="V317" i="124" s="1"/>
  <c r="K391" i="124"/>
  <c r="K323" i="124"/>
  <c r="V323" i="124" s="1"/>
  <c r="K511" i="124"/>
  <c r="K534" i="124"/>
  <c r="AF534" i="124" s="1"/>
  <c r="K368" i="124"/>
  <c r="K318" i="124"/>
  <c r="K468" i="124"/>
  <c r="K242" i="124"/>
  <c r="V242" i="124" s="1"/>
  <c r="K489" i="124"/>
  <c r="Q84" i="107"/>
  <c r="Q86" i="107"/>
  <c r="Q72" i="107"/>
  <c r="Q74" i="107"/>
  <c r="Q114" i="107"/>
  <c r="Q116" i="107"/>
  <c r="C120" i="80"/>
  <c r="C70" i="80"/>
  <c r="C119" i="80"/>
  <c r="C79" i="80"/>
  <c r="C253" i="80"/>
  <c r="C214" i="80"/>
  <c r="C155" i="80"/>
  <c r="C138" i="80"/>
  <c r="C49" i="80"/>
  <c r="C154" i="80"/>
  <c r="C69" i="80"/>
  <c r="AJ1" i="46"/>
  <c r="DI10" i="92"/>
  <c r="AP17" i="108"/>
  <c r="AR17" i="108" s="1"/>
  <c r="AP13" i="108"/>
  <c r="AR13" i="108" s="1"/>
  <c r="K45" i="46"/>
  <c r="K44" i="46"/>
  <c r="I41" i="46"/>
  <c r="I42" i="46" s="1"/>
  <c r="I43" i="46" s="1"/>
  <c r="I44" i="46" s="1"/>
  <c r="I45" i="46" s="1"/>
  <c r="D37" i="113"/>
  <c r="AD12" i="114"/>
  <c r="X67" i="115"/>
  <c r="AB15" i="114"/>
  <c r="AC15" i="114" s="1"/>
  <c r="N15" i="114"/>
  <c r="AA15" i="114"/>
  <c r="S15" i="114"/>
  <c r="Q15" i="114"/>
  <c r="T15" i="114"/>
  <c r="U15" i="114"/>
  <c r="R15" i="114"/>
  <c r="C147" i="80"/>
  <c r="C26" i="80"/>
  <c r="C50" i="80"/>
  <c r="C74" i="80"/>
  <c r="C47" i="80"/>
  <c r="C277" i="80"/>
  <c r="C271" i="80"/>
  <c r="C129" i="80"/>
  <c r="C258" i="80"/>
  <c r="C257" i="80"/>
  <c r="C144" i="80"/>
  <c r="C219" i="80"/>
  <c r="C171" i="80"/>
  <c r="C179" i="80"/>
  <c r="C146" i="80"/>
  <c r="C39" i="80"/>
  <c r="C37" i="80"/>
  <c r="C246" i="80"/>
  <c r="C122" i="80"/>
  <c r="C153" i="80"/>
  <c r="C106" i="80"/>
  <c r="C100" i="80"/>
  <c r="C17" i="80"/>
  <c r="CH8" i="92"/>
  <c r="CH16" i="92"/>
  <c r="BB25" i="92"/>
  <c r="BC25" i="92" s="1"/>
  <c r="CH19" i="92"/>
  <c r="BB23" i="92"/>
  <c r="BC23" i="92" s="1"/>
  <c r="BB26" i="92"/>
  <c r="BC26" i="92" s="1"/>
  <c r="AK29" i="92"/>
  <c r="AK22" i="92"/>
  <c r="AK33" i="92"/>
  <c r="AK27" i="92"/>
  <c r="CH12" i="92"/>
  <c r="AK30" i="92"/>
  <c r="AK21" i="92"/>
  <c r="AK19" i="92"/>
  <c r="AK24" i="92"/>
  <c r="AK32" i="92"/>
  <c r="AK20" i="92"/>
  <c r="AK26" i="92"/>
  <c r="AK25" i="92"/>
  <c r="BB11" i="92"/>
  <c r="BD11" i="92" s="1"/>
  <c r="AK36" i="92"/>
  <c r="AK28" i="92"/>
  <c r="AK23" i="92"/>
  <c r="CH11" i="92"/>
  <c r="BB18" i="92"/>
  <c r="BC18" i="92" s="1"/>
  <c r="CH18" i="92"/>
  <c r="BB17" i="92"/>
  <c r="BC17" i="92" s="1"/>
  <c r="BE18" i="92"/>
  <c r="BJ18" i="92" s="1"/>
  <c r="CH17" i="92"/>
  <c r="BF18" i="92"/>
  <c r="BK18" i="92" s="1"/>
  <c r="BE17" i="92"/>
  <c r="BJ17" i="92" s="1"/>
  <c r="BF17" i="92"/>
  <c r="BK17" i="92" s="1"/>
  <c r="BF11" i="92"/>
  <c r="BK11" i="92" s="1"/>
  <c r="BF12" i="92"/>
  <c r="BK12" i="92" s="1"/>
  <c r="BB12" i="92"/>
  <c r="BD12" i="92" s="1"/>
  <c r="BE11" i="92"/>
  <c r="BJ11" i="92" s="1"/>
  <c r="BE12" i="92"/>
  <c r="BJ12" i="92" s="1"/>
  <c r="BB30" i="92"/>
  <c r="BC30" i="92" s="1"/>
  <c r="BG18" i="92"/>
  <c r="BE13" i="92"/>
  <c r="BJ13" i="92" s="1"/>
  <c r="BB16" i="92"/>
  <c r="BC16" i="92" s="1"/>
  <c r="BE8" i="92"/>
  <c r="BB9" i="92"/>
  <c r="BG9" i="92" s="1"/>
  <c r="BB29" i="92"/>
  <c r="BC29" i="92" s="1"/>
  <c r="BE14" i="92"/>
  <c r="BJ14" i="92" s="1"/>
  <c r="CH10" i="92"/>
  <c r="BB22" i="92"/>
  <c r="BC22" i="92" s="1"/>
  <c r="BB21" i="92"/>
  <c r="BC21" i="92" s="1"/>
  <c r="CH9" i="92"/>
  <c r="CH21" i="92"/>
  <c r="CH20" i="92"/>
  <c r="BG20" i="92"/>
  <c r="BG24" i="92"/>
  <c r="BB20" i="92"/>
  <c r="BC20" i="92" s="1"/>
  <c r="CH14" i="92"/>
  <c r="BG19" i="92"/>
  <c r="BG23" i="92"/>
  <c r="BB14" i="92"/>
  <c r="BC14" i="92" s="1"/>
  <c r="CH29" i="92"/>
  <c r="BG22" i="92"/>
  <c r="BG21" i="92"/>
  <c r="BB33" i="92"/>
  <c r="BC33" i="92" s="1"/>
  <c r="BF9" i="92"/>
  <c r="BK9" i="92" s="1"/>
  <c r="CH33" i="92"/>
  <c r="CH25" i="92"/>
  <c r="CH13" i="92"/>
  <c r="CH36" i="92"/>
  <c r="BB13" i="92"/>
  <c r="BC13" i="92" s="1"/>
  <c r="BB24" i="92"/>
  <c r="BC24" i="92" s="1"/>
  <c r="BB36" i="92"/>
  <c r="BC36" i="92" s="1"/>
  <c r="CH24" i="92"/>
  <c r="C91" i="80"/>
  <c r="BB27" i="92"/>
  <c r="BC27" i="92" s="1"/>
  <c r="BB19" i="92"/>
  <c r="BC19" i="92" s="1"/>
  <c r="CH23" i="92"/>
  <c r="CH32" i="92"/>
  <c r="CH27" i="92"/>
  <c r="BB32" i="92"/>
  <c r="BC32" i="92" s="1"/>
  <c r="BB10" i="92"/>
  <c r="BG10" i="92" s="1"/>
  <c r="CH22" i="92"/>
  <c r="CH26" i="92"/>
  <c r="CH30" i="92"/>
  <c r="CH28" i="92"/>
  <c r="BB28" i="92"/>
  <c r="BC28" i="92" s="1"/>
  <c r="CH15" i="92"/>
  <c r="BF16" i="92"/>
  <c r="BK16" i="92" s="1"/>
  <c r="BE10" i="92"/>
  <c r="BJ10" i="92" s="1"/>
  <c r="BF14" i="92"/>
  <c r="BK14" i="92" s="1"/>
  <c r="BF10" i="92"/>
  <c r="BK10" i="92" s="1"/>
  <c r="BE21" i="92"/>
  <c r="BJ21" i="92" s="1"/>
  <c r="BE36" i="92"/>
  <c r="BJ36" i="92" s="1"/>
  <c r="BE24" i="92"/>
  <c r="BJ24" i="92" s="1"/>
  <c r="BG27" i="92"/>
  <c r="BF28" i="92"/>
  <c r="BK28" i="92" s="1"/>
  <c r="BE33" i="92"/>
  <c r="BJ33" i="92" s="1"/>
  <c r="BG32" i="92"/>
  <c r="BF20" i="92"/>
  <c r="BK20" i="92" s="1"/>
  <c r="BF32" i="92"/>
  <c r="BK32" i="92" s="1"/>
  <c r="BF19" i="92"/>
  <c r="BK19" i="92" s="1"/>
  <c r="BE25" i="92"/>
  <c r="BJ25" i="92" s="1"/>
  <c r="BE20" i="92"/>
  <c r="BJ20" i="92" s="1"/>
  <c r="BF27" i="92"/>
  <c r="BK27" i="92" s="1"/>
  <c r="BB15" i="92"/>
  <c r="BC15" i="92" s="1"/>
  <c r="BE29" i="92"/>
  <c r="BJ29" i="92" s="1"/>
  <c r="BF29" i="92"/>
  <c r="BK29" i="92" s="1"/>
  <c r="BF15" i="92"/>
  <c r="BK15" i="92" s="1"/>
  <c r="BG33" i="92"/>
  <c r="BE27" i="92"/>
  <c r="BJ27" i="92" s="1"/>
  <c r="BF22" i="92"/>
  <c r="BK22" i="92" s="1"/>
  <c r="BE23" i="92"/>
  <c r="BJ23" i="92" s="1"/>
  <c r="BF25" i="92"/>
  <c r="BK25" i="92" s="1"/>
  <c r="BG30" i="92"/>
  <c r="BF26" i="92"/>
  <c r="BK26" i="92" s="1"/>
  <c r="BF21" i="92"/>
  <c r="BK21" i="92" s="1"/>
  <c r="BF13" i="92"/>
  <c r="BK13" i="92" s="1"/>
  <c r="BF23" i="92"/>
  <c r="BK23" i="92" s="1"/>
  <c r="BG25" i="92"/>
  <c r="BG28" i="92"/>
  <c r="BE26" i="92"/>
  <c r="BJ26" i="92" s="1"/>
  <c r="BE19" i="92"/>
  <c r="BJ19" i="92" s="1"/>
  <c r="BF30" i="92"/>
  <c r="BK30" i="92" s="1"/>
  <c r="BF8" i="92"/>
  <c r="BE9" i="92"/>
  <c r="BJ9" i="92" s="1"/>
  <c r="BE30" i="92"/>
  <c r="BJ30" i="92" s="1"/>
  <c r="BG29" i="92"/>
  <c r="BG26" i="92"/>
  <c r="BE32" i="92"/>
  <c r="BJ32" i="92" s="1"/>
  <c r="BE28" i="92"/>
  <c r="BJ28" i="92" s="1"/>
  <c r="BF24" i="92"/>
  <c r="BK24" i="92" s="1"/>
  <c r="BF33" i="92"/>
  <c r="BK33" i="92" s="1"/>
  <c r="BE15" i="92"/>
  <c r="BJ15" i="92" s="1"/>
  <c r="BF36" i="92"/>
  <c r="BK36" i="92" s="1"/>
  <c r="BG36" i="92"/>
  <c r="BE22" i="92"/>
  <c r="BJ22" i="92" s="1"/>
  <c r="BE16" i="92"/>
  <c r="BJ16" i="92" s="1"/>
  <c r="C268" i="80"/>
  <c r="C123" i="80"/>
  <c r="C217" i="80"/>
  <c r="C203" i="80"/>
  <c r="C252" i="80"/>
  <c r="C130" i="80"/>
  <c r="C270" i="80"/>
  <c r="C244" i="80"/>
  <c r="C264" i="80"/>
  <c r="C167" i="80"/>
  <c r="C128" i="80"/>
  <c r="C194" i="80"/>
  <c r="C184" i="80"/>
  <c r="C233" i="80"/>
  <c r="C27" i="80"/>
  <c r="C236" i="80"/>
  <c r="C260" i="80"/>
  <c r="C140" i="80"/>
  <c r="C42" i="80"/>
  <c r="C81" i="80"/>
  <c r="C251" i="80"/>
  <c r="C272" i="80"/>
  <c r="C211" i="80"/>
  <c r="C195" i="80"/>
  <c r="C125" i="80"/>
  <c r="C93" i="80"/>
  <c r="C72" i="80"/>
  <c r="C213" i="80"/>
  <c r="C62" i="80"/>
  <c r="C234" i="80"/>
  <c r="C210" i="80"/>
  <c r="C176" i="80"/>
  <c r="C225" i="80"/>
  <c r="C94" i="80"/>
  <c r="C24" i="80"/>
  <c r="C199" i="80"/>
  <c r="C262" i="80"/>
  <c r="C229" i="80"/>
  <c r="C161" i="80"/>
  <c r="C89" i="80"/>
  <c r="C109" i="80"/>
  <c r="C275" i="80"/>
  <c r="AC14" i="46"/>
  <c r="C192" i="80"/>
  <c r="C56" i="80"/>
  <c r="C141" i="80"/>
  <c r="C145" i="80"/>
  <c r="C99" i="80"/>
  <c r="C248" i="80"/>
  <c r="C111" i="80"/>
  <c r="C59" i="80"/>
  <c r="C183" i="80"/>
  <c r="C142" i="80"/>
  <c r="C148" i="80"/>
  <c r="C98" i="80"/>
  <c r="C285" i="80"/>
  <c r="C108" i="80"/>
  <c r="C105" i="80"/>
  <c r="C68" i="80"/>
  <c r="C221" i="80"/>
  <c r="C263" i="80"/>
  <c r="C281" i="80"/>
  <c r="C212" i="80"/>
  <c r="C64" i="80"/>
  <c r="C67" i="80"/>
  <c r="C224" i="80"/>
  <c r="C117" i="80"/>
  <c r="C28" i="80"/>
  <c r="C215" i="80"/>
  <c r="AC10" i="46"/>
  <c r="C250" i="80"/>
  <c r="C66" i="80"/>
  <c r="C247" i="80"/>
  <c r="C190" i="80"/>
  <c r="C241" i="80"/>
  <c r="C149" i="80"/>
  <c r="C30" i="80"/>
  <c r="C188" i="80"/>
  <c r="C279" i="80"/>
  <c r="C238" i="80"/>
  <c r="C157" i="80"/>
  <c r="C205" i="80"/>
  <c r="C177" i="80"/>
  <c r="C186" i="80"/>
  <c r="C114" i="80"/>
  <c r="C16" i="80"/>
  <c r="C163" i="80"/>
  <c r="C15" i="80"/>
  <c r="C220" i="80"/>
  <c r="C255" i="80"/>
  <c r="C239" i="80"/>
  <c r="C46" i="80"/>
  <c r="C151" i="80"/>
  <c r="C131" i="80"/>
  <c r="C174" i="80"/>
  <c r="C101" i="80"/>
  <c r="C102" i="80"/>
  <c r="C13" i="80"/>
  <c r="C216" i="80"/>
  <c r="C232" i="80"/>
  <c r="C230" i="80"/>
  <c r="C121" i="80"/>
  <c r="C110" i="80"/>
  <c r="ZY1" i="46"/>
  <c r="AEY1" i="46"/>
  <c r="ADS1" i="46"/>
  <c r="AJG1" i="46"/>
  <c r="UZ1" i="46"/>
  <c r="ZE1" i="46"/>
  <c r="C160" i="80"/>
  <c r="MV1" i="46"/>
  <c r="C168" i="80"/>
  <c r="OO1" i="46"/>
  <c r="RH1" i="46"/>
  <c r="AAN1" i="46"/>
  <c r="AHI1" i="46"/>
  <c r="AIY1" i="46"/>
  <c r="PB1" i="46"/>
  <c r="AFT1" i="46"/>
  <c r="C206" i="80"/>
  <c r="C198" i="80"/>
  <c r="C266" i="80"/>
  <c r="C172" i="80"/>
  <c r="C44" i="80"/>
  <c r="C182" i="80"/>
  <c r="AD14" i="46"/>
  <c r="C164" i="80"/>
  <c r="C226" i="80"/>
  <c r="C40" i="80"/>
  <c r="AD8" i="46"/>
  <c r="C124" i="80"/>
  <c r="C103" i="80"/>
  <c r="C127" i="80"/>
  <c r="C237" i="80"/>
  <c r="C83" i="80"/>
  <c r="C14" i="80"/>
  <c r="C235" i="80"/>
  <c r="WD1" i="46"/>
  <c r="C276" i="80"/>
  <c r="C273" i="80"/>
  <c r="C158" i="80"/>
  <c r="C84" i="80"/>
  <c r="C45" i="80"/>
  <c r="C170" i="80"/>
  <c r="C51" i="80"/>
  <c r="C112" i="80"/>
  <c r="C132" i="80"/>
  <c r="C201" i="80"/>
  <c r="C86" i="80"/>
  <c r="C200" i="80"/>
  <c r="C222" i="80"/>
  <c r="ADC1" i="46"/>
  <c r="AJV1" i="46"/>
  <c r="C173" i="80"/>
  <c r="PS1" i="46"/>
  <c r="UB1" i="46"/>
  <c r="SO1" i="46"/>
  <c r="AGO1" i="46"/>
  <c r="NN1" i="46"/>
  <c r="TM1" i="46"/>
  <c r="AIP1" i="46"/>
  <c r="SL1" i="46"/>
  <c r="AFG1" i="46"/>
  <c r="LT1" i="46"/>
  <c r="RY1" i="46"/>
  <c r="AHJ1" i="46"/>
  <c r="VM1" i="46"/>
  <c r="MZ1" i="46"/>
  <c r="PU1" i="46"/>
  <c r="OE1" i="46"/>
  <c r="ADW1" i="46"/>
  <c r="AJK1" i="46"/>
  <c r="AFO1" i="46"/>
  <c r="MW1" i="46"/>
  <c r="ACM1" i="46"/>
  <c r="AFB1" i="46"/>
  <c r="ADL1" i="46"/>
  <c r="AGV1" i="46"/>
  <c r="TC1" i="46"/>
  <c r="AHQ1" i="46"/>
  <c r="IN1" i="46"/>
  <c r="EB1" i="46"/>
  <c r="HP1" i="46"/>
  <c r="ACH1" i="46"/>
  <c r="UE1" i="46"/>
  <c r="ACD1" i="46"/>
  <c r="ADE1" i="46"/>
  <c r="AFR1" i="46"/>
  <c r="ZU1" i="46"/>
  <c r="QI1" i="46"/>
  <c r="AAS1" i="46"/>
  <c r="YJ1" i="46"/>
  <c r="VK1" i="46"/>
  <c r="JS1" i="46"/>
  <c r="ADF1" i="46"/>
  <c r="UT1" i="46"/>
  <c r="LX1" i="46"/>
  <c r="AHD1" i="46"/>
  <c r="AHF1" i="46"/>
  <c r="WW1" i="46"/>
  <c r="AIN1" i="46"/>
  <c r="TE1" i="46"/>
  <c r="ADU1" i="46"/>
  <c r="SF1" i="46"/>
  <c r="HQ1" i="46"/>
  <c r="KQ1" i="46"/>
  <c r="RX1" i="46"/>
  <c r="IZ1" i="46"/>
  <c r="ABG1" i="46"/>
  <c r="AEA1" i="46"/>
  <c r="RV1" i="46"/>
  <c r="QD1" i="46"/>
  <c r="YR1" i="46"/>
  <c r="XV1" i="46"/>
  <c r="AIT1" i="46"/>
  <c r="AIH1" i="46"/>
  <c r="AFW1" i="46"/>
  <c r="PC1" i="46"/>
  <c r="FN1" i="46"/>
  <c r="XZ1" i="46"/>
  <c r="AL1" i="46"/>
  <c r="C286" i="80"/>
  <c r="NL1" i="46"/>
  <c r="ZG1" i="46"/>
  <c r="ABD1" i="46"/>
  <c r="VH1" i="46"/>
  <c r="OU1" i="46"/>
  <c r="WO1" i="46"/>
  <c r="SQ1" i="46"/>
  <c r="AIB1" i="46"/>
  <c r="KW1" i="46"/>
  <c r="QC1" i="46"/>
  <c r="ACQ1" i="46"/>
  <c r="AAJ1" i="46"/>
  <c r="FT1" i="46"/>
  <c r="OP1" i="46"/>
  <c r="OB1" i="46"/>
  <c r="AAX1" i="46"/>
  <c r="AFU1" i="46"/>
  <c r="AFN1" i="46"/>
  <c r="XD1" i="46"/>
  <c r="AHW1" i="46"/>
  <c r="VT1" i="46"/>
  <c r="AHR1" i="46"/>
  <c r="NF1" i="46"/>
  <c r="WZ1" i="46"/>
  <c r="ABC1" i="46"/>
  <c r="AIK1" i="46"/>
  <c r="XW1" i="46"/>
  <c r="TS1" i="46"/>
  <c r="QV1" i="46"/>
  <c r="NT1" i="46"/>
  <c r="AX1" i="46"/>
  <c r="PI1" i="46"/>
  <c r="SN1" i="46"/>
  <c r="ZN1" i="46"/>
  <c r="UH1" i="46"/>
  <c r="KK1" i="46"/>
  <c r="UJ1" i="46"/>
  <c r="AAO1" i="46"/>
  <c r="ABK1" i="46"/>
  <c r="AEN1" i="46"/>
  <c r="GL1" i="46"/>
  <c r="C97" i="80"/>
  <c r="GZ1" i="46"/>
  <c r="C243" i="80"/>
  <c r="JV1" i="46"/>
  <c r="HN1" i="46"/>
  <c r="HK1" i="46"/>
  <c r="AEG1" i="46"/>
  <c r="VN1" i="46"/>
  <c r="QR1" i="46"/>
  <c r="ZO1" i="46"/>
  <c r="AFS1" i="46"/>
  <c r="QN1" i="46"/>
  <c r="LK1" i="46"/>
  <c r="KB1" i="46"/>
  <c r="C280" i="80"/>
  <c r="MB1" i="46"/>
  <c r="C284" i="80"/>
  <c r="C289" i="80"/>
  <c r="C126" i="80"/>
  <c r="C152" i="80"/>
  <c r="C150" i="80"/>
  <c r="C71" i="80"/>
  <c r="C175" i="80"/>
  <c r="C52" i="80"/>
  <c r="C60" i="80"/>
  <c r="C25" i="80"/>
  <c r="C104" i="80"/>
  <c r="C223" i="80"/>
  <c r="C256" i="80"/>
  <c r="C31" i="80"/>
  <c r="C32" i="80"/>
  <c r="C76" i="80"/>
  <c r="C82" i="80"/>
  <c r="C116" i="80"/>
  <c r="C180" i="80"/>
  <c r="C88" i="80"/>
  <c r="C73" i="80"/>
  <c r="C207" i="80"/>
  <c r="C118" i="80"/>
  <c r="C282" i="80"/>
  <c r="C228" i="80"/>
  <c r="C54" i="80"/>
  <c r="C204" i="80"/>
  <c r="C137" i="80"/>
  <c r="C107" i="80"/>
  <c r="C181" i="80"/>
  <c r="C227" i="80"/>
  <c r="C265" i="80"/>
  <c r="C135" i="80"/>
  <c r="C197" i="80"/>
  <c r="C249" i="80"/>
  <c r="C156" i="80"/>
  <c r="C189" i="80"/>
  <c r="C165" i="80"/>
  <c r="C80" i="80"/>
  <c r="C166" i="80"/>
  <c r="C61" i="80"/>
  <c r="C90" i="80"/>
  <c r="C29" i="80"/>
  <c r="SU1" i="46"/>
  <c r="YH1" i="46"/>
  <c r="GH1" i="46"/>
  <c r="SE1" i="46"/>
  <c r="WQ1" i="46"/>
  <c r="FJ1" i="46"/>
  <c r="VR1" i="46"/>
  <c r="AJL1" i="46"/>
  <c r="IJ1" i="46"/>
  <c r="YC1" i="46"/>
  <c r="ADA1" i="46"/>
  <c r="AED1" i="46"/>
  <c r="EF1" i="46"/>
  <c r="PV1" i="46"/>
  <c r="LL1" i="46"/>
  <c r="MF1" i="46"/>
  <c r="EX1" i="46"/>
  <c r="JT1" i="46"/>
  <c r="AKI1" i="46"/>
  <c r="AIJ1" i="46"/>
  <c r="UM1" i="46"/>
  <c r="AKO1" i="46"/>
  <c r="NY1" i="46"/>
  <c r="OW1" i="46"/>
  <c r="NU1" i="46"/>
  <c r="JH1" i="46"/>
  <c r="LB1" i="46"/>
  <c r="PN1" i="46"/>
  <c r="AGK1" i="46"/>
  <c r="ZK1" i="46"/>
  <c r="PG1" i="46"/>
  <c r="AKM1" i="46"/>
  <c r="TO1" i="46"/>
  <c r="CN1" i="46"/>
  <c r="IL1" i="46"/>
  <c r="PX1" i="46"/>
  <c r="QA1" i="46"/>
  <c r="YP1" i="46"/>
  <c r="AHL1" i="46"/>
  <c r="AIM1" i="46"/>
  <c r="PT1" i="46"/>
  <c r="AJD1" i="46"/>
  <c r="NK1" i="46"/>
  <c r="ACU1" i="46"/>
  <c r="AFA1" i="46"/>
  <c r="RC1" i="46"/>
  <c r="ACN1" i="46"/>
  <c r="OK1" i="46"/>
  <c r="RS1" i="46"/>
  <c r="AJB1" i="46"/>
  <c r="ACS1" i="46"/>
  <c r="KP1" i="46"/>
  <c r="ACW1" i="46"/>
  <c r="HB1" i="46"/>
  <c r="NH1" i="46"/>
  <c r="QO1" i="46"/>
  <c r="AKH1" i="46"/>
  <c r="QK1" i="46"/>
  <c r="MR1" i="46"/>
  <c r="ABX1" i="46"/>
  <c r="ABN1" i="46"/>
  <c r="AJS1" i="46"/>
  <c r="IO1" i="46"/>
  <c r="AGT1" i="46"/>
  <c r="ADK1" i="46"/>
  <c r="PO1" i="46"/>
  <c r="AEX1" i="46"/>
  <c r="AIX1" i="46"/>
  <c r="LI1" i="46"/>
  <c r="AFJ1" i="46"/>
  <c r="AHA1" i="46"/>
  <c r="WA1" i="46"/>
  <c r="GX1" i="46"/>
  <c r="NP1" i="46"/>
  <c r="ADD1" i="46"/>
  <c r="ADG1" i="46"/>
  <c r="ABU1" i="46"/>
  <c r="LZ1" i="46"/>
  <c r="AHX1" i="46"/>
  <c r="ZL1" i="46"/>
  <c r="ZT1" i="46"/>
  <c r="FB1" i="46"/>
  <c r="ABB1" i="46"/>
  <c r="KE1" i="46"/>
  <c r="OC1" i="46"/>
  <c r="TA1" i="46"/>
  <c r="XH1" i="46"/>
  <c r="AGI1" i="46"/>
  <c r="TW1" i="46"/>
  <c r="TF1" i="46"/>
  <c r="AIF1" i="46"/>
  <c r="VV1" i="46"/>
  <c r="ABS1" i="46"/>
  <c r="AKJ1" i="46"/>
  <c r="AHG1" i="46"/>
  <c r="AHV1" i="46"/>
  <c r="ACT1" i="46"/>
  <c r="WV1" i="46"/>
  <c r="ZI1" i="46"/>
  <c r="RO1" i="46"/>
  <c r="VO1" i="46"/>
  <c r="ADQ1" i="46"/>
  <c r="ADO1" i="46"/>
  <c r="WT1" i="46"/>
  <c r="AGQ1" i="46"/>
  <c r="AAK1" i="46"/>
  <c r="NZ1" i="46"/>
  <c r="FC1" i="46"/>
  <c r="GY1" i="46"/>
  <c r="RD1" i="46"/>
  <c r="XR1" i="46"/>
  <c r="VC1" i="46"/>
  <c r="IP1" i="46"/>
  <c r="TP1" i="46"/>
  <c r="ACR1" i="46"/>
  <c r="NO1" i="46"/>
  <c r="AHS1" i="46"/>
  <c r="RW1" i="46"/>
  <c r="QE1" i="46"/>
  <c r="YL1" i="46"/>
  <c r="WP1" i="46"/>
  <c r="PL1" i="46"/>
  <c r="GF1" i="46"/>
  <c r="ZH1" i="46"/>
  <c r="AJE1" i="46"/>
  <c r="YS1" i="46"/>
  <c r="AIS1" i="46"/>
  <c r="AAB1" i="46"/>
  <c r="QS1" i="46"/>
  <c r="WL1" i="46"/>
  <c r="AAC1" i="46"/>
  <c r="TV1" i="46"/>
  <c r="RI1" i="46"/>
  <c r="AGF1" i="46"/>
  <c r="LO1" i="46"/>
  <c r="AKD1" i="46"/>
  <c r="ACV1" i="46"/>
  <c r="KJ1" i="46"/>
  <c r="FF1" i="46"/>
  <c r="RF1" i="46"/>
  <c r="ABE1" i="46"/>
  <c r="YM1" i="46"/>
  <c r="HV1" i="46"/>
  <c r="QJ1" i="46"/>
  <c r="ABF1" i="46"/>
  <c r="VD1" i="46"/>
  <c r="AGL1" i="46"/>
  <c r="ZD1" i="46"/>
  <c r="AAE1" i="46"/>
  <c r="QW1" i="46"/>
  <c r="AGJ1" i="46"/>
  <c r="XX1" i="46"/>
  <c r="ABT1" i="46"/>
  <c r="SG1" i="46"/>
  <c r="RA1" i="46"/>
  <c r="ML1" i="46"/>
  <c r="SA1" i="46"/>
  <c r="YE1" i="46"/>
  <c r="YO1" i="46"/>
  <c r="AJR1" i="46"/>
  <c r="ACA1" i="46"/>
  <c r="ZR1" i="46"/>
  <c r="TD1" i="46"/>
  <c r="OQ1" i="46"/>
  <c r="AII1" i="46"/>
  <c r="ABL1" i="46"/>
  <c r="FL1" i="46"/>
  <c r="EH1" i="46"/>
  <c r="RP1" i="46"/>
  <c r="GS1" i="46"/>
  <c r="ZM1" i="46"/>
  <c r="HH1" i="46"/>
  <c r="OM1" i="46"/>
  <c r="OY1" i="46"/>
  <c r="ADZ1" i="46"/>
  <c r="XU1" i="46"/>
  <c r="ZV1" i="46"/>
  <c r="VQ1" i="46"/>
  <c r="YU1" i="46"/>
  <c r="AFL1" i="46"/>
  <c r="LC1" i="46"/>
  <c r="ADM1" i="46"/>
  <c r="RT1" i="46"/>
  <c r="YD1" i="46"/>
  <c r="UY1" i="46"/>
  <c r="AEW1" i="46"/>
  <c r="AIU1" i="46"/>
  <c r="QM1" i="46"/>
  <c r="LF1" i="46"/>
  <c r="ABV1" i="46"/>
  <c r="ZC1" i="46"/>
  <c r="ACO1" i="46"/>
  <c r="QL1" i="46"/>
  <c r="HW1" i="46"/>
  <c r="EK1" i="46"/>
  <c r="AAF1" i="46"/>
  <c r="UC1" i="46"/>
  <c r="AFY1" i="46"/>
  <c r="MS1" i="46"/>
  <c r="JL1" i="46"/>
  <c r="KF1" i="46"/>
  <c r="ND1" i="46"/>
  <c r="AER1" i="46"/>
  <c r="ACZ1" i="46"/>
  <c r="MY1" i="46"/>
  <c r="AGG1" i="46"/>
  <c r="ABH1" i="46"/>
  <c r="JK1" i="46"/>
  <c r="QQ1" i="46"/>
  <c r="QX1" i="46"/>
  <c r="RB1" i="46"/>
  <c r="LD1" i="46"/>
  <c r="VX1" i="46"/>
  <c r="ADY1" i="46"/>
  <c r="EV1" i="46"/>
  <c r="DZ1" i="46"/>
  <c r="XC1" i="46"/>
  <c r="WM1" i="46"/>
  <c r="AJQ1" i="46"/>
  <c r="AJP1" i="46"/>
  <c r="AGC1" i="46"/>
  <c r="AGU1" i="46"/>
  <c r="ACE1" i="46"/>
  <c r="AAG1" i="46"/>
  <c r="SZ1" i="46"/>
  <c r="ZJ1" i="46"/>
  <c r="UR1" i="46"/>
  <c r="UD1" i="46"/>
  <c r="AEI1" i="46"/>
  <c r="AHU1" i="46"/>
  <c r="AHK1" i="46"/>
  <c r="ON1" i="46"/>
  <c r="KZ1" i="46"/>
  <c r="BD1" i="46"/>
  <c r="CZ1" i="46"/>
  <c r="KD1" i="46"/>
  <c r="LU1" i="46"/>
  <c r="GR1" i="46"/>
  <c r="OA1" i="46"/>
  <c r="JX1" i="46"/>
  <c r="AGA1" i="46"/>
  <c r="JY1" i="46"/>
  <c r="MN1" i="46"/>
  <c r="YK1" i="46"/>
  <c r="WF1" i="46"/>
  <c r="MA1" i="46"/>
  <c r="OT1" i="46"/>
  <c r="NS1" i="46"/>
  <c r="TR1" i="46"/>
  <c r="TH1" i="46"/>
  <c r="LH1" i="46"/>
  <c r="AHH1" i="46"/>
  <c r="HL1" i="46"/>
  <c r="AKR1" i="46"/>
  <c r="ABP1" i="46"/>
  <c r="AEU1" i="46"/>
  <c r="ADT1" i="46"/>
  <c r="ID1" i="46"/>
  <c r="RM1" i="46"/>
  <c r="PH1" i="46"/>
  <c r="WK1" i="46"/>
  <c r="AHO1" i="46"/>
  <c r="PR1" i="46"/>
  <c r="IB1" i="46"/>
  <c r="RL1" i="46"/>
  <c r="DR1" i="46"/>
  <c r="KS1" i="46"/>
  <c r="NB1" i="46"/>
  <c r="AID1" i="46"/>
  <c r="AJW1" i="46"/>
  <c r="NQ1" i="46"/>
  <c r="AAI1" i="46"/>
  <c r="HR1" i="46"/>
  <c r="VE1" i="46"/>
  <c r="AGX1" i="46"/>
  <c r="AAD1" i="46"/>
  <c r="YB1" i="46"/>
  <c r="KR1" i="46"/>
  <c r="YW1" i="46"/>
  <c r="AKN1" i="46"/>
  <c r="ADV1" i="46"/>
  <c r="MH1" i="46"/>
  <c r="AGE1" i="46"/>
  <c r="SH1" i="46"/>
  <c r="AHZ1" i="46"/>
  <c r="PM1" i="46"/>
  <c r="AEL1" i="46"/>
  <c r="AM1" i="46"/>
  <c r="GD1" i="46"/>
  <c r="OL1" i="46"/>
  <c r="VW1" i="46"/>
  <c r="ZP1" i="46"/>
  <c r="XY1" i="46"/>
  <c r="QU1" i="46"/>
  <c r="ADI1" i="46"/>
  <c r="JM1" i="46"/>
  <c r="JB1" i="46"/>
  <c r="US1" i="46"/>
  <c r="JG1" i="46"/>
  <c r="AIC1" i="46"/>
  <c r="VU1" i="46"/>
  <c r="AAQ1" i="46"/>
  <c r="ZB1" i="46"/>
  <c r="OD1" i="46"/>
  <c r="ST1" i="46"/>
  <c r="AGW1" i="46"/>
  <c r="AFX1" i="46"/>
  <c r="VP1" i="46"/>
  <c r="SB1" i="46"/>
  <c r="AKQ1" i="46"/>
  <c r="RG1" i="46"/>
  <c r="HX1" i="46"/>
  <c r="ACP1" i="46"/>
  <c r="AGR1" i="46"/>
  <c r="AAT1" i="46"/>
  <c r="WR1" i="46"/>
  <c r="AGD1" i="46"/>
  <c r="VI1" i="46"/>
  <c r="GG1" i="46"/>
  <c r="FP1" i="46"/>
  <c r="PP1" i="46"/>
  <c r="GB1" i="46"/>
  <c r="MP1" i="46"/>
  <c r="EZ1" i="46"/>
  <c r="EQ1" i="46"/>
  <c r="HU1" i="46"/>
  <c r="DM1" i="46"/>
  <c r="BE1" i="46"/>
  <c r="GQ1" i="46"/>
  <c r="CI1" i="46"/>
  <c r="DA1" i="46"/>
  <c r="XT1" i="46"/>
  <c r="FO1" i="46"/>
  <c r="TN1" i="46"/>
  <c r="RK1" i="46"/>
  <c r="JE1" i="46"/>
  <c r="QH1" i="46"/>
  <c r="DS1" i="46"/>
  <c r="AIA1" i="46"/>
  <c r="AEK1" i="46"/>
  <c r="NE1" i="46"/>
  <c r="AFI1" i="46"/>
  <c r="ADH1" i="46"/>
  <c r="UV1" i="46"/>
  <c r="RR1" i="46"/>
  <c r="XS1" i="46"/>
  <c r="TX1" i="46"/>
  <c r="EP1" i="46"/>
  <c r="AIW1" i="46"/>
  <c r="VZ1" i="46"/>
  <c r="AGP1" i="46"/>
  <c r="ACI1" i="46"/>
  <c r="AJO1" i="46"/>
  <c r="AJX1" i="46"/>
  <c r="TG1" i="46"/>
  <c r="FI1" i="46"/>
  <c r="MG1" i="46"/>
  <c r="ACB1" i="46"/>
  <c r="AJF1" i="46"/>
  <c r="AJY1" i="46"/>
  <c r="XL1" i="46"/>
  <c r="VF1" i="46"/>
  <c r="MT1" i="46"/>
  <c r="ABJ1" i="46"/>
  <c r="AAL1" i="46"/>
  <c r="AAZ1" i="46"/>
  <c r="ABO1" i="46"/>
  <c r="AFK1" i="46"/>
  <c r="ADP1" i="46"/>
  <c r="HD1" i="46"/>
  <c r="WI1" i="46"/>
  <c r="ABM1" i="46"/>
  <c r="WB1" i="46"/>
  <c r="OG1" i="46"/>
  <c r="KL1" i="46"/>
  <c r="IU1" i="46"/>
  <c r="SR1" i="46"/>
  <c r="WE1" i="46"/>
  <c r="AAR1" i="46"/>
  <c r="RZ1" i="46"/>
  <c r="ADN1" i="46"/>
  <c r="YT1" i="46"/>
  <c r="QY1" i="46"/>
  <c r="AIR1" i="46"/>
  <c r="SW1" i="46"/>
  <c r="XO1" i="46"/>
  <c r="XK1" i="46"/>
  <c r="AEQ1" i="46"/>
  <c r="AIE1" i="46"/>
  <c r="XG1" i="46"/>
  <c r="AEB1" i="46"/>
  <c r="WG1" i="46"/>
  <c r="AAY1" i="46"/>
  <c r="ZZ1" i="46"/>
  <c r="AET1" i="46"/>
  <c r="XB1" i="46"/>
  <c r="ABI1" i="46"/>
  <c r="ABZ1" i="46"/>
  <c r="MM1" i="46"/>
  <c r="AJT1" i="46"/>
  <c r="SI1" i="46"/>
  <c r="SM1" i="46"/>
  <c r="TK1" i="46"/>
  <c r="AEF1" i="46"/>
  <c r="NX1" i="46"/>
  <c r="NW1" i="46"/>
  <c r="AFD1" i="46"/>
  <c r="ACJ1" i="46"/>
  <c r="WJ1" i="46"/>
  <c r="AHP1" i="46"/>
  <c r="AFZ1" i="46"/>
  <c r="UO1" i="46"/>
  <c r="AEZ1" i="46"/>
  <c r="ADB1" i="46"/>
  <c r="AAV1" i="46"/>
  <c r="AFE1" i="46"/>
  <c r="NI1" i="46"/>
  <c r="GT1" i="46"/>
  <c r="WN1" i="46"/>
  <c r="ABA1" i="46"/>
  <c r="AEP1" i="46"/>
  <c r="UX1" i="46"/>
  <c r="ADX1" i="46"/>
  <c r="XJ1" i="46"/>
  <c r="AIV1" i="46"/>
  <c r="UI1" i="46"/>
  <c r="IH1" i="46"/>
  <c r="AFF1" i="46"/>
  <c r="PY1" i="46"/>
  <c r="FX1" i="46"/>
  <c r="OF1" i="46"/>
  <c r="QB1" i="46"/>
  <c r="JP1" i="46"/>
  <c r="IC1" i="46"/>
  <c r="EN1" i="46"/>
  <c r="FR1" i="46"/>
  <c r="IX1" i="46"/>
  <c r="CU1" i="46"/>
  <c r="PD1" i="46"/>
  <c r="EW1" i="46"/>
  <c r="PF1" i="46"/>
  <c r="IV1" i="46"/>
  <c r="ABR1" i="46"/>
  <c r="YI1" i="46"/>
  <c r="LN1" i="46"/>
  <c r="YY1" i="46"/>
  <c r="ABW1" i="46"/>
  <c r="NR1" i="46"/>
  <c r="NC1" i="46"/>
  <c r="AGH1" i="46"/>
  <c r="UA1" i="46"/>
  <c r="VL1" i="46"/>
  <c r="VJ1" i="46"/>
  <c r="AKF1" i="46"/>
  <c r="OJ1" i="46"/>
  <c r="TJ1" i="46"/>
  <c r="YN1" i="46"/>
  <c r="AJM1" i="46"/>
  <c r="AIL1" i="46"/>
  <c r="AFC1" i="46"/>
  <c r="ACG1" i="46"/>
  <c r="SK1" i="46"/>
  <c r="OI1" i="46"/>
  <c r="TT1" i="46"/>
  <c r="AEH1" i="46"/>
  <c r="ACF1" i="46"/>
  <c r="XE1" i="46"/>
  <c r="ZA1" i="46"/>
  <c r="AIG1" i="46"/>
  <c r="XQ1" i="46"/>
  <c r="AKG1" i="46"/>
  <c r="BP1" i="46"/>
  <c r="HZ1" i="46"/>
  <c r="MD1" i="46"/>
  <c r="BJ1" i="46"/>
  <c r="CC1" i="46"/>
  <c r="LR1" i="46"/>
  <c r="BQ1" i="46"/>
  <c r="BV1" i="46"/>
  <c r="GJ1" i="46"/>
  <c r="EE1" i="46"/>
  <c r="AAP1" i="46"/>
  <c r="DY1" i="46"/>
  <c r="AFQ1" i="46"/>
  <c r="PZ1" i="46"/>
  <c r="NJ1" i="46"/>
  <c r="SP1" i="46"/>
  <c r="AAW1" i="46"/>
  <c r="VB1" i="46"/>
  <c r="KX1" i="46"/>
  <c r="OH1" i="46"/>
  <c r="AY1" i="46"/>
  <c r="GV1" i="46"/>
  <c r="AIO1" i="46"/>
  <c r="OS1" i="46"/>
  <c r="JZ1" i="46"/>
  <c r="AJH1" i="46"/>
  <c r="ZX1" i="46"/>
  <c r="AIQ1" i="46"/>
  <c r="ACY1" i="46"/>
  <c r="KV1" i="46"/>
  <c r="ACC1" i="46"/>
  <c r="UP1" i="46"/>
  <c r="LP1" i="46"/>
  <c r="AEV1" i="46"/>
  <c r="AEO1" i="46"/>
  <c r="UG1" i="46"/>
  <c r="LV1" i="46"/>
  <c r="EJ1" i="46"/>
  <c r="PK1" i="46"/>
  <c r="YQ1" i="46"/>
  <c r="TY1" i="46"/>
  <c r="SC1" i="46"/>
  <c r="UL1" i="46"/>
  <c r="AES1" i="46"/>
  <c r="ER1" i="46"/>
  <c r="AJU1" i="46"/>
  <c r="SS1" i="46"/>
  <c r="HF1" i="46"/>
  <c r="QP1" i="46"/>
  <c r="AGY1" i="46"/>
  <c r="AHY1" i="46"/>
  <c r="UF1" i="46"/>
  <c r="TQ1" i="46"/>
  <c r="NM1" i="46"/>
  <c r="KN1" i="46"/>
  <c r="DL1" i="46"/>
  <c r="CB1" i="46"/>
  <c r="CH1" i="46"/>
  <c r="JJ1" i="46"/>
  <c r="LM1" i="46"/>
  <c r="QT1" i="46"/>
  <c r="GP1" i="46"/>
  <c r="KH1" i="46"/>
  <c r="HT1" i="46"/>
  <c r="AS1" i="46"/>
  <c r="SJ1" i="46"/>
  <c r="FU1" i="46"/>
  <c r="ZW1" i="46"/>
  <c r="YA1" i="46"/>
  <c r="EL1" i="46"/>
  <c r="IY1" i="46"/>
  <c r="AJC1" i="46"/>
  <c r="RJ1" i="46"/>
  <c r="AHM1" i="46"/>
  <c r="JN1" i="46"/>
  <c r="IF1" i="46"/>
  <c r="FH1" i="46"/>
  <c r="PE1" i="46"/>
  <c r="ADR1" i="46"/>
  <c r="DX1" i="46"/>
  <c r="IG1" i="46"/>
  <c r="DG1" i="46"/>
  <c r="KT1" i="46"/>
  <c r="ACX1" i="46"/>
  <c r="XF1" i="46"/>
  <c r="JR1" i="46"/>
  <c r="AJA1" i="46"/>
  <c r="FV1" i="46"/>
  <c r="AFM1" i="46"/>
  <c r="AGZ1" i="46"/>
  <c r="LA1" i="46"/>
  <c r="TI1" i="46"/>
  <c r="TB1" i="46"/>
  <c r="XA1" i="46"/>
  <c r="AKA1" i="46"/>
  <c r="OV1" i="46"/>
  <c r="ZQ1" i="46"/>
  <c r="VS1" i="46"/>
  <c r="AKE1" i="46"/>
  <c r="SY1" i="46"/>
  <c r="XN1" i="46"/>
  <c r="DF1" i="46"/>
  <c r="FS1" i="46"/>
  <c r="QZ1" i="46"/>
  <c r="QF1" i="46"/>
  <c r="AJZ1" i="46"/>
  <c r="XM1" i="46"/>
  <c r="ZF1" i="46"/>
  <c r="CO1" i="46"/>
  <c r="OR1" i="46"/>
  <c r="RQ1" i="46"/>
  <c r="PA1" i="46"/>
  <c r="JD1" i="46"/>
  <c r="JA1" i="46"/>
  <c r="VA1" i="46"/>
  <c r="WC1" i="46"/>
  <c r="VG1" i="46"/>
  <c r="AEJ1" i="46"/>
  <c r="IT1" i="46"/>
  <c r="AKC1" i="46"/>
  <c r="AHB1" i="46"/>
  <c r="AKP1" i="46"/>
  <c r="WY1" i="46"/>
  <c r="CM1" i="46"/>
  <c r="HI1" i="46"/>
  <c r="JQ1" i="46"/>
  <c r="IA1" i="46"/>
  <c r="BK1" i="46"/>
  <c r="AAH1" i="46"/>
  <c r="II1" i="46"/>
  <c r="LJ1" i="46"/>
  <c r="AIZ1" i="46"/>
  <c r="UU1" i="46"/>
  <c r="AJN1" i="46"/>
  <c r="AAA1" i="46"/>
  <c r="IS1" i="46"/>
  <c r="MK1" i="46"/>
  <c r="GW1" i="46"/>
  <c r="BW1" i="46"/>
  <c r="CT1" i="46"/>
  <c r="KC1" i="46"/>
  <c r="NV1" i="46"/>
  <c r="AJJ1" i="46"/>
  <c r="YX1" i="46"/>
  <c r="AAU1" i="46"/>
  <c r="MX1" i="46"/>
  <c r="TZ1" i="46"/>
  <c r="TU1" i="46"/>
  <c r="AJI1" i="46"/>
  <c r="YZ1" i="46"/>
  <c r="AHT1" i="46"/>
  <c r="AAM1" i="46"/>
  <c r="WH1" i="46"/>
  <c r="AEE1" i="46"/>
  <c r="WX1" i="46"/>
  <c r="AHE1" i="46"/>
  <c r="YF1" i="46"/>
  <c r="AEC1" i="46"/>
  <c r="AEM1" i="46"/>
  <c r="IM1" i="46"/>
  <c r="IR1" i="46"/>
  <c r="EC1" i="46"/>
  <c r="FM1" i="46"/>
  <c r="JW1" i="46"/>
  <c r="KU1" i="46"/>
  <c r="PQ1" i="46"/>
  <c r="YG1" i="46"/>
  <c r="AGM1" i="46"/>
  <c r="RU1" i="46"/>
  <c r="AR1" i="46"/>
  <c r="AKL1" i="46"/>
  <c r="AKS1" i="46"/>
  <c r="TL1" i="46"/>
  <c r="ADJ1" i="46"/>
  <c r="QG1" i="46"/>
  <c r="SD1" i="46"/>
  <c r="XI1" i="46"/>
  <c r="ZS1" i="46"/>
  <c r="ET1" i="46"/>
  <c r="AFV1" i="46"/>
  <c r="RN1" i="46"/>
  <c r="OZ1" i="46"/>
  <c r="YV1" i="46"/>
  <c r="MQ1" i="46"/>
  <c r="CJ1" i="46"/>
  <c r="DN1" i="46"/>
  <c r="HO1" i="46"/>
  <c r="GE1" i="46"/>
  <c r="ED1" i="46"/>
  <c r="UK1" i="46"/>
  <c r="ABY1" i="46"/>
  <c r="AKK1" i="46"/>
  <c r="AKB1" i="46"/>
  <c r="FY1" i="46"/>
  <c r="FG1" i="46"/>
  <c r="FZ1" i="46"/>
  <c r="PW1" i="46"/>
  <c r="XP1" i="46"/>
  <c r="CF1" i="46"/>
  <c r="HE1" i="46"/>
  <c r="AHN1" i="46"/>
  <c r="AGS1" i="46"/>
  <c r="LY1" i="46"/>
  <c r="EU1" i="46"/>
  <c r="HJ1" i="46"/>
  <c r="AGN1" i="46"/>
  <c r="AGB1" i="46"/>
  <c r="GN1" i="46"/>
  <c r="AFH1" i="46"/>
  <c r="GM1" i="46"/>
  <c r="AFP1" i="46"/>
  <c r="JF1" i="46"/>
  <c r="MJ1" i="46"/>
  <c r="KO1" i="46"/>
  <c r="ME1" i="46"/>
  <c r="SX1" i="46"/>
  <c r="SV1" i="46"/>
  <c r="VY1" i="46"/>
  <c r="UQ1" i="46"/>
  <c r="LS1" i="46"/>
  <c r="HC1" i="46"/>
  <c r="LG1" i="46"/>
  <c r="EI1" i="46"/>
  <c r="EO1" i="46"/>
  <c r="WS1" i="46"/>
  <c r="OX1" i="46"/>
  <c r="ACL1" i="46"/>
  <c r="ACK1" i="46"/>
  <c r="GK1" i="46"/>
  <c r="GA1" i="46"/>
  <c r="RE1" i="46"/>
  <c r="UW1" i="46"/>
  <c r="AHC1" i="46"/>
  <c r="UN1" i="46"/>
  <c r="ABQ1" i="46"/>
  <c r="WU1" i="46"/>
  <c r="FA1" i="46"/>
  <c r="PJ1" i="46"/>
  <c r="FD1" i="46"/>
  <c r="KI1" i="46"/>
  <c r="AW1" i="46"/>
  <c r="BC1" i="46"/>
  <c r="DK1" i="46"/>
  <c r="CX1" i="46"/>
  <c r="BI1" i="46"/>
  <c r="BN1" i="46"/>
  <c r="CL1" i="46"/>
  <c r="DJ1" i="46"/>
  <c r="BT1" i="46"/>
  <c r="AT1" i="46"/>
  <c r="AK1" i="46"/>
  <c r="DD1" i="46"/>
  <c r="CY1" i="46"/>
  <c r="BF1" i="46"/>
  <c r="AQ1" i="46"/>
  <c r="BL1" i="46"/>
  <c r="AP1" i="46"/>
  <c r="BZ1" i="46"/>
  <c r="BH1" i="46"/>
  <c r="DV1" i="46"/>
  <c r="BU1" i="46"/>
  <c r="CA1" i="46"/>
  <c r="DQ1" i="46"/>
  <c r="AN1" i="46"/>
  <c r="CS1" i="46"/>
  <c r="DP1" i="46"/>
  <c r="BB1" i="46"/>
  <c r="CR1" i="46"/>
  <c r="AV1" i="46"/>
  <c r="CD1" i="46"/>
  <c r="BX1" i="46"/>
  <c r="BO1" i="46"/>
  <c r="DE1" i="46"/>
  <c r="DH1" i="46"/>
  <c r="BR1" i="46"/>
  <c r="DB1" i="46"/>
  <c r="CV1" i="46"/>
  <c r="CP1" i="46"/>
  <c r="DT1" i="46"/>
  <c r="DW1" i="46"/>
  <c r="AZ1" i="46"/>
  <c r="CG1" i="46"/>
  <c r="C287" i="80"/>
  <c r="HA1" i="46"/>
  <c r="JO1" i="46"/>
  <c r="MC1" i="46"/>
  <c r="IE1" i="46"/>
  <c r="IK1" i="46"/>
  <c r="LE1" i="46"/>
  <c r="KY1" i="46"/>
  <c r="KA1" i="46"/>
  <c r="FQ1" i="46"/>
  <c r="FE1" i="46"/>
  <c r="ES1" i="46"/>
  <c r="MU1" i="46"/>
  <c r="BS1" i="46"/>
  <c r="MI1" i="46"/>
  <c r="HM1" i="46"/>
  <c r="KG1" i="46"/>
  <c r="C267" i="80"/>
  <c r="P18" i="82"/>
  <c r="EM1" i="46"/>
  <c r="BG1" i="46"/>
  <c r="EA1" i="46"/>
  <c r="AO1" i="46"/>
  <c r="EG1" i="46"/>
  <c r="JU1" i="46"/>
  <c r="NA1" i="46"/>
  <c r="AU1" i="46"/>
  <c r="IQ1" i="46"/>
  <c r="MO1" i="46"/>
  <c r="EY1" i="46"/>
  <c r="LQ1" i="46"/>
  <c r="JC1" i="46"/>
  <c r="GO1" i="46"/>
  <c r="BM1" i="46"/>
  <c r="HS1" i="46"/>
  <c r="KM1" i="46"/>
  <c r="FK1" i="46"/>
  <c r="CK1" i="46"/>
  <c r="LW1" i="46"/>
  <c r="NG1" i="46"/>
  <c r="IW1" i="46"/>
  <c r="CQ1" i="46"/>
  <c r="CE1" i="46"/>
  <c r="HY1" i="46"/>
  <c r="GC1" i="46"/>
  <c r="BA1" i="46"/>
  <c r="DO1" i="46"/>
  <c r="DC1" i="46"/>
  <c r="JI1" i="46"/>
  <c r="CW1" i="46"/>
  <c r="DI1" i="46"/>
  <c r="HG1" i="46"/>
  <c r="FW1" i="46"/>
  <c r="GU1" i="46"/>
  <c r="BY1" i="46"/>
  <c r="DU1" i="46"/>
  <c r="GI1" i="46"/>
  <c r="R27" i="46"/>
  <c r="S18" i="46" s="1"/>
  <c r="AC7" i="46"/>
  <c r="I18" i="82"/>
  <c r="C19" i="82"/>
  <c r="P19" i="82" s="1"/>
  <c r="F19" i="82"/>
  <c r="R28" i="92"/>
  <c r="R25" i="92"/>
  <c r="R34" i="92"/>
  <c r="R20" i="92"/>
  <c r="R27" i="92"/>
  <c r="R36" i="92"/>
  <c r="R29" i="92"/>
  <c r="R24" i="92"/>
  <c r="R31" i="92"/>
  <c r="R22" i="92"/>
  <c r="R33" i="92"/>
  <c r="R35" i="92"/>
  <c r="R17" i="92"/>
  <c r="R23" i="92"/>
  <c r="R26" i="92"/>
  <c r="R21" i="92"/>
  <c r="R18" i="92"/>
  <c r="R32" i="92"/>
  <c r="R30" i="92"/>
  <c r="T66" i="46"/>
  <c r="O31" i="90" s="1"/>
  <c r="C95" i="80"/>
  <c r="C185" i="80"/>
  <c r="C23" i="80"/>
  <c r="C41" i="80"/>
  <c r="C36" i="80"/>
  <c r="C96" i="80"/>
  <c r="C36" i="78"/>
  <c r="C33" i="78"/>
  <c r="C30" i="78"/>
  <c r="C35" i="78"/>
  <c r="C32" i="78"/>
  <c r="C37" i="78"/>
  <c r="C31" i="78"/>
  <c r="C34" i="78"/>
  <c r="C29" i="78"/>
  <c r="C28" i="78"/>
  <c r="B21" i="82"/>
  <c r="G20" i="82"/>
  <c r="E20" i="82"/>
  <c r="H19" i="82"/>
  <c r="A47" i="46"/>
  <c r="K46" i="46"/>
  <c r="E46" i="46"/>
  <c r="P583" i="124" l="1"/>
  <c r="Q583" i="124" s="1"/>
  <c r="M42" i="126"/>
  <c r="M43" i="126"/>
  <c r="P383" i="124"/>
  <c r="Q383" i="124" s="1"/>
  <c r="P532" i="124"/>
  <c r="Q532" i="124" s="1"/>
  <c r="P306" i="124"/>
  <c r="Q306" i="124" s="1"/>
  <c r="P550" i="124"/>
  <c r="Q550" i="124" s="1"/>
  <c r="P430" i="124"/>
  <c r="Q430" i="124" s="1"/>
  <c r="P247" i="124"/>
  <c r="Y247" i="124" s="1"/>
  <c r="AB247" i="124" s="1"/>
  <c r="P385" i="124"/>
  <c r="Q385" i="124" s="1"/>
  <c r="P473" i="124"/>
  <c r="Q473" i="124" s="1"/>
  <c r="P456" i="124"/>
  <c r="Q456" i="124" s="1"/>
  <c r="P421" i="124"/>
  <c r="Q421" i="124" s="1"/>
  <c r="P172" i="124"/>
  <c r="Q172" i="124" s="1"/>
  <c r="P552" i="124"/>
  <c r="Q552" i="124" s="1"/>
  <c r="P102" i="124"/>
  <c r="Q102" i="124" s="1"/>
  <c r="P343" i="124"/>
  <c r="Q343" i="124" s="1"/>
  <c r="P374" i="124"/>
  <c r="Q374" i="124" s="1"/>
  <c r="P112" i="124"/>
  <c r="Q112" i="124" s="1"/>
  <c r="P531" i="124"/>
  <c r="Q531" i="124" s="1"/>
  <c r="P92" i="124"/>
  <c r="Q92" i="124" s="1"/>
  <c r="P554" i="124"/>
  <c r="Q554" i="124" s="1"/>
  <c r="P153" i="124"/>
  <c r="Q153" i="124" s="1"/>
  <c r="P268" i="124"/>
  <c r="Y268" i="124" s="1"/>
  <c r="AB268" i="124" s="1"/>
  <c r="AC268" i="124" s="1"/>
  <c r="P297" i="124"/>
  <c r="Q297" i="124" s="1"/>
  <c r="P275" i="124"/>
  <c r="Q275" i="124" s="1"/>
  <c r="P240" i="124"/>
  <c r="Y240" i="124" s="1"/>
  <c r="AB240" i="124" s="1"/>
  <c r="P91" i="124"/>
  <c r="Q91" i="124" s="1"/>
  <c r="P388" i="124"/>
  <c r="Q388" i="124" s="1"/>
  <c r="P235" i="124"/>
  <c r="Q235" i="124" s="1"/>
  <c r="P490" i="124"/>
  <c r="Q490" i="124" s="1"/>
  <c r="P289" i="124"/>
  <c r="Q289" i="124" s="1"/>
  <c r="Z289" i="124" s="1"/>
  <c r="P523" i="124"/>
  <c r="Q523" i="124" s="1"/>
  <c r="P197" i="124"/>
  <c r="Q197" i="124" s="1"/>
  <c r="P429" i="124"/>
  <c r="Q429" i="124" s="1"/>
  <c r="P103" i="124"/>
  <c r="Q103" i="124" s="1"/>
  <c r="P288" i="124"/>
  <c r="Q288" i="124" s="1"/>
  <c r="S288" i="124" s="1"/>
  <c r="P386" i="124"/>
  <c r="Q386" i="124" s="1"/>
  <c r="P394" i="124"/>
  <c r="Q394" i="124" s="1"/>
  <c r="P373" i="124"/>
  <c r="Q373" i="124" s="1"/>
  <c r="P122" i="124"/>
  <c r="Q122" i="124" s="1"/>
  <c r="P293" i="124"/>
  <c r="Q293" i="124" s="1"/>
  <c r="P450" i="124"/>
  <c r="Q450" i="124" s="1"/>
  <c r="P141" i="124"/>
  <c r="Q141" i="124" s="1"/>
  <c r="P322" i="124"/>
  <c r="Q322" i="124" s="1"/>
  <c r="P135" i="124"/>
  <c r="Q135" i="124" s="1"/>
  <c r="P355" i="124"/>
  <c r="Q355" i="124" s="1"/>
  <c r="P468" i="124"/>
  <c r="Q468" i="124" s="1"/>
  <c r="P47" i="124"/>
  <c r="Q47" i="124" s="1"/>
  <c r="Z47" i="124" s="1"/>
  <c r="P469" i="124"/>
  <c r="Q469" i="124" s="1"/>
  <c r="P173" i="124"/>
  <c r="Q173" i="124" s="1"/>
  <c r="P244" i="124"/>
  <c r="Q244" i="124" s="1"/>
  <c r="S244" i="124" s="1"/>
  <c r="P559" i="124"/>
  <c r="Q559" i="124" s="1"/>
  <c r="P203" i="124"/>
  <c r="Q203" i="124" s="1"/>
  <c r="P470" i="124"/>
  <c r="Q470" i="124" s="1"/>
  <c r="P379" i="124"/>
  <c r="Q379" i="124" s="1"/>
  <c r="P148" i="124"/>
  <c r="Q148" i="124" s="1"/>
  <c r="P236" i="124"/>
  <c r="Q236" i="124" s="1"/>
  <c r="P106" i="124"/>
  <c r="Q106" i="124" s="1"/>
  <c r="P278" i="124"/>
  <c r="Q278" i="124" s="1"/>
  <c r="P82" i="124"/>
  <c r="Q82" i="124" s="1"/>
  <c r="P193" i="124"/>
  <c r="Y193" i="124" s="1"/>
  <c r="AB193" i="124" s="1"/>
  <c r="P52" i="124"/>
  <c r="Q52" i="124" s="1"/>
  <c r="P56" i="124"/>
  <c r="Y56" i="124" s="1"/>
  <c r="AB56" i="124" s="1"/>
  <c r="P535" i="124"/>
  <c r="Q535" i="124" s="1"/>
  <c r="P105" i="124"/>
  <c r="Q105" i="124" s="1"/>
  <c r="P399" i="124"/>
  <c r="Q399" i="124" s="1"/>
  <c r="P45" i="124"/>
  <c r="Q45" i="124" s="1"/>
  <c r="P304" i="124"/>
  <c r="Q304" i="124" s="1"/>
  <c r="P336" i="124"/>
  <c r="Q336" i="124" s="1"/>
  <c r="P48" i="124"/>
  <c r="Q48" i="124" s="1"/>
  <c r="P23" i="124"/>
  <c r="Q23" i="124" s="1"/>
  <c r="S23" i="124" s="1"/>
  <c r="P571" i="124"/>
  <c r="Q571" i="124" s="1"/>
  <c r="P495" i="124"/>
  <c r="Q495" i="124" s="1"/>
  <c r="P406" i="124"/>
  <c r="Q406" i="124" s="1"/>
  <c r="P38" i="124"/>
  <c r="Q38" i="124" s="1"/>
  <c r="P465" i="124"/>
  <c r="Q465" i="124" s="1"/>
  <c r="P12" i="124"/>
  <c r="Q12" i="124" s="1"/>
  <c r="P541" i="124"/>
  <c r="Q541" i="124" s="1"/>
  <c r="P476" i="124"/>
  <c r="Q476" i="124" s="1"/>
  <c r="P285" i="124"/>
  <c r="Q285" i="124" s="1"/>
  <c r="S285" i="124" s="1"/>
  <c r="P462" i="124"/>
  <c r="Q462" i="124" s="1"/>
  <c r="P184" i="124"/>
  <c r="Q184" i="124" s="1"/>
  <c r="P201" i="124"/>
  <c r="Q201" i="124" s="1"/>
  <c r="P238" i="124"/>
  <c r="Q238" i="124" s="1"/>
  <c r="S238" i="124" s="1"/>
  <c r="P18" i="124"/>
  <c r="Q18" i="124" s="1"/>
  <c r="P165" i="124"/>
  <c r="Q165" i="124" s="1"/>
  <c r="P123" i="124"/>
  <c r="Q123" i="124" s="1"/>
  <c r="P475" i="124"/>
  <c r="Q475" i="124" s="1"/>
  <c r="P572" i="124"/>
  <c r="Q572" i="124" s="1"/>
  <c r="P581" i="124"/>
  <c r="Q581" i="124" s="1"/>
  <c r="P529" i="124"/>
  <c r="Q529" i="124" s="1"/>
  <c r="P545" i="124"/>
  <c r="Q545" i="124" s="1"/>
  <c r="P360" i="124"/>
  <c r="Q360" i="124" s="1"/>
  <c r="P40" i="124"/>
  <c r="Q40" i="124" s="1"/>
  <c r="P357" i="124"/>
  <c r="Q357" i="124" s="1"/>
  <c r="P352" i="124"/>
  <c r="Q352" i="124" s="1"/>
  <c r="P46" i="124"/>
  <c r="Q46" i="124" s="1"/>
  <c r="P158" i="124"/>
  <c r="Q158" i="124" s="1"/>
  <c r="P7" i="124"/>
  <c r="Q7" i="124" s="1"/>
  <c r="P73" i="124"/>
  <c r="Q73" i="124" s="1"/>
  <c r="P517" i="124"/>
  <c r="Q517" i="124" s="1"/>
  <c r="P520" i="124"/>
  <c r="Q520" i="124" s="1"/>
  <c r="P270" i="124"/>
  <c r="Y270" i="124" s="1"/>
  <c r="AB270" i="124" s="1"/>
  <c r="P485" i="124"/>
  <c r="Q485" i="124" s="1"/>
  <c r="P505" i="124"/>
  <c r="Q505" i="124" s="1"/>
  <c r="P536" i="124"/>
  <c r="Q536" i="124" s="1"/>
  <c r="P51" i="124"/>
  <c r="R51" i="124" s="1"/>
  <c r="P3" i="124"/>
  <c r="Q3" i="124" s="1"/>
  <c r="P116" i="124"/>
  <c r="Q116" i="124" s="1"/>
  <c r="P412" i="124"/>
  <c r="Q412" i="124" s="1"/>
  <c r="P588" i="124"/>
  <c r="Q588" i="124" s="1"/>
  <c r="P565" i="124"/>
  <c r="Q565" i="124" s="1"/>
  <c r="P325" i="124"/>
  <c r="Q325" i="124" s="1"/>
  <c r="P216" i="124"/>
  <c r="Q216" i="124" s="1"/>
  <c r="P254" i="124"/>
  <c r="Q254" i="124" s="1"/>
  <c r="S254" i="124" s="1"/>
  <c r="P189" i="124"/>
  <c r="Q189" i="124" s="1"/>
  <c r="P228" i="124"/>
  <c r="Q228" i="124" s="1"/>
  <c r="S228" i="124" s="1"/>
  <c r="P183" i="124"/>
  <c r="Q183" i="124" s="1"/>
  <c r="P120" i="124"/>
  <c r="Q120" i="124" s="1"/>
  <c r="P77" i="124"/>
  <c r="Q77" i="124" s="1"/>
  <c r="P415" i="124"/>
  <c r="Q415" i="124" s="1"/>
  <c r="P566" i="124"/>
  <c r="Q566" i="124" s="1"/>
  <c r="P445" i="124"/>
  <c r="Q445" i="124" s="1"/>
  <c r="P538" i="124"/>
  <c r="Q538" i="124" s="1"/>
  <c r="P214" i="124"/>
  <c r="Q214" i="124" s="1"/>
  <c r="S214" i="124" s="1"/>
  <c r="P199" i="124"/>
  <c r="Y199" i="124" s="1"/>
  <c r="AB199" i="124" s="1"/>
  <c r="P34" i="124"/>
  <c r="Q34" i="124" s="1"/>
  <c r="P186" i="124"/>
  <c r="Q186" i="124" s="1"/>
  <c r="P132" i="124"/>
  <c r="Q132" i="124" s="1"/>
  <c r="P64" i="124"/>
  <c r="Q64" i="124" s="1"/>
  <c r="P560" i="124"/>
  <c r="Q560" i="124" s="1"/>
  <c r="P526" i="124"/>
  <c r="Q526" i="124" s="1"/>
  <c r="P324" i="124"/>
  <c r="Q324" i="124" s="1"/>
  <c r="P323" i="124"/>
  <c r="Q323" i="124" s="1"/>
  <c r="P305" i="124"/>
  <c r="Q305" i="124" s="1"/>
  <c r="P582" i="124"/>
  <c r="Q582" i="124" s="1"/>
  <c r="P233" i="124"/>
  <c r="Q233" i="124" s="1"/>
  <c r="S233" i="124" s="1"/>
  <c r="P294" i="124"/>
  <c r="Q294" i="124" s="1"/>
  <c r="P143" i="124"/>
  <c r="Q143" i="124" s="1"/>
  <c r="P75" i="124"/>
  <c r="Q75" i="124" s="1"/>
  <c r="P364" i="124"/>
  <c r="Q364" i="124" s="1"/>
  <c r="P363" i="124"/>
  <c r="Q363" i="124" s="1"/>
  <c r="P448" i="124"/>
  <c r="Q448" i="124" s="1"/>
  <c r="P491" i="124"/>
  <c r="Q491" i="124" s="1"/>
  <c r="P198" i="124"/>
  <c r="Q198" i="124" s="1"/>
  <c r="S198" i="124" s="1"/>
  <c r="P251" i="124"/>
  <c r="Q251" i="124" s="1"/>
  <c r="Z251" i="124" s="1"/>
  <c r="P4" i="124"/>
  <c r="Q4" i="124" s="1"/>
  <c r="S4" i="124" s="1"/>
  <c r="P59" i="124"/>
  <c r="Q59" i="124" s="1"/>
  <c r="P138" i="124"/>
  <c r="Q138" i="124" s="1"/>
  <c r="P104" i="124"/>
  <c r="Q104" i="124" s="1"/>
  <c r="P390" i="124"/>
  <c r="Q390" i="124" s="1"/>
  <c r="P524" i="124"/>
  <c r="Q524" i="124" s="1"/>
  <c r="P555" i="124"/>
  <c r="Q555" i="124" s="1"/>
  <c r="P302" i="124"/>
  <c r="Q302" i="124" s="1"/>
  <c r="P501" i="124"/>
  <c r="Q501" i="124" s="1"/>
  <c r="P262" i="124"/>
  <c r="Y262" i="124" s="1"/>
  <c r="AB262" i="124" s="1"/>
  <c r="P21" i="124"/>
  <c r="Q21" i="124" s="1"/>
  <c r="P378" i="124"/>
  <c r="Q378" i="124" s="1"/>
  <c r="P188" i="124"/>
  <c r="Q188" i="124" s="1"/>
  <c r="P419" i="124"/>
  <c r="Q419" i="124" s="1"/>
  <c r="P36" i="124"/>
  <c r="Q36" i="124" s="1"/>
  <c r="P80" i="124"/>
  <c r="Q80" i="124" s="1"/>
  <c r="P14" i="124"/>
  <c r="Q14" i="124" s="1"/>
  <c r="P126" i="124"/>
  <c r="Q126" i="124" s="1"/>
  <c r="P562" i="124"/>
  <c r="Q562" i="124" s="1"/>
  <c r="P460" i="124"/>
  <c r="Q460" i="124" s="1"/>
  <c r="P512" i="124"/>
  <c r="Q512" i="124" s="1"/>
  <c r="P146" i="124"/>
  <c r="Q146" i="124" s="1"/>
  <c r="P111" i="124"/>
  <c r="Q111" i="124" s="1"/>
  <c r="P63" i="124"/>
  <c r="Q63" i="124" s="1"/>
  <c r="P477" i="124"/>
  <c r="Q477" i="124" s="1"/>
  <c r="P513" i="124"/>
  <c r="Q513" i="124" s="1"/>
  <c r="P458" i="124"/>
  <c r="Q458" i="124" s="1"/>
  <c r="P227" i="124"/>
  <c r="Q227" i="124" s="1"/>
  <c r="P321" i="124"/>
  <c r="Q321" i="124" s="1"/>
  <c r="P452" i="124"/>
  <c r="Q452" i="124" s="1"/>
  <c r="P522" i="124"/>
  <c r="Q522" i="124" s="1"/>
  <c r="P19" i="124"/>
  <c r="Q19" i="124" s="1"/>
  <c r="P258" i="124"/>
  <c r="Q258" i="124" s="1"/>
  <c r="Z258" i="124" s="1"/>
  <c r="P147" i="124"/>
  <c r="Q147" i="124" s="1"/>
  <c r="P94" i="124"/>
  <c r="Q94" i="124" s="1"/>
  <c r="P405" i="124"/>
  <c r="Q405" i="124" s="1"/>
  <c r="P351" i="124"/>
  <c r="Q351" i="124" s="1"/>
  <c r="P454" i="124"/>
  <c r="Q454" i="124" s="1"/>
  <c r="P407" i="124"/>
  <c r="Q407" i="124" s="1"/>
  <c r="P413" i="124"/>
  <c r="Q413" i="124" s="1"/>
  <c r="P31" i="124"/>
  <c r="Q31" i="124" s="1"/>
  <c r="P312" i="124"/>
  <c r="Q312" i="124" s="1"/>
  <c r="P313" i="124"/>
  <c r="Q313" i="124" s="1"/>
  <c r="P13" i="124"/>
  <c r="Q13" i="124" s="1"/>
  <c r="P101" i="124"/>
  <c r="Q101" i="124" s="1"/>
  <c r="P404" i="124"/>
  <c r="Q404" i="124" s="1"/>
  <c r="P471" i="124"/>
  <c r="Q471" i="124" s="1"/>
  <c r="P27" i="124"/>
  <c r="Q27" i="124" s="1"/>
  <c r="P446" i="124"/>
  <c r="Q446" i="124" s="1"/>
  <c r="P230" i="124"/>
  <c r="Q230" i="124" s="1"/>
  <c r="S230" i="124" s="1"/>
  <c r="P215" i="124"/>
  <c r="R215" i="124" s="1"/>
  <c r="P428" i="124"/>
  <c r="Q428" i="124" s="1"/>
  <c r="P37" i="124"/>
  <c r="Q37" i="124" s="1"/>
  <c r="P163" i="124"/>
  <c r="Q163" i="124" s="1"/>
  <c r="P121" i="124"/>
  <c r="Q121" i="124" s="1"/>
  <c r="P72" i="124"/>
  <c r="Q72" i="124" s="1"/>
  <c r="P511" i="124"/>
  <c r="Q511" i="124" s="1"/>
  <c r="P537" i="124"/>
  <c r="Q537" i="124" s="1"/>
  <c r="P447" i="124"/>
  <c r="Q447" i="124" s="1"/>
  <c r="P356" i="124"/>
  <c r="Q356" i="124" s="1"/>
  <c r="P534" i="124"/>
  <c r="Q534" i="124" s="1"/>
  <c r="P221" i="124"/>
  <c r="R221" i="124" s="1"/>
  <c r="P252" i="124"/>
  <c r="R252" i="124" s="1"/>
  <c r="P179" i="124"/>
  <c r="Q179" i="124" s="1"/>
  <c r="P129" i="124"/>
  <c r="Q129" i="124" s="1"/>
  <c r="P62" i="124"/>
  <c r="Q62" i="124" s="1"/>
  <c r="P574" i="124"/>
  <c r="Q574" i="124" s="1"/>
  <c r="P461" i="124"/>
  <c r="Q461" i="124" s="1"/>
  <c r="P497" i="124"/>
  <c r="Q497" i="124" s="1"/>
  <c r="P393" i="124"/>
  <c r="Q393" i="124" s="1"/>
  <c r="P219" i="124"/>
  <c r="Q219" i="124" s="1"/>
  <c r="S219" i="124" s="1"/>
  <c r="P249" i="124"/>
  <c r="Q249" i="124" s="1"/>
  <c r="P500" i="124"/>
  <c r="Q500" i="124" s="1"/>
  <c r="P185" i="124"/>
  <c r="Q185" i="124" s="1"/>
  <c r="P6" i="124"/>
  <c r="Q6" i="124" s="1"/>
  <c r="P65" i="124"/>
  <c r="Q65" i="124" s="1"/>
  <c r="P353" i="124"/>
  <c r="Q353" i="124" s="1"/>
  <c r="P432" i="124"/>
  <c r="Q432" i="124" s="1"/>
  <c r="P332" i="124"/>
  <c r="Q332" i="124" s="1"/>
  <c r="P301" i="124"/>
  <c r="Q301" i="124" s="1"/>
  <c r="P401" i="124"/>
  <c r="Q401" i="124" s="1"/>
  <c r="P277" i="124"/>
  <c r="Q277" i="124" s="1"/>
  <c r="S277" i="124" s="1"/>
  <c r="P377" i="124"/>
  <c r="Q377" i="124" s="1"/>
  <c r="P53" i="124"/>
  <c r="Q53" i="124" s="1"/>
  <c r="P137" i="124"/>
  <c r="Q137" i="124" s="1"/>
  <c r="P561" i="124"/>
  <c r="Q561" i="124" s="1"/>
  <c r="P494" i="124"/>
  <c r="Q494" i="124" s="1"/>
  <c r="P551" i="124"/>
  <c r="Q551" i="124" s="1"/>
  <c r="P464" i="124"/>
  <c r="Q464" i="124" s="1"/>
  <c r="P311" i="124"/>
  <c r="Q311" i="124" s="1"/>
  <c r="P255" i="124"/>
  <c r="Q255" i="124" s="1"/>
  <c r="P234" i="124"/>
  <c r="Q234" i="124" s="1"/>
  <c r="S234" i="124" s="1"/>
  <c r="P263" i="124"/>
  <c r="R263" i="124" s="1"/>
  <c r="P250" i="124"/>
  <c r="R250" i="124" s="1"/>
  <c r="P157" i="124"/>
  <c r="Q157" i="124" s="1"/>
  <c r="P530" i="124"/>
  <c r="Q530" i="124" s="1"/>
  <c r="P242" i="124"/>
  <c r="Q242" i="124" s="1"/>
  <c r="P326" i="124"/>
  <c r="Q326" i="124" s="1"/>
  <c r="P567" i="124"/>
  <c r="Q567" i="124" s="1"/>
  <c r="P166" i="124"/>
  <c r="Q166" i="124" s="1"/>
  <c r="P427" i="124"/>
  <c r="Q427" i="124" s="1"/>
  <c r="P307" i="124"/>
  <c r="Q307" i="124" s="1"/>
  <c r="P210" i="124"/>
  <c r="Q210" i="124" s="1"/>
  <c r="P282" i="124"/>
  <c r="Y282" i="124" s="1"/>
  <c r="AB282" i="124" s="1"/>
  <c r="P182" i="124"/>
  <c r="Q182" i="124" s="1"/>
  <c r="P131" i="124"/>
  <c r="Q131" i="124" s="1"/>
  <c r="P83" i="124"/>
  <c r="Q83" i="124" s="1"/>
  <c r="P85" i="124"/>
  <c r="Q85" i="124" s="1"/>
  <c r="P416" i="124"/>
  <c r="Q416" i="124" s="1"/>
  <c r="P503" i="124"/>
  <c r="Q503" i="124" s="1"/>
  <c r="P392" i="124"/>
  <c r="Q392" i="124" s="1"/>
  <c r="P271" i="124"/>
  <c r="Q271" i="124" s="1"/>
  <c r="P498" i="124"/>
  <c r="Q498" i="124" s="1"/>
  <c r="P229" i="124"/>
  <c r="Q229" i="124" s="1"/>
  <c r="S229" i="124" s="1"/>
  <c r="P256" i="124"/>
  <c r="Q256" i="124" s="1"/>
  <c r="P540" i="124"/>
  <c r="Q540" i="124" s="1"/>
  <c r="P60" i="124"/>
  <c r="Q60" i="124" s="1"/>
  <c r="P139" i="124"/>
  <c r="Q139" i="124" s="1"/>
  <c r="P89" i="124"/>
  <c r="Q89" i="124" s="1"/>
  <c r="P414" i="124"/>
  <c r="Q414" i="124" s="1"/>
  <c r="P24" i="124"/>
  <c r="Q24" i="124" s="1"/>
  <c r="P333" i="124"/>
  <c r="Q333" i="124" s="1"/>
  <c r="P320" i="124"/>
  <c r="Q320" i="124" s="1"/>
  <c r="P409" i="124"/>
  <c r="Q409" i="124" s="1"/>
  <c r="P200" i="124"/>
  <c r="Q200" i="124" s="1"/>
  <c r="S200" i="124" s="1"/>
  <c r="P314" i="124"/>
  <c r="Q314" i="124" s="1"/>
  <c r="P331" i="124"/>
  <c r="Q331" i="124" s="1"/>
  <c r="P133" i="124"/>
  <c r="Q133" i="124" s="1"/>
  <c r="P79" i="124"/>
  <c r="Q79" i="124" s="1"/>
  <c r="P66" i="124"/>
  <c r="Q66" i="124" s="1"/>
  <c r="P553" i="124"/>
  <c r="Q553" i="124" s="1"/>
  <c r="P435" i="124"/>
  <c r="Q435" i="124" s="1"/>
  <c r="P300" i="124"/>
  <c r="Q300" i="124" s="1"/>
  <c r="P279" i="124"/>
  <c r="R279" i="124" s="1"/>
  <c r="P237" i="124"/>
  <c r="R237" i="124" s="1"/>
  <c r="P299" i="124"/>
  <c r="Q299" i="124" s="1"/>
  <c r="P410" i="124"/>
  <c r="Q410" i="124" s="1"/>
  <c r="P152" i="124"/>
  <c r="Q152" i="124" s="1"/>
  <c r="P100" i="124"/>
  <c r="Q100" i="124" s="1"/>
  <c r="P389" i="124"/>
  <c r="Q389" i="124" s="1"/>
  <c r="P20" i="124"/>
  <c r="Q20" i="124" s="1"/>
  <c r="P25" i="124"/>
  <c r="Q25" i="124" s="1"/>
  <c r="P564" i="124"/>
  <c r="Q564" i="124" s="1"/>
  <c r="P243" i="124"/>
  <c r="Q243" i="124" s="1"/>
  <c r="P202" i="124"/>
  <c r="Q202" i="124" s="1"/>
  <c r="P9" i="124"/>
  <c r="Q9" i="124" s="1"/>
  <c r="Z9" i="124" s="1"/>
  <c r="P380" i="124"/>
  <c r="Q380" i="124" s="1"/>
  <c r="S380" i="124" s="1"/>
  <c r="P154" i="124"/>
  <c r="Q154" i="124" s="1"/>
  <c r="P109" i="124"/>
  <c r="Q109" i="124" s="1"/>
  <c r="P67" i="124"/>
  <c r="Q67" i="124" s="1"/>
  <c r="P384" i="124"/>
  <c r="Q384" i="124" s="1"/>
  <c r="P472" i="124"/>
  <c r="Q472" i="124" s="1"/>
  <c r="P337" i="124"/>
  <c r="Q337" i="124" s="1"/>
  <c r="P334" i="124"/>
  <c r="Q334" i="124" s="1"/>
  <c r="P213" i="124"/>
  <c r="Q213" i="124" s="1"/>
  <c r="S213" i="124" s="1"/>
  <c r="P192" i="124"/>
  <c r="Q192" i="124" s="1"/>
  <c r="P504" i="124"/>
  <c r="Q504" i="124" s="1"/>
  <c r="P168" i="124"/>
  <c r="Q168" i="124" s="1"/>
  <c r="P99" i="124"/>
  <c r="Q99" i="124" s="1"/>
  <c r="P484" i="124"/>
  <c r="Q484" i="124" s="1"/>
  <c r="P527" i="124"/>
  <c r="Q527" i="124" s="1"/>
  <c r="P455" i="124"/>
  <c r="Q455" i="124" s="1"/>
  <c r="P482" i="124"/>
  <c r="Q482" i="124" s="1"/>
  <c r="P506" i="124"/>
  <c r="Q506" i="124" s="1"/>
  <c r="P528" i="124"/>
  <c r="Q528" i="124" s="1"/>
  <c r="P246" i="124"/>
  <c r="Q246" i="124" s="1"/>
  <c r="Z246" i="124" s="1"/>
  <c r="AA246" i="124" s="1"/>
  <c r="P483" i="124"/>
  <c r="Q483" i="124" s="1"/>
  <c r="P164" i="124"/>
  <c r="Q164" i="124" s="1"/>
  <c r="P118" i="124"/>
  <c r="Q118" i="124" s="1"/>
  <c r="P507" i="124"/>
  <c r="Q507" i="124" s="1"/>
  <c r="P372" i="124"/>
  <c r="Q372" i="124" s="1"/>
  <c r="P568" i="124"/>
  <c r="Q568" i="124" s="1"/>
  <c r="P459" i="124"/>
  <c r="Q459" i="124" s="1"/>
  <c r="P370" i="124"/>
  <c r="Q370" i="124" s="1"/>
  <c r="P569" i="124"/>
  <c r="Q569" i="124" s="1"/>
  <c r="P226" i="124"/>
  <c r="R226" i="124" s="1"/>
  <c r="P22" i="124"/>
  <c r="R22" i="124" s="1"/>
  <c r="P563" i="124"/>
  <c r="Q563" i="124" s="1"/>
  <c r="P84" i="124"/>
  <c r="Q84" i="124" s="1"/>
  <c r="P29" i="124"/>
  <c r="Q29" i="124" s="1"/>
  <c r="P194" i="124"/>
  <c r="Q194" i="124" s="1"/>
  <c r="S194" i="124" s="1"/>
  <c r="P338" i="124"/>
  <c r="Q338" i="124" s="1"/>
  <c r="P266" i="124"/>
  <c r="R266" i="124" s="1"/>
  <c r="P298" i="124"/>
  <c r="Q298" i="124" s="1"/>
  <c r="P315" i="124"/>
  <c r="Q315" i="124" s="1"/>
  <c r="P344" i="124"/>
  <c r="Q344" i="124" s="1"/>
  <c r="P417" i="124"/>
  <c r="Q417" i="124" s="1"/>
  <c r="P174" i="124"/>
  <c r="Q174" i="124" s="1"/>
  <c r="P145" i="124"/>
  <c r="Q145" i="124" s="1"/>
  <c r="P69" i="124"/>
  <c r="Q69" i="124" s="1"/>
  <c r="P547" i="124"/>
  <c r="Q547" i="124" s="1"/>
  <c r="P395" i="124"/>
  <c r="Q395" i="124" s="1"/>
  <c r="P474" i="124"/>
  <c r="Q474" i="124" s="1"/>
  <c r="P347" i="124"/>
  <c r="Q347" i="124" s="1"/>
  <c r="P41" i="124"/>
  <c r="R41" i="124" s="1"/>
  <c r="P291" i="124"/>
  <c r="Q291" i="124" s="1"/>
  <c r="P403" i="124"/>
  <c r="Q403" i="124" s="1"/>
  <c r="P358" i="124"/>
  <c r="Q358" i="124" s="1"/>
  <c r="P217" i="124"/>
  <c r="Q217" i="124" s="1"/>
  <c r="S217" i="124" s="1"/>
  <c r="P171" i="124"/>
  <c r="Q171" i="124" s="1"/>
  <c r="P125" i="124"/>
  <c r="Q125" i="124" s="1"/>
  <c r="P548" i="124"/>
  <c r="Q548" i="124" s="1"/>
  <c r="P350" i="124"/>
  <c r="Q350" i="124" s="1"/>
  <c r="P54" i="124"/>
  <c r="Q54" i="124" s="1"/>
  <c r="P281" i="124"/>
  <c r="Q281" i="124" s="1"/>
  <c r="P316" i="124"/>
  <c r="Q316" i="124" s="1"/>
  <c r="P339" i="124"/>
  <c r="Q339" i="124" s="1"/>
  <c r="P296" i="124"/>
  <c r="Q296" i="124" s="1"/>
  <c r="P16" i="124"/>
  <c r="Q16" i="124" s="1"/>
  <c r="P177" i="124"/>
  <c r="Q177" i="124" s="1"/>
  <c r="P130" i="124"/>
  <c r="Q130" i="124" s="1"/>
  <c r="P87" i="124"/>
  <c r="Q87" i="124" s="1"/>
  <c r="P516" i="124"/>
  <c r="Q516" i="124" s="1"/>
  <c r="P580" i="124"/>
  <c r="Q580" i="124" s="1"/>
  <c r="P434" i="124"/>
  <c r="Q434" i="124" s="1"/>
  <c r="P248" i="124"/>
  <c r="Q248" i="124" s="1"/>
  <c r="S248" i="124" s="1"/>
  <c r="P267" i="124"/>
  <c r="Q267" i="124" s="1"/>
  <c r="S267" i="124" s="1"/>
  <c r="P576" i="124"/>
  <c r="Q576" i="124" s="1"/>
  <c r="P223" i="124"/>
  <c r="Y223" i="124" s="1"/>
  <c r="AB223" i="124" s="1"/>
  <c r="P328" i="124"/>
  <c r="Q328" i="124" s="1"/>
  <c r="P136" i="124"/>
  <c r="Q136" i="124" s="1"/>
  <c r="P78" i="124"/>
  <c r="Q78" i="124" s="1"/>
  <c r="P557" i="124"/>
  <c r="Q557" i="124" s="1"/>
  <c r="P15" i="124"/>
  <c r="Q15" i="124" s="1"/>
  <c r="P376" i="124"/>
  <c r="Q376" i="124" s="1"/>
  <c r="P257" i="124"/>
  <c r="R257" i="124" s="1"/>
  <c r="P284" i="124"/>
  <c r="R284" i="124" s="1"/>
  <c r="P265" i="124"/>
  <c r="R265" i="124" s="1"/>
  <c r="P397" i="124"/>
  <c r="Q397" i="124" s="1"/>
  <c r="P341" i="124"/>
  <c r="Q341" i="124" s="1"/>
  <c r="P151" i="124"/>
  <c r="Q151" i="124" s="1"/>
  <c r="P96" i="124"/>
  <c r="Q96" i="124" s="1"/>
  <c r="P466" i="124"/>
  <c r="Q466" i="124" s="1"/>
  <c r="P368" i="124"/>
  <c r="Q368" i="124" s="1"/>
  <c r="P575" i="124"/>
  <c r="Q575" i="124" s="1"/>
  <c r="P42" i="124"/>
  <c r="Q42" i="124" s="1"/>
  <c r="P329" i="124"/>
  <c r="Q329" i="124" s="1"/>
  <c r="P327" i="124"/>
  <c r="Q327" i="124" s="1"/>
  <c r="P348" i="124"/>
  <c r="Q348" i="124" s="1"/>
  <c r="P276" i="124"/>
  <c r="R276" i="124" s="1"/>
  <c r="P159" i="124"/>
  <c r="Q159" i="124" s="1"/>
  <c r="P97" i="124"/>
  <c r="Q97" i="124" s="1"/>
  <c r="P549" i="124"/>
  <c r="Q549" i="124" s="1"/>
  <c r="P543" i="124"/>
  <c r="Q543" i="124" s="1"/>
  <c r="P449" i="124"/>
  <c r="Q449" i="124" s="1"/>
  <c r="P480" i="124"/>
  <c r="Q480" i="124" s="1"/>
  <c r="P317" i="124"/>
  <c r="Q317" i="124" s="1"/>
  <c r="P231" i="124"/>
  <c r="Q231" i="124" s="1"/>
  <c r="P396" i="124"/>
  <c r="Q396" i="124" s="1"/>
  <c r="P423" i="124"/>
  <c r="Q423" i="124" s="1"/>
  <c r="P162" i="124"/>
  <c r="Q162" i="124" s="1"/>
  <c r="P114" i="124"/>
  <c r="Q114" i="124" s="1"/>
  <c r="P431" i="124"/>
  <c r="Q431" i="124" s="1"/>
  <c r="P533" i="124"/>
  <c r="Q533" i="124" s="1"/>
  <c r="P493" i="124"/>
  <c r="Q493" i="124" s="1"/>
  <c r="P308" i="124"/>
  <c r="Q308" i="124" s="1"/>
  <c r="P286" i="124"/>
  <c r="Q286" i="124" s="1"/>
  <c r="P204" i="124"/>
  <c r="Y204" i="124" s="1"/>
  <c r="AB204" i="124" s="1"/>
  <c r="P381" i="124"/>
  <c r="Q381" i="124" s="1"/>
  <c r="P232" i="124"/>
  <c r="Q232" i="124" s="1"/>
  <c r="Z232" i="124" s="1"/>
  <c r="P487" i="124"/>
  <c r="Q487" i="124" s="1"/>
  <c r="P479" i="124"/>
  <c r="Q479" i="124" s="1"/>
  <c r="P142" i="124"/>
  <c r="Q142" i="124" s="1"/>
  <c r="P398" i="124"/>
  <c r="Q398" i="124" s="1"/>
  <c r="P220" i="124"/>
  <c r="R220" i="124" s="1"/>
  <c r="P400" i="124"/>
  <c r="Q400" i="124" s="1"/>
  <c r="P319" i="124"/>
  <c r="Q319" i="124" s="1"/>
  <c r="P178" i="124"/>
  <c r="Q178" i="124" s="1"/>
  <c r="P175" i="124"/>
  <c r="Q175" i="124" s="1"/>
  <c r="P570" i="124"/>
  <c r="Q570" i="124" s="1"/>
  <c r="P161" i="124"/>
  <c r="Q161" i="124" s="1"/>
  <c r="P10" i="124"/>
  <c r="Q10" i="124" s="1"/>
  <c r="P486" i="124"/>
  <c r="Q486" i="124" s="1"/>
  <c r="P425" i="124"/>
  <c r="Q425" i="124" s="1"/>
  <c r="P457" i="124"/>
  <c r="Q457" i="124" s="1"/>
  <c r="P424" i="124"/>
  <c r="Q424" i="124" s="1"/>
  <c r="P433" i="124"/>
  <c r="Q433" i="124" s="1"/>
  <c r="P222" i="124"/>
  <c r="Q222" i="124" s="1"/>
  <c r="S222" i="124" s="1"/>
  <c r="P274" i="124"/>
  <c r="Q274" i="124" s="1"/>
  <c r="P292" i="124"/>
  <c r="Q292" i="124" s="1"/>
  <c r="P340" i="124"/>
  <c r="Q340" i="124" s="1"/>
  <c r="P515" i="124"/>
  <c r="Q515" i="124" s="1"/>
  <c r="P156" i="124"/>
  <c r="Q156" i="124" s="1"/>
  <c r="P115" i="124"/>
  <c r="Q115" i="124" s="1"/>
  <c r="P510" i="124"/>
  <c r="Q510" i="124" s="1"/>
  <c r="P544" i="124"/>
  <c r="Q544" i="124" s="1"/>
  <c r="P451" i="124"/>
  <c r="Q451" i="124" s="1"/>
  <c r="P260" i="124"/>
  <c r="Q260" i="124" s="1"/>
  <c r="P205" i="124"/>
  <c r="R205" i="124" s="1"/>
  <c r="P438" i="124"/>
  <c r="Q438" i="124" s="1"/>
  <c r="P225" i="124"/>
  <c r="Y225" i="124" s="1"/>
  <c r="AB225" i="124" s="1"/>
  <c r="P579" i="124"/>
  <c r="Q579" i="124" s="1"/>
  <c r="P167" i="124"/>
  <c r="Q167" i="124" s="1"/>
  <c r="P119" i="124"/>
  <c r="Q119" i="124" s="1"/>
  <c r="P98" i="124"/>
  <c r="Q98" i="124" s="1"/>
  <c r="P362" i="124"/>
  <c r="Q362" i="124" s="1"/>
  <c r="P556" i="124"/>
  <c r="Q556" i="124" s="1"/>
  <c r="P342" i="124"/>
  <c r="Q342" i="124" s="1"/>
  <c r="P241" i="124"/>
  <c r="Q241" i="124" s="1"/>
  <c r="P272" i="124"/>
  <c r="R272" i="124" s="1"/>
  <c r="P577" i="124"/>
  <c r="Q577" i="124" s="1"/>
  <c r="P207" i="124"/>
  <c r="Q207" i="124" s="1"/>
  <c r="S207" i="124" s="1"/>
  <c r="P181" i="124"/>
  <c r="Q181" i="124" s="1"/>
  <c r="P134" i="124"/>
  <c r="Q134" i="124" s="1"/>
  <c r="P70" i="124"/>
  <c r="Q70" i="124" s="1"/>
  <c r="P391" i="124"/>
  <c r="Q391" i="124" s="1"/>
  <c r="P509" i="124"/>
  <c r="Q509" i="124" s="1"/>
  <c r="P335" i="124"/>
  <c r="Q335" i="124" s="1"/>
  <c r="P190" i="124"/>
  <c r="Q190" i="124" s="1"/>
  <c r="P310" i="124"/>
  <c r="Q310" i="124" s="1"/>
  <c r="P295" i="124"/>
  <c r="Q295" i="124" s="1"/>
  <c r="P50" i="124"/>
  <c r="Q50" i="124" s="1"/>
  <c r="Z50" i="124" s="1"/>
  <c r="P57" i="124"/>
  <c r="Q57" i="124" s="1"/>
  <c r="P150" i="124"/>
  <c r="Q150" i="124" s="1"/>
  <c r="P81" i="124"/>
  <c r="Q81" i="124" s="1"/>
  <c r="P365" i="124"/>
  <c r="Q365" i="124" s="1"/>
  <c r="P39" i="124"/>
  <c r="Q39" i="124" s="1"/>
  <c r="P442" i="124"/>
  <c r="Q442" i="124" s="1"/>
  <c r="P43" i="124"/>
  <c r="Q43" i="124" s="1"/>
  <c r="P371" i="124"/>
  <c r="Q371" i="124" s="1"/>
  <c r="P187" i="124"/>
  <c r="Q187" i="124" s="1"/>
  <c r="P280" i="124"/>
  <c r="Y280" i="124" s="1"/>
  <c r="AB280" i="124" s="1"/>
  <c r="P345" i="124"/>
  <c r="Q345" i="124" s="1"/>
  <c r="P144" i="124"/>
  <c r="Q144" i="124" s="1"/>
  <c r="P90" i="124"/>
  <c r="Q90" i="124" s="1"/>
  <c r="P86" i="124"/>
  <c r="Q86" i="124" s="1"/>
  <c r="P546" i="124"/>
  <c r="Q546" i="124" s="1"/>
  <c r="P436" i="124"/>
  <c r="Q436" i="124" s="1"/>
  <c r="P525" i="124"/>
  <c r="Q525" i="124" s="1"/>
  <c r="P587" i="124"/>
  <c r="Q587" i="124" s="1"/>
  <c r="P5" i="124"/>
  <c r="Q5" i="124" s="1"/>
  <c r="P269" i="124"/>
  <c r="Q269" i="124" s="1"/>
  <c r="S269" i="124" s="1"/>
  <c r="P367" i="124"/>
  <c r="Q367" i="124" s="1"/>
  <c r="P155" i="124"/>
  <c r="Q155" i="124" s="1"/>
  <c r="P107" i="124"/>
  <c r="Q107" i="124" s="1"/>
  <c r="P411" i="124"/>
  <c r="Q411" i="124" s="1"/>
  <c r="P502" i="124"/>
  <c r="Q502" i="124" s="1"/>
  <c r="P508" i="124"/>
  <c r="Q508" i="124" s="1"/>
  <c r="P437" i="124"/>
  <c r="Q437" i="124" s="1"/>
  <c r="P55" i="124"/>
  <c r="Q55" i="124" s="1"/>
  <c r="P330" i="124"/>
  <c r="Q330" i="124" s="1"/>
  <c r="P420" i="124"/>
  <c r="Q420" i="124" s="1"/>
  <c r="P32" i="124"/>
  <c r="Q32" i="124" s="1"/>
  <c r="Z32" i="124" s="1"/>
  <c r="AA32" i="124" s="1"/>
  <c r="P492" i="124"/>
  <c r="Q492" i="124" s="1"/>
  <c r="P585" i="124"/>
  <c r="Q585" i="124" s="1"/>
  <c r="P76" i="124"/>
  <c r="Q76" i="124" s="1"/>
  <c r="P127" i="124"/>
  <c r="Q127" i="124" s="1"/>
  <c r="P481" i="124"/>
  <c r="Q481" i="124" s="1"/>
  <c r="P211" i="124"/>
  <c r="Q211" i="124" s="1"/>
  <c r="P117" i="124"/>
  <c r="Q117" i="124" s="1"/>
  <c r="P113" i="124"/>
  <c r="Q113" i="124" s="1"/>
  <c r="P440" i="124"/>
  <c r="Q440" i="124" s="1"/>
  <c r="BB11" i="121"/>
  <c r="BD11" i="121"/>
  <c r="BH11" i="121"/>
  <c r="P58" i="124"/>
  <c r="Q58" i="124" s="1"/>
  <c r="P439" i="124"/>
  <c r="Q439" i="124" s="1"/>
  <c r="P74" i="124"/>
  <c r="Q74" i="124" s="1"/>
  <c r="P382" i="124"/>
  <c r="Q382" i="124" s="1"/>
  <c r="S382" i="124" s="1"/>
  <c r="P108" i="124"/>
  <c r="Q108" i="124" s="1"/>
  <c r="P514" i="124"/>
  <c r="Q514" i="124" s="1"/>
  <c r="P489" i="124"/>
  <c r="Q489" i="124" s="1"/>
  <c r="P519" i="124"/>
  <c r="Q519" i="124" s="1"/>
  <c r="P578" i="124"/>
  <c r="Q578" i="124" s="1"/>
  <c r="P586" i="124"/>
  <c r="Q586" i="124" s="1"/>
  <c r="P287" i="124"/>
  <c r="Y287" i="124" s="1"/>
  <c r="AB287" i="124" s="1"/>
  <c r="P387" i="124"/>
  <c r="Q387" i="124" s="1"/>
  <c r="P212" i="124"/>
  <c r="Q212" i="124" s="1"/>
  <c r="Z212" i="124" s="1"/>
  <c r="P259" i="124"/>
  <c r="Q259" i="124" s="1"/>
  <c r="S259" i="124" s="1"/>
  <c r="P366" i="124"/>
  <c r="Q366" i="124" s="1"/>
  <c r="P61" i="124"/>
  <c r="Q61" i="124" s="1"/>
  <c r="S61" i="124" s="1"/>
  <c r="P422" i="124"/>
  <c r="Q422" i="124" s="1"/>
  <c r="P375" i="124"/>
  <c r="Q375" i="124" s="1"/>
  <c r="P239" i="124"/>
  <c r="Q239" i="124" s="1"/>
  <c r="S239" i="124" s="1"/>
  <c r="P309" i="124"/>
  <c r="Q309" i="124" s="1"/>
  <c r="P261" i="124"/>
  <c r="Q261" i="124" s="1"/>
  <c r="Z261" i="124" s="1"/>
  <c r="P558" i="124"/>
  <c r="Q558" i="124" s="1"/>
  <c r="P349" i="124"/>
  <c r="Q349" i="124" s="1"/>
  <c r="P542" i="124"/>
  <c r="Q542" i="124" s="1"/>
  <c r="P93" i="124"/>
  <c r="Q93" i="124" s="1"/>
  <c r="P124" i="124"/>
  <c r="Q124" i="124" s="1"/>
  <c r="P180" i="124"/>
  <c r="Q180" i="124" s="1"/>
  <c r="P408" i="124"/>
  <c r="Q408" i="124" s="1"/>
  <c r="P30" i="124"/>
  <c r="Q30" i="124" s="1"/>
  <c r="P264" i="124"/>
  <c r="Y264" i="124" s="1"/>
  <c r="AB264" i="124" s="1"/>
  <c r="P290" i="124"/>
  <c r="Q290" i="124" s="1"/>
  <c r="P209" i="124"/>
  <c r="Q209" i="124" s="1"/>
  <c r="S209" i="124" s="1"/>
  <c r="P359" i="124"/>
  <c r="Q359" i="124" s="1"/>
  <c r="P467" i="124"/>
  <c r="Q467" i="124" s="1"/>
  <c r="P418" i="124"/>
  <c r="Q418" i="124" s="1"/>
  <c r="P369" i="124"/>
  <c r="Q369" i="124" s="1"/>
  <c r="P521" i="124"/>
  <c r="Q521" i="124" s="1"/>
  <c r="P128" i="124"/>
  <c r="Q128" i="124" s="1"/>
  <c r="P169" i="124"/>
  <c r="Q169" i="124" s="1"/>
  <c r="P361" i="124"/>
  <c r="Q361" i="124" s="1"/>
  <c r="P196" i="124"/>
  <c r="Q196" i="124" s="1"/>
  <c r="P346" i="124"/>
  <c r="Q346" i="124" s="1"/>
  <c r="P303" i="124"/>
  <c r="Q303" i="124" s="1"/>
  <c r="P218" i="124"/>
  <c r="Y218" i="124" s="1"/>
  <c r="AB218" i="124" s="1"/>
  <c r="P499" i="124"/>
  <c r="Q499" i="124" s="1"/>
  <c r="P496" i="124"/>
  <c r="Q496" i="124" s="1"/>
  <c r="P444" i="124"/>
  <c r="Q444" i="124" s="1"/>
  <c r="P539" i="124"/>
  <c r="Q539" i="124" s="1"/>
  <c r="P71" i="124"/>
  <c r="Q71" i="124" s="1"/>
  <c r="P8" i="124"/>
  <c r="Q8" i="124" s="1"/>
  <c r="P170" i="124"/>
  <c r="Q170" i="124" s="1"/>
  <c r="P283" i="124"/>
  <c r="R283" i="124" s="1"/>
  <c r="P191" i="124"/>
  <c r="Q191" i="124" s="1"/>
  <c r="Z191" i="124" s="1"/>
  <c r="P17" i="124"/>
  <c r="Q17" i="124" s="1"/>
  <c r="P35" i="124"/>
  <c r="Q35" i="124" s="1"/>
  <c r="S35" i="124" s="1"/>
  <c r="P443" i="124"/>
  <c r="Q443" i="124" s="1"/>
  <c r="P44" i="124"/>
  <c r="Q44" i="124" s="1"/>
  <c r="P453" i="124"/>
  <c r="Q453" i="124" s="1"/>
  <c r="P33" i="124"/>
  <c r="Q33" i="124" s="1"/>
  <c r="P28" i="124"/>
  <c r="Q28" i="124" s="1"/>
  <c r="P68" i="124"/>
  <c r="Q68" i="124" s="1"/>
  <c r="P110" i="124"/>
  <c r="Q110" i="124" s="1"/>
  <c r="P160" i="124"/>
  <c r="Q160" i="124" s="1"/>
  <c r="P402" i="124"/>
  <c r="Q402" i="124" s="1"/>
  <c r="P224" i="124"/>
  <c r="Y224" i="124" s="1"/>
  <c r="AB224" i="124" s="1"/>
  <c r="P245" i="124"/>
  <c r="Q245" i="124" s="1"/>
  <c r="S245" i="124" s="1"/>
  <c r="P195" i="124"/>
  <c r="Q195" i="124" s="1"/>
  <c r="P273" i="124"/>
  <c r="R273" i="124" s="1"/>
  <c r="P318" i="124"/>
  <c r="Q318" i="124" s="1"/>
  <c r="P253" i="124"/>
  <c r="Q253" i="124" s="1"/>
  <c r="S253" i="124" s="1"/>
  <c r="P49" i="124"/>
  <c r="Q49" i="124" s="1"/>
  <c r="P426" i="124"/>
  <c r="Q426" i="124" s="1"/>
  <c r="P518" i="124"/>
  <c r="Q518" i="124" s="1"/>
  <c r="P88" i="124"/>
  <c r="Q88" i="124" s="1"/>
  <c r="P149" i="124"/>
  <c r="Q149" i="124" s="1"/>
  <c r="P354" i="124"/>
  <c r="Q354" i="124" s="1"/>
  <c r="P26" i="124"/>
  <c r="Q26" i="124" s="1"/>
  <c r="Z26" i="124" s="1"/>
  <c r="AA26" i="124" s="1"/>
  <c r="P206" i="124"/>
  <c r="R206" i="124" s="1"/>
  <c r="P208" i="124"/>
  <c r="Q208" i="124" s="1"/>
  <c r="P584" i="124"/>
  <c r="Q584" i="124" s="1"/>
  <c r="P478" i="124"/>
  <c r="Q478" i="124" s="1"/>
  <c r="P441" i="124"/>
  <c r="Q441" i="124" s="1"/>
  <c r="P463" i="124"/>
  <c r="Q463" i="124" s="1"/>
  <c r="P488" i="124"/>
  <c r="Q488" i="124" s="1"/>
  <c r="P573" i="124"/>
  <c r="Q573" i="124" s="1"/>
  <c r="P95" i="124"/>
  <c r="Q95" i="124" s="1"/>
  <c r="P140" i="124"/>
  <c r="Q140" i="124" s="1"/>
  <c r="P176" i="124"/>
  <c r="Q176" i="124" s="1"/>
  <c r="AB336" i="124"/>
  <c r="AC336" i="124" s="1"/>
  <c r="AB294" i="124"/>
  <c r="AC294" i="124" s="1"/>
  <c r="AB342" i="124"/>
  <c r="AC342" i="124" s="1"/>
  <c r="AB311" i="124"/>
  <c r="AC311" i="124" s="1"/>
  <c r="AB326" i="124"/>
  <c r="AC326" i="124" s="1"/>
  <c r="AB325" i="124"/>
  <c r="AC325" i="124" s="1"/>
  <c r="AB319" i="124"/>
  <c r="AC319" i="124" s="1"/>
  <c r="AB316" i="124"/>
  <c r="AC316" i="124" s="1"/>
  <c r="AB341" i="124"/>
  <c r="AC341" i="124" s="1"/>
  <c r="AB314" i="124"/>
  <c r="AC314" i="124" s="1"/>
  <c r="AB295" i="124"/>
  <c r="AC295" i="124" s="1"/>
  <c r="AB304" i="124"/>
  <c r="AC304" i="124" s="1"/>
  <c r="AB347" i="124"/>
  <c r="AC347" i="124" s="1"/>
  <c r="AB340" i="124"/>
  <c r="AC340" i="124" s="1"/>
  <c r="AB343" i="124"/>
  <c r="AC343" i="124" s="1"/>
  <c r="AB344" i="124"/>
  <c r="AC344" i="124" s="1"/>
  <c r="AB291" i="124"/>
  <c r="AC291" i="124" s="1"/>
  <c r="AB301" i="124"/>
  <c r="AC301" i="124" s="1"/>
  <c r="AB310" i="124"/>
  <c r="AC310" i="124" s="1"/>
  <c r="AB321" i="124"/>
  <c r="AC321" i="124" s="1"/>
  <c r="AB339" i="124"/>
  <c r="AC339" i="124" s="1"/>
  <c r="AB297" i="124"/>
  <c r="AC297" i="124" s="1"/>
  <c r="AB313" i="124"/>
  <c r="AC313" i="124" s="1"/>
  <c r="AB346" i="124"/>
  <c r="AC346" i="124" s="1"/>
  <c r="AB320" i="124"/>
  <c r="AC320" i="124" s="1"/>
  <c r="AB348" i="124"/>
  <c r="AC348" i="124" s="1"/>
  <c r="AB293" i="124"/>
  <c r="AC293" i="124" s="1"/>
  <c r="AB298" i="124"/>
  <c r="AC298" i="124" s="1"/>
  <c r="AB306" i="124"/>
  <c r="AC306" i="124" s="1"/>
  <c r="AB330" i="124"/>
  <c r="AC330" i="124" s="1"/>
  <c r="AB317" i="124"/>
  <c r="AC317" i="124" s="1"/>
  <c r="AB299" i="124"/>
  <c r="AC299" i="124" s="1"/>
  <c r="AB322" i="124"/>
  <c r="AC322" i="124" s="1"/>
  <c r="AB303" i="124"/>
  <c r="AC303" i="124" s="1"/>
  <c r="AB324" i="124"/>
  <c r="AC324" i="124" s="1"/>
  <c r="AB334" i="124"/>
  <c r="AC334" i="124" s="1"/>
  <c r="AB332" i="124"/>
  <c r="AC332" i="124" s="1"/>
  <c r="AB309" i="124"/>
  <c r="AC309" i="124" s="1"/>
  <c r="AB315" i="124"/>
  <c r="AC315" i="124" s="1"/>
  <c r="AB329" i="124"/>
  <c r="AC329" i="124" s="1"/>
  <c r="AB323" i="124"/>
  <c r="AC323" i="124" s="1"/>
  <c r="AB292" i="124"/>
  <c r="AC292" i="124" s="1"/>
  <c r="AB335" i="124"/>
  <c r="AC335" i="124" s="1"/>
  <c r="AB302" i="124"/>
  <c r="AC302" i="124" s="1"/>
  <c r="AB308" i="124"/>
  <c r="AC308" i="124" s="1"/>
  <c r="AB337" i="124"/>
  <c r="AC337" i="124" s="1"/>
  <c r="AB307" i="124"/>
  <c r="AC307" i="124" s="1"/>
  <c r="AB318" i="124"/>
  <c r="AC318" i="124" s="1"/>
  <c r="AB331" i="124"/>
  <c r="AC331" i="124" s="1"/>
  <c r="AB328" i="124"/>
  <c r="AC328" i="124" s="1"/>
  <c r="AB333" i="124"/>
  <c r="AC333" i="124" s="1"/>
  <c r="AB338" i="124"/>
  <c r="AC338" i="124" s="1"/>
  <c r="AB300" i="124"/>
  <c r="AC300" i="124" s="1"/>
  <c r="AB312" i="124"/>
  <c r="AC312" i="124" s="1"/>
  <c r="AB345" i="124"/>
  <c r="AC345" i="124" s="1"/>
  <c r="AB327" i="124"/>
  <c r="AC327" i="124" s="1"/>
  <c r="AB305" i="124"/>
  <c r="AC305" i="124" s="1"/>
  <c r="EB25" i="108"/>
  <c r="DY22" i="108"/>
  <c r="DS11" i="108"/>
  <c r="DS15" i="108"/>
  <c r="DY20" i="108"/>
  <c r="DZ28" i="108"/>
  <c r="DW25" i="108"/>
  <c r="DS20" i="108"/>
  <c r="DZ29" i="108"/>
  <c r="DZ36" i="108"/>
  <c r="DV41" i="108"/>
  <c r="DW39" i="108"/>
  <c r="DT38" i="108"/>
  <c r="DV35" i="108"/>
  <c r="DW35" i="108"/>
  <c r="DY42" i="108"/>
  <c r="DR41" i="108"/>
  <c r="DY36" i="108"/>
  <c r="DZ40" i="108"/>
  <c r="DY40" i="108"/>
  <c r="DV40" i="108"/>
  <c r="DZ42" i="108"/>
  <c r="DV39" i="108"/>
  <c r="DY41" i="108"/>
  <c r="DQ25" i="108"/>
  <c r="DZ38" i="108"/>
  <c r="DT36" i="108"/>
  <c r="DW34" i="108"/>
  <c r="DS42" i="108"/>
  <c r="DS41" i="108"/>
  <c r="DT40" i="108"/>
  <c r="DR42" i="108"/>
  <c r="EB39" i="108"/>
  <c r="DU42" i="108"/>
  <c r="DY39" i="108"/>
  <c r="DS36" i="108"/>
  <c r="EB41" i="108"/>
  <c r="DQ35" i="108"/>
  <c r="DX41" i="108"/>
  <c r="EB35" i="108"/>
  <c r="DS39" i="108"/>
  <c r="DQ39" i="108"/>
  <c r="DQ30" i="108"/>
  <c r="DS40" i="108"/>
  <c r="DQ34" i="108"/>
  <c r="DS27" i="108"/>
  <c r="DT42" i="108"/>
  <c r="DX42" i="108"/>
  <c r="EA42" i="108"/>
  <c r="EB40" i="108"/>
  <c r="DU32" i="108"/>
  <c r="DQ20" i="108"/>
  <c r="DT33" i="108"/>
  <c r="DT29" i="108"/>
  <c r="DY27" i="108"/>
  <c r="DT28" i="108"/>
  <c r="DW33" i="108"/>
  <c r="DQ33" i="108"/>
  <c r="DT32" i="108"/>
  <c r="DW30" i="108"/>
  <c r="DW20" i="108"/>
  <c r="EB23" i="108"/>
  <c r="DZ33" i="108"/>
  <c r="DV23" i="108"/>
  <c r="EA32" i="108"/>
  <c r="DS22" i="108"/>
  <c r="DZ32" i="108"/>
  <c r="DV25" i="108"/>
  <c r="T502" i="123"/>
  <c r="U502" i="123"/>
  <c r="T510" i="123"/>
  <c r="U510" i="123"/>
  <c r="T499" i="123"/>
  <c r="U499" i="123"/>
  <c r="T438" i="123"/>
  <c r="U438" i="123"/>
  <c r="T588" i="123"/>
  <c r="U588" i="123"/>
  <c r="T541" i="123"/>
  <c r="U541" i="123"/>
  <c r="T468" i="123"/>
  <c r="U468" i="123"/>
  <c r="T437" i="123"/>
  <c r="U437" i="123"/>
  <c r="T472" i="123"/>
  <c r="U472" i="123"/>
  <c r="T570" i="123"/>
  <c r="U570" i="123"/>
  <c r="T557" i="123"/>
  <c r="U557" i="123"/>
  <c r="U464" i="123"/>
  <c r="T464" i="123"/>
  <c r="U482" i="123"/>
  <c r="T482" i="123"/>
  <c r="T432" i="123"/>
  <c r="U432" i="123"/>
  <c r="T575" i="123"/>
  <c r="U575" i="123"/>
  <c r="T495" i="123"/>
  <c r="U495" i="123"/>
  <c r="T466" i="123"/>
  <c r="U466" i="123"/>
  <c r="T449" i="123"/>
  <c r="U449" i="123"/>
  <c r="T528" i="123"/>
  <c r="U528" i="123"/>
  <c r="T453" i="123"/>
  <c r="U453" i="123"/>
  <c r="T435" i="123"/>
  <c r="U435" i="123"/>
  <c r="T436" i="123"/>
  <c r="U436" i="123"/>
  <c r="T506" i="123"/>
  <c r="U506" i="123"/>
  <c r="T516" i="123"/>
  <c r="U516" i="123"/>
  <c r="T562" i="123"/>
  <c r="U562" i="123"/>
  <c r="T507" i="123"/>
  <c r="U507" i="123"/>
  <c r="T456" i="123"/>
  <c r="U456" i="123"/>
  <c r="T569" i="123"/>
  <c r="U569" i="123"/>
  <c r="T550" i="123"/>
  <c r="U550" i="123"/>
  <c r="T442" i="123"/>
  <c r="U442" i="123"/>
  <c r="T530" i="123"/>
  <c r="U530" i="123"/>
  <c r="U494" i="123"/>
  <c r="T494" i="123"/>
  <c r="T504" i="123"/>
  <c r="U504" i="123"/>
  <c r="T584" i="123"/>
  <c r="U584" i="123"/>
  <c r="T527" i="123"/>
  <c r="U527" i="123"/>
  <c r="T443" i="123"/>
  <c r="U443" i="123"/>
  <c r="T450" i="123"/>
  <c r="U450" i="123"/>
  <c r="T583" i="123"/>
  <c r="U583" i="123"/>
  <c r="T473" i="123"/>
  <c r="U473" i="123"/>
  <c r="T582" i="123"/>
  <c r="U582" i="123"/>
  <c r="T459" i="123"/>
  <c r="U459" i="123"/>
  <c r="T540" i="123"/>
  <c r="U540" i="123"/>
  <c r="T519" i="123"/>
  <c r="U519" i="123"/>
  <c r="T517" i="123"/>
  <c r="U517" i="123"/>
  <c r="T505" i="123"/>
  <c r="U505" i="123"/>
  <c r="T545" i="123"/>
  <c r="U545" i="123"/>
  <c r="T512" i="123"/>
  <c r="U512" i="123"/>
  <c r="T496" i="123"/>
  <c r="U496" i="123"/>
  <c r="T580" i="123"/>
  <c r="U580" i="123"/>
  <c r="T461" i="123"/>
  <c r="U461" i="123"/>
  <c r="T485" i="123"/>
  <c r="U485" i="123"/>
  <c r="T524" i="123"/>
  <c r="U524" i="123"/>
  <c r="T479" i="123"/>
  <c r="U479" i="123"/>
  <c r="T526" i="123"/>
  <c r="U526" i="123"/>
  <c r="T574" i="123"/>
  <c r="U574" i="123"/>
  <c r="T483" i="123"/>
  <c r="U483" i="123"/>
  <c r="U470" i="123"/>
  <c r="T470" i="123"/>
  <c r="T423" i="123"/>
  <c r="U423" i="123"/>
  <c r="T503" i="123"/>
  <c r="U503" i="123"/>
  <c r="U440" i="123"/>
  <c r="T440" i="123"/>
  <c r="T538" i="123"/>
  <c r="U538" i="123"/>
  <c r="T529" i="123"/>
  <c r="U529" i="123"/>
  <c r="T447" i="123"/>
  <c r="U447" i="123"/>
  <c r="T491" i="123"/>
  <c r="U491" i="123"/>
  <c r="T475" i="123"/>
  <c r="U475" i="123"/>
  <c r="T489" i="123"/>
  <c r="U489" i="123"/>
  <c r="T548" i="123"/>
  <c r="U548" i="123"/>
  <c r="T481" i="123"/>
  <c r="U481" i="123"/>
  <c r="T513" i="123"/>
  <c r="U513" i="123"/>
  <c r="T535" i="123"/>
  <c r="U535" i="123"/>
  <c r="U488" i="123"/>
  <c r="T488" i="123"/>
  <c r="T508" i="123"/>
  <c r="U508" i="123"/>
  <c r="T462" i="123"/>
  <c r="U462" i="123"/>
  <c r="T549" i="123"/>
  <c r="U549" i="123"/>
  <c r="T571" i="123"/>
  <c r="U571" i="123"/>
  <c r="T463" i="123"/>
  <c r="U463" i="123"/>
  <c r="T560" i="123"/>
  <c r="U560" i="123"/>
  <c r="T534" i="123"/>
  <c r="U534" i="123"/>
  <c r="T457" i="123"/>
  <c r="U457" i="123"/>
  <c r="T425" i="123"/>
  <c r="U425" i="123"/>
  <c r="T558" i="123"/>
  <c r="U558" i="123"/>
  <c r="T509" i="123"/>
  <c r="U509" i="123"/>
  <c r="T559" i="123"/>
  <c r="U559" i="123"/>
  <c r="T542" i="123"/>
  <c r="U542" i="123"/>
  <c r="T564" i="123"/>
  <c r="U564" i="123"/>
  <c r="T500" i="123"/>
  <c r="U500" i="123"/>
  <c r="T501" i="123"/>
  <c r="U501" i="123"/>
  <c r="T486" i="123"/>
  <c r="U486" i="123"/>
  <c r="T441" i="123"/>
  <c r="U441" i="123"/>
  <c r="U452" i="123"/>
  <c r="T452" i="123"/>
  <c r="T477" i="123"/>
  <c r="U477" i="123"/>
  <c r="T579" i="123"/>
  <c r="U579" i="123"/>
  <c r="T568" i="123"/>
  <c r="U568" i="123"/>
  <c r="T523" i="123"/>
  <c r="U523" i="123"/>
  <c r="T439" i="123"/>
  <c r="U439" i="123"/>
  <c r="T566" i="123"/>
  <c r="U566" i="123"/>
  <c r="T433" i="123"/>
  <c r="U433" i="123"/>
  <c r="T515" i="123"/>
  <c r="U515" i="123"/>
  <c r="T451" i="123"/>
  <c r="U451" i="123"/>
  <c r="T474" i="123"/>
  <c r="U474" i="123"/>
  <c r="T455" i="123"/>
  <c r="U455" i="123"/>
  <c r="T484" i="123"/>
  <c r="U484" i="123"/>
  <c r="T511" i="123"/>
  <c r="U511" i="123"/>
  <c r="T553" i="123"/>
  <c r="U553" i="123"/>
  <c r="T480" i="123"/>
  <c r="U480" i="123"/>
  <c r="T581" i="123"/>
  <c r="U581" i="123"/>
  <c r="U422" i="123"/>
  <c r="T422" i="123"/>
  <c r="T471" i="123"/>
  <c r="U471" i="123"/>
  <c r="T544" i="123"/>
  <c r="U544" i="123"/>
  <c r="T430" i="123"/>
  <c r="U430" i="123"/>
  <c r="T533" i="123"/>
  <c r="U533" i="123"/>
  <c r="U458" i="123"/>
  <c r="T458" i="123"/>
  <c r="U434" i="123"/>
  <c r="T434" i="123"/>
  <c r="T431" i="123"/>
  <c r="U431" i="123"/>
  <c r="T576" i="123"/>
  <c r="U576" i="123"/>
  <c r="T573" i="123"/>
  <c r="U573" i="123"/>
  <c r="T554" i="123"/>
  <c r="U554" i="123"/>
  <c r="T561" i="123"/>
  <c r="U561" i="123"/>
  <c r="T514" i="123"/>
  <c r="U514" i="123"/>
  <c r="T493" i="123"/>
  <c r="U493" i="123"/>
  <c r="T498" i="123"/>
  <c r="U498" i="123"/>
  <c r="T497" i="123"/>
  <c r="U497" i="123"/>
  <c r="T546" i="123"/>
  <c r="U546" i="123"/>
  <c r="T585" i="123"/>
  <c r="U585" i="123"/>
  <c r="T552" i="123"/>
  <c r="U552" i="123"/>
  <c r="T478" i="123"/>
  <c r="U478" i="123"/>
  <c r="T465" i="123"/>
  <c r="U465" i="123"/>
  <c r="T424" i="123"/>
  <c r="U424" i="123"/>
  <c r="T537" i="123"/>
  <c r="U537" i="123"/>
  <c r="T518" i="123"/>
  <c r="U518" i="123"/>
  <c r="T427" i="123"/>
  <c r="U427" i="123"/>
  <c r="T426" i="123"/>
  <c r="U426" i="123"/>
  <c r="T532" i="123"/>
  <c r="U532" i="123"/>
  <c r="T469" i="123"/>
  <c r="U469" i="123"/>
  <c r="T445" i="123"/>
  <c r="U445" i="123"/>
  <c r="T487" i="123"/>
  <c r="U487" i="123"/>
  <c r="T492" i="123"/>
  <c r="U492" i="123"/>
  <c r="T556" i="123"/>
  <c r="U556" i="123"/>
  <c r="T467" i="123"/>
  <c r="U467" i="123"/>
  <c r="T525" i="123"/>
  <c r="U525" i="123"/>
  <c r="U446" i="123"/>
  <c r="T446" i="123"/>
  <c r="T448" i="123"/>
  <c r="U448" i="123"/>
  <c r="T536" i="123"/>
  <c r="U536" i="123"/>
  <c r="U476" i="123"/>
  <c r="T476" i="123"/>
  <c r="T543" i="123"/>
  <c r="U543" i="123"/>
  <c r="T539" i="123"/>
  <c r="U539" i="123"/>
  <c r="T587" i="123"/>
  <c r="U587" i="123"/>
  <c r="T577" i="123"/>
  <c r="U577" i="123"/>
  <c r="T460" i="123"/>
  <c r="U460" i="123"/>
  <c r="T578" i="123"/>
  <c r="U578" i="123"/>
  <c r="T531" i="123"/>
  <c r="U531" i="123"/>
  <c r="T547" i="123"/>
  <c r="U547" i="123"/>
  <c r="T572" i="123"/>
  <c r="U572" i="123"/>
  <c r="T521" i="123"/>
  <c r="U521" i="123"/>
  <c r="T563" i="123"/>
  <c r="U563" i="123"/>
  <c r="T522" i="123"/>
  <c r="U522" i="123"/>
  <c r="T567" i="123"/>
  <c r="U567" i="123"/>
  <c r="T565" i="123"/>
  <c r="U565" i="123"/>
  <c r="T555" i="123"/>
  <c r="U555" i="123"/>
  <c r="T520" i="123"/>
  <c r="U520" i="123"/>
  <c r="T490" i="123"/>
  <c r="U490" i="123"/>
  <c r="T444" i="123"/>
  <c r="U444" i="123"/>
  <c r="T429" i="123"/>
  <c r="U429" i="123"/>
  <c r="T454" i="123"/>
  <c r="U454" i="123"/>
  <c r="U428" i="123"/>
  <c r="T428" i="123"/>
  <c r="T586" i="123"/>
  <c r="U586" i="123"/>
  <c r="T551" i="123"/>
  <c r="U551" i="123"/>
  <c r="U54" i="123"/>
  <c r="Y382" i="124"/>
  <c r="AB382" i="124" s="1"/>
  <c r="Q11" i="124"/>
  <c r="AF275" i="124"/>
  <c r="V275" i="124"/>
  <c r="AF382" i="124"/>
  <c r="DR10" i="108"/>
  <c r="DX10" i="108"/>
  <c r="DV14" i="108"/>
  <c r="AF58" i="124"/>
  <c r="CL58" i="124" s="1"/>
  <c r="CM58" i="124" s="1"/>
  <c r="CN58" i="124" s="1"/>
  <c r="M36" i="126"/>
  <c r="Y57" i="124"/>
  <c r="AB57" i="124" s="1"/>
  <c r="E63" i="126"/>
  <c r="H55" i="126" s="1"/>
  <c r="H61" i="126" s="1"/>
  <c r="M37" i="126"/>
  <c r="R52" i="123"/>
  <c r="T52" i="123" s="1"/>
  <c r="Y52" i="123"/>
  <c r="R55" i="123"/>
  <c r="T55" i="123" s="1"/>
  <c r="AF56" i="124"/>
  <c r="AF57" i="124"/>
  <c r="BC57" i="124" s="1"/>
  <c r="BD57" i="124" s="1"/>
  <c r="BE57" i="124" s="1"/>
  <c r="DY10" i="108"/>
  <c r="S242" i="123"/>
  <c r="R242" i="123"/>
  <c r="T242" i="123" s="1"/>
  <c r="Y242" i="123"/>
  <c r="DX17" i="108"/>
  <c r="DR17" i="108"/>
  <c r="R290" i="123"/>
  <c r="Y290" i="123"/>
  <c r="S290" i="123"/>
  <c r="Z242" i="123"/>
  <c r="AA242" i="123" s="1"/>
  <c r="G65" i="126"/>
  <c r="CD30" i="124"/>
  <c r="CI30" i="124"/>
  <c r="BT30" i="124"/>
  <c r="BY30" i="124"/>
  <c r="BJ30" i="124"/>
  <c r="BO30" i="124"/>
  <c r="AZ30" i="124"/>
  <c r="BE30" i="124"/>
  <c r="AP30" i="124"/>
  <c r="AU30" i="124"/>
  <c r="AK30" i="124"/>
  <c r="V14" i="124"/>
  <c r="AF14" i="124"/>
  <c r="AB38" i="124"/>
  <c r="AC38" i="124" s="1"/>
  <c r="AB18" i="124"/>
  <c r="AC18" i="124" s="1"/>
  <c r="AB16" i="124"/>
  <c r="AC16" i="124" s="1"/>
  <c r="Y5" i="124"/>
  <c r="AB5" i="124" s="1"/>
  <c r="R5" i="124"/>
  <c r="S5" i="124"/>
  <c r="Z5" i="124"/>
  <c r="R57" i="124"/>
  <c r="R290" i="124"/>
  <c r="S290" i="124"/>
  <c r="Z290" i="124"/>
  <c r="Y290" i="124"/>
  <c r="AB290" i="124" s="1"/>
  <c r="R192" i="124"/>
  <c r="S192" i="124"/>
  <c r="Y192" i="124"/>
  <c r="AB192" i="124" s="1"/>
  <c r="Z192" i="124"/>
  <c r="Y242" i="124"/>
  <c r="AB242" i="124" s="1"/>
  <c r="R242" i="124"/>
  <c r="S242" i="124"/>
  <c r="Z242" i="124"/>
  <c r="AA242" i="124" s="1"/>
  <c r="Y197" i="124"/>
  <c r="AB197" i="124" s="1"/>
  <c r="R197" i="124"/>
  <c r="S197" i="124"/>
  <c r="Z197" i="124"/>
  <c r="Z552" i="124"/>
  <c r="AA552" i="124" s="1"/>
  <c r="EB9" i="108"/>
  <c r="S10" i="123"/>
  <c r="Y10" i="123"/>
  <c r="R10" i="123"/>
  <c r="T10" i="123" s="1"/>
  <c r="Z10" i="123"/>
  <c r="Y444" i="123"/>
  <c r="V444" i="123"/>
  <c r="Y505" i="123"/>
  <c r="V505" i="123"/>
  <c r="Y428" i="123"/>
  <c r="V428" i="123"/>
  <c r="Y455" i="123"/>
  <c r="V455" i="123"/>
  <c r="Y506" i="123"/>
  <c r="V506" i="123"/>
  <c r="Y482" i="123"/>
  <c r="V482" i="123"/>
  <c r="Y511" i="123"/>
  <c r="V511" i="123"/>
  <c r="Y527" i="123"/>
  <c r="V527" i="123"/>
  <c r="Y563" i="123"/>
  <c r="V563" i="123"/>
  <c r="Y566" i="123"/>
  <c r="V566" i="123"/>
  <c r="Y579" i="123"/>
  <c r="V579" i="123"/>
  <c r="Y481" i="123"/>
  <c r="V481" i="123"/>
  <c r="Y476" i="123"/>
  <c r="V476" i="123"/>
  <c r="Y562" i="123"/>
  <c r="V562" i="123"/>
  <c r="Y578" i="123"/>
  <c r="V578" i="123"/>
  <c r="Y582" i="123"/>
  <c r="V582" i="123"/>
  <c r="Y433" i="123"/>
  <c r="V433" i="123"/>
  <c r="Y528" i="123"/>
  <c r="V528" i="123"/>
  <c r="Y518" i="123"/>
  <c r="V518" i="123"/>
  <c r="Y441" i="123"/>
  <c r="V441" i="123"/>
  <c r="Y456" i="123"/>
  <c r="V456" i="123"/>
  <c r="Y530" i="123"/>
  <c r="V530" i="123"/>
  <c r="Y522" i="123"/>
  <c r="V522" i="123"/>
  <c r="Y548" i="123"/>
  <c r="V548" i="123"/>
  <c r="Y545" i="123"/>
  <c r="V545" i="123"/>
  <c r="Y577" i="123"/>
  <c r="V577" i="123"/>
  <c r="Y586" i="123"/>
  <c r="V586" i="123"/>
  <c r="Y535" i="123"/>
  <c r="V535" i="123"/>
  <c r="Y516" i="123"/>
  <c r="V516" i="123"/>
  <c r="Y496" i="123"/>
  <c r="V496" i="123"/>
  <c r="Y487" i="123"/>
  <c r="V487" i="123"/>
  <c r="Y557" i="123"/>
  <c r="V557" i="123"/>
  <c r="Y486" i="123"/>
  <c r="V486" i="123"/>
  <c r="Y585" i="123"/>
  <c r="V585" i="123"/>
  <c r="Y449" i="123"/>
  <c r="V449" i="123"/>
  <c r="Y462" i="123"/>
  <c r="V462" i="123"/>
  <c r="Y540" i="123"/>
  <c r="V540" i="123"/>
  <c r="Y581" i="123"/>
  <c r="V581" i="123"/>
  <c r="Y569" i="123"/>
  <c r="V569" i="123"/>
  <c r="Y429" i="123"/>
  <c r="V429" i="123"/>
  <c r="Y543" i="123"/>
  <c r="V543" i="123"/>
  <c r="Y539" i="123"/>
  <c r="V539" i="123"/>
  <c r="Y443" i="123"/>
  <c r="V443" i="123"/>
  <c r="Y501" i="123"/>
  <c r="V501" i="123"/>
  <c r="Y526" i="123"/>
  <c r="V526" i="123"/>
  <c r="Y450" i="123"/>
  <c r="V450" i="123"/>
  <c r="Y425" i="123"/>
  <c r="V425" i="123"/>
  <c r="Y523" i="123"/>
  <c r="V523" i="123"/>
  <c r="Y504" i="123"/>
  <c r="V504" i="123"/>
  <c r="Y500" i="123"/>
  <c r="V500" i="123"/>
  <c r="Y430" i="123"/>
  <c r="V430" i="123"/>
  <c r="Y531" i="123"/>
  <c r="V531" i="123"/>
  <c r="Y507" i="123"/>
  <c r="V507" i="123"/>
  <c r="Y537" i="123"/>
  <c r="V537" i="123"/>
  <c r="Y519" i="123"/>
  <c r="V519" i="123"/>
  <c r="Y584" i="123"/>
  <c r="V584" i="123"/>
  <c r="Y498" i="123"/>
  <c r="V498" i="123"/>
  <c r="Y485" i="123"/>
  <c r="V485" i="123"/>
  <c r="Y567" i="123"/>
  <c r="V567" i="123"/>
  <c r="Y446" i="123"/>
  <c r="V446" i="123"/>
  <c r="Y484" i="123"/>
  <c r="V484" i="123"/>
  <c r="Y483" i="123"/>
  <c r="V483" i="123"/>
  <c r="Y533" i="123"/>
  <c r="V533" i="123"/>
  <c r="Y478" i="123"/>
  <c r="V478" i="123"/>
  <c r="Y583" i="123"/>
  <c r="V583" i="123"/>
  <c r="Y513" i="123"/>
  <c r="V513" i="123"/>
  <c r="Y464" i="123"/>
  <c r="V464" i="123"/>
  <c r="Y432" i="123"/>
  <c r="V432" i="123"/>
  <c r="Y564" i="123"/>
  <c r="V564" i="123"/>
  <c r="Y465" i="123"/>
  <c r="V465" i="123"/>
  <c r="Y558" i="123"/>
  <c r="V558" i="123"/>
  <c r="Y461" i="123"/>
  <c r="V461" i="123"/>
  <c r="Y556" i="123"/>
  <c r="V556" i="123"/>
  <c r="Y542" i="123"/>
  <c r="V542" i="123"/>
  <c r="Y454" i="123"/>
  <c r="V454" i="123"/>
  <c r="Y587" i="123"/>
  <c r="V587" i="123"/>
  <c r="Y488" i="123"/>
  <c r="V488" i="123"/>
  <c r="Y549" i="123"/>
  <c r="V549" i="123"/>
  <c r="Y580" i="123"/>
  <c r="V580" i="123"/>
  <c r="Y467" i="123"/>
  <c r="V467" i="123"/>
  <c r="Y424" i="123"/>
  <c r="V424" i="123"/>
  <c r="Y525" i="123"/>
  <c r="V525" i="123"/>
  <c r="Y553" i="123"/>
  <c r="V553" i="123"/>
  <c r="Y495" i="123"/>
  <c r="V495" i="123"/>
  <c r="Y508" i="123"/>
  <c r="V508" i="123"/>
  <c r="Y547" i="123"/>
  <c r="V547" i="123"/>
  <c r="Y571" i="123"/>
  <c r="V571" i="123"/>
  <c r="Y521" i="123"/>
  <c r="V521" i="123"/>
  <c r="Y463" i="123"/>
  <c r="V463" i="123"/>
  <c r="Y480" i="123"/>
  <c r="V480" i="123"/>
  <c r="Y532" i="123"/>
  <c r="V532" i="123"/>
  <c r="Y574" i="123"/>
  <c r="V574" i="123"/>
  <c r="Y494" i="123"/>
  <c r="V494" i="123"/>
  <c r="Y460" i="123"/>
  <c r="V460" i="123"/>
  <c r="Y473" i="123"/>
  <c r="V473" i="123"/>
  <c r="Y442" i="123"/>
  <c r="V442" i="123"/>
  <c r="Y524" i="123"/>
  <c r="V524" i="123"/>
  <c r="Y439" i="123"/>
  <c r="V439" i="123"/>
  <c r="Y436" i="123"/>
  <c r="V436" i="123"/>
  <c r="Y427" i="123"/>
  <c r="V427" i="123"/>
  <c r="Y435" i="123"/>
  <c r="V435" i="123"/>
  <c r="Y466" i="123"/>
  <c r="V466" i="123"/>
  <c r="Y520" i="123"/>
  <c r="V520" i="123"/>
  <c r="Y509" i="123"/>
  <c r="V509" i="123"/>
  <c r="Y559" i="123"/>
  <c r="V559" i="123"/>
  <c r="Y422" i="123"/>
  <c r="V422" i="123"/>
  <c r="Y479" i="123"/>
  <c r="V479" i="123"/>
  <c r="Y512" i="123"/>
  <c r="V512" i="123"/>
  <c r="Y560" i="123"/>
  <c r="V560" i="123"/>
  <c r="Y474" i="123"/>
  <c r="V474" i="123"/>
  <c r="Y544" i="123"/>
  <c r="V544" i="123"/>
  <c r="Y493" i="123"/>
  <c r="V493" i="123"/>
  <c r="Y551" i="123"/>
  <c r="V551" i="123"/>
  <c r="Y445" i="123"/>
  <c r="V445" i="123"/>
  <c r="Y451" i="123"/>
  <c r="V451" i="123"/>
  <c r="Y457" i="123"/>
  <c r="V457" i="123"/>
  <c r="Y497" i="123"/>
  <c r="V497" i="123"/>
  <c r="Y568" i="123"/>
  <c r="V568" i="123"/>
  <c r="Y471" i="123"/>
  <c r="V471" i="123"/>
  <c r="Y477" i="123"/>
  <c r="V477" i="123"/>
  <c r="Y570" i="123"/>
  <c r="V570" i="123"/>
  <c r="Y572" i="123"/>
  <c r="V572" i="123"/>
  <c r="Y515" i="123"/>
  <c r="V515" i="123"/>
  <c r="Y517" i="123"/>
  <c r="V517" i="123"/>
  <c r="Y489" i="123"/>
  <c r="V489" i="123"/>
  <c r="Y490" i="123"/>
  <c r="V490" i="123"/>
  <c r="Y426" i="123"/>
  <c r="V426" i="123"/>
  <c r="Y452" i="123"/>
  <c r="V452" i="123"/>
  <c r="Y469" i="123"/>
  <c r="V469" i="123"/>
  <c r="Y565" i="123"/>
  <c r="V565" i="123"/>
  <c r="Y552" i="123"/>
  <c r="V552" i="123"/>
  <c r="Y575" i="123"/>
  <c r="V575" i="123"/>
  <c r="Y536" i="123"/>
  <c r="V536" i="123"/>
  <c r="Y555" i="123"/>
  <c r="V555" i="123"/>
  <c r="Y448" i="123"/>
  <c r="V448" i="123"/>
  <c r="Y546" i="123"/>
  <c r="V546" i="123"/>
  <c r="Y459" i="123"/>
  <c r="V459" i="123"/>
  <c r="Y534" i="123"/>
  <c r="V534" i="123"/>
  <c r="Y492" i="123"/>
  <c r="V492" i="123"/>
  <c r="Y453" i="123"/>
  <c r="V453" i="123"/>
  <c r="Y550" i="123"/>
  <c r="V550" i="123"/>
  <c r="V3" i="123"/>
  <c r="Y18" i="124"/>
  <c r="Y26" i="124"/>
  <c r="AB26" i="124" s="1"/>
  <c r="AC26" i="124" s="1"/>
  <c r="Y16" i="124"/>
  <c r="Y58" i="124"/>
  <c r="AB58" i="124" s="1"/>
  <c r="Y38" i="124"/>
  <c r="Y17" i="124"/>
  <c r="AB17" i="124" s="1"/>
  <c r="AC17" i="124" s="1"/>
  <c r="Y34" i="124"/>
  <c r="AB34" i="124" s="1"/>
  <c r="Z11" i="123"/>
  <c r="S52" i="123"/>
  <c r="Z52" i="123"/>
  <c r="AA52" i="123" s="1"/>
  <c r="Y478" i="124"/>
  <c r="AB478" i="124" s="1"/>
  <c r="Y396" i="124"/>
  <c r="AB396" i="124" s="1"/>
  <c r="Y388" i="124"/>
  <c r="AB388" i="124" s="1"/>
  <c r="Y420" i="124"/>
  <c r="AB420" i="124" s="1"/>
  <c r="Y422" i="124"/>
  <c r="AB422" i="124" s="1"/>
  <c r="Y381" i="124"/>
  <c r="AB381" i="124" s="1"/>
  <c r="Y358" i="124"/>
  <c r="AB358" i="124" s="1"/>
  <c r="Y530" i="124"/>
  <c r="AB530" i="124" s="1"/>
  <c r="Y417" i="124"/>
  <c r="AB417" i="124" s="1"/>
  <c r="Y423" i="124"/>
  <c r="AB423" i="124" s="1"/>
  <c r="Y498" i="124"/>
  <c r="AB498" i="124" s="1"/>
  <c r="Y443" i="124"/>
  <c r="AB443" i="124" s="1"/>
  <c r="Y402" i="124"/>
  <c r="AB402" i="124" s="1"/>
  <c r="Y437" i="124"/>
  <c r="AB437" i="124" s="1"/>
  <c r="Y584" i="124"/>
  <c r="AB584" i="124" s="1"/>
  <c r="Y355" i="124"/>
  <c r="AB355" i="124" s="1"/>
  <c r="Y492" i="124"/>
  <c r="AB492" i="124" s="1"/>
  <c r="Y528" i="124"/>
  <c r="AB528" i="124" s="1"/>
  <c r="Y438" i="124"/>
  <c r="AB438" i="124" s="1"/>
  <c r="Y570" i="124"/>
  <c r="AB570" i="124" s="1"/>
  <c r="Y540" i="124"/>
  <c r="AB540" i="124" s="1"/>
  <c r="Y409" i="124"/>
  <c r="AB409" i="124" s="1"/>
  <c r="Y491" i="124"/>
  <c r="AB491" i="124" s="1"/>
  <c r="Y552" i="124"/>
  <c r="AB552" i="124" s="1"/>
  <c r="Y357" i="124"/>
  <c r="AB357" i="124" s="1"/>
  <c r="Y579" i="124"/>
  <c r="AB579" i="124" s="1"/>
  <c r="Y522" i="124"/>
  <c r="AB522" i="124" s="1"/>
  <c r="Y410" i="124"/>
  <c r="AB410" i="124" s="1"/>
  <c r="Y378" i="124"/>
  <c r="AB378" i="124" s="1"/>
  <c r="Y500" i="124"/>
  <c r="AB500" i="124" s="1"/>
  <c r="Y577" i="124"/>
  <c r="AB577" i="124" s="1"/>
  <c r="Y531" i="124"/>
  <c r="AB531" i="124" s="1"/>
  <c r="Y532" i="124"/>
  <c r="AB532" i="124" s="1"/>
  <c r="Y447" i="124"/>
  <c r="AB447" i="124" s="1"/>
  <c r="Y506" i="124"/>
  <c r="AB506" i="124" s="1"/>
  <c r="Y487" i="124"/>
  <c r="AB487" i="124" s="1"/>
  <c r="Y373" i="124"/>
  <c r="AB373" i="124" s="1"/>
  <c r="Y399" i="124"/>
  <c r="AB399" i="124" s="1"/>
  <c r="Y515" i="124"/>
  <c r="AB515" i="124" s="1"/>
  <c r="Y398" i="124"/>
  <c r="AB398" i="124" s="1"/>
  <c r="Y401" i="124"/>
  <c r="AB401" i="124" s="1"/>
  <c r="Y495" i="124"/>
  <c r="AB495" i="124" s="1"/>
  <c r="Y541" i="124"/>
  <c r="AB541" i="124" s="1"/>
  <c r="Y377" i="124"/>
  <c r="AB377" i="124" s="1"/>
  <c r="Y397" i="124"/>
  <c r="AB397" i="124" s="1"/>
  <c r="Y379" i="124"/>
  <c r="AB379" i="124" s="1"/>
  <c r="Y505" i="124"/>
  <c r="AB505" i="124" s="1"/>
  <c r="Y375" i="124"/>
  <c r="AB375" i="124" s="1"/>
  <c r="Y380" i="124"/>
  <c r="AB380" i="124" s="1"/>
  <c r="R38" i="124"/>
  <c r="S38" i="124"/>
  <c r="S478" i="124"/>
  <c r="S396" i="124"/>
  <c r="R18" i="124"/>
  <c r="S18" i="124"/>
  <c r="R34" i="124"/>
  <c r="S34" i="124"/>
  <c r="S388" i="124"/>
  <c r="S420" i="124"/>
  <c r="R422" i="124"/>
  <c r="S422" i="124"/>
  <c r="S381" i="124"/>
  <c r="S358" i="124"/>
  <c r="S530" i="124"/>
  <c r="S417" i="124"/>
  <c r="S423" i="124"/>
  <c r="R58" i="124"/>
  <c r="S58" i="124"/>
  <c r="S498" i="124"/>
  <c r="S443" i="124"/>
  <c r="S402" i="124"/>
  <c r="S437" i="124"/>
  <c r="S584" i="124"/>
  <c r="S355" i="124"/>
  <c r="S492" i="124"/>
  <c r="S528" i="124"/>
  <c r="S438" i="124"/>
  <c r="S570" i="124"/>
  <c r="S540" i="124"/>
  <c r="S409" i="124"/>
  <c r="S491" i="124"/>
  <c r="R16" i="124"/>
  <c r="S16" i="124"/>
  <c r="S552" i="124"/>
  <c r="S357" i="124"/>
  <c r="S579" i="124"/>
  <c r="S522" i="124"/>
  <c r="S410" i="124"/>
  <c r="S378" i="124"/>
  <c r="S500" i="124"/>
  <c r="S577" i="124"/>
  <c r="S531" i="124"/>
  <c r="S532" i="124"/>
  <c r="R26" i="124"/>
  <c r="S447" i="124"/>
  <c r="S506" i="124"/>
  <c r="S487" i="124"/>
  <c r="S373" i="124"/>
  <c r="S399" i="124"/>
  <c r="S515" i="124"/>
  <c r="S398" i="124"/>
  <c r="S401" i="124"/>
  <c r="S495" i="124"/>
  <c r="R17" i="124"/>
  <c r="S17" i="124"/>
  <c r="S541" i="124"/>
  <c r="S377" i="124"/>
  <c r="S397" i="124"/>
  <c r="S379" i="124"/>
  <c r="S505" i="124"/>
  <c r="S375" i="124"/>
  <c r="R478" i="124"/>
  <c r="R396" i="124"/>
  <c r="R388" i="124"/>
  <c r="R420" i="124"/>
  <c r="R381" i="124"/>
  <c r="R358" i="124"/>
  <c r="R530" i="124"/>
  <c r="R382" i="124"/>
  <c r="R417" i="124"/>
  <c r="R423" i="124"/>
  <c r="R498" i="124"/>
  <c r="R443" i="124"/>
  <c r="R402" i="124"/>
  <c r="R437" i="124"/>
  <c r="R584" i="124"/>
  <c r="R355" i="124"/>
  <c r="R492" i="124"/>
  <c r="R528" i="124"/>
  <c r="R438" i="124"/>
  <c r="R570" i="124"/>
  <c r="R540" i="124"/>
  <c r="R409" i="124"/>
  <c r="R491" i="124"/>
  <c r="R552" i="124"/>
  <c r="R357" i="124"/>
  <c r="R579" i="124"/>
  <c r="R522" i="124"/>
  <c r="R410" i="124"/>
  <c r="R378" i="124"/>
  <c r="R500" i="124"/>
  <c r="R577" i="124"/>
  <c r="R531" i="124"/>
  <c r="R532" i="124"/>
  <c r="R447" i="124"/>
  <c r="R506" i="124"/>
  <c r="R487" i="124"/>
  <c r="R373" i="124"/>
  <c r="R399" i="124"/>
  <c r="R515" i="124"/>
  <c r="R398" i="124"/>
  <c r="R401" i="124"/>
  <c r="R495" i="124"/>
  <c r="R541" i="124"/>
  <c r="R377" i="124"/>
  <c r="R397" i="124"/>
  <c r="R379" i="124"/>
  <c r="R505" i="124"/>
  <c r="R375" i="124"/>
  <c r="R380" i="124"/>
  <c r="Z290" i="123"/>
  <c r="Z82" i="123"/>
  <c r="Z13" i="123"/>
  <c r="AA13" i="123" s="1"/>
  <c r="Z76" i="123"/>
  <c r="Z87" i="123"/>
  <c r="Z100" i="123"/>
  <c r="Z71" i="123"/>
  <c r="Z38" i="123"/>
  <c r="AA38" i="123" s="1"/>
  <c r="Z84" i="123"/>
  <c r="Z184" i="123"/>
  <c r="Z17" i="123"/>
  <c r="AA17" i="123" s="1"/>
  <c r="Z77" i="123"/>
  <c r="Z174" i="123"/>
  <c r="Z31" i="123"/>
  <c r="AA31" i="123" s="1"/>
  <c r="Z18" i="123"/>
  <c r="AA18" i="123" s="1"/>
  <c r="Z175" i="123"/>
  <c r="Z28" i="123"/>
  <c r="AA28" i="123" s="1"/>
  <c r="Z57" i="123"/>
  <c r="Z58" i="123"/>
  <c r="AA58" i="123" s="1"/>
  <c r="Z258" i="123"/>
  <c r="Z103" i="123"/>
  <c r="AA103" i="123" s="1"/>
  <c r="Z30" i="123"/>
  <c r="AA30" i="123" s="1"/>
  <c r="Z34" i="123"/>
  <c r="AA34" i="123" s="1"/>
  <c r="Z177" i="123"/>
  <c r="Z142" i="123"/>
  <c r="Z125" i="123"/>
  <c r="Z61" i="123"/>
  <c r="AA61" i="123" s="1"/>
  <c r="Z182" i="123"/>
  <c r="Z90" i="123"/>
  <c r="Z192" i="123"/>
  <c r="Z26" i="123"/>
  <c r="AA26" i="123" s="1"/>
  <c r="Z185" i="123"/>
  <c r="Z15" i="123"/>
  <c r="AA15" i="123" s="1"/>
  <c r="Z66" i="123"/>
  <c r="AA66" i="123" s="1"/>
  <c r="Z86" i="123"/>
  <c r="AA86" i="123" s="1"/>
  <c r="Z60" i="123"/>
  <c r="AA60" i="123" s="1"/>
  <c r="Z176" i="123"/>
  <c r="Z216" i="123"/>
  <c r="Z27" i="123"/>
  <c r="AA27" i="123" s="1"/>
  <c r="Z25" i="123"/>
  <c r="AA25" i="123" s="1"/>
  <c r="Z83" i="123"/>
  <c r="Z188" i="123"/>
  <c r="Z197" i="123"/>
  <c r="Z35" i="123"/>
  <c r="Z183" i="123"/>
  <c r="Z39" i="123"/>
  <c r="AA39" i="123" s="1"/>
  <c r="Z256" i="123"/>
  <c r="Z257" i="123"/>
  <c r="Z14" i="123"/>
  <c r="AA14" i="123" s="1"/>
  <c r="Z16" i="123"/>
  <c r="AA16" i="123" s="1"/>
  <c r="Z110" i="123"/>
  <c r="Z5" i="123"/>
  <c r="AA5" i="123" s="1"/>
  <c r="Z36" i="123"/>
  <c r="AA36" i="123" s="1"/>
  <c r="Z17" i="124"/>
  <c r="AA17" i="124" s="1"/>
  <c r="Z38" i="124"/>
  <c r="AA38" i="124" s="1"/>
  <c r="Z18" i="124"/>
  <c r="AA18" i="124" s="1"/>
  <c r="Z34" i="124"/>
  <c r="Z58" i="124"/>
  <c r="AA58" i="124" s="1"/>
  <c r="Z16" i="124"/>
  <c r="AA16" i="124" s="1"/>
  <c r="Z410" i="124"/>
  <c r="AA410" i="124" s="1"/>
  <c r="Z378" i="124"/>
  <c r="AA378" i="124" s="1"/>
  <c r="Z531" i="124"/>
  <c r="AA531" i="124" s="1"/>
  <c r="Z506" i="124"/>
  <c r="AA506" i="124" s="1"/>
  <c r="Z399" i="124"/>
  <c r="AA399" i="124" s="1"/>
  <c r="Z515" i="124"/>
  <c r="AA515" i="124" s="1"/>
  <c r="Z398" i="124"/>
  <c r="AA398" i="124" s="1"/>
  <c r="Z401" i="124"/>
  <c r="AA401" i="124" s="1"/>
  <c r="Z495" i="124"/>
  <c r="AA495" i="124" s="1"/>
  <c r="Z541" i="124"/>
  <c r="AA541" i="124" s="1"/>
  <c r="Z397" i="124"/>
  <c r="AA397" i="124" s="1"/>
  <c r="Z379" i="124"/>
  <c r="AA379" i="124" s="1"/>
  <c r="Z505" i="124"/>
  <c r="AA505" i="124" s="1"/>
  <c r="Z375" i="124"/>
  <c r="AA375" i="124" s="1"/>
  <c r="Z396" i="124"/>
  <c r="AA396" i="124" s="1"/>
  <c r="Z388" i="124"/>
  <c r="AA388" i="124" s="1"/>
  <c r="Z420" i="124"/>
  <c r="AA420" i="124" s="1"/>
  <c r="Z422" i="124"/>
  <c r="AA422" i="124" s="1"/>
  <c r="Z381" i="124"/>
  <c r="AA381" i="124" s="1"/>
  <c r="Z417" i="124"/>
  <c r="AA417" i="124" s="1"/>
  <c r="Z423" i="124"/>
  <c r="AA423" i="124" s="1"/>
  <c r="Z584" i="124"/>
  <c r="Z355" i="124"/>
  <c r="AA355" i="124" s="1"/>
  <c r="Z492" i="124"/>
  <c r="AA492" i="124" s="1"/>
  <c r="Z579" i="124"/>
  <c r="AA579" i="124" s="1"/>
  <c r="Z500" i="124"/>
  <c r="AA500" i="124" s="1"/>
  <c r="Z577" i="124"/>
  <c r="AA577" i="124" s="1"/>
  <c r="Z532" i="124"/>
  <c r="AA532" i="124" s="1"/>
  <c r="Z447" i="124"/>
  <c r="AA447" i="124" s="1"/>
  <c r="Z487" i="124"/>
  <c r="AA487" i="124" s="1"/>
  <c r="Z373" i="124"/>
  <c r="AA373" i="124" s="1"/>
  <c r="Z377" i="124"/>
  <c r="AA377" i="124" s="1"/>
  <c r="Z478" i="124"/>
  <c r="AA478" i="124" s="1"/>
  <c r="Z358" i="124"/>
  <c r="AA358" i="124" s="1"/>
  <c r="Z530" i="124"/>
  <c r="AA530" i="124" s="1"/>
  <c r="Z498" i="124"/>
  <c r="AA498" i="124" s="1"/>
  <c r="Z443" i="124"/>
  <c r="AA443" i="124" s="1"/>
  <c r="Z402" i="124"/>
  <c r="AA402" i="124" s="1"/>
  <c r="Z437" i="124"/>
  <c r="AA437" i="124" s="1"/>
  <c r="Z528" i="124"/>
  <c r="AA528" i="124" s="1"/>
  <c r="Z438" i="124"/>
  <c r="AA438" i="124" s="1"/>
  <c r="Z570" i="124"/>
  <c r="AA570" i="124" s="1"/>
  <c r="Z540" i="124"/>
  <c r="AA540" i="124" s="1"/>
  <c r="Z409" i="124"/>
  <c r="AA409" i="124" s="1"/>
  <c r="Z491" i="124"/>
  <c r="AA491" i="124" s="1"/>
  <c r="Z357" i="124"/>
  <c r="AA357" i="124" s="1"/>
  <c r="Z522" i="124"/>
  <c r="AA522" i="124" s="1"/>
  <c r="S60" i="123"/>
  <c r="Y216" i="123"/>
  <c r="S27" i="123"/>
  <c r="Y25" i="123"/>
  <c r="Y35" i="123"/>
  <c r="S39" i="123"/>
  <c r="Y256" i="123"/>
  <c r="Y257" i="123"/>
  <c r="Y36" i="123"/>
  <c r="Y38" i="123"/>
  <c r="Y31" i="123"/>
  <c r="Y28" i="123"/>
  <c r="Y26" i="123"/>
  <c r="DT15" i="108"/>
  <c r="DZ15" i="108"/>
  <c r="DU11" i="108"/>
  <c r="M45" i="126"/>
  <c r="M46" i="126"/>
  <c r="I85" i="126" a="1"/>
  <c r="I85" i="126" s="1"/>
  <c r="C90" i="126"/>
  <c r="C91" i="126"/>
  <c r="C92" i="126"/>
  <c r="C87" i="126"/>
  <c r="C89" i="126"/>
  <c r="C88" i="126"/>
  <c r="G76" i="126"/>
  <c r="G77" i="126"/>
  <c r="G66" i="126"/>
  <c r="G72" i="126"/>
  <c r="G67" i="126"/>
  <c r="G73" i="126"/>
  <c r="G68" i="126"/>
  <c r="G74" i="126"/>
  <c r="G69" i="126"/>
  <c r="G70" i="126"/>
  <c r="G71" i="126"/>
  <c r="G64" i="126"/>
  <c r="G59" i="126"/>
  <c r="G60" i="126"/>
  <c r="G61" i="126"/>
  <c r="G62" i="126"/>
  <c r="F55" i="126"/>
  <c r="F77" i="126" s="1"/>
  <c r="I55" i="126"/>
  <c r="F13" i="126"/>
  <c r="V89" i="124"/>
  <c r="AF89" i="124"/>
  <c r="V63" i="124"/>
  <c r="AF63" i="124"/>
  <c r="V180" i="124"/>
  <c r="AF180" i="124"/>
  <c r="V157" i="124"/>
  <c r="AF157" i="124"/>
  <c r="V64" i="124"/>
  <c r="AF64" i="124"/>
  <c r="V167" i="124"/>
  <c r="AF167" i="124"/>
  <c r="V12" i="124"/>
  <c r="AF12" i="124"/>
  <c r="V148" i="124"/>
  <c r="AF148" i="124"/>
  <c r="V102" i="124"/>
  <c r="AF102" i="124"/>
  <c r="V122" i="124"/>
  <c r="AF122" i="124"/>
  <c r="V98" i="124"/>
  <c r="AF98" i="124"/>
  <c r="V163" i="124"/>
  <c r="AF163" i="124"/>
  <c r="V87" i="124"/>
  <c r="AF87" i="124"/>
  <c r="V476" i="124"/>
  <c r="AF476" i="124"/>
  <c r="V178" i="124"/>
  <c r="AF178" i="124"/>
  <c r="V11" i="124"/>
  <c r="AF11" i="124"/>
  <c r="V145" i="124"/>
  <c r="AF145" i="124"/>
  <c r="V135" i="124"/>
  <c r="AF135" i="124"/>
  <c r="V168" i="124"/>
  <c r="AF168" i="124"/>
  <c r="V124" i="124"/>
  <c r="AF124" i="124"/>
  <c r="V144" i="124"/>
  <c r="AF144" i="124"/>
  <c r="V120" i="124"/>
  <c r="AF120" i="124"/>
  <c r="V162" i="124"/>
  <c r="AF162" i="124"/>
  <c r="V117" i="124"/>
  <c r="AF117" i="124"/>
  <c r="V136" i="124"/>
  <c r="AF136" i="124"/>
  <c r="V113" i="124"/>
  <c r="AF113" i="124"/>
  <c r="V127" i="124"/>
  <c r="AF127" i="124"/>
  <c r="V147" i="124"/>
  <c r="AF147" i="124"/>
  <c r="V123" i="124"/>
  <c r="AF123" i="124"/>
  <c r="V114" i="124"/>
  <c r="AF114" i="124"/>
  <c r="V104" i="124"/>
  <c r="AF104" i="124"/>
  <c r="V182" i="124"/>
  <c r="AF182" i="124"/>
  <c r="V76" i="124"/>
  <c r="AF76" i="124"/>
  <c r="V81" i="124"/>
  <c r="AF81" i="124"/>
  <c r="V138" i="124"/>
  <c r="AF138" i="124"/>
  <c r="V158" i="124"/>
  <c r="AF158" i="124"/>
  <c r="V134" i="124"/>
  <c r="AF134" i="124"/>
  <c r="V177" i="124"/>
  <c r="AF177" i="124"/>
  <c r="V125" i="124"/>
  <c r="AF125" i="124"/>
  <c r="V101" i="124"/>
  <c r="AF101" i="124"/>
  <c r="V91" i="124"/>
  <c r="AF91" i="124"/>
  <c r="V126" i="124"/>
  <c r="AF126" i="124"/>
  <c r="V78" i="124"/>
  <c r="AF78" i="124"/>
  <c r="V100" i="124"/>
  <c r="AF100" i="124"/>
  <c r="V74" i="124"/>
  <c r="AF74" i="124"/>
  <c r="V118" i="124"/>
  <c r="AF118" i="124"/>
  <c r="V70" i="124"/>
  <c r="AF70" i="124"/>
  <c r="V92" i="124"/>
  <c r="AF92" i="124"/>
  <c r="V66" i="124"/>
  <c r="AF66" i="124"/>
  <c r="V112" i="124"/>
  <c r="AF112" i="124"/>
  <c r="V103" i="124"/>
  <c r="AF103" i="124"/>
  <c r="V77" i="124"/>
  <c r="AF77" i="124"/>
  <c r="V67" i="124"/>
  <c r="AF67" i="124"/>
  <c r="V183" i="124"/>
  <c r="AF183" i="124"/>
  <c r="V159" i="124"/>
  <c r="AF159" i="124"/>
  <c r="V151" i="124"/>
  <c r="AF151" i="124"/>
  <c r="V140" i="124"/>
  <c r="AF140" i="124"/>
  <c r="V94" i="124"/>
  <c r="AF94" i="124"/>
  <c r="V115" i="124"/>
  <c r="AF115" i="124"/>
  <c r="V90" i="124"/>
  <c r="AF90" i="124"/>
  <c r="V156" i="124"/>
  <c r="AF156" i="124"/>
  <c r="V79" i="124"/>
  <c r="AF79" i="124"/>
  <c r="V184" i="124"/>
  <c r="AF184" i="124"/>
  <c r="V170" i="124"/>
  <c r="AF170" i="124"/>
  <c r="V80" i="124"/>
  <c r="AF80" i="124"/>
  <c r="V181" i="124"/>
  <c r="AF181" i="124"/>
  <c r="V171" i="124"/>
  <c r="AF171" i="124"/>
  <c r="V72" i="124"/>
  <c r="AF72" i="124"/>
  <c r="V173" i="124"/>
  <c r="AF173" i="124"/>
  <c r="V165" i="124"/>
  <c r="AF165" i="124"/>
  <c r="V149" i="124"/>
  <c r="AF149" i="124"/>
  <c r="V174" i="124"/>
  <c r="AF174" i="124"/>
  <c r="V172" i="124"/>
  <c r="AF172" i="124"/>
  <c r="V150" i="124"/>
  <c r="AF150" i="124"/>
  <c r="V65" i="124"/>
  <c r="AF65" i="124"/>
  <c r="V139" i="124"/>
  <c r="AF139" i="124"/>
  <c r="V116" i="124"/>
  <c r="AF116" i="124"/>
  <c r="V7" i="124"/>
  <c r="AF7" i="124"/>
  <c r="V96" i="124"/>
  <c r="AF96" i="124"/>
  <c r="V3" i="124"/>
  <c r="AF3" i="124"/>
  <c r="V68" i="124"/>
  <c r="AF68" i="124"/>
  <c r="V176" i="124"/>
  <c r="AF176" i="124"/>
  <c r="V130" i="124"/>
  <c r="AF130" i="124"/>
  <c r="V152" i="124"/>
  <c r="AF152" i="124"/>
  <c r="V128" i="124"/>
  <c r="AF128" i="124"/>
  <c r="V133" i="124"/>
  <c r="AF133" i="124"/>
  <c r="V161" i="124"/>
  <c r="AF161" i="124"/>
  <c r="V137" i="124"/>
  <c r="AF137" i="124"/>
  <c r="V10" i="124"/>
  <c r="AF10" i="124"/>
  <c r="V185" i="124"/>
  <c r="AF185" i="124"/>
  <c r="V13" i="124"/>
  <c r="AF13" i="124"/>
  <c r="V129" i="124"/>
  <c r="AF129" i="124"/>
  <c r="V121" i="124"/>
  <c r="AF121" i="124"/>
  <c r="V155" i="124"/>
  <c r="AF155" i="124"/>
  <c r="V109" i="124"/>
  <c r="AF109" i="124"/>
  <c r="V6" i="124"/>
  <c r="AF6" i="124"/>
  <c r="V106" i="124"/>
  <c r="AF106" i="124"/>
  <c r="V105" i="124"/>
  <c r="AF105" i="124"/>
  <c r="V95" i="124"/>
  <c r="AF95" i="124"/>
  <c r="V69" i="124"/>
  <c r="AF69" i="124"/>
  <c r="V186" i="124"/>
  <c r="AF186" i="124"/>
  <c r="V175" i="124"/>
  <c r="AF175" i="124"/>
  <c r="V153" i="124"/>
  <c r="AF153" i="124"/>
  <c r="V143" i="124"/>
  <c r="AF143" i="124"/>
  <c r="V132" i="124"/>
  <c r="AF132" i="124"/>
  <c r="V86" i="124"/>
  <c r="AF86" i="124"/>
  <c r="V107" i="124"/>
  <c r="AF107" i="124"/>
  <c r="V82" i="124"/>
  <c r="AF82" i="124"/>
  <c r="V119" i="124"/>
  <c r="AF119" i="124"/>
  <c r="V8" i="124"/>
  <c r="AF8" i="124"/>
  <c r="V93" i="124"/>
  <c r="AF93" i="124"/>
  <c r="V83" i="124"/>
  <c r="AF83" i="124"/>
  <c r="V169" i="124"/>
  <c r="AF169" i="124"/>
  <c r="V110" i="124"/>
  <c r="AF110" i="124"/>
  <c r="V85" i="124"/>
  <c r="AF85" i="124"/>
  <c r="V75" i="124"/>
  <c r="AF75" i="124"/>
  <c r="V111" i="124"/>
  <c r="AF111" i="124"/>
  <c r="V62" i="124"/>
  <c r="AF62" i="124"/>
  <c r="V84" i="124"/>
  <c r="AF84" i="124"/>
  <c r="V141" i="124"/>
  <c r="AF141" i="124"/>
  <c r="V154" i="124"/>
  <c r="AF154" i="124"/>
  <c r="V166" i="124"/>
  <c r="AF166" i="124"/>
  <c r="V142" i="124"/>
  <c r="AF142" i="124"/>
  <c r="V73" i="124"/>
  <c r="AF73" i="124"/>
  <c r="V131" i="124"/>
  <c r="AF131" i="124"/>
  <c r="V108" i="124"/>
  <c r="AF108" i="124"/>
  <c r="V99" i="124"/>
  <c r="AF99" i="124"/>
  <c r="V88" i="124"/>
  <c r="AF88" i="124"/>
  <c r="V146" i="124"/>
  <c r="AF146" i="124"/>
  <c r="V179" i="124"/>
  <c r="AF179" i="124"/>
  <c r="V97" i="124"/>
  <c r="AF97" i="124"/>
  <c r="V71" i="124"/>
  <c r="AF71" i="124"/>
  <c r="V160" i="124"/>
  <c r="AF160" i="124"/>
  <c r="V164" i="124"/>
  <c r="AF164" i="124"/>
  <c r="EA11" i="108"/>
  <c r="EB14" i="108"/>
  <c r="DY11" i="108"/>
  <c r="DY15" i="108"/>
  <c r="V559" i="124"/>
  <c r="AF559" i="124"/>
  <c r="V473" i="124"/>
  <c r="AF473" i="124"/>
  <c r="V510" i="124"/>
  <c r="AF510" i="124"/>
  <c r="R11" i="123"/>
  <c r="T11" i="123" s="1"/>
  <c r="S11" i="123"/>
  <c r="Y11" i="123"/>
  <c r="V521" i="124"/>
  <c r="AF521" i="124"/>
  <c r="V572" i="124"/>
  <c r="AF572" i="124"/>
  <c r="Y57" i="123"/>
  <c r="R57" i="123"/>
  <c r="T57" i="123" s="1"/>
  <c r="S57" i="123"/>
  <c r="S58" i="123"/>
  <c r="R58" i="123"/>
  <c r="T58" i="123" s="1"/>
  <c r="Y58" i="123"/>
  <c r="S38" i="123"/>
  <c r="R38" i="123"/>
  <c r="T38" i="123" s="1"/>
  <c r="Y39" i="123"/>
  <c r="R39" i="123"/>
  <c r="T39" i="123" s="1"/>
  <c r="Y27" i="123"/>
  <c r="S35" i="123"/>
  <c r="R35" i="123"/>
  <c r="T35" i="123" s="1"/>
  <c r="R31" i="123"/>
  <c r="T31" i="123" s="1"/>
  <c r="S31" i="123"/>
  <c r="R28" i="123"/>
  <c r="T28" i="123" s="1"/>
  <c r="R5" i="123"/>
  <c r="T5" i="123" s="1"/>
  <c r="Y5" i="123"/>
  <c r="S28" i="123"/>
  <c r="S5" i="123"/>
  <c r="S26" i="123"/>
  <c r="R15" i="123"/>
  <c r="T15" i="123" s="1"/>
  <c r="R26" i="123"/>
  <c r="T26" i="123" s="1"/>
  <c r="S15" i="123"/>
  <c r="Y15" i="123"/>
  <c r="S34" i="123"/>
  <c r="AF258" i="124"/>
  <c r="AF327" i="124"/>
  <c r="R256" i="123"/>
  <c r="T256" i="123" s="1"/>
  <c r="V37" i="124"/>
  <c r="S256" i="123"/>
  <c r="AF221" i="124"/>
  <c r="R27" i="123"/>
  <c r="T27" i="123" s="1"/>
  <c r="V345" i="124"/>
  <c r="V299" i="124"/>
  <c r="S36" i="123"/>
  <c r="R36" i="123"/>
  <c r="T36" i="123" s="1"/>
  <c r="R257" i="123"/>
  <c r="T257" i="123" s="1"/>
  <c r="S257" i="123"/>
  <c r="S216" i="123"/>
  <c r="R34" i="123"/>
  <c r="T34" i="123" s="1"/>
  <c r="Y258" i="123"/>
  <c r="Y60" i="123"/>
  <c r="R258" i="123"/>
  <c r="T258" i="123" s="1"/>
  <c r="R60" i="123"/>
  <c r="T60" i="123" s="1"/>
  <c r="R216" i="123"/>
  <c r="T216" i="123" s="1"/>
  <c r="AF270" i="124"/>
  <c r="V408" i="124"/>
  <c r="S258" i="123"/>
  <c r="R25" i="123"/>
  <c r="T25" i="123" s="1"/>
  <c r="Y34" i="123"/>
  <c r="AF375" i="124"/>
  <c r="AF5" i="124"/>
  <c r="AF26" i="124"/>
  <c r="S25" i="123"/>
  <c r="S61" i="123"/>
  <c r="R61" i="123"/>
  <c r="T61" i="123" s="1"/>
  <c r="Y192" i="123"/>
  <c r="R192" i="123"/>
  <c r="T192" i="123" s="1"/>
  <c r="S192" i="123"/>
  <c r="R30" i="123"/>
  <c r="T30" i="123" s="1"/>
  <c r="Y30" i="123"/>
  <c r="Y66" i="123"/>
  <c r="R66" i="123"/>
  <c r="T66" i="123" s="1"/>
  <c r="S66" i="123"/>
  <c r="Y86" i="123"/>
  <c r="S86" i="123"/>
  <c r="R86" i="123"/>
  <c r="T86" i="123" s="1"/>
  <c r="Y177" i="123"/>
  <c r="R177" i="123"/>
  <c r="T177" i="123" s="1"/>
  <c r="S177" i="123"/>
  <c r="Y100" i="123"/>
  <c r="R100" i="123"/>
  <c r="T100" i="123" s="1"/>
  <c r="S100" i="123"/>
  <c r="Y125" i="123"/>
  <c r="R125" i="123"/>
  <c r="T125" i="123" s="1"/>
  <c r="S125" i="123"/>
  <c r="Y71" i="123"/>
  <c r="R71" i="123"/>
  <c r="T71" i="123" s="1"/>
  <c r="S71" i="123"/>
  <c r="S30" i="123"/>
  <c r="Y84" i="123"/>
  <c r="R84" i="123"/>
  <c r="T84" i="123" s="1"/>
  <c r="S84" i="123"/>
  <c r="Y14" i="123"/>
  <c r="R14" i="123"/>
  <c r="T14" i="123" s="1"/>
  <c r="S14" i="123"/>
  <c r="Y174" i="123"/>
  <c r="S174" i="123"/>
  <c r="R174" i="123"/>
  <c r="T174" i="123" s="1"/>
  <c r="Y61" i="123"/>
  <c r="Y82" i="123"/>
  <c r="R82" i="123"/>
  <c r="T82" i="123" s="1"/>
  <c r="S82" i="123"/>
  <c r="Y13" i="123"/>
  <c r="R13" i="123"/>
  <c r="T13" i="123" s="1"/>
  <c r="S13" i="123"/>
  <c r="R176" i="123"/>
  <c r="T176" i="123" s="1"/>
  <c r="Y176" i="123"/>
  <c r="S176" i="123"/>
  <c r="Y76" i="123"/>
  <c r="R76" i="123"/>
  <c r="T76" i="123" s="1"/>
  <c r="S76" i="123"/>
  <c r="Y188" i="123"/>
  <c r="R188" i="123"/>
  <c r="T188" i="123" s="1"/>
  <c r="S188" i="123"/>
  <c r="Y142" i="123"/>
  <c r="R142" i="123"/>
  <c r="T142" i="123" s="1"/>
  <c r="S142" i="123"/>
  <c r="S182" i="123"/>
  <c r="Y182" i="123"/>
  <c r="R182" i="123"/>
  <c r="T182" i="123" s="1"/>
  <c r="Y184" i="123"/>
  <c r="R184" i="123"/>
  <c r="T184" i="123" s="1"/>
  <c r="S184" i="123"/>
  <c r="R17" i="123"/>
  <c r="T17" i="123" s="1"/>
  <c r="S17" i="123"/>
  <c r="Y17" i="123"/>
  <c r="Y77" i="123"/>
  <c r="R77" i="123"/>
  <c r="T77" i="123" s="1"/>
  <c r="S77" i="123"/>
  <c r="Y16" i="123"/>
  <c r="R16" i="123"/>
  <c r="T16" i="123" s="1"/>
  <c r="S16" i="123"/>
  <c r="Y110" i="123"/>
  <c r="R110" i="123"/>
  <c r="T110" i="123" s="1"/>
  <c r="S110" i="123"/>
  <c r="Y103" i="123"/>
  <c r="R103" i="123"/>
  <c r="T103" i="123" s="1"/>
  <c r="S103" i="123"/>
  <c r="Y83" i="123"/>
  <c r="R83" i="123"/>
  <c r="T83" i="123" s="1"/>
  <c r="S83" i="123"/>
  <c r="Y87" i="123"/>
  <c r="R87" i="123"/>
  <c r="T87" i="123" s="1"/>
  <c r="S87" i="123"/>
  <c r="Y183" i="123"/>
  <c r="S183" i="123"/>
  <c r="R183" i="123"/>
  <c r="T183" i="123" s="1"/>
  <c r="Y90" i="123"/>
  <c r="R90" i="123"/>
  <c r="T90" i="123" s="1"/>
  <c r="S90" i="123"/>
  <c r="Y18" i="123"/>
  <c r="R18" i="123"/>
  <c r="T18" i="123" s="1"/>
  <c r="S18" i="123"/>
  <c r="S175" i="123"/>
  <c r="Y175" i="123"/>
  <c r="R175" i="123"/>
  <c r="T175" i="123" s="1"/>
  <c r="Y185" i="123"/>
  <c r="R185" i="123"/>
  <c r="T185" i="123" s="1"/>
  <c r="S185" i="123"/>
  <c r="R197" i="123"/>
  <c r="T197" i="123" s="1"/>
  <c r="Y197" i="123"/>
  <c r="S197" i="123"/>
  <c r="V342" i="124"/>
  <c r="AF522" i="124"/>
  <c r="V347" i="124"/>
  <c r="AF396" i="124"/>
  <c r="AF541" i="124"/>
  <c r="V190" i="124"/>
  <c r="AF250" i="124"/>
  <c r="AF326" i="124"/>
  <c r="AF226" i="124"/>
  <c r="AF23" i="124"/>
  <c r="AF577" i="124"/>
  <c r="V59" i="124"/>
  <c r="AF423" i="124"/>
  <c r="AF300" i="124"/>
  <c r="AF217" i="124"/>
  <c r="AF245" i="124"/>
  <c r="V400" i="124"/>
  <c r="V256" i="124"/>
  <c r="AF409" i="124"/>
  <c r="V42" i="124"/>
  <c r="AF492" i="124"/>
  <c r="AF292" i="124"/>
  <c r="AF247" i="124"/>
  <c r="AF379" i="124"/>
  <c r="AF263" i="124"/>
  <c r="AF240" i="124"/>
  <c r="AF254" i="124"/>
  <c r="AF332" i="124"/>
  <c r="AF495" i="124"/>
  <c r="AF18" i="124"/>
  <c r="CN18" i="124" s="1"/>
  <c r="AF310" i="124"/>
  <c r="AF204" i="124"/>
  <c r="AF331" i="124"/>
  <c r="AF330" i="124"/>
  <c r="V210" i="124"/>
  <c r="AF265" i="124"/>
  <c r="AF215" i="124"/>
  <c r="AF297" i="124"/>
  <c r="AF252" i="124"/>
  <c r="AF515" i="124"/>
  <c r="AF579" i="124"/>
  <c r="AF552" i="124"/>
  <c r="AF266" i="124"/>
  <c r="AF528" i="124"/>
  <c r="AF420" i="124"/>
  <c r="AF242" i="124"/>
  <c r="V308" i="124"/>
  <c r="AF570" i="124"/>
  <c r="V201" i="124"/>
  <c r="V329" i="124"/>
  <c r="AF312" i="124"/>
  <c r="V29" i="124"/>
  <c r="V481" i="124"/>
  <c r="V586" i="124"/>
  <c r="AF290" i="124"/>
  <c r="AF296" i="124"/>
  <c r="V371" i="124"/>
  <c r="AF239" i="124"/>
  <c r="AF303" i="124"/>
  <c r="V315" i="124"/>
  <c r="V504" i="124"/>
  <c r="V354" i="124"/>
  <c r="V403" i="124"/>
  <c r="AF232" i="124"/>
  <c r="AF410" i="124"/>
  <c r="AF417" i="124"/>
  <c r="AF251" i="124"/>
  <c r="AF358" i="124"/>
  <c r="AF32" i="124"/>
  <c r="AF262" i="124"/>
  <c r="AF198" i="124"/>
  <c r="AF530" i="124"/>
  <c r="V576" i="124"/>
  <c r="V313" i="124"/>
  <c r="V340" i="124"/>
  <c r="AF207" i="124"/>
  <c r="AF397" i="124"/>
  <c r="AF257" i="124"/>
  <c r="AF205" i="124"/>
  <c r="V281" i="124"/>
  <c r="AF304" i="124"/>
  <c r="AF289" i="124"/>
  <c r="AF314" i="124"/>
  <c r="V60" i="124"/>
  <c r="AF267" i="124"/>
  <c r="V260" i="124"/>
  <c r="AF447" i="124"/>
  <c r="V203" i="124"/>
  <c r="AF230" i="124"/>
  <c r="AF200" i="124"/>
  <c r="AF9" i="124"/>
  <c r="AF282" i="124"/>
  <c r="AF276" i="124"/>
  <c r="AF532" i="124"/>
  <c r="AF220" i="124"/>
  <c r="AF224" i="124"/>
  <c r="AF294" i="124"/>
  <c r="AF531" i="124"/>
  <c r="AF380" i="124"/>
  <c r="AF233" i="124"/>
  <c r="V55" i="124"/>
  <c r="AF336" i="124"/>
  <c r="AF505" i="124"/>
  <c r="V320" i="124"/>
  <c r="AF500" i="124"/>
  <c r="AF355" i="124"/>
  <c r="V211" i="124"/>
  <c r="V195" i="124"/>
  <c r="AF298" i="124"/>
  <c r="AF399" i="124"/>
  <c r="AF317" i="124"/>
  <c r="V361" i="124"/>
  <c r="V306" i="124"/>
  <c r="V483" i="124"/>
  <c r="V274" i="124"/>
  <c r="V21" i="124"/>
  <c r="V360" i="124"/>
  <c r="V538" i="124"/>
  <c r="V216" i="124"/>
  <c r="AF234" i="124"/>
  <c r="V356" i="124"/>
  <c r="AF339" i="124"/>
  <c r="AF268" i="124"/>
  <c r="AF225" i="124"/>
  <c r="AF357" i="124"/>
  <c r="AF346" i="124"/>
  <c r="V189" i="124"/>
  <c r="V341" i="124"/>
  <c r="V196" i="124"/>
  <c r="AF191" i="124"/>
  <c r="AF219" i="124"/>
  <c r="AF348" i="124"/>
  <c r="AF214" i="124"/>
  <c r="AF264" i="124"/>
  <c r="AF487" i="124"/>
  <c r="AF206" i="124"/>
  <c r="AF325" i="124"/>
  <c r="AF253" i="124"/>
  <c r="AF4" i="124"/>
  <c r="AF305" i="124"/>
  <c r="AF34" i="124"/>
  <c r="AF328" i="124"/>
  <c r="AF323" i="124"/>
  <c r="AF238" i="124"/>
  <c r="AF307" i="124"/>
  <c r="AF194" i="124"/>
  <c r="AF388" i="124"/>
  <c r="AF199" i="124"/>
  <c r="AF540" i="124"/>
  <c r="AF584" i="124"/>
  <c r="AF402" i="124"/>
  <c r="AF319" i="124"/>
  <c r="AF269" i="124"/>
  <c r="AF398" i="124"/>
  <c r="AF506" i="124"/>
  <c r="AF438" i="124"/>
  <c r="AF228" i="124"/>
  <c r="AF17" i="124"/>
  <c r="AF272" i="124"/>
  <c r="AF302" i="124"/>
  <c r="AF197" i="124"/>
  <c r="AF246" i="124"/>
  <c r="AF279" i="124"/>
  <c r="V202" i="124"/>
  <c r="AF192" i="124"/>
  <c r="AF277" i="124"/>
  <c r="AF47" i="124"/>
  <c r="AF344" i="124"/>
  <c r="V352" i="124"/>
  <c r="V31" i="124"/>
  <c r="V208" i="124"/>
  <c r="AF261" i="124"/>
  <c r="AF61" i="124"/>
  <c r="AF334" i="124"/>
  <c r="AF283" i="124"/>
  <c r="AF16" i="124"/>
  <c r="CN16" i="124" s="1"/>
  <c r="AF280" i="124"/>
  <c r="AF335" i="124"/>
  <c r="AF229" i="124"/>
  <c r="V370" i="124"/>
  <c r="V286" i="124"/>
  <c r="AF244" i="124"/>
  <c r="V587" i="124"/>
  <c r="V452" i="124"/>
  <c r="V582" i="124"/>
  <c r="V43" i="124"/>
  <c r="V569" i="124"/>
  <c r="V338" i="124"/>
  <c r="AF38" i="124"/>
  <c r="CN38" i="124" s="1"/>
  <c r="AF478" i="124"/>
  <c r="AF259" i="124"/>
  <c r="AF22" i="124"/>
  <c r="AF218" i="124"/>
  <c r="AF248" i="124"/>
  <c r="AF491" i="124"/>
  <c r="AF437" i="124"/>
  <c r="AF377" i="124"/>
  <c r="AF51" i="124"/>
  <c r="AF212" i="124"/>
  <c r="AF443" i="124"/>
  <c r="AF401" i="124"/>
  <c r="AF284" i="124"/>
  <c r="AF288" i="124"/>
  <c r="AF498" i="124"/>
  <c r="AF287" i="124"/>
  <c r="AF333" i="124"/>
  <c r="AF273" i="124"/>
  <c r="AF316" i="124"/>
  <c r="V428" i="124"/>
  <c r="AF213" i="124"/>
  <c r="AF337" i="124"/>
  <c r="V485" i="124"/>
  <c r="AF223" i="124"/>
  <c r="AF237" i="124"/>
  <c r="AF422" i="124"/>
  <c r="AF378" i="124"/>
  <c r="AF193" i="124"/>
  <c r="V249" i="124"/>
  <c r="AF291" i="124"/>
  <c r="AF209" i="124"/>
  <c r="V295" i="124"/>
  <c r="V53" i="124"/>
  <c r="AF324" i="124"/>
  <c r="V534" i="124"/>
  <c r="AF285" i="124"/>
  <c r="V430" i="124"/>
  <c r="V19" i="124"/>
  <c r="AF381" i="124"/>
  <c r="V48" i="124"/>
  <c r="V564" i="124"/>
  <c r="V46" i="124"/>
  <c r="AF322" i="124"/>
  <c r="AF321" i="124"/>
  <c r="V243" i="124"/>
  <c r="AF50" i="124"/>
  <c r="AF35" i="124"/>
  <c r="AF222" i="124"/>
  <c r="AF318" i="124"/>
  <c r="V318" i="124"/>
  <c r="AF480" i="124"/>
  <c r="V480" i="124"/>
  <c r="V468" i="124"/>
  <c r="AF468" i="124"/>
  <c r="V405" i="124"/>
  <c r="AF405" i="124"/>
  <c r="V271" i="124"/>
  <c r="AF271" i="124"/>
  <c r="V508" i="124"/>
  <c r="AF508" i="124"/>
  <c r="AF235" i="124"/>
  <c r="V235" i="124"/>
  <c r="V255" i="124"/>
  <c r="AF255" i="124"/>
  <c r="V574" i="124"/>
  <c r="AF574" i="124"/>
  <c r="V393" i="124"/>
  <c r="AF393" i="124"/>
  <c r="AF187" i="124"/>
  <c r="V187" i="124"/>
  <c r="AF241" i="124"/>
  <c r="V241" i="124"/>
  <c r="AF188" i="124"/>
  <c r="V188" i="124"/>
  <c r="V413" i="124"/>
  <c r="AF413" i="124"/>
  <c r="AF311" i="124"/>
  <c r="V311" i="124"/>
  <c r="AF373" i="124"/>
  <c r="V394" i="124"/>
  <c r="V293" i="124"/>
  <c r="AF293" i="124"/>
  <c r="V309" i="124"/>
  <c r="AF309" i="124"/>
  <c r="V411" i="124"/>
  <c r="AF411" i="124"/>
  <c r="V501" i="124"/>
  <c r="AF501" i="124"/>
  <c r="V463" i="124"/>
  <c r="AF463" i="124"/>
  <c r="V458" i="124"/>
  <c r="AF458" i="124"/>
  <c r="AF278" i="124"/>
  <c r="V278" i="124"/>
  <c r="AF231" i="124"/>
  <c r="V231" i="124"/>
  <c r="V536" i="124"/>
  <c r="AF536" i="124"/>
  <c r="V367" i="124"/>
  <c r="AF367" i="124"/>
  <c r="V236" i="124"/>
  <c r="AF236" i="124"/>
  <c r="V514" i="124"/>
  <c r="AF514" i="124"/>
  <c r="V512" i="124"/>
  <c r="AF301" i="124"/>
  <c r="V489" i="124"/>
  <c r="AF489" i="124"/>
  <c r="V391" i="124"/>
  <c r="AF391" i="124"/>
  <c r="V407" i="124"/>
  <c r="AF407" i="124"/>
  <c r="V419" i="124"/>
  <c r="AF419" i="124"/>
  <c r="V227" i="124"/>
  <c r="AF227" i="124"/>
  <c r="V24" i="124"/>
  <c r="AF24" i="124"/>
  <c r="V40" i="124"/>
  <c r="AF40" i="124"/>
  <c r="V425" i="124"/>
  <c r="AF425" i="124"/>
  <c r="V497" i="124"/>
  <c r="AF497" i="124"/>
  <c r="V343" i="124"/>
  <c r="V30" i="124"/>
  <c r="V511" i="124"/>
  <c r="AF511" i="124"/>
  <c r="V470" i="124"/>
  <c r="AF470" i="124"/>
  <c r="AF41" i="124"/>
  <c r="V551" i="124"/>
  <c r="AF551" i="124"/>
  <c r="V477" i="124"/>
  <c r="AF477" i="124"/>
  <c r="V39" i="124"/>
  <c r="AF39" i="124"/>
  <c r="V566" i="124"/>
  <c r="AF566" i="124"/>
  <c r="V519" i="124"/>
  <c r="AF519" i="124"/>
  <c r="V395" i="124"/>
  <c r="AF395" i="124"/>
  <c r="V392" i="124"/>
  <c r="AF392" i="124"/>
  <c r="V544" i="124"/>
  <c r="AF544" i="124"/>
  <c r="V435" i="124"/>
  <c r="AF435" i="124"/>
  <c r="V561" i="124"/>
  <c r="AF561" i="124"/>
  <c r="V27" i="124"/>
  <c r="AF27" i="124"/>
  <c r="CN27" i="124" s="1"/>
  <c r="V546" i="124"/>
  <c r="AF546" i="124"/>
  <c r="V387" i="124"/>
  <c r="AF387" i="124"/>
  <c r="V386" i="124"/>
  <c r="AF386" i="124"/>
  <c r="V426" i="124"/>
  <c r="AF426" i="124"/>
  <c r="V488" i="124"/>
  <c r="AF488" i="124"/>
  <c r="V432" i="124"/>
  <c r="AF432" i="124"/>
  <c r="V351" i="124"/>
  <c r="AF351" i="124"/>
  <c r="V507" i="124"/>
  <c r="AF507" i="124"/>
  <c r="V460" i="124"/>
  <c r="AF460" i="124"/>
  <c r="V581" i="124"/>
  <c r="AF581" i="124"/>
  <c r="V588" i="124"/>
  <c r="AF588" i="124"/>
  <c r="V365" i="124"/>
  <c r="AF365" i="124"/>
  <c r="V543" i="124"/>
  <c r="AF543" i="124"/>
  <c r="V547" i="124"/>
  <c r="AF547" i="124"/>
  <c r="V436" i="124"/>
  <c r="AF436" i="124"/>
  <c r="V421" i="124"/>
  <c r="AF421" i="124"/>
  <c r="V440" i="124"/>
  <c r="AF440" i="124"/>
  <c r="V464" i="124"/>
  <c r="AF464" i="124"/>
  <c r="V448" i="124"/>
  <c r="AF448" i="124"/>
  <c r="V368" i="124"/>
  <c r="AF368" i="124"/>
  <c r="V372" i="124"/>
  <c r="AF372" i="124"/>
  <c r="V556" i="124"/>
  <c r="AF556" i="124"/>
  <c r="V353" i="124"/>
  <c r="AF353" i="124"/>
  <c r="V376" i="124"/>
  <c r="AF376" i="124"/>
  <c r="V568" i="124"/>
  <c r="AF568" i="124"/>
  <c r="V449" i="124"/>
  <c r="AF449" i="124"/>
  <c r="V384" i="124"/>
  <c r="AF384" i="124"/>
  <c r="V472" i="124"/>
  <c r="AF472" i="124"/>
  <c r="V366" i="124"/>
  <c r="AF366" i="124"/>
  <c r="V439" i="124"/>
  <c r="AF439" i="124"/>
  <c r="V467" i="124"/>
  <c r="AF467" i="124"/>
  <c r="V539" i="124"/>
  <c r="AF539" i="124"/>
  <c r="V502" i="124"/>
  <c r="AF502" i="124"/>
  <c r="V553" i="124"/>
  <c r="AF553" i="124"/>
  <c r="V446" i="124"/>
  <c r="AF446" i="124"/>
  <c r="V550" i="124"/>
  <c r="AF550" i="124"/>
  <c r="V33" i="124"/>
  <c r="AF33" i="124"/>
  <c r="V364" i="124"/>
  <c r="AF364" i="124"/>
  <c r="V363" i="124"/>
  <c r="AF363" i="124"/>
  <c r="V537" i="124"/>
  <c r="AF537" i="124"/>
  <c r="V565" i="124"/>
  <c r="AF565" i="124"/>
  <c r="V469" i="124"/>
  <c r="AF469" i="124"/>
  <c r="V455" i="124"/>
  <c r="AF455" i="124"/>
  <c r="V362" i="124"/>
  <c r="AF362" i="124"/>
  <c r="V549" i="124"/>
  <c r="AF549" i="124"/>
  <c r="V484" i="124"/>
  <c r="AF484" i="124"/>
  <c r="V404" i="124"/>
  <c r="AF404" i="124"/>
  <c r="V490" i="124"/>
  <c r="AF490" i="124"/>
  <c r="V442" i="124"/>
  <c r="AF442" i="124"/>
  <c r="V451" i="124"/>
  <c r="AF451" i="124"/>
  <c r="V533" i="124"/>
  <c r="AF533" i="124"/>
  <c r="V453" i="124"/>
  <c r="AF453" i="124"/>
  <c r="V499" i="124"/>
  <c r="AF499" i="124"/>
  <c r="V558" i="124"/>
  <c r="AF558" i="124"/>
  <c r="V416" i="124"/>
  <c r="AF416" i="124"/>
  <c r="V516" i="124"/>
  <c r="AF516" i="124"/>
  <c r="V554" i="124"/>
  <c r="AF554" i="124"/>
  <c r="V523" i="124"/>
  <c r="AF523" i="124"/>
  <c r="V520" i="124"/>
  <c r="AF520" i="124"/>
  <c r="V434" i="124"/>
  <c r="AF434" i="124"/>
  <c r="V466" i="124"/>
  <c r="AF466" i="124"/>
  <c r="V496" i="124"/>
  <c r="AF496" i="124"/>
  <c r="V349" i="124"/>
  <c r="AF349" i="124"/>
  <c r="V509" i="124"/>
  <c r="AF509" i="124"/>
  <c r="V571" i="124"/>
  <c r="AF571" i="124"/>
  <c r="V474" i="124"/>
  <c r="AF474" i="124"/>
  <c r="V374" i="124"/>
  <c r="AF374" i="124"/>
  <c r="V461" i="124"/>
  <c r="AF461" i="124"/>
  <c r="V444" i="124"/>
  <c r="AF444" i="124"/>
  <c r="V414" i="124"/>
  <c r="AF414" i="124"/>
  <c r="V424" i="124"/>
  <c r="AF424" i="124"/>
  <c r="V431" i="124"/>
  <c r="AF431" i="124"/>
  <c r="V524" i="124"/>
  <c r="AF524" i="124"/>
  <c r="V369" i="124"/>
  <c r="AF369" i="124"/>
  <c r="V562" i="124"/>
  <c r="AF562" i="124"/>
  <c r="V585" i="124"/>
  <c r="AF585" i="124"/>
  <c r="V475" i="124"/>
  <c r="AF475" i="124"/>
  <c r="V462" i="124"/>
  <c r="AF462" i="124"/>
  <c r="V567" i="124"/>
  <c r="AF567" i="124"/>
  <c r="V457" i="124"/>
  <c r="AF457" i="124"/>
  <c r="V557" i="124"/>
  <c r="AF557" i="124"/>
  <c r="V350" i="124"/>
  <c r="AF350" i="124"/>
  <c r="V535" i="124"/>
  <c r="AF535" i="124"/>
  <c r="V482" i="124"/>
  <c r="AF482" i="124"/>
  <c r="V542" i="124"/>
  <c r="AF542" i="124"/>
  <c r="V513" i="124"/>
  <c r="AF513" i="124"/>
  <c r="V429" i="124"/>
  <c r="AF429" i="124"/>
  <c r="V359" i="124"/>
  <c r="AF359" i="124"/>
  <c r="V25" i="124"/>
  <c r="AF25" i="124"/>
  <c r="V441" i="124"/>
  <c r="AF441" i="124"/>
  <c r="V545" i="124"/>
  <c r="AF545" i="124"/>
  <c r="V527" i="124"/>
  <c r="AF527" i="124"/>
  <c r="V526" i="124"/>
  <c r="AF526" i="124"/>
  <c r="V529" i="124"/>
  <c r="AF529" i="124"/>
  <c r="V503" i="124"/>
  <c r="AF503" i="124"/>
  <c r="V486" i="124"/>
  <c r="AF486" i="124"/>
  <c r="V450" i="124"/>
  <c r="AF450" i="124"/>
  <c r="V479" i="124"/>
  <c r="AF479" i="124"/>
  <c r="V433" i="124"/>
  <c r="AF433" i="124"/>
  <c r="V45" i="124"/>
  <c r="AF45" i="124"/>
  <c r="V456" i="124"/>
  <c r="AF456" i="124"/>
  <c r="V49" i="124"/>
  <c r="AF49" i="124"/>
  <c r="V578" i="124"/>
  <c r="AF578" i="124"/>
  <c r="V575" i="124"/>
  <c r="AF575" i="124"/>
  <c r="V560" i="124"/>
  <c r="AF560" i="124"/>
  <c r="V36" i="124"/>
  <c r="AF36" i="124"/>
  <c r="V459" i="124"/>
  <c r="AF459" i="124"/>
  <c r="V406" i="124"/>
  <c r="AF406" i="124"/>
  <c r="V471" i="124"/>
  <c r="AF471" i="124"/>
  <c r="V465" i="124"/>
  <c r="AF465" i="124"/>
  <c r="V427" i="124"/>
  <c r="AF427" i="124"/>
  <c r="V418" i="124"/>
  <c r="AF418" i="124"/>
  <c r="V493" i="124"/>
  <c r="AF493" i="124"/>
  <c r="V563" i="124"/>
  <c r="AF563" i="124"/>
  <c r="V28" i="124"/>
  <c r="AF28" i="124"/>
  <c r="CN28" i="124" s="1"/>
  <c r="V573" i="124"/>
  <c r="AF573" i="124"/>
  <c r="V555" i="124"/>
  <c r="AF555" i="124"/>
  <c r="V517" i="124"/>
  <c r="AF517" i="124"/>
  <c r="V494" i="124"/>
  <c r="AF494" i="124"/>
  <c r="V44" i="124"/>
  <c r="AF44" i="124"/>
  <c r="V525" i="124"/>
  <c r="AF525" i="124"/>
  <c r="V383" i="124"/>
  <c r="AF383" i="124"/>
  <c r="V385" i="124"/>
  <c r="AF385" i="124"/>
  <c r="V583" i="124"/>
  <c r="AF583" i="124"/>
  <c r="V412" i="124"/>
  <c r="AF412" i="124"/>
  <c r="V20" i="124"/>
  <c r="AF20" i="124"/>
  <c r="V54" i="124"/>
  <c r="AF54" i="124"/>
  <c r="V548" i="124"/>
  <c r="AF548" i="124"/>
  <c r="V445" i="124"/>
  <c r="AF445" i="124"/>
  <c r="V415" i="124"/>
  <c r="AF415" i="124"/>
  <c r="V390" i="124"/>
  <c r="AF390" i="124"/>
  <c r="V15" i="124"/>
  <c r="AF15" i="124"/>
  <c r="V52" i="124"/>
  <c r="AF52" i="124"/>
  <c r="V454" i="124"/>
  <c r="AF454" i="124"/>
  <c r="V580" i="124"/>
  <c r="AF580" i="124"/>
  <c r="V389" i="124"/>
  <c r="AF389" i="124"/>
  <c r="V518" i="124"/>
  <c r="AF518" i="124"/>
  <c r="X66" i="115"/>
  <c r="X70" i="115"/>
  <c r="X69" i="115"/>
  <c r="X68" i="115"/>
  <c r="O15" i="114"/>
  <c r="AD15" i="114"/>
  <c r="AE15" i="114"/>
  <c r="BD15" i="92"/>
  <c r="BC11" i="92"/>
  <c r="BG11" i="92"/>
  <c r="BG17" i="92"/>
  <c r="BG12" i="92"/>
  <c r="BD18" i="92"/>
  <c r="BC12" i="92"/>
  <c r="BD17" i="92"/>
  <c r="BD9" i="92"/>
  <c r="BC9" i="92"/>
  <c r="BD16" i="92"/>
  <c r="BG16" i="92"/>
  <c r="BD14" i="92"/>
  <c r="BG14" i="92"/>
  <c r="BG13" i="92"/>
  <c r="BD13" i="92"/>
  <c r="BD10" i="92"/>
  <c r="BC10" i="92"/>
  <c r="BG15" i="92"/>
  <c r="C63" i="80"/>
  <c r="C55" i="80"/>
  <c r="C261" i="80"/>
  <c r="C143" i="80"/>
  <c r="C191" i="80"/>
  <c r="C187" i="80"/>
  <c r="C162" i="80"/>
  <c r="C65" i="80"/>
  <c r="C218" i="80"/>
  <c r="C57" i="80"/>
  <c r="C48" i="80"/>
  <c r="C139" i="80"/>
  <c r="C159" i="80"/>
  <c r="C22" i="80"/>
  <c r="C231" i="80"/>
  <c r="C18" i="80"/>
  <c r="C115" i="80"/>
  <c r="C288" i="80"/>
  <c r="C92" i="80"/>
  <c r="AC27" i="46"/>
  <c r="J33" i="90" s="1"/>
  <c r="P8" i="90" s="1"/>
  <c r="C33" i="80"/>
  <c r="C87" i="80"/>
  <c r="C78" i="80"/>
  <c r="C38" i="80"/>
  <c r="C136" i="80"/>
  <c r="C254" i="80"/>
  <c r="C133" i="80"/>
  <c r="C193" i="80"/>
  <c r="C208" i="80"/>
  <c r="C196" i="80"/>
  <c r="C242" i="80"/>
  <c r="C209" i="80"/>
  <c r="C274" i="80"/>
  <c r="AD27" i="46" a="1"/>
  <c r="AD27" i="46" s="1"/>
  <c r="AD29" i="46" s="1"/>
  <c r="C278" i="80"/>
  <c r="C77" i="80"/>
  <c r="C53" i="80"/>
  <c r="C290" i="80"/>
  <c r="C75" i="80"/>
  <c r="C85" i="80"/>
  <c r="C19" i="80"/>
  <c r="C240" i="80"/>
  <c r="C283" i="80"/>
  <c r="C113" i="80"/>
  <c r="C169" i="80"/>
  <c r="C35" i="80"/>
  <c r="C20" i="80"/>
  <c r="C21" i="80"/>
  <c r="C34" i="80"/>
  <c r="C134" i="80"/>
  <c r="C202" i="80"/>
  <c r="C245" i="80"/>
  <c r="C178" i="80"/>
  <c r="C58" i="80"/>
  <c r="C43" i="80"/>
  <c r="C269" i="80"/>
  <c r="C259" i="80"/>
  <c r="B40" i="46"/>
  <c r="B41" i="46"/>
  <c r="G41" i="46" s="1"/>
  <c r="B43" i="46"/>
  <c r="G43" i="46" s="1"/>
  <c r="B46" i="46"/>
  <c r="G46" i="46" s="1"/>
  <c r="B45" i="46"/>
  <c r="G45" i="46" s="1"/>
  <c r="J40" i="46"/>
  <c r="J41" i="46" s="1"/>
  <c r="J42" i="46" s="1"/>
  <c r="J43" i="46" s="1"/>
  <c r="J44" i="46" s="1"/>
  <c r="J45" i="46" s="1"/>
  <c r="J46" i="46" s="1"/>
  <c r="B42" i="46"/>
  <c r="G42" i="46" s="1"/>
  <c r="B44" i="46"/>
  <c r="G44" i="46" s="1"/>
  <c r="S11" i="46"/>
  <c r="S9" i="46"/>
  <c r="S12" i="46"/>
  <c r="S15" i="46"/>
  <c r="S13" i="46"/>
  <c r="J27" i="90"/>
  <c r="S17" i="46"/>
  <c r="S10" i="46"/>
  <c r="S16" i="46"/>
  <c r="S14" i="46"/>
  <c r="S8" i="46"/>
  <c r="S7" i="46"/>
  <c r="C20" i="82"/>
  <c r="P20" i="82" s="1"/>
  <c r="F20" i="82"/>
  <c r="R10" i="92"/>
  <c r="R15" i="92"/>
  <c r="R16" i="92"/>
  <c r="R11" i="92"/>
  <c r="R14" i="92"/>
  <c r="R9" i="92"/>
  <c r="R7" i="92"/>
  <c r="R12" i="92"/>
  <c r="R8" i="92"/>
  <c r="R13" i="92"/>
  <c r="I20" i="82"/>
  <c r="H20" i="82"/>
  <c r="G21" i="82"/>
  <c r="B22" i="82"/>
  <c r="E21" i="82"/>
  <c r="I46" i="46"/>
  <c r="A48" i="46"/>
  <c r="B47" i="46"/>
  <c r="K47" i="46"/>
  <c r="E47" i="46"/>
  <c r="S289" i="124" l="1"/>
  <c r="R289" i="124"/>
  <c r="U289" i="124" s="1"/>
  <c r="Y289" i="124"/>
  <c r="AB289" i="124" s="1"/>
  <c r="Z288" i="124"/>
  <c r="Y288" i="124"/>
  <c r="AB288" i="124" s="1"/>
  <c r="R288" i="124"/>
  <c r="T288" i="124" s="1"/>
  <c r="Q247" i="124"/>
  <c r="Z247" i="124" s="1"/>
  <c r="AA247" i="124" s="1"/>
  <c r="Q37" i="113"/>
  <c r="Y238" i="124"/>
  <c r="AB238" i="124" s="1"/>
  <c r="R47" i="124"/>
  <c r="T47" i="124" s="1"/>
  <c r="Y47" i="124"/>
  <c r="AB47" i="124" s="1"/>
  <c r="R247" i="124"/>
  <c r="U247" i="124" s="1"/>
  <c r="R240" i="124"/>
  <c r="U240" i="124" s="1"/>
  <c r="Q240" i="124"/>
  <c r="S240" i="124" s="1"/>
  <c r="Q35" i="113"/>
  <c r="Q40" i="113"/>
  <c r="T39" i="113"/>
  <c r="Q36" i="113"/>
  <c r="R238" i="124"/>
  <c r="U238" i="124" s="1"/>
  <c r="T37" i="113"/>
  <c r="T40" i="113"/>
  <c r="Q39" i="113"/>
  <c r="Q38" i="113"/>
  <c r="T36" i="113"/>
  <c r="T38" i="113"/>
  <c r="T35" i="113"/>
  <c r="R193" i="124"/>
  <c r="T193" i="124" s="1"/>
  <c r="Q193" i="124"/>
  <c r="S193" i="124" s="1"/>
  <c r="Y263" i="124"/>
  <c r="AB263" i="124" s="1"/>
  <c r="Q268" i="124"/>
  <c r="Z268" i="124" s="1"/>
  <c r="AA268" i="124" s="1"/>
  <c r="AD268" i="124" s="1"/>
  <c r="AE268" i="124" s="1"/>
  <c r="Y41" i="124"/>
  <c r="AB41" i="124" s="1"/>
  <c r="R268" i="124"/>
  <c r="T268" i="124" s="1"/>
  <c r="Q51" i="124"/>
  <c r="Z51" i="124" s="1"/>
  <c r="AA51" i="124" s="1"/>
  <c r="Y285" i="124"/>
  <c r="AB285" i="124" s="1"/>
  <c r="Y220" i="124"/>
  <c r="AB220" i="124" s="1"/>
  <c r="Y4" i="124"/>
  <c r="AB4" i="124" s="1"/>
  <c r="Q56" i="124"/>
  <c r="S56" i="124" s="1"/>
  <c r="R56" i="124"/>
  <c r="T56" i="124" s="1"/>
  <c r="R244" i="124"/>
  <c r="T244" i="124" s="1"/>
  <c r="Y194" i="124"/>
  <c r="AB194" i="124" s="1"/>
  <c r="R32" i="124"/>
  <c r="T32" i="124" s="1"/>
  <c r="Y51" i="124"/>
  <c r="AB51" i="124" s="1"/>
  <c r="Y32" i="124"/>
  <c r="AB32" i="124" s="1"/>
  <c r="R4" i="124"/>
  <c r="T4" i="124" s="1"/>
  <c r="Y244" i="124"/>
  <c r="AB244" i="124" s="1"/>
  <c r="R285" i="124"/>
  <c r="U285" i="124" s="1"/>
  <c r="Y23" i="124"/>
  <c r="AB23" i="124" s="1"/>
  <c r="Y267" i="124"/>
  <c r="AB267" i="124" s="1"/>
  <c r="R228" i="124"/>
  <c r="U228" i="124" s="1"/>
  <c r="Q220" i="124"/>
  <c r="S220" i="124" s="1"/>
  <c r="R23" i="124"/>
  <c r="T23" i="124" s="1"/>
  <c r="R258" i="124"/>
  <c r="T258" i="124" s="1"/>
  <c r="R194" i="124"/>
  <c r="T194" i="124" s="1"/>
  <c r="R214" i="124"/>
  <c r="T214" i="124" s="1"/>
  <c r="Y228" i="124"/>
  <c r="AB228" i="124" s="1"/>
  <c r="Q223" i="124"/>
  <c r="S223" i="124" s="1"/>
  <c r="Q263" i="124"/>
  <c r="Z263" i="124" s="1"/>
  <c r="AA263" i="124" s="1"/>
  <c r="Y226" i="124"/>
  <c r="AB226" i="124" s="1"/>
  <c r="R282" i="124"/>
  <c r="T282" i="124" s="1"/>
  <c r="Q226" i="124"/>
  <c r="S226" i="124" s="1"/>
  <c r="R269" i="124"/>
  <c r="U269" i="124" s="1"/>
  <c r="Y221" i="124"/>
  <c r="AB221" i="124" s="1"/>
  <c r="Y205" i="124"/>
  <c r="AB205" i="124" s="1"/>
  <c r="R217" i="124"/>
  <c r="T217" i="124" s="1"/>
  <c r="Q205" i="124"/>
  <c r="S205" i="124" s="1"/>
  <c r="Y217" i="124"/>
  <c r="AB217" i="124" s="1"/>
  <c r="R267" i="124"/>
  <c r="U267" i="124" s="1"/>
  <c r="Y50" i="124"/>
  <c r="AB50" i="124" s="1"/>
  <c r="Q265" i="124"/>
  <c r="S265" i="124" s="1"/>
  <c r="Y265" i="124"/>
  <c r="AB265" i="124" s="1"/>
  <c r="Y213" i="124"/>
  <c r="AB213" i="124" s="1"/>
  <c r="R198" i="124"/>
  <c r="T198" i="124" s="1"/>
  <c r="Q284" i="124"/>
  <c r="S284" i="124" s="1"/>
  <c r="Y200" i="124"/>
  <c r="AB200" i="124" s="1"/>
  <c r="Q270" i="124"/>
  <c r="Z270" i="124" s="1"/>
  <c r="R233" i="124"/>
  <c r="T233" i="124" s="1"/>
  <c r="Q41" i="124"/>
  <c r="S41" i="124" s="1"/>
  <c r="Q266" i="124"/>
  <c r="Z266" i="124" s="1"/>
  <c r="Q252" i="124"/>
  <c r="S252" i="124" s="1"/>
  <c r="Y258" i="124"/>
  <c r="AB258" i="124" s="1"/>
  <c r="Y214" i="124"/>
  <c r="AB214" i="124" s="1"/>
  <c r="Y233" i="124"/>
  <c r="AB233" i="124" s="1"/>
  <c r="Y22" i="124"/>
  <c r="AB22" i="124" s="1"/>
  <c r="Y237" i="124"/>
  <c r="AB237" i="124" s="1"/>
  <c r="Y252" i="124"/>
  <c r="AB252" i="124" s="1"/>
  <c r="R223" i="124"/>
  <c r="U223" i="124" s="1"/>
  <c r="Y266" i="124"/>
  <c r="AB266" i="124" s="1"/>
  <c r="Q225" i="124"/>
  <c r="S225" i="124" s="1"/>
  <c r="Q237" i="124"/>
  <c r="Z237" i="124" s="1"/>
  <c r="Q22" i="124"/>
  <c r="S22" i="124" s="1"/>
  <c r="Q215" i="124"/>
  <c r="S215" i="124" s="1"/>
  <c r="Y215" i="124"/>
  <c r="AB215" i="124" s="1"/>
  <c r="R225" i="124"/>
  <c r="T225" i="124" s="1"/>
  <c r="Y272" i="124"/>
  <c r="AB272" i="124" s="1"/>
  <c r="R248" i="124"/>
  <c r="T248" i="124" s="1"/>
  <c r="Q272" i="124"/>
  <c r="Z272" i="124" s="1"/>
  <c r="Q276" i="124"/>
  <c r="Z276" i="124" s="1"/>
  <c r="R50" i="124"/>
  <c r="U50" i="124" s="1"/>
  <c r="Y248" i="124"/>
  <c r="AB248" i="124" s="1"/>
  <c r="Y229" i="124"/>
  <c r="AB229" i="124" s="1"/>
  <c r="Q204" i="124"/>
  <c r="S204" i="124" s="1"/>
  <c r="Y276" i="124"/>
  <c r="AB276" i="124" s="1"/>
  <c r="R251" i="124"/>
  <c r="T251" i="124" s="1"/>
  <c r="R229" i="124"/>
  <c r="U229" i="124" s="1"/>
  <c r="Y251" i="124"/>
  <c r="AB251" i="124" s="1"/>
  <c r="R204" i="124"/>
  <c r="T204" i="124" s="1"/>
  <c r="Y207" i="124"/>
  <c r="AB207" i="124" s="1"/>
  <c r="R232" i="124"/>
  <c r="T232" i="124" s="1"/>
  <c r="R222" i="124"/>
  <c r="U222" i="124" s="1"/>
  <c r="R234" i="124"/>
  <c r="U234" i="124" s="1"/>
  <c r="R230" i="124"/>
  <c r="U230" i="124" s="1"/>
  <c r="Y232" i="124"/>
  <c r="AB232" i="124" s="1"/>
  <c r="Y222" i="124"/>
  <c r="AB222" i="124" s="1"/>
  <c r="Y234" i="124"/>
  <c r="AB234" i="124" s="1"/>
  <c r="Y230" i="124"/>
  <c r="AB230" i="124" s="1"/>
  <c r="Y9" i="124"/>
  <c r="AB9" i="124" s="1"/>
  <c r="Q282" i="124"/>
  <c r="Z282" i="124" s="1"/>
  <c r="Q221" i="124"/>
  <c r="S221" i="124" s="1"/>
  <c r="R9" i="124"/>
  <c r="T9" i="124" s="1"/>
  <c r="Q279" i="124"/>
  <c r="S279" i="124" s="1"/>
  <c r="Y279" i="124"/>
  <c r="AB279" i="124" s="1"/>
  <c r="Y269" i="124"/>
  <c r="AB269" i="124" s="1"/>
  <c r="R207" i="124"/>
  <c r="T207" i="124" s="1"/>
  <c r="Y277" i="124"/>
  <c r="AB277" i="124" s="1"/>
  <c r="R254" i="124"/>
  <c r="T254" i="124" s="1"/>
  <c r="Y284" i="124"/>
  <c r="AB284" i="124" s="1"/>
  <c r="Y198" i="124"/>
  <c r="AB198" i="124" s="1"/>
  <c r="Y219" i="124"/>
  <c r="AB219" i="124" s="1"/>
  <c r="Y254" i="124"/>
  <c r="AB254" i="124" s="1"/>
  <c r="R219" i="124"/>
  <c r="T219" i="124" s="1"/>
  <c r="R270" i="124"/>
  <c r="T270" i="124" s="1"/>
  <c r="R200" i="124"/>
  <c r="T200" i="124" s="1"/>
  <c r="R213" i="124"/>
  <c r="T213" i="124" s="1"/>
  <c r="Y250" i="124"/>
  <c r="AB250" i="124" s="1"/>
  <c r="Y257" i="124"/>
  <c r="AB257" i="124" s="1"/>
  <c r="R277" i="124"/>
  <c r="U277" i="124" s="1"/>
  <c r="R199" i="124"/>
  <c r="T199" i="124" s="1"/>
  <c r="Y246" i="124"/>
  <c r="AB246" i="124" s="1"/>
  <c r="Q250" i="124"/>
  <c r="S250" i="124" s="1"/>
  <c r="Q257" i="124"/>
  <c r="Z257" i="124" s="1"/>
  <c r="Q280" i="124"/>
  <c r="S280" i="124" s="1"/>
  <c r="R280" i="124"/>
  <c r="U280" i="124" s="1"/>
  <c r="R262" i="124"/>
  <c r="T262" i="124" s="1"/>
  <c r="Q262" i="124"/>
  <c r="S262" i="124" s="1"/>
  <c r="Q199" i="124"/>
  <c r="Z199" i="124" s="1"/>
  <c r="R246" i="124"/>
  <c r="T246" i="124" s="1"/>
  <c r="R209" i="124"/>
  <c r="T209" i="124" s="1"/>
  <c r="Y209" i="124"/>
  <c r="AB209" i="124" s="1"/>
  <c r="Y259" i="124"/>
  <c r="AB259" i="124" s="1"/>
  <c r="R259" i="124"/>
  <c r="U259" i="124" s="1"/>
  <c r="R261" i="124"/>
  <c r="T261" i="124" s="1"/>
  <c r="Y261" i="124"/>
  <c r="AB261" i="124" s="1"/>
  <c r="R218" i="124"/>
  <c r="T218" i="124" s="1"/>
  <c r="Q273" i="124"/>
  <c r="Z273" i="124" s="1"/>
  <c r="Q218" i="124"/>
  <c r="S218" i="124" s="1"/>
  <c r="Y283" i="124"/>
  <c r="AB283" i="124" s="1"/>
  <c r="Y273" i="124"/>
  <c r="AB273" i="124" s="1"/>
  <c r="R35" i="124"/>
  <c r="U35" i="124" s="1"/>
  <c r="R212" i="124"/>
  <c r="T212" i="124" s="1"/>
  <c r="Y239" i="124"/>
  <c r="AB239" i="124" s="1"/>
  <c r="R239" i="124"/>
  <c r="T239" i="124" s="1"/>
  <c r="Y212" i="124"/>
  <c r="AB212" i="124" s="1"/>
  <c r="Y35" i="124"/>
  <c r="AB35" i="124" s="1"/>
  <c r="Y253" i="124"/>
  <c r="AB253" i="124" s="1"/>
  <c r="R61" i="124"/>
  <c r="T61" i="124" s="1"/>
  <c r="Q283" i="124"/>
  <c r="Z283" i="124" s="1"/>
  <c r="Y61" i="124"/>
  <c r="AB61" i="124" s="1"/>
  <c r="R253" i="124"/>
  <c r="U253" i="124" s="1"/>
  <c r="Q264" i="124"/>
  <c r="S264" i="124" s="1"/>
  <c r="R264" i="124"/>
  <c r="T264" i="124" s="1"/>
  <c r="R245" i="124"/>
  <c r="T245" i="124" s="1"/>
  <c r="Y206" i="124"/>
  <c r="AB206" i="124" s="1"/>
  <c r="Y245" i="124"/>
  <c r="AB245" i="124" s="1"/>
  <c r="Q206" i="124"/>
  <c r="Z206" i="124" s="1"/>
  <c r="Q287" i="124"/>
  <c r="Z287" i="124" s="1"/>
  <c r="R287" i="124"/>
  <c r="T287" i="124" s="1"/>
  <c r="R224" i="124"/>
  <c r="U224" i="124" s="1"/>
  <c r="Q224" i="124"/>
  <c r="Z224" i="124" s="1"/>
  <c r="AA224" i="124" s="1"/>
  <c r="Y191" i="124"/>
  <c r="AB191" i="124" s="1"/>
  <c r="R191" i="124"/>
  <c r="T191" i="124" s="1"/>
  <c r="Z8" i="124"/>
  <c r="Z35" i="124"/>
  <c r="Y3" i="123"/>
  <c r="Z172" i="124"/>
  <c r="Z23" i="124"/>
  <c r="Z277" i="124"/>
  <c r="Z259" i="124"/>
  <c r="Z230" i="124"/>
  <c r="S261" i="124"/>
  <c r="U290" i="123"/>
  <c r="T290" i="123"/>
  <c r="Z222" i="124"/>
  <c r="AA222" i="124" s="1"/>
  <c r="S191" i="124"/>
  <c r="Z239" i="124"/>
  <c r="Z209" i="124"/>
  <c r="S9" i="124"/>
  <c r="U185" i="123"/>
  <c r="U18" i="123"/>
  <c r="U90" i="123"/>
  <c r="U87" i="123"/>
  <c r="U83" i="123"/>
  <c r="U103" i="123"/>
  <c r="U184" i="123"/>
  <c r="U142" i="123"/>
  <c r="U13" i="123"/>
  <c r="U82" i="123"/>
  <c r="U61" i="123"/>
  <c r="U25" i="123"/>
  <c r="U216" i="123"/>
  <c r="U34" i="123"/>
  <c r="U27" i="123"/>
  <c r="U26" i="123"/>
  <c r="U31" i="123"/>
  <c r="U10" i="123"/>
  <c r="U55" i="123"/>
  <c r="U52" i="123"/>
  <c r="U17" i="123"/>
  <c r="U176" i="123"/>
  <c r="U14" i="123"/>
  <c r="U100" i="123"/>
  <c r="U177" i="123"/>
  <c r="U66" i="123"/>
  <c r="U192" i="123"/>
  <c r="U60" i="123"/>
  <c r="U28" i="123"/>
  <c r="U35" i="123"/>
  <c r="U175" i="123"/>
  <c r="U182" i="123"/>
  <c r="U258" i="123"/>
  <c r="U15" i="123"/>
  <c r="U57" i="123"/>
  <c r="U197" i="123"/>
  <c r="U110" i="123"/>
  <c r="U16" i="123"/>
  <c r="U77" i="123"/>
  <c r="U188" i="123"/>
  <c r="U76" i="123"/>
  <c r="U174" i="123"/>
  <c r="U84" i="123"/>
  <c r="U86" i="123"/>
  <c r="U257" i="123"/>
  <c r="U256" i="123"/>
  <c r="U242" i="123"/>
  <c r="U71" i="123"/>
  <c r="U125" i="123"/>
  <c r="U30" i="123"/>
  <c r="U38" i="123"/>
  <c r="U11" i="123"/>
  <c r="U183" i="123"/>
  <c r="U36" i="123"/>
  <c r="U5" i="123"/>
  <c r="U39" i="123"/>
  <c r="U58" i="123"/>
  <c r="R169" i="124"/>
  <c r="T169" i="124" s="1"/>
  <c r="S251" i="124"/>
  <c r="Z4" i="124"/>
  <c r="Z234" i="124"/>
  <c r="Z254" i="124"/>
  <c r="Z207" i="124"/>
  <c r="U380" i="124"/>
  <c r="T380" i="124"/>
  <c r="U541" i="124"/>
  <c r="T541" i="124"/>
  <c r="U373" i="124"/>
  <c r="T373" i="124"/>
  <c r="U577" i="124"/>
  <c r="T577" i="124"/>
  <c r="U357" i="124"/>
  <c r="T357" i="124"/>
  <c r="T438" i="124"/>
  <c r="U438" i="124"/>
  <c r="T402" i="124"/>
  <c r="U402" i="124"/>
  <c r="U530" i="124"/>
  <c r="T530" i="124"/>
  <c r="T478" i="124"/>
  <c r="U478" i="124"/>
  <c r="U375" i="124"/>
  <c r="T375" i="124"/>
  <c r="U495" i="124"/>
  <c r="T495" i="124"/>
  <c r="U487" i="124"/>
  <c r="T487" i="124"/>
  <c r="T500" i="124"/>
  <c r="U500" i="124"/>
  <c r="U552" i="124"/>
  <c r="T552" i="124"/>
  <c r="U528" i="124"/>
  <c r="T528" i="124"/>
  <c r="U443" i="124"/>
  <c r="T443" i="124"/>
  <c r="T358" i="124"/>
  <c r="U358" i="124"/>
  <c r="U288" i="124"/>
  <c r="U505" i="124"/>
  <c r="T505" i="124"/>
  <c r="U401" i="124"/>
  <c r="T401" i="124"/>
  <c r="U506" i="124"/>
  <c r="T506" i="124"/>
  <c r="U378" i="124"/>
  <c r="T378" i="124"/>
  <c r="U491" i="124"/>
  <c r="T491" i="124"/>
  <c r="T492" i="124"/>
  <c r="U492" i="124"/>
  <c r="U498" i="124"/>
  <c r="T498" i="124"/>
  <c r="U381" i="124"/>
  <c r="T381" i="124"/>
  <c r="U379" i="124"/>
  <c r="T379" i="124"/>
  <c r="U398" i="124"/>
  <c r="T398" i="124"/>
  <c r="U447" i="124"/>
  <c r="T447" i="124"/>
  <c r="U410" i="124"/>
  <c r="T410" i="124"/>
  <c r="U409" i="124"/>
  <c r="T409" i="124"/>
  <c r="U355" i="124"/>
  <c r="T355" i="124"/>
  <c r="U423" i="124"/>
  <c r="T423" i="124"/>
  <c r="T420" i="124"/>
  <c r="U420" i="124"/>
  <c r="U422" i="124"/>
  <c r="T422" i="124"/>
  <c r="U397" i="124"/>
  <c r="T397" i="124"/>
  <c r="U515" i="124"/>
  <c r="T515" i="124"/>
  <c r="U532" i="124"/>
  <c r="T532" i="124"/>
  <c r="T522" i="124"/>
  <c r="U522" i="124"/>
  <c r="T540" i="124"/>
  <c r="U540" i="124"/>
  <c r="T584" i="124"/>
  <c r="U584" i="124"/>
  <c r="U417" i="124"/>
  <c r="T417" i="124"/>
  <c r="T388" i="124"/>
  <c r="U388" i="124"/>
  <c r="U377" i="124"/>
  <c r="T377" i="124"/>
  <c r="U399" i="124"/>
  <c r="T399" i="124"/>
  <c r="U531" i="124"/>
  <c r="T531" i="124"/>
  <c r="U579" i="124"/>
  <c r="T579" i="124"/>
  <c r="U570" i="124"/>
  <c r="T570" i="124"/>
  <c r="U437" i="124"/>
  <c r="T437" i="124"/>
  <c r="T382" i="124"/>
  <c r="U382" i="124"/>
  <c r="T396" i="124"/>
  <c r="U396" i="124"/>
  <c r="U290" i="124"/>
  <c r="T290" i="124"/>
  <c r="Z244" i="124"/>
  <c r="AA244" i="124" s="1"/>
  <c r="Z200" i="124"/>
  <c r="Z285" i="124"/>
  <c r="S232" i="124"/>
  <c r="Z61" i="124"/>
  <c r="S246" i="124"/>
  <c r="Z253" i="124"/>
  <c r="S47" i="124"/>
  <c r="Z267" i="124"/>
  <c r="Z217" i="124"/>
  <c r="Z194" i="124"/>
  <c r="Z238" i="124"/>
  <c r="S50" i="124"/>
  <c r="Z233" i="124"/>
  <c r="S212" i="124"/>
  <c r="T41" i="124"/>
  <c r="U41" i="124"/>
  <c r="T26" i="124"/>
  <c r="U26" i="124"/>
  <c r="T16" i="124"/>
  <c r="U16" i="124"/>
  <c r="T51" i="124"/>
  <c r="U51" i="124"/>
  <c r="T22" i="124"/>
  <c r="U22" i="124"/>
  <c r="S258" i="124"/>
  <c r="T197" i="124"/>
  <c r="U197" i="124"/>
  <c r="T265" i="124"/>
  <c r="U265" i="124"/>
  <c r="T242" i="124"/>
  <c r="U242" i="124"/>
  <c r="Z228" i="124"/>
  <c r="Z245" i="124"/>
  <c r="AA245" i="124" s="1"/>
  <c r="T226" i="124"/>
  <c r="U226" i="124"/>
  <c r="T206" i="124"/>
  <c r="U206" i="124"/>
  <c r="T257" i="124"/>
  <c r="U257" i="124"/>
  <c r="T220" i="124"/>
  <c r="U220" i="124"/>
  <c r="T279" i="124"/>
  <c r="U279" i="124"/>
  <c r="T284" i="124"/>
  <c r="U284" i="124"/>
  <c r="T283" i="124"/>
  <c r="U283" i="124"/>
  <c r="T215" i="124"/>
  <c r="U215" i="124"/>
  <c r="T276" i="124"/>
  <c r="U276" i="124"/>
  <c r="T266" i="124"/>
  <c r="U266" i="124"/>
  <c r="T58" i="124"/>
  <c r="U58" i="124"/>
  <c r="T34" i="124"/>
  <c r="U34" i="124"/>
  <c r="T38" i="124"/>
  <c r="U38" i="124"/>
  <c r="T250" i="124"/>
  <c r="U250" i="124"/>
  <c r="T221" i="124"/>
  <c r="U221" i="124"/>
  <c r="T263" i="124"/>
  <c r="U263" i="124"/>
  <c r="Z213" i="124"/>
  <c r="T17" i="124"/>
  <c r="U17" i="124"/>
  <c r="T5" i="124"/>
  <c r="U5" i="124"/>
  <c r="T237" i="124"/>
  <c r="U237" i="124"/>
  <c r="T205" i="124"/>
  <c r="U205" i="124"/>
  <c r="T252" i="124"/>
  <c r="U252" i="124"/>
  <c r="T272" i="124"/>
  <c r="U272" i="124"/>
  <c r="T192" i="124"/>
  <c r="U192" i="124"/>
  <c r="T273" i="124"/>
  <c r="U273" i="124"/>
  <c r="T57" i="124"/>
  <c r="U57" i="124"/>
  <c r="T18" i="124"/>
  <c r="U18" i="124"/>
  <c r="Z229" i="124"/>
  <c r="R3" i="124"/>
  <c r="S3" i="124"/>
  <c r="Z219" i="124"/>
  <c r="AA219" i="124" s="1"/>
  <c r="Z269" i="124"/>
  <c r="Z214" i="124"/>
  <c r="S32" i="124"/>
  <c r="Z248" i="124"/>
  <c r="AA248" i="124" s="1"/>
  <c r="Z198" i="124"/>
  <c r="AS382" i="124"/>
  <c r="AT382" i="124" s="1"/>
  <c r="BH382" i="124"/>
  <c r="BI382" i="124" s="1"/>
  <c r="AI382" i="124"/>
  <c r="AJ382" i="124" s="1"/>
  <c r="CB382" i="124"/>
  <c r="CC382" i="124" s="1"/>
  <c r="AX382" i="124"/>
  <c r="AY382" i="124" s="1"/>
  <c r="BW382" i="124"/>
  <c r="BX382" i="124" s="1"/>
  <c r="CG382" i="124"/>
  <c r="CH382" i="124" s="1"/>
  <c r="BR382" i="124"/>
  <c r="BS382" i="124" s="1"/>
  <c r="AN382" i="124"/>
  <c r="AO382" i="124" s="1"/>
  <c r="BM382" i="124"/>
  <c r="BN382" i="124" s="1"/>
  <c r="BC382" i="124"/>
  <c r="BD382" i="124" s="1"/>
  <c r="CL382" i="124"/>
  <c r="CM382" i="124" s="1"/>
  <c r="U38" i="120"/>
  <c r="U39" i="120"/>
  <c r="U40" i="120"/>
  <c r="P39" i="113"/>
  <c r="BM58" i="124"/>
  <c r="BN58" i="124" s="1"/>
  <c r="BO58" i="124" s="1"/>
  <c r="AS58" i="124"/>
  <c r="AT58" i="124" s="1"/>
  <c r="AU58" i="124" s="1"/>
  <c r="AX58" i="124"/>
  <c r="AY58" i="124" s="1"/>
  <c r="AZ58" i="124" s="1"/>
  <c r="CG58" i="124"/>
  <c r="CH58" i="124" s="1"/>
  <c r="CI58" i="124" s="1"/>
  <c r="BR58" i="124"/>
  <c r="BS58" i="124" s="1"/>
  <c r="BT58" i="124" s="1"/>
  <c r="BH58" i="124"/>
  <c r="BI58" i="124" s="1"/>
  <c r="BJ58" i="124" s="1"/>
  <c r="AN58" i="124"/>
  <c r="AO58" i="124" s="1"/>
  <c r="AP58" i="124" s="1"/>
  <c r="BC58" i="124"/>
  <c r="BD58" i="124" s="1"/>
  <c r="BE58" i="124" s="1"/>
  <c r="AI58" i="124"/>
  <c r="AJ58" i="124" s="1"/>
  <c r="AK58" i="124" s="1"/>
  <c r="CB58" i="124"/>
  <c r="CC58" i="124" s="1"/>
  <c r="CD58" i="124" s="1"/>
  <c r="BW58" i="124"/>
  <c r="BX58" i="124" s="1"/>
  <c r="BY58" i="124" s="1"/>
  <c r="H76" i="126"/>
  <c r="H62" i="126"/>
  <c r="H65" i="126"/>
  <c r="H68" i="126"/>
  <c r="H71" i="126"/>
  <c r="H77" i="126"/>
  <c r="H73" i="126"/>
  <c r="H59" i="126"/>
  <c r="H67" i="126"/>
  <c r="H64" i="126"/>
  <c r="H69" i="126"/>
  <c r="H66" i="126"/>
  <c r="H74" i="126"/>
  <c r="H60" i="126"/>
  <c r="P35" i="113"/>
  <c r="H63" i="126"/>
  <c r="H72" i="126"/>
  <c r="H70" i="126"/>
  <c r="P38" i="113"/>
  <c r="P36" i="113"/>
  <c r="P37" i="113"/>
  <c r="P40" i="113"/>
  <c r="BM57" i="124"/>
  <c r="BN57" i="124" s="1"/>
  <c r="BO57" i="124" s="1"/>
  <c r="BR57" i="124"/>
  <c r="BS57" i="124" s="1"/>
  <c r="BT57" i="124" s="1"/>
  <c r="CG57" i="124"/>
  <c r="CH57" i="124" s="1"/>
  <c r="CI57" i="124" s="1"/>
  <c r="CL57" i="124"/>
  <c r="CM57" i="124" s="1"/>
  <c r="CN57" i="124" s="1"/>
  <c r="BW57" i="124"/>
  <c r="BX57" i="124" s="1"/>
  <c r="BY57" i="124" s="1"/>
  <c r="BH57" i="124"/>
  <c r="BI57" i="124" s="1"/>
  <c r="BJ57" i="124" s="1"/>
  <c r="AX57" i="124"/>
  <c r="AY57" i="124" s="1"/>
  <c r="AZ57" i="124" s="1"/>
  <c r="AI57" i="124"/>
  <c r="AJ57" i="124" s="1"/>
  <c r="AN57" i="124"/>
  <c r="AO57" i="124" s="1"/>
  <c r="AP57" i="124" s="1"/>
  <c r="AS57" i="124"/>
  <c r="AT57" i="124" s="1"/>
  <c r="AU57" i="124" s="1"/>
  <c r="CB57" i="124"/>
  <c r="CC57" i="124" s="1"/>
  <c r="CD57" i="124" s="1"/>
  <c r="Z14" i="124"/>
  <c r="Y14" i="124"/>
  <c r="AB14" i="124" s="1"/>
  <c r="S55" i="123"/>
  <c r="Z55" i="123"/>
  <c r="R14" i="124"/>
  <c r="S14" i="124"/>
  <c r="CD16" i="124"/>
  <c r="CI16" i="124"/>
  <c r="CD28" i="124"/>
  <c r="CI28" i="124"/>
  <c r="CD27" i="124"/>
  <c r="CI27" i="124"/>
  <c r="CD38" i="124"/>
  <c r="CI38" i="124"/>
  <c r="CD18" i="124"/>
  <c r="CI18" i="124"/>
  <c r="BT18" i="124"/>
  <c r="BY18" i="124"/>
  <c r="BT16" i="124"/>
  <c r="BY16" i="124"/>
  <c r="BT28" i="124"/>
  <c r="BY28" i="124"/>
  <c r="BT27" i="124"/>
  <c r="BY27" i="124"/>
  <c r="BT38" i="124"/>
  <c r="BY38" i="124"/>
  <c r="BJ27" i="124"/>
  <c r="BO27" i="124"/>
  <c r="BJ38" i="124"/>
  <c r="BO38" i="124"/>
  <c r="BJ18" i="124"/>
  <c r="BO18" i="124"/>
  <c r="BJ16" i="124"/>
  <c r="BO16" i="124"/>
  <c r="BJ28" i="124"/>
  <c r="BO28" i="124"/>
  <c r="AZ16" i="124"/>
  <c r="BE16" i="124"/>
  <c r="AZ28" i="124"/>
  <c r="BE28" i="124"/>
  <c r="AZ27" i="124"/>
  <c r="BE27" i="124"/>
  <c r="AZ38" i="124"/>
  <c r="BE38" i="124"/>
  <c r="AZ18" i="124"/>
  <c r="BE18" i="124"/>
  <c r="AP27" i="124"/>
  <c r="AU27" i="124"/>
  <c r="AP38" i="124"/>
  <c r="AU38" i="124"/>
  <c r="AP18" i="124"/>
  <c r="AU18" i="124"/>
  <c r="AP16" i="124"/>
  <c r="AU16" i="124"/>
  <c r="AP28" i="124"/>
  <c r="AU28" i="124"/>
  <c r="AI432" i="124"/>
  <c r="AJ432" i="124" s="1"/>
  <c r="AK28" i="124"/>
  <c r="AK27" i="124"/>
  <c r="AK38" i="124"/>
  <c r="AK18" i="124"/>
  <c r="AK16" i="124"/>
  <c r="AK57" i="124"/>
  <c r="AI14" i="124"/>
  <c r="AJ14" i="124" s="1"/>
  <c r="AK14" i="124" s="1"/>
  <c r="AB30" i="124"/>
  <c r="AC30" i="124" s="1"/>
  <c r="AB28" i="124"/>
  <c r="AC28" i="124" s="1"/>
  <c r="AB27" i="124"/>
  <c r="AC27" i="124" s="1"/>
  <c r="S255" i="124"/>
  <c r="R255" i="124"/>
  <c r="Y255" i="124"/>
  <c r="AB255" i="124" s="1"/>
  <c r="Z255" i="124"/>
  <c r="Y271" i="124"/>
  <c r="AB271" i="124" s="1"/>
  <c r="R271" i="124"/>
  <c r="S271" i="124"/>
  <c r="Z271" i="124"/>
  <c r="Y243" i="124"/>
  <c r="AB243" i="124" s="1"/>
  <c r="S243" i="124"/>
  <c r="R243" i="124"/>
  <c r="Z243" i="124"/>
  <c r="Y249" i="124"/>
  <c r="AB249" i="124" s="1"/>
  <c r="S249" i="124"/>
  <c r="R249" i="124"/>
  <c r="Z249" i="124"/>
  <c r="AA249" i="124" s="1"/>
  <c r="Y275" i="124"/>
  <c r="AB275" i="124" s="1"/>
  <c r="S275" i="124"/>
  <c r="R275" i="124"/>
  <c r="Z275" i="124"/>
  <c r="R195" i="124"/>
  <c r="S195" i="124"/>
  <c r="Y195" i="124"/>
  <c r="AB195" i="124" s="1"/>
  <c r="Z195" i="124"/>
  <c r="R71" i="124"/>
  <c r="S71" i="124"/>
  <c r="Y71" i="124"/>
  <c r="AB71" i="124" s="1"/>
  <c r="AC71" i="124" s="1"/>
  <c r="Z71" i="124"/>
  <c r="AA71" i="124" s="1"/>
  <c r="Y146" i="124"/>
  <c r="AB146" i="124" s="1"/>
  <c r="S146" i="124"/>
  <c r="R146" i="124"/>
  <c r="Z146" i="124"/>
  <c r="S108" i="124"/>
  <c r="Y108" i="124"/>
  <c r="AB108" i="124" s="1"/>
  <c r="R108" i="124"/>
  <c r="Z108" i="124"/>
  <c r="S142" i="124"/>
  <c r="R142" i="124"/>
  <c r="Y142" i="124"/>
  <c r="AB142" i="124" s="1"/>
  <c r="Z142" i="124"/>
  <c r="R141" i="124"/>
  <c r="S141" i="124"/>
  <c r="Y141" i="124"/>
  <c r="AB141" i="124" s="1"/>
  <c r="Z141" i="124"/>
  <c r="Y111" i="124"/>
  <c r="AB111" i="124" s="1"/>
  <c r="R111" i="124"/>
  <c r="S111" i="124"/>
  <c r="Z111" i="124"/>
  <c r="Y110" i="124"/>
  <c r="AB110" i="124" s="1"/>
  <c r="R110" i="124"/>
  <c r="S110" i="124"/>
  <c r="Z110" i="124"/>
  <c r="Y93" i="124"/>
  <c r="AB93" i="124" s="1"/>
  <c r="R93" i="124"/>
  <c r="S93" i="124"/>
  <c r="Z93" i="124"/>
  <c r="Y82" i="124"/>
  <c r="AB82" i="124" s="1"/>
  <c r="R82" i="124"/>
  <c r="S82" i="124"/>
  <c r="Z82" i="124"/>
  <c r="Y132" i="124"/>
  <c r="AB132" i="124" s="1"/>
  <c r="S132" i="124"/>
  <c r="R132" i="124"/>
  <c r="Z132" i="124"/>
  <c r="Y175" i="124"/>
  <c r="AB175" i="124" s="1"/>
  <c r="R175" i="124"/>
  <c r="S175" i="124"/>
  <c r="Z175" i="124"/>
  <c r="Y95" i="124"/>
  <c r="AB95" i="124" s="1"/>
  <c r="R95" i="124"/>
  <c r="Z95" i="124"/>
  <c r="S95" i="124"/>
  <c r="Y6" i="124"/>
  <c r="AB6" i="124" s="1"/>
  <c r="S6" i="124"/>
  <c r="R6" i="124"/>
  <c r="Z6" i="124"/>
  <c r="R121" i="124"/>
  <c r="S121" i="124"/>
  <c r="Y121" i="124"/>
  <c r="AB121" i="124" s="1"/>
  <c r="Z121" i="124"/>
  <c r="R185" i="124"/>
  <c r="Y185" i="124"/>
  <c r="AB185" i="124" s="1"/>
  <c r="S185" i="124"/>
  <c r="Z185" i="124"/>
  <c r="S161" i="124"/>
  <c r="Y161" i="124"/>
  <c r="AB161" i="124" s="1"/>
  <c r="R161" i="124"/>
  <c r="Z161" i="124"/>
  <c r="Y152" i="124"/>
  <c r="AB152" i="124" s="1"/>
  <c r="S152" i="124"/>
  <c r="R152" i="124"/>
  <c r="Z152" i="124"/>
  <c r="R68" i="124"/>
  <c r="Y68" i="124"/>
  <c r="AB68" i="124" s="1"/>
  <c r="S68" i="124"/>
  <c r="Z68" i="124"/>
  <c r="AA68" i="124" s="1"/>
  <c r="Y7" i="124"/>
  <c r="AB7" i="124" s="1"/>
  <c r="S7" i="124"/>
  <c r="R7" i="124"/>
  <c r="Z7" i="124"/>
  <c r="R65" i="124"/>
  <c r="Y65" i="124"/>
  <c r="AB65" i="124" s="1"/>
  <c r="Z65" i="124"/>
  <c r="S65" i="124"/>
  <c r="S174" i="124"/>
  <c r="R174" i="124"/>
  <c r="Y174" i="124"/>
  <c r="AB174" i="124" s="1"/>
  <c r="Z174" i="124"/>
  <c r="Y173" i="124"/>
  <c r="AB173" i="124" s="1"/>
  <c r="R173" i="124"/>
  <c r="S173" i="124"/>
  <c r="Z173" i="124"/>
  <c r="Y181" i="124"/>
  <c r="AB181" i="124" s="1"/>
  <c r="R181" i="124"/>
  <c r="S181" i="124"/>
  <c r="Z181" i="124"/>
  <c r="S184" i="124"/>
  <c r="R184" i="124"/>
  <c r="Y184" i="124"/>
  <c r="AB184" i="124" s="1"/>
  <c r="Z184" i="124"/>
  <c r="Y90" i="124"/>
  <c r="AB90" i="124" s="1"/>
  <c r="R90" i="124"/>
  <c r="S90" i="124"/>
  <c r="Z90" i="124"/>
  <c r="Y140" i="124"/>
  <c r="AB140" i="124" s="1"/>
  <c r="S140" i="124"/>
  <c r="R140" i="124"/>
  <c r="Z140" i="124"/>
  <c r="S183" i="124"/>
  <c r="R183" i="124"/>
  <c r="Y183" i="124"/>
  <c r="AB183" i="124" s="1"/>
  <c r="Z183" i="124"/>
  <c r="Y103" i="124"/>
  <c r="AB103" i="124" s="1"/>
  <c r="S103" i="124"/>
  <c r="R103" i="124"/>
  <c r="Z103" i="124"/>
  <c r="R92" i="124"/>
  <c r="Y92" i="124"/>
  <c r="AB92" i="124" s="1"/>
  <c r="S92" i="124"/>
  <c r="Z92" i="124"/>
  <c r="Y74" i="124"/>
  <c r="AB74" i="124" s="1"/>
  <c r="S74" i="124"/>
  <c r="R74" i="124"/>
  <c r="Z74" i="124"/>
  <c r="AA74" i="124" s="1"/>
  <c r="Y126" i="124"/>
  <c r="AB126" i="124" s="1"/>
  <c r="S126" i="124"/>
  <c r="R126" i="124"/>
  <c r="Z126" i="124"/>
  <c r="R125" i="124"/>
  <c r="Y125" i="124"/>
  <c r="AB125" i="124" s="1"/>
  <c r="S125" i="124"/>
  <c r="Z125" i="124"/>
  <c r="S158" i="124"/>
  <c r="R158" i="124"/>
  <c r="Y158" i="124"/>
  <c r="AB158" i="124" s="1"/>
  <c r="Z158" i="124"/>
  <c r="S76" i="124"/>
  <c r="R76" i="124"/>
  <c r="Y76" i="124"/>
  <c r="AB76" i="124" s="1"/>
  <c r="Z76" i="124"/>
  <c r="Y114" i="124"/>
  <c r="AB114" i="124" s="1"/>
  <c r="S114" i="124"/>
  <c r="R114" i="124"/>
  <c r="Z114" i="124"/>
  <c r="Y127" i="124"/>
  <c r="AB127" i="124" s="1"/>
  <c r="R127" i="124"/>
  <c r="S127" i="124"/>
  <c r="Z127" i="124"/>
  <c r="S117" i="124"/>
  <c r="R117" i="124"/>
  <c r="Y117" i="124"/>
  <c r="AB117" i="124" s="1"/>
  <c r="Z117" i="124"/>
  <c r="Y144" i="124"/>
  <c r="AB144" i="124" s="1"/>
  <c r="R144" i="124"/>
  <c r="S144" i="124"/>
  <c r="Z144" i="124"/>
  <c r="S135" i="124"/>
  <c r="R135" i="124"/>
  <c r="Y135" i="124"/>
  <c r="AB135" i="124" s="1"/>
  <c r="Z135" i="124"/>
  <c r="S178" i="124"/>
  <c r="R178" i="124"/>
  <c r="Z178" i="124"/>
  <c r="AA178" i="124" s="1"/>
  <c r="Y178" i="124"/>
  <c r="AB178" i="124" s="1"/>
  <c r="S163" i="124"/>
  <c r="R163" i="124"/>
  <c r="Z163" i="124"/>
  <c r="Y163" i="124"/>
  <c r="AB163" i="124" s="1"/>
  <c r="S102" i="124"/>
  <c r="Y102" i="124"/>
  <c r="AB102" i="124" s="1"/>
  <c r="R102" i="124"/>
  <c r="Z102" i="124"/>
  <c r="Y167" i="124"/>
  <c r="AB167" i="124" s="1"/>
  <c r="S167" i="124"/>
  <c r="R167" i="124"/>
  <c r="Z167" i="124"/>
  <c r="S180" i="124"/>
  <c r="R180" i="124"/>
  <c r="Y180" i="124"/>
  <c r="AB180" i="124" s="1"/>
  <c r="Z180" i="124"/>
  <c r="Y188" i="124"/>
  <c r="AB188" i="124" s="1"/>
  <c r="R188" i="124"/>
  <c r="S188" i="124"/>
  <c r="Z188" i="124"/>
  <c r="AA188" i="124" s="1"/>
  <c r="S235" i="124"/>
  <c r="Y235" i="124"/>
  <c r="AB235" i="124" s="1"/>
  <c r="R235" i="124"/>
  <c r="Z235" i="124"/>
  <c r="Y216" i="124"/>
  <c r="AB216" i="124" s="1"/>
  <c r="S216" i="124"/>
  <c r="R216" i="124"/>
  <c r="Z216" i="124"/>
  <c r="S211" i="124"/>
  <c r="R211" i="124"/>
  <c r="Y211" i="124"/>
  <c r="AB211" i="124" s="1"/>
  <c r="Z211" i="124"/>
  <c r="Y201" i="124"/>
  <c r="AB201" i="124" s="1"/>
  <c r="R201" i="124"/>
  <c r="S201" i="124"/>
  <c r="Z201" i="124"/>
  <c r="Y227" i="124"/>
  <c r="AB227" i="124" s="1"/>
  <c r="R227" i="124"/>
  <c r="S227" i="124"/>
  <c r="Z227" i="124"/>
  <c r="Y208" i="124"/>
  <c r="AB208" i="124" s="1"/>
  <c r="S208" i="124"/>
  <c r="R208" i="124"/>
  <c r="Z208" i="124"/>
  <c r="AA208" i="124" s="1"/>
  <c r="Y196" i="124"/>
  <c r="AB196" i="124" s="1"/>
  <c r="S196" i="124"/>
  <c r="R196" i="124"/>
  <c r="Z196" i="124"/>
  <c r="R256" i="124"/>
  <c r="S256" i="124"/>
  <c r="Y256" i="124"/>
  <c r="AB256" i="124" s="1"/>
  <c r="Z256" i="124"/>
  <c r="AA256" i="124" s="1"/>
  <c r="Y190" i="124"/>
  <c r="AB190" i="124" s="1"/>
  <c r="R190" i="124"/>
  <c r="Z190" i="124"/>
  <c r="S190" i="124"/>
  <c r="Z57" i="124"/>
  <c r="S57" i="124"/>
  <c r="R164" i="124"/>
  <c r="Y164" i="124"/>
  <c r="AB164" i="124" s="1"/>
  <c r="S164" i="124"/>
  <c r="Z164" i="124"/>
  <c r="Y97" i="124"/>
  <c r="AB97" i="124" s="1"/>
  <c r="S97" i="124"/>
  <c r="R97" i="124"/>
  <c r="Z97" i="124"/>
  <c r="Y88" i="124"/>
  <c r="AB88" i="124" s="1"/>
  <c r="R88" i="124"/>
  <c r="S88" i="124"/>
  <c r="Z88" i="124"/>
  <c r="Y131" i="124"/>
  <c r="AB131" i="124" s="1"/>
  <c r="R131" i="124"/>
  <c r="S131" i="124"/>
  <c r="Z131" i="124"/>
  <c r="S166" i="124"/>
  <c r="Y166" i="124"/>
  <c r="AB166" i="124" s="1"/>
  <c r="R166" i="124"/>
  <c r="Z166" i="124"/>
  <c r="R84" i="124"/>
  <c r="Y84" i="124"/>
  <c r="AB84" i="124" s="1"/>
  <c r="S84" i="124"/>
  <c r="Z84" i="124"/>
  <c r="Y75" i="124"/>
  <c r="AB75" i="124" s="1"/>
  <c r="R75" i="124"/>
  <c r="S75" i="124"/>
  <c r="Z75" i="124"/>
  <c r="Y169" i="124"/>
  <c r="AB169" i="124" s="1"/>
  <c r="S169" i="124"/>
  <c r="Z169" i="124"/>
  <c r="Y8" i="124"/>
  <c r="AB8" i="124" s="1"/>
  <c r="S8" i="124"/>
  <c r="R8" i="124"/>
  <c r="Y107" i="124"/>
  <c r="AB107" i="124" s="1"/>
  <c r="R107" i="124"/>
  <c r="S107" i="124"/>
  <c r="Z107" i="124"/>
  <c r="S143" i="124"/>
  <c r="R143" i="124"/>
  <c r="Y143" i="124"/>
  <c r="AB143" i="124" s="1"/>
  <c r="Z143" i="124"/>
  <c r="Y186" i="124"/>
  <c r="AB186" i="124" s="1"/>
  <c r="R186" i="124"/>
  <c r="S186" i="124"/>
  <c r="Z186" i="124"/>
  <c r="Y105" i="124"/>
  <c r="AB105" i="124" s="1"/>
  <c r="S105" i="124"/>
  <c r="R105" i="124"/>
  <c r="Z105" i="124"/>
  <c r="Y109" i="124"/>
  <c r="AB109" i="124" s="1"/>
  <c r="R109" i="124"/>
  <c r="Z109" i="124"/>
  <c r="S109" i="124"/>
  <c r="S129" i="124"/>
  <c r="R129" i="124"/>
  <c r="Y129" i="124"/>
  <c r="AB129" i="124" s="1"/>
  <c r="Z129" i="124"/>
  <c r="R10" i="124"/>
  <c r="S10" i="124"/>
  <c r="Y10" i="124"/>
  <c r="AB10" i="124" s="1"/>
  <c r="Z10" i="124"/>
  <c r="Y133" i="124"/>
  <c r="AB133" i="124" s="1"/>
  <c r="S133" i="124"/>
  <c r="R133" i="124"/>
  <c r="Z133" i="124"/>
  <c r="Y130" i="124"/>
  <c r="AB130" i="124" s="1"/>
  <c r="R130" i="124"/>
  <c r="S130" i="124"/>
  <c r="Z130" i="124"/>
  <c r="Y3" i="124"/>
  <c r="Z3" i="124"/>
  <c r="S116" i="124"/>
  <c r="R116" i="124"/>
  <c r="Y116" i="124"/>
  <c r="AB116" i="124" s="1"/>
  <c r="Z116" i="124"/>
  <c r="R150" i="124"/>
  <c r="S150" i="124"/>
  <c r="Y150" i="124"/>
  <c r="AB150" i="124" s="1"/>
  <c r="Z150" i="124"/>
  <c r="Y149" i="124"/>
  <c r="AB149" i="124" s="1"/>
  <c r="R149" i="124"/>
  <c r="S149" i="124"/>
  <c r="Z149" i="124"/>
  <c r="R72" i="124"/>
  <c r="Y72" i="124"/>
  <c r="AB72" i="124" s="1"/>
  <c r="S72" i="124"/>
  <c r="Z72" i="124"/>
  <c r="AA72" i="124" s="1"/>
  <c r="R80" i="124"/>
  <c r="S80" i="124"/>
  <c r="Z80" i="124"/>
  <c r="AA80" i="124" s="1"/>
  <c r="Y80" i="124"/>
  <c r="AB80" i="124" s="1"/>
  <c r="Y79" i="124"/>
  <c r="AB79" i="124" s="1"/>
  <c r="S79" i="124"/>
  <c r="R79" i="124"/>
  <c r="Z79" i="124"/>
  <c r="AA79" i="124" s="1"/>
  <c r="Y115" i="124"/>
  <c r="AB115" i="124" s="1"/>
  <c r="S115" i="124"/>
  <c r="R115" i="124"/>
  <c r="Z115" i="124"/>
  <c r="R151" i="124"/>
  <c r="S151" i="124"/>
  <c r="Y151" i="124"/>
  <c r="AB151" i="124" s="1"/>
  <c r="Z151" i="124"/>
  <c r="Y67" i="124"/>
  <c r="AB67" i="124" s="1"/>
  <c r="S67" i="124"/>
  <c r="Z67" i="124"/>
  <c r="AA67" i="124" s="1"/>
  <c r="R67" i="124"/>
  <c r="Y112" i="124"/>
  <c r="AB112" i="124" s="1"/>
  <c r="S112" i="124"/>
  <c r="R112" i="124"/>
  <c r="Z112" i="124"/>
  <c r="Y70" i="124"/>
  <c r="AB70" i="124" s="1"/>
  <c r="S70" i="124"/>
  <c r="R70" i="124"/>
  <c r="Z70" i="124"/>
  <c r="AA70" i="124" s="1"/>
  <c r="R100" i="124"/>
  <c r="Y100" i="124"/>
  <c r="AB100" i="124" s="1"/>
  <c r="S100" i="124"/>
  <c r="Z100" i="124"/>
  <c r="Y91" i="124"/>
  <c r="AB91" i="124" s="1"/>
  <c r="S91" i="124"/>
  <c r="R91" i="124"/>
  <c r="Z91" i="124"/>
  <c r="R177" i="124"/>
  <c r="S177" i="124"/>
  <c r="Y177" i="124"/>
  <c r="AB177" i="124" s="1"/>
  <c r="Z177" i="124"/>
  <c r="AA177" i="124" s="1"/>
  <c r="Y138" i="124"/>
  <c r="AB138" i="124" s="1"/>
  <c r="R138" i="124"/>
  <c r="S138" i="124"/>
  <c r="Z138" i="124"/>
  <c r="Y182" i="124"/>
  <c r="AB182" i="124" s="1"/>
  <c r="S182" i="124"/>
  <c r="R182" i="124"/>
  <c r="Z182" i="124"/>
  <c r="Y123" i="124"/>
  <c r="AB123" i="124" s="1"/>
  <c r="R123" i="124"/>
  <c r="S123" i="124"/>
  <c r="Z123" i="124"/>
  <c r="Y113" i="124"/>
  <c r="AB113" i="124" s="1"/>
  <c r="S113" i="124"/>
  <c r="R113" i="124"/>
  <c r="Z113" i="124"/>
  <c r="R162" i="124"/>
  <c r="S162" i="124"/>
  <c r="Y162" i="124"/>
  <c r="AB162" i="124" s="1"/>
  <c r="Z162" i="124"/>
  <c r="Y124" i="124"/>
  <c r="AB124" i="124" s="1"/>
  <c r="R124" i="124"/>
  <c r="S124" i="124"/>
  <c r="Z124" i="124"/>
  <c r="Y145" i="124"/>
  <c r="AB145" i="124" s="1"/>
  <c r="S145" i="124"/>
  <c r="R145" i="124"/>
  <c r="Z145" i="124"/>
  <c r="Y98" i="124"/>
  <c r="AB98" i="124" s="1"/>
  <c r="S98" i="124"/>
  <c r="R98" i="124"/>
  <c r="Z98" i="124"/>
  <c r="Y148" i="124"/>
  <c r="AB148" i="124" s="1"/>
  <c r="S148" i="124"/>
  <c r="R148" i="124"/>
  <c r="Z148" i="124"/>
  <c r="S64" i="124"/>
  <c r="R64" i="124"/>
  <c r="Y64" i="124"/>
  <c r="AB64" i="124" s="1"/>
  <c r="Z64" i="124"/>
  <c r="AA64" i="124" s="1"/>
  <c r="R63" i="124"/>
  <c r="S63" i="124"/>
  <c r="Y63" i="124"/>
  <c r="AB63" i="124" s="1"/>
  <c r="Z63" i="124"/>
  <c r="Y231" i="124"/>
  <c r="AB231" i="124" s="1"/>
  <c r="R231" i="124"/>
  <c r="S231" i="124"/>
  <c r="Z231" i="124"/>
  <c r="R241" i="124"/>
  <c r="Y241" i="124"/>
  <c r="AB241" i="124" s="1"/>
  <c r="S241" i="124"/>
  <c r="Z241" i="124"/>
  <c r="Y202" i="124"/>
  <c r="AB202" i="124" s="1"/>
  <c r="R202" i="124"/>
  <c r="Z202" i="124"/>
  <c r="S202" i="124"/>
  <c r="Y203" i="124"/>
  <c r="AB203" i="124" s="1"/>
  <c r="R203" i="124"/>
  <c r="S203" i="124"/>
  <c r="Z203" i="124"/>
  <c r="Y210" i="124"/>
  <c r="AB210" i="124" s="1"/>
  <c r="S210" i="124"/>
  <c r="R210" i="124"/>
  <c r="Z210" i="124"/>
  <c r="S26" i="124"/>
  <c r="R236" i="124"/>
  <c r="S236" i="124"/>
  <c r="Y236" i="124"/>
  <c r="AB236" i="124" s="1"/>
  <c r="Z236" i="124"/>
  <c r="Y286" i="124"/>
  <c r="AB286" i="124" s="1"/>
  <c r="R286" i="124"/>
  <c r="S286" i="124"/>
  <c r="Z286" i="124"/>
  <c r="Y189" i="124"/>
  <c r="AB189" i="124" s="1"/>
  <c r="S189" i="124"/>
  <c r="R189" i="124"/>
  <c r="Z189" i="124"/>
  <c r="Y160" i="124"/>
  <c r="AB160" i="124" s="1"/>
  <c r="R160" i="124"/>
  <c r="S160" i="124"/>
  <c r="Z160" i="124"/>
  <c r="R179" i="124"/>
  <c r="Y179" i="124"/>
  <c r="AB179" i="124" s="1"/>
  <c r="Z179" i="124"/>
  <c r="S179" i="124"/>
  <c r="Y99" i="124"/>
  <c r="AB99" i="124" s="1"/>
  <c r="R99" i="124"/>
  <c r="S99" i="124"/>
  <c r="Z99" i="124"/>
  <c r="Y73" i="124"/>
  <c r="AB73" i="124" s="1"/>
  <c r="S73" i="124"/>
  <c r="R73" i="124"/>
  <c r="Z73" i="124"/>
  <c r="AA73" i="124" s="1"/>
  <c r="R154" i="124"/>
  <c r="Y154" i="124"/>
  <c r="AB154" i="124" s="1"/>
  <c r="S154" i="124"/>
  <c r="Z154" i="124"/>
  <c r="R62" i="124"/>
  <c r="Y62" i="124"/>
  <c r="AB62" i="124" s="1"/>
  <c r="S62" i="124"/>
  <c r="Z62" i="124"/>
  <c r="AA62" i="124" s="1"/>
  <c r="R85" i="124"/>
  <c r="Y85" i="124"/>
  <c r="AB85" i="124" s="1"/>
  <c r="S85" i="124"/>
  <c r="Z85" i="124"/>
  <c r="Y83" i="124"/>
  <c r="AB83" i="124" s="1"/>
  <c r="S83" i="124"/>
  <c r="R83" i="124"/>
  <c r="Z83" i="124"/>
  <c r="Y119" i="124"/>
  <c r="AB119" i="124" s="1"/>
  <c r="S119" i="124"/>
  <c r="R119" i="124"/>
  <c r="Z119" i="124"/>
  <c r="Y86" i="124"/>
  <c r="AB86" i="124" s="1"/>
  <c r="R86" i="124"/>
  <c r="Z86" i="124"/>
  <c r="AA86" i="124" s="1"/>
  <c r="S86" i="124"/>
  <c r="Y153" i="124"/>
  <c r="AB153" i="124" s="1"/>
  <c r="S153" i="124"/>
  <c r="R153" i="124"/>
  <c r="Z153" i="124"/>
  <c r="Y69" i="124"/>
  <c r="AB69" i="124" s="1"/>
  <c r="S69" i="124"/>
  <c r="Z69" i="124"/>
  <c r="AA69" i="124" s="1"/>
  <c r="R69" i="124"/>
  <c r="Y106" i="124"/>
  <c r="AB106" i="124" s="1"/>
  <c r="S106" i="124"/>
  <c r="R106" i="124"/>
  <c r="Z106" i="124"/>
  <c r="R155" i="124"/>
  <c r="S155" i="124"/>
  <c r="Y155" i="124"/>
  <c r="AB155" i="124" s="1"/>
  <c r="Z155" i="124"/>
  <c r="Y13" i="124"/>
  <c r="AB13" i="124" s="1"/>
  <c r="R13" i="124"/>
  <c r="S13" i="124"/>
  <c r="Z13" i="124"/>
  <c r="AA13" i="124" s="1"/>
  <c r="S137" i="124"/>
  <c r="R137" i="124"/>
  <c r="Y137" i="124"/>
  <c r="AB137" i="124" s="1"/>
  <c r="Z137" i="124"/>
  <c r="S128" i="124"/>
  <c r="Y128" i="124"/>
  <c r="AB128" i="124" s="1"/>
  <c r="R128" i="124"/>
  <c r="Z128" i="124"/>
  <c r="R176" i="124"/>
  <c r="S176" i="124"/>
  <c r="Y176" i="124"/>
  <c r="AB176" i="124" s="1"/>
  <c r="Z176" i="124"/>
  <c r="Y96" i="124"/>
  <c r="AB96" i="124" s="1"/>
  <c r="S96" i="124"/>
  <c r="R96" i="124"/>
  <c r="Z96" i="124"/>
  <c r="Y139" i="124"/>
  <c r="AB139" i="124" s="1"/>
  <c r="S139" i="124"/>
  <c r="R139" i="124"/>
  <c r="Z139" i="124"/>
  <c r="S172" i="124"/>
  <c r="R172" i="124"/>
  <c r="Y172" i="124"/>
  <c r="AB172" i="124" s="1"/>
  <c r="Y165" i="124"/>
  <c r="AB165" i="124" s="1"/>
  <c r="S165" i="124"/>
  <c r="R165" i="124"/>
  <c r="Z165" i="124"/>
  <c r="Y171" i="124"/>
  <c r="AB171" i="124" s="1"/>
  <c r="R171" i="124"/>
  <c r="S171" i="124"/>
  <c r="Z171" i="124"/>
  <c r="R170" i="124"/>
  <c r="S170" i="124"/>
  <c r="Z170" i="124"/>
  <c r="Y170" i="124"/>
  <c r="AB170" i="124" s="1"/>
  <c r="S156" i="124"/>
  <c r="R156" i="124"/>
  <c r="Y156" i="124"/>
  <c r="AB156" i="124" s="1"/>
  <c r="Z156" i="124"/>
  <c r="S94" i="124"/>
  <c r="R94" i="124"/>
  <c r="Y94" i="124"/>
  <c r="AB94" i="124" s="1"/>
  <c r="Z94" i="124"/>
  <c r="Y159" i="124"/>
  <c r="AB159" i="124" s="1"/>
  <c r="R159" i="124"/>
  <c r="S159" i="124"/>
  <c r="Z159" i="124"/>
  <c r="S77" i="124"/>
  <c r="R77" i="124"/>
  <c r="Y77" i="124"/>
  <c r="AB77" i="124" s="1"/>
  <c r="Z77" i="124"/>
  <c r="S66" i="124"/>
  <c r="Y66" i="124"/>
  <c r="AB66" i="124" s="1"/>
  <c r="R66" i="124"/>
  <c r="Z66" i="124"/>
  <c r="AA66" i="124" s="1"/>
  <c r="Y118" i="124"/>
  <c r="AB118" i="124" s="1"/>
  <c r="S118" i="124"/>
  <c r="R118" i="124"/>
  <c r="Z118" i="124"/>
  <c r="Y78" i="124"/>
  <c r="AB78" i="124" s="1"/>
  <c r="S78" i="124"/>
  <c r="R78" i="124"/>
  <c r="Z78" i="124"/>
  <c r="Y101" i="124"/>
  <c r="AB101" i="124" s="1"/>
  <c r="S101" i="124"/>
  <c r="Z101" i="124"/>
  <c r="R101" i="124"/>
  <c r="Y134" i="124"/>
  <c r="AB134" i="124" s="1"/>
  <c r="R134" i="124"/>
  <c r="S134" i="124"/>
  <c r="Z134" i="124"/>
  <c r="S81" i="124"/>
  <c r="R81" i="124"/>
  <c r="Y81" i="124"/>
  <c r="AB81" i="124" s="1"/>
  <c r="Z81" i="124"/>
  <c r="R104" i="124"/>
  <c r="Y104" i="124"/>
  <c r="AB104" i="124" s="1"/>
  <c r="S104" i="124"/>
  <c r="Z104" i="124"/>
  <c r="R147" i="124"/>
  <c r="S147" i="124"/>
  <c r="Y147" i="124"/>
  <c r="AB147" i="124" s="1"/>
  <c r="Z147" i="124"/>
  <c r="Y136" i="124"/>
  <c r="AB136" i="124" s="1"/>
  <c r="S136" i="124"/>
  <c r="R136" i="124"/>
  <c r="Z136" i="124"/>
  <c r="S120" i="124"/>
  <c r="R120" i="124"/>
  <c r="Y120" i="124"/>
  <c r="AB120" i="124" s="1"/>
  <c r="Z120" i="124"/>
  <c r="Y168" i="124"/>
  <c r="AB168" i="124" s="1"/>
  <c r="S168" i="124"/>
  <c r="R168" i="124"/>
  <c r="Z168" i="124"/>
  <c r="S11" i="124"/>
  <c r="R11" i="124"/>
  <c r="Y11" i="124"/>
  <c r="AB11" i="124" s="1"/>
  <c r="Z11" i="124"/>
  <c r="Y87" i="124"/>
  <c r="AB87" i="124" s="1"/>
  <c r="R87" i="124"/>
  <c r="S87" i="124"/>
  <c r="Z87" i="124"/>
  <c r="Y122" i="124"/>
  <c r="AB122" i="124" s="1"/>
  <c r="S122" i="124"/>
  <c r="R122" i="124"/>
  <c r="Z122" i="124"/>
  <c r="R12" i="124"/>
  <c r="S12" i="124"/>
  <c r="Z12" i="124"/>
  <c r="AA12" i="124" s="1"/>
  <c r="Y12" i="124"/>
  <c r="AB12" i="124" s="1"/>
  <c r="S157" i="124"/>
  <c r="R157" i="124"/>
  <c r="Y157" i="124"/>
  <c r="AB157" i="124" s="1"/>
  <c r="Z157" i="124"/>
  <c r="Y89" i="124"/>
  <c r="AB89" i="124" s="1"/>
  <c r="R89" i="124"/>
  <c r="S89" i="124"/>
  <c r="Z89" i="124"/>
  <c r="R278" i="124"/>
  <c r="S278" i="124"/>
  <c r="Y278" i="124"/>
  <c r="AB278" i="124" s="1"/>
  <c r="Z278" i="124"/>
  <c r="Y187" i="124"/>
  <c r="AB187" i="124" s="1"/>
  <c r="R187" i="124"/>
  <c r="S187" i="124"/>
  <c r="Z187" i="124"/>
  <c r="S274" i="124"/>
  <c r="Y274" i="124"/>
  <c r="AB274" i="124" s="1"/>
  <c r="R274" i="124"/>
  <c r="Z274" i="124"/>
  <c r="Y260" i="124"/>
  <c r="AB260" i="124" s="1"/>
  <c r="S260" i="124"/>
  <c r="R260" i="124"/>
  <c r="Z260" i="124"/>
  <c r="AA260" i="124" s="1"/>
  <c r="R281" i="124"/>
  <c r="S281" i="124"/>
  <c r="Y281" i="124"/>
  <c r="AB281" i="124" s="1"/>
  <c r="Z281" i="124"/>
  <c r="R3" i="123"/>
  <c r="AC402" i="124"/>
  <c r="AD402" i="124" s="1"/>
  <c r="AE402" i="124" s="1"/>
  <c r="AC396" i="124"/>
  <c r="AD396" i="124" s="1"/>
  <c r="AE396" i="124" s="1"/>
  <c r="AC397" i="124"/>
  <c r="AD397" i="124" s="1"/>
  <c r="AE397" i="124" s="1"/>
  <c r="AC422" i="124"/>
  <c r="AC401" i="124"/>
  <c r="AD401" i="124" s="1"/>
  <c r="AE401" i="124" s="1"/>
  <c r="AC399" i="124"/>
  <c r="AD399" i="124" s="1"/>
  <c r="AE399" i="124" s="1"/>
  <c r="AC398" i="124"/>
  <c r="AD398" i="124" s="1"/>
  <c r="AE398" i="124" s="1"/>
  <c r="AC409" i="124"/>
  <c r="AD409" i="124" s="1"/>
  <c r="AE409" i="124" s="1"/>
  <c r="AC423" i="124"/>
  <c r="S3" i="123"/>
  <c r="S476" i="124"/>
  <c r="R476" i="124"/>
  <c r="Z476" i="124"/>
  <c r="AA476" i="124" s="1"/>
  <c r="Y476" i="124"/>
  <c r="AB476" i="124" s="1"/>
  <c r="Z3" i="123"/>
  <c r="AA3" i="123" s="1"/>
  <c r="Y454" i="124"/>
  <c r="AB454" i="124" s="1"/>
  <c r="Y415" i="124"/>
  <c r="AB415" i="124" s="1"/>
  <c r="Y20" i="124"/>
  <c r="AB20" i="124" s="1"/>
  <c r="Y383" i="124"/>
  <c r="AB383" i="124" s="1"/>
  <c r="Y517" i="124"/>
  <c r="AB517" i="124" s="1"/>
  <c r="Y563" i="124"/>
  <c r="AB563" i="124" s="1"/>
  <c r="Y465" i="124"/>
  <c r="AB465" i="124" s="1"/>
  <c r="Y36" i="124"/>
  <c r="AB36" i="124" s="1"/>
  <c r="Y49" i="124"/>
  <c r="AB49" i="124" s="1"/>
  <c r="Y479" i="124"/>
  <c r="AB479" i="124" s="1"/>
  <c r="Y529" i="124"/>
  <c r="AB529" i="124" s="1"/>
  <c r="Y441" i="124"/>
  <c r="AB441" i="124" s="1"/>
  <c r="Y513" i="124"/>
  <c r="AB513" i="124" s="1"/>
  <c r="Y350" i="124"/>
  <c r="AB350" i="124" s="1"/>
  <c r="Y462" i="124"/>
  <c r="AB462" i="124" s="1"/>
  <c r="Y369" i="124"/>
  <c r="AB369" i="124" s="1"/>
  <c r="Y414" i="124"/>
  <c r="AB414" i="124" s="1"/>
  <c r="Y474" i="124"/>
  <c r="AB474" i="124" s="1"/>
  <c r="Y496" i="124"/>
  <c r="AB496" i="124" s="1"/>
  <c r="Y523" i="124"/>
  <c r="AB523" i="124" s="1"/>
  <c r="Y558" i="124"/>
  <c r="AB558" i="124" s="1"/>
  <c r="Y451" i="124"/>
  <c r="AB451" i="124" s="1"/>
  <c r="Y484" i="124"/>
  <c r="AB484" i="124" s="1"/>
  <c r="Y469" i="124"/>
  <c r="AB469" i="124" s="1"/>
  <c r="Y364" i="124"/>
  <c r="AB364" i="124" s="1"/>
  <c r="Y553" i="124"/>
  <c r="AB553" i="124" s="1"/>
  <c r="Y439" i="124"/>
  <c r="AB439" i="124" s="1"/>
  <c r="Y449" i="124"/>
  <c r="AB449" i="124" s="1"/>
  <c r="Y556" i="124"/>
  <c r="AB556" i="124" s="1"/>
  <c r="Y464" i="124"/>
  <c r="AB464" i="124" s="1"/>
  <c r="Y547" i="124"/>
  <c r="AB547" i="124" s="1"/>
  <c r="Y581" i="124"/>
  <c r="AB581" i="124" s="1"/>
  <c r="Y387" i="124"/>
  <c r="AB387" i="124" s="1"/>
  <c r="Y435" i="124"/>
  <c r="AB435" i="124" s="1"/>
  <c r="Y519" i="124"/>
  <c r="AB519" i="124" s="1"/>
  <c r="Y551" i="124"/>
  <c r="AB551" i="124" s="1"/>
  <c r="Y480" i="124"/>
  <c r="AB480" i="124" s="1"/>
  <c r="Y19" i="124"/>
  <c r="AB19" i="124" s="1"/>
  <c r="Y452" i="124"/>
  <c r="AB452" i="124" s="1"/>
  <c r="Y31" i="124"/>
  <c r="AB31" i="124" s="1"/>
  <c r="Y60" i="124"/>
  <c r="AB60" i="124" s="1"/>
  <c r="Y504" i="124"/>
  <c r="AB504" i="124" s="1"/>
  <c r="Y481" i="124"/>
  <c r="AB481" i="124" s="1"/>
  <c r="Y497" i="124"/>
  <c r="AB497" i="124" s="1"/>
  <c r="Y489" i="124"/>
  <c r="AB489" i="124" s="1"/>
  <c r="Y367" i="124"/>
  <c r="AB367" i="124" s="1"/>
  <c r="Y458" i="124"/>
  <c r="AB458" i="124" s="1"/>
  <c r="Y413" i="124"/>
  <c r="AB413" i="124" s="1"/>
  <c r="Y393" i="124"/>
  <c r="AB393" i="124" s="1"/>
  <c r="Y508" i="124"/>
  <c r="AB508" i="124" s="1"/>
  <c r="Y430" i="124"/>
  <c r="AB430" i="124" s="1"/>
  <c r="Y352" i="124"/>
  <c r="AB352" i="124" s="1"/>
  <c r="Y483" i="124"/>
  <c r="AB483" i="124" s="1"/>
  <c r="Y29" i="124"/>
  <c r="AB29" i="124" s="1"/>
  <c r="Y42" i="124"/>
  <c r="AB42" i="124" s="1"/>
  <c r="Y59" i="124"/>
  <c r="AB59" i="124" s="1"/>
  <c r="Y518" i="124"/>
  <c r="AB518" i="124" s="1"/>
  <c r="Y52" i="124"/>
  <c r="AB52" i="124" s="1"/>
  <c r="AC52" i="124" s="1"/>
  <c r="Y445" i="124"/>
  <c r="AB445" i="124" s="1"/>
  <c r="Y412" i="124"/>
  <c r="AB412" i="124" s="1"/>
  <c r="Y525" i="124"/>
  <c r="AB525" i="124" s="1"/>
  <c r="Y555" i="124"/>
  <c r="AB555" i="124" s="1"/>
  <c r="Y493" i="124"/>
  <c r="AB493" i="124" s="1"/>
  <c r="Y471" i="124"/>
  <c r="AB471" i="124" s="1"/>
  <c r="Y560" i="124"/>
  <c r="AB560" i="124" s="1"/>
  <c r="Y456" i="124"/>
  <c r="AB456" i="124" s="1"/>
  <c r="Y450" i="124"/>
  <c r="AB450" i="124" s="1"/>
  <c r="Y526" i="124"/>
  <c r="AB526" i="124" s="1"/>
  <c r="Y25" i="124"/>
  <c r="AB25" i="124" s="1"/>
  <c r="Y542" i="124"/>
  <c r="AB542" i="124" s="1"/>
  <c r="Y557" i="124"/>
  <c r="AB557" i="124" s="1"/>
  <c r="Y475" i="124"/>
  <c r="AB475" i="124" s="1"/>
  <c r="Y524" i="124"/>
  <c r="AB524" i="124" s="1"/>
  <c r="Y444" i="124"/>
  <c r="AB444" i="124" s="1"/>
  <c r="Y571" i="124"/>
  <c r="AB571" i="124" s="1"/>
  <c r="Y466" i="124"/>
  <c r="AB466" i="124" s="1"/>
  <c r="Y554" i="124"/>
  <c r="AB554" i="124" s="1"/>
  <c r="Y499" i="124"/>
  <c r="AB499" i="124" s="1"/>
  <c r="Y442" i="124"/>
  <c r="AB442" i="124" s="1"/>
  <c r="Y549" i="124"/>
  <c r="AB549" i="124" s="1"/>
  <c r="Y565" i="124"/>
  <c r="AB565" i="124" s="1"/>
  <c r="Y33" i="124"/>
  <c r="AB33" i="124" s="1"/>
  <c r="Y502" i="124"/>
  <c r="AB502" i="124" s="1"/>
  <c r="Y366" i="124"/>
  <c r="AB366" i="124" s="1"/>
  <c r="Y568" i="124"/>
  <c r="AB568" i="124" s="1"/>
  <c r="Y372" i="124"/>
  <c r="AB372" i="124" s="1"/>
  <c r="Y440" i="124"/>
  <c r="AB440" i="124" s="1"/>
  <c r="Y543" i="124"/>
  <c r="AB543" i="124" s="1"/>
  <c r="Y460" i="124"/>
  <c r="AB460" i="124" s="1"/>
  <c r="Y488" i="124"/>
  <c r="AB488" i="124" s="1"/>
  <c r="Y546" i="124"/>
  <c r="AB546" i="124" s="1"/>
  <c r="Y544" i="124"/>
  <c r="AB544" i="124" s="1"/>
  <c r="Y566" i="124"/>
  <c r="AB566" i="124" s="1"/>
  <c r="Y428" i="124"/>
  <c r="AB428" i="124" s="1"/>
  <c r="Y356" i="124"/>
  <c r="AB356" i="124" s="1"/>
  <c r="Y470" i="124"/>
  <c r="AB470" i="124" s="1"/>
  <c r="Y425" i="124"/>
  <c r="AB425" i="124" s="1"/>
  <c r="Y419" i="124"/>
  <c r="AB419" i="124" s="1"/>
  <c r="Y512" i="124"/>
  <c r="AB512" i="124" s="1"/>
  <c r="Y536" i="124"/>
  <c r="AB536" i="124" s="1"/>
  <c r="Y463" i="124"/>
  <c r="AB463" i="124" s="1"/>
  <c r="Y574" i="124"/>
  <c r="AB574" i="124" s="1"/>
  <c r="Y46" i="124"/>
  <c r="AB46" i="124" s="1"/>
  <c r="Y534" i="124"/>
  <c r="AB534" i="124" s="1"/>
  <c r="Y587" i="124"/>
  <c r="AB587" i="124" s="1"/>
  <c r="Y361" i="124"/>
  <c r="AB361" i="124" s="1"/>
  <c r="Y576" i="124"/>
  <c r="AB576" i="124" s="1"/>
  <c r="Y572" i="124"/>
  <c r="AB572" i="124" s="1"/>
  <c r="Y473" i="124"/>
  <c r="AB473" i="124" s="1"/>
  <c r="Y389" i="124"/>
  <c r="AB389" i="124" s="1"/>
  <c r="Y15" i="124"/>
  <c r="AB15" i="124" s="1"/>
  <c r="AC15" i="124" s="1"/>
  <c r="Y548" i="124"/>
  <c r="AB548" i="124" s="1"/>
  <c r="Y583" i="124"/>
  <c r="AB583" i="124" s="1"/>
  <c r="Y44" i="124"/>
  <c r="AB44" i="124" s="1"/>
  <c r="Y573" i="124"/>
  <c r="AB573" i="124" s="1"/>
  <c r="Y418" i="124"/>
  <c r="AB418" i="124" s="1"/>
  <c r="Y406" i="124"/>
  <c r="AB406" i="124" s="1"/>
  <c r="Y575" i="124"/>
  <c r="AB575" i="124" s="1"/>
  <c r="Y45" i="124"/>
  <c r="AB45" i="124" s="1"/>
  <c r="Y486" i="124"/>
  <c r="AB486" i="124" s="1"/>
  <c r="Y527" i="124"/>
  <c r="AB527" i="124" s="1"/>
  <c r="Y359" i="124"/>
  <c r="AB359" i="124" s="1"/>
  <c r="Y482" i="124"/>
  <c r="AB482" i="124" s="1"/>
  <c r="Y457" i="124"/>
  <c r="AB457" i="124" s="1"/>
  <c r="Y585" i="124"/>
  <c r="AB585" i="124" s="1"/>
  <c r="Y431" i="124"/>
  <c r="AB431" i="124" s="1"/>
  <c r="Y461" i="124"/>
  <c r="AB461" i="124" s="1"/>
  <c r="Y509" i="124"/>
  <c r="AB509" i="124" s="1"/>
  <c r="Y434" i="124"/>
  <c r="AB434" i="124" s="1"/>
  <c r="Y516" i="124"/>
  <c r="AB516" i="124" s="1"/>
  <c r="Y453" i="124"/>
  <c r="AB453" i="124" s="1"/>
  <c r="Y490" i="124"/>
  <c r="AB490" i="124" s="1"/>
  <c r="Y362" i="124"/>
  <c r="AB362" i="124" s="1"/>
  <c r="Y537" i="124"/>
  <c r="AB537" i="124" s="1"/>
  <c r="Y550" i="124"/>
  <c r="AB550" i="124" s="1"/>
  <c r="Y539" i="124"/>
  <c r="AB539" i="124" s="1"/>
  <c r="Y472" i="124"/>
  <c r="AB472" i="124" s="1"/>
  <c r="Y376" i="124"/>
  <c r="AB376" i="124" s="1"/>
  <c r="Y368" i="124"/>
  <c r="AB368" i="124" s="1"/>
  <c r="Y421" i="124"/>
  <c r="AB421" i="124" s="1"/>
  <c r="Y365" i="124"/>
  <c r="AB365" i="124" s="1"/>
  <c r="Y507" i="124"/>
  <c r="AB507" i="124" s="1"/>
  <c r="Y426" i="124"/>
  <c r="AB426" i="124" s="1"/>
  <c r="Y27" i="124"/>
  <c r="Y392" i="124"/>
  <c r="AB392" i="124" s="1"/>
  <c r="Y39" i="124"/>
  <c r="AB39" i="124" s="1"/>
  <c r="Y394" i="124"/>
  <c r="AB394" i="124" s="1"/>
  <c r="Y564" i="124"/>
  <c r="AB564" i="124" s="1"/>
  <c r="Y371" i="124"/>
  <c r="AB371" i="124" s="1"/>
  <c r="Y400" i="124"/>
  <c r="Y511" i="124"/>
  <c r="AB511" i="124" s="1"/>
  <c r="Y40" i="124"/>
  <c r="AB40" i="124" s="1"/>
  <c r="AC40" i="124" s="1"/>
  <c r="Y407" i="124"/>
  <c r="AB407" i="124" s="1"/>
  <c r="Y514" i="124"/>
  <c r="AB514" i="124" s="1"/>
  <c r="Y501" i="124"/>
  <c r="AB501" i="124" s="1"/>
  <c r="Y405" i="124"/>
  <c r="AB405" i="124" s="1"/>
  <c r="Y48" i="124"/>
  <c r="AB48" i="124" s="1"/>
  <c r="Y53" i="124"/>
  <c r="AB53" i="124" s="1"/>
  <c r="Y569" i="124"/>
  <c r="AB569" i="124" s="1"/>
  <c r="Y538" i="124"/>
  <c r="AB538" i="124" s="1"/>
  <c r="Y37" i="124"/>
  <c r="AB37" i="124" s="1"/>
  <c r="Y521" i="124"/>
  <c r="AB521" i="124" s="1"/>
  <c r="Y559" i="124"/>
  <c r="AB559" i="124" s="1"/>
  <c r="Y580" i="124"/>
  <c r="AB580" i="124" s="1"/>
  <c r="Y390" i="124"/>
  <c r="AB390" i="124" s="1"/>
  <c r="Y54" i="124"/>
  <c r="AB54" i="124" s="1"/>
  <c r="Y385" i="124"/>
  <c r="AB385" i="124" s="1"/>
  <c r="Y494" i="124"/>
  <c r="AB494" i="124" s="1"/>
  <c r="Y28" i="124"/>
  <c r="Y427" i="124"/>
  <c r="AB427" i="124" s="1"/>
  <c r="Y459" i="124"/>
  <c r="AB459" i="124" s="1"/>
  <c r="Y578" i="124"/>
  <c r="AB578" i="124" s="1"/>
  <c r="Y433" i="124"/>
  <c r="AB433" i="124" s="1"/>
  <c r="Y503" i="124"/>
  <c r="AB503" i="124" s="1"/>
  <c r="Y545" i="124"/>
  <c r="AB545" i="124" s="1"/>
  <c r="Y429" i="124"/>
  <c r="AB429" i="124" s="1"/>
  <c r="Y535" i="124"/>
  <c r="AB535" i="124" s="1"/>
  <c r="Y567" i="124"/>
  <c r="AB567" i="124" s="1"/>
  <c r="Y562" i="124"/>
  <c r="AB562" i="124" s="1"/>
  <c r="Y424" i="124"/>
  <c r="AB424" i="124" s="1"/>
  <c r="Y374" i="124"/>
  <c r="AB374" i="124" s="1"/>
  <c r="Y349" i="124"/>
  <c r="AB349" i="124" s="1"/>
  <c r="Y520" i="124"/>
  <c r="AB520" i="124" s="1"/>
  <c r="Y416" i="124"/>
  <c r="AB416" i="124" s="1"/>
  <c r="Y533" i="124"/>
  <c r="AB533" i="124" s="1"/>
  <c r="Y404" i="124"/>
  <c r="AB404" i="124" s="1"/>
  <c r="Y455" i="124"/>
  <c r="AB455" i="124" s="1"/>
  <c r="Y363" i="124"/>
  <c r="AB363" i="124" s="1"/>
  <c r="Y446" i="124"/>
  <c r="AB446" i="124" s="1"/>
  <c r="Y467" i="124"/>
  <c r="AB467" i="124" s="1"/>
  <c r="Y384" i="124"/>
  <c r="AB384" i="124" s="1"/>
  <c r="Y353" i="124"/>
  <c r="AB353" i="124" s="1"/>
  <c r="Y448" i="124"/>
  <c r="AB448" i="124" s="1"/>
  <c r="Y436" i="124"/>
  <c r="AB436" i="124" s="1"/>
  <c r="Y588" i="124"/>
  <c r="AB588" i="124" s="1"/>
  <c r="Y351" i="124"/>
  <c r="AB351" i="124" s="1"/>
  <c r="Y386" i="124"/>
  <c r="AB386" i="124" s="1"/>
  <c r="Y561" i="124"/>
  <c r="AB561" i="124" s="1"/>
  <c r="Y395" i="124"/>
  <c r="AB395" i="124" s="1"/>
  <c r="Y477" i="124"/>
  <c r="AB477" i="124" s="1"/>
  <c r="Y30" i="124"/>
  <c r="Y43" i="124"/>
  <c r="AB43" i="124" s="1"/>
  <c r="Y370" i="124"/>
  <c r="AB370" i="124" s="1"/>
  <c r="Y360" i="124"/>
  <c r="AB360" i="124" s="1"/>
  <c r="Y55" i="124"/>
  <c r="AB55" i="124" s="1"/>
  <c r="Y403" i="124"/>
  <c r="AB403" i="124" s="1"/>
  <c r="Y24" i="124"/>
  <c r="AB24" i="124" s="1"/>
  <c r="Y391" i="124"/>
  <c r="AB391" i="124" s="1"/>
  <c r="Y411" i="124"/>
  <c r="AB411" i="124" s="1"/>
  <c r="Y468" i="124"/>
  <c r="AB468" i="124" s="1"/>
  <c r="Y485" i="124"/>
  <c r="AB485" i="124" s="1"/>
  <c r="Y582" i="124"/>
  <c r="AB582" i="124" s="1"/>
  <c r="Y21" i="124"/>
  <c r="AB21" i="124" s="1"/>
  <c r="Y354" i="124"/>
  <c r="AB354" i="124" s="1"/>
  <c r="Y586" i="124"/>
  <c r="AB586" i="124" s="1"/>
  <c r="Y408" i="124"/>
  <c r="AB408" i="124" s="1"/>
  <c r="S510" i="124"/>
  <c r="R510" i="124"/>
  <c r="Z510" i="124"/>
  <c r="AA510" i="124" s="1"/>
  <c r="Y510" i="124"/>
  <c r="AB510" i="124" s="1"/>
  <c r="AA76" i="123"/>
  <c r="AA11" i="123"/>
  <c r="Y432" i="124"/>
  <c r="AB432" i="124" s="1"/>
  <c r="R580" i="124"/>
  <c r="S580" i="124"/>
  <c r="R15" i="124"/>
  <c r="S15" i="124"/>
  <c r="R551" i="124"/>
  <c r="S551" i="124"/>
  <c r="R367" i="124"/>
  <c r="S367" i="124"/>
  <c r="R501" i="124"/>
  <c r="S501" i="124"/>
  <c r="R413" i="124"/>
  <c r="S413" i="124"/>
  <c r="R46" i="124"/>
  <c r="S46" i="124"/>
  <c r="R534" i="124"/>
  <c r="S534" i="124"/>
  <c r="R569" i="124"/>
  <c r="S569" i="124"/>
  <c r="R360" i="124"/>
  <c r="S360" i="124"/>
  <c r="R481" i="124"/>
  <c r="S481" i="124"/>
  <c r="R400" i="124"/>
  <c r="S400" i="124"/>
  <c r="R54" i="124"/>
  <c r="S54" i="124"/>
  <c r="R583" i="124"/>
  <c r="S583" i="124"/>
  <c r="R525" i="124"/>
  <c r="S525" i="124"/>
  <c r="R517" i="124"/>
  <c r="S517" i="124"/>
  <c r="R28" i="124"/>
  <c r="S28" i="124"/>
  <c r="R418" i="124"/>
  <c r="S418" i="124"/>
  <c r="R471" i="124"/>
  <c r="S471" i="124"/>
  <c r="R36" i="124"/>
  <c r="S36" i="124"/>
  <c r="R578" i="124"/>
  <c r="S578" i="124"/>
  <c r="R45" i="124"/>
  <c r="S45" i="124"/>
  <c r="R450" i="124"/>
  <c r="S450" i="124"/>
  <c r="R529" i="124"/>
  <c r="S529" i="124"/>
  <c r="R545" i="124"/>
  <c r="S545" i="124"/>
  <c r="R429" i="124"/>
  <c r="S429" i="124"/>
  <c r="R482" i="124"/>
  <c r="S482" i="124"/>
  <c r="R557" i="124"/>
  <c r="S557" i="124"/>
  <c r="R462" i="124"/>
  <c r="S462" i="124"/>
  <c r="R562" i="124"/>
  <c r="S562" i="124"/>
  <c r="R431" i="124"/>
  <c r="S431" i="124"/>
  <c r="R444" i="124"/>
  <c r="S444" i="124"/>
  <c r="R474" i="124"/>
  <c r="S474" i="124"/>
  <c r="R349" i="124"/>
  <c r="S349" i="124"/>
  <c r="R434" i="124"/>
  <c r="S434" i="124"/>
  <c r="R554" i="124"/>
  <c r="S554" i="124"/>
  <c r="R558" i="124"/>
  <c r="S558" i="124"/>
  <c r="R533" i="124"/>
  <c r="S533" i="124"/>
  <c r="R484" i="124"/>
  <c r="S484" i="124"/>
  <c r="R455" i="124"/>
  <c r="S455" i="124"/>
  <c r="R537" i="124"/>
  <c r="S537" i="124"/>
  <c r="R33" i="124"/>
  <c r="S33" i="124"/>
  <c r="R553" i="124"/>
  <c r="S553" i="124"/>
  <c r="R467" i="124"/>
  <c r="S467" i="124"/>
  <c r="R472" i="124"/>
  <c r="S472" i="124"/>
  <c r="R568" i="124"/>
  <c r="S568" i="124"/>
  <c r="R556" i="124"/>
  <c r="S556" i="124"/>
  <c r="R448" i="124"/>
  <c r="S448" i="124"/>
  <c r="R421" i="124"/>
  <c r="S421" i="124"/>
  <c r="R543" i="124"/>
  <c r="S543" i="124"/>
  <c r="R581" i="124"/>
  <c r="S581" i="124"/>
  <c r="R351" i="124"/>
  <c r="S351" i="124"/>
  <c r="R426" i="124"/>
  <c r="S426" i="124"/>
  <c r="R546" i="124"/>
  <c r="S546" i="124"/>
  <c r="R435" i="124"/>
  <c r="S435" i="124"/>
  <c r="R395" i="124"/>
  <c r="S395" i="124"/>
  <c r="R39" i="124"/>
  <c r="S39" i="124"/>
  <c r="R425" i="124"/>
  <c r="S425" i="124"/>
  <c r="R391" i="124"/>
  <c r="S391" i="124"/>
  <c r="R394" i="124"/>
  <c r="S394" i="124"/>
  <c r="R564" i="124"/>
  <c r="S564" i="124"/>
  <c r="R19" i="124"/>
  <c r="S19" i="124"/>
  <c r="R428" i="124"/>
  <c r="S428" i="124"/>
  <c r="R43" i="124"/>
  <c r="S43" i="124"/>
  <c r="R587" i="124"/>
  <c r="S587" i="124"/>
  <c r="R21" i="124"/>
  <c r="S21" i="124"/>
  <c r="R29" i="124"/>
  <c r="S29" i="124"/>
  <c r="R408" i="124"/>
  <c r="S408" i="124"/>
  <c r="R37" i="124"/>
  <c r="S37" i="124"/>
  <c r="R521" i="124"/>
  <c r="S521" i="124"/>
  <c r="R518" i="124"/>
  <c r="S518" i="124"/>
  <c r="R454" i="124"/>
  <c r="S454" i="124"/>
  <c r="R390" i="124"/>
  <c r="S390" i="124"/>
  <c r="R30" i="124"/>
  <c r="S30" i="124"/>
  <c r="R514" i="124"/>
  <c r="S514" i="124"/>
  <c r="R536" i="124"/>
  <c r="S536" i="124"/>
  <c r="R458" i="124"/>
  <c r="S458" i="124"/>
  <c r="R411" i="124"/>
  <c r="S411" i="124"/>
  <c r="R393" i="124"/>
  <c r="S393" i="124"/>
  <c r="R405" i="124"/>
  <c r="S405" i="124"/>
  <c r="R48" i="124"/>
  <c r="S48" i="124"/>
  <c r="R430" i="124"/>
  <c r="S430" i="124"/>
  <c r="R582" i="124"/>
  <c r="S582" i="124"/>
  <c r="R356" i="124"/>
  <c r="S356" i="124"/>
  <c r="R403" i="124"/>
  <c r="S403" i="124"/>
  <c r="R371" i="124"/>
  <c r="S371" i="124"/>
  <c r="R445" i="124"/>
  <c r="S445" i="124"/>
  <c r="R20" i="124"/>
  <c r="S20" i="124"/>
  <c r="R385" i="124"/>
  <c r="S385" i="124"/>
  <c r="R44" i="124"/>
  <c r="S44" i="124"/>
  <c r="R555" i="124"/>
  <c r="S555" i="124"/>
  <c r="R563" i="124"/>
  <c r="S563" i="124"/>
  <c r="R427" i="124"/>
  <c r="S427" i="124"/>
  <c r="R406" i="124"/>
  <c r="S406" i="124"/>
  <c r="R560" i="124"/>
  <c r="S560" i="124"/>
  <c r="R49" i="124"/>
  <c r="S49" i="124"/>
  <c r="R433" i="124"/>
  <c r="S433" i="124"/>
  <c r="R486" i="124"/>
  <c r="S486" i="124"/>
  <c r="R526" i="124"/>
  <c r="S526" i="124"/>
  <c r="R441" i="124"/>
  <c r="S441" i="124"/>
  <c r="R513" i="124"/>
  <c r="S513" i="124"/>
  <c r="R535" i="124"/>
  <c r="S535" i="124"/>
  <c r="R457" i="124"/>
  <c r="S457" i="124"/>
  <c r="R475" i="124"/>
  <c r="S475" i="124"/>
  <c r="R369" i="124"/>
  <c r="S369" i="124"/>
  <c r="R424" i="124"/>
  <c r="S424" i="124"/>
  <c r="R461" i="124"/>
  <c r="S461" i="124"/>
  <c r="R571" i="124"/>
  <c r="S571" i="124"/>
  <c r="R496" i="124"/>
  <c r="S496" i="124"/>
  <c r="R520" i="124"/>
  <c r="S520" i="124"/>
  <c r="R516" i="124"/>
  <c r="S516" i="124"/>
  <c r="R499" i="124"/>
  <c r="S499" i="124"/>
  <c r="R451" i="124"/>
  <c r="S451" i="124"/>
  <c r="R490" i="124"/>
  <c r="S490" i="124"/>
  <c r="R549" i="124"/>
  <c r="S549" i="124"/>
  <c r="R469" i="124"/>
  <c r="S469" i="124"/>
  <c r="R363" i="124"/>
  <c r="S363" i="124"/>
  <c r="R550" i="124"/>
  <c r="S550" i="124"/>
  <c r="R502" i="124"/>
  <c r="S502" i="124"/>
  <c r="R439" i="124"/>
  <c r="S439" i="124"/>
  <c r="R384" i="124"/>
  <c r="S384" i="124"/>
  <c r="R376" i="124"/>
  <c r="S376" i="124"/>
  <c r="R372" i="124"/>
  <c r="S372" i="124"/>
  <c r="R464" i="124"/>
  <c r="S464" i="124"/>
  <c r="R436" i="124"/>
  <c r="S436" i="124"/>
  <c r="R365" i="124"/>
  <c r="S365" i="124"/>
  <c r="R460" i="124"/>
  <c r="S460" i="124"/>
  <c r="R386" i="124"/>
  <c r="S386" i="124"/>
  <c r="R27" i="124"/>
  <c r="S27" i="124"/>
  <c r="R544" i="124"/>
  <c r="S544" i="124"/>
  <c r="R519" i="124"/>
  <c r="S519" i="124"/>
  <c r="R477" i="124"/>
  <c r="S477" i="124"/>
  <c r="R470" i="124"/>
  <c r="S470" i="124"/>
  <c r="R40" i="124"/>
  <c r="S40" i="124"/>
  <c r="R419" i="124"/>
  <c r="S419" i="124"/>
  <c r="R489" i="124"/>
  <c r="S489" i="124"/>
  <c r="R485" i="124"/>
  <c r="S485" i="124"/>
  <c r="R452" i="124"/>
  <c r="S452" i="124"/>
  <c r="R483" i="124"/>
  <c r="S483" i="124"/>
  <c r="R576" i="124"/>
  <c r="S576" i="124"/>
  <c r="R354" i="124"/>
  <c r="S354" i="124"/>
  <c r="R42" i="124"/>
  <c r="S42" i="124"/>
  <c r="R473" i="124"/>
  <c r="S473" i="124"/>
  <c r="R389" i="124"/>
  <c r="S389" i="124"/>
  <c r="R52" i="124"/>
  <c r="S52" i="124"/>
  <c r="R415" i="124"/>
  <c r="S415" i="124"/>
  <c r="R463" i="124"/>
  <c r="S463" i="124"/>
  <c r="R574" i="124"/>
  <c r="S574" i="124"/>
  <c r="R508" i="124"/>
  <c r="S508" i="124"/>
  <c r="R468" i="124"/>
  <c r="S468" i="124"/>
  <c r="R31" i="124"/>
  <c r="S31" i="124"/>
  <c r="R55" i="124"/>
  <c r="S55" i="124"/>
  <c r="R60" i="124"/>
  <c r="S60" i="124"/>
  <c r="R504" i="124"/>
  <c r="S504" i="124"/>
  <c r="R548" i="124"/>
  <c r="S548" i="124"/>
  <c r="R412" i="124"/>
  <c r="S412" i="124"/>
  <c r="R383" i="124"/>
  <c r="S383" i="124"/>
  <c r="R494" i="124"/>
  <c r="S494" i="124"/>
  <c r="R573" i="124"/>
  <c r="S573" i="124"/>
  <c r="R493" i="124"/>
  <c r="S493" i="124"/>
  <c r="R465" i="124"/>
  <c r="S465" i="124"/>
  <c r="R459" i="124"/>
  <c r="S459" i="124"/>
  <c r="R575" i="124"/>
  <c r="S575" i="124"/>
  <c r="R456" i="124"/>
  <c r="S456" i="124"/>
  <c r="R479" i="124"/>
  <c r="S479" i="124"/>
  <c r="R503" i="124"/>
  <c r="S503" i="124"/>
  <c r="R527" i="124"/>
  <c r="S527" i="124"/>
  <c r="R25" i="124"/>
  <c r="S25" i="124"/>
  <c r="R359" i="124"/>
  <c r="S359" i="124"/>
  <c r="R542" i="124"/>
  <c r="S542" i="124"/>
  <c r="R350" i="124"/>
  <c r="S350" i="124"/>
  <c r="R567" i="124"/>
  <c r="S567" i="124"/>
  <c r="R585" i="124"/>
  <c r="S585" i="124"/>
  <c r="R524" i="124"/>
  <c r="S524" i="124"/>
  <c r="R414" i="124"/>
  <c r="S414" i="124"/>
  <c r="R374" i="124"/>
  <c r="S374" i="124"/>
  <c r="R509" i="124"/>
  <c r="S509" i="124"/>
  <c r="R466" i="124"/>
  <c r="S466" i="124"/>
  <c r="R523" i="124"/>
  <c r="S523" i="124"/>
  <c r="R416" i="124"/>
  <c r="S416" i="124"/>
  <c r="R453" i="124"/>
  <c r="S453" i="124"/>
  <c r="R442" i="124"/>
  <c r="S442" i="124"/>
  <c r="R404" i="124"/>
  <c r="S404" i="124"/>
  <c r="R362" i="124"/>
  <c r="S362" i="124"/>
  <c r="R565" i="124"/>
  <c r="S565" i="124"/>
  <c r="R364" i="124"/>
  <c r="S364" i="124"/>
  <c r="R446" i="124"/>
  <c r="S446" i="124"/>
  <c r="R539" i="124"/>
  <c r="S539" i="124"/>
  <c r="R366" i="124"/>
  <c r="S366" i="124"/>
  <c r="R449" i="124"/>
  <c r="S449" i="124"/>
  <c r="R353" i="124"/>
  <c r="S353" i="124"/>
  <c r="R368" i="124"/>
  <c r="S368" i="124"/>
  <c r="R440" i="124"/>
  <c r="S440" i="124"/>
  <c r="R547" i="124"/>
  <c r="S547" i="124"/>
  <c r="R588" i="124"/>
  <c r="S588" i="124"/>
  <c r="R507" i="124"/>
  <c r="S507" i="124"/>
  <c r="R488" i="124"/>
  <c r="S488" i="124"/>
  <c r="R387" i="124"/>
  <c r="S387" i="124"/>
  <c r="R561" i="124"/>
  <c r="S561" i="124"/>
  <c r="R392" i="124"/>
  <c r="S392" i="124"/>
  <c r="R566" i="124"/>
  <c r="S566" i="124"/>
  <c r="R511" i="124"/>
  <c r="S511" i="124"/>
  <c r="R497" i="124"/>
  <c r="S497" i="124"/>
  <c r="R24" i="124"/>
  <c r="S24" i="124"/>
  <c r="R407" i="124"/>
  <c r="S407" i="124"/>
  <c r="R512" i="124"/>
  <c r="S512" i="124"/>
  <c r="R480" i="124"/>
  <c r="S480" i="124"/>
  <c r="R53" i="124"/>
  <c r="S53" i="124"/>
  <c r="R370" i="124"/>
  <c r="S370" i="124"/>
  <c r="R352" i="124"/>
  <c r="S352" i="124"/>
  <c r="R538" i="124"/>
  <c r="S538" i="124"/>
  <c r="R361" i="124"/>
  <c r="S361" i="124"/>
  <c r="R586" i="124"/>
  <c r="S586" i="124"/>
  <c r="R59" i="124"/>
  <c r="S59" i="124"/>
  <c r="R572" i="124"/>
  <c r="S572" i="124"/>
  <c r="R559" i="124"/>
  <c r="S559" i="124"/>
  <c r="R432" i="124"/>
  <c r="S432" i="124"/>
  <c r="AA175" i="123"/>
  <c r="AA256" i="123"/>
  <c r="AA188" i="123"/>
  <c r="AA125" i="123"/>
  <c r="AA57" i="123"/>
  <c r="AA71" i="123"/>
  <c r="AA185" i="123"/>
  <c r="AA177" i="123"/>
  <c r="AD18" i="124"/>
  <c r="AE18" i="124" s="1"/>
  <c r="AD26" i="124"/>
  <c r="AE26" i="124" s="1"/>
  <c r="AD16" i="124"/>
  <c r="AE16" i="124" s="1"/>
  <c r="AD423" i="124"/>
  <c r="AE423" i="124" s="1"/>
  <c r="AD38" i="124"/>
  <c r="AE38" i="124" s="1"/>
  <c r="AD17" i="124"/>
  <c r="AE17" i="124" s="1"/>
  <c r="AD422" i="124"/>
  <c r="AE422" i="124" s="1"/>
  <c r="Z432" i="124"/>
  <c r="AA432" i="124" s="1"/>
  <c r="Z54" i="124"/>
  <c r="Z583" i="124"/>
  <c r="Z525" i="124"/>
  <c r="AA525" i="124" s="1"/>
  <c r="Z517" i="124"/>
  <c r="AA517" i="124" s="1"/>
  <c r="Z28" i="124"/>
  <c r="AA28" i="124" s="1"/>
  <c r="Z418" i="124"/>
  <c r="AA418" i="124" s="1"/>
  <c r="Z471" i="124"/>
  <c r="AA471" i="124" s="1"/>
  <c r="Z36" i="124"/>
  <c r="AA36" i="124" s="1"/>
  <c r="Z578" i="124"/>
  <c r="AA578" i="124" s="1"/>
  <c r="Z45" i="124"/>
  <c r="Z450" i="124"/>
  <c r="AA450" i="124" s="1"/>
  <c r="Z529" i="124"/>
  <c r="AA529" i="124" s="1"/>
  <c r="Z545" i="124"/>
  <c r="AA545" i="124" s="1"/>
  <c r="Z429" i="124"/>
  <c r="AA429" i="124" s="1"/>
  <c r="Z482" i="124"/>
  <c r="AA482" i="124" s="1"/>
  <c r="Z557" i="124"/>
  <c r="AA557" i="124" s="1"/>
  <c r="Z462" i="124"/>
  <c r="AA462" i="124" s="1"/>
  <c r="Z562" i="124"/>
  <c r="AA562" i="124" s="1"/>
  <c r="Z431" i="124"/>
  <c r="AA431" i="124" s="1"/>
  <c r="Z444" i="124"/>
  <c r="AA444" i="124" s="1"/>
  <c r="Z474" i="124"/>
  <c r="AA474" i="124" s="1"/>
  <c r="Z349" i="124"/>
  <c r="AA349" i="124" s="1"/>
  <c r="Z434" i="124"/>
  <c r="AA434" i="124" s="1"/>
  <c r="Z554" i="124"/>
  <c r="AA554" i="124" s="1"/>
  <c r="Z558" i="124"/>
  <c r="AA558" i="124" s="1"/>
  <c r="Z533" i="124"/>
  <c r="AA533" i="124" s="1"/>
  <c r="Z484" i="124"/>
  <c r="AA484" i="124" s="1"/>
  <c r="Z455" i="124"/>
  <c r="AA455" i="124" s="1"/>
  <c r="Z537" i="124"/>
  <c r="AA537" i="124" s="1"/>
  <c r="Z33" i="124"/>
  <c r="Z553" i="124"/>
  <c r="AA553" i="124" s="1"/>
  <c r="Z467" i="124"/>
  <c r="AA467" i="124" s="1"/>
  <c r="Z472" i="124"/>
  <c r="AA472" i="124" s="1"/>
  <c r="Z568" i="124"/>
  <c r="AA568" i="124" s="1"/>
  <c r="Z556" i="124"/>
  <c r="AA556" i="124" s="1"/>
  <c r="Z448" i="124"/>
  <c r="AA448" i="124" s="1"/>
  <c r="Z421" i="124"/>
  <c r="AA421" i="124" s="1"/>
  <c r="Z543" i="124"/>
  <c r="AA543" i="124" s="1"/>
  <c r="Z581" i="124"/>
  <c r="Z351" i="124"/>
  <c r="AA351" i="124" s="1"/>
  <c r="Z426" i="124"/>
  <c r="AA426" i="124" s="1"/>
  <c r="Z546" i="124"/>
  <c r="AA546" i="124" s="1"/>
  <c r="Z435" i="124"/>
  <c r="AA435" i="124" s="1"/>
  <c r="Z395" i="124"/>
  <c r="AA395" i="124" s="1"/>
  <c r="Z39" i="124"/>
  <c r="AA39" i="124" s="1"/>
  <c r="Z425" i="124"/>
  <c r="AA425" i="124" s="1"/>
  <c r="Z391" i="124"/>
  <c r="AA391" i="124" s="1"/>
  <c r="Z394" i="124"/>
  <c r="AA394" i="124" s="1"/>
  <c r="Z46" i="124"/>
  <c r="Z53" i="124"/>
  <c r="Z370" i="124"/>
  <c r="AA370" i="124" s="1"/>
  <c r="Z352" i="124"/>
  <c r="AA352" i="124" s="1"/>
  <c r="Z538" i="124"/>
  <c r="AA538" i="124" s="1"/>
  <c r="Z361" i="124"/>
  <c r="AA361" i="124" s="1"/>
  <c r="Z504" i="124"/>
  <c r="AA504" i="124" s="1"/>
  <c r="Z521" i="124"/>
  <c r="AA521" i="124" s="1"/>
  <c r="Z518" i="124"/>
  <c r="AA518" i="124" s="1"/>
  <c r="Z454" i="124"/>
  <c r="AA454" i="124" s="1"/>
  <c r="Z30" i="124"/>
  <c r="AA30" i="124" s="1"/>
  <c r="Z514" i="124"/>
  <c r="AA514" i="124" s="1"/>
  <c r="Z536" i="124"/>
  <c r="AA536" i="124" s="1"/>
  <c r="Z458" i="124"/>
  <c r="AA458" i="124" s="1"/>
  <c r="Z411" i="124"/>
  <c r="AA411" i="124" s="1"/>
  <c r="Z393" i="124"/>
  <c r="AA393" i="124" s="1"/>
  <c r="Z405" i="124"/>
  <c r="AA405" i="124" s="1"/>
  <c r="Z564" i="124"/>
  <c r="AA564" i="124" s="1"/>
  <c r="Z534" i="124"/>
  <c r="AA534" i="124" s="1"/>
  <c r="Z569" i="124"/>
  <c r="AA569" i="124" s="1"/>
  <c r="Z360" i="124"/>
  <c r="AA360" i="124" s="1"/>
  <c r="Z586" i="124"/>
  <c r="Z59" i="124"/>
  <c r="AA59" i="124" s="1"/>
  <c r="Z445" i="124"/>
  <c r="AA445" i="124" s="1"/>
  <c r="Z20" i="124"/>
  <c r="AA20" i="124" s="1"/>
  <c r="Z385" i="124"/>
  <c r="AA385" i="124" s="1"/>
  <c r="Z44" i="124"/>
  <c r="Z555" i="124"/>
  <c r="AA555" i="124" s="1"/>
  <c r="Z563" i="124"/>
  <c r="AA563" i="124" s="1"/>
  <c r="Z427" i="124"/>
  <c r="AA427" i="124" s="1"/>
  <c r="Z406" i="124"/>
  <c r="AA406" i="124" s="1"/>
  <c r="Z560" i="124"/>
  <c r="AA560" i="124" s="1"/>
  <c r="Z49" i="124"/>
  <c r="Z433" i="124"/>
  <c r="AA433" i="124" s="1"/>
  <c r="Z486" i="124"/>
  <c r="AA486" i="124" s="1"/>
  <c r="Z526" i="124"/>
  <c r="AA526" i="124" s="1"/>
  <c r="Z441" i="124"/>
  <c r="AA441" i="124" s="1"/>
  <c r="Z513" i="124"/>
  <c r="AA513" i="124" s="1"/>
  <c r="Z535" i="124"/>
  <c r="AA535" i="124" s="1"/>
  <c r="Z457" i="124"/>
  <c r="AA457" i="124" s="1"/>
  <c r="Z475" i="124"/>
  <c r="AA475" i="124" s="1"/>
  <c r="Z369" i="124"/>
  <c r="AA369" i="124" s="1"/>
  <c r="Z424" i="124"/>
  <c r="AA424" i="124" s="1"/>
  <c r="Z461" i="124"/>
  <c r="AA461" i="124" s="1"/>
  <c r="Z571" i="124"/>
  <c r="AA571" i="124" s="1"/>
  <c r="Z496" i="124"/>
  <c r="AA496" i="124" s="1"/>
  <c r="Z520" i="124"/>
  <c r="AA520" i="124" s="1"/>
  <c r="Z516" i="124"/>
  <c r="AA516" i="124" s="1"/>
  <c r="Z499" i="124"/>
  <c r="AA499" i="124" s="1"/>
  <c r="Z451" i="124"/>
  <c r="AA451" i="124" s="1"/>
  <c r="Z490" i="124"/>
  <c r="AA490" i="124" s="1"/>
  <c r="Z549" i="124"/>
  <c r="AA549" i="124" s="1"/>
  <c r="Z469" i="124"/>
  <c r="AA469" i="124" s="1"/>
  <c r="Z363" i="124"/>
  <c r="AA363" i="124" s="1"/>
  <c r="Z550" i="124"/>
  <c r="AA550" i="124" s="1"/>
  <c r="Z502" i="124"/>
  <c r="AA502" i="124" s="1"/>
  <c r="Z439" i="124"/>
  <c r="AA439" i="124" s="1"/>
  <c r="Z384" i="124"/>
  <c r="AA384" i="124" s="1"/>
  <c r="Z376" i="124"/>
  <c r="AA376" i="124" s="1"/>
  <c r="Z372" i="124"/>
  <c r="AA372" i="124" s="1"/>
  <c r="Z464" i="124"/>
  <c r="AA464" i="124" s="1"/>
  <c r="Z436" i="124"/>
  <c r="AA436" i="124" s="1"/>
  <c r="Z365" i="124"/>
  <c r="AA365" i="124" s="1"/>
  <c r="Z460" i="124"/>
  <c r="AA460" i="124" s="1"/>
  <c r="Z386" i="124"/>
  <c r="AA386" i="124" s="1"/>
  <c r="Z27" i="124"/>
  <c r="AA27" i="124" s="1"/>
  <c r="Z544" i="124"/>
  <c r="AA544" i="124" s="1"/>
  <c r="Z519" i="124"/>
  <c r="AA519" i="124" s="1"/>
  <c r="Z477" i="124"/>
  <c r="AA477" i="124" s="1"/>
  <c r="Z470" i="124"/>
  <c r="AA470" i="124" s="1"/>
  <c r="Z40" i="124"/>
  <c r="AA40" i="124" s="1"/>
  <c r="Z419" i="124"/>
  <c r="AA419" i="124" s="1"/>
  <c r="Z489" i="124"/>
  <c r="AA489" i="124" s="1"/>
  <c r="Z48" i="124"/>
  <c r="Z19" i="124"/>
  <c r="Z428" i="124"/>
  <c r="AA428" i="124" s="1"/>
  <c r="Z43" i="124"/>
  <c r="Z587" i="124"/>
  <c r="Z21" i="124"/>
  <c r="Z481" i="124"/>
  <c r="AA481" i="124" s="1"/>
  <c r="Z400" i="124"/>
  <c r="AA400" i="124" s="1"/>
  <c r="Z473" i="124"/>
  <c r="AA473" i="124" s="1"/>
  <c r="Z389" i="124"/>
  <c r="AA389" i="124" s="1"/>
  <c r="Z52" i="124"/>
  <c r="AA52" i="124" s="1"/>
  <c r="Z415" i="124"/>
  <c r="AA415" i="124" s="1"/>
  <c r="Z463" i="124"/>
  <c r="AA463" i="124" s="1"/>
  <c r="Z574" i="124"/>
  <c r="AA574" i="124" s="1"/>
  <c r="Z508" i="124"/>
  <c r="AA508" i="124" s="1"/>
  <c r="Z468" i="124"/>
  <c r="AA468" i="124" s="1"/>
  <c r="Z430" i="124"/>
  <c r="AA430" i="124" s="1"/>
  <c r="Z582" i="124"/>
  <c r="Z356" i="124"/>
  <c r="AA356" i="124" s="1"/>
  <c r="Z29" i="124"/>
  <c r="AA29" i="124" s="1"/>
  <c r="Z548" i="124"/>
  <c r="AA548" i="124" s="1"/>
  <c r="Z412" i="124"/>
  <c r="AA412" i="124" s="1"/>
  <c r="Z383" i="124"/>
  <c r="AA383" i="124" s="1"/>
  <c r="Z494" i="124"/>
  <c r="AA494" i="124" s="1"/>
  <c r="Z573" i="124"/>
  <c r="AA573" i="124" s="1"/>
  <c r="Z493" i="124"/>
  <c r="AA493" i="124" s="1"/>
  <c r="Z465" i="124"/>
  <c r="AA465" i="124" s="1"/>
  <c r="Z459" i="124"/>
  <c r="AA459" i="124" s="1"/>
  <c r="Z575" i="124"/>
  <c r="AA575" i="124" s="1"/>
  <c r="Z456" i="124"/>
  <c r="AA456" i="124" s="1"/>
  <c r="Z479" i="124"/>
  <c r="AA479" i="124" s="1"/>
  <c r="Z503" i="124"/>
  <c r="AA503" i="124" s="1"/>
  <c r="Z527" i="124"/>
  <c r="AA527" i="124" s="1"/>
  <c r="Z25" i="124"/>
  <c r="AA25" i="124" s="1"/>
  <c r="Z359" i="124"/>
  <c r="AA359" i="124" s="1"/>
  <c r="Z542" i="124"/>
  <c r="AA542" i="124" s="1"/>
  <c r="Z350" i="124"/>
  <c r="AA350" i="124" s="1"/>
  <c r="Z567" i="124"/>
  <c r="AA567" i="124" s="1"/>
  <c r="Z585" i="124"/>
  <c r="Z524" i="124"/>
  <c r="AA524" i="124" s="1"/>
  <c r="Z414" i="124"/>
  <c r="AA414" i="124" s="1"/>
  <c r="Z374" i="124"/>
  <c r="AA374" i="124" s="1"/>
  <c r="Z509" i="124"/>
  <c r="AA509" i="124" s="1"/>
  <c r="Z466" i="124"/>
  <c r="AA466" i="124" s="1"/>
  <c r="Z523" i="124"/>
  <c r="AA523" i="124" s="1"/>
  <c r="Z416" i="124"/>
  <c r="AA416" i="124" s="1"/>
  <c r="Z453" i="124"/>
  <c r="AA453" i="124" s="1"/>
  <c r="Z442" i="124"/>
  <c r="AA442" i="124" s="1"/>
  <c r="Z404" i="124"/>
  <c r="AA404" i="124" s="1"/>
  <c r="Z362" i="124"/>
  <c r="AA362" i="124" s="1"/>
  <c r="Z565" i="124"/>
  <c r="AA565" i="124" s="1"/>
  <c r="Z364" i="124"/>
  <c r="AA364" i="124" s="1"/>
  <c r="Z446" i="124"/>
  <c r="AA446" i="124" s="1"/>
  <c r="Z539" i="124"/>
  <c r="AA539" i="124" s="1"/>
  <c r="Z366" i="124"/>
  <c r="AA366" i="124" s="1"/>
  <c r="Z449" i="124"/>
  <c r="AA449" i="124" s="1"/>
  <c r="Z353" i="124"/>
  <c r="AA353" i="124" s="1"/>
  <c r="Z368" i="124"/>
  <c r="AA368" i="124" s="1"/>
  <c r="Z440" i="124"/>
  <c r="AA440" i="124" s="1"/>
  <c r="Z547" i="124"/>
  <c r="AA547" i="124" s="1"/>
  <c r="Z588" i="124"/>
  <c r="Z507" i="124"/>
  <c r="AA507" i="124" s="1"/>
  <c r="Z488" i="124"/>
  <c r="AA488" i="124" s="1"/>
  <c r="Z387" i="124"/>
  <c r="AA387" i="124" s="1"/>
  <c r="Z561" i="124"/>
  <c r="AA561" i="124" s="1"/>
  <c r="Z392" i="124"/>
  <c r="AA392" i="124" s="1"/>
  <c r="Z566" i="124"/>
  <c r="AA566" i="124" s="1"/>
  <c r="Z511" i="124"/>
  <c r="AA511" i="124" s="1"/>
  <c r="Z497" i="124"/>
  <c r="AA497" i="124" s="1"/>
  <c r="Z24" i="124"/>
  <c r="Z407" i="124"/>
  <c r="AA407" i="124" s="1"/>
  <c r="Z512" i="124"/>
  <c r="AA512" i="124" s="1"/>
  <c r="Z480" i="124"/>
  <c r="AA480" i="124" s="1"/>
  <c r="Z485" i="124"/>
  <c r="AA485" i="124" s="1"/>
  <c r="Z452" i="124"/>
  <c r="AA452" i="124" s="1"/>
  <c r="Z483" i="124"/>
  <c r="AA483" i="124" s="1"/>
  <c r="Z576" i="124"/>
  <c r="AA576" i="124" s="1"/>
  <c r="Z403" i="124"/>
  <c r="AA403" i="124" s="1"/>
  <c r="Z371" i="124"/>
  <c r="AA371" i="124" s="1"/>
  <c r="Z572" i="124"/>
  <c r="AA572" i="124" s="1"/>
  <c r="Z580" i="124"/>
  <c r="Z15" i="124"/>
  <c r="AA15" i="124" s="1"/>
  <c r="Z551" i="124"/>
  <c r="AA551" i="124" s="1"/>
  <c r="Z367" i="124"/>
  <c r="AA367" i="124" s="1"/>
  <c r="Z501" i="124"/>
  <c r="AA501" i="124" s="1"/>
  <c r="Z413" i="124"/>
  <c r="AA413" i="124" s="1"/>
  <c r="Z31" i="124"/>
  <c r="Z55" i="124"/>
  <c r="Z60" i="124"/>
  <c r="Z354" i="124"/>
  <c r="AA354" i="124" s="1"/>
  <c r="Z42" i="124"/>
  <c r="AA42" i="124" s="1"/>
  <c r="Z408" i="124"/>
  <c r="AA408" i="124" s="1"/>
  <c r="Z37" i="124"/>
  <c r="Z390" i="124"/>
  <c r="AA390" i="124" s="1"/>
  <c r="Z559" i="124"/>
  <c r="AA559" i="124" s="1"/>
  <c r="Z382" i="124"/>
  <c r="AA382" i="124" s="1"/>
  <c r="Z380" i="124"/>
  <c r="AA380" i="124" s="1"/>
  <c r="R59" i="126"/>
  <c r="R69" i="126"/>
  <c r="R66" i="126"/>
  <c r="R70" i="126"/>
  <c r="R72" i="126"/>
  <c r="R63" i="126"/>
  <c r="R68" i="126"/>
  <c r="R61" i="126"/>
  <c r="R71" i="126"/>
  <c r="R67" i="126"/>
  <c r="R64" i="126"/>
  <c r="R74" i="126"/>
  <c r="R62" i="126"/>
  <c r="R65" i="126"/>
  <c r="R73" i="126"/>
  <c r="F76" i="126"/>
  <c r="L70" i="126" s="1"/>
  <c r="G75" i="126"/>
  <c r="F64" i="126"/>
  <c r="K64" i="126" s="1"/>
  <c r="F65" i="126"/>
  <c r="K65" i="126" s="1"/>
  <c r="F60" i="126"/>
  <c r="K60" i="126" s="1"/>
  <c r="F66" i="126"/>
  <c r="K66" i="126" s="1"/>
  <c r="F61" i="126"/>
  <c r="K61" i="126" s="1"/>
  <c r="F62" i="126"/>
  <c r="K62" i="126" s="1"/>
  <c r="F63" i="126"/>
  <c r="K63" i="126" s="1"/>
  <c r="F70" i="126"/>
  <c r="K70" i="126" s="1"/>
  <c r="F71" i="126"/>
  <c r="K71" i="126" s="1"/>
  <c r="F72" i="126"/>
  <c r="K72" i="126" s="1"/>
  <c r="F67" i="126"/>
  <c r="K67" i="126" s="1"/>
  <c r="F73" i="126"/>
  <c r="K73" i="126" s="1"/>
  <c r="F68" i="126"/>
  <c r="K68" i="126" s="1"/>
  <c r="F74" i="126"/>
  <c r="K74" i="126" s="1"/>
  <c r="F69" i="126"/>
  <c r="K69" i="126" s="1"/>
  <c r="F59" i="126"/>
  <c r="K59" i="126" s="1"/>
  <c r="E50" i="126"/>
  <c r="E75" i="126"/>
  <c r="AN10" i="124"/>
  <c r="AO10" i="124" s="1"/>
  <c r="AP10" i="124" s="1"/>
  <c r="CL10" i="124"/>
  <c r="CM10" i="124" s="1"/>
  <c r="CN10" i="124" s="1"/>
  <c r="BW10" i="124"/>
  <c r="BX10" i="124" s="1"/>
  <c r="BY10" i="124" s="1"/>
  <c r="BM10" i="124"/>
  <c r="BN10" i="124" s="1"/>
  <c r="BO10" i="124" s="1"/>
  <c r="AI10" i="124"/>
  <c r="AJ10" i="124" s="1"/>
  <c r="AK10" i="124" s="1"/>
  <c r="BH10" i="124"/>
  <c r="BI10" i="124" s="1"/>
  <c r="BJ10" i="124" s="1"/>
  <c r="BC10" i="124"/>
  <c r="BD10" i="124" s="1"/>
  <c r="BE10" i="124" s="1"/>
  <c r="AX10" i="124"/>
  <c r="AY10" i="124" s="1"/>
  <c r="AZ10" i="124" s="1"/>
  <c r="CB10" i="124"/>
  <c r="CC10" i="124" s="1"/>
  <c r="CD10" i="124" s="1"/>
  <c r="CG10" i="124"/>
  <c r="CH10" i="124" s="1"/>
  <c r="CI10" i="124" s="1"/>
  <c r="AS10" i="124"/>
  <c r="AT10" i="124" s="1"/>
  <c r="AU10" i="124" s="1"/>
  <c r="BR10" i="124"/>
  <c r="BS10" i="124" s="1"/>
  <c r="BT10" i="124" s="1"/>
  <c r="CG3" i="124"/>
  <c r="CH3" i="124" s="1"/>
  <c r="CI3" i="124" s="1"/>
  <c r="BW3" i="124"/>
  <c r="BX3" i="124" s="1"/>
  <c r="BY3" i="124" s="1"/>
  <c r="AS3" i="124"/>
  <c r="AT3" i="124" s="1"/>
  <c r="AU3" i="124" s="1"/>
  <c r="CB3" i="124"/>
  <c r="CC3" i="124" s="1"/>
  <c r="CD3" i="124" s="1"/>
  <c r="CL3" i="124"/>
  <c r="CM3" i="124" s="1"/>
  <c r="CN3" i="124" s="1"/>
  <c r="AX3" i="124"/>
  <c r="AY3" i="124" s="1"/>
  <c r="AZ3" i="124" s="1"/>
  <c r="AI3" i="124"/>
  <c r="AJ3" i="124" s="1"/>
  <c r="AK3" i="124" s="1"/>
  <c r="BH3" i="124"/>
  <c r="BI3" i="124" s="1"/>
  <c r="BJ3" i="124" s="1"/>
  <c r="BR3" i="124"/>
  <c r="BS3" i="124" s="1"/>
  <c r="BT3" i="124" s="1"/>
  <c r="BC3" i="124"/>
  <c r="BD3" i="124" s="1"/>
  <c r="BE3" i="124" s="1"/>
  <c r="BM3" i="124"/>
  <c r="BN3" i="124" s="1"/>
  <c r="BO3" i="124" s="1"/>
  <c r="AN3" i="124"/>
  <c r="AO3" i="124" s="1"/>
  <c r="AP3" i="124" s="1"/>
  <c r="BH83" i="124"/>
  <c r="BI83" i="124" s="1"/>
  <c r="BJ83" i="124" s="1"/>
  <c r="AN83" i="124"/>
  <c r="BM83" i="124"/>
  <c r="BN83" i="124" s="1"/>
  <c r="BO83" i="124" s="1"/>
  <c r="CL83" i="124"/>
  <c r="CM83" i="124" s="1"/>
  <c r="CN83" i="124" s="1"/>
  <c r="AS83" i="124"/>
  <c r="AT83" i="124" s="1"/>
  <c r="AU83" i="124" s="1"/>
  <c r="BW83" i="124"/>
  <c r="BX83" i="124" s="1"/>
  <c r="BY83" i="124" s="1"/>
  <c r="CG83" i="124"/>
  <c r="CH83" i="124" s="1"/>
  <c r="CI83" i="124" s="1"/>
  <c r="AX83" i="124"/>
  <c r="AY83" i="124" s="1"/>
  <c r="AZ83" i="124" s="1"/>
  <c r="CB83" i="124"/>
  <c r="CC83" i="124" s="1"/>
  <c r="CD83" i="124" s="1"/>
  <c r="AI83" i="124"/>
  <c r="AJ83" i="124" s="1"/>
  <c r="AK83" i="124" s="1"/>
  <c r="BC83" i="124"/>
  <c r="BD83" i="124" s="1"/>
  <c r="BE83" i="124" s="1"/>
  <c r="BR83" i="124"/>
  <c r="BS83" i="124" s="1"/>
  <c r="BT83" i="124" s="1"/>
  <c r="BW100" i="124"/>
  <c r="BX100" i="124" s="1"/>
  <c r="BY100" i="124" s="1"/>
  <c r="CB100" i="124"/>
  <c r="CC100" i="124" s="1"/>
  <c r="CD100" i="124" s="1"/>
  <c r="AI100" i="124"/>
  <c r="AJ100" i="124" s="1"/>
  <c r="AK100" i="124" s="1"/>
  <c r="CL100" i="124"/>
  <c r="CM100" i="124" s="1"/>
  <c r="CN100" i="124" s="1"/>
  <c r="AX100" i="124"/>
  <c r="AY100" i="124" s="1"/>
  <c r="AZ100" i="124" s="1"/>
  <c r="CG100" i="124"/>
  <c r="CH100" i="124" s="1"/>
  <c r="CI100" i="124" s="1"/>
  <c r="BR100" i="124"/>
  <c r="BS100" i="124" s="1"/>
  <c r="BT100" i="124" s="1"/>
  <c r="BH100" i="124"/>
  <c r="BI100" i="124" s="1"/>
  <c r="BJ100" i="124" s="1"/>
  <c r="BM100" i="124"/>
  <c r="BN100" i="124" s="1"/>
  <c r="BO100" i="124" s="1"/>
  <c r="AS100" i="124"/>
  <c r="AT100" i="124" s="1"/>
  <c r="AU100" i="124" s="1"/>
  <c r="AN100" i="124"/>
  <c r="AO100" i="124" s="1"/>
  <c r="AP100" i="124" s="1"/>
  <c r="BC100" i="124"/>
  <c r="BD100" i="124" s="1"/>
  <c r="BE100" i="124" s="1"/>
  <c r="BR177" i="124"/>
  <c r="BS177" i="124" s="1"/>
  <c r="BT177" i="124" s="1"/>
  <c r="CG177" i="124"/>
  <c r="CH177" i="124" s="1"/>
  <c r="CI177" i="124" s="1"/>
  <c r="CL177" i="124"/>
  <c r="CM177" i="124" s="1"/>
  <c r="CN177" i="124" s="1"/>
  <c r="AX177" i="124"/>
  <c r="AY177" i="124" s="1"/>
  <c r="AZ177" i="124" s="1"/>
  <c r="BW177" i="124"/>
  <c r="BX177" i="124" s="1"/>
  <c r="BY177" i="124" s="1"/>
  <c r="BC177" i="124"/>
  <c r="BD177" i="124" s="1"/>
  <c r="BE177" i="124" s="1"/>
  <c r="BM177" i="124"/>
  <c r="BN177" i="124" s="1"/>
  <c r="BO177" i="124" s="1"/>
  <c r="BH177" i="124"/>
  <c r="BI177" i="124" s="1"/>
  <c r="BJ177" i="124" s="1"/>
  <c r="AS177" i="124"/>
  <c r="AT177" i="124" s="1"/>
  <c r="AU177" i="124" s="1"/>
  <c r="CB177" i="124"/>
  <c r="CC177" i="124" s="1"/>
  <c r="CD177" i="124" s="1"/>
  <c r="AN177" i="124"/>
  <c r="AI177" i="124"/>
  <c r="AJ177" i="124" s="1"/>
  <c r="AK177" i="124" s="1"/>
  <c r="BR182" i="124"/>
  <c r="BS182" i="124" s="1"/>
  <c r="BT182" i="124" s="1"/>
  <c r="AN182" i="124"/>
  <c r="AX182" i="124"/>
  <c r="AY182" i="124" s="1"/>
  <c r="AZ182" i="124" s="1"/>
  <c r="CB182" i="124"/>
  <c r="CC182" i="124" s="1"/>
  <c r="CD182" i="124" s="1"/>
  <c r="BC182" i="124"/>
  <c r="BD182" i="124" s="1"/>
  <c r="BE182" i="124" s="1"/>
  <c r="BH182" i="124"/>
  <c r="BI182" i="124" s="1"/>
  <c r="BJ182" i="124" s="1"/>
  <c r="CG182" i="124"/>
  <c r="CH182" i="124" s="1"/>
  <c r="CI182" i="124" s="1"/>
  <c r="BW182" i="124"/>
  <c r="BX182" i="124" s="1"/>
  <c r="BY182" i="124" s="1"/>
  <c r="AI182" i="124"/>
  <c r="AJ182" i="124" s="1"/>
  <c r="AK182" i="124" s="1"/>
  <c r="CL182" i="124"/>
  <c r="CM182" i="124" s="1"/>
  <c r="CN182" i="124" s="1"/>
  <c r="AS182" i="124"/>
  <c r="AT182" i="124" s="1"/>
  <c r="AU182" i="124" s="1"/>
  <c r="BM182" i="124"/>
  <c r="BN182" i="124" s="1"/>
  <c r="BO182" i="124" s="1"/>
  <c r="AX476" i="124"/>
  <c r="AY476" i="124" s="1"/>
  <c r="CL476" i="124"/>
  <c r="CM476" i="124" s="1"/>
  <c r="AI476" i="124"/>
  <c r="AJ476" i="124" s="1"/>
  <c r="BW476" i="124"/>
  <c r="BX476" i="124" s="1"/>
  <c r="BC476" i="124"/>
  <c r="BD476" i="124" s="1"/>
  <c r="CB476" i="124"/>
  <c r="CC476" i="124" s="1"/>
  <c r="CG476" i="124"/>
  <c r="CH476" i="124" s="1"/>
  <c r="BH476" i="124"/>
  <c r="BI476" i="124" s="1"/>
  <c r="AS476" i="124"/>
  <c r="AT476" i="124" s="1"/>
  <c r="AN476" i="124"/>
  <c r="BR476" i="124"/>
  <c r="BS476" i="124" s="1"/>
  <c r="BM476" i="124"/>
  <c r="BN476" i="124" s="1"/>
  <c r="BC71" i="124"/>
  <c r="BD71" i="124" s="1"/>
  <c r="BE71" i="124" s="1"/>
  <c r="AX71" i="124"/>
  <c r="AY71" i="124" s="1"/>
  <c r="AZ71" i="124" s="1"/>
  <c r="CL71" i="124"/>
  <c r="CM71" i="124" s="1"/>
  <c r="CN71" i="124" s="1"/>
  <c r="BW71" i="124"/>
  <c r="BX71" i="124" s="1"/>
  <c r="BY71" i="124" s="1"/>
  <c r="BR71" i="124"/>
  <c r="BS71" i="124" s="1"/>
  <c r="BT71" i="124" s="1"/>
  <c r="AS71" i="124"/>
  <c r="AT71" i="124" s="1"/>
  <c r="AU71" i="124" s="1"/>
  <c r="AI71" i="124"/>
  <c r="AJ71" i="124" s="1"/>
  <c r="AK71" i="124" s="1"/>
  <c r="CB71" i="124"/>
  <c r="CC71" i="124" s="1"/>
  <c r="CD71" i="124" s="1"/>
  <c r="BH71" i="124"/>
  <c r="BI71" i="124" s="1"/>
  <c r="BJ71" i="124" s="1"/>
  <c r="CG71" i="124"/>
  <c r="CH71" i="124" s="1"/>
  <c r="CI71" i="124" s="1"/>
  <c r="AN71" i="124"/>
  <c r="BM71" i="124"/>
  <c r="BN71" i="124" s="1"/>
  <c r="BO71" i="124" s="1"/>
  <c r="BH142" i="124"/>
  <c r="BI142" i="124" s="1"/>
  <c r="BJ142" i="124" s="1"/>
  <c r="BW142" i="124"/>
  <c r="BX142" i="124" s="1"/>
  <c r="BY142" i="124" s="1"/>
  <c r="CB142" i="124"/>
  <c r="CC142" i="124" s="1"/>
  <c r="CD142" i="124" s="1"/>
  <c r="BC142" i="124"/>
  <c r="BD142" i="124" s="1"/>
  <c r="BE142" i="124" s="1"/>
  <c r="AX142" i="124"/>
  <c r="AY142" i="124" s="1"/>
  <c r="AZ142" i="124" s="1"/>
  <c r="AS142" i="124"/>
  <c r="AT142" i="124" s="1"/>
  <c r="AU142" i="124" s="1"/>
  <c r="CG142" i="124"/>
  <c r="CH142" i="124" s="1"/>
  <c r="CI142" i="124" s="1"/>
  <c r="CL142" i="124"/>
  <c r="CM142" i="124" s="1"/>
  <c r="CN142" i="124" s="1"/>
  <c r="AN142" i="124"/>
  <c r="AO142" i="124" s="1"/>
  <c r="AP142" i="124" s="1"/>
  <c r="BM142" i="124"/>
  <c r="BN142" i="124" s="1"/>
  <c r="BO142" i="124" s="1"/>
  <c r="BR142" i="124"/>
  <c r="BS142" i="124" s="1"/>
  <c r="BT142" i="124" s="1"/>
  <c r="AI142" i="124"/>
  <c r="AJ142" i="124" s="1"/>
  <c r="AK142" i="124" s="1"/>
  <c r="AI110" i="124"/>
  <c r="AJ110" i="124" s="1"/>
  <c r="AK110" i="124" s="1"/>
  <c r="BM110" i="124"/>
  <c r="BN110" i="124" s="1"/>
  <c r="BO110" i="124" s="1"/>
  <c r="CG110" i="124"/>
  <c r="CH110" i="124" s="1"/>
  <c r="CI110" i="124" s="1"/>
  <c r="CB110" i="124"/>
  <c r="CC110" i="124" s="1"/>
  <c r="CD110" i="124" s="1"/>
  <c r="BR110" i="124"/>
  <c r="BS110" i="124" s="1"/>
  <c r="BT110" i="124" s="1"/>
  <c r="BH110" i="124"/>
  <c r="BI110" i="124" s="1"/>
  <c r="BJ110" i="124" s="1"/>
  <c r="AX110" i="124"/>
  <c r="AY110" i="124" s="1"/>
  <c r="AZ110" i="124" s="1"/>
  <c r="AN110" i="124"/>
  <c r="AS110" i="124"/>
  <c r="AT110" i="124" s="1"/>
  <c r="AU110" i="124" s="1"/>
  <c r="BC110" i="124"/>
  <c r="BD110" i="124" s="1"/>
  <c r="BE110" i="124" s="1"/>
  <c r="BW110" i="124"/>
  <c r="BX110" i="124" s="1"/>
  <c r="BY110" i="124" s="1"/>
  <c r="CL110" i="124"/>
  <c r="CM110" i="124" s="1"/>
  <c r="CN110" i="124" s="1"/>
  <c r="CL176" i="124"/>
  <c r="CM176" i="124" s="1"/>
  <c r="CN176" i="124" s="1"/>
  <c r="CG176" i="124"/>
  <c r="CH176" i="124" s="1"/>
  <c r="CI176" i="124" s="1"/>
  <c r="AN176" i="124"/>
  <c r="AI176" i="124"/>
  <c r="AJ176" i="124" s="1"/>
  <c r="AK176" i="124" s="1"/>
  <c r="AX176" i="124"/>
  <c r="AY176" i="124" s="1"/>
  <c r="AZ176" i="124" s="1"/>
  <c r="BH176" i="124"/>
  <c r="BI176" i="124" s="1"/>
  <c r="BJ176" i="124" s="1"/>
  <c r="BR176" i="124"/>
  <c r="BS176" i="124" s="1"/>
  <c r="BT176" i="124" s="1"/>
  <c r="BC176" i="124"/>
  <c r="BD176" i="124" s="1"/>
  <c r="BE176" i="124" s="1"/>
  <c r="BW176" i="124"/>
  <c r="BX176" i="124" s="1"/>
  <c r="BY176" i="124" s="1"/>
  <c r="CB176" i="124"/>
  <c r="CC176" i="124" s="1"/>
  <c r="CD176" i="124" s="1"/>
  <c r="AS176" i="124"/>
  <c r="AT176" i="124" s="1"/>
  <c r="AU176" i="124" s="1"/>
  <c r="BM176" i="124"/>
  <c r="BN176" i="124" s="1"/>
  <c r="BO176" i="124" s="1"/>
  <c r="CB66" i="124"/>
  <c r="CC66" i="124" s="1"/>
  <c r="CD66" i="124" s="1"/>
  <c r="BW66" i="124"/>
  <c r="BX66" i="124" s="1"/>
  <c r="BY66" i="124" s="1"/>
  <c r="BM66" i="124"/>
  <c r="BN66" i="124" s="1"/>
  <c r="BO66" i="124" s="1"/>
  <c r="AS66" i="124"/>
  <c r="AT66" i="124" s="1"/>
  <c r="AU66" i="124" s="1"/>
  <c r="AI66" i="124"/>
  <c r="AJ66" i="124" s="1"/>
  <c r="AK66" i="124" s="1"/>
  <c r="BH66" i="124"/>
  <c r="BI66" i="124" s="1"/>
  <c r="BJ66" i="124" s="1"/>
  <c r="CL66" i="124"/>
  <c r="CM66" i="124" s="1"/>
  <c r="CN66" i="124" s="1"/>
  <c r="BR66" i="124"/>
  <c r="BS66" i="124" s="1"/>
  <c r="BT66" i="124" s="1"/>
  <c r="AX66" i="124"/>
  <c r="AY66" i="124" s="1"/>
  <c r="AZ66" i="124" s="1"/>
  <c r="CG66" i="124"/>
  <c r="AN66" i="124"/>
  <c r="AO66" i="124" s="1"/>
  <c r="AP66" i="124" s="1"/>
  <c r="BC66" i="124"/>
  <c r="BD66" i="124" s="1"/>
  <c r="BE66" i="124" s="1"/>
  <c r="BW82" i="124"/>
  <c r="BX82" i="124" s="1"/>
  <c r="BY82" i="124" s="1"/>
  <c r="AX82" i="124"/>
  <c r="AY82" i="124" s="1"/>
  <c r="AZ82" i="124" s="1"/>
  <c r="BM82" i="124"/>
  <c r="BN82" i="124" s="1"/>
  <c r="BO82" i="124" s="1"/>
  <c r="CB82" i="124"/>
  <c r="CC82" i="124" s="1"/>
  <c r="CD82" i="124" s="1"/>
  <c r="CL82" i="124"/>
  <c r="CM82" i="124" s="1"/>
  <c r="CN82" i="124" s="1"/>
  <c r="AS82" i="124"/>
  <c r="AT82" i="124" s="1"/>
  <c r="AU82" i="124" s="1"/>
  <c r="BH82" i="124"/>
  <c r="BI82" i="124" s="1"/>
  <c r="BJ82" i="124" s="1"/>
  <c r="BR82" i="124"/>
  <c r="BS82" i="124" s="1"/>
  <c r="BT82" i="124" s="1"/>
  <c r="AN82" i="124"/>
  <c r="BC82" i="124"/>
  <c r="BD82" i="124" s="1"/>
  <c r="BE82" i="124" s="1"/>
  <c r="AI82" i="124"/>
  <c r="AJ82" i="124" s="1"/>
  <c r="AK82" i="124" s="1"/>
  <c r="CG82" i="124"/>
  <c r="CH82" i="124" s="1"/>
  <c r="CI82" i="124" s="1"/>
  <c r="BR175" i="124"/>
  <c r="BS175" i="124" s="1"/>
  <c r="BT175" i="124" s="1"/>
  <c r="AX175" i="124"/>
  <c r="AY175" i="124" s="1"/>
  <c r="AZ175" i="124" s="1"/>
  <c r="AN175" i="124"/>
  <c r="AO175" i="124" s="1"/>
  <c r="AP175" i="124" s="1"/>
  <c r="AS175" i="124"/>
  <c r="AT175" i="124" s="1"/>
  <c r="AU175" i="124" s="1"/>
  <c r="BC175" i="124"/>
  <c r="BD175" i="124" s="1"/>
  <c r="BE175" i="124" s="1"/>
  <c r="BW175" i="124"/>
  <c r="BX175" i="124" s="1"/>
  <c r="BY175" i="124" s="1"/>
  <c r="BH175" i="124"/>
  <c r="BI175" i="124" s="1"/>
  <c r="BJ175" i="124" s="1"/>
  <c r="CL175" i="124"/>
  <c r="CM175" i="124" s="1"/>
  <c r="CN175" i="124" s="1"/>
  <c r="CG175" i="124"/>
  <c r="CH175" i="124" s="1"/>
  <c r="CI175" i="124" s="1"/>
  <c r="CB175" i="124"/>
  <c r="CC175" i="124" s="1"/>
  <c r="CD175" i="124" s="1"/>
  <c r="AI175" i="124"/>
  <c r="AJ175" i="124" s="1"/>
  <c r="AK175" i="124" s="1"/>
  <c r="BM175" i="124"/>
  <c r="BN175" i="124" s="1"/>
  <c r="BO175" i="124" s="1"/>
  <c r="CL185" i="124"/>
  <c r="CM185" i="124" s="1"/>
  <c r="CN185" i="124" s="1"/>
  <c r="BC185" i="124"/>
  <c r="BD185" i="124" s="1"/>
  <c r="BE185" i="124" s="1"/>
  <c r="AN185" i="124"/>
  <c r="BW185" i="124"/>
  <c r="BX185" i="124" s="1"/>
  <c r="BY185" i="124" s="1"/>
  <c r="BH185" i="124"/>
  <c r="BI185" i="124" s="1"/>
  <c r="BJ185" i="124" s="1"/>
  <c r="BR185" i="124"/>
  <c r="BS185" i="124" s="1"/>
  <c r="BT185" i="124" s="1"/>
  <c r="AX185" i="124"/>
  <c r="AY185" i="124" s="1"/>
  <c r="AZ185" i="124" s="1"/>
  <c r="CB185" i="124"/>
  <c r="CC185" i="124" s="1"/>
  <c r="CD185" i="124" s="1"/>
  <c r="BM185" i="124"/>
  <c r="BN185" i="124" s="1"/>
  <c r="BO185" i="124" s="1"/>
  <c r="AI185" i="124"/>
  <c r="AJ185" i="124" s="1"/>
  <c r="AK185" i="124" s="1"/>
  <c r="AS185" i="124"/>
  <c r="AT185" i="124" s="1"/>
  <c r="AU185" i="124" s="1"/>
  <c r="CG185" i="124"/>
  <c r="CH185" i="124" s="1"/>
  <c r="CI185" i="124" s="1"/>
  <c r="CL11" i="124"/>
  <c r="CM11" i="124" s="1"/>
  <c r="CN11" i="124" s="1"/>
  <c r="BC11" i="124"/>
  <c r="BD11" i="124" s="1"/>
  <c r="BE11" i="124" s="1"/>
  <c r="AX11" i="124"/>
  <c r="AY11" i="124" s="1"/>
  <c r="AZ11" i="124" s="1"/>
  <c r="BW11" i="124"/>
  <c r="BX11" i="124" s="1"/>
  <c r="BY11" i="124" s="1"/>
  <c r="BR11" i="124"/>
  <c r="BS11" i="124" s="1"/>
  <c r="BT11" i="124" s="1"/>
  <c r="AS11" i="124"/>
  <c r="AT11" i="124" s="1"/>
  <c r="AU11" i="124" s="1"/>
  <c r="BH11" i="124"/>
  <c r="BI11" i="124" s="1"/>
  <c r="BJ11" i="124" s="1"/>
  <c r="CB11" i="124"/>
  <c r="CC11" i="124" s="1"/>
  <c r="CD11" i="124" s="1"/>
  <c r="AN11" i="124"/>
  <c r="AO11" i="124" s="1"/>
  <c r="AP11" i="124" s="1"/>
  <c r="CG11" i="124"/>
  <c r="CH11" i="124" s="1"/>
  <c r="CI11" i="124" s="1"/>
  <c r="BM11" i="124"/>
  <c r="BN11" i="124" s="1"/>
  <c r="BO11" i="124" s="1"/>
  <c r="AI11" i="124"/>
  <c r="AJ11" i="124" s="1"/>
  <c r="AK11" i="124" s="1"/>
  <c r="AS84" i="124"/>
  <c r="AT84" i="124" s="1"/>
  <c r="AU84" i="124" s="1"/>
  <c r="CL84" i="124"/>
  <c r="CM84" i="124" s="1"/>
  <c r="CN84" i="124" s="1"/>
  <c r="BM84" i="124"/>
  <c r="BN84" i="124" s="1"/>
  <c r="BO84" i="124" s="1"/>
  <c r="AX84" i="124"/>
  <c r="AY84" i="124" s="1"/>
  <c r="AZ84" i="124" s="1"/>
  <c r="BH84" i="124"/>
  <c r="BI84" i="124" s="1"/>
  <c r="BJ84" i="124" s="1"/>
  <c r="CG84" i="124"/>
  <c r="BC84" i="124"/>
  <c r="BD84" i="124" s="1"/>
  <c r="BE84" i="124" s="1"/>
  <c r="BW84" i="124"/>
  <c r="BX84" i="124" s="1"/>
  <c r="BY84" i="124" s="1"/>
  <c r="CB84" i="124"/>
  <c r="CC84" i="124" s="1"/>
  <c r="CD84" i="124" s="1"/>
  <c r="AN84" i="124"/>
  <c r="AO84" i="124" s="1"/>
  <c r="AP84" i="124" s="1"/>
  <c r="AI84" i="124"/>
  <c r="AJ84" i="124" s="1"/>
  <c r="AK84" i="124" s="1"/>
  <c r="BR84" i="124"/>
  <c r="BS84" i="124" s="1"/>
  <c r="BT84" i="124" s="1"/>
  <c r="BH174" i="124"/>
  <c r="BI174" i="124" s="1"/>
  <c r="BJ174" i="124" s="1"/>
  <c r="BW174" i="124"/>
  <c r="BX174" i="124" s="1"/>
  <c r="BY174" i="124" s="1"/>
  <c r="CG174" i="124"/>
  <c r="CH174" i="124" s="1"/>
  <c r="CI174" i="124" s="1"/>
  <c r="BR174" i="124"/>
  <c r="BS174" i="124" s="1"/>
  <c r="BT174" i="124" s="1"/>
  <c r="AS174" i="124"/>
  <c r="AT174" i="124" s="1"/>
  <c r="AU174" i="124" s="1"/>
  <c r="CB174" i="124"/>
  <c r="CC174" i="124" s="1"/>
  <c r="CD174" i="124" s="1"/>
  <c r="AX174" i="124"/>
  <c r="AY174" i="124" s="1"/>
  <c r="AZ174" i="124" s="1"/>
  <c r="AN174" i="124"/>
  <c r="BC174" i="124"/>
  <c r="BD174" i="124" s="1"/>
  <c r="BE174" i="124" s="1"/>
  <c r="AI174" i="124"/>
  <c r="AJ174" i="124" s="1"/>
  <c r="AK174" i="124" s="1"/>
  <c r="CL174" i="124"/>
  <c r="CM174" i="124" s="1"/>
  <c r="CN174" i="124" s="1"/>
  <c r="BM174" i="124"/>
  <c r="BN174" i="124" s="1"/>
  <c r="BO174" i="124" s="1"/>
  <c r="BC184" i="124"/>
  <c r="BD184" i="124" s="1"/>
  <c r="BE184" i="124" s="1"/>
  <c r="AS184" i="124"/>
  <c r="AT184" i="124" s="1"/>
  <c r="AU184" i="124" s="1"/>
  <c r="CB184" i="124"/>
  <c r="CC184" i="124" s="1"/>
  <c r="CD184" i="124" s="1"/>
  <c r="BH184" i="124"/>
  <c r="BI184" i="124" s="1"/>
  <c r="BJ184" i="124" s="1"/>
  <c r="BW184" i="124"/>
  <c r="BX184" i="124" s="1"/>
  <c r="BY184" i="124" s="1"/>
  <c r="CL184" i="124"/>
  <c r="CM184" i="124" s="1"/>
  <c r="CN184" i="124" s="1"/>
  <c r="AX184" i="124"/>
  <c r="AY184" i="124" s="1"/>
  <c r="AZ184" i="124" s="1"/>
  <c r="CG184" i="124"/>
  <c r="CH184" i="124" s="1"/>
  <c r="CI184" i="124" s="1"/>
  <c r="AI184" i="124"/>
  <c r="AJ184" i="124" s="1"/>
  <c r="AK184" i="124" s="1"/>
  <c r="BM184" i="124"/>
  <c r="BN184" i="124" s="1"/>
  <c r="BO184" i="124" s="1"/>
  <c r="AN184" i="124"/>
  <c r="AO184" i="124" s="1"/>
  <c r="AP184" i="124" s="1"/>
  <c r="BR184" i="124"/>
  <c r="BS184" i="124" s="1"/>
  <c r="BT184" i="124" s="1"/>
  <c r="CG90" i="124"/>
  <c r="CH90" i="124" s="1"/>
  <c r="CI90" i="124" s="1"/>
  <c r="AN90" i="124"/>
  <c r="CL90" i="124"/>
  <c r="CM90" i="124" s="1"/>
  <c r="CN90" i="124" s="1"/>
  <c r="AI90" i="124"/>
  <c r="AJ90" i="124" s="1"/>
  <c r="AK90" i="124" s="1"/>
  <c r="BH90" i="124"/>
  <c r="BI90" i="124" s="1"/>
  <c r="BJ90" i="124" s="1"/>
  <c r="BC90" i="124"/>
  <c r="BD90" i="124" s="1"/>
  <c r="BE90" i="124" s="1"/>
  <c r="AX90" i="124"/>
  <c r="AY90" i="124" s="1"/>
  <c r="AZ90" i="124" s="1"/>
  <c r="AS90" i="124"/>
  <c r="AT90" i="124" s="1"/>
  <c r="AU90" i="124" s="1"/>
  <c r="BM90" i="124"/>
  <c r="BN90" i="124" s="1"/>
  <c r="BO90" i="124" s="1"/>
  <c r="CB90" i="124"/>
  <c r="CC90" i="124" s="1"/>
  <c r="CD90" i="124" s="1"/>
  <c r="BR90" i="124"/>
  <c r="BS90" i="124" s="1"/>
  <c r="BT90" i="124" s="1"/>
  <c r="BW90" i="124"/>
  <c r="BX90" i="124" s="1"/>
  <c r="BY90" i="124" s="1"/>
  <c r="CG183" i="124"/>
  <c r="CH183" i="124" s="1"/>
  <c r="CI183" i="124" s="1"/>
  <c r="BC183" i="124"/>
  <c r="BD183" i="124" s="1"/>
  <c r="BE183" i="124" s="1"/>
  <c r="BM183" i="124"/>
  <c r="BN183" i="124" s="1"/>
  <c r="BO183" i="124" s="1"/>
  <c r="AS183" i="124"/>
  <c r="AT183" i="124" s="1"/>
  <c r="AU183" i="124" s="1"/>
  <c r="AN183" i="124"/>
  <c r="AI183" i="124"/>
  <c r="AJ183" i="124" s="1"/>
  <c r="AK183" i="124" s="1"/>
  <c r="BR183" i="124"/>
  <c r="BS183" i="124" s="1"/>
  <c r="BT183" i="124" s="1"/>
  <c r="BH183" i="124"/>
  <c r="BI183" i="124" s="1"/>
  <c r="BJ183" i="124" s="1"/>
  <c r="BW183" i="124"/>
  <c r="BX183" i="124" s="1"/>
  <c r="BY183" i="124" s="1"/>
  <c r="CB183" i="124"/>
  <c r="CC183" i="124" s="1"/>
  <c r="CD183" i="124" s="1"/>
  <c r="AX183" i="124"/>
  <c r="AY183" i="124" s="1"/>
  <c r="AZ183" i="124" s="1"/>
  <c r="CL183" i="124"/>
  <c r="CM183" i="124" s="1"/>
  <c r="CN183" i="124" s="1"/>
  <c r="CL103" i="124"/>
  <c r="CM103" i="124" s="1"/>
  <c r="CN103" i="124" s="1"/>
  <c r="BC103" i="124"/>
  <c r="BD103" i="124" s="1"/>
  <c r="BE103" i="124" s="1"/>
  <c r="BM103" i="124"/>
  <c r="BN103" i="124" s="1"/>
  <c r="BO103" i="124" s="1"/>
  <c r="AX103" i="124"/>
  <c r="AY103" i="124" s="1"/>
  <c r="AZ103" i="124" s="1"/>
  <c r="CG103" i="124"/>
  <c r="CH103" i="124" s="1"/>
  <c r="CI103" i="124" s="1"/>
  <c r="BW103" i="124"/>
  <c r="BX103" i="124" s="1"/>
  <c r="BY103" i="124" s="1"/>
  <c r="AN103" i="124"/>
  <c r="AO103" i="124" s="1"/>
  <c r="AP103" i="124" s="1"/>
  <c r="CB103" i="124"/>
  <c r="CC103" i="124" s="1"/>
  <c r="CD103" i="124" s="1"/>
  <c r="AS103" i="124"/>
  <c r="AT103" i="124" s="1"/>
  <c r="AU103" i="124" s="1"/>
  <c r="BH103" i="124"/>
  <c r="BI103" i="124" s="1"/>
  <c r="BJ103" i="124" s="1"/>
  <c r="AI103" i="124"/>
  <c r="AJ103" i="124" s="1"/>
  <c r="AK103" i="124" s="1"/>
  <c r="BR103" i="124"/>
  <c r="BS103" i="124" s="1"/>
  <c r="BT103" i="124" s="1"/>
  <c r="CB473" i="124"/>
  <c r="CC473" i="124" s="1"/>
  <c r="AN473" i="124"/>
  <c r="AO473" i="124" s="1"/>
  <c r="BR473" i="124"/>
  <c r="BS473" i="124" s="1"/>
  <c r="CL473" i="124"/>
  <c r="CM473" i="124" s="1"/>
  <c r="BH473" i="124"/>
  <c r="BI473" i="124" s="1"/>
  <c r="AS473" i="124"/>
  <c r="AT473" i="124" s="1"/>
  <c r="AX473" i="124"/>
  <c r="AY473" i="124" s="1"/>
  <c r="BM473" i="124"/>
  <c r="BN473" i="124" s="1"/>
  <c r="BW473" i="124"/>
  <c r="BX473" i="124" s="1"/>
  <c r="AI473" i="124"/>
  <c r="AJ473" i="124" s="1"/>
  <c r="CG473" i="124"/>
  <c r="CH473" i="124" s="1"/>
  <c r="BC473" i="124"/>
  <c r="BD473" i="124" s="1"/>
  <c r="CB572" i="124"/>
  <c r="CC572" i="124" s="1"/>
  <c r="BC572" i="124"/>
  <c r="BD572" i="124" s="1"/>
  <c r="CL572" i="124"/>
  <c r="CM572" i="124" s="1"/>
  <c r="AX572" i="124"/>
  <c r="AY572" i="124" s="1"/>
  <c r="AS572" i="124"/>
  <c r="AT572" i="124" s="1"/>
  <c r="BH572" i="124"/>
  <c r="BI572" i="124" s="1"/>
  <c r="CG572" i="124"/>
  <c r="CH572" i="124" s="1"/>
  <c r="BR572" i="124"/>
  <c r="BS572" i="124" s="1"/>
  <c r="AN572" i="124"/>
  <c r="AO572" i="124" s="1"/>
  <c r="AI572" i="124"/>
  <c r="AJ572" i="124" s="1"/>
  <c r="BM572" i="124"/>
  <c r="BN572" i="124" s="1"/>
  <c r="BW572" i="124"/>
  <c r="BX572" i="124" s="1"/>
  <c r="BH559" i="124"/>
  <c r="BI559" i="124" s="1"/>
  <c r="AX559" i="124"/>
  <c r="AY559" i="124" s="1"/>
  <c r="AN559" i="124"/>
  <c r="CG559" i="124"/>
  <c r="CH559" i="124" s="1"/>
  <c r="BW559" i="124"/>
  <c r="BX559" i="124" s="1"/>
  <c r="BC559" i="124"/>
  <c r="BD559" i="124" s="1"/>
  <c r="CL559" i="124"/>
  <c r="CM559" i="124" s="1"/>
  <c r="AI559" i="124"/>
  <c r="AJ559" i="124" s="1"/>
  <c r="AS559" i="124"/>
  <c r="AT559" i="124" s="1"/>
  <c r="BM559" i="124"/>
  <c r="BN559" i="124" s="1"/>
  <c r="CB559" i="124"/>
  <c r="CC559" i="124" s="1"/>
  <c r="BR559" i="124"/>
  <c r="BS559" i="124" s="1"/>
  <c r="BC521" i="124"/>
  <c r="BD521" i="124" s="1"/>
  <c r="CB521" i="124"/>
  <c r="CC521" i="124" s="1"/>
  <c r="BW521" i="124"/>
  <c r="BX521" i="124" s="1"/>
  <c r="AN521" i="124"/>
  <c r="AI521" i="124"/>
  <c r="AJ521" i="124" s="1"/>
  <c r="CL521" i="124"/>
  <c r="CM521" i="124" s="1"/>
  <c r="BR521" i="124"/>
  <c r="BS521" i="124" s="1"/>
  <c r="AX521" i="124"/>
  <c r="AY521" i="124" s="1"/>
  <c r="AS521" i="124"/>
  <c r="AT521" i="124" s="1"/>
  <c r="BM521" i="124"/>
  <c r="BN521" i="124" s="1"/>
  <c r="CG521" i="124"/>
  <c r="CH521" i="124" s="1"/>
  <c r="BH521" i="124"/>
  <c r="BI521" i="124" s="1"/>
  <c r="AI510" i="124"/>
  <c r="AJ510" i="124" s="1"/>
  <c r="AN510" i="124"/>
  <c r="AO510" i="124" s="1"/>
  <c r="CG510" i="124"/>
  <c r="CH510" i="124" s="1"/>
  <c r="CL510" i="124"/>
  <c r="CM510" i="124" s="1"/>
  <c r="AX510" i="124"/>
  <c r="AY510" i="124" s="1"/>
  <c r="BC510" i="124"/>
  <c r="BD510" i="124" s="1"/>
  <c r="BM510" i="124"/>
  <c r="BN510" i="124" s="1"/>
  <c r="CB510" i="124"/>
  <c r="CC510" i="124" s="1"/>
  <c r="BW510" i="124"/>
  <c r="BX510" i="124" s="1"/>
  <c r="BR510" i="124"/>
  <c r="BS510" i="124" s="1"/>
  <c r="AS510" i="124"/>
  <c r="AT510" i="124" s="1"/>
  <c r="BH510" i="124"/>
  <c r="BI510" i="124" s="1"/>
  <c r="AI429" i="124"/>
  <c r="AJ429" i="124" s="1"/>
  <c r="CL429" i="124"/>
  <c r="CM429" i="124" s="1"/>
  <c r="CB429" i="124"/>
  <c r="CC429" i="124" s="1"/>
  <c r="AX429" i="124"/>
  <c r="AY429" i="124" s="1"/>
  <c r="BW429" i="124"/>
  <c r="BX429" i="124" s="1"/>
  <c r="AS429" i="124"/>
  <c r="AT429" i="124" s="1"/>
  <c r="BC429" i="124"/>
  <c r="BD429" i="124" s="1"/>
  <c r="CG429" i="124"/>
  <c r="CH429" i="124" s="1"/>
  <c r="BH429" i="124"/>
  <c r="BI429" i="124" s="1"/>
  <c r="BM429" i="124"/>
  <c r="BN429" i="124" s="1"/>
  <c r="BR429" i="124"/>
  <c r="BS429" i="124" s="1"/>
  <c r="AN429" i="124"/>
  <c r="AO429" i="124" s="1"/>
  <c r="BW535" i="124"/>
  <c r="BX535" i="124" s="1"/>
  <c r="AN535" i="124"/>
  <c r="CL535" i="124"/>
  <c r="CM535" i="124" s="1"/>
  <c r="CG535" i="124"/>
  <c r="CH535" i="124" s="1"/>
  <c r="AS535" i="124"/>
  <c r="AT535" i="124" s="1"/>
  <c r="AI535" i="124"/>
  <c r="AJ535" i="124" s="1"/>
  <c r="BH535" i="124"/>
  <c r="BI535" i="124" s="1"/>
  <c r="BC535" i="124"/>
  <c r="BD535" i="124" s="1"/>
  <c r="BR535" i="124"/>
  <c r="BS535" i="124" s="1"/>
  <c r="CB535" i="124"/>
  <c r="CC535" i="124" s="1"/>
  <c r="BM535" i="124"/>
  <c r="BN535" i="124" s="1"/>
  <c r="AX535" i="124"/>
  <c r="AY535" i="124" s="1"/>
  <c r="AI567" i="124"/>
  <c r="AJ567" i="124" s="1"/>
  <c r="BM567" i="124"/>
  <c r="BN567" i="124" s="1"/>
  <c r="CB567" i="124"/>
  <c r="CC567" i="124" s="1"/>
  <c r="BC567" i="124"/>
  <c r="BD567" i="124" s="1"/>
  <c r="BR567" i="124"/>
  <c r="BS567" i="124" s="1"/>
  <c r="BH567" i="124"/>
  <c r="BI567" i="124" s="1"/>
  <c r="AN567" i="124"/>
  <c r="AO567" i="124" s="1"/>
  <c r="AX567" i="124"/>
  <c r="AY567" i="124" s="1"/>
  <c r="CG567" i="124"/>
  <c r="CH567" i="124" s="1"/>
  <c r="BW567" i="124"/>
  <c r="BX567" i="124" s="1"/>
  <c r="CL567" i="124"/>
  <c r="CM567" i="124" s="1"/>
  <c r="AS567" i="124"/>
  <c r="AT567" i="124" s="1"/>
  <c r="CB562" i="124"/>
  <c r="CC562" i="124" s="1"/>
  <c r="BR562" i="124"/>
  <c r="BS562" i="124" s="1"/>
  <c r="BC562" i="124"/>
  <c r="BD562" i="124" s="1"/>
  <c r="BM562" i="124"/>
  <c r="BN562" i="124" s="1"/>
  <c r="BW562" i="124"/>
  <c r="BX562" i="124" s="1"/>
  <c r="AX562" i="124"/>
  <c r="AY562" i="124" s="1"/>
  <c r="AS562" i="124"/>
  <c r="AT562" i="124" s="1"/>
  <c r="CL562" i="124"/>
  <c r="CM562" i="124" s="1"/>
  <c r="BH562" i="124"/>
  <c r="BI562" i="124" s="1"/>
  <c r="AN562" i="124"/>
  <c r="AO562" i="124" s="1"/>
  <c r="AI562" i="124"/>
  <c r="AJ562" i="124" s="1"/>
  <c r="CG562" i="124"/>
  <c r="CH562" i="124" s="1"/>
  <c r="BC424" i="124"/>
  <c r="BD424" i="124" s="1"/>
  <c r="CB424" i="124"/>
  <c r="CC424" i="124" s="1"/>
  <c r="AS424" i="124"/>
  <c r="AT424" i="124" s="1"/>
  <c r="BW424" i="124"/>
  <c r="BX424" i="124" s="1"/>
  <c r="AI424" i="124"/>
  <c r="AJ424" i="124" s="1"/>
  <c r="AX424" i="124"/>
  <c r="AY424" i="124" s="1"/>
  <c r="AN424" i="124"/>
  <c r="AO424" i="124" s="1"/>
  <c r="BH424" i="124"/>
  <c r="BI424" i="124" s="1"/>
  <c r="CG424" i="124"/>
  <c r="CH424" i="124" s="1"/>
  <c r="BR424" i="124"/>
  <c r="BS424" i="124" s="1"/>
  <c r="BM424" i="124"/>
  <c r="BN424" i="124" s="1"/>
  <c r="CL424" i="124"/>
  <c r="CM424" i="124" s="1"/>
  <c r="AX374" i="124"/>
  <c r="AY374" i="124" s="1"/>
  <c r="AS374" i="124"/>
  <c r="AT374" i="124" s="1"/>
  <c r="BC374" i="124"/>
  <c r="BD374" i="124" s="1"/>
  <c r="CG374" i="124"/>
  <c r="CH374" i="124" s="1"/>
  <c r="CB374" i="124"/>
  <c r="CC374" i="124" s="1"/>
  <c r="BW374" i="124"/>
  <c r="BX374" i="124" s="1"/>
  <c r="CL374" i="124"/>
  <c r="CM374" i="124" s="1"/>
  <c r="BM374" i="124"/>
  <c r="BN374" i="124" s="1"/>
  <c r="BH374" i="124"/>
  <c r="BI374" i="124" s="1"/>
  <c r="BR374" i="124"/>
  <c r="BS374" i="124" s="1"/>
  <c r="AN374" i="124"/>
  <c r="AO374" i="124" s="1"/>
  <c r="AI374" i="124"/>
  <c r="AJ374" i="124" s="1"/>
  <c r="CG349" i="124"/>
  <c r="CH349" i="124" s="1"/>
  <c r="BM349" i="124"/>
  <c r="BN349" i="124" s="1"/>
  <c r="CB349" i="124"/>
  <c r="CC349" i="124" s="1"/>
  <c r="BC349" i="124"/>
  <c r="BD349" i="124" s="1"/>
  <c r="AN349" i="124"/>
  <c r="AI349" i="124"/>
  <c r="AJ349" i="124" s="1"/>
  <c r="AX349" i="124"/>
  <c r="AY349" i="124" s="1"/>
  <c r="AS349" i="124"/>
  <c r="AT349" i="124" s="1"/>
  <c r="CL349" i="124"/>
  <c r="CM349" i="124" s="1"/>
  <c r="BH349" i="124"/>
  <c r="BI349" i="124" s="1"/>
  <c r="BR349" i="124"/>
  <c r="BS349" i="124" s="1"/>
  <c r="BW349" i="124"/>
  <c r="BX349" i="124" s="1"/>
  <c r="CB520" i="124"/>
  <c r="CC520" i="124" s="1"/>
  <c r="BH520" i="124"/>
  <c r="BI520" i="124" s="1"/>
  <c r="BR520" i="124"/>
  <c r="BS520" i="124" s="1"/>
  <c r="AS520" i="124"/>
  <c r="AT520" i="124" s="1"/>
  <c r="AX520" i="124"/>
  <c r="AY520" i="124" s="1"/>
  <c r="AN520" i="124"/>
  <c r="AO520" i="124" s="1"/>
  <c r="BM520" i="124"/>
  <c r="BN520" i="124" s="1"/>
  <c r="BW520" i="124"/>
  <c r="BX520" i="124" s="1"/>
  <c r="BC520" i="124"/>
  <c r="BD520" i="124" s="1"/>
  <c r="AI520" i="124"/>
  <c r="AJ520" i="124" s="1"/>
  <c r="CG520" i="124"/>
  <c r="CH520" i="124" s="1"/>
  <c r="CL520" i="124"/>
  <c r="CM520" i="124" s="1"/>
  <c r="AI416" i="124"/>
  <c r="AJ416" i="124" s="1"/>
  <c r="AX416" i="124"/>
  <c r="AY416" i="124" s="1"/>
  <c r="BC416" i="124"/>
  <c r="BD416" i="124" s="1"/>
  <c r="CL416" i="124"/>
  <c r="CM416" i="124" s="1"/>
  <c r="BH416" i="124"/>
  <c r="BI416" i="124" s="1"/>
  <c r="BR416" i="124"/>
  <c r="BS416" i="124" s="1"/>
  <c r="AS416" i="124"/>
  <c r="AT416" i="124" s="1"/>
  <c r="BW416" i="124"/>
  <c r="BX416" i="124" s="1"/>
  <c r="CB416" i="124"/>
  <c r="CC416" i="124" s="1"/>
  <c r="AN416" i="124"/>
  <c r="AO416" i="124" s="1"/>
  <c r="CG416" i="124"/>
  <c r="CH416" i="124" s="1"/>
  <c r="BM416" i="124"/>
  <c r="BN416" i="124" s="1"/>
  <c r="AI533" i="124"/>
  <c r="AJ533" i="124" s="1"/>
  <c r="AN533" i="124"/>
  <c r="AO533" i="124" s="1"/>
  <c r="CB533" i="124"/>
  <c r="CC533" i="124" s="1"/>
  <c r="CL533" i="124"/>
  <c r="CM533" i="124" s="1"/>
  <c r="BH533" i="124"/>
  <c r="BI533" i="124" s="1"/>
  <c r="CG533" i="124"/>
  <c r="CH533" i="124" s="1"/>
  <c r="BW533" i="124"/>
  <c r="BX533" i="124" s="1"/>
  <c r="BM533" i="124"/>
  <c r="BN533" i="124" s="1"/>
  <c r="AS533" i="124"/>
  <c r="AT533" i="124" s="1"/>
  <c r="BC533" i="124"/>
  <c r="BD533" i="124" s="1"/>
  <c r="AX533" i="124"/>
  <c r="AY533" i="124" s="1"/>
  <c r="BR533" i="124"/>
  <c r="BS533" i="124" s="1"/>
  <c r="BM490" i="124"/>
  <c r="BN490" i="124" s="1"/>
  <c r="AN490" i="124"/>
  <c r="CG490" i="124"/>
  <c r="CH490" i="124" s="1"/>
  <c r="BW490" i="124"/>
  <c r="BX490" i="124" s="1"/>
  <c r="BC490" i="124"/>
  <c r="BD490" i="124" s="1"/>
  <c r="BR490" i="124"/>
  <c r="BS490" i="124" s="1"/>
  <c r="AS490" i="124"/>
  <c r="AT490" i="124" s="1"/>
  <c r="BH490" i="124"/>
  <c r="BI490" i="124" s="1"/>
  <c r="CB490" i="124"/>
  <c r="CC490" i="124" s="1"/>
  <c r="AX490" i="124"/>
  <c r="AY490" i="124" s="1"/>
  <c r="CL490" i="124"/>
  <c r="CM490" i="124" s="1"/>
  <c r="AI490" i="124"/>
  <c r="AJ490" i="124" s="1"/>
  <c r="CB362" i="124"/>
  <c r="CC362" i="124" s="1"/>
  <c r="BM362" i="124"/>
  <c r="BN362" i="124" s="1"/>
  <c r="BC362" i="124"/>
  <c r="BD362" i="124" s="1"/>
  <c r="AN362" i="124"/>
  <c r="AO362" i="124" s="1"/>
  <c r="BH362" i="124"/>
  <c r="BI362" i="124" s="1"/>
  <c r="BR362" i="124"/>
  <c r="BS362" i="124" s="1"/>
  <c r="CG362" i="124"/>
  <c r="CH362" i="124" s="1"/>
  <c r="AX362" i="124"/>
  <c r="AY362" i="124" s="1"/>
  <c r="AI362" i="124"/>
  <c r="AJ362" i="124" s="1"/>
  <c r="CL362" i="124"/>
  <c r="CM362" i="124" s="1"/>
  <c r="AS362" i="124"/>
  <c r="AT362" i="124" s="1"/>
  <c r="BW362" i="124"/>
  <c r="BX362" i="124" s="1"/>
  <c r="BH537" i="124"/>
  <c r="BI537" i="124" s="1"/>
  <c r="CG537" i="124"/>
  <c r="CH537" i="124" s="1"/>
  <c r="CB537" i="124"/>
  <c r="CC537" i="124" s="1"/>
  <c r="AS537" i="124"/>
  <c r="AT537" i="124" s="1"/>
  <c r="BW537" i="124"/>
  <c r="BX537" i="124" s="1"/>
  <c r="AI537" i="124"/>
  <c r="AJ537" i="124" s="1"/>
  <c r="BR537" i="124"/>
  <c r="BS537" i="124" s="1"/>
  <c r="BC537" i="124"/>
  <c r="BD537" i="124" s="1"/>
  <c r="CL537" i="124"/>
  <c r="CM537" i="124" s="1"/>
  <c r="AX537" i="124"/>
  <c r="AY537" i="124" s="1"/>
  <c r="BM537" i="124"/>
  <c r="BN537" i="124" s="1"/>
  <c r="AN537" i="124"/>
  <c r="AO537" i="124" s="1"/>
  <c r="BC550" i="124"/>
  <c r="BD550" i="124" s="1"/>
  <c r="CG550" i="124"/>
  <c r="CH550" i="124" s="1"/>
  <c r="CL550" i="124"/>
  <c r="CM550" i="124" s="1"/>
  <c r="BW550" i="124"/>
  <c r="BX550" i="124" s="1"/>
  <c r="AN550" i="124"/>
  <c r="BH550" i="124"/>
  <c r="BI550" i="124" s="1"/>
  <c r="BM550" i="124"/>
  <c r="BN550" i="124" s="1"/>
  <c r="AS550" i="124"/>
  <c r="AT550" i="124" s="1"/>
  <c r="BR550" i="124"/>
  <c r="BS550" i="124" s="1"/>
  <c r="AX550" i="124"/>
  <c r="AY550" i="124" s="1"/>
  <c r="CB550" i="124"/>
  <c r="CC550" i="124" s="1"/>
  <c r="AI550" i="124"/>
  <c r="AJ550" i="124" s="1"/>
  <c r="AN539" i="124"/>
  <c r="BR539" i="124"/>
  <c r="BS539" i="124" s="1"/>
  <c r="AX539" i="124"/>
  <c r="AY539" i="124" s="1"/>
  <c r="AI539" i="124"/>
  <c r="AJ539" i="124" s="1"/>
  <c r="BH539" i="124"/>
  <c r="BI539" i="124" s="1"/>
  <c r="AS539" i="124"/>
  <c r="AT539" i="124" s="1"/>
  <c r="BC539" i="124"/>
  <c r="BD539" i="124" s="1"/>
  <c r="CL539" i="124"/>
  <c r="CM539" i="124" s="1"/>
  <c r="CB539" i="124"/>
  <c r="CC539" i="124" s="1"/>
  <c r="CG539" i="124"/>
  <c r="CH539" i="124" s="1"/>
  <c r="BW539" i="124"/>
  <c r="BX539" i="124" s="1"/>
  <c r="BM539" i="124"/>
  <c r="BN539" i="124" s="1"/>
  <c r="BM472" i="124"/>
  <c r="BN472" i="124" s="1"/>
  <c r="AI472" i="124"/>
  <c r="AJ472" i="124" s="1"/>
  <c r="BH472" i="124"/>
  <c r="BI472" i="124" s="1"/>
  <c r="AX472" i="124"/>
  <c r="AY472" i="124" s="1"/>
  <c r="BR472" i="124"/>
  <c r="BS472" i="124" s="1"/>
  <c r="CB472" i="124"/>
  <c r="CC472" i="124" s="1"/>
  <c r="BC472" i="124"/>
  <c r="BD472" i="124" s="1"/>
  <c r="CL472" i="124"/>
  <c r="CM472" i="124" s="1"/>
  <c r="AS472" i="124"/>
  <c r="AT472" i="124" s="1"/>
  <c r="BW472" i="124"/>
  <c r="BX472" i="124" s="1"/>
  <c r="CG472" i="124"/>
  <c r="CH472" i="124" s="1"/>
  <c r="AN472" i="124"/>
  <c r="BM376" i="124"/>
  <c r="BN376" i="124" s="1"/>
  <c r="BC376" i="124"/>
  <c r="BD376" i="124" s="1"/>
  <c r="BH376" i="124"/>
  <c r="BI376" i="124" s="1"/>
  <c r="CG376" i="124"/>
  <c r="CH376" i="124" s="1"/>
  <c r="BR376" i="124"/>
  <c r="BS376" i="124" s="1"/>
  <c r="AN376" i="124"/>
  <c r="AO376" i="124" s="1"/>
  <c r="AS376" i="124"/>
  <c r="AT376" i="124" s="1"/>
  <c r="AI376" i="124"/>
  <c r="AJ376" i="124" s="1"/>
  <c r="CB376" i="124"/>
  <c r="CC376" i="124" s="1"/>
  <c r="BW376" i="124"/>
  <c r="BX376" i="124" s="1"/>
  <c r="CL376" i="124"/>
  <c r="CM376" i="124" s="1"/>
  <c r="AX376" i="124"/>
  <c r="AY376" i="124" s="1"/>
  <c r="BR368" i="124"/>
  <c r="BS368" i="124" s="1"/>
  <c r="CB368" i="124"/>
  <c r="CC368" i="124" s="1"/>
  <c r="CG368" i="124"/>
  <c r="CH368" i="124" s="1"/>
  <c r="BM368" i="124"/>
  <c r="BN368" i="124" s="1"/>
  <c r="AX368" i="124"/>
  <c r="AY368" i="124" s="1"/>
  <c r="AN368" i="124"/>
  <c r="BC368" i="124"/>
  <c r="BD368" i="124" s="1"/>
  <c r="AS368" i="124"/>
  <c r="AT368" i="124" s="1"/>
  <c r="CL368" i="124"/>
  <c r="CM368" i="124" s="1"/>
  <c r="BH368" i="124"/>
  <c r="BI368" i="124" s="1"/>
  <c r="AI368" i="124"/>
  <c r="AJ368" i="124" s="1"/>
  <c r="BW368" i="124"/>
  <c r="BX368" i="124" s="1"/>
  <c r="CB421" i="124"/>
  <c r="CC421" i="124" s="1"/>
  <c r="AS421" i="124"/>
  <c r="AT421" i="124" s="1"/>
  <c r="BH421" i="124"/>
  <c r="BI421" i="124" s="1"/>
  <c r="BR421" i="124"/>
  <c r="BS421" i="124" s="1"/>
  <c r="CL421" i="124"/>
  <c r="CM421" i="124" s="1"/>
  <c r="BC421" i="124"/>
  <c r="BD421" i="124" s="1"/>
  <c r="CG421" i="124"/>
  <c r="CH421" i="124" s="1"/>
  <c r="AI421" i="124"/>
  <c r="AJ421" i="124" s="1"/>
  <c r="AN421" i="124"/>
  <c r="BM421" i="124"/>
  <c r="BN421" i="124" s="1"/>
  <c r="BW421" i="124"/>
  <c r="BX421" i="124" s="1"/>
  <c r="AX421" i="124"/>
  <c r="AY421" i="124" s="1"/>
  <c r="AN365" i="124"/>
  <c r="BC365" i="124"/>
  <c r="BD365" i="124" s="1"/>
  <c r="CG365" i="124"/>
  <c r="CH365" i="124" s="1"/>
  <c r="CL365" i="124"/>
  <c r="CM365" i="124" s="1"/>
  <c r="AI365" i="124"/>
  <c r="AJ365" i="124" s="1"/>
  <c r="AX365" i="124"/>
  <c r="AY365" i="124" s="1"/>
  <c r="CB365" i="124"/>
  <c r="CC365" i="124" s="1"/>
  <c r="BR365" i="124"/>
  <c r="BS365" i="124" s="1"/>
  <c r="BH365" i="124"/>
  <c r="BI365" i="124" s="1"/>
  <c r="BW365" i="124"/>
  <c r="BX365" i="124" s="1"/>
  <c r="BM365" i="124"/>
  <c r="BN365" i="124" s="1"/>
  <c r="AS365" i="124"/>
  <c r="AT365" i="124" s="1"/>
  <c r="BM507" i="124"/>
  <c r="BN507" i="124" s="1"/>
  <c r="AI507" i="124"/>
  <c r="AJ507" i="124" s="1"/>
  <c r="BC507" i="124"/>
  <c r="BD507" i="124" s="1"/>
  <c r="CG507" i="124"/>
  <c r="CH507" i="124" s="1"/>
  <c r="BW507" i="124"/>
  <c r="BX507" i="124" s="1"/>
  <c r="CB507" i="124"/>
  <c r="CC507" i="124" s="1"/>
  <c r="CL507" i="124"/>
  <c r="CM507" i="124" s="1"/>
  <c r="BH507" i="124"/>
  <c r="BI507" i="124" s="1"/>
  <c r="AS507" i="124"/>
  <c r="AT507" i="124" s="1"/>
  <c r="AX507" i="124"/>
  <c r="AY507" i="124" s="1"/>
  <c r="BR507" i="124"/>
  <c r="BS507" i="124" s="1"/>
  <c r="AN507" i="124"/>
  <c r="AO507" i="124" s="1"/>
  <c r="BM426" i="124"/>
  <c r="BN426" i="124" s="1"/>
  <c r="AN426" i="124"/>
  <c r="AO426" i="124" s="1"/>
  <c r="BW426" i="124"/>
  <c r="BX426" i="124" s="1"/>
  <c r="BR426" i="124"/>
  <c r="BS426" i="124" s="1"/>
  <c r="AX426" i="124"/>
  <c r="AY426" i="124" s="1"/>
  <c r="CB426" i="124"/>
  <c r="CC426" i="124" s="1"/>
  <c r="AI426" i="124"/>
  <c r="AJ426" i="124" s="1"/>
  <c r="CG426" i="124"/>
  <c r="CH426" i="124" s="1"/>
  <c r="CL426" i="124"/>
  <c r="CM426" i="124" s="1"/>
  <c r="BC426" i="124"/>
  <c r="BD426" i="124" s="1"/>
  <c r="AS426" i="124"/>
  <c r="AT426" i="124" s="1"/>
  <c r="BH426" i="124"/>
  <c r="BI426" i="124" s="1"/>
  <c r="AX27" i="124"/>
  <c r="AY27" i="124" s="1"/>
  <c r="AI27" i="124"/>
  <c r="AJ27" i="124" s="1"/>
  <c r="AS27" i="124"/>
  <c r="AT27" i="124" s="1"/>
  <c r="AN27" i="124"/>
  <c r="AO27" i="124" s="1"/>
  <c r="CB27" i="124"/>
  <c r="CC27" i="124" s="1"/>
  <c r="BW27" i="124"/>
  <c r="BX27" i="124" s="1"/>
  <c r="CG27" i="124"/>
  <c r="CH27" i="124" s="1"/>
  <c r="BC27" i="124"/>
  <c r="BD27" i="124" s="1"/>
  <c r="BR27" i="124"/>
  <c r="BS27" i="124" s="1"/>
  <c r="BM27" i="124"/>
  <c r="BN27" i="124" s="1"/>
  <c r="CL27" i="124"/>
  <c r="CM27" i="124" s="1"/>
  <c r="BH27" i="124"/>
  <c r="BI27" i="124" s="1"/>
  <c r="AS392" i="124"/>
  <c r="AT392" i="124" s="1"/>
  <c r="CG392" i="124"/>
  <c r="CH392" i="124" s="1"/>
  <c r="BR392" i="124"/>
  <c r="BS392" i="124" s="1"/>
  <c r="BW392" i="124"/>
  <c r="BX392" i="124" s="1"/>
  <c r="AI392" i="124"/>
  <c r="AJ392" i="124" s="1"/>
  <c r="CL392" i="124"/>
  <c r="CM392" i="124" s="1"/>
  <c r="AN392" i="124"/>
  <c r="BM392" i="124"/>
  <c r="BN392" i="124" s="1"/>
  <c r="BC392" i="124"/>
  <c r="BD392" i="124" s="1"/>
  <c r="CB392" i="124"/>
  <c r="CC392" i="124" s="1"/>
  <c r="AX392" i="124"/>
  <c r="AY392" i="124" s="1"/>
  <c r="BH392" i="124"/>
  <c r="BI392" i="124" s="1"/>
  <c r="BW470" i="124"/>
  <c r="BX470" i="124" s="1"/>
  <c r="BM470" i="124"/>
  <c r="BN470" i="124" s="1"/>
  <c r="AN470" i="124"/>
  <c r="AO470" i="124" s="1"/>
  <c r="BR470" i="124"/>
  <c r="BS470" i="124" s="1"/>
  <c r="AX470" i="124"/>
  <c r="AY470" i="124" s="1"/>
  <c r="CB470" i="124"/>
  <c r="CC470" i="124" s="1"/>
  <c r="BH470" i="124"/>
  <c r="BI470" i="124" s="1"/>
  <c r="AI470" i="124"/>
  <c r="AJ470" i="124" s="1"/>
  <c r="BC470" i="124"/>
  <c r="BD470" i="124" s="1"/>
  <c r="CG470" i="124"/>
  <c r="CH470" i="124" s="1"/>
  <c r="AS470" i="124"/>
  <c r="AT470" i="124" s="1"/>
  <c r="CL470" i="124"/>
  <c r="CM470" i="124" s="1"/>
  <c r="AX391" i="124"/>
  <c r="AY391" i="124" s="1"/>
  <c r="BR391" i="124"/>
  <c r="BS391" i="124" s="1"/>
  <c r="CG391" i="124"/>
  <c r="CH391" i="124" s="1"/>
  <c r="AI391" i="124"/>
  <c r="AJ391" i="124" s="1"/>
  <c r="AN391" i="124"/>
  <c r="AO391" i="124" s="1"/>
  <c r="BC391" i="124"/>
  <c r="BD391" i="124" s="1"/>
  <c r="AS391" i="124"/>
  <c r="AT391" i="124" s="1"/>
  <c r="BH391" i="124"/>
  <c r="BI391" i="124" s="1"/>
  <c r="CB391" i="124"/>
  <c r="CC391" i="124" s="1"/>
  <c r="CL391" i="124"/>
  <c r="CM391" i="124" s="1"/>
  <c r="BM391" i="124"/>
  <c r="BN391" i="124" s="1"/>
  <c r="BW391" i="124"/>
  <c r="BX391" i="124" s="1"/>
  <c r="CG514" i="124"/>
  <c r="CH514" i="124" s="1"/>
  <c r="AN514" i="124"/>
  <c r="AO514" i="124" s="1"/>
  <c r="AX514" i="124"/>
  <c r="AY514" i="124" s="1"/>
  <c r="AI514" i="124"/>
  <c r="AJ514" i="124" s="1"/>
  <c r="CB514" i="124"/>
  <c r="CC514" i="124" s="1"/>
  <c r="BR514" i="124"/>
  <c r="BS514" i="124" s="1"/>
  <c r="CL514" i="124"/>
  <c r="CM514" i="124" s="1"/>
  <c r="BM514" i="124"/>
  <c r="BN514" i="124" s="1"/>
  <c r="AS514" i="124"/>
  <c r="AT514" i="124" s="1"/>
  <c r="BH514" i="124"/>
  <c r="BI514" i="124" s="1"/>
  <c r="BC514" i="124"/>
  <c r="BD514" i="124" s="1"/>
  <c r="BW514" i="124"/>
  <c r="BX514" i="124" s="1"/>
  <c r="BH405" i="124"/>
  <c r="BI405" i="124" s="1"/>
  <c r="BM405" i="124"/>
  <c r="BN405" i="124" s="1"/>
  <c r="CG405" i="124"/>
  <c r="CH405" i="124" s="1"/>
  <c r="AX405" i="124"/>
  <c r="AY405" i="124" s="1"/>
  <c r="BC405" i="124"/>
  <c r="BD405" i="124" s="1"/>
  <c r="CB405" i="124"/>
  <c r="CC405" i="124" s="1"/>
  <c r="AN405" i="124"/>
  <c r="AO405" i="124" s="1"/>
  <c r="AI405" i="124"/>
  <c r="AJ405" i="124" s="1"/>
  <c r="AS405" i="124"/>
  <c r="AT405" i="124" s="1"/>
  <c r="BW405" i="124"/>
  <c r="BX405" i="124" s="1"/>
  <c r="CL405" i="124"/>
  <c r="CM405" i="124" s="1"/>
  <c r="BR405" i="124"/>
  <c r="BS405" i="124" s="1"/>
  <c r="CL454" i="124"/>
  <c r="CM454" i="124" s="1"/>
  <c r="BM454" i="124"/>
  <c r="BN454" i="124" s="1"/>
  <c r="BR454" i="124"/>
  <c r="BS454" i="124" s="1"/>
  <c r="AS454" i="124"/>
  <c r="AT454" i="124" s="1"/>
  <c r="AN454" i="124"/>
  <c r="AO454" i="124" s="1"/>
  <c r="CG454" i="124"/>
  <c r="CH454" i="124" s="1"/>
  <c r="BW454" i="124"/>
  <c r="BX454" i="124" s="1"/>
  <c r="AX454" i="124"/>
  <c r="AY454" i="124" s="1"/>
  <c r="CB454" i="124"/>
  <c r="CC454" i="124" s="1"/>
  <c r="BH454" i="124"/>
  <c r="BI454" i="124" s="1"/>
  <c r="BC454" i="124"/>
  <c r="BD454" i="124" s="1"/>
  <c r="AI454" i="124"/>
  <c r="AJ454" i="124" s="1"/>
  <c r="BM415" i="124"/>
  <c r="BN415" i="124" s="1"/>
  <c r="BW415" i="124"/>
  <c r="BX415" i="124" s="1"/>
  <c r="CL415" i="124"/>
  <c r="CM415" i="124" s="1"/>
  <c r="BR415" i="124"/>
  <c r="BS415" i="124" s="1"/>
  <c r="AN415" i="124"/>
  <c r="AO415" i="124" s="1"/>
  <c r="BC415" i="124"/>
  <c r="BD415" i="124" s="1"/>
  <c r="BH415" i="124"/>
  <c r="BI415" i="124" s="1"/>
  <c r="CB415" i="124"/>
  <c r="CC415" i="124" s="1"/>
  <c r="CG415" i="124"/>
  <c r="CH415" i="124" s="1"/>
  <c r="AS415" i="124"/>
  <c r="AT415" i="124" s="1"/>
  <c r="AI415" i="124"/>
  <c r="AJ415" i="124" s="1"/>
  <c r="AX415" i="124"/>
  <c r="AY415" i="124" s="1"/>
  <c r="BW548" i="124"/>
  <c r="BX548" i="124" s="1"/>
  <c r="BC548" i="124"/>
  <c r="BD548" i="124" s="1"/>
  <c r="BR548" i="124"/>
  <c r="BS548" i="124" s="1"/>
  <c r="BH548" i="124"/>
  <c r="BI548" i="124" s="1"/>
  <c r="CL548" i="124"/>
  <c r="CM548" i="124" s="1"/>
  <c r="CB548" i="124"/>
  <c r="CC548" i="124" s="1"/>
  <c r="BM548" i="124"/>
  <c r="BN548" i="124" s="1"/>
  <c r="AX548" i="124"/>
  <c r="AY548" i="124" s="1"/>
  <c r="AS548" i="124"/>
  <c r="AT548" i="124" s="1"/>
  <c r="CG548" i="124"/>
  <c r="CH548" i="124" s="1"/>
  <c r="AI548" i="124"/>
  <c r="AJ548" i="124" s="1"/>
  <c r="AN548" i="124"/>
  <c r="BW583" i="124"/>
  <c r="BX583" i="124" s="1"/>
  <c r="AX583" i="124"/>
  <c r="AY583" i="124" s="1"/>
  <c r="CG583" i="124"/>
  <c r="CH583" i="124" s="1"/>
  <c r="CB583" i="124"/>
  <c r="CC583" i="124" s="1"/>
  <c r="AN583" i="124"/>
  <c r="BH583" i="124"/>
  <c r="BI583" i="124" s="1"/>
  <c r="CL583" i="124"/>
  <c r="CM583" i="124" s="1"/>
  <c r="BC583" i="124"/>
  <c r="BD583" i="124" s="1"/>
  <c r="AS583" i="124"/>
  <c r="AT583" i="124" s="1"/>
  <c r="BR583" i="124"/>
  <c r="BS583" i="124" s="1"/>
  <c r="AI583" i="124"/>
  <c r="AJ583" i="124" s="1"/>
  <c r="BM583" i="124"/>
  <c r="BN583" i="124" s="1"/>
  <c r="BC573" i="124"/>
  <c r="BD573" i="124" s="1"/>
  <c r="AN573" i="124"/>
  <c r="AO573" i="124" s="1"/>
  <c r="CB573" i="124"/>
  <c r="CC573" i="124" s="1"/>
  <c r="BR573" i="124"/>
  <c r="BS573" i="124" s="1"/>
  <c r="BW573" i="124"/>
  <c r="BX573" i="124" s="1"/>
  <c r="AI573" i="124"/>
  <c r="AJ573" i="124" s="1"/>
  <c r="CL573" i="124"/>
  <c r="CM573" i="124" s="1"/>
  <c r="CG573" i="124"/>
  <c r="CH573" i="124" s="1"/>
  <c r="AS573" i="124"/>
  <c r="AT573" i="124" s="1"/>
  <c r="BM573" i="124"/>
  <c r="BN573" i="124" s="1"/>
  <c r="BH573" i="124"/>
  <c r="BI573" i="124" s="1"/>
  <c r="AX573" i="124"/>
  <c r="AY573" i="124" s="1"/>
  <c r="AN418" i="124"/>
  <c r="AO418" i="124" s="1"/>
  <c r="AX418" i="124"/>
  <c r="AY418" i="124" s="1"/>
  <c r="CB418" i="124"/>
  <c r="CC418" i="124" s="1"/>
  <c r="BM418" i="124"/>
  <c r="BN418" i="124" s="1"/>
  <c r="BH418" i="124"/>
  <c r="BI418" i="124" s="1"/>
  <c r="CG418" i="124"/>
  <c r="CH418" i="124" s="1"/>
  <c r="BW418" i="124"/>
  <c r="BX418" i="124" s="1"/>
  <c r="CL418" i="124"/>
  <c r="CM418" i="124" s="1"/>
  <c r="AS418" i="124"/>
  <c r="AT418" i="124" s="1"/>
  <c r="BC418" i="124"/>
  <c r="BD418" i="124" s="1"/>
  <c r="BR418" i="124"/>
  <c r="BS418" i="124" s="1"/>
  <c r="AI418" i="124"/>
  <c r="AJ418" i="124" s="1"/>
  <c r="BM406" i="124"/>
  <c r="BN406" i="124" s="1"/>
  <c r="AX406" i="124"/>
  <c r="AY406" i="124" s="1"/>
  <c r="AI406" i="124"/>
  <c r="AJ406" i="124" s="1"/>
  <c r="BR406" i="124"/>
  <c r="BS406" i="124" s="1"/>
  <c r="CL406" i="124"/>
  <c r="CM406" i="124" s="1"/>
  <c r="BW406" i="124"/>
  <c r="BX406" i="124" s="1"/>
  <c r="BC406" i="124"/>
  <c r="BD406" i="124" s="1"/>
  <c r="CG406" i="124"/>
  <c r="CH406" i="124" s="1"/>
  <c r="AS406" i="124"/>
  <c r="AT406" i="124" s="1"/>
  <c r="CB406" i="124"/>
  <c r="CC406" i="124" s="1"/>
  <c r="BH406" i="124"/>
  <c r="BI406" i="124" s="1"/>
  <c r="AN406" i="124"/>
  <c r="BC575" i="124"/>
  <c r="BD575" i="124" s="1"/>
  <c r="CB575" i="124"/>
  <c r="CC575" i="124" s="1"/>
  <c r="AS575" i="124"/>
  <c r="AT575" i="124" s="1"/>
  <c r="AN575" i="124"/>
  <c r="AX575" i="124"/>
  <c r="AY575" i="124" s="1"/>
  <c r="AI575" i="124"/>
  <c r="AJ575" i="124" s="1"/>
  <c r="BM575" i="124"/>
  <c r="BN575" i="124" s="1"/>
  <c r="BR575" i="124"/>
  <c r="BS575" i="124" s="1"/>
  <c r="BH575" i="124"/>
  <c r="BI575" i="124" s="1"/>
  <c r="CL575" i="124"/>
  <c r="CM575" i="124" s="1"/>
  <c r="BW575" i="124"/>
  <c r="BX575" i="124" s="1"/>
  <c r="CG575" i="124"/>
  <c r="CH575" i="124" s="1"/>
  <c r="CB486" i="124"/>
  <c r="CC486" i="124" s="1"/>
  <c r="CG486" i="124"/>
  <c r="CH486" i="124" s="1"/>
  <c r="AI486" i="124"/>
  <c r="AJ486" i="124" s="1"/>
  <c r="AX486" i="124"/>
  <c r="AY486" i="124" s="1"/>
  <c r="CL486" i="124"/>
  <c r="CM486" i="124" s="1"/>
  <c r="BC486" i="124"/>
  <c r="BD486" i="124" s="1"/>
  <c r="AS486" i="124"/>
  <c r="AT486" i="124" s="1"/>
  <c r="BW486" i="124"/>
  <c r="BX486" i="124" s="1"/>
  <c r="AN486" i="124"/>
  <c r="AO486" i="124" s="1"/>
  <c r="BM486" i="124"/>
  <c r="BN486" i="124" s="1"/>
  <c r="BH486" i="124"/>
  <c r="BI486" i="124" s="1"/>
  <c r="BR486" i="124"/>
  <c r="BS486" i="124" s="1"/>
  <c r="CB527" i="124"/>
  <c r="CC527" i="124" s="1"/>
  <c r="BW527" i="124"/>
  <c r="BX527" i="124" s="1"/>
  <c r="AS527" i="124"/>
  <c r="AT527" i="124" s="1"/>
  <c r="AX527" i="124"/>
  <c r="AY527" i="124" s="1"/>
  <c r="BC527" i="124"/>
  <c r="BD527" i="124" s="1"/>
  <c r="BR527" i="124"/>
  <c r="BS527" i="124" s="1"/>
  <c r="BH527" i="124"/>
  <c r="BI527" i="124" s="1"/>
  <c r="CL527" i="124"/>
  <c r="CM527" i="124" s="1"/>
  <c r="BM527" i="124"/>
  <c r="BN527" i="124" s="1"/>
  <c r="CG527" i="124"/>
  <c r="CH527" i="124" s="1"/>
  <c r="AI527" i="124"/>
  <c r="AJ527" i="124" s="1"/>
  <c r="AN527" i="124"/>
  <c r="BW497" i="124"/>
  <c r="BX497" i="124" s="1"/>
  <c r="CG497" i="124"/>
  <c r="CH497" i="124" s="1"/>
  <c r="BH497" i="124"/>
  <c r="BI497" i="124" s="1"/>
  <c r="AS497" i="124"/>
  <c r="AT497" i="124" s="1"/>
  <c r="AI497" i="124"/>
  <c r="AJ497" i="124" s="1"/>
  <c r="BR497" i="124"/>
  <c r="BS497" i="124" s="1"/>
  <c r="BM497" i="124"/>
  <c r="BN497" i="124" s="1"/>
  <c r="AN497" i="124"/>
  <c r="AO497" i="124" s="1"/>
  <c r="AX497" i="124"/>
  <c r="AY497" i="124" s="1"/>
  <c r="CB497" i="124"/>
  <c r="CC497" i="124" s="1"/>
  <c r="CL497" i="124"/>
  <c r="CM497" i="124" s="1"/>
  <c r="BC497" i="124"/>
  <c r="BD497" i="124" s="1"/>
  <c r="BR513" i="124"/>
  <c r="BS513" i="124" s="1"/>
  <c r="AI513" i="124"/>
  <c r="AJ513" i="124" s="1"/>
  <c r="AX513" i="124"/>
  <c r="AY513" i="124" s="1"/>
  <c r="BW513" i="124"/>
  <c r="BX513" i="124" s="1"/>
  <c r="BH513" i="124"/>
  <c r="BI513" i="124" s="1"/>
  <c r="BM513" i="124"/>
  <c r="BN513" i="124" s="1"/>
  <c r="CL513" i="124"/>
  <c r="CM513" i="124" s="1"/>
  <c r="BC513" i="124"/>
  <c r="BD513" i="124" s="1"/>
  <c r="CG513" i="124"/>
  <c r="CH513" i="124" s="1"/>
  <c r="AS513" i="124"/>
  <c r="AT513" i="124" s="1"/>
  <c r="AN513" i="124"/>
  <c r="CB513" i="124"/>
  <c r="CC513" i="124" s="1"/>
  <c r="CL350" i="124"/>
  <c r="CM350" i="124" s="1"/>
  <c r="AS350" i="124"/>
  <c r="AT350" i="124" s="1"/>
  <c r="AX350" i="124"/>
  <c r="AY350" i="124" s="1"/>
  <c r="CG350" i="124"/>
  <c r="CH350" i="124" s="1"/>
  <c r="AN350" i="124"/>
  <c r="CB350" i="124"/>
  <c r="CC350" i="124" s="1"/>
  <c r="AI350" i="124"/>
  <c r="AJ350" i="124" s="1"/>
  <c r="BM350" i="124"/>
  <c r="BN350" i="124" s="1"/>
  <c r="BR350" i="124"/>
  <c r="BS350" i="124" s="1"/>
  <c r="BC350" i="124"/>
  <c r="BD350" i="124" s="1"/>
  <c r="BH350" i="124"/>
  <c r="BI350" i="124" s="1"/>
  <c r="BW350" i="124"/>
  <c r="BX350" i="124" s="1"/>
  <c r="AX462" i="124"/>
  <c r="AY462" i="124" s="1"/>
  <c r="AI462" i="124"/>
  <c r="AJ462" i="124" s="1"/>
  <c r="CL462" i="124"/>
  <c r="CM462" i="124" s="1"/>
  <c r="BM462" i="124"/>
  <c r="BN462" i="124" s="1"/>
  <c r="BR462" i="124"/>
  <c r="BS462" i="124" s="1"/>
  <c r="CG462" i="124"/>
  <c r="CH462" i="124" s="1"/>
  <c r="CB462" i="124"/>
  <c r="CC462" i="124" s="1"/>
  <c r="BH462" i="124"/>
  <c r="BI462" i="124" s="1"/>
  <c r="AN462" i="124"/>
  <c r="AO462" i="124" s="1"/>
  <c r="BW462" i="124"/>
  <c r="BX462" i="124" s="1"/>
  <c r="BC462" i="124"/>
  <c r="BD462" i="124" s="1"/>
  <c r="AS462" i="124"/>
  <c r="AT462" i="124" s="1"/>
  <c r="BM369" i="124"/>
  <c r="BN369" i="124" s="1"/>
  <c r="AS369" i="124"/>
  <c r="AT369" i="124" s="1"/>
  <c r="BH369" i="124"/>
  <c r="BI369" i="124" s="1"/>
  <c r="CG369" i="124"/>
  <c r="CH369" i="124" s="1"/>
  <c r="AN369" i="124"/>
  <c r="CB369" i="124"/>
  <c r="CC369" i="124" s="1"/>
  <c r="AX369" i="124"/>
  <c r="AY369" i="124" s="1"/>
  <c r="BR369" i="124"/>
  <c r="BS369" i="124" s="1"/>
  <c r="AI369" i="124"/>
  <c r="AJ369" i="124" s="1"/>
  <c r="CL369" i="124"/>
  <c r="CM369" i="124" s="1"/>
  <c r="BC369" i="124"/>
  <c r="BD369" i="124" s="1"/>
  <c r="BW369" i="124"/>
  <c r="BX369" i="124" s="1"/>
  <c r="BC414" i="124"/>
  <c r="BD414" i="124" s="1"/>
  <c r="BW414" i="124"/>
  <c r="BX414" i="124" s="1"/>
  <c r="AX414" i="124"/>
  <c r="AY414" i="124" s="1"/>
  <c r="BM414" i="124"/>
  <c r="BN414" i="124" s="1"/>
  <c r="BR414" i="124"/>
  <c r="BS414" i="124" s="1"/>
  <c r="CL414" i="124"/>
  <c r="CM414" i="124" s="1"/>
  <c r="AI414" i="124"/>
  <c r="AJ414" i="124" s="1"/>
  <c r="AS414" i="124"/>
  <c r="AT414" i="124" s="1"/>
  <c r="CG414" i="124"/>
  <c r="CH414" i="124" s="1"/>
  <c r="CB414" i="124"/>
  <c r="CC414" i="124" s="1"/>
  <c r="AN414" i="124"/>
  <c r="BH414" i="124"/>
  <c r="BI414" i="124" s="1"/>
  <c r="BH474" i="124"/>
  <c r="BI474" i="124" s="1"/>
  <c r="AS474" i="124"/>
  <c r="AT474" i="124" s="1"/>
  <c r="AI474" i="124"/>
  <c r="AJ474" i="124" s="1"/>
  <c r="CL474" i="124"/>
  <c r="CM474" i="124" s="1"/>
  <c r="CB474" i="124"/>
  <c r="CC474" i="124" s="1"/>
  <c r="AX474" i="124"/>
  <c r="AY474" i="124" s="1"/>
  <c r="BW474" i="124"/>
  <c r="BX474" i="124" s="1"/>
  <c r="BC474" i="124"/>
  <c r="BD474" i="124" s="1"/>
  <c r="BR474" i="124"/>
  <c r="BS474" i="124" s="1"/>
  <c r="AN474" i="124"/>
  <c r="BM474" i="124"/>
  <c r="BN474" i="124" s="1"/>
  <c r="CG474" i="124"/>
  <c r="CH474" i="124" s="1"/>
  <c r="CL496" i="124"/>
  <c r="CM496" i="124" s="1"/>
  <c r="BH496" i="124"/>
  <c r="BI496" i="124" s="1"/>
  <c r="CB496" i="124"/>
  <c r="CC496" i="124" s="1"/>
  <c r="BW496" i="124"/>
  <c r="BX496" i="124" s="1"/>
  <c r="BM496" i="124"/>
  <c r="BN496" i="124" s="1"/>
  <c r="BC496" i="124"/>
  <c r="BD496" i="124" s="1"/>
  <c r="AN496" i="124"/>
  <c r="AO496" i="124" s="1"/>
  <c r="BR496" i="124"/>
  <c r="BS496" i="124" s="1"/>
  <c r="AI496" i="124"/>
  <c r="AJ496" i="124" s="1"/>
  <c r="CG496" i="124"/>
  <c r="CH496" i="124" s="1"/>
  <c r="AX496" i="124"/>
  <c r="AY496" i="124" s="1"/>
  <c r="AS496" i="124"/>
  <c r="AT496" i="124" s="1"/>
  <c r="BW523" i="124"/>
  <c r="BX523" i="124" s="1"/>
  <c r="AN523" i="124"/>
  <c r="AO523" i="124" s="1"/>
  <c r="CB523" i="124"/>
  <c r="CC523" i="124" s="1"/>
  <c r="BM523" i="124"/>
  <c r="BN523" i="124" s="1"/>
  <c r="BR523" i="124"/>
  <c r="BS523" i="124" s="1"/>
  <c r="BC523" i="124"/>
  <c r="BD523" i="124" s="1"/>
  <c r="BH523" i="124"/>
  <c r="BI523" i="124" s="1"/>
  <c r="AX523" i="124"/>
  <c r="AY523" i="124" s="1"/>
  <c r="AI523" i="124"/>
  <c r="AJ523" i="124" s="1"/>
  <c r="AS523" i="124"/>
  <c r="AT523" i="124" s="1"/>
  <c r="CG523" i="124"/>
  <c r="CH523" i="124" s="1"/>
  <c r="CL523" i="124"/>
  <c r="CM523" i="124" s="1"/>
  <c r="AX558" i="124"/>
  <c r="AY558" i="124" s="1"/>
  <c r="BM558" i="124"/>
  <c r="BN558" i="124" s="1"/>
  <c r="AS558" i="124"/>
  <c r="AT558" i="124" s="1"/>
  <c r="CL558" i="124"/>
  <c r="CM558" i="124" s="1"/>
  <c r="BH558" i="124"/>
  <c r="BI558" i="124" s="1"/>
  <c r="BW558" i="124"/>
  <c r="BX558" i="124" s="1"/>
  <c r="CG558" i="124"/>
  <c r="CH558" i="124" s="1"/>
  <c r="CB558" i="124"/>
  <c r="CC558" i="124" s="1"/>
  <c r="BC558" i="124"/>
  <c r="BD558" i="124" s="1"/>
  <c r="AI558" i="124"/>
  <c r="AJ558" i="124" s="1"/>
  <c r="AN558" i="124"/>
  <c r="BR558" i="124"/>
  <c r="BS558" i="124" s="1"/>
  <c r="BR451" i="124"/>
  <c r="BS451" i="124" s="1"/>
  <c r="BH451" i="124"/>
  <c r="BI451" i="124" s="1"/>
  <c r="AS451" i="124"/>
  <c r="AT451" i="124" s="1"/>
  <c r="CG451" i="124"/>
  <c r="CH451" i="124" s="1"/>
  <c r="BM451" i="124"/>
  <c r="BN451" i="124" s="1"/>
  <c r="AN451" i="124"/>
  <c r="CL451" i="124"/>
  <c r="CM451" i="124" s="1"/>
  <c r="BW451" i="124"/>
  <c r="BX451" i="124" s="1"/>
  <c r="CB451" i="124"/>
  <c r="CC451" i="124" s="1"/>
  <c r="AX451" i="124"/>
  <c r="AY451" i="124" s="1"/>
  <c r="AI451" i="124"/>
  <c r="AJ451" i="124" s="1"/>
  <c r="BC451" i="124"/>
  <c r="BD451" i="124" s="1"/>
  <c r="CL404" i="124"/>
  <c r="CM404" i="124" s="1"/>
  <c r="AX404" i="124"/>
  <c r="AY404" i="124" s="1"/>
  <c r="CB404" i="124"/>
  <c r="CC404" i="124" s="1"/>
  <c r="CG404" i="124"/>
  <c r="CH404" i="124" s="1"/>
  <c r="BR404" i="124"/>
  <c r="BS404" i="124" s="1"/>
  <c r="AI404" i="124"/>
  <c r="AJ404" i="124" s="1"/>
  <c r="BW404" i="124"/>
  <c r="BX404" i="124" s="1"/>
  <c r="AS404" i="124"/>
  <c r="AT404" i="124" s="1"/>
  <c r="BC404" i="124"/>
  <c r="BD404" i="124" s="1"/>
  <c r="BM404" i="124"/>
  <c r="BN404" i="124" s="1"/>
  <c r="AN404" i="124"/>
  <c r="BH404" i="124"/>
  <c r="BI404" i="124" s="1"/>
  <c r="BR455" i="124"/>
  <c r="BS455" i="124" s="1"/>
  <c r="AS455" i="124"/>
  <c r="AT455" i="124" s="1"/>
  <c r="BH455" i="124"/>
  <c r="BI455" i="124" s="1"/>
  <c r="BC455" i="124"/>
  <c r="BD455" i="124" s="1"/>
  <c r="AN455" i="124"/>
  <c r="AO455" i="124" s="1"/>
  <c r="AI455" i="124"/>
  <c r="AJ455" i="124" s="1"/>
  <c r="CG455" i="124"/>
  <c r="CH455" i="124" s="1"/>
  <c r="BM455" i="124"/>
  <c r="BN455" i="124" s="1"/>
  <c r="CL455" i="124"/>
  <c r="CM455" i="124" s="1"/>
  <c r="AX455" i="124"/>
  <c r="AY455" i="124" s="1"/>
  <c r="CB455" i="124"/>
  <c r="CC455" i="124" s="1"/>
  <c r="BW455" i="124"/>
  <c r="BX455" i="124" s="1"/>
  <c r="CL363" i="124"/>
  <c r="CM363" i="124" s="1"/>
  <c r="BM363" i="124"/>
  <c r="BN363" i="124" s="1"/>
  <c r="BW363" i="124"/>
  <c r="BX363" i="124" s="1"/>
  <c r="CG363" i="124"/>
  <c r="CH363" i="124" s="1"/>
  <c r="BC363" i="124"/>
  <c r="BD363" i="124" s="1"/>
  <c r="BR363" i="124"/>
  <c r="BS363" i="124" s="1"/>
  <c r="AS363" i="124"/>
  <c r="AT363" i="124" s="1"/>
  <c r="AX363" i="124"/>
  <c r="AY363" i="124" s="1"/>
  <c r="AI363" i="124"/>
  <c r="AJ363" i="124" s="1"/>
  <c r="CB363" i="124"/>
  <c r="CC363" i="124" s="1"/>
  <c r="AN363" i="124"/>
  <c r="AO363" i="124" s="1"/>
  <c r="BH363" i="124"/>
  <c r="BI363" i="124" s="1"/>
  <c r="AS446" i="124"/>
  <c r="AT446" i="124" s="1"/>
  <c r="CB446" i="124"/>
  <c r="CC446" i="124" s="1"/>
  <c r="BW446" i="124"/>
  <c r="BX446" i="124" s="1"/>
  <c r="CG446" i="124"/>
  <c r="CH446" i="124" s="1"/>
  <c r="BR446" i="124"/>
  <c r="BS446" i="124" s="1"/>
  <c r="BC446" i="124"/>
  <c r="BD446" i="124" s="1"/>
  <c r="BM446" i="124"/>
  <c r="BN446" i="124" s="1"/>
  <c r="AN446" i="124"/>
  <c r="AO446" i="124" s="1"/>
  <c r="BH446" i="124"/>
  <c r="BI446" i="124" s="1"/>
  <c r="AX446" i="124"/>
  <c r="AY446" i="124" s="1"/>
  <c r="CL446" i="124"/>
  <c r="CM446" i="124" s="1"/>
  <c r="AI446" i="124"/>
  <c r="AJ446" i="124" s="1"/>
  <c r="BR467" i="124"/>
  <c r="BS467" i="124" s="1"/>
  <c r="CG467" i="124"/>
  <c r="CH467" i="124" s="1"/>
  <c r="AX467" i="124"/>
  <c r="AY467" i="124" s="1"/>
  <c r="BC467" i="124"/>
  <c r="BD467" i="124" s="1"/>
  <c r="AS467" i="124"/>
  <c r="AT467" i="124" s="1"/>
  <c r="AN467" i="124"/>
  <c r="AO467" i="124" s="1"/>
  <c r="AI467" i="124"/>
  <c r="AJ467" i="124" s="1"/>
  <c r="BM467" i="124"/>
  <c r="BN467" i="124" s="1"/>
  <c r="CB467" i="124"/>
  <c r="CC467" i="124" s="1"/>
  <c r="BH467" i="124"/>
  <c r="BI467" i="124" s="1"/>
  <c r="BW467" i="124"/>
  <c r="BX467" i="124" s="1"/>
  <c r="CL467" i="124"/>
  <c r="CM467" i="124" s="1"/>
  <c r="AI384" i="124"/>
  <c r="AJ384" i="124" s="1"/>
  <c r="AS384" i="124"/>
  <c r="AT384" i="124" s="1"/>
  <c r="BR384" i="124"/>
  <c r="BS384" i="124" s="1"/>
  <c r="BH384" i="124"/>
  <c r="BI384" i="124" s="1"/>
  <c r="BC384" i="124"/>
  <c r="BD384" i="124" s="1"/>
  <c r="CB384" i="124"/>
  <c r="CC384" i="124" s="1"/>
  <c r="BM384" i="124"/>
  <c r="BN384" i="124" s="1"/>
  <c r="BW384" i="124"/>
  <c r="BX384" i="124" s="1"/>
  <c r="AX384" i="124"/>
  <c r="AY384" i="124" s="1"/>
  <c r="CG384" i="124"/>
  <c r="CH384" i="124" s="1"/>
  <c r="AN384" i="124"/>
  <c r="CL384" i="124"/>
  <c r="CM384" i="124" s="1"/>
  <c r="BW353" i="124"/>
  <c r="BX353" i="124" s="1"/>
  <c r="BM353" i="124"/>
  <c r="BN353" i="124" s="1"/>
  <c r="AS353" i="124"/>
  <c r="AT353" i="124" s="1"/>
  <c r="AN353" i="124"/>
  <c r="AO353" i="124" s="1"/>
  <c r="CL353" i="124"/>
  <c r="CM353" i="124" s="1"/>
  <c r="CB353" i="124"/>
  <c r="CC353" i="124" s="1"/>
  <c r="AI353" i="124"/>
  <c r="AJ353" i="124" s="1"/>
  <c r="AX353" i="124"/>
  <c r="AY353" i="124" s="1"/>
  <c r="CG353" i="124"/>
  <c r="CH353" i="124" s="1"/>
  <c r="BC353" i="124"/>
  <c r="BD353" i="124" s="1"/>
  <c r="BH353" i="124"/>
  <c r="BI353" i="124" s="1"/>
  <c r="BR353" i="124"/>
  <c r="BS353" i="124" s="1"/>
  <c r="CL448" i="124"/>
  <c r="CM448" i="124" s="1"/>
  <c r="CB448" i="124"/>
  <c r="CC448" i="124" s="1"/>
  <c r="AN448" i="124"/>
  <c r="AO448" i="124" s="1"/>
  <c r="BW448" i="124"/>
  <c r="BX448" i="124" s="1"/>
  <c r="CG448" i="124"/>
  <c r="CH448" i="124" s="1"/>
  <c r="AX448" i="124"/>
  <c r="AY448" i="124" s="1"/>
  <c r="BC448" i="124"/>
  <c r="BD448" i="124" s="1"/>
  <c r="BR448" i="124"/>
  <c r="BS448" i="124" s="1"/>
  <c r="AS448" i="124"/>
  <c r="AT448" i="124" s="1"/>
  <c r="BM448" i="124"/>
  <c r="BN448" i="124" s="1"/>
  <c r="AI448" i="124"/>
  <c r="AJ448" i="124" s="1"/>
  <c r="BH448" i="124"/>
  <c r="BI448" i="124" s="1"/>
  <c r="BC436" i="124"/>
  <c r="BD436" i="124" s="1"/>
  <c r="CB436" i="124"/>
  <c r="CC436" i="124" s="1"/>
  <c r="AS436" i="124"/>
  <c r="AT436" i="124" s="1"/>
  <c r="BM436" i="124"/>
  <c r="BN436" i="124" s="1"/>
  <c r="BH436" i="124"/>
  <c r="BI436" i="124" s="1"/>
  <c r="AX436" i="124"/>
  <c r="AY436" i="124" s="1"/>
  <c r="AI436" i="124"/>
  <c r="AJ436" i="124" s="1"/>
  <c r="BR436" i="124"/>
  <c r="BS436" i="124" s="1"/>
  <c r="CL436" i="124"/>
  <c r="CM436" i="124" s="1"/>
  <c r="AN436" i="124"/>
  <c r="AO436" i="124" s="1"/>
  <c r="CG436" i="124"/>
  <c r="CH436" i="124" s="1"/>
  <c r="BW436" i="124"/>
  <c r="BX436" i="124" s="1"/>
  <c r="AN588" i="124"/>
  <c r="BH588" i="124"/>
  <c r="BI588" i="124" s="1"/>
  <c r="BC588" i="124"/>
  <c r="BD588" i="124" s="1"/>
  <c r="BW588" i="124"/>
  <c r="BX588" i="124" s="1"/>
  <c r="CB588" i="124"/>
  <c r="CC588" i="124" s="1"/>
  <c r="AS588" i="124"/>
  <c r="AT588" i="124" s="1"/>
  <c r="AI588" i="124"/>
  <c r="AJ588" i="124" s="1"/>
  <c r="BR588" i="124"/>
  <c r="BS588" i="124" s="1"/>
  <c r="CG588" i="124"/>
  <c r="CH588" i="124" s="1"/>
  <c r="BM588" i="124"/>
  <c r="BN588" i="124" s="1"/>
  <c r="AX588" i="124"/>
  <c r="AY588" i="124" s="1"/>
  <c r="CL588" i="124"/>
  <c r="CM588" i="124" s="1"/>
  <c r="CL351" i="124"/>
  <c r="CM351" i="124" s="1"/>
  <c r="CG351" i="124"/>
  <c r="CH351" i="124" s="1"/>
  <c r="AN351" i="124"/>
  <c r="AO351" i="124" s="1"/>
  <c r="AX351" i="124"/>
  <c r="AY351" i="124" s="1"/>
  <c r="AI351" i="124"/>
  <c r="AJ351" i="124" s="1"/>
  <c r="AS351" i="124"/>
  <c r="AT351" i="124" s="1"/>
  <c r="BC351" i="124"/>
  <c r="BD351" i="124" s="1"/>
  <c r="CB351" i="124"/>
  <c r="CC351" i="124" s="1"/>
  <c r="BM351" i="124"/>
  <c r="BN351" i="124" s="1"/>
  <c r="BH351" i="124"/>
  <c r="BI351" i="124" s="1"/>
  <c r="BR351" i="124"/>
  <c r="BS351" i="124" s="1"/>
  <c r="BW351" i="124"/>
  <c r="BX351" i="124" s="1"/>
  <c r="BH386" i="124"/>
  <c r="BI386" i="124" s="1"/>
  <c r="AX386" i="124"/>
  <c r="AY386" i="124" s="1"/>
  <c r="BW386" i="124"/>
  <c r="BX386" i="124" s="1"/>
  <c r="BC386" i="124"/>
  <c r="BD386" i="124" s="1"/>
  <c r="CG386" i="124"/>
  <c r="CH386" i="124" s="1"/>
  <c r="AN386" i="124"/>
  <c r="AI386" i="124"/>
  <c r="AJ386" i="124" s="1"/>
  <c r="BM386" i="124"/>
  <c r="BN386" i="124" s="1"/>
  <c r="CB386" i="124"/>
  <c r="CC386" i="124" s="1"/>
  <c r="CL386" i="124"/>
  <c r="CM386" i="124" s="1"/>
  <c r="BR386" i="124"/>
  <c r="BS386" i="124" s="1"/>
  <c r="AS386" i="124"/>
  <c r="AT386" i="124" s="1"/>
  <c r="AX561" i="124"/>
  <c r="AY561" i="124" s="1"/>
  <c r="AS561" i="124"/>
  <c r="AT561" i="124" s="1"/>
  <c r="CL561" i="124"/>
  <c r="CM561" i="124" s="1"/>
  <c r="AN561" i="124"/>
  <c r="AO561" i="124" s="1"/>
  <c r="BM561" i="124"/>
  <c r="BN561" i="124" s="1"/>
  <c r="BH561" i="124"/>
  <c r="BI561" i="124" s="1"/>
  <c r="BR561" i="124"/>
  <c r="BS561" i="124" s="1"/>
  <c r="CG561" i="124"/>
  <c r="CH561" i="124" s="1"/>
  <c r="CB561" i="124"/>
  <c r="CC561" i="124" s="1"/>
  <c r="AI561" i="124"/>
  <c r="AJ561" i="124" s="1"/>
  <c r="BC561" i="124"/>
  <c r="BD561" i="124" s="1"/>
  <c r="BW561" i="124"/>
  <c r="BX561" i="124" s="1"/>
  <c r="AS395" i="124"/>
  <c r="AT395" i="124" s="1"/>
  <c r="BH395" i="124"/>
  <c r="BI395" i="124" s="1"/>
  <c r="AI395" i="124"/>
  <c r="AJ395" i="124" s="1"/>
  <c r="AX395" i="124"/>
  <c r="AY395" i="124" s="1"/>
  <c r="AN395" i="124"/>
  <c r="AO395" i="124" s="1"/>
  <c r="CL395" i="124"/>
  <c r="CM395" i="124" s="1"/>
  <c r="CB395" i="124"/>
  <c r="CC395" i="124" s="1"/>
  <c r="CG395" i="124"/>
  <c r="CH395" i="124" s="1"/>
  <c r="BM395" i="124"/>
  <c r="BN395" i="124" s="1"/>
  <c r="BW395" i="124"/>
  <c r="BX395" i="124" s="1"/>
  <c r="BC395" i="124"/>
  <c r="BD395" i="124" s="1"/>
  <c r="BR395" i="124"/>
  <c r="BS395" i="124" s="1"/>
  <c r="CG477" i="124"/>
  <c r="CH477" i="124" s="1"/>
  <c r="BW477" i="124"/>
  <c r="BX477" i="124" s="1"/>
  <c r="AX477" i="124"/>
  <c r="AY477" i="124" s="1"/>
  <c r="BR477" i="124"/>
  <c r="BS477" i="124" s="1"/>
  <c r="BM477" i="124"/>
  <c r="BN477" i="124" s="1"/>
  <c r="AI477" i="124"/>
  <c r="AJ477" i="124" s="1"/>
  <c r="CL477" i="124"/>
  <c r="CM477" i="124" s="1"/>
  <c r="AN477" i="124"/>
  <c r="AO477" i="124" s="1"/>
  <c r="CB477" i="124"/>
  <c r="CC477" i="124" s="1"/>
  <c r="AS477" i="124"/>
  <c r="AT477" i="124" s="1"/>
  <c r="BC477" i="124"/>
  <c r="BD477" i="124" s="1"/>
  <c r="BH477" i="124"/>
  <c r="BI477" i="124" s="1"/>
  <c r="CB511" i="124"/>
  <c r="CC511" i="124" s="1"/>
  <c r="CG511" i="124"/>
  <c r="CH511" i="124" s="1"/>
  <c r="AX511" i="124"/>
  <c r="AY511" i="124" s="1"/>
  <c r="BM511" i="124"/>
  <c r="BN511" i="124" s="1"/>
  <c r="BR511" i="124"/>
  <c r="BS511" i="124" s="1"/>
  <c r="CL511" i="124"/>
  <c r="CM511" i="124" s="1"/>
  <c r="BW511" i="124"/>
  <c r="BX511" i="124" s="1"/>
  <c r="AI511" i="124"/>
  <c r="AJ511" i="124" s="1"/>
  <c r="BH511" i="124"/>
  <c r="BI511" i="124" s="1"/>
  <c r="AN511" i="124"/>
  <c r="AO511" i="124" s="1"/>
  <c r="BC511" i="124"/>
  <c r="BD511" i="124" s="1"/>
  <c r="AS511" i="124"/>
  <c r="AT511" i="124" s="1"/>
  <c r="CG489" i="124"/>
  <c r="CH489" i="124" s="1"/>
  <c r="CL489" i="124"/>
  <c r="CM489" i="124" s="1"/>
  <c r="CB489" i="124"/>
  <c r="CC489" i="124" s="1"/>
  <c r="AS489" i="124"/>
  <c r="AT489" i="124" s="1"/>
  <c r="BM489" i="124"/>
  <c r="BN489" i="124" s="1"/>
  <c r="AX489" i="124"/>
  <c r="AY489" i="124" s="1"/>
  <c r="BH489" i="124"/>
  <c r="BI489" i="124" s="1"/>
  <c r="BW489" i="124"/>
  <c r="BX489" i="124" s="1"/>
  <c r="AN489" i="124"/>
  <c r="AO489" i="124" s="1"/>
  <c r="BC489" i="124"/>
  <c r="BD489" i="124" s="1"/>
  <c r="AI489" i="124"/>
  <c r="AJ489" i="124" s="1"/>
  <c r="BR489" i="124"/>
  <c r="BS489" i="124" s="1"/>
  <c r="AX411" i="124"/>
  <c r="AY411" i="124" s="1"/>
  <c r="AN411" i="124"/>
  <c r="CG411" i="124"/>
  <c r="CH411" i="124" s="1"/>
  <c r="CB411" i="124"/>
  <c r="CC411" i="124" s="1"/>
  <c r="BC411" i="124"/>
  <c r="BD411" i="124" s="1"/>
  <c r="CL411" i="124"/>
  <c r="CM411" i="124" s="1"/>
  <c r="BH411" i="124"/>
  <c r="BI411" i="124" s="1"/>
  <c r="BR411" i="124"/>
  <c r="BS411" i="124" s="1"/>
  <c r="BW411" i="124"/>
  <c r="BX411" i="124" s="1"/>
  <c r="AI411" i="124"/>
  <c r="AJ411" i="124" s="1"/>
  <c r="AS411" i="124"/>
  <c r="AT411" i="124" s="1"/>
  <c r="BM411" i="124"/>
  <c r="BN411" i="124" s="1"/>
  <c r="BR468" i="124"/>
  <c r="BS468" i="124" s="1"/>
  <c r="BM468" i="124"/>
  <c r="BN468" i="124" s="1"/>
  <c r="AN468" i="124"/>
  <c r="AO468" i="124" s="1"/>
  <c r="BH468" i="124"/>
  <c r="BI468" i="124" s="1"/>
  <c r="BC468" i="124"/>
  <c r="BD468" i="124" s="1"/>
  <c r="AI468" i="124"/>
  <c r="AJ468" i="124" s="1"/>
  <c r="CL468" i="124"/>
  <c r="CM468" i="124" s="1"/>
  <c r="BW468" i="124"/>
  <c r="BX468" i="124" s="1"/>
  <c r="AS468" i="124"/>
  <c r="AT468" i="124" s="1"/>
  <c r="CB468" i="124"/>
  <c r="CC468" i="124" s="1"/>
  <c r="CG468" i="124"/>
  <c r="CH468" i="124" s="1"/>
  <c r="AX468" i="124"/>
  <c r="AY468" i="124" s="1"/>
  <c r="CG518" i="124"/>
  <c r="CH518" i="124" s="1"/>
  <c r="CB518" i="124"/>
  <c r="CC518" i="124" s="1"/>
  <c r="BH518" i="124"/>
  <c r="BI518" i="124" s="1"/>
  <c r="AS518" i="124"/>
  <c r="AT518" i="124" s="1"/>
  <c r="BW518" i="124"/>
  <c r="BX518" i="124" s="1"/>
  <c r="CL518" i="124"/>
  <c r="CM518" i="124" s="1"/>
  <c r="AX518" i="124"/>
  <c r="AY518" i="124" s="1"/>
  <c r="BM518" i="124"/>
  <c r="BN518" i="124" s="1"/>
  <c r="BC518" i="124"/>
  <c r="BD518" i="124" s="1"/>
  <c r="BR518" i="124"/>
  <c r="BS518" i="124" s="1"/>
  <c r="AN518" i="124"/>
  <c r="AI518" i="124"/>
  <c r="AJ518" i="124" s="1"/>
  <c r="AX52" i="124"/>
  <c r="AY52" i="124" s="1"/>
  <c r="AZ52" i="124" s="1"/>
  <c r="AI52" i="124"/>
  <c r="AJ52" i="124" s="1"/>
  <c r="AK52" i="124" s="1"/>
  <c r="CG52" i="124"/>
  <c r="CH52" i="124" s="1"/>
  <c r="CI52" i="124" s="1"/>
  <c r="CB52" i="124"/>
  <c r="CC52" i="124" s="1"/>
  <c r="CD52" i="124" s="1"/>
  <c r="BM52" i="124"/>
  <c r="BN52" i="124" s="1"/>
  <c r="BO52" i="124" s="1"/>
  <c r="BW52" i="124"/>
  <c r="BX52" i="124" s="1"/>
  <c r="BY52" i="124" s="1"/>
  <c r="BR52" i="124"/>
  <c r="BS52" i="124" s="1"/>
  <c r="BT52" i="124" s="1"/>
  <c r="AS52" i="124"/>
  <c r="AT52" i="124" s="1"/>
  <c r="AU52" i="124" s="1"/>
  <c r="BH52" i="124"/>
  <c r="BI52" i="124" s="1"/>
  <c r="BJ52" i="124" s="1"/>
  <c r="CL52" i="124"/>
  <c r="CM52" i="124" s="1"/>
  <c r="CN52" i="124" s="1"/>
  <c r="AN52" i="124"/>
  <c r="AO52" i="124" s="1"/>
  <c r="AP52" i="124" s="1"/>
  <c r="BC52" i="124"/>
  <c r="BD52" i="124" s="1"/>
  <c r="BE52" i="124" s="1"/>
  <c r="AI54" i="124"/>
  <c r="AJ54" i="124" s="1"/>
  <c r="AK54" i="124" s="1"/>
  <c r="CL54" i="124"/>
  <c r="CM54" i="124" s="1"/>
  <c r="CN54" i="124" s="1"/>
  <c r="AN54" i="124"/>
  <c r="AO54" i="124" s="1"/>
  <c r="AP54" i="124" s="1"/>
  <c r="AX54" i="124"/>
  <c r="AY54" i="124" s="1"/>
  <c r="AZ54" i="124" s="1"/>
  <c r="BC54" i="124"/>
  <c r="BD54" i="124" s="1"/>
  <c r="BE54" i="124" s="1"/>
  <c r="BW54" i="124"/>
  <c r="BX54" i="124" s="1"/>
  <c r="BY54" i="124" s="1"/>
  <c r="BH54" i="124"/>
  <c r="BI54" i="124" s="1"/>
  <c r="BJ54" i="124" s="1"/>
  <c r="CG54" i="124"/>
  <c r="CH54" i="124" s="1"/>
  <c r="CI54" i="124" s="1"/>
  <c r="BM54" i="124"/>
  <c r="BN54" i="124" s="1"/>
  <c r="BO54" i="124" s="1"/>
  <c r="CB54" i="124"/>
  <c r="CC54" i="124" s="1"/>
  <c r="CD54" i="124" s="1"/>
  <c r="BR54" i="124"/>
  <c r="BS54" i="124" s="1"/>
  <c r="BT54" i="124" s="1"/>
  <c r="AS54" i="124"/>
  <c r="AT54" i="124" s="1"/>
  <c r="AU54" i="124" s="1"/>
  <c r="AN385" i="124"/>
  <c r="AO385" i="124" s="1"/>
  <c r="BM385" i="124"/>
  <c r="BN385" i="124" s="1"/>
  <c r="BW385" i="124"/>
  <c r="BX385" i="124" s="1"/>
  <c r="AI385" i="124"/>
  <c r="AJ385" i="124" s="1"/>
  <c r="BC385" i="124"/>
  <c r="BD385" i="124" s="1"/>
  <c r="CB385" i="124"/>
  <c r="CC385" i="124" s="1"/>
  <c r="CL385" i="124"/>
  <c r="CM385" i="124" s="1"/>
  <c r="BR385" i="124"/>
  <c r="BS385" i="124" s="1"/>
  <c r="BH385" i="124"/>
  <c r="BI385" i="124" s="1"/>
  <c r="AS385" i="124"/>
  <c r="AT385" i="124" s="1"/>
  <c r="AX385" i="124"/>
  <c r="AY385" i="124" s="1"/>
  <c r="CG385" i="124"/>
  <c r="CH385" i="124" s="1"/>
  <c r="BC494" i="124"/>
  <c r="BD494" i="124" s="1"/>
  <c r="AN494" i="124"/>
  <c r="AX494" i="124"/>
  <c r="AY494" i="124" s="1"/>
  <c r="AI494" i="124"/>
  <c r="AJ494" i="124" s="1"/>
  <c r="BW494" i="124"/>
  <c r="BX494" i="124" s="1"/>
  <c r="AS494" i="124"/>
  <c r="AT494" i="124" s="1"/>
  <c r="BH494" i="124"/>
  <c r="BI494" i="124" s="1"/>
  <c r="CL494" i="124"/>
  <c r="CM494" i="124" s="1"/>
  <c r="CG494" i="124"/>
  <c r="CH494" i="124" s="1"/>
  <c r="BM494" i="124"/>
  <c r="BN494" i="124" s="1"/>
  <c r="BR494" i="124"/>
  <c r="BS494" i="124" s="1"/>
  <c r="CB494" i="124"/>
  <c r="CC494" i="124" s="1"/>
  <c r="AI28" i="124"/>
  <c r="AJ28" i="124" s="1"/>
  <c r="CL28" i="124"/>
  <c r="CM28" i="124" s="1"/>
  <c r="AS28" i="124"/>
  <c r="AT28" i="124" s="1"/>
  <c r="BR28" i="124"/>
  <c r="BS28" i="124" s="1"/>
  <c r="BW28" i="124"/>
  <c r="BX28" i="124" s="1"/>
  <c r="CG28" i="124"/>
  <c r="CH28" i="124" s="1"/>
  <c r="AN28" i="124"/>
  <c r="AO28" i="124" s="1"/>
  <c r="CB28" i="124"/>
  <c r="CC28" i="124" s="1"/>
  <c r="BH28" i="124"/>
  <c r="BI28" i="124" s="1"/>
  <c r="AX28" i="124"/>
  <c r="AY28" i="124" s="1"/>
  <c r="BC28" i="124"/>
  <c r="BD28" i="124" s="1"/>
  <c r="BM28" i="124"/>
  <c r="BN28" i="124" s="1"/>
  <c r="BR427" i="124"/>
  <c r="BS427" i="124" s="1"/>
  <c r="BC427" i="124"/>
  <c r="BD427" i="124" s="1"/>
  <c r="AX427" i="124"/>
  <c r="AY427" i="124" s="1"/>
  <c r="AN427" i="124"/>
  <c r="AO427" i="124" s="1"/>
  <c r="AS427" i="124"/>
  <c r="AT427" i="124" s="1"/>
  <c r="BH427" i="124"/>
  <c r="BI427" i="124" s="1"/>
  <c r="CL427" i="124"/>
  <c r="CM427" i="124" s="1"/>
  <c r="CG427" i="124"/>
  <c r="CH427" i="124" s="1"/>
  <c r="CB427" i="124"/>
  <c r="CC427" i="124" s="1"/>
  <c r="BW427" i="124"/>
  <c r="BX427" i="124" s="1"/>
  <c r="AI427" i="124"/>
  <c r="AJ427" i="124" s="1"/>
  <c r="BM427" i="124"/>
  <c r="BN427" i="124" s="1"/>
  <c r="BH459" i="124"/>
  <c r="BI459" i="124" s="1"/>
  <c r="AI459" i="124"/>
  <c r="AJ459" i="124" s="1"/>
  <c r="AS459" i="124"/>
  <c r="AT459" i="124" s="1"/>
  <c r="CL459" i="124"/>
  <c r="CM459" i="124" s="1"/>
  <c r="BC459" i="124"/>
  <c r="BD459" i="124" s="1"/>
  <c r="AX459" i="124"/>
  <c r="AY459" i="124" s="1"/>
  <c r="BW459" i="124"/>
  <c r="BX459" i="124" s="1"/>
  <c r="CB459" i="124"/>
  <c r="CC459" i="124" s="1"/>
  <c r="BM459" i="124"/>
  <c r="BN459" i="124" s="1"/>
  <c r="AN459" i="124"/>
  <c r="AO459" i="124" s="1"/>
  <c r="BR459" i="124"/>
  <c r="BS459" i="124" s="1"/>
  <c r="CG459" i="124"/>
  <c r="CH459" i="124" s="1"/>
  <c r="CL578" i="124"/>
  <c r="CM578" i="124" s="1"/>
  <c r="CB578" i="124"/>
  <c r="CC578" i="124" s="1"/>
  <c r="AN578" i="124"/>
  <c r="AO578" i="124" s="1"/>
  <c r="CG578" i="124"/>
  <c r="CH578" i="124" s="1"/>
  <c r="AI578" i="124"/>
  <c r="AJ578" i="124" s="1"/>
  <c r="AX578" i="124"/>
  <c r="AY578" i="124" s="1"/>
  <c r="BR578" i="124"/>
  <c r="BS578" i="124" s="1"/>
  <c r="BM578" i="124"/>
  <c r="BN578" i="124" s="1"/>
  <c r="BC578" i="124"/>
  <c r="BD578" i="124" s="1"/>
  <c r="AS578" i="124"/>
  <c r="AT578" i="124" s="1"/>
  <c r="BW578" i="124"/>
  <c r="BX578" i="124" s="1"/>
  <c r="BH578" i="124"/>
  <c r="BI578" i="124" s="1"/>
  <c r="AI433" i="124"/>
  <c r="AJ433" i="124" s="1"/>
  <c r="BC433" i="124"/>
  <c r="BD433" i="124" s="1"/>
  <c r="AN433" i="124"/>
  <c r="BM433" i="124"/>
  <c r="BN433" i="124" s="1"/>
  <c r="BR433" i="124"/>
  <c r="BS433" i="124" s="1"/>
  <c r="BH433" i="124"/>
  <c r="BI433" i="124" s="1"/>
  <c r="AX433" i="124"/>
  <c r="AY433" i="124" s="1"/>
  <c r="AS433" i="124"/>
  <c r="AT433" i="124" s="1"/>
  <c r="BW433" i="124"/>
  <c r="BX433" i="124" s="1"/>
  <c r="CL433" i="124"/>
  <c r="CM433" i="124" s="1"/>
  <c r="CB433" i="124"/>
  <c r="CC433" i="124" s="1"/>
  <c r="CG433" i="124"/>
  <c r="CH433" i="124" s="1"/>
  <c r="BC503" i="124"/>
  <c r="BD503" i="124" s="1"/>
  <c r="AN503" i="124"/>
  <c r="AO503" i="124" s="1"/>
  <c r="AI503" i="124"/>
  <c r="AJ503" i="124" s="1"/>
  <c r="BH503" i="124"/>
  <c r="BI503" i="124" s="1"/>
  <c r="BM503" i="124"/>
  <c r="BN503" i="124" s="1"/>
  <c r="AX503" i="124"/>
  <c r="AY503" i="124" s="1"/>
  <c r="BW503" i="124"/>
  <c r="BX503" i="124" s="1"/>
  <c r="AS503" i="124"/>
  <c r="AT503" i="124" s="1"/>
  <c r="BR503" i="124"/>
  <c r="BS503" i="124" s="1"/>
  <c r="CL503" i="124"/>
  <c r="CM503" i="124" s="1"/>
  <c r="CB503" i="124"/>
  <c r="CC503" i="124" s="1"/>
  <c r="CG503" i="124"/>
  <c r="CH503" i="124" s="1"/>
  <c r="AX545" i="124"/>
  <c r="AY545" i="124" s="1"/>
  <c r="BH545" i="124"/>
  <c r="BI545" i="124" s="1"/>
  <c r="CB545" i="124"/>
  <c r="CC545" i="124" s="1"/>
  <c r="AN545" i="124"/>
  <c r="AO545" i="124" s="1"/>
  <c r="AS545" i="124"/>
  <c r="AT545" i="124" s="1"/>
  <c r="CG545" i="124"/>
  <c r="CH545" i="124" s="1"/>
  <c r="BC545" i="124"/>
  <c r="BD545" i="124" s="1"/>
  <c r="BM545" i="124"/>
  <c r="BN545" i="124" s="1"/>
  <c r="BW545" i="124"/>
  <c r="BX545" i="124" s="1"/>
  <c r="AI545" i="124"/>
  <c r="AJ545" i="124" s="1"/>
  <c r="BR545" i="124"/>
  <c r="BS545" i="124" s="1"/>
  <c r="CL545" i="124"/>
  <c r="CM545" i="124" s="1"/>
  <c r="CL425" i="124"/>
  <c r="CM425" i="124" s="1"/>
  <c r="BC425" i="124"/>
  <c r="BD425" i="124" s="1"/>
  <c r="BH425" i="124"/>
  <c r="BI425" i="124" s="1"/>
  <c r="CB425" i="124"/>
  <c r="CC425" i="124" s="1"/>
  <c r="BW425" i="124"/>
  <c r="BX425" i="124" s="1"/>
  <c r="CG425" i="124"/>
  <c r="CH425" i="124" s="1"/>
  <c r="BM425" i="124"/>
  <c r="BN425" i="124" s="1"/>
  <c r="AS425" i="124"/>
  <c r="AT425" i="124" s="1"/>
  <c r="AX425" i="124"/>
  <c r="AY425" i="124" s="1"/>
  <c r="AI425" i="124"/>
  <c r="AJ425" i="124" s="1"/>
  <c r="AN425" i="124"/>
  <c r="BR425" i="124"/>
  <c r="BS425" i="124" s="1"/>
  <c r="CL419" i="124"/>
  <c r="CM419" i="124" s="1"/>
  <c r="BW419" i="124"/>
  <c r="BX419" i="124" s="1"/>
  <c r="AX419" i="124"/>
  <c r="AY419" i="124" s="1"/>
  <c r="BH419" i="124"/>
  <c r="BI419" i="124" s="1"/>
  <c r="AI419" i="124"/>
  <c r="AJ419" i="124" s="1"/>
  <c r="BR419" i="124"/>
  <c r="BS419" i="124" s="1"/>
  <c r="AN419" i="124"/>
  <c r="BM419" i="124"/>
  <c r="BN419" i="124" s="1"/>
  <c r="BC419" i="124"/>
  <c r="BD419" i="124" s="1"/>
  <c r="CG419" i="124"/>
  <c r="CH419" i="124" s="1"/>
  <c r="AS419" i="124"/>
  <c r="AT419" i="124" s="1"/>
  <c r="CB419" i="124"/>
  <c r="CC419" i="124" s="1"/>
  <c r="AX542" i="124"/>
  <c r="AY542" i="124" s="1"/>
  <c r="BM542" i="124"/>
  <c r="BN542" i="124" s="1"/>
  <c r="AI542" i="124"/>
  <c r="AJ542" i="124" s="1"/>
  <c r="AS542" i="124"/>
  <c r="AT542" i="124" s="1"/>
  <c r="AN542" i="124"/>
  <c r="AO542" i="124" s="1"/>
  <c r="BC542" i="124"/>
  <c r="BD542" i="124" s="1"/>
  <c r="CL542" i="124"/>
  <c r="CM542" i="124" s="1"/>
  <c r="BH542" i="124"/>
  <c r="BI542" i="124" s="1"/>
  <c r="BW542" i="124"/>
  <c r="BX542" i="124" s="1"/>
  <c r="CG542" i="124"/>
  <c r="CH542" i="124" s="1"/>
  <c r="BR542" i="124"/>
  <c r="BS542" i="124" s="1"/>
  <c r="CB542" i="124"/>
  <c r="CC542" i="124" s="1"/>
  <c r="BM557" i="124"/>
  <c r="BN557" i="124" s="1"/>
  <c r="AN557" i="124"/>
  <c r="AS557" i="124"/>
  <c r="AT557" i="124" s="1"/>
  <c r="CL557" i="124"/>
  <c r="CM557" i="124" s="1"/>
  <c r="BC557" i="124"/>
  <c r="BD557" i="124" s="1"/>
  <c r="CB557" i="124"/>
  <c r="CC557" i="124" s="1"/>
  <c r="BR557" i="124"/>
  <c r="BS557" i="124" s="1"/>
  <c r="AI557" i="124"/>
  <c r="AJ557" i="124" s="1"/>
  <c r="BW557" i="124"/>
  <c r="BX557" i="124" s="1"/>
  <c r="BH557" i="124"/>
  <c r="BI557" i="124" s="1"/>
  <c r="CG557" i="124"/>
  <c r="CH557" i="124" s="1"/>
  <c r="AX557" i="124"/>
  <c r="AY557" i="124" s="1"/>
  <c r="CB475" i="124"/>
  <c r="CC475" i="124" s="1"/>
  <c r="AI475" i="124"/>
  <c r="AJ475" i="124" s="1"/>
  <c r="BH475" i="124"/>
  <c r="BI475" i="124" s="1"/>
  <c r="BM475" i="124"/>
  <c r="BN475" i="124" s="1"/>
  <c r="AS475" i="124"/>
  <c r="AT475" i="124" s="1"/>
  <c r="CG475" i="124"/>
  <c r="CH475" i="124" s="1"/>
  <c r="BW475" i="124"/>
  <c r="BX475" i="124" s="1"/>
  <c r="CL475" i="124"/>
  <c r="CM475" i="124" s="1"/>
  <c r="BC475" i="124"/>
  <c r="BD475" i="124" s="1"/>
  <c r="AX475" i="124"/>
  <c r="AY475" i="124" s="1"/>
  <c r="BR475" i="124"/>
  <c r="BS475" i="124" s="1"/>
  <c r="AN475" i="124"/>
  <c r="AO475" i="124" s="1"/>
  <c r="CG524" i="124"/>
  <c r="CH524" i="124" s="1"/>
  <c r="BW524" i="124"/>
  <c r="BX524" i="124" s="1"/>
  <c r="BM524" i="124"/>
  <c r="BN524" i="124" s="1"/>
  <c r="AI524" i="124"/>
  <c r="AJ524" i="124" s="1"/>
  <c r="BH524" i="124"/>
  <c r="BI524" i="124" s="1"/>
  <c r="BR524" i="124"/>
  <c r="BS524" i="124" s="1"/>
  <c r="AN524" i="124"/>
  <c r="AO524" i="124" s="1"/>
  <c r="AS524" i="124"/>
  <c r="AT524" i="124" s="1"/>
  <c r="AX524" i="124"/>
  <c r="AY524" i="124" s="1"/>
  <c r="CL524" i="124"/>
  <c r="CM524" i="124" s="1"/>
  <c r="BC524" i="124"/>
  <c r="BD524" i="124" s="1"/>
  <c r="CB524" i="124"/>
  <c r="CC524" i="124" s="1"/>
  <c r="BR444" i="124"/>
  <c r="BS444" i="124" s="1"/>
  <c r="AN444" i="124"/>
  <c r="AO444" i="124" s="1"/>
  <c r="BC444" i="124"/>
  <c r="BD444" i="124" s="1"/>
  <c r="BH444" i="124"/>
  <c r="BI444" i="124" s="1"/>
  <c r="BM444" i="124"/>
  <c r="BN444" i="124" s="1"/>
  <c r="AI444" i="124"/>
  <c r="AJ444" i="124" s="1"/>
  <c r="AX444" i="124"/>
  <c r="AY444" i="124" s="1"/>
  <c r="CL444" i="124"/>
  <c r="CM444" i="124" s="1"/>
  <c r="BW444" i="124"/>
  <c r="BX444" i="124" s="1"/>
  <c r="CG444" i="124"/>
  <c r="CH444" i="124" s="1"/>
  <c r="CB444" i="124"/>
  <c r="CC444" i="124" s="1"/>
  <c r="AS444" i="124"/>
  <c r="AT444" i="124" s="1"/>
  <c r="BR571" i="124"/>
  <c r="BS571" i="124" s="1"/>
  <c r="BH571" i="124"/>
  <c r="BI571" i="124" s="1"/>
  <c r="CG571" i="124"/>
  <c r="CH571" i="124" s="1"/>
  <c r="BM571" i="124"/>
  <c r="BN571" i="124" s="1"/>
  <c r="AN571" i="124"/>
  <c r="BC571" i="124"/>
  <c r="BD571" i="124" s="1"/>
  <c r="AI571" i="124"/>
  <c r="AJ571" i="124" s="1"/>
  <c r="BW571" i="124"/>
  <c r="BX571" i="124" s="1"/>
  <c r="AS571" i="124"/>
  <c r="AT571" i="124" s="1"/>
  <c r="CB571" i="124"/>
  <c r="CC571" i="124" s="1"/>
  <c r="CL571" i="124"/>
  <c r="CM571" i="124" s="1"/>
  <c r="AX571" i="124"/>
  <c r="AY571" i="124" s="1"/>
  <c r="BM466" i="124"/>
  <c r="BN466" i="124" s="1"/>
  <c r="CB466" i="124"/>
  <c r="CC466" i="124" s="1"/>
  <c r="BC466" i="124"/>
  <c r="BD466" i="124" s="1"/>
  <c r="BW466" i="124"/>
  <c r="BX466" i="124" s="1"/>
  <c r="CL466" i="124"/>
  <c r="CM466" i="124" s="1"/>
  <c r="AS466" i="124"/>
  <c r="AT466" i="124" s="1"/>
  <c r="BH466" i="124"/>
  <c r="BI466" i="124" s="1"/>
  <c r="BR466" i="124"/>
  <c r="BS466" i="124" s="1"/>
  <c r="CG466" i="124"/>
  <c r="CH466" i="124" s="1"/>
  <c r="AX466" i="124"/>
  <c r="AY466" i="124" s="1"/>
  <c r="AN466" i="124"/>
  <c r="AO466" i="124" s="1"/>
  <c r="AI466" i="124"/>
  <c r="AJ466" i="124" s="1"/>
  <c r="CB554" i="124"/>
  <c r="CC554" i="124" s="1"/>
  <c r="CG554" i="124"/>
  <c r="CH554" i="124" s="1"/>
  <c r="CL554" i="124"/>
  <c r="CM554" i="124" s="1"/>
  <c r="BM554" i="124"/>
  <c r="BN554" i="124" s="1"/>
  <c r="AX554" i="124"/>
  <c r="AY554" i="124" s="1"/>
  <c r="BC554" i="124"/>
  <c r="BD554" i="124" s="1"/>
  <c r="AI554" i="124"/>
  <c r="AJ554" i="124" s="1"/>
  <c r="AN554" i="124"/>
  <c r="AO554" i="124" s="1"/>
  <c r="BR554" i="124"/>
  <c r="BS554" i="124" s="1"/>
  <c r="BH554" i="124"/>
  <c r="BI554" i="124" s="1"/>
  <c r="BW554" i="124"/>
  <c r="BX554" i="124" s="1"/>
  <c r="AS554" i="124"/>
  <c r="AT554" i="124" s="1"/>
  <c r="AX499" i="124"/>
  <c r="AY499" i="124" s="1"/>
  <c r="BH499" i="124"/>
  <c r="BI499" i="124" s="1"/>
  <c r="CG499" i="124"/>
  <c r="CH499" i="124" s="1"/>
  <c r="BR499" i="124"/>
  <c r="BS499" i="124" s="1"/>
  <c r="BM499" i="124"/>
  <c r="BN499" i="124" s="1"/>
  <c r="CL499" i="124"/>
  <c r="CM499" i="124" s="1"/>
  <c r="AN499" i="124"/>
  <c r="AO499" i="124" s="1"/>
  <c r="BC499" i="124"/>
  <c r="BD499" i="124" s="1"/>
  <c r="CB499" i="124"/>
  <c r="CC499" i="124" s="1"/>
  <c r="BW499" i="124"/>
  <c r="BX499" i="124" s="1"/>
  <c r="AI499" i="124"/>
  <c r="AJ499" i="124" s="1"/>
  <c r="AS499" i="124"/>
  <c r="AT499" i="124" s="1"/>
  <c r="BM442" i="124"/>
  <c r="BN442" i="124" s="1"/>
  <c r="CB442" i="124"/>
  <c r="CC442" i="124" s="1"/>
  <c r="AI442" i="124"/>
  <c r="AJ442" i="124" s="1"/>
  <c r="BR442" i="124"/>
  <c r="BS442" i="124" s="1"/>
  <c r="BH442" i="124"/>
  <c r="BI442" i="124" s="1"/>
  <c r="CG442" i="124"/>
  <c r="CH442" i="124" s="1"/>
  <c r="BC442" i="124"/>
  <c r="BD442" i="124" s="1"/>
  <c r="AN442" i="124"/>
  <c r="AO442" i="124" s="1"/>
  <c r="AX442" i="124"/>
  <c r="AY442" i="124" s="1"/>
  <c r="CL442" i="124"/>
  <c r="CM442" i="124" s="1"/>
  <c r="BW442" i="124"/>
  <c r="BX442" i="124" s="1"/>
  <c r="AS442" i="124"/>
  <c r="AT442" i="124" s="1"/>
  <c r="BM484" i="124"/>
  <c r="BN484" i="124" s="1"/>
  <c r="CB484" i="124"/>
  <c r="CC484" i="124" s="1"/>
  <c r="CG484" i="124"/>
  <c r="CH484" i="124" s="1"/>
  <c r="BR484" i="124"/>
  <c r="BS484" i="124" s="1"/>
  <c r="BC484" i="124"/>
  <c r="BD484" i="124" s="1"/>
  <c r="BW484" i="124"/>
  <c r="BX484" i="124" s="1"/>
  <c r="AX484" i="124"/>
  <c r="AY484" i="124" s="1"/>
  <c r="BH484" i="124"/>
  <c r="BI484" i="124" s="1"/>
  <c r="AS484" i="124"/>
  <c r="AT484" i="124" s="1"/>
  <c r="CL484" i="124"/>
  <c r="CM484" i="124" s="1"/>
  <c r="AI484" i="124"/>
  <c r="AJ484" i="124" s="1"/>
  <c r="AN484" i="124"/>
  <c r="BW469" i="124"/>
  <c r="BX469" i="124" s="1"/>
  <c r="AN469" i="124"/>
  <c r="AO469" i="124" s="1"/>
  <c r="CG469" i="124"/>
  <c r="CH469" i="124" s="1"/>
  <c r="BH469" i="124"/>
  <c r="BI469" i="124" s="1"/>
  <c r="CL469" i="124"/>
  <c r="CM469" i="124" s="1"/>
  <c r="BM469" i="124"/>
  <c r="BN469" i="124" s="1"/>
  <c r="BR469" i="124"/>
  <c r="BS469" i="124" s="1"/>
  <c r="AI469" i="124"/>
  <c r="AJ469" i="124" s="1"/>
  <c r="AS469" i="124"/>
  <c r="AT469" i="124" s="1"/>
  <c r="BC469" i="124"/>
  <c r="BD469" i="124" s="1"/>
  <c r="AX469" i="124"/>
  <c r="AY469" i="124" s="1"/>
  <c r="CB469" i="124"/>
  <c r="CC469" i="124" s="1"/>
  <c r="CL364" i="124"/>
  <c r="CM364" i="124" s="1"/>
  <c r="BM364" i="124"/>
  <c r="BN364" i="124" s="1"/>
  <c r="BC364" i="124"/>
  <c r="BD364" i="124" s="1"/>
  <c r="BW364" i="124"/>
  <c r="BX364" i="124" s="1"/>
  <c r="AX364" i="124"/>
  <c r="AY364" i="124" s="1"/>
  <c r="BR364" i="124"/>
  <c r="BS364" i="124" s="1"/>
  <c r="AS364" i="124"/>
  <c r="AT364" i="124" s="1"/>
  <c r="CG364" i="124"/>
  <c r="CH364" i="124" s="1"/>
  <c r="AI364" i="124"/>
  <c r="AJ364" i="124" s="1"/>
  <c r="AN364" i="124"/>
  <c r="CB364" i="124"/>
  <c r="CC364" i="124" s="1"/>
  <c r="BH364" i="124"/>
  <c r="BI364" i="124" s="1"/>
  <c r="AN553" i="124"/>
  <c r="AX553" i="124"/>
  <c r="AY553" i="124" s="1"/>
  <c r="AS553" i="124"/>
  <c r="AT553" i="124" s="1"/>
  <c r="AI553" i="124"/>
  <c r="AJ553" i="124" s="1"/>
  <c r="CB553" i="124"/>
  <c r="CC553" i="124" s="1"/>
  <c r="BM553" i="124"/>
  <c r="BN553" i="124" s="1"/>
  <c r="BR553" i="124"/>
  <c r="BS553" i="124" s="1"/>
  <c r="BC553" i="124"/>
  <c r="BD553" i="124" s="1"/>
  <c r="CG553" i="124"/>
  <c r="CH553" i="124" s="1"/>
  <c r="BH553" i="124"/>
  <c r="BI553" i="124" s="1"/>
  <c r="CL553" i="124"/>
  <c r="CM553" i="124" s="1"/>
  <c r="BW553" i="124"/>
  <c r="BX553" i="124" s="1"/>
  <c r="BW439" i="124"/>
  <c r="BX439" i="124" s="1"/>
  <c r="AX439" i="124"/>
  <c r="AY439" i="124" s="1"/>
  <c r="CL439" i="124"/>
  <c r="CM439" i="124" s="1"/>
  <c r="AS439" i="124"/>
  <c r="AT439" i="124" s="1"/>
  <c r="BH439" i="124"/>
  <c r="BI439" i="124" s="1"/>
  <c r="AN439" i="124"/>
  <c r="BM439" i="124"/>
  <c r="BN439" i="124" s="1"/>
  <c r="AI439" i="124"/>
  <c r="AJ439" i="124" s="1"/>
  <c r="CB439" i="124"/>
  <c r="CC439" i="124" s="1"/>
  <c r="CG439" i="124"/>
  <c r="CH439" i="124" s="1"/>
  <c r="BC439" i="124"/>
  <c r="BD439" i="124" s="1"/>
  <c r="BR439" i="124"/>
  <c r="BS439" i="124" s="1"/>
  <c r="AS449" i="124"/>
  <c r="AT449" i="124" s="1"/>
  <c r="CL449" i="124"/>
  <c r="CM449" i="124" s="1"/>
  <c r="BR449" i="124"/>
  <c r="BS449" i="124" s="1"/>
  <c r="AI449" i="124"/>
  <c r="AJ449" i="124" s="1"/>
  <c r="AX449" i="124"/>
  <c r="AY449" i="124" s="1"/>
  <c r="BM449" i="124"/>
  <c r="BN449" i="124" s="1"/>
  <c r="AN449" i="124"/>
  <c r="AO449" i="124" s="1"/>
  <c r="BW449" i="124"/>
  <c r="BX449" i="124" s="1"/>
  <c r="CG449" i="124"/>
  <c r="CH449" i="124" s="1"/>
  <c r="BH449" i="124"/>
  <c r="BI449" i="124" s="1"/>
  <c r="CB449" i="124"/>
  <c r="CC449" i="124" s="1"/>
  <c r="BC449" i="124"/>
  <c r="BD449" i="124" s="1"/>
  <c r="CB556" i="124"/>
  <c r="CC556" i="124" s="1"/>
  <c r="BR556" i="124"/>
  <c r="BS556" i="124" s="1"/>
  <c r="AS556" i="124"/>
  <c r="AT556" i="124" s="1"/>
  <c r="BH556" i="124"/>
  <c r="BI556" i="124" s="1"/>
  <c r="BM556" i="124"/>
  <c r="BN556" i="124" s="1"/>
  <c r="CL556" i="124"/>
  <c r="CM556" i="124" s="1"/>
  <c r="CG556" i="124"/>
  <c r="CH556" i="124" s="1"/>
  <c r="AX556" i="124"/>
  <c r="AY556" i="124" s="1"/>
  <c r="BW556" i="124"/>
  <c r="BX556" i="124" s="1"/>
  <c r="AI556" i="124"/>
  <c r="AJ556" i="124" s="1"/>
  <c r="AN556" i="124"/>
  <c r="AO556" i="124" s="1"/>
  <c r="BC556" i="124"/>
  <c r="BD556" i="124" s="1"/>
  <c r="AX464" i="124"/>
  <c r="AY464" i="124" s="1"/>
  <c r="BH464" i="124"/>
  <c r="BI464" i="124" s="1"/>
  <c r="BW464" i="124"/>
  <c r="BX464" i="124" s="1"/>
  <c r="BR464" i="124"/>
  <c r="BS464" i="124" s="1"/>
  <c r="CB464" i="124"/>
  <c r="CC464" i="124" s="1"/>
  <c r="AS464" i="124"/>
  <c r="AT464" i="124" s="1"/>
  <c r="BC464" i="124"/>
  <c r="BD464" i="124" s="1"/>
  <c r="CG464" i="124"/>
  <c r="CH464" i="124" s="1"/>
  <c r="BM464" i="124"/>
  <c r="BN464" i="124" s="1"/>
  <c r="AI464" i="124"/>
  <c r="AJ464" i="124" s="1"/>
  <c r="CL464" i="124"/>
  <c r="CM464" i="124" s="1"/>
  <c r="AN464" i="124"/>
  <c r="CG547" i="124"/>
  <c r="CH547" i="124" s="1"/>
  <c r="CL547" i="124"/>
  <c r="CM547" i="124" s="1"/>
  <c r="AN547" i="124"/>
  <c r="BM547" i="124"/>
  <c r="BN547" i="124" s="1"/>
  <c r="AX547" i="124"/>
  <c r="AY547" i="124" s="1"/>
  <c r="BH547" i="124"/>
  <c r="BI547" i="124" s="1"/>
  <c r="BR547" i="124"/>
  <c r="BS547" i="124" s="1"/>
  <c r="AI547" i="124"/>
  <c r="AJ547" i="124" s="1"/>
  <c r="BW547" i="124"/>
  <c r="BX547" i="124" s="1"/>
  <c r="BC547" i="124"/>
  <c r="BD547" i="124" s="1"/>
  <c r="AS547" i="124"/>
  <c r="AT547" i="124" s="1"/>
  <c r="CB547" i="124"/>
  <c r="CC547" i="124" s="1"/>
  <c r="BH581" i="124"/>
  <c r="BI581" i="124" s="1"/>
  <c r="AI581" i="124"/>
  <c r="AJ581" i="124" s="1"/>
  <c r="BC581" i="124"/>
  <c r="BD581" i="124" s="1"/>
  <c r="BW581" i="124"/>
  <c r="BX581" i="124" s="1"/>
  <c r="AS581" i="124"/>
  <c r="AT581" i="124" s="1"/>
  <c r="CL581" i="124"/>
  <c r="CM581" i="124" s="1"/>
  <c r="AX581" i="124"/>
  <c r="AY581" i="124" s="1"/>
  <c r="AN581" i="124"/>
  <c r="BM581" i="124"/>
  <c r="BN581" i="124" s="1"/>
  <c r="CB581" i="124"/>
  <c r="CC581" i="124" s="1"/>
  <c r="CG581" i="124"/>
  <c r="CH581" i="124" s="1"/>
  <c r="BR581" i="124"/>
  <c r="BS581" i="124" s="1"/>
  <c r="AX432" i="124"/>
  <c r="AY432" i="124" s="1"/>
  <c r="BC432" i="124"/>
  <c r="BD432" i="124" s="1"/>
  <c r="BH432" i="124"/>
  <c r="BI432" i="124" s="1"/>
  <c r="CG432" i="124"/>
  <c r="CH432" i="124" s="1"/>
  <c r="CB432" i="124"/>
  <c r="CC432" i="124" s="1"/>
  <c r="BW432" i="124"/>
  <c r="BX432" i="124" s="1"/>
  <c r="CL432" i="124"/>
  <c r="CM432" i="124" s="1"/>
  <c r="AN432" i="124"/>
  <c r="AO432" i="124" s="1"/>
  <c r="BR432" i="124"/>
  <c r="BS432" i="124" s="1"/>
  <c r="AS432" i="124"/>
  <c r="AT432" i="124" s="1"/>
  <c r="BM432" i="124"/>
  <c r="BN432" i="124" s="1"/>
  <c r="AX387" i="124"/>
  <c r="AY387" i="124" s="1"/>
  <c r="AI387" i="124"/>
  <c r="AJ387" i="124" s="1"/>
  <c r="BR387" i="124"/>
  <c r="BS387" i="124" s="1"/>
  <c r="AS387" i="124"/>
  <c r="AT387" i="124" s="1"/>
  <c r="CB387" i="124"/>
  <c r="CC387" i="124" s="1"/>
  <c r="BC387" i="124"/>
  <c r="BD387" i="124" s="1"/>
  <c r="BW387" i="124"/>
  <c r="BX387" i="124" s="1"/>
  <c r="AN387" i="124"/>
  <c r="CL387" i="124"/>
  <c r="CM387" i="124" s="1"/>
  <c r="BM387" i="124"/>
  <c r="BN387" i="124" s="1"/>
  <c r="BH387" i="124"/>
  <c r="BI387" i="124" s="1"/>
  <c r="CG387" i="124"/>
  <c r="CH387" i="124" s="1"/>
  <c r="BM435" i="124"/>
  <c r="BN435" i="124" s="1"/>
  <c r="BW435" i="124"/>
  <c r="BX435" i="124" s="1"/>
  <c r="AN435" i="124"/>
  <c r="BH435" i="124"/>
  <c r="BI435" i="124" s="1"/>
  <c r="CG435" i="124"/>
  <c r="CH435" i="124" s="1"/>
  <c r="CB435" i="124"/>
  <c r="CC435" i="124" s="1"/>
  <c r="BC435" i="124"/>
  <c r="BD435" i="124" s="1"/>
  <c r="BR435" i="124"/>
  <c r="BS435" i="124" s="1"/>
  <c r="AX435" i="124"/>
  <c r="AY435" i="124" s="1"/>
  <c r="AS435" i="124"/>
  <c r="AT435" i="124" s="1"/>
  <c r="CL435" i="124"/>
  <c r="CM435" i="124" s="1"/>
  <c r="AI435" i="124"/>
  <c r="AJ435" i="124" s="1"/>
  <c r="BH519" i="124"/>
  <c r="BI519" i="124" s="1"/>
  <c r="AI519" i="124"/>
  <c r="AJ519" i="124" s="1"/>
  <c r="AS519" i="124"/>
  <c r="AT519" i="124" s="1"/>
  <c r="CL519" i="124"/>
  <c r="CM519" i="124" s="1"/>
  <c r="CG519" i="124"/>
  <c r="CH519" i="124" s="1"/>
  <c r="AX519" i="124"/>
  <c r="AY519" i="124" s="1"/>
  <c r="BC519" i="124"/>
  <c r="BD519" i="124" s="1"/>
  <c r="BM519" i="124"/>
  <c r="BN519" i="124" s="1"/>
  <c r="BW519" i="124"/>
  <c r="BX519" i="124" s="1"/>
  <c r="CB519" i="124"/>
  <c r="CC519" i="124" s="1"/>
  <c r="BR519" i="124"/>
  <c r="BS519" i="124" s="1"/>
  <c r="AN519" i="124"/>
  <c r="BR458" i="124"/>
  <c r="BS458" i="124" s="1"/>
  <c r="CL458" i="124"/>
  <c r="CM458" i="124" s="1"/>
  <c r="CG458" i="124"/>
  <c r="CH458" i="124" s="1"/>
  <c r="BC458" i="124"/>
  <c r="BD458" i="124" s="1"/>
  <c r="BW458" i="124"/>
  <c r="BX458" i="124" s="1"/>
  <c r="AX458" i="124"/>
  <c r="AY458" i="124" s="1"/>
  <c r="AS458" i="124"/>
  <c r="AT458" i="124" s="1"/>
  <c r="CB458" i="124"/>
  <c r="CC458" i="124" s="1"/>
  <c r="AI458" i="124"/>
  <c r="AJ458" i="124" s="1"/>
  <c r="BM458" i="124"/>
  <c r="BN458" i="124" s="1"/>
  <c r="AN458" i="124"/>
  <c r="AO458" i="124" s="1"/>
  <c r="BH458" i="124"/>
  <c r="BI458" i="124" s="1"/>
  <c r="CG508" i="124"/>
  <c r="CH508" i="124" s="1"/>
  <c r="AN508" i="124"/>
  <c r="AX508" i="124"/>
  <c r="AY508" i="124" s="1"/>
  <c r="CB508" i="124"/>
  <c r="CC508" i="124" s="1"/>
  <c r="CL508" i="124"/>
  <c r="CM508" i="124" s="1"/>
  <c r="BC508" i="124"/>
  <c r="BD508" i="124" s="1"/>
  <c r="BR508" i="124"/>
  <c r="BS508" i="124" s="1"/>
  <c r="BH508" i="124"/>
  <c r="BI508" i="124" s="1"/>
  <c r="BM508" i="124"/>
  <c r="BN508" i="124" s="1"/>
  <c r="AI508" i="124"/>
  <c r="AJ508" i="124" s="1"/>
  <c r="AS508" i="124"/>
  <c r="AT508" i="124" s="1"/>
  <c r="BW508" i="124"/>
  <c r="BX508" i="124" s="1"/>
  <c r="BW389" i="124"/>
  <c r="BX389" i="124" s="1"/>
  <c r="CG389" i="124"/>
  <c r="CH389" i="124" s="1"/>
  <c r="AS389" i="124"/>
  <c r="AT389" i="124" s="1"/>
  <c r="BH389" i="124"/>
  <c r="BI389" i="124" s="1"/>
  <c r="AN389" i="124"/>
  <c r="AI389" i="124"/>
  <c r="AJ389" i="124" s="1"/>
  <c r="BC389" i="124"/>
  <c r="BD389" i="124" s="1"/>
  <c r="CL389" i="124"/>
  <c r="CM389" i="124" s="1"/>
  <c r="BR389" i="124"/>
  <c r="BS389" i="124" s="1"/>
  <c r="BM389" i="124"/>
  <c r="BN389" i="124" s="1"/>
  <c r="AX389" i="124"/>
  <c r="AY389" i="124" s="1"/>
  <c r="CB389" i="124"/>
  <c r="CC389" i="124" s="1"/>
  <c r="AI15" i="124"/>
  <c r="AJ15" i="124" s="1"/>
  <c r="AK15" i="124" s="1"/>
  <c r="BH15" i="124"/>
  <c r="BI15" i="124" s="1"/>
  <c r="BJ15" i="124" s="1"/>
  <c r="CG15" i="124"/>
  <c r="BR15" i="124"/>
  <c r="BS15" i="124" s="1"/>
  <c r="BT15" i="124" s="1"/>
  <c r="BC15" i="124"/>
  <c r="BD15" i="124" s="1"/>
  <c r="BE15" i="124" s="1"/>
  <c r="AX15" i="124"/>
  <c r="AY15" i="124" s="1"/>
  <c r="AZ15" i="124" s="1"/>
  <c r="CL15" i="124"/>
  <c r="CM15" i="124" s="1"/>
  <c r="CN15" i="124" s="1"/>
  <c r="BW15" i="124"/>
  <c r="BX15" i="124" s="1"/>
  <c r="BY15" i="124" s="1"/>
  <c r="AS15" i="124"/>
  <c r="AT15" i="124" s="1"/>
  <c r="AU15" i="124" s="1"/>
  <c r="AN15" i="124"/>
  <c r="AO15" i="124" s="1"/>
  <c r="AP15" i="124" s="1"/>
  <c r="BM15" i="124"/>
  <c r="BN15" i="124" s="1"/>
  <c r="BO15" i="124" s="1"/>
  <c r="CB15" i="124"/>
  <c r="CC15" i="124" s="1"/>
  <c r="CD15" i="124" s="1"/>
  <c r="BC383" i="124"/>
  <c r="BD383" i="124" s="1"/>
  <c r="BM383" i="124"/>
  <c r="BN383" i="124" s="1"/>
  <c r="BR383" i="124"/>
  <c r="BS383" i="124" s="1"/>
  <c r="AS383" i="124"/>
  <c r="AT383" i="124" s="1"/>
  <c r="CB383" i="124"/>
  <c r="CC383" i="124" s="1"/>
  <c r="CG383" i="124"/>
  <c r="CH383" i="124" s="1"/>
  <c r="CL383" i="124"/>
  <c r="CM383" i="124" s="1"/>
  <c r="AX383" i="124"/>
  <c r="AY383" i="124" s="1"/>
  <c r="AN383" i="124"/>
  <c r="BH383" i="124"/>
  <c r="BI383" i="124" s="1"/>
  <c r="BW383" i="124"/>
  <c r="BX383" i="124" s="1"/>
  <c r="AI383" i="124"/>
  <c r="AJ383" i="124" s="1"/>
  <c r="AX517" i="124"/>
  <c r="AY517" i="124" s="1"/>
  <c r="CG517" i="124"/>
  <c r="CH517" i="124" s="1"/>
  <c r="BR517" i="124"/>
  <c r="BS517" i="124" s="1"/>
  <c r="AI517" i="124"/>
  <c r="AJ517" i="124" s="1"/>
  <c r="AS517" i="124"/>
  <c r="AT517" i="124" s="1"/>
  <c r="CL517" i="124"/>
  <c r="CM517" i="124" s="1"/>
  <c r="CB517" i="124"/>
  <c r="CC517" i="124" s="1"/>
  <c r="BW517" i="124"/>
  <c r="BX517" i="124" s="1"/>
  <c r="BM517" i="124"/>
  <c r="BN517" i="124" s="1"/>
  <c r="BH517" i="124"/>
  <c r="BI517" i="124" s="1"/>
  <c r="BC517" i="124"/>
  <c r="BD517" i="124" s="1"/>
  <c r="AN517" i="124"/>
  <c r="CL563" i="124"/>
  <c r="CM563" i="124" s="1"/>
  <c r="BC563" i="124"/>
  <c r="BD563" i="124" s="1"/>
  <c r="CG563" i="124"/>
  <c r="CH563" i="124" s="1"/>
  <c r="BH563" i="124"/>
  <c r="BI563" i="124" s="1"/>
  <c r="CB563" i="124"/>
  <c r="CC563" i="124" s="1"/>
  <c r="AN563" i="124"/>
  <c r="AO563" i="124" s="1"/>
  <c r="BR563" i="124"/>
  <c r="BS563" i="124" s="1"/>
  <c r="BM563" i="124"/>
  <c r="BN563" i="124" s="1"/>
  <c r="AX563" i="124"/>
  <c r="AY563" i="124" s="1"/>
  <c r="AI563" i="124"/>
  <c r="AJ563" i="124" s="1"/>
  <c r="AS563" i="124"/>
  <c r="AT563" i="124" s="1"/>
  <c r="BW563" i="124"/>
  <c r="BX563" i="124" s="1"/>
  <c r="BM465" i="124"/>
  <c r="BN465" i="124" s="1"/>
  <c r="CG465" i="124"/>
  <c r="CH465" i="124" s="1"/>
  <c r="AX465" i="124"/>
  <c r="AY465" i="124" s="1"/>
  <c r="AI465" i="124"/>
  <c r="AJ465" i="124" s="1"/>
  <c r="CL465" i="124"/>
  <c r="CM465" i="124" s="1"/>
  <c r="BC465" i="124"/>
  <c r="BD465" i="124" s="1"/>
  <c r="BH465" i="124"/>
  <c r="BI465" i="124" s="1"/>
  <c r="BW465" i="124"/>
  <c r="BX465" i="124" s="1"/>
  <c r="CB465" i="124"/>
  <c r="CC465" i="124" s="1"/>
  <c r="AN465" i="124"/>
  <c r="AS465" i="124"/>
  <c r="AT465" i="124" s="1"/>
  <c r="BR465" i="124"/>
  <c r="BS465" i="124" s="1"/>
  <c r="BR36" i="124"/>
  <c r="BS36" i="124" s="1"/>
  <c r="BT36" i="124" s="1"/>
  <c r="BH36" i="124"/>
  <c r="BI36" i="124" s="1"/>
  <c r="BJ36" i="124" s="1"/>
  <c r="CB36" i="124"/>
  <c r="CC36" i="124" s="1"/>
  <c r="CD36" i="124" s="1"/>
  <c r="BW36" i="124"/>
  <c r="BX36" i="124" s="1"/>
  <c r="BY36" i="124" s="1"/>
  <c r="CG36" i="124"/>
  <c r="CH36" i="124" s="1"/>
  <c r="CI36" i="124" s="1"/>
  <c r="AX36" i="124"/>
  <c r="AY36" i="124" s="1"/>
  <c r="AZ36" i="124" s="1"/>
  <c r="AI36" i="124"/>
  <c r="AJ36" i="124" s="1"/>
  <c r="AK36" i="124" s="1"/>
  <c r="AN36" i="124"/>
  <c r="BM36" i="124"/>
  <c r="BN36" i="124" s="1"/>
  <c r="BO36" i="124" s="1"/>
  <c r="AS36" i="124"/>
  <c r="AT36" i="124" s="1"/>
  <c r="AU36" i="124" s="1"/>
  <c r="CL36" i="124"/>
  <c r="CM36" i="124" s="1"/>
  <c r="CN36" i="124" s="1"/>
  <c r="BC36" i="124"/>
  <c r="BD36" i="124" s="1"/>
  <c r="BE36" i="124" s="1"/>
  <c r="BC479" i="124"/>
  <c r="BD479" i="124" s="1"/>
  <c r="BR479" i="124"/>
  <c r="BS479" i="124" s="1"/>
  <c r="AI479" i="124"/>
  <c r="AJ479" i="124" s="1"/>
  <c r="AS479" i="124"/>
  <c r="AT479" i="124" s="1"/>
  <c r="BM479" i="124"/>
  <c r="BN479" i="124" s="1"/>
  <c r="CG479" i="124"/>
  <c r="CH479" i="124" s="1"/>
  <c r="BW479" i="124"/>
  <c r="BX479" i="124" s="1"/>
  <c r="AX479" i="124"/>
  <c r="AY479" i="124" s="1"/>
  <c r="AN479" i="124"/>
  <c r="AO479" i="124" s="1"/>
  <c r="CB479" i="124"/>
  <c r="CC479" i="124" s="1"/>
  <c r="CL479" i="124"/>
  <c r="CM479" i="124" s="1"/>
  <c r="BH479" i="124"/>
  <c r="BI479" i="124" s="1"/>
  <c r="AN529" i="124"/>
  <c r="AO529" i="124" s="1"/>
  <c r="BR529" i="124"/>
  <c r="BS529" i="124" s="1"/>
  <c r="CG529" i="124"/>
  <c r="CH529" i="124" s="1"/>
  <c r="BW529" i="124"/>
  <c r="BX529" i="124" s="1"/>
  <c r="CB529" i="124"/>
  <c r="CC529" i="124" s="1"/>
  <c r="BH529" i="124"/>
  <c r="BI529" i="124" s="1"/>
  <c r="AS529" i="124"/>
  <c r="AT529" i="124" s="1"/>
  <c r="AI529" i="124"/>
  <c r="AJ529" i="124" s="1"/>
  <c r="AX529" i="124"/>
  <c r="AY529" i="124" s="1"/>
  <c r="BC529" i="124"/>
  <c r="BD529" i="124" s="1"/>
  <c r="BM529" i="124"/>
  <c r="BN529" i="124" s="1"/>
  <c r="CL529" i="124"/>
  <c r="CM529" i="124" s="1"/>
  <c r="BM441" i="124"/>
  <c r="BN441" i="124" s="1"/>
  <c r="AX441" i="124"/>
  <c r="AY441" i="124" s="1"/>
  <c r="BH441" i="124"/>
  <c r="BI441" i="124" s="1"/>
  <c r="CG441" i="124"/>
  <c r="CH441" i="124" s="1"/>
  <c r="BC441" i="124"/>
  <c r="BD441" i="124" s="1"/>
  <c r="AS441" i="124"/>
  <c r="AT441" i="124" s="1"/>
  <c r="CL441" i="124"/>
  <c r="CM441" i="124" s="1"/>
  <c r="CB441" i="124"/>
  <c r="CC441" i="124" s="1"/>
  <c r="AN441" i="124"/>
  <c r="BR441" i="124"/>
  <c r="BS441" i="124" s="1"/>
  <c r="AI441" i="124"/>
  <c r="AJ441" i="124" s="1"/>
  <c r="BW441" i="124"/>
  <c r="BX441" i="124" s="1"/>
  <c r="BC551" i="124"/>
  <c r="BD551" i="124" s="1"/>
  <c r="BM551" i="124"/>
  <c r="BN551" i="124" s="1"/>
  <c r="BW551" i="124"/>
  <c r="BX551" i="124" s="1"/>
  <c r="AN551" i="124"/>
  <c r="AO551" i="124" s="1"/>
  <c r="CG551" i="124"/>
  <c r="CH551" i="124" s="1"/>
  <c r="CB551" i="124"/>
  <c r="CC551" i="124" s="1"/>
  <c r="BR551" i="124"/>
  <c r="BS551" i="124" s="1"/>
  <c r="BH551" i="124"/>
  <c r="BI551" i="124" s="1"/>
  <c r="CL551" i="124"/>
  <c r="CM551" i="124" s="1"/>
  <c r="AS551" i="124"/>
  <c r="AT551" i="124" s="1"/>
  <c r="AI551" i="124"/>
  <c r="AJ551" i="124" s="1"/>
  <c r="AX551" i="124"/>
  <c r="AY551" i="124" s="1"/>
  <c r="AI407" i="124"/>
  <c r="AJ407" i="124" s="1"/>
  <c r="BR407" i="124"/>
  <c r="BS407" i="124" s="1"/>
  <c r="BM407" i="124"/>
  <c r="BN407" i="124" s="1"/>
  <c r="BH407" i="124"/>
  <c r="BI407" i="124" s="1"/>
  <c r="AN407" i="124"/>
  <c r="AO407" i="124" s="1"/>
  <c r="CG407" i="124"/>
  <c r="CH407" i="124" s="1"/>
  <c r="CB407" i="124"/>
  <c r="CC407" i="124" s="1"/>
  <c r="AS407" i="124"/>
  <c r="AT407" i="124" s="1"/>
  <c r="AX407" i="124"/>
  <c r="AY407" i="124" s="1"/>
  <c r="BW407" i="124"/>
  <c r="BX407" i="124" s="1"/>
  <c r="CL407" i="124"/>
  <c r="CM407" i="124" s="1"/>
  <c r="BC407" i="124"/>
  <c r="BD407" i="124" s="1"/>
  <c r="BC359" i="124"/>
  <c r="BD359" i="124" s="1"/>
  <c r="BH359" i="124"/>
  <c r="BI359" i="124" s="1"/>
  <c r="BW359" i="124"/>
  <c r="BX359" i="124" s="1"/>
  <c r="AX359" i="124"/>
  <c r="AY359" i="124" s="1"/>
  <c r="AS359" i="124"/>
  <c r="AT359" i="124" s="1"/>
  <c r="CB359" i="124"/>
  <c r="CC359" i="124" s="1"/>
  <c r="BM359" i="124"/>
  <c r="BN359" i="124" s="1"/>
  <c r="BR359" i="124"/>
  <c r="BS359" i="124" s="1"/>
  <c r="CL359" i="124"/>
  <c r="CM359" i="124" s="1"/>
  <c r="AN359" i="124"/>
  <c r="CG359" i="124"/>
  <c r="CH359" i="124" s="1"/>
  <c r="AI359" i="124"/>
  <c r="AJ359" i="124" s="1"/>
  <c r="BR482" i="124"/>
  <c r="BS482" i="124" s="1"/>
  <c r="AN482" i="124"/>
  <c r="BC482" i="124"/>
  <c r="BD482" i="124" s="1"/>
  <c r="BM482" i="124"/>
  <c r="BN482" i="124" s="1"/>
  <c r="CL482" i="124"/>
  <c r="CM482" i="124" s="1"/>
  <c r="BW482" i="124"/>
  <c r="BX482" i="124" s="1"/>
  <c r="AS482" i="124"/>
  <c r="AT482" i="124" s="1"/>
  <c r="AI482" i="124"/>
  <c r="AJ482" i="124" s="1"/>
  <c r="CG482" i="124"/>
  <c r="CH482" i="124" s="1"/>
  <c r="CB482" i="124"/>
  <c r="CC482" i="124" s="1"/>
  <c r="BH482" i="124"/>
  <c r="BI482" i="124" s="1"/>
  <c r="AX482" i="124"/>
  <c r="AY482" i="124" s="1"/>
  <c r="BM457" i="124"/>
  <c r="BN457" i="124" s="1"/>
  <c r="BC457" i="124"/>
  <c r="BD457" i="124" s="1"/>
  <c r="CB457" i="124"/>
  <c r="CC457" i="124" s="1"/>
  <c r="CG457" i="124"/>
  <c r="CH457" i="124" s="1"/>
  <c r="BH457" i="124"/>
  <c r="BI457" i="124" s="1"/>
  <c r="AI457" i="124"/>
  <c r="AJ457" i="124" s="1"/>
  <c r="BR457" i="124"/>
  <c r="BS457" i="124" s="1"/>
  <c r="BW457" i="124"/>
  <c r="BX457" i="124" s="1"/>
  <c r="AS457" i="124"/>
  <c r="AT457" i="124" s="1"/>
  <c r="AN457" i="124"/>
  <c r="AO457" i="124" s="1"/>
  <c r="AX457" i="124"/>
  <c r="AY457" i="124" s="1"/>
  <c r="CL457" i="124"/>
  <c r="CM457" i="124" s="1"/>
  <c r="CB585" i="124"/>
  <c r="CC585" i="124" s="1"/>
  <c r="AN585" i="124"/>
  <c r="AO585" i="124" s="1"/>
  <c r="AX585" i="124"/>
  <c r="AY585" i="124" s="1"/>
  <c r="AI585" i="124"/>
  <c r="AJ585" i="124" s="1"/>
  <c r="BM585" i="124"/>
  <c r="BN585" i="124" s="1"/>
  <c r="AS585" i="124"/>
  <c r="AT585" i="124" s="1"/>
  <c r="BC585" i="124"/>
  <c r="BD585" i="124" s="1"/>
  <c r="BR585" i="124"/>
  <c r="BS585" i="124" s="1"/>
  <c r="CL585" i="124"/>
  <c r="CM585" i="124" s="1"/>
  <c r="BH585" i="124"/>
  <c r="BI585" i="124" s="1"/>
  <c r="CG585" i="124"/>
  <c r="CH585" i="124" s="1"/>
  <c r="BW585" i="124"/>
  <c r="BX585" i="124" s="1"/>
  <c r="CL431" i="124"/>
  <c r="CM431" i="124" s="1"/>
  <c r="AN431" i="124"/>
  <c r="AS431" i="124"/>
  <c r="AT431" i="124" s="1"/>
  <c r="BW431" i="124"/>
  <c r="BX431" i="124" s="1"/>
  <c r="BM431" i="124"/>
  <c r="BN431" i="124" s="1"/>
  <c r="BR431" i="124"/>
  <c r="BS431" i="124" s="1"/>
  <c r="CG431" i="124"/>
  <c r="CH431" i="124" s="1"/>
  <c r="BH431" i="124"/>
  <c r="BI431" i="124" s="1"/>
  <c r="CB431" i="124"/>
  <c r="CC431" i="124" s="1"/>
  <c r="BC431" i="124"/>
  <c r="BD431" i="124" s="1"/>
  <c r="AI431" i="124"/>
  <c r="AJ431" i="124" s="1"/>
  <c r="AX431" i="124"/>
  <c r="AY431" i="124" s="1"/>
  <c r="BC461" i="124"/>
  <c r="BD461" i="124" s="1"/>
  <c r="AX461" i="124"/>
  <c r="AY461" i="124" s="1"/>
  <c r="CB461" i="124"/>
  <c r="CC461" i="124" s="1"/>
  <c r="AI461" i="124"/>
  <c r="AJ461" i="124" s="1"/>
  <c r="CL461" i="124"/>
  <c r="CM461" i="124" s="1"/>
  <c r="BH461" i="124"/>
  <c r="BI461" i="124" s="1"/>
  <c r="CG461" i="124"/>
  <c r="CH461" i="124" s="1"/>
  <c r="BM461" i="124"/>
  <c r="BN461" i="124" s="1"/>
  <c r="AS461" i="124"/>
  <c r="AT461" i="124" s="1"/>
  <c r="BW461" i="124"/>
  <c r="BX461" i="124" s="1"/>
  <c r="BR461" i="124"/>
  <c r="BS461" i="124" s="1"/>
  <c r="AN461" i="124"/>
  <c r="CG509" i="124"/>
  <c r="CH509" i="124" s="1"/>
  <c r="BM509" i="124"/>
  <c r="BN509" i="124" s="1"/>
  <c r="BR509" i="124"/>
  <c r="BS509" i="124" s="1"/>
  <c r="AN509" i="124"/>
  <c r="BH509" i="124"/>
  <c r="BI509" i="124" s="1"/>
  <c r="AX509" i="124"/>
  <c r="AY509" i="124" s="1"/>
  <c r="AI509" i="124"/>
  <c r="AJ509" i="124" s="1"/>
  <c r="BW509" i="124"/>
  <c r="BX509" i="124" s="1"/>
  <c r="CL509" i="124"/>
  <c r="CM509" i="124" s="1"/>
  <c r="AS509" i="124"/>
  <c r="AT509" i="124" s="1"/>
  <c r="CB509" i="124"/>
  <c r="CC509" i="124" s="1"/>
  <c r="BC509" i="124"/>
  <c r="BD509" i="124" s="1"/>
  <c r="BR434" i="124"/>
  <c r="BS434" i="124" s="1"/>
  <c r="BM434" i="124"/>
  <c r="BN434" i="124" s="1"/>
  <c r="AI434" i="124"/>
  <c r="AJ434" i="124" s="1"/>
  <c r="AS434" i="124"/>
  <c r="AT434" i="124" s="1"/>
  <c r="AN434" i="124"/>
  <c r="AO434" i="124" s="1"/>
  <c r="CB434" i="124"/>
  <c r="CC434" i="124" s="1"/>
  <c r="CG434" i="124"/>
  <c r="CH434" i="124" s="1"/>
  <c r="CL434" i="124"/>
  <c r="CM434" i="124" s="1"/>
  <c r="BC434" i="124"/>
  <c r="BD434" i="124" s="1"/>
  <c r="BW434" i="124"/>
  <c r="BX434" i="124" s="1"/>
  <c r="AX434" i="124"/>
  <c r="AY434" i="124" s="1"/>
  <c r="BH434" i="124"/>
  <c r="BI434" i="124" s="1"/>
  <c r="CL516" i="124"/>
  <c r="CM516" i="124" s="1"/>
  <c r="CB516" i="124"/>
  <c r="CC516" i="124" s="1"/>
  <c r="BM516" i="124"/>
  <c r="BN516" i="124" s="1"/>
  <c r="AI516" i="124"/>
  <c r="AJ516" i="124" s="1"/>
  <c r="BR516" i="124"/>
  <c r="BS516" i="124" s="1"/>
  <c r="AS516" i="124"/>
  <c r="AT516" i="124" s="1"/>
  <c r="BC516" i="124"/>
  <c r="BD516" i="124" s="1"/>
  <c r="BH516" i="124"/>
  <c r="BI516" i="124" s="1"/>
  <c r="AX516" i="124"/>
  <c r="AY516" i="124" s="1"/>
  <c r="BW516" i="124"/>
  <c r="BX516" i="124" s="1"/>
  <c r="CG516" i="124"/>
  <c r="CH516" i="124" s="1"/>
  <c r="AN516" i="124"/>
  <c r="BW453" i="124"/>
  <c r="BX453" i="124" s="1"/>
  <c r="BR453" i="124"/>
  <c r="BS453" i="124" s="1"/>
  <c r="AI453" i="124"/>
  <c r="AJ453" i="124" s="1"/>
  <c r="BC453" i="124"/>
  <c r="BD453" i="124" s="1"/>
  <c r="CB453" i="124"/>
  <c r="CC453" i="124" s="1"/>
  <c r="BH453" i="124"/>
  <c r="BI453" i="124" s="1"/>
  <c r="CL453" i="124"/>
  <c r="CM453" i="124" s="1"/>
  <c r="AS453" i="124"/>
  <c r="AT453" i="124" s="1"/>
  <c r="CG453" i="124"/>
  <c r="BM453" i="124"/>
  <c r="BN453" i="124" s="1"/>
  <c r="AN453" i="124"/>
  <c r="AX453" i="124"/>
  <c r="AY453" i="124" s="1"/>
  <c r="AN549" i="124"/>
  <c r="CL549" i="124"/>
  <c r="CM549" i="124" s="1"/>
  <c r="BH549" i="124"/>
  <c r="BI549" i="124" s="1"/>
  <c r="AI549" i="124"/>
  <c r="AJ549" i="124" s="1"/>
  <c r="BC549" i="124"/>
  <c r="BD549" i="124" s="1"/>
  <c r="CG549" i="124"/>
  <c r="CH549" i="124" s="1"/>
  <c r="BM549" i="124"/>
  <c r="BN549" i="124" s="1"/>
  <c r="CB549" i="124"/>
  <c r="CC549" i="124" s="1"/>
  <c r="AS549" i="124"/>
  <c r="AT549" i="124" s="1"/>
  <c r="AX549" i="124"/>
  <c r="AY549" i="124" s="1"/>
  <c r="BR549" i="124"/>
  <c r="BS549" i="124" s="1"/>
  <c r="BW549" i="124"/>
  <c r="BX549" i="124" s="1"/>
  <c r="CL565" i="124"/>
  <c r="CM565" i="124" s="1"/>
  <c r="BC565" i="124"/>
  <c r="BD565" i="124" s="1"/>
  <c r="AX565" i="124"/>
  <c r="AY565" i="124" s="1"/>
  <c r="CG565" i="124"/>
  <c r="CH565" i="124" s="1"/>
  <c r="AN565" i="124"/>
  <c r="AO565" i="124" s="1"/>
  <c r="BH565" i="124"/>
  <c r="BI565" i="124" s="1"/>
  <c r="CB565" i="124"/>
  <c r="CC565" i="124" s="1"/>
  <c r="BM565" i="124"/>
  <c r="BN565" i="124" s="1"/>
  <c r="AI565" i="124"/>
  <c r="AJ565" i="124" s="1"/>
  <c r="BW565" i="124"/>
  <c r="BX565" i="124" s="1"/>
  <c r="AS565" i="124"/>
  <c r="AT565" i="124" s="1"/>
  <c r="BR565" i="124"/>
  <c r="BS565" i="124" s="1"/>
  <c r="AS502" i="124"/>
  <c r="AT502" i="124" s="1"/>
  <c r="BR502" i="124"/>
  <c r="BS502" i="124" s="1"/>
  <c r="CL502" i="124"/>
  <c r="CM502" i="124" s="1"/>
  <c r="AN502" i="124"/>
  <c r="AO502" i="124" s="1"/>
  <c r="AX502" i="124"/>
  <c r="AY502" i="124" s="1"/>
  <c r="BC502" i="124"/>
  <c r="BD502" i="124" s="1"/>
  <c r="CG502" i="124"/>
  <c r="CH502" i="124" s="1"/>
  <c r="AI502" i="124"/>
  <c r="AJ502" i="124" s="1"/>
  <c r="BH502" i="124"/>
  <c r="BI502" i="124" s="1"/>
  <c r="BM502" i="124"/>
  <c r="BN502" i="124" s="1"/>
  <c r="BW502" i="124"/>
  <c r="BX502" i="124" s="1"/>
  <c r="CB502" i="124"/>
  <c r="CC502" i="124" s="1"/>
  <c r="BR366" i="124"/>
  <c r="BS366" i="124" s="1"/>
  <c r="AS366" i="124"/>
  <c r="AT366" i="124" s="1"/>
  <c r="CG366" i="124"/>
  <c r="CH366" i="124" s="1"/>
  <c r="BM366" i="124"/>
  <c r="BN366" i="124" s="1"/>
  <c r="BH366" i="124"/>
  <c r="BI366" i="124" s="1"/>
  <c r="AX366" i="124"/>
  <c r="AY366" i="124" s="1"/>
  <c r="BW366" i="124"/>
  <c r="BX366" i="124" s="1"/>
  <c r="AN366" i="124"/>
  <c r="CB366" i="124"/>
  <c r="CC366" i="124" s="1"/>
  <c r="CL366" i="124"/>
  <c r="CM366" i="124" s="1"/>
  <c r="AI366" i="124"/>
  <c r="AJ366" i="124" s="1"/>
  <c r="BC366" i="124"/>
  <c r="BD366" i="124" s="1"/>
  <c r="BR568" i="124"/>
  <c r="BS568" i="124" s="1"/>
  <c r="BH568" i="124"/>
  <c r="BI568" i="124" s="1"/>
  <c r="CG568" i="124"/>
  <c r="CH568" i="124" s="1"/>
  <c r="CL568" i="124"/>
  <c r="CM568" i="124" s="1"/>
  <c r="BW568" i="124"/>
  <c r="BX568" i="124" s="1"/>
  <c r="AX568" i="124"/>
  <c r="AY568" i="124" s="1"/>
  <c r="AI568" i="124"/>
  <c r="AJ568" i="124" s="1"/>
  <c r="CB568" i="124"/>
  <c r="CC568" i="124" s="1"/>
  <c r="BM568" i="124"/>
  <c r="BN568" i="124" s="1"/>
  <c r="AN568" i="124"/>
  <c r="AO568" i="124" s="1"/>
  <c r="BC568" i="124"/>
  <c r="BD568" i="124" s="1"/>
  <c r="AS568" i="124"/>
  <c r="AT568" i="124" s="1"/>
  <c r="BH372" i="124"/>
  <c r="BI372" i="124" s="1"/>
  <c r="AN372" i="124"/>
  <c r="AO372" i="124" s="1"/>
  <c r="AS372" i="124"/>
  <c r="AT372" i="124" s="1"/>
  <c r="BR372" i="124"/>
  <c r="BS372" i="124" s="1"/>
  <c r="AX372" i="124"/>
  <c r="AY372" i="124" s="1"/>
  <c r="BW372" i="124"/>
  <c r="BX372" i="124" s="1"/>
  <c r="CG372" i="124"/>
  <c r="CH372" i="124" s="1"/>
  <c r="CB372" i="124"/>
  <c r="CC372" i="124" s="1"/>
  <c r="BC372" i="124"/>
  <c r="BD372" i="124" s="1"/>
  <c r="CL372" i="124"/>
  <c r="CM372" i="124" s="1"/>
  <c r="BM372" i="124"/>
  <c r="BN372" i="124" s="1"/>
  <c r="AI372" i="124"/>
  <c r="AJ372" i="124" s="1"/>
  <c r="BC440" i="124"/>
  <c r="BD440" i="124" s="1"/>
  <c r="AX440" i="124"/>
  <c r="AY440" i="124" s="1"/>
  <c r="AS440" i="124"/>
  <c r="AT440" i="124" s="1"/>
  <c r="CB440" i="124"/>
  <c r="CC440" i="124" s="1"/>
  <c r="BW440" i="124"/>
  <c r="BX440" i="124" s="1"/>
  <c r="CL440" i="124"/>
  <c r="CM440" i="124" s="1"/>
  <c r="AN440" i="124"/>
  <c r="AO440" i="124" s="1"/>
  <c r="BH440" i="124"/>
  <c r="BI440" i="124" s="1"/>
  <c r="CG440" i="124"/>
  <c r="CH440" i="124" s="1"/>
  <c r="BM440" i="124"/>
  <c r="BN440" i="124" s="1"/>
  <c r="AI440" i="124"/>
  <c r="AJ440" i="124" s="1"/>
  <c r="BR440" i="124"/>
  <c r="BS440" i="124" s="1"/>
  <c r="CG543" i="124"/>
  <c r="CH543" i="124" s="1"/>
  <c r="BM543" i="124"/>
  <c r="BN543" i="124" s="1"/>
  <c r="CL543" i="124"/>
  <c r="CM543" i="124" s="1"/>
  <c r="AN543" i="124"/>
  <c r="AO543" i="124" s="1"/>
  <c r="BR543" i="124"/>
  <c r="BS543" i="124" s="1"/>
  <c r="AS543" i="124"/>
  <c r="AT543" i="124" s="1"/>
  <c r="BH543" i="124"/>
  <c r="BI543" i="124" s="1"/>
  <c r="BW543" i="124"/>
  <c r="BX543" i="124" s="1"/>
  <c r="AX543" i="124"/>
  <c r="AY543" i="124" s="1"/>
  <c r="BC543" i="124"/>
  <c r="BD543" i="124" s="1"/>
  <c r="CB543" i="124"/>
  <c r="CC543" i="124" s="1"/>
  <c r="AI543" i="124"/>
  <c r="AJ543" i="124" s="1"/>
  <c r="AX460" i="124"/>
  <c r="AY460" i="124" s="1"/>
  <c r="CG460" i="124"/>
  <c r="CH460" i="124" s="1"/>
  <c r="BW460" i="124"/>
  <c r="BX460" i="124" s="1"/>
  <c r="BM460" i="124"/>
  <c r="BN460" i="124" s="1"/>
  <c r="CB460" i="124"/>
  <c r="CC460" i="124" s="1"/>
  <c r="AI460" i="124"/>
  <c r="AJ460" i="124" s="1"/>
  <c r="BC460" i="124"/>
  <c r="BD460" i="124" s="1"/>
  <c r="CL460" i="124"/>
  <c r="CM460" i="124" s="1"/>
  <c r="BR460" i="124"/>
  <c r="BS460" i="124" s="1"/>
  <c r="BH460" i="124"/>
  <c r="BI460" i="124" s="1"/>
  <c r="AN460" i="124"/>
  <c r="AS460" i="124"/>
  <c r="AT460" i="124" s="1"/>
  <c r="AS488" i="124"/>
  <c r="AT488" i="124" s="1"/>
  <c r="BH488" i="124"/>
  <c r="BI488" i="124" s="1"/>
  <c r="BC488" i="124"/>
  <c r="BD488" i="124" s="1"/>
  <c r="CB488" i="124"/>
  <c r="CC488" i="124" s="1"/>
  <c r="AN488" i="124"/>
  <c r="AO488" i="124" s="1"/>
  <c r="BW488" i="124"/>
  <c r="BX488" i="124" s="1"/>
  <c r="CG488" i="124"/>
  <c r="CH488" i="124" s="1"/>
  <c r="AI488" i="124"/>
  <c r="AJ488" i="124" s="1"/>
  <c r="CL488" i="124"/>
  <c r="CM488" i="124" s="1"/>
  <c r="BR488" i="124"/>
  <c r="BS488" i="124" s="1"/>
  <c r="AX488" i="124"/>
  <c r="AY488" i="124" s="1"/>
  <c r="BM488" i="124"/>
  <c r="BN488" i="124" s="1"/>
  <c r="CG546" i="124"/>
  <c r="CH546" i="124" s="1"/>
  <c r="BR546" i="124"/>
  <c r="BS546" i="124" s="1"/>
  <c r="BM546" i="124"/>
  <c r="BN546" i="124" s="1"/>
  <c r="AN546" i="124"/>
  <c r="AO546" i="124" s="1"/>
  <c r="BH546" i="124"/>
  <c r="BI546" i="124" s="1"/>
  <c r="BW546" i="124"/>
  <c r="BX546" i="124" s="1"/>
  <c r="CL546" i="124"/>
  <c r="CM546" i="124" s="1"/>
  <c r="AS546" i="124"/>
  <c r="AT546" i="124" s="1"/>
  <c r="BC546" i="124"/>
  <c r="BD546" i="124" s="1"/>
  <c r="CB546" i="124"/>
  <c r="CC546" i="124" s="1"/>
  <c r="AI546" i="124"/>
  <c r="AJ546" i="124" s="1"/>
  <c r="AX546" i="124"/>
  <c r="AY546" i="124" s="1"/>
  <c r="BC544" i="124"/>
  <c r="BD544" i="124" s="1"/>
  <c r="BM544" i="124"/>
  <c r="BN544" i="124" s="1"/>
  <c r="BH544" i="124"/>
  <c r="BI544" i="124" s="1"/>
  <c r="BW544" i="124"/>
  <c r="BX544" i="124" s="1"/>
  <c r="CB544" i="124"/>
  <c r="CC544" i="124" s="1"/>
  <c r="CL544" i="124"/>
  <c r="CM544" i="124" s="1"/>
  <c r="CG544" i="124"/>
  <c r="CH544" i="124" s="1"/>
  <c r="AN544" i="124"/>
  <c r="AI544" i="124"/>
  <c r="AJ544" i="124" s="1"/>
  <c r="AS544" i="124"/>
  <c r="AT544" i="124" s="1"/>
  <c r="AX544" i="124"/>
  <c r="AY544" i="124" s="1"/>
  <c r="BR544" i="124"/>
  <c r="BS544" i="124" s="1"/>
  <c r="AX566" i="124"/>
  <c r="AY566" i="124" s="1"/>
  <c r="AI566" i="124"/>
  <c r="AJ566" i="124" s="1"/>
  <c r="BR566" i="124"/>
  <c r="BS566" i="124" s="1"/>
  <c r="AS566" i="124"/>
  <c r="AT566" i="124" s="1"/>
  <c r="CG566" i="124"/>
  <c r="CH566" i="124" s="1"/>
  <c r="BH566" i="124"/>
  <c r="BI566" i="124" s="1"/>
  <c r="CB566" i="124"/>
  <c r="CC566" i="124" s="1"/>
  <c r="BM566" i="124"/>
  <c r="BN566" i="124" s="1"/>
  <c r="BW566" i="124"/>
  <c r="BX566" i="124" s="1"/>
  <c r="CL566" i="124"/>
  <c r="CM566" i="124" s="1"/>
  <c r="BC566" i="124"/>
  <c r="BD566" i="124" s="1"/>
  <c r="AN566" i="124"/>
  <c r="BW463" i="124"/>
  <c r="BX463" i="124" s="1"/>
  <c r="CB463" i="124"/>
  <c r="CC463" i="124" s="1"/>
  <c r="BH463" i="124"/>
  <c r="BI463" i="124" s="1"/>
  <c r="BC463" i="124"/>
  <c r="BD463" i="124" s="1"/>
  <c r="CL463" i="124"/>
  <c r="CM463" i="124" s="1"/>
  <c r="AI463" i="124"/>
  <c r="AJ463" i="124" s="1"/>
  <c r="AS463" i="124"/>
  <c r="AT463" i="124" s="1"/>
  <c r="AN463" i="124"/>
  <c r="BM463" i="124"/>
  <c r="BN463" i="124" s="1"/>
  <c r="BR463" i="124"/>
  <c r="BS463" i="124" s="1"/>
  <c r="CG463" i="124"/>
  <c r="CH463" i="124" s="1"/>
  <c r="AX463" i="124"/>
  <c r="AY463" i="124" s="1"/>
  <c r="AI574" i="124"/>
  <c r="AJ574" i="124" s="1"/>
  <c r="AX574" i="124"/>
  <c r="AY574" i="124" s="1"/>
  <c r="CL574" i="124"/>
  <c r="CM574" i="124" s="1"/>
  <c r="BC574" i="124"/>
  <c r="BD574" i="124" s="1"/>
  <c r="BM574" i="124"/>
  <c r="BN574" i="124" s="1"/>
  <c r="AN574" i="124"/>
  <c r="AO574" i="124" s="1"/>
  <c r="BW574" i="124"/>
  <c r="BX574" i="124" s="1"/>
  <c r="AS574" i="124"/>
  <c r="AT574" i="124" s="1"/>
  <c r="CB574" i="124"/>
  <c r="CC574" i="124" s="1"/>
  <c r="BH574" i="124"/>
  <c r="BI574" i="124" s="1"/>
  <c r="CG574" i="124"/>
  <c r="CH574" i="124" s="1"/>
  <c r="BR574" i="124"/>
  <c r="BS574" i="124" s="1"/>
  <c r="AS580" i="124"/>
  <c r="AT580" i="124" s="1"/>
  <c r="CL580" i="124"/>
  <c r="CM580" i="124" s="1"/>
  <c r="BC580" i="124"/>
  <c r="BD580" i="124" s="1"/>
  <c r="BR580" i="124"/>
  <c r="BS580" i="124" s="1"/>
  <c r="BH580" i="124"/>
  <c r="BI580" i="124" s="1"/>
  <c r="CB580" i="124"/>
  <c r="CC580" i="124" s="1"/>
  <c r="BW580" i="124"/>
  <c r="BX580" i="124" s="1"/>
  <c r="BM580" i="124"/>
  <c r="BN580" i="124" s="1"/>
  <c r="AI580" i="124"/>
  <c r="AJ580" i="124" s="1"/>
  <c r="AN580" i="124"/>
  <c r="CG580" i="124"/>
  <c r="CH580" i="124" s="1"/>
  <c r="AX580" i="124"/>
  <c r="AY580" i="124" s="1"/>
  <c r="CL390" i="124"/>
  <c r="CM390" i="124" s="1"/>
  <c r="BM390" i="124"/>
  <c r="BN390" i="124" s="1"/>
  <c r="BR390" i="124"/>
  <c r="BS390" i="124" s="1"/>
  <c r="CG390" i="124"/>
  <c r="CH390" i="124" s="1"/>
  <c r="AX390" i="124"/>
  <c r="AY390" i="124" s="1"/>
  <c r="BC390" i="124"/>
  <c r="BD390" i="124" s="1"/>
  <c r="BW390" i="124"/>
  <c r="BX390" i="124" s="1"/>
  <c r="AS390" i="124"/>
  <c r="AT390" i="124" s="1"/>
  <c r="AI390" i="124"/>
  <c r="AJ390" i="124" s="1"/>
  <c r="BH390" i="124"/>
  <c r="BI390" i="124" s="1"/>
  <c r="AN390" i="124"/>
  <c r="AO390" i="124" s="1"/>
  <c r="CB390" i="124"/>
  <c r="CC390" i="124" s="1"/>
  <c r="AX445" i="124"/>
  <c r="AY445" i="124" s="1"/>
  <c r="BW445" i="124"/>
  <c r="BX445" i="124" s="1"/>
  <c r="CG445" i="124"/>
  <c r="CH445" i="124" s="1"/>
  <c r="AS445" i="124"/>
  <c r="AT445" i="124" s="1"/>
  <c r="AN445" i="124"/>
  <c r="AO445" i="124" s="1"/>
  <c r="CL445" i="124"/>
  <c r="CM445" i="124" s="1"/>
  <c r="CB445" i="124"/>
  <c r="CC445" i="124" s="1"/>
  <c r="BH445" i="124"/>
  <c r="BI445" i="124" s="1"/>
  <c r="BR445" i="124"/>
  <c r="BS445" i="124" s="1"/>
  <c r="BM445" i="124"/>
  <c r="BN445" i="124" s="1"/>
  <c r="AI445" i="124"/>
  <c r="AJ445" i="124" s="1"/>
  <c r="BC445" i="124"/>
  <c r="BD445" i="124" s="1"/>
  <c r="BC412" i="124"/>
  <c r="BD412" i="124" s="1"/>
  <c r="BR412" i="124"/>
  <c r="BS412" i="124" s="1"/>
  <c r="AN412" i="124"/>
  <c r="AO412" i="124" s="1"/>
  <c r="AX412" i="124"/>
  <c r="AY412" i="124" s="1"/>
  <c r="CL412" i="124"/>
  <c r="CM412" i="124" s="1"/>
  <c r="BH412" i="124"/>
  <c r="BI412" i="124" s="1"/>
  <c r="BW412" i="124"/>
  <c r="BX412" i="124" s="1"/>
  <c r="AI412" i="124"/>
  <c r="AJ412" i="124" s="1"/>
  <c r="BM412" i="124"/>
  <c r="BN412" i="124" s="1"/>
  <c r="AS412" i="124"/>
  <c r="AT412" i="124" s="1"/>
  <c r="CG412" i="124"/>
  <c r="CH412" i="124" s="1"/>
  <c r="CB412" i="124"/>
  <c r="CC412" i="124" s="1"/>
  <c r="CB525" i="124"/>
  <c r="CC525" i="124" s="1"/>
  <c r="BR525" i="124"/>
  <c r="BS525" i="124" s="1"/>
  <c r="BC525" i="124"/>
  <c r="BD525" i="124" s="1"/>
  <c r="CL525" i="124"/>
  <c r="CM525" i="124" s="1"/>
  <c r="AN525" i="124"/>
  <c r="AO525" i="124" s="1"/>
  <c r="BM525" i="124"/>
  <c r="BN525" i="124" s="1"/>
  <c r="CG525" i="124"/>
  <c r="CH525" i="124" s="1"/>
  <c r="AS525" i="124"/>
  <c r="AT525" i="124" s="1"/>
  <c r="AX525" i="124"/>
  <c r="AY525" i="124" s="1"/>
  <c r="BW525" i="124"/>
  <c r="BX525" i="124" s="1"/>
  <c r="BH525" i="124"/>
  <c r="BI525" i="124" s="1"/>
  <c r="AI525" i="124"/>
  <c r="AJ525" i="124" s="1"/>
  <c r="AS555" i="124"/>
  <c r="AT555" i="124" s="1"/>
  <c r="CL555" i="124"/>
  <c r="CM555" i="124" s="1"/>
  <c r="AI555" i="124"/>
  <c r="AJ555" i="124" s="1"/>
  <c r="CB555" i="124"/>
  <c r="CC555" i="124" s="1"/>
  <c r="AX555" i="124"/>
  <c r="AY555" i="124" s="1"/>
  <c r="BW555" i="124"/>
  <c r="BX555" i="124" s="1"/>
  <c r="BH555" i="124"/>
  <c r="BI555" i="124" s="1"/>
  <c r="AN555" i="124"/>
  <c r="CG555" i="124"/>
  <c r="CH555" i="124" s="1"/>
  <c r="BM555" i="124"/>
  <c r="BN555" i="124" s="1"/>
  <c r="BR555" i="124"/>
  <c r="BS555" i="124" s="1"/>
  <c r="BC555" i="124"/>
  <c r="BD555" i="124" s="1"/>
  <c r="AN493" i="124"/>
  <c r="AO493" i="124" s="1"/>
  <c r="CG493" i="124"/>
  <c r="CH493" i="124" s="1"/>
  <c r="CL493" i="124"/>
  <c r="CM493" i="124" s="1"/>
  <c r="AS493" i="124"/>
  <c r="AT493" i="124" s="1"/>
  <c r="BH493" i="124"/>
  <c r="BI493" i="124" s="1"/>
  <c r="AI493" i="124"/>
  <c r="AJ493" i="124" s="1"/>
  <c r="BR493" i="124"/>
  <c r="BS493" i="124" s="1"/>
  <c r="BC493" i="124"/>
  <c r="BD493" i="124" s="1"/>
  <c r="AX493" i="124"/>
  <c r="AY493" i="124" s="1"/>
  <c r="BM493" i="124"/>
  <c r="BN493" i="124" s="1"/>
  <c r="CB493" i="124"/>
  <c r="CC493" i="124" s="1"/>
  <c r="BW493" i="124"/>
  <c r="BX493" i="124" s="1"/>
  <c r="BC471" i="124"/>
  <c r="BD471" i="124" s="1"/>
  <c r="BR471" i="124"/>
  <c r="BS471" i="124" s="1"/>
  <c r="BH471" i="124"/>
  <c r="BI471" i="124" s="1"/>
  <c r="BM471" i="124"/>
  <c r="BN471" i="124" s="1"/>
  <c r="AN471" i="124"/>
  <c r="AO471" i="124" s="1"/>
  <c r="CG471" i="124"/>
  <c r="CH471" i="124" s="1"/>
  <c r="CB471" i="124"/>
  <c r="CC471" i="124" s="1"/>
  <c r="CL471" i="124"/>
  <c r="CM471" i="124" s="1"/>
  <c r="AS471" i="124"/>
  <c r="AT471" i="124" s="1"/>
  <c r="AX471" i="124"/>
  <c r="AY471" i="124" s="1"/>
  <c r="AI471" i="124"/>
  <c r="AJ471" i="124" s="1"/>
  <c r="BW471" i="124"/>
  <c r="BX471" i="124" s="1"/>
  <c r="AI560" i="124"/>
  <c r="AJ560" i="124" s="1"/>
  <c r="AX560" i="124"/>
  <c r="AY560" i="124" s="1"/>
  <c r="CG560" i="124"/>
  <c r="CH560" i="124" s="1"/>
  <c r="CL560" i="124"/>
  <c r="CM560" i="124" s="1"/>
  <c r="BC560" i="124"/>
  <c r="BD560" i="124" s="1"/>
  <c r="BW560" i="124"/>
  <c r="BX560" i="124" s="1"/>
  <c r="CB560" i="124"/>
  <c r="CC560" i="124" s="1"/>
  <c r="BH560" i="124"/>
  <c r="BI560" i="124" s="1"/>
  <c r="AN560" i="124"/>
  <c r="AO560" i="124" s="1"/>
  <c r="BR560" i="124"/>
  <c r="BS560" i="124" s="1"/>
  <c r="BM560" i="124"/>
  <c r="BN560" i="124" s="1"/>
  <c r="AS560" i="124"/>
  <c r="AT560" i="124" s="1"/>
  <c r="CB456" i="124"/>
  <c r="CC456" i="124" s="1"/>
  <c r="CG456" i="124"/>
  <c r="CH456" i="124" s="1"/>
  <c r="AI456" i="124"/>
  <c r="AJ456" i="124" s="1"/>
  <c r="AX456" i="124"/>
  <c r="AY456" i="124" s="1"/>
  <c r="BR456" i="124"/>
  <c r="BS456" i="124" s="1"/>
  <c r="AS456" i="124"/>
  <c r="AT456" i="124" s="1"/>
  <c r="BH456" i="124"/>
  <c r="BI456" i="124" s="1"/>
  <c r="BC456" i="124"/>
  <c r="BD456" i="124" s="1"/>
  <c r="AN456" i="124"/>
  <c r="BM456" i="124"/>
  <c r="BN456" i="124" s="1"/>
  <c r="CL456" i="124"/>
  <c r="CM456" i="124" s="1"/>
  <c r="BW456" i="124"/>
  <c r="BX456" i="124" s="1"/>
  <c r="BW450" i="124"/>
  <c r="BX450" i="124" s="1"/>
  <c r="AX450" i="124"/>
  <c r="AY450" i="124" s="1"/>
  <c r="CG450" i="124"/>
  <c r="CH450" i="124" s="1"/>
  <c r="BC450" i="124"/>
  <c r="BD450" i="124" s="1"/>
  <c r="BR450" i="124"/>
  <c r="BS450" i="124" s="1"/>
  <c r="AS450" i="124"/>
  <c r="AT450" i="124" s="1"/>
  <c r="CB450" i="124"/>
  <c r="CC450" i="124" s="1"/>
  <c r="AI450" i="124"/>
  <c r="AJ450" i="124" s="1"/>
  <c r="AN450" i="124"/>
  <c r="AO450" i="124" s="1"/>
  <c r="BM450" i="124"/>
  <c r="BN450" i="124" s="1"/>
  <c r="BH450" i="124"/>
  <c r="BI450" i="124" s="1"/>
  <c r="CL450" i="124"/>
  <c r="CM450" i="124" s="1"/>
  <c r="BH526" i="124"/>
  <c r="BI526" i="124" s="1"/>
  <c r="AI526" i="124"/>
  <c r="AJ526" i="124" s="1"/>
  <c r="CB526" i="124"/>
  <c r="CC526" i="124" s="1"/>
  <c r="BC526" i="124"/>
  <c r="BD526" i="124" s="1"/>
  <c r="BR526" i="124"/>
  <c r="BS526" i="124" s="1"/>
  <c r="AX526" i="124"/>
  <c r="AY526" i="124" s="1"/>
  <c r="AN526" i="124"/>
  <c r="AO526" i="124" s="1"/>
  <c r="BM526" i="124"/>
  <c r="BN526" i="124" s="1"/>
  <c r="CG526" i="124"/>
  <c r="CH526" i="124" s="1"/>
  <c r="BW526" i="124"/>
  <c r="BX526" i="124" s="1"/>
  <c r="AS526" i="124"/>
  <c r="AT526" i="124" s="1"/>
  <c r="CL526" i="124"/>
  <c r="CM526" i="124" s="1"/>
  <c r="BC25" i="124"/>
  <c r="BD25" i="124" s="1"/>
  <c r="BE25" i="124" s="1"/>
  <c r="AX25" i="124"/>
  <c r="AY25" i="124" s="1"/>
  <c r="AZ25" i="124" s="1"/>
  <c r="AI25" i="124"/>
  <c r="AJ25" i="124" s="1"/>
  <c r="AK25" i="124" s="1"/>
  <c r="CL25" i="124"/>
  <c r="CM25" i="124" s="1"/>
  <c r="CN25" i="124" s="1"/>
  <c r="AS25" i="124"/>
  <c r="AT25" i="124" s="1"/>
  <c r="AU25" i="124" s="1"/>
  <c r="CG25" i="124"/>
  <c r="CH25" i="124" s="1"/>
  <c r="CI25" i="124" s="1"/>
  <c r="BR25" i="124"/>
  <c r="BS25" i="124" s="1"/>
  <c r="BT25" i="124" s="1"/>
  <c r="AN25" i="124"/>
  <c r="AO25" i="124" s="1"/>
  <c r="AP25" i="124" s="1"/>
  <c r="CB25" i="124"/>
  <c r="CC25" i="124" s="1"/>
  <c r="CD25" i="124" s="1"/>
  <c r="BW25" i="124"/>
  <c r="BX25" i="124" s="1"/>
  <c r="BY25" i="124" s="1"/>
  <c r="BM25" i="124"/>
  <c r="BN25" i="124" s="1"/>
  <c r="BO25" i="124" s="1"/>
  <c r="BH25" i="124"/>
  <c r="BI25" i="124" s="1"/>
  <c r="BJ25" i="124" s="1"/>
  <c r="BH314" i="124"/>
  <c r="BI314" i="124" s="1"/>
  <c r="BC314" i="124"/>
  <c r="BD314" i="124" s="1"/>
  <c r="BW314" i="124"/>
  <c r="BX314" i="124" s="1"/>
  <c r="CL314" i="124"/>
  <c r="CM314" i="124" s="1"/>
  <c r="CB314" i="124"/>
  <c r="CC314" i="124" s="1"/>
  <c r="CG314" i="124"/>
  <c r="CH314" i="124" s="1"/>
  <c r="BR314" i="124"/>
  <c r="BS314" i="124" s="1"/>
  <c r="AX314" i="124"/>
  <c r="AY314" i="124" s="1"/>
  <c r="BM314" i="124"/>
  <c r="BN314" i="124" s="1"/>
  <c r="AS314" i="124"/>
  <c r="AT314" i="124" s="1"/>
  <c r="AN314" i="124"/>
  <c r="AI314" i="124"/>
  <c r="AJ314" i="124" s="1"/>
  <c r="BW343" i="124"/>
  <c r="BX343" i="124" s="1"/>
  <c r="BC343" i="124"/>
  <c r="BD343" i="124" s="1"/>
  <c r="CB343" i="124"/>
  <c r="CC343" i="124" s="1"/>
  <c r="BM343" i="124"/>
  <c r="BN343" i="124" s="1"/>
  <c r="AX343" i="124"/>
  <c r="AY343" i="124" s="1"/>
  <c r="CG343" i="124"/>
  <c r="CH343" i="124" s="1"/>
  <c r="BR343" i="124"/>
  <c r="BS343" i="124" s="1"/>
  <c r="BH343" i="124"/>
  <c r="BI343" i="124" s="1"/>
  <c r="CL343" i="124"/>
  <c r="CM343" i="124" s="1"/>
  <c r="AS343" i="124"/>
  <c r="AT343" i="124" s="1"/>
  <c r="AN343" i="124"/>
  <c r="AI343" i="124"/>
  <c r="AJ343" i="124" s="1"/>
  <c r="CB378" i="124"/>
  <c r="CC378" i="124" s="1"/>
  <c r="BH378" i="124"/>
  <c r="BI378" i="124" s="1"/>
  <c r="BM378" i="124"/>
  <c r="BN378" i="124" s="1"/>
  <c r="CL378" i="124"/>
  <c r="CM378" i="124" s="1"/>
  <c r="CG378" i="124"/>
  <c r="CH378" i="124" s="1"/>
  <c r="BC378" i="124"/>
  <c r="BD378" i="124" s="1"/>
  <c r="BW378" i="124"/>
  <c r="BX378" i="124" s="1"/>
  <c r="AX378" i="124"/>
  <c r="AY378" i="124" s="1"/>
  <c r="BR378" i="124"/>
  <c r="BS378" i="124" s="1"/>
  <c r="AS378" i="124"/>
  <c r="AT378" i="124" s="1"/>
  <c r="AN378" i="124"/>
  <c r="AO378" i="124" s="1"/>
  <c r="AI378" i="124"/>
  <c r="AJ378" i="124" s="1"/>
  <c r="BC531" i="124"/>
  <c r="BD531" i="124" s="1"/>
  <c r="BH531" i="124"/>
  <c r="BI531" i="124" s="1"/>
  <c r="BW531" i="124"/>
  <c r="BX531" i="124" s="1"/>
  <c r="AX531" i="124"/>
  <c r="AY531" i="124" s="1"/>
  <c r="BM531" i="124"/>
  <c r="BN531" i="124" s="1"/>
  <c r="CG531" i="124"/>
  <c r="CH531" i="124" s="1"/>
  <c r="BR531" i="124"/>
  <c r="BS531" i="124" s="1"/>
  <c r="CL531" i="124"/>
  <c r="CM531" i="124" s="1"/>
  <c r="CB531" i="124"/>
  <c r="CC531" i="124" s="1"/>
  <c r="AS531" i="124"/>
  <c r="AT531" i="124" s="1"/>
  <c r="AN531" i="124"/>
  <c r="AO531" i="124" s="1"/>
  <c r="AI531" i="124"/>
  <c r="AJ531" i="124" s="1"/>
  <c r="AI399" i="124"/>
  <c r="AJ399" i="124" s="1"/>
  <c r="CB399" i="124"/>
  <c r="CC399" i="124" s="1"/>
  <c r="CG399" i="124"/>
  <c r="CH399" i="124" s="1"/>
  <c r="AS399" i="124"/>
  <c r="AT399" i="124" s="1"/>
  <c r="BM399" i="124"/>
  <c r="BN399" i="124" s="1"/>
  <c r="AX399" i="124"/>
  <c r="AY399" i="124" s="1"/>
  <c r="BH399" i="124"/>
  <c r="BI399" i="124" s="1"/>
  <c r="BW399" i="124"/>
  <c r="BX399" i="124" s="1"/>
  <c r="BR399" i="124"/>
  <c r="BS399" i="124" s="1"/>
  <c r="BC399" i="124"/>
  <c r="BD399" i="124" s="1"/>
  <c r="AN399" i="124"/>
  <c r="AO399" i="124" s="1"/>
  <c r="CL399" i="124"/>
  <c r="CM399" i="124" s="1"/>
  <c r="BH586" i="124"/>
  <c r="BI586" i="124" s="1"/>
  <c r="BC586" i="124"/>
  <c r="BD586" i="124" s="1"/>
  <c r="AX586" i="124"/>
  <c r="AY586" i="124" s="1"/>
  <c r="CG586" i="124"/>
  <c r="CH586" i="124" s="1"/>
  <c r="BR586" i="124"/>
  <c r="BS586" i="124" s="1"/>
  <c r="CL586" i="124"/>
  <c r="CM586" i="124" s="1"/>
  <c r="BW586" i="124"/>
  <c r="BX586" i="124" s="1"/>
  <c r="BM586" i="124"/>
  <c r="BN586" i="124" s="1"/>
  <c r="CB586" i="124"/>
  <c r="CC586" i="124" s="1"/>
  <c r="AS586" i="124"/>
  <c r="AT586" i="124" s="1"/>
  <c r="AN586" i="124"/>
  <c r="AI586" i="124"/>
  <c r="AJ586" i="124" s="1"/>
  <c r="AX393" i="124"/>
  <c r="AY393" i="124" s="1"/>
  <c r="AN393" i="124"/>
  <c r="AO393" i="124" s="1"/>
  <c r="CG393" i="124"/>
  <c r="CH393" i="124" s="1"/>
  <c r="BH393" i="124"/>
  <c r="BI393" i="124" s="1"/>
  <c r="BR393" i="124"/>
  <c r="BS393" i="124" s="1"/>
  <c r="CL393" i="124"/>
  <c r="CM393" i="124" s="1"/>
  <c r="CB393" i="124"/>
  <c r="CC393" i="124" s="1"/>
  <c r="AS393" i="124"/>
  <c r="AT393" i="124" s="1"/>
  <c r="AI393" i="124"/>
  <c r="AJ393" i="124" s="1"/>
  <c r="BC393" i="124"/>
  <c r="BD393" i="124" s="1"/>
  <c r="BM393" i="124"/>
  <c r="BN393" i="124" s="1"/>
  <c r="BW393" i="124"/>
  <c r="BX393" i="124" s="1"/>
  <c r="BH192" i="124"/>
  <c r="BI192" i="124" s="1"/>
  <c r="BJ192" i="124" s="1"/>
  <c r="BM192" i="124"/>
  <c r="BN192" i="124" s="1"/>
  <c r="BO192" i="124" s="1"/>
  <c r="CB192" i="124"/>
  <c r="CC192" i="124" s="1"/>
  <c r="CD192" i="124" s="1"/>
  <c r="BW192" i="124"/>
  <c r="BX192" i="124" s="1"/>
  <c r="BY192" i="124" s="1"/>
  <c r="CG192" i="124"/>
  <c r="CH192" i="124" s="1"/>
  <c r="CI192" i="124" s="1"/>
  <c r="BR192" i="124"/>
  <c r="BS192" i="124" s="1"/>
  <c r="BT192" i="124" s="1"/>
  <c r="BC192" i="124"/>
  <c r="BD192" i="124" s="1"/>
  <c r="BE192" i="124" s="1"/>
  <c r="AX192" i="124"/>
  <c r="AY192" i="124" s="1"/>
  <c r="AZ192" i="124" s="1"/>
  <c r="CL192" i="124"/>
  <c r="CM192" i="124" s="1"/>
  <c r="CN192" i="124" s="1"/>
  <c r="AS192" i="124"/>
  <c r="AT192" i="124" s="1"/>
  <c r="AU192" i="124" s="1"/>
  <c r="AN192" i="124"/>
  <c r="AO192" i="124" s="1"/>
  <c r="AP192" i="124" s="1"/>
  <c r="AI192" i="124"/>
  <c r="AJ192" i="124" s="1"/>
  <c r="BC321" i="124"/>
  <c r="BD321" i="124" s="1"/>
  <c r="BH321" i="124"/>
  <c r="BI321" i="124" s="1"/>
  <c r="BM321" i="124"/>
  <c r="BN321" i="124" s="1"/>
  <c r="CB321" i="124"/>
  <c r="CC321" i="124" s="1"/>
  <c r="CG321" i="124"/>
  <c r="CH321" i="124" s="1"/>
  <c r="CL321" i="124"/>
  <c r="CM321" i="124" s="1"/>
  <c r="AX321" i="124"/>
  <c r="AY321" i="124" s="1"/>
  <c r="BR321" i="124"/>
  <c r="BS321" i="124" s="1"/>
  <c r="BW321" i="124"/>
  <c r="BX321" i="124" s="1"/>
  <c r="AS321" i="124"/>
  <c r="AT321" i="124" s="1"/>
  <c r="AN321" i="124"/>
  <c r="AO321" i="124" s="1"/>
  <c r="AI321" i="124"/>
  <c r="AJ321" i="124" s="1"/>
  <c r="BW355" i="124"/>
  <c r="BX355" i="124" s="1"/>
  <c r="BM355" i="124"/>
  <c r="BN355" i="124" s="1"/>
  <c r="AI355" i="124"/>
  <c r="AJ355" i="124" s="1"/>
  <c r="BR355" i="124"/>
  <c r="BS355" i="124" s="1"/>
  <c r="BH355" i="124"/>
  <c r="BI355" i="124" s="1"/>
  <c r="CL355" i="124"/>
  <c r="CM355" i="124" s="1"/>
  <c r="AX355" i="124"/>
  <c r="AY355" i="124" s="1"/>
  <c r="CB355" i="124"/>
  <c r="CC355" i="124" s="1"/>
  <c r="AN355" i="124"/>
  <c r="AO355" i="124" s="1"/>
  <c r="BC355" i="124"/>
  <c r="BD355" i="124" s="1"/>
  <c r="AS355" i="124"/>
  <c r="AT355" i="124" s="1"/>
  <c r="CG355" i="124"/>
  <c r="CH355" i="124" s="1"/>
  <c r="BC394" i="124"/>
  <c r="BD394" i="124" s="1"/>
  <c r="AX394" i="124"/>
  <c r="AY394" i="124" s="1"/>
  <c r="CL394" i="124"/>
  <c r="CM394" i="124" s="1"/>
  <c r="CB394" i="124"/>
  <c r="CC394" i="124" s="1"/>
  <c r="AN394" i="124"/>
  <c r="CG394" i="124"/>
  <c r="CH394" i="124" s="1"/>
  <c r="BR394" i="124"/>
  <c r="BS394" i="124" s="1"/>
  <c r="BM394" i="124"/>
  <c r="BN394" i="124" s="1"/>
  <c r="BH394" i="124"/>
  <c r="BI394" i="124" s="1"/>
  <c r="BW394" i="124"/>
  <c r="BX394" i="124" s="1"/>
  <c r="AS394" i="124"/>
  <c r="AT394" i="124" s="1"/>
  <c r="AI394" i="124"/>
  <c r="AJ394" i="124" s="1"/>
  <c r="CG357" i="124"/>
  <c r="CH357" i="124" s="1"/>
  <c r="BH357" i="124"/>
  <c r="BI357" i="124" s="1"/>
  <c r="BM357" i="124"/>
  <c r="BN357" i="124" s="1"/>
  <c r="CB357" i="124"/>
  <c r="CC357" i="124" s="1"/>
  <c r="CL357" i="124"/>
  <c r="CM357" i="124" s="1"/>
  <c r="AI357" i="124"/>
  <c r="AJ357" i="124" s="1"/>
  <c r="AN357" i="124"/>
  <c r="AO357" i="124" s="1"/>
  <c r="AX357" i="124"/>
  <c r="AY357" i="124" s="1"/>
  <c r="BW357" i="124"/>
  <c r="BX357" i="124" s="1"/>
  <c r="AS357" i="124"/>
  <c r="AT357" i="124" s="1"/>
  <c r="BR357" i="124"/>
  <c r="BS357" i="124" s="1"/>
  <c r="BC357" i="124"/>
  <c r="BD357" i="124" s="1"/>
  <c r="BC340" i="124"/>
  <c r="BD340" i="124" s="1"/>
  <c r="BH340" i="124"/>
  <c r="BI340" i="124" s="1"/>
  <c r="CL340" i="124"/>
  <c r="CM340" i="124" s="1"/>
  <c r="BM340" i="124"/>
  <c r="BN340" i="124" s="1"/>
  <c r="BR340" i="124"/>
  <c r="BS340" i="124" s="1"/>
  <c r="BW340" i="124"/>
  <c r="BX340" i="124" s="1"/>
  <c r="CB340" i="124"/>
  <c r="CC340" i="124" s="1"/>
  <c r="AX340" i="124"/>
  <c r="AY340" i="124" s="1"/>
  <c r="CG340" i="124"/>
  <c r="CH340" i="124" s="1"/>
  <c r="AS340" i="124"/>
  <c r="AT340" i="124" s="1"/>
  <c r="AN340" i="124"/>
  <c r="AI340" i="124"/>
  <c r="AJ340" i="124" s="1"/>
  <c r="BR403" i="124"/>
  <c r="BS403" i="124" s="1"/>
  <c r="BW403" i="124"/>
  <c r="BX403" i="124" s="1"/>
  <c r="AN403" i="124"/>
  <c r="AS403" i="124"/>
  <c r="AT403" i="124" s="1"/>
  <c r="BC403" i="124"/>
  <c r="BD403" i="124" s="1"/>
  <c r="BM403" i="124"/>
  <c r="BN403" i="124" s="1"/>
  <c r="BH403" i="124"/>
  <c r="BI403" i="124" s="1"/>
  <c r="CB403" i="124"/>
  <c r="CC403" i="124" s="1"/>
  <c r="CL403" i="124"/>
  <c r="CM403" i="124" s="1"/>
  <c r="CG403" i="124"/>
  <c r="CH403" i="124" s="1"/>
  <c r="AI403" i="124"/>
  <c r="AJ403" i="124" s="1"/>
  <c r="AX403" i="124"/>
  <c r="AY403" i="124" s="1"/>
  <c r="BC316" i="124"/>
  <c r="BD316" i="124" s="1"/>
  <c r="BW316" i="124"/>
  <c r="BX316" i="124" s="1"/>
  <c r="BH316" i="124"/>
  <c r="BI316" i="124" s="1"/>
  <c r="BM316" i="124"/>
  <c r="BN316" i="124" s="1"/>
  <c r="CB316" i="124"/>
  <c r="CC316" i="124" s="1"/>
  <c r="AX316" i="124"/>
  <c r="AY316" i="124" s="1"/>
  <c r="CG316" i="124"/>
  <c r="CH316" i="124" s="1"/>
  <c r="BR316" i="124"/>
  <c r="BS316" i="124" s="1"/>
  <c r="CL316" i="124"/>
  <c r="CM316" i="124" s="1"/>
  <c r="AS316" i="124"/>
  <c r="AT316" i="124" s="1"/>
  <c r="AN316" i="124"/>
  <c r="AO316" i="124" s="1"/>
  <c r="AI316" i="124"/>
  <c r="AJ316" i="124" s="1"/>
  <c r="CL375" i="124"/>
  <c r="CM375" i="124" s="1"/>
  <c r="BM375" i="124"/>
  <c r="BN375" i="124" s="1"/>
  <c r="BR375" i="124"/>
  <c r="BS375" i="124" s="1"/>
  <c r="AX375" i="124"/>
  <c r="AY375" i="124" s="1"/>
  <c r="BC375" i="124"/>
  <c r="BD375" i="124" s="1"/>
  <c r="BW375" i="124"/>
  <c r="BX375" i="124" s="1"/>
  <c r="CG375" i="124"/>
  <c r="CH375" i="124" s="1"/>
  <c r="AI375" i="124"/>
  <c r="AJ375" i="124" s="1"/>
  <c r="AN375" i="124"/>
  <c r="AO375" i="124" s="1"/>
  <c r="AS375" i="124"/>
  <c r="AT375" i="124" s="1"/>
  <c r="BH375" i="124"/>
  <c r="BI375" i="124" s="1"/>
  <c r="CB375" i="124"/>
  <c r="CC375" i="124" s="1"/>
  <c r="BH371" i="124"/>
  <c r="BI371" i="124" s="1"/>
  <c r="BW371" i="124"/>
  <c r="BX371" i="124" s="1"/>
  <c r="BC371" i="124"/>
  <c r="BD371" i="124" s="1"/>
  <c r="BM371" i="124"/>
  <c r="BN371" i="124" s="1"/>
  <c r="CG371" i="124"/>
  <c r="CH371" i="124" s="1"/>
  <c r="BR371" i="124"/>
  <c r="BS371" i="124" s="1"/>
  <c r="CB371" i="124"/>
  <c r="CC371" i="124" s="1"/>
  <c r="AX371" i="124"/>
  <c r="AY371" i="124" s="1"/>
  <c r="CL371" i="124"/>
  <c r="CM371" i="124" s="1"/>
  <c r="AS371" i="124"/>
  <c r="AT371" i="124" s="1"/>
  <c r="AN371" i="124"/>
  <c r="AI371" i="124"/>
  <c r="AJ371" i="124" s="1"/>
  <c r="BC328" i="124"/>
  <c r="BD328" i="124" s="1"/>
  <c r="BH328" i="124"/>
  <c r="BI328" i="124" s="1"/>
  <c r="CB328" i="124"/>
  <c r="CC328" i="124" s="1"/>
  <c r="BM328" i="124"/>
  <c r="BN328" i="124" s="1"/>
  <c r="CG328" i="124"/>
  <c r="CH328" i="124" s="1"/>
  <c r="AX328" i="124"/>
  <c r="AY328" i="124" s="1"/>
  <c r="BW328" i="124"/>
  <c r="BX328" i="124" s="1"/>
  <c r="BR328" i="124"/>
  <c r="BS328" i="124" s="1"/>
  <c r="CL328" i="124"/>
  <c r="CM328" i="124" s="1"/>
  <c r="AS328" i="124"/>
  <c r="AT328" i="124" s="1"/>
  <c r="AN328" i="124"/>
  <c r="AI328" i="124"/>
  <c r="AJ328" i="124" s="1"/>
  <c r="BC478" i="124"/>
  <c r="BD478" i="124" s="1"/>
  <c r="BH478" i="124"/>
  <c r="BI478" i="124" s="1"/>
  <c r="CG478" i="124"/>
  <c r="CH478" i="124" s="1"/>
  <c r="BM478" i="124"/>
  <c r="BN478" i="124" s="1"/>
  <c r="CL478" i="124"/>
  <c r="CM478" i="124" s="1"/>
  <c r="BW478" i="124"/>
  <c r="BX478" i="124" s="1"/>
  <c r="CB478" i="124"/>
  <c r="CC478" i="124" s="1"/>
  <c r="AX478" i="124"/>
  <c r="AY478" i="124" s="1"/>
  <c r="BR478" i="124"/>
  <c r="BS478" i="124" s="1"/>
  <c r="AS478" i="124"/>
  <c r="AT478" i="124" s="1"/>
  <c r="AN478" i="124"/>
  <c r="AO478" i="124" s="1"/>
  <c r="AI478" i="124"/>
  <c r="AJ478" i="124" s="1"/>
  <c r="AN552" i="124"/>
  <c r="AO552" i="124" s="1"/>
  <c r="AI552" i="124"/>
  <c r="AJ552" i="124" s="1"/>
  <c r="BW552" i="124"/>
  <c r="BX552" i="124" s="1"/>
  <c r="BM552" i="124"/>
  <c r="BN552" i="124" s="1"/>
  <c r="CG552" i="124"/>
  <c r="CH552" i="124" s="1"/>
  <c r="CL552" i="124"/>
  <c r="CM552" i="124" s="1"/>
  <c r="CB552" i="124"/>
  <c r="CC552" i="124" s="1"/>
  <c r="BH552" i="124"/>
  <c r="BI552" i="124" s="1"/>
  <c r="BR552" i="124"/>
  <c r="BS552" i="124" s="1"/>
  <c r="BC552" i="124"/>
  <c r="BD552" i="124" s="1"/>
  <c r="AX552" i="124"/>
  <c r="AY552" i="124" s="1"/>
  <c r="AS552" i="124"/>
  <c r="AT552" i="124" s="1"/>
  <c r="BC294" i="124"/>
  <c r="BD294" i="124" s="1"/>
  <c r="BH294" i="124"/>
  <c r="BI294" i="124" s="1"/>
  <c r="CB294" i="124"/>
  <c r="CC294" i="124" s="1"/>
  <c r="CG294" i="124"/>
  <c r="CH294" i="124" s="1"/>
  <c r="AX294" i="124"/>
  <c r="AY294" i="124" s="1"/>
  <c r="BW294" i="124"/>
  <c r="BX294" i="124" s="1"/>
  <c r="CL294" i="124"/>
  <c r="CM294" i="124" s="1"/>
  <c r="BM294" i="124"/>
  <c r="BN294" i="124" s="1"/>
  <c r="BR294" i="124"/>
  <c r="BS294" i="124" s="1"/>
  <c r="AS294" i="124"/>
  <c r="AT294" i="124" s="1"/>
  <c r="AN294" i="124"/>
  <c r="AO294" i="124" s="1"/>
  <c r="AI294" i="124"/>
  <c r="AJ294" i="124" s="1"/>
  <c r="AS534" i="124"/>
  <c r="AT534" i="124" s="1"/>
  <c r="AN534" i="124"/>
  <c r="BW534" i="124"/>
  <c r="BX534" i="124" s="1"/>
  <c r="AI534" i="124"/>
  <c r="AJ534" i="124" s="1"/>
  <c r="BR534" i="124"/>
  <c r="BS534" i="124" s="1"/>
  <c r="BC534" i="124"/>
  <c r="BD534" i="124" s="1"/>
  <c r="BH534" i="124"/>
  <c r="BI534" i="124" s="1"/>
  <c r="CL534" i="124"/>
  <c r="CM534" i="124" s="1"/>
  <c r="CB534" i="124"/>
  <c r="CC534" i="124" s="1"/>
  <c r="BM534" i="124"/>
  <c r="BN534" i="124" s="1"/>
  <c r="AX534" i="124"/>
  <c r="AY534" i="124" s="1"/>
  <c r="CG534" i="124"/>
  <c r="CH534" i="124" s="1"/>
  <c r="BR500" i="124"/>
  <c r="BS500" i="124" s="1"/>
  <c r="BC500" i="124"/>
  <c r="BD500" i="124" s="1"/>
  <c r="CG500" i="124"/>
  <c r="CH500" i="124" s="1"/>
  <c r="CB500" i="124"/>
  <c r="CC500" i="124" s="1"/>
  <c r="AI500" i="124"/>
  <c r="AJ500" i="124" s="1"/>
  <c r="BM500" i="124"/>
  <c r="BN500" i="124" s="1"/>
  <c r="BH500" i="124"/>
  <c r="BI500" i="124" s="1"/>
  <c r="AS500" i="124"/>
  <c r="AT500" i="124" s="1"/>
  <c r="BW500" i="124"/>
  <c r="BX500" i="124" s="1"/>
  <c r="CL500" i="124"/>
  <c r="CM500" i="124" s="1"/>
  <c r="AN500" i="124"/>
  <c r="AO500" i="124" s="1"/>
  <c r="AX500" i="124"/>
  <c r="AY500" i="124" s="1"/>
  <c r="BH370" i="124"/>
  <c r="BI370" i="124" s="1"/>
  <c r="BW370" i="124"/>
  <c r="BX370" i="124" s="1"/>
  <c r="BC370" i="124"/>
  <c r="BD370" i="124" s="1"/>
  <c r="BM370" i="124"/>
  <c r="BN370" i="124" s="1"/>
  <c r="CB370" i="124"/>
  <c r="CC370" i="124" s="1"/>
  <c r="CL370" i="124"/>
  <c r="CM370" i="124" s="1"/>
  <c r="BR370" i="124"/>
  <c r="BS370" i="124" s="1"/>
  <c r="AX370" i="124"/>
  <c r="AY370" i="124" s="1"/>
  <c r="CG370" i="124"/>
  <c r="CH370" i="124" s="1"/>
  <c r="AS370" i="124"/>
  <c r="AT370" i="124" s="1"/>
  <c r="AN370" i="124"/>
  <c r="AI370" i="124"/>
  <c r="AJ370" i="124" s="1"/>
  <c r="BC480" i="124"/>
  <c r="BD480" i="124" s="1"/>
  <c r="BM480" i="124"/>
  <c r="BN480" i="124" s="1"/>
  <c r="CB480" i="124"/>
  <c r="CC480" i="124" s="1"/>
  <c r="BR480" i="124"/>
  <c r="BS480" i="124" s="1"/>
  <c r="AX480" i="124"/>
  <c r="AY480" i="124" s="1"/>
  <c r="CG480" i="124"/>
  <c r="CH480" i="124" s="1"/>
  <c r="BH480" i="124"/>
  <c r="BI480" i="124" s="1"/>
  <c r="BW480" i="124"/>
  <c r="BX480" i="124" s="1"/>
  <c r="CL480" i="124"/>
  <c r="CM480" i="124" s="1"/>
  <c r="AS480" i="124"/>
  <c r="AT480" i="124" s="1"/>
  <c r="AN480" i="124"/>
  <c r="AO480" i="124" s="1"/>
  <c r="AI480" i="124"/>
  <c r="AJ480" i="124" s="1"/>
  <c r="BH334" i="124"/>
  <c r="BI334" i="124" s="1"/>
  <c r="CB334" i="124"/>
  <c r="CC334" i="124" s="1"/>
  <c r="BM334" i="124"/>
  <c r="BN334" i="124" s="1"/>
  <c r="BC334" i="124"/>
  <c r="BD334" i="124" s="1"/>
  <c r="BW334" i="124"/>
  <c r="BX334" i="124" s="1"/>
  <c r="BR334" i="124"/>
  <c r="BS334" i="124" s="1"/>
  <c r="CG334" i="124"/>
  <c r="CH334" i="124" s="1"/>
  <c r="CL334" i="124"/>
  <c r="CM334" i="124" s="1"/>
  <c r="AX334" i="124"/>
  <c r="AY334" i="124" s="1"/>
  <c r="AS334" i="124"/>
  <c r="AT334" i="124" s="1"/>
  <c r="AN334" i="124"/>
  <c r="AO334" i="124" s="1"/>
  <c r="AI334" i="124"/>
  <c r="AJ334" i="124" s="1"/>
  <c r="BW413" i="124"/>
  <c r="BX413" i="124" s="1"/>
  <c r="BH413" i="124"/>
  <c r="BI413" i="124" s="1"/>
  <c r="BC413" i="124"/>
  <c r="BD413" i="124" s="1"/>
  <c r="BM413" i="124"/>
  <c r="BN413" i="124" s="1"/>
  <c r="CG413" i="124"/>
  <c r="CH413" i="124" s="1"/>
  <c r="BR413" i="124"/>
  <c r="BS413" i="124" s="1"/>
  <c r="AX413" i="124"/>
  <c r="AY413" i="124" s="1"/>
  <c r="CB413" i="124"/>
  <c r="CC413" i="124" s="1"/>
  <c r="CL413" i="124"/>
  <c r="CM413" i="124" s="1"/>
  <c r="AS413" i="124"/>
  <c r="AT413" i="124" s="1"/>
  <c r="AN413" i="124"/>
  <c r="AI413" i="124"/>
  <c r="AJ413" i="124" s="1"/>
  <c r="BH295" i="124"/>
  <c r="BI295" i="124" s="1"/>
  <c r="BC295" i="124"/>
  <c r="BD295" i="124" s="1"/>
  <c r="BW295" i="124"/>
  <c r="BX295" i="124" s="1"/>
  <c r="CB295" i="124"/>
  <c r="CC295" i="124" s="1"/>
  <c r="CG295" i="124"/>
  <c r="CH295" i="124" s="1"/>
  <c r="BR295" i="124"/>
  <c r="BS295" i="124" s="1"/>
  <c r="BM295" i="124"/>
  <c r="BN295" i="124" s="1"/>
  <c r="CL295" i="124"/>
  <c r="CM295" i="124" s="1"/>
  <c r="AX295" i="124"/>
  <c r="AY295" i="124" s="1"/>
  <c r="AS295" i="124"/>
  <c r="AT295" i="124" s="1"/>
  <c r="AN295" i="124"/>
  <c r="AI295" i="124"/>
  <c r="AJ295" i="124" s="1"/>
  <c r="BC417" i="124"/>
  <c r="BD417" i="124" s="1"/>
  <c r="BW417" i="124"/>
  <c r="BX417" i="124" s="1"/>
  <c r="CB417" i="124"/>
  <c r="CC417" i="124" s="1"/>
  <c r="BH417" i="124"/>
  <c r="BI417" i="124" s="1"/>
  <c r="AX417" i="124"/>
  <c r="AY417" i="124" s="1"/>
  <c r="BR417" i="124"/>
  <c r="BS417" i="124" s="1"/>
  <c r="CL417" i="124"/>
  <c r="CM417" i="124" s="1"/>
  <c r="CG417" i="124"/>
  <c r="CH417" i="124" s="1"/>
  <c r="BM417" i="124"/>
  <c r="BN417" i="124" s="1"/>
  <c r="AS417" i="124"/>
  <c r="AT417" i="124" s="1"/>
  <c r="AN417" i="124"/>
  <c r="AO417" i="124" s="1"/>
  <c r="AI417" i="124"/>
  <c r="AJ417" i="124" s="1"/>
  <c r="BC481" i="124"/>
  <c r="BD481" i="124" s="1"/>
  <c r="BH481" i="124"/>
  <c r="BI481" i="124" s="1"/>
  <c r="BW481" i="124"/>
  <c r="BX481" i="124" s="1"/>
  <c r="CL481" i="124"/>
  <c r="CM481" i="124" s="1"/>
  <c r="BR481" i="124"/>
  <c r="BS481" i="124" s="1"/>
  <c r="CB481" i="124"/>
  <c r="CC481" i="124" s="1"/>
  <c r="CG481" i="124"/>
  <c r="CH481" i="124" s="1"/>
  <c r="BM481" i="124"/>
  <c r="BN481" i="124" s="1"/>
  <c r="AX481" i="124"/>
  <c r="AY481" i="124" s="1"/>
  <c r="AS481" i="124"/>
  <c r="AT481" i="124" s="1"/>
  <c r="AN481" i="124"/>
  <c r="AI481" i="124"/>
  <c r="AJ481" i="124" s="1"/>
  <c r="BC292" i="124"/>
  <c r="BD292" i="124" s="1"/>
  <c r="CB292" i="124"/>
  <c r="CC292" i="124" s="1"/>
  <c r="BR292" i="124"/>
  <c r="BS292" i="124" s="1"/>
  <c r="BH292" i="124"/>
  <c r="BI292" i="124" s="1"/>
  <c r="CL292" i="124"/>
  <c r="CM292" i="124" s="1"/>
  <c r="BW292" i="124"/>
  <c r="BX292" i="124" s="1"/>
  <c r="BM292" i="124"/>
  <c r="BN292" i="124" s="1"/>
  <c r="AX292" i="124"/>
  <c r="AY292" i="124" s="1"/>
  <c r="CG292" i="124"/>
  <c r="CH292" i="124" s="1"/>
  <c r="AS292" i="124"/>
  <c r="AT292" i="124" s="1"/>
  <c r="AN292" i="124"/>
  <c r="AO292" i="124" s="1"/>
  <c r="AI292" i="124"/>
  <c r="AJ292" i="124" s="1"/>
  <c r="BC324" i="124"/>
  <c r="BD324" i="124" s="1"/>
  <c r="BW324" i="124"/>
  <c r="BX324" i="124" s="1"/>
  <c r="BH324" i="124"/>
  <c r="BI324" i="124" s="1"/>
  <c r="CB324" i="124"/>
  <c r="CC324" i="124" s="1"/>
  <c r="BM324" i="124"/>
  <c r="BN324" i="124" s="1"/>
  <c r="CG324" i="124"/>
  <c r="CH324" i="124" s="1"/>
  <c r="BR324" i="124"/>
  <c r="BS324" i="124" s="1"/>
  <c r="AX324" i="124"/>
  <c r="AY324" i="124" s="1"/>
  <c r="CL324" i="124"/>
  <c r="CM324" i="124" s="1"/>
  <c r="AS324" i="124"/>
  <c r="AT324" i="124" s="1"/>
  <c r="AN324" i="124"/>
  <c r="AI324" i="124"/>
  <c r="AJ324" i="124" s="1"/>
  <c r="BH313" i="124"/>
  <c r="BI313" i="124" s="1"/>
  <c r="BC313" i="124"/>
  <c r="BD313" i="124" s="1"/>
  <c r="AX313" i="124"/>
  <c r="AY313" i="124" s="1"/>
  <c r="CL313" i="124"/>
  <c r="CM313" i="124" s="1"/>
  <c r="BW313" i="124"/>
  <c r="BX313" i="124" s="1"/>
  <c r="BR313" i="124"/>
  <c r="BS313" i="124" s="1"/>
  <c r="BM313" i="124"/>
  <c r="BN313" i="124" s="1"/>
  <c r="CB313" i="124"/>
  <c r="CC313" i="124" s="1"/>
  <c r="CG313" i="124"/>
  <c r="CH313" i="124" s="1"/>
  <c r="AS313" i="124"/>
  <c r="AT313" i="124" s="1"/>
  <c r="AN313" i="124"/>
  <c r="AI313" i="124"/>
  <c r="AJ313" i="124" s="1"/>
  <c r="BH323" i="124"/>
  <c r="BI323" i="124" s="1"/>
  <c r="CB323" i="124"/>
  <c r="CC323" i="124" s="1"/>
  <c r="CL323" i="124"/>
  <c r="CM323" i="124" s="1"/>
  <c r="BC323" i="124"/>
  <c r="BD323" i="124" s="1"/>
  <c r="BW323" i="124"/>
  <c r="BX323" i="124" s="1"/>
  <c r="AX323" i="124"/>
  <c r="AY323" i="124" s="1"/>
  <c r="CG323" i="124"/>
  <c r="CH323" i="124" s="1"/>
  <c r="BM323" i="124"/>
  <c r="BN323" i="124" s="1"/>
  <c r="BR323" i="124"/>
  <c r="BS323" i="124" s="1"/>
  <c r="AS323" i="124"/>
  <c r="AT323" i="124" s="1"/>
  <c r="AN323" i="124"/>
  <c r="AI323" i="124"/>
  <c r="AJ323" i="124" s="1"/>
  <c r="CG26" i="124"/>
  <c r="CH26" i="124" s="1"/>
  <c r="CI26" i="124" s="1"/>
  <c r="BH26" i="124"/>
  <c r="BI26" i="124" s="1"/>
  <c r="BJ26" i="124" s="1"/>
  <c r="CB26" i="124"/>
  <c r="CC26" i="124" s="1"/>
  <c r="CD26" i="124" s="1"/>
  <c r="AN26" i="124"/>
  <c r="BC26" i="124"/>
  <c r="BD26" i="124" s="1"/>
  <c r="BE26" i="124" s="1"/>
  <c r="CL26" i="124"/>
  <c r="CM26" i="124" s="1"/>
  <c r="CN26" i="124" s="1"/>
  <c r="AX26" i="124"/>
  <c r="AY26" i="124" s="1"/>
  <c r="AZ26" i="124" s="1"/>
  <c r="BM26" i="124"/>
  <c r="BN26" i="124" s="1"/>
  <c r="BO26" i="124" s="1"/>
  <c r="BR26" i="124"/>
  <c r="BS26" i="124" s="1"/>
  <c r="BT26" i="124" s="1"/>
  <c r="BW26" i="124"/>
  <c r="BX26" i="124" s="1"/>
  <c r="BY26" i="124" s="1"/>
  <c r="AI26" i="124"/>
  <c r="AJ26" i="124" s="1"/>
  <c r="AS26" i="124"/>
  <c r="AT26" i="124" s="1"/>
  <c r="AU26" i="124" s="1"/>
  <c r="BC290" i="124"/>
  <c r="BD290" i="124" s="1"/>
  <c r="BE290" i="124" s="1"/>
  <c r="BH290" i="124"/>
  <c r="BI290" i="124" s="1"/>
  <c r="BJ290" i="124" s="1"/>
  <c r="BM290" i="124"/>
  <c r="BN290" i="124" s="1"/>
  <c r="BO290" i="124" s="1"/>
  <c r="CB290" i="124"/>
  <c r="CC290" i="124" s="1"/>
  <c r="CD290" i="124" s="1"/>
  <c r="CG290" i="124"/>
  <c r="CH290" i="124" s="1"/>
  <c r="CI290" i="124" s="1"/>
  <c r="BW290" i="124"/>
  <c r="BX290" i="124" s="1"/>
  <c r="BY290" i="124" s="1"/>
  <c r="AX290" i="124"/>
  <c r="AY290" i="124" s="1"/>
  <c r="AZ290" i="124" s="1"/>
  <c r="BR290" i="124"/>
  <c r="BS290" i="124" s="1"/>
  <c r="BT290" i="124" s="1"/>
  <c r="CL290" i="124"/>
  <c r="CM290" i="124" s="1"/>
  <c r="CN290" i="124" s="1"/>
  <c r="AS290" i="124"/>
  <c r="AT290" i="124" s="1"/>
  <c r="AU290" i="124" s="1"/>
  <c r="AN290" i="124"/>
  <c r="AO290" i="124" s="1"/>
  <c r="AP290" i="124" s="1"/>
  <c r="AI290" i="124"/>
  <c r="AJ290" i="124" s="1"/>
  <c r="BC569" i="124"/>
  <c r="BD569" i="124" s="1"/>
  <c r="BH569" i="124"/>
  <c r="BI569" i="124" s="1"/>
  <c r="CB569" i="124"/>
  <c r="CC569" i="124" s="1"/>
  <c r="CG569" i="124"/>
  <c r="CH569" i="124" s="1"/>
  <c r="BR569" i="124"/>
  <c r="BS569" i="124" s="1"/>
  <c r="BW569" i="124"/>
  <c r="BX569" i="124" s="1"/>
  <c r="BM569" i="124"/>
  <c r="BN569" i="124" s="1"/>
  <c r="AX569" i="124"/>
  <c r="AY569" i="124" s="1"/>
  <c r="CL569" i="124"/>
  <c r="CM569" i="124" s="1"/>
  <c r="AS569" i="124"/>
  <c r="AT569" i="124" s="1"/>
  <c r="AN569" i="124"/>
  <c r="AI569" i="124"/>
  <c r="AJ569" i="124" s="1"/>
  <c r="BC304" i="124"/>
  <c r="BD304" i="124" s="1"/>
  <c r="BH304" i="124"/>
  <c r="BI304" i="124" s="1"/>
  <c r="BM304" i="124"/>
  <c r="BN304" i="124" s="1"/>
  <c r="BW304" i="124"/>
  <c r="BX304" i="124" s="1"/>
  <c r="AX304" i="124"/>
  <c r="AY304" i="124" s="1"/>
  <c r="CG304" i="124"/>
  <c r="CH304" i="124" s="1"/>
  <c r="CB304" i="124"/>
  <c r="CC304" i="124" s="1"/>
  <c r="CL304" i="124"/>
  <c r="CM304" i="124" s="1"/>
  <c r="BR304" i="124"/>
  <c r="BS304" i="124" s="1"/>
  <c r="AS304" i="124"/>
  <c r="AT304" i="124" s="1"/>
  <c r="AN304" i="124"/>
  <c r="AI304" i="124"/>
  <c r="AJ304" i="124" s="1"/>
  <c r="BH188" i="124"/>
  <c r="BI188" i="124" s="1"/>
  <c r="BJ188" i="124" s="1"/>
  <c r="BC188" i="124"/>
  <c r="BD188" i="124" s="1"/>
  <c r="BE188" i="124" s="1"/>
  <c r="BM188" i="124"/>
  <c r="BN188" i="124" s="1"/>
  <c r="BO188" i="124" s="1"/>
  <c r="CG188" i="124"/>
  <c r="CH188" i="124" s="1"/>
  <c r="CI188" i="124" s="1"/>
  <c r="BW188" i="124"/>
  <c r="BX188" i="124" s="1"/>
  <c r="BY188" i="124" s="1"/>
  <c r="AX188" i="124"/>
  <c r="AY188" i="124" s="1"/>
  <c r="AZ188" i="124" s="1"/>
  <c r="BR188" i="124"/>
  <c r="BS188" i="124" s="1"/>
  <c r="BT188" i="124" s="1"/>
  <c r="CL188" i="124"/>
  <c r="CM188" i="124" s="1"/>
  <c r="CN188" i="124" s="1"/>
  <c r="CB188" i="124"/>
  <c r="CC188" i="124" s="1"/>
  <c r="CD188" i="124" s="1"/>
  <c r="AS188" i="124"/>
  <c r="AT188" i="124" s="1"/>
  <c r="AU188" i="124" s="1"/>
  <c r="AN188" i="124"/>
  <c r="AI188" i="124"/>
  <c r="AJ188" i="124" s="1"/>
  <c r="AK188" i="124" s="1"/>
  <c r="BH576" i="124"/>
  <c r="BI576" i="124" s="1"/>
  <c r="BC576" i="124"/>
  <c r="BD576" i="124" s="1"/>
  <c r="AX576" i="124"/>
  <c r="AY576" i="124" s="1"/>
  <c r="BR576" i="124"/>
  <c r="BS576" i="124" s="1"/>
  <c r="BM576" i="124"/>
  <c r="BN576" i="124" s="1"/>
  <c r="CL576" i="124"/>
  <c r="CM576" i="124" s="1"/>
  <c r="BW576" i="124"/>
  <c r="BX576" i="124" s="1"/>
  <c r="CB576" i="124"/>
  <c r="CC576" i="124" s="1"/>
  <c r="CG576" i="124"/>
  <c r="CH576" i="124" s="1"/>
  <c r="AS576" i="124"/>
  <c r="AT576" i="124" s="1"/>
  <c r="AN576" i="124"/>
  <c r="AI576" i="124"/>
  <c r="AJ576" i="124" s="1"/>
  <c r="BW342" i="124"/>
  <c r="BX342" i="124" s="1"/>
  <c r="BC342" i="124"/>
  <c r="BD342" i="124" s="1"/>
  <c r="BH342" i="124"/>
  <c r="BI342" i="124" s="1"/>
  <c r="BM342" i="124"/>
  <c r="BN342" i="124" s="1"/>
  <c r="AX342" i="124"/>
  <c r="AY342" i="124" s="1"/>
  <c r="CB342" i="124"/>
  <c r="CC342" i="124" s="1"/>
  <c r="CG342" i="124"/>
  <c r="CH342" i="124" s="1"/>
  <c r="BR342" i="124"/>
  <c r="BS342" i="124" s="1"/>
  <c r="CL342" i="124"/>
  <c r="CM342" i="124" s="1"/>
  <c r="AS342" i="124"/>
  <c r="AT342" i="124" s="1"/>
  <c r="AN342" i="124"/>
  <c r="AI342" i="124"/>
  <c r="AJ342" i="124" s="1"/>
  <c r="BC17" i="124"/>
  <c r="BD17" i="124" s="1"/>
  <c r="BE17" i="124" s="1"/>
  <c r="BH17" i="124"/>
  <c r="BI17" i="124" s="1"/>
  <c r="BJ17" i="124" s="1"/>
  <c r="AX17" i="124"/>
  <c r="AY17" i="124" s="1"/>
  <c r="AZ17" i="124" s="1"/>
  <c r="BW17" i="124"/>
  <c r="BX17" i="124" s="1"/>
  <c r="BY17" i="124" s="1"/>
  <c r="BR17" i="124"/>
  <c r="BS17" i="124" s="1"/>
  <c r="BT17" i="124" s="1"/>
  <c r="CB17" i="124"/>
  <c r="CC17" i="124" s="1"/>
  <c r="CD17" i="124" s="1"/>
  <c r="CG17" i="124"/>
  <c r="CH17" i="124" s="1"/>
  <c r="CI17" i="124" s="1"/>
  <c r="BM17" i="124"/>
  <c r="BN17" i="124" s="1"/>
  <c r="BO17" i="124" s="1"/>
  <c r="CL17" i="124"/>
  <c r="CM17" i="124" s="1"/>
  <c r="CN17" i="124" s="1"/>
  <c r="AS17" i="124"/>
  <c r="AT17" i="124" s="1"/>
  <c r="AU17" i="124" s="1"/>
  <c r="AN17" i="124"/>
  <c r="AI17" i="124"/>
  <c r="AJ17" i="124" s="1"/>
  <c r="BC356" i="124"/>
  <c r="BD356" i="124" s="1"/>
  <c r="BW356" i="124"/>
  <c r="BX356" i="124" s="1"/>
  <c r="CB356" i="124"/>
  <c r="CC356" i="124" s="1"/>
  <c r="CL356" i="124"/>
  <c r="CM356" i="124" s="1"/>
  <c r="BM356" i="124"/>
  <c r="BN356" i="124" s="1"/>
  <c r="CG356" i="124"/>
  <c r="CH356" i="124" s="1"/>
  <c r="BR356" i="124"/>
  <c r="BS356" i="124" s="1"/>
  <c r="BH356" i="124"/>
  <c r="BI356" i="124" s="1"/>
  <c r="AX356" i="124"/>
  <c r="AY356" i="124" s="1"/>
  <c r="AS356" i="124"/>
  <c r="AT356" i="124" s="1"/>
  <c r="AN356" i="124"/>
  <c r="AI356" i="124"/>
  <c r="AJ356" i="124" s="1"/>
  <c r="BC438" i="124"/>
  <c r="BD438" i="124" s="1"/>
  <c r="BM438" i="124"/>
  <c r="BN438" i="124" s="1"/>
  <c r="CB438" i="124"/>
  <c r="CC438" i="124" s="1"/>
  <c r="BR438" i="124"/>
  <c r="BS438" i="124" s="1"/>
  <c r="CL438" i="124"/>
  <c r="CM438" i="124" s="1"/>
  <c r="BH438" i="124"/>
  <c r="BI438" i="124" s="1"/>
  <c r="AX438" i="124"/>
  <c r="AY438" i="124" s="1"/>
  <c r="BW438" i="124"/>
  <c r="BX438" i="124" s="1"/>
  <c r="CG438" i="124"/>
  <c r="CH438" i="124" s="1"/>
  <c r="AS438" i="124"/>
  <c r="AT438" i="124" s="1"/>
  <c r="AN438" i="124"/>
  <c r="AI438" i="124"/>
  <c r="AJ438" i="124" s="1"/>
  <c r="BH443" i="124"/>
  <c r="BI443" i="124" s="1"/>
  <c r="BC443" i="124"/>
  <c r="BD443" i="124" s="1"/>
  <c r="CL443" i="124"/>
  <c r="CM443" i="124" s="1"/>
  <c r="CB443" i="124"/>
  <c r="CC443" i="124" s="1"/>
  <c r="BR443" i="124"/>
  <c r="BS443" i="124" s="1"/>
  <c r="BW443" i="124"/>
  <c r="BX443" i="124" s="1"/>
  <c r="CG443" i="124"/>
  <c r="CH443" i="124" s="1"/>
  <c r="BM443" i="124"/>
  <c r="BN443" i="124" s="1"/>
  <c r="AX443" i="124"/>
  <c r="AY443" i="124" s="1"/>
  <c r="AS443" i="124"/>
  <c r="AT443" i="124" s="1"/>
  <c r="AN443" i="124"/>
  <c r="AO443" i="124" s="1"/>
  <c r="AI443" i="124"/>
  <c r="AJ443" i="124" s="1"/>
  <c r="AI505" i="124"/>
  <c r="AJ505" i="124" s="1"/>
  <c r="CB505" i="124"/>
  <c r="CC505" i="124" s="1"/>
  <c r="BW505" i="124"/>
  <c r="BX505" i="124" s="1"/>
  <c r="BM505" i="124"/>
  <c r="BN505" i="124" s="1"/>
  <c r="AX505" i="124"/>
  <c r="AY505" i="124" s="1"/>
  <c r="CL505" i="124"/>
  <c r="CM505" i="124" s="1"/>
  <c r="CG505" i="124"/>
  <c r="CH505" i="124" s="1"/>
  <c r="BR505" i="124"/>
  <c r="BS505" i="124" s="1"/>
  <c r="BC505" i="124"/>
  <c r="BD505" i="124" s="1"/>
  <c r="BH505" i="124"/>
  <c r="BI505" i="124" s="1"/>
  <c r="AS505" i="124"/>
  <c r="AT505" i="124" s="1"/>
  <c r="AN505" i="124"/>
  <c r="BH319" i="124"/>
  <c r="BI319" i="124" s="1"/>
  <c r="BC319" i="124"/>
  <c r="BD319" i="124" s="1"/>
  <c r="BM319" i="124"/>
  <c r="BN319" i="124" s="1"/>
  <c r="BR319" i="124"/>
  <c r="BS319" i="124" s="1"/>
  <c r="CL319" i="124"/>
  <c r="CM319" i="124" s="1"/>
  <c r="CB319" i="124"/>
  <c r="CC319" i="124" s="1"/>
  <c r="AX319" i="124"/>
  <c r="AY319" i="124" s="1"/>
  <c r="BW319" i="124"/>
  <c r="BX319" i="124" s="1"/>
  <c r="CG319" i="124"/>
  <c r="CH319" i="124" s="1"/>
  <c r="AS319" i="124"/>
  <c r="AT319" i="124" s="1"/>
  <c r="AN319" i="124"/>
  <c r="AO319" i="124" s="1"/>
  <c r="AI319" i="124"/>
  <c r="AJ319" i="124" s="1"/>
  <c r="BH504" i="124"/>
  <c r="BI504" i="124" s="1"/>
  <c r="BW504" i="124"/>
  <c r="BX504" i="124" s="1"/>
  <c r="BC504" i="124"/>
  <c r="BD504" i="124" s="1"/>
  <c r="CL504" i="124"/>
  <c r="CM504" i="124" s="1"/>
  <c r="BM504" i="124"/>
  <c r="BN504" i="124" s="1"/>
  <c r="CB504" i="124"/>
  <c r="CC504" i="124" s="1"/>
  <c r="CG504" i="124"/>
  <c r="CH504" i="124" s="1"/>
  <c r="AX504" i="124"/>
  <c r="AY504" i="124" s="1"/>
  <c r="BR504" i="124"/>
  <c r="BS504" i="124" s="1"/>
  <c r="AS504" i="124"/>
  <c r="AT504" i="124" s="1"/>
  <c r="AN504" i="124"/>
  <c r="AI504" i="124"/>
  <c r="AJ504" i="124" s="1"/>
  <c r="BC361" i="124"/>
  <c r="BD361" i="124" s="1"/>
  <c r="BH361" i="124"/>
  <c r="BI361" i="124" s="1"/>
  <c r="CB361" i="124"/>
  <c r="CC361" i="124" s="1"/>
  <c r="CG361" i="124"/>
  <c r="CH361" i="124" s="1"/>
  <c r="CL361" i="124"/>
  <c r="CM361" i="124" s="1"/>
  <c r="BW361" i="124"/>
  <c r="BX361" i="124" s="1"/>
  <c r="AX361" i="124"/>
  <c r="AY361" i="124" s="1"/>
  <c r="BM361" i="124"/>
  <c r="BN361" i="124" s="1"/>
  <c r="BR361" i="124"/>
  <c r="BS361" i="124" s="1"/>
  <c r="AS361" i="124"/>
  <c r="AT361" i="124" s="1"/>
  <c r="AN361" i="124"/>
  <c r="AI361" i="124"/>
  <c r="AJ361" i="124" s="1"/>
  <c r="BC400" i="124"/>
  <c r="BD400" i="124" s="1"/>
  <c r="AI400" i="124"/>
  <c r="AJ400" i="124" s="1"/>
  <c r="AS400" i="124"/>
  <c r="AT400" i="124" s="1"/>
  <c r="AX400" i="124"/>
  <c r="AY400" i="124" s="1"/>
  <c r="CB400" i="124"/>
  <c r="CC400" i="124" s="1"/>
  <c r="BH400" i="124"/>
  <c r="BI400" i="124" s="1"/>
  <c r="BM400" i="124"/>
  <c r="BN400" i="124" s="1"/>
  <c r="AN400" i="124"/>
  <c r="CG400" i="124"/>
  <c r="CH400" i="124" s="1"/>
  <c r="BW400" i="124"/>
  <c r="BX400" i="124" s="1"/>
  <c r="CL400" i="124"/>
  <c r="CM400" i="124" s="1"/>
  <c r="BR400" i="124"/>
  <c r="BS400" i="124" s="1"/>
  <c r="BW428" i="124"/>
  <c r="BX428" i="124" s="1"/>
  <c r="BH428" i="124"/>
  <c r="BI428" i="124" s="1"/>
  <c r="BC428" i="124"/>
  <c r="BD428" i="124" s="1"/>
  <c r="BR428" i="124"/>
  <c r="BS428" i="124" s="1"/>
  <c r="BM428" i="124"/>
  <c r="BN428" i="124" s="1"/>
  <c r="CB428" i="124"/>
  <c r="CC428" i="124" s="1"/>
  <c r="AX428" i="124"/>
  <c r="AY428" i="124" s="1"/>
  <c r="CL428" i="124"/>
  <c r="CM428" i="124" s="1"/>
  <c r="CG428" i="124"/>
  <c r="CH428" i="124" s="1"/>
  <c r="AS428" i="124"/>
  <c r="AT428" i="124" s="1"/>
  <c r="AN428" i="124"/>
  <c r="AI428" i="124"/>
  <c r="AJ428" i="124" s="1"/>
  <c r="BH311" i="124"/>
  <c r="BI311" i="124" s="1"/>
  <c r="BC311" i="124"/>
  <c r="BD311" i="124" s="1"/>
  <c r="CB311" i="124"/>
  <c r="CC311" i="124" s="1"/>
  <c r="BW311" i="124"/>
  <c r="BX311" i="124" s="1"/>
  <c r="BR311" i="124"/>
  <c r="BS311" i="124" s="1"/>
  <c r="CL311" i="124"/>
  <c r="CM311" i="124" s="1"/>
  <c r="AX311" i="124"/>
  <c r="AY311" i="124" s="1"/>
  <c r="CG311" i="124"/>
  <c r="CH311" i="124" s="1"/>
  <c r="BM311" i="124"/>
  <c r="BN311" i="124" s="1"/>
  <c r="AS311" i="124"/>
  <c r="AT311" i="124" s="1"/>
  <c r="AN311" i="124"/>
  <c r="AO311" i="124" s="1"/>
  <c r="AI311" i="124"/>
  <c r="AJ311" i="124" s="1"/>
  <c r="CG380" i="124"/>
  <c r="CH380" i="124" s="1"/>
  <c r="BM380" i="124"/>
  <c r="BN380" i="124" s="1"/>
  <c r="BR380" i="124"/>
  <c r="BS380" i="124" s="1"/>
  <c r="AN380" i="124"/>
  <c r="AO380" i="124" s="1"/>
  <c r="CL380" i="124"/>
  <c r="CM380" i="124" s="1"/>
  <c r="BW380" i="124"/>
  <c r="BX380" i="124" s="1"/>
  <c r="CB380" i="124"/>
  <c r="CC380" i="124" s="1"/>
  <c r="BC380" i="124"/>
  <c r="BD380" i="124" s="1"/>
  <c r="AI380" i="124"/>
  <c r="AJ380" i="124" s="1"/>
  <c r="BH380" i="124"/>
  <c r="BI380" i="124" s="1"/>
  <c r="AX380" i="124"/>
  <c r="AY380" i="124" s="1"/>
  <c r="AS380" i="124"/>
  <c r="AT380" i="124" s="1"/>
  <c r="BH303" i="124"/>
  <c r="BI303" i="124" s="1"/>
  <c r="BC303" i="124"/>
  <c r="BD303" i="124" s="1"/>
  <c r="CL303" i="124"/>
  <c r="CM303" i="124" s="1"/>
  <c r="BW303" i="124"/>
  <c r="BX303" i="124" s="1"/>
  <c r="BM303" i="124"/>
  <c r="BN303" i="124" s="1"/>
  <c r="CB303" i="124"/>
  <c r="CC303" i="124" s="1"/>
  <c r="BR303" i="124"/>
  <c r="BS303" i="124" s="1"/>
  <c r="AX303" i="124"/>
  <c r="AY303" i="124" s="1"/>
  <c r="CG303" i="124"/>
  <c r="CH303" i="124" s="1"/>
  <c r="AS303" i="124"/>
  <c r="AT303" i="124" s="1"/>
  <c r="AN303" i="124"/>
  <c r="AO303" i="124" s="1"/>
  <c r="AI303" i="124"/>
  <c r="AJ303" i="124" s="1"/>
  <c r="BC437" i="124"/>
  <c r="BD437" i="124" s="1"/>
  <c r="BW437" i="124"/>
  <c r="BX437" i="124" s="1"/>
  <c r="AS437" i="124"/>
  <c r="AT437" i="124" s="1"/>
  <c r="AX437" i="124"/>
  <c r="AY437" i="124" s="1"/>
  <c r="BH437" i="124"/>
  <c r="BI437" i="124" s="1"/>
  <c r="AI437" i="124"/>
  <c r="AJ437" i="124" s="1"/>
  <c r="CB437" i="124"/>
  <c r="CC437" i="124" s="1"/>
  <c r="BM437" i="124"/>
  <c r="BN437" i="124" s="1"/>
  <c r="CL437" i="124"/>
  <c r="CM437" i="124" s="1"/>
  <c r="AN437" i="124"/>
  <c r="AO437" i="124" s="1"/>
  <c r="CG437" i="124"/>
  <c r="CH437" i="124" s="1"/>
  <c r="BR437" i="124"/>
  <c r="BS437" i="124" s="1"/>
  <c r="BM352" i="124"/>
  <c r="BN352" i="124" s="1"/>
  <c r="CB352" i="124"/>
  <c r="CC352" i="124" s="1"/>
  <c r="CG352" i="124"/>
  <c r="CH352" i="124" s="1"/>
  <c r="CL352" i="124"/>
  <c r="CM352" i="124" s="1"/>
  <c r="AN352" i="124"/>
  <c r="BC352" i="124"/>
  <c r="BD352" i="124" s="1"/>
  <c r="AI352" i="124"/>
  <c r="AJ352" i="124" s="1"/>
  <c r="BR352" i="124"/>
  <c r="BS352" i="124" s="1"/>
  <c r="BW352" i="124"/>
  <c r="BX352" i="124" s="1"/>
  <c r="BH352" i="124"/>
  <c r="BI352" i="124" s="1"/>
  <c r="AX352" i="124"/>
  <c r="AY352" i="124" s="1"/>
  <c r="AS352" i="124"/>
  <c r="AT352" i="124" s="1"/>
  <c r="BC487" i="124"/>
  <c r="BD487" i="124" s="1"/>
  <c r="BH487" i="124"/>
  <c r="BI487" i="124" s="1"/>
  <c r="BW487" i="124"/>
  <c r="BX487" i="124" s="1"/>
  <c r="BR487" i="124"/>
  <c r="BS487" i="124" s="1"/>
  <c r="CG487" i="124"/>
  <c r="CH487" i="124" s="1"/>
  <c r="BM487" i="124"/>
  <c r="BN487" i="124" s="1"/>
  <c r="AX487" i="124"/>
  <c r="AY487" i="124" s="1"/>
  <c r="CL487" i="124"/>
  <c r="CM487" i="124" s="1"/>
  <c r="CB487" i="124"/>
  <c r="CC487" i="124" s="1"/>
  <c r="AS487" i="124"/>
  <c r="AT487" i="124" s="1"/>
  <c r="AN487" i="124"/>
  <c r="AO487" i="124" s="1"/>
  <c r="AI487" i="124"/>
  <c r="AJ487" i="124" s="1"/>
  <c r="BC296" i="124"/>
  <c r="BD296" i="124" s="1"/>
  <c r="BM296" i="124"/>
  <c r="BN296" i="124" s="1"/>
  <c r="AX296" i="124"/>
  <c r="AY296" i="124" s="1"/>
  <c r="BR296" i="124"/>
  <c r="BS296" i="124" s="1"/>
  <c r="CG296" i="124"/>
  <c r="CH296" i="124" s="1"/>
  <c r="BH296" i="124"/>
  <c r="BI296" i="124" s="1"/>
  <c r="BW296" i="124"/>
  <c r="BX296" i="124" s="1"/>
  <c r="CB296" i="124"/>
  <c r="CC296" i="124" s="1"/>
  <c r="CL296" i="124"/>
  <c r="CM296" i="124" s="1"/>
  <c r="AS296" i="124"/>
  <c r="AT296" i="124" s="1"/>
  <c r="AN296" i="124"/>
  <c r="AI296" i="124"/>
  <c r="AJ296" i="124" s="1"/>
  <c r="BC541" i="124"/>
  <c r="BD541" i="124" s="1"/>
  <c r="BR541" i="124"/>
  <c r="BS541" i="124" s="1"/>
  <c r="CB541" i="124"/>
  <c r="CC541" i="124" s="1"/>
  <c r="CG541" i="124"/>
  <c r="CH541" i="124" s="1"/>
  <c r="BM541" i="124"/>
  <c r="BN541" i="124" s="1"/>
  <c r="AX541" i="124"/>
  <c r="AY541" i="124" s="1"/>
  <c r="CL541" i="124"/>
  <c r="CM541" i="124" s="1"/>
  <c r="BH541" i="124"/>
  <c r="BI541" i="124" s="1"/>
  <c r="BW541" i="124"/>
  <c r="BX541" i="124" s="1"/>
  <c r="AS541" i="124"/>
  <c r="AT541" i="124" s="1"/>
  <c r="AN541" i="124"/>
  <c r="AO541" i="124" s="1"/>
  <c r="AI541" i="124"/>
  <c r="AJ541" i="124" s="1"/>
  <c r="CB377" i="124"/>
  <c r="CC377" i="124" s="1"/>
  <c r="AN377" i="124"/>
  <c r="AO377" i="124" s="1"/>
  <c r="BC377" i="124"/>
  <c r="BD377" i="124" s="1"/>
  <c r="AI377" i="124"/>
  <c r="AJ377" i="124" s="1"/>
  <c r="BW377" i="124"/>
  <c r="BX377" i="124" s="1"/>
  <c r="CL377" i="124"/>
  <c r="CM377" i="124" s="1"/>
  <c r="AX377" i="124"/>
  <c r="AY377" i="124" s="1"/>
  <c r="BR377" i="124"/>
  <c r="BS377" i="124" s="1"/>
  <c r="BH377" i="124"/>
  <c r="BI377" i="124" s="1"/>
  <c r="CG377" i="124"/>
  <c r="CH377" i="124" s="1"/>
  <c r="AS377" i="124"/>
  <c r="AT377" i="124" s="1"/>
  <c r="BM377" i="124"/>
  <c r="BN377" i="124" s="1"/>
  <c r="BH373" i="124"/>
  <c r="BI373" i="124" s="1"/>
  <c r="BC373" i="124"/>
  <c r="BD373" i="124" s="1"/>
  <c r="BW373" i="124"/>
  <c r="BX373" i="124" s="1"/>
  <c r="CL373" i="124"/>
  <c r="CM373" i="124" s="1"/>
  <c r="BM373" i="124"/>
  <c r="BN373" i="124" s="1"/>
  <c r="AX373" i="124"/>
  <c r="AY373" i="124" s="1"/>
  <c r="CB373" i="124"/>
  <c r="CC373" i="124" s="1"/>
  <c r="CG373" i="124"/>
  <c r="CH373" i="124" s="1"/>
  <c r="BR373" i="124"/>
  <c r="BS373" i="124" s="1"/>
  <c r="AS373" i="124"/>
  <c r="AT373" i="124" s="1"/>
  <c r="AN373" i="124"/>
  <c r="AO373" i="124" s="1"/>
  <c r="AI373" i="124"/>
  <c r="AJ373" i="124" s="1"/>
  <c r="BC330" i="124"/>
  <c r="BD330" i="124" s="1"/>
  <c r="BH330" i="124"/>
  <c r="BI330" i="124" s="1"/>
  <c r="BW330" i="124"/>
  <c r="BX330" i="124" s="1"/>
  <c r="AX330" i="124"/>
  <c r="AY330" i="124" s="1"/>
  <c r="CG330" i="124"/>
  <c r="CH330" i="124" s="1"/>
  <c r="BR330" i="124"/>
  <c r="BS330" i="124" s="1"/>
  <c r="BM330" i="124"/>
  <c r="BN330" i="124" s="1"/>
  <c r="CB330" i="124"/>
  <c r="CC330" i="124" s="1"/>
  <c r="CL330" i="124"/>
  <c r="CM330" i="124" s="1"/>
  <c r="AS330" i="124"/>
  <c r="AT330" i="124" s="1"/>
  <c r="AN330" i="124"/>
  <c r="AI330" i="124"/>
  <c r="AJ330" i="124" s="1"/>
  <c r="BC307" i="124"/>
  <c r="BD307" i="124" s="1"/>
  <c r="BH307" i="124"/>
  <c r="BI307" i="124" s="1"/>
  <c r="BM307" i="124"/>
  <c r="BN307" i="124" s="1"/>
  <c r="CB307" i="124"/>
  <c r="CC307" i="124" s="1"/>
  <c r="AX307" i="124"/>
  <c r="AY307" i="124" s="1"/>
  <c r="BR307" i="124"/>
  <c r="BS307" i="124" s="1"/>
  <c r="BW307" i="124"/>
  <c r="BX307" i="124" s="1"/>
  <c r="CL307" i="124"/>
  <c r="CM307" i="124" s="1"/>
  <c r="CG307" i="124"/>
  <c r="CH307" i="124" s="1"/>
  <c r="AS307" i="124"/>
  <c r="AT307" i="124" s="1"/>
  <c r="AN307" i="124"/>
  <c r="AO307" i="124" s="1"/>
  <c r="AI307" i="124"/>
  <c r="AJ307" i="124" s="1"/>
  <c r="BC305" i="124"/>
  <c r="BD305" i="124" s="1"/>
  <c r="BW305" i="124"/>
  <c r="BX305" i="124" s="1"/>
  <c r="CB305" i="124"/>
  <c r="CC305" i="124" s="1"/>
  <c r="AX305" i="124"/>
  <c r="AY305" i="124" s="1"/>
  <c r="BH305" i="124"/>
  <c r="BI305" i="124" s="1"/>
  <c r="BR305" i="124"/>
  <c r="BS305" i="124" s="1"/>
  <c r="BM305" i="124"/>
  <c r="BN305" i="124" s="1"/>
  <c r="CG305" i="124"/>
  <c r="CH305" i="124" s="1"/>
  <c r="CL305" i="124"/>
  <c r="CM305" i="124" s="1"/>
  <c r="AS305" i="124"/>
  <c r="AT305" i="124" s="1"/>
  <c r="AN305" i="124"/>
  <c r="AI305" i="124"/>
  <c r="AJ305" i="124" s="1"/>
  <c r="BW317" i="124"/>
  <c r="BX317" i="124" s="1"/>
  <c r="BC317" i="124"/>
  <c r="BD317" i="124" s="1"/>
  <c r="BM317" i="124"/>
  <c r="BN317" i="124" s="1"/>
  <c r="BH317" i="124"/>
  <c r="BI317" i="124" s="1"/>
  <c r="BR317" i="124"/>
  <c r="BS317" i="124" s="1"/>
  <c r="CB317" i="124"/>
  <c r="CC317" i="124" s="1"/>
  <c r="CG317" i="124"/>
  <c r="CH317" i="124" s="1"/>
  <c r="AX317" i="124"/>
  <c r="AY317" i="124" s="1"/>
  <c r="CL317" i="124"/>
  <c r="CM317" i="124" s="1"/>
  <c r="AS317" i="124"/>
  <c r="AT317" i="124" s="1"/>
  <c r="AN317" i="124"/>
  <c r="AI317" i="124"/>
  <c r="AJ317" i="124" s="1"/>
  <c r="BM18" i="124"/>
  <c r="BN18" i="124" s="1"/>
  <c r="BC18" i="124"/>
  <c r="BD18" i="124" s="1"/>
  <c r="AN18" i="124"/>
  <c r="AO18" i="124" s="1"/>
  <c r="BH18" i="124"/>
  <c r="BI18" i="124" s="1"/>
  <c r="AI18" i="124"/>
  <c r="AJ18" i="124" s="1"/>
  <c r="BR18" i="124"/>
  <c r="BS18" i="124" s="1"/>
  <c r="BW18" i="124"/>
  <c r="BX18" i="124" s="1"/>
  <c r="CB18" i="124"/>
  <c r="CC18" i="124" s="1"/>
  <c r="CG18" i="124"/>
  <c r="CH18" i="124" s="1"/>
  <c r="AS18" i="124"/>
  <c r="AT18" i="124" s="1"/>
  <c r="AX18" i="124"/>
  <c r="AY18" i="124" s="1"/>
  <c r="CL18" i="124"/>
  <c r="CM18" i="124" s="1"/>
  <c r="CB492" i="124"/>
  <c r="CC492" i="124" s="1"/>
  <c r="BW492" i="124"/>
  <c r="BX492" i="124" s="1"/>
  <c r="AI492" i="124"/>
  <c r="AJ492" i="124" s="1"/>
  <c r="AS492" i="124"/>
  <c r="AT492" i="124" s="1"/>
  <c r="BR492" i="124"/>
  <c r="BS492" i="124" s="1"/>
  <c r="AX492" i="124"/>
  <c r="AY492" i="124" s="1"/>
  <c r="BH492" i="124"/>
  <c r="BI492" i="124" s="1"/>
  <c r="CL492" i="124"/>
  <c r="CM492" i="124" s="1"/>
  <c r="CG492" i="124"/>
  <c r="CH492" i="124" s="1"/>
  <c r="BC492" i="124"/>
  <c r="BD492" i="124" s="1"/>
  <c r="BM492" i="124"/>
  <c r="BN492" i="124" s="1"/>
  <c r="AN492" i="124"/>
  <c r="BW398" i="124"/>
  <c r="BX398" i="124" s="1"/>
  <c r="AX398" i="124"/>
  <c r="AY398" i="124" s="1"/>
  <c r="CG398" i="124"/>
  <c r="CH398" i="124" s="1"/>
  <c r="BM398" i="124"/>
  <c r="BN398" i="124" s="1"/>
  <c r="BR398" i="124"/>
  <c r="BS398" i="124" s="1"/>
  <c r="BH398" i="124"/>
  <c r="BI398" i="124" s="1"/>
  <c r="AN398" i="124"/>
  <c r="AO398" i="124" s="1"/>
  <c r="AS398" i="124"/>
  <c r="AT398" i="124" s="1"/>
  <c r="CB398" i="124"/>
  <c r="CC398" i="124" s="1"/>
  <c r="BC398" i="124"/>
  <c r="BD398" i="124" s="1"/>
  <c r="AI398" i="124"/>
  <c r="AJ398" i="124" s="1"/>
  <c r="CL398" i="124"/>
  <c r="CM398" i="124" s="1"/>
  <c r="BC498" i="124"/>
  <c r="BD498" i="124" s="1"/>
  <c r="BH498" i="124"/>
  <c r="BI498" i="124" s="1"/>
  <c r="BM498" i="124"/>
  <c r="BN498" i="124" s="1"/>
  <c r="AX498" i="124"/>
  <c r="AY498" i="124" s="1"/>
  <c r="CL498" i="124"/>
  <c r="CM498" i="124" s="1"/>
  <c r="CG498" i="124"/>
  <c r="CH498" i="124" s="1"/>
  <c r="BR498" i="124"/>
  <c r="BS498" i="124" s="1"/>
  <c r="BW498" i="124"/>
  <c r="BX498" i="124" s="1"/>
  <c r="CB498" i="124"/>
  <c r="CC498" i="124" s="1"/>
  <c r="AS498" i="124"/>
  <c r="AT498" i="124" s="1"/>
  <c r="AN498" i="124"/>
  <c r="AO498" i="124" s="1"/>
  <c r="AI498" i="124"/>
  <c r="AJ498" i="124" s="1"/>
  <c r="BC485" i="124"/>
  <c r="BD485" i="124" s="1"/>
  <c r="BH485" i="124"/>
  <c r="BI485" i="124" s="1"/>
  <c r="BM485" i="124"/>
  <c r="BN485" i="124" s="1"/>
  <c r="CL485" i="124"/>
  <c r="CM485" i="124" s="1"/>
  <c r="CB485" i="124"/>
  <c r="CC485" i="124" s="1"/>
  <c r="BW485" i="124"/>
  <c r="BX485" i="124" s="1"/>
  <c r="AX485" i="124"/>
  <c r="AY485" i="124" s="1"/>
  <c r="CG485" i="124"/>
  <c r="CH485" i="124" s="1"/>
  <c r="BR485" i="124"/>
  <c r="BS485" i="124" s="1"/>
  <c r="AS485" i="124"/>
  <c r="AT485" i="124" s="1"/>
  <c r="AN485" i="124"/>
  <c r="AI485" i="124"/>
  <c r="AJ485" i="124" s="1"/>
  <c r="BC346" i="124"/>
  <c r="BD346" i="124" s="1"/>
  <c r="BH346" i="124"/>
  <c r="BI346" i="124" s="1"/>
  <c r="CG346" i="124"/>
  <c r="CH346" i="124" s="1"/>
  <c r="BW346" i="124"/>
  <c r="BX346" i="124" s="1"/>
  <c r="AX346" i="124"/>
  <c r="AY346" i="124" s="1"/>
  <c r="CB346" i="124"/>
  <c r="CC346" i="124" s="1"/>
  <c r="BM346" i="124"/>
  <c r="BN346" i="124" s="1"/>
  <c r="BR346" i="124"/>
  <c r="BS346" i="124" s="1"/>
  <c r="CL346" i="124"/>
  <c r="CM346" i="124" s="1"/>
  <c r="AS346" i="124"/>
  <c r="AT346" i="124" s="1"/>
  <c r="AN346" i="124"/>
  <c r="AO346" i="124" s="1"/>
  <c r="AI346" i="124"/>
  <c r="AJ346" i="124" s="1"/>
  <c r="BC338" i="124"/>
  <c r="BD338" i="124" s="1"/>
  <c r="BH338" i="124"/>
  <c r="BI338" i="124" s="1"/>
  <c r="BW338" i="124"/>
  <c r="BX338" i="124" s="1"/>
  <c r="BM338" i="124"/>
  <c r="BN338" i="124" s="1"/>
  <c r="AX338" i="124"/>
  <c r="AY338" i="124" s="1"/>
  <c r="BR338" i="124"/>
  <c r="BS338" i="124" s="1"/>
  <c r="CL338" i="124"/>
  <c r="CM338" i="124" s="1"/>
  <c r="CB338" i="124"/>
  <c r="CC338" i="124" s="1"/>
  <c r="CG338" i="124"/>
  <c r="CH338" i="124" s="1"/>
  <c r="AS338" i="124"/>
  <c r="AT338" i="124" s="1"/>
  <c r="AN338" i="124"/>
  <c r="AI338" i="124"/>
  <c r="AJ338" i="124" s="1"/>
  <c r="BC5" i="124"/>
  <c r="BD5" i="124" s="1"/>
  <c r="BE5" i="124" s="1"/>
  <c r="BM5" i="124"/>
  <c r="BN5" i="124" s="1"/>
  <c r="BO5" i="124" s="1"/>
  <c r="BR5" i="124"/>
  <c r="BS5" i="124" s="1"/>
  <c r="BT5" i="124" s="1"/>
  <c r="CG5" i="124"/>
  <c r="CH5" i="124" s="1"/>
  <c r="CI5" i="124" s="1"/>
  <c r="CL5" i="124"/>
  <c r="CM5" i="124" s="1"/>
  <c r="CN5" i="124" s="1"/>
  <c r="BW5" i="124"/>
  <c r="BX5" i="124" s="1"/>
  <c r="BY5" i="124" s="1"/>
  <c r="BH5" i="124"/>
  <c r="BI5" i="124" s="1"/>
  <c r="BJ5" i="124" s="1"/>
  <c r="CB5" i="124"/>
  <c r="CC5" i="124" s="1"/>
  <c r="CD5" i="124" s="1"/>
  <c r="AX5" i="124"/>
  <c r="AY5" i="124" s="1"/>
  <c r="AZ5" i="124" s="1"/>
  <c r="AS5" i="124"/>
  <c r="AT5" i="124" s="1"/>
  <c r="AU5" i="124" s="1"/>
  <c r="AN5" i="124"/>
  <c r="AO5" i="124" s="1"/>
  <c r="AP5" i="124" s="1"/>
  <c r="AI5" i="124"/>
  <c r="AJ5" i="124" s="1"/>
  <c r="BM14" i="124"/>
  <c r="BN14" i="124" s="1"/>
  <c r="BO14" i="124" s="1"/>
  <c r="CL14" i="124"/>
  <c r="CM14" i="124" s="1"/>
  <c r="CN14" i="124" s="1"/>
  <c r="CG14" i="124"/>
  <c r="CH14" i="124" s="1"/>
  <c r="CI14" i="124" s="1"/>
  <c r="CB14" i="124"/>
  <c r="CC14" i="124" s="1"/>
  <c r="CD14" i="124" s="1"/>
  <c r="BH14" i="124"/>
  <c r="BI14" i="124" s="1"/>
  <c r="BJ14" i="124" s="1"/>
  <c r="BC14" i="124"/>
  <c r="BD14" i="124" s="1"/>
  <c r="BE14" i="124" s="1"/>
  <c r="BR14" i="124"/>
  <c r="BS14" i="124" s="1"/>
  <c r="BT14" i="124" s="1"/>
  <c r="AN14" i="124"/>
  <c r="AO14" i="124" s="1"/>
  <c r="AP14" i="124" s="1"/>
  <c r="AS14" i="124"/>
  <c r="AT14" i="124" s="1"/>
  <c r="AU14" i="124" s="1"/>
  <c r="BW14" i="124"/>
  <c r="BX14" i="124" s="1"/>
  <c r="BY14" i="124" s="1"/>
  <c r="AX14" i="124"/>
  <c r="AY14" i="124" s="1"/>
  <c r="AZ14" i="124" s="1"/>
  <c r="BC16" i="124"/>
  <c r="BD16" i="124" s="1"/>
  <c r="BH16" i="124"/>
  <c r="BI16" i="124" s="1"/>
  <c r="CB16" i="124"/>
  <c r="CC16" i="124" s="1"/>
  <c r="CG16" i="124"/>
  <c r="CH16" i="124" s="1"/>
  <c r="BM16" i="124"/>
  <c r="BN16" i="124" s="1"/>
  <c r="BR16" i="124"/>
  <c r="BS16" i="124" s="1"/>
  <c r="BW16" i="124"/>
  <c r="BX16" i="124" s="1"/>
  <c r="AX16" i="124"/>
  <c r="AY16" i="124" s="1"/>
  <c r="CL16" i="124"/>
  <c r="CM16" i="124" s="1"/>
  <c r="AS16" i="124"/>
  <c r="AT16" i="124" s="1"/>
  <c r="AN16" i="124"/>
  <c r="AI16" i="124"/>
  <c r="AJ16" i="124" s="1"/>
  <c r="BC337" i="124"/>
  <c r="BD337" i="124" s="1"/>
  <c r="BH337" i="124"/>
  <c r="BI337" i="124" s="1"/>
  <c r="BM337" i="124"/>
  <c r="BN337" i="124" s="1"/>
  <c r="BR337" i="124"/>
  <c r="BS337" i="124" s="1"/>
  <c r="CL337" i="124"/>
  <c r="CM337" i="124" s="1"/>
  <c r="AX337" i="124"/>
  <c r="AY337" i="124" s="1"/>
  <c r="BW337" i="124"/>
  <c r="BX337" i="124" s="1"/>
  <c r="CB337" i="124"/>
  <c r="CC337" i="124" s="1"/>
  <c r="CG337" i="124"/>
  <c r="CH337" i="124" s="1"/>
  <c r="AS337" i="124"/>
  <c r="AT337" i="124" s="1"/>
  <c r="AN337" i="124"/>
  <c r="AI337" i="124"/>
  <c r="AJ337" i="124" s="1"/>
  <c r="BW579" i="124"/>
  <c r="BX579" i="124" s="1"/>
  <c r="BH579" i="124"/>
  <c r="BI579" i="124" s="1"/>
  <c r="BC579" i="124"/>
  <c r="BD579" i="124" s="1"/>
  <c r="AX579" i="124"/>
  <c r="AY579" i="124" s="1"/>
  <c r="CB579" i="124"/>
  <c r="CC579" i="124" s="1"/>
  <c r="BR579" i="124"/>
  <c r="BS579" i="124" s="1"/>
  <c r="CL579" i="124"/>
  <c r="CM579" i="124" s="1"/>
  <c r="BM579" i="124"/>
  <c r="BN579" i="124" s="1"/>
  <c r="CG579" i="124"/>
  <c r="CH579" i="124" s="1"/>
  <c r="AS579" i="124"/>
  <c r="AT579" i="124" s="1"/>
  <c r="AN579" i="124"/>
  <c r="AI579" i="124"/>
  <c r="AJ579" i="124" s="1"/>
  <c r="BH297" i="124"/>
  <c r="BI297" i="124" s="1"/>
  <c r="BC297" i="124"/>
  <c r="BD297" i="124" s="1"/>
  <c r="BW297" i="124"/>
  <c r="BX297" i="124" s="1"/>
  <c r="BM297" i="124"/>
  <c r="BN297" i="124" s="1"/>
  <c r="AX297" i="124"/>
  <c r="AY297" i="124" s="1"/>
  <c r="CG297" i="124"/>
  <c r="CH297" i="124" s="1"/>
  <c r="BR297" i="124"/>
  <c r="BS297" i="124" s="1"/>
  <c r="CB297" i="124"/>
  <c r="CC297" i="124" s="1"/>
  <c r="CL297" i="124"/>
  <c r="CM297" i="124" s="1"/>
  <c r="AS297" i="124"/>
  <c r="AT297" i="124" s="1"/>
  <c r="AN297" i="124"/>
  <c r="AO297" i="124" s="1"/>
  <c r="AI297" i="124"/>
  <c r="AJ297" i="124" s="1"/>
  <c r="BH483" i="124"/>
  <c r="BI483" i="124" s="1"/>
  <c r="BM483" i="124"/>
  <c r="BN483" i="124" s="1"/>
  <c r="BC483" i="124"/>
  <c r="BD483" i="124" s="1"/>
  <c r="BR483" i="124"/>
  <c r="BS483" i="124" s="1"/>
  <c r="CG483" i="124"/>
  <c r="CH483" i="124" s="1"/>
  <c r="CB483" i="124"/>
  <c r="CC483" i="124" s="1"/>
  <c r="AX483" i="124"/>
  <c r="AY483" i="124" s="1"/>
  <c r="CL483" i="124"/>
  <c r="CM483" i="124" s="1"/>
  <c r="BW483" i="124"/>
  <c r="BX483" i="124" s="1"/>
  <c r="AS483" i="124"/>
  <c r="AT483" i="124" s="1"/>
  <c r="AN483" i="124"/>
  <c r="AI483" i="124"/>
  <c r="AJ483" i="124" s="1"/>
  <c r="BH530" i="124"/>
  <c r="BI530" i="124" s="1"/>
  <c r="BC530" i="124"/>
  <c r="BD530" i="124" s="1"/>
  <c r="BW530" i="124"/>
  <c r="BX530" i="124" s="1"/>
  <c r="CB530" i="124"/>
  <c r="CC530" i="124" s="1"/>
  <c r="AX530" i="124"/>
  <c r="AY530" i="124" s="1"/>
  <c r="BM530" i="124"/>
  <c r="BN530" i="124" s="1"/>
  <c r="CG530" i="124"/>
  <c r="CH530" i="124" s="1"/>
  <c r="CL530" i="124"/>
  <c r="CM530" i="124" s="1"/>
  <c r="BR530" i="124"/>
  <c r="BS530" i="124" s="1"/>
  <c r="AS530" i="124"/>
  <c r="AT530" i="124" s="1"/>
  <c r="AN530" i="124"/>
  <c r="AI530" i="124"/>
  <c r="AJ530" i="124" s="1"/>
  <c r="BC326" i="124"/>
  <c r="BD326" i="124" s="1"/>
  <c r="BH326" i="124"/>
  <c r="BI326" i="124" s="1"/>
  <c r="BM326" i="124"/>
  <c r="BN326" i="124" s="1"/>
  <c r="AX326" i="124"/>
  <c r="AY326" i="124" s="1"/>
  <c r="CG326" i="124"/>
  <c r="CH326" i="124" s="1"/>
  <c r="BW326" i="124"/>
  <c r="BX326" i="124" s="1"/>
  <c r="CL326" i="124"/>
  <c r="CM326" i="124" s="1"/>
  <c r="CB326" i="124"/>
  <c r="CC326" i="124" s="1"/>
  <c r="BR326" i="124"/>
  <c r="BS326" i="124" s="1"/>
  <c r="AS326" i="124"/>
  <c r="AT326" i="124" s="1"/>
  <c r="AN326" i="124"/>
  <c r="AI326" i="124"/>
  <c r="AJ326" i="124" s="1"/>
  <c r="BC299" i="124"/>
  <c r="BD299" i="124" s="1"/>
  <c r="BH299" i="124"/>
  <c r="BI299" i="124" s="1"/>
  <c r="CB299" i="124"/>
  <c r="CC299" i="124" s="1"/>
  <c r="AX299" i="124"/>
  <c r="AY299" i="124" s="1"/>
  <c r="BR299" i="124"/>
  <c r="BS299" i="124" s="1"/>
  <c r="CL299" i="124"/>
  <c r="CM299" i="124" s="1"/>
  <c r="BW299" i="124"/>
  <c r="BX299" i="124" s="1"/>
  <c r="BM299" i="124"/>
  <c r="BN299" i="124" s="1"/>
  <c r="CG299" i="124"/>
  <c r="CH299" i="124" s="1"/>
  <c r="AS299" i="124"/>
  <c r="AT299" i="124" s="1"/>
  <c r="AN299" i="124"/>
  <c r="AI299" i="124"/>
  <c r="AJ299" i="124" s="1"/>
  <c r="BH318" i="124"/>
  <c r="BI318" i="124" s="1"/>
  <c r="BC318" i="124"/>
  <c r="BD318" i="124" s="1"/>
  <c r="BM318" i="124"/>
  <c r="BN318" i="124" s="1"/>
  <c r="AX318" i="124"/>
  <c r="AY318" i="124" s="1"/>
  <c r="CL318" i="124"/>
  <c r="CM318" i="124" s="1"/>
  <c r="BW318" i="124"/>
  <c r="BX318" i="124" s="1"/>
  <c r="CG318" i="124"/>
  <c r="CH318" i="124" s="1"/>
  <c r="BR318" i="124"/>
  <c r="BS318" i="124" s="1"/>
  <c r="CB318" i="124"/>
  <c r="CC318" i="124" s="1"/>
  <c r="AS318" i="124"/>
  <c r="AT318" i="124" s="1"/>
  <c r="AN318" i="124"/>
  <c r="AI318" i="124"/>
  <c r="AJ318" i="124" s="1"/>
  <c r="BC577" i="124"/>
  <c r="BD577" i="124" s="1"/>
  <c r="CL577" i="124"/>
  <c r="CM577" i="124" s="1"/>
  <c r="BM577" i="124"/>
  <c r="BN577" i="124" s="1"/>
  <c r="CB577" i="124"/>
  <c r="CC577" i="124" s="1"/>
  <c r="AX577" i="124"/>
  <c r="AY577" i="124" s="1"/>
  <c r="BR577" i="124"/>
  <c r="BS577" i="124" s="1"/>
  <c r="CG577" i="124"/>
  <c r="CH577" i="124" s="1"/>
  <c r="BH577" i="124"/>
  <c r="BI577" i="124" s="1"/>
  <c r="BW577" i="124"/>
  <c r="BX577" i="124" s="1"/>
  <c r="AS577" i="124"/>
  <c r="AT577" i="124" s="1"/>
  <c r="AN577" i="124"/>
  <c r="AO577" i="124" s="1"/>
  <c r="AI577" i="124"/>
  <c r="AJ577" i="124" s="1"/>
  <c r="AX532" i="124"/>
  <c r="AY532" i="124" s="1"/>
  <c r="AN532" i="124"/>
  <c r="AO532" i="124" s="1"/>
  <c r="CL532" i="124"/>
  <c r="CM532" i="124" s="1"/>
  <c r="AS532" i="124"/>
  <c r="AT532" i="124" s="1"/>
  <c r="BH532" i="124"/>
  <c r="BI532" i="124" s="1"/>
  <c r="AI532" i="124"/>
  <c r="AJ532" i="124" s="1"/>
  <c r="BR532" i="124"/>
  <c r="BS532" i="124" s="1"/>
  <c r="CB532" i="124"/>
  <c r="CC532" i="124" s="1"/>
  <c r="CG532" i="124"/>
  <c r="CH532" i="124" s="1"/>
  <c r="BM532" i="124"/>
  <c r="BN532" i="124" s="1"/>
  <c r="BC532" i="124"/>
  <c r="BD532" i="124" s="1"/>
  <c r="BW532" i="124"/>
  <c r="BX532" i="124" s="1"/>
  <c r="BH528" i="124"/>
  <c r="BI528" i="124" s="1"/>
  <c r="BC528" i="124"/>
  <c r="BD528" i="124" s="1"/>
  <c r="BM528" i="124"/>
  <c r="BN528" i="124" s="1"/>
  <c r="CL528" i="124"/>
  <c r="CM528" i="124" s="1"/>
  <c r="AX528" i="124"/>
  <c r="AY528" i="124" s="1"/>
  <c r="BW528" i="124"/>
  <c r="BX528" i="124" s="1"/>
  <c r="CG528" i="124"/>
  <c r="CH528" i="124" s="1"/>
  <c r="CB528" i="124"/>
  <c r="CC528" i="124" s="1"/>
  <c r="BR528" i="124"/>
  <c r="BS528" i="124" s="1"/>
  <c r="AS528" i="124"/>
  <c r="AT528" i="124" s="1"/>
  <c r="AN528" i="124"/>
  <c r="AO528" i="124" s="1"/>
  <c r="AI528" i="124"/>
  <c r="AJ528" i="124" s="1"/>
  <c r="BH409" i="124"/>
  <c r="BI409" i="124" s="1"/>
  <c r="BC409" i="124"/>
  <c r="BD409" i="124" s="1"/>
  <c r="BM409" i="124"/>
  <c r="BN409" i="124" s="1"/>
  <c r="BW409" i="124"/>
  <c r="BX409" i="124" s="1"/>
  <c r="CL409" i="124"/>
  <c r="CM409" i="124" s="1"/>
  <c r="AX409" i="124"/>
  <c r="AY409" i="124" s="1"/>
  <c r="CG409" i="124"/>
  <c r="CH409" i="124" s="1"/>
  <c r="BR409" i="124"/>
  <c r="BS409" i="124" s="1"/>
  <c r="CB409" i="124"/>
  <c r="CC409" i="124" s="1"/>
  <c r="AS409" i="124"/>
  <c r="AT409" i="124" s="1"/>
  <c r="AN409" i="124"/>
  <c r="AO409" i="124" s="1"/>
  <c r="AI409" i="124"/>
  <c r="AJ409" i="124" s="1"/>
  <c r="BW538" i="124"/>
  <c r="BX538" i="124" s="1"/>
  <c r="AX538" i="124"/>
  <c r="AY538" i="124" s="1"/>
  <c r="AI538" i="124"/>
  <c r="AJ538" i="124" s="1"/>
  <c r="CG538" i="124"/>
  <c r="CH538" i="124" s="1"/>
  <c r="CB538" i="124"/>
  <c r="CC538" i="124" s="1"/>
  <c r="BH538" i="124"/>
  <c r="BI538" i="124" s="1"/>
  <c r="BM538" i="124"/>
  <c r="BN538" i="124" s="1"/>
  <c r="AN538" i="124"/>
  <c r="AS538" i="124"/>
  <c r="AT538" i="124" s="1"/>
  <c r="CL538" i="124"/>
  <c r="CM538" i="124" s="1"/>
  <c r="BR538" i="124"/>
  <c r="BS538" i="124" s="1"/>
  <c r="BC538" i="124"/>
  <c r="BD538" i="124" s="1"/>
  <c r="BC347" i="124"/>
  <c r="BD347" i="124" s="1"/>
  <c r="BH347" i="124"/>
  <c r="BI347" i="124" s="1"/>
  <c r="CB347" i="124"/>
  <c r="CC347" i="124" s="1"/>
  <c r="BW347" i="124"/>
  <c r="BX347" i="124" s="1"/>
  <c r="AX347" i="124"/>
  <c r="AY347" i="124" s="1"/>
  <c r="BR347" i="124"/>
  <c r="BS347" i="124" s="1"/>
  <c r="CL347" i="124"/>
  <c r="CM347" i="124" s="1"/>
  <c r="BM347" i="124"/>
  <c r="BN347" i="124" s="1"/>
  <c r="CG347" i="124"/>
  <c r="CH347" i="124" s="1"/>
  <c r="AS347" i="124"/>
  <c r="AT347" i="124" s="1"/>
  <c r="AN347" i="124"/>
  <c r="AI347" i="124"/>
  <c r="AJ347" i="124" s="1"/>
  <c r="BH423" i="124"/>
  <c r="BI423" i="124" s="1"/>
  <c r="AX423" i="124"/>
  <c r="AY423" i="124" s="1"/>
  <c r="BC423" i="124"/>
  <c r="BD423" i="124" s="1"/>
  <c r="CB423" i="124"/>
  <c r="CC423" i="124" s="1"/>
  <c r="CG423" i="124"/>
  <c r="CH423" i="124" s="1"/>
  <c r="CL423" i="124"/>
  <c r="CM423" i="124" s="1"/>
  <c r="BM423" i="124"/>
  <c r="BN423" i="124" s="1"/>
  <c r="BW423" i="124"/>
  <c r="BX423" i="124" s="1"/>
  <c r="BR423" i="124"/>
  <c r="BS423" i="124" s="1"/>
  <c r="AS423" i="124"/>
  <c r="AT423" i="124" s="1"/>
  <c r="AN423" i="124"/>
  <c r="AO423" i="124" s="1"/>
  <c r="AI423" i="124"/>
  <c r="AJ423" i="124" s="1"/>
  <c r="BH564" i="124"/>
  <c r="BI564" i="124" s="1"/>
  <c r="BC564" i="124"/>
  <c r="BD564" i="124" s="1"/>
  <c r="BW564" i="124"/>
  <c r="BX564" i="124" s="1"/>
  <c r="CB564" i="124"/>
  <c r="CC564" i="124" s="1"/>
  <c r="BR564" i="124"/>
  <c r="BS564" i="124" s="1"/>
  <c r="CL564" i="124"/>
  <c r="CM564" i="124" s="1"/>
  <c r="BM564" i="124"/>
  <c r="BN564" i="124" s="1"/>
  <c r="AX564" i="124"/>
  <c r="AY564" i="124" s="1"/>
  <c r="CG564" i="124"/>
  <c r="CH564" i="124" s="1"/>
  <c r="AS564" i="124"/>
  <c r="AT564" i="124" s="1"/>
  <c r="AN564" i="124"/>
  <c r="AI564" i="124"/>
  <c r="AJ564" i="124" s="1"/>
  <c r="BH34" i="124"/>
  <c r="BI34" i="124" s="1"/>
  <c r="BJ34" i="124" s="1"/>
  <c r="BC34" i="124"/>
  <c r="BD34" i="124" s="1"/>
  <c r="BE34" i="124" s="1"/>
  <c r="BW34" i="124"/>
  <c r="BX34" i="124" s="1"/>
  <c r="BY34" i="124" s="1"/>
  <c r="CB34" i="124"/>
  <c r="CC34" i="124" s="1"/>
  <c r="CD34" i="124" s="1"/>
  <c r="AX34" i="124"/>
  <c r="AY34" i="124" s="1"/>
  <c r="AZ34" i="124" s="1"/>
  <c r="CG34" i="124"/>
  <c r="CH34" i="124" s="1"/>
  <c r="CI34" i="124" s="1"/>
  <c r="BM34" i="124"/>
  <c r="BN34" i="124" s="1"/>
  <c r="BO34" i="124" s="1"/>
  <c r="CL34" i="124"/>
  <c r="CM34" i="124" s="1"/>
  <c r="CN34" i="124" s="1"/>
  <c r="BR34" i="124"/>
  <c r="BS34" i="124" s="1"/>
  <c r="BT34" i="124" s="1"/>
  <c r="AS34" i="124"/>
  <c r="AT34" i="124" s="1"/>
  <c r="AU34" i="124" s="1"/>
  <c r="AN34" i="124"/>
  <c r="AI34" i="124"/>
  <c r="AJ34" i="124" s="1"/>
  <c r="BW587" i="124"/>
  <c r="BX587" i="124" s="1"/>
  <c r="CB587" i="124"/>
  <c r="CC587" i="124" s="1"/>
  <c r="BC587" i="124"/>
  <c r="BD587" i="124" s="1"/>
  <c r="BH587" i="124"/>
  <c r="BI587" i="124" s="1"/>
  <c r="CG587" i="124"/>
  <c r="CH587" i="124" s="1"/>
  <c r="CL587" i="124"/>
  <c r="CM587" i="124" s="1"/>
  <c r="AX587" i="124"/>
  <c r="AY587" i="124" s="1"/>
  <c r="BR587" i="124"/>
  <c r="BS587" i="124" s="1"/>
  <c r="BM587" i="124"/>
  <c r="BN587" i="124" s="1"/>
  <c r="AS587" i="124"/>
  <c r="AT587" i="124" s="1"/>
  <c r="AN587" i="124"/>
  <c r="AI587" i="124"/>
  <c r="AJ587" i="124" s="1"/>
  <c r="BC242" i="124"/>
  <c r="BD242" i="124" s="1"/>
  <c r="BE242" i="124" s="1"/>
  <c r="BH242" i="124"/>
  <c r="BI242" i="124" s="1"/>
  <c r="BJ242" i="124" s="1"/>
  <c r="BW242" i="124"/>
  <c r="BX242" i="124" s="1"/>
  <c r="BY242" i="124" s="1"/>
  <c r="CG242" i="124"/>
  <c r="CH242" i="124" s="1"/>
  <c r="CI242" i="124" s="1"/>
  <c r="BM242" i="124"/>
  <c r="BN242" i="124" s="1"/>
  <c r="BO242" i="124" s="1"/>
  <c r="AX242" i="124"/>
  <c r="AY242" i="124" s="1"/>
  <c r="AZ242" i="124" s="1"/>
  <c r="CL242" i="124"/>
  <c r="CM242" i="124" s="1"/>
  <c r="CN242" i="124" s="1"/>
  <c r="CB242" i="124"/>
  <c r="CC242" i="124" s="1"/>
  <c r="CD242" i="124" s="1"/>
  <c r="BR242" i="124"/>
  <c r="BS242" i="124" s="1"/>
  <c r="BT242" i="124" s="1"/>
  <c r="AS242" i="124"/>
  <c r="AT242" i="124" s="1"/>
  <c r="AU242" i="124" s="1"/>
  <c r="AN242" i="124"/>
  <c r="AI242" i="124"/>
  <c r="AJ242" i="124" s="1"/>
  <c r="CG452" i="124"/>
  <c r="CH452" i="124" s="1"/>
  <c r="BH452" i="124"/>
  <c r="BI452" i="124" s="1"/>
  <c r="AS452" i="124"/>
  <c r="AT452" i="124" s="1"/>
  <c r="CL452" i="124"/>
  <c r="CM452" i="124" s="1"/>
  <c r="AX452" i="124"/>
  <c r="AY452" i="124" s="1"/>
  <c r="CB452" i="124"/>
  <c r="CC452" i="124" s="1"/>
  <c r="AN452" i="124"/>
  <c r="BR452" i="124"/>
  <c r="BS452" i="124" s="1"/>
  <c r="BM452" i="124"/>
  <c r="BN452" i="124" s="1"/>
  <c r="BC452" i="124"/>
  <c r="BD452" i="124" s="1"/>
  <c r="BW452" i="124"/>
  <c r="BX452" i="124" s="1"/>
  <c r="AI452" i="124"/>
  <c r="AJ452" i="124" s="1"/>
  <c r="BC336" i="124"/>
  <c r="BD336" i="124" s="1"/>
  <c r="BH336" i="124"/>
  <c r="BI336" i="124" s="1"/>
  <c r="CB336" i="124"/>
  <c r="CC336" i="124" s="1"/>
  <c r="BM336" i="124"/>
  <c r="BN336" i="124" s="1"/>
  <c r="CL336" i="124"/>
  <c r="CM336" i="124" s="1"/>
  <c r="BW336" i="124"/>
  <c r="BX336" i="124" s="1"/>
  <c r="CG336" i="124"/>
  <c r="CH336" i="124" s="1"/>
  <c r="BR336" i="124"/>
  <c r="BS336" i="124" s="1"/>
  <c r="AX336" i="124"/>
  <c r="AY336" i="124" s="1"/>
  <c r="AS336" i="124"/>
  <c r="AT336" i="124" s="1"/>
  <c r="AN336" i="124"/>
  <c r="AO336" i="124" s="1"/>
  <c r="AI336" i="124"/>
  <c r="AJ336" i="124" s="1"/>
  <c r="BC522" i="124"/>
  <c r="BD522" i="124" s="1"/>
  <c r="BH522" i="124"/>
  <c r="BI522" i="124" s="1"/>
  <c r="BM522" i="124"/>
  <c r="BN522" i="124" s="1"/>
  <c r="CB522" i="124"/>
  <c r="CC522" i="124" s="1"/>
  <c r="CL522" i="124"/>
  <c r="CM522" i="124" s="1"/>
  <c r="BR522" i="124"/>
  <c r="BS522" i="124" s="1"/>
  <c r="AX522" i="124"/>
  <c r="AY522" i="124" s="1"/>
  <c r="BW522" i="124"/>
  <c r="BX522" i="124" s="1"/>
  <c r="CG522" i="124"/>
  <c r="CH522" i="124" s="1"/>
  <c r="AS522" i="124"/>
  <c r="AT522" i="124" s="1"/>
  <c r="AN522" i="124"/>
  <c r="AO522" i="124" s="1"/>
  <c r="AI522" i="124"/>
  <c r="AJ522" i="124" s="1"/>
  <c r="BC309" i="124"/>
  <c r="BD309" i="124" s="1"/>
  <c r="BH309" i="124"/>
  <c r="BI309" i="124" s="1"/>
  <c r="BM309" i="124"/>
  <c r="BN309" i="124" s="1"/>
  <c r="BR309" i="124"/>
  <c r="BS309" i="124" s="1"/>
  <c r="CL309" i="124"/>
  <c r="CM309" i="124" s="1"/>
  <c r="CB309" i="124"/>
  <c r="CC309" i="124" s="1"/>
  <c r="AX309" i="124"/>
  <c r="AY309" i="124" s="1"/>
  <c r="BW309" i="124"/>
  <c r="BX309" i="124" s="1"/>
  <c r="CG309" i="124"/>
  <c r="CH309" i="124" s="1"/>
  <c r="AS309" i="124"/>
  <c r="AT309" i="124" s="1"/>
  <c r="AN309" i="124"/>
  <c r="AO309" i="124" s="1"/>
  <c r="AI309" i="124"/>
  <c r="AJ309" i="124" s="1"/>
  <c r="BC345" i="124"/>
  <c r="BD345" i="124" s="1"/>
  <c r="BH345" i="124"/>
  <c r="BI345" i="124" s="1"/>
  <c r="AX345" i="124"/>
  <c r="AY345" i="124" s="1"/>
  <c r="CB345" i="124"/>
  <c r="CC345" i="124" s="1"/>
  <c r="BM345" i="124"/>
  <c r="BN345" i="124" s="1"/>
  <c r="CG345" i="124"/>
  <c r="CH345" i="124" s="1"/>
  <c r="CL345" i="124"/>
  <c r="CM345" i="124" s="1"/>
  <c r="BW345" i="124"/>
  <c r="BX345" i="124" s="1"/>
  <c r="BR345" i="124"/>
  <c r="BS345" i="124" s="1"/>
  <c r="AS345" i="124"/>
  <c r="AT345" i="124" s="1"/>
  <c r="AN345" i="124"/>
  <c r="AI345" i="124"/>
  <c r="AJ345" i="124" s="1"/>
  <c r="AS358" i="124"/>
  <c r="AT358" i="124" s="1"/>
  <c r="AI358" i="124"/>
  <c r="AJ358" i="124" s="1"/>
  <c r="BC358" i="124"/>
  <c r="BD358" i="124" s="1"/>
  <c r="CG358" i="124"/>
  <c r="CH358" i="124" s="1"/>
  <c r="BW358" i="124"/>
  <c r="BX358" i="124" s="1"/>
  <c r="BH358" i="124"/>
  <c r="BI358" i="124" s="1"/>
  <c r="AN358" i="124"/>
  <c r="BM358" i="124"/>
  <c r="BN358" i="124" s="1"/>
  <c r="CL358" i="124"/>
  <c r="CM358" i="124" s="1"/>
  <c r="BR358" i="124"/>
  <c r="BS358" i="124" s="1"/>
  <c r="AX358" i="124"/>
  <c r="AY358" i="124" s="1"/>
  <c r="CB358" i="124"/>
  <c r="CC358" i="124" s="1"/>
  <c r="BH512" i="124"/>
  <c r="BI512" i="124" s="1"/>
  <c r="BC512" i="124"/>
  <c r="BD512" i="124" s="1"/>
  <c r="BM512" i="124"/>
  <c r="BN512" i="124" s="1"/>
  <c r="CB512" i="124"/>
  <c r="CC512" i="124" s="1"/>
  <c r="CG512" i="124"/>
  <c r="CH512" i="124" s="1"/>
  <c r="BR512" i="124"/>
  <c r="BS512" i="124" s="1"/>
  <c r="BW512" i="124"/>
  <c r="BX512" i="124" s="1"/>
  <c r="AX512" i="124"/>
  <c r="AY512" i="124" s="1"/>
  <c r="CL512" i="124"/>
  <c r="CM512" i="124" s="1"/>
  <c r="AS512" i="124"/>
  <c r="AT512" i="124" s="1"/>
  <c r="AN512" i="124"/>
  <c r="AI512" i="124"/>
  <c r="AJ512" i="124" s="1"/>
  <c r="BH312" i="124"/>
  <c r="BI312" i="124" s="1"/>
  <c r="BW312" i="124"/>
  <c r="BX312" i="124" s="1"/>
  <c r="CB312" i="124"/>
  <c r="CC312" i="124" s="1"/>
  <c r="CG312" i="124"/>
  <c r="CH312" i="124" s="1"/>
  <c r="BC312" i="124"/>
  <c r="BD312" i="124" s="1"/>
  <c r="BM312" i="124"/>
  <c r="BN312" i="124" s="1"/>
  <c r="AX312" i="124"/>
  <c r="AY312" i="124" s="1"/>
  <c r="BR312" i="124"/>
  <c r="BS312" i="124" s="1"/>
  <c r="CL312" i="124"/>
  <c r="CM312" i="124" s="1"/>
  <c r="AS312" i="124"/>
  <c r="AT312" i="124" s="1"/>
  <c r="AN312" i="124"/>
  <c r="AO312" i="124" s="1"/>
  <c r="AI312" i="124"/>
  <c r="AJ312" i="124" s="1"/>
  <c r="BW293" i="124"/>
  <c r="BX293" i="124" s="1"/>
  <c r="BC293" i="124"/>
  <c r="BD293" i="124" s="1"/>
  <c r="BH293" i="124"/>
  <c r="BI293" i="124" s="1"/>
  <c r="CB293" i="124"/>
  <c r="CC293" i="124" s="1"/>
  <c r="CL293" i="124"/>
  <c r="CM293" i="124" s="1"/>
  <c r="BM293" i="124"/>
  <c r="BN293" i="124" s="1"/>
  <c r="AX293" i="124"/>
  <c r="AY293" i="124" s="1"/>
  <c r="CG293" i="124"/>
  <c r="CH293" i="124" s="1"/>
  <c r="BR293" i="124"/>
  <c r="BS293" i="124" s="1"/>
  <c r="AS293" i="124"/>
  <c r="AT293" i="124" s="1"/>
  <c r="AN293" i="124"/>
  <c r="AO293" i="124" s="1"/>
  <c r="AI293" i="124"/>
  <c r="AJ293" i="124" s="1"/>
  <c r="BC325" i="124"/>
  <c r="BD325" i="124" s="1"/>
  <c r="BH325" i="124"/>
  <c r="BI325" i="124" s="1"/>
  <c r="BM325" i="124"/>
  <c r="BN325" i="124" s="1"/>
  <c r="BW325" i="124"/>
  <c r="BX325" i="124" s="1"/>
  <c r="CG325" i="124"/>
  <c r="CH325" i="124" s="1"/>
  <c r="CL325" i="124"/>
  <c r="CM325" i="124" s="1"/>
  <c r="BR325" i="124"/>
  <c r="BS325" i="124" s="1"/>
  <c r="CB325" i="124"/>
  <c r="CC325" i="124" s="1"/>
  <c r="AX325" i="124"/>
  <c r="AY325" i="124" s="1"/>
  <c r="AS325" i="124"/>
  <c r="AT325" i="124" s="1"/>
  <c r="AN325" i="124"/>
  <c r="AI325" i="124"/>
  <c r="AJ325" i="124" s="1"/>
  <c r="BC298" i="124"/>
  <c r="BD298" i="124" s="1"/>
  <c r="BH298" i="124"/>
  <c r="BI298" i="124" s="1"/>
  <c r="BW298" i="124"/>
  <c r="BX298" i="124" s="1"/>
  <c r="CG298" i="124"/>
  <c r="CH298" i="124" s="1"/>
  <c r="BM298" i="124"/>
  <c r="BN298" i="124" s="1"/>
  <c r="AX298" i="124"/>
  <c r="AY298" i="124" s="1"/>
  <c r="CB298" i="124"/>
  <c r="CC298" i="124" s="1"/>
  <c r="CL298" i="124"/>
  <c r="CM298" i="124" s="1"/>
  <c r="BR298" i="124"/>
  <c r="BS298" i="124" s="1"/>
  <c r="AS298" i="124"/>
  <c r="AT298" i="124" s="1"/>
  <c r="AN298" i="124"/>
  <c r="AI298" i="124"/>
  <c r="AJ298" i="124" s="1"/>
  <c r="BM322" i="124"/>
  <c r="BN322" i="124" s="1"/>
  <c r="AX322" i="124"/>
  <c r="AY322" i="124" s="1"/>
  <c r="CL322" i="124"/>
  <c r="CM322" i="124" s="1"/>
  <c r="CB322" i="124"/>
  <c r="CC322" i="124" s="1"/>
  <c r="BR322" i="124"/>
  <c r="BS322" i="124" s="1"/>
  <c r="BH322" i="124"/>
  <c r="BI322" i="124" s="1"/>
  <c r="CG322" i="124"/>
  <c r="CH322" i="124" s="1"/>
  <c r="BC322" i="124"/>
  <c r="BD322" i="124" s="1"/>
  <c r="BW322" i="124"/>
  <c r="BX322" i="124" s="1"/>
  <c r="AS322" i="124"/>
  <c r="AT322" i="124" s="1"/>
  <c r="AN322" i="124"/>
  <c r="AI322" i="124"/>
  <c r="AJ322" i="124" s="1"/>
  <c r="BH408" i="124"/>
  <c r="BI408" i="124" s="1"/>
  <c r="BC408" i="124"/>
  <c r="BD408" i="124" s="1"/>
  <c r="BW408" i="124"/>
  <c r="BX408" i="124" s="1"/>
  <c r="BM408" i="124"/>
  <c r="BN408" i="124" s="1"/>
  <c r="BR408" i="124"/>
  <c r="BS408" i="124" s="1"/>
  <c r="CB408" i="124"/>
  <c r="CC408" i="124" s="1"/>
  <c r="AX408" i="124"/>
  <c r="AY408" i="124" s="1"/>
  <c r="CG408" i="124"/>
  <c r="CH408" i="124" s="1"/>
  <c r="CL408" i="124"/>
  <c r="CM408" i="124" s="1"/>
  <c r="AS408" i="124"/>
  <c r="AT408" i="124" s="1"/>
  <c r="AN408" i="124"/>
  <c r="AI408" i="124"/>
  <c r="AJ408" i="124" s="1"/>
  <c r="AI515" i="124"/>
  <c r="AJ515" i="124" s="1"/>
  <c r="BW515" i="124"/>
  <c r="BX515" i="124" s="1"/>
  <c r="CG515" i="124"/>
  <c r="CH515" i="124" s="1"/>
  <c r="BR515" i="124"/>
  <c r="BS515" i="124" s="1"/>
  <c r="BM515" i="124"/>
  <c r="BN515" i="124" s="1"/>
  <c r="CB515" i="124"/>
  <c r="CC515" i="124" s="1"/>
  <c r="AX515" i="124"/>
  <c r="AY515" i="124" s="1"/>
  <c r="BC515" i="124"/>
  <c r="BD515" i="124" s="1"/>
  <c r="CL515" i="124"/>
  <c r="CM515" i="124" s="1"/>
  <c r="BH515" i="124"/>
  <c r="BI515" i="124" s="1"/>
  <c r="AS515" i="124"/>
  <c r="AT515" i="124" s="1"/>
  <c r="AN515" i="124"/>
  <c r="AO515" i="124" s="1"/>
  <c r="BH381" i="124"/>
  <c r="BI381" i="124" s="1"/>
  <c r="BC381" i="124"/>
  <c r="BD381" i="124" s="1"/>
  <c r="BM381" i="124"/>
  <c r="BN381" i="124" s="1"/>
  <c r="AX381" i="124"/>
  <c r="AY381" i="124" s="1"/>
  <c r="CB381" i="124"/>
  <c r="CC381" i="124" s="1"/>
  <c r="CL381" i="124"/>
  <c r="CM381" i="124" s="1"/>
  <c r="BW381" i="124"/>
  <c r="BX381" i="124" s="1"/>
  <c r="CG381" i="124"/>
  <c r="CH381" i="124" s="1"/>
  <c r="BR381" i="124"/>
  <c r="BS381" i="124" s="1"/>
  <c r="AS381" i="124"/>
  <c r="AT381" i="124" s="1"/>
  <c r="AN381" i="124"/>
  <c r="AI381" i="124"/>
  <c r="AJ381" i="124" s="1"/>
  <c r="BH315" i="124"/>
  <c r="BI315" i="124" s="1"/>
  <c r="BC315" i="124"/>
  <c r="BD315" i="124" s="1"/>
  <c r="BM315" i="124"/>
  <c r="BN315" i="124" s="1"/>
  <c r="AX315" i="124"/>
  <c r="AY315" i="124" s="1"/>
  <c r="CL315" i="124"/>
  <c r="CM315" i="124" s="1"/>
  <c r="BW315" i="124"/>
  <c r="BX315" i="124" s="1"/>
  <c r="CB315" i="124"/>
  <c r="CC315" i="124" s="1"/>
  <c r="CG315" i="124"/>
  <c r="CH315" i="124" s="1"/>
  <c r="BR315" i="124"/>
  <c r="BS315" i="124" s="1"/>
  <c r="AS315" i="124"/>
  <c r="AT315" i="124" s="1"/>
  <c r="AN315" i="124"/>
  <c r="AI315" i="124"/>
  <c r="AJ315" i="124" s="1"/>
  <c r="BC430" i="124"/>
  <c r="BD430" i="124" s="1"/>
  <c r="BH430" i="124"/>
  <c r="BI430" i="124" s="1"/>
  <c r="BW430" i="124"/>
  <c r="BX430" i="124" s="1"/>
  <c r="BM430" i="124"/>
  <c r="BN430" i="124" s="1"/>
  <c r="CB430" i="124"/>
  <c r="CC430" i="124" s="1"/>
  <c r="BR430" i="124"/>
  <c r="BS430" i="124" s="1"/>
  <c r="CG430" i="124"/>
  <c r="CH430" i="124" s="1"/>
  <c r="CL430" i="124"/>
  <c r="CM430" i="124" s="1"/>
  <c r="AX430" i="124"/>
  <c r="AY430" i="124" s="1"/>
  <c r="AS430" i="124"/>
  <c r="AT430" i="124" s="1"/>
  <c r="AN430" i="124"/>
  <c r="AI430" i="124"/>
  <c r="AJ430" i="124" s="1"/>
  <c r="BW216" i="124"/>
  <c r="BX216" i="124" s="1"/>
  <c r="BY216" i="124" s="1"/>
  <c r="BC216" i="124"/>
  <c r="BD216" i="124" s="1"/>
  <c r="BE216" i="124" s="1"/>
  <c r="BH216" i="124"/>
  <c r="BI216" i="124" s="1"/>
  <c r="BJ216" i="124" s="1"/>
  <c r="AX216" i="124"/>
  <c r="AY216" i="124" s="1"/>
  <c r="AZ216" i="124" s="1"/>
  <c r="CG216" i="124"/>
  <c r="CH216" i="124" s="1"/>
  <c r="CI216" i="124" s="1"/>
  <c r="CL216" i="124"/>
  <c r="CM216" i="124" s="1"/>
  <c r="CN216" i="124" s="1"/>
  <c r="BM216" i="124"/>
  <c r="BN216" i="124" s="1"/>
  <c r="BO216" i="124" s="1"/>
  <c r="CB216" i="124"/>
  <c r="CC216" i="124" s="1"/>
  <c r="CD216" i="124" s="1"/>
  <c r="BR216" i="124"/>
  <c r="BS216" i="124" s="1"/>
  <c r="BT216" i="124" s="1"/>
  <c r="AS216" i="124"/>
  <c r="AT216" i="124" s="1"/>
  <c r="AU216" i="124" s="1"/>
  <c r="AN216" i="124"/>
  <c r="AI216" i="124"/>
  <c r="AJ216" i="124" s="1"/>
  <c r="AK216" i="124" s="1"/>
  <c r="BH348" i="124"/>
  <c r="BI348" i="124" s="1"/>
  <c r="BC348" i="124"/>
  <c r="BD348" i="124" s="1"/>
  <c r="BM348" i="124"/>
  <c r="BN348" i="124" s="1"/>
  <c r="CB348" i="124"/>
  <c r="CC348" i="124" s="1"/>
  <c r="AX348" i="124"/>
  <c r="AY348" i="124" s="1"/>
  <c r="BW348" i="124"/>
  <c r="BX348" i="124" s="1"/>
  <c r="CG348" i="124"/>
  <c r="CH348" i="124" s="1"/>
  <c r="CL348" i="124"/>
  <c r="CM348" i="124" s="1"/>
  <c r="BR348" i="124"/>
  <c r="BS348" i="124" s="1"/>
  <c r="AS348" i="124"/>
  <c r="AT348" i="124" s="1"/>
  <c r="AN348" i="124"/>
  <c r="AI348" i="124"/>
  <c r="AJ348" i="124" s="1"/>
  <c r="BH332" i="124"/>
  <c r="BI332" i="124" s="1"/>
  <c r="BC332" i="124"/>
  <c r="BD332" i="124" s="1"/>
  <c r="CG332" i="124"/>
  <c r="CH332" i="124" s="1"/>
  <c r="BM332" i="124"/>
  <c r="BN332" i="124" s="1"/>
  <c r="CB332" i="124"/>
  <c r="CC332" i="124" s="1"/>
  <c r="AX332" i="124"/>
  <c r="AY332" i="124" s="1"/>
  <c r="CL332" i="124"/>
  <c r="CM332" i="124" s="1"/>
  <c r="BW332" i="124"/>
  <c r="BX332" i="124" s="1"/>
  <c r="BR332" i="124"/>
  <c r="BS332" i="124" s="1"/>
  <c r="AS332" i="124"/>
  <c r="AT332" i="124" s="1"/>
  <c r="AN332" i="124"/>
  <c r="AI332" i="124"/>
  <c r="AJ332" i="124" s="1"/>
  <c r="BC320" i="124"/>
  <c r="BD320" i="124" s="1"/>
  <c r="BH320" i="124"/>
  <c r="BI320" i="124" s="1"/>
  <c r="BW320" i="124"/>
  <c r="BX320" i="124" s="1"/>
  <c r="BM320" i="124"/>
  <c r="BN320" i="124" s="1"/>
  <c r="BR320" i="124"/>
  <c r="BS320" i="124" s="1"/>
  <c r="CG320" i="124"/>
  <c r="CH320" i="124" s="1"/>
  <c r="CL320" i="124"/>
  <c r="CM320" i="124" s="1"/>
  <c r="CB320" i="124"/>
  <c r="CC320" i="124" s="1"/>
  <c r="AX320" i="124"/>
  <c r="AY320" i="124" s="1"/>
  <c r="AS320" i="124"/>
  <c r="AT320" i="124" s="1"/>
  <c r="AN320" i="124"/>
  <c r="AI320" i="124"/>
  <c r="AJ320" i="124" s="1"/>
  <c r="BC379" i="124"/>
  <c r="BD379" i="124" s="1"/>
  <c r="BH379" i="124"/>
  <c r="BI379" i="124" s="1"/>
  <c r="AX379" i="124"/>
  <c r="AY379" i="124" s="1"/>
  <c r="CG379" i="124"/>
  <c r="CH379" i="124" s="1"/>
  <c r="BM379" i="124"/>
  <c r="BN379" i="124" s="1"/>
  <c r="CB379" i="124"/>
  <c r="CC379" i="124" s="1"/>
  <c r="BR379" i="124"/>
  <c r="BS379" i="124" s="1"/>
  <c r="BW379" i="124"/>
  <c r="BX379" i="124" s="1"/>
  <c r="CL379" i="124"/>
  <c r="CM379" i="124" s="1"/>
  <c r="AS379" i="124"/>
  <c r="AT379" i="124" s="1"/>
  <c r="AN379" i="124"/>
  <c r="AI379" i="124"/>
  <c r="AJ379" i="124" s="1"/>
  <c r="BC308" i="124"/>
  <c r="BD308" i="124" s="1"/>
  <c r="BH308" i="124"/>
  <c r="BI308" i="124" s="1"/>
  <c r="BW308" i="124"/>
  <c r="BX308" i="124" s="1"/>
  <c r="BM308" i="124"/>
  <c r="BN308" i="124" s="1"/>
  <c r="CB308" i="124"/>
  <c r="CC308" i="124" s="1"/>
  <c r="AX308" i="124"/>
  <c r="AY308" i="124" s="1"/>
  <c r="CG308" i="124"/>
  <c r="CH308" i="124" s="1"/>
  <c r="BR308" i="124"/>
  <c r="BS308" i="124" s="1"/>
  <c r="CL308" i="124"/>
  <c r="CM308" i="124" s="1"/>
  <c r="AS308" i="124"/>
  <c r="AT308" i="124" s="1"/>
  <c r="AN308" i="124"/>
  <c r="AI308" i="124"/>
  <c r="AJ308" i="124" s="1"/>
  <c r="BC335" i="124"/>
  <c r="BD335" i="124" s="1"/>
  <c r="BH335" i="124"/>
  <c r="BI335" i="124" s="1"/>
  <c r="BW335" i="124"/>
  <c r="BX335" i="124" s="1"/>
  <c r="AX335" i="124"/>
  <c r="AY335" i="124" s="1"/>
  <c r="CL335" i="124"/>
  <c r="CM335" i="124" s="1"/>
  <c r="CB335" i="124"/>
  <c r="CC335" i="124" s="1"/>
  <c r="CG335" i="124"/>
  <c r="CH335" i="124" s="1"/>
  <c r="BR335" i="124"/>
  <c r="BS335" i="124" s="1"/>
  <c r="BM335" i="124"/>
  <c r="BN335" i="124" s="1"/>
  <c r="AS335" i="124"/>
  <c r="AT335" i="124" s="1"/>
  <c r="AN335" i="124"/>
  <c r="AI335" i="124"/>
  <c r="AJ335" i="124" s="1"/>
  <c r="BH300" i="124"/>
  <c r="BI300" i="124" s="1"/>
  <c r="BM300" i="124"/>
  <c r="BN300" i="124" s="1"/>
  <c r="CB300" i="124"/>
  <c r="CC300" i="124" s="1"/>
  <c r="CL300" i="124"/>
  <c r="CM300" i="124" s="1"/>
  <c r="BC300" i="124"/>
  <c r="BD300" i="124" s="1"/>
  <c r="CG300" i="124"/>
  <c r="CH300" i="124" s="1"/>
  <c r="BW300" i="124"/>
  <c r="BX300" i="124" s="1"/>
  <c r="AX300" i="124"/>
  <c r="AY300" i="124" s="1"/>
  <c r="BR300" i="124"/>
  <c r="BS300" i="124" s="1"/>
  <c r="AS300" i="124"/>
  <c r="AT300" i="124" s="1"/>
  <c r="AN300" i="124"/>
  <c r="AI300" i="124"/>
  <c r="AJ300" i="124" s="1"/>
  <c r="BC55" i="124"/>
  <c r="BD55" i="124" s="1"/>
  <c r="BE55" i="124" s="1"/>
  <c r="BW55" i="124"/>
  <c r="BX55" i="124" s="1"/>
  <c r="BY55" i="124" s="1"/>
  <c r="BH55" i="124"/>
  <c r="BI55" i="124" s="1"/>
  <c r="BJ55" i="124" s="1"/>
  <c r="CB55" i="124"/>
  <c r="CC55" i="124" s="1"/>
  <c r="CD55" i="124" s="1"/>
  <c r="CL55" i="124"/>
  <c r="CM55" i="124" s="1"/>
  <c r="CN55" i="124" s="1"/>
  <c r="CG55" i="124"/>
  <c r="CH55" i="124" s="1"/>
  <c r="CI55" i="124" s="1"/>
  <c r="BM55" i="124"/>
  <c r="BN55" i="124" s="1"/>
  <c r="BO55" i="124" s="1"/>
  <c r="AX55" i="124"/>
  <c r="AY55" i="124" s="1"/>
  <c r="AZ55" i="124" s="1"/>
  <c r="BR55" i="124"/>
  <c r="BS55" i="124" s="1"/>
  <c r="BT55" i="124" s="1"/>
  <c r="AS55" i="124"/>
  <c r="AT55" i="124" s="1"/>
  <c r="AU55" i="124" s="1"/>
  <c r="AN55" i="124"/>
  <c r="AI55" i="124"/>
  <c r="AJ55" i="124" s="1"/>
  <c r="AK55" i="124" s="1"/>
  <c r="BW306" i="124"/>
  <c r="BX306" i="124" s="1"/>
  <c r="BH306" i="124"/>
  <c r="BI306" i="124" s="1"/>
  <c r="CB306" i="124"/>
  <c r="CC306" i="124" s="1"/>
  <c r="CL306" i="124"/>
  <c r="CM306" i="124" s="1"/>
  <c r="BM306" i="124"/>
  <c r="BN306" i="124" s="1"/>
  <c r="AX306" i="124"/>
  <c r="AY306" i="124" s="1"/>
  <c r="CG306" i="124"/>
  <c r="CH306" i="124" s="1"/>
  <c r="BR306" i="124"/>
  <c r="BS306" i="124" s="1"/>
  <c r="BC306" i="124"/>
  <c r="BD306" i="124" s="1"/>
  <c r="AS306" i="124"/>
  <c r="AT306" i="124" s="1"/>
  <c r="AN306" i="124"/>
  <c r="AI306" i="124"/>
  <c r="AJ306" i="124" s="1"/>
  <c r="BH367" i="124"/>
  <c r="BI367" i="124" s="1"/>
  <c r="BC367" i="124"/>
  <c r="BD367" i="124" s="1"/>
  <c r="BW367" i="124"/>
  <c r="BX367" i="124" s="1"/>
  <c r="BM367" i="124"/>
  <c r="BN367" i="124" s="1"/>
  <c r="BR367" i="124"/>
  <c r="BS367" i="124" s="1"/>
  <c r="CB367" i="124"/>
  <c r="CC367" i="124" s="1"/>
  <c r="AX367" i="124"/>
  <c r="AY367" i="124" s="1"/>
  <c r="CL367" i="124"/>
  <c r="CM367" i="124" s="1"/>
  <c r="CG367" i="124"/>
  <c r="CH367" i="124" s="1"/>
  <c r="AS367" i="124"/>
  <c r="AT367" i="124" s="1"/>
  <c r="AN367" i="124"/>
  <c r="AI367" i="124"/>
  <c r="AJ367" i="124" s="1"/>
  <c r="AX396" i="124"/>
  <c r="AY396" i="124" s="1"/>
  <c r="BM396" i="124"/>
  <c r="BN396" i="124" s="1"/>
  <c r="CG396" i="124"/>
  <c r="CH396" i="124" s="1"/>
  <c r="BC396" i="124"/>
  <c r="BD396" i="124" s="1"/>
  <c r="BH396" i="124"/>
  <c r="BI396" i="124" s="1"/>
  <c r="CL396" i="124"/>
  <c r="CM396" i="124" s="1"/>
  <c r="AI396" i="124"/>
  <c r="AJ396" i="124" s="1"/>
  <c r="BW396" i="124"/>
  <c r="BX396" i="124" s="1"/>
  <c r="CB396" i="124"/>
  <c r="CC396" i="124" s="1"/>
  <c r="AN396" i="124"/>
  <c r="AO396" i="124" s="1"/>
  <c r="AS396" i="124"/>
  <c r="AT396" i="124" s="1"/>
  <c r="BR396" i="124"/>
  <c r="BS396" i="124" s="1"/>
  <c r="BC301" i="124"/>
  <c r="BD301" i="124" s="1"/>
  <c r="BH301" i="124"/>
  <c r="BI301" i="124" s="1"/>
  <c r="AX301" i="124"/>
  <c r="AY301" i="124" s="1"/>
  <c r="CB301" i="124"/>
  <c r="CC301" i="124" s="1"/>
  <c r="CG301" i="124"/>
  <c r="CH301" i="124" s="1"/>
  <c r="BM301" i="124"/>
  <c r="BN301" i="124" s="1"/>
  <c r="BW301" i="124"/>
  <c r="BX301" i="124" s="1"/>
  <c r="BR301" i="124"/>
  <c r="BS301" i="124" s="1"/>
  <c r="CL301" i="124"/>
  <c r="CM301" i="124" s="1"/>
  <c r="AS301" i="124"/>
  <c r="AT301" i="124" s="1"/>
  <c r="AN301" i="124"/>
  <c r="AI301" i="124"/>
  <c r="AJ301" i="124" s="1"/>
  <c r="BC327" i="124"/>
  <c r="BD327" i="124" s="1"/>
  <c r="BH327" i="124"/>
  <c r="BI327" i="124" s="1"/>
  <c r="CG327" i="124"/>
  <c r="CH327" i="124" s="1"/>
  <c r="BW327" i="124"/>
  <c r="BX327" i="124" s="1"/>
  <c r="BM327" i="124"/>
  <c r="BN327" i="124" s="1"/>
  <c r="AX327" i="124"/>
  <c r="AY327" i="124" s="1"/>
  <c r="CB327" i="124"/>
  <c r="CC327" i="124" s="1"/>
  <c r="BR327" i="124"/>
  <c r="BS327" i="124" s="1"/>
  <c r="CL327" i="124"/>
  <c r="CM327" i="124" s="1"/>
  <c r="AS327" i="124"/>
  <c r="AT327" i="124" s="1"/>
  <c r="AN327" i="124"/>
  <c r="AI327" i="124"/>
  <c r="AJ327" i="124" s="1"/>
  <c r="BW401" i="124"/>
  <c r="BX401" i="124" s="1"/>
  <c r="BH401" i="124"/>
  <c r="BI401" i="124" s="1"/>
  <c r="CL401" i="124"/>
  <c r="CM401" i="124" s="1"/>
  <c r="AX401" i="124"/>
  <c r="AY401" i="124" s="1"/>
  <c r="BM401" i="124"/>
  <c r="BN401" i="124" s="1"/>
  <c r="CB401" i="124"/>
  <c r="CC401" i="124" s="1"/>
  <c r="BR401" i="124"/>
  <c r="BS401" i="124" s="1"/>
  <c r="AI401" i="124"/>
  <c r="AJ401" i="124" s="1"/>
  <c r="AN401" i="124"/>
  <c r="AO401" i="124" s="1"/>
  <c r="CG401" i="124"/>
  <c r="CH401" i="124" s="1"/>
  <c r="BC401" i="124"/>
  <c r="BD401" i="124" s="1"/>
  <c r="AS401" i="124"/>
  <c r="AT401" i="124" s="1"/>
  <c r="BC410" i="124"/>
  <c r="BD410" i="124" s="1"/>
  <c r="BM410" i="124"/>
  <c r="BN410" i="124" s="1"/>
  <c r="BH410" i="124"/>
  <c r="BI410" i="124" s="1"/>
  <c r="BW410" i="124"/>
  <c r="BX410" i="124" s="1"/>
  <c r="CB410" i="124"/>
  <c r="CC410" i="124" s="1"/>
  <c r="AX410" i="124"/>
  <c r="AY410" i="124" s="1"/>
  <c r="CL410" i="124"/>
  <c r="CM410" i="124" s="1"/>
  <c r="BR410" i="124"/>
  <c r="BS410" i="124" s="1"/>
  <c r="CG410" i="124"/>
  <c r="CH410" i="124" s="1"/>
  <c r="AS410" i="124"/>
  <c r="AT410" i="124" s="1"/>
  <c r="AN410" i="124"/>
  <c r="AI410" i="124"/>
  <c r="AJ410" i="124" s="1"/>
  <c r="BM30" i="124"/>
  <c r="BN30" i="124" s="1"/>
  <c r="AI30" i="124"/>
  <c r="AJ30" i="124" s="1"/>
  <c r="CG30" i="124"/>
  <c r="CH30" i="124" s="1"/>
  <c r="BW30" i="124"/>
  <c r="BX30" i="124" s="1"/>
  <c r="BC30" i="124"/>
  <c r="BD30" i="124" s="1"/>
  <c r="CL30" i="124"/>
  <c r="CM30" i="124" s="1"/>
  <c r="AX30" i="124"/>
  <c r="AY30" i="124" s="1"/>
  <c r="BH30" i="124"/>
  <c r="BI30" i="124" s="1"/>
  <c r="CB30" i="124"/>
  <c r="CC30" i="124" s="1"/>
  <c r="BR30" i="124"/>
  <c r="BS30" i="124" s="1"/>
  <c r="AN30" i="124"/>
  <c r="AS30" i="124"/>
  <c r="AT30" i="124" s="1"/>
  <c r="BC388" i="124"/>
  <c r="BD388" i="124" s="1"/>
  <c r="BR388" i="124"/>
  <c r="BS388" i="124" s="1"/>
  <c r="CB388" i="124"/>
  <c r="CC388" i="124" s="1"/>
  <c r="BH388" i="124"/>
  <c r="BI388" i="124" s="1"/>
  <c r="BM388" i="124"/>
  <c r="BN388" i="124" s="1"/>
  <c r="AX388" i="124"/>
  <c r="AY388" i="124" s="1"/>
  <c r="CG388" i="124"/>
  <c r="CH388" i="124" s="1"/>
  <c r="BW388" i="124"/>
  <c r="BX388" i="124" s="1"/>
  <c r="CL388" i="124"/>
  <c r="CM388" i="124" s="1"/>
  <c r="AS388" i="124"/>
  <c r="AT388" i="124" s="1"/>
  <c r="AN388" i="124"/>
  <c r="AI388" i="124"/>
  <c r="AJ388" i="124" s="1"/>
  <c r="BH397" i="124"/>
  <c r="BI397" i="124" s="1"/>
  <c r="BC397" i="124"/>
  <c r="BD397" i="124" s="1"/>
  <c r="BW397" i="124"/>
  <c r="BX397" i="124" s="1"/>
  <c r="BR397" i="124"/>
  <c r="BS397" i="124" s="1"/>
  <c r="CG397" i="124"/>
  <c r="CH397" i="124" s="1"/>
  <c r="CL397" i="124"/>
  <c r="CM397" i="124" s="1"/>
  <c r="CB397" i="124"/>
  <c r="CC397" i="124" s="1"/>
  <c r="BM397" i="124"/>
  <c r="BN397" i="124" s="1"/>
  <c r="AX397" i="124"/>
  <c r="AY397" i="124" s="1"/>
  <c r="AS397" i="124"/>
  <c r="AT397" i="124" s="1"/>
  <c r="AN397" i="124"/>
  <c r="AI397" i="124"/>
  <c r="AJ397" i="124" s="1"/>
  <c r="BC354" i="124"/>
  <c r="BD354" i="124" s="1"/>
  <c r="BH354" i="124"/>
  <c r="BI354" i="124" s="1"/>
  <c r="BW354" i="124"/>
  <c r="BX354" i="124" s="1"/>
  <c r="CB354" i="124"/>
  <c r="CC354" i="124" s="1"/>
  <c r="BM354" i="124"/>
  <c r="BN354" i="124" s="1"/>
  <c r="CG354" i="124"/>
  <c r="CH354" i="124" s="1"/>
  <c r="BR354" i="124"/>
  <c r="BS354" i="124" s="1"/>
  <c r="AX354" i="124"/>
  <c r="AY354" i="124" s="1"/>
  <c r="CL354" i="124"/>
  <c r="CM354" i="124" s="1"/>
  <c r="AS354" i="124"/>
  <c r="AT354" i="124" s="1"/>
  <c r="AN354" i="124"/>
  <c r="AI354" i="124"/>
  <c r="AJ354" i="124" s="1"/>
  <c r="AX536" i="124"/>
  <c r="AY536" i="124" s="1"/>
  <c r="CL536" i="124"/>
  <c r="CM536" i="124" s="1"/>
  <c r="CG536" i="124"/>
  <c r="CH536" i="124" s="1"/>
  <c r="AN536" i="124"/>
  <c r="BR536" i="124"/>
  <c r="BS536" i="124" s="1"/>
  <c r="AS536" i="124"/>
  <c r="AT536" i="124" s="1"/>
  <c r="AI536" i="124"/>
  <c r="AJ536" i="124" s="1"/>
  <c r="CB536" i="124"/>
  <c r="CC536" i="124" s="1"/>
  <c r="BW536" i="124"/>
  <c r="BX536" i="124" s="1"/>
  <c r="BC536" i="124"/>
  <c r="BD536" i="124" s="1"/>
  <c r="BM536" i="124"/>
  <c r="BN536" i="124" s="1"/>
  <c r="BH536" i="124"/>
  <c r="BI536" i="124" s="1"/>
  <c r="CB402" i="124"/>
  <c r="CC402" i="124" s="1"/>
  <c r="AS402" i="124"/>
  <c r="AT402" i="124" s="1"/>
  <c r="CG402" i="124"/>
  <c r="CH402" i="124" s="1"/>
  <c r="BH402" i="124"/>
  <c r="BI402" i="124" s="1"/>
  <c r="BC402" i="124"/>
  <c r="BD402" i="124" s="1"/>
  <c r="BR402" i="124"/>
  <c r="BS402" i="124" s="1"/>
  <c r="BW402" i="124"/>
  <c r="BX402" i="124" s="1"/>
  <c r="AI402" i="124"/>
  <c r="AJ402" i="124" s="1"/>
  <c r="AX402" i="124"/>
  <c r="AY402" i="124" s="1"/>
  <c r="AN402" i="124"/>
  <c r="CL402" i="124"/>
  <c r="CM402" i="124" s="1"/>
  <c r="BM402" i="124"/>
  <c r="BN402" i="124" s="1"/>
  <c r="BH570" i="124"/>
  <c r="BI570" i="124" s="1"/>
  <c r="BC570" i="124"/>
  <c r="BD570" i="124" s="1"/>
  <c r="BM570" i="124"/>
  <c r="BN570" i="124" s="1"/>
  <c r="CL570" i="124"/>
  <c r="CM570" i="124" s="1"/>
  <c r="BW570" i="124"/>
  <c r="BX570" i="124" s="1"/>
  <c r="CB570" i="124"/>
  <c r="CC570" i="124" s="1"/>
  <c r="CG570" i="124"/>
  <c r="CH570" i="124" s="1"/>
  <c r="AX570" i="124"/>
  <c r="AY570" i="124" s="1"/>
  <c r="BR570" i="124"/>
  <c r="BS570" i="124" s="1"/>
  <c r="AS570" i="124"/>
  <c r="AT570" i="124" s="1"/>
  <c r="AN570" i="124"/>
  <c r="AI570" i="124"/>
  <c r="AJ570" i="124" s="1"/>
  <c r="BC302" i="124"/>
  <c r="BD302" i="124" s="1"/>
  <c r="BH302" i="124"/>
  <c r="BI302" i="124" s="1"/>
  <c r="BM302" i="124"/>
  <c r="BN302" i="124" s="1"/>
  <c r="CG302" i="124"/>
  <c r="CH302" i="124" s="1"/>
  <c r="AX302" i="124"/>
  <c r="AY302" i="124" s="1"/>
  <c r="CL302" i="124"/>
  <c r="CM302" i="124" s="1"/>
  <c r="BW302" i="124"/>
  <c r="BX302" i="124" s="1"/>
  <c r="BR302" i="124"/>
  <c r="BS302" i="124" s="1"/>
  <c r="CB302" i="124"/>
  <c r="CC302" i="124" s="1"/>
  <c r="AS302" i="124"/>
  <c r="AT302" i="124" s="1"/>
  <c r="AN302" i="124"/>
  <c r="AI302" i="124"/>
  <c r="AJ302" i="124" s="1"/>
  <c r="CG291" i="124"/>
  <c r="CH291" i="124" s="1"/>
  <c r="BW291" i="124"/>
  <c r="BX291" i="124" s="1"/>
  <c r="CB291" i="124"/>
  <c r="CC291" i="124" s="1"/>
  <c r="CL291" i="124"/>
  <c r="CM291" i="124" s="1"/>
  <c r="BC291" i="124"/>
  <c r="BD291" i="124" s="1"/>
  <c r="BM291" i="124"/>
  <c r="BN291" i="124" s="1"/>
  <c r="BH291" i="124"/>
  <c r="BI291" i="124" s="1"/>
  <c r="AX291" i="124"/>
  <c r="AY291" i="124" s="1"/>
  <c r="BR291" i="124"/>
  <c r="BS291" i="124" s="1"/>
  <c r="AS291" i="124"/>
  <c r="AT291" i="124" s="1"/>
  <c r="AN291" i="124"/>
  <c r="AI291" i="124"/>
  <c r="AJ291" i="124" s="1"/>
  <c r="BC339" i="124"/>
  <c r="BD339" i="124" s="1"/>
  <c r="BW339" i="124"/>
  <c r="BX339" i="124" s="1"/>
  <c r="CB339" i="124"/>
  <c r="CC339" i="124" s="1"/>
  <c r="AX339" i="124"/>
  <c r="AY339" i="124" s="1"/>
  <c r="BH339" i="124"/>
  <c r="BI339" i="124" s="1"/>
  <c r="BM339" i="124"/>
  <c r="BN339" i="124" s="1"/>
  <c r="CG339" i="124"/>
  <c r="CH339" i="124" s="1"/>
  <c r="BR339" i="124"/>
  <c r="BS339" i="124" s="1"/>
  <c r="CL339" i="124"/>
  <c r="CM339" i="124" s="1"/>
  <c r="AS339" i="124"/>
  <c r="AT339" i="124" s="1"/>
  <c r="AN339" i="124"/>
  <c r="AI339" i="124"/>
  <c r="AJ339" i="124" s="1"/>
  <c r="BC310" i="124"/>
  <c r="BD310" i="124" s="1"/>
  <c r="BH310" i="124"/>
  <c r="BI310" i="124" s="1"/>
  <c r="CG310" i="124"/>
  <c r="CH310" i="124" s="1"/>
  <c r="BR310" i="124"/>
  <c r="BS310" i="124" s="1"/>
  <c r="AX310" i="124"/>
  <c r="AY310" i="124" s="1"/>
  <c r="CL310" i="124"/>
  <c r="CM310" i="124" s="1"/>
  <c r="BW310" i="124"/>
  <c r="BX310" i="124" s="1"/>
  <c r="BM310" i="124"/>
  <c r="BN310" i="124" s="1"/>
  <c r="CB310" i="124"/>
  <c r="CC310" i="124" s="1"/>
  <c r="AS310" i="124"/>
  <c r="AT310" i="124" s="1"/>
  <c r="AN310" i="124"/>
  <c r="AI310" i="124"/>
  <c r="AJ310" i="124" s="1"/>
  <c r="CL540" i="124"/>
  <c r="CM540" i="124" s="1"/>
  <c r="AS540" i="124"/>
  <c r="AT540" i="124" s="1"/>
  <c r="CG540" i="124"/>
  <c r="CH540" i="124" s="1"/>
  <c r="BH540" i="124"/>
  <c r="BI540" i="124" s="1"/>
  <c r="BC540" i="124"/>
  <c r="BD540" i="124" s="1"/>
  <c r="AX540" i="124"/>
  <c r="AY540" i="124" s="1"/>
  <c r="BW540" i="124"/>
  <c r="BX540" i="124" s="1"/>
  <c r="AN540" i="124"/>
  <c r="CB540" i="124"/>
  <c r="CC540" i="124" s="1"/>
  <c r="BM540" i="124"/>
  <c r="BN540" i="124" s="1"/>
  <c r="BR540" i="124"/>
  <c r="BS540" i="124" s="1"/>
  <c r="AI540" i="124"/>
  <c r="AJ540" i="124" s="1"/>
  <c r="BC506" i="124"/>
  <c r="BD506" i="124" s="1"/>
  <c r="BH506" i="124"/>
  <c r="BI506" i="124" s="1"/>
  <c r="BW506" i="124"/>
  <c r="BX506" i="124" s="1"/>
  <c r="BR506" i="124"/>
  <c r="BS506" i="124" s="1"/>
  <c r="CL506" i="124"/>
  <c r="CM506" i="124" s="1"/>
  <c r="BM506" i="124"/>
  <c r="BN506" i="124" s="1"/>
  <c r="CB506" i="124"/>
  <c r="CC506" i="124" s="1"/>
  <c r="AX506" i="124"/>
  <c r="AY506" i="124" s="1"/>
  <c r="CG506" i="124"/>
  <c r="CH506" i="124" s="1"/>
  <c r="AS506" i="124"/>
  <c r="AT506" i="124" s="1"/>
  <c r="AN506" i="124"/>
  <c r="AI506" i="124"/>
  <c r="AJ506" i="124" s="1"/>
  <c r="BW333" i="124"/>
  <c r="BX333" i="124" s="1"/>
  <c r="BC333" i="124"/>
  <c r="BD333" i="124" s="1"/>
  <c r="AX333" i="124"/>
  <c r="AY333" i="124" s="1"/>
  <c r="CG333" i="124"/>
  <c r="CH333" i="124" s="1"/>
  <c r="CL333" i="124"/>
  <c r="CM333" i="124" s="1"/>
  <c r="BH333" i="124"/>
  <c r="BI333" i="124" s="1"/>
  <c r="BM333" i="124"/>
  <c r="BN333" i="124" s="1"/>
  <c r="CB333" i="124"/>
  <c r="CC333" i="124" s="1"/>
  <c r="BR333" i="124"/>
  <c r="BS333" i="124" s="1"/>
  <c r="AS333" i="124"/>
  <c r="AT333" i="124" s="1"/>
  <c r="AN333" i="124"/>
  <c r="AI333" i="124"/>
  <c r="AJ333" i="124" s="1"/>
  <c r="BH447" i="124"/>
  <c r="BI447" i="124" s="1"/>
  <c r="BW447" i="124"/>
  <c r="BX447" i="124" s="1"/>
  <c r="BR447" i="124"/>
  <c r="BS447" i="124" s="1"/>
  <c r="BM447" i="124"/>
  <c r="BN447" i="124" s="1"/>
  <c r="CG447" i="124"/>
  <c r="CH447" i="124" s="1"/>
  <c r="AX447" i="124"/>
  <c r="AY447" i="124" s="1"/>
  <c r="BC447" i="124"/>
  <c r="BD447" i="124" s="1"/>
  <c r="CB447" i="124"/>
  <c r="CC447" i="124" s="1"/>
  <c r="CL447" i="124"/>
  <c r="CM447" i="124" s="1"/>
  <c r="AS447" i="124"/>
  <c r="AT447" i="124" s="1"/>
  <c r="AN447" i="124"/>
  <c r="AI447" i="124"/>
  <c r="AJ447" i="124" s="1"/>
  <c r="BH495" i="124"/>
  <c r="BI495" i="124" s="1"/>
  <c r="BC495" i="124"/>
  <c r="BD495" i="124" s="1"/>
  <c r="CB495" i="124"/>
  <c r="CC495" i="124" s="1"/>
  <c r="AX495" i="124"/>
  <c r="AY495" i="124" s="1"/>
  <c r="CG495" i="124"/>
  <c r="CH495" i="124" s="1"/>
  <c r="BW495" i="124"/>
  <c r="BX495" i="124" s="1"/>
  <c r="BM495" i="124"/>
  <c r="BN495" i="124" s="1"/>
  <c r="BR495" i="124"/>
  <c r="BS495" i="124" s="1"/>
  <c r="CL495" i="124"/>
  <c r="CM495" i="124" s="1"/>
  <c r="AS495" i="124"/>
  <c r="AT495" i="124" s="1"/>
  <c r="AN495" i="124"/>
  <c r="AI495" i="124"/>
  <c r="AJ495" i="124" s="1"/>
  <c r="BM360" i="124"/>
  <c r="BN360" i="124" s="1"/>
  <c r="AS360" i="124"/>
  <c r="AT360" i="124" s="1"/>
  <c r="CB360" i="124"/>
  <c r="CC360" i="124" s="1"/>
  <c r="AN360" i="124"/>
  <c r="BC360" i="124"/>
  <c r="BD360" i="124" s="1"/>
  <c r="BR360" i="124"/>
  <c r="BS360" i="124" s="1"/>
  <c r="BW360" i="124"/>
  <c r="BX360" i="124" s="1"/>
  <c r="AX360" i="124"/>
  <c r="AY360" i="124" s="1"/>
  <c r="BH360" i="124"/>
  <c r="BI360" i="124" s="1"/>
  <c r="CG360" i="124"/>
  <c r="CH360" i="124" s="1"/>
  <c r="CL360" i="124"/>
  <c r="CM360" i="124" s="1"/>
  <c r="AI360" i="124"/>
  <c r="AJ360" i="124" s="1"/>
  <c r="BC501" i="124"/>
  <c r="BD501" i="124" s="1"/>
  <c r="BH501" i="124"/>
  <c r="BI501" i="124" s="1"/>
  <c r="AX501" i="124"/>
  <c r="AY501" i="124" s="1"/>
  <c r="CL501" i="124"/>
  <c r="CM501" i="124" s="1"/>
  <c r="BR501" i="124"/>
  <c r="BS501" i="124" s="1"/>
  <c r="BW501" i="124"/>
  <c r="BX501" i="124" s="1"/>
  <c r="BM501" i="124"/>
  <c r="BN501" i="124" s="1"/>
  <c r="CB501" i="124"/>
  <c r="CC501" i="124" s="1"/>
  <c r="CG501" i="124"/>
  <c r="CH501" i="124" s="1"/>
  <c r="AS501" i="124"/>
  <c r="AT501" i="124" s="1"/>
  <c r="AN501" i="124"/>
  <c r="AI501" i="124"/>
  <c r="AJ501" i="124" s="1"/>
  <c r="BW344" i="124"/>
  <c r="BX344" i="124" s="1"/>
  <c r="BC344" i="124"/>
  <c r="BD344" i="124" s="1"/>
  <c r="BH344" i="124"/>
  <c r="BI344" i="124" s="1"/>
  <c r="AX344" i="124"/>
  <c r="AY344" i="124" s="1"/>
  <c r="BM344" i="124"/>
  <c r="BN344" i="124" s="1"/>
  <c r="CB344" i="124"/>
  <c r="CC344" i="124" s="1"/>
  <c r="CL344" i="124"/>
  <c r="CM344" i="124" s="1"/>
  <c r="CG344" i="124"/>
  <c r="CH344" i="124" s="1"/>
  <c r="BR344" i="124"/>
  <c r="BS344" i="124" s="1"/>
  <c r="AS344" i="124"/>
  <c r="AT344" i="124" s="1"/>
  <c r="AN344" i="124"/>
  <c r="AI344" i="124"/>
  <c r="AJ344" i="124" s="1"/>
  <c r="BW582" i="124"/>
  <c r="BX582" i="124" s="1"/>
  <c r="BC582" i="124"/>
  <c r="BD582" i="124" s="1"/>
  <c r="BH582" i="124"/>
  <c r="BI582" i="124" s="1"/>
  <c r="CG582" i="124"/>
  <c r="CH582" i="124" s="1"/>
  <c r="CB582" i="124"/>
  <c r="CC582" i="124" s="1"/>
  <c r="BM582" i="124"/>
  <c r="BN582" i="124" s="1"/>
  <c r="AX582" i="124"/>
  <c r="AY582" i="124" s="1"/>
  <c r="BR582" i="124"/>
  <c r="BS582" i="124" s="1"/>
  <c r="CL582" i="124"/>
  <c r="CM582" i="124" s="1"/>
  <c r="AS582" i="124"/>
  <c r="AT582" i="124" s="1"/>
  <c r="AN582" i="124"/>
  <c r="AI582" i="124"/>
  <c r="AJ582" i="124" s="1"/>
  <c r="BC422" i="124"/>
  <c r="BD422" i="124" s="1"/>
  <c r="BH422" i="124"/>
  <c r="BI422" i="124" s="1"/>
  <c r="BM422" i="124"/>
  <c r="BN422" i="124" s="1"/>
  <c r="AX422" i="124"/>
  <c r="AY422" i="124" s="1"/>
  <c r="BR422" i="124"/>
  <c r="BS422" i="124" s="1"/>
  <c r="BW422" i="124"/>
  <c r="BX422" i="124" s="1"/>
  <c r="CB422" i="124"/>
  <c r="CC422" i="124" s="1"/>
  <c r="CG422" i="124"/>
  <c r="CH422" i="124" s="1"/>
  <c r="CL422" i="124"/>
  <c r="CM422" i="124" s="1"/>
  <c r="AS422" i="124"/>
  <c r="AT422" i="124" s="1"/>
  <c r="AN422" i="124"/>
  <c r="AI422" i="124"/>
  <c r="AJ422" i="124" s="1"/>
  <c r="BH331" i="124"/>
  <c r="BI331" i="124" s="1"/>
  <c r="BC331" i="124"/>
  <c r="BD331" i="124" s="1"/>
  <c r="BW331" i="124"/>
  <c r="BX331" i="124" s="1"/>
  <c r="AX331" i="124"/>
  <c r="AY331" i="124" s="1"/>
  <c r="CG331" i="124"/>
  <c r="CH331" i="124" s="1"/>
  <c r="CB331" i="124"/>
  <c r="CC331" i="124" s="1"/>
  <c r="BR331" i="124"/>
  <c r="BS331" i="124" s="1"/>
  <c r="BM331" i="124"/>
  <c r="BN331" i="124" s="1"/>
  <c r="CL331" i="124"/>
  <c r="CM331" i="124" s="1"/>
  <c r="AS331" i="124"/>
  <c r="AT331" i="124" s="1"/>
  <c r="AN331" i="124"/>
  <c r="AI331" i="124"/>
  <c r="AJ331" i="124" s="1"/>
  <c r="CB38" i="124"/>
  <c r="CC38" i="124" s="1"/>
  <c r="CL38" i="124"/>
  <c r="CM38" i="124" s="1"/>
  <c r="BR38" i="124"/>
  <c r="BS38" i="124" s="1"/>
  <c r="BH38" i="124"/>
  <c r="BI38" i="124" s="1"/>
  <c r="AX38" i="124"/>
  <c r="AY38" i="124" s="1"/>
  <c r="AN38" i="124"/>
  <c r="AO38" i="124" s="1"/>
  <c r="BC38" i="124"/>
  <c r="BD38" i="124" s="1"/>
  <c r="AI38" i="124"/>
  <c r="AJ38" i="124" s="1"/>
  <c r="BW38" i="124"/>
  <c r="BX38" i="124" s="1"/>
  <c r="BM38" i="124"/>
  <c r="BN38" i="124" s="1"/>
  <c r="CG38" i="124"/>
  <c r="CH38" i="124" s="1"/>
  <c r="AS38" i="124"/>
  <c r="AT38" i="124" s="1"/>
  <c r="BH197" i="124"/>
  <c r="BI197" i="124" s="1"/>
  <c r="BJ197" i="124" s="1"/>
  <c r="BC197" i="124"/>
  <c r="BD197" i="124" s="1"/>
  <c r="BE197" i="124" s="1"/>
  <c r="CB197" i="124"/>
  <c r="CC197" i="124" s="1"/>
  <c r="CD197" i="124" s="1"/>
  <c r="CG197" i="124"/>
  <c r="CH197" i="124" s="1"/>
  <c r="CI197" i="124" s="1"/>
  <c r="BW197" i="124"/>
  <c r="BX197" i="124" s="1"/>
  <c r="BY197" i="124" s="1"/>
  <c r="AX197" i="124"/>
  <c r="AY197" i="124" s="1"/>
  <c r="AZ197" i="124" s="1"/>
  <c r="BR197" i="124"/>
  <c r="BS197" i="124" s="1"/>
  <c r="BT197" i="124" s="1"/>
  <c r="BM197" i="124"/>
  <c r="BN197" i="124" s="1"/>
  <c r="BO197" i="124" s="1"/>
  <c r="CL197" i="124"/>
  <c r="CM197" i="124" s="1"/>
  <c r="CN197" i="124" s="1"/>
  <c r="AS197" i="124"/>
  <c r="AT197" i="124" s="1"/>
  <c r="AU197" i="124" s="1"/>
  <c r="AN197" i="124"/>
  <c r="AI197" i="124"/>
  <c r="AJ197" i="124" s="1"/>
  <c r="AK197" i="124" s="1"/>
  <c r="BC329" i="124"/>
  <c r="BD329" i="124" s="1"/>
  <c r="BM329" i="124"/>
  <c r="BN329" i="124" s="1"/>
  <c r="CB329" i="124"/>
  <c r="CC329" i="124" s="1"/>
  <c r="BH329" i="124"/>
  <c r="BI329" i="124" s="1"/>
  <c r="BW329" i="124"/>
  <c r="BX329" i="124" s="1"/>
  <c r="AX329" i="124"/>
  <c r="AY329" i="124" s="1"/>
  <c r="CG329" i="124"/>
  <c r="CH329" i="124" s="1"/>
  <c r="BR329" i="124"/>
  <c r="BS329" i="124" s="1"/>
  <c r="CL329" i="124"/>
  <c r="CM329" i="124" s="1"/>
  <c r="AS329" i="124"/>
  <c r="AT329" i="124" s="1"/>
  <c r="AN329" i="124"/>
  <c r="AI329" i="124"/>
  <c r="AJ329" i="124" s="1"/>
  <c r="BC584" i="124"/>
  <c r="BD584" i="124" s="1"/>
  <c r="BH584" i="124"/>
  <c r="BI584" i="124" s="1"/>
  <c r="BW584" i="124"/>
  <c r="BX584" i="124" s="1"/>
  <c r="BM584" i="124"/>
  <c r="BN584" i="124" s="1"/>
  <c r="CG584" i="124"/>
  <c r="CH584" i="124" s="1"/>
  <c r="AX584" i="124"/>
  <c r="AY584" i="124" s="1"/>
  <c r="BR584" i="124"/>
  <c r="BS584" i="124" s="1"/>
  <c r="CB584" i="124"/>
  <c r="CC584" i="124" s="1"/>
  <c r="CL584" i="124"/>
  <c r="CM584" i="124" s="1"/>
  <c r="AS584" i="124"/>
  <c r="AT584" i="124" s="1"/>
  <c r="AN584" i="124"/>
  <c r="AI584" i="124"/>
  <c r="AJ584" i="124" s="1"/>
  <c r="BH341" i="124"/>
  <c r="BI341" i="124" s="1"/>
  <c r="BC341" i="124"/>
  <c r="BD341" i="124" s="1"/>
  <c r="BW341" i="124"/>
  <c r="BX341" i="124" s="1"/>
  <c r="CL341" i="124"/>
  <c r="CM341" i="124" s="1"/>
  <c r="CG341" i="124"/>
  <c r="CH341" i="124" s="1"/>
  <c r="BM341" i="124"/>
  <c r="BN341" i="124" s="1"/>
  <c r="CB341" i="124"/>
  <c r="CC341" i="124" s="1"/>
  <c r="AX341" i="124"/>
  <c r="AY341" i="124" s="1"/>
  <c r="BR341" i="124"/>
  <c r="BS341" i="124" s="1"/>
  <c r="AS341" i="124"/>
  <c r="AT341" i="124" s="1"/>
  <c r="AN341" i="124"/>
  <c r="AI341" i="124"/>
  <c r="AJ341" i="124" s="1"/>
  <c r="BR420" i="124"/>
  <c r="BS420" i="124" s="1"/>
  <c r="AN420" i="124"/>
  <c r="BM420" i="124"/>
  <c r="BN420" i="124" s="1"/>
  <c r="BH420" i="124"/>
  <c r="BI420" i="124" s="1"/>
  <c r="CB420" i="124"/>
  <c r="CC420" i="124" s="1"/>
  <c r="AI420" i="124"/>
  <c r="AJ420" i="124" s="1"/>
  <c r="BC420" i="124"/>
  <c r="BD420" i="124" s="1"/>
  <c r="AS420" i="124"/>
  <c r="AT420" i="124" s="1"/>
  <c r="BW420" i="124"/>
  <c r="BX420" i="124" s="1"/>
  <c r="CL420" i="124"/>
  <c r="CM420" i="124" s="1"/>
  <c r="CG420" i="124"/>
  <c r="CH420" i="124" s="1"/>
  <c r="AX420" i="124"/>
  <c r="AY420" i="124" s="1"/>
  <c r="BH491" i="124"/>
  <c r="BI491" i="124" s="1"/>
  <c r="AX491" i="124"/>
  <c r="AY491" i="124" s="1"/>
  <c r="CG491" i="124"/>
  <c r="CH491" i="124" s="1"/>
  <c r="BW491" i="124"/>
  <c r="BX491" i="124" s="1"/>
  <c r="BR491" i="124"/>
  <c r="BS491" i="124" s="1"/>
  <c r="BC491" i="124"/>
  <c r="BD491" i="124" s="1"/>
  <c r="CB491" i="124"/>
  <c r="CC491" i="124" s="1"/>
  <c r="CL491" i="124"/>
  <c r="CM491" i="124" s="1"/>
  <c r="BM491" i="124"/>
  <c r="BN491" i="124" s="1"/>
  <c r="AS491" i="124"/>
  <c r="AT491" i="124" s="1"/>
  <c r="AN491" i="124"/>
  <c r="AI491" i="124"/>
  <c r="AJ491" i="124" s="1"/>
  <c r="T50" i="46"/>
  <c r="T43" i="46"/>
  <c r="T42" i="46"/>
  <c r="T49" i="46"/>
  <c r="T47" i="46"/>
  <c r="T41" i="46"/>
  <c r="T40" i="46"/>
  <c r="S75" i="46"/>
  <c r="S76" i="46" s="1"/>
  <c r="M75" i="46"/>
  <c r="M76" i="46" s="1"/>
  <c r="M77" i="46" s="1"/>
  <c r="M78" i="46" s="1"/>
  <c r="T48" i="46"/>
  <c r="P14" i="90"/>
  <c r="P15" i="90"/>
  <c r="P11" i="90"/>
  <c r="P13" i="90"/>
  <c r="P10" i="90"/>
  <c r="P12" i="90"/>
  <c r="P9" i="90"/>
  <c r="P17" i="90"/>
  <c r="P18" i="90"/>
  <c r="P19" i="90"/>
  <c r="P16" i="90"/>
  <c r="C40" i="46"/>
  <c r="D40" i="46"/>
  <c r="D41" i="46" s="1"/>
  <c r="D42" i="46" s="1"/>
  <c r="D43" i="46" s="1"/>
  <c r="D44" i="46" s="1"/>
  <c r="D45" i="46" s="1"/>
  <c r="D46" i="46" s="1"/>
  <c r="D47" i="46" s="1"/>
  <c r="G40" i="46"/>
  <c r="T46" i="46"/>
  <c r="T44" i="46"/>
  <c r="T45" i="46"/>
  <c r="C21" i="82"/>
  <c r="P21" i="82" s="1"/>
  <c r="F21" i="82"/>
  <c r="I21" i="82"/>
  <c r="H21" i="82"/>
  <c r="B23" i="82"/>
  <c r="G22" i="82"/>
  <c r="E22" i="82"/>
  <c r="I47" i="46"/>
  <c r="J47" i="46"/>
  <c r="G47" i="46"/>
  <c r="A49" i="46"/>
  <c r="E48" i="46"/>
  <c r="K48" i="46"/>
  <c r="B48" i="46"/>
  <c r="T289" i="124" l="1"/>
  <c r="S247" i="124"/>
  <c r="Z240" i="124"/>
  <c r="AA240" i="124" s="1"/>
  <c r="S268" i="124"/>
  <c r="T240" i="124"/>
  <c r="U47" i="124"/>
  <c r="T247" i="124"/>
  <c r="Z193" i="124"/>
  <c r="U193" i="124"/>
  <c r="T238" i="124"/>
  <c r="U268" i="124"/>
  <c r="T269" i="124"/>
  <c r="T228" i="124"/>
  <c r="T267" i="124"/>
  <c r="S51" i="124"/>
  <c r="Z56" i="124"/>
  <c r="AA56" i="124" s="1"/>
  <c r="U213" i="124"/>
  <c r="T222" i="124"/>
  <c r="U251" i="124"/>
  <c r="U56" i="124"/>
  <c r="Z220" i="124"/>
  <c r="AA220" i="124" s="1"/>
  <c r="U4" i="124"/>
  <c r="Z22" i="124"/>
  <c r="Z223" i="124"/>
  <c r="AA223" i="124" s="1"/>
  <c r="U244" i="124"/>
  <c r="Z252" i="124"/>
  <c r="AA252" i="124" s="1"/>
  <c r="U219" i="124"/>
  <c r="T280" i="124"/>
  <c r="T285" i="124"/>
  <c r="Z225" i="124"/>
  <c r="T277" i="124"/>
  <c r="U217" i="124"/>
  <c r="U258" i="124"/>
  <c r="U204" i="124"/>
  <c r="S270" i="124"/>
  <c r="Z265" i="124"/>
  <c r="AA265" i="124" s="1"/>
  <c r="U23" i="124"/>
  <c r="U225" i="124"/>
  <c r="S263" i="124"/>
  <c r="U32" i="124"/>
  <c r="U262" i="124"/>
  <c r="U194" i="124"/>
  <c r="U254" i="124"/>
  <c r="U270" i="124"/>
  <c r="Z205" i="124"/>
  <c r="AA205" i="124" s="1"/>
  <c r="U248" i="124"/>
  <c r="U282" i="124"/>
  <c r="S237" i="124"/>
  <c r="U199" i="124"/>
  <c r="U9" i="124"/>
  <c r="Z204" i="124"/>
  <c r="Z41" i="124"/>
  <c r="U214" i="124"/>
  <c r="Z250" i="124"/>
  <c r="T50" i="124"/>
  <c r="Z226" i="124"/>
  <c r="Z215" i="124"/>
  <c r="S276" i="124"/>
  <c r="Z284" i="124"/>
  <c r="Z221" i="124"/>
  <c r="AA221" i="124" s="1"/>
  <c r="U233" i="124"/>
  <c r="S282" i="124"/>
  <c r="S272" i="124"/>
  <c r="S266" i="124"/>
  <c r="U232" i="124"/>
  <c r="U200" i="124"/>
  <c r="U198" i="124"/>
  <c r="Z279" i="124"/>
  <c r="T229" i="124"/>
  <c r="T223" i="124"/>
  <c r="T234" i="124"/>
  <c r="U207" i="124"/>
  <c r="T230" i="124"/>
  <c r="Z280" i="124"/>
  <c r="S257" i="124"/>
  <c r="S199" i="124"/>
  <c r="U246" i="124"/>
  <c r="Z262" i="124"/>
  <c r="U209" i="124"/>
  <c r="S273" i="124"/>
  <c r="U261" i="124"/>
  <c r="U218" i="124"/>
  <c r="T259" i="124"/>
  <c r="T35" i="124"/>
  <c r="Z218" i="124"/>
  <c r="U212" i="124"/>
  <c r="U239" i="124"/>
  <c r="Z264" i="124"/>
  <c r="U245" i="124"/>
  <c r="T224" i="124"/>
  <c r="U61" i="124"/>
  <c r="S283" i="124"/>
  <c r="S287" i="124"/>
  <c r="T253" i="124"/>
  <c r="S206" i="124"/>
  <c r="U287" i="124"/>
  <c r="U264" i="124"/>
  <c r="S224" i="124"/>
  <c r="U191" i="124"/>
  <c r="S38" i="120"/>
  <c r="S39" i="120"/>
  <c r="S40" i="120"/>
  <c r="J33" i="113"/>
  <c r="J30" i="113"/>
  <c r="AB3" i="124"/>
  <c r="U3" i="123"/>
  <c r="T3" i="123"/>
  <c r="T510" i="124"/>
  <c r="U510" i="124"/>
  <c r="U559" i="124"/>
  <c r="T559" i="124"/>
  <c r="U586" i="124"/>
  <c r="T586" i="124"/>
  <c r="T352" i="124"/>
  <c r="U352" i="124"/>
  <c r="T480" i="124"/>
  <c r="U480" i="124"/>
  <c r="U566" i="124"/>
  <c r="T566" i="124"/>
  <c r="U387" i="124"/>
  <c r="T387" i="124"/>
  <c r="U588" i="124"/>
  <c r="T588" i="124"/>
  <c r="U368" i="124"/>
  <c r="T368" i="124"/>
  <c r="U366" i="124"/>
  <c r="T366" i="124"/>
  <c r="T364" i="124"/>
  <c r="U364" i="124"/>
  <c r="T404" i="124"/>
  <c r="U404" i="124"/>
  <c r="T416" i="124"/>
  <c r="U416" i="124"/>
  <c r="U509" i="124"/>
  <c r="T509" i="124"/>
  <c r="T524" i="124"/>
  <c r="U524" i="124"/>
  <c r="U350" i="124"/>
  <c r="T350" i="124"/>
  <c r="U479" i="124"/>
  <c r="T479" i="124"/>
  <c r="U459" i="124"/>
  <c r="T459" i="124"/>
  <c r="T573" i="124"/>
  <c r="U573" i="124"/>
  <c r="T412" i="124"/>
  <c r="U412" i="124"/>
  <c r="T468" i="124"/>
  <c r="U468" i="124"/>
  <c r="U463" i="124"/>
  <c r="T463" i="124"/>
  <c r="U389" i="124"/>
  <c r="T389" i="124"/>
  <c r="U354" i="124"/>
  <c r="T354" i="124"/>
  <c r="T452" i="124"/>
  <c r="U452" i="124"/>
  <c r="U419" i="124"/>
  <c r="T419" i="124"/>
  <c r="U477" i="124"/>
  <c r="T477" i="124"/>
  <c r="U365" i="124"/>
  <c r="T365" i="124"/>
  <c r="U372" i="124"/>
  <c r="T372" i="124"/>
  <c r="U439" i="124"/>
  <c r="T439" i="124"/>
  <c r="U363" i="124"/>
  <c r="T363" i="124"/>
  <c r="T490" i="124"/>
  <c r="U490" i="124"/>
  <c r="U516" i="124"/>
  <c r="T516" i="124"/>
  <c r="U571" i="124"/>
  <c r="T571" i="124"/>
  <c r="U369" i="124"/>
  <c r="T369" i="124"/>
  <c r="U535" i="124"/>
  <c r="T535" i="124"/>
  <c r="U526" i="124"/>
  <c r="T526" i="124"/>
  <c r="U427" i="124"/>
  <c r="T427" i="124"/>
  <c r="U445" i="124"/>
  <c r="T445" i="124"/>
  <c r="U356" i="124"/>
  <c r="T356" i="124"/>
  <c r="U411" i="124"/>
  <c r="T411" i="124"/>
  <c r="T514" i="124"/>
  <c r="U514" i="124"/>
  <c r="T454" i="124"/>
  <c r="U454" i="124"/>
  <c r="U428" i="124"/>
  <c r="T428" i="124"/>
  <c r="T394" i="124"/>
  <c r="U394" i="124"/>
  <c r="U546" i="124"/>
  <c r="T546" i="124"/>
  <c r="U581" i="124"/>
  <c r="T581" i="124"/>
  <c r="T448" i="124"/>
  <c r="U448" i="124"/>
  <c r="T472" i="124"/>
  <c r="U472" i="124"/>
  <c r="T484" i="124"/>
  <c r="U484" i="124"/>
  <c r="U554" i="124"/>
  <c r="T554" i="124"/>
  <c r="T474" i="124"/>
  <c r="U474" i="124"/>
  <c r="U562" i="124"/>
  <c r="T562" i="124"/>
  <c r="U482" i="124"/>
  <c r="T482" i="124"/>
  <c r="U529" i="124"/>
  <c r="T529" i="124"/>
  <c r="T578" i="124"/>
  <c r="U578" i="124"/>
  <c r="T418" i="124"/>
  <c r="U418" i="124"/>
  <c r="U525" i="124"/>
  <c r="T525" i="124"/>
  <c r="T400" i="124"/>
  <c r="U400" i="124"/>
  <c r="U569" i="124"/>
  <c r="T569" i="124"/>
  <c r="U413" i="124"/>
  <c r="T413" i="124"/>
  <c r="U551" i="124"/>
  <c r="T551" i="124"/>
  <c r="T476" i="124"/>
  <c r="U476" i="124"/>
  <c r="U572" i="124"/>
  <c r="T572" i="124"/>
  <c r="U361" i="124"/>
  <c r="T361" i="124"/>
  <c r="T370" i="124"/>
  <c r="U370" i="124"/>
  <c r="U512" i="124"/>
  <c r="T512" i="124"/>
  <c r="U497" i="124"/>
  <c r="T497" i="124"/>
  <c r="T392" i="124"/>
  <c r="U392" i="124"/>
  <c r="U488" i="124"/>
  <c r="T488" i="124"/>
  <c r="U547" i="124"/>
  <c r="T547" i="124"/>
  <c r="U353" i="124"/>
  <c r="T353" i="124"/>
  <c r="U539" i="124"/>
  <c r="T539" i="124"/>
  <c r="U565" i="124"/>
  <c r="T565" i="124"/>
  <c r="T442" i="124"/>
  <c r="U442" i="124"/>
  <c r="U523" i="124"/>
  <c r="T523" i="124"/>
  <c r="T374" i="124"/>
  <c r="U374" i="124"/>
  <c r="T585" i="124"/>
  <c r="U585" i="124"/>
  <c r="U542" i="124"/>
  <c r="T542" i="124"/>
  <c r="U527" i="124"/>
  <c r="T527" i="124"/>
  <c r="T456" i="124"/>
  <c r="U456" i="124"/>
  <c r="U465" i="124"/>
  <c r="T465" i="124"/>
  <c r="U494" i="124"/>
  <c r="T494" i="124"/>
  <c r="U548" i="124"/>
  <c r="T548" i="124"/>
  <c r="U508" i="124"/>
  <c r="T508" i="124"/>
  <c r="U415" i="124"/>
  <c r="T415" i="124"/>
  <c r="U473" i="124"/>
  <c r="T473" i="124"/>
  <c r="U576" i="124"/>
  <c r="T576" i="124"/>
  <c r="U485" i="124"/>
  <c r="T485" i="124"/>
  <c r="U519" i="124"/>
  <c r="T519" i="124"/>
  <c r="T386" i="124"/>
  <c r="U386" i="124"/>
  <c r="T436" i="124"/>
  <c r="U436" i="124"/>
  <c r="T376" i="124"/>
  <c r="U376" i="124"/>
  <c r="T502" i="124"/>
  <c r="U502" i="124"/>
  <c r="U469" i="124"/>
  <c r="T469" i="124"/>
  <c r="U451" i="124"/>
  <c r="T451" i="124"/>
  <c r="U520" i="124"/>
  <c r="T520" i="124"/>
  <c r="U461" i="124"/>
  <c r="T461" i="124"/>
  <c r="U475" i="124"/>
  <c r="T475" i="124"/>
  <c r="U513" i="124"/>
  <c r="T513" i="124"/>
  <c r="T486" i="124"/>
  <c r="U486" i="124"/>
  <c r="U560" i="124"/>
  <c r="T560" i="124"/>
  <c r="U563" i="124"/>
  <c r="T563" i="124"/>
  <c r="U385" i="124"/>
  <c r="T385" i="124"/>
  <c r="U371" i="124"/>
  <c r="T371" i="124"/>
  <c r="U582" i="124"/>
  <c r="T582" i="124"/>
  <c r="U405" i="124"/>
  <c r="T405" i="124"/>
  <c r="U458" i="124"/>
  <c r="T458" i="124"/>
  <c r="U518" i="124"/>
  <c r="T518" i="124"/>
  <c r="T408" i="124"/>
  <c r="U408" i="124"/>
  <c r="U587" i="124"/>
  <c r="T587" i="124"/>
  <c r="U391" i="124"/>
  <c r="T391" i="124"/>
  <c r="U395" i="124"/>
  <c r="T395" i="124"/>
  <c r="T426" i="124"/>
  <c r="U426" i="124"/>
  <c r="U543" i="124"/>
  <c r="T543" i="124"/>
  <c r="T556" i="124"/>
  <c r="U556" i="124"/>
  <c r="U467" i="124"/>
  <c r="T467" i="124"/>
  <c r="U537" i="124"/>
  <c r="T537" i="124"/>
  <c r="U533" i="124"/>
  <c r="T533" i="124"/>
  <c r="U434" i="124"/>
  <c r="T434" i="124"/>
  <c r="T444" i="124"/>
  <c r="U444" i="124"/>
  <c r="T462" i="124"/>
  <c r="U462" i="124"/>
  <c r="U429" i="124"/>
  <c r="T429" i="124"/>
  <c r="T450" i="124"/>
  <c r="U450" i="124"/>
  <c r="U583" i="124"/>
  <c r="T583" i="124"/>
  <c r="U481" i="124"/>
  <c r="T481" i="124"/>
  <c r="U534" i="124"/>
  <c r="T534" i="124"/>
  <c r="U501" i="124"/>
  <c r="T501" i="124"/>
  <c r="T432" i="124"/>
  <c r="U432" i="124"/>
  <c r="T538" i="124"/>
  <c r="U538" i="124"/>
  <c r="U407" i="124"/>
  <c r="T407" i="124"/>
  <c r="U511" i="124"/>
  <c r="T511" i="124"/>
  <c r="U561" i="124"/>
  <c r="T561" i="124"/>
  <c r="U507" i="124"/>
  <c r="T507" i="124"/>
  <c r="T440" i="124"/>
  <c r="U440" i="124"/>
  <c r="U449" i="124"/>
  <c r="T449" i="124"/>
  <c r="U446" i="124"/>
  <c r="T446" i="124"/>
  <c r="U362" i="124"/>
  <c r="T362" i="124"/>
  <c r="U453" i="124"/>
  <c r="T453" i="124"/>
  <c r="T466" i="124"/>
  <c r="U466" i="124"/>
  <c r="T414" i="124"/>
  <c r="U414" i="124"/>
  <c r="T567" i="124"/>
  <c r="U567" i="124"/>
  <c r="U359" i="124"/>
  <c r="T359" i="124"/>
  <c r="U503" i="124"/>
  <c r="T503" i="124"/>
  <c r="U575" i="124"/>
  <c r="T575" i="124"/>
  <c r="U493" i="124"/>
  <c r="T493" i="124"/>
  <c r="U383" i="124"/>
  <c r="T383" i="124"/>
  <c r="U504" i="124"/>
  <c r="T504" i="124"/>
  <c r="U574" i="124"/>
  <c r="T574" i="124"/>
  <c r="U483" i="124"/>
  <c r="T483" i="124"/>
  <c r="U489" i="124"/>
  <c r="T489" i="124"/>
  <c r="U470" i="124"/>
  <c r="T470" i="124"/>
  <c r="U544" i="124"/>
  <c r="T544" i="124"/>
  <c r="T460" i="124"/>
  <c r="U460" i="124"/>
  <c r="U464" i="124"/>
  <c r="T464" i="124"/>
  <c r="U384" i="124"/>
  <c r="T384" i="124"/>
  <c r="T550" i="124"/>
  <c r="U550" i="124"/>
  <c r="T549" i="124"/>
  <c r="U549" i="124"/>
  <c r="U499" i="124"/>
  <c r="T499" i="124"/>
  <c r="T496" i="124"/>
  <c r="U496" i="124"/>
  <c r="T424" i="124"/>
  <c r="U424" i="124"/>
  <c r="U457" i="124"/>
  <c r="T457" i="124"/>
  <c r="U441" i="124"/>
  <c r="T441" i="124"/>
  <c r="U433" i="124"/>
  <c r="T433" i="124"/>
  <c r="T406" i="124"/>
  <c r="U406" i="124"/>
  <c r="T555" i="124"/>
  <c r="U555" i="124"/>
  <c r="U403" i="124"/>
  <c r="T403" i="124"/>
  <c r="T430" i="124"/>
  <c r="U430" i="124"/>
  <c r="U393" i="124"/>
  <c r="T393" i="124"/>
  <c r="T536" i="124"/>
  <c r="U536" i="124"/>
  <c r="U390" i="124"/>
  <c r="T390" i="124"/>
  <c r="U521" i="124"/>
  <c r="T521" i="124"/>
  <c r="T564" i="124"/>
  <c r="U564" i="124"/>
  <c r="U425" i="124"/>
  <c r="T425" i="124"/>
  <c r="U435" i="124"/>
  <c r="T435" i="124"/>
  <c r="U351" i="124"/>
  <c r="T351" i="124"/>
  <c r="U421" i="124"/>
  <c r="T421" i="124"/>
  <c r="T568" i="124"/>
  <c r="U568" i="124"/>
  <c r="U553" i="124"/>
  <c r="T553" i="124"/>
  <c r="U455" i="124"/>
  <c r="T455" i="124"/>
  <c r="T558" i="124"/>
  <c r="U558" i="124"/>
  <c r="U349" i="124"/>
  <c r="T349" i="124"/>
  <c r="U431" i="124"/>
  <c r="T431" i="124"/>
  <c r="U557" i="124"/>
  <c r="T557" i="124"/>
  <c r="U545" i="124"/>
  <c r="T545" i="124"/>
  <c r="U471" i="124"/>
  <c r="T471" i="124"/>
  <c r="U517" i="124"/>
  <c r="T517" i="124"/>
  <c r="U360" i="124"/>
  <c r="T360" i="124"/>
  <c r="U367" i="124"/>
  <c r="T367" i="124"/>
  <c r="U580" i="124"/>
  <c r="T580" i="124"/>
  <c r="T96" i="124"/>
  <c r="U96" i="124"/>
  <c r="T128" i="124"/>
  <c r="U128" i="124"/>
  <c r="T106" i="124"/>
  <c r="U106" i="124"/>
  <c r="T153" i="124"/>
  <c r="U153" i="124"/>
  <c r="T119" i="124"/>
  <c r="U119" i="124"/>
  <c r="T241" i="124"/>
  <c r="U241" i="124"/>
  <c r="T63" i="124"/>
  <c r="U63" i="124"/>
  <c r="T162" i="124"/>
  <c r="U162" i="124"/>
  <c r="T80" i="124"/>
  <c r="U80" i="124"/>
  <c r="T133" i="124"/>
  <c r="U133" i="124"/>
  <c r="T105" i="124"/>
  <c r="U105" i="124"/>
  <c r="T8" i="124"/>
  <c r="U8" i="124"/>
  <c r="T166" i="124"/>
  <c r="U166" i="124"/>
  <c r="T255" i="124"/>
  <c r="U255" i="124"/>
  <c r="T59" i="124"/>
  <c r="U59" i="124"/>
  <c r="T42" i="124"/>
  <c r="U42" i="124"/>
  <c r="T40" i="124"/>
  <c r="U40" i="124"/>
  <c r="T44" i="124"/>
  <c r="U44" i="124"/>
  <c r="T30" i="124"/>
  <c r="U30" i="124"/>
  <c r="T21" i="124"/>
  <c r="U21" i="124"/>
  <c r="T19" i="124"/>
  <c r="U19" i="124"/>
  <c r="T33" i="124"/>
  <c r="U33" i="124"/>
  <c r="T45" i="124"/>
  <c r="U45" i="124"/>
  <c r="T15" i="124"/>
  <c r="U15" i="124"/>
  <c r="T260" i="124"/>
  <c r="U260" i="124"/>
  <c r="T168" i="124"/>
  <c r="U168" i="124"/>
  <c r="T136" i="124"/>
  <c r="U136" i="124"/>
  <c r="T78" i="124"/>
  <c r="U78" i="124"/>
  <c r="T66" i="124"/>
  <c r="U66" i="124"/>
  <c r="T172" i="124"/>
  <c r="U172" i="124"/>
  <c r="T13" i="124"/>
  <c r="U13" i="124"/>
  <c r="T99" i="124"/>
  <c r="U99" i="124"/>
  <c r="T160" i="124"/>
  <c r="U160" i="124"/>
  <c r="T286" i="124"/>
  <c r="U286" i="124"/>
  <c r="T129" i="124"/>
  <c r="U129" i="124"/>
  <c r="T143" i="124"/>
  <c r="U143" i="124"/>
  <c r="T75" i="124"/>
  <c r="U75" i="124"/>
  <c r="T88" i="124"/>
  <c r="U88" i="124"/>
  <c r="T102" i="124"/>
  <c r="U102" i="124"/>
  <c r="T74" i="124"/>
  <c r="U74" i="124"/>
  <c r="T103" i="124"/>
  <c r="U103" i="124"/>
  <c r="T140" i="124"/>
  <c r="U140" i="124"/>
  <c r="T161" i="124"/>
  <c r="U161" i="124"/>
  <c r="T132" i="124"/>
  <c r="U132" i="124"/>
  <c r="T146" i="124"/>
  <c r="U146" i="124"/>
  <c r="T187" i="124"/>
  <c r="U187" i="124"/>
  <c r="T89" i="124"/>
  <c r="U89" i="124"/>
  <c r="T87" i="124"/>
  <c r="U87" i="124"/>
  <c r="T134" i="124"/>
  <c r="U134" i="124"/>
  <c r="T159" i="124"/>
  <c r="U159" i="124"/>
  <c r="T156" i="124"/>
  <c r="U156" i="124"/>
  <c r="T171" i="124"/>
  <c r="U171" i="124"/>
  <c r="T85" i="124"/>
  <c r="U85" i="124"/>
  <c r="T154" i="124"/>
  <c r="U154" i="124"/>
  <c r="T210" i="124"/>
  <c r="U210" i="124"/>
  <c r="T98" i="124"/>
  <c r="U98" i="124"/>
  <c r="T113" i="124"/>
  <c r="U113" i="124"/>
  <c r="T182" i="124"/>
  <c r="U182" i="124"/>
  <c r="T112" i="124"/>
  <c r="U112" i="124"/>
  <c r="T79" i="124"/>
  <c r="U79" i="124"/>
  <c r="T164" i="124"/>
  <c r="U164" i="124"/>
  <c r="T208" i="124"/>
  <c r="U208" i="124"/>
  <c r="T216" i="124"/>
  <c r="U216" i="124"/>
  <c r="T180" i="124"/>
  <c r="U180" i="124"/>
  <c r="T178" i="124"/>
  <c r="U178" i="124"/>
  <c r="T144" i="124"/>
  <c r="U144" i="124"/>
  <c r="T127" i="124"/>
  <c r="U127" i="124"/>
  <c r="T76" i="124"/>
  <c r="U76" i="124"/>
  <c r="T184" i="124"/>
  <c r="U184" i="124"/>
  <c r="T173" i="124"/>
  <c r="U173" i="124"/>
  <c r="T95" i="124"/>
  <c r="U95" i="124"/>
  <c r="T93" i="124"/>
  <c r="U93" i="124"/>
  <c r="T111" i="124"/>
  <c r="U111" i="124"/>
  <c r="T142" i="124"/>
  <c r="U142" i="124"/>
  <c r="T60" i="124"/>
  <c r="U60" i="124"/>
  <c r="T52" i="124"/>
  <c r="U52" i="124"/>
  <c r="T27" i="124"/>
  <c r="U27" i="124"/>
  <c r="T48" i="124"/>
  <c r="U48" i="124"/>
  <c r="T37" i="124"/>
  <c r="U37" i="124"/>
  <c r="T39" i="124"/>
  <c r="U39" i="124"/>
  <c r="T28" i="124"/>
  <c r="U28" i="124"/>
  <c r="T54" i="124"/>
  <c r="U54" i="124"/>
  <c r="T12" i="124"/>
  <c r="U12" i="124"/>
  <c r="T104" i="124"/>
  <c r="U104" i="124"/>
  <c r="T69" i="124"/>
  <c r="U69" i="124"/>
  <c r="T202" i="124"/>
  <c r="U202" i="124"/>
  <c r="T231" i="124"/>
  <c r="U231" i="124"/>
  <c r="T64" i="124"/>
  <c r="U64" i="124"/>
  <c r="T124" i="124"/>
  <c r="U124" i="124"/>
  <c r="T201" i="124"/>
  <c r="U201" i="124"/>
  <c r="T188" i="124"/>
  <c r="U188" i="124"/>
  <c r="T125" i="124"/>
  <c r="U125" i="124"/>
  <c r="T65" i="124"/>
  <c r="U65" i="124"/>
  <c r="T68" i="124"/>
  <c r="U68" i="124"/>
  <c r="T121" i="124"/>
  <c r="U121" i="124"/>
  <c r="T249" i="124"/>
  <c r="U249" i="124"/>
  <c r="T14" i="124"/>
  <c r="U14" i="124"/>
  <c r="T101" i="124"/>
  <c r="U101" i="124"/>
  <c r="T139" i="124"/>
  <c r="U139" i="124"/>
  <c r="T83" i="124"/>
  <c r="U83" i="124"/>
  <c r="T73" i="124"/>
  <c r="U73" i="124"/>
  <c r="T189" i="124"/>
  <c r="U189" i="124"/>
  <c r="T177" i="124"/>
  <c r="U177" i="124"/>
  <c r="T100" i="124"/>
  <c r="U100" i="124"/>
  <c r="T151" i="124"/>
  <c r="U151" i="124"/>
  <c r="T72" i="124"/>
  <c r="U72" i="124"/>
  <c r="T150" i="124"/>
  <c r="U150" i="124"/>
  <c r="T97" i="124"/>
  <c r="U97" i="124"/>
  <c r="T256" i="124"/>
  <c r="U256" i="124"/>
  <c r="T271" i="124"/>
  <c r="U271" i="124"/>
  <c r="T53" i="124"/>
  <c r="U53" i="124"/>
  <c r="T24" i="124"/>
  <c r="U24" i="124"/>
  <c r="T25" i="124"/>
  <c r="U25" i="124"/>
  <c r="T55" i="124"/>
  <c r="U55" i="124"/>
  <c r="T49" i="124"/>
  <c r="U49" i="124"/>
  <c r="T20" i="124"/>
  <c r="U20" i="124"/>
  <c r="T43" i="124"/>
  <c r="U43" i="124"/>
  <c r="T36" i="124"/>
  <c r="U36" i="124"/>
  <c r="T274" i="124"/>
  <c r="U274" i="124"/>
  <c r="T122" i="124"/>
  <c r="U122" i="124"/>
  <c r="T118" i="124"/>
  <c r="U118" i="124"/>
  <c r="T165" i="124"/>
  <c r="U165" i="124"/>
  <c r="T137" i="124"/>
  <c r="U137" i="124"/>
  <c r="T86" i="124"/>
  <c r="U86" i="124"/>
  <c r="T67" i="124"/>
  <c r="U67" i="124"/>
  <c r="T130" i="124"/>
  <c r="U130" i="124"/>
  <c r="T109" i="124"/>
  <c r="U109" i="124"/>
  <c r="T186" i="124"/>
  <c r="U186" i="124"/>
  <c r="T107" i="124"/>
  <c r="U107" i="124"/>
  <c r="U169" i="124"/>
  <c r="T131" i="124"/>
  <c r="U131" i="124"/>
  <c r="T167" i="124"/>
  <c r="U167" i="124"/>
  <c r="T114" i="124"/>
  <c r="U114" i="124"/>
  <c r="T126" i="124"/>
  <c r="U126" i="124"/>
  <c r="T7" i="124"/>
  <c r="U7" i="124"/>
  <c r="T152" i="124"/>
  <c r="U152" i="124"/>
  <c r="T6" i="124"/>
  <c r="U6" i="124"/>
  <c r="T108" i="124"/>
  <c r="U108" i="124"/>
  <c r="T195" i="124"/>
  <c r="U195" i="124"/>
  <c r="T157" i="124"/>
  <c r="U157" i="124"/>
  <c r="T11" i="124"/>
  <c r="U11" i="124"/>
  <c r="T120" i="124"/>
  <c r="U120" i="124"/>
  <c r="T81" i="124"/>
  <c r="U81" i="124"/>
  <c r="T77" i="124"/>
  <c r="U77" i="124"/>
  <c r="T94" i="124"/>
  <c r="U94" i="124"/>
  <c r="T176" i="124"/>
  <c r="U176" i="124"/>
  <c r="T155" i="124"/>
  <c r="U155" i="124"/>
  <c r="T62" i="124"/>
  <c r="U62" i="124"/>
  <c r="T179" i="124"/>
  <c r="U179" i="124"/>
  <c r="T236" i="124"/>
  <c r="U236" i="124"/>
  <c r="T148" i="124"/>
  <c r="U148" i="124"/>
  <c r="T145" i="124"/>
  <c r="U145" i="124"/>
  <c r="T91" i="124"/>
  <c r="U91" i="124"/>
  <c r="T70" i="124"/>
  <c r="U70" i="124"/>
  <c r="T115" i="124"/>
  <c r="U115" i="124"/>
  <c r="T10" i="124"/>
  <c r="U10" i="124"/>
  <c r="T84" i="124"/>
  <c r="U84" i="124"/>
  <c r="T196" i="124"/>
  <c r="U196" i="124"/>
  <c r="T235" i="124"/>
  <c r="U235" i="124"/>
  <c r="T163" i="124"/>
  <c r="U163" i="124"/>
  <c r="T135" i="124"/>
  <c r="U135" i="124"/>
  <c r="T117" i="124"/>
  <c r="U117" i="124"/>
  <c r="T158" i="124"/>
  <c r="U158" i="124"/>
  <c r="T183" i="124"/>
  <c r="U183" i="124"/>
  <c r="T90" i="124"/>
  <c r="U90" i="124"/>
  <c r="T181" i="124"/>
  <c r="U181" i="124"/>
  <c r="T174" i="124"/>
  <c r="U174" i="124"/>
  <c r="T175" i="124"/>
  <c r="U175" i="124"/>
  <c r="T82" i="124"/>
  <c r="U82" i="124"/>
  <c r="T110" i="124"/>
  <c r="U110" i="124"/>
  <c r="T31" i="124"/>
  <c r="U31" i="124"/>
  <c r="T29" i="124"/>
  <c r="U29" i="124"/>
  <c r="T46" i="124"/>
  <c r="U46" i="124"/>
  <c r="T281" i="124"/>
  <c r="U281" i="124"/>
  <c r="T278" i="124"/>
  <c r="U278" i="124"/>
  <c r="T147" i="124"/>
  <c r="U147" i="124"/>
  <c r="T170" i="124"/>
  <c r="U170" i="124"/>
  <c r="T203" i="124"/>
  <c r="U203" i="124"/>
  <c r="T123" i="124"/>
  <c r="U123" i="124"/>
  <c r="T138" i="124"/>
  <c r="U138" i="124"/>
  <c r="T149" i="124"/>
  <c r="U149" i="124"/>
  <c r="T116" i="124"/>
  <c r="U116" i="124"/>
  <c r="T190" i="124"/>
  <c r="U190" i="124"/>
  <c r="T227" i="124"/>
  <c r="U227" i="124"/>
  <c r="T211" i="124"/>
  <c r="U211" i="124"/>
  <c r="T92" i="124"/>
  <c r="U92" i="124"/>
  <c r="T185" i="124"/>
  <c r="U185" i="124"/>
  <c r="T141" i="124"/>
  <c r="U141" i="124"/>
  <c r="T71" i="124"/>
  <c r="U71" i="124"/>
  <c r="T275" i="124"/>
  <c r="U275" i="124"/>
  <c r="T243" i="124"/>
  <c r="U243" i="124"/>
  <c r="T3" i="124"/>
  <c r="U3" i="124"/>
  <c r="AA77" i="123"/>
  <c r="AA216" i="123"/>
  <c r="AA83" i="124"/>
  <c r="AA81" i="124"/>
  <c r="AA261" i="124"/>
  <c r="AA277" i="124"/>
  <c r="AA110" i="123"/>
  <c r="AA90" i="123"/>
  <c r="AA257" i="124"/>
  <c r="AA227" i="124"/>
  <c r="AA216" i="124"/>
  <c r="AA110" i="124"/>
  <c r="AA83" i="123"/>
  <c r="AA281" i="124"/>
  <c r="AA87" i="124"/>
  <c r="AA77" i="124"/>
  <c r="AA237" i="124"/>
  <c r="AA209" i="124"/>
  <c r="AA203" i="124"/>
  <c r="AA253" i="124"/>
  <c r="AA257" i="123"/>
  <c r="AA87" i="123"/>
  <c r="AA90" i="124"/>
  <c r="AA191" i="124"/>
  <c r="AA192" i="123"/>
  <c r="AA84" i="123"/>
  <c r="AA55" i="123"/>
  <c r="AA174" i="123"/>
  <c r="AA183" i="123"/>
  <c r="AA35" i="123"/>
  <c r="AA82" i="123"/>
  <c r="AA266" i="124"/>
  <c r="AA82" i="124"/>
  <c r="AA55" i="124"/>
  <c r="AA275" i="124"/>
  <c r="AA84" i="124"/>
  <c r="AA270" i="124"/>
  <c r="AA14" i="124"/>
  <c r="AA267" i="124"/>
  <c r="AA289" i="124"/>
  <c r="AA11" i="124"/>
  <c r="AA192" i="124"/>
  <c r="AA183" i="124"/>
  <c r="AA50" i="124"/>
  <c r="AA24" i="124"/>
  <c r="AA78" i="124"/>
  <c r="S66" i="126"/>
  <c r="S59" i="126"/>
  <c r="S69" i="126"/>
  <c r="H75" i="126"/>
  <c r="AA176" i="123"/>
  <c r="AA182" i="123"/>
  <c r="AA258" i="123"/>
  <c r="AA184" i="123"/>
  <c r="AA197" i="123"/>
  <c r="AA100" i="123"/>
  <c r="AA217" i="124"/>
  <c r="AA184" i="124"/>
  <c r="AA65" i="124"/>
  <c r="AA101" i="124"/>
  <c r="AA182" i="124"/>
  <c r="AA100" i="124"/>
  <c r="AA23" i="124"/>
  <c r="AA197" i="124"/>
  <c r="AA116" i="124"/>
  <c r="AA228" i="124"/>
  <c r="AA49" i="124"/>
  <c r="AA46" i="124"/>
  <c r="AA210" i="124"/>
  <c r="AA142" i="123"/>
  <c r="AA3" i="124"/>
  <c r="AA10" i="124"/>
  <c r="AA107" i="124"/>
  <c r="AA8" i="124"/>
  <c r="AA5" i="124"/>
  <c r="AA7" i="124"/>
  <c r="AA34" i="124"/>
  <c r="AA185" i="124"/>
  <c r="AA76" i="124"/>
  <c r="AA206" i="124"/>
  <c r="AA4" i="124"/>
  <c r="AA172" i="124"/>
  <c r="AA290" i="123"/>
  <c r="AA241" i="124"/>
  <c r="AA254" i="124"/>
  <c r="AA176" i="124"/>
  <c r="AA35" i="124"/>
  <c r="AA258" i="124"/>
  <c r="AA234" i="124"/>
  <c r="AA282" i="124"/>
  <c r="M71" i="126"/>
  <c r="M68" i="126"/>
  <c r="M73" i="126"/>
  <c r="M70" i="126"/>
  <c r="M60" i="126"/>
  <c r="M72" i="126"/>
  <c r="M65" i="126"/>
  <c r="M62" i="126"/>
  <c r="M74" i="126"/>
  <c r="M67" i="126"/>
  <c r="M64" i="126"/>
  <c r="M61" i="126"/>
  <c r="M69" i="126"/>
  <c r="M66" i="126"/>
  <c r="M63" i="126"/>
  <c r="M59" i="126"/>
  <c r="L59" i="126"/>
  <c r="AA60" i="124"/>
  <c r="AA99" i="124"/>
  <c r="AA57" i="124"/>
  <c r="AA54" i="124"/>
  <c r="AA274" i="124"/>
  <c r="AA121" i="124"/>
  <c r="AA6" i="124"/>
  <c r="AA142" i="124"/>
  <c r="AA290" i="124"/>
  <c r="AA283" i="124"/>
  <c r="AA137" i="124"/>
  <c r="AA174" i="124"/>
  <c r="AO420" i="124"/>
  <c r="AO540" i="124"/>
  <c r="AO341" i="124"/>
  <c r="AO584" i="124"/>
  <c r="AO329" i="124"/>
  <c r="AO197" i="124"/>
  <c r="AP197" i="124" s="1"/>
  <c r="AO331" i="124"/>
  <c r="AO422" i="124"/>
  <c r="AO582" i="124"/>
  <c r="AO344" i="124"/>
  <c r="AO501" i="124"/>
  <c r="AO495" i="124"/>
  <c r="AO447" i="124"/>
  <c r="AO333" i="124"/>
  <c r="AO506" i="124"/>
  <c r="AO310" i="124"/>
  <c r="AO339" i="124"/>
  <c r="AO291" i="124"/>
  <c r="AO302" i="124"/>
  <c r="AO570" i="124"/>
  <c r="AO354" i="124"/>
  <c r="AO397" i="124"/>
  <c r="AO388" i="124"/>
  <c r="AO30" i="124"/>
  <c r="AO410" i="124"/>
  <c r="AO327" i="124"/>
  <c r="AO301" i="124"/>
  <c r="AO367" i="124"/>
  <c r="AO306" i="124"/>
  <c r="AO55" i="124"/>
  <c r="AP55" i="124" s="1"/>
  <c r="AO300" i="124"/>
  <c r="AO335" i="124"/>
  <c r="AO308" i="124"/>
  <c r="AO379" i="124"/>
  <c r="AO320" i="124"/>
  <c r="AO332" i="124"/>
  <c r="AO348" i="124"/>
  <c r="AO216" i="124"/>
  <c r="AP216" i="124" s="1"/>
  <c r="AO430" i="124"/>
  <c r="AO315" i="124"/>
  <c r="AO381" i="124"/>
  <c r="AO408" i="124"/>
  <c r="AO322" i="124"/>
  <c r="AO298" i="124"/>
  <c r="AO360" i="124"/>
  <c r="AO402" i="124"/>
  <c r="AO491" i="124"/>
  <c r="AO492" i="124"/>
  <c r="AO505" i="124"/>
  <c r="AO555" i="124"/>
  <c r="AO463" i="124"/>
  <c r="AO544" i="124"/>
  <c r="AO366" i="124"/>
  <c r="AO431" i="124"/>
  <c r="AO482" i="124"/>
  <c r="AO36" i="124"/>
  <c r="AP36" i="124" s="1"/>
  <c r="AO508" i="124"/>
  <c r="AO387" i="124"/>
  <c r="AO581" i="124"/>
  <c r="AO557" i="124"/>
  <c r="AO494" i="124"/>
  <c r="AO411" i="124"/>
  <c r="AO490" i="124"/>
  <c r="AO535" i="124"/>
  <c r="AO559" i="124"/>
  <c r="AO476" i="124"/>
  <c r="AO325" i="124"/>
  <c r="AO512" i="124"/>
  <c r="AO345" i="124"/>
  <c r="AO242" i="124"/>
  <c r="AP242" i="124" s="1"/>
  <c r="AO587" i="124"/>
  <c r="AO34" i="124"/>
  <c r="AP34" i="124" s="1"/>
  <c r="AO564" i="124"/>
  <c r="AO347" i="124"/>
  <c r="AO318" i="124"/>
  <c r="AO299" i="124"/>
  <c r="AO326" i="124"/>
  <c r="AO530" i="124"/>
  <c r="AO483" i="124"/>
  <c r="AO579" i="124"/>
  <c r="AO337" i="124"/>
  <c r="AO16" i="124"/>
  <c r="AO338" i="124"/>
  <c r="AO485" i="124"/>
  <c r="AO317" i="124"/>
  <c r="AO305" i="124"/>
  <c r="AO330" i="124"/>
  <c r="AO296" i="124"/>
  <c r="AO352" i="124"/>
  <c r="AO428" i="124"/>
  <c r="AO361" i="124"/>
  <c r="AO504" i="124"/>
  <c r="AO438" i="124"/>
  <c r="AO356" i="124"/>
  <c r="AO17" i="124"/>
  <c r="AP17" i="124" s="1"/>
  <c r="AO342" i="124"/>
  <c r="AO576" i="124"/>
  <c r="AO188" i="124"/>
  <c r="AP188" i="124" s="1"/>
  <c r="AO304" i="124"/>
  <c r="AO569" i="124"/>
  <c r="AO323" i="124"/>
  <c r="AO313" i="124"/>
  <c r="AO324" i="124"/>
  <c r="AO481" i="124"/>
  <c r="AO295" i="124"/>
  <c r="AO413" i="124"/>
  <c r="AO370" i="124"/>
  <c r="AO328" i="124"/>
  <c r="AO371" i="124"/>
  <c r="AO340" i="124"/>
  <c r="AO394" i="124"/>
  <c r="AO586" i="124"/>
  <c r="AO343" i="124"/>
  <c r="AO314" i="124"/>
  <c r="AO549" i="124"/>
  <c r="AO553" i="124"/>
  <c r="AO419" i="124"/>
  <c r="AO588" i="124"/>
  <c r="AO392" i="124"/>
  <c r="AO365" i="124"/>
  <c r="AO539" i="124"/>
  <c r="AO185" i="124"/>
  <c r="AP185" i="124" s="1"/>
  <c r="AO82" i="124"/>
  <c r="AP82" i="124" s="1"/>
  <c r="AO176" i="124"/>
  <c r="AP176" i="124" s="1"/>
  <c r="AO536" i="124"/>
  <c r="AO26" i="124"/>
  <c r="AP26" i="124" s="1"/>
  <c r="AO566" i="124"/>
  <c r="AO516" i="124"/>
  <c r="AO461" i="124"/>
  <c r="AO517" i="124"/>
  <c r="AO519" i="124"/>
  <c r="AO464" i="124"/>
  <c r="AO439" i="124"/>
  <c r="AO484" i="124"/>
  <c r="AO386" i="124"/>
  <c r="AO451" i="124"/>
  <c r="AO527" i="124"/>
  <c r="AO406" i="124"/>
  <c r="AO548" i="124"/>
  <c r="AO368" i="124"/>
  <c r="AO472" i="124"/>
  <c r="AO90" i="124"/>
  <c r="AP90" i="124" s="1"/>
  <c r="AO174" i="124"/>
  <c r="AP174" i="124" s="1"/>
  <c r="AO110" i="124"/>
  <c r="AP110" i="124" s="1"/>
  <c r="AO182" i="124"/>
  <c r="AP182" i="124" s="1"/>
  <c r="AO83" i="124"/>
  <c r="AP83" i="124" s="1"/>
  <c r="AO403" i="124"/>
  <c r="AO460" i="124"/>
  <c r="AO453" i="124"/>
  <c r="AO389" i="124"/>
  <c r="AO571" i="124"/>
  <c r="AO425" i="124"/>
  <c r="AO518" i="124"/>
  <c r="AO384" i="124"/>
  <c r="AO404" i="124"/>
  <c r="AO558" i="124"/>
  <c r="AO414" i="124"/>
  <c r="AO369" i="124"/>
  <c r="AO350" i="124"/>
  <c r="AO513" i="124"/>
  <c r="AO583" i="124"/>
  <c r="AO550" i="124"/>
  <c r="AO349" i="124"/>
  <c r="AO538" i="124"/>
  <c r="AO400" i="124"/>
  <c r="AO534" i="124"/>
  <c r="AO580" i="124"/>
  <c r="AO509" i="124"/>
  <c r="AO359" i="124"/>
  <c r="AO465" i="124"/>
  <c r="AO364" i="124"/>
  <c r="AO474" i="124"/>
  <c r="AO575" i="124"/>
  <c r="AO358" i="124"/>
  <c r="AO452" i="124"/>
  <c r="AO456" i="124"/>
  <c r="AO441" i="124"/>
  <c r="AO383" i="124"/>
  <c r="AO435" i="124"/>
  <c r="AO547" i="124"/>
  <c r="AO433" i="124"/>
  <c r="AO421" i="124"/>
  <c r="AO521" i="124"/>
  <c r="AO183" i="124"/>
  <c r="AP183" i="124" s="1"/>
  <c r="AO71" i="124"/>
  <c r="AP71" i="124" s="1"/>
  <c r="AO177" i="124"/>
  <c r="AP177" i="124" s="1"/>
  <c r="AK192" i="124"/>
  <c r="AK26" i="124"/>
  <c r="AK242" i="124"/>
  <c r="AK34" i="124"/>
  <c r="AK5" i="124"/>
  <c r="AK17" i="124"/>
  <c r="AK290" i="124"/>
  <c r="AD71" i="124"/>
  <c r="AE71" i="124" s="1"/>
  <c r="AA233" i="124"/>
  <c r="AA103" i="124"/>
  <c r="AA61" i="124"/>
  <c r="AA175" i="124"/>
  <c r="AC431" i="124"/>
  <c r="AB400" i="124"/>
  <c r="AC400" i="124" s="1"/>
  <c r="AD400" i="124" s="1"/>
  <c r="AE400" i="124" s="1"/>
  <c r="AC427" i="124"/>
  <c r="AA580" i="124"/>
  <c r="AA584" i="124"/>
  <c r="AA582" i="124"/>
  <c r="AA583" i="124"/>
  <c r="AA585" i="124"/>
  <c r="AA581" i="124"/>
  <c r="AA586" i="124"/>
  <c r="AA588" i="124"/>
  <c r="AA587" i="124"/>
  <c r="AC430" i="124"/>
  <c r="AD430" i="124" s="1"/>
  <c r="AE430" i="124" s="1"/>
  <c r="AC403" i="124"/>
  <c r="AD403" i="124" s="1"/>
  <c r="AE403" i="124" s="1"/>
  <c r="AC394" i="124"/>
  <c r="AD394" i="124" s="1"/>
  <c r="AE394" i="124" s="1"/>
  <c r="AC395" i="124"/>
  <c r="AD395" i="124" s="1"/>
  <c r="AE395" i="124" s="1"/>
  <c r="AC392" i="124"/>
  <c r="AD392" i="124" s="1"/>
  <c r="AE392" i="124" s="1"/>
  <c r="AC428" i="124"/>
  <c r="AD428" i="124" s="1"/>
  <c r="AE428" i="124" s="1"/>
  <c r="AC393" i="124"/>
  <c r="AC408" i="124"/>
  <c r="AD408" i="124" s="1"/>
  <c r="AE408" i="124" s="1"/>
  <c r="AC429" i="124"/>
  <c r="AD429" i="124" s="1"/>
  <c r="AE429" i="124" s="1"/>
  <c r="AA10" i="123"/>
  <c r="AD28" i="124"/>
  <c r="AE28" i="124" s="1"/>
  <c r="AD52" i="124"/>
  <c r="AE52" i="124" s="1"/>
  <c r="AD40" i="124"/>
  <c r="AE40" i="124" s="1"/>
  <c r="AD27" i="124"/>
  <c r="AE27" i="124" s="1"/>
  <c r="AD30" i="124"/>
  <c r="AE30" i="124" s="1"/>
  <c r="AD393" i="124"/>
  <c r="AE393" i="124" s="1"/>
  <c r="AD427" i="124"/>
  <c r="AE427" i="124" s="1"/>
  <c r="AD431" i="124"/>
  <c r="AE431" i="124" s="1"/>
  <c r="AD15" i="124"/>
  <c r="AE15" i="124" s="1"/>
  <c r="AC404" i="124"/>
  <c r="AC405" i="124"/>
  <c r="AD405" i="124" s="1"/>
  <c r="AE405" i="124" s="1"/>
  <c r="AC406" i="124"/>
  <c r="AD406" i="124" s="1"/>
  <c r="AE406" i="124" s="1"/>
  <c r="AC407" i="124"/>
  <c r="S74" i="126"/>
  <c r="S64" i="126"/>
  <c r="S63" i="126"/>
  <c r="S67" i="126"/>
  <c r="S72" i="126"/>
  <c r="S73" i="126"/>
  <c r="S71" i="126"/>
  <c r="S70" i="126"/>
  <c r="S65" i="126"/>
  <c r="S61" i="126"/>
  <c r="S62" i="126"/>
  <c r="S68" i="126"/>
  <c r="L62" i="126"/>
  <c r="L65" i="126"/>
  <c r="L71" i="126"/>
  <c r="L74" i="126"/>
  <c r="L66" i="126"/>
  <c r="L69" i="126"/>
  <c r="L73" i="126"/>
  <c r="L60" i="126"/>
  <c r="L67" i="126"/>
  <c r="L64" i="126"/>
  <c r="L61" i="126"/>
  <c r="L68" i="126"/>
  <c r="L72" i="126"/>
  <c r="L63" i="126"/>
  <c r="F75" i="126"/>
  <c r="R60" i="126"/>
  <c r="CH84" i="124"/>
  <c r="CI84" i="124" s="1"/>
  <c r="CH66" i="124"/>
  <c r="CI66" i="124" s="1"/>
  <c r="CH15" i="124"/>
  <c r="CI15" i="124" s="1"/>
  <c r="CH453" i="124"/>
  <c r="R76" i="46"/>
  <c r="Q76" i="46"/>
  <c r="O52" i="90" s="1"/>
  <c r="N76" i="46"/>
  <c r="L76" i="46" s="1"/>
  <c r="S70" i="46"/>
  <c r="T70" i="46" s="1"/>
  <c r="Q75" i="46"/>
  <c r="O51" i="90" s="1"/>
  <c r="N75" i="46"/>
  <c r="I51" i="90" s="1"/>
  <c r="S77" i="46"/>
  <c r="F40" i="46"/>
  <c r="C41" i="46"/>
  <c r="F41" i="46" s="1"/>
  <c r="F22" i="82"/>
  <c r="C22" i="82"/>
  <c r="P22" i="82" s="1"/>
  <c r="G23" i="82"/>
  <c r="E23" i="82"/>
  <c r="B24" i="82"/>
  <c r="H22" i="82"/>
  <c r="I22" i="82"/>
  <c r="I48" i="46"/>
  <c r="J48" i="46"/>
  <c r="D48" i="46"/>
  <c r="G48" i="46"/>
  <c r="E49" i="46"/>
  <c r="K49" i="46"/>
  <c r="A50" i="46"/>
  <c r="B49" i="46"/>
  <c r="AA200" i="124" l="1"/>
  <c r="AA114" i="124"/>
  <c r="AA112" i="124"/>
  <c r="AA264" i="124"/>
  <c r="AA269" i="124"/>
  <c r="AA180" i="124"/>
  <c r="AA211" i="124"/>
  <c r="AA123" i="124"/>
  <c r="AA199" i="124"/>
  <c r="AA134" i="124"/>
  <c r="AA152" i="124"/>
  <c r="AA239" i="124"/>
  <c r="AA33" i="124"/>
  <c r="AA288" i="124"/>
  <c r="AA286" i="124"/>
  <c r="AA122" i="124"/>
  <c r="AA213" i="124"/>
  <c r="AA243" i="124"/>
  <c r="AA204" i="124"/>
  <c r="AA37" i="124"/>
  <c r="AA149" i="124"/>
  <c r="AA272" i="124"/>
  <c r="AA250" i="124"/>
  <c r="AA276" i="124"/>
  <c r="AC260" i="124"/>
  <c r="AD260" i="124" s="1"/>
  <c r="AE260" i="124" s="1"/>
  <c r="AA120" i="124"/>
  <c r="BR42" i="108"/>
  <c r="AA125" i="124"/>
  <c r="AA31" i="124"/>
  <c r="AA157" i="124"/>
  <c r="AA181" i="124"/>
  <c r="AA278" i="124"/>
  <c r="AA133" i="124"/>
  <c r="AA201" i="124"/>
  <c r="AA173" i="124"/>
  <c r="AA138" i="124"/>
  <c r="AA159" i="124"/>
  <c r="AA153" i="124"/>
  <c r="AA273" i="124"/>
  <c r="AA93" i="124"/>
  <c r="AA194" i="124"/>
  <c r="AA128" i="124"/>
  <c r="AA9" i="124"/>
  <c r="AA251" i="124"/>
  <c r="AA212" i="124"/>
  <c r="AA148" i="124"/>
  <c r="AA171" i="124"/>
  <c r="AA166" i="124"/>
  <c r="AA155" i="124"/>
  <c r="AA154" i="124"/>
  <c r="AA156" i="124"/>
  <c r="AA151" i="124"/>
  <c r="AA229" i="124"/>
  <c r="AA105" i="124"/>
  <c r="AA164" i="124"/>
  <c r="AA160" i="124"/>
  <c r="AA147" i="124"/>
  <c r="AA94" i="124"/>
  <c r="AA104" i="124"/>
  <c r="AA231" i="124"/>
  <c r="AA115" i="124"/>
  <c r="AA141" i="124"/>
  <c r="AA131" i="124"/>
  <c r="AA196" i="124"/>
  <c r="AA232" i="124"/>
  <c r="AA47" i="124"/>
  <c r="AA285" i="124"/>
  <c r="AA143" i="124"/>
  <c r="AA117" i="124"/>
  <c r="AA118" i="124"/>
  <c r="AA238" i="124"/>
  <c r="AA126" i="124"/>
  <c r="AA132" i="124"/>
  <c r="AA145" i="124"/>
  <c r="AA161" i="124"/>
  <c r="AA214" i="124"/>
  <c r="AA195" i="124"/>
  <c r="AA129" i="124"/>
  <c r="AA235" i="124"/>
  <c r="AA198" i="124"/>
  <c r="AA158" i="124"/>
  <c r="AA202" i="124"/>
  <c r="AA95" i="124"/>
  <c r="AA135" i="124"/>
  <c r="AA113" i="124"/>
  <c r="AA162" i="124"/>
  <c r="AA150" i="124"/>
  <c r="AA136" i="124"/>
  <c r="AA106" i="124"/>
  <c r="AA140" i="124"/>
  <c r="AA186" i="124"/>
  <c r="AA130" i="124"/>
  <c r="AA144" i="124"/>
  <c r="AA97" i="124"/>
  <c r="AA45" i="124"/>
  <c r="AA75" i="124"/>
  <c r="AA236" i="124"/>
  <c r="AA19" i="124"/>
  <c r="AA255" i="124"/>
  <c r="AA271" i="124"/>
  <c r="AA179" i="124"/>
  <c r="AA187" i="124"/>
  <c r="AA215" i="124"/>
  <c r="AA280" i="124"/>
  <c r="AA279" i="124"/>
  <c r="AA193" i="124"/>
  <c r="AA225" i="124"/>
  <c r="AA21" i="124"/>
  <c r="AA63" i="124"/>
  <c r="AA41" i="124"/>
  <c r="AC68" i="124"/>
  <c r="AD68" i="124" s="1"/>
  <c r="AE68" i="124" s="1"/>
  <c r="AC51" i="124"/>
  <c r="AD51" i="124" s="1"/>
  <c r="AE51" i="124" s="1"/>
  <c r="AC67" i="124"/>
  <c r="AD67" i="124" s="1"/>
  <c r="AE67" i="124" s="1"/>
  <c r="AC20" i="124"/>
  <c r="AD20" i="124" s="1"/>
  <c r="AE20" i="124" s="1"/>
  <c r="AC223" i="124"/>
  <c r="AD223" i="124" s="1"/>
  <c r="AE223" i="124" s="1"/>
  <c r="AC59" i="124"/>
  <c r="AD59" i="124" s="1"/>
  <c r="AE59" i="124" s="1"/>
  <c r="AA119" i="124"/>
  <c r="AA146" i="124"/>
  <c r="AA124" i="124"/>
  <c r="AA43" i="124"/>
  <c r="AA189" i="124"/>
  <c r="AA226" i="124"/>
  <c r="AA284" i="124"/>
  <c r="AA53" i="124"/>
  <c r="AA262" i="124"/>
  <c r="AA44" i="124"/>
  <c r="AA96" i="124"/>
  <c r="AA230" i="124"/>
  <c r="AA218" i="124"/>
  <c r="AA91" i="124"/>
  <c r="AA22" i="124"/>
  <c r="AA127" i="124"/>
  <c r="AA163" i="124"/>
  <c r="AA111" i="124"/>
  <c r="AA88" i="124"/>
  <c r="AA102" i="124"/>
  <c r="AA169" i="124"/>
  <c r="AA167" i="124"/>
  <c r="AA165" i="124"/>
  <c r="AA92" i="124"/>
  <c r="AA207" i="124"/>
  <c r="AA109" i="124"/>
  <c r="AA190" i="124"/>
  <c r="AA168" i="124"/>
  <c r="AA108" i="124"/>
  <c r="AA287" i="124"/>
  <c r="AA170" i="124"/>
  <c r="AA139" i="124"/>
  <c r="AA89" i="124"/>
  <c r="AA98" i="124"/>
  <c r="AA85" i="124"/>
  <c r="AA259" i="124"/>
  <c r="AA48" i="124"/>
  <c r="AB36" i="108"/>
  <c r="AB42" i="108"/>
  <c r="AI42" i="131" s="1"/>
  <c r="J29" i="113"/>
  <c r="AC62" i="124"/>
  <c r="AD62" i="124" s="1"/>
  <c r="AE62" i="124" s="1"/>
  <c r="AC79" i="124"/>
  <c r="AD79" i="124" s="1"/>
  <c r="AE79" i="124" s="1"/>
  <c r="AC73" i="124"/>
  <c r="AD73" i="124" s="1"/>
  <c r="AE73" i="124" s="1"/>
  <c r="AC29" i="124"/>
  <c r="AD29" i="124" s="1"/>
  <c r="AE29" i="124" s="1"/>
  <c r="AC48" i="124"/>
  <c r="AC3" i="124"/>
  <c r="AD3" i="124" s="1"/>
  <c r="AC259" i="124"/>
  <c r="J32" i="113"/>
  <c r="AC19" i="124"/>
  <c r="AC85" i="124"/>
  <c r="AC44" i="124"/>
  <c r="AC41" i="124"/>
  <c r="AC261" i="124"/>
  <c r="AD261" i="124" s="1"/>
  <c r="AC180" i="124"/>
  <c r="AC74" i="124"/>
  <c r="AD74" i="124" s="1"/>
  <c r="AE74" i="124" s="1"/>
  <c r="AC191" i="124"/>
  <c r="AD191" i="124" s="1"/>
  <c r="AE191" i="124" s="1"/>
  <c r="AC220" i="124"/>
  <c r="AD220" i="124" s="1"/>
  <c r="AE220" i="124" s="1"/>
  <c r="AC188" i="124"/>
  <c r="AD188" i="124" s="1"/>
  <c r="AE188" i="124" s="1"/>
  <c r="AC90" i="124"/>
  <c r="AD90" i="124" s="1"/>
  <c r="AC245" i="124"/>
  <c r="AD245" i="124" s="1"/>
  <c r="AE245" i="124" s="1"/>
  <c r="AC83" i="124"/>
  <c r="AD83" i="124" s="1"/>
  <c r="AC113" i="124"/>
  <c r="AC181" i="124"/>
  <c r="AC70" i="124"/>
  <c r="AD70" i="124" s="1"/>
  <c r="AE70" i="124" s="1"/>
  <c r="AC104" i="124"/>
  <c r="AC14" i="124"/>
  <c r="AD14" i="124" s="1"/>
  <c r="AC31" i="124"/>
  <c r="AC55" i="124"/>
  <c r="AD55" i="124" s="1"/>
  <c r="AC116" i="124"/>
  <c r="AD116" i="124" s="1"/>
  <c r="AC39" i="124"/>
  <c r="AD39" i="124" s="1"/>
  <c r="AE39" i="124" s="1"/>
  <c r="AC122" i="124"/>
  <c r="AC43" i="124"/>
  <c r="AC183" i="124"/>
  <c r="AD183" i="124" s="1"/>
  <c r="AC49" i="124"/>
  <c r="AD49" i="124" s="1"/>
  <c r="AC190" i="124"/>
  <c r="AC135" i="124"/>
  <c r="AC193" i="124"/>
  <c r="AC101" i="124"/>
  <c r="AD101" i="124" s="1"/>
  <c r="AC91" i="124"/>
  <c r="AC201" i="124"/>
  <c r="AC24" i="124"/>
  <c r="AD24" i="124" s="1"/>
  <c r="AC212" i="124"/>
  <c r="AC182" i="124"/>
  <c r="AD182" i="124" s="1"/>
  <c r="AC98" i="124"/>
  <c r="AC131" i="124"/>
  <c r="AC65" i="124"/>
  <c r="AD65" i="124" s="1"/>
  <c r="AC47" i="124"/>
  <c r="AC23" i="124"/>
  <c r="AD23" i="124" s="1"/>
  <c r="AC100" i="124"/>
  <c r="AD100" i="124" s="1"/>
  <c r="AC97" i="124"/>
  <c r="AC96" i="124"/>
  <c r="AC152" i="124"/>
  <c r="AC189" i="124"/>
  <c r="AC197" i="124"/>
  <c r="AD197" i="124" s="1"/>
  <c r="AC269" i="124"/>
  <c r="AC37" i="124"/>
  <c r="AD37" i="124" s="1"/>
  <c r="AC92" i="124"/>
  <c r="AC252" i="124"/>
  <c r="AD252" i="124" s="1"/>
  <c r="AE252" i="124" s="1"/>
  <c r="AC209" i="124"/>
  <c r="AD209" i="124" s="1"/>
  <c r="AC273" i="124"/>
  <c r="AC263" i="124"/>
  <c r="AD263" i="124" s="1"/>
  <c r="AE263" i="124" s="1"/>
  <c r="AC271" i="124"/>
  <c r="AC69" i="124"/>
  <c r="AD69" i="124" s="1"/>
  <c r="AE69" i="124" s="1"/>
  <c r="AC256" i="124"/>
  <c r="AD256" i="124" s="1"/>
  <c r="AE256" i="124" s="1"/>
  <c r="AC243" i="124"/>
  <c r="AC226" i="124"/>
  <c r="AC53" i="124"/>
  <c r="AC21" i="124"/>
  <c r="AC232" i="124"/>
  <c r="AC247" i="124"/>
  <c r="AD247" i="124" s="1"/>
  <c r="AE247" i="124" s="1"/>
  <c r="AC237" i="124"/>
  <c r="AD237" i="124" s="1"/>
  <c r="AC214" i="124"/>
  <c r="AC221" i="124"/>
  <c r="AD221" i="124" s="1"/>
  <c r="AC224" i="124"/>
  <c r="AD224" i="124" s="1"/>
  <c r="AE224" i="124" s="1"/>
  <c r="AC36" i="124"/>
  <c r="AD36" i="124" s="1"/>
  <c r="AE36" i="124" s="1"/>
  <c r="AC207" i="124"/>
  <c r="AC228" i="124"/>
  <c r="AD228" i="124" s="1"/>
  <c r="AC78" i="124"/>
  <c r="AD78" i="124" s="1"/>
  <c r="AC255" i="124"/>
  <c r="AC82" i="124"/>
  <c r="AD82" i="124" s="1"/>
  <c r="AC45" i="124"/>
  <c r="AC248" i="124"/>
  <c r="AD248" i="124" s="1"/>
  <c r="AE248" i="124" s="1"/>
  <c r="AC88" i="124"/>
  <c r="AC277" i="124"/>
  <c r="AD277" i="124" s="1"/>
  <c r="AC184" i="124"/>
  <c r="AD184" i="124" s="1"/>
  <c r="AC244" i="124"/>
  <c r="AD244" i="124" s="1"/>
  <c r="AE244" i="124" s="1"/>
  <c r="AC178" i="124"/>
  <c r="AD178" i="124" s="1"/>
  <c r="AE178" i="124" s="1"/>
  <c r="AC84" i="124"/>
  <c r="AD84" i="124" s="1"/>
  <c r="AC114" i="124"/>
  <c r="AC63" i="124"/>
  <c r="AC64" i="124"/>
  <c r="AD64" i="124" s="1"/>
  <c r="AE64" i="124" s="1"/>
  <c r="AC240" i="124"/>
  <c r="AD240" i="124" s="1"/>
  <c r="AC236" i="124"/>
  <c r="AC231" i="124"/>
  <c r="AC72" i="124"/>
  <c r="AD72" i="124" s="1"/>
  <c r="AE72" i="124" s="1"/>
  <c r="AC94" i="124"/>
  <c r="AC77" i="124"/>
  <c r="AD77" i="124" s="1"/>
  <c r="AC80" i="124"/>
  <c r="AD80" i="124" s="1"/>
  <c r="AE80" i="124" s="1"/>
  <c r="AC86" i="124"/>
  <c r="AD86" i="124" s="1"/>
  <c r="AE86" i="124" s="1"/>
  <c r="AC210" i="124"/>
  <c r="AD210" i="124" s="1"/>
  <c r="AC33" i="124"/>
  <c r="AC225" i="124"/>
  <c r="AC81" i="124"/>
  <c r="AD81" i="124" s="1"/>
  <c r="AC147" i="124"/>
  <c r="AC257" i="124"/>
  <c r="AD257" i="124" s="1"/>
  <c r="AC128" i="124"/>
  <c r="AC264" i="124"/>
  <c r="AC227" i="124"/>
  <c r="AD227" i="124" s="1"/>
  <c r="AC213" i="124"/>
  <c r="AC249" i="124"/>
  <c r="AD249" i="124" s="1"/>
  <c r="AE249" i="124" s="1"/>
  <c r="AC66" i="124"/>
  <c r="AD66" i="124" s="1"/>
  <c r="AE66" i="124" s="1"/>
  <c r="AC87" i="124"/>
  <c r="AD87" i="124" s="1"/>
  <c r="AC266" i="124"/>
  <c r="AD266" i="124" s="1"/>
  <c r="AC8" i="124"/>
  <c r="AD8" i="124" s="1"/>
  <c r="AC140" i="124"/>
  <c r="AC153" i="124"/>
  <c r="AC141" i="124"/>
  <c r="AC154" i="124"/>
  <c r="AC145" i="124"/>
  <c r="AC134" i="124"/>
  <c r="AC169" i="124"/>
  <c r="AC162" i="124"/>
  <c r="AC7" i="124"/>
  <c r="AD7" i="124" s="1"/>
  <c r="AC93" i="124"/>
  <c r="AC158" i="124"/>
  <c r="AC278" i="124"/>
  <c r="AC288" i="124"/>
  <c r="AC57" i="124"/>
  <c r="AD57" i="124" s="1"/>
  <c r="AC254" i="124"/>
  <c r="AD254" i="124" s="1"/>
  <c r="AC290" i="124"/>
  <c r="AD290" i="124" s="1"/>
  <c r="AC35" i="124"/>
  <c r="AD35" i="124" s="1"/>
  <c r="AC222" i="124"/>
  <c r="AD222" i="124" s="1"/>
  <c r="AE222" i="124" s="1"/>
  <c r="AC9" i="124"/>
  <c r="AC272" i="124"/>
  <c r="AC284" i="124"/>
  <c r="AC129" i="124"/>
  <c r="AC165" i="124"/>
  <c r="AC186" i="124"/>
  <c r="AC172" i="124"/>
  <c r="AD172" i="124" s="1"/>
  <c r="AC127" i="124"/>
  <c r="AC75" i="124"/>
  <c r="AC168" i="124"/>
  <c r="AC143" i="124"/>
  <c r="AC173" i="124"/>
  <c r="AC286" i="124"/>
  <c r="AC117" i="124"/>
  <c r="AC130" i="124"/>
  <c r="AC205" i="124"/>
  <c r="AD205" i="124" s="1"/>
  <c r="AC233" i="124"/>
  <c r="AD233" i="124" s="1"/>
  <c r="AC267" i="124"/>
  <c r="AD267" i="124" s="1"/>
  <c r="AC34" i="124"/>
  <c r="AD34" i="124" s="1"/>
  <c r="AC218" i="124"/>
  <c r="AC239" i="124"/>
  <c r="AC58" i="124"/>
  <c r="AD58" i="124" s="1"/>
  <c r="AE58" i="124" s="1"/>
  <c r="AC219" i="124"/>
  <c r="AD219" i="124" s="1"/>
  <c r="AE219" i="124" s="1"/>
  <c r="AC285" i="124"/>
  <c r="AC198" i="124"/>
  <c r="AC126" i="124"/>
  <c r="AC138" i="124"/>
  <c r="AC164" i="124"/>
  <c r="AC159" i="124"/>
  <c r="AC151" i="124"/>
  <c r="AC89" i="124"/>
  <c r="AC144" i="124"/>
  <c r="AC150" i="124"/>
  <c r="AC11" i="124"/>
  <c r="AD11" i="124" s="1"/>
  <c r="AC123" i="124"/>
  <c r="AC125" i="124"/>
  <c r="AC139" i="124"/>
  <c r="AC107" i="124"/>
  <c r="AD107" i="124" s="1"/>
  <c r="AC95" i="124"/>
  <c r="AC202" i="124"/>
  <c r="AC274" i="124"/>
  <c r="AD274" i="124" s="1"/>
  <c r="AC109" i="124"/>
  <c r="AC142" i="124"/>
  <c r="AD142" i="124" s="1"/>
  <c r="AC103" i="124"/>
  <c r="AD103" i="124" s="1"/>
  <c r="AC106" i="124"/>
  <c r="AC241" i="124"/>
  <c r="AD241" i="124" s="1"/>
  <c r="AC195" i="124"/>
  <c r="AC265" i="124"/>
  <c r="AD265" i="124" s="1"/>
  <c r="AC22" i="124"/>
  <c r="AC282" i="124"/>
  <c r="AD282" i="124" s="1"/>
  <c r="AC251" i="124"/>
  <c r="AC270" i="124"/>
  <c r="AD270" i="124" s="1"/>
  <c r="AC204" i="124"/>
  <c r="AC276" i="124"/>
  <c r="AC229" i="124"/>
  <c r="AC199" i="124"/>
  <c r="AC60" i="124"/>
  <c r="AD60" i="124" s="1"/>
  <c r="AC177" i="124"/>
  <c r="AD177" i="124" s="1"/>
  <c r="AE177" i="124" s="1"/>
  <c r="AC111" i="124"/>
  <c r="AC124" i="124"/>
  <c r="AC187" i="124"/>
  <c r="AC148" i="124"/>
  <c r="AC163" i="124"/>
  <c r="AC171" i="124"/>
  <c r="AC10" i="124"/>
  <c r="AD10" i="124" s="1"/>
  <c r="AC99" i="124"/>
  <c r="AD99" i="124" s="1"/>
  <c r="AC275" i="124"/>
  <c r="AD275" i="124" s="1"/>
  <c r="AC133" i="124"/>
  <c r="AC110" i="124"/>
  <c r="AD110" i="124" s="1"/>
  <c r="AC167" i="124"/>
  <c r="AC136" i="124"/>
  <c r="AC13" i="124"/>
  <c r="AD13" i="124" s="1"/>
  <c r="AE13" i="124" s="1"/>
  <c r="AC175" i="124"/>
  <c r="AD175" i="124" s="1"/>
  <c r="AC283" i="124"/>
  <c r="AD283" i="124" s="1"/>
  <c r="AC230" i="124"/>
  <c r="AC56" i="124"/>
  <c r="AD56" i="124" s="1"/>
  <c r="AC61" i="124"/>
  <c r="AD61" i="124" s="1"/>
  <c r="AC217" i="124"/>
  <c r="AD217" i="124" s="1"/>
  <c r="AC250" i="124"/>
  <c r="AC246" i="124"/>
  <c r="AD246" i="124" s="1"/>
  <c r="AE246" i="124" s="1"/>
  <c r="AC4" i="124"/>
  <c r="AD4" i="124" s="1"/>
  <c r="AC215" i="124"/>
  <c r="AC216" i="124"/>
  <c r="AD216" i="124" s="1"/>
  <c r="AC185" i="124"/>
  <c r="AD185" i="124" s="1"/>
  <c r="AC25" i="124"/>
  <c r="AD25" i="124" s="1"/>
  <c r="AE25" i="124" s="1"/>
  <c r="AC196" i="124"/>
  <c r="AC42" i="124"/>
  <c r="AD42" i="124" s="1"/>
  <c r="AE42" i="124" s="1"/>
  <c r="AC235" i="124"/>
  <c r="AC120" i="124"/>
  <c r="AC102" i="124"/>
  <c r="AC119" i="124"/>
  <c r="AC115" i="124"/>
  <c r="AC132" i="124"/>
  <c r="AC170" i="124"/>
  <c r="AC155" i="124"/>
  <c r="AC194" i="124"/>
  <c r="AC287" i="124"/>
  <c r="AC5" i="124"/>
  <c r="AD5" i="124" s="1"/>
  <c r="AC280" i="124"/>
  <c r="AC262" i="124"/>
  <c r="AC253" i="124"/>
  <c r="AD253" i="124" s="1"/>
  <c r="AC289" i="124"/>
  <c r="AD289" i="124" s="1"/>
  <c r="AC279" i="124"/>
  <c r="AC206" i="124"/>
  <c r="AD206" i="124" s="1"/>
  <c r="AC137" i="124"/>
  <c r="AD137" i="124" s="1"/>
  <c r="AC281" i="124"/>
  <c r="AD281" i="124" s="1"/>
  <c r="AC161" i="124"/>
  <c r="AC121" i="124"/>
  <c r="AD121" i="124" s="1"/>
  <c r="AC174" i="124"/>
  <c r="AD174" i="124" s="1"/>
  <c r="AC105" i="124"/>
  <c r="AC46" i="124"/>
  <c r="AD46" i="124" s="1"/>
  <c r="AC146" i="124"/>
  <c r="AC179" i="124"/>
  <c r="AC157" i="124"/>
  <c r="AC149" i="124"/>
  <c r="AC208" i="124"/>
  <c r="AD208" i="124" s="1"/>
  <c r="AE208" i="124" s="1"/>
  <c r="AC118" i="124"/>
  <c r="AC166" i="124"/>
  <c r="AC112" i="124"/>
  <c r="AC6" i="124"/>
  <c r="AD6" i="124" s="1"/>
  <c r="AC203" i="124"/>
  <c r="AD203" i="124" s="1"/>
  <c r="AC12" i="124"/>
  <c r="AD12" i="124" s="1"/>
  <c r="AE12" i="124" s="1"/>
  <c r="AC50" i="124"/>
  <c r="AD50" i="124" s="1"/>
  <c r="AC258" i="124"/>
  <c r="AD258" i="124" s="1"/>
  <c r="AC200" i="124"/>
  <c r="AD200" i="124" s="1"/>
  <c r="AC238" i="124"/>
  <c r="AC192" i="124"/>
  <c r="AD192" i="124" s="1"/>
  <c r="AC242" i="124"/>
  <c r="AD242" i="124" s="1"/>
  <c r="AE242" i="124" s="1"/>
  <c r="AC234" i="124"/>
  <c r="AD234" i="124" s="1"/>
  <c r="AC32" i="124"/>
  <c r="AD32" i="124" s="1"/>
  <c r="AE32" i="124" s="1"/>
  <c r="AC176" i="124"/>
  <c r="AD176" i="124" s="1"/>
  <c r="AC108" i="124"/>
  <c r="AC211" i="124"/>
  <c r="AC160" i="124"/>
  <c r="AC76" i="124"/>
  <c r="AD76" i="124" s="1"/>
  <c r="AC156" i="124"/>
  <c r="AC54" i="124"/>
  <c r="AD54" i="124" s="1"/>
  <c r="AC425" i="124"/>
  <c r="AD425" i="124" s="1"/>
  <c r="AE425" i="124" s="1"/>
  <c r="AC476" i="124"/>
  <c r="AD476" i="124" s="1"/>
  <c r="AC510" i="124"/>
  <c r="AD510" i="124" s="1"/>
  <c r="AC412" i="124"/>
  <c r="AD412" i="124" s="1"/>
  <c r="AE412" i="124" s="1"/>
  <c r="AC418" i="124"/>
  <c r="AD418" i="124" s="1"/>
  <c r="AE418" i="124" s="1"/>
  <c r="AC379" i="124"/>
  <c r="AD379" i="124" s="1"/>
  <c r="AE379" i="124" s="1"/>
  <c r="AC416" i="124"/>
  <c r="AD416" i="124" s="1"/>
  <c r="AE416" i="124" s="1"/>
  <c r="AC369" i="124"/>
  <c r="AD369" i="124" s="1"/>
  <c r="AE369" i="124" s="1"/>
  <c r="AC413" i="124"/>
  <c r="AD413" i="124" s="1"/>
  <c r="AE413" i="124" s="1"/>
  <c r="AC385" i="124"/>
  <c r="AD385" i="124" s="1"/>
  <c r="AE385" i="124" s="1"/>
  <c r="AC356" i="124"/>
  <c r="AD356" i="124" s="1"/>
  <c r="AE356" i="124" s="1"/>
  <c r="AC381" i="124"/>
  <c r="AD381" i="124" s="1"/>
  <c r="AE381" i="124" s="1"/>
  <c r="AC359" i="124"/>
  <c r="AD359" i="124" s="1"/>
  <c r="AE359" i="124" s="1"/>
  <c r="AC388" i="124"/>
  <c r="AD388" i="124" s="1"/>
  <c r="AE388" i="124" s="1"/>
  <c r="AC384" i="124"/>
  <c r="AD384" i="124" s="1"/>
  <c r="AE384" i="124" s="1"/>
  <c r="AC367" i="124"/>
  <c r="AD367" i="124" s="1"/>
  <c r="AE367" i="124" s="1"/>
  <c r="AC364" i="124"/>
  <c r="AD364" i="124" s="1"/>
  <c r="AE364" i="124" s="1"/>
  <c r="AC424" i="124"/>
  <c r="AD424" i="124" s="1"/>
  <c r="AE424" i="124" s="1"/>
  <c r="AC361" i="124"/>
  <c r="AD361" i="124" s="1"/>
  <c r="AE361" i="124" s="1"/>
  <c r="AC387" i="124"/>
  <c r="AD387" i="124" s="1"/>
  <c r="AE387" i="124" s="1"/>
  <c r="AC354" i="124"/>
  <c r="AD354" i="124" s="1"/>
  <c r="AE354" i="124" s="1"/>
  <c r="AC382" i="124"/>
  <c r="AD382" i="124" s="1"/>
  <c r="AE382" i="124" s="1"/>
  <c r="AC386" i="124"/>
  <c r="AD386" i="124" s="1"/>
  <c r="AE386" i="124" s="1"/>
  <c r="AC420" i="124"/>
  <c r="AD420" i="124" s="1"/>
  <c r="AE420" i="124" s="1"/>
  <c r="AC352" i="124"/>
  <c r="AD352" i="124" s="1"/>
  <c r="AE352" i="124" s="1"/>
  <c r="AC358" i="124"/>
  <c r="AD358" i="124" s="1"/>
  <c r="AE358" i="124" s="1"/>
  <c r="AC376" i="124"/>
  <c r="AD376" i="124" s="1"/>
  <c r="AE376" i="124" s="1"/>
  <c r="AC374" i="124"/>
  <c r="AD374" i="124" s="1"/>
  <c r="AC383" i="124"/>
  <c r="AD383" i="124" s="1"/>
  <c r="AE383" i="124" s="1"/>
  <c r="AC421" i="124"/>
  <c r="AD421" i="124" s="1"/>
  <c r="AE421" i="124" s="1"/>
  <c r="AC360" i="124"/>
  <c r="AD360" i="124" s="1"/>
  <c r="AE360" i="124" s="1"/>
  <c r="AC373" i="124"/>
  <c r="AD373" i="124" s="1"/>
  <c r="AC419" i="124"/>
  <c r="AD419" i="124" s="1"/>
  <c r="AE419" i="124" s="1"/>
  <c r="AC562" i="124"/>
  <c r="AD562" i="124" s="1"/>
  <c r="AC414" i="124"/>
  <c r="AD414" i="124" s="1"/>
  <c r="AE414" i="124" s="1"/>
  <c r="AC362" i="124"/>
  <c r="AD362" i="124" s="1"/>
  <c r="AE362" i="124" s="1"/>
  <c r="AC391" i="124"/>
  <c r="AD391" i="124" s="1"/>
  <c r="AE391" i="124" s="1"/>
  <c r="AC417" i="124"/>
  <c r="AD417" i="124" s="1"/>
  <c r="AE417" i="124" s="1"/>
  <c r="AC390" i="124"/>
  <c r="AD390" i="124" s="1"/>
  <c r="AE390" i="124" s="1"/>
  <c r="AC371" i="124"/>
  <c r="AD371" i="124" s="1"/>
  <c r="AE371" i="124" s="1"/>
  <c r="AC366" i="124"/>
  <c r="AD366" i="124" s="1"/>
  <c r="AE366" i="124" s="1"/>
  <c r="AC377" i="124"/>
  <c r="AD377" i="124" s="1"/>
  <c r="AE377" i="124" s="1"/>
  <c r="AC426" i="124"/>
  <c r="AD426" i="124" s="1"/>
  <c r="AE426" i="124" s="1"/>
  <c r="AC389" i="124"/>
  <c r="AD389" i="124" s="1"/>
  <c r="AE389" i="124" s="1"/>
  <c r="AC368" i="124"/>
  <c r="AD368" i="124" s="1"/>
  <c r="AC375" i="124"/>
  <c r="AD375" i="124" s="1"/>
  <c r="AE375" i="124" s="1"/>
  <c r="AC380" i="124"/>
  <c r="AD380" i="124" s="1"/>
  <c r="AE380" i="124" s="1"/>
  <c r="AC365" i="124"/>
  <c r="AD365" i="124" s="1"/>
  <c r="AC378" i="124"/>
  <c r="AD378" i="124" s="1"/>
  <c r="AE378" i="124" s="1"/>
  <c r="AC370" i="124"/>
  <c r="AD370" i="124" s="1"/>
  <c r="AE370" i="124" s="1"/>
  <c r="AC415" i="124"/>
  <c r="AD415" i="124" s="1"/>
  <c r="AE415" i="124" s="1"/>
  <c r="AC372" i="124"/>
  <c r="AD372" i="124" s="1"/>
  <c r="AE372" i="124" s="1"/>
  <c r="AC363" i="124"/>
  <c r="AD363" i="124" s="1"/>
  <c r="AE363" i="124" s="1"/>
  <c r="AC357" i="124"/>
  <c r="AD357" i="124" s="1"/>
  <c r="AE357" i="124" s="1"/>
  <c r="AC353" i="124"/>
  <c r="AD353" i="124" s="1"/>
  <c r="AC351" i="124"/>
  <c r="AD351" i="124" s="1"/>
  <c r="AE351" i="124" s="1"/>
  <c r="AC574" i="124"/>
  <c r="AD574" i="124" s="1"/>
  <c r="AD404" i="124"/>
  <c r="AE404" i="124" s="1"/>
  <c r="AD407" i="124"/>
  <c r="AE407" i="124" s="1"/>
  <c r="AC505" i="124"/>
  <c r="AC572" i="124"/>
  <c r="AC486" i="124"/>
  <c r="AC499" i="124"/>
  <c r="AC528" i="124"/>
  <c r="AC569" i="124"/>
  <c r="AC550" i="124"/>
  <c r="AC433" i="124"/>
  <c r="AC509" i="124"/>
  <c r="AC552" i="124"/>
  <c r="AC470" i="124"/>
  <c r="AC588" i="124"/>
  <c r="AC458" i="124"/>
  <c r="AC410" i="124"/>
  <c r="AC452" i="124"/>
  <c r="AC493" i="124"/>
  <c r="AC571" i="124"/>
  <c r="AC549" i="124"/>
  <c r="AC447" i="124"/>
  <c r="AC490" i="124"/>
  <c r="AC518" i="124"/>
  <c r="AC441" i="124"/>
  <c r="AC478" i="124"/>
  <c r="AC525" i="124"/>
  <c r="AC561" i="124"/>
  <c r="AC529" i="124"/>
  <c r="AC577" i="124"/>
  <c r="AC456" i="124"/>
  <c r="AC451" i="124"/>
  <c r="AC439" i="124"/>
  <c r="AC570" i="124"/>
  <c r="AC473" i="124"/>
  <c r="AC583" i="124"/>
  <c r="AC557" i="124"/>
  <c r="AC502" i="124"/>
  <c r="AC492" i="124"/>
  <c r="AC548" i="124"/>
  <c r="AC511" i="124"/>
  <c r="AC465" i="124"/>
  <c r="AC495" i="124"/>
  <c r="AC501" i="124"/>
  <c r="AC513" i="124"/>
  <c r="AC469" i="124"/>
  <c r="AC440" i="124"/>
  <c r="AC587" i="124"/>
  <c r="AC454" i="124"/>
  <c r="AC444" i="124"/>
  <c r="AC585" i="124"/>
  <c r="AC438" i="124"/>
  <c r="AC450" i="124"/>
  <c r="AC468" i="124"/>
  <c r="AC457" i="124"/>
  <c r="AC531" i="124"/>
  <c r="AC567" i="124"/>
  <c r="AC411" i="124"/>
  <c r="AC479" i="124"/>
  <c r="AC515" i="124"/>
  <c r="AC445" i="124"/>
  <c r="AC462" i="124"/>
  <c r="AC554" i="124"/>
  <c r="AC460" i="124"/>
  <c r="AC485" i="124"/>
  <c r="AC575" i="124"/>
  <c r="AC578" i="124"/>
  <c r="AC461" i="124"/>
  <c r="AC500" i="124"/>
  <c r="AC538" i="124"/>
  <c r="AC496" i="124"/>
  <c r="AC464" i="124"/>
  <c r="AC566" i="124"/>
  <c r="AC483" i="124"/>
  <c r="AC497" i="124"/>
  <c r="AC484" i="124"/>
  <c r="AC453" i="124"/>
  <c r="AC576" i="124"/>
  <c r="AC533" i="124"/>
  <c r="AC545" i="124"/>
  <c r="AC516" i="124"/>
  <c r="AC481" i="124"/>
  <c r="AC539" i="124"/>
  <c r="AC494" i="124"/>
  <c r="AC482" i="124"/>
  <c r="AC443" i="124"/>
  <c r="AC560" i="124"/>
  <c r="AC558" i="124"/>
  <c r="AC553" i="124"/>
  <c r="AC522" i="124"/>
  <c r="AC471" i="124"/>
  <c r="AC350" i="124"/>
  <c r="AC542" i="124"/>
  <c r="AC565" i="124"/>
  <c r="AC498" i="124"/>
  <c r="AC536" i="124"/>
  <c r="AC436" i="124"/>
  <c r="AC519" i="124"/>
  <c r="AC579" i="124"/>
  <c r="AC521" i="124"/>
  <c r="AC474" i="124"/>
  <c r="AC556" i="124"/>
  <c r="AC544" i="124"/>
  <c r="AC504" i="124"/>
  <c r="AC472" i="124"/>
  <c r="AC524" i="124"/>
  <c r="AC568" i="124"/>
  <c r="AC512" i="124"/>
  <c r="AC507" i="124"/>
  <c r="AC503" i="124"/>
  <c r="AC434" i="124"/>
  <c r="AC487" i="124"/>
  <c r="AC535" i="124"/>
  <c r="AC467" i="124"/>
  <c r="AC581" i="124"/>
  <c r="AC437" i="124"/>
  <c r="AC349" i="124"/>
  <c r="AC523" i="124"/>
  <c r="AC466" i="124"/>
  <c r="AC543" i="124"/>
  <c r="AC532" i="124"/>
  <c r="AC586" i="124"/>
  <c r="AC477" i="124"/>
  <c r="AC563" i="124"/>
  <c r="AC530" i="124"/>
  <c r="AC555" i="124"/>
  <c r="AC455" i="124"/>
  <c r="AC435" i="124"/>
  <c r="AC355" i="124"/>
  <c r="AC564" i="124"/>
  <c r="AC573" i="124"/>
  <c r="AC442" i="124"/>
  <c r="AC546" i="124"/>
  <c r="AC541" i="124"/>
  <c r="AC534" i="124"/>
  <c r="AC514" i="124"/>
  <c r="AC475" i="124"/>
  <c r="AC488" i="124"/>
  <c r="AC480" i="124"/>
  <c r="AC520" i="124"/>
  <c r="AC489" i="124"/>
  <c r="AC508" i="124"/>
  <c r="AC540" i="124"/>
  <c r="AC537" i="124"/>
  <c r="AC446" i="124"/>
  <c r="AC547" i="124"/>
  <c r="AC463" i="124"/>
  <c r="AC582" i="124"/>
  <c r="AC580" i="124"/>
  <c r="AD580" i="124" s="1"/>
  <c r="AC459" i="124"/>
  <c r="AC551" i="124"/>
  <c r="AC584" i="124"/>
  <c r="AC526" i="124"/>
  <c r="AC448" i="124"/>
  <c r="AC517" i="124"/>
  <c r="AC491" i="124"/>
  <c r="AC559" i="124"/>
  <c r="AC527" i="124"/>
  <c r="AC449" i="124"/>
  <c r="AC506" i="124"/>
  <c r="AC432" i="124"/>
  <c r="S60" i="126"/>
  <c r="H52" i="90"/>
  <c r="I52" i="90"/>
  <c r="H51" i="90"/>
  <c r="P75" i="46"/>
  <c r="M51" i="90" s="1"/>
  <c r="O75" i="46"/>
  <c r="O76" i="46" s="1"/>
  <c r="Q77" i="46"/>
  <c r="O53" i="90" s="1"/>
  <c r="N77" i="46"/>
  <c r="R77" i="46"/>
  <c r="S78" i="46"/>
  <c r="C42" i="46"/>
  <c r="F23" i="82"/>
  <c r="AC11" i="94"/>
  <c r="AC10" i="94" s="1"/>
  <c r="AH31" i="92"/>
  <c r="AI31" i="92" s="1"/>
  <c r="CT31" i="92" s="1"/>
  <c r="AN31" i="92" s="1"/>
  <c r="I31" i="92"/>
  <c r="AD31" i="92"/>
  <c r="BO31" i="92"/>
  <c r="H31" i="98" s="1"/>
  <c r="N31" i="92"/>
  <c r="P31" i="92"/>
  <c r="T31" i="92" s="1"/>
  <c r="U31" i="92" s="1"/>
  <c r="AE31" i="92"/>
  <c r="Q31" i="92"/>
  <c r="DG31" i="92" s="1"/>
  <c r="M31" i="92"/>
  <c r="AP31" i="92" s="1"/>
  <c r="L31" i="92"/>
  <c r="K31" i="92"/>
  <c r="C23" i="82"/>
  <c r="P23" i="82" s="1"/>
  <c r="E24" i="82"/>
  <c r="G24" i="82"/>
  <c r="B25" i="82"/>
  <c r="I23" i="82"/>
  <c r="H23" i="82"/>
  <c r="I49" i="46"/>
  <c r="J49" i="46"/>
  <c r="A51" i="46"/>
  <c r="K50" i="46"/>
  <c r="B50" i="46"/>
  <c r="E50" i="46"/>
  <c r="G49" i="46"/>
  <c r="D49" i="46"/>
  <c r="AD33" i="124" l="1"/>
  <c r="AD114" i="124"/>
  <c r="AD112" i="124"/>
  <c r="AD204" i="124"/>
  <c r="AD264" i="124"/>
  <c r="AD211" i="124"/>
  <c r="AD276" i="124"/>
  <c r="AD123" i="124"/>
  <c r="AD134" i="124"/>
  <c r="AD272" i="124"/>
  <c r="AD122" i="124"/>
  <c r="AD152" i="124"/>
  <c r="AD250" i="124"/>
  <c r="AD213" i="124"/>
  <c r="AD269" i="124"/>
  <c r="AD243" i="124"/>
  <c r="AD239" i="124"/>
  <c r="AD180" i="124"/>
  <c r="AD288" i="124"/>
  <c r="AD149" i="124"/>
  <c r="AD286" i="124"/>
  <c r="AD199" i="124"/>
  <c r="AD120" i="124"/>
  <c r="U42" i="108"/>
  <c r="V42" i="108" s="1"/>
  <c r="BT42" i="108"/>
  <c r="CA42" i="108" s="1"/>
  <c r="AD278" i="124"/>
  <c r="AD159" i="124"/>
  <c r="BS42" i="108"/>
  <c r="DK42" i="108"/>
  <c r="BR25" i="108"/>
  <c r="AD125" i="124"/>
  <c r="AD238" i="124"/>
  <c r="AD157" i="124"/>
  <c r="CV25" i="108"/>
  <c r="AD194" i="124"/>
  <c r="AD138" i="124"/>
  <c r="AD128" i="124"/>
  <c r="AD31" i="124"/>
  <c r="AD151" i="124"/>
  <c r="AD173" i="124"/>
  <c r="AD271" i="124"/>
  <c r="AD97" i="124"/>
  <c r="AD9" i="124"/>
  <c r="AD181" i="124"/>
  <c r="AD251" i="124"/>
  <c r="AD273" i="124"/>
  <c r="AD212" i="124"/>
  <c r="AD202" i="124"/>
  <c r="AD118" i="124"/>
  <c r="AD196" i="124"/>
  <c r="AD148" i="124"/>
  <c r="AD94" i="124"/>
  <c r="AD156" i="124"/>
  <c r="AD93" i="124"/>
  <c r="AD201" i="124"/>
  <c r="AD133" i="124"/>
  <c r="AD153" i="124"/>
  <c r="AD132" i="124"/>
  <c r="AD136" i="124"/>
  <c r="AD214" i="124"/>
  <c r="AD193" i="124"/>
  <c r="AD280" i="124"/>
  <c r="AD130" i="124"/>
  <c r="AD141" i="124"/>
  <c r="AD187" i="124"/>
  <c r="AD140" i="124"/>
  <c r="AD113" i="124"/>
  <c r="AD115" i="124"/>
  <c r="AD171" i="124"/>
  <c r="AD235" i="124"/>
  <c r="AD215" i="124"/>
  <c r="AD164" i="124"/>
  <c r="AD63" i="124"/>
  <c r="AD236" i="124"/>
  <c r="AD285" i="124"/>
  <c r="AD186" i="124"/>
  <c r="AD155" i="124"/>
  <c r="AD154" i="124"/>
  <c r="AD160" i="124"/>
  <c r="AD162" i="124"/>
  <c r="AD198" i="124"/>
  <c r="AD19" i="124"/>
  <c r="AD143" i="124"/>
  <c r="AD145" i="124"/>
  <c r="AD41" i="124"/>
  <c r="AD166" i="124"/>
  <c r="AD129" i="124"/>
  <c r="AD135" i="124"/>
  <c r="AD75" i="124"/>
  <c r="AD47" i="124"/>
  <c r="AD105" i="124"/>
  <c r="AD126" i="124"/>
  <c r="AD231" i="124"/>
  <c r="AD21" i="124"/>
  <c r="AD150" i="124"/>
  <c r="AD144" i="124"/>
  <c r="AD117" i="124"/>
  <c r="AD279" i="124"/>
  <c r="AD131" i="124"/>
  <c r="AD147" i="124"/>
  <c r="AD161" i="124"/>
  <c r="AD158" i="124"/>
  <c r="AD255" i="124"/>
  <c r="AD229" i="124"/>
  <c r="AD45" i="124"/>
  <c r="AD232" i="124"/>
  <c r="AD179" i="124"/>
  <c r="AD195" i="124"/>
  <c r="AD104" i="124"/>
  <c r="AD225" i="124"/>
  <c r="AD106" i="124"/>
  <c r="AD95" i="124"/>
  <c r="AB34" i="108"/>
  <c r="AD53" i="124"/>
  <c r="AD43" i="124"/>
  <c r="AD284" i="124"/>
  <c r="AD146" i="124"/>
  <c r="AD124" i="124"/>
  <c r="AD262" i="124"/>
  <c r="AD119" i="124"/>
  <c r="AD189" i="124"/>
  <c r="AD226" i="124"/>
  <c r="AD108" i="124"/>
  <c r="AD96" i="124"/>
  <c r="AD44" i="124"/>
  <c r="AD127" i="124"/>
  <c r="AD102" i="124"/>
  <c r="AD168" i="124"/>
  <c r="AD218" i="124"/>
  <c r="AD230" i="124"/>
  <c r="AD165" i="124"/>
  <c r="AD89" i="124"/>
  <c r="AD163" i="124"/>
  <c r="AD169" i="124"/>
  <c r="AD22" i="124"/>
  <c r="AD111" i="124"/>
  <c r="AD109" i="124"/>
  <c r="AD91" i="124"/>
  <c r="AD88" i="124"/>
  <c r="O61" i="113"/>
  <c r="P61" i="113" s="1"/>
  <c r="AD98" i="124"/>
  <c r="AD287" i="124"/>
  <c r="AD167" i="124"/>
  <c r="AD139" i="124"/>
  <c r="AD190" i="124"/>
  <c r="AD85" i="124"/>
  <c r="AD92" i="124"/>
  <c r="AD207" i="124"/>
  <c r="O63" i="113"/>
  <c r="S63" i="113" s="1"/>
  <c r="O58" i="113"/>
  <c r="T58" i="113" s="1"/>
  <c r="O64" i="113"/>
  <c r="T64" i="113" s="1"/>
  <c r="O59" i="113"/>
  <c r="P59" i="113" s="1"/>
  <c r="O67" i="113"/>
  <c r="P67" i="113" s="1"/>
  <c r="O69" i="113"/>
  <c r="S69" i="113" s="1"/>
  <c r="O65" i="113"/>
  <c r="P65" i="113" s="1"/>
  <c r="O62" i="113"/>
  <c r="S62" i="113" s="1"/>
  <c r="O66" i="113"/>
  <c r="Q66" i="113" s="1"/>
  <c r="AD170" i="124"/>
  <c r="O68" i="113"/>
  <c r="P68" i="113" s="1"/>
  <c r="O60" i="113"/>
  <c r="Q60" i="113" s="1"/>
  <c r="AD48" i="124"/>
  <c r="AD259" i="124"/>
  <c r="AB38" i="108"/>
  <c r="AB32" i="108"/>
  <c r="AB25" i="108"/>
  <c r="AB20" i="108"/>
  <c r="AE277" i="124"/>
  <c r="AE83" i="124"/>
  <c r="AE261" i="124"/>
  <c r="AE275" i="124"/>
  <c r="AE266" i="124"/>
  <c r="AE84" i="124"/>
  <c r="AE55" i="124"/>
  <c r="AE270" i="124"/>
  <c r="AE82" i="124"/>
  <c r="AE14" i="124"/>
  <c r="AE267" i="124"/>
  <c r="AE183" i="124"/>
  <c r="AE11" i="124"/>
  <c r="AE78" i="124"/>
  <c r="AE10" i="124"/>
  <c r="AE76" i="124"/>
  <c r="AE5" i="124"/>
  <c r="AE7" i="124"/>
  <c r="AE34" i="124"/>
  <c r="AE3" i="124"/>
  <c r="AE185" i="124"/>
  <c r="AE8" i="124"/>
  <c r="AE4" i="124"/>
  <c r="AE56" i="124"/>
  <c r="AE258" i="124"/>
  <c r="AE176" i="124"/>
  <c r="AE6" i="124"/>
  <c r="AE54" i="124"/>
  <c r="AE99" i="124"/>
  <c r="AE60" i="124"/>
  <c r="AE174" i="124"/>
  <c r="AE57" i="124"/>
  <c r="O70" i="113"/>
  <c r="T70" i="113" s="1"/>
  <c r="O81" i="113"/>
  <c r="R81" i="113" s="1"/>
  <c r="O71" i="113"/>
  <c r="S71" i="113" s="1"/>
  <c r="O77" i="113"/>
  <c r="Q77" i="113" s="1"/>
  <c r="O72" i="113"/>
  <c r="Q72" i="113" s="1"/>
  <c r="O78" i="113"/>
  <c r="R78" i="113" s="1"/>
  <c r="O80" i="113"/>
  <c r="S80" i="113" s="1"/>
  <c r="O73" i="113"/>
  <c r="Q73" i="113" s="1"/>
  <c r="O79" i="113"/>
  <c r="T79" i="113" s="1"/>
  <c r="O74" i="113"/>
  <c r="R74" i="113" s="1"/>
  <c r="O75" i="113"/>
  <c r="P75" i="113" s="1"/>
  <c r="O76" i="113"/>
  <c r="S76" i="113" s="1"/>
  <c r="AD432" i="124"/>
  <c r="AD491" i="124"/>
  <c r="AD459" i="124"/>
  <c r="AD537" i="124"/>
  <c r="AD488" i="124"/>
  <c r="AD442" i="124"/>
  <c r="AD555" i="124"/>
  <c r="AD543" i="124"/>
  <c r="AD467" i="124"/>
  <c r="AD512" i="124"/>
  <c r="AD556" i="124"/>
  <c r="AE556" i="124" s="1"/>
  <c r="AD536" i="124"/>
  <c r="AD522" i="124"/>
  <c r="AD494" i="124"/>
  <c r="AD576" i="124"/>
  <c r="AE576" i="124" s="1"/>
  <c r="AD464" i="124"/>
  <c r="AD575" i="124"/>
  <c r="AD515" i="124"/>
  <c r="AD468" i="124"/>
  <c r="AD587" i="124"/>
  <c r="AD465" i="124"/>
  <c r="AD583" i="124"/>
  <c r="AD577" i="124"/>
  <c r="AD518" i="124"/>
  <c r="AD452" i="124"/>
  <c r="AD509" i="124"/>
  <c r="AD486" i="124"/>
  <c r="AD517" i="124"/>
  <c r="AD540" i="124"/>
  <c r="AD475" i="124"/>
  <c r="AD573" i="124"/>
  <c r="AE573" i="124" s="1"/>
  <c r="AD530" i="124"/>
  <c r="AD466" i="124"/>
  <c r="AD535" i="124"/>
  <c r="AD568" i="124"/>
  <c r="AD474" i="124"/>
  <c r="AD498" i="124"/>
  <c r="AD553" i="124"/>
  <c r="AD539" i="124"/>
  <c r="AD453" i="124"/>
  <c r="AD496" i="124"/>
  <c r="AD485" i="124"/>
  <c r="AD479" i="124"/>
  <c r="AD450" i="124"/>
  <c r="AD440" i="124"/>
  <c r="AD511" i="124"/>
  <c r="AD473" i="124"/>
  <c r="AD529" i="124"/>
  <c r="AD490" i="124"/>
  <c r="AD410" i="124"/>
  <c r="AD433" i="124"/>
  <c r="AE433" i="124" s="1"/>
  <c r="AD572" i="124"/>
  <c r="AE572" i="124" s="1"/>
  <c r="AD506" i="124"/>
  <c r="AD448" i="124"/>
  <c r="AD582" i="124"/>
  <c r="AD508" i="124"/>
  <c r="AD514" i="124"/>
  <c r="AD564" i="124"/>
  <c r="AE564" i="124" s="1"/>
  <c r="AD563" i="124"/>
  <c r="AD523" i="124"/>
  <c r="AD487" i="124"/>
  <c r="AD524" i="124"/>
  <c r="AD521" i="124"/>
  <c r="AD565" i="124"/>
  <c r="AD558" i="124"/>
  <c r="AD481" i="124"/>
  <c r="AD484" i="124"/>
  <c r="AD538" i="124"/>
  <c r="AD460" i="124"/>
  <c r="AD411" i="124"/>
  <c r="AE411" i="124" s="1"/>
  <c r="AD438" i="124"/>
  <c r="AD469" i="124"/>
  <c r="AD548" i="124"/>
  <c r="AD570" i="124"/>
  <c r="AE570" i="124" s="1"/>
  <c r="AD561" i="124"/>
  <c r="AD447" i="124"/>
  <c r="AD458" i="124"/>
  <c r="AD550" i="124"/>
  <c r="AD505" i="124"/>
  <c r="AD449" i="124"/>
  <c r="AD526" i="124"/>
  <c r="AD463" i="124"/>
  <c r="AD489" i="124"/>
  <c r="AD534" i="124"/>
  <c r="AD355" i="124"/>
  <c r="AE355" i="124" s="1"/>
  <c r="AD477" i="124"/>
  <c r="AD349" i="124"/>
  <c r="AE349" i="124" s="1"/>
  <c r="AD434" i="124"/>
  <c r="AD472" i="124"/>
  <c r="AD579" i="124"/>
  <c r="AD542" i="124"/>
  <c r="AD560" i="124"/>
  <c r="AD516" i="124"/>
  <c r="AD497" i="124"/>
  <c r="AD500" i="124"/>
  <c r="AD554" i="124"/>
  <c r="AD567" i="124"/>
  <c r="AE567" i="124" s="1"/>
  <c r="AD585" i="124"/>
  <c r="AD513" i="124"/>
  <c r="AD492" i="124"/>
  <c r="AD439" i="124"/>
  <c r="AD525" i="124"/>
  <c r="AD549" i="124"/>
  <c r="AE549" i="124" s="1"/>
  <c r="AD588" i="124"/>
  <c r="AD569" i="124"/>
  <c r="AE569" i="124" s="1"/>
  <c r="AD527" i="124"/>
  <c r="AD584" i="124"/>
  <c r="AD547" i="124"/>
  <c r="AE547" i="124" s="1"/>
  <c r="AD520" i="124"/>
  <c r="AD541" i="124"/>
  <c r="AD435" i="124"/>
  <c r="AD586" i="124"/>
  <c r="AD437" i="124"/>
  <c r="AD503" i="124"/>
  <c r="AD504" i="124"/>
  <c r="AD519" i="124"/>
  <c r="AD350" i="124"/>
  <c r="AE350" i="124" s="1"/>
  <c r="AD443" i="124"/>
  <c r="AD545" i="124"/>
  <c r="AD483" i="124"/>
  <c r="AD461" i="124"/>
  <c r="AD462" i="124"/>
  <c r="AD531" i="124"/>
  <c r="AD444" i="124"/>
  <c r="AD501" i="124"/>
  <c r="AD502" i="124"/>
  <c r="AD451" i="124"/>
  <c r="AD478" i="124"/>
  <c r="AD571" i="124"/>
  <c r="AD470" i="124"/>
  <c r="AD528" i="124"/>
  <c r="AD559" i="124"/>
  <c r="AE559" i="124" s="1"/>
  <c r="AD551" i="124"/>
  <c r="AD446" i="124"/>
  <c r="AD480" i="124"/>
  <c r="AD546" i="124"/>
  <c r="AD455" i="124"/>
  <c r="AD532" i="124"/>
  <c r="AD581" i="124"/>
  <c r="AD507" i="124"/>
  <c r="AD544" i="124"/>
  <c r="AD436" i="124"/>
  <c r="AD471" i="124"/>
  <c r="AD482" i="124"/>
  <c r="AD533" i="124"/>
  <c r="AD566" i="124"/>
  <c r="AD578" i="124"/>
  <c r="AE578" i="124" s="1"/>
  <c r="AD445" i="124"/>
  <c r="AD457" i="124"/>
  <c r="AD454" i="124"/>
  <c r="AD495" i="124"/>
  <c r="AD557" i="124"/>
  <c r="AD456" i="124"/>
  <c r="AD441" i="124"/>
  <c r="AD493" i="124"/>
  <c r="AD552" i="124"/>
  <c r="AD499" i="124"/>
  <c r="CG31" i="92"/>
  <c r="DA31" i="92"/>
  <c r="DB31" i="92"/>
  <c r="CY31" i="92"/>
  <c r="S79" i="46"/>
  <c r="S80" i="46" s="1"/>
  <c r="K52" i="90"/>
  <c r="H53" i="90"/>
  <c r="P76" i="46"/>
  <c r="M52" i="90" s="1"/>
  <c r="O77" i="46"/>
  <c r="I53" i="90"/>
  <c r="K51" i="90"/>
  <c r="N78" i="46"/>
  <c r="I54" i="90" s="1"/>
  <c r="Q78" i="46"/>
  <c r="O54" i="90" s="1"/>
  <c r="R78" i="46"/>
  <c r="CW31" i="92"/>
  <c r="Z31" i="92"/>
  <c r="J31" i="92"/>
  <c r="Y31" i="92" s="1"/>
  <c r="L31" i="98" s="1"/>
  <c r="F42" i="46"/>
  <c r="C43" i="46"/>
  <c r="F43" i="46" s="1"/>
  <c r="AV31" i="92"/>
  <c r="AW31" i="92" s="1"/>
  <c r="BD31" i="92" s="1"/>
  <c r="F24" i="82"/>
  <c r="AY31" i="92"/>
  <c r="AX31" i="92"/>
  <c r="Z19" i="92"/>
  <c r="BW19" i="92" s="1"/>
  <c r="Y19" i="92"/>
  <c r="AF19" i="92"/>
  <c r="BM19" i="92" s="1"/>
  <c r="BS19" i="92"/>
  <c r="R19" i="92"/>
  <c r="AF31" i="92"/>
  <c r="BM31" i="92" s="1"/>
  <c r="AD35" i="92"/>
  <c r="AG11" i="94"/>
  <c r="AG10" i="94" s="1"/>
  <c r="I35" i="92"/>
  <c r="AH35" i="92"/>
  <c r="AI35" i="92" s="1"/>
  <c r="CT35" i="92" s="1"/>
  <c r="AN35" i="92" s="1"/>
  <c r="BO35" i="92"/>
  <c r="H35" i="98" s="1"/>
  <c r="L35" i="92"/>
  <c r="M35" i="92"/>
  <c r="AP35" i="92" s="1"/>
  <c r="Q35" i="92"/>
  <c r="DG35" i="92" s="1"/>
  <c r="N35" i="92"/>
  <c r="P35" i="92"/>
  <c r="T35" i="92" s="1"/>
  <c r="U35" i="92" s="1"/>
  <c r="K35" i="92"/>
  <c r="AE35" i="92"/>
  <c r="BP31" i="92"/>
  <c r="AF11" i="94"/>
  <c r="AF10" i="94" s="1"/>
  <c r="AD34" i="92"/>
  <c r="I34" i="92"/>
  <c r="AH34" i="92"/>
  <c r="AI34" i="92" s="1"/>
  <c r="CT34" i="92" s="1"/>
  <c r="AN34" i="92" s="1"/>
  <c r="BO34" i="92"/>
  <c r="H34" i="98" s="1"/>
  <c r="AE34" i="92"/>
  <c r="N34" i="92"/>
  <c r="K34" i="92"/>
  <c r="P34" i="92"/>
  <c r="T34" i="92" s="1"/>
  <c r="U34" i="92" s="1"/>
  <c r="Q34" i="92"/>
  <c r="DG34" i="92" s="1"/>
  <c r="M34" i="92"/>
  <c r="AP34" i="92" s="1"/>
  <c r="L34" i="92"/>
  <c r="C24" i="82"/>
  <c r="P24" i="82" s="1"/>
  <c r="H24" i="82"/>
  <c r="I24" i="82"/>
  <c r="E25" i="82"/>
  <c r="G25" i="82"/>
  <c r="B26" i="82"/>
  <c r="I50" i="46"/>
  <c r="J50" i="46"/>
  <c r="K51" i="46"/>
  <c r="B51" i="46"/>
  <c r="E51" i="46"/>
  <c r="A52" i="46"/>
  <c r="G50" i="46"/>
  <c r="D50" i="46"/>
  <c r="AE114" i="124" l="1"/>
  <c r="AE272" i="124"/>
  <c r="AE180" i="124"/>
  <c r="AE123" i="124"/>
  <c r="AE276" i="124"/>
  <c r="AE200" i="124"/>
  <c r="AE269" i="124"/>
  <c r="AE213" i="124"/>
  <c r="AE250" i="124"/>
  <c r="AE152" i="124"/>
  <c r="AE243" i="124"/>
  <c r="AE37" i="124"/>
  <c r="AE33" i="124"/>
  <c r="BH42" i="108"/>
  <c r="BM42" i="108" s="1"/>
  <c r="AB42" i="115"/>
  <c r="BP42" i="108"/>
  <c r="U25" i="108"/>
  <c r="V25" i="108" s="1"/>
  <c r="BT25" i="108"/>
  <c r="CA25" i="108" s="1"/>
  <c r="BS25" i="108"/>
  <c r="BR41" i="108"/>
  <c r="BR37" i="108"/>
  <c r="BT37" i="108" s="1"/>
  <c r="BR21" i="108"/>
  <c r="BT21" i="108" s="1"/>
  <c r="BR40" i="108"/>
  <c r="BT40" i="108" s="1"/>
  <c r="BR23" i="108"/>
  <c r="CV23" i="108"/>
  <c r="DC25" i="108"/>
  <c r="DD25" i="108" s="1"/>
  <c r="AQ25" i="108" s="1"/>
  <c r="AP25" i="108" s="1"/>
  <c r="AE31" i="124"/>
  <c r="AE9" i="124"/>
  <c r="AE255" i="124"/>
  <c r="AE212" i="124"/>
  <c r="AE53" i="124"/>
  <c r="AE202" i="124"/>
  <c r="AE186" i="124"/>
  <c r="AE151" i="124"/>
  <c r="AE155" i="124"/>
  <c r="AE271" i="124"/>
  <c r="AE21" i="124"/>
  <c r="AE179" i="124"/>
  <c r="AE102" i="124"/>
  <c r="AE63" i="124"/>
  <c r="AE215" i="124"/>
  <c r="AE44" i="124"/>
  <c r="AE92" i="124"/>
  <c r="AE22" i="124"/>
  <c r="AE19" i="124"/>
  <c r="AE85" i="124"/>
  <c r="AE218" i="124"/>
  <c r="AE181" i="124"/>
  <c r="AE187" i="124"/>
  <c r="AE259" i="124"/>
  <c r="AE207" i="124"/>
  <c r="AE48" i="124"/>
  <c r="AE262" i="124"/>
  <c r="AE89" i="124"/>
  <c r="AB40" i="108"/>
  <c r="S59" i="113"/>
  <c r="T67" i="113"/>
  <c r="R67" i="113"/>
  <c r="S67" i="113"/>
  <c r="Q67" i="113"/>
  <c r="Q63" i="113"/>
  <c r="P63" i="113"/>
  <c r="S61" i="113"/>
  <c r="Q62" i="113"/>
  <c r="R62" i="113"/>
  <c r="P62" i="113"/>
  <c r="T61" i="113"/>
  <c r="R61" i="113"/>
  <c r="T62" i="113"/>
  <c r="Q61" i="113"/>
  <c r="R66" i="113"/>
  <c r="R63" i="113"/>
  <c r="T63" i="113"/>
  <c r="T59" i="113"/>
  <c r="S58" i="113"/>
  <c r="R64" i="113"/>
  <c r="Q64" i="113"/>
  <c r="S64" i="113"/>
  <c r="P64" i="113"/>
  <c r="R58" i="113"/>
  <c r="Q58" i="113"/>
  <c r="P58" i="113"/>
  <c r="R59" i="113"/>
  <c r="Q59" i="113"/>
  <c r="S65" i="113"/>
  <c r="P69" i="113"/>
  <c r="R69" i="113"/>
  <c r="T69" i="113"/>
  <c r="Q69" i="113"/>
  <c r="T65" i="113"/>
  <c r="R65" i="113"/>
  <c r="Q65" i="113"/>
  <c r="T66" i="113"/>
  <c r="S66" i="113"/>
  <c r="P66" i="113"/>
  <c r="T60" i="113"/>
  <c r="T68" i="113"/>
  <c r="P60" i="113"/>
  <c r="S60" i="113"/>
  <c r="S68" i="113"/>
  <c r="R68" i="113"/>
  <c r="Q68" i="113"/>
  <c r="R60" i="113"/>
  <c r="AB21" i="108"/>
  <c r="AB23" i="108"/>
  <c r="AB37" i="108"/>
  <c r="AB22" i="108"/>
  <c r="AB41" i="108"/>
  <c r="AI41" i="131" s="1"/>
  <c r="AB39" i="108"/>
  <c r="AI39" i="131" s="1"/>
  <c r="AE127" i="124"/>
  <c r="AE190" i="124"/>
  <c r="AE230" i="124"/>
  <c r="AE47" i="124"/>
  <c r="AE119" i="124"/>
  <c r="AE284" i="124"/>
  <c r="AE226" i="124"/>
  <c r="AE41" i="124"/>
  <c r="AE75" i="124"/>
  <c r="AE231" i="124"/>
  <c r="AE214" i="124"/>
  <c r="AE251" i="124"/>
  <c r="AE194" i="124"/>
  <c r="AE193" i="124"/>
  <c r="AE279" i="124"/>
  <c r="AE280" i="124"/>
  <c r="AE285" i="124"/>
  <c r="AE225" i="124"/>
  <c r="AE236" i="124"/>
  <c r="AE81" i="124"/>
  <c r="AE117" i="124"/>
  <c r="AE106" i="124"/>
  <c r="AE156" i="124"/>
  <c r="AE227" i="124"/>
  <c r="AE257" i="124"/>
  <c r="AE253" i="124"/>
  <c r="AE198" i="124"/>
  <c r="AE206" i="124"/>
  <c r="AE98" i="124"/>
  <c r="AE278" i="124"/>
  <c r="AE203" i="124"/>
  <c r="AE216" i="124"/>
  <c r="AE238" i="124"/>
  <c r="AE234" i="124"/>
  <c r="AE93" i="124"/>
  <c r="AE24" i="124"/>
  <c r="AE77" i="124"/>
  <c r="AE281" i="124"/>
  <c r="AE137" i="124"/>
  <c r="AE35" i="124"/>
  <c r="AE237" i="124"/>
  <c r="AE113" i="124"/>
  <c r="AE282" i="124"/>
  <c r="AE126" i="124"/>
  <c r="AE145" i="124"/>
  <c r="AE240" i="124"/>
  <c r="AE128" i="124"/>
  <c r="AE125" i="124"/>
  <c r="AE287" i="124"/>
  <c r="AE140" i="124"/>
  <c r="AE286" i="124"/>
  <c r="AE273" i="124"/>
  <c r="AE124" i="124"/>
  <c r="AE110" i="124"/>
  <c r="AE94" i="124"/>
  <c r="AE45" i="124"/>
  <c r="AE209" i="124"/>
  <c r="AE192" i="124"/>
  <c r="AE90" i="124"/>
  <c r="AE173" i="124"/>
  <c r="AE50" i="124"/>
  <c r="AE264" i="124"/>
  <c r="AE104" i="124"/>
  <c r="AE87" i="124"/>
  <c r="AE289" i="124"/>
  <c r="AE217" i="124"/>
  <c r="AE95" i="124"/>
  <c r="AE229" i="124"/>
  <c r="AE254" i="124"/>
  <c r="AE153" i="124"/>
  <c r="AE161" i="124"/>
  <c r="AE116" i="124"/>
  <c r="AE148" i="124"/>
  <c r="AE274" i="124"/>
  <c r="AE105" i="124"/>
  <c r="AE182" i="124"/>
  <c r="AE138" i="124"/>
  <c r="AE168" i="124"/>
  <c r="AE143" i="124"/>
  <c r="AE166" i="124"/>
  <c r="AE139" i="124"/>
  <c r="AE109" i="124"/>
  <c r="AE154" i="124"/>
  <c r="AE205" i="124"/>
  <c r="AE158" i="124"/>
  <c r="AE147" i="124"/>
  <c r="AE197" i="124"/>
  <c r="AE201" i="124"/>
  <c r="AE133" i="124"/>
  <c r="AE204" i="124"/>
  <c r="AE130" i="124"/>
  <c r="AE150" i="124"/>
  <c r="AE142" i="124"/>
  <c r="AE241" i="124"/>
  <c r="AE221" i="124"/>
  <c r="AE283" i="124"/>
  <c r="AE167" i="124"/>
  <c r="AE111" i="124"/>
  <c r="AE107" i="124"/>
  <c r="AE159" i="124"/>
  <c r="AE210" i="124"/>
  <c r="AE46" i="124"/>
  <c r="AE122" i="124"/>
  <c r="AE88" i="124"/>
  <c r="AE49" i="124"/>
  <c r="AE96" i="124"/>
  <c r="AE160" i="124"/>
  <c r="AE23" i="124"/>
  <c r="AE163" i="124"/>
  <c r="AE235" i="124"/>
  <c r="AE136" i="124"/>
  <c r="AE121" i="124"/>
  <c r="AE141" i="124"/>
  <c r="AE132" i="124"/>
  <c r="AE112" i="124"/>
  <c r="AE91" i="124"/>
  <c r="AE157" i="124"/>
  <c r="AE97" i="124"/>
  <c r="AE144" i="124"/>
  <c r="AE162" i="124"/>
  <c r="AE149" i="124"/>
  <c r="AE290" i="124"/>
  <c r="AE170" i="124"/>
  <c r="AE134" i="124"/>
  <c r="AE108" i="124"/>
  <c r="AE131" i="124"/>
  <c r="AE101" i="124"/>
  <c r="AE232" i="124"/>
  <c r="AE100" i="124"/>
  <c r="AE228" i="124"/>
  <c r="AE196" i="124"/>
  <c r="AE171" i="124"/>
  <c r="AE199" i="124"/>
  <c r="AE165" i="124"/>
  <c r="AE239" i="124"/>
  <c r="AE129" i="124"/>
  <c r="AE118" i="124"/>
  <c r="AE146" i="124"/>
  <c r="AE288" i="124"/>
  <c r="AE189" i="124"/>
  <c r="AE65" i="124"/>
  <c r="AE43" i="124"/>
  <c r="AE164" i="124"/>
  <c r="AE184" i="124"/>
  <c r="AE135" i="124"/>
  <c r="AE172" i="124"/>
  <c r="AE265" i="124"/>
  <c r="AE61" i="124"/>
  <c r="AE120" i="124"/>
  <c r="AE169" i="124"/>
  <c r="AE103" i="124"/>
  <c r="AE175" i="124"/>
  <c r="AE195" i="124"/>
  <c r="AE211" i="124"/>
  <c r="AE233" i="124"/>
  <c r="AE115" i="124"/>
  <c r="AE476" i="124"/>
  <c r="AE552" i="124"/>
  <c r="AE534" i="124"/>
  <c r="AE510" i="124"/>
  <c r="AE561" i="124"/>
  <c r="AE554" i="124"/>
  <c r="AE493" i="124"/>
  <c r="AE574" i="124"/>
  <c r="AE454" i="124"/>
  <c r="AE482" i="124"/>
  <c r="AE532" i="124"/>
  <c r="AE502" i="124"/>
  <c r="AE483" i="124"/>
  <c r="AE503" i="124"/>
  <c r="AE525" i="124"/>
  <c r="AE579" i="124"/>
  <c r="AE550" i="124"/>
  <c r="AE469" i="124"/>
  <c r="AE481" i="124"/>
  <c r="AE523" i="124"/>
  <c r="AE448" i="124"/>
  <c r="AE529" i="124"/>
  <c r="AE485" i="124"/>
  <c r="AE474" i="124"/>
  <c r="AE475" i="124"/>
  <c r="AE518" i="124"/>
  <c r="AE515" i="124"/>
  <c r="AE536" i="124"/>
  <c r="AE442" i="124"/>
  <c r="AE365" i="124"/>
  <c r="AE457" i="124"/>
  <c r="AE471" i="124"/>
  <c r="AE455" i="124"/>
  <c r="AE528" i="124"/>
  <c r="AE501" i="124"/>
  <c r="AE545" i="124"/>
  <c r="AE437" i="124"/>
  <c r="AE584" i="124"/>
  <c r="AE439" i="124"/>
  <c r="AE500" i="124"/>
  <c r="AE472" i="124"/>
  <c r="AE489" i="124"/>
  <c r="AE458" i="124"/>
  <c r="AE438" i="124"/>
  <c r="AE558" i="124"/>
  <c r="AE563" i="124"/>
  <c r="AE506" i="124"/>
  <c r="AE473" i="124"/>
  <c r="AE496" i="124"/>
  <c r="AE568" i="124"/>
  <c r="AE540" i="124"/>
  <c r="AE577" i="124"/>
  <c r="AE575" i="124"/>
  <c r="AE488" i="124"/>
  <c r="AE353" i="124"/>
  <c r="AE441" i="124"/>
  <c r="AE445" i="124"/>
  <c r="AE436" i="124"/>
  <c r="AE546" i="124"/>
  <c r="AE470" i="124"/>
  <c r="AE444" i="124"/>
  <c r="AE443" i="124"/>
  <c r="AE586" i="124"/>
  <c r="AE527" i="124"/>
  <c r="AE492" i="124"/>
  <c r="AE497" i="124"/>
  <c r="AE434" i="124"/>
  <c r="AE463" i="124"/>
  <c r="AE447" i="124"/>
  <c r="AE565" i="124"/>
  <c r="AE511" i="124"/>
  <c r="AE453" i="124"/>
  <c r="AE535" i="124"/>
  <c r="AE517" i="124"/>
  <c r="AE583" i="124"/>
  <c r="AE464" i="124"/>
  <c r="AE512" i="124"/>
  <c r="AE537" i="124"/>
  <c r="AE374" i="124"/>
  <c r="AE456" i="124"/>
  <c r="AE544" i="124"/>
  <c r="AE480" i="124"/>
  <c r="AE571" i="124"/>
  <c r="AE531" i="124"/>
  <c r="AE435" i="124"/>
  <c r="AE513" i="124"/>
  <c r="AE516" i="124"/>
  <c r="AE526" i="124"/>
  <c r="AE460" i="124"/>
  <c r="AE521" i="124"/>
  <c r="AE514" i="124"/>
  <c r="AE440" i="124"/>
  <c r="AE539" i="124"/>
  <c r="AE466" i="124"/>
  <c r="AE486" i="124"/>
  <c r="AE465" i="124"/>
  <c r="AE467" i="124"/>
  <c r="AE459" i="124"/>
  <c r="AE562" i="124"/>
  <c r="AE557" i="124"/>
  <c r="AE566" i="124"/>
  <c r="AE507" i="124"/>
  <c r="AE446" i="124"/>
  <c r="AE478" i="124"/>
  <c r="AE462" i="124"/>
  <c r="AE519" i="124"/>
  <c r="AE541" i="124"/>
  <c r="AE588" i="124"/>
  <c r="AE585" i="124"/>
  <c r="AE560" i="124"/>
  <c r="AE477" i="124"/>
  <c r="AE449" i="124"/>
  <c r="AE538" i="124"/>
  <c r="AE524" i="124"/>
  <c r="AE508" i="124"/>
  <c r="AE410" i="124"/>
  <c r="AE450" i="124"/>
  <c r="AE553" i="124"/>
  <c r="AE530" i="124"/>
  <c r="AE509" i="124"/>
  <c r="AE587" i="124"/>
  <c r="AE494" i="124"/>
  <c r="AE543" i="124"/>
  <c r="AE491" i="124"/>
  <c r="AE368" i="124"/>
  <c r="AE499" i="124"/>
  <c r="AE495" i="124"/>
  <c r="AE533" i="124"/>
  <c r="AE581" i="124"/>
  <c r="AE551" i="124"/>
  <c r="AE451" i="124"/>
  <c r="AE461" i="124"/>
  <c r="AE504" i="124"/>
  <c r="AE520" i="124"/>
  <c r="AE542" i="124"/>
  <c r="AE505" i="124"/>
  <c r="AE548" i="124"/>
  <c r="AE484" i="124"/>
  <c r="AE487" i="124"/>
  <c r="AE582" i="124"/>
  <c r="AE490" i="124"/>
  <c r="AE479" i="124"/>
  <c r="AE498" i="124"/>
  <c r="AE452" i="124"/>
  <c r="AE468" i="124"/>
  <c r="AE522" i="124"/>
  <c r="AE555" i="124"/>
  <c r="AE373" i="124"/>
  <c r="R70" i="113"/>
  <c r="T80" i="113"/>
  <c r="S70" i="113"/>
  <c r="P70" i="113"/>
  <c r="T77" i="113"/>
  <c r="P76" i="113"/>
  <c r="P71" i="113"/>
  <c r="T71" i="113"/>
  <c r="R71" i="113"/>
  <c r="Q80" i="113"/>
  <c r="P79" i="113"/>
  <c r="R77" i="113"/>
  <c r="Q71" i="113"/>
  <c r="S77" i="113"/>
  <c r="R79" i="113"/>
  <c r="S79" i="113"/>
  <c r="Q74" i="113"/>
  <c r="R76" i="113"/>
  <c r="Q79" i="113"/>
  <c r="S74" i="113"/>
  <c r="T74" i="113"/>
  <c r="P74" i="113"/>
  <c r="T76" i="113"/>
  <c r="T73" i="113"/>
  <c r="R73" i="113"/>
  <c r="S75" i="113"/>
  <c r="S73" i="113"/>
  <c r="Q78" i="113"/>
  <c r="P77" i="113"/>
  <c r="P80" i="113"/>
  <c r="T72" i="113"/>
  <c r="Q81" i="113"/>
  <c r="R80" i="113"/>
  <c r="Q75" i="113"/>
  <c r="P72" i="113"/>
  <c r="P78" i="113"/>
  <c r="S72" i="113"/>
  <c r="T78" i="113"/>
  <c r="Q76" i="113"/>
  <c r="R72" i="113"/>
  <c r="T75" i="113"/>
  <c r="S81" i="113"/>
  <c r="P73" i="113"/>
  <c r="R75" i="113"/>
  <c r="P81" i="113"/>
  <c r="S78" i="113"/>
  <c r="T81" i="113"/>
  <c r="Q70" i="113"/>
  <c r="AE580" i="124"/>
  <c r="AE432" i="124"/>
  <c r="DI31" i="92"/>
  <c r="CG35" i="92"/>
  <c r="CG34" i="92"/>
  <c r="DA34" i="92"/>
  <c r="DB34" i="92"/>
  <c r="DA35" i="92"/>
  <c r="DB35" i="92"/>
  <c r="CY34" i="92"/>
  <c r="CY35" i="92"/>
  <c r="K53" i="90"/>
  <c r="H54" i="90"/>
  <c r="L78" i="46"/>
  <c r="P77" i="46"/>
  <c r="M53" i="90" s="1"/>
  <c r="O78" i="46"/>
  <c r="K54" i="90" s="1"/>
  <c r="R79" i="46"/>
  <c r="M79" i="46" s="1"/>
  <c r="S81" i="46"/>
  <c r="DF31" i="92"/>
  <c r="CW35" i="92"/>
  <c r="CW34" i="92"/>
  <c r="Z34" i="92"/>
  <c r="J34" i="92"/>
  <c r="Y34" i="92" s="1"/>
  <c r="L34" i="98" s="1"/>
  <c r="Z35" i="92"/>
  <c r="J35" i="92"/>
  <c r="Y35" i="92" s="1"/>
  <c r="L35" i="98" s="1"/>
  <c r="C44" i="46"/>
  <c r="F44" i="46" s="1"/>
  <c r="AV34" i="92"/>
  <c r="AW34" i="92" s="1"/>
  <c r="BD34" i="92" s="1"/>
  <c r="AV35" i="92"/>
  <c r="AW35" i="92" s="1"/>
  <c r="BD35" i="92" s="1"/>
  <c r="BN19" i="92"/>
  <c r="F25" i="82"/>
  <c r="H25" i="82" s="1"/>
  <c r="E78" i="92"/>
  <c r="E71" i="92"/>
  <c r="D71" i="92"/>
  <c r="D77" i="92"/>
  <c r="BO3" i="92"/>
  <c r="D78" i="92"/>
  <c r="AY34" i="92"/>
  <c r="AX34" i="92"/>
  <c r="AY35" i="92"/>
  <c r="AX35" i="92"/>
  <c r="E77" i="92"/>
  <c r="AF35" i="92"/>
  <c r="BM35" i="92" s="1"/>
  <c r="AF34" i="92"/>
  <c r="BM34" i="92" s="1"/>
  <c r="L19" i="98"/>
  <c r="BV19" i="92"/>
  <c r="BP34" i="92"/>
  <c r="BR31" i="92"/>
  <c r="BQ31" i="92"/>
  <c r="BO2" i="92"/>
  <c r="BP35" i="92"/>
  <c r="Z1" i="92"/>
  <c r="Y1" i="92"/>
  <c r="W1" i="92"/>
  <c r="V1" i="92"/>
  <c r="C25" i="82"/>
  <c r="P25" i="82" s="1"/>
  <c r="B27" i="82"/>
  <c r="G26" i="82"/>
  <c r="E26" i="82"/>
  <c r="I25" i="82"/>
  <c r="I51" i="46"/>
  <c r="J51" i="46"/>
  <c r="K52" i="46"/>
  <c r="E52" i="46"/>
  <c r="A53" i="46"/>
  <c r="B52" i="46"/>
  <c r="G51" i="46"/>
  <c r="D51" i="46"/>
  <c r="CS42" i="108" l="1"/>
  <c r="BD42" i="108"/>
  <c r="BE42" i="108" s="1"/>
  <c r="BJ42" i="108" s="1"/>
  <c r="CJ42" i="108"/>
  <c r="BG25" i="108"/>
  <c r="BL25" i="108" s="1"/>
  <c r="BG42" i="108"/>
  <c r="BL42" i="108" s="1"/>
  <c r="CV37" i="108"/>
  <c r="DC37" i="108" s="1"/>
  <c r="DD37" i="108" s="1"/>
  <c r="AQ37" i="108" s="1"/>
  <c r="AP37" i="108" s="1"/>
  <c r="CV40" i="108"/>
  <c r="DC40" i="108" s="1"/>
  <c r="DD40" i="108" s="1"/>
  <c r="AQ40" i="108" s="1"/>
  <c r="AP40" i="108" s="1"/>
  <c r="BP40" i="108"/>
  <c r="AB40" i="115"/>
  <c r="U41" i="108"/>
  <c r="V41" i="108" s="1"/>
  <c r="BT41" i="108"/>
  <c r="CA41" i="108" s="1"/>
  <c r="BD25" i="108"/>
  <c r="BI25" i="108" s="1"/>
  <c r="BN25" i="108" s="1"/>
  <c r="BP37" i="108"/>
  <c r="AB37" i="115"/>
  <c r="DK25" i="108"/>
  <c r="CJ25" i="108"/>
  <c r="U23" i="108"/>
  <c r="V23" i="108" s="1"/>
  <c r="BT23" i="108"/>
  <c r="CA23" i="108" s="1"/>
  <c r="BP25" i="108"/>
  <c r="AB25" i="115"/>
  <c r="AB21" i="115"/>
  <c r="BP21" i="108"/>
  <c r="BS40" i="108"/>
  <c r="U40" i="108"/>
  <c r="V40" i="108" s="1"/>
  <c r="BS21" i="108"/>
  <c r="U21" i="108"/>
  <c r="V21" i="108" s="1"/>
  <c r="BS37" i="108"/>
  <c r="U37" i="108"/>
  <c r="V37" i="108" s="1"/>
  <c r="BS23" i="108"/>
  <c r="DK21" i="108"/>
  <c r="BS41" i="108"/>
  <c r="DK41" i="108"/>
  <c r="BR27" i="108"/>
  <c r="CV27" i="108" s="1"/>
  <c r="DC27" i="108" s="1"/>
  <c r="DD27" i="108" s="1"/>
  <c r="AQ27" i="108" s="1"/>
  <c r="AP27" i="108" s="1"/>
  <c r="AR27" i="108" s="1"/>
  <c r="BR29" i="108"/>
  <c r="BR28" i="108"/>
  <c r="BR35" i="108"/>
  <c r="CV35" i="108" s="1"/>
  <c r="BR26" i="108"/>
  <c r="BR31" i="108"/>
  <c r="U31" i="108" s="1"/>
  <c r="V31" i="108" s="1"/>
  <c r="BR30" i="108"/>
  <c r="CV26" i="108"/>
  <c r="AR25" i="108"/>
  <c r="V12" i="128"/>
  <c r="BR12" i="108"/>
  <c r="U12" i="108" s="1"/>
  <c r="V12" i="108" s="1"/>
  <c r="V17" i="128"/>
  <c r="BR17" i="108"/>
  <c r="U17" i="108" s="1"/>
  <c r="V17" i="108" s="1"/>
  <c r="CV29" i="108"/>
  <c r="V18" i="128"/>
  <c r="BR18" i="108"/>
  <c r="DC23" i="108"/>
  <c r="DD23" i="108" s="1"/>
  <c r="AQ23" i="108" s="1"/>
  <c r="AP23" i="108" s="1"/>
  <c r="AI40" i="131"/>
  <c r="AB33" i="108"/>
  <c r="AB28" i="108"/>
  <c r="AB27" i="108"/>
  <c r="AB29" i="108"/>
  <c r="AB35" i="108"/>
  <c r="CA40" i="108"/>
  <c r="AB31" i="108"/>
  <c r="AB26" i="108"/>
  <c r="AB30" i="108"/>
  <c r="CA37" i="108"/>
  <c r="CA21" i="108"/>
  <c r="O26" i="113"/>
  <c r="U26" i="113" s="1"/>
  <c r="O30" i="113"/>
  <c r="U30" i="113" s="1"/>
  <c r="O31" i="113"/>
  <c r="U31" i="113" s="1"/>
  <c r="O24" i="113"/>
  <c r="O21" i="113"/>
  <c r="O23" i="113"/>
  <c r="O27" i="113"/>
  <c r="U27" i="113" s="1"/>
  <c r="O22" i="113"/>
  <c r="O25" i="113"/>
  <c r="O29" i="113"/>
  <c r="U29" i="113" s="1"/>
  <c r="O28" i="113"/>
  <c r="U28" i="113" s="1"/>
  <c r="O20" i="113"/>
  <c r="O82" i="113"/>
  <c r="P82" i="113" s="1"/>
  <c r="O83" i="113"/>
  <c r="O89" i="113"/>
  <c r="O84" i="113"/>
  <c r="O90" i="113"/>
  <c r="O85" i="113"/>
  <c r="O91" i="113"/>
  <c r="O93" i="113"/>
  <c r="O86" i="113"/>
  <c r="O92" i="113"/>
  <c r="O87" i="113"/>
  <c r="O88" i="113"/>
  <c r="DI34" i="92"/>
  <c r="DI35" i="92"/>
  <c r="BO1" i="92"/>
  <c r="A3" i="94" s="1"/>
  <c r="P78" i="46"/>
  <c r="M54" i="90" s="1"/>
  <c r="R80" i="46"/>
  <c r="M80" i="46" s="1"/>
  <c r="S82" i="46"/>
  <c r="DF35" i="92"/>
  <c r="DF34" i="92"/>
  <c r="CQ31" i="92"/>
  <c r="C45" i="46"/>
  <c r="C46" i="46" s="1"/>
  <c r="BP1" i="92"/>
  <c r="BT31" i="92"/>
  <c r="F26" i="82"/>
  <c r="BR35" i="92"/>
  <c r="BN35" i="92" s="1"/>
  <c r="BQ35" i="92"/>
  <c r="BS31" i="92"/>
  <c r="BW31" i="92"/>
  <c r="BV31" i="92"/>
  <c r="BQ34" i="92"/>
  <c r="BR34" i="92"/>
  <c r="BN34" i="92" s="1"/>
  <c r="BN31" i="92"/>
  <c r="C26" i="82"/>
  <c r="P26" i="82" s="1"/>
  <c r="I26" i="82"/>
  <c r="H26" i="82"/>
  <c r="B28" i="82"/>
  <c r="E27" i="82"/>
  <c r="G27" i="82"/>
  <c r="I52" i="46"/>
  <c r="J52" i="46"/>
  <c r="E53" i="46"/>
  <c r="A54" i="46"/>
  <c r="K53" i="46"/>
  <c r="B53" i="46"/>
  <c r="G52" i="46"/>
  <c r="D52" i="46"/>
  <c r="BI42" i="108" l="1"/>
  <c r="BN42" i="108" s="1"/>
  <c r="BF42" i="108"/>
  <c r="BK42" i="108" s="1"/>
  <c r="DC35" i="108"/>
  <c r="DD35" i="108" s="1"/>
  <c r="AQ35" i="108" s="1"/>
  <c r="BG23" i="108"/>
  <c r="BL23" i="108" s="1"/>
  <c r="BH25" i="108"/>
  <c r="BM25" i="108" s="1"/>
  <c r="BH41" i="108"/>
  <c r="BM41" i="108" s="1"/>
  <c r="CJ41" i="108"/>
  <c r="AB41" i="115"/>
  <c r="BP41" i="108"/>
  <c r="DK40" i="108"/>
  <c r="U18" i="108"/>
  <c r="V18" i="108" s="1"/>
  <c r="CV18" i="108"/>
  <c r="DC18" i="108" s="1"/>
  <c r="DD18" i="108" s="1"/>
  <c r="AQ18" i="108" s="1"/>
  <c r="AP18" i="108" s="1"/>
  <c r="AR18" i="108" s="1"/>
  <c r="BF25" i="108"/>
  <c r="BK25" i="108" s="1"/>
  <c r="BE25" i="108"/>
  <c r="BJ25" i="108" s="1"/>
  <c r="BH23" i="108"/>
  <c r="BM23" i="108" s="1"/>
  <c r="CJ23" i="108"/>
  <c r="BT31" i="108"/>
  <c r="BP31" i="108" s="1"/>
  <c r="DK23" i="108"/>
  <c r="AB23" i="115"/>
  <c r="BP23" i="108"/>
  <c r="U26" i="108"/>
  <c r="V26" i="108" s="1"/>
  <c r="BT26" i="108"/>
  <c r="CA26" i="108" s="1"/>
  <c r="U35" i="108"/>
  <c r="V35" i="108" s="1"/>
  <c r="BT35" i="108"/>
  <c r="CA35" i="108" s="1"/>
  <c r="U28" i="108"/>
  <c r="V28" i="108" s="1"/>
  <c r="BT28" i="108"/>
  <c r="CA28" i="108" s="1"/>
  <c r="U29" i="108"/>
  <c r="V29" i="108" s="1"/>
  <c r="BT29" i="108"/>
  <c r="CA29" i="108" s="1"/>
  <c r="DK37" i="108"/>
  <c r="U30" i="108"/>
  <c r="V30" i="108" s="1"/>
  <c r="CV30" i="108"/>
  <c r="BT30" i="108"/>
  <c r="CA30" i="108" s="1"/>
  <c r="U27" i="108"/>
  <c r="V27" i="108" s="1"/>
  <c r="BT27" i="108"/>
  <c r="CA27" i="108" s="1"/>
  <c r="CJ12" i="108"/>
  <c r="CJ17" i="108"/>
  <c r="BG17" i="108"/>
  <c r="BL17" i="108" s="1"/>
  <c r="BD17" i="108"/>
  <c r="BF17" i="108" s="1"/>
  <c r="BK17" i="108" s="1"/>
  <c r="BH17" i="108"/>
  <c r="BM17" i="108" s="1"/>
  <c r="BD31" i="108"/>
  <c r="BF31" i="108" s="1"/>
  <c r="BK31" i="108" s="1"/>
  <c r="BH31" i="108"/>
  <c r="BM31" i="108" s="1"/>
  <c r="CJ31" i="108"/>
  <c r="BG31" i="108"/>
  <c r="BL31" i="108" s="1"/>
  <c r="CJ37" i="108"/>
  <c r="BH37" i="108"/>
  <c r="BM37" i="108" s="1"/>
  <c r="BG37" i="108"/>
  <c r="BL37" i="108" s="1"/>
  <c r="BD37" i="108"/>
  <c r="BI37" i="108" s="1"/>
  <c r="BN37" i="108" s="1"/>
  <c r="BD40" i="108"/>
  <c r="BI40" i="108" s="1"/>
  <c r="BN40" i="108" s="1"/>
  <c r="CJ40" i="108"/>
  <c r="BG40" i="108"/>
  <c r="BL40" i="108" s="1"/>
  <c r="BH40" i="108"/>
  <c r="BM40" i="108" s="1"/>
  <c r="BG21" i="108"/>
  <c r="BL21" i="108" s="1"/>
  <c r="BD21" i="108"/>
  <c r="BI21" i="108" s="1"/>
  <c r="BN21" i="108" s="1"/>
  <c r="BH21" i="108"/>
  <c r="BM21" i="108" s="1"/>
  <c r="CJ21" i="108"/>
  <c r="BG12" i="108"/>
  <c r="BL12" i="108" s="1"/>
  <c r="BD12" i="108"/>
  <c r="BH12" i="108"/>
  <c r="BM12" i="108" s="1"/>
  <c r="BS30" i="108"/>
  <c r="BS27" i="108"/>
  <c r="DK27" i="108"/>
  <c r="BS35" i="108"/>
  <c r="BS31" i="108"/>
  <c r="DK31" i="108"/>
  <c r="BS26" i="108"/>
  <c r="BS28" i="108"/>
  <c r="DK28" i="108"/>
  <c r="BS29" i="108"/>
  <c r="BR33" i="108"/>
  <c r="DC29" i="108"/>
  <c r="DD29" i="108" s="1"/>
  <c r="AQ29" i="108" s="1"/>
  <c r="AP29" i="108" s="1"/>
  <c r="AR23" i="108"/>
  <c r="BT18" i="108"/>
  <c r="BS18" i="108"/>
  <c r="BT17" i="108"/>
  <c r="BS17" i="108"/>
  <c r="DK17" i="108"/>
  <c r="AC7" i="113"/>
  <c r="V12" i="107"/>
  <c r="BR16" i="108"/>
  <c r="U16" i="108" s="1"/>
  <c r="V16" i="108" s="1"/>
  <c r="V16" i="128"/>
  <c r="CV33" i="108"/>
  <c r="AR40" i="108"/>
  <c r="BR15" i="108"/>
  <c r="V15" i="128"/>
  <c r="DC26" i="108"/>
  <c r="DD26" i="108" s="1"/>
  <c r="AQ26" i="108" s="1"/>
  <c r="AP26" i="108" s="1"/>
  <c r="BT12" i="108"/>
  <c r="BS12" i="108"/>
  <c r="DK12" i="108"/>
  <c r="AR37" i="108"/>
  <c r="U20" i="113"/>
  <c r="M20" i="113"/>
  <c r="S36" i="113"/>
  <c r="U21" i="113"/>
  <c r="S39" i="113"/>
  <c r="U24" i="113"/>
  <c r="S40" i="113"/>
  <c r="U25" i="113"/>
  <c r="S37" i="113"/>
  <c r="U22" i="113"/>
  <c r="S38" i="113"/>
  <c r="U23" i="113"/>
  <c r="AD290" i="123"/>
  <c r="S35" i="113"/>
  <c r="T91" i="113"/>
  <c r="Q91" i="113"/>
  <c r="P91" i="113"/>
  <c r="S91" i="113"/>
  <c r="R91" i="113"/>
  <c r="R88" i="113"/>
  <c r="P88" i="113"/>
  <c r="T88" i="113"/>
  <c r="S88" i="113"/>
  <c r="Q88" i="113"/>
  <c r="T85" i="113"/>
  <c r="S85" i="113"/>
  <c r="Q85" i="113"/>
  <c r="R85" i="113"/>
  <c r="P85" i="113"/>
  <c r="R87" i="113"/>
  <c r="T87" i="113"/>
  <c r="Q87" i="113"/>
  <c r="P87" i="113"/>
  <c r="S87" i="113"/>
  <c r="P90" i="113"/>
  <c r="R90" i="113"/>
  <c r="Q90" i="113"/>
  <c r="T90" i="113"/>
  <c r="S90" i="113"/>
  <c r="R92" i="113"/>
  <c r="P92" i="113"/>
  <c r="T92" i="113"/>
  <c r="S92" i="113"/>
  <c r="Q92" i="113"/>
  <c r="T84" i="113"/>
  <c r="P84" i="113"/>
  <c r="S84" i="113"/>
  <c r="R84" i="113"/>
  <c r="Q84" i="113"/>
  <c r="Q86" i="113"/>
  <c r="T86" i="113"/>
  <c r="S86" i="113"/>
  <c r="P86" i="113"/>
  <c r="R86" i="113"/>
  <c r="S89" i="113"/>
  <c r="T89" i="113"/>
  <c r="P89" i="113"/>
  <c r="Q89" i="113"/>
  <c r="R89" i="113"/>
  <c r="S93" i="113"/>
  <c r="R93" i="113"/>
  <c r="Q93" i="113"/>
  <c r="P93" i="113"/>
  <c r="T93" i="113"/>
  <c r="R83" i="113"/>
  <c r="Q83" i="113"/>
  <c r="P83" i="113"/>
  <c r="S83" i="113"/>
  <c r="T83" i="113"/>
  <c r="T82" i="113"/>
  <c r="S82" i="113"/>
  <c r="Q82" i="113"/>
  <c r="R82" i="113"/>
  <c r="BP2" i="92"/>
  <c r="C14" i="94" s="1"/>
  <c r="AH2" i="121"/>
  <c r="R81" i="46"/>
  <c r="M81" i="46" s="1"/>
  <c r="S83" i="46"/>
  <c r="AK31" i="92"/>
  <c r="BG31" i="92"/>
  <c r="CH31" i="92"/>
  <c r="BB31" i="92"/>
  <c r="BC31" i="92" s="1"/>
  <c r="BE31" i="92"/>
  <c r="BJ31" i="92" s="1"/>
  <c r="BF31" i="92"/>
  <c r="BK31" i="92" s="1"/>
  <c r="CQ35" i="92"/>
  <c r="CQ34" i="92"/>
  <c r="C16" i="92"/>
  <c r="F45" i="46"/>
  <c r="F46" i="46"/>
  <c r="C47" i="46"/>
  <c r="BT35" i="92"/>
  <c r="BT34" i="92"/>
  <c r="F27" i="82"/>
  <c r="BS35" i="92"/>
  <c r="BV35" i="92"/>
  <c r="BW35" i="92"/>
  <c r="BS34" i="92"/>
  <c r="BS1" i="92" s="1"/>
  <c r="BW34" i="92"/>
  <c r="BV34" i="92"/>
  <c r="C27" i="82"/>
  <c r="P27" i="82" s="1"/>
  <c r="I27" i="82"/>
  <c r="H27" i="82"/>
  <c r="G28" i="82"/>
  <c r="E28" i="82"/>
  <c r="B29" i="82"/>
  <c r="I53" i="46"/>
  <c r="J53" i="46"/>
  <c r="D53" i="46"/>
  <c r="G53" i="46"/>
  <c r="K54" i="46"/>
  <c r="B54" i="46"/>
  <c r="E54" i="46"/>
  <c r="A55" i="46"/>
  <c r="BC42" i="108" l="1"/>
  <c r="BB42" i="108" s="1"/>
  <c r="CR42" i="108" s="1"/>
  <c r="AP35" i="108"/>
  <c r="AR35" i="108" s="1"/>
  <c r="DK35" i="108"/>
  <c r="BD30" i="108"/>
  <c r="BG41" i="108"/>
  <c r="BL41" i="108" s="1"/>
  <c r="BD35" i="108"/>
  <c r="BD23" i="108"/>
  <c r="BI23" i="108" s="1"/>
  <c r="BN23" i="108" s="1"/>
  <c r="BD18" i="108"/>
  <c r="BD41" i="108"/>
  <c r="CJ27" i="108"/>
  <c r="BD29" i="108"/>
  <c r="BG26" i="108"/>
  <c r="BL26" i="108" s="1"/>
  <c r="BH26" i="108"/>
  <c r="BM26" i="108" s="1"/>
  <c r="BH28" i="108"/>
  <c r="BM28" i="108" s="1"/>
  <c r="DK18" i="108"/>
  <c r="BE40" i="108"/>
  <c r="BJ40" i="108" s="1"/>
  <c r="BF40" i="108"/>
  <c r="BK40" i="108" s="1"/>
  <c r="BG18" i="108"/>
  <c r="BL18" i="108" s="1"/>
  <c r="CJ18" i="108"/>
  <c r="BC25" i="108"/>
  <c r="BB25" i="108" s="1"/>
  <c r="CM25" i="108" s="1"/>
  <c r="CL25" i="108" s="1"/>
  <c r="CN25" i="108" s="1"/>
  <c r="BD28" i="108"/>
  <c r="BI28" i="108" s="1"/>
  <c r="BN28" i="108" s="1"/>
  <c r="AB31" i="115"/>
  <c r="CA31" i="108"/>
  <c r="CJ28" i="108"/>
  <c r="BG30" i="108"/>
  <c r="BL30" i="108" s="1"/>
  <c r="BH35" i="108"/>
  <c r="BM35" i="108" s="1"/>
  <c r="BH29" i="108"/>
  <c r="BM29" i="108" s="1"/>
  <c r="BD26" i="108"/>
  <c r="BI26" i="108" s="1"/>
  <c r="BN26" i="108" s="1"/>
  <c r="BH27" i="108"/>
  <c r="BM27" i="108" s="1"/>
  <c r="DK29" i="108"/>
  <c r="DK26" i="108"/>
  <c r="BE21" i="108"/>
  <c r="BJ21" i="108" s="1"/>
  <c r="BF21" i="108"/>
  <c r="BK21" i="108" s="1"/>
  <c r="BG35" i="108"/>
  <c r="BL35" i="108" s="1"/>
  <c r="BD27" i="108"/>
  <c r="BI27" i="108" s="1"/>
  <c r="BN27" i="108" s="1"/>
  <c r="AB27" i="115"/>
  <c r="BP27" i="108"/>
  <c r="AB35" i="115"/>
  <c r="BP35" i="108"/>
  <c r="AB29" i="115"/>
  <c r="BP29" i="108"/>
  <c r="BG27" i="108"/>
  <c r="BL27" i="108" s="1"/>
  <c r="AB30" i="115"/>
  <c r="BP30" i="108"/>
  <c r="U33" i="108"/>
  <c r="V33" i="108" s="1"/>
  <c r="BT33" i="108"/>
  <c r="BE37" i="108"/>
  <c r="BJ37" i="108" s="1"/>
  <c r="BF37" i="108"/>
  <c r="BK37" i="108" s="1"/>
  <c r="DC30" i="108"/>
  <c r="DD30" i="108" s="1"/>
  <c r="AQ30" i="108" s="1"/>
  <c r="AB28" i="115"/>
  <c r="BP28" i="108"/>
  <c r="BP26" i="108"/>
  <c r="AB26" i="115"/>
  <c r="BI17" i="108"/>
  <c r="BN17" i="108" s="1"/>
  <c r="BE17" i="108"/>
  <c r="BJ17" i="108" s="1"/>
  <c r="BI31" i="108"/>
  <c r="BN31" i="108" s="1"/>
  <c r="BE31" i="108"/>
  <c r="BJ31" i="108" s="1"/>
  <c r="U15" i="108"/>
  <c r="V15" i="108" s="1"/>
  <c r="BD16" i="108"/>
  <c r="BF16" i="108" s="1"/>
  <c r="BK16" i="108" s="1"/>
  <c r="BH16" i="108"/>
  <c r="BM16" i="108" s="1"/>
  <c r="CJ16" i="108"/>
  <c r="BG16" i="108"/>
  <c r="BL16" i="108" s="1"/>
  <c r="BI12" i="108"/>
  <c r="BN12" i="108" s="1"/>
  <c r="BF12" i="108"/>
  <c r="BK12" i="108" s="1"/>
  <c r="BE12" i="108"/>
  <c r="BJ12" i="108" s="1"/>
  <c r="BS33" i="108"/>
  <c r="BT15" i="108"/>
  <c r="BS15" i="108"/>
  <c r="DK15" i="108"/>
  <c r="BG1" i="124"/>
  <c r="AH7" i="113"/>
  <c r="BR14" i="108"/>
  <c r="V14" i="128"/>
  <c r="AC10" i="113"/>
  <c r="V15" i="107"/>
  <c r="DC33" i="108"/>
  <c r="DD33" i="108" s="1"/>
  <c r="AQ33" i="108" s="1"/>
  <c r="AP33" i="108" s="1"/>
  <c r="AB18" i="115"/>
  <c r="BP18" i="108"/>
  <c r="AR26" i="108"/>
  <c r="AR29" i="108"/>
  <c r="BT16" i="108"/>
  <c r="BS16" i="108"/>
  <c r="DK16" i="108"/>
  <c r="AB12" i="115"/>
  <c r="BP12" i="108"/>
  <c r="AC11" i="113"/>
  <c r="V16" i="107"/>
  <c r="AB17" i="115"/>
  <c r="BP17" i="108"/>
  <c r="AE290" i="123"/>
  <c r="C57" i="98"/>
  <c r="C15" i="94"/>
  <c r="C16" i="94"/>
  <c r="H37" i="98"/>
  <c r="B54" i="98" s="1"/>
  <c r="B51" i="98"/>
  <c r="R82" i="46"/>
  <c r="M82" i="46" s="1"/>
  <c r="S84" i="46"/>
  <c r="AK35" i="92"/>
  <c r="AK34" i="92"/>
  <c r="BG34" i="92"/>
  <c r="BG35" i="92"/>
  <c r="BB35" i="92"/>
  <c r="BC35" i="92" s="1"/>
  <c r="BE34" i="92"/>
  <c r="BJ34" i="92" s="1"/>
  <c r="CH34" i="92"/>
  <c r="BF35" i="92"/>
  <c r="BK35" i="92" s="1"/>
  <c r="BF34" i="92"/>
  <c r="BK34" i="92" s="1"/>
  <c r="CH35" i="92"/>
  <c r="BB34" i="92"/>
  <c r="BC34" i="92" s="1"/>
  <c r="BE35" i="92"/>
  <c r="BJ35" i="92" s="1"/>
  <c r="C66" i="92"/>
  <c r="BW1" i="92"/>
  <c r="BV1" i="92"/>
  <c r="BT1" i="92"/>
  <c r="F47" i="46"/>
  <c r="C48" i="46"/>
  <c r="F28" i="82"/>
  <c r="C28" i="82"/>
  <c r="P28" i="82" s="1"/>
  <c r="B30" i="82"/>
  <c r="E29" i="82"/>
  <c r="G29" i="82"/>
  <c r="I28" i="82"/>
  <c r="H28" i="82"/>
  <c r="I54" i="46"/>
  <c r="J54" i="46"/>
  <c r="E55" i="46"/>
  <c r="A56" i="46"/>
  <c r="K55" i="46"/>
  <c r="B55" i="46"/>
  <c r="D54" i="46"/>
  <c r="G54" i="46"/>
  <c r="AH42" i="108" l="1"/>
  <c r="CZ42" i="108" s="1"/>
  <c r="CM42" i="108"/>
  <c r="CL42" i="108" s="1"/>
  <c r="BE41" i="108"/>
  <c r="BJ41" i="108" s="1"/>
  <c r="BF41" i="108"/>
  <c r="BK41" i="108" s="1"/>
  <c r="BI41" i="108"/>
  <c r="BN41" i="108" s="1"/>
  <c r="BE23" i="108"/>
  <c r="BJ23" i="108" s="1"/>
  <c r="BI18" i="108"/>
  <c r="BN18" i="108" s="1"/>
  <c r="BE18" i="108"/>
  <c r="BJ18" i="108" s="1"/>
  <c r="BF18" i="108"/>
  <c r="BK18" i="108" s="1"/>
  <c r="BI29" i="108"/>
  <c r="BN29" i="108" s="1"/>
  <c r="BF29" i="108"/>
  <c r="BK29" i="108" s="1"/>
  <c r="BE29" i="108"/>
  <c r="BJ29" i="108" s="1"/>
  <c r="BI30" i="108"/>
  <c r="BN30" i="108" s="1"/>
  <c r="BE30" i="108"/>
  <c r="BJ30" i="108" s="1"/>
  <c r="BF30" i="108"/>
  <c r="BK30" i="108" s="1"/>
  <c r="BG33" i="108"/>
  <c r="BL33" i="108" s="1"/>
  <c r="BG29" i="108"/>
  <c r="BL29" i="108" s="1"/>
  <c r="BH30" i="108"/>
  <c r="BM30" i="108" s="1"/>
  <c r="BG28" i="108"/>
  <c r="BL28" i="108" s="1"/>
  <c r="CJ30" i="108"/>
  <c r="BH18" i="108"/>
  <c r="BM18" i="108" s="1"/>
  <c r="CJ35" i="108"/>
  <c r="CJ29" i="108"/>
  <c r="CJ26" i="108"/>
  <c r="BF23" i="108"/>
  <c r="BK23" i="108" s="1"/>
  <c r="U14" i="108"/>
  <c r="V14" i="108" s="1"/>
  <c r="CV14" i="108"/>
  <c r="DC14" i="108" s="1"/>
  <c r="DD14" i="108" s="1"/>
  <c r="AQ14" i="108" s="1"/>
  <c r="AP14" i="108" s="1"/>
  <c r="AR14" i="108" s="1"/>
  <c r="DE25" i="108"/>
  <c r="BC40" i="108"/>
  <c r="BB40" i="108" s="1"/>
  <c r="CM40" i="108" s="1"/>
  <c r="CL40" i="108" s="1"/>
  <c r="CR25" i="108"/>
  <c r="CS25" i="108" s="1"/>
  <c r="AH25" i="108" s="1"/>
  <c r="CX25" i="108" s="1"/>
  <c r="BE28" i="108"/>
  <c r="BJ28" i="108" s="1"/>
  <c r="BC21" i="108"/>
  <c r="BB21" i="108" s="1"/>
  <c r="CR21" i="108" s="1"/>
  <c r="CS21" i="108" s="1"/>
  <c r="AH21" i="108" s="1"/>
  <c r="BF28" i="108"/>
  <c r="BK28" i="108" s="1"/>
  <c r="BE26" i="108"/>
  <c r="BJ26" i="108" s="1"/>
  <c r="BD33" i="108"/>
  <c r="BI33" i="108" s="1"/>
  <c r="BN33" i="108" s="1"/>
  <c r="BH33" i="108"/>
  <c r="BM33" i="108" s="1"/>
  <c r="BC37" i="108"/>
  <c r="BB37" i="108" s="1"/>
  <c r="CM37" i="108" s="1"/>
  <c r="CL37" i="108" s="1"/>
  <c r="BF26" i="108"/>
  <c r="BK26" i="108" s="1"/>
  <c r="BE27" i="108"/>
  <c r="BJ27" i="108" s="1"/>
  <c r="AP30" i="108"/>
  <c r="AR30" i="108" s="1"/>
  <c r="DK30" i="108"/>
  <c r="DK33" i="108"/>
  <c r="BF27" i="108"/>
  <c r="BK27" i="108" s="1"/>
  <c r="CJ33" i="108"/>
  <c r="AB33" i="115"/>
  <c r="BP33" i="108"/>
  <c r="CA33" i="108"/>
  <c r="BE35" i="108"/>
  <c r="BJ35" i="108" s="1"/>
  <c r="BF35" i="108"/>
  <c r="BK35" i="108" s="1"/>
  <c r="BI35" i="108"/>
  <c r="BN35" i="108" s="1"/>
  <c r="BC17" i="108"/>
  <c r="BB17" i="108" s="1"/>
  <c r="CM17" i="108" s="1"/>
  <c r="CL17" i="108" s="1"/>
  <c r="BI16" i="108"/>
  <c r="BN16" i="108" s="1"/>
  <c r="BE16" i="108"/>
  <c r="BJ16" i="108" s="1"/>
  <c r="BG15" i="108"/>
  <c r="BL15" i="108" s="1"/>
  <c r="CJ15" i="108"/>
  <c r="BH15" i="108"/>
  <c r="BM15" i="108" s="1"/>
  <c r="BD15" i="108"/>
  <c r="BC31" i="108"/>
  <c r="BB31" i="108" s="1"/>
  <c r="CO25" i="108"/>
  <c r="BC12" i="108"/>
  <c r="BB12" i="108" s="1"/>
  <c r="AH10" i="113"/>
  <c r="BV1" i="124"/>
  <c r="AH11" i="113"/>
  <c r="CA1" i="124"/>
  <c r="AB15" i="115"/>
  <c r="BP15" i="108"/>
  <c r="AB16" i="115"/>
  <c r="BP16" i="108"/>
  <c r="AR33" i="108"/>
  <c r="BT14" i="108"/>
  <c r="BS14" i="108"/>
  <c r="AC9" i="113"/>
  <c r="V14" i="107"/>
  <c r="J37" i="98"/>
  <c r="G43" i="98"/>
  <c r="B55" i="98"/>
  <c r="M21" i="113"/>
  <c r="M27" i="113"/>
  <c r="M22" i="113"/>
  <c r="M31" i="113"/>
  <c r="M29" i="113"/>
  <c r="M30" i="113"/>
  <c r="M28" i="113"/>
  <c r="M24" i="113"/>
  <c r="M26" i="113"/>
  <c r="M25" i="113"/>
  <c r="M23" i="113"/>
  <c r="R83" i="46"/>
  <c r="M83" i="46" s="1"/>
  <c r="CF7" i="92"/>
  <c r="CF35" i="92"/>
  <c r="CF15" i="92"/>
  <c r="CF14" i="92"/>
  <c r="CF18" i="92"/>
  <c r="CF9" i="92"/>
  <c r="CF10" i="92"/>
  <c r="CF12" i="92"/>
  <c r="CF17" i="92"/>
  <c r="CF13" i="92"/>
  <c r="CF16" i="92"/>
  <c r="CF11" i="92"/>
  <c r="CF26" i="92"/>
  <c r="U26" i="98" s="1"/>
  <c r="CF20" i="92"/>
  <c r="U20" i="98" s="1"/>
  <c r="CF36" i="92"/>
  <c r="U36" i="98" s="1"/>
  <c r="CF32" i="92"/>
  <c r="U32" i="98" s="1"/>
  <c r="CF27" i="92"/>
  <c r="U27" i="98" s="1"/>
  <c r="CF8" i="92"/>
  <c r="CF25" i="92"/>
  <c r="U25" i="98" s="1"/>
  <c r="CF24" i="92"/>
  <c r="U24" i="98" s="1"/>
  <c r="CF21" i="92"/>
  <c r="U21" i="98" s="1"/>
  <c r="CF30" i="92"/>
  <c r="U30" i="98" s="1"/>
  <c r="CF23" i="92"/>
  <c r="U23" i="98" s="1"/>
  <c r="CF28" i="92"/>
  <c r="U28" i="98" s="1"/>
  <c r="CF22" i="92"/>
  <c r="U22" i="98" s="1"/>
  <c r="CF33" i="92"/>
  <c r="U33" i="98" s="1"/>
  <c r="CF29" i="92"/>
  <c r="U29" i="98" s="1"/>
  <c r="CF19" i="92"/>
  <c r="U19" i="98" s="1"/>
  <c r="CF31" i="92"/>
  <c r="U31" i="98" s="1"/>
  <c r="CF34" i="92"/>
  <c r="U34" i="98" s="1"/>
  <c r="L37" i="98"/>
  <c r="D51" i="98" s="1"/>
  <c r="K37" i="98"/>
  <c r="F48" i="46"/>
  <c r="C49" i="46"/>
  <c r="F29" i="82"/>
  <c r="C29" i="82"/>
  <c r="P29" i="82" s="1"/>
  <c r="H29" i="82"/>
  <c r="I29" i="82"/>
  <c r="G30" i="82"/>
  <c r="B31" i="82"/>
  <c r="E30" i="82"/>
  <c r="I55" i="46"/>
  <c r="J55" i="46"/>
  <c r="G55" i="46"/>
  <c r="D55" i="46"/>
  <c r="A57" i="46"/>
  <c r="E56" i="46"/>
  <c r="B56" i="46"/>
  <c r="K56" i="46"/>
  <c r="AL42" i="108" l="1"/>
  <c r="AK42" i="108" s="1"/>
  <c r="CX42" i="108"/>
  <c r="DA42" i="108" s="1"/>
  <c r="CW42" i="108"/>
  <c r="CN42" i="108"/>
  <c r="CO42" i="108" s="1"/>
  <c r="DE42" i="108"/>
  <c r="BC41" i="108"/>
  <c r="BB41" i="108" s="1"/>
  <c r="CR41" i="108" s="1"/>
  <c r="CS41" i="108" s="1"/>
  <c r="AH41" i="108" s="1"/>
  <c r="CZ41" i="108" s="1"/>
  <c r="BC23" i="108"/>
  <c r="BB23" i="108" s="1"/>
  <c r="CM23" i="108" s="1"/>
  <c r="CL23" i="108" s="1"/>
  <c r="DE23" i="108" s="1"/>
  <c r="BC29" i="108"/>
  <c r="BB29" i="108" s="1"/>
  <c r="CR29" i="108" s="1"/>
  <c r="CS29" i="108" s="1"/>
  <c r="AH29" i="108" s="1"/>
  <c r="BC18" i="108"/>
  <c r="BB18" i="108" s="1"/>
  <c r="CM18" i="108" s="1"/>
  <c r="CL18" i="108" s="1"/>
  <c r="CN18" i="108" s="1"/>
  <c r="BC30" i="108"/>
  <c r="BB30" i="108" s="1"/>
  <c r="CM30" i="108" s="1"/>
  <c r="CL30" i="108" s="1"/>
  <c r="CN30" i="108" s="1"/>
  <c r="CJ14" i="108"/>
  <c r="CZ25" i="108"/>
  <c r="DA25" i="108" s="1"/>
  <c r="DK14" i="108"/>
  <c r="BD14" i="108"/>
  <c r="BE14" i="108" s="1"/>
  <c r="BJ14" i="108" s="1"/>
  <c r="BG14" i="108"/>
  <c r="BL14" i="108" s="1"/>
  <c r="CR40" i="108"/>
  <c r="CS40" i="108" s="1"/>
  <c r="AH40" i="108" s="1"/>
  <c r="CX40" i="108" s="1"/>
  <c r="CW25" i="108"/>
  <c r="CY25" i="108" s="1"/>
  <c r="AL25" i="108" s="1"/>
  <c r="AK25" i="108" s="1"/>
  <c r="BC28" i="108"/>
  <c r="BB28" i="108" s="1"/>
  <c r="CR28" i="108" s="1"/>
  <c r="CS28" i="108" s="1"/>
  <c r="AH28" i="108" s="1"/>
  <c r="CZ28" i="108" s="1"/>
  <c r="BC26" i="108"/>
  <c r="BB26" i="108" s="1"/>
  <c r="CM26" i="108" s="1"/>
  <c r="CL26" i="108" s="1"/>
  <c r="DE26" i="108" s="1"/>
  <c r="CM21" i="108"/>
  <c r="CL21" i="108" s="1"/>
  <c r="DE21" i="108" s="1"/>
  <c r="BC27" i="108"/>
  <c r="BB27" i="108" s="1"/>
  <c r="CR27" i="108" s="1"/>
  <c r="CS27" i="108" s="1"/>
  <c r="BF33" i="108"/>
  <c r="BK33" i="108" s="1"/>
  <c r="BE33" i="108"/>
  <c r="BJ33" i="108" s="1"/>
  <c r="CR37" i="108"/>
  <c r="CS37" i="108" s="1"/>
  <c r="AH37" i="108" s="1"/>
  <c r="CW37" i="108" s="1"/>
  <c r="BC35" i="108"/>
  <c r="BB35" i="108" s="1"/>
  <c r="AL21" i="108"/>
  <c r="CR17" i="108"/>
  <c r="CS17" i="108" s="1"/>
  <c r="AH17" i="108" s="1"/>
  <c r="BC16" i="108"/>
  <c r="BB16" i="108" s="1"/>
  <c r="CM16" i="108" s="1"/>
  <c r="CL16" i="108" s="1"/>
  <c r="CW21" i="108"/>
  <c r="CZ21" i="108"/>
  <c r="AU25" i="108"/>
  <c r="AV25" i="108"/>
  <c r="BI15" i="108"/>
  <c r="BN15" i="108" s="1"/>
  <c r="BE15" i="108"/>
  <c r="BJ15" i="108" s="1"/>
  <c r="BF15" i="108"/>
  <c r="BK15" i="108" s="1"/>
  <c r="CN37" i="108"/>
  <c r="DE37" i="108"/>
  <c r="CN17" i="108"/>
  <c r="DE17" i="108"/>
  <c r="DG17" i="108" s="1"/>
  <c r="CM31" i="108"/>
  <c r="CL31" i="108" s="1"/>
  <c r="CR31" i="108"/>
  <c r="CS31" i="108" s="1"/>
  <c r="AH31" i="108" s="1"/>
  <c r="AL31" i="108" s="1"/>
  <c r="DE40" i="108"/>
  <c r="CN40" i="108"/>
  <c r="CR12" i="108"/>
  <c r="CS12" i="108" s="1"/>
  <c r="AH12" i="108" s="1"/>
  <c r="CM12" i="108"/>
  <c r="CL12" i="108" s="1"/>
  <c r="AB14" i="115"/>
  <c r="BP14" i="108"/>
  <c r="BQ1" i="124"/>
  <c r="AH9" i="113"/>
  <c r="P1" i="113"/>
  <c r="P2" i="113" s="1"/>
  <c r="P20" i="113"/>
  <c r="Q20" i="113"/>
  <c r="S25" i="113"/>
  <c r="T25" i="113"/>
  <c r="S31" i="113"/>
  <c r="T31" i="113"/>
  <c r="S26" i="113"/>
  <c r="T26" i="113"/>
  <c r="S24" i="113"/>
  <c r="T24" i="113"/>
  <c r="S22" i="113"/>
  <c r="T22" i="113"/>
  <c r="S27" i="113"/>
  <c r="T27" i="113"/>
  <c r="S30" i="113"/>
  <c r="T30" i="113"/>
  <c r="S21" i="113"/>
  <c r="T21" i="113"/>
  <c r="S28" i="113"/>
  <c r="T28" i="113"/>
  <c r="S23" i="113"/>
  <c r="T23" i="113"/>
  <c r="S29" i="113"/>
  <c r="T29" i="113"/>
  <c r="S20" i="113"/>
  <c r="T20" i="113"/>
  <c r="R20" i="113"/>
  <c r="Q26" i="113"/>
  <c r="R26" i="113"/>
  <c r="Q25" i="113"/>
  <c r="R25" i="113"/>
  <c r="Q31" i="113"/>
  <c r="R31" i="113"/>
  <c r="Q24" i="113"/>
  <c r="R24" i="113"/>
  <c r="Q22" i="113"/>
  <c r="R22" i="113"/>
  <c r="Q27" i="113"/>
  <c r="R27" i="113"/>
  <c r="Q30" i="113"/>
  <c r="R30" i="113"/>
  <c r="Q21" i="113"/>
  <c r="R21" i="113"/>
  <c r="Q28" i="113"/>
  <c r="R28" i="113"/>
  <c r="Q23" i="113"/>
  <c r="R23" i="113"/>
  <c r="Q29" i="113"/>
  <c r="R29" i="113"/>
  <c r="P25" i="113"/>
  <c r="P31" i="113"/>
  <c r="P24" i="113"/>
  <c r="P22" i="113"/>
  <c r="P26" i="113"/>
  <c r="P28" i="113"/>
  <c r="P27" i="113"/>
  <c r="P30" i="113"/>
  <c r="P21" i="113"/>
  <c r="P23" i="113"/>
  <c r="P29" i="113"/>
  <c r="R84" i="46"/>
  <c r="M84" i="46" s="1"/>
  <c r="R85" i="46"/>
  <c r="M85" i="46" s="1"/>
  <c r="E73" i="92"/>
  <c r="E74" i="92"/>
  <c r="E69" i="92"/>
  <c r="E68" i="92"/>
  <c r="U10" i="98"/>
  <c r="E103" i="92"/>
  <c r="E72" i="92"/>
  <c r="E110" i="92"/>
  <c r="U17" i="98"/>
  <c r="U12" i="98"/>
  <c r="E105" i="92"/>
  <c r="U13" i="98"/>
  <c r="E106" i="92"/>
  <c r="E70" i="92"/>
  <c r="U35" i="98"/>
  <c r="E76" i="92"/>
  <c r="CF1" i="92"/>
  <c r="E75" i="92"/>
  <c r="U7" i="98"/>
  <c r="E100" i="92"/>
  <c r="U14" i="98"/>
  <c r="E107" i="92"/>
  <c r="E111" i="92"/>
  <c r="U18" i="98"/>
  <c r="U15" i="98"/>
  <c r="E108" i="92"/>
  <c r="E101" i="92"/>
  <c r="U8" i="98"/>
  <c r="U16" i="98"/>
  <c r="E109" i="92"/>
  <c r="U11" i="98"/>
  <c r="E104" i="92"/>
  <c r="U9" i="98"/>
  <c r="E102" i="92"/>
  <c r="F49" i="46"/>
  <c r="C50" i="46"/>
  <c r="F30" i="82"/>
  <c r="H30" i="82" s="1"/>
  <c r="C30" i="82"/>
  <c r="P30" i="82" s="1"/>
  <c r="B32" i="82"/>
  <c r="E31" i="82"/>
  <c r="G31" i="82"/>
  <c r="I30" i="82"/>
  <c r="I56" i="46"/>
  <c r="J56" i="46"/>
  <c r="K57" i="46"/>
  <c r="B57" i="46"/>
  <c r="A58" i="46"/>
  <c r="E57" i="46"/>
  <c r="D56" i="46"/>
  <c r="G56" i="46"/>
  <c r="DH42" i="108" l="1"/>
  <c r="CY42" i="108"/>
  <c r="AS42" i="108"/>
  <c r="AT42" i="108" s="1"/>
  <c r="CM41" i="108"/>
  <c r="CL41" i="108" s="1"/>
  <c r="CX41" i="108" s="1"/>
  <c r="DA41" i="108" s="1"/>
  <c r="CW41" i="108"/>
  <c r="AL41" i="108"/>
  <c r="AK41" i="108" s="1"/>
  <c r="AM41" i="108" s="1"/>
  <c r="Y41" i="108" s="1"/>
  <c r="CN23" i="108"/>
  <c r="CO23" i="108" s="1"/>
  <c r="AV23" i="108" s="1"/>
  <c r="CM29" i="108"/>
  <c r="CL29" i="108" s="1"/>
  <c r="CX29" i="108" s="1"/>
  <c r="CR23" i="108"/>
  <c r="CS23" i="108" s="1"/>
  <c r="AH23" i="108" s="1"/>
  <c r="CX23" i="108" s="1"/>
  <c r="DE18" i="108"/>
  <c r="DE30" i="108"/>
  <c r="CR30" i="108"/>
  <c r="CS30" i="108" s="1"/>
  <c r="AH30" i="108" s="1"/>
  <c r="CX30" i="108" s="1"/>
  <c r="CR18" i="108"/>
  <c r="CS18" i="108" s="1"/>
  <c r="AH18" i="108" s="1"/>
  <c r="CZ18" i="108" s="1"/>
  <c r="BH14" i="108"/>
  <c r="BM14" i="108" s="1"/>
  <c r="BF14" i="108"/>
  <c r="BK14" i="108" s="1"/>
  <c r="BI14" i="108"/>
  <c r="BN14" i="108" s="1"/>
  <c r="CW40" i="108"/>
  <c r="CY40" i="108" s="1"/>
  <c r="AL40" i="108" s="1"/>
  <c r="DH40" i="108" s="1"/>
  <c r="CZ40" i="108"/>
  <c r="DA40" i="108" s="1"/>
  <c r="AE42" i="131"/>
  <c r="AU42" i="108"/>
  <c r="AV42" i="108"/>
  <c r="AM42" i="131" s="1"/>
  <c r="AM42" i="108"/>
  <c r="Y42" i="108" s="1"/>
  <c r="AO42" i="108"/>
  <c r="DH25" i="108"/>
  <c r="CW28" i="108"/>
  <c r="AL28" i="108"/>
  <c r="AK28" i="108" s="1"/>
  <c r="CM28" i="108"/>
  <c r="CL28" i="108" s="1"/>
  <c r="DE28" i="108" s="1"/>
  <c r="CN26" i="108"/>
  <c r="CO26" i="108" s="1"/>
  <c r="CN21" i="108"/>
  <c r="CO21" i="108" s="1"/>
  <c r="CR26" i="108"/>
  <c r="CS26" i="108" s="1"/>
  <c r="AH26" i="108" s="1"/>
  <c r="CZ26" i="108" s="1"/>
  <c r="CM27" i="108"/>
  <c r="CL27" i="108" s="1"/>
  <c r="CN27" i="108" s="1"/>
  <c r="CO27" i="108" s="1"/>
  <c r="CX21" i="108"/>
  <c r="CY21" i="108" s="1"/>
  <c r="CZ37" i="108"/>
  <c r="AH27" i="108"/>
  <c r="CX37" i="108"/>
  <c r="CY37" i="108" s="1"/>
  <c r="AL37" i="108" s="1"/>
  <c r="AK37" i="108" s="1"/>
  <c r="AM37" i="108" s="1"/>
  <c r="Y37" i="108" s="1"/>
  <c r="BC33" i="108"/>
  <c r="BB33" i="108" s="1"/>
  <c r="CR33" i="108" s="1"/>
  <c r="CS33" i="108" s="1"/>
  <c r="AH33" i="108" s="1"/>
  <c r="CW17" i="108"/>
  <c r="AL17" i="108"/>
  <c r="DH17" i="108" s="1"/>
  <c r="CX31" i="108"/>
  <c r="CX17" i="108"/>
  <c r="CM35" i="108"/>
  <c r="CL35" i="108" s="1"/>
  <c r="CR35" i="108"/>
  <c r="CS35" i="108" s="1"/>
  <c r="AH35" i="108" s="1"/>
  <c r="AK31" i="108"/>
  <c r="DH31" i="108"/>
  <c r="AM25" i="108"/>
  <c r="Y25" i="108" s="1"/>
  <c r="AO25" i="108"/>
  <c r="AS25" i="108"/>
  <c r="AT25" i="108" s="1"/>
  <c r="AK21" i="108"/>
  <c r="DH21" i="108"/>
  <c r="CZ17" i="108"/>
  <c r="CR16" i="108"/>
  <c r="CS16" i="108" s="1"/>
  <c r="AH16" i="108" s="1"/>
  <c r="CZ31" i="108"/>
  <c r="CW31" i="108"/>
  <c r="BC15" i="108"/>
  <c r="BB15" i="108" s="1"/>
  <c r="DE31" i="108"/>
  <c r="CN31" i="108"/>
  <c r="CO17" i="108"/>
  <c r="CO40" i="108"/>
  <c r="AE40" i="131" s="1"/>
  <c r="CO30" i="108"/>
  <c r="CZ29" i="108"/>
  <c r="CW29" i="108"/>
  <c r="CO18" i="108"/>
  <c r="AE18" i="128" s="1"/>
  <c r="CN16" i="108"/>
  <c r="CO16" i="108" s="1"/>
  <c r="AE16" i="128" s="1"/>
  <c r="DE16" i="108"/>
  <c r="DG16" i="108" s="1"/>
  <c r="CO37" i="108"/>
  <c r="CN12" i="108"/>
  <c r="CX12" i="108"/>
  <c r="DE12" i="108"/>
  <c r="CZ12" i="108"/>
  <c r="CW12" i="108"/>
  <c r="Q2" i="113"/>
  <c r="S85" i="46"/>
  <c r="F50" i="46"/>
  <c r="C51" i="46"/>
  <c r="F31" i="82"/>
  <c r="C31" i="82"/>
  <c r="P31" i="82" s="1"/>
  <c r="H31" i="82"/>
  <c r="I31" i="82"/>
  <c r="E32" i="82"/>
  <c r="B33" i="82"/>
  <c r="G32" i="82"/>
  <c r="I57" i="46"/>
  <c r="J57" i="46"/>
  <c r="A59" i="46"/>
  <c r="K58" i="46"/>
  <c r="B58" i="46"/>
  <c r="E58" i="46"/>
  <c r="G57" i="46"/>
  <c r="D57" i="46"/>
  <c r="CY41" i="108" l="1"/>
  <c r="DE41" i="108"/>
  <c r="CN41" i="108"/>
  <c r="CO41" i="108" s="1"/>
  <c r="AE41" i="131" s="1"/>
  <c r="DH41" i="108"/>
  <c r="AO41" i="108"/>
  <c r="AU23" i="108"/>
  <c r="CN29" i="108"/>
  <c r="CO29" i="108" s="1"/>
  <c r="CW23" i="108"/>
  <c r="CY23" i="108" s="1"/>
  <c r="AL23" i="108" s="1"/>
  <c r="AK23" i="108" s="1"/>
  <c r="AO23" i="108" s="1"/>
  <c r="DE29" i="108"/>
  <c r="CZ23" i="108"/>
  <c r="DA23" i="108" s="1"/>
  <c r="CZ30" i="108"/>
  <c r="DA30" i="108" s="1"/>
  <c r="CW30" i="108"/>
  <c r="CY30" i="108" s="1"/>
  <c r="AL30" i="108" s="1"/>
  <c r="AK30" i="108" s="1"/>
  <c r="CW18" i="108"/>
  <c r="CX18" i="108"/>
  <c r="DA18" i="108" s="1"/>
  <c r="BC14" i="108"/>
  <c r="BB14" i="108" s="1"/>
  <c r="CM14" i="108" s="1"/>
  <c r="CL14" i="108" s="1"/>
  <c r="DE14" i="108" s="1"/>
  <c r="DG14" i="108" s="1"/>
  <c r="AK40" i="108"/>
  <c r="S42" i="108"/>
  <c r="P178" i="120" s="1"/>
  <c r="AD42" i="108"/>
  <c r="S41" i="108"/>
  <c r="P177" i="120" s="1"/>
  <c r="AD41" i="108"/>
  <c r="CN28" i="108"/>
  <c r="CO28" i="108" s="1"/>
  <c r="AU28" i="108" s="1"/>
  <c r="DH28" i="108"/>
  <c r="CX28" i="108"/>
  <c r="CY28" i="108" s="1"/>
  <c r="AS21" i="108"/>
  <c r="AT21" i="108" s="1"/>
  <c r="CX26" i="108"/>
  <c r="DA26" i="108" s="1"/>
  <c r="DE27" i="108"/>
  <c r="CW26" i="108"/>
  <c r="DA21" i="108"/>
  <c r="CX27" i="108"/>
  <c r="CZ27" i="108"/>
  <c r="CW27" i="108"/>
  <c r="DA37" i="108"/>
  <c r="AO37" i="108" s="1"/>
  <c r="DA29" i="108"/>
  <c r="DH37" i="108"/>
  <c r="CM33" i="108"/>
  <c r="CL33" i="108" s="1"/>
  <c r="CX33" i="108" s="1"/>
  <c r="CZ33" i="108"/>
  <c r="CW33" i="108"/>
  <c r="CY31" i="108"/>
  <c r="DA17" i="108"/>
  <c r="CY17" i="108"/>
  <c r="AK17" i="108"/>
  <c r="AS17" i="108" s="1"/>
  <c r="AT17" i="108" s="1"/>
  <c r="CW16" i="108"/>
  <c r="AL16" i="108"/>
  <c r="DH16" i="108" s="1"/>
  <c r="DA31" i="108"/>
  <c r="AS37" i="108"/>
  <c r="AT37" i="108" s="1"/>
  <c r="CX16" i="108"/>
  <c r="AE17" i="128"/>
  <c r="CW35" i="108"/>
  <c r="CZ35" i="108"/>
  <c r="CX35" i="108"/>
  <c r="CN35" i="108"/>
  <c r="DE35" i="108"/>
  <c r="CY29" i="108"/>
  <c r="AL29" i="108" s="1"/>
  <c r="AO31" i="108"/>
  <c r="AM31" i="108"/>
  <c r="Y31" i="108" s="1"/>
  <c r="AM21" i="108"/>
  <c r="Y21" i="108" s="1"/>
  <c r="AO21" i="108"/>
  <c r="AM28" i="108"/>
  <c r="Y28" i="108" s="1"/>
  <c r="AO28" i="108"/>
  <c r="S37" i="108"/>
  <c r="P173" i="120" s="1"/>
  <c r="AD37" i="108"/>
  <c r="S25" i="108"/>
  <c r="P161" i="120" s="1"/>
  <c r="AD25" i="108"/>
  <c r="CZ16" i="108"/>
  <c r="AU27" i="108"/>
  <c r="AV27" i="108"/>
  <c r="AU21" i="108"/>
  <c r="AV21" i="108"/>
  <c r="CO31" i="108"/>
  <c r="AS31" i="108"/>
  <c r="AT31" i="108" s="1"/>
  <c r="AU26" i="108"/>
  <c r="AV26" i="108"/>
  <c r="AU37" i="108"/>
  <c r="AV37" i="108"/>
  <c r="AU30" i="108"/>
  <c r="AV30" i="108"/>
  <c r="AU40" i="108"/>
  <c r="AV40" i="108"/>
  <c r="AM40" i="131" s="1"/>
  <c r="CR15" i="108"/>
  <c r="CS15" i="108" s="1"/>
  <c r="AH15" i="108" s="1"/>
  <c r="CM15" i="108"/>
  <c r="CL15" i="108" s="1"/>
  <c r="CY12" i="108"/>
  <c r="AL12" i="108" s="1"/>
  <c r="DA12" i="108"/>
  <c r="CO12" i="108"/>
  <c r="AE12" i="128" s="1"/>
  <c r="C52" i="46"/>
  <c r="F51" i="46"/>
  <c r="F32" i="82"/>
  <c r="C32" i="82"/>
  <c r="P32" i="82" s="1"/>
  <c r="H32" i="82"/>
  <c r="I32" i="82"/>
  <c r="B34" i="82"/>
  <c r="E33" i="82"/>
  <c r="G33" i="82"/>
  <c r="I58" i="46"/>
  <c r="J58" i="46"/>
  <c r="A60" i="46"/>
  <c r="E59" i="46"/>
  <c r="B59" i="46"/>
  <c r="K59" i="46"/>
  <c r="D58" i="46"/>
  <c r="G58" i="46"/>
  <c r="AS41" i="108" l="1"/>
  <c r="AT41" i="108" s="1"/>
  <c r="AV41" i="108"/>
  <c r="AM41" i="131" s="1"/>
  <c r="AU41" i="108"/>
  <c r="AM23" i="108"/>
  <c r="Y23" i="108" s="1"/>
  <c r="S23" i="108" s="1"/>
  <c r="P159" i="120" s="1"/>
  <c r="AS23" i="108"/>
  <c r="AT23" i="108" s="1"/>
  <c r="DH23" i="108"/>
  <c r="AO30" i="108"/>
  <c r="DH30" i="108"/>
  <c r="CY18" i="108"/>
  <c r="AL18" i="108" s="1"/>
  <c r="AK18" i="108" s="1"/>
  <c r="AS18" i="108" s="1"/>
  <c r="AT18" i="108" s="1"/>
  <c r="AA161" i="120"/>
  <c r="Z161" i="120"/>
  <c r="Y161" i="120"/>
  <c r="X161" i="120"/>
  <c r="S161" i="120"/>
  <c r="T161" i="120"/>
  <c r="V161" i="120"/>
  <c r="W161" i="120"/>
  <c r="AA177" i="120"/>
  <c r="Z177" i="120"/>
  <c r="S177" i="120"/>
  <c r="V177" i="120"/>
  <c r="X177" i="120"/>
  <c r="Y177" i="120"/>
  <c r="T177" i="120"/>
  <c r="W177" i="120"/>
  <c r="Z178" i="120"/>
  <c r="AA178" i="120"/>
  <c r="Y178" i="120"/>
  <c r="X178" i="120"/>
  <c r="S178" i="120"/>
  <c r="V178" i="120"/>
  <c r="T178" i="120"/>
  <c r="W178" i="120"/>
  <c r="AA173" i="120"/>
  <c r="Z173" i="120"/>
  <c r="V173" i="120"/>
  <c r="X173" i="120"/>
  <c r="T173" i="120"/>
  <c r="Y173" i="120"/>
  <c r="S173" i="120"/>
  <c r="W173" i="120"/>
  <c r="CN14" i="108"/>
  <c r="CO14" i="108" s="1"/>
  <c r="AE14" i="128" s="1"/>
  <c r="CR14" i="108"/>
  <c r="CS14" i="108" s="1"/>
  <c r="AH14" i="108" s="1"/>
  <c r="CZ14" i="108" s="1"/>
  <c r="AM40" i="108"/>
  <c r="Y40" i="108" s="1"/>
  <c r="AS40" i="108"/>
  <c r="AT40" i="108" s="1"/>
  <c r="AO40" i="108"/>
  <c r="CI42" i="108"/>
  <c r="P42" i="108"/>
  <c r="P41" i="108"/>
  <c r="CI41" i="108"/>
  <c r="BZ42" i="108"/>
  <c r="CB42" i="108" s="1"/>
  <c r="BV42" i="108"/>
  <c r="BW42" i="108"/>
  <c r="CC42" i="108"/>
  <c r="AW42" i="108"/>
  <c r="AQ42" i="131" s="1"/>
  <c r="BX42" i="108"/>
  <c r="O42" i="115"/>
  <c r="AC42" i="108"/>
  <c r="CD42" i="108" s="1"/>
  <c r="BY42" i="108"/>
  <c r="BU42" i="108"/>
  <c r="K48" i="121"/>
  <c r="BZ41" i="108"/>
  <c r="CB41" i="108" s="1"/>
  <c r="BV41" i="108"/>
  <c r="O41" i="115"/>
  <c r="BW41" i="108"/>
  <c r="BU41" i="108"/>
  <c r="CC41" i="108"/>
  <c r="K47" i="121"/>
  <c r="BX41" i="108"/>
  <c r="AW41" i="108"/>
  <c r="BY41" i="108"/>
  <c r="AC41" i="108"/>
  <c r="CD41" i="108" s="1"/>
  <c r="CY16" i="108"/>
  <c r="AS28" i="108"/>
  <c r="AT28" i="108" s="1"/>
  <c r="AV28" i="108"/>
  <c r="DA28" i="108"/>
  <c r="CY26" i="108"/>
  <c r="AL26" i="108" s="1"/>
  <c r="AK26" i="108" s="1"/>
  <c r="AS26" i="108" s="1"/>
  <c r="AT26" i="108" s="1"/>
  <c r="CY27" i="108"/>
  <c r="AL27" i="108" s="1"/>
  <c r="AK27" i="108" s="1"/>
  <c r="AM27" i="108" s="1"/>
  <c r="Y27" i="108" s="1"/>
  <c r="DA27" i="108"/>
  <c r="DA16" i="108"/>
  <c r="DA33" i="108"/>
  <c r="CY33" i="108"/>
  <c r="AL33" i="108" s="1"/>
  <c r="DH33" i="108" s="1"/>
  <c r="CN33" i="108"/>
  <c r="CO33" i="108" s="1"/>
  <c r="AV33" i="108" s="1"/>
  <c r="DE33" i="108"/>
  <c r="AM17" i="108"/>
  <c r="Y17" i="108" s="1"/>
  <c r="S17" i="108" s="1"/>
  <c r="P153" i="120" s="1"/>
  <c r="AO17" i="108"/>
  <c r="AK16" i="108"/>
  <c r="AM30" i="108"/>
  <c r="Y30" i="108" s="1"/>
  <c r="AS30" i="108"/>
  <c r="AT30" i="108" s="1"/>
  <c r="CY35" i="108"/>
  <c r="AL35" i="108" s="1"/>
  <c r="AK35" i="108" s="1"/>
  <c r="DA35" i="108"/>
  <c r="CO35" i="108"/>
  <c r="BZ25" i="108"/>
  <c r="CB25" i="108" s="1"/>
  <c r="BX25" i="108"/>
  <c r="K31" i="121"/>
  <c r="AE25" i="131"/>
  <c r="BY25" i="108"/>
  <c r="AW25" i="108"/>
  <c r="BV25" i="108"/>
  <c r="AC25" i="108"/>
  <c r="CD25" i="108" s="1"/>
  <c r="BW25" i="108"/>
  <c r="AI25" i="131"/>
  <c r="O25" i="115"/>
  <c r="AM25" i="131"/>
  <c r="BU25" i="108"/>
  <c r="CC25" i="108"/>
  <c r="AA25" i="131"/>
  <c r="P37" i="108"/>
  <c r="CI37" i="108"/>
  <c r="S28" i="108"/>
  <c r="P164" i="120" s="1"/>
  <c r="AD28" i="108"/>
  <c r="BZ37" i="108"/>
  <c r="CB37" i="108" s="1"/>
  <c r="O37" i="115"/>
  <c r="BX37" i="108"/>
  <c r="BU37" i="108"/>
  <c r="BY37" i="108"/>
  <c r="BV37" i="108"/>
  <c r="CC37" i="108"/>
  <c r="AI37" i="131"/>
  <c r="BW37" i="108"/>
  <c r="AM37" i="131"/>
  <c r="AW37" i="108"/>
  <c r="AA37" i="131"/>
  <c r="K43" i="121"/>
  <c r="AC37" i="108"/>
  <c r="CD37" i="108" s="1"/>
  <c r="AE37" i="131"/>
  <c r="P25" i="108"/>
  <c r="CI25" i="108"/>
  <c r="S31" i="108"/>
  <c r="P167" i="120" s="1"/>
  <c r="AD31" i="108"/>
  <c r="S21" i="108"/>
  <c r="P157" i="120" s="1"/>
  <c r="AD21" i="108"/>
  <c r="AK29" i="108"/>
  <c r="DH29" i="108"/>
  <c r="CZ15" i="108"/>
  <c r="CW15" i="108"/>
  <c r="AU29" i="108"/>
  <c r="AV29" i="108"/>
  <c r="AU31" i="108"/>
  <c r="AV31" i="108"/>
  <c r="CX15" i="108"/>
  <c r="CN15" i="108"/>
  <c r="DE15" i="108"/>
  <c r="DG15" i="108" s="1"/>
  <c r="AK12" i="108"/>
  <c r="DH12" i="108"/>
  <c r="F52" i="46"/>
  <c r="C53" i="46"/>
  <c r="F33" i="82"/>
  <c r="C33" i="82"/>
  <c r="P33" i="82" s="1"/>
  <c r="H33" i="82"/>
  <c r="I33" i="82"/>
  <c r="B35" i="82"/>
  <c r="E34" i="82"/>
  <c r="G34" i="82"/>
  <c r="I59" i="46"/>
  <c r="J59" i="46"/>
  <c r="A61" i="46"/>
  <c r="K60" i="46"/>
  <c r="B60" i="46"/>
  <c r="E60" i="46"/>
  <c r="D59" i="46"/>
  <c r="G59" i="46"/>
  <c r="AD23" i="108" l="1"/>
  <c r="P23" i="108" s="1"/>
  <c r="AS27" i="108"/>
  <c r="AT27" i="108" s="1"/>
  <c r="DH27" i="108"/>
  <c r="AO27" i="108"/>
  <c r="AM18" i="108"/>
  <c r="Y18" i="108" s="1"/>
  <c r="S18" i="108" s="1"/>
  <c r="P154" i="120" s="1"/>
  <c r="V154" i="120" s="1"/>
  <c r="AO18" i="108"/>
  <c r="DH18" i="108"/>
  <c r="AQ41" i="131"/>
  <c r="DH35" i="108"/>
  <c r="M31" i="121"/>
  <c r="AA164" i="120"/>
  <c r="Z164" i="120"/>
  <c r="T164" i="120"/>
  <c r="Y164" i="120"/>
  <c r="V164" i="120"/>
  <c r="X164" i="120"/>
  <c r="S164" i="120"/>
  <c r="W164" i="120"/>
  <c r="AA153" i="120"/>
  <c r="Z153" i="120"/>
  <c r="T153" i="120"/>
  <c r="X153" i="120"/>
  <c r="Y153" i="120"/>
  <c r="S153" i="120"/>
  <c r="V153" i="120"/>
  <c r="W153" i="120"/>
  <c r="AA157" i="120"/>
  <c r="Z157" i="120"/>
  <c r="S157" i="120"/>
  <c r="X157" i="120"/>
  <c r="T157" i="120"/>
  <c r="Y157" i="120"/>
  <c r="V157" i="120"/>
  <c r="W157" i="120"/>
  <c r="AA167" i="120"/>
  <c r="Z167" i="120"/>
  <c r="Y167" i="120"/>
  <c r="T167" i="120"/>
  <c r="S167" i="120"/>
  <c r="V167" i="120"/>
  <c r="X167" i="120"/>
  <c r="W167" i="120"/>
  <c r="AA159" i="120"/>
  <c r="Z159" i="120"/>
  <c r="S159" i="120"/>
  <c r="V159" i="120"/>
  <c r="Y159" i="120"/>
  <c r="T159" i="120"/>
  <c r="X159" i="120"/>
  <c r="W159" i="120"/>
  <c r="CX14" i="108"/>
  <c r="DA14" i="108" s="1"/>
  <c r="CW14" i="108"/>
  <c r="M47" i="121"/>
  <c r="M48" i="121"/>
  <c r="CF42" i="108"/>
  <c r="CE42" i="108" s="1"/>
  <c r="S40" i="108"/>
  <c r="P176" i="120" s="1"/>
  <c r="AD40" i="108"/>
  <c r="P48" i="121"/>
  <c r="O48" i="121"/>
  <c r="AD48" i="121" s="1"/>
  <c r="S48" i="121"/>
  <c r="Q106" i="115" s="1"/>
  <c r="Q48" i="121"/>
  <c r="L48" i="121"/>
  <c r="AA48" i="121" s="1"/>
  <c r="AC48" i="121" s="1"/>
  <c r="Z106" i="115" s="1"/>
  <c r="N48" i="121"/>
  <c r="AS48" i="121"/>
  <c r="CF41" i="108"/>
  <c r="CE41" i="108" s="1"/>
  <c r="N47" i="121"/>
  <c r="O47" i="121"/>
  <c r="AD47" i="121" s="1"/>
  <c r="S47" i="121"/>
  <c r="Q105" i="115" s="1"/>
  <c r="L47" i="121"/>
  <c r="AA47" i="121" s="1"/>
  <c r="AC47" i="121" s="1"/>
  <c r="Z105" i="115" s="1"/>
  <c r="AS47" i="121"/>
  <c r="Q47" i="121"/>
  <c r="P47" i="121"/>
  <c r="AU33" i="108"/>
  <c r="AM26" i="108"/>
  <c r="Y26" i="108" s="1"/>
  <c r="AD26" i="108" s="1"/>
  <c r="CI26" i="108" s="1"/>
  <c r="AO26" i="108"/>
  <c r="DH26" i="108"/>
  <c r="M43" i="121"/>
  <c r="AK33" i="108"/>
  <c r="AM33" i="108" s="1"/>
  <c r="Y33" i="108" s="1"/>
  <c r="BU17" i="108"/>
  <c r="BX17" i="108"/>
  <c r="K23" i="121"/>
  <c r="BY17" i="108"/>
  <c r="AA17" i="131"/>
  <c r="BV17" i="108"/>
  <c r="AE17" i="131"/>
  <c r="BW17" i="108"/>
  <c r="BZ17" i="108"/>
  <c r="O17" i="115"/>
  <c r="CF25" i="108"/>
  <c r="CE25" i="108" s="1"/>
  <c r="AS16" i="108"/>
  <c r="AT16" i="108" s="1"/>
  <c r="AM16" i="108"/>
  <c r="Y16" i="108" s="1"/>
  <c r="S16" i="108" s="1"/>
  <c r="P152" i="120" s="1"/>
  <c r="AO16" i="108"/>
  <c r="S30" i="108"/>
  <c r="AD30" i="108"/>
  <c r="CF37" i="108"/>
  <c r="CE37" i="108" s="1"/>
  <c r="AQ25" i="131"/>
  <c r="AM35" i="108"/>
  <c r="Y35" i="108" s="1"/>
  <c r="AO35" i="108"/>
  <c r="AS35" i="108"/>
  <c r="AT35" i="108" s="1"/>
  <c r="AV35" i="108"/>
  <c r="AU35" i="108"/>
  <c r="P21" i="108"/>
  <c r="CI21" i="108"/>
  <c r="AM29" i="108"/>
  <c r="Y29" i="108" s="1"/>
  <c r="AO29" i="108"/>
  <c r="AS29" i="108"/>
  <c r="AT29" i="108" s="1"/>
  <c r="AQ37" i="131"/>
  <c r="P31" i="108"/>
  <c r="CI31" i="108"/>
  <c r="S27" i="108"/>
  <c r="P163" i="120" s="1"/>
  <c r="AD27" i="108"/>
  <c r="BZ31" i="108"/>
  <c r="CB31" i="108" s="1"/>
  <c r="BY31" i="108"/>
  <c r="O31" i="115"/>
  <c r="AW31" i="108"/>
  <c r="AA31" i="131"/>
  <c r="BU31" i="108"/>
  <c r="AC31" i="108"/>
  <c r="CD31" i="108" s="1"/>
  <c r="AE31" i="131"/>
  <c r="BV31" i="108"/>
  <c r="CC31" i="108"/>
  <c r="AI31" i="131"/>
  <c r="BW31" i="108"/>
  <c r="AM31" i="131"/>
  <c r="BX31" i="108"/>
  <c r="K37" i="121"/>
  <c r="L43" i="121"/>
  <c r="AA43" i="121" s="1"/>
  <c r="AC43" i="121" s="1"/>
  <c r="Z101" i="115" s="1"/>
  <c r="Q43" i="121"/>
  <c r="N43" i="121"/>
  <c r="AS43" i="121"/>
  <c r="S43" i="121"/>
  <c r="Q101" i="115" s="1"/>
  <c r="O43" i="121"/>
  <c r="AD43" i="121" s="1"/>
  <c r="P43" i="121"/>
  <c r="P28" i="108"/>
  <c r="CI28" i="108"/>
  <c r="BZ23" i="108"/>
  <c r="CB23" i="108" s="1"/>
  <c r="BY23" i="108"/>
  <c r="BV23" i="108"/>
  <c r="AI23" i="131"/>
  <c r="BW23" i="108"/>
  <c r="AM23" i="131"/>
  <c r="O23" i="115"/>
  <c r="AW23" i="108"/>
  <c r="AA23" i="131"/>
  <c r="BU23" i="108"/>
  <c r="AC23" i="108"/>
  <c r="CD23" i="108" s="1"/>
  <c r="AE23" i="131"/>
  <c r="K29" i="121"/>
  <c r="CC23" i="108"/>
  <c r="BX23" i="108"/>
  <c r="N31" i="121"/>
  <c r="O31" i="121"/>
  <c r="AD31" i="121" s="1"/>
  <c r="S31" i="121"/>
  <c r="L31" i="121"/>
  <c r="AA31" i="121" s="1"/>
  <c r="AC31" i="121" s="1"/>
  <c r="AS31" i="121"/>
  <c r="P31" i="121"/>
  <c r="Q31" i="121"/>
  <c r="BZ21" i="108"/>
  <c r="CB21" i="108" s="1"/>
  <c r="O21" i="115"/>
  <c r="CC21" i="108"/>
  <c r="AA21" i="131"/>
  <c r="BU21" i="108"/>
  <c r="AE21" i="131"/>
  <c r="AW21" i="108"/>
  <c r="BX21" i="108"/>
  <c r="K27" i="121"/>
  <c r="AC21" i="108"/>
  <c r="CD21" i="108" s="1"/>
  <c r="BY21" i="108"/>
  <c r="BV21" i="108"/>
  <c r="AI21" i="131"/>
  <c r="BW21" i="108"/>
  <c r="AM21" i="131"/>
  <c r="BZ28" i="108"/>
  <c r="CB28" i="108" s="1"/>
  <c r="K34" i="121"/>
  <c r="AA28" i="131"/>
  <c r="BX28" i="108"/>
  <c r="AE28" i="131"/>
  <c r="BY28" i="108"/>
  <c r="O28" i="115"/>
  <c r="AW28" i="108"/>
  <c r="BU28" i="108"/>
  <c r="AC28" i="108"/>
  <c r="CD28" i="108" s="1"/>
  <c r="BV28" i="108"/>
  <c r="CC28" i="108"/>
  <c r="AI28" i="131"/>
  <c r="BW28" i="108"/>
  <c r="AM28" i="131"/>
  <c r="CY15" i="108"/>
  <c r="AL15" i="108" s="1"/>
  <c r="AK15" i="108" s="1"/>
  <c r="AS15" i="108" s="1"/>
  <c r="AT15" i="108" s="1"/>
  <c r="DA15" i="108"/>
  <c r="CO15" i="108"/>
  <c r="AE15" i="128" s="1"/>
  <c r="AM12" i="108"/>
  <c r="Y12" i="108" s="1"/>
  <c r="S12" i="108" s="1"/>
  <c r="P148" i="120" s="1"/>
  <c r="AO12" i="108"/>
  <c r="AS12" i="108"/>
  <c r="AT12" i="108" s="1"/>
  <c r="F53" i="46"/>
  <c r="C54" i="46"/>
  <c r="F34" i="82"/>
  <c r="H34" i="82" s="1"/>
  <c r="C34" i="82"/>
  <c r="P34" i="82" s="1"/>
  <c r="I34" i="82"/>
  <c r="G35" i="82"/>
  <c r="E35" i="82"/>
  <c r="B36" i="82"/>
  <c r="I60" i="46"/>
  <c r="J60" i="46"/>
  <c r="D60" i="46"/>
  <c r="G60" i="46"/>
  <c r="E61" i="46"/>
  <c r="K61" i="46"/>
  <c r="B61" i="46"/>
  <c r="A62" i="46"/>
  <c r="P106" i="115" l="1"/>
  <c r="P101" i="115"/>
  <c r="P105" i="115"/>
  <c r="CI23" i="108"/>
  <c r="M29" i="121" s="1"/>
  <c r="BZ18" i="108"/>
  <c r="BW18" i="108"/>
  <c r="Y154" i="120"/>
  <c r="BX18" i="108"/>
  <c r="X154" i="120"/>
  <c r="AA18" i="131"/>
  <c r="K24" i="121"/>
  <c r="S24" i="121" s="1"/>
  <c r="T24" i="121" s="1"/>
  <c r="W154" i="120"/>
  <c r="AA154" i="120"/>
  <c r="BY18" i="108"/>
  <c r="BU18" i="108"/>
  <c r="T154" i="120"/>
  <c r="BV18" i="108"/>
  <c r="S154" i="120"/>
  <c r="AE18" i="131"/>
  <c r="O18" i="115"/>
  <c r="Z154" i="120"/>
  <c r="Z152" i="120"/>
  <c r="AA152" i="120"/>
  <c r="S152" i="120"/>
  <c r="Y152" i="120"/>
  <c r="T152" i="120"/>
  <c r="V152" i="120"/>
  <c r="X152" i="120"/>
  <c r="W152" i="120"/>
  <c r="Z176" i="120"/>
  <c r="AA176" i="120"/>
  <c r="V176" i="120"/>
  <c r="X176" i="120"/>
  <c r="S176" i="120"/>
  <c r="T176" i="120"/>
  <c r="Y176" i="120"/>
  <c r="W176" i="120"/>
  <c r="T148" i="120"/>
  <c r="W148" i="120"/>
  <c r="V148" i="120"/>
  <c r="Y148" i="120"/>
  <c r="Z148" i="120"/>
  <c r="X148" i="120"/>
  <c r="AA148" i="120"/>
  <c r="S148" i="120"/>
  <c r="AA163" i="120"/>
  <c r="Z163" i="120"/>
  <c r="X163" i="120"/>
  <c r="Y163" i="120"/>
  <c r="S163" i="120"/>
  <c r="V163" i="120"/>
  <c r="T163" i="120"/>
  <c r="W163" i="120"/>
  <c r="BO18" i="107"/>
  <c r="P166" i="120"/>
  <c r="CY14" i="108"/>
  <c r="AL14" i="108" s="1"/>
  <c r="AK14" i="108" s="1"/>
  <c r="AM14" i="108" s="1"/>
  <c r="Y14" i="108" s="1"/>
  <c r="S14" i="108" s="1"/>
  <c r="P150" i="120" s="1"/>
  <c r="P40" i="108"/>
  <c r="CI40" i="108"/>
  <c r="AW40" i="108"/>
  <c r="AQ40" i="131" s="1"/>
  <c r="K46" i="121"/>
  <c r="CC40" i="108"/>
  <c r="BY40" i="108"/>
  <c r="AC40" i="108"/>
  <c r="CD40" i="108" s="1"/>
  <c r="BW40" i="108"/>
  <c r="O40" i="115"/>
  <c r="BX40" i="108"/>
  <c r="BU40" i="108"/>
  <c r="BZ40" i="108"/>
  <c r="BV40" i="108"/>
  <c r="AM48" i="121"/>
  <c r="U48" i="121"/>
  <c r="AE48" i="121"/>
  <c r="W48" i="121"/>
  <c r="S106" i="115" s="1"/>
  <c r="V48" i="121"/>
  <c r="AQ48" i="121"/>
  <c r="Z48" i="121"/>
  <c r="U106" i="115" s="1"/>
  <c r="V106" i="115" s="1"/>
  <c r="AG48" i="121"/>
  <c r="AH48" i="121" s="1"/>
  <c r="AB48" i="121"/>
  <c r="T48" i="121"/>
  <c r="AF48" i="121"/>
  <c r="X48" i="121"/>
  <c r="Y48" i="121"/>
  <c r="Y106" i="115" s="1"/>
  <c r="AP48" i="121"/>
  <c r="AN48" i="121"/>
  <c r="AG47" i="121"/>
  <c r="AH47" i="121" s="1"/>
  <c r="AF47" i="121"/>
  <c r="AN47" i="121"/>
  <c r="V47" i="121"/>
  <c r="AE47" i="121"/>
  <c r="W47" i="121"/>
  <c r="S105" i="115" s="1"/>
  <c r="X47" i="121"/>
  <c r="AP47" i="121"/>
  <c r="U47" i="121"/>
  <c r="AB47" i="121"/>
  <c r="T47" i="121"/>
  <c r="AQ47" i="121"/>
  <c r="Z47" i="121"/>
  <c r="U105" i="115" s="1"/>
  <c r="V105" i="115" s="1"/>
  <c r="AM47" i="121"/>
  <c r="Y47" i="121"/>
  <c r="Y105" i="115" s="1"/>
  <c r="S26" i="108"/>
  <c r="P26" i="108"/>
  <c r="S33" i="108"/>
  <c r="AD33" i="108"/>
  <c r="CI33" i="108" s="1"/>
  <c r="AS33" i="108"/>
  <c r="AT33" i="108" s="1"/>
  <c r="AO33" i="108"/>
  <c r="AQ21" i="131"/>
  <c r="P23" i="121"/>
  <c r="S23" i="121"/>
  <c r="N23" i="121"/>
  <c r="L23" i="121"/>
  <c r="AA23" i="121" s="1"/>
  <c r="AC23" i="121" s="1"/>
  <c r="AS23" i="121"/>
  <c r="CF17" i="108"/>
  <c r="BX16" i="108"/>
  <c r="N4" i="109" s="1"/>
  <c r="BU16" i="108"/>
  <c r="N2" i="109" s="1"/>
  <c r="BY16" i="108"/>
  <c r="K22" i="121"/>
  <c r="AA16" i="131"/>
  <c r="BV16" i="108"/>
  <c r="N3" i="109" s="1"/>
  <c r="AE16" i="131"/>
  <c r="AE16" i="107" s="1"/>
  <c r="BZ16" i="108"/>
  <c r="BW16" i="108"/>
  <c r="BO16" i="107"/>
  <c r="O16" i="115"/>
  <c r="P30" i="108"/>
  <c r="CI30" i="108"/>
  <c r="AA30" i="131"/>
  <c r="BU30" i="108"/>
  <c r="BZ30" i="108"/>
  <c r="CB30" i="108" s="1"/>
  <c r="AE30" i="131"/>
  <c r="K36" i="121"/>
  <c r="BV30" i="108"/>
  <c r="O30" i="115"/>
  <c r="AC30" i="108"/>
  <c r="CD30" i="108" s="1"/>
  <c r="BX30" i="108"/>
  <c r="AW30" i="108"/>
  <c r="AM30" i="131"/>
  <c r="BW30" i="108"/>
  <c r="CC30" i="108"/>
  <c r="BY30" i="108"/>
  <c r="AI30" i="131"/>
  <c r="CF23" i="108"/>
  <c r="CE23" i="108" s="1"/>
  <c r="AQ28" i="131"/>
  <c r="CF21" i="108"/>
  <c r="CE21" i="108" s="1"/>
  <c r="M34" i="121"/>
  <c r="CF28" i="108"/>
  <c r="CE28" i="108" s="1"/>
  <c r="M37" i="121"/>
  <c r="S35" i="108"/>
  <c r="P171" i="120" s="1"/>
  <c r="AD35" i="108"/>
  <c r="S27" i="121"/>
  <c r="O27" i="121"/>
  <c r="AD27" i="121" s="1"/>
  <c r="N27" i="121"/>
  <c r="L27" i="121"/>
  <c r="AA27" i="121" s="1"/>
  <c r="AC27" i="121" s="1"/>
  <c r="AS27" i="121"/>
  <c r="P27" i="121"/>
  <c r="Q27" i="121"/>
  <c r="AB31" i="121"/>
  <c r="AP31" i="121"/>
  <c r="T31" i="121"/>
  <c r="X31" i="121"/>
  <c r="AM31" i="121"/>
  <c r="AF31" i="121"/>
  <c r="Z31" i="121"/>
  <c r="U89" i="115" s="1"/>
  <c r="V89" i="115" s="1"/>
  <c r="Y31" i="121"/>
  <c r="V31" i="121"/>
  <c r="AN31" i="121"/>
  <c r="Q89" i="115"/>
  <c r="P89" i="115" s="1"/>
  <c r="AQ31" i="121"/>
  <c r="U31" i="121"/>
  <c r="AE31" i="121"/>
  <c r="AG31" i="121"/>
  <c r="AH31" i="121" s="1"/>
  <c r="W31" i="121"/>
  <c r="S89" i="115" s="1"/>
  <c r="CF31" i="108"/>
  <c r="CE31" i="108" s="1"/>
  <c r="S34" i="121"/>
  <c r="O34" i="121"/>
  <c r="AD34" i="121" s="1"/>
  <c r="N34" i="121"/>
  <c r="AS34" i="121"/>
  <c r="L34" i="121"/>
  <c r="AA34" i="121" s="1"/>
  <c r="AC34" i="121" s="1"/>
  <c r="Q34" i="121"/>
  <c r="P34" i="121"/>
  <c r="S29" i="121"/>
  <c r="O29" i="121"/>
  <c r="AD29" i="121" s="1"/>
  <c r="AS29" i="121"/>
  <c r="N29" i="121"/>
  <c r="L29" i="121"/>
  <c r="AA29" i="121" s="1"/>
  <c r="AC29" i="121" s="1"/>
  <c r="P29" i="121"/>
  <c r="Q29" i="121"/>
  <c r="N37" i="121"/>
  <c r="AS37" i="121"/>
  <c r="S37" i="121"/>
  <c r="O37" i="121"/>
  <c r="AD37" i="121" s="1"/>
  <c r="L37" i="121"/>
  <c r="AA37" i="121" s="1"/>
  <c r="AC37" i="121" s="1"/>
  <c r="Q37" i="121"/>
  <c r="P37" i="121"/>
  <c r="P27" i="108"/>
  <c r="CI27" i="108"/>
  <c r="AQ23" i="131"/>
  <c r="BZ27" i="108"/>
  <c r="CB27" i="108" s="1"/>
  <c r="BY27" i="108"/>
  <c r="AC27" i="108"/>
  <c r="CD27" i="108" s="1"/>
  <c r="O27" i="115"/>
  <c r="AI27" i="131"/>
  <c r="BU27" i="108"/>
  <c r="AM27" i="131"/>
  <c r="BV27" i="108"/>
  <c r="CC27" i="108"/>
  <c r="AA27" i="131"/>
  <c r="BW27" i="108"/>
  <c r="K33" i="121"/>
  <c r="AE27" i="131"/>
  <c r="BX27" i="108"/>
  <c r="AW27" i="108"/>
  <c r="S29" i="108"/>
  <c r="AD29" i="108"/>
  <c r="AE43" i="121"/>
  <c r="Z43" i="121"/>
  <c r="U101" i="115" s="1"/>
  <c r="V101" i="115" s="1"/>
  <c r="T43" i="121"/>
  <c r="U43" i="121"/>
  <c r="AG43" i="121"/>
  <c r="AH43" i="121" s="1"/>
  <c r="Y43" i="121"/>
  <c r="Y101" i="115" s="1"/>
  <c r="AB43" i="121"/>
  <c r="AF43" i="121"/>
  <c r="W43" i="121"/>
  <c r="S101" i="115" s="1"/>
  <c r="AM43" i="121"/>
  <c r="V43" i="121"/>
  <c r="X43" i="121"/>
  <c r="AN43" i="121"/>
  <c r="AP43" i="121"/>
  <c r="AQ43" i="121"/>
  <c r="M27" i="121"/>
  <c r="BZ12" i="108"/>
  <c r="BX12" i="108"/>
  <c r="BY12" i="108"/>
  <c r="BV12" i="108"/>
  <c r="BW12" i="108"/>
  <c r="O12" i="115"/>
  <c r="BU12" i="108"/>
  <c r="K18" i="121"/>
  <c r="AA12" i="131"/>
  <c r="AE12" i="131"/>
  <c r="DH15" i="108"/>
  <c r="AQ31" i="131"/>
  <c r="AM15" i="108"/>
  <c r="Y15" i="108" s="1"/>
  <c r="S15" i="108" s="1"/>
  <c r="P151" i="120" s="1"/>
  <c r="AO15" i="108"/>
  <c r="C55" i="46"/>
  <c r="F54" i="46"/>
  <c r="F35" i="82"/>
  <c r="H35" i="82" s="1"/>
  <c r="C35" i="82"/>
  <c r="P35" i="82" s="1"/>
  <c r="E36" i="82"/>
  <c r="G36" i="82"/>
  <c r="B37" i="82"/>
  <c r="I35" i="82"/>
  <c r="I61" i="46"/>
  <c r="J61" i="46"/>
  <c r="E62" i="46"/>
  <c r="K62" i="46"/>
  <c r="B62" i="46"/>
  <c r="A63" i="46"/>
  <c r="G61" i="46"/>
  <c r="D61" i="46"/>
  <c r="AR43" i="121" l="1"/>
  <c r="AA101" i="115"/>
  <c r="AR48" i="121"/>
  <c r="AA106" i="115"/>
  <c r="W105" i="115"/>
  <c r="AR47" i="121"/>
  <c r="AA105" i="115"/>
  <c r="W101" i="115"/>
  <c r="W106" i="115"/>
  <c r="P4" i="109"/>
  <c r="AE18" i="107"/>
  <c r="P3" i="109"/>
  <c r="AM24" i="121"/>
  <c r="Q82" i="115"/>
  <c r="P82" i="115" s="1"/>
  <c r="P2" i="109"/>
  <c r="CF18" i="108"/>
  <c r="N24" i="121"/>
  <c r="AN24" i="121"/>
  <c r="Y24" i="121"/>
  <c r="AW24" i="121" s="1"/>
  <c r="AE24" i="121"/>
  <c r="AQ24" i="121"/>
  <c r="V24" i="121"/>
  <c r="AS24" i="121"/>
  <c r="U24" i="121"/>
  <c r="Z24" i="121"/>
  <c r="U82" i="115" s="1"/>
  <c r="V82" i="115" s="1"/>
  <c r="AP24" i="121"/>
  <c r="AG24" i="121"/>
  <c r="AH24" i="121" s="1"/>
  <c r="AJ24" i="121" s="1"/>
  <c r="AB82" i="115" s="1"/>
  <c r="W24" i="121"/>
  <c r="S82" i="115" s="1"/>
  <c r="AB24" i="121"/>
  <c r="AF24" i="121"/>
  <c r="X24" i="121"/>
  <c r="AA82" i="115" s="1"/>
  <c r="L24" i="121"/>
  <c r="AA24" i="121" s="1"/>
  <c r="AC24" i="121" s="1"/>
  <c r="P24" i="121"/>
  <c r="P33" i="108"/>
  <c r="AO14" i="108"/>
  <c r="AS14" i="108"/>
  <c r="AT14" i="108" s="1"/>
  <c r="BZ26" i="108"/>
  <c r="CB26" i="108" s="1"/>
  <c r="P162" i="120"/>
  <c r="AA151" i="120"/>
  <c r="Z151" i="120"/>
  <c r="T151" i="120"/>
  <c r="Y151" i="120"/>
  <c r="X151" i="120"/>
  <c r="S151" i="120"/>
  <c r="V151" i="120"/>
  <c r="W151" i="120"/>
  <c r="AA171" i="120"/>
  <c r="Z171" i="120"/>
  <c r="T171" i="120"/>
  <c r="Y171" i="120"/>
  <c r="V171" i="120"/>
  <c r="X171" i="120"/>
  <c r="S171" i="120"/>
  <c r="W171" i="120"/>
  <c r="T150" i="120"/>
  <c r="W150" i="120"/>
  <c r="V150" i="120"/>
  <c r="Y150" i="120"/>
  <c r="Z150" i="120"/>
  <c r="AA150" i="120"/>
  <c r="X150" i="120"/>
  <c r="S150" i="120"/>
  <c r="O33" i="115"/>
  <c r="P169" i="120"/>
  <c r="AA166" i="120"/>
  <c r="Z166" i="120"/>
  <c r="Y166" i="120"/>
  <c r="S166" i="120"/>
  <c r="V166" i="120"/>
  <c r="X166" i="120"/>
  <c r="T166" i="120"/>
  <c r="W166" i="120"/>
  <c r="BO17" i="107"/>
  <c r="P165" i="120"/>
  <c r="DH14" i="108"/>
  <c r="M46" i="121"/>
  <c r="AO48" i="121"/>
  <c r="S46" i="121"/>
  <c r="Q104" i="115" s="1"/>
  <c r="P46" i="121"/>
  <c r="O46" i="121"/>
  <c r="AD46" i="121" s="1"/>
  <c r="AS46" i="121"/>
  <c r="N46" i="121"/>
  <c r="Q46" i="121"/>
  <c r="L46" i="121"/>
  <c r="AA46" i="121" s="1"/>
  <c r="AC46" i="121" s="1"/>
  <c r="Z104" i="115" s="1"/>
  <c r="CF40" i="108"/>
  <c r="CE40" i="108" s="1"/>
  <c r="CB40" i="108"/>
  <c r="AI48" i="121"/>
  <c r="AJ48" i="121"/>
  <c r="AB106" i="115" s="1"/>
  <c r="AW48" i="121"/>
  <c r="AV48" i="121"/>
  <c r="AT48" i="121"/>
  <c r="AU48" i="121" s="1"/>
  <c r="AW47" i="121"/>
  <c r="AV47" i="121"/>
  <c r="AT47" i="121"/>
  <c r="AU47" i="121" s="1"/>
  <c r="AO47" i="121"/>
  <c r="AI47" i="121"/>
  <c r="AJ47" i="121"/>
  <c r="AB105" i="115" s="1"/>
  <c r="AW26" i="108"/>
  <c r="O26" i="115"/>
  <c r="AI26" i="131"/>
  <c r="BW26" i="108"/>
  <c r="AM26" i="131"/>
  <c r="AC26" i="108"/>
  <c r="CD26" i="108" s="1"/>
  <c r="CC26" i="108"/>
  <c r="BY26" i="108"/>
  <c r="K32" i="121"/>
  <c r="M32" i="121" s="1"/>
  <c r="AA26" i="131"/>
  <c r="BU26" i="108"/>
  <c r="AE26" i="131"/>
  <c r="BX26" i="108"/>
  <c r="BV26" i="108"/>
  <c r="BZ33" i="108"/>
  <c r="CB33" i="108" s="1"/>
  <c r="BV33" i="108"/>
  <c r="BX33" i="108"/>
  <c r="AI33" i="131"/>
  <c r="AE33" i="131"/>
  <c r="AM33" i="131"/>
  <c r="AC33" i="108"/>
  <c r="CD33" i="108" s="1"/>
  <c r="BW33" i="108"/>
  <c r="BU33" i="108"/>
  <c r="CC33" i="108"/>
  <c r="K39" i="121"/>
  <c r="M39" i="121" s="1"/>
  <c r="AA33" i="131"/>
  <c r="AW33" i="108"/>
  <c r="BY33" i="108"/>
  <c r="AO31" i="121"/>
  <c r="AA18" i="107"/>
  <c r="AD13" i="113"/>
  <c r="CK2" i="124" s="1"/>
  <c r="M36" i="121"/>
  <c r="AO43" i="121"/>
  <c r="AQ30" i="131"/>
  <c r="CF16" i="108"/>
  <c r="CF30" i="108"/>
  <c r="CE30" i="108" s="1"/>
  <c r="AM23" i="121"/>
  <c r="X23" i="121"/>
  <c r="AA81" i="115" s="1"/>
  <c r="Q81" i="115"/>
  <c r="P81" i="115" s="1"/>
  <c r="T23" i="121"/>
  <c r="AN23" i="121"/>
  <c r="AB23" i="121"/>
  <c r="V23" i="121"/>
  <c r="AF23" i="121"/>
  <c r="Z23" i="121"/>
  <c r="U81" i="115" s="1"/>
  <c r="V81" i="115" s="1"/>
  <c r="AE23" i="121"/>
  <c r="U23" i="121"/>
  <c r="AQ23" i="121"/>
  <c r="W23" i="121"/>
  <c r="S81" i="115" s="1"/>
  <c r="Y23" i="121"/>
  <c r="AG23" i="121"/>
  <c r="AH23" i="121" s="1"/>
  <c r="AP23" i="121"/>
  <c r="S22" i="121"/>
  <c r="N22" i="121"/>
  <c r="AS22" i="121"/>
  <c r="L22" i="121"/>
  <c r="AA22" i="121" s="1"/>
  <c r="AC22" i="121" s="1"/>
  <c r="P22" i="121"/>
  <c r="N36" i="121"/>
  <c r="AS36" i="121"/>
  <c r="O36" i="121"/>
  <c r="AD36" i="121" s="1"/>
  <c r="L36" i="121"/>
  <c r="AA36" i="121" s="1"/>
  <c r="AC36" i="121" s="1"/>
  <c r="P36" i="121"/>
  <c r="S36" i="121"/>
  <c r="Q36" i="121"/>
  <c r="CF12" i="108"/>
  <c r="BY14" i="108"/>
  <c r="BV14" i="108"/>
  <c r="AA14" i="131"/>
  <c r="BW14" i="108"/>
  <c r="K20" i="121"/>
  <c r="AE14" i="131"/>
  <c r="BZ14" i="108"/>
  <c r="O14" i="115"/>
  <c r="BU14" i="108"/>
  <c r="BX14" i="108"/>
  <c r="AD11" i="113"/>
  <c r="CA2" i="124" s="1"/>
  <c r="AA16" i="107"/>
  <c r="CI35" i="108"/>
  <c r="P35" i="108"/>
  <c r="K41" i="121"/>
  <c r="O35" i="115"/>
  <c r="AM35" i="131"/>
  <c r="CC35" i="108"/>
  <c r="AW35" i="108"/>
  <c r="AE35" i="131"/>
  <c r="BX35" i="108"/>
  <c r="AI35" i="131"/>
  <c r="BW35" i="108"/>
  <c r="AA35" i="131"/>
  <c r="BZ35" i="108"/>
  <c r="CB35" i="108" s="1"/>
  <c r="BU35" i="108"/>
  <c r="BV35" i="108"/>
  <c r="BY35" i="108"/>
  <c r="AC35" i="108"/>
  <c r="CD35" i="108" s="1"/>
  <c r="M33" i="121"/>
  <c r="AQ27" i="131"/>
  <c r="AN37" i="121"/>
  <c r="AB37" i="121"/>
  <c r="AF37" i="121"/>
  <c r="X37" i="121"/>
  <c r="Z37" i="121"/>
  <c r="U95" i="115" s="1"/>
  <c r="V95" i="115" s="1"/>
  <c r="AG37" i="121"/>
  <c r="AH37" i="121" s="1"/>
  <c r="AP37" i="121"/>
  <c r="W37" i="121"/>
  <c r="S95" i="115" s="1"/>
  <c r="Q95" i="115"/>
  <c r="P95" i="115" s="1"/>
  <c r="V37" i="121"/>
  <c r="AM37" i="121"/>
  <c r="U37" i="121"/>
  <c r="T37" i="121"/>
  <c r="AE37" i="121"/>
  <c r="AQ37" i="121"/>
  <c r="Y37" i="121"/>
  <c r="W89" i="115"/>
  <c r="X89" i="115" s="1"/>
  <c r="S33" i="121"/>
  <c r="O33" i="121"/>
  <c r="AD33" i="121" s="1"/>
  <c r="AS33" i="121"/>
  <c r="Q33" i="121"/>
  <c r="N33" i="121"/>
  <c r="L33" i="121"/>
  <c r="AA33" i="121" s="1"/>
  <c r="AC33" i="121" s="1"/>
  <c r="P33" i="121"/>
  <c r="CF27" i="108"/>
  <c r="CE27" i="108" s="1"/>
  <c r="AA89" i="115"/>
  <c r="AR31" i="121"/>
  <c r="AV43" i="121"/>
  <c r="AW43" i="121"/>
  <c r="AT43" i="121"/>
  <c r="AU43" i="121" s="1"/>
  <c r="AI31" i="121"/>
  <c r="AJ31" i="121"/>
  <c r="AB89" i="115" s="1"/>
  <c r="AN27" i="121"/>
  <c r="AF27" i="121"/>
  <c r="X27" i="121"/>
  <c r="AE27" i="121"/>
  <c r="Y27" i="121"/>
  <c r="U27" i="121"/>
  <c r="T27" i="121"/>
  <c r="V27" i="121"/>
  <c r="AQ27" i="121"/>
  <c r="AM27" i="121"/>
  <c r="Z27" i="121"/>
  <c r="U85" i="115" s="1"/>
  <c r="V85" i="115" s="1"/>
  <c r="AB27" i="121"/>
  <c r="W27" i="121"/>
  <c r="S85" i="115" s="1"/>
  <c r="Q85" i="115"/>
  <c r="P85" i="115" s="1"/>
  <c r="AG27" i="121"/>
  <c r="AH27" i="121" s="1"/>
  <c r="AP27" i="121"/>
  <c r="AI43" i="121"/>
  <c r="AJ43" i="121"/>
  <c r="AB101" i="115" s="1"/>
  <c r="P29" i="108"/>
  <c r="CI29" i="108"/>
  <c r="Y89" i="115"/>
  <c r="AW31" i="121"/>
  <c r="AV31" i="121"/>
  <c r="AT31" i="121"/>
  <c r="AU31" i="121" s="1"/>
  <c r="BZ29" i="108"/>
  <c r="BY29" i="108"/>
  <c r="AA29" i="131"/>
  <c r="AE29" i="131"/>
  <c r="AE17" i="107" s="1"/>
  <c r="O29" i="115"/>
  <c r="AW29" i="108"/>
  <c r="CC29" i="108"/>
  <c r="AI29" i="131"/>
  <c r="BU29" i="108"/>
  <c r="O2" i="109" s="1"/>
  <c r="AC29" i="108"/>
  <c r="CD29" i="108" s="1"/>
  <c r="AM29" i="131"/>
  <c r="BV29" i="108"/>
  <c r="O3" i="109" s="1"/>
  <c r="K35" i="121"/>
  <c r="BX29" i="108"/>
  <c r="O4" i="109" s="1"/>
  <c r="BW29" i="108"/>
  <c r="AE29" i="121"/>
  <c r="X29" i="121"/>
  <c r="V29" i="121"/>
  <c r="Q87" i="115"/>
  <c r="P87" i="115" s="1"/>
  <c r="AF29" i="121"/>
  <c r="AQ29" i="121"/>
  <c r="AM29" i="121"/>
  <c r="Z29" i="121"/>
  <c r="U87" i="115" s="1"/>
  <c r="V87" i="115" s="1"/>
  <c r="AB29" i="121"/>
  <c r="AP29" i="121"/>
  <c r="AN29" i="121"/>
  <c r="AG29" i="121"/>
  <c r="AH29" i="121" s="1"/>
  <c r="Y29" i="121"/>
  <c r="T29" i="121"/>
  <c r="U29" i="121"/>
  <c r="W29" i="121"/>
  <c r="T34" i="121"/>
  <c r="X34" i="121"/>
  <c r="Y34" i="121"/>
  <c r="AM34" i="121"/>
  <c r="W34" i="121"/>
  <c r="S92" i="115" s="1"/>
  <c r="AQ34" i="121"/>
  <c r="Q92" i="115"/>
  <c r="P92" i="115" s="1"/>
  <c r="AF34" i="121"/>
  <c r="AE34" i="121"/>
  <c r="U34" i="121"/>
  <c r="AB34" i="121"/>
  <c r="AG34" i="121"/>
  <c r="AH34" i="121" s="1"/>
  <c r="AP34" i="121"/>
  <c r="AN34" i="121"/>
  <c r="V34" i="121"/>
  <c r="Z34" i="121"/>
  <c r="U92" i="115" s="1"/>
  <c r="V92" i="115" s="1"/>
  <c r="BZ15" i="108"/>
  <c r="BX15" i="108"/>
  <c r="M4" i="109" s="1"/>
  <c r="BY15" i="108"/>
  <c r="BV15" i="108"/>
  <c r="M3" i="109" s="1"/>
  <c r="BW15" i="108"/>
  <c r="O15" i="115"/>
  <c r="BU15" i="108"/>
  <c r="M2" i="109" s="1"/>
  <c r="N18" i="121"/>
  <c r="S18" i="121"/>
  <c r="AN18" i="121" s="1"/>
  <c r="P18" i="121"/>
  <c r="L18" i="121"/>
  <c r="AA18" i="121" s="1"/>
  <c r="AC18" i="121" s="1"/>
  <c r="K21" i="121"/>
  <c r="S21" i="121" s="1"/>
  <c r="AS18" i="121"/>
  <c r="AA15" i="131"/>
  <c r="AE15" i="131"/>
  <c r="AE15" i="107" s="1"/>
  <c r="F36" i="82"/>
  <c r="C56" i="46"/>
  <c r="F55" i="46"/>
  <c r="C36" i="82"/>
  <c r="P36" i="82" s="1"/>
  <c r="E37" i="82"/>
  <c r="G37" i="82"/>
  <c r="B38" i="82"/>
  <c r="H36" i="82"/>
  <c r="I36" i="82"/>
  <c r="I62" i="46"/>
  <c r="J62" i="46"/>
  <c r="K63" i="46"/>
  <c r="B63" i="46"/>
  <c r="A64" i="46"/>
  <c r="E63" i="46"/>
  <c r="D62" i="46"/>
  <c r="G62" i="46"/>
  <c r="P104" i="115" l="1"/>
  <c r="X105" i="115"/>
  <c r="X106" i="115"/>
  <c r="X101" i="115"/>
  <c r="AI24" i="121"/>
  <c r="CL289" i="124"/>
  <c r="CM289" i="124" s="1"/>
  <c r="CN289" i="124" s="1"/>
  <c r="CL288" i="124"/>
  <c r="CM288" i="124" s="1"/>
  <c r="CN288" i="124" s="1"/>
  <c r="CB288" i="124"/>
  <c r="CC288" i="124" s="1"/>
  <c r="CD288" i="124" s="1"/>
  <c r="CB289" i="124"/>
  <c r="CC289" i="124" s="1"/>
  <c r="CD289" i="124" s="1"/>
  <c r="W82" i="115"/>
  <c r="X82" i="115" s="1"/>
  <c r="AV24" i="121"/>
  <c r="AT24" i="121"/>
  <c r="AU24" i="121" s="1"/>
  <c r="Y82" i="115"/>
  <c r="AA165" i="120"/>
  <c r="Z165" i="120"/>
  <c r="V165" i="120"/>
  <c r="T165" i="120"/>
  <c r="Y165" i="120"/>
  <c r="S165" i="120"/>
  <c r="X165" i="120"/>
  <c r="W165" i="120"/>
  <c r="AA169" i="120"/>
  <c r="Z169" i="120"/>
  <c r="S169" i="120"/>
  <c r="X169" i="120"/>
  <c r="V169" i="120"/>
  <c r="T169" i="120"/>
  <c r="Y169" i="120"/>
  <c r="W169" i="120"/>
  <c r="Z162" i="120"/>
  <c r="AA162" i="120"/>
  <c r="S162" i="120"/>
  <c r="T162" i="120"/>
  <c r="X162" i="120"/>
  <c r="Y162" i="120"/>
  <c r="V162" i="120"/>
  <c r="W162" i="120"/>
  <c r="CF33" i="108"/>
  <c r="CE33" i="108" s="1"/>
  <c r="P39" i="121"/>
  <c r="L39" i="121"/>
  <c r="AA39" i="121" s="1"/>
  <c r="AC39" i="121" s="1"/>
  <c r="AS39" i="121"/>
  <c r="Q39" i="121"/>
  <c r="S39" i="121"/>
  <c r="Y39" i="121" s="1"/>
  <c r="N39" i="121"/>
  <c r="O39" i="121"/>
  <c r="AD39" i="121" s="1"/>
  <c r="W46" i="121"/>
  <c r="S104" i="115" s="1"/>
  <c r="Z46" i="121"/>
  <c r="U104" i="115" s="1"/>
  <c r="V104" i="115" s="1"/>
  <c r="Y46" i="121"/>
  <c r="Y104" i="115" s="1"/>
  <c r="T46" i="121"/>
  <c r="AN46" i="121"/>
  <c r="AB46" i="121"/>
  <c r="V46" i="121"/>
  <c r="AF46" i="121"/>
  <c r="AP46" i="121"/>
  <c r="AG46" i="121"/>
  <c r="AH46" i="121" s="1"/>
  <c r="U46" i="121"/>
  <c r="AQ46" i="121"/>
  <c r="X46" i="121"/>
  <c r="AM46" i="121"/>
  <c r="AE46" i="121"/>
  <c r="AQ26" i="131"/>
  <c r="P32" i="121"/>
  <c r="AQ33" i="131"/>
  <c r="Q32" i="121"/>
  <c r="CF26" i="108"/>
  <c r="CE26" i="108" s="1"/>
  <c r="L32" i="121"/>
  <c r="AA32" i="121" s="1"/>
  <c r="AC32" i="121" s="1"/>
  <c r="AS32" i="121"/>
  <c r="N32" i="121"/>
  <c r="O32" i="121"/>
  <c r="AD32" i="121" s="1"/>
  <c r="S32" i="121"/>
  <c r="AD12" i="113"/>
  <c r="CF2" i="124" s="1"/>
  <c r="AA17" i="107"/>
  <c r="CB29" i="108"/>
  <c r="O5" i="109"/>
  <c r="CL106" i="124"/>
  <c r="CM106" i="124" s="1"/>
  <c r="CN106" i="124" s="1"/>
  <c r="CL282" i="124"/>
  <c r="CM282" i="124" s="1"/>
  <c r="CN282" i="124" s="1"/>
  <c r="CL143" i="124"/>
  <c r="CM143" i="124" s="1"/>
  <c r="CN143" i="124" s="1"/>
  <c r="CL234" i="124"/>
  <c r="CM234" i="124" s="1"/>
  <c r="CN234" i="124" s="1"/>
  <c r="CL210" i="124"/>
  <c r="CM210" i="124" s="1"/>
  <c r="CN210" i="124" s="1"/>
  <c r="CL277" i="124"/>
  <c r="CM277" i="124" s="1"/>
  <c r="CN277" i="124" s="1"/>
  <c r="CL246" i="124"/>
  <c r="CM246" i="124" s="1"/>
  <c r="CN246" i="124" s="1"/>
  <c r="CL166" i="124"/>
  <c r="CM166" i="124" s="1"/>
  <c r="CN166" i="124" s="1"/>
  <c r="CL102" i="124"/>
  <c r="CM102" i="124" s="1"/>
  <c r="CN102" i="124" s="1"/>
  <c r="CL122" i="124"/>
  <c r="CM122" i="124" s="1"/>
  <c r="CN122" i="124" s="1"/>
  <c r="CL172" i="124"/>
  <c r="CM172" i="124" s="1"/>
  <c r="CN172" i="124" s="1"/>
  <c r="CL186" i="124"/>
  <c r="CM186" i="124" s="1"/>
  <c r="CN186" i="124" s="1"/>
  <c r="CL144" i="124"/>
  <c r="CM144" i="124" s="1"/>
  <c r="CN144" i="124" s="1"/>
  <c r="CL241" i="124"/>
  <c r="CM241" i="124" s="1"/>
  <c r="CN241" i="124" s="1"/>
  <c r="CL230" i="124"/>
  <c r="CM230" i="124" s="1"/>
  <c r="CN230" i="124" s="1"/>
  <c r="CL94" i="124"/>
  <c r="CM94" i="124" s="1"/>
  <c r="CN94" i="124" s="1"/>
  <c r="CL223" i="124"/>
  <c r="CM223" i="124" s="1"/>
  <c r="CN223" i="124" s="1"/>
  <c r="CL75" i="124"/>
  <c r="CM75" i="124" s="1"/>
  <c r="CN75" i="124" s="1"/>
  <c r="CL111" i="124"/>
  <c r="CM111" i="124" s="1"/>
  <c r="CN111" i="124" s="1"/>
  <c r="CL124" i="124"/>
  <c r="CM124" i="124" s="1"/>
  <c r="CN124" i="124" s="1"/>
  <c r="CL116" i="124"/>
  <c r="CM116" i="124" s="1"/>
  <c r="CN116" i="124" s="1"/>
  <c r="CL235" i="124"/>
  <c r="CM235" i="124" s="1"/>
  <c r="CN235" i="124" s="1"/>
  <c r="CL226" i="124"/>
  <c r="CM226" i="124" s="1"/>
  <c r="CN226" i="124" s="1"/>
  <c r="CL271" i="124"/>
  <c r="CM271" i="124" s="1"/>
  <c r="CN271" i="124" s="1"/>
  <c r="CL194" i="124"/>
  <c r="CM194" i="124" s="1"/>
  <c r="CN194" i="124" s="1"/>
  <c r="CL33" i="124"/>
  <c r="CM33" i="124" s="1"/>
  <c r="CN33" i="124" s="1"/>
  <c r="CL51" i="124"/>
  <c r="CM51" i="124" s="1"/>
  <c r="CN51" i="124" s="1"/>
  <c r="CL97" i="124"/>
  <c r="CM97" i="124" s="1"/>
  <c r="CN97" i="124" s="1"/>
  <c r="CL248" i="124"/>
  <c r="CM248" i="124" s="1"/>
  <c r="CN248" i="124" s="1"/>
  <c r="CL245" i="124"/>
  <c r="CM245" i="124" s="1"/>
  <c r="CN245" i="124" s="1"/>
  <c r="CL129" i="124"/>
  <c r="CM129" i="124" s="1"/>
  <c r="CN129" i="124" s="1"/>
  <c r="CL284" i="124"/>
  <c r="CM284" i="124" s="1"/>
  <c r="CN284" i="124" s="1"/>
  <c r="CL201" i="124"/>
  <c r="CM201" i="124" s="1"/>
  <c r="CN201" i="124" s="1"/>
  <c r="CL165" i="124"/>
  <c r="CM165" i="124" s="1"/>
  <c r="CN165" i="124" s="1"/>
  <c r="CL224" i="124"/>
  <c r="CM224" i="124" s="1"/>
  <c r="CN224" i="124" s="1"/>
  <c r="CL181" i="124"/>
  <c r="CM181" i="124" s="1"/>
  <c r="CN181" i="124" s="1"/>
  <c r="CL19" i="124"/>
  <c r="CM19" i="124" s="1"/>
  <c r="CN19" i="124" s="1"/>
  <c r="CL140" i="124"/>
  <c r="CM140" i="124" s="1"/>
  <c r="CN140" i="124" s="1"/>
  <c r="CL156" i="124"/>
  <c r="CM156" i="124" s="1"/>
  <c r="CN156" i="124" s="1"/>
  <c r="CL12" i="124"/>
  <c r="CM12" i="124" s="1"/>
  <c r="CN12" i="124" s="1"/>
  <c r="CL109" i="124"/>
  <c r="CM109" i="124" s="1"/>
  <c r="CN109" i="124" s="1"/>
  <c r="CL255" i="124"/>
  <c r="CM255" i="124" s="1"/>
  <c r="CN255" i="124" s="1"/>
  <c r="CL95" i="124"/>
  <c r="CM95" i="124" s="1"/>
  <c r="CN95" i="124" s="1"/>
  <c r="CL162" i="124"/>
  <c r="CM162" i="124" s="1"/>
  <c r="CN162" i="124" s="1"/>
  <c r="CL70" i="124"/>
  <c r="CM70" i="124" s="1"/>
  <c r="CN70" i="124" s="1"/>
  <c r="CL41" i="124"/>
  <c r="CM41" i="124" s="1"/>
  <c r="CN41" i="124" s="1"/>
  <c r="CL78" i="124"/>
  <c r="CM78" i="124" s="1"/>
  <c r="CN78" i="124" s="1"/>
  <c r="CL225" i="124"/>
  <c r="CM225" i="124" s="1"/>
  <c r="CN225" i="124" s="1"/>
  <c r="CL96" i="124"/>
  <c r="CM96" i="124" s="1"/>
  <c r="CN96" i="124" s="1"/>
  <c r="CL112" i="124"/>
  <c r="CM112" i="124" s="1"/>
  <c r="CN112" i="124" s="1"/>
  <c r="CL252" i="124"/>
  <c r="CM252" i="124" s="1"/>
  <c r="CN252" i="124" s="1"/>
  <c r="CL253" i="124"/>
  <c r="CM253" i="124" s="1"/>
  <c r="CN253" i="124" s="1"/>
  <c r="CL261" i="124"/>
  <c r="CM261" i="124" s="1"/>
  <c r="CN261" i="124" s="1"/>
  <c r="CL87" i="124"/>
  <c r="CM87" i="124" s="1"/>
  <c r="CN87" i="124" s="1"/>
  <c r="CL101" i="124"/>
  <c r="CM101" i="124" s="1"/>
  <c r="CN101" i="124" s="1"/>
  <c r="CL254" i="124"/>
  <c r="CM254" i="124" s="1"/>
  <c r="CN254" i="124" s="1"/>
  <c r="CL9" i="124"/>
  <c r="CM9" i="124" s="1"/>
  <c r="CN9" i="124" s="1"/>
  <c r="CL171" i="124"/>
  <c r="CM171" i="124" s="1"/>
  <c r="CN171" i="124" s="1"/>
  <c r="CL193" i="124"/>
  <c r="CM193" i="124" s="1"/>
  <c r="CN193" i="124" s="1"/>
  <c r="CL80" i="124"/>
  <c r="CM80" i="124" s="1"/>
  <c r="CN80" i="124" s="1"/>
  <c r="CL154" i="124"/>
  <c r="CM154" i="124" s="1"/>
  <c r="CN154" i="124" s="1"/>
  <c r="CL228" i="124"/>
  <c r="CM228" i="124" s="1"/>
  <c r="CN228" i="124" s="1"/>
  <c r="CL258" i="124"/>
  <c r="CM258" i="124" s="1"/>
  <c r="CN258" i="124" s="1"/>
  <c r="CL274" i="124"/>
  <c r="CM274" i="124" s="1"/>
  <c r="CN274" i="124" s="1"/>
  <c r="CL233" i="124"/>
  <c r="CM233" i="124" s="1"/>
  <c r="CN233" i="124" s="1"/>
  <c r="CL64" i="124"/>
  <c r="CM64" i="124" s="1"/>
  <c r="CN64" i="124" s="1"/>
  <c r="CL283" i="124"/>
  <c r="CM283" i="124" s="1"/>
  <c r="CN283" i="124" s="1"/>
  <c r="CL89" i="124"/>
  <c r="CM89" i="124" s="1"/>
  <c r="CN89" i="124" s="1"/>
  <c r="CL123" i="124"/>
  <c r="CM123" i="124" s="1"/>
  <c r="CN123" i="124" s="1"/>
  <c r="CL13" i="124"/>
  <c r="CM13" i="124" s="1"/>
  <c r="CN13" i="124" s="1"/>
  <c r="CL262" i="124"/>
  <c r="CM262" i="124" s="1"/>
  <c r="CN262" i="124" s="1"/>
  <c r="CL35" i="124"/>
  <c r="CM35" i="124" s="1"/>
  <c r="CN35" i="124" s="1"/>
  <c r="CL204" i="124"/>
  <c r="CM204" i="124" s="1"/>
  <c r="CN204" i="124" s="1"/>
  <c r="CL207" i="124"/>
  <c r="CM207" i="124" s="1"/>
  <c r="CN207" i="124" s="1"/>
  <c r="CL240" i="124"/>
  <c r="CM240" i="124" s="1"/>
  <c r="CN240" i="124" s="1"/>
  <c r="CL121" i="124"/>
  <c r="CM121" i="124" s="1"/>
  <c r="CN121" i="124" s="1"/>
  <c r="CL169" i="124"/>
  <c r="CM169" i="124" s="1"/>
  <c r="CN169" i="124" s="1"/>
  <c r="CL108" i="124"/>
  <c r="CM108" i="124" s="1"/>
  <c r="CN108" i="124" s="1"/>
  <c r="CL229" i="124"/>
  <c r="CM229" i="124" s="1"/>
  <c r="CN229" i="124" s="1"/>
  <c r="CL179" i="124"/>
  <c r="CM179" i="124" s="1"/>
  <c r="CN179" i="124" s="1"/>
  <c r="CL117" i="124"/>
  <c r="CM117" i="124" s="1"/>
  <c r="CN117" i="124" s="1"/>
  <c r="CL195" i="124"/>
  <c r="CM195" i="124" s="1"/>
  <c r="CN195" i="124" s="1"/>
  <c r="CL202" i="124"/>
  <c r="CM202" i="124" s="1"/>
  <c r="CN202" i="124" s="1"/>
  <c r="CL272" i="124"/>
  <c r="CM272" i="124" s="1"/>
  <c r="CN272" i="124" s="1"/>
  <c r="CL222" i="124"/>
  <c r="CM222" i="124" s="1"/>
  <c r="CN222" i="124" s="1"/>
  <c r="CL178" i="124"/>
  <c r="CM178" i="124" s="1"/>
  <c r="CN178" i="124" s="1"/>
  <c r="CL260" i="124"/>
  <c r="CM260" i="124" s="1"/>
  <c r="CN260" i="124" s="1"/>
  <c r="CL67" i="124"/>
  <c r="CM67" i="124" s="1"/>
  <c r="CN67" i="124" s="1"/>
  <c r="CL137" i="124"/>
  <c r="CM137" i="124" s="1"/>
  <c r="CN137" i="124" s="1"/>
  <c r="CL273" i="124"/>
  <c r="CM273" i="124" s="1"/>
  <c r="CN273" i="124" s="1"/>
  <c r="CL146" i="124"/>
  <c r="CM146" i="124" s="1"/>
  <c r="CN146" i="124" s="1"/>
  <c r="CL53" i="124"/>
  <c r="CM53" i="124" s="1"/>
  <c r="CN53" i="124" s="1"/>
  <c r="CL23" i="124"/>
  <c r="CM23" i="124" s="1"/>
  <c r="CN23" i="124" s="1"/>
  <c r="CL40" i="124"/>
  <c r="CM40" i="124" s="1"/>
  <c r="CN40" i="124" s="1"/>
  <c r="CL265" i="124"/>
  <c r="CM265" i="124" s="1"/>
  <c r="CN265" i="124" s="1"/>
  <c r="CL168" i="124"/>
  <c r="CM168" i="124" s="1"/>
  <c r="CN168" i="124" s="1"/>
  <c r="CL29" i="124"/>
  <c r="CM29" i="124" s="1"/>
  <c r="CN29" i="124" s="1"/>
  <c r="CL31" i="124"/>
  <c r="CM31" i="124" s="1"/>
  <c r="CN31" i="124" s="1"/>
  <c r="CL32" i="124"/>
  <c r="CM32" i="124" s="1"/>
  <c r="CN32" i="124" s="1"/>
  <c r="CL212" i="124"/>
  <c r="CM212" i="124" s="1"/>
  <c r="CN212" i="124" s="1"/>
  <c r="CL44" i="124"/>
  <c r="CM44" i="124" s="1"/>
  <c r="CN44" i="124" s="1"/>
  <c r="CL77" i="124"/>
  <c r="CM77" i="124" s="1"/>
  <c r="CN77" i="124" s="1"/>
  <c r="CL164" i="124"/>
  <c r="CM164" i="124" s="1"/>
  <c r="CN164" i="124" s="1"/>
  <c r="CL91" i="124"/>
  <c r="CM91" i="124" s="1"/>
  <c r="CN91" i="124" s="1"/>
  <c r="CL217" i="124"/>
  <c r="CM217" i="124" s="1"/>
  <c r="CN217" i="124" s="1"/>
  <c r="CL243" i="124"/>
  <c r="CM243" i="124" s="1"/>
  <c r="CN243" i="124" s="1"/>
  <c r="CL187" i="124"/>
  <c r="CM187" i="124" s="1"/>
  <c r="CN187" i="124" s="1"/>
  <c r="CL21" i="124"/>
  <c r="CM21" i="124" s="1"/>
  <c r="CN21" i="124" s="1"/>
  <c r="CL105" i="124"/>
  <c r="CM105" i="124" s="1"/>
  <c r="CN105" i="124" s="1"/>
  <c r="CL213" i="124"/>
  <c r="CM213" i="124" s="1"/>
  <c r="CN213" i="124" s="1"/>
  <c r="CL206" i="124"/>
  <c r="CM206" i="124" s="1"/>
  <c r="CN206" i="124" s="1"/>
  <c r="CL237" i="124"/>
  <c r="CM237" i="124" s="1"/>
  <c r="CN237" i="124" s="1"/>
  <c r="CL152" i="124"/>
  <c r="CM152" i="124" s="1"/>
  <c r="CN152" i="124" s="1"/>
  <c r="CL148" i="124"/>
  <c r="CM148" i="124" s="1"/>
  <c r="CN148" i="124" s="1"/>
  <c r="CL247" i="124"/>
  <c r="CM247" i="124" s="1"/>
  <c r="CN247" i="124" s="1"/>
  <c r="CL251" i="124"/>
  <c r="CM251" i="124" s="1"/>
  <c r="CN251" i="124" s="1"/>
  <c r="CL127" i="124"/>
  <c r="CM127" i="124" s="1"/>
  <c r="CN127" i="124" s="1"/>
  <c r="CL141" i="124"/>
  <c r="CM141" i="124" s="1"/>
  <c r="CN141" i="124" s="1"/>
  <c r="CL125" i="124"/>
  <c r="CM125" i="124" s="1"/>
  <c r="CN125" i="124" s="1"/>
  <c r="CL157" i="124"/>
  <c r="CM157" i="124" s="1"/>
  <c r="CN157" i="124" s="1"/>
  <c r="CL135" i="124"/>
  <c r="CM135" i="124" s="1"/>
  <c r="CN135" i="124" s="1"/>
  <c r="CL104" i="124"/>
  <c r="CM104" i="124" s="1"/>
  <c r="CN104" i="124" s="1"/>
  <c r="CL128" i="124"/>
  <c r="CM128" i="124" s="1"/>
  <c r="CN128" i="124" s="1"/>
  <c r="CL56" i="124"/>
  <c r="CM56" i="124" s="1"/>
  <c r="CN56" i="124" s="1"/>
  <c r="CL114" i="124"/>
  <c r="CM114" i="124" s="1"/>
  <c r="CN114" i="124" s="1"/>
  <c r="CL221" i="124"/>
  <c r="CM221" i="124" s="1"/>
  <c r="CN221" i="124" s="1"/>
  <c r="CL287" i="124"/>
  <c r="CM287" i="124" s="1"/>
  <c r="CN287" i="124" s="1"/>
  <c r="CL281" i="124"/>
  <c r="CM281" i="124" s="1"/>
  <c r="CN281" i="124" s="1"/>
  <c r="CL276" i="124"/>
  <c r="CM276" i="124" s="1"/>
  <c r="CN276" i="124" s="1"/>
  <c r="CL256" i="124"/>
  <c r="CM256" i="124" s="1"/>
  <c r="CN256" i="124" s="1"/>
  <c r="CL132" i="124"/>
  <c r="CM132" i="124" s="1"/>
  <c r="CN132" i="124" s="1"/>
  <c r="CL131" i="124"/>
  <c r="CM131" i="124" s="1"/>
  <c r="CN131" i="124" s="1"/>
  <c r="CL73" i="124"/>
  <c r="CM73" i="124" s="1"/>
  <c r="CN73" i="124" s="1"/>
  <c r="CL259" i="124"/>
  <c r="CM259" i="124" s="1"/>
  <c r="CN259" i="124" s="1"/>
  <c r="CL59" i="124"/>
  <c r="CM59" i="124" s="1"/>
  <c r="CN59" i="124" s="1"/>
  <c r="CL43" i="124"/>
  <c r="CM43" i="124" s="1"/>
  <c r="CN43" i="124" s="1"/>
  <c r="CL203" i="124"/>
  <c r="CM203" i="124" s="1"/>
  <c r="CN203" i="124" s="1"/>
  <c r="CL92" i="124"/>
  <c r="CM92" i="124" s="1"/>
  <c r="CN92" i="124" s="1"/>
  <c r="CL244" i="124"/>
  <c r="CM244" i="124" s="1"/>
  <c r="CN244" i="124" s="1"/>
  <c r="CL81" i="124"/>
  <c r="CM81" i="124" s="1"/>
  <c r="CN81" i="124" s="1"/>
  <c r="CL74" i="124"/>
  <c r="CM74" i="124" s="1"/>
  <c r="CN74" i="124" s="1"/>
  <c r="CL98" i="124"/>
  <c r="CM98" i="124" s="1"/>
  <c r="CN98" i="124" s="1"/>
  <c r="CL153" i="124"/>
  <c r="CM153" i="124" s="1"/>
  <c r="CN153" i="124" s="1"/>
  <c r="CL211" i="124"/>
  <c r="CM211" i="124" s="1"/>
  <c r="CN211" i="124" s="1"/>
  <c r="CL8" i="124"/>
  <c r="CM8" i="124" s="1"/>
  <c r="CN8" i="124" s="1"/>
  <c r="CL275" i="124"/>
  <c r="CM275" i="124" s="1"/>
  <c r="CN275" i="124" s="1"/>
  <c r="CL133" i="124"/>
  <c r="CM133" i="124" s="1"/>
  <c r="CN133" i="124" s="1"/>
  <c r="CL138" i="124"/>
  <c r="CM138" i="124" s="1"/>
  <c r="CN138" i="124" s="1"/>
  <c r="CL62" i="124"/>
  <c r="CM62" i="124" s="1"/>
  <c r="CN62" i="124" s="1"/>
  <c r="CL20" i="124"/>
  <c r="CM20" i="124" s="1"/>
  <c r="CN20" i="124" s="1"/>
  <c r="CL136" i="124"/>
  <c r="CM136" i="124" s="1"/>
  <c r="CN136" i="124" s="1"/>
  <c r="CL72" i="124"/>
  <c r="CM72" i="124" s="1"/>
  <c r="CN72" i="124" s="1"/>
  <c r="CL86" i="124"/>
  <c r="CM86" i="124" s="1"/>
  <c r="CN86" i="124" s="1"/>
  <c r="CL205" i="124"/>
  <c r="CM205" i="124" s="1"/>
  <c r="CN205" i="124" s="1"/>
  <c r="CL231" i="124"/>
  <c r="CM231" i="124" s="1"/>
  <c r="CN231" i="124" s="1"/>
  <c r="CL286" i="124"/>
  <c r="CM286" i="124" s="1"/>
  <c r="CN286" i="124" s="1"/>
  <c r="CL214" i="124"/>
  <c r="CM214" i="124" s="1"/>
  <c r="CN214" i="124" s="1"/>
  <c r="CL270" i="124"/>
  <c r="CM270" i="124" s="1"/>
  <c r="CN270" i="124" s="1"/>
  <c r="CL199" i="124"/>
  <c r="CM199" i="124" s="1"/>
  <c r="CN199" i="124" s="1"/>
  <c r="CL48" i="124"/>
  <c r="CM48" i="124" s="1"/>
  <c r="CN48" i="124" s="1"/>
  <c r="CL145" i="124"/>
  <c r="CM145" i="124" s="1"/>
  <c r="CN145" i="124" s="1"/>
  <c r="CL263" i="124"/>
  <c r="CM263" i="124" s="1"/>
  <c r="CN263" i="124" s="1"/>
  <c r="CL120" i="124"/>
  <c r="CM120" i="124" s="1"/>
  <c r="CN120" i="124" s="1"/>
  <c r="CL79" i="124"/>
  <c r="CM79" i="124" s="1"/>
  <c r="CN79" i="124" s="1"/>
  <c r="CL69" i="124"/>
  <c r="CM69" i="124" s="1"/>
  <c r="CN69" i="124" s="1"/>
  <c r="CL279" i="124"/>
  <c r="CM279" i="124" s="1"/>
  <c r="CN279" i="124" s="1"/>
  <c r="CL250" i="124"/>
  <c r="CM250" i="124" s="1"/>
  <c r="CN250" i="124" s="1"/>
  <c r="CL269" i="124"/>
  <c r="CM269" i="124" s="1"/>
  <c r="CN269" i="124" s="1"/>
  <c r="CL227" i="124"/>
  <c r="CM227" i="124" s="1"/>
  <c r="CN227" i="124" s="1"/>
  <c r="CL50" i="124"/>
  <c r="CM50" i="124" s="1"/>
  <c r="CN50" i="124" s="1"/>
  <c r="CL173" i="124"/>
  <c r="CM173" i="124" s="1"/>
  <c r="CN173" i="124" s="1"/>
  <c r="CL200" i="124"/>
  <c r="CM200" i="124" s="1"/>
  <c r="CN200" i="124" s="1"/>
  <c r="CL113" i="124"/>
  <c r="CM113" i="124" s="1"/>
  <c r="CN113" i="124" s="1"/>
  <c r="CL266" i="124"/>
  <c r="CM266" i="124" s="1"/>
  <c r="CN266" i="124" s="1"/>
  <c r="CL76" i="124"/>
  <c r="CM76" i="124" s="1"/>
  <c r="CN76" i="124" s="1"/>
  <c r="CL126" i="124"/>
  <c r="CM126" i="124" s="1"/>
  <c r="CN126" i="124" s="1"/>
  <c r="CL218" i="124"/>
  <c r="CM218" i="124" s="1"/>
  <c r="CN218" i="124" s="1"/>
  <c r="CL232" i="124"/>
  <c r="CM232" i="124" s="1"/>
  <c r="CN232" i="124" s="1"/>
  <c r="CL278" i="124"/>
  <c r="CM278" i="124" s="1"/>
  <c r="CN278" i="124" s="1"/>
  <c r="CL7" i="124"/>
  <c r="CM7" i="124" s="1"/>
  <c r="CN7" i="124" s="1"/>
  <c r="CL85" i="124"/>
  <c r="CM85" i="124" s="1"/>
  <c r="CN85" i="124" s="1"/>
  <c r="CL49" i="124"/>
  <c r="CM49" i="124" s="1"/>
  <c r="CN49" i="124" s="1"/>
  <c r="CL159" i="124"/>
  <c r="CM159" i="124" s="1"/>
  <c r="CN159" i="124" s="1"/>
  <c r="CL99" i="124"/>
  <c r="CM99" i="124" s="1"/>
  <c r="CN99" i="124" s="1"/>
  <c r="CL149" i="124"/>
  <c r="CM149" i="124" s="1"/>
  <c r="CN149" i="124" s="1"/>
  <c r="CL190" i="124"/>
  <c r="CM190" i="124" s="1"/>
  <c r="CN190" i="124" s="1"/>
  <c r="CL63" i="124"/>
  <c r="CM63" i="124" s="1"/>
  <c r="CN63" i="124" s="1"/>
  <c r="CL93" i="124"/>
  <c r="CM93" i="124" s="1"/>
  <c r="CN93" i="124" s="1"/>
  <c r="CL147" i="124"/>
  <c r="CM147" i="124" s="1"/>
  <c r="CN147" i="124" s="1"/>
  <c r="CL268" i="124"/>
  <c r="CM268" i="124" s="1"/>
  <c r="CN268" i="124" s="1"/>
  <c r="CL39" i="124"/>
  <c r="CM39" i="124" s="1"/>
  <c r="CN39" i="124" s="1"/>
  <c r="CL47" i="124"/>
  <c r="CM47" i="124" s="1"/>
  <c r="CN47" i="124" s="1"/>
  <c r="CL139" i="124"/>
  <c r="CM139" i="124" s="1"/>
  <c r="CN139" i="124" s="1"/>
  <c r="CL238" i="124"/>
  <c r="CM238" i="124" s="1"/>
  <c r="CN238" i="124" s="1"/>
  <c r="CL150" i="124"/>
  <c r="CM150" i="124" s="1"/>
  <c r="CN150" i="124" s="1"/>
  <c r="CL167" i="124"/>
  <c r="CM167" i="124" s="1"/>
  <c r="CN167" i="124" s="1"/>
  <c r="CL4" i="124"/>
  <c r="CM4" i="124" s="1"/>
  <c r="CN4" i="124" s="1"/>
  <c r="CL267" i="124"/>
  <c r="CM267" i="124" s="1"/>
  <c r="CN267" i="124" s="1"/>
  <c r="CL285" i="124"/>
  <c r="CM285" i="124" s="1"/>
  <c r="CN285" i="124" s="1"/>
  <c r="CL61" i="124"/>
  <c r="CM61" i="124" s="1"/>
  <c r="CN61" i="124" s="1"/>
  <c r="CL220" i="124"/>
  <c r="CM220" i="124" s="1"/>
  <c r="CN220" i="124" s="1"/>
  <c r="CL280" i="124"/>
  <c r="CM280" i="124" s="1"/>
  <c r="CN280" i="124" s="1"/>
  <c r="CL215" i="124"/>
  <c r="CM215" i="124" s="1"/>
  <c r="CN215" i="124" s="1"/>
  <c r="CL22" i="124"/>
  <c r="CM22" i="124" s="1"/>
  <c r="CN22" i="124" s="1"/>
  <c r="CL68" i="124"/>
  <c r="CM68" i="124" s="1"/>
  <c r="CN68" i="124" s="1"/>
  <c r="CL198" i="124"/>
  <c r="CM198" i="124" s="1"/>
  <c r="CN198" i="124" s="1"/>
  <c r="CL118" i="124"/>
  <c r="CM118" i="124" s="1"/>
  <c r="CN118" i="124" s="1"/>
  <c r="CL107" i="124"/>
  <c r="CM107" i="124" s="1"/>
  <c r="CN107" i="124" s="1"/>
  <c r="CL155" i="124"/>
  <c r="CM155" i="124" s="1"/>
  <c r="CN155" i="124" s="1"/>
  <c r="CL151" i="124"/>
  <c r="CM151" i="124" s="1"/>
  <c r="CN151" i="124" s="1"/>
  <c r="CL60" i="124"/>
  <c r="CM60" i="124" s="1"/>
  <c r="CN60" i="124" s="1"/>
  <c r="CL191" i="124"/>
  <c r="CM191" i="124" s="1"/>
  <c r="CN191" i="124" s="1"/>
  <c r="CL264" i="124"/>
  <c r="CM264" i="124" s="1"/>
  <c r="CN264" i="124" s="1"/>
  <c r="CL161" i="124"/>
  <c r="CM161" i="124" s="1"/>
  <c r="CN161" i="124" s="1"/>
  <c r="CL160" i="124"/>
  <c r="CM160" i="124" s="1"/>
  <c r="CN160" i="124" s="1"/>
  <c r="CL88" i="124"/>
  <c r="CM88" i="124" s="1"/>
  <c r="CN88" i="124" s="1"/>
  <c r="CL170" i="124"/>
  <c r="CM170" i="124" s="1"/>
  <c r="CN170" i="124" s="1"/>
  <c r="CL180" i="124"/>
  <c r="CM180" i="124" s="1"/>
  <c r="CN180" i="124" s="1"/>
  <c r="CL163" i="124"/>
  <c r="CM163" i="124" s="1"/>
  <c r="CN163" i="124" s="1"/>
  <c r="CL37" i="124"/>
  <c r="CM37" i="124" s="1"/>
  <c r="CN37" i="124" s="1"/>
  <c r="CL239" i="124"/>
  <c r="CM239" i="124" s="1"/>
  <c r="CN239" i="124" s="1"/>
  <c r="CL46" i="124"/>
  <c r="CM46" i="124" s="1"/>
  <c r="CN46" i="124" s="1"/>
  <c r="CL236" i="124"/>
  <c r="CM236" i="124" s="1"/>
  <c r="CN236" i="124" s="1"/>
  <c r="CL208" i="124"/>
  <c r="CM208" i="124" s="1"/>
  <c r="CN208" i="124" s="1"/>
  <c r="CL134" i="124"/>
  <c r="CM134" i="124" s="1"/>
  <c r="CN134" i="124" s="1"/>
  <c r="CL45" i="124"/>
  <c r="CM45" i="124" s="1"/>
  <c r="CN45" i="124" s="1"/>
  <c r="CL158" i="124"/>
  <c r="CM158" i="124" s="1"/>
  <c r="CN158" i="124" s="1"/>
  <c r="CL249" i="124"/>
  <c r="CM249" i="124" s="1"/>
  <c r="CN249" i="124" s="1"/>
  <c r="CL219" i="124"/>
  <c r="CM219" i="124" s="1"/>
  <c r="CN219" i="124" s="1"/>
  <c r="CL42" i="124"/>
  <c r="CM42" i="124" s="1"/>
  <c r="CN42" i="124" s="1"/>
  <c r="CL196" i="124"/>
  <c r="CM196" i="124" s="1"/>
  <c r="CN196" i="124" s="1"/>
  <c r="CL209" i="124"/>
  <c r="CM209" i="124" s="1"/>
  <c r="CN209" i="124" s="1"/>
  <c r="CL65" i="124"/>
  <c r="CM65" i="124" s="1"/>
  <c r="CN65" i="124" s="1"/>
  <c r="CL24" i="124"/>
  <c r="CM24" i="124" s="1"/>
  <c r="CN24" i="124" s="1"/>
  <c r="CL115" i="124"/>
  <c r="CM115" i="124" s="1"/>
  <c r="CN115" i="124" s="1"/>
  <c r="CL257" i="124"/>
  <c r="CM257" i="124" s="1"/>
  <c r="CN257" i="124" s="1"/>
  <c r="CL6" i="124"/>
  <c r="CM6" i="124" s="1"/>
  <c r="CN6" i="124" s="1"/>
  <c r="CL130" i="124"/>
  <c r="CM130" i="124" s="1"/>
  <c r="CN130" i="124" s="1"/>
  <c r="CL119" i="124"/>
  <c r="CM119" i="124" s="1"/>
  <c r="CN119" i="124" s="1"/>
  <c r="CL189" i="124"/>
  <c r="CM189" i="124" s="1"/>
  <c r="CN189" i="124" s="1"/>
  <c r="AQ29" i="131"/>
  <c r="M41" i="121"/>
  <c r="CF14" i="108"/>
  <c r="AI23" i="121"/>
  <c r="AJ23" i="121"/>
  <c r="AB81" i="115" s="1"/>
  <c r="W81" i="115"/>
  <c r="X81" i="115" s="1"/>
  <c r="Y81" i="115"/>
  <c r="AV23" i="121"/>
  <c r="AW23" i="121"/>
  <c r="AT23" i="121"/>
  <c r="AU23" i="121" s="1"/>
  <c r="CF15" i="108"/>
  <c r="AD10" i="113"/>
  <c r="BV2" i="124" s="1"/>
  <c r="AA15" i="107"/>
  <c r="T36" i="121"/>
  <c r="AF36" i="121"/>
  <c r="Z36" i="121"/>
  <c r="U94" i="115" s="1"/>
  <c r="V94" i="115" s="1"/>
  <c r="W36" i="121"/>
  <c r="S94" i="115" s="1"/>
  <c r="Y36" i="121"/>
  <c r="AQ36" i="121"/>
  <c r="U36" i="121"/>
  <c r="X36" i="121"/>
  <c r="AP36" i="121"/>
  <c r="AN36" i="121"/>
  <c r="AM36" i="121"/>
  <c r="AG36" i="121"/>
  <c r="AH36" i="121" s="1"/>
  <c r="V36" i="121"/>
  <c r="AB36" i="121"/>
  <c r="Q94" i="115"/>
  <c r="P94" i="115" s="1"/>
  <c r="AE36" i="121"/>
  <c r="CB74" i="124"/>
  <c r="CC74" i="124" s="1"/>
  <c r="CD74" i="124" s="1"/>
  <c r="CB120" i="124"/>
  <c r="CC120" i="124" s="1"/>
  <c r="CD120" i="124" s="1"/>
  <c r="CB154" i="124"/>
  <c r="CC154" i="124" s="1"/>
  <c r="CD154" i="124" s="1"/>
  <c r="CB244" i="124"/>
  <c r="CC244" i="124" s="1"/>
  <c r="CD244" i="124" s="1"/>
  <c r="CB7" i="124"/>
  <c r="CC7" i="124" s="1"/>
  <c r="CD7" i="124" s="1"/>
  <c r="CB121" i="124"/>
  <c r="CC121" i="124" s="1"/>
  <c r="CD121" i="124" s="1"/>
  <c r="CB23" i="124"/>
  <c r="CC23" i="124" s="1"/>
  <c r="CD23" i="124" s="1"/>
  <c r="CB261" i="124"/>
  <c r="CC261" i="124" s="1"/>
  <c r="CD261" i="124" s="1"/>
  <c r="CB186" i="124"/>
  <c r="CC186" i="124" s="1"/>
  <c r="CD186" i="124" s="1"/>
  <c r="CB8" i="124"/>
  <c r="CC8" i="124" s="1"/>
  <c r="CD8" i="124" s="1"/>
  <c r="CB207" i="124"/>
  <c r="CC207" i="124" s="1"/>
  <c r="CD207" i="124" s="1"/>
  <c r="CB76" i="124"/>
  <c r="CC76" i="124" s="1"/>
  <c r="CD76" i="124" s="1"/>
  <c r="CB12" i="124"/>
  <c r="CC12" i="124" s="1"/>
  <c r="CD12" i="124" s="1"/>
  <c r="CB146" i="124"/>
  <c r="CC146" i="124" s="1"/>
  <c r="CD146" i="124" s="1"/>
  <c r="CB115" i="124"/>
  <c r="CC115" i="124" s="1"/>
  <c r="CD115" i="124" s="1"/>
  <c r="CB217" i="124"/>
  <c r="CC217" i="124" s="1"/>
  <c r="CD217" i="124" s="1"/>
  <c r="CB172" i="124"/>
  <c r="CC172" i="124" s="1"/>
  <c r="CD172" i="124" s="1"/>
  <c r="CB22" i="124"/>
  <c r="CC22" i="124" s="1"/>
  <c r="CD22" i="124" s="1"/>
  <c r="CB191" i="124"/>
  <c r="CC191" i="124" s="1"/>
  <c r="CD191" i="124" s="1"/>
  <c r="CB258" i="124"/>
  <c r="CC258" i="124" s="1"/>
  <c r="CD258" i="124" s="1"/>
  <c r="CB39" i="124"/>
  <c r="CC39" i="124" s="1"/>
  <c r="CD39" i="124" s="1"/>
  <c r="CB152" i="124"/>
  <c r="CC152" i="124" s="1"/>
  <c r="CD152" i="124" s="1"/>
  <c r="CB156" i="124"/>
  <c r="CC156" i="124" s="1"/>
  <c r="CD156" i="124" s="1"/>
  <c r="CB287" i="124"/>
  <c r="CC287" i="124" s="1"/>
  <c r="CD287" i="124" s="1"/>
  <c r="CB102" i="124"/>
  <c r="CC102" i="124" s="1"/>
  <c r="CD102" i="124" s="1"/>
  <c r="CB272" i="124"/>
  <c r="CC272" i="124" s="1"/>
  <c r="CD272" i="124" s="1"/>
  <c r="CB230" i="124"/>
  <c r="CC230" i="124" s="1"/>
  <c r="CD230" i="124" s="1"/>
  <c r="CB113" i="124"/>
  <c r="CC113" i="124" s="1"/>
  <c r="CD113" i="124" s="1"/>
  <c r="CB220" i="124"/>
  <c r="CC220" i="124" s="1"/>
  <c r="CD220" i="124" s="1"/>
  <c r="CB195" i="124"/>
  <c r="CC195" i="124" s="1"/>
  <c r="CD195" i="124" s="1"/>
  <c r="CB70" i="124"/>
  <c r="CC70" i="124" s="1"/>
  <c r="CD70" i="124" s="1"/>
  <c r="CB160" i="124"/>
  <c r="CC160" i="124" s="1"/>
  <c r="CD160" i="124" s="1"/>
  <c r="CB64" i="124"/>
  <c r="CC64" i="124" s="1"/>
  <c r="CD64" i="124" s="1"/>
  <c r="CB61" i="124"/>
  <c r="CC61" i="124" s="1"/>
  <c r="CD61" i="124" s="1"/>
  <c r="CB141" i="124"/>
  <c r="CC141" i="124" s="1"/>
  <c r="CD141" i="124" s="1"/>
  <c r="CB245" i="124"/>
  <c r="CC245" i="124" s="1"/>
  <c r="CD245" i="124" s="1"/>
  <c r="CB124" i="124"/>
  <c r="CC124" i="124" s="1"/>
  <c r="CD124" i="124" s="1"/>
  <c r="CB198" i="124"/>
  <c r="CC198" i="124" s="1"/>
  <c r="CD198" i="124" s="1"/>
  <c r="CB233" i="124"/>
  <c r="CC233" i="124" s="1"/>
  <c r="CD233" i="124" s="1"/>
  <c r="CB283" i="124"/>
  <c r="CC283" i="124" s="1"/>
  <c r="CD283" i="124" s="1"/>
  <c r="CB107" i="124"/>
  <c r="CC107" i="124" s="1"/>
  <c r="CD107" i="124" s="1"/>
  <c r="CB226" i="124"/>
  <c r="CC226" i="124" s="1"/>
  <c r="CD226" i="124" s="1"/>
  <c r="CB190" i="124"/>
  <c r="CC190" i="124" s="1"/>
  <c r="CD190" i="124" s="1"/>
  <c r="CB137" i="124"/>
  <c r="CC137" i="124" s="1"/>
  <c r="CD137" i="124" s="1"/>
  <c r="CB62" i="124"/>
  <c r="CC62" i="124" s="1"/>
  <c r="CD62" i="124" s="1"/>
  <c r="CB77" i="124"/>
  <c r="CC77" i="124" s="1"/>
  <c r="CD77" i="124" s="1"/>
  <c r="CB44" i="124"/>
  <c r="CC44" i="124" s="1"/>
  <c r="CD44" i="124" s="1"/>
  <c r="CB50" i="124"/>
  <c r="CC50" i="124" s="1"/>
  <c r="CD50" i="124" s="1"/>
  <c r="CB213" i="124"/>
  <c r="CC213" i="124" s="1"/>
  <c r="CD213" i="124" s="1"/>
  <c r="CB205" i="124"/>
  <c r="CC205" i="124" s="1"/>
  <c r="CD205" i="124" s="1"/>
  <c r="CB105" i="124"/>
  <c r="CC105" i="124" s="1"/>
  <c r="CD105" i="124" s="1"/>
  <c r="CB89" i="124"/>
  <c r="CC89" i="124" s="1"/>
  <c r="CD89" i="124" s="1"/>
  <c r="CB32" i="124"/>
  <c r="CC32" i="124" s="1"/>
  <c r="CD32" i="124" s="1"/>
  <c r="CB94" i="124"/>
  <c r="CC94" i="124" s="1"/>
  <c r="CD94" i="124" s="1"/>
  <c r="CB35" i="124"/>
  <c r="CC35" i="124" s="1"/>
  <c r="CD35" i="124" s="1"/>
  <c r="CB203" i="124"/>
  <c r="CC203" i="124" s="1"/>
  <c r="CD203" i="124" s="1"/>
  <c r="CB126" i="124"/>
  <c r="CC126" i="124" s="1"/>
  <c r="CD126" i="124" s="1"/>
  <c r="CB81" i="124"/>
  <c r="CC81" i="124" s="1"/>
  <c r="CD81" i="124" s="1"/>
  <c r="CB51" i="124"/>
  <c r="CC51" i="124" s="1"/>
  <c r="CD51" i="124" s="1"/>
  <c r="CB251" i="124"/>
  <c r="CC251" i="124" s="1"/>
  <c r="CD251" i="124" s="1"/>
  <c r="CB236" i="124"/>
  <c r="CC236" i="124" s="1"/>
  <c r="CD236" i="124" s="1"/>
  <c r="CB69" i="124"/>
  <c r="CC69" i="124" s="1"/>
  <c r="CD69" i="124" s="1"/>
  <c r="CB248" i="124"/>
  <c r="CC248" i="124" s="1"/>
  <c r="CD248" i="124" s="1"/>
  <c r="CB20" i="124"/>
  <c r="CC20" i="124" s="1"/>
  <c r="CD20" i="124" s="1"/>
  <c r="CB144" i="124"/>
  <c r="CC144" i="124" s="1"/>
  <c r="CD144" i="124" s="1"/>
  <c r="CB252" i="124"/>
  <c r="CC252" i="124" s="1"/>
  <c r="CD252" i="124" s="1"/>
  <c r="CB21" i="124"/>
  <c r="CC21" i="124" s="1"/>
  <c r="CD21" i="124" s="1"/>
  <c r="CB204" i="124"/>
  <c r="CC204" i="124" s="1"/>
  <c r="CD204" i="124" s="1"/>
  <c r="CB171" i="124"/>
  <c r="CC171" i="124" s="1"/>
  <c r="CD171" i="124" s="1"/>
  <c r="CB65" i="124"/>
  <c r="CC65" i="124" s="1"/>
  <c r="CD65" i="124" s="1"/>
  <c r="CB201" i="124"/>
  <c r="CC201" i="124" s="1"/>
  <c r="CD201" i="124" s="1"/>
  <c r="CB269" i="124"/>
  <c r="CC269" i="124" s="1"/>
  <c r="CD269" i="124" s="1"/>
  <c r="CB85" i="124"/>
  <c r="CC85" i="124" s="1"/>
  <c r="CD85" i="124" s="1"/>
  <c r="CB125" i="124"/>
  <c r="CC125" i="124" s="1"/>
  <c r="CD125" i="124" s="1"/>
  <c r="CB282" i="124"/>
  <c r="CC282" i="124" s="1"/>
  <c r="CD282" i="124" s="1"/>
  <c r="CB173" i="124"/>
  <c r="CC173" i="124" s="1"/>
  <c r="CD173" i="124" s="1"/>
  <c r="CB262" i="124"/>
  <c r="CC262" i="124" s="1"/>
  <c r="CD262" i="124" s="1"/>
  <c r="CB123" i="124"/>
  <c r="CC123" i="124" s="1"/>
  <c r="CD123" i="124" s="1"/>
  <c r="CB24" i="124"/>
  <c r="CC24" i="124" s="1"/>
  <c r="CD24" i="124" s="1"/>
  <c r="CB46" i="124"/>
  <c r="CC46" i="124" s="1"/>
  <c r="CD46" i="124" s="1"/>
  <c r="CB253" i="124"/>
  <c r="CC253" i="124" s="1"/>
  <c r="CD253" i="124" s="1"/>
  <c r="CB240" i="124"/>
  <c r="CC240" i="124" s="1"/>
  <c r="CD240" i="124" s="1"/>
  <c r="CB218" i="124"/>
  <c r="CC218" i="124" s="1"/>
  <c r="CD218" i="124" s="1"/>
  <c r="CB208" i="124"/>
  <c r="CC208" i="124" s="1"/>
  <c r="CD208" i="124" s="1"/>
  <c r="CB99" i="124"/>
  <c r="CC99" i="124" s="1"/>
  <c r="CD99" i="124" s="1"/>
  <c r="CB153" i="124"/>
  <c r="CC153" i="124" s="1"/>
  <c r="CD153" i="124" s="1"/>
  <c r="CB88" i="124"/>
  <c r="CC88" i="124" s="1"/>
  <c r="CD88" i="124" s="1"/>
  <c r="CB168" i="124"/>
  <c r="CC168" i="124" s="1"/>
  <c r="CD168" i="124" s="1"/>
  <c r="CB132" i="124"/>
  <c r="CC132" i="124" s="1"/>
  <c r="CD132" i="124" s="1"/>
  <c r="CB255" i="124"/>
  <c r="CC255" i="124" s="1"/>
  <c r="CD255" i="124" s="1"/>
  <c r="CB279" i="124"/>
  <c r="CC279" i="124" s="1"/>
  <c r="CD279" i="124" s="1"/>
  <c r="CB128" i="124"/>
  <c r="CC128" i="124" s="1"/>
  <c r="CD128" i="124" s="1"/>
  <c r="CB167" i="124"/>
  <c r="CC167" i="124" s="1"/>
  <c r="CD167" i="124" s="1"/>
  <c r="CB119" i="124"/>
  <c r="CC119" i="124" s="1"/>
  <c r="CD119" i="124" s="1"/>
  <c r="CB111" i="124"/>
  <c r="CC111" i="124" s="1"/>
  <c r="CD111" i="124" s="1"/>
  <c r="CB122" i="124"/>
  <c r="CC122" i="124" s="1"/>
  <c r="CD122" i="124" s="1"/>
  <c r="CB214" i="124"/>
  <c r="CC214" i="124" s="1"/>
  <c r="CD214" i="124" s="1"/>
  <c r="CB164" i="124"/>
  <c r="CC164" i="124" s="1"/>
  <c r="CD164" i="124" s="1"/>
  <c r="CB42" i="124"/>
  <c r="CC42" i="124" s="1"/>
  <c r="CD42" i="124" s="1"/>
  <c r="CB235" i="124"/>
  <c r="CC235" i="124" s="1"/>
  <c r="CD235" i="124" s="1"/>
  <c r="CB112" i="124"/>
  <c r="CC112" i="124" s="1"/>
  <c r="CD112" i="124" s="1"/>
  <c r="CB222" i="124"/>
  <c r="CC222" i="124" s="1"/>
  <c r="CD222" i="124" s="1"/>
  <c r="CB215" i="124"/>
  <c r="CC215" i="124" s="1"/>
  <c r="CD215" i="124" s="1"/>
  <c r="CB162" i="124"/>
  <c r="CC162" i="124" s="1"/>
  <c r="CD162" i="124" s="1"/>
  <c r="CB136" i="124"/>
  <c r="CC136" i="124" s="1"/>
  <c r="CD136" i="124" s="1"/>
  <c r="CB256" i="124"/>
  <c r="CC256" i="124" s="1"/>
  <c r="CD256" i="124" s="1"/>
  <c r="CB139" i="124"/>
  <c r="CC139" i="124" s="1"/>
  <c r="CD139" i="124" s="1"/>
  <c r="CB273" i="124"/>
  <c r="CC273" i="124" s="1"/>
  <c r="CD273" i="124" s="1"/>
  <c r="CB4" i="124"/>
  <c r="CC4" i="124" s="1"/>
  <c r="CD4" i="124" s="1"/>
  <c r="CB133" i="124"/>
  <c r="CC133" i="124" s="1"/>
  <c r="CD133" i="124" s="1"/>
  <c r="CB232" i="124"/>
  <c r="CC232" i="124" s="1"/>
  <c r="CD232" i="124" s="1"/>
  <c r="CB31" i="124"/>
  <c r="CC31" i="124" s="1"/>
  <c r="CD31" i="124" s="1"/>
  <c r="CB9" i="124"/>
  <c r="CC9" i="124" s="1"/>
  <c r="CD9" i="124" s="1"/>
  <c r="CB143" i="124"/>
  <c r="CC143" i="124" s="1"/>
  <c r="CD143" i="124" s="1"/>
  <c r="CB277" i="124"/>
  <c r="CC277" i="124" s="1"/>
  <c r="CD277" i="124" s="1"/>
  <c r="CB150" i="124"/>
  <c r="CC150" i="124" s="1"/>
  <c r="CD150" i="124" s="1"/>
  <c r="CB223" i="124"/>
  <c r="CC223" i="124" s="1"/>
  <c r="CD223" i="124" s="1"/>
  <c r="CB155" i="124"/>
  <c r="CC155" i="124" s="1"/>
  <c r="CD155" i="124" s="1"/>
  <c r="CB131" i="124"/>
  <c r="CC131" i="124" s="1"/>
  <c r="CD131" i="124" s="1"/>
  <c r="CB87" i="124"/>
  <c r="CC87" i="124" s="1"/>
  <c r="CD87" i="124" s="1"/>
  <c r="CB228" i="124"/>
  <c r="CC228" i="124" s="1"/>
  <c r="CD228" i="124" s="1"/>
  <c r="CB138" i="124"/>
  <c r="CC138" i="124" s="1"/>
  <c r="CD138" i="124" s="1"/>
  <c r="CB159" i="124"/>
  <c r="CC159" i="124" s="1"/>
  <c r="CD159" i="124" s="1"/>
  <c r="CB285" i="124"/>
  <c r="CC285" i="124" s="1"/>
  <c r="CD285" i="124" s="1"/>
  <c r="CB284" i="124"/>
  <c r="CC284" i="124" s="1"/>
  <c r="CD284" i="124" s="1"/>
  <c r="CB158" i="124"/>
  <c r="CC158" i="124" s="1"/>
  <c r="CD158" i="124" s="1"/>
  <c r="CB180" i="124"/>
  <c r="CC180" i="124" s="1"/>
  <c r="CD180" i="124" s="1"/>
  <c r="CB280" i="124"/>
  <c r="CC280" i="124" s="1"/>
  <c r="CD280" i="124" s="1"/>
  <c r="CB229" i="124"/>
  <c r="CC229" i="124" s="1"/>
  <c r="CD229" i="124" s="1"/>
  <c r="CB45" i="124"/>
  <c r="CC45" i="124" s="1"/>
  <c r="CD45" i="124" s="1"/>
  <c r="CB224" i="124"/>
  <c r="CC224" i="124" s="1"/>
  <c r="CD224" i="124" s="1"/>
  <c r="CB59" i="124"/>
  <c r="CC59" i="124" s="1"/>
  <c r="CD59" i="124" s="1"/>
  <c r="CB47" i="124"/>
  <c r="CC47" i="124" s="1"/>
  <c r="CD47" i="124" s="1"/>
  <c r="CB194" i="124"/>
  <c r="CC194" i="124" s="1"/>
  <c r="CD194" i="124" s="1"/>
  <c r="CB106" i="124"/>
  <c r="CC106" i="124" s="1"/>
  <c r="CD106" i="124" s="1"/>
  <c r="CB130" i="124"/>
  <c r="CC130" i="124" s="1"/>
  <c r="CD130" i="124" s="1"/>
  <c r="CB68" i="124"/>
  <c r="CC68" i="124" s="1"/>
  <c r="CD68" i="124" s="1"/>
  <c r="CB148" i="124"/>
  <c r="CC148" i="124" s="1"/>
  <c r="CD148" i="124" s="1"/>
  <c r="CB170" i="124"/>
  <c r="CC170" i="124" s="1"/>
  <c r="CD170" i="124" s="1"/>
  <c r="CB104" i="124"/>
  <c r="CC104" i="124" s="1"/>
  <c r="CD104" i="124" s="1"/>
  <c r="CB241" i="124"/>
  <c r="CC241" i="124" s="1"/>
  <c r="CD241" i="124" s="1"/>
  <c r="CB6" i="124"/>
  <c r="CC6" i="124" s="1"/>
  <c r="CD6" i="124" s="1"/>
  <c r="CB40" i="124"/>
  <c r="CC40" i="124" s="1"/>
  <c r="CD40" i="124" s="1"/>
  <c r="CB196" i="124"/>
  <c r="CC196" i="124" s="1"/>
  <c r="CD196" i="124" s="1"/>
  <c r="CB73" i="124"/>
  <c r="CC73" i="124" s="1"/>
  <c r="CD73" i="124" s="1"/>
  <c r="CB135" i="124"/>
  <c r="CC135" i="124" s="1"/>
  <c r="CD135" i="124" s="1"/>
  <c r="CB13" i="124"/>
  <c r="CC13" i="124" s="1"/>
  <c r="CD13" i="124" s="1"/>
  <c r="CB278" i="124"/>
  <c r="CC278" i="124" s="1"/>
  <c r="CD278" i="124" s="1"/>
  <c r="CB210" i="124"/>
  <c r="CC210" i="124" s="1"/>
  <c r="CD210" i="124" s="1"/>
  <c r="CB266" i="124"/>
  <c r="CC266" i="124" s="1"/>
  <c r="CD266" i="124" s="1"/>
  <c r="CB78" i="124"/>
  <c r="CC78" i="124" s="1"/>
  <c r="CD78" i="124" s="1"/>
  <c r="CB212" i="124"/>
  <c r="CC212" i="124" s="1"/>
  <c r="CD212" i="124" s="1"/>
  <c r="CB267" i="124"/>
  <c r="CC267" i="124" s="1"/>
  <c r="CD267" i="124" s="1"/>
  <c r="CB97" i="124"/>
  <c r="CC97" i="124" s="1"/>
  <c r="CD97" i="124" s="1"/>
  <c r="CB181" i="124"/>
  <c r="CC181" i="124" s="1"/>
  <c r="CD181" i="124" s="1"/>
  <c r="CB250" i="124"/>
  <c r="CC250" i="124" s="1"/>
  <c r="CD250" i="124" s="1"/>
  <c r="CB140" i="124"/>
  <c r="CC140" i="124" s="1"/>
  <c r="CD140" i="124" s="1"/>
  <c r="CB72" i="124"/>
  <c r="CC72" i="124" s="1"/>
  <c r="CD72" i="124" s="1"/>
  <c r="CB179" i="124"/>
  <c r="CC179" i="124" s="1"/>
  <c r="CD179" i="124" s="1"/>
  <c r="CB95" i="124"/>
  <c r="CC95" i="124" s="1"/>
  <c r="CD95" i="124" s="1"/>
  <c r="CB189" i="124"/>
  <c r="CC189" i="124" s="1"/>
  <c r="CD189" i="124" s="1"/>
  <c r="CB187" i="124"/>
  <c r="CC187" i="124" s="1"/>
  <c r="CD187" i="124" s="1"/>
  <c r="CB56" i="124"/>
  <c r="CC56" i="124" s="1"/>
  <c r="CD56" i="124" s="1"/>
  <c r="CB93" i="124"/>
  <c r="CC93" i="124" s="1"/>
  <c r="CD93" i="124" s="1"/>
  <c r="CB237" i="124"/>
  <c r="CC237" i="124" s="1"/>
  <c r="CD237" i="124" s="1"/>
  <c r="CB37" i="124"/>
  <c r="CC37" i="124" s="1"/>
  <c r="CD37" i="124" s="1"/>
  <c r="CB67" i="124"/>
  <c r="CC67" i="124" s="1"/>
  <c r="CD67" i="124" s="1"/>
  <c r="CB246" i="124"/>
  <c r="CC246" i="124" s="1"/>
  <c r="CD246" i="124" s="1"/>
  <c r="CB247" i="124"/>
  <c r="CC247" i="124" s="1"/>
  <c r="CD247" i="124" s="1"/>
  <c r="CB114" i="124"/>
  <c r="CC114" i="124" s="1"/>
  <c r="CD114" i="124" s="1"/>
  <c r="CB257" i="124"/>
  <c r="CC257" i="124" s="1"/>
  <c r="CD257" i="124" s="1"/>
  <c r="CB202" i="124"/>
  <c r="CC202" i="124" s="1"/>
  <c r="CD202" i="124" s="1"/>
  <c r="CB268" i="124"/>
  <c r="CC268" i="124" s="1"/>
  <c r="CD268" i="124" s="1"/>
  <c r="CB149" i="124"/>
  <c r="CC149" i="124" s="1"/>
  <c r="CD149" i="124" s="1"/>
  <c r="CB225" i="124"/>
  <c r="CC225" i="124" s="1"/>
  <c r="CD225" i="124" s="1"/>
  <c r="CB41" i="124"/>
  <c r="CC41" i="124" s="1"/>
  <c r="CD41" i="124" s="1"/>
  <c r="CB127" i="124"/>
  <c r="CC127" i="124" s="1"/>
  <c r="CD127" i="124" s="1"/>
  <c r="CB108" i="124"/>
  <c r="CC108" i="124" s="1"/>
  <c r="CD108" i="124" s="1"/>
  <c r="CB165" i="124"/>
  <c r="CC165" i="124" s="1"/>
  <c r="CD165" i="124" s="1"/>
  <c r="CB75" i="124"/>
  <c r="CC75" i="124" s="1"/>
  <c r="CD75" i="124" s="1"/>
  <c r="CB193" i="124"/>
  <c r="CC193" i="124" s="1"/>
  <c r="CD193" i="124" s="1"/>
  <c r="CB60" i="124"/>
  <c r="CC60" i="124" s="1"/>
  <c r="CD60" i="124" s="1"/>
  <c r="CB163" i="124"/>
  <c r="CC163" i="124" s="1"/>
  <c r="CD163" i="124" s="1"/>
  <c r="CB274" i="124"/>
  <c r="CC274" i="124" s="1"/>
  <c r="CD274" i="124" s="1"/>
  <c r="CB286" i="124"/>
  <c r="CC286" i="124" s="1"/>
  <c r="CD286" i="124" s="1"/>
  <c r="CB129" i="124"/>
  <c r="CC129" i="124" s="1"/>
  <c r="CD129" i="124" s="1"/>
  <c r="CB79" i="124"/>
  <c r="CC79" i="124" s="1"/>
  <c r="CD79" i="124" s="1"/>
  <c r="CB48" i="124"/>
  <c r="CC48" i="124" s="1"/>
  <c r="CD48" i="124" s="1"/>
  <c r="CB116" i="124"/>
  <c r="CC116" i="124" s="1"/>
  <c r="CD116" i="124" s="1"/>
  <c r="CB259" i="124"/>
  <c r="CC259" i="124" s="1"/>
  <c r="CD259" i="124" s="1"/>
  <c r="CB86" i="124"/>
  <c r="CC86" i="124" s="1"/>
  <c r="CD86" i="124" s="1"/>
  <c r="CB157" i="124"/>
  <c r="CC157" i="124" s="1"/>
  <c r="CD157" i="124" s="1"/>
  <c r="CB249" i="124"/>
  <c r="CC249" i="124" s="1"/>
  <c r="CD249" i="124" s="1"/>
  <c r="CB29" i="124"/>
  <c r="CC29" i="124" s="1"/>
  <c r="CD29" i="124" s="1"/>
  <c r="CB49" i="124"/>
  <c r="CC49" i="124" s="1"/>
  <c r="CD49" i="124" s="1"/>
  <c r="CB53" i="124"/>
  <c r="CC53" i="124" s="1"/>
  <c r="CD53" i="124" s="1"/>
  <c r="CB221" i="124"/>
  <c r="CC221" i="124" s="1"/>
  <c r="CD221" i="124" s="1"/>
  <c r="CB260" i="124"/>
  <c r="CC260" i="124" s="1"/>
  <c r="CD260" i="124" s="1"/>
  <c r="CB91" i="124"/>
  <c r="CC91" i="124" s="1"/>
  <c r="CD91" i="124" s="1"/>
  <c r="CB98" i="124"/>
  <c r="CC98" i="124" s="1"/>
  <c r="CD98" i="124" s="1"/>
  <c r="CB270" i="124"/>
  <c r="CC270" i="124" s="1"/>
  <c r="CD270" i="124" s="1"/>
  <c r="CB92" i="124"/>
  <c r="CC92" i="124" s="1"/>
  <c r="CD92" i="124" s="1"/>
  <c r="CB234" i="124"/>
  <c r="CC234" i="124" s="1"/>
  <c r="CD234" i="124" s="1"/>
  <c r="CB63" i="124"/>
  <c r="CC63" i="124" s="1"/>
  <c r="CD63" i="124" s="1"/>
  <c r="CB199" i="124"/>
  <c r="CC199" i="124" s="1"/>
  <c r="CD199" i="124" s="1"/>
  <c r="CB227" i="124"/>
  <c r="CC227" i="124" s="1"/>
  <c r="CD227" i="124" s="1"/>
  <c r="CB271" i="124"/>
  <c r="CC271" i="124" s="1"/>
  <c r="CD271" i="124" s="1"/>
  <c r="CB200" i="124"/>
  <c r="CC200" i="124" s="1"/>
  <c r="CD200" i="124" s="1"/>
  <c r="CB118" i="124"/>
  <c r="CC118" i="124" s="1"/>
  <c r="CD118" i="124" s="1"/>
  <c r="CB239" i="124"/>
  <c r="CC239" i="124" s="1"/>
  <c r="CD239" i="124" s="1"/>
  <c r="CB134" i="124"/>
  <c r="CC134" i="124" s="1"/>
  <c r="CD134" i="124" s="1"/>
  <c r="CB275" i="124"/>
  <c r="CC275" i="124" s="1"/>
  <c r="CD275" i="124" s="1"/>
  <c r="CB276" i="124"/>
  <c r="CC276" i="124" s="1"/>
  <c r="CD276" i="124" s="1"/>
  <c r="CB263" i="124"/>
  <c r="CC263" i="124" s="1"/>
  <c r="CD263" i="124" s="1"/>
  <c r="CB169" i="124"/>
  <c r="CC169" i="124" s="1"/>
  <c r="CD169" i="124" s="1"/>
  <c r="CB265" i="124"/>
  <c r="CC265" i="124" s="1"/>
  <c r="CD265" i="124" s="1"/>
  <c r="CB231" i="124"/>
  <c r="CC231" i="124" s="1"/>
  <c r="CD231" i="124" s="1"/>
  <c r="CB109" i="124"/>
  <c r="CC109" i="124" s="1"/>
  <c r="CD109" i="124" s="1"/>
  <c r="CB151" i="124"/>
  <c r="CC151" i="124" s="1"/>
  <c r="CD151" i="124" s="1"/>
  <c r="CB117" i="124"/>
  <c r="CC117" i="124" s="1"/>
  <c r="CD117" i="124" s="1"/>
  <c r="CB19" i="124"/>
  <c r="CC19" i="124" s="1"/>
  <c r="CD19" i="124" s="1"/>
  <c r="CB219" i="124"/>
  <c r="CC219" i="124" s="1"/>
  <c r="CD219" i="124" s="1"/>
  <c r="CB243" i="124"/>
  <c r="CC243" i="124" s="1"/>
  <c r="CD243" i="124" s="1"/>
  <c r="CB161" i="124"/>
  <c r="CC161" i="124" s="1"/>
  <c r="CD161" i="124" s="1"/>
  <c r="CB206" i="124"/>
  <c r="CC206" i="124" s="1"/>
  <c r="CD206" i="124" s="1"/>
  <c r="CB211" i="124"/>
  <c r="CC211" i="124" s="1"/>
  <c r="CD211" i="124" s="1"/>
  <c r="CB238" i="124"/>
  <c r="CC238" i="124" s="1"/>
  <c r="CD238" i="124" s="1"/>
  <c r="CB145" i="124"/>
  <c r="CC145" i="124" s="1"/>
  <c r="CD145" i="124" s="1"/>
  <c r="CB281" i="124"/>
  <c r="CC281" i="124" s="1"/>
  <c r="CD281" i="124" s="1"/>
  <c r="CB96" i="124"/>
  <c r="CC96" i="124" s="1"/>
  <c r="CD96" i="124" s="1"/>
  <c r="CB147" i="124"/>
  <c r="CC147" i="124" s="1"/>
  <c r="CD147" i="124" s="1"/>
  <c r="CB101" i="124"/>
  <c r="CC101" i="124" s="1"/>
  <c r="CD101" i="124" s="1"/>
  <c r="CB33" i="124"/>
  <c r="CC33" i="124" s="1"/>
  <c r="CD33" i="124" s="1"/>
  <c r="CB43" i="124"/>
  <c r="CC43" i="124" s="1"/>
  <c r="CD43" i="124" s="1"/>
  <c r="CB80" i="124"/>
  <c r="CC80" i="124" s="1"/>
  <c r="CD80" i="124" s="1"/>
  <c r="CB166" i="124"/>
  <c r="CC166" i="124" s="1"/>
  <c r="CD166" i="124" s="1"/>
  <c r="CB209" i="124"/>
  <c r="CC209" i="124" s="1"/>
  <c r="CD209" i="124" s="1"/>
  <c r="CB264" i="124"/>
  <c r="CC264" i="124" s="1"/>
  <c r="CD264" i="124" s="1"/>
  <c r="CB254" i="124"/>
  <c r="CC254" i="124" s="1"/>
  <c r="CD254" i="124" s="1"/>
  <c r="CB178" i="124"/>
  <c r="CC178" i="124" s="1"/>
  <c r="CD178" i="124" s="1"/>
  <c r="AE22" i="121"/>
  <c r="W22" i="121"/>
  <c r="S80" i="115" s="1"/>
  <c r="AG22" i="121"/>
  <c r="AH22" i="121" s="1"/>
  <c r="U22" i="121"/>
  <c r="X22" i="121"/>
  <c r="AA80" i="115" s="1"/>
  <c r="AF22" i="121"/>
  <c r="AN22" i="121"/>
  <c r="V22" i="121"/>
  <c r="Z22" i="121"/>
  <c r="U80" i="115" s="1"/>
  <c r="V80" i="115" s="1"/>
  <c r="AM22" i="121"/>
  <c r="AP22" i="121"/>
  <c r="AQ22" i="121"/>
  <c r="AB22" i="121"/>
  <c r="Y22" i="121"/>
  <c r="Q80" i="115"/>
  <c r="P80" i="115" s="1"/>
  <c r="T22" i="121"/>
  <c r="S20" i="121"/>
  <c r="P20" i="121"/>
  <c r="N20" i="121"/>
  <c r="L20" i="121"/>
  <c r="AA20" i="121" s="1"/>
  <c r="AC20" i="121" s="1"/>
  <c r="AS20" i="121"/>
  <c r="CF29" i="108"/>
  <c r="CE29" i="108" s="1"/>
  <c r="M35" i="121"/>
  <c r="AQ35" i="131"/>
  <c r="CF35" i="108"/>
  <c r="CE35" i="108" s="1"/>
  <c r="L41" i="121"/>
  <c r="AA41" i="121" s="1"/>
  <c r="AC41" i="121" s="1"/>
  <c r="AS41" i="121"/>
  <c r="N41" i="121"/>
  <c r="Q41" i="121"/>
  <c r="P41" i="121"/>
  <c r="O41" i="121"/>
  <c r="AD41" i="121" s="1"/>
  <c r="S41" i="121"/>
  <c r="W92" i="115"/>
  <c r="X92" i="115" s="1"/>
  <c r="AO29" i="121"/>
  <c r="AO27" i="121"/>
  <c r="AT34" i="121"/>
  <c r="AU34" i="121" s="1"/>
  <c r="Y92" i="115"/>
  <c r="AW34" i="121"/>
  <c r="AV34" i="121"/>
  <c r="Y87" i="115"/>
  <c r="AV29" i="121"/>
  <c r="AW29" i="121"/>
  <c r="AT29" i="121"/>
  <c r="AU29" i="121" s="1"/>
  <c r="AB33" i="121"/>
  <c r="Y33" i="121"/>
  <c r="AQ33" i="121"/>
  <c r="AE33" i="121"/>
  <c r="U33" i="121"/>
  <c r="AN33" i="121"/>
  <c r="W33" i="121"/>
  <c r="S91" i="115" s="1"/>
  <c r="AM33" i="121"/>
  <c r="AG33" i="121"/>
  <c r="AH33" i="121" s="1"/>
  <c r="AF33" i="121"/>
  <c r="Q91" i="115"/>
  <c r="P91" i="115" s="1"/>
  <c r="Z33" i="121"/>
  <c r="U91" i="115" s="1"/>
  <c r="V91" i="115" s="1"/>
  <c r="AP33" i="121"/>
  <c r="T33" i="121"/>
  <c r="V33" i="121"/>
  <c r="X33" i="121"/>
  <c r="AO34" i="121"/>
  <c r="AA92" i="115"/>
  <c r="AR34" i="121"/>
  <c r="AI29" i="121"/>
  <c r="AJ29" i="121"/>
  <c r="AB87" i="115" s="1"/>
  <c r="S35" i="121"/>
  <c r="O35" i="121"/>
  <c r="AD35" i="121" s="1"/>
  <c r="AS35" i="121"/>
  <c r="N35" i="121"/>
  <c r="L35" i="121"/>
  <c r="AA35" i="121" s="1"/>
  <c r="AC35" i="121" s="1"/>
  <c r="Q35" i="121"/>
  <c r="P35" i="121"/>
  <c r="AO37" i="121"/>
  <c r="AT27" i="121"/>
  <c r="AU27" i="121" s="1"/>
  <c r="AW27" i="121"/>
  <c r="AV27" i="121"/>
  <c r="Y85" i="115"/>
  <c r="AI37" i="121"/>
  <c r="AJ37" i="121"/>
  <c r="AB95" i="115" s="1"/>
  <c r="AI34" i="121"/>
  <c r="AJ34" i="121"/>
  <c r="AB92" i="115" s="1"/>
  <c r="S87" i="115"/>
  <c r="W87" i="115" s="1"/>
  <c r="X87" i="115" s="1"/>
  <c r="AI27" i="121"/>
  <c r="AJ27" i="121"/>
  <c r="AB85" i="115" s="1"/>
  <c r="AA85" i="115"/>
  <c r="AR27" i="121"/>
  <c r="AV37" i="121"/>
  <c r="Y95" i="115"/>
  <c r="AW37" i="121"/>
  <c r="AT37" i="121"/>
  <c r="AU37" i="121" s="1"/>
  <c r="AA95" i="115"/>
  <c r="AR37" i="121"/>
  <c r="AA87" i="115"/>
  <c r="AR29" i="121"/>
  <c r="W85" i="115"/>
  <c r="X85" i="115" s="1"/>
  <c r="W95" i="115"/>
  <c r="X95" i="115" s="1"/>
  <c r="U18" i="121"/>
  <c r="V18" i="121"/>
  <c r="T18" i="121"/>
  <c r="W18" i="121"/>
  <c r="S76" i="115" s="1"/>
  <c r="AG18" i="121"/>
  <c r="AH18" i="121" s="1"/>
  <c r="AF18" i="121"/>
  <c r="AP18" i="121"/>
  <c r="AB18" i="121"/>
  <c r="Z18" i="121"/>
  <c r="U76" i="115" s="1"/>
  <c r="V76" i="115" s="1"/>
  <c r="AM18" i="121"/>
  <c r="Q76" i="115"/>
  <c r="P76" i="115" s="1"/>
  <c r="X18" i="121"/>
  <c r="AA76" i="115" s="1"/>
  <c r="AE18" i="121"/>
  <c r="AQ18" i="121"/>
  <c r="Y18" i="121"/>
  <c r="Y76" i="115" s="1"/>
  <c r="N21" i="121"/>
  <c r="L21" i="121"/>
  <c r="AA21" i="121" s="1"/>
  <c r="AC21" i="121" s="1"/>
  <c r="P21" i="121"/>
  <c r="AS21" i="121"/>
  <c r="AB21" i="121"/>
  <c r="AN21" i="121"/>
  <c r="T21" i="121"/>
  <c r="AE21" i="121"/>
  <c r="AM21" i="121"/>
  <c r="AG21" i="121"/>
  <c r="AH21" i="121" s="1"/>
  <c r="AI21" i="121" s="1"/>
  <c r="AP21" i="121"/>
  <c r="X21" i="121"/>
  <c r="AA79" i="115" s="1"/>
  <c r="AF21" i="121"/>
  <c r="U21" i="121"/>
  <c r="V21" i="121"/>
  <c r="W21" i="121"/>
  <c r="S79" i="115" s="1"/>
  <c r="Z21" i="121"/>
  <c r="U79" i="115" s="1"/>
  <c r="V79" i="115" s="1"/>
  <c r="Y21" i="121"/>
  <c r="AQ21" i="121"/>
  <c r="Q79" i="115"/>
  <c r="P79" i="115" s="1"/>
  <c r="F37" i="82"/>
  <c r="F56" i="46"/>
  <c r="C57" i="46"/>
  <c r="C37" i="82"/>
  <c r="P37" i="82" s="1"/>
  <c r="B39" i="82"/>
  <c r="G38" i="82"/>
  <c r="E38" i="82"/>
  <c r="H37" i="82"/>
  <c r="I37" i="82"/>
  <c r="I63" i="46"/>
  <c r="J63" i="46"/>
  <c r="D63" i="46"/>
  <c r="G63" i="46"/>
  <c r="A65" i="46"/>
  <c r="B64" i="46"/>
  <c r="K64" i="46"/>
  <c r="E64" i="46"/>
  <c r="AR46" i="121" l="1"/>
  <c r="AA104" i="115"/>
  <c r="W104" i="115"/>
  <c r="BW248" i="124"/>
  <c r="BX248" i="124" s="1"/>
  <c r="BY248" i="124" s="1"/>
  <c r="BW288" i="124"/>
  <c r="BX288" i="124" s="1"/>
  <c r="BY288" i="124" s="1"/>
  <c r="BW289" i="124"/>
  <c r="BX289" i="124" s="1"/>
  <c r="BY289" i="124" s="1"/>
  <c r="CG289" i="124"/>
  <c r="CH289" i="124" s="1"/>
  <c r="CI289" i="124" s="1"/>
  <c r="CG288" i="124"/>
  <c r="CH288" i="124" s="1"/>
  <c r="CI288" i="124" s="1"/>
  <c r="Z39" i="121"/>
  <c r="U97" i="115" s="1"/>
  <c r="V97" i="115" s="1"/>
  <c r="AB39" i="121"/>
  <c r="V39" i="121"/>
  <c r="AE39" i="121"/>
  <c r="X39" i="121"/>
  <c r="AA97" i="115" s="1"/>
  <c r="U39" i="121"/>
  <c r="AQ39" i="121"/>
  <c r="AN39" i="121"/>
  <c r="AF39" i="121"/>
  <c r="AG39" i="121"/>
  <c r="AH39" i="121" s="1"/>
  <c r="AJ39" i="121" s="1"/>
  <c r="AB97" i="115" s="1"/>
  <c r="Q97" i="115"/>
  <c r="P97" i="115" s="1"/>
  <c r="W39" i="121"/>
  <c r="S97" i="115" s="1"/>
  <c r="BW210" i="124"/>
  <c r="BX210" i="124" s="1"/>
  <c r="BY210" i="124" s="1"/>
  <c r="BW117" i="124"/>
  <c r="BX117" i="124" s="1"/>
  <c r="BY117" i="124" s="1"/>
  <c r="BW106" i="124"/>
  <c r="BX106" i="124" s="1"/>
  <c r="BY106" i="124" s="1"/>
  <c r="BW88" i="124"/>
  <c r="BX88" i="124" s="1"/>
  <c r="BY88" i="124" s="1"/>
  <c r="BW6" i="124"/>
  <c r="BX6" i="124" s="1"/>
  <c r="BY6" i="124" s="1"/>
  <c r="BW43" i="124"/>
  <c r="BX43" i="124" s="1"/>
  <c r="BY43" i="124" s="1"/>
  <c r="BW120" i="124"/>
  <c r="BX120" i="124" s="1"/>
  <c r="BY120" i="124" s="1"/>
  <c r="BW191" i="124"/>
  <c r="BX191" i="124" s="1"/>
  <c r="BY191" i="124" s="1"/>
  <c r="BW148" i="124"/>
  <c r="BX148" i="124" s="1"/>
  <c r="BY148" i="124" s="1"/>
  <c r="BW7" i="124"/>
  <c r="BX7" i="124" s="1"/>
  <c r="BY7" i="124" s="1"/>
  <c r="T39" i="121"/>
  <c r="AP39" i="121"/>
  <c r="AM39" i="121"/>
  <c r="BW112" i="124"/>
  <c r="BX112" i="124" s="1"/>
  <c r="BY112" i="124" s="1"/>
  <c r="BW153" i="124"/>
  <c r="BX153" i="124" s="1"/>
  <c r="BY153" i="124" s="1"/>
  <c r="BW252" i="124"/>
  <c r="BX252" i="124" s="1"/>
  <c r="BY252" i="124" s="1"/>
  <c r="BW271" i="124"/>
  <c r="BX271" i="124" s="1"/>
  <c r="BY271" i="124" s="1"/>
  <c r="BW102" i="124"/>
  <c r="BX102" i="124" s="1"/>
  <c r="BY102" i="124" s="1"/>
  <c r="BW181" i="124"/>
  <c r="BX181" i="124" s="1"/>
  <c r="BY181" i="124" s="1"/>
  <c r="BW225" i="124"/>
  <c r="BX225" i="124" s="1"/>
  <c r="BY225" i="124" s="1"/>
  <c r="BW200" i="124"/>
  <c r="BX200" i="124" s="1"/>
  <c r="BY200" i="124" s="1"/>
  <c r="BW85" i="124"/>
  <c r="BX85" i="124" s="1"/>
  <c r="BY85" i="124" s="1"/>
  <c r="BW45" i="124"/>
  <c r="BX45" i="124" s="1"/>
  <c r="BY45" i="124" s="1"/>
  <c r="BW116" i="124"/>
  <c r="BX116" i="124" s="1"/>
  <c r="BY116" i="124" s="1"/>
  <c r="BW65" i="124"/>
  <c r="BX65" i="124" s="1"/>
  <c r="BY65" i="124" s="1"/>
  <c r="BW93" i="124"/>
  <c r="BX93" i="124" s="1"/>
  <c r="BY93" i="124" s="1"/>
  <c r="BW99" i="124"/>
  <c r="BX99" i="124" s="1"/>
  <c r="BY99" i="124" s="1"/>
  <c r="BW32" i="124"/>
  <c r="BX32" i="124" s="1"/>
  <c r="BY32" i="124" s="1"/>
  <c r="BW227" i="124"/>
  <c r="BX227" i="124" s="1"/>
  <c r="BY227" i="124" s="1"/>
  <c r="BW251" i="124"/>
  <c r="BX251" i="124" s="1"/>
  <c r="BY251" i="124" s="1"/>
  <c r="BW49" i="124"/>
  <c r="BX49" i="124" s="1"/>
  <c r="BY49" i="124" s="1"/>
  <c r="BW250" i="124"/>
  <c r="BX250" i="124" s="1"/>
  <c r="BY250" i="124" s="1"/>
  <c r="BW261" i="124"/>
  <c r="BX261" i="124" s="1"/>
  <c r="BY261" i="124" s="1"/>
  <c r="BW263" i="124"/>
  <c r="BX263" i="124" s="1"/>
  <c r="BY263" i="124" s="1"/>
  <c r="BW61" i="124"/>
  <c r="BX61" i="124" s="1"/>
  <c r="BY61" i="124" s="1"/>
  <c r="BW139" i="124"/>
  <c r="BX139" i="124" s="1"/>
  <c r="BY139" i="124" s="1"/>
  <c r="BW150" i="124"/>
  <c r="BX150" i="124" s="1"/>
  <c r="BY150" i="124" s="1"/>
  <c r="BW207" i="124"/>
  <c r="BX207" i="124" s="1"/>
  <c r="BY207" i="124" s="1"/>
  <c r="BW128" i="124"/>
  <c r="BX128" i="124" s="1"/>
  <c r="BY128" i="124" s="1"/>
  <c r="BW63" i="124"/>
  <c r="BX63" i="124" s="1"/>
  <c r="BY63" i="124" s="1"/>
  <c r="BW266" i="124"/>
  <c r="BX266" i="124" s="1"/>
  <c r="BY266" i="124" s="1"/>
  <c r="W94" i="115"/>
  <c r="X94" i="115" s="1"/>
  <c r="BW278" i="124"/>
  <c r="BX278" i="124" s="1"/>
  <c r="BY278" i="124" s="1"/>
  <c r="BW44" i="124"/>
  <c r="BX44" i="124" s="1"/>
  <c r="BY44" i="124" s="1"/>
  <c r="BW147" i="124"/>
  <c r="BX147" i="124" s="1"/>
  <c r="BY147" i="124" s="1"/>
  <c r="BW155" i="124"/>
  <c r="BX155" i="124" s="1"/>
  <c r="BY155" i="124" s="1"/>
  <c r="BW60" i="124"/>
  <c r="BX60" i="124" s="1"/>
  <c r="BY60" i="124" s="1"/>
  <c r="BW287" i="124"/>
  <c r="BX287" i="124" s="1"/>
  <c r="BY287" i="124" s="1"/>
  <c r="BW180" i="124"/>
  <c r="BX180" i="124" s="1"/>
  <c r="BY180" i="124" s="1"/>
  <c r="BW19" i="124"/>
  <c r="BX19" i="124" s="1"/>
  <c r="BY19" i="124" s="1"/>
  <c r="BW285" i="124"/>
  <c r="BX285" i="124" s="1"/>
  <c r="BY285" i="124" s="1"/>
  <c r="BW13" i="124"/>
  <c r="BX13" i="124" s="1"/>
  <c r="BY13" i="124" s="1"/>
  <c r="BW276" i="124"/>
  <c r="BX276" i="124" s="1"/>
  <c r="BY276" i="124" s="1"/>
  <c r="BW283" i="124"/>
  <c r="BX283" i="124" s="1"/>
  <c r="BY283" i="124" s="1"/>
  <c r="BW237" i="124"/>
  <c r="BX237" i="124" s="1"/>
  <c r="BY237" i="124" s="1"/>
  <c r="BW161" i="124"/>
  <c r="BX161" i="124" s="1"/>
  <c r="BY161" i="124" s="1"/>
  <c r="BW126" i="124"/>
  <c r="BX126" i="124" s="1"/>
  <c r="BY126" i="124" s="1"/>
  <c r="BW222" i="124"/>
  <c r="BX222" i="124" s="1"/>
  <c r="BY222" i="124" s="1"/>
  <c r="BW69" i="124"/>
  <c r="BX69" i="124" s="1"/>
  <c r="BY69" i="124" s="1"/>
  <c r="BW74" i="124"/>
  <c r="BX74" i="124" s="1"/>
  <c r="BY74" i="124" s="1"/>
  <c r="BW41" i="124"/>
  <c r="BX41" i="124" s="1"/>
  <c r="BY41" i="124" s="1"/>
  <c r="BW241" i="124"/>
  <c r="BX241" i="124" s="1"/>
  <c r="BY241" i="124" s="1"/>
  <c r="BW273" i="124"/>
  <c r="BX273" i="124" s="1"/>
  <c r="BY273" i="124" s="1"/>
  <c r="BW12" i="124"/>
  <c r="BX12" i="124" s="1"/>
  <c r="BY12" i="124" s="1"/>
  <c r="BW257" i="124"/>
  <c r="BX257" i="124" s="1"/>
  <c r="BY257" i="124" s="1"/>
  <c r="BW189" i="124"/>
  <c r="BX189" i="124" s="1"/>
  <c r="BY189" i="124" s="1"/>
  <c r="BW282" i="124"/>
  <c r="BX282" i="124" s="1"/>
  <c r="BY282" i="124" s="1"/>
  <c r="BW125" i="124"/>
  <c r="BX125" i="124" s="1"/>
  <c r="BY125" i="124" s="1"/>
  <c r="BW267" i="124"/>
  <c r="BX267" i="124" s="1"/>
  <c r="BY267" i="124" s="1"/>
  <c r="BW238" i="124"/>
  <c r="BX238" i="124" s="1"/>
  <c r="BY238" i="124" s="1"/>
  <c r="BW170" i="124"/>
  <c r="BX170" i="124" s="1"/>
  <c r="BY170" i="124" s="1"/>
  <c r="BW258" i="124"/>
  <c r="BX258" i="124" s="1"/>
  <c r="BY258" i="124" s="1"/>
  <c r="BW149" i="124"/>
  <c r="BX149" i="124" s="1"/>
  <c r="BY149" i="124" s="1"/>
  <c r="BW122" i="124"/>
  <c r="BX122" i="124" s="1"/>
  <c r="BY122" i="124" s="1"/>
  <c r="BW236" i="124"/>
  <c r="BX236" i="124" s="1"/>
  <c r="BY236" i="124" s="1"/>
  <c r="BW173" i="124"/>
  <c r="BX173" i="124" s="1"/>
  <c r="BY173" i="124" s="1"/>
  <c r="BW198" i="124"/>
  <c r="BX198" i="124" s="1"/>
  <c r="BY198" i="124" s="1"/>
  <c r="BW218" i="124"/>
  <c r="BX218" i="124" s="1"/>
  <c r="BY218" i="124" s="1"/>
  <c r="BW78" i="124"/>
  <c r="BX78" i="124" s="1"/>
  <c r="BY78" i="124" s="1"/>
  <c r="BW187" i="124"/>
  <c r="BX187" i="124" s="1"/>
  <c r="BY187" i="124" s="1"/>
  <c r="BW144" i="124"/>
  <c r="BX144" i="124" s="1"/>
  <c r="BY144" i="124" s="1"/>
  <c r="BW67" i="124"/>
  <c r="BX67" i="124" s="1"/>
  <c r="BY67" i="124" s="1"/>
  <c r="BW247" i="124"/>
  <c r="BX247" i="124" s="1"/>
  <c r="BY247" i="124" s="1"/>
  <c r="BW29" i="124"/>
  <c r="BX29" i="124" s="1"/>
  <c r="BY29" i="124" s="1"/>
  <c r="BW233" i="124"/>
  <c r="BX233" i="124" s="1"/>
  <c r="BY233" i="124" s="1"/>
  <c r="BW70" i="124"/>
  <c r="BX70" i="124" s="1"/>
  <c r="BY70" i="124" s="1"/>
  <c r="BW129" i="124"/>
  <c r="BX129" i="124" s="1"/>
  <c r="BY129" i="124" s="1"/>
  <c r="BW228" i="124"/>
  <c r="BX228" i="124" s="1"/>
  <c r="BY228" i="124" s="1"/>
  <c r="BW105" i="124"/>
  <c r="BX105" i="124" s="1"/>
  <c r="BY105" i="124" s="1"/>
  <c r="BW111" i="124"/>
  <c r="BX111" i="124" s="1"/>
  <c r="BY111" i="124" s="1"/>
  <c r="BW8" i="124"/>
  <c r="BX8" i="124" s="1"/>
  <c r="BY8" i="124" s="1"/>
  <c r="BW91" i="124"/>
  <c r="BX91" i="124" s="1"/>
  <c r="BY91" i="124" s="1"/>
  <c r="BW145" i="124"/>
  <c r="BX145" i="124" s="1"/>
  <c r="BY145" i="124" s="1"/>
  <c r="BW275" i="124"/>
  <c r="BX275" i="124" s="1"/>
  <c r="BY275" i="124" s="1"/>
  <c r="BW217" i="124"/>
  <c r="BX217" i="124" s="1"/>
  <c r="BY217" i="124" s="1"/>
  <c r="BW205" i="124"/>
  <c r="BX205" i="124" s="1"/>
  <c r="BY205" i="124" s="1"/>
  <c r="BW22" i="124"/>
  <c r="BX22" i="124" s="1"/>
  <c r="BY22" i="124" s="1"/>
  <c r="BW87" i="124"/>
  <c r="BX87" i="124" s="1"/>
  <c r="BY87" i="124" s="1"/>
  <c r="BW172" i="124"/>
  <c r="BX172" i="124" s="1"/>
  <c r="BY172" i="124" s="1"/>
  <c r="BW284" i="124"/>
  <c r="BX284" i="124" s="1"/>
  <c r="BY284" i="124" s="1"/>
  <c r="BW33" i="124"/>
  <c r="BX33" i="124" s="1"/>
  <c r="BY33" i="124" s="1"/>
  <c r="BW265" i="124"/>
  <c r="BX265" i="124" s="1"/>
  <c r="BY265" i="124" s="1"/>
  <c r="BW156" i="124"/>
  <c r="BX156" i="124" s="1"/>
  <c r="BY156" i="124" s="1"/>
  <c r="BW279" i="124"/>
  <c r="BX279" i="124" s="1"/>
  <c r="BY279" i="124" s="1"/>
  <c r="BW234" i="124"/>
  <c r="BX234" i="124" s="1"/>
  <c r="BY234" i="124" s="1"/>
  <c r="BW239" i="124"/>
  <c r="BX239" i="124" s="1"/>
  <c r="BY239" i="124" s="1"/>
  <c r="BW9" i="124"/>
  <c r="BX9" i="124" s="1"/>
  <c r="BY9" i="124" s="1"/>
  <c r="BW211" i="124"/>
  <c r="BX211" i="124" s="1"/>
  <c r="BY211" i="124" s="1"/>
  <c r="BW206" i="124"/>
  <c r="BX206" i="124" s="1"/>
  <c r="BY206" i="124" s="1"/>
  <c r="BW179" i="124"/>
  <c r="BX179" i="124" s="1"/>
  <c r="BY179" i="124" s="1"/>
  <c r="BW204" i="124"/>
  <c r="BX204" i="124" s="1"/>
  <c r="BY204" i="124" s="1"/>
  <c r="BW51" i="124"/>
  <c r="BX51" i="124" s="1"/>
  <c r="BY51" i="124" s="1"/>
  <c r="BW53" i="124"/>
  <c r="BX53" i="124" s="1"/>
  <c r="BY53" i="124" s="1"/>
  <c r="BW95" i="124"/>
  <c r="BX95" i="124" s="1"/>
  <c r="BY95" i="124" s="1"/>
  <c r="BW214" i="124"/>
  <c r="BX214" i="124" s="1"/>
  <c r="BY214" i="124" s="1"/>
  <c r="BW113" i="124"/>
  <c r="BX113" i="124" s="1"/>
  <c r="BY113" i="124" s="1"/>
  <c r="BW146" i="124"/>
  <c r="BX146" i="124" s="1"/>
  <c r="BY146" i="124" s="1"/>
  <c r="BW160" i="124"/>
  <c r="BX160" i="124" s="1"/>
  <c r="BY160" i="124" s="1"/>
  <c r="BW76" i="124"/>
  <c r="BX76" i="124" s="1"/>
  <c r="BY76" i="124" s="1"/>
  <c r="BW80" i="124"/>
  <c r="BX80" i="124" s="1"/>
  <c r="BY80" i="124" s="1"/>
  <c r="BW256" i="124"/>
  <c r="BX256" i="124" s="1"/>
  <c r="BY256" i="124" s="1"/>
  <c r="BW107" i="124"/>
  <c r="BX107" i="124" s="1"/>
  <c r="BY107" i="124" s="1"/>
  <c r="BW140" i="124"/>
  <c r="BX140" i="124" s="1"/>
  <c r="BY140" i="124" s="1"/>
  <c r="BW132" i="124"/>
  <c r="BX132" i="124" s="1"/>
  <c r="BY132" i="124" s="1"/>
  <c r="BW130" i="124"/>
  <c r="BX130" i="124" s="1"/>
  <c r="BY130" i="124" s="1"/>
  <c r="BW121" i="124"/>
  <c r="BX121" i="124" s="1"/>
  <c r="BY121" i="124" s="1"/>
  <c r="BW201" i="124"/>
  <c r="BX201" i="124" s="1"/>
  <c r="BY201" i="124" s="1"/>
  <c r="BW165" i="124"/>
  <c r="BX165" i="124" s="1"/>
  <c r="BY165" i="124" s="1"/>
  <c r="BW249" i="124"/>
  <c r="BX249" i="124" s="1"/>
  <c r="BY249" i="124" s="1"/>
  <c r="BW272" i="124"/>
  <c r="BX272" i="124" s="1"/>
  <c r="BY272" i="124" s="1"/>
  <c r="BW244" i="124"/>
  <c r="BX244" i="124" s="1"/>
  <c r="BY244" i="124" s="1"/>
  <c r="BW277" i="124"/>
  <c r="BX277" i="124" s="1"/>
  <c r="BY277" i="124" s="1"/>
  <c r="BW31" i="124"/>
  <c r="BX31" i="124" s="1"/>
  <c r="BY31" i="124" s="1"/>
  <c r="BW50" i="124"/>
  <c r="BX50" i="124" s="1"/>
  <c r="BY50" i="124" s="1"/>
  <c r="BW194" i="124"/>
  <c r="BX194" i="124" s="1"/>
  <c r="BY194" i="124" s="1"/>
  <c r="BW230" i="124"/>
  <c r="BX230" i="124" s="1"/>
  <c r="BY230" i="124" s="1"/>
  <c r="BW72" i="124"/>
  <c r="BX72" i="124" s="1"/>
  <c r="BY72" i="124" s="1"/>
  <c r="BW158" i="124"/>
  <c r="BX158" i="124" s="1"/>
  <c r="BY158" i="124" s="1"/>
  <c r="BW269" i="124"/>
  <c r="BX269" i="124" s="1"/>
  <c r="BY269" i="124" s="1"/>
  <c r="BW212" i="124"/>
  <c r="BX212" i="124" s="1"/>
  <c r="BY212" i="124" s="1"/>
  <c r="BW203" i="124"/>
  <c r="BX203" i="124" s="1"/>
  <c r="BY203" i="124" s="1"/>
  <c r="BW171" i="124"/>
  <c r="BX171" i="124" s="1"/>
  <c r="BY171" i="124" s="1"/>
  <c r="BW97" i="124"/>
  <c r="BX97" i="124" s="1"/>
  <c r="BY97" i="124" s="1"/>
  <c r="BW79" i="124"/>
  <c r="BX79" i="124" s="1"/>
  <c r="BY79" i="124" s="1"/>
  <c r="BW77" i="124"/>
  <c r="BX77" i="124" s="1"/>
  <c r="BY77" i="124" s="1"/>
  <c r="BW274" i="124"/>
  <c r="BX274" i="124" s="1"/>
  <c r="BY274" i="124" s="1"/>
  <c r="BW118" i="124"/>
  <c r="BX118" i="124" s="1"/>
  <c r="BY118" i="124" s="1"/>
  <c r="BW162" i="124"/>
  <c r="BX162" i="124" s="1"/>
  <c r="BY162" i="124" s="1"/>
  <c r="BW245" i="124"/>
  <c r="BX245" i="124" s="1"/>
  <c r="BY245" i="124" s="1"/>
  <c r="BW47" i="124"/>
  <c r="BX47" i="124" s="1"/>
  <c r="BY47" i="124" s="1"/>
  <c r="BW42" i="124"/>
  <c r="BX42" i="124" s="1"/>
  <c r="BY42" i="124" s="1"/>
  <c r="BW243" i="124"/>
  <c r="BX243" i="124" s="1"/>
  <c r="BY243" i="124" s="1"/>
  <c r="BW4" i="124"/>
  <c r="BX4" i="124" s="1"/>
  <c r="BY4" i="124" s="1"/>
  <c r="BW46" i="124"/>
  <c r="BX46" i="124" s="1"/>
  <c r="BY46" i="124" s="1"/>
  <c r="BW127" i="124"/>
  <c r="BX127" i="124" s="1"/>
  <c r="BY127" i="124" s="1"/>
  <c r="BW92" i="124"/>
  <c r="BX92" i="124" s="1"/>
  <c r="BY92" i="124" s="1"/>
  <c r="BW168" i="124"/>
  <c r="BX168" i="124" s="1"/>
  <c r="BY168" i="124" s="1"/>
  <c r="BW215" i="124"/>
  <c r="BX215" i="124" s="1"/>
  <c r="BY215" i="124" s="1"/>
  <c r="BW21" i="124"/>
  <c r="BX21" i="124" s="1"/>
  <c r="BY21" i="124" s="1"/>
  <c r="BW196" i="124"/>
  <c r="BX196" i="124" s="1"/>
  <c r="BY196" i="124" s="1"/>
  <c r="BW254" i="124"/>
  <c r="BX254" i="124" s="1"/>
  <c r="BY254" i="124" s="1"/>
  <c r="BW167" i="124"/>
  <c r="BX167" i="124" s="1"/>
  <c r="BY167" i="124" s="1"/>
  <c r="BW137" i="124"/>
  <c r="BX137" i="124" s="1"/>
  <c r="BY137" i="124" s="1"/>
  <c r="BW48" i="124"/>
  <c r="BX48" i="124" s="1"/>
  <c r="BY48" i="124" s="1"/>
  <c r="BW226" i="124"/>
  <c r="BX226" i="124" s="1"/>
  <c r="BY226" i="124" s="1"/>
  <c r="BW209" i="124"/>
  <c r="BX209" i="124" s="1"/>
  <c r="BY209" i="124" s="1"/>
  <c r="BW143" i="124"/>
  <c r="BX143" i="124" s="1"/>
  <c r="BY143" i="124" s="1"/>
  <c r="BW20" i="124"/>
  <c r="BX20" i="124" s="1"/>
  <c r="BY20" i="124" s="1"/>
  <c r="BW108" i="124"/>
  <c r="BX108" i="124" s="1"/>
  <c r="BY108" i="124" s="1"/>
  <c r="BW109" i="124"/>
  <c r="BX109" i="124" s="1"/>
  <c r="BY109" i="124" s="1"/>
  <c r="BW115" i="124"/>
  <c r="BX115" i="124" s="1"/>
  <c r="BY115" i="124" s="1"/>
  <c r="BW136" i="124"/>
  <c r="BX136" i="124" s="1"/>
  <c r="BY136" i="124" s="1"/>
  <c r="BW35" i="124"/>
  <c r="BX35" i="124" s="1"/>
  <c r="BY35" i="124" s="1"/>
  <c r="BW264" i="124"/>
  <c r="BX264" i="124" s="1"/>
  <c r="BY264" i="124" s="1"/>
  <c r="BW235" i="124"/>
  <c r="BX235" i="124" s="1"/>
  <c r="BY235" i="124" s="1"/>
  <c r="BW62" i="124"/>
  <c r="BX62" i="124" s="1"/>
  <c r="BY62" i="124" s="1"/>
  <c r="BW151" i="124"/>
  <c r="BX151" i="124" s="1"/>
  <c r="BY151" i="124" s="1"/>
  <c r="BW240" i="124"/>
  <c r="BX240" i="124" s="1"/>
  <c r="BY240" i="124" s="1"/>
  <c r="BW40" i="124"/>
  <c r="BX40" i="124" s="1"/>
  <c r="BY40" i="124" s="1"/>
  <c r="BW255" i="124"/>
  <c r="BX255" i="124" s="1"/>
  <c r="BY255" i="124" s="1"/>
  <c r="BW123" i="124"/>
  <c r="BX123" i="124" s="1"/>
  <c r="BY123" i="124" s="1"/>
  <c r="BW89" i="124"/>
  <c r="BX89" i="124" s="1"/>
  <c r="BY89" i="124" s="1"/>
  <c r="BW59" i="124"/>
  <c r="BX59" i="124" s="1"/>
  <c r="BY59" i="124" s="1"/>
  <c r="BW193" i="124"/>
  <c r="BX193" i="124" s="1"/>
  <c r="BY193" i="124" s="1"/>
  <c r="BW164" i="124"/>
  <c r="BX164" i="124" s="1"/>
  <c r="BY164" i="124" s="1"/>
  <c r="BW134" i="124"/>
  <c r="BX134" i="124" s="1"/>
  <c r="BY134" i="124" s="1"/>
  <c r="BW280" i="124"/>
  <c r="BX280" i="124" s="1"/>
  <c r="BY280" i="124" s="1"/>
  <c r="BW223" i="124"/>
  <c r="BX223" i="124" s="1"/>
  <c r="BY223" i="124" s="1"/>
  <c r="BW213" i="124"/>
  <c r="BX213" i="124" s="1"/>
  <c r="BY213" i="124" s="1"/>
  <c r="BW37" i="124"/>
  <c r="BX37" i="124" s="1"/>
  <c r="BY37" i="124" s="1"/>
  <c r="BW178" i="124"/>
  <c r="BX178" i="124" s="1"/>
  <c r="BY178" i="124" s="1"/>
  <c r="BW141" i="124"/>
  <c r="BX141" i="124" s="1"/>
  <c r="BY141" i="124" s="1"/>
  <c r="BW131" i="124"/>
  <c r="BX131" i="124" s="1"/>
  <c r="BY131" i="124" s="1"/>
  <c r="BW24" i="124"/>
  <c r="BX24" i="124" s="1"/>
  <c r="BY24" i="124" s="1"/>
  <c r="BW268" i="124"/>
  <c r="BX268" i="124" s="1"/>
  <c r="BY268" i="124" s="1"/>
  <c r="BW260" i="124"/>
  <c r="BX260" i="124" s="1"/>
  <c r="BY260" i="124" s="1"/>
  <c r="BW101" i="124"/>
  <c r="BX101" i="124" s="1"/>
  <c r="BY101" i="124" s="1"/>
  <c r="BW166" i="124"/>
  <c r="BX166" i="124" s="1"/>
  <c r="BY166" i="124" s="1"/>
  <c r="BW202" i="124"/>
  <c r="BX202" i="124" s="1"/>
  <c r="BY202" i="124" s="1"/>
  <c r="BW186" i="124"/>
  <c r="BX186" i="124" s="1"/>
  <c r="BY186" i="124" s="1"/>
  <c r="BW159" i="124"/>
  <c r="BX159" i="124" s="1"/>
  <c r="BY159" i="124" s="1"/>
  <c r="BW195" i="124"/>
  <c r="BX195" i="124" s="1"/>
  <c r="BY195" i="124" s="1"/>
  <c r="BW190" i="124"/>
  <c r="BX190" i="124" s="1"/>
  <c r="BY190" i="124" s="1"/>
  <c r="BW262" i="124"/>
  <c r="BX262" i="124" s="1"/>
  <c r="BY262" i="124" s="1"/>
  <c r="BW163" i="124"/>
  <c r="BX163" i="124" s="1"/>
  <c r="BY163" i="124" s="1"/>
  <c r="BW135" i="124"/>
  <c r="BX135" i="124" s="1"/>
  <c r="BY135" i="124" s="1"/>
  <c r="BW152" i="124"/>
  <c r="BX152" i="124" s="1"/>
  <c r="BY152" i="124" s="1"/>
  <c r="BW224" i="124"/>
  <c r="BX224" i="124" s="1"/>
  <c r="BY224" i="124" s="1"/>
  <c r="BW229" i="124"/>
  <c r="BX229" i="124" s="1"/>
  <c r="BY229" i="124" s="1"/>
  <c r="BW133" i="124"/>
  <c r="BX133" i="124" s="1"/>
  <c r="BY133" i="124" s="1"/>
  <c r="BW81" i="124"/>
  <c r="BX81" i="124" s="1"/>
  <c r="BY81" i="124" s="1"/>
  <c r="BW138" i="124"/>
  <c r="BX138" i="124" s="1"/>
  <c r="BY138" i="124" s="1"/>
  <c r="BW219" i="124"/>
  <c r="BX219" i="124" s="1"/>
  <c r="BY219" i="124" s="1"/>
  <c r="BW114" i="124"/>
  <c r="BX114" i="124" s="1"/>
  <c r="BY114" i="124" s="1"/>
  <c r="BW157" i="124"/>
  <c r="BX157" i="124" s="1"/>
  <c r="BY157" i="124" s="1"/>
  <c r="BW23" i="124"/>
  <c r="BX23" i="124" s="1"/>
  <c r="BY23" i="124" s="1"/>
  <c r="BW253" i="124"/>
  <c r="BX253" i="124" s="1"/>
  <c r="BY253" i="124" s="1"/>
  <c r="BW286" i="124"/>
  <c r="BX286" i="124" s="1"/>
  <c r="BY286" i="124" s="1"/>
  <c r="BW73" i="124"/>
  <c r="BX73" i="124" s="1"/>
  <c r="BY73" i="124" s="1"/>
  <c r="BW119" i="124"/>
  <c r="BX119" i="124" s="1"/>
  <c r="BY119" i="124" s="1"/>
  <c r="BW64" i="124"/>
  <c r="BX64" i="124" s="1"/>
  <c r="BY64" i="124" s="1"/>
  <c r="BW94" i="124"/>
  <c r="BX94" i="124" s="1"/>
  <c r="BY94" i="124" s="1"/>
  <c r="BW98" i="124"/>
  <c r="BX98" i="124" s="1"/>
  <c r="BY98" i="124" s="1"/>
  <c r="BW259" i="124"/>
  <c r="BX259" i="124" s="1"/>
  <c r="BY259" i="124" s="1"/>
  <c r="BW75" i="124"/>
  <c r="BX75" i="124" s="1"/>
  <c r="BY75" i="124" s="1"/>
  <c r="BW56" i="124"/>
  <c r="BX56" i="124" s="1"/>
  <c r="BY56" i="124" s="1"/>
  <c r="BW68" i="124"/>
  <c r="BX68" i="124" s="1"/>
  <c r="BY68" i="124" s="1"/>
  <c r="BW281" i="124"/>
  <c r="BX281" i="124" s="1"/>
  <c r="BY281" i="124" s="1"/>
  <c r="BW246" i="124"/>
  <c r="BX246" i="124" s="1"/>
  <c r="BY246" i="124" s="1"/>
  <c r="BW124" i="124"/>
  <c r="BX124" i="124" s="1"/>
  <c r="BY124" i="124" s="1"/>
  <c r="BW104" i="124"/>
  <c r="BX104" i="124" s="1"/>
  <c r="BY104" i="124" s="1"/>
  <c r="BW199" i="124"/>
  <c r="BX199" i="124" s="1"/>
  <c r="BY199" i="124" s="1"/>
  <c r="BW231" i="124"/>
  <c r="BX231" i="124" s="1"/>
  <c r="BY231" i="124" s="1"/>
  <c r="BW220" i="124"/>
  <c r="BX220" i="124" s="1"/>
  <c r="BY220" i="124" s="1"/>
  <c r="BW154" i="124"/>
  <c r="BX154" i="124" s="1"/>
  <c r="BY154" i="124" s="1"/>
  <c r="BW169" i="124"/>
  <c r="BX169" i="124" s="1"/>
  <c r="BY169" i="124" s="1"/>
  <c r="BW39" i="124"/>
  <c r="BX39" i="124" s="1"/>
  <c r="BY39" i="124" s="1"/>
  <c r="BW270" i="124"/>
  <c r="BX270" i="124" s="1"/>
  <c r="BY270" i="124" s="1"/>
  <c r="BW86" i="124"/>
  <c r="BX86" i="124" s="1"/>
  <c r="BY86" i="124" s="1"/>
  <c r="BW96" i="124"/>
  <c r="BX96" i="124" s="1"/>
  <c r="BY96" i="124" s="1"/>
  <c r="BW208" i="124"/>
  <c r="BX208" i="124" s="1"/>
  <c r="BY208" i="124" s="1"/>
  <c r="BW232" i="124"/>
  <c r="BX232" i="124" s="1"/>
  <c r="BY232" i="124" s="1"/>
  <c r="BW221" i="124"/>
  <c r="BX221" i="124" s="1"/>
  <c r="BY221" i="124" s="1"/>
  <c r="AO46" i="121"/>
  <c r="AI46" i="121"/>
  <c r="AJ46" i="121"/>
  <c r="AB104" i="115" s="1"/>
  <c r="AV46" i="121"/>
  <c r="AW46" i="121"/>
  <c r="AT46" i="121"/>
  <c r="U32" i="121"/>
  <c r="AF32" i="121"/>
  <c r="AP32" i="121"/>
  <c r="AB32" i="121"/>
  <c r="Z32" i="121"/>
  <c r="U90" i="115" s="1"/>
  <c r="V90" i="115" s="1"/>
  <c r="W32" i="121"/>
  <c r="S90" i="115" s="1"/>
  <c r="V32" i="121"/>
  <c r="AN32" i="121"/>
  <c r="T32" i="121"/>
  <c r="AM32" i="121"/>
  <c r="Q90" i="115"/>
  <c r="P90" i="115" s="1"/>
  <c r="Y32" i="121"/>
  <c r="AG32" i="121"/>
  <c r="AH32" i="121" s="1"/>
  <c r="X32" i="121"/>
  <c r="AE32" i="121"/>
  <c r="AQ32" i="121"/>
  <c r="W76" i="115"/>
  <c r="X76" i="115" s="1"/>
  <c r="W80" i="115"/>
  <c r="X80" i="115" s="1"/>
  <c r="AO36" i="121"/>
  <c r="CN1" i="124"/>
  <c r="AG13" i="113" s="1"/>
  <c r="CG112" i="124"/>
  <c r="CH112" i="124" s="1"/>
  <c r="CI112" i="124" s="1"/>
  <c r="CG250" i="124"/>
  <c r="CH250" i="124" s="1"/>
  <c r="CI250" i="124" s="1"/>
  <c r="CG281" i="124"/>
  <c r="CH281" i="124" s="1"/>
  <c r="CI281" i="124" s="1"/>
  <c r="CG277" i="124"/>
  <c r="CH277" i="124" s="1"/>
  <c r="CI277" i="124" s="1"/>
  <c r="CG208" i="124"/>
  <c r="CH208" i="124" s="1"/>
  <c r="CI208" i="124" s="1"/>
  <c r="CG96" i="124"/>
  <c r="CH96" i="124" s="1"/>
  <c r="CI96" i="124" s="1"/>
  <c r="CG145" i="124"/>
  <c r="CH145" i="124" s="1"/>
  <c r="CI145" i="124" s="1"/>
  <c r="CG87" i="124"/>
  <c r="CH87" i="124" s="1"/>
  <c r="CI87" i="124" s="1"/>
  <c r="CG117" i="124"/>
  <c r="CH117" i="124" s="1"/>
  <c r="CI117" i="124" s="1"/>
  <c r="CG213" i="124"/>
  <c r="CH213" i="124" s="1"/>
  <c r="CI213" i="124" s="1"/>
  <c r="CG234" i="124"/>
  <c r="CH234" i="124" s="1"/>
  <c r="CI234" i="124" s="1"/>
  <c r="CG285" i="124"/>
  <c r="CH285" i="124" s="1"/>
  <c r="CI285" i="124" s="1"/>
  <c r="CG48" i="124"/>
  <c r="CH48" i="124" s="1"/>
  <c r="CI48" i="124" s="1"/>
  <c r="CG29" i="124"/>
  <c r="CH29" i="124" s="1"/>
  <c r="CI29" i="124" s="1"/>
  <c r="CG61" i="124"/>
  <c r="CH61" i="124" s="1"/>
  <c r="CI61" i="124" s="1"/>
  <c r="CG138" i="124"/>
  <c r="CH138" i="124" s="1"/>
  <c r="CI138" i="124" s="1"/>
  <c r="CG76" i="124"/>
  <c r="CH76" i="124" s="1"/>
  <c r="CI76" i="124" s="1"/>
  <c r="CG163" i="124"/>
  <c r="CH163" i="124" s="1"/>
  <c r="CI163" i="124" s="1"/>
  <c r="CG221" i="124"/>
  <c r="CH221" i="124" s="1"/>
  <c r="CI221" i="124" s="1"/>
  <c r="CG287" i="124"/>
  <c r="CH287" i="124" s="1"/>
  <c r="CI287" i="124" s="1"/>
  <c r="CG231" i="124"/>
  <c r="CH231" i="124" s="1"/>
  <c r="CI231" i="124" s="1"/>
  <c r="CG209" i="124"/>
  <c r="CH209" i="124" s="1"/>
  <c r="CI209" i="124" s="1"/>
  <c r="CG140" i="124"/>
  <c r="CH140" i="124" s="1"/>
  <c r="CI140" i="124" s="1"/>
  <c r="CG33" i="124"/>
  <c r="CH33" i="124" s="1"/>
  <c r="CI33" i="124" s="1"/>
  <c r="CG45" i="124"/>
  <c r="CH45" i="124" s="1"/>
  <c r="CI45" i="124" s="1"/>
  <c r="CG79" i="124"/>
  <c r="CH79" i="124" s="1"/>
  <c r="CI79" i="124" s="1"/>
  <c r="CG85" i="124"/>
  <c r="CH85" i="124" s="1"/>
  <c r="CI85" i="124" s="1"/>
  <c r="CG95" i="124"/>
  <c r="CH95" i="124" s="1"/>
  <c r="CI95" i="124" s="1"/>
  <c r="CG238" i="124"/>
  <c r="CH238" i="124" s="1"/>
  <c r="CI238" i="124" s="1"/>
  <c r="CG4" i="124"/>
  <c r="CH4" i="124" s="1"/>
  <c r="CI4" i="124" s="1"/>
  <c r="CG271" i="124"/>
  <c r="CH271" i="124" s="1"/>
  <c r="CI271" i="124" s="1"/>
  <c r="CG278" i="124"/>
  <c r="CH278" i="124" s="1"/>
  <c r="CI278" i="124" s="1"/>
  <c r="CG173" i="124"/>
  <c r="CH173" i="124" s="1"/>
  <c r="CI173" i="124" s="1"/>
  <c r="CG244" i="124"/>
  <c r="CH244" i="124" s="1"/>
  <c r="CI244" i="124" s="1"/>
  <c r="CG283" i="124"/>
  <c r="CH283" i="124" s="1"/>
  <c r="CI283" i="124" s="1"/>
  <c r="CG172" i="124"/>
  <c r="CH172" i="124" s="1"/>
  <c r="CI172" i="124" s="1"/>
  <c r="CG150" i="124"/>
  <c r="CH150" i="124" s="1"/>
  <c r="CI150" i="124" s="1"/>
  <c r="CG119" i="124"/>
  <c r="CH119" i="124" s="1"/>
  <c r="CI119" i="124" s="1"/>
  <c r="CG190" i="124"/>
  <c r="CH190" i="124" s="1"/>
  <c r="CI190" i="124" s="1"/>
  <c r="CG258" i="124"/>
  <c r="CH258" i="124" s="1"/>
  <c r="CI258" i="124" s="1"/>
  <c r="CG127" i="124"/>
  <c r="CH127" i="124" s="1"/>
  <c r="CI127" i="124" s="1"/>
  <c r="CG137" i="124"/>
  <c r="CH137" i="124" s="1"/>
  <c r="CI137" i="124" s="1"/>
  <c r="CG217" i="124"/>
  <c r="CH217" i="124" s="1"/>
  <c r="CI217" i="124" s="1"/>
  <c r="CG187" i="124"/>
  <c r="CH187" i="124" s="1"/>
  <c r="CI187" i="124" s="1"/>
  <c r="CG40" i="124"/>
  <c r="CH40" i="124" s="1"/>
  <c r="CI40" i="124" s="1"/>
  <c r="CG194" i="124"/>
  <c r="CH194" i="124" s="1"/>
  <c r="CI194" i="124" s="1"/>
  <c r="CG134" i="124"/>
  <c r="CH134" i="124" s="1"/>
  <c r="CI134" i="124" s="1"/>
  <c r="CG20" i="124"/>
  <c r="CH20" i="124" s="1"/>
  <c r="CI20" i="124" s="1"/>
  <c r="CG49" i="124"/>
  <c r="CH49" i="124" s="1"/>
  <c r="CI49" i="124" s="1"/>
  <c r="CG153" i="124"/>
  <c r="CH153" i="124" s="1"/>
  <c r="CI153" i="124" s="1"/>
  <c r="CG109" i="124"/>
  <c r="CH109" i="124" s="1"/>
  <c r="CI109" i="124" s="1"/>
  <c r="CG144" i="124"/>
  <c r="CH144" i="124" s="1"/>
  <c r="CI144" i="124" s="1"/>
  <c r="CG9" i="124"/>
  <c r="CH9" i="124" s="1"/>
  <c r="CI9" i="124" s="1"/>
  <c r="CG31" i="124"/>
  <c r="CH31" i="124" s="1"/>
  <c r="CI31" i="124" s="1"/>
  <c r="CG199" i="124"/>
  <c r="CH199" i="124" s="1"/>
  <c r="CI199" i="124" s="1"/>
  <c r="CG261" i="124"/>
  <c r="CH261" i="124" s="1"/>
  <c r="CI261" i="124" s="1"/>
  <c r="CG93" i="124"/>
  <c r="CH93" i="124" s="1"/>
  <c r="CI93" i="124" s="1"/>
  <c r="CG162" i="124"/>
  <c r="CH162" i="124" s="1"/>
  <c r="CI162" i="124" s="1"/>
  <c r="CG124" i="124"/>
  <c r="CH124" i="124" s="1"/>
  <c r="CI124" i="124" s="1"/>
  <c r="CG279" i="124"/>
  <c r="CH279" i="124" s="1"/>
  <c r="CI279" i="124" s="1"/>
  <c r="CG105" i="124"/>
  <c r="CH105" i="124" s="1"/>
  <c r="CI105" i="124" s="1"/>
  <c r="CG91" i="124"/>
  <c r="CH91" i="124" s="1"/>
  <c r="CI91" i="124" s="1"/>
  <c r="CG201" i="124"/>
  <c r="CH201" i="124" s="1"/>
  <c r="CI201" i="124" s="1"/>
  <c r="CG222" i="124"/>
  <c r="CH222" i="124" s="1"/>
  <c r="CI222" i="124" s="1"/>
  <c r="CG202" i="124"/>
  <c r="CH202" i="124" s="1"/>
  <c r="CI202" i="124" s="1"/>
  <c r="CG22" i="124"/>
  <c r="CH22" i="124" s="1"/>
  <c r="CI22" i="124" s="1"/>
  <c r="CG77" i="124"/>
  <c r="CH77" i="124" s="1"/>
  <c r="CI77" i="124" s="1"/>
  <c r="CG78" i="124"/>
  <c r="CH78" i="124" s="1"/>
  <c r="CI78" i="124" s="1"/>
  <c r="CG161" i="124"/>
  <c r="CH161" i="124" s="1"/>
  <c r="CI161" i="124" s="1"/>
  <c r="CG154" i="124"/>
  <c r="CH154" i="124" s="1"/>
  <c r="CI154" i="124" s="1"/>
  <c r="CG254" i="124"/>
  <c r="CH254" i="124" s="1"/>
  <c r="CI254" i="124" s="1"/>
  <c r="CG129" i="124"/>
  <c r="CH129" i="124" s="1"/>
  <c r="CI129" i="124" s="1"/>
  <c r="CG206" i="124"/>
  <c r="CH206" i="124" s="1"/>
  <c r="CI206" i="124" s="1"/>
  <c r="CG237" i="124"/>
  <c r="CH237" i="124" s="1"/>
  <c r="CI237" i="124" s="1"/>
  <c r="CG269" i="124"/>
  <c r="CH269" i="124" s="1"/>
  <c r="CI269" i="124" s="1"/>
  <c r="CG276" i="124"/>
  <c r="CH276" i="124" s="1"/>
  <c r="CI276" i="124" s="1"/>
  <c r="CG89" i="124"/>
  <c r="CH89" i="124" s="1"/>
  <c r="CI89" i="124" s="1"/>
  <c r="CG101" i="124"/>
  <c r="CH101" i="124" s="1"/>
  <c r="CI101" i="124" s="1"/>
  <c r="CG12" i="124"/>
  <c r="CH12" i="124" s="1"/>
  <c r="CI12" i="124" s="1"/>
  <c r="CG180" i="124"/>
  <c r="CH180" i="124" s="1"/>
  <c r="CI180" i="124" s="1"/>
  <c r="CG115" i="124"/>
  <c r="CH115" i="124" s="1"/>
  <c r="CI115" i="124" s="1"/>
  <c r="CG136" i="124"/>
  <c r="CH136" i="124" s="1"/>
  <c r="CI136" i="124" s="1"/>
  <c r="CG126" i="124"/>
  <c r="CH126" i="124" s="1"/>
  <c r="CI126" i="124" s="1"/>
  <c r="CG60" i="124"/>
  <c r="CH60" i="124" s="1"/>
  <c r="CI60" i="124" s="1"/>
  <c r="CG286" i="124"/>
  <c r="CH286" i="124" s="1"/>
  <c r="CI286" i="124" s="1"/>
  <c r="CG253" i="124"/>
  <c r="CH253" i="124" s="1"/>
  <c r="CI253" i="124" s="1"/>
  <c r="CG24" i="124"/>
  <c r="CH24" i="124" s="1"/>
  <c r="CI24" i="124" s="1"/>
  <c r="CG268" i="124"/>
  <c r="CH268" i="124" s="1"/>
  <c r="CI268" i="124" s="1"/>
  <c r="CG225" i="124"/>
  <c r="CH225" i="124" s="1"/>
  <c r="CI225" i="124" s="1"/>
  <c r="CG159" i="124"/>
  <c r="CH159" i="124" s="1"/>
  <c r="CI159" i="124" s="1"/>
  <c r="CG155" i="124"/>
  <c r="CH155" i="124" s="1"/>
  <c r="CI155" i="124" s="1"/>
  <c r="CG13" i="124"/>
  <c r="CH13" i="124" s="1"/>
  <c r="CI13" i="124" s="1"/>
  <c r="CG189" i="124"/>
  <c r="CH189" i="124" s="1"/>
  <c r="CI189" i="124" s="1"/>
  <c r="CG41" i="124"/>
  <c r="CH41" i="124" s="1"/>
  <c r="CI41" i="124" s="1"/>
  <c r="CG47" i="124"/>
  <c r="CH47" i="124" s="1"/>
  <c r="CI47" i="124" s="1"/>
  <c r="CG239" i="124"/>
  <c r="CH239" i="124" s="1"/>
  <c r="CI239" i="124" s="1"/>
  <c r="CG65" i="124"/>
  <c r="CH65" i="124" s="1"/>
  <c r="CI65" i="124" s="1"/>
  <c r="CG88" i="124"/>
  <c r="CH88" i="124" s="1"/>
  <c r="CI88" i="124" s="1"/>
  <c r="CG169" i="124"/>
  <c r="CH169" i="124" s="1"/>
  <c r="CI169" i="124" s="1"/>
  <c r="CG130" i="124"/>
  <c r="CH130" i="124" s="1"/>
  <c r="CI130" i="124" s="1"/>
  <c r="CG160" i="124"/>
  <c r="CH160" i="124" s="1"/>
  <c r="CI160" i="124" s="1"/>
  <c r="CG118" i="124"/>
  <c r="CH118" i="124" s="1"/>
  <c r="CI118" i="124" s="1"/>
  <c r="CG273" i="124"/>
  <c r="CH273" i="124" s="1"/>
  <c r="CI273" i="124" s="1"/>
  <c r="CG245" i="124"/>
  <c r="CH245" i="124" s="1"/>
  <c r="CI245" i="124" s="1"/>
  <c r="CG43" i="124"/>
  <c r="CH43" i="124" s="1"/>
  <c r="CI43" i="124" s="1"/>
  <c r="CG21" i="124"/>
  <c r="CH21" i="124" s="1"/>
  <c r="CI21" i="124" s="1"/>
  <c r="CG68" i="124"/>
  <c r="CH68" i="124" s="1"/>
  <c r="CI68" i="124" s="1"/>
  <c r="CG200" i="124"/>
  <c r="CH200" i="124" s="1"/>
  <c r="CI200" i="124" s="1"/>
  <c r="CG263" i="124"/>
  <c r="CH263" i="124" s="1"/>
  <c r="CI263" i="124" s="1"/>
  <c r="CG128" i="124"/>
  <c r="CH128" i="124" s="1"/>
  <c r="CI128" i="124" s="1"/>
  <c r="CG133" i="124"/>
  <c r="CH133" i="124" s="1"/>
  <c r="CI133" i="124" s="1"/>
  <c r="CG67" i="124"/>
  <c r="CH67" i="124" s="1"/>
  <c r="CI67" i="124" s="1"/>
  <c r="CG37" i="124"/>
  <c r="CH37" i="124" s="1"/>
  <c r="CI37" i="124" s="1"/>
  <c r="CG267" i="124"/>
  <c r="CH267" i="124" s="1"/>
  <c r="CI267" i="124" s="1"/>
  <c r="CG116" i="124"/>
  <c r="CH116" i="124" s="1"/>
  <c r="CI116" i="124" s="1"/>
  <c r="CG220" i="124"/>
  <c r="CH220" i="124" s="1"/>
  <c r="CI220" i="124" s="1"/>
  <c r="CG32" i="124"/>
  <c r="CH32" i="124" s="1"/>
  <c r="CI32" i="124" s="1"/>
  <c r="CG270" i="124"/>
  <c r="CH270" i="124" s="1"/>
  <c r="CI270" i="124" s="1"/>
  <c r="CG240" i="124"/>
  <c r="CH240" i="124" s="1"/>
  <c r="CI240" i="124" s="1"/>
  <c r="CG111" i="124"/>
  <c r="CH111" i="124" s="1"/>
  <c r="CI111" i="124" s="1"/>
  <c r="CG181" i="124"/>
  <c r="CH181" i="124" s="1"/>
  <c r="CI181" i="124" s="1"/>
  <c r="CG39" i="124"/>
  <c r="CH39" i="124" s="1"/>
  <c r="CI39" i="124" s="1"/>
  <c r="CG70" i="124"/>
  <c r="CH70" i="124" s="1"/>
  <c r="CI70" i="124" s="1"/>
  <c r="CG143" i="124"/>
  <c r="CH143" i="124" s="1"/>
  <c r="CI143" i="124" s="1"/>
  <c r="CG114" i="124"/>
  <c r="CH114" i="124" s="1"/>
  <c r="CI114" i="124" s="1"/>
  <c r="CG196" i="124"/>
  <c r="CH196" i="124" s="1"/>
  <c r="CI196" i="124" s="1"/>
  <c r="CG224" i="124"/>
  <c r="CH224" i="124" s="1"/>
  <c r="CI224" i="124" s="1"/>
  <c r="CG226" i="124"/>
  <c r="CH226" i="124" s="1"/>
  <c r="CI226" i="124" s="1"/>
  <c r="CG35" i="124"/>
  <c r="CH35" i="124" s="1"/>
  <c r="CI35" i="124" s="1"/>
  <c r="CG152" i="124"/>
  <c r="CH152" i="124" s="1"/>
  <c r="CI152" i="124" s="1"/>
  <c r="CG122" i="124"/>
  <c r="CH122" i="124" s="1"/>
  <c r="CI122" i="124" s="1"/>
  <c r="CG131" i="124"/>
  <c r="CH131" i="124" s="1"/>
  <c r="CI131" i="124" s="1"/>
  <c r="CG62" i="124"/>
  <c r="CH62" i="124" s="1"/>
  <c r="CI62" i="124" s="1"/>
  <c r="CG107" i="124"/>
  <c r="CH107" i="124" s="1"/>
  <c r="CI107" i="124" s="1"/>
  <c r="CG106" i="124"/>
  <c r="CH106" i="124" s="1"/>
  <c r="CI106" i="124" s="1"/>
  <c r="CG235" i="124"/>
  <c r="CH235" i="124" s="1"/>
  <c r="CI235" i="124" s="1"/>
  <c r="CG46" i="124"/>
  <c r="CH46" i="124" s="1"/>
  <c r="CI46" i="124" s="1"/>
  <c r="CG232" i="124"/>
  <c r="CH232" i="124" s="1"/>
  <c r="CI232" i="124" s="1"/>
  <c r="CG265" i="124"/>
  <c r="CH265" i="124" s="1"/>
  <c r="CI265" i="124" s="1"/>
  <c r="CG156" i="124"/>
  <c r="CH156" i="124" s="1"/>
  <c r="CI156" i="124" s="1"/>
  <c r="CG94" i="124"/>
  <c r="CH94" i="124" s="1"/>
  <c r="CI94" i="124" s="1"/>
  <c r="CG166" i="124"/>
  <c r="CH166" i="124" s="1"/>
  <c r="CI166" i="124" s="1"/>
  <c r="CG167" i="124"/>
  <c r="CH167" i="124" s="1"/>
  <c r="CI167" i="124" s="1"/>
  <c r="CG260" i="124"/>
  <c r="CH260" i="124" s="1"/>
  <c r="CI260" i="124" s="1"/>
  <c r="CG8" i="124"/>
  <c r="CH8" i="124" s="1"/>
  <c r="CI8" i="124" s="1"/>
  <c r="CG264" i="124"/>
  <c r="CH264" i="124" s="1"/>
  <c r="CI264" i="124" s="1"/>
  <c r="CG230" i="124"/>
  <c r="CH230" i="124" s="1"/>
  <c r="CI230" i="124" s="1"/>
  <c r="CG280" i="124"/>
  <c r="CH280" i="124" s="1"/>
  <c r="CI280" i="124" s="1"/>
  <c r="CG212" i="124"/>
  <c r="CH212" i="124" s="1"/>
  <c r="CI212" i="124" s="1"/>
  <c r="CG120" i="124"/>
  <c r="CH120" i="124" s="1"/>
  <c r="CI120" i="124" s="1"/>
  <c r="CG63" i="124"/>
  <c r="CH63" i="124" s="1"/>
  <c r="CI63" i="124" s="1"/>
  <c r="CG146" i="124"/>
  <c r="CH146" i="124" s="1"/>
  <c r="CI146" i="124" s="1"/>
  <c r="CG186" i="124"/>
  <c r="CH186" i="124" s="1"/>
  <c r="CI186" i="124" s="1"/>
  <c r="CG158" i="124"/>
  <c r="CH158" i="124" s="1"/>
  <c r="CI158" i="124" s="1"/>
  <c r="CG108" i="124"/>
  <c r="CH108" i="124" s="1"/>
  <c r="CI108" i="124" s="1"/>
  <c r="CG282" i="124"/>
  <c r="CH282" i="124" s="1"/>
  <c r="CI282" i="124" s="1"/>
  <c r="CG210" i="124"/>
  <c r="CH210" i="124" s="1"/>
  <c r="CI210" i="124" s="1"/>
  <c r="CG249" i="124"/>
  <c r="CH249" i="124" s="1"/>
  <c r="CI249" i="124" s="1"/>
  <c r="CG203" i="124"/>
  <c r="CH203" i="124" s="1"/>
  <c r="CI203" i="124" s="1"/>
  <c r="CG121" i="124"/>
  <c r="CH121" i="124" s="1"/>
  <c r="CI121" i="124" s="1"/>
  <c r="CG51" i="124"/>
  <c r="CH51" i="124" s="1"/>
  <c r="CI51" i="124" s="1"/>
  <c r="CG223" i="124"/>
  <c r="CH223" i="124" s="1"/>
  <c r="CI223" i="124" s="1"/>
  <c r="CG170" i="124"/>
  <c r="CH170" i="124" s="1"/>
  <c r="CI170" i="124" s="1"/>
  <c r="CG80" i="124"/>
  <c r="CH80" i="124" s="1"/>
  <c r="CI80" i="124" s="1"/>
  <c r="CG69" i="124"/>
  <c r="CH69" i="124" s="1"/>
  <c r="CI69" i="124" s="1"/>
  <c r="CG284" i="124"/>
  <c r="CH284" i="124" s="1"/>
  <c r="CI284" i="124" s="1"/>
  <c r="CG191" i="124"/>
  <c r="CH191" i="124" s="1"/>
  <c r="CI191" i="124" s="1"/>
  <c r="CG86" i="124"/>
  <c r="CH86" i="124" s="1"/>
  <c r="CI86" i="124" s="1"/>
  <c r="CG259" i="124"/>
  <c r="CH259" i="124" s="1"/>
  <c r="CI259" i="124" s="1"/>
  <c r="CG204" i="124"/>
  <c r="CH204" i="124" s="1"/>
  <c r="CI204" i="124" s="1"/>
  <c r="CG255" i="124"/>
  <c r="CH255" i="124" s="1"/>
  <c r="CI255" i="124" s="1"/>
  <c r="CG247" i="124"/>
  <c r="CH247" i="124" s="1"/>
  <c r="CI247" i="124" s="1"/>
  <c r="CG165" i="124"/>
  <c r="CH165" i="124" s="1"/>
  <c r="CI165" i="124" s="1"/>
  <c r="CG102" i="124"/>
  <c r="CH102" i="124" s="1"/>
  <c r="CI102" i="124" s="1"/>
  <c r="CG171" i="124"/>
  <c r="CH171" i="124" s="1"/>
  <c r="CI171" i="124" s="1"/>
  <c r="CG229" i="124"/>
  <c r="CH229" i="124" s="1"/>
  <c r="CI229" i="124" s="1"/>
  <c r="CG195" i="124"/>
  <c r="CH195" i="124" s="1"/>
  <c r="CI195" i="124" s="1"/>
  <c r="CG227" i="124"/>
  <c r="CH227" i="124" s="1"/>
  <c r="CI227" i="124" s="1"/>
  <c r="CG246" i="124"/>
  <c r="CH246" i="124" s="1"/>
  <c r="CI246" i="124" s="1"/>
  <c r="CG168" i="124"/>
  <c r="CH168" i="124" s="1"/>
  <c r="CI168" i="124" s="1"/>
  <c r="CG198" i="124"/>
  <c r="CH198" i="124" s="1"/>
  <c r="CI198" i="124" s="1"/>
  <c r="CG257" i="124"/>
  <c r="CH257" i="124" s="1"/>
  <c r="CI257" i="124" s="1"/>
  <c r="CG141" i="124"/>
  <c r="CH141" i="124" s="1"/>
  <c r="CI141" i="124" s="1"/>
  <c r="CG179" i="124"/>
  <c r="CH179" i="124" s="1"/>
  <c r="CI179" i="124" s="1"/>
  <c r="CG149" i="124"/>
  <c r="CH149" i="124" s="1"/>
  <c r="CI149" i="124" s="1"/>
  <c r="CG241" i="124"/>
  <c r="CH241" i="124" s="1"/>
  <c r="CI241" i="124" s="1"/>
  <c r="CG42" i="124"/>
  <c r="CH42" i="124" s="1"/>
  <c r="CI42" i="124" s="1"/>
  <c r="CG73" i="124"/>
  <c r="CH73" i="124" s="1"/>
  <c r="CI73" i="124" s="1"/>
  <c r="CG53" i="124"/>
  <c r="CH53" i="124" s="1"/>
  <c r="CI53" i="124" s="1"/>
  <c r="CG44" i="124"/>
  <c r="CH44" i="124" s="1"/>
  <c r="CI44" i="124" s="1"/>
  <c r="CG252" i="124"/>
  <c r="CH252" i="124" s="1"/>
  <c r="CI252" i="124" s="1"/>
  <c r="CG256" i="124"/>
  <c r="CH256" i="124" s="1"/>
  <c r="CI256" i="124" s="1"/>
  <c r="CG123" i="124"/>
  <c r="CH123" i="124" s="1"/>
  <c r="CI123" i="124" s="1"/>
  <c r="CG72" i="124"/>
  <c r="CH72" i="124" s="1"/>
  <c r="CI72" i="124" s="1"/>
  <c r="CG81" i="124"/>
  <c r="CH81" i="124" s="1"/>
  <c r="CI81" i="124" s="1"/>
  <c r="CG193" i="124"/>
  <c r="CH193" i="124" s="1"/>
  <c r="CI193" i="124" s="1"/>
  <c r="CG228" i="124"/>
  <c r="CH228" i="124" s="1"/>
  <c r="CI228" i="124" s="1"/>
  <c r="CG248" i="124"/>
  <c r="CH248" i="124" s="1"/>
  <c r="CI248" i="124" s="1"/>
  <c r="CG272" i="124"/>
  <c r="CH272" i="124" s="1"/>
  <c r="CI272" i="124" s="1"/>
  <c r="CG92" i="124"/>
  <c r="CH92" i="124" s="1"/>
  <c r="CI92" i="124" s="1"/>
  <c r="CG59" i="124"/>
  <c r="CH59" i="124" s="1"/>
  <c r="CI59" i="124" s="1"/>
  <c r="CG207" i="124"/>
  <c r="CH207" i="124" s="1"/>
  <c r="CI207" i="124" s="1"/>
  <c r="CG75" i="124"/>
  <c r="CH75" i="124" s="1"/>
  <c r="CI75" i="124" s="1"/>
  <c r="CG104" i="124"/>
  <c r="CH104" i="124" s="1"/>
  <c r="CI104" i="124" s="1"/>
  <c r="CG164" i="124"/>
  <c r="CH164" i="124" s="1"/>
  <c r="CI164" i="124" s="1"/>
  <c r="CG99" i="124"/>
  <c r="CH99" i="124" s="1"/>
  <c r="CI99" i="124" s="1"/>
  <c r="CG135" i="124"/>
  <c r="CH135" i="124" s="1"/>
  <c r="CI135" i="124" s="1"/>
  <c r="CG139" i="124"/>
  <c r="CH139" i="124" s="1"/>
  <c r="CI139" i="124" s="1"/>
  <c r="CG266" i="124"/>
  <c r="CH266" i="124" s="1"/>
  <c r="CI266" i="124" s="1"/>
  <c r="CG218" i="124"/>
  <c r="CH218" i="124" s="1"/>
  <c r="CI218" i="124" s="1"/>
  <c r="CG215" i="124"/>
  <c r="CH215" i="124" s="1"/>
  <c r="CI215" i="124" s="1"/>
  <c r="CG219" i="124"/>
  <c r="CH219" i="124" s="1"/>
  <c r="CI219" i="124" s="1"/>
  <c r="CG147" i="124"/>
  <c r="CH147" i="124" s="1"/>
  <c r="CI147" i="124" s="1"/>
  <c r="CG64" i="124"/>
  <c r="CH64" i="124" s="1"/>
  <c r="CI64" i="124" s="1"/>
  <c r="CG157" i="124"/>
  <c r="CH157" i="124" s="1"/>
  <c r="CI157" i="124" s="1"/>
  <c r="CG178" i="124"/>
  <c r="CH178" i="124" s="1"/>
  <c r="CI178" i="124" s="1"/>
  <c r="CG211" i="124"/>
  <c r="CH211" i="124" s="1"/>
  <c r="CI211" i="124" s="1"/>
  <c r="CG243" i="124"/>
  <c r="CH243" i="124" s="1"/>
  <c r="CI243" i="124" s="1"/>
  <c r="CG274" i="124"/>
  <c r="CH274" i="124" s="1"/>
  <c r="CI274" i="124" s="1"/>
  <c r="CG233" i="124"/>
  <c r="CH233" i="124" s="1"/>
  <c r="CI233" i="124" s="1"/>
  <c r="CG23" i="124"/>
  <c r="CH23" i="124" s="1"/>
  <c r="CI23" i="124" s="1"/>
  <c r="CG19" i="124"/>
  <c r="CH19" i="124" s="1"/>
  <c r="CI19" i="124" s="1"/>
  <c r="CG6" i="124"/>
  <c r="CH6" i="124" s="1"/>
  <c r="CI6" i="124" s="1"/>
  <c r="CG98" i="124"/>
  <c r="CH98" i="124" s="1"/>
  <c r="CI98" i="124" s="1"/>
  <c r="CG148" i="124"/>
  <c r="CH148" i="124" s="1"/>
  <c r="CI148" i="124" s="1"/>
  <c r="CG262" i="124"/>
  <c r="CH262" i="124" s="1"/>
  <c r="CI262" i="124" s="1"/>
  <c r="CG74" i="124"/>
  <c r="CH74" i="124" s="1"/>
  <c r="CI74" i="124" s="1"/>
  <c r="CG113" i="124"/>
  <c r="CH113" i="124" s="1"/>
  <c r="CI113" i="124" s="1"/>
  <c r="CG205" i="124"/>
  <c r="CH205" i="124" s="1"/>
  <c r="CI205" i="124" s="1"/>
  <c r="CG214" i="124"/>
  <c r="CH214" i="124" s="1"/>
  <c r="CI214" i="124" s="1"/>
  <c r="CG236" i="124"/>
  <c r="CH236" i="124" s="1"/>
  <c r="CI236" i="124" s="1"/>
  <c r="CG50" i="124"/>
  <c r="CH50" i="124" s="1"/>
  <c r="CI50" i="124" s="1"/>
  <c r="CG132" i="124"/>
  <c r="CH132" i="124" s="1"/>
  <c r="CI132" i="124" s="1"/>
  <c r="CG97" i="124"/>
  <c r="CH97" i="124" s="1"/>
  <c r="CI97" i="124" s="1"/>
  <c r="CG7" i="124"/>
  <c r="CH7" i="124" s="1"/>
  <c r="CI7" i="124" s="1"/>
  <c r="CG151" i="124"/>
  <c r="CH151" i="124" s="1"/>
  <c r="CI151" i="124" s="1"/>
  <c r="CG56" i="124"/>
  <c r="CH56" i="124" s="1"/>
  <c r="CI56" i="124" s="1"/>
  <c r="CG125" i="124"/>
  <c r="CH125" i="124" s="1"/>
  <c r="CI125" i="124" s="1"/>
  <c r="CG275" i="124"/>
  <c r="CH275" i="124" s="1"/>
  <c r="CI275" i="124" s="1"/>
  <c r="CG251" i="124"/>
  <c r="CH251" i="124" s="1"/>
  <c r="CI251" i="124" s="1"/>
  <c r="W79" i="115"/>
  <c r="X79" i="115" s="1"/>
  <c r="AJ21" i="121"/>
  <c r="AB79" i="115" s="1"/>
  <c r="AA94" i="115"/>
  <c r="AR36" i="121"/>
  <c r="AI22" i="121"/>
  <c r="AJ22" i="121"/>
  <c r="AB80" i="115" s="1"/>
  <c r="AI18" i="121"/>
  <c r="AJ18" i="121"/>
  <c r="AB76" i="115" s="1"/>
  <c r="AB20" i="121"/>
  <c r="X20" i="121"/>
  <c r="AA78" i="115" s="1"/>
  <c r="AG20" i="121"/>
  <c r="AH20" i="121" s="1"/>
  <c r="Y20" i="121"/>
  <c r="U20" i="121"/>
  <c r="V20" i="121"/>
  <c r="T20" i="121"/>
  <c r="AE20" i="121"/>
  <c r="AF20" i="121"/>
  <c r="Z20" i="121"/>
  <c r="U78" i="115" s="1"/>
  <c r="V78" i="115" s="1"/>
  <c r="W20" i="121"/>
  <c r="S78" i="115" s="1"/>
  <c r="Q78" i="115"/>
  <c r="P78" i="115" s="1"/>
  <c r="AQ20" i="121"/>
  <c r="AN20" i="121"/>
  <c r="AM20" i="121"/>
  <c r="AP20" i="121"/>
  <c r="AV22" i="121"/>
  <c r="Y80" i="115"/>
  <c r="AW22" i="121"/>
  <c r="AT22" i="121"/>
  <c r="AU22" i="121" s="1"/>
  <c r="AI36" i="121"/>
  <c r="AJ36" i="121"/>
  <c r="AB94" i="115" s="1"/>
  <c r="CD1" i="124"/>
  <c r="AG11" i="113" s="1"/>
  <c r="AT36" i="121"/>
  <c r="AU36" i="121" s="1"/>
  <c r="AV36" i="121"/>
  <c r="AW36" i="121"/>
  <c r="Y94" i="115"/>
  <c r="Q99" i="115"/>
  <c r="P99" i="115" s="1"/>
  <c r="X41" i="121"/>
  <c r="U41" i="121"/>
  <c r="AG41" i="121"/>
  <c r="AH41" i="121" s="1"/>
  <c r="AB41" i="121"/>
  <c r="AF41" i="121"/>
  <c r="AM41" i="121"/>
  <c r="AN41" i="121"/>
  <c r="AP41" i="121"/>
  <c r="Z41" i="121"/>
  <c r="U99" i="115" s="1"/>
  <c r="V99" i="115" s="1"/>
  <c r="T41" i="121"/>
  <c r="V41" i="121"/>
  <c r="AQ41" i="121"/>
  <c r="Y41" i="121"/>
  <c r="W41" i="121"/>
  <c r="S99" i="115" s="1"/>
  <c r="AE41" i="121"/>
  <c r="AM35" i="121"/>
  <c r="V35" i="121"/>
  <c r="AP35" i="121"/>
  <c r="AE35" i="121"/>
  <c r="U35" i="121"/>
  <c r="Y35" i="121"/>
  <c r="T35" i="121"/>
  <c r="AF35" i="121"/>
  <c r="AQ35" i="121"/>
  <c r="AB35" i="121"/>
  <c r="W35" i="121"/>
  <c r="S93" i="115" s="1"/>
  <c r="Q93" i="115"/>
  <c r="P93" i="115" s="1"/>
  <c r="Z35" i="121"/>
  <c r="U93" i="115" s="1"/>
  <c r="V93" i="115" s="1"/>
  <c r="AN35" i="121"/>
  <c r="AG35" i="121"/>
  <c r="AH35" i="121" s="1"/>
  <c r="X35" i="121"/>
  <c r="AA91" i="115"/>
  <c r="AR33" i="121"/>
  <c r="AI33" i="121"/>
  <c r="AJ33" i="121"/>
  <c r="AB91" i="115" s="1"/>
  <c r="AW33" i="121"/>
  <c r="Y91" i="115"/>
  <c r="AV33" i="121"/>
  <c r="AT33" i="121"/>
  <c r="AU33" i="121" s="1"/>
  <c r="AV39" i="121"/>
  <c r="AW39" i="121"/>
  <c r="Y97" i="115"/>
  <c r="AO33" i="121"/>
  <c r="W91" i="115"/>
  <c r="X91" i="115" s="1"/>
  <c r="AT18" i="121"/>
  <c r="AU18" i="121" s="1"/>
  <c r="AV18" i="121"/>
  <c r="AW18" i="121"/>
  <c r="AW21" i="121"/>
  <c r="AV21" i="121"/>
  <c r="AT21" i="121"/>
  <c r="AU21" i="121" s="1"/>
  <c r="Y79" i="115"/>
  <c r="F38" i="82"/>
  <c r="F57" i="46"/>
  <c r="C58" i="46"/>
  <c r="C38" i="82"/>
  <c r="P38" i="82" s="1"/>
  <c r="I64" i="46"/>
  <c r="I38" i="82"/>
  <c r="H38" i="82"/>
  <c r="G39" i="82"/>
  <c r="B40" i="82"/>
  <c r="E39" i="82"/>
  <c r="J64" i="46"/>
  <c r="D64" i="46"/>
  <c r="G64" i="46"/>
  <c r="E65" i="46"/>
  <c r="B65" i="46"/>
  <c r="A66" i="46"/>
  <c r="K65" i="46"/>
  <c r="X104" i="115" l="1"/>
  <c r="AT39" i="121"/>
  <c r="AU39" i="121" s="1"/>
  <c r="AR39" i="121"/>
  <c r="AI39" i="121"/>
  <c r="W97" i="115"/>
  <c r="X97" i="115" s="1"/>
  <c r="AO39" i="121"/>
  <c r="BY1" i="124"/>
  <c r="AG10" i="113" s="1"/>
  <c r="N15" i="131" s="1"/>
  <c r="W90" i="115"/>
  <c r="X90" i="115" s="1"/>
  <c r="AU46" i="121"/>
  <c r="BB46" i="121" s="1"/>
  <c r="AO32" i="121"/>
  <c r="AV32" i="121"/>
  <c r="AT32" i="121"/>
  <c r="AW32" i="121"/>
  <c r="Y90" i="115"/>
  <c r="AA90" i="115"/>
  <c r="AR32" i="121"/>
  <c r="AI32" i="121"/>
  <c r="AJ32" i="121"/>
  <c r="AB90" i="115" s="1"/>
  <c r="AO35" i="121"/>
  <c r="CI1" i="124"/>
  <c r="AG12" i="113" s="1"/>
  <c r="N18" i="128"/>
  <c r="N18" i="131"/>
  <c r="N18" i="107"/>
  <c r="AO41" i="121"/>
  <c r="W99" i="115"/>
  <c r="X99" i="115" s="1"/>
  <c r="W78" i="115"/>
  <c r="X78" i="115" s="1"/>
  <c r="N16" i="128"/>
  <c r="N16" i="107"/>
  <c r="N16" i="131"/>
  <c r="AW20" i="121"/>
  <c r="AV20" i="121"/>
  <c r="Y78" i="115"/>
  <c r="AT20" i="121"/>
  <c r="AU20" i="121" s="1"/>
  <c r="AI20" i="121"/>
  <c r="AJ20" i="121"/>
  <c r="AB78" i="115" s="1"/>
  <c r="AJ41" i="121"/>
  <c r="AB99" i="115" s="1"/>
  <c r="AI41" i="121"/>
  <c r="AV41" i="121"/>
  <c r="AW41" i="121"/>
  <c r="AT41" i="121"/>
  <c r="Y99" i="115"/>
  <c r="AA99" i="115"/>
  <c r="AR41" i="121"/>
  <c r="W93" i="115"/>
  <c r="X93" i="115" s="1"/>
  <c r="AW35" i="121"/>
  <c r="Y93" i="115"/>
  <c r="AT35" i="121"/>
  <c r="AU35" i="121" s="1"/>
  <c r="AV35" i="121"/>
  <c r="AA93" i="115"/>
  <c r="AR35" i="121"/>
  <c r="AI35" i="121"/>
  <c r="AJ35" i="121"/>
  <c r="AB93" i="115" s="1"/>
  <c r="F39" i="82"/>
  <c r="F58" i="46"/>
  <c r="C59" i="46"/>
  <c r="C39" i="82"/>
  <c r="P39" i="82" s="1"/>
  <c r="I65" i="46"/>
  <c r="G40" i="82"/>
  <c r="E40" i="82"/>
  <c r="B41" i="82"/>
  <c r="H39" i="82"/>
  <c r="I39" i="82"/>
  <c r="J65" i="46"/>
  <c r="G65" i="46"/>
  <c r="D65" i="46"/>
  <c r="E66" i="46"/>
  <c r="A67" i="46"/>
  <c r="B66" i="46"/>
  <c r="K66" i="46"/>
  <c r="N15" i="107" l="1"/>
  <c r="N15" i="128"/>
  <c r="BH46" i="121"/>
  <c r="AU32" i="121"/>
  <c r="N17" i="107"/>
  <c r="N17" i="128"/>
  <c r="N17" i="131"/>
  <c r="AU41" i="121"/>
  <c r="F40" i="82"/>
  <c r="F59" i="46"/>
  <c r="C60" i="46"/>
  <c r="C40" i="82"/>
  <c r="P40" i="82" s="1"/>
  <c r="I66" i="46"/>
  <c r="J66" i="46"/>
  <c r="G41" i="82"/>
  <c r="B42" i="82"/>
  <c r="E41" i="82"/>
  <c r="H40" i="82"/>
  <c r="I40" i="82"/>
  <c r="D66" i="46"/>
  <c r="G66" i="46"/>
  <c r="E67" i="46"/>
  <c r="B67" i="46"/>
  <c r="A68" i="46"/>
  <c r="K67" i="46"/>
  <c r="F41" i="82" l="1"/>
  <c r="C41" i="82"/>
  <c r="P41" i="82" s="1"/>
  <c r="F60" i="46"/>
  <c r="C61" i="46"/>
  <c r="I67" i="46"/>
  <c r="J67" i="46"/>
  <c r="B43" i="82"/>
  <c r="E42" i="82"/>
  <c r="G42" i="82"/>
  <c r="H41" i="82"/>
  <c r="I41" i="82"/>
  <c r="D67" i="46"/>
  <c r="G67" i="46"/>
  <c r="A69" i="46"/>
  <c r="B68" i="46"/>
  <c r="E68" i="46"/>
  <c r="K68" i="46"/>
  <c r="F42" i="82" l="1"/>
  <c r="C42" i="82"/>
  <c r="P42" i="82" s="1"/>
  <c r="C62" i="46"/>
  <c r="F61" i="46"/>
  <c r="I68" i="46"/>
  <c r="J68" i="46"/>
  <c r="I42" i="82"/>
  <c r="H42" i="82"/>
  <c r="B44" i="82"/>
  <c r="G43" i="82"/>
  <c r="E43" i="82"/>
  <c r="K69" i="46"/>
  <c r="B69" i="46"/>
  <c r="A70" i="46"/>
  <c r="E69" i="46"/>
  <c r="D68" i="46"/>
  <c r="G68" i="46"/>
  <c r="C43" i="82" l="1"/>
  <c r="P43" i="82" s="1"/>
  <c r="F43" i="82"/>
  <c r="C63" i="46"/>
  <c r="F62" i="46"/>
  <c r="I69" i="46"/>
  <c r="J69" i="46"/>
  <c r="G44" i="82"/>
  <c r="B45" i="82"/>
  <c r="E44" i="82"/>
  <c r="H43" i="82"/>
  <c r="I43" i="82"/>
  <c r="K70" i="46"/>
  <c r="B70" i="46"/>
  <c r="E70" i="46"/>
  <c r="A71" i="46"/>
  <c r="D69" i="46"/>
  <c r="G69" i="46"/>
  <c r="F44" i="82" l="1"/>
  <c r="C44" i="82"/>
  <c r="P44" i="82" s="1"/>
  <c r="F63" i="46"/>
  <c r="C64" i="46"/>
  <c r="I70" i="46"/>
  <c r="J70" i="46"/>
  <c r="E45" i="82"/>
  <c r="B46" i="82"/>
  <c r="G45" i="82"/>
  <c r="I44" i="82"/>
  <c r="H44" i="82"/>
  <c r="E71" i="46"/>
  <c r="K71" i="46"/>
  <c r="A72" i="46"/>
  <c r="B71" i="46"/>
  <c r="D70" i="46"/>
  <c r="G70" i="46"/>
  <c r="F45" i="82" l="1"/>
  <c r="H45" i="82" s="1"/>
  <c r="C45" i="82"/>
  <c r="P45" i="82" s="1"/>
  <c r="F64" i="46"/>
  <c r="C65" i="46"/>
  <c r="I71" i="46"/>
  <c r="J71" i="46"/>
  <c r="I45" i="82"/>
  <c r="E46" i="82"/>
  <c r="B47" i="82"/>
  <c r="G46" i="82"/>
  <c r="D71" i="46"/>
  <c r="G71" i="46"/>
  <c r="A73" i="46"/>
  <c r="K72" i="46"/>
  <c r="E72" i="46"/>
  <c r="B72" i="46"/>
  <c r="F46" i="82" l="1"/>
  <c r="C46" i="82"/>
  <c r="P46" i="82" s="1"/>
  <c r="F65" i="46"/>
  <c r="C66" i="46"/>
  <c r="I72" i="46"/>
  <c r="J72" i="46"/>
  <c r="I46" i="82"/>
  <c r="H46" i="82"/>
  <c r="B48" i="82"/>
  <c r="E47" i="82"/>
  <c r="G47" i="82"/>
  <c r="D72" i="46"/>
  <c r="G72" i="46"/>
  <c r="K73" i="46"/>
  <c r="B73" i="46"/>
  <c r="E73" i="46"/>
  <c r="A74" i="46"/>
  <c r="F47" i="82" l="1"/>
  <c r="C47" i="82"/>
  <c r="P47" i="82" s="1"/>
  <c r="F66" i="46"/>
  <c r="C67" i="46"/>
  <c r="I73" i="46"/>
  <c r="J73" i="46"/>
  <c r="H47" i="82"/>
  <c r="I47" i="82"/>
  <c r="B49" i="82"/>
  <c r="E48" i="82"/>
  <c r="G48" i="82"/>
  <c r="K74" i="46"/>
  <c r="B74" i="46"/>
  <c r="E74" i="46"/>
  <c r="A75" i="46"/>
  <c r="D73" i="46"/>
  <c r="G73" i="46"/>
  <c r="F48" i="82" l="1"/>
  <c r="C48" i="82"/>
  <c r="P48" i="82" s="1"/>
  <c r="F67" i="46"/>
  <c r="C68" i="46"/>
  <c r="I74" i="46"/>
  <c r="J74" i="46"/>
  <c r="H48" i="82"/>
  <c r="I48" i="82"/>
  <c r="G49" i="82"/>
  <c r="B50" i="82"/>
  <c r="E49" i="82"/>
  <c r="D74" i="46"/>
  <c r="G74" i="46"/>
  <c r="E75" i="46"/>
  <c r="B75" i="46"/>
  <c r="A76" i="46"/>
  <c r="K75" i="46"/>
  <c r="F49" i="82" l="1"/>
  <c r="C49" i="82"/>
  <c r="P49" i="82" s="1"/>
  <c r="F68" i="46"/>
  <c r="C69" i="46"/>
  <c r="I75" i="46"/>
  <c r="J75" i="46"/>
  <c r="E50" i="82"/>
  <c r="G50" i="82"/>
  <c r="B51" i="82"/>
  <c r="I49" i="82"/>
  <c r="H49" i="82"/>
  <c r="D75" i="46"/>
  <c r="G75" i="46"/>
  <c r="A77" i="46"/>
  <c r="E76" i="46"/>
  <c r="K76" i="46"/>
  <c r="B76" i="46"/>
  <c r="F50" i="82" l="1"/>
  <c r="C50" i="82"/>
  <c r="P50" i="82" s="1"/>
  <c r="F69" i="46"/>
  <c r="C70" i="46"/>
  <c r="I76" i="46"/>
  <c r="J76" i="46"/>
  <c r="B52" i="82"/>
  <c r="G51" i="82"/>
  <c r="E51" i="82"/>
  <c r="I50" i="82"/>
  <c r="H50" i="82"/>
  <c r="K77" i="46"/>
  <c r="B77" i="46"/>
  <c r="A78" i="46"/>
  <c r="E77" i="46"/>
  <c r="D76" i="46"/>
  <c r="G76" i="46"/>
  <c r="F51" i="82" l="1"/>
  <c r="C51" i="82"/>
  <c r="P51" i="82" s="1"/>
  <c r="F70" i="46"/>
  <c r="C71" i="46"/>
  <c r="I77" i="46"/>
  <c r="J77" i="46"/>
  <c r="H51" i="82"/>
  <c r="I51" i="82"/>
  <c r="B53" i="82"/>
  <c r="E53" i="82" s="1"/>
  <c r="E52" i="82"/>
  <c r="F52" i="82" s="1"/>
  <c r="G52" i="82"/>
  <c r="D77" i="46"/>
  <c r="G77" i="46"/>
  <c r="K78" i="46"/>
  <c r="B78" i="46"/>
  <c r="E78" i="46"/>
  <c r="A79" i="46"/>
  <c r="C52" i="82" l="1"/>
  <c r="P52" i="82" s="1"/>
  <c r="C72" i="46"/>
  <c r="F71" i="46"/>
  <c r="I78" i="46"/>
  <c r="J78" i="46"/>
  <c r="H52" i="82"/>
  <c r="I52" i="82"/>
  <c r="G53" i="82"/>
  <c r="F53" i="82"/>
  <c r="B54" i="82"/>
  <c r="E79" i="46"/>
  <c r="A80" i="46"/>
  <c r="B79" i="46"/>
  <c r="K79" i="46"/>
  <c r="D78" i="46"/>
  <c r="C78" i="46"/>
  <c r="G78" i="46"/>
  <c r="F78" i="46"/>
  <c r="C53" i="82" l="1"/>
  <c r="P53" i="82" s="1"/>
  <c r="F72" i="46"/>
  <c r="C73" i="46"/>
  <c r="I79" i="46"/>
  <c r="J79" i="46"/>
  <c r="B55" i="82"/>
  <c r="G54" i="82"/>
  <c r="E54" i="82"/>
  <c r="F54" i="82" s="1"/>
  <c r="I53" i="82"/>
  <c r="H53" i="82"/>
  <c r="D79" i="46"/>
  <c r="G79" i="46"/>
  <c r="F79" i="46"/>
  <c r="C79" i="46"/>
  <c r="A81" i="46"/>
  <c r="B80" i="46"/>
  <c r="K80" i="46"/>
  <c r="E80" i="46"/>
  <c r="C54" i="82" l="1"/>
  <c r="P54" i="82" s="1"/>
  <c r="F73" i="46"/>
  <c r="C74" i="46"/>
  <c r="I80" i="46"/>
  <c r="J80" i="46"/>
  <c r="I54" i="82"/>
  <c r="H54" i="82"/>
  <c r="G55" i="82"/>
  <c r="B56" i="82"/>
  <c r="E55" i="82"/>
  <c r="F55" i="82" s="1"/>
  <c r="E81" i="46"/>
  <c r="K81" i="46"/>
  <c r="B81" i="46"/>
  <c r="A82" i="46"/>
  <c r="D80" i="46"/>
  <c r="G80" i="46"/>
  <c r="C80" i="46"/>
  <c r="F80" i="46"/>
  <c r="C55" i="82" l="1"/>
  <c r="P55" i="82" s="1"/>
  <c r="C75" i="46"/>
  <c r="F74" i="46"/>
  <c r="I81" i="46"/>
  <c r="J81" i="46"/>
  <c r="G56" i="82"/>
  <c r="B57" i="82"/>
  <c r="E56" i="82"/>
  <c r="F56" i="82" s="1"/>
  <c r="I55" i="82"/>
  <c r="H55" i="82"/>
  <c r="A83" i="46"/>
  <c r="E82" i="46"/>
  <c r="K82" i="46"/>
  <c r="B82" i="46"/>
  <c r="C81" i="46"/>
  <c r="D81" i="46"/>
  <c r="G81" i="46"/>
  <c r="F81" i="46"/>
  <c r="C56" i="82" l="1"/>
  <c r="P56" i="82" s="1"/>
  <c r="F75" i="46"/>
  <c r="C76" i="46"/>
  <c r="I82" i="46"/>
  <c r="J82" i="46"/>
  <c r="G57" i="82"/>
  <c r="E57" i="82"/>
  <c r="F57" i="82" s="1"/>
  <c r="B58" i="82"/>
  <c r="H56" i="82"/>
  <c r="I56" i="82"/>
  <c r="A84" i="46"/>
  <c r="B83" i="46"/>
  <c r="E83" i="46"/>
  <c r="K83" i="46"/>
  <c r="F82" i="46"/>
  <c r="D82" i="46"/>
  <c r="G82" i="46"/>
  <c r="C82" i="46"/>
  <c r="C57" i="82" l="1"/>
  <c r="P57" i="82" s="1"/>
  <c r="C77" i="46"/>
  <c r="F77" i="46" s="1"/>
  <c r="F76" i="46"/>
  <c r="I83" i="46"/>
  <c r="J83" i="46"/>
  <c r="B59" i="82"/>
  <c r="E58" i="82"/>
  <c r="F58" i="82" s="1"/>
  <c r="G58" i="82"/>
  <c r="H57" i="82"/>
  <c r="I57" i="82"/>
  <c r="G83" i="46"/>
  <c r="C83" i="46"/>
  <c r="F83" i="46"/>
  <c r="D83" i="46"/>
  <c r="K84" i="46"/>
  <c r="B84" i="46"/>
  <c r="A85" i="46"/>
  <c r="E84" i="46"/>
  <c r="C58" i="82" l="1"/>
  <c r="P58" i="82" s="1"/>
  <c r="I84" i="46"/>
  <c r="J84" i="46"/>
  <c r="I58" i="82"/>
  <c r="H58" i="82"/>
  <c r="B60" i="82"/>
  <c r="G59" i="82"/>
  <c r="E59" i="82"/>
  <c r="F59" i="82" s="1"/>
  <c r="D84" i="46"/>
  <c r="C84" i="46"/>
  <c r="G84" i="46"/>
  <c r="F84" i="46"/>
  <c r="E85" i="46"/>
  <c r="K85" i="46"/>
  <c r="B85" i="46"/>
  <c r="A86" i="46"/>
  <c r="C59" i="82" l="1"/>
  <c r="P59" i="82" s="1"/>
  <c r="I85" i="46"/>
  <c r="J85" i="46"/>
  <c r="H59" i="82"/>
  <c r="I59" i="82"/>
  <c r="E60" i="82"/>
  <c r="F60" i="82" s="1"/>
  <c r="G60" i="82"/>
  <c r="B61" i="82"/>
  <c r="C85" i="46"/>
  <c r="F85" i="46"/>
  <c r="D85" i="46"/>
  <c r="G85" i="46"/>
  <c r="B86" i="46"/>
  <c r="E86" i="46"/>
  <c r="K86" i="46"/>
  <c r="A87" i="46"/>
  <c r="C60" i="82" l="1"/>
  <c r="P60" i="82" s="1"/>
  <c r="I86" i="46"/>
  <c r="J86" i="46"/>
  <c r="H60" i="82"/>
  <c r="I60" i="82"/>
  <c r="B62" i="82"/>
  <c r="E61" i="82"/>
  <c r="F61" i="82" s="1"/>
  <c r="G61" i="82"/>
  <c r="E87" i="46"/>
  <c r="A88" i="46"/>
  <c r="K87" i="46"/>
  <c r="B87" i="46"/>
  <c r="G86" i="46"/>
  <c r="D86" i="46"/>
  <c r="F86" i="46"/>
  <c r="C86" i="46"/>
  <c r="C61" i="82" l="1"/>
  <c r="P61" i="82" s="1"/>
  <c r="I87" i="46"/>
  <c r="J87" i="46"/>
  <c r="H61" i="82"/>
  <c r="I61" i="82"/>
  <c r="G62" i="82"/>
  <c r="E62" i="82"/>
  <c r="F62" i="82" s="1"/>
  <c r="B63" i="82"/>
  <c r="A89" i="46"/>
  <c r="E88" i="46"/>
  <c r="K88" i="46"/>
  <c r="B88" i="46"/>
  <c r="G87" i="46"/>
  <c r="F87" i="46"/>
  <c r="D87" i="46"/>
  <c r="C87" i="46"/>
  <c r="C62" i="82" l="1"/>
  <c r="C63" i="82" s="1"/>
  <c r="I88" i="46"/>
  <c r="J88" i="46"/>
  <c r="P62" i="82"/>
  <c r="G63" i="82"/>
  <c r="B64" i="82"/>
  <c r="E63" i="82"/>
  <c r="F63" i="82" s="1"/>
  <c r="I62" i="82"/>
  <c r="H62" i="82"/>
  <c r="K89" i="46"/>
  <c r="B89" i="46"/>
  <c r="A90" i="46"/>
  <c r="E89" i="46"/>
  <c r="D88" i="46"/>
  <c r="C88" i="46"/>
  <c r="F88" i="46"/>
  <c r="G88" i="46"/>
  <c r="C64" i="82" l="1"/>
  <c r="I89" i="46"/>
  <c r="J89" i="46"/>
  <c r="P63" i="82"/>
  <c r="G64" i="82"/>
  <c r="B65" i="82"/>
  <c r="C65" i="82" s="1"/>
  <c r="E64" i="82"/>
  <c r="F64" i="82" s="1"/>
  <c r="I63" i="82"/>
  <c r="H63" i="82"/>
  <c r="K90" i="46"/>
  <c r="B90" i="46"/>
  <c r="E90" i="46"/>
  <c r="A91" i="46"/>
  <c r="D89" i="46"/>
  <c r="C89" i="46"/>
  <c r="F89" i="46"/>
  <c r="G89" i="46"/>
  <c r="I90" i="46" l="1"/>
  <c r="J90" i="46"/>
  <c r="P64" i="82"/>
  <c r="G65" i="82"/>
  <c r="B66" i="82"/>
  <c r="C66" i="82" s="1"/>
  <c r="E65" i="82"/>
  <c r="F65" i="82" s="1"/>
  <c r="H64" i="82"/>
  <c r="I64" i="82"/>
  <c r="F90" i="46"/>
  <c r="D90" i="46"/>
  <c r="G90" i="46"/>
  <c r="C90" i="46"/>
  <c r="K91" i="46"/>
  <c r="A92" i="46"/>
  <c r="B91" i="46"/>
  <c r="E91" i="46"/>
  <c r="I91" i="46" l="1"/>
  <c r="J91" i="46"/>
  <c r="P65" i="82"/>
  <c r="E66" i="82"/>
  <c r="F66" i="82" s="1"/>
  <c r="G66" i="82"/>
  <c r="B67" i="82"/>
  <c r="C67" i="82" s="1"/>
  <c r="I65" i="82"/>
  <c r="H65" i="82"/>
  <c r="C91" i="46"/>
  <c r="G91" i="46"/>
  <c r="F91" i="46"/>
  <c r="D91" i="46"/>
  <c r="E92" i="46"/>
  <c r="A93" i="46"/>
  <c r="K92" i="46"/>
  <c r="B92" i="46"/>
  <c r="I92" i="46" l="1"/>
  <c r="J92" i="46"/>
  <c r="P66" i="82"/>
  <c r="G67" i="82"/>
  <c r="E67" i="82"/>
  <c r="F67" i="82" s="1"/>
  <c r="B68" i="82"/>
  <c r="C68" i="82" s="1"/>
  <c r="H66" i="82"/>
  <c r="I66" i="82"/>
  <c r="G92" i="46"/>
  <c r="F92" i="46"/>
  <c r="D92" i="46"/>
  <c r="C92" i="46"/>
  <c r="E93" i="46"/>
  <c r="A94" i="46"/>
  <c r="B93" i="46"/>
  <c r="K93" i="46"/>
  <c r="I93" i="46" l="1"/>
  <c r="J93" i="46"/>
  <c r="P67" i="82"/>
  <c r="H67" i="82"/>
  <c r="I67" i="82"/>
  <c r="E68" i="82"/>
  <c r="F68" i="82" s="1"/>
  <c r="G68" i="82"/>
  <c r="P68" i="82"/>
  <c r="B69" i="82"/>
  <c r="C69" i="82" s="1"/>
  <c r="B94" i="46"/>
  <c r="K94" i="46"/>
  <c r="A95" i="46"/>
  <c r="E94" i="46"/>
  <c r="C93" i="46"/>
  <c r="F93" i="46"/>
  <c r="D93" i="46"/>
  <c r="G93" i="46"/>
  <c r="I94" i="46" l="1"/>
  <c r="J94" i="46"/>
  <c r="P69" i="82"/>
  <c r="E69" i="82"/>
  <c r="F69" i="82" s="1"/>
  <c r="G69" i="82"/>
  <c r="B70" i="82"/>
  <c r="C70" i="82" s="1"/>
  <c r="H68" i="82"/>
  <c r="I68" i="82"/>
  <c r="K95" i="46"/>
  <c r="B95" i="46"/>
  <c r="A96" i="46"/>
  <c r="E95" i="46"/>
  <c r="D94" i="46"/>
  <c r="C94" i="46"/>
  <c r="F94" i="46"/>
  <c r="G94" i="46"/>
  <c r="I95" i="46" l="1"/>
  <c r="J95" i="46"/>
  <c r="P70" i="82"/>
  <c r="B71" i="82"/>
  <c r="C71" i="82" s="1"/>
  <c r="E70" i="82"/>
  <c r="F70" i="82" s="1"/>
  <c r="G70" i="82"/>
  <c r="I69" i="82"/>
  <c r="H69" i="82"/>
  <c r="A97" i="46"/>
  <c r="K96" i="46"/>
  <c r="B96" i="46"/>
  <c r="E96" i="46"/>
  <c r="G95" i="46"/>
  <c r="F95" i="46"/>
  <c r="D95" i="46"/>
  <c r="C95" i="46"/>
  <c r="I96" i="46" l="1"/>
  <c r="J96" i="46"/>
  <c r="H70" i="82"/>
  <c r="I70" i="82"/>
  <c r="P71" i="82"/>
  <c r="B72" i="82"/>
  <c r="C72" i="82" s="1"/>
  <c r="E71" i="82"/>
  <c r="F71" i="82" s="1"/>
  <c r="G71" i="82"/>
  <c r="D96" i="46"/>
  <c r="G96" i="46"/>
  <c r="F96" i="46"/>
  <c r="C96" i="46"/>
  <c r="E97" i="46"/>
  <c r="B97" i="46"/>
  <c r="A98" i="46"/>
  <c r="K97" i="46"/>
  <c r="I97" i="46" l="1"/>
  <c r="J97" i="46"/>
  <c r="E72" i="82"/>
  <c r="F72" i="82" s="1"/>
  <c r="B73" i="82"/>
  <c r="C73" i="82" s="1"/>
  <c r="G72" i="82"/>
  <c r="I71" i="82"/>
  <c r="H71" i="82"/>
  <c r="G97" i="46"/>
  <c r="F97" i="46"/>
  <c r="D97" i="46"/>
  <c r="C97" i="46"/>
  <c r="A99" i="46"/>
  <c r="E98" i="46"/>
  <c r="B98" i="46"/>
  <c r="K98" i="46"/>
  <c r="I98" i="46" l="1"/>
  <c r="J98" i="46"/>
  <c r="P72" i="82"/>
  <c r="B74" i="82"/>
  <c r="C74" i="82" s="1"/>
  <c r="P73" i="82"/>
  <c r="E73" i="82"/>
  <c r="F73" i="82" s="1"/>
  <c r="G73" i="82"/>
  <c r="H72" i="82"/>
  <c r="I72" i="82"/>
  <c r="K99" i="46"/>
  <c r="A100" i="46"/>
  <c r="B99" i="46"/>
  <c r="E99" i="46"/>
  <c r="F98" i="46"/>
  <c r="C98" i="46"/>
  <c r="D98" i="46"/>
  <c r="G98" i="46"/>
  <c r="I99" i="46" l="1"/>
  <c r="J99" i="46"/>
  <c r="H73" i="82"/>
  <c r="I73" i="82"/>
  <c r="E74" i="82"/>
  <c r="F74" i="82" s="1"/>
  <c r="B75" i="82"/>
  <c r="C75" i="82" s="1"/>
  <c r="G74" i="82"/>
  <c r="C99" i="46"/>
  <c r="D99" i="46"/>
  <c r="G99" i="46"/>
  <c r="F99" i="46"/>
  <c r="K100" i="46"/>
  <c r="B100" i="46"/>
  <c r="A101" i="46"/>
  <c r="E100" i="46"/>
  <c r="I100" i="46" l="1"/>
  <c r="P74" i="82"/>
  <c r="J100" i="46"/>
  <c r="E75" i="82"/>
  <c r="F75" i="82" s="1"/>
  <c r="B76" i="82"/>
  <c r="C76" i="82" s="1"/>
  <c r="G75" i="82"/>
  <c r="H74" i="82"/>
  <c r="I74" i="82"/>
  <c r="C100" i="46"/>
  <c r="G100" i="46"/>
  <c r="F100" i="46"/>
  <c r="D100" i="46"/>
  <c r="E101" i="46"/>
  <c r="B101" i="46"/>
  <c r="K101" i="46"/>
  <c r="A102" i="46"/>
  <c r="I101" i="46" l="1"/>
  <c r="P75" i="82"/>
  <c r="J101" i="46"/>
  <c r="G76" i="82"/>
  <c r="B77" i="82"/>
  <c r="C77" i="82" s="1"/>
  <c r="P76" i="82"/>
  <c r="E76" i="82"/>
  <c r="F76" i="82" s="1"/>
  <c r="H75" i="82"/>
  <c r="I75" i="82"/>
  <c r="B102" i="46"/>
  <c r="E102" i="46"/>
  <c r="A103" i="46"/>
  <c r="K102" i="46"/>
  <c r="G101" i="46"/>
  <c r="D101" i="46"/>
  <c r="C101" i="46"/>
  <c r="F101" i="46"/>
  <c r="I102" i="46" l="1"/>
  <c r="J102" i="46"/>
  <c r="P77" i="82"/>
  <c r="G77" i="82"/>
  <c r="B78" i="82"/>
  <c r="C78" i="82" s="1"/>
  <c r="E77" i="82"/>
  <c r="F77" i="82" s="1"/>
  <c r="I76" i="82"/>
  <c r="H76" i="82"/>
  <c r="A104" i="46"/>
  <c r="E103" i="46"/>
  <c r="K103" i="46"/>
  <c r="B103" i="46"/>
  <c r="G102" i="46"/>
  <c r="F102" i="46"/>
  <c r="D102" i="46"/>
  <c r="C102" i="46"/>
  <c r="I103" i="46" l="1"/>
  <c r="J103" i="46"/>
  <c r="P78" i="82"/>
  <c r="B79" i="82"/>
  <c r="C79" i="82" s="1"/>
  <c r="E78" i="82"/>
  <c r="F78" i="82" s="1"/>
  <c r="G78" i="82"/>
  <c r="I77" i="82"/>
  <c r="H77" i="82"/>
  <c r="G103" i="46"/>
  <c r="C103" i="46"/>
  <c r="D103" i="46"/>
  <c r="F103" i="46"/>
  <c r="A105" i="46"/>
  <c r="K104" i="46"/>
  <c r="B104" i="46"/>
  <c r="E104" i="46"/>
  <c r="I104" i="46" l="1"/>
  <c r="J104" i="46"/>
  <c r="G79" i="82"/>
  <c r="P79" i="82"/>
  <c r="E79" i="82"/>
  <c r="F79" i="82" s="1"/>
  <c r="B80" i="82"/>
  <c r="C80" i="82" s="1"/>
  <c r="I78" i="82"/>
  <c r="H78" i="82"/>
  <c r="D104" i="46"/>
  <c r="C104" i="46"/>
  <c r="G104" i="46"/>
  <c r="F104" i="46"/>
  <c r="K105" i="46"/>
  <c r="B105" i="46"/>
  <c r="E105" i="46"/>
  <c r="A106" i="46"/>
  <c r="I105" i="46" l="1"/>
  <c r="J105" i="46"/>
  <c r="G80" i="82"/>
  <c r="E80" i="82"/>
  <c r="F80" i="82" s="1"/>
  <c r="B81" i="82"/>
  <c r="C81" i="82" s="1"/>
  <c r="P80" i="82"/>
  <c r="I79" i="82"/>
  <c r="H79" i="82"/>
  <c r="C105" i="46"/>
  <c r="D105" i="46"/>
  <c r="G105" i="46"/>
  <c r="F105" i="46"/>
  <c r="E106" i="46"/>
  <c r="B106" i="46"/>
  <c r="A107" i="46"/>
  <c r="K106" i="46"/>
  <c r="I106" i="46" l="1"/>
  <c r="J106" i="46"/>
  <c r="E81" i="82"/>
  <c r="G81" i="82"/>
  <c r="B82" i="82"/>
  <c r="C82" i="82" s="1"/>
  <c r="F81" i="82"/>
  <c r="P81" i="82"/>
  <c r="H80" i="82"/>
  <c r="I80" i="82"/>
  <c r="K107" i="46"/>
  <c r="E107" i="46"/>
  <c r="A108" i="46"/>
  <c r="B107" i="46"/>
  <c r="F106" i="46"/>
  <c r="G106" i="46"/>
  <c r="D106" i="46"/>
  <c r="C106" i="46"/>
  <c r="I107" i="46" l="1"/>
  <c r="J107" i="46"/>
  <c r="P82" i="82"/>
  <c r="G82" i="82"/>
  <c r="E82" i="82"/>
  <c r="F82" i="82" s="1"/>
  <c r="B83" i="82"/>
  <c r="C83" i="82" s="1"/>
  <c r="I81" i="82"/>
  <c r="H81" i="82"/>
  <c r="C107" i="46"/>
  <c r="G107" i="46"/>
  <c r="F107" i="46"/>
  <c r="D107" i="46"/>
  <c r="A109" i="46"/>
  <c r="E108" i="46"/>
  <c r="K108" i="46"/>
  <c r="B108" i="46"/>
  <c r="I108" i="46" l="1"/>
  <c r="J108" i="46"/>
  <c r="H82" i="82"/>
  <c r="I82" i="82"/>
  <c r="E83" i="82"/>
  <c r="F83" i="82" s="1"/>
  <c r="B84" i="82"/>
  <c r="C84" i="82" s="1"/>
  <c r="G83" i="82"/>
  <c r="P83" i="82"/>
  <c r="C108" i="46"/>
  <c r="D108" i="46"/>
  <c r="G108" i="46"/>
  <c r="F108" i="46"/>
  <c r="E109" i="46"/>
  <c r="A110" i="46"/>
  <c r="K109" i="46"/>
  <c r="B109" i="46"/>
  <c r="I109" i="46" l="1"/>
  <c r="J109" i="46"/>
  <c r="H83" i="82"/>
  <c r="I83" i="82"/>
  <c r="E84" i="82"/>
  <c r="F84" i="82" s="1"/>
  <c r="G84" i="82"/>
  <c r="P84" i="82"/>
  <c r="B85" i="82"/>
  <c r="C85" i="82" s="1"/>
  <c r="C109" i="46"/>
  <c r="F109" i="46"/>
  <c r="D109" i="46"/>
  <c r="G109" i="46"/>
  <c r="B110" i="46"/>
  <c r="K110" i="46"/>
  <c r="E110" i="46"/>
  <c r="A111" i="46"/>
  <c r="I110" i="46" l="1"/>
  <c r="J110" i="46"/>
  <c r="E85" i="82"/>
  <c r="F85" i="82" s="1"/>
  <c r="G85" i="82"/>
  <c r="B86" i="82"/>
  <c r="C86" i="82" s="1"/>
  <c r="P85" i="82"/>
  <c r="H84" i="82"/>
  <c r="I84" i="82"/>
  <c r="E111" i="46"/>
  <c r="A112" i="46"/>
  <c r="K111" i="46"/>
  <c r="B111" i="46"/>
  <c r="D110" i="46"/>
  <c r="G110" i="46"/>
  <c r="F110" i="46"/>
  <c r="C110" i="46"/>
  <c r="I111" i="46" l="1"/>
  <c r="J111" i="46"/>
  <c r="P86" i="82"/>
  <c r="E86" i="82"/>
  <c r="F86" i="82" s="1"/>
  <c r="B87" i="82"/>
  <c r="C87" i="82" s="1"/>
  <c r="G86" i="82"/>
  <c r="I85" i="82"/>
  <c r="H85" i="82"/>
  <c r="G111" i="46"/>
  <c r="F111" i="46"/>
  <c r="D111" i="46"/>
  <c r="C111" i="46"/>
  <c r="A113" i="46"/>
  <c r="E112" i="46"/>
  <c r="K112" i="46"/>
  <c r="B112" i="46"/>
  <c r="I112" i="46" l="1"/>
  <c r="J112" i="46"/>
  <c r="I86" i="82"/>
  <c r="H86" i="82"/>
  <c r="P87" i="82"/>
  <c r="G87" i="82"/>
  <c r="B88" i="82"/>
  <c r="C88" i="82" s="1"/>
  <c r="E87" i="82"/>
  <c r="F87" i="82" s="1"/>
  <c r="D112" i="46"/>
  <c r="G112" i="46"/>
  <c r="F112" i="46"/>
  <c r="C112" i="46"/>
  <c r="A114" i="46"/>
  <c r="E113" i="46"/>
  <c r="B113" i="46"/>
  <c r="K113" i="46"/>
  <c r="I113" i="46" l="1"/>
  <c r="J113" i="46"/>
  <c r="G88" i="82"/>
  <c r="F88" i="82"/>
  <c r="B89" i="82"/>
  <c r="C89" i="82" s="1"/>
  <c r="P88" i="82"/>
  <c r="E88" i="82"/>
  <c r="I87" i="82"/>
  <c r="H87" i="82"/>
  <c r="C113" i="46"/>
  <c r="D113" i="46"/>
  <c r="F113" i="46"/>
  <c r="G113" i="46"/>
  <c r="A115" i="46"/>
  <c r="K114" i="46"/>
  <c r="B114" i="46"/>
  <c r="E114" i="46"/>
  <c r="I114" i="46" l="1"/>
  <c r="J114" i="46"/>
  <c r="B90" i="82"/>
  <c r="C90" i="82" s="1"/>
  <c r="G89" i="82"/>
  <c r="P89" i="82"/>
  <c r="F89" i="82"/>
  <c r="E89" i="82"/>
  <c r="H88" i="82"/>
  <c r="I88" i="82"/>
  <c r="F114" i="46"/>
  <c r="C114" i="46"/>
  <c r="D114" i="46"/>
  <c r="G114" i="46"/>
  <c r="K115" i="46"/>
  <c r="A116" i="46"/>
  <c r="B115" i="46"/>
  <c r="E115" i="46"/>
  <c r="I115" i="46" l="1"/>
  <c r="J115" i="46"/>
  <c r="I89" i="82"/>
  <c r="H89" i="82"/>
  <c r="E90" i="82"/>
  <c r="F90" i="82" s="1"/>
  <c r="P90" i="82"/>
  <c r="G90" i="82"/>
  <c r="B91" i="82"/>
  <c r="C91" i="82" s="1"/>
  <c r="C115" i="46"/>
  <c r="G115" i="46"/>
  <c r="F115" i="46"/>
  <c r="D115" i="46"/>
  <c r="A117" i="46"/>
  <c r="K116" i="46"/>
  <c r="B116" i="46"/>
  <c r="E116" i="46"/>
  <c r="I116" i="46" l="1"/>
  <c r="J116" i="46"/>
  <c r="I90" i="82"/>
  <c r="H90" i="82"/>
  <c r="P91" i="82"/>
  <c r="E91" i="82"/>
  <c r="F91" i="82" s="1"/>
  <c r="G91" i="82"/>
  <c r="M91" i="82"/>
  <c r="J91" i="82" s="1"/>
  <c r="K91" i="82" s="1"/>
  <c r="B92" i="82"/>
  <c r="C92" i="82" s="1"/>
  <c r="F116" i="46"/>
  <c r="G116" i="46"/>
  <c r="D116" i="46"/>
  <c r="C116" i="46"/>
  <c r="E117" i="46"/>
  <c r="A118" i="46"/>
  <c r="B117" i="46"/>
  <c r="K117" i="46"/>
  <c r="Q79" i="46" l="1"/>
  <c r="O55" i="90" s="1"/>
  <c r="N80" i="46"/>
  <c r="N79" i="46"/>
  <c r="N81" i="46"/>
  <c r="Q80" i="46"/>
  <c r="O56" i="90" s="1"/>
  <c r="Q82" i="46"/>
  <c r="O58" i="90" s="1"/>
  <c r="N83" i="46"/>
  <c r="N82" i="46"/>
  <c r="Q81" i="46"/>
  <c r="Q84" i="46"/>
  <c r="O60" i="90" s="1"/>
  <c r="Q83" i="46"/>
  <c r="O59" i="90" s="1"/>
  <c r="N84" i="46"/>
  <c r="I117" i="46"/>
  <c r="N91" i="82"/>
  <c r="L91" i="82"/>
  <c r="J117" i="46"/>
  <c r="H91" i="82"/>
  <c r="I91" i="82"/>
  <c r="N92" i="82"/>
  <c r="B93" i="82"/>
  <c r="C93" i="82" s="1"/>
  <c r="G92" i="82"/>
  <c r="M92" i="82"/>
  <c r="L92" i="82" s="1"/>
  <c r="E92" i="82"/>
  <c r="F92" i="82" s="1"/>
  <c r="P92" i="82"/>
  <c r="K92" i="82"/>
  <c r="D117" i="46"/>
  <c r="G117" i="46"/>
  <c r="F117" i="46"/>
  <c r="C117" i="46"/>
  <c r="B118" i="46"/>
  <c r="N85" i="46" s="1"/>
  <c r="E118" i="46"/>
  <c r="Q85" i="46" s="1"/>
  <c r="K118" i="46"/>
  <c r="O79" i="46" l="1"/>
  <c r="O80" i="46" s="1"/>
  <c r="O81" i="46" s="1"/>
  <c r="O82" i="46" s="1"/>
  <c r="O83" i="46" s="1"/>
  <c r="O84" i="46" s="1"/>
  <c r="O85" i="46" s="1"/>
  <c r="O86" i="46" s="1"/>
  <c r="P79" i="46"/>
  <c r="M55" i="90" s="1"/>
  <c r="H55" i="90"/>
  <c r="I55" i="90"/>
  <c r="J92" i="82"/>
  <c r="J118" i="46"/>
  <c r="F93" i="82"/>
  <c r="M93" i="82"/>
  <c r="L93" i="82"/>
  <c r="E93" i="82"/>
  <c r="G93" i="82"/>
  <c r="B94" i="82"/>
  <c r="C94" i="82" s="1"/>
  <c r="N93" i="82"/>
  <c r="P93" i="82"/>
  <c r="K93" i="82"/>
  <c r="J93" i="82"/>
  <c r="I92" i="82"/>
  <c r="H92" i="82"/>
  <c r="I56" i="90"/>
  <c r="H56" i="90"/>
  <c r="I58" i="90"/>
  <c r="H58" i="90"/>
  <c r="I57" i="90"/>
  <c r="H59" i="90"/>
  <c r="I59" i="90"/>
  <c r="I60" i="90"/>
  <c r="H60" i="90"/>
  <c r="O61" i="90"/>
  <c r="L84" i="46"/>
  <c r="L82" i="46"/>
  <c r="L80" i="46"/>
  <c r="O57" i="90"/>
  <c r="C118" i="46"/>
  <c r="D118" i="46"/>
  <c r="H40" i="46" s="1"/>
  <c r="F118" i="46"/>
  <c r="G118" i="46"/>
  <c r="I118" i="46"/>
  <c r="P80" i="46" l="1"/>
  <c r="P81" i="46" s="1"/>
  <c r="P82" i="46" s="1"/>
  <c r="P83" i="46" s="1"/>
  <c r="P84" i="46" s="1"/>
  <c r="P85" i="46" s="1"/>
  <c r="P86" i="46" s="1"/>
  <c r="K55" i="90"/>
  <c r="H93" i="82"/>
  <c r="I93" i="82"/>
  <c r="N94" i="82"/>
  <c r="F94" i="82"/>
  <c r="J94" i="82"/>
  <c r="M94" i="82"/>
  <c r="G94" i="82"/>
  <c r="L94" i="82"/>
  <c r="P94" i="82"/>
  <c r="E94" i="82"/>
  <c r="B95" i="82"/>
  <c r="C95" i="82" s="1"/>
  <c r="K94" i="82"/>
  <c r="K59" i="90"/>
  <c r="I61" i="90"/>
  <c r="H61" i="90"/>
  <c r="K58" i="90"/>
  <c r="K57" i="90"/>
  <c r="K60" i="90"/>
  <c r="K56" i="90"/>
  <c r="H57" i="90"/>
  <c r="H71" i="46"/>
  <c r="H102" i="46"/>
  <c r="H52" i="46"/>
  <c r="H42" i="46"/>
  <c r="H109" i="46"/>
  <c r="H114" i="46"/>
  <c r="H115" i="46"/>
  <c r="H100" i="46"/>
  <c r="H56" i="46"/>
  <c r="H59" i="46"/>
  <c r="H101" i="46"/>
  <c r="H107" i="46"/>
  <c r="H99" i="46"/>
  <c r="H45" i="46"/>
  <c r="H82" i="46"/>
  <c r="H60" i="46"/>
  <c r="H116" i="46"/>
  <c r="H91" i="46"/>
  <c r="H83" i="46"/>
  <c r="H43" i="46"/>
  <c r="H63" i="46"/>
  <c r="H94" i="46"/>
  <c r="H76" i="46"/>
  <c r="H117" i="46"/>
  <c r="H111" i="46"/>
  <c r="H95" i="46"/>
  <c r="H89" i="46"/>
  <c r="H44" i="46"/>
  <c r="H113" i="46"/>
  <c r="H54" i="46"/>
  <c r="H118" i="46"/>
  <c r="H110" i="46"/>
  <c r="H53" i="46"/>
  <c r="H50" i="46"/>
  <c r="H70" i="46"/>
  <c r="H81" i="46"/>
  <c r="H106" i="46"/>
  <c r="H77" i="46"/>
  <c r="H67" i="46"/>
  <c r="H80" i="46"/>
  <c r="H62" i="46"/>
  <c r="H55" i="46"/>
  <c r="H90" i="46"/>
  <c r="H65" i="46"/>
  <c r="H96" i="46"/>
  <c r="H61" i="46"/>
  <c r="H48" i="46"/>
  <c r="H68" i="46"/>
  <c r="H97" i="46"/>
  <c r="H85" i="46"/>
  <c r="H69" i="46"/>
  <c r="H79" i="46"/>
  <c r="H72" i="46"/>
  <c r="H86" i="46"/>
  <c r="H47" i="46"/>
  <c r="H104" i="46"/>
  <c r="H66" i="46"/>
  <c r="H57" i="46"/>
  <c r="H78" i="46"/>
  <c r="H75" i="46"/>
  <c r="H74" i="46"/>
  <c r="H103" i="46"/>
  <c r="H49" i="46"/>
  <c r="H112" i="46"/>
  <c r="H64" i="46"/>
  <c r="H88" i="46"/>
  <c r="H41" i="46"/>
  <c r="H46" i="46"/>
  <c r="H92" i="46"/>
  <c r="H58" i="46"/>
  <c r="H93" i="46"/>
  <c r="H105" i="46"/>
  <c r="H108" i="46"/>
  <c r="H84" i="46"/>
  <c r="H87" i="46"/>
  <c r="H51" i="46"/>
  <c r="H98" i="46"/>
  <c r="H73" i="46"/>
  <c r="M56" i="90" l="1"/>
  <c r="M58" i="90"/>
  <c r="N95" i="82"/>
  <c r="L95" i="82"/>
  <c r="E95" i="82"/>
  <c r="G95" i="82"/>
  <c r="K95" i="82"/>
  <c r="B96" i="82"/>
  <c r="C96" i="82" s="1"/>
  <c r="M95" i="82"/>
  <c r="F95" i="82"/>
  <c r="J95" i="82"/>
  <c r="P95" i="82"/>
  <c r="H94" i="82"/>
  <c r="I94" i="82"/>
  <c r="K61" i="90"/>
  <c r="M57" i="90"/>
  <c r="M59" i="90"/>
  <c r="H95" i="82" l="1"/>
  <c r="I95" i="82"/>
  <c r="E96" i="82"/>
  <c r="G96" i="82"/>
  <c r="B97" i="82"/>
  <c r="C97" i="82" s="1"/>
  <c r="F96" i="82"/>
  <c r="J96" i="82"/>
  <c r="P96" i="82"/>
  <c r="L96" i="82"/>
  <c r="M96" i="82"/>
  <c r="K96" i="82"/>
  <c r="N96" i="82"/>
  <c r="M60" i="90"/>
  <c r="E97" i="82" l="1"/>
  <c r="L97" i="82"/>
  <c r="P97" i="82"/>
  <c r="K97" i="82"/>
  <c r="M97" i="82"/>
  <c r="N97" i="82"/>
  <c r="G97" i="82"/>
  <c r="F97" i="82"/>
  <c r="J97" i="82"/>
  <c r="U30" i="82"/>
  <c r="H96" i="82"/>
  <c r="I96" i="82"/>
  <c r="M74" i="82" l="1"/>
  <c r="M76" i="82"/>
  <c r="M75" i="82"/>
  <c r="M77" i="82"/>
  <c r="M78" i="82"/>
  <c r="M79" i="82"/>
  <c r="M80" i="82"/>
  <c r="M81" i="82"/>
  <c r="M82" i="82"/>
  <c r="M83" i="82"/>
  <c r="M84" i="82"/>
  <c r="M85" i="82"/>
  <c r="M86" i="82"/>
  <c r="M87" i="82"/>
  <c r="M88" i="82"/>
  <c r="M89" i="82"/>
  <c r="M90" i="82"/>
  <c r="J74" i="82"/>
  <c r="K74" i="82" s="1"/>
  <c r="L74" i="82"/>
  <c r="N74" i="82"/>
  <c r="M18" i="82"/>
  <c r="N18" i="82" s="1"/>
  <c r="M71" i="82"/>
  <c r="M72" i="82"/>
  <c r="M73" i="82"/>
  <c r="M60" i="82"/>
  <c r="M61" i="82"/>
  <c r="M62" i="82"/>
  <c r="M63" i="82"/>
  <c r="M64" i="82"/>
  <c r="M65" i="82"/>
  <c r="M66" i="82"/>
  <c r="M67" i="82"/>
  <c r="M68" i="82"/>
  <c r="M69" i="82"/>
  <c r="M70" i="82"/>
  <c r="M54" i="82"/>
  <c r="M58" i="82"/>
  <c r="M59" i="82"/>
  <c r="M24" i="82"/>
  <c r="M30" i="82"/>
  <c r="M35" i="82"/>
  <c r="M42" i="82"/>
  <c r="M48" i="82"/>
  <c r="M21" i="82"/>
  <c r="M44" i="82"/>
  <c r="M45" i="82"/>
  <c r="M57" i="82"/>
  <c r="M52" i="82"/>
  <c r="M47" i="82"/>
  <c r="M19" i="82"/>
  <c r="M25" i="82"/>
  <c r="M31" i="82"/>
  <c r="M37" i="82"/>
  <c r="M43" i="82"/>
  <c r="M49" i="82"/>
  <c r="M55" i="82"/>
  <c r="M32" i="82"/>
  <c r="M38" i="82"/>
  <c r="M56" i="82"/>
  <c r="M51" i="82"/>
  <c r="M34" i="82"/>
  <c r="M28" i="82"/>
  <c r="M41" i="82"/>
  <c r="M26" i="82"/>
  <c r="M50" i="82"/>
  <c r="M29" i="82"/>
  <c r="M20" i="82"/>
  <c r="M27" i="82"/>
  <c r="M33" i="82"/>
  <c r="M39" i="82"/>
  <c r="M46" i="82"/>
  <c r="M36" i="82"/>
  <c r="M22" i="82"/>
  <c r="M40" i="82"/>
  <c r="M23" i="82"/>
  <c r="M53" i="82"/>
  <c r="I97" i="82"/>
  <c r="H97" i="82"/>
  <c r="M61" i="90"/>
  <c r="L89" i="82" l="1"/>
  <c r="N89" i="82"/>
  <c r="J89" i="82"/>
  <c r="K89" i="82"/>
  <c r="N81" i="82"/>
  <c r="J81" i="82"/>
  <c r="L81" i="82"/>
  <c r="K81" i="82"/>
  <c r="L88" i="82"/>
  <c r="K88" i="82"/>
  <c r="J88" i="82"/>
  <c r="N88" i="82"/>
  <c r="L80" i="82"/>
  <c r="N80" i="82"/>
  <c r="K80" i="82"/>
  <c r="J80" i="82"/>
  <c r="J87" i="82"/>
  <c r="N87" i="82"/>
  <c r="L87" i="82"/>
  <c r="K87" i="82"/>
  <c r="L79" i="82"/>
  <c r="K79" i="82"/>
  <c r="J79" i="82"/>
  <c r="N79" i="82"/>
  <c r="L86" i="82"/>
  <c r="K86" i="82"/>
  <c r="N86" i="82"/>
  <c r="J86" i="82"/>
  <c r="J78" i="82"/>
  <c r="L78" i="82"/>
  <c r="N78" i="82"/>
  <c r="K78" i="82"/>
  <c r="J85" i="82"/>
  <c r="K85" i="82"/>
  <c r="N85" i="82"/>
  <c r="L85" i="82"/>
  <c r="K77" i="82"/>
  <c r="N77" i="82"/>
  <c r="J77" i="82"/>
  <c r="L77" i="82"/>
  <c r="N84" i="82"/>
  <c r="J84" i="82"/>
  <c r="L84" i="82"/>
  <c r="K84" i="82"/>
  <c r="N75" i="82"/>
  <c r="J75" i="82"/>
  <c r="K75" i="82"/>
  <c r="L75" i="82"/>
  <c r="N83" i="82"/>
  <c r="J83" i="82"/>
  <c r="K83" i="82"/>
  <c r="L83" i="82"/>
  <c r="J76" i="82"/>
  <c r="K76" i="82"/>
  <c r="L76" i="82"/>
  <c r="N76" i="82"/>
  <c r="L90" i="82"/>
  <c r="N90" i="82"/>
  <c r="J90" i="82"/>
  <c r="K90" i="82"/>
  <c r="L82" i="82"/>
  <c r="J82" i="82"/>
  <c r="K82" i="82"/>
  <c r="N82" i="82"/>
  <c r="L73" i="82"/>
  <c r="J73" i="82"/>
  <c r="K73" i="82"/>
  <c r="N73" i="82"/>
  <c r="N72" i="82"/>
  <c r="J72" i="82"/>
  <c r="K72" i="82" s="1"/>
  <c r="L72" i="82"/>
  <c r="L71" i="82"/>
  <c r="J71" i="82"/>
  <c r="K71" i="82" s="1"/>
  <c r="N71" i="82"/>
  <c r="L54" i="82"/>
  <c r="K54" i="82"/>
  <c r="J54" i="82"/>
  <c r="N54" i="82"/>
  <c r="K65" i="82"/>
  <c r="L65" i="82"/>
  <c r="J65" i="82"/>
  <c r="N65" i="82"/>
  <c r="L70" i="82"/>
  <c r="N70" i="82"/>
  <c r="J70" i="82"/>
  <c r="K70" i="82" s="1"/>
  <c r="J64" i="82"/>
  <c r="L64" i="82"/>
  <c r="K64" i="82"/>
  <c r="N64" i="82"/>
  <c r="N69" i="82"/>
  <c r="L69" i="82"/>
  <c r="J69" i="82"/>
  <c r="K69" i="82"/>
  <c r="L63" i="82"/>
  <c r="J63" i="82"/>
  <c r="K63" i="82" s="1"/>
  <c r="N63" i="82"/>
  <c r="J68" i="82"/>
  <c r="K68" i="82"/>
  <c r="L68" i="82"/>
  <c r="N68" i="82"/>
  <c r="L62" i="82"/>
  <c r="K62" i="82"/>
  <c r="J62" i="82"/>
  <c r="N62" i="82"/>
  <c r="K59" i="82"/>
  <c r="N59" i="82"/>
  <c r="J59" i="82"/>
  <c r="L59" i="82"/>
  <c r="L67" i="82"/>
  <c r="K67" i="82"/>
  <c r="J67" i="82"/>
  <c r="N67" i="82"/>
  <c r="L61" i="82"/>
  <c r="J61" i="82"/>
  <c r="K61" i="82"/>
  <c r="N61" i="82"/>
  <c r="L58" i="82"/>
  <c r="N58" i="82"/>
  <c r="K58" i="82"/>
  <c r="J58" i="82"/>
  <c r="J66" i="82"/>
  <c r="L66" i="82"/>
  <c r="K66" i="82"/>
  <c r="N66" i="82"/>
  <c r="J60" i="82"/>
  <c r="K60" i="82"/>
  <c r="L60" i="82"/>
  <c r="N60" i="82"/>
  <c r="N55" i="82"/>
  <c r="K55" i="82"/>
  <c r="L55" i="82"/>
  <c r="J55" i="82"/>
  <c r="N19" i="82"/>
  <c r="L19" i="82"/>
  <c r="J19" i="82"/>
  <c r="K19" i="82" s="1"/>
  <c r="N21" i="82"/>
  <c r="L21" i="82"/>
  <c r="J21" i="82"/>
  <c r="K21" i="82" s="1"/>
  <c r="L34" i="82"/>
  <c r="N34" i="82"/>
  <c r="J34" i="82"/>
  <c r="K34" i="82" s="1"/>
  <c r="J49" i="82"/>
  <c r="L49" i="82"/>
  <c r="N49" i="82"/>
  <c r="K49" i="82"/>
  <c r="J47" i="82"/>
  <c r="L47" i="82"/>
  <c r="N47" i="82"/>
  <c r="K47" i="82"/>
  <c r="J48" i="82"/>
  <c r="N48" i="82"/>
  <c r="L48" i="82"/>
  <c r="K48" i="82"/>
  <c r="L22" i="82"/>
  <c r="N22" i="82"/>
  <c r="J22" i="82"/>
  <c r="K22" i="82" s="1"/>
  <c r="L50" i="82"/>
  <c r="J50" i="82"/>
  <c r="N50" i="82"/>
  <c r="K50" i="82"/>
  <c r="L51" i="82"/>
  <c r="K51" i="82"/>
  <c r="J51" i="82"/>
  <c r="N51" i="82"/>
  <c r="J43" i="82"/>
  <c r="K43" i="82" s="1"/>
  <c r="N43" i="82"/>
  <c r="L43" i="82"/>
  <c r="N52" i="82"/>
  <c r="J52" i="82"/>
  <c r="K52" i="82" s="1"/>
  <c r="L52" i="82"/>
  <c r="N42" i="82"/>
  <c r="L42" i="82"/>
  <c r="J42" i="82"/>
  <c r="K42" i="82" s="1"/>
  <c r="J20" i="82"/>
  <c r="K20" i="82" s="1"/>
  <c r="L20" i="82"/>
  <c r="N20" i="82"/>
  <c r="J36" i="82"/>
  <c r="K36" i="82" s="1"/>
  <c r="L36" i="82"/>
  <c r="N36" i="82"/>
  <c r="L46" i="82"/>
  <c r="J46" i="82"/>
  <c r="K46" i="82" s="1"/>
  <c r="N46" i="82"/>
  <c r="L39" i="82"/>
  <c r="J39" i="82"/>
  <c r="K39" i="82" s="1"/>
  <c r="N39" i="82"/>
  <c r="L26" i="82"/>
  <c r="J26" i="82"/>
  <c r="K26" i="82" s="1"/>
  <c r="N26" i="82"/>
  <c r="L56" i="82"/>
  <c r="N56" i="82"/>
  <c r="K56" i="82"/>
  <c r="J56" i="82"/>
  <c r="N37" i="82"/>
  <c r="J37" i="82"/>
  <c r="K37" i="82" s="1"/>
  <c r="L37" i="82"/>
  <c r="N57" i="82"/>
  <c r="K57" i="82"/>
  <c r="J57" i="82"/>
  <c r="L57" i="82"/>
  <c r="J35" i="82"/>
  <c r="K35" i="82" s="1"/>
  <c r="N35" i="82"/>
  <c r="L35" i="82"/>
  <c r="J23" i="82"/>
  <c r="N23" i="82"/>
  <c r="K23" i="82"/>
  <c r="L23" i="82"/>
  <c r="J18" i="82"/>
  <c r="K18" i="82" s="1"/>
  <c r="L18" i="82"/>
  <c r="J38" i="82"/>
  <c r="K38" i="82" s="1"/>
  <c r="N38" i="82"/>
  <c r="L38" i="82"/>
  <c r="N31" i="82"/>
  <c r="J31" i="82"/>
  <c r="K31" i="82" s="1"/>
  <c r="L31" i="82"/>
  <c r="J45" i="82"/>
  <c r="K45" i="82" s="1"/>
  <c r="L45" i="82"/>
  <c r="N45" i="82"/>
  <c r="N30" i="82"/>
  <c r="L30" i="82"/>
  <c r="J30" i="82"/>
  <c r="K30" i="82" s="1"/>
  <c r="N28" i="82"/>
  <c r="J28" i="82"/>
  <c r="K28" i="82" s="1"/>
  <c r="L28" i="82"/>
  <c r="L29" i="82"/>
  <c r="J29" i="82"/>
  <c r="K29" i="82" s="1"/>
  <c r="N29" i="82"/>
  <c r="N53" i="82"/>
  <c r="L53" i="82"/>
  <c r="J53" i="82"/>
  <c r="K53" i="82" s="1"/>
  <c r="J33" i="82"/>
  <c r="K33" i="82" s="1"/>
  <c r="L33" i="82"/>
  <c r="N33" i="82"/>
  <c r="N40" i="82"/>
  <c r="L40" i="82"/>
  <c r="J40" i="82"/>
  <c r="K40" i="82" s="1"/>
  <c r="N27" i="82"/>
  <c r="J27" i="82"/>
  <c r="K27" i="82" s="1"/>
  <c r="L27" i="82"/>
  <c r="L41" i="82"/>
  <c r="J41" i="82"/>
  <c r="K41" i="82" s="1"/>
  <c r="N41" i="82"/>
  <c r="L32" i="82"/>
  <c r="J32" i="82"/>
  <c r="K32" i="82" s="1"/>
  <c r="N32" i="82"/>
  <c r="J25" i="82"/>
  <c r="K25" i="82" s="1"/>
  <c r="L25" i="82"/>
  <c r="N25" i="82"/>
  <c r="L44" i="82"/>
  <c r="J44" i="82"/>
  <c r="K44" i="82" s="1"/>
  <c r="N44" i="82"/>
  <c r="L24" i="82"/>
  <c r="N24" i="82"/>
  <c r="J24" i="82"/>
  <c r="K24" i="82" s="1"/>
  <c r="BJ8" i="92"/>
  <c r="BK8" i="92"/>
  <c r="BK7" i="92"/>
  <c r="BJ7" i="92"/>
  <c r="BB8" i="92"/>
  <c r="BG8" i="92" s="1"/>
  <c r="BB7" i="92"/>
  <c r="BG7" i="92" s="1"/>
  <c r="BC8" i="92" l="1"/>
  <c r="BD8" i="92"/>
  <c r="BC7" i="92"/>
  <c r="BD7" i="92"/>
  <c r="O23" i="121" l="1"/>
  <c r="AD23" i="121" s="1"/>
  <c r="O24" i="121"/>
  <c r="AD24" i="121" s="1"/>
  <c r="K19" i="114"/>
  <c r="Y19" i="114" s="1"/>
  <c r="K18" i="114"/>
  <c r="Y18" i="114" s="1"/>
  <c r="AB18" i="108"/>
  <c r="AB8" i="108"/>
  <c r="AB17" i="108"/>
  <c r="AB9" i="108"/>
  <c r="AB10" i="108"/>
  <c r="AB7" i="108"/>
  <c r="AD18" i="108"/>
  <c r="CI18" i="108" s="1"/>
  <c r="M24" i="121" s="1"/>
  <c r="AD17" i="108"/>
  <c r="CI17" i="108" s="1"/>
  <c r="M23" i="121" s="1"/>
  <c r="AI18" i="131" l="1"/>
  <c r="AI18" i="107" s="1"/>
  <c r="AM18" i="107" s="1"/>
  <c r="AC18" i="108"/>
  <c r="CD18" i="108" s="1"/>
  <c r="AC17" i="108"/>
  <c r="CD17" i="108" s="1"/>
  <c r="AI17" i="131"/>
  <c r="AI17" i="107" s="1"/>
  <c r="AM17" i="107" s="1"/>
  <c r="AI7" i="128"/>
  <c r="AI8" i="128"/>
  <c r="AI18" i="128"/>
  <c r="AI17" i="128"/>
  <c r="AI10" i="128"/>
  <c r="AI9" i="128"/>
  <c r="O22" i="121"/>
  <c r="AD22" i="121" s="1"/>
  <c r="L18" i="114"/>
  <c r="Q23" i="121"/>
  <c r="L19" i="114"/>
  <c r="Q24" i="121"/>
  <c r="K17" i="114"/>
  <c r="AB16" i="108"/>
  <c r="N13" i="114"/>
  <c r="AB13" i="114"/>
  <c r="AC13" i="114" s="1"/>
  <c r="S13" i="114"/>
  <c r="AA13" i="114"/>
  <c r="R13" i="114"/>
  <c r="T13" i="114"/>
  <c r="Q13" i="114"/>
  <c r="U13" i="114"/>
  <c r="O19" i="109"/>
  <c r="N5" i="109"/>
  <c r="M5" i="109"/>
  <c r="AU17" i="108"/>
  <c r="CC17" i="108" s="1"/>
  <c r="AU18" i="108"/>
  <c r="AU16" i="108"/>
  <c r="AV18" i="108"/>
  <c r="AV17" i="108"/>
  <c r="CA18" i="108"/>
  <c r="P18" i="108"/>
  <c r="P17" i="108"/>
  <c r="CA17" i="108"/>
  <c r="AD16" i="108"/>
  <c r="CI16" i="108" s="1"/>
  <c r="M22" i="121" s="1"/>
  <c r="CE17" i="108" l="1"/>
  <c r="AM17" i="131"/>
  <c r="AW17" i="108"/>
  <c r="AW18" i="108"/>
  <c r="AM18" i="131"/>
  <c r="N15" i="109"/>
  <c r="CC16" i="108"/>
  <c r="N18" i="109" s="1"/>
  <c r="P15" i="109"/>
  <c r="CC18" i="108"/>
  <c r="CE18" i="108" s="1"/>
  <c r="AI16" i="131"/>
  <c r="AI16" i="107" s="1"/>
  <c r="AM16" i="107" s="1"/>
  <c r="AC16" i="108"/>
  <c r="CD16" i="108" s="1"/>
  <c r="P19" i="109"/>
  <c r="P5" i="109"/>
  <c r="O18" i="109"/>
  <c r="O15" i="109"/>
  <c r="O14" i="109"/>
  <c r="AM18" i="128"/>
  <c r="AI16" i="128"/>
  <c r="AM17" i="128"/>
  <c r="L17" i="114"/>
  <c r="Q22" i="121"/>
  <c r="Y17" i="114"/>
  <c r="AV16" i="108"/>
  <c r="O13" i="114"/>
  <c r="N19" i="109"/>
  <c r="P17" i="109"/>
  <c r="O17" i="109"/>
  <c r="CB17" i="108"/>
  <c r="CB18" i="108"/>
  <c r="CA16" i="108"/>
  <c r="P16" i="108"/>
  <c r="AQ17" i="131" l="1"/>
  <c r="AQ17" i="107" s="1"/>
  <c r="P18" i="109"/>
  <c r="AQ18" i="131"/>
  <c r="AQ18" i="107" s="1"/>
  <c r="CE16" i="108"/>
  <c r="AW16" i="108"/>
  <c r="AM16" i="131"/>
  <c r="N14" i="109"/>
  <c r="AM16" i="128"/>
  <c r="AQ17" i="128"/>
  <c r="AQ18" i="128"/>
  <c r="AD13" i="114"/>
  <c r="AE13" i="114"/>
  <c r="P20" i="109"/>
  <c r="O20" i="109"/>
  <c r="N17" i="109"/>
  <c r="CB16" i="108"/>
  <c r="AQ16" i="131" l="1"/>
  <c r="AQ16" i="107" s="1"/>
  <c r="AQ16" i="128"/>
  <c r="N20" i="109"/>
  <c r="BI24" i="92" l="1"/>
  <c r="BL24" i="92"/>
  <c r="BL23" i="92"/>
  <c r="BI30" i="92"/>
  <c r="BI17" i="92"/>
  <c r="BI25" i="92"/>
  <c r="BL11" i="92"/>
  <c r="BL36" i="92"/>
  <c r="BL33" i="92"/>
  <c r="BL30" i="92"/>
  <c r="BI32" i="92"/>
  <c r="BI23" i="92"/>
  <c r="BL25" i="92"/>
  <c r="BI11" i="92"/>
  <c r="BI13" i="92"/>
  <c r="BI33" i="92"/>
  <c r="BI19" i="92"/>
  <c r="BL18" i="92"/>
  <c r="BL13" i="92"/>
  <c r="BL27" i="92"/>
  <c r="BI10" i="92"/>
  <c r="BI15" i="92"/>
  <c r="BI28" i="92"/>
  <c r="BL28" i="92"/>
  <c r="BI35" i="92"/>
  <c r="BI20" i="92"/>
  <c r="BL20" i="92"/>
  <c r="BI18" i="92"/>
  <c r="BL16" i="92"/>
  <c r="BL17" i="92"/>
  <c r="BI29" i="92"/>
  <c r="BI27" i="92"/>
  <c r="BL10" i="92"/>
  <c r="BL9" i="92"/>
  <c r="BI9" i="92"/>
  <c r="BL31" i="92"/>
  <c r="BI31" i="92"/>
  <c r="BL15" i="92"/>
  <c r="BL29" i="92"/>
  <c r="BI36" i="92"/>
  <c r="BI22" i="92"/>
  <c r="BL22" i="92"/>
  <c r="BL14" i="92"/>
  <c r="BI12" i="92"/>
  <c r="BI26" i="92"/>
  <c r="BL35" i="92"/>
  <c r="BI21" i="92"/>
  <c r="BL21" i="92"/>
  <c r="BL32" i="92"/>
  <c r="BL34" i="92"/>
  <c r="BL26" i="92"/>
  <c r="BL8" i="92"/>
  <c r="BL19" i="92"/>
  <c r="BI14" i="92"/>
  <c r="BI16" i="92"/>
  <c r="BH31" i="92"/>
  <c r="BH27" i="92"/>
  <c r="BH18" i="92"/>
  <c r="BI8" i="92"/>
  <c r="BL12" i="92"/>
  <c r="BH12" i="92"/>
  <c r="BH25" i="92"/>
  <c r="BH10" i="92"/>
  <c r="BH26" i="92"/>
  <c r="BH32" i="92"/>
  <c r="BH13" i="92"/>
  <c r="BH29" i="92"/>
  <c r="BH28" i="92"/>
  <c r="BH33" i="92"/>
  <c r="BH15" i="92"/>
  <c r="BH30" i="92"/>
  <c r="BH14" i="92"/>
  <c r="BH21" i="92"/>
  <c r="BH16" i="92"/>
  <c r="BH9" i="92"/>
  <c r="BH23" i="92"/>
  <c r="BH22" i="92"/>
  <c r="BH11" i="92"/>
  <c r="BH35" i="92"/>
  <c r="BH17" i="92"/>
  <c r="BH34" i="92"/>
  <c r="BI34" i="92"/>
  <c r="BH24" i="92"/>
  <c r="BH19" i="92"/>
  <c r="BH36" i="92"/>
  <c r="BH8" i="92"/>
  <c r="BH20" i="92"/>
  <c r="BA15" i="92" l="1"/>
  <c r="AZ15" i="92" s="1"/>
  <c r="BA25" i="92"/>
  <c r="AZ25" i="92" s="1"/>
  <c r="BA23" i="92"/>
  <c r="AZ23" i="92" s="1"/>
  <c r="BA9" i="92"/>
  <c r="AZ9" i="92" s="1"/>
  <c r="BA24" i="92"/>
  <c r="AZ24" i="92" s="1"/>
  <c r="BA11" i="92"/>
  <c r="AZ11" i="92" s="1"/>
  <c r="BA29" i="92"/>
  <c r="AZ29" i="92" s="1"/>
  <c r="BA16" i="92"/>
  <c r="AZ16" i="92" s="1"/>
  <c r="BA18" i="92"/>
  <c r="AZ18" i="92" s="1"/>
  <c r="BA13" i="92"/>
  <c r="AZ13" i="92" s="1"/>
  <c r="BA8" i="92"/>
  <c r="AZ8" i="92" s="1"/>
  <c r="BA17" i="92"/>
  <c r="AZ17" i="92" s="1"/>
  <c r="BA26" i="92"/>
  <c r="AZ26" i="92" s="1"/>
  <c r="BA31" i="92"/>
  <c r="AZ31" i="92" s="1"/>
  <c r="BA14" i="92"/>
  <c r="AZ14" i="92" s="1"/>
  <c r="BA21" i="92"/>
  <c r="AZ21" i="92" s="1"/>
  <c r="BA27" i="92"/>
  <c r="AZ27" i="92" s="1"/>
  <c r="BA36" i="92"/>
  <c r="AZ36" i="92" s="1"/>
  <c r="BA28" i="92"/>
  <c r="AZ28" i="92" s="1"/>
  <c r="BA34" i="92"/>
  <c r="AZ34" i="92" s="1"/>
  <c r="BA35" i="92"/>
  <c r="AZ35" i="92" s="1"/>
  <c r="BA10" i="92"/>
  <c r="AZ10" i="92" s="1"/>
  <c r="BA22" i="92"/>
  <c r="AZ22" i="92" s="1"/>
  <c r="BA33" i="92"/>
  <c r="AZ33" i="92" s="1"/>
  <c r="BA32" i="92"/>
  <c r="AZ32" i="92" s="1"/>
  <c r="BA19" i="92"/>
  <c r="AZ19" i="92" s="1"/>
  <c r="BA20" i="92"/>
  <c r="AZ20" i="92" s="1"/>
  <c r="BA30" i="92"/>
  <c r="AZ30" i="92" s="1"/>
  <c r="BA12" i="92"/>
  <c r="AZ12" i="92" s="1"/>
  <c r="CP33" i="92" l="1"/>
  <c r="CK33" i="92"/>
  <c r="CJ33" i="92" s="1"/>
  <c r="CL33" i="92" s="1"/>
  <c r="CP36" i="92"/>
  <c r="CK36" i="92"/>
  <c r="CJ36" i="92" s="1"/>
  <c r="CL36" i="92" s="1"/>
  <c r="CP17" i="92"/>
  <c r="CK17" i="92"/>
  <c r="CJ17" i="92" s="1"/>
  <c r="CL17" i="92" s="1"/>
  <c r="CP11" i="92"/>
  <c r="CQ11" i="92" s="1"/>
  <c r="CK11" i="92"/>
  <c r="CJ11" i="92" s="1"/>
  <c r="CL11" i="92" s="1"/>
  <c r="CP22" i="92"/>
  <c r="CK22" i="92"/>
  <c r="CJ22" i="92" s="1"/>
  <c r="CL22" i="92" s="1"/>
  <c r="CP27" i="92"/>
  <c r="CK27" i="92"/>
  <c r="CJ27" i="92" s="1"/>
  <c r="CL27" i="92" s="1"/>
  <c r="CP24" i="92"/>
  <c r="CK24" i="92"/>
  <c r="CJ24" i="92" s="1"/>
  <c r="CL24" i="92" s="1"/>
  <c r="CP30" i="92"/>
  <c r="CK30" i="92"/>
  <c r="CJ30" i="92" s="1"/>
  <c r="CL30" i="92" s="1"/>
  <c r="CP21" i="92"/>
  <c r="CK21" i="92"/>
  <c r="CJ21" i="92" s="1"/>
  <c r="CL21" i="92" s="1"/>
  <c r="CP35" i="92"/>
  <c r="CK35" i="92"/>
  <c r="CJ35" i="92" s="1"/>
  <c r="CL35" i="92" s="1"/>
  <c r="CP14" i="92"/>
  <c r="CQ14" i="92" s="1"/>
  <c r="CK14" i="92"/>
  <c r="CJ14" i="92" s="1"/>
  <c r="CL14" i="92" s="1"/>
  <c r="CP18" i="92"/>
  <c r="CK18" i="92"/>
  <c r="CJ18" i="92" s="1"/>
  <c r="CL18" i="92" s="1"/>
  <c r="CP23" i="92"/>
  <c r="CK23" i="92"/>
  <c r="CJ23" i="92" s="1"/>
  <c r="CL23" i="92" s="1"/>
  <c r="CP12" i="92"/>
  <c r="CQ12" i="92" s="1"/>
  <c r="CK12" i="92"/>
  <c r="CJ12" i="92" s="1"/>
  <c r="CL12" i="92" s="1"/>
  <c r="CP10" i="92"/>
  <c r="CQ10" i="92" s="1"/>
  <c r="CK10" i="92"/>
  <c r="CJ10" i="92" s="1"/>
  <c r="CL10" i="92" s="1"/>
  <c r="CP13" i="92"/>
  <c r="CQ13" i="92" s="1"/>
  <c r="CK13" i="92"/>
  <c r="CJ13" i="92" s="1"/>
  <c r="CL13" i="92" s="1"/>
  <c r="CP20" i="92"/>
  <c r="CK20" i="92"/>
  <c r="CJ20" i="92" s="1"/>
  <c r="CL20" i="92" s="1"/>
  <c r="CP19" i="92"/>
  <c r="CK19" i="92"/>
  <c r="CJ19" i="92" s="1"/>
  <c r="CL19" i="92" s="1"/>
  <c r="CP34" i="92"/>
  <c r="CK34" i="92"/>
  <c r="CJ34" i="92" s="1"/>
  <c r="CL34" i="92" s="1"/>
  <c r="CP31" i="92"/>
  <c r="CK31" i="92"/>
  <c r="CJ31" i="92" s="1"/>
  <c r="CL31" i="92" s="1"/>
  <c r="CP16" i="92"/>
  <c r="CQ16" i="92" s="1"/>
  <c r="CK16" i="92"/>
  <c r="CJ16" i="92" s="1"/>
  <c r="CL16" i="92" s="1"/>
  <c r="CP25" i="92"/>
  <c r="CK25" i="92"/>
  <c r="CJ25" i="92" s="1"/>
  <c r="CL25" i="92" s="1"/>
  <c r="CP8" i="92"/>
  <c r="CQ8" i="92" s="1"/>
  <c r="CK8" i="92"/>
  <c r="CJ8" i="92" s="1"/>
  <c r="CL8" i="92" s="1"/>
  <c r="CP9" i="92"/>
  <c r="CQ9" i="92" s="1"/>
  <c r="CK9" i="92"/>
  <c r="CJ9" i="92" s="1"/>
  <c r="CL9" i="92" s="1"/>
  <c r="CP32" i="92"/>
  <c r="CK32" i="92"/>
  <c r="CJ32" i="92" s="1"/>
  <c r="CL32" i="92" s="1"/>
  <c r="CP28" i="92"/>
  <c r="CK28" i="92"/>
  <c r="CJ28" i="92" s="1"/>
  <c r="CL28" i="92" s="1"/>
  <c r="CP26" i="92"/>
  <c r="CK26" i="92"/>
  <c r="CJ26" i="92" s="1"/>
  <c r="CL26" i="92" s="1"/>
  <c r="CP29" i="92"/>
  <c r="CK29" i="92"/>
  <c r="CJ29" i="92" s="1"/>
  <c r="CL29" i="92" s="1"/>
  <c r="CP15" i="92"/>
  <c r="CQ15" i="92" s="1"/>
  <c r="CK15" i="92"/>
  <c r="CJ15" i="92" s="1"/>
  <c r="CL15" i="92" s="1"/>
  <c r="AQ34" i="92" l="1"/>
  <c r="AQ31" i="92"/>
  <c r="AR31" i="92" s="1"/>
  <c r="AQ18" i="92"/>
  <c r="AQ22" i="92"/>
  <c r="AQ25" i="92"/>
  <c r="AQ23" i="92"/>
  <c r="AQ24" i="92"/>
  <c r="AQ29" i="92"/>
  <c r="AQ26" i="92"/>
  <c r="AR26" i="92" s="1"/>
  <c r="AQ27" i="92"/>
  <c r="AR27" i="92" s="1"/>
  <c r="AQ36" i="92"/>
  <c r="AR36" i="92" s="1"/>
  <c r="AQ30" i="92"/>
  <c r="AQ35" i="92"/>
  <c r="AQ21" i="92"/>
  <c r="AQ32" i="92"/>
  <c r="AQ19" i="92"/>
  <c r="AQ20" i="92"/>
  <c r="AQ28" i="92"/>
  <c r="AQ17" i="92"/>
  <c r="AQ33" i="92"/>
  <c r="AR33" i="92" s="1"/>
  <c r="DC31" i="92"/>
  <c r="DC25" i="92"/>
  <c r="DC23" i="92"/>
  <c r="DC24" i="92"/>
  <c r="DC29" i="92"/>
  <c r="DC26" i="92"/>
  <c r="DC27" i="92"/>
  <c r="DC36" i="92"/>
  <c r="DC35" i="92"/>
  <c r="DC19" i="92"/>
  <c r="DC28" i="92"/>
  <c r="DC33" i="92"/>
  <c r="DC12" i="92"/>
  <c r="DC11" i="92"/>
  <c r="DC9" i="92"/>
  <c r="DC8" i="92"/>
  <c r="DC15" i="92"/>
  <c r="DC17" i="92"/>
  <c r="DC18" i="92"/>
  <c r="DC34" i="92"/>
  <c r="DC14" i="92"/>
  <c r="DC30" i="92"/>
  <c r="DC16" i="92"/>
  <c r="DC10" i="92"/>
  <c r="DC21" i="92"/>
  <c r="DC22" i="92"/>
  <c r="DC13" i="92"/>
  <c r="DC32" i="92"/>
  <c r="DC20" i="92"/>
  <c r="AG8" i="92"/>
  <c r="AG10" i="92"/>
  <c r="AG30" i="92"/>
  <c r="CX30" i="92" s="1"/>
  <c r="AG21" i="92"/>
  <c r="CX21" i="92" s="1"/>
  <c r="AG34" i="92"/>
  <c r="CX34" i="92" s="1"/>
  <c r="AG20" i="92"/>
  <c r="CX20" i="92" s="1"/>
  <c r="AG22" i="92"/>
  <c r="CX22" i="92" s="1"/>
  <c r="AG32" i="92"/>
  <c r="CX32" i="92" s="1"/>
  <c r="CM8" i="92" l="1"/>
  <c r="CM15" i="92"/>
  <c r="CM23" i="92"/>
  <c r="M23" i="98" s="1"/>
  <c r="AR23" i="92"/>
  <c r="CM32" i="92"/>
  <c r="M32" i="98" s="1"/>
  <c r="AR32" i="92"/>
  <c r="CM21" i="92"/>
  <c r="M21" i="98" s="1"/>
  <c r="AR21" i="92"/>
  <c r="CM9" i="92"/>
  <c r="CM29" i="92"/>
  <c r="M29" i="98" s="1"/>
  <c r="AR29" i="92"/>
  <c r="CM18" i="92"/>
  <c r="M18" i="98" s="1"/>
  <c r="AR18" i="92"/>
  <c r="CM16" i="92"/>
  <c r="CM22" i="92"/>
  <c r="M22" i="98" s="1"/>
  <c r="AR22" i="92"/>
  <c r="CM19" i="92"/>
  <c r="M19" i="98" s="1"/>
  <c r="AR19" i="92"/>
  <c r="CM24" i="92"/>
  <c r="M24" i="98" s="1"/>
  <c r="AR24" i="92"/>
  <c r="CM30" i="92"/>
  <c r="M30" i="98" s="1"/>
  <c r="AR30" i="92"/>
  <c r="CM28" i="92"/>
  <c r="M28" i="98" s="1"/>
  <c r="AR28" i="92"/>
  <c r="CM14" i="92"/>
  <c r="CM17" i="92"/>
  <c r="M17" i="98" s="1"/>
  <c r="AR17" i="92"/>
  <c r="CM11" i="92"/>
  <c r="CM13" i="92"/>
  <c r="CM20" i="92"/>
  <c r="M20" i="98" s="1"/>
  <c r="AR20" i="92"/>
  <c r="CM34" i="92"/>
  <c r="M34" i="98" s="1"/>
  <c r="AR34" i="92"/>
  <c r="CM25" i="92"/>
  <c r="M25" i="98" s="1"/>
  <c r="AR25" i="92"/>
  <c r="CM35" i="92"/>
  <c r="M35" i="98" s="1"/>
  <c r="AR35" i="92"/>
  <c r="CM10" i="92"/>
  <c r="CX8" i="92"/>
  <c r="CX10" i="92"/>
  <c r="AG15" i="92"/>
  <c r="CX15" i="92" s="1"/>
  <c r="AG18" i="92"/>
  <c r="AG36" i="92"/>
  <c r="CX36" i="92" s="1"/>
  <c r="CM12" i="92"/>
  <c r="CM27" i="92"/>
  <c r="M27" i="98" s="1"/>
  <c r="CM26" i="92"/>
  <c r="M26" i="98" s="1"/>
  <c r="CM36" i="92"/>
  <c r="M36" i="98" s="1"/>
  <c r="CM31" i="92"/>
  <c r="M31" i="98" s="1"/>
  <c r="CM33" i="92"/>
  <c r="M33" i="98" s="1"/>
  <c r="BX18" i="92" l="1"/>
  <c r="BX30" i="92"/>
  <c r="BX32" i="92"/>
  <c r="BX29" i="92"/>
  <c r="BX35" i="92"/>
  <c r="BX34" i="92"/>
  <c r="BX25" i="92"/>
  <c r="BX28" i="92"/>
  <c r="BX17" i="92"/>
  <c r="AK18" i="92"/>
  <c r="CX18" i="92"/>
  <c r="CU15" i="92"/>
  <c r="CU36" i="92"/>
  <c r="CV36" i="92"/>
  <c r="AG31" i="92"/>
  <c r="CX31" i="92" s="1"/>
  <c r="AG29" i="92"/>
  <c r="CX29" i="92" s="1"/>
  <c r="AG12" i="92"/>
  <c r="AG25" i="92"/>
  <c r="CX25" i="92" s="1"/>
  <c r="AG35" i="92"/>
  <c r="CX35" i="92" s="1"/>
  <c r="AG33" i="92"/>
  <c r="CX33" i="92" s="1"/>
  <c r="AG14" i="92"/>
  <c r="CX14" i="92" s="1"/>
  <c r="AG23" i="92"/>
  <c r="CX23" i="92" s="1"/>
  <c r="AG19" i="92"/>
  <c r="CX19" i="92" s="1"/>
  <c r="AG9" i="92"/>
  <c r="AG11" i="92"/>
  <c r="CV15" i="92"/>
  <c r="AG13" i="92"/>
  <c r="CX13" i="92" s="1"/>
  <c r="AG26" i="92"/>
  <c r="CX26" i="92" s="1"/>
  <c r="AG27" i="92"/>
  <c r="CX27" i="92" s="1"/>
  <c r="AG16" i="92"/>
  <c r="CX16" i="92" s="1"/>
  <c r="AG24" i="92"/>
  <c r="CX24" i="92" s="1"/>
  <c r="AG17" i="92"/>
  <c r="AG28" i="92"/>
  <c r="CX28" i="92" s="1"/>
  <c r="CV18" i="92"/>
  <c r="CU18" i="92"/>
  <c r="BX31" i="92"/>
  <c r="BX36" i="92"/>
  <c r="BX26" i="92"/>
  <c r="BX27" i="92"/>
  <c r="BX33" i="92"/>
  <c r="O29" i="98"/>
  <c r="O25" i="98"/>
  <c r="CV21" i="92"/>
  <c r="CV34" i="92"/>
  <c r="CV32" i="92"/>
  <c r="CV20" i="92"/>
  <c r="CV30" i="92"/>
  <c r="CV22" i="92"/>
  <c r="CV10" i="92"/>
  <c r="CY10" i="92" s="1"/>
  <c r="CV8" i="92"/>
  <c r="CY8" i="92" s="1"/>
  <c r="CU34" i="92"/>
  <c r="CU32" i="92"/>
  <c r="CU20" i="92"/>
  <c r="CU30" i="92"/>
  <c r="CU10" i="92"/>
  <c r="CU22" i="92"/>
  <c r="CU21" i="92"/>
  <c r="CU8" i="92"/>
  <c r="AL30" i="92"/>
  <c r="X30" i="92" s="1"/>
  <c r="AS30" i="92" s="1"/>
  <c r="CA30" i="92" s="1"/>
  <c r="AB18" i="94" s="1"/>
  <c r="AL34" i="92"/>
  <c r="X34" i="92" s="1"/>
  <c r="AS34" i="92" s="1"/>
  <c r="AF15" i="94" s="1"/>
  <c r="AL32" i="92"/>
  <c r="X32" i="92" s="1"/>
  <c r="AS32" i="92" s="1"/>
  <c r="AD15" i="94" s="1"/>
  <c r="E26" i="92"/>
  <c r="E20" i="92"/>
  <c r="E21" i="92"/>
  <c r="E27" i="92"/>
  <c r="E25" i="92"/>
  <c r="E30" i="92"/>
  <c r="E29" i="92"/>
  <c r="E24" i="92"/>
  <c r="E23" i="92"/>
  <c r="E28" i="92"/>
  <c r="E22" i="92"/>
  <c r="F22" i="92"/>
  <c r="BL7" i="92"/>
  <c r="F23" i="92"/>
  <c r="F21" i="92"/>
  <c r="BI7" i="92"/>
  <c r="F19" i="92"/>
  <c r="F27" i="92"/>
  <c r="F28" i="92"/>
  <c r="E19" i="92"/>
  <c r="F24" i="92"/>
  <c r="F25" i="92"/>
  <c r="F26" i="92"/>
  <c r="F29" i="92"/>
  <c r="F20" i="92"/>
  <c r="BH7" i="92"/>
  <c r="F30" i="92"/>
  <c r="CX11" i="92" l="1"/>
  <c r="CX9" i="92"/>
  <c r="CX12" i="92"/>
  <c r="AK17" i="92"/>
  <c r="CX17" i="92"/>
  <c r="CW8" i="92"/>
  <c r="AK8" i="92" s="1"/>
  <c r="CW18" i="92"/>
  <c r="CW15" i="92"/>
  <c r="AK15" i="92" s="1"/>
  <c r="CW10" i="92"/>
  <c r="AK10" i="92" s="1"/>
  <c r="DF10" i="92" s="1"/>
  <c r="AL36" i="92"/>
  <c r="X36" i="92" s="1"/>
  <c r="CU12" i="92"/>
  <c r="CV9" i="92"/>
  <c r="CU29" i="92"/>
  <c r="CV24" i="92"/>
  <c r="CV19" i="92"/>
  <c r="CV23" i="92"/>
  <c r="CU26" i="92"/>
  <c r="CU33" i="92"/>
  <c r="CV26" i="92"/>
  <c r="CU25" i="92"/>
  <c r="CV29" i="92"/>
  <c r="CU24" i="92"/>
  <c r="CV13" i="92"/>
  <c r="CY13" i="92" s="1"/>
  <c r="CU13" i="92"/>
  <c r="CV33" i="92"/>
  <c r="CU11" i="92"/>
  <c r="CV25" i="92"/>
  <c r="CV11" i="92"/>
  <c r="CU19" i="92"/>
  <c r="CU23" i="92"/>
  <c r="CV12" i="92"/>
  <c r="CY12" i="92" s="1"/>
  <c r="CV27" i="92"/>
  <c r="CU27" i="92"/>
  <c r="CV17" i="92"/>
  <c r="CU17" i="92"/>
  <c r="CU9" i="92"/>
  <c r="CU35" i="92"/>
  <c r="CV35" i="92"/>
  <c r="CV31" i="92"/>
  <c r="CU31" i="92"/>
  <c r="CU28" i="92"/>
  <c r="CV28" i="92"/>
  <c r="CV16" i="92"/>
  <c r="CU16" i="92"/>
  <c r="CU14" i="92"/>
  <c r="CV14" i="92"/>
  <c r="CY14" i="92" s="1"/>
  <c r="AB15" i="94"/>
  <c r="CA32" i="92"/>
  <c r="AD18" i="94" s="1"/>
  <c r="CA34" i="92"/>
  <c r="AF18" i="94" s="1"/>
  <c r="BU32" i="92"/>
  <c r="AA32" i="92"/>
  <c r="N32" i="98" s="1"/>
  <c r="AC34" i="92"/>
  <c r="AA34" i="92"/>
  <c r="N34" i="98" s="1"/>
  <c r="AC30" i="92"/>
  <c r="AA30" i="92"/>
  <c r="N30" i="98" s="1"/>
  <c r="BU34" i="92"/>
  <c r="AC32" i="92"/>
  <c r="BU30" i="92"/>
  <c r="C30" i="92"/>
  <c r="G30" i="92" s="1"/>
  <c r="BA7" i="92"/>
  <c r="C26" i="92"/>
  <c r="G26" i="92" s="1"/>
  <c r="C21" i="92"/>
  <c r="G21" i="92" s="1"/>
  <c r="C29" i="92"/>
  <c r="G29" i="92" s="1"/>
  <c r="C25" i="92"/>
  <c r="G25" i="92" s="1"/>
  <c r="C24" i="92"/>
  <c r="G24" i="92" s="1"/>
  <c r="C20" i="92"/>
  <c r="G20" i="92" s="1"/>
  <c r="C28" i="92"/>
  <c r="G28" i="92" s="1"/>
  <c r="C27" i="92"/>
  <c r="G27" i="92" s="1"/>
  <c r="C23" i="92"/>
  <c r="G23" i="92" s="1"/>
  <c r="C22" i="92"/>
  <c r="G22" i="92" s="1"/>
  <c r="E32" i="92"/>
  <c r="F32" i="92"/>
  <c r="C19" i="92"/>
  <c r="CY11" i="92" l="1"/>
  <c r="AZ7" i="92"/>
  <c r="CK7" i="92" s="1"/>
  <c r="CJ7" i="92" s="1"/>
  <c r="CY9" i="92"/>
  <c r="AJ8" i="92"/>
  <c r="AQ8" i="92" s="1"/>
  <c r="DF8" i="92"/>
  <c r="AJ15" i="92"/>
  <c r="AQ15" i="92" s="1"/>
  <c r="AJ10" i="92"/>
  <c r="AQ10" i="92" s="1"/>
  <c r="BU36" i="92"/>
  <c r="CD36" i="92" s="1"/>
  <c r="AH19" i="94" s="1"/>
  <c r="AS36" i="92"/>
  <c r="AA36" i="92"/>
  <c r="AL18" i="92"/>
  <c r="X18" i="92" s="1"/>
  <c r="BU18" i="92" s="1"/>
  <c r="CD18" i="92" s="1"/>
  <c r="P19" i="94" s="1"/>
  <c r="CW17" i="92"/>
  <c r="CW13" i="92"/>
  <c r="AK13" i="92" s="1"/>
  <c r="DF13" i="92" s="1"/>
  <c r="CW12" i="92"/>
  <c r="AK12" i="92" s="1"/>
  <c r="CW16" i="92"/>
  <c r="AK16" i="92" s="1"/>
  <c r="CW14" i="92"/>
  <c r="AK14" i="92" s="1"/>
  <c r="DF14" i="92" s="1"/>
  <c r="CW9" i="92"/>
  <c r="AK9" i="92" s="1"/>
  <c r="CW11" i="92"/>
  <c r="AK11" i="92" s="1"/>
  <c r="AC36" i="92"/>
  <c r="O36" i="92" s="1"/>
  <c r="BX19" i="92"/>
  <c r="AL28" i="92"/>
  <c r="X28" i="92" s="1"/>
  <c r="AL25" i="92"/>
  <c r="X25" i="92" s="1"/>
  <c r="AL27" i="92"/>
  <c r="X27" i="92" s="1"/>
  <c r="AS27" i="92" s="1"/>
  <c r="AL33" i="92"/>
  <c r="X33" i="92" s="1"/>
  <c r="BU33" i="92" s="1"/>
  <c r="CD33" i="92" s="1"/>
  <c r="AE19" i="94" s="1"/>
  <c r="AL26" i="92"/>
  <c r="X26" i="92" s="1"/>
  <c r="AC26" i="92" s="1"/>
  <c r="O26" i="92" s="1"/>
  <c r="AL24" i="92"/>
  <c r="X24" i="92" s="1"/>
  <c r="AL31" i="92"/>
  <c r="X31" i="92" s="1"/>
  <c r="AC31" i="92" s="1"/>
  <c r="O31" i="92" s="1"/>
  <c r="AL23" i="92"/>
  <c r="X23" i="92" s="1"/>
  <c r="AL19" i="92"/>
  <c r="X19" i="92" s="1"/>
  <c r="AC19" i="92" s="1"/>
  <c r="AL35" i="92"/>
  <c r="X35" i="92" s="1"/>
  <c r="AA35" i="92" s="1"/>
  <c r="AB35" i="92" s="1"/>
  <c r="CB35" i="92" s="1"/>
  <c r="AL29" i="92"/>
  <c r="X29" i="92" s="1"/>
  <c r="AC29" i="92" s="1"/>
  <c r="O29" i="92" s="1"/>
  <c r="N25" i="98"/>
  <c r="N28" i="98"/>
  <c r="O35" i="98"/>
  <c r="O36" i="98"/>
  <c r="O27" i="98"/>
  <c r="O32" i="92"/>
  <c r="O34" i="92"/>
  <c r="O30" i="92"/>
  <c r="CD34" i="92"/>
  <c r="AF19" i="94" s="1"/>
  <c r="CD32" i="92"/>
  <c r="AD19" i="94" s="1"/>
  <c r="CD30" i="92"/>
  <c r="AB19" i="94" s="1"/>
  <c r="AB34" i="92"/>
  <c r="AT34" i="92"/>
  <c r="AB30" i="92"/>
  <c r="AT30" i="92"/>
  <c r="AB32" i="92"/>
  <c r="AT32" i="92"/>
  <c r="BY30" i="92"/>
  <c r="BZ30" i="92" s="1"/>
  <c r="BY34" i="92"/>
  <c r="BZ34" i="92" s="1"/>
  <c r="BY32" i="92"/>
  <c r="BZ32" i="92" s="1"/>
  <c r="C32" i="92"/>
  <c r="G19" i="92"/>
  <c r="CP7" i="92" l="1"/>
  <c r="CQ7" i="92" s="1"/>
  <c r="CL7" i="92"/>
  <c r="O21" i="121"/>
  <c r="AD21" i="121" s="1"/>
  <c r="AN10" i="92"/>
  <c r="AR10" i="92"/>
  <c r="AN15" i="92"/>
  <c r="AR15" i="92"/>
  <c r="BX15" i="92" s="1"/>
  <c r="AN8" i="92"/>
  <c r="AR8" i="92"/>
  <c r="K16" i="114"/>
  <c r="Y16" i="114" s="1"/>
  <c r="AU15" i="108"/>
  <c r="AJ12" i="92"/>
  <c r="AQ12" i="92" s="1"/>
  <c r="DF12" i="92"/>
  <c r="AJ11" i="92"/>
  <c r="AQ11" i="92" s="1"/>
  <c r="DF11" i="92"/>
  <c r="AJ9" i="92"/>
  <c r="AQ9" i="92" s="1"/>
  <c r="DF9" i="92"/>
  <c r="AJ14" i="92"/>
  <c r="AQ14" i="92" s="1"/>
  <c r="AJ16" i="92"/>
  <c r="AQ16" i="92" s="1"/>
  <c r="AJ13" i="92"/>
  <c r="AQ13" i="92" s="1"/>
  <c r="AA33" i="92"/>
  <c r="BY33" i="92" s="1"/>
  <c r="BZ33" i="92" s="1"/>
  <c r="AB15" i="108"/>
  <c r="AD15" i="108"/>
  <c r="CI15" i="108" s="1"/>
  <c r="O20" i="121"/>
  <c r="AA19" i="92"/>
  <c r="N19" i="98" s="1"/>
  <c r="AS35" i="92"/>
  <c r="AG15" i="94" s="1"/>
  <c r="AA31" i="92"/>
  <c r="AT31" i="92" s="1"/>
  <c r="AC24" i="92"/>
  <c r="O24" i="92" s="1"/>
  <c r="AA24" i="92"/>
  <c r="BU25" i="92"/>
  <c r="CD25" i="92" s="1"/>
  <c r="W19" i="94" s="1"/>
  <c r="AA25" i="92"/>
  <c r="AS25" i="92"/>
  <c r="BU28" i="92"/>
  <c r="CD28" i="92" s="1"/>
  <c r="Z19" i="94" s="1"/>
  <c r="AS28" i="92"/>
  <c r="AA28" i="92"/>
  <c r="AS33" i="92"/>
  <c r="AE15" i="94" s="1"/>
  <c r="AS23" i="92"/>
  <c r="BX23" i="92"/>
  <c r="AC18" i="92"/>
  <c r="AS18" i="92"/>
  <c r="AA18" i="92"/>
  <c r="BX24" i="92"/>
  <c r="AS24" i="92"/>
  <c r="N36" i="98"/>
  <c r="BY36" i="92"/>
  <c r="BZ36" i="92" s="1"/>
  <c r="AB36" i="92"/>
  <c r="AT36" i="92"/>
  <c r="AU36" i="92" s="1"/>
  <c r="P36" i="98" s="1"/>
  <c r="AS19" i="92"/>
  <c r="Q15" i="94" s="1"/>
  <c r="AS31" i="92"/>
  <c r="CA31" i="92" s="1"/>
  <c r="AC18" i="94" s="1"/>
  <c r="AS26" i="92"/>
  <c r="X15" i="94" s="1"/>
  <c r="AS29" i="92"/>
  <c r="CA29" i="92" s="1"/>
  <c r="AA18" i="94" s="1"/>
  <c r="BU23" i="92"/>
  <c r="AA23" i="92"/>
  <c r="AC27" i="92"/>
  <c r="O27" i="92" s="1"/>
  <c r="AA27" i="92"/>
  <c r="CA36" i="92"/>
  <c r="AH18" i="94" s="1"/>
  <c r="AH15" i="94"/>
  <c r="AA26" i="92"/>
  <c r="AT26" i="92" s="1"/>
  <c r="AA29" i="92"/>
  <c r="AT29" i="92" s="1"/>
  <c r="AU29" i="92" s="1"/>
  <c r="M15" i="98"/>
  <c r="AL15" i="92"/>
  <c r="X15" i="92" s="1"/>
  <c r="AC15" i="92" s="1"/>
  <c r="AC28" i="92"/>
  <c r="O28" i="92" s="1"/>
  <c r="AC25" i="92"/>
  <c r="O25" i="92" s="1"/>
  <c r="BU26" i="92"/>
  <c r="CD26" i="92" s="1"/>
  <c r="X19" i="94" s="1"/>
  <c r="BU27" i="92"/>
  <c r="CD27" i="92" s="1"/>
  <c r="Y19" i="94" s="1"/>
  <c r="AC35" i="92"/>
  <c r="O35" i="92" s="1"/>
  <c r="BU19" i="92"/>
  <c r="CD19" i="92" s="1"/>
  <c r="Q19" i="94" s="1"/>
  <c r="BU29" i="92"/>
  <c r="CD29" i="92" s="1"/>
  <c r="AA19" i="94" s="1"/>
  <c r="AC33" i="92"/>
  <c r="O33" i="92" s="1"/>
  <c r="BU35" i="92"/>
  <c r="CD35" i="92" s="1"/>
  <c r="AG19" i="94" s="1"/>
  <c r="Y15" i="94"/>
  <c r="CA27" i="92"/>
  <c r="Y18" i="94" s="1"/>
  <c r="AG14" i="94"/>
  <c r="BU24" i="92"/>
  <c r="BU31" i="92"/>
  <c r="CD31" i="92" s="1"/>
  <c r="AC19" i="94" s="1"/>
  <c r="AC23" i="92"/>
  <c r="O23" i="92" s="1"/>
  <c r="AL22" i="92"/>
  <c r="X22" i="92" s="1"/>
  <c r="AC22" i="92" s="1"/>
  <c r="AL20" i="92"/>
  <c r="X20" i="92" s="1"/>
  <c r="AC20" i="92" s="1"/>
  <c r="N35" i="98"/>
  <c r="BY35" i="92"/>
  <c r="BZ35" i="92" s="1"/>
  <c r="AT35" i="92"/>
  <c r="AU35" i="92" s="1"/>
  <c r="P35" i="98" s="1"/>
  <c r="AL21" i="92"/>
  <c r="X21" i="92" s="1"/>
  <c r="AC21" i="92" s="1"/>
  <c r="N31" i="98"/>
  <c r="N26" i="98"/>
  <c r="N29" i="98"/>
  <c r="O28" i="98"/>
  <c r="N33" i="98"/>
  <c r="AU32" i="92"/>
  <c r="P32" i="98" s="1"/>
  <c r="O32" i="98"/>
  <c r="AU30" i="92"/>
  <c r="P30" i="98" s="1"/>
  <c r="O30" i="98"/>
  <c r="P31" i="98"/>
  <c r="AU34" i="92"/>
  <c r="P34" i="98" s="1"/>
  <c r="O34" i="98"/>
  <c r="O24" i="98"/>
  <c r="BX21" i="92"/>
  <c r="O23" i="98"/>
  <c r="BX22" i="92"/>
  <c r="BX20" i="92"/>
  <c r="O19" i="92"/>
  <c r="AD14" i="94"/>
  <c r="CB32" i="92"/>
  <c r="CB34" i="92"/>
  <c r="AF14" i="94"/>
  <c r="AG17" i="94"/>
  <c r="AB14" i="94"/>
  <c r="CB30" i="92"/>
  <c r="AL10" i="92"/>
  <c r="X10" i="92" s="1"/>
  <c r="AA10" i="92" s="1"/>
  <c r="AL8" i="92"/>
  <c r="CC15" i="108" l="1"/>
  <c r="AI15" i="131"/>
  <c r="AI15" i="107" s="1"/>
  <c r="AM15" i="107" s="1"/>
  <c r="AC15" i="108"/>
  <c r="CD15" i="108" s="1"/>
  <c r="M21" i="121"/>
  <c r="AI15" i="128"/>
  <c r="O18" i="121"/>
  <c r="AD18" i="121" s="1"/>
  <c r="AD20" i="121"/>
  <c r="L16" i="114"/>
  <c r="Q21" i="121"/>
  <c r="DC7" i="92"/>
  <c r="AN13" i="92"/>
  <c r="AR13" i="92"/>
  <c r="AN11" i="92"/>
  <c r="AR11" i="92"/>
  <c r="AN16" i="92"/>
  <c r="AR16" i="92"/>
  <c r="AN14" i="92"/>
  <c r="AR14" i="92"/>
  <c r="AN12" i="92"/>
  <c r="AR12" i="92"/>
  <c r="AN9" i="92"/>
  <c r="AR9" i="92"/>
  <c r="K13" i="114"/>
  <c r="K15" i="114"/>
  <c r="Y15" i="114" s="1"/>
  <c r="AU12" i="108"/>
  <c r="CC12" i="108" s="1"/>
  <c r="AU14" i="108"/>
  <c r="CC14" i="108" s="1"/>
  <c r="AT33" i="92"/>
  <c r="AU33" i="92" s="1"/>
  <c r="P33" i="98" s="1"/>
  <c r="AB33" i="92"/>
  <c r="AE14" i="94" s="1"/>
  <c r="AB19" i="92"/>
  <c r="Q14" i="94" s="1"/>
  <c r="BY19" i="92"/>
  <c r="BZ19" i="92" s="1"/>
  <c r="AB12" i="108"/>
  <c r="AD12" i="108"/>
  <c r="AB13" i="108"/>
  <c r="AB14" i="108"/>
  <c r="AD14" i="108"/>
  <c r="CI14" i="108" s="1"/>
  <c r="M20" i="121" s="1"/>
  <c r="P15" i="108"/>
  <c r="AV15" i="108"/>
  <c r="CA15" i="108"/>
  <c r="CB15" i="108" s="1"/>
  <c r="CA35" i="92"/>
  <c r="AG18" i="94" s="1"/>
  <c r="CA26" i="92"/>
  <c r="X18" i="94" s="1"/>
  <c r="AB31" i="92"/>
  <c r="AC14" i="94" s="1"/>
  <c r="AC15" i="94"/>
  <c r="X8" i="92"/>
  <c r="AA8" i="92" s="1"/>
  <c r="AB26" i="92"/>
  <c r="X14" i="94" s="1"/>
  <c r="AT19" i="92"/>
  <c r="AU19" i="92" s="1"/>
  <c r="AS22" i="92"/>
  <c r="T15" i="94" s="1"/>
  <c r="AA15" i="94"/>
  <c r="CA33" i="92"/>
  <c r="AE18" i="94" s="1"/>
  <c r="BY31" i="92"/>
  <c r="BZ31" i="92" s="1"/>
  <c r="CD23" i="92"/>
  <c r="U19" i="94" s="1"/>
  <c r="CA19" i="92"/>
  <c r="Q18" i="94" s="1"/>
  <c r="AA21" i="92"/>
  <c r="N21" i="98" s="1"/>
  <c r="CD24" i="92"/>
  <c r="V19" i="94" s="1"/>
  <c r="AS21" i="92"/>
  <c r="S15" i="94" s="1"/>
  <c r="AA22" i="92"/>
  <c r="N22" i="98" s="1"/>
  <c r="V15" i="94"/>
  <c r="CA24" i="92"/>
  <c r="V18" i="94" s="1"/>
  <c r="BY28" i="92"/>
  <c r="BZ28" i="92" s="1"/>
  <c r="AB28" i="92"/>
  <c r="AT28" i="92"/>
  <c r="AU28" i="92" s="1"/>
  <c r="Z15" i="94"/>
  <c r="CA28" i="92"/>
  <c r="Z18" i="94" s="1"/>
  <c r="BY26" i="92"/>
  <c r="BZ26" i="92" s="1"/>
  <c r="AT18" i="92"/>
  <c r="N18" i="98"/>
  <c r="AB18" i="92"/>
  <c r="BY18" i="92"/>
  <c r="BZ18" i="92" s="1"/>
  <c r="CA18" i="92"/>
  <c r="P15" i="94"/>
  <c r="W15" i="94"/>
  <c r="CA25" i="92"/>
  <c r="W18" i="94" s="1"/>
  <c r="BU15" i="92"/>
  <c r="CD15" i="92" s="1"/>
  <c r="M19" i="94" s="1"/>
  <c r="AA15" i="92"/>
  <c r="N27" i="98"/>
  <c r="BY27" i="92"/>
  <c r="BZ27" i="92" s="1"/>
  <c r="AB27" i="92"/>
  <c r="AT27" i="92"/>
  <c r="AU27" i="92" s="1"/>
  <c r="P27" i="98" s="1"/>
  <c r="O18" i="92"/>
  <c r="AB25" i="92"/>
  <c r="AT25" i="92"/>
  <c r="AU25" i="92" s="1"/>
  <c r="P25" i="98" s="1"/>
  <c r="BY25" i="92"/>
  <c r="BZ25" i="92" s="1"/>
  <c r="AA20" i="92"/>
  <c r="N20" i="98" s="1"/>
  <c r="AS20" i="92"/>
  <c r="CA20" i="92" s="1"/>
  <c r="R18" i="94" s="1"/>
  <c r="BY29" i="92"/>
  <c r="BZ29" i="92" s="1"/>
  <c r="AS15" i="92"/>
  <c r="AH14" i="94"/>
  <c r="CB36" i="92"/>
  <c r="AB29" i="92"/>
  <c r="AA14" i="94" s="1"/>
  <c r="N23" i="98"/>
  <c r="BY23" i="92"/>
  <c r="BZ23" i="92" s="1"/>
  <c r="AB23" i="92"/>
  <c r="AT23" i="92"/>
  <c r="AU23" i="92" s="1"/>
  <c r="P23" i="98" s="1"/>
  <c r="CA23" i="92"/>
  <c r="U18" i="94" s="1"/>
  <c r="U15" i="94"/>
  <c r="N24" i="98"/>
  <c r="AB24" i="92"/>
  <c r="AT24" i="92"/>
  <c r="AU24" i="92" s="1"/>
  <c r="P24" i="98" s="1"/>
  <c r="BY24" i="92"/>
  <c r="BZ24" i="92" s="1"/>
  <c r="BU22" i="92"/>
  <c r="CD22" i="92" s="1"/>
  <c r="T19" i="94" s="1"/>
  <c r="M12" i="98"/>
  <c r="AL12" i="92"/>
  <c r="X12" i="92" s="1"/>
  <c r="O15" i="92"/>
  <c r="AL9" i="92"/>
  <c r="X9" i="92" s="1"/>
  <c r="BU9" i="92" s="1"/>
  <c r="BU20" i="92"/>
  <c r="CD20" i="92" s="1"/>
  <c r="R19" i="94" s="1"/>
  <c r="AL16" i="92"/>
  <c r="X16" i="92" s="1"/>
  <c r="AA16" i="92" s="1"/>
  <c r="BU21" i="92"/>
  <c r="CD21" i="92" s="1"/>
  <c r="S19" i="94" s="1"/>
  <c r="AL11" i="92"/>
  <c r="X11" i="92" s="1"/>
  <c r="AL14" i="92"/>
  <c r="X14" i="92" s="1"/>
  <c r="AL13" i="92"/>
  <c r="X13" i="92" s="1"/>
  <c r="O26" i="98"/>
  <c r="AU26" i="92"/>
  <c r="P29" i="98"/>
  <c r="O31" i="98"/>
  <c r="AU31" i="92"/>
  <c r="P28" i="98"/>
  <c r="O33" i="98"/>
  <c r="AG7" i="92"/>
  <c r="BX10" i="92"/>
  <c r="M10" i="98"/>
  <c r="O19" i="98"/>
  <c r="O21" i="92"/>
  <c r="O22" i="92"/>
  <c r="O20" i="92"/>
  <c r="AB10" i="92"/>
  <c r="AT10" i="92"/>
  <c r="AU10" i="92" s="1"/>
  <c r="AS10" i="92"/>
  <c r="AD17" i="94"/>
  <c r="CC32" i="92"/>
  <c r="AD20" i="94" s="1"/>
  <c r="AF17" i="94"/>
  <c r="CC34" i="92"/>
  <c r="AF20" i="94" s="1"/>
  <c r="BY10" i="92"/>
  <c r="N10" i="98"/>
  <c r="AB17" i="94"/>
  <c r="CC30" i="92"/>
  <c r="AB20" i="94" s="1"/>
  <c r="CM7" i="92"/>
  <c r="M8" i="98"/>
  <c r="BU10" i="92"/>
  <c r="AC10" i="92"/>
  <c r="CG10" i="92" s="1"/>
  <c r="CI12" i="108" l="1"/>
  <c r="M18" i="121" s="1"/>
  <c r="AM15" i="131"/>
  <c r="AW15" i="108"/>
  <c r="AC12" i="108"/>
  <c r="CD12" i="108" s="1"/>
  <c r="CE12" i="108" s="1"/>
  <c r="AI12" i="131"/>
  <c r="AI14" i="131"/>
  <c r="AC14" i="108"/>
  <c r="CD14" i="108" s="1"/>
  <c r="CE14" i="108" s="1"/>
  <c r="CE15" i="108"/>
  <c r="AM15" i="128"/>
  <c r="AI13" i="128"/>
  <c r="AI14" i="128"/>
  <c r="AI12" i="128"/>
  <c r="L15" i="114"/>
  <c r="Q20" i="121"/>
  <c r="L13" i="114"/>
  <c r="Q18" i="121"/>
  <c r="CX7" i="92"/>
  <c r="CB33" i="92"/>
  <c r="CC33" i="92" s="1"/>
  <c r="AE20" i="94" s="1"/>
  <c r="Y13" i="114"/>
  <c r="CC35" i="92"/>
  <c r="AG20" i="94" s="1"/>
  <c r="AG4" i="94" s="1"/>
  <c r="CB19" i="92"/>
  <c r="CC19" i="92" s="1"/>
  <c r="Q20" i="94" s="1"/>
  <c r="CB26" i="92"/>
  <c r="X17" i="94" s="1"/>
  <c r="AT21" i="92"/>
  <c r="AU21" i="92" s="1"/>
  <c r="P21" i="98" s="1"/>
  <c r="AB11" i="108"/>
  <c r="CB31" i="92"/>
  <c r="AC17" i="94" s="1"/>
  <c r="BU8" i="92"/>
  <c r="P12" i="108"/>
  <c r="BY20" i="92"/>
  <c r="BZ20" i="92" s="1"/>
  <c r="AV12" i="108"/>
  <c r="CA12" i="108"/>
  <c r="CB12" i="108" s="1"/>
  <c r="P14" i="108"/>
  <c r="CA14" i="108"/>
  <c r="CB14" i="108" s="1"/>
  <c r="AV14" i="108"/>
  <c r="AT20" i="92"/>
  <c r="AU20" i="92" s="1"/>
  <c r="P20" i="98" s="1"/>
  <c r="CA21" i="92"/>
  <c r="S18" i="94" s="1"/>
  <c r="R15" i="94"/>
  <c r="AC8" i="92"/>
  <c r="CG8" i="92" s="1"/>
  <c r="BY8" i="92"/>
  <c r="N8" i="98"/>
  <c r="AB8" i="92"/>
  <c r="F14" i="94" s="1"/>
  <c r="CA22" i="92"/>
  <c r="T18" i="94" s="1"/>
  <c r="AT22" i="92"/>
  <c r="AU22" i="92" s="1"/>
  <c r="AB21" i="92"/>
  <c r="S14" i="94" s="1"/>
  <c r="BY22" i="92"/>
  <c r="BZ22" i="92" s="1"/>
  <c r="BY21" i="92"/>
  <c r="BZ21" i="92" s="1"/>
  <c r="AB22" i="92"/>
  <c r="T14" i="94" s="1"/>
  <c r="AS14" i="92"/>
  <c r="L15" i="94" s="1"/>
  <c r="BX12" i="92"/>
  <c r="AS12" i="92"/>
  <c r="CA12" i="92" s="1"/>
  <c r="J18" i="94" s="1"/>
  <c r="CB29" i="92"/>
  <c r="AA17" i="94" s="1"/>
  <c r="AA9" i="92"/>
  <c r="BY9" i="92" s="1"/>
  <c r="AB20" i="92"/>
  <c r="CB20" i="92" s="1"/>
  <c r="CA15" i="92"/>
  <c r="M15" i="94"/>
  <c r="N16" i="98"/>
  <c r="AB16" i="92"/>
  <c r="BY16" i="92"/>
  <c r="AT16" i="92"/>
  <c r="BX16" i="92"/>
  <c r="M16" i="98"/>
  <c r="AS16" i="92"/>
  <c r="M14" i="98"/>
  <c r="BX14" i="92"/>
  <c r="U14" i="94"/>
  <c r="CB23" i="92"/>
  <c r="Y14" i="94"/>
  <c r="CB27" i="92"/>
  <c r="P18" i="94"/>
  <c r="M13" i="98"/>
  <c r="BX13" i="92"/>
  <c r="AS13" i="92"/>
  <c r="CB28" i="92"/>
  <c r="Z14" i="94"/>
  <c r="AC13" i="92"/>
  <c r="AA13" i="92"/>
  <c r="CB18" i="92"/>
  <c r="P17" i="94" s="1"/>
  <c r="P14" i="94"/>
  <c r="AC14" i="92"/>
  <c r="AA14" i="92"/>
  <c r="BX11" i="92"/>
  <c r="M11" i="98"/>
  <c r="AS11" i="92"/>
  <c r="V14" i="94"/>
  <c r="CB24" i="92"/>
  <c r="N15" i="98"/>
  <c r="AB15" i="92"/>
  <c r="BY15" i="92"/>
  <c r="BZ15" i="92" s="1"/>
  <c r="AT15" i="92"/>
  <c r="M9" i="98"/>
  <c r="BX9" i="92"/>
  <c r="CD9" i="92" s="1"/>
  <c r="G19" i="94" s="1"/>
  <c r="AS9" i="92"/>
  <c r="AH17" i="94"/>
  <c r="AH4" i="94" s="1"/>
  <c r="CC36" i="92"/>
  <c r="AH20" i="94" s="1"/>
  <c r="CB25" i="92"/>
  <c r="W14" i="94"/>
  <c r="AU18" i="92"/>
  <c r="O18" i="98"/>
  <c r="AC9" i="92"/>
  <c r="CG9" i="92" s="1"/>
  <c r="AA12" i="92"/>
  <c r="AT12" i="92" s="1"/>
  <c r="BU12" i="92"/>
  <c r="AC12" i="92"/>
  <c r="CG12" i="92" s="1"/>
  <c r="BU16" i="92"/>
  <c r="AC16" i="92"/>
  <c r="BU13" i="92"/>
  <c r="BU14" i="92"/>
  <c r="AA11" i="92"/>
  <c r="BU11" i="92"/>
  <c r="AC11" i="92"/>
  <c r="CG11" i="92" s="1"/>
  <c r="P26" i="98"/>
  <c r="BZ10" i="92"/>
  <c r="AF4" i="94"/>
  <c r="AD4" i="94"/>
  <c r="AB4" i="94"/>
  <c r="O20" i="98"/>
  <c r="O22" i="98"/>
  <c r="O21" i="98"/>
  <c r="Q16" i="94"/>
  <c r="P19" i="98"/>
  <c r="CD10" i="92"/>
  <c r="H19" i="94" s="1"/>
  <c r="AT8" i="92"/>
  <c r="AU8" i="92" s="1"/>
  <c r="BX8" i="92"/>
  <c r="AS8" i="92"/>
  <c r="H15" i="94"/>
  <c r="CA10" i="92"/>
  <c r="H18" i="94" s="1"/>
  <c r="CB10" i="92"/>
  <c r="H14" i="94"/>
  <c r="O10" i="98"/>
  <c r="CM1" i="92"/>
  <c r="O10" i="92"/>
  <c r="CU7" i="92"/>
  <c r="CV7" i="92"/>
  <c r="AQ15" i="131" l="1"/>
  <c r="AQ15" i="107" s="1"/>
  <c r="AM14" i="131"/>
  <c r="AW14" i="108"/>
  <c r="AM12" i="131"/>
  <c r="AW12" i="108"/>
  <c r="AI11" i="128"/>
  <c r="AQ15" i="128"/>
  <c r="AM14" i="128"/>
  <c r="AM12" i="128"/>
  <c r="O14" i="92"/>
  <c r="CG14" i="92"/>
  <c r="CY7" i="92"/>
  <c r="O13" i="92"/>
  <c r="CG13" i="92"/>
  <c r="AE17" i="94"/>
  <c r="AE4" i="94" s="1"/>
  <c r="O9" i="92"/>
  <c r="CC26" i="92"/>
  <c r="X20" i="94" s="1"/>
  <c r="X4" i="94" s="1"/>
  <c r="Q17" i="94"/>
  <c r="Q8" i="94" s="1" a="1"/>
  <c r="Q8" i="94" s="1"/>
  <c r="CC31" i="92"/>
  <c r="AC20" i="94" s="1"/>
  <c r="AC4" i="94" s="1"/>
  <c r="P18" i="98"/>
  <c r="P16" i="94"/>
  <c r="CB21" i="92"/>
  <c r="S17" i="94" s="1"/>
  <c r="CC29" i="92"/>
  <c r="AA20" i="94" s="1"/>
  <c r="AA4" i="94" s="1"/>
  <c r="CB22" i="92"/>
  <c r="CC22" i="92" s="1"/>
  <c r="T20" i="94" s="1"/>
  <c r="CB8" i="92"/>
  <c r="F17" i="94" s="1"/>
  <c r="O8" i="92"/>
  <c r="AT9" i="92"/>
  <c r="AU9" i="92" s="1"/>
  <c r="R14" i="94"/>
  <c r="CD12" i="92"/>
  <c r="J19" i="94" s="1"/>
  <c r="CA14" i="92"/>
  <c r="L18" i="94" s="1"/>
  <c r="J15" i="94"/>
  <c r="CD13" i="92"/>
  <c r="K19" i="94" s="1"/>
  <c r="AB9" i="92"/>
  <c r="CB9" i="92" s="1"/>
  <c r="N9" i="98"/>
  <c r="BZ9" i="92"/>
  <c r="G15" i="94"/>
  <c r="CA9" i="92"/>
  <c r="G18" i="94" s="1"/>
  <c r="N13" i="98"/>
  <c r="BY13" i="92"/>
  <c r="BZ13" i="92" s="1"/>
  <c r="AB13" i="92"/>
  <c r="AT13" i="92"/>
  <c r="I15" i="94"/>
  <c r="CA11" i="92"/>
  <c r="I18" i="94" s="1"/>
  <c r="Y17" i="94"/>
  <c r="CC27" i="92"/>
  <c r="Y20" i="94" s="1"/>
  <c r="O16" i="98"/>
  <c r="AU16" i="92"/>
  <c r="P16" i="98" s="1"/>
  <c r="O15" i="98"/>
  <c r="AU15" i="92"/>
  <c r="CD11" i="92"/>
  <c r="I19" i="94" s="1"/>
  <c r="Z17" i="94"/>
  <c r="CC28" i="92"/>
  <c r="Z20" i="94" s="1"/>
  <c r="Z4" i="94" s="1"/>
  <c r="U17" i="94"/>
  <c r="CC23" i="92"/>
  <c r="U20" i="94" s="1"/>
  <c r="U4" i="94" s="1"/>
  <c r="BZ16" i="92"/>
  <c r="N14" i="98"/>
  <c r="AB14" i="92"/>
  <c r="AT14" i="92"/>
  <c r="BY14" i="92"/>
  <c r="BZ14" i="92" s="1"/>
  <c r="K15" i="94"/>
  <c r="CA13" i="92"/>
  <c r="K18" i="94" s="1"/>
  <c r="CB16" i="92"/>
  <c r="N17" i="94" s="1"/>
  <c r="N14" i="94"/>
  <c r="W17" i="94"/>
  <c r="W4" i="94" s="1"/>
  <c r="CC25" i="92"/>
  <c r="W20" i="94" s="1"/>
  <c r="CB15" i="92"/>
  <c r="M17" i="94" s="1"/>
  <c r="M14" i="94"/>
  <c r="CD14" i="92"/>
  <c r="L19" i="94" s="1"/>
  <c r="CD16" i="92"/>
  <c r="N19" i="94" s="1"/>
  <c r="V17" i="94"/>
  <c r="V4" i="94" s="1"/>
  <c r="CC24" i="92"/>
  <c r="V20" i="94" s="1"/>
  <c r="CC18" i="92"/>
  <c r="P20" i="94" s="1"/>
  <c r="P4" i="94" s="1"/>
  <c r="N15" i="94"/>
  <c r="CA16" i="92"/>
  <c r="N18" i="94" s="1"/>
  <c r="M18" i="94"/>
  <c r="CW7" i="92"/>
  <c r="AK7" i="92" s="1"/>
  <c r="AJ7" i="92" s="1"/>
  <c r="O12" i="92"/>
  <c r="AB12" i="92"/>
  <c r="BY12" i="92"/>
  <c r="BZ12" i="92" s="1"/>
  <c r="N12" i="98"/>
  <c r="O16" i="92"/>
  <c r="AT11" i="92"/>
  <c r="N11" i="98"/>
  <c r="AB11" i="92"/>
  <c r="BY11" i="92"/>
  <c r="BZ11" i="92" s="1"/>
  <c r="O11" i="92"/>
  <c r="Q4" i="94"/>
  <c r="AD16" i="94"/>
  <c r="Q5" i="94"/>
  <c r="Q6" i="94"/>
  <c r="Q7" i="94"/>
  <c r="Q3" i="94" s="1"/>
  <c r="P22" i="98"/>
  <c r="CC20" i="92"/>
  <c r="R20" i="94" s="1"/>
  <c r="R17" i="94"/>
  <c r="O8" i="98"/>
  <c r="CD8" i="92"/>
  <c r="F19" i="94" s="1"/>
  <c r="F16" i="94" s="1"/>
  <c r="BZ8" i="92"/>
  <c r="F15" i="94"/>
  <c r="CA8" i="92"/>
  <c r="F18" i="94" s="1"/>
  <c r="P10" i="98"/>
  <c r="H16" i="94"/>
  <c r="H17" i="94"/>
  <c r="CC10" i="92"/>
  <c r="H20" i="94" s="1"/>
  <c r="P8" i="98"/>
  <c r="AQ14" i="131" l="1"/>
  <c r="AQ12" i="131"/>
  <c r="AQ12" i="128"/>
  <c r="AQ14" i="128"/>
  <c r="AQ7" i="92"/>
  <c r="AR7" i="92" s="1"/>
  <c r="AL7" i="92"/>
  <c r="X7" i="92" s="1"/>
  <c r="AN7" i="92"/>
  <c r="Y4" i="94"/>
  <c r="DF7" i="92"/>
  <c r="Q9" i="94" a="1"/>
  <c r="Q9" i="94" s="1"/>
  <c r="P9" i="94" a="1"/>
  <c r="P9" i="94" s="1"/>
  <c r="N16" i="94"/>
  <c r="AA16" i="94" s="1"/>
  <c r="T17" i="94"/>
  <c r="P15" i="98"/>
  <c r="M16" i="94"/>
  <c r="P7" i="94"/>
  <c r="P3" i="94" s="1"/>
  <c r="P6" i="94"/>
  <c r="P5" i="94"/>
  <c r="AC16" i="94"/>
  <c r="CC21" i="92"/>
  <c r="S20" i="94" s="1"/>
  <c r="O9" i="98"/>
  <c r="G14" i="94"/>
  <c r="CC16" i="92"/>
  <c r="N20" i="94" s="1"/>
  <c r="N4" i="94" s="1"/>
  <c r="CC15" i="92"/>
  <c r="M20" i="94" s="1"/>
  <c r="M4" i="94" s="1"/>
  <c r="AU14" i="92"/>
  <c r="P14" i="98" s="1"/>
  <c r="O14" i="98"/>
  <c r="CB14" i="92"/>
  <c r="L14" i="94"/>
  <c r="AU13" i="92"/>
  <c r="P13" i="98" s="1"/>
  <c r="O13" i="98"/>
  <c r="K14" i="94"/>
  <c r="CB13" i="92"/>
  <c r="P8" i="94" a="1"/>
  <c r="P8" i="94" s="1"/>
  <c r="AU12" i="92"/>
  <c r="O12" i="98"/>
  <c r="J14" i="94"/>
  <c r="CB12" i="92"/>
  <c r="G17" i="94"/>
  <c r="G4" i="94" s="1"/>
  <c r="CC9" i="92"/>
  <c r="G20" i="94" s="1"/>
  <c r="I14" i="94"/>
  <c r="CB11" i="92"/>
  <c r="G16" i="94"/>
  <c r="P9" i="98"/>
  <c r="AU11" i="92"/>
  <c r="O11" i="98"/>
  <c r="H4" i="94"/>
  <c r="R4" i="94"/>
  <c r="S4" i="94"/>
  <c r="T4" i="94"/>
  <c r="AD8" i="94" a="1"/>
  <c r="AD8" i="94" s="1"/>
  <c r="AD5" i="94"/>
  <c r="AD6" i="94"/>
  <c r="AD7" i="94"/>
  <c r="AD3" i="94" s="1"/>
  <c r="AD9" i="94" a="1"/>
  <c r="AD9" i="94" s="1"/>
  <c r="CC8" i="92"/>
  <c r="F20" i="94" s="1"/>
  <c r="F9" i="94" s="1" a="1"/>
  <c r="F9" i="94" s="1"/>
  <c r="H9" i="94" a="1"/>
  <c r="H9" i="94" s="1"/>
  <c r="H8" i="94" a="1"/>
  <c r="H8" i="94" s="1"/>
  <c r="S16" i="94"/>
  <c r="F7" i="94"/>
  <c r="F3" i="94" s="1"/>
  <c r="U16" i="94"/>
  <c r="H7" i="94"/>
  <c r="H3" i="94" s="1"/>
  <c r="H6" i="94"/>
  <c r="H5" i="94"/>
  <c r="F6" i="94" l="1"/>
  <c r="F5" i="94"/>
  <c r="N9" i="94" a="1"/>
  <c r="N9" i="94" s="1"/>
  <c r="M7" i="98"/>
  <c r="N5" i="94"/>
  <c r="N6" i="94"/>
  <c r="N7" i="94"/>
  <c r="N3" i="94" s="1"/>
  <c r="AC7" i="94"/>
  <c r="AC3" i="94" s="1"/>
  <c r="AC5" i="94"/>
  <c r="AC6" i="94"/>
  <c r="AC8" i="94" a="1"/>
  <c r="AC8" i="94" s="1"/>
  <c r="AC9" i="94" a="1"/>
  <c r="AC9" i="94" s="1"/>
  <c r="K16" i="94"/>
  <c r="Z16" i="94"/>
  <c r="M5" i="94"/>
  <c r="M6" i="94"/>
  <c r="M7" i="94"/>
  <c r="M3" i="94" s="1"/>
  <c r="L16" i="94"/>
  <c r="N8" i="94" a="1"/>
  <c r="N8" i="94" s="1"/>
  <c r="M8" i="94" a="1"/>
  <c r="M8" i="94" s="1"/>
  <c r="M9" i="94" a="1"/>
  <c r="M9" i="94" s="1"/>
  <c r="L17" i="94"/>
  <c r="CC14" i="92"/>
  <c r="L20" i="94" s="1"/>
  <c r="K17" i="94"/>
  <c r="K4" i="94" s="1"/>
  <c r="CC13" i="92"/>
  <c r="K20" i="94" s="1"/>
  <c r="AA6" i="94"/>
  <c r="AA7" i="94"/>
  <c r="AA3" i="94" s="1"/>
  <c r="AA5" i="94"/>
  <c r="AA8" i="94" a="1"/>
  <c r="AA8" i="94" s="1"/>
  <c r="AA9" i="94" a="1"/>
  <c r="AA9" i="94" s="1"/>
  <c r="J17" i="94"/>
  <c r="J4" i="94" s="1"/>
  <c r="CC12" i="92"/>
  <c r="J20" i="94" s="1"/>
  <c r="P12" i="98"/>
  <c r="J16" i="94"/>
  <c r="G7" i="94"/>
  <c r="G3" i="94" s="1"/>
  <c r="G6" i="94"/>
  <c r="G5" i="94"/>
  <c r="T16" i="94"/>
  <c r="CC11" i="92"/>
  <c r="I20" i="94" s="1"/>
  <c r="I17" i="94"/>
  <c r="I4" i="94" s="1"/>
  <c r="G9" i="94" a="1"/>
  <c r="G9" i="94" s="1"/>
  <c r="I16" i="94"/>
  <c r="P11" i="98"/>
  <c r="G8" i="94" a="1"/>
  <c r="G8" i="94" s="1"/>
  <c r="F8" i="94" a="1"/>
  <c r="F8" i="94" s="1"/>
  <c r="U5" i="94"/>
  <c r="U9" i="94" a="1"/>
  <c r="U9" i="94" s="1"/>
  <c r="U7" i="94"/>
  <c r="U3" i="94" s="1"/>
  <c r="U8" i="94" a="1"/>
  <c r="U8" i="94" s="1"/>
  <c r="AH16" i="94"/>
  <c r="U6" i="94"/>
  <c r="AF16" i="94"/>
  <c r="S7" i="94"/>
  <c r="S3" i="94" s="1"/>
  <c r="S6" i="94"/>
  <c r="S5" i="94"/>
  <c r="S9" i="94" a="1"/>
  <c r="S9" i="94" s="1"/>
  <c r="S8" i="94" a="1"/>
  <c r="S8" i="94" s="1"/>
  <c r="L4" i="94" l="1"/>
  <c r="Z6" i="94"/>
  <c r="Z7" i="94"/>
  <c r="Z3" i="94" s="1"/>
  <c r="Z5" i="94"/>
  <c r="Z9" i="94" a="1"/>
  <c r="Z9" i="94" s="1"/>
  <c r="Z8" i="94" a="1"/>
  <c r="Z8" i="94" s="1"/>
  <c r="K6" i="94"/>
  <c r="X16" i="94"/>
  <c r="K5" i="94"/>
  <c r="K7" i="94"/>
  <c r="K3" i="94" s="1"/>
  <c r="L5" i="94"/>
  <c r="L6" i="94"/>
  <c r="L7" i="94"/>
  <c r="L3" i="94" s="1"/>
  <c r="Y16" i="94"/>
  <c r="K9" i="94" a="1"/>
  <c r="K9" i="94" s="1"/>
  <c r="K8" i="94" a="1"/>
  <c r="K8" i="94" s="1"/>
  <c r="L9" i="94" a="1"/>
  <c r="L9" i="94" s="1"/>
  <c r="L8" i="94" a="1"/>
  <c r="L8" i="94" s="1"/>
  <c r="J7" i="94"/>
  <c r="J3" i="94" s="1"/>
  <c r="J5" i="94"/>
  <c r="W16" i="94"/>
  <c r="J8" i="94" a="1"/>
  <c r="J8" i="94" s="1"/>
  <c r="J6" i="94"/>
  <c r="J9" i="94" a="1"/>
  <c r="J9" i="94" s="1"/>
  <c r="I6" i="94"/>
  <c r="I7" i="94"/>
  <c r="I3" i="94" s="1"/>
  <c r="V16" i="94"/>
  <c r="I5" i="94"/>
  <c r="AG16" i="94"/>
  <c r="T7" i="94"/>
  <c r="T3" i="94" s="1"/>
  <c r="T6" i="94"/>
  <c r="T5" i="94"/>
  <c r="T9" i="94" a="1"/>
  <c r="T9" i="94" s="1"/>
  <c r="T8" i="94" a="1"/>
  <c r="T8" i="94" s="1"/>
  <c r="I8" i="94" a="1"/>
  <c r="I8" i="94" s="1"/>
  <c r="I9" i="94" a="1"/>
  <c r="I9" i="94" s="1"/>
  <c r="BX7" i="92"/>
  <c r="BX1" i="92" s="1"/>
  <c r="AR1" i="92"/>
  <c r="AF5" i="94"/>
  <c r="AF7" i="94"/>
  <c r="AF3" i="94" s="1"/>
  <c r="AF9" i="94" a="1"/>
  <c r="AF9" i="94" s="1"/>
  <c r="AF6" i="94"/>
  <c r="AF8" i="94" a="1"/>
  <c r="AF8" i="94" s="1"/>
  <c r="AH5" i="94"/>
  <c r="AH7" i="94"/>
  <c r="AH3" i="94" s="1"/>
  <c r="AH6" i="94"/>
  <c r="AH9" i="94" a="1"/>
  <c r="AH9" i="94" s="1"/>
  <c r="AH8" i="94" a="1"/>
  <c r="AH8" i="94" s="1"/>
  <c r="S9" i="120" l="1"/>
  <c r="S13" i="120"/>
  <c r="S12" i="120"/>
  <c r="S11" i="120"/>
  <c r="S10" i="120"/>
  <c r="S8" i="120"/>
  <c r="S8" i="113"/>
  <c r="S11" i="113"/>
  <c r="S10" i="113"/>
  <c r="S9" i="113"/>
  <c r="S13" i="113"/>
  <c r="S12" i="113"/>
  <c r="X9" i="94" a="1"/>
  <c r="X9" i="94" s="1"/>
  <c r="X5" i="94"/>
  <c r="X6" i="94"/>
  <c r="X7" i="94"/>
  <c r="X3" i="94" s="1"/>
  <c r="X8" i="94" a="1"/>
  <c r="X8" i="94" s="1"/>
  <c r="Y5" i="94"/>
  <c r="Y7" i="94"/>
  <c r="Y3" i="94" s="1"/>
  <c r="Y8" i="94" a="1"/>
  <c r="Y8" i="94" s="1"/>
  <c r="Y9" i="94" a="1"/>
  <c r="Y9" i="94" s="1"/>
  <c r="Y6" i="94"/>
  <c r="W8" i="94" a="1"/>
  <c r="W8" i="94" s="1"/>
  <c r="W7" i="94"/>
  <c r="W3" i="94" s="1"/>
  <c r="W5" i="94"/>
  <c r="W6" i="94"/>
  <c r="W9" i="94" a="1"/>
  <c r="W9" i="94" s="1"/>
  <c r="AG6" i="94"/>
  <c r="AG7" i="94"/>
  <c r="AG3" i="94" s="1"/>
  <c r="AG5" i="94"/>
  <c r="AG8" i="94" a="1"/>
  <c r="AG8" i="94" s="1"/>
  <c r="AG9" i="94" a="1"/>
  <c r="AG9" i="94" s="1"/>
  <c r="V8" i="94" a="1"/>
  <c r="V8" i="94" s="1"/>
  <c r="V5" i="94"/>
  <c r="V7" i="94"/>
  <c r="V3" i="94" s="1"/>
  <c r="V9" i="94" a="1"/>
  <c r="V9" i="94" s="1"/>
  <c r="V6" i="94"/>
  <c r="M37" i="98"/>
  <c r="R29" i="98" l="1"/>
  <c r="S29" i="98" s="1"/>
  <c r="R25" i="98"/>
  <c r="S25" i="98" s="1"/>
  <c r="R23" i="98"/>
  <c r="S23" i="98" s="1"/>
  <c r="R28" i="98"/>
  <c r="S28" i="98" s="1"/>
  <c r="R24" i="98"/>
  <c r="S24" i="98" s="1"/>
  <c r="R19" i="98"/>
  <c r="S19" i="98" s="1"/>
  <c r="R33" i="98"/>
  <c r="S33" i="98" s="1"/>
  <c r="R27" i="98"/>
  <c r="S27" i="98" s="1"/>
  <c r="R35" i="98"/>
  <c r="S35" i="98" s="1"/>
  <c r="R26" i="98"/>
  <c r="S26" i="98" s="1"/>
  <c r="R31" i="98"/>
  <c r="S31" i="98" s="1"/>
  <c r="R36" i="98"/>
  <c r="S36" i="98" s="1"/>
  <c r="R32" i="98"/>
  <c r="S32" i="98" s="1"/>
  <c r="R21" i="98"/>
  <c r="S21" i="98" s="1"/>
  <c r="R30" i="98"/>
  <c r="S30" i="98" s="1"/>
  <c r="R34" i="98"/>
  <c r="S34" i="98" s="1"/>
  <c r="R22" i="98"/>
  <c r="S22" i="98" s="1"/>
  <c r="R20" i="98"/>
  <c r="S20" i="98" s="1"/>
  <c r="AS7" i="92" l="1"/>
  <c r="AA7" i="92"/>
  <c r="AC7" i="92"/>
  <c r="BU7" i="92"/>
  <c r="O7" i="92" l="1"/>
  <c r="CG7" i="92"/>
  <c r="CD7" i="92"/>
  <c r="E15" i="94"/>
  <c r="CA7" i="92"/>
  <c r="E18" i="94" s="1"/>
  <c r="AT7" i="92"/>
  <c r="AB7" i="92"/>
  <c r="BY7" i="92"/>
  <c r="N7" i="98"/>
  <c r="E14" i="94" l="1"/>
  <c r="CB7" i="92"/>
  <c r="E17" i="94" s="1"/>
  <c r="E19" i="94"/>
  <c r="AU7" i="92"/>
  <c r="P7" i="98" s="1"/>
  <c r="O7" i="98"/>
  <c r="BZ7" i="92"/>
  <c r="E16" i="94" l="1"/>
  <c r="E7" i="94" s="1"/>
  <c r="E3" i="94" s="1"/>
  <c r="CC7" i="92"/>
  <c r="E20" i="94" s="1"/>
  <c r="E5" i="94" l="1"/>
  <c r="E8" i="94" a="1"/>
  <c r="E8" i="94" s="1"/>
  <c r="E6" i="94"/>
  <c r="R16" i="94"/>
  <c r="R5" i="94" s="1"/>
  <c r="E9" i="94" a="1"/>
  <c r="E9" i="94" s="1"/>
  <c r="R7" i="94" l="1"/>
  <c r="R3" i="94" s="1"/>
  <c r="R9" i="94" a="1"/>
  <c r="R9" i="94" s="1"/>
  <c r="R6" i="94"/>
  <c r="R8" i="94" a="1"/>
  <c r="R8" i="94" s="1"/>
  <c r="AE16" i="94"/>
  <c r="AE5" i="94" s="1"/>
  <c r="AL17" i="92"/>
  <c r="AE9" i="94" l="1" a="1"/>
  <c r="AE9" i="94" s="1"/>
  <c r="AE8" i="94" a="1"/>
  <c r="AE8" i="94" s="1"/>
  <c r="AE7" i="94"/>
  <c r="AE3" i="94" s="1"/>
  <c r="AE6" i="94"/>
  <c r="X17" i="92"/>
  <c r="BU17" i="92" s="1"/>
  <c r="AL1" i="92"/>
  <c r="X1" i="92"/>
  <c r="AS17" i="92"/>
  <c r="AC17" i="92" l="1"/>
  <c r="O17" i="92" s="1"/>
  <c r="AA17" i="92"/>
  <c r="AB17" i="92" s="1"/>
  <c r="O15" i="94"/>
  <c r="CA17" i="92"/>
  <c r="O18" i="94" s="1"/>
  <c r="CD17" i="92"/>
  <c r="BU1" i="92"/>
  <c r="AA1" i="92" l="1"/>
  <c r="N37" i="98" s="1"/>
  <c r="AT17" i="92"/>
  <c r="AT1" i="92" s="1"/>
  <c r="N17" i="98"/>
  <c r="BY17" i="92"/>
  <c r="BZ17" i="92" s="1"/>
  <c r="BZ1" i="92" s="1"/>
  <c r="CE10" i="92"/>
  <c r="CE15" i="92"/>
  <c r="CE23" i="92"/>
  <c r="CE31" i="92"/>
  <c r="CE13" i="92"/>
  <c r="CE16" i="92"/>
  <c r="CE24" i="92"/>
  <c r="CE32" i="92"/>
  <c r="CE25" i="92"/>
  <c r="CE33" i="92"/>
  <c r="CE7" i="92"/>
  <c r="CE18" i="92"/>
  <c r="CE26" i="92"/>
  <c r="CE34" i="92"/>
  <c r="CE12" i="92"/>
  <c r="CE19" i="92"/>
  <c r="CE27" i="92"/>
  <c r="CE35" i="92"/>
  <c r="CE14" i="92"/>
  <c r="CE20" i="92"/>
  <c r="CE28" i="92"/>
  <c r="CE36" i="92"/>
  <c r="CE9" i="92"/>
  <c r="CE21" i="92"/>
  <c r="CE29" i="92"/>
  <c r="CE8" i="92"/>
  <c r="CE11" i="92"/>
  <c r="CE22" i="92"/>
  <c r="CE30" i="92"/>
  <c r="CE17" i="92"/>
  <c r="CB17" i="92"/>
  <c r="O17" i="94" s="1"/>
  <c r="O14" i="94"/>
  <c r="O19" i="94"/>
  <c r="O17" i="98"/>
  <c r="BY1" i="92"/>
  <c r="O37" i="98" l="1"/>
  <c r="AU17" i="92"/>
  <c r="P17" i="98" s="1"/>
  <c r="D72" i="92"/>
  <c r="D69" i="92"/>
  <c r="D70" i="92"/>
  <c r="D75" i="92"/>
  <c r="D102" i="92"/>
  <c r="R9" i="98"/>
  <c r="S9" i="98" s="1"/>
  <c r="D105" i="92"/>
  <c r="R12" i="98"/>
  <c r="S12" i="98" s="1"/>
  <c r="D110" i="92"/>
  <c r="R17" i="98"/>
  <c r="S17" i="98" s="1"/>
  <c r="D109" i="92"/>
  <c r="R16" i="98"/>
  <c r="S16" i="98" s="1"/>
  <c r="D76" i="92"/>
  <c r="D111" i="92"/>
  <c r="R18" i="98"/>
  <c r="S18" i="98" s="1"/>
  <c r="R11" i="98"/>
  <c r="S11" i="98" s="1"/>
  <c r="D104" i="92"/>
  <c r="D74" i="92"/>
  <c r="D107" i="92"/>
  <c r="R14" i="98"/>
  <c r="S14" i="98" s="1"/>
  <c r="AB1" i="92" a="1"/>
  <c r="AB1" i="92" s="1"/>
  <c r="I1" i="92" a="1"/>
  <c r="I1" i="92" s="1"/>
  <c r="CB1" i="92" a="1"/>
  <c r="CB1" i="92" s="1"/>
  <c r="D53" i="98" s="1"/>
  <c r="CD1" i="92" a="1"/>
  <c r="CD1" i="92" s="1"/>
  <c r="N1" i="92" a="1"/>
  <c r="N1" i="92" s="1"/>
  <c r="D48" i="98" s="1"/>
  <c r="CE1" i="92"/>
  <c r="CG1" i="92" a="1"/>
  <c r="CG1" i="92" s="1"/>
  <c r="D50" i="98" s="1"/>
  <c r="L1" i="92" a="1"/>
  <c r="L1" i="92" s="1"/>
  <c r="D47" i="98" s="1"/>
  <c r="CA1" i="92" a="1"/>
  <c r="CA1" i="92" s="1"/>
  <c r="D52" i="98" s="1"/>
  <c r="D100" i="92"/>
  <c r="R7" i="98"/>
  <c r="S7" i="98" s="1"/>
  <c r="D73" i="92"/>
  <c r="AS1" i="92" a="1"/>
  <c r="AS1" i="92" s="1"/>
  <c r="O1" i="92" a="1"/>
  <c r="O1" i="92" s="1"/>
  <c r="D49" i="98" s="1"/>
  <c r="R13" i="98"/>
  <c r="S13" i="98" s="1"/>
  <c r="D106" i="92"/>
  <c r="R8" i="98"/>
  <c r="S8" i="98" s="1"/>
  <c r="D68" i="92"/>
  <c r="D101" i="92"/>
  <c r="R15" i="98"/>
  <c r="S15" i="98" s="1"/>
  <c r="D108" i="92"/>
  <c r="CC17" i="92"/>
  <c r="O20" i="94" s="1"/>
  <c r="O4" i="94" s="1"/>
  <c r="D103" i="92"/>
  <c r="R10" i="98"/>
  <c r="S10" i="98" s="1"/>
  <c r="AU1" i="92" l="1" a="1"/>
  <c r="AU1" i="92" s="1"/>
  <c r="P37" i="98" s="1"/>
  <c r="O16" i="94"/>
  <c r="O6" i="94" s="1"/>
  <c r="F73" i="92"/>
  <c r="F68" i="92"/>
  <c r="F69" i="92"/>
  <c r="F77" i="92"/>
  <c r="F70" i="92"/>
  <c r="F78" i="92"/>
  <c r="F71" i="92"/>
  <c r="F72" i="92"/>
  <c r="D55" i="98"/>
  <c r="F76" i="92"/>
  <c r="CC1" i="92" a="1"/>
  <c r="CC1" i="92" s="1"/>
  <c r="F74" i="92"/>
  <c r="F75" i="92"/>
  <c r="D54" i="98" l="1"/>
  <c r="O8" i="94" a="1"/>
  <c r="O8" i="94" s="1"/>
  <c r="O7" i="94"/>
  <c r="O3" i="94" s="1"/>
  <c r="O9" i="94" a="1"/>
  <c r="O9" i="94" s="1"/>
  <c r="AB16" i="94"/>
  <c r="O5" i="94"/>
  <c r="F84" i="92"/>
  <c r="F89" i="92"/>
  <c r="C87" i="92"/>
  <c r="C54" i="92" s="1"/>
  <c r="C85" i="92"/>
  <c r="C52" i="92" s="1"/>
  <c r="C88" i="92"/>
  <c r="C55" i="92" s="1"/>
  <c r="F86" i="92"/>
  <c r="F91" i="92"/>
  <c r="F85" i="92"/>
  <c r="C86" i="92"/>
  <c r="C53" i="92" s="1"/>
  <c r="C92" i="92"/>
  <c r="C59" i="92" s="1"/>
  <c r="C94" i="92"/>
  <c r="C61" i="92" s="1"/>
  <c r="F93" i="92"/>
  <c r="F83" i="92"/>
  <c r="F87" i="92"/>
  <c r="F88" i="92"/>
  <c r="C84" i="92"/>
  <c r="C51" i="92" s="1"/>
  <c r="C91" i="92"/>
  <c r="C58" i="92" s="1"/>
  <c r="C93" i="92"/>
  <c r="C60" i="92" s="1"/>
  <c r="F94" i="92"/>
  <c r="F92" i="92"/>
  <c r="F90" i="92"/>
  <c r="C89" i="92"/>
  <c r="C56" i="92" s="1"/>
  <c r="C90" i="92"/>
  <c r="C57" i="92" s="1"/>
  <c r="C83" i="92"/>
  <c r="C50" i="92" s="1"/>
  <c r="AB7" i="94" l="1"/>
  <c r="AB3" i="94" s="1"/>
  <c r="AB8" i="94" a="1"/>
  <c r="AB8" i="94" s="1"/>
  <c r="AB5" i="94"/>
  <c r="E4" i="94" s="1"/>
  <c r="AB6" i="94"/>
  <c r="F4" i="94" s="1"/>
  <c r="AB9" i="94" a="1"/>
  <c r="AB9" i="94" s="1"/>
  <c r="E85" i="92"/>
  <c r="E52" i="92" s="1"/>
  <c r="D85" i="92"/>
  <c r="D52" i="92" s="1"/>
  <c r="D88" i="92"/>
  <c r="D55" i="92" s="1"/>
  <c r="E88" i="92"/>
  <c r="E55" i="92" s="1"/>
  <c r="D91" i="92"/>
  <c r="D58" i="92" s="1"/>
  <c r="E91" i="92"/>
  <c r="E58" i="92" s="1"/>
  <c r="E86" i="92"/>
  <c r="E53" i="92" s="1"/>
  <c r="D86" i="92"/>
  <c r="D53" i="92" s="1"/>
  <c r="E87" i="92"/>
  <c r="E54" i="92" s="1"/>
  <c r="D87" i="92"/>
  <c r="D54" i="92" s="1"/>
  <c r="D90" i="92"/>
  <c r="D57" i="92" s="1"/>
  <c r="E90" i="92"/>
  <c r="E57" i="92" s="1"/>
  <c r="E92" i="92"/>
  <c r="E59" i="92" s="1"/>
  <c r="D92" i="92"/>
  <c r="D59" i="92" s="1"/>
  <c r="E93" i="92"/>
  <c r="E60" i="92" s="1"/>
  <c r="D93" i="92"/>
  <c r="D60" i="92" s="1"/>
  <c r="E89" i="92"/>
  <c r="E56" i="92" s="1"/>
  <c r="D89" i="92"/>
  <c r="D56" i="92" s="1"/>
  <c r="E83" i="92"/>
  <c r="E50" i="92" s="1"/>
  <c r="D83" i="92"/>
  <c r="D50" i="92" s="1"/>
  <c r="D94" i="92"/>
  <c r="D61" i="92" s="1"/>
  <c r="E94" i="92"/>
  <c r="E61" i="92" s="1"/>
  <c r="E84" i="92"/>
  <c r="E51" i="92" s="1"/>
  <c r="D84" i="92"/>
  <c r="D51" i="92" s="1"/>
  <c r="B21" i="112" l="1"/>
  <c r="AX42" i="107"/>
  <c r="G3" i="113"/>
  <c r="E40" i="113" l="1"/>
  <c r="E28" i="113"/>
  <c r="G24" i="113"/>
  <c r="E56" i="113"/>
  <c r="F6" i="113"/>
  <c r="G13" i="113" s="1"/>
  <c r="X43" i="107" l="1"/>
  <c r="G8" i="113"/>
  <c r="G20" i="113"/>
  <c r="G7" i="113"/>
  <c r="G11" i="113"/>
  <c r="G14" i="113"/>
  <c r="E32" i="113" s="1"/>
  <c r="G32" i="113" s="1"/>
  <c r="I32" i="113" s="1"/>
  <c r="G21" i="113"/>
  <c r="G9" i="113"/>
  <c r="E31" i="113" s="1"/>
  <c r="G12" i="113"/>
  <c r="G6" i="113"/>
  <c r="U43" i="107"/>
  <c r="G16" i="113"/>
  <c r="A4" i="112"/>
  <c r="P3" i="113" s="1"/>
  <c r="I7" i="114"/>
  <c r="M7" i="114" s="1"/>
  <c r="W65" i="115" s="1"/>
  <c r="G15" i="113"/>
  <c r="G17" i="113"/>
  <c r="G56" i="113"/>
  <c r="F32" i="113" l="1"/>
  <c r="D44" i="113"/>
  <c r="H32" i="113"/>
  <c r="V47" i="107"/>
  <c r="V46" i="107"/>
  <c r="V50" i="107"/>
  <c r="V49" i="107"/>
  <c r="V45" i="107"/>
  <c r="E44" i="113"/>
  <c r="Q73" i="107"/>
  <c r="Q75" i="107"/>
  <c r="G22" i="113"/>
  <c r="AB7" i="114"/>
  <c r="AB3" i="114" s="1"/>
  <c r="I1" i="114"/>
  <c r="Q7" i="114"/>
  <c r="T7" i="114"/>
  <c r="N7" i="114"/>
  <c r="O7" i="114" s="1"/>
  <c r="AA7" i="114"/>
  <c r="AA1" i="114" s="1"/>
  <c r="E35" i="113" s="1"/>
  <c r="E37" i="113" s="1"/>
  <c r="Z7" i="114"/>
  <c r="Z1" i="114" s="1"/>
  <c r="U7" i="114"/>
  <c r="W7" i="114"/>
  <c r="R7" i="114"/>
  <c r="S7" i="114"/>
  <c r="P7" i="114"/>
  <c r="H13" i="113"/>
  <c r="Q3" i="113"/>
  <c r="O8" i="113"/>
  <c r="G23" i="113"/>
  <c r="E36" i="113" l="1"/>
  <c r="F35" i="113" s="1"/>
  <c r="V44" i="107"/>
  <c r="AU75" i="107" s="1"/>
  <c r="AV42" i="107"/>
  <c r="H6" i="113"/>
  <c r="P8" i="113"/>
  <c r="Z45" i="107" s="1"/>
  <c r="G10" i="113"/>
  <c r="Q8" i="113"/>
  <c r="Q69" i="107"/>
  <c r="Q67" i="107"/>
  <c r="AB2" i="114"/>
  <c r="AB1" i="114" s="1"/>
  <c r="C16" i="114" s="1"/>
  <c r="AC7" i="114"/>
  <c r="AE7" i="114" s="1"/>
  <c r="V65" i="115"/>
  <c r="B56" i="113"/>
  <c r="B62" i="113" s="1"/>
  <c r="O9" i="113"/>
  <c r="G18" i="113" l="1"/>
  <c r="D21" i="113" s="1"/>
  <c r="E57" i="113"/>
  <c r="E33" i="113"/>
  <c r="H10" i="113"/>
  <c r="AX45" i="107"/>
  <c r="U8" i="113"/>
  <c r="P9" i="113"/>
  <c r="Z46" i="107" s="1"/>
  <c r="AC1" i="114"/>
  <c r="AC2" i="114" s="1"/>
  <c r="Q87" i="107"/>
  <c r="Q85" i="107"/>
  <c r="AD7" i="114"/>
  <c r="G19" i="113"/>
  <c r="B57" i="113"/>
  <c r="B59" i="113"/>
  <c r="B60" i="113"/>
  <c r="B61" i="113"/>
  <c r="B58" i="113"/>
  <c r="Q9" i="113"/>
  <c r="O10" i="113"/>
  <c r="E29" i="113"/>
  <c r="G29" i="113" s="1"/>
  <c r="I29" i="113" s="1"/>
  <c r="E58" i="113"/>
  <c r="E60" i="113"/>
  <c r="E61" i="113"/>
  <c r="E59" i="113"/>
  <c r="E62" i="113"/>
  <c r="X65" i="115"/>
  <c r="X7" i="115"/>
  <c r="J7" i="114"/>
  <c r="X7" i="114" s="1"/>
  <c r="E30" i="113"/>
  <c r="G30" i="113" l="1"/>
  <c r="I30" i="113" s="1"/>
  <c r="C42" i="113" s="1"/>
  <c r="C44" i="113"/>
  <c r="Q81" i="107"/>
  <c r="G33" i="113"/>
  <c r="I33" i="113" s="1"/>
  <c r="F29" i="113"/>
  <c r="C41" i="113"/>
  <c r="D41" i="113"/>
  <c r="Q79" i="107"/>
  <c r="V48" i="107"/>
  <c r="Y45" i="107"/>
  <c r="AX46" i="107"/>
  <c r="U9" i="113"/>
  <c r="P10" i="113"/>
  <c r="Z47" i="107" s="1"/>
  <c r="AU45" i="107"/>
  <c r="AO45" i="107"/>
  <c r="AR45" i="107"/>
  <c r="AH45" i="107"/>
  <c r="AK45" i="107"/>
  <c r="Q57" i="107"/>
  <c r="Q55" i="107"/>
  <c r="Q61" i="107"/>
  <c r="Q63" i="107"/>
  <c r="E41" i="113"/>
  <c r="K7" i="114"/>
  <c r="Q10" i="113"/>
  <c r="O11" i="113"/>
  <c r="G58" i="113"/>
  <c r="G62" i="113"/>
  <c r="G59" i="113"/>
  <c r="G60" i="113"/>
  <c r="G61" i="113"/>
  <c r="G57" i="113"/>
  <c r="J1" i="114"/>
  <c r="X1" i="114"/>
  <c r="E42" i="113" l="1"/>
  <c r="D42" i="113"/>
  <c r="H30" i="113"/>
  <c r="F30" i="113"/>
  <c r="F33" i="113"/>
  <c r="C45" i="113"/>
  <c r="D45" i="113"/>
  <c r="E45" i="113"/>
  <c r="V97" i="107"/>
  <c r="V44" i="128"/>
  <c r="AA46" i="107"/>
  <c r="AX47" i="107"/>
  <c r="U10" i="113"/>
  <c r="Y46" i="107"/>
  <c r="L7" i="114"/>
  <c r="P11" i="113"/>
  <c r="Z48" i="107" s="1"/>
  <c r="Y7" i="114"/>
  <c r="Q11" i="113"/>
  <c r="O12" i="113"/>
  <c r="AU46" i="107"/>
  <c r="AR46" i="107"/>
  <c r="AO46" i="107"/>
  <c r="AK46" i="107"/>
  <c r="AH46" i="107"/>
  <c r="AA47" i="107" l="1"/>
  <c r="AX48" i="107"/>
  <c r="U11" i="113"/>
  <c r="Y47" i="107"/>
  <c r="P12" i="113"/>
  <c r="Z49" i="107" s="1"/>
  <c r="AU47" i="107"/>
  <c r="AK47" i="107"/>
  <c r="AH47" i="107"/>
  <c r="AO47" i="107"/>
  <c r="AR47" i="107"/>
  <c r="Q12" i="113"/>
  <c r="O13" i="113"/>
  <c r="AA48" i="107" l="1"/>
  <c r="AX49" i="107"/>
  <c r="U12" i="113"/>
  <c r="Y48" i="107"/>
  <c r="P13" i="113"/>
  <c r="Z50" i="107" s="1"/>
  <c r="AU48" i="107"/>
  <c r="AK48" i="107"/>
  <c r="AH48" i="107"/>
  <c r="AO48" i="107"/>
  <c r="AR48" i="107"/>
  <c r="Q13" i="113"/>
  <c r="AA49" i="107" l="1"/>
  <c r="AX50" i="107"/>
  <c r="U13" i="113"/>
  <c r="Y49" i="107"/>
  <c r="AU49" i="107"/>
  <c r="AH49" i="107"/>
  <c r="AO49" i="107"/>
  <c r="AK49" i="107"/>
  <c r="AR49" i="107"/>
  <c r="AA50" i="107" l="1"/>
  <c r="Y50" i="107"/>
  <c r="AU50" i="107"/>
  <c r="AK50" i="107"/>
  <c r="AH50" i="107"/>
  <c r="AO50" i="107"/>
  <c r="AR50" i="107"/>
  <c r="AL2" i="120" l="1"/>
  <c r="AM2" i="120" s="1"/>
  <c r="AL3" i="120"/>
  <c r="AL9" i="120"/>
  <c r="AL5" i="120"/>
  <c r="AL10" i="120"/>
  <c r="AL13" i="120"/>
  <c r="AL8" i="120"/>
  <c r="AL4" i="120"/>
  <c r="AL12" i="120"/>
  <c r="AL6" i="120"/>
  <c r="AL7" i="120"/>
  <c r="AL11" i="120"/>
  <c r="AM13" i="120" l="1"/>
  <c r="AM8" i="120"/>
  <c r="AM9" i="120"/>
  <c r="AM5" i="120"/>
  <c r="AM10" i="120"/>
  <c r="AM3" i="120"/>
  <c r="AM12" i="120"/>
  <c r="AM4" i="120"/>
  <c r="AM11" i="120"/>
  <c r="AM7" i="120"/>
  <c r="AM6" i="120"/>
  <c r="AN9" i="120" l="1"/>
  <c r="AN4" i="120"/>
  <c r="AN10" i="120"/>
  <c r="AN5" i="120"/>
  <c r="AN11" i="120"/>
  <c r="AN6" i="120"/>
  <c r="AN12" i="120"/>
  <c r="AN7" i="120"/>
  <c r="AN13" i="120"/>
  <c r="AN8" i="120"/>
  <c r="AN2" i="120"/>
  <c r="AN3" i="120"/>
  <c r="Z24" i="108" l="1"/>
  <c r="AA24" i="108"/>
  <c r="BO24" i="108"/>
  <c r="AB24" i="108" l="1"/>
  <c r="AR19" i="108" l="1"/>
  <c r="DO3" i="108"/>
  <c r="D33" i="120" s="1"/>
  <c r="AA19" i="108"/>
  <c r="Z19" i="108"/>
  <c r="Z3" i="108" l="1"/>
  <c r="D17" i="120" s="1"/>
  <c r="BO19" i="108"/>
  <c r="AG3" i="108"/>
  <c r="D29" i="120" s="1"/>
  <c r="AA3" i="108"/>
  <c r="AC1" i="123"/>
  <c r="Q132" i="107"/>
  <c r="Q134" i="107"/>
  <c r="Q81" i="128"/>
  <c r="Q79" i="128"/>
  <c r="BR19" i="108" l="1"/>
  <c r="AB3" i="123"/>
  <c r="AC3" i="123" s="1"/>
  <c r="AD3" i="123" s="1"/>
  <c r="AE3" i="123" s="1"/>
  <c r="AB316" i="123"/>
  <c r="AC316" i="123" s="1"/>
  <c r="AB364" i="123"/>
  <c r="AC364" i="123" s="1"/>
  <c r="AB412" i="123"/>
  <c r="AC412" i="123" s="1"/>
  <c r="AB460" i="123"/>
  <c r="AC460" i="123" s="1"/>
  <c r="AB508" i="123"/>
  <c r="AC508" i="123" s="1"/>
  <c r="AB197" i="123"/>
  <c r="AC197" i="123" s="1"/>
  <c r="AD197" i="123" s="1"/>
  <c r="AE197" i="123" s="1"/>
  <c r="AB293" i="123"/>
  <c r="AC293" i="123" s="1"/>
  <c r="AB341" i="123"/>
  <c r="AC341" i="123" s="1"/>
  <c r="AB389" i="123"/>
  <c r="AC389" i="123" s="1"/>
  <c r="AB437" i="123"/>
  <c r="AC437" i="123" s="1"/>
  <c r="AB485" i="123"/>
  <c r="AC485" i="123" s="1"/>
  <c r="AB30" i="123"/>
  <c r="AC30" i="123" s="1"/>
  <c r="AD30" i="123" s="1"/>
  <c r="AE30" i="123" s="1"/>
  <c r="AB174" i="123"/>
  <c r="AC174" i="123" s="1"/>
  <c r="AD174" i="123" s="1"/>
  <c r="AE174" i="123" s="1"/>
  <c r="AB318" i="123"/>
  <c r="AC318" i="123" s="1"/>
  <c r="AB366" i="123"/>
  <c r="AC366" i="123" s="1"/>
  <c r="AB414" i="123"/>
  <c r="AC414" i="123" s="1"/>
  <c r="AB462" i="123"/>
  <c r="AC462" i="123" s="1"/>
  <c r="AB510" i="123"/>
  <c r="AC510" i="123" s="1"/>
  <c r="AB337" i="123"/>
  <c r="AC337" i="123" s="1"/>
  <c r="AB385" i="123"/>
  <c r="AC385" i="123" s="1"/>
  <c r="AB433" i="123"/>
  <c r="AC433" i="123" s="1"/>
  <c r="AB481" i="123"/>
  <c r="AC481" i="123" s="1"/>
  <c r="AB309" i="123"/>
  <c r="AC309" i="123" s="1"/>
  <c r="AB357" i="123"/>
  <c r="AC357" i="123" s="1"/>
  <c r="AB405" i="123"/>
  <c r="AC405" i="123" s="1"/>
  <c r="AB453" i="123"/>
  <c r="AC453" i="123" s="1"/>
  <c r="AB501" i="123"/>
  <c r="AC501" i="123" s="1"/>
  <c r="AB380" i="123"/>
  <c r="AC380" i="123" s="1"/>
  <c r="AB182" i="123"/>
  <c r="AC182" i="123" s="1"/>
  <c r="AD182" i="123" s="1"/>
  <c r="AE182" i="123" s="1"/>
  <c r="AB470" i="123"/>
  <c r="AC470" i="123" s="1"/>
  <c r="AB554" i="123"/>
  <c r="AC554" i="123" s="1"/>
  <c r="AB368" i="123"/>
  <c r="AC368" i="123" s="1"/>
  <c r="AB537" i="123"/>
  <c r="AC537" i="123" s="1"/>
  <c r="AB585" i="123"/>
  <c r="AC585" i="123" s="1"/>
  <c r="AB520" i="123"/>
  <c r="AC520" i="123" s="1"/>
  <c r="AB574" i="123"/>
  <c r="AC574" i="123" s="1"/>
  <c r="AB416" i="123"/>
  <c r="AC416" i="123" s="1"/>
  <c r="AB458" i="123"/>
  <c r="AC458" i="123" s="1"/>
  <c r="AB553" i="123"/>
  <c r="AC553" i="123" s="1"/>
  <c r="AB521" i="123"/>
  <c r="AC521" i="123" s="1"/>
  <c r="AB582" i="123"/>
  <c r="AC582" i="123" s="1"/>
  <c r="AB547" i="123"/>
  <c r="AC547" i="123" s="1"/>
  <c r="AB515" i="123"/>
  <c r="AC515" i="123" s="1"/>
  <c r="AB28" i="123"/>
  <c r="AC28" i="123" s="1"/>
  <c r="AD28" i="123" s="1"/>
  <c r="AE28" i="123" s="1"/>
  <c r="AB76" i="123"/>
  <c r="AC76" i="123" s="1"/>
  <c r="AD76" i="123" s="1"/>
  <c r="AE76" i="123" s="1"/>
  <c r="AB322" i="123"/>
  <c r="AC322" i="123" s="1"/>
  <c r="AB370" i="123"/>
  <c r="AC370" i="123" s="1"/>
  <c r="AB418" i="123"/>
  <c r="AC418" i="123" s="1"/>
  <c r="AB466" i="123"/>
  <c r="AC466" i="123" s="1"/>
  <c r="AB5" i="123"/>
  <c r="AC5" i="123" s="1"/>
  <c r="AD5" i="123" s="1"/>
  <c r="AE5" i="123" s="1"/>
  <c r="AB299" i="123"/>
  <c r="AC299" i="123" s="1"/>
  <c r="AB347" i="123"/>
  <c r="AC347" i="123" s="1"/>
  <c r="AB395" i="123"/>
  <c r="AC395" i="123" s="1"/>
  <c r="AB443" i="123"/>
  <c r="AC443" i="123" s="1"/>
  <c r="AB491" i="123"/>
  <c r="AC491" i="123" s="1"/>
  <c r="AB36" i="123"/>
  <c r="AC36" i="123" s="1"/>
  <c r="AD36" i="123" s="1"/>
  <c r="AE36" i="123" s="1"/>
  <c r="AB84" i="123"/>
  <c r="AC84" i="123" s="1"/>
  <c r="AD84" i="123" s="1"/>
  <c r="AE84" i="123" s="1"/>
  <c r="AB324" i="123"/>
  <c r="AC324" i="123" s="1"/>
  <c r="AB372" i="123"/>
  <c r="AC372" i="123" s="1"/>
  <c r="AB420" i="123"/>
  <c r="AC420" i="123" s="1"/>
  <c r="AB468" i="123"/>
  <c r="AC468" i="123" s="1"/>
  <c r="AB55" i="123"/>
  <c r="AC55" i="123" s="1"/>
  <c r="AD55" i="123" s="1"/>
  <c r="AE55" i="123" s="1"/>
  <c r="AB103" i="123"/>
  <c r="AC103" i="123" s="1"/>
  <c r="AD103" i="123" s="1"/>
  <c r="AE103" i="123" s="1"/>
  <c r="AB295" i="123"/>
  <c r="AC295" i="123" s="1"/>
  <c r="AB343" i="123"/>
  <c r="AC343" i="123" s="1"/>
  <c r="AB391" i="123"/>
  <c r="AC391" i="123" s="1"/>
  <c r="AB439" i="123"/>
  <c r="AC439" i="123" s="1"/>
  <c r="AB487" i="123"/>
  <c r="AC487" i="123" s="1"/>
  <c r="AB27" i="123"/>
  <c r="AC27" i="123" s="1"/>
  <c r="AD27" i="123" s="1"/>
  <c r="AE27" i="123" s="1"/>
  <c r="AB315" i="123"/>
  <c r="AC315" i="123" s="1"/>
  <c r="AB363" i="123"/>
  <c r="AC363" i="123" s="1"/>
  <c r="AB411" i="123"/>
  <c r="AC411" i="123" s="1"/>
  <c r="AB459" i="123"/>
  <c r="AC459" i="123" s="1"/>
  <c r="AB507" i="123"/>
  <c r="AC507" i="123" s="1"/>
  <c r="AB452" i="123"/>
  <c r="AC452" i="123" s="1"/>
  <c r="AB506" i="123"/>
  <c r="AC506" i="123" s="1"/>
  <c r="AB560" i="123"/>
  <c r="AC560" i="123" s="1"/>
  <c r="AB404" i="123"/>
  <c r="AC404" i="123" s="1"/>
  <c r="AB543" i="123"/>
  <c r="AC543" i="123" s="1"/>
  <c r="AB14" i="123"/>
  <c r="AC14" i="123" s="1"/>
  <c r="AD14" i="123" s="1"/>
  <c r="AE14" i="123" s="1"/>
  <c r="AB302" i="123"/>
  <c r="AC302" i="123" s="1"/>
  <c r="AB526" i="123"/>
  <c r="AC526" i="123" s="1"/>
  <c r="AB580" i="123"/>
  <c r="AC580" i="123" s="1"/>
  <c r="AB551" i="123"/>
  <c r="AC551" i="123" s="1"/>
  <c r="AB516" i="123"/>
  <c r="AC516" i="123" s="1"/>
  <c r="AB565" i="123"/>
  <c r="AC565" i="123" s="1"/>
  <c r="AB533" i="123"/>
  <c r="AC533" i="123" s="1"/>
  <c r="AB392" i="123"/>
  <c r="AC392" i="123" s="1"/>
  <c r="AB559" i="123"/>
  <c r="AC559" i="123" s="1"/>
  <c r="AB575" i="123"/>
  <c r="AC575" i="123" s="1"/>
  <c r="AB34" i="123"/>
  <c r="AC34" i="123" s="1"/>
  <c r="AD34" i="123" s="1"/>
  <c r="AE34" i="123" s="1"/>
  <c r="AB82" i="123"/>
  <c r="AC82" i="123" s="1"/>
  <c r="AD82" i="123" s="1"/>
  <c r="AE82" i="123" s="1"/>
  <c r="AB184" i="123"/>
  <c r="AC184" i="123" s="1"/>
  <c r="AD184" i="123" s="1"/>
  <c r="AE184" i="123" s="1"/>
  <c r="AB328" i="123"/>
  <c r="AC328" i="123" s="1"/>
  <c r="AB376" i="123"/>
  <c r="AC376" i="123" s="1"/>
  <c r="AB424" i="123"/>
  <c r="AC424" i="123" s="1"/>
  <c r="AB472" i="123"/>
  <c r="AC472" i="123" s="1"/>
  <c r="AB17" i="123"/>
  <c r="AC17" i="123" s="1"/>
  <c r="AD17" i="123" s="1"/>
  <c r="AE17" i="123" s="1"/>
  <c r="AB257" i="123"/>
  <c r="AC257" i="123" s="1"/>
  <c r="AD257" i="123" s="1"/>
  <c r="AE257" i="123" s="1"/>
  <c r="AB305" i="123"/>
  <c r="AC305" i="123" s="1"/>
  <c r="AB353" i="123"/>
  <c r="AC353" i="123" s="1"/>
  <c r="AB401" i="123"/>
  <c r="AC401" i="123" s="1"/>
  <c r="AB449" i="123"/>
  <c r="AC449" i="123" s="1"/>
  <c r="AB497" i="123"/>
  <c r="AC497" i="123" s="1"/>
  <c r="AB90" i="123"/>
  <c r="AC90" i="123" s="1"/>
  <c r="AD90" i="123" s="1"/>
  <c r="AE90" i="123" s="1"/>
  <c r="AB330" i="123"/>
  <c r="AC330" i="123" s="1"/>
  <c r="AB378" i="123"/>
  <c r="AC378" i="123" s="1"/>
  <c r="AB426" i="123"/>
  <c r="AC426" i="123" s="1"/>
  <c r="AB474" i="123"/>
  <c r="AC474" i="123" s="1"/>
  <c r="AB13" i="123"/>
  <c r="AC13" i="123" s="1"/>
  <c r="AD13" i="123" s="1"/>
  <c r="AE13" i="123" s="1"/>
  <c r="AB61" i="123"/>
  <c r="AC61" i="123" s="1"/>
  <c r="AD61" i="123" s="1"/>
  <c r="AE61" i="123" s="1"/>
  <c r="AB301" i="123"/>
  <c r="AC301" i="123" s="1"/>
  <c r="AB349" i="123"/>
  <c r="AC349" i="123" s="1"/>
  <c r="AB397" i="123"/>
  <c r="AC397" i="123" s="1"/>
  <c r="AB445" i="123"/>
  <c r="AC445" i="123" s="1"/>
  <c r="AB493" i="123"/>
  <c r="AC493" i="123" s="1"/>
  <c r="AB177" i="123"/>
  <c r="AC177" i="123" s="1"/>
  <c r="AD177" i="123" s="1"/>
  <c r="AE177" i="123" s="1"/>
  <c r="AB321" i="123"/>
  <c r="AC321" i="123" s="1"/>
  <c r="AB369" i="123"/>
  <c r="AC369" i="123" s="1"/>
  <c r="AB417" i="123"/>
  <c r="AC417" i="123" s="1"/>
  <c r="AB465" i="123"/>
  <c r="AC465" i="123" s="1"/>
  <c r="AB513" i="123"/>
  <c r="AC513" i="123" s="1"/>
  <c r="AB518" i="123"/>
  <c r="AC518" i="123" s="1"/>
  <c r="AB566" i="123"/>
  <c r="AC566" i="123" s="1"/>
  <c r="AB440" i="123"/>
  <c r="AC440" i="123" s="1"/>
  <c r="AB549" i="123"/>
  <c r="AC549" i="123" s="1"/>
  <c r="AB338" i="123"/>
  <c r="AC338" i="123" s="1"/>
  <c r="AB532" i="123"/>
  <c r="AC532" i="123" s="1"/>
  <c r="AB586" i="123"/>
  <c r="AC586" i="123" s="1"/>
  <c r="AB563" i="123"/>
  <c r="AC563" i="123" s="1"/>
  <c r="AB528" i="123"/>
  <c r="AC528" i="123" s="1"/>
  <c r="AB577" i="123"/>
  <c r="AC577" i="123" s="1"/>
  <c r="AB545" i="123"/>
  <c r="AC545" i="123" s="1"/>
  <c r="AB494" i="123"/>
  <c r="AC494" i="123" s="1"/>
  <c r="AB571" i="123"/>
  <c r="AC571" i="123" s="1"/>
  <c r="AB587" i="123"/>
  <c r="AC587" i="123" s="1"/>
  <c r="AB334" i="123"/>
  <c r="AC334" i="123" s="1"/>
  <c r="AB382" i="123"/>
  <c r="AC382" i="123" s="1"/>
  <c r="AB430" i="123"/>
  <c r="AC430" i="123" s="1"/>
  <c r="AB478" i="123"/>
  <c r="AC478" i="123" s="1"/>
  <c r="AB71" i="123"/>
  <c r="AC71" i="123" s="1"/>
  <c r="AD71" i="123" s="1"/>
  <c r="AE71" i="123" s="1"/>
  <c r="AB311" i="123"/>
  <c r="AC311" i="123" s="1"/>
  <c r="AB359" i="123"/>
  <c r="AC359" i="123" s="1"/>
  <c r="AB407" i="123"/>
  <c r="AC407" i="123" s="1"/>
  <c r="AB455" i="123"/>
  <c r="AC455" i="123" s="1"/>
  <c r="AB503" i="123"/>
  <c r="AC503" i="123" s="1"/>
  <c r="AB192" i="123"/>
  <c r="AC192" i="123" s="1"/>
  <c r="AD192" i="123" s="1"/>
  <c r="AE192" i="123" s="1"/>
  <c r="AB336" i="123"/>
  <c r="AC336" i="123" s="1"/>
  <c r="AB384" i="123"/>
  <c r="AC384" i="123" s="1"/>
  <c r="AB432" i="123"/>
  <c r="AC432" i="123" s="1"/>
  <c r="AB480" i="123"/>
  <c r="AC480" i="123" s="1"/>
  <c r="AB307" i="123"/>
  <c r="AC307" i="123" s="1"/>
  <c r="AB355" i="123"/>
  <c r="AC355" i="123" s="1"/>
  <c r="AB403" i="123"/>
  <c r="AC403" i="123" s="1"/>
  <c r="AB451" i="123"/>
  <c r="AC451" i="123" s="1"/>
  <c r="AB499" i="123"/>
  <c r="AC499" i="123" s="1"/>
  <c r="AB39" i="123"/>
  <c r="AC39" i="123" s="1"/>
  <c r="AD39" i="123" s="1"/>
  <c r="AE39" i="123" s="1"/>
  <c r="AB87" i="123"/>
  <c r="AC87" i="123" s="1"/>
  <c r="AD87" i="123" s="1"/>
  <c r="AE87" i="123" s="1"/>
  <c r="AB183" i="123"/>
  <c r="AC183" i="123" s="1"/>
  <c r="AD183" i="123" s="1"/>
  <c r="AE183" i="123" s="1"/>
  <c r="AB327" i="123"/>
  <c r="AC327" i="123" s="1"/>
  <c r="AB375" i="123"/>
  <c r="AC375" i="123" s="1"/>
  <c r="AB423" i="123"/>
  <c r="AC423" i="123" s="1"/>
  <c r="AB471" i="123"/>
  <c r="AC471" i="123" s="1"/>
  <c r="AB562" i="123"/>
  <c r="AC562" i="123" s="1"/>
  <c r="AB26" i="123"/>
  <c r="AC26" i="123" s="1"/>
  <c r="AD26" i="123" s="1"/>
  <c r="AE26" i="123" s="1"/>
  <c r="AB290" i="123"/>
  <c r="AC290" i="123" s="1"/>
  <c r="AB524" i="123"/>
  <c r="AC524" i="123" s="1"/>
  <c r="AB572" i="123"/>
  <c r="AC572" i="123" s="1"/>
  <c r="AB188" i="123"/>
  <c r="AC188" i="123" s="1"/>
  <c r="AD188" i="123" s="1"/>
  <c r="AE188" i="123" s="1"/>
  <c r="AB476" i="123"/>
  <c r="AC476" i="123" s="1"/>
  <c r="AB555" i="123"/>
  <c r="AC555" i="123" s="1"/>
  <c r="AB86" i="123"/>
  <c r="AC86" i="123" s="1"/>
  <c r="AD86" i="123" s="1"/>
  <c r="AE86" i="123" s="1"/>
  <c r="AB374" i="123"/>
  <c r="AC374" i="123" s="1"/>
  <c r="AB538" i="123"/>
  <c r="AC538" i="123" s="1"/>
  <c r="AB527" i="123"/>
  <c r="AC527" i="123" s="1"/>
  <c r="AB540" i="123"/>
  <c r="AC540" i="123" s="1"/>
  <c r="AB356" i="123"/>
  <c r="AC356" i="123" s="1"/>
  <c r="AB557" i="123"/>
  <c r="AC557" i="123" s="1"/>
  <c r="AB522" i="123"/>
  <c r="AC522" i="123" s="1"/>
  <c r="AB314" i="123"/>
  <c r="AC314" i="123" s="1"/>
  <c r="AB583" i="123"/>
  <c r="AC583" i="123" s="1"/>
  <c r="AB142" i="123"/>
  <c r="AC142" i="123" s="1"/>
  <c r="AD142" i="123" s="1"/>
  <c r="AE142" i="123" s="1"/>
  <c r="AB292" i="123"/>
  <c r="AC292" i="123" s="1"/>
  <c r="AB340" i="123"/>
  <c r="AC340" i="123" s="1"/>
  <c r="AB388" i="123"/>
  <c r="AC388" i="123" s="1"/>
  <c r="AB436" i="123"/>
  <c r="AC436" i="123" s="1"/>
  <c r="AB484" i="123"/>
  <c r="AC484" i="123" s="1"/>
  <c r="AB77" i="123"/>
  <c r="AC77" i="123" s="1"/>
  <c r="AD77" i="123" s="1"/>
  <c r="AE77" i="123" s="1"/>
  <c r="AB125" i="123"/>
  <c r="AC125" i="123" s="1"/>
  <c r="AD125" i="123" s="1"/>
  <c r="AE125" i="123" s="1"/>
  <c r="AB317" i="123"/>
  <c r="AC317" i="123" s="1"/>
  <c r="AB365" i="123"/>
  <c r="AC365" i="123" s="1"/>
  <c r="AB413" i="123"/>
  <c r="AC413" i="123" s="1"/>
  <c r="AB461" i="123"/>
  <c r="AC461" i="123" s="1"/>
  <c r="AB509" i="123"/>
  <c r="AC509" i="123" s="1"/>
  <c r="AB54" i="123"/>
  <c r="AC54" i="123" s="1"/>
  <c r="AD54" i="123" s="1"/>
  <c r="AE54" i="123" s="1"/>
  <c r="AB294" i="123"/>
  <c r="AC294" i="123" s="1"/>
  <c r="AB342" i="123"/>
  <c r="AC342" i="123" s="1"/>
  <c r="AB390" i="123"/>
  <c r="AC390" i="123" s="1"/>
  <c r="AB438" i="123"/>
  <c r="AC438" i="123" s="1"/>
  <c r="AB486" i="123"/>
  <c r="AC486" i="123" s="1"/>
  <c r="AB25" i="123"/>
  <c r="AC25" i="123" s="1"/>
  <c r="AD25" i="123" s="1"/>
  <c r="AE25" i="123" s="1"/>
  <c r="AB313" i="123"/>
  <c r="AC313" i="123" s="1"/>
  <c r="AB361" i="123"/>
  <c r="AC361" i="123" s="1"/>
  <c r="AB409" i="123"/>
  <c r="AC409" i="123" s="1"/>
  <c r="AB457" i="123"/>
  <c r="AC457" i="123" s="1"/>
  <c r="AB505" i="123"/>
  <c r="AC505" i="123" s="1"/>
  <c r="AB333" i="123"/>
  <c r="AC333" i="123" s="1"/>
  <c r="AB381" i="123"/>
  <c r="AC381" i="123" s="1"/>
  <c r="AB429" i="123"/>
  <c r="AC429" i="123" s="1"/>
  <c r="AB477" i="123"/>
  <c r="AC477" i="123" s="1"/>
  <c r="AB38" i="123"/>
  <c r="AC38" i="123" s="1"/>
  <c r="AD38" i="123" s="1"/>
  <c r="AE38" i="123" s="1"/>
  <c r="AB326" i="123"/>
  <c r="AC326" i="123" s="1"/>
  <c r="AB530" i="123"/>
  <c r="AC530" i="123" s="1"/>
  <c r="AB578" i="123"/>
  <c r="AC578" i="123" s="1"/>
  <c r="AB512" i="123"/>
  <c r="AC512" i="123" s="1"/>
  <c r="AB561" i="123"/>
  <c r="AC561" i="123" s="1"/>
  <c r="AB410" i="123"/>
  <c r="AC410" i="123" s="1"/>
  <c r="AB544" i="123"/>
  <c r="AC544" i="123" s="1"/>
  <c r="AB539" i="123"/>
  <c r="AC539" i="123" s="1"/>
  <c r="AB552" i="123"/>
  <c r="AC552" i="123" s="1"/>
  <c r="AB464" i="123"/>
  <c r="AC464" i="123" s="1"/>
  <c r="AB569" i="123"/>
  <c r="AC569" i="123" s="1"/>
  <c r="AB534" i="123"/>
  <c r="AC534" i="123" s="1"/>
  <c r="AB422" i="123"/>
  <c r="AC422" i="123" s="1"/>
  <c r="AB52" i="123"/>
  <c r="AC52" i="123" s="1"/>
  <c r="AD52" i="123" s="1"/>
  <c r="AE52" i="123" s="1"/>
  <c r="AB100" i="123"/>
  <c r="AC100" i="123" s="1"/>
  <c r="AD100" i="123" s="1"/>
  <c r="AE100" i="123" s="1"/>
  <c r="AB298" i="123"/>
  <c r="AC298" i="123" s="1"/>
  <c r="AB346" i="123"/>
  <c r="AC346" i="123" s="1"/>
  <c r="AB394" i="123"/>
  <c r="AC394" i="123" s="1"/>
  <c r="AB442" i="123"/>
  <c r="AC442" i="123" s="1"/>
  <c r="AB490" i="123"/>
  <c r="AC490" i="123" s="1"/>
  <c r="AB35" i="123"/>
  <c r="AC35" i="123" s="1"/>
  <c r="AD35" i="123" s="1"/>
  <c r="AE35" i="123" s="1"/>
  <c r="AB83" i="123"/>
  <c r="AC83" i="123" s="1"/>
  <c r="AD83" i="123" s="1"/>
  <c r="AE83" i="123" s="1"/>
  <c r="AB323" i="123"/>
  <c r="AC323" i="123" s="1"/>
  <c r="AB371" i="123"/>
  <c r="AC371" i="123" s="1"/>
  <c r="AB419" i="123"/>
  <c r="AC419" i="123" s="1"/>
  <c r="AB467" i="123"/>
  <c r="AC467" i="123" s="1"/>
  <c r="AB60" i="123"/>
  <c r="AC60" i="123" s="1"/>
  <c r="AD60" i="123" s="1"/>
  <c r="AE60" i="123" s="1"/>
  <c r="AB300" i="123"/>
  <c r="AC300" i="123" s="1"/>
  <c r="AB348" i="123"/>
  <c r="AC348" i="123" s="1"/>
  <c r="AB396" i="123"/>
  <c r="AC396" i="123" s="1"/>
  <c r="AB444" i="123"/>
  <c r="AC444" i="123" s="1"/>
  <c r="AB492" i="123"/>
  <c r="AC492" i="123" s="1"/>
  <c r="AB31" i="123"/>
  <c r="AC31" i="123" s="1"/>
  <c r="AD31" i="123" s="1"/>
  <c r="AE31" i="123" s="1"/>
  <c r="AB175" i="123"/>
  <c r="AC175" i="123" s="1"/>
  <c r="AD175" i="123" s="1"/>
  <c r="AE175" i="123" s="1"/>
  <c r="AB319" i="123"/>
  <c r="AC319" i="123" s="1"/>
  <c r="AB367" i="123"/>
  <c r="AC367" i="123" s="1"/>
  <c r="AB415" i="123"/>
  <c r="AC415" i="123" s="1"/>
  <c r="AB463" i="123"/>
  <c r="AC463" i="123" s="1"/>
  <c r="AB511" i="123"/>
  <c r="AC511" i="123" s="1"/>
  <c r="AB291" i="123"/>
  <c r="AC291" i="123" s="1"/>
  <c r="AB339" i="123"/>
  <c r="AC339" i="123" s="1"/>
  <c r="AB387" i="123"/>
  <c r="AC387" i="123" s="1"/>
  <c r="AB435" i="123"/>
  <c r="AC435" i="123" s="1"/>
  <c r="AB483" i="123"/>
  <c r="AC483" i="123" s="1"/>
  <c r="AB362" i="123"/>
  <c r="AC362" i="123" s="1"/>
  <c r="AB536" i="123"/>
  <c r="AC536" i="123" s="1"/>
  <c r="AB584" i="123"/>
  <c r="AC584" i="123" s="1"/>
  <c r="AB519" i="123"/>
  <c r="AC519" i="123" s="1"/>
  <c r="AB567" i="123"/>
  <c r="AC567" i="123" s="1"/>
  <c r="AB446" i="123"/>
  <c r="AC446" i="123" s="1"/>
  <c r="AB550" i="123"/>
  <c r="AC550" i="123" s="1"/>
  <c r="AB564" i="123"/>
  <c r="AC564" i="123" s="1"/>
  <c r="AB517" i="123"/>
  <c r="AC517" i="123" s="1"/>
  <c r="AB581" i="123"/>
  <c r="AC581" i="123" s="1"/>
  <c r="AB546" i="123"/>
  <c r="AC546" i="123" s="1"/>
  <c r="AB500" i="123"/>
  <c r="AC500" i="123" s="1"/>
  <c r="AB10" i="123"/>
  <c r="AC10" i="123" s="1"/>
  <c r="AD10" i="123" s="1"/>
  <c r="AE10" i="123" s="1"/>
  <c r="AB58" i="123"/>
  <c r="AC58" i="123" s="1"/>
  <c r="AD58" i="123" s="1"/>
  <c r="AE58" i="123" s="1"/>
  <c r="AB256" i="123"/>
  <c r="AC256" i="123" s="1"/>
  <c r="AD256" i="123" s="1"/>
  <c r="AE256" i="123" s="1"/>
  <c r="AB304" i="123"/>
  <c r="AC304" i="123" s="1"/>
  <c r="AB352" i="123"/>
  <c r="AC352" i="123" s="1"/>
  <c r="AB400" i="123"/>
  <c r="AC400" i="123" s="1"/>
  <c r="AB448" i="123"/>
  <c r="AC448" i="123" s="1"/>
  <c r="AB496" i="123"/>
  <c r="AC496" i="123" s="1"/>
  <c r="AB185" i="123"/>
  <c r="AC185" i="123" s="1"/>
  <c r="AD185" i="123" s="1"/>
  <c r="AE185" i="123" s="1"/>
  <c r="AB329" i="123"/>
  <c r="AC329" i="123" s="1"/>
  <c r="AB377" i="123"/>
  <c r="AC377" i="123" s="1"/>
  <c r="AB425" i="123"/>
  <c r="AC425" i="123" s="1"/>
  <c r="AB473" i="123"/>
  <c r="AC473" i="123" s="1"/>
  <c r="AB18" i="123"/>
  <c r="AC18" i="123" s="1"/>
  <c r="AD18" i="123" s="1"/>
  <c r="AE18" i="123" s="1"/>
  <c r="AB66" i="123"/>
  <c r="AC66" i="123" s="1"/>
  <c r="AD66" i="123" s="1"/>
  <c r="AE66" i="123" s="1"/>
  <c r="AB258" i="123"/>
  <c r="AC258" i="123" s="1"/>
  <c r="AD258" i="123" s="1"/>
  <c r="AE258" i="123" s="1"/>
  <c r="AB306" i="123"/>
  <c r="AC306" i="123" s="1"/>
  <c r="AB354" i="123"/>
  <c r="AC354" i="123" s="1"/>
  <c r="AB402" i="123"/>
  <c r="AC402" i="123" s="1"/>
  <c r="AB450" i="123"/>
  <c r="AC450" i="123" s="1"/>
  <c r="AB498" i="123"/>
  <c r="AC498" i="123" s="1"/>
  <c r="AB325" i="123"/>
  <c r="AC325" i="123" s="1"/>
  <c r="AB373" i="123"/>
  <c r="AC373" i="123" s="1"/>
  <c r="AB421" i="123"/>
  <c r="AC421" i="123" s="1"/>
  <c r="AB469" i="123"/>
  <c r="AC469" i="123" s="1"/>
  <c r="AB57" i="123"/>
  <c r="AC57" i="123" s="1"/>
  <c r="AD57" i="123" s="1"/>
  <c r="AE57" i="123" s="1"/>
  <c r="AB297" i="123"/>
  <c r="AC297" i="123" s="1"/>
  <c r="AB345" i="123"/>
  <c r="AC345" i="123" s="1"/>
  <c r="AB393" i="123"/>
  <c r="AC393" i="123" s="1"/>
  <c r="AB441" i="123"/>
  <c r="AC441" i="123" s="1"/>
  <c r="AB489" i="123"/>
  <c r="AC489" i="123" s="1"/>
  <c r="AB110" i="123"/>
  <c r="AC110" i="123" s="1"/>
  <c r="AD110" i="123" s="1"/>
  <c r="AE110" i="123" s="1"/>
  <c r="AB398" i="123"/>
  <c r="AC398" i="123" s="1"/>
  <c r="AB542" i="123"/>
  <c r="AC542" i="123" s="1"/>
  <c r="AB296" i="123"/>
  <c r="AC296" i="123" s="1"/>
  <c r="AB525" i="123"/>
  <c r="AC525" i="123" s="1"/>
  <c r="AB573" i="123"/>
  <c r="AC573" i="123" s="1"/>
  <c r="AB482" i="123"/>
  <c r="AC482" i="123" s="1"/>
  <c r="AB556" i="123"/>
  <c r="AC556" i="123" s="1"/>
  <c r="AB242" i="123"/>
  <c r="AC242" i="123" s="1"/>
  <c r="AD242" i="123" s="1"/>
  <c r="AE242" i="123" s="1"/>
  <c r="AB576" i="123"/>
  <c r="AC576" i="123" s="1"/>
  <c r="AB529" i="123"/>
  <c r="AC529" i="123" s="1"/>
  <c r="AB386" i="123"/>
  <c r="AC386" i="123" s="1"/>
  <c r="AB558" i="123"/>
  <c r="AC558" i="123" s="1"/>
  <c r="AB523" i="123"/>
  <c r="AC523" i="123" s="1"/>
  <c r="AB320" i="123"/>
  <c r="AC320" i="123" s="1"/>
  <c r="AB16" i="123"/>
  <c r="AC16" i="123" s="1"/>
  <c r="AD16" i="123" s="1"/>
  <c r="AE16" i="123" s="1"/>
  <c r="AB310" i="123"/>
  <c r="AC310" i="123" s="1"/>
  <c r="AB358" i="123"/>
  <c r="AC358" i="123" s="1"/>
  <c r="AB406" i="123"/>
  <c r="AC406" i="123" s="1"/>
  <c r="AB454" i="123"/>
  <c r="AC454" i="123" s="1"/>
  <c r="AB502" i="123"/>
  <c r="AC502" i="123" s="1"/>
  <c r="AB335" i="123"/>
  <c r="AC335" i="123" s="1"/>
  <c r="AB383" i="123"/>
  <c r="AC383" i="123" s="1"/>
  <c r="AB431" i="123"/>
  <c r="AC431" i="123" s="1"/>
  <c r="AB479" i="123"/>
  <c r="AC479" i="123" s="1"/>
  <c r="AB216" i="123"/>
  <c r="AC216" i="123" s="1"/>
  <c r="AD216" i="123" s="1"/>
  <c r="AE216" i="123" s="1"/>
  <c r="AB312" i="123"/>
  <c r="AC312" i="123" s="1"/>
  <c r="AB360" i="123"/>
  <c r="AC360" i="123" s="1"/>
  <c r="AB408" i="123"/>
  <c r="AC408" i="123" s="1"/>
  <c r="AB456" i="123"/>
  <c r="AC456" i="123" s="1"/>
  <c r="AB504" i="123"/>
  <c r="AC504" i="123" s="1"/>
  <c r="AB331" i="123"/>
  <c r="AC331" i="123" s="1"/>
  <c r="AB379" i="123"/>
  <c r="AC379" i="123" s="1"/>
  <c r="AB427" i="123"/>
  <c r="AC427" i="123" s="1"/>
  <c r="AB475" i="123"/>
  <c r="AC475" i="123" s="1"/>
  <c r="AB15" i="123"/>
  <c r="AC15" i="123" s="1"/>
  <c r="AD15" i="123" s="1"/>
  <c r="AE15" i="123" s="1"/>
  <c r="AB303" i="123"/>
  <c r="AC303" i="123" s="1"/>
  <c r="AB351" i="123"/>
  <c r="AC351" i="123" s="1"/>
  <c r="AB399" i="123"/>
  <c r="AC399" i="123" s="1"/>
  <c r="AB447" i="123"/>
  <c r="AC447" i="123" s="1"/>
  <c r="AB495" i="123"/>
  <c r="AC495" i="123" s="1"/>
  <c r="AB308" i="123"/>
  <c r="AC308" i="123" s="1"/>
  <c r="AB434" i="123"/>
  <c r="AC434" i="123" s="1"/>
  <c r="AB548" i="123"/>
  <c r="AC548" i="123" s="1"/>
  <c r="AB332" i="123"/>
  <c r="AC332" i="123" s="1"/>
  <c r="AB531" i="123"/>
  <c r="AC531" i="123" s="1"/>
  <c r="AB579" i="123"/>
  <c r="AC579" i="123" s="1"/>
  <c r="AB514" i="123"/>
  <c r="AC514" i="123" s="1"/>
  <c r="AB568" i="123"/>
  <c r="AC568" i="123" s="1"/>
  <c r="AB344" i="123"/>
  <c r="AC344" i="123" s="1"/>
  <c r="AB350" i="123"/>
  <c r="AC350" i="123" s="1"/>
  <c r="AB588" i="123"/>
  <c r="AC588" i="123" s="1"/>
  <c r="AB541" i="123"/>
  <c r="AC541" i="123" s="1"/>
  <c r="AB488" i="123"/>
  <c r="AC488" i="123" s="1"/>
  <c r="AB176" i="123"/>
  <c r="AC176" i="123" s="1"/>
  <c r="AD176" i="123" s="1"/>
  <c r="AE176" i="123" s="1"/>
  <c r="AB570" i="123"/>
  <c r="AC570" i="123" s="1"/>
  <c r="AB535" i="123"/>
  <c r="AC535" i="123" s="1"/>
  <c r="AB428" i="123"/>
  <c r="AC428" i="123" s="1"/>
  <c r="AB11" i="123"/>
  <c r="AC11" i="123" s="1"/>
  <c r="AD11" i="123" s="1"/>
  <c r="AE11" i="123" s="1"/>
  <c r="Q1" i="123"/>
  <c r="Y1" i="123" s="1"/>
  <c r="Q57" i="128"/>
  <c r="Q55" i="128"/>
  <c r="Q110" i="107"/>
  <c r="Q108" i="107"/>
  <c r="P3" i="123"/>
  <c r="Q3" i="123" s="1"/>
  <c r="P258" i="123"/>
  <c r="Q258" i="123" s="1"/>
  <c r="P477" i="123"/>
  <c r="Q477" i="123" s="1"/>
  <c r="P184" i="123"/>
  <c r="Q184" i="123" s="1"/>
  <c r="P208" i="123"/>
  <c r="P534" i="123"/>
  <c r="Q534" i="123" s="1"/>
  <c r="P310" i="123"/>
  <c r="Q310" i="123" s="1"/>
  <c r="P581" i="123"/>
  <c r="Q581" i="123" s="1"/>
  <c r="P269" i="123"/>
  <c r="P353" i="123"/>
  <c r="Q353" i="123" s="1"/>
  <c r="P40" i="123"/>
  <c r="P198" i="123"/>
  <c r="P505" i="123"/>
  <c r="Q505" i="123" s="1"/>
  <c r="P10" i="123"/>
  <c r="Q10" i="123" s="1"/>
  <c r="P350" i="123"/>
  <c r="Q350" i="123" s="1"/>
  <c r="P377" i="123"/>
  <c r="Q377" i="123" s="1"/>
  <c r="P109" i="123"/>
  <c r="P413" i="123"/>
  <c r="Q413" i="123" s="1"/>
  <c r="P55" i="123"/>
  <c r="P432" i="123"/>
  <c r="Q432" i="123" s="1"/>
  <c r="P170" i="123"/>
  <c r="P265" i="123"/>
  <c r="P139" i="123"/>
  <c r="P423" i="123"/>
  <c r="Q423" i="123" s="1"/>
  <c r="P327" i="123"/>
  <c r="Q327" i="123" s="1"/>
  <c r="P387" i="123"/>
  <c r="Q387" i="123" s="1"/>
  <c r="P523" i="123"/>
  <c r="Q523" i="123" s="1"/>
  <c r="P510" i="123"/>
  <c r="Q510" i="123" s="1"/>
  <c r="P19" i="123"/>
  <c r="P362" i="123"/>
  <c r="Q362" i="123" s="1"/>
  <c r="P147" i="123"/>
  <c r="P229" i="123"/>
  <c r="P422" i="123"/>
  <c r="Q422" i="123" s="1"/>
  <c r="P515" i="123"/>
  <c r="Q515" i="123" s="1"/>
  <c r="P88" i="123"/>
  <c r="P390" i="123"/>
  <c r="Q390" i="123" s="1"/>
  <c r="P579" i="123"/>
  <c r="Q579" i="123" s="1"/>
  <c r="P86" i="123"/>
  <c r="Q86" i="123" s="1"/>
  <c r="P543" i="123"/>
  <c r="Q543" i="123" s="1"/>
  <c r="P37" i="123"/>
  <c r="P248" i="123"/>
  <c r="P301" i="123"/>
  <c r="Q301" i="123" s="1"/>
  <c r="P480" i="123"/>
  <c r="Q480" i="123" s="1"/>
  <c r="P474" i="123"/>
  <c r="Q474" i="123" s="1"/>
  <c r="P68" i="123"/>
  <c r="P419" i="123"/>
  <c r="Q419" i="123" s="1"/>
  <c r="P259" i="123"/>
  <c r="P569" i="123"/>
  <c r="Q569" i="123" s="1"/>
  <c r="P125" i="123"/>
  <c r="Q125" i="123" s="1"/>
  <c r="P360" i="123"/>
  <c r="Q360" i="123" s="1"/>
  <c r="P563" i="123"/>
  <c r="Q563" i="123" s="1"/>
  <c r="P34" i="123"/>
  <c r="Q34" i="123" s="1"/>
  <c r="P553" i="123"/>
  <c r="Q553" i="123" s="1"/>
  <c r="P372" i="123"/>
  <c r="Q372" i="123" s="1"/>
  <c r="P570" i="123"/>
  <c r="Q570" i="123" s="1"/>
  <c r="P85" i="123"/>
  <c r="P401" i="123"/>
  <c r="Q401" i="123" s="1"/>
  <c r="P546" i="123"/>
  <c r="Q546" i="123" s="1"/>
  <c r="P446" i="123"/>
  <c r="Q446" i="123" s="1"/>
  <c r="P179" i="123"/>
  <c r="P365" i="123"/>
  <c r="Q365" i="123" s="1"/>
  <c r="P136" i="123"/>
  <c r="P71" i="123"/>
  <c r="Q71" i="123" s="1"/>
  <c r="P267" i="123"/>
  <c r="P481" i="123"/>
  <c r="Q481" i="123" s="1"/>
  <c r="P508" i="123"/>
  <c r="Q508" i="123" s="1"/>
  <c r="P126" i="123"/>
  <c r="P367" i="123"/>
  <c r="Q367" i="123" s="1"/>
  <c r="P497" i="123"/>
  <c r="Q497" i="123" s="1"/>
  <c r="P48" i="123"/>
  <c r="P588" i="123"/>
  <c r="Q588" i="123" s="1"/>
  <c r="P60" i="123"/>
  <c r="Q60" i="123" s="1"/>
  <c r="P164" i="123"/>
  <c r="P283" i="123"/>
  <c r="P238" i="123"/>
  <c r="B1" i="126"/>
  <c r="D37" i="126"/>
  <c r="D36" i="126"/>
  <c r="P33" i="123"/>
  <c r="P42" i="123"/>
  <c r="P173" i="123"/>
  <c r="P299" i="123"/>
  <c r="Q299" i="123" s="1"/>
  <c r="P17" i="123"/>
  <c r="Q17" i="123" s="1"/>
  <c r="P94" i="123"/>
  <c r="P514" i="123"/>
  <c r="Q514" i="123" s="1"/>
  <c r="P227" i="123"/>
  <c r="P228" i="123"/>
  <c r="P44" i="123"/>
  <c r="P527" i="123"/>
  <c r="Q527" i="123" s="1"/>
  <c r="P61" i="123"/>
  <c r="Q61" i="123" s="1"/>
  <c r="P364" i="123"/>
  <c r="Q364" i="123" s="1"/>
  <c r="P25" i="123"/>
  <c r="Q25" i="123" s="1"/>
  <c r="P502" i="123"/>
  <c r="Q502" i="123" s="1"/>
  <c r="P448" i="123"/>
  <c r="Q448" i="123" s="1"/>
  <c r="P316" i="123"/>
  <c r="Q316" i="123" s="1"/>
  <c r="P565" i="123"/>
  <c r="Q565" i="123" s="1"/>
  <c r="P435" i="123"/>
  <c r="Q435" i="123" s="1"/>
  <c r="P493" i="123"/>
  <c r="Q493" i="123" s="1"/>
  <c r="P425" i="123"/>
  <c r="Q425" i="123" s="1"/>
  <c r="P313" i="123"/>
  <c r="Q313" i="123" s="1"/>
  <c r="P517" i="123"/>
  <c r="Q517" i="123" s="1"/>
  <c r="P92" i="123"/>
  <c r="P289" i="123"/>
  <c r="P415" i="123"/>
  <c r="Q415" i="123" s="1"/>
  <c r="P395" i="123"/>
  <c r="Q395" i="123" s="1"/>
  <c r="P72" i="123"/>
  <c r="P578" i="123"/>
  <c r="Q578" i="123" s="1"/>
  <c r="P249" i="123"/>
  <c r="P114" i="123"/>
  <c r="P328" i="123"/>
  <c r="Q328" i="123" s="1"/>
  <c r="P209" i="123"/>
  <c r="P449" i="123"/>
  <c r="Q449" i="123" s="1"/>
  <c r="P338" i="123"/>
  <c r="Q338" i="123" s="1"/>
  <c r="P162" i="123"/>
  <c r="P426" i="123"/>
  <c r="Q426" i="123" s="1"/>
  <c r="P389" i="123"/>
  <c r="Q389" i="123" s="1"/>
  <c r="P47" i="123"/>
  <c r="P555" i="123"/>
  <c r="Q555" i="123" s="1"/>
  <c r="P317" i="123"/>
  <c r="Q317" i="123" s="1"/>
  <c r="P459" i="123"/>
  <c r="Q459" i="123" s="1"/>
  <c r="P180" i="123"/>
  <c r="P355" i="123"/>
  <c r="Q355" i="123" s="1"/>
  <c r="P286" i="123"/>
  <c r="P520" i="123"/>
  <c r="Q520" i="123" s="1"/>
  <c r="P178" i="123"/>
  <c r="P296" i="123"/>
  <c r="Q296" i="123" s="1"/>
  <c r="P512" i="123"/>
  <c r="Q512" i="123" s="1"/>
  <c r="P202" i="123"/>
  <c r="P551" i="123"/>
  <c r="Q551" i="123" s="1"/>
  <c r="P91" i="123"/>
  <c r="P454" i="123"/>
  <c r="Q454" i="123" s="1"/>
  <c r="P146" i="123"/>
  <c r="P337" i="123"/>
  <c r="Q337" i="123" s="1"/>
  <c r="P182" i="123"/>
  <c r="Q182" i="123" s="1"/>
  <c r="P469" i="123"/>
  <c r="Q469" i="123" s="1"/>
  <c r="P219" i="123"/>
  <c r="P77" i="123"/>
  <c r="Q77" i="123" s="1"/>
  <c r="P128" i="123"/>
  <c r="P131" i="123"/>
  <c r="P378" i="123"/>
  <c r="Q378" i="123" s="1"/>
  <c r="P279" i="123"/>
  <c r="P239" i="123"/>
  <c r="P24" i="123"/>
  <c r="P57" i="123"/>
  <c r="Q57" i="123" s="1"/>
  <c r="P53" i="123"/>
  <c r="P231" i="123"/>
  <c r="P452" i="123"/>
  <c r="Q452" i="123" s="1"/>
  <c r="P584" i="123"/>
  <c r="Q584" i="123" s="1"/>
  <c r="P268" i="123"/>
  <c r="P245" i="123"/>
  <c r="D20" i="126"/>
  <c r="D35" i="126"/>
  <c r="D34" i="126"/>
  <c r="P410" i="123"/>
  <c r="Q410" i="123" s="1"/>
  <c r="P478" i="123"/>
  <c r="Q478" i="123" s="1"/>
  <c r="P5" i="123"/>
  <c r="Q5" i="123" s="1"/>
  <c r="P243" i="123"/>
  <c r="P161" i="123"/>
  <c r="P384" i="123"/>
  <c r="Q384" i="123" s="1"/>
  <c r="P463" i="123"/>
  <c r="Q463" i="123" s="1"/>
  <c r="P145" i="123"/>
  <c r="P134" i="123"/>
  <c r="P298" i="123"/>
  <c r="Q298" i="123" s="1"/>
  <c r="P157" i="123"/>
  <c r="P585" i="123"/>
  <c r="Q585" i="123" s="1"/>
  <c r="P32" i="123"/>
  <c r="P253" i="123"/>
  <c r="P494" i="123"/>
  <c r="Q494" i="123" s="1"/>
  <c r="P261" i="123"/>
  <c r="P382" i="123"/>
  <c r="Q382" i="123" s="1"/>
  <c r="P354" i="123"/>
  <c r="Q354" i="123" s="1"/>
  <c r="P115" i="123"/>
  <c r="P356" i="123"/>
  <c r="Q356" i="123" s="1"/>
  <c r="P492" i="123"/>
  <c r="Q492" i="123" s="1"/>
  <c r="P200" i="123"/>
  <c r="P271" i="123"/>
  <c r="P205" i="123"/>
  <c r="P361" i="123"/>
  <c r="Q361" i="123" s="1"/>
  <c r="P156" i="123"/>
  <c r="P307" i="123"/>
  <c r="Q307" i="123" s="1"/>
  <c r="P169" i="123"/>
  <c r="P499" i="123"/>
  <c r="Q499" i="123" s="1"/>
  <c r="P78" i="123"/>
  <c r="P29" i="123"/>
  <c r="P103" i="123"/>
  <c r="Q103" i="123" s="1"/>
  <c r="P521" i="123"/>
  <c r="Q521" i="123" s="1"/>
  <c r="P371" i="123"/>
  <c r="Q371" i="123" s="1"/>
  <c r="P117" i="123"/>
  <c r="P223" i="123"/>
  <c r="P272" i="123"/>
  <c r="P196" i="123"/>
  <c r="P407" i="123"/>
  <c r="Q407" i="123" s="1"/>
  <c r="P472" i="123"/>
  <c r="Q472" i="123" s="1"/>
  <c r="P203" i="123"/>
  <c r="P225" i="123"/>
  <c r="P334" i="123"/>
  <c r="Q334" i="123" s="1"/>
  <c r="P291" i="123"/>
  <c r="Q291" i="123" s="1"/>
  <c r="P451" i="123"/>
  <c r="Q451" i="123" s="1"/>
  <c r="P436" i="123"/>
  <c r="Q436" i="123" s="1"/>
  <c r="P574" i="123"/>
  <c r="Q574" i="123" s="1"/>
  <c r="P111" i="123"/>
  <c r="P383" i="123"/>
  <c r="Q383" i="123" s="1"/>
  <c r="P567" i="123"/>
  <c r="Q567" i="123" s="1"/>
  <c r="P524" i="123"/>
  <c r="Q524" i="123" s="1"/>
  <c r="P235" i="123"/>
  <c r="P489" i="123"/>
  <c r="Q489" i="123" s="1"/>
  <c r="P199" i="123"/>
  <c r="P73" i="123"/>
  <c r="P416" i="123"/>
  <c r="Q416" i="123" s="1"/>
  <c r="P263" i="123"/>
  <c r="P450" i="123"/>
  <c r="Q450" i="123" s="1"/>
  <c r="P158" i="123"/>
  <c r="P195" i="123"/>
  <c r="P183" i="123"/>
  <c r="Q183" i="123" s="1"/>
  <c r="P314" i="123"/>
  <c r="Q314" i="123" s="1"/>
  <c r="P189" i="123"/>
  <c r="P424" i="123"/>
  <c r="Q424" i="123" s="1"/>
  <c r="P507" i="123"/>
  <c r="Q507" i="123" s="1"/>
  <c r="P127" i="123"/>
  <c r="P471" i="123"/>
  <c r="Q471" i="123" s="1"/>
  <c r="P106" i="123"/>
  <c r="P532" i="123"/>
  <c r="Q532" i="123" s="1"/>
  <c r="P421" i="123"/>
  <c r="Q421" i="123" s="1"/>
  <c r="P266" i="123"/>
  <c r="P518" i="123"/>
  <c r="Q518" i="123" s="1"/>
  <c r="P405" i="123"/>
  <c r="Q405" i="123" s="1"/>
  <c r="P41" i="123"/>
  <c r="D23" i="126"/>
  <c r="D19" i="126"/>
  <c r="D48" i="126"/>
  <c r="D49" i="126"/>
  <c r="P531" i="123"/>
  <c r="Q531" i="123" s="1"/>
  <c r="P392" i="123"/>
  <c r="Q392" i="123" s="1"/>
  <c r="P11" i="123"/>
  <c r="Q11" i="123" s="1"/>
  <c r="P82" i="123"/>
  <c r="Q82" i="123" s="1"/>
  <c r="P476" i="123"/>
  <c r="Q476" i="123" s="1"/>
  <c r="P142" i="123"/>
  <c r="Q142" i="123" s="1"/>
  <c r="P144" i="123"/>
  <c r="P562" i="123"/>
  <c r="Q562" i="123" s="1"/>
  <c r="P577" i="123"/>
  <c r="Q577" i="123" s="1"/>
  <c r="P380" i="123"/>
  <c r="Q380" i="123" s="1"/>
  <c r="P207" i="123"/>
  <c r="P79" i="123"/>
  <c r="P560" i="123"/>
  <c r="Q560" i="123" s="1"/>
  <c r="P110" i="123"/>
  <c r="Q110" i="123" s="1"/>
  <c r="P281" i="123"/>
  <c r="P62" i="123"/>
  <c r="P124" i="123"/>
  <c r="P304" i="123"/>
  <c r="Q304" i="123" s="1"/>
  <c r="P406" i="123"/>
  <c r="Q406" i="123" s="1"/>
  <c r="P536" i="123"/>
  <c r="Q536" i="123" s="1"/>
  <c r="P445" i="123"/>
  <c r="Q445" i="123" s="1"/>
  <c r="P501" i="123"/>
  <c r="Q501" i="123" s="1"/>
  <c r="P522" i="123"/>
  <c r="Q522" i="123" s="1"/>
  <c r="P118" i="123"/>
  <c r="P52" i="123"/>
  <c r="Q52" i="123" s="1"/>
  <c r="P13" i="123"/>
  <c r="Q13" i="123" s="1"/>
  <c r="P535" i="123"/>
  <c r="Q535" i="123" s="1"/>
  <c r="P262" i="123"/>
  <c r="P399" i="123"/>
  <c r="Q399" i="123" s="1"/>
  <c r="P297" i="123"/>
  <c r="Q297" i="123" s="1"/>
  <c r="P95" i="123"/>
  <c r="P240" i="123"/>
  <c r="P6" i="123"/>
  <c r="P212" i="123"/>
  <c r="P437" i="123"/>
  <c r="Q437" i="123" s="1"/>
  <c r="P175" i="123"/>
  <c r="Q175" i="123" s="1"/>
  <c r="P503" i="123"/>
  <c r="Q503" i="123" s="1"/>
  <c r="P75" i="123"/>
  <c r="P319" i="123"/>
  <c r="Q319" i="123" s="1"/>
  <c r="P438" i="123"/>
  <c r="Q438" i="123" s="1"/>
  <c r="P23" i="123"/>
  <c r="P342" i="123"/>
  <c r="Q342" i="123" s="1"/>
  <c r="P116" i="123"/>
  <c r="P394" i="123"/>
  <c r="Q394" i="123" s="1"/>
  <c r="P276" i="123"/>
  <c r="P28" i="123"/>
  <c r="Q28" i="123" s="1"/>
  <c r="P163" i="123"/>
  <c r="P311" i="123"/>
  <c r="Q311" i="123" s="1"/>
  <c r="P277" i="123"/>
  <c r="P113" i="123"/>
  <c r="P411" i="123"/>
  <c r="Q411" i="123" s="1"/>
  <c r="P513" i="123"/>
  <c r="Q513" i="123" s="1"/>
  <c r="P488" i="123"/>
  <c r="Q488" i="123" s="1"/>
  <c r="P133" i="123"/>
  <c r="P352" i="123"/>
  <c r="Q352" i="123" s="1"/>
  <c r="P242" i="123"/>
  <c r="Q242" i="123" s="1"/>
  <c r="P264" i="123"/>
  <c r="P458" i="123"/>
  <c r="Q458" i="123" s="1"/>
  <c r="P308" i="123"/>
  <c r="Q308" i="123" s="1"/>
  <c r="P561" i="123"/>
  <c r="Q561" i="123" s="1"/>
  <c r="P93" i="123"/>
  <c r="P393" i="123"/>
  <c r="Q393" i="123" s="1"/>
  <c r="P529" i="123"/>
  <c r="Q529" i="123" s="1"/>
  <c r="P526" i="123"/>
  <c r="Q526" i="123" s="1"/>
  <c r="P186" i="123"/>
  <c r="P349" i="123"/>
  <c r="Q349" i="123" s="1"/>
  <c r="P181" i="123"/>
  <c r="P455" i="123"/>
  <c r="Q455" i="123" s="1"/>
  <c r="P357" i="123"/>
  <c r="Q357" i="123" s="1"/>
  <c r="P54" i="123"/>
  <c r="Q54" i="123" s="1"/>
  <c r="P461" i="123"/>
  <c r="Q461" i="123" s="1"/>
  <c r="P341" i="123"/>
  <c r="Q341" i="123" s="1"/>
  <c r="D25" i="126"/>
  <c r="P290" i="123"/>
  <c r="Q290" i="123" s="1"/>
  <c r="D46" i="126"/>
  <c r="D47" i="126"/>
  <c r="P76" i="123"/>
  <c r="Q76" i="123" s="1"/>
  <c r="P254" i="123"/>
  <c r="P250" i="123"/>
  <c r="P302" i="123"/>
  <c r="Q302" i="123" s="1"/>
  <c r="P351" i="123"/>
  <c r="Q351" i="123" s="1"/>
  <c r="P348" i="123"/>
  <c r="Q348" i="123" s="1"/>
  <c r="P84" i="123"/>
  <c r="Q84" i="123" s="1"/>
  <c r="P332" i="123"/>
  <c r="Q332" i="123" s="1"/>
  <c r="P58" i="123"/>
  <c r="Q58" i="123" s="1"/>
  <c r="P70" i="123"/>
  <c r="P326" i="123"/>
  <c r="Q326" i="123" s="1"/>
  <c r="P50" i="123"/>
  <c r="P232" i="123"/>
  <c r="P67" i="123"/>
  <c r="P434" i="123"/>
  <c r="Q434" i="123" s="1"/>
  <c r="P152" i="123"/>
  <c r="P197" i="123"/>
  <c r="Q197" i="123" s="1"/>
  <c r="P582" i="123"/>
  <c r="Q582" i="123" s="1"/>
  <c r="P533" i="123"/>
  <c r="Q533" i="123" s="1"/>
  <c r="P105" i="123"/>
  <c r="P346" i="123"/>
  <c r="Q346" i="123" s="1"/>
  <c r="P545" i="123"/>
  <c r="Q545" i="123" s="1"/>
  <c r="P324" i="123"/>
  <c r="Q324" i="123" s="1"/>
  <c r="P15" i="123"/>
  <c r="Q15" i="123" s="1"/>
  <c r="P530" i="123"/>
  <c r="Q530" i="123" s="1"/>
  <c r="P309" i="123"/>
  <c r="Q309" i="123" s="1"/>
  <c r="P573" i="123"/>
  <c r="Q573" i="123" s="1"/>
  <c r="P31" i="123"/>
  <c r="Q31" i="123" s="1"/>
  <c r="P8" i="123"/>
  <c r="P83" i="123"/>
  <c r="Q83" i="123" s="1"/>
  <c r="P280" i="123"/>
  <c r="P475" i="123"/>
  <c r="Q475" i="123" s="1"/>
  <c r="P285" i="123"/>
  <c r="P160" i="123"/>
  <c r="P495" i="123"/>
  <c r="Q495" i="123" s="1"/>
  <c r="P525" i="123"/>
  <c r="Q525" i="123" s="1"/>
  <c r="P343" i="123"/>
  <c r="Q343" i="123" s="1"/>
  <c r="P368" i="123"/>
  <c r="Q368" i="123" s="1"/>
  <c r="P194" i="123"/>
  <c r="P14" i="123"/>
  <c r="Q14" i="123" s="1"/>
  <c r="P220" i="123"/>
  <c r="P397" i="123"/>
  <c r="Q397" i="123" s="1"/>
  <c r="P89" i="123"/>
  <c r="P168" i="123"/>
  <c r="P330" i="123"/>
  <c r="Q330" i="123" s="1"/>
  <c r="P138" i="123"/>
  <c r="P460" i="123"/>
  <c r="Q460" i="123" s="1"/>
  <c r="P559" i="123"/>
  <c r="Q559" i="123" s="1"/>
  <c r="P104" i="123"/>
  <c r="P241" i="123"/>
  <c r="P98" i="123"/>
  <c r="P347" i="123"/>
  <c r="Q347" i="123" s="1"/>
  <c r="P130" i="123"/>
  <c r="P433" i="123"/>
  <c r="Q433" i="123" s="1"/>
  <c r="P274" i="123"/>
  <c r="P56" i="123"/>
  <c r="P234" i="123"/>
  <c r="P210" i="123"/>
  <c r="P473" i="123"/>
  <c r="Q473" i="123" s="1"/>
  <c r="P149" i="123"/>
  <c r="P236" i="123"/>
  <c r="P18" i="123"/>
  <c r="Q18" i="123" s="1"/>
  <c r="P329" i="123"/>
  <c r="Q329" i="123" s="1"/>
  <c r="P496" i="123"/>
  <c r="Q496" i="123" s="1"/>
  <c r="P539" i="123"/>
  <c r="Q539" i="123" s="1"/>
  <c r="P575" i="123"/>
  <c r="Q575" i="123" s="1"/>
  <c r="P90" i="123"/>
  <c r="Q90" i="123" s="1"/>
  <c r="P558" i="123"/>
  <c r="Q558" i="123" s="1"/>
  <c r="P252" i="123"/>
  <c r="P293" i="123"/>
  <c r="Q293" i="123" s="1"/>
  <c r="P583" i="123"/>
  <c r="Q583" i="123" s="1"/>
  <c r="P256" i="123"/>
  <c r="Q256" i="123" s="1"/>
  <c r="P69" i="123"/>
  <c r="D24" i="126"/>
  <c r="F24" i="126" s="1"/>
  <c r="D44" i="126"/>
  <c r="D45" i="126"/>
  <c r="P306" i="123"/>
  <c r="Q306" i="123" s="1"/>
  <c r="P153" i="123"/>
  <c r="P398" i="123"/>
  <c r="Q398" i="123" s="1"/>
  <c r="P255" i="123"/>
  <c r="P414" i="123"/>
  <c r="Q414" i="123" s="1"/>
  <c r="P123" i="123"/>
  <c r="P49" i="123"/>
  <c r="P379" i="123"/>
  <c r="Q379" i="123" s="1"/>
  <c r="P420" i="123"/>
  <c r="Q420" i="123" s="1"/>
  <c r="P22" i="123"/>
  <c r="P315" i="123"/>
  <c r="Q315" i="123" s="1"/>
  <c r="P151" i="123"/>
  <c r="P440" i="123"/>
  <c r="Q440" i="123" s="1"/>
  <c r="P27" i="123"/>
  <c r="Q27" i="123" s="1"/>
  <c r="P320" i="123"/>
  <c r="Q320" i="123" s="1"/>
  <c r="P381" i="123"/>
  <c r="Q381" i="123" s="1"/>
  <c r="P363" i="123"/>
  <c r="Q363" i="123" s="1"/>
  <c r="P491" i="123"/>
  <c r="Q491" i="123" s="1"/>
  <c r="P457" i="123"/>
  <c r="Q457" i="123" s="1"/>
  <c r="P412" i="123"/>
  <c r="Q412" i="123" s="1"/>
  <c r="P132" i="123"/>
  <c r="P74" i="123"/>
  <c r="P187" i="123"/>
  <c r="P402" i="123"/>
  <c r="Q402" i="123" s="1"/>
  <c r="P550" i="123"/>
  <c r="Q550" i="123" s="1"/>
  <c r="P340" i="123"/>
  <c r="Q340" i="123" s="1"/>
  <c r="P456" i="123"/>
  <c r="Q456" i="123" s="1"/>
  <c r="P284" i="123"/>
  <c r="P336" i="123"/>
  <c r="Q336" i="123" s="1"/>
  <c r="P201" i="123"/>
  <c r="P576" i="123"/>
  <c r="Q576" i="123" s="1"/>
  <c r="P470" i="123"/>
  <c r="Q470" i="123" s="1"/>
  <c r="P129" i="123"/>
  <c r="P222" i="123"/>
  <c r="P35" i="123"/>
  <c r="Q35" i="123" s="1"/>
  <c r="P400" i="123"/>
  <c r="Q400" i="123" s="1"/>
  <c r="P135" i="123"/>
  <c r="P87" i="123"/>
  <c r="Q87" i="123" s="1"/>
  <c r="P498" i="123"/>
  <c r="Q498" i="123" s="1"/>
  <c r="P230" i="123"/>
  <c r="P333" i="123"/>
  <c r="Q333" i="123" s="1"/>
  <c r="P288" i="123"/>
  <c r="P121" i="123"/>
  <c r="P544" i="123"/>
  <c r="Q544" i="123" s="1"/>
  <c r="P80" i="123"/>
  <c r="P409" i="123"/>
  <c r="Q409" i="123" s="1"/>
  <c r="P270" i="123"/>
  <c r="P233" i="123"/>
  <c r="P172" i="123"/>
  <c r="P373" i="123"/>
  <c r="Q373" i="123" s="1"/>
  <c r="P4" i="123"/>
  <c r="P63" i="123"/>
  <c r="P549" i="123"/>
  <c r="Q549" i="123" s="1"/>
  <c r="P564" i="123"/>
  <c r="Q564" i="123" s="1"/>
  <c r="P218" i="123"/>
  <c r="P119" i="123"/>
  <c r="P375" i="123"/>
  <c r="Q375" i="123" s="1"/>
  <c r="P586" i="123"/>
  <c r="Q586" i="123" s="1"/>
  <c r="P46" i="123"/>
  <c r="P447" i="123"/>
  <c r="Q447" i="123" s="1"/>
  <c r="P441" i="123"/>
  <c r="Q441" i="123" s="1"/>
  <c r="P206" i="123"/>
  <c r="P81" i="123"/>
  <c r="P408" i="123"/>
  <c r="Q408" i="123" s="1"/>
  <c r="P7" i="123"/>
  <c r="P479" i="123"/>
  <c r="Q479" i="123" s="1"/>
  <c r="P166" i="123"/>
  <c r="P465" i="123"/>
  <c r="Q465" i="123" s="1"/>
  <c r="P282" i="123"/>
  <c r="P122" i="123"/>
  <c r="P359" i="123"/>
  <c r="Q359" i="123" s="1"/>
  <c r="P51" i="123"/>
  <c r="P137" i="123"/>
  <c r="D21" i="126"/>
  <c r="D42" i="126"/>
  <c r="D43" i="126"/>
  <c r="P396" i="123"/>
  <c r="Q396" i="123" s="1"/>
  <c r="P20" i="123"/>
  <c r="P418" i="123"/>
  <c r="Q418" i="123" s="1"/>
  <c r="P385" i="123"/>
  <c r="Q385" i="123" s="1"/>
  <c r="P100" i="123"/>
  <c r="Q100" i="123" s="1"/>
  <c r="P190" i="123"/>
  <c r="P43" i="123"/>
  <c r="P30" i="123"/>
  <c r="Q30" i="123" s="1"/>
  <c r="P358" i="123"/>
  <c r="Q358" i="123" s="1"/>
  <c r="P36" i="123"/>
  <c r="Q36" i="123" s="1"/>
  <c r="P211" i="123"/>
  <c r="P500" i="123"/>
  <c r="Q500" i="123" s="1"/>
  <c r="P21" i="123"/>
  <c r="P504" i="123"/>
  <c r="Q504" i="123" s="1"/>
  <c r="P468" i="123"/>
  <c r="Q468" i="123" s="1"/>
  <c r="P548" i="123"/>
  <c r="Q548" i="123" s="1"/>
  <c r="P108" i="123"/>
  <c r="P556" i="123"/>
  <c r="Q556" i="123" s="1"/>
  <c r="P335" i="123"/>
  <c r="Q335" i="123" s="1"/>
  <c r="P462" i="123"/>
  <c r="Q462" i="123" s="1"/>
  <c r="P217" i="123"/>
  <c r="P490" i="123"/>
  <c r="Q490" i="123" s="1"/>
  <c r="P388" i="123"/>
  <c r="Q388" i="123" s="1"/>
  <c r="P101" i="123"/>
  <c r="P376" i="123"/>
  <c r="Q376" i="123" s="1"/>
  <c r="P366" i="123"/>
  <c r="Q366" i="123" s="1"/>
  <c r="P464" i="123"/>
  <c r="Q464" i="123" s="1"/>
  <c r="P417" i="123"/>
  <c r="Q417" i="123" s="1"/>
  <c r="P96" i="123"/>
  <c r="P528" i="123"/>
  <c r="Q528" i="123" s="1"/>
  <c r="P542" i="123"/>
  <c r="Q542" i="123" s="1"/>
  <c r="P99" i="123"/>
  <c r="P439" i="123"/>
  <c r="Q439" i="123" s="1"/>
  <c r="P246" i="123"/>
  <c r="P107" i="123"/>
  <c r="P312" i="123"/>
  <c r="Q312" i="123" s="1"/>
  <c r="P214" i="123"/>
  <c r="P185" i="123"/>
  <c r="Q185" i="123" s="1"/>
  <c r="P216" i="123"/>
  <c r="Q216" i="123" s="1"/>
  <c r="P275" i="123"/>
  <c r="P150" i="123"/>
  <c r="P540" i="123"/>
  <c r="Q540" i="123" s="1"/>
  <c r="P294" i="123"/>
  <c r="Q294" i="123" s="1"/>
  <c r="P509" i="123"/>
  <c r="Q509" i="123" s="1"/>
  <c r="P140" i="123"/>
  <c r="P345" i="123"/>
  <c r="Q345" i="123" s="1"/>
  <c r="P16" i="123"/>
  <c r="Q16" i="123" s="1"/>
  <c r="P428" i="123"/>
  <c r="Q428" i="123" s="1"/>
  <c r="P554" i="123"/>
  <c r="Q554" i="123" s="1"/>
  <c r="P59" i="123"/>
  <c r="P404" i="123"/>
  <c r="Q404" i="123" s="1"/>
  <c r="P287" i="123"/>
  <c r="P386" i="123"/>
  <c r="Q386" i="123" s="1"/>
  <c r="P45" i="123"/>
  <c r="P538" i="123"/>
  <c r="Q538" i="123" s="1"/>
  <c r="P171" i="123"/>
  <c r="P303" i="123"/>
  <c r="Q303" i="123" s="1"/>
  <c r="P247" i="123"/>
  <c r="P165" i="123"/>
  <c r="P403" i="123"/>
  <c r="Q403" i="123" s="1"/>
  <c r="P9" i="123"/>
  <c r="P26" i="123"/>
  <c r="Q26" i="123" s="1"/>
  <c r="P141" i="123"/>
  <c r="P344" i="123"/>
  <c r="Q344" i="123" s="1"/>
  <c r="P292" i="123"/>
  <c r="Q292" i="123" s="1"/>
  <c r="P38" i="123"/>
  <c r="Q38" i="123" s="1"/>
  <c r="P226" i="123"/>
  <c r="P39" i="123"/>
  <c r="Q39" i="123" s="1"/>
  <c r="P506" i="123"/>
  <c r="Q506" i="123" s="1"/>
  <c r="P174" i="123"/>
  <c r="Q174" i="123" s="1"/>
  <c r="P295" i="123"/>
  <c r="Q295" i="123" s="1"/>
  <c r="P483" i="123"/>
  <c r="Q483" i="123" s="1"/>
  <c r="P188" i="123"/>
  <c r="Q188" i="123" s="1"/>
  <c r="AI62" i="120"/>
  <c r="D33" i="126"/>
  <c r="D40" i="126"/>
  <c r="D41" i="126"/>
  <c r="P453" i="123"/>
  <c r="Q453" i="123" s="1"/>
  <c r="P260" i="123"/>
  <c r="P102" i="123"/>
  <c r="P485" i="123"/>
  <c r="Q485" i="123" s="1"/>
  <c r="P204" i="123"/>
  <c r="P370" i="123"/>
  <c r="Q370" i="123" s="1"/>
  <c r="P177" i="123"/>
  <c r="Q177" i="123" s="1"/>
  <c r="P64" i="123"/>
  <c r="P323" i="123"/>
  <c r="Q323" i="123" s="1"/>
  <c r="P148" i="123"/>
  <c r="P278" i="123"/>
  <c r="P273" i="123"/>
  <c r="P444" i="123"/>
  <c r="Q444" i="123" s="1"/>
  <c r="P580" i="123"/>
  <c r="Q580" i="123" s="1"/>
  <c r="P97" i="123"/>
  <c r="P325" i="123"/>
  <c r="Q325" i="123" s="1"/>
  <c r="P511" i="123"/>
  <c r="Q511" i="123" s="1"/>
  <c r="P321" i="123"/>
  <c r="Q321" i="123" s="1"/>
  <c r="P482" i="123"/>
  <c r="Q482" i="123" s="1"/>
  <c r="P331" i="123"/>
  <c r="Q331" i="123" s="1"/>
  <c r="P430" i="123"/>
  <c r="Q430" i="123" s="1"/>
  <c r="P251" i="123"/>
  <c r="P537" i="123"/>
  <c r="Q537" i="123" s="1"/>
  <c r="P213" i="123"/>
  <c r="P155" i="123"/>
  <c r="P374" i="123"/>
  <c r="Q374" i="123" s="1"/>
  <c r="P429" i="123"/>
  <c r="Q429" i="123" s="1"/>
  <c r="P305" i="123"/>
  <c r="Q305" i="123" s="1"/>
  <c r="P193" i="123"/>
  <c r="P237" i="123"/>
  <c r="P557" i="123"/>
  <c r="Q557" i="123" s="1"/>
  <c r="P391" i="123"/>
  <c r="Q391" i="123" s="1"/>
  <c r="P300" i="123"/>
  <c r="Q300" i="123" s="1"/>
  <c r="P568" i="123"/>
  <c r="Q568" i="123" s="1"/>
  <c r="P369" i="123"/>
  <c r="Q369" i="123" s="1"/>
  <c r="P12" i="123"/>
  <c r="P442" i="123"/>
  <c r="Q442" i="123" s="1"/>
  <c r="P224" i="123"/>
  <c r="P552" i="123"/>
  <c r="Q552" i="123" s="1"/>
  <c r="P516" i="123"/>
  <c r="Q516" i="123" s="1"/>
  <c r="P431" i="123"/>
  <c r="Q431" i="123" s="1"/>
  <c r="P467" i="123"/>
  <c r="Q467" i="123" s="1"/>
  <c r="P221" i="123"/>
  <c r="P244" i="123"/>
  <c r="P191" i="123"/>
  <c r="P65" i="123"/>
  <c r="P566" i="123"/>
  <c r="Q566" i="123" s="1"/>
  <c r="P487" i="123"/>
  <c r="Q487" i="123" s="1"/>
  <c r="P443" i="123"/>
  <c r="Q443" i="123" s="1"/>
  <c r="P154" i="123"/>
  <c r="P143" i="123"/>
  <c r="P176" i="123"/>
  <c r="Q176" i="123" s="1"/>
  <c r="P322" i="123"/>
  <c r="Q322" i="123" s="1"/>
  <c r="P159" i="123"/>
  <c r="P571" i="123"/>
  <c r="Q571" i="123" s="1"/>
  <c r="P541" i="123"/>
  <c r="Q541" i="123" s="1"/>
  <c r="P120" i="123"/>
  <c r="P466" i="123"/>
  <c r="Q466" i="123" s="1"/>
  <c r="P318" i="123"/>
  <c r="Q318" i="123" s="1"/>
  <c r="P339" i="123"/>
  <c r="Q339" i="123" s="1"/>
  <c r="P167" i="123"/>
  <c r="P484" i="123"/>
  <c r="Q484" i="123" s="1"/>
  <c r="P192" i="123"/>
  <c r="Q192" i="123" s="1"/>
  <c r="P66" i="123"/>
  <c r="Q66" i="123" s="1"/>
  <c r="P519" i="123"/>
  <c r="Q519" i="123" s="1"/>
  <c r="P587" i="123"/>
  <c r="Q587" i="123" s="1"/>
  <c r="P547" i="123"/>
  <c r="Q547" i="123" s="1"/>
  <c r="P257" i="123"/>
  <c r="Q257" i="123" s="1"/>
  <c r="P486" i="123"/>
  <c r="Q486" i="123" s="1"/>
  <c r="P215" i="123"/>
  <c r="P112" i="123"/>
  <c r="P427" i="123"/>
  <c r="Q427" i="123" s="1"/>
  <c r="P572" i="123"/>
  <c r="Q572" i="123" s="1"/>
  <c r="D22" i="126"/>
  <c r="D38" i="126"/>
  <c r="D39" i="126"/>
  <c r="Y288" i="123" l="1"/>
  <c r="AB288" i="123" s="1"/>
  <c r="R288" i="123"/>
  <c r="Q289" i="123"/>
  <c r="Y289" i="123"/>
  <c r="AB289" i="123" s="1"/>
  <c r="R289" i="123"/>
  <c r="U19" i="108"/>
  <c r="V19" i="108" s="1"/>
  <c r="BT19" i="108"/>
  <c r="BS19" i="108"/>
  <c r="DK19" i="108"/>
  <c r="DX19" i="108"/>
  <c r="DR19" i="108"/>
  <c r="Q213" i="123"/>
  <c r="R213" i="123"/>
  <c r="Y213" i="123"/>
  <c r="AB213" i="123" s="1"/>
  <c r="Q64" i="123"/>
  <c r="R64" i="123"/>
  <c r="Y64" i="123"/>
  <c r="AB64" i="123" s="1"/>
  <c r="D66" i="126"/>
  <c r="N41" i="126"/>
  <c r="Q9" i="123"/>
  <c r="Y9" i="123"/>
  <c r="AB9" i="123" s="1"/>
  <c r="R9" i="123"/>
  <c r="Q140" i="123"/>
  <c r="Y140" i="123"/>
  <c r="AB140" i="123" s="1"/>
  <c r="R140" i="123"/>
  <c r="Q214" i="123"/>
  <c r="R214" i="123"/>
  <c r="Y214" i="123"/>
  <c r="AB214" i="123" s="1"/>
  <c r="Q96" i="123"/>
  <c r="Y96" i="123"/>
  <c r="AB96" i="123" s="1"/>
  <c r="R96" i="123"/>
  <c r="Q217" i="123"/>
  <c r="R217" i="123"/>
  <c r="Y217" i="123"/>
  <c r="AB217" i="123" s="1"/>
  <c r="Q21" i="123"/>
  <c r="Y21" i="123"/>
  <c r="AB21" i="123" s="1"/>
  <c r="R21" i="123"/>
  <c r="Q137" i="123"/>
  <c r="Y137" i="123"/>
  <c r="AB137" i="123" s="1"/>
  <c r="R137" i="123"/>
  <c r="Q7" i="123"/>
  <c r="Y7" i="123"/>
  <c r="AB7" i="123" s="1"/>
  <c r="AC7" i="123" s="1"/>
  <c r="R7" i="123"/>
  <c r="Q172" i="123"/>
  <c r="R172" i="123"/>
  <c r="Y172" i="123"/>
  <c r="AB172" i="123" s="1"/>
  <c r="Q129" i="123"/>
  <c r="Y129" i="123"/>
  <c r="AB129" i="123" s="1"/>
  <c r="R129" i="123"/>
  <c r="Q252" i="123"/>
  <c r="Y252" i="123"/>
  <c r="AB252" i="123" s="1"/>
  <c r="R252" i="123"/>
  <c r="Q236" i="123"/>
  <c r="Y236" i="123"/>
  <c r="AB236" i="123" s="1"/>
  <c r="R236" i="123"/>
  <c r="Q130" i="123"/>
  <c r="Y130" i="123"/>
  <c r="AB130" i="123" s="1"/>
  <c r="R130" i="123"/>
  <c r="Q8" i="123"/>
  <c r="R8" i="123"/>
  <c r="Y8" i="123"/>
  <c r="AB8" i="123" s="1"/>
  <c r="Q232" i="123"/>
  <c r="Y232" i="123"/>
  <c r="AB232" i="123" s="1"/>
  <c r="R232" i="123"/>
  <c r="Q186" i="123"/>
  <c r="Y186" i="123"/>
  <c r="AB186" i="123" s="1"/>
  <c r="R186" i="123"/>
  <c r="Q264" i="123"/>
  <c r="Y264" i="123"/>
  <c r="AB264" i="123" s="1"/>
  <c r="R264" i="123"/>
  <c r="Q277" i="123"/>
  <c r="Y277" i="123"/>
  <c r="AB277" i="123" s="1"/>
  <c r="R277" i="123"/>
  <c r="Q23" i="123"/>
  <c r="Y23" i="123"/>
  <c r="AB23" i="123" s="1"/>
  <c r="R23" i="123"/>
  <c r="Q6" i="123"/>
  <c r="Y6" i="123"/>
  <c r="AB6" i="123" s="1"/>
  <c r="AC6" i="123" s="1"/>
  <c r="R6" i="123"/>
  <c r="Q124" i="123"/>
  <c r="Y124" i="123"/>
  <c r="AB124" i="123" s="1"/>
  <c r="R124" i="123"/>
  <c r="Q266" i="123"/>
  <c r="Y266" i="123"/>
  <c r="AB266" i="123" s="1"/>
  <c r="R266" i="123"/>
  <c r="Q189" i="123"/>
  <c r="R189" i="123"/>
  <c r="Y189" i="123"/>
  <c r="AB189" i="123" s="1"/>
  <c r="Q73" i="123"/>
  <c r="Y73" i="123"/>
  <c r="AB73" i="123" s="1"/>
  <c r="R73" i="123"/>
  <c r="Q29" i="123"/>
  <c r="Y29" i="123"/>
  <c r="AB29" i="123" s="1"/>
  <c r="R29" i="123"/>
  <c r="Q271" i="123"/>
  <c r="Y271" i="123"/>
  <c r="AB271" i="123" s="1"/>
  <c r="R271" i="123"/>
  <c r="D60" i="126"/>
  <c r="N35" i="126"/>
  <c r="Q219" i="123"/>
  <c r="Y219" i="123"/>
  <c r="AB219" i="123" s="1"/>
  <c r="AC219" i="123" s="1"/>
  <c r="R219" i="123"/>
  <c r="Q202" i="123"/>
  <c r="R202" i="123"/>
  <c r="Y202" i="123"/>
  <c r="AB202" i="123" s="1"/>
  <c r="Q44" i="123"/>
  <c r="Y44" i="123"/>
  <c r="AB44" i="123" s="1"/>
  <c r="R44" i="123"/>
  <c r="Q42" i="123"/>
  <c r="R42" i="123"/>
  <c r="Y42" i="123"/>
  <c r="AB42" i="123" s="1"/>
  <c r="AC42" i="123" s="1"/>
  <c r="Q267" i="123"/>
  <c r="Y267" i="123"/>
  <c r="AB267" i="123" s="1"/>
  <c r="R267" i="123"/>
  <c r="Q85" i="123"/>
  <c r="Y85" i="123"/>
  <c r="AB85" i="123" s="1"/>
  <c r="R85" i="123"/>
  <c r="Q37" i="123"/>
  <c r="Y37" i="123"/>
  <c r="AB37" i="123" s="1"/>
  <c r="R37" i="123"/>
  <c r="Q229" i="123"/>
  <c r="Y229" i="123"/>
  <c r="AB229" i="123" s="1"/>
  <c r="R229" i="123"/>
  <c r="Q112" i="123"/>
  <c r="Y112" i="123"/>
  <c r="AB112" i="123" s="1"/>
  <c r="R112" i="123"/>
  <c r="Q97" i="123"/>
  <c r="Y97" i="123"/>
  <c r="AB97" i="123" s="1"/>
  <c r="R97" i="123"/>
  <c r="D65" i="126"/>
  <c r="N40" i="126"/>
  <c r="Q287" i="123"/>
  <c r="R287" i="123"/>
  <c r="Y287" i="123"/>
  <c r="AB287" i="123" s="1"/>
  <c r="Q51" i="123"/>
  <c r="R51" i="123"/>
  <c r="Y51" i="123"/>
  <c r="AB51" i="123" s="1"/>
  <c r="Q119" i="123"/>
  <c r="Y119" i="123"/>
  <c r="AB119" i="123" s="1"/>
  <c r="R119" i="123"/>
  <c r="Q233" i="123"/>
  <c r="Y233" i="123"/>
  <c r="AB233" i="123" s="1"/>
  <c r="R233" i="123"/>
  <c r="Q230" i="123"/>
  <c r="Y230" i="123"/>
  <c r="AB230" i="123" s="1"/>
  <c r="R230" i="123"/>
  <c r="D70" i="126"/>
  <c r="N45" i="126"/>
  <c r="Q149" i="123"/>
  <c r="Y149" i="123"/>
  <c r="AB149" i="123" s="1"/>
  <c r="R149" i="123"/>
  <c r="Q168" i="123"/>
  <c r="Y168" i="123"/>
  <c r="AB168" i="123" s="1"/>
  <c r="R168" i="123"/>
  <c r="Q105" i="123"/>
  <c r="R105" i="123"/>
  <c r="Y105" i="123"/>
  <c r="AB105" i="123" s="1"/>
  <c r="Q50" i="123"/>
  <c r="Y50" i="123"/>
  <c r="AB50" i="123" s="1"/>
  <c r="R50" i="123"/>
  <c r="Q240" i="123"/>
  <c r="R240" i="123"/>
  <c r="Y240" i="123"/>
  <c r="AB240" i="123" s="1"/>
  <c r="Q118" i="123"/>
  <c r="R118" i="123"/>
  <c r="Y118" i="123"/>
  <c r="AB118" i="123" s="1"/>
  <c r="Q62" i="123"/>
  <c r="R62" i="123"/>
  <c r="Y62" i="123"/>
  <c r="AB62" i="123" s="1"/>
  <c r="D74" i="126"/>
  <c r="Q199" i="123"/>
  <c r="Y199" i="123"/>
  <c r="AB199" i="123" s="1"/>
  <c r="R199" i="123"/>
  <c r="Q196" i="123"/>
  <c r="R196" i="123"/>
  <c r="Y196" i="123"/>
  <c r="AB196" i="123" s="1"/>
  <c r="Q78" i="123"/>
  <c r="R78" i="123"/>
  <c r="Y78" i="123"/>
  <c r="AB78" i="123" s="1"/>
  <c r="AC78" i="123" s="1"/>
  <c r="Q200" i="123"/>
  <c r="Y200" i="123"/>
  <c r="AB200" i="123" s="1"/>
  <c r="R200" i="123"/>
  <c r="Q253" i="123"/>
  <c r="Y253" i="123"/>
  <c r="AB253" i="123" s="1"/>
  <c r="R253" i="123"/>
  <c r="J20" i="126"/>
  <c r="F20" i="126"/>
  <c r="I20" i="126"/>
  <c r="G20" i="126"/>
  <c r="H20" i="126"/>
  <c r="Q24" i="123"/>
  <c r="Y24" i="123"/>
  <c r="AB24" i="123" s="1"/>
  <c r="R24" i="123"/>
  <c r="Q209" i="123"/>
  <c r="Y209" i="123"/>
  <c r="AB209" i="123" s="1"/>
  <c r="R209" i="123"/>
  <c r="Q228" i="123"/>
  <c r="Y228" i="123"/>
  <c r="AB228" i="123" s="1"/>
  <c r="AC228" i="123" s="1"/>
  <c r="R228" i="123"/>
  <c r="Q33" i="123"/>
  <c r="Y33" i="123"/>
  <c r="AB33" i="123" s="1"/>
  <c r="R33" i="123"/>
  <c r="Q259" i="123"/>
  <c r="Y259" i="123"/>
  <c r="AB259" i="123" s="1"/>
  <c r="R259" i="123"/>
  <c r="Q147" i="123"/>
  <c r="Y147" i="123"/>
  <c r="AB147" i="123" s="1"/>
  <c r="R147" i="123"/>
  <c r="Q139" i="123"/>
  <c r="R139" i="123"/>
  <c r="Y139" i="123"/>
  <c r="AB139" i="123" s="1"/>
  <c r="Q215" i="123"/>
  <c r="Y215" i="123"/>
  <c r="AB215" i="123" s="1"/>
  <c r="R215" i="123"/>
  <c r="Q159" i="123"/>
  <c r="R159" i="123"/>
  <c r="Y159" i="123"/>
  <c r="AB159" i="123" s="1"/>
  <c r="Q65" i="123"/>
  <c r="Y65" i="123"/>
  <c r="AB65" i="123" s="1"/>
  <c r="R65" i="123"/>
  <c r="Q224" i="123"/>
  <c r="R224" i="123"/>
  <c r="Y224" i="123"/>
  <c r="AB224" i="123" s="1"/>
  <c r="Q237" i="123"/>
  <c r="R237" i="123"/>
  <c r="Y237" i="123"/>
  <c r="AB237" i="123" s="1"/>
  <c r="Q251" i="123"/>
  <c r="R251" i="123"/>
  <c r="Y251" i="123"/>
  <c r="AB251" i="123" s="1"/>
  <c r="D58" i="126"/>
  <c r="N33" i="126"/>
  <c r="Q226" i="123"/>
  <c r="R226" i="123"/>
  <c r="Y226" i="123"/>
  <c r="AB226" i="123" s="1"/>
  <c r="Q165" i="123"/>
  <c r="Y165" i="123"/>
  <c r="R165" i="123"/>
  <c r="Q107" i="123"/>
  <c r="Y107" i="123"/>
  <c r="AB107" i="123" s="1"/>
  <c r="R107" i="123"/>
  <c r="Q211" i="123"/>
  <c r="Y211" i="123"/>
  <c r="AB211" i="123" s="1"/>
  <c r="R211" i="123"/>
  <c r="Q81" i="123"/>
  <c r="Y81" i="123"/>
  <c r="AB81" i="123" s="1"/>
  <c r="R81" i="123"/>
  <c r="Q218" i="123"/>
  <c r="Y218" i="123"/>
  <c r="AB218" i="123" s="1"/>
  <c r="R218" i="123"/>
  <c r="Q270" i="123"/>
  <c r="Y270" i="123"/>
  <c r="AB270" i="123" s="1"/>
  <c r="R270" i="123"/>
  <c r="Q187" i="123"/>
  <c r="Y187" i="123"/>
  <c r="AB187" i="123" s="1"/>
  <c r="R187" i="123"/>
  <c r="Q49" i="123"/>
  <c r="Y49" i="123"/>
  <c r="AB49" i="123" s="1"/>
  <c r="AC49" i="123" s="1"/>
  <c r="R49" i="123"/>
  <c r="D69" i="126"/>
  <c r="Q98" i="123"/>
  <c r="Y98" i="123"/>
  <c r="AB98" i="123" s="1"/>
  <c r="R98" i="123"/>
  <c r="Q89" i="123"/>
  <c r="R89" i="123"/>
  <c r="Y89" i="123"/>
  <c r="AB89" i="123" s="1"/>
  <c r="Q250" i="123"/>
  <c r="R250" i="123"/>
  <c r="Y250" i="123"/>
  <c r="AB250" i="123" s="1"/>
  <c r="Q163" i="123"/>
  <c r="Y163" i="123"/>
  <c r="AB163" i="123" s="1"/>
  <c r="R163" i="123"/>
  <c r="Q95" i="123"/>
  <c r="Y95" i="123"/>
  <c r="AB95" i="123" s="1"/>
  <c r="R95" i="123"/>
  <c r="Q281" i="123"/>
  <c r="R281" i="123"/>
  <c r="Y281" i="123"/>
  <c r="AB281" i="123" s="1"/>
  <c r="Q144" i="123"/>
  <c r="Y144" i="123"/>
  <c r="AB144" i="123" s="1"/>
  <c r="R144" i="123"/>
  <c r="D73" i="126"/>
  <c r="Q272" i="123"/>
  <c r="R272" i="123"/>
  <c r="Y272" i="123"/>
  <c r="AB272" i="123" s="1"/>
  <c r="Q32" i="123"/>
  <c r="Y32" i="123"/>
  <c r="AB32" i="123" s="1"/>
  <c r="R32" i="123"/>
  <c r="Q161" i="123"/>
  <c r="Y161" i="123"/>
  <c r="AB161" i="123" s="1"/>
  <c r="R161" i="123"/>
  <c r="Q245" i="123"/>
  <c r="Y245" i="123"/>
  <c r="AB245" i="123" s="1"/>
  <c r="R245" i="123"/>
  <c r="Q239" i="123"/>
  <c r="Y239" i="123"/>
  <c r="AB239" i="123" s="1"/>
  <c r="R239" i="123"/>
  <c r="Q92" i="123"/>
  <c r="R92" i="123"/>
  <c r="Y92" i="123"/>
  <c r="AB92" i="123" s="1"/>
  <c r="Q227" i="123"/>
  <c r="Y227" i="123"/>
  <c r="AB227" i="123" s="1"/>
  <c r="R227" i="123"/>
  <c r="D61" i="126"/>
  <c r="N36" i="126"/>
  <c r="Q48" i="123"/>
  <c r="Y48" i="123"/>
  <c r="AB48" i="123" s="1"/>
  <c r="R48" i="123"/>
  <c r="Q136" i="123"/>
  <c r="Y136" i="123"/>
  <c r="AB136" i="123" s="1"/>
  <c r="R136" i="123"/>
  <c r="Q265" i="123"/>
  <c r="R265" i="123"/>
  <c r="Y265" i="123"/>
  <c r="AB265" i="123" s="1"/>
  <c r="AC265" i="123" s="1"/>
  <c r="Q167" i="123"/>
  <c r="R167" i="123"/>
  <c r="Y167" i="123"/>
  <c r="AB167" i="123" s="1"/>
  <c r="Q191" i="123"/>
  <c r="Y191" i="123"/>
  <c r="AB191" i="123" s="1"/>
  <c r="R191" i="123"/>
  <c r="Q193" i="123"/>
  <c r="Y193" i="123"/>
  <c r="AB193" i="123" s="1"/>
  <c r="R193" i="123"/>
  <c r="Q204" i="123"/>
  <c r="Y204" i="123"/>
  <c r="AB204" i="123" s="1"/>
  <c r="R204" i="123"/>
  <c r="Q247" i="123"/>
  <c r="R247" i="123"/>
  <c r="Y247" i="123"/>
  <c r="AB247" i="123" s="1"/>
  <c r="Q59" i="123"/>
  <c r="Y59" i="123"/>
  <c r="AB59" i="123" s="1"/>
  <c r="R59" i="123"/>
  <c r="Q246" i="123"/>
  <c r="R246" i="123"/>
  <c r="Y246" i="123"/>
  <c r="AB246" i="123" s="1"/>
  <c r="Q20" i="123"/>
  <c r="R20" i="123"/>
  <c r="Y20" i="123"/>
  <c r="AB20" i="123" s="1"/>
  <c r="Q122" i="123"/>
  <c r="Y122" i="123"/>
  <c r="AB122" i="123" s="1"/>
  <c r="R122" i="123"/>
  <c r="Q206" i="123"/>
  <c r="Y206" i="123"/>
  <c r="AB206" i="123" s="1"/>
  <c r="R206" i="123"/>
  <c r="Q201" i="123"/>
  <c r="Y201" i="123"/>
  <c r="AB201" i="123" s="1"/>
  <c r="R201" i="123"/>
  <c r="Q74" i="123"/>
  <c r="Y74" i="123"/>
  <c r="AB74" i="123" s="1"/>
  <c r="R74" i="123"/>
  <c r="Q123" i="123"/>
  <c r="Y123" i="123"/>
  <c r="AB123" i="123" s="1"/>
  <c r="R123" i="123"/>
  <c r="Q210" i="123"/>
  <c r="R210" i="123"/>
  <c r="Y210" i="123"/>
  <c r="AB210" i="123" s="1"/>
  <c r="Q241" i="123"/>
  <c r="R241" i="123"/>
  <c r="Y241" i="123"/>
  <c r="AB241" i="123" s="1"/>
  <c r="AC241" i="123" s="1"/>
  <c r="Q160" i="123"/>
  <c r="Y160" i="123"/>
  <c r="AB160" i="123" s="1"/>
  <c r="R160" i="123"/>
  <c r="Q70" i="123"/>
  <c r="R70" i="123"/>
  <c r="Y70" i="123"/>
  <c r="AB70" i="123" s="1"/>
  <c r="Q254" i="123"/>
  <c r="Y254" i="123"/>
  <c r="AB254" i="123" s="1"/>
  <c r="R254" i="123"/>
  <c r="Q133" i="123"/>
  <c r="Y133" i="123"/>
  <c r="R133" i="123"/>
  <c r="Q75" i="123"/>
  <c r="Y75" i="123"/>
  <c r="AB75" i="123" s="1"/>
  <c r="R75" i="123"/>
  <c r="K19" i="126"/>
  <c r="K20" i="126" s="1"/>
  <c r="H19" i="126"/>
  <c r="G19" i="126"/>
  <c r="I19" i="126"/>
  <c r="F19" i="126"/>
  <c r="J19" i="126"/>
  <c r="Q106" i="123"/>
  <c r="Y106" i="123"/>
  <c r="AB106" i="123" s="1"/>
  <c r="R106" i="123"/>
  <c r="Q195" i="123"/>
  <c r="Y195" i="123"/>
  <c r="AB195" i="123" s="1"/>
  <c r="R195" i="123"/>
  <c r="Q235" i="123"/>
  <c r="Y235" i="123"/>
  <c r="AB235" i="123" s="1"/>
  <c r="R235" i="123"/>
  <c r="Q223" i="123"/>
  <c r="R223" i="123"/>
  <c r="Y223" i="123"/>
  <c r="AB223" i="123" s="1"/>
  <c r="Q169" i="123"/>
  <c r="R35" i="120"/>
  <c r="Y169" i="123"/>
  <c r="R169" i="123"/>
  <c r="Q243" i="123"/>
  <c r="Y243" i="123"/>
  <c r="AB243" i="123" s="1"/>
  <c r="R243" i="123"/>
  <c r="Q268" i="123"/>
  <c r="Y268" i="123"/>
  <c r="AB268" i="123" s="1"/>
  <c r="R268" i="123"/>
  <c r="Q279" i="123"/>
  <c r="R279" i="123"/>
  <c r="Y279" i="123"/>
  <c r="AB279" i="123" s="1"/>
  <c r="Q178" i="123"/>
  <c r="R178" i="123"/>
  <c r="Y178" i="123"/>
  <c r="AB178" i="123" s="1"/>
  <c r="Q47" i="123"/>
  <c r="Y47" i="123"/>
  <c r="AB47" i="123" s="1"/>
  <c r="R47" i="123"/>
  <c r="Q114" i="123"/>
  <c r="Y114" i="123"/>
  <c r="AB114" i="123" s="1"/>
  <c r="R114" i="123"/>
  <c r="D62" i="126"/>
  <c r="N37" i="126"/>
  <c r="Q68" i="123"/>
  <c r="R68" i="123"/>
  <c r="Y68" i="123"/>
  <c r="AB68" i="123" s="1"/>
  <c r="Q19" i="123"/>
  <c r="R19" i="123"/>
  <c r="Y19" i="123"/>
  <c r="AB19" i="123" s="1"/>
  <c r="Q170" i="123"/>
  <c r="Y170" i="123"/>
  <c r="AB170" i="123" s="1"/>
  <c r="R170" i="123"/>
  <c r="Q208" i="123"/>
  <c r="Y208" i="123"/>
  <c r="AB208" i="123" s="1"/>
  <c r="AC208" i="123" s="1"/>
  <c r="R208" i="123"/>
  <c r="D64" i="126"/>
  <c r="Q244" i="123"/>
  <c r="Y244" i="123"/>
  <c r="AB244" i="123" s="1"/>
  <c r="AC244" i="123" s="1"/>
  <c r="R244" i="123"/>
  <c r="Q12" i="123"/>
  <c r="Y12" i="123"/>
  <c r="AB12" i="123" s="1"/>
  <c r="R12" i="123"/>
  <c r="Q273" i="123"/>
  <c r="R273" i="123"/>
  <c r="Y273" i="123"/>
  <c r="AB273" i="123" s="1"/>
  <c r="Q150" i="123"/>
  <c r="Y150" i="123"/>
  <c r="AB150" i="123" s="1"/>
  <c r="R150" i="123"/>
  <c r="Q108" i="123"/>
  <c r="Y108" i="123"/>
  <c r="AB108" i="123" s="1"/>
  <c r="R108" i="123"/>
  <c r="Q282" i="123"/>
  <c r="Y282" i="123"/>
  <c r="AB282" i="123" s="1"/>
  <c r="R282" i="123"/>
  <c r="Q80" i="123"/>
  <c r="R80" i="123"/>
  <c r="Y80" i="123"/>
  <c r="AB80" i="123" s="1"/>
  <c r="Q135" i="123"/>
  <c r="R135" i="123"/>
  <c r="Y135" i="123"/>
  <c r="AB135" i="123" s="1"/>
  <c r="Q132" i="123"/>
  <c r="Y132" i="123"/>
  <c r="AB132" i="123" s="1"/>
  <c r="R132" i="123"/>
  <c r="Q69" i="123"/>
  <c r="Y69" i="123"/>
  <c r="AB69" i="123" s="1"/>
  <c r="R69" i="123"/>
  <c r="Q234" i="123"/>
  <c r="Y234" i="123"/>
  <c r="AB234" i="123" s="1"/>
  <c r="R234" i="123"/>
  <c r="Q104" i="123"/>
  <c r="R104" i="123"/>
  <c r="Y104" i="123"/>
  <c r="AB104" i="123" s="1"/>
  <c r="Q220" i="123"/>
  <c r="Y220" i="123"/>
  <c r="AB220" i="123" s="1"/>
  <c r="R220" i="123"/>
  <c r="Q285" i="123"/>
  <c r="Y285" i="123"/>
  <c r="AB285" i="123" s="1"/>
  <c r="R285" i="123"/>
  <c r="Q93" i="123"/>
  <c r="Y93" i="123"/>
  <c r="AB93" i="123" s="1"/>
  <c r="R93" i="123"/>
  <c r="Q276" i="123"/>
  <c r="Y276" i="123"/>
  <c r="AB276" i="123" s="1"/>
  <c r="R276" i="123"/>
  <c r="G23" i="126"/>
  <c r="F23" i="126"/>
  <c r="Q158" i="123"/>
  <c r="Y158" i="123"/>
  <c r="AB158" i="123" s="1"/>
  <c r="R158" i="123"/>
  <c r="Q117" i="123"/>
  <c r="Y117" i="123"/>
  <c r="AB117" i="123" s="1"/>
  <c r="R117" i="123"/>
  <c r="Q115" i="123"/>
  <c r="Y115" i="123"/>
  <c r="AB115" i="123" s="1"/>
  <c r="R115" i="123"/>
  <c r="Q157" i="123"/>
  <c r="Y157" i="123"/>
  <c r="AB157" i="123" s="1"/>
  <c r="R157" i="123"/>
  <c r="Q146" i="123"/>
  <c r="Y146" i="123"/>
  <c r="AB146" i="123" s="1"/>
  <c r="R146" i="123"/>
  <c r="Q249" i="123"/>
  <c r="Y249" i="123"/>
  <c r="AB249" i="123" s="1"/>
  <c r="AC249" i="123" s="1"/>
  <c r="R249" i="123"/>
  <c r="Q94" i="123"/>
  <c r="Y94" i="123"/>
  <c r="AB94" i="123" s="1"/>
  <c r="R94" i="123"/>
  <c r="L19" i="126"/>
  <c r="E88" i="126"/>
  <c r="E89" i="126"/>
  <c r="E87" i="126"/>
  <c r="E92" i="126"/>
  <c r="E91" i="126"/>
  <c r="E90" i="126"/>
  <c r="Q179" i="123"/>
  <c r="Y179" i="123"/>
  <c r="AB179" i="123" s="1"/>
  <c r="R179" i="123"/>
  <c r="Q198" i="123"/>
  <c r="R198" i="123"/>
  <c r="Y198" i="123"/>
  <c r="AB198" i="123" s="1"/>
  <c r="D63" i="126"/>
  <c r="N38" i="126"/>
  <c r="Q143" i="123"/>
  <c r="R143" i="123"/>
  <c r="Y143" i="123"/>
  <c r="AB143" i="123" s="1"/>
  <c r="Q221" i="123"/>
  <c r="R221" i="123"/>
  <c r="Y221" i="123"/>
  <c r="AB221" i="123" s="1"/>
  <c r="Q278" i="123"/>
  <c r="Y278" i="123"/>
  <c r="AB278" i="123" s="1"/>
  <c r="R278" i="123"/>
  <c r="Q102" i="123"/>
  <c r="Y102" i="123"/>
  <c r="AB102" i="123" s="1"/>
  <c r="R102" i="123"/>
  <c r="Q171" i="123"/>
  <c r="Y171" i="123"/>
  <c r="AB171" i="123" s="1"/>
  <c r="R171" i="123"/>
  <c r="Q275" i="123"/>
  <c r="R275" i="123"/>
  <c r="Y275" i="123"/>
  <c r="AB275" i="123" s="1"/>
  <c r="Q99" i="123"/>
  <c r="R99" i="123"/>
  <c r="Y99" i="123"/>
  <c r="AB99" i="123" s="1"/>
  <c r="Q101" i="123"/>
  <c r="R101" i="123"/>
  <c r="Y101" i="123"/>
  <c r="AB101" i="123" s="1"/>
  <c r="D68" i="126"/>
  <c r="N43" i="126"/>
  <c r="Q63" i="123"/>
  <c r="R63" i="123"/>
  <c r="Y63" i="123"/>
  <c r="AB63" i="123" s="1"/>
  <c r="Q284" i="123"/>
  <c r="R284" i="123"/>
  <c r="Y284" i="123"/>
  <c r="AB284" i="123" s="1"/>
  <c r="Q151" i="123"/>
  <c r="Y151" i="123"/>
  <c r="AB151" i="123" s="1"/>
  <c r="R151" i="123"/>
  <c r="Q255" i="123"/>
  <c r="R255" i="123"/>
  <c r="Y255" i="123"/>
  <c r="AB255" i="123" s="1"/>
  <c r="Q56" i="123"/>
  <c r="R56" i="123"/>
  <c r="Y56" i="123"/>
  <c r="AB56" i="123" s="1"/>
  <c r="AC56" i="123" s="1"/>
  <c r="Q152" i="123"/>
  <c r="Y152" i="123"/>
  <c r="AB152" i="123" s="1"/>
  <c r="R152" i="123"/>
  <c r="D72" i="126"/>
  <c r="Q262" i="123"/>
  <c r="R262" i="123"/>
  <c r="Y262" i="123"/>
  <c r="AB262" i="123" s="1"/>
  <c r="Q79" i="123"/>
  <c r="Y79" i="123"/>
  <c r="AB79" i="123" s="1"/>
  <c r="R79" i="123"/>
  <c r="Q41" i="123"/>
  <c r="R41" i="123"/>
  <c r="Y41" i="123"/>
  <c r="AB41" i="123" s="1"/>
  <c r="Q127" i="123"/>
  <c r="Y127" i="123"/>
  <c r="AB127" i="123" s="1"/>
  <c r="R127" i="123"/>
  <c r="Q225" i="123"/>
  <c r="R225" i="123"/>
  <c r="Y225" i="123"/>
  <c r="AB225" i="123" s="1"/>
  <c r="Q156" i="123"/>
  <c r="Y156" i="123"/>
  <c r="AB156" i="123" s="1"/>
  <c r="R156" i="123"/>
  <c r="Q131" i="123"/>
  <c r="Y131" i="123"/>
  <c r="AB131" i="123" s="1"/>
  <c r="R131" i="123"/>
  <c r="Q286" i="123"/>
  <c r="Y286" i="123"/>
  <c r="AB286" i="123" s="1"/>
  <c r="R286" i="123"/>
  <c r="Q238" i="123"/>
  <c r="Y238" i="123"/>
  <c r="AB238" i="123" s="1"/>
  <c r="R238" i="123"/>
  <c r="Q126" i="123"/>
  <c r="Y126" i="123"/>
  <c r="AB126" i="123" s="1"/>
  <c r="R126" i="123"/>
  <c r="Q88" i="123"/>
  <c r="Y88" i="123"/>
  <c r="AB88" i="123" s="1"/>
  <c r="R88" i="123"/>
  <c r="Y55" i="123"/>
  <c r="Q55" i="123"/>
  <c r="Q40" i="123"/>
  <c r="Y40" i="123"/>
  <c r="AB40" i="123" s="1"/>
  <c r="R40" i="123"/>
  <c r="H22" i="126"/>
  <c r="G22" i="126"/>
  <c r="F22" i="126"/>
  <c r="Q154" i="123"/>
  <c r="Y154" i="123"/>
  <c r="AB154" i="123" s="1"/>
  <c r="R154" i="123"/>
  <c r="Q148" i="123"/>
  <c r="Y148" i="123"/>
  <c r="AB148" i="123" s="1"/>
  <c r="R148" i="123"/>
  <c r="Q260" i="123"/>
  <c r="R260" i="123"/>
  <c r="Y260" i="123"/>
  <c r="AB260" i="123" s="1"/>
  <c r="Q141" i="123"/>
  <c r="Y141" i="123"/>
  <c r="AB141" i="123" s="1"/>
  <c r="R141" i="123"/>
  <c r="Q43" i="123"/>
  <c r="Y43" i="123"/>
  <c r="AB43" i="123" s="1"/>
  <c r="R43" i="123"/>
  <c r="D67" i="126"/>
  <c r="N42" i="126"/>
  <c r="Q166" i="123"/>
  <c r="R166" i="123"/>
  <c r="Y166" i="123"/>
  <c r="AB166" i="123" s="1"/>
  <c r="Q46" i="123"/>
  <c r="R46" i="123"/>
  <c r="Y46" i="123"/>
  <c r="AB46" i="123" s="1"/>
  <c r="Q4" i="123"/>
  <c r="Y4" i="123"/>
  <c r="AB4" i="123" s="1"/>
  <c r="AC4" i="123" s="1"/>
  <c r="R4" i="123"/>
  <c r="Q121" i="123"/>
  <c r="Y121" i="123"/>
  <c r="AB121" i="123" s="1"/>
  <c r="AC121" i="123" s="1"/>
  <c r="R121" i="123"/>
  <c r="Q274" i="123"/>
  <c r="Y274" i="123"/>
  <c r="AB274" i="123" s="1"/>
  <c r="R274" i="123"/>
  <c r="Q194" i="123"/>
  <c r="Y194" i="123"/>
  <c r="AB194" i="123" s="1"/>
  <c r="R194" i="123"/>
  <c r="Q280" i="123"/>
  <c r="Y280" i="123"/>
  <c r="AB280" i="123" s="1"/>
  <c r="R280" i="123"/>
  <c r="D71" i="126"/>
  <c r="N46" i="126"/>
  <c r="Q181" i="123"/>
  <c r="Y181" i="123"/>
  <c r="AB181" i="123" s="1"/>
  <c r="R181" i="123"/>
  <c r="Q116" i="123"/>
  <c r="R116" i="123"/>
  <c r="Y116" i="123"/>
  <c r="AB116" i="123" s="1"/>
  <c r="Q207" i="123"/>
  <c r="Y207" i="123"/>
  <c r="AB207" i="123" s="1"/>
  <c r="R207" i="123"/>
  <c r="Q263" i="123"/>
  <c r="R263" i="123"/>
  <c r="Y263" i="123"/>
  <c r="AB263" i="123" s="1"/>
  <c r="Q203" i="123"/>
  <c r="R203" i="123"/>
  <c r="Y203" i="123"/>
  <c r="AB203" i="123" s="1"/>
  <c r="Q134" i="123"/>
  <c r="Y134" i="123"/>
  <c r="AB134" i="123" s="1"/>
  <c r="R134" i="123"/>
  <c r="Q231" i="123"/>
  <c r="Y231" i="123"/>
  <c r="AB231" i="123" s="1"/>
  <c r="R231" i="123"/>
  <c r="Q128" i="123"/>
  <c r="R128" i="123"/>
  <c r="Y128" i="123"/>
  <c r="AB128" i="123" s="1"/>
  <c r="Q91" i="123"/>
  <c r="Y91" i="123"/>
  <c r="AB91" i="123" s="1"/>
  <c r="R91" i="123"/>
  <c r="Q162" i="123"/>
  <c r="Y162" i="123"/>
  <c r="AB162" i="123" s="1"/>
  <c r="R162" i="123"/>
  <c r="Q72" i="123"/>
  <c r="Y72" i="123"/>
  <c r="AB72" i="123" s="1"/>
  <c r="R72" i="123"/>
  <c r="Q283" i="123"/>
  <c r="Y283" i="123"/>
  <c r="AB283" i="123" s="1"/>
  <c r="R283" i="123"/>
  <c r="Q120" i="123"/>
  <c r="Y120" i="123"/>
  <c r="AB120" i="123" s="1"/>
  <c r="R120" i="123"/>
  <c r="Q155" i="123"/>
  <c r="Y155" i="123"/>
  <c r="AB155" i="123" s="1"/>
  <c r="R155" i="123"/>
  <c r="Q45" i="123"/>
  <c r="Y45" i="123"/>
  <c r="AB45" i="123" s="1"/>
  <c r="R45" i="123"/>
  <c r="Q190" i="123"/>
  <c r="R190" i="123"/>
  <c r="Y190" i="123"/>
  <c r="AB190" i="123" s="1"/>
  <c r="F21" i="126"/>
  <c r="I21" i="126"/>
  <c r="H21" i="126"/>
  <c r="G21" i="126"/>
  <c r="Q288" i="123"/>
  <c r="R40" i="120"/>
  <c r="R36" i="120"/>
  <c r="R37" i="120"/>
  <c r="R38" i="120"/>
  <c r="R39" i="120"/>
  <c r="Q222" i="123"/>
  <c r="Y222" i="123"/>
  <c r="AB222" i="123" s="1"/>
  <c r="AC222" i="123" s="1"/>
  <c r="R222" i="123"/>
  <c r="Q22" i="123"/>
  <c r="Y22" i="123"/>
  <c r="AB22" i="123" s="1"/>
  <c r="R22" i="123"/>
  <c r="Q153" i="123"/>
  <c r="R153" i="123"/>
  <c r="Y153" i="123"/>
  <c r="AB153" i="123" s="1"/>
  <c r="Q138" i="123"/>
  <c r="R138" i="123"/>
  <c r="Y138" i="123"/>
  <c r="AB138" i="123" s="1"/>
  <c r="Q67" i="123"/>
  <c r="Y67" i="123"/>
  <c r="AB67" i="123" s="1"/>
  <c r="R67" i="123"/>
  <c r="Q113" i="123"/>
  <c r="Y113" i="123"/>
  <c r="AB113" i="123" s="1"/>
  <c r="R113" i="123"/>
  <c r="Q212" i="123"/>
  <c r="Y212" i="123"/>
  <c r="AB212" i="123" s="1"/>
  <c r="R212" i="123"/>
  <c r="Q111" i="123"/>
  <c r="Y111" i="123"/>
  <c r="AB111" i="123" s="1"/>
  <c r="R111" i="123"/>
  <c r="Q205" i="123"/>
  <c r="R205" i="123"/>
  <c r="Y205" i="123"/>
  <c r="AB205" i="123" s="1"/>
  <c r="Q261" i="123"/>
  <c r="R261" i="123"/>
  <c r="Y261" i="123"/>
  <c r="AB261" i="123" s="1"/>
  <c r="Q145" i="123"/>
  <c r="Y145" i="123"/>
  <c r="AB145" i="123" s="1"/>
  <c r="R145" i="123"/>
  <c r="D59" i="126"/>
  <c r="N34" i="126"/>
  <c r="Q53" i="123"/>
  <c r="R53" i="123"/>
  <c r="Y53" i="123"/>
  <c r="AB53" i="123" s="1"/>
  <c r="Q180" i="123"/>
  <c r="R180" i="123"/>
  <c r="Y180" i="123"/>
  <c r="AB180" i="123" s="1"/>
  <c r="Q173" i="123"/>
  <c r="Y173" i="123"/>
  <c r="AB173" i="123" s="1"/>
  <c r="R173" i="123"/>
  <c r="Q164" i="123"/>
  <c r="Y164" i="123"/>
  <c r="AB164" i="123" s="1"/>
  <c r="R164" i="123"/>
  <c r="Q248" i="123"/>
  <c r="R248" i="123"/>
  <c r="Y248" i="123"/>
  <c r="AB248" i="123" s="1"/>
  <c r="Q109" i="123"/>
  <c r="Y109" i="123"/>
  <c r="AB109" i="123" s="1"/>
  <c r="R109" i="123"/>
  <c r="Q269" i="123"/>
  <c r="Y269" i="123"/>
  <c r="AB269" i="123" s="1"/>
  <c r="R269" i="123"/>
  <c r="T289" i="123" l="1"/>
  <c r="U289" i="123"/>
  <c r="Z289" i="123"/>
  <c r="AA289" i="123" s="1"/>
  <c r="S289" i="123"/>
  <c r="Z288" i="123"/>
  <c r="S288" i="123"/>
  <c r="T288" i="123"/>
  <c r="U288" i="123"/>
  <c r="BH19" i="108"/>
  <c r="BM19" i="108" s="1"/>
  <c r="AB19" i="115"/>
  <c r="BP19" i="108"/>
  <c r="AB133" i="123"/>
  <c r="U37" i="120"/>
  <c r="AB165" i="123"/>
  <c r="U36" i="120"/>
  <c r="J21" i="126"/>
  <c r="J42" i="126" s="1"/>
  <c r="H23" i="126"/>
  <c r="H43" i="126" s="1"/>
  <c r="F25" i="126"/>
  <c r="F42" i="126" s="1"/>
  <c r="I22" i="126"/>
  <c r="I39" i="126" s="1"/>
  <c r="G24" i="126"/>
  <c r="G43" i="126" s="1"/>
  <c r="Z109" i="123"/>
  <c r="S109" i="123"/>
  <c r="S212" i="123"/>
  <c r="Z212" i="123"/>
  <c r="T138" i="123"/>
  <c r="U138" i="123"/>
  <c r="T222" i="123"/>
  <c r="U222" i="123"/>
  <c r="Q37" i="120"/>
  <c r="Q39" i="120"/>
  <c r="Q38" i="120"/>
  <c r="Q40" i="120"/>
  <c r="Q36" i="120"/>
  <c r="T45" i="123"/>
  <c r="U45" i="123"/>
  <c r="S120" i="123"/>
  <c r="Z120" i="123"/>
  <c r="T231" i="123"/>
  <c r="U231" i="123"/>
  <c r="Z203" i="123"/>
  <c r="AA203" i="123" s="1"/>
  <c r="S203" i="123"/>
  <c r="T116" i="123"/>
  <c r="U116" i="123"/>
  <c r="T121" i="123"/>
  <c r="U121" i="123"/>
  <c r="Z46" i="123"/>
  <c r="AA46" i="123" s="1"/>
  <c r="S46" i="123"/>
  <c r="Z43" i="123"/>
  <c r="S43" i="123"/>
  <c r="T40" i="123"/>
  <c r="U40" i="123"/>
  <c r="T126" i="123"/>
  <c r="U126" i="123"/>
  <c r="S286" i="123"/>
  <c r="Z286" i="123"/>
  <c r="T225" i="123"/>
  <c r="U225" i="123"/>
  <c r="T79" i="123"/>
  <c r="U79" i="123"/>
  <c r="T152" i="123"/>
  <c r="U152" i="123"/>
  <c r="Z255" i="123"/>
  <c r="S255" i="123"/>
  <c r="T63" i="123"/>
  <c r="U63" i="123"/>
  <c r="T99" i="123"/>
  <c r="U99" i="123"/>
  <c r="T102" i="123"/>
  <c r="U102" i="123"/>
  <c r="Z221" i="123"/>
  <c r="AA221" i="123" s="1"/>
  <c r="S221" i="123"/>
  <c r="S198" i="123"/>
  <c r="Z198" i="123"/>
  <c r="K46" i="126"/>
  <c r="K41" i="126"/>
  <c r="K45" i="126"/>
  <c r="K38" i="126"/>
  <c r="K48" i="126"/>
  <c r="K33" i="126"/>
  <c r="K37" i="126"/>
  <c r="K40" i="126"/>
  <c r="K35" i="126"/>
  <c r="K44" i="126"/>
  <c r="K36" i="126"/>
  <c r="K49" i="126"/>
  <c r="K28" i="126"/>
  <c r="K39" i="126"/>
  <c r="K43" i="126"/>
  <c r="K47" i="126"/>
  <c r="K42" i="126"/>
  <c r="K34" i="126"/>
  <c r="T146" i="123"/>
  <c r="U146" i="123"/>
  <c r="Z115" i="123"/>
  <c r="S115" i="123"/>
  <c r="T234" i="123"/>
  <c r="U234" i="123"/>
  <c r="Z132" i="123"/>
  <c r="S132" i="123"/>
  <c r="Z244" i="123"/>
  <c r="AA244" i="123" s="1"/>
  <c r="AD244" i="123" s="1"/>
  <c r="AE244" i="123" s="1"/>
  <c r="S244" i="123"/>
  <c r="Z170" i="123"/>
  <c r="S170" i="123"/>
  <c r="T178" i="123"/>
  <c r="U178" i="123"/>
  <c r="T243" i="123"/>
  <c r="U243" i="123"/>
  <c r="T223" i="123"/>
  <c r="U223" i="123"/>
  <c r="T106" i="123"/>
  <c r="U106" i="123"/>
  <c r="Z123" i="123"/>
  <c r="S123" i="123"/>
  <c r="Z247" i="123"/>
  <c r="AA247" i="123" s="1"/>
  <c r="S247" i="123"/>
  <c r="T265" i="123"/>
  <c r="U265" i="123"/>
  <c r="T239" i="123"/>
  <c r="U239" i="123"/>
  <c r="Z161" i="123"/>
  <c r="S161" i="123"/>
  <c r="T49" i="123"/>
  <c r="U49" i="123"/>
  <c r="Z270" i="123"/>
  <c r="AA270" i="123" s="1"/>
  <c r="S270" i="123"/>
  <c r="Z65" i="123"/>
  <c r="AA65" i="123" s="1"/>
  <c r="S65" i="123"/>
  <c r="T139" i="123"/>
  <c r="U139" i="123"/>
  <c r="T33" i="123"/>
  <c r="U33" i="123"/>
  <c r="S209" i="123"/>
  <c r="Z209" i="123"/>
  <c r="AA209" i="123" s="1"/>
  <c r="T78" i="123"/>
  <c r="U78" i="123"/>
  <c r="Z105" i="123"/>
  <c r="S105" i="123"/>
  <c r="T229" i="123"/>
  <c r="U229" i="123"/>
  <c r="Z85" i="123"/>
  <c r="S85" i="123"/>
  <c r="T73" i="123"/>
  <c r="U73" i="123"/>
  <c r="Z266" i="123"/>
  <c r="AA266" i="123" s="1"/>
  <c r="S266" i="123"/>
  <c r="T186" i="123"/>
  <c r="U186" i="123"/>
  <c r="Z8" i="123"/>
  <c r="AA8" i="123" s="1"/>
  <c r="S8" i="123"/>
  <c r="T7" i="123"/>
  <c r="U7" i="123"/>
  <c r="Z21" i="123"/>
  <c r="S21" i="123"/>
  <c r="T214" i="123"/>
  <c r="U214" i="123"/>
  <c r="Z173" i="123"/>
  <c r="S173" i="123"/>
  <c r="T205" i="123"/>
  <c r="U205" i="123"/>
  <c r="T113" i="123"/>
  <c r="U113" i="123"/>
  <c r="Z138" i="123"/>
  <c r="S138" i="123"/>
  <c r="T283" i="123"/>
  <c r="U283" i="123"/>
  <c r="Z162" i="123"/>
  <c r="S162" i="123"/>
  <c r="Z116" i="123"/>
  <c r="AA116" i="123" s="1"/>
  <c r="S116" i="123"/>
  <c r="Z280" i="123"/>
  <c r="S280" i="123"/>
  <c r="T141" i="123"/>
  <c r="U141" i="123"/>
  <c r="Z148" i="123"/>
  <c r="S148" i="123"/>
  <c r="T131" i="123"/>
  <c r="U131" i="123"/>
  <c r="Z225" i="123"/>
  <c r="S225" i="123"/>
  <c r="T151" i="123"/>
  <c r="U151" i="123"/>
  <c r="Z63" i="123"/>
  <c r="S63" i="123"/>
  <c r="Z99" i="123"/>
  <c r="AA99" i="123" s="1"/>
  <c r="S99" i="123"/>
  <c r="T179" i="123"/>
  <c r="U179" i="123"/>
  <c r="L36" i="126"/>
  <c r="L47" i="126"/>
  <c r="L28" i="126"/>
  <c r="L41" i="126"/>
  <c r="L42" i="126"/>
  <c r="L34" i="126"/>
  <c r="L39" i="126"/>
  <c r="L48" i="126"/>
  <c r="L40" i="126"/>
  <c r="L35" i="126"/>
  <c r="L33" i="126"/>
  <c r="L44" i="126"/>
  <c r="L43" i="126"/>
  <c r="L38" i="126"/>
  <c r="L37" i="126"/>
  <c r="L46" i="126"/>
  <c r="L45" i="126"/>
  <c r="L49" i="126"/>
  <c r="T117" i="123"/>
  <c r="U117" i="123"/>
  <c r="T276" i="123"/>
  <c r="U276" i="123"/>
  <c r="S285" i="123"/>
  <c r="Z285" i="123"/>
  <c r="Z282" i="123"/>
  <c r="AA282" i="123" s="1"/>
  <c r="S282" i="123"/>
  <c r="T273" i="123"/>
  <c r="U273" i="123"/>
  <c r="T114" i="123"/>
  <c r="U114" i="123"/>
  <c r="Z178" i="123"/>
  <c r="AA178" i="123" s="1"/>
  <c r="S178" i="123"/>
  <c r="Z223" i="123"/>
  <c r="AA223" i="123" s="1"/>
  <c r="S223" i="123"/>
  <c r="T75" i="123"/>
  <c r="U75" i="123"/>
  <c r="Z254" i="123"/>
  <c r="AA254" i="123" s="1"/>
  <c r="S254" i="123"/>
  <c r="T241" i="123"/>
  <c r="U241" i="123"/>
  <c r="T74" i="123"/>
  <c r="U74" i="123"/>
  <c r="Z206" i="123"/>
  <c r="AA206" i="123" s="1"/>
  <c r="S206" i="123"/>
  <c r="T246" i="123"/>
  <c r="U246" i="123"/>
  <c r="T204" i="123"/>
  <c r="U204" i="123"/>
  <c r="Z191" i="123"/>
  <c r="AA191" i="123" s="1"/>
  <c r="S191" i="123"/>
  <c r="S265" i="123"/>
  <c r="Z265" i="123"/>
  <c r="AA265" i="123" s="1"/>
  <c r="AD265" i="123" s="1"/>
  <c r="AE265" i="123" s="1"/>
  <c r="T32" i="123"/>
  <c r="U32" i="123"/>
  <c r="T144" i="123"/>
  <c r="U144" i="123"/>
  <c r="Z95" i="123"/>
  <c r="S95" i="123"/>
  <c r="T89" i="123"/>
  <c r="U89" i="123"/>
  <c r="T218" i="123"/>
  <c r="U218" i="123"/>
  <c r="Z211" i="123"/>
  <c r="S211" i="123"/>
  <c r="T226" i="123"/>
  <c r="U226" i="123"/>
  <c r="T237" i="123"/>
  <c r="U237" i="123"/>
  <c r="Z139" i="123"/>
  <c r="S139" i="123"/>
  <c r="T24" i="123"/>
  <c r="U24" i="123"/>
  <c r="T253" i="123"/>
  <c r="U253" i="123"/>
  <c r="Z78" i="123"/>
  <c r="AA78" i="123" s="1"/>
  <c r="AD78" i="123" s="1"/>
  <c r="AE78" i="123" s="1"/>
  <c r="S78" i="123"/>
  <c r="T240" i="123"/>
  <c r="U240" i="123"/>
  <c r="T168" i="123"/>
  <c r="U168" i="123"/>
  <c r="T230" i="123"/>
  <c r="U230" i="123"/>
  <c r="Z119" i="123"/>
  <c r="S119" i="123"/>
  <c r="T267" i="123"/>
  <c r="U267" i="123"/>
  <c r="S44" i="123"/>
  <c r="Z44" i="123"/>
  <c r="T124" i="123"/>
  <c r="U124" i="123"/>
  <c r="S23" i="123"/>
  <c r="Z23" i="123"/>
  <c r="AA23" i="123" s="1"/>
  <c r="T130" i="123"/>
  <c r="U130" i="123"/>
  <c r="S252" i="123"/>
  <c r="Z252" i="123"/>
  <c r="AA252" i="123" s="1"/>
  <c r="Z214" i="123"/>
  <c r="S214" i="123"/>
  <c r="T248" i="123"/>
  <c r="U248" i="123"/>
  <c r="T145" i="123"/>
  <c r="U145" i="123"/>
  <c r="S205" i="123"/>
  <c r="Z205" i="123"/>
  <c r="AA205" i="123" s="1"/>
  <c r="S222" i="123"/>
  <c r="Z222" i="123"/>
  <c r="AA222" i="123" s="1"/>
  <c r="AD222" i="123" s="1"/>
  <c r="AE222" i="123" s="1"/>
  <c r="S45" i="123"/>
  <c r="Z45" i="123"/>
  <c r="T91" i="123"/>
  <c r="U91" i="123"/>
  <c r="Z231" i="123"/>
  <c r="S231" i="123"/>
  <c r="T263" i="123"/>
  <c r="U263" i="123"/>
  <c r="T181" i="123"/>
  <c r="U181" i="123"/>
  <c r="T194" i="123"/>
  <c r="U194" i="123"/>
  <c r="Z121" i="123"/>
  <c r="AA121" i="123" s="1"/>
  <c r="AD121" i="123" s="1"/>
  <c r="AE121" i="123" s="1"/>
  <c r="S121" i="123"/>
  <c r="T166" i="123"/>
  <c r="U166" i="123"/>
  <c r="T154" i="123"/>
  <c r="U154" i="123"/>
  <c r="S40" i="123"/>
  <c r="Z40" i="123"/>
  <c r="AA40" i="123" s="1"/>
  <c r="Z126" i="123"/>
  <c r="S126" i="123"/>
  <c r="T127" i="123"/>
  <c r="U127" i="123"/>
  <c r="Z79" i="123"/>
  <c r="AA79" i="123" s="1"/>
  <c r="S79" i="123"/>
  <c r="Z152" i="123"/>
  <c r="S152" i="123"/>
  <c r="Z102" i="123"/>
  <c r="S102" i="123"/>
  <c r="T143" i="123"/>
  <c r="U143" i="123"/>
  <c r="T94" i="123"/>
  <c r="U94" i="123"/>
  <c r="Z146" i="123"/>
  <c r="S146" i="123"/>
  <c r="T220" i="123"/>
  <c r="U220" i="123"/>
  <c r="Z234" i="123"/>
  <c r="AA234" i="123" s="1"/>
  <c r="S234" i="123"/>
  <c r="T135" i="123"/>
  <c r="U135" i="123"/>
  <c r="T108" i="123"/>
  <c r="U108" i="123"/>
  <c r="Z273" i="123"/>
  <c r="S273" i="123"/>
  <c r="T19" i="123"/>
  <c r="U19" i="123"/>
  <c r="S243" i="123"/>
  <c r="Z243" i="123"/>
  <c r="T235" i="123"/>
  <c r="U235" i="123"/>
  <c r="Z106" i="123"/>
  <c r="S106" i="123"/>
  <c r="Z241" i="123"/>
  <c r="AA241" i="123" s="1"/>
  <c r="AD241" i="123" s="1"/>
  <c r="AE241" i="123" s="1"/>
  <c r="S241" i="123"/>
  <c r="T122" i="123"/>
  <c r="U122" i="123"/>
  <c r="Z246" i="123"/>
  <c r="S246" i="123"/>
  <c r="T136" i="123"/>
  <c r="U136" i="123"/>
  <c r="T227" i="123"/>
  <c r="U227" i="123"/>
  <c r="Z239" i="123"/>
  <c r="S239" i="123"/>
  <c r="T163" i="123"/>
  <c r="U163" i="123"/>
  <c r="Z89" i="123"/>
  <c r="S89" i="123"/>
  <c r="Z49" i="123"/>
  <c r="AA49" i="123" s="1"/>
  <c r="AD49" i="123" s="1"/>
  <c r="AE49" i="123" s="1"/>
  <c r="S49" i="123"/>
  <c r="T107" i="123"/>
  <c r="U107" i="123"/>
  <c r="Z226" i="123"/>
  <c r="S226" i="123"/>
  <c r="Z237" i="123"/>
  <c r="AA237" i="123" s="1"/>
  <c r="S237" i="123"/>
  <c r="T159" i="123"/>
  <c r="U159" i="123"/>
  <c r="T147" i="123"/>
  <c r="U147" i="123"/>
  <c r="Z33" i="123"/>
  <c r="S33" i="123"/>
  <c r="Z240" i="123"/>
  <c r="AA240" i="123" s="1"/>
  <c r="S240" i="123"/>
  <c r="T97" i="123"/>
  <c r="U97" i="123"/>
  <c r="S229" i="123"/>
  <c r="Z229" i="123"/>
  <c r="T271" i="123"/>
  <c r="U271" i="123"/>
  <c r="Z73" i="123"/>
  <c r="AA73" i="123" s="1"/>
  <c r="S73" i="123"/>
  <c r="T277" i="123"/>
  <c r="U277" i="123"/>
  <c r="Z186" i="123"/>
  <c r="S186" i="123"/>
  <c r="T129" i="123"/>
  <c r="U129" i="123"/>
  <c r="Z7" i="123"/>
  <c r="AA7" i="123" s="1"/>
  <c r="AD7" i="123" s="1"/>
  <c r="AE7" i="123" s="1"/>
  <c r="S7" i="123"/>
  <c r="T217" i="123"/>
  <c r="U217" i="123"/>
  <c r="T140" i="123"/>
  <c r="U140" i="123"/>
  <c r="T269" i="123"/>
  <c r="U269" i="123"/>
  <c r="Z248" i="123"/>
  <c r="AA248" i="123" s="1"/>
  <c r="S248" i="123"/>
  <c r="T180" i="123"/>
  <c r="U180" i="123"/>
  <c r="T111" i="123"/>
  <c r="U111" i="123"/>
  <c r="Z113" i="123"/>
  <c r="S113" i="123"/>
  <c r="T153" i="123"/>
  <c r="U153" i="123"/>
  <c r="T155" i="123"/>
  <c r="U155" i="123"/>
  <c r="Z283" i="123"/>
  <c r="AA283" i="123" s="1"/>
  <c r="S283" i="123"/>
  <c r="T134" i="123"/>
  <c r="U134" i="123"/>
  <c r="Z263" i="123"/>
  <c r="AA263" i="123" s="1"/>
  <c r="S263" i="123"/>
  <c r="T4" i="123"/>
  <c r="U4" i="123"/>
  <c r="Z166" i="123"/>
  <c r="S166" i="123"/>
  <c r="Z141" i="123"/>
  <c r="S141" i="123"/>
  <c r="T238" i="123"/>
  <c r="U238" i="123"/>
  <c r="Z131" i="123"/>
  <c r="S131" i="123"/>
  <c r="Z151" i="123"/>
  <c r="S151" i="123"/>
  <c r="T275" i="123"/>
  <c r="U275" i="123"/>
  <c r="T278" i="123"/>
  <c r="U278" i="123"/>
  <c r="Z143" i="123"/>
  <c r="S143" i="123"/>
  <c r="Z179" i="123"/>
  <c r="S179" i="123"/>
  <c r="T157" i="123"/>
  <c r="U157" i="123"/>
  <c r="S117" i="123"/>
  <c r="Z117" i="123"/>
  <c r="S276" i="123"/>
  <c r="Z276" i="123"/>
  <c r="T69" i="123"/>
  <c r="U69" i="123"/>
  <c r="Z135" i="123"/>
  <c r="S135" i="123"/>
  <c r="T12" i="123"/>
  <c r="U12" i="123"/>
  <c r="T208" i="123"/>
  <c r="U208" i="123"/>
  <c r="Z19" i="123"/>
  <c r="S19" i="123"/>
  <c r="S114" i="123"/>
  <c r="Z114" i="123"/>
  <c r="T279" i="123"/>
  <c r="U279" i="123"/>
  <c r="T169" i="123"/>
  <c r="U169" i="123"/>
  <c r="Z75" i="123"/>
  <c r="S75" i="123"/>
  <c r="T70" i="123"/>
  <c r="U70" i="123"/>
  <c r="S74" i="123"/>
  <c r="Z74" i="123"/>
  <c r="AA74" i="123" s="1"/>
  <c r="T59" i="123"/>
  <c r="U59" i="123"/>
  <c r="Z204" i="123"/>
  <c r="S204" i="123"/>
  <c r="T167" i="123"/>
  <c r="U167" i="123"/>
  <c r="T245" i="123"/>
  <c r="U245" i="123"/>
  <c r="Z32" i="123"/>
  <c r="AA32" i="123" s="1"/>
  <c r="S32" i="123"/>
  <c r="Z144" i="123"/>
  <c r="S144" i="123"/>
  <c r="T98" i="123"/>
  <c r="U98" i="123"/>
  <c r="T187" i="123"/>
  <c r="U187" i="123"/>
  <c r="Z218" i="123"/>
  <c r="S218" i="123"/>
  <c r="Z159" i="123"/>
  <c r="S159" i="123"/>
  <c r="T228" i="123"/>
  <c r="U228" i="123"/>
  <c r="Z24" i="123"/>
  <c r="AA24" i="123" s="1"/>
  <c r="S24" i="123"/>
  <c r="Z253" i="123"/>
  <c r="AA253" i="123" s="1"/>
  <c r="S253" i="123"/>
  <c r="T196" i="123"/>
  <c r="U196" i="123"/>
  <c r="T62" i="123"/>
  <c r="U62" i="123"/>
  <c r="T50" i="123"/>
  <c r="U50" i="123"/>
  <c r="Z168" i="123"/>
  <c r="S168" i="123"/>
  <c r="Z230" i="123"/>
  <c r="S230" i="123"/>
  <c r="T51" i="123"/>
  <c r="U51" i="123"/>
  <c r="T37" i="123"/>
  <c r="U37" i="123"/>
  <c r="Z267" i="123"/>
  <c r="AA267" i="123" s="1"/>
  <c r="S267" i="123"/>
  <c r="T202" i="123"/>
  <c r="U202" i="123"/>
  <c r="Z124" i="123"/>
  <c r="S124" i="123"/>
  <c r="T232" i="123"/>
  <c r="U232" i="123"/>
  <c r="Z130" i="123"/>
  <c r="S130" i="123"/>
  <c r="T137" i="123"/>
  <c r="U137" i="123"/>
  <c r="S217" i="123"/>
  <c r="Z217" i="123"/>
  <c r="AA217" i="123" s="1"/>
  <c r="T64" i="123"/>
  <c r="U64" i="123"/>
  <c r="T164" i="123"/>
  <c r="U164" i="123"/>
  <c r="Z180" i="123"/>
  <c r="S180" i="123"/>
  <c r="Z145" i="123"/>
  <c r="S145" i="123"/>
  <c r="T67" i="123"/>
  <c r="U67" i="123"/>
  <c r="Z153" i="123"/>
  <c r="S153" i="123"/>
  <c r="T72" i="123"/>
  <c r="U72" i="123"/>
  <c r="Z91" i="123"/>
  <c r="S91" i="123"/>
  <c r="T207" i="123"/>
  <c r="U207" i="123"/>
  <c r="Z181" i="123"/>
  <c r="S181" i="123"/>
  <c r="Z194" i="123"/>
  <c r="S194" i="123"/>
  <c r="Z154" i="123"/>
  <c r="S154" i="123"/>
  <c r="T156" i="123"/>
  <c r="U156" i="123"/>
  <c r="Z127" i="123"/>
  <c r="S127" i="123"/>
  <c r="T262" i="123"/>
  <c r="U262" i="123"/>
  <c r="T56" i="123"/>
  <c r="U56" i="123"/>
  <c r="Z275" i="123"/>
  <c r="S275" i="123"/>
  <c r="Z94" i="123"/>
  <c r="S94" i="123"/>
  <c r="T158" i="123"/>
  <c r="U158" i="123"/>
  <c r="T93" i="123"/>
  <c r="U93" i="123"/>
  <c r="Z220" i="123"/>
  <c r="AA220" i="123" s="1"/>
  <c r="S220" i="123"/>
  <c r="Z108" i="123"/>
  <c r="S108" i="123"/>
  <c r="T47" i="123"/>
  <c r="U47" i="123"/>
  <c r="Z279" i="123"/>
  <c r="S279" i="123"/>
  <c r="U35" i="120"/>
  <c r="AB169" i="123"/>
  <c r="Z235" i="123"/>
  <c r="S235" i="123"/>
  <c r="T133" i="123"/>
  <c r="U133" i="123"/>
  <c r="S37" i="120" s="1"/>
  <c r="Z70" i="123"/>
  <c r="AA70" i="123" s="1"/>
  <c r="S70" i="123"/>
  <c r="T210" i="123"/>
  <c r="U210" i="123"/>
  <c r="T201" i="123"/>
  <c r="U201" i="123"/>
  <c r="Z122" i="123"/>
  <c r="S122" i="123"/>
  <c r="T193" i="123"/>
  <c r="U193" i="123"/>
  <c r="Z167" i="123"/>
  <c r="S167" i="123"/>
  <c r="S136" i="123"/>
  <c r="Z136" i="123"/>
  <c r="Z227" i="123"/>
  <c r="AA227" i="123" s="1"/>
  <c r="S227" i="123"/>
  <c r="Z163" i="123"/>
  <c r="S163" i="123"/>
  <c r="T81" i="123"/>
  <c r="U81" i="123"/>
  <c r="Z107" i="123"/>
  <c r="AA107" i="123" s="1"/>
  <c r="S107" i="123"/>
  <c r="T224" i="123"/>
  <c r="U224" i="123"/>
  <c r="T215" i="123"/>
  <c r="U215" i="123"/>
  <c r="Z147" i="123"/>
  <c r="S147" i="123"/>
  <c r="T200" i="123"/>
  <c r="U200" i="123"/>
  <c r="Z196" i="123"/>
  <c r="S196" i="123"/>
  <c r="Z62" i="123"/>
  <c r="AA62" i="123" s="1"/>
  <c r="S62" i="123"/>
  <c r="T149" i="123"/>
  <c r="U149" i="123"/>
  <c r="T233" i="123"/>
  <c r="U233" i="123"/>
  <c r="S51" i="123"/>
  <c r="Z51" i="123"/>
  <c r="AA51" i="123" s="1"/>
  <c r="Z97" i="123"/>
  <c r="S97" i="123"/>
  <c r="Z202" i="123"/>
  <c r="S202" i="123"/>
  <c r="S271" i="123"/>
  <c r="Z271" i="123"/>
  <c r="T189" i="123"/>
  <c r="U189" i="123"/>
  <c r="T6" i="123"/>
  <c r="U6" i="123"/>
  <c r="Z277" i="123"/>
  <c r="AA277" i="123" s="1"/>
  <c r="S277" i="123"/>
  <c r="T236" i="123"/>
  <c r="U236" i="123"/>
  <c r="Z129" i="123"/>
  <c r="S129" i="123"/>
  <c r="T96" i="123"/>
  <c r="U96" i="123"/>
  <c r="Z140" i="123"/>
  <c r="S140" i="123"/>
  <c r="Z64" i="123"/>
  <c r="AA64" i="123" s="1"/>
  <c r="S64" i="123"/>
  <c r="Z269" i="123"/>
  <c r="S269" i="123"/>
  <c r="Z111" i="123"/>
  <c r="S111" i="123"/>
  <c r="T22" i="123"/>
  <c r="U22" i="123"/>
  <c r="Z155" i="123"/>
  <c r="S155" i="123"/>
  <c r="S134" i="123"/>
  <c r="Z134" i="123"/>
  <c r="T274" i="123"/>
  <c r="U274" i="123"/>
  <c r="Z4" i="123"/>
  <c r="AA4" i="123" s="1"/>
  <c r="S4" i="123"/>
  <c r="T260" i="123"/>
  <c r="U260" i="123"/>
  <c r="T88" i="123"/>
  <c r="U88" i="123"/>
  <c r="S238" i="123"/>
  <c r="Z238" i="123"/>
  <c r="Z262" i="123"/>
  <c r="S262" i="123"/>
  <c r="Z56" i="123"/>
  <c r="AA56" i="123" s="1"/>
  <c r="AD56" i="123" s="1"/>
  <c r="AE56" i="123" s="1"/>
  <c r="S56" i="123"/>
  <c r="T284" i="123"/>
  <c r="U284" i="123"/>
  <c r="T101" i="123"/>
  <c r="U101" i="123"/>
  <c r="T171" i="123"/>
  <c r="U171" i="123"/>
  <c r="Z278" i="123"/>
  <c r="S278" i="123"/>
  <c r="T249" i="123"/>
  <c r="U249" i="123"/>
  <c r="Z157" i="123"/>
  <c r="S157" i="123"/>
  <c r="Z69" i="123"/>
  <c r="AA69" i="123" s="1"/>
  <c r="S69" i="123"/>
  <c r="T80" i="123"/>
  <c r="U80" i="123"/>
  <c r="T150" i="123"/>
  <c r="U150" i="123"/>
  <c r="Z12" i="123"/>
  <c r="S12" i="123"/>
  <c r="Z208" i="123"/>
  <c r="AA208" i="123" s="1"/>
  <c r="AD208" i="123" s="1"/>
  <c r="AE208" i="123" s="1"/>
  <c r="S208" i="123"/>
  <c r="T68" i="123"/>
  <c r="U68" i="123"/>
  <c r="T268" i="123"/>
  <c r="U268" i="123"/>
  <c r="T195" i="123"/>
  <c r="U195" i="123"/>
  <c r="T160" i="123"/>
  <c r="U160" i="123"/>
  <c r="Z210" i="123"/>
  <c r="AA210" i="123" s="1"/>
  <c r="S210" i="123"/>
  <c r="S59" i="123"/>
  <c r="Z59" i="123"/>
  <c r="AA59" i="123" s="1"/>
  <c r="T48" i="123"/>
  <c r="U48" i="123"/>
  <c r="Z245" i="123"/>
  <c r="AA245" i="123" s="1"/>
  <c r="S245" i="123"/>
  <c r="T272" i="123"/>
  <c r="U272" i="123"/>
  <c r="T281" i="123"/>
  <c r="U281" i="123"/>
  <c r="Z98" i="123"/>
  <c r="S98" i="123"/>
  <c r="Z187" i="123"/>
  <c r="S187" i="123"/>
  <c r="T165" i="123"/>
  <c r="U165" i="123"/>
  <c r="Z224" i="123"/>
  <c r="AA224" i="123" s="1"/>
  <c r="S224" i="123"/>
  <c r="T259" i="123"/>
  <c r="U259" i="123"/>
  <c r="Z228" i="123"/>
  <c r="AA228" i="123" s="1"/>
  <c r="AD228" i="123" s="1"/>
  <c r="AE228" i="123" s="1"/>
  <c r="S228" i="123"/>
  <c r="T199" i="123"/>
  <c r="U199" i="123"/>
  <c r="S50" i="123"/>
  <c r="Z50" i="123"/>
  <c r="AA50" i="123" s="1"/>
  <c r="T112" i="123"/>
  <c r="U112" i="123"/>
  <c r="Z37" i="123"/>
  <c r="S37" i="123"/>
  <c r="T42" i="123"/>
  <c r="U42" i="123"/>
  <c r="T219" i="123"/>
  <c r="U219" i="123"/>
  <c r="T29" i="123"/>
  <c r="U29" i="123"/>
  <c r="Z189" i="123"/>
  <c r="S189" i="123"/>
  <c r="T264" i="123"/>
  <c r="U264" i="123"/>
  <c r="Z232" i="123"/>
  <c r="S232" i="123"/>
  <c r="Z137" i="123"/>
  <c r="AA137" i="123" s="1"/>
  <c r="S137" i="123"/>
  <c r="T9" i="123"/>
  <c r="U9" i="123"/>
  <c r="T109" i="123"/>
  <c r="U109" i="123"/>
  <c r="Z164" i="123"/>
  <c r="S164" i="123"/>
  <c r="T53" i="123"/>
  <c r="U53" i="123"/>
  <c r="T261" i="123"/>
  <c r="U261" i="123"/>
  <c r="T212" i="123"/>
  <c r="U212" i="123"/>
  <c r="Z67" i="123"/>
  <c r="AA67" i="123" s="1"/>
  <c r="S67" i="123"/>
  <c r="T190" i="123"/>
  <c r="U190" i="123"/>
  <c r="T120" i="123"/>
  <c r="U120" i="123"/>
  <c r="Z72" i="123"/>
  <c r="AA72" i="123" s="1"/>
  <c r="S72" i="123"/>
  <c r="T128" i="123"/>
  <c r="U128" i="123"/>
  <c r="Z207" i="123"/>
  <c r="S207" i="123"/>
  <c r="T43" i="123"/>
  <c r="U43" i="123"/>
  <c r="S260" i="123"/>
  <c r="Z260" i="123"/>
  <c r="AA260" i="123" s="1"/>
  <c r="T286" i="123"/>
  <c r="U286" i="123"/>
  <c r="Z156" i="123"/>
  <c r="S156" i="123"/>
  <c r="T41" i="123"/>
  <c r="U41" i="123"/>
  <c r="Z284" i="123"/>
  <c r="S284" i="123"/>
  <c r="Z101" i="123"/>
  <c r="AA101" i="123" s="1"/>
  <c r="S101" i="123"/>
  <c r="T115" i="123"/>
  <c r="U115" i="123"/>
  <c r="Z158" i="123"/>
  <c r="S158" i="123"/>
  <c r="Z93" i="123"/>
  <c r="S93" i="123"/>
  <c r="T104" i="123"/>
  <c r="U104" i="123"/>
  <c r="T132" i="123"/>
  <c r="U132" i="123"/>
  <c r="Z80" i="123"/>
  <c r="AA80" i="123" s="1"/>
  <c r="S80" i="123"/>
  <c r="T244" i="123"/>
  <c r="U244" i="123"/>
  <c r="T170" i="123"/>
  <c r="U170" i="123"/>
  <c r="Z68" i="123"/>
  <c r="AA68" i="123" s="1"/>
  <c r="S68" i="123"/>
  <c r="S47" i="123"/>
  <c r="Z47" i="123"/>
  <c r="Z169" i="123"/>
  <c r="S169" i="123"/>
  <c r="Q35" i="120"/>
  <c r="Z133" i="123"/>
  <c r="S133" i="123"/>
  <c r="T123" i="123"/>
  <c r="U123" i="123"/>
  <c r="Z201" i="123"/>
  <c r="S201" i="123"/>
  <c r="T20" i="123"/>
  <c r="U20" i="123"/>
  <c r="Z193" i="123"/>
  <c r="S193" i="123"/>
  <c r="T92" i="123"/>
  <c r="U92" i="123"/>
  <c r="T161" i="123"/>
  <c r="U161" i="123"/>
  <c r="Z272" i="123"/>
  <c r="S272" i="123"/>
  <c r="S281" i="123"/>
  <c r="Z281" i="123"/>
  <c r="T250" i="123"/>
  <c r="U250" i="123"/>
  <c r="T270" i="123"/>
  <c r="U270" i="123"/>
  <c r="Z81" i="123"/>
  <c r="S81" i="123"/>
  <c r="T251" i="123"/>
  <c r="U251" i="123"/>
  <c r="T65" i="123"/>
  <c r="U65" i="123"/>
  <c r="Z215" i="123"/>
  <c r="S215" i="123"/>
  <c r="T209" i="123"/>
  <c r="U209" i="123"/>
  <c r="Z200" i="123"/>
  <c r="S200" i="123"/>
  <c r="T118" i="123"/>
  <c r="U118" i="123"/>
  <c r="Z149" i="123"/>
  <c r="S149" i="123"/>
  <c r="S233" i="123"/>
  <c r="Z233" i="123"/>
  <c r="AA233" i="123" s="1"/>
  <c r="T287" i="123"/>
  <c r="U287" i="123"/>
  <c r="T85" i="123"/>
  <c r="U85" i="123"/>
  <c r="Z42" i="123"/>
  <c r="AA42" i="123" s="1"/>
  <c r="AD42" i="123" s="1"/>
  <c r="AE42" i="123" s="1"/>
  <c r="S42" i="123"/>
  <c r="T266" i="123"/>
  <c r="U266" i="123"/>
  <c r="Z6" i="123"/>
  <c r="AA6" i="123" s="1"/>
  <c r="AD6" i="123" s="1"/>
  <c r="AE6" i="123" s="1"/>
  <c r="S6" i="123"/>
  <c r="Z236" i="123"/>
  <c r="S236" i="123"/>
  <c r="T172" i="123"/>
  <c r="U172" i="123"/>
  <c r="T21" i="123"/>
  <c r="U21" i="123"/>
  <c r="Z96" i="123"/>
  <c r="S96" i="123"/>
  <c r="T213" i="123"/>
  <c r="U213" i="123"/>
  <c r="T173" i="123"/>
  <c r="U173" i="123"/>
  <c r="S53" i="123"/>
  <c r="Z53" i="123"/>
  <c r="Z261" i="123"/>
  <c r="AA261" i="123" s="1"/>
  <c r="S261" i="123"/>
  <c r="Z22" i="123"/>
  <c r="S22" i="123"/>
  <c r="Z190" i="123"/>
  <c r="S190" i="123"/>
  <c r="T162" i="123"/>
  <c r="U162" i="123"/>
  <c r="Z128" i="123"/>
  <c r="S128" i="123"/>
  <c r="T203" i="123"/>
  <c r="U203" i="123"/>
  <c r="T280" i="123"/>
  <c r="U280" i="123"/>
  <c r="Z274" i="123"/>
  <c r="S274" i="123"/>
  <c r="T46" i="123"/>
  <c r="U46" i="123"/>
  <c r="T148" i="123"/>
  <c r="U148" i="123"/>
  <c r="S88" i="123"/>
  <c r="Z88" i="123"/>
  <c r="Z41" i="123"/>
  <c r="S41" i="123"/>
  <c r="T255" i="123"/>
  <c r="U255" i="123"/>
  <c r="Z171" i="123"/>
  <c r="S171" i="123"/>
  <c r="T221" i="123"/>
  <c r="U221" i="123"/>
  <c r="T198" i="123"/>
  <c r="U198" i="123"/>
  <c r="Z249" i="123"/>
  <c r="AA249" i="123" s="1"/>
  <c r="AD249" i="123" s="1"/>
  <c r="AE249" i="123" s="1"/>
  <c r="S249" i="123"/>
  <c r="T285" i="123"/>
  <c r="U285" i="123"/>
  <c r="Z104" i="123"/>
  <c r="S104" i="123"/>
  <c r="T282" i="123"/>
  <c r="U282" i="123"/>
  <c r="Z150" i="123"/>
  <c r="S150" i="123"/>
  <c r="Z268" i="123"/>
  <c r="AA268" i="123" s="1"/>
  <c r="S268" i="123"/>
  <c r="Z195" i="123"/>
  <c r="S195" i="123"/>
  <c r="T254" i="123"/>
  <c r="U254" i="123"/>
  <c r="Z160" i="123"/>
  <c r="S160" i="123"/>
  <c r="T206" i="123"/>
  <c r="U206" i="123"/>
  <c r="Z20" i="123"/>
  <c r="AA20" i="123" s="1"/>
  <c r="S20" i="123"/>
  <c r="T247" i="123"/>
  <c r="U247" i="123"/>
  <c r="T191" i="123"/>
  <c r="U191" i="123"/>
  <c r="S48" i="123"/>
  <c r="Z48" i="123"/>
  <c r="Z92" i="123"/>
  <c r="S92" i="123"/>
  <c r="T95" i="123"/>
  <c r="U95" i="123"/>
  <c r="Z250" i="123"/>
  <c r="S250" i="123"/>
  <c r="T211" i="123"/>
  <c r="U211" i="123"/>
  <c r="Z165" i="123"/>
  <c r="S165" i="123"/>
  <c r="Z251" i="123"/>
  <c r="S251" i="123"/>
  <c r="Z259" i="123"/>
  <c r="S259" i="123"/>
  <c r="Z199" i="123"/>
  <c r="S199" i="123"/>
  <c r="Z118" i="123"/>
  <c r="S118" i="123"/>
  <c r="T105" i="123"/>
  <c r="U105" i="123"/>
  <c r="T119" i="123"/>
  <c r="U119" i="123"/>
  <c r="Z287" i="123"/>
  <c r="S287" i="123"/>
  <c r="Z112" i="123"/>
  <c r="S112" i="123"/>
  <c r="T44" i="123"/>
  <c r="U44" i="123"/>
  <c r="Z219" i="123"/>
  <c r="AA219" i="123" s="1"/>
  <c r="AD219" i="123" s="1"/>
  <c r="AE219" i="123" s="1"/>
  <c r="S219" i="123"/>
  <c r="Z29" i="123"/>
  <c r="AA29" i="123" s="1"/>
  <c r="S29" i="123"/>
  <c r="T23" i="123"/>
  <c r="U23" i="123"/>
  <c r="Z264" i="123"/>
  <c r="S264" i="123"/>
  <c r="T8" i="123"/>
  <c r="U8" i="123"/>
  <c r="T252" i="123"/>
  <c r="U252" i="123"/>
  <c r="S172" i="123"/>
  <c r="Z172" i="123"/>
  <c r="AA172" i="123" s="1"/>
  <c r="Z9" i="123"/>
  <c r="S9" i="123"/>
  <c r="Z213" i="123"/>
  <c r="S213" i="123"/>
  <c r="AC169" i="123" l="1"/>
  <c r="AC288" i="123"/>
  <c r="AC289" i="123"/>
  <c r="AD289" i="123" s="1"/>
  <c r="AE289" i="123" s="1"/>
  <c r="AA288" i="123"/>
  <c r="BG19" i="108"/>
  <c r="BL19" i="108" s="1"/>
  <c r="BD19" i="108"/>
  <c r="BE19" i="108" s="1"/>
  <c r="BJ19" i="108" s="1"/>
  <c r="CJ19" i="108"/>
  <c r="S36" i="120"/>
  <c r="AC46" i="123"/>
  <c r="AD46" i="123" s="1"/>
  <c r="AE46" i="123" s="1"/>
  <c r="AC24" i="123"/>
  <c r="AD24" i="123" s="1"/>
  <c r="AE24" i="123" s="1"/>
  <c r="AC210" i="123"/>
  <c r="AD210" i="123" s="1"/>
  <c r="AE210" i="123" s="1"/>
  <c r="AC65" i="123"/>
  <c r="AD65" i="123" s="1"/>
  <c r="AE65" i="123" s="1"/>
  <c r="AC70" i="123"/>
  <c r="AD70" i="123" s="1"/>
  <c r="AE70" i="123" s="1"/>
  <c r="AA213" i="123"/>
  <c r="AA250" i="123"/>
  <c r="AC217" i="123"/>
  <c r="AD217" i="123" s="1"/>
  <c r="AE217" i="123" s="1"/>
  <c r="AC203" i="123"/>
  <c r="AD203" i="123" s="1"/>
  <c r="AE203" i="123" s="1"/>
  <c r="AA278" i="123"/>
  <c r="AA153" i="123"/>
  <c r="AA37" i="123"/>
  <c r="AA211" i="123"/>
  <c r="AC268" i="123"/>
  <c r="AD268" i="123" s="1"/>
  <c r="AE268" i="123" s="1"/>
  <c r="AC68" i="123"/>
  <c r="AD68" i="123" s="1"/>
  <c r="AE68" i="123" s="1"/>
  <c r="AC74" i="123"/>
  <c r="AD74" i="123" s="1"/>
  <c r="AE74" i="123" s="1"/>
  <c r="AC221" i="123"/>
  <c r="AD221" i="123" s="1"/>
  <c r="AE221" i="123" s="1"/>
  <c r="AC220" i="123"/>
  <c r="AD220" i="123" s="1"/>
  <c r="AE220" i="123" s="1"/>
  <c r="AC40" i="123"/>
  <c r="AD40" i="123" s="1"/>
  <c r="AE40" i="123" s="1"/>
  <c r="AA200" i="123"/>
  <c r="AA134" i="123"/>
  <c r="AA199" i="123"/>
  <c r="AA281" i="123"/>
  <c r="AA33" i="123"/>
  <c r="AA246" i="123"/>
  <c r="AA152" i="123"/>
  <c r="AA123" i="123"/>
  <c r="AA212" i="123"/>
  <c r="AC64" i="123"/>
  <c r="AD64" i="123" s="1"/>
  <c r="AE64" i="123" s="1"/>
  <c r="AC69" i="123"/>
  <c r="AD69" i="123" s="1"/>
  <c r="AE69" i="123" s="1"/>
  <c r="AC172" i="123"/>
  <c r="AD172" i="123" s="1"/>
  <c r="AE172" i="123" s="1"/>
  <c r="AA286" i="123"/>
  <c r="AC51" i="123"/>
  <c r="AD51" i="123" s="1"/>
  <c r="AE51" i="123" s="1"/>
  <c r="AC209" i="123"/>
  <c r="AD209" i="123" s="1"/>
  <c r="AE209" i="123" s="1"/>
  <c r="AC206" i="123"/>
  <c r="AD206" i="123" s="1"/>
  <c r="AE206" i="123" s="1"/>
  <c r="AA269" i="123"/>
  <c r="AA204" i="123"/>
  <c r="AA239" i="123"/>
  <c r="AC62" i="123"/>
  <c r="AD62" i="123" s="1"/>
  <c r="AE62" i="123" s="1"/>
  <c r="AC270" i="123"/>
  <c r="AD270" i="123" s="1"/>
  <c r="AE270" i="123" s="1"/>
  <c r="AC80" i="123"/>
  <c r="AD80" i="123" s="1"/>
  <c r="AE80" i="123" s="1"/>
  <c r="AA264" i="123"/>
  <c r="AA272" i="123"/>
  <c r="AC20" i="123"/>
  <c r="AD20" i="123" s="1"/>
  <c r="AE20" i="123" s="1"/>
  <c r="AC67" i="123"/>
  <c r="AD67" i="123" s="1"/>
  <c r="AE67" i="123" s="1"/>
  <c r="AC50" i="123"/>
  <c r="AD50" i="123" s="1"/>
  <c r="AE50" i="123" s="1"/>
  <c r="AC266" i="123"/>
  <c r="AD266" i="123" s="1"/>
  <c r="AE266" i="123" s="1"/>
  <c r="AC223" i="123"/>
  <c r="AD223" i="123" s="1"/>
  <c r="AE223" i="123" s="1"/>
  <c r="AA274" i="123"/>
  <c r="AA112" i="123"/>
  <c r="AA149" i="123"/>
  <c r="AC59" i="123"/>
  <c r="AD59" i="123" s="1"/>
  <c r="AE59" i="123" s="1"/>
  <c r="AC245" i="123"/>
  <c r="AD245" i="123" s="1"/>
  <c r="AE245" i="123" s="1"/>
  <c r="AC191" i="123"/>
  <c r="AD191" i="123" s="1"/>
  <c r="AE191" i="123" s="1"/>
  <c r="AA150" i="123"/>
  <c r="AA41" i="123"/>
  <c r="AC8" i="123"/>
  <c r="AD8" i="123" s="1"/>
  <c r="AE8" i="123" s="1"/>
  <c r="AA235" i="123"/>
  <c r="AA273" i="123"/>
  <c r="AA63" i="123"/>
  <c r="AA21" i="123"/>
  <c r="AA114" i="123"/>
  <c r="AA243" i="123"/>
  <c r="AA45" i="123"/>
  <c r="AA196" i="123"/>
  <c r="AA122" i="123"/>
  <c r="AA145" i="123"/>
  <c r="AA75" i="123"/>
  <c r="AA179" i="123"/>
  <c r="AA186" i="123"/>
  <c r="AA173" i="123"/>
  <c r="AA161" i="123"/>
  <c r="AA9" i="123"/>
  <c r="AA215" i="123"/>
  <c r="AA187" i="123"/>
  <c r="AA279" i="123"/>
  <c r="AA218" i="123"/>
  <c r="AA19" i="123"/>
  <c r="AA135" i="123"/>
  <c r="AA151" i="123"/>
  <c r="AA141" i="123"/>
  <c r="AA115" i="123"/>
  <c r="AA198" i="123"/>
  <c r="S35" i="120"/>
  <c r="J49" i="126"/>
  <c r="AC227" i="123"/>
  <c r="AD227" i="123" s="1"/>
  <c r="AE227" i="123" s="1"/>
  <c r="AC253" i="123"/>
  <c r="AD253" i="123" s="1"/>
  <c r="AE253" i="123" s="1"/>
  <c r="AC12" i="123"/>
  <c r="AC246" i="123"/>
  <c r="AC171" i="123"/>
  <c r="AC261" i="123"/>
  <c r="AD261" i="123" s="1"/>
  <c r="AE261" i="123" s="1"/>
  <c r="AC234" i="123"/>
  <c r="AD234" i="123" s="1"/>
  <c r="AE234" i="123" s="1"/>
  <c r="AC72" i="123"/>
  <c r="AD72" i="123" s="1"/>
  <c r="AE72" i="123" s="1"/>
  <c r="AC252" i="123"/>
  <c r="AD252" i="123" s="1"/>
  <c r="AE252" i="123" s="1"/>
  <c r="AC116" i="123"/>
  <c r="AD116" i="123" s="1"/>
  <c r="AE116" i="123" s="1"/>
  <c r="AC240" i="123"/>
  <c r="AD240" i="123" s="1"/>
  <c r="AE240" i="123" s="1"/>
  <c r="AC260" i="123"/>
  <c r="AD260" i="123" s="1"/>
  <c r="AE260" i="123" s="1"/>
  <c r="AC178" i="123"/>
  <c r="AD178" i="123" s="1"/>
  <c r="AE178" i="123" s="1"/>
  <c r="AC224" i="123"/>
  <c r="AD224" i="123" s="1"/>
  <c r="AE224" i="123" s="1"/>
  <c r="AC233" i="123"/>
  <c r="AD233" i="123" s="1"/>
  <c r="AE233" i="123" s="1"/>
  <c r="AC205" i="123"/>
  <c r="AD205" i="123" s="1"/>
  <c r="AE205" i="123" s="1"/>
  <c r="AC254" i="123"/>
  <c r="AD254" i="123" s="1"/>
  <c r="AE254" i="123" s="1"/>
  <c r="AC281" i="123"/>
  <c r="AC211" i="123"/>
  <c r="AC215" i="123"/>
  <c r="AC199" i="123"/>
  <c r="AC101" i="123"/>
  <c r="AD101" i="123" s="1"/>
  <c r="AE101" i="123" s="1"/>
  <c r="AC75" i="123"/>
  <c r="AC239" i="123"/>
  <c r="AC187" i="123"/>
  <c r="AC170" i="123"/>
  <c r="AC237" i="123"/>
  <c r="AD237" i="123" s="1"/>
  <c r="AE237" i="123" s="1"/>
  <c r="AC112" i="123"/>
  <c r="AC195" i="123"/>
  <c r="AC150" i="123"/>
  <c r="AC43" i="123"/>
  <c r="AC63" i="123"/>
  <c r="AC250" i="123"/>
  <c r="AC107" i="123"/>
  <c r="AD107" i="123" s="1"/>
  <c r="AE107" i="123" s="1"/>
  <c r="AC277" i="123"/>
  <c r="AD277" i="123" s="1"/>
  <c r="AE277" i="123" s="1"/>
  <c r="AC278" i="123"/>
  <c r="AC99" i="123"/>
  <c r="AD99" i="123" s="1"/>
  <c r="AE99" i="123" s="1"/>
  <c r="AC269" i="123"/>
  <c r="AC134" i="123"/>
  <c r="AC32" i="123"/>
  <c r="AD32" i="123" s="1"/>
  <c r="AE32" i="123" s="1"/>
  <c r="AC273" i="123"/>
  <c r="AC73" i="123"/>
  <c r="AD73" i="123" s="1"/>
  <c r="AE73" i="123" s="1"/>
  <c r="AC120" i="123"/>
  <c r="AC274" i="123"/>
  <c r="AC137" i="123"/>
  <c r="AD137" i="123" s="1"/>
  <c r="AE137" i="123" s="1"/>
  <c r="AC173" i="123"/>
  <c r="AC247" i="123"/>
  <c r="AD247" i="123" s="1"/>
  <c r="AE247" i="123" s="1"/>
  <c r="AC153" i="123"/>
  <c r="AC48" i="123"/>
  <c r="AC200" i="123"/>
  <c r="AC213" i="123"/>
  <c r="AC23" i="123"/>
  <c r="AD23" i="123" s="1"/>
  <c r="AE23" i="123" s="1"/>
  <c r="AC189" i="123"/>
  <c r="AC114" i="123"/>
  <c r="AC212" i="123"/>
  <c r="H46" i="126"/>
  <c r="J45" i="126"/>
  <c r="J35" i="126"/>
  <c r="J38" i="126"/>
  <c r="J41" i="126"/>
  <c r="J40" i="126"/>
  <c r="AC79" i="123"/>
  <c r="AD79" i="123" s="1"/>
  <c r="AE79" i="123" s="1"/>
  <c r="AA276" i="123"/>
  <c r="AA180" i="123"/>
  <c r="H35" i="126"/>
  <c r="H38" i="126"/>
  <c r="H48" i="126"/>
  <c r="J36" i="126"/>
  <c r="J48" i="126"/>
  <c r="J34" i="126"/>
  <c r="J39" i="126"/>
  <c r="J43" i="126"/>
  <c r="J46" i="126"/>
  <c r="J33" i="126"/>
  <c r="J37" i="126"/>
  <c r="J28" i="126"/>
  <c r="J44" i="126"/>
  <c r="J47" i="126"/>
  <c r="AA124" i="123"/>
  <c r="AA226" i="123"/>
  <c r="AA214" i="123"/>
  <c r="AA280" i="123"/>
  <c r="AA255" i="123"/>
  <c r="AA251" i="123"/>
  <c r="AA113" i="123"/>
  <c r="AA195" i="123"/>
  <c r="AA22" i="123"/>
  <c r="AA284" i="123"/>
  <c r="AA146" i="123"/>
  <c r="AA231" i="123"/>
  <c r="AA95" i="123"/>
  <c r="AA225" i="123"/>
  <c r="AC283" i="123"/>
  <c r="AD283" i="123" s="1"/>
  <c r="AE283" i="123" s="1"/>
  <c r="AC263" i="123"/>
  <c r="AD263" i="123" s="1"/>
  <c r="AE263" i="123" s="1"/>
  <c r="AC243" i="123"/>
  <c r="AC53" i="123"/>
  <c r="AC148" i="123"/>
  <c r="AC29" i="123"/>
  <c r="AD29" i="123" s="1"/>
  <c r="AE29" i="123" s="1"/>
  <c r="AC282" i="123"/>
  <c r="AD282" i="123" s="1"/>
  <c r="AE282" i="123" s="1"/>
  <c r="AC259" i="123"/>
  <c r="AC152" i="123"/>
  <c r="AC122" i="123"/>
  <c r="AC45" i="123"/>
  <c r="AC9" i="123"/>
  <c r="AC19" i="123"/>
  <c r="AA44" i="123"/>
  <c r="AA47" i="123"/>
  <c r="AC267" i="123"/>
  <c r="AD267" i="123" s="1"/>
  <c r="AE267" i="123" s="1"/>
  <c r="AC167" i="123"/>
  <c r="AC151" i="123"/>
  <c r="AC108" i="123"/>
  <c r="AC207" i="123"/>
  <c r="AA154" i="123"/>
  <c r="AA144" i="123"/>
  <c r="AA156" i="123"/>
  <c r="AA194" i="123"/>
  <c r="AA201" i="123"/>
  <c r="AA271" i="123"/>
  <c r="AA136" i="123"/>
  <c r="AA157" i="123"/>
  <c r="AA155" i="123"/>
  <c r="AA94" i="123"/>
  <c r="AA181" i="123"/>
  <c r="AA130" i="123"/>
  <c r="AA126" i="123"/>
  <c r="AA105" i="123"/>
  <c r="AA160" i="123"/>
  <c r="AA236" i="123"/>
  <c r="AA238" i="123"/>
  <c r="AA229" i="123"/>
  <c r="AA202" i="123"/>
  <c r="AA147" i="123"/>
  <c r="AA143" i="123"/>
  <c r="AA138" i="123"/>
  <c r="AA232" i="123"/>
  <c r="AA133" i="123"/>
  <c r="AA117" i="123"/>
  <c r="AA97" i="123"/>
  <c r="AA131" i="123"/>
  <c r="AA93" i="123"/>
  <c r="AA129" i="123"/>
  <c r="AA158" i="123"/>
  <c r="AA98" i="123"/>
  <c r="AA285" i="123"/>
  <c r="AA106" i="123"/>
  <c r="AA132" i="123"/>
  <c r="AA140" i="123"/>
  <c r="AA128" i="123"/>
  <c r="AA193" i="123"/>
  <c r="AA104" i="123"/>
  <c r="AA159" i="123"/>
  <c r="AA162" i="123"/>
  <c r="AA118" i="123"/>
  <c r="AA164" i="123"/>
  <c r="AA88" i="123"/>
  <c r="AA171" i="123"/>
  <c r="AA120" i="123"/>
  <c r="AA109" i="123"/>
  <c r="AA12" i="123"/>
  <c r="AA127" i="123"/>
  <c r="AA168" i="123"/>
  <c r="AA102" i="123"/>
  <c r="AA275" i="123"/>
  <c r="AA166" i="123"/>
  <c r="AA119" i="123"/>
  <c r="AA139" i="123"/>
  <c r="AA85" i="123"/>
  <c r="AA167" i="123"/>
  <c r="AA165" i="123"/>
  <c r="AA96" i="123"/>
  <c r="AA111" i="123"/>
  <c r="AA91" i="123"/>
  <c r="AA43" i="123"/>
  <c r="AA53" i="123"/>
  <c r="AA92" i="123"/>
  <c r="AA81" i="123"/>
  <c r="AA189" i="123"/>
  <c r="AA230" i="123"/>
  <c r="AA148" i="123"/>
  <c r="AA170" i="123"/>
  <c r="AC89" i="123"/>
  <c r="AC144" i="123"/>
  <c r="AC179" i="123"/>
  <c r="AC81" i="123"/>
  <c r="AC275" i="123"/>
  <c r="AA48" i="123"/>
  <c r="AC119" i="123"/>
  <c r="AC88" i="123"/>
  <c r="AA262" i="123"/>
  <c r="AA89" i="123"/>
  <c r="AC85" i="123"/>
  <c r="AC262" i="123"/>
  <c r="AC154" i="123"/>
  <c r="AC109" i="123"/>
  <c r="AA259" i="123"/>
  <c r="AC37" i="123"/>
  <c r="AC194" i="123"/>
  <c r="AA163" i="123"/>
  <c r="AC284" i="123"/>
  <c r="AC166" i="123"/>
  <c r="AA190" i="123"/>
  <c r="AC264" i="123"/>
  <c r="AA108" i="123"/>
  <c r="AC204" i="123"/>
  <c r="AC33" i="123"/>
  <c r="AC96" i="123"/>
  <c r="AC111" i="123"/>
  <c r="AC248" i="123"/>
  <c r="AD248" i="123" s="1"/>
  <c r="AE248" i="123" s="1"/>
  <c r="AC95" i="123"/>
  <c r="AC123" i="123"/>
  <c r="AC180" i="123"/>
  <c r="AC231" i="123"/>
  <c r="AC272" i="123"/>
  <c r="AC235" i="123"/>
  <c r="AC251" i="123"/>
  <c r="AC115" i="123"/>
  <c r="AA169" i="123"/>
  <c r="AD169" i="123" s="1"/>
  <c r="AA207" i="123"/>
  <c r="AC279" i="123"/>
  <c r="AC226" i="123"/>
  <c r="AC92" i="123"/>
  <c r="AC190" i="123"/>
  <c r="AC276" i="123"/>
  <c r="AC22" i="123"/>
  <c r="AC102" i="123"/>
  <c r="AC286" i="123"/>
  <c r="AC255" i="123"/>
  <c r="AC113" i="123"/>
  <c r="AC124" i="123"/>
  <c r="AC91" i="123"/>
  <c r="AC141" i="123"/>
  <c r="AC271" i="123"/>
  <c r="AC104" i="123"/>
  <c r="AC229" i="123"/>
  <c r="AC132" i="123"/>
  <c r="AC232" i="123"/>
  <c r="AC160" i="123"/>
  <c r="AC214" i="123"/>
  <c r="AC94" i="123"/>
  <c r="AC156" i="123"/>
  <c r="AC136" i="123"/>
  <c r="AC164" i="123"/>
  <c r="AC97" i="123"/>
  <c r="AC93" i="123"/>
  <c r="AC202" i="123"/>
  <c r="AC131" i="123"/>
  <c r="AC118" i="123"/>
  <c r="AC41" i="123"/>
  <c r="AC140" i="123"/>
  <c r="AC193" i="123"/>
  <c r="AC230" i="123"/>
  <c r="AC287" i="123"/>
  <c r="AC138" i="123"/>
  <c r="AC168" i="123"/>
  <c r="AC238" i="123"/>
  <c r="AC147" i="123"/>
  <c r="AC225" i="123"/>
  <c r="AC44" i="123"/>
  <c r="AC21" i="123"/>
  <c r="AC201" i="123"/>
  <c r="AC157" i="123"/>
  <c r="AC139" i="123"/>
  <c r="AC155" i="123"/>
  <c r="AC196" i="123"/>
  <c r="AC162" i="123"/>
  <c r="AC47" i="123"/>
  <c r="AC128" i="123"/>
  <c r="AC98" i="123"/>
  <c r="AC129" i="123"/>
  <c r="AC133" i="123"/>
  <c r="AC198" i="123"/>
  <c r="AC159" i="123"/>
  <c r="AC135" i="123"/>
  <c r="AC165" i="123"/>
  <c r="AC127" i="123"/>
  <c r="AC158" i="123"/>
  <c r="AC143" i="123"/>
  <c r="AC285" i="123"/>
  <c r="AC236" i="123"/>
  <c r="AC106" i="123"/>
  <c r="AC280" i="123"/>
  <c r="AC163" i="123"/>
  <c r="AC130" i="123"/>
  <c r="AC218" i="123"/>
  <c r="AC181" i="123"/>
  <c r="AC146" i="123"/>
  <c r="AC126" i="123"/>
  <c r="G49" i="126"/>
  <c r="G37" i="126"/>
  <c r="F47" i="126"/>
  <c r="F28" i="126"/>
  <c r="F44" i="126"/>
  <c r="F40" i="126"/>
  <c r="F46" i="126"/>
  <c r="F45" i="126"/>
  <c r="F41" i="126"/>
  <c r="F35" i="126"/>
  <c r="F39" i="126"/>
  <c r="F48" i="126"/>
  <c r="F34" i="126"/>
  <c r="F37" i="126"/>
  <c r="F33" i="126"/>
  <c r="F43" i="126"/>
  <c r="F38" i="126"/>
  <c r="F49" i="126"/>
  <c r="F36" i="126"/>
  <c r="G34" i="126"/>
  <c r="G39" i="126"/>
  <c r="G47" i="126"/>
  <c r="G41" i="126"/>
  <c r="I42" i="126"/>
  <c r="H33" i="126"/>
  <c r="H42" i="126"/>
  <c r="H41" i="126"/>
  <c r="H39" i="126"/>
  <c r="H47" i="126"/>
  <c r="H37" i="126"/>
  <c r="H49" i="126"/>
  <c r="H36" i="126"/>
  <c r="H28" i="126"/>
  <c r="H40" i="126"/>
  <c r="H45" i="126"/>
  <c r="H44" i="126"/>
  <c r="G38" i="126"/>
  <c r="H34" i="126"/>
  <c r="G36" i="126"/>
  <c r="I33" i="126"/>
  <c r="I28" i="126"/>
  <c r="G33" i="126"/>
  <c r="G48" i="126"/>
  <c r="G28" i="126"/>
  <c r="G45" i="126"/>
  <c r="G46" i="126"/>
  <c r="G44" i="126"/>
  <c r="G42" i="126"/>
  <c r="G35" i="126"/>
  <c r="G40" i="126"/>
  <c r="AA287" i="123"/>
  <c r="I46" i="126"/>
  <c r="I38" i="126"/>
  <c r="I43" i="126"/>
  <c r="I47" i="126"/>
  <c r="I40" i="126"/>
  <c r="I41" i="126"/>
  <c r="I34" i="126"/>
  <c r="AC117" i="123"/>
  <c r="I37" i="126"/>
  <c r="I49" i="126"/>
  <c r="AC186" i="123"/>
  <c r="I48" i="126"/>
  <c r="I44" i="126"/>
  <c r="AC105" i="123"/>
  <c r="AC145" i="123"/>
  <c r="I36" i="126"/>
  <c r="I35" i="126"/>
  <c r="AC161" i="123"/>
  <c r="I45" i="126"/>
  <c r="AC149" i="123"/>
  <c r="AD4" i="123"/>
  <c r="AE4" i="123" s="1"/>
  <c r="AD288" i="123" l="1"/>
  <c r="BI19" i="108"/>
  <c r="BN19" i="108" s="1"/>
  <c r="BF19" i="108"/>
  <c r="BK19" i="108" s="1"/>
  <c r="AD161" i="123"/>
  <c r="AD199" i="123"/>
  <c r="AD272" i="123"/>
  <c r="AD250" i="123"/>
  <c r="AD274" i="123"/>
  <c r="AD21" i="123"/>
  <c r="AD152" i="123"/>
  <c r="AD286" i="123"/>
  <c r="AD37" i="123"/>
  <c r="AD19" i="123"/>
  <c r="AD213" i="123"/>
  <c r="AD269" i="123"/>
  <c r="AD239" i="123"/>
  <c r="AD218" i="123"/>
  <c r="AD153" i="123"/>
  <c r="AD149" i="123"/>
  <c r="AD123" i="123"/>
  <c r="AD281" i="123"/>
  <c r="AD212" i="123"/>
  <c r="AD278" i="123"/>
  <c r="AD112" i="123"/>
  <c r="AD33" i="123"/>
  <c r="AD145" i="123"/>
  <c r="AD204" i="123"/>
  <c r="AD134" i="123"/>
  <c r="AD186" i="123"/>
  <c r="AD264" i="123"/>
  <c r="AD200" i="123"/>
  <c r="AD211" i="123"/>
  <c r="AD246" i="123"/>
  <c r="AD151" i="123"/>
  <c r="AD41" i="123"/>
  <c r="AD135" i="123"/>
  <c r="AD196" i="123"/>
  <c r="AD9" i="123"/>
  <c r="AD198" i="123"/>
  <c r="AD45" i="123"/>
  <c r="AD273" i="123"/>
  <c r="AD115" i="123"/>
  <c r="AD63" i="123"/>
  <c r="AD122" i="123"/>
  <c r="AD173" i="123"/>
  <c r="AD150" i="123"/>
  <c r="AD215" i="123"/>
  <c r="AD279" i="123"/>
  <c r="AD114" i="123"/>
  <c r="AD75" i="123"/>
  <c r="AD141" i="123"/>
  <c r="AD179" i="123"/>
  <c r="AD187" i="123"/>
  <c r="AD243" i="123"/>
  <c r="AD235" i="123"/>
  <c r="AD143" i="123"/>
  <c r="AD189" i="123"/>
  <c r="AD48" i="123"/>
  <c r="AD171" i="123"/>
  <c r="AD195" i="123"/>
  <c r="AD43" i="123"/>
  <c r="AD12" i="123"/>
  <c r="AE12" i="123" s="1"/>
  <c r="AD120" i="123"/>
  <c r="AD170" i="123"/>
  <c r="M44" i="126"/>
  <c r="N44" i="126" s="1"/>
  <c r="AD255" i="123"/>
  <c r="AD126" i="123"/>
  <c r="AD124" i="123"/>
  <c r="M49" i="126"/>
  <c r="M48" i="126"/>
  <c r="N48" i="126" s="1"/>
  <c r="AD53" i="123"/>
  <c r="AD276" i="123"/>
  <c r="AD180" i="123"/>
  <c r="AD280" i="123"/>
  <c r="AD214" i="123"/>
  <c r="AD226" i="123"/>
  <c r="AD225" i="123"/>
  <c r="AD113" i="123"/>
  <c r="AD95" i="123"/>
  <c r="AD22" i="123"/>
  <c r="AD251" i="123"/>
  <c r="AD231" i="123"/>
  <c r="AD44" i="123"/>
  <c r="AD259" i="123"/>
  <c r="AD47" i="123"/>
  <c r="AD146" i="123"/>
  <c r="AD284" i="123"/>
  <c r="AD148" i="123"/>
  <c r="AD155" i="123"/>
  <c r="AD93" i="123"/>
  <c r="AD181" i="123"/>
  <c r="AD139" i="123"/>
  <c r="AD160" i="123"/>
  <c r="AD131" i="123"/>
  <c r="AD271" i="123"/>
  <c r="AD202" i="123"/>
  <c r="AD238" i="123"/>
  <c r="AD156" i="123"/>
  <c r="AD136" i="123"/>
  <c r="AD117" i="123"/>
  <c r="AD194" i="123"/>
  <c r="AD138" i="123"/>
  <c r="AD129" i="123"/>
  <c r="AD108" i="123"/>
  <c r="AD201" i="123"/>
  <c r="AD130" i="123"/>
  <c r="AD229" i="123"/>
  <c r="AD154" i="123"/>
  <c r="M39" i="126"/>
  <c r="N39" i="126" s="1"/>
  <c r="AD147" i="123"/>
  <c r="M47" i="126"/>
  <c r="AD207" i="123"/>
  <c r="AD144" i="123"/>
  <c r="AD167" i="123"/>
  <c r="AD232" i="123"/>
  <c r="AD133" i="123"/>
  <c r="AD236" i="123"/>
  <c r="AD157" i="123"/>
  <c r="AD94" i="123"/>
  <c r="AD97" i="123"/>
  <c r="AD162" i="123"/>
  <c r="AD81" i="123"/>
  <c r="AD285" i="123"/>
  <c r="AD158" i="123"/>
  <c r="AD98" i="123"/>
  <c r="AD106" i="123"/>
  <c r="AD85" i="123"/>
  <c r="AD128" i="123"/>
  <c r="AD159" i="123"/>
  <c r="AD193" i="123"/>
  <c r="AD140" i="123"/>
  <c r="AD104" i="123"/>
  <c r="AD132" i="123"/>
  <c r="AD118" i="123"/>
  <c r="AD165" i="123"/>
  <c r="AD109" i="123"/>
  <c r="AD164" i="123"/>
  <c r="AD92" i="123"/>
  <c r="AD166" i="123"/>
  <c r="AD168" i="123"/>
  <c r="AD91" i="123"/>
  <c r="AD275" i="123"/>
  <c r="AE275" i="123" s="1"/>
  <c r="AD111" i="123"/>
  <c r="AD88" i="123"/>
  <c r="AD127" i="123"/>
  <c r="AD102" i="123"/>
  <c r="AD96" i="123"/>
  <c r="AD230" i="123"/>
  <c r="AD119" i="123"/>
  <c r="AD163" i="123"/>
  <c r="AD190" i="123"/>
  <c r="AD89" i="123"/>
  <c r="AD262" i="123"/>
  <c r="AD287" i="123"/>
  <c r="P118" i="120"/>
  <c r="S118" i="120" s="1"/>
  <c r="E28" i="126"/>
  <c r="P102" i="120"/>
  <c r="V102" i="120" s="1"/>
  <c r="P111" i="120"/>
  <c r="V111" i="120" s="1"/>
  <c r="P101" i="120"/>
  <c r="V101" i="120" s="1"/>
  <c r="P56" i="120"/>
  <c r="U56" i="120" s="1"/>
  <c r="P68" i="120"/>
  <c r="R68" i="120" s="1"/>
  <c r="P123" i="120"/>
  <c r="Z123" i="120" s="1"/>
  <c r="P104" i="120"/>
  <c r="Z104" i="120" s="1"/>
  <c r="P47" i="120"/>
  <c r="T47" i="120" s="1"/>
  <c r="P65" i="120"/>
  <c r="U65" i="120" s="1"/>
  <c r="P61" i="120"/>
  <c r="U61" i="120" s="1"/>
  <c r="P53" i="120"/>
  <c r="T53" i="120" s="1"/>
  <c r="P110" i="120"/>
  <c r="X110" i="120" s="1"/>
  <c r="P108" i="120"/>
  <c r="W108" i="120" s="1"/>
  <c r="P112" i="120"/>
  <c r="S112" i="120" s="1"/>
  <c r="P116" i="120"/>
  <c r="T116" i="120" s="1"/>
  <c r="P103" i="120"/>
  <c r="Z103" i="120" s="1"/>
  <c r="P119" i="120"/>
  <c r="AA119" i="120" s="1"/>
  <c r="P107" i="120"/>
  <c r="AA107" i="120" s="1"/>
  <c r="P50" i="120"/>
  <c r="S50" i="120" s="1"/>
  <c r="P105" i="120"/>
  <c r="V105" i="120" s="1"/>
  <c r="P113" i="120"/>
  <c r="X113" i="120" s="1"/>
  <c r="P62" i="120"/>
  <c r="S62" i="120" s="1"/>
  <c r="P52" i="120"/>
  <c r="S52" i="120" s="1"/>
  <c r="P109" i="120"/>
  <c r="Z109" i="120" s="1"/>
  <c r="P120" i="120"/>
  <c r="Z120" i="120" s="1"/>
  <c r="P54" i="120"/>
  <c r="T54" i="120" s="1"/>
  <c r="P115" i="120"/>
  <c r="W115" i="120" s="1"/>
  <c r="P67" i="120"/>
  <c r="S67" i="120" s="1"/>
  <c r="P55" i="120"/>
  <c r="S55" i="120" s="1"/>
  <c r="P48" i="120"/>
  <c r="T48" i="120" s="1"/>
  <c r="P57" i="120"/>
  <c r="R57" i="120" s="1"/>
  <c r="P70" i="120"/>
  <c r="R70" i="120" s="1"/>
  <c r="P122" i="120"/>
  <c r="W122" i="120" s="1"/>
  <c r="P66" i="120"/>
  <c r="U66" i="120" s="1"/>
  <c r="P59" i="120"/>
  <c r="U59" i="120" s="1"/>
  <c r="P58" i="120"/>
  <c r="R58" i="120" s="1"/>
  <c r="P106" i="120"/>
  <c r="X106" i="120" s="1"/>
  <c r="P49" i="120"/>
  <c r="Q49" i="120" s="1"/>
  <c r="P51" i="120"/>
  <c r="T51" i="120" s="1"/>
  <c r="P124" i="120"/>
  <c r="AA124" i="120" s="1"/>
  <c r="P121" i="120"/>
  <c r="Y121" i="120" s="1"/>
  <c r="P63" i="120"/>
  <c r="R63" i="120" s="1"/>
  <c r="P114" i="120"/>
  <c r="V114" i="120" s="1"/>
  <c r="P60" i="120"/>
  <c r="R60" i="120" s="1"/>
  <c r="AD105" i="123"/>
  <c r="P117" i="120"/>
  <c r="P64" i="120"/>
  <c r="U64" i="120" s="1"/>
  <c r="P69" i="120"/>
  <c r="R69" i="120" s="1"/>
  <c r="AE288" i="123" l="1"/>
  <c r="BC19" i="108"/>
  <c r="BB19" i="108" s="1"/>
  <c r="CM19" i="108" s="1"/>
  <c r="CL19" i="108" s="1"/>
  <c r="AE81" i="123"/>
  <c r="AE199" i="123"/>
  <c r="AE204" i="123"/>
  <c r="AE180" i="123"/>
  <c r="AE239" i="123"/>
  <c r="AE211" i="123"/>
  <c r="AE152" i="123"/>
  <c r="AE153" i="123"/>
  <c r="AE213" i="123"/>
  <c r="AE53" i="123"/>
  <c r="AE33" i="123"/>
  <c r="AE250" i="123"/>
  <c r="AE246" i="123"/>
  <c r="AE272" i="123"/>
  <c r="AE281" i="123"/>
  <c r="AE112" i="123"/>
  <c r="AE269" i="123"/>
  <c r="AE200" i="123"/>
  <c r="AE278" i="123"/>
  <c r="AE149" i="123"/>
  <c r="AE264" i="123"/>
  <c r="AE274" i="123"/>
  <c r="AE134" i="123"/>
  <c r="AE123" i="123"/>
  <c r="AE37" i="123"/>
  <c r="AE212" i="123"/>
  <c r="AE286" i="123"/>
  <c r="AE105" i="123"/>
  <c r="AE148" i="123"/>
  <c r="AE120" i="123"/>
  <c r="AE201" i="123"/>
  <c r="AE41" i="123"/>
  <c r="AE186" i="123"/>
  <c r="AE161" i="123"/>
  <c r="AE145" i="123"/>
  <c r="AE147" i="123"/>
  <c r="AE156" i="123"/>
  <c r="AE19" i="123"/>
  <c r="AE173" i="123"/>
  <c r="AE150" i="123"/>
  <c r="AE187" i="123"/>
  <c r="AE181" i="123"/>
  <c r="AE215" i="123"/>
  <c r="AE179" i="123"/>
  <c r="AE235" i="123"/>
  <c r="AE114" i="123"/>
  <c r="AE45" i="123"/>
  <c r="AE202" i="123"/>
  <c r="AE276" i="123"/>
  <c r="AE195" i="123"/>
  <c r="AE63" i="123"/>
  <c r="AE279" i="123"/>
  <c r="AE75" i="123"/>
  <c r="AE122" i="123"/>
  <c r="AE21" i="123"/>
  <c r="AE271" i="123"/>
  <c r="AE9" i="123"/>
  <c r="AE141" i="123"/>
  <c r="AE273" i="123"/>
  <c r="AE115" i="123"/>
  <c r="AE198" i="123"/>
  <c r="AE157" i="123"/>
  <c r="AE151" i="123"/>
  <c r="AE135" i="123"/>
  <c r="AE243" i="123"/>
  <c r="AE196" i="123"/>
  <c r="AE218" i="123"/>
  <c r="AE236" i="123"/>
  <c r="AE171" i="123"/>
  <c r="AE166" i="123"/>
  <c r="AE48" i="123"/>
  <c r="AE189" i="123"/>
  <c r="AE43" i="123"/>
  <c r="AE170" i="123"/>
  <c r="I9" i="126" a="1"/>
  <c r="I9" i="126" s="1"/>
  <c r="J9" i="126" s="1"/>
  <c r="I11" i="126" a="1"/>
  <c r="I11" i="126" s="1"/>
  <c r="J11" i="126" s="1"/>
  <c r="I10" i="126" a="1"/>
  <c r="I10" i="126" s="1"/>
  <c r="J10" i="126" s="1"/>
  <c r="N49" i="126"/>
  <c r="I29" i="126"/>
  <c r="J73" i="126"/>
  <c r="J66" i="126"/>
  <c r="J61" i="126"/>
  <c r="J65" i="126"/>
  <c r="J62" i="126"/>
  <c r="J64" i="126"/>
  <c r="J59" i="126"/>
  <c r="J70" i="126"/>
  <c r="J74" i="126"/>
  <c r="J71" i="126"/>
  <c r="J72" i="126"/>
  <c r="J68" i="126"/>
  <c r="J60" i="126"/>
  <c r="J63" i="126"/>
  <c r="J69" i="126"/>
  <c r="J67" i="126"/>
  <c r="AB19" i="108"/>
  <c r="AE124" i="123"/>
  <c r="AE95" i="123"/>
  <c r="AE231" i="123"/>
  <c r="AE251" i="123"/>
  <c r="AE92" i="123"/>
  <c r="AE22" i="123"/>
  <c r="AE255" i="123"/>
  <c r="AE111" i="123"/>
  <c r="AE146" i="123"/>
  <c r="AE225" i="123"/>
  <c r="AE226" i="123"/>
  <c r="AE280" i="123"/>
  <c r="AE96" i="123"/>
  <c r="AE91" i="123"/>
  <c r="AE284" i="123"/>
  <c r="AE214" i="123"/>
  <c r="AE113" i="123"/>
  <c r="AE259" i="123"/>
  <c r="AE169" i="123"/>
  <c r="AE108" i="123"/>
  <c r="AE167" i="123"/>
  <c r="AE44" i="123"/>
  <c r="AE232" i="123"/>
  <c r="AE47" i="123"/>
  <c r="AE88" i="123"/>
  <c r="AE109" i="123"/>
  <c r="I8" i="126" a="1"/>
  <c r="I8" i="126" s="1"/>
  <c r="J8" i="126" s="1"/>
  <c r="AE102" i="123"/>
  <c r="T111" i="120"/>
  <c r="Y111" i="120"/>
  <c r="X111" i="120"/>
  <c r="W118" i="120"/>
  <c r="F29" i="126"/>
  <c r="G29" i="126"/>
  <c r="H29" i="126"/>
  <c r="L29" i="126"/>
  <c r="J29" i="126"/>
  <c r="S110" i="120"/>
  <c r="I59" i="126"/>
  <c r="I71" i="126"/>
  <c r="I73" i="126"/>
  <c r="I70" i="126"/>
  <c r="I61" i="126"/>
  <c r="I68" i="126"/>
  <c r="I63" i="126"/>
  <c r="I60" i="126"/>
  <c r="I67" i="126"/>
  <c r="I65" i="126"/>
  <c r="I64" i="126"/>
  <c r="I74" i="126"/>
  <c r="I66" i="126"/>
  <c r="I62" i="126"/>
  <c r="I72" i="126"/>
  <c r="I69" i="126"/>
  <c r="I12" i="126" a="1"/>
  <c r="I12" i="126" s="1"/>
  <c r="I7" i="126" a="1"/>
  <c r="I7" i="126" s="1"/>
  <c r="N47" i="126"/>
  <c r="AE207" i="123"/>
  <c r="AE85" i="123"/>
  <c r="AE154" i="123"/>
  <c r="AE144" i="123"/>
  <c r="AE130" i="123"/>
  <c r="AE131" i="123"/>
  <c r="AE118" i="123"/>
  <c r="AE117" i="123"/>
  <c r="AE133" i="123"/>
  <c r="AE93" i="123"/>
  <c r="AE94" i="123"/>
  <c r="AE143" i="123"/>
  <c r="AE238" i="123"/>
  <c r="AE194" i="123"/>
  <c r="AE155" i="123"/>
  <c r="AE160" i="123"/>
  <c r="AE126" i="123"/>
  <c r="AE138" i="123"/>
  <c r="AE136" i="123"/>
  <c r="AE97" i="123"/>
  <c r="AE129" i="123"/>
  <c r="AE229" i="123"/>
  <c r="AE119" i="123"/>
  <c r="AE168" i="123"/>
  <c r="AE106" i="123"/>
  <c r="AE127" i="123"/>
  <c r="AE98" i="123"/>
  <c r="AE158" i="123"/>
  <c r="AE285" i="123"/>
  <c r="Z118" i="120"/>
  <c r="AA118" i="120"/>
  <c r="T118" i="120"/>
  <c r="Y118" i="120"/>
  <c r="K29" i="126"/>
  <c r="AE165" i="123"/>
  <c r="AE132" i="123"/>
  <c r="AE230" i="123"/>
  <c r="AE139" i="123"/>
  <c r="AE140" i="123"/>
  <c r="AE159" i="123"/>
  <c r="AE104" i="123"/>
  <c r="AE162" i="123"/>
  <c r="AE287" i="123"/>
  <c r="AE193" i="123"/>
  <c r="AE164" i="123"/>
  <c r="AE128" i="123"/>
  <c r="Z102" i="120"/>
  <c r="X118" i="120"/>
  <c r="V118" i="120"/>
  <c r="V110" i="120"/>
  <c r="AA110" i="120"/>
  <c r="W104" i="120"/>
  <c r="S104" i="120"/>
  <c r="Y104" i="120"/>
  <c r="AA104" i="120"/>
  <c r="T104" i="120"/>
  <c r="X104" i="120"/>
  <c r="V104" i="120"/>
  <c r="U47" i="120"/>
  <c r="R47" i="120"/>
  <c r="Q47" i="120"/>
  <c r="S47" i="120"/>
  <c r="AE262" i="123"/>
  <c r="AE89" i="123"/>
  <c r="AE163" i="123"/>
  <c r="AE190" i="123"/>
  <c r="W102" i="120"/>
  <c r="X123" i="120"/>
  <c r="X102" i="120"/>
  <c r="AA102" i="120"/>
  <c r="Q50" i="120"/>
  <c r="Y123" i="120"/>
  <c r="T102" i="120"/>
  <c r="U50" i="120"/>
  <c r="W123" i="120"/>
  <c r="S102" i="120"/>
  <c r="Y102" i="120"/>
  <c r="AA123" i="120"/>
  <c r="S123" i="120"/>
  <c r="Q68" i="120"/>
  <c r="S68" i="120"/>
  <c r="U68" i="120"/>
  <c r="T110" i="120"/>
  <c r="S111" i="120"/>
  <c r="W110" i="120"/>
  <c r="R65" i="120"/>
  <c r="T108" i="120"/>
  <c r="AA111" i="120"/>
  <c r="W111" i="120"/>
  <c r="S65" i="120"/>
  <c r="Z111" i="120"/>
  <c r="Q65" i="120"/>
  <c r="T68" i="120"/>
  <c r="T65" i="120"/>
  <c r="Z110" i="120"/>
  <c r="V123" i="120"/>
  <c r="Y110" i="120"/>
  <c r="Y108" i="120"/>
  <c r="S108" i="120"/>
  <c r="V108" i="120"/>
  <c r="X108" i="120"/>
  <c r="U53" i="120"/>
  <c r="Z108" i="120"/>
  <c r="AA108" i="120"/>
  <c r="T50" i="120"/>
  <c r="S53" i="120"/>
  <c r="X107" i="120"/>
  <c r="U57" i="120"/>
  <c r="Y120" i="120"/>
  <c r="T107" i="120"/>
  <c r="Z107" i="120"/>
  <c r="V107" i="120"/>
  <c r="T57" i="120"/>
  <c r="X120" i="120"/>
  <c r="W107" i="120"/>
  <c r="Y107" i="120"/>
  <c r="Q53" i="120"/>
  <c r="AA120" i="120"/>
  <c r="W101" i="120"/>
  <c r="T101" i="120"/>
  <c r="V120" i="120"/>
  <c r="R53" i="120"/>
  <c r="R50" i="120"/>
  <c r="Z105" i="120"/>
  <c r="AA122" i="120"/>
  <c r="W105" i="120"/>
  <c r="X105" i="120"/>
  <c r="Y105" i="120"/>
  <c r="S122" i="120"/>
  <c r="S115" i="120"/>
  <c r="Z122" i="120"/>
  <c r="X115" i="120"/>
  <c r="S105" i="120"/>
  <c r="V115" i="120"/>
  <c r="Z115" i="120"/>
  <c r="T122" i="120"/>
  <c r="T115" i="120"/>
  <c r="V122" i="120"/>
  <c r="AA115" i="120"/>
  <c r="AA105" i="120"/>
  <c r="Y122" i="120"/>
  <c r="Y115" i="120"/>
  <c r="T105" i="120"/>
  <c r="T58" i="120"/>
  <c r="W119" i="120"/>
  <c r="Q58" i="120"/>
  <c r="U52" i="120"/>
  <c r="X122" i="120"/>
  <c r="U58" i="120"/>
  <c r="R55" i="120"/>
  <c r="Y119" i="120"/>
  <c r="T124" i="120"/>
  <c r="S119" i="120"/>
  <c r="U55" i="120"/>
  <c r="X119" i="120"/>
  <c r="V119" i="120"/>
  <c r="R52" i="120"/>
  <c r="Z119" i="120"/>
  <c r="T52" i="120"/>
  <c r="S58" i="120"/>
  <c r="T119" i="120"/>
  <c r="T55" i="120"/>
  <c r="Q55" i="120"/>
  <c r="Q52" i="120"/>
  <c r="Y101" i="120"/>
  <c r="AA101" i="120"/>
  <c r="Q54" i="120"/>
  <c r="T69" i="120"/>
  <c r="S69" i="120"/>
  <c r="Q69" i="120"/>
  <c r="X124" i="120"/>
  <c r="W120" i="120"/>
  <c r="Y124" i="120"/>
  <c r="AA106" i="120"/>
  <c r="T64" i="120"/>
  <c r="U69" i="120"/>
  <c r="Z124" i="120"/>
  <c r="V124" i="120"/>
  <c r="W124" i="120"/>
  <c r="Q70" i="120"/>
  <c r="S124" i="120"/>
  <c r="R64" i="120"/>
  <c r="S106" i="120"/>
  <c r="S54" i="120"/>
  <c r="R49" i="120"/>
  <c r="S48" i="120"/>
  <c r="Y109" i="120"/>
  <c r="S49" i="120"/>
  <c r="R48" i="120"/>
  <c r="AA109" i="120"/>
  <c r="U49" i="120"/>
  <c r="S109" i="120"/>
  <c r="T70" i="120"/>
  <c r="S70" i="120"/>
  <c r="U54" i="120"/>
  <c r="Q64" i="120"/>
  <c r="U70" i="120"/>
  <c r="S64" i="120"/>
  <c r="Z106" i="120"/>
  <c r="T109" i="120"/>
  <c r="Y106" i="120"/>
  <c r="Q51" i="120"/>
  <c r="V109" i="120"/>
  <c r="W106" i="120"/>
  <c r="S51" i="120"/>
  <c r="X109" i="120"/>
  <c r="V106" i="120"/>
  <c r="U51" i="120"/>
  <c r="R54" i="120"/>
  <c r="Q48" i="120"/>
  <c r="S57" i="120"/>
  <c r="U48" i="120"/>
  <c r="W109" i="120"/>
  <c r="S120" i="120"/>
  <c r="Q57" i="120"/>
  <c r="T120" i="120"/>
  <c r="T49" i="120"/>
  <c r="T106" i="120"/>
  <c r="R51" i="120"/>
  <c r="S107" i="120"/>
  <c r="T123" i="120"/>
  <c r="R61" i="120"/>
  <c r="Z101" i="120"/>
  <c r="X116" i="120"/>
  <c r="X101" i="120"/>
  <c r="T63" i="120"/>
  <c r="V116" i="120"/>
  <c r="Q63" i="120"/>
  <c r="W116" i="120"/>
  <c r="U62" i="120"/>
  <c r="S101" i="120"/>
  <c r="S63" i="120"/>
  <c r="Y114" i="120"/>
  <c r="X114" i="120"/>
  <c r="AA103" i="120"/>
  <c r="S114" i="120"/>
  <c r="X103" i="120"/>
  <c r="V103" i="120"/>
  <c r="R56" i="120"/>
  <c r="S103" i="120"/>
  <c r="Z114" i="120"/>
  <c r="T61" i="120"/>
  <c r="W103" i="120"/>
  <c r="AA114" i="120"/>
  <c r="Q61" i="120"/>
  <c r="R66" i="120"/>
  <c r="T103" i="120"/>
  <c r="W114" i="120"/>
  <c r="S61" i="120"/>
  <c r="Y103" i="120"/>
  <c r="T56" i="120"/>
  <c r="T114" i="120"/>
  <c r="S56" i="120"/>
  <c r="Z112" i="120"/>
  <c r="Q56" i="120"/>
  <c r="T60" i="120"/>
  <c r="T66" i="120"/>
  <c r="W112" i="120"/>
  <c r="V112" i="120"/>
  <c r="Q60" i="120"/>
  <c r="S60" i="120"/>
  <c r="Y113" i="120"/>
  <c r="U67" i="120"/>
  <c r="AA113" i="120"/>
  <c r="V113" i="120"/>
  <c r="Y112" i="120"/>
  <c r="W113" i="120"/>
  <c r="U60" i="120"/>
  <c r="V121" i="120"/>
  <c r="W121" i="120"/>
  <c r="T121" i="120"/>
  <c r="U63" i="120"/>
  <c r="R59" i="120"/>
  <c r="Z116" i="120"/>
  <c r="Q66" i="120"/>
  <c r="T59" i="120"/>
  <c r="S116" i="120"/>
  <c r="R62" i="120"/>
  <c r="R67" i="120"/>
  <c r="X112" i="120"/>
  <c r="Z113" i="120"/>
  <c r="S66" i="120"/>
  <c r="Q59" i="120"/>
  <c r="Y116" i="120"/>
  <c r="T62" i="120"/>
  <c r="T67" i="120"/>
  <c r="AA112" i="120"/>
  <c r="S113" i="120"/>
  <c r="S59" i="120"/>
  <c r="AA116" i="120"/>
  <c r="Q62" i="120"/>
  <c r="Q67" i="120"/>
  <c r="T112" i="120"/>
  <c r="T113" i="120"/>
  <c r="X121" i="120"/>
  <c r="Z121" i="120"/>
  <c r="AA121" i="120"/>
  <c r="S121" i="120"/>
  <c r="AA117" i="120"/>
  <c r="S117" i="120"/>
  <c r="X117" i="120"/>
  <c r="T117" i="120"/>
  <c r="W117" i="120"/>
  <c r="Y117" i="120"/>
  <c r="Z117" i="120"/>
  <c r="V117" i="120"/>
  <c r="CR19" i="108" l="1"/>
  <c r="CS19" i="108" s="1"/>
  <c r="AH19" i="108" s="1"/>
  <c r="AL19" i="108" s="1"/>
  <c r="CN19" i="108"/>
  <c r="DE19" i="108"/>
  <c r="P25" i="120"/>
  <c r="P23" i="120"/>
  <c r="P22" i="120"/>
  <c r="P31" i="120"/>
  <c r="P27" i="120"/>
  <c r="P26" i="120"/>
  <c r="P29" i="120"/>
  <c r="P28" i="120"/>
  <c r="P30" i="120"/>
  <c r="P20" i="120"/>
  <c r="N20" i="120" s="1"/>
  <c r="P21" i="120"/>
  <c r="P24" i="120"/>
  <c r="CA19" i="108"/>
  <c r="N50" i="126"/>
  <c r="B55" i="126" s="1"/>
  <c r="J75" i="126"/>
  <c r="N61" i="126"/>
  <c r="N65" i="126"/>
  <c r="N70" i="126"/>
  <c r="N67" i="126"/>
  <c r="N62" i="126"/>
  <c r="N60" i="126"/>
  <c r="N71" i="126"/>
  <c r="I13" i="126"/>
  <c r="J7" i="126"/>
  <c r="N66" i="126"/>
  <c r="N63" i="126"/>
  <c r="N59" i="126"/>
  <c r="I75" i="126"/>
  <c r="J12" i="126"/>
  <c r="N68" i="126"/>
  <c r="P82" i="120"/>
  <c r="U82" i="120" s="1"/>
  <c r="P75" i="120"/>
  <c r="R75" i="120" s="1"/>
  <c r="P80" i="120"/>
  <c r="S80" i="120" s="1"/>
  <c r="P81" i="120"/>
  <c r="R81" i="120" s="1"/>
  <c r="P78" i="120"/>
  <c r="Q78" i="120" s="1"/>
  <c r="P130" i="120"/>
  <c r="Z130" i="120" s="1"/>
  <c r="P127" i="120"/>
  <c r="V127" i="120" s="1"/>
  <c r="P131" i="120"/>
  <c r="X131" i="120" s="1"/>
  <c r="P74" i="120"/>
  <c r="S74" i="120" s="1"/>
  <c r="P76" i="120"/>
  <c r="R76" i="120" s="1"/>
  <c r="P79" i="120"/>
  <c r="S79" i="120" s="1"/>
  <c r="P126" i="120"/>
  <c r="Z126" i="120" s="1"/>
  <c r="P125" i="120"/>
  <c r="X125" i="120" s="1"/>
  <c r="P129" i="120"/>
  <c r="V129" i="120" s="1"/>
  <c r="P128" i="120"/>
  <c r="Y128" i="120" s="1"/>
  <c r="P132" i="120"/>
  <c r="W132" i="120" s="1"/>
  <c r="P136" i="120"/>
  <c r="Z136" i="120" s="1"/>
  <c r="P72" i="120"/>
  <c r="S72" i="120" s="1"/>
  <c r="P133" i="120"/>
  <c r="Y133" i="120" s="1"/>
  <c r="P135" i="120"/>
  <c r="V135" i="120" s="1"/>
  <c r="P71" i="120"/>
  <c r="R71" i="120" s="1"/>
  <c r="P73" i="120"/>
  <c r="Q73" i="120" s="1"/>
  <c r="P77" i="120"/>
  <c r="U77" i="120" s="1"/>
  <c r="DN17" i="108"/>
  <c r="P134" i="120"/>
  <c r="AA134" i="120" s="1"/>
  <c r="P14" i="109"/>
  <c r="DN41" i="108"/>
  <c r="DN26" i="108"/>
  <c r="DN25" i="108"/>
  <c r="DN30" i="108"/>
  <c r="DN20" i="108"/>
  <c r="DN27" i="108"/>
  <c r="DN29" i="108"/>
  <c r="DN36" i="108"/>
  <c r="DN35" i="108"/>
  <c r="DN42" i="108"/>
  <c r="DN31" i="108"/>
  <c r="DN39" i="108"/>
  <c r="DN33" i="108"/>
  <c r="DN34" i="108"/>
  <c r="DN38" i="108"/>
  <c r="DN37" i="108"/>
  <c r="DN40" i="108"/>
  <c r="DN19" i="108"/>
  <c r="CX19" i="108" l="1"/>
  <c r="CW19" i="108"/>
  <c r="CZ19" i="108"/>
  <c r="CO19" i="108"/>
  <c r="AK19" i="108"/>
  <c r="DH19" i="108"/>
  <c r="DN7" i="108"/>
  <c r="N28" i="120"/>
  <c r="V28" i="120"/>
  <c r="M28" i="120"/>
  <c r="V29" i="120"/>
  <c r="N29" i="120"/>
  <c r="M29" i="120"/>
  <c r="N26" i="120"/>
  <c r="V26" i="120"/>
  <c r="M26" i="120"/>
  <c r="V27" i="120"/>
  <c r="M27" i="120"/>
  <c r="N27" i="120"/>
  <c r="V24" i="120"/>
  <c r="M24" i="120"/>
  <c r="N24" i="120"/>
  <c r="V31" i="120"/>
  <c r="N31" i="120"/>
  <c r="M31" i="120"/>
  <c r="N21" i="120"/>
  <c r="V21" i="120"/>
  <c r="M21" i="120"/>
  <c r="N22" i="120"/>
  <c r="V22" i="120"/>
  <c r="M22" i="120"/>
  <c r="M20" i="120"/>
  <c r="V20" i="120"/>
  <c r="N23" i="120"/>
  <c r="M23" i="120"/>
  <c r="V23" i="120"/>
  <c r="N30" i="120"/>
  <c r="V30" i="120"/>
  <c r="M30" i="120"/>
  <c r="N25" i="120"/>
  <c r="M25" i="120"/>
  <c r="V25" i="120"/>
  <c r="I76" i="126"/>
  <c r="J76" i="126"/>
  <c r="T82" i="120"/>
  <c r="Q82" i="120"/>
  <c r="R82" i="120"/>
  <c r="S82" i="120"/>
  <c r="J13" i="126"/>
  <c r="T75" i="120"/>
  <c r="U75" i="120"/>
  <c r="T81" i="120"/>
  <c r="Y129" i="120"/>
  <c r="AA129" i="120"/>
  <c r="W125" i="120"/>
  <c r="X129" i="120"/>
  <c r="S129" i="120"/>
  <c r="V130" i="120"/>
  <c r="V125" i="120"/>
  <c r="W129" i="120"/>
  <c r="T125" i="120"/>
  <c r="T129" i="120"/>
  <c r="S125" i="120"/>
  <c r="Z125" i="120"/>
  <c r="Y130" i="120"/>
  <c r="T131" i="120"/>
  <c r="S75" i="120"/>
  <c r="Q75" i="120"/>
  <c r="R80" i="120"/>
  <c r="W131" i="120"/>
  <c r="Q80" i="120"/>
  <c r="U80" i="120"/>
  <c r="T80" i="120"/>
  <c r="T77" i="120"/>
  <c r="AA135" i="120"/>
  <c r="Y125" i="120"/>
  <c r="AA125" i="120"/>
  <c r="U74" i="120"/>
  <c r="Q74" i="120"/>
  <c r="AA132" i="120"/>
  <c r="Z131" i="120"/>
  <c r="R74" i="120"/>
  <c r="S131" i="120"/>
  <c r="AA131" i="120"/>
  <c r="X135" i="120"/>
  <c r="Y131" i="120"/>
  <c r="T74" i="120"/>
  <c r="V131" i="120"/>
  <c r="W126" i="120"/>
  <c r="X132" i="120"/>
  <c r="Z129" i="120"/>
  <c r="R77" i="120"/>
  <c r="R72" i="120"/>
  <c r="S81" i="120"/>
  <c r="U79" i="120"/>
  <c r="Q72" i="120"/>
  <c r="T72" i="120"/>
  <c r="R79" i="120"/>
  <c r="U81" i="120"/>
  <c r="Q81" i="120"/>
  <c r="Q79" i="120"/>
  <c r="U73" i="120"/>
  <c r="Y132" i="120"/>
  <c r="U72" i="120"/>
  <c r="S132" i="120"/>
  <c r="T79" i="120"/>
  <c r="S133" i="120"/>
  <c r="S78" i="120"/>
  <c r="T133" i="120"/>
  <c r="R78" i="120"/>
  <c r="T78" i="120"/>
  <c r="X126" i="120"/>
  <c r="U78" i="120"/>
  <c r="V133" i="120"/>
  <c r="X133" i="120"/>
  <c r="W133" i="120"/>
  <c r="AA133" i="120"/>
  <c r="Z133" i="120"/>
  <c r="Q71" i="120"/>
  <c r="T128" i="120"/>
  <c r="T132" i="120"/>
  <c r="V132" i="120"/>
  <c r="T73" i="120"/>
  <c r="S73" i="120"/>
  <c r="Z132" i="120"/>
  <c r="R73" i="120"/>
  <c r="S77" i="120"/>
  <c r="S136" i="120"/>
  <c r="Q77" i="120"/>
  <c r="X127" i="120"/>
  <c r="S135" i="120"/>
  <c r="Y127" i="120"/>
  <c r="T127" i="120"/>
  <c r="T135" i="120"/>
  <c r="W135" i="120"/>
  <c r="Z127" i="120"/>
  <c r="W127" i="120"/>
  <c r="Y135" i="120"/>
  <c r="Z135" i="120"/>
  <c r="S127" i="120"/>
  <c r="AA127" i="120"/>
  <c r="AA126" i="120"/>
  <c r="S130" i="120"/>
  <c r="T136" i="120"/>
  <c r="Y136" i="120"/>
  <c r="X130" i="120"/>
  <c r="S71" i="120"/>
  <c r="Y126" i="120"/>
  <c r="T130" i="120"/>
  <c r="X136" i="120"/>
  <c r="V126" i="120"/>
  <c r="W136" i="120"/>
  <c r="AA130" i="120"/>
  <c r="S126" i="120"/>
  <c r="T126" i="120"/>
  <c r="T71" i="120"/>
  <c r="U71" i="120"/>
  <c r="W130" i="120"/>
  <c r="AA136" i="120"/>
  <c r="S128" i="120"/>
  <c r="U76" i="120"/>
  <c r="Q76" i="120"/>
  <c r="T76" i="120"/>
  <c r="V128" i="120"/>
  <c r="X128" i="120"/>
  <c r="AA128" i="120"/>
  <c r="W128" i="120"/>
  <c r="S76" i="120"/>
  <c r="Z128" i="120"/>
  <c r="V136" i="120"/>
  <c r="Y134" i="120"/>
  <c r="T134" i="120"/>
  <c r="S134" i="120"/>
  <c r="X134" i="120"/>
  <c r="Z134" i="120"/>
  <c r="V134" i="120"/>
  <c r="W134" i="120"/>
  <c r="CY19" i="108" l="1"/>
  <c r="DA19" i="108"/>
  <c r="G30" i="120"/>
  <c r="H30" i="120" s="1"/>
  <c r="G29" i="120"/>
  <c r="AO19" i="108"/>
  <c r="AM19" i="108"/>
  <c r="Y19" i="108" s="1"/>
  <c r="AU19" i="108"/>
  <c r="AV19" i="108"/>
  <c r="AS19" i="108"/>
  <c r="AT19" i="108" s="1"/>
  <c r="N64" i="126"/>
  <c r="N69" i="126"/>
  <c r="Q21" i="120"/>
  <c r="T21" i="120"/>
  <c r="S21" i="120"/>
  <c r="U21" i="120"/>
  <c r="R21" i="120"/>
  <c r="U24" i="120"/>
  <c r="R24" i="120"/>
  <c r="T24" i="120"/>
  <c r="Q24" i="120"/>
  <c r="S24" i="120"/>
  <c r="U30" i="120"/>
  <c r="T30" i="120"/>
  <c r="R30" i="120"/>
  <c r="S30" i="120"/>
  <c r="Q30" i="120"/>
  <c r="U29" i="120"/>
  <c r="S29" i="120"/>
  <c r="R29" i="120"/>
  <c r="Q29" i="120"/>
  <c r="T29" i="120"/>
  <c r="T20" i="120"/>
  <c r="U20" i="120"/>
  <c r="Q20" i="120"/>
  <c r="R20" i="120"/>
  <c r="S20" i="120"/>
  <c r="P1" i="120"/>
  <c r="P2" i="120" s="1"/>
  <c r="P3" i="120" s="1"/>
  <c r="U22" i="120"/>
  <c r="S22" i="120"/>
  <c r="R22" i="120"/>
  <c r="T22" i="120"/>
  <c r="Q22" i="120"/>
  <c r="R31" i="120"/>
  <c r="S31" i="120"/>
  <c r="U31" i="120"/>
  <c r="T31" i="120"/>
  <c r="Q31" i="120"/>
  <c r="R27" i="120"/>
  <c r="S27" i="120"/>
  <c r="Q27" i="120"/>
  <c r="T27" i="120"/>
  <c r="U27" i="120"/>
  <c r="U28" i="120"/>
  <c r="R28" i="120"/>
  <c r="T28" i="120"/>
  <c r="S28" i="120"/>
  <c r="Q28" i="120"/>
  <c r="S23" i="120"/>
  <c r="Q23" i="120"/>
  <c r="R23" i="120"/>
  <c r="T23" i="120"/>
  <c r="U23" i="120"/>
  <c r="S25" i="120"/>
  <c r="T25" i="120"/>
  <c r="R25" i="120"/>
  <c r="Q25" i="120"/>
  <c r="U25" i="120"/>
  <c r="U26" i="120"/>
  <c r="R26" i="120"/>
  <c r="Q26" i="120"/>
  <c r="S26" i="120"/>
  <c r="T26" i="120"/>
  <c r="O61" i="126"/>
  <c r="P61" i="126" s="1"/>
  <c r="Q61" i="126" s="1"/>
  <c r="O69" i="126"/>
  <c r="O68" i="126"/>
  <c r="P68" i="126" s="1"/>
  <c r="Q68" i="126" s="1"/>
  <c r="O67" i="126"/>
  <c r="P67" i="126" s="1"/>
  <c r="Q67" i="126" s="1"/>
  <c r="O63" i="126"/>
  <c r="P63" i="126" s="1"/>
  <c r="Q63" i="126" s="1"/>
  <c r="O70" i="126"/>
  <c r="P70" i="126" s="1"/>
  <c r="Q70" i="126" s="1"/>
  <c r="O65" i="126"/>
  <c r="P65" i="126" s="1"/>
  <c r="Q65" i="126" s="1"/>
  <c r="N74" i="126"/>
  <c r="O62" i="126"/>
  <c r="P62" i="126" s="1"/>
  <c r="Q62" i="126" s="1"/>
  <c r="N72" i="126"/>
  <c r="O60" i="126"/>
  <c r="P60" i="126" s="1"/>
  <c r="Q60" i="126" s="1"/>
  <c r="O73" i="126"/>
  <c r="O64" i="126"/>
  <c r="O74" i="126"/>
  <c r="O72" i="126"/>
  <c r="O66" i="126"/>
  <c r="P66" i="126" s="1"/>
  <c r="Q66" i="126" s="1"/>
  <c r="O59" i="126"/>
  <c r="P59" i="126" s="1"/>
  <c r="Q59" i="126" s="1"/>
  <c r="O71" i="126"/>
  <c r="P71" i="126" s="1"/>
  <c r="Q71" i="126" s="1"/>
  <c r="N73" i="126"/>
  <c r="G31" i="120"/>
  <c r="H31" i="120" s="1"/>
  <c r="G33" i="120"/>
  <c r="G32" i="120"/>
  <c r="H32" i="120" s="1"/>
  <c r="S19" i="108" l="1"/>
  <c r="P155" i="120" s="1"/>
  <c r="AD19" i="108"/>
  <c r="O8" i="120"/>
  <c r="Q3" i="120"/>
  <c r="P69" i="126"/>
  <c r="Q69" i="126" s="1"/>
  <c r="P64" i="126"/>
  <c r="Q64" i="126" s="1"/>
  <c r="Q2" i="120"/>
  <c r="P73" i="126"/>
  <c r="Q73" i="126" s="1"/>
  <c r="P72" i="126"/>
  <c r="Q72" i="126" s="1"/>
  <c r="P74" i="126"/>
  <c r="Q74" i="126" s="1"/>
  <c r="I29" i="120"/>
  <c r="I33" i="120"/>
  <c r="I30" i="120"/>
  <c r="I31" i="120"/>
  <c r="I32" i="120"/>
  <c r="AA155" i="120" l="1"/>
  <c r="Z155" i="120"/>
  <c r="Y155" i="120"/>
  <c r="T155" i="120"/>
  <c r="S155" i="120"/>
  <c r="V155" i="120"/>
  <c r="X155" i="120"/>
  <c r="W155" i="120"/>
  <c r="CI19" i="108"/>
  <c r="P19" i="108"/>
  <c r="BZ19" i="108"/>
  <c r="CB19" i="108" s="1"/>
  <c r="BX19" i="108"/>
  <c r="K25" i="121"/>
  <c r="AE19" i="131"/>
  <c r="BY19" i="108"/>
  <c r="AW19" i="108"/>
  <c r="BV19" i="108"/>
  <c r="AC19" i="108"/>
  <c r="CD19" i="108" s="1"/>
  <c r="O19" i="115"/>
  <c r="AM19" i="131"/>
  <c r="BW19" i="108"/>
  <c r="AI19" i="131"/>
  <c r="BU19" i="108"/>
  <c r="CC19" i="108"/>
  <c r="AA19" i="131"/>
  <c r="AV106" i="107"/>
  <c r="AV53" i="128"/>
  <c r="O9" i="120"/>
  <c r="P8" i="120"/>
  <c r="Q8" i="120"/>
  <c r="AX106" i="107"/>
  <c r="AX53" i="128"/>
  <c r="Q75" i="126"/>
  <c r="Q55" i="126" s="1"/>
  <c r="I77" i="126" s="1"/>
  <c r="AQ19" i="131" l="1"/>
  <c r="CF19" i="108"/>
  <c r="CE19" i="108" s="1"/>
  <c r="L25" i="121"/>
  <c r="AA25" i="121" s="1"/>
  <c r="AC25" i="121" s="1"/>
  <c r="AS25" i="121"/>
  <c r="S25" i="121"/>
  <c r="N25" i="121"/>
  <c r="O25" i="121"/>
  <c r="AD25" i="121" s="1"/>
  <c r="P25" i="121"/>
  <c r="Q25" i="121"/>
  <c r="M25" i="121"/>
  <c r="X111" i="107"/>
  <c r="X58" i="128"/>
  <c r="U8" i="120"/>
  <c r="O10" i="120"/>
  <c r="P9" i="120"/>
  <c r="Q9" i="120"/>
  <c r="J77" i="126"/>
  <c r="T61" i="126"/>
  <c r="T64" i="126"/>
  <c r="T67" i="126"/>
  <c r="T68" i="126"/>
  <c r="T59" i="126"/>
  <c r="T72" i="126"/>
  <c r="T69" i="126"/>
  <c r="T66" i="126"/>
  <c r="T62" i="126"/>
  <c r="T65" i="126"/>
  <c r="T73" i="126"/>
  <c r="T63" i="126"/>
  <c r="T70" i="126"/>
  <c r="T74" i="126"/>
  <c r="T60" i="126"/>
  <c r="T71" i="126"/>
  <c r="Q83" i="115" l="1"/>
  <c r="P83" i="115" s="1"/>
  <c r="AB25" i="121"/>
  <c r="U25" i="121"/>
  <c r="AG25" i="121"/>
  <c r="AH25" i="121" s="1"/>
  <c r="AP25" i="121"/>
  <c r="AF25" i="121"/>
  <c r="T25" i="121"/>
  <c r="Y25" i="121"/>
  <c r="AN25" i="121"/>
  <c r="W25" i="121"/>
  <c r="S83" i="115" s="1"/>
  <c r="AE25" i="121"/>
  <c r="Z25" i="121"/>
  <c r="U83" i="115" s="1"/>
  <c r="V83" i="115" s="1"/>
  <c r="AM25" i="121"/>
  <c r="AQ25" i="121"/>
  <c r="X25" i="121"/>
  <c r="AA83" i="115" s="1"/>
  <c r="V25" i="121"/>
  <c r="Y111" i="107"/>
  <c r="Y58" i="128"/>
  <c r="X59" i="128"/>
  <c r="X112" i="107"/>
  <c r="U9" i="120"/>
  <c r="O11" i="120"/>
  <c r="P10" i="120"/>
  <c r="Q10" i="120"/>
  <c r="AK58" i="128"/>
  <c r="AW58" i="128"/>
  <c r="W58" i="128"/>
  <c r="AG58" i="128"/>
  <c r="AR58" i="128"/>
  <c r="AD58" i="128"/>
  <c r="AO58" i="128"/>
  <c r="AG111" i="107"/>
  <c r="AR111" i="107"/>
  <c r="W111" i="107"/>
  <c r="AK111" i="107"/>
  <c r="AW111" i="107"/>
  <c r="AO111" i="107"/>
  <c r="AD111" i="107"/>
  <c r="U71" i="126"/>
  <c r="V71" i="126" s="1"/>
  <c r="W71" i="126" s="1"/>
  <c r="U69" i="126"/>
  <c r="V69" i="126" s="1"/>
  <c r="X69" i="126" s="1"/>
  <c r="U74" i="126"/>
  <c r="V74" i="126" s="1"/>
  <c r="W74" i="126" s="1"/>
  <c r="U67" i="126"/>
  <c r="V67" i="126" s="1"/>
  <c r="W67" i="126" s="1"/>
  <c r="U66" i="126"/>
  <c r="V66" i="126" s="1"/>
  <c r="X66" i="126" s="1"/>
  <c r="U63" i="126"/>
  <c r="V63" i="126" s="1"/>
  <c r="W63" i="126" s="1"/>
  <c r="U60" i="126"/>
  <c r="V60" i="126" s="1"/>
  <c r="W60" i="126" s="1"/>
  <c r="U73" i="126"/>
  <c r="V73" i="126" s="1"/>
  <c r="X73" i="126" s="1"/>
  <c r="U72" i="126"/>
  <c r="V72" i="126" s="1"/>
  <c r="W72" i="126" s="1"/>
  <c r="U70" i="126"/>
  <c r="V70" i="126" s="1"/>
  <c r="X70" i="126" s="1"/>
  <c r="U59" i="126"/>
  <c r="V59" i="126" s="1"/>
  <c r="X59" i="126" s="1"/>
  <c r="U68" i="126"/>
  <c r="V68" i="126" s="1"/>
  <c r="X68" i="126" s="1"/>
  <c r="U65" i="126"/>
  <c r="V65" i="126" s="1"/>
  <c r="X65" i="126" s="1"/>
  <c r="U62" i="126"/>
  <c r="V62" i="126" s="1"/>
  <c r="X62" i="126" s="1"/>
  <c r="U61" i="126"/>
  <c r="V61" i="126" s="1"/>
  <c r="X61" i="126" s="1"/>
  <c r="U64" i="126"/>
  <c r="V64" i="126" s="1"/>
  <c r="W64" i="126" s="1"/>
  <c r="AI25" i="121" l="1"/>
  <c r="AJ25" i="121"/>
  <c r="AB83" i="115" s="1"/>
  <c r="AV25" i="121"/>
  <c r="AW25" i="121"/>
  <c r="AT25" i="121"/>
  <c r="AU25" i="121" s="1"/>
  <c r="Y83" i="115"/>
  <c r="W83" i="115"/>
  <c r="X83" i="115" s="1"/>
  <c r="U10" i="120"/>
  <c r="X113" i="107"/>
  <c r="X60" i="128"/>
  <c r="X61" i="128"/>
  <c r="X114" i="107"/>
  <c r="O12" i="120"/>
  <c r="P11" i="120"/>
  <c r="Q11" i="120"/>
  <c r="Y112" i="107"/>
  <c r="Y59" i="128"/>
  <c r="AW112" i="107"/>
  <c r="AD112" i="107"/>
  <c r="AK112" i="107"/>
  <c r="AG112" i="107"/>
  <c r="AR112" i="107"/>
  <c r="W112" i="107"/>
  <c r="AO112" i="107"/>
  <c r="AK59" i="128"/>
  <c r="W59" i="128"/>
  <c r="AD59" i="128"/>
  <c r="AG59" i="128"/>
  <c r="AW59" i="128"/>
  <c r="AO59" i="128"/>
  <c r="AR59" i="128"/>
  <c r="X71" i="126"/>
  <c r="X67" i="126"/>
  <c r="W66" i="126"/>
  <c r="X74" i="126"/>
  <c r="W69" i="126"/>
  <c r="X72" i="126"/>
  <c r="W73" i="126"/>
  <c r="X63" i="126"/>
  <c r="X60" i="126"/>
  <c r="W70" i="126"/>
  <c r="W59" i="126"/>
  <c r="W65" i="126"/>
  <c r="W68" i="126"/>
  <c r="W62" i="126"/>
  <c r="X64" i="126"/>
  <c r="W61" i="126"/>
  <c r="K9" i="126" l="1" a="1"/>
  <c r="K9" i="126" s="1"/>
  <c r="K7" i="126" a="1"/>
  <c r="K7" i="126" s="1"/>
  <c r="K10" i="126" a="1"/>
  <c r="K10" i="126" s="1"/>
  <c r="O13" i="120"/>
  <c r="P12" i="120"/>
  <c r="Q12" i="120"/>
  <c r="AD114" i="107"/>
  <c r="AO114" i="107"/>
  <c r="AK114" i="107"/>
  <c r="AR114" i="107"/>
  <c r="AG114" i="107"/>
  <c r="W114" i="107"/>
  <c r="AW114" i="107"/>
  <c r="AO61" i="128"/>
  <c r="AK61" i="128"/>
  <c r="AW61" i="128"/>
  <c r="AR61" i="128"/>
  <c r="W61" i="128"/>
  <c r="AG61" i="128"/>
  <c r="AD61" i="128"/>
  <c r="X117" i="107"/>
  <c r="X64" i="128"/>
  <c r="U11" i="120"/>
  <c r="Y114" i="107"/>
  <c r="Y61" i="128"/>
  <c r="K12" i="126" a="1"/>
  <c r="K12" i="126" s="1"/>
  <c r="K8" i="126" a="1"/>
  <c r="K8" i="126" s="1"/>
  <c r="K11" i="126" a="1"/>
  <c r="K11" i="126" s="1"/>
  <c r="W75" i="126"/>
  <c r="W55" i="126" s="1"/>
  <c r="J83" i="126" s="1"/>
  <c r="I87" i="126" s="1"/>
  <c r="J87" i="126" s="1"/>
  <c r="K87" i="126" s="1"/>
  <c r="I88" i="126" s="1"/>
  <c r="J88" i="126" s="1"/>
  <c r="K88" i="126" s="1"/>
  <c r="I89" i="126" s="1"/>
  <c r="J89" i="126" s="1"/>
  <c r="W117" i="107" l="1"/>
  <c r="AW117" i="107"/>
  <c r="AG117" i="107"/>
  <c r="AO117" i="107"/>
  <c r="AR117" i="107"/>
  <c r="AD117" i="107"/>
  <c r="AK117" i="107"/>
  <c r="U12" i="120"/>
  <c r="X118" i="107"/>
  <c r="X65" i="128"/>
  <c r="Y117" i="107"/>
  <c r="Y64" i="128"/>
  <c r="AG64" i="128"/>
  <c r="AK64" i="128"/>
  <c r="AW64" i="128"/>
  <c r="AD64" i="128"/>
  <c r="AR64" i="128"/>
  <c r="AO64" i="128"/>
  <c r="W64" i="128"/>
  <c r="P13" i="120"/>
  <c r="Q13" i="120"/>
  <c r="K89" i="126"/>
  <c r="I90" i="126" s="1"/>
  <c r="J90" i="126" s="1"/>
  <c r="AG65" i="128" l="1"/>
  <c r="AW65" i="128"/>
  <c r="AD65" i="128"/>
  <c r="AR65" i="128"/>
  <c r="AK65" i="128"/>
  <c r="AO65" i="128"/>
  <c r="W65" i="128"/>
  <c r="AG118" i="107"/>
  <c r="AR118" i="107"/>
  <c r="AK118" i="107"/>
  <c r="W118" i="107"/>
  <c r="AO118" i="107"/>
  <c r="AD118" i="107"/>
  <c r="AW118" i="107"/>
  <c r="X120" i="107"/>
  <c r="X67" i="128"/>
  <c r="U13" i="120"/>
  <c r="Y65" i="128"/>
  <c r="Y118" i="107"/>
  <c r="K90" i="126"/>
  <c r="Y67" i="128" l="1"/>
  <c r="Y120" i="107"/>
  <c r="AK67" i="128"/>
  <c r="AD67" i="128"/>
  <c r="AO67" i="128"/>
  <c r="AR67" i="128"/>
  <c r="AW67" i="128"/>
  <c r="AG67" i="128"/>
  <c r="W67" i="128"/>
  <c r="AO120" i="107"/>
  <c r="W120" i="107"/>
  <c r="AD120" i="107"/>
  <c r="AR120" i="107"/>
  <c r="AK120" i="107"/>
  <c r="AW120" i="107"/>
  <c r="AG120" i="107"/>
  <c r="I91" i="126"/>
  <c r="J91" i="126" s="1"/>
  <c r="K91" i="126" s="1"/>
  <c r="H10" i="109"/>
  <c r="O10" i="109"/>
  <c r="P10" i="109"/>
  <c r="J10" i="109"/>
  <c r="L10" i="109"/>
  <c r="F10" i="109"/>
  <c r="E10" i="109"/>
  <c r="G10" i="109"/>
  <c r="M10" i="109"/>
  <c r="K10" i="109"/>
  <c r="I10" i="109"/>
  <c r="N10" i="109"/>
  <c r="I92" i="126" l="1"/>
  <c r="J92" i="126" s="1"/>
  <c r="K92" i="126" l="1"/>
  <c r="L87" i="126" l="1"/>
  <c r="M87" i="126" s="1"/>
  <c r="O87" i="126" s="1"/>
  <c r="N87" i="126" l="1"/>
  <c r="L88" i="126" l="1"/>
  <c r="M88" i="126" s="1"/>
  <c r="O88" i="126" s="1"/>
  <c r="N88" i="126" l="1"/>
  <c r="L89" i="126" l="1"/>
  <c r="M89" i="126" s="1"/>
  <c r="O89" i="126" s="1"/>
  <c r="N89" i="126" l="1"/>
  <c r="L90" i="126" s="1"/>
  <c r="M90" i="126" s="1"/>
  <c r="O90" i="126" s="1"/>
  <c r="N90" i="126" l="1"/>
  <c r="L91" i="126" s="1"/>
  <c r="M91" i="126" s="1"/>
  <c r="O91" i="126" s="1"/>
  <c r="N91" i="126" l="1"/>
  <c r="L92" i="126" s="1"/>
  <c r="M92" i="126" s="1"/>
  <c r="O92" i="126" s="1"/>
  <c r="L7" i="126" s="1"/>
  <c r="M7" i="126" s="1"/>
  <c r="L12" i="126"/>
  <c r="M12" i="126" s="1"/>
  <c r="L11" i="126" l="1"/>
  <c r="M11" i="126" s="1"/>
  <c r="N11" i="126" s="1"/>
  <c r="L10" i="126"/>
  <c r="M10" i="126" s="1"/>
  <c r="AF67" i="120" s="1"/>
  <c r="L8" i="126"/>
  <c r="M8" i="126" s="1"/>
  <c r="N8" i="126" s="1"/>
  <c r="L9" i="126"/>
  <c r="M9" i="126" s="1"/>
  <c r="N7" i="126"/>
  <c r="AF64" i="120"/>
  <c r="N92" i="126"/>
  <c r="AF69" i="120"/>
  <c r="N12" i="126"/>
  <c r="AF68" i="120" l="1"/>
  <c r="N10" i="126"/>
  <c r="M13" i="126"/>
  <c r="AF65" i="120"/>
  <c r="AW99" i="107" s="1"/>
  <c r="L8" i="121" s="1"/>
  <c r="AF66" i="120"/>
  <c r="N9" i="126"/>
  <c r="AW45" i="128"/>
  <c r="AW98" i="107"/>
  <c r="L7" i="121" s="1"/>
  <c r="AJ59" i="120"/>
  <c r="AJ58" i="120"/>
  <c r="AW50" i="128"/>
  <c r="AW103" i="107"/>
  <c r="L12" i="121" s="1"/>
  <c r="AW102" i="107"/>
  <c r="L11" i="121" s="1"/>
  <c r="AW49" i="128"/>
  <c r="AW48" i="128"/>
  <c r="AW101" i="107"/>
  <c r="L10" i="121" s="1"/>
  <c r="AW46" i="128" l="1"/>
  <c r="N13" i="126"/>
  <c r="N14" i="126" s="1"/>
  <c r="AF62" i="120" s="1"/>
  <c r="AW100" i="107"/>
  <c r="L9" i="121" s="1"/>
  <c r="AW47" i="128"/>
  <c r="O7" i="121"/>
  <c r="N7" i="121"/>
  <c r="AA7" i="121"/>
  <c r="AC7" i="121" s="1"/>
  <c r="AO7" i="121" s="1"/>
  <c r="AA12" i="121"/>
  <c r="AC12" i="121" s="1"/>
  <c r="Z70" i="115" s="1"/>
  <c r="O12" i="121"/>
  <c r="N12" i="121"/>
  <c r="P12" i="121" s="1"/>
  <c r="AA11" i="121"/>
  <c r="AC11" i="121" s="1"/>
  <c r="N11" i="121"/>
  <c r="P11" i="121" s="1"/>
  <c r="O11" i="121"/>
  <c r="N10" i="121"/>
  <c r="P10" i="121" s="1"/>
  <c r="AA10" i="121"/>
  <c r="AC10" i="121" s="1"/>
  <c r="O10" i="121"/>
  <c r="N8" i="121"/>
  <c r="AA8" i="121"/>
  <c r="AC8" i="121" s="1"/>
  <c r="O8" i="121"/>
  <c r="AK24" i="121"/>
  <c r="AO24" i="121"/>
  <c r="AR24" i="121"/>
  <c r="AO22" i="121"/>
  <c r="AR22" i="121"/>
  <c r="AK22" i="121"/>
  <c r="AK41" i="121"/>
  <c r="AR18" i="121"/>
  <c r="AK18" i="121"/>
  <c r="AO18" i="121"/>
  <c r="AO23" i="121"/>
  <c r="AK23" i="121"/>
  <c r="AR23" i="121"/>
  <c r="Z81" i="115"/>
  <c r="AK34" i="121"/>
  <c r="AK32" i="121"/>
  <c r="AK47" i="121"/>
  <c r="AK35" i="121"/>
  <c r="AK31" i="121"/>
  <c r="AK36" i="121"/>
  <c r="AK39" i="121"/>
  <c r="AK29" i="121"/>
  <c r="Z87" i="115"/>
  <c r="AO20" i="121"/>
  <c r="AK20" i="121"/>
  <c r="AR20" i="121"/>
  <c r="Z80" i="115"/>
  <c r="Z89" i="115"/>
  <c r="AK21" i="121"/>
  <c r="Z79" i="115"/>
  <c r="AR21" i="121"/>
  <c r="AO21" i="121"/>
  <c r="AK48" i="121"/>
  <c r="Z99" i="115"/>
  <c r="AK46" i="121"/>
  <c r="AK33" i="121"/>
  <c r="Z95" i="115"/>
  <c r="AK37" i="121"/>
  <c r="AO25" i="121"/>
  <c r="AK25" i="121"/>
  <c r="AR25" i="121"/>
  <c r="Z92" i="115"/>
  <c r="Z76" i="115"/>
  <c r="Z83" i="115"/>
  <c r="AK27" i="121"/>
  <c r="Z94" i="115"/>
  <c r="Z82" i="115"/>
  <c r="Z90" i="115"/>
  <c r="Z97" i="115"/>
  <c r="Z91" i="115"/>
  <c r="AK43" i="121"/>
  <c r="Z85" i="115"/>
  <c r="Z93" i="115"/>
  <c r="Z78" i="115"/>
  <c r="AK12" i="121" l="1"/>
  <c r="BA21" i="121"/>
  <c r="Z66" i="115"/>
  <c r="AK8" i="121"/>
  <c r="BJ41" i="121"/>
  <c r="BE41" i="121"/>
  <c r="AY41" i="121"/>
  <c r="BH48" i="121"/>
  <c r="BB48" i="121"/>
  <c r="BB35" i="121"/>
  <c r="BH35" i="121"/>
  <c r="BH34" i="121"/>
  <c r="BB34" i="121"/>
  <c r="AZ48" i="121"/>
  <c r="BF48" i="121"/>
  <c r="BJ12" i="121"/>
  <c r="BD12" i="121"/>
  <c r="P7" i="121"/>
  <c r="BE36" i="121"/>
  <c r="AY36" i="121"/>
  <c r="BJ29" i="121"/>
  <c r="Z68" i="115"/>
  <c r="AK10" i="121"/>
  <c r="Z65" i="115"/>
  <c r="AR7" i="121"/>
  <c r="AK7" i="121"/>
  <c r="BF12" i="121"/>
  <c r="AZ12" i="121"/>
  <c r="Z69" i="115"/>
  <c r="AK11" i="121"/>
  <c r="AA9" i="121"/>
  <c r="AP2" i="121" s="1"/>
  <c r="G20" i="120" s="1"/>
  <c r="O9" i="121"/>
  <c r="N9" i="121"/>
  <c r="P9" i="121" s="1"/>
  <c r="Q7" i="121"/>
  <c r="AD7" i="121"/>
  <c r="BG12" i="121"/>
  <c r="BA12" i="121"/>
  <c r="Q12" i="121"/>
  <c r="AD12" i="121"/>
  <c r="AR12" i="121"/>
  <c r="AO12" i="121"/>
  <c r="AD11" i="121"/>
  <c r="Q11" i="121"/>
  <c r="AO11" i="121"/>
  <c r="AR11" i="121"/>
  <c r="Q10" i="121"/>
  <c r="AD10" i="121"/>
  <c r="AR10" i="121"/>
  <c r="AO10" i="121"/>
  <c r="Q8" i="121"/>
  <c r="AD8" i="121"/>
  <c r="AO8" i="121"/>
  <c r="AR8" i="121"/>
  <c r="P8" i="121"/>
  <c r="BE12" i="121"/>
  <c r="AY12" i="121"/>
  <c r="BG11" i="121"/>
  <c r="BA11" i="121"/>
  <c r="BF10" i="121"/>
  <c r="AZ10" i="121"/>
  <c r="BI12" i="121"/>
  <c r="BC12" i="121"/>
  <c r="BB10" i="121"/>
  <c r="BH10" i="121"/>
  <c r="BE39" i="121"/>
  <c r="AY39" i="121"/>
  <c r="BD29" i="121"/>
  <c r="BD41" i="121"/>
  <c r="AZ23" i="121"/>
  <c r="BF23" i="121"/>
  <c r="BF47" i="121"/>
  <c r="AZ47" i="121"/>
  <c r="BD31" i="121"/>
  <c r="BJ31" i="121"/>
  <c r="BI48" i="121"/>
  <c r="BC48" i="121"/>
  <c r="BJ20" i="121"/>
  <c r="BD20" i="121"/>
  <c r="BE31" i="121"/>
  <c r="AY31" i="121"/>
  <c r="BG33" i="121"/>
  <c r="BA33" i="121"/>
  <c r="BH21" i="121"/>
  <c r="BB21" i="121"/>
  <c r="BG46" i="121"/>
  <c r="BA46" i="121"/>
  <c r="BB39" i="121"/>
  <c r="BH39" i="121"/>
  <c r="BG48" i="121"/>
  <c r="BA48" i="121"/>
  <c r="BA47" i="121"/>
  <c r="BG47" i="121"/>
  <c r="BJ46" i="121"/>
  <c r="BD46" i="121"/>
  <c r="BD47" i="121"/>
  <c r="BJ47" i="121"/>
  <c r="BF25" i="121"/>
  <c r="AZ25" i="121"/>
  <c r="L2" i="121" l="1"/>
  <c r="G4" i="120" s="1"/>
  <c r="N2" i="121"/>
  <c r="G17" i="120" s="1"/>
  <c r="BJ7" i="121"/>
  <c r="BD7" i="121"/>
  <c r="AD9" i="121"/>
  <c r="Q9" i="121"/>
  <c r="AC9" i="121"/>
  <c r="AQ2" i="121"/>
  <c r="G21" i="120" s="1"/>
  <c r="O2" i="121"/>
  <c r="G19" i="120" s="1"/>
  <c r="G10" i="120" l="1"/>
  <c r="H10" i="120" s="1"/>
  <c r="G18" i="120"/>
  <c r="D21" i="120" s="1"/>
  <c r="R8" i="121"/>
  <c r="R7" i="121"/>
  <c r="R11" i="121"/>
  <c r="R10" i="121"/>
  <c r="R9" i="121"/>
  <c r="R12" i="121"/>
  <c r="AO9" i="121"/>
  <c r="AR9" i="121"/>
  <c r="Z67" i="115"/>
  <c r="AK9" i="121"/>
  <c r="AC2" i="121"/>
  <c r="BJ9" i="121" l="1"/>
  <c r="BD9" i="121"/>
  <c r="M2" i="121"/>
  <c r="G9" i="120" s="1"/>
  <c r="V2" i="121"/>
  <c r="E32" i="120" s="1"/>
  <c r="T2" i="121"/>
  <c r="G16" i="120" s="1"/>
  <c r="U2" i="121"/>
  <c r="G11" i="120" s="1"/>
  <c r="G22" i="120" s="1"/>
  <c r="X2" i="121"/>
  <c r="G7" i="120" s="1"/>
  <c r="T98" i="107" s="1"/>
  <c r="T45" i="128" s="1"/>
  <c r="AM2" i="121"/>
  <c r="G15" i="120" s="1"/>
  <c r="BH9" i="121"/>
  <c r="BB9" i="121"/>
  <c r="AR2" i="121"/>
  <c r="E29" i="120" s="1"/>
  <c r="AO2" i="121"/>
  <c r="E33" i="120" s="1"/>
  <c r="E31" i="120" l="1"/>
  <c r="Q70" i="128" s="1"/>
  <c r="G14" i="120"/>
  <c r="T102" i="107" s="1"/>
  <c r="T49" i="128" s="1"/>
  <c r="G23" i="120"/>
  <c r="F33" i="120"/>
  <c r="Q80" i="128"/>
  <c r="Q135" i="107"/>
  <c r="Q133" i="107"/>
  <c r="Q82" i="128"/>
  <c r="F29" i="120"/>
  <c r="Q109" i="107"/>
  <c r="Q111" i="107"/>
  <c r="Q58" i="128"/>
  <c r="Q56" i="128"/>
  <c r="E30" i="120"/>
  <c r="T101" i="107"/>
  <c r="T48" i="128" s="1"/>
  <c r="T99" i="107"/>
  <c r="T46" i="128" s="1"/>
  <c r="T100" i="107"/>
  <c r="T47" i="128" s="1"/>
  <c r="Q74" i="128"/>
  <c r="Q127" i="107"/>
  <c r="Q129" i="107"/>
  <c r="Q76" i="128"/>
  <c r="B77" i="120" l="1"/>
  <c r="B82" i="120" s="1"/>
  <c r="Q123" i="107"/>
  <c r="Q68" i="128"/>
  <c r="Q121" i="107"/>
  <c r="Q64" i="128"/>
  <c r="F30" i="120"/>
  <c r="Q62" i="128"/>
  <c r="Q115" i="107"/>
  <c r="Q117" i="107"/>
  <c r="B78" i="120" l="1"/>
  <c r="B81" i="120"/>
  <c r="B79" i="120"/>
  <c r="B80" i="120"/>
  <c r="B83" i="120"/>
  <c r="DG11" i="108"/>
  <c r="DG10" i="108"/>
  <c r="BG21" i="121"/>
  <c r="CV22" i="108"/>
  <c r="AQ22" i="108" s="1"/>
  <c r="AP22" i="108" s="1"/>
  <c r="CV32" i="108"/>
  <c r="AQ32" i="108" s="1"/>
  <c r="AP32" i="108" s="1"/>
  <c r="CV24" i="108"/>
  <c r="AQ24" i="108" s="1"/>
  <c r="AP24" i="108" s="1"/>
  <c r="AR24" i="108" s="1"/>
  <c r="V13" i="128"/>
  <c r="BR36" i="108" l="1"/>
  <c r="CV36" i="108" s="1"/>
  <c r="DC36" i="108" s="1"/>
  <c r="DD36" i="108" s="1"/>
  <c r="DC32" i="108"/>
  <c r="DD32" i="108" s="1"/>
  <c r="DC24" i="108"/>
  <c r="DD24" i="108" s="1"/>
  <c r="AR32" i="108"/>
  <c r="AR22" i="108"/>
  <c r="DC22" i="108"/>
  <c r="DD22" i="108" s="1"/>
  <c r="BR13" i="108"/>
  <c r="U13" i="108" s="1"/>
  <c r="V13" i="108" s="1"/>
  <c r="AQ36" i="108" l="1"/>
  <c r="AP36" i="108" s="1"/>
  <c r="AR36" i="108" s="1"/>
  <c r="U36" i="108"/>
  <c r="V36" i="108" s="1"/>
  <c r="BT36" i="108"/>
  <c r="CJ13" i="108"/>
  <c r="BH13" i="108"/>
  <c r="BM13" i="108" s="1"/>
  <c r="BG13" i="108"/>
  <c r="BL13" i="108" s="1"/>
  <c r="BD13" i="108"/>
  <c r="BS36" i="108"/>
  <c r="BR32" i="108"/>
  <c r="BR22" i="108"/>
  <c r="BR38" i="108"/>
  <c r="BR39" i="108"/>
  <c r="CV39" i="108" s="1"/>
  <c r="BR24" i="108"/>
  <c r="BR20" i="108"/>
  <c r="CV20" i="108" s="1"/>
  <c r="BR34" i="108"/>
  <c r="CV34" i="108" s="1"/>
  <c r="AC8" i="113"/>
  <c r="V13" i="107"/>
  <c r="BT13" i="108"/>
  <c r="BS13" i="108"/>
  <c r="DK13" i="108"/>
  <c r="BR9" i="108"/>
  <c r="V9" i="128"/>
  <c r="DC20" i="108" l="1"/>
  <c r="DD20" i="108" s="1"/>
  <c r="AQ20" i="108" s="1"/>
  <c r="DK36" i="108"/>
  <c r="DC34" i="108"/>
  <c r="DD34" i="108" s="1"/>
  <c r="AQ34" i="108" s="1"/>
  <c r="DC39" i="108"/>
  <c r="DD39" i="108" s="1"/>
  <c r="AQ39" i="108" s="1"/>
  <c r="CJ36" i="108"/>
  <c r="U39" i="108"/>
  <c r="V39" i="108" s="1"/>
  <c r="BT39" i="108"/>
  <c r="U20" i="108"/>
  <c r="V20" i="108" s="1"/>
  <c r="BT20" i="108"/>
  <c r="U24" i="108"/>
  <c r="V24" i="108" s="1"/>
  <c r="BT24" i="108"/>
  <c r="U38" i="108"/>
  <c r="V38" i="108" s="1"/>
  <c r="BT38" i="108"/>
  <c r="CV38" i="108"/>
  <c r="U22" i="108"/>
  <c r="V22" i="108" s="1"/>
  <c r="BT22" i="108"/>
  <c r="BP36" i="108"/>
  <c r="AB36" i="115"/>
  <c r="CA36" i="108"/>
  <c r="U34" i="108"/>
  <c r="V34" i="108" s="1"/>
  <c r="BT34" i="108"/>
  <c r="U32" i="108"/>
  <c r="V32" i="108" s="1"/>
  <c r="BT32" i="108"/>
  <c r="U9" i="108"/>
  <c r="V9" i="108" s="1"/>
  <c r="CV9" i="108"/>
  <c r="BT9" i="108"/>
  <c r="BI13" i="108"/>
  <c r="BN13" i="108" s="1"/>
  <c r="BF13" i="108"/>
  <c r="BK13" i="108" s="1"/>
  <c r="BE13" i="108"/>
  <c r="BJ13" i="108" s="1"/>
  <c r="BS24" i="108"/>
  <c r="DK24" i="108"/>
  <c r="DK22" i="108"/>
  <c r="BS22" i="108"/>
  <c r="BS34" i="108"/>
  <c r="BS39" i="108"/>
  <c r="BS20" i="108"/>
  <c r="BS32" i="108"/>
  <c r="DK32" i="108"/>
  <c r="BS38" i="108"/>
  <c r="BP13" i="108"/>
  <c r="AB13" i="115"/>
  <c r="CA13" i="108"/>
  <c r="AH8" i="113"/>
  <c r="BL1" i="124"/>
  <c r="BS9" i="108"/>
  <c r="AP20" i="108" l="1"/>
  <c r="AR20" i="108" s="1"/>
  <c r="DK20" i="108"/>
  <c r="AP34" i="108"/>
  <c r="AR34" i="108" s="1"/>
  <c r="DK34" i="108"/>
  <c r="AP39" i="108"/>
  <c r="AR39" i="108" s="1"/>
  <c r="DK39" i="108"/>
  <c r="BH38" i="108"/>
  <c r="BM38" i="108" s="1"/>
  <c r="BG36" i="108"/>
  <c r="BL36" i="108" s="1"/>
  <c r="BD36" i="108"/>
  <c r="BI36" i="108" s="1"/>
  <c r="BN36" i="108" s="1"/>
  <c r="BH32" i="108"/>
  <c r="BM32" i="108" s="1"/>
  <c r="CJ24" i="108"/>
  <c r="BG22" i="108"/>
  <c r="BL22" i="108" s="1"/>
  <c r="BG39" i="108"/>
  <c r="BL39" i="108" s="1"/>
  <c r="CJ34" i="108"/>
  <c r="CJ20" i="108"/>
  <c r="BH36" i="108"/>
  <c r="BM36" i="108" s="1"/>
  <c r="BP39" i="108"/>
  <c r="AB39" i="115"/>
  <c r="CA39" i="108"/>
  <c r="BH24" i="108"/>
  <c r="BM24" i="108" s="1"/>
  <c r="CJ22" i="108"/>
  <c r="BG24" i="108"/>
  <c r="BL24" i="108" s="1"/>
  <c r="BD32" i="108"/>
  <c r="BF32" i="108" s="1"/>
  <c r="BK32" i="108" s="1"/>
  <c r="BG38" i="108"/>
  <c r="BL38" i="108" s="1"/>
  <c r="BD34" i="108"/>
  <c r="BI34" i="108" s="1"/>
  <c r="BN34" i="108" s="1"/>
  <c r="CJ38" i="108"/>
  <c r="AB22" i="115"/>
  <c r="BP22" i="108"/>
  <c r="CA22" i="108"/>
  <c r="BP34" i="108"/>
  <c r="AB34" i="115"/>
  <c r="CA34" i="108"/>
  <c r="AB24" i="115"/>
  <c r="BP24" i="108"/>
  <c r="CA24" i="108"/>
  <c r="DC38" i="108"/>
  <c r="DD38" i="108" s="1"/>
  <c r="AQ38" i="108" s="1"/>
  <c r="BD38" i="108"/>
  <c r="AB38" i="115"/>
  <c r="BP38" i="108"/>
  <c r="CA38" i="108"/>
  <c r="BP20" i="108"/>
  <c r="AB20" i="115"/>
  <c r="CA20" i="108"/>
  <c r="AB32" i="115"/>
  <c r="BP32" i="108"/>
  <c r="CA32" i="108"/>
  <c r="AB9" i="115"/>
  <c r="BP9" i="108"/>
  <c r="CA9" i="108"/>
  <c r="DC9" i="108"/>
  <c r="DD9" i="108" s="1"/>
  <c r="AQ9" i="108" s="1"/>
  <c r="BG9" i="108"/>
  <c r="BL9" i="108" s="1"/>
  <c r="BD9" i="108"/>
  <c r="CJ9" i="108"/>
  <c r="BH9" i="108"/>
  <c r="BM9" i="108" s="1"/>
  <c r="BC13" i="108"/>
  <c r="BB13" i="108" s="1"/>
  <c r="CR13" i="108" s="1"/>
  <c r="CS13" i="108" s="1"/>
  <c r="AH13" i="108" s="1"/>
  <c r="BF36" i="108" l="1"/>
  <c r="BK36" i="108" s="1"/>
  <c r="BH34" i="108"/>
  <c r="BM34" i="108" s="1"/>
  <c r="BD22" i="108"/>
  <c r="BI22" i="108" s="1"/>
  <c r="BN22" i="108" s="1"/>
  <c r="BG32" i="108"/>
  <c r="BL32" i="108" s="1"/>
  <c r="CJ39" i="108"/>
  <c r="CJ32" i="108"/>
  <c r="BG20" i="108"/>
  <c r="BL20" i="108" s="1"/>
  <c r="BD20" i="108"/>
  <c r="BE20" i="108" s="1"/>
  <c r="BJ20" i="108" s="1"/>
  <c r="BH20" i="108"/>
  <c r="BM20" i="108" s="1"/>
  <c r="BH22" i="108"/>
  <c r="BM22" i="108" s="1"/>
  <c r="BH39" i="108"/>
  <c r="BM39" i="108" s="1"/>
  <c r="BD39" i="108"/>
  <c r="BE39" i="108" s="1"/>
  <c r="BJ39" i="108" s="1"/>
  <c r="BG34" i="108"/>
  <c r="BL34" i="108" s="1"/>
  <c r="BD24" i="108"/>
  <c r="BF24" i="108" s="1"/>
  <c r="BK24" i="108" s="1"/>
  <c r="BE36" i="108"/>
  <c r="BJ36" i="108" s="1"/>
  <c r="BF34" i="108"/>
  <c r="BK34" i="108" s="1"/>
  <c r="BE34" i="108"/>
  <c r="BJ34" i="108" s="1"/>
  <c r="BI32" i="108"/>
  <c r="BN32" i="108" s="1"/>
  <c r="BE32" i="108"/>
  <c r="BJ32" i="108" s="1"/>
  <c r="AP38" i="108"/>
  <c r="AR38" i="108" s="1"/>
  <c r="DK38" i="108"/>
  <c r="BE38" i="108"/>
  <c r="BJ38" i="108" s="1"/>
  <c r="BF38" i="108"/>
  <c r="BK38" i="108" s="1"/>
  <c r="BI38" i="108"/>
  <c r="BN38" i="108" s="1"/>
  <c r="CM13" i="108"/>
  <c r="CL13" i="108" s="1"/>
  <c r="CN13" i="108" s="1"/>
  <c r="BE9" i="108"/>
  <c r="BJ9" i="108" s="1"/>
  <c r="BF9" i="108"/>
  <c r="BK9" i="108" s="1"/>
  <c r="BI9" i="108"/>
  <c r="BN9" i="108" s="1"/>
  <c r="AP9" i="108"/>
  <c r="AR9" i="108" s="1"/>
  <c r="DK9" i="108"/>
  <c r="CZ13" i="108"/>
  <c r="CW13" i="108"/>
  <c r="BI39" i="108" l="1"/>
  <c r="BN39" i="108" s="1"/>
  <c r="BF22" i="108"/>
  <c r="BK22" i="108" s="1"/>
  <c r="BE22" i="108"/>
  <c r="BJ22" i="108" s="1"/>
  <c r="BC36" i="108"/>
  <c r="BB36" i="108" s="1"/>
  <c r="CR36" i="108" s="1"/>
  <c r="CS36" i="108" s="1"/>
  <c r="AH36" i="108" s="1"/>
  <c r="CW36" i="108" s="1"/>
  <c r="BF20" i="108"/>
  <c r="BK20" i="108" s="1"/>
  <c r="BE24" i="108"/>
  <c r="BJ24" i="108" s="1"/>
  <c r="BF39" i="108"/>
  <c r="BK39" i="108" s="1"/>
  <c r="BI24" i="108"/>
  <c r="BN24" i="108" s="1"/>
  <c r="BI20" i="108"/>
  <c r="BN20" i="108" s="1"/>
  <c r="BC34" i="108"/>
  <c r="BB34" i="108" s="1"/>
  <c r="CR34" i="108" s="1"/>
  <c r="CS34" i="108" s="1"/>
  <c r="AH34" i="108" s="1"/>
  <c r="BC32" i="108"/>
  <c r="BB32" i="108" s="1"/>
  <c r="CM32" i="108" s="1"/>
  <c r="CL32" i="108" s="1"/>
  <c r="CN32" i="108" s="1"/>
  <c r="CX13" i="108"/>
  <c r="DA13" i="108" s="1"/>
  <c r="DE13" i="108"/>
  <c r="DG13" i="108" s="1"/>
  <c r="BC38" i="108"/>
  <c r="BB38" i="108" s="1"/>
  <c r="BC9" i="108"/>
  <c r="BB9" i="108" s="1"/>
  <c r="CO13" i="108"/>
  <c r="BC39" i="108" l="1"/>
  <c r="BB39" i="108" s="1"/>
  <c r="CM39" i="108" s="1"/>
  <c r="CL39" i="108" s="1"/>
  <c r="BC22" i="108"/>
  <c r="BB22" i="108" s="1"/>
  <c r="CR22" i="108" s="1"/>
  <c r="CS22" i="108" s="1"/>
  <c r="AH22" i="108" s="1"/>
  <c r="CZ22" i="108" s="1"/>
  <c r="CZ36" i="108"/>
  <c r="CM36" i="108"/>
  <c r="CL36" i="108" s="1"/>
  <c r="DE36" i="108" s="1"/>
  <c r="BC20" i="108"/>
  <c r="BB20" i="108" s="1"/>
  <c r="CR20" i="108" s="1"/>
  <c r="CS20" i="108" s="1"/>
  <c r="AH20" i="108" s="1"/>
  <c r="BC24" i="108"/>
  <c r="BB24" i="108" s="1"/>
  <c r="CM24" i="108" s="1"/>
  <c r="CL24" i="108" s="1"/>
  <c r="DE24" i="108" s="1"/>
  <c r="CY13" i="108"/>
  <c r="AL13" i="108" s="1"/>
  <c r="DH13" i="108" s="1"/>
  <c r="CM34" i="108"/>
  <c r="CL34" i="108" s="1"/>
  <c r="CX34" i="108" s="1"/>
  <c r="CW34" i="108"/>
  <c r="CZ34" i="108"/>
  <c r="DE32" i="108"/>
  <c r="CR32" i="108"/>
  <c r="CS32" i="108" s="1"/>
  <c r="AH32" i="108" s="1"/>
  <c r="CW32" i="108" s="1"/>
  <c r="CM38" i="108"/>
  <c r="CL38" i="108" s="1"/>
  <c r="CR38" i="108"/>
  <c r="CS38" i="108" s="1"/>
  <c r="AH38" i="108" s="1"/>
  <c r="CM9" i="108"/>
  <c r="CL9" i="108" s="1"/>
  <c r="CR9" i="108"/>
  <c r="CS9" i="108" s="1"/>
  <c r="AH9" i="108" s="1"/>
  <c r="CO32" i="108"/>
  <c r="AE13" i="128"/>
  <c r="AU13" i="108"/>
  <c r="AV13" i="108"/>
  <c r="V8" i="128"/>
  <c r="V10" i="128"/>
  <c r="V11" i="128"/>
  <c r="AC2" i="113"/>
  <c r="AH1" i="124" s="1"/>
  <c r="BR11" i="108"/>
  <c r="BR10" i="108"/>
  <c r="BR8" i="108"/>
  <c r="CR39" i="108" l="1"/>
  <c r="CS39" i="108" s="1"/>
  <c r="AH39" i="108" s="1"/>
  <c r="CW39" i="108" s="1"/>
  <c r="U8" i="108"/>
  <c r="V8" i="108" s="1"/>
  <c r="BH8" i="108" s="1"/>
  <c r="BM8" i="108" s="1"/>
  <c r="CV8" i="108"/>
  <c r="DC8" i="108" s="1"/>
  <c r="DD8" i="108" s="1"/>
  <c r="AQ8" i="108" s="1"/>
  <c r="AP8" i="108" s="1"/>
  <c r="AR8" i="108" s="1"/>
  <c r="CM22" i="108"/>
  <c r="CL22" i="108" s="1"/>
  <c r="CN22" i="108" s="1"/>
  <c r="CO22" i="108" s="1"/>
  <c r="AU22" i="108" s="1"/>
  <c r="AL22" i="108"/>
  <c r="AK22" i="108" s="1"/>
  <c r="CW22" i="108"/>
  <c r="CX36" i="108"/>
  <c r="CY36" i="108" s="1"/>
  <c r="AL36" i="108" s="1"/>
  <c r="DH36" i="108" s="1"/>
  <c r="CN36" i="108"/>
  <c r="CO36" i="108" s="1"/>
  <c r="AU36" i="108" s="1"/>
  <c r="CZ20" i="108"/>
  <c r="CM20" i="108"/>
  <c r="CL20" i="108" s="1"/>
  <c r="DE20" i="108" s="1"/>
  <c r="CW20" i="108"/>
  <c r="CN24" i="108"/>
  <c r="CO24" i="108" s="1"/>
  <c r="AV24" i="108" s="1"/>
  <c r="CR24" i="108"/>
  <c r="CS24" i="108" s="1"/>
  <c r="AH24" i="108" s="1"/>
  <c r="CX24" i="108" s="1"/>
  <c r="AK13" i="108"/>
  <c r="AM13" i="108" s="1"/>
  <c r="Y13" i="108" s="1"/>
  <c r="S13" i="108" s="1"/>
  <c r="P149" i="120" s="1"/>
  <c r="DE34" i="108"/>
  <c r="CY34" i="108"/>
  <c r="AL34" i="108" s="1"/>
  <c r="DA34" i="108"/>
  <c r="CN34" i="108"/>
  <c r="CO34" i="108" s="1"/>
  <c r="AU34" i="108" s="1"/>
  <c r="CZ32" i="108"/>
  <c r="AL32" i="108"/>
  <c r="AK32" i="108" s="1"/>
  <c r="CX32" i="108"/>
  <c r="CY32" i="108" s="1"/>
  <c r="CN39" i="108"/>
  <c r="CX39" i="108"/>
  <c r="DE39" i="108"/>
  <c r="CW38" i="108"/>
  <c r="CZ38" i="108"/>
  <c r="CX38" i="108"/>
  <c r="DE38" i="108"/>
  <c r="CN38" i="108"/>
  <c r="CZ9" i="108"/>
  <c r="CW9" i="108"/>
  <c r="CN9" i="108"/>
  <c r="DE9" i="108"/>
  <c r="DG9" i="108" s="1"/>
  <c r="CX9" i="108"/>
  <c r="AU32" i="108"/>
  <c r="AV32" i="108"/>
  <c r="AM13" i="128"/>
  <c r="K15" i="109"/>
  <c r="AH2" i="113"/>
  <c r="DK10" i="108"/>
  <c r="BT10" i="108"/>
  <c r="BS10" i="108"/>
  <c r="DK11" i="108"/>
  <c r="BT11" i="108"/>
  <c r="V10" i="107"/>
  <c r="AC5" i="113"/>
  <c r="BS8" i="108"/>
  <c r="BT8" i="108"/>
  <c r="U10" i="108"/>
  <c r="V10" i="108" s="1"/>
  <c r="U11" i="108"/>
  <c r="V11" i="108" s="1"/>
  <c r="BS11" i="108"/>
  <c r="V7" i="107"/>
  <c r="V11" i="107"/>
  <c r="AC6" i="113"/>
  <c r="V8" i="107"/>
  <c r="AC3" i="113"/>
  <c r="CZ39" i="108" l="1"/>
  <c r="DK8" i="108"/>
  <c r="BD8" i="108"/>
  <c r="CJ8" i="108"/>
  <c r="CS8" i="108"/>
  <c r="BG8" i="108"/>
  <c r="BL8" i="108" s="1"/>
  <c r="CX22" i="108"/>
  <c r="DA22" i="108" s="1"/>
  <c r="AV22" i="108"/>
  <c r="DE22" i="108"/>
  <c r="AS22" i="108"/>
  <c r="AT22" i="108" s="1"/>
  <c r="AO22" i="108"/>
  <c r="DH22" i="108"/>
  <c r="AM22" i="108"/>
  <c r="Y22" i="108" s="1"/>
  <c r="AD22" i="108" s="1"/>
  <c r="DA36" i="108"/>
  <c r="AK36" i="108"/>
  <c r="AO36" i="108" s="1"/>
  <c r="AV36" i="108"/>
  <c r="CN20" i="108"/>
  <c r="CO20" i="108" s="1"/>
  <c r="AV20" i="108" s="1"/>
  <c r="CX20" i="108"/>
  <c r="CY20" i="108" s="1"/>
  <c r="AL20" i="108" s="1"/>
  <c r="AU24" i="108"/>
  <c r="CW24" i="108"/>
  <c r="CY24" i="108" s="1"/>
  <c r="AL24" i="108"/>
  <c r="DH24" i="108" s="1"/>
  <c r="CZ24" i="108"/>
  <c r="DA24" i="108" s="1"/>
  <c r="AK34" i="108"/>
  <c r="AS34" i="108" s="1"/>
  <c r="AT34" i="108" s="1"/>
  <c r="DH34" i="108"/>
  <c r="AS13" i="108"/>
  <c r="AT13" i="108" s="1"/>
  <c r="AO13" i="108"/>
  <c r="Z149" i="120"/>
  <c r="AA149" i="120"/>
  <c r="S149" i="120"/>
  <c r="X149" i="120"/>
  <c r="Y149" i="120"/>
  <c r="V149" i="120"/>
  <c r="T149" i="120"/>
  <c r="W149" i="120"/>
  <c r="AV34" i="108"/>
  <c r="DA32" i="108"/>
  <c r="DH32" i="108"/>
  <c r="CY39" i="108"/>
  <c r="AL39" i="108" s="1"/>
  <c r="AK39" i="108" s="1"/>
  <c r="AS39" i="108" s="1"/>
  <c r="AT39" i="108" s="1"/>
  <c r="DA39" i="108"/>
  <c r="CO39" i="108"/>
  <c r="J15" i="109"/>
  <c r="AM32" i="108"/>
  <c r="Y32" i="108" s="1"/>
  <c r="AO32" i="108"/>
  <c r="AS32" i="108"/>
  <c r="AT32" i="108" s="1"/>
  <c r="DA38" i="108"/>
  <c r="CY38" i="108"/>
  <c r="AL38" i="108" s="1"/>
  <c r="CO38" i="108"/>
  <c r="BZ13" i="108"/>
  <c r="CB13" i="108" s="1"/>
  <c r="BO13" i="107"/>
  <c r="BX13" i="108"/>
  <c r="K4" i="109" s="1"/>
  <c r="BY13" i="108"/>
  <c r="BV13" i="108"/>
  <c r="BW13" i="108"/>
  <c r="O13" i="115"/>
  <c r="BU13" i="108"/>
  <c r="K2" i="109" s="1"/>
  <c r="AC13" i="108"/>
  <c r="K14" i="109" s="1"/>
  <c r="K19" i="121"/>
  <c r="O19" i="121" s="1"/>
  <c r="AD19" i="121" s="1"/>
  <c r="AW13" i="108"/>
  <c r="AQ13" i="128" s="1"/>
  <c r="CC13" i="108"/>
  <c r="K18" i="109" s="1"/>
  <c r="AM13" i="131"/>
  <c r="AE13" i="131"/>
  <c r="AE13" i="107" s="1"/>
  <c r="AI13" i="131"/>
  <c r="AI13" i="107" s="1"/>
  <c r="AA13" i="131"/>
  <c r="AI2" i="113"/>
  <c r="CO9" i="108"/>
  <c r="CY9" i="108"/>
  <c r="AL9" i="108" s="1"/>
  <c r="DH9" i="108" s="1"/>
  <c r="AK9" i="108" s="1"/>
  <c r="DA9" i="108"/>
  <c r="AD13" i="108"/>
  <c r="K14" i="114"/>
  <c r="Y14" i="114" s="1"/>
  <c r="AB8" i="115"/>
  <c r="BP8" i="108"/>
  <c r="CA8" i="108"/>
  <c r="AW1" i="124"/>
  <c r="AH5" i="113"/>
  <c r="AB10" i="115"/>
  <c r="CA10" i="108"/>
  <c r="BP10" i="108"/>
  <c r="CS11" i="108"/>
  <c r="BD11" i="108"/>
  <c r="BI11" i="108" s="1"/>
  <c r="BN11" i="108" s="1"/>
  <c r="CJ11" i="108"/>
  <c r="BH11" i="108"/>
  <c r="BM11" i="108" s="1"/>
  <c r="BG11" i="108"/>
  <c r="BL11" i="108" s="1"/>
  <c r="AH6" i="113"/>
  <c r="BB1" i="124"/>
  <c r="AB11" i="115"/>
  <c r="CA11" i="108"/>
  <c r="BP11" i="108"/>
  <c r="AM1" i="124"/>
  <c r="AH3" i="113"/>
  <c r="AI4" i="113" s="1"/>
  <c r="BI8" i="108"/>
  <c r="BN8" i="108" s="1"/>
  <c r="BF8" i="108"/>
  <c r="BK8" i="108" s="1"/>
  <c r="BE8" i="108"/>
  <c r="BJ8" i="108" s="1"/>
  <c r="CJ10" i="108"/>
  <c r="BD10" i="108"/>
  <c r="BE10" i="108" s="1"/>
  <c r="BJ10" i="108" s="1"/>
  <c r="CS10" i="108"/>
  <c r="BH10" i="108"/>
  <c r="BM10" i="108" s="1"/>
  <c r="BG10" i="108"/>
  <c r="BL10" i="108" s="1"/>
  <c r="DH20" i="108" l="1"/>
  <c r="AK20" i="108"/>
  <c r="AM20" i="108" s="1"/>
  <c r="Y20" i="108" s="1"/>
  <c r="S22" i="108"/>
  <c r="P158" i="120" s="1"/>
  <c r="T158" i="120" s="1"/>
  <c r="CY22" i="108"/>
  <c r="DH39" i="108"/>
  <c r="AS36" i="108"/>
  <c r="AT36" i="108" s="1"/>
  <c r="AU20" i="108"/>
  <c r="AM36" i="108"/>
  <c r="Y36" i="108" s="1"/>
  <c r="S36" i="108" s="1"/>
  <c r="P172" i="120" s="1"/>
  <c r="Z172" i="120" s="1"/>
  <c r="DA20" i="108"/>
  <c r="AO20" i="108" s="1"/>
  <c r="AK24" i="108"/>
  <c r="AS24" i="108" s="1"/>
  <c r="AT24" i="108" s="1"/>
  <c r="AM34" i="108"/>
  <c r="Y34" i="108" s="1"/>
  <c r="AO34" i="108"/>
  <c r="K3" i="109"/>
  <c r="DV9" i="108"/>
  <c r="AE39" i="131"/>
  <c r="AU39" i="108"/>
  <c r="M15" i="109" s="1"/>
  <c r="AV39" i="108"/>
  <c r="AM39" i="131" s="1"/>
  <c r="AM39" i="108"/>
  <c r="Y39" i="108" s="1"/>
  <c r="AO39" i="108"/>
  <c r="AQ13" i="131"/>
  <c r="AQ13" i="107" s="1"/>
  <c r="AM13" i="107"/>
  <c r="CD13" i="108"/>
  <c r="K17" i="109" s="1"/>
  <c r="CF13" i="108"/>
  <c r="AD8" i="113"/>
  <c r="BL2" i="124" s="1"/>
  <c r="AA13" i="107"/>
  <c r="AI11" i="113"/>
  <c r="AI12" i="113"/>
  <c r="AI13" i="113"/>
  <c r="AK38" i="108"/>
  <c r="AO38" i="108" s="1"/>
  <c r="DH38" i="108"/>
  <c r="S32" i="108"/>
  <c r="P168" i="120" s="1"/>
  <c r="AD32" i="108"/>
  <c r="P22" i="108"/>
  <c r="CI22" i="108"/>
  <c r="K5" i="109"/>
  <c r="AU38" i="108"/>
  <c r="L15" i="109" s="1"/>
  <c r="AV38" i="108"/>
  <c r="BZ22" i="108"/>
  <c r="CB22" i="108" s="1"/>
  <c r="BW22" i="108"/>
  <c r="AW22" i="108"/>
  <c r="AC22" i="108"/>
  <c r="CD22" i="108" s="1"/>
  <c r="CC22" i="108"/>
  <c r="AI22" i="131"/>
  <c r="BX22" i="108"/>
  <c r="AM22" i="131"/>
  <c r="BY22" i="108"/>
  <c r="K28" i="121"/>
  <c r="AA22" i="131"/>
  <c r="BV22" i="108"/>
  <c r="O22" i="115"/>
  <c r="AE22" i="131"/>
  <c r="L19" i="121"/>
  <c r="AA19" i="121" s="1"/>
  <c r="AC19" i="121" s="1"/>
  <c r="S19" i="121"/>
  <c r="AS19" i="121"/>
  <c r="N19" i="121"/>
  <c r="P19" i="121"/>
  <c r="BF11" i="108"/>
  <c r="BK11" i="108" s="1"/>
  <c r="DX13" i="108"/>
  <c r="DR13" i="108"/>
  <c r="BE11" i="108"/>
  <c r="BJ11" i="108" s="1"/>
  <c r="AI6" i="113"/>
  <c r="AI5" i="113"/>
  <c r="BF10" i="108"/>
  <c r="BK10" i="108" s="1"/>
  <c r="BI10" i="108"/>
  <c r="BN10" i="108" s="1"/>
  <c r="DS7" i="108"/>
  <c r="AM9" i="108"/>
  <c r="Y9" i="108" s="1"/>
  <c r="S9" i="108" s="1"/>
  <c r="P145" i="120" s="1"/>
  <c r="AS9" i="108"/>
  <c r="AT9" i="108" s="1"/>
  <c r="AO9" i="108"/>
  <c r="AE9" i="128"/>
  <c r="AV9" i="108"/>
  <c r="AU9" i="108"/>
  <c r="Q19" i="121"/>
  <c r="L14" i="114"/>
  <c r="CI13" i="108"/>
  <c r="M19" i="121" s="1"/>
  <c r="P13" i="108"/>
  <c r="DU12" i="108"/>
  <c r="EA12" i="108"/>
  <c r="DR15" i="108"/>
  <c r="DX15" i="108"/>
  <c r="AI3" i="113"/>
  <c r="AI7" i="113"/>
  <c r="AI8" i="113"/>
  <c r="AI9" i="113"/>
  <c r="AI10" i="113"/>
  <c r="BC8" i="108"/>
  <c r="BB8" i="108" s="1"/>
  <c r="AH8" i="108" s="1"/>
  <c r="AS20" i="108" l="1"/>
  <c r="AT20" i="108" s="1"/>
  <c r="Z158" i="120"/>
  <c r="AD20" i="108"/>
  <c r="S20" i="108"/>
  <c r="W158" i="120"/>
  <c r="X158" i="120"/>
  <c r="S158" i="120"/>
  <c r="AA158" i="120"/>
  <c r="V158" i="120"/>
  <c r="Y158" i="120"/>
  <c r="BU22" i="108"/>
  <c r="BM129" i="124"/>
  <c r="BN129" i="124" s="1"/>
  <c r="BO129" i="124" s="1"/>
  <c r="BM289" i="124"/>
  <c r="BN289" i="124" s="1"/>
  <c r="BO289" i="124" s="1"/>
  <c r="BM288" i="124"/>
  <c r="BN288" i="124" s="1"/>
  <c r="BO288" i="124" s="1"/>
  <c r="W172" i="120"/>
  <c r="BU36" i="108"/>
  <c r="AW36" i="108"/>
  <c r="BZ36" i="108"/>
  <c r="CB36" i="108" s="1"/>
  <c r="K42" i="121"/>
  <c r="O42" i="121" s="1"/>
  <c r="AD42" i="121" s="1"/>
  <c r="Y172" i="120"/>
  <c r="S172" i="120"/>
  <c r="CC36" i="108"/>
  <c r="X172" i="120"/>
  <c r="O36" i="115"/>
  <c r="AD36" i="108"/>
  <c r="P36" i="108" s="1"/>
  <c r="AE36" i="131"/>
  <c r="V172" i="120"/>
  <c r="AC36" i="108"/>
  <c r="CD36" i="108" s="1"/>
  <c r="AI36" i="131"/>
  <c r="T172" i="120"/>
  <c r="AA36" i="131"/>
  <c r="BW36" i="108"/>
  <c r="BV36" i="108"/>
  <c r="AM36" i="131"/>
  <c r="AA172" i="120"/>
  <c r="BY36" i="108"/>
  <c r="BX36" i="108"/>
  <c r="AM24" i="108"/>
  <c r="Y24" i="108" s="1"/>
  <c r="S24" i="108" s="1"/>
  <c r="P160" i="120" s="1"/>
  <c r="AO24" i="108"/>
  <c r="AD34" i="108"/>
  <c r="S34" i="108"/>
  <c r="S145" i="120"/>
  <c r="Z145" i="120"/>
  <c r="AA145" i="120"/>
  <c r="T145" i="120"/>
  <c r="V145" i="120"/>
  <c r="W145" i="120"/>
  <c r="X145" i="120"/>
  <c r="Y145" i="120"/>
  <c r="Z168" i="120"/>
  <c r="AA168" i="120"/>
  <c r="X168" i="120"/>
  <c r="V168" i="120"/>
  <c r="T168" i="120"/>
  <c r="S168" i="120"/>
  <c r="Y168" i="120"/>
  <c r="W168" i="120"/>
  <c r="BM40" i="124"/>
  <c r="BN40" i="124" s="1"/>
  <c r="BO40" i="124" s="1"/>
  <c r="BM269" i="124"/>
  <c r="BN269" i="124" s="1"/>
  <c r="BO269" i="124" s="1"/>
  <c r="BM134" i="124"/>
  <c r="BN134" i="124" s="1"/>
  <c r="BO134" i="124" s="1"/>
  <c r="BM217" i="124"/>
  <c r="BN217" i="124" s="1"/>
  <c r="BO217" i="124" s="1"/>
  <c r="BM32" i="124"/>
  <c r="BN32" i="124" s="1"/>
  <c r="BO32" i="124" s="1"/>
  <c r="BM50" i="124"/>
  <c r="BN50" i="124" s="1"/>
  <c r="BO50" i="124" s="1"/>
  <c r="BM70" i="124"/>
  <c r="BN70" i="124" s="1"/>
  <c r="BO70" i="124" s="1"/>
  <c r="S39" i="108"/>
  <c r="AD39" i="108"/>
  <c r="AY11" i="121"/>
  <c r="BE11" i="121"/>
  <c r="BJ10" i="121"/>
  <c r="BD10" i="121"/>
  <c r="BM196" i="124"/>
  <c r="BN196" i="124" s="1"/>
  <c r="BO196" i="124" s="1"/>
  <c r="BM204" i="124"/>
  <c r="BN204" i="124" s="1"/>
  <c r="BO204" i="124" s="1"/>
  <c r="BM190" i="124"/>
  <c r="BN190" i="124" s="1"/>
  <c r="BO190" i="124" s="1"/>
  <c r="BM148" i="124"/>
  <c r="BN148" i="124" s="1"/>
  <c r="BO148" i="124" s="1"/>
  <c r="BM107" i="124"/>
  <c r="BN107" i="124" s="1"/>
  <c r="BO107" i="124" s="1"/>
  <c r="BM49" i="124"/>
  <c r="BN49" i="124" s="1"/>
  <c r="BO49" i="124" s="1"/>
  <c r="BM260" i="124"/>
  <c r="BN260" i="124" s="1"/>
  <c r="BO260" i="124" s="1"/>
  <c r="BM213" i="124"/>
  <c r="BN213" i="124" s="1"/>
  <c r="BO213" i="124" s="1"/>
  <c r="BM13" i="124"/>
  <c r="BN13" i="124" s="1"/>
  <c r="BO13" i="124" s="1"/>
  <c r="BM287" i="124"/>
  <c r="BN287" i="124" s="1"/>
  <c r="BO287" i="124" s="1"/>
  <c r="BM59" i="124"/>
  <c r="BN59" i="124" s="1"/>
  <c r="BO59" i="124" s="1"/>
  <c r="BM256" i="124"/>
  <c r="BN256" i="124" s="1"/>
  <c r="BO256" i="124" s="1"/>
  <c r="BM67" i="124"/>
  <c r="BN67" i="124" s="1"/>
  <c r="BO67" i="124" s="1"/>
  <c r="BM285" i="124"/>
  <c r="BN285" i="124" s="1"/>
  <c r="BO285" i="124" s="1"/>
  <c r="BM151" i="124"/>
  <c r="BN151" i="124" s="1"/>
  <c r="BO151" i="124" s="1"/>
  <c r="BM114" i="124"/>
  <c r="BN114" i="124" s="1"/>
  <c r="BO114" i="124" s="1"/>
  <c r="BM165" i="124"/>
  <c r="BN165" i="124" s="1"/>
  <c r="BO165" i="124" s="1"/>
  <c r="BM85" i="124"/>
  <c r="BN85" i="124" s="1"/>
  <c r="BO85" i="124" s="1"/>
  <c r="BM158" i="124"/>
  <c r="BN158" i="124" s="1"/>
  <c r="BO158" i="124" s="1"/>
  <c r="BM172" i="124"/>
  <c r="BN172" i="124" s="1"/>
  <c r="BO172" i="124" s="1"/>
  <c r="BM89" i="124"/>
  <c r="BN89" i="124" s="1"/>
  <c r="BO89" i="124" s="1"/>
  <c r="BM275" i="124"/>
  <c r="BN275" i="124" s="1"/>
  <c r="BO275" i="124" s="1"/>
  <c r="BM238" i="124"/>
  <c r="BN238" i="124" s="1"/>
  <c r="BO238" i="124" s="1"/>
  <c r="BM53" i="124"/>
  <c r="BN53" i="124" s="1"/>
  <c r="BO53" i="124" s="1"/>
  <c r="BM266" i="124"/>
  <c r="BN266" i="124" s="1"/>
  <c r="BO266" i="124" s="1"/>
  <c r="BM218" i="124"/>
  <c r="BN218" i="124" s="1"/>
  <c r="BO218" i="124" s="1"/>
  <c r="BM270" i="124"/>
  <c r="BN270" i="124" s="1"/>
  <c r="BO270" i="124" s="1"/>
  <c r="BM65" i="124"/>
  <c r="BN65" i="124" s="1"/>
  <c r="BO65" i="124" s="1"/>
  <c r="BM35" i="124"/>
  <c r="BN35" i="124" s="1"/>
  <c r="BO35" i="124" s="1"/>
  <c r="BM123" i="124"/>
  <c r="BN123" i="124" s="1"/>
  <c r="BO123" i="124" s="1"/>
  <c r="BM19" i="124"/>
  <c r="BN19" i="124" s="1"/>
  <c r="BO19" i="124" s="1"/>
  <c r="BM146" i="124"/>
  <c r="BN146" i="124" s="1"/>
  <c r="BO146" i="124" s="1"/>
  <c r="BM187" i="124"/>
  <c r="BN187" i="124" s="1"/>
  <c r="BO187" i="124" s="1"/>
  <c r="BM24" i="124"/>
  <c r="BN24" i="124" s="1"/>
  <c r="BO24" i="124" s="1"/>
  <c r="BM93" i="124"/>
  <c r="BN93" i="124" s="1"/>
  <c r="BO93" i="124" s="1"/>
  <c r="BM278" i="124"/>
  <c r="BN278" i="124" s="1"/>
  <c r="BO278" i="124" s="1"/>
  <c r="BM231" i="124"/>
  <c r="BN231" i="124" s="1"/>
  <c r="BO231" i="124" s="1"/>
  <c r="BM235" i="124"/>
  <c r="BN235" i="124" s="1"/>
  <c r="BO235" i="124" s="1"/>
  <c r="BM167" i="124"/>
  <c r="BN167" i="124" s="1"/>
  <c r="BO167" i="124" s="1"/>
  <c r="BM31" i="124"/>
  <c r="BN31" i="124" s="1"/>
  <c r="BO31" i="124" s="1"/>
  <c r="BM160" i="124"/>
  <c r="BN160" i="124" s="1"/>
  <c r="BO160" i="124" s="1"/>
  <c r="BM283" i="124"/>
  <c r="BN283" i="124" s="1"/>
  <c r="BO283" i="124" s="1"/>
  <c r="BM255" i="124"/>
  <c r="BN255" i="124" s="1"/>
  <c r="BO255" i="124" s="1"/>
  <c r="BM164" i="124"/>
  <c r="BN164" i="124" s="1"/>
  <c r="BO164" i="124" s="1"/>
  <c r="BM149" i="124"/>
  <c r="BN149" i="124" s="1"/>
  <c r="BO149" i="124" s="1"/>
  <c r="BM42" i="124"/>
  <c r="BN42" i="124" s="1"/>
  <c r="BO42" i="124" s="1"/>
  <c r="BM282" i="124"/>
  <c r="BN282" i="124" s="1"/>
  <c r="BO282" i="124" s="1"/>
  <c r="BM281" i="124"/>
  <c r="BN281" i="124" s="1"/>
  <c r="BO281" i="124" s="1"/>
  <c r="BM41" i="124"/>
  <c r="BN41" i="124" s="1"/>
  <c r="BO41" i="124" s="1"/>
  <c r="BM209" i="124"/>
  <c r="BN209" i="124" s="1"/>
  <c r="BO209" i="124" s="1"/>
  <c r="BM33" i="124"/>
  <c r="BN33" i="124" s="1"/>
  <c r="BO33" i="124" s="1"/>
  <c r="BM127" i="124"/>
  <c r="BN127" i="124" s="1"/>
  <c r="BO127" i="124" s="1"/>
  <c r="BM214" i="124"/>
  <c r="BN214" i="124" s="1"/>
  <c r="BO214" i="124" s="1"/>
  <c r="BM253" i="124"/>
  <c r="BN253" i="124" s="1"/>
  <c r="BO253" i="124" s="1"/>
  <c r="BM72" i="124"/>
  <c r="BN72" i="124" s="1"/>
  <c r="BO72" i="124" s="1"/>
  <c r="BM203" i="124"/>
  <c r="BN203" i="124" s="1"/>
  <c r="BO203" i="124" s="1"/>
  <c r="BM147" i="124"/>
  <c r="BN147" i="124" s="1"/>
  <c r="BO147" i="124" s="1"/>
  <c r="BM80" i="124"/>
  <c r="BN80" i="124" s="1"/>
  <c r="BO80" i="124" s="1"/>
  <c r="BM225" i="124"/>
  <c r="BN225" i="124" s="1"/>
  <c r="BO225" i="124" s="1"/>
  <c r="BM101" i="124"/>
  <c r="BN101" i="124" s="1"/>
  <c r="BO101" i="124" s="1"/>
  <c r="BM236" i="124"/>
  <c r="BN236" i="124" s="1"/>
  <c r="BO236" i="124" s="1"/>
  <c r="BM75" i="124"/>
  <c r="BN75" i="124" s="1"/>
  <c r="BO75" i="124" s="1"/>
  <c r="BM64" i="124"/>
  <c r="BN64" i="124" s="1"/>
  <c r="BO64" i="124" s="1"/>
  <c r="BM105" i="124"/>
  <c r="BN105" i="124" s="1"/>
  <c r="BO105" i="124" s="1"/>
  <c r="BM264" i="124"/>
  <c r="BN264" i="124" s="1"/>
  <c r="BO264" i="124" s="1"/>
  <c r="BM171" i="124"/>
  <c r="BN171" i="124" s="1"/>
  <c r="BO171" i="124" s="1"/>
  <c r="BM258" i="124"/>
  <c r="BN258" i="124" s="1"/>
  <c r="BO258" i="124" s="1"/>
  <c r="BM173" i="124"/>
  <c r="BN173" i="124" s="1"/>
  <c r="BO173" i="124" s="1"/>
  <c r="BM47" i="124"/>
  <c r="BN47" i="124" s="1"/>
  <c r="BO47" i="124" s="1"/>
  <c r="BM180" i="124"/>
  <c r="BN180" i="124" s="1"/>
  <c r="BO180" i="124" s="1"/>
  <c r="BM221" i="124"/>
  <c r="BN221" i="124" s="1"/>
  <c r="BO221" i="124" s="1"/>
  <c r="BM98" i="124"/>
  <c r="BN98" i="124" s="1"/>
  <c r="BO98" i="124" s="1"/>
  <c r="BM77" i="124"/>
  <c r="BN77" i="124" s="1"/>
  <c r="BO77" i="124" s="1"/>
  <c r="BM207" i="124"/>
  <c r="BN207" i="124" s="1"/>
  <c r="BO207" i="124" s="1"/>
  <c r="BM74" i="124"/>
  <c r="BN74" i="124" s="1"/>
  <c r="BO74" i="124" s="1"/>
  <c r="BM191" i="124"/>
  <c r="BN191" i="124" s="1"/>
  <c r="BO191" i="124" s="1"/>
  <c r="BM161" i="124"/>
  <c r="BN161" i="124" s="1"/>
  <c r="BO161" i="124" s="1"/>
  <c r="BM245" i="124"/>
  <c r="BN245" i="124" s="1"/>
  <c r="BO245" i="124" s="1"/>
  <c r="BM211" i="124"/>
  <c r="BN211" i="124" s="1"/>
  <c r="BO211" i="124" s="1"/>
  <c r="BM155" i="124"/>
  <c r="BN155" i="124" s="1"/>
  <c r="BO155" i="124" s="1"/>
  <c r="BM140" i="124"/>
  <c r="BN140" i="124" s="1"/>
  <c r="BO140" i="124" s="1"/>
  <c r="BM12" i="124"/>
  <c r="BN12" i="124" s="1"/>
  <c r="BO12" i="124" s="1"/>
  <c r="BM39" i="124"/>
  <c r="BN39" i="124" s="1"/>
  <c r="BO39" i="124" s="1"/>
  <c r="BM104" i="124"/>
  <c r="BN104" i="124" s="1"/>
  <c r="BO104" i="124" s="1"/>
  <c r="BM199" i="124"/>
  <c r="BN199" i="124" s="1"/>
  <c r="BO199" i="124" s="1"/>
  <c r="BM286" i="124"/>
  <c r="BN286" i="124" s="1"/>
  <c r="BO286" i="124" s="1"/>
  <c r="BM168" i="124"/>
  <c r="BN168" i="124" s="1"/>
  <c r="BO168" i="124" s="1"/>
  <c r="BM206" i="124"/>
  <c r="BN206" i="124" s="1"/>
  <c r="BO206" i="124" s="1"/>
  <c r="BM247" i="124"/>
  <c r="BN247" i="124" s="1"/>
  <c r="BO247" i="124" s="1"/>
  <c r="BM200" i="124"/>
  <c r="BN200" i="124" s="1"/>
  <c r="BO200" i="124" s="1"/>
  <c r="BM271" i="124"/>
  <c r="BN271" i="124" s="1"/>
  <c r="BO271" i="124" s="1"/>
  <c r="BM62" i="124"/>
  <c r="BN62" i="124" s="1"/>
  <c r="BO62" i="124" s="1"/>
  <c r="BM44" i="124"/>
  <c r="BN44" i="124" s="1"/>
  <c r="BO44" i="124" s="1"/>
  <c r="BM131" i="124"/>
  <c r="BN131" i="124" s="1"/>
  <c r="BO131" i="124" s="1"/>
  <c r="BM113" i="124"/>
  <c r="BN113" i="124" s="1"/>
  <c r="BO113" i="124" s="1"/>
  <c r="BM91" i="124"/>
  <c r="BN91" i="124" s="1"/>
  <c r="BO91" i="124" s="1"/>
  <c r="BM86" i="124"/>
  <c r="BN86" i="124" s="1"/>
  <c r="BO86" i="124" s="1"/>
  <c r="BM9" i="124"/>
  <c r="BN9" i="124" s="1"/>
  <c r="BO9" i="124" s="1"/>
  <c r="BM240" i="124"/>
  <c r="BN240" i="124" s="1"/>
  <c r="BO240" i="124" s="1"/>
  <c r="BM193" i="124"/>
  <c r="BN193" i="124" s="1"/>
  <c r="BO193" i="124" s="1"/>
  <c r="BM144" i="124"/>
  <c r="BN144" i="124" s="1"/>
  <c r="BO144" i="124" s="1"/>
  <c r="BM246" i="124"/>
  <c r="BN246" i="124" s="1"/>
  <c r="BO246" i="124" s="1"/>
  <c r="BM139" i="124"/>
  <c r="BN139" i="124" s="1"/>
  <c r="BO139" i="124" s="1"/>
  <c r="BM273" i="124"/>
  <c r="BN273" i="124" s="1"/>
  <c r="BO273" i="124" s="1"/>
  <c r="BM118" i="124"/>
  <c r="BN118" i="124" s="1"/>
  <c r="BO118" i="124" s="1"/>
  <c r="BM115" i="124"/>
  <c r="BN115" i="124" s="1"/>
  <c r="BO115" i="124" s="1"/>
  <c r="BM88" i="124"/>
  <c r="BN88" i="124" s="1"/>
  <c r="BO88" i="124" s="1"/>
  <c r="BM96" i="124"/>
  <c r="BN96" i="124" s="1"/>
  <c r="BO96" i="124" s="1"/>
  <c r="BM219" i="124"/>
  <c r="BN219" i="124" s="1"/>
  <c r="BO219" i="124" s="1"/>
  <c r="BM268" i="124"/>
  <c r="BN268" i="124" s="1"/>
  <c r="BO268" i="124" s="1"/>
  <c r="BM132" i="124"/>
  <c r="BN132" i="124" s="1"/>
  <c r="BO132" i="124" s="1"/>
  <c r="BM102" i="124"/>
  <c r="BN102" i="124" s="1"/>
  <c r="BO102" i="124" s="1"/>
  <c r="BM224" i="124"/>
  <c r="BN224" i="124" s="1"/>
  <c r="BO224" i="124" s="1"/>
  <c r="BM279" i="124"/>
  <c r="BN279" i="124" s="1"/>
  <c r="BO279" i="124" s="1"/>
  <c r="BM7" i="124"/>
  <c r="BN7" i="124" s="1"/>
  <c r="BO7" i="124" s="1"/>
  <c r="BM120" i="124"/>
  <c r="BN120" i="124" s="1"/>
  <c r="BO120" i="124" s="1"/>
  <c r="BM48" i="124"/>
  <c r="BN48" i="124" s="1"/>
  <c r="BO48" i="124" s="1"/>
  <c r="BM117" i="124"/>
  <c r="BN117" i="124" s="1"/>
  <c r="BO117" i="124" s="1"/>
  <c r="BM248" i="124"/>
  <c r="BN248" i="124" s="1"/>
  <c r="BO248" i="124" s="1"/>
  <c r="BM243" i="124"/>
  <c r="BN243" i="124" s="1"/>
  <c r="BO243" i="124" s="1"/>
  <c r="BM122" i="124"/>
  <c r="BN122" i="124" s="1"/>
  <c r="BO122" i="124" s="1"/>
  <c r="BM162" i="124"/>
  <c r="BN162" i="124" s="1"/>
  <c r="BO162" i="124" s="1"/>
  <c r="BM259" i="124"/>
  <c r="BN259" i="124" s="1"/>
  <c r="BO259" i="124" s="1"/>
  <c r="BM159" i="124"/>
  <c r="BN159" i="124" s="1"/>
  <c r="BO159" i="124" s="1"/>
  <c r="BM76" i="124"/>
  <c r="BN76" i="124" s="1"/>
  <c r="BO76" i="124" s="1"/>
  <c r="BM78" i="124"/>
  <c r="BN78" i="124" s="1"/>
  <c r="BO78" i="124" s="1"/>
  <c r="BM21" i="124"/>
  <c r="BN21" i="124" s="1"/>
  <c r="BO21" i="124" s="1"/>
  <c r="BM37" i="124"/>
  <c r="BN37" i="124" s="1"/>
  <c r="BO37" i="124" s="1"/>
  <c r="BM73" i="124"/>
  <c r="BN73" i="124" s="1"/>
  <c r="BO73" i="124" s="1"/>
  <c r="BM215" i="124"/>
  <c r="BN215" i="124" s="1"/>
  <c r="BO215" i="124" s="1"/>
  <c r="BM4" i="124"/>
  <c r="BN4" i="124" s="1"/>
  <c r="BO4" i="124" s="1"/>
  <c r="BM284" i="124"/>
  <c r="BN284" i="124" s="1"/>
  <c r="BO284" i="124" s="1"/>
  <c r="BM265" i="124"/>
  <c r="BN265" i="124" s="1"/>
  <c r="BO265" i="124" s="1"/>
  <c r="BM152" i="124"/>
  <c r="BN152" i="124" s="1"/>
  <c r="BO152" i="124" s="1"/>
  <c r="BM220" i="124"/>
  <c r="BN220" i="124" s="1"/>
  <c r="BO220" i="124" s="1"/>
  <c r="BM163" i="124"/>
  <c r="BN163" i="124" s="1"/>
  <c r="BO163" i="124" s="1"/>
  <c r="BM186" i="124"/>
  <c r="BN186" i="124" s="1"/>
  <c r="BO186" i="124" s="1"/>
  <c r="BM97" i="124"/>
  <c r="BN97" i="124" s="1"/>
  <c r="BO97" i="124" s="1"/>
  <c r="BM195" i="124"/>
  <c r="BN195" i="124" s="1"/>
  <c r="BO195" i="124" s="1"/>
  <c r="BM124" i="124"/>
  <c r="BN124" i="124" s="1"/>
  <c r="BO124" i="124" s="1"/>
  <c r="BM51" i="124"/>
  <c r="BN51" i="124" s="1"/>
  <c r="BO51" i="124" s="1"/>
  <c r="BM154" i="124"/>
  <c r="BN154" i="124" s="1"/>
  <c r="BO154" i="124" s="1"/>
  <c r="BM251" i="124"/>
  <c r="BN251" i="124" s="1"/>
  <c r="BO251" i="124" s="1"/>
  <c r="BM8" i="124"/>
  <c r="BN8" i="124" s="1"/>
  <c r="BO8" i="124" s="1"/>
  <c r="BM198" i="124"/>
  <c r="BN198" i="124" s="1"/>
  <c r="BO198" i="124" s="1"/>
  <c r="BM252" i="124"/>
  <c r="BN252" i="124" s="1"/>
  <c r="BO252" i="124" s="1"/>
  <c r="BM234" i="124"/>
  <c r="BN234" i="124" s="1"/>
  <c r="BO234" i="124" s="1"/>
  <c r="BM92" i="124"/>
  <c r="BN92" i="124" s="1"/>
  <c r="BO92" i="124" s="1"/>
  <c r="BM23" i="124"/>
  <c r="BN23" i="124" s="1"/>
  <c r="BO23" i="124" s="1"/>
  <c r="BM108" i="124"/>
  <c r="BN108" i="124" s="1"/>
  <c r="BO108" i="124" s="1"/>
  <c r="BM212" i="124"/>
  <c r="BN212" i="124" s="1"/>
  <c r="BO212" i="124" s="1"/>
  <c r="BM276" i="124"/>
  <c r="BN276" i="124" s="1"/>
  <c r="BO276" i="124" s="1"/>
  <c r="BM229" i="124"/>
  <c r="BN229" i="124" s="1"/>
  <c r="BO229" i="124" s="1"/>
  <c r="BM189" i="124"/>
  <c r="BN189" i="124" s="1"/>
  <c r="BO189" i="124" s="1"/>
  <c r="BM29" i="124"/>
  <c r="BN29" i="124" s="1"/>
  <c r="BO29" i="124" s="1"/>
  <c r="BM178" i="124"/>
  <c r="BN178" i="124" s="1"/>
  <c r="BO178" i="124" s="1"/>
  <c r="BM141" i="124"/>
  <c r="BN141" i="124" s="1"/>
  <c r="BO141" i="124" s="1"/>
  <c r="BM99" i="124"/>
  <c r="BN99" i="124" s="1"/>
  <c r="BO99" i="124" s="1"/>
  <c r="BM94" i="124"/>
  <c r="BN94" i="124" s="1"/>
  <c r="BO94" i="124" s="1"/>
  <c r="BM61" i="124"/>
  <c r="BN61" i="124" s="1"/>
  <c r="BO61" i="124" s="1"/>
  <c r="BM43" i="124"/>
  <c r="BN43" i="124" s="1"/>
  <c r="BO43" i="124" s="1"/>
  <c r="BM249" i="124"/>
  <c r="BN249" i="124" s="1"/>
  <c r="BO249" i="124" s="1"/>
  <c r="BM202" i="124"/>
  <c r="BN202" i="124" s="1"/>
  <c r="BO202" i="124" s="1"/>
  <c r="BM68" i="124"/>
  <c r="BN68" i="124" s="1"/>
  <c r="BO68" i="124" s="1"/>
  <c r="BM119" i="124"/>
  <c r="BN119" i="124" s="1"/>
  <c r="BO119" i="124" s="1"/>
  <c r="BM194" i="124"/>
  <c r="BN194" i="124" s="1"/>
  <c r="BO194" i="124" s="1"/>
  <c r="BM223" i="124"/>
  <c r="BN223" i="124" s="1"/>
  <c r="BO223" i="124" s="1"/>
  <c r="BM87" i="124"/>
  <c r="BN87" i="124" s="1"/>
  <c r="BO87" i="124" s="1"/>
  <c r="BM237" i="124"/>
  <c r="BN237" i="124" s="1"/>
  <c r="BO237" i="124" s="1"/>
  <c r="BM280" i="124"/>
  <c r="BN280" i="124" s="1"/>
  <c r="BO280" i="124" s="1"/>
  <c r="BM241" i="124"/>
  <c r="BN241" i="124" s="1"/>
  <c r="BO241" i="124" s="1"/>
  <c r="BM227" i="124"/>
  <c r="BN227" i="124" s="1"/>
  <c r="BO227" i="124" s="1"/>
  <c r="BM109" i="124"/>
  <c r="BN109" i="124" s="1"/>
  <c r="BO109" i="124" s="1"/>
  <c r="BM157" i="124"/>
  <c r="BN157" i="124" s="1"/>
  <c r="BO157" i="124" s="1"/>
  <c r="BM181" i="124"/>
  <c r="BN181" i="124" s="1"/>
  <c r="BO181" i="124" s="1"/>
  <c r="BM262" i="124"/>
  <c r="BN262" i="124" s="1"/>
  <c r="BO262" i="124" s="1"/>
  <c r="BM208" i="124"/>
  <c r="BN208" i="124" s="1"/>
  <c r="BO208" i="124" s="1"/>
  <c r="BM130" i="124"/>
  <c r="BN130" i="124" s="1"/>
  <c r="BO130" i="124" s="1"/>
  <c r="BM126" i="124"/>
  <c r="BN126" i="124" s="1"/>
  <c r="BO126" i="124" s="1"/>
  <c r="BM46" i="124"/>
  <c r="BN46" i="124" s="1"/>
  <c r="BO46" i="124" s="1"/>
  <c r="BM138" i="124"/>
  <c r="BN138" i="124" s="1"/>
  <c r="BO138" i="124" s="1"/>
  <c r="BM45" i="124"/>
  <c r="BN45" i="124" s="1"/>
  <c r="BO45" i="124" s="1"/>
  <c r="BM228" i="124"/>
  <c r="BN228" i="124" s="1"/>
  <c r="BO228" i="124" s="1"/>
  <c r="BM79" i="124"/>
  <c r="BN79" i="124" s="1"/>
  <c r="BO79" i="124" s="1"/>
  <c r="BM261" i="124"/>
  <c r="BN261" i="124" s="1"/>
  <c r="BO261" i="124" s="1"/>
  <c r="BM63" i="124"/>
  <c r="BN63" i="124" s="1"/>
  <c r="BO63" i="124" s="1"/>
  <c r="BM69" i="124"/>
  <c r="BN69" i="124" s="1"/>
  <c r="BO69" i="124" s="1"/>
  <c r="BM116" i="124"/>
  <c r="BN116" i="124" s="1"/>
  <c r="BO116" i="124" s="1"/>
  <c r="BM153" i="124"/>
  <c r="BN153" i="124" s="1"/>
  <c r="BO153" i="124" s="1"/>
  <c r="BM125" i="124"/>
  <c r="BN125" i="124" s="1"/>
  <c r="BO125" i="124" s="1"/>
  <c r="BM121" i="124"/>
  <c r="BN121" i="124" s="1"/>
  <c r="BO121" i="124" s="1"/>
  <c r="BM156" i="124"/>
  <c r="BN156" i="124" s="1"/>
  <c r="BO156" i="124" s="1"/>
  <c r="BM244" i="124"/>
  <c r="BN244" i="124" s="1"/>
  <c r="BO244" i="124" s="1"/>
  <c r="BM112" i="124"/>
  <c r="BN112" i="124" s="1"/>
  <c r="BO112" i="124" s="1"/>
  <c r="BM250" i="124"/>
  <c r="BN250" i="124" s="1"/>
  <c r="BO250" i="124" s="1"/>
  <c r="BM166" i="124"/>
  <c r="BN166" i="124" s="1"/>
  <c r="BO166" i="124" s="1"/>
  <c r="BM81" i="124"/>
  <c r="BN81" i="124" s="1"/>
  <c r="BO81" i="124" s="1"/>
  <c r="BM257" i="124"/>
  <c r="BN257" i="124" s="1"/>
  <c r="BO257" i="124" s="1"/>
  <c r="BM210" i="124"/>
  <c r="BN210" i="124" s="1"/>
  <c r="BO210" i="124" s="1"/>
  <c r="BM150" i="124"/>
  <c r="BN150" i="124" s="1"/>
  <c r="BO150" i="124" s="1"/>
  <c r="BM136" i="124"/>
  <c r="BN136" i="124" s="1"/>
  <c r="BO136" i="124" s="1"/>
  <c r="BM170" i="124"/>
  <c r="BN170" i="124" s="1"/>
  <c r="BO170" i="124" s="1"/>
  <c r="BM106" i="124"/>
  <c r="BN106" i="124" s="1"/>
  <c r="BO106" i="124" s="1"/>
  <c r="BM272" i="124"/>
  <c r="BN272" i="124" s="1"/>
  <c r="BO272" i="124" s="1"/>
  <c r="BM201" i="124"/>
  <c r="BN201" i="124" s="1"/>
  <c r="BO201" i="124" s="1"/>
  <c r="BM145" i="124"/>
  <c r="BN145" i="124" s="1"/>
  <c r="BO145" i="124" s="1"/>
  <c r="BM22" i="124"/>
  <c r="BN22" i="124" s="1"/>
  <c r="BO22" i="124" s="1"/>
  <c r="BM263" i="124"/>
  <c r="BN263" i="124" s="1"/>
  <c r="BO263" i="124" s="1"/>
  <c r="BM133" i="124"/>
  <c r="BN133" i="124" s="1"/>
  <c r="BO133" i="124" s="1"/>
  <c r="BM239" i="124"/>
  <c r="BN239" i="124" s="1"/>
  <c r="BO239" i="124" s="1"/>
  <c r="BM137" i="124"/>
  <c r="BN137" i="124" s="1"/>
  <c r="BO137" i="124" s="1"/>
  <c r="BM20" i="124"/>
  <c r="BN20" i="124" s="1"/>
  <c r="BO20" i="124" s="1"/>
  <c r="BM111" i="124"/>
  <c r="BN111" i="124" s="1"/>
  <c r="BO111" i="124" s="1"/>
  <c r="BM60" i="124"/>
  <c r="BN60" i="124" s="1"/>
  <c r="BO60" i="124" s="1"/>
  <c r="BM169" i="124"/>
  <c r="BN169" i="124" s="1"/>
  <c r="BO169" i="124" s="1"/>
  <c r="BM254" i="124"/>
  <c r="BN254" i="124" s="1"/>
  <c r="BO254" i="124" s="1"/>
  <c r="BM56" i="124"/>
  <c r="BN56" i="124" s="1"/>
  <c r="BO56" i="124" s="1"/>
  <c r="BM95" i="124"/>
  <c r="BN95" i="124" s="1"/>
  <c r="BO95" i="124" s="1"/>
  <c r="BM222" i="124"/>
  <c r="BN222" i="124" s="1"/>
  <c r="BO222" i="124" s="1"/>
  <c r="BM277" i="124"/>
  <c r="BN277" i="124" s="1"/>
  <c r="BO277" i="124" s="1"/>
  <c r="BM6" i="124"/>
  <c r="BN6" i="124" s="1"/>
  <c r="BO6" i="124" s="1"/>
  <c r="BM230" i="124"/>
  <c r="BN230" i="124" s="1"/>
  <c r="BO230" i="124" s="1"/>
  <c r="BM205" i="124"/>
  <c r="BN205" i="124" s="1"/>
  <c r="BO205" i="124" s="1"/>
  <c r="BM179" i="124"/>
  <c r="BN179" i="124" s="1"/>
  <c r="BO179" i="124" s="1"/>
  <c r="BM143" i="124"/>
  <c r="BN143" i="124" s="1"/>
  <c r="BO143" i="124" s="1"/>
  <c r="BM267" i="124"/>
  <c r="BN267" i="124" s="1"/>
  <c r="BO267" i="124" s="1"/>
  <c r="BM226" i="124"/>
  <c r="BN226" i="124" s="1"/>
  <c r="BO226" i="124" s="1"/>
  <c r="BM128" i="124"/>
  <c r="BN128" i="124" s="1"/>
  <c r="BO128" i="124" s="1"/>
  <c r="BM232" i="124"/>
  <c r="BN232" i="124" s="1"/>
  <c r="BO232" i="124" s="1"/>
  <c r="BM274" i="124"/>
  <c r="BN274" i="124" s="1"/>
  <c r="BO274" i="124" s="1"/>
  <c r="BM135" i="124"/>
  <c r="BN135" i="124" s="1"/>
  <c r="BO135" i="124" s="1"/>
  <c r="BM233" i="124"/>
  <c r="BN233" i="124" s="1"/>
  <c r="BO233" i="124" s="1"/>
  <c r="K19" i="109"/>
  <c r="CE13" i="108"/>
  <c r="K20" i="109" s="1"/>
  <c r="CF22" i="108"/>
  <c r="CE22" i="108" s="1"/>
  <c r="BZ32" i="108"/>
  <c r="CB32" i="108" s="1"/>
  <c r="AW32" i="108"/>
  <c r="BX32" i="108"/>
  <c r="BV32" i="108"/>
  <c r="AC32" i="108"/>
  <c r="CD32" i="108" s="1"/>
  <c r="BY32" i="108"/>
  <c r="BW32" i="108"/>
  <c r="CC32" i="108"/>
  <c r="AI32" i="131"/>
  <c r="O32" i="115"/>
  <c r="AM32" i="131"/>
  <c r="BU32" i="108"/>
  <c r="AA32" i="131"/>
  <c r="K38" i="121"/>
  <c r="AE32" i="131"/>
  <c r="AM38" i="108"/>
  <c r="Y38" i="108" s="1"/>
  <c r="AS38" i="108"/>
  <c r="AT38" i="108" s="1"/>
  <c r="N28" i="121"/>
  <c r="AS28" i="121"/>
  <c r="P28" i="121"/>
  <c r="Q28" i="121"/>
  <c r="M28" i="121"/>
  <c r="S28" i="121"/>
  <c r="L28" i="121"/>
  <c r="AA28" i="121" s="1"/>
  <c r="AC28" i="121" s="1"/>
  <c r="O28" i="121"/>
  <c r="AD28" i="121" s="1"/>
  <c r="AQ22" i="131"/>
  <c r="P32" i="108"/>
  <c r="CI32" i="108"/>
  <c r="BZ9" i="108"/>
  <c r="G5" i="109" s="1"/>
  <c r="BO9" i="107"/>
  <c r="BX9" i="108"/>
  <c r="G4" i="109" s="1"/>
  <c r="BY9" i="108"/>
  <c r="BV9" i="108"/>
  <c r="G3" i="109" s="1"/>
  <c r="BW9" i="108"/>
  <c r="O9" i="115"/>
  <c r="BU9" i="108"/>
  <c r="G2" i="109" s="1"/>
  <c r="K15" i="121"/>
  <c r="L15" i="121" s="1"/>
  <c r="AA15" i="121" s="1"/>
  <c r="AC15" i="121" s="1"/>
  <c r="BC11" i="108"/>
  <c r="BB11" i="108" s="1"/>
  <c r="CM11" i="108" s="1"/>
  <c r="CL11" i="108" s="1"/>
  <c r="DE11" i="108" s="1"/>
  <c r="AE19" i="121"/>
  <c r="T19" i="121"/>
  <c r="AB19" i="121"/>
  <c r="AN19" i="121"/>
  <c r="AM19" i="121"/>
  <c r="AG19" i="121"/>
  <c r="AH19" i="121" s="1"/>
  <c r="AP19" i="121"/>
  <c r="V19" i="121"/>
  <c r="AF19" i="121"/>
  <c r="W19" i="121"/>
  <c r="Y19" i="121"/>
  <c r="U19" i="121"/>
  <c r="X19" i="121"/>
  <c r="Z19" i="121"/>
  <c r="U77" i="115" s="1"/>
  <c r="V77" i="115" s="1"/>
  <c r="AQ19" i="121"/>
  <c r="Q77" i="115"/>
  <c r="Z77" i="115"/>
  <c r="BC10" i="108"/>
  <c r="BB10" i="108" s="1"/>
  <c r="AH10" i="108" s="1"/>
  <c r="AL10" i="108" s="1"/>
  <c r="AW9" i="108"/>
  <c r="AC9" i="108"/>
  <c r="G14" i="109" s="1"/>
  <c r="CC9" i="108"/>
  <c r="G18" i="109" s="1"/>
  <c r="AI9" i="131"/>
  <c r="AI9" i="107" s="1"/>
  <c r="AM9" i="131"/>
  <c r="AA9" i="131"/>
  <c r="AD4" i="113" s="1"/>
  <c r="AR2" i="124" s="1"/>
  <c r="AE9" i="131"/>
  <c r="AE9" i="107" s="1"/>
  <c r="G15" i="109"/>
  <c r="AM9" i="128"/>
  <c r="K10" i="114"/>
  <c r="Y10" i="114" s="1"/>
  <c r="AD9" i="108"/>
  <c r="CR8" i="108"/>
  <c r="AO11" i="113"/>
  <c r="CM8" i="108"/>
  <c r="CL8" i="108" s="1"/>
  <c r="DE8" i="108" s="1"/>
  <c r="DG8" i="108" s="1"/>
  <c r="AK10" i="113"/>
  <c r="AQ2" i="113" a="1"/>
  <c r="AQ2" i="113" s="1"/>
  <c r="AO4" i="113"/>
  <c r="AQ4" i="113" a="1"/>
  <c r="AQ4" i="113" s="1"/>
  <c r="AL5" i="113"/>
  <c r="AN5" i="113" s="1"/>
  <c r="AQ12" i="113" a="1"/>
  <c r="AQ12" i="113" s="1"/>
  <c r="AO6" i="113"/>
  <c r="AO10" i="113"/>
  <c r="AL13" i="113"/>
  <c r="AN13" i="113" s="1"/>
  <c r="AQ3" i="113" a="1"/>
  <c r="AQ3" i="113" s="1"/>
  <c r="AO7" i="113"/>
  <c r="AL11" i="113"/>
  <c r="AN11" i="113" s="1"/>
  <c r="AQ9" i="113" a="1"/>
  <c r="AQ9" i="113" s="1"/>
  <c r="AO8" i="113"/>
  <c r="AK12" i="113"/>
  <c r="AL8" i="113"/>
  <c r="AN8" i="113" s="1"/>
  <c r="AQ7" i="113" a="1"/>
  <c r="AQ7" i="113" s="1"/>
  <c r="AQ6" i="113" a="1"/>
  <c r="AQ6" i="113" s="1"/>
  <c r="AL2" i="113"/>
  <c r="AM2" i="113" s="1"/>
  <c r="AQ8" i="113" a="1"/>
  <c r="AQ8" i="113" s="1"/>
  <c r="AO12" i="113"/>
  <c r="AL7" i="113"/>
  <c r="AN7" i="113" s="1"/>
  <c r="AQ5" i="113" a="1"/>
  <c r="AQ5" i="113" s="1"/>
  <c r="AQ10" i="113" a="1"/>
  <c r="AQ10" i="113" s="1"/>
  <c r="AO9" i="113"/>
  <c r="AL12" i="113"/>
  <c r="AN12" i="113" s="1"/>
  <c r="AQ13" i="113" a="1"/>
  <c r="AQ13" i="113" s="1"/>
  <c r="AL10" i="113"/>
  <c r="AN10" i="113" s="1"/>
  <c r="AQ11" i="113" a="1"/>
  <c r="AQ11" i="113" s="1"/>
  <c r="AL4" i="113"/>
  <c r="AN4" i="113" s="1"/>
  <c r="AO3" i="113"/>
  <c r="AO2" i="113"/>
  <c r="AL3" i="113"/>
  <c r="AN3" i="113" s="1"/>
  <c r="AL9" i="113"/>
  <c r="AM9" i="113" s="1"/>
  <c r="Z8" i="113"/>
  <c r="AK13" i="113"/>
  <c r="AK11" i="113"/>
  <c r="AL6" i="113"/>
  <c r="AN6" i="113" s="1"/>
  <c r="AO5" i="113"/>
  <c r="AO13" i="113"/>
  <c r="BF21" i="121"/>
  <c r="AZ21" i="121"/>
  <c r="BC18" i="121"/>
  <c r="BI18" i="121"/>
  <c r="CZ8" i="108"/>
  <c r="CW8" i="108"/>
  <c r="AL8" i="108"/>
  <c r="DH8" i="108" s="1"/>
  <c r="BO12" i="107" l="1"/>
  <c r="P156" i="120"/>
  <c r="AI20" i="131"/>
  <c r="O20" i="115"/>
  <c r="AE20" i="131"/>
  <c r="BX20" i="108"/>
  <c r="AM20" i="131"/>
  <c r="AC20" i="108"/>
  <c r="CD20" i="108" s="1"/>
  <c r="AW20" i="108"/>
  <c r="BZ20" i="108"/>
  <c r="CB20" i="108" s="1"/>
  <c r="AA20" i="131"/>
  <c r="BW20" i="108"/>
  <c r="BV20" i="108"/>
  <c r="BU20" i="108"/>
  <c r="K26" i="121"/>
  <c r="BY20" i="108"/>
  <c r="CI20" i="108"/>
  <c r="P20" i="108"/>
  <c r="CC20" i="108"/>
  <c r="AS288" i="124"/>
  <c r="AT288" i="124" s="1"/>
  <c r="AU288" i="124" s="1"/>
  <c r="AS289" i="124"/>
  <c r="AT289" i="124" s="1"/>
  <c r="AU289" i="124" s="1"/>
  <c r="AQ36" i="131"/>
  <c r="AS42" i="121"/>
  <c r="L42" i="121"/>
  <c r="AA42" i="121" s="1"/>
  <c r="AC42" i="121" s="1"/>
  <c r="Z100" i="115" s="1"/>
  <c r="N42" i="121"/>
  <c r="P42" i="121"/>
  <c r="S42" i="121"/>
  <c r="Z42" i="121" s="1"/>
  <c r="U100" i="115" s="1"/>
  <c r="V100" i="115" s="1"/>
  <c r="Q42" i="121"/>
  <c r="CI36" i="108"/>
  <c r="M42" i="121" s="1"/>
  <c r="CF36" i="108"/>
  <c r="CE36" i="108" s="1"/>
  <c r="BZ24" i="108"/>
  <c r="CB24" i="108" s="1"/>
  <c r="K30" i="121"/>
  <c r="L30" i="121" s="1"/>
  <c r="AA30" i="121" s="1"/>
  <c r="AC30" i="121" s="1"/>
  <c r="BX24" i="108"/>
  <c r="J4" i="109" s="1"/>
  <c r="BW24" i="108"/>
  <c r="BU24" i="108"/>
  <c r="J2" i="109" s="1"/>
  <c r="AE24" i="131"/>
  <c r="AE12" i="107" s="1"/>
  <c r="O24" i="115"/>
  <c r="AC24" i="108"/>
  <c r="J14" i="109" s="1"/>
  <c r="BV24" i="108"/>
  <c r="CC24" i="108"/>
  <c r="J18" i="109" s="1"/>
  <c r="AM24" i="131"/>
  <c r="AA24" i="131"/>
  <c r="AD7" i="113" s="1"/>
  <c r="BG2" i="124" s="1"/>
  <c r="AI24" i="131"/>
  <c r="AI12" i="107" s="1"/>
  <c r="AW24" i="108"/>
  <c r="BY24" i="108"/>
  <c r="AD24" i="108"/>
  <c r="P24" i="108" s="1"/>
  <c r="P170" i="120"/>
  <c r="BU34" i="108"/>
  <c r="BY34" i="108"/>
  <c r="AE34" i="131"/>
  <c r="K40" i="121"/>
  <c r="AW34" i="108"/>
  <c r="CC34" i="108"/>
  <c r="AA34" i="131"/>
  <c r="AI34" i="131"/>
  <c r="BV34" i="108"/>
  <c r="BZ34" i="108"/>
  <c r="CB34" i="108" s="1"/>
  <c r="BX34" i="108"/>
  <c r="O34" i="115"/>
  <c r="BW34" i="108"/>
  <c r="AM34" i="131"/>
  <c r="AC34" i="108"/>
  <c r="CD34" i="108" s="1"/>
  <c r="P34" i="108"/>
  <c r="CI34" i="108"/>
  <c r="P175" i="120"/>
  <c r="AA175" i="120" s="1"/>
  <c r="BO15" i="107"/>
  <c r="AA160" i="120"/>
  <c r="Z160" i="120"/>
  <c r="V160" i="120"/>
  <c r="T160" i="120"/>
  <c r="X160" i="120"/>
  <c r="S160" i="120"/>
  <c r="Y160" i="120"/>
  <c r="W160" i="120"/>
  <c r="AH11" i="108"/>
  <c r="AL11" i="108" s="1"/>
  <c r="AK11" i="108" s="1"/>
  <c r="AM11" i="108" s="1"/>
  <c r="Y11" i="108" s="1"/>
  <c r="S11" i="108" s="1"/>
  <c r="P147" i="120" s="1"/>
  <c r="P39" i="108"/>
  <c r="CI39" i="108"/>
  <c r="BZ39" i="108"/>
  <c r="CB39" i="108" s="1"/>
  <c r="O39" i="115"/>
  <c r="BU39" i="108"/>
  <c r="CC39" i="108"/>
  <c r="M18" i="109" s="1"/>
  <c r="BX39" i="108"/>
  <c r="K45" i="121"/>
  <c r="BY39" i="108"/>
  <c r="AW39" i="108"/>
  <c r="AQ39" i="131" s="1"/>
  <c r="BV39" i="108"/>
  <c r="AC39" i="108"/>
  <c r="M14" i="109" s="1"/>
  <c r="BW39" i="108"/>
  <c r="J3" i="109"/>
  <c r="J5" i="109"/>
  <c r="AA12" i="107"/>
  <c r="BO1" i="124"/>
  <c r="AG8" i="113" s="1"/>
  <c r="N13" i="128" s="1"/>
  <c r="CB9" i="108"/>
  <c r="AO19" i="121"/>
  <c r="AI19" i="121"/>
  <c r="AJ19" i="121"/>
  <c r="CX8" i="108"/>
  <c r="DA8" i="108" s="1"/>
  <c r="AN9" i="113"/>
  <c r="CF9" i="108"/>
  <c r="G19" i="109" s="1"/>
  <c r="AQ32" i="131"/>
  <c r="Z86" i="115"/>
  <c r="CF32" i="108"/>
  <c r="CE32" i="108" s="1"/>
  <c r="AB28" i="121"/>
  <c r="Z28" i="121"/>
  <c r="U86" i="115" s="1"/>
  <c r="V86" i="115" s="1"/>
  <c r="AM28" i="121"/>
  <c r="V28" i="121"/>
  <c r="AN28" i="121"/>
  <c r="AG28" i="121"/>
  <c r="AH28" i="121" s="1"/>
  <c r="AF28" i="121"/>
  <c r="Q86" i="115"/>
  <c r="U28" i="121"/>
  <c r="Y28" i="121"/>
  <c r="AE28" i="121"/>
  <c r="AP28" i="121"/>
  <c r="X28" i="121"/>
  <c r="T28" i="121"/>
  <c r="W28" i="121"/>
  <c r="AQ28" i="121"/>
  <c r="M38" i="121"/>
  <c r="O38" i="121"/>
  <c r="AD38" i="121" s="1"/>
  <c r="N38" i="121"/>
  <c r="S38" i="121"/>
  <c r="P38" i="121"/>
  <c r="AS38" i="121"/>
  <c r="Q38" i="121"/>
  <c r="L38" i="121"/>
  <c r="AA38" i="121" s="1"/>
  <c r="AC38" i="121" s="1"/>
  <c r="O15" i="121"/>
  <c r="AD15" i="121" s="1"/>
  <c r="CR11" i="108"/>
  <c r="AM13" i="113"/>
  <c r="S38" i="108"/>
  <c r="AD38" i="108"/>
  <c r="CR10" i="108"/>
  <c r="AN2" i="113"/>
  <c r="CM10" i="108"/>
  <c r="CL10" i="108" s="1"/>
  <c r="CX10" i="108" s="1"/>
  <c r="N15" i="121"/>
  <c r="S15" i="121"/>
  <c r="AB15" i="121" s="1"/>
  <c r="AS15" i="121"/>
  <c r="P15" i="121"/>
  <c r="P77" i="115"/>
  <c r="S77" i="115"/>
  <c r="AR19" i="121"/>
  <c r="AA77" i="115"/>
  <c r="Z73" i="115"/>
  <c r="AM10" i="113"/>
  <c r="AV19" i="121"/>
  <c r="AW19" i="121"/>
  <c r="AT19" i="121"/>
  <c r="AU19" i="121" s="1"/>
  <c r="Y77" i="115"/>
  <c r="AM4" i="113"/>
  <c r="AM3" i="113"/>
  <c r="AM5" i="113"/>
  <c r="AA9" i="107"/>
  <c r="AM6" i="113"/>
  <c r="CD9" i="108"/>
  <c r="G17" i="109" s="1"/>
  <c r="CN8" i="108"/>
  <c r="CO8" i="108" s="1"/>
  <c r="AM11" i="113"/>
  <c r="CN11" i="108"/>
  <c r="CO11" i="108" s="1"/>
  <c r="AM9" i="107"/>
  <c r="AM8" i="113"/>
  <c r="AM7" i="113"/>
  <c r="AS56" i="124"/>
  <c r="AT56" i="124" s="1"/>
  <c r="AU56" i="124" s="1"/>
  <c r="AS107" i="124"/>
  <c r="AT107" i="124" s="1"/>
  <c r="AU107" i="124" s="1"/>
  <c r="AS109" i="124"/>
  <c r="AT109" i="124" s="1"/>
  <c r="AU109" i="124" s="1"/>
  <c r="AS125" i="124"/>
  <c r="AT125" i="124" s="1"/>
  <c r="AU125" i="124" s="1"/>
  <c r="AS144" i="124"/>
  <c r="AT144" i="124" s="1"/>
  <c r="AU144" i="124" s="1"/>
  <c r="AS178" i="124"/>
  <c r="AT178" i="124" s="1"/>
  <c r="AU178" i="124" s="1"/>
  <c r="AS180" i="124"/>
  <c r="AT180" i="124" s="1"/>
  <c r="AU180" i="124" s="1"/>
  <c r="AS73" i="124"/>
  <c r="AT73" i="124" s="1"/>
  <c r="AU73" i="124" s="1"/>
  <c r="AS149" i="124"/>
  <c r="AT149" i="124" s="1"/>
  <c r="AU149" i="124" s="1"/>
  <c r="AS80" i="124"/>
  <c r="AT80" i="124" s="1"/>
  <c r="AU80" i="124" s="1"/>
  <c r="AS86" i="124"/>
  <c r="AT86" i="124" s="1"/>
  <c r="AU86" i="124" s="1"/>
  <c r="AS69" i="124"/>
  <c r="AT69" i="124" s="1"/>
  <c r="AU69" i="124" s="1"/>
  <c r="AS123" i="124"/>
  <c r="AT123" i="124" s="1"/>
  <c r="AU123" i="124" s="1"/>
  <c r="AS148" i="124"/>
  <c r="AT148" i="124" s="1"/>
  <c r="AU148" i="124" s="1"/>
  <c r="AS165" i="124"/>
  <c r="AT165" i="124" s="1"/>
  <c r="AU165" i="124" s="1"/>
  <c r="AS77" i="124"/>
  <c r="AT77" i="124" s="1"/>
  <c r="AU77" i="124" s="1"/>
  <c r="AS81" i="124"/>
  <c r="AT81" i="124" s="1"/>
  <c r="AU81" i="124" s="1"/>
  <c r="AS75" i="124"/>
  <c r="AT75" i="124" s="1"/>
  <c r="AU75" i="124" s="1"/>
  <c r="AS65" i="124"/>
  <c r="AT65" i="124" s="1"/>
  <c r="AU65" i="124" s="1"/>
  <c r="AS92" i="124"/>
  <c r="AT92" i="124" s="1"/>
  <c r="AU92" i="124" s="1"/>
  <c r="AS252" i="124"/>
  <c r="AT252" i="124" s="1"/>
  <c r="AU252" i="124" s="1"/>
  <c r="AS32" i="124"/>
  <c r="AT32" i="124" s="1"/>
  <c r="AU32" i="124" s="1"/>
  <c r="AS48" i="124"/>
  <c r="AT48" i="124" s="1"/>
  <c r="AU48" i="124" s="1"/>
  <c r="AS240" i="124"/>
  <c r="AT240" i="124" s="1"/>
  <c r="AU240" i="124" s="1"/>
  <c r="AS281" i="124"/>
  <c r="AT281" i="124" s="1"/>
  <c r="AU281" i="124" s="1"/>
  <c r="AS233" i="124"/>
  <c r="AT233" i="124" s="1"/>
  <c r="AU233" i="124" s="1"/>
  <c r="AS247" i="124"/>
  <c r="AT247" i="124" s="1"/>
  <c r="AU247" i="124" s="1"/>
  <c r="AS204" i="124"/>
  <c r="AT204" i="124" s="1"/>
  <c r="AU204" i="124" s="1"/>
  <c r="AS200" i="124"/>
  <c r="AT200" i="124" s="1"/>
  <c r="AU200" i="124" s="1"/>
  <c r="AS277" i="124"/>
  <c r="AT277" i="124" s="1"/>
  <c r="AU277" i="124" s="1"/>
  <c r="AS223" i="124"/>
  <c r="AT223" i="124" s="1"/>
  <c r="AU223" i="124" s="1"/>
  <c r="AS51" i="124"/>
  <c r="AT51" i="124" s="1"/>
  <c r="AU51" i="124" s="1"/>
  <c r="AS232" i="124"/>
  <c r="AT232" i="124" s="1"/>
  <c r="AU232" i="124" s="1"/>
  <c r="AS261" i="124"/>
  <c r="AT261" i="124" s="1"/>
  <c r="AU261" i="124" s="1"/>
  <c r="AS237" i="124"/>
  <c r="AT237" i="124" s="1"/>
  <c r="AU237" i="124" s="1"/>
  <c r="AS22" i="124"/>
  <c r="AT22" i="124" s="1"/>
  <c r="AU22" i="124" s="1"/>
  <c r="AS46" i="124"/>
  <c r="AT46" i="124" s="1"/>
  <c r="AU46" i="124" s="1"/>
  <c r="AS224" i="124"/>
  <c r="AT224" i="124" s="1"/>
  <c r="AU224" i="124" s="1"/>
  <c r="AS203" i="124"/>
  <c r="AT203" i="124" s="1"/>
  <c r="AU203" i="124" s="1"/>
  <c r="AS222" i="124"/>
  <c r="AT222" i="124" s="1"/>
  <c r="AU222" i="124" s="1"/>
  <c r="AS287" i="124"/>
  <c r="AT287" i="124" s="1"/>
  <c r="AU287" i="124" s="1"/>
  <c r="AS194" i="124"/>
  <c r="AT194" i="124" s="1"/>
  <c r="AU194" i="124" s="1"/>
  <c r="AS207" i="124"/>
  <c r="AT207" i="124" s="1"/>
  <c r="AU207" i="124" s="1"/>
  <c r="AS74" i="124"/>
  <c r="AT74" i="124" s="1"/>
  <c r="AU74" i="124" s="1"/>
  <c r="AS76" i="124"/>
  <c r="AT76" i="124" s="1"/>
  <c r="AU76" i="124" s="1"/>
  <c r="AS62" i="124"/>
  <c r="AT62" i="124" s="1"/>
  <c r="AU62" i="124" s="1"/>
  <c r="AS116" i="124"/>
  <c r="AT116" i="124" s="1"/>
  <c r="AU116" i="124" s="1"/>
  <c r="AS115" i="124"/>
  <c r="AT115" i="124" s="1"/>
  <c r="AU115" i="124" s="1"/>
  <c r="AS67" i="124"/>
  <c r="AT67" i="124" s="1"/>
  <c r="AU67" i="124" s="1"/>
  <c r="AS155" i="124"/>
  <c r="AT155" i="124" s="1"/>
  <c r="AU155" i="124" s="1"/>
  <c r="AS145" i="124"/>
  <c r="AT145" i="124" s="1"/>
  <c r="AU145" i="124" s="1"/>
  <c r="AS63" i="124"/>
  <c r="AT63" i="124" s="1"/>
  <c r="AU63" i="124" s="1"/>
  <c r="AS108" i="124"/>
  <c r="AT108" i="124" s="1"/>
  <c r="AU108" i="124" s="1"/>
  <c r="AS170" i="124"/>
  <c r="AT170" i="124" s="1"/>
  <c r="AU170" i="124" s="1"/>
  <c r="AS93" i="124"/>
  <c r="AT93" i="124" s="1"/>
  <c r="AU93" i="124" s="1"/>
  <c r="AS95" i="124"/>
  <c r="AT95" i="124" s="1"/>
  <c r="AU95" i="124" s="1"/>
  <c r="AS101" i="124"/>
  <c r="AT101" i="124" s="1"/>
  <c r="AU101" i="124" s="1"/>
  <c r="AS147" i="124"/>
  <c r="AT147" i="124" s="1"/>
  <c r="AU147" i="124" s="1"/>
  <c r="AS87" i="124"/>
  <c r="AT87" i="124" s="1"/>
  <c r="AU87" i="124" s="1"/>
  <c r="AS89" i="124"/>
  <c r="AT89" i="124" s="1"/>
  <c r="AU89" i="124" s="1"/>
  <c r="AS131" i="124"/>
  <c r="AT131" i="124" s="1"/>
  <c r="AU131" i="124" s="1"/>
  <c r="AS68" i="124"/>
  <c r="AT68" i="124" s="1"/>
  <c r="AU68" i="124" s="1"/>
  <c r="AS181" i="124"/>
  <c r="AT181" i="124" s="1"/>
  <c r="AU181" i="124" s="1"/>
  <c r="AS20" i="124"/>
  <c r="AT20" i="124" s="1"/>
  <c r="AU20" i="124" s="1"/>
  <c r="AS33" i="124"/>
  <c r="AT33" i="124" s="1"/>
  <c r="AU33" i="124" s="1"/>
  <c r="AS37" i="124"/>
  <c r="AT37" i="124" s="1"/>
  <c r="AU37" i="124" s="1"/>
  <c r="AS186" i="124"/>
  <c r="AT186" i="124" s="1"/>
  <c r="AU186" i="124" s="1"/>
  <c r="AS127" i="124"/>
  <c r="AT127" i="124" s="1"/>
  <c r="AU127" i="124" s="1"/>
  <c r="AS102" i="124"/>
  <c r="AT102" i="124" s="1"/>
  <c r="AU102" i="124" s="1"/>
  <c r="AS179" i="124"/>
  <c r="AT179" i="124" s="1"/>
  <c r="AU179" i="124" s="1"/>
  <c r="AS133" i="124"/>
  <c r="AT133" i="124" s="1"/>
  <c r="AU133" i="124" s="1"/>
  <c r="AS70" i="124"/>
  <c r="AT70" i="124" s="1"/>
  <c r="AU70" i="124" s="1"/>
  <c r="AS91" i="124"/>
  <c r="AT91" i="124" s="1"/>
  <c r="AU91" i="124" s="1"/>
  <c r="AS162" i="124"/>
  <c r="AT162" i="124" s="1"/>
  <c r="AU162" i="124" s="1"/>
  <c r="AS111" i="124"/>
  <c r="AT111" i="124" s="1"/>
  <c r="AU111" i="124" s="1"/>
  <c r="AS128" i="124"/>
  <c r="AT128" i="124" s="1"/>
  <c r="AU128" i="124" s="1"/>
  <c r="AS139" i="124"/>
  <c r="AT139" i="124" s="1"/>
  <c r="AU139" i="124" s="1"/>
  <c r="AS94" i="124"/>
  <c r="AT94" i="124" s="1"/>
  <c r="AU94" i="124" s="1"/>
  <c r="AS121" i="124"/>
  <c r="AT121" i="124" s="1"/>
  <c r="AU121" i="124" s="1"/>
  <c r="AS120" i="124"/>
  <c r="AT120" i="124" s="1"/>
  <c r="AU120" i="124" s="1"/>
  <c r="AS12" i="124"/>
  <c r="AT12" i="124" s="1"/>
  <c r="AU12" i="124" s="1"/>
  <c r="AS97" i="124"/>
  <c r="AT97" i="124" s="1"/>
  <c r="AU97" i="124" s="1"/>
  <c r="AS161" i="124"/>
  <c r="AT161" i="124" s="1"/>
  <c r="AU161" i="124" s="1"/>
  <c r="AS44" i="124"/>
  <c r="AT44" i="124" s="1"/>
  <c r="AU44" i="124" s="1"/>
  <c r="AS35" i="124"/>
  <c r="AT35" i="124" s="1"/>
  <c r="AU35" i="124" s="1"/>
  <c r="AS21" i="124"/>
  <c r="AT21" i="124" s="1"/>
  <c r="AU21" i="124" s="1"/>
  <c r="AS214" i="124"/>
  <c r="AT214" i="124" s="1"/>
  <c r="AU214" i="124" s="1"/>
  <c r="AS209" i="124"/>
  <c r="AT209" i="124" s="1"/>
  <c r="AU209" i="124" s="1"/>
  <c r="AS42" i="124"/>
  <c r="AT42" i="124" s="1"/>
  <c r="AU42" i="124" s="1"/>
  <c r="AS40" i="124"/>
  <c r="AT40" i="124" s="1"/>
  <c r="AU40" i="124" s="1"/>
  <c r="AS220" i="124"/>
  <c r="AT220" i="124" s="1"/>
  <c r="AU220" i="124" s="1"/>
  <c r="AS253" i="124"/>
  <c r="AT253" i="124" s="1"/>
  <c r="AU253" i="124" s="1"/>
  <c r="AS215" i="124"/>
  <c r="AT215" i="124" s="1"/>
  <c r="AU215" i="124" s="1"/>
  <c r="AS259" i="124"/>
  <c r="AT259" i="124" s="1"/>
  <c r="AU259" i="124" s="1"/>
  <c r="AS274" i="124"/>
  <c r="AT274" i="124" s="1"/>
  <c r="AU274" i="124" s="1"/>
  <c r="AS187" i="124"/>
  <c r="AT187" i="124" s="1"/>
  <c r="AU187" i="124" s="1"/>
  <c r="AS280" i="124"/>
  <c r="AT280" i="124" s="1"/>
  <c r="AU280" i="124" s="1"/>
  <c r="AS267" i="124"/>
  <c r="AT267" i="124" s="1"/>
  <c r="AU267" i="124" s="1"/>
  <c r="AS195" i="124"/>
  <c r="AT195" i="124" s="1"/>
  <c r="AU195" i="124" s="1"/>
  <c r="AS201" i="124"/>
  <c r="AT201" i="124" s="1"/>
  <c r="AU201" i="124" s="1"/>
  <c r="AS258" i="124"/>
  <c r="AT258" i="124" s="1"/>
  <c r="AU258" i="124" s="1"/>
  <c r="AS4" i="124"/>
  <c r="AT4" i="124" s="1"/>
  <c r="AU4" i="124" s="1"/>
  <c r="AS59" i="124"/>
  <c r="AT59" i="124" s="1"/>
  <c r="AU59" i="124" s="1"/>
  <c r="AS196" i="124"/>
  <c r="AT196" i="124" s="1"/>
  <c r="AU196" i="124" s="1"/>
  <c r="AS60" i="124"/>
  <c r="AT60" i="124" s="1"/>
  <c r="AU60" i="124" s="1"/>
  <c r="AS226" i="124"/>
  <c r="AT226" i="124" s="1"/>
  <c r="AU226" i="124" s="1"/>
  <c r="AS221" i="124"/>
  <c r="AT221" i="124" s="1"/>
  <c r="AU221" i="124" s="1"/>
  <c r="AS213" i="124"/>
  <c r="AT213" i="124" s="1"/>
  <c r="AU213" i="124" s="1"/>
  <c r="AS217" i="124"/>
  <c r="AT217" i="124" s="1"/>
  <c r="AU217" i="124" s="1"/>
  <c r="AS271" i="124"/>
  <c r="AT271" i="124" s="1"/>
  <c r="AU271" i="124" s="1"/>
  <c r="AS47" i="124"/>
  <c r="AT47" i="124" s="1"/>
  <c r="AU47" i="124" s="1"/>
  <c r="AS190" i="124"/>
  <c r="AT190" i="124" s="1"/>
  <c r="AU190" i="124" s="1"/>
  <c r="AS248" i="124"/>
  <c r="AT248" i="124" s="1"/>
  <c r="AU248" i="124" s="1"/>
  <c r="AS273" i="124"/>
  <c r="AT273" i="124" s="1"/>
  <c r="AU273" i="124" s="1"/>
  <c r="AS189" i="124"/>
  <c r="AT189" i="124" s="1"/>
  <c r="AU189" i="124" s="1"/>
  <c r="AS234" i="124"/>
  <c r="AT234" i="124" s="1"/>
  <c r="AU234" i="124" s="1"/>
  <c r="AS193" i="124"/>
  <c r="AT193" i="124" s="1"/>
  <c r="AU193" i="124" s="1"/>
  <c r="AS262" i="124"/>
  <c r="AT262" i="124" s="1"/>
  <c r="AU262" i="124" s="1"/>
  <c r="AS254" i="124"/>
  <c r="AT254" i="124" s="1"/>
  <c r="AU254" i="124" s="1"/>
  <c r="AS126" i="124"/>
  <c r="AT126" i="124" s="1"/>
  <c r="AU126" i="124" s="1"/>
  <c r="AS158" i="124"/>
  <c r="AT158" i="124" s="1"/>
  <c r="AU158" i="124" s="1"/>
  <c r="AS114" i="124"/>
  <c r="AT114" i="124" s="1"/>
  <c r="AU114" i="124" s="1"/>
  <c r="AS117" i="124"/>
  <c r="AT117" i="124" s="1"/>
  <c r="AU117" i="124" s="1"/>
  <c r="AS167" i="124"/>
  <c r="AT167" i="124" s="1"/>
  <c r="AU167" i="124" s="1"/>
  <c r="AS99" i="124"/>
  <c r="AT99" i="124" s="1"/>
  <c r="AU99" i="124" s="1"/>
  <c r="AS154" i="124"/>
  <c r="AT154" i="124" s="1"/>
  <c r="AU154" i="124" s="1"/>
  <c r="AS85" i="124"/>
  <c r="AT85" i="124" s="1"/>
  <c r="AU85" i="124" s="1"/>
  <c r="AS130" i="124"/>
  <c r="AT130" i="124" s="1"/>
  <c r="AU130" i="124" s="1"/>
  <c r="AS13" i="124"/>
  <c r="AT13" i="124" s="1"/>
  <c r="AU13" i="124" s="1"/>
  <c r="AS138" i="124"/>
  <c r="AT138" i="124" s="1"/>
  <c r="AU138" i="124" s="1"/>
  <c r="AS137" i="124"/>
  <c r="AT137" i="124" s="1"/>
  <c r="AU137" i="124" s="1"/>
  <c r="AS172" i="124"/>
  <c r="AT172" i="124" s="1"/>
  <c r="AU172" i="124" s="1"/>
  <c r="AS159" i="124"/>
  <c r="AT159" i="124" s="1"/>
  <c r="AU159" i="124" s="1"/>
  <c r="AS118" i="124"/>
  <c r="AT118" i="124" s="1"/>
  <c r="AU118" i="124" s="1"/>
  <c r="AS6" i="124"/>
  <c r="AT6" i="124" s="1"/>
  <c r="AU6" i="124" s="1"/>
  <c r="AS134" i="124"/>
  <c r="AT134" i="124" s="1"/>
  <c r="AU134" i="124" s="1"/>
  <c r="AS104" i="124"/>
  <c r="AT104" i="124" s="1"/>
  <c r="AU104" i="124" s="1"/>
  <c r="AS157" i="124"/>
  <c r="AT157" i="124" s="1"/>
  <c r="AU157" i="124" s="1"/>
  <c r="AS173" i="124"/>
  <c r="AT173" i="124" s="1"/>
  <c r="AU173" i="124" s="1"/>
  <c r="AS61" i="124"/>
  <c r="AT61" i="124" s="1"/>
  <c r="AU61" i="124" s="1"/>
  <c r="AS29" i="124"/>
  <c r="AT29" i="124" s="1"/>
  <c r="AU29" i="124" s="1"/>
  <c r="AS256" i="124"/>
  <c r="AT256" i="124" s="1"/>
  <c r="AU256" i="124" s="1"/>
  <c r="AS257" i="124"/>
  <c r="AT257" i="124" s="1"/>
  <c r="AU257" i="124" s="1"/>
  <c r="AS198" i="124"/>
  <c r="AT198" i="124" s="1"/>
  <c r="AU198" i="124" s="1"/>
  <c r="AS208" i="124"/>
  <c r="AT208" i="124" s="1"/>
  <c r="AU208" i="124" s="1"/>
  <c r="AS263" i="124"/>
  <c r="AT263" i="124" s="1"/>
  <c r="AU263" i="124" s="1"/>
  <c r="AS230" i="124"/>
  <c r="AT230" i="124" s="1"/>
  <c r="AU230" i="124" s="1"/>
  <c r="AS270" i="124"/>
  <c r="AT270" i="124" s="1"/>
  <c r="AU270" i="124" s="1"/>
  <c r="AS283" i="124"/>
  <c r="AT283" i="124" s="1"/>
  <c r="AU283" i="124" s="1"/>
  <c r="AS244" i="124"/>
  <c r="AT244" i="124" s="1"/>
  <c r="AU244" i="124" s="1"/>
  <c r="AS255" i="124"/>
  <c r="AT255" i="124" s="1"/>
  <c r="AU255" i="124" s="1"/>
  <c r="AS225" i="124"/>
  <c r="AT225" i="124" s="1"/>
  <c r="AU225" i="124" s="1"/>
  <c r="AS268" i="124"/>
  <c r="AT268" i="124" s="1"/>
  <c r="AU268" i="124" s="1"/>
  <c r="AS265" i="124"/>
  <c r="AT265" i="124" s="1"/>
  <c r="AU265" i="124" s="1"/>
  <c r="AS19" i="124"/>
  <c r="AT19" i="124" s="1"/>
  <c r="AU19" i="124" s="1"/>
  <c r="AS251" i="124"/>
  <c r="AT251" i="124" s="1"/>
  <c r="AU251" i="124" s="1"/>
  <c r="AS50" i="124"/>
  <c r="AT50" i="124" s="1"/>
  <c r="AU50" i="124" s="1"/>
  <c r="AS212" i="124"/>
  <c r="AT212" i="124" s="1"/>
  <c r="AU212" i="124" s="1"/>
  <c r="AS31" i="124"/>
  <c r="AT31" i="124" s="1"/>
  <c r="AU31" i="124" s="1"/>
  <c r="AS202" i="124"/>
  <c r="AT202" i="124" s="1"/>
  <c r="AU202" i="124" s="1"/>
  <c r="AS276" i="124"/>
  <c r="AT276" i="124" s="1"/>
  <c r="AU276" i="124" s="1"/>
  <c r="AS199" i="124"/>
  <c r="AT199" i="124" s="1"/>
  <c r="AU199" i="124" s="1"/>
  <c r="AS219" i="124"/>
  <c r="AT219" i="124" s="1"/>
  <c r="AU219" i="124" s="1"/>
  <c r="AS8" i="124"/>
  <c r="AT8" i="124" s="1"/>
  <c r="AU8" i="124" s="1"/>
  <c r="AS129" i="124"/>
  <c r="AT129" i="124" s="1"/>
  <c r="AU129" i="124" s="1"/>
  <c r="AS150" i="124"/>
  <c r="AT150" i="124" s="1"/>
  <c r="AU150" i="124" s="1"/>
  <c r="AS72" i="124"/>
  <c r="AT72" i="124" s="1"/>
  <c r="AU72" i="124" s="1"/>
  <c r="AS112" i="124"/>
  <c r="AT112" i="124" s="1"/>
  <c r="AU112" i="124" s="1"/>
  <c r="AS119" i="124"/>
  <c r="AT119" i="124" s="1"/>
  <c r="AU119" i="124" s="1"/>
  <c r="AS153" i="124"/>
  <c r="AT153" i="124" s="1"/>
  <c r="AU153" i="124" s="1"/>
  <c r="AS106" i="124"/>
  <c r="AT106" i="124" s="1"/>
  <c r="AU106" i="124" s="1"/>
  <c r="AS113" i="124"/>
  <c r="AT113" i="124" s="1"/>
  <c r="AU113" i="124" s="1"/>
  <c r="AS98" i="124"/>
  <c r="AT98" i="124" s="1"/>
  <c r="AU98" i="124" s="1"/>
  <c r="AS64" i="124"/>
  <c r="AT64" i="124" s="1"/>
  <c r="AU64" i="124" s="1"/>
  <c r="AS146" i="124"/>
  <c r="AT146" i="124" s="1"/>
  <c r="AU146" i="124" s="1"/>
  <c r="AS141" i="124"/>
  <c r="AT141" i="124" s="1"/>
  <c r="AU141" i="124" s="1"/>
  <c r="AS171" i="124"/>
  <c r="AT171" i="124" s="1"/>
  <c r="AU171" i="124" s="1"/>
  <c r="AS156" i="124"/>
  <c r="AT156" i="124" s="1"/>
  <c r="AU156" i="124" s="1"/>
  <c r="AS132" i="124"/>
  <c r="AT132" i="124" s="1"/>
  <c r="AU132" i="124" s="1"/>
  <c r="AS78" i="124"/>
  <c r="AT78" i="124" s="1"/>
  <c r="AU78" i="124" s="1"/>
  <c r="AS88" i="124"/>
  <c r="AT88" i="124" s="1"/>
  <c r="AU88" i="124" s="1"/>
  <c r="AS166" i="124"/>
  <c r="AT166" i="124" s="1"/>
  <c r="AU166" i="124" s="1"/>
  <c r="AS152" i="124"/>
  <c r="AT152" i="124" s="1"/>
  <c r="AU152" i="124" s="1"/>
  <c r="AS7" i="124"/>
  <c r="AT7" i="124" s="1"/>
  <c r="AU7" i="124" s="1"/>
  <c r="AS39" i="124"/>
  <c r="AT39" i="124" s="1"/>
  <c r="AU39" i="124" s="1"/>
  <c r="AS45" i="124"/>
  <c r="AT45" i="124" s="1"/>
  <c r="AU45" i="124" s="1"/>
  <c r="AS24" i="124"/>
  <c r="AT24" i="124" s="1"/>
  <c r="AU24" i="124" s="1"/>
  <c r="AS53" i="124"/>
  <c r="AT53" i="124" s="1"/>
  <c r="AU53" i="124" s="1"/>
  <c r="AS143" i="124"/>
  <c r="AT143" i="124" s="1"/>
  <c r="AU143" i="124" s="1"/>
  <c r="AS105" i="124"/>
  <c r="AT105" i="124" s="1"/>
  <c r="AU105" i="124" s="1"/>
  <c r="AS135" i="124"/>
  <c r="AT135" i="124" s="1"/>
  <c r="AU135" i="124" s="1"/>
  <c r="AS163" i="124"/>
  <c r="AT163" i="124" s="1"/>
  <c r="AU163" i="124" s="1"/>
  <c r="AS160" i="124"/>
  <c r="AT160" i="124" s="1"/>
  <c r="AU160" i="124" s="1"/>
  <c r="AS79" i="124"/>
  <c r="AT79" i="124" s="1"/>
  <c r="AU79" i="124" s="1"/>
  <c r="AS151" i="124"/>
  <c r="AT151" i="124" s="1"/>
  <c r="AU151" i="124" s="1"/>
  <c r="AS124" i="124"/>
  <c r="AT124" i="124" s="1"/>
  <c r="AU124" i="124" s="1"/>
  <c r="AS96" i="124"/>
  <c r="AT96" i="124" s="1"/>
  <c r="AU96" i="124" s="1"/>
  <c r="AS136" i="124"/>
  <c r="AT136" i="124" s="1"/>
  <c r="AU136" i="124" s="1"/>
  <c r="AS168" i="124"/>
  <c r="AT168" i="124" s="1"/>
  <c r="AU168" i="124" s="1"/>
  <c r="AS122" i="124"/>
  <c r="AT122" i="124" s="1"/>
  <c r="AU122" i="124" s="1"/>
  <c r="AS164" i="124"/>
  <c r="AT164" i="124" s="1"/>
  <c r="AU164" i="124" s="1"/>
  <c r="AS169" i="124"/>
  <c r="AT169" i="124" s="1"/>
  <c r="AU169" i="124" s="1"/>
  <c r="AS140" i="124"/>
  <c r="AT140" i="124" s="1"/>
  <c r="AU140" i="124" s="1"/>
  <c r="AS49" i="124"/>
  <c r="AT49" i="124" s="1"/>
  <c r="AU49" i="124" s="1"/>
  <c r="AS246" i="124"/>
  <c r="AT246" i="124" s="1"/>
  <c r="AU246" i="124" s="1"/>
  <c r="AS236" i="124"/>
  <c r="AT236" i="124" s="1"/>
  <c r="AU236" i="124" s="1"/>
  <c r="AS239" i="124"/>
  <c r="AT239" i="124" s="1"/>
  <c r="AU239" i="124" s="1"/>
  <c r="AS278" i="124"/>
  <c r="AT278" i="124" s="1"/>
  <c r="AU278" i="124" s="1"/>
  <c r="AS249" i="124"/>
  <c r="AT249" i="124" s="1"/>
  <c r="AU249" i="124" s="1"/>
  <c r="AS272" i="124"/>
  <c r="AT272" i="124" s="1"/>
  <c r="AU272" i="124" s="1"/>
  <c r="AS210" i="124"/>
  <c r="AT210" i="124" s="1"/>
  <c r="AU210" i="124" s="1"/>
  <c r="AS250" i="124"/>
  <c r="AT250" i="124" s="1"/>
  <c r="AU250" i="124" s="1"/>
  <c r="AS285" i="124"/>
  <c r="AT285" i="124" s="1"/>
  <c r="AU285" i="124" s="1"/>
  <c r="AS227" i="124"/>
  <c r="AT227" i="124" s="1"/>
  <c r="AU227" i="124" s="1"/>
  <c r="AS23" i="124"/>
  <c r="AT23" i="124" s="1"/>
  <c r="AU23" i="124" s="1"/>
  <c r="AS264" i="124"/>
  <c r="AT264" i="124" s="1"/>
  <c r="AU264" i="124" s="1"/>
  <c r="AS218" i="124"/>
  <c r="AT218" i="124" s="1"/>
  <c r="AU218" i="124" s="1"/>
  <c r="AS235" i="124"/>
  <c r="AT235" i="124" s="1"/>
  <c r="AU235" i="124" s="1"/>
  <c r="AS206" i="124"/>
  <c r="AT206" i="124" s="1"/>
  <c r="AU206" i="124" s="1"/>
  <c r="AS245" i="124"/>
  <c r="AT245" i="124" s="1"/>
  <c r="AU245" i="124" s="1"/>
  <c r="AS269" i="124"/>
  <c r="AT269" i="124" s="1"/>
  <c r="AU269" i="124" s="1"/>
  <c r="AS275" i="124"/>
  <c r="AT275" i="124" s="1"/>
  <c r="AU275" i="124" s="1"/>
  <c r="AS228" i="124"/>
  <c r="AT228" i="124" s="1"/>
  <c r="AU228" i="124" s="1"/>
  <c r="AS205" i="124"/>
  <c r="AT205" i="124" s="1"/>
  <c r="AU205" i="124" s="1"/>
  <c r="AS9" i="124"/>
  <c r="AT9" i="124" s="1"/>
  <c r="AU9" i="124" s="1"/>
  <c r="AS43" i="124"/>
  <c r="AT43" i="124" s="1"/>
  <c r="AU43" i="124" s="1"/>
  <c r="AS282" i="124"/>
  <c r="AT282" i="124" s="1"/>
  <c r="AU282" i="124" s="1"/>
  <c r="AS241" i="124"/>
  <c r="AT241" i="124" s="1"/>
  <c r="AU241" i="124" s="1"/>
  <c r="AS211" i="124"/>
  <c r="AT211" i="124" s="1"/>
  <c r="AU211" i="124" s="1"/>
  <c r="AS266" i="124"/>
  <c r="AT266" i="124" s="1"/>
  <c r="AU266" i="124" s="1"/>
  <c r="AS191" i="124"/>
  <c r="AT191" i="124" s="1"/>
  <c r="AU191" i="124" s="1"/>
  <c r="AS260" i="124"/>
  <c r="AT260" i="124" s="1"/>
  <c r="AU260" i="124" s="1"/>
  <c r="AS229" i="124"/>
  <c r="AT229" i="124" s="1"/>
  <c r="AU229" i="124" s="1"/>
  <c r="AS284" i="124"/>
  <c r="AT284" i="124" s="1"/>
  <c r="AU284" i="124" s="1"/>
  <c r="AS286" i="124"/>
  <c r="AT286" i="124" s="1"/>
  <c r="AU286" i="124" s="1"/>
  <c r="AS238" i="124"/>
  <c r="AT238" i="124" s="1"/>
  <c r="AU238" i="124" s="1"/>
  <c r="AS279" i="124"/>
  <c r="AT279" i="124" s="1"/>
  <c r="AU279" i="124" s="1"/>
  <c r="AS243" i="124"/>
  <c r="AT243" i="124" s="1"/>
  <c r="AU243" i="124" s="1"/>
  <c r="AS231" i="124"/>
  <c r="AT231" i="124" s="1"/>
  <c r="AU231" i="124" s="1"/>
  <c r="AS41" i="124"/>
  <c r="AT41" i="124" s="1"/>
  <c r="AU41" i="124" s="1"/>
  <c r="AJ1" i="113"/>
  <c r="AK10" i="108"/>
  <c r="AM10" i="108" s="1"/>
  <c r="Y10" i="108" s="1"/>
  <c r="S10" i="108" s="1"/>
  <c r="DH10" i="108"/>
  <c r="L10" i="114"/>
  <c r="Q15" i="121"/>
  <c r="P9" i="108"/>
  <c r="CI9" i="108"/>
  <c r="AQ9" i="131"/>
  <c r="AQ9" i="128"/>
  <c r="AM12" i="113"/>
  <c r="AK8" i="108"/>
  <c r="CZ10" i="108"/>
  <c r="CW10" i="108"/>
  <c r="Q26" i="121" l="1"/>
  <c r="P26" i="121"/>
  <c r="AS26" i="121"/>
  <c r="M26" i="121"/>
  <c r="O26" i="121"/>
  <c r="AD26" i="121" s="1"/>
  <c r="N26" i="121"/>
  <c r="L26" i="121"/>
  <c r="AA26" i="121" s="1"/>
  <c r="AC26" i="121" s="1"/>
  <c r="Z84" i="115" s="1"/>
  <c r="S26" i="121"/>
  <c r="AQ20" i="131"/>
  <c r="CF20" i="108"/>
  <c r="CE20" i="108" s="1"/>
  <c r="V156" i="120"/>
  <c r="X156" i="120"/>
  <c r="AA156" i="120"/>
  <c r="W156" i="120"/>
  <c r="S156" i="120"/>
  <c r="T156" i="120"/>
  <c r="Z156" i="120"/>
  <c r="Y156" i="120"/>
  <c r="BH288" i="124"/>
  <c r="BI288" i="124" s="1"/>
  <c r="BJ288" i="124" s="1"/>
  <c r="BH289" i="124"/>
  <c r="BI289" i="124" s="1"/>
  <c r="BJ289" i="124" s="1"/>
  <c r="AP42" i="121"/>
  <c r="AB42" i="121"/>
  <c r="U42" i="121"/>
  <c r="T42" i="121"/>
  <c r="W42" i="121"/>
  <c r="S100" i="115" s="1"/>
  <c r="AN42" i="121"/>
  <c r="Q100" i="115"/>
  <c r="P100" i="115" s="1"/>
  <c r="V42" i="121"/>
  <c r="AQ42" i="121"/>
  <c r="Y42" i="121"/>
  <c r="Y100" i="115" s="1"/>
  <c r="AM12" i="107"/>
  <c r="X42" i="121"/>
  <c r="AG42" i="121"/>
  <c r="AH42" i="121" s="1"/>
  <c r="AF42" i="121"/>
  <c r="AE42" i="121"/>
  <c r="AM42" i="121"/>
  <c r="O30" i="121"/>
  <c r="AD30" i="121" s="1"/>
  <c r="S30" i="121"/>
  <c r="AF30" i="121" s="1"/>
  <c r="N30" i="121"/>
  <c r="AS30" i="121"/>
  <c r="Q30" i="121"/>
  <c r="AQ24" i="131"/>
  <c r="AQ12" i="107" s="1"/>
  <c r="CD24" i="108"/>
  <c r="J17" i="109" s="1"/>
  <c r="P30" i="121"/>
  <c r="CF24" i="108"/>
  <c r="CI24" i="108"/>
  <c r="M30" i="121" s="1"/>
  <c r="V175" i="120"/>
  <c r="Y175" i="120"/>
  <c r="CF34" i="108"/>
  <c r="CE34" i="108" s="1"/>
  <c r="AS40" i="121"/>
  <c r="O40" i="121"/>
  <c r="AD40" i="121" s="1"/>
  <c r="Q40" i="121"/>
  <c r="M40" i="121"/>
  <c r="S40" i="121"/>
  <c r="L40" i="121"/>
  <c r="AA40" i="121" s="1"/>
  <c r="AC40" i="121" s="1"/>
  <c r="Z98" i="115" s="1"/>
  <c r="P40" i="121"/>
  <c r="N40" i="121"/>
  <c r="AQ34" i="131"/>
  <c r="S170" i="120"/>
  <c r="Z170" i="120"/>
  <c r="T170" i="120"/>
  <c r="AA170" i="120"/>
  <c r="W170" i="120"/>
  <c r="V170" i="120"/>
  <c r="Y170" i="120"/>
  <c r="X170" i="120"/>
  <c r="S175" i="120"/>
  <c r="T175" i="120"/>
  <c r="W175" i="120"/>
  <c r="Z175" i="120"/>
  <c r="X175" i="120"/>
  <c r="BY11" i="108"/>
  <c r="DH11" i="108"/>
  <c r="AO11" i="108"/>
  <c r="CZ11" i="108"/>
  <c r="AD11" i="108"/>
  <c r="CI11" i="108" s="1"/>
  <c r="K17" i="121"/>
  <c r="O17" i="121" s="1"/>
  <c r="AD17" i="121" s="1"/>
  <c r="BU11" i="108"/>
  <c r="I2" i="109" s="1"/>
  <c r="BX11" i="108"/>
  <c r="I4" i="109" s="1"/>
  <c r="AC11" i="108"/>
  <c r="I14" i="109" s="1"/>
  <c r="O11" i="115"/>
  <c r="AA11" i="131"/>
  <c r="AA11" i="107" s="1"/>
  <c r="CX11" i="108"/>
  <c r="CW11" i="108"/>
  <c r="BW11" i="108"/>
  <c r="L12" i="114" s="1"/>
  <c r="AI11" i="131"/>
  <c r="AI11" i="107" s="1"/>
  <c r="K12" i="114"/>
  <c r="Y12" i="114" s="1"/>
  <c r="BV11" i="108"/>
  <c r="BO11" i="107"/>
  <c r="BO10" i="107"/>
  <c r="P146" i="120"/>
  <c r="BO14" i="107"/>
  <c r="P174" i="120"/>
  <c r="V147" i="120"/>
  <c r="X147" i="120"/>
  <c r="Y147" i="120"/>
  <c r="Z147" i="120"/>
  <c r="T147" i="120"/>
  <c r="S147" i="120"/>
  <c r="W147" i="120"/>
  <c r="AA147" i="120"/>
  <c r="N13" i="131"/>
  <c r="N13" i="107"/>
  <c r="CF39" i="108"/>
  <c r="CD39" i="108"/>
  <c r="M17" i="109" s="1"/>
  <c r="S45" i="121"/>
  <c r="Q103" i="115" s="1"/>
  <c r="O45" i="121"/>
  <c r="AD45" i="121" s="1"/>
  <c r="Q45" i="121"/>
  <c r="L45" i="121"/>
  <c r="AA45" i="121" s="1"/>
  <c r="AC45" i="121" s="1"/>
  <c r="Z103" i="115" s="1"/>
  <c r="N45" i="121"/>
  <c r="P45" i="121"/>
  <c r="AS45" i="121"/>
  <c r="M45" i="121"/>
  <c r="CN10" i="108"/>
  <c r="CO10" i="108" s="1"/>
  <c r="AE10" i="131" s="1"/>
  <c r="DE10" i="108"/>
  <c r="J19" i="109"/>
  <c r="BH219" i="124"/>
  <c r="BI219" i="124" s="1"/>
  <c r="BJ219" i="124" s="1"/>
  <c r="BH20" i="124"/>
  <c r="BI20" i="124" s="1"/>
  <c r="BJ20" i="124" s="1"/>
  <c r="BH156" i="124"/>
  <c r="BI156" i="124" s="1"/>
  <c r="BJ156" i="124" s="1"/>
  <c r="BH154" i="124"/>
  <c r="BI154" i="124" s="1"/>
  <c r="BJ154" i="124" s="1"/>
  <c r="BH107" i="124"/>
  <c r="BI107" i="124" s="1"/>
  <c r="BJ107" i="124" s="1"/>
  <c r="BH143" i="124"/>
  <c r="BI143" i="124" s="1"/>
  <c r="BJ143" i="124" s="1"/>
  <c r="BH254" i="124"/>
  <c r="BI254" i="124" s="1"/>
  <c r="BJ254" i="124" s="1"/>
  <c r="BH189" i="124"/>
  <c r="BI189" i="124" s="1"/>
  <c r="BJ189" i="124" s="1"/>
  <c r="BH258" i="124"/>
  <c r="BI258" i="124" s="1"/>
  <c r="BJ258" i="124" s="1"/>
  <c r="BH29" i="124"/>
  <c r="BI29" i="124" s="1"/>
  <c r="BJ29" i="124" s="1"/>
  <c r="BH168" i="124"/>
  <c r="BI168" i="124" s="1"/>
  <c r="BJ168" i="124" s="1"/>
  <c r="BH169" i="124"/>
  <c r="BI169" i="124" s="1"/>
  <c r="BJ169" i="124" s="1"/>
  <c r="BH7" i="124"/>
  <c r="BI7" i="124" s="1"/>
  <c r="BJ7" i="124" s="1"/>
  <c r="BH170" i="124"/>
  <c r="BI170" i="124" s="1"/>
  <c r="BJ170" i="124" s="1"/>
  <c r="BH159" i="124"/>
  <c r="BI159" i="124" s="1"/>
  <c r="BJ159" i="124" s="1"/>
  <c r="BH115" i="124"/>
  <c r="BI115" i="124" s="1"/>
  <c r="BJ115" i="124" s="1"/>
  <c r="BH209" i="124"/>
  <c r="BI209" i="124" s="1"/>
  <c r="BJ209" i="124" s="1"/>
  <c r="BH278" i="124"/>
  <c r="BI278" i="124" s="1"/>
  <c r="BJ278" i="124" s="1"/>
  <c r="BH9" i="124"/>
  <c r="BI9" i="124" s="1"/>
  <c r="BJ9" i="124" s="1"/>
  <c r="BH23" i="124"/>
  <c r="BI23" i="124" s="1"/>
  <c r="BJ23" i="124" s="1"/>
  <c r="BH40" i="124"/>
  <c r="BI40" i="124" s="1"/>
  <c r="BJ40" i="124" s="1"/>
  <c r="BH255" i="124"/>
  <c r="BI255" i="124" s="1"/>
  <c r="BJ255" i="124" s="1"/>
  <c r="BH118" i="124"/>
  <c r="BI118" i="124" s="1"/>
  <c r="BJ118" i="124" s="1"/>
  <c r="BH119" i="124"/>
  <c r="BI119" i="124" s="1"/>
  <c r="BJ119" i="124" s="1"/>
  <c r="BH179" i="124"/>
  <c r="BI179" i="124" s="1"/>
  <c r="BJ179" i="124" s="1"/>
  <c r="BH76" i="124"/>
  <c r="BI76" i="124" s="1"/>
  <c r="BJ76" i="124" s="1"/>
  <c r="BH178" i="124"/>
  <c r="BI178" i="124" s="1"/>
  <c r="BJ178" i="124" s="1"/>
  <c r="BH105" i="124"/>
  <c r="BI105" i="124" s="1"/>
  <c r="BJ105" i="124" s="1"/>
  <c r="BH266" i="124"/>
  <c r="BI266" i="124" s="1"/>
  <c r="BJ266" i="124" s="1"/>
  <c r="BH263" i="124"/>
  <c r="BI263" i="124" s="1"/>
  <c r="BJ263" i="124" s="1"/>
  <c r="BH44" i="124"/>
  <c r="BI44" i="124" s="1"/>
  <c r="BJ44" i="124" s="1"/>
  <c r="BH223" i="124"/>
  <c r="BI223" i="124" s="1"/>
  <c r="BJ223" i="124" s="1"/>
  <c r="BH208" i="124"/>
  <c r="BI208" i="124" s="1"/>
  <c r="BJ208" i="124" s="1"/>
  <c r="BH39" i="124"/>
  <c r="BI39" i="124" s="1"/>
  <c r="BJ39" i="124" s="1"/>
  <c r="BH89" i="124"/>
  <c r="BI89" i="124" s="1"/>
  <c r="BJ89" i="124" s="1"/>
  <c r="BH162" i="124"/>
  <c r="BI162" i="124" s="1"/>
  <c r="BJ162" i="124" s="1"/>
  <c r="BH280" i="124"/>
  <c r="BI280" i="124" s="1"/>
  <c r="BJ280" i="124" s="1"/>
  <c r="BH264" i="124"/>
  <c r="BI264" i="124" s="1"/>
  <c r="BJ264" i="124" s="1"/>
  <c r="BH211" i="124"/>
  <c r="BI211" i="124" s="1"/>
  <c r="BJ211" i="124" s="1"/>
  <c r="BH269" i="124"/>
  <c r="BI269" i="124" s="1"/>
  <c r="BJ269" i="124" s="1"/>
  <c r="BH8" i="124"/>
  <c r="BI8" i="124" s="1"/>
  <c r="BJ8" i="124" s="1"/>
  <c r="BH246" i="124"/>
  <c r="BI246" i="124" s="1"/>
  <c r="BJ246" i="124" s="1"/>
  <c r="BH108" i="124"/>
  <c r="BI108" i="124" s="1"/>
  <c r="BJ108" i="124" s="1"/>
  <c r="BH191" i="124"/>
  <c r="BI191" i="124" s="1"/>
  <c r="BJ191" i="124" s="1"/>
  <c r="BH21" i="124"/>
  <c r="BI21" i="124" s="1"/>
  <c r="BJ21" i="124" s="1"/>
  <c r="BH80" i="124"/>
  <c r="BI80" i="124" s="1"/>
  <c r="BJ80" i="124" s="1"/>
  <c r="BH155" i="124"/>
  <c r="BI155" i="124" s="1"/>
  <c r="BJ155" i="124" s="1"/>
  <c r="BH287" i="124"/>
  <c r="BI287" i="124" s="1"/>
  <c r="BJ287" i="124" s="1"/>
  <c r="BH193" i="124"/>
  <c r="BI193" i="124" s="1"/>
  <c r="BJ193" i="124" s="1"/>
  <c r="BH238" i="124"/>
  <c r="BI238" i="124" s="1"/>
  <c r="BJ238" i="124" s="1"/>
  <c r="BH6" i="124"/>
  <c r="BI6" i="124" s="1"/>
  <c r="BJ6" i="124" s="1"/>
  <c r="BH130" i="124"/>
  <c r="BI130" i="124" s="1"/>
  <c r="BJ130" i="124" s="1"/>
  <c r="BH245" i="124"/>
  <c r="BI245" i="124" s="1"/>
  <c r="BJ245" i="124" s="1"/>
  <c r="BH32" i="124"/>
  <c r="BI32" i="124" s="1"/>
  <c r="BJ32" i="124" s="1"/>
  <c r="BH158" i="124"/>
  <c r="BI158" i="124" s="1"/>
  <c r="BJ158" i="124" s="1"/>
  <c r="BH228" i="124"/>
  <c r="BI228" i="124" s="1"/>
  <c r="BJ228" i="124" s="1"/>
  <c r="BH78" i="124"/>
  <c r="BI78" i="124" s="1"/>
  <c r="BJ78" i="124" s="1"/>
  <c r="BH226" i="124"/>
  <c r="BI226" i="124" s="1"/>
  <c r="BJ226" i="124" s="1"/>
  <c r="BH104" i="124"/>
  <c r="BI104" i="124" s="1"/>
  <c r="BJ104" i="124" s="1"/>
  <c r="BH99" i="124"/>
  <c r="BI99" i="124" s="1"/>
  <c r="BJ99" i="124" s="1"/>
  <c r="BH49" i="124"/>
  <c r="BI49" i="124" s="1"/>
  <c r="BJ49" i="124" s="1"/>
  <c r="BH267" i="124"/>
  <c r="BI267" i="124" s="1"/>
  <c r="BJ267" i="124" s="1"/>
  <c r="BH50" i="124"/>
  <c r="BI50" i="124" s="1"/>
  <c r="BJ50" i="124" s="1"/>
  <c r="BH87" i="124"/>
  <c r="BI87" i="124" s="1"/>
  <c r="BJ87" i="124" s="1"/>
  <c r="BH145" i="124"/>
  <c r="BI145" i="124" s="1"/>
  <c r="BJ145" i="124" s="1"/>
  <c r="BH150" i="124"/>
  <c r="BI150" i="124" s="1"/>
  <c r="BJ150" i="124" s="1"/>
  <c r="BH113" i="124"/>
  <c r="BI113" i="124" s="1"/>
  <c r="BJ113" i="124" s="1"/>
  <c r="BH62" i="124"/>
  <c r="BI62" i="124" s="1"/>
  <c r="BJ62" i="124" s="1"/>
  <c r="BH160" i="124"/>
  <c r="BI160" i="124" s="1"/>
  <c r="BJ160" i="124" s="1"/>
  <c r="BH74" i="124"/>
  <c r="BI74" i="124" s="1"/>
  <c r="BJ74" i="124" s="1"/>
  <c r="BH244" i="124"/>
  <c r="BI244" i="124" s="1"/>
  <c r="BJ244" i="124" s="1"/>
  <c r="BH277" i="124"/>
  <c r="BI277" i="124" s="1"/>
  <c r="BJ277" i="124" s="1"/>
  <c r="BH239" i="124"/>
  <c r="BI239" i="124" s="1"/>
  <c r="BJ239" i="124" s="1"/>
  <c r="BH200" i="124"/>
  <c r="BI200" i="124" s="1"/>
  <c r="BJ200" i="124" s="1"/>
  <c r="BH256" i="124"/>
  <c r="BI256" i="124" s="1"/>
  <c r="BJ256" i="124" s="1"/>
  <c r="BH161" i="124"/>
  <c r="BI161" i="124" s="1"/>
  <c r="BJ161" i="124" s="1"/>
  <c r="BH141" i="124"/>
  <c r="BI141" i="124" s="1"/>
  <c r="BJ141" i="124" s="1"/>
  <c r="BH260" i="124"/>
  <c r="BI260" i="124" s="1"/>
  <c r="BJ260" i="124" s="1"/>
  <c r="BH217" i="124"/>
  <c r="BI217" i="124" s="1"/>
  <c r="BJ217" i="124" s="1"/>
  <c r="BH248" i="124"/>
  <c r="BI248" i="124" s="1"/>
  <c r="BJ248" i="124" s="1"/>
  <c r="BH205" i="124"/>
  <c r="BI205" i="124" s="1"/>
  <c r="BJ205" i="124" s="1"/>
  <c r="BH196" i="124"/>
  <c r="BI196" i="124" s="1"/>
  <c r="BJ196" i="124" s="1"/>
  <c r="BH249" i="124"/>
  <c r="BI249" i="124" s="1"/>
  <c r="BJ249" i="124" s="1"/>
  <c r="BH75" i="124"/>
  <c r="BI75" i="124" s="1"/>
  <c r="BJ75" i="124" s="1"/>
  <c r="BH132" i="124"/>
  <c r="BI132" i="124" s="1"/>
  <c r="BJ132" i="124" s="1"/>
  <c r="BH123" i="124"/>
  <c r="BI123" i="124" s="1"/>
  <c r="BJ123" i="124" s="1"/>
  <c r="BH93" i="124"/>
  <c r="BI93" i="124" s="1"/>
  <c r="BJ93" i="124" s="1"/>
  <c r="BH112" i="124"/>
  <c r="BI112" i="124" s="1"/>
  <c r="BJ112" i="124" s="1"/>
  <c r="BH138" i="124"/>
  <c r="BI138" i="124" s="1"/>
  <c r="BJ138" i="124" s="1"/>
  <c r="BH167" i="124"/>
  <c r="BI167" i="124" s="1"/>
  <c r="BJ167" i="124" s="1"/>
  <c r="BH212" i="124"/>
  <c r="BI212" i="124" s="1"/>
  <c r="BJ212" i="124" s="1"/>
  <c r="BH19" i="124"/>
  <c r="BI19" i="124" s="1"/>
  <c r="BJ19" i="124" s="1"/>
  <c r="BH285" i="124"/>
  <c r="BI285" i="124" s="1"/>
  <c r="BJ285" i="124" s="1"/>
  <c r="BH237" i="124"/>
  <c r="BI237" i="124" s="1"/>
  <c r="BJ237" i="124" s="1"/>
  <c r="BH207" i="124"/>
  <c r="BI207" i="124" s="1"/>
  <c r="BJ207" i="124" s="1"/>
  <c r="BH140" i="124"/>
  <c r="BI140" i="124" s="1"/>
  <c r="BJ140" i="124" s="1"/>
  <c r="BH172" i="124"/>
  <c r="BI172" i="124" s="1"/>
  <c r="BJ172" i="124" s="1"/>
  <c r="BH117" i="124"/>
  <c r="BI117" i="124" s="1"/>
  <c r="BJ117" i="124" s="1"/>
  <c r="BH279" i="124"/>
  <c r="BI279" i="124" s="1"/>
  <c r="BJ279" i="124" s="1"/>
  <c r="BH41" i="124"/>
  <c r="BI41" i="124" s="1"/>
  <c r="BJ41" i="124" s="1"/>
  <c r="BH234" i="124"/>
  <c r="BI234" i="124" s="1"/>
  <c r="BJ234" i="124" s="1"/>
  <c r="BH102" i="124"/>
  <c r="BI102" i="124" s="1"/>
  <c r="BJ102" i="124" s="1"/>
  <c r="BH204" i="124"/>
  <c r="BI204" i="124" s="1"/>
  <c r="BJ204" i="124" s="1"/>
  <c r="BH166" i="124"/>
  <c r="BI166" i="124" s="1"/>
  <c r="BJ166" i="124" s="1"/>
  <c r="BH282" i="124"/>
  <c r="BI282" i="124" s="1"/>
  <c r="BJ282" i="124" s="1"/>
  <c r="BH59" i="124"/>
  <c r="BI59" i="124" s="1"/>
  <c r="BJ59" i="124" s="1"/>
  <c r="BH139" i="124"/>
  <c r="BI139" i="124" s="1"/>
  <c r="BJ139" i="124" s="1"/>
  <c r="BH72" i="124"/>
  <c r="BI72" i="124" s="1"/>
  <c r="BJ72" i="124" s="1"/>
  <c r="BH251" i="124"/>
  <c r="BI251" i="124" s="1"/>
  <c r="BJ251" i="124" s="1"/>
  <c r="BH232" i="124"/>
  <c r="BI232" i="124" s="1"/>
  <c r="BJ232" i="124" s="1"/>
  <c r="BH65" i="124"/>
  <c r="BI65" i="124" s="1"/>
  <c r="BJ65" i="124" s="1"/>
  <c r="BH273" i="124"/>
  <c r="BI273" i="124" s="1"/>
  <c r="BJ273" i="124" s="1"/>
  <c r="BH37" i="124"/>
  <c r="BI37" i="124" s="1"/>
  <c r="BJ37" i="124" s="1"/>
  <c r="BH134" i="124"/>
  <c r="BI134" i="124" s="1"/>
  <c r="BJ134" i="124" s="1"/>
  <c r="BH137" i="124"/>
  <c r="BI137" i="124" s="1"/>
  <c r="BJ137" i="124" s="1"/>
  <c r="BH276" i="124"/>
  <c r="BI276" i="124" s="1"/>
  <c r="BJ276" i="124" s="1"/>
  <c r="BH35" i="124"/>
  <c r="BI35" i="124" s="1"/>
  <c r="BJ35" i="124" s="1"/>
  <c r="BH94" i="124"/>
  <c r="BI94" i="124" s="1"/>
  <c r="BJ94" i="124" s="1"/>
  <c r="BH125" i="124"/>
  <c r="BI125" i="124" s="1"/>
  <c r="BJ125" i="124" s="1"/>
  <c r="BH88" i="124"/>
  <c r="BI88" i="124" s="1"/>
  <c r="BJ88" i="124" s="1"/>
  <c r="BH121" i="124"/>
  <c r="BI121" i="124" s="1"/>
  <c r="BJ121" i="124" s="1"/>
  <c r="BH272" i="124"/>
  <c r="BI272" i="124" s="1"/>
  <c r="BJ272" i="124" s="1"/>
  <c r="BH261" i="124"/>
  <c r="BI261" i="124" s="1"/>
  <c r="BJ261" i="124" s="1"/>
  <c r="BH135" i="124"/>
  <c r="BI135" i="124" s="1"/>
  <c r="BJ135" i="124" s="1"/>
  <c r="BH247" i="124"/>
  <c r="BI247" i="124" s="1"/>
  <c r="BJ247" i="124" s="1"/>
  <c r="BH56" i="124"/>
  <c r="BI56" i="124" s="1"/>
  <c r="BJ56" i="124" s="1"/>
  <c r="BH190" i="124"/>
  <c r="BI190" i="124" s="1"/>
  <c r="BJ190" i="124" s="1"/>
  <c r="BH274" i="124"/>
  <c r="BI274" i="124" s="1"/>
  <c r="BJ274" i="124" s="1"/>
  <c r="BH45" i="124"/>
  <c r="BI45" i="124" s="1"/>
  <c r="BJ45" i="124" s="1"/>
  <c r="BH120" i="124"/>
  <c r="BI120" i="124" s="1"/>
  <c r="BJ120" i="124" s="1"/>
  <c r="BH97" i="124"/>
  <c r="BI97" i="124" s="1"/>
  <c r="BJ97" i="124" s="1"/>
  <c r="BH12" i="124"/>
  <c r="BI12" i="124" s="1"/>
  <c r="BJ12" i="124" s="1"/>
  <c r="BH171" i="124"/>
  <c r="BI171" i="124" s="1"/>
  <c r="BJ171" i="124" s="1"/>
  <c r="BH165" i="124"/>
  <c r="BI165" i="124" s="1"/>
  <c r="BJ165" i="124" s="1"/>
  <c r="BH79" i="124"/>
  <c r="BI79" i="124" s="1"/>
  <c r="BJ79" i="124" s="1"/>
  <c r="BH236" i="124"/>
  <c r="BI236" i="124" s="1"/>
  <c r="BJ236" i="124" s="1"/>
  <c r="BH194" i="124"/>
  <c r="BI194" i="124" s="1"/>
  <c r="BJ194" i="124" s="1"/>
  <c r="BH60" i="124"/>
  <c r="BI60" i="124" s="1"/>
  <c r="BJ60" i="124" s="1"/>
  <c r="BH202" i="124"/>
  <c r="BI202" i="124" s="1"/>
  <c r="BJ202" i="124" s="1"/>
  <c r="BH214" i="124"/>
  <c r="BI214" i="124" s="1"/>
  <c r="BJ214" i="124" s="1"/>
  <c r="BH257" i="124"/>
  <c r="BI257" i="124" s="1"/>
  <c r="BJ257" i="124" s="1"/>
  <c r="BH77" i="124"/>
  <c r="BI77" i="124" s="1"/>
  <c r="BJ77" i="124" s="1"/>
  <c r="BH70" i="124"/>
  <c r="BI70" i="124" s="1"/>
  <c r="BJ70" i="124" s="1"/>
  <c r="BH144" i="124"/>
  <c r="BI144" i="124" s="1"/>
  <c r="BJ144" i="124" s="1"/>
  <c r="BH129" i="124"/>
  <c r="BI129" i="124" s="1"/>
  <c r="BJ129" i="124" s="1"/>
  <c r="BH114" i="124"/>
  <c r="BI114" i="124" s="1"/>
  <c r="BJ114" i="124" s="1"/>
  <c r="BH186" i="124"/>
  <c r="BI186" i="124" s="1"/>
  <c r="BJ186" i="124" s="1"/>
  <c r="BH213" i="124"/>
  <c r="BI213" i="124" s="1"/>
  <c r="BJ213" i="124" s="1"/>
  <c r="BH198" i="124"/>
  <c r="BI198" i="124" s="1"/>
  <c r="BJ198" i="124" s="1"/>
  <c r="BH152" i="124"/>
  <c r="BI152" i="124" s="1"/>
  <c r="BJ152" i="124" s="1"/>
  <c r="BH252" i="124"/>
  <c r="BI252" i="124" s="1"/>
  <c r="BJ252" i="124" s="1"/>
  <c r="BH48" i="124"/>
  <c r="BI48" i="124" s="1"/>
  <c r="BJ48" i="124" s="1"/>
  <c r="BH122" i="124"/>
  <c r="BI122" i="124" s="1"/>
  <c r="BJ122" i="124" s="1"/>
  <c r="BH81" i="124"/>
  <c r="BI81" i="124" s="1"/>
  <c r="BJ81" i="124" s="1"/>
  <c r="BH86" i="124"/>
  <c r="BI86" i="124" s="1"/>
  <c r="BJ86" i="124" s="1"/>
  <c r="BH210" i="124"/>
  <c r="BI210" i="124" s="1"/>
  <c r="BJ210" i="124" s="1"/>
  <c r="BH259" i="124"/>
  <c r="BI259" i="124" s="1"/>
  <c r="BJ259" i="124" s="1"/>
  <c r="BH221" i="124"/>
  <c r="BI221" i="124" s="1"/>
  <c r="BJ221" i="124" s="1"/>
  <c r="BH206" i="124"/>
  <c r="BI206" i="124" s="1"/>
  <c r="BJ206" i="124" s="1"/>
  <c r="BH250" i="124"/>
  <c r="BI250" i="124" s="1"/>
  <c r="BJ250" i="124" s="1"/>
  <c r="BH46" i="124"/>
  <c r="BI46" i="124" s="1"/>
  <c r="BJ46" i="124" s="1"/>
  <c r="BH147" i="124"/>
  <c r="BI147" i="124" s="1"/>
  <c r="BJ147" i="124" s="1"/>
  <c r="BH13" i="124"/>
  <c r="BI13" i="124" s="1"/>
  <c r="BJ13" i="124" s="1"/>
  <c r="BH116" i="124"/>
  <c r="BI116" i="124" s="1"/>
  <c r="BJ116" i="124" s="1"/>
  <c r="BH69" i="124"/>
  <c r="BI69" i="124" s="1"/>
  <c r="BJ69" i="124" s="1"/>
  <c r="BH270" i="124"/>
  <c r="BI270" i="124" s="1"/>
  <c r="BJ270" i="124" s="1"/>
  <c r="BH265" i="124"/>
  <c r="BI265" i="124" s="1"/>
  <c r="BJ265" i="124" s="1"/>
  <c r="BH227" i="124"/>
  <c r="BI227" i="124" s="1"/>
  <c r="BJ227" i="124" s="1"/>
  <c r="BH199" i="124"/>
  <c r="BI199" i="124" s="1"/>
  <c r="BJ199" i="124" s="1"/>
  <c r="BH109" i="124"/>
  <c r="BI109" i="124" s="1"/>
  <c r="BJ109" i="124" s="1"/>
  <c r="BH92" i="124"/>
  <c r="BI92" i="124" s="1"/>
  <c r="BJ92" i="124" s="1"/>
  <c r="BH151" i="124"/>
  <c r="BI151" i="124" s="1"/>
  <c r="BJ151" i="124" s="1"/>
  <c r="BH195" i="124"/>
  <c r="BI195" i="124" s="1"/>
  <c r="BJ195" i="124" s="1"/>
  <c r="BH153" i="124"/>
  <c r="BI153" i="124" s="1"/>
  <c r="BJ153" i="124" s="1"/>
  <c r="BH243" i="124"/>
  <c r="BI243" i="124" s="1"/>
  <c r="BJ243" i="124" s="1"/>
  <c r="BH233" i="124"/>
  <c r="BI233" i="124" s="1"/>
  <c r="BJ233" i="124" s="1"/>
  <c r="BH33" i="124"/>
  <c r="BI33" i="124" s="1"/>
  <c r="BJ33" i="124" s="1"/>
  <c r="BH164" i="124"/>
  <c r="BI164" i="124" s="1"/>
  <c r="BJ164" i="124" s="1"/>
  <c r="BH124" i="124"/>
  <c r="BI124" i="124" s="1"/>
  <c r="BJ124" i="124" s="1"/>
  <c r="BH218" i="124"/>
  <c r="BI218" i="124" s="1"/>
  <c r="BJ218" i="124" s="1"/>
  <c r="BH201" i="124"/>
  <c r="BI201" i="124" s="1"/>
  <c r="BJ201" i="124" s="1"/>
  <c r="BH271" i="124"/>
  <c r="BI271" i="124" s="1"/>
  <c r="BJ271" i="124" s="1"/>
  <c r="BH4" i="124"/>
  <c r="BI4" i="124" s="1"/>
  <c r="BJ4" i="124" s="1"/>
  <c r="BH235" i="124"/>
  <c r="BI235" i="124" s="1"/>
  <c r="BJ235" i="124" s="1"/>
  <c r="BH222" i="124"/>
  <c r="BI222" i="124" s="1"/>
  <c r="BJ222" i="124" s="1"/>
  <c r="BH157" i="124"/>
  <c r="BI157" i="124" s="1"/>
  <c r="BJ157" i="124" s="1"/>
  <c r="BH98" i="124"/>
  <c r="BI98" i="124" s="1"/>
  <c r="BJ98" i="124" s="1"/>
  <c r="BH149" i="124"/>
  <c r="BI149" i="124" s="1"/>
  <c r="BJ149" i="124" s="1"/>
  <c r="BH64" i="124"/>
  <c r="BI64" i="124" s="1"/>
  <c r="BJ64" i="124" s="1"/>
  <c r="BH85" i="124"/>
  <c r="BI85" i="124" s="1"/>
  <c r="BJ85" i="124" s="1"/>
  <c r="BH106" i="124"/>
  <c r="BI106" i="124" s="1"/>
  <c r="BJ106" i="124" s="1"/>
  <c r="BH126" i="124"/>
  <c r="BI126" i="124" s="1"/>
  <c r="BJ126" i="124" s="1"/>
  <c r="BH268" i="124"/>
  <c r="BI268" i="124" s="1"/>
  <c r="BJ268" i="124" s="1"/>
  <c r="BH225" i="124"/>
  <c r="BI225" i="124" s="1"/>
  <c r="BJ225" i="124" s="1"/>
  <c r="BH220" i="124"/>
  <c r="BI220" i="124" s="1"/>
  <c r="BJ220" i="124" s="1"/>
  <c r="BH283" i="124"/>
  <c r="BI283" i="124" s="1"/>
  <c r="BJ283" i="124" s="1"/>
  <c r="BH281" i="124"/>
  <c r="BI281" i="124" s="1"/>
  <c r="BJ281" i="124" s="1"/>
  <c r="BH68" i="124"/>
  <c r="BI68" i="124" s="1"/>
  <c r="BJ68" i="124" s="1"/>
  <c r="BH111" i="124"/>
  <c r="BI111" i="124" s="1"/>
  <c r="BJ111" i="124" s="1"/>
  <c r="BH286" i="124"/>
  <c r="BI286" i="124" s="1"/>
  <c r="BJ286" i="124" s="1"/>
  <c r="BH47" i="124"/>
  <c r="BI47" i="124" s="1"/>
  <c r="BJ47" i="124" s="1"/>
  <c r="BH284" i="124"/>
  <c r="BI284" i="124" s="1"/>
  <c r="BJ284" i="124" s="1"/>
  <c r="BH229" i="124"/>
  <c r="BI229" i="124" s="1"/>
  <c r="BJ229" i="124" s="1"/>
  <c r="BH241" i="124"/>
  <c r="BI241" i="124" s="1"/>
  <c r="BJ241" i="124" s="1"/>
  <c r="BH42" i="124"/>
  <c r="BI42" i="124" s="1"/>
  <c r="BJ42" i="124" s="1"/>
  <c r="BH173" i="124"/>
  <c r="BI173" i="124" s="1"/>
  <c r="BJ173" i="124" s="1"/>
  <c r="BH95" i="124"/>
  <c r="BI95" i="124" s="1"/>
  <c r="BJ95" i="124" s="1"/>
  <c r="BH63" i="124"/>
  <c r="BI63" i="124" s="1"/>
  <c r="BJ63" i="124" s="1"/>
  <c r="BH101" i="124"/>
  <c r="BI101" i="124" s="1"/>
  <c r="BJ101" i="124" s="1"/>
  <c r="BH91" i="124"/>
  <c r="BI91" i="124" s="1"/>
  <c r="BJ91" i="124" s="1"/>
  <c r="BH148" i="124"/>
  <c r="BI148" i="124" s="1"/>
  <c r="BJ148" i="124" s="1"/>
  <c r="BH180" i="124"/>
  <c r="BI180" i="124" s="1"/>
  <c r="BJ180" i="124" s="1"/>
  <c r="BH31" i="124"/>
  <c r="BI31" i="124" s="1"/>
  <c r="BJ31" i="124" s="1"/>
  <c r="BH203" i="124"/>
  <c r="BI203" i="124" s="1"/>
  <c r="BJ203" i="124" s="1"/>
  <c r="BH187" i="124"/>
  <c r="BI187" i="124" s="1"/>
  <c r="BJ187" i="124" s="1"/>
  <c r="BH22" i="124"/>
  <c r="BI22" i="124" s="1"/>
  <c r="BJ22" i="124" s="1"/>
  <c r="BH73" i="124"/>
  <c r="BI73" i="124" s="1"/>
  <c r="BJ73" i="124" s="1"/>
  <c r="BH230" i="124"/>
  <c r="BI230" i="124" s="1"/>
  <c r="BJ230" i="124" s="1"/>
  <c r="BH61" i="124"/>
  <c r="BI61" i="124" s="1"/>
  <c r="BJ61" i="124" s="1"/>
  <c r="BH43" i="124"/>
  <c r="BI43" i="124" s="1"/>
  <c r="BJ43" i="124" s="1"/>
  <c r="BH275" i="124"/>
  <c r="BI275" i="124" s="1"/>
  <c r="BJ275" i="124" s="1"/>
  <c r="BH131" i="124"/>
  <c r="BI131" i="124" s="1"/>
  <c r="BJ131" i="124" s="1"/>
  <c r="BH146" i="124"/>
  <c r="BI146" i="124" s="1"/>
  <c r="BJ146" i="124" s="1"/>
  <c r="BH163" i="124"/>
  <c r="BI163" i="124" s="1"/>
  <c r="BJ163" i="124" s="1"/>
  <c r="BH215" i="124"/>
  <c r="BI215" i="124" s="1"/>
  <c r="BJ215" i="124" s="1"/>
  <c r="BH96" i="124"/>
  <c r="BI96" i="124" s="1"/>
  <c r="BJ96" i="124" s="1"/>
  <c r="BH262" i="124"/>
  <c r="BI262" i="124" s="1"/>
  <c r="BJ262" i="124" s="1"/>
  <c r="BH181" i="124"/>
  <c r="BI181" i="124" s="1"/>
  <c r="BJ181" i="124" s="1"/>
  <c r="BH136" i="124"/>
  <c r="BI136" i="124" s="1"/>
  <c r="BJ136" i="124" s="1"/>
  <c r="BH128" i="124"/>
  <c r="BI128" i="124" s="1"/>
  <c r="BJ128" i="124" s="1"/>
  <c r="BH224" i="124"/>
  <c r="BI224" i="124" s="1"/>
  <c r="BJ224" i="124" s="1"/>
  <c r="BH67" i="124"/>
  <c r="BI67" i="124" s="1"/>
  <c r="BJ67" i="124" s="1"/>
  <c r="BH231" i="124"/>
  <c r="BI231" i="124" s="1"/>
  <c r="BJ231" i="124" s="1"/>
  <c r="BH240" i="124"/>
  <c r="BI240" i="124" s="1"/>
  <c r="BJ240" i="124" s="1"/>
  <c r="BH24" i="124"/>
  <c r="BI24" i="124" s="1"/>
  <c r="BJ24" i="124" s="1"/>
  <c r="BH53" i="124"/>
  <c r="BI53" i="124" s="1"/>
  <c r="BJ53" i="124" s="1"/>
  <c r="BH253" i="124"/>
  <c r="BI253" i="124" s="1"/>
  <c r="BJ253" i="124" s="1"/>
  <c r="BH133" i="124"/>
  <c r="BI133" i="124" s="1"/>
  <c r="BJ133" i="124" s="1"/>
  <c r="BH127" i="124"/>
  <c r="BI127" i="124" s="1"/>
  <c r="BJ127" i="124" s="1"/>
  <c r="BH51" i="124"/>
  <c r="BI51" i="124" s="1"/>
  <c r="BJ51" i="124" s="1"/>
  <c r="W77" i="115"/>
  <c r="X77" i="115" s="1"/>
  <c r="AS11" i="108"/>
  <c r="AT11" i="108" s="1"/>
  <c r="BZ11" i="108"/>
  <c r="AE11" i="131"/>
  <c r="AE11" i="107" s="1"/>
  <c r="BF19" i="121"/>
  <c r="AZ19" i="121"/>
  <c r="AB77" i="115"/>
  <c r="AK19" i="121"/>
  <c r="CY8" i="108"/>
  <c r="Z88" i="115"/>
  <c r="BZ38" i="108"/>
  <c r="AW38" i="108"/>
  <c r="AA38" i="131"/>
  <c r="BX38" i="108"/>
  <c r="L4" i="109" s="1"/>
  <c r="K44" i="121"/>
  <c r="AC38" i="108"/>
  <c r="L14" i="109" s="1"/>
  <c r="AE38" i="131"/>
  <c r="AE14" i="107" s="1"/>
  <c r="BY38" i="108"/>
  <c r="CC38" i="108"/>
  <c r="L18" i="109" s="1"/>
  <c r="BV38" i="108"/>
  <c r="L3" i="109" s="1"/>
  <c r="O38" i="115"/>
  <c r="BW38" i="108"/>
  <c r="BU38" i="108"/>
  <c r="L2" i="109" s="1"/>
  <c r="AI38" i="131"/>
  <c r="AI14" i="107" s="1"/>
  <c r="AM38" i="131"/>
  <c r="Z96" i="115"/>
  <c r="Q96" i="115"/>
  <c r="AP38" i="121"/>
  <c r="AM38" i="121"/>
  <c r="X38" i="121"/>
  <c r="AB38" i="121"/>
  <c r="AG38" i="121"/>
  <c r="AH38" i="121" s="1"/>
  <c r="V38" i="121"/>
  <c r="AE38" i="121"/>
  <c r="U38" i="121"/>
  <c r="Z38" i="121"/>
  <c r="U96" i="115" s="1"/>
  <c r="V96" i="115" s="1"/>
  <c r="T38" i="121"/>
  <c r="Y38" i="121"/>
  <c r="W38" i="121"/>
  <c r="AN38" i="121"/>
  <c r="AF38" i="121"/>
  <c r="AQ38" i="121"/>
  <c r="Y86" i="115"/>
  <c r="AV28" i="121"/>
  <c r="AT28" i="121"/>
  <c r="AU28" i="121" s="1"/>
  <c r="AW28" i="121"/>
  <c r="S86" i="115"/>
  <c r="P86" i="115"/>
  <c r="AA86" i="115"/>
  <c r="AR28" i="121"/>
  <c r="AI28" i="121"/>
  <c r="AJ28" i="121"/>
  <c r="P38" i="108"/>
  <c r="CI38" i="108"/>
  <c r="AO28" i="121"/>
  <c r="BX10" i="108"/>
  <c r="H4" i="109" s="1"/>
  <c r="BY10" i="108"/>
  <c r="AE15" i="121"/>
  <c r="BV10" i="108"/>
  <c r="H3" i="109" s="1"/>
  <c r="BW10" i="108"/>
  <c r="AN15" i="121"/>
  <c r="AQ15" i="121"/>
  <c r="AM15" i="121"/>
  <c r="U15" i="121"/>
  <c r="X15" i="121"/>
  <c r="O10" i="115"/>
  <c r="BU10" i="108"/>
  <c r="H2" i="109" s="1"/>
  <c r="V15" i="121"/>
  <c r="AP15" i="121"/>
  <c r="Y15" i="121"/>
  <c r="AV15" i="121" s="1"/>
  <c r="W15" i="121"/>
  <c r="S73" i="115" s="1"/>
  <c r="AG15" i="121"/>
  <c r="AH15" i="121" s="1"/>
  <c r="Z15" i="121"/>
  <c r="U73" i="115" s="1"/>
  <c r="V73" i="115" s="1"/>
  <c r="T15" i="121"/>
  <c r="Q73" i="115"/>
  <c r="P73" i="115" s="1"/>
  <c r="AF15" i="121"/>
  <c r="AC10" i="108"/>
  <c r="H14" i="109" s="1"/>
  <c r="K16" i="121"/>
  <c r="O16" i="121" s="1"/>
  <c r="AD16" i="121" s="1"/>
  <c r="CE9" i="108"/>
  <c r="G20" i="109" s="1"/>
  <c r="M15" i="121"/>
  <c r="AI10" i="131"/>
  <c r="AI10" i="107" s="1"/>
  <c r="AA10" i="131"/>
  <c r="AD5" i="113" s="1"/>
  <c r="AW2" i="124" s="1"/>
  <c r="AO10" i="108"/>
  <c r="AE11" i="128"/>
  <c r="AU11" i="108"/>
  <c r="AV11" i="108"/>
  <c r="AU1" i="124"/>
  <c r="AG4" i="113" s="1"/>
  <c r="AD10" i="108"/>
  <c r="K11" i="114"/>
  <c r="Y11" i="114" s="1"/>
  <c r="DA10" i="108"/>
  <c r="AQ9" i="107"/>
  <c r="CY10" i="108"/>
  <c r="AM8" i="108"/>
  <c r="Y8" i="108" s="1"/>
  <c r="AO8" i="108"/>
  <c r="AE8" i="128"/>
  <c r="AU8" i="108"/>
  <c r="AV8" i="108"/>
  <c r="AS8" i="108"/>
  <c r="AT8" i="108" s="1"/>
  <c r="W26" i="121" l="1"/>
  <c r="S84" i="115" s="1"/>
  <c r="AG26" i="121"/>
  <c r="AH26" i="121" s="1"/>
  <c r="AM26" i="121"/>
  <c r="V26" i="121"/>
  <c r="AE26" i="121"/>
  <c r="AN26" i="121"/>
  <c r="Z26" i="121"/>
  <c r="U84" i="115" s="1"/>
  <c r="V84" i="115" s="1"/>
  <c r="Q84" i="115"/>
  <c r="P84" i="115" s="1"/>
  <c r="W84" i="115" s="1"/>
  <c r="X84" i="115" s="1"/>
  <c r="AP26" i="121"/>
  <c r="X26" i="121"/>
  <c r="AF26" i="121"/>
  <c r="AQ26" i="121"/>
  <c r="AB26" i="121"/>
  <c r="Y26" i="121"/>
  <c r="T26" i="121"/>
  <c r="U26" i="121"/>
  <c r="P103" i="115"/>
  <c r="AX288" i="124"/>
  <c r="AY288" i="124" s="1"/>
  <c r="AZ288" i="124" s="1"/>
  <c r="AX289" i="124"/>
  <c r="AY289" i="124" s="1"/>
  <c r="AZ289" i="124" s="1"/>
  <c r="W100" i="115"/>
  <c r="X100" i="115" s="1"/>
  <c r="AO42" i="121"/>
  <c r="AQ30" i="121"/>
  <c r="X30" i="121"/>
  <c r="AA88" i="115" s="1"/>
  <c r="AB30" i="121"/>
  <c r="T30" i="121"/>
  <c r="Z30" i="121"/>
  <c r="U88" i="115" s="1"/>
  <c r="V88" i="115" s="1"/>
  <c r="AG30" i="121"/>
  <c r="AH30" i="121" s="1"/>
  <c r="AJ30" i="121" s="1"/>
  <c r="V30" i="121"/>
  <c r="Y30" i="121"/>
  <c r="AW30" i="121" s="1"/>
  <c r="Q88" i="115"/>
  <c r="P88" i="115" s="1"/>
  <c r="AM30" i="121"/>
  <c r="U30" i="121"/>
  <c r="W30" i="121"/>
  <c r="S88" i="115" s="1"/>
  <c r="AE30" i="121"/>
  <c r="AN30" i="121"/>
  <c r="AP30" i="121"/>
  <c r="AV42" i="121"/>
  <c r="AT42" i="121"/>
  <c r="AW42" i="121"/>
  <c r="AI42" i="121"/>
  <c r="AJ42" i="121"/>
  <c r="AR42" i="121"/>
  <c r="AA100" i="115"/>
  <c r="CE24" i="108"/>
  <c r="J20" i="109" s="1"/>
  <c r="V40" i="121"/>
  <c r="T40" i="121"/>
  <c r="AQ40" i="121"/>
  <c r="AG40" i="121"/>
  <c r="AH40" i="121" s="1"/>
  <c r="Q98" i="115"/>
  <c r="P98" i="115" s="1"/>
  <c r="AM40" i="121"/>
  <c r="W40" i="121"/>
  <c r="S98" i="115" s="1"/>
  <c r="Z40" i="121"/>
  <c r="U98" i="115" s="1"/>
  <c r="V98" i="115" s="1"/>
  <c r="AF40" i="121"/>
  <c r="AE40" i="121"/>
  <c r="AP40" i="121"/>
  <c r="AB40" i="121"/>
  <c r="X40" i="121"/>
  <c r="AN40" i="121"/>
  <c r="Y40" i="121"/>
  <c r="U40" i="121"/>
  <c r="AM11" i="107"/>
  <c r="CD11" i="108"/>
  <c r="I17" i="109" s="1"/>
  <c r="DA11" i="108"/>
  <c r="I3" i="109"/>
  <c r="N17" i="121"/>
  <c r="AS17" i="121"/>
  <c r="L17" i="121"/>
  <c r="AA17" i="121" s="1"/>
  <c r="AC17" i="121" s="1"/>
  <c r="Z75" i="115" s="1"/>
  <c r="S17" i="121"/>
  <c r="AM17" i="121" s="1"/>
  <c r="AD6" i="113"/>
  <c r="BB2" i="124" s="1"/>
  <c r="P11" i="108"/>
  <c r="P17" i="121"/>
  <c r="M17" i="121"/>
  <c r="CY11" i="108"/>
  <c r="Q17" i="121"/>
  <c r="CF11" i="108"/>
  <c r="I19" i="109" s="1"/>
  <c r="Z174" i="120"/>
  <c r="AA174" i="120"/>
  <c r="S174" i="120"/>
  <c r="Y174" i="120"/>
  <c r="X174" i="120"/>
  <c r="V174" i="120"/>
  <c r="T174" i="120"/>
  <c r="W174" i="120"/>
  <c r="X146" i="120"/>
  <c r="AA146" i="120"/>
  <c r="S146" i="120"/>
  <c r="T146" i="120"/>
  <c r="W146" i="120"/>
  <c r="Y146" i="120"/>
  <c r="Z146" i="120"/>
  <c r="V146" i="120"/>
  <c r="AS10" i="108"/>
  <c r="AT10" i="108" s="1"/>
  <c r="CB11" i="108"/>
  <c r="M19" i="109"/>
  <c r="CE39" i="108"/>
  <c r="M20" i="109" s="1"/>
  <c r="AM45" i="121"/>
  <c r="W45" i="121"/>
  <c r="S103" i="115" s="1"/>
  <c r="AF45" i="121"/>
  <c r="AN45" i="121"/>
  <c r="AG45" i="121"/>
  <c r="AH45" i="121" s="1"/>
  <c r="U45" i="121"/>
  <c r="Z45" i="121"/>
  <c r="U103" i="115" s="1"/>
  <c r="V103" i="115" s="1"/>
  <c r="AP45" i="121"/>
  <c r="AB45" i="121"/>
  <c r="V45" i="121"/>
  <c r="X45" i="121"/>
  <c r="T45" i="121"/>
  <c r="AE45" i="121"/>
  <c r="Y45" i="121"/>
  <c r="Y103" i="115" s="1"/>
  <c r="AQ45" i="121"/>
  <c r="W86" i="115"/>
  <c r="X86" i="115" s="1"/>
  <c r="CD38" i="108"/>
  <c r="L17" i="109" s="1"/>
  <c r="AO38" i="121"/>
  <c r="AM14" i="107"/>
  <c r="AD9" i="113"/>
  <c r="BQ2" i="124" s="1"/>
  <c r="AA14" i="107"/>
  <c r="CB38" i="108"/>
  <c r="L5" i="109"/>
  <c r="BJ1" i="124"/>
  <c r="AG7" i="113" s="1"/>
  <c r="CF38" i="108"/>
  <c r="L19" i="109" s="1"/>
  <c r="I15" i="109"/>
  <c r="CC11" i="108"/>
  <c r="I18" i="109" s="1"/>
  <c r="AW11" i="108"/>
  <c r="AQ11" i="128" s="1"/>
  <c r="AM11" i="131"/>
  <c r="BG28" i="121"/>
  <c r="AO15" i="121"/>
  <c r="W73" i="115"/>
  <c r="X73" i="115" s="1"/>
  <c r="AB86" i="115"/>
  <c r="AK28" i="121"/>
  <c r="AQ38" i="131"/>
  <c r="AQ14" i="107" s="1"/>
  <c r="AW15" i="121"/>
  <c r="AI15" i="121"/>
  <c r="AJ15" i="121"/>
  <c r="S96" i="115"/>
  <c r="P96" i="115"/>
  <c r="M44" i="121"/>
  <c r="N44" i="121"/>
  <c r="O44" i="121"/>
  <c r="AD44" i="121" s="1"/>
  <c r="AS44" i="121"/>
  <c r="L44" i="121"/>
  <c r="AA44" i="121" s="1"/>
  <c r="AC44" i="121" s="1"/>
  <c r="Z102" i="115" s="1"/>
  <c r="P44" i="121"/>
  <c r="S44" i="121"/>
  <c r="Q102" i="115" s="1"/>
  <c r="Q44" i="121"/>
  <c r="BA28" i="121"/>
  <c r="AW38" i="121"/>
  <c r="AT38" i="121"/>
  <c r="AU38" i="121" s="1"/>
  <c r="Y96" i="115"/>
  <c r="AV38" i="121"/>
  <c r="AI38" i="121"/>
  <c r="AJ38" i="121"/>
  <c r="AA73" i="115"/>
  <c r="AR15" i="121"/>
  <c r="AA96" i="115"/>
  <c r="AR38" i="121"/>
  <c r="Y73" i="115"/>
  <c r="BZ10" i="108"/>
  <c r="AT15" i="121"/>
  <c r="AU15" i="121" s="1"/>
  <c r="CD10" i="108"/>
  <c r="H17" i="109" s="1"/>
  <c r="I5" i="109"/>
  <c r="L16" i="121"/>
  <c r="AA16" i="121" s="1"/>
  <c r="AC16" i="121" s="1"/>
  <c r="S16" i="121"/>
  <c r="AS16" i="121"/>
  <c r="N16" i="121"/>
  <c r="P16" i="121"/>
  <c r="AA10" i="107"/>
  <c r="AE10" i="128"/>
  <c r="AV10" i="108"/>
  <c r="AE10" i="107"/>
  <c r="AM10" i="107" s="1"/>
  <c r="AU10" i="108"/>
  <c r="CC10" i="108" s="1"/>
  <c r="H18" i="109" s="1"/>
  <c r="AM11" i="128"/>
  <c r="N9" i="107"/>
  <c r="N9" i="131"/>
  <c r="N9" i="128"/>
  <c r="AX265" i="124"/>
  <c r="AY265" i="124" s="1"/>
  <c r="AZ265" i="124" s="1"/>
  <c r="AX42" i="124"/>
  <c r="AY42" i="124" s="1"/>
  <c r="AZ42" i="124" s="1"/>
  <c r="AX243" i="124"/>
  <c r="AY243" i="124" s="1"/>
  <c r="AZ243" i="124" s="1"/>
  <c r="AX246" i="124"/>
  <c r="AY246" i="124" s="1"/>
  <c r="AZ246" i="124" s="1"/>
  <c r="AX158" i="124"/>
  <c r="AY158" i="124" s="1"/>
  <c r="AZ158" i="124" s="1"/>
  <c r="AX272" i="124"/>
  <c r="AY272" i="124" s="1"/>
  <c r="AZ272" i="124" s="1"/>
  <c r="AX19" i="124"/>
  <c r="AY19" i="124" s="1"/>
  <c r="AZ19" i="124" s="1"/>
  <c r="AX235" i="124"/>
  <c r="AY235" i="124" s="1"/>
  <c r="AZ235" i="124" s="1"/>
  <c r="AX231" i="124"/>
  <c r="AY231" i="124" s="1"/>
  <c r="AZ231" i="124" s="1"/>
  <c r="AX145" i="124"/>
  <c r="AY145" i="124" s="1"/>
  <c r="AZ145" i="124" s="1"/>
  <c r="AX195" i="124"/>
  <c r="AY195" i="124" s="1"/>
  <c r="AZ195" i="124" s="1"/>
  <c r="AX212" i="124"/>
  <c r="AY212" i="124" s="1"/>
  <c r="AZ212" i="124" s="1"/>
  <c r="AX117" i="124"/>
  <c r="AY117" i="124" s="1"/>
  <c r="AZ117" i="124" s="1"/>
  <c r="AX221" i="124"/>
  <c r="AY221" i="124" s="1"/>
  <c r="AZ221" i="124" s="1"/>
  <c r="AX139" i="124"/>
  <c r="AY139" i="124" s="1"/>
  <c r="AZ139" i="124" s="1"/>
  <c r="AX113" i="124"/>
  <c r="AY113" i="124" s="1"/>
  <c r="AZ113" i="124" s="1"/>
  <c r="AX282" i="124"/>
  <c r="AY282" i="124" s="1"/>
  <c r="AZ282" i="124" s="1"/>
  <c r="AX46" i="124"/>
  <c r="AY46" i="124" s="1"/>
  <c r="AZ46" i="124" s="1"/>
  <c r="AX49" i="124"/>
  <c r="AY49" i="124" s="1"/>
  <c r="AZ49" i="124" s="1"/>
  <c r="AX159" i="124"/>
  <c r="AY159" i="124" s="1"/>
  <c r="AZ159" i="124" s="1"/>
  <c r="AX74" i="124"/>
  <c r="AY74" i="124" s="1"/>
  <c r="AZ74" i="124" s="1"/>
  <c r="AX88" i="124"/>
  <c r="AY88" i="124" s="1"/>
  <c r="AZ88" i="124" s="1"/>
  <c r="AX278" i="124"/>
  <c r="AY278" i="124" s="1"/>
  <c r="AZ278" i="124" s="1"/>
  <c r="AX127" i="124"/>
  <c r="AY127" i="124" s="1"/>
  <c r="AZ127" i="124" s="1"/>
  <c r="AX252" i="124"/>
  <c r="AY252" i="124" s="1"/>
  <c r="AZ252" i="124" s="1"/>
  <c r="AX106" i="124"/>
  <c r="AY106" i="124" s="1"/>
  <c r="AZ106" i="124" s="1"/>
  <c r="AX255" i="124"/>
  <c r="AY255" i="124" s="1"/>
  <c r="AZ255" i="124" s="1"/>
  <c r="AX170" i="124"/>
  <c r="AY170" i="124" s="1"/>
  <c r="AZ170" i="124" s="1"/>
  <c r="AX239" i="124"/>
  <c r="AY239" i="124" s="1"/>
  <c r="AZ239" i="124" s="1"/>
  <c r="AX276" i="124"/>
  <c r="AY276" i="124" s="1"/>
  <c r="AZ276" i="124" s="1"/>
  <c r="AX230" i="124"/>
  <c r="AY230" i="124" s="1"/>
  <c r="AZ230" i="124" s="1"/>
  <c r="AX41" i="124"/>
  <c r="AY41" i="124" s="1"/>
  <c r="AZ41" i="124" s="1"/>
  <c r="AX7" i="124"/>
  <c r="AY7" i="124" s="1"/>
  <c r="AZ7" i="124" s="1"/>
  <c r="AX211" i="124"/>
  <c r="AY211" i="124" s="1"/>
  <c r="AZ211" i="124" s="1"/>
  <c r="AX258" i="124"/>
  <c r="AY258" i="124" s="1"/>
  <c r="AZ258" i="124" s="1"/>
  <c r="AX43" i="124"/>
  <c r="AY43" i="124" s="1"/>
  <c r="AZ43" i="124" s="1"/>
  <c r="AX223" i="124"/>
  <c r="AY223" i="124" s="1"/>
  <c r="AZ223" i="124" s="1"/>
  <c r="AX237" i="124"/>
  <c r="AY237" i="124" s="1"/>
  <c r="AZ237" i="124" s="1"/>
  <c r="AX156" i="124"/>
  <c r="AY156" i="124" s="1"/>
  <c r="AZ156" i="124" s="1"/>
  <c r="AX179" i="124"/>
  <c r="AY179" i="124" s="1"/>
  <c r="AZ179" i="124" s="1"/>
  <c r="AX166" i="124"/>
  <c r="AY166" i="124" s="1"/>
  <c r="AZ166" i="124" s="1"/>
  <c r="AX161" i="124"/>
  <c r="AY161" i="124" s="1"/>
  <c r="AZ161" i="124" s="1"/>
  <c r="AX169" i="124"/>
  <c r="AY169" i="124" s="1"/>
  <c r="AZ169" i="124" s="1"/>
  <c r="AX275" i="124"/>
  <c r="AY275" i="124" s="1"/>
  <c r="AZ275" i="124" s="1"/>
  <c r="AX287" i="124"/>
  <c r="AY287" i="124" s="1"/>
  <c r="AZ287" i="124" s="1"/>
  <c r="AX200" i="124"/>
  <c r="AY200" i="124" s="1"/>
  <c r="AZ200" i="124" s="1"/>
  <c r="AX269" i="124"/>
  <c r="AY269" i="124" s="1"/>
  <c r="AZ269" i="124" s="1"/>
  <c r="AX73" i="124"/>
  <c r="AY73" i="124" s="1"/>
  <c r="AZ73" i="124" s="1"/>
  <c r="AX70" i="124"/>
  <c r="AY70" i="124" s="1"/>
  <c r="AZ70" i="124" s="1"/>
  <c r="AX75" i="124"/>
  <c r="AY75" i="124" s="1"/>
  <c r="AZ75" i="124" s="1"/>
  <c r="AX92" i="124"/>
  <c r="AY92" i="124" s="1"/>
  <c r="AZ92" i="124" s="1"/>
  <c r="AX141" i="124"/>
  <c r="AY141" i="124" s="1"/>
  <c r="AZ141" i="124" s="1"/>
  <c r="AX189" i="124"/>
  <c r="AY189" i="124" s="1"/>
  <c r="AZ189" i="124" s="1"/>
  <c r="AX256" i="124"/>
  <c r="AY256" i="124" s="1"/>
  <c r="AZ256" i="124" s="1"/>
  <c r="AX283" i="124"/>
  <c r="AY283" i="124" s="1"/>
  <c r="AZ283" i="124" s="1"/>
  <c r="AX207" i="124"/>
  <c r="AY207" i="124" s="1"/>
  <c r="AZ207" i="124" s="1"/>
  <c r="AX118" i="124"/>
  <c r="AY118" i="124" s="1"/>
  <c r="AZ118" i="124" s="1"/>
  <c r="AX40" i="124"/>
  <c r="AY40" i="124" s="1"/>
  <c r="AZ40" i="124" s="1"/>
  <c r="AX206" i="124"/>
  <c r="AY206" i="124" s="1"/>
  <c r="AZ206" i="124" s="1"/>
  <c r="AX259" i="124"/>
  <c r="AY259" i="124" s="1"/>
  <c r="AZ259" i="124" s="1"/>
  <c r="AX116" i="124"/>
  <c r="AY116" i="124" s="1"/>
  <c r="AZ116" i="124" s="1"/>
  <c r="AX35" i="124"/>
  <c r="AY35" i="124" s="1"/>
  <c r="AZ35" i="124" s="1"/>
  <c r="AX153" i="124"/>
  <c r="AY153" i="124" s="1"/>
  <c r="AZ153" i="124" s="1"/>
  <c r="AX95" i="124"/>
  <c r="AY95" i="124" s="1"/>
  <c r="AZ95" i="124" s="1"/>
  <c r="AX133" i="124"/>
  <c r="AY133" i="124" s="1"/>
  <c r="AZ133" i="124" s="1"/>
  <c r="AX248" i="124"/>
  <c r="AY248" i="124" s="1"/>
  <c r="AZ248" i="124" s="1"/>
  <c r="AX31" i="124"/>
  <c r="AY31" i="124" s="1"/>
  <c r="AZ31" i="124" s="1"/>
  <c r="AX266" i="124"/>
  <c r="AY266" i="124" s="1"/>
  <c r="AZ266" i="124" s="1"/>
  <c r="AX224" i="124"/>
  <c r="AY224" i="124" s="1"/>
  <c r="AZ224" i="124" s="1"/>
  <c r="AX196" i="124"/>
  <c r="AY196" i="124" s="1"/>
  <c r="AZ196" i="124" s="1"/>
  <c r="AX152" i="124"/>
  <c r="AY152" i="124" s="1"/>
  <c r="AZ152" i="124" s="1"/>
  <c r="AX94" i="124"/>
  <c r="AY94" i="124" s="1"/>
  <c r="AZ94" i="124" s="1"/>
  <c r="AX105" i="124"/>
  <c r="AY105" i="124" s="1"/>
  <c r="AZ105" i="124" s="1"/>
  <c r="AX53" i="124"/>
  <c r="AY53" i="124" s="1"/>
  <c r="AZ53" i="124" s="1"/>
  <c r="AX233" i="124"/>
  <c r="AY233" i="124" s="1"/>
  <c r="AZ233" i="124" s="1"/>
  <c r="AX160" i="124"/>
  <c r="AY160" i="124" s="1"/>
  <c r="AZ160" i="124" s="1"/>
  <c r="AX277" i="124"/>
  <c r="AY277" i="124" s="1"/>
  <c r="AZ277" i="124" s="1"/>
  <c r="AX208" i="124"/>
  <c r="AY208" i="124" s="1"/>
  <c r="AZ208" i="124" s="1"/>
  <c r="AX187" i="124"/>
  <c r="AY187" i="124" s="1"/>
  <c r="AZ187" i="124" s="1"/>
  <c r="AX115" i="124"/>
  <c r="AY115" i="124" s="1"/>
  <c r="AZ115" i="124" s="1"/>
  <c r="AX29" i="124"/>
  <c r="AY29" i="124" s="1"/>
  <c r="AZ29" i="124" s="1"/>
  <c r="AX99" i="124"/>
  <c r="AY99" i="124" s="1"/>
  <c r="AZ99" i="124" s="1"/>
  <c r="AX64" i="124"/>
  <c r="AY64" i="124" s="1"/>
  <c r="AZ64" i="124" s="1"/>
  <c r="AX279" i="124"/>
  <c r="AY279" i="124" s="1"/>
  <c r="AZ279" i="124" s="1"/>
  <c r="AX209" i="124"/>
  <c r="AY209" i="124" s="1"/>
  <c r="AZ209" i="124" s="1"/>
  <c r="AX21" i="124"/>
  <c r="AY21" i="124" s="1"/>
  <c r="AZ21" i="124" s="1"/>
  <c r="AX203" i="124"/>
  <c r="AY203" i="124" s="1"/>
  <c r="AZ203" i="124" s="1"/>
  <c r="AX155" i="124"/>
  <c r="AY155" i="124" s="1"/>
  <c r="AZ155" i="124" s="1"/>
  <c r="AX9" i="124"/>
  <c r="AY9" i="124" s="1"/>
  <c r="AZ9" i="124" s="1"/>
  <c r="AX193" i="124"/>
  <c r="AY193" i="124" s="1"/>
  <c r="AZ193" i="124" s="1"/>
  <c r="AX219" i="124"/>
  <c r="AY219" i="124" s="1"/>
  <c r="AZ219" i="124" s="1"/>
  <c r="AX6" i="124"/>
  <c r="AY6" i="124" s="1"/>
  <c r="AZ6" i="124" s="1"/>
  <c r="AX79" i="124"/>
  <c r="AY79" i="124" s="1"/>
  <c r="AZ79" i="124" s="1"/>
  <c r="AX274" i="124"/>
  <c r="AY274" i="124" s="1"/>
  <c r="AZ274" i="124" s="1"/>
  <c r="AX68" i="124"/>
  <c r="AY68" i="124" s="1"/>
  <c r="AZ68" i="124" s="1"/>
  <c r="AX102" i="124"/>
  <c r="AY102" i="124" s="1"/>
  <c r="AZ102" i="124" s="1"/>
  <c r="AX107" i="124"/>
  <c r="AY107" i="124" s="1"/>
  <c r="AZ107" i="124" s="1"/>
  <c r="AX202" i="124"/>
  <c r="AY202" i="124" s="1"/>
  <c r="AZ202" i="124" s="1"/>
  <c r="AX96" i="124"/>
  <c r="AY96" i="124" s="1"/>
  <c r="AZ96" i="124" s="1"/>
  <c r="AX253" i="124"/>
  <c r="AY253" i="124" s="1"/>
  <c r="AZ253" i="124" s="1"/>
  <c r="AX150" i="124"/>
  <c r="AY150" i="124" s="1"/>
  <c r="AZ150" i="124" s="1"/>
  <c r="AX128" i="124"/>
  <c r="AY128" i="124" s="1"/>
  <c r="AZ128" i="124" s="1"/>
  <c r="AX163" i="124"/>
  <c r="AY163" i="124" s="1"/>
  <c r="AZ163" i="124" s="1"/>
  <c r="AX48" i="124"/>
  <c r="AY48" i="124" s="1"/>
  <c r="AZ48" i="124" s="1"/>
  <c r="AX286" i="124"/>
  <c r="AY286" i="124" s="1"/>
  <c r="AZ286" i="124" s="1"/>
  <c r="AX101" i="124"/>
  <c r="AY101" i="124" s="1"/>
  <c r="AZ101" i="124" s="1"/>
  <c r="AX214" i="124"/>
  <c r="AY214" i="124" s="1"/>
  <c r="AZ214" i="124" s="1"/>
  <c r="AX76" i="124"/>
  <c r="AY76" i="124" s="1"/>
  <c r="AZ76" i="124" s="1"/>
  <c r="AX151" i="124"/>
  <c r="AY151" i="124" s="1"/>
  <c r="AZ151" i="124" s="1"/>
  <c r="AX173" i="124"/>
  <c r="AY173" i="124" s="1"/>
  <c r="AZ173" i="124" s="1"/>
  <c r="AX85" i="124"/>
  <c r="AY85" i="124" s="1"/>
  <c r="AZ85" i="124" s="1"/>
  <c r="AX186" i="124"/>
  <c r="AY186" i="124" s="1"/>
  <c r="AZ186" i="124" s="1"/>
  <c r="AX148" i="124"/>
  <c r="AY148" i="124" s="1"/>
  <c r="AZ148" i="124" s="1"/>
  <c r="AX135" i="124"/>
  <c r="AY135" i="124" s="1"/>
  <c r="AZ135" i="124" s="1"/>
  <c r="AX47" i="124"/>
  <c r="AY47" i="124" s="1"/>
  <c r="AZ47" i="124" s="1"/>
  <c r="AX149" i="124"/>
  <c r="AY149" i="124" s="1"/>
  <c r="AZ149" i="124" s="1"/>
  <c r="AX144" i="124"/>
  <c r="AY144" i="124" s="1"/>
  <c r="AZ144" i="124" s="1"/>
  <c r="AX222" i="124"/>
  <c r="AY222" i="124" s="1"/>
  <c r="AZ222" i="124" s="1"/>
  <c r="AX247" i="124"/>
  <c r="AY247" i="124" s="1"/>
  <c r="AZ247" i="124" s="1"/>
  <c r="AX240" i="124"/>
  <c r="AY240" i="124" s="1"/>
  <c r="AZ240" i="124" s="1"/>
  <c r="AX125" i="124"/>
  <c r="AY125" i="124" s="1"/>
  <c r="AZ125" i="124" s="1"/>
  <c r="AX137" i="124"/>
  <c r="AY137" i="124" s="1"/>
  <c r="AZ137" i="124" s="1"/>
  <c r="AX72" i="124"/>
  <c r="AY72" i="124" s="1"/>
  <c r="AZ72" i="124" s="1"/>
  <c r="AX199" i="124"/>
  <c r="AY199" i="124" s="1"/>
  <c r="AZ199" i="124" s="1"/>
  <c r="AX91" i="124"/>
  <c r="AY91" i="124" s="1"/>
  <c r="AZ91" i="124" s="1"/>
  <c r="AX61" i="124"/>
  <c r="AY61" i="124" s="1"/>
  <c r="AZ61" i="124" s="1"/>
  <c r="AX251" i="124"/>
  <c r="AY251" i="124" s="1"/>
  <c r="AZ251" i="124" s="1"/>
  <c r="AX241" i="124"/>
  <c r="AY241" i="124" s="1"/>
  <c r="AZ241" i="124" s="1"/>
  <c r="AX245" i="124"/>
  <c r="AY245" i="124" s="1"/>
  <c r="AZ245" i="124" s="1"/>
  <c r="AX77" i="124"/>
  <c r="AY77" i="124" s="1"/>
  <c r="AZ77" i="124" s="1"/>
  <c r="AX167" i="124"/>
  <c r="AY167" i="124" s="1"/>
  <c r="AZ167" i="124" s="1"/>
  <c r="AX12" i="124"/>
  <c r="AY12" i="124" s="1"/>
  <c r="AZ12" i="124" s="1"/>
  <c r="AX24" i="124"/>
  <c r="AY24" i="124" s="1"/>
  <c r="AZ24" i="124" s="1"/>
  <c r="AX69" i="124"/>
  <c r="AY69" i="124" s="1"/>
  <c r="AZ69" i="124" s="1"/>
  <c r="AX262" i="124"/>
  <c r="AY262" i="124" s="1"/>
  <c r="AZ262" i="124" s="1"/>
  <c r="AX8" i="124"/>
  <c r="AY8" i="124" s="1"/>
  <c r="AZ8" i="124" s="1"/>
  <c r="AX226" i="124"/>
  <c r="AY226" i="124" s="1"/>
  <c r="AZ226" i="124" s="1"/>
  <c r="AX93" i="124"/>
  <c r="AY93" i="124" s="1"/>
  <c r="AZ93" i="124" s="1"/>
  <c r="AX268" i="124"/>
  <c r="AY268" i="124" s="1"/>
  <c r="AZ268" i="124" s="1"/>
  <c r="AX130" i="124"/>
  <c r="AY130" i="124" s="1"/>
  <c r="AZ130" i="124" s="1"/>
  <c r="AX89" i="124"/>
  <c r="AY89" i="124" s="1"/>
  <c r="AZ89" i="124" s="1"/>
  <c r="AX164" i="124"/>
  <c r="AY164" i="124" s="1"/>
  <c r="AZ164" i="124" s="1"/>
  <c r="AX78" i="124"/>
  <c r="AY78" i="124" s="1"/>
  <c r="AZ78" i="124" s="1"/>
  <c r="AX220" i="124"/>
  <c r="AY220" i="124" s="1"/>
  <c r="AZ220" i="124" s="1"/>
  <c r="AX271" i="124"/>
  <c r="AY271" i="124" s="1"/>
  <c r="AZ271" i="124" s="1"/>
  <c r="AX234" i="124"/>
  <c r="AY234" i="124" s="1"/>
  <c r="AZ234" i="124" s="1"/>
  <c r="AX154" i="124"/>
  <c r="AY154" i="124" s="1"/>
  <c r="AZ154" i="124" s="1"/>
  <c r="AX264" i="124"/>
  <c r="AY264" i="124" s="1"/>
  <c r="AZ264" i="124" s="1"/>
  <c r="AX80" i="124"/>
  <c r="AY80" i="124" s="1"/>
  <c r="AZ80" i="124" s="1"/>
  <c r="AX44" i="124"/>
  <c r="AY44" i="124" s="1"/>
  <c r="AZ44" i="124" s="1"/>
  <c r="AX213" i="124"/>
  <c r="AY213" i="124" s="1"/>
  <c r="AZ213" i="124" s="1"/>
  <c r="AX263" i="124"/>
  <c r="AY263" i="124" s="1"/>
  <c r="AZ263" i="124" s="1"/>
  <c r="AX111" i="124"/>
  <c r="AY111" i="124" s="1"/>
  <c r="AZ111" i="124" s="1"/>
  <c r="AX4" i="124"/>
  <c r="AY4" i="124" s="1"/>
  <c r="AZ4" i="124" s="1"/>
  <c r="AX143" i="124"/>
  <c r="AY143" i="124" s="1"/>
  <c r="AZ143" i="124" s="1"/>
  <c r="AX228" i="124"/>
  <c r="AY228" i="124" s="1"/>
  <c r="AZ228" i="124" s="1"/>
  <c r="AX172" i="124"/>
  <c r="AY172" i="124" s="1"/>
  <c r="AZ172" i="124" s="1"/>
  <c r="AX198" i="124"/>
  <c r="AY198" i="124" s="1"/>
  <c r="AZ198" i="124" s="1"/>
  <c r="AX138" i="124"/>
  <c r="AY138" i="124" s="1"/>
  <c r="AZ138" i="124" s="1"/>
  <c r="AX157" i="124"/>
  <c r="AY157" i="124" s="1"/>
  <c r="AZ157" i="124" s="1"/>
  <c r="AX191" i="124"/>
  <c r="AY191" i="124" s="1"/>
  <c r="AZ191" i="124" s="1"/>
  <c r="AX168" i="124"/>
  <c r="AY168" i="124" s="1"/>
  <c r="AZ168" i="124" s="1"/>
  <c r="AX162" i="124"/>
  <c r="AY162" i="124" s="1"/>
  <c r="AZ162" i="124" s="1"/>
  <c r="AX120" i="124"/>
  <c r="AY120" i="124" s="1"/>
  <c r="AZ120" i="124" s="1"/>
  <c r="AX249" i="124"/>
  <c r="AY249" i="124" s="1"/>
  <c r="AZ249" i="124" s="1"/>
  <c r="AX218" i="124"/>
  <c r="AY218" i="124" s="1"/>
  <c r="AZ218" i="124" s="1"/>
  <c r="AX236" i="124"/>
  <c r="AY236" i="124" s="1"/>
  <c r="AZ236" i="124" s="1"/>
  <c r="AX171" i="124"/>
  <c r="AY171" i="124" s="1"/>
  <c r="AZ171" i="124" s="1"/>
  <c r="AX217" i="124"/>
  <c r="AY217" i="124" s="1"/>
  <c r="AZ217" i="124" s="1"/>
  <c r="AX238" i="124"/>
  <c r="AY238" i="124" s="1"/>
  <c r="AZ238" i="124" s="1"/>
  <c r="AX13" i="124"/>
  <c r="AY13" i="124" s="1"/>
  <c r="AZ13" i="124" s="1"/>
  <c r="AX147" i="124"/>
  <c r="AY147" i="124" s="1"/>
  <c r="AZ147" i="124" s="1"/>
  <c r="AX205" i="124"/>
  <c r="AY205" i="124" s="1"/>
  <c r="AZ205" i="124" s="1"/>
  <c r="AX51" i="124"/>
  <c r="AY51" i="124" s="1"/>
  <c r="AZ51" i="124" s="1"/>
  <c r="AX37" i="124"/>
  <c r="AY37" i="124" s="1"/>
  <c r="AZ37" i="124" s="1"/>
  <c r="AX285" i="124"/>
  <c r="AY285" i="124" s="1"/>
  <c r="AZ285" i="124" s="1"/>
  <c r="AX129" i="124"/>
  <c r="AY129" i="124" s="1"/>
  <c r="AZ129" i="124" s="1"/>
  <c r="AX178" i="124"/>
  <c r="AY178" i="124" s="1"/>
  <c r="AZ178" i="124" s="1"/>
  <c r="AX59" i="124"/>
  <c r="AY59" i="124" s="1"/>
  <c r="AZ59" i="124" s="1"/>
  <c r="AX273" i="124"/>
  <c r="AY273" i="124" s="1"/>
  <c r="AZ273" i="124" s="1"/>
  <c r="AX33" i="124"/>
  <c r="AY33" i="124" s="1"/>
  <c r="AZ33" i="124" s="1"/>
  <c r="AX227" i="124"/>
  <c r="AY227" i="124" s="1"/>
  <c r="AZ227" i="124" s="1"/>
  <c r="AX201" i="124"/>
  <c r="AY201" i="124" s="1"/>
  <c r="AZ201" i="124" s="1"/>
  <c r="AX181" i="124"/>
  <c r="AY181" i="124" s="1"/>
  <c r="AZ181" i="124" s="1"/>
  <c r="AX284" i="124"/>
  <c r="AY284" i="124" s="1"/>
  <c r="AZ284" i="124" s="1"/>
  <c r="AX104" i="124"/>
  <c r="AY104" i="124" s="1"/>
  <c r="AZ104" i="124" s="1"/>
  <c r="AX121" i="124"/>
  <c r="AY121" i="124" s="1"/>
  <c r="AZ121" i="124" s="1"/>
  <c r="AX20" i="124"/>
  <c r="AY20" i="124" s="1"/>
  <c r="AZ20" i="124" s="1"/>
  <c r="AX140" i="124"/>
  <c r="AY140" i="124" s="1"/>
  <c r="AZ140" i="124" s="1"/>
  <c r="AX131" i="124"/>
  <c r="AY131" i="124" s="1"/>
  <c r="AZ131" i="124" s="1"/>
  <c r="AX134" i="124"/>
  <c r="AY134" i="124" s="1"/>
  <c r="AZ134" i="124" s="1"/>
  <c r="AX81" i="124"/>
  <c r="AY81" i="124" s="1"/>
  <c r="AZ81" i="124" s="1"/>
  <c r="AX124" i="124"/>
  <c r="AY124" i="124" s="1"/>
  <c r="AZ124" i="124" s="1"/>
  <c r="AX136" i="124"/>
  <c r="AY136" i="124" s="1"/>
  <c r="AZ136" i="124" s="1"/>
  <c r="AX254" i="124"/>
  <c r="AY254" i="124" s="1"/>
  <c r="AZ254" i="124" s="1"/>
  <c r="AX63" i="124"/>
  <c r="AY63" i="124" s="1"/>
  <c r="AZ63" i="124" s="1"/>
  <c r="AX267" i="124"/>
  <c r="AY267" i="124" s="1"/>
  <c r="AZ267" i="124" s="1"/>
  <c r="AX123" i="124"/>
  <c r="AY123" i="124" s="1"/>
  <c r="AZ123" i="124" s="1"/>
  <c r="AX22" i="124"/>
  <c r="AY22" i="124" s="1"/>
  <c r="AZ22" i="124" s="1"/>
  <c r="AX87" i="124"/>
  <c r="AY87" i="124" s="1"/>
  <c r="AZ87" i="124" s="1"/>
  <c r="AX109" i="124"/>
  <c r="AY109" i="124" s="1"/>
  <c r="AZ109" i="124" s="1"/>
  <c r="AX119" i="124"/>
  <c r="AY119" i="124" s="1"/>
  <c r="AZ119" i="124" s="1"/>
  <c r="AX45" i="124"/>
  <c r="AY45" i="124" s="1"/>
  <c r="AZ45" i="124" s="1"/>
  <c r="AX146" i="124"/>
  <c r="AY146" i="124" s="1"/>
  <c r="AZ146" i="124" s="1"/>
  <c r="AX23" i="124"/>
  <c r="AY23" i="124" s="1"/>
  <c r="AZ23" i="124" s="1"/>
  <c r="AX260" i="124"/>
  <c r="AY260" i="124" s="1"/>
  <c r="AZ260" i="124" s="1"/>
  <c r="AX270" i="124"/>
  <c r="AY270" i="124" s="1"/>
  <c r="AZ270" i="124" s="1"/>
  <c r="AX56" i="124"/>
  <c r="AY56" i="124" s="1"/>
  <c r="AZ56" i="124" s="1"/>
  <c r="AX194" i="124"/>
  <c r="AY194" i="124" s="1"/>
  <c r="AZ194" i="124" s="1"/>
  <c r="AX190" i="124"/>
  <c r="AY190" i="124" s="1"/>
  <c r="AZ190" i="124" s="1"/>
  <c r="AX225" i="124"/>
  <c r="AY225" i="124" s="1"/>
  <c r="AZ225" i="124" s="1"/>
  <c r="AX62" i="124"/>
  <c r="AY62" i="124" s="1"/>
  <c r="AZ62" i="124" s="1"/>
  <c r="AX281" i="124"/>
  <c r="AY281" i="124" s="1"/>
  <c r="AZ281" i="124" s="1"/>
  <c r="AX50" i="124"/>
  <c r="AY50" i="124" s="1"/>
  <c r="AZ50" i="124" s="1"/>
  <c r="AX250" i="124"/>
  <c r="AY250" i="124" s="1"/>
  <c r="AZ250" i="124" s="1"/>
  <c r="AX261" i="124"/>
  <c r="AY261" i="124" s="1"/>
  <c r="AZ261" i="124" s="1"/>
  <c r="AX257" i="124"/>
  <c r="AY257" i="124" s="1"/>
  <c r="AZ257" i="124" s="1"/>
  <c r="AX132" i="124"/>
  <c r="AY132" i="124" s="1"/>
  <c r="AZ132" i="124" s="1"/>
  <c r="AX98" i="124"/>
  <c r="AY98" i="124" s="1"/>
  <c r="AZ98" i="124" s="1"/>
  <c r="AX97" i="124"/>
  <c r="AY97" i="124" s="1"/>
  <c r="AZ97" i="124" s="1"/>
  <c r="AX244" i="124"/>
  <c r="AY244" i="124" s="1"/>
  <c r="AZ244" i="124" s="1"/>
  <c r="AX210" i="124"/>
  <c r="AY210" i="124" s="1"/>
  <c r="AZ210" i="124" s="1"/>
  <c r="AX126" i="124"/>
  <c r="AY126" i="124" s="1"/>
  <c r="AZ126" i="124" s="1"/>
  <c r="AX204" i="124"/>
  <c r="AY204" i="124" s="1"/>
  <c r="AZ204" i="124" s="1"/>
  <c r="AX39" i="124"/>
  <c r="AY39" i="124" s="1"/>
  <c r="AZ39" i="124" s="1"/>
  <c r="AX232" i="124"/>
  <c r="AY232" i="124" s="1"/>
  <c r="AZ232" i="124" s="1"/>
  <c r="AX86" i="124"/>
  <c r="AY86" i="124" s="1"/>
  <c r="AZ86" i="124" s="1"/>
  <c r="AX165" i="124"/>
  <c r="AY165" i="124" s="1"/>
  <c r="AZ165" i="124" s="1"/>
  <c r="AX112" i="124"/>
  <c r="AY112" i="124" s="1"/>
  <c r="AZ112" i="124" s="1"/>
  <c r="AX65" i="124"/>
  <c r="AY65" i="124" s="1"/>
  <c r="AZ65" i="124" s="1"/>
  <c r="AX280" i="124"/>
  <c r="AY280" i="124" s="1"/>
  <c r="AZ280" i="124" s="1"/>
  <c r="AX122" i="124"/>
  <c r="AY122" i="124" s="1"/>
  <c r="AZ122" i="124" s="1"/>
  <c r="AX229" i="124"/>
  <c r="AY229" i="124" s="1"/>
  <c r="AZ229" i="124" s="1"/>
  <c r="AX67" i="124"/>
  <c r="AY67" i="124" s="1"/>
  <c r="AZ67" i="124" s="1"/>
  <c r="AX114" i="124"/>
  <c r="AY114" i="124" s="1"/>
  <c r="AZ114" i="124" s="1"/>
  <c r="AX215" i="124"/>
  <c r="AY215" i="124" s="1"/>
  <c r="AZ215" i="124" s="1"/>
  <c r="AX32" i="124"/>
  <c r="AY32" i="124" s="1"/>
  <c r="AZ32" i="124" s="1"/>
  <c r="AX180" i="124"/>
  <c r="AY180" i="124" s="1"/>
  <c r="AZ180" i="124" s="1"/>
  <c r="AX60" i="124"/>
  <c r="AY60" i="124" s="1"/>
  <c r="AZ60" i="124" s="1"/>
  <c r="AX108" i="124"/>
  <c r="AY108" i="124" s="1"/>
  <c r="AZ108" i="124" s="1"/>
  <c r="S8" i="108"/>
  <c r="P144" i="120" s="1"/>
  <c r="Q16" i="121"/>
  <c r="L11" i="114"/>
  <c r="CI10" i="108"/>
  <c r="M16" i="121" s="1"/>
  <c r="P10" i="108"/>
  <c r="AM8" i="128"/>
  <c r="F15" i="109"/>
  <c r="K9" i="114"/>
  <c r="AD8" i="108"/>
  <c r="AO26" i="121" l="1"/>
  <c r="Y84" i="115"/>
  <c r="AW26" i="121"/>
  <c r="AT26" i="121"/>
  <c r="AV26" i="121"/>
  <c r="AA84" i="115"/>
  <c r="AR26" i="121"/>
  <c r="AI26" i="121"/>
  <c r="AJ26" i="121"/>
  <c r="AI30" i="121"/>
  <c r="P102" i="115"/>
  <c r="AR45" i="121"/>
  <c r="AA103" i="115"/>
  <c r="W103" i="115"/>
  <c r="BC128" i="124"/>
  <c r="BD128" i="124" s="1"/>
  <c r="BE128" i="124" s="1"/>
  <c r="BC289" i="124"/>
  <c r="BD289" i="124" s="1"/>
  <c r="BE289" i="124" s="1"/>
  <c r="BC288" i="124"/>
  <c r="BD288" i="124" s="1"/>
  <c r="BE288" i="124" s="1"/>
  <c r="BR289" i="124"/>
  <c r="BS289" i="124" s="1"/>
  <c r="BT289" i="124" s="1"/>
  <c r="BR288" i="124"/>
  <c r="BS288" i="124" s="1"/>
  <c r="BT288" i="124" s="1"/>
  <c r="AO40" i="121"/>
  <c r="AR30" i="121"/>
  <c r="AO30" i="121"/>
  <c r="Y88" i="115"/>
  <c r="AV30" i="121"/>
  <c r="AT30" i="121"/>
  <c r="AU30" i="121" s="1"/>
  <c r="AU42" i="121"/>
  <c r="BA42" i="121" s="1"/>
  <c r="AB100" i="115"/>
  <c r="AK42" i="121"/>
  <c r="W98" i="115"/>
  <c r="X98" i="115" s="1"/>
  <c r="AI40" i="121"/>
  <c r="AJ40" i="121"/>
  <c r="AW40" i="121"/>
  <c r="Y98" i="115"/>
  <c r="AT40" i="121"/>
  <c r="AV40" i="121"/>
  <c r="AA98" i="115"/>
  <c r="AR40" i="121"/>
  <c r="AP17" i="121"/>
  <c r="T17" i="121"/>
  <c r="U17" i="121"/>
  <c r="AG17" i="121"/>
  <c r="AH17" i="121" s="1"/>
  <c r="AI17" i="121" s="1"/>
  <c r="Q75" i="115"/>
  <c r="P75" i="115" s="1"/>
  <c r="W17" i="121"/>
  <c r="S75" i="115" s="1"/>
  <c r="AQ17" i="121"/>
  <c r="Y17" i="121"/>
  <c r="AW17" i="121" s="1"/>
  <c r="AN17" i="121"/>
  <c r="AO17" i="121" s="1"/>
  <c r="AB17" i="121"/>
  <c r="Z17" i="121"/>
  <c r="U75" i="115" s="1"/>
  <c r="V75" i="115" s="1"/>
  <c r="X17" i="121"/>
  <c r="AA75" i="115" s="1"/>
  <c r="AE17" i="121"/>
  <c r="V17" i="121"/>
  <c r="AF17" i="121"/>
  <c r="BC167" i="124"/>
  <c r="BD167" i="124" s="1"/>
  <c r="BE167" i="124" s="1"/>
  <c r="BC62" i="124"/>
  <c r="BD62" i="124" s="1"/>
  <c r="BE62" i="124" s="1"/>
  <c r="BC193" i="124"/>
  <c r="BD193" i="124" s="1"/>
  <c r="BE193" i="124" s="1"/>
  <c r="BC122" i="124"/>
  <c r="BD122" i="124" s="1"/>
  <c r="BE122" i="124" s="1"/>
  <c r="BC63" i="124"/>
  <c r="BD63" i="124" s="1"/>
  <c r="BE63" i="124" s="1"/>
  <c r="BC230" i="124"/>
  <c r="BD230" i="124" s="1"/>
  <c r="BE230" i="124" s="1"/>
  <c r="BC47" i="124"/>
  <c r="BD47" i="124" s="1"/>
  <c r="BE47" i="124" s="1"/>
  <c r="BC109" i="124"/>
  <c r="BD109" i="124" s="1"/>
  <c r="BE109" i="124" s="1"/>
  <c r="BC13" i="124"/>
  <c r="BD13" i="124" s="1"/>
  <c r="BE13" i="124" s="1"/>
  <c r="BC224" i="124"/>
  <c r="BD224" i="124" s="1"/>
  <c r="BE224" i="124" s="1"/>
  <c r="BC257" i="124"/>
  <c r="BD257" i="124" s="1"/>
  <c r="BE257" i="124" s="1"/>
  <c r="BC284" i="124"/>
  <c r="BD284" i="124" s="1"/>
  <c r="BE284" i="124" s="1"/>
  <c r="BC104" i="124"/>
  <c r="BD104" i="124" s="1"/>
  <c r="BE104" i="124" s="1"/>
  <c r="BC201" i="124"/>
  <c r="BD201" i="124" s="1"/>
  <c r="BE201" i="124" s="1"/>
  <c r="BC108" i="124"/>
  <c r="BD108" i="124" s="1"/>
  <c r="BE108" i="124" s="1"/>
  <c r="BC172" i="124"/>
  <c r="BD172" i="124" s="1"/>
  <c r="BE172" i="124" s="1"/>
  <c r="BC252" i="124"/>
  <c r="BD252" i="124" s="1"/>
  <c r="BE252" i="124" s="1"/>
  <c r="BC31" i="124"/>
  <c r="BD31" i="124" s="1"/>
  <c r="BE31" i="124" s="1"/>
  <c r="BC74" i="124"/>
  <c r="BD74" i="124" s="1"/>
  <c r="BE74" i="124" s="1"/>
  <c r="BC241" i="124"/>
  <c r="BD241" i="124" s="1"/>
  <c r="BE241" i="124" s="1"/>
  <c r="BC120" i="124"/>
  <c r="BD120" i="124" s="1"/>
  <c r="BE120" i="124" s="1"/>
  <c r="BC147" i="124"/>
  <c r="BD147" i="124" s="1"/>
  <c r="BE147" i="124" s="1"/>
  <c r="BC181" i="124"/>
  <c r="BD181" i="124" s="1"/>
  <c r="BE181" i="124" s="1"/>
  <c r="BC263" i="124"/>
  <c r="BD263" i="124" s="1"/>
  <c r="BE263" i="124" s="1"/>
  <c r="BC45" i="124"/>
  <c r="BD45" i="124" s="1"/>
  <c r="BE45" i="124" s="1"/>
  <c r="BC269" i="124"/>
  <c r="BD269" i="124" s="1"/>
  <c r="BE269" i="124" s="1"/>
  <c r="BC137" i="124"/>
  <c r="BD137" i="124" s="1"/>
  <c r="BE137" i="124" s="1"/>
  <c r="BC227" i="124"/>
  <c r="BD227" i="124" s="1"/>
  <c r="BE227" i="124" s="1"/>
  <c r="BC88" i="124"/>
  <c r="BD88" i="124" s="1"/>
  <c r="BE88" i="124" s="1"/>
  <c r="BC23" i="124"/>
  <c r="BD23" i="124" s="1"/>
  <c r="BE23" i="124" s="1"/>
  <c r="BC60" i="124"/>
  <c r="BD60" i="124" s="1"/>
  <c r="BE60" i="124" s="1"/>
  <c r="BC151" i="124"/>
  <c r="BD151" i="124" s="1"/>
  <c r="BE151" i="124" s="1"/>
  <c r="BC278" i="124"/>
  <c r="BD278" i="124" s="1"/>
  <c r="BE278" i="124" s="1"/>
  <c r="BC96" i="124"/>
  <c r="BD96" i="124" s="1"/>
  <c r="BE96" i="124" s="1"/>
  <c r="BC233" i="124"/>
  <c r="BD233" i="124" s="1"/>
  <c r="BE233" i="124" s="1"/>
  <c r="BC134" i="124"/>
  <c r="BD134" i="124" s="1"/>
  <c r="BE134" i="124" s="1"/>
  <c r="BC238" i="124"/>
  <c r="BD238" i="124" s="1"/>
  <c r="BE238" i="124" s="1"/>
  <c r="BC208" i="124"/>
  <c r="BD208" i="124" s="1"/>
  <c r="BE208" i="124" s="1"/>
  <c r="BC282" i="124"/>
  <c r="BD282" i="124" s="1"/>
  <c r="BE282" i="124" s="1"/>
  <c r="BC244" i="124"/>
  <c r="BD244" i="124" s="1"/>
  <c r="BE244" i="124" s="1"/>
  <c r="BC259" i="124"/>
  <c r="BD259" i="124" s="1"/>
  <c r="BE259" i="124" s="1"/>
  <c r="BC49" i="124"/>
  <c r="BD49" i="124" s="1"/>
  <c r="BE49" i="124" s="1"/>
  <c r="BC7" i="124"/>
  <c r="BD7" i="124" s="1"/>
  <c r="BE7" i="124" s="1"/>
  <c r="BC161" i="124"/>
  <c r="BD161" i="124" s="1"/>
  <c r="BE161" i="124" s="1"/>
  <c r="BC156" i="124"/>
  <c r="BD156" i="124" s="1"/>
  <c r="BE156" i="124" s="1"/>
  <c r="BC265" i="124"/>
  <c r="BD265" i="124" s="1"/>
  <c r="BE265" i="124" s="1"/>
  <c r="BC198" i="124"/>
  <c r="BD198" i="124" s="1"/>
  <c r="BE198" i="124" s="1"/>
  <c r="BC217" i="124"/>
  <c r="BD217" i="124" s="1"/>
  <c r="BE217" i="124" s="1"/>
  <c r="BC106" i="124"/>
  <c r="BD106" i="124" s="1"/>
  <c r="BE106" i="124" s="1"/>
  <c r="BC79" i="124"/>
  <c r="BD79" i="124" s="1"/>
  <c r="BE79" i="124" s="1"/>
  <c r="BC77" i="124"/>
  <c r="BD77" i="124" s="1"/>
  <c r="BE77" i="124" s="1"/>
  <c r="BC191" i="124"/>
  <c r="BD191" i="124" s="1"/>
  <c r="BE191" i="124" s="1"/>
  <c r="BC101" i="124"/>
  <c r="BD101" i="124" s="1"/>
  <c r="BE101" i="124" s="1"/>
  <c r="BC222" i="124"/>
  <c r="BD222" i="124" s="1"/>
  <c r="BE222" i="124" s="1"/>
  <c r="BC114" i="124"/>
  <c r="BD114" i="124" s="1"/>
  <c r="BE114" i="124" s="1"/>
  <c r="BC145" i="124"/>
  <c r="BD145" i="124" s="1"/>
  <c r="BE145" i="124" s="1"/>
  <c r="BC212" i="124"/>
  <c r="BD212" i="124" s="1"/>
  <c r="BE212" i="124" s="1"/>
  <c r="BC180" i="124"/>
  <c r="BD180" i="124" s="1"/>
  <c r="BE180" i="124" s="1"/>
  <c r="BC61" i="124"/>
  <c r="BD61" i="124" s="1"/>
  <c r="BE61" i="124" s="1"/>
  <c r="BC43" i="124"/>
  <c r="BD43" i="124" s="1"/>
  <c r="BE43" i="124" s="1"/>
  <c r="BC166" i="124"/>
  <c r="BD166" i="124" s="1"/>
  <c r="BE166" i="124" s="1"/>
  <c r="BC274" i="124"/>
  <c r="BD274" i="124" s="1"/>
  <c r="BE274" i="124" s="1"/>
  <c r="BC6" i="124"/>
  <c r="BD6" i="124" s="1"/>
  <c r="BE6" i="124" s="1"/>
  <c r="BC121" i="124"/>
  <c r="BD121" i="124" s="1"/>
  <c r="BE121" i="124" s="1"/>
  <c r="BC273" i="124"/>
  <c r="BD273" i="124" s="1"/>
  <c r="BE273" i="124" s="1"/>
  <c r="BC221" i="124"/>
  <c r="BD221" i="124" s="1"/>
  <c r="BE221" i="124" s="1"/>
  <c r="BC73" i="124"/>
  <c r="BD73" i="124" s="1"/>
  <c r="BE73" i="124" s="1"/>
  <c r="BC116" i="124"/>
  <c r="BD116" i="124" s="1"/>
  <c r="BE116" i="124" s="1"/>
  <c r="BC234" i="124"/>
  <c r="BD234" i="124" s="1"/>
  <c r="BE234" i="124" s="1"/>
  <c r="BC211" i="124"/>
  <c r="BD211" i="124" s="1"/>
  <c r="BE211" i="124" s="1"/>
  <c r="BC67" i="124"/>
  <c r="BD67" i="124" s="1"/>
  <c r="BE67" i="124" s="1"/>
  <c r="BC170" i="124"/>
  <c r="BD170" i="124" s="1"/>
  <c r="BE170" i="124" s="1"/>
  <c r="BC173" i="124"/>
  <c r="BD173" i="124" s="1"/>
  <c r="BE173" i="124" s="1"/>
  <c r="BC214" i="124"/>
  <c r="BD214" i="124" s="1"/>
  <c r="BE214" i="124" s="1"/>
  <c r="BC39" i="124"/>
  <c r="BD39" i="124" s="1"/>
  <c r="BE39" i="124" s="1"/>
  <c r="BC280" i="124"/>
  <c r="BD280" i="124" s="1"/>
  <c r="BE280" i="124" s="1"/>
  <c r="BC235" i="124"/>
  <c r="BD235" i="124" s="1"/>
  <c r="BE235" i="124" s="1"/>
  <c r="BC22" i="124"/>
  <c r="BD22" i="124" s="1"/>
  <c r="BE22" i="124" s="1"/>
  <c r="BC249" i="124"/>
  <c r="BD249" i="124" s="1"/>
  <c r="BE249" i="124" s="1"/>
  <c r="BC169" i="124"/>
  <c r="BD169" i="124" s="1"/>
  <c r="BE169" i="124" s="1"/>
  <c r="BC24" i="124"/>
  <c r="BD24" i="124" s="1"/>
  <c r="BE24" i="124" s="1"/>
  <c r="BC281" i="124"/>
  <c r="BD281" i="124" s="1"/>
  <c r="BE281" i="124" s="1"/>
  <c r="BC190" i="124"/>
  <c r="BD190" i="124" s="1"/>
  <c r="BE190" i="124" s="1"/>
  <c r="BC89" i="124"/>
  <c r="BD89" i="124" s="1"/>
  <c r="BE89" i="124" s="1"/>
  <c r="BC218" i="124"/>
  <c r="BD218" i="124" s="1"/>
  <c r="BE218" i="124" s="1"/>
  <c r="BC226" i="124"/>
  <c r="BD226" i="124" s="1"/>
  <c r="BE226" i="124" s="1"/>
  <c r="BC164" i="124"/>
  <c r="BD164" i="124" s="1"/>
  <c r="BE164" i="124" s="1"/>
  <c r="BC187" i="124"/>
  <c r="BD187" i="124" s="1"/>
  <c r="BE187" i="124" s="1"/>
  <c r="BC141" i="124"/>
  <c r="BD141" i="124" s="1"/>
  <c r="BE141" i="124" s="1"/>
  <c r="BC237" i="124"/>
  <c r="BD237" i="124" s="1"/>
  <c r="BE237" i="124" s="1"/>
  <c r="BC195" i="124"/>
  <c r="BD195" i="124" s="1"/>
  <c r="BE195" i="124" s="1"/>
  <c r="BC160" i="124"/>
  <c r="BD160" i="124" s="1"/>
  <c r="BE160" i="124" s="1"/>
  <c r="BC9" i="124"/>
  <c r="BD9" i="124" s="1"/>
  <c r="BE9" i="124" s="1"/>
  <c r="BC85" i="124"/>
  <c r="BD85" i="124" s="1"/>
  <c r="BE85" i="124" s="1"/>
  <c r="BC64" i="124"/>
  <c r="BD64" i="124" s="1"/>
  <c r="BE64" i="124" s="1"/>
  <c r="BC163" i="124"/>
  <c r="BD163" i="124" s="1"/>
  <c r="BE163" i="124" s="1"/>
  <c r="BC129" i="124"/>
  <c r="BD129" i="124" s="1"/>
  <c r="BE129" i="124" s="1"/>
  <c r="BC206" i="124"/>
  <c r="BD206" i="124" s="1"/>
  <c r="BE206" i="124" s="1"/>
  <c r="BC246" i="124"/>
  <c r="BD246" i="124" s="1"/>
  <c r="BE246" i="124" s="1"/>
  <c r="BC111" i="124"/>
  <c r="BD111" i="124" s="1"/>
  <c r="BE111" i="124" s="1"/>
  <c r="BC286" i="124"/>
  <c r="BD286" i="124" s="1"/>
  <c r="BE286" i="124" s="1"/>
  <c r="BC245" i="124"/>
  <c r="BD245" i="124" s="1"/>
  <c r="BE245" i="124" s="1"/>
  <c r="BC287" i="124"/>
  <c r="BD287" i="124" s="1"/>
  <c r="BE287" i="124" s="1"/>
  <c r="BC210" i="124"/>
  <c r="BD210" i="124" s="1"/>
  <c r="BE210" i="124" s="1"/>
  <c r="BC42" i="124"/>
  <c r="BD42" i="124" s="1"/>
  <c r="BE42" i="124" s="1"/>
  <c r="BC158" i="124"/>
  <c r="BD158" i="124" s="1"/>
  <c r="BE158" i="124" s="1"/>
  <c r="BC143" i="124"/>
  <c r="BD143" i="124" s="1"/>
  <c r="BE143" i="124" s="1"/>
  <c r="BC272" i="124"/>
  <c r="BD272" i="124" s="1"/>
  <c r="BE272" i="124" s="1"/>
  <c r="BC118" i="124"/>
  <c r="BD118" i="124" s="1"/>
  <c r="BE118" i="124" s="1"/>
  <c r="BC148" i="124"/>
  <c r="BD148" i="124" s="1"/>
  <c r="BE148" i="124" s="1"/>
  <c r="BC97" i="124"/>
  <c r="BD97" i="124" s="1"/>
  <c r="BE97" i="124" s="1"/>
  <c r="BC76" i="124"/>
  <c r="BD76" i="124" s="1"/>
  <c r="BE76" i="124" s="1"/>
  <c r="BC155" i="124"/>
  <c r="BD155" i="124" s="1"/>
  <c r="BE155" i="124" s="1"/>
  <c r="BC107" i="124"/>
  <c r="BD107" i="124" s="1"/>
  <c r="BE107" i="124" s="1"/>
  <c r="BC86" i="124"/>
  <c r="BD86" i="124" s="1"/>
  <c r="BE86" i="124" s="1"/>
  <c r="BC228" i="124"/>
  <c r="BD228" i="124" s="1"/>
  <c r="BE228" i="124" s="1"/>
  <c r="BC138" i="124"/>
  <c r="BD138" i="124" s="1"/>
  <c r="BE138" i="124" s="1"/>
  <c r="BC131" i="124"/>
  <c r="BD131" i="124" s="1"/>
  <c r="BE131" i="124" s="1"/>
  <c r="BC40" i="124"/>
  <c r="BD40" i="124" s="1"/>
  <c r="BE40" i="124" s="1"/>
  <c r="BC267" i="124"/>
  <c r="BD267" i="124" s="1"/>
  <c r="BE267" i="124" s="1"/>
  <c r="BC95" i="124"/>
  <c r="BD95" i="124" s="1"/>
  <c r="BE95" i="124" s="1"/>
  <c r="BC41" i="124"/>
  <c r="BD41" i="124" s="1"/>
  <c r="BE41" i="124" s="1"/>
  <c r="BC178" i="124"/>
  <c r="BD178" i="124" s="1"/>
  <c r="BE178" i="124" s="1"/>
  <c r="BC154" i="124"/>
  <c r="BD154" i="124" s="1"/>
  <c r="BE154" i="124" s="1"/>
  <c r="BC256" i="124"/>
  <c r="BD256" i="124" s="1"/>
  <c r="BE256" i="124" s="1"/>
  <c r="BC12" i="124"/>
  <c r="BD12" i="124" s="1"/>
  <c r="BE12" i="124" s="1"/>
  <c r="BC19" i="124"/>
  <c r="BD19" i="124" s="1"/>
  <c r="BE19" i="124" s="1"/>
  <c r="BC213" i="124"/>
  <c r="BD213" i="124" s="1"/>
  <c r="BE213" i="124" s="1"/>
  <c r="BC78" i="124"/>
  <c r="BD78" i="124" s="1"/>
  <c r="BE78" i="124" s="1"/>
  <c r="BC53" i="124"/>
  <c r="BD53" i="124" s="1"/>
  <c r="BE53" i="124" s="1"/>
  <c r="BC152" i="124"/>
  <c r="BD152" i="124" s="1"/>
  <c r="BE152" i="124" s="1"/>
  <c r="BC220" i="124"/>
  <c r="BD220" i="124" s="1"/>
  <c r="BE220" i="124" s="1"/>
  <c r="BC4" i="124"/>
  <c r="BD4" i="124" s="1"/>
  <c r="BE4" i="124" s="1"/>
  <c r="BC21" i="124"/>
  <c r="BD21" i="124" s="1"/>
  <c r="BE21" i="124" s="1"/>
  <c r="BC264" i="124"/>
  <c r="BD264" i="124" s="1"/>
  <c r="BE264" i="124" s="1"/>
  <c r="BC72" i="124"/>
  <c r="BD72" i="124" s="1"/>
  <c r="BE72" i="124" s="1"/>
  <c r="BC124" i="124"/>
  <c r="BD124" i="124" s="1"/>
  <c r="BE124" i="124" s="1"/>
  <c r="BC232" i="124"/>
  <c r="BD232" i="124" s="1"/>
  <c r="BE232" i="124" s="1"/>
  <c r="BC270" i="124"/>
  <c r="BD270" i="124" s="1"/>
  <c r="BE270" i="124" s="1"/>
  <c r="BC127" i="124"/>
  <c r="BD127" i="124" s="1"/>
  <c r="BE127" i="124" s="1"/>
  <c r="BC56" i="124"/>
  <c r="BD56" i="124" s="1"/>
  <c r="BE56" i="124" s="1"/>
  <c r="BC236" i="124"/>
  <c r="BD236" i="124" s="1"/>
  <c r="BE236" i="124" s="1"/>
  <c r="BC248" i="124"/>
  <c r="BD248" i="124" s="1"/>
  <c r="BE248" i="124" s="1"/>
  <c r="BC162" i="124"/>
  <c r="BD162" i="124" s="1"/>
  <c r="BE162" i="124" s="1"/>
  <c r="BC135" i="124"/>
  <c r="BD135" i="124" s="1"/>
  <c r="BE135" i="124" s="1"/>
  <c r="BC8" i="124"/>
  <c r="BD8" i="124" s="1"/>
  <c r="BE8" i="124" s="1"/>
  <c r="BC229" i="124"/>
  <c r="BD229" i="124" s="1"/>
  <c r="BE229" i="124" s="1"/>
  <c r="BC186" i="124"/>
  <c r="BD186" i="124" s="1"/>
  <c r="BE186" i="124" s="1"/>
  <c r="BC223" i="124"/>
  <c r="BD223" i="124" s="1"/>
  <c r="BE223" i="124" s="1"/>
  <c r="BC247" i="124"/>
  <c r="BD247" i="124" s="1"/>
  <c r="BE247" i="124" s="1"/>
  <c r="BC75" i="124"/>
  <c r="BD75" i="124" s="1"/>
  <c r="BE75" i="124" s="1"/>
  <c r="BC80" i="124"/>
  <c r="BD80" i="124" s="1"/>
  <c r="BE80" i="124" s="1"/>
  <c r="BC277" i="124"/>
  <c r="BD277" i="124" s="1"/>
  <c r="BE277" i="124" s="1"/>
  <c r="BC102" i="124"/>
  <c r="BD102" i="124" s="1"/>
  <c r="BE102" i="124" s="1"/>
  <c r="BC165" i="124"/>
  <c r="BD165" i="124" s="1"/>
  <c r="BE165" i="124" s="1"/>
  <c r="BC48" i="124"/>
  <c r="BD48" i="124" s="1"/>
  <c r="BE48" i="124" s="1"/>
  <c r="BC115" i="124"/>
  <c r="BD115" i="124" s="1"/>
  <c r="BE115" i="124" s="1"/>
  <c r="BC215" i="124"/>
  <c r="BD215" i="124" s="1"/>
  <c r="BE215" i="124" s="1"/>
  <c r="BC266" i="124"/>
  <c r="BD266" i="124" s="1"/>
  <c r="BE266" i="124" s="1"/>
  <c r="BC243" i="124"/>
  <c r="BD243" i="124" s="1"/>
  <c r="BE243" i="124" s="1"/>
  <c r="BC117" i="124"/>
  <c r="BD117" i="124" s="1"/>
  <c r="BE117" i="124" s="1"/>
  <c r="BC35" i="124"/>
  <c r="BD35" i="124" s="1"/>
  <c r="BE35" i="124" s="1"/>
  <c r="BC200" i="124"/>
  <c r="BD200" i="124" s="1"/>
  <c r="BE200" i="124" s="1"/>
  <c r="BC81" i="124"/>
  <c r="BD81" i="124" s="1"/>
  <c r="BE81" i="124" s="1"/>
  <c r="BC123" i="124"/>
  <c r="BD123" i="124" s="1"/>
  <c r="BE123" i="124" s="1"/>
  <c r="BC69" i="124"/>
  <c r="BD69" i="124" s="1"/>
  <c r="BE69" i="124" s="1"/>
  <c r="BC65" i="124"/>
  <c r="BD65" i="124" s="1"/>
  <c r="BE65" i="124" s="1"/>
  <c r="BC112" i="124"/>
  <c r="BD112" i="124" s="1"/>
  <c r="BE112" i="124" s="1"/>
  <c r="BC261" i="124"/>
  <c r="BD261" i="124" s="1"/>
  <c r="BE261" i="124" s="1"/>
  <c r="BC136" i="124"/>
  <c r="BD136" i="124" s="1"/>
  <c r="BE136" i="124" s="1"/>
  <c r="BC251" i="124"/>
  <c r="BD251" i="124" s="1"/>
  <c r="BE251" i="124" s="1"/>
  <c r="BC283" i="124"/>
  <c r="BD283" i="124" s="1"/>
  <c r="BE283" i="124" s="1"/>
  <c r="BC157" i="124"/>
  <c r="BD157" i="124" s="1"/>
  <c r="BE157" i="124" s="1"/>
  <c r="BC150" i="124"/>
  <c r="BD150" i="124" s="1"/>
  <c r="BE150" i="124" s="1"/>
  <c r="BC285" i="124"/>
  <c r="BD285" i="124" s="1"/>
  <c r="BE285" i="124" s="1"/>
  <c r="BC140" i="124"/>
  <c r="BD140" i="124" s="1"/>
  <c r="BE140" i="124" s="1"/>
  <c r="BC130" i="124"/>
  <c r="BD130" i="124" s="1"/>
  <c r="BE130" i="124" s="1"/>
  <c r="BC99" i="124"/>
  <c r="BD99" i="124" s="1"/>
  <c r="BE99" i="124" s="1"/>
  <c r="BC153" i="124"/>
  <c r="BD153" i="124" s="1"/>
  <c r="BE153" i="124" s="1"/>
  <c r="BC209" i="124"/>
  <c r="BD209" i="124" s="1"/>
  <c r="BE209" i="124" s="1"/>
  <c r="BC44" i="124"/>
  <c r="BD44" i="124" s="1"/>
  <c r="BE44" i="124" s="1"/>
  <c r="BC202" i="124"/>
  <c r="BD202" i="124" s="1"/>
  <c r="BE202" i="124" s="1"/>
  <c r="BC260" i="124"/>
  <c r="BD260" i="124" s="1"/>
  <c r="BE260" i="124" s="1"/>
  <c r="BC32" i="124"/>
  <c r="BD32" i="124" s="1"/>
  <c r="BE32" i="124" s="1"/>
  <c r="BC275" i="124"/>
  <c r="BD275" i="124" s="1"/>
  <c r="BE275" i="124" s="1"/>
  <c r="BC126" i="124"/>
  <c r="BD126" i="124" s="1"/>
  <c r="BE126" i="124" s="1"/>
  <c r="BC91" i="124"/>
  <c r="BD91" i="124" s="1"/>
  <c r="BE91" i="124" s="1"/>
  <c r="BC207" i="124"/>
  <c r="BD207" i="124" s="1"/>
  <c r="BE207" i="124" s="1"/>
  <c r="BC268" i="124"/>
  <c r="BD268" i="124" s="1"/>
  <c r="BE268" i="124" s="1"/>
  <c r="BC179" i="124"/>
  <c r="BD179" i="124" s="1"/>
  <c r="BE179" i="124" s="1"/>
  <c r="BC146" i="124"/>
  <c r="BD146" i="124" s="1"/>
  <c r="BE146" i="124" s="1"/>
  <c r="BC159" i="124"/>
  <c r="BD159" i="124" s="1"/>
  <c r="BE159" i="124" s="1"/>
  <c r="BC98" i="124"/>
  <c r="BD98" i="124" s="1"/>
  <c r="BE98" i="124" s="1"/>
  <c r="BC113" i="124"/>
  <c r="BD113" i="124" s="1"/>
  <c r="BE113" i="124" s="1"/>
  <c r="BC276" i="124"/>
  <c r="BD276" i="124" s="1"/>
  <c r="BE276" i="124" s="1"/>
  <c r="BC87" i="124"/>
  <c r="BD87" i="124" s="1"/>
  <c r="BE87" i="124" s="1"/>
  <c r="BC37" i="124"/>
  <c r="BD37" i="124" s="1"/>
  <c r="BE37" i="124" s="1"/>
  <c r="BC203" i="124"/>
  <c r="BD203" i="124" s="1"/>
  <c r="BE203" i="124" s="1"/>
  <c r="BC205" i="124"/>
  <c r="BD205" i="124" s="1"/>
  <c r="BE205" i="124" s="1"/>
  <c r="BC250" i="124"/>
  <c r="BD250" i="124" s="1"/>
  <c r="BE250" i="124" s="1"/>
  <c r="BC240" i="124"/>
  <c r="BD240" i="124" s="1"/>
  <c r="BE240" i="124" s="1"/>
  <c r="BC144" i="124"/>
  <c r="BD144" i="124" s="1"/>
  <c r="BE144" i="124" s="1"/>
  <c r="BC125" i="124"/>
  <c r="BD125" i="124" s="1"/>
  <c r="BE125" i="124" s="1"/>
  <c r="BC29" i="124"/>
  <c r="BD29" i="124" s="1"/>
  <c r="BE29" i="124" s="1"/>
  <c r="BC196" i="124"/>
  <c r="BD196" i="124" s="1"/>
  <c r="BE196" i="124" s="1"/>
  <c r="BC94" i="124"/>
  <c r="BD94" i="124" s="1"/>
  <c r="BE94" i="124" s="1"/>
  <c r="BC168" i="124"/>
  <c r="BD168" i="124" s="1"/>
  <c r="BE168" i="124" s="1"/>
  <c r="BC50" i="124"/>
  <c r="BD50" i="124" s="1"/>
  <c r="BE50" i="124" s="1"/>
  <c r="BC132" i="124"/>
  <c r="BD132" i="124" s="1"/>
  <c r="BE132" i="124" s="1"/>
  <c r="BC171" i="124"/>
  <c r="BD171" i="124" s="1"/>
  <c r="BE171" i="124" s="1"/>
  <c r="BC199" i="124"/>
  <c r="BD199" i="124" s="1"/>
  <c r="BE199" i="124" s="1"/>
  <c r="BC239" i="124"/>
  <c r="BD239" i="124" s="1"/>
  <c r="BE239" i="124" s="1"/>
  <c r="BC59" i="124"/>
  <c r="BD59" i="124" s="1"/>
  <c r="BE59" i="124" s="1"/>
  <c r="BC258" i="124"/>
  <c r="BD258" i="124" s="1"/>
  <c r="BE258" i="124" s="1"/>
  <c r="BC254" i="124"/>
  <c r="BD254" i="124" s="1"/>
  <c r="BE254" i="124" s="1"/>
  <c r="BC219" i="124"/>
  <c r="BD219" i="124" s="1"/>
  <c r="BE219" i="124" s="1"/>
  <c r="BC51" i="124"/>
  <c r="BD51" i="124" s="1"/>
  <c r="BE51" i="124" s="1"/>
  <c r="BC149" i="124"/>
  <c r="BD149" i="124" s="1"/>
  <c r="BE149" i="124" s="1"/>
  <c r="BC133" i="124"/>
  <c r="BD133" i="124" s="1"/>
  <c r="BE133" i="124" s="1"/>
  <c r="BC253" i="124"/>
  <c r="BD253" i="124" s="1"/>
  <c r="BE253" i="124" s="1"/>
  <c r="BC271" i="124"/>
  <c r="BD271" i="124" s="1"/>
  <c r="BE271" i="124" s="1"/>
  <c r="BC70" i="124"/>
  <c r="BD70" i="124" s="1"/>
  <c r="BE70" i="124" s="1"/>
  <c r="BC68" i="124"/>
  <c r="BD68" i="124" s="1"/>
  <c r="BE68" i="124" s="1"/>
  <c r="BC262" i="124"/>
  <c r="BD262" i="124" s="1"/>
  <c r="BE262" i="124" s="1"/>
  <c r="BC225" i="124"/>
  <c r="BD225" i="124" s="1"/>
  <c r="BE225" i="124" s="1"/>
  <c r="BC92" i="124"/>
  <c r="BD92" i="124" s="1"/>
  <c r="BE92" i="124" s="1"/>
  <c r="BC93" i="124"/>
  <c r="BD93" i="124" s="1"/>
  <c r="BE93" i="124" s="1"/>
  <c r="BC194" i="124"/>
  <c r="BD194" i="124" s="1"/>
  <c r="BE194" i="124" s="1"/>
  <c r="BC33" i="124"/>
  <c r="BD33" i="124" s="1"/>
  <c r="BE33" i="124" s="1"/>
  <c r="BC139" i="124"/>
  <c r="BD139" i="124" s="1"/>
  <c r="BE139" i="124" s="1"/>
  <c r="BC20" i="124"/>
  <c r="BD20" i="124" s="1"/>
  <c r="BE20" i="124" s="1"/>
  <c r="BC255" i="124"/>
  <c r="BD255" i="124" s="1"/>
  <c r="BE255" i="124" s="1"/>
  <c r="BC231" i="124"/>
  <c r="BD231" i="124" s="1"/>
  <c r="BE231" i="124" s="1"/>
  <c r="BC279" i="124"/>
  <c r="BD279" i="124" s="1"/>
  <c r="BE279" i="124" s="1"/>
  <c r="BC119" i="124"/>
  <c r="BD119" i="124" s="1"/>
  <c r="BE119" i="124" s="1"/>
  <c r="BC46" i="124"/>
  <c r="BD46" i="124" s="1"/>
  <c r="BE46" i="124" s="1"/>
  <c r="BC105" i="124"/>
  <c r="BD105" i="124" s="1"/>
  <c r="BE105" i="124" s="1"/>
  <c r="BC189" i="124"/>
  <c r="BD189" i="124" s="1"/>
  <c r="BE189" i="124" s="1"/>
  <c r="BC204" i="124"/>
  <c r="BD204" i="124" s="1"/>
  <c r="BE204" i="124" s="1"/>
  <c r="W88" i="115"/>
  <c r="X88" i="115" s="1"/>
  <c r="AV45" i="121"/>
  <c r="AW45" i="121"/>
  <c r="AT45" i="121"/>
  <c r="AU45" i="121" s="1"/>
  <c r="AI45" i="121"/>
  <c r="AJ45" i="121"/>
  <c r="AO45" i="121"/>
  <c r="AQ11" i="131"/>
  <c r="AQ11" i="107" s="1"/>
  <c r="CE38" i="108"/>
  <c r="L20" i="109" s="1"/>
  <c r="W96" i="115"/>
  <c r="X96" i="115" s="1"/>
  <c r="BR238" i="124"/>
  <c r="BS238" i="124" s="1"/>
  <c r="BT238" i="124" s="1"/>
  <c r="BR245" i="124"/>
  <c r="BS245" i="124" s="1"/>
  <c r="BT245" i="124" s="1"/>
  <c r="BR286" i="124"/>
  <c r="BS286" i="124" s="1"/>
  <c r="BT286" i="124" s="1"/>
  <c r="BR42" i="124"/>
  <c r="BS42" i="124" s="1"/>
  <c r="BT42" i="124" s="1"/>
  <c r="BR161" i="124"/>
  <c r="BS161" i="124" s="1"/>
  <c r="BT161" i="124" s="1"/>
  <c r="BR68" i="124"/>
  <c r="BS68" i="124" s="1"/>
  <c r="BT68" i="124" s="1"/>
  <c r="BR232" i="124"/>
  <c r="BS232" i="124" s="1"/>
  <c r="BT232" i="124" s="1"/>
  <c r="BR212" i="124"/>
  <c r="BS212" i="124" s="1"/>
  <c r="BT212" i="124" s="1"/>
  <c r="BR202" i="124"/>
  <c r="BS202" i="124" s="1"/>
  <c r="BT202" i="124" s="1"/>
  <c r="BR243" i="124"/>
  <c r="BS243" i="124" s="1"/>
  <c r="BT243" i="124" s="1"/>
  <c r="BR251" i="124"/>
  <c r="BS251" i="124" s="1"/>
  <c r="BT251" i="124" s="1"/>
  <c r="BR33" i="124"/>
  <c r="BS33" i="124" s="1"/>
  <c r="BT33" i="124" s="1"/>
  <c r="BR32" i="124"/>
  <c r="BS32" i="124" s="1"/>
  <c r="BT32" i="124" s="1"/>
  <c r="BR170" i="124"/>
  <c r="BS170" i="124" s="1"/>
  <c r="BT170" i="124" s="1"/>
  <c r="BR153" i="124"/>
  <c r="BS153" i="124" s="1"/>
  <c r="BT153" i="124" s="1"/>
  <c r="BR271" i="124"/>
  <c r="BS271" i="124" s="1"/>
  <c r="BT271" i="124" s="1"/>
  <c r="BR186" i="124"/>
  <c r="BS186" i="124" s="1"/>
  <c r="BT186" i="124" s="1"/>
  <c r="BR56" i="124"/>
  <c r="BS56" i="124" s="1"/>
  <c r="BT56" i="124" s="1"/>
  <c r="BR140" i="124"/>
  <c r="BS140" i="124" s="1"/>
  <c r="BT140" i="124" s="1"/>
  <c r="BR136" i="124"/>
  <c r="BS136" i="124" s="1"/>
  <c r="BT136" i="124" s="1"/>
  <c r="BR87" i="124"/>
  <c r="BS87" i="124" s="1"/>
  <c r="BT87" i="124" s="1"/>
  <c r="BR31" i="124"/>
  <c r="BS31" i="124" s="1"/>
  <c r="BT31" i="124" s="1"/>
  <c r="BR235" i="124"/>
  <c r="BS235" i="124" s="1"/>
  <c r="BT235" i="124" s="1"/>
  <c r="BR208" i="124"/>
  <c r="BS208" i="124" s="1"/>
  <c r="BT208" i="124" s="1"/>
  <c r="BR128" i="124"/>
  <c r="BS128" i="124" s="1"/>
  <c r="BT128" i="124" s="1"/>
  <c r="BR145" i="124"/>
  <c r="BS145" i="124" s="1"/>
  <c r="BT145" i="124" s="1"/>
  <c r="BR89" i="124"/>
  <c r="BS89" i="124" s="1"/>
  <c r="BT89" i="124" s="1"/>
  <c r="BR249" i="124"/>
  <c r="BS249" i="124" s="1"/>
  <c r="BT249" i="124" s="1"/>
  <c r="BR21" i="124"/>
  <c r="BS21" i="124" s="1"/>
  <c r="BT21" i="124" s="1"/>
  <c r="BR187" i="124"/>
  <c r="BS187" i="124" s="1"/>
  <c r="BT187" i="124" s="1"/>
  <c r="BR259" i="124"/>
  <c r="BS259" i="124" s="1"/>
  <c r="BT259" i="124" s="1"/>
  <c r="BR48" i="124"/>
  <c r="BS48" i="124" s="1"/>
  <c r="BT48" i="124" s="1"/>
  <c r="BR64" i="124"/>
  <c r="BS64" i="124" s="1"/>
  <c r="BT64" i="124" s="1"/>
  <c r="BR141" i="124"/>
  <c r="BS141" i="124" s="1"/>
  <c r="BT141" i="124" s="1"/>
  <c r="BR135" i="124"/>
  <c r="BS135" i="124" s="1"/>
  <c r="BT135" i="124" s="1"/>
  <c r="BR227" i="124"/>
  <c r="BS227" i="124" s="1"/>
  <c r="BT227" i="124" s="1"/>
  <c r="BR285" i="124"/>
  <c r="BS285" i="124" s="1"/>
  <c r="BT285" i="124" s="1"/>
  <c r="BR88" i="124"/>
  <c r="BS88" i="124" s="1"/>
  <c r="BT88" i="124" s="1"/>
  <c r="BR193" i="124"/>
  <c r="BS193" i="124" s="1"/>
  <c r="BT193" i="124" s="1"/>
  <c r="BR210" i="124"/>
  <c r="BS210" i="124" s="1"/>
  <c r="BT210" i="124" s="1"/>
  <c r="BR233" i="124"/>
  <c r="BS233" i="124" s="1"/>
  <c r="BT233" i="124" s="1"/>
  <c r="BR244" i="124"/>
  <c r="BS244" i="124" s="1"/>
  <c r="BT244" i="124" s="1"/>
  <c r="BR148" i="124"/>
  <c r="BS148" i="124" s="1"/>
  <c r="BT148" i="124" s="1"/>
  <c r="BR204" i="124"/>
  <c r="BS204" i="124" s="1"/>
  <c r="BT204" i="124" s="1"/>
  <c r="BR138" i="124"/>
  <c r="BS138" i="124" s="1"/>
  <c r="BT138" i="124" s="1"/>
  <c r="BR44" i="124"/>
  <c r="BS44" i="124" s="1"/>
  <c r="BT44" i="124" s="1"/>
  <c r="BR77" i="124"/>
  <c r="BS77" i="124" s="1"/>
  <c r="BT77" i="124" s="1"/>
  <c r="BR45" i="124"/>
  <c r="BS45" i="124" s="1"/>
  <c r="BT45" i="124" s="1"/>
  <c r="BR19" i="124"/>
  <c r="BS19" i="124" s="1"/>
  <c r="BT19" i="124" s="1"/>
  <c r="BR23" i="124"/>
  <c r="BS23" i="124" s="1"/>
  <c r="BT23" i="124" s="1"/>
  <c r="BR65" i="124"/>
  <c r="BS65" i="124" s="1"/>
  <c r="BT65" i="124" s="1"/>
  <c r="BR49" i="124"/>
  <c r="BS49" i="124" s="1"/>
  <c r="BT49" i="124" s="1"/>
  <c r="BR172" i="124"/>
  <c r="BS172" i="124" s="1"/>
  <c r="BT172" i="124" s="1"/>
  <c r="BR149" i="124"/>
  <c r="BS149" i="124" s="1"/>
  <c r="BT149" i="124" s="1"/>
  <c r="BR217" i="124"/>
  <c r="BS217" i="124" s="1"/>
  <c r="BT217" i="124" s="1"/>
  <c r="BR274" i="124"/>
  <c r="BS274" i="124" s="1"/>
  <c r="BT274" i="124" s="1"/>
  <c r="BR229" i="124"/>
  <c r="BS229" i="124" s="1"/>
  <c r="BT229" i="124" s="1"/>
  <c r="BR143" i="124"/>
  <c r="BS143" i="124" s="1"/>
  <c r="BT143" i="124" s="1"/>
  <c r="BR85" i="124"/>
  <c r="BS85" i="124" s="1"/>
  <c r="BT85" i="124" s="1"/>
  <c r="BR86" i="124"/>
  <c r="BS86" i="124" s="1"/>
  <c r="BT86" i="124" s="1"/>
  <c r="BR81" i="124"/>
  <c r="BS81" i="124" s="1"/>
  <c r="BT81" i="124" s="1"/>
  <c r="BR78" i="124"/>
  <c r="BS78" i="124" s="1"/>
  <c r="BT78" i="124" s="1"/>
  <c r="BR73" i="124"/>
  <c r="BS73" i="124" s="1"/>
  <c r="BT73" i="124" s="1"/>
  <c r="BR39" i="124"/>
  <c r="BS39" i="124" s="1"/>
  <c r="BT39" i="124" s="1"/>
  <c r="BR105" i="124"/>
  <c r="BS105" i="124" s="1"/>
  <c r="BT105" i="124" s="1"/>
  <c r="BR171" i="124"/>
  <c r="BS171" i="124" s="1"/>
  <c r="BT171" i="124" s="1"/>
  <c r="BR157" i="124"/>
  <c r="BS157" i="124" s="1"/>
  <c r="BT157" i="124" s="1"/>
  <c r="BR97" i="124"/>
  <c r="BS97" i="124" s="1"/>
  <c r="BT97" i="124" s="1"/>
  <c r="BR222" i="124"/>
  <c r="BS222" i="124" s="1"/>
  <c r="BT222" i="124" s="1"/>
  <c r="BR40" i="124"/>
  <c r="BS40" i="124" s="1"/>
  <c r="BT40" i="124" s="1"/>
  <c r="BR131" i="124"/>
  <c r="BS131" i="124" s="1"/>
  <c r="BT131" i="124" s="1"/>
  <c r="BR125" i="124"/>
  <c r="BS125" i="124" s="1"/>
  <c r="BT125" i="124" s="1"/>
  <c r="BR155" i="124"/>
  <c r="BS155" i="124" s="1"/>
  <c r="BT155" i="124" s="1"/>
  <c r="BR211" i="124"/>
  <c r="BS211" i="124" s="1"/>
  <c r="BT211" i="124" s="1"/>
  <c r="BR246" i="124"/>
  <c r="BS246" i="124" s="1"/>
  <c r="BT246" i="124" s="1"/>
  <c r="BR281" i="124"/>
  <c r="BS281" i="124" s="1"/>
  <c r="BT281" i="124" s="1"/>
  <c r="BR152" i="124"/>
  <c r="BS152" i="124" s="1"/>
  <c r="BT152" i="124" s="1"/>
  <c r="BR156" i="124"/>
  <c r="BS156" i="124" s="1"/>
  <c r="BT156" i="124" s="1"/>
  <c r="BR167" i="124"/>
  <c r="BS167" i="124" s="1"/>
  <c r="BT167" i="124" s="1"/>
  <c r="BR154" i="124"/>
  <c r="BS154" i="124" s="1"/>
  <c r="BT154" i="124" s="1"/>
  <c r="BR252" i="124"/>
  <c r="BS252" i="124" s="1"/>
  <c r="BT252" i="124" s="1"/>
  <c r="BR75" i="124"/>
  <c r="BS75" i="124" s="1"/>
  <c r="BT75" i="124" s="1"/>
  <c r="BR91" i="124"/>
  <c r="BS91" i="124" s="1"/>
  <c r="BT91" i="124" s="1"/>
  <c r="BR206" i="124"/>
  <c r="BS206" i="124" s="1"/>
  <c r="BT206" i="124" s="1"/>
  <c r="BR123" i="124"/>
  <c r="BS123" i="124" s="1"/>
  <c r="BT123" i="124" s="1"/>
  <c r="BR160" i="124"/>
  <c r="BS160" i="124" s="1"/>
  <c r="BT160" i="124" s="1"/>
  <c r="BR108" i="124"/>
  <c r="BS108" i="124" s="1"/>
  <c r="BT108" i="124" s="1"/>
  <c r="BR61" i="124"/>
  <c r="BS61" i="124" s="1"/>
  <c r="BT61" i="124" s="1"/>
  <c r="BR92" i="124"/>
  <c r="BS92" i="124" s="1"/>
  <c r="BT92" i="124" s="1"/>
  <c r="BR263" i="124"/>
  <c r="BS263" i="124" s="1"/>
  <c r="BT263" i="124" s="1"/>
  <c r="BR29" i="124"/>
  <c r="BS29" i="124" s="1"/>
  <c r="BT29" i="124" s="1"/>
  <c r="BR80" i="124"/>
  <c r="BS80" i="124" s="1"/>
  <c r="BT80" i="124" s="1"/>
  <c r="BR234" i="124"/>
  <c r="BS234" i="124" s="1"/>
  <c r="BT234" i="124" s="1"/>
  <c r="BR59" i="124"/>
  <c r="BS59" i="124" s="1"/>
  <c r="BT59" i="124" s="1"/>
  <c r="BR265" i="124"/>
  <c r="BS265" i="124" s="1"/>
  <c r="BT265" i="124" s="1"/>
  <c r="BR53" i="124"/>
  <c r="BS53" i="124" s="1"/>
  <c r="BT53" i="124" s="1"/>
  <c r="BR22" i="124"/>
  <c r="BS22" i="124" s="1"/>
  <c r="BT22" i="124" s="1"/>
  <c r="BR248" i="124"/>
  <c r="BS248" i="124" s="1"/>
  <c r="BT248" i="124" s="1"/>
  <c r="BR231" i="124"/>
  <c r="BS231" i="124" s="1"/>
  <c r="BT231" i="124" s="1"/>
  <c r="BR130" i="124"/>
  <c r="BS130" i="124" s="1"/>
  <c r="BT130" i="124" s="1"/>
  <c r="BR76" i="124"/>
  <c r="BS76" i="124" s="1"/>
  <c r="BT76" i="124" s="1"/>
  <c r="BR6" i="124"/>
  <c r="BS6" i="124" s="1"/>
  <c r="BT6" i="124" s="1"/>
  <c r="BR269" i="124"/>
  <c r="BS269" i="124" s="1"/>
  <c r="BT269" i="124" s="1"/>
  <c r="BR284" i="124"/>
  <c r="BS284" i="124" s="1"/>
  <c r="BT284" i="124" s="1"/>
  <c r="BR144" i="124"/>
  <c r="BS144" i="124" s="1"/>
  <c r="BT144" i="124" s="1"/>
  <c r="BR114" i="124"/>
  <c r="BS114" i="124" s="1"/>
  <c r="BT114" i="124" s="1"/>
  <c r="BR69" i="124"/>
  <c r="BS69" i="124" s="1"/>
  <c r="BT69" i="124" s="1"/>
  <c r="BR12" i="124"/>
  <c r="BS12" i="124" s="1"/>
  <c r="BT12" i="124" s="1"/>
  <c r="BR164" i="124"/>
  <c r="BS164" i="124" s="1"/>
  <c r="BT164" i="124" s="1"/>
  <c r="BR165" i="124"/>
  <c r="BS165" i="124" s="1"/>
  <c r="BT165" i="124" s="1"/>
  <c r="BR106" i="124"/>
  <c r="BS106" i="124" s="1"/>
  <c r="BT106" i="124" s="1"/>
  <c r="BR151" i="124"/>
  <c r="BS151" i="124" s="1"/>
  <c r="BT151" i="124" s="1"/>
  <c r="BR37" i="124"/>
  <c r="BS37" i="124" s="1"/>
  <c r="BT37" i="124" s="1"/>
  <c r="BR224" i="124"/>
  <c r="BS224" i="124" s="1"/>
  <c r="BT224" i="124" s="1"/>
  <c r="BR237" i="124"/>
  <c r="BS237" i="124" s="1"/>
  <c r="BT237" i="124" s="1"/>
  <c r="BR93" i="124"/>
  <c r="BS93" i="124" s="1"/>
  <c r="BT93" i="124" s="1"/>
  <c r="BR7" i="124"/>
  <c r="BS7" i="124" s="1"/>
  <c r="BT7" i="124" s="1"/>
  <c r="BR207" i="124"/>
  <c r="BS207" i="124" s="1"/>
  <c r="BT207" i="124" s="1"/>
  <c r="BR74" i="124"/>
  <c r="BS74" i="124" s="1"/>
  <c r="BT74" i="124" s="1"/>
  <c r="BR119" i="124"/>
  <c r="BS119" i="124" s="1"/>
  <c r="BT119" i="124" s="1"/>
  <c r="BR240" i="124"/>
  <c r="BS240" i="124" s="1"/>
  <c r="BT240" i="124" s="1"/>
  <c r="BR226" i="124"/>
  <c r="BS226" i="124" s="1"/>
  <c r="BT226" i="124" s="1"/>
  <c r="BR133" i="124"/>
  <c r="BS133" i="124" s="1"/>
  <c r="BT133" i="124" s="1"/>
  <c r="BR43" i="124"/>
  <c r="BS43" i="124" s="1"/>
  <c r="BT43" i="124" s="1"/>
  <c r="BR205" i="124"/>
  <c r="BS205" i="124" s="1"/>
  <c r="BT205" i="124" s="1"/>
  <c r="BR129" i="124"/>
  <c r="BS129" i="124" s="1"/>
  <c r="BT129" i="124" s="1"/>
  <c r="BR13" i="124"/>
  <c r="BS13" i="124" s="1"/>
  <c r="BT13" i="124" s="1"/>
  <c r="BR137" i="124"/>
  <c r="BS137" i="124" s="1"/>
  <c r="BT137" i="124" s="1"/>
  <c r="BR139" i="124"/>
  <c r="BS139" i="124" s="1"/>
  <c r="BT139" i="124" s="1"/>
  <c r="BR257" i="124"/>
  <c r="BS257" i="124" s="1"/>
  <c r="BT257" i="124" s="1"/>
  <c r="BR158" i="124"/>
  <c r="BS158" i="124" s="1"/>
  <c r="BT158" i="124" s="1"/>
  <c r="BR262" i="124"/>
  <c r="BS262" i="124" s="1"/>
  <c r="BT262" i="124" s="1"/>
  <c r="BR287" i="124"/>
  <c r="BS287" i="124" s="1"/>
  <c r="BT287" i="124" s="1"/>
  <c r="BR283" i="124"/>
  <c r="BS283" i="124" s="1"/>
  <c r="BT283" i="124" s="1"/>
  <c r="BR169" i="124"/>
  <c r="BS169" i="124" s="1"/>
  <c r="BT169" i="124" s="1"/>
  <c r="BR96" i="124"/>
  <c r="BS96" i="124" s="1"/>
  <c r="BT96" i="124" s="1"/>
  <c r="BR46" i="124"/>
  <c r="BS46" i="124" s="1"/>
  <c r="BT46" i="124" s="1"/>
  <c r="BR209" i="124"/>
  <c r="BS209" i="124" s="1"/>
  <c r="BT209" i="124" s="1"/>
  <c r="BR267" i="124"/>
  <c r="BS267" i="124" s="1"/>
  <c r="BT267" i="124" s="1"/>
  <c r="BR201" i="124"/>
  <c r="BS201" i="124" s="1"/>
  <c r="BT201" i="124" s="1"/>
  <c r="BR115" i="124"/>
  <c r="BS115" i="124" s="1"/>
  <c r="BT115" i="124" s="1"/>
  <c r="BR178" i="124"/>
  <c r="BS178" i="124" s="1"/>
  <c r="BT178" i="124" s="1"/>
  <c r="BR4" i="124"/>
  <c r="BS4" i="124" s="1"/>
  <c r="BT4" i="124" s="1"/>
  <c r="BR194" i="124"/>
  <c r="BS194" i="124" s="1"/>
  <c r="BT194" i="124" s="1"/>
  <c r="BR275" i="124"/>
  <c r="BS275" i="124" s="1"/>
  <c r="BT275" i="124" s="1"/>
  <c r="BR41" i="124"/>
  <c r="BS41" i="124" s="1"/>
  <c r="BT41" i="124" s="1"/>
  <c r="BR72" i="124"/>
  <c r="BS72" i="124" s="1"/>
  <c r="BT72" i="124" s="1"/>
  <c r="BR117" i="124"/>
  <c r="BS117" i="124" s="1"/>
  <c r="BT117" i="124" s="1"/>
  <c r="BR104" i="124"/>
  <c r="BS104" i="124" s="1"/>
  <c r="BT104" i="124" s="1"/>
  <c r="BR134" i="124"/>
  <c r="BS134" i="124" s="1"/>
  <c r="BT134" i="124" s="1"/>
  <c r="BR70" i="124"/>
  <c r="BS70" i="124" s="1"/>
  <c r="BT70" i="124" s="1"/>
  <c r="BR60" i="124"/>
  <c r="BS60" i="124" s="1"/>
  <c r="BT60" i="124" s="1"/>
  <c r="BR50" i="124"/>
  <c r="BS50" i="124" s="1"/>
  <c r="BT50" i="124" s="1"/>
  <c r="BR261" i="124"/>
  <c r="BS261" i="124" s="1"/>
  <c r="BT261" i="124" s="1"/>
  <c r="BR94" i="124"/>
  <c r="BS94" i="124" s="1"/>
  <c r="BT94" i="124" s="1"/>
  <c r="BR99" i="124"/>
  <c r="BS99" i="124" s="1"/>
  <c r="BT99" i="124" s="1"/>
  <c r="BR102" i="124"/>
  <c r="BS102" i="124" s="1"/>
  <c r="BT102" i="124" s="1"/>
  <c r="BR122" i="124"/>
  <c r="BS122" i="124" s="1"/>
  <c r="BT122" i="124" s="1"/>
  <c r="BR109" i="124"/>
  <c r="BS109" i="124" s="1"/>
  <c r="BT109" i="124" s="1"/>
  <c r="BR101" i="124"/>
  <c r="BS101" i="124" s="1"/>
  <c r="BT101" i="124" s="1"/>
  <c r="BR79" i="124"/>
  <c r="BS79" i="124" s="1"/>
  <c r="BT79" i="124" s="1"/>
  <c r="BR118" i="124"/>
  <c r="BS118" i="124" s="1"/>
  <c r="BT118" i="124" s="1"/>
  <c r="BR221" i="124"/>
  <c r="BS221" i="124" s="1"/>
  <c r="BT221" i="124" s="1"/>
  <c r="BR223" i="124"/>
  <c r="BS223" i="124" s="1"/>
  <c r="BT223" i="124" s="1"/>
  <c r="BR268" i="124"/>
  <c r="BS268" i="124" s="1"/>
  <c r="BT268" i="124" s="1"/>
  <c r="BR191" i="124"/>
  <c r="BS191" i="124" s="1"/>
  <c r="BT191" i="124" s="1"/>
  <c r="BR273" i="124"/>
  <c r="BS273" i="124" s="1"/>
  <c r="BT273" i="124" s="1"/>
  <c r="BR107" i="124"/>
  <c r="BS107" i="124" s="1"/>
  <c r="BT107" i="124" s="1"/>
  <c r="BR162" i="124"/>
  <c r="BS162" i="124" s="1"/>
  <c r="BT162" i="124" s="1"/>
  <c r="BR198" i="124"/>
  <c r="BS198" i="124" s="1"/>
  <c r="BT198" i="124" s="1"/>
  <c r="BR189" i="124"/>
  <c r="BS189" i="124" s="1"/>
  <c r="BT189" i="124" s="1"/>
  <c r="BR276" i="124"/>
  <c r="BS276" i="124" s="1"/>
  <c r="BT276" i="124" s="1"/>
  <c r="BR219" i="124"/>
  <c r="BS219" i="124" s="1"/>
  <c r="BT219" i="124" s="1"/>
  <c r="BR200" i="124"/>
  <c r="BS200" i="124" s="1"/>
  <c r="BT200" i="124" s="1"/>
  <c r="BR146" i="124"/>
  <c r="BS146" i="124" s="1"/>
  <c r="BT146" i="124" s="1"/>
  <c r="BR121" i="124"/>
  <c r="BS121" i="124" s="1"/>
  <c r="BT121" i="124" s="1"/>
  <c r="BR132" i="124"/>
  <c r="BS132" i="124" s="1"/>
  <c r="BT132" i="124" s="1"/>
  <c r="BR220" i="124"/>
  <c r="BS220" i="124" s="1"/>
  <c r="BT220" i="124" s="1"/>
  <c r="BR215" i="124"/>
  <c r="BS215" i="124" s="1"/>
  <c r="BT215" i="124" s="1"/>
  <c r="BR264" i="124"/>
  <c r="BS264" i="124" s="1"/>
  <c r="BT264" i="124" s="1"/>
  <c r="BR241" i="124"/>
  <c r="BS241" i="124" s="1"/>
  <c r="BT241" i="124" s="1"/>
  <c r="BR213" i="124"/>
  <c r="BS213" i="124" s="1"/>
  <c r="BT213" i="124" s="1"/>
  <c r="BR126" i="124"/>
  <c r="BS126" i="124" s="1"/>
  <c r="BT126" i="124" s="1"/>
  <c r="BR203" i="124"/>
  <c r="BS203" i="124" s="1"/>
  <c r="BT203" i="124" s="1"/>
  <c r="BR199" i="124"/>
  <c r="BS199" i="124" s="1"/>
  <c r="BT199" i="124" s="1"/>
  <c r="BR258" i="124"/>
  <c r="BS258" i="124" s="1"/>
  <c r="BT258" i="124" s="1"/>
  <c r="BR228" i="124"/>
  <c r="BS228" i="124" s="1"/>
  <c r="BT228" i="124" s="1"/>
  <c r="BR8" i="124"/>
  <c r="BS8" i="124" s="1"/>
  <c r="BT8" i="124" s="1"/>
  <c r="BR180" i="124"/>
  <c r="BS180" i="124" s="1"/>
  <c r="BT180" i="124" s="1"/>
  <c r="BR116" i="124"/>
  <c r="BS116" i="124" s="1"/>
  <c r="BT116" i="124" s="1"/>
  <c r="BR272" i="124"/>
  <c r="BS272" i="124" s="1"/>
  <c r="BT272" i="124" s="1"/>
  <c r="BR51" i="124"/>
  <c r="BS51" i="124" s="1"/>
  <c r="BT51" i="124" s="1"/>
  <c r="BR173" i="124"/>
  <c r="BS173" i="124" s="1"/>
  <c r="BT173" i="124" s="1"/>
  <c r="BR181" i="124"/>
  <c r="BS181" i="124" s="1"/>
  <c r="BT181" i="124" s="1"/>
  <c r="BR127" i="124"/>
  <c r="BS127" i="124" s="1"/>
  <c r="BT127" i="124" s="1"/>
  <c r="BR67" i="124"/>
  <c r="BS67" i="124" s="1"/>
  <c r="BT67" i="124" s="1"/>
  <c r="BR214" i="124"/>
  <c r="BS214" i="124" s="1"/>
  <c r="BT214" i="124" s="1"/>
  <c r="BR147" i="124"/>
  <c r="BS147" i="124" s="1"/>
  <c r="BT147" i="124" s="1"/>
  <c r="BR218" i="124"/>
  <c r="BS218" i="124" s="1"/>
  <c r="BT218" i="124" s="1"/>
  <c r="BR260" i="124"/>
  <c r="BS260" i="124" s="1"/>
  <c r="BT260" i="124" s="1"/>
  <c r="BR195" i="124"/>
  <c r="BS195" i="124" s="1"/>
  <c r="BT195" i="124" s="1"/>
  <c r="BR277" i="124"/>
  <c r="BS277" i="124" s="1"/>
  <c r="BT277" i="124" s="1"/>
  <c r="BR98" i="124"/>
  <c r="BS98" i="124" s="1"/>
  <c r="BT98" i="124" s="1"/>
  <c r="BR166" i="124"/>
  <c r="BS166" i="124" s="1"/>
  <c r="BT166" i="124" s="1"/>
  <c r="BR280" i="124"/>
  <c r="BS280" i="124" s="1"/>
  <c r="BT280" i="124" s="1"/>
  <c r="BR225" i="124"/>
  <c r="BS225" i="124" s="1"/>
  <c r="BT225" i="124" s="1"/>
  <c r="BR279" i="124"/>
  <c r="BS279" i="124" s="1"/>
  <c r="BT279" i="124" s="1"/>
  <c r="BR190" i="124"/>
  <c r="BS190" i="124" s="1"/>
  <c r="BT190" i="124" s="1"/>
  <c r="BR179" i="124"/>
  <c r="BS179" i="124" s="1"/>
  <c r="BT179" i="124" s="1"/>
  <c r="BR112" i="124"/>
  <c r="BS112" i="124" s="1"/>
  <c r="BT112" i="124" s="1"/>
  <c r="BR253" i="124"/>
  <c r="BS253" i="124" s="1"/>
  <c r="BT253" i="124" s="1"/>
  <c r="BR247" i="124"/>
  <c r="BS247" i="124" s="1"/>
  <c r="BT247" i="124" s="1"/>
  <c r="BR256" i="124"/>
  <c r="BS256" i="124" s="1"/>
  <c r="BT256" i="124" s="1"/>
  <c r="BR124" i="124"/>
  <c r="BS124" i="124" s="1"/>
  <c r="BT124" i="124" s="1"/>
  <c r="BR113" i="124"/>
  <c r="BS113" i="124" s="1"/>
  <c r="BT113" i="124" s="1"/>
  <c r="BR62" i="124"/>
  <c r="BS62" i="124" s="1"/>
  <c r="BT62" i="124" s="1"/>
  <c r="BR111" i="124"/>
  <c r="BS111" i="124" s="1"/>
  <c r="BT111" i="124" s="1"/>
  <c r="BR20" i="124"/>
  <c r="BS20" i="124" s="1"/>
  <c r="BT20" i="124" s="1"/>
  <c r="BR120" i="124"/>
  <c r="BS120" i="124" s="1"/>
  <c r="BT120" i="124" s="1"/>
  <c r="BR278" i="124"/>
  <c r="BS278" i="124" s="1"/>
  <c r="BT278" i="124" s="1"/>
  <c r="BR236" i="124"/>
  <c r="BS236" i="124" s="1"/>
  <c r="BT236" i="124" s="1"/>
  <c r="BR9" i="124"/>
  <c r="BS9" i="124" s="1"/>
  <c r="BT9" i="124" s="1"/>
  <c r="BR63" i="124"/>
  <c r="BS63" i="124" s="1"/>
  <c r="BT63" i="124" s="1"/>
  <c r="BR95" i="124"/>
  <c r="BS95" i="124" s="1"/>
  <c r="BT95" i="124" s="1"/>
  <c r="BR255" i="124"/>
  <c r="BS255" i="124" s="1"/>
  <c r="BT255" i="124" s="1"/>
  <c r="BR270" i="124"/>
  <c r="BS270" i="124" s="1"/>
  <c r="BT270" i="124" s="1"/>
  <c r="BR230" i="124"/>
  <c r="BS230" i="124" s="1"/>
  <c r="BT230" i="124" s="1"/>
  <c r="BR266" i="124"/>
  <c r="BS266" i="124" s="1"/>
  <c r="BT266" i="124" s="1"/>
  <c r="BR47" i="124"/>
  <c r="BS47" i="124" s="1"/>
  <c r="BT47" i="124" s="1"/>
  <c r="BR163" i="124"/>
  <c r="BS163" i="124" s="1"/>
  <c r="BT163" i="124" s="1"/>
  <c r="BR35" i="124"/>
  <c r="BS35" i="124" s="1"/>
  <c r="BT35" i="124" s="1"/>
  <c r="BR159" i="124"/>
  <c r="BS159" i="124" s="1"/>
  <c r="BT159" i="124" s="1"/>
  <c r="BR24" i="124"/>
  <c r="BS24" i="124" s="1"/>
  <c r="BT24" i="124" s="1"/>
  <c r="BR150" i="124"/>
  <c r="BS150" i="124" s="1"/>
  <c r="BT150" i="124" s="1"/>
  <c r="BR282" i="124"/>
  <c r="BS282" i="124" s="1"/>
  <c r="BT282" i="124" s="1"/>
  <c r="BR196" i="124"/>
  <c r="BS196" i="124" s="1"/>
  <c r="BT196" i="124" s="1"/>
  <c r="BR239" i="124"/>
  <c r="BS239" i="124" s="1"/>
  <c r="BT239" i="124" s="1"/>
  <c r="BR168" i="124"/>
  <c r="BS168" i="124" s="1"/>
  <c r="BT168" i="124" s="1"/>
  <c r="BR254" i="124"/>
  <c r="BS254" i="124" s="1"/>
  <c r="BT254" i="124" s="1"/>
  <c r="BR250" i="124"/>
  <c r="BS250" i="124" s="1"/>
  <c r="BT250" i="124" s="1"/>
  <c r="N12" i="131"/>
  <c r="N12" i="107"/>
  <c r="N12" i="128"/>
  <c r="CE11" i="108"/>
  <c r="I20" i="109" s="1"/>
  <c r="H15" i="109"/>
  <c r="BD15" i="121"/>
  <c r="BJ15" i="121"/>
  <c r="BI38" i="121"/>
  <c r="AB96" i="115"/>
  <c r="AK38" i="121"/>
  <c r="BC38" i="121"/>
  <c r="BB38" i="121"/>
  <c r="AB88" i="115"/>
  <c r="AK30" i="121"/>
  <c r="AN44" i="121"/>
  <c r="AP44" i="121"/>
  <c r="Z44" i="121"/>
  <c r="U102" i="115" s="1"/>
  <c r="V102" i="115" s="1"/>
  <c r="Y44" i="121"/>
  <c r="Y102" i="115" s="1"/>
  <c r="AQ44" i="121"/>
  <c r="AM44" i="121"/>
  <c r="AE44" i="121"/>
  <c r="W44" i="121"/>
  <c r="S102" i="115" s="1"/>
  <c r="AG44" i="121"/>
  <c r="AH44" i="121" s="1"/>
  <c r="U44" i="121"/>
  <c r="V44" i="121"/>
  <c r="AB44" i="121"/>
  <c r="AF44" i="121"/>
  <c r="T44" i="121"/>
  <c r="X44" i="121"/>
  <c r="BH38" i="121"/>
  <c r="AB73" i="115"/>
  <c r="AK15" i="121"/>
  <c r="BZ8" i="108"/>
  <c r="BO8" i="107"/>
  <c r="BX8" i="108"/>
  <c r="F4" i="109" s="1"/>
  <c r="BY8" i="108"/>
  <c r="BV8" i="108"/>
  <c r="BW8" i="108"/>
  <c r="O8" i="115"/>
  <c r="BU8" i="108"/>
  <c r="F2" i="109" s="1"/>
  <c r="K14" i="121"/>
  <c r="AB16" i="121"/>
  <c r="T16" i="121"/>
  <c r="AN16" i="121"/>
  <c r="AE16" i="121"/>
  <c r="AM16" i="121"/>
  <c r="AG16" i="121"/>
  <c r="AH16" i="121" s="1"/>
  <c r="AP16" i="121"/>
  <c r="V16" i="121"/>
  <c r="AF16" i="121"/>
  <c r="X16" i="121"/>
  <c r="W16" i="121"/>
  <c r="Z16" i="121"/>
  <c r="U74" i="115" s="1"/>
  <c r="V74" i="115" s="1"/>
  <c r="Y16" i="121"/>
  <c r="U16" i="121"/>
  <c r="AQ16" i="121"/>
  <c r="Q74" i="115"/>
  <c r="Z74" i="115"/>
  <c r="AW8" i="108"/>
  <c r="AQ8" i="128" s="1"/>
  <c r="AC8" i="108"/>
  <c r="F14" i="109" s="1"/>
  <c r="AM10" i="131"/>
  <c r="AW10" i="108"/>
  <c r="AQ10" i="128" s="1"/>
  <c r="CF10" i="108"/>
  <c r="CE10" i="108" s="1"/>
  <c r="H20" i="109" s="1"/>
  <c r="CC8" i="108"/>
  <c r="F18" i="109" s="1"/>
  <c r="AM10" i="128"/>
  <c r="AI8" i="131"/>
  <c r="AI8" i="107" s="1"/>
  <c r="AM8" i="131"/>
  <c r="AA8" i="131"/>
  <c r="AE8" i="131"/>
  <c r="AE8" i="107" s="1"/>
  <c r="CB10" i="108"/>
  <c r="H5" i="109"/>
  <c r="AZ1" i="124"/>
  <c r="AG5" i="113" s="1"/>
  <c r="Y9" i="114"/>
  <c r="P8" i="108"/>
  <c r="CI8" i="108"/>
  <c r="AK26" i="121" l="1"/>
  <c r="AB84" i="115"/>
  <c r="AU26" i="121"/>
  <c r="BE26" i="121" s="1"/>
  <c r="AK45" i="121"/>
  <c r="AB103" i="115"/>
  <c r="AR44" i="121"/>
  <c r="AA102" i="115"/>
  <c r="X103" i="115"/>
  <c r="W102" i="115"/>
  <c r="BH42" i="121"/>
  <c r="BB42" i="121"/>
  <c r="BG42" i="121"/>
  <c r="AR17" i="121"/>
  <c r="Y75" i="115"/>
  <c r="AU40" i="121"/>
  <c r="AK40" i="121"/>
  <c r="AB98" i="115"/>
  <c r="AV17" i="121"/>
  <c r="AJ17" i="121"/>
  <c r="AK17" i="121" s="1"/>
  <c r="AT17" i="121"/>
  <c r="AU17" i="121" s="1"/>
  <c r="BE1" i="124"/>
  <c r="AG6" i="113" s="1"/>
  <c r="AK6" i="113" s="1"/>
  <c r="L9" i="114"/>
  <c r="BW3" i="108"/>
  <c r="F3" i="109"/>
  <c r="BV3" i="108"/>
  <c r="DN32" i="108" s="1"/>
  <c r="BJ45" i="121"/>
  <c r="BA45" i="121"/>
  <c r="BD45" i="121"/>
  <c r="BG45" i="121"/>
  <c r="AY45" i="121"/>
  <c r="BE45" i="121"/>
  <c r="Q14" i="121"/>
  <c r="BT1" i="124"/>
  <c r="AG9" i="113" s="1"/>
  <c r="W75" i="115"/>
  <c r="X75" i="115" s="1"/>
  <c r="CD8" i="108"/>
  <c r="F17" i="109" s="1"/>
  <c r="CF8" i="108"/>
  <c r="F19" i="109" s="1"/>
  <c r="AM8" i="107"/>
  <c r="AQ8" i="131"/>
  <c r="AQ8" i="107" s="1"/>
  <c r="CB8" i="108"/>
  <c r="F5" i="109"/>
  <c r="AO44" i="121"/>
  <c r="AO16" i="121"/>
  <c r="AV44" i="121"/>
  <c r="AW44" i="121"/>
  <c r="AT44" i="121"/>
  <c r="AU44" i="121" s="1"/>
  <c r="AI16" i="121"/>
  <c r="AJ16" i="121"/>
  <c r="AI44" i="121"/>
  <c r="AJ44" i="121"/>
  <c r="P14" i="121"/>
  <c r="O14" i="121"/>
  <c r="N14" i="121"/>
  <c r="AS14" i="121"/>
  <c r="L14" i="121"/>
  <c r="S14" i="121"/>
  <c r="AM14" i="121" s="1"/>
  <c r="AW16" i="121"/>
  <c r="AT16" i="121"/>
  <c r="AU16" i="121" s="1"/>
  <c r="AV16" i="121"/>
  <c r="Y74" i="115"/>
  <c r="S74" i="115"/>
  <c r="P74" i="115"/>
  <c r="AR16" i="121"/>
  <c r="AA74" i="115"/>
  <c r="H19" i="109"/>
  <c r="AQ10" i="131"/>
  <c r="AQ10" i="107" s="1"/>
  <c r="N10" i="107"/>
  <c r="N10" i="128"/>
  <c r="N10" i="131"/>
  <c r="AD3" i="113"/>
  <c r="AM2" i="124" s="1"/>
  <c r="AA8" i="107"/>
  <c r="M14" i="121"/>
  <c r="AY26" i="121" l="1"/>
  <c r="BG26" i="121"/>
  <c r="BA26" i="121"/>
  <c r="AK44" i="121"/>
  <c r="AB102" i="115"/>
  <c r="X102" i="115"/>
  <c r="DN22" i="108"/>
  <c r="DN28" i="108"/>
  <c r="AN288" i="124"/>
  <c r="AO288" i="124" s="1"/>
  <c r="AP288" i="124" s="1"/>
  <c r="AN289" i="124"/>
  <c r="AO289" i="124" s="1"/>
  <c r="AP289" i="124" s="1"/>
  <c r="DN21" i="108"/>
  <c r="DN23" i="108"/>
  <c r="DN14" i="108"/>
  <c r="DN10" i="108"/>
  <c r="AY40" i="121"/>
  <c r="BE40" i="121"/>
  <c r="AK8" i="113"/>
  <c r="AK7" i="113"/>
  <c r="BC17" i="121"/>
  <c r="BA17" i="121"/>
  <c r="AB75" i="115"/>
  <c r="BG17" i="121"/>
  <c r="BI17" i="121"/>
  <c r="DN15" i="108"/>
  <c r="DN12" i="108"/>
  <c r="DN11" i="108"/>
  <c r="DN18" i="108"/>
  <c r="N11" i="107"/>
  <c r="N11" i="128"/>
  <c r="DN13" i="108"/>
  <c r="DN16" i="108"/>
  <c r="N11" i="131"/>
  <c r="DN24" i="108"/>
  <c r="DN9" i="108"/>
  <c r="DN8" i="108"/>
  <c r="AK5" i="113"/>
  <c r="AK4" i="113"/>
  <c r="W74" i="115"/>
  <c r="X74" i="115" s="1"/>
  <c r="N14" i="107"/>
  <c r="N14" i="131"/>
  <c r="N14" i="128"/>
  <c r="AK9" i="113"/>
  <c r="CE8" i="108"/>
  <c r="F20" i="109" s="1"/>
  <c r="BH44" i="121"/>
  <c r="AZ16" i="121"/>
  <c r="W14" i="121"/>
  <c r="S72" i="115" s="1"/>
  <c r="BG16" i="121"/>
  <c r="Z14" i="121"/>
  <c r="U72" i="115" s="1"/>
  <c r="V72" i="115" s="1"/>
  <c r="BF16" i="121"/>
  <c r="BB44" i="121"/>
  <c r="AB74" i="115"/>
  <c r="AK16" i="121"/>
  <c r="T14" i="121"/>
  <c r="AD14" i="121"/>
  <c r="AQ14" i="121"/>
  <c r="AP14" i="121"/>
  <c r="AB14" i="121"/>
  <c r="Y14" i="121"/>
  <c r="AV14" i="121" s="1"/>
  <c r="AF14" i="121"/>
  <c r="AN14" i="121"/>
  <c r="X14" i="121"/>
  <c r="AG14" i="121"/>
  <c r="V14" i="121"/>
  <c r="AE14" i="121"/>
  <c r="Q72" i="115"/>
  <c r="P72" i="115" s="1"/>
  <c r="U14" i="121"/>
  <c r="AA14" i="121"/>
  <c r="AN7" i="124"/>
  <c r="AO7" i="124" s="1"/>
  <c r="AP7" i="124" s="1"/>
  <c r="AN212" i="124"/>
  <c r="AO212" i="124" s="1"/>
  <c r="AP212" i="124" s="1"/>
  <c r="AN139" i="124"/>
  <c r="AO139" i="124" s="1"/>
  <c r="AP139" i="124" s="1"/>
  <c r="AN224" i="124"/>
  <c r="AO224" i="124" s="1"/>
  <c r="AP224" i="124" s="1"/>
  <c r="AN104" i="124"/>
  <c r="AO104" i="124" s="1"/>
  <c r="AP104" i="124" s="1"/>
  <c r="AN45" i="124"/>
  <c r="AO45" i="124" s="1"/>
  <c r="AP45" i="124" s="1"/>
  <c r="AN233" i="124"/>
  <c r="AO233" i="124" s="1"/>
  <c r="AP233" i="124" s="1"/>
  <c r="AN272" i="124"/>
  <c r="AO272" i="124" s="1"/>
  <c r="AP272" i="124" s="1"/>
  <c r="AN219" i="124"/>
  <c r="AO219" i="124" s="1"/>
  <c r="AP219" i="124" s="1"/>
  <c r="AN190" i="124"/>
  <c r="AO190" i="124" s="1"/>
  <c r="AP190" i="124" s="1"/>
  <c r="AN218" i="124"/>
  <c r="AO218" i="124" s="1"/>
  <c r="AP218" i="124" s="1"/>
  <c r="AN214" i="124"/>
  <c r="AO214" i="124" s="1"/>
  <c r="AP214" i="124" s="1"/>
  <c r="AN240" i="124"/>
  <c r="AO240" i="124" s="1"/>
  <c r="AP240" i="124" s="1"/>
  <c r="AN37" i="124"/>
  <c r="AO37" i="124" s="1"/>
  <c r="AP37" i="124" s="1"/>
  <c r="AN239" i="124"/>
  <c r="AO239" i="124" s="1"/>
  <c r="AP239" i="124" s="1"/>
  <c r="AN213" i="124"/>
  <c r="AO213" i="124" s="1"/>
  <c r="AP213" i="124" s="1"/>
  <c r="AN149" i="124"/>
  <c r="AO149" i="124" s="1"/>
  <c r="AP149" i="124" s="1"/>
  <c r="AN124" i="124"/>
  <c r="AO124" i="124" s="1"/>
  <c r="AP124" i="124" s="1"/>
  <c r="AN173" i="124"/>
  <c r="AO173" i="124" s="1"/>
  <c r="AP173" i="124" s="1"/>
  <c r="AN162" i="124"/>
  <c r="AO162" i="124" s="1"/>
  <c r="AP162" i="124" s="1"/>
  <c r="AN43" i="124"/>
  <c r="AO43" i="124" s="1"/>
  <c r="AP43" i="124" s="1"/>
  <c r="AN151" i="124"/>
  <c r="AO151" i="124" s="1"/>
  <c r="AP151" i="124" s="1"/>
  <c r="AN24" i="124"/>
  <c r="AO24" i="124" s="1"/>
  <c r="AP24" i="124" s="1"/>
  <c r="AN138" i="124"/>
  <c r="AO138" i="124" s="1"/>
  <c r="AP138" i="124" s="1"/>
  <c r="AN196" i="124"/>
  <c r="AO196" i="124" s="1"/>
  <c r="AP196" i="124" s="1"/>
  <c r="AN265" i="124"/>
  <c r="AO265" i="124" s="1"/>
  <c r="AP265" i="124" s="1"/>
  <c r="AN88" i="124"/>
  <c r="AO88" i="124" s="1"/>
  <c r="AP88" i="124" s="1"/>
  <c r="AN270" i="124"/>
  <c r="AO270" i="124" s="1"/>
  <c r="AP270" i="124" s="1"/>
  <c r="AN49" i="124"/>
  <c r="AO49" i="124" s="1"/>
  <c r="AP49" i="124" s="1"/>
  <c r="AN79" i="124"/>
  <c r="AO79" i="124" s="1"/>
  <c r="AP79" i="124" s="1"/>
  <c r="AN111" i="124"/>
  <c r="AO111" i="124" s="1"/>
  <c r="AP111" i="124" s="1"/>
  <c r="AN85" i="124"/>
  <c r="AO85" i="124" s="1"/>
  <c r="AP85" i="124" s="1"/>
  <c r="AN51" i="124"/>
  <c r="AO51" i="124" s="1"/>
  <c r="AP51" i="124" s="1"/>
  <c r="AN19" i="124"/>
  <c r="AO19" i="124" s="1"/>
  <c r="AP19" i="124" s="1"/>
  <c r="AN269" i="124"/>
  <c r="AO269" i="124" s="1"/>
  <c r="AP269" i="124" s="1"/>
  <c r="AN254" i="124"/>
  <c r="AO254" i="124" s="1"/>
  <c r="AP254" i="124" s="1"/>
  <c r="AN99" i="124"/>
  <c r="AO99" i="124" s="1"/>
  <c r="AP99" i="124" s="1"/>
  <c r="AN207" i="124"/>
  <c r="AO207" i="124" s="1"/>
  <c r="AP207" i="124" s="1"/>
  <c r="AN171" i="124"/>
  <c r="AO171" i="124" s="1"/>
  <c r="AP171" i="124" s="1"/>
  <c r="AN165" i="124"/>
  <c r="AO165" i="124" s="1"/>
  <c r="AP165" i="124" s="1"/>
  <c r="AN8" i="124"/>
  <c r="AO8" i="124" s="1"/>
  <c r="AP8" i="124" s="1"/>
  <c r="AN206" i="124"/>
  <c r="AO206" i="124" s="1"/>
  <c r="AP206" i="124" s="1"/>
  <c r="AN61" i="124"/>
  <c r="AO61" i="124" s="1"/>
  <c r="AP61" i="124" s="1"/>
  <c r="AN258" i="124"/>
  <c r="AO258" i="124" s="1"/>
  <c r="AP258" i="124" s="1"/>
  <c r="AN125" i="124"/>
  <c r="AO125" i="124" s="1"/>
  <c r="AP125" i="124" s="1"/>
  <c r="AN116" i="124"/>
  <c r="AO116" i="124" s="1"/>
  <c r="AP116" i="124" s="1"/>
  <c r="AN208" i="124"/>
  <c r="AO208" i="124" s="1"/>
  <c r="AP208" i="124" s="1"/>
  <c r="AN250" i="124"/>
  <c r="AO250" i="124" s="1"/>
  <c r="AP250" i="124" s="1"/>
  <c r="AN6" i="124"/>
  <c r="AO6" i="124" s="1"/>
  <c r="AP6" i="124" s="1"/>
  <c r="AN92" i="124"/>
  <c r="AO92" i="124" s="1"/>
  <c r="AP92" i="124" s="1"/>
  <c r="AN127" i="124"/>
  <c r="AO127" i="124" s="1"/>
  <c r="AP127" i="124" s="1"/>
  <c r="AN39" i="124"/>
  <c r="AO39" i="124" s="1"/>
  <c r="AP39" i="124" s="1"/>
  <c r="AN222" i="124"/>
  <c r="AO222" i="124" s="1"/>
  <c r="AP222" i="124" s="1"/>
  <c r="AN41" i="124"/>
  <c r="AO41" i="124" s="1"/>
  <c r="AP41" i="124" s="1"/>
  <c r="AN245" i="124"/>
  <c r="AO245" i="124" s="1"/>
  <c r="AP245" i="124" s="1"/>
  <c r="AN129" i="124"/>
  <c r="AO129" i="124" s="1"/>
  <c r="AP129" i="124" s="1"/>
  <c r="AN172" i="124"/>
  <c r="AO172" i="124" s="1"/>
  <c r="AP172" i="124" s="1"/>
  <c r="AN75" i="124"/>
  <c r="AO75" i="124" s="1"/>
  <c r="AP75" i="124" s="1"/>
  <c r="AN65" i="124"/>
  <c r="AO65" i="124" s="1"/>
  <c r="AP65" i="124" s="1"/>
  <c r="AN170" i="124"/>
  <c r="AO170" i="124" s="1"/>
  <c r="AP170" i="124" s="1"/>
  <c r="AN230" i="124"/>
  <c r="AO230" i="124" s="1"/>
  <c r="AP230" i="124" s="1"/>
  <c r="AN278" i="124"/>
  <c r="AO278" i="124" s="1"/>
  <c r="AP278" i="124" s="1"/>
  <c r="AN235" i="124"/>
  <c r="AO235" i="124" s="1"/>
  <c r="AP235" i="124" s="1"/>
  <c r="AN252" i="124"/>
  <c r="AO252" i="124" s="1"/>
  <c r="AP252" i="124" s="1"/>
  <c r="AN53" i="124"/>
  <c r="AO53" i="124" s="1"/>
  <c r="AP53" i="124" s="1"/>
  <c r="AN276" i="124"/>
  <c r="AO276" i="124" s="1"/>
  <c r="AP276" i="124" s="1"/>
  <c r="AN91" i="124"/>
  <c r="AO91" i="124" s="1"/>
  <c r="AP91" i="124" s="1"/>
  <c r="AN56" i="124"/>
  <c r="AO56" i="124" s="1"/>
  <c r="AP56" i="124" s="1"/>
  <c r="AN238" i="124"/>
  <c r="AO238" i="124" s="1"/>
  <c r="AP238" i="124" s="1"/>
  <c r="AN119" i="124"/>
  <c r="AO119" i="124" s="1"/>
  <c r="AP119" i="124" s="1"/>
  <c r="AN102" i="124"/>
  <c r="AO102" i="124" s="1"/>
  <c r="AP102" i="124" s="1"/>
  <c r="AN13" i="124"/>
  <c r="AO13" i="124" s="1"/>
  <c r="AP13" i="124" s="1"/>
  <c r="AN225" i="124"/>
  <c r="AO225" i="124" s="1"/>
  <c r="AP225" i="124" s="1"/>
  <c r="AN285" i="124"/>
  <c r="AO285" i="124" s="1"/>
  <c r="AP285" i="124" s="1"/>
  <c r="AN105" i="124"/>
  <c r="AO105" i="124" s="1"/>
  <c r="AP105" i="124" s="1"/>
  <c r="AN262" i="124"/>
  <c r="AO262" i="124" s="1"/>
  <c r="AP262" i="124" s="1"/>
  <c r="AN152" i="124"/>
  <c r="AO152" i="124" s="1"/>
  <c r="AP152" i="124" s="1"/>
  <c r="AN268" i="124"/>
  <c r="AO268" i="124" s="1"/>
  <c r="AP268" i="124" s="1"/>
  <c r="AN223" i="124"/>
  <c r="AO223" i="124" s="1"/>
  <c r="AP223" i="124" s="1"/>
  <c r="AN271" i="124"/>
  <c r="AO271" i="124" s="1"/>
  <c r="AP271" i="124" s="1"/>
  <c r="AN106" i="124"/>
  <c r="AO106" i="124" s="1"/>
  <c r="AP106" i="124" s="1"/>
  <c r="AN154" i="124"/>
  <c r="AO154" i="124" s="1"/>
  <c r="AP154" i="124" s="1"/>
  <c r="AN229" i="124"/>
  <c r="AO229" i="124" s="1"/>
  <c r="AP229" i="124" s="1"/>
  <c r="AN21" i="124"/>
  <c r="AO21" i="124" s="1"/>
  <c r="AP21" i="124" s="1"/>
  <c r="AN210" i="124"/>
  <c r="AO210" i="124" s="1"/>
  <c r="AP210" i="124" s="1"/>
  <c r="AN96" i="124"/>
  <c r="AO96" i="124" s="1"/>
  <c r="AP96" i="124" s="1"/>
  <c r="AN148" i="124"/>
  <c r="AO148" i="124" s="1"/>
  <c r="AP148" i="124" s="1"/>
  <c r="AN69" i="124"/>
  <c r="AO69" i="124" s="1"/>
  <c r="AP69" i="124" s="1"/>
  <c r="AN76" i="124"/>
  <c r="AO76" i="124" s="1"/>
  <c r="AP76" i="124" s="1"/>
  <c r="AN98" i="124"/>
  <c r="AO98" i="124" s="1"/>
  <c r="AP98" i="124" s="1"/>
  <c r="AN150" i="124"/>
  <c r="AO150" i="124" s="1"/>
  <c r="AP150" i="124" s="1"/>
  <c r="AN67" i="124"/>
  <c r="AO67" i="124" s="1"/>
  <c r="AP67" i="124" s="1"/>
  <c r="AN203" i="124"/>
  <c r="AO203" i="124" s="1"/>
  <c r="AP203" i="124" s="1"/>
  <c r="AN131" i="124"/>
  <c r="AO131" i="124" s="1"/>
  <c r="AP131" i="124" s="1"/>
  <c r="AN81" i="124"/>
  <c r="AO81" i="124" s="1"/>
  <c r="AP81" i="124" s="1"/>
  <c r="AN95" i="124"/>
  <c r="AO95" i="124" s="1"/>
  <c r="AP95" i="124" s="1"/>
  <c r="AN166" i="124"/>
  <c r="AO166" i="124" s="1"/>
  <c r="AP166" i="124" s="1"/>
  <c r="AN195" i="124"/>
  <c r="AO195" i="124" s="1"/>
  <c r="AP195" i="124" s="1"/>
  <c r="AN64" i="124"/>
  <c r="AO64" i="124" s="1"/>
  <c r="AP64" i="124" s="1"/>
  <c r="AN202" i="124"/>
  <c r="AO202" i="124" s="1"/>
  <c r="AP202" i="124" s="1"/>
  <c r="AN114" i="124"/>
  <c r="AO114" i="124" s="1"/>
  <c r="AP114" i="124" s="1"/>
  <c r="AN159" i="124"/>
  <c r="AO159" i="124" s="1"/>
  <c r="AP159" i="124" s="1"/>
  <c r="AN50" i="124"/>
  <c r="AO50" i="124" s="1"/>
  <c r="AP50" i="124" s="1"/>
  <c r="AN231" i="124"/>
  <c r="AO231" i="124" s="1"/>
  <c r="AP231" i="124" s="1"/>
  <c r="AN264" i="124"/>
  <c r="AO264" i="124" s="1"/>
  <c r="AP264" i="124" s="1"/>
  <c r="AN215" i="124"/>
  <c r="AO215" i="124" s="1"/>
  <c r="AP215" i="124" s="1"/>
  <c r="AN191" i="124"/>
  <c r="AO191" i="124" s="1"/>
  <c r="AP191" i="124" s="1"/>
  <c r="AN60" i="124"/>
  <c r="AO60" i="124" s="1"/>
  <c r="AP60" i="124" s="1"/>
  <c r="AN217" i="124"/>
  <c r="AO217" i="124" s="1"/>
  <c r="AP217" i="124" s="1"/>
  <c r="AN46" i="124"/>
  <c r="AO46" i="124" s="1"/>
  <c r="AP46" i="124" s="1"/>
  <c r="AN273" i="124"/>
  <c r="AO273" i="124" s="1"/>
  <c r="AP273" i="124" s="1"/>
  <c r="AN20" i="124"/>
  <c r="AO20" i="124" s="1"/>
  <c r="AP20" i="124" s="1"/>
  <c r="AN256" i="124"/>
  <c r="AO256" i="124" s="1"/>
  <c r="AP256" i="124" s="1"/>
  <c r="AN156" i="124"/>
  <c r="AO156" i="124" s="1"/>
  <c r="AP156" i="124" s="1"/>
  <c r="AN31" i="124"/>
  <c r="AO31" i="124" s="1"/>
  <c r="AP31" i="124" s="1"/>
  <c r="AN259" i="124"/>
  <c r="AO259" i="124" s="1"/>
  <c r="AP259" i="124" s="1"/>
  <c r="AN201" i="124"/>
  <c r="AO201" i="124" s="1"/>
  <c r="AP201" i="124" s="1"/>
  <c r="AN243" i="124"/>
  <c r="AO243" i="124" s="1"/>
  <c r="AP243" i="124" s="1"/>
  <c r="AN141" i="124"/>
  <c r="AO141" i="124" s="1"/>
  <c r="AP141" i="124" s="1"/>
  <c r="AN87" i="124"/>
  <c r="AO87" i="124" s="1"/>
  <c r="AP87" i="124" s="1"/>
  <c r="AN63" i="124"/>
  <c r="AO63" i="124" s="1"/>
  <c r="AP63" i="124" s="1"/>
  <c r="AN280" i="124"/>
  <c r="AO280" i="124" s="1"/>
  <c r="AP280" i="124" s="1"/>
  <c r="AN9" i="124"/>
  <c r="AO9" i="124" s="1"/>
  <c r="AP9" i="124" s="1"/>
  <c r="AN117" i="124"/>
  <c r="AO117" i="124" s="1"/>
  <c r="AP117" i="124" s="1"/>
  <c r="AN263" i="124"/>
  <c r="AO263" i="124" s="1"/>
  <c r="AP263" i="124" s="1"/>
  <c r="AN12" i="124"/>
  <c r="AO12" i="124" s="1"/>
  <c r="AP12" i="124" s="1"/>
  <c r="AN42" i="124"/>
  <c r="AO42" i="124" s="1"/>
  <c r="AP42" i="124" s="1"/>
  <c r="AN255" i="124"/>
  <c r="AO255" i="124" s="1"/>
  <c r="AP255" i="124" s="1"/>
  <c r="AN180" i="124"/>
  <c r="AO180" i="124" s="1"/>
  <c r="AP180" i="124" s="1"/>
  <c r="AN200" i="124"/>
  <c r="AO200" i="124" s="1"/>
  <c r="AP200" i="124" s="1"/>
  <c r="AN228" i="124"/>
  <c r="AO228" i="124" s="1"/>
  <c r="AP228" i="124" s="1"/>
  <c r="AN275" i="124"/>
  <c r="AO275" i="124" s="1"/>
  <c r="AP275" i="124" s="1"/>
  <c r="AN135" i="124"/>
  <c r="AO135" i="124" s="1"/>
  <c r="AP135" i="124" s="1"/>
  <c r="AN128" i="124"/>
  <c r="AO128" i="124" s="1"/>
  <c r="AP128" i="124" s="1"/>
  <c r="AN164" i="124"/>
  <c r="AO164" i="124" s="1"/>
  <c r="AP164" i="124" s="1"/>
  <c r="AN132" i="124"/>
  <c r="AO132" i="124" s="1"/>
  <c r="AP132" i="124" s="1"/>
  <c r="AN267" i="124"/>
  <c r="AO267" i="124" s="1"/>
  <c r="AP267" i="124" s="1"/>
  <c r="AN168" i="124"/>
  <c r="AO168" i="124" s="1"/>
  <c r="AP168" i="124" s="1"/>
  <c r="AN112" i="124"/>
  <c r="AO112" i="124" s="1"/>
  <c r="AP112" i="124" s="1"/>
  <c r="AN194" i="124"/>
  <c r="AO194" i="124" s="1"/>
  <c r="AP194" i="124" s="1"/>
  <c r="AN169" i="124"/>
  <c r="AO169" i="124" s="1"/>
  <c r="AP169" i="124" s="1"/>
  <c r="AN121" i="124"/>
  <c r="AO121" i="124" s="1"/>
  <c r="AP121" i="124" s="1"/>
  <c r="AN97" i="124"/>
  <c r="AO97" i="124" s="1"/>
  <c r="AP97" i="124" s="1"/>
  <c r="AN140" i="124"/>
  <c r="AO140" i="124" s="1"/>
  <c r="AP140" i="124" s="1"/>
  <c r="AN113" i="124"/>
  <c r="AO113" i="124" s="1"/>
  <c r="AP113" i="124" s="1"/>
  <c r="AN204" i="124"/>
  <c r="AO204" i="124" s="1"/>
  <c r="AP204" i="124" s="1"/>
  <c r="AN186" i="124"/>
  <c r="AO186" i="124" s="1"/>
  <c r="AP186" i="124" s="1"/>
  <c r="AN126" i="124"/>
  <c r="AO126" i="124" s="1"/>
  <c r="AP126" i="124" s="1"/>
  <c r="AN205" i="124"/>
  <c r="AO205" i="124" s="1"/>
  <c r="AP205" i="124" s="1"/>
  <c r="AN146" i="124"/>
  <c r="AO146" i="124" s="1"/>
  <c r="AP146" i="124" s="1"/>
  <c r="AN158" i="124"/>
  <c r="AO158" i="124" s="1"/>
  <c r="AP158" i="124" s="1"/>
  <c r="AN155" i="124"/>
  <c r="AO155" i="124" s="1"/>
  <c r="AP155" i="124" s="1"/>
  <c r="AN251" i="124"/>
  <c r="AO251" i="124" s="1"/>
  <c r="AP251" i="124" s="1"/>
  <c r="AN220" i="124"/>
  <c r="AO220" i="124" s="1"/>
  <c r="AP220" i="124" s="1"/>
  <c r="AN274" i="124"/>
  <c r="AO274" i="124" s="1"/>
  <c r="AP274" i="124" s="1"/>
  <c r="AN123" i="124"/>
  <c r="AO123" i="124" s="1"/>
  <c r="AP123" i="124" s="1"/>
  <c r="AN257" i="124"/>
  <c r="AO257" i="124" s="1"/>
  <c r="AP257" i="124" s="1"/>
  <c r="AN73" i="124"/>
  <c r="AO73" i="124" s="1"/>
  <c r="AP73" i="124" s="1"/>
  <c r="AN221" i="124"/>
  <c r="AO221" i="124" s="1"/>
  <c r="AP221" i="124" s="1"/>
  <c r="AN77" i="124"/>
  <c r="AO77" i="124" s="1"/>
  <c r="AP77" i="124" s="1"/>
  <c r="AN109" i="124"/>
  <c r="AO109" i="124" s="1"/>
  <c r="AP109" i="124" s="1"/>
  <c r="AN281" i="124"/>
  <c r="AO281" i="124" s="1"/>
  <c r="AP281" i="124" s="1"/>
  <c r="AN32" i="124"/>
  <c r="AO32" i="124" s="1"/>
  <c r="AP32" i="124" s="1"/>
  <c r="AN47" i="124"/>
  <c r="AO47" i="124" s="1"/>
  <c r="AP47" i="124" s="1"/>
  <c r="AN147" i="124"/>
  <c r="AO147" i="124" s="1"/>
  <c r="AP147" i="124" s="1"/>
  <c r="AN286" i="124"/>
  <c r="AO286" i="124" s="1"/>
  <c r="AP286" i="124" s="1"/>
  <c r="AN23" i="124"/>
  <c r="AO23" i="124" s="1"/>
  <c r="AP23" i="124" s="1"/>
  <c r="AN249" i="124"/>
  <c r="AO249" i="124" s="1"/>
  <c r="AP249" i="124" s="1"/>
  <c r="AN246" i="124"/>
  <c r="AO246" i="124" s="1"/>
  <c r="AP246" i="124" s="1"/>
  <c r="AN33" i="124"/>
  <c r="AO33" i="124" s="1"/>
  <c r="AP33" i="124" s="1"/>
  <c r="AN211" i="124"/>
  <c r="AO211" i="124" s="1"/>
  <c r="AP211" i="124" s="1"/>
  <c r="AN226" i="124"/>
  <c r="AO226" i="124" s="1"/>
  <c r="AP226" i="124" s="1"/>
  <c r="AN234" i="124"/>
  <c r="AO234" i="124" s="1"/>
  <c r="AP234" i="124" s="1"/>
  <c r="AN241" i="124"/>
  <c r="AO241" i="124" s="1"/>
  <c r="AP241" i="124" s="1"/>
  <c r="AN283" i="124"/>
  <c r="AO283" i="124" s="1"/>
  <c r="AP283" i="124" s="1"/>
  <c r="AN144" i="124"/>
  <c r="AO144" i="124" s="1"/>
  <c r="AP144" i="124" s="1"/>
  <c r="AN279" i="124"/>
  <c r="AO279" i="124" s="1"/>
  <c r="AP279" i="124" s="1"/>
  <c r="AN137" i="124"/>
  <c r="AO137" i="124" s="1"/>
  <c r="AP137" i="124" s="1"/>
  <c r="AN86" i="124"/>
  <c r="AO86" i="124" s="1"/>
  <c r="AP86" i="124" s="1"/>
  <c r="AN153" i="124"/>
  <c r="AO153" i="124" s="1"/>
  <c r="AP153" i="124" s="1"/>
  <c r="AN237" i="124"/>
  <c r="AO237" i="124" s="1"/>
  <c r="AP237" i="124" s="1"/>
  <c r="AN93" i="124"/>
  <c r="AO93" i="124" s="1"/>
  <c r="AP93" i="124" s="1"/>
  <c r="AN189" i="124"/>
  <c r="AO189" i="124" s="1"/>
  <c r="AP189" i="124" s="1"/>
  <c r="AN287" i="124"/>
  <c r="AO287" i="124" s="1"/>
  <c r="AP287" i="124" s="1"/>
  <c r="AN68" i="124"/>
  <c r="AO68" i="124" s="1"/>
  <c r="AP68" i="124" s="1"/>
  <c r="AN227" i="124"/>
  <c r="AO227" i="124" s="1"/>
  <c r="AP227" i="124" s="1"/>
  <c r="AN133" i="124"/>
  <c r="AO133" i="124" s="1"/>
  <c r="AP133" i="124" s="1"/>
  <c r="AN284" i="124"/>
  <c r="AO284" i="124" s="1"/>
  <c r="AP284" i="124" s="1"/>
  <c r="AN179" i="124"/>
  <c r="AO179" i="124" s="1"/>
  <c r="AP179" i="124" s="1"/>
  <c r="AN70" i="124"/>
  <c r="AO70" i="124" s="1"/>
  <c r="AP70" i="124" s="1"/>
  <c r="AN22" i="124"/>
  <c r="AO22" i="124" s="1"/>
  <c r="AP22" i="124" s="1"/>
  <c r="AN167" i="124"/>
  <c r="AO167" i="124" s="1"/>
  <c r="AP167" i="124" s="1"/>
  <c r="AN108" i="124"/>
  <c r="AO108" i="124" s="1"/>
  <c r="AP108" i="124" s="1"/>
  <c r="AN4" i="124"/>
  <c r="AO4" i="124" s="1"/>
  <c r="AP4" i="124" s="1"/>
  <c r="AN198" i="124"/>
  <c r="AO198" i="124" s="1"/>
  <c r="AP198" i="124" s="1"/>
  <c r="AN143" i="124"/>
  <c r="AO143" i="124" s="1"/>
  <c r="AP143" i="124" s="1"/>
  <c r="AN248" i="124"/>
  <c r="AO248" i="124" s="1"/>
  <c r="AP248" i="124" s="1"/>
  <c r="AN40" i="124"/>
  <c r="AO40" i="124" s="1"/>
  <c r="AP40" i="124" s="1"/>
  <c r="AN261" i="124"/>
  <c r="AO261" i="124" s="1"/>
  <c r="AP261" i="124" s="1"/>
  <c r="AN62" i="124"/>
  <c r="AO62" i="124" s="1"/>
  <c r="AP62" i="124" s="1"/>
  <c r="AN59" i="124"/>
  <c r="AO59" i="124" s="1"/>
  <c r="AP59" i="124" s="1"/>
  <c r="AN130" i="124"/>
  <c r="AO130" i="124" s="1"/>
  <c r="AP130" i="124" s="1"/>
  <c r="AN94" i="124"/>
  <c r="AO94" i="124" s="1"/>
  <c r="AP94" i="124" s="1"/>
  <c r="AN78" i="124"/>
  <c r="AO78" i="124" s="1"/>
  <c r="AP78" i="124" s="1"/>
  <c r="AN35" i="124"/>
  <c r="AO35" i="124" s="1"/>
  <c r="AP35" i="124" s="1"/>
  <c r="AN266" i="124"/>
  <c r="AO266" i="124" s="1"/>
  <c r="AP266" i="124" s="1"/>
  <c r="AN107" i="124"/>
  <c r="AO107" i="124" s="1"/>
  <c r="AP107" i="124" s="1"/>
  <c r="AN145" i="124"/>
  <c r="AO145" i="124" s="1"/>
  <c r="AP145" i="124" s="1"/>
  <c r="AN161" i="124"/>
  <c r="AO161" i="124" s="1"/>
  <c r="AP161" i="124" s="1"/>
  <c r="AN115" i="124"/>
  <c r="AO115" i="124" s="1"/>
  <c r="AP115" i="124" s="1"/>
  <c r="AN181" i="124"/>
  <c r="AO181" i="124" s="1"/>
  <c r="AP181" i="124" s="1"/>
  <c r="AN236" i="124"/>
  <c r="AO236" i="124" s="1"/>
  <c r="AP236" i="124" s="1"/>
  <c r="AN48" i="124"/>
  <c r="AO48" i="124" s="1"/>
  <c r="AP48" i="124" s="1"/>
  <c r="AN157" i="124"/>
  <c r="AO157" i="124" s="1"/>
  <c r="AP157" i="124" s="1"/>
  <c r="AN80" i="124"/>
  <c r="AO80" i="124" s="1"/>
  <c r="AP80" i="124" s="1"/>
  <c r="AN253" i="124"/>
  <c r="AO253" i="124" s="1"/>
  <c r="AP253" i="124" s="1"/>
  <c r="AN136" i="124"/>
  <c r="AO136" i="124" s="1"/>
  <c r="AP136" i="124" s="1"/>
  <c r="AN232" i="124"/>
  <c r="AO232" i="124" s="1"/>
  <c r="AP232" i="124" s="1"/>
  <c r="AN74" i="124"/>
  <c r="AO74" i="124" s="1"/>
  <c r="AP74" i="124" s="1"/>
  <c r="AN187" i="124"/>
  <c r="AO187" i="124" s="1"/>
  <c r="AP187" i="124" s="1"/>
  <c r="AN160" i="124"/>
  <c r="AO160" i="124" s="1"/>
  <c r="AP160" i="124" s="1"/>
  <c r="AN193" i="124"/>
  <c r="AO193" i="124" s="1"/>
  <c r="AP193" i="124" s="1"/>
  <c r="AN244" i="124"/>
  <c r="AO244" i="124" s="1"/>
  <c r="AP244" i="124" s="1"/>
  <c r="AN282" i="124"/>
  <c r="AO282" i="124" s="1"/>
  <c r="AP282" i="124" s="1"/>
  <c r="AN120" i="124"/>
  <c r="AO120" i="124" s="1"/>
  <c r="AP120" i="124" s="1"/>
  <c r="AN89" i="124"/>
  <c r="AO89" i="124" s="1"/>
  <c r="AP89" i="124" s="1"/>
  <c r="AN247" i="124"/>
  <c r="AO247" i="124" s="1"/>
  <c r="AP247" i="124" s="1"/>
  <c r="AN209" i="124"/>
  <c r="AO209" i="124" s="1"/>
  <c r="AP209" i="124" s="1"/>
  <c r="AN163" i="124"/>
  <c r="AO163" i="124" s="1"/>
  <c r="AP163" i="124" s="1"/>
  <c r="AN122" i="124"/>
  <c r="AO122" i="124" s="1"/>
  <c r="AP122" i="124" s="1"/>
  <c r="AN178" i="124"/>
  <c r="AO178" i="124" s="1"/>
  <c r="AP178" i="124" s="1"/>
  <c r="AN118" i="124"/>
  <c r="AO118" i="124" s="1"/>
  <c r="AP118" i="124" s="1"/>
  <c r="AN44" i="124"/>
  <c r="AO44" i="124" s="1"/>
  <c r="AP44" i="124" s="1"/>
  <c r="AN101" i="124"/>
  <c r="AO101" i="124" s="1"/>
  <c r="AP101" i="124" s="1"/>
  <c r="AN260" i="124"/>
  <c r="AO260" i="124" s="1"/>
  <c r="AP260" i="124" s="1"/>
  <c r="AN277" i="124"/>
  <c r="AO277" i="124" s="1"/>
  <c r="AP277" i="124" s="1"/>
  <c r="AN29" i="124"/>
  <c r="AO29" i="124" s="1"/>
  <c r="AP29" i="124" s="1"/>
  <c r="AN199" i="124"/>
  <c r="AO199" i="124" s="1"/>
  <c r="AP199" i="124" s="1"/>
  <c r="AN72" i="124"/>
  <c r="AO72" i="124" s="1"/>
  <c r="AP72" i="124" s="1"/>
  <c r="AN134" i="124"/>
  <c r="AO134" i="124" s="1"/>
  <c r="AP134" i="124" s="1"/>
  <c r="K3" i="108" l="1"/>
  <c r="D11" i="120" s="1"/>
  <c r="Q101" i="107" s="1"/>
  <c r="Q48" i="128" s="1"/>
  <c r="DM3" i="108"/>
  <c r="D16" i="120" s="1"/>
  <c r="O3" i="108"/>
  <c r="D7" i="120" s="1"/>
  <c r="Q98" i="107" s="1"/>
  <c r="J3" i="108"/>
  <c r="DL3" i="108"/>
  <c r="D15" i="120" s="1"/>
  <c r="M3" i="108" a="1"/>
  <c r="M3" i="108" s="1"/>
  <c r="AT14" i="121"/>
  <c r="AU14" i="121" s="1"/>
  <c r="W72" i="115"/>
  <c r="X72" i="115" s="1"/>
  <c r="Y72" i="115"/>
  <c r="AW14" i="121"/>
  <c r="AA72" i="115"/>
  <c r="AH14" i="121"/>
  <c r="AC14" i="121"/>
  <c r="AR14" i="121" s="1"/>
  <c r="AP1" i="124"/>
  <c r="AG3" i="113" s="1"/>
  <c r="D32" i="120" l="1"/>
  <c r="D14" i="120"/>
  <c r="Q102" i="107" s="1"/>
  <c r="Q49" i="128" s="1"/>
  <c r="Q45" i="128"/>
  <c r="Q100" i="107"/>
  <c r="AI14" i="121"/>
  <c r="AJ14" i="121"/>
  <c r="AB72" i="115" s="1"/>
  <c r="AO14" i="121"/>
  <c r="Z72" i="115"/>
  <c r="AK3" i="113"/>
  <c r="N8" i="107"/>
  <c r="N8" i="131"/>
  <c r="N8" i="128"/>
  <c r="U126" i="107" l="1"/>
  <c r="U73" i="128" s="1"/>
  <c r="U138" i="107"/>
  <c r="U85" i="128" s="1"/>
  <c r="Q103" i="107"/>
  <c r="Q50" i="128" s="1"/>
  <c r="U123" i="107"/>
  <c r="U70" i="128" s="1"/>
  <c r="AW104" i="107"/>
  <c r="U129" i="107"/>
  <c r="U76" i="128" s="1"/>
  <c r="Q47" i="128"/>
  <c r="AW51" i="128" s="1"/>
  <c r="T103" i="107"/>
  <c r="T50" i="128" s="1"/>
  <c r="F32" i="120"/>
  <c r="Q75" i="128"/>
  <c r="Q73" i="128"/>
  <c r="Q126" i="107"/>
  <c r="Q128" i="107"/>
  <c r="AK14" i="121"/>
  <c r="BQ2" i="108" l="1" a="1"/>
  <c r="BQ2" i="108" s="1"/>
  <c r="BQ1" i="108" s="1"/>
  <c r="V7" i="128"/>
  <c r="BQ4" i="108"/>
  <c r="BR7" i="108"/>
  <c r="U7" i="108" l="1"/>
  <c r="V7" i="108" s="1"/>
  <c r="CJ7" i="108" s="1"/>
  <c r="CV7" i="108"/>
  <c r="C16" i="108"/>
  <c r="DP12" i="108" s="1"/>
  <c r="A6" i="109"/>
  <c r="A3" i="109"/>
  <c r="BS7" i="108"/>
  <c r="BT7" i="108"/>
  <c r="BD7" i="108" l="1"/>
  <c r="BE7" i="108" s="1"/>
  <c r="BJ7" i="108" s="1"/>
  <c r="BH7" i="108"/>
  <c r="BM7" i="108" s="1"/>
  <c r="BG7" i="108"/>
  <c r="BL7" i="108" s="1"/>
  <c r="DC7" i="108"/>
  <c r="DD7" i="108" s="1"/>
  <c r="AQ7" i="108" s="1"/>
  <c r="DZ12" i="108"/>
  <c r="DT12" i="108"/>
  <c r="DY12" i="108"/>
  <c r="DS12" i="108"/>
  <c r="DQ12" i="108"/>
  <c r="DW12" i="108"/>
  <c r="DR12" i="108"/>
  <c r="DX12" i="108"/>
  <c r="DP41" i="108"/>
  <c r="DP36" i="108"/>
  <c r="DP24" i="108"/>
  <c r="C66" i="121"/>
  <c r="DP20" i="108"/>
  <c r="DP10" i="108"/>
  <c r="DP16" i="108"/>
  <c r="DP31" i="108"/>
  <c r="DP8" i="108"/>
  <c r="DP28" i="108"/>
  <c r="DV12" i="108"/>
  <c r="EB12" i="108"/>
  <c r="D4" i="115"/>
  <c r="DP37" i="108"/>
  <c r="DP33" i="108"/>
  <c r="DP19" i="108"/>
  <c r="DQ19" i="108" s="1"/>
  <c r="DP30" i="108"/>
  <c r="DZ30" i="108" s="1"/>
  <c r="C66" i="108"/>
  <c r="C48" i="121"/>
  <c r="D48" i="121" s="1"/>
  <c r="DP27" i="108"/>
  <c r="DP15" i="108"/>
  <c r="DP22" i="108"/>
  <c r="DP14" i="108"/>
  <c r="DP21" i="108"/>
  <c r="DP29" i="108"/>
  <c r="DP25" i="108"/>
  <c r="DP23" i="108"/>
  <c r="DP32" i="108"/>
  <c r="C16" i="121"/>
  <c r="AX8" i="121" s="1"/>
  <c r="DP17" i="108"/>
  <c r="DP9" i="108"/>
  <c r="DP13" i="108"/>
  <c r="DP40" i="108"/>
  <c r="DP35" i="108"/>
  <c r="DP39" i="108"/>
  <c r="DP38" i="108"/>
  <c r="DP34" i="108"/>
  <c r="DP11" i="108"/>
  <c r="DZ11" i="108" s="1"/>
  <c r="DP42" i="108"/>
  <c r="DP18" i="108"/>
  <c r="DP26" i="108"/>
  <c r="DU21" i="108"/>
  <c r="AB7" i="115"/>
  <c r="CA7" i="108"/>
  <c r="BP7" i="108"/>
  <c r="DP7" i="108" s="1"/>
  <c r="DS35" i="108"/>
  <c r="DZ16" i="108"/>
  <c r="DT16" i="108"/>
  <c r="DQ36" i="108"/>
  <c r="EB20" i="108"/>
  <c r="DU41" i="108"/>
  <c r="EA41" i="108"/>
  <c r="DQ9" i="108" l="1"/>
  <c r="DW9" i="108"/>
  <c r="DV13" i="108"/>
  <c r="EB13" i="108"/>
  <c r="AC40" i="115"/>
  <c r="BF7" i="108"/>
  <c r="BK7" i="108" s="1"/>
  <c r="R42" i="115"/>
  <c r="T42" i="115" s="1"/>
  <c r="AC36" i="115"/>
  <c r="AC101" i="115"/>
  <c r="AC104" i="115"/>
  <c r="AC103" i="115"/>
  <c r="AC102" i="115"/>
  <c r="AC105" i="115"/>
  <c r="AC106" i="115"/>
  <c r="R106" i="115"/>
  <c r="T106" i="115" s="1"/>
  <c r="R101" i="115"/>
  <c r="T101" i="115" s="1"/>
  <c r="R105" i="115"/>
  <c r="T105" i="115" s="1"/>
  <c r="R104" i="115"/>
  <c r="T104" i="115" s="1"/>
  <c r="R103" i="115"/>
  <c r="T103" i="115" s="1"/>
  <c r="R102" i="115"/>
  <c r="T102" i="115" s="1"/>
  <c r="DS10" i="108"/>
  <c r="EA10" i="108"/>
  <c r="DU10" i="108"/>
  <c r="DZ39" i="108"/>
  <c r="DT39" i="108"/>
  <c r="DT22" i="108"/>
  <c r="DZ22" i="108"/>
  <c r="DQ42" i="108"/>
  <c r="DV42" i="108"/>
  <c r="EB42" i="108"/>
  <c r="DW40" i="108"/>
  <c r="DQ40" i="108"/>
  <c r="DV33" i="108"/>
  <c r="DU33" i="108"/>
  <c r="EA33" i="108"/>
  <c r="DT24" i="108"/>
  <c r="DZ24" i="108"/>
  <c r="DT31" i="108"/>
  <c r="DZ31" i="108"/>
  <c r="DZ34" i="108"/>
  <c r="DT34" i="108"/>
  <c r="DY16" i="108"/>
  <c r="DS16" i="108"/>
  <c r="DZ41" i="108"/>
  <c r="DT41" i="108"/>
  <c r="DV38" i="108"/>
  <c r="EB38" i="108"/>
  <c r="EA21" i="108"/>
  <c r="DT21" i="108"/>
  <c r="DZ21" i="108"/>
  <c r="DV20" i="108"/>
  <c r="DT20" i="108"/>
  <c r="DZ20" i="108"/>
  <c r="DT35" i="108"/>
  <c r="DZ35" i="108"/>
  <c r="DY7" i="108"/>
  <c r="DV7" i="108"/>
  <c r="EB7" i="108"/>
  <c r="DT23" i="108"/>
  <c r="DZ23" i="108"/>
  <c r="DT8" i="108"/>
  <c r="DZ8" i="108"/>
  <c r="DW24" i="108"/>
  <c r="DQ24" i="108"/>
  <c r="DT27" i="108"/>
  <c r="DZ27" i="108"/>
  <c r="DZ37" i="108"/>
  <c r="DT37" i="108"/>
  <c r="DY18" i="108"/>
  <c r="DT18" i="108"/>
  <c r="DZ18" i="108"/>
  <c r="DV32" i="108"/>
  <c r="EB32" i="108"/>
  <c r="DT26" i="108"/>
  <c r="DZ26" i="108"/>
  <c r="DW38" i="108"/>
  <c r="DQ38" i="108"/>
  <c r="DY35" i="108"/>
  <c r="EA35" i="108"/>
  <c r="DU35" i="108"/>
  <c r="DW22" i="108"/>
  <c r="DQ22" i="108"/>
  <c r="DQ28" i="108"/>
  <c r="DW28" i="108"/>
  <c r="DX24" i="108"/>
  <c r="DR24" i="108"/>
  <c r="DU37" i="108"/>
  <c r="EA37" i="108"/>
  <c r="DY31" i="108"/>
  <c r="DS31" i="108"/>
  <c r="DY34" i="108"/>
  <c r="DS34" i="108"/>
  <c r="DV29" i="108"/>
  <c r="EB29" i="108"/>
  <c r="DV16" i="108"/>
  <c r="EB16" i="108"/>
  <c r="DT30" i="108"/>
  <c r="BI7" i="108"/>
  <c r="BN7" i="108" s="1"/>
  <c r="AP7" i="108"/>
  <c r="AR7" i="108" s="1"/>
  <c r="DK7" i="108"/>
  <c r="DY8" i="108"/>
  <c r="DS8" i="108"/>
  <c r="DW19" i="108"/>
  <c r="EB33" i="108"/>
  <c r="DR7" i="108"/>
  <c r="DX7" i="108"/>
  <c r="BH8" i="121"/>
  <c r="BB8" i="121"/>
  <c r="DU22" i="108"/>
  <c r="DR22" i="108"/>
  <c r="DX22" i="108"/>
  <c r="DS28" i="108"/>
  <c r="DY28" i="108"/>
  <c r="DY23" i="108"/>
  <c r="DS23" i="108"/>
  <c r="DR37" i="108"/>
  <c r="DX37" i="108"/>
  <c r="DV36" i="108"/>
  <c r="EB36" i="108"/>
  <c r="EB21" i="108"/>
  <c r="DV21" i="108"/>
  <c r="EB26" i="108"/>
  <c r="DV26" i="108"/>
  <c r="DV30" i="108"/>
  <c r="EB30" i="108"/>
  <c r="DS18" i="108"/>
  <c r="DV8" i="108"/>
  <c r="EB8" i="108"/>
  <c r="DW18" i="108"/>
  <c r="DQ18" i="108"/>
  <c r="DT19" i="108"/>
  <c r="DZ19" i="108"/>
  <c r="DU28" i="108"/>
  <c r="EA28" i="108"/>
  <c r="DS13" i="108"/>
  <c r="DY13" i="108"/>
  <c r="DY25" i="108"/>
  <c r="DS25" i="108"/>
  <c r="DR27" i="108"/>
  <c r="DX27" i="108"/>
  <c r="DW23" i="108"/>
  <c r="DQ23" i="108"/>
  <c r="DW29" i="108"/>
  <c r="DQ29" i="108"/>
  <c r="DV10" i="108"/>
  <c r="DW10" i="108"/>
  <c r="DQ10" i="108"/>
  <c r="DS21" i="108"/>
  <c r="DY21" i="108"/>
  <c r="DR30" i="108"/>
  <c r="DX30" i="108"/>
  <c r="EA20" i="108"/>
  <c r="DR20" i="108"/>
  <c r="DX20" i="108"/>
  <c r="DS26" i="108"/>
  <c r="DY26" i="108"/>
  <c r="DV19" i="108"/>
  <c r="EB19" i="108"/>
  <c r="DU24" i="108"/>
  <c r="DV24" i="108"/>
  <c r="EB24" i="108"/>
  <c r="DR25" i="108"/>
  <c r="DX25" i="108"/>
  <c r="DR31" i="108"/>
  <c r="DX31" i="108"/>
  <c r="DU34" i="108"/>
  <c r="EB34" i="108"/>
  <c r="DV34" i="108"/>
  <c r="DX29" i="108"/>
  <c r="DR29" i="108"/>
  <c r="DV17" i="108"/>
  <c r="EB17" i="108"/>
  <c r="DU14" i="108"/>
  <c r="EA14" i="108"/>
  <c r="DR18" i="108"/>
  <c r="DX18" i="108"/>
  <c r="DT11" i="108"/>
  <c r="EB11" i="108"/>
  <c r="DV11" i="108"/>
  <c r="DS17" i="108"/>
  <c r="DY17" i="108"/>
  <c r="DX14" i="108"/>
  <c r="DR14" i="108"/>
  <c r="DW15" i="108"/>
  <c r="EB15" i="108"/>
  <c r="DV15" i="108"/>
  <c r="DT13" i="108"/>
  <c r="DU13" i="108"/>
  <c r="EA13" i="108"/>
  <c r="DX16" i="108"/>
  <c r="DR16" i="108"/>
  <c r="DU25" i="108"/>
  <c r="DT25" i="108"/>
  <c r="DZ25" i="108"/>
  <c r="DQ27" i="108"/>
  <c r="DW27" i="108"/>
  <c r="DY37" i="108"/>
  <c r="DQ37" i="108"/>
  <c r="DW37" i="108"/>
  <c r="EB31" i="108"/>
  <c r="DW31" i="108"/>
  <c r="DQ31" i="108"/>
  <c r="DX36" i="108"/>
  <c r="DU36" i="108"/>
  <c r="EA36" i="108"/>
  <c r="DS9" i="108"/>
  <c r="DX9" i="108"/>
  <c r="DR9" i="108"/>
  <c r="DS29" i="108"/>
  <c r="DU29" i="108"/>
  <c r="EA29" i="108"/>
  <c r="DQ16" i="108"/>
  <c r="DU16" i="108"/>
  <c r="EA16" i="108"/>
  <c r="DW41" i="108"/>
  <c r="DQ41" i="108"/>
  <c r="DU38" i="108"/>
  <c r="EA38" i="108"/>
  <c r="DZ17" i="108"/>
  <c r="DU17" i="108"/>
  <c r="EA17" i="108"/>
  <c r="DQ21" i="108"/>
  <c r="DW21" i="108"/>
  <c r="EA39" i="108"/>
  <c r="DR39" i="108"/>
  <c r="DX39" i="108"/>
  <c r="DS14" i="108"/>
  <c r="DY14" i="108"/>
  <c r="DY30" i="108"/>
  <c r="DS30" i="108"/>
  <c r="EA18" i="108"/>
  <c r="DU18" i="108"/>
  <c r="DY32" i="108"/>
  <c r="DS32" i="108"/>
  <c r="DU19" i="108"/>
  <c r="EA19" i="108"/>
  <c r="DR28" i="108"/>
  <c r="DV28" i="108"/>
  <c r="EB28" i="108"/>
  <c r="DW26" i="108"/>
  <c r="EA26" i="108"/>
  <c r="DU26" i="108"/>
  <c r="DX40" i="108"/>
  <c r="EA40" i="108"/>
  <c r="DU40" i="108"/>
  <c r="DY33" i="108"/>
  <c r="DS33" i="108"/>
  <c r="DX8" i="108"/>
  <c r="DQ8" i="108"/>
  <c r="DW8" i="108"/>
  <c r="DU7" i="108"/>
  <c r="EA7" i="108"/>
  <c r="DQ26" i="108"/>
  <c r="DW16" i="108"/>
  <c r="BF8" i="121"/>
  <c r="AZ8" i="121"/>
  <c r="DW42" i="108"/>
  <c r="DS37" i="108"/>
  <c r="R75" i="115"/>
  <c r="T75" i="115" s="1"/>
  <c r="BE8" i="121"/>
  <c r="AY8" i="121"/>
  <c r="BC8" i="121"/>
  <c r="BI8" i="121"/>
  <c r="AC39" i="115"/>
  <c r="EA31" i="108"/>
  <c r="AC42" i="115"/>
  <c r="DT17" i="108"/>
  <c r="DW36" i="108"/>
  <c r="R41" i="115"/>
  <c r="T41" i="115" s="1"/>
  <c r="AC41" i="115"/>
  <c r="R39" i="115"/>
  <c r="T39" i="115" s="1"/>
  <c r="DU31" i="108"/>
  <c r="R40" i="115"/>
  <c r="T40" i="115" s="1"/>
  <c r="DU39" i="108"/>
  <c r="AC72" i="115"/>
  <c r="AC66" i="115"/>
  <c r="AC21" i="115"/>
  <c r="AC67" i="115"/>
  <c r="R33" i="115"/>
  <c r="T33" i="115" s="1"/>
  <c r="R86" i="115"/>
  <c r="T86" i="115" s="1"/>
  <c r="AC81" i="115"/>
  <c r="R83" i="115"/>
  <c r="T83" i="115" s="1"/>
  <c r="BJ8" i="121"/>
  <c r="BD8" i="121"/>
  <c r="R82" i="115"/>
  <c r="T82" i="115" s="1"/>
  <c r="R22" i="115"/>
  <c r="T22" i="115" s="1"/>
  <c r="R12" i="115"/>
  <c r="T12" i="115" s="1"/>
  <c r="R100" i="115"/>
  <c r="T100" i="115" s="1"/>
  <c r="AC97" i="115"/>
  <c r="AC87" i="115"/>
  <c r="AC31" i="115"/>
  <c r="R21" i="115"/>
  <c r="T21" i="115" s="1"/>
  <c r="R14" i="115"/>
  <c r="T14" i="115" s="1"/>
  <c r="R80" i="115"/>
  <c r="T80" i="115" s="1"/>
  <c r="R73" i="115"/>
  <c r="T73" i="115" s="1"/>
  <c r="AC73" i="115"/>
  <c r="AC28" i="115"/>
  <c r="AC91" i="115"/>
  <c r="AC83" i="115"/>
  <c r="AC79" i="115"/>
  <c r="R68" i="115"/>
  <c r="T68" i="115" s="1"/>
  <c r="R92" i="115"/>
  <c r="T92" i="115" s="1"/>
  <c r="AC30" i="115"/>
  <c r="AC8" i="115"/>
  <c r="AC84" i="115"/>
  <c r="R26" i="115"/>
  <c r="T26" i="115" s="1"/>
  <c r="R79" i="115"/>
  <c r="T79" i="115" s="1"/>
  <c r="R99" i="115"/>
  <c r="T99" i="115" s="1"/>
  <c r="AC27" i="115"/>
  <c r="AC17" i="115"/>
  <c r="AC80" i="115"/>
  <c r="AC19" i="115"/>
  <c r="R20" i="115"/>
  <c r="T20" i="115" s="1"/>
  <c r="R8" i="115"/>
  <c r="T8" i="115" s="1"/>
  <c r="R18" i="115"/>
  <c r="T18" i="115" s="1"/>
  <c r="R35" i="115"/>
  <c r="T35" i="115" s="1"/>
  <c r="R90" i="115"/>
  <c r="T90" i="115" s="1"/>
  <c r="AC86" i="115"/>
  <c r="AC96" i="115"/>
  <c r="AC74" i="115"/>
  <c r="AC68" i="115"/>
  <c r="AC93" i="115"/>
  <c r="DY24" i="108"/>
  <c r="DR36" i="108"/>
  <c r="DS24" i="108"/>
  <c r="DZ13" i="108"/>
  <c r="EA22" i="108"/>
  <c r="DX28" i="108"/>
  <c r="EA8" i="108"/>
  <c r="EA24" i="108"/>
  <c r="DU8" i="108"/>
  <c r="DR40" i="108"/>
  <c r="EA25" i="108"/>
  <c r="EA34" i="108"/>
  <c r="DQ15" i="108"/>
  <c r="DQ11" i="108"/>
  <c r="DW11" i="108"/>
  <c r="DT9" i="108"/>
  <c r="DZ9" i="108"/>
  <c r="DZ10" i="108"/>
  <c r="EB10" i="108"/>
  <c r="BA8" i="121"/>
  <c r="BG8" i="121"/>
  <c r="AX44" i="121"/>
  <c r="AX38" i="121"/>
  <c r="AX30" i="121"/>
  <c r="AX20" i="121"/>
  <c r="AX48" i="121"/>
  <c r="AX36" i="121"/>
  <c r="BB36" i="121" s="1"/>
  <c r="AX11" i="121"/>
  <c r="AX34" i="121"/>
  <c r="AX22" i="121"/>
  <c r="AX10" i="121"/>
  <c r="AX31" i="121"/>
  <c r="AX33" i="121"/>
  <c r="AX17" i="121"/>
  <c r="BH17" i="121" s="1"/>
  <c r="AX47" i="121"/>
  <c r="AX21" i="121"/>
  <c r="DT10" i="108"/>
  <c r="DR8" i="108"/>
  <c r="R67" i="115"/>
  <c r="T67" i="115" s="1"/>
  <c r="R15" i="115"/>
  <c r="T15" i="115" s="1"/>
  <c r="R65" i="115"/>
  <c r="T65" i="115" s="1"/>
  <c r="R30" i="115"/>
  <c r="T30" i="115" s="1"/>
  <c r="R98" i="115"/>
  <c r="T98" i="115" s="1"/>
  <c r="R93" i="115"/>
  <c r="T93" i="115" s="1"/>
  <c r="R24" i="115"/>
  <c r="T24" i="115" s="1"/>
  <c r="R34" i="115"/>
  <c r="T34" i="115" s="1"/>
  <c r="R27" i="115"/>
  <c r="T27" i="115" s="1"/>
  <c r="AC70" i="115"/>
  <c r="AC69" i="115"/>
  <c r="AC12" i="115"/>
  <c r="AC92" i="115"/>
  <c r="AC32" i="115"/>
  <c r="AC34" i="115"/>
  <c r="AC88" i="115"/>
  <c r="AC95" i="115"/>
  <c r="AX14" i="121"/>
  <c r="AX26" i="121"/>
  <c r="AX43" i="121"/>
  <c r="AX41" i="121"/>
  <c r="AX12" i="121"/>
  <c r="DY29" i="108"/>
  <c r="R95" i="115"/>
  <c r="T95" i="115" s="1"/>
  <c r="R96" i="115"/>
  <c r="T96" i="115" s="1"/>
  <c r="R74" i="115"/>
  <c r="T74" i="115" s="1"/>
  <c r="R16" i="115"/>
  <c r="T16" i="115" s="1"/>
  <c r="R78" i="115"/>
  <c r="T78" i="115" s="1"/>
  <c r="R23" i="115"/>
  <c r="T23" i="115" s="1"/>
  <c r="R94" i="115"/>
  <c r="T94" i="115" s="1"/>
  <c r="R19" i="115"/>
  <c r="T19" i="115" s="1"/>
  <c r="R32" i="115"/>
  <c r="T32" i="115" s="1"/>
  <c r="AC33" i="115"/>
  <c r="AC29" i="115"/>
  <c r="AC37" i="115"/>
  <c r="AC18" i="115"/>
  <c r="AC99" i="115"/>
  <c r="AC94" i="115"/>
  <c r="AC78" i="115"/>
  <c r="AX45" i="121"/>
  <c r="AX24" i="121"/>
  <c r="AX19" i="121"/>
  <c r="AX42" i="121"/>
  <c r="BE42" i="121" s="1"/>
  <c r="AX18" i="121"/>
  <c r="DU20" i="108"/>
  <c r="R72" i="115"/>
  <c r="T72" i="115" s="1"/>
  <c r="R70" i="115"/>
  <c r="T70" i="115" s="1"/>
  <c r="R37" i="115"/>
  <c r="T37" i="115" s="1"/>
  <c r="R77" i="115"/>
  <c r="T77" i="115" s="1"/>
  <c r="R91" i="115"/>
  <c r="T91" i="115" s="1"/>
  <c r="R76" i="115"/>
  <c r="T76" i="115" s="1"/>
  <c r="R84" i="115"/>
  <c r="T84" i="115" s="1"/>
  <c r="R38" i="115"/>
  <c r="T38" i="115" s="1"/>
  <c r="AC13" i="115"/>
  <c r="AC35" i="115"/>
  <c r="AC90" i="115"/>
  <c r="AC65" i="115"/>
  <c r="AC20" i="115"/>
  <c r="AC75" i="115"/>
  <c r="AC24" i="115"/>
  <c r="AC77" i="115"/>
  <c r="AC98" i="115"/>
  <c r="AX35" i="121"/>
  <c r="AX46" i="121"/>
  <c r="AX40" i="121"/>
  <c r="AX7" i="121"/>
  <c r="AX16" i="121"/>
  <c r="R13" i="115"/>
  <c r="T13" i="115" s="1"/>
  <c r="R97" i="115"/>
  <c r="T97" i="115" s="1"/>
  <c r="R69" i="115"/>
  <c r="T69" i="115" s="1"/>
  <c r="R66" i="115"/>
  <c r="T66" i="115" s="1"/>
  <c r="R25" i="115"/>
  <c r="T25" i="115" s="1"/>
  <c r="R28" i="115"/>
  <c r="T28" i="115" s="1"/>
  <c r="R88" i="115"/>
  <c r="T88" i="115" s="1"/>
  <c r="R31" i="115"/>
  <c r="T31" i="115" s="1"/>
  <c r="AC89" i="115"/>
  <c r="AC15" i="115"/>
  <c r="AC16" i="115"/>
  <c r="AC85" i="115"/>
  <c r="AC100" i="115"/>
  <c r="AC23" i="115"/>
  <c r="AC26" i="115"/>
  <c r="AX29" i="121"/>
  <c r="AX39" i="121"/>
  <c r="AX27" i="121"/>
  <c r="AX37" i="121"/>
  <c r="AX15" i="121"/>
  <c r="AX9" i="121"/>
  <c r="DV31" i="108"/>
  <c r="R87" i="115"/>
  <c r="T87" i="115" s="1"/>
  <c r="R36" i="115"/>
  <c r="T36" i="115" s="1"/>
  <c r="R29" i="115"/>
  <c r="T29" i="115" s="1"/>
  <c r="R85" i="115"/>
  <c r="T85" i="115" s="1"/>
  <c r="R89" i="115"/>
  <c r="T89" i="115" s="1"/>
  <c r="R17" i="115"/>
  <c r="T17" i="115" s="1"/>
  <c r="R81" i="115"/>
  <c r="T81" i="115" s="1"/>
  <c r="AC14" i="115"/>
  <c r="AC22" i="115"/>
  <c r="AC76" i="115"/>
  <c r="AC82" i="115"/>
  <c r="AC25" i="115"/>
  <c r="AC38" i="115"/>
  <c r="AX32" i="121"/>
  <c r="AX23" i="121"/>
  <c r="BH23" i="121" s="1"/>
  <c r="AX28" i="121"/>
  <c r="AX25" i="121"/>
  <c r="DV18" i="108"/>
  <c r="EB18" i="108"/>
  <c r="EA30" i="108"/>
  <c r="DU30" i="108"/>
  <c r="DX26" i="108"/>
  <c r="DR26" i="108"/>
  <c r="DX35" i="108"/>
  <c r="DR35" i="108"/>
  <c r="DW13" i="108"/>
  <c r="DQ13" i="108"/>
  <c r="DX21" i="108"/>
  <c r="DR21" i="108"/>
  <c r="DS19" i="108"/>
  <c r="DY19" i="108"/>
  <c r="DY9" i="108"/>
  <c r="DU9" i="108"/>
  <c r="EA9" i="108"/>
  <c r="DT14" i="108"/>
  <c r="DQ14" i="108"/>
  <c r="DW14" i="108"/>
  <c r="DR33" i="108"/>
  <c r="DX33" i="108"/>
  <c r="EA23" i="108"/>
  <c r="DX23" i="108"/>
  <c r="DR23" i="108"/>
  <c r="DT7" i="108"/>
  <c r="DZ7" i="108"/>
  <c r="DR11" i="108"/>
  <c r="DX11" i="108"/>
  <c r="DQ17" i="108"/>
  <c r="DW17" i="108"/>
  <c r="DV22" i="108"/>
  <c r="EB22" i="108"/>
  <c r="DV37" i="108"/>
  <c r="EB37" i="108"/>
  <c r="DR34" i="108"/>
  <c r="DX34" i="108"/>
  <c r="DU15" i="108"/>
  <c r="EA15" i="108"/>
  <c r="AC9" i="115"/>
  <c r="R9" i="115"/>
  <c r="T9" i="115" s="1"/>
  <c r="AC11" i="115"/>
  <c r="R11" i="115"/>
  <c r="T11" i="115" s="1"/>
  <c r="R10" i="115"/>
  <c r="T10" i="115" s="1"/>
  <c r="AC10" i="115"/>
  <c r="DS38" i="108"/>
  <c r="DR38" i="108"/>
  <c r="DX38" i="108"/>
  <c r="DW32" i="108"/>
  <c r="DX32" i="108"/>
  <c r="DR32" i="108"/>
  <c r="DU27" i="108"/>
  <c r="EB27" i="108"/>
  <c r="DV27" i="108"/>
  <c r="DU23" i="108"/>
  <c r="EA27" i="108"/>
  <c r="DQ32" i="108"/>
  <c r="DZ14" i="108"/>
  <c r="DY38" i="108"/>
  <c r="BC37" i="121"/>
  <c r="BG44" i="121"/>
  <c r="BH20" i="121"/>
  <c r="BA43" i="121"/>
  <c r="BG43" i="121"/>
  <c r="DW7" i="108"/>
  <c r="DQ7" i="108"/>
  <c r="AY15" i="121" l="1"/>
  <c r="BE15" i="121"/>
  <c r="BH19" i="121"/>
  <c r="BD19" i="121"/>
  <c r="BJ19" i="121"/>
  <c r="BC7" i="108"/>
  <c r="BB7" i="108" s="1"/>
  <c r="BB37" i="121"/>
  <c r="BH37" i="121"/>
  <c r="BA16" i="121"/>
  <c r="BI16" i="121"/>
  <c r="BC16" i="121"/>
  <c r="BJ39" i="121"/>
  <c r="BC39" i="121"/>
  <c r="BI39" i="121"/>
  <c r="AY48" i="121"/>
  <c r="BD48" i="121"/>
  <c r="BJ48" i="121"/>
  <c r="BH40" i="121"/>
  <c r="BB40" i="121"/>
  <c r="BE46" i="121"/>
  <c r="AY46" i="121"/>
  <c r="BB45" i="121"/>
  <c r="BH45" i="121"/>
  <c r="BG22" i="121"/>
  <c r="BA22" i="121"/>
  <c r="BH30" i="121"/>
  <c r="BB30" i="121"/>
  <c r="BB28" i="121"/>
  <c r="BH28" i="121"/>
  <c r="BH47" i="121"/>
  <c r="BB47" i="121"/>
  <c r="BB41" i="121"/>
  <c r="BH41" i="121"/>
  <c r="BJ38" i="121"/>
  <c r="BD38" i="121"/>
  <c r="BB43" i="121"/>
  <c r="BH43" i="121"/>
  <c r="BJ44" i="121"/>
  <c r="BD44" i="121"/>
  <c r="BI27" i="121"/>
  <c r="BH27" i="121"/>
  <c r="BB27" i="121"/>
  <c r="BD26" i="121"/>
  <c r="BB26" i="121"/>
  <c r="BH26" i="121"/>
  <c r="BB33" i="121"/>
  <c r="BH33" i="121"/>
  <c r="BH14" i="121"/>
  <c r="BB14" i="121"/>
  <c r="BH29" i="121"/>
  <c r="BB29" i="121"/>
  <c r="BB24" i="121"/>
  <c r="BH24" i="121"/>
  <c r="AY30" i="121"/>
  <c r="BE30" i="121"/>
  <c r="AY32" i="121"/>
  <c r="BH32" i="121"/>
  <c r="BB32" i="121"/>
  <c r="BA40" i="121"/>
  <c r="BG40" i="121"/>
  <c r="AZ30" i="121"/>
  <c r="BF30" i="121"/>
  <c r="AY28" i="121"/>
  <c r="BE28" i="121"/>
  <c r="BJ35" i="121"/>
  <c r="BD35" i="121"/>
  <c r="AZ41" i="121"/>
  <c r="BC41" i="121"/>
  <c r="BI41" i="121"/>
  <c r="AY34" i="121"/>
  <c r="BE34" i="121"/>
  <c r="BD37" i="121"/>
  <c r="BG37" i="121"/>
  <c r="BA37" i="121"/>
  <c r="BC43" i="121"/>
  <c r="BI43" i="121"/>
  <c r="BA44" i="121"/>
  <c r="BE44" i="121"/>
  <c r="AY44" i="121"/>
  <c r="BD22" i="121"/>
  <c r="BJ22" i="121"/>
  <c r="BI14" i="121"/>
  <c r="BG14" i="121"/>
  <c r="BA14" i="121"/>
  <c r="BB23" i="121"/>
  <c r="BI37" i="121"/>
  <c r="BE32" i="121"/>
  <c r="BD39" i="121"/>
  <c r="BC14" i="121"/>
  <c r="BE48" i="121"/>
  <c r="BB19" i="121"/>
  <c r="BH36" i="121"/>
  <c r="BC27" i="121"/>
  <c r="AY42" i="121"/>
  <c r="BJ26" i="121"/>
  <c r="BG9" i="121"/>
  <c r="BA9" i="121"/>
  <c r="AZ9" i="121"/>
  <c r="BF9" i="121"/>
  <c r="BH12" i="121"/>
  <c r="BB12" i="121"/>
  <c r="AZ11" i="121"/>
  <c r="BF11" i="121"/>
  <c r="BG10" i="121"/>
  <c r="BA10" i="121"/>
  <c r="BC11" i="121"/>
  <c r="BI11" i="121"/>
  <c r="BE10" i="121"/>
  <c r="AY10" i="121"/>
  <c r="AY9" i="121"/>
  <c r="BE9" i="121"/>
  <c r="BA29" i="121"/>
  <c r="BG29" i="121"/>
  <c r="BJ28" i="121"/>
  <c r="BF28" i="121"/>
  <c r="AZ28" i="121"/>
  <c r="BG34" i="121"/>
  <c r="BA34" i="121"/>
  <c r="BF43" i="121"/>
  <c r="AZ43" i="121"/>
  <c r="BJ32" i="121"/>
  <c r="BD32" i="121"/>
  <c r="BD27" i="121"/>
  <c r="BJ27" i="121"/>
  <c r="BJ42" i="121"/>
  <c r="BD42" i="121"/>
  <c r="BD36" i="121"/>
  <c r="BJ36" i="121"/>
  <c r="BA19" i="121"/>
  <c r="BG19" i="121"/>
  <c r="BJ14" i="121"/>
  <c r="BD14" i="121"/>
  <c r="BG31" i="121"/>
  <c r="BA31" i="121"/>
  <c r="BB25" i="121"/>
  <c r="BH25" i="121"/>
  <c r="BE35" i="121"/>
  <c r="AY35" i="121"/>
  <c r="BC34" i="121"/>
  <c r="BI34" i="121"/>
  <c r="AZ29" i="121"/>
  <c r="BE29" i="121"/>
  <c r="AY29" i="121"/>
  <c r="BB18" i="121"/>
  <c r="BH18" i="121"/>
  <c r="AY24" i="121"/>
  <c r="BE24" i="121"/>
  <c r="BH16" i="121"/>
  <c r="BE16" i="121"/>
  <c r="AY16" i="121"/>
  <c r="BC33" i="121"/>
  <c r="BF33" i="121"/>
  <c r="AZ33" i="121"/>
  <c r="BI33" i="121"/>
  <c r="AZ35" i="121"/>
  <c r="BF35" i="121"/>
  <c r="AZ37" i="121"/>
  <c r="BF37" i="121"/>
  <c r="BA32" i="121"/>
  <c r="BG32" i="121"/>
  <c r="BA27" i="121"/>
  <c r="BG27" i="121"/>
  <c r="BI26" i="121"/>
  <c r="BF26" i="121"/>
  <c r="AZ26" i="121"/>
  <c r="BF36" i="121"/>
  <c r="AZ36" i="121"/>
  <c r="AZ31" i="121"/>
  <c r="BF31" i="121"/>
  <c r="AZ40" i="121"/>
  <c r="BJ40" i="121"/>
  <c r="BD40" i="121"/>
  <c r="BJ25" i="121"/>
  <c r="BD25" i="121"/>
  <c r="BA30" i="121"/>
  <c r="BD30" i="121"/>
  <c r="BJ30" i="121"/>
  <c r="BJ23" i="121"/>
  <c r="BD23" i="121"/>
  <c r="BJ17" i="121"/>
  <c r="BD17" i="121"/>
  <c r="BF24" i="121"/>
  <c r="AZ24" i="121"/>
  <c r="BC20" i="121"/>
  <c r="BI20" i="121"/>
  <c r="BF20" i="121"/>
  <c r="AZ20" i="121"/>
  <c r="BC21" i="121"/>
  <c r="BJ21" i="121"/>
  <c r="BD21" i="121"/>
  <c r="AZ22" i="121"/>
  <c r="BF22" i="121"/>
  <c r="BG23" i="121"/>
  <c r="BA23" i="121"/>
  <c r="BG18" i="121"/>
  <c r="BA18" i="121"/>
  <c r="BE19" i="121"/>
  <c r="BC19" i="121"/>
  <c r="BI19" i="121"/>
  <c r="BJ24" i="121"/>
  <c r="BI24" i="121"/>
  <c r="BC24" i="121"/>
  <c r="AY20" i="121"/>
  <c r="BA20" i="121"/>
  <c r="BG20" i="121"/>
  <c r="BA25" i="121"/>
  <c r="BC25" i="121"/>
  <c r="BI25" i="121"/>
  <c r="AZ46" i="121"/>
  <c r="BI46" i="121"/>
  <c r="BC46" i="121"/>
  <c r="BI45" i="121"/>
  <c r="AZ45" i="121"/>
  <c r="BF45" i="121"/>
  <c r="AY22" i="121"/>
  <c r="BC22" i="121"/>
  <c r="BI22" i="121"/>
  <c r="BC15" i="121"/>
  <c r="AZ15" i="121"/>
  <c r="BF15" i="121"/>
  <c r="BA35" i="121"/>
  <c r="BC35" i="121"/>
  <c r="BI35" i="121"/>
  <c r="BI47" i="121"/>
  <c r="AY47" i="121"/>
  <c r="BE47" i="121"/>
  <c r="AZ34" i="121"/>
  <c r="BJ34" i="121"/>
  <c r="BD34" i="121"/>
  <c r="AY38" i="121"/>
  <c r="BG38" i="121"/>
  <c r="BA38" i="121"/>
  <c r="AY23" i="121"/>
  <c r="BC23" i="121"/>
  <c r="BI23" i="121"/>
  <c r="BJ37" i="121"/>
  <c r="BE37" i="121"/>
  <c r="AY37" i="121"/>
  <c r="AY18" i="121"/>
  <c r="BE18" i="121"/>
  <c r="BD43" i="121"/>
  <c r="BE43" i="121"/>
  <c r="AY43" i="121"/>
  <c r="AZ17" i="121"/>
  <c r="BB17" i="121"/>
  <c r="AZ44" i="121"/>
  <c r="BC44" i="121"/>
  <c r="BI44" i="121"/>
  <c r="BF32" i="121"/>
  <c r="BI32" i="121"/>
  <c r="BC32" i="121"/>
  <c r="AZ27" i="121"/>
  <c r="AY27" i="121"/>
  <c r="BE27" i="121"/>
  <c r="BF42" i="121"/>
  <c r="BI42" i="121"/>
  <c r="BC42" i="121"/>
  <c r="BJ33" i="121"/>
  <c r="AY33" i="121"/>
  <c r="BE33" i="121"/>
  <c r="BI36" i="121"/>
  <c r="BA36" i="121"/>
  <c r="BG36" i="121"/>
  <c r="BF39" i="121"/>
  <c r="BA39" i="121"/>
  <c r="BG39" i="121"/>
  <c r="BF14" i="121"/>
  <c r="AY14" i="121"/>
  <c r="BE14" i="121"/>
  <c r="BI31" i="121"/>
  <c r="BH31" i="121"/>
  <c r="BB31" i="121"/>
  <c r="BF44" i="121"/>
  <c r="BF38" i="121"/>
  <c r="BF17" i="121"/>
  <c r="BJ43" i="121"/>
  <c r="AZ14" i="121"/>
  <c r="AY19" i="121"/>
  <c r="BC26" i="121"/>
  <c r="AZ42" i="121"/>
  <c r="BC31" i="121"/>
  <c r="AZ39" i="121"/>
  <c r="AZ38" i="121"/>
  <c r="BI15" i="121"/>
  <c r="BG35" i="121"/>
  <c r="BC28" i="121"/>
  <c r="BA41" i="121"/>
  <c r="BF34" i="121"/>
  <c r="BB20" i="121"/>
  <c r="BA7" i="121"/>
  <c r="BG7" i="121"/>
  <c r="BC40" i="121"/>
  <c r="BG24" i="121"/>
  <c r="BI29" i="121"/>
  <c r="BA24" i="121"/>
  <c r="BC29" i="121"/>
  <c r="BI40" i="121"/>
  <c r="BC10" i="121"/>
  <c r="BI10" i="121"/>
  <c r="BC9" i="121"/>
  <c r="BI9" i="121"/>
  <c r="AY7" i="121"/>
  <c r="BE7" i="121"/>
  <c r="BF7" i="121"/>
  <c r="AZ7" i="121"/>
  <c r="BB22" i="121"/>
  <c r="BC45" i="121"/>
  <c r="AY21" i="121"/>
  <c r="BI30" i="121"/>
  <c r="AY25" i="121"/>
  <c r="BH22" i="121"/>
  <c r="BF46" i="121"/>
  <c r="BE21" i="121"/>
  <c r="BC30" i="121"/>
  <c r="BE25" i="121"/>
  <c r="AZ32" i="121"/>
  <c r="BB16" i="121"/>
  <c r="BD33" i="121"/>
  <c r="BC36" i="121"/>
  <c r="BI7" i="121"/>
  <c r="BC7" i="121"/>
  <c r="BG15" i="121"/>
  <c r="BA15" i="121"/>
  <c r="BD28" i="121"/>
  <c r="BE38" i="121"/>
  <c r="BG41" i="121"/>
  <c r="BI28" i="121"/>
  <c r="BC47" i="121"/>
  <c r="BH15" i="121"/>
  <c r="BB15" i="121"/>
  <c r="BJ18" i="121"/>
  <c r="BF18" i="121"/>
  <c r="AZ18" i="121"/>
  <c r="AY17" i="121"/>
  <c r="BE17" i="121"/>
  <c r="BJ16" i="121"/>
  <c r="BD16" i="121"/>
  <c r="BG30" i="121"/>
  <c r="BE22" i="121"/>
  <c r="BI21" i="121"/>
  <c r="BG25" i="121"/>
  <c r="BE20" i="121"/>
  <c r="BF29" i="121"/>
  <c r="BB7" i="121"/>
  <c r="BH7" i="121"/>
  <c r="BD24" i="121"/>
  <c r="BF40" i="121"/>
  <c r="BF27" i="121"/>
  <c r="BE23" i="121"/>
  <c r="BD18" i="121"/>
  <c r="BF41" i="121"/>
  <c r="CR7" i="108"/>
  <c r="CS7" i="108" s="1"/>
  <c r="AH7" i="108" s="1"/>
  <c r="CM7" i="108"/>
  <c r="CL7" i="108" s="1"/>
  <c r="DE7" i="108" l="1"/>
  <c r="CX7" i="108"/>
  <c r="CN7" i="108"/>
  <c r="CZ7" i="108"/>
  <c r="CW7" i="108"/>
  <c r="CY7" i="108" l="1"/>
  <c r="AL7" i="108" s="1"/>
  <c r="AK7" i="108" s="1"/>
  <c r="AS7" i="108" s="1"/>
  <c r="AT7" i="108" s="1"/>
  <c r="DA7" i="108"/>
  <c r="CO7" i="108"/>
  <c r="DH7" i="108" l="1"/>
  <c r="AU7" i="108"/>
  <c r="AE7" i="128"/>
  <c r="AV7" i="108"/>
  <c r="AM7" i="128" s="1"/>
  <c r="AM7" i="108"/>
  <c r="Y7" i="108" s="1"/>
  <c r="K8" i="114" s="1"/>
  <c r="AO7" i="108"/>
  <c r="Y8" i="114" l="1"/>
  <c r="Y1" i="114" s="1"/>
  <c r="K1" i="114"/>
  <c r="AD7" i="108"/>
  <c r="S7" i="108"/>
  <c r="P143" i="120" s="1"/>
  <c r="E15" i="109"/>
  <c r="V143" i="120" l="1"/>
  <c r="T143" i="120"/>
  <c r="AA144" i="120"/>
  <c r="T144" i="120"/>
  <c r="S144" i="120"/>
  <c r="V144" i="120"/>
  <c r="Y144" i="120"/>
  <c r="X144" i="120"/>
  <c r="W144" i="120"/>
  <c r="AM1" i="108"/>
  <c r="BY7" i="108"/>
  <c r="BY1" i="108" s="1"/>
  <c r="CO1" i="108"/>
  <c r="CA1" i="108"/>
  <c r="W1" i="108"/>
  <c r="BR5" i="108"/>
  <c r="X1" i="108"/>
  <c r="AA1" i="108"/>
  <c r="AV1" i="108"/>
  <c r="Y1" i="108"/>
  <c r="AB1" i="108"/>
  <c r="AT1" i="108"/>
  <c r="Z1" i="108"/>
  <c r="BW7" i="108"/>
  <c r="AW7" i="108"/>
  <c r="DU1" i="108"/>
  <c r="AC7" i="108"/>
  <c r="CD7" i="108" s="1"/>
  <c r="EA1" i="108"/>
  <c r="O7" i="115"/>
  <c r="EB1" i="108"/>
  <c r="DQ1" i="108"/>
  <c r="BX7" i="108"/>
  <c r="E4" i="109" s="1"/>
  <c r="Q4" i="109" s="1"/>
  <c r="DS1" i="108"/>
  <c r="DW1" i="108"/>
  <c r="I1" i="108"/>
  <c r="CC7" i="108"/>
  <c r="AE7" i="131"/>
  <c r="AE7" i="107" s="1"/>
  <c r="DY1" i="108"/>
  <c r="DO1" i="108" a="1"/>
  <c r="DO1" i="108" s="1"/>
  <c r="D49" i="120" s="1"/>
  <c r="AM7" i="131"/>
  <c r="AI7" i="131"/>
  <c r="AI7" i="107" s="1"/>
  <c r="DV1" i="108"/>
  <c r="BU7" i="108"/>
  <c r="E2" i="109" s="1"/>
  <c r="Q2" i="109" s="1"/>
  <c r="DX1" i="108"/>
  <c r="BV7" i="108"/>
  <c r="E3" i="109" s="1"/>
  <c r="Q3" i="109" s="1"/>
  <c r="DT1" i="108"/>
  <c r="BZ7" i="108"/>
  <c r="BZ1" i="108" s="1"/>
  <c r="K13" i="121"/>
  <c r="DZ1" i="108"/>
  <c r="AA7" i="131"/>
  <c r="BR1" i="108"/>
  <c r="AG1" i="108" a="1"/>
  <c r="AG1" i="108" s="1"/>
  <c r="D45" i="120" s="1"/>
  <c r="DR1" i="108"/>
  <c r="P7" i="108"/>
  <c r="CI7" i="108"/>
  <c r="C26" i="108" l="1"/>
  <c r="E26" i="108" s="1"/>
  <c r="C30" i="108"/>
  <c r="E30" i="108" s="1"/>
  <c r="C22" i="108"/>
  <c r="E22" i="108" s="1"/>
  <c r="C28" i="108"/>
  <c r="E28" i="108" s="1"/>
  <c r="C25" i="108"/>
  <c r="E25" i="108" s="1"/>
  <c r="C19" i="108"/>
  <c r="E19" i="108" s="1"/>
  <c r="C24" i="108"/>
  <c r="E24" i="108" s="1"/>
  <c r="C23" i="108"/>
  <c r="E23" i="108" s="1"/>
  <c r="C27" i="108"/>
  <c r="E27" i="108" s="1"/>
  <c r="C20" i="108"/>
  <c r="E20" i="108" s="1"/>
  <c r="C21" i="108"/>
  <c r="E21" i="108" s="1"/>
  <c r="C29" i="108"/>
  <c r="E29" i="108" s="1"/>
  <c r="Q43" i="131"/>
  <c r="Q19" i="107"/>
  <c r="P19" i="128" s="1"/>
  <c r="BW1" i="108"/>
  <c r="L8" i="114"/>
  <c r="L1" i="114" s="1"/>
  <c r="Z144" i="120"/>
  <c r="AA143" i="120"/>
  <c r="Z143" i="120"/>
  <c r="F48" i="120"/>
  <c r="S143" i="120"/>
  <c r="F47" i="120" s="1"/>
  <c r="X143" i="120"/>
  <c r="Y143" i="120"/>
  <c r="W143" i="120"/>
  <c r="BU1" i="108"/>
  <c r="D46" i="120" s="1"/>
  <c r="AM7" i="107"/>
  <c r="BV1" i="108"/>
  <c r="CG31" i="108" s="1"/>
  <c r="AT31" i="131" s="1"/>
  <c r="E14" i="109"/>
  <c r="AA7" i="107"/>
  <c r="AD2" i="113"/>
  <c r="AH2" i="124" s="1"/>
  <c r="E18" i="109"/>
  <c r="AQ7" i="128"/>
  <c r="BR2" i="108"/>
  <c r="Y24" i="107" s="1"/>
  <c r="Y24" i="128" s="1"/>
  <c r="Y98" i="107"/>
  <c r="K1" i="121"/>
  <c r="AS13" i="121"/>
  <c r="M13" i="121"/>
  <c r="Q13" i="121"/>
  <c r="Q1" i="121" s="1"/>
  <c r="O13" i="121"/>
  <c r="P13" i="121"/>
  <c r="N13" i="121"/>
  <c r="N1" i="121" s="1"/>
  <c r="L13" i="121"/>
  <c r="L1" i="121" s="1"/>
  <c r="S13" i="121"/>
  <c r="CF7" i="108"/>
  <c r="BX1" i="108"/>
  <c r="CI2" i="108"/>
  <c r="D9" i="113" s="1"/>
  <c r="CI3" i="108"/>
  <c r="D9" i="120" s="1"/>
  <c r="E17" i="109"/>
  <c r="AC7" i="115"/>
  <c r="R7" i="115"/>
  <c r="T7" i="115" s="1"/>
  <c r="CB7" i="108"/>
  <c r="CB1" i="108" s="1"/>
  <c r="E5" i="109"/>
  <c r="Q5" i="109" s="1"/>
  <c r="AQ7" i="131"/>
  <c r="CG40" i="108" l="1"/>
  <c r="AT40" i="131" s="1"/>
  <c r="C32" i="108"/>
  <c r="E32" i="108" s="1"/>
  <c r="AI289" i="124"/>
  <c r="AJ289" i="124" s="1"/>
  <c r="AK289" i="124" s="1"/>
  <c r="AI288" i="124"/>
  <c r="AJ288" i="124" s="1"/>
  <c r="AK288" i="124" s="1"/>
  <c r="CG30" i="108"/>
  <c r="AT30" i="131" s="1"/>
  <c r="CG39" i="108"/>
  <c r="AT39" i="131" s="1"/>
  <c r="CG42" i="108"/>
  <c r="AT42" i="131" s="1"/>
  <c r="CG41" i="108"/>
  <c r="AT41" i="131" s="1"/>
  <c r="CG37" i="108"/>
  <c r="AT37" i="131" s="1"/>
  <c r="CG28" i="108"/>
  <c r="AT28" i="131" s="1"/>
  <c r="CG26" i="108"/>
  <c r="AT26" i="131" s="1"/>
  <c r="CG25" i="108"/>
  <c r="AT25" i="131" s="1"/>
  <c r="CG36" i="108"/>
  <c r="AT36" i="131" s="1"/>
  <c r="AQ31" i="128"/>
  <c r="V19" i="107"/>
  <c r="V43" i="131"/>
  <c r="AE43" i="131" s="1"/>
  <c r="AQ31" i="107"/>
  <c r="V19" i="128"/>
  <c r="CG27" i="108"/>
  <c r="AT27" i="131" s="1"/>
  <c r="E4" i="115"/>
  <c r="U160" i="107" s="1"/>
  <c r="U107" i="128" s="1"/>
  <c r="CG35" i="108"/>
  <c r="AT35" i="131" s="1"/>
  <c r="CG17" i="108"/>
  <c r="AT17" i="128" s="1"/>
  <c r="CG34" i="108"/>
  <c r="AT34" i="131" s="1"/>
  <c r="CG18" i="108"/>
  <c r="D111" i="108" s="1"/>
  <c r="CG12" i="108"/>
  <c r="CG13" i="108"/>
  <c r="AT13" i="131" s="1"/>
  <c r="AT13" i="107" s="1"/>
  <c r="CG22" i="108"/>
  <c r="AT22" i="131" s="1"/>
  <c r="CG33" i="108"/>
  <c r="AT33" i="131" s="1"/>
  <c r="CG20" i="108"/>
  <c r="AT20" i="131" s="1"/>
  <c r="CG32" i="108"/>
  <c r="AT32" i="131" s="1"/>
  <c r="CG23" i="108"/>
  <c r="AT23" i="131" s="1"/>
  <c r="CG21" i="108"/>
  <c r="AT21" i="131" s="1"/>
  <c r="A7" i="109"/>
  <c r="C16" i="109"/>
  <c r="C15" i="109"/>
  <c r="C14" i="109"/>
  <c r="CG7" i="108"/>
  <c r="CG10" i="108"/>
  <c r="CG9" i="108"/>
  <c r="CG11" i="108"/>
  <c r="CH9" i="108"/>
  <c r="CH10" i="108"/>
  <c r="CH11" i="108"/>
  <c r="CG14" i="108"/>
  <c r="AT14" i="128" s="1"/>
  <c r="CG38" i="108"/>
  <c r="AT38" i="131" s="1"/>
  <c r="CG16" i="108"/>
  <c r="AT16" i="128" s="1"/>
  <c r="CG8" i="108"/>
  <c r="D101" i="108" s="1"/>
  <c r="CG19" i="108"/>
  <c r="CG29" i="108"/>
  <c r="AT29" i="131" s="1"/>
  <c r="CG15" i="108"/>
  <c r="AT15" i="128" s="1"/>
  <c r="CG24" i="108"/>
  <c r="AT24" i="131" s="1"/>
  <c r="G47" i="120"/>
  <c r="C64" i="120" s="1"/>
  <c r="G48" i="120"/>
  <c r="C65" i="120" s="1"/>
  <c r="Q47" i="107"/>
  <c r="U1" i="124"/>
  <c r="D31" i="113"/>
  <c r="CH15" i="108"/>
  <c r="CH14" i="108"/>
  <c r="CH12" i="108"/>
  <c r="CH8" i="108"/>
  <c r="CH13" i="108"/>
  <c r="CH38" i="108"/>
  <c r="AY38" i="131" s="1"/>
  <c r="CH32" i="108"/>
  <c r="AY32" i="131" s="1"/>
  <c r="CH22" i="108"/>
  <c r="AY22" i="131" s="1"/>
  <c r="CH34" i="108"/>
  <c r="AY34" i="131" s="1"/>
  <c r="CH31" i="108"/>
  <c r="AY31" i="131" s="1"/>
  <c r="BO31" i="131" s="1"/>
  <c r="AV31" i="131" s="1"/>
  <c r="CH24" i="108"/>
  <c r="AY24" i="131" s="1"/>
  <c r="CH23" i="108"/>
  <c r="AY23" i="131" s="1"/>
  <c r="CH29" i="108"/>
  <c r="CH28" i="108"/>
  <c r="AY28" i="131" s="1"/>
  <c r="CH37" i="108"/>
  <c r="AY37" i="131" s="1"/>
  <c r="CH18" i="108"/>
  <c r="CH26" i="108"/>
  <c r="AY26" i="131" s="1"/>
  <c r="CH16" i="108"/>
  <c r="CH42" i="108"/>
  <c r="AY42" i="131" s="1"/>
  <c r="CH17" i="108"/>
  <c r="CH40" i="108"/>
  <c r="AY40" i="131" s="1"/>
  <c r="CH33" i="108"/>
  <c r="AY33" i="131" s="1"/>
  <c r="CH25" i="108"/>
  <c r="AY25" i="131" s="1"/>
  <c r="CH35" i="108"/>
  <c r="AY35" i="131" s="1"/>
  <c r="CH30" i="108"/>
  <c r="CH27" i="108"/>
  <c r="AY27" i="131" s="1"/>
  <c r="CH41" i="108"/>
  <c r="AY41" i="131" s="1"/>
  <c r="CH20" i="108"/>
  <c r="AY20" i="131" s="1"/>
  <c r="CH21" i="108"/>
  <c r="AY21" i="131" s="1"/>
  <c r="CH39" i="108"/>
  <c r="AY39" i="131" s="1"/>
  <c r="CH19" i="108"/>
  <c r="CH36" i="108"/>
  <c r="AY36" i="131" s="1"/>
  <c r="D41" i="120"/>
  <c r="D42" i="120" s="1"/>
  <c r="V13" i="121"/>
  <c r="AM13" i="121"/>
  <c r="AQ13" i="121"/>
  <c r="AB13" i="121"/>
  <c r="AF13" i="121"/>
  <c r="U13" i="121"/>
  <c r="T13" i="121"/>
  <c r="AE13" i="121"/>
  <c r="AE1" i="121" s="1"/>
  <c r="E36" i="120" s="1"/>
  <c r="F35" i="120" s="1"/>
  <c r="AN13" i="121"/>
  <c r="AP13" i="121"/>
  <c r="Y13" i="121"/>
  <c r="W13" i="121"/>
  <c r="Q71" i="115"/>
  <c r="X13" i="121"/>
  <c r="AG13" i="121"/>
  <c r="Z13" i="121"/>
  <c r="U71" i="115" s="1"/>
  <c r="V71" i="115" s="1"/>
  <c r="AD4" i="115" s="1"/>
  <c r="AI88" i="124"/>
  <c r="AJ88" i="124" s="1"/>
  <c r="AK88" i="124" s="1"/>
  <c r="AI37" i="124"/>
  <c r="AJ37" i="124" s="1"/>
  <c r="AK37" i="124" s="1"/>
  <c r="AI267" i="124"/>
  <c r="AJ267" i="124" s="1"/>
  <c r="AK267" i="124" s="1"/>
  <c r="AI208" i="124"/>
  <c r="AJ208" i="124" s="1"/>
  <c r="AK208" i="124" s="1"/>
  <c r="AI272" i="124"/>
  <c r="AJ272" i="124" s="1"/>
  <c r="AK272" i="124" s="1"/>
  <c r="AI6" i="124"/>
  <c r="AJ6" i="124" s="1"/>
  <c r="AK6" i="124" s="1"/>
  <c r="AI128" i="124"/>
  <c r="AJ128" i="124" s="1"/>
  <c r="AK128" i="124" s="1"/>
  <c r="AI151" i="124"/>
  <c r="AJ151" i="124" s="1"/>
  <c r="AK151" i="124" s="1"/>
  <c r="AI194" i="124"/>
  <c r="AJ194" i="124" s="1"/>
  <c r="AK194" i="124" s="1"/>
  <c r="AI240" i="124"/>
  <c r="AJ240" i="124" s="1"/>
  <c r="AK240" i="124" s="1"/>
  <c r="AI122" i="124"/>
  <c r="AJ122" i="124" s="1"/>
  <c r="AK122" i="124" s="1"/>
  <c r="AI105" i="124"/>
  <c r="AJ105" i="124" s="1"/>
  <c r="AK105" i="124" s="1"/>
  <c r="AI207" i="124"/>
  <c r="AJ207" i="124" s="1"/>
  <c r="AK207" i="124" s="1"/>
  <c r="AI209" i="124"/>
  <c r="AJ209" i="124" s="1"/>
  <c r="AK209" i="124" s="1"/>
  <c r="AI77" i="124"/>
  <c r="AJ77" i="124" s="1"/>
  <c r="AK77" i="124" s="1"/>
  <c r="AI154" i="124"/>
  <c r="AJ154" i="124" s="1"/>
  <c r="AK154" i="124" s="1"/>
  <c r="AI256" i="124"/>
  <c r="AJ256" i="124" s="1"/>
  <c r="AK256" i="124" s="1"/>
  <c r="AI32" i="124"/>
  <c r="AJ32" i="124" s="1"/>
  <c r="AK32" i="124" s="1"/>
  <c r="AI262" i="124"/>
  <c r="AJ262" i="124" s="1"/>
  <c r="AK262" i="124" s="1"/>
  <c r="AI20" i="124"/>
  <c r="AJ20" i="124" s="1"/>
  <c r="AK20" i="124" s="1"/>
  <c r="AI212" i="124"/>
  <c r="AJ212" i="124" s="1"/>
  <c r="AK212" i="124" s="1"/>
  <c r="AI220" i="124"/>
  <c r="AJ220" i="124" s="1"/>
  <c r="AK220" i="124" s="1"/>
  <c r="AI61" i="124"/>
  <c r="AJ61" i="124" s="1"/>
  <c r="AK61" i="124" s="1"/>
  <c r="AI278" i="124"/>
  <c r="AJ278" i="124" s="1"/>
  <c r="AK278" i="124" s="1"/>
  <c r="AI140" i="124"/>
  <c r="AJ140" i="124" s="1"/>
  <c r="AK140" i="124" s="1"/>
  <c r="AI9" i="124"/>
  <c r="AJ9" i="124" s="1"/>
  <c r="AK9" i="124" s="1"/>
  <c r="AI53" i="124"/>
  <c r="AJ53" i="124" s="1"/>
  <c r="AK53" i="124" s="1"/>
  <c r="AI238" i="124"/>
  <c r="AJ238" i="124" s="1"/>
  <c r="AK238" i="124" s="1"/>
  <c r="AI261" i="124"/>
  <c r="AJ261" i="124" s="1"/>
  <c r="AK261" i="124" s="1"/>
  <c r="AI233" i="124"/>
  <c r="AJ233" i="124" s="1"/>
  <c r="AK233" i="124" s="1"/>
  <c r="AI181" i="124"/>
  <c r="AJ181" i="124" s="1"/>
  <c r="AK181" i="124" s="1"/>
  <c r="AI79" i="124"/>
  <c r="AJ79" i="124" s="1"/>
  <c r="AK79" i="124" s="1"/>
  <c r="AI228" i="124"/>
  <c r="AJ228" i="124" s="1"/>
  <c r="AK228" i="124" s="1"/>
  <c r="AI160" i="124"/>
  <c r="AJ160" i="124" s="1"/>
  <c r="AK160" i="124" s="1"/>
  <c r="AI102" i="124"/>
  <c r="AJ102" i="124" s="1"/>
  <c r="AK102" i="124" s="1"/>
  <c r="AI221" i="124"/>
  <c r="AJ221" i="124" s="1"/>
  <c r="AK221" i="124" s="1"/>
  <c r="AI198" i="124"/>
  <c r="AJ198" i="124" s="1"/>
  <c r="AK198" i="124" s="1"/>
  <c r="AI158" i="124"/>
  <c r="AJ158" i="124" s="1"/>
  <c r="AK158" i="124" s="1"/>
  <c r="AI202" i="124"/>
  <c r="AJ202" i="124" s="1"/>
  <c r="AK202" i="124" s="1"/>
  <c r="AI148" i="124"/>
  <c r="AJ148" i="124" s="1"/>
  <c r="AK148" i="124" s="1"/>
  <c r="AI246" i="124"/>
  <c r="AJ246" i="124" s="1"/>
  <c r="AK246" i="124" s="1"/>
  <c r="AI99" i="124"/>
  <c r="AJ99" i="124" s="1"/>
  <c r="AK99" i="124" s="1"/>
  <c r="AI46" i="124"/>
  <c r="AJ46" i="124" s="1"/>
  <c r="AK46" i="124" s="1"/>
  <c r="AI155" i="124"/>
  <c r="AJ155" i="124" s="1"/>
  <c r="AK155" i="124" s="1"/>
  <c r="AI67" i="124"/>
  <c r="AJ67" i="124" s="1"/>
  <c r="AK67" i="124" s="1"/>
  <c r="AI205" i="124"/>
  <c r="AJ205" i="124" s="1"/>
  <c r="AK205" i="124" s="1"/>
  <c r="AI7" i="124"/>
  <c r="AJ7" i="124" s="1"/>
  <c r="AK7" i="124" s="1"/>
  <c r="AI21" i="124"/>
  <c r="AJ21" i="124" s="1"/>
  <c r="AK21" i="124" s="1"/>
  <c r="AI287" i="124"/>
  <c r="AJ287" i="124" s="1"/>
  <c r="AK287" i="124" s="1"/>
  <c r="AI137" i="124"/>
  <c r="AJ137" i="124" s="1"/>
  <c r="AK137" i="124" s="1"/>
  <c r="AI157" i="124"/>
  <c r="AJ157" i="124" s="1"/>
  <c r="AK157" i="124" s="1"/>
  <c r="AI156" i="124"/>
  <c r="AJ156" i="124" s="1"/>
  <c r="AK156" i="124" s="1"/>
  <c r="AI106" i="124"/>
  <c r="AJ106" i="124" s="1"/>
  <c r="AK106" i="124" s="1"/>
  <c r="AI74" i="124"/>
  <c r="AJ74" i="124" s="1"/>
  <c r="AK74" i="124" s="1"/>
  <c r="AI96" i="124"/>
  <c r="AJ96" i="124" s="1"/>
  <c r="AK96" i="124" s="1"/>
  <c r="AI149" i="124"/>
  <c r="AJ149" i="124" s="1"/>
  <c r="AK149" i="124" s="1"/>
  <c r="AI132" i="124"/>
  <c r="AJ132" i="124" s="1"/>
  <c r="AK132" i="124" s="1"/>
  <c r="AI130" i="124"/>
  <c r="AJ130" i="124" s="1"/>
  <c r="AK130" i="124" s="1"/>
  <c r="AI59" i="124"/>
  <c r="AJ59" i="124" s="1"/>
  <c r="AK59" i="124" s="1"/>
  <c r="AI190" i="124"/>
  <c r="AJ190" i="124" s="1"/>
  <c r="AK190" i="124" s="1"/>
  <c r="AI210" i="124"/>
  <c r="AJ210" i="124" s="1"/>
  <c r="AK210" i="124" s="1"/>
  <c r="AI147" i="124"/>
  <c r="AJ147" i="124" s="1"/>
  <c r="AK147" i="124" s="1"/>
  <c r="AI131" i="124"/>
  <c r="AJ131" i="124" s="1"/>
  <c r="AK131" i="124" s="1"/>
  <c r="AI112" i="124"/>
  <c r="AJ112" i="124" s="1"/>
  <c r="AK112" i="124" s="1"/>
  <c r="AI45" i="124"/>
  <c r="AJ45" i="124" s="1"/>
  <c r="AK45" i="124" s="1"/>
  <c r="AI133" i="124"/>
  <c r="AJ133" i="124" s="1"/>
  <c r="AK133" i="124" s="1"/>
  <c r="AI259" i="124"/>
  <c r="AJ259" i="124" s="1"/>
  <c r="AK259" i="124" s="1"/>
  <c r="AI171" i="124"/>
  <c r="AJ171" i="124" s="1"/>
  <c r="AK171" i="124" s="1"/>
  <c r="AI113" i="124"/>
  <c r="AJ113" i="124" s="1"/>
  <c r="AK113" i="124" s="1"/>
  <c r="AI225" i="124"/>
  <c r="AJ225" i="124" s="1"/>
  <c r="AK225" i="124" s="1"/>
  <c r="AI236" i="124"/>
  <c r="AJ236" i="124" s="1"/>
  <c r="AK236" i="124" s="1"/>
  <c r="AI253" i="124"/>
  <c r="AJ253" i="124" s="1"/>
  <c r="AK253" i="124" s="1"/>
  <c r="AI282" i="124"/>
  <c r="AJ282" i="124" s="1"/>
  <c r="AK282" i="124" s="1"/>
  <c r="AI153" i="124"/>
  <c r="AJ153" i="124" s="1"/>
  <c r="AK153" i="124" s="1"/>
  <c r="AI196" i="124"/>
  <c r="AJ196" i="124" s="1"/>
  <c r="AK196" i="124" s="1"/>
  <c r="AI224" i="124"/>
  <c r="AJ224" i="124" s="1"/>
  <c r="AK224" i="124" s="1"/>
  <c r="AI268" i="124"/>
  <c r="AJ268" i="124" s="1"/>
  <c r="AK268" i="124" s="1"/>
  <c r="AI118" i="124"/>
  <c r="AJ118" i="124" s="1"/>
  <c r="AK118" i="124" s="1"/>
  <c r="AI204" i="124"/>
  <c r="AJ204" i="124" s="1"/>
  <c r="AK204" i="124" s="1"/>
  <c r="AI191" i="124"/>
  <c r="AJ191" i="124" s="1"/>
  <c r="AK191" i="124" s="1"/>
  <c r="AI43" i="124"/>
  <c r="AJ43" i="124" s="1"/>
  <c r="AK43" i="124" s="1"/>
  <c r="AI170" i="124"/>
  <c r="AJ170" i="124" s="1"/>
  <c r="AK170" i="124" s="1"/>
  <c r="AI199" i="124"/>
  <c r="AJ199" i="124" s="1"/>
  <c r="AK199" i="124" s="1"/>
  <c r="AI206" i="124"/>
  <c r="AJ206" i="124" s="1"/>
  <c r="AK206" i="124" s="1"/>
  <c r="AI260" i="124"/>
  <c r="AJ260" i="124" s="1"/>
  <c r="AK260" i="124" s="1"/>
  <c r="AI219" i="124"/>
  <c r="AJ219" i="124" s="1"/>
  <c r="AK219" i="124" s="1"/>
  <c r="AI257" i="124"/>
  <c r="AJ257" i="124" s="1"/>
  <c r="AK257" i="124" s="1"/>
  <c r="AI266" i="124"/>
  <c r="AJ266" i="124" s="1"/>
  <c r="AK266" i="124" s="1"/>
  <c r="AI178" i="124"/>
  <c r="AJ178" i="124" s="1"/>
  <c r="AK178" i="124" s="1"/>
  <c r="AI179" i="124"/>
  <c r="AJ179" i="124" s="1"/>
  <c r="AK179" i="124" s="1"/>
  <c r="AI13" i="124"/>
  <c r="AJ13" i="124" s="1"/>
  <c r="AK13" i="124" s="1"/>
  <c r="AI279" i="124"/>
  <c r="AJ279" i="124" s="1"/>
  <c r="AK279" i="124" s="1"/>
  <c r="AI152" i="124"/>
  <c r="AJ152" i="124" s="1"/>
  <c r="AK152" i="124" s="1"/>
  <c r="AI136" i="124"/>
  <c r="AJ136" i="124" s="1"/>
  <c r="AK136" i="124" s="1"/>
  <c r="AI70" i="124"/>
  <c r="AJ70" i="124" s="1"/>
  <c r="AK70" i="124" s="1"/>
  <c r="AI165" i="124"/>
  <c r="AJ165" i="124" s="1"/>
  <c r="AK165" i="124" s="1"/>
  <c r="AI244" i="124"/>
  <c r="AJ244" i="124" s="1"/>
  <c r="AK244" i="124" s="1"/>
  <c r="AI49" i="124"/>
  <c r="AJ49" i="124" s="1"/>
  <c r="AK49" i="124" s="1"/>
  <c r="AI187" i="124"/>
  <c r="AJ187" i="124" s="1"/>
  <c r="AK187" i="124" s="1"/>
  <c r="AI189" i="124"/>
  <c r="AJ189" i="124" s="1"/>
  <c r="AK189" i="124" s="1"/>
  <c r="AI271" i="124"/>
  <c r="AJ271" i="124" s="1"/>
  <c r="AK271" i="124" s="1"/>
  <c r="AI223" i="124"/>
  <c r="AJ223" i="124" s="1"/>
  <c r="AK223" i="124" s="1"/>
  <c r="AI104" i="124"/>
  <c r="AJ104" i="124" s="1"/>
  <c r="AK104" i="124" s="1"/>
  <c r="AI40" i="124"/>
  <c r="AJ40" i="124" s="1"/>
  <c r="AK40" i="124" s="1"/>
  <c r="AI92" i="124"/>
  <c r="AJ92" i="124" s="1"/>
  <c r="AK92" i="124" s="1"/>
  <c r="AI146" i="124"/>
  <c r="AJ146" i="124" s="1"/>
  <c r="AK146" i="124" s="1"/>
  <c r="AI63" i="124"/>
  <c r="AJ63" i="124" s="1"/>
  <c r="AK63" i="124" s="1"/>
  <c r="AI270" i="124"/>
  <c r="AJ270" i="124" s="1"/>
  <c r="AK270" i="124" s="1"/>
  <c r="AI64" i="124"/>
  <c r="AJ64" i="124" s="1"/>
  <c r="AK64" i="124" s="1"/>
  <c r="AI69" i="124"/>
  <c r="AJ69" i="124" s="1"/>
  <c r="AK69" i="124" s="1"/>
  <c r="AI134" i="124"/>
  <c r="AJ134" i="124" s="1"/>
  <c r="AK134" i="124" s="1"/>
  <c r="AI274" i="124"/>
  <c r="AJ274" i="124" s="1"/>
  <c r="AK274" i="124" s="1"/>
  <c r="AI108" i="124"/>
  <c r="AJ108" i="124" s="1"/>
  <c r="AK108" i="124" s="1"/>
  <c r="AI230" i="124"/>
  <c r="AJ230" i="124" s="1"/>
  <c r="AK230" i="124" s="1"/>
  <c r="AI218" i="124"/>
  <c r="AJ218" i="124" s="1"/>
  <c r="AK218" i="124" s="1"/>
  <c r="AI120" i="124"/>
  <c r="AJ120" i="124" s="1"/>
  <c r="AK120" i="124" s="1"/>
  <c r="AI263" i="124"/>
  <c r="AJ263" i="124" s="1"/>
  <c r="AK263" i="124" s="1"/>
  <c r="AI111" i="124"/>
  <c r="AJ111" i="124" s="1"/>
  <c r="AK111" i="124" s="1"/>
  <c r="AI50" i="124"/>
  <c r="AJ50" i="124" s="1"/>
  <c r="AK50" i="124" s="1"/>
  <c r="AI81" i="124"/>
  <c r="AJ81" i="124" s="1"/>
  <c r="AK81" i="124" s="1"/>
  <c r="AI35" i="124"/>
  <c r="AJ35" i="124" s="1"/>
  <c r="AK35" i="124" s="1"/>
  <c r="AI8" i="124"/>
  <c r="AJ8" i="124" s="1"/>
  <c r="AK8" i="124" s="1"/>
  <c r="AI235" i="124"/>
  <c r="AJ235" i="124" s="1"/>
  <c r="AK235" i="124" s="1"/>
  <c r="AI72" i="124"/>
  <c r="AJ72" i="124" s="1"/>
  <c r="AK72" i="124" s="1"/>
  <c r="AI12" i="124"/>
  <c r="AJ12" i="124" s="1"/>
  <c r="AK12" i="124" s="1"/>
  <c r="AI251" i="124"/>
  <c r="AJ251" i="124" s="1"/>
  <c r="AK251" i="124" s="1"/>
  <c r="AI93" i="124"/>
  <c r="AJ93" i="124" s="1"/>
  <c r="AK93" i="124" s="1"/>
  <c r="AI166" i="124"/>
  <c r="AJ166" i="124" s="1"/>
  <c r="AK166" i="124" s="1"/>
  <c r="AI167" i="124"/>
  <c r="AJ167" i="124" s="1"/>
  <c r="AK167" i="124" s="1"/>
  <c r="AI19" i="124"/>
  <c r="AJ19" i="124" s="1"/>
  <c r="AK19" i="124" s="1"/>
  <c r="AI217" i="124"/>
  <c r="AJ217" i="124" s="1"/>
  <c r="AK217" i="124" s="1"/>
  <c r="AI195" i="124"/>
  <c r="AJ195" i="124" s="1"/>
  <c r="AK195" i="124" s="1"/>
  <c r="AI280" i="124"/>
  <c r="AJ280" i="124" s="1"/>
  <c r="AK280" i="124" s="1"/>
  <c r="AI76" i="124"/>
  <c r="AJ76" i="124" s="1"/>
  <c r="AK76" i="124" s="1"/>
  <c r="AI126" i="124"/>
  <c r="AJ126" i="124" s="1"/>
  <c r="AK126" i="124" s="1"/>
  <c r="AI119" i="124"/>
  <c r="AJ119" i="124" s="1"/>
  <c r="AK119" i="124" s="1"/>
  <c r="AI283" i="124"/>
  <c r="AJ283" i="124" s="1"/>
  <c r="AK283" i="124" s="1"/>
  <c r="AI129" i="124"/>
  <c r="AJ129" i="124" s="1"/>
  <c r="AK129" i="124" s="1"/>
  <c r="AI138" i="124"/>
  <c r="AJ138" i="124" s="1"/>
  <c r="AK138" i="124" s="1"/>
  <c r="AI68" i="124"/>
  <c r="AJ68" i="124" s="1"/>
  <c r="AK68" i="124" s="1"/>
  <c r="AI123" i="124"/>
  <c r="AJ123" i="124" s="1"/>
  <c r="AK123" i="124" s="1"/>
  <c r="AI121" i="124"/>
  <c r="AJ121" i="124" s="1"/>
  <c r="AK121" i="124" s="1"/>
  <c r="AI168" i="124"/>
  <c r="AJ168" i="124" s="1"/>
  <c r="AK168" i="124" s="1"/>
  <c r="AI39" i="124"/>
  <c r="AJ39" i="124" s="1"/>
  <c r="AK39" i="124" s="1"/>
  <c r="AI150" i="124"/>
  <c r="AJ150" i="124" s="1"/>
  <c r="AK150" i="124" s="1"/>
  <c r="AI245" i="124"/>
  <c r="AJ245" i="124" s="1"/>
  <c r="AK245" i="124" s="1"/>
  <c r="AI24" i="124"/>
  <c r="AJ24" i="124" s="1"/>
  <c r="AK24" i="124" s="1"/>
  <c r="AI231" i="124"/>
  <c r="AJ231" i="124" s="1"/>
  <c r="AK231" i="124" s="1"/>
  <c r="AI161" i="124"/>
  <c r="AJ161" i="124" s="1"/>
  <c r="AK161" i="124" s="1"/>
  <c r="AI107" i="124"/>
  <c r="AJ107" i="124" s="1"/>
  <c r="AK107" i="124" s="1"/>
  <c r="AI226" i="124"/>
  <c r="AJ226" i="124" s="1"/>
  <c r="AK226" i="124" s="1"/>
  <c r="AI89" i="124"/>
  <c r="AJ89" i="124" s="1"/>
  <c r="AK89" i="124" s="1"/>
  <c r="AI232" i="124"/>
  <c r="AJ232" i="124" s="1"/>
  <c r="AK232" i="124" s="1"/>
  <c r="AI4" i="124"/>
  <c r="AJ4" i="124" s="1"/>
  <c r="AK4" i="124" s="1"/>
  <c r="AI85" i="124"/>
  <c r="AJ85" i="124" s="1"/>
  <c r="AK85" i="124" s="1"/>
  <c r="AI173" i="124"/>
  <c r="AJ173" i="124" s="1"/>
  <c r="AK173" i="124" s="1"/>
  <c r="AI51" i="124"/>
  <c r="AJ51" i="124" s="1"/>
  <c r="AK51" i="124" s="1"/>
  <c r="AI23" i="124"/>
  <c r="AJ23" i="124" s="1"/>
  <c r="AK23" i="124" s="1"/>
  <c r="AI78" i="124"/>
  <c r="AJ78" i="124" s="1"/>
  <c r="AK78" i="124" s="1"/>
  <c r="AI87" i="124"/>
  <c r="AJ87" i="124" s="1"/>
  <c r="AK87" i="124" s="1"/>
  <c r="AI273" i="124"/>
  <c r="AJ273" i="124" s="1"/>
  <c r="AK273" i="124" s="1"/>
  <c r="AI214" i="124"/>
  <c r="AJ214" i="124" s="1"/>
  <c r="AK214" i="124" s="1"/>
  <c r="AI139" i="124"/>
  <c r="AJ139" i="124" s="1"/>
  <c r="AK139" i="124" s="1"/>
  <c r="AI127" i="124"/>
  <c r="AJ127" i="124" s="1"/>
  <c r="AK127" i="124" s="1"/>
  <c r="AI48" i="124"/>
  <c r="AJ48" i="124" s="1"/>
  <c r="AK48" i="124" s="1"/>
  <c r="AI65" i="124"/>
  <c r="AJ65" i="124" s="1"/>
  <c r="AK65" i="124" s="1"/>
  <c r="AI211" i="124"/>
  <c r="AJ211" i="124" s="1"/>
  <c r="AK211" i="124" s="1"/>
  <c r="AI73" i="124"/>
  <c r="AJ73" i="124" s="1"/>
  <c r="AK73" i="124" s="1"/>
  <c r="AI281" i="124"/>
  <c r="AJ281" i="124" s="1"/>
  <c r="AK281" i="124" s="1"/>
  <c r="AI124" i="124"/>
  <c r="AJ124" i="124" s="1"/>
  <c r="AK124" i="124" s="1"/>
  <c r="AI109" i="124"/>
  <c r="AJ109" i="124" s="1"/>
  <c r="AK109" i="124" s="1"/>
  <c r="AI144" i="124"/>
  <c r="AJ144" i="124" s="1"/>
  <c r="AK144" i="124" s="1"/>
  <c r="AI234" i="124"/>
  <c r="AJ234" i="124" s="1"/>
  <c r="AK234" i="124" s="1"/>
  <c r="AI203" i="124"/>
  <c r="AJ203" i="124" s="1"/>
  <c r="AK203" i="124" s="1"/>
  <c r="AI229" i="124"/>
  <c r="AJ229" i="124" s="1"/>
  <c r="AK229" i="124" s="1"/>
  <c r="AI269" i="124"/>
  <c r="AJ269" i="124" s="1"/>
  <c r="AK269" i="124" s="1"/>
  <c r="AI169" i="124"/>
  <c r="AJ169" i="124" s="1"/>
  <c r="AK169" i="124" s="1"/>
  <c r="AI97" i="124"/>
  <c r="AJ97" i="124" s="1"/>
  <c r="AK97" i="124" s="1"/>
  <c r="AI264" i="124"/>
  <c r="AJ264" i="124" s="1"/>
  <c r="AK264" i="124" s="1"/>
  <c r="AI135" i="124"/>
  <c r="AJ135" i="124" s="1"/>
  <c r="AK135" i="124" s="1"/>
  <c r="AI200" i="124"/>
  <c r="AJ200" i="124" s="1"/>
  <c r="AK200" i="124" s="1"/>
  <c r="AI247" i="124"/>
  <c r="AJ247" i="124" s="1"/>
  <c r="AK247" i="124" s="1"/>
  <c r="AI145" i="124"/>
  <c r="AJ145" i="124" s="1"/>
  <c r="AK145" i="124" s="1"/>
  <c r="AI95" i="124"/>
  <c r="AJ95" i="124" s="1"/>
  <c r="AK95" i="124" s="1"/>
  <c r="AI239" i="124"/>
  <c r="AJ239" i="124" s="1"/>
  <c r="AK239" i="124" s="1"/>
  <c r="AI94" i="124"/>
  <c r="AJ94" i="124" s="1"/>
  <c r="AK94" i="124" s="1"/>
  <c r="AI265" i="124"/>
  <c r="AJ265" i="124" s="1"/>
  <c r="AK265" i="124" s="1"/>
  <c r="AI22" i="124"/>
  <c r="AJ22" i="124" s="1"/>
  <c r="AK22" i="124" s="1"/>
  <c r="AI60" i="124"/>
  <c r="AJ60" i="124" s="1"/>
  <c r="AK60" i="124" s="1"/>
  <c r="AI56" i="124"/>
  <c r="AJ56" i="124" s="1"/>
  <c r="AK56" i="124" s="1"/>
  <c r="AI254" i="124"/>
  <c r="AJ254" i="124" s="1"/>
  <c r="AK254" i="124" s="1"/>
  <c r="AI31" i="124"/>
  <c r="AJ31" i="124" s="1"/>
  <c r="AK31" i="124" s="1"/>
  <c r="AI41" i="124"/>
  <c r="AJ41" i="124" s="1"/>
  <c r="AK41" i="124" s="1"/>
  <c r="AI227" i="124"/>
  <c r="AJ227" i="124" s="1"/>
  <c r="AK227" i="124" s="1"/>
  <c r="AI115" i="124"/>
  <c r="AJ115" i="124" s="1"/>
  <c r="AK115" i="124" s="1"/>
  <c r="AI114" i="124"/>
  <c r="AJ114" i="124" s="1"/>
  <c r="AK114" i="124" s="1"/>
  <c r="AI80" i="124"/>
  <c r="AJ80" i="124" s="1"/>
  <c r="AK80" i="124" s="1"/>
  <c r="AI193" i="124"/>
  <c r="AJ193" i="124" s="1"/>
  <c r="AK193" i="124" s="1"/>
  <c r="AI285" i="124"/>
  <c r="AJ285" i="124" s="1"/>
  <c r="AK285" i="124" s="1"/>
  <c r="AI186" i="124"/>
  <c r="AJ186" i="124" s="1"/>
  <c r="AK186" i="124" s="1"/>
  <c r="AI101" i="124"/>
  <c r="AJ101" i="124" s="1"/>
  <c r="AK101" i="124" s="1"/>
  <c r="AI86" i="124"/>
  <c r="AJ86" i="124" s="1"/>
  <c r="AK86" i="124" s="1"/>
  <c r="AI286" i="124"/>
  <c r="AJ286" i="124" s="1"/>
  <c r="AK286" i="124" s="1"/>
  <c r="AI164" i="124"/>
  <c r="AJ164" i="124" s="1"/>
  <c r="AK164" i="124" s="1"/>
  <c r="AI141" i="124"/>
  <c r="AJ141" i="124" s="1"/>
  <c r="AK141" i="124" s="1"/>
  <c r="AI222" i="124"/>
  <c r="AJ222" i="124" s="1"/>
  <c r="AK222" i="124" s="1"/>
  <c r="AI117" i="124"/>
  <c r="AJ117" i="124" s="1"/>
  <c r="AK117" i="124" s="1"/>
  <c r="AI284" i="124"/>
  <c r="AJ284" i="124" s="1"/>
  <c r="AK284" i="124" s="1"/>
  <c r="AI44" i="124"/>
  <c r="AJ44" i="124" s="1"/>
  <c r="AK44" i="124" s="1"/>
  <c r="AI258" i="124"/>
  <c r="AJ258" i="124" s="1"/>
  <c r="AK258" i="124" s="1"/>
  <c r="AI237" i="124"/>
  <c r="AJ237" i="124" s="1"/>
  <c r="AK237" i="124" s="1"/>
  <c r="AI252" i="124"/>
  <c r="AJ252" i="124" s="1"/>
  <c r="AK252" i="124" s="1"/>
  <c r="AI125" i="124"/>
  <c r="AJ125" i="124" s="1"/>
  <c r="AK125" i="124" s="1"/>
  <c r="AI116" i="124"/>
  <c r="AJ116" i="124" s="1"/>
  <c r="AK116" i="124" s="1"/>
  <c r="AI201" i="124"/>
  <c r="AJ201" i="124" s="1"/>
  <c r="AK201" i="124" s="1"/>
  <c r="AI243" i="124"/>
  <c r="AJ243" i="124" s="1"/>
  <c r="AK243" i="124" s="1"/>
  <c r="AI159" i="124"/>
  <c r="AJ159" i="124" s="1"/>
  <c r="AK159" i="124" s="1"/>
  <c r="AI98" i="124"/>
  <c r="AJ98" i="124" s="1"/>
  <c r="AK98" i="124" s="1"/>
  <c r="AI75" i="124"/>
  <c r="AJ75" i="124" s="1"/>
  <c r="AK75" i="124" s="1"/>
  <c r="AI162" i="124"/>
  <c r="AJ162" i="124" s="1"/>
  <c r="AK162" i="124" s="1"/>
  <c r="AI277" i="124"/>
  <c r="AJ277" i="124" s="1"/>
  <c r="AK277" i="124" s="1"/>
  <c r="AI33" i="124"/>
  <c r="AJ33" i="124" s="1"/>
  <c r="AK33" i="124" s="1"/>
  <c r="AI47" i="124"/>
  <c r="AJ47" i="124" s="1"/>
  <c r="AK47" i="124" s="1"/>
  <c r="AI180" i="124"/>
  <c r="AJ180" i="124" s="1"/>
  <c r="AK180" i="124" s="1"/>
  <c r="AI250" i="124"/>
  <c r="AJ250" i="124" s="1"/>
  <c r="AK250" i="124" s="1"/>
  <c r="AI241" i="124"/>
  <c r="AJ241" i="124" s="1"/>
  <c r="AK241" i="124" s="1"/>
  <c r="AI276" i="124"/>
  <c r="AJ276" i="124" s="1"/>
  <c r="AK276" i="124" s="1"/>
  <c r="AI143" i="124"/>
  <c r="AJ143" i="124" s="1"/>
  <c r="AK143" i="124" s="1"/>
  <c r="AI248" i="124"/>
  <c r="AJ248" i="124" s="1"/>
  <c r="AK248" i="124" s="1"/>
  <c r="AI163" i="124"/>
  <c r="AJ163" i="124" s="1"/>
  <c r="AK163" i="124" s="1"/>
  <c r="AI172" i="124"/>
  <c r="AJ172" i="124" s="1"/>
  <c r="AK172" i="124" s="1"/>
  <c r="AI249" i="124"/>
  <c r="AJ249" i="124" s="1"/>
  <c r="AK249" i="124" s="1"/>
  <c r="AI215" i="124"/>
  <c r="AJ215" i="124" s="1"/>
  <c r="AK215" i="124" s="1"/>
  <c r="AI42" i="124"/>
  <c r="AJ42" i="124" s="1"/>
  <c r="AK42" i="124" s="1"/>
  <c r="AI275" i="124"/>
  <c r="AJ275" i="124" s="1"/>
  <c r="AK275" i="124" s="1"/>
  <c r="AI91" i="124"/>
  <c r="AJ91" i="124" s="1"/>
  <c r="AK91" i="124" s="1"/>
  <c r="AI255" i="124"/>
  <c r="AJ255" i="124" s="1"/>
  <c r="AK255" i="124" s="1"/>
  <c r="AI213" i="124"/>
  <c r="AJ213" i="124" s="1"/>
  <c r="AK213" i="124" s="1"/>
  <c r="AI62" i="124"/>
  <c r="AJ62" i="124" s="1"/>
  <c r="AK62" i="124" s="1"/>
  <c r="AI29" i="124"/>
  <c r="AJ29" i="124" s="1"/>
  <c r="AK29" i="124" s="1"/>
  <c r="P1" i="121"/>
  <c r="AL13" i="121" s="1"/>
  <c r="AD13" i="121"/>
  <c r="O1" i="121"/>
  <c r="D31" i="120"/>
  <c r="U120" i="107" s="1"/>
  <c r="U67" i="128" s="1"/>
  <c r="U1" i="123"/>
  <c r="Q99" i="107"/>
  <c r="Q46" i="128" s="1"/>
  <c r="CH7" i="108"/>
  <c r="AA13" i="121"/>
  <c r="AQ7" i="107"/>
  <c r="E19" i="109"/>
  <c r="CE7" i="108"/>
  <c r="BO40" i="131" l="1"/>
  <c r="AV40" i="131" s="1"/>
  <c r="BO41" i="131"/>
  <c r="AV41" i="131" s="1"/>
  <c r="BO39" i="131"/>
  <c r="AV39" i="131" s="1"/>
  <c r="D71" i="108"/>
  <c r="BO42" i="131"/>
  <c r="AV42" i="131" s="1"/>
  <c r="AT18" i="128"/>
  <c r="D70" i="108"/>
  <c r="BO25" i="131"/>
  <c r="AV25" i="131" s="1"/>
  <c r="AT8" i="131"/>
  <c r="AT8" i="107" s="1"/>
  <c r="BO20" i="131"/>
  <c r="AV20" i="131" s="1"/>
  <c r="BO32" i="131"/>
  <c r="AV32" i="131" s="1"/>
  <c r="D78" i="108"/>
  <c r="AT17" i="131"/>
  <c r="AT17" i="107" s="1"/>
  <c r="AT13" i="128"/>
  <c r="AT8" i="128"/>
  <c r="BO26" i="131"/>
  <c r="AV26" i="131" s="1"/>
  <c r="BO34" i="131"/>
  <c r="AV34" i="131" s="1"/>
  <c r="E16" i="109"/>
  <c r="D110" i="108"/>
  <c r="D106" i="108"/>
  <c r="BO28" i="131"/>
  <c r="AV28" i="131" s="1"/>
  <c r="Q154" i="107"/>
  <c r="Q101" i="128" s="1"/>
  <c r="Z89" i="107"/>
  <c r="D69" i="108"/>
  <c r="BO35" i="131"/>
  <c r="AV35" i="131" s="1"/>
  <c r="E78" i="108"/>
  <c r="BO37" i="131"/>
  <c r="AV37" i="131" s="1"/>
  <c r="Z43" i="131"/>
  <c r="D73" i="108"/>
  <c r="D75" i="108"/>
  <c r="AT12" i="131"/>
  <c r="AT12" i="107" s="1"/>
  <c r="Z173" i="107"/>
  <c r="Z120" i="128" s="1"/>
  <c r="U135" i="107"/>
  <c r="U82" i="128" s="1"/>
  <c r="U111" i="107"/>
  <c r="U58" i="128" s="1"/>
  <c r="U117" i="107"/>
  <c r="U64" i="128" s="1"/>
  <c r="Q24" i="107"/>
  <c r="Q24" i="128" s="1"/>
  <c r="U114" i="107"/>
  <c r="U61" i="128" s="1"/>
  <c r="Q143" i="107"/>
  <c r="Q90" i="128" s="1"/>
  <c r="U132" i="107"/>
  <c r="U79" i="128" s="1"/>
  <c r="U108" i="107"/>
  <c r="U55" i="128" s="1"/>
  <c r="AT16" i="131"/>
  <c r="AT16" i="107" s="1"/>
  <c r="D72" i="108"/>
  <c r="D109" i="108"/>
  <c r="AT12" i="128"/>
  <c r="D105" i="108"/>
  <c r="BO36" i="131"/>
  <c r="AV36" i="131" s="1"/>
  <c r="BO27" i="131"/>
  <c r="AV27" i="131" s="1"/>
  <c r="AT18" i="131"/>
  <c r="AT18" i="107" s="1"/>
  <c r="BO21" i="131"/>
  <c r="AV21" i="131" s="1"/>
  <c r="BO23" i="131"/>
  <c r="AV23" i="131" s="1"/>
  <c r="Q155" i="107"/>
  <c r="Q102" i="128" s="1"/>
  <c r="AA43" i="131"/>
  <c r="AV31" i="107" s="1"/>
  <c r="AV31" i="128" s="1"/>
  <c r="Y43" i="131"/>
  <c r="AT19" i="131"/>
  <c r="BO33" i="131"/>
  <c r="AV33" i="131" s="1"/>
  <c r="AW98" i="128"/>
  <c r="U53" i="128"/>
  <c r="W52" i="107"/>
  <c r="AV24" i="107"/>
  <c r="AQ34" i="107"/>
  <c r="AQ34" i="128" s="1"/>
  <c r="Z87" i="107"/>
  <c r="P160" i="107"/>
  <c r="P107" i="128" s="1"/>
  <c r="Z172" i="107"/>
  <c r="Z119" i="128" s="1"/>
  <c r="AW151" i="107"/>
  <c r="D1" i="120"/>
  <c r="U106" i="107"/>
  <c r="D1" i="113"/>
  <c r="AQ35" i="107"/>
  <c r="AQ35" i="128" s="1"/>
  <c r="AA22" i="107"/>
  <c r="AA19" i="107" s="1"/>
  <c r="AA19" i="128" s="1"/>
  <c r="Z22" i="107"/>
  <c r="Z19" i="107" s="1"/>
  <c r="Z19" i="128" s="1"/>
  <c r="Y22" i="107"/>
  <c r="Y19" i="107" s="1"/>
  <c r="Y19" i="128" s="1"/>
  <c r="AE22" i="107"/>
  <c r="D76" i="108"/>
  <c r="AT15" i="131"/>
  <c r="AT15" i="107" s="1"/>
  <c r="D108" i="108"/>
  <c r="BO22" i="131"/>
  <c r="AV22" i="131" s="1"/>
  <c r="AT7" i="131"/>
  <c r="CC1" i="108" a="1"/>
  <c r="CC1" i="108" s="1"/>
  <c r="AV32" i="107" s="1"/>
  <c r="AV32" i="128" s="1"/>
  <c r="D100" i="108"/>
  <c r="CG1" i="108"/>
  <c r="AC1" i="108" a="1"/>
  <c r="AC1" i="108" s="1"/>
  <c r="CI1" i="108" a="1"/>
  <c r="CI1" i="108" s="1"/>
  <c r="AV30" i="107" s="1"/>
  <c r="AV30" i="128" s="1"/>
  <c r="D74" i="108"/>
  <c r="J1" i="108" a="1"/>
  <c r="J1" i="108" s="1"/>
  <c r="BO38" i="131"/>
  <c r="AV38" i="131" s="1"/>
  <c r="P1" i="108" a="1"/>
  <c r="P1" i="108" s="1"/>
  <c r="AV29" i="107" s="1"/>
  <c r="AV29" i="128" s="1"/>
  <c r="AY11" i="131"/>
  <c r="E104" i="108"/>
  <c r="AY11" i="128"/>
  <c r="D107" i="108"/>
  <c r="AY10" i="131"/>
  <c r="E103" i="108"/>
  <c r="AY10" i="128"/>
  <c r="M16" i="109"/>
  <c r="K16" i="109"/>
  <c r="I16" i="109"/>
  <c r="J16" i="109"/>
  <c r="H16" i="109"/>
  <c r="O16" i="109"/>
  <c r="F16" i="109"/>
  <c r="G16" i="109"/>
  <c r="N16" i="109"/>
  <c r="P16" i="109"/>
  <c r="L16" i="109"/>
  <c r="M1" i="108" a="1"/>
  <c r="M1" i="108" s="1"/>
  <c r="Q157" i="107" s="1"/>
  <c r="Q104" i="128" s="1"/>
  <c r="AT14" i="131"/>
  <c r="AT14" i="107" s="1"/>
  <c r="AY9" i="131"/>
  <c r="AY9" i="128"/>
  <c r="E77" i="108"/>
  <c r="E102" i="108"/>
  <c r="BO24" i="131"/>
  <c r="AV24" i="131" s="1"/>
  <c r="AU1" i="108" a="1"/>
  <c r="AU1" i="108" s="1"/>
  <c r="AT11" i="128"/>
  <c r="D104" i="108"/>
  <c r="AT11" i="131"/>
  <c r="AT11" i="107" s="1"/>
  <c r="AW1" i="108" a="1"/>
  <c r="AW1" i="108" s="1"/>
  <c r="O1" i="108" a="1"/>
  <c r="O1" i="108" s="1"/>
  <c r="AV28" i="107" s="1"/>
  <c r="AV28" i="128" s="1"/>
  <c r="CF1" i="108" a="1"/>
  <c r="CF1" i="108" s="1"/>
  <c r="AV35" i="107" s="1"/>
  <c r="D68" i="108"/>
  <c r="CD1" i="108" a="1"/>
  <c r="CD1" i="108" s="1"/>
  <c r="AV33" i="107" s="1"/>
  <c r="AV33" i="128" s="1"/>
  <c r="AT9" i="131"/>
  <c r="AT9" i="107" s="1"/>
  <c r="D102" i="108"/>
  <c r="AT9" i="128"/>
  <c r="D77" i="108"/>
  <c r="K1" i="108" a="1"/>
  <c r="K1" i="108" s="1"/>
  <c r="DL1" i="108" a="1"/>
  <c r="DL1" i="108" s="1"/>
  <c r="Q158" i="107" s="1"/>
  <c r="Q105" i="128" s="1"/>
  <c r="AT7" i="128"/>
  <c r="AT10" i="128"/>
  <c r="D103" i="108"/>
  <c r="AT10" i="131"/>
  <c r="AT10" i="107" s="1"/>
  <c r="AD1" i="121"/>
  <c r="AC13" i="121"/>
  <c r="AC1" i="121" s="1"/>
  <c r="S71" i="115"/>
  <c r="R171" i="120"/>
  <c r="R154" i="120"/>
  <c r="R174" i="120"/>
  <c r="R163" i="120"/>
  <c r="R152" i="120"/>
  <c r="R167" i="120"/>
  <c r="R118" i="120"/>
  <c r="R164" i="120"/>
  <c r="R159" i="120"/>
  <c r="R173" i="120"/>
  <c r="R175" i="120"/>
  <c r="R166" i="120"/>
  <c r="R106" i="120"/>
  <c r="R135" i="120"/>
  <c r="R177" i="120"/>
  <c r="R172" i="120"/>
  <c r="R144" i="120"/>
  <c r="R156" i="120"/>
  <c r="R117" i="120"/>
  <c r="R153" i="120"/>
  <c r="R178" i="120"/>
  <c r="R155" i="120"/>
  <c r="R130" i="120"/>
  <c r="R149" i="120"/>
  <c r="R134" i="120"/>
  <c r="R151" i="120"/>
  <c r="R105" i="120"/>
  <c r="R148" i="120"/>
  <c r="R116" i="120"/>
  <c r="R111" i="120"/>
  <c r="R108" i="120"/>
  <c r="R114" i="120"/>
  <c r="R104" i="120"/>
  <c r="R139" i="120"/>
  <c r="R110" i="120"/>
  <c r="R170" i="120"/>
  <c r="R160" i="120"/>
  <c r="R115" i="120"/>
  <c r="R168" i="120"/>
  <c r="R161" i="120"/>
  <c r="R120" i="120"/>
  <c r="R158" i="120"/>
  <c r="R132" i="120"/>
  <c r="R121" i="120"/>
  <c r="R103" i="120"/>
  <c r="R119" i="120"/>
  <c r="R136" i="120"/>
  <c r="R131" i="120"/>
  <c r="R133" i="120"/>
  <c r="R162" i="120"/>
  <c r="R147" i="120"/>
  <c r="R157" i="120"/>
  <c r="R150" i="120"/>
  <c r="R113" i="120"/>
  <c r="R176" i="120"/>
  <c r="R102" i="120"/>
  <c r="R128" i="120"/>
  <c r="R112" i="120"/>
  <c r="R123" i="120"/>
  <c r="R169" i="120"/>
  <c r="R124" i="120"/>
  <c r="R125" i="120"/>
  <c r="R101" i="120"/>
  <c r="U101" i="120" s="1"/>
  <c r="R165" i="120"/>
  <c r="R109" i="120"/>
  <c r="R141" i="120"/>
  <c r="R142" i="120"/>
  <c r="R137" i="120"/>
  <c r="R127" i="120"/>
  <c r="R145" i="120"/>
  <c r="R143" i="120"/>
  <c r="R140" i="120"/>
  <c r="R138" i="120"/>
  <c r="R122" i="120"/>
  <c r="R146" i="120"/>
  <c r="R126" i="120"/>
  <c r="R129" i="120"/>
  <c r="R107" i="120"/>
  <c r="AY30" i="131"/>
  <c r="BO30" i="131" s="1"/>
  <c r="AV30" i="131" s="1"/>
  <c r="E70" i="108"/>
  <c r="AY15" i="128"/>
  <c r="AV15" i="128" s="1"/>
  <c r="E108" i="108"/>
  <c r="AY15" i="131"/>
  <c r="E74" i="108"/>
  <c r="Q67" i="128"/>
  <c r="A77" i="120"/>
  <c r="Q69" i="128"/>
  <c r="Q122" i="107"/>
  <c r="Q120" i="107"/>
  <c r="F31" i="120"/>
  <c r="AT13" i="121"/>
  <c r="AV13" i="121"/>
  <c r="AW13" i="121"/>
  <c r="Y71" i="115"/>
  <c r="E111" i="108"/>
  <c r="AY18" i="131"/>
  <c r="AY18" i="128"/>
  <c r="E76" i="108"/>
  <c r="AY19" i="131"/>
  <c r="AL12" i="121"/>
  <c r="AL25" i="121"/>
  <c r="AL24" i="121"/>
  <c r="AL44" i="121"/>
  <c r="AL36" i="121"/>
  <c r="AL32" i="121"/>
  <c r="AL22" i="121"/>
  <c r="AL31" i="121"/>
  <c r="AL28" i="121"/>
  <c r="AL8" i="121"/>
  <c r="AL40" i="121"/>
  <c r="AL15" i="121"/>
  <c r="AL30" i="121"/>
  <c r="AL48" i="121"/>
  <c r="AL19" i="121"/>
  <c r="AL46" i="121"/>
  <c r="AL34" i="121"/>
  <c r="AL42" i="121"/>
  <c r="AL16" i="121"/>
  <c r="AL35" i="121"/>
  <c r="D71" i="121" s="1"/>
  <c r="AL9" i="121"/>
  <c r="AL20" i="121"/>
  <c r="AL43" i="121"/>
  <c r="AL29" i="121"/>
  <c r="AL14" i="121"/>
  <c r="AL45" i="121"/>
  <c r="AL26" i="121"/>
  <c r="AL7" i="121"/>
  <c r="AL10" i="121"/>
  <c r="AL17" i="121"/>
  <c r="AL38" i="121"/>
  <c r="AL41" i="121"/>
  <c r="AL27" i="121"/>
  <c r="AL37" i="121"/>
  <c r="AL47" i="121"/>
  <c r="AL21" i="121"/>
  <c r="AL39" i="121"/>
  <c r="AL33" i="121"/>
  <c r="AL18" i="121"/>
  <c r="AL23" i="121"/>
  <c r="AL11" i="121"/>
  <c r="Q66" i="107"/>
  <c r="A56" i="113"/>
  <c r="J31" i="113"/>
  <c r="Q68" i="107"/>
  <c r="G31" i="113"/>
  <c r="E71" i="108"/>
  <c r="AY29" i="131"/>
  <c r="BO29" i="131" s="1"/>
  <c r="AV29" i="131" s="1"/>
  <c r="E106" i="108"/>
  <c r="E72" i="108"/>
  <c r="AY13" i="131"/>
  <c r="AY13" i="128"/>
  <c r="AD5" i="115"/>
  <c r="AD17" i="115" s="1"/>
  <c r="AE4" i="115"/>
  <c r="C12" i="115"/>
  <c r="H12" i="115"/>
  <c r="E20" i="109"/>
  <c r="CE1" i="108" a="1"/>
  <c r="CE1" i="108" s="1"/>
  <c r="E100" i="108"/>
  <c r="E73" i="108"/>
  <c r="AY7" i="128"/>
  <c r="CH1" i="108"/>
  <c r="AY7" i="131"/>
  <c r="AG2" i="121"/>
  <c r="AH13" i="121"/>
  <c r="AH1" i="121" s="1"/>
  <c r="AG3" i="121"/>
  <c r="E110" i="108"/>
  <c r="AY17" i="131"/>
  <c r="AY17" i="128"/>
  <c r="AV17" i="128" s="1"/>
  <c r="E101" i="108"/>
  <c r="E69" i="108"/>
  <c r="AY8" i="128"/>
  <c r="AY8" i="131"/>
  <c r="AA45" i="107"/>
  <c r="X54" i="107"/>
  <c r="X78" i="107"/>
  <c r="X63" i="107"/>
  <c r="X57" i="107"/>
  <c r="X75" i="107"/>
  <c r="X72" i="107"/>
  <c r="X84" i="107"/>
  <c r="X66" i="107"/>
  <c r="X87" i="107"/>
  <c r="X81" i="107"/>
  <c r="Q89" i="107"/>
  <c r="X69" i="107"/>
  <c r="X60" i="107"/>
  <c r="AA71" i="115"/>
  <c r="E68" i="108"/>
  <c r="AY12" i="128"/>
  <c r="E105" i="108"/>
  <c r="AY12" i="131"/>
  <c r="AK1" i="124"/>
  <c r="AG2" i="113" s="1"/>
  <c r="P71" i="115"/>
  <c r="E73" i="121"/>
  <c r="E75" i="121"/>
  <c r="E71" i="121"/>
  <c r="E72" i="121"/>
  <c r="E78" i="121"/>
  <c r="E69" i="121"/>
  <c r="E77" i="121"/>
  <c r="E76" i="121"/>
  <c r="E74" i="121"/>
  <c r="E70" i="121"/>
  <c r="AF1" i="121" a="1"/>
  <c r="AF1" i="121" s="1"/>
  <c r="E35" i="120" s="1"/>
  <c r="E68" i="121"/>
  <c r="AI43" i="131"/>
  <c r="AM43" i="131" s="1"/>
  <c r="E75" i="108"/>
  <c r="E109" i="108"/>
  <c r="AY16" i="128"/>
  <c r="AV16" i="128" s="1"/>
  <c r="AY16" i="131"/>
  <c r="E107" i="108"/>
  <c r="AY14" i="128"/>
  <c r="AV14" i="128" s="1"/>
  <c r="AY14" i="131"/>
  <c r="D53" i="120" l="1"/>
  <c r="D80" i="120" s="1"/>
  <c r="J12" i="115"/>
  <c r="AV18" i="128"/>
  <c r="AD105" i="115"/>
  <c r="AD106" i="115"/>
  <c r="AD102" i="115"/>
  <c r="AD103" i="115"/>
  <c r="AD104" i="115"/>
  <c r="AD101" i="115"/>
  <c r="Q142" i="120"/>
  <c r="U142" i="120"/>
  <c r="AD70" i="115"/>
  <c r="AD69" i="115"/>
  <c r="Q141" i="120"/>
  <c r="U141" i="120"/>
  <c r="AV13" i="128"/>
  <c r="AT7" i="107"/>
  <c r="AV8" i="128"/>
  <c r="BO19" i="131"/>
  <c r="AV19" i="131" s="1"/>
  <c r="D78" i="121"/>
  <c r="G78" i="121" s="1"/>
  <c r="AR13" i="121"/>
  <c r="Q140" i="120"/>
  <c r="U140" i="120"/>
  <c r="AD66" i="115"/>
  <c r="AD68" i="115"/>
  <c r="Q139" i="120"/>
  <c r="U139" i="120"/>
  <c r="AD67" i="115"/>
  <c r="AO13" i="121"/>
  <c r="D70" i="121"/>
  <c r="G70" i="121" s="1"/>
  <c r="D72" i="121"/>
  <c r="G72" i="121" s="1"/>
  <c r="AV7" i="128"/>
  <c r="D77" i="121"/>
  <c r="G77" i="121" s="1"/>
  <c r="AV9" i="128"/>
  <c r="AD42" i="115"/>
  <c r="AQ43" i="131"/>
  <c r="AE19" i="107"/>
  <c r="AE19" i="128" s="1"/>
  <c r="AI22" i="107"/>
  <c r="AI19" i="107" s="1"/>
  <c r="AI19" i="128" s="1"/>
  <c r="W71" i="115"/>
  <c r="X71" i="115" s="1"/>
  <c r="F71" i="108"/>
  <c r="AV12" i="128"/>
  <c r="AD41" i="115"/>
  <c r="AD40" i="115"/>
  <c r="F72" i="108"/>
  <c r="F70" i="108"/>
  <c r="F69" i="108"/>
  <c r="F73" i="108"/>
  <c r="D73" i="121"/>
  <c r="G73" i="121" s="1"/>
  <c r="AD65" i="115"/>
  <c r="D75" i="121"/>
  <c r="G75" i="121" s="1"/>
  <c r="D68" i="121"/>
  <c r="G68" i="121" s="1"/>
  <c r="D76" i="121"/>
  <c r="G76" i="121" s="1"/>
  <c r="D74" i="121"/>
  <c r="G74" i="121" s="1"/>
  <c r="Q138" i="120"/>
  <c r="U138" i="120"/>
  <c r="D69" i="121"/>
  <c r="Q86" i="128"/>
  <c r="Q141" i="107"/>
  <c r="Q88" i="128"/>
  <c r="Q139" i="107"/>
  <c r="E37" i="120"/>
  <c r="U141" i="107" s="1"/>
  <c r="U88" i="128" s="1"/>
  <c r="G71" i="121"/>
  <c r="Q137" i="120"/>
  <c r="U137" i="120"/>
  <c r="Q136" i="120"/>
  <c r="U136" i="120"/>
  <c r="Q112" i="120"/>
  <c r="U112" i="120"/>
  <c r="Q127" i="120"/>
  <c r="U127" i="120"/>
  <c r="Q128" i="120"/>
  <c r="U128" i="120"/>
  <c r="Q103" i="120"/>
  <c r="U103" i="120"/>
  <c r="Q104" i="120"/>
  <c r="U104" i="120"/>
  <c r="Q105" i="120"/>
  <c r="U105" i="120"/>
  <c r="Q122" i="120"/>
  <c r="U122" i="120"/>
  <c r="Q125" i="120"/>
  <c r="U125" i="120"/>
  <c r="Q102" i="120"/>
  <c r="U102" i="120"/>
  <c r="Q121" i="120"/>
  <c r="U121" i="120"/>
  <c r="Q115" i="120"/>
  <c r="U115" i="120"/>
  <c r="Q114" i="120"/>
  <c r="U114" i="120"/>
  <c r="Q135" i="120"/>
  <c r="U135" i="120"/>
  <c r="Q124" i="120"/>
  <c r="U124" i="120"/>
  <c r="Q133" i="120"/>
  <c r="U133" i="120"/>
  <c r="Q132" i="120"/>
  <c r="U132" i="120"/>
  <c r="Q108" i="120"/>
  <c r="U108" i="120"/>
  <c r="Q134" i="120"/>
  <c r="U134" i="120"/>
  <c r="Q117" i="120"/>
  <c r="U117" i="120"/>
  <c r="Q106" i="120"/>
  <c r="U106" i="120"/>
  <c r="Q118" i="120"/>
  <c r="U118" i="120"/>
  <c r="Q107" i="120"/>
  <c r="U107" i="120"/>
  <c r="Q113" i="120"/>
  <c r="U113" i="120"/>
  <c r="Q131" i="120"/>
  <c r="U131" i="120"/>
  <c r="Q111" i="120"/>
  <c r="U111" i="120"/>
  <c r="Q129" i="120"/>
  <c r="U129" i="120"/>
  <c r="Q109" i="120"/>
  <c r="U109" i="120"/>
  <c r="Q123" i="120"/>
  <c r="U123" i="120"/>
  <c r="Q120" i="120"/>
  <c r="U120" i="120"/>
  <c r="Q110" i="120"/>
  <c r="U110" i="120"/>
  <c r="Q116" i="120"/>
  <c r="U116" i="120"/>
  <c r="Q130" i="120"/>
  <c r="U130" i="120"/>
  <c r="Q126" i="120"/>
  <c r="U126" i="120"/>
  <c r="Q119" i="120"/>
  <c r="U119" i="120"/>
  <c r="Q153" i="107"/>
  <c r="Q100" i="128" s="1"/>
  <c r="D48" i="120"/>
  <c r="D65" i="120" s="1"/>
  <c r="F77" i="108"/>
  <c r="AV27" i="107"/>
  <c r="AV27" i="128" s="1"/>
  <c r="Q156" i="107"/>
  <c r="Q103" i="128" s="1"/>
  <c r="D47" i="120"/>
  <c r="D64" i="120" s="1"/>
  <c r="E69" i="113"/>
  <c r="AN89" i="107" s="1"/>
  <c r="D69" i="113"/>
  <c r="AN87" i="107" s="1"/>
  <c r="E67" i="113"/>
  <c r="AF89" i="107" s="1"/>
  <c r="E68" i="113"/>
  <c r="AJ89" i="107" s="1"/>
  <c r="E66" i="113"/>
  <c r="AB89" i="107" s="1"/>
  <c r="E70" i="113"/>
  <c r="AR89" i="107" s="1"/>
  <c r="D70" i="113"/>
  <c r="AR87" i="107" s="1"/>
  <c r="D66" i="113"/>
  <c r="AB87" i="107" s="1"/>
  <c r="D71" i="113"/>
  <c r="AV87" i="107" s="1"/>
  <c r="H33" i="113"/>
  <c r="D67" i="113"/>
  <c r="AF87" i="107" s="1"/>
  <c r="D68" i="113"/>
  <c r="AJ87" i="107" s="1"/>
  <c r="E71" i="113"/>
  <c r="AV89" i="107" s="1"/>
  <c r="H29" i="113"/>
  <c r="C53" i="120"/>
  <c r="H29" i="120"/>
  <c r="C52" i="120"/>
  <c r="H33" i="120"/>
  <c r="D52" i="120"/>
  <c r="P152" i="107"/>
  <c r="AV24" i="128"/>
  <c r="P99" i="128" s="1"/>
  <c r="F74" i="108"/>
  <c r="F78" i="108"/>
  <c r="AD89" i="115"/>
  <c r="AD99" i="115"/>
  <c r="AD18" i="115"/>
  <c r="F68" i="108"/>
  <c r="AD79" i="115"/>
  <c r="F75" i="108"/>
  <c r="AD98" i="115"/>
  <c r="AD87" i="115"/>
  <c r="AD25" i="115"/>
  <c r="AD73" i="115"/>
  <c r="AD96" i="115"/>
  <c r="AD21" i="115"/>
  <c r="AD33" i="115"/>
  <c r="AY10" i="107"/>
  <c r="BO10" i="131"/>
  <c r="Q146" i="120"/>
  <c r="U146" i="120"/>
  <c r="Q147" i="120"/>
  <c r="U147" i="120"/>
  <c r="AD27" i="115"/>
  <c r="AD97" i="115"/>
  <c r="AD7" i="115"/>
  <c r="AD37" i="115"/>
  <c r="AD81" i="115"/>
  <c r="AD23" i="115"/>
  <c r="AV11" i="128"/>
  <c r="AY9" i="107"/>
  <c r="BO9" i="131"/>
  <c r="AD34" i="115"/>
  <c r="AD74" i="115"/>
  <c r="AD36" i="115"/>
  <c r="AD76" i="115"/>
  <c r="AD84" i="115"/>
  <c r="AD30" i="115"/>
  <c r="AD12" i="115"/>
  <c r="AD95" i="115"/>
  <c r="AD100" i="115"/>
  <c r="AD83" i="115"/>
  <c r="AD90" i="115"/>
  <c r="AD72" i="115"/>
  <c r="F76" i="108"/>
  <c r="AD93" i="115"/>
  <c r="AD20" i="115"/>
  <c r="AD24" i="115"/>
  <c r="AD22" i="115"/>
  <c r="AD86" i="115"/>
  <c r="AD77" i="115"/>
  <c r="AD88" i="115"/>
  <c r="Q145" i="120"/>
  <c r="U145" i="120"/>
  <c r="AY11" i="107"/>
  <c r="BO11" i="131"/>
  <c r="AD75" i="115"/>
  <c r="AD38" i="115"/>
  <c r="AD9" i="115"/>
  <c r="AD94" i="115"/>
  <c r="AD8" i="115"/>
  <c r="Q150" i="120"/>
  <c r="U150" i="120"/>
  <c r="AD10" i="115"/>
  <c r="AD92" i="115"/>
  <c r="AD11" i="115"/>
  <c r="AD26" i="115"/>
  <c r="AD19" i="115"/>
  <c r="AD28" i="115"/>
  <c r="AD13" i="115"/>
  <c r="Q148" i="120"/>
  <c r="U148" i="120"/>
  <c r="AV10" i="128"/>
  <c r="AD80" i="115"/>
  <c r="AK2" i="113"/>
  <c r="N7" i="107"/>
  <c r="N7" i="131"/>
  <c r="N7" i="128"/>
  <c r="AV35" i="128"/>
  <c r="AV34" i="107"/>
  <c r="AV34" i="128" s="1"/>
  <c r="BO17" i="131"/>
  <c r="AY17" i="107"/>
  <c r="AY18" i="107"/>
  <c r="BO18" i="131"/>
  <c r="Q143" i="120"/>
  <c r="U143" i="120"/>
  <c r="G46" i="120"/>
  <c r="C63" i="120" s="1"/>
  <c r="F46" i="120"/>
  <c r="Q101" i="120"/>
  <c r="U176" i="120"/>
  <c r="Q176" i="120"/>
  <c r="Q168" i="120"/>
  <c r="U168" i="120"/>
  <c r="U177" i="120"/>
  <c r="Q177" i="120"/>
  <c r="BO12" i="131"/>
  <c r="AY12" i="107"/>
  <c r="B12" i="115"/>
  <c r="U155" i="120"/>
  <c r="Q155" i="120"/>
  <c r="Q167" i="120"/>
  <c r="U167" i="120"/>
  <c r="BO14" i="131"/>
  <c r="AY14" i="107"/>
  <c r="AG1" i="121"/>
  <c r="AY7" i="107"/>
  <c r="BO7" i="131"/>
  <c r="A12" i="115"/>
  <c r="C13" i="115"/>
  <c r="AD85" i="115"/>
  <c r="AD29" i="115"/>
  <c r="AD78" i="115"/>
  <c r="AD32" i="115"/>
  <c r="AD35" i="115"/>
  <c r="AD82" i="115"/>
  <c r="F31" i="113"/>
  <c r="H31" i="113"/>
  <c r="I31" i="113"/>
  <c r="C43" i="113" s="1"/>
  <c r="H35" i="113"/>
  <c r="E43" i="113"/>
  <c r="Q160" i="120"/>
  <c r="U160" i="120"/>
  <c r="Q178" i="120"/>
  <c r="U178" i="120"/>
  <c r="U152" i="120"/>
  <c r="Q152" i="120"/>
  <c r="BO8" i="131"/>
  <c r="AY8" i="107"/>
  <c r="AI13" i="121"/>
  <c r="AJ13" i="121"/>
  <c r="AE5" i="115"/>
  <c r="AE39" i="115" s="1"/>
  <c r="AF4" i="115"/>
  <c r="U169" i="120"/>
  <c r="Q169" i="120"/>
  <c r="U157" i="120"/>
  <c r="Q157" i="120"/>
  <c r="Q170" i="120"/>
  <c r="U170" i="120"/>
  <c r="Q153" i="120"/>
  <c r="U153" i="120"/>
  <c r="U166" i="120"/>
  <c r="Q166" i="120"/>
  <c r="Q163" i="120"/>
  <c r="U163" i="120"/>
  <c r="AU13" i="121"/>
  <c r="BA13" i="121" s="1"/>
  <c r="BO15" i="131"/>
  <c r="AY15" i="107"/>
  <c r="U175" i="120"/>
  <c r="Q175" i="120"/>
  <c r="Q174" i="120"/>
  <c r="U174" i="120"/>
  <c r="AD91" i="115"/>
  <c r="AD16" i="115"/>
  <c r="AD15" i="115"/>
  <c r="AD39" i="115"/>
  <c r="AD31" i="115"/>
  <c r="AD14" i="115"/>
  <c r="BO13" i="131"/>
  <c r="AY13" i="107"/>
  <c r="A57" i="113"/>
  <c r="A61" i="113"/>
  <c r="A60" i="113"/>
  <c r="A58" i="113"/>
  <c r="A62" i="113"/>
  <c r="A59" i="113"/>
  <c r="A83" i="120"/>
  <c r="A80" i="120"/>
  <c r="A78" i="120"/>
  <c r="A81" i="120"/>
  <c r="A79" i="120"/>
  <c r="A82" i="120"/>
  <c r="Q162" i="120"/>
  <c r="U162" i="120"/>
  <c r="U158" i="120"/>
  <c r="Q158" i="120"/>
  <c r="U151" i="120"/>
  <c r="Q151" i="120"/>
  <c r="U156" i="120"/>
  <c r="Q156" i="120"/>
  <c r="Q173" i="120"/>
  <c r="U173" i="120"/>
  <c r="Q154" i="120"/>
  <c r="U154" i="120"/>
  <c r="Z71" i="115"/>
  <c r="D43" i="113"/>
  <c r="U144" i="120"/>
  <c r="Q144" i="120"/>
  <c r="U159" i="120"/>
  <c r="Q159" i="120"/>
  <c r="U171" i="120"/>
  <c r="Q171" i="120"/>
  <c r="AY16" i="107"/>
  <c r="BO16" i="131"/>
  <c r="V1" i="121"/>
  <c r="U1" i="121"/>
  <c r="X1" i="121"/>
  <c r="T153" i="107" s="1"/>
  <c r="T100" i="128" s="1"/>
  <c r="M1" i="121"/>
  <c r="AM1" i="121"/>
  <c r="T158" i="107" s="1"/>
  <c r="T105" i="128" s="1"/>
  <c r="U165" i="120"/>
  <c r="Q165" i="120"/>
  <c r="U161" i="120"/>
  <c r="Q161" i="120"/>
  <c r="U149" i="120"/>
  <c r="Q149" i="120"/>
  <c r="U172" i="120"/>
  <c r="Q172" i="120"/>
  <c r="Q164" i="120"/>
  <c r="U164" i="120"/>
  <c r="D83" i="120" l="1"/>
  <c r="F83" i="120" s="1"/>
  <c r="D79" i="120"/>
  <c r="AE101" i="115"/>
  <c r="AE105" i="115"/>
  <c r="AE102" i="115"/>
  <c r="AE103" i="115"/>
  <c r="AE104" i="115"/>
  <c r="AE106" i="115"/>
  <c r="AE70" i="115"/>
  <c r="AE69" i="115"/>
  <c r="AE68" i="115"/>
  <c r="AR1" i="121"/>
  <c r="E45" i="120" s="1"/>
  <c r="E52" i="120" s="1"/>
  <c r="AE67" i="115"/>
  <c r="AD71" i="115"/>
  <c r="F71" i="121"/>
  <c r="AM22" i="107"/>
  <c r="C84" i="108"/>
  <c r="C51" i="108" s="1"/>
  <c r="F73" i="121"/>
  <c r="AE66" i="115"/>
  <c r="AE65" i="115"/>
  <c r="F74" i="121"/>
  <c r="F68" i="121"/>
  <c r="F76" i="121"/>
  <c r="F78" i="121"/>
  <c r="G69" i="121"/>
  <c r="F70" i="121"/>
  <c r="F69" i="121"/>
  <c r="F75" i="121"/>
  <c r="F72" i="121"/>
  <c r="F77" i="121"/>
  <c r="T157" i="107"/>
  <c r="T104" i="128" s="1"/>
  <c r="E48" i="120"/>
  <c r="E65" i="120" s="1"/>
  <c r="E47" i="120"/>
  <c r="E64" i="120" s="1"/>
  <c r="T156" i="107"/>
  <c r="T103" i="128" s="1"/>
  <c r="AE73" i="115"/>
  <c r="F87" i="108"/>
  <c r="D87" i="108" s="1"/>
  <c r="D54" i="108" s="1"/>
  <c r="F92" i="108"/>
  <c r="E92" i="108" s="1"/>
  <c r="E59" i="108" s="1"/>
  <c r="C83" i="108"/>
  <c r="C50" i="108" s="1"/>
  <c r="C89" i="108"/>
  <c r="C56" i="108" s="1"/>
  <c r="F89" i="108"/>
  <c r="E89" i="108" s="1"/>
  <c r="E56" i="108" s="1"/>
  <c r="C87" i="108"/>
  <c r="C54" i="108" s="1"/>
  <c r="F85" i="108"/>
  <c r="D85" i="108" s="1"/>
  <c r="D52" i="108" s="1"/>
  <c r="C85" i="108"/>
  <c r="C52" i="108" s="1"/>
  <c r="F83" i="108"/>
  <c r="E83" i="108" s="1"/>
  <c r="E50" i="108" s="1"/>
  <c r="C92" i="108"/>
  <c r="C59" i="108" s="1"/>
  <c r="F84" i="108"/>
  <c r="D84" i="108" s="1"/>
  <c r="D51" i="108" s="1"/>
  <c r="F91" i="108"/>
  <c r="E91" i="108" s="1"/>
  <c r="E58" i="108" s="1"/>
  <c r="F93" i="108"/>
  <c r="D93" i="108" s="1"/>
  <c r="D60" i="108" s="1"/>
  <c r="F80" i="120"/>
  <c r="D89" i="120" s="1"/>
  <c r="AE71" i="115"/>
  <c r="D78" i="120"/>
  <c r="D81" i="120"/>
  <c r="D82" i="120"/>
  <c r="C91" i="108"/>
  <c r="C58" i="108" s="1"/>
  <c r="F79" i="108"/>
  <c r="C94" i="108"/>
  <c r="C61" i="108" s="1"/>
  <c r="F94" i="108"/>
  <c r="E94" i="108" s="1"/>
  <c r="E61" i="108" s="1"/>
  <c r="C90" i="108"/>
  <c r="C57" i="108" s="1"/>
  <c r="C93" i="108"/>
  <c r="C60" i="108" s="1"/>
  <c r="AE7" i="115"/>
  <c r="C88" i="108"/>
  <c r="C55" i="108" s="1"/>
  <c r="F88" i="108"/>
  <c r="D88" i="108" s="1"/>
  <c r="D55" i="108" s="1"/>
  <c r="C86" i="108"/>
  <c r="C53" i="108" s="1"/>
  <c r="F90" i="108"/>
  <c r="D90" i="108" s="1"/>
  <c r="D57" i="108" s="1"/>
  <c r="F86" i="108"/>
  <c r="D86" i="108" s="1"/>
  <c r="D53" i="108" s="1"/>
  <c r="AV11" i="107"/>
  <c r="AV11" i="131"/>
  <c r="AV9" i="131"/>
  <c r="AV9" i="107"/>
  <c r="AE74" i="115"/>
  <c r="AE75" i="115"/>
  <c r="AV10" i="131"/>
  <c r="AV10" i="107"/>
  <c r="AE40" i="115"/>
  <c r="AE36" i="115"/>
  <c r="AE17" i="115"/>
  <c r="AE84" i="115"/>
  <c r="AE8" i="115"/>
  <c r="AX13" i="121"/>
  <c r="BE13" i="121" s="1"/>
  <c r="BE1" i="121" s="1"/>
  <c r="AE96" i="115"/>
  <c r="AE26" i="115"/>
  <c r="AE21" i="115"/>
  <c r="AK13" i="121"/>
  <c r="AK1" i="121" s="1"/>
  <c r="AE99" i="115"/>
  <c r="AE37" i="115"/>
  <c r="AE95" i="115"/>
  <c r="AE35" i="115"/>
  <c r="AE83" i="115"/>
  <c r="AE97" i="115"/>
  <c r="AE27" i="115"/>
  <c r="AE82" i="115"/>
  <c r="AE33" i="115"/>
  <c r="AE19" i="115"/>
  <c r="AE78" i="115"/>
  <c r="AE24" i="115"/>
  <c r="AE80" i="115"/>
  <c r="AE23" i="115"/>
  <c r="AE16" i="115"/>
  <c r="AE22" i="115"/>
  <c r="AE90" i="115"/>
  <c r="AE98" i="115"/>
  <c r="AE31" i="115"/>
  <c r="AE20" i="115"/>
  <c r="AE14" i="115"/>
  <c r="AE89" i="115"/>
  <c r="AE29" i="115"/>
  <c r="AE86" i="115"/>
  <c r="AE25" i="115"/>
  <c r="AE32" i="115"/>
  <c r="AE18" i="115"/>
  <c r="AE77" i="115"/>
  <c r="AE30" i="115"/>
  <c r="AE88" i="115"/>
  <c r="AE100" i="115"/>
  <c r="AE85" i="115"/>
  <c r="AE41" i="115"/>
  <c r="AE92" i="115"/>
  <c r="AE28" i="115"/>
  <c r="AE34" i="115"/>
  <c r="AE15" i="115"/>
  <c r="AE10" i="115"/>
  <c r="AD2" i="115"/>
  <c r="AE38" i="115"/>
  <c r="AE11" i="115"/>
  <c r="AE9" i="115"/>
  <c r="AV13" i="107"/>
  <c r="AV13" i="131"/>
  <c r="AE79" i="115"/>
  <c r="AE76" i="115"/>
  <c r="AE91" i="115"/>
  <c r="AV8" i="131"/>
  <c r="AV8" i="107"/>
  <c r="AV14" i="107"/>
  <c r="AV14" i="131"/>
  <c r="AV12" i="131"/>
  <c r="AV12" i="107"/>
  <c r="BA1" i="121"/>
  <c r="AE42" i="115"/>
  <c r="AE87" i="115"/>
  <c r="AE93" i="115"/>
  <c r="AE94" i="115"/>
  <c r="A13" i="115"/>
  <c r="C14" i="115"/>
  <c r="BG13" i="121"/>
  <c r="BG1" i="121" s="1"/>
  <c r="F45" i="120"/>
  <c r="AV18" i="131"/>
  <c r="AV18" i="107"/>
  <c r="AV16" i="131"/>
  <c r="AV16" i="107"/>
  <c r="BI13" i="121"/>
  <c r="BI1" i="121" s="1"/>
  <c r="BD13" i="121"/>
  <c r="BD1" i="121" s="1"/>
  <c r="D63" i="120"/>
  <c r="AO1" i="121"/>
  <c r="E49" i="120" s="1"/>
  <c r="E53" i="120" s="1"/>
  <c r="BF13" i="121"/>
  <c r="BF1" i="121" s="1"/>
  <c r="AZ13" i="121"/>
  <c r="AZ1" i="121" s="1"/>
  <c r="AF5" i="115"/>
  <c r="AF27" i="115" s="1"/>
  <c r="AF70" i="115"/>
  <c r="AG4" i="115"/>
  <c r="AE12" i="115"/>
  <c r="AV7" i="131"/>
  <c r="BO4" i="131"/>
  <c r="BO5" i="131"/>
  <c r="AV7" i="107"/>
  <c r="P109" i="128"/>
  <c r="P162" i="107"/>
  <c r="F49" i="120"/>
  <c r="AV17" i="131"/>
  <c r="AV17" i="107"/>
  <c r="AV15" i="131"/>
  <c r="AV15" i="107"/>
  <c r="AE81" i="115"/>
  <c r="AE13" i="115"/>
  <c r="AE72" i="115"/>
  <c r="AB71" i="115"/>
  <c r="AC71" i="115" s="1"/>
  <c r="AD60" i="115" s="1"/>
  <c r="R71" i="115"/>
  <c r="T71" i="115" s="1"/>
  <c r="L12" i="115" s="1"/>
  <c r="AE60" i="115" l="1" a="1"/>
  <c r="AE60" i="115" s="1"/>
  <c r="E80" i="120"/>
  <c r="E79" i="120" s="1"/>
  <c r="G79" i="120" s="1"/>
  <c r="E88" i="120" s="1"/>
  <c r="B2" i="115"/>
  <c r="I12" i="115"/>
  <c r="AE2" i="115"/>
  <c r="AF105" i="115"/>
  <c r="AF101" i="115"/>
  <c r="AF102" i="115"/>
  <c r="AF103" i="115"/>
  <c r="AF104" i="115"/>
  <c r="AF106" i="115"/>
  <c r="C20" i="121"/>
  <c r="G20" i="121" s="1"/>
  <c r="C27" i="121"/>
  <c r="G27" i="121" s="1"/>
  <c r="C19" i="121"/>
  <c r="G19" i="121" s="1"/>
  <c r="C21" i="121"/>
  <c r="G21" i="121" s="1"/>
  <c r="BJ13" i="121"/>
  <c r="BJ1" i="121" s="1"/>
  <c r="C24" i="121" s="1"/>
  <c r="G24" i="121" s="1"/>
  <c r="BC13" i="121"/>
  <c r="BC1" i="121" s="1"/>
  <c r="C30" i="121" s="1"/>
  <c r="G30" i="121" s="1"/>
  <c r="D92" i="108"/>
  <c r="D59" i="108" s="1"/>
  <c r="AF69" i="115"/>
  <c r="AF67" i="115"/>
  <c r="AF68" i="115"/>
  <c r="E90" i="108"/>
  <c r="E57" i="108" s="1"/>
  <c r="E84" i="108"/>
  <c r="E51" i="108" s="1"/>
  <c r="D91" i="108"/>
  <c r="D58" i="108" s="1"/>
  <c r="E87" i="108"/>
  <c r="E54" i="108" s="1"/>
  <c r="D89" i="108"/>
  <c r="D56" i="108" s="1"/>
  <c r="E93" i="108"/>
  <c r="E60" i="108" s="1"/>
  <c r="E85" i="108"/>
  <c r="E52" i="108" s="1"/>
  <c r="E46" i="120"/>
  <c r="E63" i="120" s="1"/>
  <c r="T155" i="107"/>
  <c r="T102" i="128" s="1"/>
  <c r="E86" i="108"/>
  <c r="E53" i="108" s="1"/>
  <c r="AM19" i="107"/>
  <c r="AM19" i="128" s="1"/>
  <c r="AQ22" i="107"/>
  <c r="AQ19" i="107" s="1"/>
  <c r="AQ19" i="128" s="1"/>
  <c r="D94" i="108"/>
  <c r="D61" i="108" s="1"/>
  <c r="D83" i="108"/>
  <c r="D50" i="108" s="1"/>
  <c r="AF66" i="115"/>
  <c r="F79" i="121"/>
  <c r="F94" i="121" s="1"/>
  <c r="AF65" i="115"/>
  <c r="F79" i="120"/>
  <c r="D88" i="120" s="1"/>
  <c r="AF75" i="115"/>
  <c r="BB13" i="121"/>
  <c r="BB1" i="121" s="1"/>
  <c r="C28" i="121" s="1"/>
  <c r="G28" i="121" s="1"/>
  <c r="F82" i="120"/>
  <c r="D91" i="120" s="1"/>
  <c r="BH13" i="121"/>
  <c r="BH1" i="121" s="1"/>
  <c r="C22" i="121" s="1"/>
  <c r="G22" i="121" s="1"/>
  <c r="AJ172" i="107"/>
  <c r="AJ119" i="128"/>
  <c r="F78" i="120"/>
  <c r="D87" i="120" s="1"/>
  <c r="AB119" i="128" s="1"/>
  <c r="F81" i="120"/>
  <c r="D90" i="120" s="1"/>
  <c r="D92" i="120"/>
  <c r="E88" i="108"/>
  <c r="E55" i="108" s="1"/>
  <c r="AF71" i="115"/>
  <c r="AF21" i="115"/>
  <c r="AF85" i="115"/>
  <c r="AF7" i="115"/>
  <c r="AF74" i="115"/>
  <c r="AF73" i="115"/>
  <c r="AY13" i="121"/>
  <c r="AY1" i="121" s="1"/>
  <c r="AF8" i="115"/>
  <c r="AF12" i="115"/>
  <c r="AF87" i="115"/>
  <c r="AF78" i="115"/>
  <c r="AF77" i="115"/>
  <c r="AF96" i="115"/>
  <c r="AF97" i="115"/>
  <c r="AF81" i="115"/>
  <c r="AF41" i="115"/>
  <c r="AF72" i="115"/>
  <c r="AF86" i="115"/>
  <c r="AF22" i="115"/>
  <c r="AF14" i="115"/>
  <c r="AF32" i="115"/>
  <c r="AF83" i="115"/>
  <c r="AF15" i="115"/>
  <c r="AF34" i="115"/>
  <c r="AF91" i="115"/>
  <c r="AF88" i="115"/>
  <c r="AF25" i="115"/>
  <c r="AF38" i="115"/>
  <c r="AF42" i="115"/>
  <c r="AF93" i="115"/>
  <c r="AF9" i="115"/>
  <c r="AF80" i="115"/>
  <c r="AF10" i="115"/>
  <c r="AF82" i="115"/>
  <c r="AF23" i="115"/>
  <c r="AF31" i="115"/>
  <c r="AF37" i="115"/>
  <c r="AF39" i="115"/>
  <c r="AF89" i="115"/>
  <c r="AF16" i="115"/>
  <c r="AF19" i="115"/>
  <c r="AF29" i="115"/>
  <c r="AF90" i="115"/>
  <c r="AF24" i="115"/>
  <c r="AF94" i="115"/>
  <c r="AF35" i="115"/>
  <c r="BO1" i="131"/>
  <c r="AF98" i="115"/>
  <c r="AF18" i="115"/>
  <c r="AF33" i="115"/>
  <c r="AF26" i="115"/>
  <c r="AF79" i="115"/>
  <c r="AF36" i="115"/>
  <c r="AF99" i="115"/>
  <c r="AF11" i="115"/>
  <c r="AF40" i="115"/>
  <c r="AF84" i="115"/>
  <c r="AF100" i="115"/>
  <c r="C15" i="115"/>
  <c r="A14" i="115"/>
  <c r="BO2" i="131"/>
  <c r="AG5" i="115"/>
  <c r="AG89" i="115" s="1"/>
  <c r="AG70" i="115"/>
  <c r="AH4" i="115"/>
  <c r="AF76" i="115"/>
  <c r="AF92" i="115"/>
  <c r="G45" i="120"/>
  <c r="C62" i="120" s="1"/>
  <c r="E62" i="120"/>
  <c r="D62" i="120"/>
  <c r="E66" i="120"/>
  <c r="G49" i="120"/>
  <c r="C66" i="120" s="1"/>
  <c r="D66" i="120"/>
  <c r="AF20" i="115"/>
  <c r="AF13" i="115"/>
  <c r="AF30" i="115"/>
  <c r="AF95" i="115"/>
  <c r="AF17" i="115"/>
  <c r="AF28" i="115"/>
  <c r="AF60" i="115" l="1" a="1"/>
  <c r="AF60" i="115" s="1"/>
  <c r="K12" i="115"/>
  <c r="E81" i="120"/>
  <c r="G81" i="120" s="1"/>
  <c r="E90" i="120" s="1"/>
  <c r="AN173" i="107" s="1"/>
  <c r="E78" i="120"/>
  <c r="G78" i="120" s="1"/>
  <c r="E87" i="120" s="1"/>
  <c r="AB173" i="107" s="1"/>
  <c r="E82" i="120"/>
  <c r="G82" i="120" s="1"/>
  <c r="E91" i="120" s="1"/>
  <c r="AR173" i="107" s="1"/>
  <c r="E83" i="120"/>
  <c r="G83" i="120" s="1"/>
  <c r="G80" i="120"/>
  <c r="E89" i="120" s="1"/>
  <c r="AJ120" i="128" s="1"/>
  <c r="AV172" i="107"/>
  <c r="AV119" i="128"/>
  <c r="AR172" i="107"/>
  <c r="AR119" i="128"/>
  <c r="AF172" i="107"/>
  <c r="AF119" i="128"/>
  <c r="AN119" i="128"/>
  <c r="AN172" i="107"/>
  <c r="AB172" i="107"/>
  <c r="AF2" i="115"/>
  <c r="AG105" i="115"/>
  <c r="AG106" i="115"/>
  <c r="AG101" i="115"/>
  <c r="AG102" i="115"/>
  <c r="AG103" i="115"/>
  <c r="C25" i="121"/>
  <c r="G25" i="121" s="1"/>
  <c r="AG104" i="115"/>
  <c r="C23" i="121"/>
  <c r="G23" i="121" s="1"/>
  <c r="C29" i="121"/>
  <c r="G29" i="121" s="1"/>
  <c r="C26" i="121"/>
  <c r="G26" i="121" s="1"/>
  <c r="AG69" i="115"/>
  <c r="AG67" i="115"/>
  <c r="AG68" i="115"/>
  <c r="AG95" i="115"/>
  <c r="AG31" i="115"/>
  <c r="AG42" i="115"/>
  <c r="F28" i="121"/>
  <c r="F21" i="121"/>
  <c r="E24" i="121"/>
  <c r="E20" i="121"/>
  <c r="E22" i="121"/>
  <c r="F26" i="121"/>
  <c r="F30" i="121"/>
  <c r="E28" i="121"/>
  <c r="E26" i="121"/>
  <c r="E21" i="121"/>
  <c r="F27" i="121"/>
  <c r="E30" i="121"/>
  <c r="E27" i="121"/>
  <c r="F20" i="121"/>
  <c r="E23" i="121"/>
  <c r="F22" i="121"/>
  <c r="F25" i="121"/>
  <c r="E25" i="121"/>
  <c r="F24" i="121"/>
  <c r="E19" i="121"/>
  <c r="F19" i="121"/>
  <c r="F29" i="121"/>
  <c r="E29" i="121"/>
  <c r="F23" i="121"/>
  <c r="F89" i="121"/>
  <c r="E89" i="121" s="1"/>
  <c r="C85" i="121"/>
  <c r="F92" i="121"/>
  <c r="F84" i="121"/>
  <c r="E84" i="121" s="1"/>
  <c r="F85" i="121"/>
  <c r="E85" i="121" s="1"/>
  <c r="C91" i="121"/>
  <c r="C90" i="121"/>
  <c r="C87" i="121"/>
  <c r="F90" i="121"/>
  <c r="E90" i="121" s="1"/>
  <c r="C89" i="121"/>
  <c r="F88" i="121"/>
  <c r="F91" i="121"/>
  <c r="E91" i="121" s="1"/>
  <c r="C83" i="121"/>
  <c r="C88" i="121"/>
  <c r="F87" i="121"/>
  <c r="C92" i="121"/>
  <c r="F83" i="121"/>
  <c r="E83" i="121" s="1"/>
  <c r="C84" i="121"/>
  <c r="AG65" i="115"/>
  <c r="E94" i="121"/>
  <c r="D94" i="121"/>
  <c r="C93" i="121"/>
  <c r="AG66" i="115"/>
  <c r="H13" i="115"/>
  <c r="B4" i="115"/>
  <c r="C4" i="115" s="1"/>
  <c r="B13" i="115"/>
  <c r="F86" i="121"/>
  <c r="F93" i="121"/>
  <c r="C94" i="121"/>
  <c r="C86" i="121"/>
  <c r="AB120" i="128"/>
  <c r="AF120" i="128"/>
  <c r="AF173" i="107"/>
  <c r="AN120" i="128"/>
  <c r="AG90" i="115"/>
  <c r="AG75" i="115"/>
  <c r="AG96" i="115"/>
  <c r="AG76" i="115"/>
  <c r="AG73" i="115"/>
  <c r="AG26" i="115"/>
  <c r="AG8" i="115"/>
  <c r="AG7" i="115"/>
  <c r="AG74" i="115"/>
  <c r="AG13" i="115"/>
  <c r="AG71" i="115"/>
  <c r="AG72" i="115"/>
  <c r="AG21" i="115"/>
  <c r="AG27" i="115"/>
  <c r="AG85" i="115"/>
  <c r="AG78" i="115"/>
  <c r="AG12" i="115"/>
  <c r="AG14" i="115"/>
  <c r="AG15" i="115"/>
  <c r="AG19" i="115"/>
  <c r="AG88" i="115"/>
  <c r="AG80" i="115"/>
  <c r="AG33" i="115"/>
  <c r="AG36" i="115"/>
  <c r="AG79" i="115"/>
  <c r="AH69" i="115"/>
  <c r="AH5" i="115"/>
  <c r="AH34" i="115" s="1"/>
  <c r="AH70" i="115"/>
  <c r="AI4" i="115"/>
  <c r="AG22" i="115"/>
  <c r="AG16" i="115"/>
  <c r="AG98" i="115"/>
  <c r="AG97" i="115"/>
  <c r="AG86" i="115"/>
  <c r="AG38" i="115"/>
  <c r="C16" i="115"/>
  <c r="A15" i="115"/>
  <c r="AG77" i="115"/>
  <c r="AG17" i="115"/>
  <c r="AG41" i="115"/>
  <c r="AG94" i="115"/>
  <c r="AG100" i="115"/>
  <c r="AG29" i="115"/>
  <c r="AG20" i="115"/>
  <c r="AG28" i="115"/>
  <c r="AG37" i="115"/>
  <c r="AG24" i="115"/>
  <c r="AG91" i="115"/>
  <c r="AG82" i="115"/>
  <c r="AG39" i="115"/>
  <c r="AG25" i="115"/>
  <c r="AG10" i="115"/>
  <c r="AG34" i="115"/>
  <c r="AG40" i="115"/>
  <c r="AG87" i="115"/>
  <c r="AG9" i="115"/>
  <c r="AG18" i="115"/>
  <c r="AG35" i="115"/>
  <c r="AG11" i="115"/>
  <c r="AG30" i="115"/>
  <c r="AG93" i="115"/>
  <c r="AG23" i="115"/>
  <c r="AG84" i="115"/>
  <c r="AG83" i="115"/>
  <c r="AG32" i="115"/>
  <c r="AG99" i="115"/>
  <c r="AG92" i="115"/>
  <c r="AG81" i="115"/>
  <c r="AJ173" i="107" l="1"/>
  <c r="AR120" i="128"/>
  <c r="E92" i="120"/>
  <c r="K13" i="115"/>
  <c r="L13" i="115"/>
  <c r="AG60" i="115"/>
  <c r="AH103" i="115"/>
  <c r="AH105" i="115"/>
  <c r="AH101" i="115"/>
  <c r="AH106" i="115"/>
  <c r="AH102" i="115"/>
  <c r="AH104" i="115"/>
  <c r="C32" i="121"/>
  <c r="T154" i="107" s="1"/>
  <c r="T101" i="128" s="1"/>
  <c r="AH85" i="115"/>
  <c r="AH21" i="115"/>
  <c r="AH95" i="115"/>
  <c r="AH31" i="115"/>
  <c r="F32" i="121"/>
  <c r="E32" i="121"/>
  <c r="D89" i="121"/>
  <c r="AH68" i="115"/>
  <c r="AH67" i="115"/>
  <c r="D84" i="121"/>
  <c r="D85" i="121"/>
  <c r="D92" i="121"/>
  <c r="E92" i="121"/>
  <c r="E88" i="121"/>
  <c r="D88" i="121"/>
  <c r="D83" i="121"/>
  <c r="D91" i="121"/>
  <c r="D90" i="121"/>
  <c r="E87" i="121"/>
  <c r="D87" i="121"/>
  <c r="AH71" i="115"/>
  <c r="AH26" i="115"/>
  <c r="AH65" i="115"/>
  <c r="P110" i="128"/>
  <c r="B14" i="115"/>
  <c r="P163" i="107"/>
  <c r="E93" i="121"/>
  <c r="D93" i="121"/>
  <c r="H14" i="115"/>
  <c r="L14" i="115" s="1"/>
  <c r="J13" i="115"/>
  <c r="AH66" i="115"/>
  <c r="E86" i="121"/>
  <c r="D86" i="121"/>
  <c r="AH86" i="115"/>
  <c r="AH81" i="115"/>
  <c r="AH14" i="115"/>
  <c r="AH78" i="115"/>
  <c r="AH17" i="115"/>
  <c r="AH11" i="115"/>
  <c r="AH12" i="115"/>
  <c r="AH72" i="115"/>
  <c r="AH75" i="115"/>
  <c r="AH8" i="115"/>
  <c r="AH90" i="115"/>
  <c r="AH7" i="115"/>
  <c r="AH74" i="115"/>
  <c r="AH73" i="115"/>
  <c r="AH76" i="115"/>
  <c r="AH22" i="115"/>
  <c r="AH38" i="115"/>
  <c r="AH94" i="115"/>
  <c r="AH84" i="115"/>
  <c r="AH19" i="115"/>
  <c r="AH30" i="115"/>
  <c r="AH89" i="115"/>
  <c r="AH37" i="115"/>
  <c r="AH13" i="115"/>
  <c r="AH98" i="115"/>
  <c r="AH41" i="115"/>
  <c r="AH77" i="115"/>
  <c r="AH36" i="115"/>
  <c r="AH35" i="115"/>
  <c r="AH24" i="115"/>
  <c r="AH87" i="115"/>
  <c r="AH25" i="115"/>
  <c r="AH23" i="115"/>
  <c r="AH82" i="115"/>
  <c r="AH18" i="115"/>
  <c r="AH42" i="115"/>
  <c r="AH29" i="115"/>
  <c r="AH96" i="115"/>
  <c r="AH16" i="115"/>
  <c r="AH33" i="115"/>
  <c r="AH79" i="115"/>
  <c r="AG2" i="115"/>
  <c r="AH39" i="115"/>
  <c r="AH100" i="115"/>
  <c r="AH99" i="115"/>
  <c r="AH20" i="115"/>
  <c r="AH83" i="115"/>
  <c r="AH88" i="115"/>
  <c r="AH92" i="115"/>
  <c r="AH28" i="115"/>
  <c r="AH80" i="115"/>
  <c r="AH27" i="115"/>
  <c r="AH91" i="115"/>
  <c r="AH97" i="115"/>
  <c r="AH15" i="115"/>
  <c r="AH40" i="115"/>
  <c r="AH9" i="115"/>
  <c r="AH93" i="115"/>
  <c r="AH10" i="115"/>
  <c r="AH32" i="115"/>
  <c r="AI67" i="115"/>
  <c r="AI69" i="115"/>
  <c r="AI70" i="115"/>
  <c r="AI5" i="115"/>
  <c r="AI98" i="115" s="1"/>
  <c r="AJ4" i="115"/>
  <c r="C17" i="115"/>
  <c r="A16" i="115"/>
  <c r="AV173" i="107" l="1"/>
  <c r="AV120" i="128"/>
  <c r="AH60" i="115"/>
  <c r="AI104" i="115"/>
  <c r="AI106" i="115"/>
  <c r="AI102" i="115"/>
  <c r="AI101" i="115"/>
  <c r="AI103" i="115"/>
  <c r="AI105" i="115"/>
  <c r="AI85" i="115"/>
  <c r="AI21" i="115"/>
  <c r="AI95" i="115"/>
  <c r="AI72" i="115"/>
  <c r="AI74" i="115"/>
  <c r="AI8" i="115"/>
  <c r="AI31" i="115"/>
  <c r="AI68" i="115"/>
  <c r="K14" i="115"/>
  <c r="AI66" i="115"/>
  <c r="AI65" i="115"/>
  <c r="J14" i="115"/>
  <c r="H15" i="115"/>
  <c r="P164" i="107"/>
  <c r="B15" i="115"/>
  <c r="P111" i="128"/>
  <c r="AI22" i="115"/>
  <c r="AI7" i="115"/>
  <c r="AI83" i="115"/>
  <c r="AI76" i="115"/>
  <c r="AI73" i="115"/>
  <c r="AI90" i="115"/>
  <c r="AI14" i="115"/>
  <c r="AI81" i="115"/>
  <c r="AI26" i="115"/>
  <c r="AI11" i="115"/>
  <c r="AI82" i="115"/>
  <c r="AI18" i="115"/>
  <c r="AI86" i="115"/>
  <c r="AI19" i="115"/>
  <c r="AI71" i="115"/>
  <c r="AI78" i="115"/>
  <c r="AI12" i="115"/>
  <c r="AI17" i="115"/>
  <c r="AI75" i="115"/>
  <c r="AI40" i="115"/>
  <c r="AI20" i="115"/>
  <c r="AI34" i="115"/>
  <c r="AI15" i="115"/>
  <c r="AI25" i="115"/>
  <c r="AI32" i="115"/>
  <c r="AH2" i="115"/>
  <c r="AI23" i="115"/>
  <c r="AI42" i="115"/>
  <c r="AI24" i="115"/>
  <c r="AI77" i="115"/>
  <c r="AJ5" i="115"/>
  <c r="AJ88" i="115" s="1"/>
  <c r="AK4" i="115"/>
  <c r="AI97" i="115"/>
  <c r="AI16" i="115"/>
  <c r="AI94" i="115"/>
  <c r="AI36" i="115"/>
  <c r="AI38" i="115"/>
  <c r="AI93" i="115"/>
  <c r="AI39" i="115"/>
  <c r="AI28" i="115"/>
  <c r="AI79" i="115"/>
  <c r="AI33" i="115"/>
  <c r="AI88" i="115"/>
  <c r="AI29" i="115"/>
  <c r="AI91" i="115"/>
  <c r="AI37" i="115"/>
  <c r="AI87" i="115"/>
  <c r="AI99" i="115"/>
  <c r="AI92" i="115"/>
  <c r="AI80" i="115"/>
  <c r="AI100" i="115"/>
  <c r="AI84" i="115"/>
  <c r="A17" i="115"/>
  <c r="C18" i="115"/>
  <c r="AI9" i="115"/>
  <c r="AI41" i="115"/>
  <c r="AI35" i="115"/>
  <c r="AI27" i="115"/>
  <c r="AI13" i="115"/>
  <c r="AI10" i="115"/>
  <c r="AI30" i="115"/>
  <c r="AI96" i="115"/>
  <c r="AI89" i="115"/>
  <c r="AJ72" i="115" l="1"/>
  <c r="K15" i="115"/>
  <c r="L15" i="115"/>
  <c r="AI60" i="115"/>
  <c r="AJ104" i="115"/>
  <c r="AJ101" i="115"/>
  <c r="AJ102" i="115"/>
  <c r="AJ103" i="115"/>
  <c r="AJ105" i="115"/>
  <c r="AJ106" i="115"/>
  <c r="AJ70" i="115"/>
  <c r="AJ69" i="115"/>
  <c r="AJ68" i="115"/>
  <c r="AJ85" i="115"/>
  <c r="AJ31" i="115"/>
  <c r="AJ95" i="115"/>
  <c r="AJ21" i="115"/>
  <c r="AJ74" i="115"/>
  <c r="AJ10" i="115"/>
  <c r="AJ8" i="115"/>
  <c r="AJ66" i="115"/>
  <c r="AJ67" i="115"/>
  <c r="B16" i="115"/>
  <c r="P165" i="107"/>
  <c r="P112" i="128"/>
  <c r="J15" i="115"/>
  <c r="H16" i="115"/>
  <c r="AJ65" i="115"/>
  <c r="AJ12" i="115"/>
  <c r="AJ86" i="115"/>
  <c r="AJ75" i="115"/>
  <c r="AJ73" i="115"/>
  <c r="AJ90" i="115"/>
  <c r="AJ78" i="115"/>
  <c r="AJ23" i="115"/>
  <c r="AJ19" i="115"/>
  <c r="AJ22" i="115"/>
  <c r="AJ14" i="115"/>
  <c r="AJ83" i="115"/>
  <c r="AJ18" i="115"/>
  <c r="AJ76" i="115"/>
  <c r="AJ7" i="115"/>
  <c r="AJ11" i="115"/>
  <c r="AJ17" i="115"/>
  <c r="AJ26" i="115"/>
  <c r="AJ71" i="115"/>
  <c r="AJ82" i="115"/>
  <c r="AJ87" i="115"/>
  <c r="AJ81" i="115"/>
  <c r="AJ92" i="115"/>
  <c r="AJ80" i="115"/>
  <c r="AJ16" i="115"/>
  <c r="AJ34" i="115"/>
  <c r="AJ41" i="115"/>
  <c r="AJ98" i="115"/>
  <c r="AJ89" i="115"/>
  <c r="AJ15" i="115"/>
  <c r="AJ35" i="115"/>
  <c r="AJ29" i="115"/>
  <c r="AJ42" i="115"/>
  <c r="AJ96" i="115"/>
  <c r="AJ24" i="115"/>
  <c r="AJ20" i="115"/>
  <c r="AJ37" i="115"/>
  <c r="AJ13" i="115"/>
  <c r="AI2" i="115"/>
  <c r="AJ9" i="115"/>
  <c r="AJ94" i="115"/>
  <c r="AJ84" i="115"/>
  <c r="AJ30" i="115"/>
  <c r="AJ36" i="115"/>
  <c r="AJ39" i="115"/>
  <c r="AJ91" i="115"/>
  <c r="AJ100" i="115"/>
  <c r="AJ40" i="115"/>
  <c r="AJ25" i="115"/>
  <c r="AJ32" i="115"/>
  <c r="AJ33" i="115"/>
  <c r="AJ38" i="115"/>
  <c r="AK5" i="115"/>
  <c r="AK37" i="115" s="1"/>
  <c r="AL4" i="115"/>
  <c r="AJ79" i="115"/>
  <c r="AJ28" i="115"/>
  <c r="AJ77" i="115"/>
  <c r="AJ97" i="115"/>
  <c r="AJ99" i="115"/>
  <c r="AJ93" i="115"/>
  <c r="A18" i="115"/>
  <c r="C19" i="115"/>
  <c r="AJ27" i="115"/>
  <c r="K16" i="115" l="1"/>
  <c r="L16" i="115"/>
  <c r="AJ60" i="115"/>
  <c r="AK101" i="115"/>
  <c r="AK105" i="115"/>
  <c r="AK106" i="115"/>
  <c r="AK102" i="115"/>
  <c r="AK103" i="115"/>
  <c r="AK104" i="115"/>
  <c r="AK70" i="115"/>
  <c r="AK69" i="115"/>
  <c r="AK85" i="115"/>
  <c r="AK21" i="115"/>
  <c r="AK95" i="115"/>
  <c r="AK10" i="115"/>
  <c r="AK72" i="115"/>
  <c r="AK31" i="115"/>
  <c r="AK8" i="115"/>
  <c r="AK74" i="115"/>
  <c r="AK67" i="115"/>
  <c r="AK68" i="115"/>
  <c r="P113" i="128"/>
  <c r="P166" i="107"/>
  <c r="B17" i="115"/>
  <c r="B18" i="115" s="1"/>
  <c r="P115" i="128" s="1"/>
  <c r="AK66" i="115"/>
  <c r="J16" i="115"/>
  <c r="H17" i="115"/>
  <c r="L17" i="115" s="1"/>
  <c r="AK65" i="115"/>
  <c r="AK18" i="115"/>
  <c r="AK26" i="115"/>
  <c r="AK82" i="115"/>
  <c r="AK78" i="115"/>
  <c r="AK14" i="115"/>
  <c r="AK83" i="115"/>
  <c r="AK12" i="115"/>
  <c r="AK11" i="115"/>
  <c r="AK15" i="115"/>
  <c r="AK71" i="115"/>
  <c r="AK17" i="115"/>
  <c r="AK76" i="115"/>
  <c r="AK81" i="115"/>
  <c r="AK87" i="115"/>
  <c r="AK75" i="115"/>
  <c r="AK73" i="115"/>
  <c r="AK22" i="115"/>
  <c r="AK79" i="115"/>
  <c r="AK90" i="115"/>
  <c r="AK23" i="115"/>
  <c r="AK7" i="115"/>
  <c r="AK86" i="115"/>
  <c r="AK19" i="115"/>
  <c r="AJ2" i="115"/>
  <c r="AK16" i="115"/>
  <c r="AK98" i="115"/>
  <c r="AK20" i="115"/>
  <c r="AK30" i="115"/>
  <c r="AK88" i="115"/>
  <c r="AK84" i="115"/>
  <c r="AK96" i="115"/>
  <c r="AK33" i="115"/>
  <c r="AK99" i="115"/>
  <c r="AK41" i="115"/>
  <c r="AK91" i="115"/>
  <c r="AK92" i="115"/>
  <c r="AK40" i="115"/>
  <c r="AK35" i="115"/>
  <c r="AK27" i="115"/>
  <c r="AK80" i="115"/>
  <c r="AK39" i="115"/>
  <c r="AK29" i="115"/>
  <c r="AK32" i="115"/>
  <c r="AK28" i="115"/>
  <c r="AK25" i="115"/>
  <c r="AK24" i="115"/>
  <c r="AK36" i="115"/>
  <c r="AK13" i="115"/>
  <c r="A19" i="115"/>
  <c r="C20" i="115"/>
  <c r="AK100" i="115"/>
  <c r="AK94" i="115"/>
  <c r="AK89" i="115"/>
  <c r="AK9" i="115"/>
  <c r="AK38" i="115"/>
  <c r="AK42" i="115"/>
  <c r="AK97" i="115"/>
  <c r="AL5" i="115"/>
  <c r="AL25" i="115" s="1"/>
  <c r="AM4" i="115"/>
  <c r="AK34" i="115"/>
  <c r="AK93" i="115"/>
  <c r="AK77" i="115"/>
  <c r="AK60" i="115" l="1"/>
  <c r="AM106" i="115"/>
  <c r="AL106" i="115"/>
  <c r="AL102" i="115"/>
  <c r="AL103" i="115"/>
  <c r="AL104" i="115"/>
  <c r="AL105" i="115"/>
  <c r="AL101" i="115"/>
  <c r="AL70" i="115"/>
  <c r="AL68" i="115"/>
  <c r="AL67" i="115"/>
  <c r="AL69" i="115"/>
  <c r="AL21" i="115"/>
  <c r="AL85" i="115"/>
  <c r="AL31" i="115"/>
  <c r="AL8" i="115"/>
  <c r="AL10" i="115"/>
  <c r="AL72" i="115"/>
  <c r="AL95" i="115"/>
  <c r="AL74" i="115"/>
  <c r="AL100" i="115"/>
  <c r="AL98" i="115"/>
  <c r="AL40" i="115"/>
  <c r="P168" i="107"/>
  <c r="K17" i="115"/>
  <c r="AL66" i="115"/>
  <c r="AL65" i="115"/>
  <c r="P167" i="107"/>
  <c r="P114" i="128"/>
  <c r="H18" i="115"/>
  <c r="L18" i="115" s="1"/>
  <c r="J17" i="115"/>
  <c r="AL75" i="115"/>
  <c r="AL71" i="115"/>
  <c r="AL23" i="115"/>
  <c r="AL19" i="115"/>
  <c r="AL14" i="115"/>
  <c r="AL90" i="115"/>
  <c r="AL7" i="115"/>
  <c r="AL12" i="115"/>
  <c r="AL78" i="115"/>
  <c r="AL11" i="115"/>
  <c r="AL89" i="115"/>
  <c r="AL22" i="115"/>
  <c r="AL26" i="115"/>
  <c r="AL73" i="115"/>
  <c r="AL17" i="115"/>
  <c r="AL81" i="115"/>
  <c r="AL87" i="115"/>
  <c r="AL79" i="115"/>
  <c r="AL15" i="115"/>
  <c r="AL83" i="115"/>
  <c r="AL82" i="115"/>
  <c r="AL86" i="115"/>
  <c r="AL18" i="115"/>
  <c r="AL9" i="115"/>
  <c r="AL76" i="115"/>
  <c r="AL80" i="115"/>
  <c r="AL99" i="115"/>
  <c r="AK2" i="115"/>
  <c r="AL92" i="115"/>
  <c r="AL34" i="115"/>
  <c r="AL84" i="115"/>
  <c r="AL13" i="115"/>
  <c r="AM42" i="115"/>
  <c r="AM5" i="115"/>
  <c r="AM89" i="115" s="1"/>
  <c r="AN4" i="115"/>
  <c r="AL37" i="115"/>
  <c r="AL77" i="115"/>
  <c r="AL39" i="115"/>
  <c r="AL16" i="115"/>
  <c r="AL29" i="115"/>
  <c r="AL36" i="115"/>
  <c r="AL38" i="115"/>
  <c r="AL33" i="115"/>
  <c r="AL96" i="115"/>
  <c r="A20" i="115"/>
  <c r="C21" i="115"/>
  <c r="AL28" i="115"/>
  <c r="AL93" i="115"/>
  <c r="AL42" i="115"/>
  <c r="B19" i="115"/>
  <c r="AL27" i="115"/>
  <c r="AL91" i="115"/>
  <c r="AL24" i="115"/>
  <c r="AL94" i="115"/>
  <c r="AL41" i="115"/>
  <c r="AL97" i="115"/>
  <c r="AL32" i="115"/>
  <c r="AL35" i="115"/>
  <c r="AL30" i="115"/>
  <c r="AL20" i="115"/>
  <c r="AL88" i="115"/>
  <c r="AL60" i="115" l="1"/>
  <c r="AM102" i="115"/>
  <c r="AM103" i="115"/>
  <c r="AM104" i="115"/>
  <c r="AM101" i="115"/>
  <c r="AM105" i="115"/>
  <c r="AN106" i="115"/>
  <c r="AM31" i="115"/>
  <c r="AM95" i="115"/>
  <c r="AM70" i="115"/>
  <c r="AM69" i="115"/>
  <c r="AM68" i="115"/>
  <c r="AM66" i="115"/>
  <c r="AM21" i="115"/>
  <c r="AM85" i="115"/>
  <c r="AM72" i="115"/>
  <c r="AM8" i="115"/>
  <c r="AM100" i="115"/>
  <c r="AM36" i="115"/>
  <c r="AM10" i="115"/>
  <c r="AM74" i="115"/>
  <c r="AM65" i="115"/>
  <c r="AM67" i="115"/>
  <c r="J18" i="115"/>
  <c r="H19" i="115"/>
  <c r="L19" i="115" s="1"/>
  <c r="K18" i="115"/>
  <c r="AM79" i="115"/>
  <c r="AM83" i="115"/>
  <c r="AM88" i="115"/>
  <c r="AM71" i="115"/>
  <c r="AM78" i="115"/>
  <c r="AM91" i="115"/>
  <c r="AM15" i="115"/>
  <c r="AM17" i="115"/>
  <c r="AM76" i="115"/>
  <c r="AM22" i="115"/>
  <c r="AM14" i="115"/>
  <c r="AM7" i="115"/>
  <c r="AM86" i="115"/>
  <c r="AM82" i="115"/>
  <c r="AM90" i="115"/>
  <c r="AM24" i="115"/>
  <c r="AM81" i="115"/>
  <c r="AM12" i="115"/>
  <c r="AM18" i="115"/>
  <c r="AM23" i="115"/>
  <c r="AM73" i="115"/>
  <c r="AM11" i="115"/>
  <c r="AM9" i="115"/>
  <c r="AM19" i="115"/>
  <c r="AM87" i="115"/>
  <c r="AM27" i="115"/>
  <c r="AM75" i="115"/>
  <c r="AM26" i="115"/>
  <c r="AM99" i="115"/>
  <c r="AM77" i="115"/>
  <c r="AM40" i="115"/>
  <c r="AM92" i="115"/>
  <c r="AL2" i="115"/>
  <c r="AM38" i="115"/>
  <c r="AM32" i="115"/>
  <c r="AM84" i="115"/>
  <c r="AM96" i="115"/>
  <c r="AM93" i="115"/>
  <c r="AM97" i="115"/>
  <c r="AM25" i="115"/>
  <c r="A21" i="115"/>
  <c r="C22" i="115"/>
  <c r="AN42" i="115"/>
  <c r="AN5" i="115"/>
  <c r="AN77" i="115" s="1"/>
  <c r="AO4" i="115"/>
  <c r="AM13" i="115"/>
  <c r="AM41" i="115"/>
  <c r="AM37" i="115"/>
  <c r="AM34" i="115"/>
  <c r="AM33" i="115"/>
  <c r="AM94" i="115"/>
  <c r="AM39" i="115"/>
  <c r="P169" i="107"/>
  <c r="P116" i="128"/>
  <c r="B20" i="115"/>
  <c r="AM98" i="115"/>
  <c r="AM29" i="115"/>
  <c r="AM35" i="115"/>
  <c r="AM30" i="115"/>
  <c r="AM80" i="115"/>
  <c r="AM28" i="115"/>
  <c r="AM16" i="115"/>
  <c r="AM20" i="115"/>
  <c r="AM60" i="115" l="1"/>
  <c r="AN101" i="115"/>
  <c r="AN105" i="115"/>
  <c r="AO106" i="115"/>
  <c r="AN104" i="115"/>
  <c r="AN102" i="115"/>
  <c r="AN103" i="115"/>
  <c r="AN95" i="115"/>
  <c r="AN31" i="115"/>
  <c r="AN70" i="115"/>
  <c r="AN68" i="115"/>
  <c r="AN67" i="115"/>
  <c r="AN69" i="115"/>
  <c r="AN21" i="115"/>
  <c r="AN85" i="115"/>
  <c r="AN10" i="115"/>
  <c r="AN36" i="115"/>
  <c r="AN74" i="115"/>
  <c r="AN8" i="115"/>
  <c r="AN100" i="115"/>
  <c r="AN72" i="115"/>
  <c r="AN66" i="115"/>
  <c r="H20" i="115"/>
  <c r="J19" i="115"/>
  <c r="K19" i="115"/>
  <c r="AN65" i="115"/>
  <c r="AN81" i="115"/>
  <c r="AN26" i="115"/>
  <c r="AN22" i="115"/>
  <c r="AN18" i="115"/>
  <c r="AN73" i="115"/>
  <c r="AN24" i="115"/>
  <c r="AN11" i="115"/>
  <c r="AN14" i="115"/>
  <c r="AN79" i="115"/>
  <c r="AN9" i="115"/>
  <c r="AN88" i="115"/>
  <c r="AN71" i="115"/>
  <c r="AN17" i="115"/>
  <c r="AN82" i="115"/>
  <c r="AN27" i="115"/>
  <c r="AN76" i="115"/>
  <c r="AN12" i="115"/>
  <c r="AN15" i="115"/>
  <c r="AN87" i="115"/>
  <c r="AN83" i="115"/>
  <c r="AN90" i="115"/>
  <c r="AN91" i="115"/>
  <c r="AN23" i="115"/>
  <c r="AN7" i="115"/>
  <c r="AN75" i="115"/>
  <c r="AN86" i="115"/>
  <c r="AN19" i="115"/>
  <c r="AN78" i="115"/>
  <c r="AM2" i="115"/>
  <c r="AN41" i="115"/>
  <c r="AN34" i="115"/>
  <c r="AN93" i="115"/>
  <c r="AN32" i="115"/>
  <c r="AN94" i="115"/>
  <c r="AN33" i="115"/>
  <c r="AN38" i="115"/>
  <c r="AN84" i="115"/>
  <c r="AN96" i="115"/>
  <c r="AN98" i="115"/>
  <c r="AN99" i="115"/>
  <c r="AN92" i="115"/>
  <c r="AN20" i="115"/>
  <c r="AN29" i="115"/>
  <c r="AN80" i="115"/>
  <c r="AN28" i="115"/>
  <c r="AN16" i="115"/>
  <c r="AN97" i="115"/>
  <c r="AN13" i="115"/>
  <c r="A22" i="115"/>
  <c r="A23" i="115"/>
  <c r="C23" i="115" s="1"/>
  <c r="P170" i="107"/>
  <c r="P117" i="128"/>
  <c r="B21" i="115"/>
  <c r="AN40" i="115"/>
  <c r="AN30" i="115"/>
  <c r="AN37" i="115"/>
  <c r="AN39" i="115"/>
  <c r="AO5" i="115"/>
  <c r="AO37" i="115" s="1"/>
  <c r="AO69" i="115"/>
  <c r="AO42" i="115"/>
  <c r="AP4" i="115"/>
  <c r="AN89" i="115"/>
  <c r="AN35" i="115"/>
  <c r="AN25" i="115"/>
  <c r="K20" i="115" l="1"/>
  <c r="L20" i="115"/>
  <c r="AN60" i="115"/>
  <c r="AO101" i="115"/>
  <c r="AO105" i="115"/>
  <c r="AP106" i="115"/>
  <c r="AP101" i="115"/>
  <c r="AP104" i="115"/>
  <c r="AO102" i="115"/>
  <c r="AO103" i="115"/>
  <c r="AO104" i="115"/>
  <c r="AO36" i="115"/>
  <c r="AO31" i="115"/>
  <c r="AO95" i="115"/>
  <c r="AO21" i="115"/>
  <c r="AO70" i="115"/>
  <c r="AO85" i="115"/>
  <c r="AO8" i="115"/>
  <c r="AO72" i="115"/>
  <c r="AO10" i="115"/>
  <c r="AO100" i="115"/>
  <c r="AO74" i="115"/>
  <c r="AO68" i="115"/>
  <c r="AO67" i="115"/>
  <c r="AO32" i="115"/>
  <c r="AO66" i="115"/>
  <c r="AO9" i="115"/>
  <c r="AO65" i="115"/>
  <c r="AO83" i="115"/>
  <c r="H21" i="115"/>
  <c r="L21" i="115" s="1"/>
  <c r="J20" i="115"/>
  <c r="AO19" i="115"/>
  <c r="AO17" i="115"/>
  <c r="AO78" i="115"/>
  <c r="AO90" i="115"/>
  <c r="AO86" i="115"/>
  <c r="AO84" i="115"/>
  <c r="AO71" i="115"/>
  <c r="AO76" i="115"/>
  <c r="AO26" i="115"/>
  <c r="AO18" i="115"/>
  <c r="AO14" i="115"/>
  <c r="AO81" i="115"/>
  <c r="AO23" i="115"/>
  <c r="AO12" i="115"/>
  <c r="AO73" i="115"/>
  <c r="AO91" i="115"/>
  <c r="AO75" i="115"/>
  <c r="AO27" i="115"/>
  <c r="AO87" i="115"/>
  <c r="AO24" i="115"/>
  <c r="AO82" i="115"/>
  <c r="AO7" i="115"/>
  <c r="AO22" i="115"/>
  <c r="AO11" i="115"/>
  <c r="AO79" i="115"/>
  <c r="AO20" i="115"/>
  <c r="AO88" i="115"/>
  <c r="AO15" i="115"/>
  <c r="AO99" i="115"/>
  <c r="AO16" i="115"/>
  <c r="AO34" i="115"/>
  <c r="AO40" i="115"/>
  <c r="AO35" i="115"/>
  <c r="AN2" i="115"/>
  <c r="AO13" i="115"/>
  <c r="AO38" i="115"/>
  <c r="AO30" i="115"/>
  <c r="AO77" i="115"/>
  <c r="AO25" i="115"/>
  <c r="AO94" i="115"/>
  <c r="AO28" i="115"/>
  <c r="AO98" i="115"/>
  <c r="AO93" i="115"/>
  <c r="AO97" i="115"/>
  <c r="AO39" i="115"/>
  <c r="AO96" i="115"/>
  <c r="AO29" i="115"/>
  <c r="AO41" i="115"/>
  <c r="AO89" i="115"/>
  <c r="AO92" i="115"/>
  <c r="AO80" i="115"/>
  <c r="B22" i="115"/>
  <c r="P118" i="128"/>
  <c r="P171" i="107"/>
  <c r="AP5" i="115"/>
  <c r="AP32" i="115" s="1"/>
  <c r="AP42" i="115"/>
  <c r="AQ4" i="115"/>
  <c r="AO33" i="115"/>
  <c r="AP100" i="115" l="1"/>
  <c r="AO60" i="115"/>
  <c r="AP102" i="115"/>
  <c r="AP103" i="115"/>
  <c r="AQ106" i="115"/>
  <c r="AQ101" i="115"/>
  <c r="AQ104" i="115"/>
  <c r="AP105" i="115"/>
  <c r="AP31" i="115"/>
  <c r="AP95" i="115"/>
  <c r="AP70" i="115"/>
  <c r="AP68" i="115"/>
  <c r="AP69" i="115"/>
  <c r="AP37" i="115"/>
  <c r="AP85" i="115"/>
  <c r="AP21" i="115"/>
  <c r="AP10" i="115"/>
  <c r="AP8" i="115"/>
  <c r="AP74" i="115"/>
  <c r="AP40" i="115"/>
  <c r="AP72" i="115"/>
  <c r="AP36" i="115"/>
  <c r="AP67" i="115"/>
  <c r="AP65" i="115"/>
  <c r="AP96" i="115"/>
  <c r="AP66" i="115"/>
  <c r="H22" i="115"/>
  <c r="J21" i="115"/>
  <c r="K21" i="115"/>
  <c r="AP23" i="115"/>
  <c r="AP79" i="115"/>
  <c r="AP82" i="115"/>
  <c r="AP83" i="115"/>
  <c r="AP28" i="115"/>
  <c r="AP22" i="115"/>
  <c r="AP26" i="115"/>
  <c r="AP94" i="115"/>
  <c r="AP88" i="115"/>
  <c r="AP24" i="115"/>
  <c r="AP75" i="115"/>
  <c r="AP86" i="115"/>
  <c r="AP91" i="115"/>
  <c r="AP73" i="115"/>
  <c r="AP19" i="115"/>
  <c r="AP15" i="115"/>
  <c r="AP11" i="115"/>
  <c r="AP20" i="115"/>
  <c r="AP90" i="115"/>
  <c r="AP14" i="115"/>
  <c r="AP12" i="115"/>
  <c r="AP84" i="115"/>
  <c r="AP71" i="115"/>
  <c r="AP87" i="115"/>
  <c r="AP18" i="115"/>
  <c r="AP81" i="115"/>
  <c r="AP78" i="115"/>
  <c r="AP76" i="115"/>
  <c r="AP17" i="115"/>
  <c r="AP7" i="115"/>
  <c r="AP9" i="115"/>
  <c r="AP27" i="115"/>
  <c r="AP80" i="115"/>
  <c r="AO2" i="115"/>
  <c r="AP41" i="115"/>
  <c r="AP97" i="115"/>
  <c r="AP92" i="115"/>
  <c r="AP30" i="115"/>
  <c r="AP39" i="115"/>
  <c r="AP93" i="115"/>
  <c r="AP99" i="115"/>
  <c r="AP16" i="115"/>
  <c r="AQ5" i="115"/>
  <c r="AQ89" i="115" s="1"/>
  <c r="AQ70" i="115"/>
  <c r="AQ42" i="115"/>
  <c r="AR4" i="115"/>
  <c r="AP25" i="115"/>
  <c r="AP89" i="115"/>
  <c r="AP34" i="115"/>
  <c r="AP33" i="115"/>
  <c r="AP38" i="115"/>
  <c r="P119" i="128"/>
  <c r="P172" i="107"/>
  <c r="B23" i="115"/>
  <c r="AP29" i="115"/>
  <c r="AP98" i="115"/>
  <c r="AP77" i="115"/>
  <c r="AP13" i="115"/>
  <c r="AP35" i="115"/>
  <c r="K22" i="115" l="1"/>
  <c r="L22" i="115"/>
  <c r="AP60" i="115"/>
  <c r="AQ105" i="115"/>
  <c r="AR101" i="115"/>
  <c r="AR106" i="115"/>
  <c r="AR104" i="115"/>
  <c r="AQ102" i="115"/>
  <c r="AQ103" i="115"/>
  <c r="AQ31" i="115"/>
  <c r="AQ95" i="115"/>
  <c r="AQ37" i="115"/>
  <c r="AQ41" i="115"/>
  <c r="AQ67" i="115"/>
  <c r="AQ69" i="115"/>
  <c r="AQ68" i="115"/>
  <c r="AQ66" i="115"/>
  <c r="AQ85" i="115"/>
  <c r="AQ21" i="115"/>
  <c r="AQ96" i="115"/>
  <c r="AQ100" i="115"/>
  <c r="AQ74" i="115"/>
  <c r="AQ40" i="115"/>
  <c r="AQ36" i="115"/>
  <c r="AQ8" i="115"/>
  <c r="AQ10" i="115"/>
  <c r="AQ72" i="115"/>
  <c r="AQ65" i="115"/>
  <c r="H23" i="115"/>
  <c r="L23" i="115" s="1"/>
  <c r="J22" i="115"/>
  <c r="AQ71" i="115"/>
  <c r="AQ81" i="115"/>
  <c r="AQ91" i="115"/>
  <c r="AQ87" i="115"/>
  <c r="AQ29" i="115"/>
  <c r="AQ99" i="115"/>
  <c r="AQ12" i="115"/>
  <c r="AQ94" i="115"/>
  <c r="AQ23" i="115"/>
  <c r="AQ78" i="115"/>
  <c r="AQ20" i="115"/>
  <c r="AQ79" i="115"/>
  <c r="AQ92" i="115"/>
  <c r="AQ82" i="115"/>
  <c r="AQ15" i="115"/>
  <c r="AQ73" i="115"/>
  <c r="AQ38" i="115"/>
  <c r="AQ86" i="115"/>
  <c r="AQ76" i="115"/>
  <c r="AQ14" i="115"/>
  <c r="AQ7" i="115"/>
  <c r="AQ24" i="115"/>
  <c r="AQ18" i="115"/>
  <c r="AQ75" i="115"/>
  <c r="AQ9" i="115"/>
  <c r="AQ22" i="115"/>
  <c r="AQ83" i="115"/>
  <c r="AQ17" i="115"/>
  <c r="AQ27" i="115"/>
  <c r="AQ26" i="115"/>
  <c r="AQ88" i="115"/>
  <c r="AQ19" i="115"/>
  <c r="AQ11" i="115"/>
  <c r="AQ90" i="115"/>
  <c r="AQ84" i="115"/>
  <c r="AQ93" i="115"/>
  <c r="AQ32" i="115"/>
  <c r="AQ34" i="115"/>
  <c r="AQ16" i="115"/>
  <c r="AQ77" i="115"/>
  <c r="AQ97" i="115"/>
  <c r="AQ30" i="115"/>
  <c r="AQ80" i="115"/>
  <c r="AQ33" i="115"/>
  <c r="AQ39" i="115"/>
  <c r="AQ13" i="115"/>
  <c r="AQ28" i="115"/>
  <c r="AP2" i="115"/>
  <c r="AQ25" i="115"/>
  <c r="AQ35" i="115"/>
  <c r="AQ98" i="115"/>
  <c r="AR5" i="115"/>
  <c r="AR96" i="115" s="1"/>
  <c r="AR42" i="115"/>
  <c r="AR70" i="115"/>
  <c r="AR40" i="115"/>
  <c r="AS4" i="115"/>
  <c r="P120" i="128"/>
  <c r="P173" i="107"/>
  <c r="AR100" i="115" l="1"/>
  <c r="AR95" i="115"/>
  <c r="AQ60" i="115"/>
  <c r="AR105" i="115"/>
  <c r="AR102" i="115"/>
  <c r="AS101" i="115"/>
  <c r="AS106" i="115"/>
  <c r="AS104" i="115"/>
  <c r="AR103" i="115"/>
  <c r="AR37" i="115"/>
  <c r="AR31" i="115"/>
  <c r="AR76" i="115"/>
  <c r="AR67" i="115"/>
  <c r="AR69" i="115"/>
  <c r="AR68" i="115"/>
  <c r="AR12" i="115"/>
  <c r="AR21" i="115"/>
  <c r="AR85" i="115"/>
  <c r="AR10" i="115"/>
  <c r="AR72" i="115"/>
  <c r="AR8" i="115"/>
  <c r="AR36" i="115"/>
  <c r="AR74" i="115"/>
  <c r="AR65" i="115"/>
  <c r="AR66" i="115"/>
  <c r="J23" i="115"/>
  <c r="H24" i="115"/>
  <c r="L24" i="115" s="1"/>
  <c r="K23" i="115"/>
  <c r="AR88" i="115"/>
  <c r="AR17" i="115"/>
  <c r="AR91" i="115"/>
  <c r="AR11" i="115"/>
  <c r="AR99" i="115"/>
  <c r="AR71" i="115"/>
  <c r="AR27" i="115"/>
  <c r="AR23" i="115"/>
  <c r="AR94" i="115"/>
  <c r="AR81" i="115"/>
  <c r="AR82" i="115"/>
  <c r="AR73" i="115"/>
  <c r="AR90" i="115"/>
  <c r="AR26" i="115"/>
  <c r="AR84" i="115"/>
  <c r="AR93" i="115"/>
  <c r="AR14" i="115"/>
  <c r="AR19" i="115"/>
  <c r="AR29" i="115"/>
  <c r="AR20" i="115"/>
  <c r="AR78" i="115"/>
  <c r="AR22" i="115"/>
  <c r="AR15" i="115"/>
  <c r="AR75" i="115"/>
  <c r="AR7" i="115"/>
  <c r="AR79" i="115"/>
  <c r="AR86" i="115"/>
  <c r="AR24" i="115"/>
  <c r="AR30" i="115"/>
  <c r="AR38" i="115"/>
  <c r="AR83" i="115"/>
  <c r="AR87" i="115"/>
  <c r="AR9" i="115"/>
  <c r="AR18" i="115"/>
  <c r="AR25" i="115"/>
  <c r="AQ2" i="115"/>
  <c r="AR97" i="115"/>
  <c r="AR28" i="115"/>
  <c r="AR89" i="115"/>
  <c r="AR77" i="115"/>
  <c r="AR16" i="115"/>
  <c r="AR32" i="115"/>
  <c r="AR13" i="115"/>
  <c r="AR92" i="115"/>
  <c r="AR41" i="115"/>
  <c r="AR98" i="115"/>
  <c r="AR34" i="115"/>
  <c r="AR33" i="115"/>
  <c r="AR35" i="115"/>
  <c r="AR80" i="115"/>
  <c r="AR39" i="115"/>
  <c r="AS5" i="115"/>
  <c r="AS25" i="115" s="1"/>
  <c r="AS70" i="115"/>
  <c r="AS42" i="115"/>
  <c r="AT4" i="115"/>
  <c r="AS71" i="115" l="1"/>
  <c r="AR60" i="115"/>
  <c r="AS102" i="115"/>
  <c r="AT106" i="115"/>
  <c r="AT101" i="115"/>
  <c r="AT104" i="115"/>
  <c r="AS103" i="115"/>
  <c r="AS105" i="115"/>
  <c r="AS95" i="115"/>
  <c r="AS21" i="115"/>
  <c r="AS37" i="115"/>
  <c r="AS31" i="115"/>
  <c r="AS7" i="115"/>
  <c r="AS69" i="115"/>
  <c r="AS85" i="115"/>
  <c r="AS12" i="115"/>
  <c r="AS76" i="115"/>
  <c r="AS36" i="115"/>
  <c r="AS10" i="115"/>
  <c r="AS8" i="115"/>
  <c r="AS72" i="115"/>
  <c r="AS40" i="115"/>
  <c r="AS100" i="115"/>
  <c r="AS74" i="115"/>
  <c r="AS68" i="115"/>
  <c r="AS67" i="115"/>
  <c r="AS65" i="115"/>
  <c r="J24" i="115"/>
  <c r="H25" i="115"/>
  <c r="L25" i="115" s="1"/>
  <c r="AS66" i="115"/>
  <c r="K24" i="115"/>
  <c r="AS27" i="115"/>
  <c r="AS20" i="115"/>
  <c r="AS73" i="115"/>
  <c r="AS83" i="115"/>
  <c r="AS86" i="115"/>
  <c r="AS90" i="115"/>
  <c r="AS9" i="115"/>
  <c r="AS11" i="115"/>
  <c r="AS19" i="115"/>
  <c r="AS94" i="115"/>
  <c r="AS78" i="115"/>
  <c r="AS15" i="115"/>
  <c r="AS24" i="115"/>
  <c r="AS79" i="115"/>
  <c r="AS14" i="115"/>
  <c r="AS17" i="115"/>
  <c r="AS26" i="115"/>
  <c r="AS22" i="115"/>
  <c r="AS75" i="115"/>
  <c r="AS87" i="115"/>
  <c r="AS93" i="115"/>
  <c r="AS91" i="115"/>
  <c r="AS18" i="115"/>
  <c r="AS82" i="115"/>
  <c r="AS29" i="115"/>
  <c r="AS30" i="115"/>
  <c r="AS23" i="115"/>
  <c r="AS81" i="115"/>
  <c r="AS84" i="115"/>
  <c r="AS88" i="115"/>
  <c r="AS80" i="115"/>
  <c r="AS34" i="115"/>
  <c r="AR2" i="115"/>
  <c r="AS33" i="115"/>
  <c r="AS41" i="115"/>
  <c r="AS39" i="115"/>
  <c r="AS99" i="115"/>
  <c r="AS92" i="115"/>
  <c r="AT70" i="115"/>
  <c r="AT42" i="115"/>
  <c r="AT5" i="115"/>
  <c r="AT92" i="115" s="1"/>
  <c r="AU4" i="115"/>
  <c r="AS98" i="115"/>
  <c r="AS35" i="115"/>
  <c r="AS28" i="115"/>
  <c r="AS77" i="115"/>
  <c r="AS38" i="115"/>
  <c r="AS13" i="115"/>
  <c r="AS96" i="115"/>
  <c r="AS89" i="115"/>
  <c r="AS32" i="115"/>
  <c r="AS16" i="115"/>
  <c r="AS97" i="115"/>
  <c r="AT74" i="115" l="1"/>
  <c r="AT8" i="115"/>
  <c r="AT71" i="115"/>
  <c r="AT72" i="115"/>
  <c r="AT10" i="115"/>
  <c r="AS60" i="115"/>
  <c r="AU101" i="115"/>
  <c r="AU106" i="115"/>
  <c r="AU104" i="115"/>
  <c r="AT105" i="115"/>
  <c r="AT102" i="115"/>
  <c r="AT103" i="115"/>
  <c r="AT95" i="115"/>
  <c r="AT31" i="115"/>
  <c r="AT7" i="115"/>
  <c r="AT69" i="115"/>
  <c r="AT67" i="115"/>
  <c r="AT37" i="115"/>
  <c r="AT85" i="115"/>
  <c r="AT17" i="115"/>
  <c r="AT81" i="115"/>
  <c r="AT21" i="115"/>
  <c r="AT12" i="115"/>
  <c r="AT76" i="115"/>
  <c r="AT100" i="115"/>
  <c r="AT40" i="115"/>
  <c r="AT36" i="115"/>
  <c r="AT68" i="115"/>
  <c r="AT65" i="115"/>
  <c r="J25" i="115"/>
  <c r="H26" i="115"/>
  <c r="L26" i="115" s="1"/>
  <c r="AT66" i="115"/>
  <c r="K25" i="115"/>
  <c r="AT79" i="115"/>
  <c r="AT82" i="115"/>
  <c r="AT20" i="115"/>
  <c r="AT23" i="115"/>
  <c r="AT73" i="115"/>
  <c r="AT84" i="115"/>
  <c r="AT18" i="115"/>
  <c r="AT83" i="115"/>
  <c r="AT90" i="115"/>
  <c r="AT87" i="115"/>
  <c r="AT27" i="115"/>
  <c r="AT19" i="115"/>
  <c r="AT15" i="115"/>
  <c r="AT78" i="115"/>
  <c r="AT29" i="115"/>
  <c r="AT93" i="115"/>
  <c r="AT9" i="115"/>
  <c r="AT88" i="115"/>
  <c r="AT94" i="115"/>
  <c r="AT86" i="115"/>
  <c r="AT75" i="115"/>
  <c r="AT14" i="115"/>
  <c r="AT26" i="115"/>
  <c r="AT30" i="115"/>
  <c r="AT91" i="115"/>
  <c r="AT22" i="115"/>
  <c r="AT24" i="115"/>
  <c r="AT11" i="115"/>
  <c r="AT32" i="115"/>
  <c r="AS2" i="115"/>
  <c r="AT35" i="115"/>
  <c r="AT96" i="115"/>
  <c r="AT39" i="115"/>
  <c r="AT38" i="115"/>
  <c r="AT25" i="115"/>
  <c r="AT34" i="115"/>
  <c r="AT13" i="115"/>
  <c r="AT33" i="115"/>
  <c r="AT77" i="115"/>
  <c r="AT80" i="115"/>
  <c r="AT89" i="115"/>
  <c r="AT99" i="115"/>
  <c r="AT16" i="115"/>
  <c r="AU42" i="115"/>
  <c r="AU70" i="115"/>
  <c r="AU5" i="115"/>
  <c r="AU89" i="115" s="1"/>
  <c r="AU69" i="115"/>
  <c r="AV4" i="115"/>
  <c r="AT41" i="115"/>
  <c r="AT28" i="115"/>
  <c r="AT98" i="115"/>
  <c r="AT97" i="115"/>
  <c r="AU8" i="115" l="1"/>
  <c r="AU71" i="115"/>
  <c r="AU72" i="115"/>
  <c r="AT60" i="115"/>
  <c r="AU105" i="115"/>
  <c r="AU102" i="115"/>
  <c r="AU103" i="115"/>
  <c r="AV101" i="115"/>
  <c r="AV106" i="115"/>
  <c r="AV104" i="115"/>
  <c r="AV102" i="115"/>
  <c r="AU95" i="115"/>
  <c r="AU31" i="115"/>
  <c r="AU7" i="115"/>
  <c r="AU68" i="115"/>
  <c r="AU67" i="115"/>
  <c r="AU37" i="115"/>
  <c r="AU76" i="115"/>
  <c r="AU85" i="115"/>
  <c r="AU12" i="115"/>
  <c r="AU21" i="115"/>
  <c r="AU81" i="115"/>
  <c r="AU17" i="115"/>
  <c r="AU83" i="115"/>
  <c r="AU19" i="115"/>
  <c r="AU36" i="115"/>
  <c r="AU74" i="115"/>
  <c r="AU40" i="115"/>
  <c r="AU100" i="115"/>
  <c r="AU10" i="115"/>
  <c r="AU65" i="115"/>
  <c r="H27" i="115"/>
  <c r="J26" i="115"/>
  <c r="AU66" i="115"/>
  <c r="K26" i="115"/>
  <c r="AU93" i="115"/>
  <c r="AU20" i="115"/>
  <c r="AU14" i="115"/>
  <c r="AU11" i="115"/>
  <c r="AU15" i="115"/>
  <c r="AU29" i="115"/>
  <c r="AU22" i="115"/>
  <c r="AU87" i="115"/>
  <c r="AU27" i="115"/>
  <c r="AU82" i="115"/>
  <c r="AU78" i="115"/>
  <c r="AU90" i="115"/>
  <c r="AU79" i="115"/>
  <c r="AU23" i="115"/>
  <c r="AU86" i="115"/>
  <c r="AU73" i="115"/>
  <c r="AU18" i="115"/>
  <c r="AU75" i="115"/>
  <c r="AU24" i="115"/>
  <c r="AU9" i="115"/>
  <c r="AU94" i="115"/>
  <c r="AU88" i="115"/>
  <c r="AU91" i="115"/>
  <c r="AU84" i="115"/>
  <c r="AU26" i="115"/>
  <c r="AU30" i="115"/>
  <c r="AT2" i="115"/>
  <c r="AU92" i="115"/>
  <c r="AU39" i="115"/>
  <c r="AU77" i="115"/>
  <c r="AU35" i="115"/>
  <c r="AU32" i="115"/>
  <c r="AU25" i="115"/>
  <c r="AU33" i="115"/>
  <c r="AU98" i="115"/>
  <c r="AU16" i="115"/>
  <c r="AU28" i="115"/>
  <c r="AU99" i="115"/>
  <c r="AU34" i="115"/>
  <c r="AU97" i="115"/>
  <c r="AU13" i="115"/>
  <c r="AU96" i="115"/>
  <c r="AV5" i="115"/>
  <c r="AV99" i="115" s="1"/>
  <c r="AV70" i="115"/>
  <c r="AV37" i="115"/>
  <c r="AV42" i="115"/>
  <c r="AW4" i="115"/>
  <c r="AU38" i="115"/>
  <c r="AU80" i="115"/>
  <c r="AU41" i="115"/>
  <c r="AV8" i="115" l="1"/>
  <c r="AV72" i="115"/>
  <c r="AV7" i="115"/>
  <c r="AV71" i="115"/>
  <c r="AV31" i="115"/>
  <c r="AV83" i="115"/>
  <c r="K27" i="115"/>
  <c r="L27" i="115"/>
  <c r="AU60" i="115"/>
  <c r="AV103" i="115"/>
  <c r="AV105" i="115"/>
  <c r="AW106" i="115"/>
  <c r="AW101" i="115"/>
  <c r="AW104" i="115"/>
  <c r="AW102" i="115"/>
  <c r="AV95" i="115"/>
  <c r="AV69" i="115"/>
  <c r="AV19" i="115"/>
  <c r="AV85" i="115"/>
  <c r="AV21" i="115"/>
  <c r="AV12" i="115"/>
  <c r="AV17" i="115"/>
  <c r="AV81" i="115"/>
  <c r="AV76" i="115"/>
  <c r="AV40" i="115"/>
  <c r="AV74" i="115"/>
  <c r="AV38" i="115"/>
  <c r="AV100" i="115"/>
  <c r="AV93" i="115"/>
  <c r="AV29" i="115"/>
  <c r="AV10" i="115"/>
  <c r="AV36" i="115"/>
  <c r="AV68" i="115"/>
  <c r="AV67" i="115"/>
  <c r="AV65" i="115"/>
  <c r="AV32" i="115"/>
  <c r="AV98" i="115"/>
  <c r="AV34" i="115"/>
  <c r="AV41" i="115"/>
  <c r="AV39" i="115"/>
  <c r="AV97" i="115"/>
  <c r="AV86" i="115"/>
  <c r="AV90" i="115"/>
  <c r="AV66" i="115"/>
  <c r="H28" i="115"/>
  <c r="L28" i="115" s="1"/>
  <c r="J27" i="115"/>
  <c r="AV11" i="115"/>
  <c r="AV25" i="115"/>
  <c r="AV13" i="115"/>
  <c r="AV94" i="115"/>
  <c r="AV30" i="115"/>
  <c r="AV75" i="115"/>
  <c r="AV91" i="115"/>
  <c r="AV24" i="115"/>
  <c r="AV77" i="115"/>
  <c r="AV15" i="115"/>
  <c r="AV78" i="115"/>
  <c r="AV87" i="115"/>
  <c r="AV73" i="115"/>
  <c r="AV80" i="115"/>
  <c r="AV16" i="115"/>
  <c r="AV26" i="115"/>
  <c r="AV27" i="115"/>
  <c r="AV84" i="115"/>
  <c r="AV14" i="115"/>
  <c r="AV23" i="115"/>
  <c r="AV9" i="115"/>
  <c r="AV18" i="115"/>
  <c r="AV20" i="115"/>
  <c r="AU2" i="115"/>
  <c r="AV88" i="115"/>
  <c r="AV79" i="115"/>
  <c r="AV22" i="115"/>
  <c r="AV82" i="115"/>
  <c r="AV28" i="115"/>
  <c r="AV89" i="115"/>
  <c r="AV33" i="115"/>
  <c r="AV92" i="115"/>
  <c r="AV35" i="115"/>
  <c r="AV96" i="115"/>
  <c r="AW40" i="115"/>
  <c r="AW70" i="115"/>
  <c r="AW5" i="115"/>
  <c r="AW41" i="115" s="1"/>
  <c r="AW42" i="115"/>
  <c r="AX4" i="115"/>
  <c r="AW36" i="115" l="1"/>
  <c r="AW100" i="115"/>
  <c r="AW7" i="115"/>
  <c r="AW8" i="115"/>
  <c r="AW71" i="115"/>
  <c r="AW72" i="115"/>
  <c r="AV60" i="115"/>
  <c r="AX106" i="115"/>
  <c r="AX101" i="115"/>
  <c r="AX104" i="115"/>
  <c r="AX102" i="115"/>
  <c r="AW103" i="115"/>
  <c r="AW105" i="115"/>
  <c r="AW93" i="115"/>
  <c r="AW95" i="115"/>
  <c r="AW37" i="115"/>
  <c r="AW29" i="115"/>
  <c r="AW31" i="115"/>
  <c r="AW69" i="115"/>
  <c r="AW83" i="115"/>
  <c r="AW85" i="115"/>
  <c r="AW19" i="115"/>
  <c r="AW21" i="115"/>
  <c r="AW81" i="115"/>
  <c r="AW12" i="115"/>
  <c r="AW17" i="115"/>
  <c r="AW76" i="115"/>
  <c r="AW74" i="115"/>
  <c r="AW38" i="115"/>
  <c r="AW10" i="115"/>
  <c r="AW68" i="115"/>
  <c r="AW67" i="115"/>
  <c r="AW65" i="115"/>
  <c r="AW66" i="115"/>
  <c r="AW97" i="115"/>
  <c r="AW33" i="115"/>
  <c r="AW28" i="115"/>
  <c r="AW18" i="115"/>
  <c r="H29" i="115"/>
  <c r="J28" i="115"/>
  <c r="K28" i="115"/>
  <c r="AW25" i="115"/>
  <c r="AW82" i="115"/>
  <c r="AW80" i="115"/>
  <c r="AW27" i="115"/>
  <c r="AW79" i="115"/>
  <c r="AW20" i="115"/>
  <c r="AW9" i="115"/>
  <c r="AW94" i="115"/>
  <c r="AW24" i="115"/>
  <c r="AW88" i="115"/>
  <c r="AW11" i="115"/>
  <c r="AW78" i="115"/>
  <c r="AW87" i="115"/>
  <c r="AW84" i="115"/>
  <c r="AW91" i="115"/>
  <c r="AV2" i="115"/>
  <c r="AW16" i="115"/>
  <c r="AW90" i="115"/>
  <c r="AW22" i="115"/>
  <c r="AW30" i="115"/>
  <c r="AW86" i="115"/>
  <c r="AW26" i="115"/>
  <c r="AW73" i="115"/>
  <c r="AW14" i="115"/>
  <c r="AW15" i="115"/>
  <c r="AW23" i="115"/>
  <c r="AW75" i="115"/>
  <c r="AW92" i="115"/>
  <c r="AW89" i="115"/>
  <c r="AW13" i="115"/>
  <c r="AW96" i="115"/>
  <c r="AW77" i="115"/>
  <c r="AW39" i="115"/>
  <c r="AW35" i="115"/>
  <c r="AW99" i="115"/>
  <c r="AX38" i="115"/>
  <c r="AX5" i="115"/>
  <c r="AX97" i="115" s="1"/>
  <c r="AX70" i="115"/>
  <c r="AX40" i="115"/>
  <c r="AX42" i="115"/>
  <c r="AY4" i="115"/>
  <c r="AW98" i="115"/>
  <c r="AW34" i="115"/>
  <c r="AW32" i="115"/>
  <c r="AX71" i="115" l="1"/>
  <c r="AX8" i="115"/>
  <c r="AX72" i="115"/>
  <c r="AX100" i="115"/>
  <c r="AX36" i="115"/>
  <c r="AX10" i="115"/>
  <c r="AX34" i="115"/>
  <c r="K29" i="115"/>
  <c r="L29" i="115"/>
  <c r="AW60" i="115"/>
  <c r="AY101" i="115"/>
  <c r="AY106" i="115"/>
  <c r="AY104" i="115"/>
  <c r="AY103" i="115"/>
  <c r="AY102" i="115"/>
  <c r="AX105" i="115"/>
  <c r="AX103" i="115"/>
  <c r="AX93" i="115"/>
  <c r="AX95" i="115"/>
  <c r="AX31" i="115"/>
  <c r="AX37" i="115"/>
  <c r="AX7" i="115"/>
  <c r="AX69" i="115"/>
  <c r="AX67" i="115"/>
  <c r="AX29" i="115"/>
  <c r="AX98" i="115"/>
  <c r="AX84" i="115"/>
  <c r="AX83" i="115"/>
  <c r="AX19" i="115"/>
  <c r="AX85" i="115"/>
  <c r="AX21" i="115"/>
  <c r="AX20" i="115"/>
  <c r="AX76" i="115"/>
  <c r="AX81" i="115"/>
  <c r="AX17" i="115"/>
  <c r="AX74" i="115"/>
  <c r="AX12" i="115"/>
  <c r="AX68" i="115"/>
  <c r="AX66" i="115"/>
  <c r="AX65" i="115"/>
  <c r="H30" i="115"/>
  <c r="L30" i="115" s="1"/>
  <c r="J29" i="115"/>
  <c r="AX73" i="115"/>
  <c r="AX11" i="115"/>
  <c r="AX23" i="115"/>
  <c r="AX9" i="115"/>
  <c r="AX26" i="115"/>
  <c r="AX90" i="115"/>
  <c r="AX22" i="115"/>
  <c r="AX87" i="115"/>
  <c r="AX91" i="115"/>
  <c r="AX94" i="115"/>
  <c r="AX80" i="115"/>
  <c r="AX30" i="115"/>
  <c r="AX82" i="115"/>
  <c r="AX15" i="115"/>
  <c r="AX27" i="115"/>
  <c r="AX88" i="115"/>
  <c r="AX79" i="115"/>
  <c r="AX78" i="115"/>
  <c r="AX75" i="115"/>
  <c r="AX14" i="115"/>
  <c r="AX18" i="115"/>
  <c r="AX24" i="115"/>
  <c r="AX16" i="115"/>
  <c r="AX86" i="115"/>
  <c r="AX28" i="115"/>
  <c r="AW2" i="115"/>
  <c r="AX33" i="115"/>
  <c r="AX99" i="115"/>
  <c r="AX25" i="115"/>
  <c r="AX77" i="115"/>
  <c r="AX41" i="115"/>
  <c r="AX13" i="115"/>
  <c r="AX89" i="115"/>
  <c r="AX39" i="115"/>
  <c r="AX35" i="115"/>
  <c r="AY42" i="115"/>
  <c r="AY39" i="115"/>
  <c r="AY70" i="115"/>
  <c r="AY38" i="115"/>
  <c r="AY5" i="115"/>
  <c r="AY28" i="115" s="1"/>
  <c r="AZ4" i="115"/>
  <c r="AX92" i="115"/>
  <c r="AX96" i="115"/>
  <c r="AX32" i="115"/>
  <c r="AY71" i="115" l="1"/>
  <c r="AY72" i="115"/>
  <c r="AY8" i="115"/>
  <c r="AY7" i="115"/>
  <c r="AY81" i="115"/>
  <c r="AY95" i="115"/>
  <c r="AY17" i="115"/>
  <c r="AY31" i="115"/>
  <c r="AX60" i="115"/>
  <c r="AY105" i="115"/>
  <c r="AZ106" i="115"/>
  <c r="AZ105" i="115"/>
  <c r="AZ101" i="115"/>
  <c r="AZ104" i="115"/>
  <c r="AZ103" i="115"/>
  <c r="AZ102" i="115"/>
  <c r="AY37" i="115"/>
  <c r="AY68" i="115"/>
  <c r="AY69" i="115"/>
  <c r="AY67" i="115"/>
  <c r="AY29" i="115"/>
  <c r="AY93" i="115"/>
  <c r="AY85" i="115"/>
  <c r="AY34" i="115"/>
  <c r="AY98" i="115"/>
  <c r="AY19" i="115"/>
  <c r="AY83" i="115"/>
  <c r="AY21" i="115"/>
  <c r="AY18" i="115"/>
  <c r="AY76" i="115"/>
  <c r="AY11" i="115"/>
  <c r="AY82" i="115"/>
  <c r="AY12" i="115"/>
  <c r="AY75" i="115"/>
  <c r="AY91" i="115"/>
  <c r="AY40" i="115"/>
  <c r="AY100" i="115"/>
  <c r="AY20" i="115"/>
  <c r="AY10" i="115"/>
  <c r="AY27" i="115"/>
  <c r="AY84" i="115"/>
  <c r="AY36" i="115"/>
  <c r="AY74" i="115"/>
  <c r="AY66" i="115"/>
  <c r="AY65" i="115"/>
  <c r="H31" i="115"/>
  <c r="L31" i="115" s="1"/>
  <c r="J30" i="115"/>
  <c r="K30" i="115"/>
  <c r="AY23" i="115"/>
  <c r="AY73" i="115"/>
  <c r="AY79" i="115"/>
  <c r="AY88" i="115"/>
  <c r="AY35" i="115"/>
  <c r="AY90" i="115"/>
  <c r="AY22" i="115"/>
  <c r="AY26" i="115"/>
  <c r="AY99" i="115"/>
  <c r="AY86" i="115"/>
  <c r="AY15" i="115"/>
  <c r="AY30" i="115"/>
  <c r="AY16" i="115"/>
  <c r="AY78" i="115"/>
  <c r="AY87" i="115"/>
  <c r="AY94" i="115"/>
  <c r="AY9" i="115"/>
  <c r="AY80" i="115"/>
  <c r="AY24" i="115"/>
  <c r="AY14" i="115"/>
  <c r="AX2" i="115"/>
  <c r="AY89" i="115"/>
  <c r="AY13" i="115"/>
  <c r="AY96" i="115"/>
  <c r="AY33" i="115"/>
  <c r="AY77" i="115"/>
  <c r="AY97" i="115"/>
  <c r="AY32" i="115"/>
  <c r="AY92" i="115"/>
  <c r="AY25" i="115"/>
  <c r="AZ38" i="115"/>
  <c r="AZ70" i="115"/>
  <c r="AZ11" i="115"/>
  <c r="AZ5" i="115"/>
  <c r="AZ13" i="115" s="1"/>
  <c r="AZ41" i="115"/>
  <c r="AZ39" i="115"/>
  <c r="AZ37" i="115"/>
  <c r="AZ42" i="115"/>
  <c r="AZ40" i="115"/>
  <c r="BA4" i="115"/>
  <c r="AY41" i="115"/>
  <c r="AZ75" i="115" l="1"/>
  <c r="AZ76" i="115"/>
  <c r="AZ17" i="115"/>
  <c r="AZ71" i="115"/>
  <c r="AZ72" i="115"/>
  <c r="AZ81" i="115"/>
  <c r="AZ100" i="115"/>
  <c r="AZ36" i="115"/>
  <c r="AZ95" i="115"/>
  <c r="AZ8" i="115"/>
  <c r="AZ12" i="115"/>
  <c r="AZ31" i="115"/>
  <c r="AY60" i="115"/>
  <c r="BA105" i="115"/>
  <c r="BA106" i="115"/>
  <c r="BA101" i="115"/>
  <c r="BA104" i="115"/>
  <c r="BA103" i="115"/>
  <c r="BA102" i="115"/>
  <c r="AZ7" i="115"/>
  <c r="AZ68" i="115"/>
  <c r="AZ69" i="115"/>
  <c r="AZ18" i="115"/>
  <c r="AZ83" i="115"/>
  <c r="AZ98" i="115"/>
  <c r="AZ29" i="115"/>
  <c r="AZ93" i="115"/>
  <c r="AZ34" i="115"/>
  <c r="AZ85" i="115"/>
  <c r="AZ21" i="115"/>
  <c r="AZ19" i="115"/>
  <c r="AZ82" i="115"/>
  <c r="AZ23" i="115"/>
  <c r="AZ91" i="115"/>
  <c r="AZ27" i="115"/>
  <c r="AZ10" i="115"/>
  <c r="AZ84" i="115"/>
  <c r="AZ74" i="115"/>
  <c r="AZ87" i="115"/>
  <c r="AZ20" i="115"/>
  <c r="AZ67" i="115"/>
  <c r="AZ86" i="115"/>
  <c r="AZ66" i="115"/>
  <c r="AZ65" i="115"/>
  <c r="AZ73" i="115"/>
  <c r="AZ89" i="115"/>
  <c r="AZ96" i="115"/>
  <c r="AZ33" i="115"/>
  <c r="AZ92" i="115"/>
  <c r="AZ97" i="115"/>
  <c r="AZ14" i="115"/>
  <c r="AZ30" i="115"/>
  <c r="AZ94" i="115"/>
  <c r="J31" i="115"/>
  <c r="H32" i="115"/>
  <c r="L32" i="115" s="1"/>
  <c r="AZ78" i="115"/>
  <c r="AZ25" i="115"/>
  <c r="K31" i="115"/>
  <c r="AZ90" i="115"/>
  <c r="AZ9" i="115"/>
  <c r="AZ80" i="115"/>
  <c r="AZ24" i="115"/>
  <c r="AZ35" i="115"/>
  <c r="AZ99" i="115"/>
  <c r="AZ16" i="115"/>
  <c r="AZ22" i="115"/>
  <c r="AZ88" i="115"/>
  <c r="AZ15" i="115"/>
  <c r="AZ26" i="115"/>
  <c r="AZ79" i="115"/>
  <c r="AY2" i="115"/>
  <c r="AZ32" i="115"/>
  <c r="AZ28" i="115"/>
  <c r="AZ77" i="115"/>
  <c r="BA5" i="115"/>
  <c r="BA13" i="115" s="1"/>
  <c r="BA70" i="115"/>
  <c r="BA39" i="115"/>
  <c r="BA42" i="115"/>
  <c r="BA37" i="115"/>
  <c r="BA38" i="115"/>
  <c r="BA41" i="115"/>
  <c r="BA40" i="115"/>
  <c r="BB4" i="115"/>
  <c r="BA11" i="115" l="1"/>
  <c r="BA17" i="115"/>
  <c r="BA31" i="115"/>
  <c r="BA71" i="115"/>
  <c r="BA98" i="115"/>
  <c r="BA75" i="115"/>
  <c r="BA81" i="115"/>
  <c r="BA100" i="115"/>
  <c r="BA8" i="115"/>
  <c r="BA72" i="115"/>
  <c r="BA34" i="115"/>
  <c r="BA95" i="115"/>
  <c r="BA36" i="115"/>
  <c r="AZ60" i="115"/>
  <c r="BB105" i="115"/>
  <c r="BB101" i="115"/>
  <c r="BB106" i="115"/>
  <c r="BB104" i="115"/>
  <c r="BB103" i="115"/>
  <c r="BB102" i="115"/>
  <c r="BA29" i="115"/>
  <c r="BA7" i="115"/>
  <c r="BA68" i="115"/>
  <c r="BA69" i="115"/>
  <c r="BA93" i="115"/>
  <c r="BA85" i="115"/>
  <c r="BA21" i="115"/>
  <c r="BA83" i="115"/>
  <c r="BA19" i="115"/>
  <c r="BA15" i="115"/>
  <c r="BA79" i="115"/>
  <c r="BA82" i="115"/>
  <c r="BA12" i="115"/>
  <c r="BA76" i="115"/>
  <c r="BA18" i="115"/>
  <c r="BA27" i="115"/>
  <c r="BA10" i="115"/>
  <c r="BA87" i="115"/>
  <c r="BA74" i="115"/>
  <c r="BA20" i="115"/>
  <c r="BA84" i="115"/>
  <c r="BA23" i="115"/>
  <c r="BA91" i="115"/>
  <c r="BA67" i="115"/>
  <c r="BA66" i="115"/>
  <c r="BA65" i="115"/>
  <c r="BA28" i="115"/>
  <c r="J32" i="115"/>
  <c r="H33" i="115"/>
  <c r="K32" i="115"/>
  <c r="BA86" i="115"/>
  <c r="BA30" i="115"/>
  <c r="BA14" i="115"/>
  <c r="BA80" i="115"/>
  <c r="BA99" i="115"/>
  <c r="BA94" i="115"/>
  <c r="BA24" i="115"/>
  <c r="BA35" i="115"/>
  <c r="BA9" i="115"/>
  <c r="BA78" i="115"/>
  <c r="BA16" i="115"/>
  <c r="BA73" i="115"/>
  <c r="BA88" i="115"/>
  <c r="BA26" i="115"/>
  <c r="BA90" i="115"/>
  <c r="BA22" i="115"/>
  <c r="AZ2" i="115"/>
  <c r="BA33" i="115"/>
  <c r="BA92" i="115"/>
  <c r="BA32" i="115"/>
  <c r="BA25" i="115"/>
  <c r="BA89" i="115"/>
  <c r="BB5" i="115"/>
  <c r="BB33" i="115" s="1"/>
  <c r="BB82" i="115"/>
  <c r="BB81" i="115"/>
  <c r="BB83" i="115"/>
  <c r="BB40" i="115"/>
  <c r="BB69" i="115"/>
  <c r="BB15" i="115"/>
  <c r="BB76" i="115"/>
  <c r="BB70" i="115"/>
  <c r="BB80" i="115"/>
  <c r="BB79" i="115"/>
  <c r="BB42" i="115"/>
  <c r="BB36" i="115"/>
  <c r="BB37" i="115"/>
  <c r="BB41" i="115"/>
  <c r="BB39" i="115"/>
  <c r="BB31" i="115"/>
  <c r="BB12" i="115"/>
  <c r="BB100" i="115"/>
  <c r="BB38" i="115"/>
  <c r="BC4" i="115"/>
  <c r="BA77" i="115"/>
  <c r="BA97" i="115"/>
  <c r="BA96" i="115"/>
  <c r="BB71" i="115" l="1"/>
  <c r="BB8" i="115"/>
  <c r="BB17" i="115"/>
  <c r="BB9" i="115"/>
  <c r="BB95" i="115"/>
  <c r="BB75" i="115"/>
  <c r="BB18" i="115"/>
  <c r="BB11" i="115"/>
  <c r="BB20" i="115"/>
  <c r="BB7" i="115"/>
  <c r="BB72" i="115"/>
  <c r="BB29" i="115"/>
  <c r="BB73" i="115"/>
  <c r="BB16" i="115"/>
  <c r="K33" i="115"/>
  <c r="L33" i="115"/>
  <c r="BA60" i="115"/>
  <c r="BC101" i="115"/>
  <c r="BC106" i="115"/>
  <c r="BC105" i="115"/>
  <c r="BC104" i="115"/>
  <c r="BC103" i="115"/>
  <c r="BC102" i="115"/>
  <c r="BB93" i="115"/>
  <c r="BB23" i="115"/>
  <c r="BB98" i="115"/>
  <c r="BB34" i="115"/>
  <c r="BB85" i="115"/>
  <c r="BB91" i="115"/>
  <c r="BB19" i="115"/>
  <c r="BB87" i="115"/>
  <c r="BB21" i="115"/>
  <c r="BB28" i="115"/>
  <c r="BB10" i="115"/>
  <c r="BB74" i="115"/>
  <c r="BB92" i="115"/>
  <c r="BB27" i="115"/>
  <c r="BB84" i="115"/>
  <c r="BB66" i="115"/>
  <c r="BB68" i="115"/>
  <c r="BB67" i="115"/>
  <c r="BB65" i="115"/>
  <c r="BB26" i="115"/>
  <c r="BB22" i="115"/>
  <c r="BB99" i="115"/>
  <c r="H34" i="115"/>
  <c r="J33" i="115"/>
  <c r="BB78" i="115"/>
  <c r="BB35" i="115"/>
  <c r="BB30" i="115"/>
  <c r="BB24" i="115"/>
  <c r="BA2" i="115"/>
  <c r="BB14" i="115"/>
  <c r="BB94" i="115"/>
  <c r="BB90" i="115"/>
  <c r="BB88" i="115"/>
  <c r="BB86" i="115"/>
  <c r="BB13" i="115"/>
  <c r="BB32" i="115"/>
  <c r="BB77" i="115"/>
  <c r="BB25" i="115"/>
  <c r="BB89" i="115"/>
  <c r="BB96" i="115"/>
  <c r="BB97" i="115"/>
  <c r="BC40" i="115"/>
  <c r="BC70" i="115"/>
  <c r="BC37" i="115"/>
  <c r="BC39" i="115"/>
  <c r="BC42" i="115"/>
  <c r="BC38" i="115"/>
  <c r="BC68" i="115"/>
  <c r="BC41" i="115"/>
  <c r="BC5" i="115"/>
  <c r="BC33" i="115" s="1"/>
  <c r="BD4" i="115"/>
  <c r="BC36" i="115" l="1"/>
  <c r="BC75" i="115"/>
  <c r="BC17" i="115"/>
  <c r="BC7" i="115"/>
  <c r="BC16" i="115"/>
  <c r="BC79" i="115"/>
  <c r="BC15" i="115"/>
  <c r="BC9" i="115"/>
  <c r="BC31" i="115"/>
  <c r="BC95" i="115"/>
  <c r="BC11" i="115"/>
  <c r="BC73" i="115"/>
  <c r="BC72" i="115"/>
  <c r="BC82" i="115"/>
  <c r="BC8" i="115"/>
  <c r="BC71" i="115"/>
  <c r="BC100" i="115"/>
  <c r="BC81" i="115"/>
  <c r="BC80" i="115"/>
  <c r="K34" i="115"/>
  <c r="L34" i="115"/>
  <c r="BB60" i="115"/>
  <c r="BD105" i="115"/>
  <c r="BD106" i="115"/>
  <c r="BD101" i="115"/>
  <c r="BD104" i="115"/>
  <c r="BD103" i="115"/>
  <c r="BD102" i="115"/>
  <c r="BC69" i="115"/>
  <c r="BC98" i="115"/>
  <c r="BC29" i="115"/>
  <c r="BC34" i="115"/>
  <c r="BC93" i="115"/>
  <c r="BC19" i="115"/>
  <c r="BC87" i="115"/>
  <c r="BC23" i="115"/>
  <c r="BC83" i="115"/>
  <c r="BC21" i="115"/>
  <c r="BC85" i="115"/>
  <c r="BC14" i="115"/>
  <c r="BC78" i="115"/>
  <c r="BC76" i="115"/>
  <c r="BC12" i="115"/>
  <c r="BC18" i="115"/>
  <c r="BC84" i="115"/>
  <c r="BC10" i="115"/>
  <c r="BC27" i="115"/>
  <c r="BC74" i="115"/>
  <c r="BC91" i="115"/>
  <c r="BC20" i="115"/>
  <c r="BC92" i="115"/>
  <c r="BC28" i="115"/>
  <c r="BC67" i="115"/>
  <c r="BC66" i="115"/>
  <c r="BC65" i="115"/>
  <c r="BC13" i="115"/>
  <c r="BB2" i="115"/>
  <c r="J34" i="115"/>
  <c r="H35" i="115"/>
  <c r="L35" i="115" s="1"/>
  <c r="BC24" i="115"/>
  <c r="BC86" i="115"/>
  <c r="BC94" i="115"/>
  <c r="BC30" i="115"/>
  <c r="BC22" i="115"/>
  <c r="BC88" i="115"/>
  <c r="BC90" i="115"/>
  <c r="BC26" i="115"/>
  <c r="BC35" i="115"/>
  <c r="BC99" i="115"/>
  <c r="BC32" i="115"/>
  <c r="BC96" i="115"/>
  <c r="BC77" i="115"/>
  <c r="BC89" i="115"/>
  <c r="BC97" i="115"/>
  <c r="BD88" i="115"/>
  <c r="BD30" i="115"/>
  <c r="BD39" i="115"/>
  <c r="BD100" i="115"/>
  <c r="BD42" i="115"/>
  <c r="BD29" i="115"/>
  <c r="BD40" i="115"/>
  <c r="BD70" i="115"/>
  <c r="BD94" i="115"/>
  <c r="BD38" i="115"/>
  <c r="BD5" i="115"/>
  <c r="BD89" i="115" s="1"/>
  <c r="BD24" i="115"/>
  <c r="BD68" i="115"/>
  <c r="BD93" i="115"/>
  <c r="BD41" i="115"/>
  <c r="BD37" i="115"/>
  <c r="BD92" i="115"/>
  <c r="BE4" i="115"/>
  <c r="BC25" i="115"/>
  <c r="BD74" i="115" l="1"/>
  <c r="BD97" i="115"/>
  <c r="BD82" i="115"/>
  <c r="BD71" i="115"/>
  <c r="BD79" i="115"/>
  <c r="BD36" i="115"/>
  <c r="BD9" i="115"/>
  <c r="BD12" i="115"/>
  <c r="BD33" i="115"/>
  <c r="BD13" i="115"/>
  <c r="BD77" i="115"/>
  <c r="BD15" i="115"/>
  <c r="BD81" i="115"/>
  <c r="BD95" i="115"/>
  <c r="BD31" i="115"/>
  <c r="BD8" i="115"/>
  <c r="BD75" i="115"/>
  <c r="BD72" i="115"/>
  <c r="BD73" i="115"/>
  <c r="BD16" i="115"/>
  <c r="BD76" i="115"/>
  <c r="BD18" i="115"/>
  <c r="BD11" i="115"/>
  <c r="BD80" i="115"/>
  <c r="BD34" i="115"/>
  <c r="BD17" i="115"/>
  <c r="BC60" i="115"/>
  <c r="BE106" i="115"/>
  <c r="BE105" i="115"/>
  <c r="BE101" i="115"/>
  <c r="BE104" i="115"/>
  <c r="BE103" i="115"/>
  <c r="BE102" i="115"/>
  <c r="BD28" i="115"/>
  <c r="BD7" i="115"/>
  <c r="BD67" i="115"/>
  <c r="BD69" i="115"/>
  <c r="BD19" i="115"/>
  <c r="BD85" i="115"/>
  <c r="BD98" i="115"/>
  <c r="BD21" i="115"/>
  <c r="BD87" i="115"/>
  <c r="BD23" i="115"/>
  <c r="BD83" i="115"/>
  <c r="BD14" i="115"/>
  <c r="BD10" i="115"/>
  <c r="BD78" i="115"/>
  <c r="BD27" i="115"/>
  <c r="BD84" i="115"/>
  <c r="BD91" i="115"/>
  <c r="BD20" i="115"/>
  <c r="BD66" i="115"/>
  <c r="BD32" i="115"/>
  <c r="BD65" i="115"/>
  <c r="J35" i="115"/>
  <c r="H36" i="115"/>
  <c r="L36" i="115" s="1"/>
  <c r="K35" i="115"/>
  <c r="BD35" i="115"/>
  <c r="BD90" i="115"/>
  <c r="BD86" i="115"/>
  <c r="BC2" i="115"/>
  <c r="BD22" i="115"/>
  <c r="BD99" i="115"/>
  <c r="BD26" i="115"/>
  <c r="BD25" i="115"/>
  <c r="BD96" i="115"/>
  <c r="BE82" i="115"/>
  <c r="BE86" i="115"/>
  <c r="BE100" i="115"/>
  <c r="BE36" i="115"/>
  <c r="BE68" i="115"/>
  <c r="BE83" i="115"/>
  <c r="BE77" i="115"/>
  <c r="BE42" i="115"/>
  <c r="BE88" i="115"/>
  <c r="BE5" i="115"/>
  <c r="BE96" i="115" s="1"/>
  <c r="BE39" i="115"/>
  <c r="BE92" i="115"/>
  <c r="BE27" i="115"/>
  <c r="BE41" i="115"/>
  <c r="BE28" i="115"/>
  <c r="BE40" i="115"/>
  <c r="BE70" i="115"/>
  <c r="BE22" i="115"/>
  <c r="BE18" i="115"/>
  <c r="BE93" i="115"/>
  <c r="BE38" i="115"/>
  <c r="BE78" i="115"/>
  <c r="BE24" i="115"/>
  <c r="BE81" i="115"/>
  <c r="BE95" i="115"/>
  <c r="BE13" i="115"/>
  <c r="BE80" i="115"/>
  <c r="BE66" i="115"/>
  <c r="BE37" i="115"/>
  <c r="BE94" i="115"/>
  <c r="BE17" i="115"/>
  <c r="BE19" i="115"/>
  <c r="BE15" i="115"/>
  <c r="BE98" i="115"/>
  <c r="BE69" i="115"/>
  <c r="BE29" i="115"/>
  <c r="BE21" i="115"/>
  <c r="BE16" i="115"/>
  <c r="BE79" i="115"/>
  <c r="BE30" i="115"/>
  <c r="BE67" i="115"/>
  <c r="BF4" i="115"/>
  <c r="BE71" i="115"/>
  <c r="BE10" i="115" l="1"/>
  <c r="BE72" i="115"/>
  <c r="BE76" i="115"/>
  <c r="BE12" i="115"/>
  <c r="BE11" i="115"/>
  <c r="BE73" i="115"/>
  <c r="BE75" i="115"/>
  <c r="BE31" i="115"/>
  <c r="BE74" i="115"/>
  <c r="BE33" i="115"/>
  <c r="BE8" i="115"/>
  <c r="BE97" i="115"/>
  <c r="BE9" i="115"/>
  <c r="BD60" i="115"/>
  <c r="BF101" i="115"/>
  <c r="BF106" i="115"/>
  <c r="BF105" i="115"/>
  <c r="BF104" i="115"/>
  <c r="BF103" i="115"/>
  <c r="BF102" i="115"/>
  <c r="BE7" i="115"/>
  <c r="BE23" i="115"/>
  <c r="BE87" i="115"/>
  <c r="BE34" i="115"/>
  <c r="BE85" i="115"/>
  <c r="BE14" i="115"/>
  <c r="BE91" i="115"/>
  <c r="BE84" i="115"/>
  <c r="BE20" i="115"/>
  <c r="BE90" i="115"/>
  <c r="BE65" i="115"/>
  <c r="J36" i="115"/>
  <c r="H37" i="115"/>
  <c r="L37" i="115" s="1"/>
  <c r="K36" i="115"/>
  <c r="BD2" i="115"/>
  <c r="BE26" i="115"/>
  <c r="BE99" i="115"/>
  <c r="BE35" i="115"/>
  <c r="BE89" i="115"/>
  <c r="BE32" i="115"/>
  <c r="BE25" i="115"/>
  <c r="BF16" i="115"/>
  <c r="BF22" i="115"/>
  <c r="BF24" i="115"/>
  <c r="BF37" i="115"/>
  <c r="BF99" i="115"/>
  <c r="BF40" i="115"/>
  <c r="BF74" i="115"/>
  <c r="BF28" i="115"/>
  <c r="BF41" i="115"/>
  <c r="BF93" i="115"/>
  <c r="BF36" i="115"/>
  <c r="BF39" i="115"/>
  <c r="BF88" i="115"/>
  <c r="BF42" i="115"/>
  <c r="BF79" i="115"/>
  <c r="BF68" i="115"/>
  <c r="BF31" i="115"/>
  <c r="BF81" i="115"/>
  <c r="BF5" i="115"/>
  <c r="BF26" i="115" s="1"/>
  <c r="BF76" i="115"/>
  <c r="BF15" i="115"/>
  <c r="BF29" i="115"/>
  <c r="BF12" i="115"/>
  <c r="BF13" i="115"/>
  <c r="BF91" i="115"/>
  <c r="BF83" i="115"/>
  <c r="BF18" i="115"/>
  <c r="BF75" i="115"/>
  <c r="BF77" i="115"/>
  <c r="BF32" i="115"/>
  <c r="BF7" i="115"/>
  <c r="BF38" i="115"/>
  <c r="BF66" i="115"/>
  <c r="BF82" i="115"/>
  <c r="BF17" i="115"/>
  <c r="BF34" i="115"/>
  <c r="BF96" i="115"/>
  <c r="BF70" i="115"/>
  <c r="BF94" i="115"/>
  <c r="BF98" i="115"/>
  <c r="BF33" i="115"/>
  <c r="BF11" i="115"/>
  <c r="BF97" i="115"/>
  <c r="BF100" i="115"/>
  <c r="BF10" i="115"/>
  <c r="BF86" i="115"/>
  <c r="BF92" i="115"/>
  <c r="BF30" i="115"/>
  <c r="BF19" i="115"/>
  <c r="BF95" i="115"/>
  <c r="BF80" i="115"/>
  <c r="BF27" i="115"/>
  <c r="BF35" i="115"/>
  <c r="BG4" i="115"/>
  <c r="BF71" i="115"/>
  <c r="BF73" i="115" l="1"/>
  <c r="BF9" i="115"/>
  <c r="BF8" i="115"/>
  <c r="BF72" i="115"/>
  <c r="BE60" i="115"/>
  <c r="BG106" i="115"/>
  <c r="BG101" i="115"/>
  <c r="BG105" i="115"/>
  <c r="BG104" i="115"/>
  <c r="BG103" i="115"/>
  <c r="BG102" i="115"/>
  <c r="BF85" i="115"/>
  <c r="BF21" i="115"/>
  <c r="BF65" i="115"/>
  <c r="BF67" i="115"/>
  <c r="BF69" i="115"/>
  <c r="BF25" i="115"/>
  <c r="BF23" i="115"/>
  <c r="BF87" i="115"/>
  <c r="BF78" i="115"/>
  <c r="BF14" i="115"/>
  <c r="BF20" i="115"/>
  <c r="BF84" i="115"/>
  <c r="BF89" i="115"/>
  <c r="J37" i="115"/>
  <c r="H38" i="115"/>
  <c r="K37" i="115"/>
  <c r="BE2" i="115"/>
  <c r="BF90" i="115"/>
  <c r="BG21" i="115"/>
  <c r="BG24" i="115"/>
  <c r="BG17" i="115"/>
  <c r="BG9" i="115"/>
  <c r="BG34" i="115"/>
  <c r="BG76" i="115"/>
  <c r="BG13" i="115"/>
  <c r="BG5" i="115"/>
  <c r="BG90" i="115" s="1"/>
  <c r="BG73" i="115"/>
  <c r="BG95" i="115"/>
  <c r="BG40" i="115"/>
  <c r="BG32" i="115"/>
  <c r="BG10" i="115"/>
  <c r="BG37" i="115"/>
  <c r="BG35" i="115"/>
  <c r="BG78" i="115"/>
  <c r="BG27" i="115"/>
  <c r="BG65" i="115"/>
  <c r="BG39" i="115"/>
  <c r="BG69" i="115"/>
  <c r="BG85" i="115"/>
  <c r="BG98" i="115"/>
  <c r="BG94" i="115"/>
  <c r="BG84" i="115"/>
  <c r="BG38" i="115"/>
  <c r="BG41" i="115"/>
  <c r="BG83" i="115"/>
  <c r="BG28" i="115"/>
  <c r="BG11" i="115"/>
  <c r="BG82" i="115"/>
  <c r="BG70" i="115"/>
  <c r="BG68" i="115"/>
  <c r="BG67" i="115"/>
  <c r="BG79" i="115"/>
  <c r="BG92" i="115"/>
  <c r="BG42" i="115"/>
  <c r="BG66" i="115"/>
  <c r="BG16" i="115"/>
  <c r="BG75" i="115"/>
  <c r="BG96" i="115"/>
  <c r="BG97" i="115"/>
  <c r="BG86" i="115"/>
  <c r="BG74" i="115"/>
  <c r="BG36" i="115"/>
  <c r="BG31" i="115"/>
  <c r="BG29" i="115"/>
  <c r="BG20" i="115"/>
  <c r="BG100" i="115"/>
  <c r="BG25" i="115"/>
  <c r="BG81" i="115"/>
  <c r="BG30" i="115"/>
  <c r="BG15" i="115"/>
  <c r="BG88" i="115"/>
  <c r="BG19" i="115"/>
  <c r="BG80" i="115"/>
  <c r="BG99" i="115"/>
  <c r="BG89" i="115"/>
  <c r="BG14" i="115"/>
  <c r="BG77" i="115"/>
  <c r="BG33" i="115"/>
  <c r="BG18" i="115"/>
  <c r="BG22" i="115"/>
  <c r="BG12" i="115"/>
  <c r="BG93" i="115"/>
  <c r="BG91" i="115"/>
  <c r="BH4" i="115"/>
  <c r="BG71" i="115"/>
  <c r="BG8" i="115" l="1"/>
  <c r="BG72" i="115"/>
  <c r="K38" i="115"/>
  <c r="L38" i="115"/>
  <c r="BF60" i="115"/>
  <c r="BH101" i="115"/>
  <c r="BH105" i="115"/>
  <c r="BH106" i="115"/>
  <c r="BH104" i="115"/>
  <c r="BH103" i="115"/>
  <c r="BH102" i="115"/>
  <c r="BG7" i="115"/>
  <c r="BG87" i="115"/>
  <c r="BG23" i="115"/>
  <c r="BF2" i="115"/>
  <c r="H39" i="115"/>
  <c r="L39" i="115" s="1"/>
  <c r="J38" i="115"/>
  <c r="BG26" i="115"/>
  <c r="BH84" i="115"/>
  <c r="BH82" i="115"/>
  <c r="BH37" i="115"/>
  <c r="BH39" i="115"/>
  <c r="BH40" i="115"/>
  <c r="BH36" i="115"/>
  <c r="BH12" i="115"/>
  <c r="BH75" i="115"/>
  <c r="BH20" i="115"/>
  <c r="BH32" i="115"/>
  <c r="BH31" i="115"/>
  <c r="BH22" i="115"/>
  <c r="BH18" i="115"/>
  <c r="BH35" i="115"/>
  <c r="BH83" i="115"/>
  <c r="BH96" i="115"/>
  <c r="BH11" i="115"/>
  <c r="BH100" i="115"/>
  <c r="BH33" i="115"/>
  <c r="BH38" i="115"/>
  <c r="BH15" i="115"/>
  <c r="BH24" i="115"/>
  <c r="BH77" i="115"/>
  <c r="BH19" i="115"/>
  <c r="BH85" i="115"/>
  <c r="BH91" i="115"/>
  <c r="BH9" i="115"/>
  <c r="BH80" i="115"/>
  <c r="BH17" i="115"/>
  <c r="BH42" i="115"/>
  <c r="BH21" i="115"/>
  <c r="BH98" i="115"/>
  <c r="BH34" i="115"/>
  <c r="BH30" i="115"/>
  <c r="BH81" i="115"/>
  <c r="BH92" i="115"/>
  <c r="BH70" i="115"/>
  <c r="BH16" i="115"/>
  <c r="BH88" i="115"/>
  <c r="BH86" i="115"/>
  <c r="BH94" i="115"/>
  <c r="BH79" i="115"/>
  <c r="BH76" i="115"/>
  <c r="BH5" i="115"/>
  <c r="BH90" i="115" s="1"/>
  <c r="BH41" i="115"/>
  <c r="BH93" i="115"/>
  <c r="BH29" i="115"/>
  <c r="BH97" i="115"/>
  <c r="BH13" i="115"/>
  <c r="BH27" i="115"/>
  <c r="BH74" i="115"/>
  <c r="BH95" i="115"/>
  <c r="BH28" i="115"/>
  <c r="BH99" i="115"/>
  <c r="BH68" i="115"/>
  <c r="BH73" i="115"/>
  <c r="BH66" i="115"/>
  <c r="BH10" i="115"/>
  <c r="BI4" i="115"/>
  <c r="BH71" i="115"/>
  <c r="BG60" i="115" l="1"/>
  <c r="BH72" i="115"/>
  <c r="BH8" i="115"/>
  <c r="BI105" i="115"/>
  <c r="BI101" i="115"/>
  <c r="BI106" i="115"/>
  <c r="BI104" i="115"/>
  <c r="BI103" i="115"/>
  <c r="BI102" i="115"/>
  <c r="BH7" i="115"/>
  <c r="BH65" i="115"/>
  <c r="BH67" i="115"/>
  <c r="BH69" i="115"/>
  <c r="BG2" i="115"/>
  <c r="BH89" i="115"/>
  <c r="BH25" i="115"/>
  <c r="BH87" i="115"/>
  <c r="BH23" i="115"/>
  <c r="BH14" i="115"/>
  <c r="BH78" i="115"/>
  <c r="J39" i="115"/>
  <c r="H40" i="115"/>
  <c r="L40" i="115" s="1"/>
  <c r="K39" i="115"/>
  <c r="BH26" i="115"/>
  <c r="BI79" i="115"/>
  <c r="BI76" i="115"/>
  <c r="BI94" i="115"/>
  <c r="BI37" i="115"/>
  <c r="BI66" i="115"/>
  <c r="BI19" i="115"/>
  <c r="BI39" i="115"/>
  <c r="BI70" i="115"/>
  <c r="BI32" i="115"/>
  <c r="BI38" i="115"/>
  <c r="BI91" i="115"/>
  <c r="BI16" i="115"/>
  <c r="BI84" i="115"/>
  <c r="BI31" i="115"/>
  <c r="BI42" i="115"/>
  <c r="BI10" i="115"/>
  <c r="BI98" i="115"/>
  <c r="BI34" i="115"/>
  <c r="BI29" i="115"/>
  <c r="BI15" i="115"/>
  <c r="BI93" i="115"/>
  <c r="BI40" i="115"/>
  <c r="BI83" i="115"/>
  <c r="BI24" i="115"/>
  <c r="BI27" i="115"/>
  <c r="BI74" i="115"/>
  <c r="BI30" i="115"/>
  <c r="BI41" i="115"/>
  <c r="BI22" i="115"/>
  <c r="BI17" i="115"/>
  <c r="BI21" i="115"/>
  <c r="BI92" i="115"/>
  <c r="BI73" i="115"/>
  <c r="BI13" i="115"/>
  <c r="BI11" i="115"/>
  <c r="BI36" i="115"/>
  <c r="BI9" i="115"/>
  <c r="BI82" i="115"/>
  <c r="BI75" i="115"/>
  <c r="BI5" i="115"/>
  <c r="BI90" i="115" s="1"/>
  <c r="BI33" i="115"/>
  <c r="BI100" i="115"/>
  <c r="BI85" i="115"/>
  <c r="BI97" i="115"/>
  <c r="BI80" i="115"/>
  <c r="BI67" i="115"/>
  <c r="BI86" i="115"/>
  <c r="BI12" i="115"/>
  <c r="BI88" i="115"/>
  <c r="BI99" i="115"/>
  <c r="BI78" i="115"/>
  <c r="BI77" i="115"/>
  <c r="BI95" i="115"/>
  <c r="BI81" i="115"/>
  <c r="BI96" i="115"/>
  <c r="BI14" i="115"/>
  <c r="BI20" i="115"/>
  <c r="BI68" i="115"/>
  <c r="BI18" i="115"/>
  <c r="BI35" i="115"/>
  <c r="BI28" i="115"/>
  <c r="BJ4" i="115"/>
  <c r="BI71" i="115"/>
  <c r="BI72" i="115" l="1"/>
  <c r="BI8" i="115"/>
  <c r="BH60" i="115"/>
  <c r="BJ105" i="115"/>
  <c r="BJ101" i="115"/>
  <c r="BJ106" i="115"/>
  <c r="BJ104" i="115"/>
  <c r="BJ103" i="115"/>
  <c r="BJ102" i="115"/>
  <c r="BI7" i="115"/>
  <c r="BI65" i="115"/>
  <c r="BI69" i="115"/>
  <c r="BI89" i="115"/>
  <c r="BI25" i="115"/>
  <c r="BI87" i="115"/>
  <c r="BH2" i="115"/>
  <c r="BI23" i="115"/>
  <c r="H41" i="115"/>
  <c r="L41" i="115" s="1"/>
  <c r="J40" i="115"/>
  <c r="K40" i="115"/>
  <c r="BI26" i="115"/>
  <c r="BJ34" i="115"/>
  <c r="BJ77" i="115"/>
  <c r="BJ86" i="115"/>
  <c r="BJ81" i="115"/>
  <c r="BJ31" i="115"/>
  <c r="BJ98" i="115"/>
  <c r="BJ32" i="115"/>
  <c r="BJ67" i="115"/>
  <c r="BJ94" i="115"/>
  <c r="BJ39" i="115"/>
  <c r="BJ68" i="115"/>
  <c r="BJ12" i="115"/>
  <c r="BJ5" i="115"/>
  <c r="BJ90" i="115" s="1"/>
  <c r="BJ41" i="115"/>
  <c r="BJ20" i="115"/>
  <c r="BJ30" i="115"/>
  <c r="BJ80" i="115"/>
  <c r="BJ42" i="115"/>
  <c r="BJ99" i="115"/>
  <c r="BJ29" i="115"/>
  <c r="BJ74" i="115"/>
  <c r="BJ7" i="115"/>
  <c r="BJ40" i="115"/>
  <c r="BJ91" i="115"/>
  <c r="BJ22" i="115"/>
  <c r="BJ85" i="115"/>
  <c r="BJ11" i="115"/>
  <c r="BJ84" i="115"/>
  <c r="BJ78" i="115"/>
  <c r="BJ37" i="115"/>
  <c r="BJ15" i="115"/>
  <c r="BJ28" i="115"/>
  <c r="BJ17" i="115"/>
  <c r="BJ13" i="115"/>
  <c r="BJ72" i="115"/>
  <c r="BJ79" i="115"/>
  <c r="BJ93" i="115"/>
  <c r="BJ38" i="115"/>
  <c r="BJ95" i="115"/>
  <c r="BJ88" i="115"/>
  <c r="BJ36" i="115"/>
  <c r="BJ18" i="115"/>
  <c r="BJ14" i="115"/>
  <c r="BJ70" i="115"/>
  <c r="BJ33" i="115"/>
  <c r="BJ97" i="115"/>
  <c r="BJ83" i="115"/>
  <c r="BJ75" i="115"/>
  <c r="BJ27" i="115"/>
  <c r="BJ65" i="115"/>
  <c r="BJ92" i="115"/>
  <c r="BJ19" i="115"/>
  <c r="BJ23" i="115"/>
  <c r="BJ35" i="115"/>
  <c r="BJ25" i="115"/>
  <c r="BJ96" i="115"/>
  <c r="BJ73" i="115"/>
  <c r="BJ82" i="115"/>
  <c r="BJ10" i="115"/>
  <c r="BJ21" i="115"/>
  <c r="BJ66" i="115"/>
  <c r="BJ100" i="115"/>
  <c r="BJ89" i="115"/>
  <c r="BJ16" i="115"/>
  <c r="BJ76" i="115"/>
  <c r="BJ9" i="115"/>
  <c r="BJ24" i="115"/>
  <c r="BK4" i="115"/>
  <c r="BJ71" i="115"/>
  <c r="BJ8" i="115" l="1"/>
  <c r="BI60" i="115"/>
  <c r="BK106" i="115"/>
  <c r="BK105" i="115"/>
  <c r="BK101" i="115"/>
  <c r="BK104" i="115"/>
  <c r="BK103" i="115"/>
  <c r="BK102" i="115"/>
  <c r="BJ69" i="115"/>
  <c r="BI2" i="115"/>
  <c r="BJ87" i="115"/>
  <c r="BJ26" i="115"/>
  <c r="J41" i="115"/>
  <c r="H42" i="115"/>
  <c r="L42" i="115" s="1"/>
  <c r="K41" i="115"/>
  <c r="BK11" i="115"/>
  <c r="BK29" i="115"/>
  <c r="BK36" i="115"/>
  <c r="BK34" i="115"/>
  <c r="BK98" i="115"/>
  <c r="BK68" i="115"/>
  <c r="BK92" i="115"/>
  <c r="BK17" i="115"/>
  <c r="BK95" i="115"/>
  <c r="BK39" i="115"/>
  <c r="BK27" i="115"/>
  <c r="BK37" i="115"/>
  <c r="BK97" i="115"/>
  <c r="BK83" i="115"/>
  <c r="BK84" i="115"/>
  <c r="BK81" i="115"/>
  <c r="BK5" i="115"/>
  <c r="BK26" i="115" s="1"/>
  <c r="BK31" i="115"/>
  <c r="BK9" i="115"/>
  <c r="BK77" i="115"/>
  <c r="BK28" i="115"/>
  <c r="BK24" i="115"/>
  <c r="BK73" i="115"/>
  <c r="BK76" i="115"/>
  <c r="BK74" i="115"/>
  <c r="BK15" i="115"/>
  <c r="BK42" i="115"/>
  <c r="BK14" i="115"/>
  <c r="BK82" i="115"/>
  <c r="BK22" i="115"/>
  <c r="BK30" i="115"/>
  <c r="BK70" i="115"/>
  <c r="BK18" i="115"/>
  <c r="BK67" i="115"/>
  <c r="BK13" i="115"/>
  <c r="BK87" i="115"/>
  <c r="BK41" i="115"/>
  <c r="BK88" i="115"/>
  <c r="BK19" i="115"/>
  <c r="BK10" i="115"/>
  <c r="BK80" i="115"/>
  <c r="BK96" i="115"/>
  <c r="BK7" i="115"/>
  <c r="BK86" i="115"/>
  <c r="BK66" i="115"/>
  <c r="BK78" i="115"/>
  <c r="BK20" i="115"/>
  <c r="BK16" i="115"/>
  <c r="BK89" i="115"/>
  <c r="BK32" i="115"/>
  <c r="BK85" i="115"/>
  <c r="BK99" i="115"/>
  <c r="BK91" i="115"/>
  <c r="BK100" i="115"/>
  <c r="BK93" i="115"/>
  <c r="BK12" i="115"/>
  <c r="BK25" i="115"/>
  <c r="BK79" i="115"/>
  <c r="BK75" i="115"/>
  <c r="BK38" i="115"/>
  <c r="BK21" i="115"/>
  <c r="BK35" i="115"/>
  <c r="BK40" i="115"/>
  <c r="BK33" i="115"/>
  <c r="BK94" i="115"/>
  <c r="BL4" i="115"/>
  <c r="BK71" i="115"/>
  <c r="BJ2" i="115" l="1"/>
  <c r="BK8" i="115"/>
  <c r="BK72" i="115"/>
  <c r="BJ60" i="115"/>
  <c r="BL101" i="115"/>
  <c r="BL105" i="115"/>
  <c r="BL106" i="115"/>
  <c r="BL104" i="115"/>
  <c r="BL103" i="115"/>
  <c r="BL102" i="115"/>
  <c r="BK65" i="115"/>
  <c r="BK69" i="115"/>
  <c r="BK23" i="115"/>
  <c r="J42" i="115"/>
  <c r="H43" i="115"/>
  <c r="L43" i="115" s="1"/>
  <c r="BK90" i="115"/>
  <c r="BL91" i="115"/>
  <c r="BL30" i="115"/>
  <c r="BL84" i="115"/>
  <c r="BL86" i="115"/>
  <c r="BL24" i="115"/>
  <c r="BL98" i="115"/>
  <c r="BL76" i="115"/>
  <c r="BL70" i="115"/>
  <c r="BL79" i="115"/>
  <c r="BL42" i="115"/>
  <c r="BL97" i="115"/>
  <c r="BL99" i="115"/>
  <c r="BL68" i="115"/>
  <c r="BL13" i="115"/>
  <c r="BL82" i="115"/>
  <c r="BL77" i="115"/>
  <c r="BL94" i="115"/>
  <c r="BL31" i="115"/>
  <c r="BL10" i="115"/>
  <c r="BL38" i="115"/>
  <c r="BL83" i="115"/>
  <c r="BL93" i="115"/>
  <c r="BL9" i="115"/>
  <c r="BL12" i="115"/>
  <c r="BL74" i="115"/>
  <c r="BL29" i="115"/>
  <c r="BL81" i="115"/>
  <c r="BL75" i="115"/>
  <c r="BL41" i="115"/>
  <c r="BL67" i="115"/>
  <c r="BL16" i="115"/>
  <c r="BL100" i="115"/>
  <c r="BL66" i="115"/>
  <c r="BL73" i="115"/>
  <c r="BL5" i="115"/>
  <c r="BL90" i="115" s="1"/>
  <c r="BL28" i="115"/>
  <c r="BL22" i="115"/>
  <c r="BL37" i="115"/>
  <c r="BL32" i="115"/>
  <c r="BL35" i="115"/>
  <c r="BL21" i="115"/>
  <c r="BL88" i="115"/>
  <c r="BL18" i="115"/>
  <c r="BL80" i="115"/>
  <c r="BL11" i="115"/>
  <c r="BL39" i="115"/>
  <c r="BL20" i="115"/>
  <c r="BL34" i="115"/>
  <c r="BL96" i="115"/>
  <c r="BL95" i="115"/>
  <c r="BL69" i="115"/>
  <c r="BL92" i="115"/>
  <c r="BL36" i="115"/>
  <c r="BL19" i="115"/>
  <c r="BL27" i="115"/>
  <c r="BL15" i="115"/>
  <c r="BL40" i="115"/>
  <c r="BL85" i="115"/>
  <c r="BL17" i="115"/>
  <c r="BL33" i="115"/>
  <c r="BM4" i="115"/>
  <c r="BL71" i="115"/>
  <c r="BK2" i="115" l="1"/>
  <c r="BL8" i="115"/>
  <c r="BL72" i="115"/>
  <c r="BK60" i="115"/>
  <c r="BM106" i="115"/>
  <c r="BM105" i="115"/>
  <c r="BM101" i="115"/>
  <c r="BM104" i="115"/>
  <c r="BM103" i="115"/>
  <c r="BM102" i="115"/>
  <c r="BL7" i="115"/>
  <c r="BL65" i="115"/>
  <c r="BL25" i="115"/>
  <c r="BL89" i="115"/>
  <c r="BL23" i="115"/>
  <c r="BL87" i="115"/>
  <c r="BL78" i="115"/>
  <c r="BL14" i="115"/>
  <c r="H44" i="115"/>
  <c r="L44" i="115" s="1"/>
  <c r="J43" i="115"/>
  <c r="BL26" i="115"/>
  <c r="BM80" i="115"/>
  <c r="BM75" i="115"/>
  <c r="BM29" i="115"/>
  <c r="BM27" i="115"/>
  <c r="BM42" i="115"/>
  <c r="BM5" i="115"/>
  <c r="BM90" i="115" s="1"/>
  <c r="BM28" i="115"/>
  <c r="BM77" i="115"/>
  <c r="BM35" i="115"/>
  <c r="BM34" i="115"/>
  <c r="BM12" i="115"/>
  <c r="BM9" i="115"/>
  <c r="BM97" i="115"/>
  <c r="BM96" i="115"/>
  <c r="BM22" i="115"/>
  <c r="BM93" i="115"/>
  <c r="BM88" i="115"/>
  <c r="BM100" i="115"/>
  <c r="BM89" i="115"/>
  <c r="BM21" i="115"/>
  <c r="BM73" i="115"/>
  <c r="BM11" i="115"/>
  <c r="BM98" i="115"/>
  <c r="BM17" i="115"/>
  <c r="BM15" i="115"/>
  <c r="BM38" i="115"/>
  <c r="BM32" i="115"/>
  <c r="BM33" i="115"/>
  <c r="BM24" i="115"/>
  <c r="BM30" i="115"/>
  <c r="BM19" i="115"/>
  <c r="BM68" i="115"/>
  <c r="BM76" i="115"/>
  <c r="BM36" i="115"/>
  <c r="BM10" i="115"/>
  <c r="BM41" i="115"/>
  <c r="BM31" i="115"/>
  <c r="BM37" i="115"/>
  <c r="BM74" i="115"/>
  <c r="BM20" i="115"/>
  <c r="BM83" i="115"/>
  <c r="BM91" i="115"/>
  <c r="BM39" i="115"/>
  <c r="BM92" i="115"/>
  <c r="BM94" i="115"/>
  <c r="BM13" i="115"/>
  <c r="BM16" i="115"/>
  <c r="BM70" i="115"/>
  <c r="BM95" i="115"/>
  <c r="BM18" i="115"/>
  <c r="BM86" i="115"/>
  <c r="BM82" i="115"/>
  <c r="BM25" i="115"/>
  <c r="BM72" i="115"/>
  <c r="BM79" i="115"/>
  <c r="BM66" i="115"/>
  <c r="BM99" i="115"/>
  <c r="BM81" i="115"/>
  <c r="BM40" i="115"/>
  <c r="BM84" i="115"/>
  <c r="BM85" i="115"/>
  <c r="BN4" i="115"/>
  <c r="BM71" i="115"/>
  <c r="BM8" i="115" l="1"/>
  <c r="BL60" i="115"/>
  <c r="BN106" i="115"/>
  <c r="BN105" i="115"/>
  <c r="BN101" i="115"/>
  <c r="BN104" i="115"/>
  <c r="BN103" i="115"/>
  <c r="BN102" i="115"/>
  <c r="BM7" i="115"/>
  <c r="BM65" i="115"/>
  <c r="BM67" i="115"/>
  <c r="BM69" i="115"/>
  <c r="BL2" i="115"/>
  <c r="BM87" i="115"/>
  <c r="BM23" i="115"/>
  <c r="BM14" i="115"/>
  <c r="BM78" i="115"/>
  <c r="J44" i="115"/>
  <c r="H45" i="115"/>
  <c r="L45" i="115" s="1"/>
  <c r="BM26" i="115"/>
  <c r="BN88" i="115"/>
  <c r="BN17" i="115"/>
  <c r="BN100" i="115"/>
  <c r="BN13" i="115"/>
  <c r="BN22" i="115"/>
  <c r="BN70" i="115"/>
  <c r="BN98" i="115"/>
  <c r="BN92" i="115"/>
  <c r="BN11" i="115"/>
  <c r="BN15" i="115"/>
  <c r="BN18" i="115"/>
  <c r="BN30" i="115"/>
  <c r="BN9" i="115"/>
  <c r="BN94" i="115"/>
  <c r="BN42" i="115"/>
  <c r="BN20" i="115"/>
  <c r="BN36" i="115"/>
  <c r="BN85" i="115"/>
  <c r="BN19" i="115"/>
  <c r="BN90" i="115"/>
  <c r="BN69" i="115"/>
  <c r="BN14" i="115"/>
  <c r="BN27" i="115"/>
  <c r="BN5" i="115"/>
  <c r="BN73" i="115"/>
  <c r="BN66" i="115"/>
  <c r="BN82" i="115"/>
  <c r="BN28" i="115"/>
  <c r="BN78" i="115"/>
  <c r="BN34" i="115"/>
  <c r="BN65" i="115"/>
  <c r="BN97" i="115"/>
  <c r="BN72" i="115"/>
  <c r="BN89" i="115"/>
  <c r="BN77" i="115"/>
  <c r="BN96" i="115"/>
  <c r="BN75" i="115"/>
  <c r="BN80" i="115"/>
  <c r="BN87" i="115"/>
  <c r="BN33" i="115"/>
  <c r="BN86" i="115"/>
  <c r="BN67" i="115"/>
  <c r="BN21" i="115"/>
  <c r="BN12" i="115"/>
  <c r="BN16" i="115"/>
  <c r="BN68" i="115"/>
  <c r="BN38" i="115"/>
  <c r="BN7" i="115"/>
  <c r="BN31" i="115"/>
  <c r="BN29" i="115"/>
  <c r="BN76" i="115"/>
  <c r="BN39" i="115"/>
  <c r="BN32" i="115"/>
  <c r="BN25" i="115"/>
  <c r="BN79" i="115"/>
  <c r="BN10" i="115"/>
  <c r="BN23" i="115"/>
  <c r="BN84" i="115"/>
  <c r="BN81" i="115"/>
  <c r="BN24" i="115"/>
  <c r="BN41" i="115"/>
  <c r="BN26" i="115"/>
  <c r="BN93" i="115"/>
  <c r="BN35" i="115"/>
  <c r="BN74" i="115"/>
  <c r="BN99" i="115"/>
  <c r="BN95" i="115"/>
  <c r="BN8" i="115"/>
  <c r="BN83" i="115"/>
  <c r="BN37" i="115"/>
  <c r="BN40" i="115"/>
  <c r="BN91" i="115"/>
  <c r="BO4" i="115"/>
  <c r="BN71" i="115"/>
  <c r="BM60" i="115" l="1"/>
  <c r="BN60" i="115"/>
  <c r="BO105" i="115"/>
  <c r="BO106" i="115"/>
  <c r="BO101" i="115"/>
  <c r="BO104" i="115"/>
  <c r="BO103" i="115"/>
  <c r="BO102" i="115"/>
  <c r="BM2" i="115"/>
  <c r="J45" i="115"/>
  <c r="H46" i="115"/>
  <c r="L46" i="115" s="1"/>
  <c r="BN2" i="115"/>
  <c r="BO19" i="115"/>
  <c r="BO87" i="115"/>
  <c r="BO85" i="115"/>
  <c r="BO9" i="115"/>
  <c r="BO11" i="115"/>
  <c r="BO86" i="115"/>
  <c r="BO21" i="115"/>
  <c r="BO33" i="115"/>
  <c r="BO80" i="115"/>
  <c r="BO24" i="115"/>
  <c r="BO78" i="115"/>
  <c r="BO35" i="115"/>
  <c r="BO26" i="115"/>
  <c r="BO92" i="115"/>
  <c r="BO20" i="115"/>
  <c r="BO69" i="115"/>
  <c r="BO91" i="115"/>
  <c r="BO99" i="115"/>
  <c r="BO65" i="115"/>
  <c r="BO70" i="115"/>
  <c r="BO36" i="115"/>
  <c r="BO13" i="115"/>
  <c r="BO68" i="115"/>
  <c r="BO82" i="115"/>
  <c r="BO14" i="115"/>
  <c r="BO98" i="115"/>
  <c r="BO8" i="115"/>
  <c r="BO17" i="115"/>
  <c r="BO42" i="115"/>
  <c r="BO29" i="115"/>
  <c r="BO100" i="115"/>
  <c r="BO38" i="115"/>
  <c r="BO31" i="115"/>
  <c r="BO77" i="115"/>
  <c r="BO34" i="115"/>
  <c r="BO81" i="115"/>
  <c r="BO76" i="115"/>
  <c r="BO96" i="115"/>
  <c r="BO93" i="115"/>
  <c r="BO7" i="115"/>
  <c r="BO10" i="115"/>
  <c r="BO97" i="115"/>
  <c r="BO22" i="115"/>
  <c r="BO75" i="115"/>
  <c r="BO37" i="115"/>
  <c r="BO83" i="115"/>
  <c r="BO15" i="115"/>
  <c r="BO23" i="115"/>
  <c r="BO30" i="115"/>
  <c r="BO88" i="115"/>
  <c r="BO95" i="115"/>
  <c r="BO73" i="115"/>
  <c r="BO39" i="115"/>
  <c r="BO84" i="115"/>
  <c r="BO5" i="115"/>
  <c r="BO40" i="115"/>
  <c r="BO25" i="115"/>
  <c r="BO32" i="115"/>
  <c r="BO72" i="115"/>
  <c r="BO28" i="115"/>
  <c r="BO90" i="115"/>
  <c r="BO67" i="115"/>
  <c r="BO27" i="115"/>
  <c r="BO41" i="115"/>
  <c r="BO16" i="115"/>
  <c r="BO94" i="115"/>
  <c r="BO18" i="115"/>
  <c r="BO66" i="115"/>
  <c r="BO74" i="115"/>
  <c r="BO89" i="115"/>
  <c r="BO12" i="115"/>
  <c r="BO79" i="115"/>
  <c r="BP4" i="115"/>
  <c r="BO71" i="115"/>
  <c r="BO60" i="115" l="1"/>
  <c r="BP105" i="115"/>
  <c r="BP101" i="115"/>
  <c r="BP106" i="115"/>
  <c r="BP104" i="115"/>
  <c r="BP103" i="115"/>
  <c r="BP102" i="115"/>
  <c r="J46" i="115"/>
  <c r="H47" i="115"/>
  <c r="L47" i="115" s="1"/>
  <c r="BP93" i="115"/>
  <c r="BP11" i="115"/>
  <c r="BP78" i="115"/>
  <c r="BP30" i="115"/>
  <c r="BP42" i="115"/>
  <c r="BP34" i="115"/>
  <c r="BP87" i="115"/>
  <c r="BP18" i="115"/>
  <c r="BP83" i="115"/>
  <c r="BP20" i="115"/>
  <c r="BP80" i="115"/>
  <c r="BP92" i="115"/>
  <c r="BP36" i="115"/>
  <c r="BP73" i="115"/>
  <c r="BP23" i="115"/>
  <c r="BP10" i="115"/>
  <c r="BP88" i="115"/>
  <c r="BP15" i="115"/>
  <c r="BP19" i="115"/>
  <c r="BP9" i="115"/>
  <c r="BP16" i="115"/>
  <c r="BP37" i="115"/>
  <c r="BP38" i="115"/>
  <c r="BP35" i="115"/>
  <c r="BP41" i="115"/>
  <c r="BP65" i="115"/>
  <c r="BP99" i="115"/>
  <c r="BP25" i="115"/>
  <c r="BP68" i="115"/>
  <c r="BP97" i="115"/>
  <c r="BP95" i="115"/>
  <c r="BP40" i="115"/>
  <c r="BP82" i="115"/>
  <c r="BP22" i="115"/>
  <c r="BP79" i="115"/>
  <c r="BP70" i="115"/>
  <c r="BP85" i="115"/>
  <c r="BP81" i="115"/>
  <c r="BP24" i="115"/>
  <c r="BP5" i="115"/>
  <c r="BP26" i="115"/>
  <c r="BP77" i="115"/>
  <c r="BP69" i="115"/>
  <c r="BP28" i="115"/>
  <c r="BP66" i="115"/>
  <c r="BP98" i="115"/>
  <c r="BP17" i="115"/>
  <c r="BP91" i="115"/>
  <c r="BP84" i="115"/>
  <c r="BP14" i="115"/>
  <c r="BP8" i="115"/>
  <c r="BP31" i="115"/>
  <c r="BP7" i="115"/>
  <c r="BP32" i="115"/>
  <c r="BP94" i="115"/>
  <c r="BP89" i="115"/>
  <c r="BP21" i="115"/>
  <c r="BP67" i="115"/>
  <c r="BP29" i="115"/>
  <c r="BP33" i="115"/>
  <c r="BP72" i="115"/>
  <c r="BP39" i="115"/>
  <c r="BP86" i="115"/>
  <c r="BP96" i="115"/>
  <c r="BP74" i="115"/>
  <c r="BP27" i="115"/>
  <c r="BP100" i="115"/>
  <c r="BP75" i="115"/>
  <c r="BP76" i="115"/>
  <c r="BP90" i="115"/>
  <c r="BP12" i="115"/>
  <c r="BP13" i="115"/>
  <c r="BQ4" i="115"/>
  <c r="BP71" i="115"/>
  <c r="BO2" i="115"/>
  <c r="BP60" i="115" l="1"/>
  <c r="BQ101" i="115"/>
  <c r="BQ106" i="115"/>
  <c r="BQ105" i="115"/>
  <c r="BQ104" i="115"/>
  <c r="BQ103" i="115"/>
  <c r="BQ102" i="115"/>
  <c r="J47" i="115"/>
  <c r="H48" i="115"/>
  <c r="L48" i="115" s="1"/>
  <c r="BQ78" i="115"/>
  <c r="BQ84" i="115"/>
  <c r="BQ98" i="115"/>
  <c r="BQ33" i="115"/>
  <c r="BQ96" i="115"/>
  <c r="BQ68" i="115"/>
  <c r="BQ27" i="115"/>
  <c r="BQ72" i="115"/>
  <c r="BQ82" i="115"/>
  <c r="BQ74" i="115"/>
  <c r="BQ34" i="115"/>
  <c r="BQ35" i="115"/>
  <c r="BQ12" i="115"/>
  <c r="BQ30" i="115"/>
  <c r="BQ10" i="115"/>
  <c r="BQ18" i="115"/>
  <c r="BQ23" i="115"/>
  <c r="BQ81" i="115"/>
  <c r="BQ29" i="115"/>
  <c r="BQ28" i="115"/>
  <c r="BQ91" i="115"/>
  <c r="BQ14" i="115"/>
  <c r="BQ65" i="115"/>
  <c r="BQ17" i="115"/>
  <c r="BQ8" i="115"/>
  <c r="BQ95" i="115"/>
  <c r="BQ67" i="115"/>
  <c r="BQ16" i="115"/>
  <c r="BQ15" i="115"/>
  <c r="BQ32" i="115"/>
  <c r="BQ73" i="115"/>
  <c r="BQ90" i="115"/>
  <c r="BQ37" i="115"/>
  <c r="BQ93" i="115"/>
  <c r="BQ5" i="115"/>
  <c r="BQ76" i="115"/>
  <c r="BQ66" i="115"/>
  <c r="BQ83" i="115"/>
  <c r="BQ22" i="115"/>
  <c r="BQ40" i="115"/>
  <c r="BQ7" i="115"/>
  <c r="BQ92" i="115"/>
  <c r="BQ25" i="115"/>
  <c r="BQ80" i="115"/>
  <c r="BQ13" i="115"/>
  <c r="BQ36" i="115"/>
  <c r="BQ31" i="115"/>
  <c r="BQ42" i="115"/>
  <c r="BQ99" i="115"/>
  <c r="BQ20" i="115"/>
  <c r="BQ39" i="115"/>
  <c r="BQ75" i="115"/>
  <c r="BQ9" i="115"/>
  <c r="BQ89" i="115"/>
  <c r="BQ97" i="115"/>
  <c r="BQ85" i="115"/>
  <c r="BQ88" i="115"/>
  <c r="BQ69" i="115"/>
  <c r="BQ19" i="115"/>
  <c r="BQ94" i="115"/>
  <c r="BQ38" i="115"/>
  <c r="BQ41" i="115"/>
  <c r="BQ11" i="115"/>
  <c r="BQ26" i="115"/>
  <c r="BQ100" i="115"/>
  <c r="BQ21" i="115"/>
  <c r="BQ86" i="115"/>
  <c r="BQ70" i="115"/>
  <c r="BQ79" i="115"/>
  <c r="BQ24" i="115"/>
  <c r="BQ87" i="115"/>
  <c r="BQ77" i="115"/>
  <c r="BR4" i="115"/>
  <c r="BQ71" i="115"/>
  <c r="BP2" i="115"/>
  <c r="BQ60" i="115" l="1"/>
  <c r="BR101" i="115"/>
  <c r="BR106" i="115"/>
  <c r="BR105" i="115"/>
  <c r="BR104" i="115"/>
  <c r="BR103" i="115"/>
  <c r="BR102" i="115"/>
  <c r="J48" i="115"/>
  <c r="H49" i="115"/>
  <c r="L49" i="115" s="1"/>
  <c r="BQ2" i="115"/>
  <c r="BR90" i="115"/>
  <c r="BR93" i="115"/>
  <c r="BR70" i="115"/>
  <c r="BR68" i="115"/>
  <c r="BR22" i="115"/>
  <c r="BR82" i="115"/>
  <c r="BR40" i="115"/>
  <c r="BR32" i="115"/>
  <c r="BR7" i="115"/>
  <c r="BR11" i="115"/>
  <c r="BR98" i="115"/>
  <c r="BR37" i="115"/>
  <c r="BR42" i="115"/>
  <c r="BR95" i="115"/>
  <c r="BR85" i="115"/>
  <c r="BR27" i="115"/>
  <c r="BR100" i="115"/>
  <c r="BR73" i="115"/>
  <c r="BR65" i="115"/>
  <c r="BR23" i="115"/>
  <c r="BR78" i="115"/>
  <c r="BR88" i="115"/>
  <c r="BR76" i="115"/>
  <c r="BR24" i="115"/>
  <c r="BR15" i="115"/>
  <c r="BR89" i="115"/>
  <c r="BR74" i="115"/>
  <c r="BR25" i="115"/>
  <c r="BR9" i="115"/>
  <c r="BR77" i="115"/>
  <c r="BR30" i="115"/>
  <c r="BR96" i="115"/>
  <c r="BR66" i="115"/>
  <c r="BR33" i="115"/>
  <c r="BR69" i="115"/>
  <c r="BR14" i="115"/>
  <c r="BR99" i="115"/>
  <c r="BR80" i="115"/>
  <c r="BR10" i="115"/>
  <c r="BR16" i="115"/>
  <c r="BR97" i="115"/>
  <c r="BR28" i="115"/>
  <c r="BR8" i="115"/>
  <c r="BR87" i="115"/>
  <c r="BR36" i="115"/>
  <c r="BR34" i="115"/>
  <c r="BR72" i="115"/>
  <c r="BR13" i="115"/>
  <c r="BR84" i="115"/>
  <c r="BR26" i="115"/>
  <c r="BR39" i="115"/>
  <c r="BR35" i="115"/>
  <c r="BR92" i="115"/>
  <c r="BR18" i="115"/>
  <c r="BR17" i="115"/>
  <c r="BR38" i="115"/>
  <c r="BR5" i="115"/>
  <c r="BR79" i="115"/>
  <c r="BR29" i="115"/>
  <c r="BR21" i="115"/>
  <c r="BR75" i="115"/>
  <c r="BR81" i="115"/>
  <c r="BR94" i="115"/>
  <c r="BR41" i="115"/>
  <c r="BR67" i="115"/>
  <c r="BR86" i="115"/>
  <c r="BR31" i="115"/>
  <c r="BR20" i="115"/>
  <c r="BR12" i="115"/>
  <c r="BR19" i="115"/>
  <c r="BR91" i="115"/>
  <c r="BR83" i="115"/>
  <c r="BS4" i="115"/>
  <c r="BR71" i="115"/>
  <c r="BR60" i="115" l="1"/>
  <c r="BS105" i="115"/>
  <c r="BS106" i="115"/>
  <c r="BS101" i="115"/>
  <c r="BS104" i="115"/>
  <c r="BS103" i="115"/>
  <c r="BS102" i="115"/>
  <c r="J49" i="115"/>
  <c r="H50" i="115"/>
  <c r="L50" i="115" s="1"/>
  <c r="BR2" i="115"/>
  <c r="BS17" i="115"/>
  <c r="BS94" i="115"/>
  <c r="BS40" i="115"/>
  <c r="BS95" i="115"/>
  <c r="BS77" i="115"/>
  <c r="BS89" i="115"/>
  <c r="BS36" i="115"/>
  <c r="BS38" i="115"/>
  <c r="BS100" i="115"/>
  <c r="BS12" i="115"/>
  <c r="BS13" i="115"/>
  <c r="BS91" i="115"/>
  <c r="BS82" i="115"/>
  <c r="BS78" i="115"/>
  <c r="BS31" i="115"/>
  <c r="BS8" i="115"/>
  <c r="BS80" i="115"/>
  <c r="BS72" i="115"/>
  <c r="BS14" i="115"/>
  <c r="BS92" i="115"/>
  <c r="BS84" i="115"/>
  <c r="BS41" i="115"/>
  <c r="BS86" i="115"/>
  <c r="BS99" i="115"/>
  <c r="BS28" i="115"/>
  <c r="BS67" i="115"/>
  <c r="BS10" i="115"/>
  <c r="BS85" i="115"/>
  <c r="BS33" i="115"/>
  <c r="BS90" i="115"/>
  <c r="BS18" i="115"/>
  <c r="BS75" i="115"/>
  <c r="BS79" i="115"/>
  <c r="BS16" i="115"/>
  <c r="BS70" i="115"/>
  <c r="BS9" i="115"/>
  <c r="BS69" i="115"/>
  <c r="BS21" i="115"/>
  <c r="BS42" i="115"/>
  <c r="BS34" i="115"/>
  <c r="BS98" i="115"/>
  <c r="BS24" i="115"/>
  <c r="BS5" i="115"/>
  <c r="BS25" i="115"/>
  <c r="BS26" i="115"/>
  <c r="BS73" i="115"/>
  <c r="BS76" i="115"/>
  <c r="BS23" i="115"/>
  <c r="BS65" i="115"/>
  <c r="BS66" i="115"/>
  <c r="BS81" i="115"/>
  <c r="BS15" i="115"/>
  <c r="BS68" i="115"/>
  <c r="BS37" i="115"/>
  <c r="BS35" i="115"/>
  <c r="BS93" i="115"/>
  <c r="BS27" i="115"/>
  <c r="BS20" i="115"/>
  <c r="BS7" i="115"/>
  <c r="BS39" i="115"/>
  <c r="BS29" i="115"/>
  <c r="BS30" i="115"/>
  <c r="BS97" i="115"/>
  <c r="BS22" i="115"/>
  <c r="BS19" i="115"/>
  <c r="BS74" i="115"/>
  <c r="BS11" i="115"/>
  <c r="BS83" i="115"/>
  <c r="BS88" i="115"/>
  <c r="BS87" i="115"/>
  <c r="BS32" i="115"/>
  <c r="BS96" i="115"/>
  <c r="BT4" i="115"/>
  <c r="BS71" i="115"/>
  <c r="BS60" i="115" l="1"/>
  <c r="BT106" i="115"/>
  <c r="BT101" i="115"/>
  <c r="BT105" i="115"/>
  <c r="BT104" i="115"/>
  <c r="BT103" i="115"/>
  <c r="BT102" i="115"/>
  <c r="J50" i="115"/>
  <c r="H51" i="115"/>
  <c r="L51" i="115" s="1"/>
  <c r="BT91" i="115"/>
  <c r="BT11" i="115"/>
  <c r="BT33" i="115"/>
  <c r="BT21" i="115"/>
  <c r="BT74" i="115"/>
  <c r="BT41" i="115"/>
  <c r="BT10" i="115"/>
  <c r="BT22" i="115"/>
  <c r="BT81" i="115"/>
  <c r="BT35" i="115"/>
  <c r="BT89" i="115"/>
  <c r="BT40" i="115"/>
  <c r="BT78" i="115"/>
  <c r="BT31" i="115"/>
  <c r="BT66" i="115"/>
  <c r="BT19" i="115"/>
  <c r="BT9" i="115"/>
  <c r="BT8" i="115"/>
  <c r="BT38" i="115"/>
  <c r="BT83" i="115"/>
  <c r="BT100" i="115"/>
  <c r="BT27" i="115"/>
  <c r="BT37" i="115"/>
  <c r="BT93" i="115"/>
  <c r="BT28" i="115"/>
  <c r="BT73" i="115"/>
  <c r="BT23" i="115"/>
  <c r="BT39" i="115"/>
  <c r="BT20" i="115"/>
  <c r="BT12" i="115"/>
  <c r="BT65" i="115"/>
  <c r="BT14" i="115"/>
  <c r="BT69" i="115"/>
  <c r="BT70" i="115"/>
  <c r="BT94" i="115"/>
  <c r="BT98" i="115"/>
  <c r="BT84" i="115"/>
  <c r="BT80" i="115"/>
  <c r="BT18" i="115"/>
  <c r="BT86" i="115"/>
  <c r="BT29" i="115"/>
  <c r="BT97" i="115"/>
  <c r="BT16" i="115"/>
  <c r="BT76" i="115"/>
  <c r="BT77" i="115"/>
  <c r="BT92" i="115"/>
  <c r="BT95" i="115"/>
  <c r="BT72" i="115"/>
  <c r="BT24" i="115"/>
  <c r="BT82" i="115"/>
  <c r="BT85" i="115"/>
  <c r="BT5" i="115"/>
  <c r="BT36" i="115"/>
  <c r="BT26" i="115"/>
  <c r="BT87" i="115"/>
  <c r="BT30" i="115"/>
  <c r="BT88" i="115"/>
  <c r="BT42" i="115"/>
  <c r="BT68" i="115"/>
  <c r="BT7" i="115"/>
  <c r="BT13" i="115"/>
  <c r="BT32" i="115"/>
  <c r="BT67" i="115"/>
  <c r="BT34" i="115"/>
  <c r="BT90" i="115"/>
  <c r="BT96" i="115"/>
  <c r="BT75" i="115"/>
  <c r="BT17" i="115"/>
  <c r="BT25" i="115"/>
  <c r="BT79" i="115"/>
  <c r="BT99" i="115"/>
  <c r="BT15" i="115"/>
  <c r="BU4" i="115"/>
  <c r="BT71" i="115"/>
  <c r="BS2" i="115"/>
  <c r="BT60" i="115" l="1"/>
  <c r="BU105" i="115"/>
  <c r="BU106" i="115"/>
  <c r="BU101" i="115"/>
  <c r="BU104" i="115"/>
  <c r="BU103" i="115"/>
  <c r="BU102" i="115"/>
  <c r="H52" i="115"/>
  <c r="L52" i="115" s="1"/>
  <c r="J51" i="115"/>
  <c r="BT2" i="115"/>
  <c r="BU69" i="115"/>
  <c r="BU40" i="115"/>
  <c r="BU32" i="115"/>
  <c r="BU14" i="115"/>
  <c r="BU39" i="115"/>
  <c r="BU36" i="115"/>
  <c r="BU15" i="115"/>
  <c r="BU66" i="115"/>
  <c r="BU75" i="115"/>
  <c r="BU90" i="115"/>
  <c r="BU21" i="115"/>
  <c r="BU68" i="115"/>
  <c r="BU12" i="115"/>
  <c r="BU77" i="115"/>
  <c r="BU76" i="115"/>
  <c r="BU79" i="115"/>
  <c r="BU34" i="115"/>
  <c r="BU65" i="115"/>
  <c r="BU85" i="115"/>
  <c r="BU99" i="115"/>
  <c r="BU29" i="115"/>
  <c r="BU30" i="115"/>
  <c r="BU80" i="115"/>
  <c r="BU94" i="115"/>
  <c r="BU78" i="115"/>
  <c r="BU22" i="115"/>
  <c r="BU13" i="115"/>
  <c r="BU7" i="115"/>
  <c r="BU26" i="115"/>
  <c r="BU23" i="115"/>
  <c r="BU86" i="115"/>
  <c r="BU97" i="115"/>
  <c r="BU38" i="115"/>
  <c r="BU81" i="115"/>
  <c r="BU31" i="115"/>
  <c r="BU87" i="115"/>
  <c r="BU91" i="115"/>
  <c r="BU27" i="115"/>
  <c r="BU67" i="115"/>
  <c r="BU33" i="115"/>
  <c r="BU42" i="115"/>
  <c r="BU8" i="115"/>
  <c r="BU11" i="115"/>
  <c r="BU73" i="115"/>
  <c r="BU19" i="115"/>
  <c r="BU41" i="115"/>
  <c r="BU24" i="115"/>
  <c r="BU70" i="115"/>
  <c r="BU25" i="115"/>
  <c r="BU10" i="115"/>
  <c r="BU28" i="115"/>
  <c r="BU82" i="115"/>
  <c r="BU18" i="115"/>
  <c r="BU92" i="115"/>
  <c r="BU93" i="115"/>
  <c r="BU72" i="115"/>
  <c r="BU84" i="115"/>
  <c r="BU16" i="115"/>
  <c r="BU9" i="115"/>
  <c r="BU37" i="115"/>
  <c r="BU83" i="115"/>
  <c r="BU88" i="115"/>
  <c r="BU96" i="115"/>
  <c r="BU5" i="115"/>
  <c r="BU89" i="115"/>
  <c r="BU20" i="115"/>
  <c r="BU35" i="115"/>
  <c r="BU74" i="115"/>
  <c r="BU100" i="115"/>
  <c r="BU95" i="115"/>
  <c r="BU17" i="115"/>
  <c r="BU98" i="115"/>
  <c r="BV4" i="115"/>
  <c r="BU71" i="115"/>
  <c r="BU60" i="115" l="1"/>
  <c r="BV106" i="115"/>
  <c r="BV105" i="115"/>
  <c r="BV101" i="115"/>
  <c r="BV104" i="115"/>
  <c r="BV103" i="115"/>
  <c r="BV102" i="115"/>
  <c r="H53" i="115"/>
  <c r="L53" i="115" s="1"/>
  <c r="J52" i="115"/>
  <c r="BV31" i="115"/>
  <c r="BV84" i="115"/>
  <c r="BV13" i="115"/>
  <c r="BV67" i="115"/>
  <c r="BV36" i="115"/>
  <c r="BV27" i="115"/>
  <c r="BV90" i="115"/>
  <c r="BV100" i="115"/>
  <c r="BV18" i="115"/>
  <c r="BV32" i="115"/>
  <c r="BV65" i="115"/>
  <c r="BV77" i="115"/>
  <c r="BV78" i="115"/>
  <c r="BV89" i="115"/>
  <c r="BV5" i="115"/>
  <c r="BV33" i="115"/>
  <c r="BV21" i="115"/>
  <c r="BV69" i="115"/>
  <c r="BV92" i="115"/>
  <c r="BV82" i="115"/>
  <c r="BV72" i="115"/>
  <c r="BV28" i="115"/>
  <c r="BV88" i="115"/>
  <c r="BV86" i="115"/>
  <c r="BV98" i="115"/>
  <c r="BV80" i="115"/>
  <c r="BV79" i="115"/>
  <c r="BV38" i="115"/>
  <c r="BV74" i="115"/>
  <c r="BV96" i="115"/>
  <c r="BV41" i="115"/>
  <c r="BV8" i="115"/>
  <c r="BV37" i="115"/>
  <c r="BV99" i="115"/>
  <c r="BV16" i="115"/>
  <c r="BV15" i="115"/>
  <c r="BV91" i="115"/>
  <c r="BV93" i="115"/>
  <c r="BV97" i="115"/>
  <c r="BV85" i="115"/>
  <c r="BV25" i="115"/>
  <c r="BV10" i="115"/>
  <c r="BV19" i="115"/>
  <c r="BV39" i="115"/>
  <c r="BV68" i="115"/>
  <c r="BV14" i="115"/>
  <c r="BV94" i="115"/>
  <c r="BV73" i="115"/>
  <c r="BV26" i="115"/>
  <c r="BV81" i="115"/>
  <c r="BV76" i="115"/>
  <c r="BV83" i="115"/>
  <c r="BV40" i="115"/>
  <c r="BV29" i="115"/>
  <c r="BV35" i="115"/>
  <c r="BV42" i="115"/>
  <c r="BV34" i="115"/>
  <c r="BV9" i="115"/>
  <c r="BV7" i="115"/>
  <c r="BV75" i="115"/>
  <c r="BV12" i="115"/>
  <c r="BV70" i="115"/>
  <c r="BV30" i="115"/>
  <c r="BV22" i="115"/>
  <c r="BV23" i="115"/>
  <c r="BV95" i="115"/>
  <c r="BV17" i="115"/>
  <c r="BV20" i="115"/>
  <c r="BV66" i="115"/>
  <c r="BV24" i="115"/>
  <c r="BV11" i="115"/>
  <c r="BV87" i="115"/>
  <c r="BW4" i="115"/>
  <c r="BV71" i="115"/>
  <c r="BU2" i="115"/>
  <c r="BV60" i="115" l="1"/>
  <c r="BW101" i="115"/>
  <c r="BW106" i="115"/>
  <c r="BW105" i="115"/>
  <c r="BW104" i="115"/>
  <c r="BW103" i="115"/>
  <c r="BW102" i="115"/>
  <c r="J53" i="115"/>
  <c r="H54" i="115"/>
  <c r="L54" i="115" s="1"/>
  <c r="BV2" i="115"/>
  <c r="BW83" i="115"/>
  <c r="BW98" i="115"/>
  <c r="BW24" i="115"/>
  <c r="BW76" i="115"/>
  <c r="BW78" i="115"/>
  <c r="BW99" i="115"/>
  <c r="BW80" i="115"/>
  <c r="BW89" i="115"/>
  <c r="BW81" i="115"/>
  <c r="BW34" i="115"/>
  <c r="BW28" i="115"/>
  <c r="BW26" i="115"/>
  <c r="BW31" i="115"/>
  <c r="BW15" i="115"/>
  <c r="BW84" i="115"/>
  <c r="BW9" i="115"/>
  <c r="BW10" i="115"/>
  <c r="BW13" i="115"/>
  <c r="BW22" i="115"/>
  <c r="BW41" i="115"/>
  <c r="BW21" i="115"/>
  <c r="BW96" i="115"/>
  <c r="BW19" i="115"/>
  <c r="BW20" i="115"/>
  <c r="BW88" i="115"/>
  <c r="BW8" i="115"/>
  <c r="BW16" i="115"/>
  <c r="BW93" i="115"/>
  <c r="BW92" i="115"/>
  <c r="BW69" i="115"/>
  <c r="BW68" i="115"/>
  <c r="BW79" i="115"/>
  <c r="BW77" i="115"/>
  <c r="BW70" i="115"/>
  <c r="BW72" i="115"/>
  <c r="BW87" i="115"/>
  <c r="BW14" i="115"/>
  <c r="BW17" i="115"/>
  <c r="BW23" i="115"/>
  <c r="BW36" i="115"/>
  <c r="BW85" i="115"/>
  <c r="BW100" i="115"/>
  <c r="BW5" i="115"/>
  <c r="BW86" i="115"/>
  <c r="BW11" i="115"/>
  <c r="BW38" i="115"/>
  <c r="BW25" i="115"/>
  <c r="BW66" i="115"/>
  <c r="BW82" i="115"/>
  <c r="BW94" i="115"/>
  <c r="BW73" i="115"/>
  <c r="BW30" i="115"/>
  <c r="BW95" i="115"/>
  <c r="BW74" i="115"/>
  <c r="BW90" i="115"/>
  <c r="BW29" i="115"/>
  <c r="BW32" i="115"/>
  <c r="BW91" i="115"/>
  <c r="BW39" i="115"/>
  <c r="BW35" i="115"/>
  <c r="BW67" i="115"/>
  <c r="BW27" i="115"/>
  <c r="BW42" i="115"/>
  <c r="BW75" i="115"/>
  <c r="BW12" i="115"/>
  <c r="BW65" i="115"/>
  <c r="BW18" i="115"/>
  <c r="BW37" i="115"/>
  <c r="BW40" i="115"/>
  <c r="BW7" i="115"/>
  <c r="BW97" i="115"/>
  <c r="BW33" i="115"/>
  <c r="BX4" i="115"/>
  <c r="BW71" i="115"/>
  <c r="BW60" i="115" l="1"/>
  <c r="BX105" i="115"/>
  <c r="BX101" i="115"/>
  <c r="BX106" i="115"/>
  <c r="BX104" i="115"/>
  <c r="BX103" i="115"/>
  <c r="BX102" i="115"/>
  <c r="J54" i="115"/>
  <c r="H55" i="115"/>
  <c r="L55" i="115" s="1"/>
  <c r="BW2" i="115"/>
  <c r="BX14" i="115"/>
  <c r="BX98" i="115"/>
  <c r="BX91" i="115"/>
  <c r="BX78" i="115"/>
  <c r="BX12" i="115"/>
  <c r="BX24" i="115"/>
  <c r="BX10" i="115"/>
  <c r="BX41" i="115"/>
  <c r="BX83" i="115"/>
  <c r="BX67" i="115"/>
  <c r="BX76" i="115"/>
  <c r="BX89" i="115"/>
  <c r="BX34" i="115"/>
  <c r="BX93" i="115"/>
  <c r="BX31" i="115"/>
  <c r="BX15" i="115"/>
  <c r="BX17" i="115"/>
  <c r="BX27" i="115"/>
  <c r="BX42" i="115"/>
  <c r="BX13" i="115"/>
  <c r="BX85" i="115"/>
  <c r="BX30" i="115"/>
  <c r="BX8" i="115"/>
  <c r="BX29" i="115"/>
  <c r="BX90" i="115"/>
  <c r="BX99" i="115"/>
  <c r="BX16" i="115"/>
  <c r="BX97" i="115"/>
  <c r="BX74" i="115"/>
  <c r="BX92" i="115"/>
  <c r="BX68" i="115"/>
  <c r="BX9" i="115"/>
  <c r="BX73" i="115"/>
  <c r="BX5" i="115"/>
  <c r="BX77" i="115"/>
  <c r="BX81" i="115"/>
  <c r="BX21" i="115"/>
  <c r="BX79" i="115"/>
  <c r="BX87" i="115"/>
  <c r="BX18" i="115"/>
  <c r="BX80" i="115"/>
  <c r="BX84" i="115"/>
  <c r="BX23" i="115"/>
  <c r="BX22" i="115"/>
  <c r="BX11" i="115"/>
  <c r="BX69" i="115"/>
  <c r="BX82" i="115"/>
  <c r="BX26" i="115"/>
  <c r="BX96" i="115"/>
  <c r="BX20" i="115"/>
  <c r="BX88" i="115"/>
  <c r="BX39" i="115"/>
  <c r="BX94" i="115"/>
  <c r="BX100" i="115"/>
  <c r="BX36" i="115"/>
  <c r="BX70" i="115"/>
  <c r="BX72" i="115"/>
  <c r="BX19" i="115"/>
  <c r="BX32" i="115"/>
  <c r="BX40" i="115"/>
  <c r="BX75" i="115"/>
  <c r="BX38" i="115"/>
  <c r="BX25" i="115"/>
  <c r="BX86" i="115"/>
  <c r="BX33" i="115"/>
  <c r="BX35" i="115"/>
  <c r="BX28" i="115"/>
  <c r="BX37" i="115"/>
  <c r="BX65" i="115"/>
  <c r="BX95" i="115"/>
  <c r="BX7" i="115"/>
  <c r="BX66" i="115"/>
  <c r="BY4" i="115"/>
  <c r="BX71" i="115"/>
  <c r="BX60" i="115" l="1"/>
  <c r="BY101" i="115"/>
  <c r="BY105" i="115"/>
  <c r="BY106" i="115"/>
  <c r="BY104" i="115"/>
  <c r="BY103" i="115"/>
  <c r="BY102" i="115"/>
  <c r="H56" i="115"/>
  <c r="L56" i="115" s="1"/>
  <c r="J55" i="115"/>
  <c r="BY95" i="115"/>
  <c r="BY15" i="115"/>
  <c r="BY94" i="115"/>
  <c r="BY17" i="115"/>
  <c r="BY32" i="115"/>
  <c r="BY72" i="115"/>
  <c r="BY22" i="115"/>
  <c r="BY78" i="115"/>
  <c r="BY29" i="115"/>
  <c r="BY33" i="115"/>
  <c r="BY39" i="115"/>
  <c r="BY13" i="115"/>
  <c r="BY16" i="115"/>
  <c r="BY28" i="115"/>
  <c r="BY30" i="115"/>
  <c r="BY5" i="115"/>
  <c r="BY100" i="115"/>
  <c r="BY7" i="115"/>
  <c r="BY8" i="115"/>
  <c r="BY85" i="115"/>
  <c r="BY76" i="115"/>
  <c r="BY11" i="115"/>
  <c r="BY68" i="115"/>
  <c r="BY93" i="115"/>
  <c r="BY92" i="115"/>
  <c r="BY97" i="115"/>
  <c r="BY23" i="115"/>
  <c r="BY24" i="115"/>
  <c r="BY36" i="115"/>
  <c r="BY37" i="115"/>
  <c r="BY25" i="115"/>
  <c r="BY69" i="115"/>
  <c r="BY65" i="115"/>
  <c r="BY10" i="115"/>
  <c r="BY86" i="115"/>
  <c r="BY38" i="115"/>
  <c r="BY99" i="115"/>
  <c r="BY81" i="115"/>
  <c r="BY89" i="115"/>
  <c r="BY70" i="115"/>
  <c r="BY18" i="115"/>
  <c r="BY40" i="115"/>
  <c r="BY14" i="115"/>
  <c r="BY42" i="115"/>
  <c r="BY9" i="115"/>
  <c r="BY31" i="115"/>
  <c r="BY20" i="115"/>
  <c r="BY41" i="115"/>
  <c r="BY34" i="115"/>
  <c r="BY88" i="115"/>
  <c r="BY90" i="115"/>
  <c r="BY74" i="115"/>
  <c r="BY83" i="115"/>
  <c r="BY12" i="115"/>
  <c r="BY67" i="115"/>
  <c r="BY73" i="115"/>
  <c r="BY79" i="115"/>
  <c r="BY96" i="115"/>
  <c r="BY66" i="115"/>
  <c r="BY77" i="115"/>
  <c r="BY80" i="115"/>
  <c r="BY91" i="115"/>
  <c r="BY98" i="115"/>
  <c r="BY27" i="115"/>
  <c r="BY75" i="115"/>
  <c r="BY84" i="115"/>
  <c r="BY87" i="115"/>
  <c r="BY19" i="115"/>
  <c r="BY35" i="115"/>
  <c r="BY82" i="115"/>
  <c r="BY21" i="115"/>
  <c r="BY26" i="115"/>
  <c r="BZ4" i="115"/>
  <c r="BY71" i="115"/>
  <c r="BX2" i="115"/>
  <c r="BY60" i="115" l="1"/>
  <c r="BZ101" i="115"/>
  <c r="BZ106" i="115"/>
  <c r="BZ105" i="115"/>
  <c r="BZ104" i="115"/>
  <c r="BZ103" i="115"/>
  <c r="BZ102" i="115"/>
  <c r="J56" i="115"/>
  <c r="H57" i="115"/>
  <c r="L57" i="115" s="1"/>
  <c r="BZ35" i="115"/>
  <c r="BZ18" i="115"/>
  <c r="BZ90" i="115"/>
  <c r="BZ36" i="115"/>
  <c r="BZ13" i="115"/>
  <c r="BZ17" i="115"/>
  <c r="BZ30" i="115"/>
  <c r="BZ79" i="115"/>
  <c r="BZ67" i="115"/>
  <c r="BZ10" i="115"/>
  <c r="BZ70" i="115"/>
  <c r="BZ27" i="115"/>
  <c r="BZ31" i="115"/>
  <c r="BZ5" i="115"/>
  <c r="BZ93" i="115"/>
  <c r="BZ74" i="115"/>
  <c r="BZ38" i="115"/>
  <c r="BZ24" i="115"/>
  <c r="BZ28" i="115"/>
  <c r="BZ40" i="115"/>
  <c r="BZ82" i="115"/>
  <c r="BZ23" i="115"/>
  <c r="BZ76" i="115"/>
  <c r="BZ19" i="115"/>
  <c r="BZ32" i="115"/>
  <c r="BZ86" i="115"/>
  <c r="BZ66" i="115"/>
  <c r="BZ100" i="115"/>
  <c r="BZ26" i="115"/>
  <c r="BZ78" i="115"/>
  <c r="BZ97" i="115"/>
  <c r="BZ81" i="115"/>
  <c r="BZ68" i="115"/>
  <c r="BZ65" i="115"/>
  <c r="BZ34" i="115"/>
  <c r="BZ83" i="115"/>
  <c r="BZ91" i="115"/>
  <c r="BZ87" i="115"/>
  <c r="BZ12" i="115"/>
  <c r="BZ7" i="115"/>
  <c r="BZ88" i="115"/>
  <c r="BZ89" i="115"/>
  <c r="BZ20" i="115"/>
  <c r="BZ73" i="115"/>
  <c r="BZ42" i="115"/>
  <c r="BZ95" i="115"/>
  <c r="BZ16" i="115"/>
  <c r="BZ84" i="115"/>
  <c r="BZ69" i="115"/>
  <c r="BZ22" i="115"/>
  <c r="BZ33" i="115"/>
  <c r="BZ41" i="115"/>
  <c r="BZ98" i="115"/>
  <c r="BZ14" i="115"/>
  <c r="BZ21" i="115"/>
  <c r="BZ25" i="115"/>
  <c r="BZ39" i="115"/>
  <c r="BZ96" i="115"/>
  <c r="BZ8" i="115"/>
  <c r="BZ75" i="115"/>
  <c r="BZ11" i="115"/>
  <c r="BZ94" i="115"/>
  <c r="BZ72" i="115"/>
  <c r="BZ29" i="115"/>
  <c r="BZ92" i="115"/>
  <c r="BZ9" i="115"/>
  <c r="BZ85" i="115"/>
  <c r="BZ80" i="115"/>
  <c r="BZ77" i="115"/>
  <c r="BZ15" i="115"/>
  <c r="BZ99" i="115"/>
  <c r="BZ37" i="115"/>
  <c r="CA4" i="115"/>
  <c r="BZ71" i="115"/>
  <c r="BY2" i="115"/>
  <c r="BZ60" i="115" l="1"/>
  <c r="CA105" i="115"/>
  <c r="CA101" i="115"/>
  <c r="CA106" i="115"/>
  <c r="CA104" i="115"/>
  <c r="CA103" i="115"/>
  <c r="CA102" i="115"/>
  <c r="H58" i="115"/>
  <c r="L58" i="115" s="1"/>
  <c r="J57" i="115"/>
  <c r="CA21" i="115"/>
  <c r="CA97" i="115"/>
  <c r="CA22" i="115"/>
  <c r="CA31" i="115"/>
  <c r="CA84" i="115"/>
  <c r="CA20" i="115"/>
  <c r="CA5" i="115"/>
  <c r="CA29" i="115"/>
  <c r="CA24" i="115"/>
  <c r="CA15" i="115"/>
  <c r="CA68" i="115"/>
  <c r="CA28" i="115"/>
  <c r="CA18" i="115"/>
  <c r="CA7" i="115"/>
  <c r="CA92" i="115"/>
  <c r="CA33" i="115"/>
  <c r="CA35" i="115"/>
  <c r="CA69" i="115"/>
  <c r="CA37" i="115"/>
  <c r="CA14" i="115"/>
  <c r="CA39" i="115"/>
  <c r="CA96" i="115"/>
  <c r="CA42" i="115"/>
  <c r="CA85" i="115"/>
  <c r="CA23" i="115"/>
  <c r="CA17" i="115"/>
  <c r="CA100" i="115"/>
  <c r="CA98" i="115"/>
  <c r="CA30" i="115"/>
  <c r="CA87" i="115"/>
  <c r="CA26" i="115"/>
  <c r="CA93" i="115"/>
  <c r="CA86" i="115"/>
  <c r="CA79" i="115"/>
  <c r="CA73" i="115"/>
  <c r="CA36" i="115"/>
  <c r="CA32" i="115"/>
  <c r="CA82" i="115"/>
  <c r="CA66" i="115"/>
  <c r="CA99" i="115"/>
  <c r="CA88" i="115"/>
  <c r="CA89" i="115"/>
  <c r="CA25" i="115"/>
  <c r="CA10" i="115"/>
  <c r="CA74" i="115"/>
  <c r="CA72" i="115"/>
  <c r="CA77" i="115"/>
  <c r="CA76" i="115"/>
  <c r="CA78" i="115"/>
  <c r="CA67" i="115"/>
  <c r="CA94" i="115"/>
  <c r="CA65" i="115"/>
  <c r="CA19" i="115"/>
  <c r="CA40" i="115"/>
  <c r="CA83" i="115"/>
  <c r="CA80" i="115"/>
  <c r="CA13" i="115"/>
  <c r="CA41" i="115"/>
  <c r="CA27" i="115"/>
  <c r="CA90" i="115"/>
  <c r="CA34" i="115"/>
  <c r="CA70" i="115"/>
  <c r="CA11" i="115"/>
  <c r="CA95" i="115"/>
  <c r="CA38" i="115"/>
  <c r="CA81" i="115"/>
  <c r="CA8" i="115"/>
  <c r="CA91" i="115"/>
  <c r="CA12" i="115"/>
  <c r="CA9" i="115"/>
  <c r="CA75" i="115"/>
  <c r="CA16" i="115"/>
  <c r="CB4" i="115"/>
  <c r="CA71" i="115"/>
  <c r="BZ2" i="115"/>
  <c r="CA60" i="115" l="1"/>
  <c r="CB106" i="115"/>
  <c r="CB101" i="115"/>
  <c r="CB105" i="115"/>
  <c r="CB104" i="115"/>
  <c r="CB103" i="115"/>
  <c r="CB102" i="115"/>
  <c r="J58" i="115"/>
  <c r="H59" i="115"/>
  <c r="L59" i="115" s="1"/>
  <c r="CA2" i="115"/>
  <c r="CB92" i="115"/>
  <c r="CB69" i="115"/>
  <c r="CB23" i="115"/>
  <c r="CB22" i="115"/>
  <c r="CB74" i="115"/>
  <c r="CB80" i="115"/>
  <c r="CB98" i="115"/>
  <c r="CB91" i="115"/>
  <c r="CB93" i="115"/>
  <c r="CB87" i="115"/>
  <c r="CB84" i="115"/>
  <c r="CB20" i="115"/>
  <c r="CB100" i="115"/>
  <c r="CB21" i="115"/>
  <c r="CB76" i="115"/>
  <c r="CB31" i="115"/>
  <c r="CB28" i="115"/>
  <c r="CB9" i="115"/>
  <c r="CB85" i="115"/>
  <c r="CB82" i="115"/>
  <c r="CB26" i="115"/>
  <c r="CB66" i="115"/>
  <c r="CB33" i="115"/>
  <c r="CB5" i="115"/>
  <c r="CB18" i="115"/>
  <c r="CB81" i="115"/>
  <c r="CB19" i="115"/>
  <c r="CB40" i="115"/>
  <c r="CB96" i="115"/>
  <c r="CB41" i="115"/>
  <c r="CB7" i="115"/>
  <c r="CB70" i="115"/>
  <c r="CB83" i="115"/>
  <c r="CB36" i="115"/>
  <c r="CB37" i="115"/>
  <c r="CB39" i="115"/>
  <c r="CB88" i="115"/>
  <c r="CB65" i="115"/>
  <c r="CB17" i="115"/>
  <c r="CB75" i="115"/>
  <c r="CB10" i="115"/>
  <c r="CB12" i="115"/>
  <c r="CB8" i="115"/>
  <c r="CB79" i="115"/>
  <c r="CB68" i="115"/>
  <c r="CB11" i="115"/>
  <c r="CB95" i="115"/>
  <c r="CB78" i="115"/>
  <c r="CB67" i="115"/>
  <c r="CB73" i="115"/>
  <c r="CB32" i="115"/>
  <c r="CB35" i="115"/>
  <c r="CB34" i="115"/>
  <c r="CB14" i="115"/>
  <c r="CB86" i="115"/>
  <c r="CB16" i="115"/>
  <c r="CB25" i="115"/>
  <c r="CB27" i="115"/>
  <c r="CB13" i="115"/>
  <c r="CB29" i="115"/>
  <c r="CB99" i="115"/>
  <c r="CB97" i="115"/>
  <c r="CB42" i="115"/>
  <c r="CB77" i="115"/>
  <c r="CB94" i="115"/>
  <c r="CB24" i="115"/>
  <c r="CB30" i="115"/>
  <c r="CB38" i="115"/>
  <c r="CB89" i="115"/>
  <c r="CB72" i="115"/>
  <c r="CB15" i="115"/>
  <c r="CB90" i="115"/>
  <c r="CC4" i="115"/>
  <c r="CB71" i="115"/>
  <c r="CB60" i="115" l="1"/>
  <c r="CC105" i="115"/>
  <c r="CC101" i="115"/>
  <c r="CC106" i="115"/>
  <c r="CC104" i="115"/>
  <c r="CC103" i="115"/>
  <c r="CC102" i="115"/>
  <c r="H60" i="115"/>
  <c r="L60" i="115" s="1"/>
  <c r="J59" i="115"/>
  <c r="CC93" i="115"/>
  <c r="CC9" i="115"/>
  <c r="CC66" i="115"/>
  <c r="CC67" i="115"/>
  <c r="CC19" i="115"/>
  <c r="CC83" i="115"/>
  <c r="CC40" i="115"/>
  <c r="CC34" i="115"/>
  <c r="CC13" i="115"/>
  <c r="CC91" i="115"/>
  <c r="CC96" i="115"/>
  <c r="CC89" i="115"/>
  <c r="CC32" i="115"/>
  <c r="CC97" i="115"/>
  <c r="CC98" i="115"/>
  <c r="CC42" i="115"/>
  <c r="CC72" i="115"/>
  <c r="CC65" i="115"/>
  <c r="CC79" i="115"/>
  <c r="CC82" i="115"/>
  <c r="CC35" i="115"/>
  <c r="CC70" i="115"/>
  <c r="CC68" i="115"/>
  <c r="CC24" i="115"/>
  <c r="CC73" i="115"/>
  <c r="CC7" i="115"/>
  <c r="CC78" i="115"/>
  <c r="CC26" i="115"/>
  <c r="CC69" i="115"/>
  <c r="CC74" i="115"/>
  <c r="CC85" i="115"/>
  <c r="CC27" i="115"/>
  <c r="CC41" i="115"/>
  <c r="CC39" i="115"/>
  <c r="CC25" i="115"/>
  <c r="CC23" i="115"/>
  <c r="CC95" i="115"/>
  <c r="CC100" i="115"/>
  <c r="CC31" i="115"/>
  <c r="CC90" i="115"/>
  <c r="CC99" i="115"/>
  <c r="CC22" i="115"/>
  <c r="CC36" i="115"/>
  <c r="CC11" i="115"/>
  <c r="CC87" i="115"/>
  <c r="CC18" i="115"/>
  <c r="CC29" i="115"/>
  <c r="CC86" i="115"/>
  <c r="CC17" i="115"/>
  <c r="CC21" i="115"/>
  <c r="CC81" i="115"/>
  <c r="CC92" i="115"/>
  <c r="CC20" i="115"/>
  <c r="CC33" i="115"/>
  <c r="CC38" i="115"/>
  <c r="CC12" i="115"/>
  <c r="CC14" i="115"/>
  <c r="CC94" i="115"/>
  <c r="CC77" i="115"/>
  <c r="CC30" i="115"/>
  <c r="CC16" i="115"/>
  <c r="CC84" i="115"/>
  <c r="CC10" i="115"/>
  <c r="CC28" i="115"/>
  <c r="CC5" i="115"/>
  <c r="CC88" i="115"/>
  <c r="CC8" i="115"/>
  <c r="CC37" i="115"/>
  <c r="CC76" i="115"/>
  <c r="CC15" i="115"/>
  <c r="CC80" i="115"/>
  <c r="CC75" i="115"/>
  <c r="CD4" i="115"/>
  <c r="CC71" i="115"/>
  <c r="CB2" i="115"/>
  <c r="CC60" i="115" l="1"/>
  <c r="CD105" i="115"/>
  <c r="CD106" i="115"/>
  <c r="CD101" i="115"/>
  <c r="CD104" i="115"/>
  <c r="CD103" i="115"/>
  <c r="CD102" i="115"/>
  <c r="J60" i="115"/>
  <c r="H61" i="115"/>
  <c r="L61" i="115" s="1"/>
  <c r="CC2" i="115"/>
  <c r="CD90" i="115"/>
  <c r="CD15" i="115"/>
  <c r="CD29" i="115"/>
  <c r="CD88" i="115"/>
  <c r="CD79" i="115"/>
  <c r="CD36" i="115"/>
  <c r="CD85" i="115"/>
  <c r="CD12" i="115"/>
  <c r="CD35" i="115"/>
  <c r="CD18" i="115"/>
  <c r="CD83" i="115"/>
  <c r="CD22" i="115"/>
  <c r="CD81" i="115"/>
  <c r="CD65" i="115"/>
  <c r="CD19" i="115"/>
  <c r="CD11" i="115"/>
  <c r="CD34" i="115"/>
  <c r="CD28" i="115"/>
  <c r="CD42" i="115"/>
  <c r="CD7" i="115"/>
  <c r="CD74" i="115"/>
  <c r="CD33" i="115"/>
  <c r="CD69" i="115"/>
  <c r="CD40" i="115"/>
  <c r="CD5" i="115"/>
  <c r="CD70" i="115"/>
  <c r="CD26" i="115"/>
  <c r="CD95" i="115"/>
  <c r="CD84" i="115"/>
  <c r="CD91" i="115"/>
  <c r="CD32" i="115"/>
  <c r="CD25" i="115"/>
  <c r="CD14" i="115"/>
  <c r="CD89" i="115"/>
  <c r="CD97" i="115"/>
  <c r="CD13" i="115"/>
  <c r="CD23" i="115"/>
  <c r="CD31" i="115"/>
  <c r="CD17" i="115"/>
  <c r="CD68" i="115"/>
  <c r="CD39" i="115"/>
  <c r="CD27" i="115"/>
  <c r="CD37" i="115"/>
  <c r="CD77" i="115"/>
  <c r="CD41" i="115"/>
  <c r="CD73" i="115"/>
  <c r="CD67" i="115"/>
  <c r="CD82" i="115"/>
  <c r="CD100" i="115"/>
  <c r="CD87" i="115"/>
  <c r="CD92" i="115"/>
  <c r="CD86" i="115"/>
  <c r="CD98" i="115"/>
  <c r="CD8" i="115"/>
  <c r="CD72" i="115"/>
  <c r="CD20" i="115"/>
  <c r="CD76" i="115"/>
  <c r="CD96" i="115"/>
  <c r="CD75" i="115"/>
  <c r="CD30" i="115"/>
  <c r="CD80" i="115"/>
  <c r="CD38" i="115"/>
  <c r="CD16" i="115"/>
  <c r="CD10" i="115"/>
  <c r="CD93" i="115"/>
  <c r="CD24" i="115"/>
  <c r="CD9" i="115"/>
  <c r="CD94" i="115"/>
  <c r="CD21" i="115"/>
  <c r="CD99" i="115"/>
  <c r="CD66" i="115"/>
  <c r="CD78" i="115"/>
  <c r="CE4" i="115"/>
  <c r="CD71" i="115"/>
  <c r="CD60" i="115" l="1"/>
  <c r="CE101" i="115"/>
  <c r="CE106" i="115"/>
  <c r="CE105" i="115"/>
  <c r="CE104" i="115"/>
  <c r="CE103" i="115"/>
  <c r="CE102" i="115"/>
  <c r="J61" i="115"/>
  <c r="H62" i="115"/>
  <c r="L62" i="115" s="1"/>
  <c r="CE41" i="115"/>
  <c r="CE74" i="115"/>
  <c r="CE30" i="115"/>
  <c r="CE73" i="115"/>
  <c r="CE95" i="115"/>
  <c r="CE98" i="115"/>
  <c r="CE10" i="115"/>
  <c r="CE72" i="115"/>
  <c r="CE99" i="115"/>
  <c r="CE18" i="115"/>
  <c r="CE84" i="115"/>
  <c r="CE70" i="115"/>
  <c r="CE8" i="115"/>
  <c r="CE15" i="115"/>
  <c r="CE21" i="115"/>
  <c r="CE80" i="115"/>
  <c r="CE81" i="115"/>
  <c r="CE82" i="115"/>
  <c r="CE83" i="115"/>
  <c r="CE32" i="115"/>
  <c r="CE25" i="115"/>
  <c r="CE9" i="115"/>
  <c r="CE7" i="115"/>
  <c r="CE76" i="115"/>
  <c r="CE66" i="115"/>
  <c r="CE31" i="115"/>
  <c r="CE33" i="115"/>
  <c r="CE42" i="115"/>
  <c r="CE26" i="115"/>
  <c r="CE89" i="115"/>
  <c r="CE36" i="115"/>
  <c r="CE38" i="115"/>
  <c r="CE13" i="115"/>
  <c r="CE68" i="115"/>
  <c r="CE100" i="115"/>
  <c r="CE5" i="115"/>
  <c r="CE40" i="115"/>
  <c r="CE78" i="115"/>
  <c r="CE23" i="115"/>
  <c r="CE34" i="115"/>
  <c r="CE96" i="115"/>
  <c r="CE67" i="115"/>
  <c r="CE69" i="115"/>
  <c r="CE94" i="115"/>
  <c r="CE19" i="115"/>
  <c r="CE16" i="115"/>
  <c r="CE79" i="115"/>
  <c r="CE86" i="115"/>
  <c r="CE11" i="115"/>
  <c r="CE97" i="115"/>
  <c r="CE24" i="115"/>
  <c r="CE27" i="115"/>
  <c r="CE29" i="115"/>
  <c r="CE87" i="115"/>
  <c r="CE28" i="115"/>
  <c r="CE88" i="115"/>
  <c r="CE93" i="115"/>
  <c r="CE35" i="115"/>
  <c r="CE75" i="115"/>
  <c r="CE22" i="115"/>
  <c r="CE39" i="115"/>
  <c r="CE90" i="115"/>
  <c r="CE85" i="115"/>
  <c r="CE14" i="115"/>
  <c r="CE17" i="115"/>
  <c r="CE37" i="115"/>
  <c r="CE12" i="115"/>
  <c r="CE77" i="115"/>
  <c r="CE20" i="115"/>
  <c r="CE91" i="115"/>
  <c r="CE65" i="115"/>
  <c r="CE92" i="115"/>
  <c r="CF4" i="115"/>
  <c r="CE71" i="115"/>
  <c r="CD2" i="115"/>
  <c r="CE60" i="115" l="1"/>
  <c r="CF105" i="115"/>
  <c r="CF106" i="115"/>
  <c r="CF101" i="115"/>
  <c r="CF104" i="115"/>
  <c r="CF103" i="115"/>
  <c r="CF102" i="115"/>
  <c r="H63" i="115"/>
  <c r="L63" i="115" s="1"/>
  <c r="J62" i="115"/>
  <c r="CE2" i="115"/>
  <c r="CF95" i="115"/>
  <c r="CF21" i="115"/>
  <c r="CF91" i="115"/>
  <c r="CF18" i="115"/>
  <c r="CF37" i="115"/>
  <c r="CF36" i="115"/>
  <c r="CF88" i="115"/>
  <c r="CF9" i="115"/>
  <c r="CF97" i="115"/>
  <c r="CF34" i="115"/>
  <c r="CF98" i="115"/>
  <c r="CF28" i="115"/>
  <c r="CF75" i="115"/>
  <c r="CF15" i="115"/>
  <c r="CF83" i="115"/>
  <c r="CF76" i="115"/>
  <c r="CF67" i="115"/>
  <c r="CF77" i="115"/>
  <c r="CF8" i="115"/>
  <c r="CF96" i="115"/>
  <c r="CF70" i="115"/>
  <c r="CF24" i="115"/>
  <c r="CF23" i="115"/>
  <c r="CF79" i="115"/>
  <c r="CF69" i="115"/>
  <c r="CF87" i="115"/>
  <c r="CF38" i="115"/>
  <c r="CF20" i="115"/>
  <c r="CF85" i="115"/>
  <c r="CF66" i="115"/>
  <c r="CF100" i="115"/>
  <c r="CF39" i="115"/>
  <c r="CF73" i="115"/>
  <c r="CF33" i="115"/>
  <c r="CF90" i="115"/>
  <c r="CF40" i="115"/>
  <c r="CF10" i="115"/>
  <c r="CF5" i="115"/>
  <c r="CF26" i="115"/>
  <c r="CF41" i="115"/>
  <c r="CF42" i="115"/>
  <c r="CF25" i="115"/>
  <c r="CF99" i="115"/>
  <c r="CF74" i="115"/>
  <c r="CF12" i="115"/>
  <c r="CF16" i="115"/>
  <c r="CF94" i="115"/>
  <c r="CF86" i="115"/>
  <c r="CF14" i="115"/>
  <c r="CF7" i="115"/>
  <c r="CF35" i="115"/>
  <c r="CF78" i="115"/>
  <c r="CF32" i="115"/>
  <c r="CF82" i="115"/>
  <c r="CF22" i="115"/>
  <c r="CF29" i="115"/>
  <c r="CF31" i="115"/>
  <c r="CF30" i="115"/>
  <c r="CF65" i="115"/>
  <c r="CF81" i="115"/>
  <c r="CF17" i="115"/>
  <c r="CF89" i="115"/>
  <c r="CF72" i="115"/>
  <c r="CF68" i="115"/>
  <c r="CF84" i="115"/>
  <c r="CF80" i="115"/>
  <c r="CF93" i="115"/>
  <c r="CF13" i="115"/>
  <c r="CF11" i="115"/>
  <c r="CF19" i="115"/>
  <c r="CF92" i="115"/>
  <c r="CF27" i="115"/>
  <c r="CG4" i="115"/>
  <c r="CF71" i="115"/>
  <c r="CF60" i="115" l="1"/>
  <c r="CG105" i="115"/>
  <c r="CG106" i="115"/>
  <c r="CG101" i="115"/>
  <c r="CG104" i="115"/>
  <c r="CG103" i="115"/>
  <c r="CG102" i="115"/>
  <c r="H64" i="115"/>
  <c r="L64" i="115" s="1"/>
  <c r="J63" i="115"/>
  <c r="CF2" i="115"/>
  <c r="CG8" i="115"/>
  <c r="CG74" i="115"/>
  <c r="CG72" i="115"/>
  <c r="CG99" i="115"/>
  <c r="CG82" i="115"/>
  <c r="CG95" i="115"/>
  <c r="CG100" i="115"/>
  <c r="CG26" i="115"/>
  <c r="CG40" i="115"/>
  <c r="CG32" i="115"/>
  <c r="CG93" i="115"/>
  <c r="CG89" i="115"/>
  <c r="CG88" i="115"/>
  <c r="CG38" i="115"/>
  <c r="CG90" i="115"/>
  <c r="CG86" i="115"/>
  <c r="CG37" i="115"/>
  <c r="CG29" i="115"/>
  <c r="CG78" i="115"/>
  <c r="CG98" i="115"/>
  <c r="CG69" i="115"/>
  <c r="CG75" i="115"/>
  <c r="CG33" i="115"/>
  <c r="CG92" i="115"/>
  <c r="CG41" i="115"/>
  <c r="CG17" i="115"/>
  <c r="CG21" i="115"/>
  <c r="CG30" i="115"/>
  <c r="CG84" i="115"/>
  <c r="CG76" i="115"/>
  <c r="CG67" i="115"/>
  <c r="CG22" i="115"/>
  <c r="CG85" i="115"/>
  <c r="CG87" i="115"/>
  <c r="CG91" i="115"/>
  <c r="CG19" i="115"/>
  <c r="CG34" i="115"/>
  <c r="CG36" i="115"/>
  <c r="CG16" i="115"/>
  <c r="CG13" i="115"/>
  <c r="CG10" i="115"/>
  <c r="CG68" i="115"/>
  <c r="CG31" i="115"/>
  <c r="CG83" i="115"/>
  <c r="CG24" i="115"/>
  <c r="CG9" i="115"/>
  <c r="CG5" i="115"/>
  <c r="CG42" i="115"/>
  <c r="CG73" i="115"/>
  <c r="CG20" i="115"/>
  <c r="CG79" i="115"/>
  <c r="CG7" i="115"/>
  <c r="CG39" i="115"/>
  <c r="CG35" i="115"/>
  <c r="CG80" i="115"/>
  <c r="CG11" i="115"/>
  <c r="CG25" i="115"/>
  <c r="CG15" i="115"/>
  <c r="CG28" i="115"/>
  <c r="CG23" i="115"/>
  <c r="CG27" i="115"/>
  <c r="CG70" i="115"/>
  <c r="CG66" i="115"/>
  <c r="CG97" i="115"/>
  <c r="CG94" i="115"/>
  <c r="CG81" i="115"/>
  <c r="CG65" i="115"/>
  <c r="CG14" i="115"/>
  <c r="CG18" i="115"/>
  <c r="CG12" i="115"/>
  <c r="CG96" i="115"/>
  <c r="CG77" i="115"/>
  <c r="CH4" i="115"/>
  <c r="CG71" i="115"/>
  <c r="CG60" i="115" l="1"/>
  <c r="CH106" i="115"/>
  <c r="CH105" i="115"/>
  <c r="CH101" i="115"/>
  <c r="CH104" i="115"/>
  <c r="CH103" i="115"/>
  <c r="CH102" i="115"/>
  <c r="H65" i="115"/>
  <c r="L65" i="115" s="1"/>
  <c r="J64" i="115"/>
  <c r="CG2" i="115"/>
  <c r="CH42" i="115"/>
  <c r="CH94" i="115"/>
  <c r="CH70" i="115"/>
  <c r="CH96" i="115"/>
  <c r="CH39" i="115"/>
  <c r="CH30" i="115"/>
  <c r="CH11" i="115"/>
  <c r="CH80" i="115"/>
  <c r="CH66" i="115"/>
  <c r="CH20" i="115"/>
  <c r="CH12" i="115"/>
  <c r="CH85" i="115"/>
  <c r="CH38" i="115"/>
  <c r="CH18" i="115"/>
  <c r="CH91" i="115"/>
  <c r="CH9" i="115"/>
  <c r="CH37" i="115"/>
  <c r="CH15" i="115"/>
  <c r="CH93" i="115"/>
  <c r="CH35" i="115"/>
  <c r="CH10" i="115"/>
  <c r="CH32" i="115"/>
  <c r="CH89" i="115"/>
  <c r="CH8" i="115"/>
  <c r="CH67" i="115"/>
  <c r="CH98" i="115"/>
  <c r="CH27" i="115"/>
  <c r="CH69" i="115"/>
  <c r="CH16" i="115"/>
  <c r="CH76" i="115"/>
  <c r="CH26" i="115"/>
  <c r="CH74" i="115"/>
  <c r="CH78" i="115"/>
  <c r="CH68" i="115"/>
  <c r="CH88" i="115"/>
  <c r="CH34" i="115"/>
  <c r="CH29" i="115"/>
  <c r="CH86" i="115"/>
  <c r="CH31" i="115"/>
  <c r="CH41" i="115"/>
  <c r="CH100" i="115"/>
  <c r="CH22" i="115"/>
  <c r="CH65" i="115"/>
  <c r="CH21" i="115"/>
  <c r="CH87" i="115"/>
  <c r="CH83" i="115"/>
  <c r="CH75" i="115"/>
  <c r="CH95" i="115"/>
  <c r="CH7" i="115"/>
  <c r="CH14" i="115"/>
  <c r="CH24" i="115"/>
  <c r="CH28" i="115"/>
  <c r="CH13" i="115"/>
  <c r="CH97" i="115"/>
  <c r="CH33" i="115"/>
  <c r="CH81" i="115"/>
  <c r="CH5" i="115"/>
  <c r="CH79" i="115"/>
  <c r="CH19" i="115"/>
  <c r="CH82" i="115"/>
  <c r="CH84" i="115"/>
  <c r="CH23" i="115"/>
  <c r="CH36" i="115"/>
  <c r="CH90" i="115"/>
  <c r="CH99" i="115"/>
  <c r="CH25" i="115"/>
  <c r="CH17" i="115"/>
  <c r="CH73" i="115"/>
  <c r="CH40" i="115"/>
  <c r="CH72" i="115"/>
  <c r="CH77" i="115"/>
  <c r="CH92" i="115"/>
  <c r="CI4" i="115"/>
  <c r="CH71" i="115"/>
  <c r="CH60" i="115" l="1"/>
  <c r="CI101" i="115"/>
  <c r="CI105" i="115"/>
  <c r="CI106" i="115"/>
  <c r="CI104" i="115"/>
  <c r="CI103" i="115"/>
  <c r="CI102" i="115"/>
  <c r="J65" i="115"/>
  <c r="H66" i="115"/>
  <c r="L66" i="115" s="1"/>
  <c r="CI20" i="115"/>
  <c r="CI7" i="115"/>
  <c r="CI89" i="115"/>
  <c r="CI97" i="115"/>
  <c r="CI13" i="115"/>
  <c r="CI27" i="115"/>
  <c r="CI72" i="115"/>
  <c r="CI15" i="115"/>
  <c r="CI17" i="115"/>
  <c r="CI23" i="115"/>
  <c r="CI70" i="115"/>
  <c r="CI21" i="115"/>
  <c r="CI96" i="115"/>
  <c r="CI9" i="115"/>
  <c r="CI31" i="115"/>
  <c r="CI95" i="115"/>
  <c r="CI16" i="115"/>
  <c r="CI34" i="115"/>
  <c r="CI69" i="115"/>
  <c r="CI74" i="115"/>
  <c r="CI10" i="115"/>
  <c r="CI85" i="115"/>
  <c r="CI81" i="115"/>
  <c r="CI30" i="115"/>
  <c r="CI28" i="115"/>
  <c r="CI8" i="115"/>
  <c r="CI93" i="115"/>
  <c r="CI90" i="115"/>
  <c r="CI65" i="115"/>
  <c r="CI12" i="115"/>
  <c r="CI88" i="115"/>
  <c r="CI73" i="115"/>
  <c r="CI83" i="115"/>
  <c r="CI91" i="115"/>
  <c r="CI79" i="115"/>
  <c r="CI40" i="115"/>
  <c r="CI29" i="115"/>
  <c r="CI14" i="115"/>
  <c r="CI37" i="115"/>
  <c r="CI94" i="115"/>
  <c r="CI22" i="115"/>
  <c r="CI41" i="115"/>
  <c r="CI18" i="115"/>
  <c r="CI67" i="115"/>
  <c r="CI42" i="115"/>
  <c r="CI32" i="115"/>
  <c r="CI38" i="115"/>
  <c r="CI66" i="115"/>
  <c r="CI92" i="115"/>
  <c r="CI76" i="115"/>
  <c r="CI82" i="115"/>
  <c r="CI98" i="115"/>
  <c r="CI68" i="115"/>
  <c r="CI84" i="115"/>
  <c r="CI35" i="115"/>
  <c r="CI77" i="115"/>
  <c r="CI25" i="115"/>
  <c r="CI24" i="115"/>
  <c r="CI75" i="115"/>
  <c r="CI87" i="115"/>
  <c r="CI5" i="115"/>
  <c r="CI86" i="115"/>
  <c r="CI78" i="115"/>
  <c r="CI39" i="115"/>
  <c r="CI80" i="115"/>
  <c r="CI36" i="115"/>
  <c r="CI11" i="115"/>
  <c r="CI19" i="115"/>
  <c r="CI26" i="115"/>
  <c r="CI33" i="115"/>
  <c r="CI99" i="115"/>
  <c r="CI100" i="115"/>
  <c r="CJ4" i="115"/>
  <c r="CI71" i="115"/>
  <c r="CH2" i="115"/>
  <c r="CI60" i="115" l="1"/>
  <c r="CJ105" i="115"/>
  <c r="CJ106" i="115"/>
  <c r="CJ101" i="115"/>
  <c r="CJ104" i="115"/>
  <c r="CJ103" i="115"/>
  <c r="CJ102" i="115"/>
  <c r="J66" i="115"/>
  <c r="H67" i="115"/>
  <c r="L67" i="115" s="1"/>
  <c r="CI2" i="115"/>
  <c r="CJ99" i="115"/>
  <c r="CJ5" i="115"/>
  <c r="CJ76" i="115"/>
  <c r="CJ12" i="115"/>
  <c r="CJ74" i="115"/>
  <c r="CJ79" i="115"/>
  <c r="CJ70" i="115"/>
  <c r="CJ9" i="115"/>
  <c r="CJ34" i="115"/>
  <c r="CJ84" i="115"/>
  <c r="CJ91" i="115"/>
  <c r="CJ87" i="115"/>
  <c r="CJ25" i="115"/>
  <c r="CJ97" i="115"/>
  <c r="CJ31" i="115"/>
  <c r="CJ26" i="115"/>
  <c r="CJ95" i="115"/>
  <c r="CJ69" i="115"/>
  <c r="CJ27" i="115"/>
  <c r="CJ15" i="115"/>
  <c r="CJ65" i="115"/>
  <c r="CJ85" i="115"/>
  <c r="CJ40" i="115"/>
  <c r="CJ10" i="115"/>
  <c r="CJ68" i="115"/>
  <c r="CJ17" i="115"/>
  <c r="CJ89" i="115"/>
  <c r="CJ88" i="115"/>
  <c r="CJ66" i="115"/>
  <c r="CJ35" i="115"/>
  <c r="CJ80" i="115"/>
  <c r="CJ72" i="115"/>
  <c r="CJ22" i="115"/>
  <c r="CJ42" i="115"/>
  <c r="CJ92" i="115"/>
  <c r="CJ33" i="115"/>
  <c r="CJ90" i="115"/>
  <c r="CJ93" i="115"/>
  <c r="CJ78" i="115"/>
  <c r="CJ13" i="115"/>
  <c r="CJ32" i="115"/>
  <c r="CJ82" i="115"/>
  <c r="CJ20" i="115"/>
  <c r="CJ18" i="115"/>
  <c r="CJ83" i="115"/>
  <c r="CJ16" i="115"/>
  <c r="CJ28" i="115"/>
  <c r="CJ100" i="115"/>
  <c r="CJ67" i="115"/>
  <c r="CJ8" i="115"/>
  <c r="CJ23" i="115"/>
  <c r="CJ39" i="115"/>
  <c r="CJ38" i="115"/>
  <c r="CJ29" i="115"/>
  <c r="CJ7" i="115"/>
  <c r="CJ14" i="115"/>
  <c r="CJ98" i="115"/>
  <c r="CJ11" i="115"/>
  <c r="CJ41" i="115"/>
  <c r="CJ19" i="115"/>
  <c r="CJ86" i="115"/>
  <c r="CJ73" i="115"/>
  <c r="CJ94" i="115"/>
  <c r="CJ24" i="115"/>
  <c r="CJ37" i="115"/>
  <c r="CJ36" i="115"/>
  <c r="CJ30" i="115"/>
  <c r="CJ75" i="115"/>
  <c r="CJ96" i="115"/>
  <c r="CJ77" i="115"/>
  <c r="CJ21" i="115"/>
  <c r="CJ81" i="115"/>
  <c r="CK4" i="115"/>
  <c r="CJ71" i="115"/>
  <c r="CJ60" i="115" l="1"/>
  <c r="CK106" i="115"/>
  <c r="CK101" i="115"/>
  <c r="CK105" i="115"/>
  <c r="CK104" i="115"/>
  <c r="CK103" i="115"/>
  <c r="CK102" i="115"/>
  <c r="H68" i="115"/>
  <c r="L68" i="115" s="1"/>
  <c r="J67" i="115"/>
  <c r="CK16" i="115"/>
  <c r="CK35" i="115"/>
  <c r="CK86" i="115"/>
  <c r="CK21" i="115"/>
  <c r="CK72" i="115"/>
  <c r="CK67" i="115"/>
  <c r="CK30" i="115"/>
  <c r="CK11" i="115"/>
  <c r="CK36" i="115"/>
  <c r="CK8" i="115"/>
  <c r="CK13" i="115"/>
  <c r="CK34" i="115"/>
  <c r="CK78" i="115"/>
  <c r="CK68" i="115"/>
  <c r="CK81" i="115"/>
  <c r="CK31" i="115"/>
  <c r="CK14" i="115"/>
  <c r="CK27" i="115"/>
  <c r="CK82" i="115"/>
  <c r="CK23" i="115"/>
  <c r="CK24" i="115"/>
  <c r="CK10" i="115"/>
  <c r="CK76" i="115"/>
  <c r="CK17" i="115"/>
  <c r="CK32" i="115"/>
  <c r="CK66" i="115"/>
  <c r="CK40" i="115"/>
  <c r="CK91" i="115"/>
  <c r="CK99" i="115"/>
  <c r="CK75" i="115"/>
  <c r="CK37" i="115"/>
  <c r="CK74" i="115"/>
  <c r="CK89" i="115"/>
  <c r="CK7" i="115"/>
  <c r="CK98" i="115"/>
  <c r="CK65" i="115"/>
  <c r="CK38" i="115"/>
  <c r="CK26" i="115"/>
  <c r="CK20" i="115"/>
  <c r="CK84" i="115"/>
  <c r="CK41" i="115"/>
  <c r="CK28" i="115"/>
  <c r="CK42" i="115"/>
  <c r="CK87" i="115"/>
  <c r="CK90" i="115"/>
  <c r="CK15" i="115"/>
  <c r="CK80" i="115"/>
  <c r="CK77" i="115"/>
  <c r="CK94" i="115"/>
  <c r="CK97" i="115"/>
  <c r="CK29" i="115"/>
  <c r="CK92" i="115"/>
  <c r="CK69" i="115"/>
  <c r="CK85" i="115"/>
  <c r="CK33" i="115"/>
  <c r="CK19" i="115"/>
  <c r="CK12" i="115"/>
  <c r="CK100" i="115"/>
  <c r="CK79" i="115"/>
  <c r="CK88" i="115"/>
  <c r="CK9" i="115"/>
  <c r="CK83" i="115"/>
  <c r="CK18" i="115"/>
  <c r="CK96" i="115"/>
  <c r="CK95" i="115"/>
  <c r="CK22" i="115"/>
  <c r="CK5" i="115"/>
  <c r="CK25" i="115"/>
  <c r="CK39" i="115"/>
  <c r="CK93" i="115"/>
  <c r="CK70" i="115"/>
  <c r="CK73" i="115"/>
  <c r="CL4" i="115"/>
  <c r="CK71" i="115"/>
  <c r="CJ2" i="115"/>
  <c r="CK60" i="115" l="1"/>
  <c r="CL105" i="115"/>
  <c r="CL106" i="115"/>
  <c r="CL101" i="115"/>
  <c r="CL104" i="115"/>
  <c r="CL103" i="115"/>
  <c r="CL102" i="115"/>
  <c r="J68" i="115"/>
  <c r="H69" i="115"/>
  <c r="L69" i="115" s="1"/>
  <c r="CK2" i="115"/>
  <c r="CL30" i="115"/>
  <c r="CL13" i="115"/>
  <c r="CL34" i="115"/>
  <c r="CL69" i="115"/>
  <c r="CL42" i="115"/>
  <c r="CL14" i="115"/>
  <c r="CL21" i="115"/>
  <c r="CL97" i="115"/>
  <c r="CL100" i="115"/>
  <c r="CL15" i="115"/>
  <c r="CL85" i="115"/>
  <c r="CL99" i="115"/>
  <c r="CL77" i="115"/>
  <c r="CL12" i="115"/>
  <c r="CL27" i="115"/>
  <c r="CL84" i="115"/>
  <c r="CL16" i="115"/>
  <c r="CL32" i="115"/>
  <c r="CL72" i="115"/>
  <c r="CL40" i="115"/>
  <c r="CL26" i="115"/>
  <c r="CL95" i="115"/>
  <c r="CL98" i="115"/>
  <c r="CL65" i="115"/>
  <c r="CL20" i="115"/>
  <c r="CL38" i="115"/>
  <c r="CL79" i="115"/>
  <c r="CL29" i="115"/>
  <c r="CL36" i="115"/>
  <c r="CL5" i="115"/>
  <c r="CL96" i="115"/>
  <c r="CL66" i="115"/>
  <c r="CL11" i="115"/>
  <c r="CL75" i="115"/>
  <c r="CL80" i="115"/>
  <c r="CL41" i="115"/>
  <c r="CL25" i="115"/>
  <c r="CL31" i="115"/>
  <c r="CL93" i="115"/>
  <c r="CL90" i="115"/>
  <c r="CL87" i="115"/>
  <c r="CL18" i="115"/>
  <c r="CL37" i="115"/>
  <c r="CL78" i="115"/>
  <c r="CL23" i="115"/>
  <c r="CL92" i="115"/>
  <c r="CL88" i="115"/>
  <c r="CL73" i="115"/>
  <c r="CL9" i="115"/>
  <c r="CL17" i="115"/>
  <c r="CL39" i="115"/>
  <c r="CL81" i="115"/>
  <c r="CL68" i="115"/>
  <c r="CL70" i="115"/>
  <c r="CL91" i="115"/>
  <c r="CL10" i="115"/>
  <c r="CL24" i="115"/>
  <c r="CL74" i="115"/>
  <c r="CL94" i="115"/>
  <c r="CL35" i="115"/>
  <c r="CL8" i="115"/>
  <c r="CL28" i="115"/>
  <c r="CL76" i="115"/>
  <c r="CL86" i="115"/>
  <c r="CL33" i="115"/>
  <c r="CL89" i="115"/>
  <c r="CL67" i="115"/>
  <c r="CL82" i="115"/>
  <c r="CL7" i="115"/>
  <c r="CL19" i="115"/>
  <c r="CL83" i="115"/>
  <c r="CL22" i="115"/>
  <c r="CM4" i="115"/>
  <c r="CL71" i="115"/>
  <c r="CL60" i="115" l="1"/>
  <c r="CM101" i="115"/>
  <c r="CM106" i="115"/>
  <c r="CM105" i="115"/>
  <c r="CM104" i="115"/>
  <c r="CM103" i="115"/>
  <c r="CM102" i="115"/>
  <c r="J69" i="115"/>
  <c r="H70" i="115"/>
  <c r="L70" i="115" s="1"/>
  <c r="CM7" i="115"/>
  <c r="CM35" i="115"/>
  <c r="CM100" i="115"/>
  <c r="CM66" i="115"/>
  <c r="CM79" i="115"/>
  <c r="CM32" i="115"/>
  <c r="CM76" i="115"/>
  <c r="CM17" i="115"/>
  <c r="CM11" i="115"/>
  <c r="CM97" i="115"/>
  <c r="CM68" i="115"/>
  <c r="CM21" i="115"/>
  <c r="CM82" i="115"/>
  <c r="CM10" i="115"/>
  <c r="CM8" i="115"/>
  <c r="CM74" i="115"/>
  <c r="CM42" i="115"/>
  <c r="CM89" i="115"/>
  <c r="CM9" i="115"/>
  <c r="CM34" i="115"/>
  <c r="CM30" i="115"/>
  <c r="CM99" i="115"/>
  <c r="CM31" i="115"/>
  <c r="CM81" i="115"/>
  <c r="CM41" i="115"/>
  <c r="CM72" i="115"/>
  <c r="CM80" i="115"/>
  <c r="CM75" i="115"/>
  <c r="CM36" i="115"/>
  <c r="CM22" i="115"/>
  <c r="CM24" i="115"/>
  <c r="CM23" i="115"/>
  <c r="CM78" i="115"/>
  <c r="CM77" i="115"/>
  <c r="CM84" i="115"/>
  <c r="CM92" i="115"/>
  <c r="CM20" i="115"/>
  <c r="CM96" i="115"/>
  <c r="CM26" i="115"/>
  <c r="CM85" i="115"/>
  <c r="CM18" i="115"/>
  <c r="CM16" i="115"/>
  <c r="CM87" i="115"/>
  <c r="CM27" i="115"/>
  <c r="CM88" i="115"/>
  <c r="CM13" i="115"/>
  <c r="CM40" i="115"/>
  <c r="CM39" i="115"/>
  <c r="CM15" i="115"/>
  <c r="CM5" i="115"/>
  <c r="CM29" i="115"/>
  <c r="CM98" i="115"/>
  <c r="CM94" i="115"/>
  <c r="CM37" i="115"/>
  <c r="CM28" i="115"/>
  <c r="CM95" i="115"/>
  <c r="CM91" i="115"/>
  <c r="CM90" i="115"/>
  <c r="CM12" i="115"/>
  <c r="CM14" i="115"/>
  <c r="CM83" i="115"/>
  <c r="CM69" i="115"/>
  <c r="CM19" i="115"/>
  <c r="CM93" i="115"/>
  <c r="CM25" i="115"/>
  <c r="CM70" i="115"/>
  <c r="CM73" i="115"/>
  <c r="CM65" i="115"/>
  <c r="CM33" i="115"/>
  <c r="CM86" i="115"/>
  <c r="CM38" i="115"/>
  <c r="CM67" i="115"/>
  <c r="CN4" i="115"/>
  <c r="CM71" i="115"/>
  <c r="CL2" i="115"/>
  <c r="CM60" i="115" l="1"/>
  <c r="CN101" i="115"/>
  <c r="CN106" i="115"/>
  <c r="CN105" i="115"/>
  <c r="CN104" i="115"/>
  <c r="CN103" i="115"/>
  <c r="CN102" i="115"/>
  <c r="H71" i="115"/>
  <c r="L71" i="115" s="1"/>
  <c r="J70" i="115"/>
  <c r="CN13" i="115"/>
  <c r="CN79" i="115"/>
  <c r="CN35" i="115"/>
  <c r="CN87" i="115"/>
  <c r="CN92" i="115"/>
  <c r="CN94" i="115"/>
  <c r="CN83" i="115"/>
  <c r="CN85" i="115"/>
  <c r="CN73" i="115"/>
  <c r="CN38" i="115"/>
  <c r="CN23" i="115"/>
  <c r="CN24" i="115"/>
  <c r="CN66" i="115"/>
  <c r="CN8" i="115"/>
  <c r="CN69" i="115"/>
  <c r="CN30" i="115"/>
  <c r="CN88" i="115"/>
  <c r="CN27" i="115"/>
  <c r="CN14" i="115"/>
  <c r="CN76" i="115"/>
  <c r="CN11" i="115"/>
  <c r="CN42" i="115"/>
  <c r="CN16" i="115"/>
  <c r="CN20" i="115"/>
  <c r="CN32" i="115"/>
  <c r="CN22" i="115"/>
  <c r="CN36" i="115"/>
  <c r="CN84" i="115"/>
  <c r="CN65" i="115"/>
  <c r="CN9" i="115"/>
  <c r="CN81" i="115"/>
  <c r="CN67" i="115"/>
  <c r="CN5" i="115"/>
  <c r="CN93" i="115"/>
  <c r="CN82" i="115"/>
  <c r="CN7" i="115"/>
  <c r="CN100" i="115"/>
  <c r="CN31" i="115"/>
  <c r="CN15" i="115"/>
  <c r="CN21" i="115"/>
  <c r="CN26" i="115"/>
  <c r="CN10" i="115"/>
  <c r="CN12" i="115"/>
  <c r="CN33" i="115"/>
  <c r="CN41" i="115"/>
  <c r="CN37" i="115"/>
  <c r="CN96" i="115"/>
  <c r="CN17" i="115"/>
  <c r="CN39" i="115"/>
  <c r="CN74" i="115"/>
  <c r="CN86" i="115"/>
  <c r="CN70" i="115"/>
  <c r="CN19" i="115"/>
  <c r="CN72" i="115"/>
  <c r="CN78" i="115"/>
  <c r="CN80" i="115"/>
  <c r="CN77" i="115"/>
  <c r="CN25" i="115"/>
  <c r="CN89" i="115"/>
  <c r="CN99" i="115"/>
  <c r="CN28" i="115"/>
  <c r="CN91" i="115"/>
  <c r="CN18" i="115"/>
  <c r="CN95" i="115"/>
  <c r="CN90" i="115"/>
  <c r="CN34" i="115"/>
  <c r="CN40" i="115"/>
  <c r="CN97" i="115"/>
  <c r="CN98" i="115"/>
  <c r="CN68" i="115"/>
  <c r="CN75" i="115"/>
  <c r="CN29" i="115"/>
  <c r="CO4" i="115"/>
  <c r="CN71" i="115"/>
  <c r="CM2" i="115"/>
  <c r="CN60" i="115" l="1"/>
  <c r="CO106" i="115"/>
  <c r="CO105" i="115"/>
  <c r="CO101" i="115"/>
  <c r="CO104" i="115"/>
  <c r="CO103" i="115"/>
  <c r="CO102" i="115"/>
  <c r="H72" i="115"/>
  <c r="L72" i="115" s="1"/>
  <c r="J71" i="115"/>
  <c r="CN2" i="115"/>
  <c r="CO91" i="115"/>
  <c r="CO89" i="115"/>
  <c r="CO88" i="115"/>
  <c r="CO99" i="115"/>
  <c r="CO93" i="115"/>
  <c r="CO97" i="115"/>
  <c r="CO23" i="115"/>
  <c r="CO78" i="115"/>
  <c r="CO33" i="115"/>
  <c r="CO40" i="115"/>
  <c r="CO14" i="115"/>
  <c r="CO98" i="115"/>
  <c r="CO77" i="115"/>
  <c r="CO5" i="115"/>
  <c r="CO25" i="115"/>
  <c r="CO80" i="115"/>
  <c r="CO70" i="115"/>
  <c r="CO73" i="115"/>
  <c r="CO39" i="115"/>
  <c r="CO83" i="115"/>
  <c r="CO31" i="115"/>
  <c r="CO76" i="115"/>
  <c r="CO32" i="115"/>
  <c r="CO18" i="115"/>
  <c r="CO12" i="115"/>
  <c r="CO81" i="115"/>
  <c r="CO85" i="115"/>
  <c r="CO100" i="115"/>
  <c r="CO30" i="115"/>
  <c r="CO66" i="115"/>
  <c r="CO16" i="115"/>
  <c r="CO29" i="115"/>
  <c r="CO92" i="115"/>
  <c r="CO7" i="115"/>
  <c r="CO42" i="115"/>
  <c r="CO22" i="115"/>
  <c r="CO13" i="115"/>
  <c r="CO20" i="115"/>
  <c r="CO74" i="115"/>
  <c r="CO65" i="115"/>
  <c r="CO79" i="115"/>
  <c r="CO75" i="115"/>
  <c r="CO84" i="115"/>
  <c r="CO36" i="115"/>
  <c r="CO38" i="115"/>
  <c r="CO17" i="115"/>
  <c r="CO94" i="115"/>
  <c r="CO9" i="115"/>
  <c r="CO26" i="115"/>
  <c r="CO15" i="115"/>
  <c r="CO19" i="115"/>
  <c r="CO28" i="115"/>
  <c r="CO24" i="115"/>
  <c r="CO27" i="115"/>
  <c r="CO8" i="115"/>
  <c r="CO82" i="115"/>
  <c r="CO95" i="115"/>
  <c r="CO86" i="115"/>
  <c r="CO72" i="115"/>
  <c r="CO90" i="115"/>
  <c r="CO67" i="115"/>
  <c r="CO96" i="115"/>
  <c r="CO41" i="115"/>
  <c r="CO21" i="115"/>
  <c r="CO10" i="115"/>
  <c r="CO69" i="115"/>
  <c r="CO68" i="115"/>
  <c r="CO34" i="115"/>
  <c r="CO11" i="115"/>
  <c r="CO87" i="115"/>
  <c r="CO35" i="115"/>
  <c r="CO37" i="115"/>
  <c r="CP4" i="115"/>
  <c r="CO71" i="115"/>
  <c r="CO60" i="115" l="1"/>
  <c r="CP101" i="115"/>
  <c r="CP106" i="115"/>
  <c r="CP105" i="115"/>
  <c r="CP104" i="115"/>
  <c r="CP103" i="115"/>
  <c r="CP102" i="115"/>
  <c r="J72" i="115"/>
  <c r="H73" i="115"/>
  <c r="L73" i="115" s="1"/>
  <c r="CO2" i="115"/>
  <c r="CP86" i="115"/>
  <c r="CP24" i="115"/>
  <c r="CP13" i="115"/>
  <c r="CP75" i="115"/>
  <c r="CP81" i="115"/>
  <c r="CP70" i="115"/>
  <c r="CP78" i="115"/>
  <c r="CP89" i="115"/>
  <c r="CP31" i="115"/>
  <c r="CP97" i="115"/>
  <c r="CP82" i="115"/>
  <c r="CP22" i="115"/>
  <c r="CP99" i="115"/>
  <c r="CP20" i="115"/>
  <c r="CP27" i="115"/>
  <c r="CP40" i="115"/>
  <c r="CP90" i="115"/>
  <c r="CP11" i="115"/>
  <c r="CP84" i="115"/>
  <c r="CP16" i="115"/>
  <c r="CP29" i="115"/>
  <c r="CP66" i="115"/>
  <c r="CP8" i="115"/>
  <c r="CP36" i="115"/>
  <c r="CP94" i="115"/>
  <c r="CP28" i="115"/>
  <c r="CP9" i="115"/>
  <c r="CP32" i="115"/>
  <c r="CP69" i="115"/>
  <c r="CP100" i="115"/>
  <c r="CP38" i="115"/>
  <c r="CP73" i="115"/>
  <c r="CP14" i="115"/>
  <c r="CP17" i="115"/>
  <c r="CP23" i="115"/>
  <c r="CP88" i="115"/>
  <c r="CP68" i="115"/>
  <c r="CP95" i="115"/>
  <c r="CP39" i="115"/>
  <c r="CP5" i="115"/>
  <c r="CP83" i="115"/>
  <c r="CP41" i="115"/>
  <c r="CP79" i="115"/>
  <c r="CP15" i="115"/>
  <c r="CP72" i="115"/>
  <c r="CP7" i="115"/>
  <c r="CP91" i="115"/>
  <c r="CP18" i="115"/>
  <c r="CP85" i="115"/>
  <c r="CP33" i="115"/>
  <c r="CP76" i="115"/>
  <c r="CP21" i="115"/>
  <c r="CP42" i="115"/>
  <c r="CP35" i="115"/>
  <c r="CP10" i="115"/>
  <c r="CP26" i="115"/>
  <c r="CP30" i="115"/>
  <c r="CP87" i="115"/>
  <c r="CP80" i="115"/>
  <c r="CP67" i="115"/>
  <c r="CP25" i="115"/>
  <c r="CP93" i="115"/>
  <c r="CP92" i="115"/>
  <c r="CP37" i="115"/>
  <c r="CP34" i="115"/>
  <c r="CP19" i="115"/>
  <c r="CP74" i="115"/>
  <c r="CP96" i="115"/>
  <c r="CP12" i="115"/>
  <c r="CP98" i="115"/>
  <c r="CP65" i="115"/>
  <c r="CP77" i="115"/>
  <c r="CQ4" i="115"/>
  <c r="CP71" i="115"/>
  <c r="CP60" i="115" l="1"/>
  <c r="CQ105" i="115"/>
  <c r="CQ101" i="115"/>
  <c r="CQ106" i="115"/>
  <c r="CQ104" i="115"/>
  <c r="CQ103" i="115"/>
  <c r="CQ102" i="115"/>
  <c r="J73" i="115"/>
  <c r="H74" i="115"/>
  <c r="L74" i="115" s="1"/>
  <c r="CQ17" i="115"/>
  <c r="CQ65" i="115"/>
  <c r="CQ84" i="115"/>
  <c r="CQ22" i="115"/>
  <c r="CQ87" i="115"/>
  <c r="CQ30" i="115"/>
  <c r="CQ32" i="115"/>
  <c r="CQ82" i="115"/>
  <c r="CQ94" i="115"/>
  <c r="CQ81" i="115"/>
  <c r="CQ15" i="115"/>
  <c r="CQ24" i="115"/>
  <c r="CQ68" i="115"/>
  <c r="CQ10" i="115"/>
  <c r="CQ14" i="115"/>
  <c r="CQ99" i="115"/>
  <c r="CQ18" i="115"/>
  <c r="CQ80" i="115"/>
  <c r="CQ8" i="115"/>
  <c r="CQ66" i="115"/>
  <c r="CQ5" i="115"/>
  <c r="CQ96" i="115"/>
  <c r="CQ33" i="115"/>
  <c r="CQ9" i="115"/>
  <c r="CQ26" i="115"/>
  <c r="CQ95" i="115"/>
  <c r="CQ98" i="115"/>
  <c r="CQ21" i="115"/>
  <c r="CQ93" i="115"/>
  <c r="CQ85" i="115"/>
  <c r="CQ27" i="115"/>
  <c r="CQ31" i="115"/>
  <c r="CQ100" i="115"/>
  <c r="CQ29" i="115"/>
  <c r="CQ73" i="115"/>
  <c r="CQ69" i="115"/>
  <c r="CQ38" i="115"/>
  <c r="CQ88" i="115"/>
  <c r="CQ97" i="115"/>
  <c r="CQ36" i="115"/>
  <c r="CQ28" i="115"/>
  <c r="CQ42" i="115"/>
  <c r="CQ35" i="115"/>
  <c r="CQ23" i="115"/>
  <c r="CQ79" i="115"/>
  <c r="CQ37" i="115"/>
  <c r="CQ13" i="115"/>
  <c r="CQ74" i="115"/>
  <c r="CQ34" i="115"/>
  <c r="CQ20" i="115"/>
  <c r="CQ92" i="115"/>
  <c r="CQ90" i="115"/>
  <c r="CQ16" i="115"/>
  <c r="CQ72" i="115"/>
  <c r="CQ76" i="115"/>
  <c r="CQ70" i="115"/>
  <c r="CQ12" i="115"/>
  <c r="CQ83" i="115"/>
  <c r="CQ67" i="115"/>
  <c r="CQ41" i="115"/>
  <c r="CQ39" i="115"/>
  <c r="CQ86" i="115"/>
  <c r="CQ25" i="115"/>
  <c r="CQ7" i="115"/>
  <c r="CQ77" i="115"/>
  <c r="CQ91" i="115"/>
  <c r="CQ89" i="115"/>
  <c r="CQ78" i="115"/>
  <c r="CQ75" i="115"/>
  <c r="CQ19" i="115"/>
  <c r="CQ40" i="115"/>
  <c r="CQ11" i="115"/>
  <c r="CR4" i="115"/>
  <c r="CQ71" i="115"/>
  <c r="CP2" i="115"/>
  <c r="CQ60" i="115" l="1"/>
  <c r="CR106" i="115"/>
  <c r="CR105" i="115"/>
  <c r="CR101" i="115"/>
  <c r="CR104" i="115"/>
  <c r="CR103" i="115"/>
  <c r="CR102" i="115"/>
  <c r="J74" i="115"/>
  <c r="H75" i="115"/>
  <c r="L75" i="115" s="1"/>
  <c r="CQ2" i="115"/>
  <c r="CR95" i="115"/>
  <c r="CR97" i="115"/>
  <c r="CR36" i="115"/>
  <c r="CR98" i="115"/>
  <c r="CR78" i="115"/>
  <c r="CR17" i="115"/>
  <c r="CR92" i="115"/>
  <c r="CR65" i="115"/>
  <c r="CR12" i="115"/>
  <c r="CR69" i="115"/>
  <c r="CR68" i="115"/>
  <c r="CR76" i="115"/>
  <c r="CR67" i="115"/>
  <c r="CR66" i="115"/>
  <c r="CR85" i="115"/>
  <c r="CR8" i="115"/>
  <c r="CR25" i="115"/>
  <c r="CR35" i="115"/>
  <c r="CR29" i="115"/>
  <c r="CR23" i="115"/>
  <c r="CR73" i="115"/>
  <c r="CR77" i="115"/>
  <c r="CR81" i="115"/>
  <c r="CR88" i="115"/>
  <c r="CR9" i="115"/>
  <c r="CR90" i="115"/>
  <c r="CR37" i="115"/>
  <c r="CR38" i="115"/>
  <c r="CR72" i="115"/>
  <c r="CR86" i="115"/>
  <c r="CR33" i="115"/>
  <c r="CR42" i="115"/>
  <c r="CR28" i="115"/>
  <c r="CR19" i="115"/>
  <c r="CR39" i="115"/>
  <c r="CR80" i="115"/>
  <c r="CR15" i="115"/>
  <c r="CR40" i="115"/>
  <c r="CR79" i="115"/>
  <c r="CR27" i="115"/>
  <c r="CR18" i="115"/>
  <c r="CR11" i="115"/>
  <c r="CR89" i="115"/>
  <c r="CR74" i="115"/>
  <c r="CR5" i="115"/>
  <c r="CR31" i="115"/>
  <c r="CR94" i="115"/>
  <c r="CR96" i="115"/>
  <c r="CR21" i="115"/>
  <c r="CR100" i="115"/>
  <c r="CR84" i="115"/>
  <c r="CR93" i="115"/>
  <c r="CR24" i="115"/>
  <c r="CR13" i="115"/>
  <c r="CR87" i="115"/>
  <c r="CR16" i="115"/>
  <c r="CR26" i="115"/>
  <c r="CR91" i="115"/>
  <c r="CR30" i="115"/>
  <c r="CR83" i="115"/>
  <c r="CR70" i="115"/>
  <c r="CR82" i="115"/>
  <c r="CR14" i="115"/>
  <c r="CR7" i="115"/>
  <c r="CR32" i="115"/>
  <c r="CR34" i="115"/>
  <c r="CR10" i="115"/>
  <c r="CR20" i="115"/>
  <c r="CR99" i="115"/>
  <c r="CR22" i="115"/>
  <c r="CR41" i="115"/>
  <c r="CR75" i="115"/>
  <c r="CS4" i="115"/>
  <c r="CR71" i="115"/>
  <c r="CR60" i="115" l="1"/>
  <c r="CS105" i="115"/>
  <c r="CS106" i="115"/>
  <c r="CS101" i="115"/>
  <c r="CS104" i="115"/>
  <c r="CS103" i="115"/>
  <c r="CS102" i="115"/>
  <c r="H76" i="115"/>
  <c r="L76" i="115" s="1"/>
  <c r="J75" i="115"/>
  <c r="CS13" i="115"/>
  <c r="CS90" i="115"/>
  <c r="CS32" i="115"/>
  <c r="CS87" i="115"/>
  <c r="CS31" i="115"/>
  <c r="CS39" i="115"/>
  <c r="CS7" i="115"/>
  <c r="CS37" i="115"/>
  <c r="CS72" i="115"/>
  <c r="CS22" i="115"/>
  <c r="CS84" i="115"/>
  <c r="CS17" i="115"/>
  <c r="CS27" i="115"/>
  <c r="CS9" i="115"/>
  <c r="CS94" i="115"/>
  <c r="CS15" i="115"/>
  <c r="CS75" i="115"/>
  <c r="CS89" i="115"/>
  <c r="CS41" i="115"/>
  <c r="CS34" i="115"/>
  <c r="CS74" i="115"/>
  <c r="CS29" i="115"/>
  <c r="CS79" i="115"/>
  <c r="CS99" i="115"/>
  <c r="CS33" i="115"/>
  <c r="CS18" i="115"/>
  <c r="CS35" i="115"/>
  <c r="CS93" i="115"/>
  <c r="CS8" i="115"/>
  <c r="CS24" i="115"/>
  <c r="CS65" i="115"/>
  <c r="CS67" i="115"/>
  <c r="CS68" i="115"/>
  <c r="CS83" i="115"/>
  <c r="CS69" i="115"/>
  <c r="CS100" i="115"/>
  <c r="CS92" i="115"/>
  <c r="CS38" i="115"/>
  <c r="CS11" i="115"/>
  <c r="CS81" i="115"/>
  <c r="CS12" i="115"/>
  <c r="CS97" i="115"/>
  <c r="CS21" i="115"/>
  <c r="CS25" i="115"/>
  <c r="CS23" i="115"/>
  <c r="CS5" i="115"/>
  <c r="CS73" i="115"/>
  <c r="CS82" i="115"/>
  <c r="CS76" i="115"/>
  <c r="CS16" i="115"/>
  <c r="CS91" i="115"/>
  <c r="CS10" i="115"/>
  <c r="CS77" i="115"/>
  <c r="CS78" i="115"/>
  <c r="CS70" i="115"/>
  <c r="CS98" i="115"/>
  <c r="CS14" i="115"/>
  <c r="CS36" i="115"/>
  <c r="CS86" i="115"/>
  <c r="CS95" i="115"/>
  <c r="CS88" i="115"/>
  <c r="CS40" i="115"/>
  <c r="CS30" i="115"/>
  <c r="CS66" i="115"/>
  <c r="CS28" i="115"/>
  <c r="CS19" i="115"/>
  <c r="CS85" i="115"/>
  <c r="CS80" i="115"/>
  <c r="CS96" i="115"/>
  <c r="CS42" i="115"/>
  <c r="CS20" i="115"/>
  <c r="CS26" i="115"/>
  <c r="CT4" i="115"/>
  <c r="CS71" i="115"/>
  <c r="CR2" i="115"/>
  <c r="CS60" i="115" l="1"/>
  <c r="CT101" i="115"/>
  <c r="CT105" i="115"/>
  <c r="CT106" i="115"/>
  <c r="CT104" i="115"/>
  <c r="CT103" i="115"/>
  <c r="CT102" i="115"/>
  <c r="J76" i="115"/>
  <c r="H77" i="115"/>
  <c r="L77" i="115" s="1"/>
  <c r="CS2" i="115"/>
  <c r="CT25" i="115"/>
  <c r="CT31" i="115"/>
  <c r="CT23" i="115"/>
  <c r="CT32" i="115"/>
  <c r="CT95" i="115"/>
  <c r="CT96" i="115"/>
  <c r="CT92" i="115"/>
  <c r="CT88" i="115"/>
  <c r="CT10" i="115"/>
  <c r="CT35" i="115"/>
  <c r="CT69" i="115"/>
  <c r="CT5" i="115"/>
  <c r="CT20" i="115"/>
  <c r="CT82" i="115"/>
  <c r="CT21" i="115"/>
  <c r="CT91" i="115"/>
  <c r="CT66" i="115"/>
  <c r="CT29" i="115"/>
  <c r="CT12" i="115"/>
  <c r="CT87" i="115"/>
  <c r="CT18" i="115"/>
  <c r="CT70" i="115"/>
  <c r="CT42" i="115"/>
  <c r="CT93" i="115"/>
  <c r="CT80" i="115"/>
  <c r="CT40" i="115"/>
  <c r="CT16" i="115"/>
  <c r="CT39" i="115"/>
  <c r="CT79" i="115"/>
  <c r="CT24" i="115"/>
  <c r="CT81" i="115"/>
  <c r="CT36" i="115"/>
  <c r="CT33" i="115"/>
  <c r="CT11" i="115"/>
  <c r="CT90" i="115"/>
  <c r="CT34" i="115"/>
  <c r="CT26" i="115"/>
  <c r="CT100" i="115"/>
  <c r="CT68" i="115"/>
  <c r="CT85" i="115"/>
  <c r="CT97" i="115"/>
  <c r="CT8" i="115"/>
  <c r="CT13" i="115"/>
  <c r="CT72" i="115"/>
  <c r="CT99" i="115"/>
  <c r="CT37" i="115"/>
  <c r="CT78" i="115"/>
  <c r="CT17" i="115"/>
  <c r="CT76" i="115"/>
  <c r="CT77" i="115"/>
  <c r="CT65" i="115"/>
  <c r="CT15" i="115"/>
  <c r="CT74" i="115"/>
  <c r="CT67" i="115"/>
  <c r="CT38" i="115"/>
  <c r="CT22" i="115"/>
  <c r="CT14" i="115"/>
  <c r="CT41" i="115"/>
  <c r="CT86" i="115"/>
  <c r="CT98" i="115"/>
  <c r="CT9" i="115"/>
  <c r="CT28" i="115"/>
  <c r="CT19" i="115"/>
  <c r="CT94" i="115"/>
  <c r="CT30" i="115"/>
  <c r="CT7" i="115"/>
  <c r="CT83" i="115"/>
  <c r="CT75" i="115"/>
  <c r="CT89" i="115"/>
  <c r="CT73" i="115"/>
  <c r="CT84" i="115"/>
  <c r="CT27" i="115"/>
  <c r="CU4" i="115"/>
  <c r="CT71" i="115"/>
  <c r="CT60" i="115" l="1"/>
  <c r="CU105" i="115"/>
  <c r="CU106" i="115"/>
  <c r="CU101" i="115"/>
  <c r="CU104" i="115"/>
  <c r="CU103" i="115"/>
  <c r="CU102" i="115"/>
  <c r="H78" i="115"/>
  <c r="L78" i="115" s="1"/>
  <c r="J77" i="115"/>
  <c r="CU26" i="115"/>
  <c r="CU99" i="115"/>
  <c r="CU100" i="115"/>
  <c r="CU66" i="115"/>
  <c r="CU67" i="115"/>
  <c r="CU40" i="115"/>
  <c r="CU39" i="115"/>
  <c r="CU23" i="115"/>
  <c r="CU76" i="115"/>
  <c r="CU41" i="115"/>
  <c r="CU92" i="115"/>
  <c r="CU65" i="115"/>
  <c r="CU9" i="115"/>
  <c r="CU97" i="115"/>
  <c r="CU73" i="115"/>
  <c r="CU95" i="115"/>
  <c r="CU25" i="115"/>
  <c r="CU32" i="115"/>
  <c r="CU72" i="115"/>
  <c r="CU86" i="115"/>
  <c r="CU19" i="115"/>
  <c r="CU33" i="115"/>
  <c r="CU35" i="115"/>
  <c r="CU42" i="115"/>
  <c r="CU79" i="115"/>
  <c r="CU31" i="115"/>
  <c r="CU70" i="115"/>
  <c r="CU10" i="115"/>
  <c r="CU8" i="115"/>
  <c r="CU85" i="115"/>
  <c r="CU77" i="115"/>
  <c r="CU87" i="115"/>
  <c r="CU83" i="115"/>
  <c r="CU13" i="115"/>
  <c r="CU96" i="115"/>
  <c r="CU14" i="115"/>
  <c r="CU18" i="115"/>
  <c r="CU27" i="115"/>
  <c r="CU78" i="115"/>
  <c r="CU75" i="115"/>
  <c r="CU82" i="115"/>
  <c r="CU7" i="115"/>
  <c r="CU37" i="115"/>
  <c r="CU81" i="115"/>
  <c r="CU5" i="115"/>
  <c r="CU16" i="115"/>
  <c r="CU22" i="115"/>
  <c r="CU80" i="115"/>
  <c r="CU84" i="115"/>
  <c r="CU21" i="115"/>
  <c r="CU34" i="115"/>
  <c r="CU94" i="115"/>
  <c r="CU68" i="115"/>
  <c r="CU88" i="115"/>
  <c r="CU15" i="115"/>
  <c r="CU98" i="115"/>
  <c r="CU69" i="115"/>
  <c r="CU38" i="115"/>
  <c r="CU93" i="115"/>
  <c r="CU28" i="115"/>
  <c r="CU90" i="115"/>
  <c r="CU29" i="115"/>
  <c r="CU91" i="115"/>
  <c r="CU20" i="115"/>
  <c r="CU17" i="115"/>
  <c r="CU36" i="115"/>
  <c r="CU74" i="115"/>
  <c r="CU24" i="115"/>
  <c r="CU11" i="115"/>
  <c r="CU12" i="115"/>
  <c r="CU30" i="115"/>
  <c r="CU89" i="115"/>
  <c r="CV4" i="115"/>
  <c r="CU71" i="115"/>
  <c r="CT2" i="115"/>
  <c r="CU60" i="115" l="1"/>
  <c r="CV101" i="115"/>
  <c r="CV106" i="115"/>
  <c r="CV105" i="115"/>
  <c r="CV104" i="115"/>
  <c r="CV103" i="115"/>
  <c r="CV102" i="115"/>
  <c r="J78" i="115"/>
  <c r="H79" i="115"/>
  <c r="L79" i="115" s="1"/>
  <c r="CU2" i="115"/>
  <c r="CV29" i="115"/>
  <c r="CV36" i="115"/>
  <c r="CV19" i="115"/>
  <c r="CV10" i="115"/>
  <c r="CV5" i="115"/>
  <c r="CV41" i="115"/>
  <c r="CV35" i="115"/>
  <c r="CV14" i="115"/>
  <c r="CV77" i="115"/>
  <c r="CV69" i="115"/>
  <c r="CV93" i="115"/>
  <c r="CV90" i="115"/>
  <c r="CV78" i="115"/>
  <c r="CV42" i="115"/>
  <c r="CV72" i="115"/>
  <c r="CV91" i="115"/>
  <c r="CV95" i="115"/>
  <c r="CV21" i="115"/>
  <c r="CV76" i="115"/>
  <c r="CV40" i="115"/>
  <c r="CV25" i="115"/>
  <c r="CV75" i="115"/>
  <c r="CV24" i="115"/>
  <c r="CV17" i="115"/>
  <c r="CV82" i="115"/>
  <c r="CV20" i="115"/>
  <c r="CV27" i="115"/>
  <c r="CV66" i="115"/>
  <c r="CV73" i="115"/>
  <c r="CV33" i="115"/>
  <c r="CV22" i="115"/>
  <c r="CV28" i="115"/>
  <c r="CV100" i="115"/>
  <c r="CV81" i="115"/>
  <c r="CV34" i="115"/>
  <c r="CV30" i="115"/>
  <c r="CV94" i="115"/>
  <c r="CV84" i="115"/>
  <c r="CV12" i="115"/>
  <c r="CV9" i="115"/>
  <c r="CV88" i="115"/>
  <c r="CV87" i="115"/>
  <c r="CV92" i="115"/>
  <c r="CV70" i="115"/>
  <c r="CV97" i="115"/>
  <c r="CV98" i="115"/>
  <c r="CV74" i="115"/>
  <c r="CV8" i="115"/>
  <c r="CV99" i="115"/>
  <c r="CV26" i="115"/>
  <c r="CV85" i="115"/>
  <c r="CV18" i="115"/>
  <c r="CV38" i="115"/>
  <c r="CV80" i="115"/>
  <c r="CV16" i="115"/>
  <c r="CV79" i="115"/>
  <c r="CV96" i="115"/>
  <c r="CV39" i="115"/>
  <c r="CV67" i="115"/>
  <c r="CV31" i="115"/>
  <c r="CV68" i="115"/>
  <c r="CV13" i="115"/>
  <c r="CV86" i="115"/>
  <c r="CV23" i="115"/>
  <c r="CV11" i="115"/>
  <c r="CV83" i="115"/>
  <c r="CV37" i="115"/>
  <c r="CV15" i="115"/>
  <c r="CV32" i="115"/>
  <c r="CV89" i="115"/>
  <c r="CV7" i="115"/>
  <c r="CV65" i="115"/>
  <c r="CW4" i="115"/>
  <c r="CV71" i="115"/>
  <c r="CV60" i="115" l="1"/>
  <c r="CW106" i="115"/>
  <c r="CW101" i="115"/>
  <c r="CW105" i="115"/>
  <c r="CW104" i="115"/>
  <c r="CW103" i="115"/>
  <c r="CW102" i="115"/>
  <c r="H80" i="115"/>
  <c r="L80" i="115" s="1"/>
  <c r="J79" i="115"/>
  <c r="CW78" i="115"/>
  <c r="CW38" i="115"/>
  <c r="CW83" i="115"/>
  <c r="CW21" i="115"/>
  <c r="CW69" i="115"/>
  <c r="CW66" i="115"/>
  <c r="CW42" i="115"/>
  <c r="CW99" i="115"/>
  <c r="CW98" i="115"/>
  <c r="CW81" i="115"/>
  <c r="CW31" i="115"/>
  <c r="CW41" i="115"/>
  <c r="CW26" i="115"/>
  <c r="CW13" i="115"/>
  <c r="CW17" i="115"/>
  <c r="CW95" i="115"/>
  <c r="CW5" i="115"/>
  <c r="CW28" i="115"/>
  <c r="CW39" i="115"/>
  <c r="CW97" i="115"/>
  <c r="CW67" i="115"/>
  <c r="CW75" i="115"/>
  <c r="CW12" i="115"/>
  <c r="CW16" i="115"/>
  <c r="CW10" i="115"/>
  <c r="CW76" i="115"/>
  <c r="CW73" i="115"/>
  <c r="CW20" i="115"/>
  <c r="CW23" i="115"/>
  <c r="CW14" i="115"/>
  <c r="CW65" i="115"/>
  <c r="CW72" i="115"/>
  <c r="CW70" i="115"/>
  <c r="CW32" i="115"/>
  <c r="CW30" i="115"/>
  <c r="CW24" i="115"/>
  <c r="CW25" i="115"/>
  <c r="CW94" i="115"/>
  <c r="CW87" i="115"/>
  <c r="CW27" i="115"/>
  <c r="CW80" i="115"/>
  <c r="CW91" i="115"/>
  <c r="CW15" i="115"/>
  <c r="CW90" i="115"/>
  <c r="CW82" i="115"/>
  <c r="CW19" i="115"/>
  <c r="CW96" i="115"/>
  <c r="CW100" i="115"/>
  <c r="CW84" i="115"/>
  <c r="CW18" i="115"/>
  <c r="CW7" i="115"/>
  <c r="CW35" i="115"/>
  <c r="CW77" i="115"/>
  <c r="CW8" i="115"/>
  <c r="CW93" i="115"/>
  <c r="CW9" i="115"/>
  <c r="CW33" i="115"/>
  <c r="CW79" i="115"/>
  <c r="CW40" i="115"/>
  <c r="CW36" i="115"/>
  <c r="CW89" i="115"/>
  <c r="CW92" i="115"/>
  <c r="CW88" i="115"/>
  <c r="CW29" i="115"/>
  <c r="CW68" i="115"/>
  <c r="CW22" i="115"/>
  <c r="CW86" i="115"/>
  <c r="CW37" i="115"/>
  <c r="CW11" i="115"/>
  <c r="CW85" i="115"/>
  <c r="CW74" i="115"/>
  <c r="CW34" i="115"/>
  <c r="CX4" i="115"/>
  <c r="CW71" i="115"/>
  <c r="CV2" i="115"/>
  <c r="CW60" i="115" l="1"/>
  <c r="CX106" i="115"/>
  <c r="CX101" i="115"/>
  <c r="CX105" i="115"/>
  <c r="CX104" i="115"/>
  <c r="CX103" i="115"/>
  <c r="CX102" i="115"/>
  <c r="J80" i="115"/>
  <c r="H81" i="115"/>
  <c r="L81" i="115" s="1"/>
  <c r="CW2" i="115"/>
  <c r="CX24" i="115"/>
  <c r="CX7" i="115"/>
  <c r="CX35" i="115"/>
  <c r="CX68" i="115"/>
  <c r="CX84" i="115"/>
  <c r="CX65" i="115"/>
  <c r="CX29" i="115"/>
  <c r="CX37" i="115"/>
  <c r="CX93" i="115"/>
  <c r="CX97" i="115"/>
  <c r="CX26" i="115"/>
  <c r="CX27" i="115"/>
  <c r="CX9" i="115"/>
  <c r="CX11" i="115"/>
  <c r="CX77" i="115"/>
  <c r="CX25" i="115"/>
  <c r="CX5" i="115"/>
  <c r="CX30" i="115"/>
  <c r="CX80" i="115"/>
  <c r="CX83" i="115"/>
  <c r="CX22" i="115"/>
  <c r="CX19" i="115"/>
  <c r="CX91" i="115"/>
  <c r="CX36" i="115"/>
  <c r="CX74" i="115"/>
  <c r="CX88" i="115"/>
  <c r="CX23" i="115"/>
  <c r="CX89" i="115"/>
  <c r="CX14" i="115"/>
  <c r="CX86" i="115"/>
  <c r="CX39" i="115"/>
  <c r="CX67" i="115"/>
  <c r="CX28" i="115"/>
  <c r="CX12" i="115"/>
  <c r="CX94" i="115"/>
  <c r="CX38" i="115"/>
  <c r="CX34" i="115"/>
  <c r="CX79" i="115"/>
  <c r="CX41" i="115"/>
  <c r="CX85" i="115"/>
  <c r="CX10" i="115"/>
  <c r="CX31" i="115"/>
  <c r="CX13" i="115"/>
  <c r="CX20" i="115"/>
  <c r="CX18" i="115"/>
  <c r="CX87" i="115"/>
  <c r="CX90" i="115"/>
  <c r="CX100" i="115"/>
  <c r="CX95" i="115"/>
  <c r="CX21" i="115"/>
  <c r="CX76" i="115"/>
  <c r="CX42" i="115"/>
  <c r="CX8" i="115"/>
  <c r="CX72" i="115"/>
  <c r="CX78" i="115"/>
  <c r="CX82" i="115"/>
  <c r="CX17" i="115"/>
  <c r="CX69" i="115"/>
  <c r="CX75" i="115"/>
  <c r="CX81" i="115"/>
  <c r="CX99" i="115"/>
  <c r="CX73" i="115"/>
  <c r="CX96" i="115"/>
  <c r="CX92" i="115"/>
  <c r="CX98" i="115"/>
  <c r="CX40" i="115"/>
  <c r="CX16" i="115"/>
  <c r="CX32" i="115"/>
  <c r="CX15" i="115"/>
  <c r="CX70" i="115"/>
  <c r="CX66" i="115"/>
  <c r="CX33" i="115"/>
  <c r="CY4" i="115"/>
  <c r="CX71" i="115"/>
  <c r="CX60" i="115" l="1"/>
  <c r="CY106" i="115"/>
  <c r="CY105" i="115"/>
  <c r="CY101" i="115"/>
  <c r="CY104" i="115"/>
  <c r="CY103" i="115"/>
  <c r="CY102" i="115"/>
  <c r="J81" i="115"/>
  <c r="H82" i="115"/>
  <c r="L82" i="115" s="1"/>
  <c r="CX2" i="115"/>
  <c r="CY93" i="115"/>
  <c r="CY24" i="115"/>
  <c r="CY91" i="115"/>
  <c r="CY14" i="115"/>
  <c r="CY30" i="115"/>
  <c r="CY96" i="115"/>
  <c r="CY34" i="115"/>
  <c r="CY26" i="115"/>
  <c r="CY73" i="115"/>
  <c r="CY12" i="115"/>
  <c r="CY66" i="115"/>
  <c r="CY67" i="115"/>
  <c r="CY76" i="115"/>
  <c r="CY27" i="115"/>
  <c r="CY33" i="115"/>
  <c r="CY79" i="115"/>
  <c r="CY19" i="115"/>
  <c r="CY37" i="115"/>
  <c r="CY69" i="115"/>
  <c r="CY8" i="115"/>
  <c r="CY86" i="115"/>
  <c r="CY7" i="115"/>
  <c r="CY35" i="115"/>
  <c r="CY42" i="115"/>
  <c r="CY90" i="115"/>
  <c r="CY97" i="115"/>
  <c r="CY75" i="115"/>
  <c r="CY100" i="115"/>
  <c r="CY77" i="115"/>
  <c r="CY18" i="115"/>
  <c r="CY38" i="115"/>
  <c r="CY21" i="115"/>
  <c r="CY84" i="115"/>
  <c r="CY36" i="115"/>
  <c r="CY88" i="115"/>
  <c r="CY94" i="115"/>
  <c r="CY98" i="115"/>
  <c r="CY29" i="115"/>
  <c r="CY72" i="115"/>
  <c r="CY13" i="115"/>
  <c r="CY81" i="115"/>
  <c r="CY89" i="115"/>
  <c r="CY20" i="115"/>
  <c r="CY74" i="115"/>
  <c r="CY22" i="115"/>
  <c r="CY32" i="115"/>
  <c r="CY15" i="115"/>
  <c r="CY31" i="115"/>
  <c r="CY17" i="115"/>
  <c r="CY28" i="115"/>
  <c r="CY85" i="115"/>
  <c r="CY41" i="115"/>
  <c r="CY65" i="115"/>
  <c r="CY99" i="115"/>
  <c r="CY25" i="115"/>
  <c r="CY87" i="115"/>
  <c r="CY80" i="115"/>
  <c r="CY11" i="115"/>
  <c r="CY92" i="115"/>
  <c r="CY5" i="115"/>
  <c r="CY39" i="115"/>
  <c r="CY70" i="115"/>
  <c r="CY68" i="115"/>
  <c r="CY78" i="115"/>
  <c r="CY83" i="115"/>
  <c r="CY23" i="115"/>
  <c r="CY10" i="115"/>
  <c r="CY9" i="115"/>
  <c r="CY16" i="115"/>
  <c r="CY95" i="115"/>
  <c r="CY82" i="115"/>
  <c r="CY40" i="115"/>
  <c r="CZ4" i="115"/>
  <c r="CY71" i="115"/>
  <c r="CY60" i="115" l="1"/>
  <c r="CZ105" i="115"/>
  <c r="CZ106" i="115"/>
  <c r="CZ101" i="115"/>
  <c r="CZ104" i="115"/>
  <c r="CZ103" i="115"/>
  <c r="CZ102" i="115"/>
  <c r="J82" i="115"/>
  <c r="H83" i="115"/>
  <c r="L83" i="115" s="1"/>
  <c r="CY2" i="115"/>
  <c r="CZ14" i="115"/>
  <c r="CZ15" i="115"/>
  <c r="CZ92" i="115"/>
  <c r="CZ85" i="115"/>
  <c r="CZ40" i="115"/>
  <c r="CZ86" i="115"/>
  <c r="CZ94" i="115"/>
  <c r="CZ70" i="115"/>
  <c r="CZ13" i="115"/>
  <c r="CZ21" i="115"/>
  <c r="CZ9" i="115"/>
  <c r="CZ83" i="115"/>
  <c r="CZ36" i="115"/>
  <c r="CZ16" i="115"/>
  <c r="CZ11" i="115"/>
  <c r="CZ87" i="115"/>
  <c r="CZ84" i="115"/>
  <c r="CZ74" i="115"/>
  <c r="CZ68" i="115"/>
  <c r="CZ32" i="115"/>
  <c r="CZ33" i="115"/>
  <c r="CZ96" i="115"/>
  <c r="CZ35" i="115"/>
  <c r="CZ34" i="115"/>
  <c r="CZ42" i="115"/>
  <c r="CZ8" i="115"/>
  <c r="CZ77" i="115"/>
  <c r="CZ19" i="115"/>
  <c r="CZ10" i="115"/>
  <c r="CZ17" i="115"/>
  <c r="CZ37" i="115"/>
  <c r="CZ24" i="115"/>
  <c r="CZ97" i="115"/>
  <c r="CZ29" i="115"/>
  <c r="CZ100" i="115"/>
  <c r="CZ23" i="115"/>
  <c r="CZ27" i="115"/>
  <c r="CZ65" i="115"/>
  <c r="CZ80" i="115"/>
  <c r="CZ31" i="115"/>
  <c r="CZ7" i="115"/>
  <c r="CZ79" i="115"/>
  <c r="CZ39" i="115"/>
  <c r="CZ91" i="115"/>
  <c r="CZ66" i="115"/>
  <c r="CZ90" i="115"/>
  <c r="CZ99" i="115"/>
  <c r="CZ41" i="115"/>
  <c r="CZ5" i="115"/>
  <c r="CZ12" i="115"/>
  <c r="CZ93" i="115"/>
  <c r="CZ20" i="115"/>
  <c r="CZ72" i="115"/>
  <c r="CZ76" i="115"/>
  <c r="CZ28" i="115"/>
  <c r="CZ73" i="115"/>
  <c r="CZ25" i="115"/>
  <c r="CZ38" i="115"/>
  <c r="CZ22" i="115"/>
  <c r="CZ69" i="115"/>
  <c r="CZ26" i="115"/>
  <c r="CZ89" i="115"/>
  <c r="CZ82" i="115"/>
  <c r="CZ88" i="115"/>
  <c r="CZ75" i="115"/>
  <c r="CZ81" i="115"/>
  <c r="CZ30" i="115"/>
  <c r="CZ98" i="115"/>
  <c r="CZ95" i="115"/>
  <c r="CZ18" i="115"/>
  <c r="CZ78" i="115"/>
  <c r="CZ67" i="115"/>
  <c r="DA4" i="115"/>
  <c r="CZ71" i="115"/>
  <c r="CZ60" i="115" l="1"/>
  <c r="DA101" i="115"/>
  <c r="DA105" i="115"/>
  <c r="DA106" i="115"/>
  <c r="DA104" i="115"/>
  <c r="DA103" i="115"/>
  <c r="DA102" i="115"/>
  <c r="J83" i="115"/>
  <c r="H84" i="115"/>
  <c r="L84" i="115" s="1"/>
  <c r="CZ2" i="115"/>
  <c r="DA15" i="115"/>
  <c r="DA16" i="115"/>
  <c r="DA39" i="115"/>
  <c r="DA97" i="115"/>
  <c r="DA28" i="115"/>
  <c r="DA19" i="115"/>
  <c r="DA92" i="115"/>
  <c r="DA87" i="115"/>
  <c r="DA90" i="115"/>
  <c r="DA13" i="115"/>
  <c r="DA32" i="115"/>
  <c r="DA79" i="115"/>
  <c r="DA25" i="115"/>
  <c r="DA100" i="115"/>
  <c r="DA70" i="115"/>
  <c r="DA99" i="115"/>
  <c r="DA76" i="115"/>
  <c r="DA42" i="115"/>
  <c r="DA22" i="115"/>
  <c r="DA10" i="115"/>
  <c r="DA66" i="115"/>
  <c r="DA89" i="115"/>
  <c r="DA83" i="115"/>
  <c r="DA27" i="115"/>
  <c r="DA14" i="115"/>
  <c r="DA36" i="115"/>
  <c r="DA34" i="115"/>
  <c r="DA81" i="115"/>
  <c r="DA29" i="115"/>
  <c r="DA24" i="115"/>
  <c r="DA5" i="115"/>
  <c r="DA69" i="115"/>
  <c r="DA38" i="115"/>
  <c r="DA84" i="115"/>
  <c r="DA77" i="115"/>
  <c r="DA7" i="115"/>
  <c r="DA73" i="115"/>
  <c r="DA82" i="115"/>
  <c r="DA74" i="115"/>
  <c r="DA78" i="115"/>
  <c r="DA20" i="115"/>
  <c r="DA41" i="115"/>
  <c r="DA68" i="115"/>
  <c r="DA18" i="115"/>
  <c r="DA37" i="115"/>
  <c r="DA72" i="115"/>
  <c r="DA93" i="115"/>
  <c r="DA67" i="115"/>
  <c r="DA95" i="115"/>
  <c r="DA91" i="115"/>
  <c r="DA65" i="115"/>
  <c r="DA12" i="115"/>
  <c r="DA86" i="115"/>
  <c r="DA31" i="115"/>
  <c r="DA96" i="115"/>
  <c r="DA33" i="115"/>
  <c r="DA75" i="115"/>
  <c r="DA17" i="115"/>
  <c r="DA35" i="115"/>
  <c r="DA26" i="115"/>
  <c r="DA21" i="115"/>
  <c r="DA23" i="115"/>
  <c r="DA8" i="115"/>
  <c r="DA40" i="115"/>
  <c r="DA9" i="115"/>
  <c r="DA80" i="115"/>
  <c r="DA98" i="115"/>
  <c r="DA88" i="115"/>
  <c r="DA11" i="115"/>
  <c r="DA94" i="115"/>
  <c r="DA85" i="115"/>
  <c r="DA30" i="115"/>
  <c r="DB4" i="115"/>
  <c r="DA71" i="115"/>
  <c r="DA60" i="115" l="1"/>
  <c r="DB106" i="115"/>
  <c r="DB101" i="115"/>
  <c r="DB105" i="115"/>
  <c r="DB104" i="115"/>
  <c r="DB103" i="115"/>
  <c r="DB102" i="115"/>
  <c r="J84" i="115"/>
  <c r="H85" i="115"/>
  <c r="L85" i="115" s="1"/>
  <c r="DA2" i="115"/>
  <c r="DB38" i="115"/>
  <c r="DB12" i="115"/>
  <c r="DB19" i="115"/>
  <c r="DB18" i="115"/>
  <c r="DB93" i="115"/>
  <c r="DB35" i="115"/>
  <c r="DB37" i="115"/>
  <c r="DB82" i="115"/>
  <c r="DB13" i="115"/>
  <c r="DB88" i="115"/>
  <c r="DB72" i="115"/>
  <c r="DB87" i="115"/>
  <c r="DB7" i="115"/>
  <c r="DB26" i="115"/>
  <c r="DB85" i="115"/>
  <c r="DB36" i="115"/>
  <c r="DB14" i="115"/>
  <c r="DB31" i="115"/>
  <c r="DB66" i="115"/>
  <c r="DB81" i="115"/>
  <c r="DB70" i="115"/>
  <c r="DB30" i="115"/>
  <c r="DB65" i="115"/>
  <c r="DB80" i="115"/>
  <c r="DB99" i="115"/>
  <c r="DB25" i="115"/>
  <c r="DB5" i="115"/>
  <c r="DB96" i="115"/>
  <c r="DB40" i="115"/>
  <c r="DB89" i="115"/>
  <c r="DB20" i="115"/>
  <c r="DB9" i="115"/>
  <c r="DB79" i="115"/>
  <c r="DB86" i="115"/>
  <c r="DB8" i="115"/>
  <c r="DB17" i="115"/>
  <c r="DB24" i="115"/>
  <c r="DB94" i="115"/>
  <c r="DB84" i="115"/>
  <c r="DB78" i="115"/>
  <c r="DB100" i="115"/>
  <c r="DB69" i="115"/>
  <c r="DB98" i="115"/>
  <c r="DB33" i="115"/>
  <c r="DB11" i="115"/>
  <c r="DB10" i="115"/>
  <c r="DB27" i="115"/>
  <c r="DB76" i="115"/>
  <c r="DB41" i="115"/>
  <c r="DB90" i="115"/>
  <c r="DB95" i="115"/>
  <c r="DB92" i="115"/>
  <c r="DB75" i="115"/>
  <c r="DB32" i="115"/>
  <c r="DB68" i="115"/>
  <c r="DB83" i="115"/>
  <c r="DB15" i="115"/>
  <c r="DB34" i="115"/>
  <c r="DB91" i="115"/>
  <c r="DB23" i="115"/>
  <c r="DB42" i="115"/>
  <c r="DB16" i="115"/>
  <c r="DB97" i="115"/>
  <c r="DB39" i="115"/>
  <c r="DB73" i="115"/>
  <c r="DB77" i="115"/>
  <c r="DB74" i="115"/>
  <c r="DB22" i="115"/>
  <c r="DB67" i="115"/>
  <c r="DB28" i="115"/>
  <c r="DB21" i="115"/>
  <c r="DB29" i="115"/>
  <c r="DC4" i="115"/>
  <c r="DB71" i="115"/>
  <c r="DB60" i="115" l="1"/>
  <c r="DC106" i="115"/>
  <c r="DC105" i="115"/>
  <c r="DC101" i="115"/>
  <c r="DC104" i="115"/>
  <c r="DC103" i="115"/>
  <c r="DC102" i="115"/>
  <c r="J85" i="115"/>
  <c r="H86" i="115"/>
  <c r="L86" i="115" s="1"/>
  <c r="DC83" i="115"/>
  <c r="DC31" i="115"/>
  <c r="DC92" i="115"/>
  <c r="DC98" i="115"/>
  <c r="DC23" i="115"/>
  <c r="DC93" i="115"/>
  <c r="DC96" i="115"/>
  <c r="DC72" i="115"/>
  <c r="DC30" i="115"/>
  <c r="DC18" i="115"/>
  <c r="DC75" i="115"/>
  <c r="DC78" i="115"/>
  <c r="DC21" i="115"/>
  <c r="DC15" i="115"/>
  <c r="DC76" i="115"/>
  <c r="DC20" i="115"/>
  <c r="DC94" i="115"/>
  <c r="DC97" i="115"/>
  <c r="DC24" i="115"/>
  <c r="DC88" i="115"/>
  <c r="DC28" i="115"/>
  <c r="DC22" i="115"/>
  <c r="DC79" i="115"/>
  <c r="DC33" i="115"/>
  <c r="DC11" i="115"/>
  <c r="DC86" i="115"/>
  <c r="DC9" i="115"/>
  <c r="DC91" i="115"/>
  <c r="DC29" i="115"/>
  <c r="DC80" i="115"/>
  <c r="DC17" i="115"/>
  <c r="DC39" i="115"/>
  <c r="DC10" i="115"/>
  <c r="DC99" i="115"/>
  <c r="DC69" i="115"/>
  <c r="DC77" i="115"/>
  <c r="DC32" i="115"/>
  <c r="DC81" i="115"/>
  <c r="DC16" i="115"/>
  <c r="DC8" i="115"/>
  <c r="DC90" i="115"/>
  <c r="DC36" i="115"/>
  <c r="DC12" i="115"/>
  <c r="DC41" i="115"/>
  <c r="DC38" i="115"/>
  <c r="DC82" i="115"/>
  <c r="DC42" i="115"/>
  <c r="DC95" i="115"/>
  <c r="DC13" i="115"/>
  <c r="DC40" i="115"/>
  <c r="DC85" i="115"/>
  <c r="DC26" i="115"/>
  <c r="DC37" i="115"/>
  <c r="DC35" i="115"/>
  <c r="DC7" i="115"/>
  <c r="DC19" i="115"/>
  <c r="DC25" i="115"/>
  <c r="DC65" i="115"/>
  <c r="DC89" i="115"/>
  <c r="DC14" i="115"/>
  <c r="DC5" i="115"/>
  <c r="DC74" i="115"/>
  <c r="DC67" i="115"/>
  <c r="DC100" i="115"/>
  <c r="DC68" i="115"/>
  <c r="DC87" i="115"/>
  <c r="DC70" i="115"/>
  <c r="DC84" i="115"/>
  <c r="DC66" i="115"/>
  <c r="DC34" i="115"/>
  <c r="DC27" i="115"/>
  <c r="DC73" i="115"/>
  <c r="DD4" i="115"/>
  <c r="DC71" i="115"/>
  <c r="DB2" i="115"/>
  <c r="DC60" i="115" l="1"/>
  <c r="DD101" i="115"/>
  <c r="DD105" i="115"/>
  <c r="DD106" i="115"/>
  <c r="DD104" i="115"/>
  <c r="DD103" i="115"/>
  <c r="DD102" i="115"/>
  <c r="H87" i="115"/>
  <c r="L87" i="115" s="1"/>
  <c r="J86" i="115"/>
  <c r="DC2" i="115"/>
  <c r="DD25" i="115"/>
  <c r="DD91" i="115"/>
  <c r="DD93" i="115"/>
  <c r="DD14" i="115"/>
  <c r="DD19" i="115"/>
  <c r="DD74" i="115"/>
  <c r="DD94" i="115"/>
  <c r="DD16" i="115"/>
  <c r="DD75" i="115"/>
  <c r="DD41" i="115"/>
  <c r="DD7" i="115"/>
  <c r="DD21" i="115"/>
  <c r="DD72" i="115"/>
  <c r="DD69" i="115"/>
  <c r="DD84" i="115"/>
  <c r="DD38" i="115"/>
  <c r="DD36" i="115"/>
  <c r="DD92" i="115"/>
  <c r="DD88" i="115"/>
  <c r="DD70" i="115"/>
  <c r="DD100" i="115"/>
  <c r="DD32" i="115"/>
  <c r="DD82" i="115"/>
  <c r="DD5" i="115"/>
  <c r="DD24" i="115"/>
  <c r="DD17" i="115"/>
  <c r="DD15" i="115"/>
  <c r="DD67" i="115"/>
  <c r="DD40" i="115"/>
  <c r="DD81" i="115"/>
  <c r="DD76" i="115"/>
  <c r="DD79" i="115"/>
  <c r="DD95" i="115"/>
  <c r="DD18" i="115"/>
  <c r="DD28" i="115"/>
  <c r="DD13" i="115"/>
  <c r="DD35" i="115"/>
  <c r="DD90" i="115"/>
  <c r="DD30" i="115"/>
  <c r="DD89" i="115"/>
  <c r="DD31" i="115"/>
  <c r="DD11" i="115"/>
  <c r="DD96" i="115"/>
  <c r="DD65" i="115"/>
  <c r="DD33" i="115"/>
  <c r="DD42" i="115"/>
  <c r="DD68" i="115"/>
  <c r="DD86" i="115"/>
  <c r="DD27" i="115"/>
  <c r="DD87" i="115"/>
  <c r="DD73" i="115"/>
  <c r="DD98" i="115"/>
  <c r="DD77" i="115"/>
  <c r="DD39" i="115"/>
  <c r="DD97" i="115"/>
  <c r="DD78" i="115"/>
  <c r="DD20" i="115"/>
  <c r="DD23" i="115"/>
  <c r="DD10" i="115"/>
  <c r="DD22" i="115"/>
  <c r="DD26" i="115"/>
  <c r="DD83" i="115"/>
  <c r="DD85" i="115"/>
  <c r="DD12" i="115"/>
  <c r="DD80" i="115"/>
  <c r="DD66" i="115"/>
  <c r="DD9" i="115"/>
  <c r="DD37" i="115"/>
  <c r="DD34" i="115"/>
  <c r="DD29" i="115"/>
  <c r="DD99" i="115"/>
  <c r="DD8" i="115"/>
  <c r="DE4" i="115"/>
  <c r="DD71" i="115"/>
  <c r="DD60" i="115" l="1"/>
  <c r="DE105" i="115"/>
  <c r="DE106" i="115"/>
  <c r="DE101" i="115"/>
  <c r="DE104" i="115"/>
  <c r="DE103" i="115"/>
  <c r="DE102" i="115"/>
  <c r="J87" i="115"/>
  <c r="H88" i="115"/>
  <c r="L88" i="115" s="1"/>
  <c r="DD2" i="115"/>
  <c r="DE91" i="115"/>
  <c r="DE38" i="115"/>
  <c r="DE74" i="115"/>
  <c r="DE10" i="115"/>
  <c r="DE100" i="115"/>
  <c r="DE18" i="115"/>
  <c r="DE8" i="115"/>
  <c r="DE82" i="115"/>
  <c r="DE14" i="115"/>
  <c r="DE13" i="115"/>
  <c r="DE99" i="115"/>
  <c r="DE79" i="115"/>
  <c r="DE87" i="115"/>
  <c r="DE12" i="115"/>
  <c r="DE86" i="115"/>
  <c r="DE68" i="115"/>
  <c r="DE84" i="115"/>
  <c r="DE89" i="115"/>
  <c r="DE66" i="115"/>
  <c r="DE36" i="115"/>
  <c r="DE35" i="115"/>
  <c r="DE16" i="115"/>
  <c r="DE93" i="115"/>
  <c r="DE27" i="115"/>
  <c r="DE77" i="115"/>
  <c r="DE67" i="115"/>
  <c r="DE30" i="115"/>
  <c r="DE19" i="115"/>
  <c r="DE81" i="115"/>
  <c r="DE5" i="115"/>
  <c r="DE20" i="115"/>
  <c r="DE88" i="115"/>
  <c r="DE70" i="115"/>
  <c r="DE42" i="115"/>
  <c r="DE23" i="115"/>
  <c r="DE96" i="115"/>
  <c r="DE15" i="115"/>
  <c r="DE80" i="115"/>
  <c r="DE83" i="115"/>
  <c r="DE73" i="115"/>
  <c r="DE39" i="115"/>
  <c r="DE34" i="115"/>
  <c r="DE85" i="115"/>
  <c r="DE40" i="115"/>
  <c r="DE97" i="115"/>
  <c r="DE32" i="115"/>
  <c r="DE95" i="115"/>
  <c r="DE41" i="115"/>
  <c r="DE28" i="115"/>
  <c r="DE75" i="115"/>
  <c r="DE76" i="115"/>
  <c r="DE24" i="115"/>
  <c r="DE31" i="115"/>
  <c r="DE69" i="115"/>
  <c r="DE90" i="115"/>
  <c r="DE22" i="115"/>
  <c r="DE78" i="115"/>
  <c r="DE72" i="115"/>
  <c r="DE92" i="115"/>
  <c r="DE98" i="115"/>
  <c r="DE26" i="115"/>
  <c r="DE17" i="115"/>
  <c r="DE7" i="115"/>
  <c r="DE25" i="115"/>
  <c r="DE65" i="115"/>
  <c r="DE29" i="115"/>
  <c r="DE94" i="115"/>
  <c r="DE9" i="115"/>
  <c r="DE33" i="115"/>
  <c r="DE37" i="115"/>
  <c r="DE21" i="115"/>
  <c r="DE11" i="115"/>
  <c r="DF4" i="115"/>
  <c r="DE71" i="115"/>
  <c r="DE60" i="115" l="1"/>
  <c r="DF106" i="115"/>
  <c r="DF101" i="115"/>
  <c r="DF105" i="115"/>
  <c r="DF104" i="115"/>
  <c r="DF103" i="115"/>
  <c r="DF102" i="115"/>
  <c r="J88" i="115"/>
  <c r="H89" i="115"/>
  <c r="L89" i="115" s="1"/>
  <c r="DE2" i="115"/>
  <c r="DF89" i="115"/>
  <c r="DF40" i="115"/>
  <c r="DF91" i="115"/>
  <c r="DF96" i="115"/>
  <c r="DF42" i="115"/>
  <c r="DF66" i="115"/>
  <c r="DF39" i="115"/>
  <c r="DF78" i="115"/>
  <c r="DF37" i="115"/>
  <c r="DF20" i="115"/>
  <c r="DF88" i="115"/>
  <c r="DF32" i="115"/>
  <c r="DF11" i="115"/>
  <c r="DF86" i="115"/>
  <c r="DF90" i="115"/>
  <c r="DF100" i="115"/>
  <c r="DF15" i="115"/>
  <c r="DF69" i="115"/>
  <c r="DF18" i="115"/>
  <c r="DF17" i="115"/>
  <c r="DF98" i="115"/>
  <c r="DF67" i="115"/>
  <c r="DF97" i="115"/>
  <c r="DF38" i="115"/>
  <c r="DF70" i="115"/>
  <c r="DF68" i="115"/>
  <c r="DF28" i="115"/>
  <c r="DF75" i="115"/>
  <c r="DF22" i="115"/>
  <c r="DF87" i="115"/>
  <c r="DF84" i="115"/>
  <c r="DF92" i="115"/>
  <c r="DF13" i="115"/>
  <c r="DF99" i="115"/>
  <c r="DF36" i="115"/>
  <c r="DF27" i="115"/>
  <c r="DF30" i="115"/>
  <c r="DF7" i="115"/>
  <c r="DF93" i="115"/>
  <c r="DF29" i="115"/>
  <c r="DF26" i="115"/>
  <c r="DF94" i="115"/>
  <c r="DF77" i="115"/>
  <c r="DF23" i="115"/>
  <c r="DF72" i="115"/>
  <c r="DF14" i="115"/>
  <c r="DF83" i="115"/>
  <c r="DF34" i="115"/>
  <c r="DF95" i="115"/>
  <c r="DF16" i="115"/>
  <c r="DF10" i="115"/>
  <c r="DF85" i="115"/>
  <c r="DF24" i="115"/>
  <c r="DF9" i="115"/>
  <c r="DF31" i="115"/>
  <c r="DF21" i="115"/>
  <c r="DF80" i="115"/>
  <c r="DF65" i="115"/>
  <c r="DF82" i="115"/>
  <c r="DF25" i="115"/>
  <c r="DF81" i="115"/>
  <c r="DF74" i="115"/>
  <c r="DF8" i="115"/>
  <c r="DF35" i="115"/>
  <c r="DF19" i="115"/>
  <c r="DF33" i="115"/>
  <c r="DF41" i="115"/>
  <c r="DF5" i="115"/>
  <c r="DF76" i="115"/>
  <c r="DF79" i="115"/>
  <c r="DF73" i="115"/>
  <c r="DF12" i="115"/>
  <c r="DG4" i="115"/>
  <c r="DF71" i="115"/>
  <c r="DF60" i="115" l="1"/>
  <c r="DG105" i="115"/>
  <c r="DG101" i="115"/>
  <c r="DG106" i="115"/>
  <c r="DG104" i="115"/>
  <c r="DG103" i="115"/>
  <c r="DG102" i="115"/>
  <c r="H90" i="115"/>
  <c r="L90" i="115" s="1"/>
  <c r="J89" i="115"/>
  <c r="DF2" i="115"/>
  <c r="DG90" i="115"/>
  <c r="DG86" i="115"/>
  <c r="DG9" i="115"/>
  <c r="DG42" i="115"/>
  <c r="DG79" i="115"/>
  <c r="DG20" i="115"/>
  <c r="DG38" i="115"/>
  <c r="DG14" i="115"/>
  <c r="DG33" i="115"/>
  <c r="DG95" i="115"/>
  <c r="DG96" i="115"/>
  <c r="DG78" i="115"/>
  <c r="DG32" i="115"/>
  <c r="DG5" i="115"/>
  <c r="DG21" i="115"/>
  <c r="DG22" i="115"/>
  <c r="DG80" i="115"/>
  <c r="DG75" i="115"/>
  <c r="DG65" i="115"/>
  <c r="DG34" i="115"/>
  <c r="DG81" i="115"/>
  <c r="DG68" i="115"/>
  <c r="DG100" i="115"/>
  <c r="DG99" i="115"/>
  <c r="DG29" i="115"/>
  <c r="DG85" i="115"/>
  <c r="DG76" i="115"/>
  <c r="DG69" i="115"/>
  <c r="DG88" i="115"/>
  <c r="DG31" i="115"/>
  <c r="DG73" i="115"/>
  <c r="DG25" i="115"/>
  <c r="DG23" i="115"/>
  <c r="DG8" i="115"/>
  <c r="DG74" i="115"/>
  <c r="DG67" i="115"/>
  <c r="DG66" i="115"/>
  <c r="DG72" i="115"/>
  <c r="DG70" i="115"/>
  <c r="DG91" i="115"/>
  <c r="DG15" i="115"/>
  <c r="DG37" i="115"/>
  <c r="DG28" i="115"/>
  <c r="DG94" i="115"/>
  <c r="DG92" i="115"/>
  <c r="DG16" i="115"/>
  <c r="DG40" i="115"/>
  <c r="DG11" i="115"/>
  <c r="DG83" i="115"/>
  <c r="DG13" i="115"/>
  <c r="DG35" i="115"/>
  <c r="DG36" i="115"/>
  <c r="DG82" i="115"/>
  <c r="DG87" i="115"/>
  <c r="DG39" i="115"/>
  <c r="DG24" i="115"/>
  <c r="DG10" i="115"/>
  <c r="DG41" i="115"/>
  <c r="DG19" i="115"/>
  <c r="DG26" i="115"/>
  <c r="DG27" i="115"/>
  <c r="DG98" i="115"/>
  <c r="DG84" i="115"/>
  <c r="DG18" i="115"/>
  <c r="DG97" i="115"/>
  <c r="DG93" i="115"/>
  <c r="DG77" i="115"/>
  <c r="DG17" i="115"/>
  <c r="DG7" i="115"/>
  <c r="DG89" i="115"/>
  <c r="DG12" i="115"/>
  <c r="DG30" i="115"/>
  <c r="DH4" i="115"/>
  <c r="DG71" i="115"/>
  <c r="DG60" i="115" l="1"/>
  <c r="DH105" i="115"/>
  <c r="DH106" i="115"/>
  <c r="DH101" i="115"/>
  <c r="DH104" i="115"/>
  <c r="DH103" i="115"/>
  <c r="DH102" i="115"/>
  <c r="H91" i="115"/>
  <c r="L91" i="115" s="1"/>
  <c r="J90" i="115"/>
  <c r="DG2" i="115"/>
  <c r="DH66" i="115"/>
  <c r="DH37" i="115"/>
  <c r="DH93" i="115"/>
  <c r="DH83" i="115"/>
  <c r="DH11" i="115"/>
  <c r="DH68" i="115"/>
  <c r="DH23" i="115"/>
  <c r="DH19" i="115"/>
  <c r="DH22" i="115"/>
  <c r="DH80" i="115"/>
  <c r="DH31" i="115"/>
  <c r="DH10" i="115"/>
  <c r="DH69" i="115"/>
  <c r="DH74" i="115"/>
  <c r="DH38" i="115"/>
  <c r="DH82" i="115"/>
  <c r="DH95" i="115"/>
  <c r="DH18" i="115"/>
  <c r="DH13" i="115"/>
  <c r="DH97" i="115"/>
  <c r="DH12" i="115"/>
  <c r="DH9" i="115"/>
  <c r="DH8" i="115"/>
  <c r="DH67" i="115"/>
  <c r="DH73" i="115"/>
  <c r="DH76" i="115"/>
  <c r="DH72" i="115"/>
  <c r="DH96" i="115"/>
  <c r="DH100" i="115"/>
  <c r="DH16" i="115"/>
  <c r="DH77" i="115"/>
  <c r="DH34" i="115"/>
  <c r="DH28" i="115"/>
  <c r="DH14" i="115"/>
  <c r="DH65" i="115"/>
  <c r="DH89" i="115"/>
  <c r="DH32" i="115"/>
  <c r="DH21" i="115"/>
  <c r="DH42" i="115"/>
  <c r="DH85" i="115"/>
  <c r="DH5" i="115"/>
  <c r="DH87" i="115"/>
  <c r="DH75" i="115"/>
  <c r="DH24" i="115"/>
  <c r="DH35" i="115"/>
  <c r="DH92" i="115"/>
  <c r="DH81" i="115"/>
  <c r="DH33" i="115"/>
  <c r="DH94" i="115"/>
  <c r="DH7" i="115"/>
  <c r="DH99" i="115"/>
  <c r="DH20" i="115"/>
  <c r="DH91" i="115"/>
  <c r="DH70" i="115"/>
  <c r="DH90" i="115"/>
  <c r="DH27" i="115"/>
  <c r="DH15" i="115"/>
  <c r="DH98" i="115"/>
  <c r="DH25" i="115"/>
  <c r="DH26" i="115"/>
  <c r="DH30" i="115"/>
  <c r="DH84" i="115"/>
  <c r="DH17" i="115"/>
  <c r="DH86" i="115"/>
  <c r="DH36" i="115"/>
  <c r="DH79" i="115"/>
  <c r="DH39" i="115"/>
  <c r="DH41" i="115"/>
  <c r="DH78" i="115"/>
  <c r="DH88" i="115"/>
  <c r="DH40" i="115"/>
  <c r="DH29" i="115"/>
  <c r="DI4" i="115"/>
  <c r="DH71" i="115"/>
  <c r="DH60" i="115" l="1"/>
  <c r="DI105" i="115"/>
  <c r="DI101" i="115"/>
  <c r="DI106" i="115"/>
  <c r="DI104" i="115"/>
  <c r="DI103" i="115"/>
  <c r="DI102" i="115"/>
  <c r="J91" i="115"/>
  <c r="H92" i="115"/>
  <c r="L92" i="115" s="1"/>
  <c r="DH2" i="115"/>
  <c r="DI96" i="115"/>
  <c r="DI7" i="115"/>
  <c r="DI22" i="115"/>
  <c r="DI72" i="115"/>
  <c r="DI99" i="115"/>
  <c r="DI9" i="115"/>
  <c r="DI76" i="115"/>
  <c r="DI40" i="115"/>
  <c r="DI38" i="115"/>
  <c r="DI89" i="115"/>
  <c r="DI82" i="115"/>
  <c r="DI69" i="115"/>
  <c r="DI90" i="115"/>
  <c r="DI86" i="115"/>
  <c r="DI77" i="115"/>
  <c r="DI35" i="115"/>
  <c r="DI85" i="115"/>
  <c r="DI80" i="115"/>
  <c r="DI67" i="115"/>
  <c r="DI14" i="115"/>
  <c r="DI81" i="115"/>
  <c r="DI91" i="115"/>
  <c r="DI21" i="115"/>
  <c r="DI23" i="115"/>
  <c r="DI100" i="115"/>
  <c r="DI27" i="115"/>
  <c r="DI42" i="115"/>
  <c r="DI26" i="115"/>
  <c r="DI30" i="115"/>
  <c r="DI66" i="115"/>
  <c r="DI78" i="115"/>
  <c r="DI33" i="115"/>
  <c r="DI16" i="115"/>
  <c r="DI92" i="115"/>
  <c r="DI36" i="115"/>
  <c r="DI32" i="115"/>
  <c r="DI41" i="115"/>
  <c r="DI37" i="115"/>
  <c r="DI34" i="115"/>
  <c r="DI73" i="115"/>
  <c r="DI29" i="115"/>
  <c r="DI24" i="115"/>
  <c r="DI93" i="115"/>
  <c r="DI94" i="115"/>
  <c r="DI15" i="115"/>
  <c r="DI28" i="115"/>
  <c r="DI5" i="115"/>
  <c r="DI75" i="115"/>
  <c r="DI12" i="115"/>
  <c r="DI18" i="115"/>
  <c r="DI87" i="115"/>
  <c r="DI31" i="115"/>
  <c r="DI65" i="115"/>
  <c r="DI39" i="115"/>
  <c r="DI25" i="115"/>
  <c r="DI11" i="115"/>
  <c r="DI84" i="115"/>
  <c r="DI88" i="115"/>
  <c r="DI17" i="115"/>
  <c r="DI95" i="115"/>
  <c r="DI79" i="115"/>
  <c r="DI97" i="115"/>
  <c r="DI83" i="115"/>
  <c r="DI98" i="115"/>
  <c r="DI20" i="115"/>
  <c r="DI68" i="115"/>
  <c r="DI19" i="115"/>
  <c r="DI74" i="115"/>
  <c r="DI8" i="115"/>
  <c r="DI13" i="115"/>
  <c r="DI10" i="115"/>
  <c r="DI70" i="115"/>
  <c r="DJ4" i="115"/>
  <c r="DI71" i="115"/>
  <c r="DI60" i="115" l="1"/>
  <c r="DJ106" i="115"/>
  <c r="DJ101" i="115"/>
  <c r="DJ105" i="115"/>
  <c r="DJ104" i="115"/>
  <c r="DJ103" i="115"/>
  <c r="DJ102" i="115"/>
  <c r="J92" i="115"/>
  <c r="H93" i="115"/>
  <c r="L93" i="115" s="1"/>
  <c r="DJ7" i="115"/>
  <c r="DJ86" i="115"/>
  <c r="DJ26" i="115"/>
  <c r="DJ90" i="115"/>
  <c r="DJ18" i="115"/>
  <c r="DJ67" i="115"/>
  <c r="DJ94" i="115"/>
  <c r="DJ73" i="115"/>
  <c r="DJ9" i="115"/>
  <c r="DJ87" i="115"/>
  <c r="DJ84" i="115"/>
  <c r="DJ17" i="115"/>
  <c r="DJ75" i="115"/>
  <c r="DJ32" i="115"/>
  <c r="DJ15" i="115"/>
  <c r="DJ37" i="115"/>
  <c r="DJ25" i="115"/>
  <c r="DJ19" i="115"/>
  <c r="DJ12" i="115"/>
  <c r="DJ70" i="115"/>
  <c r="DJ97" i="115"/>
  <c r="DJ39" i="115"/>
  <c r="DJ83" i="115"/>
  <c r="DJ8" i="115"/>
  <c r="DJ65" i="115"/>
  <c r="DJ20" i="115"/>
  <c r="DJ99" i="115"/>
  <c r="DJ80" i="115"/>
  <c r="DJ89" i="115"/>
  <c r="DJ91" i="115"/>
  <c r="DJ96" i="115"/>
  <c r="DJ72" i="115"/>
  <c r="DJ41" i="115"/>
  <c r="DJ23" i="115"/>
  <c r="DJ27" i="115"/>
  <c r="DJ16" i="115"/>
  <c r="DJ68" i="115"/>
  <c r="DJ42" i="115"/>
  <c r="DJ81" i="115"/>
  <c r="DJ29" i="115"/>
  <c r="DJ85" i="115"/>
  <c r="DJ38" i="115"/>
  <c r="DJ28" i="115"/>
  <c r="DJ92" i="115"/>
  <c r="DJ14" i="115"/>
  <c r="DJ13" i="115"/>
  <c r="DJ98" i="115"/>
  <c r="DJ22" i="115"/>
  <c r="DJ21" i="115"/>
  <c r="DJ66" i="115"/>
  <c r="DJ34" i="115"/>
  <c r="DJ24" i="115"/>
  <c r="DJ33" i="115"/>
  <c r="DJ5" i="115"/>
  <c r="DJ74" i="115"/>
  <c r="DJ93" i="115"/>
  <c r="DJ40" i="115"/>
  <c r="DJ100" i="115"/>
  <c r="DJ69" i="115"/>
  <c r="DJ76" i="115"/>
  <c r="DJ11" i="115"/>
  <c r="DJ88" i="115"/>
  <c r="DJ36" i="115"/>
  <c r="DJ31" i="115"/>
  <c r="DJ35" i="115"/>
  <c r="DJ77" i="115"/>
  <c r="DJ82" i="115"/>
  <c r="DJ78" i="115"/>
  <c r="DJ30" i="115"/>
  <c r="DJ95" i="115"/>
  <c r="DJ10" i="115"/>
  <c r="DJ79" i="115"/>
  <c r="DK4" i="115"/>
  <c r="DJ71" i="115"/>
  <c r="DI2" i="115"/>
  <c r="DJ60" i="115" l="1"/>
  <c r="DK105" i="115"/>
  <c r="DK106" i="115"/>
  <c r="DK101" i="115"/>
  <c r="DK104" i="115"/>
  <c r="DK103" i="115"/>
  <c r="DK102" i="115"/>
  <c r="J93" i="115"/>
  <c r="H94" i="115"/>
  <c r="L94" i="115" s="1"/>
  <c r="DK80" i="115"/>
  <c r="DK70" i="115"/>
  <c r="DK39" i="115"/>
  <c r="DK87" i="115"/>
  <c r="DK82" i="115"/>
  <c r="DK21" i="115"/>
  <c r="DK98" i="115"/>
  <c r="DK32" i="115"/>
  <c r="DK13" i="115"/>
  <c r="DK84" i="115"/>
  <c r="DK5" i="115"/>
  <c r="DK72" i="115"/>
  <c r="DK78" i="115"/>
  <c r="DK36" i="115"/>
  <c r="DK37" i="115"/>
  <c r="DK18" i="115"/>
  <c r="DK16" i="115"/>
  <c r="DK7" i="115"/>
  <c r="DK12" i="115"/>
  <c r="DK42" i="115"/>
  <c r="DK81" i="115"/>
  <c r="DK22" i="115"/>
  <c r="DK74" i="115"/>
  <c r="DK24" i="115"/>
  <c r="DK27" i="115"/>
  <c r="DK19" i="115"/>
  <c r="DK95" i="115"/>
  <c r="DK33" i="115"/>
  <c r="DK23" i="115"/>
  <c r="DK76" i="115"/>
  <c r="DK31" i="115"/>
  <c r="DK25" i="115"/>
  <c r="DK79" i="115"/>
  <c r="DK20" i="115"/>
  <c r="DK99" i="115"/>
  <c r="DK94" i="115"/>
  <c r="DK41" i="115"/>
  <c r="DK91" i="115"/>
  <c r="DK14" i="115"/>
  <c r="DK26" i="115"/>
  <c r="DK66" i="115"/>
  <c r="DK86" i="115"/>
  <c r="DK83" i="115"/>
  <c r="DK69" i="115"/>
  <c r="DK11" i="115"/>
  <c r="DK100" i="115"/>
  <c r="DK93" i="115"/>
  <c r="DK97" i="115"/>
  <c r="DK96" i="115"/>
  <c r="DK15" i="115"/>
  <c r="DK85" i="115"/>
  <c r="DK73" i="115"/>
  <c r="DK88" i="115"/>
  <c r="DK17" i="115"/>
  <c r="DK35" i="115"/>
  <c r="DK68" i="115"/>
  <c r="DK92" i="115"/>
  <c r="DK90" i="115"/>
  <c r="DK8" i="115"/>
  <c r="DK40" i="115"/>
  <c r="DK77" i="115"/>
  <c r="DK67" i="115"/>
  <c r="DK34" i="115"/>
  <c r="DK89" i="115"/>
  <c r="DK10" i="115"/>
  <c r="DK28" i="115"/>
  <c r="DK29" i="115"/>
  <c r="DK75" i="115"/>
  <c r="DK65" i="115"/>
  <c r="DK30" i="115"/>
  <c r="DK9" i="115"/>
  <c r="DK38" i="115"/>
  <c r="DL4" i="115"/>
  <c r="DK71" i="115"/>
  <c r="DJ2" i="115"/>
  <c r="DK60" i="115" l="1"/>
  <c r="DL105" i="115"/>
  <c r="DL106" i="115"/>
  <c r="DL101" i="115"/>
  <c r="DL104" i="115"/>
  <c r="DL103" i="115"/>
  <c r="DL102" i="115"/>
  <c r="J94" i="115"/>
  <c r="H95" i="115"/>
  <c r="L95" i="115" s="1"/>
  <c r="DK2" i="115"/>
  <c r="DL40" i="115"/>
  <c r="DL66" i="115"/>
  <c r="DL15" i="115"/>
  <c r="DL68" i="115"/>
  <c r="DL83" i="115"/>
  <c r="DL87" i="115"/>
  <c r="DL29" i="115"/>
  <c r="DL10" i="115"/>
  <c r="DL65" i="115"/>
  <c r="DL90" i="115"/>
  <c r="DL69" i="115"/>
  <c r="DL21" i="115"/>
  <c r="DL82" i="115"/>
  <c r="DL79" i="115"/>
  <c r="DL78" i="115"/>
  <c r="DL80" i="115"/>
  <c r="DL92" i="115"/>
  <c r="DL91" i="115"/>
  <c r="DL17" i="115"/>
  <c r="DL23" i="115"/>
  <c r="DL38" i="115"/>
  <c r="DL85" i="115"/>
  <c r="DL36" i="115"/>
  <c r="DL34" i="115"/>
  <c r="DL8" i="115"/>
  <c r="DL86" i="115"/>
  <c r="DL11" i="115"/>
  <c r="DL18" i="115"/>
  <c r="DL26" i="115"/>
  <c r="DL89" i="115"/>
  <c r="DL99" i="115"/>
  <c r="DL73" i="115"/>
  <c r="DL81" i="115"/>
  <c r="DL76" i="115"/>
  <c r="DL35" i="115"/>
  <c r="DL33" i="115"/>
  <c r="DL72" i="115"/>
  <c r="DL20" i="115"/>
  <c r="DL70" i="115"/>
  <c r="DL97" i="115"/>
  <c r="DL12" i="115"/>
  <c r="DL67" i="115"/>
  <c r="DL5" i="115"/>
  <c r="DL95" i="115"/>
  <c r="DL30" i="115"/>
  <c r="DL24" i="115"/>
  <c r="DL32" i="115"/>
  <c r="DL41" i="115"/>
  <c r="DL7" i="115"/>
  <c r="DL37" i="115"/>
  <c r="DL22" i="115"/>
  <c r="DL28" i="115"/>
  <c r="DL31" i="115"/>
  <c r="DL13" i="115"/>
  <c r="DL74" i="115"/>
  <c r="DL77" i="115"/>
  <c r="DL42" i="115"/>
  <c r="DL94" i="115"/>
  <c r="DL84" i="115"/>
  <c r="DL25" i="115"/>
  <c r="DL16" i="115"/>
  <c r="DL27" i="115"/>
  <c r="DL75" i="115"/>
  <c r="DL19" i="115"/>
  <c r="DL14" i="115"/>
  <c r="DL98" i="115"/>
  <c r="DL100" i="115"/>
  <c r="DL88" i="115"/>
  <c r="DL9" i="115"/>
  <c r="DL93" i="115"/>
  <c r="DL39" i="115"/>
  <c r="DL96" i="115"/>
  <c r="DM4" i="115"/>
  <c r="DL71" i="115"/>
  <c r="DL60" i="115" l="1"/>
  <c r="DM105" i="115"/>
  <c r="DM101" i="115"/>
  <c r="DM106" i="115"/>
  <c r="DM104" i="115"/>
  <c r="DM103" i="115"/>
  <c r="DM102" i="115"/>
  <c r="H96" i="115"/>
  <c r="L96" i="115" s="1"/>
  <c r="J95" i="115"/>
  <c r="DL2" i="115"/>
  <c r="DM70" i="115"/>
  <c r="DM96" i="115"/>
  <c r="DM75" i="115"/>
  <c r="DM38" i="115"/>
  <c r="DM37" i="115"/>
  <c r="DM19" i="115"/>
  <c r="DM28" i="115"/>
  <c r="DM81" i="115"/>
  <c r="DM97" i="115"/>
  <c r="DM83" i="115"/>
  <c r="DM26" i="115"/>
  <c r="DM34" i="115"/>
  <c r="DM77" i="115"/>
  <c r="DM36" i="115"/>
  <c r="DM73" i="115"/>
  <c r="DM80" i="115"/>
  <c r="DM14" i="115"/>
  <c r="DM87" i="115"/>
  <c r="DM67" i="115"/>
  <c r="DM100" i="115"/>
  <c r="DM33" i="115"/>
  <c r="DM92" i="115"/>
  <c r="DM91" i="115"/>
  <c r="DM84" i="115"/>
  <c r="DM41" i="115"/>
  <c r="DM21" i="115"/>
  <c r="DM90" i="115"/>
  <c r="DM29" i="115"/>
  <c r="DM69" i="115"/>
  <c r="DM32" i="115"/>
  <c r="DM78" i="115"/>
  <c r="DM22" i="115"/>
  <c r="DM17" i="115"/>
  <c r="DM79" i="115"/>
  <c r="DM27" i="115"/>
  <c r="DM93" i="115"/>
  <c r="DM16" i="115"/>
  <c r="DM9" i="115"/>
  <c r="DM13" i="115"/>
  <c r="DM74" i="115"/>
  <c r="DM99" i="115"/>
  <c r="DM89" i="115"/>
  <c r="DM24" i="115"/>
  <c r="DM94" i="115"/>
  <c r="DM25" i="115"/>
  <c r="DM88" i="115"/>
  <c r="DM10" i="115"/>
  <c r="DM65" i="115"/>
  <c r="DM86" i="115"/>
  <c r="DM31" i="115"/>
  <c r="DM8" i="115"/>
  <c r="DM82" i="115"/>
  <c r="DM72" i="115"/>
  <c r="DM20" i="115"/>
  <c r="DM12" i="115"/>
  <c r="DM85" i="115"/>
  <c r="DM68" i="115"/>
  <c r="DM30" i="115"/>
  <c r="DM76" i="115"/>
  <c r="DM35" i="115"/>
  <c r="DM98" i="115"/>
  <c r="DM66" i="115"/>
  <c r="DM23" i="115"/>
  <c r="DM7" i="115"/>
  <c r="DM42" i="115"/>
  <c r="DM5" i="115"/>
  <c r="DM11" i="115"/>
  <c r="DM15" i="115"/>
  <c r="DM95" i="115"/>
  <c r="DM39" i="115"/>
  <c r="DM40" i="115"/>
  <c r="DM18" i="115"/>
  <c r="DN4" i="115"/>
  <c r="DM71" i="115"/>
  <c r="DM60" i="115" l="1"/>
  <c r="DN101" i="115"/>
  <c r="DN105" i="115"/>
  <c r="DN106" i="115"/>
  <c r="DN104" i="115"/>
  <c r="DN103" i="115"/>
  <c r="DN102" i="115"/>
  <c r="J96" i="115"/>
  <c r="H97" i="115"/>
  <c r="L97" i="115" s="1"/>
  <c r="DM2" i="115"/>
  <c r="DN65" i="115"/>
  <c r="DN22" i="115"/>
  <c r="DN69" i="115"/>
  <c r="DN73" i="115"/>
  <c r="DN19" i="115"/>
  <c r="DN96" i="115"/>
  <c r="DN11" i="115"/>
  <c r="DN76" i="115"/>
  <c r="DN70" i="115"/>
  <c r="DN78" i="115"/>
  <c r="DN97" i="115"/>
  <c r="DN25" i="115"/>
  <c r="DN17" i="115"/>
  <c r="DN23" i="115"/>
  <c r="DN7" i="115"/>
  <c r="DN40" i="115"/>
  <c r="DN5" i="115"/>
  <c r="DN100" i="115"/>
  <c r="DN16" i="115"/>
  <c r="DN87" i="115"/>
  <c r="DN80" i="115"/>
  <c r="DN89" i="115"/>
  <c r="DN74" i="115"/>
  <c r="DN82" i="115"/>
  <c r="DN15" i="115"/>
  <c r="DN20" i="115"/>
  <c r="DN26" i="115"/>
  <c r="DN34" i="115"/>
  <c r="DN38" i="115"/>
  <c r="DN86" i="115"/>
  <c r="DN98" i="115"/>
  <c r="DN94" i="115"/>
  <c r="DN83" i="115"/>
  <c r="DN85" i="115"/>
  <c r="DN91" i="115"/>
  <c r="DN8" i="115"/>
  <c r="DN28" i="115"/>
  <c r="DN37" i="115"/>
  <c r="DN9" i="115"/>
  <c r="DN72" i="115"/>
  <c r="DN93" i="115"/>
  <c r="DN79" i="115"/>
  <c r="DN27" i="115"/>
  <c r="DN75" i="115"/>
  <c r="DN41" i="115"/>
  <c r="DN90" i="115"/>
  <c r="DN77" i="115"/>
  <c r="DN81" i="115"/>
  <c r="DN42" i="115"/>
  <c r="DN33" i="115"/>
  <c r="DN21" i="115"/>
  <c r="DN13" i="115"/>
  <c r="DN30" i="115"/>
  <c r="DN92" i="115"/>
  <c r="DN66" i="115"/>
  <c r="DN32" i="115"/>
  <c r="DN67" i="115"/>
  <c r="DN99" i="115"/>
  <c r="DN31" i="115"/>
  <c r="DN36" i="115"/>
  <c r="DN12" i="115"/>
  <c r="DN35" i="115"/>
  <c r="DN24" i="115"/>
  <c r="DN68" i="115"/>
  <c r="DN88" i="115"/>
  <c r="DN39" i="115"/>
  <c r="DN14" i="115"/>
  <c r="DN10" i="115"/>
  <c r="DN95" i="115"/>
  <c r="DN18" i="115"/>
  <c r="DN84" i="115"/>
  <c r="DN29" i="115"/>
  <c r="DO4" i="115"/>
  <c r="DN71" i="115"/>
  <c r="DN60" i="115" l="1"/>
  <c r="DO105" i="115"/>
  <c r="DO101" i="115"/>
  <c r="DO106" i="115"/>
  <c r="DO104" i="115"/>
  <c r="DO103" i="115"/>
  <c r="DO102" i="115"/>
  <c r="H98" i="115"/>
  <c r="L98" i="115" s="1"/>
  <c r="J97" i="115"/>
  <c r="DO12" i="115"/>
  <c r="DO99" i="115"/>
  <c r="DO92" i="115"/>
  <c r="DO66" i="115"/>
  <c r="DO31" i="115"/>
  <c r="DO100" i="115"/>
  <c r="DO90" i="115"/>
  <c r="DO34" i="115"/>
  <c r="DO30" i="115"/>
  <c r="DO88" i="115"/>
  <c r="DO68" i="115"/>
  <c r="DO40" i="115"/>
  <c r="DO22" i="115"/>
  <c r="DO35" i="115"/>
  <c r="DO10" i="115"/>
  <c r="DO98" i="115"/>
  <c r="DO65" i="115"/>
  <c r="DO19" i="115"/>
  <c r="DO11" i="115"/>
  <c r="DO5" i="115"/>
  <c r="DO28" i="115"/>
  <c r="DO79" i="115"/>
  <c r="DO86" i="115"/>
  <c r="DO15" i="115"/>
  <c r="DO32" i="115"/>
  <c r="DO97" i="115"/>
  <c r="DO26" i="115"/>
  <c r="DO21" i="115"/>
  <c r="DO20" i="115"/>
  <c r="DO24" i="115"/>
  <c r="DO7" i="115"/>
  <c r="DO95" i="115"/>
  <c r="DO42" i="115"/>
  <c r="DO17" i="115"/>
  <c r="DO72" i="115"/>
  <c r="DO8" i="115"/>
  <c r="DO14" i="115"/>
  <c r="DO39" i="115"/>
  <c r="DO84" i="115"/>
  <c r="DO94" i="115"/>
  <c r="DO77" i="115"/>
  <c r="DO75" i="115"/>
  <c r="DO41" i="115"/>
  <c r="DO89" i="115"/>
  <c r="DO67" i="115"/>
  <c r="DO82" i="115"/>
  <c r="DO13" i="115"/>
  <c r="DO36" i="115"/>
  <c r="DO9" i="115"/>
  <c r="DO91" i="115"/>
  <c r="DO16" i="115"/>
  <c r="DO93" i="115"/>
  <c r="DO85" i="115"/>
  <c r="DO25" i="115"/>
  <c r="DO78" i="115"/>
  <c r="DO27" i="115"/>
  <c r="DO69" i="115"/>
  <c r="DO38" i="115"/>
  <c r="DO37" i="115"/>
  <c r="DO81" i="115"/>
  <c r="DO74" i="115"/>
  <c r="DO70" i="115"/>
  <c r="DO29" i="115"/>
  <c r="DO80" i="115"/>
  <c r="DO33" i="115"/>
  <c r="DO87" i="115"/>
  <c r="DO23" i="115"/>
  <c r="DO18" i="115"/>
  <c r="DO96" i="115"/>
  <c r="DO73" i="115"/>
  <c r="DO83" i="115"/>
  <c r="DO76" i="115"/>
  <c r="DP4" i="115"/>
  <c r="DO71" i="115"/>
  <c r="DN2" i="115"/>
  <c r="DO60" i="115" l="1"/>
  <c r="DP105" i="115"/>
  <c r="DP106" i="115"/>
  <c r="DP101" i="115"/>
  <c r="DP104" i="115"/>
  <c r="DP103" i="115"/>
  <c r="DP102" i="115"/>
  <c r="J98" i="115"/>
  <c r="H99" i="115"/>
  <c r="L99" i="115" s="1"/>
  <c r="DO2" i="115"/>
  <c r="DP100" i="115"/>
  <c r="DP83" i="115"/>
  <c r="DP81" i="115"/>
  <c r="DP42" i="115"/>
  <c r="DP72" i="115"/>
  <c r="DP8" i="115"/>
  <c r="DP70" i="115"/>
  <c r="DP65" i="115"/>
  <c r="DP88" i="115"/>
  <c r="DP69" i="115"/>
  <c r="DP37" i="115"/>
  <c r="DP66" i="115"/>
  <c r="DP17" i="115"/>
  <c r="DP98" i="115"/>
  <c r="DP86" i="115"/>
  <c r="DP26" i="115"/>
  <c r="DP76" i="115"/>
  <c r="DP99" i="115"/>
  <c r="DP67" i="115"/>
  <c r="DP22" i="115"/>
  <c r="DP35" i="115"/>
  <c r="DP90" i="115"/>
  <c r="DP34" i="115"/>
  <c r="DP95" i="115"/>
  <c r="DP92" i="115"/>
  <c r="DP20" i="115"/>
  <c r="DP74" i="115"/>
  <c r="DP27" i="115"/>
  <c r="DP89" i="115"/>
  <c r="DP32" i="115"/>
  <c r="DP79" i="115"/>
  <c r="DP73" i="115"/>
  <c r="DP12" i="115"/>
  <c r="DP30" i="115"/>
  <c r="DP87" i="115"/>
  <c r="DP24" i="115"/>
  <c r="DP10" i="115"/>
  <c r="DP15" i="115"/>
  <c r="DP28" i="115"/>
  <c r="DP25" i="115"/>
  <c r="DP38" i="115"/>
  <c r="DP93" i="115"/>
  <c r="DP23" i="115"/>
  <c r="DP96" i="115"/>
  <c r="DP18" i="115"/>
  <c r="DP13" i="115"/>
  <c r="DP36" i="115"/>
  <c r="DP16" i="115"/>
  <c r="DP41" i="115"/>
  <c r="DP9" i="115"/>
  <c r="DP94" i="115"/>
  <c r="DP39" i="115"/>
  <c r="DP85" i="115"/>
  <c r="DP91" i="115"/>
  <c r="DP33" i="115"/>
  <c r="DP40" i="115"/>
  <c r="DP78" i="115"/>
  <c r="DP82" i="115"/>
  <c r="DP5" i="115"/>
  <c r="DP11" i="115"/>
  <c r="DP97" i="115"/>
  <c r="DP7" i="115"/>
  <c r="DP84" i="115"/>
  <c r="DP80" i="115"/>
  <c r="DP77" i="115"/>
  <c r="DP75" i="115"/>
  <c r="DP14" i="115"/>
  <c r="DP31" i="115"/>
  <c r="DP68" i="115"/>
  <c r="DP29" i="115"/>
  <c r="DP21" i="115"/>
  <c r="DP19" i="115"/>
  <c r="DQ4" i="115"/>
  <c r="DP71" i="115"/>
  <c r="DP60" i="115" l="1"/>
  <c r="DQ106" i="115"/>
  <c r="DQ105" i="115"/>
  <c r="DQ101" i="115"/>
  <c r="DQ104" i="115"/>
  <c r="DQ103" i="115"/>
  <c r="DQ102" i="115"/>
  <c r="J99" i="115"/>
  <c r="H100" i="115"/>
  <c r="L100" i="115" s="1"/>
  <c r="DP2" i="115"/>
  <c r="DQ5" i="115"/>
  <c r="DQ94" i="115"/>
  <c r="DQ31" i="115"/>
  <c r="DQ89" i="115"/>
  <c r="DQ65" i="115"/>
  <c r="DQ67" i="115"/>
  <c r="DQ68" i="115"/>
  <c r="DQ11" i="115"/>
  <c r="DQ81" i="115"/>
  <c r="DQ96" i="115"/>
  <c r="DQ36" i="115"/>
  <c r="DQ86" i="115"/>
  <c r="DQ35" i="115"/>
  <c r="DQ72" i="115"/>
  <c r="DQ8" i="115"/>
  <c r="DQ25" i="115"/>
  <c r="DQ42" i="115"/>
  <c r="DQ76" i="115"/>
  <c r="DQ70" i="115"/>
  <c r="DQ38" i="115"/>
  <c r="DQ95" i="115"/>
  <c r="DQ23" i="115"/>
  <c r="DQ27" i="115"/>
  <c r="DQ79" i="115"/>
  <c r="DQ98" i="115"/>
  <c r="DQ87" i="115"/>
  <c r="DQ28" i="115"/>
  <c r="DQ21" i="115"/>
  <c r="DQ93" i="115"/>
  <c r="DQ99" i="115"/>
  <c r="DQ66" i="115"/>
  <c r="DQ19" i="115"/>
  <c r="DQ92" i="115"/>
  <c r="DQ80" i="115"/>
  <c r="DQ69" i="115"/>
  <c r="DQ100" i="115"/>
  <c r="DQ20" i="115"/>
  <c r="DQ85" i="115"/>
  <c r="DQ9" i="115"/>
  <c r="DQ18" i="115"/>
  <c r="DQ78" i="115"/>
  <c r="DQ15" i="115"/>
  <c r="DQ82" i="115"/>
  <c r="DQ83" i="115"/>
  <c r="DQ26" i="115"/>
  <c r="DQ16" i="115"/>
  <c r="DQ33" i="115"/>
  <c r="DQ12" i="115"/>
  <c r="DQ32" i="115"/>
  <c r="DQ30" i="115"/>
  <c r="DQ84" i="115"/>
  <c r="DQ91" i="115"/>
  <c r="DQ34" i="115"/>
  <c r="DQ41" i="115"/>
  <c r="DQ74" i="115"/>
  <c r="DQ22" i="115"/>
  <c r="DQ90" i="115"/>
  <c r="DQ14" i="115"/>
  <c r="DQ24" i="115"/>
  <c r="DQ39" i="115"/>
  <c r="DQ17" i="115"/>
  <c r="DQ10" i="115"/>
  <c r="DQ7" i="115"/>
  <c r="DQ37" i="115"/>
  <c r="DQ88" i="115"/>
  <c r="DQ97" i="115"/>
  <c r="DQ73" i="115"/>
  <c r="DQ13" i="115"/>
  <c r="DQ75" i="115"/>
  <c r="DQ29" i="115"/>
  <c r="DQ40" i="115"/>
  <c r="DQ77" i="115"/>
  <c r="DR4" i="115"/>
  <c r="DQ71" i="115"/>
  <c r="DQ60" i="115" l="1"/>
  <c r="DR101" i="115"/>
  <c r="DR105" i="115"/>
  <c r="DR106" i="115"/>
  <c r="DR104" i="115"/>
  <c r="DR103" i="115"/>
  <c r="DR102" i="115"/>
  <c r="J100" i="115"/>
  <c r="H101" i="115"/>
  <c r="L101" i="115" s="1"/>
  <c r="DQ2" i="115"/>
  <c r="DR41" i="115"/>
  <c r="DR31" i="115"/>
  <c r="DR10" i="115"/>
  <c r="DR29" i="115"/>
  <c r="DR99" i="115"/>
  <c r="DR76" i="115"/>
  <c r="DR28" i="115"/>
  <c r="DR88" i="115"/>
  <c r="DR100" i="115"/>
  <c r="DR74" i="115"/>
  <c r="DR11" i="115"/>
  <c r="DR34" i="115"/>
  <c r="DR14" i="115"/>
  <c r="DR95" i="115"/>
  <c r="DR86" i="115"/>
  <c r="DR81" i="115"/>
  <c r="DR32" i="115"/>
  <c r="DR98" i="115"/>
  <c r="DR72" i="115"/>
  <c r="DR65" i="115"/>
  <c r="DR67" i="115"/>
  <c r="DR13" i="115"/>
  <c r="DR70" i="115"/>
  <c r="DR7" i="115"/>
  <c r="DR5" i="115"/>
  <c r="DR97" i="115"/>
  <c r="DR66" i="115"/>
  <c r="DR42" i="115"/>
  <c r="DR18" i="115"/>
  <c r="DR23" i="115"/>
  <c r="DR91" i="115"/>
  <c r="DR27" i="115"/>
  <c r="DR69" i="115"/>
  <c r="DR24" i="115"/>
  <c r="DR9" i="115"/>
  <c r="DR21" i="115"/>
  <c r="DR37" i="115"/>
  <c r="DR85" i="115"/>
  <c r="DR38" i="115"/>
  <c r="DR35" i="115"/>
  <c r="DR36" i="115"/>
  <c r="DR25" i="115"/>
  <c r="DR94" i="115"/>
  <c r="DR87" i="115"/>
  <c r="DR16" i="115"/>
  <c r="DR79" i="115"/>
  <c r="DR40" i="115"/>
  <c r="DR78" i="115"/>
  <c r="DR19" i="115"/>
  <c r="DR39" i="115"/>
  <c r="DR82" i="115"/>
  <c r="DR17" i="115"/>
  <c r="DR75" i="115"/>
  <c r="DR90" i="115"/>
  <c r="DR84" i="115"/>
  <c r="DR83" i="115"/>
  <c r="DR77" i="115"/>
  <c r="DR20" i="115"/>
  <c r="DR96" i="115"/>
  <c r="DR73" i="115"/>
  <c r="DR68" i="115"/>
  <c r="DR8" i="115"/>
  <c r="DR12" i="115"/>
  <c r="DR80" i="115"/>
  <c r="DR26" i="115"/>
  <c r="DR92" i="115"/>
  <c r="DR33" i="115"/>
  <c r="DR15" i="115"/>
  <c r="DR89" i="115"/>
  <c r="DR30" i="115"/>
  <c r="DR93" i="115"/>
  <c r="DR22" i="115"/>
  <c r="DS4" i="115"/>
  <c r="DR71" i="115"/>
  <c r="DR60" i="115" l="1"/>
  <c r="DS105" i="115"/>
  <c r="DS101" i="115"/>
  <c r="DS106" i="115"/>
  <c r="DS104" i="115"/>
  <c r="DS103" i="115"/>
  <c r="DS102" i="115"/>
  <c r="J101" i="115"/>
  <c r="H102" i="115"/>
  <c r="L102" i="115" s="1"/>
  <c r="DS35" i="115"/>
  <c r="DS97" i="115"/>
  <c r="DS29" i="115"/>
  <c r="DS76" i="115"/>
  <c r="DS11" i="115"/>
  <c r="DS89" i="115"/>
  <c r="DS36" i="115"/>
  <c r="DS31" i="115"/>
  <c r="DS16" i="115"/>
  <c r="DS13" i="115"/>
  <c r="DS42" i="115"/>
  <c r="DS69" i="115"/>
  <c r="DS67" i="115"/>
  <c r="DS88" i="115"/>
  <c r="DS83" i="115"/>
  <c r="DS99" i="115"/>
  <c r="DS65" i="115"/>
  <c r="DS81" i="115"/>
  <c r="DS100" i="115"/>
  <c r="DS85" i="115"/>
  <c r="DS98" i="115"/>
  <c r="DS90" i="115"/>
  <c r="DS80" i="115"/>
  <c r="DS94" i="115"/>
  <c r="DS26" i="115"/>
  <c r="DS18" i="115"/>
  <c r="DS27" i="115"/>
  <c r="DS75" i="115"/>
  <c r="DS74" i="115"/>
  <c r="DS77" i="115"/>
  <c r="DS32" i="115"/>
  <c r="DS66" i="115"/>
  <c r="DS86" i="115"/>
  <c r="DS84" i="115"/>
  <c r="DS72" i="115"/>
  <c r="DS78" i="115"/>
  <c r="DS19" i="115"/>
  <c r="DS23" i="115"/>
  <c r="DS96" i="115"/>
  <c r="DS82" i="115"/>
  <c r="DS12" i="115"/>
  <c r="DS22" i="115"/>
  <c r="DS21" i="115"/>
  <c r="DS10" i="115"/>
  <c r="DS8" i="115"/>
  <c r="DS30" i="115"/>
  <c r="DS68" i="115"/>
  <c r="DS73" i="115"/>
  <c r="DS20" i="115"/>
  <c r="DS7" i="115"/>
  <c r="DS70" i="115"/>
  <c r="DS92" i="115"/>
  <c r="DS5" i="115"/>
  <c r="DS33" i="115"/>
  <c r="DS41" i="115"/>
  <c r="DS25" i="115"/>
  <c r="DS37" i="115"/>
  <c r="DS28" i="115"/>
  <c r="DS38" i="115"/>
  <c r="DS24" i="115"/>
  <c r="DS40" i="115"/>
  <c r="DS87" i="115"/>
  <c r="DS93" i="115"/>
  <c r="DS17" i="115"/>
  <c r="DS9" i="115"/>
  <c r="DS14" i="115"/>
  <c r="DS15" i="115"/>
  <c r="DS79" i="115"/>
  <c r="DS34" i="115"/>
  <c r="DS91" i="115"/>
  <c r="DS39" i="115"/>
  <c r="DS95" i="115"/>
  <c r="DT4" i="115"/>
  <c r="DS71" i="115"/>
  <c r="DR2" i="115"/>
  <c r="DS60" i="115" l="1"/>
  <c r="DT105" i="115"/>
  <c r="DT106" i="115"/>
  <c r="DT101" i="115"/>
  <c r="DT104" i="115"/>
  <c r="DT103" i="115"/>
  <c r="DT102" i="115"/>
  <c r="J102" i="115"/>
  <c r="H103" i="115"/>
  <c r="L103" i="115" s="1"/>
  <c r="DT81" i="115"/>
  <c r="DT83" i="115"/>
  <c r="DT98" i="115"/>
  <c r="DT34" i="115"/>
  <c r="DT9" i="115"/>
  <c r="DT8" i="115"/>
  <c r="DT93" i="115"/>
  <c r="DT19" i="115"/>
  <c r="DT24" i="115"/>
  <c r="DT74" i="115"/>
  <c r="DT30" i="115"/>
  <c r="DT29" i="115"/>
  <c r="DT12" i="115"/>
  <c r="DT7" i="115"/>
  <c r="DT36" i="115"/>
  <c r="DT75" i="115"/>
  <c r="DT73" i="115"/>
  <c r="DT88" i="115"/>
  <c r="DT78" i="115"/>
  <c r="DT25" i="115"/>
  <c r="DT79" i="115"/>
  <c r="DT31" i="115"/>
  <c r="DT28" i="115"/>
  <c r="DT40" i="115"/>
  <c r="DT22" i="115"/>
  <c r="DT17" i="115"/>
  <c r="DT94" i="115"/>
  <c r="DT32" i="115"/>
  <c r="DT70" i="115"/>
  <c r="DT18" i="115"/>
  <c r="DT10" i="115"/>
  <c r="DT26" i="115"/>
  <c r="DT86" i="115"/>
  <c r="DT65" i="115"/>
  <c r="DT80" i="115"/>
  <c r="DT76" i="115"/>
  <c r="DT91" i="115"/>
  <c r="DT97" i="115"/>
  <c r="DT87" i="115"/>
  <c r="DT33" i="115"/>
  <c r="DT96" i="115"/>
  <c r="DT89" i="115"/>
  <c r="DT77" i="115"/>
  <c r="DT39" i="115"/>
  <c r="DT13" i="115"/>
  <c r="DT92" i="115"/>
  <c r="DT5" i="115"/>
  <c r="DT41" i="115"/>
  <c r="DT14" i="115"/>
  <c r="DT100" i="115"/>
  <c r="DT20" i="115"/>
  <c r="DT68" i="115"/>
  <c r="DT82" i="115"/>
  <c r="DT66" i="115"/>
  <c r="DT21" i="115"/>
  <c r="DT69" i="115"/>
  <c r="DT84" i="115"/>
  <c r="DT16" i="115"/>
  <c r="DT15" i="115"/>
  <c r="DT90" i="115"/>
  <c r="DT38" i="115"/>
  <c r="DT35" i="115"/>
  <c r="DT99" i="115"/>
  <c r="DT67" i="115"/>
  <c r="DT37" i="115"/>
  <c r="DT72" i="115"/>
  <c r="DT85" i="115"/>
  <c r="DT11" i="115"/>
  <c r="DT27" i="115"/>
  <c r="DT23" i="115"/>
  <c r="DT95" i="115"/>
  <c r="DT42" i="115"/>
  <c r="DU4" i="115"/>
  <c r="DT71" i="115"/>
  <c r="DS2" i="115"/>
  <c r="DT60" i="115" l="1"/>
  <c r="DU101" i="115"/>
  <c r="DU105" i="115"/>
  <c r="DU106" i="115"/>
  <c r="DU104" i="115"/>
  <c r="DU103" i="115"/>
  <c r="DU102" i="115"/>
  <c r="H104" i="115"/>
  <c r="L104" i="115" s="1"/>
  <c r="J103" i="115"/>
  <c r="DU98" i="115"/>
  <c r="DU41" i="115"/>
  <c r="DU28" i="115"/>
  <c r="DU9" i="115"/>
  <c r="DU42" i="115"/>
  <c r="DU15" i="115"/>
  <c r="DU12" i="115"/>
  <c r="DU78" i="115"/>
  <c r="DU87" i="115"/>
  <c r="DU40" i="115"/>
  <c r="DU79" i="115"/>
  <c r="DU68" i="115"/>
  <c r="DU95" i="115"/>
  <c r="DU5" i="115"/>
  <c r="DU13" i="115"/>
  <c r="DU32" i="115"/>
  <c r="DU89" i="115"/>
  <c r="DU39" i="115"/>
  <c r="DU26" i="115"/>
  <c r="DU36" i="115"/>
  <c r="DU16" i="115"/>
  <c r="DU96" i="115"/>
  <c r="DU33" i="115"/>
  <c r="DU75" i="115"/>
  <c r="DU94" i="115"/>
  <c r="DU17" i="115"/>
  <c r="DU99" i="115"/>
  <c r="DU97" i="115"/>
  <c r="DU92" i="115"/>
  <c r="DU30" i="115"/>
  <c r="DU85" i="115"/>
  <c r="DU70" i="115"/>
  <c r="DU7" i="115"/>
  <c r="DU23" i="115"/>
  <c r="DU74" i="115"/>
  <c r="DU66" i="115"/>
  <c r="DU14" i="115"/>
  <c r="DU22" i="115"/>
  <c r="DU90" i="115"/>
  <c r="DU11" i="115"/>
  <c r="DU88" i="115"/>
  <c r="DU65" i="115"/>
  <c r="DU86" i="115"/>
  <c r="DU69" i="115"/>
  <c r="DU67" i="115"/>
  <c r="DU31" i="115"/>
  <c r="DU81" i="115"/>
  <c r="DU18" i="115"/>
  <c r="DU77" i="115"/>
  <c r="DU100" i="115"/>
  <c r="DU34" i="115"/>
  <c r="DU8" i="115"/>
  <c r="DU20" i="115"/>
  <c r="DU76" i="115"/>
  <c r="DU21" i="115"/>
  <c r="DU73" i="115"/>
  <c r="DU91" i="115"/>
  <c r="DU93" i="115"/>
  <c r="DU38" i="115"/>
  <c r="DU19" i="115"/>
  <c r="DU10" i="115"/>
  <c r="DU80" i="115"/>
  <c r="DU27" i="115"/>
  <c r="DU83" i="115"/>
  <c r="DU37" i="115"/>
  <c r="DU72" i="115"/>
  <c r="DU24" i="115"/>
  <c r="DU25" i="115"/>
  <c r="DU84" i="115"/>
  <c r="DU82" i="115"/>
  <c r="DU29" i="115"/>
  <c r="DU35" i="115"/>
  <c r="DV4" i="115"/>
  <c r="DU71" i="115"/>
  <c r="DT2" i="115"/>
  <c r="DU60" i="115" l="1"/>
  <c r="DV106" i="115"/>
  <c r="DV105" i="115"/>
  <c r="DV101" i="115"/>
  <c r="DV104" i="115"/>
  <c r="DV103" i="115"/>
  <c r="DV102" i="115"/>
  <c r="H105" i="115"/>
  <c r="L105" i="115" s="1"/>
  <c r="J104" i="115"/>
  <c r="DU2" i="115"/>
  <c r="DV74" i="115"/>
  <c r="DV16" i="115"/>
  <c r="DV33" i="115"/>
  <c r="DV20" i="115"/>
  <c r="DV8" i="115"/>
  <c r="DV38" i="115"/>
  <c r="DV30" i="115"/>
  <c r="DV88" i="115"/>
  <c r="DV100" i="115"/>
  <c r="DV97" i="115"/>
  <c r="DV14" i="115"/>
  <c r="DV42" i="115"/>
  <c r="DV15" i="115"/>
  <c r="DV24" i="115"/>
  <c r="DV77" i="115"/>
  <c r="DV41" i="115"/>
  <c r="DV79" i="115"/>
  <c r="DV12" i="115"/>
  <c r="DV85" i="115"/>
  <c r="DV83" i="115"/>
  <c r="DV65" i="115"/>
  <c r="DV95" i="115"/>
  <c r="DV36" i="115"/>
  <c r="DV66" i="115"/>
  <c r="DV92" i="115"/>
  <c r="DV28" i="115"/>
  <c r="DV7" i="115"/>
  <c r="DV11" i="115"/>
  <c r="DV81" i="115"/>
  <c r="DV91" i="115"/>
  <c r="DV27" i="115"/>
  <c r="DV90" i="115"/>
  <c r="DV23" i="115"/>
  <c r="DV80" i="115"/>
  <c r="DV31" i="115"/>
  <c r="DV89" i="115"/>
  <c r="DV70" i="115"/>
  <c r="DV76" i="115"/>
  <c r="DV29" i="115"/>
  <c r="DV96" i="115"/>
  <c r="DV22" i="115"/>
  <c r="DV25" i="115"/>
  <c r="DV68" i="115"/>
  <c r="DV93" i="115"/>
  <c r="DV98" i="115"/>
  <c r="DV19" i="115"/>
  <c r="DV86" i="115"/>
  <c r="DV84" i="115"/>
  <c r="DV17" i="115"/>
  <c r="DV18" i="115"/>
  <c r="DV39" i="115"/>
  <c r="DV35" i="115"/>
  <c r="DV67" i="115"/>
  <c r="DV99" i="115"/>
  <c r="DV82" i="115"/>
  <c r="DV10" i="115"/>
  <c r="DV94" i="115"/>
  <c r="DV78" i="115"/>
  <c r="DV32" i="115"/>
  <c r="DV75" i="115"/>
  <c r="DV37" i="115"/>
  <c r="DV87" i="115"/>
  <c r="DV73" i="115"/>
  <c r="DV34" i="115"/>
  <c r="DV40" i="115"/>
  <c r="DV72" i="115"/>
  <c r="DV5" i="115"/>
  <c r="DV69" i="115"/>
  <c r="DV13" i="115"/>
  <c r="DV9" i="115"/>
  <c r="DV21" i="115"/>
  <c r="DV26" i="115"/>
  <c r="DW4" i="115"/>
  <c r="DV71" i="115"/>
  <c r="DV60" i="115" l="1"/>
  <c r="DW101" i="115"/>
  <c r="DW106" i="115"/>
  <c r="DW105" i="115"/>
  <c r="DW104" i="115"/>
  <c r="DW103" i="115"/>
  <c r="DW102" i="115"/>
  <c r="J105" i="115"/>
  <c r="H106" i="115"/>
  <c r="L106" i="115" s="1"/>
  <c r="DW33" i="115"/>
  <c r="DW94" i="115"/>
  <c r="DW83" i="115"/>
  <c r="DW84" i="115"/>
  <c r="DW15" i="115"/>
  <c r="DW30" i="115"/>
  <c r="DW70" i="115"/>
  <c r="DW37" i="115"/>
  <c r="DW72" i="115"/>
  <c r="DW74" i="115"/>
  <c r="DW86" i="115"/>
  <c r="DW24" i="115"/>
  <c r="DW19" i="115"/>
  <c r="DW99" i="115"/>
  <c r="DW5" i="115"/>
  <c r="DW66" i="115"/>
  <c r="DW35" i="115"/>
  <c r="DW65" i="115"/>
  <c r="DW39" i="115"/>
  <c r="DW8" i="115"/>
  <c r="DW87" i="115"/>
  <c r="DW11" i="115"/>
  <c r="DW41" i="115"/>
  <c r="DW40" i="115"/>
  <c r="DW90" i="115"/>
  <c r="DW85" i="115"/>
  <c r="DW27" i="115"/>
  <c r="DW38" i="115"/>
  <c r="DW7" i="115"/>
  <c r="DW96" i="115"/>
  <c r="DW21" i="115"/>
  <c r="DW12" i="115"/>
  <c r="DW80" i="115"/>
  <c r="DW92" i="115"/>
  <c r="DW13" i="115"/>
  <c r="DW88" i="115"/>
  <c r="DW95" i="115"/>
  <c r="DW14" i="115"/>
  <c r="DW10" i="115"/>
  <c r="DW68" i="115"/>
  <c r="DW25" i="115"/>
  <c r="DW22" i="115"/>
  <c r="DW36" i="115"/>
  <c r="DW31" i="115"/>
  <c r="DW26" i="115"/>
  <c r="DW17" i="115"/>
  <c r="DW91" i="115"/>
  <c r="DW9" i="115"/>
  <c r="DW78" i="115"/>
  <c r="DW77" i="115"/>
  <c r="DW89" i="115"/>
  <c r="DW32" i="115"/>
  <c r="DW28" i="115"/>
  <c r="DW75" i="115"/>
  <c r="DW76" i="115"/>
  <c r="DW93" i="115"/>
  <c r="DW81" i="115"/>
  <c r="DW97" i="115"/>
  <c r="DW34" i="115"/>
  <c r="DW82" i="115"/>
  <c r="DW16" i="115"/>
  <c r="DW18" i="115"/>
  <c r="DW42" i="115"/>
  <c r="DW79" i="115"/>
  <c r="DW67" i="115"/>
  <c r="DW69" i="115"/>
  <c r="DW73" i="115"/>
  <c r="DW23" i="115"/>
  <c r="DW29" i="115"/>
  <c r="DW100" i="115"/>
  <c r="DW98" i="115"/>
  <c r="DW20" i="115"/>
  <c r="DX4" i="115"/>
  <c r="DW71" i="115"/>
  <c r="DV2" i="115"/>
  <c r="DW60" i="115" l="1"/>
  <c r="DX105" i="115"/>
  <c r="DX101" i="115"/>
  <c r="DX106" i="115"/>
  <c r="DX104" i="115"/>
  <c r="DX103" i="115"/>
  <c r="DX102" i="115"/>
  <c r="J106" i="115"/>
  <c r="H107" i="115"/>
  <c r="L107" i="115" s="1"/>
  <c r="DW2" i="115"/>
  <c r="DX97" i="115"/>
  <c r="DX70" i="115"/>
  <c r="DX79" i="115"/>
  <c r="DX33" i="115"/>
  <c r="DX9" i="115"/>
  <c r="DX25" i="115"/>
  <c r="DX27" i="115"/>
  <c r="DX66" i="115"/>
  <c r="DX96" i="115"/>
  <c r="DX21" i="115"/>
  <c r="DX99" i="115"/>
  <c r="DX90" i="115"/>
  <c r="DX91" i="115"/>
  <c r="DX78" i="115"/>
  <c r="DX15" i="115"/>
  <c r="DX32" i="115"/>
  <c r="DX39" i="115"/>
  <c r="DX7" i="115"/>
  <c r="DX95" i="115"/>
  <c r="DX8" i="115"/>
  <c r="DX40" i="115"/>
  <c r="DX12" i="115"/>
  <c r="DX74" i="115"/>
  <c r="DX72" i="115"/>
  <c r="DX77" i="115"/>
  <c r="DX76" i="115"/>
  <c r="DX100" i="115"/>
  <c r="DX19" i="115"/>
  <c r="DX26" i="115"/>
  <c r="DX20" i="115"/>
  <c r="DX41" i="115"/>
  <c r="DX24" i="115"/>
  <c r="DX81" i="115"/>
  <c r="DX89" i="115"/>
  <c r="DX85" i="115"/>
  <c r="DX22" i="115"/>
  <c r="DX75" i="115"/>
  <c r="DX92" i="115"/>
  <c r="DX73" i="115"/>
  <c r="DX13" i="115"/>
  <c r="DX30" i="115"/>
  <c r="DX67" i="115"/>
  <c r="DX11" i="115"/>
  <c r="DX31" i="115"/>
  <c r="DX17" i="115"/>
  <c r="DX80" i="115"/>
  <c r="DX42" i="115"/>
  <c r="DX86" i="115"/>
  <c r="DX84" i="115"/>
  <c r="DX23" i="115"/>
  <c r="DX16" i="115"/>
  <c r="DX36" i="115"/>
  <c r="DX34" i="115"/>
  <c r="DX65" i="115"/>
  <c r="DX14" i="115"/>
  <c r="DX28" i="115"/>
  <c r="DX38" i="115"/>
  <c r="DX18" i="115"/>
  <c r="DX98" i="115"/>
  <c r="DX29" i="115"/>
  <c r="DX87" i="115"/>
  <c r="DX82" i="115"/>
  <c r="DX93" i="115"/>
  <c r="DX69" i="115"/>
  <c r="DX83" i="115"/>
  <c r="DX10" i="115"/>
  <c r="DX88" i="115"/>
  <c r="DX35" i="115"/>
  <c r="DX94" i="115"/>
  <c r="DX5" i="115"/>
  <c r="DX37" i="115"/>
  <c r="DX68" i="115"/>
  <c r="DY4" i="115"/>
  <c r="DX71" i="115"/>
  <c r="DX60" i="115" l="1"/>
  <c r="DY106" i="115"/>
  <c r="DY105" i="115"/>
  <c r="DY101" i="115"/>
  <c r="DY104" i="115"/>
  <c r="DY103" i="115"/>
  <c r="DY102" i="115"/>
  <c r="H108" i="115"/>
  <c r="L108" i="115" s="1"/>
  <c r="J107" i="115"/>
  <c r="DX2" i="115"/>
  <c r="DY18" i="115"/>
  <c r="DY90" i="115"/>
  <c r="DY70" i="115"/>
  <c r="DY37" i="115"/>
  <c r="DY93" i="115"/>
  <c r="DY38" i="115"/>
  <c r="DY73" i="115"/>
  <c r="DY14" i="115"/>
  <c r="DY26" i="115"/>
  <c r="DY78" i="115"/>
  <c r="DY24" i="115"/>
  <c r="DY69" i="115"/>
  <c r="DY91" i="115"/>
  <c r="DY13" i="115"/>
  <c r="DY75" i="115"/>
  <c r="DY94" i="115"/>
  <c r="DY82" i="115"/>
  <c r="DY74" i="115"/>
  <c r="DY83" i="115"/>
  <c r="DY80" i="115"/>
  <c r="DY39" i="115"/>
  <c r="DY35" i="115"/>
  <c r="DY16" i="115"/>
  <c r="DY99" i="115"/>
  <c r="DY72" i="115"/>
  <c r="DY41" i="115"/>
  <c r="DY81" i="115"/>
  <c r="DY68" i="115"/>
  <c r="DY21" i="115"/>
  <c r="DY96" i="115"/>
  <c r="DY89" i="115"/>
  <c r="DY28" i="115"/>
  <c r="DY33" i="115"/>
  <c r="DY12" i="115"/>
  <c r="DY25" i="115"/>
  <c r="DY20" i="115"/>
  <c r="DY65" i="115"/>
  <c r="DY27" i="115"/>
  <c r="DY23" i="115"/>
  <c r="DY98" i="115"/>
  <c r="DY34" i="115"/>
  <c r="DY40" i="115"/>
  <c r="DY15" i="115"/>
  <c r="DY87" i="115"/>
  <c r="DY36" i="115"/>
  <c r="DY84" i="115"/>
  <c r="DY8" i="115"/>
  <c r="DY7" i="115"/>
  <c r="DY100" i="115"/>
  <c r="DY17" i="115"/>
  <c r="DY10" i="115"/>
  <c r="DY79" i="115"/>
  <c r="DY31" i="115"/>
  <c r="DY5" i="115"/>
  <c r="DY85" i="115"/>
  <c r="DY29" i="115"/>
  <c r="DY76" i="115"/>
  <c r="DY30" i="115"/>
  <c r="DY86" i="115"/>
  <c r="DY97" i="115"/>
  <c r="DY77" i="115"/>
  <c r="DY92" i="115"/>
  <c r="DY67" i="115"/>
  <c r="DY88" i="115"/>
  <c r="DY19" i="115"/>
  <c r="DY22" i="115"/>
  <c r="DY9" i="115"/>
  <c r="DY95" i="115"/>
  <c r="DY11" i="115"/>
  <c r="DY32" i="115"/>
  <c r="DY42" i="115"/>
  <c r="DY66" i="115"/>
  <c r="DZ4" i="115"/>
  <c r="DY71" i="115"/>
  <c r="DY60" i="115" l="1"/>
  <c r="DZ101" i="115"/>
  <c r="DZ106" i="115"/>
  <c r="DZ105" i="115"/>
  <c r="DZ104" i="115"/>
  <c r="DZ103" i="115"/>
  <c r="DZ102" i="115"/>
  <c r="J108" i="115"/>
  <c r="H109" i="115"/>
  <c r="L109" i="115" s="1"/>
  <c r="DY2" i="115"/>
  <c r="DZ5" i="115"/>
  <c r="DZ89" i="115"/>
  <c r="DZ77" i="115"/>
  <c r="DZ10" i="115"/>
  <c r="DZ70" i="115"/>
  <c r="DZ39" i="115"/>
  <c r="DZ94" i="115"/>
  <c r="DZ38" i="115"/>
  <c r="DZ83" i="115"/>
  <c r="DZ18" i="115"/>
  <c r="DZ75" i="115"/>
  <c r="DZ92" i="115"/>
  <c r="DZ40" i="115"/>
  <c r="DZ28" i="115"/>
  <c r="DZ30" i="115"/>
  <c r="DZ27" i="115"/>
  <c r="DZ9" i="115"/>
  <c r="DZ97" i="115"/>
  <c r="DZ35" i="115"/>
  <c r="DZ21" i="115"/>
  <c r="DZ13" i="115"/>
  <c r="DZ12" i="115"/>
  <c r="DZ100" i="115"/>
  <c r="DZ72" i="115"/>
  <c r="DZ85" i="115"/>
  <c r="DZ36" i="115"/>
  <c r="DZ29" i="115"/>
  <c r="DZ26" i="115"/>
  <c r="DZ17" i="115"/>
  <c r="DZ24" i="115"/>
  <c r="DZ8" i="115"/>
  <c r="DZ42" i="115"/>
  <c r="DZ67" i="115"/>
  <c r="DZ16" i="115"/>
  <c r="DZ95" i="115"/>
  <c r="DZ66" i="115"/>
  <c r="DZ90" i="115"/>
  <c r="DZ80" i="115"/>
  <c r="DZ74" i="115"/>
  <c r="DZ11" i="115"/>
  <c r="DZ37" i="115"/>
  <c r="DZ88" i="115"/>
  <c r="DZ81" i="115"/>
  <c r="DZ31" i="115"/>
  <c r="DZ33" i="115"/>
  <c r="DZ98" i="115"/>
  <c r="DZ41" i="115"/>
  <c r="DZ84" i="115"/>
  <c r="DZ93" i="115"/>
  <c r="DZ76" i="115"/>
  <c r="DZ7" i="115"/>
  <c r="DZ20" i="115"/>
  <c r="DZ82" i="115"/>
  <c r="DZ25" i="115"/>
  <c r="DZ34" i="115"/>
  <c r="DZ78" i="115"/>
  <c r="DZ73" i="115"/>
  <c r="DZ22" i="115"/>
  <c r="DZ32" i="115"/>
  <c r="DZ91" i="115"/>
  <c r="DZ15" i="115"/>
  <c r="DZ69" i="115"/>
  <c r="DZ19" i="115"/>
  <c r="DZ14" i="115"/>
  <c r="DZ68" i="115"/>
  <c r="DZ79" i="115"/>
  <c r="DZ96" i="115"/>
  <c r="DZ99" i="115"/>
  <c r="DZ23" i="115"/>
  <c r="DZ86" i="115"/>
  <c r="DZ65" i="115"/>
  <c r="DZ87" i="115"/>
  <c r="EA4" i="115"/>
  <c r="DZ71" i="115"/>
  <c r="DZ60" i="115" l="1"/>
  <c r="EA105" i="115"/>
  <c r="EA106" i="115"/>
  <c r="EA101" i="115"/>
  <c r="EA104" i="115"/>
  <c r="EA103" i="115"/>
  <c r="EA102" i="115"/>
  <c r="J109" i="115"/>
  <c r="H110" i="115"/>
  <c r="L110" i="115" s="1"/>
  <c r="DZ2" i="115"/>
  <c r="EA40" i="115"/>
  <c r="EA41" i="115"/>
  <c r="EA76" i="115"/>
  <c r="EA26" i="115"/>
  <c r="EA11" i="115"/>
  <c r="EA99" i="115"/>
  <c r="EA30" i="115"/>
  <c r="EA92" i="115"/>
  <c r="EA94" i="115"/>
  <c r="EA19" i="115"/>
  <c r="EA90" i="115"/>
  <c r="EA17" i="115"/>
  <c r="EA7" i="115"/>
  <c r="EA13" i="115"/>
  <c r="EA97" i="115"/>
  <c r="EA9" i="115"/>
  <c r="EA74" i="115"/>
  <c r="EA20" i="115"/>
  <c r="EA93" i="115"/>
  <c r="EA79" i="115"/>
  <c r="EA87" i="115"/>
  <c r="EA83" i="115"/>
  <c r="EA27" i="115"/>
  <c r="EA22" i="115"/>
  <c r="EA38" i="115"/>
  <c r="EA98" i="115"/>
  <c r="EA34" i="115"/>
  <c r="EA8" i="115"/>
  <c r="EA84" i="115"/>
  <c r="EA86" i="115"/>
  <c r="EA25" i="115"/>
  <c r="EA68" i="115"/>
  <c r="EA24" i="115"/>
  <c r="EA10" i="115"/>
  <c r="EA35" i="115"/>
  <c r="EA67" i="115"/>
  <c r="EA95" i="115"/>
  <c r="EA5" i="115"/>
  <c r="EA72" i="115"/>
  <c r="EA96" i="115"/>
  <c r="EA91" i="115"/>
  <c r="EA66" i="115"/>
  <c r="EA65" i="115"/>
  <c r="EA36" i="115"/>
  <c r="EA16" i="115"/>
  <c r="EA33" i="115"/>
  <c r="EA80" i="115"/>
  <c r="EA39" i="115"/>
  <c r="EA69" i="115"/>
  <c r="EA78" i="115"/>
  <c r="EA81" i="115"/>
  <c r="EA100" i="115"/>
  <c r="EA70" i="115"/>
  <c r="EA23" i="115"/>
  <c r="EA85" i="115"/>
  <c r="EA77" i="115"/>
  <c r="EA18" i="115"/>
  <c r="EA75" i="115"/>
  <c r="EA42" i="115"/>
  <c r="EA31" i="115"/>
  <c r="EA89" i="115"/>
  <c r="EA32" i="115"/>
  <c r="EA21" i="115"/>
  <c r="EA29" i="115"/>
  <c r="EA37" i="115"/>
  <c r="EA73" i="115"/>
  <c r="EA12" i="115"/>
  <c r="EA14" i="115"/>
  <c r="EA88" i="115"/>
  <c r="EA28" i="115"/>
  <c r="EA82" i="115"/>
  <c r="EA15" i="115"/>
  <c r="EB4" i="115"/>
  <c r="EA71" i="115"/>
  <c r="EA60" i="115" l="1"/>
  <c r="EB105" i="115"/>
  <c r="EB106" i="115"/>
  <c r="EB101" i="115"/>
  <c r="EB104" i="115"/>
  <c r="EB103" i="115"/>
  <c r="EB102" i="115"/>
  <c r="J110" i="115"/>
  <c r="H111" i="115"/>
  <c r="L111" i="115" s="1"/>
  <c r="EB24" i="115"/>
  <c r="EB67" i="115"/>
  <c r="EB94" i="115"/>
  <c r="EB17" i="115"/>
  <c r="EB68" i="115"/>
  <c r="EB5" i="115"/>
  <c r="EB99" i="115"/>
  <c r="EB77" i="115"/>
  <c r="EB27" i="115"/>
  <c r="EB30" i="115"/>
  <c r="EB98" i="115"/>
  <c r="EB14" i="115"/>
  <c r="EB12" i="115"/>
  <c r="EB76" i="115"/>
  <c r="EB86" i="115"/>
  <c r="EB39" i="115"/>
  <c r="EB81" i="115"/>
  <c r="EB72" i="115"/>
  <c r="EB13" i="115"/>
  <c r="EB28" i="115"/>
  <c r="EB21" i="115"/>
  <c r="EB80" i="115"/>
  <c r="EB100" i="115"/>
  <c r="EB87" i="115"/>
  <c r="EB65" i="115"/>
  <c r="EB9" i="115"/>
  <c r="EB29" i="115"/>
  <c r="EB33" i="115"/>
  <c r="EB83" i="115"/>
  <c r="EB7" i="115"/>
  <c r="EB40" i="115"/>
  <c r="EB34" i="115"/>
  <c r="EB41" i="115"/>
  <c r="EB88" i="115"/>
  <c r="EB89" i="115"/>
  <c r="EB82" i="115"/>
  <c r="EB85" i="115"/>
  <c r="EB31" i="115"/>
  <c r="EB16" i="115"/>
  <c r="EB35" i="115"/>
  <c r="EB10" i="115"/>
  <c r="EB8" i="115"/>
  <c r="EB79" i="115"/>
  <c r="EB22" i="115"/>
  <c r="EB25" i="115"/>
  <c r="EB38" i="115"/>
  <c r="EB37" i="115"/>
  <c r="EB20" i="115"/>
  <c r="EB18" i="115"/>
  <c r="EB84" i="115"/>
  <c r="EB97" i="115"/>
  <c r="EB74" i="115"/>
  <c r="EB93" i="115"/>
  <c r="EB91" i="115"/>
  <c r="EB42" i="115"/>
  <c r="EB75" i="115"/>
  <c r="EB66" i="115"/>
  <c r="EB73" i="115"/>
  <c r="EB11" i="115"/>
  <c r="EB36" i="115"/>
  <c r="EB92" i="115"/>
  <c r="EB26" i="115"/>
  <c r="EB32" i="115"/>
  <c r="EB19" i="115"/>
  <c r="EB23" i="115"/>
  <c r="EB70" i="115"/>
  <c r="EB69" i="115"/>
  <c r="EB15" i="115"/>
  <c r="EB90" i="115"/>
  <c r="EB95" i="115"/>
  <c r="EB96" i="115"/>
  <c r="EB78" i="115"/>
  <c r="EC4" i="115"/>
  <c r="EB71" i="115"/>
  <c r="EA2" i="115"/>
  <c r="EB60" i="115" l="1"/>
  <c r="EC105" i="115"/>
  <c r="EC101" i="115"/>
  <c r="EC106" i="115"/>
  <c r="EC104" i="115"/>
  <c r="EC103" i="115"/>
  <c r="EC102" i="115"/>
  <c r="J111" i="115"/>
  <c r="H112" i="115"/>
  <c r="L112" i="115" s="1"/>
  <c r="EB2" i="115"/>
  <c r="EC92" i="115"/>
  <c r="EC95" i="115"/>
  <c r="EC100" i="115"/>
  <c r="EC38" i="115"/>
  <c r="EC89" i="115"/>
  <c r="EC94" i="115"/>
  <c r="EC39" i="115"/>
  <c r="EC16" i="115"/>
  <c r="EC91" i="115"/>
  <c r="EC20" i="115"/>
  <c r="EC75" i="115"/>
  <c r="EC72" i="115"/>
  <c r="EC25" i="115"/>
  <c r="EC37" i="115"/>
  <c r="EC99" i="115"/>
  <c r="EC96" i="115"/>
  <c r="EC14" i="115"/>
  <c r="EC93" i="115"/>
  <c r="EC87" i="115"/>
  <c r="EC85" i="115"/>
  <c r="EC23" i="115"/>
  <c r="EC98" i="115"/>
  <c r="EC26" i="115"/>
  <c r="EC83" i="115"/>
  <c r="EC5" i="115"/>
  <c r="EC65" i="115"/>
  <c r="EC70" i="115"/>
  <c r="EC7" i="115"/>
  <c r="EC81" i="115"/>
  <c r="EC80" i="115"/>
  <c r="EC36" i="115"/>
  <c r="EC12" i="115"/>
  <c r="EC82" i="115"/>
  <c r="EC19" i="115"/>
  <c r="EC68" i="115"/>
  <c r="EC18" i="115"/>
  <c r="EC35" i="115"/>
  <c r="EC41" i="115"/>
  <c r="EC79" i="115"/>
  <c r="EC34" i="115"/>
  <c r="EC31" i="115"/>
  <c r="EC67" i="115"/>
  <c r="EC84" i="115"/>
  <c r="EC8" i="115"/>
  <c r="EC66" i="115"/>
  <c r="EC77" i="115"/>
  <c r="EC17" i="115"/>
  <c r="EC29" i="115"/>
  <c r="EC22" i="115"/>
  <c r="EC11" i="115"/>
  <c r="EC24" i="115"/>
  <c r="EC97" i="115"/>
  <c r="EC74" i="115"/>
  <c r="EC32" i="115"/>
  <c r="EC28" i="115"/>
  <c r="EC78" i="115"/>
  <c r="EC21" i="115"/>
  <c r="EC33" i="115"/>
  <c r="EC86" i="115"/>
  <c r="EC15" i="115"/>
  <c r="EC42" i="115"/>
  <c r="EC69" i="115"/>
  <c r="EC30" i="115"/>
  <c r="EC90" i="115"/>
  <c r="EC10" i="115"/>
  <c r="EC88" i="115"/>
  <c r="EC76" i="115"/>
  <c r="EC27" i="115"/>
  <c r="EC13" i="115"/>
  <c r="EC9" i="115"/>
  <c r="EC40" i="115"/>
  <c r="EC73" i="115"/>
  <c r="ED4" i="115"/>
  <c r="EC71" i="115"/>
  <c r="EC60" i="115" l="1"/>
  <c r="ED105" i="115"/>
  <c r="ED106" i="115"/>
  <c r="ED101" i="115"/>
  <c r="ED104" i="115"/>
  <c r="ED103" i="115"/>
  <c r="ED102" i="115"/>
  <c r="H113" i="115"/>
  <c r="L113" i="115" s="1"/>
  <c r="J112" i="115"/>
  <c r="EC2" i="115"/>
  <c r="ED28" i="115"/>
  <c r="ED35" i="115"/>
  <c r="ED8" i="115"/>
  <c r="ED29" i="115"/>
  <c r="ED27" i="115"/>
  <c r="ED26" i="115"/>
  <c r="ED13" i="115"/>
  <c r="ED37" i="115"/>
  <c r="ED81" i="115"/>
  <c r="ED24" i="115"/>
  <c r="ED39" i="115"/>
  <c r="ED72" i="115"/>
  <c r="ED12" i="115"/>
  <c r="ED88" i="115"/>
  <c r="ED20" i="115"/>
  <c r="ED34" i="115"/>
  <c r="ED94" i="115"/>
  <c r="ED23" i="115"/>
  <c r="ED41" i="115"/>
  <c r="ED82" i="115"/>
  <c r="ED91" i="115"/>
  <c r="ED75" i="115"/>
  <c r="ED40" i="115"/>
  <c r="ED86" i="115"/>
  <c r="ED69" i="115"/>
  <c r="ED92" i="115"/>
  <c r="ED84" i="115"/>
  <c r="ED66" i="115"/>
  <c r="ED96" i="115"/>
  <c r="ED36" i="115"/>
  <c r="ED25" i="115"/>
  <c r="ED11" i="115"/>
  <c r="ED76" i="115"/>
  <c r="ED10" i="115"/>
  <c r="ED33" i="115"/>
  <c r="ED83" i="115"/>
  <c r="ED32" i="115"/>
  <c r="ED78" i="115"/>
  <c r="ED85" i="115"/>
  <c r="ED19" i="115"/>
  <c r="ED5" i="115"/>
  <c r="ED93" i="115"/>
  <c r="ED22" i="115"/>
  <c r="ED80" i="115"/>
  <c r="ED7" i="115"/>
  <c r="ED98" i="115"/>
  <c r="ED97" i="115"/>
  <c r="ED68" i="115"/>
  <c r="ED90" i="115"/>
  <c r="ED95" i="115"/>
  <c r="ED21" i="115"/>
  <c r="ED18" i="115"/>
  <c r="ED77" i="115"/>
  <c r="ED73" i="115"/>
  <c r="ED42" i="115"/>
  <c r="ED65" i="115"/>
  <c r="ED30" i="115"/>
  <c r="ED74" i="115"/>
  <c r="ED15" i="115"/>
  <c r="ED87" i="115"/>
  <c r="ED79" i="115"/>
  <c r="ED100" i="115"/>
  <c r="ED17" i="115"/>
  <c r="ED9" i="115"/>
  <c r="ED16" i="115"/>
  <c r="ED31" i="115"/>
  <c r="ED38" i="115"/>
  <c r="ED99" i="115"/>
  <c r="ED70" i="115"/>
  <c r="ED89" i="115"/>
  <c r="ED14" i="115"/>
  <c r="EE4" i="115"/>
  <c r="ED67" i="115"/>
  <c r="ED71" i="115"/>
  <c r="ED60" i="115" l="1"/>
  <c r="EE106" i="115"/>
  <c r="EE105" i="115"/>
  <c r="EE101" i="115"/>
  <c r="EE104" i="115"/>
  <c r="EE103" i="115"/>
  <c r="EE102" i="115"/>
  <c r="J113" i="115"/>
  <c r="H114" i="115"/>
  <c r="L114" i="115" s="1"/>
  <c r="ED2" i="115"/>
  <c r="EE7" i="115"/>
  <c r="EE34" i="115"/>
  <c r="EE41" i="115"/>
  <c r="EE37" i="115"/>
  <c r="EE79" i="115"/>
  <c r="EE85" i="115"/>
  <c r="EE68" i="115"/>
  <c r="EE27" i="115"/>
  <c r="EE67" i="115"/>
  <c r="EE29" i="115"/>
  <c r="EE19" i="115"/>
  <c r="EE15" i="115"/>
  <c r="EE99" i="115"/>
  <c r="EE25" i="115"/>
  <c r="EE23" i="115"/>
  <c r="EE39" i="115"/>
  <c r="EE18" i="115"/>
  <c r="EE11" i="115"/>
  <c r="EE69" i="115"/>
  <c r="EE88" i="115"/>
  <c r="EE80" i="115"/>
  <c r="EE17" i="115"/>
  <c r="EE97" i="115"/>
  <c r="EE73" i="115"/>
  <c r="EE33" i="115"/>
  <c r="EE75" i="115"/>
  <c r="EE38" i="115"/>
  <c r="EE12" i="115"/>
  <c r="EE84" i="115"/>
  <c r="EE31" i="115"/>
  <c r="EE77" i="115"/>
  <c r="EE83" i="115"/>
  <c r="EE65" i="115"/>
  <c r="EE32" i="115"/>
  <c r="EE91" i="115"/>
  <c r="EE5" i="115"/>
  <c r="EE20" i="115"/>
  <c r="EE98" i="115"/>
  <c r="EE30" i="115"/>
  <c r="EE95" i="115"/>
  <c r="EE24" i="115"/>
  <c r="EE78" i="115"/>
  <c r="EE9" i="115"/>
  <c r="EE74" i="115"/>
  <c r="EE89" i="115"/>
  <c r="EE66" i="115"/>
  <c r="EE81" i="115"/>
  <c r="EE28" i="115"/>
  <c r="EE36" i="115"/>
  <c r="EE93" i="115"/>
  <c r="EE26" i="115"/>
  <c r="EE72" i="115"/>
  <c r="EE87" i="115"/>
  <c r="EE13" i="115"/>
  <c r="EE94" i="115"/>
  <c r="EE8" i="115"/>
  <c r="EE21" i="115"/>
  <c r="EE42" i="115"/>
  <c r="EE16" i="115"/>
  <c r="EE86" i="115"/>
  <c r="EE96" i="115"/>
  <c r="EE76" i="115"/>
  <c r="EE82" i="115"/>
  <c r="EE40" i="115"/>
  <c r="EE22" i="115"/>
  <c r="EE90" i="115"/>
  <c r="EE35" i="115"/>
  <c r="EE70" i="115"/>
  <c r="EE92" i="115"/>
  <c r="EE14" i="115"/>
  <c r="EE10" i="115"/>
  <c r="EE100" i="115"/>
  <c r="EF4" i="115"/>
  <c r="EE71" i="115"/>
  <c r="EE60" i="115" l="1"/>
  <c r="EF105" i="115"/>
  <c r="EF106" i="115"/>
  <c r="EF101" i="115"/>
  <c r="EF104" i="115"/>
  <c r="EF103" i="115"/>
  <c r="EF102" i="115"/>
  <c r="J114" i="115"/>
  <c r="H115" i="115"/>
  <c r="L115" i="115" s="1"/>
  <c r="EE2" i="115"/>
  <c r="EF23" i="115"/>
  <c r="EF29" i="115"/>
  <c r="EF80" i="115"/>
  <c r="EF67" i="115"/>
  <c r="EF88" i="115"/>
  <c r="EF16" i="115"/>
  <c r="EF89" i="115"/>
  <c r="EF86" i="115"/>
  <c r="EF36" i="115"/>
  <c r="EF90" i="115"/>
  <c r="EF42" i="115"/>
  <c r="EF66" i="115"/>
  <c r="EF19" i="115"/>
  <c r="EF92" i="115"/>
  <c r="EF98" i="115"/>
  <c r="EF15" i="115"/>
  <c r="EF41" i="115"/>
  <c r="EF32" i="115"/>
  <c r="EF31" i="115"/>
  <c r="EF69" i="115"/>
  <c r="EF33" i="115"/>
  <c r="EF20" i="115"/>
  <c r="EF40" i="115"/>
  <c r="EF10" i="115"/>
  <c r="EF91" i="115"/>
  <c r="EF94" i="115"/>
  <c r="EF26" i="115"/>
  <c r="EF74" i="115"/>
  <c r="EF34" i="115"/>
  <c r="EF97" i="115"/>
  <c r="EF78" i="115"/>
  <c r="EF28" i="115"/>
  <c r="EF95" i="115"/>
  <c r="EF65" i="115"/>
  <c r="EF85" i="115"/>
  <c r="EF37" i="115"/>
  <c r="EF30" i="115"/>
  <c r="EF82" i="115"/>
  <c r="EF75" i="115"/>
  <c r="EF68" i="115"/>
  <c r="EF79" i="115"/>
  <c r="EF9" i="115"/>
  <c r="EF35" i="115"/>
  <c r="EF12" i="115"/>
  <c r="EF70" i="115"/>
  <c r="EF5" i="115"/>
  <c r="EF21" i="115"/>
  <c r="EF72" i="115"/>
  <c r="EF11" i="115"/>
  <c r="EF8" i="115"/>
  <c r="EF99" i="115"/>
  <c r="EF87" i="115"/>
  <c r="EF27" i="115"/>
  <c r="EF81" i="115"/>
  <c r="EF14" i="115"/>
  <c r="EF93" i="115"/>
  <c r="EF18" i="115"/>
  <c r="EF17" i="115"/>
  <c r="EF25" i="115"/>
  <c r="EF100" i="115"/>
  <c r="EF77" i="115"/>
  <c r="EF83" i="115"/>
  <c r="EF22" i="115"/>
  <c r="EF7" i="115"/>
  <c r="EF73" i="115"/>
  <c r="EF84" i="115"/>
  <c r="EF38" i="115"/>
  <c r="EF13" i="115"/>
  <c r="EF96" i="115"/>
  <c r="EF39" i="115"/>
  <c r="EF76" i="115"/>
  <c r="EG4" i="115"/>
  <c r="EF24" i="115"/>
  <c r="EF71" i="115"/>
  <c r="EF60" i="115" l="1"/>
  <c r="EG105" i="115"/>
  <c r="EG106" i="115"/>
  <c r="EG101" i="115"/>
  <c r="EG104" i="115"/>
  <c r="EG103" i="115"/>
  <c r="EG102" i="115"/>
  <c r="J115" i="115"/>
  <c r="H116" i="115"/>
  <c r="L116" i="115" s="1"/>
  <c r="EF2" i="115"/>
  <c r="EG92" i="115"/>
  <c r="EG22" i="115"/>
  <c r="EG97" i="115"/>
  <c r="EG77" i="115"/>
  <c r="EG72" i="115"/>
  <c r="EG35" i="115"/>
  <c r="EG33" i="115"/>
  <c r="EG8" i="115"/>
  <c r="EG65" i="115"/>
  <c r="EG20" i="115"/>
  <c r="EG16" i="115"/>
  <c r="EG31" i="115"/>
  <c r="EG80" i="115"/>
  <c r="EG19" i="115"/>
  <c r="EG37" i="115"/>
  <c r="EG98" i="115"/>
  <c r="EG88" i="115"/>
  <c r="EG27" i="115"/>
  <c r="EG66" i="115"/>
  <c r="EG10" i="115"/>
  <c r="EG25" i="115"/>
  <c r="EG85" i="115"/>
  <c r="EG87" i="115"/>
  <c r="EG75" i="115"/>
  <c r="EG78" i="115"/>
  <c r="EG82" i="115"/>
  <c r="EG69" i="115"/>
  <c r="EG76" i="115"/>
  <c r="EG13" i="115"/>
  <c r="EG32" i="115"/>
  <c r="EG41" i="115"/>
  <c r="EG84" i="115"/>
  <c r="EG89" i="115"/>
  <c r="EG95" i="115"/>
  <c r="EG67" i="115"/>
  <c r="EG11" i="115"/>
  <c r="EG14" i="115"/>
  <c r="EG74" i="115"/>
  <c r="EG7" i="115"/>
  <c r="EG91" i="115"/>
  <c r="EG12" i="115"/>
  <c r="EG42" i="115"/>
  <c r="EG81" i="115"/>
  <c r="EG99" i="115"/>
  <c r="EG38" i="115"/>
  <c r="EG68" i="115"/>
  <c r="EG30" i="115"/>
  <c r="EG79" i="115"/>
  <c r="EG39" i="115"/>
  <c r="EG36" i="115"/>
  <c r="EG26" i="115"/>
  <c r="EG40" i="115"/>
  <c r="EG23" i="115"/>
  <c r="EG70" i="115"/>
  <c r="EG24" i="115"/>
  <c r="EG29" i="115"/>
  <c r="EG100" i="115"/>
  <c r="EG90" i="115"/>
  <c r="EG73" i="115"/>
  <c r="EG83" i="115"/>
  <c r="EG18" i="115"/>
  <c r="EG28" i="115"/>
  <c r="EG5" i="115"/>
  <c r="EG9" i="115"/>
  <c r="EG94" i="115"/>
  <c r="EG15" i="115"/>
  <c r="EG21" i="115"/>
  <c r="EG17" i="115"/>
  <c r="EG96" i="115"/>
  <c r="EG86" i="115"/>
  <c r="EG34" i="115"/>
  <c r="EH4" i="115"/>
  <c r="EG93" i="115"/>
  <c r="EG71" i="115"/>
  <c r="EG60" i="115" l="1"/>
  <c r="EH101" i="115"/>
  <c r="EH105" i="115"/>
  <c r="EH106" i="115"/>
  <c r="EH104" i="115"/>
  <c r="EH103" i="115"/>
  <c r="EH102" i="115"/>
  <c r="J116" i="115"/>
  <c r="H117" i="115"/>
  <c r="L117" i="115" s="1"/>
  <c r="EH9" i="115"/>
  <c r="EH33" i="115"/>
  <c r="EH19" i="115"/>
  <c r="EH26" i="115"/>
  <c r="EH81" i="115"/>
  <c r="EH35" i="115"/>
  <c r="EH73" i="115"/>
  <c r="EH96" i="115"/>
  <c r="EH42" i="115"/>
  <c r="EH5" i="115"/>
  <c r="EH87" i="115"/>
  <c r="EH40" i="115"/>
  <c r="EH28" i="115"/>
  <c r="EH37" i="115"/>
  <c r="EH12" i="115"/>
  <c r="EH21" i="115"/>
  <c r="EH36" i="115"/>
  <c r="EH39" i="115"/>
  <c r="EH99" i="115"/>
  <c r="EH67" i="115"/>
  <c r="EH86" i="115"/>
  <c r="EH20" i="115"/>
  <c r="EH84" i="115"/>
  <c r="EH34" i="115"/>
  <c r="EH23" i="115"/>
  <c r="EH80" i="115"/>
  <c r="EH74" i="115"/>
  <c r="EH77" i="115"/>
  <c r="EH88" i="115"/>
  <c r="EH90" i="115"/>
  <c r="EH98" i="115"/>
  <c r="EH82" i="115"/>
  <c r="EH14" i="115"/>
  <c r="EH16" i="115"/>
  <c r="EH17" i="115"/>
  <c r="EH83" i="115"/>
  <c r="EH27" i="115"/>
  <c r="EH24" i="115"/>
  <c r="EH93" i="115"/>
  <c r="EH15" i="115"/>
  <c r="EH32" i="115"/>
  <c r="EH97" i="115"/>
  <c r="EH22" i="115"/>
  <c r="EH38" i="115"/>
  <c r="EH95" i="115"/>
  <c r="EH94" i="115"/>
  <c r="EH75" i="115"/>
  <c r="EH18" i="115"/>
  <c r="EH66" i="115"/>
  <c r="EH92" i="115"/>
  <c r="EH10" i="115"/>
  <c r="EH72" i="115"/>
  <c r="EH69" i="115"/>
  <c r="EH76" i="115"/>
  <c r="EH70" i="115"/>
  <c r="EH68" i="115"/>
  <c r="EH8" i="115"/>
  <c r="EH89" i="115"/>
  <c r="EH78" i="115"/>
  <c r="EH85" i="115"/>
  <c r="EH100" i="115"/>
  <c r="EH30" i="115"/>
  <c r="EH31" i="115"/>
  <c r="EH65" i="115"/>
  <c r="EH7" i="115"/>
  <c r="EH25" i="115"/>
  <c r="EH13" i="115"/>
  <c r="EH41" i="115"/>
  <c r="EH11" i="115"/>
  <c r="EI4" i="115"/>
  <c r="EH29" i="115"/>
  <c r="EH79" i="115"/>
  <c r="EH91" i="115"/>
  <c r="EH71" i="115"/>
  <c r="EG2" i="115"/>
  <c r="EH60" i="115" l="1"/>
  <c r="EI105" i="115"/>
  <c r="EI101" i="115"/>
  <c r="EI106" i="115"/>
  <c r="EI104" i="115"/>
  <c r="EI103" i="115"/>
  <c r="EI102" i="115"/>
  <c r="H118" i="115"/>
  <c r="L118" i="115" s="1"/>
  <c r="J117" i="115"/>
  <c r="EI91" i="115"/>
  <c r="EI79" i="115"/>
  <c r="EI97" i="115"/>
  <c r="EI32" i="115"/>
  <c r="EI72" i="115"/>
  <c r="EI16" i="115"/>
  <c r="EI96" i="115"/>
  <c r="EI93" i="115"/>
  <c r="EI38" i="115"/>
  <c r="EI20" i="115"/>
  <c r="EI9" i="115"/>
  <c r="EI66" i="115"/>
  <c r="EI40" i="115"/>
  <c r="EI41" i="115"/>
  <c r="EI39" i="115"/>
  <c r="EI10" i="115"/>
  <c r="EI29" i="115"/>
  <c r="EI81" i="115"/>
  <c r="EI23" i="115"/>
  <c r="EI70" i="115"/>
  <c r="EI85" i="115"/>
  <c r="EI82" i="115"/>
  <c r="EI73" i="115"/>
  <c r="EI75" i="115"/>
  <c r="EI8" i="115"/>
  <c r="EI78" i="115"/>
  <c r="EI65" i="115"/>
  <c r="EI30" i="115"/>
  <c r="EI90" i="115"/>
  <c r="EI33" i="115"/>
  <c r="EI35" i="115"/>
  <c r="EI21" i="115"/>
  <c r="EI22" i="115"/>
  <c r="EI12" i="115"/>
  <c r="EI42" i="115"/>
  <c r="EI95" i="115"/>
  <c r="EI13" i="115"/>
  <c r="EI37" i="115"/>
  <c r="EI26" i="115"/>
  <c r="EI25" i="115"/>
  <c r="EI31" i="115"/>
  <c r="EI11" i="115"/>
  <c r="EI92" i="115"/>
  <c r="EI17" i="115"/>
  <c r="EI18" i="115"/>
  <c r="EI99" i="115"/>
  <c r="EI15" i="115"/>
  <c r="EI74" i="115"/>
  <c r="EI69" i="115"/>
  <c r="EI5" i="115"/>
  <c r="EI77" i="115"/>
  <c r="EI24" i="115"/>
  <c r="EI98" i="115"/>
  <c r="EI7" i="115"/>
  <c r="EI68" i="115"/>
  <c r="EI34" i="115"/>
  <c r="EI94" i="115"/>
  <c r="EI83" i="115"/>
  <c r="EI19" i="115"/>
  <c r="EI87" i="115"/>
  <c r="EI76" i="115"/>
  <c r="EI88" i="115"/>
  <c r="EI84" i="115"/>
  <c r="EI89" i="115"/>
  <c r="EI80" i="115"/>
  <c r="EI27" i="115"/>
  <c r="EI36" i="115"/>
  <c r="EI100" i="115"/>
  <c r="EI28" i="115"/>
  <c r="EI67" i="115"/>
  <c r="EJ4" i="115"/>
  <c r="EI14" i="115"/>
  <c r="EI86" i="115"/>
  <c r="EI71" i="115"/>
  <c r="EH2" i="115"/>
  <c r="EI60" i="115" l="1"/>
  <c r="EJ101" i="115"/>
  <c r="EJ105" i="115"/>
  <c r="EJ106" i="115"/>
  <c r="EJ104" i="115"/>
  <c r="EJ103" i="115"/>
  <c r="EJ102" i="115"/>
  <c r="J118" i="115"/>
  <c r="H119" i="115"/>
  <c r="L119" i="115" s="1"/>
  <c r="EJ95" i="115"/>
  <c r="EJ38" i="115"/>
  <c r="EJ15" i="115"/>
  <c r="EJ31" i="115"/>
  <c r="EJ7" i="115"/>
  <c r="EJ72" i="115"/>
  <c r="EJ73" i="115"/>
  <c r="EJ37" i="115"/>
  <c r="EJ10" i="115"/>
  <c r="EJ5" i="115"/>
  <c r="EJ84" i="115"/>
  <c r="EJ12" i="115"/>
  <c r="EJ17" i="115"/>
  <c r="EJ100" i="115"/>
  <c r="EJ32" i="115"/>
  <c r="EJ89" i="115"/>
  <c r="EJ27" i="115"/>
  <c r="EJ85" i="115"/>
  <c r="EJ33" i="115"/>
  <c r="EJ77" i="115"/>
  <c r="EJ40" i="115"/>
  <c r="EJ80" i="115"/>
  <c r="EJ81" i="115"/>
  <c r="EJ76" i="115"/>
  <c r="EJ41" i="115"/>
  <c r="EJ98" i="115"/>
  <c r="EJ68" i="115"/>
  <c r="EJ42" i="115"/>
  <c r="EJ97" i="115"/>
  <c r="EJ20" i="115"/>
  <c r="EJ65" i="115"/>
  <c r="EJ75" i="115"/>
  <c r="EJ88" i="115"/>
  <c r="EJ23" i="115"/>
  <c r="EJ66" i="115"/>
  <c r="EJ79" i="115"/>
  <c r="EJ39" i="115"/>
  <c r="EJ30" i="115"/>
  <c r="EJ29" i="115"/>
  <c r="EJ11" i="115"/>
  <c r="EJ93" i="115"/>
  <c r="EJ18" i="115"/>
  <c r="EJ9" i="115"/>
  <c r="EJ21" i="115"/>
  <c r="EJ24" i="115"/>
  <c r="EJ87" i="115"/>
  <c r="EJ13" i="115"/>
  <c r="EJ28" i="115"/>
  <c r="EJ8" i="115"/>
  <c r="EJ26" i="115"/>
  <c r="EJ36" i="115"/>
  <c r="EJ16" i="115"/>
  <c r="EJ94" i="115"/>
  <c r="EJ90" i="115"/>
  <c r="EJ96" i="115"/>
  <c r="EJ35" i="115"/>
  <c r="EJ82" i="115"/>
  <c r="EJ34" i="115"/>
  <c r="EJ92" i="115"/>
  <c r="EJ22" i="115"/>
  <c r="EJ14" i="115"/>
  <c r="EJ19" i="115"/>
  <c r="EJ25" i="115"/>
  <c r="EJ99" i="115"/>
  <c r="EJ69" i="115"/>
  <c r="EJ91" i="115"/>
  <c r="EJ83" i="115"/>
  <c r="EJ74" i="115"/>
  <c r="EJ70" i="115"/>
  <c r="EK4" i="115"/>
  <c r="EJ78" i="115"/>
  <c r="EJ67" i="115"/>
  <c r="EJ86" i="115"/>
  <c r="EJ71" i="115"/>
  <c r="EI2" i="115"/>
  <c r="EJ60" i="115" l="1"/>
  <c r="EK101" i="115"/>
  <c r="EK106" i="115"/>
  <c r="EK105" i="115"/>
  <c r="EK104" i="115"/>
  <c r="EK103" i="115"/>
  <c r="EK102" i="115"/>
  <c r="J119" i="115"/>
  <c r="H120" i="115"/>
  <c r="L120" i="115" s="1"/>
  <c r="EK37" i="115"/>
  <c r="EK11" i="115"/>
  <c r="EK19" i="115"/>
  <c r="EK30" i="115"/>
  <c r="EK77" i="115"/>
  <c r="EK21" i="115"/>
  <c r="EK9" i="115"/>
  <c r="EK99" i="115"/>
  <c r="EK16" i="115"/>
  <c r="EK17" i="115"/>
  <c r="EK10" i="115"/>
  <c r="EK92" i="115"/>
  <c r="EK29" i="115"/>
  <c r="EK76" i="115"/>
  <c r="EK31" i="115"/>
  <c r="EK66" i="115"/>
  <c r="EK26" i="115"/>
  <c r="EK75" i="115"/>
  <c r="EK65" i="115"/>
  <c r="EK13" i="115"/>
  <c r="EK90" i="115"/>
  <c r="EK95" i="115"/>
  <c r="EK87" i="115"/>
  <c r="EK93" i="115"/>
  <c r="EK85" i="115"/>
  <c r="EK34" i="115"/>
  <c r="EK73" i="115"/>
  <c r="EK27" i="115"/>
  <c r="EK5" i="115"/>
  <c r="EK25" i="115"/>
  <c r="EK39" i="115"/>
  <c r="EK35" i="115"/>
  <c r="EK68" i="115"/>
  <c r="EK20" i="115"/>
  <c r="EK86" i="115"/>
  <c r="EK41" i="115"/>
  <c r="EK33" i="115"/>
  <c r="EK7" i="115"/>
  <c r="EK28" i="115"/>
  <c r="EK80" i="115"/>
  <c r="EK78" i="115"/>
  <c r="EK32" i="115"/>
  <c r="EK23" i="115"/>
  <c r="EK40" i="115"/>
  <c r="EK96" i="115"/>
  <c r="EK18" i="115"/>
  <c r="EK97" i="115"/>
  <c r="EK22" i="115"/>
  <c r="EK100" i="115"/>
  <c r="EK67" i="115"/>
  <c r="EK83" i="115"/>
  <c r="EK84" i="115"/>
  <c r="EK24" i="115"/>
  <c r="EK79" i="115"/>
  <c r="EK81" i="115"/>
  <c r="EK36" i="115"/>
  <c r="EK82" i="115"/>
  <c r="EK8" i="115"/>
  <c r="EK70" i="115"/>
  <c r="EK15" i="115"/>
  <c r="EK98" i="115"/>
  <c r="EK42" i="115"/>
  <c r="EK91" i="115"/>
  <c r="EK38" i="115"/>
  <c r="EK72" i="115"/>
  <c r="EK14" i="115"/>
  <c r="EK12" i="115"/>
  <c r="EK94" i="115"/>
  <c r="EK74" i="115"/>
  <c r="EK89" i="115"/>
  <c r="EL4" i="115"/>
  <c r="EK88" i="115"/>
  <c r="EK69" i="115"/>
  <c r="EK71" i="115"/>
  <c r="EJ2" i="115"/>
  <c r="EK60" i="115" l="1"/>
  <c r="AC60" i="115" s="1"/>
  <c r="EL101" i="115"/>
  <c r="EL105" i="115"/>
  <c r="EL106" i="115"/>
  <c r="EL104" i="115"/>
  <c r="EL103" i="115"/>
  <c r="EL102" i="115"/>
  <c r="J120" i="115"/>
  <c r="H121" i="115"/>
  <c r="L121" i="115" s="1"/>
  <c r="EL75" i="115"/>
  <c r="EL98" i="115"/>
  <c r="EL27" i="115"/>
  <c r="EL87" i="115"/>
  <c r="EL20" i="115"/>
  <c r="EL24" i="115"/>
  <c r="EL8" i="115"/>
  <c r="EL25" i="115"/>
  <c r="EL31" i="115"/>
  <c r="EL30" i="115"/>
  <c r="EL77" i="115"/>
  <c r="EL29" i="115"/>
  <c r="EL93" i="115"/>
  <c r="EL65" i="115"/>
  <c r="EL83" i="115"/>
  <c r="EL14" i="115"/>
  <c r="EL97" i="115"/>
  <c r="EL33" i="115"/>
  <c r="EL39" i="115"/>
  <c r="EL67" i="115"/>
  <c r="EL76" i="115"/>
  <c r="EL26" i="115"/>
  <c r="EL91" i="115"/>
  <c r="EL80" i="115"/>
  <c r="EL35" i="115"/>
  <c r="EL7" i="115"/>
  <c r="EL94" i="115"/>
  <c r="EL5" i="115"/>
  <c r="EL23" i="115"/>
  <c r="EL37" i="115"/>
  <c r="EL42" i="115"/>
  <c r="EL36" i="115"/>
  <c r="EL32" i="115"/>
  <c r="EL70" i="115"/>
  <c r="EL40" i="115"/>
  <c r="EL68" i="115"/>
  <c r="EL81" i="115"/>
  <c r="EL22" i="115"/>
  <c r="EL90" i="115"/>
  <c r="EL73" i="115"/>
  <c r="EL11" i="115"/>
  <c r="EL86" i="115"/>
  <c r="EL19" i="115"/>
  <c r="EL15" i="115"/>
  <c r="EL82" i="115"/>
  <c r="EL12" i="115"/>
  <c r="EL16" i="115"/>
  <c r="EL34" i="115"/>
  <c r="EL85" i="115"/>
  <c r="EL78" i="115"/>
  <c r="EL21" i="115"/>
  <c r="EL96" i="115"/>
  <c r="EL88" i="115"/>
  <c r="EL89" i="115"/>
  <c r="EL79" i="115"/>
  <c r="EL17" i="115"/>
  <c r="EL95" i="115"/>
  <c r="EL13" i="115"/>
  <c r="EL38" i="115"/>
  <c r="EL18" i="115"/>
  <c r="EL92" i="115"/>
  <c r="EL69" i="115"/>
  <c r="EL100" i="115"/>
  <c r="EL72" i="115"/>
  <c r="EL9" i="115"/>
  <c r="EL99" i="115"/>
  <c r="EL66" i="115"/>
  <c r="EL41" i="115"/>
  <c r="EL74" i="115"/>
  <c r="EL84" i="115"/>
  <c r="EL10" i="115"/>
  <c r="EM4" i="115"/>
  <c r="EL28" i="115"/>
  <c r="EL71" i="115"/>
  <c r="EK2" i="115"/>
  <c r="EL60" i="115" l="1"/>
  <c r="EM106" i="115"/>
  <c r="EM105" i="115"/>
  <c r="EM101" i="115"/>
  <c r="EM104" i="115"/>
  <c r="EM103" i="115"/>
  <c r="EM102" i="115"/>
  <c r="J121" i="115"/>
  <c r="H122" i="115"/>
  <c r="L122" i="115" s="1"/>
  <c r="EM85" i="115"/>
  <c r="EM89" i="115"/>
  <c r="EM88" i="115"/>
  <c r="EM84" i="115"/>
  <c r="EM28" i="115"/>
  <c r="EM81" i="115"/>
  <c r="EM41" i="115"/>
  <c r="EM98" i="115"/>
  <c r="EM8" i="115"/>
  <c r="EM90" i="115"/>
  <c r="EM21" i="115"/>
  <c r="EM16" i="115"/>
  <c r="EM40" i="115"/>
  <c r="EM78" i="115"/>
  <c r="EM67" i="115"/>
  <c r="EM5" i="115"/>
  <c r="EM29" i="115"/>
  <c r="EM36" i="115"/>
  <c r="EM86" i="115"/>
  <c r="EM91" i="115"/>
  <c r="EM27" i="115"/>
  <c r="EM30" i="115"/>
  <c r="EM73" i="115"/>
  <c r="EM77" i="115"/>
  <c r="EM92" i="115"/>
  <c r="EM80" i="115"/>
  <c r="EM72" i="115"/>
  <c r="EM75" i="115"/>
  <c r="EM20" i="115"/>
  <c r="EM7" i="115"/>
  <c r="EM26" i="115"/>
  <c r="EM97" i="115"/>
  <c r="EM32" i="115"/>
  <c r="EM38" i="115"/>
  <c r="EM87" i="115"/>
  <c r="EM17" i="115"/>
  <c r="EM39" i="115"/>
  <c r="EM12" i="115"/>
  <c r="EM10" i="115"/>
  <c r="EM33" i="115"/>
  <c r="EM42" i="115"/>
  <c r="EM15" i="115"/>
  <c r="EM94" i="115"/>
  <c r="EM66" i="115"/>
  <c r="EM11" i="115"/>
  <c r="EM74" i="115"/>
  <c r="EM24" i="115"/>
  <c r="EM76" i="115"/>
  <c r="EM96" i="115"/>
  <c r="EM31" i="115"/>
  <c r="EM35" i="115"/>
  <c r="EM23" i="115"/>
  <c r="EM95" i="115"/>
  <c r="EM18" i="115"/>
  <c r="EM9" i="115"/>
  <c r="EM93" i="115"/>
  <c r="EM65" i="115"/>
  <c r="EM83" i="115"/>
  <c r="EM34" i="115"/>
  <c r="EM68" i="115"/>
  <c r="EM100" i="115"/>
  <c r="EM99" i="115"/>
  <c r="EM19" i="115"/>
  <c r="EM70" i="115"/>
  <c r="EM22" i="115"/>
  <c r="EM82" i="115"/>
  <c r="EM79" i="115"/>
  <c r="EM69" i="115"/>
  <c r="EM14" i="115"/>
  <c r="EM13" i="115"/>
  <c r="EM25" i="115"/>
  <c r="EM37" i="115"/>
  <c r="EN4" i="115"/>
  <c r="EM71" i="115"/>
  <c r="EL2" i="115"/>
  <c r="EM60" i="115" l="1"/>
  <c r="EN106" i="115"/>
  <c r="EN101" i="115"/>
  <c r="EN105" i="115"/>
  <c r="EN104" i="115"/>
  <c r="EN103" i="115"/>
  <c r="EN102" i="115"/>
  <c r="J122" i="115"/>
  <c r="H123" i="115"/>
  <c r="L123" i="115" s="1"/>
  <c r="EM2" i="115"/>
  <c r="EN19" i="115"/>
  <c r="EN82" i="115"/>
  <c r="EN36" i="115"/>
  <c r="EN96" i="115"/>
  <c r="EN42" i="115"/>
  <c r="EN91" i="115"/>
  <c r="EN24" i="115"/>
  <c r="EN67" i="115"/>
  <c r="EN66" i="115"/>
  <c r="EN89" i="115"/>
  <c r="EN80" i="115"/>
  <c r="EN100" i="115"/>
  <c r="EN7" i="115"/>
  <c r="EN39" i="115"/>
  <c r="EN29" i="115"/>
  <c r="EN30" i="115"/>
  <c r="EN35" i="115"/>
  <c r="EN65" i="115"/>
  <c r="EN13" i="115"/>
  <c r="EN9" i="115"/>
  <c r="EN88" i="115"/>
  <c r="EN93" i="115"/>
  <c r="EN20" i="115"/>
  <c r="EN18" i="115"/>
  <c r="EN99" i="115"/>
  <c r="EN76" i="115"/>
  <c r="EN27" i="115"/>
  <c r="EN8" i="115"/>
  <c r="EN74" i="115"/>
  <c r="EN87" i="115"/>
  <c r="EN84" i="115"/>
  <c r="EN33" i="115"/>
  <c r="EN81" i="115"/>
  <c r="EN17" i="115"/>
  <c r="EN28" i="115"/>
  <c r="EN68" i="115"/>
  <c r="EN78" i="115"/>
  <c r="EN79" i="115"/>
  <c r="EN83" i="115"/>
  <c r="EN26" i="115"/>
  <c r="EN69" i="115"/>
  <c r="EN98" i="115"/>
  <c r="EN21" i="115"/>
  <c r="EN97" i="115"/>
  <c r="EN72" i="115"/>
  <c r="EN38" i="115"/>
  <c r="EN86" i="115"/>
  <c r="EN90" i="115"/>
  <c r="EN85" i="115"/>
  <c r="EN31" i="115"/>
  <c r="EN94" i="115"/>
  <c r="EN32" i="115"/>
  <c r="EN14" i="115"/>
  <c r="EN41" i="115"/>
  <c r="EN12" i="115"/>
  <c r="EN73" i="115"/>
  <c r="EN77" i="115"/>
  <c r="EN95" i="115"/>
  <c r="EN10" i="115"/>
  <c r="EN16" i="115"/>
  <c r="EN25" i="115"/>
  <c r="EN15" i="115"/>
  <c r="EN37" i="115"/>
  <c r="EN22" i="115"/>
  <c r="EO4" i="115"/>
  <c r="EN40" i="115"/>
  <c r="EN5" i="115"/>
  <c r="EN34" i="115"/>
  <c r="EN23" i="115"/>
  <c r="EN75" i="115"/>
  <c r="EN70" i="115"/>
  <c r="EN92" i="115"/>
  <c r="EN11" i="115"/>
  <c r="EN71" i="115"/>
  <c r="EN60" i="115" l="1"/>
  <c r="EO105" i="115"/>
  <c r="EO101" i="115"/>
  <c r="EO106" i="115"/>
  <c r="EO104" i="115"/>
  <c r="EO103" i="115"/>
  <c r="EO102" i="115"/>
  <c r="J123" i="115"/>
  <c r="H124" i="115"/>
  <c r="L124" i="115" s="1"/>
  <c r="EN2" i="115"/>
  <c r="EO29" i="115"/>
  <c r="EO79" i="115"/>
  <c r="EO94" i="115"/>
  <c r="EO92" i="115"/>
  <c r="EO75" i="115"/>
  <c r="EO93" i="115"/>
  <c r="EO27" i="115"/>
  <c r="EO5" i="115"/>
  <c r="EO76" i="115"/>
  <c r="EO41" i="115"/>
  <c r="EO34" i="115"/>
  <c r="EO87" i="115"/>
  <c r="EO97" i="115"/>
  <c r="EO65" i="115"/>
  <c r="EO90" i="115"/>
  <c r="EO86" i="115"/>
  <c r="EO84" i="115"/>
  <c r="EO35" i="115"/>
  <c r="EO33" i="115"/>
  <c r="EO28" i="115"/>
  <c r="EO89" i="115"/>
  <c r="EO99" i="115"/>
  <c r="EO40" i="115"/>
  <c r="EO73" i="115"/>
  <c r="EO78" i="115"/>
  <c r="EO67" i="115"/>
  <c r="EO22" i="115"/>
  <c r="EO42" i="115"/>
  <c r="EO98" i="115"/>
  <c r="EO7" i="115"/>
  <c r="EO14" i="115"/>
  <c r="EO96" i="115"/>
  <c r="EO88" i="115"/>
  <c r="EO39" i="115"/>
  <c r="EO37" i="115"/>
  <c r="EO8" i="115"/>
  <c r="EO74" i="115"/>
  <c r="EO30" i="115"/>
  <c r="EO9" i="115"/>
  <c r="EO21" i="115"/>
  <c r="EO70" i="115"/>
  <c r="EO16" i="115"/>
  <c r="EO20" i="115"/>
  <c r="EO83" i="115"/>
  <c r="EO25" i="115"/>
  <c r="EO17" i="115"/>
  <c r="EO82" i="115"/>
  <c r="EO15" i="115"/>
  <c r="EO24" i="115"/>
  <c r="EO66" i="115"/>
  <c r="EO32" i="115"/>
  <c r="EO95" i="115"/>
  <c r="EO12" i="115"/>
  <c r="EO13" i="115"/>
  <c r="EO18" i="115"/>
  <c r="EO36" i="115"/>
  <c r="EO85" i="115"/>
  <c r="EO72" i="115"/>
  <c r="EO23" i="115"/>
  <c r="EO31" i="115"/>
  <c r="EO80" i="115"/>
  <c r="EO68" i="115"/>
  <c r="EO11" i="115"/>
  <c r="EO81" i="115"/>
  <c r="EO91" i="115"/>
  <c r="EO38" i="115"/>
  <c r="EP4" i="115"/>
  <c r="EO10" i="115"/>
  <c r="EO19" i="115"/>
  <c r="EO77" i="115"/>
  <c r="EO26" i="115"/>
  <c r="EO100" i="115"/>
  <c r="EO69" i="115"/>
  <c r="EO71" i="115"/>
  <c r="EO60" i="115" l="1"/>
  <c r="EP105" i="115"/>
  <c r="EP106" i="115"/>
  <c r="EP101" i="115"/>
  <c r="EP104" i="115"/>
  <c r="EP103" i="115"/>
  <c r="EP102" i="115"/>
  <c r="J124" i="115"/>
  <c r="H125" i="115"/>
  <c r="L125" i="115" s="1"/>
  <c r="EO2" i="115"/>
  <c r="EP11" i="115"/>
  <c r="EP10" i="115"/>
  <c r="EP27" i="115"/>
  <c r="EP28" i="115"/>
  <c r="EP16" i="115"/>
  <c r="EP70" i="115"/>
  <c r="EP23" i="115"/>
  <c r="EP89" i="115"/>
  <c r="EP35" i="115"/>
  <c r="EP17" i="115"/>
  <c r="EP72" i="115"/>
  <c r="EP85" i="115"/>
  <c r="EP93" i="115"/>
  <c r="EP38" i="115"/>
  <c r="EP65" i="115"/>
  <c r="EP13" i="115"/>
  <c r="EP7" i="115"/>
  <c r="EP33" i="115"/>
  <c r="EP79" i="115"/>
  <c r="EP41" i="115"/>
  <c r="EP18" i="115"/>
  <c r="EP37" i="115"/>
  <c r="EP81" i="115"/>
  <c r="EP39" i="115"/>
  <c r="EP9" i="115"/>
  <c r="EP100" i="115"/>
  <c r="EP25" i="115"/>
  <c r="EP91" i="115"/>
  <c r="EP8" i="115"/>
  <c r="EP22" i="115"/>
  <c r="EP26" i="115"/>
  <c r="EP24" i="115"/>
  <c r="EP15" i="115"/>
  <c r="EP90" i="115"/>
  <c r="EP19" i="115"/>
  <c r="EP21" i="115"/>
  <c r="EP74" i="115"/>
  <c r="EP69" i="115"/>
  <c r="EP30" i="115"/>
  <c r="EP78" i="115"/>
  <c r="EP83" i="115"/>
  <c r="EP84" i="115"/>
  <c r="EP97" i="115"/>
  <c r="EP87" i="115"/>
  <c r="EP32" i="115"/>
  <c r="EP88" i="115"/>
  <c r="EP80" i="115"/>
  <c r="EP67" i="115"/>
  <c r="EP66" i="115"/>
  <c r="EP98" i="115"/>
  <c r="EP73" i="115"/>
  <c r="EP20" i="115"/>
  <c r="EP40" i="115"/>
  <c r="EP77" i="115"/>
  <c r="EP82" i="115"/>
  <c r="EP14" i="115"/>
  <c r="EP76" i="115"/>
  <c r="EP5" i="115"/>
  <c r="EP68" i="115"/>
  <c r="EP12" i="115"/>
  <c r="EP29" i="115"/>
  <c r="EP99" i="115"/>
  <c r="EP34" i="115"/>
  <c r="EP75" i="115"/>
  <c r="EP95" i="115"/>
  <c r="EP94" i="115"/>
  <c r="EP42" i="115"/>
  <c r="EQ4" i="115"/>
  <c r="EP96" i="115"/>
  <c r="EP36" i="115"/>
  <c r="EP86" i="115"/>
  <c r="EP92" i="115"/>
  <c r="EP31" i="115"/>
  <c r="EP71" i="115"/>
  <c r="EP60" i="115" l="1"/>
  <c r="EQ101" i="115"/>
  <c r="EQ105" i="115"/>
  <c r="EQ106" i="115"/>
  <c r="EQ104" i="115"/>
  <c r="EQ103" i="115"/>
  <c r="EQ102" i="115"/>
  <c r="H126" i="115"/>
  <c r="L126" i="115" s="1"/>
  <c r="J125" i="115"/>
  <c r="EP2" i="115"/>
  <c r="EQ99" i="115"/>
  <c r="EQ69" i="115"/>
  <c r="EQ100" i="115"/>
  <c r="EQ82" i="115"/>
  <c r="EQ15" i="115"/>
  <c r="EQ26" i="115"/>
  <c r="EQ38" i="115"/>
  <c r="EQ88" i="115"/>
  <c r="EQ34" i="115"/>
  <c r="EQ75" i="115"/>
  <c r="EQ41" i="115"/>
  <c r="EQ27" i="115"/>
  <c r="EQ81" i="115"/>
  <c r="EQ72" i="115"/>
  <c r="EQ98" i="115"/>
  <c r="EQ94" i="115"/>
  <c r="EQ20" i="115"/>
  <c r="EQ76" i="115"/>
  <c r="EQ24" i="115"/>
  <c r="EQ90" i="115"/>
  <c r="EQ8" i="115"/>
  <c r="EQ28" i="115"/>
  <c r="EQ89" i="115"/>
  <c r="EQ79" i="115"/>
  <c r="EQ32" i="115"/>
  <c r="EQ42" i="115"/>
  <c r="EQ21" i="115"/>
  <c r="EQ73" i="115"/>
  <c r="EQ65" i="115"/>
  <c r="EQ86" i="115"/>
  <c r="EQ23" i="115"/>
  <c r="EQ78" i="115"/>
  <c r="EQ85" i="115"/>
  <c r="EQ11" i="115"/>
  <c r="EQ67" i="115"/>
  <c r="EQ17" i="115"/>
  <c r="EQ10" i="115"/>
  <c r="EQ70" i="115"/>
  <c r="EQ74" i="115"/>
  <c r="EQ14" i="115"/>
  <c r="EQ36" i="115"/>
  <c r="EQ19" i="115"/>
  <c r="EQ92" i="115"/>
  <c r="EQ31" i="115"/>
  <c r="EQ7" i="115"/>
  <c r="EQ22" i="115"/>
  <c r="EQ40" i="115"/>
  <c r="EQ33" i="115"/>
  <c r="EQ84" i="115"/>
  <c r="EQ83" i="115"/>
  <c r="EQ91" i="115"/>
  <c r="EQ18" i="115"/>
  <c r="EQ16" i="115"/>
  <c r="EQ9" i="115"/>
  <c r="EQ13" i="115"/>
  <c r="EQ87" i="115"/>
  <c r="EQ66" i="115"/>
  <c r="EQ95" i="115"/>
  <c r="EQ35" i="115"/>
  <c r="EQ12" i="115"/>
  <c r="EQ97" i="115"/>
  <c r="EQ80" i="115"/>
  <c r="EQ25" i="115"/>
  <c r="EQ37" i="115"/>
  <c r="EQ96" i="115"/>
  <c r="EQ39" i="115"/>
  <c r="EQ77" i="115"/>
  <c r="EQ29" i="115"/>
  <c r="ER4" i="115"/>
  <c r="EQ5" i="115"/>
  <c r="EQ30" i="115"/>
  <c r="EQ93" i="115"/>
  <c r="EQ68" i="115"/>
  <c r="EQ71" i="115"/>
  <c r="EQ60" i="115" l="1"/>
  <c r="ER106" i="115"/>
  <c r="ER101" i="115"/>
  <c r="ER105" i="115"/>
  <c r="ER104" i="115"/>
  <c r="ER103" i="115"/>
  <c r="ER102" i="115"/>
  <c r="J126" i="115"/>
  <c r="H127" i="115"/>
  <c r="L127" i="115" s="1"/>
  <c r="ER31" i="115"/>
  <c r="ER29" i="115"/>
  <c r="ER95" i="115"/>
  <c r="ER72" i="115"/>
  <c r="ER22" i="115"/>
  <c r="ER79" i="115"/>
  <c r="ER25" i="115"/>
  <c r="ER67" i="115"/>
  <c r="ER17" i="115"/>
  <c r="ER8" i="115"/>
  <c r="ER7" i="115"/>
  <c r="ER40" i="115"/>
  <c r="ER69" i="115"/>
  <c r="ER90" i="115"/>
  <c r="ER91" i="115"/>
  <c r="ER26" i="115"/>
  <c r="ER100" i="115"/>
  <c r="ER19" i="115"/>
  <c r="ER87" i="115"/>
  <c r="ER37" i="115"/>
  <c r="ER15" i="115"/>
  <c r="ER41" i="115"/>
  <c r="ER86" i="115"/>
  <c r="ER39" i="115"/>
  <c r="ER74" i="115"/>
  <c r="ER12" i="115"/>
  <c r="ER21" i="115"/>
  <c r="ER35" i="115"/>
  <c r="ER13" i="115"/>
  <c r="ER18" i="115"/>
  <c r="ER33" i="115"/>
  <c r="ER84" i="115"/>
  <c r="ER78" i="115"/>
  <c r="ER68" i="115"/>
  <c r="ER89" i="115"/>
  <c r="ER5" i="115"/>
  <c r="ER11" i="115"/>
  <c r="ER82" i="115"/>
  <c r="ER9" i="115"/>
  <c r="ER70" i="115"/>
  <c r="ER73" i="115"/>
  <c r="ER36" i="115"/>
  <c r="ER93" i="115"/>
  <c r="ER23" i="115"/>
  <c r="ER97" i="115"/>
  <c r="ER20" i="115"/>
  <c r="ER96" i="115"/>
  <c r="ER14" i="115"/>
  <c r="ER81" i="115"/>
  <c r="ER94" i="115"/>
  <c r="ER98" i="115"/>
  <c r="ER10" i="115"/>
  <c r="ER76" i="115"/>
  <c r="ER30" i="115"/>
  <c r="ER85" i="115"/>
  <c r="ER77" i="115"/>
  <c r="ER24" i="115"/>
  <c r="ER27" i="115"/>
  <c r="ER42" i="115"/>
  <c r="ER32" i="115"/>
  <c r="ER99" i="115"/>
  <c r="ER66" i="115"/>
  <c r="ER92" i="115"/>
  <c r="ER34" i="115"/>
  <c r="ER80" i="115"/>
  <c r="ER75" i="115"/>
  <c r="ER16" i="115"/>
  <c r="ER38" i="115"/>
  <c r="ER83" i="115"/>
  <c r="ES4" i="115"/>
  <c r="ER65" i="115"/>
  <c r="ER88" i="115"/>
  <c r="ER28" i="115"/>
  <c r="ER71" i="115"/>
  <c r="EQ2" i="115"/>
  <c r="ER60" i="115" l="1"/>
  <c r="ES101" i="115"/>
  <c r="ES105" i="115"/>
  <c r="ES106" i="115"/>
  <c r="ES104" i="115"/>
  <c r="ES103" i="115"/>
  <c r="ES102" i="115"/>
  <c r="J127" i="115"/>
  <c r="H128" i="115"/>
  <c r="L128" i="115" s="1"/>
  <c r="ES99" i="115"/>
  <c r="ES20" i="115"/>
  <c r="ES27" i="115"/>
  <c r="ES29" i="115"/>
  <c r="ES92" i="115"/>
  <c r="ES25" i="115"/>
  <c r="ES98" i="115"/>
  <c r="ES87" i="115"/>
  <c r="ES80" i="115"/>
  <c r="ES74" i="115"/>
  <c r="ES70" i="115"/>
  <c r="ES67" i="115"/>
  <c r="ES40" i="115"/>
  <c r="ES31" i="115"/>
  <c r="ES75" i="115"/>
  <c r="ES32" i="115"/>
  <c r="ES28" i="115"/>
  <c r="ES65" i="115"/>
  <c r="ES8" i="115"/>
  <c r="ES66" i="115"/>
  <c r="ES14" i="115"/>
  <c r="ES15" i="115"/>
  <c r="ES26" i="115"/>
  <c r="ES22" i="115"/>
  <c r="ES37" i="115"/>
  <c r="ES78" i="115"/>
  <c r="ES30" i="115"/>
  <c r="ES79" i="115"/>
  <c r="ES69" i="115"/>
  <c r="ES36" i="115"/>
  <c r="ES23" i="115"/>
  <c r="ES41" i="115"/>
  <c r="ES68" i="115"/>
  <c r="ES9" i="115"/>
  <c r="ES84" i="115"/>
  <c r="ES18" i="115"/>
  <c r="ES39" i="115"/>
  <c r="ES94" i="115"/>
  <c r="ES88" i="115"/>
  <c r="ES72" i="115"/>
  <c r="ES91" i="115"/>
  <c r="ES33" i="115"/>
  <c r="ES10" i="115"/>
  <c r="ES76" i="115"/>
  <c r="ES7" i="115"/>
  <c r="ES24" i="115"/>
  <c r="ES97" i="115"/>
  <c r="ES34" i="115"/>
  <c r="ES5" i="115"/>
  <c r="ES42" i="115"/>
  <c r="ES96" i="115"/>
  <c r="ES82" i="115"/>
  <c r="ES35" i="115"/>
  <c r="ES93" i="115"/>
  <c r="ES38" i="115"/>
  <c r="ES100" i="115"/>
  <c r="ES73" i="115"/>
  <c r="ES81" i="115"/>
  <c r="ES11" i="115"/>
  <c r="ES17" i="115"/>
  <c r="ES86" i="115"/>
  <c r="ES90" i="115"/>
  <c r="ES12" i="115"/>
  <c r="ES89" i="115"/>
  <c r="ES21" i="115"/>
  <c r="ES77" i="115"/>
  <c r="ES19" i="115"/>
  <c r="ES95" i="115"/>
  <c r="ES16" i="115"/>
  <c r="ES83" i="115"/>
  <c r="ET4" i="115"/>
  <c r="ES85" i="115"/>
  <c r="ES13" i="115"/>
  <c r="ES71" i="115"/>
  <c r="ER2" i="115"/>
  <c r="AC2" i="115" s="1"/>
  <c r="ES60" i="115" l="1"/>
  <c r="ET106" i="115"/>
  <c r="ET105" i="115"/>
  <c r="ET101" i="115"/>
  <c r="ET104" i="115"/>
  <c r="ET103" i="115"/>
  <c r="ET102" i="115"/>
  <c r="H129" i="115"/>
  <c r="L129" i="115" s="1"/>
  <c r="J128" i="115"/>
  <c r="ET83" i="115"/>
  <c r="ET25" i="115"/>
  <c r="ET90" i="115"/>
  <c r="ET99" i="115"/>
  <c r="ET100" i="115"/>
  <c r="ET93" i="115"/>
  <c r="ET79" i="115"/>
  <c r="ET23" i="115"/>
  <c r="ET39" i="115"/>
  <c r="ET98" i="115"/>
  <c r="ET80" i="115"/>
  <c r="ET12" i="115"/>
  <c r="ET32" i="115"/>
  <c r="ET40" i="115"/>
  <c r="ET17" i="115"/>
  <c r="ET37" i="115"/>
  <c r="ET33" i="115"/>
  <c r="ET70" i="115"/>
  <c r="ET5" i="115"/>
  <c r="ET13" i="115"/>
  <c r="ET81" i="115"/>
  <c r="ET77" i="115"/>
  <c r="ET97" i="115"/>
  <c r="ET22" i="115"/>
  <c r="ET66" i="115"/>
  <c r="ET91" i="115"/>
  <c r="ET42" i="115"/>
  <c r="ET8" i="115"/>
  <c r="ET18" i="115"/>
  <c r="ET35" i="115"/>
  <c r="ET87" i="115"/>
  <c r="ET78" i="115"/>
  <c r="ET72" i="115"/>
  <c r="ET94" i="115"/>
  <c r="ET85" i="115"/>
  <c r="ET76" i="115"/>
  <c r="ET74" i="115"/>
  <c r="ET96" i="115"/>
  <c r="ET10" i="115"/>
  <c r="ET34" i="115"/>
  <c r="ET14" i="115"/>
  <c r="ET92" i="115"/>
  <c r="ET24" i="115"/>
  <c r="ET69" i="115"/>
  <c r="ET21" i="115"/>
  <c r="ET28" i="115"/>
  <c r="ET29" i="115"/>
  <c r="ET30" i="115"/>
  <c r="ET41" i="115"/>
  <c r="ET75" i="115"/>
  <c r="ET95" i="115"/>
  <c r="ET7" i="115"/>
  <c r="ET89" i="115"/>
  <c r="ET88" i="115"/>
  <c r="ET73" i="115"/>
  <c r="ET67" i="115"/>
  <c r="ET16" i="115"/>
  <c r="ET20" i="115"/>
  <c r="ET65" i="115"/>
  <c r="ET19" i="115"/>
  <c r="ET26" i="115"/>
  <c r="ET82" i="115"/>
  <c r="ET9" i="115"/>
  <c r="ET86" i="115"/>
  <c r="ET36" i="115"/>
  <c r="ET84" i="115"/>
  <c r="ET15" i="115"/>
  <c r="ET11" i="115"/>
  <c r="ET27" i="115"/>
  <c r="ET38" i="115"/>
  <c r="ET31" i="115"/>
  <c r="EU4" i="115"/>
  <c r="ET68" i="115"/>
  <c r="ET71" i="115"/>
  <c r="ES2" i="115"/>
  <c r="ET60" i="115" l="1"/>
  <c r="EU106" i="115"/>
  <c r="EU105" i="115"/>
  <c r="EU101" i="115"/>
  <c r="EU104" i="115"/>
  <c r="EU103" i="115"/>
  <c r="EU102" i="115"/>
  <c r="H130" i="115"/>
  <c r="L130" i="115" s="1"/>
  <c r="J129" i="115"/>
  <c r="EU11" i="115"/>
  <c r="EU68" i="115"/>
  <c r="EU67" i="115"/>
  <c r="EU75" i="115"/>
  <c r="EU74" i="115"/>
  <c r="EU73" i="115"/>
  <c r="EU13" i="115"/>
  <c r="EU41" i="115"/>
  <c r="EU10" i="115"/>
  <c r="EU36" i="115"/>
  <c r="EU42" i="115"/>
  <c r="EU24" i="115"/>
  <c r="EU14" i="115"/>
  <c r="EU33" i="115"/>
  <c r="EU83" i="115"/>
  <c r="EU84" i="115"/>
  <c r="EU86" i="115"/>
  <c r="EU9" i="115"/>
  <c r="EU37" i="115"/>
  <c r="EU79" i="115"/>
  <c r="EU70" i="115"/>
  <c r="EU30" i="115"/>
  <c r="EU80" i="115"/>
  <c r="EU32" i="115"/>
  <c r="EU38" i="115"/>
  <c r="EU5" i="115"/>
  <c r="EU97" i="115"/>
  <c r="EU40" i="115"/>
  <c r="EU94" i="115"/>
  <c r="EU76" i="115"/>
  <c r="EU28" i="115"/>
  <c r="EU78" i="115"/>
  <c r="EU18" i="115"/>
  <c r="EU93" i="115"/>
  <c r="EU21" i="115"/>
  <c r="EU85" i="115"/>
  <c r="EU77" i="115"/>
  <c r="EU69" i="115"/>
  <c r="EU65" i="115"/>
  <c r="EU89" i="115"/>
  <c r="EU22" i="115"/>
  <c r="EU88" i="115"/>
  <c r="EU19" i="115"/>
  <c r="EU12" i="115"/>
  <c r="EU7" i="115"/>
  <c r="EU23" i="115"/>
  <c r="EU39" i="115"/>
  <c r="EU27" i="115"/>
  <c r="EU26" i="115"/>
  <c r="EU96" i="115"/>
  <c r="EU81" i="115"/>
  <c r="EU95" i="115"/>
  <c r="EU72" i="115"/>
  <c r="EU99" i="115"/>
  <c r="EU20" i="115"/>
  <c r="EU82" i="115"/>
  <c r="EU17" i="115"/>
  <c r="EU91" i="115"/>
  <c r="EU87" i="115"/>
  <c r="EU29" i="115"/>
  <c r="EU100" i="115"/>
  <c r="EU25" i="115"/>
  <c r="EU92" i="115"/>
  <c r="EU8" i="115"/>
  <c r="EU34" i="115"/>
  <c r="EU35" i="115"/>
  <c r="EU16" i="115"/>
  <c r="EU90" i="115"/>
  <c r="EU15" i="115"/>
  <c r="EU98" i="115"/>
  <c r="EU31" i="115"/>
  <c r="EU66" i="115"/>
  <c r="EV4" i="115"/>
  <c r="EU71" i="115"/>
  <c r="ET2" i="115"/>
  <c r="EU60" i="115" l="1"/>
  <c r="EV101" i="115"/>
  <c r="EV106" i="115"/>
  <c r="EV105" i="115"/>
  <c r="EV104" i="115"/>
  <c r="EV103" i="115"/>
  <c r="EV102" i="115"/>
  <c r="J130" i="115"/>
  <c r="H131" i="115"/>
  <c r="L131" i="115" s="1"/>
  <c r="EU2" i="115"/>
  <c r="EV79" i="115"/>
  <c r="EV90" i="115"/>
  <c r="EV25" i="115"/>
  <c r="EV15" i="115"/>
  <c r="EV33" i="115"/>
  <c r="EV21" i="115"/>
  <c r="EV41" i="115"/>
  <c r="EV18" i="115"/>
  <c r="EV87" i="115"/>
  <c r="EV89" i="115"/>
  <c r="EV22" i="115"/>
  <c r="EV68" i="115"/>
  <c r="EV99" i="115"/>
  <c r="EV31" i="115"/>
  <c r="EV36" i="115"/>
  <c r="EV10" i="115"/>
  <c r="EV97" i="115"/>
  <c r="EV40" i="115"/>
  <c r="EV78" i="115"/>
  <c r="EV88" i="115"/>
  <c r="EV35" i="115"/>
  <c r="EV86" i="115"/>
  <c r="EV75" i="115"/>
  <c r="EV65" i="115"/>
  <c r="EV66" i="115"/>
  <c r="EV24" i="115"/>
  <c r="EV23" i="115"/>
  <c r="EV28" i="115"/>
  <c r="EV70" i="115"/>
  <c r="EV29" i="115"/>
  <c r="EV19" i="115"/>
  <c r="EV95" i="115"/>
  <c r="EV32" i="115"/>
  <c r="EV11" i="115"/>
  <c r="EV81" i="115"/>
  <c r="EV91" i="115"/>
  <c r="EV34" i="115"/>
  <c r="EV13" i="115"/>
  <c r="EV96" i="115"/>
  <c r="EV42" i="115"/>
  <c r="EV100" i="115"/>
  <c r="EV8" i="115"/>
  <c r="EV37" i="115"/>
  <c r="EV16" i="115"/>
  <c r="EV12" i="115"/>
  <c r="EV82" i="115"/>
  <c r="EV30" i="115"/>
  <c r="EV85" i="115"/>
  <c r="EV26" i="115"/>
  <c r="EV20" i="115"/>
  <c r="EV74" i="115"/>
  <c r="EV93" i="115"/>
  <c r="EV69" i="115"/>
  <c r="EV5" i="115"/>
  <c r="EV72" i="115"/>
  <c r="EV94" i="115"/>
  <c r="EV77" i="115"/>
  <c r="EV14" i="115"/>
  <c r="EV98" i="115"/>
  <c r="EV84" i="115"/>
  <c r="EV7" i="115"/>
  <c r="EV9" i="115"/>
  <c r="EV80" i="115"/>
  <c r="EV73" i="115"/>
  <c r="EW4" i="115"/>
  <c r="EV76" i="115"/>
  <c r="EV38" i="115"/>
  <c r="EV27" i="115"/>
  <c r="EV17" i="115"/>
  <c r="EV39" i="115"/>
  <c r="EV83" i="115"/>
  <c r="EV92" i="115"/>
  <c r="EV67" i="115"/>
  <c r="EV71" i="115"/>
  <c r="EV60" i="115" l="1"/>
  <c r="EW101" i="115"/>
  <c r="EW106" i="115"/>
  <c r="EW105" i="115"/>
  <c r="EW104" i="115"/>
  <c r="EW103" i="115"/>
  <c r="EW102" i="115"/>
  <c r="J131" i="115"/>
  <c r="H132" i="115"/>
  <c r="L132" i="115" s="1"/>
  <c r="EV2" i="115"/>
  <c r="EW66" i="115"/>
  <c r="EW98" i="115"/>
  <c r="EW19" i="115"/>
  <c r="EW70" i="115"/>
  <c r="EW100" i="115"/>
  <c r="EW20" i="115"/>
  <c r="EW81" i="115"/>
  <c r="EW35" i="115"/>
  <c r="EW12" i="115"/>
  <c r="EW76" i="115"/>
  <c r="EW15" i="115"/>
  <c r="EW79" i="115"/>
  <c r="EW83" i="115"/>
  <c r="EW18" i="115"/>
  <c r="EW24" i="115"/>
  <c r="EW28" i="115"/>
  <c r="EW87" i="115"/>
  <c r="EW29" i="115"/>
  <c r="EW8" i="115"/>
  <c r="EW14" i="115"/>
  <c r="EW99" i="115"/>
  <c r="EW9" i="115"/>
  <c r="EW75" i="115"/>
  <c r="EW38" i="115"/>
  <c r="EW33" i="115"/>
  <c r="EW84" i="115"/>
  <c r="EW10" i="115"/>
  <c r="EW7" i="115"/>
  <c r="EW78" i="115"/>
  <c r="EW36" i="115"/>
  <c r="EW32" i="115"/>
  <c r="EW17" i="115"/>
  <c r="EW31" i="115"/>
  <c r="EW94" i="115"/>
  <c r="EW69" i="115"/>
  <c r="EW13" i="115"/>
  <c r="EW82" i="115"/>
  <c r="EW77" i="115"/>
  <c r="EW85" i="115"/>
  <c r="EW30" i="115"/>
  <c r="EW42" i="115"/>
  <c r="EW72" i="115"/>
  <c r="EW37" i="115"/>
  <c r="EW91" i="115"/>
  <c r="EW16" i="115"/>
  <c r="EW93" i="115"/>
  <c r="EW34" i="115"/>
  <c r="EW67" i="115"/>
  <c r="EW95" i="115"/>
  <c r="EW11" i="115"/>
  <c r="EW97" i="115"/>
  <c r="EW80" i="115"/>
  <c r="EW73" i="115"/>
  <c r="EW90" i="115"/>
  <c r="EW40" i="115"/>
  <c r="EW39" i="115"/>
  <c r="EW89" i="115"/>
  <c r="EW27" i="115"/>
  <c r="EW5" i="115"/>
  <c r="EW74" i="115"/>
  <c r="EW26" i="115"/>
  <c r="EW96" i="115"/>
  <c r="EW65" i="115"/>
  <c r="EW41" i="115"/>
  <c r="EW88" i="115"/>
  <c r="EW21" i="115"/>
  <c r="EX4" i="115"/>
  <c r="EW68" i="115"/>
  <c r="EW23" i="115"/>
  <c r="EW22" i="115"/>
  <c r="EW25" i="115"/>
  <c r="EW92" i="115"/>
  <c r="EW86" i="115"/>
  <c r="EW71" i="115"/>
  <c r="EW60" i="115" l="1"/>
  <c r="EX105" i="115"/>
  <c r="EX106" i="115"/>
  <c r="EX101" i="115"/>
  <c r="EX104" i="115"/>
  <c r="EX103" i="115"/>
  <c r="EX102" i="115"/>
  <c r="J132" i="115"/>
  <c r="H133" i="115"/>
  <c r="L133" i="115" s="1"/>
  <c r="EW2" i="115"/>
  <c r="EX98" i="115"/>
  <c r="EX30" i="115"/>
  <c r="EX31" i="115"/>
  <c r="EX82" i="115"/>
  <c r="EX12" i="115"/>
  <c r="EX37" i="115"/>
  <c r="EX74" i="115"/>
  <c r="EX77" i="115"/>
  <c r="EX92" i="115"/>
  <c r="EX88" i="115"/>
  <c r="EX89" i="115"/>
  <c r="EX80" i="115"/>
  <c r="EX21" i="115"/>
  <c r="EX93" i="115"/>
  <c r="EX7" i="115"/>
  <c r="EX83" i="115"/>
  <c r="EX14" i="115"/>
  <c r="EX68" i="115"/>
  <c r="EX99" i="115"/>
  <c r="EX69" i="115"/>
  <c r="EX5" i="115"/>
  <c r="EX34" i="115"/>
  <c r="EX9" i="115"/>
  <c r="EX35" i="115"/>
  <c r="EX29" i="115"/>
  <c r="EX28" i="115"/>
  <c r="EX95" i="115"/>
  <c r="EX70" i="115"/>
  <c r="EX39" i="115"/>
  <c r="EX66" i="115"/>
  <c r="EX85" i="115"/>
  <c r="EX91" i="115"/>
  <c r="EX73" i="115"/>
  <c r="EX78" i="115"/>
  <c r="EX11" i="115"/>
  <c r="EX94" i="115"/>
  <c r="EX97" i="115"/>
  <c r="EX24" i="115"/>
  <c r="EX27" i="115"/>
  <c r="EX16" i="115"/>
  <c r="EX96" i="115"/>
  <c r="EX76" i="115"/>
  <c r="EX8" i="115"/>
  <c r="EX81" i="115"/>
  <c r="EX25" i="115"/>
  <c r="EX84" i="115"/>
  <c r="EX65" i="115"/>
  <c r="EX41" i="115"/>
  <c r="EX15" i="115"/>
  <c r="EX32" i="115"/>
  <c r="EX13" i="115"/>
  <c r="EX100" i="115"/>
  <c r="EX40" i="115"/>
  <c r="EX90" i="115"/>
  <c r="EX17" i="115"/>
  <c r="EX87" i="115"/>
  <c r="EX75" i="115"/>
  <c r="EX79" i="115"/>
  <c r="EX19" i="115"/>
  <c r="EX26" i="115"/>
  <c r="EX36" i="115"/>
  <c r="EX10" i="115"/>
  <c r="EX23" i="115"/>
  <c r="EX38" i="115"/>
  <c r="EX86" i="115"/>
  <c r="EX22" i="115"/>
  <c r="EX67" i="115"/>
  <c r="EY4" i="115"/>
  <c r="EX20" i="115"/>
  <c r="EX72" i="115"/>
  <c r="EX33" i="115"/>
  <c r="EX18" i="115"/>
  <c r="EX42" i="115"/>
  <c r="EX71" i="115"/>
  <c r="EX60" i="115" l="1"/>
  <c r="EY101" i="115"/>
  <c r="EY105" i="115"/>
  <c r="EY106" i="115"/>
  <c r="EY104" i="115"/>
  <c r="EY103" i="115"/>
  <c r="EY102" i="115"/>
  <c r="J133" i="115"/>
  <c r="H134" i="115"/>
  <c r="L134" i="115" s="1"/>
  <c r="EY21" i="115"/>
  <c r="EY29" i="115"/>
  <c r="EY32" i="115"/>
  <c r="EY36" i="115"/>
  <c r="EY26" i="115"/>
  <c r="EY39" i="115"/>
  <c r="EY30" i="115"/>
  <c r="EY77" i="115"/>
  <c r="EY96" i="115"/>
  <c r="EY90" i="115"/>
  <c r="EY12" i="115"/>
  <c r="EY28" i="115"/>
  <c r="EY7" i="115"/>
  <c r="EY11" i="115"/>
  <c r="EY82" i="115"/>
  <c r="EY8" i="115"/>
  <c r="EY20" i="115"/>
  <c r="EY89" i="115"/>
  <c r="EY78" i="115"/>
  <c r="EY19" i="115"/>
  <c r="EY17" i="115"/>
  <c r="EY70" i="115"/>
  <c r="EY98" i="115"/>
  <c r="EY97" i="115"/>
  <c r="EY34" i="115"/>
  <c r="EY5" i="115"/>
  <c r="EY99" i="115"/>
  <c r="EY10" i="115"/>
  <c r="EY22" i="115"/>
  <c r="EY79" i="115"/>
  <c r="EY35" i="115"/>
  <c r="EY25" i="115"/>
  <c r="EY100" i="115"/>
  <c r="EY23" i="115"/>
  <c r="EY40" i="115"/>
  <c r="EY74" i="115"/>
  <c r="EY24" i="115"/>
  <c r="EY81" i="115"/>
  <c r="EY67" i="115"/>
  <c r="EY87" i="115"/>
  <c r="EY38" i="115"/>
  <c r="EY18" i="115"/>
  <c r="EY88" i="115"/>
  <c r="EY37" i="115"/>
  <c r="EY16" i="115"/>
  <c r="EY42" i="115"/>
  <c r="EY94" i="115"/>
  <c r="EY84" i="115"/>
  <c r="EY76" i="115"/>
  <c r="EY92" i="115"/>
  <c r="EY73" i="115"/>
  <c r="EY83" i="115"/>
  <c r="EY9" i="115"/>
  <c r="EY41" i="115"/>
  <c r="EY65" i="115"/>
  <c r="EY31" i="115"/>
  <c r="EY33" i="115"/>
  <c r="EZ4" i="115"/>
  <c r="EY91" i="115"/>
  <c r="EY13" i="115"/>
  <c r="EY72" i="115"/>
  <c r="EY85" i="115"/>
  <c r="EY69" i="115"/>
  <c r="EY95" i="115"/>
  <c r="EY93" i="115"/>
  <c r="EY68" i="115"/>
  <c r="EY66" i="115"/>
  <c r="EY80" i="115"/>
  <c r="EY75" i="115"/>
  <c r="EY15" i="115"/>
  <c r="EY14" i="115"/>
  <c r="EY86" i="115"/>
  <c r="EY27" i="115"/>
  <c r="EY71" i="115"/>
  <c r="EX2" i="115"/>
  <c r="EY60" i="115" l="1"/>
  <c r="EZ105" i="115"/>
  <c r="EZ106" i="115"/>
  <c r="EZ101" i="115"/>
  <c r="EZ104" i="115"/>
  <c r="EZ103" i="115"/>
  <c r="EZ102" i="115"/>
  <c r="J134" i="115"/>
  <c r="H135" i="115"/>
  <c r="L135" i="115" s="1"/>
  <c r="EY2" i="115"/>
  <c r="EZ39" i="115"/>
  <c r="EZ78" i="115"/>
  <c r="EZ79" i="115"/>
  <c r="EZ5" i="115"/>
  <c r="EZ9" i="115"/>
  <c r="EZ35" i="115"/>
  <c r="EZ38" i="115"/>
  <c r="EZ24" i="115"/>
  <c r="EZ94" i="115"/>
  <c r="EZ15" i="115"/>
  <c r="EZ10" i="115"/>
  <c r="EZ88" i="115"/>
  <c r="EZ34" i="115"/>
  <c r="EZ82" i="115"/>
  <c r="EZ86" i="115"/>
  <c r="EZ73" i="115"/>
  <c r="EZ75" i="115"/>
  <c r="EZ90" i="115"/>
  <c r="EZ32" i="115"/>
  <c r="EZ31" i="115"/>
  <c r="EZ37" i="115"/>
  <c r="EZ21" i="115"/>
  <c r="EZ7" i="115"/>
  <c r="EZ77" i="115"/>
  <c r="EZ84" i="115"/>
  <c r="EZ97" i="115"/>
  <c r="EZ66" i="115"/>
  <c r="EZ22" i="115"/>
  <c r="EZ28" i="115"/>
  <c r="EZ14" i="115"/>
  <c r="EZ13" i="115"/>
  <c r="EZ68" i="115"/>
  <c r="EZ11" i="115"/>
  <c r="EZ42" i="115"/>
  <c r="EZ98" i="115"/>
  <c r="EZ29" i="115"/>
  <c r="EZ19" i="115"/>
  <c r="EZ40" i="115"/>
  <c r="EZ85" i="115"/>
  <c r="EZ30" i="115"/>
  <c r="EZ80" i="115"/>
  <c r="EZ67" i="115"/>
  <c r="EZ92" i="115"/>
  <c r="EZ12" i="115"/>
  <c r="EZ69" i="115"/>
  <c r="EZ93" i="115"/>
  <c r="EZ20" i="115"/>
  <c r="EZ83" i="115"/>
  <c r="EZ89" i="115"/>
  <c r="EZ76" i="115"/>
  <c r="EZ18" i="115"/>
  <c r="EZ100" i="115"/>
  <c r="EZ74" i="115"/>
  <c r="EZ23" i="115"/>
  <c r="EZ70" i="115"/>
  <c r="EZ16" i="115"/>
  <c r="FA4" i="115"/>
  <c r="EZ81" i="115"/>
  <c r="EZ8" i="115"/>
  <c r="EZ91" i="115"/>
  <c r="EZ65" i="115"/>
  <c r="EZ25" i="115"/>
  <c r="EZ33" i="115"/>
  <c r="EZ36" i="115"/>
  <c r="EZ41" i="115"/>
  <c r="EZ87" i="115"/>
  <c r="EZ95" i="115"/>
  <c r="EZ26" i="115"/>
  <c r="EZ27" i="115"/>
  <c r="EZ99" i="115"/>
  <c r="EZ96" i="115"/>
  <c r="EZ17" i="115"/>
  <c r="EZ72" i="115"/>
  <c r="EZ71" i="115"/>
  <c r="I130" i="115" l="1"/>
  <c r="I13" i="115"/>
  <c r="EZ60" i="115"/>
  <c r="FA105" i="115"/>
  <c r="FA106" i="115"/>
  <c r="FA101" i="115"/>
  <c r="FA104" i="115"/>
  <c r="FA103" i="115"/>
  <c r="FA102" i="115"/>
  <c r="I131" i="115"/>
  <c r="K42" i="115"/>
  <c r="K45" i="115"/>
  <c r="K43" i="115"/>
  <c r="K44" i="115"/>
  <c r="K46" i="115"/>
  <c r="K48" i="115"/>
  <c r="K47" i="115"/>
  <c r="I14" i="115"/>
  <c r="I17" i="115"/>
  <c r="I16" i="115"/>
  <c r="I15" i="115"/>
  <c r="I20" i="115"/>
  <c r="I19" i="115"/>
  <c r="I18" i="115"/>
  <c r="I21" i="115"/>
  <c r="I24" i="115"/>
  <c r="I23" i="115"/>
  <c r="I22" i="115"/>
  <c r="I25" i="115"/>
  <c r="I27" i="115"/>
  <c r="I28" i="115"/>
  <c r="I26" i="115"/>
  <c r="I30" i="115"/>
  <c r="I31" i="115"/>
  <c r="I29" i="115"/>
  <c r="I33" i="115"/>
  <c r="I32" i="115"/>
  <c r="I34" i="115"/>
  <c r="I37" i="115"/>
  <c r="I35" i="115"/>
  <c r="I36" i="115"/>
  <c r="I38" i="115"/>
  <c r="I40" i="115"/>
  <c r="I39" i="115"/>
  <c r="I41" i="115"/>
  <c r="H136" i="115"/>
  <c r="J135" i="115"/>
  <c r="K134" i="115"/>
  <c r="I133" i="115"/>
  <c r="K49" i="115"/>
  <c r="K50" i="115"/>
  <c r="K53" i="115"/>
  <c r="K51" i="115"/>
  <c r="K52" i="115"/>
  <c r="K54" i="115"/>
  <c r="K57" i="115"/>
  <c r="K55" i="115"/>
  <c r="K56" i="115"/>
  <c r="K58" i="115"/>
  <c r="K61" i="115"/>
  <c r="K59" i="115"/>
  <c r="K60" i="115"/>
  <c r="K62" i="115"/>
  <c r="K64" i="115"/>
  <c r="K63" i="115"/>
  <c r="K66" i="115"/>
  <c r="K65" i="115"/>
  <c r="K68" i="115"/>
  <c r="K67" i="115"/>
  <c r="K70" i="115"/>
  <c r="K69" i="115"/>
  <c r="K72" i="115"/>
  <c r="K71" i="115"/>
  <c r="K73" i="115"/>
  <c r="K74" i="115"/>
  <c r="K76" i="115"/>
  <c r="K75" i="115"/>
  <c r="K78" i="115"/>
  <c r="K77" i="115"/>
  <c r="K80" i="115"/>
  <c r="K79" i="115"/>
  <c r="K82" i="115"/>
  <c r="K81" i="115"/>
  <c r="K84" i="115"/>
  <c r="K83" i="115"/>
  <c r="K86" i="115"/>
  <c r="K85" i="115"/>
  <c r="K88" i="115"/>
  <c r="K87" i="115"/>
  <c r="K90" i="115"/>
  <c r="K89" i="115"/>
  <c r="K92" i="115"/>
  <c r="K91" i="115"/>
  <c r="K94" i="115"/>
  <c r="K93" i="115"/>
  <c r="K96" i="115"/>
  <c r="K95" i="115"/>
  <c r="K98" i="115"/>
  <c r="K97" i="115"/>
  <c r="K100" i="115"/>
  <c r="K99" i="115"/>
  <c r="K101" i="115"/>
  <c r="K103" i="115"/>
  <c r="K102" i="115"/>
  <c r="K105" i="115"/>
  <c r="K104" i="115"/>
  <c r="K108" i="115"/>
  <c r="K106" i="115"/>
  <c r="K107" i="115"/>
  <c r="K109" i="115"/>
  <c r="K110" i="115"/>
  <c r="K112" i="115"/>
  <c r="K111" i="115"/>
  <c r="K115" i="115"/>
  <c r="K113" i="115"/>
  <c r="K114" i="115"/>
  <c r="K116" i="115"/>
  <c r="K118" i="115"/>
  <c r="K117" i="115"/>
  <c r="K120" i="115"/>
  <c r="K119" i="115"/>
  <c r="K121" i="115"/>
  <c r="K124" i="115"/>
  <c r="K122" i="115"/>
  <c r="K123" i="115"/>
  <c r="K125" i="115"/>
  <c r="K127" i="115"/>
  <c r="K126" i="115"/>
  <c r="K129" i="115"/>
  <c r="K128" i="115"/>
  <c r="K132" i="115"/>
  <c r="K130" i="115"/>
  <c r="K131" i="115"/>
  <c r="K133" i="115"/>
  <c r="K135" i="115"/>
  <c r="FA39" i="115"/>
  <c r="FA70" i="115"/>
  <c r="FA22" i="115"/>
  <c r="FA8" i="115"/>
  <c r="FA69" i="115"/>
  <c r="FA77" i="115"/>
  <c r="FA88" i="115"/>
  <c r="FA80" i="115"/>
  <c r="FA73" i="115"/>
  <c r="FA20" i="115"/>
  <c r="FA26" i="115"/>
  <c r="FA23" i="115"/>
  <c r="FA14" i="115"/>
  <c r="FA30" i="115"/>
  <c r="FA78" i="115"/>
  <c r="FA5" i="115"/>
  <c r="FA42" i="115"/>
  <c r="FA81" i="115"/>
  <c r="FA38" i="115"/>
  <c r="FA79" i="115"/>
  <c r="FA92" i="115"/>
  <c r="FA82" i="115"/>
  <c r="FA89" i="115"/>
  <c r="FA29" i="115"/>
  <c r="FA91" i="115"/>
  <c r="FA72" i="115"/>
  <c r="FA34" i="115"/>
  <c r="FA15" i="115"/>
  <c r="FA97" i="115"/>
  <c r="FA98" i="115"/>
  <c r="FA86" i="115"/>
  <c r="FA9" i="115"/>
  <c r="FA13" i="115"/>
  <c r="FA83" i="115"/>
  <c r="FA66" i="115"/>
  <c r="FA87" i="115"/>
  <c r="FA67" i="115"/>
  <c r="FA100" i="115"/>
  <c r="FA76" i="115"/>
  <c r="FA18" i="115"/>
  <c r="FA11" i="115"/>
  <c r="FA93" i="115"/>
  <c r="FA36" i="115"/>
  <c r="FA68" i="115"/>
  <c r="FA31" i="115"/>
  <c r="FA17" i="115"/>
  <c r="FA41" i="115"/>
  <c r="FA28" i="115"/>
  <c r="FA25" i="115"/>
  <c r="FA19" i="115"/>
  <c r="FA84" i="115"/>
  <c r="FA75" i="115"/>
  <c r="FA74" i="115"/>
  <c r="FA96" i="115"/>
  <c r="FA37" i="115"/>
  <c r="FA32" i="115"/>
  <c r="FA7" i="115"/>
  <c r="FA90" i="115"/>
  <c r="FA95" i="115"/>
  <c r="FA24" i="115"/>
  <c r="FA85" i="115"/>
  <c r="FA10" i="115"/>
  <c r="FA33" i="115"/>
  <c r="FA21" i="115"/>
  <c r="FA94" i="115"/>
  <c r="FA27" i="115"/>
  <c r="FA99" i="115"/>
  <c r="FA65" i="115"/>
  <c r="FA35" i="115"/>
  <c r="FA40" i="115"/>
  <c r="FA16" i="115"/>
  <c r="FA12" i="115"/>
  <c r="FA71" i="115"/>
  <c r="I42" i="115"/>
  <c r="I44" i="115"/>
  <c r="I45" i="115"/>
  <c r="I43" i="115"/>
  <c r="I46" i="115"/>
  <c r="I47" i="115"/>
  <c r="I49" i="115"/>
  <c r="I48" i="115"/>
  <c r="I50" i="115"/>
  <c r="I51" i="115"/>
  <c r="I53" i="115"/>
  <c r="I54" i="115"/>
  <c r="I52" i="115"/>
  <c r="I55" i="115"/>
  <c r="I56" i="115"/>
  <c r="I58" i="115"/>
  <c r="I57" i="115"/>
  <c r="I59" i="115"/>
  <c r="I61" i="115"/>
  <c r="I60" i="115"/>
  <c r="I65" i="115"/>
  <c r="I63" i="115"/>
  <c r="I62" i="115"/>
  <c r="I64" i="115"/>
  <c r="I66" i="115"/>
  <c r="I67" i="115"/>
  <c r="I68" i="115"/>
  <c r="I69" i="115"/>
  <c r="I70" i="115"/>
  <c r="I71" i="115"/>
  <c r="I74" i="115"/>
  <c r="I72" i="115"/>
  <c r="I73" i="115"/>
  <c r="I75" i="115"/>
  <c r="I77" i="115"/>
  <c r="I76" i="115"/>
  <c r="I79" i="115"/>
  <c r="I78" i="115"/>
  <c r="I81" i="115"/>
  <c r="I80" i="115"/>
  <c r="I83" i="115"/>
  <c r="I82" i="115"/>
  <c r="I84" i="115"/>
  <c r="I89" i="115"/>
  <c r="I85" i="115"/>
  <c r="I86" i="115"/>
  <c r="I88" i="115"/>
  <c r="I91" i="115"/>
  <c r="I87" i="115"/>
  <c r="I92" i="115"/>
  <c r="I90" i="115"/>
  <c r="I93" i="115"/>
  <c r="I94" i="115"/>
  <c r="I95" i="115"/>
  <c r="I99" i="115"/>
  <c r="I97" i="115"/>
  <c r="I98" i="115"/>
  <c r="I96" i="115"/>
  <c r="I102" i="115"/>
  <c r="I100" i="115"/>
  <c r="I101" i="115"/>
  <c r="I105" i="115"/>
  <c r="I103" i="115"/>
  <c r="I106" i="115"/>
  <c r="I104" i="115"/>
  <c r="I107" i="115"/>
  <c r="I109" i="115"/>
  <c r="I108" i="115"/>
  <c r="I110" i="115"/>
  <c r="I111" i="115"/>
  <c r="I112" i="115"/>
  <c r="I113" i="115"/>
  <c r="I117" i="115"/>
  <c r="I116" i="115"/>
  <c r="I115" i="115"/>
  <c r="I114" i="115"/>
  <c r="I118" i="115"/>
  <c r="I119" i="115"/>
  <c r="I120" i="115"/>
  <c r="I121" i="115"/>
  <c r="I122" i="115"/>
  <c r="I124" i="115"/>
  <c r="I125" i="115"/>
  <c r="I123" i="115"/>
  <c r="I127" i="115"/>
  <c r="I126" i="115"/>
  <c r="I128" i="115"/>
  <c r="I129" i="115"/>
  <c r="I134" i="115"/>
  <c r="I132" i="115"/>
  <c r="I135" i="115"/>
  <c r="EZ2" i="115"/>
  <c r="I136" i="115" l="1"/>
  <c r="L136" i="115"/>
  <c r="FA60" i="115"/>
  <c r="D12" i="115"/>
  <c r="Q162" i="107" s="1"/>
  <c r="J136" i="115"/>
  <c r="H137" i="115"/>
  <c r="L137" i="115" s="1"/>
  <c r="K136" i="115"/>
  <c r="FA2" i="115"/>
  <c r="Q109" i="128" l="1"/>
  <c r="H138" i="115"/>
  <c r="L138" i="115" s="1"/>
  <c r="J137" i="115"/>
  <c r="K137" i="115"/>
  <c r="I137" i="115"/>
  <c r="J138" i="115" l="1"/>
  <c r="H139" i="115"/>
  <c r="L139" i="115" s="1"/>
  <c r="K138" i="115"/>
  <c r="I138" i="115"/>
  <c r="I139" i="115" l="1"/>
  <c r="J139" i="115"/>
  <c r="H140" i="115"/>
  <c r="L140" i="115" s="1"/>
  <c r="K139" i="115"/>
  <c r="K140" i="115" l="1"/>
  <c r="I140" i="115"/>
  <c r="J140" i="115"/>
  <c r="H141" i="115"/>
  <c r="L141" i="115" s="1"/>
  <c r="J141" i="115" l="1"/>
  <c r="I141" i="115"/>
  <c r="H142" i="115"/>
  <c r="L142" i="115" s="1"/>
  <c r="K141" i="115"/>
  <c r="K142" i="115" l="1"/>
  <c r="I142" i="115"/>
  <c r="J142" i="115"/>
  <c r="H143" i="115"/>
  <c r="L143" i="115" s="1"/>
  <c r="J143" i="115" l="1"/>
  <c r="H144" i="115"/>
  <c r="L144" i="115" s="1"/>
  <c r="I143" i="115"/>
  <c r="K143" i="115"/>
  <c r="K144" i="115" l="1"/>
  <c r="J144" i="115"/>
  <c r="I144" i="115"/>
  <c r="H145" i="115"/>
  <c r="L145" i="115" s="1"/>
  <c r="I145" i="115" l="1"/>
  <c r="J145" i="115"/>
  <c r="H146" i="115"/>
  <c r="L146" i="115" s="1"/>
  <c r="K145" i="115"/>
  <c r="H147" i="115" l="1"/>
  <c r="L147" i="115" s="1"/>
  <c r="J146" i="115"/>
  <c r="K146" i="115"/>
  <c r="I146" i="115"/>
  <c r="H148" i="115" l="1"/>
  <c r="L148" i="115" s="1"/>
  <c r="I147" i="115"/>
  <c r="K147" i="115"/>
  <c r="J147" i="115"/>
  <c r="I148" i="115" l="1"/>
  <c r="J148" i="115"/>
  <c r="H149" i="115"/>
  <c r="L149" i="115" s="1"/>
  <c r="K148" i="115"/>
  <c r="J149" i="115" l="1"/>
  <c r="I149" i="115"/>
  <c r="H150" i="115"/>
  <c r="L150" i="115" s="1"/>
  <c r="K149" i="115"/>
  <c r="K150" i="115" l="1"/>
  <c r="H151" i="115"/>
  <c r="L151" i="115" s="1"/>
  <c r="I150" i="115"/>
  <c r="J150" i="115"/>
  <c r="I151" i="115" l="1"/>
  <c r="J151" i="115"/>
  <c r="H152" i="115"/>
  <c r="L152" i="115" s="1"/>
  <c r="K151" i="115"/>
  <c r="J152" i="115" l="1"/>
  <c r="I152" i="115"/>
  <c r="H153" i="115"/>
  <c r="L153" i="115" s="1"/>
  <c r="K152" i="115"/>
  <c r="I153" i="115" l="1"/>
  <c r="H154" i="115"/>
  <c r="L154" i="115" s="1"/>
  <c r="J153" i="115"/>
  <c r="K153" i="115"/>
  <c r="I154" i="115" l="1"/>
  <c r="J154" i="115"/>
  <c r="H155" i="115"/>
  <c r="L155" i="115" s="1"/>
  <c r="K154" i="115"/>
  <c r="I155" i="115" l="1"/>
  <c r="H156" i="115"/>
  <c r="L156" i="115" s="1"/>
  <c r="J155" i="115"/>
  <c r="K155" i="115"/>
  <c r="K156" i="115" l="1"/>
  <c r="J156" i="115"/>
  <c r="I156" i="115"/>
  <c r="H157" i="115"/>
  <c r="L157" i="115" s="1"/>
  <c r="K157" i="115" l="1"/>
  <c r="J157" i="115"/>
  <c r="I157" i="115"/>
  <c r="H158" i="115"/>
  <c r="L158" i="115" s="1"/>
  <c r="I158" i="115" l="1"/>
  <c r="J158" i="115"/>
  <c r="K158" i="115"/>
  <c r="H159" i="115"/>
  <c r="L159" i="115" s="1"/>
  <c r="K159" i="115" l="1"/>
  <c r="H160" i="115"/>
  <c r="L160" i="115" s="1"/>
  <c r="J159" i="115"/>
  <c r="I159" i="115"/>
  <c r="J160" i="115" l="1"/>
  <c r="I160" i="115"/>
  <c r="H161" i="115"/>
  <c r="L161" i="115" s="1"/>
  <c r="K160" i="115"/>
  <c r="J161" i="115" l="1"/>
  <c r="H162" i="115"/>
  <c r="L162" i="115" s="1"/>
  <c r="I161" i="115"/>
  <c r="K161" i="115"/>
  <c r="J162" i="115" l="1"/>
  <c r="I162" i="115"/>
  <c r="H163" i="115"/>
  <c r="K162" i="115"/>
  <c r="E22" i="115"/>
  <c r="E21" i="115" l="1"/>
  <c r="S118" i="128" s="1"/>
  <c r="L163" i="115"/>
  <c r="D22" i="115"/>
  <c r="Q172" i="107" s="1"/>
  <c r="D23" i="115"/>
  <c r="Q120" i="128" s="1"/>
  <c r="E12" i="115"/>
  <c r="F12" i="115" s="1"/>
  <c r="E23" i="115"/>
  <c r="S173" i="107" s="1"/>
  <c r="S172" i="107"/>
  <c r="S119" i="128"/>
  <c r="J163" i="115"/>
  <c r="I163" i="115"/>
  <c r="D18" i="115" s="1"/>
  <c r="K163" i="115"/>
  <c r="E20" i="115"/>
  <c r="E19" i="115"/>
  <c r="D19" i="115"/>
  <c r="D20" i="115"/>
  <c r="D21" i="115"/>
  <c r="S171" i="107"/>
  <c r="Q119" i="128" l="1"/>
  <c r="Q173" i="107"/>
  <c r="E18" i="115"/>
  <c r="S168" i="107" s="1"/>
  <c r="E14" i="115"/>
  <c r="E13" i="115"/>
  <c r="E15" i="115"/>
  <c r="E16" i="115"/>
  <c r="E17" i="115"/>
  <c r="D15" i="115"/>
  <c r="D14" i="115"/>
  <c r="D16" i="115"/>
  <c r="D17" i="115"/>
  <c r="D13" i="115"/>
  <c r="S120" i="128"/>
  <c r="S162" i="107"/>
  <c r="S109" i="128"/>
  <c r="S116" i="128"/>
  <c r="S169" i="107"/>
  <c r="S117" i="128"/>
  <c r="S170" i="107"/>
  <c r="Q117" i="128"/>
  <c r="Q170" i="107"/>
  <c r="U162" i="107"/>
  <c r="U109" i="128"/>
  <c r="G12" i="115"/>
  <c r="Q118" i="128"/>
  <c r="Q171" i="107"/>
  <c r="Q115" i="128"/>
  <c r="Q168" i="107"/>
  <c r="Q169" i="107"/>
  <c r="Q116" i="128"/>
  <c r="S115" i="128" l="1"/>
  <c r="F13" i="115"/>
  <c r="S114" i="128"/>
  <c r="S167" i="107"/>
  <c r="Q163" i="107"/>
  <c r="Q110" i="128"/>
  <c r="S113" i="128"/>
  <c r="S166" i="107"/>
  <c r="Q167" i="107"/>
  <c r="Q114" i="128"/>
  <c r="S112" i="128"/>
  <c r="S165" i="107"/>
  <c r="Q113" i="128"/>
  <c r="Q166" i="107"/>
  <c r="S163" i="107"/>
  <c r="S110" i="128"/>
  <c r="Q164" i="107"/>
  <c r="Q111" i="128"/>
  <c r="S164" i="107"/>
  <c r="S111" i="128"/>
  <c r="Q165" i="107"/>
  <c r="Q112" i="128"/>
  <c r="U110" i="128"/>
  <c r="G13" i="115"/>
  <c r="F14" i="115"/>
  <c r="U163" i="107"/>
  <c r="X162" i="107"/>
  <c r="X109" i="128"/>
  <c r="U164" i="107" l="1"/>
  <c r="U111" i="128"/>
  <c r="G14" i="115"/>
  <c r="F15" i="115"/>
  <c r="X110" i="128"/>
  <c r="X163" i="107"/>
  <c r="U112" i="128" l="1"/>
  <c r="G15" i="115"/>
  <c r="F16" i="115"/>
  <c r="U165" i="107"/>
  <c r="X111" i="128"/>
  <c r="X164" i="107"/>
  <c r="G16" i="115" l="1"/>
  <c r="U166" i="107"/>
  <c r="F17" i="115"/>
  <c r="U113" i="128"/>
  <c r="X165" i="107"/>
  <c r="X112" i="128"/>
  <c r="U114" i="128" l="1"/>
  <c r="U167" i="107"/>
  <c r="G17" i="115"/>
  <c r="F18" i="115"/>
  <c r="X166" i="107"/>
  <c r="X113" i="128"/>
  <c r="U168" i="107" l="1"/>
  <c r="U115" i="128"/>
  <c r="G18" i="115"/>
  <c r="F19" i="115"/>
  <c r="X114" i="128"/>
  <c r="X167" i="107"/>
  <c r="G19" i="115" l="1"/>
  <c r="F20" i="115"/>
  <c r="U169" i="107"/>
  <c r="U116" i="128"/>
  <c r="X168" i="107"/>
  <c r="X115" i="128"/>
  <c r="G20" i="115" l="1"/>
  <c r="U170" i="107"/>
  <c r="F21" i="115"/>
  <c r="U117" i="128"/>
  <c r="X116" i="128"/>
  <c r="X169" i="107"/>
  <c r="U171" i="107" l="1"/>
  <c r="G21" i="115"/>
  <c r="U118" i="128"/>
  <c r="F22" i="115"/>
  <c r="X170" i="107"/>
  <c r="X117" i="128"/>
  <c r="U172" i="107" l="1"/>
  <c r="U119" i="128"/>
  <c r="G22" i="115"/>
  <c r="F23" i="115"/>
  <c r="X118" i="128"/>
  <c r="X171" i="107"/>
  <c r="U120" i="128" l="1"/>
  <c r="G23" i="115"/>
  <c r="U173" i="107"/>
  <c r="X172" i="107"/>
  <c r="X119" i="128"/>
  <c r="X120" i="128" l="1"/>
  <c r="X173" i="10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賴佳君</author>
  </authors>
  <commentList>
    <comment ref="D27" authorId="0" shapeId="0" xr:uid="{00000000-0006-0000-1100-000001000000}">
      <text>
        <r>
          <rPr>
            <b/>
            <sz val="9"/>
            <color indexed="81"/>
            <rFont val="細明體"/>
            <family val="3"/>
            <charset val="136"/>
          </rPr>
          <t>賴佳君</t>
        </r>
        <r>
          <rPr>
            <b/>
            <sz val="9"/>
            <color indexed="81"/>
            <rFont val="Tahoma"/>
            <family val="2"/>
          </rPr>
          <t>:</t>
        </r>
        <r>
          <rPr>
            <sz val="9"/>
            <color indexed="81"/>
            <rFont val="Tahoma"/>
            <family val="2"/>
          </rPr>
          <t xml:space="preserve">
</t>
        </r>
        <r>
          <rPr>
            <sz val="9"/>
            <color indexed="81"/>
            <rFont val="細明體"/>
            <family val="3"/>
            <charset val="136"/>
          </rPr>
          <t>按下「</t>
        </r>
        <r>
          <rPr>
            <sz val="9"/>
            <color indexed="81"/>
            <rFont val="Tahoma"/>
            <family val="2"/>
          </rPr>
          <t>Ctrl+Shift+Enter</t>
        </r>
        <r>
          <rPr>
            <sz val="9"/>
            <color indexed="81"/>
            <rFont val="細明體"/>
            <family val="3"/>
            <charset val="136"/>
          </rPr>
          <t>」組合鍵轉換為數組公式
原文網址：</t>
        </r>
        <r>
          <rPr>
            <sz val="9"/>
            <color indexed="81"/>
            <rFont val="Tahoma"/>
            <family val="2"/>
          </rPr>
          <t>https://kknews.cc/news/va2zkl.html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<sst xmlns="http://schemas.openxmlformats.org/spreadsheetml/2006/main" count="13247" uniqueCount="4849">
  <si>
    <t>USD</t>
  </si>
  <si>
    <t>XS1214406792</t>
  </si>
  <si>
    <t>US42824CAY57</t>
  </si>
  <si>
    <t>XS1982113463</t>
  </si>
  <si>
    <t>參考殖利率</t>
    <phoneticPr fontId="26" type="noConversion"/>
  </si>
  <si>
    <t>到期年</t>
    <phoneticPr fontId="26" type="noConversion"/>
  </si>
  <si>
    <t>幣別</t>
    <phoneticPr fontId="26" type="noConversion"/>
  </si>
  <si>
    <t>單次配息</t>
    <phoneticPr fontId="26" type="noConversion"/>
  </si>
  <si>
    <t>前一配息月</t>
    <phoneticPr fontId="26" type="noConversion"/>
  </si>
  <si>
    <t>下一配息月</t>
    <phoneticPr fontId="26" type="noConversion"/>
  </si>
  <si>
    <t>下一配息日</t>
    <phoneticPr fontId="26" type="noConversion"/>
  </si>
  <si>
    <t>預期利息與本金試算表</t>
    <phoneticPr fontId="26" type="noConversion"/>
  </si>
  <si>
    <t>年度</t>
    <phoneticPr fontId="26" type="noConversion"/>
  </si>
  <si>
    <t>到期面額</t>
    <phoneticPr fontId="26" type="noConversion"/>
  </si>
  <si>
    <t>利息</t>
    <phoneticPr fontId="26" type="noConversion"/>
  </si>
  <si>
    <t>累計利息</t>
    <phoneticPr fontId="26" type="noConversion"/>
  </si>
  <si>
    <t>累計本利和</t>
    <phoneticPr fontId="26" type="noConversion"/>
  </si>
  <si>
    <t>商品代號</t>
    <phoneticPr fontId="28" type="noConversion"/>
  </si>
  <si>
    <t>票面利率</t>
    <phoneticPr fontId="29" type="noConversion"/>
  </si>
  <si>
    <t>配息頻率</t>
    <phoneticPr fontId="29" type="noConversion"/>
  </si>
  <si>
    <t>距到期年</t>
    <phoneticPr fontId="28" type="noConversion"/>
  </si>
  <si>
    <t>參考價</t>
    <phoneticPr fontId="29" type="noConversion"/>
  </si>
  <si>
    <t>配息月份</t>
    <phoneticPr fontId="29" type="noConversion"/>
  </si>
  <si>
    <t>到期日</t>
    <phoneticPr fontId="29" type="noConversion"/>
  </si>
  <si>
    <t>信用評等(M/S/F)</t>
    <phoneticPr fontId="28" type="noConversion"/>
  </si>
  <si>
    <t>簡介</t>
    <phoneticPr fontId="53" type="noConversion"/>
  </si>
  <si>
    <t>預期投入面額</t>
    <phoneticPr fontId="53" type="noConversion"/>
  </si>
  <si>
    <t>月度領息時程</t>
    <phoneticPr fontId="26" type="noConversion"/>
  </si>
  <si>
    <t>月份</t>
    <phoneticPr fontId="26" type="noConversion"/>
  </si>
  <si>
    <t>X軸</t>
    <phoneticPr fontId="26" type="noConversion"/>
  </si>
  <si>
    <t>產業</t>
    <phoneticPr fontId="53" type="noConversion"/>
  </si>
  <si>
    <t>產業list</t>
    <phoneticPr fontId="26" type="noConversion"/>
  </si>
  <si>
    <t>交割日</t>
    <phoneticPr fontId="53" type="noConversion"/>
  </si>
  <si>
    <t>交割月</t>
    <phoneticPr fontId="53" type="noConversion"/>
  </si>
  <si>
    <t>投組金額/占比%</t>
    <phoneticPr fontId="55" type="noConversion"/>
  </si>
  <si>
    <t>投入金額佔比</t>
    <phoneticPr fontId="53" type="noConversion"/>
  </si>
  <si>
    <t>非當年利息</t>
    <phoneticPr fontId="53" type="noConversion"/>
  </si>
  <si>
    <t>當年利息</t>
    <phoneticPr fontId="53" type="noConversion"/>
  </si>
  <si>
    <t>當年到期面額</t>
    <phoneticPr fontId="26" type="noConversion"/>
  </si>
  <si>
    <t>X及Y軸調整</t>
    <phoneticPr fontId="53" type="noConversion"/>
  </si>
  <si>
    <t>SOCGEN</t>
  </si>
  <si>
    <t>STANLN</t>
  </si>
  <si>
    <t>BACR</t>
  </si>
  <si>
    <t>BNP</t>
  </si>
  <si>
    <t>FORCAY</t>
  </si>
  <si>
    <t>HSBC</t>
  </si>
  <si>
    <t>CMZB</t>
  </si>
  <si>
    <t>SOFTBK</t>
  </si>
  <si>
    <t>MSFT</t>
  </si>
  <si>
    <t>AAPL</t>
  </si>
  <si>
    <t>T</t>
  </si>
  <si>
    <t>HPE</t>
  </si>
  <si>
    <t>GS</t>
  </si>
  <si>
    <t>VZ</t>
  </si>
  <si>
    <t>INTC</t>
  </si>
  <si>
    <t>PEMEX</t>
  </si>
  <si>
    <t>AMZN</t>
  </si>
  <si>
    <t>WFC</t>
  </si>
  <si>
    <t>JPM</t>
  </si>
  <si>
    <t>VIAC</t>
  </si>
  <si>
    <t>KSA</t>
  </si>
  <si>
    <t>LLOYDS</t>
  </si>
  <si>
    <t>NWG</t>
  </si>
  <si>
    <t>ARAMCO</t>
  </si>
  <si>
    <t>MCD</t>
  </si>
  <si>
    <t>PLNIJ</t>
  </si>
  <si>
    <t>EDF</t>
  </si>
  <si>
    <t>CVS</t>
  </si>
  <si>
    <t>WMT</t>
  </si>
  <si>
    <t>BA</t>
  </si>
  <si>
    <t>FDX</t>
  </si>
  <si>
    <t>GM</t>
  </si>
  <si>
    <t>C</t>
  </si>
  <si>
    <t>Ticker</t>
    <phoneticPr fontId="53" type="noConversion"/>
  </si>
  <si>
    <t>最小累計增額</t>
    <phoneticPr fontId="53" type="noConversion"/>
  </si>
  <si>
    <t>最低面額</t>
    <phoneticPr fontId="55" type="noConversion"/>
  </si>
  <si>
    <t>摩根大通銀行 (JPMorgan Chase &amp; Co.)成立歷史悠久逾200年，是全球系統重要性銀行(G-SIBs)之一，按一級資本排名位居全球第5大行、美國第1大行地位，財富500大企業有超過80%為其客戶，且為美國最大的信用卡及聯合發卡銀行。</t>
  </si>
  <si>
    <t>XS2057866191</t>
  </si>
  <si>
    <t>下一票息支付日</t>
  </si>
  <si>
    <t>BAC</t>
  </si>
  <si>
    <t>WSTP</t>
  </si>
  <si>
    <t>ADGB</t>
  </si>
  <si>
    <t>EBIUH</t>
  </si>
  <si>
    <t>ABBV</t>
  </si>
  <si>
    <t>IBRD</t>
  </si>
  <si>
    <t>EBRD</t>
  </si>
  <si>
    <t>ORCL</t>
  </si>
  <si>
    <t>US747525AJ27</t>
  </si>
  <si>
    <t>US06738EAP07</t>
  </si>
  <si>
    <t>XS1490623516</t>
  </si>
  <si>
    <t>US594918BT09</t>
  </si>
  <si>
    <t>US717081EC37</t>
  </si>
  <si>
    <t>US00287YAV11</t>
  </si>
  <si>
    <t>預設交割日標的</t>
    <phoneticPr fontId="53" type="noConversion"/>
  </si>
  <si>
    <t>TAQAUH</t>
  </si>
  <si>
    <t>CNOOC</t>
  </si>
  <si>
    <t>JNJ</t>
  </si>
  <si>
    <t>QCOM</t>
  </si>
  <si>
    <t>DIS</t>
  </si>
  <si>
    <t>VALEBZ</t>
  </si>
  <si>
    <t>ABIBB</t>
  </si>
  <si>
    <t>PETBRA</t>
  </si>
  <si>
    <t>HONHAI</t>
  </si>
  <si>
    <t>PFE</t>
  </si>
  <si>
    <t>PETMK</t>
  </si>
  <si>
    <t>LUMN</t>
  </si>
  <si>
    <t>SBUX</t>
  </si>
  <si>
    <t>CMCSA</t>
  </si>
  <si>
    <t>RDSALN</t>
  </si>
  <si>
    <t>AVGO</t>
  </si>
  <si>
    <t>HD</t>
  </si>
  <si>
    <t>GILD</t>
  </si>
  <si>
    <t>DISCA</t>
  </si>
  <si>
    <t>MMM</t>
  </si>
  <si>
    <t>BIIB</t>
  </si>
  <si>
    <t>DAIGR</t>
  </si>
  <si>
    <t>TACHEM</t>
  </si>
  <si>
    <t>前手息</t>
    <phoneticPr fontId="53" type="noConversion"/>
  </si>
  <si>
    <t xml:space="preserve">Accrued Interest </t>
    <phoneticPr fontId="53" type="noConversion"/>
  </si>
  <si>
    <t>投入面額結構</t>
    <phoneticPr fontId="53" type="noConversion"/>
  </si>
  <si>
    <t>跟配息有關計算</t>
    <phoneticPr fontId="53" type="noConversion"/>
  </si>
  <si>
    <t>阿布達比國家能源公司(Abu Dhabi National Energy Company)於全球經營電力、水、石油和天然氣等能源業務，為EMEA地區(歐非中東)十大綜合公共事業排名之首。</t>
  </si>
  <si>
    <t>參考日期：</t>
    <phoneticPr fontId="26" type="noConversion"/>
  </si>
  <si>
    <t>產品名稱</t>
    <phoneticPr fontId="28" type="noConversion"/>
  </si>
  <si>
    <t>US02364WAJ45</t>
  </si>
  <si>
    <t>US00206RDQ20</t>
  </si>
  <si>
    <t>US25468PDN33</t>
  </si>
  <si>
    <t>US172967KN09</t>
  </si>
  <si>
    <t>US404280CF48</t>
  </si>
  <si>
    <t>US428236BR31</t>
  </si>
  <si>
    <t>AMXLMM</t>
  </si>
  <si>
    <t>BRK</t>
  </si>
  <si>
    <t>CSCO</t>
  </si>
  <si>
    <t>V</t>
  </si>
  <si>
    <t>SECO</t>
  </si>
  <si>
    <t>BMW</t>
  </si>
  <si>
    <t>NKE</t>
  </si>
  <si>
    <t>PEP</t>
  </si>
  <si>
    <t>UPS</t>
  </si>
  <si>
    <t>AZN</t>
  </si>
  <si>
    <t>PERTIJ</t>
  </si>
  <si>
    <t>INDON</t>
  </si>
  <si>
    <t>HPQ</t>
  </si>
  <si>
    <t>F</t>
  </si>
  <si>
    <t>GAZPRU</t>
  </si>
  <si>
    <t>DB</t>
  </si>
  <si>
    <t>TMUS</t>
  </si>
  <si>
    <t>KHC</t>
  </si>
  <si>
    <t>FCX</t>
  </si>
  <si>
    <t>HCA</t>
  </si>
  <si>
    <t>BAYNGR</t>
  </si>
  <si>
    <t>VOD</t>
  </si>
  <si>
    <t>PRU</t>
  </si>
  <si>
    <t>XOM</t>
  </si>
  <si>
    <t>IBM</t>
  </si>
  <si>
    <t>MRK</t>
  </si>
  <si>
    <t>NSANY</t>
  </si>
  <si>
    <t>最低申購面額</t>
  </si>
  <si>
    <t>調整以參考價為主</t>
    <phoneticPr fontId="53" type="noConversion"/>
  </si>
  <si>
    <t>成交金額(參考價)</t>
    <phoneticPr fontId="53" type="noConversion"/>
  </si>
  <si>
    <t>產業</t>
    <phoneticPr fontId="28" type="noConversion"/>
  </si>
  <si>
    <t>利用SUMIFS公式</t>
    <phoneticPr fontId="53" type="noConversion"/>
  </si>
  <si>
    <t>金融</t>
  </si>
  <si>
    <t>政府</t>
  </si>
  <si>
    <t>通訊</t>
  </si>
  <si>
    <t>科技</t>
  </si>
  <si>
    <t>核心消費</t>
  </si>
  <si>
    <t>醫療保健</t>
  </si>
  <si>
    <t>公用事業</t>
  </si>
  <si>
    <t>原物料</t>
  </si>
  <si>
    <t>非核心消費</t>
  </si>
  <si>
    <t>工業</t>
  </si>
  <si>
    <t>能源</t>
  </si>
  <si>
    <t>公用</t>
  </si>
  <si>
    <t>發行機構</t>
  </si>
  <si>
    <t>Ticker</t>
  </si>
  <si>
    <t>字串</t>
  </si>
  <si>
    <t>BABA</t>
  </si>
  <si>
    <t>SANUK</t>
  </si>
  <si>
    <t>WBA</t>
  </si>
  <si>
    <t>TENCNT</t>
  </si>
  <si>
    <t>TPR</t>
  </si>
  <si>
    <t>EXPE</t>
  </si>
  <si>
    <t>OMAN</t>
  </si>
  <si>
    <t>STX</t>
  </si>
  <si>
    <t>俄羅斯天然氣集團透過Gaz資本有限責任公司(Gazprom PJSC Via Gaz Capital SA)Gaz Capital S.A是為了參與控股母公司-Gazprom PJSC財務活動而成立的特殊目的機構。Gazprom PJSC是俄羅斯國有控股的跨國能源公司，按營收為俄羅斯最大公司，且是世界最大的天然氣生產商、俄羅斯前四大石油生產商之一。</t>
  </si>
  <si>
    <t>GOOGL</t>
  </si>
  <si>
    <t>CFELEC</t>
  </si>
  <si>
    <t>BPLN</t>
  </si>
  <si>
    <t>MEX</t>
  </si>
  <si>
    <t>MQGAU</t>
  </si>
  <si>
    <t>AXP</t>
  </si>
  <si>
    <t>MIZUHO</t>
  </si>
  <si>
    <t>EBAY</t>
  </si>
  <si>
    <t>WDC</t>
  </si>
  <si>
    <t>AMAT</t>
  </si>
  <si>
    <t>BIDU</t>
  </si>
  <si>
    <t>CI</t>
  </si>
  <si>
    <t>XS2262853349</t>
  </si>
  <si>
    <t>ISIN</t>
  </si>
  <si>
    <t>票面
年利
率(%)</t>
  </si>
  <si>
    <t>配息
頻率</t>
  </si>
  <si>
    <t>幣別</t>
  </si>
  <si>
    <t>交割日</t>
  </si>
  <si>
    <t>產業</t>
  </si>
  <si>
    <t>DES</t>
  </si>
  <si>
    <t>US$</t>
    <phoneticPr fontId="55" type="noConversion"/>
  </si>
  <si>
    <t>剩餘年期</t>
    <phoneticPr fontId="55" type="noConversion"/>
  </si>
  <si>
    <t>票面利率</t>
    <phoneticPr fontId="55" type="noConversion"/>
  </si>
  <si>
    <t>參考殖利率</t>
    <phoneticPr fontId="55" type="noConversion"/>
  </si>
  <si>
    <t>下一配息
日期及金額</t>
    <phoneticPr fontId="55" type="noConversion"/>
  </si>
  <si>
    <t>年領利息</t>
    <phoneticPr fontId="53" type="noConversion"/>
  </si>
  <si>
    <t>最近配息日</t>
    <phoneticPr fontId="53" type="noConversion"/>
  </si>
  <si>
    <t>下一配息$</t>
    <phoneticPr fontId="26" type="noConversion"/>
  </si>
  <si>
    <t>產業(最終)</t>
    <phoneticPr fontId="53" type="noConversion"/>
  </si>
  <si>
    <t>投組最低面額</t>
    <phoneticPr fontId="53" type="noConversion"/>
  </si>
  <si>
    <t>預估手續費</t>
    <phoneticPr fontId="53" type="noConversion"/>
  </si>
  <si>
    <t>最小增額試算</t>
    <phoneticPr fontId="53" type="noConversion"/>
  </si>
  <si>
    <t>投組是否為專投</t>
    <phoneticPr fontId="53" type="noConversion"/>
  </si>
  <si>
    <t>組合檔數</t>
    <phoneticPr fontId="53" type="noConversion"/>
  </si>
  <si>
    <t>US437076CD22</t>
  </si>
  <si>
    <t>US254687FM36</t>
  </si>
  <si>
    <t>US68389XBX21</t>
  </si>
  <si>
    <t>LMT</t>
  </si>
  <si>
    <t>MBGGR</t>
  </si>
  <si>
    <t>PARA</t>
  </si>
  <si>
    <t>US10373QBG47</t>
  </si>
  <si>
    <t>WBD</t>
  </si>
  <si>
    <t>TURKEY</t>
  </si>
  <si>
    <t>GT</t>
  </si>
  <si>
    <t>SINOPE</t>
  </si>
  <si>
    <t>INTNED</t>
  </si>
  <si>
    <t>RDSALN</t>
    <phoneticPr fontId="105" type="noConversion"/>
  </si>
  <si>
    <t>BRKHEC</t>
  </si>
  <si>
    <t>BHARTI</t>
  </si>
  <si>
    <t>RUSSIA</t>
  </si>
  <si>
    <t>DD</t>
  </si>
  <si>
    <t>TITIM</t>
  </si>
  <si>
    <t>ENELIM</t>
  </si>
  <si>
    <t>ORBIA</t>
  </si>
  <si>
    <t>HAL</t>
  </si>
  <si>
    <t>LGCHM</t>
  </si>
  <si>
    <t>FIBRBZ</t>
  </si>
  <si>
    <t>HAS</t>
  </si>
  <si>
    <t>JWN</t>
  </si>
  <si>
    <t>AMT</t>
  </si>
  <si>
    <t>KR</t>
  </si>
  <si>
    <t>美國政府公債</t>
    <phoneticPr fontId="53" type="noConversion"/>
  </si>
  <si>
    <t>NESNVX</t>
  </si>
  <si>
    <t>ABT</t>
  </si>
  <si>
    <t>ED</t>
  </si>
  <si>
    <t>EA</t>
  </si>
  <si>
    <t>UNM</t>
  </si>
  <si>
    <t>OXY</t>
  </si>
  <si>
    <t>BRFSBZ</t>
    <phoneticPr fontId="53" type="noConversion"/>
  </si>
  <si>
    <t>BRAZIL</t>
  </si>
  <si>
    <t>RCL</t>
  </si>
  <si>
    <t>OMAN</t>
    <phoneticPr fontId="53" type="noConversion"/>
  </si>
  <si>
    <t>ATVI</t>
  </si>
  <si>
    <t>ICBPIJ</t>
  </si>
  <si>
    <t>ADSEZ</t>
  </si>
  <si>
    <t>NATURA</t>
  </si>
  <si>
    <t>YUM</t>
  </si>
  <si>
    <t>IBM</t>
    <phoneticPr fontId="53" type="noConversion"/>
  </si>
  <si>
    <t>TPX</t>
  </si>
  <si>
    <t>US233835AQ08</t>
  </si>
  <si>
    <t>COUPON</t>
  </si>
  <si>
    <t>CIE_DES</t>
    <phoneticPr fontId="53" type="noConversion"/>
  </si>
  <si>
    <t>UF</t>
  </si>
  <si>
    <t>US88032XAV64</t>
  </si>
  <si>
    <t>US06738EAU91</t>
  </si>
  <si>
    <t>US404280AG49</t>
  </si>
  <si>
    <t>XS1508675508</t>
  </si>
  <si>
    <t>US09062XAG88</t>
  </si>
  <si>
    <t>US92857WBK53</t>
  </si>
  <si>
    <t>US097023CY98</t>
  </si>
  <si>
    <t>US71654QCG55</t>
  </si>
  <si>
    <t>USU09513JL42</t>
  </si>
  <si>
    <t>US92553PAP71</t>
  </si>
  <si>
    <t>US023135BJ40</t>
  </si>
  <si>
    <t>US097023CW33</t>
  </si>
  <si>
    <t>US92343VDC54</t>
  </si>
  <si>
    <t>US92343VFD10</t>
  </si>
  <si>
    <t>US478160BJ28</t>
  </si>
  <si>
    <t>XS1508675417</t>
  </si>
  <si>
    <t>US911312BS40</t>
  </si>
  <si>
    <t>US70450YAJ29</t>
  </si>
  <si>
    <t>USP30179AK43</t>
  </si>
  <si>
    <t>XS1219971774</t>
  </si>
  <si>
    <t>US037833EN61</t>
  </si>
  <si>
    <t>US037833EP10</t>
  </si>
  <si>
    <t>US91282CFK27</t>
  </si>
  <si>
    <t>US686330AQ49</t>
  </si>
  <si>
    <t>A3</t>
  </si>
  <si>
    <t>A-</t>
  </si>
  <si>
    <t>A1</t>
  </si>
  <si>
    <t>AA-</t>
  </si>
  <si>
    <t>A2</t>
  </si>
  <si>
    <t>BBB+</t>
  </si>
  <si>
    <t>A+</t>
  </si>
  <si>
    <t>Au</t>
  </si>
  <si>
    <t>BBB</t>
  </si>
  <si>
    <t>Baa1</t>
  </si>
  <si>
    <t>A+ *-</t>
  </si>
  <si>
    <t>Aa2</t>
  </si>
  <si>
    <t>A</t>
  </si>
  <si>
    <t>Aaa</t>
  </si>
  <si>
    <t>AAA</t>
  </si>
  <si>
    <t>總圈存金額</t>
    <phoneticPr fontId="53" type="noConversion"/>
  </si>
  <si>
    <t>XS1274823571</t>
  </si>
  <si>
    <t>商品
代號</t>
    <phoneticPr fontId="53" type="noConversion"/>
  </si>
  <si>
    <t>ISIN</t>
    <phoneticPr fontId="53" type="noConversion"/>
  </si>
  <si>
    <t>Baa2</t>
  </si>
  <si>
    <t>Ba2</t>
  </si>
  <si>
    <t>BB+</t>
  </si>
  <si>
    <t>AA</t>
  </si>
  <si>
    <t>AAAu</t>
  </si>
  <si>
    <t>BBBu</t>
  </si>
  <si>
    <t>BBB-</t>
  </si>
  <si>
    <t>Baa3</t>
  </si>
  <si>
    <t>Aa2u</t>
  </si>
  <si>
    <t>AA+</t>
  </si>
  <si>
    <t>Aa3</t>
  </si>
  <si>
    <t>BBB-u</t>
  </si>
  <si>
    <t>B1</t>
  </si>
  <si>
    <t>BB-u</t>
  </si>
  <si>
    <t>Ba1</t>
  </si>
  <si>
    <t>Baa2 *-</t>
  </si>
  <si>
    <t>BBB+ *-</t>
  </si>
  <si>
    <t>AA-u</t>
  </si>
  <si>
    <t>A+u</t>
  </si>
  <si>
    <t>VW</t>
  </si>
  <si>
    <t>BOCAVI</t>
  </si>
  <si>
    <t>評等(M)</t>
    <phoneticPr fontId="53" type="noConversion"/>
  </si>
  <si>
    <t>評等(F/S)</t>
    <phoneticPr fontId="53" type="noConversion"/>
  </si>
  <si>
    <t>分數</t>
    <phoneticPr fontId="53" type="noConversion"/>
  </si>
  <si>
    <t>Ca</t>
  </si>
  <si>
    <t>穆迪分數</t>
    <phoneticPr fontId="53" type="noConversion"/>
  </si>
  <si>
    <t>標普分數</t>
    <phoneticPr fontId="53" type="noConversion"/>
  </si>
  <si>
    <t>惠譽分數</t>
    <phoneticPr fontId="53" type="noConversion"/>
  </si>
  <si>
    <t>Aaa *+</t>
  </si>
  <si>
    <t>AAA *+</t>
  </si>
  <si>
    <t>Aaa *-</t>
  </si>
  <si>
    <t>AAA *-</t>
  </si>
  <si>
    <t>Aaau</t>
  </si>
  <si>
    <t>Aa1</t>
  </si>
  <si>
    <t>Aa1 *+</t>
  </si>
  <si>
    <t>AA+ *+</t>
  </si>
  <si>
    <t>Aa1 *-</t>
  </si>
  <si>
    <t>AA+ *-</t>
  </si>
  <si>
    <t>Aa1u</t>
  </si>
  <si>
    <t>AA+u</t>
  </si>
  <si>
    <t>Aa2 *+</t>
  </si>
  <si>
    <t>AA *+</t>
  </si>
  <si>
    <t>Aa2 *-</t>
  </si>
  <si>
    <t>AA *-</t>
  </si>
  <si>
    <t>AAu</t>
  </si>
  <si>
    <t>Aa3 *+</t>
  </si>
  <si>
    <t>AA- *+</t>
  </si>
  <si>
    <t>Aa3 *-</t>
  </si>
  <si>
    <t>AA- *-</t>
  </si>
  <si>
    <t>Aa3u</t>
  </si>
  <si>
    <t>A1 *+</t>
  </si>
  <si>
    <t>A+ *+</t>
  </si>
  <si>
    <t>A1 *-</t>
  </si>
  <si>
    <t>A1u</t>
  </si>
  <si>
    <t>A2 *+</t>
  </si>
  <si>
    <t>A *+</t>
  </si>
  <si>
    <t>A2 *-</t>
  </si>
  <si>
    <t>A *-</t>
  </si>
  <si>
    <t>A2u</t>
  </si>
  <si>
    <t>A3 *+</t>
  </si>
  <si>
    <t>A- *+</t>
  </si>
  <si>
    <t>A3 *-</t>
  </si>
  <si>
    <t>A- *-</t>
  </si>
  <si>
    <t>A3u</t>
  </si>
  <si>
    <t>A-u</t>
  </si>
  <si>
    <t>Baa1 *+</t>
  </si>
  <si>
    <t>BBB+ *+</t>
  </si>
  <si>
    <t>Baa1 *-</t>
  </si>
  <si>
    <t>Baa1u</t>
  </si>
  <si>
    <t>BBB+u</t>
  </si>
  <si>
    <t>Baa2 *+</t>
  </si>
  <si>
    <t>BBB *+</t>
  </si>
  <si>
    <t>BBB *-</t>
  </si>
  <si>
    <t>Baa2u</t>
  </si>
  <si>
    <t>Baa3 *+</t>
  </si>
  <si>
    <t>BBB- *+</t>
  </si>
  <si>
    <t>Baa3 *-</t>
  </si>
  <si>
    <t>BBB- *-</t>
  </si>
  <si>
    <t>Baa3u</t>
  </si>
  <si>
    <t>Ba1 *+</t>
  </si>
  <si>
    <t>BB+ *+</t>
  </si>
  <si>
    <t>Ba1 *-</t>
  </si>
  <si>
    <t>BB+ *-</t>
  </si>
  <si>
    <t>Ba1u</t>
  </si>
  <si>
    <t>BB+u</t>
  </si>
  <si>
    <t>BB</t>
  </si>
  <si>
    <t>Ba2 *+</t>
  </si>
  <si>
    <t>BB *+</t>
  </si>
  <si>
    <t>Ba2 *-</t>
  </si>
  <si>
    <t>BB *-</t>
  </si>
  <si>
    <t>Ba2u</t>
  </si>
  <si>
    <t>BBu</t>
  </si>
  <si>
    <t>Ba3</t>
  </si>
  <si>
    <t>BB-</t>
  </si>
  <si>
    <t>Ba3 *+</t>
  </si>
  <si>
    <t>BB- *+</t>
  </si>
  <si>
    <t>Ba3 *-</t>
  </si>
  <si>
    <t>BB- *-</t>
  </si>
  <si>
    <t>Ba3u</t>
  </si>
  <si>
    <t>B+</t>
  </si>
  <si>
    <t>B1 *+</t>
  </si>
  <si>
    <t>B+ *+</t>
  </si>
  <si>
    <t>B1 *-</t>
  </si>
  <si>
    <t>B+ *-</t>
  </si>
  <si>
    <t>B1u</t>
  </si>
  <si>
    <t>B+u</t>
  </si>
  <si>
    <t>B2</t>
  </si>
  <si>
    <t>B</t>
  </si>
  <si>
    <t>B2 *+</t>
  </si>
  <si>
    <t>B *+</t>
  </si>
  <si>
    <t>B2 *-</t>
  </si>
  <si>
    <t>B *-</t>
  </si>
  <si>
    <t>B2u</t>
  </si>
  <si>
    <t>Bu</t>
  </si>
  <si>
    <t>B3</t>
  </si>
  <si>
    <t>B-</t>
  </si>
  <si>
    <t>B3 *+</t>
  </si>
  <si>
    <t>B- *+</t>
  </si>
  <si>
    <t>B3 *-</t>
  </si>
  <si>
    <t>B- *-</t>
  </si>
  <si>
    <t>B3u</t>
  </si>
  <si>
    <t>B-u</t>
  </si>
  <si>
    <t>Caa1</t>
  </si>
  <si>
    <t>CCC+</t>
  </si>
  <si>
    <t>Caa1 *+</t>
  </si>
  <si>
    <t>CCC+ *+</t>
  </si>
  <si>
    <t>Caa1 *-</t>
  </si>
  <si>
    <t>CCC+ *-</t>
  </si>
  <si>
    <t>Caa1u</t>
  </si>
  <si>
    <t>CCC+u</t>
  </si>
  <si>
    <t>Caa2</t>
  </si>
  <si>
    <t>CCC</t>
  </si>
  <si>
    <t>Caa2 *+</t>
  </si>
  <si>
    <t>CCC *+</t>
  </si>
  <si>
    <t>Caa2 *-</t>
  </si>
  <si>
    <t>CCC *-</t>
  </si>
  <si>
    <t>Caa2u</t>
  </si>
  <si>
    <t>CCCu</t>
  </si>
  <si>
    <t>Caa3</t>
  </si>
  <si>
    <t>CCC-</t>
  </si>
  <si>
    <t>Caa3 *+</t>
  </si>
  <si>
    <t>CCC- *+</t>
  </si>
  <si>
    <t>Caa3 *-</t>
  </si>
  <si>
    <t>CCC- *-</t>
  </si>
  <si>
    <t>Caa3u</t>
  </si>
  <si>
    <t>CCC-u</t>
  </si>
  <si>
    <t>CC</t>
  </si>
  <si>
    <t>Ca *+</t>
  </si>
  <si>
    <t>CC *+</t>
  </si>
  <si>
    <t>Ca *-</t>
  </si>
  <si>
    <t>CC *-</t>
  </si>
  <si>
    <t>Cau</t>
  </si>
  <si>
    <t>CCu</t>
  </si>
  <si>
    <t>C *+</t>
  </si>
  <si>
    <t>C *-</t>
  </si>
  <si>
    <t>Cu</t>
  </si>
  <si>
    <t>AAA</t>
    <phoneticPr fontId="55" type="noConversion"/>
  </si>
  <si>
    <t>AA+</t>
    <phoneticPr fontId="55" type="noConversion"/>
  </si>
  <si>
    <t>AA</t>
    <phoneticPr fontId="55" type="noConversion"/>
  </si>
  <si>
    <t>AA-</t>
    <phoneticPr fontId="55" type="noConversion"/>
  </si>
  <si>
    <t>A1</t>
    <phoneticPr fontId="55" type="noConversion"/>
  </si>
  <si>
    <t>A+</t>
    <phoneticPr fontId="55" type="noConversion"/>
  </si>
  <si>
    <t>A2</t>
    <phoneticPr fontId="55" type="noConversion"/>
  </si>
  <si>
    <t>A</t>
    <phoneticPr fontId="55" type="noConversion"/>
  </si>
  <si>
    <t>A3</t>
    <phoneticPr fontId="55" type="noConversion"/>
  </si>
  <si>
    <t>A-</t>
    <phoneticPr fontId="55" type="noConversion"/>
  </si>
  <si>
    <t>Baa1</t>
    <phoneticPr fontId="55" type="noConversion"/>
  </si>
  <si>
    <t>BBB+</t>
    <phoneticPr fontId="55" type="noConversion"/>
  </si>
  <si>
    <t>Baa2</t>
    <phoneticPr fontId="55" type="noConversion"/>
  </si>
  <si>
    <t>BBB</t>
    <phoneticPr fontId="55" type="noConversion"/>
  </si>
  <si>
    <t>Baa3</t>
    <phoneticPr fontId="55" type="noConversion"/>
  </si>
  <si>
    <t>BBB-</t>
    <phoneticPr fontId="55" type="noConversion"/>
  </si>
  <si>
    <t>Ba1</t>
    <phoneticPr fontId="55" type="noConversion"/>
  </si>
  <si>
    <t>BB+</t>
    <phoneticPr fontId="55" type="noConversion"/>
  </si>
  <si>
    <t>Ba2</t>
    <phoneticPr fontId="55" type="noConversion"/>
  </si>
  <si>
    <t>BB</t>
    <phoneticPr fontId="55" type="noConversion"/>
  </si>
  <si>
    <t>Ba3</t>
    <phoneticPr fontId="55" type="noConversion"/>
  </si>
  <si>
    <t>BB-</t>
    <phoneticPr fontId="55" type="noConversion"/>
  </si>
  <si>
    <t>B1</t>
    <phoneticPr fontId="55" type="noConversion"/>
  </si>
  <si>
    <t>B+</t>
    <phoneticPr fontId="55" type="noConversion"/>
  </si>
  <si>
    <t>B2</t>
    <phoneticPr fontId="55" type="noConversion"/>
  </si>
  <si>
    <t>B</t>
    <phoneticPr fontId="55" type="noConversion"/>
  </si>
  <si>
    <t>B3</t>
    <phoneticPr fontId="55" type="noConversion"/>
  </si>
  <si>
    <t>B-</t>
    <phoneticPr fontId="55" type="noConversion"/>
  </si>
  <si>
    <t>CCC</t>
    <phoneticPr fontId="105" type="noConversion"/>
  </si>
  <si>
    <t>CCC-</t>
    <phoneticPr fontId="53" type="noConversion"/>
  </si>
  <si>
    <t>CC</t>
    <phoneticPr fontId="53" type="noConversion"/>
  </si>
  <si>
    <t>C</t>
    <phoneticPr fontId="53" type="noConversion"/>
  </si>
  <si>
    <t>最佳評等</t>
    <phoneticPr fontId="53" type="noConversion"/>
  </si>
  <si>
    <t>最佳評等表</t>
    <phoneticPr fontId="53" type="noConversion"/>
  </si>
  <si>
    <r>
      <t>A</t>
    </r>
    <r>
      <rPr>
        <sz val="12"/>
        <rFont val="微軟正黑體"/>
        <family val="1"/>
        <charset val="136"/>
        <scheme val="minor"/>
      </rPr>
      <t>aa</t>
    </r>
    <phoneticPr fontId="55" type="noConversion"/>
  </si>
  <si>
    <r>
      <t>A</t>
    </r>
    <r>
      <rPr>
        <sz val="12"/>
        <rFont val="微軟正黑體"/>
        <family val="1"/>
        <charset val="136"/>
        <scheme val="minor"/>
      </rPr>
      <t>a1</t>
    </r>
    <phoneticPr fontId="55" type="noConversion"/>
  </si>
  <si>
    <r>
      <t>A</t>
    </r>
    <r>
      <rPr>
        <sz val="12"/>
        <rFont val="微軟正黑體"/>
        <family val="1"/>
        <charset val="136"/>
        <scheme val="minor"/>
      </rPr>
      <t>a2</t>
    </r>
    <phoneticPr fontId="55" type="noConversion"/>
  </si>
  <si>
    <r>
      <t>A</t>
    </r>
    <r>
      <rPr>
        <sz val="12"/>
        <rFont val="微軟正黑體"/>
        <family val="1"/>
        <charset val="136"/>
        <scheme val="minor"/>
      </rPr>
      <t>a3</t>
    </r>
    <phoneticPr fontId="55" type="noConversion"/>
  </si>
  <si>
    <r>
      <t>C</t>
    </r>
    <r>
      <rPr>
        <sz val="12"/>
        <rFont val="微軟正黑體"/>
        <family val="1"/>
        <charset val="136"/>
        <scheme val="minor"/>
      </rPr>
      <t>aa1</t>
    </r>
    <phoneticPr fontId="105" type="noConversion"/>
  </si>
  <si>
    <r>
      <t>C</t>
    </r>
    <r>
      <rPr>
        <sz val="12"/>
        <rFont val="微軟正黑體"/>
        <family val="1"/>
        <charset val="136"/>
        <scheme val="minor"/>
      </rPr>
      <t>CC+</t>
    </r>
    <phoneticPr fontId="105" type="noConversion"/>
  </si>
  <si>
    <r>
      <t>C</t>
    </r>
    <r>
      <rPr>
        <sz val="12"/>
        <rFont val="微軟正黑體"/>
        <family val="1"/>
        <charset val="136"/>
        <scheme val="minor"/>
      </rPr>
      <t>aa2</t>
    </r>
    <phoneticPr fontId="105" type="noConversion"/>
  </si>
  <si>
    <r>
      <t>C</t>
    </r>
    <r>
      <rPr>
        <sz val="12"/>
        <rFont val="微軟正黑體"/>
        <family val="1"/>
        <charset val="136"/>
      </rPr>
      <t>aa3</t>
    </r>
    <phoneticPr fontId="105" type="noConversion"/>
  </si>
  <si>
    <t>最佳信評</t>
    <phoneticPr fontId="53" type="noConversion"/>
  </si>
  <si>
    <t>四捨五入</t>
    <phoneticPr fontId="53" type="noConversion"/>
  </si>
  <si>
    <t>基本增額試算</t>
    <phoneticPr fontId="53" type="noConversion"/>
  </si>
  <si>
    <t>評等(M)</t>
  </si>
  <si>
    <t>評等(F/S)</t>
  </si>
  <si>
    <t>分數</t>
  </si>
  <si>
    <t>AU3CB0246239</t>
  </si>
  <si>
    <t>評等歸類</t>
    <phoneticPr fontId="53" type="noConversion"/>
  </si>
  <si>
    <t>自由選</t>
    <phoneticPr fontId="53" type="noConversion"/>
  </si>
  <si>
    <r>
      <rPr>
        <sz val="11"/>
        <rFont val="微軟正黑體"/>
        <family val="2"/>
        <charset val="136"/>
      </rPr>
      <t xml:space="preserve">債券信評
</t>
    </r>
    <r>
      <rPr>
        <sz val="11"/>
        <rFont val="Calibri"/>
        <family val="2"/>
      </rPr>
      <t>(Moody's/S&amp;P/Fitch)</t>
    </r>
    <phoneticPr fontId="53" type="noConversion"/>
  </si>
  <si>
    <t>ORIX</t>
    <phoneticPr fontId="53" type="noConversion"/>
  </si>
  <si>
    <t>ISIN</t>
    <phoneticPr fontId="28" type="noConversion"/>
  </si>
  <si>
    <t>Equinor公司(Equinor ASA)為一家能源公司。 該公司開發石油、天然氣、風力及太陽能專案，並專注於海上作業和探勘服務。 Equinor服務全球客戶。</t>
  </si>
  <si>
    <r>
      <t>B) 工作表名稱</t>
    </r>
    <r>
      <rPr>
        <b/>
        <sz val="12"/>
        <rFont val="微軟正黑體"/>
        <family val="2"/>
        <charset val="136"/>
      </rPr>
      <t>「自由選」：</t>
    </r>
    <r>
      <rPr>
        <sz val="12"/>
        <color theme="1"/>
        <rFont val="微軟正黑體"/>
        <family val="2"/>
        <charset val="136"/>
      </rPr>
      <t>自由組建架上的</t>
    </r>
    <r>
      <rPr>
        <b/>
        <u/>
        <sz val="12"/>
        <rFont val="微軟正黑體"/>
        <family val="2"/>
        <charset val="136"/>
      </rPr>
      <t>半年配美元債券</t>
    </r>
    <r>
      <rPr>
        <sz val="12"/>
        <color theme="1"/>
        <rFont val="微軟正黑體"/>
        <family val="2"/>
        <charset val="136"/>
      </rPr>
      <t>投資組合</t>
    </r>
    <phoneticPr fontId="53" type="noConversion"/>
  </si>
  <si>
    <t>USU5876JAC90</t>
  </si>
  <si>
    <t>投資
期間
(年)</t>
    <phoneticPr fontId="53" type="noConversion"/>
  </si>
  <si>
    <t>穆迪
Moody's*</t>
    <phoneticPr fontId="53" type="noConversion"/>
  </si>
  <si>
    <t>標普
S&amp;P*</t>
    <phoneticPr fontId="53" type="noConversion"/>
  </si>
  <si>
    <t>惠譽
Fitch*</t>
    <phoneticPr fontId="53" type="noConversion"/>
  </si>
  <si>
    <t>CNY</t>
  </si>
  <si>
    <t>ZAR</t>
  </si>
  <si>
    <t>NZD</t>
  </si>
  <si>
    <t>EUR</t>
  </si>
  <si>
    <t>CAD</t>
  </si>
  <si>
    <t>AUD</t>
  </si>
  <si>
    <t>最小增額</t>
    <phoneticPr fontId="53" type="noConversion"/>
  </si>
  <si>
    <t>債券
到期日</t>
    <phoneticPr fontId="53" type="noConversion"/>
  </si>
  <si>
    <t>最低申購</t>
    <phoneticPr fontId="53" type="noConversion"/>
  </si>
  <si>
    <t>產品名稱</t>
    <phoneticPr fontId="53" type="noConversion"/>
  </si>
  <si>
    <t>票息類型</t>
  </si>
  <si>
    <t>海外債券投資商品組合試算</t>
    <phoneticPr fontId="26" type="noConversion"/>
  </si>
  <si>
    <t>CPN_TYP</t>
    <phoneticPr fontId="53" type="noConversion"/>
  </si>
  <si>
    <t>商品代碼</t>
    <phoneticPr fontId="26" type="noConversion"/>
  </si>
  <si>
    <t>FRQ.</t>
  </si>
  <si>
    <t>MATURITY</t>
  </si>
  <si>
    <t>前一票息結算日</t>
  </si>
  <si>
    <t>XF860</t>
  </si>
  <si>
    <t>阿里巴巴集團美元配息債券 3.6% 2024/11/28</t>
  </si>
  <si>
    <t>A1 / A+ / A+</t>
  </si>
  <si>
    <t>US01609WAQ50</t>
  </si>
  <si>
    <t>200000 / 1000</t>
  </si>
  <si>
    <t>XF460</t>
  </si>
  <si>
    <t>Baa3 / BBB- / BBB</t>
  </si>
  <si>
    <t>XF020</t>
  </si>
  <si>
    <t>XF450</t>
  </si>
  <si>
    <t>XF800</t>
  </si>
  <si>
    <t>Baa1 / BBB- / BBB+</t>
  </si>
  <si>
    <t>10000 / 1000</t>
  </si>
  <si>
    <t>XFO50</t>
  </si>
  <si>
    <t>XFA60</t>
  </si>
  <si>
    <t>巴克萊集團美元配息債券 3.65% 2025/3/16</t>
  </si>
  <si>
    <t>US06738EAE59</t>
  </si>
  <si>
    <t>XFA50</t>
  </si>
  <si>
    <t>XD050</t>
  </si>
  <si>
    <t>國家開發銀行人民幣配息債券 4.2% 2027/1/19</t>
  </si>
  <si>
    <t>NR / A+u / -</t>
  </si>
  <si>
    <t>HK0000098928</t>
  </si>
  <si>
    <t>1000000 / 1000000</t>
  </si>
  <si>
    <t>XF240</t>
  </si>
  <si>
    <t>XF560</t>
  </si>
  <si>
    <t>台塑集團投資(開曼)美元配息債券 3.375% 2025/4/22</t>
  </si>
  <si>
    <t>- / BBB+ / -</t>
  </si>
  <si>
    <t>XFB20</t>
  </si>
  <si>
    <t>渣打集團美元配息債券 3.2% 2025/4/17</t>
  </si>
  <si>
    <t>A3 / BBB+ / A</t>
  </si>
  <si>
    <t>XFB60</t>
  </si>
  <si>
    <t>匯豐控股公司美元配息債券 6.5% 2036/5/2</t>
  </si>
  <si>
    <t>Baa1 / BBB / A-</t>
  </si>
  <si>
    <t>100000 / 1000</t>
  </si>
  <si>
    <t>XFC60</t>
  </si>
  <si>
    <t>XFD40</t>
  </si>
  <si>
    <t>殼牌國際金融公司美元配息債券  4.125% 2035/5/11</t>
  </si>
  <si>
    <t>Aa2 / A+ / AA-u</t>
  </si>
  <si>
    <t>US822582BE14</t>
  </si>
  <si>
    <t>XFD50</t>
  </si>
  <si>
    <t>軟銀集團公司美元配息債券 6% 2025/7/30</t>
  </si>
  <si>
    <t>XS1266660122</t>
  </si>
  <si>
    <t>XFE20</t>
  </si>
  <si>
    <t>美洲電信公司美元配息債券 6.375% 2035/3/1</t>
  </si>
  <si>
    <t>Baa1 / A- / A-</t>
  </si>
  <si>
    <t>XFE30</t>
  </si>
  <si>
    <t>印尼國家能源公司美元配息債券 6% 2042/5/3</t>
  </si>
  <si>
    <t>Baa2 / BBB / BBB</t>
  </si>
  <si>
    <t>USY7138AAD29</t>
  </si>
  <si>
    <t>XFE40</t>
  </si>
  <si>
    <t>歐洲投資銀行南非幣配息債券 8.75% 2025/8/18</t>
  </si>
  <si>
    <t>Aaa / AAA / AAA</t>
  </si>
  <si>
    <t>100000 / 5000</t>
  </si>
  <si>
    <t>XFF20 </t>
  </si>
  <si>
    <t>沙烏地電力美元配息債券 5.5% 2044/4/8</t>
  </si>
  <si>
    <t>XS1054250318</t>
  </si>
  <si>
    <t>OAZ20</t>
  </si>
  <si>
    <t>西班牙國際銀行英國控股公司美元配息債券 5.625% 2045/9/15</t>
  </si>
  <si>
    <t>XS1291352711</t>
  </si>
  <si>
    <t>XFE90</t>
  </si>
  <si>
    <t>歐洲復興開發銀行南非幣零息債券 0% 2028/12/29</t>
  </si>
  <si>
    <t>Aaau / AAA / AAA</t>
  </si>
  <si>
    <t>XS0082826255</t>
  </si>
  <si>
    <t>100000 / 50000</t>
  </si>
  <si>
    <t>XFF40</t>
  </si>
  <si>
    <t>百度公司美元配息債券 4.125% 2025/6/30</t>
  </si>
  <si>
    <t>A3 / - / A</t>
  </si>
  <si>
    <t>US056752AG38</t>
  </si>
  <si>
    <t>XFF50</t>
  </si>
  <si>
    <t>希捷硬碟美元配息債券 4.75% 2025/1/1</t>
  </si>
  <si>
    <t>US81180WAL54</t>
  </si>
  <si>
    <t>XFF70</t>
  </si>
  <si>
    <t>微軟美元配息債券 3.45% 2036/8/8</t>
  </si>
  <si>
    <t>US594918BS26</t>
  </si>
  <si>
    <t>XFF80</t>
  </si>
  <si>
    <t>蘋果公司美元配息債券 2.45% 2026/8/4</t>
  </si>
  <si>
    <t>Aaa / AA+ / -</t>
  </si>
  <si>
    <t>US037833BZ29</t>
  </si>
  <si>
    <t>XFF90</t>
  </si>
  <si>
    <t>蘋果公司美元配息債券 3.85% 2043/5/4</t>
  </si>
  <si>
    <t>US037833AL42</t>
  </si>
  <si>
    <t>XFG10</t>
  </si>
  <si>
    <t>AT&amp;T公司美元配息債券 4.8% 2044/6/15</t>
  </si>
  <si>
    <t>Baa2 / BBB / BBB+</t>
  </si>
  <si>
    <t>US00206RCG56</t>
  </si>
  <si>
    <t>XFG70</t>
  </si>
  <si>
    <t>惠普企業公司美元配息債券  6.35% 2045/10/15</t>
  </si>
  <si>
    <t>XFG80</t>
  </si>
  <si>
    <t>高盛集團美元配息債券 6.125% 2033/2/15</t>
  </si>
  <si>
    <t>A2 / BBB+ / A</t>
  </si>
  <si>
    <t>US38141GCU67</t>
  </si>
  <si>
    <t>XFI10</t>
  </si>
  <si>
    <t>荷蘭市鎮銀行南非幣零息債券 0% 2025/12/31</t>
  </si>
  <si>
    <t>XS0085517661</t>
  </si>
  <si>
    <t>XFI60</t>
  </si>
  <si>
    <t>南非開發銀行南非幣零息債券 0% 2027/12/31</t>
  </si>
  <si>
    <t>- / BB / -</t>
  </si>
  <si>
    <t>XS0078962809</t>
  </si>
  <si>
    <t>XFI70</t>
  </si>
  <si>
    <t>波克夏海瑟威能源公司美元配息債券 6.5% 2037/9/15</t>
  </si>
  <si>
    <t>A3 / A- / WD</t>
  </si>
  <si>
    <t>US59562VAR87</t>
  </si>
  <si>
    <t>XFI80</t>
  </si>
  <si>
    <t>富士康美元配息債券 3% 2026/9/23</t>
  </si>
  <si>
    <t>- / A- / -</t>
  </si>
  <si>
    <t>XFJ50</t>
  </si>
  <si>
    <t>威瑞森電信公司美元配息債券 5.25% 2037/3/16</t>
  </si>
  <si>
    <t>Baa1 / BBB+ / A-</t>
  </si>
  <si>
    <t>US92343VDU52</t>
  </si>
  <si>
    <t>XFJ60</t>
  </si>
  <si>
    <t>土耳其政府美元配息債券 11.875% 2030/1/15</t>
  </si>
  <si>
    <t>US900123AL40</t>
  </si>
  <si>
    <t>XFJ70</t>
  </si>
  <si>
    <t>國際復興開發銀行南非幣零息債券 0% 2035/5/29</t>
  </si>
  <si>
    <t>Aaa / - / -</t>
  </si>
  <si>
    <t>XS1238805102</t>
  </si>
  <si>
    <t>100000 / 10000</t>
  </si>
  <si>
    <t>XFJ90</t>
  </si>
  <si>
    <t>嬌生公司美元配息債券 4.375% 2033/12/5</t>
  </si>
  <si>
    <t>Aaa / AAA / WD</t>
  </si>
  <si>
    <t>XFK10</t>
  </si>
  <si>
    <t>英特爾公司美元配息債券 4.9% 2045/7/29</t>
  </si>
  <si>
    <t>US458140AT73</t>
  </si>
  <si>
    <t>XFK20</t>
  </si>
  <si>
    <t>墨西哥石油公司美元配息債券 6.5% 2027/3/13</t>
  </si>
  <si>
    <t>XFK30</t>
  </si>
  <si>
    <t>法國興業銀行澳幣年配息債券 5% 2027/5/19</t>
  </si>
  <si>
    <t>XS1615104244</t>
  </si>
  <si>
    <t>200000 / 2000</t>
  </si>
  <si>
    <t>XFK60</t>
  </si>
  <si>
    <t>Alphabet公司美元配息債券 1.998% 2026/8/15</t>
  </si>
  <si>
    <t>Aa2 / AA+ / -</t>
  </si>
  <si>
    <t>US02079KAC18</t>
  </si>
  <si>
    <t>XFK70</t>
  </si>
  <si>
    <t>亞馬遜公司美元配息債券 4.95% 2044/12/5</t>
  </si>
  <si>
    <t>A1 / AA / AA-</t>
  </si>
  <si>
    <t>US023135AQ91</t>
  </si>
  <si>
    <t>XFK80</t>
  </si>
  <si>
    <t>音巴克公司美元配息債券 7.995% 2036/6/1</t>
  </si>
  <si>
    <t>US29078EAA38</t>
  </si>
  <si>
    <t>XFK90</t>
  </si>
  <si>
    <t>富國銀行澳幣配息債券 4% 2027/4/27</t>
  </si>
  <si>
    <t>A1 / BBB+ / A+</t>
  </si>
  <si>
    <t>XS1602313279</t>
  </si>
  <si>
    <t>XFL20</t>
  </si>
  <si>
    <t>摩根大通銀行美元配息債券 6.4% 2038/5/15</t>
  </si>
  <si>
    <t>A1 / A- / AA-</t>
  </si>
  <si>
    <t>US46625HHF01</t>
  </si>
  <si>
    <t>XFL30</t>
  </si>
  <si>
    <t>艾克索美孚石油美元債券 4.114% 2046/3/1</t>
  </si>
  <si>
    <t>Aa2 / AA- / -</t>
  </si>
  <si>
    <t>US30231GAW24</t>
  </si>
  <si>
    <t>XFL40</t>
  </si>
  <si>
    <t>印尼政府美元配息債券 8.5% 2035/10/12</t>
  </si>
  <si>
    <t>USY20721AE96</t>
  </si>
  <si>
    <t>XFL50</t>
  </si>
  <si>
    <t>墨西哥國家電力美元配息債券 5.75% 2042/2/14</t>
  </si>
  <si>
    <t>Baa2 / BBB / BBB-</t>
  </si>
  <si>
    <t>XFL60</t>
  </si>
  <si>
    <t>AT&amp;T公司美元配息債券 4.35% 2045/6/15</t>
  </si>
  <si>
    <t>US00206RBK77</t>
  </si>
  <si>
    <t>XFL70</t>
  </si>
  <si>
    <t>輝瑞大藥廠美元配息債券 4% 2036/12/15</t>
  </si>
  <si>
    <t>XFL90</t>
  </si>
  <si>
    <t>印度巴帝電信美元配息債券 4.375% 2025/6/10</t>
  </si>
  <si>
    <t>Baa3 / BBB- / BBB-</t>
  </si>
  <si>
    <t>USY0889VAA80</t>
  </si>
  <si>
    <t>XFM10</t>
  </si>
  <si>
    <t>威瑞森電信公司美元配息債券 4.125% 2046/8/15</t>
  </si>
  <si>
    <t>XFM20</t>
  </si>
  <si>
    <t>US925524AX89</t>
  </si>
  <si>
    <t>XFM50</t>
  </si>
  <si>
    <t>馬來西亞國家石油公司美元配息債券 7.625% 2026/10/15</t>
  </si>
  <si>
    <t>A2 / A- / BBB+</t>
  </si>
  <si>
    <t>USY68851AK32</t>
  </si>
  <si>
    <t>XFM60</t>
  </si>
  <si>
    <t>高通公司美元配息債券 3.25% 2027/5/20</t>
  </si>
  <si>
    <t>A2 / A / -</t>
  </si>
  <si>
    <t>US747525AU71</t>
  </si>
  <si>
    <t>XFM80</t>
  </si>
  <si>
    <t>沙烏地阿拉伯政府美元配息債券 3.25% 2026/10/26</t>
  </si>
  <si>
    <t>XFM90</t>
  </si>
  <si>
    <t>俄羅斯聯邦政府美元配息債券 4.25% 2027/6/23</t>
  </si>
  <si>
    <t>- / - / WD</t>
  </si>
  <si>
    <t>RU000A0JXTS9</t>
  </si>
  <si>
    <t>200000 / 200000</t>
  </si>
  <si>
    <t>XFN30</t>
  </si>
  <si>
    <t>墨西哥政府美元配息債券 6.05% 2040/1/11</t>
  </si>
  <si>
    <t>US91086QAV05</t>
  </si>
  <si>
    <t>10000 / 2000</t>
  </si>
  <si>
    <t>XFN40</t>
  </si>
  <si>
    <t>俄羅斯天然氣集團美元配息債券 7.288% 2037/8/16</t>
  </si>
  <si>
    <t>WR / NR / WD</t>
  </si>
  <si>
    <t>XS0316524130</t>
  </si>
  <si>
    <t>XFN50</t>
  </si>
  <si>
    <t>US38141EB818</t>
  </si>
  <si>
    <t>XFN60</t>
  </si>
  <si>
    <t>美國運通美元配息債券 3% 2024/10/30</t>
  </si>
  <si>
    <t>US025816BR90</t>
  </si>
  <si>
    <t>XFN70</t>
  </si>
  <si>
    <t>福特汽車公司美元配息債券 7.45% 2031/7/16</t>
  </si>
  <si>
    <t>US345370CA64</t>
  </si>
  <si>
    <t>XFN80</t>
  </si>
  <si>
    <t>威瑞森電信公司澳幣配息債券 4.5% 2027/8/17</t>
  </si>
  <si>
    <t>10000 / 10000</t>
  </si>
  <si>
    <t>XFN90</t>
  </si>
  <si>
    <t>軟體銀行公司美元配息債券 6.25% 2028/4/15</t>
  </si>
  <si>
    <t>XS1793255198</t>
  </si>
  <si>
    <t>XFO10</t>
  </si>
  <si>
    <t>麥格理集團美元配息債券 4.654% 2029/3/27</t>
  </si>
  <si>
    <t>US55608KAN54</t>
  </si>
  <si>
    <t>XFO20</t>
  </si>
  <si>
    <t>駿懋銀行集團加幣配息債券 3.5% 2025/2/3</t>
  </si>
  <si>
    <t>CAG5533WBW69</t>
  </si>
  <si>
    <t>XFO30</t>
  </si>
  <si>
    <t>紐西蘭地方政府紐幣配息債券 4.5% 2027/4/15</t>
  </si>
  <si>
    <t>- / AAA / AA+</t>
  </si>
  <si>
    <t>NZLGFDT007C4</t>
  </si>
  <si>
    <t>XFP20</t>
  </si>
  <si>
    <t>康卡斯特公司美元配息債券 3.55% 2028/5/1</t>
  </si>
  <si>
    <t>A3 / A- / A-</t>
  </si>
  <si>
    <t>US20030NCH26</t>
  </si>
  <si>
    <t>XFP50</t>
  </si>
  <si>
    <t>XS1423878591</t>
  </si>
  <si>
    <t>XFP60</t>
  </si>
  <si>
    <t>XFP90</t>
  </si>
  <si>
    <t>騰訊控股有限公司美元配息債券 3.925% 2038/1/19</t>
  </si>
  <si>
    <t>US88032XAH70</t>
  </si>
  <si>
    <t>XFQ20</t>
  </si>
  <si>
    <t>AT&amp;T公司美元配息債券 4.25% 2027/3/1</t>
  </si>
  <si>
    <t>XFQ50</t>
  </si>
  <si>
    <t>巴克萊集團美元配息債券 5.2% 2026/5/12</t>
  </si>
  <si>
    <t>XFQ60</t>
  </si>
  <si>
    <t>固特異輪胎橡膠公司美元配息債券 5% 2026/5/31</t>
  </si>
  <si>
    <t>US382550BF73</t>
  </si>
  <si>
    <t>XFR10</t>
  </si>
  <si>
    <t>應用材料公司美元配息債券 3.3% 2027/4/1</t>
  </si>
  <si>
    <t>US038222AL98</t>
  </si>
  <si>
    <t>XFR40</t>
  </si>
  <si>
    <t>Baa2 / BBB+ / -</t>
  </si>
  <si>
    <t>XFR50</t>
  </si>
  <si>
    <t>安海斯-布希英博全球公司美元配息 4% 2028/4/13</t>
  </si>
  <si>
    <t>Baa1 / BBB+ / WD</t>
  </si>
  <si>
    <t>US035240AL43</t>
  </si>
  <si>
    <t>XFR80</t>
  </si>
  <si>
    <t>艾伯維藥品有限公司美元配息債券 3.2% 2026/5/14</t>
  </si>
  <si>
    <t>Baa1 / BBB+ / -</t>
  </si>
  <si>
    <t>US00287YAY59</t>
  </si>
  <si>
    <t>XFR90</t>
  </si>
  <si>
    <t>XFS30</t>
  </si>
  <si>
    <t>巴克萊集團美元配息債券 4.337% 2028/1/10</t>
  </si>
  <si>
    <t>XFS40 </t>
  </si>
  <si>
    <t>威騰電子公司美元配息債券 4.75% 2026/2/15</t>
  </si>
  <si>
    <t>US958102AM75</t>
  </si>
  <si>
    <t>XFS80</t>
  </si>
  <si>
    <t>鴻海子公司美元配息債券 4.25% 2029/3/12</t>
  </si>
  <si>
    <t>XS1891687300</t>
  </si>
  <si>
    <t>XFS50</t>
  </si>
  <si>
    <t>拜耳金融公司美元配息債券 4.375% 2028/12/15</t>
  </si>
  <si>
    <t>USU07265AF50</t>
  </si>
  <si>
    <t>XFS60</t>
  </si>
  <si>
    <t>伏得風集團美元配息債券 4.375% 2028/5/30</t>
  </si>
  <si>
    <t>XFS90</t>
  </si>
  <si>
    <t>沙烏地阿拉伯石油公司美元配息債券 4.25% 2039/4/16</t>
  </si>
  <si>
    <t>XFT10</t>
  </si>
  <si>
    <t>麥當勞公司澳幣配息債券 3.8% 2029/3/8</t>
  </si>
  <si>
    <t>AU3CB0261402</t>
  </si>
  <si>
    <t>XFT50</t>
  </si>
  <si>
    <t>AT&amp;T公司澳幣配息債券 4.6% 2028/9/19</t>
  </si>
  <si>
    <t>AU3CB0256915</t>
  </si>
  <si>
    <t>XFT60</t>
  </si>
  <si>
    <t>美國醫院公司美元配息債券 5.875% 2029/2/1</t>
  </si>
  <si>
    <t>US404119BW86</t>
  </si>
  <si>
    <t>XFU10</t>
  </si>
  <si>
    <t>杜邦公司美元配息債券 5.419% 2048/11/15</t>
  </si>
  <si>
    <t>US26078JAF75</t>
  </si>
  <si>
    <t>XFU20</t>
  </si>
  <si>
    <t>博通公司美元配息債券 4.75% 2029/4/15</t>
  </si>
  <si>
    <t>USU1109MAB29</t>
  </si>
  <si>
    <t>XFU60</t>
  </si>
  <si>
    <t>巴克萊集團美元配息債券 5.25% 2045/8/17</t>
  </si>
  <si>
    <t>US06738EAJ47</t>
  </si>
  <si>
    <t>XFU70</t>
  </si>
  <si>
    <t>義大利電信資本公司美元配息債券 7.721% 2038/6/4</t>
  </si>
  <si>
    <t>US87927VAV09</t>
  </si>
  <si>
    <t>XFU80</t>
  </si>
  <si>
    <t>墨西哥石油公司歐元配息債券 4.875% 2028/2/21</t>
  </si>
  <si>
    <t>XS1568888777</t>
  </si>
  <si>
    <t>XFV20</t>
  </si>
  <si>
    <t>快捷藥方控股公司美元配息債券 4.8% 2046/7/15</t>
  </si>
  <si>
    <t>WR / A- / BBB+</t>
  </si>
  <si>
    <t>US30219GAP37</t>
  </si>
  <si>
    <t>XFV30</t>
  </si>
  <si>
    <t>印尼國家電力公司美元配息債券 4.875% 2049/7/17</t>
  </si>
  <si>
    <t>US71568QAK31</t>
  </si>
  <si>
    <t>XFV40</t>
  </si>
  <si>
    <t>福斯汽車國際金融公司歐元配息債券 4.125% 2038/11/16</t>
  </si>
  <si>
    <t>XS1910948675</t>
  </si>
  <si>
    <t>100000 / 100000</t>
  </si>
  <si>
    <t>XFV50</t>
  </si>
  <si>
    <t>軟銀集團公司歐元配息債券 4% 2029/9/19</t>
  </si>
  <si>
    <t>XS1684385591</t>
  </si>
  <si>
    <t>XFV60</t>
  </si>
  <si>
    <t>義大利國家電力金融公司美元配息債券 4.75% 2047/5/25</t>
  </si>
  <si>
    <t>USN30707AE88</t>
  </si>
  <si>
    <t>XFV70</t>
  </si>
  <si>
    <t>墨西哥化工公司美元配息債券 5.5% 2048/1/15</t>
  </si>
  <si>
    <t>USP57908AH15</t>
  </si>
  <si>
    <t>XFV80</t>
  </si>
  <si>
    <t>法國電力公司美元配息債券 5.6% 2040/1/27</t>
  </si>
  <si>
    <t>Baa1 / BBB / BBB+</t>
  </si>
  <si>
    <t>USF2893TAE67</t>
  </si>
  <si>
    <t>XFV90</t>
  </si>
  <si>
    <t>麥當勞公司美元配息債券 4.875% 2045/12/9</t>
  </si>
  <si>
    <t>US58013MFA71</t>
  </si>
  <si>
    <t>XFW10</t>
  </si>
  <si>
    <t>CVSHEALTH公司美元配息債券 5.05% 2048/3/25</t>
  </si>
  <si>
    <t>Baa2 / BBB / -</t>
  </si>
  <si>
    <t>US126650CZ11</t>
  </si>
  <si>
    <t>XFW50</t>
  </si>
  <si>
    <t>沃爾瑪公司美元配息債券 2.95% 2049/9/24</t>
  </si>
  <si>
    <t>Aa2 / AA / AA</t>
  </si>
  <si>
    <t>US931142EP44</t>
  </si>
  <si>
    <t>2000 / 1000</t>
  </si>
  <si>
    <t>XFW60</t>
  </si>
  <si>
    <t>聯合包裹服務公司美元配息債券 3.4% 2049/9/1</t>
  </si>
  <si>
    <t>XFW70</t>
  </si>
  <si>
    <t>艾伯維藥品有限公司美元配息債券 4.7% 2045/5/14</t>
  </si>
  <si>
    <t>US00287YAS81</t>
  </si>
  <si>
    <t>XFW80</t>
  </si>
  <si>
    <t>哈里伯頓公司美元配息債券 5% 2045/11/15</t>
  </si>
  <si>
    <t>US406216BK61</t>
  </si>
  <si>
    <t>XFW90</t>
  </si>
  <si>
    <t>華特迪士尼公司美元配息債券 2.75% 2049/9/1</t>
  </si>
  <si>
    <t>XFX10</t>
  </si>
  <si>
    <t>卡夫亨氏食品公司美元配息債券 4.375% 2046/6/1</t>
  </si>
  <si>
    <t>US50077LAB27</t>
  </si>
  <si>
    <t>XFX20</t>
  </si>
  <si>
    <t>LG化學公司美元配息債券 3.625% 2029/4/15</t>
  </si>
  <si>
    <t>A3 / BBB+ / -</t>
  </si>
  <si>
    <t>USY52758AD47</t>
  </si>
  <si>
    <t>XFX30</t>
  </si>
  <si>
    <t>Fibria海外金融有限公司美元配息債券 5.5% 2027/1/17</t>
  </si>
  <si>
    <t>SUZANO</t>
  </si>
  <si>
    <t>XFX60</t>
  </si>
  <si>
    <t>惠普公司美元配息債券 6% 2041/9/15</t>
  </si>
  <si>
    <t>XFX80</t>
  </si>
  <si>
    <t>孩之寶公司美元配息債券 5.1% 2044/5/15</t>
  </si>
  <si>
    <t>US418056AU19</t>
  </si>
  <si>
    <t>XFX90</t>
  </si>
  <si>
    <t>智遊網集團公司美元配息債券 3.8% 2028/2/15</t>
  </si>
  <si>
    <t>US30212PAP09</t>
  </si>
  <si>
    <t>XFY20</t>
  </si>
  <si>
    <t>3M公司美元配息債券 3.25% 2049/8/26</t>
  </si>
  <si>
    <t>US88579YBK64</t>
  </si>
  <si>
    <t>XFY30</t>
  </si>
  <si>
    <t>百事公司美元配息債券 2.875% 2049/10/15</t>
  </si>
  <si>
    <t>A1 / A+ / WD</t>
  </si>
  <si>
    <t>US713448EP96</t>
  </si>
  <si>
    <t>XFY40</t>
  </si>
  <si>
    <t>吉利德科學公司美元配息債券 4.15% 2047/3/1</t>
  </si>
  <si>
    <t>US375558BK80</t>
  </si>
  <si>
    <t>XFY50</t>
  </si>
  <si>
    <t>家得寶公司美元配息債券 2.95% 2029/6/15</t>
  </si>
  <si>
    <t>A2 / A / A</t>
  </si>
  <si>
    <t>US437076BY77</t>
  </si>
  <si>
    <t>XFY70</t>
  </si>
  <si>
    <t>諾德斯特隆公司美元配息債券 5% 2044/1/15</t>
  </si>
  <si>
    <t>US655664AR15</t>
  </si>
  <si>
    <t>XFY80</t>
  </si>
  <si>
    <t>印尼國家石油有限公司美元配息債券 4.7% 2049/7/30</t>
  </si>
  <si>
    <t>Baa2 / - / BBB</t>
  </si>
  <si>
    <t>US69370RAE71</t>
  </si>
  <si>
    <t>XFY90</t>
  </si>
  <si>
    <t>阿聯酋杜拜國家銀行澳幣配息債券 3.05% 2030/2/26</t>
  </si>
  <si>
    <t>A2 / - / A+</t>
  </si>
  <si>
    <t>AU0000078644</t>
  </si>
  <si>
    <t>XFZ10</t>
  </si>
  <si>
    <t>信諾公司美元配息債券 4.9% 2048/12/15</t>
  </si>
  <si>
    <t>Baa1 / A- / BBB+</t>
  </si>
  <si>
    <t>US125523AK66</t>
  </si>
  <si>
    <t>XFZ20</t>
  </si>
  <si>
    <t>eBay公司美元配息債券 2.7% 2030/3/11</t>
  </si>
  <si>
    <t>US278642AW32</t>
  </si>
  <si>
    <t>XFZ30</t>
  </si>
  <si>
    <t>威士卡公司美元配息債券 4.3% 2045/12/14</t>
  </si>
  <si>
    <t>Aa3 / AA- / -</t>
  </si>
  <si>
    <t>US92826CAF95</t>
  </si>
  <si>
    <t>XFZ40</t>
  </si>
  <si>
    <t>甲骨文公司美元配息債券 4.3% 2034/7/8</t>
  </si>
  <si>
    <t>US68389XAV73</t>
  </si>
  <si>
    <t>XFZ50</t>
  </si>
  <si>
    <t>洛克希德馬丁公司美元配息債券 4.07% 2042/12/15</t>
  </si>
  <si>
    <t>US539830BB41</t>
  </si>
  <si>
    <t>XFZ60</t>
  </si>
  <si>
    <t>阿布達比國家能源公司美元配息債券 4.875% 2030/4/23</t>
  </si>
  <si>
    <t>XS1808738212</t>
  </si>
  <si>
    <t>XFZ80</t>
  </si>
  <si>
    <t>蘋果公司美元配息債券 2.65% 2050/5/11</t>
  </si>
  <si>
    <t>US037833DW79</t>
  </si>
  <si>
    <t>XFZ90</t>
  </si>
  <si>
    <t>康卡斯特公司美元配息債券 2.8% 2051/1/15</t>
  </si>
  <si>
    <t>US20030NDL29</t>
  </si>
  <si>
    <t>XG020</t>
  </si>
  <si>
    <t>沙烏地阿拉伯政府美元配息債券 4.5% 2046/10/26</t>
  </si>
  <si>
    <t>XG030</t>
  </si>
  <si>
    <t>波音公司美元配息債券 5.15% 2030/5/1</t>
  </si>
  <si>
    <t>XG040</t>
  </si>
  <si>
    <t>戴姆勒金融北美有限責任公司美元配息債券 8.5% 2031/1/18</t>
  </si>
  <si>
    <t>XG050</t>
  </si>
  <si>
    <t>艾伯維藥品有限公司美元配息債券  4.3% 2036/5/14</t>
  </si>
  <si>
    <t>XG060</t>
  </si>
  <si>
    <t>蘋果公司美元配息債券 4.45% 2044/5/6</t>
  </si>
  <si>
    <t>US037833AT77</t>
  </si>
  <si>
    <t>XG070</t>
  </si>
  <si>
    <t>吉利德科學公司美元配息債券 4.75% 2046/3/1</t>
  </si>
  <si>
    <t>US375558BD48</t>
  </si>
  <si>
    <t>XG090</t>
  </si>
  <si>
    <t>歐洲投資銀行南非幣零息債券 0% 2032/10/18</t>
  </si>
  <si>
    <t>XS1697550512</t>
  </si>
  <si>
    <t>XG100</t>
  </si>
  <si>
    <t>華特迪士尼公司美元配息債券 3.6% 2051/1/13</t>
  </si>
  <si>
    <t>US254687FZ49</t>
  </si>
  <si>
    <t>XG110</t>
  </si>
  <si>
    <t>聯邦快遞美元配息債券 4.55% 2046/4/1</t>
  </si>
  <si>
    <t>US31428XBG07</t>
  </si>
  <si>
    <t>XG120</t>
  </si>
  <si>
    <t>AT&amp;T公司美元配息債券 3.3% 2052/2/1</t>
  </si>
  <si>
    <t>US00206RKE17</t>
  </si>
  <si>
    <t>XG130</t>
  </si>
  <si>
    <t>3M公司美元配息債券 4% 2048/9/14</t>
  </si>
  <si>
    <t>US88579YBD22</t>
  </si>
  <si>
    <t>XG140</t>
  </si>
  <si>
    <t>TWDC企業18公司美元配息債券 3% 2046/7/30</t>
  </si>
  <si>
    <t>XG150</t>
  </si>
  <si>
    <t>BP資本市場美國公司美元配息債券 3% 2050/2/24</t>
  </si>
  <si>
    <t>XG160</t>
  </si>
  <si>
    <t>甲骨文公司美元配息債券  3.6% 2050/4/1</t>
  </si>
  <si>
    <t>XG170</t>
  </si>
  <si>
    <t>美國電塔公司美元配息債券 3.1% 2050/6/15</t>
  </si>
  <si>
    <t>Baa3 / BBB- / BBB+</t>
  </si>
  <si>
    <t>US03027XBD12</t>
  </si>
  <si>
    <t>XG180</t>
  </si>
  <si>
    <t>富士康遠東有限公司美元配息債券 2.5% 2030/10/28</t>
  </si>
  <si>
    <t>XS2236363227</t>
  </si>
  <si>
    <t>XG190</t>
  </si>
  <si>
    <t>嬌生公司美元配息債券 3.7% 2046/3/1</t>
  </si>
  <si>
    <t>US478160BV55</t>
  </si>
  <si>
    <t>XG200</t>
  </si>
  <si>
    <t>家得寶公司美元配息債券  3.35% 2050/4/15</t>
  </si>
  <si>
    <t>XG210</t>
  </si>
  <si>
    <t>通用汽車公司美元配息債券  6.75% 2046/4/1</t>
  </si>
  <si>
    <t>Baa3 / BBB / BBB-</t>
  </si>
  <si>
    <t>US37045VAL45</t>
  </si>
  <si>
    <t>XG220</t>
  </si>
  <si>
    <t>克羅格公司美元配息債券 3.95% 2050/1/15</t>
  </si>
  <si>
    <t>Baa1 / BBB / -</t>
  </si>
  <si>
    <t>US501044DN88</t>
  </si>
  <si>
    <t>XG230</t>
  </si>
  <si>
    <t>沃爾格林博姿聯合公司美元配息債券 4.1% 2050/4/15</t>
  </si>
  <si>
    <t>US931427AT57</t>
  </si>
  <si>
    <t>XG240</t>
  </si>
  <si>
    <t>AT&amp;T公司美元配息債券 3.65% 2051/6/1</t>
  </si>
  <si>
    <t>US00206RKA94</t>
  </si>
  <si>
    <t>XG250</t>
  </si>
  <si>
    <t>微軟公司美元配息債券 3.7% 2046/8/8</t>
  </si>
  <si>
    <t>XG260</t>
  </si>
  <si>
    <t>Aa3 / A+ / -</t>
  </si>
  <si>
    <t>QNBK</t>
  </si>
  <si>
    <t>XG270</t>
  </si>
  <si>
    <t>花旗環球證券控股公司南非幣配息債券  7% 2030/12/23</t>
  </si>
  <si>
    <t>A2 / - / -</t>
  </si>
  <si>
    <t>XS2216795638</t>
  </si>
  <si>
    <t>XG280</t>
  </si>
  <si>
    <t>NIKE公司美元配息債券 3.375% 2050/3/27</t>
  </si>
  <si>
    <t>A1 / AA- / -</t>
  </si>
  <si>
    <t>US654106AM50</t>
  </si>
  <si>
    <t>XG290</t>
  </si>
  <si>
    <t>沙烏地阿拉伯國家石油公司美元配息債券 3.25% 2050/11/24</t>
  </si>
  <si>
    <t>XG300</t>
  </si>
  <si>
    <t>Alphabet公司美元配息債券 2.25% 2060/8/15</t>
  </si>
  <si>
    <t>US02079KAG22</t>
  </si>
  <si>
    <t>XG310</t>
  </si>
  <si>
    <t>星巴克公司美元配息債券 4.3% 2045/6/15</t>
  </si>
  <si>
    <t>US855244AH20</t>
  </si>
  <si>
    <t>XG320</t>
  </si>
  <si>
    <t>博通公司美元配息債券 3.5% 2041/2/15</t>
  </si>
  <si>
    <t>USU1109MAT37</t>
  </si>
  <si>
    <t>XG330</t>
  </si>
  <si>
    <t>巴西淡水河谷公司美元配息債券  5.625% 2042/9/11</t>
  </si>
  <si>
    <t>US91912EAA38</t>
  </si>
  <si>
    <t>XG340</t>
  </si>
  <si>
    <t>美國政府公債 1.625% 2050/11/15</t>
  </si>
  <si>
    <t>US912810SS87</t>
  </si>
  <si>
    <t>XG350</t>
  </si>
  <si>
    <t>雀巢控股公司美元配息債券 3.9% 2038/9/24</t>
  </si>
  <si>
    <t>USU74078CC58</t>
  </si>
  <si>
    <t>150000 / 1000</t>
  </si>
  <si>
    <t>XG360</t>
  </si>
  <si>
    <t>默克公司美元配息債券 3.9% 2039/3/7</t>
  </si>
  <si>
    <t>US58933YAV74</t>
  </si>
  <si>
    <t>XG370</t>
  </si>
  <si>
    <t>亞培公司美元配息債券 4.75% 2036/11/30</t>
  </si>
  <si>
    <t>US002824BG43</t>
  </si>
  <si>
    <t>XG380</t>
  </si>
  <si>
    <t>威瑞森電信公司美元配息債券 3.15% 2030/3/22</t>
  </si>
  <si>
    <t>US92343VFE92</t>
  </si>
  <si>
    <t>XG390</t>
  </si>
  <si>
    <t>XG400</t>
  </si>
  <si>
    <t>US209111FY40</t>
  </si>
  <si>
    <t>XG410</t>
  </si>
  <si>
    <t>US46647PCD69</t>
  </si>
  <si>
    <t>XG420</t>
  </si>
  <si>
    <t>US38141GYC22</t>
  </si>
  <si>
    <t>XG430</t>
  </si>
  <si>
    <t>威瑞森電信公司美元配息債券 4% 2050/3/22</t>
  </si>
  <si>
    <t>XG440</t>
  </si>
  <si>
    <t>信諾公司美元配息債券 3.4% 2051/3/15</t>
  </si>
  <si>
    <t>US125523CQ19</t>
  </si>
  <si>
    <t>XG450</t>
  </si>
  <si>
    <t>美商藝電公司美元配息債券 2.95% 2051/2/15</t>
  </si>
  <si>
    <t>US285512AF68</t>
  </si>
  <si>
    <t>XG460</t>
  </si>
  <si>
    <t>阿斯特捷利康公開有限公司美元配息債券 2.125% 2050/8/6</t>
  </si>
  <si>
    <t>US046353AX64</t>
  </si>
  <si>
    <t>XG470</t>
  </si>
  <si>
    <t>生物基因公司美元配息債券 3.15% 2050/5/1</t>
  </si>
  <si>
    <t>XG480</t>
  </si>
  <si>
    <t>Discovery傳播有限責任公司美元配息債券 4.65% 2050/5/15</t>
  </si>
  <si>
    <t>US25470DBH17</t>
  </si>
  <si>
    <t>XG490</t>
  </si>
  <si>
    <t>美國醫院公司美元配息債券 3.5% 2051/7/15</t>
  </si>
  <si>
    <t>US404119CB31</t>
  </si>
  <si>
    <t>XG500</t>
  </si>
  <si>
    <t>Unum集團美元配息債券 4.125% 2051/6/15</t>
  </si>
  <si>
    <t>US91529YAR71</t>
  </si>
  <si>
    <t>XG510</t>
  </si>
  <si>
    <t>自由港麥克莫蘭銅金公司美元配息債券 5.45% 2043/3/15</t>
  </si>
  <si>
    <t>Baa3 / BB+ / BBB-</t>
  </si>
  <si>
    <t>US35671DBC83</t>
  </si>
  <si>
    <t>XG520</t>
  </si>
  <si>
    <t>福特汽車公司美元配息債券 4.75% 2043/1/15</t>
  </si>
  <si>
    <t>US345370CQ17</t>
  </si>
  <si>
    <t>XG530</t>
  </si>
  <si>
    <t>西方石油公司美元配息債券  4.4% 2046/4/15</t>
  </si>
  <si>
    <t>US674599CJ22</t>
  </si>
  <si>
    <t>XG540</t>
  </si>
  <si>
    <t>哥倫比亞國家石油公司美元配息債券 7.375% 2043/9/18</t>
  </si>
  <si>
    <t>US279158AE95</t>
  </si>
  <si>
    <t>XG550</t>
  </si>
  <si>
    <t>巴西食品公司美元配息債券  4.875% 2030/1/24</t>
  </si>
  <si>
    <t>USP1905CJX94</t>
  </si>
  <si>
    <t>BRFSBZ</t>
  </si>
  <si>
    <t>XG560</t>
  </si>
  <si>
    <t>軟銀集團公司美元配息債券  5.25% 2031/7/6</t>
  </si>
  <si>
    <t>XS2361253607</t>
  </si>
  <si>
    <t>XG570</t>
  </si>
  <si>
    <t>Tapestry公司美元配息債券 4.125% 2027/7/15</t>
  </si>
  <si>
    <t>US189754AC88</t>
  </si>
  <si>
    <t>XG580</t>
  </si>
  <si>
    <t>福特汽車信用有限責任公司美元配息債券  3.625% 2031/6/17</t>
  </si>
  <si>
    <t>US345397B694</t>
  </si>
  <si>
    <t>XG590</t>
  </si>
  <si>
    <t>巴西政府公債美元配息債券 5% 2045/1/27</t>
  </si>
  <si>
    <t>US105756BW95</t>
  </si>
  <si>
    <t>XG600</t>
  </si>
  <si>
    <t>土耳其政府國際債券美元配息債券 5.875% 2031/6/26</t>
  </si>
  <si>
    <t>US900123DC14</t>
  </si>
  <si>
    <t>XG610</t>
  </si>
  <si>
    <t>固特異美元配息債券  5.25% 2031/4/30</t>
  </si>
  <si>
    <t>US382550BJ95</t>
  </si>
  <si>
    <t>XG620</t>
  </si>
  <si>
    <t>皇家加勒比國際郵輪美元配息債券  5.5% 2028/4/1</t>
  </si>
  <si>
    <t>USV7780TAE39</t>
  </si>
  <si>
    <t>XG630</t>
  </si>
  <si>
    <t>匯豐控股公司美元配息債券  4.95% 2030/3/31</t>
  </si>
  <si>
    <t>A3 / A- / A+</t>
  </si>
  <si>
    <t>XG640</t>
  </si>
  <si>
    <t>阿布達比政府國際美元配息債券 3.125% 2049/9/30</t>
  </si>
  <si>
    <t>Aa2u / AA / AA</t>
  </si>
  <si>
    <t>XG650</t>
  </si>
  <si>
    <t>高通公司美元配息債券  4.8% 2045/5/20</t>
  </si>
  <si>
    <t>US747525AK99</t>
  </si>
  <si>
    <t>XG660</t>
  </si>
  <si>
    <t>T-Mobile公司美元配息債券 3% 2041/2/15</t>
  </si>
  <si>
    <t>US87264ABL89</t>
  </si>
  <si>
    <t>XG670</t>
  </si>
  <si>
    <t>威瑞森電信公司澳幣配息債券  3.5% 2039/11/4</t>
  </si>
  <si>
    <t>AU3CB0268167</t>
  </si>
  <si>
    <t>200000 / 10000</t>
  </si>
  <si>
    <t>XG680</t>
  </si>
  <si>
    <t>阿曼政府國際公債美元配息債券 6% 2029/8/1</t>
  </si>
  <si>
    <t>XS1944412748</t>
  </si>
  <si>
    <t>XG690</t>
  </si>
  <si>
    <t>巴西石油全球金融私人有限公司美元配息債券 6.75% 2041/1/27</t>
  </si>
  <si>
    <t>US71645WAS08</t>
  </si>
  <si>
    <t>XG700</t>
  </si>
  <si>
    <t>墨西哥石油公司美元配息債券 6.75% 2047/9/21</t>
  </si>
  <si>
    <t>US71654QCC42</t>
  </si>
  <si>
    <t>XG720</t>
  </si>
  <si>
    <t>XG730</t>
  </si>
  <si>
    <t>印多福公司美元配息債券 3.541% 2032/4/27</t>
  </si>
  <si>
    <t>Baa3 / - / BBB-</t>
  </si>
  <si>
    <t>XS2399787899</t>
  </si>
  <si>
    <t>XG740</t>
  </si>
  <si>
    <t>Adani港口及特別經濟區有限公司美元配息債券 5% 2041/8/2</t>
  </si>
  <si>
    <t>USY00130YU53</t>
  </si>
  <si>
    <t>XG750</t>
  </si>
  <si>
    <t>日產汽車公司美元配息債券  4.81% 2030/9/17</t>
  </si>
  <si>
    <t>USJ57160DZ32</t>
  </si>
  <si>
    <t>XG760</t>
  </si>
  <si>
    <t>波音公司美元配息債券 5.805% 2050/5/1</t>
  </si>
  <si>
    <t>XG770</t>
  </si>
  <si>
    <t>大自然化妝品公司美元配息債券 4.125% 2028/5/3</t>
  </si>
  <si>
    <t>Ba2 / BB / BB</t>
  </si>
  <si>
    <t>USP7088CAC03</t>
  </si>
  <si>
    <t>XG790</t>
  </si>
  <si>
    <t>百勝餐飲美元配息債券 3.625% 2031/3/15</t>
  </si>
  <si>
    <t>Ba3 / BB / -</t>
  </si>
  <si>
    <t>US988498AN16</t>
  </si>
  <si>
    <t>XG800</t>
  </si>
  <si>
    <t>Paypal控股有限公司美元配息債券 3.25% 2050/6/1</t>
  </si>
  <si>
    <t>XG810</t>
  </si>
  <si>
    <t>國際商業機器公司美元配息債券 2.95% 2050/5/15</t>
  </si>
  <si>
    <t>A3 / A- / -</t>
  </si>
  <si>
    <t>US459200KL41</t>
  </si>
  <si>
    <t>XG820</t>
  </si>
  <si>
    <t>丹普席伊麗國際公司美元配息債券 3.875% 2031/10/15</t>
  </si>
  <si>
    <t>USU8801TAE74</t>
  </si>
  <si>
    <t>XG830</t>
  </si>
  <si>
    <t>亞馬遜公司美元配息債券 4.05% 2047/8/22</t>
  </si>
  <si>
    <t>XG840</t>
  </si>
  <si>
    <t>安進公司美元配息債券 3.375% 2050/2/21</t>
  </si>
  <si>
    <t>US031162CS70</t>
  </si>
  <si>
    <t>XG850</t>
  </si>
  <si>
    <t>挪威國家石油公司美元配息債券 3.625% 2040/4/6</t>
  </si>
  <si>
    <t>US29446MAG78</t>
  </si>
  <si>
    <t>XG870</t>
  </si>
  <si>
    <t>寶馬美國資本有限責任公司美元配息債券 3.7% 2032/4/1</t>
  </si>
  <si>
    <t>XG880</t>
  </si>
  <si>
    <t>高通公司美元配息債券 4.65% 2035/5/20</t>
  </si>
  <si>
    <t>XG890</t>
  </si>
  <si>
    <t>康卡斯特公司美元配息債券 3.75% 2040/4/1</t>
  </si>
  <si>
    <t>US20030NDH17</t>
  </si>
  <si>
    <t>XG900</t>
  </si>
  <si>
    <t>華特迪士尼公司美元配息債券 3.5% 2040/5/13</t>
  </si>
  <si>
    <t>US254687FY73</t>
  </si>
  <si>
    <t>XG910</t>
  </si>
  <si>
    <t>西太平洋銀行公司美元配息債券 3.4% 2028/1/25</t>
  </si>
  <si>
    <t>US961214DW04</t>
  </si>
  <si>
    <t>XG930</t>
  </si>
  <si>
    <t>波克夏海瑟威公司美元配息債券 4.5% 2043/2/11</t>
  </si>
  <si>
    <t>Aa2 / AA / A+u</t>
  </si>
  <si>
    <t>US084670BK32</t>
  </si>
  <si>
    <t>XG940</t>
  </si>
  <si>
    <t>思科系統股份有限公司美元配息債券 5.9% 2039/2/15</t>
  </si>
  <si>
    <t>US17275RAD44</t>
  </si>
  <si>
    <t>XG950</t>
  </si>
  <si>
    <t>花旗集團美元配息債券 3.4% 2026/5/1</t>
  </si>
  <si>
    <t>XG960</t>
  </si>
  <si>
    <t>派拉蒙全球美元配息債券 4.375% 2043/3/15</t>
  </si>
  <si>
    <t>XG970</t>
  </si>
  <si>
    <t>西方石油公司美元配息債券 8.5% 2027/7/15</t>
  </si>
  <si>
    <t>US674599DZ54</t>
  </si>
  <si>
    <t>XG980</t>
  </si>
  <si>
    <t>卡達國家銀行金融有限公司美元配息債券 2.75% 2027/2/12</t>
  </si>
  <si>
    <t>XS2114850949</t>
  </si>
  <si>
    <t>XG990</t>
  </si>
  <si>
    <t>法國興業銀行美元配息債券 4.677% 2027/6/15</t>
  </si>
  <si>
    <t>A1 / A / A</t>
  </si>
  <si>
    <t>US83368TBM99</t>
  </si>
  <si>
    <t>XH010</t>
  </si>
  <si>
    <t>蘋果公司美元配息債券 3.25% 2029/8/8</t>
  </si>
  <si>
    <t>XH020</t>
  </si>
  <si>
    <t>蘋果公司美元配息債券 3.35% 2032/8/8</t>
  </si>
  <si>
    <t>XH030</t>
  </si>
  <si>
    <t>META平台公司美元配息債券 3.85% 2032/8/15</t>
  </si>
  <si>
    <t>US30303M8H84</t>
  </si>
  <si>
    <t>XH040</t>
  </si>
  <si>
    <t>META平台公司美元配息債券 4.45% 2052/8/15</t>
  </si>
  <si>
    <t>US30303M8J41</t>
  </si>
  <si>
    <t>XH050</t>
  </si>
  <si>
    <t>高露潔-棕欖公司美元配息債券 3.25% 2032/8/15</t>
  </si>
  <si>
    <t>US194162AP89</t>
  </si>
  <si>
    <t>XH060</t>
  </si>
  <si>
    <t>卡達國家銀行金融有限公司人民幣配息債券 4% 2027/3/14</t>
  </si>
  <si>
    <t>Aa3 / - / -</t>
  </si>
  <si>
    <t>XS2454678009</t>
  </si>
  <si>
    <t>1000000 / 10000</t>
  </si>
  <si>
    <t>XH070</t>
  </si>
  <si>
    <t>美國政府公債 3.25% 2027/6/30</t>
  </si>
  <si>
    <t>US91282CEW73</t>
  </si>
  <si>
    <t>XH080</t>
  </si>
  <si>
    <t>美國政府公債 3.375% 2042/8/15</t>
  </si>
  <si>
    <t>US912810TK43</t>
  </si>
  <si>
    <t>XH130</t>
  </si>
  <si>
    <t>美國政府公債 4.25% 2024/9/30</t>
  </si>
  <si>
    <t>US91282CFN65</t>
  </si>
  <si>
    <t>XH140</t>
  </si>
  <si>
    <t>美國政府公債 3.5% 2025/9/15</t>
  </si>
  <si>
    <t>XH150</t>
  </si>
  <si>
    <t>歐力士公司美元配息債券 5% 2027/9/13</t>
  </si>
  <si>
    <t>XH160</t>
  </si>
  <si>
    <t>瑞穗金融集團美元配息債券 5.414% 2028/9/13</t>
  </si>
  <si>
    <t>A1 / A- / -</t>
  </si>
  <si>
    <t>US60687YCL11</t>
  </si>
  <si>
    <t>XH170</t>
  </si>
  <si>
    <t>美國銀行美元配息債券 3.248% 2027/10/21</t>
  </si>
  <si>
    <t>US06051GGA13</t>
  </si>
  <si>
    <t>XH180</t>
  </si>
  <si>
    <t>漢威聯合國際公司美元配息債券 5% 2033/2/15</t>
  </si>
  <si>
    <t>US438516CK03</t>
  </si>
  <si>
    <t>HON</t>
  </si>
  <si>
    <t>XH190</t>
  </si>
  <si>
    <t>美國運通公司美元配息債券 4.05% 2042/12/3</t>
  </si>
  <si>
    <t>US025816BF52</t>
  </si>
  <si>
    <t>XH200</t>
  </si>
  <si>
    <t>保德信金融公司美元配息債券 4.6% 2044/5/15</t>
  </si>
  <si>
    <t>US74432QCA13</t>
  </si>
  <si>
    <t>XH220</t>
  </si>
  <si>
    <t>USU9273ADM46</t>
  </si>
  <si>
    <t>XH230</t>
  </si>
  <si>
    <t>XH240</t>
  </si>
  <si>
    <t>目標百貨公司美元配息債券 2.95% 2052/1/15</t>
  </si>
  <si>
    <t>US87612EBN58</t>
  </si>
  <si>
    <t>驗證</t>
    <phoneticPr fontId="53" type="noConversion"/>
  </si>
  <si>
    <t>巴西食品公司(BRF SA)為食品加工業者，在巴西及海外地區建立品牌，例如：Sadia、Perdiago、Qualy、Chester、Perdix及Paty的投資組合。該公司提供肉類(家禽及豬肉)、肉類食品加工、披薩、義大利麵及冷凍蔬菜業務部門。BRF SA經營遍及歐洲、拉丁美洲、中東、非洲、歐亞及亞洲市場。</t>
  </si>
  <si>
    <t>動視暴雪公司(Activision Blizzard, Inc.)出版、開發及經銷互動式娛樂軟體及週邊產品，按彭博「電玩遊戲軟體」產業營收全球排名第2位，僅次於騰訊。旗下歷久不衰的系列經典遊戲，有「Candy Crush」、「決勝時刻」、「魔獸世界」、「爐石戰記」、「星海爭霸」與「暗黑破壞神」等，於全球擁有數億活躍用戶。</t>
  </si>
  <si>
    <t>Adani港口及特別經濟區有限公司(Adani Ports and Special Economic Zone Limited)是印度最大的商業港口運營商，佔該國貨物運輸量近四分之一。該公司於印度西岸經營貨運港口，提供貨物處理、運輸、倉儲、物流及轉送服務，予能源、鐵路、熱能發電傳輸、農業及物流產業。</t>
  </si>
  <si>
    <t>丹普席伊麗國際公司(Tempur Sealy International, Inc.)為全球睡眠產業的第一大公司，透過旗下主要子公司製造並行銷寢具產品，旗下主要品牌有丹普TEMPUR、Stearns &amp; Foster及席伊麗Sealy，其中，席伊麗Sealy是四季酒店、萬豪酒店、晶華酒店、喜來登大飯店等五星級飯店的指定名床品牌。</t>
  </si>
  <si>
    <t>高露潔-棕欖公司(Colgate-Palmolive Company)是全球最大的牙膏、手動牙刷與香皂企業，華人地區知名的「黑人牙膏(現已改名為好來)」即為其子品牌。高露潔產品分為兩大類別「口腔、個人和家庭護理」以及「寵物營養」，其中以牙膏及手動牙刷為營收主要來源，但近10年來，旗下寵物營養業務營收比重攀升，成為公司成長較快的業務領域。</t>
  </si>
  <si>
    <t>歐力士(Orix Corporation)是一家綜合性金融服務，營運涵蓋汽車、船舶和飛機租賃、住房貸款、企業融資、投資銀行、資產管理、人壽保險、房地產以及環保新能源等多元業務；ORIX是亞洲第一大汽車租賃公司，同時也是日本關西機場第一大股東並經營日本職棒歐力士猛牛隊，且憑藉多元業務實現了連續逾50年獲利佳績。</t>
  </si>
  <si>
    <t>VW</t>
    <phoneticPr fontId="53" type="noConversion"/>
  </si>
  <si>
    <t>MBGGR</t>
    <phoneticPr fontId="53" type="noConversion"/>
  </si>
  <si>
    <t>含息含UF賣價</t>
    <phoneticPr fontId="53" type="noConversion"/>
  </si>
  <si>
    <t>年領利息</t>
    <phoneticPr fontId="26" type="noConversion"/>
  </si>
  <si>
    <t>投資面額</t>
    <phoneticPr fontId="26" type="noConversion"/>
  </si>
  <si>
    <t>最小面額/增額</t>
    <phoneticPr fontId="28" type="noConversion"/>
  </si>
  <si>
    <t>距到
期年</t>
    <phoneticPr fontId="28" type="noConversion"/>
  </si>
  <si>
    <t>費用後
殖利率</t>
    <phoneticPr fontId="53" type="noConversion"/>
  </si>
  <si>
    <t>下一票息
支付日</t>
    <phoneticPr fontId="28" type="noConversion"/>
  </si>
  <si>
    <t>派拉蒙全球公司美元配息債券6.875%  2036/4/30</t>
  </si>
  <si>
    <t>Baa3 / BBB- / WD</t>
  </si>
  <si>
    <t>騰訊控股美元配息債券 3.24% 2050/6/3</t>
  </si>
  <si>
    <t>紐約聯合愛迪生公司美元配息債券 3.95% 2050/4/1</t>
  </si>
  <si>
    <t>摩根大通銀行美元配息債券  3.157% 2042/4/22</t>
  </si>
  <si>
    <t>高盛集團美元配息債券 3.21% 2042/4/22</t>
  </si>
  <si>
    <t>XH250</t>
  </si>
  <si>
    <t>暉致公司美元配息債券 4% 2050/6/22</t>
  </si>
  <si>
    <t>US92556VAF31</t>
  </si>
  <si>
    <t>VTRS</t>
  </si>
  <si>
    <t>XH260</t>
  </si>
  <si>
    <t>輝瑞大藥廠美元配息債券 4.4% 2044/5/15</t>
  </si>
  <si>
    <t>US717081DK61</t>
  </si>
  <si>
    <t>XH270</t>
  </si>
  <si>
    <t>大都會人壽美元配息債券 4.05% 2045/3/1</t>
  </si>
  <si>
    <t>US59156RBN70</t>
  </si>
  <si>
    <t>MET</t>
  </si>
  <si>
    <t>XH280</t>
  </si>
  <si>
    <t>沙烏地阿拉伯政府美元配息債券 4.875% 2033/7/18</t>
  </si>
  <si>
    <t>XS2577135127</t>
  </si>
  <si>
    <t>DES</t>
    <phoneticPr fontId="53" type="noConversion"/>
  </si>
  <si>
    <t>累積到期面額</t>
    <phoneticPr fontId="53" type="noConversion"/>
  </si>
  <si>
    <t>投入本金</t>
    <phoneticPr fontId="53" type="noConversion"/>
  </si>
  <si>
    <t>當年投入本金</t>
    <phoneticPr fontId="53" type="noConversion"/>
  </si>
  <si>
    <t>YTC</t>
    <phoneticPr fontId="53" type="noConversion"/>
  </si>
  <si>
    <t>Call Date</t>
    <phoneticPr fontId="53" type="noConversion"/>
  </si>
  <si>
    <t>折溢價</t>
    <phoneticPr fontId="53" type="noConversion"/>
  </si>
  <si>
    <t>參考日期：</t>
    <phoneticPr fontId="55" type="noConversion"/>
  </si>
  <si>
    <t>商品代碼</t>
    <phoneticPr fontId="55" type="noConversion"/>
  </si>
  <si>
    <t>債券名稱</t>
    <phoneticPr fontId="55" type="noConversion"/>
  </si>
  <si>
    <t xml:space="preserve"> 發 行 公 司 簡 介 </t>
    <phoneticPr fontId="55" type="noConversion"/>
  </si>
  <si>
    <t>剩餘年期</t>
  </si>
  <si>
    <t>最低增額</t>
  </si>
  <si>
    <t>債券信用評等</t>
    <phoneticPr fontId="55" type="noConversion"/>
  </si>
  <si>
    <t>付息次數</t>
    <phoneticPr fontId="55" type="noConversion"/>
  </si>
  <si>
    <t>利息收入</t>
    <phoneticPr fontId="55" type="noConversion"/>
  </si>
  <si>
    <t>累積利息收入</t>
    <phoneticPr fontId="55" type="noConversion"/>
  </si>
  <si>
    <t>到期償還</t>
    <phoneticPr fontId="55" type="noConversion"/>
  </si>
  <si>
    <t>總投資收入</t>
    <phoneticPr fontId="55" type="noConversion"/>
  </si>
  <si>
    <t>到期收益率</t>
    <phoneticPr fontId="55" type="noConversion"/>
  </si>
  <si>
    <t>提前贖回</t>
    <phoneticPr fontId="55" type="noConversion"/>
  </si>
  <si>
    <t>提前贖回收益率</t>
    <phoneticPr fontId="55" type="noConversion"/>
  </si>
  <si>
    <t>備註</t>
    <phoneticPr fontId="55" type="noConversion"/>
  </si>
  <si>
    <t>可贖回日</t>
    <phoneticPr fontId="55" type="noConversion"/>
  </si>
  <si>
    <t>到期日</t>
    <phoneticPr fontId="55" type="noConversion"/>
  </si>
  <si>
    <t>福斯集團美國金融有限責任公司(Volkswagen Group of America Finance, LLC)為特殊目的機構，本券由福斯股份有限公司(Volkswagen AG)提供保證。福斯是歐洲市值最大汽車製造商、全球汽車製造營收龍頭，擁有Volkswagen、Audi、ŠKODA、Porsche等眾多知名汽車品牌。</t>
  </si>
  <si>
    <t>UNH</t>
  </si>
  <si>
    <t>福斯集團(美國)金融有限責任公司美元配息債券 4.6% 2029/6/8</t>
  </si>
  <si>
    <t>配息頻率</t>
    <phoneticPr fontId="55" type="noConversion"/>
  </si>
  <si>
    <t>下一配息日</t>
    <phoneticPr fontId="55" type="noConversion"/>
  </si>
  <si>
    <t>配息「日」</t>
    <phoneticPr fontId="55" type="noConversion"/>
  </si>
  <si>
    <t>下一配息「月」</t>
    <phoneticPr fontId="55" type="noConversion"/>
  </si>
  <si>
    <t>單次配息收入</t>
    <phoneticPr fontId="55" type="noConversion"/>
  </si>
  <si>
    <t>自由選</t>
    <phoneticPr fontId="53" type="noConversion"/>
  </si>
  <si>
    <t>現金流試算</t>
    <phoneticPr fontId="53" type="noConversion"/>
  </si>
  <si>
    <t>商品代碼</t>
    <phoneticPr fontId="28" type="noConversion"/>
  </si>
  <si>
    <t>NAME_CHINESE_TRADITIONAL</t>
    <phoneticPr fontId="53" type="noConversion"/>
  </si>
  <si>
    <t>DS022</t>
  </si>
  <si>
    <t>NEXT CALL</t>
    <phoneticPr fontId="53" type="noConversion"/>
  </si>
  <si>
    <t>美國國庫債券</t>
  </si>
  <si>
    <t>梅賽德斯-賓士金融北美有限責</t>
  </si>
  <si>
    <t>中銀航空租賃有限公司</t>
  </si>
  <si>
    <t>友邦保險</t>
  </si>
  <si>
    <t>寶馬美國資本有限責任公司</t>
  </si>
  <si>
    <t>福斯集團(美國)金融</t>
  </si>
  <si>
    <t>沃爾瑪公司</t>
  </si>
  <si>
    <t>沙烏地阿拉伯國家石油公司</t>
  </si>
  <si>
    <t>富士康遠東有限公司</t>
  </si>
  <si>
    <t>TSMC Arizona Corp</t>
  </si>
  <si>
    <t>Saudi Government Internation</t>
  </si>
  <si>
    <t>華特迪士尼公司</t>
  </si>
  <si>
    <t>蘋果公司</t>
  </si>
  <si>
    <t>英特爾</t>
  </si>
  <si>
    <t>歐力士公司</t>
  </si>
  <si>
    <t>美國運通</t>
  </si>
  <si>
    <t>威瑞森電信公司</t>
  </si>
  <si>
    <t>金百利克拉克</t>
  </si>
  <si>
    <t>康卡斯特公司</t>
  </si>
  <si>
    <t>3M</t>
  </si>
  <si>
    <t>Emirates NBD Bank PJSC</t>
  </si>
  <si>
    <t>雷神科技公司</t>
  </si>
  <si>
    <t>波克夏海瑟威金融公司</t>
  </si>
  <si>
    <t>高通公司</t>
  </si>
  <si>
    <t>Realty Income Corp</t>
  </si>
  <si>
    <t>嬌生公司</t>
  </si>
  <si>
    <t>橫跨加拿大管路有限公司</t>
  </si>
  <si>
    <t>亞馬遜公司</t>
  </si>
  <si>
    <t>微軟公司</t>
  </si>
  <si>
    <t>美洲移動通訊公司</t>
  </si>
  <si>
    <t>輝瑞大藥廠股份有限公司</t>
  </si>
  <si>
    <t>惠氏公司</t>
  </si>
  <si>
    <t>挪威國家石油公司</t>
  </si>
  <si>
    <t>吉利德科學公司</t>
  </si>
  <si>
    <t>殼牌國際金融私人有限公司</t>
  </si>
  <si>
    <t>卡達政府國際債券</t>
  </si>
  <si>
    <t>TWDC企業18公司</t>
  </si>
  <si>
    <t>聯合包裹服務公司</t>
  </si>
  <si>
    <t>阿布達比政府國際債券</t>
  </si>
  <si>
    <t>BP資本市場美國公司</t>
  </si>
  <si>
    <t>信諾集團</t>
  </si>
  <si>
    <t>Paypal控股有限公司</t>
  </si>
  <si>
    <t>威士卡</t>
  </si>
  <si>
    <t>巴郡哈薩威能源公司</t>
  </si>
  <si>
    <t>卡達國家銀行金融有限公司</t>
  </si>
  <si>
    <t>福斯汽車國際金融公眾有限公司</t>
  </si>
  <si>
    <t>渣打集團</t>
  </si>
  <si>
    <t>美國銀行</t>
  </si>
  <si>
    <t>花旗集團</t>
  </si>
  <si>
    <t>法國電力公司</t>
  </si>
  <si>
    <t>慧與</t>
  </si>
  <si>
    <t>高盛集團</t>
  </si>
  <si>
    <t>摩根士丹利</t>
  </si>
  <si>
    <t>印尼政府國際債券</t>
  </si>
  <si>
    <t>巴克萊集團</t>
  </si>
  <si>
    <t>麥當勞公司</t>
  </si>
  <si>
    <t>國民西敏集團公開有限公司</t>
  </si>
  <si>
    <t>富國銀行</t>
  </si>
  <si>
    <t>法國巴黎銀行</t>
  </si>
  <si>
    <t>瑞銀集團公司</t>
  </si>
  <si>
    <t>卡夫亨氏食品公司</t>
  </si>
  <si>
    <t>三井住友金融集團公司</t>
  </si>
  <si>
    <t>匯豐控股</t>
  </si>
  <si>
    <t>摩根大通銀行</t>
  </si>
  <si>
    <t>法國興業銀行</t>
  </si>
  <si>
    <t>AT&amp;T公司</t>
  </si>
  <si>
    <t>西班牙國際銀行</t>
  </si>
  <si>
    <t>CVS保健公司</t>
  </si>
  <si>
    <t>國家電力公司</t>
  </si>
  <si>
    <t>沃達豐集團公開有限公司</t>
  </si>
  <si>
    <t>荷蘭合作銀行</t>
  </si>
  <si>
    <t>拜耳美國金融II有限責任公司</t>
  </si>
  <si>
    <t>惠普公司</t>
  </si>
  <si>
    <t>印尼國家石油有限公司</t>
  </si>
  <si>
    <t>波音公司</t>
  </si>
  <si>
    <t>甲骨文公司</t>
  </si>
  <si>
    <t>艾伯維公司</t>
  </si>
  <si>
    <t>安海斯-布希英博全球公司</t>
  </si>
  <si>
    <t>安進公司</t>
  </si>
  <si>
    <t>派拉蒙全球</t>
  </si>
  <si>
    <t>星巴克公司</t>
  </si>
  <si>
    <t>百健公司</t>
  </si>
  <si>
    <t>保德信金融</t>
  </si>
  <si>
    <t>阿里巴巴集團控股有限公司</t>
  </si>
  <si>
    <t>安智銀行公眾有限公司</t>
  </si>
  <si>
    <t>德意志銀行公司(倫敦)</t>
  </si>
  <si>
    <t>德意志銀行股份有限公司/紐約</t>
  </si>
  <si>
    <t>中海油尼克森金融(2014)無限公</t>
  </si>
  <si>
    <t>巴西石油全球金融私人有限公司</t>
  </si>
  <si>
    <t>Formosa Group Cayman Ltd</t>
  </si>
  <si>
    <t>德國商業銀行</t>
  </si>
  <si>
    <t>軟銀</t>
  </si>
  <si>
    <t>沙烏地電力環球伊斯蘭債券公司</t>
  </si>
  <si>
    <t>桑坦德集團控股(英國)</t>
  </si>
  <si>
    <t>歐洲復興開發銀行</t>
  </si>
  <si>
    <t>百度股份有限公司</t>
  </si>
  <si>
    <t>希捷HDD開曼群島</t>
  </si>
  <si>
    <t>土耳其政府國際債券</t>
  </si>
  <si>
    <t>國際復興開發銀行</t>
  </si>
  <si>
    <t>墨西哥石油公司</t>
  </si>
  <si>
    <t>Alphabet公司</t>
  </si>
  <si>
    <t>音巴克公司</t>
  </si>
  <si>
    <t>聯邦電力委員會</t>
  </si>
  <si>
    <t>巴帝電信有限公司</t>
  </si>
  <si>
    <t>馬來西亞國家石油公司</t>
  </si>
  <si>
    <t>俄羅斯外國債券-歐洲債券</t>
  </si>
  <si>
    <t>墨西哥政府國際債券</t>
  </si>
  <si>
    <t>俄羅斯天然氣集團透過Gaz資本</t>
  </si>
  <si>
    <t>福特汽車公司</t>
  </si>
  <si>
    <t>騰訊控股</t>
  </si>
  <si>
    <t>固特異輪胎公司</t>
  </si>
  <si>
    <t>應用材料</t>
  </si>
  <si>
    <t>武田藥品有限公司</t>
  </si>
  <si>
    <t>威騰電子公司</t>
  </si>
  <si>
    <t>競賽隊伍科技有限公司</t>
  </si>
  <si>
    <t>美國醫院公司</t>
  </si>
  <si>
    <t>新杜邦公司</t>
  </si>
  <si>
    <t>博通公司</t>
  </si>
  <si>
    <t>義大利電信資本公司</t>
  </si>
  <si>
    <t>Evernorth健康公司</t>
  </si>
  <si>
    <t>義大利國家電力金融國際公眾有</t>
  </si>
  <si>
    <t>歐比亞先進可變資本有限公司</t>
  </si>
  <si>
    <t>哈里伯頓公司</t>
  </si>
  <si>
    <t>LG化學有限公司</t>
  </si>
  <si>
    <t>Fibria海外金融有限公司</t>
  </si>
  <si>
    <t>孩之寶公司</t>
  </si>
  <si>
    <t>智遊網集團公司</t>
  </si>
  <si>
    <t>諾德斯特龍公司</t>
  </si>
  <si>
    <t>電子灣拍賣網站公司</t>
  </si>
  <si>
    <t>洛克希德馬丁</t>
  </si>
  <si>
    <t>阿布達比國家能源公司</t>
  </si>
  <si>
    <t>美國電塔</t>
  </si>
  <si>
    <t>克羅格公司</t>
  </si>
  <si>
    <t>沃博聯公司</t>
  </si>
  <si>
    <t>淡水河谷</t>
  </si>
  <si>
    <t>雀巢控股公司</t>
  </si>
  <si>
    <t>默克藥廠</t>
  </si>
  <si>
    <t>亞培</t>
  </si>
  <si>
    <t>紐約聯合愛迪生公司</t>
  </si>
  <si>
    <t>美商藝電公司</t>
  </si>
  <si>
    <t>阿斯特捷利康公開有限公司</t>
  </si>
  <si>
    <t>探索傳播有限責任公司</t>
  </si>
  <si>
    <t>Unum集團</t>
  </si>
  <si>
    <t>自由港麥克莫蘭銅金公司</t>
  </si>
  <si>
    <t>西方石油</t>
  </si>
  <si>
    <t>哥倫比亞國家石油公司</t>
  </si>
  <si>
    <t>BRF SA</t>
  </si>
  <si>
    <t>掛毯公司</t>
  </si>
  <si>
    <t>福特汽車信用有限責任公司</t>
  </si>
  <si>
    <t>巴西政府國際公債</t>
  </si>
  <si>
    <t>皇家加勒比國際游輪</t>
  </si>
  <si>
    <t>T-Mobile美國公司</t>
  </si>
  <si>
    <t>阿曼政府國際債券</t>
  </si>
  <si>
    <t>動視暴雪公司</t>
  </si>
  <si>
    <t>印多福公司</t>
  </si>
  <si>
    <t>Adani港口及特別經濟區有限公</t>
  </si>
  <si>
    <t>Natura Cosmeticos SA</t>
  </si>
  <si>
    <t>百勝餐飲</t>
  </si>
  <si>
    <t>國際商業機器</t>
  </si>
  <si>
    <t>丹普席伊麗國際公司</t>
  </si>
  <si>
    <t>西太平洋銀行公司</t>
  </si>
  <si>
    <t>波克夏海瑟威公司</t>
  </si>
  <si>
    <t>思科系統股份有限公司</t>
  </si>
  <si>
    <t>高露潔-棕欖公司</t>
  </si>
  <si>
    <t>瑞穗金融集團</t>
  </si>
  <si>
    <t>漢威聯合國際公司</t>
  </si>
  <si>
    <t>目標百貨公司</t>
  </si>
  <si>
    <t>暉致公司</t>
  </si>
  <si>
    <t>大都會人壽</t>
  </si>
  <si>
    <t>中國石化集團海外發展(2013)</t>
  </si>
  <si>
    <t>維康公司</t>
  </si>
  <si>
    <t>戴姆勒金融北美有限責任公司</t>
  </si>
  <si>
    <t>Discovery傳播有限責任公司</t>
  </si>
  <si>
    <t>聯合健康集團</t>
  </si>
  <si>
    <t>中國石油化工集團海外開發2013有限公司(Sinopec Group Overseas Development 2013 Limited)為一家特殊目的機構。保證機構為母公司中國石化為中國最大的一體化能源化工公司之一，其煉油及乙烯生產能力皆排名中國第一，並為中國最大的成品油供應商。</t>
  </si>
  <si>
    <t>派拉蒙全球(Paramount Global)是全球最大的媒體公司之一；2019年由CBS公司和維康合併而成「維康CBS(ViacomCBS)」，但隨後在2022年改名為現今的「派拉蒙全球(Paramount Global)」，突顯該公司對Paramount+串流媒體服務的重視，也讓人想起了這家擁有百年歷史的電影製片廠派拉蒙。</t>
  </si>
  <si>
    <t>字數</t>
  </si>
  <si>
    <t>俄羅斯聯邦儲蓄銀行透過SB資本</t>
  </si>
  <si>
    <t>SBERRU</t>
  </si>
  <si>
    <t>Saudi Electricity Global Suk</t>
  </si>
  <si>
    <t>荷蘭銀行公眾有限公司</t>
  </si>
  <si>
    <t>ABNANV</t>
  </si>
  <si>
    <t>國民西敏寺銀行集團</t>
  </si>
  <si>
    <t>UBS</t>
  </si>
  <si>
    <t>維亞康姆哥倫比亞廣播公司</t>
  </si>
  <si>
    <t>阿里巴巴</t>
  </si>
  <si>
    <t>印度工業信貸投資銀行有限公司</t>
  </si>
  <si>
    <t>ICICI</t>
  </si>
  <si>
    <t>BPCE有限責任公司</t>
  </si>
  <si>
    <t>BPCEGP</t>
  </si>
  <si>
    <t>桑坦德英國公開有限公司</t>
  </si>
  <si>
    <t>沃爾格林公司</t>
  </si>
  <si>
    <t>高特利集團</t>
  </si>
  <si>
    <t>MO</t>
  </si>
  <si>
    <t>英美菸草資本公司</t>
  </si>
  <si>
    <t>BATSLN</t>
  </si>
  <si>
    <t>聯邦快遞公司</t>
    <phoneticPr fontId="105" type="noConversion"/>
  </si>
  <si>
    <t>以色列政府國際債券</t>
  </si>
  <si>
    <t>ISRAEL</t>
  </si>
  <si>
    <t>第一資本金融公司</t>
  </si>
  <si>
    <t>COF</t>
  </si>
  <si>
    <t>MS</t>
  </si>
  <si>
    <t>TPR-DRS-RS</t>
  </si>
  <si>
    <t>澳洲聯邦銀行</t>
  </si>
  <si>
    <t>CBAAU</t>
  </si>
  <si>
    <t>瑞信集團</t>
  </si>
  <si>
    <t>CS</t>
  </si>
  <si>
    <t>德意志銀行</t>
  </si>
  <si>
    <t>SOFTBK</t>
    <phoneticPr fontId="105" type="noConversion"/>
  </si>
  <si>
    <t>南非政府國際債券</t>
  </si>
  <si>
    <t>SOAF</t>
  </si>
  <si>
    <t>南非國營運輸有限公司</t>
  </si>
  <si>
    <t>SAFTRA</t>
  </si>
  <si>
    <t>阿達尼電力傳輸有限公司</t>
  </si>
  <si>
    <t>ADTIN</t>
  </si>
  <si>
    <t>RABOBK</t>
  </si>
  <si>
    <t>瑞士銀行公司/康乃狄克州史丹</t>
  </si>
  <si>
    <t>CVS Health Corp</t>
  </si>
  <si>
    <t>三井住友海上火災保險有限公司</t>
  </si>
  <si>
    <t>MSINS</t>
  </si>
  <si>
    <t>SANTAN</t>
  </si>
  <si>
    <t>巴克萊銀行公開有限公司</t>
  </si>
  <si>
    <t>國家經濟社會發展銀行</t>
  </si>
  <si>
    <t>BNDES</t>
  </si>
  <si>
    <t>SUMIBK</t>
  </si>
  <si>
    <t>Azure Nova國際金融有限公司</t>
  </si>
  <si>
    <t>BCOMFL</t>
  </si>
  <si>
    <t>CMBLEMTN 1有限公司</t>
    <phoneticPr fontId="105" type="noConversion"/>
  </si>
  <si>
    <t>CMBLEM</t>
  </si>
  <si>
    <t>駿懋銀行公開有限公司</t>
  </si>
  <si>
    <t>陶氏化學公司</t>
  </si>
  <si>
    <t>DOW</t>
  </si>
  <si>
    <t>印尼Asahan 鋁業(Persero)</t>
  </si>
  <si>
    <t>IDASAL</t>
  </si>
  <si>
    <t>QATAR</t>
  </si>
  <si>
    <t>Power Finance Corp Ltd</t>
  </si>
  <si>
    <t>POWFIN</t>
  </si>
  <si>
    <t>7-Eleven Inc</t>
  </si>
  <si>
    <t>SVELEV</t>
  </si>
  <si>
    <t>阿魯歐比特IV國際金融有限公司</t>
  </si>
  <si>
    <t>BKCOML</t>
  </si>
  <si>
    <t>中海油財務(2013)有限公司</t>
  </si>
  <si>
    <t>淡水河谷海外有限公司</t>
  </si>
  <si>
    <t>麥格理集團有限公司</t>
    <phoneticPr fontId="105" type="noConversion"/>
  </si>
  <si>
    <t>國油資本有限公司</t>
  </si>
  <si>
    <t>流明科技公司</t>
  </si>
  <si>
    <t>安海斯-布希英博金融公司</t>
  </si>
  <si>
    <t>星巴克</t>
  </si>
  <si>
    <t>康卡斯特</t>
  </si>
  <si>
    <t>瑞穗金融集團(開曼)3有限公司</t>
  </si>
  <si>
    <t>生物基因公司</t>
  </si>
  <si>
    <t>美敦力公司</t>
  </si>
  <si>
    <t>MDT</t>
  </si>
  <si>
    <t>網飛公司</t>
  </si>
  <si>
    <t>NFLX</t>
  </si>
  <si>
    <t>秘魯政府國際債券</t>
  </si>
  <si>
    <t>PERU</t>
  </si>
  <si>
    <t>耐吉</t>
  </si>
  <si>
    <t>耐吉公司</t>
    <phoneticPr fontId="105" type="noConversion"/>
  </si>
  <si>
    <t>信諾公司</t>
  </si>
  <si>
    <t>可口可樂</t>
  </si>
  <si>
    <t>KO</t>
  </si>
  <si>
    <t>可口可樂公司</t>
    <phoneticPr fontId="105" type="noConversion"/>
  </si>
  <si>
    <t>Cisco Systems Inc/Delaware</t>
  </si>
  <si>
    <t>寶僑公司</t>
  </si>
  <si>
    <t>PG</t>
  </si>
  <si>
    <t>中國銀行(香港)有限公司</t>
  </si>
  <si>
    <t>BCHINA</t>
  </si>
  <si>
    <t>中國銀行有限公司(盧森堡)</t>
  </si>
  <si>
    <t>Telstra Corp Ltd</t>
  </si>
  <si>
    <t>TLSAU</t>
  </si>
  <si>
    <t>力拓金融公開有限公司</t>
  </si>
  <si>
    <t>RIOLN</t>
  </si>
  <si>
    <t>微狄亞視訊</t>
  </si>
  <si>
    <t>NVDA</t>
  </si>
  <si>
    <t>BMW金融公眾有限公司</t>
    <phoneticPr fontId="105" type="noConversion"/>
  </si>
  <si>
    <t>第一阿布達比銀行公司</t>
  </si>
  <si>
    <t>FABUH</t>
  </si>
  <si>
    <t>韓國輸出入銀行</t>
  </si>
  <si>
    <t>EIBKOR</t>
  </si>
  <si>
    <t>恆天然合作社集團有限公司</t>
  </si>
  <si>
    <t>FCGNZ</t>
  </si>
  <si>
    <t>農林金融公庫</t>
  </si>
  <si>
    <t>RENTEN</t>
  </si>
  <si>
    <t>農林金融公庫(Landwirtschaftliche Rentenbank)為政府開發銀行。該銀行針對各類涉農項目和農村金融，範圍從農業、林業、園藝和漁業到農業用品的製造以及與農業和林業密切相關的商業和服務業務。除了涉及食品行業的企業提供融資外，也資助其他經營農業上下游的企業和機構。</t>
  </si>
  <si>
    <t>智利國家銅業公司</t>
  </si>
  <si>
    <t>CDEL</t>
  </si>
  <si>
    <t>智利國家銅業公司(Corporacion Nacional del Cobre de Chile)以Codelco執行業務，探勘、開發、加工，並銷售銅，為全球最大的銅生產公司。該公司提供陰極與陽極銅、銅精礦，和粗銅，且提供副產品，例如：鉬、陽極泥，以及硫酸。智利國家銅業公司服務全球客戶。</t>
  </si>
  <si>
    <t>多倫多道明銀行</t>
  </si>
  <si>
    <t>TD</t>
  </si>
  <si>
    <t>百事可樂</t>
  </si>
  <si>
    <t>百事可樂公司</t>
    <phoneticPr fontId="105" type="noConversion"/>
  </si>
  <si>
    <t>聯合健康集團公司</t>
    <phoneticPr fontId="105" type="noConversion"/>
  </si>
  <si>
    <t>印度石油公司</t>
  </si>
  <si>
    <t>IOCLIN</t>
  </si>
  <si>
    <t>澳盛銀行集團股份有限公司</t>
  </si>
  <si>
    <t>ANZ</t>
  </si>
  <si>
    <t>惠普</t>
  </si>
  <si>
    <t>奇異公司</t>
  </si>
  <si>
    <t>GE</t>
  </si>
  <si>
    <t>埃克森美孚石油公司</t>
  </si>
  <si>
    <t>埃克森美孚公司</t>
    <phoneticPr fontId="105" type="noConversion"/>
  </si>
  <si>
    <t>瑞士信貸集團</t>
  </si>
  <si>
    <t>菲律賓政府國際債券</t>
  </si>
  <si>
    <t>PHILIP</t>
  </si>
  <si>
    <t>孟山都公司</t>
  </si>
  <si>
    <t>MON</t>
  </si>
  <si>
    <t>美國電力公司</t>
  </si>
  <si>
    <t>AEP</t>
  </si>
  <si>
    <t>美國電力公司(American Electric Power Company, Inc.，簡稱AEP)為公共事業控股公司，發電、輸電、配電及銷售電力予美國的住宅及商業客戶，是北美市值前十大的電力事業公司。該公司擁有全美最龐大的輸電網絡，覆蓋約63,000公里的範圍，涵蓋美國東部、中部德州地區、及加拿大東部地區用電，旗下服務客戶數量超過500萬名。</t>
  </si>
  <si>
    <t>AIA</t>
  </si>
  <si>
    <t>葛蘭素史克</t>
  </si>
  <si>
    <t>GSK</t>
  </si>
  <si>
    <t>日產汽車</t>
  </si>
  <si>
    <t>日產汽車有限公司</t>
    <phoneticPr fontId="105" type="noConversion"/>
  </si>
  <si>
    <t>哈雷公司</t>
  </si>
  <si>
    <t>HOG</t>
  </si>
  <si>
    <t>哈雷戴維森公司</t>
  </si>
  <si>
    <t>道富銀行</t>
  </si>
  <si>
    <t>STT</t>
  </si>
  <si>
    <t>賽門房地產集團有限合夥</t>
  </si>
  <si>
    <t>SPG</t>
  </si>
  <si>
    <t>賽門房地產集團有限合夥(Simon Property Group LP)擁有、經營、管理、租賃、收購、擴展及開發不動產。其母公司賽門物業集團(Simon Property Group Inc.)是美國最大的零售不動產投資信託(REITs)公司，擁有、開發與管理一流的購物中心、高級暢貨中心及國際級不動產等，可創造收益的房地產股權遍及北美、亞洲與歐洲。</t>
  </si>
  <si>
    <t>RTX</t>
  </si>
  <si>
    <t>三菱UFJ金融集團公司</t>
    <phoneticPr fontId="53" type="noConversion"/>
  </si>
  <si>
    <t>MUFG</t>
  </si>
  <si>
    <t>遠東宏信</t>
    <phoneticPr fontId="53" type="noConversion"/>
  </si>
  <si>
    <t>FRESHK</t>
  </si>
  <si>
    <t>通用汽車金融(加拿大)有限公司</t>
    <phoneticPr fontId="53" type="noConversion"/>
  </si>
  <si>
    <t>三井住友銀行公司(雪梨)</t>
    <phoneticPr fontId="53" type="noConversion"/>
  </si>
  <si>
    <t>Coinbase Global公司</t>
    <phoneticPr fontId="53" type="noConversion"/>
  </si>
  <si>
    <t>COIN</t>
    <phoneticPr fontId="53" type="noConversion"/>
  </si>
  <si>
    <t>埃及政府國際債券</t>
    <phoneticPr fontId="53" type="noConversion"/>
  </si>
  <si>
    <t>EGYPT</t>
  </si>
  <si>
    <t>南非公債</t>
  </si>
  <si>
    <t>SAGB</t>
  </si>
  <si>
    <t>Adani Transmission Step-One</t>
  </si>
  <si>
    <t>ADTIN</t>
    <phoneticPr fontId="105" type="noConversion"/>
  </si>
  <si>
    <t>TAISEM</t>
  </si>
  <si>
    <t>TSMC全球有限公司</t>
    <phoneticPr fontId="53" type="noConversion"/>
  </si>
  <si>
    <t>菲利浦莫里斯國際公司</t>
    <phoneticPr fontId="53" type="noConversion"/>
  </si>
  <si>
    <t>PM</t>
    <phoneticPr fontId="105" type="noConversion"/>
  </si>
  <si>
    <t>南加州愛迪生公司</t>
  </si>
  <si>
    <t>EIX</t>
    <phoneticPr fontId="105" type="noConversion"/>
  </si>
  <si>
    <t>康菲石油</t>
    <phoneticPr fontId="105" type="noConversion"/>
  </si>
  <si>
    <t>COP</t>
    <phoneticPr fontId="105" type="noConversion"/>
  </si>
  <si>
    <t>BABA</t>
    <phoneticPr fontId="105" type="noConversion"/>
  </si>
  <si>
    <t>中國海洋石油北美無限責任公司</t>
  </si>
  <si>
    <t>TRPCN</t>
  </si>
  <si>
    <t>洲際交易所</t>
  </si>
  <si>
    <t>ICE</t>
  </si>
  <si>
    <t>拜耳</t>
  </si>
  <si>
    <t>KMB</t>
  </si>
  <si>
    <t>O</t>
  </si>
  <si>
    <t>Gaci First Investment Co</t>
    <phoneticPr fontId="105" type="noConversion"/>
  </si>
  <si>
    <t>PIFKSA</t>
  </si>
  <si>
    <t>韓國國際債券</t>
    <phoneticPr fontId="105" type="noConversion"/>
  </si>
  <si>
    <t>KOREA</t>
    <phoneticPr fontId="105" type="noConversion"/>
  </si>
  <si>
    <t>Astrazeneca Finance LLC</t>
    <phoneticPr fontId="105" type="noConversion"/>
  </si>
  <si>
    <t>AZN</t>
    <phoneticPr fontId="105" type="noConversion"/>
  </si>
  <si>
    <t>KKR Group Finance Co X LLC</t>
    <phoneticPr fontId="105" type="noConversion"/>
  </si>
  <si>
    <t>KKR</t>
    <phoneticPr fontId="105" type="noConversion"/>
  </si>
  <si>
    <t>Blackstone Private Credit Fu</t>
    <phoneticPr fontId="105" type="noConversion"/>
  </si>
  <si>
    <t>BCRED</t>
  </si>
  <si>
    <t>豐田汽車信貸公司</t>
    <phoneticPr fontId="105" type="noConversion"/>
  </si>
  <si>
    <t>TOYOTA</t>
    <phoneticPr fontId="105" type="noConversion"/>
  </si>
  <si>
    <t>YTC</t>
    <phoneticPr fontId="53" type="noConversion"/>
  </si>
  <si>
    <t>Call Day</t>
    <phoneticPr fontId="53" type="noConversion"/>
  </si>
  <si>
    <t>YTC</t>
    <phoneticPr fontId="55" type="noConversion"/>
  </si>
  <si>
    <t>判斷日期</t>
    <phoneticPr fontId="55" type="noConversion"/>
  </si>
  <si>
    <t>票息類型</t>
    <phoneticPr fontId="53" type="noConversion"/>
  </si>
  <si>
    <t>最低
申購面額</t>
    <phoneticPr fontId="28" type="noConversion"/>
  </si>
  <si>
    <t>票面
年利率</t>
    <phoneticPr fontId="28" type="noConversion"/>
  </si>
  <si>
    <t>配息
月份</t>
    <phoneticPr fontId="28" type="noConversion"/>
  </si>
  <si>
    <t>FRN公式</t>
    <phoneticPr fontId="53" type="noConversion"/>
  </si>
  <si>
    <t>重設指數</t>
    <phoneticPr fontId="53" type="noConversion"/>
  </si>
  <si>
    <t>US0003M</t>
    <phoneticPr fontId="53" type="noConversion"/>
  </si>
  <si>
    <t>利差1</t>
    <phoneticPr fontId="53" type="noConversion"/>
  </si>
  <si>
    <t>浮動後配息頻率</t>
    <phoneticPr fontId="53" type="noConversion"/>
  </si>
  <si>
    <t>ADSW5</t>
  </si>
  <si>
    <t>SOFRRATE</t>
  </si>
  <si>
    <t>H15T1Y</t>
  </si>
  <si>
    <t>票息類型</t>
    <phoneticPr fontId="55" type="noConversion"/>
  </si>
  <si>
    <t>幣別</t>
    <phoneticPr fontId="55" type="noConversion"/>
  </si>
  <si>
    <t>變動後配息頻率</t>
    <phoneticPr fontId="55" type="noConversion"/>
  </si>
  <si>
    <t>FRN公式</t>
    <phoneticPr fontId="55" type="noConversion"/>
  </si>
  <si>
    <t>實際全部剩餘付息次數</t>
    <phoneticPr fontId="55" type="noConversion"/>
  </si>
  <si>
    <t>「固定」期間的配息次數</t>
    <phoneticPr fontId="55" type="noConversion"/>
  </si>
  <si>
    <t>來源的剩餘付息次數</t>
    <phoneticPr fontId="55" type="noConversion"/>
  </si>
  <si>
    <t>變動單次配息收入</t>
    <phoneticPr fontId="55" type="noConversion"/>
  </si>
  <si>
    <t>變動票面年利息(假設)</t>
    <phoneticPr fontId="55" type="noConversion"/>
  </si>
  <si>
    <t>現金流試算表</t>
    <phoneticPr fontId="53" type="noConversion"/>
  </si>
  <si>
    <t>篩選吧</t>
    <phoneticPr fontId="53" type="noConversion"/>
  </si>
  <si>
    <t>px_last</t>
  </si>
  <si>
    <t>px_last</t>
    <phoneticPr fontId="53" type="noConversion"/>
  </si>
  <si>
    <t>粗估票面利率</t>
    <phoneticPr fontId="53" type="noConversion"/>
  </si>
  <si>
    <t>商品
代碼</t>
    <phoneticPr fontId="28" type="noConversion"/>
  </si>
  <si>
    <r>
      <t>★ 開啟本檔案後，先</t>
    </r>
    <r>
      <rPr>
        <b/>
        <sz val="14"/>
        <color rgb="FFFF0000"/>
        <rFont val="微軟正黑體"/>
        <family val="2"/>
        <charset val="136"/>
      </rPr>
      <t>「啟用內容」，</t>
    </r>
    <r>
      <rPr>
        <b/>
        <sz val="14"/>
        <rFont val="微軟正黑體"/>
        <family val="2"/>
        <charset val="136"/>
      </rPr>
      <t>再透過主畫面選擇</t>
    </r>
    <r>
      <rPr>
        <b/>
        <sz val="14"/>
        <color rgb="FFFF0000"/>
        <rFont val="微軟正黑體"/>
        <family val="2"/>
        <charset val="136"/>
      </rPr>
      <t>「現金流試算表」、「自由選」</t>
    </r>
    <r>
      <rPr>
        <b/>
        <sz val="14"/>
        <rFont val="微軟正黑體"/>
        <family val="2"/>
        <charset val="136"/>
      </rPr>
      <t>或</t>
    </r>
    <r>
      <rPr>
        <b/>
        <sz val="14"/>
        <color rgb="FFFF0000"/>
        <rFont val="微軟正黑體"/>
        <family val="2"/>
        <charset val="136"/>
      </rPr>
      <t>「篩選吧」</t>
    </r>
    <r>
      <rPr>
        <b/>
        <sz val="14"/>
        <rFont val="微軟正黑體"/>
        <family val="2"/>
        <charset val="136"/>
      </rPr>
      <t>工作表</t>
    </r>
    <phoneticPr fontId="53" type="noConversion"/>
  </si>
  <si>
    <r>
      <t>C) 工作表名稱</t>
    </r>
    <r>
      <rPr>
        <b/>
        <sz val="12"/>
        <rFont val="微軟正黑體"/>
        <family val="2"/>
        <charset val="136"/>
      </rPr>
      <t>「篩選吧」：</t>
    </r>
    <r>
      <rPr>
        <sz val="12"/>
        <color theme="1"/>
        <rFont val="微軟正黑體"/>
        <family val="2"/>
        <charset val="136"/>
      </rPr>
      <t>可針對架上商品進行多重篩選</t>
    </r>
    <phoneticPr fontId="53" type="noConversion"/>
  </si>
  <si>
    <r>
      <t>A) 工作表名稱</t>
    </r>
    <r>
      <rPr>
        <b/>
        <sz val="12"/>
        <rFont val="微軟正黑體"/>
        <family val="2"/>
        <charset val="136"/>
      </rPr>
      <t>「投資商品現金流試算表」：</t>
    </r>
    <r>
      <rPr>
        <sz val="12"/>
        <rFont val="微軟正黑體"/>
        <family val="2"/>
        <charset val="136"/>
      </rPr>
      <t>對</t>
    </r>
    <r>
      <rPr>
        <b/>
        <u/>
        <sz val="12"/>
        <rFont val="微軟正黑體"/>
        <family val="2"/>
        <charset val="136"/>
      </rPr>
      <t>單檔債券</t>
    </r>
    <r>
      <rPr>
        <sz val="12"/>
        <rFont val="微軟正黑體"/>
        <family val="2"/>
        <charset val="136"/>
      </rPr>
      <t>商品進行現金流試算</t>
    </r>
    <phoneticPr fontId="53" type="noConversion"/>
  </si>
  <si>
    <t>是</t>
  </si>
  <si>
    <t>查詢</t>
  </si>
  <si>
    <t>買回日程</t>
    <phoneticPr fontId="53" type="noConversion"/>
  </si>
  <si>
    <t>SC004</t>
    <phoneticPr fontId="53" type="noConversion"/>
  </si>
  <si>
    <t>買回日程型態</t>
    <phoneticPr fontId="55" type="noConversion"/>
  </si>
  <si>
    <t>XG410</t>
    <phoneticPr fontId="53" type="noConversion"/>
  </si>
  <si>
    <r>
      <rPr>
        <b/>
        <sz val="10"/>
        <color indexed="8"/>
        <rFont val="Arial Unicode MS"/>
        <family val="2"/>
        <charset val="136"/>
      </rPr>
      <t>債券名稱</t>
    </r>
  </si>
  <si>
    <r>
      <rPr>
        <b/>
        <sz val="10"/>
        <rFont val="Arial Unicode MS"/>
        <family val="2"/>
        <charset val="136"/>
      </rPr>
      <t xml:space="preserve">信用評等
</t>
    </r>
    <r>
      <rPr>
        <b/>
        <sz val="10"/>
        <rFont val="Arial"/>
        <family val="2"/>
      </rPr>
      <t>Moody/ S&amp;P / Fitch</t>
    </r>
  </si>
  <si>
    <r>
      <rPr>
        <b/>
        <sz val="10"/>
        <color indexed="8"/>
        <rFont val="Arial Unicode MS"/>
        <family val="2"/>
        <charset val="136"/>
      </rPr>
      <t>剩餘天期</t>
    </r>
    <phoneticPr fontId="26" type="noConversion"/>
  </si>
  <si>
    <r>
      <rPr>
        <b/>
        <sz val="10"/>
        <color indexed="8"/>
        <rFont val="Arial Unicode MS"/>
        <family val="2"/>
        <charset val="136"/>
      </rPr>
      <t>幣別</t>
    </r>
  </si>
  <si>
    <r>
      <rPr>
        <b/>
        <sz val="10"/>
        <color indexed="8"/>
        <rFont val="Arial Unicode MS"/>
        <family val="2"/>
        <charset val="136"/>
      </rPr>
      <t>交割日</t>
    </r>
  </si>
  <si>
    <r>
      <rPr>
        <b/>
        <sz val="10"/>
        <color indexed="8"/>
        <rFont val="Arial Unicode MS"/>
        <family val="2"/>
        <charset val="136"/>
      </rPr>
      <t>買價</t>
    </r>
  </si>
  <si>
    <r>
      <rPr>
        <b/>
        <sz val="10"/>
        <color indexed="8"/>
        <rFont val="Arial Unicode MS"/>
        <family val="2"/>
        <charset val="136"/>
      </rPr>
      <t>賣價</t>
    </r>
  </si>
  <si>
    <r>
      <rPr>
        <b/>
        <sz val="10"/>
        <color indexed="8"/>
        <rFont val="Arial Unicode MS"/>
        <family val="2"/>
        <charset val="136"/>
      </rPr>
      <t>前手息</t>
    </r>
  </si>
  <si>
    <r>
      <rPr>
        <b/>
        <sz val="10"/>
        <color indexed="8"/>
        <rFont val="Arial Unicode MS"/>
        <family val="2"/>
        <charset val="136"/>
      </rPr>
      <t>含息買價</t>
    </r>
  </si>
  <si>
    <r>
      <rPr>
        <b/>
        <sz val="10"/>
        <color indexed="8"/>
        <rFont val="Arial Unicode MS"/>
        <family val="2"/>
        <charset val="136"/>
      </rPr>
      <t>含息賣價</t>
    </r>
  </si>
  <si>
    <r>
      <rPr>
        <b/>
        <sz val="10"/>
        <color indexed="8"/>
        <rFont val="Arial Unicode MS"/>
        <family val="2"/>
        <charset val="136"/>
      </rPr>
      <t xml:space="preserve">含息含
</t>
    </r>
    <r>
      <rPr>
        <b/>
        <sz val="10"/>
        <color indexed="8"/>
        <rFont val="Arial"/>
        <family val="2"/>
      </rPr>
      <t>UF</t>
    </r>
    <r>
      <rPr>
        <b/>
        <sz val="10"/>
        <color indexed="8"/>
        <rFont val="Arial Unicode MS"/>
        <family val="2"/>
        <charset val="136"/>
      </rPr>
      <t>賣價</t>
    </r>
  </si>
  <si>
    <r>
      <rPr>
        <b/>
        <sz val="10"/>
        <color indexed="8"/>
        <rFont val="Arial Unicode MS"/>
        <family val="2"/>
        <charset val="136"/>
      </rPr>
      <t>淨殖利率</t>
    </r>
  </si>
  <si>
    <r>
      <rPr>
        <b/>
        <sz val="10"/>
        <color indexed="8"/>
        <rFont val="Arial Unicode MS"/>
        <family val="2"/>
        <charset val="136"/>
      </rPr>
      <t>費用後
殖利率</t>
    </r>
  </si>
  <si>
    <r>
      <rPr>
        <b/>
        <sz val="10"/>
        <color indexed="8"/>
        <rFont val="Arial Unicode MS"/>
        <family val="2"/>
        <charset val="136"/>
      </rPr>
      <t>庫存</t>
    </r>
    <r>
      <rPr>
        <b/>
        <sz val="10"/>
        <color indexed="8"/>
        <rFont val="Arial"/>
        <family val="2"/>
      </rPr>
      <t>/</t>
    </r>
    <r>
      <rPr>
        <b/>
        <sz val="10"/>
        <color indexed="8"/>
        <rFont val="Arial Unicode MS"/>
        <family val="2"/>
        <charset val="136"/>
      </rPr>
      <t>流動性</t>
    </r>
  </si>
  <si>
    <r>
      <rPr>
        <b/>
        <sz val="10"/>
        <color indexed="8"/>
        <rFont val="Arial Unicode MS"/>
        <family val="2"/>
        <charset val="136"/>
      </rPr>
      <t>年化費率</t>
    </r>
    <r>
      <rPr>
        <b/>
        <sz val="10"/>
        <color indexed="8"/>
        <rFont val="Arial"/>
        <family val="2"/>
      </rPr>
      <t>%</t>
    </r>
  </si>
  <si>
    <t>YTC</t>
  </si>
  <si>
    <t xml:space="preserve"> </t>
  </si>
  <si>
    <r>
      <rPr>
        <b/>
        <u/>
        <sz val="10"/>
        <color indexed="9"/>
        <rFont val="微軟正黑體"/>
        <family val="2"/>
        <charset val="136"/>
      </rPr>
      <t>第一銀行</t>
    </r>
    <r>
      <rPr>
        <b/>
        <u/>
        <sz val="10"/>
        <color indexed="9"/>
        <rFont val="Arial"/>
        <family val="2"/>
      </rPr>
      <t xml:space="preserve"> - </t>
    </r>
    <r>
      <rPr>
        <b/>
        <u/>
        <sz val="10"/>
        <color indexed="9"/>
        <rFont val="微軟正黑體"/>
        <family val="2"/>
        <charset val="136"/>
      </rPr>
      <t>海</t>
    </r>
    <r>
      <rPr>
        <b/>
        <u/>
        <sz val="10"/>
        <color indexed="9"/>
        <rFont val="Arial"/>
        <family val="2"/>
      </rPr>
      <t xml:space="preserve"> </t>
    </r>
    <r>
      <rPr>
        <b/>
        <u/>
        <sz val="10"/>
        <color indexed="9"/>
        <rFont val="微軟正黑體"/>
        <family val="2"/>
        <charset val="136"/>
      </rPr>
      <t>外</t>
    </r>
    <r>
      <rPr>
        <b/>
        <u/>
        <sz val="10"/>
        <color indexed="9"/>
        <rFont val="Arial"/>
        <family val="2"/>
      </rPr>
      <t xml:space="preserve"> </t>
    </r>
    <r>
      <rPr>
        <b/>
        <u/>
        <sz val="10"/>
        <color indexed="9"/>
        <rFont val="微軟正黑體"/>
        <family val="2"/>
        <charset val="136"/>
      </rPr>
      <t>債</t>
    </r>
    <r>
      <rPr>
        <b/>
        <u/>
        <sz val="10"/>
        <color indexed="9"/>
        <rFont val="Arial"/>
        <family val="2"/>
      </rPr>
      <t xml:space="preserve"> </t>
    </r>
    <r>
      <rPr>
        <b/>
        <u/>
        <sz val="10"/>
        <color indexed="9"/>
        <rFont val="微軟正黑體"/>
        <family val="2"/>
        <charset val="136"/>
      </rPr>
      <t>劵</t>
    </r>
    <r>
      <rPr>
        <b/>
        <u/>
        <sz val="10"/>
        <color indexed="9"/>
        <rFont val="Arial"/>
        <family val="2"/>
      </rPr>
      <t xml:space="preserve"> </t>
    </r>
    <r>
      <rPr>
        <b/>
        <u/>
        <sz val="10"/>
        <color indexed="9"/>
        <rFont val="微軟正黑體"/>
        <family val="2"/>
        <charset val="136"/>
      </rPr>
      <t>商</t>
    </r>
    <r>
      <rPr>
        <b/>
        <u/>
        <sz val="10"/>
        <color indexed="9"/>
        <rFont val="Arial"/>
        <family val="2"/>
      </rPr>
      <t xml:space="preserve"> </t>
    </r>
    <r>
      <rPr>
        <b/>
        <u/>
        <sz val="10"/>
        <color indexed="9"/>
        <rFont val="微軟正黑體"/>
        <family val="2"/>
        <charset val="136"/>
      </rPr>
      <t>品</t>
    </r>
    <phoneticPr fontId="26" type="noConversion"/>
  </si>
  <si>
    <t>Mod Duration</t>
    <phoneticPr fontId="26" type="noConversion"/>
  </si>
  <si>
    <t>5Y CDS</t>
    <phoneticPr fontId="26" type="noConversion"/>
  </si>
  <si>
    <t>較前日價格(含息含UF賣價)變動比率</t>
    <phoneticPr fontId="26" type="noConversion"/>
  </si>
  <si>
    <t>提前贖回總投資收入</t>
    <phoneticPr fontId="55" type="noConversion"/>
  </si>
  <si>
    <t>浮動票息定價公式</t>
    <phoneticPr fontId="28" type="noConversion"/>
  </si>
  <si>
    <t>XFA40</t>
  </si>
  <si>
    <r>
      <rPr>
        <b/>
        <sz val="10"/>
        <color indexed="8"/>
        <rFont val="Arial Unicode MS"/>
        <family val="2"/>
        <charset val="136"/>
      </rPr>
      <t>最低申購面額</t>
    </r>
    <r>
      <rPr>
        <b/>
        <sz val="10"/>
        <color indexed="8"/>
        <rFont val="Arial"/>
        <family val="2"/>
      </rPr>
      <t xml:space="preserve">/
</t>
    </r>
    <r>
      <rPr>
        <b/>
        <sz val="10"/>
        <color indexed="8"/>
        <rFont val="Arial Unicode MS"/>
        <family val="2"/>
        <charset val="136"/>
      </rPr>
      <t>累積加碼金額</t>
    </r>
  </si>
  <si>
    <t>No offer</t>
  </si>
  <si>
    <t>A1 / - / A+</t>
  </si>
  <si>
    <t>10000 / 100</t>
  </si>
  <si>
    <r>
      <t>★ 貼心提醒：輸入的投資面額若以「</t>
    </r>
    <r>
      <rPr>
        <b/>
        <sz val="14"/>
        <color rgb="FFFF0000"/>
        <rFont val="微軟正黑體"/>
        <family val="2"/>
        <charset val="136"/>
      </rPr>
      <t>紅字</t>
    </r>
    <r>
      <rPr>
        <b/>
        <sz val="14"/>
        <rFont val="微軟正黑體"/>
        <family val="2"/>
        <charset val="136"/>
      </rPr>
      <t>」提示，表示不符合對應的最低申購面額及累積加碼金額之規定</t>
    </r>
    <phoneticPr fontId="53" type="noConversion"/>
  </si>
  <si>
    <t>債券信評
(穆迪/標普/惠譽)</t>
    <phoneticPr fontId="28" type="noConversion"/>
  </si>
  <si>
    <t>海外債券投組
自由選小檔案</t>
  </si>
  <si>
    <t>債券信評
(穆迪\標普\惠譽)</t>
    <phoneticPr fontId="28" type="noConversion"/>
  </si>
  <si>
    <t>手續費率</t>
    <phoneticPr fontId="53" type="noConversion"/>
  </si>
  <si>
    <t>公司亮點介紹</t>
    <phoneticPr fontId="26" type="noConversion"/>
  </si>
  <si>
    <t>現金流量表</t>
    <phoneticPr fontId="26" type="noConversion"/>
  </si>
  <si>
    <t>產業分布</t>
    <phoneticPr fontId="26" type="noConversion"/>
  </si>
  <si>
    <t>付息日/到期日</t>
    <phoneticPr fontId="55" type="noConversion"/>
  </si>
  <si>
    <t>1月</t>
    <phoneticPr fontId="53" type="noConversion"/>
  </si>
  <si>
    <t>2月</t>
    <phoneticPr fontId="53" type="noConversion"/>
  </si>
  <si>
    <t>3月</t>
  </si>
  <si>
    <t>4月</t>
  </si>
  <si>
    <t>5月</t>
  </si>
  <si>
    <t>6月</t>
  </si>
  <si>
    <t>7月</t>
  </si>
  <si>
    <t>8月</t>
  </si>
  <si>
    <t>9月</t>
  </si>
  <si>
    <t>10月</t>
  </si>
  <si>
    <t>11月</t>
  </si>
  <si>
    <t>12月</t>
  </si>
  <si>
    <t>XH290</t>
  </si>
  <si>
    <t>XH300</t>
  </si>
  <si>
    <t>XH310</t>
  </si>
  <si>
    <t>XH320</t>
  </si>
  <si>
    <t>聯合健康集團美元配息債券 5.8% 2036/3/15</t>
  </si>
  <si>
    <t>US91324PAR38</t>
  </si>
  <si>
    <t>聯合健康集團美元配息債券 4.375% 2042/3/15</t>
  </si>
  <si>
    <t>US91324PBW14</t>
  </si>
  <si>
    <t>NIKE公司美元配息債券 3.875% 2045/11/1</t>
  </si>
  <si>
    <t>US654106AE35</t>
  </si>
  <si>
    <t>美國政府債券 4.5% 2036/2/15</t>
  </si>
  <si>
    <t>US912810FT08</t>
  </si>
  <si>
    <t>票息
類型</t>
    <phoneticPr fontId="53" type="noConversion"/>
  </si>
  <si>
    <t>清單</t>
    <phoneticPr fontId="53" type="noConversion"/>
  </si>
  <si>
    <t>清單</t>
    <phoneticPr fontId="53" type="noConversion"/>
  </si>
  <si>
    <t>幣別</t>
    <phoneticPr fontId="53" type="noConversion"/>
  </si>
  <si>
    <t>幣別</t>
    <phoneticPr fontId="53" type="noConversion"/>
  </si>
  <si>
    <t>客戶資格2</t>
    <phoneticPr fontId="53" type="noConversion"/>
  </si>
  <si>
    <t>清單計數</t>
    <phoneticPr fontId="53" type="noConversion"/>
  </si>
  <si>
    <t>清單計數</t>
    <phoneticPr fontId="53" type="noConversion"/>
  </si>
  <si>
    <r>
      <t>★ 便利功能：透過</t>
    </r>
    <r>
      <rPr>
        <b/>
        <sz val="14"/>
        <color rgb="FFFF0000"/>
        <rFont val="微軟正黑體"/>
        <family val="2"/>
        <charset val="136"/>
      </rPr>
      <t>自行輸入商品代號</t>
    </r>
    <r>
      <rPr>
        <b/>
        <sz val="14"/>
        <rFont val="微軟正黑體"/>
        <family val="2"/>
        <charset val="136"/>
      </rPr>
      <t>及</t>
    </r>
    <r>
      <rPr>
        <b/>
        <sz val="14"/>
        <color rgb="FFFF0000"/>
        <rFont val="微軟正黑體"/>
        <family val="2"/>
        <charset val="136"/>
      </rPr>
      <t>投資面額</t>
    </r>
    <r>
      <rPr>
        <b/>
        <sz val="14"/>
        <rFont val="微軟正黑體"/>
        <family val="2"/>
        <charset val="136"/>
      </rPr>
      <t>，打造客戶最適下單需求</t>
    </r>
    <phoneticPr fontId="53" type="noConversion"/>
  </si>
  <si>
    <r>
      <t>★ 便利功能：透過</t>
    </r>
    <r>
      <rPr>
        <b/>
        <sz val="14"/>
        <color rgb="FFFF0000"/>
        <rFont val="微軟正黑體"/>
        <family val="2"/>
        <charset val="136"/>
      </rPr>
      <t>輸入商品代號</t>
    </r>
    <r>
      <rPr>
        <b/>
        <sz val="14"/>
        <rFont val="微軟正黑體"/>
        <family val="2"/>
        <charset val="136"/>
      </rPr>
      <t>及</t>
    </r>
    <r>
      <rPr>
        <b/>
        <sz val="14"/>
        <color rgb="FFFF0000"/>
        <rFont val="微軟正黑體"/>
        <family val="2"/>
        <charset val="136"/>
      </rPr>
      <t>投資面額</t>
    </r>
    <r>
      <rPr>
        <b/>
        <sz val="14"/>
        <rFont val="微軟正黑體"/>
        <family val="2"/>
        <charset val="136"/>
      </rPr>
      <t>，即可輕鬆掌握配息時程及累積現金流</t>
    </r>
    <phoneticPr fontId="53" type="noConversion"/>
  </si>
  <si>
    <r>
      <t>★ 便利功能：透過</t>
    </r>
    <r>
      <rPr>
        <b/>
        <sz val="14"/>
        <color rgb="FFFF0000"/>
        <rFont val="微軟正黑體"/>
        <family val="2"/>
        <charset val="136"/>
      </rPr>
      <t>主要功能表勾選</t>
    </r>
    <r>
      <rPr>
        <b/>
        <sz val="14"/>
        <rFont val="微軟正黑體"/>
        <family val="2"/>
        <charset val="136"/>
      </rPr>
      <t xml:space="preserve">，即可切換現金流試算表或自由選清單 </t>
    </r>
    <phoneticPr fontId="53" type="noConversion"/>
  </si>
  <si>
    <t>Clean px with UF</t>
  </si>
  <si>
    <t>付息頻率</t>
  </si>
  <si>
    <t>TICKER</t>
  </si>
  <si>
    <t>聯邦電力委員會(Comision Federal de Electricidad)由墨西哥政府100%持有，是墨西哥唯一的垂直整合電力公司，提供發電、輸電及配電一體化服務，於墨西哥獨家負責輸配電業務，並為墨西哥的主要電力生產商。CFE為墨西哥少數曾上榜《Fortune》全球500強的企業之一。</t>
  </si>
  <si>
    <t>阿里巴巴集團</t>
  </si>
  <si>
    <t>麥格理銀行</t>
  </si>
  <si>
    <t>中國石化集團海外發展(2013)有限公司</t>
  </si>
  <si>
    <t>荷蘭商安智銀行</t>
  </si>
  <si>
    <t>德意志銀行(紐約)</t>
  </si>
  <si>
    <t>中國海洋石油財務(2014)公司</t>
  </si>
  <si>
    <t>巴西石油</t>
  </si>
  <si>
    <t>台塑集團投資(開曼)</t>
  </si>
  <si>
    <t>殼牌國際金融公司 </t>
  </si>
  <si>
    <t>軟銀集團公司</t>
  </si>
  <si>
    <t>美洲電信公司</t>
  </si>
  <si>
    <t>印尼國家能源公司</t>
  </si>
  <si>
    <t>沙烏地電力</t>
  </si>
  <si>
    <t>西班牙國際銀行英國控股公司</t>
  </si>
  <si>
    <t>百度公司</t>
  </si>
  <si>
    <t>希捷硬碟</t>
  </si>
  <si>
    <t>微軟</t>
  </si>
  <si>
    <t>惠普企業公司 </t>
  </si>
  <si>
    <t>世紀互聯電信公司</t>
  </si>
  <si>
    <t>波克夏海瑟威能源公司</t>
  </si>
  <si>
    <t>富士康</t>
  </si>
  <si>
    <t>土耳其政府</t>
  </si>
  <si>
    <t>英特爾公司</t>
  </si>
  <si>
    <t>印尼政府</t>
  </si>
  <si>
    <t>墨西哥國家電力</t>
  </si>
  <si>
    <t>輝瑞大藥廠</t>
  </si>
  <si>
    <t>印度巴帝電信</t>
  </si>
  <si>
    <t>沙烏地阿拉伯政府</t>
  </si>
  <si>
    <t>俄羅斯聯邦政府</t>
  </si>
  <si>
    <t>墨西哥政府</t>
  </si>
  <si>
    <t>俄羅斯天然氣集團</t>
  </si>
  <si>
    <t>軟體銀行公司</t>
  </si>
  <si>
    <t>匯豐控股有限公司</t>
  </si>
  <si>
    <t>騰訊控股有限公司</t>
  </si>
  <si>
    <t>固特異輪胎橡膠公司</t>
  </si>
  <si>
    <t>高盛集團股份有限公司</t>
  </si>
  <si>
    <t>應用材料公司</t>
  </si>
  <si>
    <t>瑞穗金融集團2有限公司(開曼)</t>
  </si>
  <si>
    <t>艾伯維藥品有限公司</t>
  </si>
  <si>
    <t>蘇格蘭皇家銀行集團公司</t>
  </si>
  <si>
    <t>鴻海子公司</t>
  </si>
  <si>
    <t>拜耳金融公司</t>
  </si>
  <si>
    <t>伏得風集團</t>
  </si>
  <si>
    <t>沙烏地阿拉伯石油公司</t>
  </si>
  <si>
    <t>杜邦公司</t>
  </si>
  <si>
    <t>印尼國家電力公司</t>
  </si>
  <si>
    <t>義大利國家電力金融公司</t>
  </si>
  <si>
    <t>墨西哥化工公司</t>
  </si>
  <si>
    <t>CVSHEALTH公司</t>
  </si>
  <si>
    <t>LG化學公司</t>
  </si>
  <si>
    <t>3M公司</t>
  </si>
  <si>
    <t>百事公司</t>
  </si>
  <si>
    <t>諾德斯特隆公司</t>
  </si>
  <si>
    <t>eBay公司</t>
  </si>
  <si>
    <t>威士卡公司</t>
  </si>
  <si>
    <t>洛克希德馬丁公司</t>
  </si>
  <si>
    <t>艾伯維藥品有限公司 </t>
  </si>
  <si>
    <t>聯邦快遞</t>
  </si>
  <si>
    <t>美國電塔公司</t>
  </si>
  <si>
    <t>沃爾格林博姿聯合公司</t>
  </si>
  <si>
    <t>NIKE公司</t>
  </si>
  <si>
    <t>默克公司</t>
  </si>
  <si>
    <t>亞培公司</t>
  </si>
  <si>
    <t>摩根大通銀行 </t>
  </si>
  <si>
    <t>西方石油公司</t>
  </si>
  <si>
    <t>Tapestry公司</t>
  </si>
  <si>
    <t>巴西政府公債</t>
  </si>
  <si>
    <t>阿布達比政府國際</t>
  </si>
  <si>
    <t>T-Mobile公司</t>
  </si>
  <si>
    <t>阿曼政府國際公債</t>
  </si>
  <si>
    <t>Adani港口及特別經濟區有限公司</t>
  </si>
  <si>
    <t>大自然化妝品公司</t>
  </si>
  <si>
    <t>國際商業機器公司</t>
  </si>
  <si>
    <t>美國運通公司</t>
  </si>
  <si>
    <t>保德信金融公司</t>
  </si>
  <si>
    <t>福斯集團(美國)金融有限責任公司</t>
  </si>
  <si>
    <t>梅賽德斯-賓士金融北美有限責任公司</t>
  </si>
  <si>
    <t>阿布達比(Emirate of Abu Dhabi)為阿拉伯聯合大公國(阿聯酋)首都，為境內最大邦，歷年的阿聯酋總統皆由阿布達比邦長擔任；阿布達比主要GDP來源為石油，每年貢獻聯邦政府的財政收入約達四分之一。坐擁全球第五大石油蘊藏，為生活費用僅次於杜拜昂貴的城市，但人均GDP超過12萬美元，是杜拜的4倍。</t>
  </si>
  <si>
    <t>AMGN</t>
    <phoneticPr fontId="53" type="noConversion"/>
  </si>
  <si>
    <t>BAC</t>
    <phoneticPr fontId="53" type="noConversion"/>
  </si>
  <si>
    <t xml:space="preserve">巴西食品公司 </t>
  </si>
  <si>
    <t>BRK</t>
    <phoneticPr fontId="53" type="noConversion"/>
  </si>
  <si>
    <t>CL</t>
    <phoneticPr fontId="53" type="noConversion"/>
  </si>
  <si>
    <t>瑞信集團(Credit Suisse Group AG)為財富管理公司，專門從事投資銀行業務，為全球監管機構認定的30家全球系統重要性銀行之一；因此前一系列的內控疏失，2023年在瑞士央行介入下，以30億歐元售予瑞銀集團(UBS)。</t>
  </si>
  <si>
    <t>ECOPET</t>
    <phoneticPr fontId="53" type="noConversion"/>
  </si>
  <si>
    <t>EQNR</t>
    <phoneticPr fontId="53" type="noConversion"/>
  </si>
  <si>
    <t xml:space="preserve">福特汽車信用有限責任公司 </t>
  </si>
  <si>
    <t xml:space="preserve">通用汽車公司 </t>
  </si>
  <si>
    <t>高盛證券</t>
    <phoneticPr fontId="55" type="noConversion"/>
  </si>
  <si>
    <t xml:space="preserve">固特異 </t>
  </si>
  <si>
    <t>HD</t>
    <phoneticPr fontId="105" type="noConversion"/>
  </si>
  <si>
    <t xml:space="preserve">匯豐控股公司 </t>
  </si>
  <si>
    <t>摩根大通銀行 (JPMorgan Chase &amp; Co.)成立歷史悠久逾200年，是全球系統重要性銀行(G-SIBs)之一，按一級資本排名位居全球第5大行、美國第1大行地位，財富500大企業有超過80%為其客戶，且為美國最大的信用卡及聯合發卡銀行。</t>
    <phoneticPr fontId="55" type="noConversion"/>
  </si>
  <si>
    <t>META平台公司</t>
  </si>
  <si>
    <t>META</t>
    <phoneticPr fontId="53" type="noConversion"/>
  </si>
  <si>
    <t>MIZUHO</t>
    <phoneticPr fontId="53" type="noConversion"/>
  </si>
  <si>
    <t>麥格理集團</t>
  </si>
  <si>
    <t>麥格理集團(Macquarie Group Limited)一家多元化的全球金融集團，按資產為澳洲第五大行，提供資產管理及融資、銀行業務、諮詢，以及橫跨債券、股票及商品的風險和資本解決方案。憑藉業務多元及全球化平台優勢，以及穩健的資本實力及風險管理框架，成就逾50年連續盈利之紀錄。</t>
  </si>
  <si>
    <t xml:space="preserve">日產汽車公司 </t>
  </si>
  <si>
    <t xml:space="preserve">甲骨文公司 </t>
  </si>
  <si>
    <t xml:space="preserve">西方石油公司 </t>
  </si>
  <si>
    <t>PYPL</t>
    <phoneticPr fontId="53" type="noConversion"/>
  </si>
  <si>
    <t xml:space="preserve">高通公司 </t>
  </si>
  <si>
    <t xml:space="preserve">皇家加勒比國際郵輪 </t>
  </si>
  <si>
    <t xml:space="preserve">軟銀集團公司 </t>
  </si>
  <si>
    <t>多倫多道明銀行(The Toronto-Dominion Bank)透過加拿大及海外的分行及辦公據點，從事一般銀行業務。按市值排名為加拿大第二大銀行，該銀行及其他子公司提供各式的銀行服務、顧問服務、及減傭經紀予個人、企業、金融機構、政府、及跨國公司。</t>
  </si>
  <si>
    <t>TGT</t>
    <phoneticPr fontId="53" type="noConversion"/>
  </si>
  <si>
    <t>目標百貨(Target Corporation)起源於1902年，按營收為全球100強企業、全球三大日用百貨之一，將市場定位為「高級折扣零售店」；旗下擁有折扣商店Target和超大型超市SuperTarget，在美國50州和哥倫比亞特區皆有設點，共擁有1,900多家商店，以及超過45個自有品牌，同時開設線上銷售平台target.com。</t>
  </si>
  <si>
    <t xml:space="preserve">巴西淡水河谷公司 </t>
  </si>
  <si>
    <t>維亞康姆哥倫比亞廣播公司(ViacomCBS Inc.)在2022年更名為派拉蒙(Paramount)，現為全球領先的媒體與娛樂公司，涉足五大洲的製作、發行與廣告解決方案，擁有派拉蒙電影公司(捍衛戰士、變形金剛系列等)、CBS電視與新聞網絡。</t>
  </si>
  <si>
    <t>沃達豐集團</t>
    <phoneticPr fontId="55" type="noConversion"/>
  </si>
  <si>
    <t>買進日期</t>
    <phoneticPr fontId="28" type="noConversion"/>
  </si>
  <si>
    <t xml:space="preserve">投資面額 </t>
    <phoneticPr fontId="26" type="noConversion"/>
  </si>
  <si>
    <t>年度配息</t>
    <phoneticPr fontId="53" type="noConversion"/>
  </si>
  <si>
    <t>DS180</t>
  </si>
  <si>
    <t>day count</t>
  </si>
  <si>
    <t>ISMA-30/360</t>
  </si>
  <si>
    <t>30/360 NON-EOM</t>
  </si>
  <si>
    <t>30/360</t>
  </si>
  <si>
    <t>ISMA-30/360 NONEOM</t>
  </si>
  <si>
    <t>ACT/360</t>
  </si>
  <si>
    <t>ACT/ACT</t>
  </si>
  <si>
    <t>日計數基礎</t>
  </si>
  <si>
    <t>Basis</t>
  </si>
  <si>
    <t>ACT/365</t>
    <phoneticPr fontId="53" type="noConversion"/>
  </si>
  <si>
    <t>day count</t>
    <phoneticPr fontId="53" type="noConversion"/>
  </si>
  <si>
    <t>流動性</t>
    <phoneticPr fontId="53" type="noConversion"/>
  </si>
  <si>
    <t>投入面額</t>
    <phoneticPr fontId="53" type="noConversion"/>
  </si>
  <si>
    <t>累計配息</t>
    <phoneticPr fontId="53" type="noConversion"/>
  </si>
  <si>
    <t>持有成本(含前手息)</t>
    <phoneticPr fontId="53" type="noConversion"/>
  </si>
  <si>
    <t>第一個配息月</t>
    <phoneticPr fontId="53" type="noConversion"/>
  </si>
  <si>
    <t>第二個配息月</t>
    <phoneticPr fontId="53" type="noConversion"/>
  </si>
  <si>
    <t>第三個配息月</t>
    <phoneticPr fontId="53" type="noConversion"/>
  </si>
  <si>
    <t>第四個配息月</t>
    <phoneticPr fontId="53" type="noConversion"/>
  </si>
  <si>
    <t>回推配息日</t>
    <phoneticPr fontId="53" type="noConversion"/>
  </si>
  <si>
    <t>買進年</t>
    <phoneticPr fontId="53" type="noConversion"/>
  </si>
  <si>
    <t>5(前一年)</t>
    <phoneticPr fontId="53" type="noConversion"/>
  </si>
  <si>
    <t>與買進日差異</t>
  </si>
  <si>
    <t>前手息</t>
    <phoneticPr fontId="53" type="noConversion"/>
  </si>
  <si>
    <t>持有成本(不含前手息)</t>
    <phoneticPr fontId="53" type="noConversion"/>
  </si>
  <si>
    <t>現值佔比</t>
    <phoneticPr fontId="53" type="noConversion"/>
  </si>
  <si>
    <t>投入佔比</t>
    <phoneticPr fontId="53" type="noConversion"/>
  </si>
  <si>
    <t>1</t>
  </si>
  <si>
    <t>2</t>
  </si>
  <si>
    <t>3</t>
  </si>
  <si>
    <t>4</t>
  </si>
  <si>
    <t>A</t>
    <phoneticPr fontId="53" type="noConversion"/>
  </si>
  <si>
    <t>B</t>
    <phoneticPr fontId="53" type="noConversion"/>
  </si>
  <si>
    <t>C</t>
    <phoneticPr fontId="53" type="noConversion"/>
  </si>
  <si>
    <t>D</t>
    <phoneticPr fontId="53" type="noConversion"/>
  </si>
  <si>
    <t>E</t>
    <phoneticPr fontId="53" type="noConversion"/>
  </si>
  <si>
    <t>資本利損</t>
    <phoneticPr fontId="53" type="noConversion"/>
  </si>
  <si>
    <t>X軸</t>
  </si>
  <si>
    <t>產業</t>
    <phoneticPr fontId="53" type="noConversion"/>
  </si>
  <si>
    <t>數列</t>
    <phoneticPr fontId="53" type="noConversion"/>
  </si>
  <si>
    <t>X軸</t>
    <phoneticPr fontId="53" type="noConversion"/>
  </si>
  <si>
    <t>計算累計配息(應計基礎)</t>
    <phoneticPr fontId="53" type="noConversion"/>
  </si>
  <si>
    <t>交割日</t>
    <phoneticPr fontId="53" type="noConversion"/>
  </si>
  <si>
    <t>買價</t>
    <phoneticPr fontId="53" type="noConversion"/>
  </si>
  <si>
    <t>配息報酬率</t>
    <phoneticPr fontId="53" type="noConversion"/>
  </si>
  <si>
    <t>資本報酬</t>
    <phoneticPr fontId="53" type="noConversion"/>
  </si>
  <si>
    <t>合計收益</t>
    <phoneticPr fontId="53" type="noConversion"/>
  </si>
  <si>
    <t>報酬率</t>
    <phoneticPr fontId="53" type="noConversion"/>
  </si>
  <si>
    <t>匯率一覽表</t>
    <phoneticPr fontId="28" type="noConversion"/>
  </si>
  <si>
    <t>美元(USD)</t>
    <phoneticPr fontId="28" type="noConversion"/>
  </si>
  <si>
    <t>人民幣(CNY)</t>
    <phoneticPr fontId="28" type="noConversion"/>
  </si>
  <si>
    <t>USD</t>
    <phoneticPr fontId="28" type="noConversion"/>
  </si>
  <si>
    <t>CNY</t>
    <phoneticPr fontId="28" type="noConversion"/>
  </si>
  <si>
    <t>南非幣(ZAR)</t>
    <phoneticPr fontId="28" type="noConversion"/>
  </si>
  <si>
    <t>澳幣(AUD)</t>
    <phoneticPr fontId="28" type="noConversion"/>
  </si>
  <si>
    <t>加幣(CAD)</t>
    <phoneticPr fontId="28" type="noConversion"/>
  </si>
  <si>
    <t>紐幣(NZD)</t>
    <phoneticPr fontId="28" type="noConversion"/>
  </si>
  <si>
    <t>歐元(EUR)</t>
    <phoneticPr fontId="28" type="noConversion"/>
  </si>
  <si>
    <t>兌台幣</t>
    <phoneticPr fontId="53" type="noConversion"/>
  </si>
  <si>
    <t>CNY</t>
    <phoneticPr fontId="53" type="noConversion"/>
  </si>
  <si>
    <t>ZAR</t>
    <phoneticPr fontId="53" type="noConversion"/>
  </si>
  <si>
    <t>AUD</t>
    <phoneticPr fontId="53" type="noConversion"/>
  </si>
  <si>
    <t>CAD</t>
    <phoneticPr fontId="53" type="noConversion"/>
  </si>
  <si>
    <t>NZD</t>
    <phoneticPr fontId="53" type="noConversion"/>
  </si>
  <si>
    <t>EUR</t>
    <phoneticPr fontId="53" type="noConversion"/>
  </si>
  <si>
    <t>USDTWD</t>
    <phoneticPr fontId="53" type="noConversion"/>
  </si>
  <si>
    <t>CNYTWD</t>
    <phoneticPr fontId="53" type="noConversion"/>
  </si>
  <si>
    <t>ZARTWD</t>
    <phoneticPr fontId="53" type="noConversion"/>
  </si>
  <si>
    <t>AUDTWD</t>
    <phoneticPr fontId="53" type="noConversion"/>
  </si>
  <si>
    <t>CADTWD</t>
    <phoneticPr fontId="53" type="noConversion"/>
  </si>
  <si>
    <t>NZDTWD</t>
    <phoneticPr fontId="53" type="noConversion"/>
  </si>
  <si>
    <t>EURTWD</t>
    <phoneticPr fontId="53" type="noConversion"/>
  </si>
  <si>
    <t>幣別換算</t>
    <phoneticPr fontId="53" type="noConversion"/>
  </si>
  <si>
    <t>碼號</t>
    <phoneticPr fontId="53" type="noConversion"/>
  </si>
  <si>
    <t>對應編碼</t>
    <phoneticPr fontId="53" type="noConversion"/>
  </si>
  <si>
    <t>資本報酬率</t>
    <phoneticPr fontId="53" type="noConversion"/>
  </si>
  <si>
    <t>參考匯率</t>
    <phoneticPr fontId="28" type="noConversion"/>
  </si>
  <si>
    <t>當前</t>
    <phoneticPr fontId="53" type="noConversion"/>
  </si>
  <si>
    <t>產業圖來源</t>
    <phoneticPr fontId="53" type="noConversion"/>
  </si>
  <si>
    <t>庫存圖來源</t>
    <phoneticPr fontId="53" type="noConversion"/>
  </si>
  <si>
    <t>投入</t>
    <phoneticPr fontId="53" type="noConversion"/>
  </si>
  <si>
    <t xml:space="preserve">flag </t>
    <phoneticPr fontId="53" type="noConversion"/>
  </si>
  <si>
    <t>(1=產業；2=庫存)</t>
  </si>
  <si>
    <t>商品代號</t>
  </si>
  <si>
    <t>第1檔</t>
    <phoneticPr fontId="53" type="noConversion"/>
  </si>
  <si>
    <t>第2檔</t>
    <phoneticPr fontId="53" type="noConversion"/>
  </si>
  <si>
    <t>第3檔</t>
  </si>
  <si>
    <t>第4檔</t>
  </si>
  <si>
    <t>第5檔</t>
  </si>
  <si>
    <t>第6檔</t>
  </si>
  <si>
    <t>第7檔</t>
  </si>
  <si>
    <t>第8檔</t>
  </si>
  <si>
    <t>第9檔</t>
  </si>
  <si>
    <t>第10檔</t>
  </si>
  <si>
    <t>第11檔</t>
  </si>
  <si>
    <t>第12檔</t>
  </si>
  <si>
    <t>庫存報酬率一覽</t>
    <phoneticPr fontId="53" type="noConversion"/>
  </si>
  <si>
    <t>合計報酬率</t>
    <phoneticPr fontId="53" type="noConversion"/>
  </si>
  <si>
    <t>左軸(主：堆疊圖校正)</t>
    <phoneticPr fontId="53" type="noConversion"/>
  </si>
  <si>
    <t>右軸(副：直條圖校正)</t>
    <phoneticPr fontId="53" type="noConversion"/>
  </si>
  <si>
    <t>篩選最大值</t>
    <phoneticPr fontId="53" type="noConversion"/>
  </si>
  <si>
    <t>篩選最小值</t>
    <phoneticPr fontId="53" type="noConversion"/>
  </si>
  <si>
    <t>買入匯率</t>
    <phoneticPr fontId="28" type="noConversion"/>
  </si>
  <si>
    <t>參考贖回總金額</t>
    <phoneticPr fontId="53" type="noConversion"/>
  </si>
  <si>
    <t>(含前手息)</t>
    <phoneticPr fontId="53" type="noConversion"/>
  </si>
  <si>
    <t>投資組合</t>
    <phoneticPr fontId="53" type="noConversion"/>
  </si>
  <si>
    <t>梅賽德斯-賓士金融北美有限責任公司美元配息債券 5.25% 2027/11/29</t>
  </si>
  <si>
    <t>DT683</t>
  </si>
  <si>
    <t>payment_rank</t>
  </si>
  <si>
    <t>TLAC</t>
  </si>
  <si>
    <t>付款順位</t>
  </si>
  <si>
    <t>流動性</t>
    <phoneticPr fontId="55" type="noConversion"/>
  </si>
  <si>
    <t>含息
申購參考價</t>
    <phoneticPr fontId="29" type="noConversion"/>
  </si>
  <si>
    <r>
      <t xml:space="preserve">含息投入總金額 </t>
    </r>
    <r>
      <rPr>
        <sz val="11"/>
        <color theme="0"/>
        <rFont val="微軟正黑體"/>
        <family val="2"/>
        <charset val="136"/>
      </rPr>
      <t>(A+B)</t>
    </r>
    <phoneticPr fontId="55" type="noConversion"/>
  </si>
  <si>
    <t>參考殖利率
(不含前手息)</t>
    <phoneticPr fontId="55" type="noConversion"/>
  </si>
  <si>
    <t>應付本金 (A)</t>
    <phoneticPr fontId="26" type="noConversion"/>
  </si>
  <si>
    <t>應付前手息 (B)</t>
    <phoneticPr fontId="26" type="noConversion"/>
  </si>
  <si>
    <t>含息
申購參考價
(A+B)÷ (C)</t>
    <phoneticPr fontId="26" type="noConversion"/>
  </si>
  <si>
    <t>總面額(C)</t>
    <phoneticPr fontId="26" type="noConversion"/>
  </si>
  <si>
    <t>預估圈存金額 
(A)+(B)</t>
    <phoneticPr fontId="26" type="noConversion"/>
  </si>
  <si>
    <t xml:space="preserve"> </t>
    <phoneticPr fontId="55" type="noConversion"/>
  </si>
  <si>
    <r>
      <t xml:space="preserve">參考殖利率
</t>
    </r>
    <r>
      <rPr>
        <b/>
        <sz val="12.5"/>
        <color theme="0"/>
        <rFont val="微軟正黑體"/>
        <family val="2"/>
        <charset val="136"/>
      </rPr>
      <t>(不含前手息)</t>
    </r>
    <phoneticPr fontId="28" type="noConversion"/>
  </si>
  <si>
    <t>※ 含息申購參考價(百元報價) = 預估圈存金額(A+B) ÷ 總面額(C)
※ 參考殖利率取至小數第2位，前手息為申購時交易對手之應收利息，並於下一配息日一併支付予債券持有人，並非債
    券申購成本，故不納入債券參考殖利率計算</t>
    <phoneticPr fontId="55" type="noConversion"/>
  </si>
  <si>
    <t>含息申購參考價
(A+B)÷ (C)</t>
    <phoneticPr fontId="55" type="noConversion"/>
  </si>
  <si>
    <t>投資面額 (C)</t>
    <phoneticPr fontId="55" type="noConversion"/>
  </si>
  <si>
    <t>前手息 (B)</t>
    <phoneticPr fontId="55" type="noConversion"/>
  </si>
  <si>
    <t>不含息投資金額 (A)</t>
    <phoneticPr fontId="55" type="noConversion"/>
  </si>
  <si>
    <t>※ 含息投入總金額 = 不含息投資金額(A) + 前手息(B) ； 含息申購參考價(百元報價) = 含息投入總金額(A+B) ÷ 投資面額(C)
※ 參考殖利率取至小數第2位，前手息為申購時交易對手之應收利息，並於下一配息日一併支付予債券持有人，並非債券申購成本，故不納入債券參考殖利率計算</t>
    <phoneticPr fontId="55" type="noConversion"/>
  </si>
  <si>
    <t>海 外 債 券 商 品 智 慧 篩 選 Easy Go！</t>
    <phoneticPr fontId="29" type="noConversion"/>
  </si>
  <si>
    <t xml:space="preserve">                        海 外 債 券 投 資 商 品 組 合 試 算 表</t>
    <phoneticPr fontId="29" type="noConversion"/>
  </si>
  <si>
    <t>【免責聲明】本文件僅供內部使用，所含訊息，係公開資訊，僅供參考，對於所含訊息之完整性、即時性和正確性不作任何擔保；並不構成要約、招攬、邀請、宣傳、誘使，或任何不論種類或形式之表示，亦不構成建議或推薦買賣本資料所述的任何有價證券或金融商品。</t>
    <phoneticPr fontId="55" type="noConversion"/>
  </si>
  <si>
    <t>【免責聲明】本文件僅供內部使用，所含訊息，係公開資訊，僅供參考，對於所含訊息之完整性、即時性和正確性不作任何擔保；並不構成要約、招攬、邀請、宣傳、誘使，或任何不論種類或形式之表示，亦不構成建議或推薦買賣本資料所述的任何有價證券或金融商品。</t>
    <phoneticPr fontId="53" type="noConversion"/>
  </si>
  <si>
    <t>海 外 債 券 投 資 商 品 現 金 流 試 算 表</t>
    <phoneticPr fontId="55" type="noConversion"/>
  </si>
  <si>
    <t>【免責聲明】本文件僅供內部使用，所含訊息，係公開資訊，僅供參考，對於所含訊息之完整性、即時性和正確性不作任何擔保；並不構成要約、招攬、邀請、宣傳、誘使，或任何不論種類或形式之表示，亦不構成建議或推薦買賣本資料所述的任何有價證券或金融商品。</t>
    <phoneticPr fontId="55" type="noConversion"/>
  </si>
  <si>
    <t>DS031</t>
  </si>
  <si>
    <t>issue date</t>
  </si>
  <si>
    <t>XH330</t>
  </si>
  <si>
    <t>萬事達卡公司美元配息債券 3.8% 2046/11/21</t>
  </si>
  <si>
    <t>US57636QAH74</t>
  </si>
  <si>
    <t>萬事達卡</t>
  </si>
  <si>
    <t>XH340</t>
  </si>
  <si>
    <t>寶僑公司美元配息債券 4.05% 2033/1/26</t>
  </si>
  <si>
    <t>US742718GA10</t>
  </si>
  <si>
    <t>XH350</t>
  </si>
  <si>
    <t>西方石油公司美元配息債券 6.45% 2036/9/15</t>
  </si>
  <si>
    <t>US674599DF90</t>
  </si>
  <si>
    <t>XH360</t>
  </si>
  <si>
    <t>印尼國家電力公司美元配息債券 5.375% 2029/1/25</t>
  </si>
  <si>
    <t>US71568QAG29</t>
  </si>
  <si>
    <t>已下架</t>
  </si>
  <si>
    <t>(PI)專投</t>
  </si>
  <si>
    <t>高資產</t>
  </si>
  <si>
    <t>商品代號</t>
    <phoneticPr fontId="53" type="noConversion"/>
  </si>
  <si>
    <t>銷售對象</t>
    <phoneticPr fontId="53" type="noConversion"/>
  </si>
  <si>
    <t>債券信評
(Moody's/S&amp;P/Fitch)</t>
    <phoneticPr fontId="53" type="noConversion"/>
  </si>
  <si>
    <t>銷售對象</t>
    <phoneticPr fontId="53" type="noConversion"/>
  </si>
  <si>
    <t>含息申購
參考價</t>
    <phoneticPr fontId="28" type="noConversion"/>
  </si>
  <si>
    <t>參考殖利率
(不含前手息)</t>
    <phoneticPr fontId="28" type="noConversion"/>
  </si>
  <si>
    <t>中銀航空租賃有限公司(BOC Aviation Limited)是一家頂級的全球飛機經營性租賃公司，得益於從向其租賃飛機的全球多樣化航空公司客戶群流入的以美元計價的長期現金流、連續超過25年實現盈利，以及控股股東「中國銀行」的強大奧援，為其投資級評等帶來支撐。</t>
  </si>
  <si>
    <t>檢測</t>
    <phoneticPr fontId="53" type="noConversion"/>
  </si>
  <si>
    <t>海外債券庫存小檔案</t>
    <phoneticPr fontId="26" type="noConversion"/>
  </si>
  <si>
    <t>剩餘年期</t>
    <phoneticPr fontId="26" type="noConversion"/>
  </si>
  <si>
    <t>票面利率</t>
    <phoneticPr fontId="26" type="noConversion"/>
  </si>
  <si>
    <t>現金殖利率</t>
    <phoneticPr fontId="53" type="noConversion"/>
  </si>
  <si>
    <t>換算匯率(買)</t>
    <phoneticPr fontId="53" type="noConversion"/>
  </si>
  <si>
    <t>換算匯率(現)</t>
    <phoneticPr fontId="53" type="noConversion"/>
  </si>
  <si>
    <t>買入匯率</t>
  </si>
  <si>
    <t>參考匯率</t>
  </si>
  <si>
    <t>匯率報酬率</t>
    <phoneticPr fontId="53" type="noConversion"/>
  </si>
  <si>
    <t>配息報酬</t>
    <phoneticPr fontId="53" type="noConversion"/>
  </si>
  <si>
    <t>總報酬</t>
    <phoneticPr fontId="53" type="noConversion"/>
  </si>
  <si>
    <t>參考贖回金額(現)</t>
    <phoneticPr fontId="53" type="noConversion"/>
  </si>
  <si>
    <t>淨投入成本(買)</t>
    <phoneticPr fontId="53" type="noConversion"/>
  </si>
  <si>
    <t>匯率索引</t>
    <phoneticPr fontId="53" type="noConversion"/>
  </si>
  <si>
    <t>原幣</t>
    <phoneticPr fontId="53" type="noConversion"/>
  </si>
  <si>
    <t>台幣</t>
    <phoneticPr fontId="53" type="noConversion"/>
  </si>
  <si>
    <t>單次配息(原幣)</t>
    <phoneticPr fontId="53" type="noConversion"/>
  </si>
  <si>
    <t>單次配息(台幣)</t>
    <phoneticPr fontId="53" type="noConversion"/>
  </si>
  <si>
    <t>(1=台幣；2=原幣)</t>
    <phoneticPr fontId="53" type="noConversion"/>
  </si>
  <si>
    <t>報酬代碼</t>
    <phoneticPr fontId="53" type="noConversion"/>
  </si>
  <si>
    <t>匯率代碼</t>
    <phoneticPr fontId="53" type="noConversion"/>
  </si>
  <si>
    <t>&lt;=報酬flag</t>
    <phoneticPr fontId="53" type="noConversion"/>
  </si>
  <si>
    <t>&lt;=匯率flag</t>
    <phoneticPr fontId="53" type="noConversion"/>
  </si>
  <si>
    <t>篩選正值合計</t>
    <phoneticPr fontId="53" type="noConversion"/>
  </si>
  <si>
    <t>篩選負值合計</t>
    <phoneticPr fontId="53" type="noConversion"/>
  </si>
  <si>
    <t>換匯總報酬率</t>
    <phoneticPr fontId="53" type="noConversion"/>
  </si>
  <si>
    <t>投資面額</t>
    <phoneticPr fontId="53" type="noConversion"/>
  </si>
  <si>
    <t>累計利息(台)</t>
    <phoneticPr fontId="53" type="noConversion"/>
  </si>
  <si>
    <t>資本貢獻(台)</t>
    <phoneticPr fontId="53" type="noConversion"/>
  </si>
  <si>
    <t>合計</t>
    <phoneticPr fontId="53" type="noConversion"/>
  </si>
  <si>
    <t>增減變動</t>
    <phoneticPr fontId="26" type="noConversion"/>
  </si>
  <si>
    <t>計價
幣別</t>
    <phoneticPr fontId="28" type="noConversion"/>
  </si>
  <si>
    <t>投入</t>
    <phoneticPr fontId="28" type="noConversion"/>
  </si>
  <si>
    <t>當前</t>
    <phoneticPr fontId="28" type="noConversion"/>
  </si>
  <si>
    <t>買進日調整</t>
    <phoneticPr fontId="53" type="noConversion"/>
  </si>
  <si>
    <t>買進時的前手息調整</t>
    <phoneticPr fontId="53" type="noConversion"/>
  </si>
  <si>
    <t>備註</t>
    <phoneticPr fontId="53" type="noConversion"/>
  </si>
  <si>
    <t>累計前手息</t>
    <phoneticPr fontId="53" type="noConversion"/>
  </si>
  <si>
    <t>庫存成本
(含前手息)</t>
    <phoneticPr fontId="29" type="noConversion"/>
  </si>
  <si>
    <t>買價(含息)</t>
    <phoneticPr fontId="53" type="noConversion"/>
  </si>
  <si>
    <t>部位現值(不含前手息)</t>
    <phoneticPr fontId="53" type="noConversion"/>
  </si>
  <si>
    <t>部位現值(含前手息)</t>
    <phoneticPr fontId="53" type="noConversion"/>
  </si>
  <si>
    <t>庫存管理</t>
    <phoneticPr fontId="53" type="noConversion"/>
  </si>
  <si>
    <t>名稱</t>
    <phoneticPr fontId="53" type="noConversion"/>
  </si>
  <si>
    <t>0A</t>
  </si>
  <si>
    <t>US</t>
    <phoneticPr fontId="53" type="noConversion"/>
  </si>
  <si>
    <t>CA</t>
    <phoneticPr fontId="53" type="noConversion"/>
  </si>
  <si>
    <t>CH</t>
    <phoneticPr fontId="53" type="noConversion"/>
  </si>
  <si>
    <t>N$</t>
    <phoneticPr fontId="53" type="noConversion"/>
  </si>
  <si>
    <t>SA</t>
    <phoneticPr fontId="53" type="noConversion"/>
  </si>
  <si>
    <t>TE</t>
    <phoneticPr fontId="53" type="noConversion"/>
  </si>
  <si>
    <t>買進例外調整</t>
    <phoneticPr fontId="53" type="noConversion"/>
  </si>
  <si>
    <t>債券發行日</t>
    <phoneticPr fontId="28" type="noConversion"/>
  </si>
  <si>
    <t>最低申購面額</t>
    <phoneticPr fontId="26" type="noConversion"/>
  </si>
  <si>
    <t>利息報酬</t>
    <phoneticPr fontId="53" type="noConversion"/>
  </si>
  <si>
    <t>價格報酬</t>
    <phoneticPr fontId="53" type="noConversion"/>
  </si>
  <si>
    <t>參考贖回金額含前手息(現)</t>
    <phoneticPr fontId="53" type="noConversion"/>
  </si>
  <si>
    <t>匯率</t>
    <phoneticPr fontId="53" type="noConversion"/>
  </si>
  <si>
    <t>總報酬率</t>
    <phoneticPr fontId="29" type="noConversion"/>
  </si>
  <si>
    <r>
      <t xml:space="preserve">買進日期
</t>
    </r>
    <r>
      <rPr>
        <b/>
        <sz val="12"/>
        <color theme="0"/>
        <rFont val="微軟正黑體"/>
        <family val="2"/>
        <charset val="136"/>
      </rPr>
      <t>(YYYYMMDD)</t>
    </r>
    <phoneticPr fontId="28" type="noConversion"/>
  </si>
  <si>
    <t>成本價(不含前手息)</t>
    <phoneticPr fontId="53" type="noConversion"/>
  </si>
  <si>
    <t>Baa1 / BBB+ / A</t>
  </si>
  <si>
    <t>Ba3 / BB / BB+</t>
  </si>
  <si>
    <t>計息基礎</t>
    <phoneticPr fontId="53" type="noConversion"/>
  </si>
  <si>
    <t>投入參考YTM</t>
    <phoneticPr fontId="53" type="noConversion"/>
  </si>
  <si>
    <t>最小增額</t>
    <phoneticPr fontId="26" type="noConversion"/>
  </si>
  <si>
    <t>判斷日期調整2</t>
    <phoneticPr fontId="55" type="noConversion"/>
  </si>
  <si>
    <t>美國政府債</t>
    <phoneticPr fontId="55" type="noConversion"/>
  </si>
  <si>
    <t>投入時的剩餘年期</t>
    <phoneticPr fontId="53" type="noConversion"/>
  </si>
  <si>
    <t>A2 / A- / A-</t>
  </si>
  <si>
    <t>美元</t>
  </si>
  <si>
    <t>人民幣</t>
  </si>
  <si>
    <t>南非幣</t>
  </si>
  <si>
    <t>澳幣</t>
  </si>
  <si>
    <t>加幣</t>
  </si>
  <si>
    <t>紐幣</t>
  </si>
  <si>
    <t>歐元</t>
  </si>
  <si>
    <t>XH370</t>
  </si>
  <si>
    <t>南非政府公債南非幣配息債券 8.25% 2032/03/31</t>
  </si>
  <si>
    <t>Ba2 / BB / BB-</t>
  </si>
  <si>
    <t>ZAG000107004</t>
  </si>
  <si>
    <t>XH380</t>
  </si>
  <si>
    <t>威士卡公司美元配息債券 4.15% 2035/12/14</t>
  </si>
  <si>
    <t>US92826CAE21</t>
  </si>
  <si>
    <t>配息頻率</t>
    <phoneticPr fontId="53" type="noConversion"/>
  </si>
  <si>
    <t>&lt;=大於1指多幣別</t>
    <phoneticPr fontId="53" type="noConversion"/>
  </si>
  <si>
    <t>TWD</t>
    <phoneticPr fontId="53" type="noConversion"/>
  </si>
  <si>
    <t>不適用</t>
    <phoneticPr fontId="53" type="noConversion"/>
  </si>
  <si>
    <t>利息報酬率</t>
    <phoneticPr fontId="53" type="noConversion"/>
  </si>
  <si>
    <t>利息報酬率</t>
    <phoneticPr fontId="53" type="noConversion"/>
  </si>
  <si>
    <t>價格報酬率</t>
    <phoneticPr fontId="28" type="noConversion"/>
  </si>
  <si>
    <t>幣別換算為台幣</t>
    <phoneticPr fontId="28" type="noConversion"/>
  </si>
  <si>
    <t>Aa3 / AA- / WD</t>
  </si>
  <si>
    <t>2) 不適用</t>
    <phoneticPr fontId="53" type="noConversion"/>
  </si>
  <si>
    <t>XH390</t>
  </si>
  <si>
    <t>XH400</t>
  </si>
  <si>
    <t>XH410</t>
  </si>
  <si>
    <t>XH420</t>
  </si>
  <si>
    <t>XH430</t>
  </si>
  <si>
    <t>蘋果公司美元配息債券 4.421% 2026/5/8</t>
  </si>
  <si>
    <t>US037833ES58</t>
  </si>
  <si>
    <t>蘋果公司美元配息債券 4% 2028/5/10</t>
  </si>
  <si>
    <t>US037833ET32</t>
  </si>
  <si>
    <t>蘋果公司美元配息債券 4.15% 2030/5/10</t>
  </si>
  <si>
    <t>US037833EU05</t>
  </si>
  <si>
    <t>蘋果公司美元配息債券 4.3% 2033/5/10</t>
  </si>
  <si>
    <t>US037833EV87</t>
  </si>
  <si>
    <t>蘋果公司美元配息債券 4.85% 2053/5/10</t>
  </si>
  <si>
    <t>US037833EW60</t>
  </si>
  <si>
    <t>b) 利息報酬率</t>
    <phoneticPr fontId="53" type="noConversion"/>
  </si>
  <si>
    <t>a) 總報酬率</t>
    <phoneticPr fontId="53" type="noConversion"/>
  </si>
  <si>
    <t>c) 價格報酬率</t>
    <phoneticPr fontId="53" type="noConversion"/>
  </si>
  <si>
    <t>d) 匯率報酬率</t>
    <phoneticPr fontId="53" type="noConversion"/>
  </si>
  <si>
    <t>XH460</t>
  </si>
  <si>
    <t>野村控股公司美元配息債券 5.386% 2027/7/6</t>
  </si>
  <si>
    <t>US65535HBF55</t>
  </si>
  <si>
    <t>野村控股</t>
  </si>
  <si>
    <t>NOMURA</t>
  </si>
  <si>
    <t>XH470</t>
  </si>
  <si>
    <t>雅詩蘭黛公司美元配息債券 4.65% 2033/5/15</t>
  </si>
  <si>
    <t>US29736RAT77</t>
  </si>
  <si>
    <t>雅詩蘭黛</t>
  </si>
  <si>
    <t>YTM(庫存成本)</t>
    <phoneticPr fontId="53" type="noConversion"/>
  </si>
  <si>
    <t>庫存損益金額</t>
    <phoneticPr fontId="53" type="noConversion"/>
  </si>
  <si>
    <t>XH480</t>
  </si>
  <si>
    <t>波克夏海瑟威金融公司美元配息債券 4.2% 2048/8/15</t>
  </si>
  <si>
    <t>US084664CQ25</t>
  </si>
  <si>
    <t>XH500</t>
  </si>
  <si>
    <t>3M公司美元配息債券 5.7% 2037/3/15</t>
  </si>
  <si>
    <t>US88579EAC93</t>
  </si>
  <si>
    <t>XH510</t>
  </si>
  <si>
    <t>亞培公司美元配息債券 6% 2039/4/1</t>
  </si>
  <si>
    <t>US002824AV29</t>
  </si>
  <si>
    <t>A3 / BBB+ / WD</t>
  </si>
  <si>
    <t>A2 / A+ / A</t>
  </si>
  <si>
    <t>記得：6_休假日要每年手動更新</t>
    <phoneticPr fontId="53" type="noConversion"/>
  </si>
  <si>
    <t>庫存成本</t>
    <phoneticPr fontId="53" type="noConversion"/>
  </si>
  <si>
    <t>庫存現值</t>
    <phoneticPr fontId="53" type="noConversion"/>
  </si>
  <si>
    <t>第13檔</t>
  </si>
  <si>
    <t>第14檔</t>
  </si>
  <si>
    <t>第15檔</t>
  </si>
  <si>
    <t>第16檔</t>
  </si>
  <si>
    <t>第17檔</t>
  </si>
  <si>
    <t>第18檔</t>
  </si>
  <si>
    <t>第19檔</t>
  </si>
  <si>
    <t>第20檔</t>
  </si>
  <si>
    <t>第21檔</t>
  </si>
  <si>
    <t>第22檔</t>
  </si>
  <si>
    <t>第23檔</t>
  </si>
  <si>
    <t>第24檔</t>
  </si>
  <si>
    <t>第25檔</t>
  </si>
  <si>
    <t>第26檔</t>
  </si>
  <si>
    <t>第27檔</t>
  </si>
  <si>
    <t>第28檔</t>
  </si>
  <si>
    <t>第29檔</t>
  </si>
  <si>
    <t>第30檔</t>
  </si>
  <si>
    <t>Aaa / - / AA+u</t>
  </si>
  <si>
    <t>各檔債券佔比變動</t>
    <phoneticPr fontId="26" type="noConversion"/>
  </si>
  <si>
    <t>產業結構(%)</t>
    <phoneticPr fontId="26" type="noConversion"/>
  </si>
  <si>
    <t>產品名稱</t>
    <phoneticPr fontId="26" type="noConversion"/>
  </si>
  <si>
    <t>計價
幣別</t>
    <phoneticPr fontId="26" type="noConversion"/>
  </si>
  <si>
    <r>
      <t xml:space="preserve">買進日期
</t>
    </r>
    <r>
      <rPr>
        <b/>
        <sz val="12"/>
        <color theme="0"/>
        <rFont val="微軟正黑體"/>
        <family val="2"/>
        <charset val="136"/>
      </rPr>
      <t>(YYYYMMDD)</t>
    </r>
    <phoneticPr fontId="26" type="noConversion"/>
  </si>
  <si>
    <t>匯率一覽表</t>
    <phoneticPr fontId="26" type="noConversion"/>
  </si>
  <si>
    <t>投入</t>
    <phoneticPr fontId="26" type="noConversion"/>
  </si>
  <si>
    <t>當前</t>
    <phoneticPr fontId="26" type="noConversion"/>
  </si>
  <si>
    <t>幣別換算為台幣</t>
    <phoneticPr fontId="26" type="noConversion"/>
  </si>
  <si>
    <t>買入匯率</t>
    <phoneticPr fontId="26" type="noConversion"/>
  </si>
  <si>
    <t>參考匯率</t>
    <phoneticPr fontId="26" type="noConversion"/>
  </si>
  <si>
    <t>買進日期</t>
    <phoneticPr fontId="26" type="noConversion"/>
  </si>
  <si>
    <t>債券發行日</t>
    <phoneticPr fontId="26" type="noConversion"/>
  </si>
  <si>
    <t>美元(USD)</t>
    <phoneticPr fontId="26" type="noConversion"/>
  </si>
  <si>
    <t>人民幣(CNY)</t>
    <phoneticPr fontId="26" type="noConversion"/>
  </si>
  <si>
    <t>南非幣(ZAR)</t>
    <phoneticPr fontId="26" type="noConversion"/>
  </si>
  <si>
    <t>澳幣(AUD)</t>
    <phoneticPr fontId="26" type="noConversion"/>
  </si>
  <si>
    <t>加幣(CAD)</t>
    <phoneticPr fontId="26" type="noConversion"/>
  </si>
  <si>
    <t>紐幣(NZD)</t>
    <phoneticPr fontId="26" type="noConversion"/>
  </si>
  <si>
    <t>歐元(EUR)</t>
    <phoneticPr fontId="26" type="noConversion"/>
  </si>
  <si>
    <t>價格報酬率</t>
    <phoneticPr fontId="26" type="noConversion"/>
  </si>
  <si>
    <t>庫存管理(Plus)</t>
    <phoneticPr fontId="53" type="noConversion"/>
  </si>
  <si>
    <t>買進時的下個配息日</t>
    <phoneticPr fontId="53" type="noConversion"/>
  </si>
  <si>
    <t>經過幾次配息</t>
    <phoneticPr fontId="53" type="noConversion"/>
  </si>
  <si>
    <t>已實現配息(原幣)</t>
    <phoneticPr fontId="53" type="noConversion"/>
  </si>
  <si>
    <t>庫存成本(買)</t>
    <phoneticPr fontId="53" type="noConversion"/>
  </si>
  <si>
    <t>A2 / A / A-u</t>
  </si>
  <si>
    <t>Baa2 *- / BBB / WD</t>
  </si>
  <si>
    <t>起息日</t>
    <phoneticPr fontId="53" type="noConversion"/>
  </si>
  <si>
    <t>買進年2</t>
  </si>
  <si>
    <t>差異天數</t>
    <phoneticPr fontId="53" type="noConversion"/>
  </si>
  <si>
    <t>起息日判斷</t>
    <phoneticPr fontId="53" type="noConversion"/>
  </si>
  <si>
    <t>買進前一配息日(初算)</t>
    <phoneticPr fontId="53" type="noConversion"/>
  </si>
  <si>
    <t>買進前一配息日(複算)</t>
    <phoneticPr fontId="53" type="noConversion"/>
  </si>
  <si>
    <t>美國庫券調整</t>
    <phoneticPr fontId="53" type="noConversion"/>
  </si>
  <si>
    <t>買進前一個配息日(最終)</t>
    <phoneticPr fontId="53" type="noConversion"/>
  </si>
  <si>
    <t>國庫券調整日期</t>
    <phoneticPr fontId="53" type="noConversion"/>
  </si>
  <si>
    <t>前手息例外調整</t>
    <phoneticPr fontId="53" type="noConversion"/>
  </si>
  <si>
    <t>買進時前手息</t>
    <phoneticPr fontId="53" type="noConversion"/>
  </si>
  <si>
    <t>模型代碼</t>
    <phoneticPr fontId="53" type="noConversion"/>
  </si>
  <si>
    <t>模型名稱</t>
    <phoneticPr fontId="53" type="noConversion"/>
  </si>
  <si>
    <t>&lt;=模型flag</t>
    <phoneticPr fontId="53" type="noConversion"/>
  </si>
  <si>
    <t>模型Pro代碼</t>
    <phoneticPr fontId="53" type="noConversion"/>
  </si>
  <si>
    <t>&lt;=模型Pro flag</t>
    <phoneticPr fontId="53" type="noConversion"/>
  </si>
  <si>
    <t>2) 精算版</t>
    <phoneticPr fontId="53" type="noConversion"/>
  </si>
  <si>
    <t>1) 銀行版</t>
    <phoneticPr fontId="53" type="noConversion"/>
  </si>
  <si>
    <t>發行日調整</t>
    <phoneticPr fontId="53" type="noConversion"/>
  </si>
  <si>
    <t>到彭博載「CDR」</t>
    <phoneticPr fontId="53" type="noConversion"/>
  </si>
  <si>
    <t>TW</t>
    <phoneticPr fontId="53" type="noConversion"/>
  </si>
  <si>
    <t>Ba2 *- / BB / BB+ *-</t>
  </si>
  <si>
    <t>贖回日</t>
    <phoneticPr fontId="53" type="noConversion"/>
  </si>
  <si>
    <t>EL</t>
    <phoneticPr fontId="55" type="noConversion"/>
  </si>
  <si>
    <t>MA</t>
    <phoneticPr fontId="55" type="noConversion"/>
  </si>
  <si>
    <t>Pfizer Investment Enterprise</t>
  </si>
  <si>
    <t>新加坡航空有限公司</t>
  </si>
  <si>
    <t>SIASP</t>
  </si>
  <si>
    <t>澳洲公債</t>
  </si>
  <si>
    <t>ACGB</t>
  </si>
  <si>
    <t>澳洲公債/ACGB</t>
  </si>
  <si>
    <t>中國附息國債</t>
    <phoneticPr fontId="55" type="noConversion"/>
  </si>
  <si>
    <t>CGB</t>
  </si>
  <si>
    <t>中國附息國債/CGB</t>
  </si>
  <si>
    <t>LSEGA Financing PLC</t>
  </si>
  <si>
    <t>LSELN</t>
  </si>
  <si>
    <t>LSEGA Financing PLC/LSELN</t>
  </si>
  <si>
    <t>杜拜大公國政府國際公債</t>
  </si>
  <si>
    <t>DUGB</t>
  </si>
  <si>
    <t>杜拜大公國政府國際公債/DUGB</t>
  </si>
  <si>
    <t>Macy's Retail Holdings LLC</t>
  </si>
  <si>
    <t>M</t>
  </si>
  <si>
    <t>Macy's Retail Holdings LLC/M</t>
  </si>
  <si>
    <t>&lt;==顯示欄數</t>
    <phoneticPr fontId="53" type="noConversion"/>
  </si>
  <si>
    <t>卡夫亨氏食品公司(Kraft Heinz Food Company)為一家食品飲料公司，本券由其母公司卡夫亨氏(The Kraft Heinz Company)提供債務保證。以生產蕃茄醬聞名世界的卡夫亨氏為全球第市值第10大、北美營收第3大食品消費品公司，擁有8個年營收逾10億美元的品牌，巴菲特職掌的波克夏海瑟威公司為其最大股東。</t>
    <phoneticPr fontId="55" type="noConversion"/>
  </si>
  <si>
    <t>勞埃德銀行集團</t>
    <phoneticPr fontId="55" type="noConversion"/>
  </si>
  <si>
    <t>英國石油資本市場公開有限公司</t>
    <phoneticPr fontId="55" type="noConversion"/>
  </si>
  <si>
    <t>百事可樂公司(PepsiCo, Inc.)經營食品及飲料業務，於零食及飲料事業均衡佈局，旗下產品銷往200多個國家和地區，知名飲料品牌包含：百事可樂、七喜等；休閒食品品牌有樂事、多力多滋、奇多等；穀物食品品牌如桂格。按彭博產業營收，高居全球零食龍頭，以及全球第二大非酒精飲料公司。</t>
    <phoneticPr fontId="55" type="noConversion"/>
  </si>
  <si>
    <t>US172967FX46</t>
  </si>
  <si>
    <t>US172967MD09</t>
  </si>
  <si>
    <t>AU000XCLWAQ1</t>
  </si>
  <si>
    <t>AU000XCLWAX7</t>
  </si>
  <si>
    <t>AU0000013740</t>
  </si>
  <si>
    <t>XH520</t>
  </si>
  <si>
    <t>花旗集團美元配息債券 5.875% 2042/1/30</t>
  </si>
  <si>
    <t>XH530</t>
  </si>
  <si>
    <t>花旗集團美元配息債券 4.65% 2048/7/23</t>
  </si>
  <si>
    <t>XH540</t>
  </si>
  <si>
    <t>澳洲政府公債澳幣配息債券 2.75% 2027/11/21</t>
  </si>
  <si>
    <t>Aaau / - / AAAu</t>
  </si>
  <si>
    <t>XH550</t>
  </si>
  <si>
    <t>澳洲政府公債澳幣配息債券 2.75% 2029/11/21</t>
  </si>
  <si>
    <t>XH560</t>
  </si>
  <si>
    <t>澳洲政府公債澳幣配息債券 2.5% 2030/5/21</t>
  </si>
  <si>
    <t>- / - / AAAu</t>
  </si>
  <si>
    <t>USN8438JAB46</t>
  </si>
  <si>
    <t>- / BBB- / BBB-</t>
  </si>
  <si>
    <t>XH570</t>
  </si>
  <si>
    <t>探索傳播有限責任公司美元配息債券 6.35% 2040/6/1</t>
  </si>
  <si>
    <t>US25470DAD12</t>
  </si>
  <si>
    <t>***新增list操作如下：</t>
    <phoneticPr fontId="53" type="noConversion"/>
  </si>
  <si>
    <t>一、複製工作表「bond」欄位的商品代碼，貼到工作表「篩選吧」的商品代碼欄位</t>
    <phoneticPr fontId="53" type="noConversion"/>
  </si>
  <si>
    <t>二、工作表「篩選吧」的距到期年欄位，做大到小排序，再加密保護</t>
    <phoneticPr fontId="53" type="noConversion"/>
  </si>
  <si>
    <t>三、在此工作表「check_code」，將符合條件的ISIN加入「自由選清單(F欄)」跟「庫存管理清單(G欄)」</t>
    <phoneticPr fontId="53" type="noConversion"/>
  </si>
  <si>
    <t>XH580</t>
  </si>
  <si>
    <t>US56585AAF93</t>
  </si>
  <si>
    <t>XH590</t>
  </si>
  <si>
    <t>USF29416AD06</t>
  </si>
  <si>
    <t>XH600</t>
  </si>
  <si>
    <t>US91087BAX82</t>
  </si>
  <si>
    <t>馬拉松石油公司美元配息債券 6.5% 2041/3/1</t>
  </si>
  <si>
    <t>馬拉松石油公司</t>
  </si>
  <si>
    <t>MPC</t>
  </si>
  <si>
    <t>法國電力公司美元配息債券 6.9% 2053/5/23</t>
  </si>
  <si>
    <t>墨西哥政府美元配息債券 6.338% 2053/5/4</t>
  </si>
  <si>
    <t>Merrill Lynch BV</t>
  </si>
  <si>
    <t>Contemporary Ruiding Develop</t>
  </si>
  <si>
    <t>CONAMP</t>
    <phoneticPr fontId="55" type="noConversion"/>
  </si>
  <si>
    <t>Contemporary Ruiding Develop/CONAMP</t>
  </si>
  <si>
    <t>家得寶公司</t>
    <phoneticPr fontId="55" type="noConversion"/>
  </si>
  <si>
    <t xml:space="preserve">家得寶公司 </t>
    <phoneticPr fontId="55" type="noConversion"/>
  </si>
  <si>
    <t>Baa1 / BBB+ / BBB</t>
  </si>
  <si>
    <t>高盛金融公司國際有限公司</t>
  </si>
  <si>
    <t>XH610</t>
  </si>
  <si>
    <t>摩根大通銀行美元配息債券 5.5% 2040/10/15</t>
  </si>
  <si>
    <t>US46625HHV50</t>
  </si>
  <si>
    <t>XH620</t>
  </si>
  <si>
    <t>摩根大通銀行美元配息債券 4.85% 2044/2/1</t>
  </si>
  <si>
    <t>US46625HJU59</t>
  </si>
  <si>
    <t>XH630</t>
  </si>
  <si>
    <t>花旗集團美元配息債券 8.125% 2039/7/15</t>
  </si>
  <si>
    <t>US172967EW71</t>
  </si>
  <si>
    <t>XH640</t>
  </si>
  <si>
    <t>嬌生公司美元配息債券 5.85% 2038/7/15</t>
  </si>
  <si>
    <t>US478160AT19</t>
  </si>
  <si>
    <t>Ba1 / BBB- / BBB-</t>
  </si>
  <si>
    <t>判斷</t>
  </si>
  <si>
    <t>判斷</t>
    <phoneticPr fontId="53" type="noConversion"/>
  </si>
  <si>
    <t>買進日是否落入record date</t>
    <phoneticPr fontId="53" type="noConversion"/>
  </si>
  <si>
    <t>record date制度前手息</t>
    <phoneticPr fontId="53" type="noConversion"/>
  </si>
  <si>
    <t>MM020</t>
    <phoneticPr fontId="53" type="noConversion"/>
  </si>
  <si>
    <t>第一票息日</t>
    <phoneticPr fontId="53" type="noConversion"/>
  </si>
  <si>
    <t>ex_div_days</t>
  </si>
  <si>
    <t>Record判斷</t>
    <phoneticPr fontId="53" type="noConversion"/>
  </si>
  <si>
    <t>計算前手息(回推clean價格用)</t>
  </si>
  <si>
    <t>計算前手息(回推clean價格用)</t>
    <phoneticPr fontId="53" type="noConversion"/>
  </si>
  <si>
    <t>ISIN code*</t>
  </si>
  <si>
    <t>ACC</t>
    <phoneticPr fontId="53" type="noConversion"/>
  </si>
  <si>
    <t>前手息(初算)</t>
    <phoneticPr fontId="53" type="noConversion"/>
  </si>
  <si>
    <t>計算前手息(初算)</t>
    <phoneticPr fontId="53" type="noConversion"/>
  </si>
  <si>
    <t>Ba2 *- / BB- *- / BB+ *-</t>
  </si>
  <si>
    <t>2023/11/23</t>
  </si>
  <si>
    <t>2024/11/28</t>
  </si>
  <si>
    <t>每半年</t>
  </si>
  <si>
    <t>2024/8/28</t>
  </si>
  <si>
    <t>FIXED</t>
  </si>
  <si>
    <t>N</t>
  </si>
  <si>
    <t>Not Applicable</t>
  </si>
  <si>
    <t>Sr Unsecured</t>
  </si>
  <si>
    <t>2015/11/25</t>
  </si>
  <si>
    <t>2015/5/28</t>
  </si>
  <si>
    <t>2015/11/28</t>
  </si>
  <si>
    <t>#N/A Field Not Applicable</t>
  </si>
  <si>
    <t>2024/1/17</t>
  </si>
  <si>
    <t>法國興業銀行(Societe Generale)提供商業、零售、投資，以及私人銀行服務。該銀行提供消費信貸、車輛租賃融資、資訊科技設備租賃、壽險及非壽險、保管、貿易與專案融資、匯兌、財資、金融，以及商品經紀服務。法國興業銀行服務全球客戶。</t>
  </si>
  <si>
    <t>Y</t>
  </si>
  <si>
    <t>Subordinated</t>
  </si>
  <si>
    <t>2024/1/26</t>
  </si>
  <si>
    <t>2023/7/26</t>
  </si>
  <si>
    <t>2024/5/30</t>
  </si>
  <si>
    <t>2018/5/30</t>
  </si>
  <si>
    <t>2018/11/30</t>
  </si>
  <si>
    <t>2025/3/16</t>
  </si>
  <si>
    <t>2024/3/16</t>
  </si>
  <si>
    <t>巴克萊集團(Barclays PLC)為全球金融服務提供商，專門從事零售銀行、信用卡、批發銀行、投資銀行、財富管理和投資管理服務。</t>
  </si>
  <si>
    <t>2015/3/16</t>
  </si>
  <si>
    <t>2015/9/16</t>
  </si>
  <si>
    <t>2024/4/30</t>
  </si>
  <si>
    <t>國家開發銀行</t>
  </si>
  <si>
    <t>2027/1/19</t>
  </si>
  <si>
    <t>2024/1/19</t>
  </si>
  <si>
    <t>SDBC</t>
  </si>
  <si>
    <t>Unsecured</t>
  </si>
  <si>
    <t>ACT/365</t>
  </si>
  <si>
    <t>2012/1/19</t>
  </si>
  <si>
    <t>2012/7/19</t>
  </si>
  <si>
    <t>2024/3/17</t>
  </si>
  <si>
    <t>巴西石油全球金融私人有限公司(Petrobras Global Finance B.V.)為一家特殊目的機構。該公司成立目的為發行債券，以用於償還現有信用額度、再融資債務，以及收購用途。</t>
  </si>
  <si>
    <t>2025/4/22</t>
  </si>
  <si>
    <t>2024/4/22</t>
  </si>
  <si>
    <t>2015/4/22</t>
  </si>
  <si>
    <t>2015/10/22</t>
  </si>
  <si>
    <t>2025/4/17</t>
  </si>
  <si>
    <t>2024/4/17</t>
  </si>
  <si>
    <t>2015/4/17</t>
  </si>
  <si>
    <t>2015/10/17</t>
  </si>
  <si>
    <t>2036/5/2</t>
  </si>
  <si>
    <t>2024/5/2</t>
  </si>
  <si>
    <t>匯豐銀行控股公開有限公司(HSBC Holdings plc)為匯豐集團的控股公司。該公司提供多樣化的國際銀行及金融服務，包括零售及企業銀行、交易、信託服務、證券、託管、資本市場、資金、私人及投資銀行及保險。匯豐銀行控股業務遍及全球各地。</t>
  </si>
  <si>
    <t>2006/5/3</t>
  </si>
  <si>
    <t>2006/11/2</t>
  </si>
  <si>
    <t>2035/5/11</t>
  </si>
  <si>
    <t>2024/5/11</t>
  </si>
  <si>
    <t>2015/5/11</t>
  </si>
  <si>
    <t>2015/11/11</t>
  </si>
  <si>
    <t>2025/7/30</t>
  </si>
  <si>
    <t>2024/1/30</t>
  </si>
  <si>
    <t>軟銀集團公司(SoftBank Group Corp.)為一家控股公司，透過旗下子公司"軟體銀行"，提供電信服務。該公司亦提供微型處理器智慧財產、設計軟體工具，以及相關技術服務。軟銀集團亦經營投資業務。</t>
  </si>
  <si>
    <t>2025/4/30</t>
  </si>
  <si>
    <t>2015/7/28</t>
  </si>
  <si>
    <t>2016/1/30</t>
  </si>
  <si>
    <t>2035/3/1</t>
  </si>
  <si>
    <t>2024/3/1</t>
  </si>
  <si>
    <t>2005/2/25</t>
  </si>
  <si>
    <t>2005/9/1</t>
  </si>
  <si>
    <t>2042/5/3</t>
  </si>
  <si>
    <t>2024/5/3</t>
  </si>
  <si>
    <t>2012/5/3</t>
  </si>
  <si>
    <t>2012/11/3</t>
  </si>
  <si>
    <t>歐洲投資銀行</t>
  </si>
  <si>
    <t>2025/8/18</t>
  </si>
  <si>
    <t>每年</t>
  </si>
  <si>
    <t>2023/8/18</t>
  </si>
  <si>
    <t>2024/8/18</t>
  </si>
  <si>
    <t>EIB</t>
  </si>
  <si>
    <t>歐洲投資銀行(European Investment Bank)為一家融資機構。該銀行提供專案貸款、債券、創投、運輸基礎設施、專案資金、擔保、微型信貸、股票投資，以及都市開發解決方案。歐洲投資銀行服務全球客戶。</t>
  </si>
  <si>
    <t>2015/8/18</t>
  </si>
  <si>
    <t>2016/8/18</t>
  </si>
  <si>
    <t>2044/4/8</t>
  </si>
  <si>
    <t>2024/4/8</t>
  </si>
  <si>
    <t>2014/4/8</t>
  </si>
  <si>
    <t>2014/10/8</t>
  </si>
  <si>
    <t>2045/9/15</t>
  </si>
  <si>
    <t>2023/9/15</t>
  </si>
  <si>
    <t>2024/3/15</t>
  </si>
  <si>
    <t>2015/9/15</t>
  </si>
  <si>
    <t>2016/3/15</t>
  </si>
  <si>
    <t>2028/12/29</t>
  </si>
  <si>
    <t>零息</t>
  </si>
  <si>
    <t>ZERO COUPON</t>
  </si>
  <si>
    <t>1998/1/5</t>
  </si>
  <si>
    <t>2025/6/30</t>
  </si>
  <si>
    <t>2015/6/30</t>
  </si>
  <si>
    <t>2015/12/30</t>
  </si>
  <si>
    <t>2025/1/1</t>
  </si>
  <si>
    <t>2014/5/28</t>
  </si>
  <si>
    <t>2015/1/1</t>
  </si>
  <si>
    <t>2036/8/8</t>
  </si>
  <si>
    <t>2024/2/8</t>
  </si>
  <si>
    <t>微軟公司(Microsoft Corporation)為一家軟體公司。該公司提供應用程式、額外收費的雲端儲存，以及先進安全解決方案。微軟服務全球客戶。</t>
  </si>
  <si>
    <t>2036/2/8</t>
  </si>
  <si>
    <t>2016/8/8</t>
  </si>
  <si>
    <t>2017/2/8</t>
  </si>
  <si>
    <t>2026/8/4</t>
  </si>
  <si>
    <t>2024/2/4</t>
  </si>
  <si>
    <t>蘋果公司(Apple Inc.)設計、製造，並銷售智慧手機、個人電腦、平板電腦、穿戴式裝置與配件，並銷售各種相關配件。該公司亦提供支付、數位內容、雲端，以及廣告服務。蘋果公司的客戶主要為全球各地的消費者、中小型公司、教育、企業，以及政府市場。</t>
  </si>
  <si>
    <t>2026/5/4</t>
  </si>
  <si>
    <t>2016/8/4</t>
  </si>
  <si>
    <t>2017/2/4</t>
  </si>
  <si>
    <t>2043/5/4</t>
  </si>
  <si>
    <t>2023/11/4</t>
  </si>
  <si>
    <t>2024/5/4</t>
  </si>
  <si>
    <t>2013/5/3</t>
  </si>
  <si>
    <t>2013/11/4</t>
  </si>
  <si>
    <t>2044/6/15</t>
  </si>
  <si>
    <t>AT&amp;T公司(AT&amp;T Inc.)為一家通訊控股公司。該公司透過旗下子公司及關係企業，提供市內與長途電話、無線與資料通訊、網際網路存取與簡訊、IP與衛星電視、電信設備，以及目錄廣告與出版服務。</t>
  </si>
  <si>
    <t>2043/12/15</t>
  </si>
  <si>
    <t>2014/6/10</t>
  </si>
  <si>
    <t>2014/12/15</t>
  </si>
  <si>
    <t>2045/10/15</t>
  </si>
  <si>
    <t>2024/4/15</t>
  </si>
  <si>
    <t>慧與公司提供信息技術解決方案。該公司提供企業安防，分析和數據管理，應用開發和測試，數據中心護理，雲諮詢和業務流程服務。慧與公司為世界各地的客戶提供服務。</t>
  </si>
  <si>
    <t>2045/4/15</t>
  </si>
  <si>
    <t>2016/12/30</t>
  </si>
  <si>
    <t>2016/10/15</t>
  </si>
  <si>
    <t>2017/4/15</t>
  </si>
  <si>
    <t>2033/2/15</t>
  </si>
  <si>
    <t>2024/2/15</t>
  </si>
  <si>
    <t>高盛集團(Goldman Sachs Group, Inc.)為銀行控股公司，屬於全球投資銀行及證券公司，專門從事投資銀行業務、交易與自營投資、資產管理與證券服務。該公司服務對象包括公司、金融機構、政府及金字塔頂端個人。</t>
  </si>
  <si>
    <t>2003/2/13</t>
  </si>
  <si>
    <t>2003/8/15</t>
  </si>
  <si>
    <t>荷蘭市政銀行公眾有限公司</t>
  </si>
  <si>
    <t>2025/12/31</t>
  </si>
  <si>
    <t>BNG</t>
  </si>
  <si>
    <t>1998/3/31</t>
  </si>
  <si>
    <t>非洲南部開發銀行有限公司</t>
  </si>
  <si>
    <t>2027/12/31</t>
  </si>
  <si>
    <t>DEVSA</t>
  </si>
  <si>
    <t>非洲南部開發銀行有限公司(Development Bank of Southern Africa Limited (DBSA))為一家政府開發銀行。該銀行銀透過社會和經濟基礎設施行業，提供金融和非金融投資，以供社會經濟發展，改善人民的生活。非洲南部開發銀行服務南非的客戶。</t>
  </si>
  <si>
    <t>1997/8/11</t>
  </si>
  <si>
    <t>2037/9/15</t>
  </si>
  <si>
    <t>2007/11/1</t>
  </si>
  <si>
    <t>2007/8/28</t>
  </si>
  <si>
    <t>2008/3/15</t>
  </si>
  <si>
    <t>2026/9/23</t>
  </si>
  <si>
    <t>2024/3/23</t>
  </si>
  <si>
    <t>富士康(遠東)有限公司(Foxconn (Far East) Limited)製造電子元件。該公司服務開曼群島的客戶。</t>
  </si>
  <si>
    <t>2016/9/23</t>
  </si>
  <si>
    <t>2017/3/23</t>
  </si>
  <si>
    <t>2037/3/16</t>
  </si>
  <si>
    <t>威瑞森電信公司(Verizon Communications Inc.)為一家電信公司。該公司提供有線語音、資料服務、無線服務，以及網路服務。威瑞森電信服務美國的客戶。</t>
  </si>
  <si>
    <t>2017/3/16</t>
  </si>
  <si>
    <t>2017/9/16</t>
  </si>
  <si>
    <t>2030/1/15</t>
  </si>
  <si>
    <t>2024/1/15</t>
  </si>
  <si>
    <t>N/A</t>
  </si>
  <si>
    <t>2000/1/18</t>
  </si>
  <si>
    <t>2000/7/15</t>
  </si>
  <si>
    <t>2035/5/29</t>
  </si>
  <si>
    <t>2015/5/29</t>
  </si>
  <si>
    <t>2033/12/5</t>
  </si>
  <si>
    <t>嬌生公司(Johnson &amp; Johnson)製造醫療保健產品，並提供相關服務予消費者、製藥和醫療器材及診斷市場。該公司於全球各國銷售產品，例如：護膚與護髮產品、乙醯胺酚產品、藥品、診斷設備及手術器材。</t>
  </si>
  <si>
    <t>2033/6/5</t>
  </si>
  <si>
    <t>2013/12/5</t>
  </si>
  <si>
    <t>2014/6/5</t>
  </si>
  <si>
    <t>2045/7/29</t>
  </si>
  <si>
    <t>2024/1/29</t>
  </si>
  <si>
    <t>2045/1/29</t>
  </si>
  <si>
    <t>2015/7/29</t>
  </si>
  <si>
    <t>2016/1/29</t>
  </si>
  <si>
    <t>2027/3/13</t>
  </si>
  <si>
    <t>2024/3/13</t>
  </si>
  <si>
    <t>墨西哥石油(Petroleos Mexicanos)經營石油及天然氣探勘與生產服務。該公司提供管道輸送、石化產品配送與貨運中心、物流，以及燃料商業化服務。墨西哥石油服務墨西哥的客戶。</t>
  </si>
  <si>
    <t>2018/3/23</t>
  </si>
  <si>
    <t>2018/3/13</t>
  </si>
  <si>
    <t>2018/9/13</t>
  </si>
  <si>
    <t>2027/5/19</t>
  </si>
  <si>
    <t>2024/5/19</t>
  </si>
  <si>
    <t>2017/5/19</t>
  </si>
  <si>
    <t>2018/5/19</t>
  </si>
  <si>
    <t>2026/8/15</t>
  </si>
  <si>
    <t>Alphabet公司(Alphabet Inc.)為一家控股公司。該公司透過其子公司，提供網路搜尋、廣告、地圖、軟體應用程式、行動作業系統、消費者內容、企業解決方案、商業及硬體產品。</t>
  </si>
  <si>
    <t>2026/5/15</t>
  </si>
  <si>
    <t>2016/8/9</t>
  </si>
  <si>
    <t>2017/2/15</t>
  </si>
  <si>
    <t>2044/12/5</t>
  </si>
  <si>
    <t>亞馬遜公司(Amazon.com, Inc.)為一家提供多元化產品的線上零售商。該公司的產品包括：書籍、音樂、電腦、電子產品，以及許多其它產品。亞馬遜提供個人化購物服務、網上信用卡付款，以及送貨到府服務。亞馬遜亦經營雲端平台，於全球各地提供服務。</t>
  </si>
  <si>
    <t>2044/6/5</t>
  </si>
  <si>
    <t>2014/12/5</t>
  </si>
  <si>
    <t>2015/6/5</t>
  </si>
  <si>
    <t>2036/6/1</t>
  </si>
  <si>
    <t>EMBARQ</t>
  </si>
  <si>
    <t>2006/5/19</t>
  </si>
  <si>
    <t>2006/5/17</t>
  </si>
  <si>
    <t>2006/12/1</t>
  </si>
  <si>
    <t>2027/4/27</t>
  </si>
  <si>
    <t>2024/4/27</t>
  </si>
  <si>
    <t>富國銀行公司(Wells Fargo &amp; Company)經營多元化的金融服務。該公司提供銀行、保險、投資、抵押、租賃、信用卡，以及消費性金融。富國銀行公司服務全球各地的實體商店、網際網路，以及其他經銷通道。</t>
  </si>
  <si>
    <t>2017/4/27</t>
  </si>
  <si>
    <t>2017/10/27</t>
  </si>
  <si>
    <t>2038/5/15</t>
  </si>
  <si>
    <t>2023/11/15</t>
  </si>
  <si>
    <t>2024/5/15</t>
  </si>
  <si>
    <t>摩根大通銀行 (JPMorgan Chase &amp; Co.) 提供全球金融服務及消費銀行服務。該公司的業務範圍包括：投資銀行、公債及其他證券服務、資產管理、私人銀行、信用卡會員服務、商業銀行及房屋貸款。主要客戶則為企業、機構及個人。</t>
  </si>
  <si>
    <t>2008/5/22</t>
  </si>
  <si>
    <t>2008/11/15</t>
  </si>
  <si>
    <t>埃克森美孚公司</t>
  </si>
  <si>
    <t>2046/3/1</t>
  </si>
  <si>
    <t>2045/9/1</t>
  </si>
  <si>
    <t>2016/3/3</t>
  </si>
  <si>
    <t>2016/9/1</t>
  </si>
  <si>
    <t>2035/10/12</t>
  </si>
  <si>
    <t>2024/4/12</t>
  </si>
  <si>
    <t>2005/10/12</t>
  </si>
  <si>
    <t>2006/4/12</t>
  </si>
  <si>
    <t>2042/2/14</t>
  </si>
  <si>
    <t>2024/2/14</t>
  </si>
  <si>
    <t>2012/2/14</t>
  </si>
  <si>
    <t>2012/8/14</t>
  </si>
  <si>
    <t>2045/6/15</t>
  </si>
  <si>
    <t>2044/12/15</t>
  </si>
  <si>
    <t>2013/6/18</t>
  </si>
  <si>
    <t>2013/6/15</t>
  </si>
  <si>
    <t>2013/12/15</t>
  </si>
  <si>
    <t>2036/12/15</t>
  </si>
  <si>
    <t>輝瑞大藥廠股份有限公司(Pfizer Inc.)為製藥公司。 該公司提供腫瘤、炎症、心血管及其他治療領域所需的藥品、疫苗、醫療裝置，以及消費者醫療保健產品。 輝瑞大藥廠服務全球客戶。</t>
  </si>
  <si>
    <t>2016/11/21</t>
  </si>
  <si>
    <t>2017/6/15</t>
  </si>
  <si>
    <t>2025/6/10</t>
  </si>
  <si>
    <t>2015/6/10</t>
  </si>
  <si>
    <t>2015/12/10</t>
  </si>
  <si>
    <t>2046/8/15</t>
  </si>
  <si>
    <t>2016/8/1</t>
  </si>
  <si>
    <t>2036/4/30</t>
  </si>
  <si>
    <t>派拉蒙全球(Paramount Global)為一家媒體公司。該公司透過工作室、網路、串流服務、現場活動，以及商品，生產並配送娛樂內容。派拉蒙全球服務全球客戶。</t>
  </si>
  <si>
    <t>2006/10/18</t>
  </si>
  <si>
    <t>2006/10/30</t>
  </si>
  <si>
    <t>2026/10/15</t>
  </si>
  <si>
    <t>1996/10/18</t>
  </si>
  <si>
    <t>1997/4/15</t>
  </si>
  <si>
    <t>2027/5/20</t>
  </si>
  <si>
    <t>2024/5/20</t>
  </si>
  <si>
    <t>高通公司(Qualcomm Incorporated)為一家跨國的半導體與電信設備公司。該公司開發並提供以「分碼多重進接」(CDMA)數位科技為基礎的數位無線通訊產品與服務。高通服務全球客戶。</t>
  </si>
  <si>
    <t>2027/2/20</t>
  </si>
  <si>
    <t>2017/5/26</t>
  </si>
  <si>
    <t>2017/11/20</t>
  </si>
  <si>
    <t>2026/10/26</t>
  </si>
  <si>
    <t>2024/4/26</t>
  </si>
  <si>
    <t>2016/10/26</t>
  </si>
  <si>
    <t>2017/4/26</t>
  </si>
  <si>
    <t>2027/6/23</t>
  </si>
  <si>
    <t>2023/12/23</t>
  </si>
  <si>
    <t>FLAT TRADING</t>
  </si>
  <si>
    <t>2017/6/23</t>
  </si>
  <si>
    <t>2017/12/23</t>
  </si>
  <si>
    <t>2040/1/11</t>
  </si>
  <si>
    <t>2024/1/11</t>
  </si>
  <si>
    <t>2008/1/11</t>
  </si>
  <si>
    <t>2008/7/11</t>
  </si>
  <si>
    <t>2037/8/16</t>
  </si>
  <si>
    <t>2024/2/16</t>
  </si>
  <si>
    <t>2007/8/16</t>
  </si>
  <si>
    <t>2008/2/16</t>
  </si>
  <si>
    <t>2024/10/30</t>
  </si>
  <si>
    <t>美國運通(American Express)為從事全球性支付及旅行相關業務的公司。 該公司主要的產品和服務為簽帳卡和信用卡產品、及旅行相關服務予全球客戶和企業。</t>
  </si>
  <si>
    <t>2024/9/29</t>
  </si>
  <si>
    <t>2017/10/30</t>
  </si>
  <si>
    <t>2018/4/30</t>
  </si>
  <si>
    <t>2031/7/16</t>
  </si>
  <si>
    <t>2024/1/16</t>
  </si>
  <si>
    <t>福特汽車公司(Ford Motor Company)從事汽車及貨車的設計、製造及服務。該公司亦透過旗下子公司，提供汽車相關的融資、租賃及保險。</t>
  </si>
  <si>
    <t>1999/7/16</t>
  </si>
  <si>
    <t>2000/1/16</t>
  </si>
  <si>
    <t>2027/8/17</t>
  </si>
  <si>
    <t>2024/2/17</t>
  </si>
  <si>
    <t>2017/8/17</t>
  </si>
  <si>
    <t>2018/2/17</t>
  </si>
  <si>
    <t>2028/4/15</t>
  </si>
  <si>
    <t>2028/1/16</t>
  </si>
  <si>
    <t>2018/4/3</t>
  </si>
  <si>
    <t>2018/10/15</t>
  </si>
  <si>
    <t>麥格理集團有限公司</t>
  </si>
  <si>
    <t>2029/3/27</t>
  </si>
  <si>
    <t>2024/3/27</t>
  </si>
  <si>
    <t>麥格理集團有限公司(Macquarie Group Ltd.)提供銀行、金融顧問、投資，以及基金管理服務。該公司提供金融顧問、現金管理、財富管理與私人銀行、人壽保險、證券經紀、公司債務融資、不動產基金管理、不動產開發融資、投資基金管理，以及外匯服務。</t>
  </si>
  <si>
    <t>2028/3/27</t>
  </si>
  <si>
    <t>VARIABLE</t>
  </si>
  <si>
    <t>2018/3/27</t>
  </si>
  <si>
    <t>2018/9/27</t>
  </si>
  <si>
    <t>勞埃德銀行集團</t>
  </si>
  <si>
    <t>2025/2/3</t>
  </si>
  <si>
    <t>2024/2/3</t>
  </si>
  <si>
    <t>2018/2/1</t>
  </si>
  <si>
    <t>2018/8/3</t>
  </si>
  <si>
    <t>紐西蘭地方政府融資機構</t>
  </si>
  <si>
    <t>2027/4/15</t>
  </si>
  <si>
    <t>NZLGFA</t>
  </si>
  <si>
    <t>2014/10/15</t>
  </si>
  <si>
    <t>2015/4/15</t>
  </si>
  <si>
    <t>2028/5/1</t>
  </si>
  <si>
    <t>2024/5/1</t>
  </si>
  <si>
    <t>康卡斯特公司(Comcast Corporation)提供媒體及電視傳播服務。該公司提供影音串流、電視節目、高速網路、有線電視，及通訊服務。康卡斯特的服務對象遍及全球各地。</t>
  </si>
  <si>
    <t>2028/2/1</t>
  </si>
  <si>
    <t>2018/2/8</t>
  </si>
  <si>
    <t>2018/5/1</t>
  </si>
  <si>
    <t>2024/3/14</t>
  </si>
  <si>
    <t>2038/1/19</t>
  </si>
  <si>
    <t>2037/7/19</t>
  </si>
  <si>
    <t>2018/1/19</t>
  </si>
  <si>
    <t>2018/7/19</t>
  </si>
  <si>
    <t>2027/3/1</t>
  </si>
  <si>
    <t>2026/12/1</t>
  </si>
  <si>
    <t>2017/2/9</t>
  </si>
  <si>
    <t>2017/9/1</t>
  </si>
  <si>
    <t>2026/5/12</t>
  </si>
  <si>
    <t>2024/5/12</t>
  </si>
  <si>
    <t>2016/5/12</t>
  </si>
  <si>
    <t>2016/11/12</t>
  </si>
  <si>
    <t>2026/5/31</t>
  </si>
  <si>
    <t>固特異輪胎與橡膠公司(Goodyear Tire &amp; Rubber Company)開發、經銷，並銷售輪胎。該公司製造並銷售橡膠及橡膠相關化學品，且提供汽車維修服務。固特異亦從事卡車、飛機，以及重型設備輪胎的翻新。固特異輪胎與橡膠公司服務美國的客戶。</t>
  </si>
  <si>
    <t>2016/5/13</t>
  </si>
  <si>
    <t>2016/11/30</t>
  </si>
  <si>
    <t>2027/4/1</t>
  </si>
  <si>
    <t>2024/4/1</t>
  </si>
  <si>
    <t>2027/1/1</t>
  </si>
  <si>
    <t>2017/3/31</t>
  </si>
  <si>
    <t>2017/10/1</t>
  </si>
  <si>
    <t>2028/4/13</t>
  </si>
  <si>
    <t>2024/4/13</t>
  </si>
  <si>
    <t>2028/1/13</t>
  </si>
  <si>
    <t>2018/4/4</t>
  </si>
  <si>
    <t>2018/10/13</t>
  </si>
  <si>
    <t>2026/5/14</t>
  </si>
  <si>
    <t>2024/5/14</t>
  </si>
  <si>
    <t>艾伯維公司(AbbVie Inc.)研究並開發藥品。 該公司生產專門治療用的藥品，涵蓋免疫系統、慢性腎病、C型肝炎、婦女健康、腫瘤及神經科學。 艾伯維的藥品亦可治療多發性硬化症、帕金森氏症，和阿爾茨海默症。</t>
  </si>
  <si>
    <t>2026/2/14</t>
  </si>
  <si>
    <t>2016/11/14</t>
  </si>
  <si>
    <t>2024/5/28</t>
  </si>
  <si>
    <t>2028/1/10</t>
  </si>
  <si>
    <t>2024/1/10</t>
  </si>
  <si>
    <t>2027/1/10</t>
  </si>
  <si>
    <t>2017/1/10</t>
  </si>
  <si>
    <t>2017/7/10</t>
  </si>
  <si>
    <t>2026/2/15</t>
  </si>
  <si>
    <t>威騰電子公司(Western Digital Corporation)為全球性解決方案供應商，提供數位內容的收集 、儲存、管理、保護和使用，包括語音與影像的解決方案。該公司的產品包括硬碟、固態硬碟，以及家庭娛樂和網絡產品。</t>
  </si>
  <si>
    <t>2025/11/15</t>
  </si>
  <si>
    <t>2018/2/13</t>
  </si>
  <si>
    <t>2018/8/15</t>
  </si>
  <si>
    <t>2029/3/12</t>
  </si>
  <si>
    <t>2024/3/12</t>
  </si>
  <si>
    <t>2019/3/12</t>
  </si>
  <si>
    <t>2019/9/12</t>
  </si>
  <si>
    <t>2028/12/15</t>
  </si>
  <si>
    <t>拜耳美國金融II有限責任公司(Bayer US Finance II LLC)為製藥公司。</t>
  </si>
  <si>
    <t>2028/9/15</t>
  </si>
  <si>
    <t>2018/6/25</t>
  </si>
  <si>
    <t>2018/12/15</t>
  </si>
  <si>
    <t>2028/5/30</t>
  </si>
  <si>
    <t>2039/4/16</t>
  </si>
  <si>
    <t>2024/4/16</t>
  </si>
  <si>
    <t>沙烏地阿拉伯國家石油公司(Saudi Arabian Oil Co.)，以「沙烏地阿美」(Saudi Aramco)執行業務，為一家石油探勘公司。該公司致力於碳氫化合物探勘、生產、精煉、經銷與運輸，並提供原油行銷服務。沙烏地阿美服務全球客戶。</t>
  </si>
  <si>
    <t>2019/4/16</t>
  </si>
  <si>
    <t>2019/10/16</t>
  </si>
  <si>
    <t>2029/3/8</t>
  </si>
  <si>
    <t>2023/9/8</t>
  </si>
  <si>
    <t>2024/3/8</t>
  </si>
  <si>
    <t>麥當勞公司(McDonald's Corporation)加盟並經營速食連鎖。該公司提供各種食物產品與軟性飲料，以及非酒精飲料。麥當勞服務全球客戶。</t>
  </si>
  <si>
    <t>2028/12/8</t>
  </si>
  <si>
    <t>2019/3/8</t>
  </si>
  <si>
    <t>2019/9/8</t>
  </si>
  <si>
    <t>2028/9/19</t>
  </si>
  <si>
    <t>2024/3/19</t>
  </si>
  <si>
    <t>2018/9/19</t>
  </si>
  <si>
    <t>2019/3/19</t>
  </si>
  <si>
    <t>2029/2/1</t>
  </si>
  <si>
    <t>2024/2/1</t>
  </si>
  <si>
    <t>美國醫院公司(HCA Inc.)提供醫療照護服務。該公司管理醫院、診所，和醫生的網路，以用於提供癌症與急救照護、護理、復健，以及兒科服務。</t>
  </si>
  <si>
    <t>2028/8/1</t>
  </si>
  <si>
    <t>2019/1/30</t>
  </si>
  <si>
    <t>2019/8/1</t>
  </si>
  <si>
    <t>2048/11/15</t>
  </si>
  <si>
    <t>新杜邦公司(DuPont de Nemours, Inc.)提供技術材料及解決方案。該公司提供各種產品，例如：建設材料、黏合劑、電子產品、紡織品、纖維、家庭花園、醫療設備、樹脂、印刷，以及消費性產品。新杜邦服務全球的能源、汽車、建設、政府、軍事、安全，以及包裝產業。</t>
  </si>
  <si>
    <t>2048/5/15</t>
  </si>
  <si>
    <t>2018/11/28</t>
  </si>
  <si>
    <t>2019/5/15</t>
  </si>
  <si>
    <t>2029/4/15</t>
  </si>
  <si>
    <t>博通公司(Broadcom Inc.)設計、開發及供應半導體及基礎設施軟體解決方案。該公司提供存儲配接器、控制器、網路處理器、運動控制編碼器與光學感應器，以及基礎設施和安全軟體，以達到現代化、優化和保護最複雜的混合環境。博通服務全球客戶。</t>
  </si>
  <si>
    <t>2029/1/15</t>
  </si>
  <si>
    <t>2019/4/5</t>
  </si>
  <si>
    <t>2019/10/15</t>
  </si>
  <si>
    <t>2045/8/17</t>
  </si>
  <si>
    <t>2015/8/17</t>
  </si>
  <si>
    <t>2016/2/17</t>
  </si>
  <si>
    <t>2038/6/4</t>
  </si>
  <si>
    <t>2008/6/4</t>
  </si>
  <si>
    <t>2008/12/4</t>
  </si>
  <si>
    <t>2028/2/21</t>
  </si>
  <si>
    <t>2024/2/21</t>
  </si>
  <si>
    <t>2017/2/21</t>
  </si>
  <si>
    <t>2018/2/21</t>
  </si>
  <si>
    <t>2046/7/15</t>
  </si>
  <si>
    <t>2046/1/16</t>
  </si>
  <si>
    <t>2016/7/5</t>
  </si>
  <si>
    <t>2017/1/15</t>
  </si>
  <si>
    <t>2049/7/17</t>
  </si>
  <si>
    <t>國家電力公司(Perusahaan Perseroan (Persero) PT Perusahaan Listrik Negara)生產、傳輸，以及配送電力。該公司開發電力基礎設施，例如：輸電網路、變電站和配電網路，以及增加電力供應的裝機容量。國家電力服務印尼的客戶。</t>
  </si>
  <si>
    <t>2019/7/17</t>
  </si>
  <si>
    <t>2020/1/17</t>
  </si>
  <si>
    <t>2038/11/16</t>
  </si>
  <si>
    <t>2023/11/16</t>
  </si>
  <si>
    <t>2024/11/16</t>
  </si>
  <si>
    <t>2018/11/16</t>
  </si>
  <si>
    <t>2019/11/16</t>
  </si>
  <si>
    <t>2029/9/19</t>
  </si>
  <si>
    <t>2029/6/21</t>
  </si>
  <si>
    <t>2017/9/19</t>
  </si>
  <si>
    <t>2018/3/19</t>
  </si>
  <si>
    <t>2047/5/25</t>
  </si>
  <si>
    <t>2024/5/25</t>
  </si>
  <si>
    <t>2017/5/25</t>
  </si>
  <si>
    <t>2017/11/25</t>
  </si>
  <si>
    <t>2048/1/15</t>
  </si>
  <si>
    <t>2047/7/15</t>
  </si>
  <si>
    <t>2017/10/4</t>
  </si>
  <si>
    <t>2018/1/15</t>
  </si>
  <si>
    <t>法國電力有限責任公司</t>
  </si>
  <si>
    <t>2040/1/27</t>
  </si>
  <si>
    <t>2024/1/27</t>
  </si>
  <si>
    <t>2010/1/26</t>
  </si>
  <si>
    <t>2010/7/27</t>
  </si>
  <si>
    <t>2045/12/9</t>
  </si>
  <si>
    <t>2045/6/9</t>
  </si>
  <si>
    <t>2015/12/9</t>
  </si>
  <si>
    <t>2016/6/9</t>
  </si>
  <si>
    <t>2048/3/25</t>
  </si>
  <si>
    <t>2024/3/25</t>
  </si>
  <si>
    <t>2047/9/25</t>
  </si>
  <si>
    <t>2018/3/9</t>
  </si>
  <si>
    <t>2018/9/25</t>
  </si>
  <si>
    <t>2049/9/24</t>
  </si>
  <si>
    <t>2024/3/24</t>
  </si>
  <si>
    <t>2049/3/24</t>
  </si>
  <si>
    <t>2019/9/24</t>
  </si>
  <si>
    <t>2020/3/24</t>
  </si>
  <si>
    <t>2049/9/1</t>
  </si>
  <si>
    <t>2049/3/1</t>
  </si>
  <si>
    <t>2019/8/16</t>
  </si>
  <si>
    <t>2020/3/1</t>
  </si>
  <si>
    <t>2045/5/14</t>
  </si>
  <si>
    <t>2044/11/14</t>
  </si>
  <si>
    <t>2015/5/14</t>
  </si>
  <si>
    <t>2015/11/14</t>
  </si>
  <si>
    <t>2045/11/15</t>
  </si>
  <si>
    <t>2045/5/15</t>
  </si>
  <si>
    <t>2015/11/13</t>
  </si>
  <si>
    <t>2016/5/15</t>
  </si>
  <si>
    <t>華特迪士尼公司(The Walt Disney Company)為娛樂及媒體企業公司。該公司的商業部門包括：媒體網路、公園與度假村、影業娛樂、消費產品，以及互動媒體。華特迪士尼服務全球客戶。</t>
  </si>
  <si>
    <t>2019/9/6</t>
  </si>
  <si>
    <t>2046/6/1</t>
  </si>
  <si>
    <t>2045/12/1</t>
  </si>
  <si>
    <t>2016/8/19</t>
  </si>
  <si>
    <t>2016/5/24</t>
  </si>
  <si>
    <t>2016/12/1</t>
  </si>
  <si>
    <t>2019/4/15</t>
  </si>
  <si>
    <t>Suzano International Finance</t>
  </si>
  <si>
    <t>2027/1/17</t>
  </si>
  <si>
    <t>2017/1/17</t>
  </si>
  <si>
    <t>2017/7/17</t>
  </si>
  <si>
    <t>2041/9/15</t>
  </si>
  <si>
    <t>2011/9/19</t>
  </si>
  <si>
    <t>2012/3/15</t>
  </si>
  <si>
    <t>2044/5/15</t>
  </si>
  <si>
    <t>2043/11/15</t>
  </si>
  <si>
    <t>2014/5/13</t>
  </si>
  <si>
    <t>2014/11/15</t>
  </si>
  <si>
    <t>2028/2/15</t>
  </si>
  <si>
    <t>智遊網集團公司(Expedia, Inc.)提供線上旅遊服務予休閒及商業旅行人士。 該公司提供各式旅遊訂購及預約服務，另提供班機、旅館與租車公司的即時行程表、價格及空位資訊。智遊網集團服務全球各地的客戶。</t>
  </si>
  <si>
    <t>2027/11/15</t>
  </si>
  <si>
    <t>2017/12/28</t>
  </si>
  <si>
    <t>2017/9/21</t>
  </si>
  <si>
    <t>2018/2/15</t>
  </si>
  <si>
    <t>2049/8/26</t>
  </si>
  <si>
    <t>2024/2/26</t>
  </si>
  <si>
    <t>3M公司(3M Company)跨足經營電子、電信、工業、消費性及辦公室用品、醫療保健、安全，及其他市場範疇。該公司各事業體分享技術、製造營運、行銷通路，及其他資源。3M服務全球客戶。</t>
  </si>
  <si>
    <t>2049/2/26</t>
  </si>
  <si>
    <t>2019/8/26</t>
  </si>
  <si>
    <t>2020/2/26</t>
  </si>
  <si>
    <t>百事可樂公司</t>
  </si>
  <si>
    <t>2049/10/15</t>
  </si>
  <si>
    <t>2049/4/15</t>
  </si>
  <si>
    <t>2019/10/9</t>
  </si>
  <si>
    <t>2020/4/15</t>
  </si>
  <si>
    <t>2047/3/1</t>
  </si>
  <si>
    <t>吉利德科學公司(Gilead Sciences, Inc.)為以研究為主的生物製藥公司，致力於加強照護重症疾病患者療法的探索、開發並商業化。該公司主要的專精領域包括人類免疫不全病毒(HIV)、愛滋病、肝臟疾病，及心血管與呼吸系統重症。</t>
  </si>
  <si>
    <t>2046/9/1</t>
  </si>
  <si>
    <t>2016/9/20</t>
  </si>
  <si>
    <t>2017/3/1</t>
  </si>
  <si>
    <t>家得寶公司</t>
  </si>
  <si>
    <t>2029/6/15</t>
  </si>
  <si>
    <t>家得寶公司(The Home Depot, Inc.)為家居修繕零售商。該公司提供各種建築材料、家居修繕、草坪和園藝產品，並提供DIY想法、安裝、維修，以及其它服務。家得寶服務全球客戶。</t>
  </si>
  <si>
    <t>2029/3/15</t>
  </si>
  <si>
    <t>2019/6/17</t>
  </si>
  <si>
    <t>2019/12/15</t>
  </si>
  <si>
    <t>2044/1/15</t>
  </si>
  <si>
    <t>2043/7/15</t>
  </si>
  <si>
    <t>2014/6/6</t>
  </si>
  <si>
    <t>2013/12/12</t>
  </si>
  <si>
    <t>2014/7/15</t>
  </si>
  <si>
    <t>2049/7/30</t>
  </si>
  <si>
    <t>2019/7/30</t>
  </si>
  <si>
    <t>2020/1/30</t>
  </si>
  <si>
    <t>2030/2/26</t>
  </si>
  <si>
    <t>2020/8/26</t>
  </si>
  <si>
    <t>2048/12/15</t>
  </si>
  <si>
    <t>2048/6/15</t>
  </si>
  <si>
    <t>2019/8/27</t>
  </si>
  <si>
    <t>2019/6/15</t>
  </si>
  <si>
    <t>2030/3/11</t>
  </si>
  <si>
    <t>2024/3/11</t>
  </si>
  <si>
    <t>2029/12/11</t>
  </si>
  <si>
    <t>2020/3/11</t>
  </si>
  <si>
    <t>2020/9/11</t>
  </si>
  <si>
    <t>2045/12/14</t>
  </si>
  <si>
    <t>威士卡(Visa Inc.)經營零售電子支付網路及管理全球金融服務。 該公司亦透過金融機構、企業、消費者、商業和政府機構之間的價值與資訊移轉，來提供全球商務。</t>
  </si>
  <si>
    <t>2045/6/14</t>
  </si>
  <si>
    <t>2015/12/14</t>
  </si>
  <si>
    <t>2016/6/14</t>
  </si>
  <si>
    <t>2034/7/8</t>
  </si>
  <si>
    <t>2024/1/8</t>
  </si>
  <si>
    <t>甲骨文公司(Oracle)為企業資訊管理提供電腦軟體產品。該公司主要提供資料庫與關聯式伺服器、應用軟體開發、決策支援工具以及企業業務應用軟體等。 甲骨文軟體可以支援網路電腦、個人數位助理(PDA)、用戶終端產品、個人電腦、工作站、迷你電腦、大型電腦以及多量平行處理電腦等。</t>
  </si>
  <si>
    <t>2034/1/8</t>
  </si>
  <si>
    <t>2014/7/8</t>
  </si>
  <si>
    <t>2015/1/8</t>
  </si>
  <si>
    <t>2042/12/15</t>
  </si>
  <si>
    <t>2013/5/29</t>
  </si>
  <si>
    <t>2012/12/14</t>
  </si>
  <si>
    <t>2030/4/23</t>
  </si>
  <si>
    <t>2024/4/23</t>
  </si>
  <si>
    <t>2018/4/23</t>
  </si>
  <si>
    <t>2018/10/23</t>
  </si>
  <si>
    <t>2050/5/11</t>
  </si>
  <si>
    <t>2049/11/11</t>
  </si>
  <si>
    <t>2020/5/11</t>
  </si>
  <si>
    <t>2020/11/11</t>
  </si>
  <si>
    <t>2051/1/15</t>
  </si>
  <si>
    <t>2050/7/15</t>
  </si>
  <si>
    <t>2020/5/28</t>
  </si>
  <si>
    <t>2020/7/15</t>
  </si>
  <si>
    <t>2046/10/26</t>
  </si>
  <si>
    <t>2030/5/1</t>
  </si>
  <si>
    <t>波音公司(The Boeing Company)為一家航太公司。該公司開發、製造，並服務商用飛機、國防產品，以及太空系統。波音服務全球客戶。</t>
  </si>
  <si>
    <t>2030/2/1</t>
  </si>
  <si>
    <t>2020/5/4</t>
  </si>
  <si>
    <t>2020/11/1</t>
  </si>
  <si>
    <t>2031/1/18</t>
  </si>
  <si>
    <t>2023/7/18</t>
  </si>
  <si>
    <t>2024/1/18</t>
  </si>
  <si>
    <t>梅賽德斯-賓士金融北美有限責任公司(Mercedes-Benz Finance North America LLC)為一家特殊目的機構。該公司成立目的為發行債券，以用於償還現有信貸、再融資債務，以及收購用途。</t>
  </si>
  <si>
    <t>2001/1/18</t>
  </si>
  <si>
    <t>2001/7/18</t>
  </si>
  <si>
    <t>2036/5/14</t>
  </si>
  <si>
    <t>2035/11/14</t>
  </si>
  <si>
    <t>2044/5/6</t>
  </si>
  <si>
    <t>2023/11/6</t>
  </si>
  <si>
    <t>2024/5/6</t>
  </si>
  <si>
    <t>2014/5/6</t>
  </si>
  <si>
    <t>2014/11/6</t>
  </si>
  <si>
    <t>2015/9/14</t>
  </si>
  <si>
    <t>2016/3/1</t>
  </si>
  <si>
    <t>2032/10/18</t>
  </si>
  <si>
    <t>2017/10/18</t>
  </si>
  <si>
    <t>2051/1/13</t>
  </si>
  <si>
    <t>2023/7/13</t>
  </si>
  <si>
    <t>2024/1/13</t>
  </si>
  <si>
    <t>2050/7/13</t>
  </si>
  <si>
    <t>2020/5/13</t>
  </si>
  <si>
    <t>2021/1/13</t>
  </si>
  <si>
    <t>聯邦快遞公司</t>
  </si>
  <si>
    <t>2046/4/1</t>
  </si>
  <si>
    <t>2045/10/1</t>
  </si>
  <si>
    <t>2016/3/24</t>
  </si>
  <si>
    <t>2016/10/1</t>
  </si>
  <si>
    <t>2052/2/1</t>
  </si>
  <si>
    <t>2051/8/1</t>
  </si>
  <si>
    <t>2020/8/4</t>
  </si>
  <si>
    <t>2021/2/1</t>
  </si>
  <si>
    <t>2048/9/14</t>
  </si>
  <si>
    <t>2048/3/14</t>
  </si>
  <si>
    <t>2018/9/14</t>
  </si>
  <si>
    <t>2019/3/14</t>
  </si>
  <si>
    <t>2046/7/30</t>
  </si>
  <si>
    <t>2016/7/12</t>
  </si>
  <si>
    <t>2017/1/30</t>
  </si>
  <si>
    <t>2050/2/24</t>
  </si>
  <si>
    <t>2024/2/24</t>
  </si>
  <si>
    <t>2049/8/24</t>
  </si>
  <si>
    <t>2020/2/24</t>
  </si>
  <si>
    <t>2020/8/24</t>
  </si>
  <si>
    <t>2050/4/1</t>
  </si>
  <si>
    <t>2049/10/1</t>
  </si>
  <si>
    <t>2020/4/1</t>
  </si>
  <si>
    <t>2020/10/1</t>
  </si>
  <si>
    <t>2050/6/15</t>
  </si>
  <si>
    <t>美國電塔公司(American Tower Corporation)為不動產投資信託公司，在美國擁有、經營並開發無線通訊及廣播塔。該公司出租多重租戶電塔天線據點予各種無線通訊產業，包括個人通訊服務、傳呼、及行動電話。</t>
  </si>
  <si>
    <t>2049/12/15</t>
  </si>
  <si>
    <t>2020/6/3</t>
  </si>
  <si>
    <t>2020/12/15</t>
  </si>
  <si>
    <t>2030/10/28</t>
  </si>
  <si>
    <t>2024/4/28</t>
  </si>
  <si>
    <t>2020/10/28</t>
  </si>
  <si>
    <t>2021/4/28</t>
  </si>
  <si>
    <t>2050/4/15</t>
  </si>
  <si>
    <t>2020/3/30</t>
  </si>
  <si>
    <t>2020/10/15</t>
  </si>
  <si>
    <t>通用汽車公司</t>
  </si>
  <si>
    <t>2016/2/23</t>
  </si>
  <si>
    <t>2050/1/15</t>
  </si>
  <si>
    <t>2049/7/15</t>
  </si>
  <si>
    <t>2020/1/13</t>
  </si>
  <si>
    <t>2051/6/1</t>
  </si>
  <si>
    <t>2050/12/1</t>
  </si>
  <si>
    <t>2020/12/1</t>
  </si>
  <si>
    <t>2046/8/8</t>
  </si>
  <si>
    <t>2046/2/8</t>
  </si>
  <si>
    <t>卡達國家銀行金融有限公司(QNB Finance Ltd)為一家特殊目的機構。該銀行提供貸款、卡務、儲蓄計劃、存款、債券、定存單、網際網路，以及簡訊銀行服務。卡達國家銀行金融服務全球客戶。</t>
  </si>
  <si>
    <t>花旗環球證券控股公司(美國)</t>
  </si>
  <si>
    <t>2030/12/23</t>
  </si>
  <si>
    <t>Insufficient Information</t>
  </si>
  <si>
    <t>2020/12/23</t>
  </si>
  <si>
    <t>2021/12/23</t>
  </si>
  <si>
    <t>耐吉公司</t>
  </si>
  <si>
    <t>2050/3/27</t>
  </si>
  <si>
    <t>耐吉公司(NIKE, Inc.)為男士、女士及兒童設計、開發及行銷運動鞋、服飾、設備及飾品。該公司透過旗下商店、子公司和經銷商銷售其產品。耐吉服務全球客戶。</t>
  </si>
  <si>
    <t>2049/9/27</t>
  </si>
  <si>
    <t>2020/3/27</t>
  </si>
  <si>
    <t>2020/9/27</t>
  </si>
  <si>
    <t>2050/11/24</t>
  </si>
  <si>
    <t>2024/5/24</t>
  </si>
  <si>
    <t>2050/5/24</t>
  </si>
  <si>
    <t>2020/11/24</t>
  </si>
  <si>
    <t>2021/5/24</t>
  </si>
  <si>
    <t>2060/8/15</t>
  </si>
  <si>
    <t>2060/2/15</t>
  </si>
  <si>
    <t>2020/8/5</t>
  </si>
  <si>
    <t>2021/2/15</t>
  </si>
  <si>
    <t>2015/12/15</t>
  </si>
  <si>
    <t>2041/2/15</t>
  </si>
  <si>
    <t>2040/8/15</t>
  </si>
  <si>
    <t>2021/1/19</t>
  </si>
  <si>
    <t>2021/8/15</t>
  </si>
  <si>
    <t>2042/9/11</t>
  </si>
  <si>
    <t>2012/9/11</t>
  </si>
  <si>
    <t>2013/3/11</t>
  </si>
  <si>
    <t>2050/11/15</t>
  </si>
  <si>
    <t>2020/11/16</t>
  </si>
  <si>
    <t>2020/11/15</t>
  </si>
  <si>
    <t>2021/5/15</t>
  </si>
  <si>
    <t>2038/9/24</t>
  </si>
  <si>
    <t>雀巢控股公司(Nestle Holdings, Inc.)為一家控股公司。該公司透過旗下子公司，提供食物、乳製品、飲料，以及營養產品。雀巢控股服務全球客戶。</t>
  </si>
  <si>
    <t>2038/3/24</t>
  </si>
  <si>
    <t>2018/9/24</t>
  </si>
  <si>
    <t>2019/3/24</t>
  </si>
  <si>
    <t>2039/3/7</t>
  </si>
  <si>
    <t>2024/3/7</t>
  </si>
  <si>
    <t>2038/9/7</t>
  </si>
  <si>
    <t>2019/3/7</t>
  </si>
  <si>
    <t>2019/9/7</t>
  </si>
  <si>
    <t>2036/11/30</t>
  </si>
  <si>
    <t>2036/5/30</t>
  </si>
  <si>
    <t>2016/11/22</t>
  </si>
  <si>
    <t>2017/5/30</t>
  </si>
  <si>
    <t>2030/3/22</t>
  </si>
  <si>
    <t>2024/3/22</t>
  </si>
  <si>
    <t>2029/12/22</t>
  </si>
  <si>
    <t>2020/3/20</t>
  </si>
  <si>
    <t>2020/9/22</t>
  </si>
  <si>
    <t>2050/6/3</t>
  </si>
  <si>
    <t>騰訊控股有限公司(Tencent Holdings Limited)為一家控股公司。該公司通過旗下子公司提供服務，包括社交網路、音樂、閘道器網站、電子商務、手機遊戲、支付系統、娛樂、人工智慧，以及技術解決方案。騰訊控股服務全球客戶。</t>
  </si>
  <si>
    <t>2049/12/3</t>
  </si>
  <si>
    <t>2020/12/3</t>
  </si>
  <si>
    <t>2020/3/31</t>
  </si>
  <si>
    <t>2042/4/22</t>
  </si>
  <si>
    <t>2041/4/22</t>
  </si>
  <si>
    <t>2021/4/22</t>
  </si>
  <si>
    <t>2021/10/22</t>
  </si>
  <si>
    <t>2050/3/22</t>
  </si>
  <si>
    <t>2049/9/22</t>
  </si>
  <si>
    <t>2051/3/15</t>
  </si>
  <si>
    <t>2050/9/15</t>
  </si>
  <si>
    <t>2021/3/3</t>
  </si>
  <si>
    <t>2021/9/15</t>
  </si>
  <si>
    <t>2051/2/15</t>
  </si>
  <si>
    <t>美商藝電公司(Electronic Arts Inc.)於全球開發、出品並配銷品牌互動式娛樂軟體，用於電玩主機、個人電腦、掌機及手機。該公司亦提供線上遊戲相關服務。</t>
  </si>
  <si>
    <t>2050/8/15</t>
  </si>
  <si>
    <t>2021/2/11</t>
  </si>
  <si>
    <t>2050/8/6</t>
  </si>
  <si>
    <t>2024/2/6</t>
  </si>
  <si>
    <t>2050/2/6</t>
  </si>
  <si>
    <t>2020/8/6</t>
  </si>
  <si>
    <t>2021/2/6</t>
  </si>
  <si>
    <t>2050/5/1</t>
  </si>
  <si>
    <t>2049/11/1</t>
  </si>
  <si>
    <t>2020/4/30</t>
  </si>
  <si>
    <t>2050/5/15</t>
  </si>
  <si>
    <t>探索傳播有限責任公司(Discovery Communications LLC)提供娛樂服務。該公司提供有線電視及衛星電視服務。探索傳播服務全球客戶。</t>
  </si>
  <si>
    <t>2049/11/15</t>
  </si>
  <si>
    <t>2020/5/18</t>
  </si>
  <si>
    <t>2051/7/15</t>
  </si>
  <si>
    <t>2021/6/30</t>
  </si>
  <si>
    <t>2022/1/15</t>
  </si>
  <si>
    <t>2051/6/15</t>
  </si>
  <si>
    <t>2050/12/15</t>
  </si>
  <si>
    <t>2021/6/14</t>
  </si>
  <si>
    <t>2021/12/15</t>
  </si>
  <si>
    <t>2043/3/15</t>
  </si>
  <si>
    <t>2042/9/15</t>
  </si>
  <si>
    <t>2013/10/9</t>
  </si>
  <si>
    <t>2013/9/15</t>
  </si>
  <si>
    <t>2014/3/15</t>
  </si>
  <si>
    <t>2043/1/15</t>
  </si>
  <si>
    <t>2013/1/8</t>
  </si>
  <si>
    <t>2013/7/15</t>
  </si>
  <si>
    <t>2046/4/15</t>
  </si>
  <si>
    <t>西方石油公司(Occidental Petroleum Corporation)探勘、開發、生產及行銷原油與天然氣。該公司亦製造及行銷多種基本化學原料、乙烯基及特用化學品。西方石油亦收集、處理、加工、運輸、儲存、交易及行銷原油、天然氣、天然氣凝結油、凝析油及二氧化碳(CO2)，及電力生產與行銷。</t>
  </si>
  <si>
    <t>2016/4/4</t>
  </si>
  <si>
    <t>2043/9/18</t>
  </si>
  <si>
    <t>2024/3/18</t>
  </si>
  <si>
    <t>ECOPET</t>
  </si>
  <si>
    <t>2013/9/18</t>
  </si>
  <si>
    <t>2014/3/18</t>
  </si>
  <si>
    <t>2030/1/24</t>
  </si>
  <si>
    <t>2024/1/24</t>
  </si>
  <si>
    <t>2029/10/24</t>
  </si>
  <si>
    <t>2020/1/24</t>
  </si>
  <si>
    <t>2031/7/6</t>
  </si>
  <si>
    <t>2024/1/6</t>
  </si>
  <si>
    <t>2031/4/7</t>
  </si>
  <si>
    <t>2021/7/6</t>
  </si>
  <si>
    <t>2022/1/6</t>
  </si>
  <si>
    <t>2027/7/15</t>
  </si>
  <si>
    <t>2017/6/20</t>
  </si>
  <si>
    <t>2031/6/17</t>
  </si>
  <si>
    <t>2031/3/17</t>
  </si>
  <si>
    <t>2021/6/25</t>
  </si>
  <si>
    <t>2021/12/17</t>
  </si>
  <si>
    <t>2045/1/27</t>
  </si>
  <si>
    <t>2014/8/1</t>
  </si>
  <si>
    <t>2015/1/27</t>
  </si>
  <si>
    <t>2031/6/26</t>
  </si>
  <si>
    <t>2021/1/26</t>
  </si>
  <si>
    <t>2021/6/26</t>
  </si>
  <si>
    <t>2031/4/30</t>
  </si>
  <si>
    <t>2031/1/30</t>
  </si>
  <si>
    <t>2021/4/6</t>
  </si>
  <si>
    <t>2021/10/30</t>
  </si>
  <si>
    <t>皇家加勒比國際遊輪有限公司</t>
  </si>
  <si>
    <t>2028/4/1</t>
  </si>
  <si>
    <t>2027/10/1</t>
  </si>
  <si>
    <t>2021/3/29</t>
  </si>
  <si>
    <t>2021/10/1</t>
  </si>
  <si>
    <t>2030/3/31</t>
  </si>
  <si>
    <t>2024/3/31</t>
  </si>
  <si>
    <t>2020/9/30</t>
  </si>
  <si>
    <t>2049/9/30</t>
  </si>
  <si>
    <t>2024/3/30</t>
  </si>
  <si>
    <t>2019/9/30</t>
  </si>
  <si>
    <t>2045/5/20</t>
  </si>
  <si>
    <t>2044/11/20</t>
  </si>
  <si>
    <t>2015/5/20</t>
  </si>
  <si>
    <t>2015/11/20</t>
  </si>
  <si>
    <t>2021/5/21</t>
  </si>
  <si>
    <t>2039/11/4</t>
  </si>
  <si>
    <t>2019/11/6</t>
  </si>
  <si>
    <t>2019/11/4</t>
  </si>
  <si>
    <t>2029/8/1</t>
  </si>
  <si>
    <t>2020/2/1</t>
  </si>
  <si>
    <t>2041/1/27</t>
  </si>
  <si>
    <t>2011/1/27</t>
  </si>
  <si>
    <t>2011/7/27</t>
  </si>
  <si>
    <t>2047/9/21</t>
  </si>
  <si>
    <t>2024/3/21</t>
  </si>
  <si>
    <t>2017/1/27</t>
  </si>
  <si>
    <t>2016/9/21</t>
  </si>
  <si>
    <t>2017/3/21</t>
  </si>
  <si>
    <t>2050/3/15</t>
  </si>
  <si>
    <t>2021/3/15</t>
  </si>
  <si>
    <t>2032/4/27</t>
  </si>
  <si>
    <t>2031/10/27</t>
  </si>
  <si>
    <t>2021/10/27</t>
  </si>
  <si>
    <t>2022/4/27</t>
  </si>
  <si>
    <t>2041/8/2</t>
  </si>
  <si>
    <t>2024/2/2</t>
  </si>
  <si>
    <t>2041/2/2</t>
  </si>
  <si>
    <t>2021/8/2</t>
  </si>
  <si>
    <t>2022/2/2</t>
  </si>
  <si>
    <t>日產汽車有限公司</t>
  </si>
  <si>
    <t>2030/9/17</t>
  </si>
  <si>
    <t>2030/6/17</t>
  </si>
  <si>
    <t>2020/9/17</t>
  </si>
  <si>
    <t>2021/3/17</t>
  </si>
  <si>
    <t>2028/5/3</t>
  </si>
  <si>
    <t>2028/3/3</t>
  </si>
  <si>
    <t>2021/5/3</t>
  </si>
  <si>
    <t>2021/11/3</t>
  </si>
  <si>
    <t>2031/3/15</t>
  </si>
  <si>
    <t>百勝餐飲集團公司(YUM! Brands, Inc.)擁有並加盟速食服務餐廳。該公司開發、經營、加盟和授權一個全球性的餐廳系統，該系統負責準備、包裝和銷售食品菜單。百勝餐飲集團服務全球客戶。</t>
  </si>
  <si>
    <t>2030/12/15</t>
  </si>
  <si>
    <t>2020/9/25</t>
  </si>
  <si>
    <t>2050/6/1</t>
  </si>
  <si>
    <t>PYPL</t>
  </si>
  <si>
    <t>2049/12/1</t>
  </si>
  <si>
    <t>2020/5/7</t>
  </si>
  <si>
    <t>2031/10/15</t>
  </si>
  <si>
    <t>2021/9/24</t>
  </si>
  <si>
    <t>2022/4/15</t>
  </si>
  <si>
    <t>2047/8/22</t>
  </si>
  <si>
    <t>2024/2/22</t>
  </si>
  <si>
    <t>2047/2/22</t>
  </si>
  <si>
    <t>2018/6/6</t>
  </si>
  <si>
    <t>2018/2/22</t>
  </si>
  <si>
    <t>2018/8/22</t>
  </si>
  <si>
    <t>2050/2/21</t>
  </si>
  <si>
    <t>AMGN</t>
  </si>
  <si>
    <t>2049/8/21</t>
  </si>
  <si>
    <t>2020/2/21</t>
  </si>
  <si>
    <t>2020/8/21</t>
  </si>
  <si>
    <t>2040/4/6</t>
  </si>
  <si>
    <t>2024/4/6</t>
  </si>
  <si>
    <t>EQNR</t>
  </si>
  <si>
    <t>2039/10/6</t>
  </si>
  <si>
    <t>2020/4/6</t>
  </si>
  <si>
    <t>2020/10/6</t>
  </si>
  <si>
    <t>2032/4/1</t>
  </si>
  <si>
    <t>寶馬美國資本有限責任公司(BMW US Capital, LLC)製造汽車。</t>
  </si>
  <si>
    <t>2032/1/1</t>
  </si>
  <si>
    <t>2022/4/1</t>
  </si>
  <si>
    <t>2022/10/1</t>
  </si>
  <si>
    <t>2035/5/20</t>
  </si>
  <si>
    <t>2034/11/20</t>
  </si>
  <si>
    <t>2040/4/1</t>
  </si>
  <si>
    <t>2039/10/1</t>
  </si>
  <si>
    <t>2040/5/13</t>
  </si>
  <si>
    <t>2024/5/13</t>
  </si>
  <si>
    <t>2039/11/13</t>
  </si>
  <si>
    <t>2020/11/13</t>
  </si>
  <si>
    <t>2028/1/25</t>
  </si>
  <si>
    <t>2024/1/25</t>
  </si>
  <si>
    <t>2018/1/25</t>
  </si>
  <si>
    <t>2018/7/25</t>
  </si>
  <si>
    <t>2043/2/11</t>
  </si>
  <si>
    <t>2024/2/11</t>
  </si>
  <si>
    <t>波克夏海瑟威公司(Berkshire Hathaway Inc.)為一家控股公司，旗下多家子公司經營不同產業。該公司的主要經營項目為保險業務，在全國各地從事基礎保險服務，並在全球各地從事再保險服務。柏克夏的其他經營項目包括：鐵路公司、特殊化學品公司，以及多元化事業的國際聯盟。</t>
  </si>
  <si>
    <t>2013/2/11</t>
  </si>
  <si>
    <t>2013/8/11</t>
  </si>
  <si>
    <t>2039/2/15</t>
  </si>
  <si>
    <t>2009/2/17</t>
  </si>
  <si>
    <t>2009/8/15</t>
  </si>
  <si>
    <t>2026/5/1</t>
  </si>
  <si>
    <t>花旗集團(Citigroup Inc.)為多元化的金融服務控股公司，其提供多樣化的消費金融及企業金融服務。該公司的服務內容包括：投資銀行、證券零售經紀、企業金融，及現金管理等產品服務。花旗集團提供服務予全球客戶。</t>
  </si>
  <si>
    <t>2016/5/2</t>
  </si>
  <si>
    <t>2016/11/1</t>
  </si>
  <si>
    <t>2013/7/19</t>
  </si>
  <si>
    <t>2013/3/15</t>
  </si>
  <si>
    <t>2027/1/15</t>
  </si>
  <si>
    <t>2020/7/13</t>
  </si>
  <si>
    <t>2021/1/15</t>
  </si>
  <si>
    <t>2027/2/12</t>
  </si>
  <si>
    <t>2024/2/12</t>
  </si>
  <si>
    <t>2020/2/12</t>
  </si>
  <si>
    <t>2020/8/12</t>
  </si>
  <si>
    <t>2027/6/15</t>
  </si>
  <si>
    <t>2022/6/15</t>
  </si>
  <si>
    <t>2022/12/15</t>
  </si>
  <si>
    <t>2029/8/8</t>
  </si>
  <si>
    <t>2029/6/8</t>
  </si>
  <si>
    <t>2022/8/8</t>
  </si>
  <si>
    <t>2023/2/8</t>
  </si>
  <si>
    <t>2032/8/8</t>
  </si>
  <si>
    <t>2032/5/8</t>
  </si>
  <si>
    <t>Meta平台公司</t>
  </si>
  <si>
    <t>2032/8/15</t>
  </si>
  <si>
    <t>META</t>
  </si>
  <si>
    <t>Meta平台公司(Meta Platforms, Inc.)為一家社群科技公司。該公司開發的應用程式與技術可幫助人們建立聯繫、尋找社群，以及發展業務。Meta平台亦從事廣告、擴增，以及虛擬實境業務。</t>
  </si>
  <si>
    <t>2032/5/15</t>
  </si>
  <si>
    <t>2022/12/28</t>
  </si>
  <si>
    <t>2022/8/9</t>
  </si>
  <si>
    <t>2023/2/15</t>
  </si>
  <si>
    <t>2052/8/15</t>
  </si>
  <si>
    <t>2052/2/15</t>
  </si>
  <si>
    <t>CL</t>
  </si>
  <si>
    <t>2027/3/14</t>
  </si>
  <si>
    <t>2023/3/14</t>
  </si>
  <si>
    <t>2022/3/14</t>
  </si>
  <si>
    <t>2027/6/30</t>
  </si>
  <si>
    <t>2022/6/30</t>
  </si>
  <si>
    <t>2022/12/31</t>
  </si>
  <si>
    <t>2042/8/15</t>
  </si>
  <si>
    <t>2022/8/31</t>
  </si>
  <si>
    <t>2022/8/15</t>
  </si>
  <si>
    <t>2024/9/30</t>
  </si>
  <si>
    <t>2022/9/30</t>
  </si>
  <si>
    <t>2023/3/31</t>
  </si>
  <si>
    <t>2025/9/15</t>
  </si>
  <si>
    <t>2022/9/15</t>
  </si>
  <si>
    <t>2023/3/15</t>
  </si>
  <si>
    <t>2027/9/13</t>
  </si>
  <si>
    <t>ORIX</t>
  </si>
  <si>
    <t>2022/9/13</t>
  </si>
  <si>
    <t>2023/3/13</t>
  </si>
  <si>
    <t>2028/9/13</t>
  </si>
  <si>
    <t>2027/10/21</t>
  </si>
  <si>
    <t>2024/4/21</t>
  </si>
  <si>
    <t>2026/10/21</t>
  </si>
  <si>
    <t>2016/10/21</t>
  </si>
  <si>
    <t>2017/4/21</t>
  </si>
  <si>
    <t>漢威聯合國際公司(Honeywell International Inc.)為全球技術及製造公司。該公司提供航太產品與服務、商業建築控制、感應及安全技術、安全和生產率解決方案 、特殊化學品、先進材料、精煉與石化產品處理技術，以及節能產品和解決方案。</t>
  </si>
  <si>
    <t>2032/11/15</t>
  </si>
  <si>
    <t>2022/11/2</t>
  </si>
  <si>
    <t>2042/12/3</t>
  </si>
  <si>
    <t>2013/2/26</t>
  </si>
  <si>
    <t>2012/12/3</t>
  </si>
  <si>
    <t>2013/6/3</t>
  </si>
  <si>
    <t>2014/5/15</t>
  </si>
  <si>
    <t>福斯集團(美國)金融有限責任公司(Volkswagen Group of America Finance, LLC)為特殊目的機構。該公司成立目的為發行債券，以用於償還現有信用額度、再融資債務，以及收購用途。</t>
  </si>
  <si>
    <t>2029/4/8</t>
  </si>
  <si>
    <t>2022/6/8</t>
  </si>
  <si>
    <t>2022/12/8</t>
  </si>
  <si>
    <t>2027/11/29</t>
  </si>
  <si>
    <t>2023/5/29</t>
  </si>
  <si>
    <t>2022/11/28</t>
  </si>
  <si>
    <t>2052/1/15</t>
  </si>
  <si>
    <t>TGT</t>
  </si>
  <si>
    <t>2022/1/24</t>
  </si>
  <si>
    <t>2022/7/15</t>
  </si>
  <si>
    <t>2050/6/22</t>
  </si>
  <si>
    <t>2049/12/22</t>
  </si>
  <si>
    <t>2021/10/28</t>
  </si>
  <si>
    <t>2021/6/22</t>
  </si>
  <si>
    <t>2021/12/22</t>
  </si>
  <si>
    <t>2045/3/1</t>
  </si>
  <si>
    <t>2015/3/5</t>
  </si>
  <si>
    <t>2015/9/1</t>
  </si>
  <si>
    <t>2033/7/18</t>
  </si>
  <si>
    <t>2023/1/18</t>
  </si>
  <si>
    <t>聯合健康集團公司</t>
  </si>
  <si>
    <t>2036/3/15</t>
  </si>
  <si>
    <t>聯合健康集團公司(UnitedHealth Group Incorporated)擁有並管理團體組織健康保險系統。該公司提供雇主規劃及管理員工福利計劃的產品與資源。聯合健康集團服務全球客戶。</t>
  </si>
  <si>
    <t>2006/3/2</t>
  </si>
  <si>
    <t>2006/9/15</t>
  </si>
  <si>
    <t>2042/3/15</t>
  </si>
  <si>
    <t>2012/3/8</t>
  </si>
  <si>
    <t>2012/9/15</t>
  </si>
  <si>
    <t>2045/11/1</t>
  </si>
  <si>
    <t>2045/5/1</t>
  </si>
  <si>
    <t>2015/10/29</t>
  </si>
  <si>
    <t>2016/5/1</t>
  </si>
  <si>
    <t>2036/2/15</t>
  </si>
  <si>
    <t>2006/2/15</t>
  </si>
  <si>
    <t>2006/8/15</t>
  </si>
  <si>
    <t>2046/11/21</t>
  </si>
  <si>
    <t>2024/5/21</t>
  </si>
  <si>
    <t>MA</t>
  </si>
  <si>
    <t>2046/5/21</t>
  </si>
  <si>
    <t>2017/5/21</t>
  </si>
  <si>
    <t>2033/1/26</t>
  </si>
  <si>
    <t>2023/1/26</t>
  </si>
  <si>
    <t>2036/9/15</t>
  </si>
  <si>
    <t>2019/9/18</t>
  </si>
  <si>
    <t>2019/9/15</t>
  </si>
  <si>
    <t>2020/3/15</t>
  </si>
  <si>
    <t>2029/1/25</t>
  </si>
  <si>
    <t>2018/10/25</t>
  </si>
  <si>
    <t>2019/7/25</t>
  </si>
  <si>
    <t>2032/3/31</t>
  </si>
  <si>
    <t>2014/6/13</t>
  </si>
  <si>
    <t>2014/3/31</t>
  </si>
  <si>
    <t>2014/9/30</t>
  </si>
  <si>
    <t>2035/12/14</t>
  </si>
  <si>
    <t>2035/6/14</t>
  </si>
  <si>
    <t>2026/5/8</t>
  </si>
  <si>
    <t>2023/11/8</t>
  </si>
  <si>
    <t>2024/5/8</t>
  </si>
  <si>
    <t>2023/5/10</t>
  </si>
  <si>
    <t>2028/5/10</t>
  </si>
  <si>
    <t>2023/11/10</t>
  </si>
  <si>
    <t>2024/5/10</t>
  </si>
  <si>
    <t>2028/4/10</t>
  </si>
  <si>
    <t>2030/5/10</t>
  </si>
  <si>
    <t>2030/3/10</t>
  </si>
  <si>
    <t>2033/5/10</t>
  </si>
  <si>
    <t>2033/2/10</t>
  </si>
  <si>
    <t>2053/5/10</t>
  </si>
  <si>
    <t>2052/11/10</t>
  </si>
  <si>
    <t>2027/7/6</t>
  </si>
  <si>
    <t>2022/7/6</t>
  </si>
  <si>
    <t>2023/1/6</t>
  </si>
  <si>
    <t>2033/5/15</t>
  </si>
  <si>
    <t>EL</t>
  </si>
  <si>
    <t>雅詩蘭黛公司(The Estee Lauder Companies Inc.)製造及行銷保養品、彩妝、香水及護髮等各類產品。該公司的產品行銷世界各地。</t>
  </si>
  <si>
    <t>2023/5/12</t>
  </si>
  <si>
    <t>2048/8/15</t>
  </si>
  <si>
    <t>2048/2/15</t>
  </si>
  <si>
    <t>2019/2/15</t>
  </si>
  <si>
    <t>2037/3/15</t>
  </si>
  <si>
    <t>2007/3/29</t>
  </si>
  <si>
    <t>2007/9/15</t>
  </si>
  <si>
    <t>2039/4/1</t>
  </si>
  <si>
    <t>2009/3/3</t>
  </si>
  <si>
    <t>2009/10/1</t>
  </si>
  <si>
    <t>2042/1/30</t>
  </si>
  <si>
    <t>2012/1/26</t>
  </si>
  <si>
    <t>2012/7/30</t>
  </si>
  <si>
    <t>2048/7/23</t>
  </si>
  <si>
    <t>2024/1/23</t>
  </si>
  <si>
    <t>2048/6/23</t>
  </si>
  <si>
    <t>2018/7/23</t>
  </si>
  <si>
    <t>2019/1/23</t>
  </si>
  <si>
    <t>2027/11/21</t>
  </si>
  <si>
    <t>2016/1/28</t>
  </si>
  <si>
    <t>2015/11/21</t>
  </si>
  <si>
    <t>2016/5/21</t>
  </si>
  <si>
    <t>2029/11/21</t>
  </si>
  <si>
    <t>2017/11/21</t>
  </si>
  <si>
    <t>2018/5/21</t>
  </si>
  <si>
    <t>2030/5/21</t>
  </si>
  <si>
    <t>2018/6/13</t>
  </si>
  <si>
    <t>2018/11/21</t>
  </si>
  <si>
    <t>2040/6/1</t>
  </si>
  <si>
    <t>2010/6/3</t>
  </si>
  <si>
    <t>2010/12/1</t>
  </si>
  <si>
    <t>2041/3/1</t>
  </si>
  <si>
    <t>馬拉松石油公司(Marathon Petroleum Corporation)為一家下游能源公司。該公司精煉、供應、行銷及運輸石油產品。馬拉松石油服務美國的客戶。</t>
  </si>
  <si>
    <t>2040/9/1</t>
  </si>
  <si>
    <t>2011/11/14</t>
  </si>
  <si>
    <t>2011/9/1</t>
  </si>
  <si>
    <t>2012/3/1</t>
  </si>
  <si>
    <t>2053/5/23</t>
  </si>
  <si>
    <t>2024/5/23</t>
  </si>
  <si>
    <t>2052/11/23</t>
  </si>
  <si>
    <t>2023/5/23</t>
  </si>
  <si>
    <t>2053/5/4</t>
  </si>
  <si>
    <t>2052/11/4</t>
  </si>
  <si>
    <t>2023/4/28</t>
  </si>
  <si>
    <t>2040/10/15</t>
  </si>
  <si>
    <t>2010/10/21</t>
  </si>
  <si>
    <t>2011/4/15</t>
  </si>
  <si>
    <t>2044/2/1</t>
  </si>
  <si>
    <t>2014/1/28</t>
  </si>
  <si>
    <t>2039/7/15</t>
  </si>
  <si>
    <t>2009/7/23</t>
  </si>
  <si>
    <t>2010/1/15</t>
  </si>
  <si>
    <t>2038/7/15</t>
  </si>
  <si>
    <t>2008/6/23</t>
  </si>
  <si>
    <t>2009/1/15</t>
  </si>
  <si>
    <t>殼牌國際金融私人有限公司(Shell International Finance B.V.)為一家特殊目的機構。該公司成立目的為發行債券，以用於償還現有信用額度、再融資債務，以及收購用途。</t>
  </si>
  <si>
    <t>Sr Preferred</t>
  </si>
  <si>
    <t>2024/5/29</t>
  </si>
  <si>
    <t>2024/5/31</t>
  </si>
  <si>
    <t>2024/6/1</t>
  </si>
  <si>
    <t>B2 / B+ / BB-</t>
  </si>
  <si>
    <t>微軟公司美元配息債券 2.5% 2050/9/15</t>
  </si>
  <si>
    <t>USU59340AM85</t>
  </si>
  <si>
    <t>日產汽車有限公司(Nissan Motor Co., Ltd.)製造並配銷汽車及相關零件。該公司生產豪華汽車、跑車、商用汽車，以及其它產品。日產汽車於全球各地銷售其產品。</t>
  </si>
  <si>
    <t>A1 / A / -</t>
  </si>
  <si>
    <t>2024/6/4</t>
  </si>
  <si>
    <t>默克公司(Merck &amp; Co., Inc)是一家全球醫療保健公司，透過其處方藥、疫苗、生物療法、動物保健、及消費者保健產品，提供健康解決方案，將產品直接及透過其合資企業銷售。該公司業務涵蓋製藥、動物保健，以及消費者醫療保健。</t>
  </si>
  <si>
    <t>2024/6/3</t>
  </si>
  <si>
    <t>計算類型</t>
    <phoneticPr fontId="53" type="noConversion"/>
  </si>
  <si>
    <t>CALC_TYP_DES</t>
    <phoneticPr fontId="53" type="noConversion"/>
  </si>
  <si>
    <t>STREET CONVENTION</t>
  </si>
  <si>
    <t>PAY ADJ MOD FOLLOW</t>
  </si>
  <si>
    <t>MULTI-STEP CPN BND</t>
  </si>
  <si>
    <t>AUSTRALIA:EX-DIV</t>
  </si>
  <si>
    <t>FIX-TO-FLOAT BONDS</t>
  </si>
  <si>
    <t>CANADA:COMPND METH</t>
  </si>
  <si>
    <t>NEW ZEALAND:EX-DIV</t>
  </si>
  <si>
    <t>STREET CONV FIXED</t>
  </si>
  <si>
    <t>FIX-TO-VARIABLE BD</t>
  </si>
  <si>
    <t>S AFRICA EX-DIV BD</t>
  </si>
  <si>
    <t>巴西淡水河谷有限責任公司(Vale S.A.)生產並銷售鐵礦石、礦球、錳、合金、黃金、鎳、銅、 高嶺土、鋁土礦、氧化鋁、鋁，以及鉀肥。該公司位於巴西，擁有並經營鐵路和海運碼頭。</t>
  </si>
  <si>
    <t>萬事達卡公司(Mastercard Incorporated)提供金融交易處理服務。該公司提供信用卡和轉帳卡、電子現金、自動提款機，和旅行支票等付款處理服務。萬事達卡服務全球的客戶。</t>
  </si>
  <si>
    <t>波克夏海瑟威金融公司(Berkshire Hathaway Finance Corporation)提供保險服務。該公司提供汽車保險。波克夏海瑟威金融服務全球客戶。</t>
  </si>
  <si>
    <t>XH680</t>
  </si>
  <si>
    <t>必和必拓金融(美國)有限公司美元配息債券 5.5% 2053/9/8</t>
  </si>
  <si>
    <t>A1 / A- / Au</t>
  </si>
  <si>
    <t>US055451BF42</t>
  </si>
  <si>
    <t>必和必拓金融(美國)有限公司</t>
  </si>
  <si>
    <t>2053/9/8</t>
  </si>
  <si>
    <t>BHP</t>
  </si>
  <si>
    <t>必和必拓金融(美國)有限公司(BHP Billiton Finance (USA) Limited)為一家特殊目的機構。該公司成立目的為發行債券，以用於償還現有信用額度、再融資債務，以及收購用途。</t>
  </si>
  <si>
    <t>2053/3/8</t>
  </si>
  <si>
    <t>XH690</t>
  </si>
  <si>
    <t>豐田汽車公司美元配息債券 5.123% 2033/7/13</t>
  </si>
  <si>
    <t>A1 / A+ / -</t>
  </si>
  <si>
    <t>US892331AR09</t>
  </si>
  <si>
    <t>豐田汽車公司</t>
  </si>
  <si>
    <t>2033/7/13</t>
  </si>
  <si>
    <t>TOYOTA</t>
  </si>
  <si>
    <t>豐田汽車公司(Toyota Motor Corporation)於全球各地製造、銷售、租賃、及修理客車、卡車、公車及其相關零件。該公司亦透過旗下子公司經營融資業務。豐田汽車建造住宅、生產遊艇，並開發智慧型運輸系統，包括雷達巡航定速與電子收費系統。</t>
  </si>
  <si>
    <t>2033/4/13</t>
  </si>
  <si>
    <t>2024/6/5</t>
  </si>
  <si>
    <t>***刪除list操作如下：</t>
    <phoneticPr fontId="53" type="noConversion"/>
  </si>
  <si>
    <t>將檢視/「標題」勾選起來</t>
    <phoneticPr fontId="53" type="noConversion"/>
  </si>
  <si>
    <t>手動刪除最後幾列</t>
    <phoneticPr fontId="53" type="noConversion"/>
  </si>
  <si>
    <t>再將檢視/「標題」勾選取消，並記得「保護工作表」喔</t>
    <phoneticPr fontId="53" type="noConversion"/>
  </si>
  <si>
    <t>檢查上方客戶資格是否為僅有3個橘色矩形</t>
    <phoneticPr fontId="53" type="noConversion"/>
  </si>
  <si>
    <t>義大利電信資本有限責任公司(Telecom Italia Capital S.A.)提供金融服務。該公司為電信產業發行債券以及其他證券。義大利電信資本服務盧森堡的客戶。</t>
  </si>
  <si>
    <t>庫存面額</t>
    <phoneticPr fontId="53" type="noConversion"/>
  </si>
  <si>
    <t>到期日期</t>
    <phoneticPr fontId="55" type="noConversion"/>
  </si>
  <si>
    <t>庫存YTM</t>
    <phoneticPr fontId="55" type="noConversion"/>
  </si>
  <si>
    <t>庫存面額</t>
    <phoneticPr fontId="55" type="noConversion"/>
  </si>
  <si>
    <t>含息贖回價</t>
    <phoneticPr fontId="55" type="noConversion"/>
  </si>
  <si>
    <t>產業</t>
    <phoneticPr fontId="55" type="noConversion"/>
  </si>
  <si>
    <t>轉入債券標的</t>
    <phoneticPr fontId="55" type="noConversion"/>
  </si>
  <si>
    <t>申購YTM</t>
    <phoneticPr fontId="55" type="noConversion"/>
  </si>
  <si>
    <t>申購面額</t>
    <phoneticPr fontId="55" type="noConversion"/>
  </si>
  <si>
    <t>含息申購價</t>
    <phoneticPr fontId="55" type="noConversion"/>
  </si>
  <si>
    <t>債券幣別</t>
    <phoneticPr fontId="53" type="noConversion"/>
  </si>
  <si>
    <t>最小申購面額</t>
    <phoneticPr fontId="53" type="noConversion"/>
  </si>
  <si>
    <t>最低增額</t>
    <phoneticPr fontId="53" type="noConversion"/>
  </si>
  <si>
    <t>最小下單金額</t>
    <phoneticPr fontId="53" type="noConversion"/>
  </si>
  <si>
    <t>最低加碼金額</t>
    <phoneticPr fontId="53" type="noConversion"/>
  </si>
  <si>
    <t>部位現值</t>
    <phoneticPr fontId="53" type="noConversion"/>
  </si>
  <si>
    <t>庫存轉換債券差異圖(單檔標的比較)</t>
    <phoneticPr fontId="53" type="noConversion"/>
  </si>
  <si>
    <t>年領利息</t>
    <phoneticPr fontId="55" type="noConversion"/>
  </si>
  <si>
    <t>面額</t>
    <phoneticPr fontId="55" type="noConversion"/>
  </si>
  <si>
    <t>殖利率</t>
    <phoneticPr fontId="55" type="noConversion"/>
  </si>
  <si>
    <r>
      <t xml:space="preserve">增值潛力
</t>
    </r>
    <r>
      <rPr>
        <b/>
        <sz val="8"/>
        <color theme="0" tint="-0.34998626667073579"/>
        <rFont val="微軟正黑體"/>
        <family val="1"/>
        <charset val="136"/>
        <scheme val="minor"/>
      </rPr>
      <t>(殖利率下降1%)</t>
    </r>
    <phoneticPr fontId="55" type="noConversion"/>
  </si>
  <si>
    <t>庫存標的</t>
    <phoneticPr fontId="53" type="noConversion"/>
  </si>
  <si>
    <t>Mod Duration</t>
  </si>
  <si>
    <t>Mod Duration</t>
    <phoneticPr fontId="53" type="noConversion"/>
  </si>
  <si>
    <t>產業分散</t>
    <phoneticPr fontId="53" type="noConversion"/>
  </si>
  <si>
    <t>產業分散(轉換前)</t>
    <phoneticPr fontId="53" type="noConversion"/>
  </si>
  <si>
    <t>產業數</t>
    <phoneticPr fontId="53" type="noConversion"/>
  </si>
  <si>
    <t>公司數</t>
    <phoneticPr fontId="53" type="noConversion"/>
  </si>
  <si>
    <t>庫存轉換債券差異圖(單檔標的比較)</t>
    <phoneticPr fontId="55" type="noConversion"/>
  </si>
  <si>
    <t>年領利息</t>
    <phoneticPr fontId="53" type="noConversion"/>
  </si>
  <si>
    <t>面額</t>
    <phoneticPr fontId="53" type="noConversion"/>
  </si>
  <si>
    <t>殖利率</t>
    <phoneticPr fontId="53" type="noConversion"/>
  </si>
  <si>
    <t>剩餘年期</t>
    <phoneticPr fontId="53" type="noConversion"/>
  </si>
  <si>
    <t>產業分散</t>
    <phoneticPr fontId="53" type="noConversion"/>
  </si>
  <si>
    <t>剩餘現金</t>
    <phoneticPr fontId="53" type="noConversion"/>
  </si>
  <si>
    <t>代碼</t>
    <phoneticPr fontId="55" type="noConversion"/>
  </si>
  <si>
    <t>票息</t>
    <phoneticPr fontId="55" type="noConversion"/>
  </si>
  <si>
    <t>到期面額</t>
    <phoneticPr fontId="55" type="noConversion"/>
  </si>
  <si>
    <t>最低下單金額</t>
    <phoneticPr fontId="53" type="noConversion"/>
  </si>
  <si>
    <t>可申購面額</t>
    <phoneticPr fontId="53" type="noConversion"/>
  </si>
  <si>
    <t>代碼</t>
    <phoneticPr fontId="53" type="noConversion"/>
  </si>
  <si>
    <t>資格名稱</t>
    <phoneticPr fontId="53" type="noConversion"/>
  </si>
  <si>
    <t>頁面名稱</t>
    <phoneticPr fontId="53" type="noConversion"/>
  </si>
  <si>
    <t>頁面</t>
    <phoneticPr fontId="53" type="noConversion"/>
  </si>
  <si>
    <t>最大到期年</t>
    <phoneticPr fontId="53" type="noConversion"/>
  </si>
  <si>
    <t>今年</t>
    <phoneticPr fontId="53" type="noConversion"/>
  </si>
  <si>
    <t>總列數</t>
    <phoneticPr fontId="53" type="noConversion"/>
  </si>
  <si>
    <t>最大到期年-表格起始年</t>
    <phoneticPr fontId="53" type="noConversion"/>
  </si>
  <si>
    <t>差距</t>
    <phoneticPr fontId="53" type="noConversion"/>
  </si>
  <si>
    <t>目前幣別(1=台幣；2=原幣)</t>
    <phoneticPr fontId="53" type="noConversion"/>
  </si>
  <si>
    <t>累計本利和</t>
    <phoneticPr fontId="53" type="noConversion"/>
  </si>
  <si>
    <t>商品名稱</t>
    <phoneticPr fontId="26" type="noConversion"/>
  </si>
  <si>
    <t>到期年度</t>
    <phoneticPr fontId="53" type="noConversion"/>
  </si>
  <si>
    <t>第一個配息日年度</t>
    <phoneticPr fontId="53" type="noConversion"/>
  </si>
  <si>
    <t>結束年度</t>
    <phoneticPr fontId="29" type="noConversion"/>
  </si>
  <si>
    <t>投入面額(原幣)</t>
    <phoneticPr fontId="53" type="noConversion"/>
  </si>
  <si>
    <t>換算匯率(期末自訂)</t>
    <phoneticPr fontId="53" type="noConversion"/>
  </si>
  <si>
    <t>顯示的單次配息</t>
    <phoneticPr fontId="53" type="noConversion"/>
  </si>
  <si>
    <t>第1年</t>
    <phoneticPr fontId="53" type="noConversion"/>
  </si>
  <si>
    <t>第2年</t>
    <phoneticPr fontId="53" type="noConversion"/>
  </si>
  <si>
    <t>第3年</t>
  </si>
  <si>
    <t>第4年</t>
  </si>
  <si>
    <t>第5年</t>
  </si>
  <si>
    <t>第6年</t>
  </si>
  <si>
    <t>第7年</t>
  </si>
  <si>
    <t>第8年</t>
  </si>
  <si>
    <t>第9年</t>
  </si>
  <si>
    <t>第10年</t>
  </si>
  <si>
    <t>第11年</t>
  </si>
  <si>
    <t>第12年</t>
  </si>
  <si>
    <t>第13年</t>
  </si>
  <si>
    <t>第14年</t>
  </si>
  <si>
    <t>第15年</t>
  </si>
  <si>
    <t>第16年</t>
  </si>
  <si>
    <t>第17年</t>
  </si>
  <si>
    <t>第18年</t>
  </si>
  <si>
    <t>第19年</t>
  </si>
  <si>
    <t>第20年</t>
  </si>
  <si>
    <t>第21年</t>
  </si>
  <si>
    <t>第22年</t>
  </si>
  <si>
    <t>第23年</t>
  </si>
  <si>
    <t>第24年</t>
  </si>
  <si>
    <t>第25年</t>
  </si>
  <si>
    <t>第26年</t>
  </si>
  <si>
    <t>第27年</t>
  </si>
  <si>
    <t>第28年</t>
  </si>
  <si>
    <t>第29年</t>
  </si>
  <si>
    <t>第30年</t>
  </si>
  <si>
    <t>第31年</t>
  </si>
  <si>
    <t>第32年</t>
  </si>
  <si>
    <t>第33年</t>
  </si>
  <si>
    <t>第34年</t>
  </si>
  <si>
    <t>第35年</t>
  </si>
  <si>
    <t>第36年</t>
  </si>
  <si>
    <t>第37年</t>
  </si>
  <si>
    <t>第38年</t>
  </si>
  <si>
    <t>第39年</t>
  </si>
  <si>
    <t>第40年</t>
  </si>
  <si>
    <t>第41年</t>
  </si>
  <si>
    <t>第42年</t>
  </si>
  <si>
    <t>第43年</t>
  </si>
  <si>
    <t>第44年</t>
  </si>
  <si>
    <t>第45年</t>
  </si>
  <si>
    <t>第46年</t>
  </si>
  <si>
    <t>第47年</t>
  </si>
  <si>
    <t>第48年</t>
  </si>
  <si>
    <t>第49年</t>
  </si>
  <si>
    <t>第50年</t>
  </si>
  <si>
    <t>第51年</t>
  </si>
  <si>
    <t>第52年</t>
  </si>
  <si>
    <t>第53年</t>
  </si>
  <si>
    <t>第54年</t>
  </si>
  <si>
    <t>第55年</t>
  </si>
  <si>
    <t>第56年</t>
  </si>
  <si>
    <t>第57年</t>
  </si>
  <si>
    <t>第58年</t>
  </si>
  <si>
    <t>第59年</t>
  </si>
  <si>
    <t>第60年</t>
  </si>
  <si>
    <t>第61年</t>
  </si>
  <si>
    <t>第62年</t>
  </si>
  <si>
    <t>第63年</t>
  </si>
  <si>
    <t>第64年</t>
  </si>
  <si>
    <t>第65年</t>
  </si>
  <si>
    <t>第66年</t>
  </si>
  <si>
    <t>第67年</t>
  </si>
  <si>
    <t>第68年</t>
  </si>
  <si>
    <t>第69年</t>
  </si>
  <si>
    <t>第70年</t>
  </si>
  <si>
    <t>第71年</t>
  </si>
  <si>
    <t>第72年</t>
  </si>
  <si>
    <t>第73年</t>
  </si>
  <si>
    <t>第74年</t>
  </si>
  <si>
    <t>第75年</t>
  </si>
  <si>
    <t>第76年</t>
  </si>
  <si>
    <t>第77年</t>
  </si>
  <si>
    <t>第78年</t>
  </si>
  <si>
    <t>第79年</t>
  </si>
  <si>
    <t>第80年</t>
  </si>
  <si>
    <t>第81年</t>
  </si>
  <si>
    <t>第82年</t>
  </si>
  <si>
    <t>第83年</t>
  </si>
  <si>
    <t>第84年</t>
  </si>
  <si>
    <t>第85年</t>
  </si>
  <si>
    <t>第86年</t>
  </si>
  <si>
    <t>第87年</t>
  </si>
  <si>
    <t>第88年</t>
  </si>
  <si>
    <t>第89年</t>
  </si>
  <si>
    <t>第90年</t>
  </si>
  <si>
    <t>第91年</t>
  </si>
  <si>
    <t>第92年</t>
  </si>
  <si>
    <t>第93年</t>
  </si>
  <si>
    <t>第94年</t>
  </si>
  <si>
    <t>第95年</t>
  </si>
  <si>
    <t>第96年</t>
  </si>
  <si>
    <t>第97年</t>
  </si>
  <si>
    <t>第98年</t>
  </si>
  <si>
    <t>第99年</t>
  </si>
  <si>
    <t>第100年</t>
  </si>
  <si>
    <t>第101年</t>
  </si>
  <si>
    <t>第102年</t>
  </si>
  <si>
    <t>第103年</t>
  </si>
  <si>
    <t>第104年</t>
  </si>
  <si>
    <t>第105年</t>
  </si>
  <si>
    <t>第106年</t>
  </si>
  <si>
    <t>第107年</t>
  </si>
  <si>
    <t>第108年</t>
  </si>
  <si>
    <t>第109年</t>
  </si>
  <si>
    <t>第110年</t>
  </si>
  <si>
    <t>第111年</t>
  </si>
  <si>
    <t>第112年</t>
  </si>
  <si>
    <t>第113年</t>
  </si>
  <si>
    <t>第114年</t>
  </si>
  <si>
    <t>第115年</t>
  </si>
  <si>
    <t>第116年</t>
  </si>
  <si>
    <t>第117年</t>
  </si>
  <si>
    <t>第118年</t>
  </si>
  <si>
    <t>第119年</t>
  </si>
  <si>
    <t>第120年</t>
  </si>
  <si>
    <t>第121年</t>
  </si>
  <si>
    <t>第122年</t>
  </si>
  <si>
    <t>第123年</t>
  </si>
  <si>
    <t>第124年</t>
  </si>
  <si>
    <t>第125年</t>
  </si>
  <si>
    <t>第126年</t>
  </si>
  <si>
    <t>第127年</t>
  </si>
  <si>
    <t>第128年</t>
  </si>
  <si>
    <t>實際產出</t>
    <phoneticPr fontId="53" type="noConversion"/>
  </si>
  <si>
    <t>顯示年度</t>
    <phoneticPr fontId="53" type="noConversion"/>
  </si>
  <si>
    <t>計算年度</t>
    <phoneticPr fontId="53" type="noConversion"/>
  </si>
  <si>
    <t>利息</t>
    <phoneticPr fontId="53" type="noConversion"/>
  </si>
  <si>
    <t>到期面額</t>
    <phoneticPr fontId="53" type="noConversion"/>
  </si>
  <si>
    <t>年度</t>
    <phoneticPr fontId="53" type="noConversion"/>
  </si>
  <si>
    <t>到期日</t>
    <phoneticPr fontId="53" type="noConversion"/>
  </si>
  <si>
    <t>下個配息日</t>
    <phoneticPr fontId="26" type="noConversion"/>
  </si>
  <si>
    <t>換券標的</t>
    <phoneticPr fontId="53" type="noConversion"/>
  </si>
  <si>
    <t>投入面額</t>
    <phoneticPr fontId="53" type="noConversion"/>
  </si>
  <si>
    <t>賣價(含息)</t>
    <phoneticPr fontId="28" type="noConversion"/>
  </si>
  <si>
    <t>累計本利和</t>
    <phoneticPr fontId="55" type="noConversion"/>
  </si>
  <si>
    <t xml:space="preserve">探券後 </t>
    <phoneticPr fontId="53" type="noConversion"/>
  </si>
  <si>
    <t>換券後</t>
    <phoneticPr fontId="53" type="noConversion"/>
  </si>
  <si>
    <t>2024/6/8</t>
  </si>
  <si>
    <t>轉換面額</t>
    <phoneticPr fontId="55" type="noConversion"/>
  </si>
  <si>
    <t>轉換YTM</t>
    <phoneticPr fontId="55" type="noConversion"/>
  </si>
  <si>
    <t>轉換含息價</t>
    <phoneticPr fontId="55" type="noConversion"/>
  </si>
  <si>
    <t>最大值</t>
    <phoneticPr fontId="53" type="noConversion"/>
  </si>
  <si>
    <t>年度利息</t>
    <phoneticPr fontId="55" type="noConversion"/>
  </si>
  <si>
    <t>clean申購價</t>
    <phoneticPr fontId="53" type="noConversion"/>
  </si>
  <si>
    <t>clean申購價</t>
    <phoneticPr fontId="53" type="noConversion"/>
  </si>
  <si>
    <t>本金回收率</t>
    <phoneticPr fontId="53" type="noConversion"/>
  </si>
  <si>
    <t>持有成本(不含前手息)原幣</t>
    <phoneticPr fontId="53" type="noConversion"/>
  </si>
  <si>
    <t>最大可換金額(含息)</t>
    <phoneticPr fontId="53" type="noConversion"/>
  </si>
  <si>
    <t>持有成本(不含息)</t>
    <phoneticPr fontId="53" type="noConversion"/>
  </si>
  <si>
    <t>UF</t>
    <phoneticPr fontId="53" type="noConversion"/>
  </si>
  <si>
    <t>淨投入成本(台幣)</t>
    <phoneticPr fontId="53" type="noConversion"/>
  </si>
  <si>
    <r>
      <t>clean</t>
    </r>
    <r>
      <rPr>
        <sz val="11"/>
        <rFont val="細明體"/>
        <family val="3"/>
        <charset val="136"/>
      </rPr>
      <t>賣價</t>
    </r>
    <phoneticPr fontId="53" type="noConversion"/>
  </si>
  <si>
    <t>增值潛力</t>
    <phoneticPr fontId="53" type="noConversion"/>
  </si>
  <si>
    <t>含息申購價</t>
    <phoneticPr fontId="53" type="noConversion"/>
  </si>
  <si>
    <t>部位申購</t>
    <phoneticPr fontId="53" type="noConversion"/>
  </si>
  <si>
    <t>2024/6/10</t>
  </si>
  <si>
    <t>2024/6/9</t>
  </si>
  <si>
    <t>Ba1 / - / BB+</t>
  </si>
  <si>
    <t>換券例外調整</t>
    <phoneticPr fontId="53" type="noConversion"/>
  </si>
  <si>
    <t>發行機構</t>
    <phoneticPr fontId="55" type="noConversion"/>
  </si>
  <si>
    <t>&lt;&lt;</t>
    <phoneticPr fontId="53" type="noConversion"/>
  </si>
  <si>
    <t>&gt;&gt;</t>
    <phoneticPr fontId="53" type="noConversion"/>
  </si>
  <si>
    <t>篩出筆數</t>
    <phoneticPr fontId="53" type="noConversion"/>
  </si>
  <si>
    <t>總頁面</t>
    <phoneticPr fontId="53" type="noConversion"/>
  </si>
  <si>
    <t>轉換剩餘現金</t>
    <phoneticPr fontId="53" type="noConversion"/>
  </si>
  <si>
    <t>對應當前匯率</t>
    <phoneticPr fontId="53" type="noConversion"/>
  </si>
  <si>
    <t>換券-庫存債券標的</t>
    <phoneticPr fontId="53" type="noConversion"/>
  </si>
  <si>
    <t>排序</t>
    <phoneticPr fontId="53" type="noConversion"/>
  </si>
  <si>
    <t>序號</t>
    <phoneticPr fontId="53" type="noConversion"/>
  </si>
  <si>
    <t>百度股份有限公司(Baidu Inc.)是一家經營網路搜尋引擎的公司。該公司提供演算法搜索、企業搜索、新聞、MP3，以及影像搜索、語音輔助、網路儲存，以及導航服務。百度服務全球的客戶。</t>
  </si>
  <si>
    <t>2024/6/15</t>
  </si>
  <si>
    <t>埃克森美孚公司(Exxon Mobil Corporation)為一家石油與天然氣生產公司。該公司針對汽車、卡車、航空，以及航運產業，提供探勘與生產整合燃料、潤滑劑、化學品，以及精煉產品，以減少溫室氣體排放量。埃克森美孚服務全球客戶。</t>
  </si>
  <si>
    <t>2024/6/14</t>
  </si>
  <si>
    <t>Ba2 / BBB- / WD</t>
  </si>
  <si>
    <t>掛毯公司(Tapestry, Inc.)設計及行銷服飾及配件。該公司提供手提袋、皮革製品、鞋類、香水、珠寶、外出服、成衣、圍巾、太陽眼鏡、旅遊配件及手錶。掛毯服務全球客戶。</t>
  </si>
  <si>
    <t>年領利息</t>
  </si>
  <si>
    <t>商品代碼</t>
    <phoneticPr fontId="53" type="noConversion"/>
  </si>
  <si>
    <t>部位現值(含前手息)</t>
  </si>
  <si>
    <t>部位現值(含前手息)</t>
    <phoneticPr fontId="53" type="noConversion"/>
  </si>
  <si>
    <t>庫存面額</t>
    <phoneticPr fontId="53" type="noConversion"/>
  </si>
  <si>
    <t>ALL篩選資格</t>
    <phoneticPr fontId="53" type="noConversion"/>
  </si>
  <si>
    <t>幣別</t>
    <phoneticPr fontId="53" type="noConversion"/>
  </si>
  <si>
    <t>篩出筆數</t>
  </si>
  <si>
    <t>累計檔數</t>
    <phoneticPr fontId="53" type="noConversion"/>
  </si>
  <si>
    <t>2024/6/17</t>
  </si>
  <si>
    <t>換券指標</t>
    <phoneticPr fontId="53" type="noConversion"/>
  </si>
  <si>
    <t>附註一：投資商品組合標的為已上架附息半年配美元債券，投資商品組合可自行選擇至多12檔商品
附註二：輸入的投資面額若以「紅字」提示，表示不符合對應的最低申購面額及累積加碼金額之規定
附註三：變動利率債券之現金流係以目前票面利率估算，未考慮未來票息調整，故與實際會有所差異</t>
    <phoneticPr fontId="55" type="noConversion"/>
  </si>
  <si>
    <t>總列數</t>
  </si>
  <si>
    <t>最大到期年-表格起始年</t>
  </si>
  <si>
    <t>差距</t>
  </si>
  <si>
    <t>流動性</t>
    <phoneticPr fontId="53" type="noConversion"/>
  </si>
  <si>
    <t>已下架</t>
    <phoneticPr fontId="53" type="noConversion"/>
  </si>
  <si>
    <t>篩選資格
(考量已下架、例外調整及排除自己)</t>
    <phoneticPr fontId="53" type="noConversion"/>
  </si>
  <si>
    <t>2) TWD</t>
    <phoneticPr fontId="53" type="noConversion"/>
  </si>
  <si>
    <t>2024/12/23</t>
  </si>
  <si>
    <t>希捷HDD開曼群島(Seagate HDD Cayman)製造電腦儲存裝置。</t>
  </si>
  <si>
    <t>丹普席伊麗國際公司(Tempur Sealy International, Inc.)透過旗下主要子公司，製造並行銷寢具產品。該公司以自有和其他品牌名稱開發、生產和銷售床墊、可調節底座、枕頭和其他睡眠和放鬆產品。丹普席伊麗國際服務全球客戶。</t>
  </si>
  <si>
    <t>安進公司(Amgen Inc.)為一家探索、開發、製造，並銷售重症藥物的獨立生技醫藥公司。該公司著重於人類治療，並專注於細胞和分子生物為基礎的新藥創新。</t>
  </si>
  <si>
    <t>全部</t>
    <phoneticPr fontId="53" type="noConversion"/>
  </si>
  <si>
    <t>非專投</t>
    <phoneticPr fontId="53" type="noConversion"/>
  </si>
  <si>
    <t>專投</t>
    <phoneticPr fontId="53" type="noConversion"/>
  </si>
  <si>
    <t>英特爾公司(Intel Corporation)設計、製造，並銷售電腦組件與相關產品。 該公司主要產品包括：微處理器、晶片組、內嵌處理及微控器、快閃記憶體、圖像產品、網路及通訊產品、系統管理軟體、視訊會議產品，以及數位影像產品。</t>
  </si>
  <si>
    <t>印尼國家石油有限公司(Persero)(PT Pertamina (Persero))為一家石油及天然氣公司。該公司生產並零售石油化產品、航空燃油、潤滑劑、壓縮天然氣，和液化石油氣，以及提供油田支援服務。印尼國家石油(Persero)服務印尼的客戶。</t>
  </si>
  <si>
    <t>2024/6/22</t>
  </si>
  <si>
    <t>※ 庫存債券採用贖回再申購時，贖回款項入帳再行申購之日期會與贖回日期不同，申購需以當日報價為主</t>
    <phoneticPr fontId="55" type="noConversion"/>
  </si>
  <si>
    <r>
      <t xml:space="preserve">利率情境預估
</t>
    </r>
    <r>
      <rPr>
        <b/>
        <sz val="14"/>
        <color theme="0" tint="-0.499984740745262"/>
        <rFont val="微軟正黑體"/>
        <family val="2"/>
        <charset val="136"/>
        <scheme val="minor"/>
      </rPr>
      <t>(殖利率下降1%)</t>
    </r>
    <phoneticPr fontId="53" type="noConversion"/>
  </si>
  <si>
    <t>※ 利率情境預估採「該檔債券存續期間*利率變動(%)*債券現值」計算，並於殖利率下降1%的情境下，對債券價格變動的潛在影響數值。</t>
    <phoneticPr fontId="53" type="noConversion"/>
  </si>
  <si>
    <t>換券後現金流</t>
    <phoneticPr fontId="53" type="noConversion"/>
  </si>
  <si>
    <t>庫存債券標的</t>
    <phoneticPr fontId="53" type="noConversion"/>
  </si>
  <si>
    <t>XH020</t>
    <phoneticPr fontId="55" type="noConversion"/>
  </si>
  <si>
    <t>Ba1 / BB / BB</t>
  </si>
  <si>
    <t>2024/6/23</t>
  </si>
  <si>
    <t>阿聯酋NBD銀行(Emirates NBD PJSC)提供銀行及金融服務活動。該銀行的業務部門包括：企業、法人、零售及私人銀行。阿聯酋NBD亦提供行庫服務，與伊斯蘭銀行業務產品，其總部設於阿拉伯聯合大公國的杜拜。</t>
  </si>
  <si>
    <t>2024/6/26</t>
  </si>
  <si>
    <t>西太平洋銀行公司(Westpac Banking Corporation)提供銀行服務。該銀行提供支票帳戶、儲蓄存款、貨幣市場、抵押，和定期貸款服務，以及信用卡額度與網路銀行服務。西太平洋銀行服務全球客戶。</t>
  </si>
  <si>
    <t>美國銀行(Bank of America Corporation)為一家金融控股公司。該公司提供儲蓄帳戶、存款、抵押與建築貸款、現金與財富管理、定存單、投資基金、信用卡與轉帳卡、保險、行動及網路銀行服務。美國銀行服務全球客戶。</t>
  </si>
  <si>
    <t>未經過一次配息</t>
    <phoneticPr fontId="53" type="noConversion"/>
  </si>
  <si>
    <t>買進後不完整計息</t>
    <phoneticPr fontId="53" type="noConversion"/>
  </si>
  <si>
    <t>買進未經過1次配息</t>
    <phoneticPr fontId="53" type="noConversion"/>
  </si>
  <si>
    <t>應計息日數2</t>
    <phoneticPr fontId="53" type="noConversion"/>
  </si>
  <si>
    <t>評價時前手息</t>
    <phoneticPr fontId="53" type="noConversion"/>
  </si>
  <si>
    <t>最近上一配息日至交割日的前手息</t>
    <phoneticPr fontId="53" type="noConversion"/>
  </si>
  <si>
    <t>應計息日數3</t>
    <phoneticPr fontId="53" type="noConversion"/>
  </si>
  <si>
    <t>區間日數3</t>
    <phoneticPr fontId="53" type="noConversion"/>
  </si>
  <si>
    <t>至交割日前手息</t>
    <phoneticPr fontId="53" type="noConversion"/>
  </si>
  <si>
    <t>應計息日數</t>
    <phoneticPr fontId="53" type="noConversion"/>
  </si>
  <si>
    <t>區間日數</t>
    <phoneticPr fontId="53" type="noConversion"/>
  </si>
  <si>
    <t>已經過一次配息</t>
    <phoneticPr fontId="53" type="noConversion"/>
  </si>
  <si>
    <t>計算交割前手息(複算)</t>
    <phoneticPr fontId="53" type="noConversion"/>
  </si>
  <si>
    <t>計算交割前手息(初算)</t>
    <phoneticPr fontId="53" type="noConversion"/>
  </si>
  <si>
    <t>交割前手息</t>
    <phoneticPr fontId="53" type="noConversion"/>
  </si>
  <si>
    <t>最近的上一票息日</t>
    <phoneticPr fontId="53" type="noConversion"/>
  </si>
  <si>
    <t>買進下一個配息日先減n天</t>
    <phoneticPr fontId="53" type="noConversion"/>
  </si>
  <si>
    <t>Record date例外排除</t>
  </si>
  <si>
    <t>交割下個配息日先減n天</t>
    <phoneticPr fontId="53" type="noConversion"/>
  </si>
  <si>
    <t>交_record date制度前手息</t>
    <phoneticPr fontId="53" type="noConversion"/>
  </si>
  <si>
    <t>交割日是否落入record date</t>
    <phoneticPr fontId="53" type="noConversion"/>
  </si>
  <si>
    <t>計算前手息(複算)</t>
    <phoneticPr fontId="53" type="noConversion"/>
  </si>
  <si>
    <t>累計前手息</t>
    <phoneticPr fontId="53" type="noConversion"/>
  </si>
  <si>
    <t>本田汽車</t>
  </si>
  <si>
    <t>HNDA</t>
    <phoneticPr fontId="55" type="noConversion"/>
  </si>
  <si>
    <t>美國本田金融公司</t>
  </si>
  <si>
    <t>美國本田金融公司(American Honda Finance Corporation)為本田汽車全資子公司，主要為本田旗下產品的購買者或承租人提供各種形式的融資，在業務上依賴本田集團產品在美國和加拿大的銷售。母公司本田汽車為日本第二大汽車製造商，旗下擁有HONDA、Acura、本田動力設備與本田海洋等品牌。</t>
  </si>
  <si>
    <t>只選1)美元2)半年配(排除XFM90)</t>
    <phoneticPr fontId="53" type="noConversion"/>
  </si>
  <si>
    <t>買進日</t>
    <phoneticPr fontId="53" type="noConversion"/>
  </si>
  <si>
    <t>買進日(T+2/公債T+1)</t>
    <phoneticPr fontId="53" type="noConversion"/>
  </si>
  <si>
    <t>買進日(T+2/公債T+1)</t>
    <phoneticPr fontId="53" type="noConversion"/>
  </si>
  <si>
    <t>2024/6/30</t>
  </si>
  <si>
    <t>2024/7/1</t>
  </si>
  <si>
    <t>諾德斯特龍公司(Nordstrom, Inc.)為男女及孩童的流行服飾、鞋子、配件零售店。該公司透過多種零售通路、折扣商店、精品店、型錄及網路經營。諾德斯特龍亦透過子公司提供優惠卡與轉帳卡。</t>
  </si>
  <si>
    <t>星巴克公司(Starbucks Corporation)為一家專業咖啡的主要烘培商、銷售商，以及零售商。該公司提供包裝和單杯的咖啡與茶、飲料相關配料，與即飲飲料，並生產且銷售瓶裝咖啡飲料，以及一系列的冰淇淋。星巴克服務全球客戶。</t>
  </si>
  <si>
    <t>印多福公司(PT Indofood CBP Sukses Makmur Tbk)為多元化的食品公司。該公司為食 品完整解決方案公司，從食物原料、加工食品到零售商架上的消費食品，都是該公司經營業務的範圍。</t>
  </si>
  <si>
    <t>百健公司(Biogen Inc.)開發、製造、並商業推廣用於精神、腫瘤及免疫系統疾病的治療。該公司產品針對的疾病包括多發性硬化症、非何杰金氏淋巴瘤、類風濕性關節炎、克隆氏症，及乾癬症。</t>
  </si>
  <si>
    <t>2024/7/8</t>
  </si>
  <si>
    <t>2024/7/6</t>
  </si>
  <si>
    <t>XH700</t>
  </si>
  <si>
    <t>本田汽車公司美元配息債券 2.967% 2032/03/10</t>
  </si>
  <si>
    <t>US438127AC63</t>
  </si>
  <si>
    <t>2032/3/10</t>
  </si>
  <si>
    <t>2024/3/10</t>
  </si>
  <si>
    <t>HNDA</t>
  </si>
  <si>
    <t>本田汽車公司(Honda Motor Co., Ltd.)研發、製造並經銷摩托車、汽車和電力產品(例如：發電機及農業機械)。該公司亦經營金融信貸業務。本田汽車於美國、加拿大、英國、法國、義大利、西班牙、巴西、墨西哥、印度及泰國等地，均設有生產製造單位。</t>
  </si>
  <si>
    <t>2031/12/10</t>
  </si>
  <si>
    <t>2022/3/10</t>
  </si>
  <si>
    <t>2022/9/10</t>
  </si>
  <si>
    <t>XH710</t>
  </si>
  <si>
    <t>美國本田金融公司美元配息債券  5.85% 2030/10/04</t>
  </si>
  <si>
    <t>US02665WER88</t>
  </si>
  <si>
    <t>2030/10/4</t>
  </si>
  <si>
    <t>2023/10/4</t>
  </si>
  <si>
    <t>2024/4/4</t>
  </si>
  <si>
    <t>美國本田金融公司(American Honda Finance Corporation)提供金融服務。該公司針對汽車，提供一系列租賃與融資解決方案。美國本田金融服務美國的客戶。</t>
  </si>
  <si>
    <t>XH720</t>
  </si>
  <si>
    <t>富國銀行美元配息債券 3.9% 2045/05/01</t>
  </si>
  <si>
    <t>US94974BGK08</t>
  </si>
  <si>
    <t>2015/4/30</t>
  </si>
  <si>
    <t>2015/11/1</t>
  </si>
  <si>
    <t>2024/7/10</t>
  </si>
  <si>
    <t>2024/7/11</t>
  </si>
  <si>
    <t>法國電力(Electricite de France (EDF))提供能源解決方案。該公司生產、傳輸、配送、進口，並出口電力。法國電力服務全球客戶。</t>
  </si>
  <si>
    <t>哈里伯頓公司(Halliburton Company)提供能源、工程與營建服務，並製造能源產業用的產品。該公司為從事探勘、開發及生產石油及天然氣的客戶，提供服務、產品及整合解決方案。</t>
  </si>
  <si>
    <t>百事可樂公司(PepsiCo, Inc.)經營食品及飲料業務。該公司製造、行銷及銷售各式榖類點心、碳酸及非碳酸飲料，以及食物。百事可樂服務全球的客戶。</t>
  </si>
  <si>
    <t>亞培公司(Abbott Laboratories)研發、製造、及銷售多種保健產品及服務。 產品內容包括藥品、檢驗試劑、醫療設備、及營養品。公司並透過旗下附屬機構及經銷商，行銷產品遍及全球。</t>
  </si>
  <si>
    <t>BRF SA為食品加工業者，在巴西及海外地區建立品牌，例如：Sadia、Perdiago、Qualy、Chester、Perdix及Paty的投資組合。該公司提供肉類(家禽及豬肉)、肉類食品加工、披薩、義大利麵及冷凍蔬菜業務部門。BRF SA經營遍及歐洲、拉丁美洲、中東、非洲、歐亞及亞洲市場。</t>
  </si>
  <si>
    <t>Paypal控股有限公司(PayPal Holdings, Inc.)為一家控股公司。該公司透過旗下子公司，提供技術平台，做為消費和商家之間的橋梁，執行數位與行動支付。該公司提供線上付款解決方案。PayPal控股服務對象遍及全球。</t>
  </si>
  <si>
    <t>2024/7/15</t>
  </si>
  <si>
    <t>2024/7/16</t>
  </si>
  <si>
    <t>安海斯-布希英博全球公司(Anheuser-Busch InBev Worldwide Inc.)以「百威英博全球公司」(AB InBev Worldwide Inc)執行業務，製造酒精與非酒精飲料。該公司生產並配銷啤酒。百威英博全球公司服務全球客戶。</t>
  </si>
  <si>
    <t>2024/7/13</t>
  </si>
  <si>
    <t>2024/7/17</t>
  </si>
  <si>
    <t>孩之寶公司(Hasbro, Inc.)設計、製造，並銷售玩具、遊戲、互動式軟體、拼圖，以及嬰兒產品。該公司的產品包含各式遊戲，包括：傳統紙板、紙牌、手持電子、集換式卡片、角色扮演，和DVD遊戲、以及電子學習輔助與拼圖。孩之寶服務美國的客戶。</t>
  </si>
  <si>
    <t>思科系統公司(Cisco Systems, Inc.)提供資訊科技及網路服務。該公司提供企業網路安全、軟體開發、資料合作、雲端計算，以及其他相關服務。思科系統服務美國的客戶。</t>
  </si>
  <si>
    <t>瑞穗金融集團(Mizuho Financial Group, Inc.)透過旗下子公司提供全面的金融服務。該集團提供多樣金融服務包括一般銀行業務、證券經紀、信託銀行與資產管理服務。</t>
  </si>
  <si>
    <t>2024/7/19</t>
  </si>
  <si>
    <t>巴郡哈薩威能源公司(Berkshire Hathaway Energy Company)為控股公司。該公司透過其子公司，從煤炭、天然氣和蒸汽、水力、風力、太陽能、地熱能、核能及黑液資源中產生能源。巴郡哈薩威能源服務美國客戶。</t>
  </si>
  <si>
    <t>2024/7/18</t>
  </si>
  <si>
    <t>Ecopetrol SA為整合式石油公司。該公司擁有位於哥倫比亞中、南、西、北部的生產油田，並經營煉油廠、加勒比海與太平洋側燃料輸出港口，以及遍布哥倫比亞全境的管線網路。</t>
  </si>
  <si>
    <t>國際商業機器公司(International Business Machines Corporation，簡稱IBM)提供電腦解決方案。 該公司提供應用、技術顧問與支援、加工設計與營運、雲端、數位工作場所、網路服務，以及企業復原能力、策略，以及設計解決方案。IBM服務全球的客戶。</t>
  </si>
  <si>
    <t>渣打集團有限公司</t>
  </si>
  <si>
    <t>百度集團股份有限公司</t>
  </si>
  <si>
    <t>思科</t>
  </si>
  <si>
    <t>到工作表「銀行-TSS」確認是否有出現如右的「#REF!」</t>
    <phoneticPr fontId="53" type="noConversion"/>
  </si>
  <si>
    <t>若有，則將儲存格「A3」跟「B3」的公式點按二下(公式會下拉)即可</t>
    <phoneticPr fontId="53" type="noConversion"/>
  </si>
  <si>
    <t>2024/7/24</t>
  </si>
  <si>
    <t>2024/7/23</t>
  </si>
  <si>
    <t>2024/7/25</t>
  </si>
  <si>
    <t>巴帝電信有限公司(Bharti Airtel Limited)全球電信公司於亞洲與非洲的18個地區經營業務。該公司總部位於新德里。巴帝電信有限公司於印度提供2G、3G和4G無線服務，以及行動商務。</t>
  </si>
  <si>
    <t>2024/7/26</t>
  </si>
  <si>
    <t>2024/7/29</t>
  </si>
  <si>
    <t>2024/7/27</t>
  </si>
  <si>
    <t>2024/7/30</t>
  </si>
  <si>
    <t>紐西蘭地方政府融資機構有限公司(New Zealand Local Government Funding Agency Limited)為一家政府機構。該公司提供金融支援、證券交易、債券發行、國庫券招標及其他服務。紐西蘭地方政府融資機構於紐西蘭經營其業務。</t>
  </si>
  <si>
    <t>阿布達比國家能源公司(Abu Dhabi National Energy Company)為全球能源公司，以經營發電、廢水淡化設備、上游石油/天然氣、管線、天然氣儲存，及液化天然氣再氣化等業務。</t>
  </si>
  <si>
    <t>2024/8/1</t>
  </si>
  <si>
    <t>通用汽車公司(General Motors Company)設計、製造和銷售汽車、卡車、跨界休旅車及汽車零件。該公司提供車輛保護、零件、配件、維護、衛星廣播及汽車融資服務。通用汽車公司於全球各地提供產品及服務。</t>
  </si>
  <si>
    <t>法國興業銀行股份有限公司</t>
  </si>
  <si>
    <t>2024/8/2</t>
  </si>
  <si>
    <t>2024/8/4</t>
  </si>
  <si>
    <t>2024/8/3</t>
  </si>
  <si>
    <t>A3 / BBB+ / A-</t>
  </si>
  <si>
    <t>阿里巴巴集團控股有限公司(Alibaba Group Holding Limited)提供線上銷售服務。該公司透過旗下子公司，提供網際網路基礎設施、電子商務、網路金融，以及網路內容服務。阿里巴巴集團控股於全球各地，提供其產品與服務。</t>
  </si>
  <si>
    <t>沃達豐集團公開有限公司(Vodafone Group PLC)提供無線通訊服務。該公司提供行動電信服務，包括：語音與資料通訊。沃達豐集團服務全球客戶。</t>
  </si>
  <si>
    <t>歐比亞先進可變資本有限公司(Orbia Advance Corporation S.A.B. de CV)專門從事產品及解決方案。該公司致力於確保糧食安全、減少水資源短缺、重新建造未來城市與住宅、將社區連接到數據基礎設施，以及使用先進材料擴大獲得健康和保健的機會。歐比亞先進公司服務墨西哥的客戶。</t>
  </si>
  <si>
    <t>電子灣拍賣網站公司(eBay Inc.)為全球電子商務公司。該公司的平台設計讓全球賣家進行商品庫存整理並提供銷售，買家可查詢並買進商品。電子灣拍賣網站服務全球客戶。</t>
  </si>
  <si>
    <t>聯邦快遞公司(FedEx Corporation)透過整合全球網路，遞送包裹及貨物至多個國家及領土。該公司提供全球快遞與貨運運輸、地面小型包裹、拼車貨、供應鏈管理、海關經紀服務、報關服務、貿易便利化，以及電子商務解決方案。</t>
  </si>
  <si>
    <t>花旗環球證券控股公司(Citigroup Global Markets Holdings Inc.)提供廣泛的金融服務。該公司的服務包括：股票與固定收益承銷、銷售與交易、託管、結算及基金服務，以及投資銀行、證券經紀、資產管理、研究及顧問服務。</t>
  </si>
  <si>
    <t>2024/8/6</t>
  </si>
  <si>
    <t>高露潔-棕欖公司(Colgate-Palmolive Company)為消費性產品公司，在全球各地行銷其產品。該公司產品包含牙膏、牙刷、洗髮精、體香劑、香皂與沐浴乳、洗碗精與洗衣產品，以及貓狗用的寵物營養產品。</t>
  </si>
  <si>
    <t>野村控股公司(Nomura Holdings, Inc.)為一家管理旗下子公司財務運作的控股公司。該金融集團提供交易、證券經紀、承銷與資產管理等各式金融服務。</t>
  </si>
  <si>
    <t>沙烏地電力環球伊斯蘭債券公司3(Saudi Electricity Global SUKUK Company 3)為特殊目的機構。該公司配銷電力予住宅、商業及工業客戶。沙烏地電力環球伊斯蘭債券服務沙烏地阿拉伯的客戶。</t>
  </si>
  <si>
    <t>Baa2 / BB+ / BBB+</t>
  </si>
  <si>
    <t>2024/8/8</t>
  </si>
  <si>
    <t>2024/8/15</t>
  </si>
  <si>
    <t>國際復興開發銀行(International Bank for Reconstruction and Development)為一家金融服務公司。該公司主要為中等收入國家，提供貸款與其他援助，其目的為減少貧窮、增加共同繁榮，以及促進可持續發展。</t>
  </si>
  <si>
    <t>B3 / BBB / B+u</t>
  </si>
  <si>
    <t>音巴克公司(Embarq Corporation)提供無線電信服務。</t>
  </si>
  <si>
    <t>2024/8/14</t>
  </si>
  <si>
    <t>2024/8/16</t>
  </si>
  <si>
    <t>2024/8/17</t>
  </si>
  <si>
    <t>西維斯健康公司(CVS Health Corporation)提供醫療保健及零售藥房服務。該公司提供處方藥、美容、個人護理、化妝品，和醫療保健產品，以及藥房福利管理、疾病管理，與行政服務。西維斯健康公司於美國及波多黎各經營業務。</t>
  </si>
  <si>
    <t>BP資本市場美國公司(BP Capital Markets America Inc.)為一家特殊目的機構。該公司提供航空與海運燃料、燃料卡、工業潤滑油、石化產品、液化天然氣，以及電源產品。BP資本市場美國公司服務全球客戶。</t>
  </si>
  <si>
    <t>2024/8/11</t>
  </si>
  <si>
    <t>2024/8/12</t>
  </si>
  <si>
    <t>暉致公司(Viatris Inc.)為製藥公司。該公司針對涵蓋非傳染性疾病和傳染性疾病的主要治療領域的廣泛患者生產藥物。暉致服務全球客戶。</t>
  </si>
  <si>
    <t>XH750</t>
  </si>
  <si>
    <t>US532457CG18</t>
  </si>
  <si>
    <t>禮來公司</t>
  </si>
  <si>
    <t>2053/2/27</t>
  </si>
  <si>
    <t>2023/8/27</t>
  </si>
  <si>
    <t>2024/2/27</t>
  </si>
  <si>
    <t>LLY</t>
  </si>
  <si>
    <t>2052/8/27</t>
  </si>
  <si>
    <t>2023/2/27</t>
  </si>
  <si>
    <t>聯邦電力委員會(Comision Federal de Electricidad)產生並分配電力。該公司提供熱電、水力發電、燃煤、地熱、風力發電廠和核電站。CFE為墨西哥的客戶服務。</t>
  </si>
  <si>
    <t>阿斯特捷利康公開有限公司(AstraZeneca PLC)為一家控股公司。該公司透過旗下子公司，著重於研發、製造，並銷售藥物與醫療產品。阿斯特捷利康著重於經營下列八種治療領域，包括：胃腸、腫瘤、心血管、呼吸道、中樞神經系統、疼痛控制、麻醉，以及感染。</t>
  </si>
  <si>
    <t>2024/8/21</t>
  </si>
  <si>
    <t>2025/2/21</t>
  </si>
  <si>
    <t>A3 / A / A-</t>
  </si>
  <si>
    <t>2024/8/22</t>
  </si>
  <si>
    <t>渣打集團(Standard Chartered PLC)為一家國際銀行集團，主要在亞洲、非洲及中東經營業務。該公司提供個人、消費、企業、機構與理財各領域的產品。</t>
  </si>
  <si>
    <t>Evernorth健康公司(Evernorth Health, Inc.)為一家全方位服務的藥物福利管理和專門管理照護的公司，服務北美各地的客戶。該公司的客戶包括：管理式照護組織、保險業、第三方行政機構、雇主，以及工會贊助福利計劃。</t>
  </si>
  <si>
    <t>福斯汽車國際金融公眾有限公司(Volkswagen International Finance N.V.)為一家特殊目的公司，從事融資並參與公司及企業事務。該公司可能借入、募集，和擔保金錢，包括發行債券、可轉債、股票，以及證券。福斯汽車國際金融服務荷蘭的客戶。</t>
  </si>
  <si>
    <t>惠普公司(HP Inc.)針對商業和家庭，提供計算、影像與列印系統、行動裝置、解決方案，以及服務。該公司提供的產品包括：雷射與噴墨式印表機、掃描器、影印機與傳真機、個人電腦、工作站、儲存解決方案、計算，以及列印系統。惠普於全球各地銷售其產品。</t>
  </si>
  <si>
    <t>信諾集團(The Cigna Group)為一家保險公司。該公司提供人壽、意外事故、殘疾、補充、醫護，以及牙科保險產品與服務。信諾集團服務全球各地的個人、家庭，以及企業。</t>
  </si>
  <si>
    <t>沃博聯公司(Walgreens Boots Alliance, Inc.)經營零售藥店。該公司提供各種處方藥與非處方藥，以及初級與急症護理、健康、配藥，和疾病管理服務，及健康與健身。沃博聯服務美國的客戶。</t>
  </si>
  <si>
    <t>T-Mobile美國公司(T-Mobile USA, Inc.)提供電信服務。該公司提供無線語音、簡訊，和數據服務，以及行動電話與配件。T-Mobile美國服務美國的客戶。</t>
  </si>
  <si>
    <t>寶僑公司(Procter &amp; Gamble Company)製造並銷售消費性產品。該公司提供的產品包括：洗衣與清潔產品、紙類、美容護理、食物與飲料，以及醫療保健類。寶僑的產品服務全球客戶。</t>
  </si>
  <si>
    <t>美洲移動通訊公司(America Movil SAB de C.V.)提供電信服務。該公司提供無線及固網語音服務，包括通話時間、市內、國內、國際長途及寬頻服務。美洲移動通訊服務全球的客戶。</t>
  </si>
  <si>
    <t>義大利國家電力金融國際公眾有限公司(ENEL Finance International N.V.)配送、生產，並銷售電力。</t>
  </si>
  <si>
    <t>2024/8/26</t>
  </si>
  <si>
    <t>2024/8/24</t>
  </si>
  <si>
    <t>福特汽車信用公司(Ford Motor Credit Company LLC)提供汽車融資服務。該公司提供零售分期銷售、租賃合約及直接融資予零售客戶、政府機構和企業。福特汽車信用服務美國的客戶。</t>
  </si>
  <si>
    <t>亞馬遜公司美元配息債券 3.6% 2032/4/13</t>
  </si>
  <si>
    <t>XH760</t>
  </si>
  <si>
    <t>US023135CH74</t>
  </si>
  <si>
    <t>2032/4/13</t>
  </si>
  <si>
    <t>2032/1/13</t>
  </si>
  <si>
    <t>2022/4/13</t>
  </si>
  <si>
    <t>2022/10/13</t>
  </si>
  <si>
    <t>XH770</t>
  </si>
  <si>
    <t>亞馬遜公司美元配息債券 4.7% 2032/12/1</t>
  </si>
  <si>
    <t>US023135CR56</t>
  </si>
  <si>
    <t>2032/12/1</t>
  </si>
  <si>
    <t>2032/9/1</t>
  </si>
  <si>
    <t>2022/12/1</t>
  </si>
  <si>
    <t>2023/6/1</t>
  </si>
  <si>
    <t>XH780</t>
  </si>
  <si>
    <t>沙烏地阿拉伯政府美元配息債券 5.75% 2054/1/16</t>
  </si>
  <si>
    <t>XS2747599509</t>
  </si>
  <si>
    <t>2054/1/16</t>
  </si>
  <si>
    <t>聯合包裹服務公司(United Parcel Service, Inc. (UPS))運送包裹與文件。該公司提供全球供應鏈服務與散裝貨運，主要的事業包括整合型空運及陸運取貨與運送網。聯合包裹服務公司服務全球客戶。</t>
  </si>
  <si>
    <t>克羅格公司(Kroger Co.)為一家超級市場。該公司提供肉類、海鮮、烘焙、乳製品、冷凍、清潔、廚房、飲料、健康、電子、玩具、蔬菜、水果、美容，以及家用產品。克羅格服務美國的客戶。</t>
  </si>
  <si>
    <t>Ba2 / BB+ / -</t>
  </si>
  <si>
    <t>禮來公司美元配息債券 4.875% 2053/2/27</t>
  </si>
  <si>
    <t>2024/8/27</t>
  </si>
  <si>
    <t>2024/9/1</t>
  </si>
  <si>
    <t>馬來西亞國家石油公司(Petroliam Nasional Berhad (Petronas))為一家石油與天然氣公司。該公司著重於原油及天然氣的探勘、開發及生產。馬來西亞國家石油服務全球客戶。</t>
  </si>
  <si>
    <t>競賽隊伍科技有限公司(Competition Team Technologies Ltd.)製造各種電子組件。</t>
  </si>
  <si>
    <t>卡夫亨氏食品公司(Kraft Heinz Food Company)為食品及飲料公司。該公司提供醬料、餐點、湯、零食及嬰兒營養品。卡夫亨氏食品服務全球客戶。</t>
  </si>
  <si>
    <t>樂金化學公司(LG Chem Ltd.)為一家化學製造商。該公司的產品包括石化產品、樹脂與工程塑膠。樂金化學亦生產工業用與電子原料。</t>
  </si>
  <si>
    <t>洛克希德馬丁公司(Lockheed Martin Corporation)為全球性保全公司，其主要從事研發、設計、開發、製造及整合先進科技產品及服務。該公司的業務範圍跨足太空、電信、電子、資訊及服務、航空、能源，及系統整合等領域。洛克希德馬丁經營範圍遍及全球各地。</t>
  </si>
  <si>
    <t>大都會保險公司(MetLife, Inc.)提供個人保險、員工福利及金融服務，其業務遍及美國、拉丁美洲、歐洲，及亞太地區。該公司的產品包括壽險、年金、汽車及房屋保險、零售銀行業務，及其他個人與團體保險的金融服務。</t>
  </si>
  <si>
    <t>勞埃德銀行集團(Lloyds Banking Group plc)透過旗下的子公司及其他相關公司，提供各式銀行及金融服務。 該公司提供消費銀行、抵押貸款、退休金、資產管理、保險服務、企業理財、及財務管理服務。</t>
  </si>
  <si>
    <t>紐約聯合愛迪生公司(Consolidated Edison Company of New York, Inc.)提供公用事業服務。該公司提供電力、天然氣，以及暖氣服務。紐約聯合愛迪生服務紐約州的客戶。</t>
  </si>
  <si>
    <t>自由港麥克莫蘭銅金公司(Freeport-McMoRan Inc.)為國際天然資源公司。該公司經營大型長期的地區多元化資產，包含豐富的銅、金、鉬、鈷、石油及天然氣等蘊藏。</t>
  </si>
  <si>
    <t>ORIX Corporation於全球提供綜合性金融服務。該公司的業務別包括租賃、分期貸款、不動產貸款、壽險、銀行、證券經紀、創投、及消費金融。ORIX也經營歐力士猛牛職業棒球隊。</t>
  </si>
  <si>
    <t>2024/9/7</t>
  </si>
  <si>
    <t>目標百貨公司(Target Corporation)經營一般商品折扣店。該公司專注於商品營業活動，包括：一般商品及食品折扣商店，與完全整合的線上業務。目標百貨亦透過其品牌專屬信用卡，提供信貸予合格的申請者。</t>
  </si>
  <si>
    <t>國家開發銀行(China Development Bank)為一家政府開發銀行。該公司提供存款、貸款、融資、債券發行、投資、財務運作，以及其他服務。國家開發銀行於全球各地提供服務。</t>
  </si>
  <si>
    <t>2024/9/8</t>
  </si>
  <si>
    <t>A1 / BBB+ / A</t>
  </si>
  <si>
    <t>2024/9/11</t>
  </si>
  <si>
    <t>2024/9/10</t>
  </si>
  <si>
    <t>2024/9/12</t>
  </si>
  <si>
    <t>XH800</t>
  </si>
  <si>
    <t>伯靈頓北方聖塔菲有限責任公司美元配息債券 4.9% 2044/4/1</t>
  </si>
  <si>
    <t>A3 / AA- / -</t>
  </si>
  <si>
    <t>US12189LAS07</t>
  </si>
  <si>
    <t>伯靈頓北方聖塔菲有限責任公司</t>
  </si>
  <si>
    <t>2044/4/1</t>
  </si>
  <si>
    <t>BNSF</t>
  </si>
  <si>
    <t>伯靈頓北方聖塔菲有限責任公司(Burlington Northern Santa Fe, LLC)提供鐵路運輸服務。該公司運輸貨櫃、拖車、煤炭、穀物、化學品、金屬、礦物、林業產品，以及消費品。伯靈頓北方聖塔菲服務全球客戶。</t>
  </si>
  <si>
    <t>2043/10/1</t>
  </si>
  <si>
    <t>2014/3/7</t>
  </si>
  <si>
    <t>2014/10/1</t>
  </si>
  <si>
    <t>XH810</t>
  </si>
  <si>
    <t>3M公司美元配息債券 3.625% 2028/9/14</t>
  </si>
  <si>
    <t>US88579YBC49</t>
  </si>
  <si>
    <t>2028/9/14</t>
  </si>
  <si>
    <t>2028/6/14</t>
  </si>
  <si>
    <t>XH820</t>
  </si>
  <si>
    <t>3M公司美元配息債券 3.05% 2030/4/15</t>
  </si>
  <si>
    <t>US88579YBN04</t>
  </si>
  <si>
    <t>2030/4/15</t>
  </si>
  <si>
    <t>B3 / NR / B+</t>
  </si>
  <si>
    <t>2024/9/13</t>
  </si>
  <si>
    <t>B3 / - / B+</t>
  </si>
  <si>
    <t>Adani港口及特別經濟區有限公司(Adani Ports and Special Economic Zone Limited)於印度西岸經營貨運港口。該公司提供貨物處理、運輸、倉儲、物流及轉送服務，予能源、鐵路、熱能發電傳輸、農業及物流產業。</t>
  </si>
  <si>
    <t>禮來公司(Eli Lilly and Company)研發、開發、製造及銷售人用與動物用藥。該公司的產品行銷世界各國。禮來產品內容包括：神經科學用藥、內分泌藥物、抗感染藥、心血管用藥、抗癌藥、及動物保健產品。</t>
  </si>
  <si>
    <t>應用材料公司(Applied Materials, Inc.)開發、製造、行銷，及服務全球半導體產業，所需的半導體晶圓製程設備及相關備用零件。該公司客戶包括半導體晶圓與積體電路製造商、平面液晶顯示器、太陽能電池與模組，及其他電子設備製造商。</t>
  </si>
  <si>
    <t>2024/9/14</t>
  </si>
  <si>
    <t>TWDC企業18公司(TWDC Enterprises 18 Corp.)為一家娛樂公司。該公司提供媒體網路、工作室、主題園區，以及渡假村。TWDC企業18於加州服務客戶。</t>
  </si>
  <si>
    <t>2025/3/14</t>
  </si>
  <si>
    <t>2024/9/16</t>
  </si>
  <si>
    <t>2024/9/15</t>
  </si>
  <si>
    <t>2024/9/19</t>
  </si>
  <si>
    <t>2024/9/18</t>
  </si>
  <si>
    <t>2024/9/17</t>
  </si>
  <si>
    <t>2024/9/21</t>
  </si>
  <si>
    <t>2024/9/22</t>
  </si>
  <si>
    <t>發行日手動調整</t>
    <phoneticPr fontId="53" type="noConversion"/>
  </si>
  <si>
    <t>2024/9/23</t>
  </si>
  <si>
    <t>2024/9/25</t>
  </si>
  <si>
    <t>2024/9/24</t>
  </si>
  <si>
    <t>2024/9/27</t>
  </si>
  <si>
    <t>2024/10/1</t>
  </si>
  <si>
    <t>A1 / A- / A+</t>
  </si>
  <si>
    <t>Ba2 / BB / BB+</t>
  </si>
  <si>
    <t>Aa3 / A+ / A+</t>
  </si>
  <si>
    <t>2024/10/4</t>
  </si>
  <si>
    <t>2024/10/8</t>
  </si>
  <si>
    <t>2024/10/6</t>
  </si>
  <si>
    <t>XH830</t>
  </si>
  <si>
    <t>US038222AM71</t>
  </si>
  <si>
    <t>2047/4/1</t>
  </si>
  <si>
    <t>2046/10/1</t>
  </si>
  <si>
    <t>XH840</t>
  </si>
  <si>
    <t>US459200HF10</t>
  </si>
  <si>
    <t>2042/6/20</t>
  </si>
  <si>
    <t>2024/6/20</t>
  </si>
  <si>
    <t>2012/6/20</t>
  </si>
  <si>
    <t>2012/12/20</t>
  </si>
  <si>
    <t>情境名稱</t>
    <phoneticPr fontId="53" type="noConversion"/>
  </si>
  <si>
    <t>不含年領利息</t>
    <phoneticPr fontId="53" type="noConversion"/>
  </si>
  <si>
    <t>含年領利息</t>
    <phoneticPr fontId="53" type="noConversion"/>
  </si>
  <si>
    <t>模式</t>
    <phoneticPr fontId="53" type="noConversion"/>
  </si>
  <si>
    <t>雷達圖最大值</t>
    <phoneticPr fontId="53" type="noConversion"/>
  </si>
  <si>
    <t>排序</t>
    <phoneticPr fontId="53" type="noConversion"/>
  </si>
  <si>
    <t>面額</t>
  </si>
  <si>
    <t>殖利率</t>
  </si>
  <si>
    <t>增值潛力</t>
    <phoneticPr fontId="53" type="noConversion"/>
  </si>
  <si>
    <t>代碼</t>
    <phoneticPr fontId="53" type="noConversion"/>
  </si>
  <si>
    <t>雷達圖標準化</t>
    <phoneticPr fontId="53" type="noConversion"/>
  </si>
  <si>
    <t>顯示</t>
    <phoneticPr fontId="53" type="noConversion"/>
  </si>
  <si>
    <t>庫存管理
顯示幣別</t>
    <phoneticPr fontId="53" type="noConversion"/>
  </si>
  <si>
    <t>年領利息評分(負值)</t>
    <phoneticPr fontId="53" type="noConversion"/>
  </si>
  <si>
    <t>排名</t>
    <phoneticPr fontId="53" type="noConversion"/>
  </si>
  <si>
    <t>增值潛力評分</t>
    <phoneticPr fontId="53" type="noConversion"/>
  </si>
  <si>
    <t>均衡</t>
    <phoneticPr fontId="53" type="noConversion"/>
  </si>
  <si>
    <t>選券策略</t>
    <phoneticPr fontId="53" type="noConversion"/>
  </si>
  <si>
    <t>2)增值潛力</t>
    <phoneticPr fontId="53" type="noConversion"/>
  </si>
  <si>
    <t>※ 換券指標：星星數依序為換券後之年領利息、 面額、殖利率之變動情形，增加為「★」、減少為「☆」</t>
    <phoneticPr fontId="53" type="noConversion"/>
  </si>
  <si>
    <t>2024/10/17</t>
  </si>
  <si>
    <t>2024/10/15</t>
  </si>
  <si>
    <t>2024/10/12</t>
  </si>
  <si>
    <t>2024/10/13</t>
  </si>
  <si>
    <t>2024/10/16</t>
  </si>
  <si>
    <t>Ba2 / BB+ / BB</t>
  </si>
  <si>
    <t>計數</t>
    <phoneticPr fontId="53" type="noConversion"/>
  </si>
  <si>
    <t>單檔</t>
    <phoneticPr fontId="53" type="noConversion"/>
  </si>
  <si>
    <t>投組</t>
    <phoneticPr fontId="53" type="noConversion"/>
  </si>
  <si>
    <t>投組檢測</t>
    <phoneticPr fontId="53" type="noConversion"/>
  </si>
  <si>
    <t>MOD</t>
    <phoneticPr fontId="53" type="noConversion"/>
  </si>
  <si>
    <t>投組庫存標的</t>
    <phoneticPr fontId="53" type="noConversion"/>
  </si>
  <si>
    <t>&lt;=單檔換券資格</t>
    <phoneticPr fontId="53" type="noConversion"/>
  </si>
  <si>
    <t>單檔換券資格</t>
    <phoneticPr fontId="53" type="noConversion"/>
  </si>
  <si>
    <t>單檔選券策略</t>
    <phoneticPr fontId="53" type="noConversion"/>
  </si>
  <si>
    <t>&lt;=單檔選券策略</t>
    <phoneticPr fontId="53" type="noConversion"/>
  </si>
  <si>
    <t>單檔換頁標籤</t>
    <phoneticPr fontId="53" type="noConversion"/>
  </si>
  <si>
    <t>&lt;=單檔換頁</t>
    <phoneticPr fontId="53" type="noConversion"/>
  </si>
  <si>
    <t>票息</t>
    <phoneticPr fontId="55" type="noConversion"/>
  </si>
  <si>
    <t>到期日</t>
    <phoneticPr fontId="55" type="noConversion"/>
  </si>
  <si>
    <t>賣價+UF</t>
    <phoneticPr fontId="28" type="noConversion"/>
  </si>
  <si>
    <t>換券投組</t>
    <phoneticPr fontId="53" type="noConversion"/>
  </si>
  <si>
    <t>賣價(含息)</t>
    <phoneticPr fontId="53" type="noConversion"/>
  </si>
  <si>
    <t>申購殖利率</t>
    <phoneticPr fontId="53" type="noConversion"/>
  </si>
  <si>
    <t>可分配金額</t>
    <phoneticPr fontId="53" type="noConversion"/>
  </si>
  <si>
    <t>MOD</t>
    <phoneticPr fontId="53" type="noConversion"/>
  </si>
  <si>
    <t>clean申購價+UF</t>
    <phoneticPr fontId="53" type="noConversion"/>
  </si>
  <si>
    <t>最低申購</t>
  </si>
  <si>
    <t>最小增額</t>
  </si>
  <si>
    <t>換券庫存佔比</t>
    <phoneticPr fontId="53" type="noConversion"/>
  </si>
  <si>
    <t>轉換金額(含息)</t>
    <phoneticPr fontId="53" type="noConversion"/>
  </si>
  <si>
    <t>2024/10/22</t>
  </si>
  <si>
    <t>2024/10/21</t>
  </si>
  <si>
    <t>增值潛力</t>
    <phoneticPr fontId="53" type="noConversion"/>
  </si>
  <si>
    <t>可申購面額
(柱狀圖用)</t>
    <phoneticPr fontId="53" type="noConversion"/>
  </si>
  <si>
    <t>年領利息
(柱狀圖用)</t>
    <phoneticPr fontId="53" type="noConversion"/>
  </si>
  <si>
    <t>可申購面額
(柱狀圖用)</t>
  </si>
  <si>
    <t>年領利息
(柱狀圖用)</t>
  </si>
  <si>
    <t>年度配息</t>
  </si>
  <si>
    <t>發行機構</t>
    <phoneticPr fontId="55" type="noConversion"/>
  </si>
  <si>
    <t>發行機構(庫存)</t>
    <phoneticPr fontId="55" type="noConversion"/>
  </si>
  <si>
    <t>發行機構(轉換)</t>
    <phoneticPr fontId="55" type="noConversion"/>
  </si>
  <si>
    <t>換券前現金流</t>
    <phoneticPr fontId="53" type="noConversion"/>
  </si>
  <si>
    <t>票息</t>
    <phoneticPr fontId="53" type="noConversion"/>
  </si>
  <si>
    <t>換券前</t>
    <phoneticPr fontId="53" type="noConversion"/>
  </si>
  <si>
    <t>利息</t>
    <phoneticPr fontId="53" type="noConversion"/>
  </si>
  <si>
    <t>流動性</t>
  </si>
  <si>
    <t>費用後
殖利率</t>
  </si>
  <si>
    <t>clean賣價</t>
  </si>
  <si>
    <t>clean賣價</t>
    <phoneticPr fontId="53" type="noConversion"/>
  </si>
  <si>
    <t>銷售對象</t>
  </si>
  <si>
    <t>1)現金流量</t>
    <phoneticPr fontId="53" type="noConversion"/>
  </si>
  <si>
    <t>精算版</t>
    <phoneticPr fontId="53" type="noConversion"/>
  </si>
  <si>
    <t>銀行版</t>
    <phoneticPr fontId="53" type="noConversion"/>
  </si>
  <si>
    <t>本金回收率</t>
    <phoneticPr fontId="55" type="noConversion"/>
  </si>
  <si>
    <t>2024/10/27</t>
  </si>
  <si>
    <t>2024/10/26</t>
  </si>
  <si>
    <t>2024/10/23</t>
  </si>
  <si>
    <t>應用材料公司美元配息債券 4.35% 2047/4/1</t>
  </si>
  <si>
    <t>國際商業機器公司美元配息債券 4% 2042/6/20</t>
  </si>
  <si>
    <t>3)全面均衡</t>
    <phoneticPr fontId="53" type="noConversion"/>
  </si>
  <si>
    <t>換券雷達圖</t>
    <phoneticPr fontId="55" type="noConversion"/>
  </si>
  <si>
    <t>被選中的成為9999</t>
    <phoneticPr fontId="55" type="noConversion"/>
  </si>
  <si>
    <t>移除</t>
    <phoneticPr fontId="55" type="noConversion"/>
  </si>
  <si>
    <t>自訂清單</t>
    <phoneticPr fontId="53" type="noConversion"/>
  </si>
  <si>
    <t>清單</t>
    <phoneticPr fontId="53" type="noConversion"/>
  </si>
  <si>
    <t>名稱</t>
    <phoneticPr fontId="53" type="noConversion"/>
  </si>
  <si>
    <t>&lt;=自訂清單</t>
    <phoneticPr fontId="53" type="noConversion"/>
  </si>
  <si>
    <t>自訂與否</t>
    <phoneticPr fontId="53" type="noConversion"/>
  </si>
  <si>
    <t>產業分布</t>
    <phoneticPr fontId="55" type="noConversion"/>
  </si>
  <si>
    <t>2024/11/1</t>
  </si>
  <si>
    <t>2024/10/28</t>
  </si>
  <si>
    <t>XH860</t>
  </si>
  <si>
    <t>美國政府公債 4.125% 2032/11/15</t>
  </si>
  <si>
    <t>US91282CFV81</t>
  </si>
  <si>
    <t>2022/11/15</t>
  </si>
  <si>
    <t>2023/5/15</t>
  </si>
  <si>
    <t>XH870</t>
  </si>
  <si>
    <t>美國政府公債 4.5% 2038/5/15</t>
  </si>
  <si>
    <t>US912810PX00</t>
  </si>
  <si>
    <t>2008/8/15</t>
  </si>
  <si>
    <t>2008/5/15</t>
  </si>
  <si>
    <t>XH880</t>
  </si>
  <si>
    <t>美國政府公債 4.625% 2040/2/15</t>
  </si>
  <si>
    <t>US912810QE10</t>
  </si>
  <si>
    <t>2040/2/15</t>
  </si>
  <si>
    <t>2010/2/16</t>
  </si>
  <si>
    <t>2010/2/15</t>
  </si>
  <si>
    <t>2010/8/15</t>
  </si>
  <si>
    <t>XH890</t>
  </si>
  <si>
    <t>英特爾公司美元配息債券 4.8% 2041/10/1</t>
  </si>
  <si>
    <t>US458140AK64</t>
  </si>
  <si>
    <t>2041/10/1</t>
  </si>
  <si>
    <t>2012/4/1</t>
  </si>
  <si>
    <t>XH900</t>
  </si>
  <si>
    <t>英特爾公司美元配息債券 4.1% 2047/5/11</t>
  </si>
  <si>
    <t>US458140AY68</t>
  </si>
  <si>
    <t>2047/5/11</t>
  </si>
  <si>
    <t>2046/11/11</t>
  </si>
  <si>
    <t>2017/5/11</t>
  </si>
  <si>
    <t>2017/11/11</t>
  </si>
  <si>
    <t>剩餘年期</t>
    <phoneticPr fontId="55" type="noConversion"/>
  </si>
  <si>
    <t>存續期間</t>
    <phoneticPr fontId="55" type="noConversion"/>
  </si>
  <si>
    <t>未來1</t>
    <phoneticPr fontId="53" type="noConversion"/>
  </si>
  <si>
    <t>未來2</t>
    <phoneticPr fontId="53" type="noConversion"/>
  </si>
  <si>
    <t>未來3</t>
  </si>
  <si>
    <t>未來4</t>
  </si>
  <si>
    <t>未來5</t>
  </si>
  <si>
    <t>未來6</t>
  </si>
  <si>
    <t>未來7</t>
  </si>
  <si>
    <t>未來8</t>
  </si>
  <si>
    <t>未來9</t>
  </si>
  <si>
    <t>未來10</t>
  </si>
  <si>
    <t>未來11</t>
  </si>
  <si>
    <t>未來12</t>
  </si>
  <si>
    <t>單次配息</t>
    <phoneticPr fontId="53" type="noConversion"/>
  </si>
  <si>
    <t>投入成本</t>
    <phoneticPr fontId="53" type="noConversion"/>
  </si>
  <si>
    <t>配息現金流</t>
    <phoneticPr fontId="55" type="noConversion"/>
  </si>
  <si>
    <t>單檔情境</t>
    <phoneticPr fontId="53" type="noConversion"/>
  </si>
  <si>
    <t>多檔換券資格</t>
    <phoneticPr fontId="53" type="noConversion"/>
  </si>
  <si>
    <t>多檔選券策略</t>
    <phoneticPr fontId="53" type="noConversion"/>
  </si>
  <si>
    <t>多檔換頁標籤</t>
    <phoneticPr fontId="53" type="noConversion"/>
  </si>
  <si>
    <t>多檔情境</t>
    <phoneticPr fontId="53" type="noConversion"/>
  </si>
  <si>
    <t>&lt;=多檔換券資格</t>
  </si>
  <si>
    <t>&lt;=多檔換頁</t>
  </si>
  <si>
    <t>&lt;=多檔選券策略</t>
  </si>
  <si>
    <t>&lt;=多檔利率情境</t>
    <phoneticPr fontId="53" type="noConversion"/>
  </si>
  <si>
    <t>2024/11/2</t>
  </si>
  <si>
    <t>2024/11/3</t>
  </si>
  <si>
    <t>2024/11/4</t>
  </si>
  <si>
    <t>2024/11/6</t>
  </si>
  <si>
    <t>Ba3 / - / BB+</t>
  </si>
  <si>
    <t>起息日手動調整(DS137)</t>
    <phoneticPr fontId="53" type="noConversion"/>
  </si>
  <si>
    <t>第一票息日手動調整</t>
    <phoneticPr fontId="53" type="noConversion"/>
  </si>
  <si>
    <t>買下配(國調)</t>
    <phoneticPr fontId="53" type="noConversion"/>
  </si>
  <si>
    <t>考量第一票息日</t>
    <phoneticPr fontId="53" type="noConversion"/>
  </si>
  <si>
    <t>總金額</t>
    <phoneticPr fontId="55" type="noConversion"/>
  </si>
  <si>
    <t>項目</t>
    <phoneticPr fontId="53" type="noConversion"/>
  </si>
  <si>
    <t>價格(dirty+含息)</t>
    <phoneticPr fontId="53" type="noConversion"/>
  </si>
  <si>
    <t>最小增額試算(dirty+含息)</t>
  </si>
  <si>
    <t>最低增額試算(dirty+含息)</t>
    <phoneticPr fontId="55" type="noConversion"/>
  </si>
  <si>
    <t>最小累計增額</t>
    <phoneticPr fontId="55" type="noConversion"/>
  </si>
  <si>
    <t>最低下單面額</t>
    <phoneticPr fontId="55" type="noConversion"/>
  </si>
  <si>
    <t>check面額</t>
    <phoneticPr fontId="55" type="noConversion"/>
  </si>
  <si>
    <t>Check$</t>
    <phoneticPr fontId="55" type="noConversion"/>
  </si>
  <si>
    <t>加計面額單位數1</t>
    <phoneticPr fontId="53" type="noConversion"/>
  </si>
  <si>
    <t>加計面額單位數2</t>
    <phoneticPr fontId="53" type="noConversion"/>
  </si>
  <si>
    <t>final面額</t>
    <phoneticPr fontId="53" type="noConversion"/>
  </si>
  <si>
    <t>final$</t>
    <phoneticPr fontId="55" type="noConversion"/>
  </si>
  <si>
    <t>第一層分配</t>
    <phoneticPr fontId="55" type="noConversion"/>
  </si>
  <si>
    <t>第二層分配</t>
    <phoneticPr fontId="55" type="noConversion"/>
  </si>
  <si>
    <t>第三層分配</t>
    <phoneticPr fontId="55" type="noConversion"/>
  </si>
  <si>
    <t>第四層分配</t>
    <phoneticPr fontId="55" type="noConversion"/>
  </si>
  <si>
    <t>檢測</t>
    <phoneticPr fontId="55" type="noConversion"/>
  </si>
  <si>
    <t>平均價格</t>
    <phoneticPr fontId="55" type="noConversion"/>
  </si>
  <si>
    <t>組合檔數</t>
    <phoneticPr fontId="55" type="noConversion"/>
  </si>
  <si>
    <r>
      <t>1萬(剩餘平均&lt;</t>
    </r>
    <r>
      <rPr>
        <sz val="12"/>
        <color theme="1"/>
        <rFont val="微軟正黑體"/>
        <family val="2"/>
        <charset val="136"/>
        <scheme val="minor"/>
      </rPr>
      <t>1萬)</t>
    </r>
    <phoneticPr fontId="55" type="noConversion"/>
  </si>
  <si>
    <t>1萬(剩餘平均&gt;1萬)</t>
    <phoneticPr fontId="55" type="noConversion"/>
  </si>
  <si>
    <t>10萬</t>
    <phoneticPr fontId="55" type="noConversion"/>
  </si>
  <si>
    <t>15萬</t>
    <phoneticPr fontId="55" type="noConversion"/>
  </si>
  <si>
    <t>20萬</t>
    <phoneticPr fontId="55" type="noConversion"/>
  </si>
  <si>
    <t>25萬</t>
    <phoneticPr fontId="55" type="noConversion"/>
  </si>
  <si>
    <t>可分配的「最低下單面額」</t>
    <phoneticPr fontId="53" type="noConversion"/>
  </si>
  <si>
    <t>check(分配面額)
第一次</t>
    <phoneticPr fontId="55" type="noConversion"/>
  </si>
  <si>
    <t>1萬(剩餘平均&lt;1萬)</t>
    <phoneticPr fontId="55" type="noConversion"/>
  </si>
  <si>
    <t>check面額</t>
    <phoneticPr fontId="53" type="noConversion"/>
  </si>
  <si>
    <t>合計</t>
    <phoneticPr fontId="55" type="noConversion"/>
  </si>
  <si>
    <t>對應筆數</t>
    <phoneticPr fontId="55" type="noConversion"/>
  </si>
  <si>
    <t>初步check後剩餘
未分配金額(面額)</t>
    <phoneticPr fontId="55" type="noConversion"/>
  </si>
  <si>
    <t>最小增額</t>
    <phoneticPr fontId="55" type="noConversion"/>
  </si>
  <si>
    <t>單位數</t>
    <phoneticPr fontId="55" type="noConversion"/>
  </si>
  <si>
    <t>check(分配面額)
第二次</t>
    <phoneticPr fontId="55" type="noConversion"/>
  </si>
  <si>
    <t>小計面額單位數(a)</t>
    <phoneticPr fontId="55" type="noConversion"/>
  </si>
  <si>
    <t>check$</t>
    <phoneticPr fontId="53" type="noConversion"/>
  </si>
  <si>
    <t>小計面額單位數(b)</t>
    <phoneticPr fontId="55" type="noConversion"/>
  </si>
  <si>
    <t>加計面額(a+b)</t>
    <phoneticPr fontId="55" type="noConversion"/>
  </si>
  <si>
    <t>第一次倍數</t>
    <phoneticPr fontId="55" type="noConversion"/>
  </si>
  <si>
    <t>第二次倍數</t>
    <phoneticPr fontId="55" type="noConversion"/>
  </si>
  <si>
    <t>初步求目標解(最小增額10000)</t>
  </si>
  <si>
    <t>剩餘未分配金額(面額)</t>
    <phoneticPr fontId="55" type="noConversion"/>
  </si>
  <si>
    <t>數列中最小累計增額</t>
  </si>
  <si>
    <t>排序大到小</t>
    <phoneticPr fontId="53" type="noConversion"/>
  </si>
  <si>
    <t>金額或面額</t>
    <phoneticPr fontId="53" type="noConversion"/>
  </si>
  <si>
    <t>對應項目</t>
    <phoneticPr fontId="53" type="noConversion"/>
  </si>
  <si>
    <t>最小累計增額</t>
  </si>
  <si>
    <t>最低下單面額</t>
    <phoneticPr fontId="53" type="noConversion"/>
  </si>
  <si>
    <t>1單位</t>
    <phoneticPr fontId="55" type="noConversion"/>
  </si>
  <si>
    <t>加計面額單位數</t>
    <phoneticPr fontId="53" type="noConversion"/>
  </si>
  <si>
    <t>剩餘分配金額</t>
    <phoneticPr fontId="53" type="noConversion"/>
  </si>
  <si>
    <t>final面額單位數</t>
    <phoneticPr fontId="53" type="noConversion"/>
  </si>
  <si>
    <t>換券標的</t>
    <phoneticPr fontId="55" type="noConversion"/>
  </si>
  <si>
    <t>求最終目標解(小於1000)</t>
    <phoneticPr fontId="53" type="noConversion"/>
  </si>
  <si>
    <t>第五層分配</t>
    <phoneticPr fontId="55" type="noConversion"/>
  </si>
  <si>
    <t>第六層分配</t>
    <phoneticPr fontId="55" type="noConversion"/>
  </si>
  <si>
    <t>第七層分配</t>
    <phoneticPr fontId="53" type="noConversion"/>
  </si>
  <si>
    <t>100萬</t>
    <phoneticPr fontId="53" type="noConversion"/>
  </si>
  <si>
    <r>
      <rPr>
        <b/>
        <sz val="10"/>
        <color indexed="8"/>
        <rFont val="Arial Unicode MS"/>
        <family val="2"/>
        <charset val="136"/>
      </rPr>
      <t>債券名稱</t>
    </r>
    <phoneticPr fontId="53" type="noConversion"/>
  </si>
  <si>
    <t>投有成本(含息)</t>
    <phoneticPr fontId="53" type="noConversion"/>
  </si>
  <si>
    <t>庫存標的</t>
    <phoneticPr fontId="53" type="noConversion"/>
  </si>
  <si>
    <t>轉換標的</t>
    <phoneticPr fontId="53" type="noConversion"/>
  </si>
  <si>
    <t>自行輸入面額</t>
    <phoneticPr fontId="53" type="noConversion"/>
  </si>
  <si>
    <t>含息含UF賣價</t>
    <phoneticPr fontId="53" type="noConversion"/>
  </si>
  <si>
    <t>合計</t>
    <phoneticPr fontId="53" type="noConversion"/>
  </si>
  <si>
    <t>剩餘可分配</t>
    <phoneticPr fontId="53" type="noConversion"/>
  </si>
  <si>
    <t>&lt;=面額方式</t>
    <phoneticPr fontId="53" type="noConversion"/>
  </si>
  <si>
    <t>方式</t>
    <phoneticPr fontId="53" type="noConversion"/>
  </si>
  <si>
    <t>2024/11/8</t>
  </si>
  <si>
    <t>多檔換券</t>
    <phoneticPr fontId="53" type="noConversion"/>
  </si>
  <si>
    <t>幣別</t>
    <phoneticPr fontId="53" type="noConversion"/>
  </si>
  <si>
    <t>幣別</t>
    <phoneticPr fontId="55" type="noConversion"/>
  </si>
  <si>
    <t>美元(USD)</t>
  </si>
  <si>
    <t>人民幣(CNY)</t>
  </si>
  <si>
    <t>南非幣(ZAR)</t>
  </si>
  <si>
    <t>澳幣(AUD)</t>
  </si>
  <si>
    <t>加幣(CAD)</t>
  </si>
  <si>
    <t>紐幣(NZD)</t>
  </si>
  <si>
    <t>歐元(EUR)</t>
  </si>
  <si>
    <t>庫存部位</t>
    <phoneticPr fontId="53" type="noConversion"/>
  </si>
  <si>
    <t>幣別</t>
    <phoneticPr fontId="53" type="noConversion"/>
  </si>
  <si>
    <t>預設代碼</t>
    <phoneticPr fontId="53" type="noConversion"/>
  </si>
  <si>
    <r>
      <t>海 外 債 券 投 資 商 品 換 券 評 估 試 算 專 區  【 美 元 計 價 組 合 換 券 】</t>
    </r>
    <r>
      <rPr>
        <b/>
        <sz val="32"/>
        <color rgb="FF005439"/>
        <rFont val="新細明體"/>
        <family val="1"/>
        <charset val="136"/>
      </rPr>
      <t>Ⅱ</t>
    </r>
    <phoneticPr fontId="53" type="noConversion"/>
  </si>
  <si>
    <r>
      <t>海 外 債 券 投 資 商 品 換 券 評 估 試 算 專 區  【美 元 計 價 組 合 換 券 】</t>
    </r>
    <r>
      <rPr>
        <b/>
        <sz val="32"/>
        <color rgb="FF005439"/>
        <rFont val="新細明體"/>
        <family val="1"/>
        <charset val="136"/>
      </rPr>
      <t>Ⅰ</t>
    </r>
    <phoneticPr fontId="53" type="noConversion"/>
  </si>
  <si>
    <t>庫存轉換債券差異圖(組合標的比較)</t>
    <phoneticPr fontId="55" type="noConversion"/>
  </si>
  <si>
    <t>(轉出標的+未轉換標的)</t>
    <phoneticPr fontId="55" type="noConversion"/>
  </si>
  <si>
    <t>(轉入標的+未轉換標的)</t>
    <phoneticPr fontId="55" type="noConversion"/>
  </si>
  <si>
    <t>限美元計價標的轉換</t>
    <phoneticPr fontId="55" type="noConversion"/>
  </si>
  <si>
    <t>1)套用</t>
    <phoneticPr fontId="53" type="noConversion"/>
  </si>
  <si>
    <t>2)取消</t>
    <phoneticPr fontId="53" type="noConversion"/>
  </si>
  <si>
    <t>非核心</t>
    <phoneticPr fontId="53" type="noConversion"/>
  </si>
  <si>
    <t>非核心</t>
    <phoneticPr fontId="53" type="noConversion"/>
  </si>
  <si>
    <t>選券策略1</t>
    <phoneticPr fontId="53" type="noConversion"/>
  </si>
  <si>
    <t>選券策略2</t>
    <phoneticPr fontId="53" type="noConversion"/>
  </si>
  <si>
    <t>選券策略3</t>
    <phoneticPr fontId="53" type="noConversion"/>
  </si>
  <si>
    <t>庫存轉換債券差異圖(換券組合比較)</t>
    <phoneticPr fontId="53" type="noConversion"/>
  </si>
  <si>
    <t>整體庫存</t>
    <phoneticPr fontId="53" type="noConversion"/>
  </si>
  <si>
    <t>整體新舊庫存</t>
    <phoneticPr fontId="53" type="noConversion"/>
  </si>
  <si>
    <t>轉換組合投入佔比</t>
    <phoneticPr fontId="53" type="noConversion"/>
  </si>
  <si>
    <t>2024/11/10</t>
  </si>
  <si>
    <t>&lt;=庫存部位</t>
    <phoneticPr fontId="53" type="noConversion"/>
  </si>
  <si>
    <t>部位</t>
    <phoneticPr fontId="53" type="noConversion"/>
  </si>
  <si>
    <t>USD</t>
    <phoneticPr fontId="55" type="noConversion"/>
  </si>
  <si>
    <t>利息第n欄</t>
    <phoneticPr fontId="53" type="noConversion"/>
  </si>
  <si>
    <t>面額第n欄</t>
    <phoneticPr fontId="53" type="noConversion"/>
  </si>
  <si>
    <t>新舊庫存組合差異比較</t>
    <phoneticPr fontId="53" type="noConversion"/>
  </si>
  <si>
    <r>
      <t xml:space="preserve">增值潛力(台幣)
</t>
    </r>
    <r>
      <rPr>
        <b/>
        <sz val="8"/>
        <color theme="0" tint="-0.34998626667073579"/>
        <rFont val="微軟正黑體"/>
        <family val="1"/>
        <charset val="136"/>
        <scheme val="minor"/>
      </rPr>
      <t>(殖利率下降1%)</t>
    </r>
    <phoneticPr fontId="55" type="noConversion"/>
  </si>
  <si>
    <t>面額(台幣)</t>
    <phoneticPr fontId="55" type="noConversion"/>
  </si>
  <si>
    <t>年領利息(台幣)</t>
    <phoneticPr fontId="55" type="noConversion"/>
  </si>
  <si>
    <t>註：為避免多幣別，年領利息、面額及剩餘年期皆換算為台幣比較</t>
    <phoneticPr fontId="53" type="noConversion"/>
  </si>
  <si>
    <t>舊庫存現值(台幣)</t>
    <phoneticPr fontId="53" type="noConversion"/>
  </si>
  <si>
    <t>舊庫存現值(換算回美元)</t>
    <phoneticPr fontId="53" type="noConversion"/>
  </si>
  <si>
    <t>換算面額</t>
    <phoneticPr fontId="53" type="noConversion"/>
  </si>
  <si>
    <t>含息含UF賣價</t>
    <phoneticPr fontId="53" type="noConversion"/>
  </si>
  <si>
    <t>票面利率</t>
    <phoneticPr fontId="53" type="noConversion"/>
  </si>
  <si>
    <t>年領利息(台幣)</t>
    <phoneticPr fontId="53" type="noConversion"/>
  </si>
  <si>
    <t>MOD</t>
    <phoneticPr fontId="53" type="noConversion"/>
  </si>
  <si>
    <t>clean申購價</t>
    <phoneticPr fontId="53" type="noConversion"/>
  </si>
  <si>
    <t>增值潛力(台幣)</t>
    <phoneticPr fontId="53" type="noConversion"/>
  </si>
  <si>
    <t>2024/11/11</t>
  </si>
  <si>
    <t>2024/11/12</t>
  </si>
  <si>
    <t>2024/11/13</t>
  </si>
  <si>
    <t>XH910</t>
  </si>
  <si>
    <t>科磊公司美元配息債券 5% 2049/3/15</t>
  </si>
  <si>
    <t>A2 / A- / A</t>
  </si>
  <si>
    <t>US482480AH34</t>
  </si>
  <si>
    <t>科磊公司</t>
  </si>
  <si>
    <t>2049/3/15</t>
  </si>
  <si>
    <t>KLAC</t>
  </si>
  <si>
    <t>科磊公司(KLA Corporation)生產並經銷半導體。該公司提供表面輪廓儀、奈米機械測試儀、晶片及半導體組裝解決方案。科磊於美國行銷其產品。</t>
  </si>
  <si>
    <t>2048/9/15</t>
  </si>
  <si>
    <t>2019/3/20</t>
  </si>
  <si>
    <t>確認是否在庫存清單</t>
    <phoneticPr fontId="53" type="noConversion"/>
  </si>
  <si>
    <t>2024/11/14</t>
  </si>
  <si>
    <t>2024/11/15</t>
  </si>
  <si>
    <t>Baa2 / BBB- / BBB</t>
  </si>
  <si>
    <t>轉出標的</t>
    <phoneticPr fontId="55" type="noConversion"/>
  </si>
  <si>
    <t>轉入標的</t>
    <phoneticPr fontId="55" type="noConversion"/>
  </si>
  <si>
    <t>轉出標的列表</t>
    <phoneticPr fontId="55" type="noConversion"/>
  </si>
  <si>
    <t>轉入標的列表</t>
    <phoneticPr fontId="55" type="noConversion"/>
  </si>
  <si>
    <t>庫存/申購
YTM</t>
    <phoneticPr fontId="55" type="noConversion"/>
  </si>
  <si>
    <t>贖回/申購價
(含前手息)</t>
    <phoneticPr fontId="55" type="noConversion"/>
  </si>
  <si>
    <t>原庫存組合</t>
    <phoneticPr fontId="55" type="noConversion"/>
  </si>
  <si>
    <t>新庫存組合</t>
    <phoneticPr fontId="55" type="noConversion"/>
  </si>
  <si>
    <t>1)新庫存組合</t>
    <phoneticPr fontId="53" type="noConversion"/>
  </si>
  <si>
    <t>2)原庫存組合</t>
    <phoneticPr fontId="53" type="noConversion"/>
  </si>
  <si>
    <t>篩選資格
(考量非美元、已下架、例外調整及排除自己)</t>
    <phoneticPr fontId="53" type="noConversion"/>
  </si>
  <si>
    <t>2025/5/19</t>
  </si>
  <si>
    <t>A2 / A / WD</t>
  </si>
  <si>
    <t>2024/11/20</t>
  </si>
  <si>
    <t>XH930</t>
  </si>
  <si>
    <t>波音公司美元配息債券 3.9% 2049/5/1</t>
  </si>
  <si>
    <t>US097023CK94</t>
  </si>
  <si>
    <t>2049/5/1</t>
  </si>
  <si>
    <t>2048/11/1</t>
  </si>
  <si>
    <t>2019/5/2</t>
  </si>
  <si>
    <t>2019/11/1</t>
  </si>
  <si>
    <t>2024/11/21</t>
  </si>
  <si>
    <t>2024/11/23</t>
  </si>
  <si>
    <r>
      <rPr>
        <sz val="11"/>
        <rFont val="細明體"/>
        <family val="3"/>
        <charset val="136"/>
      </rPr>
      <t xml:space="preserve">年領利息評分
</t>
    </r>
    <r>
      <rPr>
        <sz val="11"/>
        <rFont val="Calibri"/>
        <family val="2"/>
      </rPr>
      <t>(</t>
    </r>
    <r>
      <rPr>
        <sz val="11"/>
        <rFont val="細明體"/>
        <family val="3"/>
        <charset val="136"/>
      </rPr>
      <t>排除自己</t>
    </r>
    <r>
      <rPr>
        <sz val="11"/>
        <rFont val="Calibri"/>
        <family val="2"/>
      </rPr>
      <t>)</t>
    </r>
    <phoneticPr fontId="53" type="noConversion"/>
  </si>
  <si>
    <t>Ba3u / BB+ / -</t>
  </si>
  <si>
    <t>2024/11/25</t>
  </si>
  <si>
    <t>2024/11/24</t>
  </si>
  <si>
    <t>Ba1 / BB+ / BB+</t>
  </si>
  <si>
    <t>- / BB+ / -</t>
  </si>
  <si>
    <t>參考YTM</t>
    <phoneticPr fontId="55" type="noConversion"/>
  </si>
  <si>
    <t>剩餘現金(USD)</t>
    <phoneticPr fontId="55" type="noConversion"/>
  </si>
  <si>
    <t>多檔頁面名稱</t>
    <phoneticPr fontId="53" type="noConversion"/>
  </si>
  <si>
    <t>A1 / A / A+</t>
  </si>
  <si>
    <t>Baa1 / BBB+ *- / BBB+</t>
  </si>
  <si>
    <t>2024/11/29</t>
  </si>
  <si>
    <t>IFERROR(IF(SUBTOTAL(101,庫存部位[庫存部位])=1.5,1,SUBTOTAL(101,庫存部位[庫存部位])),1)</t>
    <phoneticPr fontId="53" type="noConversion"/>
  </si>
  <si>
    <t>IFERROR(IF(SUBTOTAL(101,多檔利率情境[多檔情境])=1.5,1,SUBTOTAL(101,多檔利率情境[多檔情境])),1)</t>
    <phoneticPr fontId="53" type="noConversion"/>
  </si>
  <si>
    <t>IFERROR(IF(SUBTOTAL(101,利率情境[單檔情境])=1.5,1,SUBTOTAL(101,利率情境[單檔情境])),1)</t>
    <phoneticPr fontId="53" type="noConversion"/>
  </si>
  <si>
    <t>商品名稱</t>
    <phoneticPr fontId="53" type="noConversion"/>
  </si>
  <si>
    <t>篩選清單</t>
    <phoneticPr fontId="53" type="noConversion"/>
  </si>
  <si>
    <t>指標</t>
    <phoneticPr fontId="53" type="noConversion"/>
  </si>
  <si>
    <t>4)自訂清單</t>
    <phoneticPr fontId="53" type="noConversion"/>
  </si>
  <si>
    <t>&lt;4為自訂，其他為預設</t>
    <phoneticPr fontId="53" type="noConversion"/>
  </si>
  <si>
    <t>預設面額(平均分配)</t>
    <phoneticPr fontId="53" type="noConversion"/>
  </si>
  <si>
    <t>(沒有用了)</t>
    <phoneticPr fontId="53" type="noConversion"/>
  </si>
  <si>
    <t>1為面額自訂，2為預設</t>
    <phoneticPr fontId="53" type="noConversion"/>
  </si>
  <si>
    <t>4)自訂清單</t>
    <phoneticPr fontId="53" type="noConversion"/>
  </si>
  <si>
    <t>產品名稱(庫)</t>
    <phoneticPr fontId="53" type="noConversion"/>
  </si>
  <si>
    <t>自訂清單</t>
    <phoneticPr fontId="53" type="noConversion"/>
  </si>
  <si>
    <t>產品名稱(自訂)</t>
    <phoneticPr fontId="53" type="noConversion"/>
  </si>
  <si>
    <t>產品名稱(庫)</t>
    <phoneticPr fontId="53" type="noConversion"/>
  </si>
  <si>
    <t>&lt;=4為自訂，其他為預設</t>
    <phoneticPr fontId="53" type="noConversion"/>
  </si>
  <si>
    <t>整體庫存~</t>
    <phoneticPr fontId="53" type="noConversion"/>
  </si>
  <si>
    <t>桑坦德集團控股公開有限公司(英國)(Santander UK Group Holdings PLC)為一家控股公司。該公司透過旗下子公司，為零售與機構客戶提供商業銀行服務。桑坦德集團控股提供經常帳、信用卡、貸款、抵押貸款、保險，以及儲蓄與投資。</t>
  </si>
  <si>
    <t>荷蘭市政銀行公眾有限公司(BNG Bank N.V.)提供銀行服務。該公司提供的金融服務包括：貸款、借貸、資金轉帳、顧問與諮詢服務、電子銀行，以及投資基金。荷蘭市政銀行服務荷蘭的客戶。</t>
  </si>
  <si>
    <t>阿曼政府國際債券(Oman Government International Bond)為主權國家的政府單位。 該單位服務阿曼的社群。</t>
  </si>
  <si>
    <t>Natura &amp;Co Luxembourg Holdin</t>
  </si>
  <si>
    <t>Aa2 / AA- / AA-</t>
  </si>
  <si>
    <t>清單(暫存)</t>
    <phoneticPr fontId="53" type="noConversion"/>
  </si>
  <si>
    <t>產品名稱(暫存)</t>
    <phoneticPr fontId="53" type="noConversion"/>
  </si>
  <si>
    <t>清單(暫存)</t>
    <phoneticPr fontId="53" type="noConversion"/>
  </si>
  <si>
    <t>產品名稱(暫存)</t>
    <phoneticPr fontId="53" type="noConversion"/>
  </si>
  <si>
    <t>幣別(暫存)</t>
    <phoneticPr fontId="53" type="noConversion"/>
  </si>
  <si>
    <t>2024/11/30</t>
  </si>
  <si>
    <t>殖利率變動幅度</t>
    <phoneticPr fontId="55" type="noConversion"/>
  </si>
  <si>
    <t>最佳信評</t>
    <phoneticPr fontId="55" type="noConversion"/>
  </si>
  <si>
    <t>申購面額</t>
  </si>
  <si>
    <t>最佳信評(自)</t>
    <phoneticPr fontId="53" type="noConversion"/>
  </si>
  <si>
    <t>最佳信評(預)</t>
    <phoneticPr fontId="53" type="noConversion"/>
  </si>
  <si>
    <t>最佳信評(自)</t>
    <phoneticPr fontId="53" type="noConversion"/>
  </si>
  <si>
    <t>最佳評等</t>
    <phoneticPr fontId="55" type="noConversion"/>
  </si>
  <si>
    <t>顯示在庫存管理</t>
    <phoneticPr fontId="53" type="noConversion"/>
  </si>
  <si>
    <t>買進日期</t>
    <phoneticPr fontId="53" type="noConversion"/>
  </si>
  <si>
    <t>庫存底稿</t>
    <phoneticPr fontId="53" type="noConversion"/>
  </si>
  <si>
    <t>頁碼</t>
    <phoneticPr fontId="53" type="noConversion"/>
  </si>
  <si>
    <t>買進檢測</t>
    <phoneticPr fontId="26" type="noConversion"/>
  </si>
  <si>
    <t>面額檢測</t>
    <phoneticPr fontId="26" type="noConversion"/>
  </si>
  <si>
    <t>2024/12/1</t>
  </si>
  <si>
    <t>2024/12/3</t>
  </si>
  <si>
    <t>可換券最大值</t>
    <phoneticPr fontId="53" type="noConversion"/>
  </si>
  <si>
    <t>推薦最大值</t>
    <phoneticPr fontId="53" type="noConversion"/>
  </si>
  <si>
    <t>排序</t>
  </si>
  <si>
    <t>代碼</t>
  </si>
  <si>
    <t>選券策略1</t>
  </si>
  <si>
    <t>選券策略2</t>
  </si>
  <si>
    <t>選券策略3</t>
  </si>
  <si>
    <t>推薦清單~</t>
    <phoneticPr fontId="53" type="noConversion"/>
  </si>
  <si>
    <t>增值潛力</t>
  </si>
  <si>
    <t>顯示代碼</t>
    <phoneticPr fontId="53" type="noConversion"/>
  </si>
  <si>
    <t>推薦最大值(含自己)</t>
    <phoneticPr fontId="53" type="noConversion"/>
  </si>
  <si>
    <t>可換券最大值(含自已)</t>
    <phoneticPr fontId="53" type="noConversion"/>
  </si>
  <si>
    <t>庫存標的</t>
    <phoneticPr fontId="53" type="noConversion"/>
  </si>
  <si>
    <t>轉換標的</t>
    <phoneticPr fontId="53" type="noConversion"/>
  </si>
  <si>
    <t>2024/12/4</t>
  </si>
  <si>
    <t>2024/12/5</t>
  </si>
  <si>
    <t>2024/12/10</t>
  </si>
  <si>
    <t>2024/12/9</t>
  </si>
  <si>
    <t>2024/12/8</t>
  </si>
  <si>
    <t>真正的庫存</t>
    <phoneticPr fontId="53" type="noConversion"/>
  </si>
  <si>
    <t>合併資料頁面顯示</t>
    <phoneticPr fontId="53" type="noConversion"/>
  </si>
  <si>
    <t>頁碼</t>
    <phoneticPr fontId="53" type="noConversion"/>
  </si>
  <si>
    <t>合併資料頁面</t>
    <phoneticPr fontId="53" type="noConversion"/>
  </si>
  <si>
    <t>商品代碼</t>
    <phoneticPr fontId="53" type="noConversion"/>
  </si>
  <si>
    <t>買進日期</t>
  </si>
  <si>
    <t>投資面額</t>
  </si>
  <si>
    <t>庫存成本</t>
  </si>
  <si>
    <t>頁碼</t>
    <phoneticPr fontId="53" type="noConversion"/>
  </si>
  <si>
    <t>起始編號</t>
    <phoneticPr fontId="55" type="noConversion"/>
  </si>
  <si>
    <t>位址索引</t>
    <phoneticPr fontId="53" type="noConversion"/>
  </si>
  <si>
    <t>顯示</t>
    <phoneticPr fontId="53" type="noConversion"/>
  </si>
  <si>
    <t>可重覆</t>
    <phoneticPr fontId="53" type="noConversion"/>
  </si>
  <si>
    <t>總頁數</t>
    <phoneticPr fontId="53" type="noConversion"/>
  </si>
  <si>
    <t>切換頁面</t>
    <phoneticPr fontId="53" type="noConversion"/>
  </si>
  <si>
    <t>起始編號</t>
    <phoneticPr fontId="53" type="noConversion"/>
  </si>
  <si>
    <t>總頁數</t>
    <phoneticPr fontId="53" type="noConversion"/>
  </si>
  <si>
    <t>選定編號</t>
    <phoneticPr fontId="53" type="noConversion"/>
  </si>
  <si>
    <t>單頁最大檔數</t>
    <phoneticPr fontId="53" type="noConversion"/>
  </si>
  <si>
    <t>編號</t>
    <phoneticPr fontId="53" type="noConversion"/>
  </si>
  <si>
    <t>投資面額</t>
    <phoneticPr fontId="53" type="noConversion"/>
  </si>
  <si>
    <t>庫存成本</t>
    <phoneticPr fontId="53" type="noConversion"/>
  </si>
  <si>
    <t>投資組合小計(台幣)</t>
    <phoneticPr fontId="55" type="noConversion"/>
  </si>
  <si>
    <t>參考贖回總金額</t>
    <phoneticPr fontId="53" type="noConversion"/>
  </si>
  <si>
    <t>利息報酬</t>
    <phoneticPr fontId="53" type="noConversion"/>
  </si>
  <si>
    <t>TWD</t>
    <phoneticPr fontId="53" type="noConversion"/>
  </si>
  <si>
    <t>選定編號</t>
    <phoneticPr fontId="53" type="noConversion"/>
  </si>
  <si>
    <t>總筆數</t>
    <phoneticPr fontId="53" type="noConversion"/>
  </si>
  <si>
    <t>最後一筆</t>
    <phoneticPr fontId="53" type="noConversion"/>
  </si>
  <si>
    <t>編號暫存</t>
    <phoneticPr fontId="53" type="noConversion"/>
  </si>
  <si>
    <t>Caa3 / CC / C</t>
  </si>
  <si>
    <t>Ba3 / B+ *+ / BB- *+</t>
  </si>
  <si>
    <t>2024/12/14</t>
  </si>
  <si>
    <t>Aa3 / - / AA</t>
  </si>
  <si>
    <t>最終編號</t>
    <phoneticPr fontId="53" type="noConversion"/>
  </si>
  <si>
    <t>2024/12/15</t>
  </si>
  <si>
    <t>2024/12/17</t>
  </si>
  <si>
    <t>選單(1單、2投)</t>
    <phoneticPr fontId="53" type="noConversion"/>
  </si>
  <si>
    <t>編號</t>
    <phoneticPr fontId="53" type="noConversion"/>
  </si>
  <si>
    <t>庫存flag(1：新；2：舊)</t>
    <phoneticPr fontId="53" type="noConversion"/>
  </si>
  <si>
    <t>幣別</t>
    <phoneticPr fontId="53" type="noConversion"/>
  </si>
  <si>
    <t>2024/12/20</t>
  </si>
  <si>
    <t>總筆數</t>
    <phoneticPr fontId="53" type="noConversion"/>
  </si>
  <si>
    <t>小計</t>
    <phoneticPr fontId="55" type="noConversion"/>
  </si>
  <si>
    <t>海 外 債 券 投 資 商 品 換 券 評 估 試 算 專 區  【單 檔 換 券 】</t>
    <phoneticPr fontId="53" type="noConversion"/>
  </si>
  <si>
    <t>&lt;=單檔利率情境</t>
    <phoneticPr fontId="53" type="noConversion"/>
  </si>
  <si>
    <t>IF(IF($V2=$A$16,VLOOKUP($W2,$A$2:$E$13,COLUMN(R2)-16,0),I2)=0,"", IF($V2=$A$16,VLOOKUP($W2,$A$2:$E$13,COLUMN(R2)-16,0),I2))</t>
    <phoneticPr fontId="53" type="noConversion"/>
  </si>
  <si>
    <t>IF(IF($V2=$A$16,VLOOKUP($W2,$A$2:$E$13,COLUMN(S2)-16,0),J2)=0,"",IF($V2=$A$16,VLOOKUP($W2,$A$2:$E$13,COLUMN(S2)-16,0),J2))</t>
    <phoneticPr fontId="53" type="noConversion"/>
  </si>
  <si>
    <t>IF(IF($V2=$A$16,VLOOKUP($W2,$A$2:$E$13,COLUMN(T2)-16,0),K2)=0,"",IF($V2=$A$16,VLOOKUP($W2,$A$2:$E$13,COLUMN(T2)-16,0),K2))</t>
    <phoneticPr fontId="53" type="noConversion"/>
  </si>
  <si>
    <t>IF(IF($V2=$A$16,VLOOKUP($W2,$A$2:$E$13,COLUMN(U2)-16,0),L2)=0,"",IF($V2=$A$16,VLOOKUP($W2,$A$2:$E$13,COLUMN(U2)-16,0),L2))</t>
    <phoneticPr fontId="53" type="noConversion"/>
  </si>
  <si>
    <t>清單不能刪！！</t>
    <phoneticPr fontId="53" type="noConversion"/>
  </si>
  <si>
    <t>篩選吧</t>
    <phoneticPr fontId="53" type="noConversion"/>
  </si>
  <si>
    <t>主要功能</t>
    <phoneticPr fontId="53" type="noConversion"/>
  </si>
  <si>
    <t>佔比變動</t>
    <phoneticPr fontId="26" type="noConversion"/>
  </si>
  <si>
    <t>2024/12/22</t>
  </si>
  <si>
    <t>1) 不適用</t>
    <phoneticPr fontId="53" type="noConversion"/>
  </si>
  <si>
    <t>計算檢測</t>
    <phoneticPr fontId="26" type="noConversion"/>
  </si>
  <si>
    <t>幣別數</t>
    <phoneticPr fontId="53" type="noConversion"/>
  </si>
  <si>
    <t>2024/12/26</t>
  </si>
  <si>
    <t>銷售對象</t>
    <phoneticPr fontId="53" type="noConversion"/>
  </si>
  <si>
    <t>高資產</t>
    <phoneticPr fontId="53" type="noConversion"/>
  </si>
  <si>
    <t>XG300</t>
    <phoneticPr fontId="53" type="noConversion"/>
  </si>
  <si>
    <t>XG900</t>
    <phoneticPr fontId="53" type="noConversion"/>
  </si>
  <si>
    <t>XG630</t>
    <phoneticPr fontId="53" type="noConversion"/>
  </si>
  <si>
    <t>2024/7/2</t>
  </si>
  <si>
    <t>XG300</t>
    <phoneticPr fontId="53" type="noConversion"/>
  </si>
  <si>
    <t>XFS90</t>
    <phoneticPr fontId="53" type="noConversion"/>
  </si>
  <si>
    <t>2024/7/3</t>
  </si>
  <si>
    <t>XH970</t>
  </si>
  <si>
    <t>力拓金融美國有限公司美元配息債券 5.2% 2040/11/2</t>
  </si>
  <si>
    <t>A1 / A / Au</t>
  </si>
  <si>
    <t>US767201AL06</t>
  </si>
  <si>
    <t>力拓金融美國有限公司</t>
  </si>
  <si>
    <t>2040/11/2</t>
  </si>
  <si>
    <t>力拓金融(美國)有限公司(Rio Tinto Finance (USA) Limited)為一家特殊目的機構。該公司生產鋼鐵的鐵礦石、汽車和智慧手機的鋁、風力渦輪機的銅、鑽石。力拓金融(美國)服務澳洲的客戶。</t>
  </si>
  <si>
    <t>2010/11/2</t>
  </si>
  <si>
    <t>2011/5/2</t>
  </si>
  <si>
    <t>XH980</t>
  </si>
  <si>
    <t>哈里伯頓公司美元配息債券 6.7% 2038/9/15</t>
  </si>
  <si>
    <t>US406216AW19</t>
  </si>
  <si>
    <t>2038/9/15</t>
  </si>
  <si>
    <t>2008/9/12</t>
  </si>
  <si>
    <t>2009/3/15</t>
  </si>
  <si>
    <t>排除浮動清單</t>
    <phoneticPr fontId="53" type="noConversion"/>
  </si>
  <si>
    <t>2024/7/4</t>
  </si>
  <si>
    <t>2024/12/30</t>
  </si>
  <si>
    <t>WR / NR / -</t>
  </si>
  <si>
    <t>2024/12/31</t>
  </si>
  <si>
    <t>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t>
    <phoneticPr fontId="55" type="noConversion"/>
  </si>
  <si>
    <t>艾伯維藥品有限公司(AbbVie Inc.)是一家生物製藥公司，其第一大明星藥品即為疫前全球暢銷處方藥之首的風濕性關節炎藥物修美樂(Humira)，2020年完成收購肉毒桿菌素製造商愛力根(Allegan)，取得醫美學界最大企業的控制權。按處方藥銷售額名列全球藥企第2位(Pharm Exec 2024)、按營收名列全球藥企第5位(Fortune 2023)。</t>
    <phoneticPr fontId="55" type="noConversion"/>
  </si>
  <si>
    <t>安海斯-布希英博全球公司(Anheuser-Busch InBev Worldwide Inc.)從事釀酒業務。保證機構百威英博(Anheuser-Busch InBev SA/NV)是世界最大的啤酒製造商，擁有逾500個啤酒品牌，全球旗艦品牌-可樂娜及百威於全球啤酒品牌價值排名第1及第3位(Brand finance 2024)。</t>
    <phoneticPr fontId="55" type="noConversion"/>
  </si>
  <si>
    <t>安海斯-布希英博金融公司(Anheuser-Busch InBev Finance Inc.)提供酒精飲料。保證機構百威英博(Anheuser-Busch InBev SA/NV)是世界最大的啤酒製造商，擁有逾500個啤酒品牌，全球旗艦品牌-可樂娜及百威於全球啤酒品牌價值排名第1及第3位(Brand finance 2024)。</t>
    <phoneticPr fontId="55" type="noConversion"/>
  </si>
  <si>
    <t>荷蘭銀行公眾有限公司(ABN AMRO Bank N.V.)為荷蘭具領導性之銀行，並為零售、私人銀行及企業客戶提供銀行服務；2024年《Brand Finance》全球銀行品牌價值排名中名列荷蘭銀行業第3位。</t>
    <phoneticPr fontId="55" type="noConversion"/>
  </si>
  <si>
    <t>亞培公司(Abbott Laboratories)是全球醫療保健領導者，業務觸及醫療設備、檢驗試劑、營養品及品牌學名藥等多元領域，旗下知名品牌有亞培安素、嬰兒配方奶粉Similac(心美力)、連續監控血糖檢測儀Freestyle libre等。2023年亞培連續第11年獲道瓊永續發展指數(DJSI)評為「醫療保健設備與用品」全球行業領導者地位。</t>
    <phoneticPr fontId="55" type="noConversion"/>
  </si>
  <si>
    <t xml:space="preserve">澳洲(Australia)為南半球經濟最發達的國家，以礦産出口和農牧業為主要經濟來源，被譽為「騎在羊背上、坐在礦車上、手持麥穗的國家」。疫前，澳洲實質GDP實現連續近30年正增長，三大信評機構並賦予AAA級最高信用評等，媲美美國、德國等富裕先進國家。
</t>
  </si>
  <si>
    <t>Adani港口及特別經濟區有限公司(Adani Ports and Special Economic Zone Limited)是印度最大的商業港口運營商，佔該國貨物運輸量近四分之一。該公司於印度西岸經營貨運港口，提供貨物處理、運輸、倉儲、物流及轉送服務，予能源、鐵路、熱能發電傳輸、農業及物流產業。</t>
    <phoneticPr fontId="55" type="noConversion"/>
  </si>
  <si>
    <t>阿達尼電力傳輸有限公司(Adani Transmission Limited)主要提供公用事業服務，包括電力發電、傳輸及配送服務，並提供操作及維修支援，為印度最大的私營輸電公司之一。</t>
  </si>
  <si>
    <t>Adani Transmission Step-One Limited(ATSOL)為印度阿達尼電力傳輸有限公司(Adani Transmission Limited，簡稱ATL)的全資子公司，本券由ATL提供保證。ATL為印度最大的私營輸電公司，且受益於其在印度高品質的輸配電(T&amp;D)資產帶來了可預測現金流。</t>
  </si>
  <si>
    <t>友邦保險控股有限公司(AIA Group Limited)為非經營性控股公司，與其附屬公司為最大的泛亞地區獨立上市人壽保險集團。AIA是全球唯一一家總部設於香港、於香港上市並100%專注於亞太區的國際人壽保險公司，按市值為全球第10大保險公司，於全球百大保險品牌價值排名第4位(Brand Finance 2024)。</t>
    <phoneticPr fontId="55" type="noConversion"/>
  </si>
  <si>
    <t>應用材料公司(Applied Materials, Inc.)為全球領先的晶圓廠設備(WFE)製造商，主要生產半導體晶片所需的前端製程設備，產品幾乎覆蓋除了曝光機(艾司摩爾控股公司ASML的強項)以外的大部分設備，台積電、三星電子、英特爾等全球知名半導體大廠皆為其客戶。</t>
  </si>
  <si>
    <t>安進公司(Amgen Inc.)為一家年營收超過250億美元的全球最大獨立生技醫藥公司，研發目標著重於六大領域：癌症／血液學、心血管疾病、炎症、骨質健康、神經科學及腎臟科，業務遍及全球約100個國家。該公司用於治療乾癬的「Otezla」為於美國市佔第一的口服治療藥物，公司於2024年《製藥經理人》全球50大藥企排名第14位。</t>
    <phoneticPr fontId="55" type="noConversion"/>
  </si>
  <si>
    <t>美國電塔公司(American Tower Corporation)是一家無線通訊以及廣播基礎設施公司，同時也是不動產投資信託(REITs)。橫跨17國基地台租賃業務，專攻基地台租賃(營收佔比98.5%)，基礎設施服務1.5%。北美市佔第一(37.7%)，美國以外業務以印度與巴西為最，分別經營7.5萬與1.9萬座鐵塔。2024年獲《新聞週刊》評為美國最值得信賴的公司之一。</t>
    <phoneticPr fontId="55" type="noConversion"/>
  </si>
  <si>
    <t>美洲電信公司(America Movil SAB de C.V.)為拉丁美洲綜合電信服務的領導供應商，擁有全球最多的無線用戶(排除中國及印度市場)並為客戶提供增值服務與增強通訊解決方案，為2023年《Fortune》世界500強電信企業排名第13位。</t>
  </si>
  <si>
    <t>美洲移動通訊公司(America Movil SAB de C.V.)為拉丁美洲綜合電信服務的領導供應商，擁有全球最多的無線用戶(排除中國及印度市場)並為客戶提供增值服務與增強通訊解決方案，為2023年《Fortune》世界500強電信企業排名第13位。</t>
  </si>
  <si>
    <t>亞馬遜公司(Amazon.com, Inc.)按營收為美國第2大、全球第4大企業(Fortune 2023)，是全球最大的網路零售商與雲端基礎建設供應商，商品銷售市占在美國達5成、雲端AWS囊括全球1/3市占，並在全球擁有超過2億的Prime付費會員。</t>
    <phoneticPr fontId="55" type="noConversion"/>
  </si>
  <si>
    <t>澳盛銀行集團股份有限公司(Australia and New Zealand Banking Group Limited；AZN)成立歷史可追溯自1835年，擁有超過180年的歷史，為澳洲四大行之一，且是紐西蘭和太平洋地區最大的銀行集團，於澳洲、紐西蘭、歐美與亞太地區等30個市場開展業務。</t>
    <phoneticPr fontId="55" type="noConversion"/>
  </si>
  <si>
    <t>沙烏地阿拉伯石油公司(Saudi Arabian Oil Company) 逾90%股權由國家持有，為全球營收最高、市值最高且獲利最豐的原油與天然氣整合公司，已探明原油儲量位居全球第二，日產量居油企之首。2024年6月總市值為全球第6大，達1.8兆美元，為非美企業榜首。</t>
    <phoneticPr fontId="55" type="noConversion"/>
  </si>
  <si>
    <t>博通公司(Broadcom Inc.)為美國半導體公司，負責晶片設計與銷售，並將生產、測試與封裝環節外包，發展歷程中透過不斷併購壯大集團實力，近年來多次蟬聯全球IC設計公司前三名榜單，與高通、輝達三強鼎立。2024年《Brand Finance》品牌價值中，博通排名全球半導體產業第6。</t>
    <phoneticPr fontId="55" type="noConversion"/>
  </si>
  <si>
    <t>美國運通(American Express)是一家全球性綜合支付公司，亦是世界上唯一一家同時身兼發卡、商戶收單和卡網路支付清算業務於一身的公司，名列富比世百大企業、財富全球500大公司之一，美國運通發行的頂級黑卡「 百夫長卡」被讚譽為世界上最強的信用卡。公司最大股東為巴菲特所職掌的波克夏海瑟威公司，持有美國運通已超過25年。</t>
  </si>
  <si>
    <t>阿斯特捷利康(AstraZeneca)英國市值最大藥廠、全球藥企50強第8位(製藥經理人 2024)，並為國際主要三家Covid-19疫苗開發商之一，2021年併入美國罕病藥物開發Alexion製藥公司，加速轉型成創新驅動型的全球生物製藥公司，專注於腫瘤、罕見疾病和生物製藥(包括心血管、腎臟和代謝、呼吸和免疫學)等領域。</t>
    <phoneticPr fontId="55" type="noConversion"/>
  </si>
  <si>
    <t>Astrazeneca Finance LLC(阿斯特捷利康的間接財務子公司)除發債之外無實質性業務活動。保證機構阿斯特捷利康(AstraZeneca)為全球藥企50強第8位(製藥經理人 2024)，並為國際主要三家Covid-19疫苗開發商之一，2021年併入美國罕病藥物開發Alexion製藥公司，加速轉型成創新驅動型的全球生物製藥公司。</t>
    <phoneticPr fontId="55" type="noConversion"/>
  </si>
  <si>
    <t>波音公司(The Boeing Company)航空、航太及國防技術領域的領導者，與空巴為全球唯二能夠生產大型寬體客機的製造商，且是全球第5大國防承包商(DefenseNews 2023)，於美國科技及軍事實力地位「舉足輕重」。2024年《Brand Finance》航太國防品牌價值位居第一。</t>
    <phoneticPr fontId="55" type="noConversion"/>
  </si>
  <si>
    <t>阿里巴巴集團控股有限公司(Alibaba Group Holding Limited)業務含括核心商業、雲計算、數位媒體、娛樂以及創新業務，名列2023年《Forbes》全球上市公司2000強第54位，並為全球市值第3大的電子商務公司(2024/6/6)。</t>
    <phoneticPr fontId="55" type="noConversion"/>
  </si>
  <si>
    <t>美國銀行(Bank of America Corporation)為全球系統重要性銀行(G-SIBs)之一，按一級資本排名位居全球第6大行、美國第2大行地位(The banker 2023)，名列2024年《Brand Finance》美系銀行品牌價值之首；自2017年以來美國銀行就持續保持在波克夏前三大持股。</t>
    <phoneticPr fontId="55" type="noConversion"/>
  </si>
  <si>
    <t>美銀美林(Merrill Lynch B.V.)提供經紀服務。本券保證機構美國銀行(Bank of America Corporation)為全球系統重要性銀行(G-SIBs)之一，按一級資本排名位居全球第6大行、美國第2大行地位(The banker 2023)，名列2024年《Brand Finance》美系銀行品牌價值之首。</t>
    <phoneticPr fontId="55" type="noConversion"/>
  </si>
  <si>
    <t>巴克萊集團(Barclays PLC)為全球系統重要性銀行(G-SIBs)之一，按資產為英國第2大、全球第18大行(S&amp;P  Global 2024)，亦是一家多元化的全能銀行，提供零售和商業銀行、企業和投資銀行，以及廣泛的國際消費貸款、信用卡和支付服務。2023年營收逾8成聚焦於英國及美國。</t>
    <phoneticPr fontId="55" type="noConversion"/>
  </si>
  <si>
    <t>英美菸草資本公司(B.A.T. Capital Corporation)英美菸草公開有限公司(British American Tobacco)的間接全資子公司。英美菸草為全球四大菸草巨頭之一，旗下香菸品牌Pall Mall於2024年《Brand Finance》全球菸草品牌價值排名第三。</t>
    <phoneticPr fontId="55" type="noConversion"/>
  </si>
  <si>
    <t>拜耳美國金融II有限責任公司(Bayer US Finance II LLC)為製藥公司。保證機構暨母公司拜耳(Bayer AG)歷史超過150年，主要專業領域為醫療保健與作物科學，名列2024年《Brand Finance》農業科學(Agriscience)品牌價值冠軍、2023年《Fortune》全球製藥業第6位。</t>
    <phoneticPr fontId="55" type="noConversion"/>
  </si>
  <si>
    <t>拜耳(Bayer AG)歷史超過150年，於2018年收購了農業生物科技領導者孟山都，當前主要專業領域為醫療保健與農作物科學，製造的產品包括：阿斯匹林、抗生素、抗感染藥劑、心血管、腫瘤、中樞神經系統藥物、非處方藥品、診斷、動物健康產品、農作物保護產品等。名列2024年《Brand Finance》農業科學(Agriscience)品牌價值冠軍。</t>
    <phoneticPr fontId="55" type="noConversion"/>
  </si>
  <si>
    <t>中國銀行香港有限公司(Bank of China Limited of Hong Kong)提供銀行服務。中國銀行按一級資本排名為中國及全球第4大行(The Banker 2023)，提供以公司金融、個人金融和金融市場等商業銀行業務為主體，涵蓋投行、直接投資、證券、保險、基金、飛機租賃、資產管理、金融科技、金融租賃等多個領域的全方位金融服務。</t>
  </si>
  <si>
    <t>中國銀行有限公司盧森堡分行(Bank of China Ltd of Luxembourg)提供銀行服務。中國銀行按一級資本排名為中國及全球第4大行(The Banker 2023)，提供以公司金融、個人金融和金融市場等商業銀行業務為主體，涵蓋投行、直接投資、證券、保險、基金、飛機租賃、資產管理、金融科技、金融租賃等多個領域的全方位金融服務。</t>
  </si>
  <si>
    <t>Azure Nova國際金融有限公司(Azure Nova International Finance Limited)提供商業融資服務，含括貸款、設備租賃及其他服務。又Azure Nova為交銀金融租賃有限公司的離岸特殊目的公司，且交銀金融租賃為中國航空租賃的領導企業之一。</t>
  </si>
  <si>
    <t>Blackstone Private Credit Fund(簡稱BCRED)是一家非交易所交易(non-exchange traded)的商業發展公司(BDC)，致力為專注於收益的投資者提供私人信貸解決方案；BCRED由黑石集團旗下的一家子公司Blackstone Credit BDC Advisers LLC執行外部管理。</t>
  </si>
  <si>
    <t>巴帝電信有限公司(Bharti Airtel Limited)總部位於新德里，為印度三大電信公司市值排名最高者，於印度提供2G、3G和4G無線服務及行動商務，市場版圖橫跨亞洲的印度、斯里蘭卡、孟加拉及非洲的肯亞、坦尚尼亞、烏干達等共17個國家，全球用戶數超過5億。</t>
    <phoneticPr fontId="55" type="noConversion"/>
  </si>
  <si>
    <t>百度公司(Baidu Inc.)經營全球最大的中文搜尋引擎，所擁有及申請的AI專利數居中國第一，並極積佈局智能雲、智能駕駛、小度智能助手等AI創新業務，百度智能雲基礎建設支出於中國雲端市佔第4(canalys 2Q23)，在全世界搜尋引擎市佔排名第6(Statistic 2024年1月)。</t>
    <phoneticPr fontId="55" type="noConversion"/>
  </si>
  <si>
    <t>百度股份有限公司(Baidu Inc.)經營全球最大的中文搜尋引擎，所擁有及申請的AI專利數居中國第一，並極積佈局智能雲、智能駕駛、小度智能助手等AI創新業務，百度智能雲基礎建設支出於中國雲端市佔第4(canalys 2Q23)，在全世界搜尋引擎市佔排名第6(Statistic 2024年1月)。</t>
    <phoneticPr fontId="55" type="noConversion"/>
  </si>
  <si>
    <t>生物基因公司(Biogen Inc.，或稱百健)是一家全球生物製藥公司，為神經科學領域的先驅，專注於推進多發性硬化症及神經免疫學、阿茲海默症和癡呆症、神經肌肉疾病、眼科等研究。所開發之「aducanumab(ADUHELM)」是首獲FDA批准治療阿茲海默症用藥、與日本衛采(Eisai)藥廠合作開發的新藥Lecanemab為第二個獲FDA核准的阿茲海默症藥物。</t>
  </si>
  <si>
    <t>百健公司(Biogen Inc.)是一家全球生物製藥公司，為神經科學領域的先驅，專注於推進多發性硬化症及神經免疫學、阿茲海默症和癡呆症、神經肌肉疾病、眼科等研究。所開發之「aducanumab(ADUHELM)」是首獲FDA批准治療阿茲海默症用藥、與日本衛采(Eisai)藥廠合作開發的新藥Lecanemab為第二個獲FDA核准的阿茲海默症藥物。</t>
  </si>
  <si>
    <t>阿魯歐比特IV國際金融有限公司(Azure Orbit IV International Finance Limited)為特殊目的機構。保證機構交銀租賃管理香港有限公司(Bocom Leasing Management Hong Kong Co Ltd)為交通銀行全資控股子公司「交銀租賃」的下屬子公司，於香港提供租賃服務。</t>
  </si>
  <si>
    <t>寶馬美國資本有限責任公司(BMW US Capital, LLC)是為BMW Group美洲地區營運實體的企業財務中心。保證機構寶馬汽車(BMW)是德國一家跨國豪華汽車及重機製造商，旗下擁有BMW、MINI和Rolls-Royce(勞斯萊斯)三大汽車品牌，其中，2023年BMW銷售逾225萬輛車，連續三年奪得全球豪華品牌銷售冠軍。</t>
  </si>
  <si>
    <t>BMW金融公眾有限公司(BMW Finance N.V.)提供汽車與金融服務。保證機構寶馬汽車(BMW)是德國一家跨國豪華汽車及重機製造商，旗下擁有BMW、MINI和Rolls-Royce(勞斯萊斯)三大汽車品牌，其中，2023年BMW銷售逾225萬輛車，連續三年奪得全球豪華品牌銷售冠軍。</t>
  </si>
  <si>
    <t>國家經濟社會發展銀行(Banco Nacional de Desenvolvimento Economico e Social，BNDES)為巴西政策性金融機構，根據穆迪報告，該行為拉丁美洲最大的開發銀行，其設立乃為支持該國所需的增長，作為巴西長期基礎設施融資提供者的主導及重要地位，使該機構享有與巴西主權一致的評等水位。</t>
    <phoneticPr fontId="55" type="noConversion"/>
  </si>
  <si>
    <t>法國巴黎銀行(BNP Paribas SA)全球系統重要性銀行(G-SIBs)之一，按一級資本排名位居全球第15大行、法國第二大行地位(The Banker 2023)，並名列2024年《Brand Finance》法國銀行品牌價值之首，營運涵蓋企業和機構銀行(CIB)、商業與個人銀行，以及保險、財富和資產管理等多元業務。</t>
    <phoneticPr fontId="55" type="noConversion"/>
  </si>
  <si>
    <t>BPCE有限責任公司(BPCE)為法國第3大銀行集團、全球1000大銀行排名第25位(The Banker 2023)，主要提供銀行、保險、全球資產管理、企業及投資銀行及支付服務。</t>
  </si>
  <si>
    <t>BP資本市場美國公司(BP Capital Markets America Inc.)為一家特殊目的機構。本券由BP公司(BP PLC)提供保證，BP為全球五大的私營石油公司之一，探勘及生產原油和天然氣，精煉、行銷及供應石油產品、產出太陽能，並製造與行銷化學品。2023年在《Fortune》全球500大企業中排名第22位，於「石油煉製」行業中營收排名第6。</t>
  </si>
  <si>
    <t>英國石油資本市場公開有限公司(BP Capital Markets P.L.C.)為一家特殊目的機構。本券由BP公司(BP PLC)提供保證，BP為全球五大的私營石油公司之一，探勘及生產原油和天然氣，精煉、行銷及供應石油產品、產出太陽能，並製造與行銷化學品。2023年在《Fortune》全球500大企業中排名第22位，於「石油煉製」行業中營收排名第6。</t>
  </si>
  <si>
    <t>巴西(Brazil)位於南美洲東部，是拉丁美洲地區面積最大、人口最多國家，亦是南美洲最大經濟體，名目GDP達2.27兆美元(2023 IMF)。巴西境內石油、鐵礦、森林等自然資源豐富，農牧業得益於可耕地面積和氣候特點，為全球農產品出口大國及糧食重要供應來源，並是世界第二大鐵礦砂生產國及儲量國。</t>
  </si>
  <si>
    <t>波克夏海瑟威公司(Berkshire Hathaway Inc.)為一家美國跨國集團的控股公司，「股神」巴菲特(Warren Buffett)為其董事長兼執行長。波克夏經營資產橫跨保險、鐵路、公用事業及能源等多項領域，使其享有高度多元的利潤和現金流，市值長期居於全球前10。</t>
  </si>
  <si>
    <t>波克夏海瑟威金融公司(Berkshire Hathaway Finance Corporation)提供保險服務。保證機構為「股神」巴菲特所執掌的波克夏海瑟威(Berkshire Hathaway Inc.)，其經營資產橫跨保險、鐵路、公用及能源等多元領域，並持有蘋果、美銀及可口可樂等強大的投組，市值長期居於全球前10。</t>
  </si>
  <si>
    <t>波克夏海瑟威能源公司(Berkshire Hathaway Energy Company)為控股公司，紮根於可再生能源，生產、運輸、儲存、分配和供應電力及天然氣。母公司波克夏海瑟威(Berkshire Hathaway Inc.)由「股神」巴菲特所職掌，其經營資產橫跨保險、鐵路、公用事業及能源等多項領域，使其享有高度多元的利潤和現金流，市值長期居於全球前10。</t>
  </si>
  <si>
    <t>巴郡哈薩威能源公司(Berkshire Hathaway Energy Company)為控股公司，紮根於可再生能源，生產、運輸、儲存、分配和供應電力及天然氣。母公司波克夏海瑟威(Berkshire Hathaway Inc.)由「股神」巴菲特所職掌，其經營資產橫跨保險、鐵路、公用事業及能源等多項領域，使其享有高度多元的利潤和現金流，市值長期居於全球前10。</t>
  </si>
  <si>
    <t>花旗集團(Citigroup Inc.)是一家全球性多元化金融服務控股公司，按一級資本為全球第7大、美國第3大行(The Banker 2023)，營收、品牌、資本水準高居美國前五大行。</t>
    <phoneticPr fontId="55" type="noConversion"/>
  </si>
  <si>
    <t>花旗環球證券控股公司(美國)</t>
    <phoneticPr fontId="55" type="noConversion"/>
  </si>
  <si>
    <t>花旗環球證券控股公司(Citigroup Global Markets Holdings Inc.)提供廣泛的金融服務。保證機構花旗集團(Citigroup Inc.)是一家全球性多元化金融服務控股公司，按一級資本為全球第7大、美國第3大行(The Banker 2023)，營收、品牌、資本水準高居美國前五大行地位。</t>
    <phoneticPr fontId="53" type="noConversion"/>
  </si>
  <si>
    <t>澳洲聯邦銀行(Commonwealth Bank of Australia)成立於1911年，總部位於雪梨，為澳洲四大銀行之一，按營收、市值、資產規模皆為澳洲最大銀行，核心業務是提供零售、商業和機構銀行服務，足跡遍及澳洲、紐西蘭與亞洲，截至1HFY24(截至2023/12/31)總資產達1.27兆澳幣。</t>
    <phoneticPr fontId="55" type="noConversion"/>
  </si>
  <si>
    <t>中華人民共和國(The People's Republic of China，簡稱中國)是世界第二大經濟體、世界第一大外滙儲備國、世界第一大工業國等。 該國的自然資源包括煤、鐵礦、石油、天然氣、水銀、錫、鎢、銻、錳、鉬、釩、磁礦、鋁 、鉛、鋅、鈾與水力發電潛力。</t>
  </si>
  <si>
    <t>快捷藥方控股公司</t>
    <phoneticPr fontId="55" type="noConversion"/>
  </si>
  <si>
    <t>快捷藥方控股公司(Express Scripts)為美市佔前三的藥品福利管理(PBM)機構，2018年併入信諾。信諾併入ESI後規模躍升至世界500強第35位(Fortune 2023)，並名列2024年《Brand Finance》醫療保健服務品牌價值第6位。</t>
    <phoneticPr fontId="55" type="noConversion"/>
  </si>
  <si>
    <t>信諾公司(Cigna Corporation)是一家全球性的醫療保健服務公司，提供醫療保險、藥品福利管理(PBM)、專業藥房服務、送藥上門等一系列廣泛的保險及藥品服務。2018年併入美市佔前三的PBM機構-快捷藥方(ESI)，促營收規模躍升至世界500強第35位(Fortune 2023)，並名列2024年《Brand Finance》醫療保健服務品牌價值第6位。</t>
    <phoneticPr fontId="55" type="noConversion"/>
  </si>
  <si>
    <t>Evernorth健康公司(Evernorth Health, Inc.)為信諾(Cigna Corp.)的全資子公司，提供藥物福利管理、專業藥房、分銷與護理等服務，旗下主要包括信諾收購的藥品福利管理(PBM)機構-快捷藥方(ESI)。信諾位居世界500強第35位(Fortune 2023)，並名列2024年《Brand Finance》醫療保健服務品牌價值第6位。</t>
    <phoneticPr fontId="55" type="noConversion"/>
  </si>
  <si>
    <t>信諾集團(Cigna Corporation)是一家全球性的醫療保健服務公司，提供醫療保險、藥品福利管理(PBM)、專業藥房服務、送藥上門等一系列廣泛的保險及藥品服務。2018年併入美市佔前三的PBM機構-快捷藥方(ESI)，促營收規模躍升至世界500強第35位(Fortune 2023)，並名列2024年《Brand Finance》醫療保健服務品牌價值第6位。</t>
    <phoneticPr fontId="55" type="noConversion"/>
  </si>
  <si>
    <t>CMBLEMTN 1有限公司(CMBLEMTN 1 Limited)主要提供運輸設備租賃及融資服務，包括飛機、鐵路車輛、船舶及船隻等。其擔保機構招商銀行租賃(CMB Financial Leasing)之母公司為中國最具品牌影響力銀行「招商銀行」。招商銀行名列2023年《銀行家》全球1000大銀行第11位，按一級資本排名位居中國第6大銀行。</t>
    <phoneticPr fontId="55" type="noConversion"/>
  </si>
  <si>
    <t>康卡斯特公司(Comcast Corporation)為全球媒體與科技巨頭，按營收是美國第3大電信商(Fortune 2024)，且是唯一全A級的美國電信商；按訂戶數為美國最大的傳統有線付費電視供應商，且旗下環球影業按2023年度票房位居全球第一大電影發行公司地位，並憑藉著環球影城擁有全球第二大的主題樂園收入。</t>
    <phoneticPr fontId="55" type="noConversion"/>
  </si>
  <si>
    <t>康卡斯特(Comcast Corporation)為全球媒體與科技巨頭，按營收是美國第3大電信商(Fortune 2024)，且是唯一全A級的美國電信商；按訂戶數為美國最大的傳統有線付費電視供應商，且旗下環球影業按2023年度票房位居全球第一大電影發行公司地位，並憑藉著環球影城擁有全球第二大的主題樂園收入。</t>
    <phoneticPr fontId="55" type="noConversion"/>
  </si>
  <si>
    <t>德國商業銀行(Commerzbank Aktiengesellschaft)為德國中小企業領導銀行，德國市值第二大銀行，在2024年《Brand Finance》全球銀行品牌價值排名中名列德國銀行業第2位。</t>
    <phoneticPr fontId="55" type="noConversion"/>
  </si>
  <si>
    <t>中海油尼克森金融2014無限公司(CNOOC Nexen Finance 2014 ULC)為特殊目的機構。保證機構中海油有限公司(CNOOC Limited)由中國政府全資擁有的中國海洋石油公司(CNOOC)持有62.04%股權(官網)，是推動集團油氣戰略的關鍵實體及核心利潤貢獻者。CNOOC是中國三大國家石油(中油、中石化)公司之一，亦是中國最大的液化天然氣進口商。</t>
    <phoneticPr fontId="55" type="noConversion"/>
  </si>
  <si>
    <t>中海油財務2013有限公司(CNOOC Finance 2013 Limited)為特殊目的機構。保證機構中海油有限公司(CNOOC Limited)生產及銷售原油與天然氣，由中國政府全資擁有的中國海洋石油公司(CNOOC)持有62.04%股權，是推動集團油氣戰略的關鍵實體及核心利潤貢獻者。中海油為中國三大國有油企之一，亦是中國最大的液化天然氣進口商。</t>
    <phoneticPr fontId="55" type="noConversion"/>
  </si>
  <si>
    <t>中國海洋石油北美無限責任公司(CNOOC Petroleum North America ULC)是一家能源公司。保證機構中海油有限公司(CNOOC Limited)由中國政府全資擁有的中國海洋石油公司(CNOOC)持有62.04%股權，是推動集團油氣戰略的關鍵實體及核心利潤貢獻者。CNOOC是中國三大國家石油公司之一，亦是中國最大的液化天然氣進口商。</t>
    <phoneticPr fontId="55" type="noConversion"/>
  </si>
  <si>
    <t>第一資本金融公司(Capital One Financial Corporation)是一家多元化金融控股公司、沃爾瑪聯名卡的合作夥伴，為客戶提供信用卡、汽車貸款等廣泛的金融產品和服務。於彭博「信用卡發行」產業營收全球第2大(僅次於花旗)，且在全球1000大銀行排名中，位居美國第7大行地位(The Banker 2023)。</t>
    <phoneticPr fontId="55" type="noConversion"/>
  </si>
  <si>
    <t>Coinbase Global公司(Coinbase Global Inc.)為全美最大、全球第二大的加密貨幣交易商(第一為創立於中國的幣安Binance)，存放超過全球11.3%的加密貨幣資產，交易包含50多種加密貨幣，服務超過100個國家將近7000多間機構客戶與11.5萬個加密貨幣相關系統合作夥伴。</t>
    <phoneticPr fontId="55" type="noConversion"/>
  </si>
  <si>
    <t>Contemporary Ruiding Development Limited(寧德時代的間接全資子公司)開發再生能源設備。本券保證機構寧德時代新能源科技股份有限公司(Contemporary Amperex Technology Co., Limited.)是全球領先的鋰離子電池研發製造公司，專注於新能源汽車動力電池系統，於彭博「車用電池」產業營收位居全球龍頭地位。</t>
  </si>
  <si>
    <t>康菲石油(ConocoPhillips Company)是北美獨立油氣公司的翹楚，2024年《Fortune》全美500強企業中在採礦和原油生產行業排名第一，在2021年完成康喬資源的併購及皇家殼牌的頁岩油田收購案，一舉進入北美最大頁岩油氣公司之列；該公司低碳的天然氣佔營收比重逾四成，有望受惠於全球減碳趨勢。</t>
    <phoneticPr fontId="55" type="noConversion"/>
  </si>
  <si>
    <t>瑞士信貸集團(Credit Suisse Group AG)為財富管理公司，專門從事投資銀行業務，為全球監管機構認定的30家全球系統重要性銀行之一；因此前一系列的內控疏失，2023年在瑞士央行介入下，以30億歐元售予瑞銀集團(UBS)。</t>
  </si>
  <si>
    <t>思科系統公司(Cisco Systems, Inc.)主要於全球設計、製造和銷售以網路協議(IP)為基礎之網路、通訊和資訊技術產業相關的周邊產品。該公司提供企業網路安全、軟體開發、資料合作、雲端計算，以及其他相關服務。根據2024《財富》美國500強網路和其他通訊設備行業排名，思科位居第1位。</t>
    <phoneticPr fontId="55" type="noConversion"/>
  </si>
  <si>
    <t>思科系統公司(Cisco Systems, Inc.)主主要於全球設計、製造和銷售以網路協議(IP)為基礎之網路、通訊和資訊技術產業相關的周邊產品。該公司提供企業網路安全、軟體開發、資料合作、雲端計算，以及其他相關服務。根據2024《財富》美國500強網路和其他通訊設備行業排名，思科位居第1位。</t>
    <phoneticPr fontId="55" type="noConversion"/>
  </si>
  <si>
    <t>CVS Health Corp.(CVS)是美國老牌藥品連鎖企業，於「藥房及其他服務業」營收全球第一，除傳統藥局服務外，還提供如專業藥劑輸液、處方管理系統等相關應用服務，名列2024年《Fortune》美國500強第6位。過去數年來透過一系列併購策略擴張市場版圖，成為美國首屈一指的健康創新公司。</t>
    <phoneticPr fontId="55" type="noConversion"/>
  </si>
  <si>
    <t>CVS保健公司(CVS Health Corp.)是美國老牌藥品連鎖企業，於「藥房及其他服務業」營收全球第一，除傳統藥局服務外，還提供如專業藥劑輸液、處方管理系統等相關應用服務，名列2024年《Fortune》美國500強第6位。過去數年來透過一系列併購策略擴張市場版圖，成為美國首屈一指的健康創新公司。</t>
    <phoneticPr fontId="55" type="noConversion"/>
  </si>
  <si>
    <t>戴姆勒金融北美有限責任公司(Daimler Finance North America LLC)為一家特殊目的機構。保證機構賓士集團(Mercedes-Benz Group)前身為Daimler AG，2021年底分拆商用車業務(卡車及巴士)後更為現名；根據2023年《Interbrand》旗下賓士汽車品牌價值高居全球汽車行業第二(僅次於豐田)。</t>
    <phoneticPr fontId="55" type="noConversion"/>
  </si>
  <si>
    <t>德意志銀行(Deutsche Bank AG)為全球系統重要性銀行(G-SIBs)之一，也是全世界10大投資銀行，按一級資本排名位居全球第34大行、德國第一大銀行地位(The banker 2023)，並名列2024年《Brand Finance》全球500大銀行品牌價值第62位。</t>
    <phoneticPr fontId="55" type="noConversion"/>
  </si>
  <si>
    <t>德意志銀行(紐約)(Deutsche Bank AG/New York NY)為德意志銀行紐約分行，該行為全球系統重要性銀行(G-SIBs)之一，也是全世界10大投資銀行，按一級資本排名位居全球第34大行、德國第一大銀行地位(The banker 2023)，並名列2024年《Brand Finance》全球500大銀行品牌價值第62位。</t>
    <phoneticPr fontId="55" type="noConversion"/>
  </si>
  <si>
    <t>德意志銀行(倫敦)(Deutsche Bank AG/London)為德意志銀行倫敦分行，該行為全球系統重要性銀行(G-SIBs)之一，也是全世界10大投資銀行，按一級資本排名位居全球第34大行、德國第一大銀行地位(The banker 2023)，並名列2024年《Brand Finance》全球500大銀行品牌價值第62位。</t>
    <phoneticPr fontId="55" type="noConversion"/>
  </si>
  <si>
    <t>德意志銀行股份有限公司/紐約(Deutsche Bank AG)為德意志銀行紐約分行，該行為全球系統重要性銀行(G-SIBs)之一，也是全世界10大投資銀行，按一級資本排名位居全球第34大行、德國第一大銀行地位(The banker 2023)，並名列2024年《Brand Finance》全球500大銀行品牌價值第62位。</t>
    <phoneticPr fontId="55" type="noConversion"/>
  </si>
  <si>
    <t>新杜邦公司(DuPont de Nemours, Inc.)由陶氏化學(DOW)與杜邦(DuPont)合併而成，2019年將農業部門分拆後更為現名，產品以特種化學為主，包含黏著劑、動物營養品、生物材料、清潔技術、建築材料、纖維及生物活性劑等，且擁有多項生產專利，於2023年全球《Fortune》500大企業中的化工產業排名第6。</t>
  </si>
  <si>
    <t>華特迪士尼公司(The Walt Disney Company)是一家跨國多元化家庭娛樂及媒體巨頭，透過收購皮克斯、漫威、盧卡斯影業及21世紀福斯等核心資產，成為擄獲大人與小孩的智慧財產(IP)王國，並利用主題樂園、影院、線性平台及串流平台等媒體模式變現。截至2023年底，旗下包括Disney+在內的串流媒體平台總訂閱數達2億。</t>
  </si>
  <si>
    <t>TWDC企業18公司(TWDC Enterprises 18 Corp.)華特迪士尼公司的全資子公司。保證機構華特迪士尼是全球最大的媒體集團，透過收購皮克斯、漫威、盧卡斯影業及21世紀福斯核心資產，打造智慧財產(IP)王國，並利用主題樂園、影院及串流平台等媒體模式變現。截至2023年底，旗下包括Disney+在內的串流媒體平台總訂閱數達2億。</t>
  </si>
  <si>
    <t xml:space="preserve">Discovery傳播有限責任公司(Discovery Communications LLC)為華納兄弟探索公司(Warner Bros. Discovery, Inc.，WBD)的間接全資子公司。保證機構WBD為全球第二大媒體公司(僅次於迪士尼)，由WarnerMedia和Discovery, Inc.於2022年4月合併而成。 </t>
  </si>
  <si>
    <t xml:space="preserve">探索傳播有限責任公司(Discovery Communications LLC)為華納兄弟探索公司(Warner Bros. Discovery, Inc.，WBD)的間接全資子公司。保證機構WBD為全球第二大媒體公司(Fortune 2023，僅次於迪士尼)，由WarnerMedia和Discovery, Inc.於2022年4月合併而成。 </t>
    <phoneticPr fontId="55" type="noConversion"/>
  </si>
  <si>
    <t>陶氏化學公司(Dow Chemical Company)為一家化學公司，製造特殊化學品、橡膠、農業化工產品及塑膠材料。據Statista統計，陶氏為2022年度美國營收第1大、全球第4大的化工公司，並名列2024年《Brand Finance》全球化工企業品牌第4位。</t>
    <phoneticPr fontId="55" type="noConversion"/>
  </si>
  <si>
    <t>阿拉伯聯合大公國杜拜酋長國(Emirate of Dubai United Arab Emirates)為阿聯酋的七個酋長國之一。面積約3900平方公里，僅相當於台東縣，卻是阿聯酋人口最多的城市(約佔人口2成左右)，也是中東地區的商業和金融中心。由於處於歐、亞交界優越地理位置，杜拜政府已漸發展為貿易、金融及觀光重鎮，並致力打造全球航空樞紐。</t>
  </si>
  <si>
    <t>美商藝電公司(Electronic Arts, Inc.)為全球最大的娛樂電玩製造商之一，擁有強勁的產品系列如戰地風雲、Apex英雄、極速快感與其他熱門遊戲，且受惠廣大地理多元性，國際收入佔營收高達六成，在美國500大企業娛樂產業類別中排名第8位(Fortune 2024)，美國電子遊戲產業市值排名第2(2024/6/7)。</t>
    <phoneticPr fontId="55" type="noConversion"/>
  </si>
  <si>
    <t>eBay公司(eBay Inc.)為一家全球電子商務公司，該公司的平台設計讓全球賣家進行商品庫存整理並提供銷售，並透過讓賣家及買家同時瀏覽商品促進出價及交易，全球有超過1.35億個會員，根據Similarweb 2024調查為全球第二大受歡迎的線上購物網站，僅次於亞馬遜。</t>
    <phoneticPr fontId="55" type="noConversion"/>
  </si>
  <si>
    <t>電子灣拍賣網站公司(eBay Inc.)為一家全球電子商務公司，該公司的平台設計讓全球賣家進行商品庫存整理並提供銷售，並透過讓賣家及買家同時瀏覽商品促進出價及交易，全球有超過1.35億個會員，根據Similarweb 2024調查為全球第二大受歡迎的線上購物網站，僅次於亞馬遜。</t>
    <phoneticPr fontId="55" type="noConversion"/>
  </si>
  <si>
    <t>阿聯酋NBD銀行(Emirates NBD PJSC)由酋長國國際銀行及杜拜國家銀行合併而成，提供全方位的金融產品服務，橫跨零售銀行、企業銀行、私人銀行、伊斯蘭銀行、投資銀行等領域，其總部設於阿拉伯聯合大公國的杜拜，杜拜政府間接持有超過50%股權。</t>
  </si>
  <si>
    <t>歐洲復興開發銀行(European Bank for Reconstruction and Development)是歐洲最重要的多邊開發銀行(MDBs)之一，主要目標之一乃支持微中小型企業(MSMES)的發展，並成為以綠色銀行為主的跨國際組織。由橫跨五大洲的69個國家及2個國際組織(歐盟及歐洲投資銀行)共同擁有，獲信評機構賦予AAA最高信用評等。</t>
  </si>
  <si>
    <t>哥倫比亞國家石油公司(Ecopetrol SA)為綜合石油公司，主要在哥倫比亞、祕魯、巴西、安哥拉及美國墨西哥灣沿岸從事探勘、開發石化燃料。該公司業務分成探勘與生產、運輸與物流及煉油、石油化工及生質燃料三部分，公司也擁有遍佈哥倫比亞全境的管線輸送網路。</t>
  </si>
  <si>
    <t>紐約聯合愛迪生公司(Consolidated Edison Company of New York, Inc.)是美國最大的電力和天然氣輸配(T&amp;D)公用事業公司之一，主要服務紐約州客戶，亦為聯合愛迪生(Consolidated Edison, Inc.)的旗艦子公司(佔年度營收逾8成)；母公司CEI於2024年《Fortune》美國500強企業排名第289位。</t>
    <phoneticPr fontId="55" type="noConversion"/>
  </si>
  <si>
    <t>法國電力公司(Électricité de France S.A.)為法國公用電力公司，法國政府為保障能源安全，於2023年重新將EDF收歸國有，彰顯其重要性。EDF是世界上最大的垂直整合公用事業之一，且是低碳能源全球領導者，透過核能和再生能源發電，90%發電無排放二氧化碳。2024年《Brand Finance》全球公用事業公司品牌價值排名第2位。</t>
    <phoneticPr fontId="55" type="noConversion"/>
  </si>
  <si>
    <t>埃及(Arab Republic of Egypt)國土跨亞非兩洲且控有亞歐航運生命線的蘇伊士運河，戰略位置顯要。埃及為非洲第一大鋼鐵生產國，亦是非洲重要的石油和天然氣生產國，油氣工業占該國GDP總值約14%。埃及是全球疫情肆虐下，少數實現正增長的經濟體，IMF預估埃及2024財年實質GDP將成長3%，高於中東及北非地區的2.7%。</t>
    <phoneticPr fontId="55" type="noConversion"/>
  </si>
  <si>
    <t>韓國輸出入銀行(Export-Import Bank of Korea)為官方的出口信貸機構。該公司提供出口信用及保證計畫，以支援韓國企業進行海外業務，且提供產品及服務，包括：貿易融資、海外投資信貸、天然資源開發信貸、進口信貸，及資訊服務。</t>
  </si>
  <si>
    <t>南加州愛迪生電力公司(Southern California Edison Company)是可再生能源公用事業領導者之一，擁有美國最大風能輸送基礎設施、太陽能光伏發電項目，與美國歷史最悠久的大型水電系統Big Creek，向南加州的家庭和企業提供風能、太陽能與水電。</t>
  </si>
  <si>
    <t>雅詩蘭黛(Estee Lauder Companies Inc.)是全球專櫃美妝產品領導者、美國化妝品及美容公司市值龍頭，產品類別涵蓋皮膚保養、化妝品、香水與頭髮護理等，旗下知名品牌包括雅詩蘭黛、倩碧、M.A.C、海洋拉娜(La Mer)、Jo Malone、Aveda、Bobbi Brown、品木宣言等20多個品牌。</t>
  </si>
  <si>
    <t>義大利國家電力金融國際公眾有限公司(ENEL Finance International N.V.)配送、生產，並銷售電力。母公司及保證機構義大利國家電力公司(Enel SpA)為義大利的能源公司，由義大利政府持有約23.6%的股份，該公司於2023年《財富》全球500強排名第59位。</t>
  </si>
  <si>
    <t>義大利國家電力金融國際公眾有限公司(ENEL Finance International N.V.)配送、生產，並銷售電力。母公司及保證機構義大利國家電力公司(Enel SpA)為義大利的能源公司，由義大利政府持有約23.6%的股份，該公司於2023年《財富》全球500強排名第59位。</t>
    <phoneticPr fontId="55" type="noConversion"/>
  </si>
  <si>
    <t>挪威國家石油公司(Equinor ASA)總部位於挪威斯塔萬格，前身為為管理國內石油及天然氣資源而成立的國有企業，業務包含開發石油、天然氣、風力及太陽能專案，也涉足再生能源領域，如風電及太陽能的開發。該公司於2023年《財富》全球500強排名第59位，亦為北歐最大的石油公司。</t>
  </si>
  <si>
    <t>智遊網集團公司(Expedia, Inc.)為一家專為休閒旅遊者及小企業的商務旅行者提供旅行產品和服務的線上旅遊服務公司，旗下擁有知名線上住房平台Trivago、Orbitz.com等，為全球領先的線上旅遊品牌之一，名列2024年《Fortune》美國500強企業第315位。</t>
    <phoneticPr fontId="55" type="noConversion"/>
  </si>
  <si>
    <t>福特汽車公司(Ford Motor Company)按營收為全球第4大、美國第1大車廠(Fortune 2024)，主要設計、製造、銷售福特卡車、休旅車、商旅車、電動車及林肯(Lincoln)豪華車款，2023年福特F系列連續第47年蟬聯美國皮卡銷量冠軍，平均每46秒可售出一台F系列皮卡車。</t>
    <phoneticPr fontId="55" type="noConversion"/>
  </si>
  <si>
    <t>福特汽車信用有限責任公司(Ford Motor Credit Company LLC)是福特汽車公司的間接全資子公司，提供零售分期付款、租賃合約及直接融資等汽車金融服務，主要業務乃為Ford及Lincoln品牌車提供融資，並為汽車經銷商提供融資支持。其母公司福特汽車公司按營收為全球第4大、美國第1大車廠(Fortune 2024)。</t>
    <phoneticPr fontId="55" type="noConversion"/>
  </si>
  <si>
    <t>第一阿布達比銀行公開股份有限公司(First Abu Dhabi Bank PJSC)由阿布達比銀行與第一海灣銀行合併而成，該銀行提供存款、個人貸款、電子銀行、貿易融資、外匯，以及其他銀行服務。第一阿布達比銀行服務全球客戶，名列2024年《福布斯》中東地區最具價值銀行30強第3名。</t>
    <phoneticPr fontId="55" type="noConversion"/>
  </si>
  <si>
    <t>恆天然合作社集團有限公司(Fonterra Cooperative Group Ltd)為紐西蘭的跨國乳製品公司，為全球最大乳品出口公司；其農民股東為紐西蘭恆天然合作社集團的供應商，在全球擁有超過11,500座牧場和85間加工廠。該公司經營恆天然股東基金，提供農民股東額外的財務彈性，有機會將認股權賣給基金。</t>
  </si>
  <si>
    <t>自由港麥克莫蘭銅金公司(Freeport-McMoRan Inc.)是一家領先的國際礦業公司，按彭博FY23產業營收為世界前5大銅生產商，經營大型長期且地區多元的資產，擁有豐富的銅、金、鉬礦蘊藏量。受惠電動汽車、電動車充電基礎設施和儲能應用的需求上升，成為銅消費的最大驅動力。</t>
  </si>
  <si>
    <t>聯邦快遞(FedEx Corp.)透過整合全球網絡，遞送包裹及貨物至多個國家及領土，為全球第三、全美第二大的快遞公司。旗下的FDX Express是最大的隔夜快遞服務商及美國航空快遞領域創始公司，其一般包裹運運送FedEx Ground全球市佔率超過30%。此外，公司亦名列2023年《Fortune》全球500強企業第114位。</t>
  </si>
  <si>
    <t>聯邦快遞公司(FedEx Corp.)透過整合全球網絡，遞送包裹及貨物至多個國家及領土，為全球第三、全美第二大的快遞公司。旗下的FDX Express是最大的隔夜快遞服務商及美國航空快遞領域創始公司，其一般包裹運運送FedEx Ground全球市佔率超過30%。此外，公司亦名列2023年《Fortune》全球500強企業第114位。</t>
  </si>
  <si>
    <t>Fibria海外金融有限公司(Fibria Overseas Finance Ltd.)為一家特殊目的機構。母公司Suzano SA為一家以林業為基礎的公司，為拉丁美洲最大的尤加利樹紙漿和造紙垂直整合製造商之一，名列2023年《Forbes》全球上市公司2000強第774位。</t>
  </si>
  <si>
    <t>台塑集團開曼有限公司(Formosa Group Cayman Limited)由四家核心公司，即台塑四寶，台灣塑膠公司、南亞塑膠公司、台灣化學纖維公司與台塑石化公司於英國開曼群島共同設立，並為本券提供保證。而根據2023年《Forbes》全球上市公司2000強，台塑排名第981位。</t>
  </si>
  <si>
    <t>遠東宏信有限公司(Far East Horizon Ltd.)為中國財富500強企業之一，是中國融資租賃領域的領導企業，中化集團為其最大股東。該公司以「融資租賃」為基礎業務，致力實踐「金融+產業」的發展戰略，提供融資租賃、普惠金融、商業保理、資產業務等綜合金融服務，同時聚焦醫院、建設、教育及養老等產業佈局。</t>
  </si>
  <si>
    <t>俄羅斯天然氣集團(Gazprom PJSC)是俄羅斯國有控股的跨國能源公司，按營收為俄羅斯最大公司，且是世界最大的天然氣生產商、俄羅斯前四大石油生產商之一。</t>
  </si>
  <si>
    <t>奇異公司(General Electric Company)是一家擁有百年歷史的美國工業龍頭，業務範疇包括電力，可再生能源，航空和醫療保健等四個工業事業及金融服務事業，於彭博「渦輪發電機」、「飛機引擎及零件」及「醫療放射設備」產業居全球領先地位。2023年《Fortune》全球500強第167位，於「工業機械」行業營收排名僅次於德國西門子。</t>
  </si>
  <si>
    <t>吉利德科學公司(Gilead Sciences, Inc.)是抗病毒藥物市場龍頭，名列全球藥企50強第15位(製藥經理人 2024)，在愛滋病治療與C型肝炎治療領域市佔率穩坐第一位，旗下抗病毒用藥-瑞德西韋(Remdesivir)為美國首獲FDA批准的新冠肺炎治療藥物。</t>
    <phoneticPr fontId="55" type="noConversion"/>
  </si>
  <si>
    <t>通用汽車公司(General Motors Company)為美國市場2023年銷售量第1大汽車製造商，其子公司及合資企業旗下擁有雪佛蘭、別克、GMC、凱迪拉克、寶駿、五菱等汽車品牌，還擁有全球汽車安保服務領導品牌安吉星(OnStar)。近年來，GM加速投入自動駕駛汽車(Cruise)和車聯網領域，並致力推動全電動車未來。</t>
  </si>
  <si>
    <t xml:space="preserve">通用汽車金融加拿大有限公司(General Motors Financial of Canada, Ltd.)為北美客戶提供汽車融資解決方案。保證機構通用汽車金融公司(General Motors Financial Company, Inc.)，是通用汽車公司(GM)的全資子公司，提供汽車租賃及融資等服務，業務覆蓋90%的通用汽車全球市場。
</t>
  </si>
  <si>
    <t>字母控股(Alphabet Inc.)為Google的母公司，旗下Google作為全球領先的網路搜尋引擎和數位廣告服務商；Google Cloud為全球前三大雲端服務平台；Waymo則為自駕車領域的領導廠商，並為2024年《Brand Finance》全球最具價值品牌排行第3位。</t>
    <phoneticPr fontId="55" type="noConversion"/>
  </si>
  <si>
    <t>高盛集團(Goldman Sachs Group)為全世界歷史最悠久、規模最大的投資銀行之一，其宣佈並完成之併購交易量及交易金額皆排行全球第一，股票及股權相關發行業務亦排名全球第一，名列2023年《The Banker》全球第16大銀行與美國第5大銀行地位。</t>
  </si>
  <si>
    <t>高盛集團股份有限公司(Goldman Sachs Group)為全世界歷史最悠久、規模最大的投資銀行之一，其宣佈並完成之併購交易量及交易金額皆排行全球第一，股票及股權相關發行業務亦排名全球第一，名列2023年《The Banker》全球第16大銀行與美國第5大銀行地位。</t>
  </si>
  <si>
    <t>葛蘭素史克資本公司(GlaxoSmithKline Capital Inc.)為一家特殊目的機構。保證機構葛蘭素史克(GlaxoSmithKline PLC)按營收為全球第11大藥廠(Fortune 2023)，產品橫跨各藥品領域，包括抗感染、中樞神經系統、呼吸道系統、消化道系統、癌症以及糖尿病等，其中以B型肝炎疫苗產品最為知名。</t>
  </si>
  <si>
    <t>固特異輪胎橡膠公司(The Goodyear Tire &amp; Rubber Company)專於開發、製造、行銷各式功能的輪胎，按《Tire Business》2023調查輪胎銷售額為美國最大、世界第三大的輪胎製造商(僅次於米其林及普利司通)。2024年《Brand Finance》全球10大輪胎品牌價值排行第4位。</t>
    <phoneticPr fontId="55" type="noConversion"/>
  </si>
  <si>
    <t>固特異 (The Goodyear Tire &amp; Rubber Company)專於開發、製造、行銷各式功能的輪胎，按《Tire Business》2023調查輪胎銷售額為美國最大、世界第三大的輪胎製造商(僅次於米其林及普利司通)。2024年《Brand Finance》全球10大輪胎品牌價值排行第4位。</t>
    <phoneticPr fontId="55" type="noConversion"/>
  </si>
  <si>
    <t>固特異輪胎公司(The Goodyear Tire &amp; Rubber Company)專於開發、製造、行銷各式功能的輪胎，按《Tire Business》2023調查輪胎銷售額為美國最大、世界第三大的輪胎製造商(僅次於米其林及普利司通)。2024年《Brand Finance》全球10大輪胎品牌價值排行第4位。</t>
    <phoneticPr fontId="55" type="noConversion"/>
  </si>
  <si>
    <t>哈里伯頓公司(Halliburton Company)為美國三大油田服務公司之一，僱用來自70多個國家逾4萬名員工，為從事探勘、開發及生產石油及天然氣的客戶，提供服務、產品及整合解決方案 。名列2024年《Fortune》美國500強企業第177位。</t>
    <phoneticPr fontId="55" type="noConversion"/>
  </si>
  <si>
    <t>孩之寶公司(Hasbro, Inc.)是一家全球性的遊戲和娛樂公司，亦是全球最大的玩具製造商之一，旗下擁有萬智牌、孩之寶遊戲、射擊玩具NERF、變形金剛、培樂多，以及名聞遐邇的奇幻系列遊戲《魔法風雲會》和《龍與地下城》等知名且經典的玩具、桌遊及遊戲品牌，且透過併入英國影視發行商eOne進一步將佩佩豬和睡衣小英雄等優質IP納入囊中。</t>
  </si>
  <si>
    <t>美國醫院公司(HCA Inc.)是HCA醫療保健公司(HCA Healthcare, Inc.)之全資子公司，經營急症照護醫院、門診設施、診所等醫療服務場所。保證機構HCA醫療保健公司於全球醫院產業營收居冠，2023年底在美國20個州和英國擁有179家醫院和和約120個獨立手術中心。2024年《Fortune》美國500強排名第61名，連續上榜逾20年。</t>
    <phoneticPr fontId="55" type="noConversion"/>
  </si>
  <si>
    <t>家得寶(Home Depot, Inc.)為世界最大的家居修繕零售商，銷售各種建材、家居修繕及草坪與園藝用品，並提供安裝及設備租賃等多項服務，在美國、加拿大和墨西哥擁有2,300多家商店，目前有3萬5千多種商品於實體店面，超過1百萬種商品於線上銷售。2024年《Brand Finance》全球零售品牌價值名列第3位(僅次於亞馬遜及沃爾瑪)。</t>
    <phoneticPr fontId="55" type="noConversion"/>
  </si>
  <si>
    <t>哈雷公司(Harley-Davidson, Inc.)設計、製造並銷售機車，擁有逾百年歷史。哈雷重機以「全世界的哈雷，沒有一輛是相同的」標榜高度客製化及個人特色，讓「騎哈雷」成為價值彰顯和使用者自我實現的表徵。哈雷帶動了稱為美式機車(chopper)風格的客製化重型機車的風潮，在許多美國好萊塢電影中常常可見哈雷機車的身影，對於美國文化的重要性不言可喻。</t>
  </si>
  <si>
    <t>哈雷戴維森公司(Harley-Davidson, Inc.)設計、製造，並銷售機車，擁有逾百年歷史。哈雷重機以「全世界的哈雷，沒有一輛是相同的」標榜高度客製化及個人特色，讓「騎哈雷」成為價值彰顯和使用者自我實現的表徵，並帶動美式機車(chopper)風格的客製化重型機車的風潮，在許多美國好萊塢電影中常常可見哈雷機車的身影，對於美國文化的重要性不言可喻。</t>
  </si>
  <si>
    <t>漢威聯合國際公司(Honeywell International Inc.)是全球性的多元化技術與製造公司，位居航空航太產業市值龍頭，業務涵蓋電子消費品生產、工程技術服務和航空航太系統；該公司所生產的空氣清淨機是獲美國過敏醫師推薦的第一品牌，在台灣連續10年銷售冠軍，此外，該公司也是波音、空中巴士兩家商用客機製造商的主要供應商之一。</t>
  </si>
  <si>
    <t>富士康遠東有限公司(Foxconn Far East Limited)為台灣鴻海精密的全資附屬公司。母公司鴻海於電子代工服務領域(EMS)排名全球第一，市佔超過4成，為蘋果公司的主要代工廠之一，2023年按營收為台灣第1大企業，並於2023年《Forbes》全球上市公司2000強排名第116位。</t>
    <phoneticPr fontId="55" type="noConversion"/>
  </si>
  <si>
    <t>競賽隊伍科技有限公司(Competition Team Technologies Ltd.)註冊於巴哈馬首都拿騷，為鴻海全資子公司。保證機構為鴻海精密工業(2317 TT)於電子代工服務領域(EMS)排名全球第一，市佔超過4成，為蘋果公司主要代工廠之一，2023年按營收為台灣第一大企業，並於2023年《Forbes》全球上市公司2000強排名第116位。</t>
  </si>
  <si>
    <t>富士康遠東有限公司(Foxconn Far East Limited)為台灣鴻海精密的全資附屬公司。母公司鴻海於電子代工服務領域(EMS)排名全球第一，市佔超過4成，為蘋果公司的主要代工廠之一，2023年按營收為台灣第1大企業，並於2023年《Forbes》全球上市公司2000強排名第116位。</t>
  </si>
  <si>
    <t>競賽隊伍科技有限公司(Competition Team Technologies Ltd.)註冊於巴哈馬，為鴻海全資子公司。保證機構鴻海精密工業(2317 TT)於電子代工服務領域(EMS)排名全球第一，市佔超過4成，為蘋果公司主要代工廠之一，2023年按營收為台灣第一大企業，並於2023年《Forbes》全球上市公司2000強排名第116位。</t>
  </si>
  <si>
    <t>慧與科技(Hewlett Packard Enterprise Company)為一家全球性的邊緣到雲端平台即服務公司，主要業務是為大型企業與中小型企業，針對雲端及伺服器等設備，為企業用戶提供電腦硬體製造與軟體服務。並於2024年《Fortune》美國500強公司中排名第147位。</t>
    <phoneticPr fontId="55" type="noConversion"/>
  </si>
  <si>
    <t>惠普公司(HP Inc.)為全球印表機龍頭、全球第二大個人電腦品牌廠，通過個人系統及列印二大事業別，提供筆電、桌機等電腦硬體設備，以及印表機及3D列印解決方案的產品及服務。據Gartner 統計，HP於4Q23的PC出貨市佔率約22%；名列2024年《Fortune》美國電腦及辦公設備業營收排名第3。</t>
    <phoneticPr fontId="55" type="noConversion"/>
  </si>
  <si>
    <t>惠普(HP Inc.)為全球印表機龍頭、全球第二大個人電腦品牌廠，通過個人系統及列印二大事業別，提供筆電、桌機等電腦硬體設備，以及印表機及3D列印解決方案的產品及服務。據Gartner 統計，HP於4Q23的PC出貨市佔率約22%；名列2024年《Fortune》美國電腦及辦公設備業營收排名第3。</t>
    <phoneticPr fontId="55" type="noConversion"/>
  </si>
  <si>
    <t>匯豐控股有限公司(HSBC Holdings plc)為匯豐集團的控股公司，是全球規模最大的銀行及金融服務機構之一，業務分為個人銀行、商業銀行、全球銀行和市場等三個部門。於2023年《銀行家》全球1000大銀行排名，按一級資本名列第10位；2023年《Fortune》全球500大企業中商業銀行營收排名第10。</t>
  </si>
  <si>
    <t>匯豐控股公司(HSBC Holdings plc)為匯豐集團的控股公司，是全球規模最大的銀行及金融服務機構之一，業務分為個人銀行、商業銀行、全球銀行和市場等三個部門。於2023年《銀行家》全球1000大銀行排名，按一級資本名列第10位；2023年《Fortune》全球500大企業中商業銀行營收排名第10。</t>
  </si>
  <si>
    <t>國際商業機器公司(International Business Machines Corporation，簡稱IBM)為一家逾百年歷史的跨國科技公司，早年由硬體起家的IBM有「藍色巨人」之稱，在把電腦業務出售給聯想後轉型為聚焦軟體、服務、混合雲平台的公司，業務遍及全球175個國家。2024年《Fortune》全美500強第63位。</t>
    <phoneticPr fontId="55" type="noConversion"/>
  </si>
  <si>
    <t>國際復興開發銀行(International Bank for Reconstruction and Development)為一家金融服務公司，為189個國家共有的全球開發合作機構。IBRD為世界最大的開發銀行，通過向中等收入國家和資信良好的低收入國家提供貸款、擔保、風險管理產品和諮詢服務，支持世界銀行集團的使命。</t>
    <phoneticPr fontId="55" type="noConversion"/>
  </si>
  <si>
    <t>印多福公司(PT Indofood CBP Sukses Makmur Tbk)是印尼最大的包裝食品生產商之一，銷售遍及全球五大洲一百多個國家，為印尼前十大上市公司，其產品組合包括泡麵、乳製品、零食、調味料和飲料。據2023 Kantar統計，旗下產品營多麵(Indomie)在全球前50最受歡迎的食品品牌排名中排名第10。</t>
    <phoneticPr fontId="55" type="noConversion"/>
  </si>
  <si>
    <t>洲際交易所集團(Intercontinental Exchange, Inc.)為一家控股公司，於全球擁有13間證券交易所和6間清算機構，其中最知名的交易所「紐約證券交易所(NYSE)」是全球最大的證交所，超過70%的S&amp;P500公司於紐交所上市，台積電ADR亦選擇掛牌於此；ICE得益於近半收入來自穩定的經常性收入，繳出連續16年EPS正成長紀錄。</t>
    <phoneticPr fontId="55" type="noConversion"/>
  </si>
  <si>
    <t>印度工業信貸投資銀行/杜拜(ICICI Bank Ltd. of Dubai)提供金融服務。印度工業信貸投資銀行(ICICI Bank Ltd.)於全球提供投行、壽險和非壽險服務、資產管理、創業投資等金融服務，ATM數量於印度銀行業排名第2，2023年《Brand Finance》全球500大銀行品牌價值中排名93位。</t>
    <phoneticPr fontId="55" type="noConversion"/>
  </si>
  <si>
    <t>印尼Asahan鋁業(Persero)私人有限公司(Indonesia Asahan Aluminium Persero PT) 為一家礦業控股公司，通過旗下煤炭、黃金、錫、鎳和鋁土礦等開採子公司，經營業務包括下游鋁冶煉與生產、鎳鐵生產，及金和錫精煉。為印尼國有企業，且為印尼國內唯一的鋁錠生產商。</t>
  </si>
  <si>
    <t>印度尼西亞共和國(Republic of Indonesia)地處東南亞，是世界上最大的群島國，也是世界上人口最多的穆斯林國家。世界第16大經濟體(IMF 2023)，同時亦為東南亞最大經濟體及G20成員國。過去10年經濟成長率多維持在5%以上，IMF預估印尼實質GDP成長率在2024-2028年將維持在5%。</t>
  </si>
  <si>
    <t>英特爾(Intel Corporation)1971年推出全球首個x86架構CPU，奠定其成為全球最大的中央處理器(CPU)生產商，當前產品應用範疇已擴展至邊緣運算、5G網路、雲端、AI和自動駕駛等領域。根據Gartner統計，2023年全球半導體企業營收排行榜，英特爾超越三星，奪回全球半導體龍頭寶座。</t>
    <phoneticPr fontId="55" type="noConversion"/>
  </si>
  <si>
    <t>安智銀行公眾有限公司(ING Bank N.V.)於全球提供銀行、投資、保險與退休及資產管理服務，名列2024年《Brand Finance》全球500大銀行品牌價值第30位。</t>
    <phoneticPr fontId="55" type="noConversion"/>
  </si>
  <si>
    <t>印度石油公司(Indian Oil Corp Ltd)探勘並精煉原油、製油及生產石油製品。該公司的產品包括潤滑油、液態石油氣、航空渦輪燃油、油脂、石蠟、瀝青及柏油等。印度石油公司在印度擁有9座煉油廠，零售據點市占達44.6%外也遍及印度全國；該公司的最大股東為印度政府。</t>
    <phoneticPr fontId="55" type="noConversion"/>
  </si>
  <si>
    <t>以色列(Israel)位於歐亞非三大洲交界處，於2024年全球國家競爭力排名居第22位，並於190個經濟體中營商環境綜合排名第35位；2023年GDP居全球第29位。號稱第二個矽谷，擁有希伯來大學與海法大學等一流學府，在納斯達克上市的公司中，來自以色列的企業數量排名第四，僅次於美國、中國與加拿大。</t>
    <phoneticPr fontId="55" type="noConversion"/>
  </si>
  <si>
    <t>嬌生公司(Johnson &amp; Johnson)全球市值前三大藥廠，且是全球最佳信用紀錄保持人，連續36年保持AAA評等，與微軟及蘋果並列為全球信評最佳企業；連續11年入選全球最受尊敬公司製藥行業榜單(Fortune 2024)且前10年排名第1，在基於處方藥銷售的全球製藥企業50強排行榜名列第1位(Pharm Exec 2024)。</t>
    <phoneticPr fontId="55" type="noConversion"/>
  </si>
  <si>
    <t>諾德斯特龍公司(Nordstrom, Inc.)成立於1901年，以鞋業起家，迄今已成為美國高檔時裝百貨公司，是一家專注於男女及孩童的流行服飾、鞋子及配件的零售領導者，按彭博「高級百貨公司」產業營收位居全球龍頭地位，並位居2024年《Fortune》美國500強企業第286位。</t>
    <phoneticPr fontId="55" type="noConversion"/>
  </si>
  <si>
    <t>KKR Group Finance Co. X LLC(發行機構)是KKR &amp; Co. Inc.(簡稱KKR)的間接財務子公司，除發債之外無實質性業務活動。保證機構KKR是一家領先的全球投資公司，提供另類資產管理、資本市場和保險解決方案；依據2024年度PEI 300榜單，按全球私募股權投資機構過去五年的募資金額排名，KKR排名第2，僅次於黑石。</t>
    <phoneticPr fontId="55" type="noConversion"/>
  </si>
  <si>
    <t>金百利克拉克(Kimberly-Clark Corp.)為全球家庭用紙暨個人護理用品領導者，旗下知名品牌組合包括好奇Huggies、舒潔Kleenex、可麗舒Scott、靠得住Kotex、Cottonelle(紙卷及可沖式濕紙巾)，以及利清爽Depend(成人護理用品)等，每日全球高達四分之一人口使用其產品。</t>
    <phoneticPr fontId="55" type="noConversion"/>
  </si>
  <si>
    <t>可口可樂公司(Coca-Cola Company)製造、行銷，並經銷軟性飲料濃縮液及糖漿，該公司亦經銷和行銷果汁及果汁飲料產品。第一款可口可樂誕生於1886年，目前每天有超過22億份該公司飲料在200多個國家和地區享用；可口可樂於美國及全球各地經銷其產品予零售商及批發商，為全球最大的非酒精性飲料生產商。</t>
    <phoneticPr fontId="55" type="noConversion"/>
  </si>
  <si>
    <t>大韓民國(The Republic of Korea)地處東亞，其位於朝鮮半島的南半部，首都為首爾。該國的自然資源包括煤炭、鎢、石墨、鉬、鉛與水力發電潛力。據2023年度名目GDP排名，南韓位居第十四，為亞洲四小龍之首。</t>
    <phoneticPr fontId="55" type="noConversion"/>
  </si>
  <si>
    <t>克羅格(The Kroger Co.)是美國最大的傳統日常雜貨用品連鎖店，在1883年創建於俄亥俄州辛辛那提，已有超過140年歷史。截至2024年1月，全美擁有2,722家超市以多品牌營運，約83%的商店設有藥局、57%設有加油中心，於「食物及藥局」行業營收排名第1(Fortune 500 2024)。</t>
    <phoneticPr fontId="55" type="noConversion"/>
  </si>
  <si>
    <t>沙烏地阿拉伯政府(Kingdom of Saudi Arabi)是阿拉伯世界地理面積第2大的國家。沙國是中東北非最大經濟體和全球第19大經濟體(IMF 2023)，且沙國主權基金管理資產位居全球第6大(SWFI 2023)。石油為沙國的經濟支柱，且沙國是OPEC的主要成員國，為全球最大的石油出口國和第2大原油蘊藏量國家。</t>
    <phoneticPr fontId="55" type="noConversion"/>
  </si>
  <si>
    <t>沙烏地阿拉伯政府(Kingdom of Saudi Arabi)是阿拉伯世界地理面積第2大的國家。沙國是中東北非最大經濟體和全球第19大經濟體(IMF 2023)，且沙國主權基金管理資產位居全球第6大(SWFI 2023)。石油為沙國的經濟支柱，且沙國是OPEC的主要成員國，為全球最大的石油出口國和第2大原油蘊藏量國家。</t>
  </si>
  <si>
    <t>樂金化學公司(LG Chem Ltd.)為韓國第一大化學廠商，旗下含括三大事業體，分別為石油化學、尖端材料及生命科學，名列2023年《Forbes》全球上市公司2000強第339位，並位居2024年《Brand Finance》全球最具價值化學品牌排行第5名。</t>
    <phoneticPr fontId="55" type="noConversion"/>
  </si>
  <si>
    <t>勞埃德銀行集團(Lloyds Banking Group plc)為個人及商業客戶提供廣泛的金融服務，是為英國第三大行，主營零售、商業銀行、保險及財富管理，並透過駿懋銀行、蘇格蘭銀行、哈利法克斯(Halifax)等旗下知名品牌分銷管道進行業務擴展。2024標普全球以銀行資產排名第33位，居英國第3大銀行。</t>
    <phoneticPr fontId="55" type="noConversion"/>
  </si>
  <si>
    <t>駿懋銀行集團(Lloyds Banking Group plc)為個人及商業客戶提供廣泛的金融服務，是為英國第三大行，主營零售、商業銀行、保險及財富管理，並透過駿懋銀行、蘇格蘭銀行、哈利法克斯(Halifax)等旗下知名品牌分銷管道進行業務擴展。2024標普全球以銀行資產排名第33位，居英國第3大銀行。</t>
    <phoneticPr fontId="55" type="noConversion"/>
  </si>
  <si>
    <t>洛克希德馬丁(Lockheed Martin Corporation)為全球最大國防工業承包商，按航太與國防行業企業營收排名全球第5大(Fortune 2023)，知名產品有F-35與F-16戰鬥機、C-130J運輸機、黑鷹直升機、愛國者(PAC-3)/薩德(THAAD)導彈和導彈防禦系統等。</t>
  </si>
  <si>
    <t>LSEGA Financing PLC(倫敦證交所子公司)經營買賣證券和商品交易所市場。保證機構倫敦證券交易所集團公開有限公司(London Stock Exchange Group plc)為英國的主要證券交易所，提供促進資本募集、公司證券交易、進入交易系統、即時定價，和全球參考資訊服務的市場。</t>
    <phoneticPr fontId="55" type="noConversion"/>
  </si>
  <si>
    <t>流明科技公司(Lumen Technologies, Inc.)前身為CenturyLink Inc.，2020年9月宣佈轉型更為現名，按營收為美國第6大電信商(Fortune 2024)，據彭博為北美固網電信產業營收龍頭，提供客戶包含通訊服務、雲端、邊緣、安全、語音及協作等整合性服務。</t>
    <phoneticPr fontId="55" type="noConversion"/>
  </si>
  <si>
    <t>音巴克公司(Embarq Corporation)是美國既有地方電信業者(ILEC)，現為阿波羅(Apollo)旗下互聯網提供商Connect Holding II LLC(以Brightspeed品牌開展業務)的營運子公司。Brightspeed是美國第五大的ILEC，營運遍及20個州，服務覆蓋逾650萬住宅及企業，預計到2027年將光纖網路覆蓋至400萬個家庭和企業。</t>
    <phoneticPr fontId="55" type="noConversion"/>
  </si>
  <si>
    <t>梅西零售控股有限責任公司(Macy's Retail Holdings, LLC)擁有並經營百貨商店。保證機構及母公司梅西百貨公司(Macy‘s Inc)擁有逾160年的悠久歷史，是全美最大連鎖的百貨公司，擁有三個標誌性的品牌，即Macy's百貨公司、Bloomingdale's百貨公司及Bluemercury美容連鎖店。</t>
  </si>
  <si>
    <t>萬事達卡公司(Mastercard Incorporated)是全球創新支付科技領導者之一，提供了廣泛的支付解決方案和服務品牌，包括以信用卡為主的MasterCard、簽帳卡品牌Maestro、以及國際金融卡Cirrus。按支付額及交易筆數位居全球第二大的國際發卡組織地位；按彭博，於全球「金融交易處理服務」產業市值第二，僅次於VISA。</t>
  </si>
  <si>
    <t>梅賽德斯-賓士金融北美有限責任公司(Mercedes-Benz Finance North America LLC)為一家特殊目的機構。保證機構賓士集團(Mercedes-Benz Group)前身為Daimler AG，2021年底分拆商用車業務(卡車及巴士)後更為現名；根據2023年《Interbrand》旗下賓士汽車品牌價值高居汽車產業全球第二(僅次於豐田)。</t>
    <phoneticPr fontId="55" type="noConversion"/>
  </si>
  <si>
    <t>梅賽德斯-賓士金融北美有限責任公司(Mercedes-Benz Finance North America LLC)為一家特殊目的機構。保證機構賓士集團(Mercedes-Benz Group)前身為Daimler AG，2021年底分拆商用車業務(卡車及巴士)後更為現名；根據2024年《Interbrand》旗下賓士汽車品牌價值高居汽車產業全球第二(僅次於豐田)。</t>
  </si>
  <si>
    <t>梅賽德斯-賓士金融北美有限責任公司(Mercedes-Benz Finance North America LLC)為一家特殊目的機構。保證機構賓士集團(Mercedes-Benz Group)前身為Daimler AG，2021年底分拆商用車業務(卡車及巴士)後更為現名；根據2025年《Interbrand》旗下賓士汽車品牌價值高居汽車產業全球第二(僅次於豐田)。</t>
  </si>
  <si>
    <t>麥當勞公司(McDonald's Corporation)總部位於美國芝加哥，為全球速食連鎖餐廳巨擘，在全球餐廳產業授權加盟並經營速食餐廳，販售漢堡、薯條、炸雞、碳酸飲料、沙拉及冰品等速食，獲利來源除了食品外，還包含加盟商需付給麥當勞的租金及特許經營費。2024年《Brand Finance》全球25大餐廳品牌價值排名第2位(僅次於星巴克)。</t>
    <phoneticPr fontId="55" type="noConversion"/>
  </si>
  <si>
    <t>美敦力公司(Medtronic, Inc.)提供醫療裝置。保證機構美敦力公開有限公司(Medtronic, PLC)是全球最大且最多樣的獨立醫療器材公司之一，為全球醫療器材品牌價值排名第二(Brand Finance 2024)，在心臟病學(心律、心血管和心臟構造)、脊椎、神經學、血管和糖尿病等治療領域佔據龍頭地位，並透過機器人輔助手術達到更微創的治療。</t>
    <phoneticPr fontId="55" type="noConversion"/>
  </si>
  <si>
    <t>大都會人壽(MetLife, Inc.)是美國第一大壽險公司(Fortune 2024)，通過其子公司及關聯公司提供保險、年金、員工福利和資產管理，全球福利網路遍及超過115個國家；在美國的團體福利及退休與收入解決方案具領先優勢；據rankingslatam排名，MetLife於4Q23以17.7億美元的保費，成為智利最大的保險公司，整體於拉美排名第12。</t>
    <phoneticPr fontId="55" type="noConversion"/>
  </si>
  <si>
    <t>Meta平台公司(Meta Platforms, Inc.)前身為Facebook, Inc.，是美國一家經營社群網路、虛擬實境、元宇宙等產品的網際網路科技公司，擁有全球最大的社群網路，旗下最知名的社群媒體平台為Facebook，同時還擁有Instagram、WhatsApp及Messenger等社群軟體平台，亦是全球市佔第二大的數位廣告收入公司(僅次於Google)。</t>
  </si>
  <si>
    <t>墨西哥合眾國(United Mexican States)通稱墨西哥，是世界第10大人口國家(人口約1.3億)，世界銀行將其歸為中高收入國家。墨西哥為世界第12大經濟體(IMF 2023)，GDP規模居拉美第二(僅次於巴西)，該國經濟與其美墨加協定(USMCA)貿易夥伴緊密相關，且自2021年起成為美國最大的貿易夥伴(按總貿易額)。</t>
    <phoneticPr fontId="55" type="noConversion"/>
  </si>
  <si>
    <t>瑞穗金融集團2有限公司/開曼(Mizuho Financial Group Cayman 2 Limited)為一家特殊目的機構。保證機構瑞穗金融集團(Mizuho Financial Group, Inc.)為日本三大巨型銀行之一，提供銀行、證券、信託、資產管理等多元金融服務，2023年按資產排名為日本第三大金融集團，資產價值272兆日圓。</t>
  </si>
  <si>
    <t>瑞穗金融集團(Mizuho Financial Group, Inc.)為日本三大巨型銀行之一，提供銀行、證券、信託、資產管理等多元金融服務，2023年按資產排名為日本第三大金融集團，資產價值272兆日圓。</t>
  </si>
  <si>
    <t>瑞穗金融集團3有限公司/開曼(Mizuho Financial Group Cayman 3 Limited)為一家特殊目的機構。保證機構瑞穗金融集團(Mizuho Financial Group, Inc.)為日本三大巨型銀行之一，提供銀行、證券、信託、資產管理等多元金融服務，2023年按資產排名為日本第三大金融集團，資產價值272兆日圓。</t>
  </si>
  <si>
    <t>3M公司(3M Company)透過安全與工業產品、運輸及電子產品、醫療產品及消費品等四大事業群於全球開發、製造並銷售各類產品，2024年4月完成醫療保健業務的分拆，名列2024年《Fortune》美國500強企業中化學品產業第2位，受《Interbrand》評為2023年最佳全球品牌。</t>
    <phoneticPr fontId="55" type="noConversion"/>
  </si>
  <si>
    <t>高特利集團(Altria Group, Inc.)為一家上市控股公司，主要透過子公司製造及銷售香菸和其他菸草產品。Altria是美國菸草業毋庸置疑的市場領導者，擁有傳統香菸品牌龍頭「萬寶路(Marlboro)」的美國銷售權。此外，Altria還戰略投資創新菸品及大麻等多元業務，擁有全球領先的加拿大大麻公司Cronos Group約41.1%股權。</t>
    <phoneticPr fontId="55" type="noConversion"/>
  </si>
  <si>
    <t>孟山都公司(Monsanto Company)提供玉米、黃豆、棉花、小麥、高粱，以及蔬菜種子等農業產品。孟山都是德國製藥及化工跨國集團拜耳旗下農業生物技術部門，全球51個國家設有據點或分支機構，除草劑Roundup為最著名產品。孟山都在基因工程領域佔有重要角色，為第一家將基因改造作物種植在田間的公司。</t>
    <phoneticPr fontId="55" type="noConversion"/>
  </si>
  <si>
    <t>馬拉松石油公司(Marathon Petroleum Corporation)為美國最大獨立煉油商，從事提煉、營銷及中游服務，旗下13家煉油廠的原油煉油能力約為每天300萬桶，業務分佈主要集中在墨西哥灣沿岸、中州和西海岸。彭博「石油煉製」產業營收排名居全球第二，僅次於中國石油化工集團，並位居美國能源公司市值前十之列。</t>
    <phoneticPr fontId="55" type="noConversion"/>
  </si>
  <si>
    <t>默克公司(Merck &amp; Co., Inc)是一家全球醫療保健公司，於美加以外地區被稱為「默沙東(MSD)」，研發重點聚焦於癌症藥物、疫苗和動物保健產品等高成長領域。2023年《Fortune》於全球製藥行業名列第4、2024年《製藥經理人》全球製藥企業50強第4位，2024年《Fortune》美國製藥排名第2位。</t>
    <phoneticPr fontId="55" type="noConversion"/>
  </si>
  <si>
    <t>默克公司(Merck &amp; Co., Inc)是一家全球醫療保健公司，於美加以外地區被稱為「默沙東(MSD)」，研發重點聚焦於癌症藥物、疫苗和動物保健產品等高成長領域。2023年《Fortune》於全球製藥行業名列第4、2023年《製藥經理人》全球製藥企業50強第5位，2024年《Fortune》美國製藥排名第2位。</t>
    <phoneticPr fontId="55" type="noConversion"/>
  </si>
  <si>
    <t>摩根士丹利(Morgan Stanley)財經界俗稱「大摩」，是一家全球領先的國際級金融服務公司，主要業務劃分為機構證券、財富管理及投資管理三大區塊。在2023年《The banker》全球1000大銀行排名中，名列美國第6大銀行，2024年《Fortune》美國500強第41位。</t>
    <phoneticPr fontId="55" type="noConversion"/>
  </si>
  <si>
    <t>微軟(Microsoft Corp)是全球軟體霸主，擁有Windows作業系統、Xbox遊戲、LinkedIn、Office系列與雲端運算等多項產品，近年來雲端服務Azure漸成營收主要成長引擎，於全球雲基礎設施服務供應商市佔第2(僅次於亞馬遜)； 2023年10月完成併購動視暴雪讓微軟擠身遊戲巨頭之列。</t>
  </si>
  <si>
    <t>三井住友海上火災保險有限公司(Mitsui Sumitomo Insurance Co., Ltd.)經營保險業務，並提供汽車、住宅、房地產、火災、意外、旅遊、休閒及護理保險等服務，按總營收為世界前十大非壽險集團之一，並於2023年4月榮獲第八屆亞洲綜合報告獎(AIRA)大型公司類別金獎。</t>
    <phoneticPr fontId="55" type="noConversion"/>
  </si>
  <si>
    <t>三菱UFJ金融集團公司(Mitsubishi UFJ Financial Group, Inc.)為透過合併東京三菱金融集團(Mitsubishi Tokyo Financial Group)、UFJ控股而成立的控股公司。身為金融集團的該公司，提供了各種不同的金融與投資服務，包括：商業銀行、信託銀行、國際金融，及資產管理服務。</t>
  </si>
  <si>
    <t>保證機構大自然集團(Natura &amp;Co Holding S.A.)為巴西最大的美妝品牌集團，旗下擁有巴西Natura、美國Avon等四大品牌，2024年直銷企業營收排名全球第2僅次安麗。2023年4月宣佈與法國萊雅集團達成協議，將以逾25億美元出售Aesop品牌(預計Q3完成交易)；同年10月宣布出售美體小舖(The Body Shop)。</t>
    <phoneticPr fontId="55" type="noConversion"/>
  </si>
  <si>
    <t>雀巢控股公司(Nestle Holdings, Inc.)創立於1866年，總部位於瑞士，為一家控股公司，透過旗下子公司提供食物、乳製品、飲料，以及營養產品。雀巢為全球最大的包裝食品製造公司，並位居2024全球50大快速消費品公司(FMCG)冠軍，擁有超過2,000個品牌，並遍佈全球188個國家。</t>
    <phoneticPr fontId="55" type="noConversion"/>
  </si>
  <si>
    <t>網飛公司(Netflix Inc.)為美國500大企業之一，當時以DVD租賃為主要業務，直到2000年線上影片興起遂發展成串流媒體業者，迄今Netflix已是全球訂閱用戶最多，全美最受歡迎的串流媒體平台，且受惠疫情使宅經濟升溫，2023年底Netflix的付費會員人數達2.6億。</t>
    <phoneticPr fontId="55" type="noConversion"/>
  </si>
  <si>
    <t>耐吉公司(NIKE, Inc.)全球運動鞋市值龍頭，為各類體育運動和健身活動設計及行銷運動鞋類、服裝、設備和配件，以“Just Do It”口號享譽全球，NIKE獨特的標誌是最受消費者認可的全球性品牌，於2024年《Brand Finance》服飾類品牌價值排名第2位，僅次於路易威登。</t>
    <phoneticPr fontId="55" type="noConversion"/>
  </si>
  <si>
    <t>野村控股公司(Nomura Holdings, Inc.)成立於1925年，為日本最大券商與資產管理公司，亦是道瓊世界指數和道瓊亞太指數公司之一，以投行和經紀業務聞名，業務網絡連接東西方市場，覆蓋美國、亞洲及歐非中東達30多個國家，於《Vault》2024年日本投資銀行聲望排名中排名第1。</t>
    <phoneticPr fontId="55" type="noConversion"/>
  </si>
  <si>
    <t>日產汽車(Nissan Motor Co., Ltd.)是一家日本跨國汽車製造商，旗下主力品牌有NISSAN、INFINITI，另外有與中國東風汽車的合資品牌啟辰(Venucia)；日產與雷諾和三菱汽車共組戰略聯盟來搶攻市佔，據focus2move，雷諾-日產-三菱聯盟的2023年總銷量為563萬輛，為全球第四大汽車集團。</t>
    <phoneticPr fontId="55" type="noConversion"/>
  </si>
  <si>
    <t>日產汽車(Nissan Motor Co., Ltd.)是一家日本跨國汽車製造商，旗下主力品牌有NISSAN、INFINITI，另外有與中國東風汽車的合資品牌啟辰(Venucia)；日產與雷諾和三菱汽車共組戰略聯盟來搶攻市佔，據focus2move，雷諾-日產-三菱聯盟的2023年總銷量為563萬輛，為全球第四大汽車集團。</t>
  </si>
  <si>
    <t>輝達(NVIDIA Corporation)為全球最大的繪圖處理器IC龍頭廠商，1Q24全球全球獨立顯卡市佔高達88%，旗下設計、開發及銷售三維立體(3D)圖形處理器(GPU)及相關軟體，產品廣泛應用於數據中心、遊戲、自動駕駛及人工智慧等領域，2023年於全球IC設計公司營收排名居冠，為AI領域的主要受益者，推動FY23營收倍增至610億美元，稅後淨利暴衝至298億美元。</t>
    <phoneticPr fontId="55" type="noConversion"/>
  </si>
  <si>
    <t>國民西敏集團公開有限公司(NatWest Group plc)是英國最大的零售和商業銀行之一，名列2024年《Brand Finance》全球500大銀行品牌價值第46位；2023年《銀行家》全球1000大銀行排名中名列英系銀行第5位。</t>
    <phoneticPr fontId="55" type="noConversion"/>
  </si>
  <si>
    <t>Realty Income Corporation(房地產收入公司)擁有並管理位於美國各地的商用房地產投資組合。該公司的業務焦點為收購單一住戶的零售據點，再簽訂長期淨租賃合約，出租給地區性及全國性連鎖商店。據彭博零售不動產投資信託「單一租客REIT」產業營收第一。</t>
  </si>
  <si>
    <t>阿曼蘇丹國(Sultanate of Oman，簡稱阿曼)是海灣國家合作委員會(GCC)成員國中按面積第2大的國家，首都馬斯開特(Muscat)又名「阿拉伯之珠」。阿曼為典型的資源輸出型國家，原油及天然氣產業為重要經濟支柱，2023年人均GDP高於中國、墨西哥等經濟大國。</t>
  </si>
  <si>
    <t>歐比亞先進可變資本有限公司(Orbia Advance Corporation S.A.B. de CV)總部位於墨西哥，旗下含括精密農業、建築與基礎設施、氟化物、數據通訊及聚合物解決方案等五大部門，主要提供如灌溉系統、農業、溫室技術等服務，基礎建設部門則包含電纜、飲用水設施等，聚合物方面則提供如樹酯、PVC等化合物或添加劑產品。</t>
  </si>
  <si>
    <t>甲骨文公司(Oracle)為全球最大資料庫軟體公司及最大的企業級軟體公司，僅次於微軟的全球第二大純軟體公司，近年積極切入雲端服務，結合過去在關聯式資料庫和企業用應用軟體(ERP、CRM等)之競爭優勢，搶占雲端運算服務商機，且名列2024年《Brand Finance》全球網路與軟體公司品牌價值第2位。</t>
    <phoneticPr fontId="55" type="noConversion"/>
  </si>
  <si>
    <t>西方石油公司(Occidental Petroleum Corporation)是美國前五大獨立勘探和生產(E&amp;P)公司之一、全球「碳捕捉」技術開發的領導者，巴菲特職掌的波克夏海瑟威為其最大股東；從事探勘、開發、生產及行銷原油與天然氣，亦製造及行銷多種基本化學原料、乙烯基及特用化學品。按營收於「礦業、原油生產」行業排名位居美國第2，僅次於康菲石油(Fortune 2024)</t>
    <phoneticPr fontId="55" type="noConversion"/>
  </si>
  <si>
    <t>派拉蒙全球(Paramount Global)是全球最大的媒體公司之一，旗下分為直接對消費者、影視及電影拍攝三大部門。派拉蒙擁有多個全球知名的版權，如教父、海綿寶寶、變形金剛及印第安那瓊斯系列，也曾拍攝多部高票房影視作品，如鐵達尼號、捍衛戰士、鋼鐵人及史瑞克等，旗下影業公司為美國第二悠久的製片廠。</t>
  </si>
  <si>
    <t>墨西哥石油(Petroleos Mexicanos)為一整合性石油公司，提供從勘探、生產、工業加工提煉、物流到市場營銷等完整服務。為墨西哥政府最大的稅收貢獻者及主要外匯收入來源企業，亦為拉丁美洲最大的公司之一。</t>
  </si>
  <si>
    <t>百事可樂公司(PepsiCo, Inc.)經營食品及飲料業務，於零食及飲料事業均衡佈局，旗下產品銷往200多個國家和地區，知名飲料品牌包含：百事可樂、七喜等；休閒食品品牌有樂事、多力多滋、奇多等；穀物食品品牌如桂格。按彭博產業營收，高居全球零食龍頭，以及全球第二大非酒精飲料公司。</t>
  </si>
  <si>
    <t>印尼國家石油公司(PT Pertamina)總部位於雅加達，為一家從事石油、天然氣、新能源和可再生能源等能源領域的印尼國有企業，具國家重要戰略地位並為印尼最大的油氣公司。印尼國家石油公司於2023年《Fortune》全球500大企業同產業排名中，名列第19名。</t>
  </si>
  <si>
    <t>祕魯(Peru)位於南美洲西岸的中部，是南美洲重要區域經濟大國，銀儲量世界第1，銅儲量世界前3，而中國為該國最大貿易夥伴(約佔祕魯總出口的36%)，使得國際金屬價格及中國經濟動能為其經濟成長的主要驅動力。</t>
    <phoneticPr fontId="55" type="noConversion"/>
  </si>
  <si>
    <t>巴西石油全球金融私人有限公司(Petrobras Global Finance B.V.)為一家特殊目的機構。保證機構及母公司巴西石油公司(Petroleo Brasileiro SA)探勘及生產石油與天然氣，對巴西具戰略重要性地位，巴西聯邦政府擁有多數股權及控制權。巴西石油公司於2023年《Fortune》全球500大企業同產業排名中，名列第13名。</t>
  </si>
  <si>
    <t>馬來西亞國家石油公司(Petroliam Nasional Berhad)是馬來西亞的國有石油及天然氣公司，著重於原油及天然氣的探勘、開發及生產。作為政府的全資控股公司，該公司掌握了全國的所有石油及天然氣資源，其非常強大的獨立信用狀況，獲穆迪賦予高於馬來西亞主權的信評水準。</t>
  </si>
  <si>
    <t>輝瑞大藥廠(Pfizer Inc.)是全球頂尖的生物製藥公司，在腫瘤學和疫苗方面尤具優勢，疫苗之王-沛兒肺炎鏈球菌13價結合型疫苗為其明星藥品之一，與德國BioNTech合作研發的「BNT162b2」是美國首獲核准的新冠疫苗其帶來鉅額收益，挹注該公司於2022、2023年《製藥經理人》全球製藥企業50強榜單奪得龍頭寶座。</t>
    <phoneticPr fontId="55" type="noConversion"/>
  </si>
  <si>
    <t>惠氏公司(Wyeth LLC)是一家以研究為基礎的製藥和保健產品公司，於2009年被輝瑞收購。保證機構輝瑞大藥廠(Pfizer Inc.)是全球頂尖的生物製藥公司，在腫瘤學和疫苗等領域尤具優勢，經典產品「13價肺炎鏈球菌疫苗」被譽為全球疫苗之王，與德國BioNTech合作研發的BNT疫苗更是首獲美國正式批准的COVID-19疫苗並助攻輝瑞重返全球最大藥企寶座。</t>
    <phoneticPr fontId="55" type="noConversion"/>
  </si>
  <si>
    <t>寶僑公司(The Procter &amp; Gamble Company)為全球消費性用品產業翹楚，位居彭博「家庭用品」產業營收全球龍頭地位，提供產品包括：美妝、除毛、健康護理、清潔用品，以及嬰兒和女性家庭用品，Always®、Oral-B®、Pampers®、Pantene®、SK-II®、Tide®等皆是旗下知名品牌，業務遍及全球約70個國家。</t>
    <phoneticPr fontId="55" type="noConversion"/>
  </si>
  <si>
    <t>菲律賓共和國(Republic of the Philippines)擁有近10年的高速GDP增長，人口數於東協成員國中僅次於印尼，具備人口紅利優勢與龐大內需市場特色。菲國工業化程度已逾30%，居全球汽機車及造船產業要角；英語優勢也吸引外國直接投資，使菲律賓成為東南亞經濟體量第三大的國家，晉升亞洲四小虎之列。</t>
    <phoneticPr fontId="55" type="noConversion"/>
  </si>
  <si>
    <t>GACI First Investment Company(發行機構)是一家設立於開曼群島的特殊目的實體，由沙烏地阿拉伯公共投資基金(Public Investment Fund，簡稱PIF)全資擁有並提供保證。依據SWFI按總資產排名，PIF為全球第五大的主權財富基金。</t>
    <phoneticPr fontId="55" type="noConversion"/>
  </si>
  <si>
    <t>印尼國家電力公司(Perusahaan Listrik Negara)為一家近乎壟斷印尼輸配電的國有企業，由印尼政府透過國有企業部(MSOE)全資擁有，並提供印尼所有電力及電力基礎設施，為印尼唯一的垂直整合電力公司。</t>
  </si>
  <si>
    <t>菲利浦莫里斯國際公司(Philip Morris International Inc)為全球菸草及香菸公司市值龍頭，2023年1月完成併入瑞典曼奇(Swedish Match)後成為彭博「菸草」產業營收龍頭，目前正致力於實現無煙未來。旗下擁有全球最暢銷的香菸品牌萬寶路(Marlboro)及無煙菸草品牌IQOS。</t>
  </si>
  <si>
    <t>Power Finance Corporation(POWFIN)為印度最大的國有非銀行金融機構(NBFC)，亦是印度最大的基礎設施融資公司，致力為印度電力開發專案提供資金，是為印度電力部門的財務支柱。印度政府為其主要股東，於電力行業專業金融機構擁有20%市佔，據2024《BT500》總資產排名為印度第11大企業。</t>
    <phoneticPr fontId="55" type="noConversion"/>
  </si>
  <si>
    <t>保德信金融公司(Prudential Financial, Inc.)為美國的保險金融集團，提供遍及全球40多個國家的金融服務，名列2024年《Fortune》美國500強企業第81位且在壽險產業中為第2位(僅次於大都會保險)。據2023《退休金與投資》統計，該公司旗下保德信投資管理(PGIM)為全球第11大資產管理公司。</t>
    <phoneticPr fontId="55" type="noConversion"/>
  </si>
  <si>
    <t>保德信金融公司(Prudential Financial, Inc.)為美國的保險金融集團，提供遍及全球40多個國家的金融服務，名列2023年《Fortune》美國500強企業第67位且在壽險產業中為第2位(僅次於大都會保險)。據2023《退休金與投資》統計，該公司旗下保德信投資管理(PGIM)為全球第11大資產管理公司。</t>
    <phoneticPr fontId="55" type="noConversion"/>
  </si>
  <si>
    <t>PayPal控股有限公司(PayPal Holdings, Inc.)是全球最大的線上支付平台，作為消費者及商家間的橋梁，提供安全簡單的跨境電商收付款選擇，服務範圍遍及全球逾200個市場，擁有逾4億活躍用戶。據Statista統計數據顯示，截至2023年12月Paypal於全球線上支付處理軟體技術的市佔約為40%。</t>
  </si>
  <si>
    <t>卡達(Qatar)是世界第一大液化天然氣(LNG)出口國和第三大儲量國，也是世界最富有的國家之一，2023年卡達人均GDP(名目)約7.9萬美元，居全球第8位；而依據SWFI數據，卡達主權財富基金資產規模為全球第8大。</t>
    <phoneticPr fontId="55" type="noConversion"/>
  </si>
  <si>
    <t>高通公司(Qualcomm Incorporated)為全球CDMA與無線技術領導廠商、IC設計收入冠軍，且在1Q24全球智慧手機晶片市佔上位居第2位(僅次於聯發科)，按銷售金額則排在第1位。公司主要從事設計、開發、製造及銷售數位通訊產品，業務涵蓋技術領先的3G/4G/5G晶片、系統軟體以及開發工具和產品。</t>
    <phoneticPr fontId="55" type="noConversion"/>
  </si>
  <si>
    <t>卡達國家銀行金融有限公司(QNB Finance Ltd)為卡達國家銀行集團旗下的一家特殊目的機構；本券保證機構卡達國家銀行(Qatar National Bank (Q.P.S.C.))是卡達第一家國有商業銀行，卡達投資局(QIA)持股50%，按資產排名，QNB是中東和非洲(MEA)最大的銀行，且是中東最具價值銀行品牌。</t>
    <phoneticPr fontId="55" type="noConversion"/>
  </si>
  <si>
    <t>荷蘭合作銀行(Cooperatieve Rabobank U.A.) 是一家合作銀行，業務涵蓋零售、批發、國際及私人銀行等服務。該行擁有A級信用評等，與全球主要銀行相比處於相對高水位，並位列2023年度《環球金融》全球最安全銀行第39名。2024年《Brand Finance》荷蘭國內銀行品牌價值排名第1。</t>
    <phoneticPr fontId="55" type="noConversion"/>
  </si>
  <si>
    <t>皇家加勒比國際遊輪有限公司(Royal Caribbean Cruises Ltd.)為一家經營渡假郵輪船隊的全球性郵輪公司。旗下郵輪品牌包含名人、普爾曼、晶鑽、銀海和途易。根據2024年《Brand Finance》，休閒與觀光產業中的品牌價值排名全球第4，亦為目前全球市值最高的郵輪公司(2024/6/26)。</t>
    <phoneticPr fontId="55" type="noConversion"/>
  </si>
  <si>
    <t>殼牌國際金融私人有限公司(Shell International Finance B.V.)為一家特殊目的機構。保證機構殼牌(Royal Dutch Shell plc)擁有超過100年歷史，是一家全球性的能源及石化公司集團，亦是全球油氣50強品牌價值龍頭(Brand Finance 2024)，為石油天然氣、能源、化工等領域的重要領航者。</t>
    <phoneticPr fontId="55" type="noConversion"/>
  </si>
  <si>
    <t>力拓金融公開有限公司(Rio Tinto Finance PLC)生產金屬產品。該公司提供鐵礦石、銅、鋁、硼酸鹽、鹽、鈦，以及鑽石；經營範圍包括澳洲、北美、亞洲、歐洲、非洲及南美洲，2023年營收為全球第4大礦業公司。力拓金融服務全球的客戶。</t>
    <phoneticPr fontId="55" type="noConversion"/>
  </si>
  <si>
    <t>雷神科技公司(Raytheon Technologies Corporation)為一家飛機製造公司。該公司著重於技術提供和工程小組，以提供創新解決方案，例如：航空結構、航空電子、內裝、機械系統、任務系統、飛機引擎、動力與控制系統、雷達、軟體，以及其他產品。</t>
  </si>
  <si>
    <t>俄羅斯(Russia)國土橫跨歐亞兩大洲，為全世界領土面積最大的國家，亦是世界第9大人口國家，首都位於莫斯科。該國資源豐富，科技發達，經濟發展穩定，為世界第11大經濟體(IMF 2023)。以俄羅斯總統普丁和總理米舒斯京為核心的政治精英把持政局，使俄羅斯處於蘇聯解體以來政局最穩階段。</t>
  </si>
  <si>
    <t>南非國營運輸有限公司(Transnet SOC Ltd)是一家綜合貨物運輸公司，為南非政府全資擁有，亦是南非最大的鐵路運營商，控制南非鐵路貨物運輸，在非洲17個國家經營業務，致力於提高南非港口、鐵路貨運物流網絡的密度與容量。</t>
  </si>
  <si>
    <t>南非共和國(Republic of South Africa)是非洲工業化程度最高的國家，非洲第二大經濟體(僅次於奈及利亞)，並為G20與金磚國家之一員，處世界汽車工業大國行列，連續15年成為中國在非洲第一大交易夥伴，礦產資源豐富，鉑金產量全球居首。</t>
    <phoneticPr fontId="55" type="noConversion"/>
  </si>
  <si>
    <t>西班牙國際銀行(Banco Santander S.A.)吸收存款並提供零售、商業及私人銀行與資產管理服務，為西班牙最大銀行、全球1000大銀行第20位(The Banker 2023)、2023年度《Fortune》全球500大企業第104位、2024年《Brand Finance》全球500大銀行品牌價值第13位。</t>
    <phoneticPr fontId="55" type="noConversion"/>
  </si>
  <si>
    <t>桑坦德集團控股公開有限公司/英國(Santander UK Group Holdings PLC)為一家控股公司，透過旗下子公司經營大型零售及商業銀行業務。其母公司西班牙國際銀行(Banco Santander)名列2023年度《銀行家》全球1000大銀行第20位，西班牙第一大行。</t>
  </si>
  <si>
    <t>俄羅斯聯邦儲蓄銀行透過SB資本有限責任公司(Sberbank of Russia Via SB Capital SA)為一家特殊目的機構。母公司俄羅斯聯邦儲蓄銀行(SberBank)是俄羅斯(S&amp;P)、中東歐地區最大銀行(2023 The banker)，2023年《Fortune》全球500大企業中唯一上榜的俄羅斯銀行。</t>
    <phoneticPr fontId="55" type="noConversion"/>
  </si>
  <si>
    <t>星巴克公司(Starbucks Corporation)是全球首屈一指的精品咖啡(specialty coffee)烘焙商和零售商。從1998財年到2024年4月，門市從1,886家增加到38,951家，是美國門市數量最多的咖啡品牌，且在全球80多個國家擁有銷售門市。在2024年《Brand Finance》雜誌全球餐廳25排名中，星巴克名列全球第1。</t>
    <phoneticPr fontId="55" type="noConversion"/>
  </si>
  <si>
    <t>沙烏地電力環球伊斯蘭債券公司3(Saudi Electricity Global SUKUK Company 3)為特殊目的機構。母公司沙烏地電力公司(Saudi Electricity Company)為中東北非(MENA)最大的電力公司，在阿拉伯擁有38家發電廠，壟斷沙國輸配電網，沙國政府為其最大股東。</t>
    <phoneticPr fontId="55" type="noConversion"/>
  </si>
  <si>
    <t>新加坡航空有限公司(Singapore Airlines Limited)提供航空運輸、工程、機師培訓、航空 包機及旅遊批發服務。該公司的航空營運涵蓋亞洲、歐洲、美洲、西南太平洋及非洲。</t>
  </si>
  <si>
    <t>南非共和國(Republic of South Africa)是非洲工業化程度最高的國家，非洲第二大經濟體，並為G20與金磚國家之一員，處世界汽車工業大國行列，連續15年成為中國在非洲第一大交易夥伴，礦產資源豐富，鉑金產量全球居首。</t>
    <phoneticPr fontId="55" type="noConversion"/>
  </si>
  <si>
    <t>法國興業銀行(Societe Generale)創立於1864年，是法國銀行業三巨頭之一，提供消費信貸、租賃、融資、保險、投資，以及私人銀行服務。法國興業銀行的服務遍及全球，並被金融穩定委員會列為G-SIBs銀行。根據《Global Finance》網站2024最佳投行排名中，法國興業銀行連續三次榮獲最佳永續金融投行殊榮。</t>
    <phoneticPr fontId="55" type="noConversion"/>
  </si>
  <si>
    <t>軟銀集團公司(SoftBank Group Corp.)是一家純控股公司，創辦人及執行長孫正義為其最大股東，欲透過軟銀願景基金(Vision Fund)加速AI革命。2023《Fortune》全球500大企業排名第295，旗下英國晶片設計公司安謀(Arm)為2023年全球最大IPO公司。</t>
    <phoneticPr fontId="55" type="noConversion"/>
  </si>
  <si>
    <t>渣打集團(Standard Chartered PLC)為具有超過160年歷史的英國金融集團，2024年《Forbes》英國第5大銀行，亦是全球系統重要性銀行(G-SIBs)之一，主要業務橫跨企業及機構銀行、零售銀行、商業銀行、私人銀行及伊斯蘭銀行等，在快速發展的亞洲、非洲及中東市場根源深厚。</t>
    <phoneticPr fontId="55" type="noConversion"/>
  </si>
  <si>
    <t>道富集團(State Street Corporation)成立於1972年的美國波士頓，主要業務為客戶提供財富管理服務，旗下管理資產規模排名為全球第五位。2023年底道富集團在全球三大區域共設有114個辦事處，擁有約4.6萬名員工。2023年7月宣布於哥倫比亞設立辦事處，擴大拉丁美洲業務足跡。受《亞洲資產管理》譽為2024年亞太區最佳全球託管人。</t>
    <phoneticPr fontId="55" type="noConversion"/>
  </si>
  <si>
    <t>希捷HDD開曼(Seagate HDD Cayman)為其母公司希捷科技為於開曼註冊成立的全資子公司，為母公司向全球資本市場進行籌資借款的媒介。母公司希捷科技為資料儲存解決方案的全球領導者之一，透過製造及銷售硬碟、固態硬碟及儲存系統行銷全球，並為全球前二大硬碟製造商。</t>
  </si>
  <si>
    <t>三井住友金融集團公司(Sumitomo Mitsui Financial Group, Inc.)為日本第2大行、全球1000大銀行第21位(The Banker 2023)，提供商業銀行服務及多樣金融服務，並為2024年《Forbes》全球上市公司2000強第63位。</t>
    <phoneticPr fontId="55" type="noConversion"/>
  </si>
  <si>
    <t>三井住友銀行公司/雪梨(Sumitomo Mitsui Banking Corporation of Sydney)提供租賃、證券、信用卡、投資、抵押貸款證券化、外匯交易、創投、證券經紀及投資諮詢服務。三井住友金融集團(Sumitomo Mitsui Financial Group, Inc.)為日本第2大行、全球1000大銀行第21位(The Banker 2023)。</t>
    <phoneticPr fontId="55" type="noConversion"/>
  </si>
  <si>
    <t>Suzano International Finance(發行機構)為一特殊目的實體；保證機構Suzano SA總部位於巴西，為全球最大的造紙及紙漿公司之一，每年能夠生產超過1,090萬噸的紙漿及130萬頓的紙，全球商用紙漿市占達16%、原木紙漿市佔達31%，業務遍及100多個國家。Suzano SA為全球市值第5的造紙及紙漿公司，亦為巴西市值第17大的公司(2024/6/26)。</t>
    <phoneticPr fontId="55" type="noConversion"/>
  </si>
  <si>
    <t>7-Eleven, Inc.(SVELEV)為全球最大的便利商店營運商，在20個國家/地區擁有超過84,000家門店，其控股母公司Seven &amp; i Holdings總部位於日本東京，於2021年5月完成收購美國馬拉松石油公司(MPC)旗下的美國第三大超商品牌Speedway，進一步鞏固7-Eleven在美國的超商巨頭寶座。</t>
    <phoneticPr fontId="55" type="noConversion"/>
  </si>
  <si>
    <t>AT&amp;T公司(AT&amp;T Inc.)為美國三大電信巨頭之一，於全球電信品牌價值排名第3位(Brand Finance 2024)、美國電信業營收排名第2位(Fortune 2024)，5G網絡覆蓋美國逾3億人；為致力專注本業發展，已陸續於近年完成分拆全美最大衛星電視服務供應商DirecTV和華納媒體，徹底打造純通訊服務。</t>
    <phoneticPr fontId="55" type="noConversion"/>
  </si>
  <si>
    <t>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t>
    <phoneticPr fontId="55" type="noConversion"/>
  </si>
  <si>
    <t>武田藥品有限公司(Takeda Pharmaceutical Company Limited)具240年歷史，著重於藥品的研究及開發、製造、銷售及進出口，按資產規模為日本最大製藥公司，名列2024年度《製藥經理人》全球製藥企業50強第13位，知名產品有合利他命。</t>
    <phoneticPr fontId="55" type="noConversion"/>
  </si>
  <si>
    <t>台積電亞利桑那公司(TSMC Arizona Corp.)為台積電100%持股子公司，本券由台積電提供保證。被譽為「護國神山」的台灣半導體產業龍頭台積電是全球最大晶圓代工廠，於全球晶圓代工市佔逾5成，蘋果、高通等世界頂尖企業皆為其客戶，所代工生產的晶片應用於行動裝置、高效能運算、車用電子與物聯網等終端市場。</t>
  </si>
  <si>
    <t>TSMC全球有限公司(TSMC Global Ltd)為台積電100%持股子公司，本券由台積電提供保證。被譽為「護國神山」的台灣半導體產業龍頭台積電是全球最大晶圓代工廠，於全球晶圓代工市佔逾5成，蘋果、高通等世界頂尖企業皆為其客戶，所代工生產的晶片應用於行動裝置、高效能運算、車用電子與物聯網等終端市場。</t>
  </si>
  <si>
    <t>騰訊控股有限公司(Tencent Holdings Limited)中國市值最大的網際網路公司，2023年12月統計該公司市值為中國所有上市公司之最。騰訊亦是全球用戶最多的數位娛樂平台，通過全球月活躍帳戶數超過10億的微信和WeChat發展生態系，提供豐富的數位內容及金融科技等服務。</t>
  </si>
  <si>
    <t>義大利電信資本有限責任公司(Telecom Italia Capital S.A.)提供金融服務，該公司為母公司發行債券以及其他證券。母公司及保證人為義大利電信公司，其總部位於羅馬，提供電話、移動通訊及DSL數據服務，義大利政府則透過國有銀行持有其約9.81%的股份。</t>
  </si>
  <si>
    <t>澳洲電信(Telstra Corporation Limited)為澳洲最大的電信公司，於澳洲提供全方位服務的國內及國際電信業者，該公司提供電信交換線路至家庭及企業、供應市內、長途及國際電話服務，並供應行動電話電信服務；Telstra亦是澳洲最大的無線網路服務提供商，名列2023年《Brand Finance》澳洲最有價值品牌第二名。</t>
  </si>
  <si>
    <t>T-Mobile美國公司(T-Mobile USA, Inc.)提供電信服務。保證機構T-Mobile US, Inc.為德意志電信(Deutsche Telekom)旗下子公司，併入Sprint挹注用戶數突破1億，並成為全美5G覆蓋率最廣之行動電信商。德意志電信於2023年《Brand Finance》全球150大電信品牌價值排行第2位。</t>
  </si>
  <si>
    <t>豐田汽車公司(Toyota Motor Corporation)為全球汽車製造巨頭之一，旗下擁有TOYOTA、LEXUS、Daihatsu、HINO等知名轎車及貨車品牌，亦透過旗下子公司經營融資業務。截至2023年9月底，豐田汽車為全球汽車銷量冠軍，且於2023年《Brand Finance》全球百大汽車品牌價值排行第3位。</t>
  </si>
  <si>
    <t>掛毯公司(Tapestry, Inc.)成立於1941年，總部位於紐約，在全球設計及行銷服飾及配件。旗下擁有一系列具領導地位的高級時裝品牌，如Coach、Kate Spade New York及Stuart Weitzman，商品包含背包、女性手袋、配飾、皮件、香水及太陽眼鏡等，並透過電子商務平台、專櫃或第三方經銷商銷售。</t>
  </si>
  <si>
    <t>橫跨加拿大管路有限公司(TransCanada Pipelines Limited)是北美重要的能源運輸公司，為加拿大及美國客戶提供電力、石油、液體與天然氣的管道建設、配送與傳輸。該公司擁有超過6,530億立方英呎的天然氣儲存容量，以及長達93,300公里的天然氣管道，供應北美四分之一的天然氣需求。</t>
  </si>
  <si>
    <t>土耳其共和國(Republic of Turkey)橫跨歐亞兩洲，名列世界第17大經濟體(IMF 2023)，同時亦為OECD創始會員國、G20成員國及歐盟關稅同盟國。自然資源豐富，硼礦藏量世界第一；經濟發展迅速，且被認為是中東地區最強的軍事力量，全球軍力排名第11位(Global Firepower 2023)。</t>
  </si>
  <si>
    <t>瑞銀集團公司(UBS Group AG)主要提供零售、財富管理、企業和機構銀行服務、資產管理及全球性投資銀行商品與服務。名列2022年度《銀行家》全球1000大銀行第37位，瑞士第一大行；2023年《Forbes》全球上市公司2000強第92位。</t>
  </si>
  <si>
    <t>聯合健康集團公司(UnitedHealth Group Incorporated)全球醫療保健企業市值與全球醫療保健服務品牌價值龍頭，為結合醫療與資訊科技(IT)的巨擘，經營兩大事業別-聯合健康保險(UnitedHealthcare)及健康服務平台(Optum)，前者為美國最大醫療保險公司，後者業務涵蓋藥品管理服務、健康管理與健康資訊的完整醫療網絡，為集團脫穎而出的關鍵。</t>
    <phoneticPr fontId="55" type="noConversion"/>
  </si>
  <si>
    <t>Unum集團(Unum Group)擁有170年歷史，為全美最大團體失能保險公司之一，亦是團體壽險和僱員自購保障計畫的主要提供商之一，保險產品組合涵蓋失能、壽險、意外、重大疾病、癌症、牙齒及視力保險，營業據點遍及美國、英國及波蘭。該集團於2023美國財富「保險：壽險及醫療險」行業上市公司營收排名第10位。</t>
  </si>
  <si>
    <t>聯合包裹服務公司(United Parcel Service, Inc. (UPS)是全球最大的包裹遞送公司及全球領先的供應鏈管理解決方案提供商，為全球物流公司品牌價值之首，擁有著自己的貨運航空公司「UPS Airlines」、無人機航空公司「UPS Flight Forward」，並營運著全球最大的替代燃料車隊之一，足跡遍佈全球200多個國家和地區，年遞送包裹達57億件。</t>
    <phoneticPr fontId="55" type="noConversion"/>
  </si>
  <si>
    <t>威士卡(Visa Inc.)是全球領先的數位支付公司，服務橫跨全球200多個國家和地區的消費者、商家、金融機構和政府，透過先進的全球支付處理網路VisaNet，在全世界提供安全可靠的支付服務，每秒可處理超過65,000筆交易。Visa亦是全球最大的國際發卡組織，截至2023財年底在全球流通的Visa信用卡達41.6億張。</t>
    <phoneticPr fontId="55" type="noConversion"/>
  </si>
  <si>
    <t>巴西淡水河谷有限責任公司(Vale S.A.)為全球最大的鐵、鎳礦生產商，為全球市值第六大金屬礦業公司，也是巴西市值第二大公司。除採礦之外也從事物流(鐵路、港口、碼頭等基礎設施)，並與能源、煉鋼等產業合作，為巴西最大的物流企業之一。於2023年《Brand Finance》全球採礦及金屬50品牌價值排行第12位。</t>
    <phoneticPr fontId="55" type="noConversion"/>
  </si>
  <si>
    <t>巴西淡水河谷有限責任公司(Vale S.A.)為全球最大的鐵、鎳礦生產商，為全球市值第六大金屬礦業公司，也是巴西市值第二大公司。除採礦之外也從事物流(鐵路、港口、碼頭等基礎設施)，並與能源、煉鋼等產業合作，為巴西最大的物流企業之一。於2023年《Brand Finance》全球採礦及金屬50品牌價值排行第12位。</t>
  </si>
  <si>
    <t>沃達豐集團公開有限公司(Vodafone Group PLC)為於歐洲及非洲的領導電信商，主要透過GigaKombi及One兩個品牌行銷並提供用戶電信服務，沃達豐也提供物聯網、汽車保險、公有及私有雲服務、IP傳輸等企業級解決方案，名列2023《Fortune》全球電信業按營收排名第11位、2023年《Brand Finance》全球150大電信品牌價值排行第10位。</t>
  </si>
  <si>
    <t>暉致公司(Viatris Inc.)由仿製藥巨頭邁蘭(Mylan N.V.)和輝瑞旗下非專利原廠藥業務Upjohn合併而成，為全球第18大製藥公司(Pharma 50, 2024)、全球三大學名藥廠之一，產品組合包括學名藥及非專利原廠藥，如降血脂Lipitor、高血壓與心絞痛藥Norvasc、止痛與抗癲癇藥Lyrica、威而剛Viagra等暢銷藥品。</t>
    <phoneticPr fontId="55" type="noConversion"/>
  </si>
  <si>
    <t>威瑞森電信(Verizon Communications Inc.)為全球電信業者中，產業規模最大且最會賺錢的電信商，且是唯一具備A級評等的美國無線通訊服務供應商，2021年完成收購美國最大的預付行動電話營運商TracFone後，進一步稱霸北美零售無線後付費及預付費通訊市場，於美國零售無線用戶市佔第一，總零售無線用戶數逾1.4億戶。</t>
    <phoneticPr fontId="55" type="noConversion"/>
  </si>
  <si>
    <t>沃博聯(Walgreens Boots Alliance, Inc.)是全球最大的批發及零售藥房之一，主要經營藥品分銷、保健品、居家用品、美容護膚及個人護理產品銷售業務，在美、歐及亞洲有超過13,000家門市。於2023年《財富》全美500強排名第27位，亦為全球市值第2高的藥妝通路商。</t>
  </si>
  <si>
    <t>探索傳播有限責任公司(Discovery Communications LLC)提供有線及衛星電視服務，本券由其母公司華納兄弟探索公司(Warner Bros. Discovery, Inc.，簡稱WBD)提供保證。WBD是一家可與Disney+匹敵的全球串流媒體新巨擎，於2022年4月由AT&amp;T旗下華納媒體與Discovery合併而成，擁有華納兄弟、CNN、HBO等龐大影音媒體資產。</t>
  </si>
  <si>
    <t>威騰電子公司(Western Digital Corporation)為硬碟及快閃記憶體的市場領導者，與希捷(Seagate)為HDD市佔前兩大廠商，提供數位內容的收集 、儲存、管理、保護和使用，包括語音與影像的解決方案，名列2023年《Fortune》美國500大企業電腦與辦公設備產業排名第5位。</t>
  </si>
  <si>
    <t>富國銀行公司(Wells Fargo &amp; Company)是全球系統重要性銀行(G-SIBs)之一，按一級資本排名位居全球第8大行、美國第4大行地位，在美國的住房抵押貸款、總體汽車貸款、就學貸款、商用房地產貸款等眾多領域位居前列，每三戶家庭就有一戶選擇富國銀行。</t>
  </si>
  <si>
    <t>沃爾瑪(Walmart Inc.)是全美第一大連鎖零售量販店，按營收亦是世界第一大零售商，同時為世界最大的私人雇主，業務別區方為美國沃爾瑪、沃爾瑪國際及山姆會員商店三種，名列2023年《Fortune》世界500強之首，自2013年以來持續蟬聯全球企業營收龍頭寶座。</t>
  </si>
  <si>
    <t>西太平洋銀行公司(Westpac Banking Corporation)提供銀行服務。為澳洲第一家銀行，並為澳洲四大銀行之一，及紐西蘭最大銀行之一，名列2023年《Forbes》全球上市公司2000強排名第197位，澳洲排名第5。</t>
  </si>
  <si>
    <t>埃克森美孚公司(Exxon Mobil Corporation)為美國同業市值第1大、全球市值居次的綜合石油生產商(僅次於沙烏地阿美)，該公司相較同業擁有較高的平均產量及已探明儲量、較強勁的資產負債表及較高的信用評等，穩健性冠同業。2023年《Fortune》全球500強第7位，於「石油煉製」行業營收排名第3位。</t>
  </si>
  <si>
    <t>百勝餐飲(Yum Brands Inc.)是雞肉、披薩和墨西哥風味食品的全球領導者，亦是全球速食餐廳規模排名第一的速食連鎖集團，旗下擁有、營運及特許經營的速食餐廳有肯德基(KFC)、墨西哥速食Taco Bell、必勝客(Pizza Hut)，以及美國加州超人氣炭烤漢堡Habit Burger。</t>
  </si>
  <si>
    <t>必和必拓金融美國有限公司(BHP Billiton Finance USA Limited)為一家特殊目的機構，替母公司發行債券或融資，本券由必和必拓集團(BHP Group Limited)提供保證。必和必拓是全球市值最大礦業公司，在25個國家經營採礦業務，範圍包括鐵礦石、鑽石、煤炭、石油、天然氣、銅、鈾和鋁礬土等。</t>
  </si>
  <si>
    <t>本田汽車公司(Honda Motor Co., Ltd.)是日本第二大汽車製造商，亦是全球最大的摩托車製造商及最大引擎製造公司，於全球開發、製造及銷售汽車、摩托車及動力產品，旗下擁有HONDA、Acura、本田動力設備與本田海洋等品牌。於2023年《Brand Finance》全球100大汽車品牌價值排行第7位。</t>
  </si>
  <si>
    <t>美國國庫券分割債票息</t>
  </si>
  <si>
    <t>S</t>
  </si>
  <si>
    <t>美利堅合眾國(United States)國土面積世界前四、人口世界第三，是一個高度已開發國家，並是世界最大的經濟體(GDP約佔全球1/4)，人均GDP總值排名世界第7(IMF 2022)，而美元更高居全球外匯市場第一大貨幣地位，穆迪並賦予美國主權評等為 Aaa，美國公債為當今世上極少數被譽為『無風險』的投資商品。</t>
  </si>
  <si>
    <t>法國電力(Électricité de France)為法國公用電力公司，法國政府為保障能源安全，於2023年重新將EDF收歸國有，彰顯其重要性。EDF是世界上最大的垂直整合公用事業之一，且是低碳能源全球領導者，透過核能和再生能源發電，90%發電無排放二氧化碳。2023年《Brand Finance》全球公用事業公司品牌價值排名第3位。</t>
  </si>
  <si>
    <t>加拿大政府公債</t>
  </si>
  <si>
    <t>CAN</t>
  </si>
  <si>
    <t>加拿大(Canada)為全球面積第2大國，名目GDP世界排名第6，以農業、林業及礦業為主要產業，為全球重要的小麥產地之一，並大量出口金、鎳、鋁、鋼、鐵礦、鋅及鈾。加拿大亦為少數已開發國家中的能源出口國，有著全球第3大的石油儲備量。加拿大也積極發展航太工業，多次參與國際太空站的建置計畫，並擁有自主發射火箭能力。</t>
  </si>
  <si>
    <t>紐西蘭公債</t>
    <phoneticPr fontId="55" type="noConversion"/>
  </si>
  <si>
    <t>NZGB</t>
  </si>
  <si>
    <t>紐西蘭(New Zealand)為全球第6大島嶼國家，人均名目GDP世界排名第22，以農業、畜牧業及林業為主要產業，森林資源佔全國土地面積30%，粗羊毛產量佔全球25%，也出口奶製品、毛毯、水果、酒品、皮革、菸草、造紙、木材加工等輕工業。此外，紐西蘭也擁有豐富的魚產資源，擁有全球第4大海洋專屬經濟區。</t>
  </si>
  <si>
    <t>NBN Co Ltd</t>
  </si>
  <si>
    <t>NBNAUS</t>
  </si>
  <si>
    <t>NBN Co Limited(國家寬頻網路公司)是一家由澳洲政府所持有的公共網路公司，主要負責設計及經營澳洲的網路系統，共鋪設了澳洲約90%的網際網路。NBN主要的技術透過光纖網路與終端設備的互動達成，能夠透過有線及無線的方式將網路鋪設至公寓或商業用地，另NBN也積極切入衛星網路服務。</t>
  </si>
  <si>
    <t>禮來公司(Eli Lilly and Company)專門研發、生產，並銷售各式藥物，在糖尿病、腫瘤學(癌症)和免疫學等領域擁有顯著的市場地位；旗下知名藥物有治療憂鬱症的百憂解，以及糖尿病與減重藥Mounjar等。高盛預期2030年達千億美元的肥胖藥物市場中，禮來及諾和諾德雙巨頭將佔據80%市佔率。</t>
  </si>
  <si>
    <t>Hutchison Whampoa Finance CI</t>
  </si>
  <si>
    <t>CKHH</t>
  </si>
  <si>
    <t>Hutchison Whampoa Finance CI Ltd(發行機構)為長江集團旗下的特殊目的實體，保證機構長江和記實業有限公司(CK Hutchison Holdings Ltd)的創辦人為李嘉誠，為立足於香港的跨國集團企業，核心業務包含港口與相關業務、零售、基建和電訊等多元化領域。</t>
  </si>
  <si>
    <t>超微半導體公司</t>
  </si>
  <si>
    <t>AMD</t>
  </si>
  <si>
    <t>超微半導體公司(Advanced Micro Devices, Inc.)按市值及品牌價值為全球十大半導體公司之一，亦是一家無晶圓廠半導體公司，為全球唯一可同時提供高性能圖形處理器(GPU)和中央處理處(CPU)的企業，致力於推動高性能運算、圖形與視覺技術的創新，為PC、遊戲機、資料中心、工業和汽車應用等市場設計各種數位半導體。</t>
  </si>
  <si>
    <t>德州儀器公司</t>
    <phoneticPr fontId="55" type="noConversion"/>
  </si>
  <si>
    <t>TXN</t>
    <phoneticPr fontId="55" type="noConversion"/>
  </si>
  <si>
    <t>德州儀器(Texas Instruments)為積體電路(IC)發明者，現為全球最大的類比與嵌入式晶片製造商，於規模890億美元的類比IC處理晶片市場佔據17%的領先市佔，擁有逾8萬種廣泛的產品組合，主要應用於工業、汽車、太空等商用領域，並因客戶群高度多元而有著「半導體業風向球」之稱。</t>
  </si>
  <si>
    <t/>
  </si>
  <si>
    <t>XH430</t>
    <phoneticPr fontId="53" type="noConversion"/>
  </si>
  <si>
    <t>XH600</t>
    <phoneticPr fontId="53" type="noConversion"/>
  </si>
  <si>
    <t>XH750</t>
    <phoneticPr fontId="53" type="noConversion"/>
  </si>
  <si>
    <t>XH040</t>
    <phoneticPr fontId="53" type="noConversion"/>
  </si>
  <si>
    <t>XH430</t>
    <phoneticPr fontId="55" type="noConversion"/>
  </si>
  <si>
    <t>XH040</t>
    <phoneticPr fontId="55" type="noConversion"/>
  </si>
  <si>
    <t>XH750</t>
    <phoneticPr fontId="55" type="noConversion"/>
  </si>
  <si>
    <t>XG300</t>
    <phoneticPr fontId="55" type="noConversion"/>
  </si>
  <si>
    <t>2024/7/12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</si>
</sst>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4">
    <numFmt numFmtId="44" formatCode="_-&quot;$&quot;* #,##0.00_-;\-&quot;$&quot;* #,##0.00_-;_-&quot;$&quot;* &quot;-&quot;??_-;_-@_-"/>
    <numFmt numFmtId="176" formatCode="_(&quot;$&quot;* #,##0.00_);_(&quot;$&quot;* \(#,##0.00\);_(&quot;$&quot;* &quot;-&quot;??_);_(@_)"/>
    <numFmt numFmtId="177" formatCode="_(* #,##0.00_);_(* \(#,##0.00\);_(* &quot;-&quot;??_);_(@_)"/>
    <numFmt numFmtId="178" formatCode="0.000%"/>
    <numFmt numFmtId="179" formatCode="0.00_);[Red]\(0.00\)"/>
    <numFmt numFmtId="180" formatCode="0_);[Red]\(0\)"/>
    <numFmt numFmtId="181" formatCode="_-* #,##0_-;\-* #,##0_-;_-* &quot;-&quot;??_-;_-@_-"/>
    <numFmt numFmtId="182" formatCode="yyyy/mm"/>
    <numFmt numFmtId="183" formatCode="0.0"/>
    <numFmt numFmtId="184" formatCode="0.0%"/>
    <numFmt numFmtId="185" formatCode="#,##0_ "/>
    <numFmt numFmtId="186" formatCode="0.00000_);[Red]\(0.00000\)"/>
    <numFmt numFmtId="187" formatCode="_-* #,##0.000_-;\-* #,##0.000_-;_-* &quot;-&quot;??_-;_-@_-"/>
    <numFmt numFmtId="188" formatCode="0.00_ "/>
    <numFmt numFmtId="189" formatCode="0.000"/>
    <numFmt numFmtId="190" formatCode="_(* #,##0_);_(* \(#,##0\);_(* &quot;-&quot;??_);_(@_)"/>
    <numFmt numFmtId="191" formatCode="&quot;US$&quot;#,##0.00"/>
    <numFmt numFmtId="192" formatCode="&quot;US$&quot;\ \ #,##0.00"/>
    <numFmt numFmtId="193" formatCode="0.0_);[Red]\(0.0\)"/>
    <numFmt numFmtId="194" formatCode="#,##0.00_ "/>
    <numFmt numFmtId="195" formatCode="0.000_);[Red]\(0.000\)"/>
    <numFmt numFmtId="196" formatCode="0.0000"/>
    <numFmt numFmtId="197" formatCode="#,##0_);[Red]\(#,##0\)"/>
    <numFmt numFmtId="198" formatCode="0.0000000%"/>
    <numFmt numFmtId="199" formatCode="yyyy/mm/dd"/>
    <numFmt numFmtId="200" formatCode="#,##0_ ;[Red]\-#,##0\ "/>
    <numFmt numFmtId="201" formatCode="0.0000_);[Red]\(0.0000\)"/>
    <numFmt numFmtId="202" formatCode="0.00_ ;[Red]\-0.00\ "/>
    <numFmt numFmtId="203" formatCode="_-* #,##0.0000_-;\-* #,##0.0000_-;_-* &quot;-&quot;??_-;_-@_-"/>
    <numFmt numFmtId="204" formatCode="0.0_ ;[Red]\-0.0\ "/>
    <numFmt numFmtId="205" formatCode="#,##0.00_ ;[Red]\-#,##0.00\ "/>
    <numFmt numFmtId="206" formatCode="#,##0.00_);\(#,##0.00\)"/>
    <numFmt numFmtId="207" formatCode="_(* #,##0.0_);_(* \(#,##0.0\);_(* &quot;-&quot;??_);_(@_)"/>
    <numFmt numFmtId="208" formatCode="0.0000000000000%"/>
    <numFmt numFmtId="209" formatCode="0.0000%"/>
    <numFmt numFmtId="210" formatCode="0.0000_ ;[Red]\-0.0000\ "/>
    <numFmt numFmtId="211" formatCode="m&quot;月&quot;d&quot;日&quot;"/>
    <numFmt numFmtId="212" formatCode="0.00000000_);[Red]\(0.00000000\)"/>
    <numFmt numFmtId="213" formatCode="_-&quot;$&quot;* #,##0.0_-;\-&quot;$&quot;* #,##0.0_-;_-&quot;$&quot;* &quot;-&quot;?_-;_-@_-"/>
    <numFmt numFmtId="214" formatCode="_-&quot;$&quot;* #,##0_-;\-&quot;$&quot;* #,##0_-;_-&quot;$&quot;* &quot;-&quot;??_-;_-@_-"/>
    <numFmt numFmtId="215" formatCode="_-&quot;$&quot;* #,##0.000000_-;\-&quot;$&quot;* #,##0.000000_-;_-&quot;$&quot;* &quot;-&quot;??_-;_-@_-"/>
    <numFmt numFmtId="216" formatCode="0.00_);\(0.00\)"/>
    <numFmt numFmtId="217" formatCode=";;;"/>
    <numFmt numFmtId="218" formatCode="m/d/yyyy"/>
  </numFmts>
  <fonts count="310">
    <font>
      <sz val="12"/>
      <color theme="1"/>
      <name val="微軟正黑體"/>
      <family val="1"/>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2"/>
      <color theme="1"/>
      <name val="微軟正黑體"/>
      <family val="2"/>
      <charset val="136"/>
      <scheme val="minor"/>
    </font>
    <font>
      <sz val="10"/>
      <name val="Arial"/>
      <family val="2"/>
    </font>
    <font>
      <sz val="11"/>
      <color indexed="8"/>
      <name val="新細明體"/>
      <family val="1"/>
      <charset val="136"/>
    </font>
    <font>
      <sz val="11"/>
      <color indexed="8"/>
      <name val="Calibri"/>
      <family val="2"/>
    </font>
    <font>
      <sz val="9"/>
      <name val="新細明體"/>
      <family val="1"/>
      <charset val="136"/>
    </font>
    <font>
      <sz val="12"/>
      <name val="新細明體"/>
      <family val="1"/>
      <charset val="136"/>
    </font>
    <font>
      <sz val="9"/>
      <name val="新細明體"/>
      <family val="1"/>
      <charset val="136"/>
    </font>
    <font>
      <sz val="9"/>
      <name val="Calibri"/>
      <family val="2"/>
    </font>
    <font>
      <sz val="12"/>
      <color theme="1"/>
      <name val="微軟正黑體"/>
      <family val="1"/>
      <charset val="136"/>
      <scheme val="minor"/>
    </font>
    <font>
      <sz val="11"/>
      <color theme="1"/>
      <name val="微軟正黑體"/>
      <family val="1"/>
      <charset val="136"/>
      <scheme val="minor"/>
    </font>
    <font>
      <sz val="11"/>
      <color theme="0"/>
      <name val="微軟正黑體"/>
      <family val="1"/>
      <charset val="136"/>
      <scheme val="minor"/>
    </font>
    <font>
      <sz val="11"/>
      <color rgb="FF9C0006"/>
      <name val="微軟正黑體"/>
      <family val="1"/>
      <charset val="136"/>
      <scheme val="minor"/>
    </font>
    <font>
      <b/>
      <sz val="11"/>
      <color rgb="FFFA7D00"/>
      <name val="微軟正黑體"/>
      <family val="1"/>
      <charset val="136"/>
      <scheme val="minor"/>
    </font>
    <font>
      <b/>
      <sz val="11"/>
      <color theme="0"/>
      <name val="微軟正黑體"/>
      <family val="1"/>
      <charset val="136"/>
      <scheme val="minor"/>
    </font>
    <font>
      <i/>
      <sz val="11"/>
      <color rgb="FF7F7F7F"/>
      <name val="微軟正黑體"/>
      <family val="1"/>
      <charset val="136"/>
      <scheme val="minor"/>
    </font>
    <font>
      <sz val="11"/>
      <color rgb="FF006100"/>
      <name val="微軟正黑體"/>
      <family val="1"/>
      <charset val="136"/>
      <scheme val="minor"/>
    </font>
    <font>
      <b/>
      <sz val="15"/>
      <color theme="3"/>
      <name val="微軟正黑體"/>
      <family val="1"/>
      <charset val="136"/>
      <scheme val="minor"/>
    </font>
    <font>
      <b/>
      <sz val="13"/>
      <color theme="3"/>
      <name val="微軟正黑體"/>
      <family val="1"/>
      <charset val="136"/>
      <scheme val="minor"/>
    </font>
    <font>
      <b/>
      <sz val="11"/>
      <color theme="3"/>
      <name val="微軟正黑體"/>
      <family val="1"/>
      <charset val="136"/>
      <scheme val="minor"/>
    </font>
    <font>
      <u/>
      <sz val="9.6"/>
      <color theme="10"/>
      <name val="Arial"/>
      <family val="2"/>
    </font>
    <font>
      <sz val="11"/>
      <color rgb="FF3F3F76"/>
      <name val="微軟正黑體"/>
      <family val="1"/>
      <charset val="136"/>
      <scheme val="minor"/>
    </font>
    <font>
      <sz val="11"/>
      <color rgb="FFFA7D00"/>
      <name val="微軟正黑體"/>
      <family val="1"/>
      <charset val="136"/>
      <scheme val="minor"/>
    </font>
    <font>
      <sz val="11"/>
      <color rgb="FF9C6500"/>
      <name val="微軟正黑體"/>
      <family val="1"/>
      <charset val="136"/>
      <scheme val="minor"/>
    </font>
    <font>
      <b/>
      <sz val="11"/>
      <color rgb="FF3F3F3F"/>
      <name val="微軟正黑體"/>
      <family val="1"/>
      <charset val="136"/>
      <scheme val="minor"/>
    </font>
    <font>
      <b/>
      <sz val="18"/>
      <color theme="3"/>
      <name val="微軟正黑體"/>
      <family val="1"/>
      <charset val="136"/>
      <scheme val="major"/>
    </font>
    <font>
      <b/>
      <sz val="11"/>
      <color theme="1"/>
      <name val="微軟正黑體"/>
      <family val="1"/>
      <charset val="136"/>
      <scheme val="minor"/>
    </font>
    <font>
      <sz val="11"/>
      <color rgb="FFFF0000"/>
      <name val="微軟正黑體"/>
      <family val="1"/>
      <charset val="136"/>
      <scheme val="minor"/>
    </font>
    <font>
      <sz val="12"/>
      <color theme="1"/>
      <name val="微軟正黑體"/>
      <family val="2"/>
      <charset val="136"/>
    </font>
    <font>
      <sz val="12"/>
      <color theme="0"/>
      <name val="微軟正黑體"/>
      <family val="2"/>
      <charset val="136"/>
    </font>
    <font>
      <b/>
      <sz val="22"/>
      <color theme="0"/>
      <name val="微軟正黑體"/>
      <family val="2"/>
      <charset val="136"/>
    </font>
    <font>
      <b/>
      <sz val="12"/>
      <color theme="1"/>
      <name val="微軟正黑體"/>
      <family val="1"/>
      <charset val="136"/>
      <scheme val="minor"/>
    </font>
    <font>
      <sz val="9"/>
      <name val="微軟正黑體"/>
      <family val="1"/>
      <charset val="136"/>
      <scheme val="minor"/>
    </font>
    <font>
      <sz val="12"/>
      <color theme="0"/>
      <name val="微軟正黑體"/>
      <family val="2"/>
      <charset val="136"/>
      <scheme val="minor"/>
    </font>
    <font>
      <sz val="9"/>
      <name val="微軟正黑體"/>
      <family val="2"/>
      <charset val="136"/>
      <scheme val="minor"/>
    </font>
    <font>
      <sz val="10"/>
      <name val="微軟正黑體"/>
      <family val="2"/>
      <charset val="136"/>
    </font>
    <font>
      <b/>
      <sz val="10"/>
      <name val="微軟正黑體"/>
      <family val="2"/>
      <charset val="136"/>
    </font>
    <font>
      <sz val="10"/>
      <color theme="0"/>
      <name val="微軟正黑體"/>
      <family val="2"/>
      <charset val="136"/>
      <scheme val="minor"/>
    </font>
    <font>
      <sz val="10"/>
      <color theme="1"/>
      <name val="微軟正黑體"/>
      <family val="2"/>
      <charset val="136"/>
      <scheme val="minor"/>
    </font>
    <font>
      <sz val="10"/>
      <color theme="1"/>
      <name val="微軟正黑體"/>
      <family val="1"/>
      <charset val="136"/>
      <scheme val="minor"/>
    </font>
    <font>
      <sz val="10"/>
      <color theme="9" tint="-0.499984740745262"/>
      <name val="微軟正黑體"/>
      <family val="2"/>
      <charset val="136"/>
    </font>
    <font>
      <sz val="10"/>
      <color theme="1"/>
      <name val="微軟正黑體"/>
      <family val="2"/>
      <charset val="136"/>
    </font>
    <font>
      <sz val="10"/>
      <color rgb="FFFF0000"/>
      <name val="微軟正黑體"/>
      <family val="2"/>
      <charset val="136"/>
      <scheme val="minor"/>
    </font>
    <font>
      <sz val="10"/>
      <color rgb="FFFF0000"/>
      <name val="微軟正黑體"/>
      <family val="1"/>
      <charset val="136"/>
      <scheme val="minor"/>
    </font>
    <font>
      <b/>
      <sz val="16"/>
      <color theme="1"/>
      <name val="微軟正黑體"/>
      <family val="2"/>
      <charset val="136"/>
    </font>
    <font>
      <sz val="10"/>
      <color theme="1" tint="0.499984740745262"/>
      <name val="微軟正黑體"/>
      <family val="1"/>
      <charset val="136"/>
      <scheme val="minor"/>
    </font>
    <font>
      <sz val="10"/>
      <color theme="1" tint="0.499984740745262"/>
      <name val="微軟正黑體"/>
      <family val="2"/>
      <charset val="136"/>
      <scheme val="minor"/>
    </font>
    <font>
      <sz val="10"/>
      <color theme="1" tint="0.499984740745262"/>
      <name val="微軟正黑體"/>
      <family val="2"/>
      <charset val="136"/>
    </font>
    <font>
      <b/>
      <sz val="10"/>
      <color theme="0"/>
      <name val="微軟正黑體"/>
      <family val="2"/>
      <charset val="136"/>
    </font>
    <font>
      <b/>
      <sz val="10"/>
      <color theme="3"/>
      <name val="Arial Unicode MS"/>
      <family val="2"/>
      <charset val="136"/>
    </font>
    <font>
      <sz val="10"/>
      <color theme="0"/>
      <name val="微軟正黑體"/>
      <family val="2"/>
      <charset val="136"/>
    </font>
    <font>
      <sz val="10"/>
      <color theme="1"/>
      <name val="新細明體"/>
      <family val="1"/>
      <charset val="136"/>
    </font>
    <font>
      <sz val="10"/>
      <color theme="9"/>
      <name val="微軟正黑體"/>
      <family val="2"/>
      <charset val="136"/>
      <scheme val="minor"/>
    </font>
    <font>
      <sz val="10"/>
      <color theme="3"/>
      <name val="微軟正黑體"/>
      <family val="1"/>
      <charset val="136"/>
      <scheme val="minor"/>
    </font>
    <font>
      <sz val="8"/>
      <color theme="3"/>
      <name val="微軟正黑體"/>
      <family val="1"/>
      <charset val="136"/>
      <scheme val="minor"/>
    </font>
    <font>
      <sz val="10"/>
      <color theme="0"/>
      <name val="微軟正黑體"/>
      <family val="1"/>
      <charset val="136"/>
      <scheme val="minor"/>
    </font>
    <font>
      <sz val="9"/>
      <color indexed="81"/>
      <name val="Tahoma"/>
      <family val="2"/>
    </font>
    <font>
      <b/>
      <sz val="9"/>
      <color indexed="81"/>
      <name val="Tahoma"/>
      <family val="2"/>
    </font>
    <font>
      <b/>
      <sz val="9"/>
      <color indexed="81"/>
      <name val="細明體"/>
      <family val="3"/>
      <charset val="136"/>
    </font>
    <font>
      <sz val="9"/>
      <color indexed="81"/>
      <name val="細明體"/>
      <family val="3"/>
      <charset val="136"/>
    </font>
    <font>
      <sz val="11"/>
      <name val="微軟正黑體"/>
      <family val="2"/>
      <charset val="136"/>
    </font>
    <font>
      <b/>
      <sz val="12"/>
      <color theme="0"/>
      <name val="微軟正黑體"/>
      <family val="2"/>
      <charset val="136"/>
    </font>
    <font>
      <sz val="10"/>
      <name val="微軟正黑體"/>
      <family val="2"/>
      <charset val="136"/>
      <scheme val="minor"/>
    </font>
    <font>
      <sz val="10"/>
      <color theme="0" tint="-0.499984740745262"/>
      <name val="微軟正黑體"/>
      <family val="1"/>
      <charset val="136"/>
      <scheme val="minor"/>
    </font>
    <font>
      <sz val="10"/>
      <name val="微軟正黑體"/>
      <family val="1"/>
      <charset val="136"/>
      <scheme val="minor"/>
    </font>
    <font>
      <sz val="8"/>
      <color rgb="FF0070C0"/>
      <name val="微軟正黑體"/>
      <family val="2"/>
      <charset val="136"/>
      <scheme val="minor"/>
    </font>
    <font>
      <sz val="10"/>
      <color rgb="FF0070C0"/>
      <name val="微軟正黑體"/>
      <family val="1"/>
      <charset val="136"/>
      <scheme val="minor"/>
    </font>
    <font>
      <sz val="10"/>
      <name val="Calibri"/>
      <family val="2"/>
    </font>
    <font>
      <sz val="10"/>
      <color rgb="FFFF0000"/>
      <name val="Calibri"/>
      <family val="2"/>
    </font>
    <font>
      <sz val="10"/>
      <color theme="1"/>
      <name val="Arial"/>
      <family val="2"/>
    </font>
    <font>
      <sz val="10"/>
      <color rgb="FFFF0000"/>
      <name val="微軟正黑體"/>
      <family val="2"/>
      <charset val="136"/>
    </font>
    <font>
      <b/>
      <sz val="10"/>
      <color rgb="FFFF0000"/>
      <name val="微軟正黑體"/>
      <family val="2"/>
      <charset val="136"/>
    </font>
    <font>
      <sz val="12"/>
      <color rgb="FFFF0000"/>
      <name val="微軟正黑體"/>
      <family val="2"/>
      <charset val="136"/>
      <scheme val="minor"/>
    </font>
    <font>
      <sz val="12"/>
      <color rgb="FFFF0000"/>
      <name val="微軟正黑體"/>
      <family val="1"/>
      <charset val="136"/>
      <scheme val="minor"/>
    </font>
    <font>
      <sz val="12"/>
      <name val="微軟正黑體"/>
      <family val="2"/>
      <charset val="136"/>
    </font>
    <font>
      <b/>
      <sz val="12"/>
      <color theme="1"/>
      <name val="微軟正黑體"/>
      <family val="2"/>
      <charset val="136"/>
    </font>
    <font>
      <b/>
      <sz val="14"/>
      <color theme="1"/>
      <name val="微軟正黑體"/>
      <family val="2"/>
      <charset val="136"/>
    </font>
    <font>
      <sz val="14"/>
      <color theme="1"/>
      <name val="微軟正黑體"/>
      <family val="2"/>
      <charset val="136"/>
    </font>
    <font>
      <sz val="12"/>
      <color rgb="FFDEB120"/>
      <name val="微軟正黑體"/>
      <family val="2"/>
      <charset val="136"/>
      <scheme val="minor"/>
    </font>
    <font>
      <sz val="10"/>
      <color theme="1" tint="0.249977111117893"/>
      <name val="微軟正黑體"/>
      <family val="2"/>
      <charset val="136"/>
    </font>
    <font>
      <sz val="10"/>
      <color theme="1" tint="0.249977111117893"/>
      <name val="微軟正黑體"/>
      <family val="1"/>
      <charset val="136"/>
      <scheme val="minor"/>
    </font>
    <font>
      <b/>
      <sz val="12"/>
      <name val="微軟正黑體"/>
      <family val="2"/>
      <charset val="136"/>
    </font>
    <font>
      <sz val="10"/>
      <color rgb="FFFFC000"/>
      <name val="微軟正黑體"/>
      <family val="2"/>
      <charset val="136"/>
      <scheme val="minor"/>
    </font>
    <font>
      <b/>
      <sz val="14"/>
      <name val="微軟正黑體"/>
      <family val="2"/>
      <charset val="136"/>
    </font>
    <font>
      <sz val="9"/>
      <name val="微軟正黑體"/>
      <family val="3"/>
      <charset val="136"/>
      <scheme val="minor"/>
    </font>
    <font>
      <b/>
      <sz val="14"/>
      <color rgb="FFFF0000"/>
      <name val="微軟正黑體"/>
      <family val="2"/>
      <charset val="136"/>
    </font>
    <font>
      <sz val="12"/>
      <color theme="1"/>
      <name val="Calibri"/>
      <family val="2"/>
    </font>
    <font>
      <sz val="12"/>
      <color theme="1"/>
      <name val="細明體"/>
      <family val="3"/>
      <charset val="136"/>
    </font>
    <font>
      <b/>
      <sz val="16"/>
      <color theme="0"/>
      <name val="微軟正黑體"/>
      <family val="2"/>
      <charset val="136"/>
    </font>
    <font>
      <sz val="12"/>
      <name val="微軟正黑體"/>
      <family val="1"/>
      <charset val="136"/>
      <scheme val="minor"/>
    </font>
    <font>
      <sz val="11"/>
      <color theme="1"/>
      <name val="Calibri"/>
      <family val="2"/>
    </font>
    <font>
      <sz val="12"/>
      <color indexed="8"/>
      <name val="新細明體"/>
      <family val="1"/>
      <charset val="136"/>
    </font>
    <font>
      <b/>
      <sz val="14"/>
      <color theme="0"/>
      <name val="微軟正黑體"/>
      <family val="2"/>
      <charset val="136"/>
    </font>
    <font>
      <sz val="10"/>
      <name val="細明體"/>
      <family val="3"/>
      <charset val="136"/>
    </font>
    <font>
      <sz val="12"/>
      <name val="微軟正黑體"/>
      <family val="2"/>
      <charset val="136"/>
      <scheme val="minor"/>
    </font>
    <font>
      <sz val="12"/>
      <name val="微軟正黑體"/>
      <family val="1"/>
      <charset val="136"/>
    </font>
    <font>
      <sz val="11"/>
      <name val="Arial"/>
      <family val="2"/>
    </font>
    <font>
      <sz val="11"/>
      <color rgb="FFFF0000"/>
      <name val="Calibri"/>
      <family val="2"/>
    </font>
    <font>
      <sz val="11"/>
      <color rgb="FFFF0000"/>
      <name val="細明體"/>
      <family val="3"/>
      <charset val="136"/>
    </font>
    <font>
      <b/>
      <sz val="20"/>
      <color theme="1"/>
      <name val="微軟正黑體"/>
      <family val="2"/>
      <charset val="136"/>
    </font>
    <font>
      <sz val="11"/>
      <name val="細明體"/>
      <family val="3"/>
      <charset val="136"/>
    </font>
    <font>
      <sz val="11"/>
      <name val="Calibri"/>
      <family val="2"/>
    </font>
    <font>
      <b/>
      <sz val="11"/>
      <color indexed="9"/>
      <name val="Arial"/>
      <family val="2"/>
    </font>
    <font>
      <sz val="11"/>
      <color rgb="FF009043"/>
      <name val="Calibri"/>
      <family val="2"/>
    </font>
    <font>
      <b/>
      <u/>
      <sz val="12"/>
      <name val="微軟正黑體"/>
      <family val="2"/>
      <charset val="136"/>
    </font>
    <font>
      <sz val="12"/>
      <color theme="0"/>
      <name val="微軟正黑體"/>
      <family val="1"/>
      <charset val="136"/>
      <scheme val="minor"/>
    </font>
    <font>
      <sz val="9"/>
      <color theme="1"/>
      <name val="Arial Unicode MS"/>
      <family val="2"/>
      <charset val="136"/>
    </font>
    <font>
      <b/>
      <sz val="10"/>
      <color theme="1"/>
      <name val="細明體"/>
      <family val="3"/>
      <charset val="136"/>
    </font>
    <font>
      <b/>
      <sz val="9"/>
      <color theme="1"/>
      <name val="Arial Unicode MS"/>
      <family val="2"/>
      <charset val="136"/>
    </font>
    <font>
      <sz val="8"/>
      <name val="Arial"/>
      <family val="2"/>
    </font>
    <font>
      <b/>
      <u/>
      <sz val="16"/>
      <color rgb="FF009900"/>
      <name val="微軟正黑體"/>
      <family val="2"/>
      <charset val="136"/>
    </font>
    <font>
      <b/>
      <sz val="9"/>
      <color rgb="FF009900"/>
      <name val="Arial Unicode MS"/>
      <family val="2"/>
      <charset val="136"/>
    </font>
    <font>
      <sz val="9"/>
      <name val="Arial Unicode MS"/>
      <family val="2"/>
      <charset val="136"/>
    </font>
    <font>
      <b/>
      <sz val="12"/>
      <color theme="1" tint="0.249977111117893"/>
      <name val="微軟正黑體"/>
      <family val="2"/>
      <charset val="136"/>
    </font>
    <font>
      <b/>
      <sz val="24"/>
      <color rgb="FF297D6B"/>
      <name val="微軟正黑體"/>
      <family val="2"/>
      <charset val="136"/>
    </font>
    <font>
      <sz val="13"/>
      <color theme="0"/>
      <name val="微軟正黑體"/>
      <family val="2"/>
      <charset val="136"/>
    </font>
    <font>
      <sz val="12"/>
      <color rgb="FF297D6B"/>
      <name val="微軟正黑體"/>
      <family val="2"/>
      <charset val="136"/>
    </font>
    <font>
      <b/>
      <sz val="10"/>
      <color rgb="FFFF0000"/>
      <name val="Arial"/>
      <family val="2"/>
    </font>
    <font>
      <sz val="14"/>
      <color theme="1"/>
      <name val="微軟正黑體"/>
      <family val="2"/>
      <charset val="136"/>
      <scheme val="minor"/>
    </font>
    <font>
      <sz val="13"/>
      <color theme="1"/>
      <name val="微軟正黑體"/>
      <family val="2"/>
      <charset val="136"/>
    </font>
    <font>
      <b/>
      <sz val="18"/>
      <color rgb="FF227447"/>
      <name val="微軟正黑體"/>
      <family val="2"/>
      <charset val="136"/>
    </font>
    <font>
      <b/>
      <sz val="12"/>
      <color rgb="FF227447"/>
      <name val="微軟正黑體"/>
      <family val="2"/>
      <charset val="136"/>
    </font>
    <font>
      <b/>
      <sz val="10"/>
      <color rgb="FF227447"/>
      <name val="微軟正黑體"/>
      <family val="2"/>
      <charset val="136"/>
    </font>
    <font>
      <sz val="14"/>
      <color theme="0"/>
      <name val="微軟正黑體"/>
      <family val="2"/>
      <charset val="136"/>
    </font>
    <font>
      <sz val="14"/>
      <color rgb="FFFF0000"/>
      <name val="微軟正黑體"/>
      <family val="2"/>
      <charset val="136"/>
    </font>
    <font>
      <sz val="11"/>
      <name val="微軟正黑體"/>
      <family val="1"/>
      <charset val="136"/>
      <scheme val="minor"/>
    </font>
    <font>
      <sz val="14"/>
      <color rgb="FFFF0000"/>
      <name val="微軟正黑體"/>
      <family val="2"/>
      <charset val="136"/>
      <scheme val="minor"/>
    </font>
    <font>
      <sz val="14"/>
      <color rgb="FFFF0000"/>
      <name val="微軟正黑體"/>
      <family val="1"/>
      <charset val="136"/>
      <scheme val="minor"/>
    </font>
    <font>
      <b/>
      <sz val="10"/>
      <color theme="1"/>
      <name val="微軟正黑體"/>
      <family val="2"/>
      <charset val="136"/>
      <scheme val="minor"/>
    </font>
    <font>
      <b/>
      <sz val="14"/>
      <color theme="1" tint="0.249977111117893"/>
      <name val="微軟正黑體"/>
      <family val="2"/>
      <charset val="136"/>
    </font>
    <font>
      <sz val="14"/>
      <name val="微軟正黑體"/>
      <family val="2"/>
      <charset val="136"/>
    </font>
    <font>
      <b/>
      <sz val="18"/>
      <name val="微軟正黑體"/>
      <family val="2"/>
      <charset val="136"/>
    </font>
    <font>
      <b/>
      <sz val="18"/>
      <color theme="1"/>
      <name val="微軟正黑體"/>
      <family val="2"/>
      <charset val="136"/>
    </font>
    <font>
      <b/>
      <sz val="18"/>
      <color theme="0"/>
      <name val="微軟正黑體"/>
      <family val="2"/>
      <charset val="136"/>
    </font>
    <font>
      <b/>
      <sz val="16"/>
      <color theme="1"/>
      <name val="微軟正黑體"/>
      <family val="2"/>
      <charset val="136"/>
      <scheme val="minor"/>
    </font>
    <font>
      <sz val="16"/>
      <color theme="1"/>
      <name val="微軟正黑體"/>
      <family val="2"/>
      <charset val="136"/>
    </font>
    <font>
      <sz val="16"/>
      <color theme="1"/>
      <name val="微軟正黑體"/>
      <family val="2"/>
      <charset val="136"/>
      <scheme val="minor"/>
    </font>
    <font>
      <b/>
      <sz val="16"/>
      <color rgb="FFFF0000"/>
      <name val="微軟正黑體"/>
      <family val="2"/>
      <charset val="136"/>
    </font>
    <font>
      <b/>
      <sz val="24"/>
      <color rgb="FF005439"/>
      <name val="微軟正黑體"/>
      <family val="2"/>
      <charset val="136"/>
    </font>
    <font>
      <b/>
      <sz val="22"/>
      <color rgb="FF005439"/>
      <name val="微軟正黑體"/>
      <family val="2"/>
      <charset val="136"/>
    </font>
    <font>
      <sz val="22"/>
      <color rgb="FF005439"/>
      <name val="微軟正黑體"/>
      <family val="2"/>
      <charset val="136"/>
      <scheme val="minor"/>
    </font>
    <font>
      <b/>
      <sz val="18"/>
      <color rgb="FF297D6B"/>
      <name val="微軟正黑體"/>
      <family val="2"/>
      <charset val="136"/>
    </font>
    <font>
      <sz val="14"/>
      <color rgb="FF00652F"/>
      <name val="微軟正黑體"/>
      <family val="2"/>
      <charset val="136"/>
    </font>
    <font>
      <b/>
      <sz val="10"/>
      <color theme="1"/>
      <name val="Arial"/>
      <family val="2"/>
    </font>
    <font>
      <b/>
      <sz val="10"/>
      <color indexed="8"/>
      <name val="Arial Unicode MS"/>
      <family val="2"/>
      <charset val="136"/>
    </font>
    <font>
      <b/>
      <sz val="10"/>
      <name val="Arial"/>
      <family val="2"/>
    </font>
    <font>
      <b/>
      <sz val="10"/>
      <name val="Arial Unicode MS"/>
      <family val="2"/>
      <charset val="136"/>
    </font>
    <font>
      <b/>
      <sz val="10"/>
      <color indexed="8"/>
      <name val="Arial"/>
      <family val="2"/>
    </font>
    <font>
      <b/>
      <u/>
      <sz val="10"/>
      <color theme="0"/>
      <name val="Arial"/>
      <family val="2"/>
    </font>
    <font>
      <b/>
      <u/>
      <sz val="10"/>
      <color indexed="9"/>
      <name val="微軟正黑體"/>
      <family val="2"/>
      <charset val="136"/>
    </font>
    <font>
      <b/>
      <u/>
      <sz val="10"/>
      <color indexed="9"/>
      <name val="Arial"/>
      <family val="2"/>
    </font>
    <font>
      <b/>
      <sz val="13"/>
      <color theme="0"/>
      <name val="微軟正黑體"/>
      <family val="2"/>
      <charset val="136"/>
    </font>
    <font>
      <b/>
      <sz val="22"/>
      <color rgb="FF297D6B"/>
      <name val="微軟正黑體"/>
      <family val="2"/>
      <charset val="136"/>
    </font>
    <font>
      <b/>
      <sz val="11"/>
      <color rgb="FFFF0000"/>
      <name val="新細明體"/>
      <family val="1"/>
      <charset val="136"/>
    </font>
    <font>
      <b/>
      <sz val="11"/>
      <color rgb="FFFF0000"/>
      <name val="微軟正黑體"/>
      <family val="2"/>
      <charset val="136"/>
    </font>
    <font>
      <b/>
      <u/>
      <sz val="15"/>
      <color rgb="FF297D6B"/>
      <name val="微軟正黑體"/>
      <family val="2"/>
      <charset val="136"/>
    </font>
    <font>
      <sz val="11"/>
      <name val="微軟正黑體"/>
      <family val="1"/>
      <charset val="136"/>
      <scheme val="major"/>
    </font>
    <font>
      <sz val="12"/>
      <name val="微軟正黑體"/>
      <family val="1"/>
      <charset val="136"/>
      <scheme val="major"/>
    </font>
    <font>
      <b/>
      <sz val="11"/>
      <color rgb="FF363636"/>
      <name val="Segoe UI"/>
      <family val="2"/>
    </font>
    <font>
      <sz val="11"/>
      <color rgb="FF363636"/>
      <name val="Segoe UI"/>
      <family val="2"/>
    </font>
    <font>
      <b/>
      <sz val="11"/>
      <color theme="0"/>
      <name val="微軟正黑體"/>
      <family val="2"/>
      <charset val="136"/>
      <scheme val="minor"/>
    </font>
    <font>
      <b/>
      <sz val="11"/>
      <color theme="8" tint="-0.249977111117893"/>
      <name val="微軟正黑體"/>
      <family val="2"/>
      <charset val="136"/>
      <scheme val="minor"/>
    </font>
    <font>
      <b/>
      <sz val="22"/>
      <name val="微軟正黑體"/>
      <family val="2"/>
      <charset val="136"/>
    </font>
    <font>
      <b/>
      <sz val="14"/>
      <color rgb="FFB3863B"/>
      <name val="微軟正黑體"/>
      <family val="2"/>
      <charset val="136"/>
    </font>
    <font>
      <sz val="14"/>
      <color theme="1"/>
      <name val="微軟正黑體"/>
      <family val="1"/>
      <charset val="136"/>
      <scheme val="minor"/>
    </font>
    <font>
      <sz val="18"/>
      <name val="微軟正黑體"/>
      <family val="2"/>
      <charset val="136"/>
      <scheme val="minor"/>
    </font>
    <font>
      <sz val="18"/>
      <name val="微軟正黑體"/>
      <family val="2"/>
      <charset val="136"/>
    </font>
    <font>
      <sz val="16"/>
      <color theme="1"/>
      <name val="微軟正黑體"/>
      <family val="1"/>
      <charset val="136"/>
      <scheme val="minor"/>
    </font>
    <font>
      <b/>
      <sz val="20"/>
      <color theme="1"/>
      <name val="微軟正黑體"/>
      <family val="2"/>
      <charset val="136"/>
      <scheme val="minor"/>
    </font>
    <font>
      <sz val="11"/>
      <color theme="0"/>
      <name val="微軟正黑體"/>
      <family val="2"/>
      <charset val="136"/>
    </font>
    <font>
      <sz val="13"/>
      <color theme="1" tint="0.249977111117893"/>
      <name val="微軟正黑體"/>
      <family val="2"/>
      <charset val="136"/>
    </font>
    <font>
      <sz val="12"/>
      <color theme="0" tint="-0.499984740745262"/>
      <name val="微軟正黑體"/>
      <family val="2"/>
      <charset val="136"/>
      <scheme val="minor"/>
    </font>
    <font>
      <sz val="11"/>
      <color theme="0" tint="-0.499984740745262"/>
      <name val="微軟正黑體"/>
      <family val="2"/>
      <charset val="136"/>
      <scheme val="minor"/>
    </font>
    <font>
      <b/>
      <sz val="16"/>
      <color rgb="FF297D6B"/>
      <name val="微軟正黑體"/>
      <family val="2"/>
      <charset val="136"/>
    </font>
    <font>
      <b/>
      <sz val="15"/>
      <color rgb="FF297D6B"/>
      <name val="微軟正黑體"/>
      <family val="2"/>
      <charset val="136"/>
      <scheme val="minor"/>
    </font>
    <font>
      <sz val="15"/>
      <color rgb="FF297D6B"/>
      <name val="微軟正黑體"/>
      <family val="2"/>
      <charset val="136"/>
      <scheme val="minor"/>
    </font>
    <font>
      <sz val="14"/>
      <color theme="0" tint="-0.499984740745262"/>
      <name val="微軟正黑體"/>
      <family val="2"/>
      <charset val="136"/>
      <scheme val="minor"/>
    </font>
    <font>
      <b/>
      <sz val="12.5"/>
      <color theme="0"/>
      <name val="微軟正黑體"/>
      <family val="2"/>
      <charset val="136"/>
    </font>
    <font>
      <b/>
      <sz val="12"/>
      <color rgb="FF297D6B"/>
      <name val="微軟正黑體"/>
      <family val="2"/>
      <charset val="136"/>
    </font>
    <font>
      <sz val="11"/>
      <color rgb="FFFF0000"/>
      <name val="微軟正黑體"/>
      <family val="2"/>
      <charset val="136"/>
    </font>
    <font>
      <b/>
      <sz val="14"/>
      <color rgb="FF297D6B"/>
      <name val="微軟正黑體"/>
      <family val="2"/>
      <charset val="136"/>
      <scheme val="minor"/>
    </font>
    <font>
      <sz val="10"/>
      <color theme="4"/>
      <name val="微軟正黑體"/>
      <family val="1"/>
      <charset val="136"/>
      <scheme val="minor"/>
    </font>
    <font>
      <sz val="10"/>
      <color theme="4"/>
      <name val="微軟正黑體"/>
      <family val="2"/>
      <charset val="136"/>
      <scheme val="minor"/>
    </font>
    <font>
      <b/>
      <sz val="12"/>
      <color rgb="FF595959"/>
      <name val="微軟正黑體"/>
      <family val="2"/>
      <charset val="136"/>
      <scheme val="minor"/>
    </font>
    <font>
      <b/>
      <sz val="18"/>
      <color rgb="FF595959"/>
      <name val="微軟正黑體"/>
      <family val="2"/>
      <charset val="136"/>
    </font>
    <font>
      <sz val="11"/>
      <color rgb="FFFF0000"/>
      <name val="新細明體"/>
      <family val="2"/>
      <charset val="136"/>
    </font>
    <font>
      <b/>
      <sz val="20"/>
      <color theme="0"/>
      <name val="微軟正黑體"/>
      <family val="2"/>
      <charset val="136"/>
    </font>
    <font>
      <b/>
      <sz val="16"/>
      <color rgb="FF82602A"/>
      <name val="微軟正黑體"/>
      <family val="2"/>
      <charset val="136"/>
    </font>
    <font>
      <sz val="16"/>
      <name val="微軟正黑體"/>
      <family val="2"/>
      <charset val="136"/>
    </font>
    <font>
      <b/>
      <sz val="26"/>
      <color rgb="FF005439"/>
      <name val="微軟正黑體"/>
      <family val="2"/>
      <charset val="136"/>
    </font>
    <font>
      <sz val="16"/>
      <color theme="0"/>
      <name val="微軟正黑體"/>
      <family val="2"/>
      <charset val="136"/>
      <scheme val="minor"/>
    </font>
    <font>
      <b/>
      <sz val="11"/>
      <color indexed="9"/>
      <name val="Calibri"/>
      <family val="2"/>
    </font>
    <font>
      <sz val="11"/>
      <color theme="1"/>
      <name val="微軟正黑體"/>
      <family val="2"/>
      <scheme val="minor"/>
    </font>
    <font>
      <b/>
      <sz val="12"/>
      <color rgb="FFFF0000"/>
      <name val="微軟正黑體"/>
      <family val="2"/>
      <charset val="136"/>
      <scheme val="minor"/>
    </font>
    <font>
      <b/>
      <sz val="16"/>
      <color rgb="FF297D6B"/>
      <name val="微軟正黑體"/>
      <family val="2"/>
      <charset val="136"/>
      <scheme val="minor"/>
    </font>
    <font>
      <b/>
      <sz val="16"/>
      <color rgb="FF1E5C4F"/>
      <name val="微軟正黑體"/>
      <family val="2"/>
      <charset val="136"/>
      <scheme val="minor"/>
    </font>
    <font>
      <b/>
      <sz val="16"/>
      <color rgb="FF1E5C4F"/>
      <name val="微軟正黑體"/>
      <family val="2"/>
      <charset val="136"/>
    </font>
    <font>
      <sz val="18"/>
      <color theme="1"/>
      <name val="微軟正黑體"/>
      <family val="2"/>
      <charset val="136"/>
      <scheme val="minor"/>
    </font>
    <font>
      <b/>
      <sz val="12"/>
      <color rgb="FFFF0000"/>
      <name val="微軟正黑體"/>
      <family val="2"/>
      <charset val="136"/>
    </font>
    <font>
      <sz val="8"/>
      <color theme="1"/>
      <name val="微軟正黑體"/>
      <family val="1"/>
      <charset val="136"/>
      <scheme val="minor"/>
    </font>
    <font>
      <u/>
      <sz val="12"/>
      <color theme="1"/>
      <name val="微軟正黑體"/>
      <family val="2"/>
      <charset val="136"/>
      <scheme val="minor"/>
    </font>
    <font>
      <sz val="12"/>
      <color rgb="FFFF0000"/>
      <name val="微軟正黑體"/>
      <family val="2"/>
      <charset val="136"/>
    </font>
    <font>
      <b/>
      <sz val="12"/>
      <color theme="0"/>
      <name val="微軟正黑體"/>
      <family val="1"/>
      <charset val="136"/>
      <scheme val="minor"/>
    </font>
    <font>
      <sz val="11"/>
      <color theme="1"/>
      <name val="微軟正黑體"/>
      <family val="2"/>
      <charset val="136"/>
    </font>
    <font>
      <sz val="11"/>
      <name val="Microsoft JhengHei Light"/>
      <family val="2"/>
      <charset val="136"/>
    </font>
    <font>
      <sz val="11"/>
      <color theme="1"/>
      <name val="微軟正黑體"/>
      <family val="2"/>
      <charset val="136"/>
      <scheme val="minor"/>
    </font>
    <font>
      <sz val="11"/>
      <name val="Segoe UI"/>
      <family val="2"/>
    </font>
    <font>
      <b/>
      <sz val="11"/>
      <color rgb="FF23029A"/>
      <name val="Calibri"/>
      <family val="2"/>
    </font>
    <font>
      <sz val="12"/>
      <color indexed="8"/>
      <name val="Arial"/>
      <family val="2"/>
    </font>
    <font>
      <sz val="12"/>
      <color rgb="FF2D8B77"/>
      <name val="微軟正黑體"/>
      <family val="2"/>
      <charset val="136"/>
    </font>
    <font>
      <b/>
      <sz val="8"/>
      <color theme="0" tint="-0.34998626667073579"/>
      <name val="微軟正黑體"/>
      <family val="1"/>
      <charset val="136"/>
      <scheme val="minor"/>
    </font>
    <font>
      <b/>
      <sz val="12"/>
      <color theme="1"/>
      <name val="微軟正黑體"/>
      <family val="2"/>
      <charset val="136"/>
      <scheme val="minor"/>
    </font>
    <font>
      <sz val="12"/>
      <color theme="1"/>
      <name val="新細明體"/>
      <family val="1"/>
      <charset val="136"/>
    </font>
    <font>
      <b/>
      <sz val="10"/>
      <color theme="0"/>
      <name val="微軟正黑體"/>
      <family val="1"/>
      <charset val="136"/>
      <scheme val="minor"/>
    </font>
    <font>
      <b/>
      <sz val="10"/>
      <color rgb="FFFF0000"/>
      <name val="微軟正黑體"/>
      <family val="1"/>
      <charset val="136"/>
      <scheme val="minor"/>
    </font>
    <font>
      <b/>
      <sz val="10"/>
      <color theme="8" tint="-0.249977111117893"/>
      <name val="微軟正黑體"/>
      <family val="1"/>
      <charset val="136"/>
      <scheme val="minor"/>
    </font>
    <font>
      <b/>
      <sz val="10"/>
      <color theme="1"/>
      <name val="微軟正黑體"/>
      <family val="1"/>
      <charset val="136"/>
      <scheme val="minor"/>
    </font>
    <font>
      <b/>
      <sz val="11"/>
      <name val="微軟正黑體"/>
      <family val="2"/>
      <charset val="136"/>
      <scheme val="minor"/>
    </font>
    <font>
      <sz val="16"/>
      <name val="微軟正黑體"/>
      <family val="2"/>
      <charset val="136"/>
      <scheme val="minor"/>
    </font>
    <font>
      <sz val="16"/>
      <color theme="0"/>
      <name val="微軟正黑體"/>
      <family val="2"/>
      <charset val="136"/>
    </font>
    <font>
      <sz val="16"/>
      <color theme="2" tint="-0.499984740745262"/>
      <name val="微軟正黑體"/>
      <family val="2"/>
      <charset val="136"/>
    </font>
    <font>
      <b/>
      <sz val="16"/>
      <name val="微軟正黑體"/>
      <family val="2"/>
      <charset val="136"/>
    </font>
    <font>
      <b/>
      <sz val="18"/>
      <color rgb="FF2D8B77"/>
      <name val="微軟正黑體"/>
      <family val="2"/>
      <charset val="136"/>
    </font>
    <font>
      <b/>
      <sz val="20"/>
      <color rgb="FF297D6B"/>
      <name val="微軟正黑體"/>
      <family val="2"/>
      <charset val="136"/>
      <scheme val="minor"/>
    </font>
    <font>
      <sz val="16"/>
      <color theme="0" tint="-0.34998626667073579"/>
      <name val="微軟正黑體"/>
      <family val="2"/>
      <charset val="136"/>
    </font>
    <font>
      <sz val="14"/>
      <color theme="0" tint="-0.34998626667073579"/>
      <name val="微軟正黑體"/>
      <family val="2"/>
      <charset val="136"/>
    </font>
    <font>
      <sz val="18"/>
      <color rgb="FF297D6B"/>
      <name val="微軟正黑體"/>
      <family val="2"/>
      <charset val="136"/>
    </font>
    <font>
      <b/>
      <sz val="18"/>
      <color theme="1"/>
      <name val="微軟正黑體"/>
      <family val="2"/>
      <charset val="136"/>
      <scheme val="minor"/>
    </font>
    <font>
      <b/>
      <sz val="20"/>
      <name val="微軟正黑體"/>
      <family val="2"/>
      <charset val="136"/>
    </font>
    <font>
      <b/>
      <sz val="18"/>
      <color theme="1" tint="0.249977111117893"/>
      <name val="微軟正黑體"/>
      <family val="2"/>
      <charset val="136"/>
    </font>
    <font>
      <sz val="22"/>
      <color rgb="FFFFC000"/>
      <name val="微軟正黑體"/>
      <family val="2"/>
      <charset val="136"/>
      <scheme val="minor"/>
    </font>
    <font>
      <sz val="16"/>
      <color rgb="FF00652F"/>
      <name val="微軟正黑體"/>
      <family val="1"/>
      <charset val="136"/>
      <scheme val="minor"/>
    </font>
    <font>
      <sz val="9"/>
      <color theme="1"/>
      <name val="微軟正黑體"/>
      <family val="1"/>
      <charset val="136"/>
      <scheme val="minor"/>
    </font>
    <font>
      <sz val="9"/>
      <color theme="1"/>
      <name val="微軟正黑體"/>
      <family val="2"/>
      <charset val="136"/>
      <scheme val="minor"/>
    </font>
    <font>
      <b/>
      <sz val="18"/>
      <name val="微軟正黑體"/>
      <family val="2"/>
      <charset val="136"/>
      <scheme val="minor"/>
    </font>
    <font>
      <b/>
      <sz val="18"/>
      <color rgb="FF297D6B"/>
      <name val="微軟正黑體"/>
      <family val="2"/>
      <charset val="136"/>
      <scheme val="minor"/>
    </font>
    <font>
      <sz val="18"/>
      <color theme="1"/>
      <name val="微軟正黑體"/>
      <family val="2"/>
      <charset val="136"/>
    </font>
    <font>
      <sz val="12"/>
      <color theme="0" tint="-0.499984740745262"/>
      <name val="微軟正黑體"/>
      <family val="1"/>
      <charset val="136"/>
      <scheme val="minor"/>
    </font>
    <font>
      <sz val="12"/>
      <color theme="1" tint="0.14999847407452621"/>
      <name val="微軟正黑體"/>
      <family val="1"/>
      <charset val="136"/>
      <scheme val="minor"/>
    </font>
    <font>
      <sz val="12"/>
      <color theme="1" tint="0.14999847407452621"/>
      <name val="微軟正黑體"/>
      <family val="2"/>
      <charset val="136"/>
      <scheme val="minor"/>
    </font>
    <font>
      <b/>
      <sz val="16"/>
      <color rgb="FF297D6B"/>
      <name val="Arial Unicode MS"/>
      <family val="2"/>
      <charset val="136"/>
    </font>
    <font>
      <u/>
      <sz val="16"/>
      <color rgb="FFFF0000"/>
      <name val="微軟正黑體"/>
      <family val="2"/>
      <charset val="136"/>
    </font>
    <font>
      <sz val="24"/>
      <color rgb="FF297D6B"/>
      <name val="微軟正黑體"/>
      <family val="1"/>
      <charset val="136"/>
      <scheme val="minor"/>
    </font>
    <font>
      <b/>
      <sz val="20"/>
      <color rgb="FF00652F"/>
      <name val="微軟正黑體"/>
      <family val="2"/>
      <charset val="136"/>
      <scheme val="minor"/>
    </font>
    <font>
      <sz val="14"/>
      <color rgb="FF297D6B"/>
      <name val="微軟正黑體"/>
      <family val="1"/>
      <charset val="136"/>
      <scheme val="minor"/>
    </font>
    <font>
      <sz val="14"/>
      <color rgb="FF297D6B"/>
      <name val="微軟正黑體"/>
      <family val="2"/>
      <charset val="136"/>
      <scheme val="minor"/>
    </font>
    <font>
      <b/>
      <sz val="16"/>
      <name val="微軟正黑體"/>
      <family val="2"/>
      <charset val="136"/>
      <scheme val="minor"/>
    </font>
    <font>
      <b/>
      <sz val="14"/>
      <color theme="0" tint="-0.499984740745262"/>
      <name val="微軟正黑體"/>
      <family val="2"/>
      <charset val="136"/>
      <scheme val="minor"/>
    </font>
    <font>
      <b/>
      <sz val="12"/>
      <color rgb="FF297D6B"/>
      <name val="微軟正黑體"/>
      <family val="2"/>
      <charset val="136"/>
      <scheme val="major"/>
    </font>
    <font>
      <sz val="12"/>
      <color rgb="FF297D6B"/>
      <name val="微軟正黑體"/>
      <family val="1"/>
      <charset val="136"/>
      <scheme val="minor"/>
    </font>
    <font>
      <b/>
      <sz val="11"/>
      <color theme="8" tint="-0.249977111117893"/>
      <name val="微軟正黑體"/>
      <family val="1"/>
      <charset val="136"/>
      <scheme val="minor"/>
    </font>
    <font>
      <b/>
      <sz val="11"/>
      <color rgb="FF00B050"/>
      <name val="微軟正黑體"/>
      <family val="2"/>
      <charset val="136"/>
      <scheme val="minor"/>
    </font>
    <font>
      <sz val="18"/>
      <color theme="1"/>
      <name val="微軟正黑體"/>
      <family val="1"/>
      <charset val="136"/>
      <scheme val="minor"/>
    </font>
    <font>
      <sz val="18"/>
      <name val="微軟正黑體"/>
      <family val="1"/>
      <charset val="136"/>
      <scheme val="minor"/>
    </font>
    <font>
      <sz val="16"/>
      <name val="微軟正黑體"/>
      <family val="1"/>
      <charset val="136"/>
      <scheme val="minor"/>
    </font>
    <font>
      <b/>
      <sz val="20"/>
      <name val="微軟正黑體"/>
      <family val="2"/>
      <charset val="136"/>
      <scheme val="minor"/>
    </font>
    <font>
      <sz val="11"/>
      <color rgb="FF297D6B"/>
      <name val="微軟正黑體"/>
      <family val="2"/>
      <charset val="136"/>
    </font>
    <font>
      <sz val="16"/>
      <color rgb="FF297D6B"/>
      <name val="微軟正黑體"/>
      <family val="2"/>
      <charset val="136"/>
      <scheme val="minor"/>
    </font>
    <font>
      <b/>
      <sz val="20"/>
      <color theme="0"/>
      <name val="微軟正黑體"/>
      <family val="2"/>
      <charset val="136"/>
      <scheme val="minor"/>
    </font>
    <font>
      <b/>
      <sz val="12"/>
      <color rgb="FF297D6B"/>
      <name val="微軟正黑體"/>
      <family val="2"/>
      <charset val="136"/>
      <scheme val="minor"/>
    </font>
    <font>
      <b/>
      <sz val="18"/>
      <color theme="1" tint="0.34998626667073579"/>
      <name val="微軟正黑體"/>
      <family val="2"/>
      <charset val="136"/>
      <scheme val="minor"/>
    </font>
    <font>
      <sz val="16"/>
      <color theme="1" tint="0.34998626667073579"/>
      <name val="微軟正黑體"/>
      <family val="2"/>
      <charset val="136"/>
      <scheme val="minor"/>
    </font>
    <font>
      <sz val="16"/>
      <color theme="1" tint="0.34998626667073579"/>
      <name val="微軟正黑體"/>
      <family val="1"/>
      <charset val="136"/>
      <scheme val="minor"/>
    </font>
    <font>
      <b/>
      <sz val="16"/>
      <color theme="0"/>
      <name val="微軟正黑體"/>
      <family val="2"/>
      <charset val="136"/>
      <scheme val="minor"/>
    </font>
    <font>
      <b/>
      <sz val="32"/>
      <color rgb="FF005439"/>
      <name val="新細明體"/>
      <family val="1"/>
      <charset val="136"/>
    </font>
    <font>
      <b/>
      <sz val="20"/>
      <color theme="1" tint="0.499984740745262"/>
      <name val="微軟正黑體"/>
      <family val="2"/>
      <charset val="136"/>
      <scheme val="minor"/>
    </font>
    <font>
      <sz val="14"/>
      <color rgb="FF297D6B"/>
      <name val="微軟正黑體"/>
      <family val="2"/>
      <charset val="136"/>
    </font>
    <font>
      <sz val="14"/>
      <color theme="1" tint="0.499984740745262"/>
      <name val="微軟正黑體"/>
      <family val="2"/>
      <charset val="136"/>
    </font>
    <font>
      <sz val="14"/>
      <color theme="1" tint="0.499984740745262"/>
      <name val="微軟正黑體"/>
      <family val="2"/>
      <charset val="136"/>
      <scheme val="minor"/>
    </font>
    <font>
      <sz val="20"/>
      <color rgb="FF297D6B"/>
      <name val="微軟正黑體"/>
      <family val="2"/>
      <charset val="136"/>
    </font>
    <font>
      <b/>
      <sz val="16"/>
      <color rgb="FFFF0000"/>
      <name val="微軟正黑體"/>
      <family val="2"/>
      <charset val="136"/>
      <scheme val="minor"/>
    </font>
    <font>
      <b/>
      <sz val="20"/>
      <color theme="1" tint="0.499984740745262"/>
      <name val="微軟正黑體"/>
      <family val="2"/>
      <charset val="136"/>
    </font>
    <font>
      <sz val="12"/>
      <color rgb="FF297D6B"/>
      <name val="微軟正黑體"/>
      <family val="2"/>
      <charset val="136"/>
      <scheme val="minor"/>
    </font>
    <font>
      <b/>
      <sz val="16"/>
      <color theme="0" tint="-0.499984740745262"/>
      <name val="微軟正黑體"/>
      <family val="2"/>
      <charset val="136"/>
      <scheme val="minor"/>
    </font>
    <font>
      <sz val="16"/>
      <color theme="0" tint="-0.499984740745262"/>
      <name val="微軟正黑體"/>
      <family val="2"/>
      <charset val="136"/>
      <scheme val="minor"/>
    </font>
    <font>
      <b/>
      <sz val="16"/>
      <color theme="1" tint="0.34998626667073579"/>
      <name val="微軟正黑體"/>
      <family val="2"/>
      <charset val="136"/>
      <scheme val="minor"/>
    </font>
    <font>
      <sz val="10"/>
      <color rgb="FFFF0000"/>
      <name val="Arial"/>
      <family val="2"/>
    </font>
    <font>
      <b/>
      <sz val="20"/>
      <color rgb="FF297D6B"/>
      <name val="微軟正黑體"/>
      <family val="2"/>
      <charset val="136"/>
    </font>
    <font>
      <sz val="12"/>
      <color theme="0" tint="-0.249977111117893"/>
      <name val="微軟正黑體"/>
      <family val="1"/>
      <charset val="136"/>
      <scheme val="minor"/>
    </font>
    <font>
      <sz val="12"/>
      <color theme="0" tint="-0.249977111117893"/>
      <name val="微軟正黑體"/>
      <family val="2"/>
      <charset val="136"/>
      <scheme val="minor"/>
    </font>
    <font>
      <b/>
      <sz val="18"/>
      <color rgb="FF82602A"/>
      <name val="微軟正黑體"/>
      <family val="2"/>
      <charset val="136"/>
    </font>
    <font>
      <sz val="20"/>
      <color rgb="FF297D6B"/>
      <name val="微軟正黑體"/>
      <family val="2"/>
      <charset val="136"/>
      <scheme val="minor"/>
    </font>
    <font>
      <sz val="12"/>
      <color rgb="FF000000"/>
      <name val="微軟正黑體"/>
      <family val="2"/>
      <charset val="136"/>
    </font>
    <font>
      <b/>
      <sz val="20"/>
      <color rgb="FF1E5C4F"/>
      <name val="微軟正黑體"/>
      <family val="2"/>
      <charset val="136"/>
      <scheme val="minor"/>
    </font>
    <font>
      <b/>
      <sz val="20"/>
      <color rgb="FF1E5C4F"/>
      <name val="微軟正黑體"/>
      <family val="2"/>
      <charset val="136"/>
    </font>
    <font>
      <b/>
      <sz val="14"/>
      <color rgb="FFFF0000"/>
      <name val="新細明體"/>
      <family val="1"/>
      <charset val="136"/>
    </font>
    <font>
      <b/>
      <sz val="11"/>
      <color rgb="FFFF0000"/>
      <name val="微軟正黑體"/>
      <family val="1"/>
      <charset val="136"/>
      <scheme val="major"/>
    </font>
    <font>
      <sz val="11"/>
      <name val="微軟正黑體"/>
      <family val="2"/>
      <charset val="136"/>
      <scheme val="minor"/>
    </font>
    <font>
      <b/>
      <sz val="11"/>
      <color theme="9" tint="-0.249977111117893"/>
      <name val="微軟正黑體"/>
      <family val="1"/>
      <charset val="136"/>
      <scheme val="major"/>
    </font>
  </fonts>
  <fills count="8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00B050"/>
        <bgColor indexed="64"/>
      </patternFill>
    </fill>
    <fill>
      <patternFill patternType="solid">
        <fgColor theme="0"/>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theme="2"/>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4BA42C"/>
        <bgColor indexed="64"/>
      </patternFill>
    </fill>
    <fill>
      <patternFill patternType="solid">
        <fgColor rgb="FFFFC000"/>
        <bgColor indexed="64"/>
      </patternFill>
    </fill>
    <fill>
      <patternFill patternType="solid">
        <fgColor rgb="FFE9F4FA"/>
        <bgColor indexed="64"/>
      </patternFill>
    </fill>
    <fill>
      <patternFill patternType="solid">
        <fgColor theme="9" tint="0.39997558519241921"/>
        <bgColor indexed="64"/>
      </patternFill>
    </fill>
    <fill>
      <patternFill patternType="solid">
        <fgColor rgb="FFFF0000"/>
        <bgColor indexed="64"/>
      </patternFill>
    </fill>
    <fill>
      <patternFill patternType="solid">
        <fgColor rgb="FF00D0CB"/>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rgb="FFFEF4CE"/>
        <bgColor indexed="64"/>
      </patternFill>
    </fill>
    <fill>
      <patternFill patternType="solid">
        <fgColor theme="2" tint="-9.9978637043366805E-2"/>
        <bgColor indexed="64"/>
      </patternFill>
    </fill>
    <fill>
      <patternFill patternType="solid">
        <fgColor theme="6"/>
        <bgColor indexed="64"/>
      </patternFill>
    </fill>
    <fill>
      <patternFill patternType="solid">
        <fgColor theme="0" tint="-4.9989318521683403E-2"/>
        <bgColor indexed="64"/>
      </patternFill>
    </fill>
    <fill>
      <patternFill patternType="solid">
        <fgColor rgb="FFF2F2F2"/>
        <bgColor indexed="64"/>
      </patternFill>
    </fill>
    <fill>
      <patternFill patternType="solid">
        <fgColor rgb="FFFFFF99"/>
        <bgColor indexed="64"/>
      </patternFill>
    </fill>
    <fill>
      <patternFill patternType="solid">
        <fgColor theme="8" tint="0.79998168889431442"/>
        <bgColor indexed="64"/>
      </patternFill>
    </fill>
    <fill>
      <patternFill patternType="solid">
        <fgColor rgb="FF008000"/>
        <bgColor indexed="64"/>
      </patternFill>
    </fill>
    <fill>
      <patternFill patternType="solid">
        <fgColor rgb="FFFFE579"/>
        <bgColor indexed="64"/>
      </patternFill>
    </fill>
    <fill>
      <patternFill patternType="solid">
        <fgColor theme="0" tint="-0.14999847407452621"/>
        <bgColor indexed="64"/>
      </patternFill>
    </fill>
    <fill>
      <patternFill patternType="solid">
        <fgColor rgb="FF297D6B"/>
        <bgColor indexed="64"/>
      </patternFill>
    </fill>
    <fill>
      <patternFill patternType="solid">
        <fgColor rgb="FFEEF5F4"/>
        <bgColor indexed="64"/>
      </patternFill>
    </fill>
    <fill>
      <patternFill patternType="solid">
        <fgColor rgb="FFEBF1DE"/>
        <bgColor indexed="64"/>
      </patternFill>
    </fill>
    <fill>
      <patternFill patternType="solid">
        <fgColor theme="4" tint="0.79998168889431442"/>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rgb="FFFFFFFF"/>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4F81BD"/>
        <bgColor indexed="64"/>
      </patternFill>
    </fill>
    <fill>
      <patternFill patternType="solid">
        <fgColor rgb="FFFFFFFF"/>
        <bgColor rgb="FF000000"/>
      </patternFill>
    </fill>
    <fill>
      <patternFill patternType="solid">
        <fgColor theme="7"/>
        <bgColor indexed="64"/>
      </patternFill>
    </fill>
    <fill>
      <patternFill patternType="solid">
        <fgColor theme="4"/>
        <bgColor theme="4"/>
      </patternFill>
    </fill>
    <fill>
      <patternFill patternType="solid">
        <fgColor theme="0" tint="-0.499984740745262"/>
        <bgColor indexed="64"/>
      </patternFill>
    </fill>
    <fill>
      <patternFill patternType="solid">
        <fgColor rgb="FFE5F7F3"/>
        <bgColor indexed="64"/>
      </patternFill>
    </fill>
    <fill>
      <patternFill patternType="solid">
        <fgColor rgb="FF009043"/>
        <bgColor indexed="64"/>
      </patternFill>
    </fill>
    <fill>
      <patternFill patternType="solid">
        <fgColor theme="9"/>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rgb="FFEEECE1"/>
        <bgColor indexed="64"/>
      </patternFill>
    </fill>
    <fill>
      <patternFill patternType="solid">
        <fgColor theme="5"/>
        <bgColor indexed="64"/>
      </patternFill>
    </fill>
    <fill>
      <patternFill patternType="solid">
        <fgColor theme="7" tint="0.79998168889431442"/>
        <bgColor indexed="64"/>
      </patternFill>
    </fill>
    <fill>
      <patternFill patternType="solid">
        <fgColor rgb="FFDCE8D0"/>
        <bgColor indexed="64"/>
      </patternFill>
    </fill>
    <fill>
      <patternFill patternType="solid">
        <fgColor rgb="FFE8F8F5"/>
        <bgColor indexed="64"/>
      </patternFill>
    </fill>
    <fill>
      <patternFill patternType="solid">
        <fgColor rgb="FF37A78F"/>
        <bgColor indexed="64"/>
      </patternFill>
    </fill>
    <fill>
      <patternFill patternType="solid">
        <fgColor rgb="FFFFE389"/>
        <bgColor indexed="64"/>
      </patternFill>
    </fill>
    <fill>
      <patternFill patternType="solid">
        <fgColor theme="0" tint="-0.249977111117893"/>
        <bgColor indexed="64"/>
      </patternFill>
    </fill>
  </fills>
  <borders count="301">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style="medium">
        <color indexed="64"/>
      </left>
      <right style="thin">
        <color indexed="64"/>
      </right>
      <top/>
      <bottom style="thin">
        <color indexed="64"/>
      </bottom>
      <diagonal/>
    </border>
    <border>
      <left style="thin">
        <color auto="1"/>
      </left>
      <right style="thin">
        <color auto="1"/>
      </right>
      <top/>
      <bottom style="thin">
        <color auto="1"/>
      </bottom>
      <diagonal/>
    </border>
    <border>
      <left/>
      <right/>
      <top/>
      <bottom style="thin">
        <color indexed="64"/>
      </bottom>
      <diagonal/>
    </border>
    <border>
      <left/>
      <right/>
      <top/>
      <bottom style="thin">
        <color rgb="FF00904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rgb="FFFF0000"/>
      </left>
      <right/>
      <top/>
      <bottom style="thin">
        <color theme="0" tint="-0.34998626667073579"/>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style="thin">
        <color theme="0" tint="-0.24994659260841701"/>
      </left>
      <right style="medium">
        <color rgb="FFFF0000"/>
      </right>
      <top style="thin">
        <color theme="0" tint="-0.24994659260841701"/>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top/>
      <bottom style="thin">
        <color theme="0" tint="-0.24994659260841701"/>
      </bottom>
      <diagonal/>
    </border>
    <border>
      <left style="thin">
        <color indexed="64"/>
      </left>
      <right style="thin">
        <color indexed="64"/>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medium">
        <color indexed="64"/>
      </right>
      <top/>
      <bottom style="thin">
        <color theme="0" tint="-0.24994659260841701"/>
      </bottom>
      <diagonal/>
    </border>
    <border>
      <left style="thin">
        <color theme="0" tint="-0.24994659260841701"/>
      </left>
      <right style="medium">
        <color rgb="FFFF0000"/>
      </right>
      <top/>
      <bottom style="thin">
        <color theme="0" tint="-0.24994659260841701"/>
      </bottom>
      <diagonal/>
    </border>
    <border>
      <left style="medium">
        <color indexed="64"/>
      </left>
      <right/>
      <top style="medium">
        <color indexed="64"/>
      </top>
      <bottom style="thin">
        <color theme="0" tint="-0.34998626667073579"/>
      </bottom>
      <diagonal/>
    </border>
    <border>
      <left style="medium">
        <color indexed="64"/>
      </left>
      <right/>
      <top/>
      <bottom style="thin">
        <color theme="0" tint="-0.34998626667073579"/>
      </bottom>
      <diagonal/>
    </border>
    <border>
      <left/>
      <right/>
      <top/>
      <bottom style="medium">
        <color rgb="FF297D6B"/>
      </bottom>
      <diagonal/>
    </border>
    <border>
      <left/>
      <right/>
      <top style="medium">
        <color rgb="FF297D6B"/>
      </top>
      <bottom style="medium">
        <color rgb="FF297D6B"/>
      </bottom>
      <diagonal/>
    </border>
    <border>
      <left/>
      <right/>
      <top style="medium">
        <color rgb="FF297D6B"/>
      </top>
      <bottom/>
      <diagonal/>
    </border>
    <border>
      <left style="medium">
        <color rgb="FF297D6B"/>
      </left>
      <right/>
      <top style="medium">
        <color rgb="FF297D6B"/>
      </top>
      <bottom style="medium">
        <color rgb="FF297D6B"/>
      </bottom>
      <diagonal/>
    </border>
    <border>
      <left/>
      <right style="medium">
        <color rgb="FF297D6B"/>
      </right>
      <top style="medium">
        <color rgb="FF297D6B"/>
      </top>
      <bottom style="medium">
        <color rgb="FF297D6B"/>
      </bottom>
      <diagonal/>
    </border>
    <border>
      <left style="medium">
        <color rgb="FF297D6B"/>
      </left>
      <right/>
      <top style="medium">
        <color rgb="FF297D6B"/>
      </top>
      <bottom/>
      <diagonal/>
    </border>
    <border>
      <left/>
      <right style="medium">
        <color rgb="FF297D6B"/>
      </right>
      <top style="medium">
        <color rgb="FF297D6B"/>
      </top>
      <bottom/>
      <diagonal/>
    </border>
    <border>
      <left style="medium">
        <color rgb="FF297D6B"/>
      </left>
      <right/>
      <top style="medium">
        <color rgb="FF297D6B"/>
      </top>
      <bottom style="thin">
        <color rgb="FF297D6B"/>
      </bottom>
      <diagonal/>
    </border>
    <border>
      <left/>
      <right/>
      <top style="medium">
        <color rgb="FF297D6B"/>
      </top>
      <bottom style="thin">
        <color rgb="FF297D6B"/>
      </bottom>
      <diagonal/>
    </border>
    <border>
      <left/>
      <right style="medium">
        <color rgb="FF297D6B"/>
      </right>
      <top style="medium">
        <color rgb="FF297D6B"/>
      </top>
      <bottom style="thin">
        <color rgb="FF297D6B"/>
      </bottom>
      <diagonal/>
    </border>
    <border>
      <left style="medium">
        <color rgb="FF297D6B"/>
      </left>
      <right/>
      <top style="thin">
        <color rgb="FF297D6B"/>
      </top>
      <bottom style="thin">
        <color rgb="FF297D6B"/>
      </bottom>
      <diagonal/>
    </border>
    <border>
      <left/>
      <right/>
      <top style="thin">
        <color rgb="FF297D6B"/>
      </top>
      <bottom style="thin">
        <color rgb="FF297D6B"/>
      </bottom>
      <diagonal/>
    </border>
    <border>
      <left/>
      <right style="medium">
        <color rgb="FF297D6B"/>
      </right>
      <top style="thin">
        <color rgb="FF297D6B"/>
      </top>
      <bottom style="thin">
        <color rgb="FF297D6B"/>
      </bottom>
      <diagonal/>
    </border>
    <border>
      <left style="medium">
        <color rgb="FF297D6B"/>
      </left>
      <right/>
      <top style="thin">
        <color rgb="FF297D6B"/>
      </top>
      <bottom style="thin">
        <color theme="0" tint="-4.9989318521683403E-2"/>
      </bottom>
      <diagonal/>
    </border>
    <border>
      <left/>
      <right/>
      <top style="thin">
        <color rgb="FF297D6B"/>
      </top>
      <bottom style="thin">
        <color theme="0" tint="-4.9989318521683403E-2"/>
      </bottom>
      <diagonal/>
    </border>
    <border>
      <left/>
      <right style="medium">
        <color rgb="FF297D6B"/>
      </right>
      <top style="thin">
        <color rgb="FF297D6B"/>
      </top>
      <bottom style="thin">
        <color theme="0" tint="-4.9989318521683403E-2"/>
      </bottom>
      <diagonal/>
    </border>
    <border>
      <left style="medium">
        <color rgb="FF297D6B"/>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medium">
        <color rgb="FF297D6B"/>
      </right>
      <top style="thin">
        <color theme="0" tint="-4.9989318521683403E-2"/>
      </top>
      <bottom style="thin">
        <color theme="0" tint="-4.9989318521683403E-2"/>
      </bottom>
      <diagonal/>
    </border>
    <border>
      <left style="medium">
        <color rgb="FF297D6B"/>
      </left>
      <right/>
      <top style="thin">
        <color theme="0" tint="-4.9989318521683403E-2"/>
      </top>
      <bottom style="medium">
        <color rgb="FF297D6B"/>
      </bottom>
      <diagonal/>
    </border>
    <border>
      <left/>
      <right/>
      <top style="thin">
        <color theme="0" tint="-4.9989318521683403E-2"/>
      </top>
      <bottom style="medium">
        <color rgb="FF297D6B"/>
      </bottom>
      <diagonal/>
    </border>
    <border>
      <left/>
      <right style="medium">
        <color rgb="FF297D6B"/>
      </right>
      <top style="thin">
        <color theme="0" tint="-4.9989318521683403E-2"/>
      </top>
      <bottom style="medium">
        <color rgb="FF297D6B"/>
      </bottom>
      <diagonal/>
    </border>
    <border>
      <left/>
      <right/>
      <top style="thin">
        <color indexed="64"/>
      </top>
      <bottom style="thin">
        <color theme="0" tint="-4.9989318521683403E-2"/>
      </bottom>
      <diagonal/>
    </border>
    <border>
      <left style="medium">
        <color rgb="FF297D6B"/>
      </left>
      <right/>
      <top/>
      <bottom style="thin">
        <color indexed="64"/>
      </bottom>
      <diagonal/>
    </border>
    <border>
      <left/>
      <right style="medium">
        <color rgb="FF297D6B"/>
      </right>
      <top/>
      <bottom style="thin">
        <color indexed="64"/>
      </bottom>
      <diagonal/>
    </border>
    <border>
      <left style="medium">
        <color rgb="FF297D6B"/>
      </left>
      <right/>
      <top style="thin">
        <color indexed="64"/>
      </top>
      <bottom style="thin">
        <color theme="0" tint="-4.9989318521683403E-2"/>
      </bottom>
      <diagonal/>
    </border>
    <border>
      <left/>
      <right style="medium">
        <color rgb="FF297D6B"/>
      </right>
      <top style="thin">
        <color indexed="64"/>
      </top>
      <bottom style="thin">
        <color theme="0" tint="-4.9989318521683403E-2"/>
      </bottom>
      <diagonal/>
    </border>
    <border>
      <left style="medium">
        <color rgb="FF297D6B"/>
      </left>
      <right/>
      <top style="thin">
        <color theme="0" tint="-4.9989318521683403E-2"/>
      </top>
      <bottom/>
      <diagonal/>
    </border>
    <border>
      <left/>
      <right/>
      <top style="thin">
        <color theme="0" tint="-4.9989318521683403E-2"/>
      </top>
      <bottom/>
      <diagonal/>
    </border>
    <border>
      <left/>
      <right style="medium">
        <color rgb="FF297D6B"/>
      </right>
      <top style="thin">
        <color theme="0" tint="-4.9989318521683403E-2"/>
      </top>
      <bottom/>
      <diagonal/>
    </border>
    <border>
      <left style="medium">
        <color rgb="FF297D6B"/>
      </left>
      <right/>
      <top/>
      <bottom style="thin">
        <color theme="0" tint="-4.9989318521683403E-2"/>
      </bottom>
      <diagonal/>
    </border>
    <border>
      <left/>
      <right/>
      <top/>
      <bottom style="thin">
        <color theme="0" tint="-4.9989318521683403E-2"/>
      </bottom>
      <diagonal/>
    </border>
    <border>
      <left/>
      <right style="medium">
        <color rgb="FF297D6B"/>
      </right>
      <top/>
      <bottom style="thin">
        <color theme="0" tint="-4.9989318521683403E-2"/>
      </bottom>
      <diagonal/>
    </border>
    <border>
      <left style="medium">
        <color rgb="FF297D6B"/>
      </left>
      <right/>
      <top style="hair">
        <color rgb="FF297D6B"/>
      </top>
      <bottom style="thin">
        <color theme="0" tint="-4.9989318521683403E-2"/>
      </bottom>
      <diagonal/>
    </border>
    <border>
      <left/>
      <right/>
      <top style="hair">
        <color rgb="FF297D6B"/>
      </top>
      <bottom style="thin">
        <color theme="0" tint="-4.9989318521683403E-2"/>
      </bottom>
      <diagonal/>
    </border>
    <border>
      <left/>
      <right style="medium">
        <color rgb="FF297D6B"/>
      </right>
      <top style="hair">
        <color rgb="FF297D6B"/>
      </top>
      <bottom style="thin">
        <color theme="0" tint="-4.9989318521683403E-2"/>
      </bottom>
      <diagonal/>
    </border>
    <border>
      <left style="medium">
        <color rgb="FF297D6B"/>
      </left>
      <right/>
      <top/>
      <bottom style="medium">
        <color rgb="FF297D6B"/>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style="thin">
        <color rgb="FF297D6B"/>
      </left>
      <right style="thin">
        <color rgb="FF297D6B"/>
      </right>
      <top style="thin">
        <color rgb="FF297D6B"/>
      </top>
      <bottom style="thin">
        <color rgb="FF297D6B"/>
      </bottom>
      <diagonal/>
    </border>
    <border>
      <left style="medium">
        <color rgb="FF297D6B"/>
      </left>
      <right/>
      <top/>
      <bottom/>
      <diagonal/>
    </border>
    <border>
      <left/>
      <right style="medium">
        <color rgb="FF297D6B"/>
      </right>
      <top/>
      <bottom/>
      <diagonal/>
    </border>
    <border>
      <left/>
      <right style="medium">
        <color rgb="FF297D6B"/>
      </right>
      <top/>
      <bottom style="medium">
        <color rgb="FF297D6B"/>
      </bottom>
      <diagonal/>
    </border>
    <border>
      <left style="hair">
        <color rgb="FF297D6B"/>
      </left>
      <right/>
      <top style="medium">
        <color rgb="FF297D6B"/>
      </top>
      <bottom style="medium">
        <color rgb="FF297D6B"/>
      </bottom>
      <diagonal/>
    </border>
    <border>
      <left style="hair">
        <color rgb="FF297D6B"/>
      </left>
      <right/>
      <top style="medium">
        <color rgb="FF297D6B"/>
      </top>
      <bottom/>
      <diagonal/>
    </border>
    <border>
      <left style="hair">
        <color rgb="FF297D6B"/>
      </left>
      <right/>
      <top/>
      <bottom/>
      <diagonal/>
    </border>
    <border>
      <left style="hair">
        <color rgb="FF297D6B"/>
      </left>
      <right/>
      <top/>
      <bottom style="medium">
        <color rgb="FF297D6B"/>
      </bottom>
      <diagonal/>
    </border>
    <border>
      <left/>
      <right/>
      <top style="thin">
        <color theme="0"/>
      </top>
      <bottom/>
      <diagonal/>
    </border>
    <border>
      <left/>
      <right style="thin">
        <color theme="0"/>
      </right>
      <top style="thin">
        <color theme="0"/>
      </top>
      <bottom/>
      <diagonal/>
    </border>
    <border>
      <left/>
      <right style="thin">
        <color theme="0"/>
      </right>
      <top/>
      <bottom/>
      <diagonal/>
    </border>
    <border>
      <left style="thick">
        <color theme="0"/>
      </left>
      <right/>
      <top/>
      <bottom/>
      <diagonal/>
    </border>
    <border>
      <left/>
      <right style="medium">
        <color rgb="FF227447"/>
      </right>
      <top/>
      <bottom/>
      <diagonal/>
    </border>
    <border>
      <left style="thin">
        <color theme="0"/>
      </left>
      <right/>
      <top/>
      <bottom/>
      <diagonal/>
    </border>
    <border>
      <left style="thick">
        <color theme="0"/>
      </left>
      <right style="thick">
        <color theme="0"/>
      </right>
      <top/>
      <bottom/>
      <diagonal/>
    </border>
    <border>
      <left style="thick">
        <color theme="0"/>
      </left>
      <right style="medium">
        <color rgb="FF227447"/>
      </right>
      <top/>
      <bottom/>
      <diagonal/>
    </border>
    <border>
      <left/>
      <right/>
      <top/>
      <bottom style="medium">
        <color rgb="FF227447"/>
      </bottom>
      <diagonal/>
    </border>
    <border>
      <left style="thin">
        <color theme="0"/>
      </left>
      <right/>
      <top/>
      <bottom style="medium">
        <color rgb="FF227447"/>
      </bottom>
      <diagonal/>
    </border>
    <border>
      <left style="medium">
        <color theme="0"/>
      </left>
      <right/>
      <top/>
      <bottom/>
      <diagonal/>
    </border>
    <border>
      <left/>
      <right/>
      <top style="thin">
        <color rgb="FF227447"/>
      </top>
      <bottom/>
      <diagonal/>
    </border>
    <border>
      <left/>
      <right/>
      <top/>
      <bottom style="thin">
        <color theme="0"/>
      </bottom>
      <diagonal/>
    </border>
    <border>
      <left/>
      <right/>
      <top style="medium">
        <color rgb="FF227447"/>
      </top>
      <bottom/>
      <diagonal/>
    </border>
    <border>
      <left style="medium">
        <color rgb="FF297D6B"/>
      </left>
      <right/>
      <top style="hair">
        <color rgb="FF297D6B"/>
      </top>
      <bottom/>
      <diagonal/>
    </border>
    <border>
      <left/>
      <right/>
      <top style="hair">
        <color rgb="FF297D6B"/>
      </top>
      <bottom/>
      <diagonal/>
    </border>
    <border>
      <left/>
      <right style="medium">
        <color rgb="FF297D6B"/>
      </right>
      <top style="hair">
        <color rgb="FF297D6B"/>
      </top>
      <bottom/>
      <diagonal/>
    </border>
    <border>
      <left style="medium">
        <color rgb="FF297D6B"/>
      </left>
      <right/>
      <top/>
      <bottom style="hair">
        <color rgb="FF297D6B"/>
      </bottom>
      <diagonal/>
    </border>
    <border>
      <left/>
      <right/>
      <top/>
      <bottom style="hair">
        <color rgb="FF297D6B"/>
      </bottom>
      <diagonal/>
    </border>
    <border>
      <left/>
      <right style="medium">
        <color rgb="FF297D6B"/>
      </right>
      <top/>
      <bottom style="hair">
        <color rgb="FF297D6B"/>
      </bottom>
      <diagonal/>
    </border>
    <border>
      <left/>
      <right/>
      <top/>
      <bottom style="thick">
        <color rgb="FF297D6B"/>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227447"/>
      </left>
      <right/>
      <top style="thin">
        <color rgb="FF227447"/>
      </top>
      <bottom/>
      <diagonal/>
    </border>
    <border>
      <left style="thick">
        <color theme="0"/>
      </left>
      <right style="thick">
        <color theme="0"/>
      </right>
      <top style="thin">
        <color rgb="FF227447"/>
      </top>
      <bottom/>
      <diagonal/>
    </border>
    <border>
      <left style="thick">
        <color theme="0"/>
      </left>
      <right/>
      <top style="thin">
        <color rgb="FF227447"/>
      </top>
      <bottom/>
      <diagonal/>
    </border>
    <border>
      <left style="thick">
        <color theme="0"/>
      </left>
      <right style="medium">
        <color rgb="FF227447"/>
      </right>
      <top style="thin">
        <color rgb="FF227447"/>
      </top>
      <bottom/>
      <diagonal/>
    </border>
    <border>
      <left/>
      <right style="thin">
        <color rgb="FF227447"/>
      </right>
      <top style="thin">
        <color rgb="FF227447"/>
      </top>
      <bottom/>
      <diagonal/>
    </border>
    <border>
      <left style="thin">
        <color rgb="FF227447"/>
      </left>
      <right/>
      <top/>
      <bottom/>
      <diagonal/>
    </border>
    <border>
      <left style="hair">
        <color rgb="FF227447"/>
      </left>
      <right style="thin">
        <color rgb="FF227447"/>
      </right>
      <top/>
      <bottom/>
      <diagonal/>
    </border>
    <border>
      <left/>
      <right style="thin">
        <color rgb="FF227447"/>
      </right>
      <top/>
      <bottom/>
      <diagonal/>
    </border>
    <border>
      <left/>
      <right style="hair">
        <color rgb="FF227447"/>
      </right>
      <top/>
      <bottom/>
      <diagonal/>
    </border>
    <border>
      <left/>
      <right/>
      <top style="thin">
        <color rgb="FF009043"/>
      </top>
      <bottom style="thin">
        <color rgb="FF009043"/>
      </bottom>
      <diagonal/>
    </border>
    <border>
      <left/>
      <right/>
      <top style="thin">
        <color rgb="FF009043"/>
      </top>
      <bottom/>
      <diagonal/>
    </border>
    <border>
      <left/>
      <right/>
      <top/>
      <bottom style="thin">
        <color rgb="FF297D6B"/>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hair">
        <color rgb="FF297D6B"/>
      </top>
      <bottom style="hair">
        <color rgb="FF297D6B"/>
      </bottom>
      <diagonal/>
    </border>
    <border>
      <left style="thin">
        <color theme="0" tint="-0.24994659260841701"/>
      </left>
      <right/>
      <top/>
      <bottom/>
      <diagonal/>
    </border>
    <border>
      <left style="thin">
        <color rgb="FF297D6B"/>
      </left>
      <right/>
      <top/>
      <bottom/>
      <diagonal/>
    </border>
    <border>
      <left style="medium">
        <color theme="0"/>
      </left>
      <right/>
      <top style="medium">
        <color theme="0"/>
      </top>
      <bottom/>
      <diagonal/>
    </border>
    <border>
      <left/>
      <right/>
      <top style="medium">
        <color theme="0"/>
      </top>
      <bottom/>
      <diagonal/>
    </border>
    <border>
      <left style="thick">
        <color theme="0"/>
      </left>
      <right/>
      <top style="medium">
        <color rgb="FF297D6B"/>
      </top>
      <bottom/>
      <diagonal/>
    </border>
    <border>
      <left/>
      <right style="thick">
        <color theme="0"/>
      </right>
      <top style="medium">
        <color rgb="FF297D6B"/>
      </top>
      <bottom/>
      <diagonal/>
    </border>
    <border>
      <left style="medium">
        <color rgb="FF297D6B"/>
      </left>
      <right/>
      <top/>
      <bottom style="medium">
        <color rgb="FF227447"/>
      </bottom>
      <diagonal/>
    </border>
    <border>
      <left/>
      <right style="medium">
        <color rgb="FF297D6B"/>
      </right>
      <top/>
      <bottom style="medium">
        <color rgb="FF227447"/>
      </bottom>
      <diagonal/>
    </border>
    <border>
      <left style="medium">
        <color rgb="FF297D6B"/>
      </left>
      <right/>
      <top style="medium">
        <color rgb="FF227447"/>
      </top>
      <bottom/>
      <diagonal/>
    </border>
    <border>
      <left/>
      <right style="medium">
        <color rgb="FF297D6B"/>
      </right>
      <top style="medium">
        <color rgb="FF227447"/>
      </top>
      <bottom/>
      <diagonal/>
    </border>
    <border>
      <left style="medium">
        <color theme="0"/>
      </left>
      <right/>
      <top style="medium">
        <color rgb="FF297D6B"/>
      </top>
      <bottom style="medium">
        <color theme="0"/>
      </bottom>
      <diagonal/>
    </border>
    <border>
      <left/>
      <right style="medium">
        <color theme="0"/>
      </right>
      <top/>
      <bottom/>
      <diagonal/>
    </border>
    <border>
      <left/>
      <right/>
      <top style="medium">
        <color rgb="FF297D6B"/>
      </top>
      <bottom style="medium">
        <color theme="0"/>
      </bottom>
      <diagonal/>
    </border>
    <border>
      <left style="thin">
        <color theme="0"/>
      </left>
      <right/>
      <top/>
      <bottom style="thick">
        <color theme="0"/>
      </bottom>
      <diagonal/>
    </border>
    <border>
      <left style="thin">
        <color theme="0"/>
      </left>
      <right style="thin">
        <color theme="0"/>
      </right>
      <top/>
      <bottom/>
      <diagonal/>
    </border>
    <border>
      <left/>
      <right/>
      <top style="hair">
        <color rgb="FF297D6B"/>
      </top>
      <bottom style="medium">
        <color rgb="FF297D6B"/>
      </bottom>
      <diagonal/>
    </border>
    <border>
      <left/>
      <right/>
      <top/>
      <bottom style="medium">
        <color rgb="FF82602A"/>
      </bottom>
      <diagonal/>
    </border>
    <border>
      <left/>
      <right/>
      <top/>
      <bottom style="medium">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style="thin">
        <color theme="0"/>
      </bottom>
      <diagonal/>
    </border>
    <border>
      <left style="thin">
        <color rgb="FF297D6B"/>
      </left>
      <right/>
      <top style="thin">
        <color rgb="FF297D6B"/>
      </top>
      <bottom/>
      <diagonal/>
    </border>
    <border>
      <left/>
      <right/>
      <top style="thin">
        <color rgb="FF297D6B"/>
      </top>
      <bottom/>
      <diagonal/>
    </border>
    <border>
      <left/>
      <right style="thin">
        <color rgb="FF297D6B"/>
      </right>
      <top/>
      <bottom/>
      <diagonal/>
    </border>
    <border>
      <left/>
      <right/>
      <top style="medium">
        <color rgb="FF82602A"/>
      </top>
      <bottom/>
      <diagonal/>
    </border>
    <border>
      <left style="thin">
        <color theme="0"/>
      </left>
      <right/>
      <top style="medium">
        <color theme="0"/>
      </top>
      <bottom/>
      <diagonal/>
    </border>
    <border>
      <left style="thin">
        <color rgb="FFD9F3ED"/>
      </left>
      <right style="thin">
        <color rgb="FFD9F3ED"/>
      </right>
      <top style="medium">
        <color theme="0"/>
      </top>
      <bottom/>
      <diagonal/>
    </border>
    <border>
      <left style="thin">
        <color rgb="FFD9F3ED"/>
      </left>
      <right style="thin">
        <color rgb="FFD9F3ED"/>
      </right>
      <top/>
      <bottom/>
      <diagonal/>
    </border>
    <border>
      <left style="thin">
        <color rgb="FFD9F3ED"/>
      </left>
      <right style="thin">
        <color rgb="FFD9F3ED"/>
      </right>
      <top style="medium">
        <color theme="0"/>
      </top>
      <bottom style="thin">
        <color rgb="FFD9F3ED"/>
      </bottom>
      <diagonal/>
    </border>
    <border>
      <left style="thin">
        <color rgb="FFD9F3ED"/>
      </left>
      <right style="thin">
        <color rgb="FFD9F3ED"/>
      </right>
      <top style="thin">
        <color rgb="FFD9F3ED"/>
      </top>
      <bottom style="hair">
        <color theme="0"/>
      </bottom>
      <diagonal/>
    </border>
    <border>
      <left style="thin">
        <color rgb="FFD9F3ED"/>
      </left>
      <right style="thin">
        <color theme="0"/>
      </right>
      <top style="medium">
        <color theme="0"/>
      </top>
      <bottom/>
      <diagonal/>
    </border>
    <border>
      <left style="thin">
        <color rgb="FFD9F3ED"/>
      </left>
      <right style="thin">
        <color theme="0"/>
      </right>
      <top/>
      <bottom/>
      <diagonal/>
    </border>
    <border>
      <left style="thin">
        <color rgb="FFD9F3ED"/>
      </left>
      <right style="medium">
        <color theme="0"/>
      </right>
      <top style="medium">
        <color theme="0"/>
      </top>
      <bottom style="thin">
        <color rgb="FFD9F3ED"/>
      </bottom>
      <diagonal/>
    </border>
    <border>
      <left style="thin">
        <color rgb="FFD9F3ED"/>
      </left>
      <right style="thin">
        <color rgb="FFD9F3ED"/>
      </right>
      <top style="thin">
        <color rgb="FFD9F3ED"/>
      </top>
      <bottom/>
      <diagonal/>
    </border>
    <border>
      <left style="thin">
        <color rgb="FFD9F3ED"/>
      </left>
      <right style="medium">
        <color theme="0"/>
      </right>
      <top style="thin">
        <color rgb="FFD9F3ED"/>
      </top>
      <bottom/>
      <diagonal/>
    </border>
    <border>
      <left style="thin">
        <color rgb="FF297D6B"/>
      </left>
      <right/>
      <top/>
      <bottom style="thin">
        <color rgb="FF297D6B"/>
      </bottom>
      <diagonal/>
    </border>
    <border>
      <left style="thin">
        <color rgb="FF297D6B"/>
      </left>
      <right style="thin">
        <color rgb="FF297D6B"/>
      </right>
      <top/>
      <bottom/>
      <diagonal/>
    </border>
    <border>
      <left/>
      <right style="thin">
        <color rgb="FF297D6B"/>
      </right>
      <top/>
      <bottom style="thin">
        <color rgb="FF297D6B"/>
      </bottom>
      <diagonal/>
    </border>
    <border>
      <left style="thin">
        <color rgb="FF297D6B"/>
      </left>
      <right style="thin">
        <color rgb="FF297D6B"/>
      </right>
      <top/>
      <bottom style="thin">
        <color rgb="FF297D6B"/>
      </bottom>
      <diagonal/>
    </border>
    <border>
      <left/>
      <right/>
      <top style="thin">
        <color rgb="FFD9F3ED"/>
      </top>
      <bottom/>
      <diagonal/>
    </border>
    <border>
      <left/>
      <right style="thin">
        <color rgb="FFD9F3ED"/>
      </right>
      <top style="thin">
        <color rgb="FFD9F3ED"/>
      </top>
      <bottom/>
      <diagonal/>
    </border>
    <border>
      <left style="thin">
        <color rgb="FFD9F3ED"/>
      </left>
      <right/>
      <top style="thin">
        <color rgb="FFD9F3ED"/>
      </top>
      <bottom/>
      <diagonal/>
    </border>
    <border>
      <left style="thin">
        <color rgb="FF297D6B"/>
      </left>
      <right style="hair">
        <color rgb="FF297D6B"/>
      </right>
      <top style="hair">
        <color theme="0"/>
      </top>
      <bottom/>
      <diagonal/>
    </border>
    <border>
      <left style="hair">
        <color rgb="FF297D6B"/>
      </left>
      <right style="hair">
        <color rgb="FF297D6B"/>
      </right>
      <top style="hair">
        <color theme="0"/>
      </top>
      <bottom/>
      <diagonal/>
    </border>
    <border>
      <left style="hair">
        <color rgb="FF297D6B"/>
      </left>
      <right style="thin">
        <color rgb="FF297D6B"/>
      </right>
      <top style="hair">
        <color theme="0"/>
      </top>
      <bottom/>
      <diagonal/>
    </border>
    <border>
      <left/>
      <right/>
      <top style="double">
        <color rgb="FF297D6B"/>
      </top>
      <bottom style="thin">
        <color rgb="FF297D6B"/>
      </bottom>
      <diagonal/>
    </border>
    <border>
      <left style="thin">
        <color rgb="FF297D6B"/>
      </left>
      <right/>
      <top style="double">
        <color rgb="FF297D6B"/>
      </top>
      <bottom style="thin">
        <color rgb="FF297D6B"/>
      </bottom>
      <diagonal/>
    </border>
    <border>
      <left/>
      <right style="thin">
        <color rgb="FF297D6B"/>
      </right>
      <top style="double">
        <color rgb="FF297D6B"/>
      </top>
      <bottom style="thin">
        <color rgb="FF297D6B"/>
      </bottom>
      <diagonal/>
    </border>
    <border>
      <left style="thin">
        <color rgb="FF297D6B"/>
      </left>
      <right style="hair">
        <color rgb="FF297D6B"/>
      </right>
      <top style="double">
        <color rgb="FF297D6B"/>
      </top>
      <bottom style="thin">
        <color rgb="FF297D6B"/>
      </bottom>
      <diagonal/>
    </border>
    <border>
      <left style="hair">
        <color rgb="FF297D6B"/>
      </left>
      <right style="hair">
        <color rgb="FF297D6B"/>
      </right>
      <top style="double">
        <color rgb="FF297D6B"/>
      </top>
      <bottom style="thin">
        <color rgb="FF297D6B"/>
      </bottom>
      <diagonal/>
    </border>
    <border>
      <left style="hair">
        <color rgb="FF297D6B"/>
      </left>
      <right style="thin">
        <color rgb="FF297D6B"/>
      </right>
      <top style="double">
        <color rgb="FF297D6B"/>
      </top>
      <bottom style="thin">
        <color rgb="FF297D6B"/>
      </bottom>
      <diagonal/>
    </border>
    <border>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theme="0"/>
      </left>
      <right/>
      <top style="medium">
        <color theme="0"/>
      </top>
      <bottom style="thin">
        <color rgb="FF227447"/>
      </bottom>
      <diagonal/>
    </border>
    <border>
      <left/>
      <right/>
      <top style="medium">
        <color theme="0"/>
      </top>
      <bottom style="thin">
        <color rgb="FF227447"/>
      </bottom>
      <diagonal/>
    </border>
    <border>
      <left/>
      <right style="medium">
        <color theme="0"/>
      </right>
      <top style="medium">
        <color theme="0"/>
      </top>
      <bottom style="thin">
        <color rgb="FF227447"/>
      </bottom>
      <diagonal/>
    </border>
    <border>
      <left style="thin">
        <color theme="0" tint="-0.499984740745262"/>
      </left>
      <right style="thin">
        <color theme="0"/>
      </right>
      <top style="thin">
        <color theme="0" tint="-0.499984740745262"/>
      </top>
      <bottom/>
      <diagonal/>
    </border>
    <border>
      <left style="thin">
        <color theme="0" tint="-0.499984740745262"/>
      </left>
      <right/>
      <top style="hair">
        <color theme="0" tint="-4.9989318521683403E-2"/>
      </top>
      <bottom style="hair">
        <color theme="0" tint="-4.9989318521683403E-2"/>
      </bottom>
      <diagonal/>
    </border>
    <border>
      <left/>
      <right style="thin">
        <color theme="0" tint="-0.499984740745262"/>
      </right>
      <top/>
      <bottom/>
      <diagonal/>
    </border>
    <border>
      <left style="thin">
        <color theme="0" tint="-0.499984740745262"/>
      </left>
      <right/>
      <top/>
      <bottom/>
      <diagonal/>
    </border>
    <border>
      <left/>
      <right style="thin">
        <color theme="0" tint="-0.499984740745262"/>
      </right>
      <top style="hair">
        <color theme="0" tint="-4.9989318521683403E-2"/>
      </top>
      <bottom style="hair">
        <color theme="0" tint="-4.9989318521683403E-2"/>
      </bottom>
      <diagonal/>
    </border>
    <border>
      <left style="thin">
        <color theme="0" tint="-0.499984740745262"/>
      </left>
      <right/>
      <top style="hair">
        <color theme="0" tint="-4.9989318521683403E-2"/>
      </top>
      <bottom style="thin">
        <color theme="0" tint="-0.499984740745262"/>
      </bottom>
      <diagonal/>
    </border>
    <border>
      <left/>
      <right style="thin">
        <color theme="0" tint="-0.499984740745262"/>
      </right>
      <top style="hair">
        <color theme="0" tint="-4.9989318521683403E-2"/>
      </top>
      <bottom style="thin">
        <color theme="0" tint="-0.499984740745262"/>
      </bottom>
      <diagonal/>
    </border>
    <border>
      <left style="thin">
        <color theme="0"/>
      </left>
      <right style="thin">
        <color theme="0" tint="-0.499984740745262"/>
      </right>
      <top style="thin">
        <color theme="0" tint="-0.499984740745262"/>
      </top>
      <bottom style="thin">
        <color theme="0"/>
      </bottom>
      <diagonal/>
    </border>
    <border>
      <left style="thin">
        <color indexed="64"/>
      </left>
      <right style="thin">
        <color theme="0"/>
      </right>
      <top style="thin">
        <color indexed="64"/>
      </top>
      <bottom/>
      <diagonal/>
    </border>
    <border>
      <left style="thin">
        <color indexed="64"/>
      </left>
      <right/>
      <top style="hair">
        <color rgb="FF37A78F"/>
      </top>
      <bottom style="hair">
        <color rgb="FF37A78F"/>
      </bottom>
      <diagonal/>
    </border>
    <border>
      <left/>
      <right style="thin">
        <color indexed="64"/>
      </right>
      <top style="hair">
        <color rgb="FF37A78F"/>
      </top>
      <bottom style="hair">
        <color rgb="FF37A78F"/>
      </bottom>
      <diagonal/>
    </border>
    <border>
      <left style="thin">
        <color indexed="64"/>
      </left>
      <right/>
      <top style="hair">
        <color rgb="FF37A78F"/>
      </top>
      <bottom/>
      <diagonal/>
    </border>
    <border>
      <left/>
      <right style="thin">
        <color indexed="64"/>
      </right>
      <top/>
      <bottom style="hair">
        <color rgb="FF37A78F"/>
      </bottom>
      <diagonal/>
    </border>
    <border>
      <left style="thin">
        <color indexed="64"/>
      </left>
      <right/>
      <top style="hair">
        <color rgb="FF37A78F"/>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theme="0" tint="-0.499984740745262"/>
      </bottom>
      <diagonal/>
    </border>
    <border>
      <left/>
      <right/>
      <top style="hair">
        <color theme="0" tint="-4.9989318521683403E-2"/>
      </top>
      <bottom style="hair">
        <color theme="0" tint="-4.9989318521683403E-2"/>
      </bottom>
      <diagonal/>
    </border>
    <border>
      <left/>
      <right/>
      <top style="hair">
        <color rgb="FF37A78F"/>
      </top>
      <bottom style="hair">
        <color rgb="FF37A78F"/>
      </bottom>
      <diagonal/>
    </border>
    <border>
      <left/>
      <right/>
      <top style="hair">
        <color theme="0" tint="-4.9989318521683403E-2"/>
      </top>
      <bottom style="thin">
        <color theme="0" tint="-0.499984740745262"/>
      </bottom>
      <diagonal/>
    </border>
    <border>
      <left/>
      <right/>
      <top/>
      <bottom style="thin">
        <color rgb="FF37A78F"/>
      </bottom>
      <diagonal/>
    </border>
    <border>
      <left/>
      <right/>
      <top style="hair">
        <color rgb="FF37A78F"/>
      </top>
      <bottom style="thin">
        <color rgb="FF37A78F"/>
      </bottom>
      <diagonal/>
    </border>
    <border>
      <left/>
      <right/>
      <top style="thin">
        <color theme="0" tint="-0.24994659260841701"/>
      </top>
      <bottom/>
      <diagonal/>
    </border>
    <border>
      <left/>
      <right/>
      <top/>
      <bottom style="thin">
        <color theme="0" tint="-0.24994659260841701"/>
      </bottom>
      <diagonal/>
    </border>
    <border>
      <left/>
      <right/>
      <top style="thin">
        <color rgb="FF37A78F"/>
      </top>
      <bottom style="thin">
        <color rgb="FF37A78F"/>
      </bottom>
      <diagonal/>
    </border>
    <border>
      <left/>
      <right style="thin">
        <color theme="0"/>
      </right>
      <top/>
      <bottom style="thick">
        <color theme="0"/>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ck">
        <color theme="0"/>
      </right>
      <top/>
      <bottom/>
      <diagonal/>
    </border>
    <border>
      <left/>
      <right/>
      <top/>
      <bottom style="hair">
        <color rgb="FF37A78F"/>
      </bottom>
      <diagonal/>
    </border>
    <border>
      <left/>
      <right/>
      <top style="hair">
        <color rgb="FF37A78F"/>
      </top>
      <bottom/>
      <diagonal/>
    </border>
    <border>
      <left/>
      <right/>
      <top/>
      <bottom style="hair">
        <color theme="0" tint="-4.9989318521683403E-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rgb="FF297D6B"/>
      </right>
      <top style="thin">
        <color rgb="FF297D6B"/>
      </top>
      <bottom style="thin">
        <color rgb="FF297D6B"/>
      </bottom>
      <diagonal/>
    </border>
    <border>
      <left style="thin">
        <color theme="0"/>
      </left>
      <right/>
      <top style="thin">
        <color theme="0"/>
      </top>
      <bottom/>
      <diagonal/>
    </border>
    <border>
      <left style="thin">
        <color theme="0"/>
      </left>
      <right/>
      <top/>
      <bottom style="thin">
        <color theme="0" tint="-0.24994659260841701"/>
      </bottom>
      <diagonal/>
    </border>
    <border>
      <left style="thick">
        <color theme="0"/>
      </left>
      <right style="thin">
        <color theme="0"/>
      </right>
      <top style="thick">
        <color theme="0"/>
      </top>
      <bottom/>
      <diagonal/>
    </border>
    <border>
      <left style="thin">
        <color theme="0"/>
      </left>
      <right/>
      <top/>
      <bottom style="thin">
        <color theme="0"/>
      </bottom>
      <diagonal/>
    </border>
    <border>
      <left/>
      <right style="thin">
        <color theme="0"/>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int="-0.24994659260841701"/>
      </top>
      <bottom style="thin">
        <color theme="0"/>
      </bottom>
      <diagonal/>
    </border>
    <border>
      <left/>
      <right/>
      <top style="thin">
        <color theme="0" tint="-0.24994659260841701"/>
      </top>
      <bottom style="thin">
        <color theme="0"/>
      </bottom>
      <diagonal/>
    </border>
    <border>
      <left/>
      <right style="thin">
        <color theme="0"/>
      </right>
      <top style="thin">
        <color theme="0" tint="-0.24994659260841701"/>
      </top>
      <bottom style="thin">
        <color theme="0"/>
      </bottom>
      <diagonal/>
    </border>
    <border>
      <left style="thin">
        <color theme="0"/>
      </left>
      <right/>
      <top style="thin">
        <color theme="0"/>
      </top>
      <bottom style="thin">
        <color theme="0" tint="-0.24994659260841701"/>
      </bottom>
      <diagonal/>
    </border>
    <border>
      <left/>
      <right/>
      <top style="thin">
        <color theme="0"/>
      </top>
      <bottom style="thin">
        <color theme="0" tint="-0.24994659260841701"/>
      </bottom>
      <diagonal/>
    </border>
    <border>
      <left/>
      <right style="thin">
        <color theme="0"/>
      </right>
      <top style="thin">
        <color theme="0"/>
      </top>
      <bottom style="thin">
        <color theme="0" tint="-0.24994659260841701"/>
      </bottom>
      <diagonal/>
    </border>
    <border>
      <left/>
      <right style="thin">
        <color theme="0"/>
      </right>
      <top style="thin">
        <color theme="0" tint="-0.24994659260841701"/>
      </top>
      <bottom/>
      <diagonal/>
    </border>
    <border>
      <left/>
      <right/>
      <top style="thin">
        <color rgb="FF37A78F"/>
      </top>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hair">
        <color rgb="FF297D6B"/>
      </right>
      <top style="double">
        <color rgb="FF297D6B"/>
      </top>
      <bottom style="thin">
        <color rgb="FF297D6B"/>
      </bottom>
      <diagonal/>
    </border>
    <border>
      <left style="hair">
        <color rgb="FF297D6B"/>
      </left>
      <right/>
      <top style="double">
        <color rgb="FF297D6B"/>
      </top>
      <bottom style="thin">
        <color rgb="FF297D6B"/>
      </bottom>
      <diagonal/>
    </border>
    <border>
      <left/>
      <right style="hair">
        <color rgb="FF297D6B"/>
      </right>
      <top/>
      <bottom/>
      <diagonal/>
    </border>
    <border>
      <left style="hair">
        <color rgb="FF297D6B"/>
      </left>
      <right/>
      <top style="hair">
        <color theme="0"/>
      </top>
      <bottom style="hair">
        <color theme="0"/>
      </bottom>
      <diagonal/>
    </border>
    <border>
      <left/>
      <right/>
      <top style="hair">
        <color theme="0"/>
      </top>
      <bottom style="hair">
        <color theme="0"/>
      </bottom>
      <diagonal/>
    </border>
    <border>
      <left/>
      <right style="hair">
        <color rgb="FF297D6B"/>
      </right>
      <top style="hair">
        <color theme="0"/>
      </top>
      <bottom style="hair">
        <color theme="0"/>
      </bottom>
      <diagonal/>
    </border>
    <border>
      <left style="hair">
        <color rgb="FF297D6B"/>
      </left>
      <right/>
      <top/>
      <bottom style="hair">
        <color theme="0"/>
      </bottom>
      <diagonal/>
    </border>
    <border>
      <left/>
      <right/>
      <top/>
      <bottom style="hair">
        <color theme="0"/>
      </bottom>
      <diagonal/>
    </border>
    <border>
      <left/>
      <right style="hair">
        <color rgb="FF297D6B"/>
      </right>
      <top/>
      <bottom style="hair">
        <color theme="0"/>
      </bottom>
      <diagonal/>
    </border>
    <border>
      <left style="thin">
        <color rgb="FFD9F3ED"/>
      </left>
      <right style="thin">
        <color rgb="FFD9F3ED"/>
      </right>
      <top/>
      <bottom style="thin">
        <color rgb="FFD9F3ED"/>
      </bottom>
      <diagonal/>
    </border>
    <border>
      <left style="thin">
        <color rgb="FFD9F3ED"/>
      </left>
      <right style="medium">
        <color theme="0"/>
      </right>
      <top/>
      <bottom style="thin">
        <color rgb="FFD9F3ED"/>
      </bottom>
      <diagonal/>
    </border>
    <border>
      <left/>
      <right/>
      <top style="thin">
        <color rgb="FF297D6B"/>
      </top>
      <bottom style="hair">
        <color rgb="FF37A78F"/>
      </bottom>
      <diagonal/>
    </border>
    <border>
      <left/>
      <right style="thin">
        <color rgb="FFD9F3ED"/>
      </right>
      <top/>
      <bottom/>
      <diagonal/>
    </border>
    <border>
      <left style="thin">
        <color auto="1"/>
      </left>
      <right/>
      <top style="medium">
        <color indexed="64"/>
      </top>
      <bottom/>
      <diagonal/>
    </border>
    <border>
      <left/>
      <right style="thin">
        <color indexed="64"/>
      </right>
      <top style="medium">
        <color indexed="64"/>
      </top>
      <bottom/>
      <diagonal/>
    </border>
    <border>
      <left style="thin">
        <color auto="1"/>
      </left>
      <right style="thin">
        <color indexed="64"/>
      </right>
      <top/>
      <bottom style="medium">
        <color indexed="64"/>
      </bottom>
      <diagonal/>
    </border>
    <border>
      <left/>
      <right style="medium">
        <color indexed="64"/>
      </right>
      <top style="thin">
        <color auto="1"/>
      </top>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medium">
        <color indexed="64"/>
      </right>
      <top/>
      <bottom style="thin">
        <color auto="1"/>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hair">
        <color rgb="FF37A78F"/>
      </left>
      <right/>
      <top/>
      <bottom/>
      <diagonal/>
    </border>
    <border>
      <left style="hair">
        <color rgb="FF37A78F"/>
      </left>
      <right/>
      <top/>
      <bottom style="thin">
        <color rgb="FF37A78F"/>
      </bottom>
      <diagonal/>
    </border>
    <border>
      <left style="thin">
        <color rgb="FF297D6B"/>
      </left>
      <right/>
      <top style="thin">
        <color rgb="FF297D6B"/>
      </top>
      <bottom style="thin">
        <color rgb="FF297D6B"/>
      </bottom>
      <diagonal/>
    </border>
    <border>
      <left style="thin">
        <color rgb="FF297D6B"/>
      </left>
      <right/>
      <top/>
      <bottom style="medium">
        <color rgb="FF297D6B"/>
      </bottom>
      <diagonal/>
    </border>
    <border>
      <left style="medium">
        <color indexed="64"/>
      </left>
      <right style="thin">
        <color indexed="64"/>
      </right>
      <top style="thin">
        <color indexed="64"/>
      </top>
      <bottom style="thin">
        <color indexed="64"/>
      </bottom>
      <diagonal/>
    </border>
    <border>
      <left/>
      <right/>
      <top/>
      <bottom style="hair">
        <color theme="0" tint="-0.499984740745262"/>
      </bottom>
      <diagonal/>
    </border>
    <border>
      <left/>
      <right/>
      <top style="hair">
        <color theme="0" tint="-0.499984740745262"/>
      </top>
      <bottom style="hair">
        <color theme="0" tint="-0.499984740745262"/>
      </bottom>
      <diagonal/>
    </border>
    <border>
      <left/>
      <right/>
      <top style="hair">
        <color theme="0" tint="-0.499984740745262"/>
      </top>
      <bottom style="thin">
        <color theme="0" tint="-0.499984740745262"/>
      </bottom>
      <diagonal/>
    </border>
    <border>
      <left style="medium">
        <color theme="0"/>
      </left>
      <right/>
      <top style="thin">
        <color rgb="FF297D6B"/>
      </top>
      <bottom style="thin">
        <color rgb="FF297D6B"/>
      </bottom>
      <diagonal/>
    </border>
    <border>
      <left style="medium">
        <color theme="0"/>
      </left>
      <right/>
      <top style="thin">
        <color rgb="FF297D6B"/>
      </top>
      <bottom style="hair">
        <color rgb="FF37A78F"/>
      </bottom>
      <diagonal/>
    </border>
    <border>
      <left style="medium">
        <color theme="0"/>
      </left>
      <right/>
      <top style="hair">
        <color rgb="FF37A78F"/>
      </top>
      <bottom style="hair">
        <color rgb="FF37A78F"/>
      </bottom>
      <diagonal/>
    </border>
    <border>
      <left style="medium">
        <color theme="0"/>
      </left>
      <right/>
      <top style="hair">
        <color rgb="FF37A78F"/>
      </top>
      <bottom style="thin">
        <color rgb="FF37A78F"/>
      </bottom>
      <diagonal/>
    </border>
    <border>
      <left/>
      <right/>
      <top/>
      <bottom style="medium">
        <color rgb="FF37A78F"/>
      </bottom>
      <diagonal/>
    </border>
    <border>
      <left/>
      <right style="thin">
        <color rgb="FF297D6B"/>
      </right>
      <top/>
      <bottom style="medium">
        <color rgb="FF297D6B"/>
      </bottom>
      <diagonal/>
    </border>
    <border>
      <left/>
      <right/>
      <top/>
      <bottom style="thin">
        <color rgb="FFB3863B"/>
      </bottom>
      <diagonal/>
    </border>
    <border>
      <left/>
      <right/>
      <top/>
      <bottom style="double">
        <color rgb="FF297D6B"/>
      </bottom>
      <diagonal/>
    </border>
    <border>
      <left style="thin">
        <color theme="0" tint="-0.499984740745262"/>
      </left>
      <right style="thin">
        <color theme="0"/>
      </right>
      <top/>
      <bottom/>
      <diagonal/>
    </border>
    <border>
      <left style="thin">
        <color theme="0"/>
      </left>
      <right style="thin">
        <color theme="0" tint="-0.499984740745262"/>
      </right>
      <top/>
      <bottom style="thin">
        <color theme="0"/>
      </bottom>
      <diagonal/>
    </border>
    <border>
      <left/>
      <right style="medium">
        <color indexed="64"/>
      </right>
      <top style="thin">
        <color indexed="64"/>
      </top>
      <bottom style="thin">
        <color indexed="64"/>
      </bottom>
      <diagonal/>
    </border>
    <border>
      <left/>
      <right/>
      <top style="medium">
        <color rgb="FF37A78F"/>
      </top>
      <bottom style="thin">
        <color rgb="FF37A78F"/>
      </bottom>
      <diagonal/>
    </border>
    <border>
      <left style="hair">
        <color rgb="FF37A78F"/>
      </left>
      <right/>
      <top style="medium">
        <color rgb="FF37A78F"/>
      </top>
      <bottom style="thin">
        <color rgb="FF37A78F"/>
      </bottom>
      <diagonal/>
    </border>
  </borders>
  <cellStyleXfs count="456">
    <xf numFmtId="0" fontId="0" fillId="0" borderId="0">
      <alignment vertical="center"/>
    </xf>
    <xf numFmtId="0" fontId="31" fillId="2" borderId="0" applyNumberFormat="0" applyBorder="0" applyAlignment="0" applyProtection="0"/>
    <xf numFmtId="0" fontId="31" fillId="2" borderId="0" applyNumberFormat="0" applyBorder="0" applyAlignment="0" applyProtection="0"/>
    <xf numFmtId="0" fontId="31" fillId="2" borderId="0" applyNumberFormat="0" applyBorder="0" applyAlignment="0" applyProtection="0"/>
    <xf numFmtId="0" fontId="31" fillId="2" borderId="0" applyNumberFormat="0" applyBorder="0" applyAlignment="0" applyProtection="0"/>
    <xf numFmtId="0" fontId="31" fillId="2" borderId="0" applyNumberFormat="0" applyBorder="0" applyAlignment="0" applyProtection="0"/>
    <xf numFmtId="0" fontId="31" fillId="2" borderId="0" applyNumberFormat="0" applyBorder="0" applyAlignment="0" applyProtection="0"/>
    <xf numFmtId="0" fontId="31" fillId="2" borderId="0" applyNumberFormat="0" applyBorder="0" applyAlignment="0" applyProtection="0"/>
    <xf numFmtId="0" fontId="31" fillId="2" borderId="0" applyNumberFormat="0" applyBorder="0" applyAlignment="0" applyProtection="0"/>
    <xf numFmtId="0" fontId="31" fillId="3" borderId="0" applyNumberFormat="0" applyBorder="0" applyAlignment="0" applyProtection="0"/>
    <xf numFmtId="0" fontId="31" fillId="3" borderId="0" applyNumberFormat="0" applyBorder="0" applyAlignment="0" applyProtection="0"/>
    <xf numFmtId="0" fontId="31" fillId="3" borderId="0" applyNumberFormat="0" applyBorder="0" applyAlignment="0" applyProtection="0"/>
    <xf numFmtId="0" fontId="31" fillId="3" borderId="0" applyNumberFormat="0" applyBorder="0" applyAlignment="0" applyProtection="0"/>
    <xf numFmtId="0" fontId="31" fillId="3" borderId="0" applyNumberFormat="0" applyBorder="0" applyAlignment="0" applyProtection="0"/>
    <xf numFmtId="0" fontId="31" fillId="3" borderId="0" applyNumberFormat="0" applyBorder="0" applyAlignment="0" applyProtection="0"/>
    <xf numFmtId="0" fontId="31" fillId="3" borderId="0" applyNumberFormat="0" applyBorder="0" applyAlignment="0" applyProtection="0"/>
    <xf numFmtId="0" fontId="31" fillId="3" borderId="0" applyNumberFormat="0" applyBorder="0" applyAlignment="0" applyProtection="0"/>
    <xf numFmtId="0" fontId="31" fillId="4" borderId="0" applyNumberFormat="0" applyBorder="0" applyAlignment="0" applyProtection="0"/>
    <xf numFmtId="0" fontId="31" fillId="4" borderId="0" applyNumberFormat="0" applyBorder="0" applyAlignment="0" applyProtection="0"/>
    <xf numFmtId="0" fontId="31" fillId="4" borderId="0" applyNumberFormat="0" applyBorder="0" applyAlignment="0" applyProtection="0"/>
    <xf numFmtId="0" fontId="31" fillId="4" borderId="0" applyNumberFormat="0" applyBorder="0" applyAlignment="0" applyProtection="0"/>
    <xf numFmtId="0" fontId="31" fillId="4" borderId="0" applyNumberFormat="0" applyBorder="0" applyAlignment="0" applyProtection="0"/>
    <xf numFmtId="0" fontId="31" fillId="4" borderId="0" applyNumberFormat="0" applyBorder="0" applyAlignment="0" applyProtection="0"/>
    <xf numFmtId="0" fontId="31" fillId="4" borderId="0" applyNumberFormat="0" applyBorder="0" applyAlignment="0" applyProtection="0"/>
    <xf numFmtId="0" fontId="31" fillId="4"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31" fillId="6" borderId="0" applyNumberFormat="0" applyBorder="0" applyAlignment="0" applyProtection="0"/>
    <xf numFmtId="0" fontId="31" fillId="6" borderId="0" applyNumberFormat="0" applyBorder="0" applyAlignment="0" applyProtection="0"/>
    <xf numFmtId="0" fontId="31" fillId="6" borderId="0" applyNumberFormat="0" applyBorder="0" applyAlignment="0" applyProtection="0"/>
    <xf numFmtId="0" fontId="31" fillId="6" borderId="0" applyNumberFormat="0" applyBorder="0" applyAlignment="0" applyProtection="0"/>
    <xf numFmtId="0" fontId="31" fillId="6" borderId="0" applyNumberFormat="0" applyBorder="0" applyAlignment="0" applyProtection="0"/>
    <xf numFmtId="0" fontId="31" fillId="6" borderId="0" applyNumberFormat="0" applyBorder="0" applyAlignment="0" applyProtection="0"/>
    <xf numFmtId="0" fontId="31" fillId="6" borderId="0" applyNumberFormat="0" applyBorder="0" applyAlignment="0" applyProtection="0"/>
    <xf numFmtId="0" fontId="31" fillId="6"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7" borderId="0" applyNumberFormat="0" applyBorder="0" applyAlignment="0" applyProtection="0"/>
    <xf numFmtId="0" fontId="31" fillId="8" borderId="0" applyNumberFormat="0" applyBorder="0" applyAlignment="0" applyProtection="0"/>
    <xf numFmtId="0" fontId="31" fillId="8" borderId="0" applyNumberFormat="0" applyBorder="0" applyAlignment="0" applyProtection="0"/>
    <xf numFmtId="0" fontId="31" fillId="8" borderId="0" applyNumberFormat="0" applyBorder="0" applyAlignment="0" applyProtection="0"/>
    <xf numFmtId="0" fontId="31" fillId="8" borderId="0" applyNumberFormat="0" applyBorder="0" applyAlignment="0" applyProtection="0"/>
    <xf numFmtId="0" fontId="31" fillId="8" borderId="0" applyNumberFormat="0" applyBorder="0" applyAlignment="0" applyProtection="0"/>
    <xf numFmtId="0" fontId="31" fillId="8" borderId="0" applyNumberFormat="0" applyBorder="0" applyAlignment="0" applyProtection="0"/>
    <xf numFmtId="0" fontId="31" fillId="8" borderId="0" applyNumberFormat="0" applyBorder="0" applyAlignment="0" applyProtection="0"/>
    <xf numFmtId="0" fontId="31" fillId="8" borderId="0" applyNumberFormat="0" applyBorder="0" applyAlignment="0" applyProtection="0"/>
    <xf numFmtId="0" fontId="31" fillId="9" borderId="0" applyNumberFormat="0" applyBorder="0" applyAlignment="0" applyProtection="0"/>
    <xf numFmtId="0" fontId="31" fillId="9" borderId="0" applyNumberFormat="0" applyBorder="0" applyAlignment="0" applyProtection="0"/>
    <xf numFmtId="0" fontId="31" fillId="9" borderId="0" applyNumberFormat="0" applyBorder="0" applyAlignment="0" applyProtection="0"/>
    <xf numFmtId="0" fontId="31" fillId="9" borderId="0" applyNumberFormat="0" applyBorder="0" applyAlignment="0" applyProtection="0"/>
    <xf numFmtId="0" fontId="31" fillId="9" borderId="0" applyNumberFormat="0" applyBorder="0" applyAlignment="0" applyProtection="0"/>
    <xf numFmtId="0" fontId="31" fillId="9" borderId="0" applyNumberFormat="0" applyBorder="0" applyAlignment="0" applyProtection="0"/>
    <xf numFmtId="0" fontId="31" fillId="9" borderId="0" applyNumberFormat="0" applyBorder="0" applyAlignment="0" applyProtection="0"/>
    <xf numFmtId="0" fontId="31" fillId="9" borderId="0" applyNumberFormat="0" applyBorder="0" applyAlignment="0" applyProtection="0"/>
    <xf numFmtId="0" fontId="31" fillId="10" borderId="0" applyNumberFormat="0" applyBorder="0" applyAlignment="0" applyProtection="0"/>
    <xf numFmtId="0" fontId="31" fillId="10" borderId="0" applyNumberFormat="0" applyBorder="0" applyAlignment="0" applyProtection="0"/>
    <xf numFmtId="0" fontId="31" fillId="10" borderId="0" applyNumberFormat="0" applyBorder="0" applyAlignment="0" applyProtection="0"/>
    <xf numFmtId="0" fontId="31" fillId="10" borderId="0" applyNumberFormat="0" applyBorder="0" applyAlignment="0" applyProtection="0"/>
    <xf numFmtId="0" fontId="31" fillId="10" borderId="0" applyNumberFormat="0" applyBorder="0" applyAlignment="0" applyProtection="0"/>
    <xf numFmtId="0" fontId="31" fillId="10" borderId="0" applyNumberFormat="0" applyBorder="0" applyAlignment="0" applyProtection="0"/>
    <xf numFmtId="0" fontId="31" fillId="10" borderId="0" applyNumberFormat="0" applyBorder="0" applyAlignment="0" applyProtection="0"/>
    <xf numFmtId="0" fontId="31" fillId="10" borderId="0" applyNumberFormat="0" applyBorder="0" applyAlignment="0" applyProtection="0"/>
    <xf numFmtId="0" fontId="31" fillId="11" borderId="0" applyNumberFormat="0" applyBorder="0" applyAlignment="0" applyProtection="0"/>
    <xf numFmtId="0" fontId="31" fillId="11" borderId="0" applyNumberFormat="0" applyBorder="0" applyAlignment="0" applyProtection="0"/>
    <xf numFmtId="0" fontId="31" fillId="11" borderId="0" applyNumberFormat="0" applyBorder="0" applyAlignment="0" applyProtection="0"/>
    <xf numFmtId="0" fontId="31" fillId="11" borderId="0" applyNumberFormat="0" applyBorder="0" applyAlignment="0" applyProtection="0"/>
    <xf numFmtId="0" fontId="31" fillId="11" borderId="0" applyNumberFormat="0" applyBorder="0" applyAlignment="0" applyProtection="0"/>
    <xf numFmtId="0" fontId="31" fillId="11" borderId="0" applyNumberFormat="0" applyBorder="0" applyAlignment="0" applyProtection="0"/>
    <xf numFmtId="0" fontId="31" fillId="11" borderId="0" applyNumberFormat="0" applyBorder="0" applyAlignment="0" applyProtection="0"/>
    <xf numFmtId="0" fontId="31" fillId="11" borderId="0" applyNumberFormat="0" applyBorder="0" applyAlignment="0" applyProtection="0"/>
    <xf numFmtId="0" fontId="31" fillId="12" borderId="0" applyNumberFormat="0" applyBorder="0" applyAlignment="0" applyProtection="0"/>
    <xf numFmtId="0" fontId="31" fillId="12" borderId="0" applyNumberFormat="0" applyBorder="0" applyAlignment="0" applyProtection="0"/>
    <xf numFmtId="0" fontId="31" fillId="12" borderId="0" applyNumberFormat="0" applyBorder="0" applyAlignment="0" applyProtection="0"/>
    <xf numFmtId="0" fontId="31" fillId="12" borderId="0" applyNumberFormat="0" applyBorder="0" applyAlignment="0" applyProtection="0"/>
    <xf numFmtId="0" fontId="31" fillId="12" borderId="0" applyNumberFormat="0" applyBorder="0" applyAlignment="0" applyProtection="0"/>
    <xf numFmtId="0" fontId="31" fillId="12" borderId="0" applyNumberFormat="0" applyBorder="0" applyAlignment="0" applyProtection="0"/>
    <xf numFmtId="0" fontId="31" fillId="12" borderId="0" applyNumberFormat="0" applyBorder="0" applyAlignment="0" applyProtection="0"/>
    <xf numFmtId="0" fontId="31" fillId="12" borderId="0" applyNumberFormat="0" applyBorder="0" applyAlignment="0" applyProtection="0"/>
    <xf numFmtId="0" fontId="31" fillId="13" borderId="0" applyNumberFormat="0" applyBorder="0" applyAlignment="0" applyProtection="0"/>
    <xf numFmtId="0" fontId="31" fillId="13" borderId="0" applyNumberFormat="0" applyBorder="0" applyAlignment="0" applyProtection="0"/>
    <xf numFmtId="0" fontId="31" fillId="13" borderId="0" applyNumberFormat="0" applyBorder="0" applyAlignment="0" applyProtection="0"/>
    <xf numFmtId="0" fontId="31" fillId="13" borderId="0" applyNumberFormat="0" applyBorder="0" applyAlignment="0" applyProtection="0"/>
    <xf numFmtId="0" fontId="31" fillId="13" borderId="0" applyNumberFormat="0" applyBorder="0" applyAlignment="0" applyProtection="0"/>
    <xf numFmtId="0" fontId="31" fillId="13" borderId="0" applyNumberFormat="0" applyBorder="0" applyAlignment="0" applyProtection="0"/>
    <xf numFmtId="0" fontId="31" fillId="13" borderId="0" applyNumberFormat="0" applyBorder="0" applyAlignment="0" applyProtection="0"/>
    <xf numFmtId="0" fontId="31" fillId="13"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15" borderId="0" applyNumberFormat="0" applyBorder="0" applyAlignment="0" applyProtection="0"/>
    <xf numFmtId="0" fontId="32" fillId="15" borderId="0" applyNumberFormat="0" applyBorder="0" applyAlignment="0" applyProtection="0"/>
    <xf numFmtId="0" fontId="32" fillId="15" borderId="0" applyNumberFormat="0" applyBorder="0" applyAlignment="0" applyProtection="0"/>
    <xf numFmtId="0" fontId="32" fillId="15" borderId="0" applyNumberFormat="0" applyBorder="0" applyAlignment="0" applyProtection="0"/>
    <xf numFmtId="0" fontId="32" fillId="15" borderId="0" applyNumberFormat="0" applyBorder="0" applyAlignment="0" applyProtection="0"/>
    <xf numFmtId="0" fontId="32" fillId="15" borderId="0" applyNumberFormat="0" applyBorder="0" applyAlignment="0" applyProtection="0"/>
    <xf numFmtId="0" fontId="32" fillId="15" borderId="0" applyNumberFormat="0" applyBorder="0" applyAlignment="0" applyProtection="0"/>
    <xf numFmtId="0" fontId="32" fillId="16" borderId="0" applyNumberFormat="0" applyBorder="0" applyAlignment="0" applyProtection="0"/>
    <xf numFmtId="0" fontId="32" fillId="16" borderId="0" applyNumberFormat="0" applyBorder="0" applyAlignment="0" applyProtection="0"/>
    <xf numFmtId="0" fontId="32" fillId="16" borderId="0" applyNumberFormat="0" applyBorder="0" applyAlignment="0" applyProtection="0"/>
    <xf numFmtId="0" fontId="32" fillId="16" borderId="0" applyNumberFormat="0" applyBorder="0" applyAlignment="0" applyProtection="0"/>
    <xf numFmtId="0" fontId="32" fillId="16" borderId="0" applyNumberFormat="0" applyBorder="0" applyAlignment="0" applyProtection="0"/>
    <xf numFmtId="0" fontId="32" fillId="16" borderId="0" applyNumberFormat="0" applyBorder="0" applyAlignment="0" applyProtection="0"/>
    <xf numFmtId="0" fontId="32" fillId="16" borderId="0" applyNumberFormat="0" applyBorder="0" applyAlignment="0" applyProtection="0"/>
    <xf numFmtId="0" fontId="32" fillId="16" borderId="0" applyNumberFormat="0" applyBorder="0" applyAlignment="0" applyProtection="0"/>
    <xf numFmtId="0" fontId="32" fillId="17" borderId="0" applyNumberFormat="0" applyBorder="0" applyAlignment="0" applyProtection="0"/>
    <xf numFmtId="0" fontId="32" fillId="17" borderId="0" applyNumberFormat="0" applyBorder="0" applyAlignment="0" applyProtection="0"/>
    <xf numFmtId="0" fontId="32" fillId="17" borderId="0" applyNumberFormat="0" applyBorder="0" applyAlignment="0" applyProtection="0"/>
    <xf numFmtId="0" fontId="32" fillId="17" borderId="0" applyNumberFormat="0" applyBorder="0" applyAlignment="0" applyProtection="0"/>
    <xf numFmtId="0" fontId="32" fillId="17" borderId="0" applyNumberFormat="0" applyBorder="0" applyAlignment="0" applyProtection="0"/>
    <xf numFmtId="0" fontId="32" fillId="17" borderId="0" applyNumberFormat="0" applyBorder="0" applyAlignment="0" applyProtection="0"/>
    <xf numFmtId="0" fontId="32" fillId="17" borderId="0" applyNumberFormat="0" applyBorder="0" applyAlignment="0" applyProtection="0"/>
    <xf numFmtId="0" fontId="32" fillId="17" borderId="0" applyNumberFormat="0" applyBorder="0" applyAlignment="0" applyProtection="0"/>
    <xf numFmtId="0" fontId="32" fillId="18" borderId="0" applyNumberFormat="0" applyBorder="0" applyAlignment="0" applyProtection="0"/>
    <xf numFmtId="0" fontId="32" fillId="18" borderId="0" applyNumberFormat="0" applyBorder="0" applyAlignment="0" applyProtection="0"/>
    <xf numFmtId="0" fontId="32" fillId="18" borderId="0" applyNumberFormat="0" applyBorder="0" applyAlignment="0" applyProtection="0"/>
    <xf numFmtId="0" fontId="32" fillId="18" borderId="0" applyNumberFormat="0" applyBorder="0" applyAlignment="0" applyProtection="0"/>
    <xf numFmtId="0" fontId="32" fillId="18" borderId="0" applyNumberFormat="0" applyBorder="0" applyAlignment="0" applyProtection="0"/>
    <xf numFmtId="0" fontId="32" fillId="18" borderId="0" applyNumberFormat="0" applyBorder="0" applyAlignment="0" applyProtection="0"/>
    <xf numFmtId="0" fontId="32" fillId="18"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19" borderId="0" applyNumberFormat="0" applyBorder="0" applyAlignment="0" applyProtection="0"/>
    <xf numFmtId="0" fontId="32" fillId="19" borderId="0" applyNumberFormat="0" applyBorder="0" applyAlignment="0" applyProtection="0"/>
    <xf numFmtId="0" fontId="32" fillId="19" borderId="0" applyNumberFormat="0" applyBorder="0" applyAlignment="0" applyProtection="0"/>
    <xf numFmtId="0" fontId="32" fillId="19" borderId="0" applyNumberFormat="0" applyBorder="0" applyAlignment="0" applyProtection="0"/>
    <xf numFmtId="0" fontId="32" fillId="19" borderId="0" applyNumberFormat="0" applyBorder="0" applyAlignment="0" applyProtection="0"/>
    <xf numFmtId="0" fontId="32" fillId="19" borderId="0" applyNumberFormat="0" applyBorder="0" applyAlignment="0" applyProtection="0"/>
    <xf numFmtId="0" fontId="32" fillId="19" borderId="0" applyNumberFormat="0" applyBorder="0" applyAlignment="0" applyProtection="0"/>
    <xf numFmtId="0" fontId="32" fillId="20" borderId="0" applyNumberFormat="0" applyBorder="0" applyAlignment="0" applyProtection="0"/>
    <xf numFmtId="0" fontId="32" fillId="20" borderId="0" applyNumberFormat="0" applyBorder="0" applyAlignment="0" applyProtection="0"/>
    <xf numFmtId="0" fontId="32" fillId="20" borderId="0" applyNumberFormat="0" applyBorder="0" applyAlignment="0" applyProtection="0"/>
    <xf numFmtId="0" fontId="32" fillId="20" borderId="0" applyNumberFormat="0" applyBorder="0" applyAlignment="0" applyProtection="0"/>
    <xf numFmtId="0" fontId="32" fillId="20" borderId="0" applyNumberFormat="0" applyBorder="0" applyAlignment="0" applyProtection="0"/>
    <xf numFmtId="0" fontId="32" fillId="20" borderId="0" applyNumberFormat="0" applyBorder="0" applyAlignment="0" applyProtection="0"/>
    <xf numFmtId="0" fontId="32" fillId="20" borderId="0" applyNumberFormat="0" applyBorder="0" applyAlignment="0" applyProtection="0"/>
    <xf numFmtId="0" fontId="32" fillId="20" borderId="0" applyNumberFormat="0" applyBorder="0" applyAlignment="0" applyProtection="0"/>
    <xf numFmtId="0" fontId="32" fillId="21" borderId="0" applyNumberFormat="0" applyBorder="0" applyAlignment="0" applyProtection="0"/>
    <xf numFmtId="0" fontId="32" fillId="21" borderId="0" applyNumberFormat="0" applyBorder="0" applyAlignment="0" applyProtection="0"/>
    <xf numFmtId="0" fontId="32" fillId="21" borderId="0" applyNumberFormat="0" applyBorder="0" applyAlignment="0" applyProtection="0"/>
    <xf numFmtId="0" fontId="32" fillId="21" borderId="0" applyNumberFormat="0" applyBorder="0" applyAlignment="0" applyProtection="0"/>
    <xf numFmtId="0" fontId="32" fillId="21" borderId="0" applyNumberFormat="0" applyBorder="0" applyAlignment="0" applyProtection="0"/>
    <xf numFmtId="0" fontId="32" fillId="21" borderId="0" applyNumberFormat="0" applyBorder="0" applyAlignment="0" applyProtection="0"/>
    <xf numFmtId="0" fontId="32" fillId="21" borderId="0" applyNumberFormat="0" applyBorder="0" applyAlignment="0" applyProtection="0"/>
    <xf numFmtId="0" fontId="32" fillId="21" borderId="0" applyNumberFormat="0" applyBorder="0" applyAlignment="0" applyProtection="0"/>
    <xf numFmtId="0" fontId="32" fillId="22" borderId="0" applyNumberFormat="0" applyBorder="0" applyAlignment="0" applyProtection="0"/>
    <xf numFmtId="0" fontId="32" fillId="22" borderId="0" applyNumberFormat="0" applyBorder="0" applyAlignment="0" applyProtection="0"/>
    <xf numFmtId="0" fontId="32" fillId="22" borderId="0" applyNumberFormat="0" applyBorder="0" applyAlignment="0" applyProtection="0"/>
    <xf numFmtId="0" fontId="32" fillId="22" borderId="0" applyNumberFormat="0" applyBorder="0" applyAlignment="0" applyProtection="0"/>
    <xf numFmtId="0" fontId="32" fillId="22" borderId="0" applyNumberFormat="0" applyBorder="0" applyAlignment="0" applyProtection="0"/>
    <xf numFmtId="0" fontId="32" fillId="22" borderId="0" applyNumberFormat="0" applyBorder="0" applyAlignment="0" applyProtection="0"/>
    <xf numFmtId="0" fontId="32" fillId="22" borderId="0" applyNumberFormat="0" applyBorder="0" applyAlignment="0" applyProtection="0"/>
    <xf numFmtId="0" fontId="32" fillId="22" borderId="0" applyNumberFormat="0" applyBorder="0" applyAlignment="0" applyProtection="0"/>
    <xf numFmtId="0" fontId="32" fillId="23" borderId="0" applyNumberFormat="0" applyBorder="0" applyAlignment="0" applyProtection="0"/>
    <xf numFmtId="0" fontId="32" fillId="23" borderId="0" applyNumberFormat="0" applyBorder="0" applyAlignment="0" applyProtection="0"/>
    <xf numFmtId="0" fontId="32" fillId="23" borderId="0" applyNumberFormat="0" applyBorder="0" applyAlignment="0" applyProtection="0"/>
    <xf numFmtId="0" fontId="32" fillId="23" borderId="0" applyNumberFormat="0" applyBorder="0" applyAlignment="0" applyProtection="0"/>
    <xf numFmtId="0" fontId="32" fillId="23" borderId="0" applyNumberFormat="0" applyBorder="0" applyAlignment="0" applyProtection="0"/>
    <xf numFmtId="0" fontId="32" fillId="23" borderId="0" applyNumberFormat="0" applyBorder="0" applyAlignment="0" applyProtection="0"/>
    <xf numFmtId="0" fontId="32" fillId="23" borderId="0" applyNumberFormat="0" applyBorder="0" applyAlignment="0" applyProtection="0"/>
    <xf numFmtId="0" fontId="32" fillId="23" borderId="0" applyNumberFormat="0" applyBorder="0" applyAlignment="0" applyProtection="0"/>
    <xf numFmtId="0" fontId="32" fillId="24" borderId="0" applyNumberFormat="0" applyBorder="0" applyAlignment="0" applyProtection="0"/>
    <xf numFmtId="0" fontId="32" fillId="24" borderId="0" applyNumberFormat="0" applyBorder="0" applyAlignment="0" applyProtection="0"/>
    <xf numFmtId="0" fontId="32" fillId="24" borderId="0" applyNumberFormat="0" applyBorder="0" applyAlignment="0" applyProtection="0"/>
    <xf numFmtId="0" fontId="32" fillId="24" borderId="0" applyNumberFormat="0" applyBorder="0" applyAlignment="0" applyProtection="0"/>
    <xf numFmtId="0" fontId="32" fillId="24" borderId="0" applyNumberFormat="0" applyBorder="0" applyAlignment="0" applyProtection="0"/>
    <xf numFmtId="0" fontId="32" fillId="24" borderId="0" applyNumberFormat="0" applyBorder="0" applyAlignment="0" applyProtection="0"/>
    <xf numFmtId="0" fontId="32" fillId="24" borderId="0" applyNumberFormat="0" applyBorder="0" applyAlignment="0" applyProtection="0"/>
    <xf numFmtId="0" fontId="32" fillId="24"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2" fillId="25" borderId="0" applyNumberFormat="0" applyBorder="0" applyAlignment="0" applyProtection="0"/>
    <xf numFmtId="0" fontId="33" fillId="26" borderId="0" applyNumberFormat="0" applyBorder="0" applyAlignment="0" applyProtection="0"/>
    <xf numFmtId="0" fontId="33" fillId="26" borderId="0" applyNumberFormat="0" applyBorder="0" applyAlignment="0" applyProtection="0"/>
    <xf numFmtId="0" fontId="33" fillId="26" borderId="0" applyNumberFormat="0" applyBorder="0" applyAlignment="0" applyProtection="0"/>
    <xf numFmtId="0" fontId="33" fillId="26" borderId="0" applyNumberFormat="0" applyBorder="0" applyAlignment="0" applyProtection="0"/>
    <xf numFmtId="0" fontId="33" fillId="26" borderId="0" applyNumberFormat="0" applyBorder="0" applyAlignment="0" applyProtection="0"/>
    <xf numFmtId="0" fontId="33" fillId="26" borderId="0" applyNumberFormat="0" applyBorder="0" applyAlignment="0" applyProtection="0"/>
    <xf numFmtId="0" fontId="33" fillId="26" borderId="0" applyNumberFormat="0" applyBorder="0" applyAlignment="0" applyProtection="0"/>
    <xf numFmtId="0" fontId="33" fillId="26" borderId="0" applyNumberFormat="0" applyBorder="0" applyAlignment="0" applyProtection="0"/>
    <xf numFmtId="0" fontId="34" fillId="27" borderId="1" applyNumberFormat="0" applyAlignment="0" applyProtection="0"/>
    <xf numFmtId="0" fontId="34" fillId="27" borderId="1" applyNumberFormat="0" applyAlignment="0" applyProtection="0"/>
    <xf numFmtId="0" fontId="34" fillId="27" borderId="1" applyNumberFormat="0" applyAlignment="0" applyProtection="0"/>
    <xf numFmtId="0" fontId="34" fillId="27" borderId="1" applyNumberFormat="0" applyAlignment="0" applyProtection="0"/>
    <xf numFmtId="0" fontId="34" fillId="27" borderId="1" applyNumberFormat="0" applyAlignment="0" applyProtection="0"/>
    <xf numFmtId="0" fontId="34" fillId="27" borderId="1" applyNumberFormat="0" applyAlignment="0" applyProtection="0"/>
    <xf numFmtId="0" fontId="34" fillId="27" borderId="1" applyNumberFormat="0" applyAlignment="0" applyProtection="0"/>
    <xf numFmtId="0" fontId="34" fillId="27" borderId="1" applyNumberFormat="0" applyAlignment="0" applyProtection="0"/>
    <xf numFmtId="0" fontId="35" fillId="28" borderId="2" applyNumberFormat="0" applyAlignment="0" applyProtection="0"/>
    <xf numFmtId="0" fontId="35" fillId="28" borderId="2" applyNumberFormat="0" applyAlignment="0" applyProtection="0"/>
    <xf numFmtId="0" fontId="35" fillId="28" borderId="2" applyNumberFormat="0" applyAlignment="0" applyProtection="0"/>
    <xf numFmtId="0" fontId="35" fillId="28" borderId="2" applyNumberFormat="0" applyAlignment="0" applyProtection="0"/>
    <xf numFmtId="0" fontId="35" fillId="28" borderId="2" applyNumberFormat="0" applyAlignment="0" applyProtection="0"/>
    <xf numFmtId="0" fontId="35" fillId="28" borderId="2" applyNumberFormat="0" applyAlignment="0" applyProtection="0"/>
    <xf numFmtId="0" fontId="35" fillId="28" borderId="2" applyNumberFormat="0" applyAlignment="0" applyProtection="0"/>
    <xf numFmtId="0" fontId="35" fillId="28" borderId="2" applyNumberFormat="0" applyAlignment="0" applyProtection="0"/>
    <xf numFmtId="177" fontId="25" fillId="0" borderId="0" applyFont="0" applyFill="0" applyBorder="0" applyAlignment="0" applyProtection="0"/>
    <xf numFmtId="177" fontId="24" fillId="0" borderId="0" applyFont="0" applyFill="0" applyBorder="0" applyAlignment="0" applyProtection="0"/>
    <xf numFmtId="177" fontId="25" fillId="0" borderId="0" applyFont="0" applyFill="0" applyBorder="0" applyAlignment="0" applyProtection="0"/>
    <xf numFmtId="177" fontId="31" fillId="0" borderId="0" applyFont="0" applyFill="0" applyBorder="0" applyAlignment="0" applyProtection="0"/>
    <xf numFmtId="177" fontId="31"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7" fontId="24" fillId="0" borderId="0" applyFont="0" applyFill="0" applyBorder="0" applyAlignment="0" applyProtection="0"/>
    <xf numFmtId="177" fontId="25" fillId="0" borderId="0" applyFont="0" applyFill="0" applyBorder="0" applyAlignment="0" applyProtection="0"/>
    <xf numFmtId="177" fontId="31" fillId="0" borderId="0" applyFont="0" applyFill="0" applyBorder="0" applyAlignment="0" applyProtection="0"/>
    <xf numFmtId="177" fontId="31" fillId="0" borderId="0" applyFont="0" applyFill="0" applyBorder="0" applyAlignment="0" applyProtection="0"/>
    <xf numFmtId="177" fontId="25" fillId="0" borderId="0" applyFont="0" applyFill="0" applyBorder="0" applyAlignment="0" applyProtection="0"/>
    <xf numFmtId="177" fontId="24" fillId="0" borderId="0" applyFont="0" applyFill="0" applyBorder="0" applyAlignment="0" applyProtection="0"/>
    <xf numFmtId="177" fontId="25" fillId="0" borderId="0" applyFont="0" applyFill="0" applyBorder="0" applyAlignment="0" applyProtection="0"/>
    <xf numFmtId="177" fontId="31" fillId="0" borderId="0" applyFont="0" applyFill="0" applyBorder="0" applyAlignment="0" applyProtection="0"/>
    <xf numFmtId="177" fontId="31" fillId="0" borderId="0" applyFont="0" applyFill="0" applyBorder="0" applyAlignment="0" applyProtection="0"/>
    <xf numFmtId="177" fontId="24" fillId="0" borderId="0" applyFont="0" applyFill="0" applyBorder="0" applyAlignment="0" applyProtection="0"/>
    <xf numFmtId="177" fontId="25" fillId="0" borderId="0" applyFont="0" applyFill="0" applyBorder="0" applyAlignment="0" applyProtection="0"/>
    <xf numFmtId="177" fontId="31" fillId="0" borderId="0" applyFont="0" applyFill="0" applyBorder="0" applyAlignment="0" applyProtection="0"/>
    <xf numFmtId="177" fontId="31" fillId="0" borderId="0" applyFont="0" applyFill="0" applyBorder="0" applyAlignment="0" applyProtection="0"/>
    <xf numFmtId="177" fontId="25" fillId="0" borderId="0" applyFont="0" applyFill="0" applyBorder="0" applyAlignment="0" applyProtection="0"/>
    <xf numFmtId="177" fontId="24" fillId="0" borderId="0" applyFont="0" applyFill="0" applyBorder="0" applyAlignment="0" applyProtection="0"/>
    <xf numFmtId="177" fontId="25" fillId="0" borderId="0" applyFont="0" applyFill="0" applyBorder="0" applyAlignment="0" applyProtection="0"/>
    <xf numFmtId="177" fontId="31" fillId="0" borderId="0" applyFont="0" applyFill="0" applyBorder="0" applyAlignment="0" applyProtection="0"/>
    <xf numFmtId="177" fontId="31" fillId="0" borderId="0" applyFont="0" applyFill="0" applyBorder="0" applyAlignment="0" applyProtection="0"/>
    <xf numFmtId="177" fontId="24" fillId="0" borderId="0" applyFont="0" applyFill="0" applyBorder="0" applyAlignment="0" applyProtection="0"/>
    <xf numFmtId="177" fontId="23" fillId="0" borderId="0" applyFon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7" fillId="29" borderId="0" applyNumberFormat="0" applyBorder="0" applyAlignment="0" applyProtection="0"/>
    <xf numFmtId="0" fontId="37" fillId="29" borderId="0" applyNumberFormat="0" applyBorder="0" applyAlignment="0" applyProtection="0"/>
    <xf numFmtId="0" fontId="37" fillId="29" borderId="0" applyNumberFormat="0" applyBorder="0" applyAlignment="0" applyProtection="0"/>
    <xf numFmtId="0" fontId="37" fillId="29" borderId="0" applyNumberFormat="0" applyBorder="0" applyAlignment="0" applyProtection="0"/>
    <xf numFmtId="0" fontId="37" fillId="29" borderId="0" applyNumberFormat="0" applyBorder="0" applyAlignment="0" applyProtection="0"/>
    <xf numFmtId="0" fontId="37" fillId="29" borderId="0" applyNumberFormat="0" applyBorder="0" applyAlignment="0" applyProtection="0"/>
    <xf numFmtId="0" fontId="37" fillId="29" borderId="0" applyNumberFormat="0" applyBorder="0" applyAlignment="0" applyProtection="0"/>
    <xf numFmtId="0" fontId="37" fillId="29" borderId="0" applyNumberFormat="0" applyBorder="0" applyAlignment="0" applyProtection="0"/>
    <xf numFmtId="0" fontId="38" fillId="0" borderId="3" applyNumberFormat="0" applyFill="0" applyAlignment="0" applyProtection="0"/>
    <xf numFmtId="0" fontId="38" fillId="0" borderId="3" applyNumberFormat="0" applyFill="0" applyAlignment="0" applyProtection="0"/>
    <xf numFmtId="0" fontId="38" fillId="0" borderId="3" applyNumberFormat="0" applyFill="0" applyAlignment="0" applyProtection="0"/>
    <xf numFmtId="0" fontId="38" fillId="0" borderId="3" applyNumberFormat="0" applyFill="0" applyAlignment="0" applyProtection="0"/>
    <xf numFmtId="0" fontId="38" fillId="0" borderId="3" applyNumberFormat="0" applyFill="0" applyAlignment="0" applyProtection="0"/>
    <xf numFmtId="0" fontId="38" fillId="0" borderId="3" applyNumberFormat="0" applyFill="0" applyAlignment="0" applyProtection="0"/>
    <xf numFmtId="0" fontId="38" fillId="0" borderId="3" applyNumberFormat="0" applyFill="0" applyAlignment="0" applyProtection="0"/>
    <xf numFmtId="0" fontId="38" fillId="0" borderId="3"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1" fillId="0" borderId="0" applyNumberFormat="0" applyFill="0" applyBorder="0" applyAlignment="0" applyProtection="0">
      <alignment vertical="top"/>
      <protection locked="0"/>
    </xf>
    <xf numFmtId="0" fontId="42" fillId="30" borderId="1" applyNumberFormat="0" applyAlignment="0" applyProtection="0"/>
    <xf numFmtId="0" fontId="42" fillId="30" borderId="1" applyNumberFormat="0" applyAlignment="0" applyProtection="0"/>
    <xf numFmtId="0" fontId="42" fillId="30" borderId="1" applyNumberFormat="0" applyAlignment="0" applyProtection="0"/>
    <xf numFmtId="0" fontId="42" fillId="30" borderId="1" applyNumberFormat="0" applyAlignment="0" applyProtection="0"/>
    <xf numFmtId="0" fontId="42" fillId="30" borderId="1" applyNumberFormat="0" applyAlignment="0" applyProtection="0"/>
    <xf numFmtId="0" fontId="42" fillId="30" borderId="1" applyNumberFormat="0" applyAlignment="0" applyProtection="0"/>
    <xf numFmtId="0" fontId="42" fillId="30" borderId="1" applyNumberFormat="0" applyAlignment="0" applyProtection="0"/>
    <xf numFmtId="0" fontId="42" fillId="30" borderId="1" applyNumberFormat="0" applyAlignment="0" applyProtection="0"/>
    <xf numFmtId="0" fontId="43" fillId="0" borderId="6" applyNumberFormat="0" applyFill="0" applyAlignment="0" applyProtection="0"/>
    <xf numFmtId="0" fontId="43" fillId="0" borderId="6" applyNumberFormat="0" applyFill="0" applyAlignment="0" applyProtection="0"/>
    <xf numFmtId="0" fontId="43" fillId="0" borderId="6" applyNumberFormat="0" applyFill="0" applyAlignment="0" applyProtection="0"/>
    <xf numFmtId="0" fontId="43" fillId="0" borderId="6" applyNumberFormat="0" applyFill="0" applyAlignment="0" applyProtection="0"/>
    <xf numFmtId="0" fontId="43" fillId="0" borderId="6" applyNumberFormat="0" applyFill="0" applyAlignment="0" applyProtection="0"/>
    <xf numFmtId="0" fontId="43" fillId="0" borderId="6" applyNumberFormat="0" applyFill="0" applyAlignment="0" applyProtection="0"/>
    <xf numFmtId="0" fontId="43" fillId="0" borderId="6" applyNumberFormat="0" applyFill="0" applyAlignment="0" applyProtection="0"/>
    <xf numFmtId="0" fontId="43" fillId="0" borderId="6" applyNumberFormat="0" applyFill="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44" fillId="31" borderId="0" applyNumberFormat="0" applyBorder="0" applyAlignment="0" applyProtection="0"/>
    <xf numFmtId="0" fontId="31" fillId="0" borderId="0"/>
    <xf numFmtId="0" fontId="23" fillId="0" borderId="0"/>
    <xf numFmtId="0" fontId="23" fillId="0" borderId="0"/>
    <xf numFmtId="0" fontId="31" fillId="0" borderId="0">
      <alignment vertical="center"/>
    </xf>
    <xf numFmtId="0" fontId="23" fillId="0" borderId="0"/>
    <xf numFmtId="0" fontId="23" fillId="0" borderId="0"/>
    <xf numFmtId="0" fontId="31" fillId="0" borderId="0">
      <alignment vertical="center"/>
    </xf>
    <xf numFmtId="0" fontId="31" fillId="0" borderId="0"/>
    <xf numFmtId="0" fontId="25" fillId="32" borderId="7" applyNumberFormat="0" applyFont="0" applyAlignment="0" applyProtection="0"/>
    <xf numFmtId="0" fontId="24" fillId="32" borderId="7" applyNumberFormat="0" applyFont="0" applyAlignment="0" applyProtection="0"/>
    <xf numFmtId="0" fontId="25" fillId="32" borderId="7" applyNumberFormat="0" applyFont="0" applyAlignment="0" applyProtection="0"/>
    <xf numFmtId="0" fontId="31" fillId="32" borderId="7" applyNumberFormat="0" applyFont="0" applyAlignment="0" applyProtection="0"/>
    <xf numFmtId="0" fontId="31" fillId="32" borderId="7" applyNumberFormat="0" applyFont="0" applyAlignment="0" applyProtection="0"/>
    <xf numFmtId="0" fontId="25" fillId="32" borderId="7" applyNumberFormat="0" applyFont="0" applyAlignment="0" applyProtection="0"/>
    <xf numFmtId="0" fontId="24" fillId="32" borderId="7" applyNumberFormat="0" applyFont="0" applyAlignment="0" applyProtection="0"/>
    <xf numFmtId="0" fontId="25" fillId="32" borderId="7" applyNumberFormat="0" applyFont="0" applyAlignment="0" applyProtection="0"/>
    <xf numFmtId="0" fontId="31" fillId="32" borderId="7" applyNumberFormat="0" applyFont="0" applyAlignment="0" applyProtection="0"/>
    <xf numFmtId="0" fontId="31" fillId="32" borderId="7" applyNumberFormat="0" applyFont="0" applyAlignment="0" applyProtection="0"/>
    <xf numFmtId="0" fontId="25" fillId="32" borderId="7" applyNumberFormat="0" applyFont="0" applyAlignment="0" applyProtection="0"/>
    <xf numFmtId="0" fontId="24" fillId="32" borderId="7" applyNumberFormat="0" applyFont="0" applyAlignment="0" applyProtection="0"/>
    <xf numFmtId="0" fontId="25" fillId="32" borderId="7" applyNumberFormat="0" applyFont="0" applyAlignment="0" applyProtection="0"/>
    <xf numFmtId="0" fontId="31" fillId="32" borderId="7" applyNumberFormat="0" applyFont="0" applyAlignment="0" applyProtection="0"/>
    <xf numFmtId="0" fontId="31" fillId="32" borderId="7" applyNumberFormat="0" applyFont="0" applyAlignment="0" applyProtection="0"/>
    <xf numFmtId="0" fontId="25" fillId="32" borderId="7" applyNumberFormat="0" applyFont="0" applyAlignment="0" applyProtection="0"/>
    <xf numFmtId="0" fontId="25" fillId="32" borderId="7" applyNumberFormat="0" applyFont="0" applyAlignment="0" applyProtection="0"/>
    <xf numFmtId="0" fontId="24" fillId="32" borderId="7" applyNumberFormat="0" applyFont="0" applyAlignment="0" applyProtection="0"/>
    <xf numFmtId="0" fontId="25" fillId="32" borderId="7" applyNumberFormat="0" applyFont="0" applyAlignment="0" applyProtection="0"/>
    <xf numFmtId="0" fontId="31" fillId="32" borderId="7" applyNumberFormat="0" applyFont="0" applyAlignment="0" applyProtection="0"/>
    <xf numFmtId="0" fontId="31" fillId="32" borderId="7" applyNumberFormat="0" applyFont="0" applyAlignment="0" applyProtection="0"/>
    <xf numFmtId="0" fontId="25" fillId="32" borderId="7" applyNumberFormat="0" applyFont="0" applyAlignment="0" applyProtection="0"/>
    <xf numFmtId="0" fontId="24" fillId="32" borderId="7" applyNumberFormat="0" applyFont="0" applyAlignment="0" applyProtection="0"/>
    <xf numFmtId="0" fontId="25" fillId="32" borderId="7" applyNumberFormat="0" applyFont="0" applyAlignment="0" applyProtection="0"/>
    <xf numFmtId="0" fontId="31" fillId="32" borderId="7" applyNumberFormat="0" applyFont="0" applyAlignment="0" applyProtection="0"/>
    <xf numFmtId="0" fontId="31" fillId="32" borderId="7" applyNumberFormat="0" applyFont="0" applyAlignment="0" applyProtection="0"/>
    <xf numFmtId="0" fontId="24" fillId="32" borderId="7" applyNumberFormat="0" applyFont="0" applyAlignment="0" applyProtection="0"/>
    <xf numFmtId="0" fontId="25" fillId="32" borderId="7" applyNumberFormat="0" applyFont="0" applyAlignment="0" applyProtection="0"/>
    <xf numFmtId="0" fontId="31" fillId="32" borderId="7" applyNumberFormat="0" applyFont="0" applyAlignment="0" applyProtection="0"/>
    <xf numFmtId="0" fontId="31" fillId="32" borderId="7" applyNumberFormat="0" applyFont="0" applyAlignment="0" applyProtection="0"/>
    <xf numFmtId="0" fontId="25" fillId="32" borderId="7" applyNumberFormat="0" applyFont="0" applyAlignment="0" applyProtection="0"/>
    <xf numFmtId="0" fontId="24" fillId="32" borderId="7" applyNumberFormat="0" applyFont="0" applyAlignment="0" applyProtection="0"/>
    <xf numFmtId="0" fontId="25" fillId="32" borderId="7" applyNumberFormat="0" applyFont="0" applyAlignment="0" applyProtection="0"/>
    <xf numFmtId="0" fontId="31" fillId="32" borderId="7" applyNumberFormat="0" applyFont="0" applyAlignment="0" applyProtection="0"/>
    <xf numFmtId="0" fontId="31" fillId="32" borderId="7" applyNumberFormat="0" applyFont="0" applyAlignment="0" applyProtection="0"/>
    <xf numFmtId="0" fontId="24" fillId="32" borderId="7" applyNumberFormat="0" applyFont="0" applyAlignment="0" applyProtection="0"/>
    <xf numFmtId="0" fontId="45" fillId="27" borderId="8" applyNumberFormat="0" applyAlignment="0" applyProtection="0"/>
    <xf numFmtId="0" fontId="45" fillId="27" borderId="8" applyNumberFormat="0" applyAlignment="0" applyProtection="0"/>
    <xf numFmtId="0" fontId="45" fillId="27" borderId="8" applyNumberFormat="0" applyAlignment="0" applyProtection="0"/>
    <xf numFmtId="0" fontId="45" fillId="27" borderId="8" applyNumberFormat="0" applyAlignment="0" applyProtection="0"/>
    <xf numFmtId="0" fontId="45" fillId="27" borderId="8" applyNumberFormat="0" applyAlignment="0" applyProtection="0"/>
    <xf numFmtId="0" fontId="45" fillId="27" borderId="8" applyNumberFormat="0" applyAlignment="0" applyProtection="0"/>
    <xf numFmtId="0" fontId="45" fillId="27" borderId="8" applyNumberFormat="0" applyAlignment="0" applyProtection="0"/>
    <xf numFmtId="0" fontId="45" fillId="27" borderId="8" applyNumberFormat="0" applyAlignment="0" applyProtection="0"/>
    <xf numFmtId="9" fontId="25" fillId="0" borderId="0" applyFont="0" applyFill="0" applyBorder="0" applyAlignment="0" applyProtection="0"/>
    <xf numFmtId="9" fontId="24" fillId="0" borderId="0" applyFont="0" applyFill="0" applyBorder="0" applyAlignment="0" applyProtection="0"/>
    <xf numFmtId="9" fontId="25"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25" fillId="0" borderId="0" applyFont="0" applyFill="0" applyBorder="0" applyAlignment="0" applyProtection="0"/>
    <xf numFmtId="9" fontId="24" fillId="0" borderId="0" applyFont="0" applyFill="0" applyBorder="0" applyAlignment="0" applyProtection="0"/>
    <xf numFmtId="9" fontId="25" fillId="0" borderId="0" applyFont="0" applyFill="0" applyBorder="0" applyAlignment="0" applyProtection="0"/>
    <xf numFmtId="9" fontId="31" fillId="0" borderId="0" applyFont="0" applyFill="0" applyBorder="0" applyAlignment="0" applyProtection="0"/>
    <xf numFmtId="9" fontId="31" fillId="0" borderId="0" applyFont="0" applyFill="0" applyBorder="0" applyAlignment="0" applyProtection="0"/>
    <xf numFmtId="9" fontId="25" fillId="0" borderId="0" applyFont="0" applyFill="0" applyBorder="0" applyAlignment="0" applyProtection="0">
      <alignment vertical="center"/>
    </xf>
    <xf numFmtId="9" fontId="24" fillId="0" borderId="0" applyFont="0" applyFill="0" applyBorder="0" applyAlignment="0" applyProtection="0">
      <alignment vertical="center"/>
    </xf>
    <xf numFmtId="9" fontId="25" fillId="0" borderId="0" applyFont="0" applyFill="0" applyBorder="0" applyAlignment="0" applyProtection="0">
      <alignment vertical="center"/>
    </xf>
    <xf numFmtId="9" fontId="31" fillId="0" borderId="0" applyFont="0" applyFill="0" applyBorder="0" applyAlignment="0" applyProtection="0">
      <alignment vertical="center"/>
    </xf>
    <xf numFmtId="9" fontId="31" fillId="0" borderId="0" applyFont="0" applyFill="0" applyBorder="0" applyAlignment="0" applyProtection="0">
      <alignment vertical="center"/>
    </xf>
    <xf numFmtId="9" fontId="23" fillId="0" borderId="0" applyFont="0" applyFill="0" applyBorder="0" applyAlignment="0" applyProtection="0">
      <alignment vertical="center"/>
    </xf>
    <xf numFmtId="9" fontId="24" fillId="0" borderId="0" applyFont="0" applyFill="0" applyBorder="0" applyAlignment="0" applyProtection="0"/>
    <xf numFmtId="9" fontId="23" fillId="0" borderId="0" applyFon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0" borderId="9" applyNumberFormat="0" applyFill="0" applyAlignment="0" applyProtection="0"/>
    <xf numFmtId="0" fontId="47" fillId="0" borderId="9" applyNumberFormat="0" applyFill="0" applyAlignment="0" applyProtection="0"/>
    <xf numFmtId="0" fontId="47" fillId="0" borderId="9" applyNumberFormat="0" applyFill="0" applyAlignment="0" applyProtection="0"/>
    <xf numFmtId="0" fontId="47" fillId="0" borderId="9" applyNumberFormat="0" applyFill="0" applyAlignment="0" applyProtection="0"/>
    <xf numFmtId="0" fontId="47" fillId="0" borderId="9" applyNumberFormat="0" applyFill="0" applyAlignment="0" applyProtection="0"/>
    <xf numFmtId="0" fontId="47" fillId="0" borderId="9" applyNumberFormat="0" applyFill="0" applyAlignment="0" applyProtection="0"/>
    <xf numFmtId="0" fontId="47" fillId="0" borderId="9" applyNumberFormat="0" applyFill="0" applyAlignment="0" applyProtection="0"/>
    <xf numFmtId="0" fontId="47" fillId="0" borderId="9" applyNumberFormat="0" applyFill="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23" fillId="0" borderId="0"/>
    <xf numFmtId="0" fontId="23" fillId="0" borderId="0"/>
    <xf numFmtId="0" fontId="27" fillId="0" borderId="0"/>
    <xf numFmtId="0" fontId="27" fillId="0" borderId="0">
      <alignment vertical="center"/>
    </xf>
    <xf numFmtId="0" fontId="27" fillId="0" borderId="0">
      <alignment vertical="center"/>
    </xf>
    <xf numFmtId="0" fontId="27" fillId="0" borderId="0">
      <alignment vertical="center"/>
    </xf>
    <xf numFmtId="0" fontId="23" fillId="0" borderId="0"/>
    <xf numFmtId="0" fontId="30" fillId="0" borderId="0">
      <alignment vertical="center"/>
    </xf>
    <xf numFmtId="0" fontId="30" fillId="0" borderId="0">
      <alignment vertical="center"/>
    </xf>
    <xf numFmtId="177" fontId="30" fillId="0" borderId="0" applyFont="0" applyFill="0" applyBorder="0" applyAlignment="0" applyProtection="0">
      <alignment vertical="center"/>
    </xf>
    <xf numFmtId="177" fontId="27" fillId="0" borderId="0" applyFont="0" applyFill="0" applyBorder="0" applyAlignment="0" applyProtection="0">
      <alignment vertical="center"/>
    </xf>
    <xf numFmtId="9" fontId="30" fillId="0" borderId="0" applyFont="0" applyFill="0" applyBorder="0" applyAlignment="0" applyProtection="0">
      <alignment vertical="center"/>
    </xf>
    <xf numFmtId="9" fontId="27" fillId="0" borderId="0" applyFont="0" applyFill="0" applyBorder="0" applyAlignment="0" applyProtection="0">
      <alignment vertical="center"/>
    </xf>
    <xf numFmtId="9" fontId="30" fillId="0" borderId="0" applyFont="0" applyFill="0" applyBorder="0" applyAlignment="0" applyProtection="0">
      <alignment vertical="center"/>
    </xf>
    <xf numFmtId="0" fontId="22" fillId="0" borderId="0">
      <alignment vertical="center"/>
    </xf>
    <xf numFmtId="9" fontId="22" fillId="0" borderId="0" applyFont="0" applyFill="0" applyBorder="0" applyAlignment="0" applyProtection="0">
      <alignment vertical="center"/>
    </xf>
    <xf numFmtId="177" fontId="22" fillId="0" borderId="0" applyFont="0" applyFill="0" applyBorder="0" applyAlignment="0" applyProtection="0">
      <alignment vertical="center"/>
    </xf>
    <xf numFmtId="0" fontId="21" fillId="0" borderId="0">
      <alignment vertical="center"/>
    </xf>
    <xf numFmtId="177" fontId="21" fillId="0" borderId="0" applyFont="0" applyFill="0" applyBorder="0" applyAlignment="0" applyProtection="0">
      <alignment vertical="center"/>
    </xf>
    <xf numFmtId="0" fontId="20" fillId="0" borderId="0">
      <alignment vertical="center"/>
    </xf>
    <xf numFmtId="177" fontId="27" fillId="0" borderId="0" applyFont="0" applyFill="0" applyBorder="0" applyAlignment="0" applyProtection="0"/>
    <xf numFmtId="177" fontId="20" fillId="0" borderId="0" applyFont="0" applyFill="0" applyBorder="0" applyAlignment="0" applyProtection="0">
      <alignment vertical="center"/>
    </xf>
    <xf numFmtId="9" fontId="27" fillId="0" borderId="0" applyFont="0" applyFill="0" applyBorder="0" applyAlignment="0" applyProtection="0"/>
    <xf numFmtId="0" fontId="27" fillId="0" borderId="0"/>
    <xf numFmtId="0" fontId="19" fillId="0" borderId="0">
      <alignment vertical="center"/>
    </xf>
    <xf numFmtId="0" fontId="19" fillId="0" borderId="0">
      <alignment vertical="center"/>
    </xf>
    <xf numFmtId="0" fontId="27" fillId="0" borderId="0"/>
    <xf numFmtId="177" fontId="30" fillId="0" borderId="0" applyFont="0" applyFill="0" applyBorder="0" applyAlignment="0" applyProtection="0">
      <alignment vertical="center"/>
    </xf>
    <xf numFmtId="0" fontId="18" fillId="0" borderId="0">
      <alignment vertical="center"/>
    </xf>
    <xf numFmtId="177" fontId="30" fillId="0" borderId="0" applyFont="0" applyFill="0" applyBorder="0" applyAlignment="0" applyProtection="0">
      <alignment vertical="center"/>
    </xf>
    <xf numFmtId="0" fontId="112" fillId="0" borderId="0">
      <alignment vertical="center"/>
    </xf>
    <xf numFmtId="0" fontId="62" fillId="0" borderId="0">
      <alignment vertical="center"/>
    </xf>
    <xf numFmtId="0" fontId="17" fillId="0" borderId="0">
      <alignment vertical="center"/>
    </xf>
    <xf numFmtId="0" fontId="16" fillId="0" borderId="0">
      <alignment vertical="center"/>
    </xf>
    <xf numFmtId="0" fontId="15" fillId="0" borderId="0">
      <alignment vertical="center"/>
    </xf>
    <xf numFmtId="0" fontId="13" fillId="0" borderId="0">
      <alignment vertical="center"/>
    </xf>
    <xf numFmtId="177" fontId="13" fillId="0" borderId="0" applyFont="0" applyFill="0" applyBorder="0" applyAlignment="0" applyProtection="0">
      <alignment vertical="center"/>
    </xf>
    <xf numFmtId="9" fontId="13" fillId="0" borderId="0" applyFont="0" applyFill="0" applyBorder="0" applyAlignment="0" applyProtection="0">
      <alignment vertical="center"/>
    </xf>
    <xf numFmtId="0" fontId="11" fillId="0" borderId="0">
      <alignment vertical="center"/>
    </xf>
    <xf numFmtId="0" fontId="212" fillId="69" borderId="0"/>
    <xf numFmtId="14" fontId="213" fillId="0" borderId="0" applyFont="0" applyFill="0" applyBorder="0" applyAlignment="0" applyProtection="0"/>
    <xf numFmtId="0" fontId="9" fillId="0" borderId="0">
      <alignment vertical="center"/>
    </xf>
    <xf numFmtId="0" fontId="9" fillId="0" borderId="0">
      <alignment vertical="center"/>
    </xf>
    <xf numFmtId="0" fontId="7" fillId="0" borderId="0">
      <alignment vertical="center"/>
    </xf>
    <xf numFmtId="0" fontId="6" fillId="0" borderId="0">
      <alignment vertical="center"/>
    </xf>
  </cellStyleXfs>
  <cellXfs count="2318">
    <xf numFmtId="0" fontId="0" fillId="0" borderId="0" xfId="0">
      <alignment vertical="center"/>
    </xf>
    <xf numFmtId="183" fontId="59" fillId="34" borderId="0" xfId="0" applyNumberFormat="1" applyFont="1" applyFill="1" applyAlignment="1" applyProtection="1">
      <alignment horizontal="left" vertical="center"/>
      <protection hidden="1"/>
    </xf>
    <xf numFmtId="14" fontId="67" fillId="34" borderId="0" xfId="0" applyNumberFormat="1" applyFont="1" applyFill="1" applyAlignment="1" applyProtection="1">
      <alignment horizontal="right" vertical="center"/>
      <protection hidden="1"/>
    </xf>
    <xf numFmtId="0" fontId="22" fillId="34" borderId="0" xfId="425" applyFill="1" applyProtection="1">
      <alignment vertical="center"/>
      <protection hidden="1"/>
    </xf>
    <xf numFmtId="0" fontId="54" fillId="34" borderId="0" xfId="425" applyFont="1" applyFill="1" applyProtection="1">
      <alignment vertical="center"/>
      <protection hidden="1"/>
    </xf>
    <xf numFmtId="0" fontId="51" fillId="34" borderId="0" xfId="425" applyFont="1" applyFill="1" applyProtection="1">
      <alignment vertical="center"/>
      <protection hidden="1"/>
    </xf>
    <xf numFmtId="0" fontId="71" fillId="34" borderId="0" xfId="0" applyFont="1" applyFill="1" applyAlignment="1" applyProtection="1">
      <alignment horizontal="center" vertical="center"/>
      <protection hidden="1"/>
    </xf>
    <xf numFmtId="0" fontId="59" fillId="34" borderId="0" xfId="425" applyFont="1" applyFill="1" applyProtection="1">
      <alignment vertical="center"/>
      <protection hidden="1"/>
    </xf>
    <xf numFmtId="0" fontId="61" fillId="34" borderId="0" xfId="425" applyFont="1" applyFill="1" applyAlignment="1" applyProtection="1">
      <alignment horizontal="center" vertical="center"/>
      <protection hidden="1"/>
    </xf>
    <xf numFmtId="0" fontId="56" fillId="34" borderId="0" xfId="0" applyFont="1" applyFill="1" applyAlignment="1" applyProtection="1">
      <alignment horizontal="center" vertical="center"/>
      <protection hidden="1"/>
    </xf>
    <xf numFmtId="0" fontId="49" fillId="34" borderId="0" xfId="425" applyFont="1" applyFill="1" applyAlignment="1" applyProtection="1">
      <alignment vertical="top" wrapText="1"/>
      <protection hidden="1"/>
    </xf>
    <xf numFmtId="0" fontId="52" fillId="34" borderId="0" xfId="425" applyFont="1" applyFill="1" applyProtection="1">
      <alignment vertical="center"/>
      <protection hidden="1"/>
    </xf>
    <xf numFmtId="0" fontId="60" fillId="34" borderId="0" xfId="0" applyFont="1" applyFill="1" applyProtection="1">
      <alignment vertical="center"/>
      <protection hidden="1"/>
    </xf>
    <xf numFmtId="0" fontId="71" fillId="33" borderId="0" xfId="425" applyFont="1" applyFill="1" applyAlignment="1" applyProtection="1">
      <alignment vertical="center" wrapText="1"/>
      <protection hidden="1"/>
    </xf>
    <xf numFmtId="0" fontId="57" fillId="36" borderId="0" xfId="425" applyFont="1" applyFill="1" applyAlignment="1" applyProtection="1">
      <alignment horizontal="center" vertical="center"/>
      <protection hidden="1"/>
    </xf>
    <xf numFmtId="0" fontId="57" fillId="36" borderId="0" xfId="425" applyFont="1" applyFill="1" applyAlignment="1" applyProtection="1">
      <alignment horizontal="right" vertical="center"/>
      <protection hidden="1"/>
    </xf>
    <xf numFmtId="0" fontId="57" fillId="36" borderId="0" xfId="0" applyFont="1" applyFill="1" applyAlignment="1" applyProtection="1">
      <alignment horizontal="center" vertical="center"/>
      <protection hidden="1"/>
    </xf>
    <xf numFmtId="0" fontId="57" fillId="36" borderId="0" xfId="0" applyFont="1" applyFill="1" applyAlignment="1" applyProtection="1">
      <alignment horizontal="right" vertical="center"/>
      <protection hidden="1"/>
    </xf>
    <xf numFmtId="0" fontId="62" fillId="34" borderId="0" xfId="425" applyFont="1" applyFill="1" applyAlignment="1" applyProtection="1">
      <alignment horizontal="center" vertical="center"/>
      <protection hidden="1"/>
    </xf>
    <xf numFmtId="0" fontId="62" fillId="34" borderId="0" xfId="425" applyFont="1" applyFill="1" applyProtection="1">
      <alignment vertical="center"/>
      <protection hidden="1"/>
    </xf>
    <xf numFmtId="177" fontId="62" fillId="34" borderId="0" xfId="427" applyFont="1" applyFill="1" applyProtection="1">
      <alignment vertical="center"/>
      <protection hidden="1"/>
    </xf>
    <xf numFmtId="177" fontId="62" fillId="34" borderId="0" xfId="420" applyFont="1" applyFill="1" applyProtection="1">
      <alignment vertical="center"/>
      <protection hidden="1"/>
    </xf>
    <xf numFmtId="177" fontId="62" fillId="34" borderId="0" xfId="425" applyNumberFormat="1" applyFont="1" applyFill="1" applyProtection="1">
      <alignment vertical="center"/>
      <protection hidden="1"/>
    </xf>
    <xf numFmtId="177" fontId="56" fillId="34" borderId="0" xfId="420" applyFont="1" applyFill="1" applyProtection="1">
      <alignment vertical="center"/>
      <protection hidden="1"/>
    </xf>
    <xf numFmtId="0" fontId="56" fillId="34" borderId="0" xfId="0" applyFont="1" applyFill="1" applyProtection="1">
      <alignment vertical="center"/>
      <protection hidden="1"/>
    </xf>
    <xf numFmtId="10" fontId="60" fillId="34" borderId="0" xfId="422" applyNumberFormat="1" applyFont="1" applyFill="1" applyBorder="1" applyProtection="1">
      <alignment vertical="center"/>
      <protection hidden="1"/>
    </xf>
    <xf numFmtId="0" fontId="60" fillId="34" borderId="0" xfId="0" applyFont="1" applyFill="1" applyAlignment="1" applyProtection="1">
      <alignment horizontal="center" vertical="center"/>
      <protection hidden="1"/>
    </xf>
    <xf numFmtId="177" fontId="60" fillId="34" borderId="0" xfId="0" applyNumberFormat="1" applyFont="1" applyFill="1" applyProtection="1">
      <alignment vertical="center"/>
      <protection hidden="1"/>
    </xf>
    <xf numFmtId="0" fontId="60" fillId="37" borderId="0" xfId="0" applyFont="1" applyFill="1" applyProtection="1">
      <alignment vertical="center"/>
      <protection hidden="1"/>
    </xf>
    <xf numFmtId="0" fontId="66" fillId="37" borderId="0" xfId="425" applyFont="1" applyFill="1" applyProtection="1">
      <alignment vertical="center"/>
      <protection hidden="1"/>
    </xf>
    <xf numFmtId="0" fontId="66" fillId="37" borderId="0" xfId="0" applyFont="1" applyFill="1" applyProtection="1">
      <alignment vertical="center"/>
      <protection hidden="1"/>
    </xf>
    <xf numFmtId="0" fontId="66" fillId="34" borderId="0" xfId="0" applyFont="1" applyFill="1" applyProtection="1">
      <alignment vertical="center"/>
      <protection hidden="1"/>
    </xf>
    <xf numFmtId="0" fontId="69" fillId="34" borderId="0" xfId="425" applyFont="1" applyFill="1" applyProtection="1">
      <alignment vertical="center"/>
      <protection hidden="1"/>
    </xf>
    <xf numFmtId="0" fontId="63" fillId="34" borderId="0" xfId="425" applyFont="1" applyFill="1" applyProtection="1">
      <alignment vertical="center"/>
      <protection hidden="1"/>
    </xf>
    <xf numFmtId="0" fontId="67" fillId="34" borderId="0" xfId="425" applyFont="1" applyFill="1" applyProtection="1">
      <alignment vertical="center"/>
      <protection hidden="1"/>
    </xf>
    <xf numFmtId="0" fontId="63" fillId="34" borderId="0" xfId="425" applyFont="1" applyFill="1" applyAlignment="1" applyProtection="1">
      <alignment horizontal="center" vertical="center"/>
      <protection hidden="1"/>
    </xf>
    <xf numFmtId="0" fontId="67" fillId="34" borderId="0" xfId="425" applyFont="1" applyFill="1" applyAlignment="1" applyProtection="1">
      <alignment horizontal="center" vertical="center"/>
      <protection hidden="1"/>
    </xf>
    <xf numFmtId="0" fontId="62" fillId="34" borderId="0" xfId="0" applyFont="1" applyFill="1" applyProtection="1">
      <alignment vertical="center"/>
      <protection hidden="1"/>
    </xf>
    <xf numFmtId="0" fontId="63" fillId="40" borderId="0" xfId="425" applyFont="1" applyFill="1" applyProtection="1">
      <alignment vertical="center"/>
      <protection hidden="1"/>
    </xf>
    <xf numFmtId="0" fontId="63" fillId="38" borderId="0" xfId="425" applyFont="1" applyFill="1" applyProtection="1">
      <alignment vertical="center"/>
      <protection hidden="1"/>
    </xf>
    <xf numFmtId="0" fontId="68" fillId="34" borderId="0" xfId="425" applyFont="1" applyFill="1" applyAlignment="1" applyProtection="1">
      <alignment horizontal="center" vertical="center"/>
      <protection hidden="1"/>
    </xf>
    <xf numFmtId="182" fontId="67" fillId="34" borderId="0" xfId="425" applyNumberFormat="1" applyFont="1" applyFill="1" applyProtection="1">
      <alignment vertical="center"/>
      <protection hidden="1"/>
    </xf>
    <xf numFmtId="182" fontId="63" fillId="34" borderId="0" xfId="425" applyNumberFormat="1" applyFont="1" applyFill="1" applyProtection="1">
      <alignment vertical="center"/>
      <protection hidden="1"/>
    </xf>
    <xf numFmtId="181" fontId="64" fillId="40" borderId="0" xfId="427" applyNumberFormat="1" applyFont="1" applyFill="1" applyBorder="1" applyProtection="1">
      <alignment vertical="center"/>
      <protection hidden="1"/>
    </xf>
    <xf numFmtId="181" fontId="64" fillId="38" borderId="0" xfId="427" applyNumberFormat="1" applyFont="1" applyFill="1" applyBorder="1" applyProtection="1">
      <alignment vertical="center"/>
      <protection hidden="1"/>
    </xf>
    <xf numFmtId="0" fontId="58" fillId="39" borderId="0" xfId="425" applyFont="1" applyFill="1" applyAlignment="1" applyProtection="1">
      <alignment horizontal="center" vertical="center"/>
      <protection hidden="1"/>
    </xf>
    <xf numFmtId="177" fontId="56" fillId="41" borderId="0" xfId="420" applyFont="1" applyFill="1" applyProtection="1">
      <alignment vertical="center"/>
      <protection hidden="1"/>
    </xf>
    <xf numFmtId="0" fontId="60" fillId="41" borderId="0" xfId="0" applyFont="1" applyFill="1" applyProtection="1">
      <alignment vertical="center"/>
      <protection hidden="1"/>
    </xf>
    <xf numFmtId="0" fontId="68" fillId="35" borderId="0" xfId="425" applyFont="1" applyFill="1" applyAlignment="1" applyProtection="1">
      <alignment horizontal="center" vertical="center"/>
      <protection hidden="1"/>
    </xf>
    <xf numFmtId="0" fontId="63" fillId="42" borderId="0" xfId="425" applyFont="1" applyFill="1" applyProtection="1">
      <alignment vertical="center"/>
      <protection hidden="1"/>
    </xf>
    <xf numFmtId="178" fontId="59" fillId="42" borderId="0" xfId="422" applyNumberFormat="1" applyFont="1" applyFill="1" applyBorder="1" applyAlignment="1" applyProtection="1">
      <alignment horizontal="center" vertical="center"/>
      <protection hidden="1"/>
    </xf>
    <xf numFmtId="179" fontId="59" fillId="42" borderId="0" xfId="422" applyNumberFormat="1" applyFont="1" applyFill="1" applyBorder="1" applyAlignment="1" applyProtection="1">
      <alignment horizontal="right" vertical="center"/>
      <protection hidden="1"/>
    </xf>
    <xf numFmtId="178" fontId="60" fillId="37" borderId="0" xfId="422" applyNumberFormat="1" applyFont="1" applyFill="1" applyBorder="1" applyAlignment="1" applyProtection="1">
      <alignment horizontal="center" vertical="center"/>
      <protection hidden="1"/>
    </xf>
    <xf numFmtId="0" fontId="58" fillId="43" borderId="0" xfId="425" applyFont="1" applyFill="1" applyAlignment="1" applyProtection="1">
      <alignment horizontal="center" vertical="center"/>
      <protection hidden="1"/>
    </xf>
    <xf numFmtId="0" fontId="70" fillId="0" borderId="0" xfId="411" applyFont="1" applyAlignment="1" applyProtection="1">
      <alignment horizontal="center" vertical="center" wrapText="1"/>
      <protection hidden="1"/>
    </xf>
    <xf numFmtId="0" fontId="0" fillId="34" borderId="0" xfId="0" applyFill="1" applyProtection="1">
      <alignment vertical="center"/>
      <protection hidden="1"/>
    </xf>
    <xf numFmtId="0" fontId="66" fillId="43" borderId="0" xfId="0" applyFont="1" applyFill="1" applyProtection="1">
      <alignment vertical="center"/>
      <protection hidden="1"/>
    </xf>
    <xf numFmtId="0" fontId="67" fillId="35" borderId="0" xfId="425" applyFont="1" applyFill="1" applyAlignment="1" applyProtection="1">
      <alignment horizontal="center" vertical="center"/>
      <protection hidden="1"/>
    </xf>
    <xf numFmtId="177" fontId="66" fillId="37" borderId="0" xfId="420" applyFont="1" applyFill="1" applyBorder="1" applyProtection="1">
      <alignment vertical="center"/>
      <protection hidden="1"/>
    </xf>
    <xf numFmtId="14" fontId="67" fillId="43" borderId="0" xfId="425" applyNumberFormat="1" applyFont="1" applyFill="1" applyAlignment="1" applyProtection="1">
      <alignment horizontal="center" vertical="center"/>
      <protection hidden="1"/>
    </xf>
    <xf numFmtId="0" fontId="71" fillId="33" borderId="0" xfId="425" applyFont="1" applyFill="1" applyAlignment="1" applyProtection="1">
      <alignment horizontal="center" vertical="center"/>
      <protection hidden="1"/>
    </xf>
    <xf numFmtId="9" fontId="76" fillId="33" borderId="0" xfId="422" applyFont="1" applyFill="1" applyBorder="1" applyProtection="1">
      <alignment vertical="center"/>
      <protection hidden="1"/>
    </xf>
    <xf numFmtId="0" fontId="66" fillId="34" borderId="12" xfId="0" applyFont="1" applyFill="1" applyBorder="1" applyProtection="1">
      <alignment vertical="center"/>
      <protection hidden="1"/>
    </xf>
    <xf numFmtId="0" fontId="68" fillId="34" borderId="12" xfId="425" applyFont="1" applyFill="1" applyBorder="1" applyAlignment="1" applyProtection="1">
      <alignment horizontal="center" vertical="center"/>
      <protection hidden="1"/>
    </xf>
    <xf numFmtId="177" fontId="67" fillId="34" borderId="12" xfId="425" applyNumberFormat="1" applyFont="1" applyFill="1" applyBorder="1" applyAlignment="1" applyProtection="1">
      <alignment horizontal="center" vertical="center"/>
      <protection hidden="1"/>
    </xf>
    <xf numFmtId="0" fontId="60" fillId="34" borderId="12" xfId="0" applyFont="1" applyFill="1" applyBorder="1" applyProtection="1">
      <alignment vertical="center"/>
      <protection hidden="1"/>
    </xf>
    <xf numFmtId="0" fontId="76" fillId="46" borderId="12" xfId="0" applyFont="1" applyFill="1" applyBorder="1" applyProtection="1">
      <alignment vertical="center"/>
      <protection hidden="1"/>
    </xf>
    <xf numFmtId="0" fontId="23" fillId="45" borderId="0" xfId="411" applyFill="1" applyAlignment="1" applyProtection="1">
      <alignment horizontal="center" vertical="center"/>
      <protection hidden="1"/>
    </xf>
    <xf numFmtId="0" fontId="59" fillId="45" borderId="0" xfId="0" applyFont="1" applyFill="1" applyProtection="1">
      <alignment vertical="center"/>
      <protection hidden="1"/>
    </xf>
    <xf numFmtId="0" fontId="59" fillId="45" borderId="0" xfId="0" applyFont="1" applyFill="1" applyAlignment="1" applyProtection="1">
      <alignment horizontal="center" vertical="center"/>
      <protection hidden="1"/>
    </xf>
    <xf numFmtId="178" fontId="73" fillId="45" borderId="0" xfId="422" applyNumberFormat="1" applyFont="1" applyFill="1" applyBorder="1" applyAlignment="1" applyProtection="1">
      <alignment horizontal="center" vertical="center"/>
      <protection hidden="1"/>
    </xf>
    <xf numFmtId="180" fontId="59" fillId="45" borderId="0" xfId="422" applyNumberFormat="1" applyFont="1" applyFill="1" applyBorder="1" applyAlignment="1" applyProtection="1">
      <alignment horizontal="center" vertical="center"/>
      <protection hidden="1"/>
    </xf>
    <xf numFmtId="10" fontId="59" fillId="45" borderId="0" xfId="422" applyNumberFormat="1" applyFont="1" applyFill="1" applyBorder="1" applyAlignment="1" applyProtection="1">
      <alignment horizontal="center" vertical="center"/>
      <protection hidden="1"/>
    </xf>
    <xf numFmtId="2" fontId="85" fillId="45" borderId="0" xfId="0" applyNumberFormat="1" applyFont="1" applyFill="1" applyAlignment="1" applyProtection="1">
      <alignment horizontal="right" vertical="center"/>
      <protection hidden="1"/>
    </xf>
    <xf numFmtId="14" fontId="85" fillId="45" borderId="0" xfId="0" applyNumberFormat="1" applyFont="1" applyFill="1" applyAlignment="1" applyProtection="1">
      <alignment horizontal="right" vertical="center"/>
      <protection hidden="1"/>
    </xf>
    <xf numFmtId="0" fontId="62" fillId="47" borderId="0" xfId="0" applyFont="1" applyFill="1" applyProtection="1">
      <alignment vertical="center"/>
      <protection hidden="1"/>
    </xf>
    <xf numFmtId="183" fontId="83" fillId="47" borderId="0" xfId="0" applyNumberFormat="1" applyFont="1" applyFill="1" applyAlignment="1" applyProtection="1">
      <alignment horizontal="left" vertical="center"/>
      <protection hidden="1"/>
    </xf>
    <xf numFmtId="0" fontId="63" fillId="47" borderId="0" xfId="425" applyFont="1" applyFill="1" applyProtection="1">
      <alignment vertical="center"/>
      <protection hidden="1"/>
    </xf>
    <xf numFmtId="10" fontId="64" fillId="47" borderId="0" xfId="422" applyNumberFormat="1" applyFont="1" applyFill="1" applyBorder="1" applyProtection="1">
      <alignment vertical="center"/>
      <protection hidden="1"/>
    </xf>
    <xf numFmtId="0" fontId="75" fillId="44" borderId="0" xfId="425" applyFont="1" applyFill="1" applyAlignment="1" applyProtection="1">
      <alignment horizontal="left" vertical="center"/>
      <protection hidden="1"/>
    </xf>
    <xf numFmtId="0" fontId="75" fillId="44" borderId="0" xfId="425" applyFont="1" applyFill="1" applyAlignment="1" applyProtection="1">
      <alignment horizontal="center" vertical="center"/>
      <protection hidden="1"/>
    </xf>
    <xf numFmtId="177" fontId="74" fillId="44" borderId="0" xfId="420" applyFont="1" applyFill="1" applyBorder="1" applyProtection="1">
      <alignment vertical="center"/>
      <protection hidden="1"/>
    </xf>
    <xf numFmtId="184" fontId="74" fillId="44" borderId="0" xfId="422" applyNumberFormat="1" applyFont="1" applyFill="1" applyBorder="1" applyProtection="1">
      <alignment vertical="center"/>
      <protection hidden="1"/>
    </xf>
    <xf numFmtId="179" fontId="87" fillId="44" borderId="0" xfId="422" applyNumberFormat="1" applyFont="1" applyFill="1" applyBorder="1" applyProtection="1">
      <alignment vertical="center"/>
      <protection hidden="1"/>
    </xf>
    <xf numFmtId="186" fontId="59" fillId="42" borderId="0" xfId="422" applyNumberFormat="1" applyFont="1" applyFill="1" applyBorder="1" applyAlignment="1" applyProtection="1">
      <alignment horizontal="right" vertical="center"/>
      <protection hidden="1"/>
    </xf>
    <xf numFmtId="186" fontId="60" fillId="37" borderId="0" xfId="0" applyNumberFormat="1" applyFont="1" applyFill="1" applyProtection="1">
      <alignment vertical="center"/>
      <protection hidden="1"/>
    </xf>
    <xf numFmtId="0" fontId="88" fillId="0" borderId="0" xfId="430" applyFont="1" applyAlignment="1"/>
    <xf numFmtId="0" fontId="88" fillId="0" borderId="0" xfId="0" applyFont="1" applyAlignment="1"/>
    <xf numFmtId="0" fontId="88" fillId="0" borderId="0" xfId="0" applyFont="1" applyAlignment="1">
      <alignment wrapText="1"/>
    </xf>
    <xf numFmtId="0" fontId="88" fillId="0" borderId="0" xfId="0" applyFont="1" applyAlignment="1">
      <alignment horizontal="center"/>
    </xf>
    <xf numFmtId="2" fontId="88" fillId="49" borderId="14" xfId="0" applyNumberFormat="1" applyFont="1" applyFill="1" applyBorder="1" applyAlignment="1">
      <alignment horizontal="center" vertical="center"/>
    </xf>
    <xf numFmtId="14" fontId="88" fillId="49" borderId="14" xfId="0" applyNumberFormat="1" applyFont="1" applyFill="1" applyBorder="1" applyAlignment="1">
      <alignment horizontal="center" vertical="center"/>
    </xf>
    <xf numFmtId="0" fontId="71" fillId="33" borderId="0" xfId="425" applyFont="1" applyFill="1" applyAlignment="1" applyProtection="1">
      <alignment horizontal="center" vertical="center" wrapText="1"/>
      <protection hidden="1"/>
    </xf>
    <xf numFmtId="0" fontId="60" fillId="43" borderId="0" xfId="0" applyFont="1" applyFill="1" applyAlignment="1" applyProtection="1">
      <alignment horizontal="right" vertical="center"/>
      <protection hidden="1"/>
    </xf>
    <xf numFmtId="0" fontId="49" fillId="34" borderId="0" xfId="0" applyFont="1" applyFill="1" applyProtection="1">
      <alignment vertical="center"/>
      <protection hidden="1"/>
    </xf>
    <xf numFmtId="0" fontId="88" fillId="0" borderId="14" xfId="0" applyFont="1" applyBorder="1" applyAlignment="1">
      <alignment horizontal="center" vertical="center"/>
    </xf>
    <xf numFmtId="2" fontId="88" fillId="0" borderId="14" xfId="0" applyNumberFormat="1" applyFont="1" applyBorder="1">
      <alignment vertical="center"/>
    </xf>
    <xf numFmtId="0" fontId="58" fillId="34" borderId="0" xfId="425" applyFont="1" applyFill="1" applyAlignment="1" applyProtection="1">
      <alignment horizontal="center" vertical="center"/>
      <protection hidden="1"/>
    </xf>
    <xf numFmtId="177" fontId="84" fillId="35" borderId="0" xfId="420" applyFont="1" applyFill="1" applyBorder="1" applyAlignment="1" applyProtection="1">
      <alignment horizontal="center" vertical="center"/>
      <protection hidden="1"/>
    </xf>
    <xf numFmtId="14" fontId="88" fillId="0" borderId="14" xfId="0" applyNumberFormat="1" applyFont="1" applyBorder="1" applyAlignment="1">
      <alignment horizontal="center" vertical="center"/>
    </xf>
    <xf numFmtId="0" fontId="22" fillId="34" borderId="0" xfId="425" applyFill="1" applyAlignment="1" applyProtection="1">
      <alignment horizontal="right" vertical="center"/>
      <protection hidden="1"/>
    </xf>
    <xf numFmtId="0" fontId="50" fillId="34" borderId="0" xfId="425" applyFont="1" applyFill="1" applyAlignment="1" applyProtection="1">
      <alignment vertical="center" wrapText="1"/>
      <protection hidden="1"/>
    </xf>
    <xf numFmtId="14" fontId="60" fillId="34" borderId="0" xfId="0" applyNumberFormat="1" applyFont="1" applyFill="1" applyProtection="1">
      <alignment vertical="center"/>
      <protection hidden="1"/>
    </xf>
    <xf numFmtId="0" fontId="100" fillId="34" borderId="0" xfId="425" applyFont="1" applyFill="1" applyAlignment="1" applyProtection="1">
      <alignment horizontal="center" vertical="center"/>
      <protection hidden="1"/>
    </xf>
    <xf numFmtId="9" fontId="101" fillId="34" borderId="0" xfId="422" applyFont="1" applyFill="1" applyBorder="1" applyProtection="1">
      <alignment vertical="center"/>
      <protection hidden="1"/>
    </xf>
    <xf numFmtId="177" fontId="64" fillId="51" borderId="0" xfId="438" applyFont="1" applyFill="1" applyBorder="1" applyProtection="1">
      <alignment vertical="center"/>
      <protection hidden="1"/>
    </xf>
    <xf numFmtId="0" fontId="103" fillId="46" borderId="0" xfId="425" applyFont="1" applyFill="1" applyProtection="1">
      <alignment vertical="center"/>
      <protection hidden="1"/>
    </xf>
    <xf numFmtId="0" fontId="63" fillId="52" borderId="0" xfId="425" applyFont="1" applyFill="1" applyProtection="1">
      <alignment vertical="center"/>
      <protection hidden="1"/>
    </xf>
    <xf numFmtId="178" fontId="60" fillId="34" borderId="0" xfId="0" applyNumberFormat="1" applyFont="1" applyFill="1" applyProtection="1">
      <alignment vertical="center"/>
      <protection hidden="1"/>
    </xf>
    <xf numFmtId="10" fontId="60" fillId="34" borderId="0" xfId="0" applyNumberFormat="1" applyFont="1" applyFill="1" applyProtection="1">
      <alignment vertical="center"/>
      <protection hidden="1"/>
    </xf>
    <xf numFmtId="2" fontId="72" fillId="34" borderId="0" xfId="0" applyNumberFormat="1" applyFont="1" applyFill="1" applyProtection="1">
      <alignment vertical="center"/>
      <protection hidden="1"/>
    </xf>
    <xf numFmtId="189" fontId="63" fillId="34" borderId="0" xfId="425" applyNumberFormat="1" applyFont="1" applyFill="1" applyProtection="1">
      <alignment vertical="center"/>
      <protection hidden="1"/>
    </xf>
    <xf numFmtId="2" fontId="63" fillId="34" borderId="0" xfId="425" applyNumberFormat="1" applyFont="1" applyFill="1" applyProtection="1">
      <alignment vertical="center"/>
      <protection hidden="1"/>
    </xf>
    <xf numFmtId="187" fontId="67" fillId="37" borderId="0" xfId="438" applyNumberFormat="1" applyFont="1" applyFill="1" applyBorder="1" applyProtection="1">
      <alignment vertical="center"/>
      <protection hidden="1"/>
    </xf>
    <xf numFmtId="189" fontId="60" fillId="34" borderId="0" xfId="0" applyNumberFormat="1" applyFont="1" applyFill="1" applyProtection="1">
      <alignment vertical="center"/>
      <protection hidden="1"/>
    </xf>
    <xf numFmtId="0" fontId="91" fillId="40" borderId="0" xfId="425" applyFont="1" applyFill="1" applyAlignment="1" applyProtection="1">
      <alignment horizontal="center" vertical="center"/>
      <protection hidden="1"/>
    </xf>
    <xf numFmtId="177" fontId="84" fillId="35" borderId="0" xfId="438" applyFont="1" applyFill="1" applyBorder="1" applyProtection="1">
      <alignment vertical="center"/>
      <protection hidden="1"/>
    </xf>
    <xf numFmtId="2" fontId="66" fillId="34" borderId="12" xfId="0" applyNumberFormat="1" applyFont="1" applyFill="1" applyBorder="1" applyProtection="1">
      <alignment vertical="center"/>
      <protection hidden="1"/>
    </xf>
    <xf numFmtId="0" fontId="67" fillId="34" borderId="12" xfId="439" applyFont="1" applyFill="1" applyBorder="1" applyProtection="1">
      <alignment vertical="center"/>
      <protection hidden="1"/>
    </xf>
    <xf numFmtId="0" fontId="66" fillId="46" borderId="0" xfId="0" applyFont="1" applyFill="1" applyProtection="1">
      <alignment vertical="center"/>
      <protection hidden="1"/>
    </xf>
    <xf numFmtId="0" fontId="76" fillId="34" borderId="0" xfId="0" applyFont="1" applyFill="1" applyProtection="1">
      <alignment vertical="center"/>
      <protection hidden="1"/>
    </xf>
    <xf numFmtId="0" fontId="60" fillId="50" borderId="0" xfId="0" applyFont="1" applyFill="1" applyAlignment="1" applyProtection="1">
      <alignment horizontal="center" vertical="center"/>
      <protection hidden="1"/>
    </xf>
    <xf numFmtId="0" fontId="103" fillId="50" borderId="0" xfId="425" applyFont="1" applyFill="1" applyAlignment="1" applyProtection="1">
      <alignment horizontal="center" vertical="center"/>
      <protection hidden="1"/>
    </xf>
    <xf numFmtId="0" fontId="92" fillId="34" borderId="0" xfId="425" applyFont="1" applyFill="1" applyProtection="1">
      <alignment vertical="center"/>
      <protection hidden="1"/>
    </xf>
    <xf numFmtId="177" fontId="64" fillId="0" borderId="0" xfId="438" applyFont="1" applyFill="1" applyBorder="1" applyProtection="1">
      <alignment vertical="center"/>
      <protection hidden="1"/>
    </xf>
    <xf numFmtId="181" fontId="60" fillId="34" borderId="0" xfId="438" applyNumberFormat="1" applyFont="1" applyFill="1" applyBorder="1" applyProtection="1">
      <alignment vertical="center"/>
      <protection hidden="1"/>
    </xf>
    <xf numFmtId="177" fontId="60" fillId="34" borderId="0" xfId="438" applyFont="1" applyFill="1" applyBorder="1" applyProtection="1">
      <alignment vertical="center"/>
      <protection hidden="1"/>
    </xf>
    <xf numFmtId="177" fontId="64" fillId="34" borderId="0" xfId="438" applyFont="1" applyFill="1" applyBorder="1" applyProtection="1">
      <alignment vertical="center"/>
      <protection hidden="1"/>
    </xf>
    <xf numFmtId="14" fontId="88" fillId="0" borderId="0" xfId="430" applyNumberFormat="1" applyFont="1" applyAlignment="1"/>
    <xf numFmtId="0" fontId="104" fillId="34" borderId="0" xfId="0" applyFont="1" applyFill="1" applyAlignment="1" applyProtection="1">
      <alignment horizontal="left" vertical="center" indent="2"/>
      <protection hidden="1"/>
    </xf>
    <xf numFmtId="0" fontId="97" fillId="34" borderId="0" xfId="0" applyFont="1" applyFill="1" applyProtection="1">
      <alignment vertical="center"/>
      <protection hidden="1"/>
    </xf>
    <xf numFmtId="0" fontId="49" fillId="34" borderId="0" xfId="0" applyFont="1" applyFill="1" applyAlignment="1" applyProtection="1">
      <alignment horizontal="left" vertical="center" indent="4"/>
      <protection hidden="1"/>
    </xf>
    <xf numFmtId="0" fontId="98" fillId="34" borderId="0" xfId="0" applyFont="1" applyFill="1" applyProtection="1">
      <alignment vertical="center"/>
      <protection hidden="1"/>
    </xf>
    <xf numFmtId="0" fontId="67" fillId="34" borderId="0" xfId="425" quotePrefix="1" applyFont="1" applyFill="1" applyProtection="1">
      <alignment vertical="center"/>
      <protection hidden="1"/>
    </xf>
    <xf numFmtId="0" fontId="107" fillId="0" borderId="0" xfId="0" applyFont="1" applyProtection="1">
      <alignment vertical="center"/>
      <protection hidden="1"/>
    </xf>
    <xf numFmtId="14" fontId="90" fillId="0" borderId="0" xfId="428" applyNumberFormat="1" applyFont="1" applyProtection="1">
      <alignment vertical="center"/>
      <protection hidden="1"/>
    </xf>
    <xf numFmtId="0" fontId="88" fillId="0" borderId="0" xfId="430" applyFont="1">
      <alignment vertical="center"/>
    </xf>
    <xf numFmtId="0" fontId="89" fillId="0" borderId="0" xfId="430" applyFont="1">
      <alignment vertical="center"/>
    </xf>
    <xf numFmtId="14" fontId="88" fillId="0" borderId="0" xfId="0" applyNumberFormat="1" applyFont="1" applyAlignment="1"/>
    <xf numFmtId="49" fontId="88" fillId="34" borderId="0" xfId="0" applyNumberFormat="1" applyFont="1" applyFill="1" applyAlignment="1"/>
    <xf numFmtId="0" fontId="88" fillId="34" borderId="0" xfId="0" applyFont="1" applyFill="1" applyAlignment="1"/>
    <xf numFmtId="10" fontId="88" fillId="0" borderId="13" xfId="0" applyNumberFormat="1" applyFont="1" applyBorder="1" applyAlignment="1">
      <alignment horizontal="center" vertical="center"/>
    </xf>
    <xf numFmtId="10" fontId="56" fillId="0" borderId="14" xfId="0" applyNumberFormat="1" applyFont="1" applyBorder="1" applyAlignment="1">
      <alignment horizontal="center" vertical="center" wrapText="1"/>
    </xf>
    <xf numFmtId="10" fontId="88" fillId="0" borderId="0" xfId="422" applyNumberFormat="1" applyFont="1" applyAlignment="1"/>
    <xf numFmtId="10" fontId="88" fillId="48" borderId="14" xfId="422" applyNumberFormat="1" applyFont="1" applyFill="1" applyBorder="1">
      <alignment vertical="center"/>
    </xf>
    <xf numFmtId="14" fontId="88" fillId="37" borderId="0" xfId="0" applyNumberFormat="1" applyFont="1" applyFill="1" applyAlignment="1"/>
    <xf numFmtId="177" fontId="91" fillId="41" borderId="0" xfId="420" applyFont="1" applyFill="1" applyProtection="1">
      <alignment vertical="center"/>
      <protection hidden="1"/>
    </xf>
    <xf numFmtId="0" fontId="99" fillId="34" borderId="16" xfId="425" applyFont="1" applyFill="1" applyBorder="1" applyProtection="1">
      <alignment vertical="center"/>
      <protection hidden="1"/>
    </xf>
    <xf numFmtId="0" fontId="22" fillId="34" borderId="16" xfId="425" applyFill="1" applyBorder="1" applyProtection="1">
      <alignment vertical="center"/>
      <protection hidden="1"/>
    </xf>
    <xf numFmtId="177" fontId="101" fillId="34" borderId="0" xfId="422" applyNumberFormat="1" applyFont="1" applyFill="1" applyBorder="1" applyProtection="1">
      <alignment vertical="center"/>
      <protection hidden="1"/>
    </xf>
    <xf numFmtId="0" fontId="91" fillId="41" borderId="0" xfId="425" applyFont="1" applyFill="1" applyAlignment="1" applyProtection="1">
      <alignment horizontal="center" vertical="center"/>
      <protection hidden="1"/>
    </xf>
    <xf numFmtId="10" fontId="88" fillId="0" borderId="14" xfId="0" applyNumberFormat="1" applyFont="1" applyBorder="1" applyAlignment="1">
      <alignment horizontal="center" vertical="center"/>
    </xf>
    <xf numFmtId="14" fontId="60" fillId="37" borderId="0" xfId="0" applyNumberFormat="1" applyFont="1" applyFill="1" applyProtection="1">
      <alignment vertical="center"/>
      <protection hidden="1"/>
    </xf>
    <xf numFmtId="0" fontId="62" fillId="34" borderId="0" xfId="442" applyFill="1">
      <alignment vertical="center"/>
    </xf>
    <xf numFmtId="0" fontId="56" fillId="34" borderId="18" xfId="442" applyFont="1" applyFill="1" applyBorder="1">
      <alignment vertical="center"/>
    </xf>
    <xf numFmtId="0" fontId="56" fillId="34" borderId="19" xfId="442" applyFont="1" applyFill="1" applyBorder="1">
      <alignment vertical="center"/>
    </xf>
    <xf numFmtId="0" fontId="56" fillId="34" borderId="0" xfId="442" applyFont="1" applyFill="1">
      <alignment vertical="center"/>
    </xf>
    <xf numFmtId="0" fontId="56" fillId="34" borderId="21" xfId="442" applyFont="1" applyFill="1" applyBorder="1">
      <alignment vertical="center"/>
    </xf>
    <xf numFmtId="0" fontId="115" fillId="34" borderId="0" xfId="442" applyFont="1" applyFill="1">
      <alignment vertical="center"/>
    </xf>
    <xf numFmtId="0" fontId="115" fillId="34" borderId="21" xfId="442" applyFont="1" applyFill="1" applyBorder="1">
      <alignment vertical="center"/>
    </xf>
    <xf numFmtId="0" fontId="110" fillId="34" borderId="0" xfId="442" applyFont="1" applyFill="1">
      <alignment vertical="center"/>
    </xf>
    <xf numFmtId="0" fontId="110" fillId="34" borderId="21" xfId="442" applyFont="1" applyFill="1" applyBorder="1">
      <alignment vertical="center"/>
    </xf>
    <xf numFmtId="0" fontId="110" fillId="34" borderId="21" xfId="0" applyFont="1" applyFill="1" applyBorder="1">
      <alignment vertical="center"/>
    </xf>
    <xf numFmtId="0" fontId="117" fillId="34" borderId="0" xfId="0" applyFont="1" applyFill="1">
      <alignment vertical="center"/>
    </xf>
    <xf numFmtId="0" fontId="117" fillId="34" borderId="11" xfId="0" applyFont="1" applyFill="1" applyBorder="1">
      <alignment vertical="center"/>
    </xf>
    <xf numFmtId="0" fontId="110" fillId="34" borderId="23" xfId="0" applyFont="1" applyFill="1" applyBorder="1">
      <alignment vertical="center"/>
    </xf>
    <xf numFmtId="0" fontId="56" fillId="51" borderId="17" xfId="442" applyFont="1" applyFill="1" applyBorder="1" applyAlignment="1">
      <alignment horizontal="center" vertical="center"/>
    </xf>
    <xf numFmtId="0" fontId="115" fillId="51" borderId="20" xfId="442" applyFont="1" applyFill="1" applyBorder="1" applyAlignment="1">
      <alignment horizontal="center" vertical="center"/>
    </xf>
    <xf numFmtId="0" fontId="115" fillId="51" borderId="22" xfId="442" applyFont="1" applyFill="1" applyBorder="1" applyAlignment="1">
      <alignment horizontal="center" vertical="center"/>
    </xf>
    <xf numFmtId="0" fontId="0" fillId="34" borderId="0" xfId="0" applyFill="1">
      <alignment vertical="center"/>
    </xf>
    <xf numFmtId="190" fontId="60" fillId="40" borderId="0" xfId="420" applyNumberFormat="1" applyFont="1" applyFill="1" applyProtection="1">
      <alignment vertical="center"/>
      <protection hidden="1"/>
    </xf>
    <xf numFmtId="0" fontId="111" fillId="0" borderId="0" xfId="0" applyFont="1" applyProtection="1">
      <alignment vertical="center"/>
      <protection hidden="1"/>
    </xf>
    <xf numFmtId="0" fontId="120" fillId="34" borderId="0" xfId="0" applyFont="1" applyFill="1">
      <alignment vertical="center"/>
    </xf>
    <xf numFmtId="0" fontId="121" fillId="55" borderId="10" xfId="0" applyFont="1" applyFill="1" applyBorder="1" applyAlignment="1">
      <alignment horizontal="center" vertical="center" wrapText="1"/>
    </xf>
    <xf numFmtId="188" fontId="118" fillId="0" borderId="10" xfId="430" applyNumberFormat="1" applyFont="1" applyBorder="1" applyAlignment="1" applyProtection="1">
      <alignment horizontal="center" vertical="center" wrapText="1"/>
      <protection hidden="1"/>
    </xf>
    <xf numFmtId="188" fontId="119" fillId="0" borderId="10" xfId="430" applyNumberFormat="1" applyFont="1" applyBorder="1" applyAlignment="1" applyProtection="1">
      <alignment horizontal="center" vertical="center" wrapText="1"/>
      <protection hidden="1"/>
    </xf>
    <xf numFmtId="188" fontId="124" fillId="0" borderId="10" xfId="430" applyNumberFormat="1" applyFont="1" applyBorder="1" applyAlignment="1" applyProtection="1">
      <alignment horizontal="center" vertical="center" wrapText="1"/>
      <protection hidden="1"/>
    </xf>
    <xf numFmtId="0" fontId="119" fillId="0" borderId="10" xfId="430" applyFont="1" applyBorder="1" applyAlignment="1">
      <alignment horizontal="center" vertical="center" wrapText="1"/>
    </xf>
    <xf numFmtId="0" fontId="122" fillId="0" borderId="0" xfId="430" applyFont="1" applyAlignment="1">
      <alignment horizontal="center" vertical="center" wrapText="1"/>
    </xf>
    <xf numFmtId="0" fontId="0" fillId="0" borderId="0" xfId="0" applyProtection="1">
      <alignment vertical="center"/>
      <protection hidden="1"/>
    </xf>
    <xf numFmtId="196" fontId="88" fillId="0" borderId="10" xfId="420" applyNumberFormat="1" applyFont="1" applyBorder="1" applyAlignment="1">
      <alignment vertical="center"/>
    </xf>
    <xf numFmtId="196" fontId="88" fillId="0" borderId="0" xfId="420" applyNumberFormat="1" applyFont="1" applyFill="1" applyAlignment="1"/>
    <xf numFmtId="195" fontId="114" fillId="43" borderId="0" xfId="0" applyNumberFormat="1" applyFont="1" applyFill="1" applyAlignment="1">
      <alignment horizontal="center" vertical="center"/>
    </xf>
    <xf numFmtId="0" fontId="23" fillId="43" borderId="0" xfId="0" applyFont="1" applyFill="1" applyAlignment="1">
      <alignment horizontal="center" vertical="center"/>
    </xf>
    <xf numFmtId="2" fontId="67" fillId="35" borderId="0" xfId="425" applyNumberFormat="1" applyFont="1" applyFill="1" applyAlignment="1" applyProtection="1">
      <alignment horizontal="center" vertical="center"/>
      <protection hidden="1"/>
    </xf>
    <xf numFmtId="0" fontId="0" fillId="0" borderId="0" xfId="0" applyProtection="1">
      <alignment vertical="center"/>
      <protection locked="0"/>
    </xf>
    <xf numFmtId="178" fontId="30" fillId="0" borderId="0" xfId="422" applyNumberFormat="1" applyFont="1" applyFill="1" applyBorder="1" applyProtection="1">
      <alignment vertical="center"/>
      <protection hidden="1"/>
    </xf>
    <xf numFmtId="0" fontId="127" fillId="0" borderId="0" xfId="0" applyFont="1" applyProtection="1">
      <alignment vertical="center"/>
      <protection locked="0"/>
    </xf>
    <xf numFmtId="0" fontId="128" fillId="0" borderId="0" xfId="411" applyFont="1" applyAlignment="1" applyProtection="1">
      <alignment horizontal="center" vertical="center" wrapText="1"/>
      <protection locked="0"/>
    </xf>
    <xf numFmtId="0" fontId="0" fillId="0" borderId="0" xfId="0" applyAlignment="1" applyProtection="1">
      <alignment horizontal="left" vertical="center"/>
      <protection locked="0"/>
    </xf>
    <xf numFmtId="0" fontId="129" fillId="35" borderId="26" xfId="411" applyFont="1" applyFill="1" applyBorder="1" applyAlignment="1" applyProtection="1">
      <alignment horizontal="center" vertical="center" wrapText="1"/>
      <protection hidden="1"/>
    </xf>
    <xf numFmtId="0" fontId="108" fillId="0" borderId="0" xfId="0" applyFont="1" applyProtection="1">
      <alignment vertical="center"/>
      <protection locked="0"/>
    </xf>
    <xf numFmtId="10" fontId="130" fillId="56" borderId="34" xfId="422" applyNumberFormat="1" applyFont="1" applyFill="1" applyBorder="1" applyAlignment="1">
      <alignment horizontal="center" vertical="center"/>
    </xf>
    <xf numFmtId="10" fontId="130" fillId="56" borderId="35" xfId="422" applyNumberFormat="1" applyFont="1" applyFill="1" applyBorder="1" applyAlignment="1">
      <alignment horizontal="center" vertical="center"/>
    </xf>
    <xf numFmtId="178" fontId="30" fillId="0" borderId="0" xfId="422" applyNumberFormat="1" applyFont="1" applyProtection="1">
      <alignment vertical="center"/>
      <protection locked="0"/>
    </xf>
    <xf numFmtId="0" fontId="49" fillId="0" borderId="0" xfId="0" applyFont="1" applyProtection="1">
      <alignment vertical="center"/>
      <protection hidden="1"/>
    </xf>
    <xf numFmtId="0" fontId="131" fillId="0" borderId="17" xfId="0" applyFont="1" applyBorder="1" applyProtection="1">
      <alignment vertical="center"/>
      <protection hidden="1"/>
    </xf>
    <xf numFmtId="0" fontId="132" fillId="0" borderId="24" xfId="411" applyFont="1" applyBorder="1" applyAlignment="1" applyProtection="1">
      <alignment horizontal="center" vertical="center"/>
      <protection hidden="1"/>
    </xf>
    <xf numFmtId="0" fontId="133" fillId="59" borderId="44" xfId="0" applyFont="1" applyFill="1" applyBorder="1" applyAlignment="1" applyProtection="1">
      <alignment horizontal="center" vertical="center"/>
      <protection hidden="1"/>
    </xf>
    <xf numFmtId="0" fontId="49" fillId="53" borderId="0" xfId="0" applyFont="1" applyFill="1" applyProtection="1">
      <alignment vertical="center"/>
      <protection hidden="1"/>
    </xf>
    <xf numFmtId="10" fontId="49" fillId="0" borderId="0" xfId="0" applyNumberFormat="1" applyFont="1" applyProtection="1">
      <alignment vertical="center"/>
      <protection hidden="1"/>
    </xf>
    <xf numFmtId="178" fontId="88" fillId="0" borderId="0" xfId="422" applyNumberFormat="1" applyFont="1" applyAlignment="1"/>
    <xf numFmtId="178" fontId="88" fillId="0" borderId="14" xfId="422" applyNumberFormat="1" applyFont="1" applyBorder="1" applyAlignment="1">
      <alignment horizontal="center" vertical="center"/>
    </xf>
    <xf numFmtId="0" fontId="25" fillId="52" borderId="10" xfId="0" applyFont="1" applyFill="1" applyBorder="1" applyAlignment="1">
      <alignment horizontal="center" vertical="center" wrapText="1"/>
    </xf>
    <xf numFmtId="0" fontId="121" fillId="52" borderId="10" xfId="0" applyFont="1" applyFill="1" applyBorder="1" applyAlignment="1">
      <alignment horizontal="center" vertical="center" wrapText="1"/>
    </xf>
    <xf numFmtId="178" fontId="25" fillId="52" borderId="10" xfId="422" applyNumberFormat="1" applyFont="1" applyFill="1" applyBorder="1" applyAlignment="1">
      <alignment horizontal="center" vertical="center" wrapText="1"/>
    </xf>
    <xf numFmtId="10" fontId="123" fillId="52" borderId="10" xfId="422" applyNumberFormat="1" applyFont="1" applyFill="1" applyBorder="1" applyAlignment="1">
      <alignment horizontal="center" vertical="center" wrapText="1"/>
    </xf>
    <xf numFmtId="0" fontId="90" fillId="0" borderId="0" xfId="428" applyFont="1" applyProtection="1">
      <alignment vertical="center"/>
      <protection hidden="1"/>
    </xf>
    <xf numFmtId="179" fontId="59" fillId="45" borderId="0" xfId="0" applyNumberFormat="1" applyFont="1" applyFill="1" applyProtection="1">
      <alignment vertical="center"/>
      <protection hidden="1"/>
    </xf>
    <xf numFmtId="0" fontId="86" fillId="44" borderId="0" xfId="425" applyFont="1" applyFill="1" applyAlignment="1" applyProtection="1">
      <alignment vertical="center" wrapText="1"/>
      <protection hidden="1"/>
    </xf>
    <xf numFmtId="0" fontId="22" fillId="60" borderId="0" xfId="425" applyFill="1" applyProtection="1">
      <alignment vertical="center"/>
      <protection hidden="1"/>
    </xf>
    <xf numFmtId="0" fontId="49" fillId="60" borderId="0" xfId="425" applyFont="1" applyFill="1" applyAlignment="1" applyProtection="1">
      <alignment vertical="top" wrapText="1"/>
      <protection hidden="1"/>
    </xf>
    <xf numFmtId="0" fontId="93" fillId="60" borderId="0" xfId="425" applyFont="1" applyFill="1" applyProtection="1">
      <alignment vertical="center"/>
      <protection hidden="1"/>
    </xf>
    <xf numFmtId="0" fontId="90" fillId="35" borderId="36" xfId="0" applyFont="1" applyFill="1" applyBorder="1" applyAlignment="1">
      <alignment horizontal="center" vertical="center"/>
    </xf>
    <xf numFmtId="0" fontId="23" fillId="56" borderId="28" xfId="0" applyFont="1" applyFill="1" applyBorder="1" applyAlignment="1">
      <alignment horizontal="center" vertical="center"/>
    </xf>
    <xf numFmtId="179" fontId="90" fillId="56" borderId="29" xfId="0" applyNumberFormat="1" applyFont="1" applyFill="1" applyBorder="1" applyAlignment="1">
      <alignment horizontal="center" vertical="center"/>
    </xf>
    <xf numFmtId="0" fontId="23" fillId="56" borderId="30" xfId="411" applyFill="1" applyBorder="1" applyAlignment="1">
      <alignment horizontal="center" vertical="center"/>
    </xf>
    <xf numFmtId="49" fontId="23" fillId="56" borderId="31" xfId="411" applyNumberFormat="1" applyFill="1" applyBorder="1" applyAlignment="1">
      <alignment horizontal="center" vertical="center"/>
    </xf>
    <xf numFmtId="14" fontId="90" fillId="56" borderId="32" xfId="0" applyNumberFormat="1" applyFont="1" applyFill="1" applyBorder="1" applyAlignment="1">
      <alignment horizontal="center" vertical="center"/>
    </xf>
    <xf numFmtId="2" fontId="90" fillId="56" borderId="28" xfId="0" applyNumberFormat="1" applyFont="1" applyFill="1" applyBorder="1" applyAlignment="1">
      <alignment horizontal="center" vertical="center"/>
    </xf>
    <xf numFmtId="2" fontId="90" fillId="56" borderId="30" xfId="0" applyNumberFormat="1" applyFont="1" applyFill="1" applyBorder="1" applyAlignment="1">
      <alignment horizontal="center" vertical="center"/>
    </xf>
    <xf numFmtId="196" fontId="90" fillId="56" borderId="33" xfId="0" applyNumberFormat="1" applyFont="1" applyFill="1" applyBorder="1" applyAlignment="1">
      <alignment horizontal="center" vertical="center"/>
    </xf>
    <xf numFmtId="2" fontId="90" fillId="56" borderId="29" xfId="0" applyNumberFormat="1" applyFont="1" applyFill="1" applyBorder="1" applyAlignment="1">
      <alignment horizontal="center" vertical="center"/>
    </xf>
    <xf numFmtId="179" fontId="138" fillId="56" borderId="32" xfId="0" applyNumberFormat="1" applyFont="1" applyFill="1" applyBorder="1" applyAlignment="1">
      <alignment horizontal="center" vertical="center"/>
    </xf>
    <xf numFmtId="10" fontId="90" fillId="56" borderId="29" xfId="422" applyNumberFormat="1" applyFont="1" applyFill="1" applyBorder="1" applyAlignment="1">
      <alignment horizontal="center" vertical="center"/>
    </xf>
    <xf numFmtId="10" fontId="90" fillId="56" borderId="34" xfId="422" applyNumberFormat="1" applyFont="1" applyFill="1" applyBorder="1" applyAlignment="1">
      <alignment horizontal="center" vertical="center"/>
    </xf>
    <xf numFmtId="10" fontId="23" fillId="56" borderId="34" xfId="422" applyNumberFormat="1" applyFont="1" applyFill="1" applyBorder="1" applyAlignment="1">
      <alignment horizontal="center" vertical="center"/>
    </xf>
    <xf numFmtId="177" fontId="23" fillId="56" borderId="34" xfId="440" applyFont="1" applyFill="1" applyBorder="1" applyAlignment="1">
      <alignment horizontal="center" vertical="center"/>
    </xf>
    <xf numFmtId="0" fontId="23" fillId="0" borderId="36" xfId="0" applyFont="1" applyBorder="1" applyAlignment="1">
      <alignment horizontal="center" vertical="center"/>
    </xf>
    <xf numFmtId="179" fontId="90" fillId="0" borderId="37" xfId="0" applyNumberFormat="1" applyFont="1" applyBorder="1" applyAlignment="1">
      <alignment horizontal="center" vertical="center"/>
    </xf>
    <xf numFmtId="0" fontId="23" fillId="0" borderId="38" xfId="411" applyBorder="1" applyAlignment="1">
      <alignment horizontal="center" vertical="center"/>
    </xf>
    <xf numFmtId="49" fontId="23" fillId="0" borderId="39" xfId="411" applyNumberFormat="1" applyBorder="1" applyAlignment="1">
      <alignment horizontal="center" vertical="center"/>
    </xf>
    <xf numFmtId="14" fontId="90" fillId="0" borderId="40" xfId="0" applyNumberFormat="1" applyFont="1" applyBorder="1" applyAlignment="1">
      <alignment horizontal="center" vertical="center"/>
    </xf>
    <xf numFmtId="2" fontId="90" fillId="0" borderId="36" xfId="0" applyNumberFormat="1" applyFont="1" applyBorder="1" applyAlignment="1">
      <alignment horizontal="center" vertical="center"/>
    </xf>
    <xf numFmtId="2" fontId="90" fillId="0" borderId="38" xfId="0" applyNumberFormat="1" applyFont="1" applyBorder="1" applyAlignment="1">
      <alignment horizontal="center" vertical="center"/>
    </xf>
    <xf numFmtId="196" fontId="90" fillId="0" borderId="41" xfId="0" applyNumberFormat="1" applyFont="1" applyBorder="1" applyAlignment="1">
      <alignment horizontal="center" vertical="center"/>
    </xf>
    <xf numFmtId="2" fontId="90" fillId="0" borderId="37" xfId="0" applyNumberFormat="1" applyFont="1" applyBorder="1" applyAlignment="1">
      <alignment horizontal="center" vertical="center"/>
    </xf>
    <xf numFmtId="179" fontId="138" fillId="0" borderId="40" xfId="0" applyNumberFormat="1" applyFont="1" applyBorder="1" applyAlignment="1">
      <alignment horizontal="center" vertical="center"/>
    </xf>
    <xf numFmtId="10" fontId="90" fillId="0" borderId="37" xfId="422" applyNumberFormat="1" applyFont="1" applyBorder="1" applyAlignment="1">
      <alignment horizontal="center" vertical="center"/>
    </xf>
    <xf numFmtId="10" fontId="90" fillId="0" borderId="42" xfId="422" applyNumberFormat="1" applyFont="1" applyBorder="1" applyAlignment="1">
      <alignment horizontal="center" vertical="center"/>
    </xf>
    <xf numFmtId="10" fontId="23" fillId="0" borderId="42" xfId="422" applyNumberFormat="1" applyFont="1" applyBorder="1" applyAlignment="1">
      <alignment horizontal="center" vertical="center"/>
    </xf>
    <xf numFmtId="177" fontId="23" fillId="0" borderId="42" xfId="440" applyFont="1" applyBorder="1" applyAlignment="1">
      <alignment horizontal="center" vertical="center"/>
    </xf>
    <xf numFmtId="10" fontId="130" fillId="56" borderId="83" xfId="422" applyNumberFormat="1" applyFont="1" applyFill="1" applyBorder="1" applyAlignment="1">
      <alignment horizontal="center" vertical="center"/>
    </xf>
    <xf numFmtId="14" fontId="0" fillId="0" borderId="0" xfId="0" applyNumberFormat="1" applyProtection="1">
      <alignment vertical="center"/>
      <protection locked="0"/>
    </xf>
    <xf numFmtId="0" fontId="113" fillId="60" borderId="85" xfId="0" applyFont="1" applyFill="1" applyBorder="1" applyAlignment="1" applyProtection="1">
      <alignment horizontal="center" vertical="center"/>
      <protection hidden="1"/>
    </xf>
    <xf numFmtId="14" fontId="129" fillId="35" borderId="26" xfId="411" applyNumberFormat="1" applyFont="1" applyFill="1" applyBorder="1" applyAlignment="1" applyProtection="1">
      <alignment horizontal="center" vertical="center" wrapText="1"/>
      <protection hidden="1"/>
    </xf>
    <xf numFmtId="0" fontId="129" fillId="43" borderId="0" xfId="411" applyFont="1" applyFill="1" applyAlignment="1" applyProtection="1">
      <alignment horizontal="center" vertical="center" wrapText="1"/>
      <protection hidden="1"/>
    </xf>
    <xf numFmtId="0" fontId="56" fillId="0" borderId="0" xfId="0" applyFont="1" applyAlignment="1">
      <alignment horizontal="center" vertical="center"/>
    </xf>
    <xf numFmtId="178" fontId="0" fillId="0" borderId="0" xfId="422" applyNumberFormat="1" applyFont="1">
      <alignment vertical="center"/>
    </xf>
    <xf numFmtId="178" fontId="88" fillId="0" borderId="0" xfId="422" applyNumberFormat="1" applyFont="1">
      <alignment vertical="center"/>
    </xf>
    <xf numFmtId="0" fontId="139" fillId="34" borderId="97" xfId="446" applyFont="1" applyFill="1" applyBorder="1" applyProtection="1">
      <alignment vertical="center"/>
      <protection hidden="1"/>
    </xf>
    <xf numFmtId="0" fontId="144" fillId="60" borderId="99" xfId="446" applyFont="1" applyFill="1" applyBorder="1" applyAlignment="1" applyProtection="1">
      <alignment horizontal="center" vertical="center"/>
      <protection hidden="1"/>
    </xf>
    <xf numFmtId="181" fontId="144" fillId="60" borderId="96" xfId="447" applyNumberFormat="1" applyFont="1" applyFill="1" applyBorder="1" applyAlignment="1" applyProtection="1">
      <alignment horizontal="center" vertical="center"/>
      <protection hidden="1"/>
    </xf>
    <xf numFmtId="0" fontId="98" fillId="34" borderId="101" xfId="446" applyFont="1" applyFill="1" applyBorder="1" applyAlignment="1" applyProtection="1">
      <alignment horizontal="right" vertical="center"/>
      <protection hidden="1"/>
    </xf>
    <xf numFmtId="177" fontId="98" fillId="34" borderId="101" xfId="447" applyFont="1" applyFill="1" applyBorder="1" applyAlignment="1" applyProtection="1">
      <alignment horizontal="right" vertical="center"/>
      <protection hidden="1"/>
    </xf>
    <xf numFmtId="177" fontId="98" fillId="34" borderId="102" xfId="447" applyFont="1" applyFill="1" applyBorder="1" applyAlignment="1" applyProtection="1">
      <alignment horizontal="right" vertical="center"/>
      <protection hidden="1"/>
    </xf>
    <xf numFmtId="178" fontId="98" fillId="34" borderId="101" xfId="446" applyNumberFormat="1" applyFont="1" applyFill="1" applyBorder="1" applyAlignment="1" applyProtection="1">
      <alignment horizontal="right" vertical="center"/>
      <protection hidden="1"/>
    </xf>
    <xf numFmtId="2" fontId="98" fillId="34" borderId="101" xfId="446" applyNumberFormat="1" applyFont="1" applyFill="1" applyBorder="1" applyAlignment="1" applyProtection="1">
      <alignment horizontal="center" vertical="center"/>
      <protection hidden="1"/>
    </xf>
    <xf numFmtId="181" fontId="98" fillId="34" borderId="101" xfId="447" applyNumberFormat="1" applyFont="1" applyFill="1" applyBorder="1" applyAlignment="1" applyProtection="1">
      <alignment horizontal="right" vertical="center"/>
      <protection hidden="1"/>
    </xf>
    <xf numFmtId="0" fontId="98" fillId="34" borderId="101" xfId="446" applyFont="1" applyFill="1" applyBorder="1" applyAlignment="1" applyProtection="1">
      <alignment horizontal="center" vertical="center"/>
      <protection hidden="1"/>
    </xf>
    <xf numFmtId="181" fontId="98" fillId="34" borderId="101" xfId="447" applyNumberFormat="1" applyFont="1" applyFill="1" applyBorder="1" applyAlignment="1" applyProtection="1">
      <alignment horizontal="center" vertical="center"/>
      <protection hidden="1"/>
    </xf>
    <xf numFmtId="0" fontId="13" fillId="34" borderId="0" xfId="446" applyFill="1" applyAlignment="1" applyProtection="1">
      <alignment horizontal="center" vertical="center"/>
      <protection hidden="1"/>
    </xf>
    <xf numFmtId="0" fontId="13" fillId="34" borderId="0" xfId="446" applyFill="1" applyProtection="1">
      <alignment vertical="center"/>
      <protection hidden="1"/>
    </xf>
    <xf numFmtId="177" fontId="95" fillId="49" borderId="99" xfId="420" applyFont="1" applyFill="1" applyBorder="1" applyAlignment="1" applyProtection="1">
      <alignment horizontal="center" vertical="center"/>
      <protection hidden="1"/>
    </xf>
    <xf numFmtId="181" fontId="98" fillId="61" borderId="0" xfId="447" applyNumberFormat="1" applyFont="1" applyFill="1" applyBorder="1" applyProtection="1">
      <alignment vertical="center"/>
      <protection hidden="1"/>
    </xf>
    <xf numFmtId="190" fontId="98" fillId="61" borderId="0" xfId="420" applyNumberFormat="1" applyFont="1" applyFill="1" applyBorder="1" applyProtection="1">
      <alignment vertical="center"/>
      <protection hidden="1"/>
    </xf>
    <xf numFmtId="190" fontId="98" fillId="34" borderId="0" xfId="420" applyNumberFormat="1" applyFont="1" applyFill="1" applyBorder="1" applyProtection="1">
      <alignment vertical="center"/>
      <protection hidden="1"/>
    </xf>
    <xf numFmtId="0" fontId="98" fillId="34" borderId="105" xfId="446" applyFont="1" applyFill="1" applyBorder="1" applyProtection="1">
      <alignment vertical="center"/>
      <protection hidden="1"/>
    </xf>
    <xf numFmtId="195" fontId="83" fillId="43" borderId="0" xfId="0" applyNumberFormat="1" applyFont="1" applyFill="1" applyAlignment="1">
      <alignment horizontal="center" vertical="center"/>
    </xf>
    <xf numFmtId="0" fontId="139" fillId="34" borderId="0" xfId="446" applyFont="1" applyFill="1" applyAlignment="1" applyProtection="1">
      <alignment horizontal="center" vertical="center"/>
      <protection hidden="1"/>
    </xf>
    <xf numFmtId="0" fontId="139" fillId="34" borderId="0" xfId="446" applyFont="1" applyFill="1" applyProtection="1">
      <alignment vertical="center"/>
      <protection hidden="1"/>
    </xf>
    <xf numFmtId="0" fontId="12" fillId="0" borderId="0" xfId="0" applyFont="1">
      <alignment vertical="center"/>
    </xf>
    <xf numFmtId="0" fontId="59" fillId="0" borderId="0" xfId="0" applyFont="1">
      <alignment vertical="center"/>
    </xf>
    <xf numFmtId="0" fontId="149" fillId="58" borderId="24" xfId="411" applyFont="1" applyFill="1" applyBorder="1" applyAlignment="1" applyProtection="1">
      <alignment horizontal="center" vertical="center"/>
      <protection hidden="1"/>
    </xf>
    <xf numFmtId="0" fontId="149" fillId="58" borderId="25" xfId="411" applyFont="1" applyFill="1" applyBorder="1" applyAlignment="1" applyProtection="1">
      <alignment horizontal="center" vertical="center"/>
      <protection hidden="1"/>
    </xf>
    <xf numFmtId="0" fontId="83" fillId="59" borderId="27" xfId="411" applyFont="1" applyFill="1" applyBorder="1" applyAlignment="1">
      <alignment horizontal="center" vertical="center"/>
    </xf>
    <xf numFmtId="0" fontId="83" fillId="0" borderId="30" xfId="411" applyFont="1" applyBorder="1" applyAlignment="1">
      <alignment horizontal="center" vertical="center"/>
    </xf>
    <xf numFmtId="10" fontId="83" fillId="0" borderId="83" xfId="422" applyNumberFormat="1" applyFont="1" applyFill="1" applyBorder="1" applyAlignment="1">
      <alignment horizontal="center" vertical="center"/>
    </xf>
    <xf numFmtId="180" fontId="83" fillId="0" borderId="83" xfId="422" applyNumberFormat="1" applyFont="1" applyFill="1" applyBorder="1" applyAlignment="1">
      <alignment horizontal="center" vertical="center"/>
    </xf>
    <xf numFmtId="178" fontId="83" fillId="0" borderId="83" xfId="422" applyNumberFormat="1" applyFont="1" applyFill="1" applyBorder="1" applyAlignment="1">
      <alignment horizontal="center" vertical="center"/>
    </xf>
    <xf numFmtId="0" fontId="83" fillId="0" borderId="38" xfId="411" applyFont="1" applyBorder="1" applyAlignment="1">
      <alignment horizontal="center" vertical="center"/>
    </xf>
    <xf numFmtId="180" fontId="83" fillId="37" borderId="83" xfId="422" applyNumberFormat="1" applyFont="1" applyFill="1" applyBorder="1" applyAlignment="1">
      <alignment horizontal="center" vertical="center"/>
    </xf>
    <xf numFmtId="10" fontId="83" fillId="37" borderId="83" xfId="422" applyNumberFormat="1" applyFont="1" applyFill="1" applyBorder="1" applyAlignment="1">
      <alignment horizontal="center" vertical="center"/>
    </xf>
    <xf numFmtId="178" fontId="83" fillId="37" borderId="83" xfId="422" applyNumberFormat="1" applyFont="1" applyFill="1" applyBorder="1" applyAlignment="1">
      <alignment horizontal="center" vertical="center"/>
    </xf>
    <xf numFmtId="195" fontId="83" fillId="37" borderId="0" xfId="0" applyNumberFormat="1" applyFont="1" applyFill="1" applyAlignment="1">
      <alignment horizontal="center" vertical="center"/>
    </xf>
    <xf numFmtId="49" fontId="97" fillId="61" borderId="51" xfId="411" applyNumberFormat="1" applyFont="1" applyFill="1" applyBorder="1" applyAlignment="1" applyProtection="1">
      <alignment horizontal="center" vertical="center"/>
      <protection locked="0"/>
    </xf>
    <xf numFmtId="49" fontId="97" fillId="61" borderId="86" xfId="411" applyNumberFormat="1" applyFont="1" applyFill="1" applyBorder="1" applyAlignment="1" applyProtection="1">
      <alignment horizontal="center" vertical="center"/>
      <protection locked="0"/>
    </xf>
    <xf numFmtId="185" fontId="150" fillId="34" borderId="91" xfId="0" applyNumberFormat="1" applyFont="1" applyFill="1" applyBorder="1" applyProtection="1">
      <alignment vertical="center"/>
      <protection hidden="1"/>
    </xf>
    <xf numFmtId="49" fontId="97" fillId="61" borderId="82" xfId="411" applyNumberFormat="1" applyFont="1" applyFill="1" applyBorder="1" applyAlignment="1" applyProtection="1">
      <alignment horizontal="center" vertical="center"/>
      <protection locked="0"/>
    </xf>
    <xf numFmtId="0" fontId="150" fillId="34" borderId="46" xfId="0" applyFont="1" applyFill="1" applyBorder="1" applyAlignment="1" applyProtection="1">
      <alignment horizontal="center" vertical="center"/>
      <protection hidden="1"/>
    </xf>
    <xf numFmtId="193" fontId="150" fillId="34" borderId="46" xfId="0" applyNumberFormat="1" applyFont="1" applyFill="1" applyBorder="1" applyAlignment="1" applyProtection="1">
      <alignment horizontal="right" vertical="center"/>
      <protection hidden="1"/>
    </xf>
    <xf numFmtId="2" fontId="150" fillId="34" borderId="46" xfId="0" applyNumberFormat="1" applyFont="1" applyFill="1" applyBorder="1" applyProtection="1">
      <alignment vertical="center"/>
      <protection hidden="1"/>
    </xf>
    <xf numFmtId="185" fontId="150" fillId="34" borderId="92" xfId="0" applyNumberFormat="1" applyFont="1" applyFill="1" applyBorder="1" applyProtection="1">
      <alignment vertical="center"/>
      <protection hidden="1"/>
    </xf>
    <xf numFmtId="0" fontId="152" fillId="34" borderId="16" xfId="0" applyFont="1" applyFill="1" applyBorder="1" applyProtection="1">
      <alignment vertical="center"/>
      <protection hidden="1"/>
    </xf>
    <xf numFmtId="0" fontId="153" fillId="34" borderId="0" xfId="0" applyFont="1" applyFill="1" applyProtection="1">
      <alignment vertical="center"/>
      <protection hidden="1"/>
    </xf>
    <xf numFmtId="0" fontId="113" fillId="60" borderId="49" xfId="0" applyFont="1" applyFill="1" applyBorder="1" applyAlignment="1" applyProtection="1">
      <alignment horizontal="center" vertical="center"/>
      <protection hidden="1"/>
    </xf>
    <xf numFmtId="0" fontId="113" fillId="60" borderId="47" xfId="0" applyFont="1" applyFill="1" applyBorder="1" applyAlignment="1" applyProtection="1">
      <alignment horizontal="center" vertical="center" wrapText="1"/>
      <protection hidden="1"/>
    </xf>
    <xf numFmtId="193" fontId="113" fillId="60" borderId="47" xfId="0" applyNumberFormat="1" applyFont="1" applyFill="1" applyBorder="1" applyAlignment="1" applyProtection="1">
      <alignment horizontal="center" vertical="center" wrapText="1"/>
      <protection hidden="1"/>
    </xf>
    <xf numFmtId="198" fontId="59" fillId="0" borderId="0" xfId="0" applyNumberFormat="1" applyFont="1">
      <alignment vertical="center"/>
    </xf>
    <xf numFmtId="198" fontId="59" fillId="37" borderId="0" xfId="0" applyNumberFormat="1" applyFont="1" applyFill="1">
      <alignment vertical="center"/>
    </xf>
    <xf numFmtId="0" fontId="0" fillId="34" borderId="113" xfId="0" applyFill="1" applyBorder="1">
      <alignment vertical="center"/>
    </xf>
    <xf numFmtId="0" fontId="150" fillId="34" borderId="0" xfId="0" applyFont="1" applyFill="1" applyAlignment="1" applyProtection="1">
      <alignment horizontal="center" vertical="center"/>
      <protection hidden="1"/>
    </xf>
    <xf numFmtId="193" fontId="150" fillId="34" borderId="0" xfId="0" applyNumberFormat="1" applyFont="1" applyFill="1" applyAlignment="1" applyProtection="1">
      <alignment horizontal="right" vertical="center"/>
      <protection hidden="1"/>
    </xf>
    <xf numFmtId="2" fontId="150" fillId="34" borderId="0" xfId="0" applyNumberFormat="1" applyFont="1" applyFill="1" applyProtection="1">
      <alignment vertical="center"/>
      <protection hidden="1"/>
    </xf>
    <xf numFmtId="181" fontId="134" fillId="53" borderId="85" xfId="420" applyNumberFormat="1" applyFont="1" applyFill="1" applyBorder="1" applyAlignment="1" applyProtection="1">
      <alignment horizontal="center" vertical="center"/>
      <protection hidden="1"/>
    </xf>
    <xf numFmtId="0" fontId="14" fillId="34" borderId="0" xfId="425" applyFont="1" applyFill="1" applyProtection="1">
      <alignment vertical="center"/>
      <protection hidden="1"/>
    </xf>
    <xf numFmtId="0" fontId="82" fillId="34" borderId="0" xfId="425" applyFont="1" applyFill="1" applyProtection="1">
      <alignment vertical="center"/>
      <protection hidden="1"/>
    </xf>
    <xf numFmtId="0" fontId="13" fillId="53" borderId="0" xfId="446" applyFill="1" applyAlignment="1" applyProtection="1">
      <alignment horizontal="center" vertical="center"/>
      <protection hidden="1"/>
    </xf>
    <xf numFmtId="178" fontId="139" fillId="34" borderId="0" xfId="448" applyNumberFormat="1" applyFont="1" applyFill="1" applyAlignment="1" applyProtection="1">
      <alignment horizontal="center" vertical="center"/>
      <protection hidden="1"/>
    </xf>
    <xf numFmtId="0" fontId="148" fillId="34" borderId="0" xfId="446" applyFont="1" applyFill="1" applyAlignment="1" applyProtection="1">
      <alignment horizontal="center" vertical="center"/>
      <protection hidden="1"/>
    </xf>
    <xf numFmtId="0" fontId="141" fillId="34" borderId="0" xfId="446" applyFont="1" applyFill="1" applyAlignment="1" applyProtection="1">
      <alignment horizontal="center" vertical="center"/>
      <protection hidden="1"/>
    </xf>
    <xf numFmtId="0" fontId="143" fillId="34" borderId="0" xfId="446" applyFont="1" applyFill="1" applyAlignment="1" applyProtection="1">
      <alignment horizontal="right" vertical="center"/>
      <protection hidden="1"/>
    </xf>
    <xf numFmtId="14" fontId="143" fillId="34" borderId="0" xfId="446" applyNumberFormat="1" applyFont="1" applyFill="1" applyAlignment="1" applyProtection="1">
      <alignment horizontal="center" vertical="center"/>
      <protection hidden="1"/>
    </xf>
    <xf numFmtId="0" fontId="139" fillId="53" borderId="0" xfId="446" applyFont="1" applyFill="1" applyAlignment="1" applyProtection="1">
      <alignment horizontal="center" vertical="center"/>
      <protection hidden="1"/>
    </xf>
    <xf numFmtId="0" fontId="147" fillId="34" borderId="0" xfId="446" applyFont="1" applyFill="1" applyAlignment="1" applyProtection="1">
      <alignment horizontal="center" vertical="center"/>
      <protection hidden="1"/>
    </xf>
    <xf numFmtId="0" fontId="98" fillId="35" borderId="0" xfId="446" applyFont="1" applyFill="1" applyAlignment="1" applyProtection="1">
      <alignment horizontal="center" vertical="center"/>
      <protection hidden="1"/>
    </xf>
    <xf numFmtId="0" fontId="139" fillId="34" borderId="0" xfId="446" applyFont="1" applyFill="1" applyAlignment="1" applyProtection="1">
      <alignment horizontal="left" vertical="center"/>
      <protection hidden="1"/>
    </xf>
    <xf numFmtId="0" fontId="145" fillId="37" borderId="0" xfId="446" applyFont="1" applyFill="1" applyAlignment="1" applyProtection="1">
      <alignment horizontal="center" vertical="center"/>
      <protection hidden="1"/>
    </xf>
    <xf numFmtId="0" fontId="139" fillId="37" borderId="0" xfId="446" applyFont="1" applyFill="1" applyAlignment="1" applyProtection="1">
      <alignment horizontal="center" vertical="center"/>
      <protection hidden="1"/>
    </xf>
    <xf numFmtId="0" fontId="144" fillId="60" borderId="100" xfId="446" applyFont="1" applyFill="1" applyBorder="1" applyAlignment="1" applyProtection="1">
      <alignment horizontal="center" vertical="center"/>
      <protection hidden="1"/>
    </xf>
    <xf numFmtId="181" fontId="139" fillId="34" borderId="0" xfId="446" applyNumberFormat="1" applyFont="1" applyFill="1" applyAlignment="1" applyProtection="1">
      <alignment horizontal="right" vertical="center"/>
      <protection hidden="1"/>
    </xf>
    <xf numFmtId="14" fontId="139" fillId="34" borderId="0" xfId="446" applyNumberFormat="1" applyFont="1" applyFill="1" applyAlignment="1" applyProtection="1">
      <alignment horizontal="center" vertical="center"/>
      <protection hidden="1"/>
    </xf>
    <xf numFmtId="14" fontId="147" fillId="34" borderId="0" xfId="446" applyNumberFormat="1" applyFont="1" applyFill="1" applyAlignment="1" applyProtection="1">
      <alignment horizontal="center" vertical="center"/>
      <protection hidden="1"/>
    </xf>
    <xf numFmtId="178" fontId="139" fillId="34" borderId="0" xfId="422" applyNumberFormat="1" applyFont="1" applyFill="1" applyAlignment="1" applyProtection="1">
      <alignment horizontal="center" vertical="center"/>
      <protection hidden="1"/>
    </xf>
    <xf numFmtId="177" fontId="139" fillId="34" borderId="0" xfId="446" applyNumberFormat="1" applyFont="1" applyFill="1" applyAlignment="1" applyProtection="1">
      <alignment horizontal="center" vertical="center"/>
      <protection hidden="1"/>
    </xf>
    <xf numFmtId="0" fontId="93" fillId="34" borderId="0" xfId="446" applyFont="1" applyFill="1" applyAlignment="1" applyProtection="1">
      <alignment horizontal="center" vertical="center"/>
      <protection hidden="1"/>
    </xf>
    <xf numFmtId="10" fontId="93" fillId="37" borderId="0" xfId="446" applyNumberFormat="1" applyFont="1" applyFill="1" applyAlignment="1" applyProtection="1">
      <alignment horizontal="center" vertical="center"/>
      <protection hidden="1"/>
    </xf>
    <xf numFmtId="0" fontId="90" fillId="0" borderId="0" xfId="0" applyFont="1">
      <alignment vertical="center"/>
    </xf>
    <xf numFmtId="0" fontId="90" fillId="0" borderId="0" xfId="0" applyFont="1" applyAlignment="1">
      <alignment horizontal="center" vertical="center"/>
    </xf>
    <xf numFmtId="179" fontId="23" fillId="0" borderId="0" xfId="0" applyNumberFormat="1" applyFont="1" applyAlignment="1">
      <alignment horizontal="center" vertical="center"/>
    </xf>
    <xf numFmtId="14" fontId="90" fillId="0" borderId="0" xfId="0" applyNumberFormat="1" applyFont="1" applyAlignment="1">
      <alignment horizontal="center" vertical="center"/>
    </xf>
    <xf numFmtId="180" fontId="90" fillId="0" borderId="0" xfId="0" applyNumberFormat="1" applyFont="1" applyAlignment="1">
      <alignment horizontal="center" vertical="center"/>
    </xf>
    <xf numFmtId="10" fontId="90" fillId="0" borderId="0" xfId="422" applyNumberFormat="1" applyFont="1">
      <alignment vertical="center"/>
    </xf>
    <xf numFmtId="0" fontId="164" fillId="58" borderId="114" xfId="411" applyFont="1" applyFill="1" applyBorder="1" applyAlignment="1">
      <alignment horizontal="center" vertical="center" wrapText="1"/>
    </xf>
    <xf numFmtId="0" fontId="166" fillId="58" borderId="114" xfId="411" applyFont="1" applyFill="1" applyBorder="1" applyAlignment="1">
      <alignment horizontal="center" vertical="center" wrapText="1"/>
    </xf>
    <xf numFmtId="179" fontId="164" fillId="58" borderId="114" xfId="411" applyNumberFormat="1" applyFont="1" applyFill="1" applyBorder="1" applyAlignment="1">
      <alignment horizontal="center" vertical="center" wrapText="1"/>
    </xf>
    <xf numFmtId="0" fontId="164" fillId="58" borderId="114" xfId="411" applyFont="1" applyFill="1" applyBorder="1" applyAlignment="1">
      <alignment horizontal="center" vertical="center"/>
    </xf>
    <xf numFmtId="0" fontId="164" fillId="58" borderId="115" xfId="411" applyFont="1" applyFill="1" applyBorder="1" applyAlignment="1">
      <alignment horizontal="center" vertical="center"/>
    </xf>
    <xf numFmtId="14" fontId="164" fillId="58" borderId="114" xfId="411" applyNumberFormat="1" applyFont="1" applyFill="1" applyBorder="1" applyAlignment="1">
      <alignment horizontal="center" vertical="center"/>
    </xf>
    <xf numFmtId="180" fontId="164" fillId="58" borderId="114" xfId="411" applyNumberFormat="1" applyFont="1" applyFill="1" applyBorder="1" applyAlignment="1">
      <alignment horizontal="center" vertical="center"/>
    </xf>
    <xf numFmtId="0" fontId="164" fillId="58" borderId="116" xfId="411" applyFont="1" applyFill="1" applyBorder="1" applyAlignment="1">
      <alignment horizontal="center" vertical="center" wrapText="1"/>
    </xf>
    <xf numFmtId="0" fontId="164" fillId="58" borderId="117" xfId="411" applyFont="1" applyFill="1" applyBorder="1" applyAlignment="1">
      <alignment horizontal="center" vertical="center" wrapText="1"/>
    </xf>
    <xf numFmtId="0" fontId="23" fillId="59" borderId="45" xfId="411" applyFill="1" applyBorder="1" applyAlignment="1">
      <alignment horizontal="center" vertical="center"/>
    </xf>
    <xf numFmtId="10" fontId="164" fillId="58" borderId="117" xfId="422" applyNumberFormat="1" applyFont="1" applyFill="1" applyBorder="1" applyAlignment="1">
      <alignment horizontal="center" vertical="center" wrapText="1"/>
    </xf>
    <xf numFmtId="181" fontId="13" fillId="34" borderId="0" xfId="446" applyNumberFormat="1" applyFill="1" applyProtection="1">
      <alignment vertical="center"/>
      <protection hidden="1"/>
    </xf>
    <xf numFmtId="190" fontId="13" fillId="34" borderId="0" xfId="446" applyNumberFormat="1" applyFill="1" applyProtection="1">
      <alignment vertical="center"/>
      <protection hidden="1"/>
    </xf>
    <xf numFmtId="0" fontId="93" fillId="34" borderId="0" xfId="446" applyFont="1" applyFill="1" applyProtection="1">
      <alignment vertical="center"/>
      <protection hidden="1"/>
    </xf>
    <xf numFmtId="177" fontId="13" fillId="34" borderId="0" xfId="446" applyNumberFormat="1" applyFill="1" applyAlignment="1" applyProtection="1">
      <alignment horizontal="center" vertical="center"/>
      <protection hidden="1"/>
    </xf>
    <xf numFmtId="0" fontId="134" fillId="34" borderId="0" xfId="0" applyFont="1" applyFill="1" applyAlignment="1" applyProtection="1">
      <alignment horizontal="center" vertical="center"/>
      <protection hidden="1"/>
    </xf>
    <xf numFmtId="0" fontId="134" fillId="34" borderId="46" xfId="0" applyFont="1" applyFill="1" applyBorder="1" applyAlignment="1" applyProtection="1">
      <alignment horizontal="center" vertical="center"/>
      <protection hidden="1"/>
    </xf>
    <xf numFmtId="0" fontId="134" fillId="0" borderId="48" xfId="0" applyFont="1" applyBorder="1" applyAlignment="1" applyProtection="1">
      <alignment horizontal="center" vertical="center"/>
      <protection hidden="1"/>
    </xf>
    <xf numFmtId="0" fontId="98" fillId="34" borderId="0" xfId="446" applyFont="1" applyFill="1" applyAlignment="1" applyProtection="1">
      <alignment vertical="center" wrapText="1"/>
      <protection hidden="1"/>
    </xf>
    <xf numFmtId="0" fontId="71" fillId="34" borderId="0" xfId="425" applyFont="1" applyFill="1" applyAlignment="1" applyProtection="1">
      <alignment vertical="center" wrapText="1"/>
      <protection hidden="1"/>
    </xf>
    <xf numFmtId="0" fontId="57" fillId="34" borderId="0" xfId="425" applyFont="1" applyFill="1" applyAlignment="1" applyProtection="1">
      <alignment horizontal="center" vertical="center"/>
      <protection hidden="1"/>
    </xf>
    <xf numFmtId="0" fontId="57" fillId="34" borderId="0" xfId="425" applyFont="1" applyFill="1" applyAlignment="1" applyProtection="1">
      <alignment horizontal="right" vertical="center"/>
      <protection hidden="1"/>
    </xf>
    <xf numFmtId="199" fontId="98" fillId="61" borderId="0" xfId="446" applyNumberFormat="1" applyFont="1" applyFill="1" applyAlignment="1" applyProtection="1">
      <alignment horizontal="center" vertical="center"/>
      <protection hidden="1"/>
    </xf>
    <xf numFmtId="0" fontId="136" fillId="60" borderId="121" xfId="446" applyFont="1" applyFill="1" applyBorder="1" applyAlignment="1" applyProtection="1">
      <alignment horizontal="center" vertical="center"/>
      <protection hidden="1"/>
    </xf>
    <xf numFmtId="0" fontId="136" fillId="60" borderId="122" xfId="446" applyFont="1" applyFill="1" applyBorder="1" applyAlignment="1" applyProtection="1">
      <alignment horizontal="center" vertical="center"/>
      <protection hidden="1"/>
    </xf>
    <xf numFmtId="0" fontId="136" fillId="60" borderId="104" xfId="446" applyFont="1" applyFill="1" applyBorder="1" applyAlignment="1" applyProtection="1">
      <alignment horizontal="center" vertical="center"/>
      <protection hidden="1"/>
    </xf>
    <xf numFmtId="190" fontId="136" fillId="60" borderId="124" xfId="420" applyNumberFormat="1" applyFont="1" applyFill="1" applyBorder="1" applyAlignment="1" applyProtection="1">
      <alignment horizontal="center" vertical="center"/>
      <protection hidden="1"/>
    </xf>
    <xf numFmtId="0" fontId="136" fillId="60" borderId="124" xfId="446" applyFont="1" applyFill="1" applyBorder="1" applyAlignment="1" applyProtection="1">
      <alignment horizontal="center" vertical="center"/>
      <protection hidden="1"/>
    </xf>
    <xf numFmtId="0" fontId="98" fillId="34" borderId="126" xfId="446" applyFont="1" applyFill="1" applyBorder="1" applyAlignment="1" applyProtection="1">
      <alignment horizontal="center" vertical="center"/>
      <protection hidden="1"/>
    </xf>
    <xf numFmtId="0" fontId="98" fillId="61" borderId="127" xfId="446" applyFont="1" applyFill="1" applyBorder="1" applyAlignment="1" applyProtection="1">
      <alignment horizontal="center" vertical="center"/>
      <protection hidden="1"/>
    </xf>
    <xf numFmtId="0" fontId="98" fillId="34" borderId="0" xfId="446" applyFont="1" applyFill="1" applyProtection="1">
      <alignment vertical="center"/>
      <protection hidden="1"/>
    </xf>
    <xf numFmtId="0" fontId="162" fillId="62" borderId="0" xfId="0" applyFont="1" applyFill="1" applyAlignment="1"/>
    <xf numFmtId="190" fontId="98" fillId="61" borderId="126" xfId="420" applyNumberFormat="1" applyFont="1" applyFill="1" applyBorder="1" applyProtection="1">
      <alignment vertical="center"/>
      <protection hidden="1"/>
    </xf>
    <xf numFmtId="0" fontId="98" fillId="61" borderId="129" xfId="446" applyFont="1" applyFill="1" applyBorder="1" applyAlignment="1" applyProtection="1">
      <alignment horizontal="center" vertical="center"/>
      <protection hidden="1"/>
    </xf>
    <xf numFmtId="185" fontId="98" fillId="34" borderId="126" xfId="446" applyNumberFormat="1" applyFont="1" applyFill="1" applyBorder="1" applyProtection="1">
      <alignment vertical="center"/>
      <protection hidden="1"/>
    </xf>
    <xf numFmtId="0" fontId="52" fillId="34" borderId="0" xfId="0" applyFont="1" applyFill="1" applyAlignment="1" applyProtection="1">
      <alignment horizontal="center" vertical="center"/>
      <protection hidden="1"/>
    </xf>
    <xf numFmtId="190" fontId="97" fillId="34" borderId="0" xfId="420" applyNumberFormat="1" applyFont="1" applyFill="1" applyBorder="1" applyAlignment="1" applyProtection="1">
      <alignment horizontal="center" vertical="center"/>
      <protection hidden="1"/>
    </xf>
    <xf numFmtId="0" fontId="134" fillId="34" borderId="48" xfId="0" applyFont="1" applyFill="1" applyBorder="1" applyAlignment="1" applyProtection="1">
      <alignment horizontal="center" vertical="center"/>
      <protection hidden="1"/>
    </xf>
    <xf numFmtId="0" fontId="150" fillId="34" borderId="48" xfId="0" applyFont="1" applyFill="1" applyBorder="1" applyAlignment="1" applyProtection="1">
      <alignment horizontal="center" vertical="center"/>
      <protection hidden="1"/>
    </xf>
    <xf numFmtId="193" fontId="150" fillId="34" borderId="48" xfId="0" applyNumberFormat="1" applyFont="1" applyFill="1" applyBorder="1" applyAlignment="1" applyProtection="1">
      <alignment horizontal="right" vertical="center"/>
      <protection hidden="1"/>
    </xf>
    <xf numFmtId="2" fontId="150" fillId="34" borderId="48" xfId="0" applyNumberFormat="1" applyFont="1" applyFill="1" applyBorder="1" applyProtection="1">
      <alignment vertical="center"/>
      <protection hidden="1"/>
    </xf>
    <xf numFmtId="185" fontId="150" fillId="34" borderId="90" xfId="0" applyNumberFormat="1" applyFont="1" applyFill="1" applyBorder="1" applyProtection="1">
      <alignment vertical="center"/>
      <protection hidden="1"/>
    </xf>
    <xf numFmtId="184" fontId="150" fillId="34" borderId="52" xfId="422" applyNumberFormat="1" applyFont="1" applyFill="1" applyBorder="1" applyProtection="1">
      <alignment vertical="center"/>
      <protection hidden="1"/>
    </xf>
    <xf numFmtId="184" fontId="150" fillId="34" borderId="87" xfId="422" applyNumberFormat="1" applyFont="1" applyFill="1" applyBorder="1" applyProtection="1">
      <alignment vertical="center"/>
      <protection hidden="1"/>
    </xf>
    <xf numFmtId="184" fontId="150" fillId="34" borderId="88" xfId="422" applyNumberFormat="1" applyFont="1" applyFill="1" applyBorder="1" applyProtection="1">
      <alignment vertical="center"/>
      <protection hidden="1"/>
    </xf>
    <xf numFmtId="49" fontId="23" fillId="45" borderId="0" xfId="411" applyNumberFormat="1" applyFill="1" applyAlignment="1" applyProtection="1">
      <alignment horizontal="center" vertical="center"/>
      <protection hidden="1"/>
    </xf>
    <xf numFmtId="0" fontId="50" fillId="34" borderId="0" xfId="425" applyFont="1" applyFill="1" applyAlignment="1" applyProtection="1">
      <alignment horizontal="center" vertical="center" wrapText="1"/>
      <protection hidden="1"/>
    </xf>
    <xf numFmtId="0" fontId="113" fillId="60" borderId="47" xfId="0" applyFont="1" applyFill="1" applyBorder="1" applyAlignment="1" applyProtection="1">
      <alignment horizontal="center" vertical="center"/>
      <protection hidden="1"/>
    </xf>
    <xf numFmtId="0" fontId="135" fillId="34" borderId="0" xfId="425" applyFont="1" applyFill="1" applyAlignment="1" applyProtection="1">
      <alignment horizontal="center" vertical="center"/>
      <protection hidden="1"/>
    </xf>
    <xf numFmtId="0" fontId="96" fillId="34" borderId="0" xfId="425" applyFont="1" applyFill="1" applyAlignment="1" applyProtection="1">
      <alignment horizontal="center" vertical="center"/>
      <protection hidden="1"/>
    </xf>
    <xf numFmtId="179" fontId="49" fillId="0" borderId="0" xfId="0" applyNumberFormat="1" applyFont="1" applyProtection="1">
      <alignment vertical="center"/>
      <protection hidden="1"/>
    </xf>
    <xf numFmtId="0" fontId="136" fillId="60" borderId="123" xfId="446" applyFont="1" applyFill="1" applyBorder="1" applyAlignment="1" applyProtection="1">
      <alignment horizontal="center" vertical="center"/>
      <protection hidden="1"/>
    </xf>
    <xf numFmtId="0" fontId="151" fillId="34" borderId="0" xfId="0" applyFont="1" applyFill="1" applyAlignment="1" applyProtection="1">
      <alignment horizontal="center" vertical="center"/>
      <protection hidden="1"/>
    </xf>
    <xf numFmtId="0" fontId="104" fillId="34" borderId="130" xfId="0" applyFont="1" applyFill="1" applyBorder="1" applyAlignment="1" applyProtection="1">
      <alignment horizontal="center" vertical="center"/>
      <protection hidden="1"/>
    </xf>
    <xf numFmtId="0" fontId="54" fillId="53" borderId="0" xfId="425" applyFont="1" applyFill="1" applyProtection="1">
      <alignment vertical="center"/>
      <protection hidden="1"/>
    </xf>
    <xf numFmtId="0" fontId="58" fillId="53" borderId="0" xfId="425" applyFont="1" applyFill="1" applyAlignment="1" applyProtection="1">
      <alignment horizontal="center" vertical="center"/>
      <protection hidden="1"/>
    </xf>
    <xf numFmtId="0" fontId="82" fillId="53" borderId="0" xfId="0" applyFont="1" applyFill="1" applyAlignment="1" applyProtection="1">
      <alignment horizontal="center" vertical="center"/>
      <protection hidden="1"/>
    </xf>
    <xf numFmtId="0" fontId="22" fillId="53" borderId="0" xfId="425" applyFill="1" applyProtection="1">
      <alignment vertical="center"/>
      <protection hidden="1"/>
    </xf>
    <xf numFmtId="0" fontId="10" fillId="34" borderId="0" xfId="446" applyFont="1" applyFill="1" applyProtection="1">
      <alignment vertical="center"/>
      <protection hidden="1"/>
    </xf>
    <xf numFmtId="0" fontId="89" fillId="0" borderId="0" xfId="0" applyFont="1" applyAlignment="1"/>
    <xf numFmtId="0" fontId="98" fillId="53" borderId="132" xfId="446" applyFont="1" applyFill="1" applyBorder="1" applyAlignment="1" applyProtection="1">
      <alignment horizontal="center" vertical="center" wrapText="1"/>
      <protection hidden="1"/>
    </xf>
    <xf numFmtId="0" fontId="127" fillId="0" borderId="0" xfId="0" applyFont="1" applyAlignment="1" applyProtection="1">
      <alignment horizontal="center" vertical="center"/>
      <protection locked="0"/>
    </xf>
    <xf numFmtId="0" fontId="130" fillId="0" borderId="0" xfId="411" applyFont="1" applyAlignment="1">
      <alignment horizontal="center" vertical="center"/>
    </xf>
    <xf numFmtId="0" fontId="82" fillId="34" borderId="0" xfId="425" applyFont="1" applyFill="1" applyAlignment="1" applyProtection="1">
      <protection hidden="1"/>
    </xf>
    <xf numFmtId="0" fontId="110" fillId="34" borderId="0" xfId="0" applyFont="1" applyFill="1" applyAlignment="1" applyProtection="1">
      <alignment vertical="top"/>
      <protection hidden="1"/>
    </xf>
    <xf numFmtId="0" fontId="115" fillId="34" borderId="0" xfId="425" applyFont="1" applyFill="1" applyProtection="1">
      <alignment vertical="center"/>
      <protection hidden="1"/>
    </xf>
    <xf numFmtId="0" fontId="14" fillId="34" borderId="0" xfId="425" applyFont="1" applyFill="1" applyProtection="1">
      <alignment vertical="center"/>
      <protection locked="0" hidden="1"/>
    </xf>
    <xf numFmtId="0" fontId="54" fillId="34" borderId="0" xfId="425" applyFont="1" applyFill="1" applyProtection="1">
      <alignment vertical="center"/>
      <protection locked="0" hidden="1"/>
    </xf>
    <xf numFmtId="0" fontId="115" fillId="34" borderId="0" xfId="425" applyFont="1" applyFill="1" applyProtection="1">
      <alignment vertical="center"/>
      <protection locked="0" hidden="1"/>
    </xf>
    <xf numFmtId="10" fontId="130" fillId="34" borderId="34" xfId="422" applyNumberFormat="1" applyFont="1" applyFill="1" applyBorder="1" applyAlignment="1">
      <alignment horizontal="center" vertical="center"/>
    </xf>
    <xf numFmtId="179" fontId="130" fillId="34" borderId="34" xfId="440" applyNumberFormat="1" applyFont="1" applyFill="1" applyBorder="1" applyAlignment="1">
      <alignment horizontal="center" vertical="center"/>
    </xf>
    <xf numFmtId="10" fontId="130" fillId="34" borderId="42" xfId="422" applyNumberFormat="1" applyFont="1" applyFill="1" applyBorder="1" applyAlignment="1">
      <alignment horizontal="center" vertical="center"/>
    </xf>
    <xf numFmtId="14" fontId="130" fillId="34" borderId="34" xfId="422" applyNumberFormat="1" applyFont="1" applyFill="1" applyBorder="1" applyAlignment="1">
      <alignment horizontal="center" vertical="center"/>
    </xf>
    <xf numFmtId="177" fontId="130" fillId="34" borderId="34" xfId="440" applyFont="1" applyFill="1" applyBorder="1" applyAlignment="1">
      <alignment horizontal="center" vertical="center"/>
    </xf>
    <xf numFmtId="10" fontId="130" fillId="34" borderId="84" xfId="422" applyNumberFormat="1" applyFont="1" applyFill="1" applyBorder="1" applyAlignment="1">
      <alignment horizontal="center" vertical="center"/>
    </xf>
    <xf numFmtId="14" fontId="130" fillId="34" borderId="43" xfId="422" applyNumberFormat="1" applyFont="1" applyFill="1" applyBorder="1" applyAlignment="1">
      <alignment horizontal="center" vertical="center"/>
    </xf>
    <xf numFmtId="10" fontId="130" fillId="56" borderId="42" xfId="422" applyNumberFormat="1" applyFont="1" applyFill="1" applyBorder="1" applyAlignment="1">
      <alignment horizontal="center" vertical="center"/>
    </xf>
    <xf numFmtId="179" fontId="130" fillId="56" borderId="42" xfId="440" applyNumberFormat="1" applyFont="1" applyFill="1" applyBorder="1" applyAlignment="1">
      <alignment horizontal="center" vertical="center"/>
    </xf>
    <xf numFmtId="14" fontId="130" fillId="56" borderId="42" xfId="422" applyNumberFormat="1" applyFont="1" applyFill="1" applyBorder="1" applyAlignment="1">
      <alignment horizontal="center" vertical="center"/>
    </xf>
    <xf numFmtId="177" fontId="130" fillId="56" borderId="42" xfId="440" applyFont="1" applyFill="1" applyBorder="1" applyAlignment="1">
      <alignment horizontal="center" vertical="center"/>
    </xf>
    <xf numFmtId="180" fontId="135" fillId="34" borderId="0" xfId="425" applyNumberFormat="1" applyFont="1" applyFill="1" applyAlignment="1" applyProtection="1">
      <alignment horizontal="center" vertical="center"/>
      <protection hidden="1"/>
    </xf>
    <xf numFmtId="0" fontId="133" fillId="0" borderId="0" xfId="0" applyFont="1" applyAlignment="1" applyProtection="1">
      <alignment horizontal="center" vertical="center"/>
      <protection hidden="1"/>
    </xf>
    <xf numFmtId="14" fontId="163" fillId="34" borderId="0" xfId="425" applyNumberFormat="1" applyFont="1" applyFill="1" applyAlignment="1" applyProtection="1">
      <alignment horizontal="right"/>
      <protection hidden="1"/>
    </xf>
    <xf numFmtId="14" fontId="163" fillId="34" borderId="0" xfId="425" applyNumberFormat="1" applyFont="1" applyFill="1" applyAlignment="1" applyProtection="1">
      <alignment horizontal="center"/>
      <protection hidden="1"/>
    </xf>
    <xf numFmtId="0" fontId="161" fillId="34" borderId="0" xfId="446" applyFont="1" applyFill="1" applyAlignment="1" applyProtection="1">
      <protection hidden="1"/>
    </xf>
    <xf numFmtId="14" fontId="111" fillId="0" borderId="0" xfId="0" applyNumberFormat="1" applyFont="1" applyProtection="1">
      <alignment vertical="center"/>
      <protection hidden="1"/>
    </xf>
    <xf numFmtId="14" fontId="114" fillId="43" borderId="0" xfId="0" applyNumberFormat="1" applyFont="1" applyFill="1" applyAlignment="1">
      <alignment horizontal="center" vertical="center"/>
    </xf>
    <xf numFmtId="14" fontId="130" fillId="34" borderId="84" xfId="422" applyNumberFormat="1" applyFont="1" applyFill="1" applyBorder="1" applyAlignment="1">
      <alignment horizontal="center" vertical="center"/>
    </xf>
    <xf numFmtId="14" fontId="130" fillId="56" borderId="83" xfId="422" applyNumberFormat="1" applyFont="1" applyFill="1" applyBorder="1" applyAlignment="1">
      <alignment horizontal="center" vertical="center"/>
    </xf>
    <xf numFmtId="0" fontId="57" fillId="34" borderId="0" xfId="425" applyFont="1" applyFill="1" applyProtection="1">
      <alignment vertical="center"/>
      <protection hidden="1"/>
    </xf>
    <xf numFmtId="0" fontId="83" fillId="34" borderId="0" xfId="425" applyFont="1" applyFill="1" applyProtection="1">
      <alignment vertical="center"/>
      <protection hidden="1"/>
    </xf>
    <xf numFmtId="0" fontId="83" fillId="34" borderId="0" xfId="0" applyFont="1" applyFill="1" applyProtection="1">
      <alignment vertical="center"/>
      <protection hidden="1"/>
    </xf>
    <xf numFmtId="0" fontId="103" fillId="34" borderId="0" xfId="425" applyFont="1" applyFill="1" applyProtection="1">
      <alignment vertical="center"/>
      <protection hidden="1"/>
    </xf>
    <xf numFmtId="0" fontId="103" fillId="34" borderId="0" xfId="425" applyFont="1" applyFill="1" applyAlignment="1" applyProtection="1">
      <alignment horizontal="center" vertical="center"/>
      <protection hidden="1"/>
    </xf>
    <xf numFmtId="14" fontId="92" fillId="34" borderId="0" xfId="425" applyNumberFormat="1" applyFont="1" applyFill="1" applyProtection="1">
      <alignment vertical="center"/>
      <protection hidden="1"/>
    </xf>
    <xf numFmtId="0" fontId="23" fillId="34" borderId="0" xfId="411" applyFill="1" applyAlignment="1" applyProtection="1">
      <alignment horizontal="center" vertical="center"/>
      <protection hidden="1"/>
    </xf>
    <xf numFmtId="179" fontId="59" fillId="34" borderId="0" xfId="0" applyNumberFormat="1" applyFont="1" applyFill="1" applyProtection="1">
      <alignment vertical="center"/>
      <protection hidden="1"/>
    </xf>
    <xf numFmtId="0" fontId="59" fillId="34" borderId="0" xfId="0" applyFont="1" applyFill="1" applyAlignment="1" applyProtection="1">
      <alignment horizontal="center" vertical="center"/>
      <protection hidden="1"/>
    </xf>
    <xf numFmtId="2" fontId="85" fillId="34" borderId="0" xfId="0" applyNumberFormat="1" applyFont="1" applyFill="1" applyAlignment="1" applyProtection="1">
      <alignment horizontal="right" vertical="center"/>
      <protection hidden="1"/>
    </xf>
    <xf numFmtId="14" fontId="85" fillId="34" borderId="0" xfId="0" applyNumberFormat="1" applyFont="1" applyFill="1" applyAlignment="1" applyProtection="1">
      <alignment horizontal="right" vertical="center"/>
      <protection hidden="1"/>
    </xf>
    <xf numFmtId="178" fontId="83" fillId="34" borderId="0" xfId="422" applyNumberFormat="1" applyFont="1" applyFill="1" applyBorder="1" applyAlignment="1" applyProtection="1">
      <alignment horizontal="center" vertical="center"/>
      <protection hidden="1"/>
    </xf>
    <xf numFmtId="180" fontId="83" fillId="34" borderId="0" xfId="422" applyNumberFormat="1" applyFont="1" applyFill="1" applyBorder="1" applyAlignment="1" applyProtection="1">
      <alignment horizontal="center" vertical="center"/>
      <protection hidden="1"/>
    </xf>
    <xf numFmtId="0" fontId="60" fillId="49" borderId="0" xfId="0" applyFont="1" applyFill="1" applyProtection="1">
      <alignment vertical="center"/>
      <protection hidden="1"/>
    </xf>
    <xf numFmtId="0" fontId="59" fillId="49" borderId="0" xfId="425" applyFont="1" applyFill="1" applyProtection="1">
      <alignment vertical="center"/>
      <protection hidden="1"/>
    </xf>
    <xf numFmtId="179" fontId="59" fillId="49" borderId="0" xfId="422" applyNumberFormat="1" applyFont="1" applyFill="1" applyBorder="1" applyAlignment="1" applyProtection="1">
      <alignment horizontal="right" vertical="center"/>
      <protection hidden="1"/>
    </xf>
    <xf numFmtId="178" fontId="59" fillId="49" borderId="0" xfId="422" applyNumberFormat="1" applyFont="1" applyFill="1" applyBorder="1" applyAlignment="1" applyProtection="1">
      <alignment horizontal="center" vertical="center"/>
      <protection hidden="1"/>
    </xf>
    <xf numFmtId="0" fontId="63" fillId="49" borderId="0" xfId="425" applyFont="1" applyFill="1" applyProtection="1">
      <alignment vertical="center"/>
      <protection hidden="1"/>
    </xf>
    <xf numFmtId="14" fontId="83" fillId="34" borderId="0" xfId="0" applyNumberFormat="1" applyFont="1" applyFill="1" applyAlignment="1" applyProtection="1">
      <alignment horizontal="right" vertical="center"/>
      <protection hidden="1"/>
    </xf>
    <xf numFmtId="14" fontId="83" fillId="34" borderId="0" xfId="422" applyNumberFormat="1" applyFont="1" applyFill="1" applyBorder="1" applyAlignment="1" applyProtection="1">
      <alignment horizontal="center" vertical="center"/>
      <protection hidden="1"/>
    </xf>
    <xf numFmtId="14" fontId="83" fillId="40" borderId="0" xfId="0" applyNumberFormat="1" applyFont="1" applyFill="1" applyAlignment="1" applyProtection="1">
      <alignment horizontal="left" vertical="center"/>
      <protection hidden="1"/>
    </xf>
    <xf numFmtId="180" fontId="83" fillId="34" borderId="133" xfId="422" applyNumberFormat="1" applyFont="1" applyFill="1" applyBorder="1" applyAlignment="1" applyProtection="1">
      <alignment horizontal="center" vertical="center"/>
      <protection hidden="1"/>
    </xf>
    <xf numFmtId="180" fontId="83" fillId="34" borderId="134" xfId="422" applyNumberFormat="1" applyFont="1" applyFill="1" applyBorder="1" applyAlignment="1" applyProtection="1">
      <alignment horizontal="center" vertical="center"/>
      <protection hidden="1"/>
    </xf>
    <xf numFmtId="179" fontId="83" fillId="34" borderId="135" xfId="422" applyNumberFormat="1" applyFont="1" applyFill="1" applyBorder="1" applyAlignment="1" applyProtection="1">
      <alignment horizontal="center" vertical="center"/>
      <protection hidden="1"/>
    </xf>
    <xf numFmtId="179" fontId="64" fillId="34" borderId="0" xfId="438" applyNumberFormat="1" applyFont="1" applyFill="1" applyBorder="1" applyProtection="1">
      <alignment vertical="center"/>
      <protection hidden="1"/>
    </xf>
    <xf numFmtId="179" fontId="83" fillId="34" borderId="0" xfId="425" applyNumberFormat="1" applyFont="1" applyFill="1" applyProtection="1">
      <alignment vertical="center"/>
      <protection hidden="1"/>
    </xf>
    <xf numFmtId="179" fontId="60" fillId="34" borderId="0" xfId="0" applyNumberFormat="1" applyFont="1" applyFill="1" applyProtection="1">
      <alignment vertical="center"/>
      <protection hidden="1"/>
    </xf>
    <xf numFmtId="179" fontId="62" fillId="34" borderId="0" xfId="425" applyNumberFormat="1" applyFont="1" applyFill="1" applyProtection="1">
      <alignment vertical="center"/>
      <protection hidden="1"/>
    </xf>
    <xf numFmtId="0" fontId="181" fillId="64" borderId="0" xfId="425" applyFont="1" applyFill="1" applyAlignment="1" applyProtection="1">
      <alignment horizontal="center" vertical="center"/>
      <protection hidden="1"/>
    </xf>
    <xf numFmtId="182" fontId="181" fillId="64" borderId="0" xfId="425" applyNumberFormat="1" applyFont="1" applyFill="1" applyAlignment="1" applyProtection="1">
      <alignment horizontal="center" vertical="center"/>
      <protection hidden="1"/>
    </xf>
    <xf numFmtId="0" fontId="181" fillId="64" borderId="0" xfId="0" applyFont="1" applyFill="1" applyAlignment="1" applyProtection="1">
      <alignment horizontal="center" vertical="center"/>
      <protection hidden="1"/>
    </xf>
    <xf numFmtId="177" fontId="181" fillId="64" borderId="0" xfId="420" applyFont="1" applyFill="1" applyAlignment="1" applyProtection="1">
      <alignment horizontal="center" vertical="center"/>
      <protection hidden="1"/>
    </xf>
    <xf numFmtId="0" fontId="182" fillId="56" borderId="0" xfId="0" applyFont="1" applyFill="1" applyAlignment="1" applyProtection="1">
      <alignment horizontal="center" vertical="center"/>
      <protection hidden="1"/>
    </xf>
    <xf numFmtId="179" fontId="83" fillId="34" borderId="133" xfId="422" applyNumberFormat="1" applyFont="1" applyFill="1" applyBorder="1" applyAlignment="1" applyProtection="1">
      <alignment horizontal="center" vertical="center"/>
      <protection hidden="1"/>
    </xf>
    <xf numFmtId="0" fontId="181" fillId="65" borderId="0" xfId="0" applyFont="1" applyFill="1" applyAlignment="1" applyProtection="1">
      <alignment horizontal="center" vertical="center"/>
      <protection hidden="1"/>
    </xf>
    <xf numFmtId="0" fontId="181" fillId="65" borderId="0" xfId="425" applyFont="1" applyFill="1" applyAlignment="1" applyProtection="1">
      <alignment horizontal="center" vertical="center"/>
      <protection hidden="1"/>
    </xf>
    <xf numFmtId="14" fontId="83" fillId="63" borderId="0" xfId="0" applyNumberFormat="1" applyFont="1" applyFill="1" applyAlignment="1" applyProtection="1">
      <alignment horizontal="right" vertical="center"/>
      <protection hidden="1"/>
    </xf>
    <xf numFmtId="0" fontId="60" fillId="53" borderId="0" xfId="0" applyFont="1" applyFill="1" applyProtection="1">
      <alignment vertical="center"/>
      <protection hidden="1"/>
    </xf>
    <xf numFmtId="0" fontId="83" fillId="53" borderId="0" xfId="0" applyFont="1" applyFill="1" applyProtection="1">
      <alignment vertical="center"/>
      <protection hidden="1"/>
    </xf>
    <xf numFmtId="0" fontId="181" fillId="53" borderId="0" xfId="0" applyFont="1" applyFill="1" applyAlignment="1" applyProtection="1">
      <alignment horizontal="center" vertical="center"/>
      <protection hidden="1"/>
    </xf>
    <xf numFmtId="10" fontId="101" fillId="34" borderId="0" xfId="422" applyNumberFormat="1" applyFont="1" applyFill="1" applyBorder="1" applyProtection="1">
      <alignment vertical="center"/>
      <protection hidden="1"/>
    </xf>
    <xf numFmtId="0" fontId="183" fillId="34" borderId="0" xfId="446" applyFont="1" applyFill="1" applyAlignment="1" applyProtection="1">
      <alignment horizontal="center"/>
      <protection hidden="1"/>
    </xf>
    <xf numFmtId="181" fontId="85" fillId="34" borderId="0" xfId="427" applyNumberFormat="1" applyFont="1" applyFill="1" applyBorder="1" applyProtection="1">
      <alignment vertical="center"/>
      <protection hidden="1"/>
    </xf>
    <xf numFmtId="190" fontId="85" fillId="34" borderId="0" xfId="420" applyNumberFormat="1" applyFont="1" applyFill="1" applyBorder="1" applyProtection="1">
      <alignment vertical="center"/>
      <protection hidden="1"/>
    </xf>
    <xf numFmtId="2" fontId="83" fillId="34" borderId="0" xfId="0" applyNumberFormat="1" applyFont="1" applyFill="1" applyAlignment="1" applyProtection="1">
      <alignment horizontal="right" vertical="center"/>
      <protection hidden="1"/>
    </xf>
    <xf numFmtId="179" fontId="83" fillId="34" borderId="138" xfId="425" applyNumberFormat="1" applyFont="1" applyFill="1" applyBorder="1" applyProtection="1">
      <alignment vertical="center"/>
      <protection hidden="1"/>
    </xf>
    <xf numFmtId="177" fontId="83" fillId="34" borderId="136" xfId="420" applyFont="1" applyFill="1" applyBorder="1" applyProtection="1">
      <alignment vertical="center"/>
      <protection hidden="1"/>
    </xf>
    <xf numFmtId="0" fontId="57" fillId="34" borderId="136" xfId="425" applyFont="1" applyFill="1" applyBorder="1" applyProtection="1">
      <alignment vertical="center"/>
      <protection hidden="1"/>
    </xf>
    <xf numFmtId="0" fontId="83" fillId="34" borderId="138" xfId="425" applyFont="1" applyFill="1" applyBorder="1" applyProtection="1">
      <alignment vertical="center"/>
      <protection hidden="1"/>
    </xf>
    <xf numFmtId="202" fontId="64" fillId="34" borderId="0" xfId="438" applyNumberFormat="1" applyFont="1" applyFill="1" applyBorder="1" applyProtection="1">
      <alignment vertical="center"/>
      <protection hidden="1"/>
    </xf>
    <xf numFmtId="202" fontId="83" fillId="34" borderId="0" xfId="425" applyNumberFormat="1" applyFont="1" applyFill="1" applyProtection="1">
      <alignment vertical="center"/>
      <protection hidden="1"/>
    </xf>
    <xf numFmtId="202" fontId="181" fillId="64" borderId="0" xfId="425" applyNumberFormat="1" applyFont="1" applyFill="1" applyAlignment="1" applyProtection="1">
      <alignment horizontal="center" vertical="center"/>
      <protection hidden="1"/>
    </xf>
    <xf numFmtId="202" fontId="101" fillId="34" borderId="0" xfId="422" applyNumberFormat="1" applyFont="1" applyFill="1" applyBorder="1" applyProtection="1">
      <alignment vertical="center"/>
      <protection hidden="1"/>
    </xf>
    <xf numFmtId="202" fontId="60" fillId="34" borderId="0" xfId="0" applyNumberFormat="1" applyFont="1" applyFill="1" applyProtection="1">
      <alignment vertical="center"/>
      <protection hidden="1"/>
    </xf>
    <xf numFmtId="202" fontId="62" fillId="34" borderId="0" xfId="425" applyNumberFormat="1" applyFont="1" applyFill="1" applyProtection="1">
      <alignment vertical="center"/>
      <protection hidden="1"/>
    </xf>
    <xf numFmtId="10" fontId="60" fillId="53" borderId="0" xfId="0" applyNumberFormat="1" applyFont="1" applyFill="1" applyProtection="1">
      <alignment vertical="center"/>
      <protection hidden="1"/>
    </xf>
    <xf numFmtId="190" fontId="65" fillId="34" borderId="0" xfId="420" applyNumberFormat="1" applyFont="1" applyFill="1" applyBorder="1" applyAlignment="1" applyProtection="1">
      <alignment horizontal="center" vertical="center"/>
      <protection hidden="1"/>
    </xf>
    <xf numFmtId="179" fontId="83" fillId="34" borderId="12" xfId="422" applyNumberFormat="1" applyFont="1" applyFill="1" applyBorder="1" applyAlignment="1" applyProtection="1">
      <alignment horizontal="center" vertical="center"/>
      <protection hidden="1"/>
    </xf>
    <xf numFmtId="182" fontId="181" fillId="34" borderId="0" xfId="425" applyNumberFormat="1" applyFont="1" applyFill="1" applyAlignment="1" applyProtection="1">
      <alignment horizontal="center" vertical="center"/>
      <protection hidden="1"/>
    </xf>
    <xf numFmtId="10" fontId="63" fillId="49" borderId="0" xfId="425" applyNumberFormat="1" applyFont="1" applyFill="1" applyProtection="1">
      <alignment vertical="center"/>
      <protection hidden="1"/>
    </xf>
    <xf numFmtId="10" fontId="64" fillId="34" borderId="0" xfId="438" applyNumberFormat="1" applyFont="1" applyFill="1" applyBorder="1" applyProtection="1">
      <alignment vertical="center"/>
      <protection hidden="1"/>
    </xf>
    <xf numFmtId="10" fontId="83" fillId="34" borderId="0" xfId="425" applyNumberFormat="1" applyFont="1" applyFill="1" applyProtection="1">
      <alignment vertical="center"/>
      <protection hidden="1"/>
    </xf>
    <xf numFmtId="10" fontId="181" fillId="64" borderId="0" xfId="425" applyNumberFormat="1" applyFont="1" applyFill="1" applyAlignment="1" applyProtection="1">
      <alignment horizontal="center" vertical="center"/>
      <protection hidden="1"/>
    </xf>
    <xf numFmtId="10" fontId="62" fillId="34" borderId="0" xfId="425" applyNumberFormat="1" applyFont="1" applyFill="1" applyProtection="1">
      <alignment vertical="center"/>
      <protection hidden="1"/>
    </xf>
    <xf numFmtId="10" fontId="181" fillId="64" borderId="0" xfId="420" applyNumberFormat="1" applyFont="1" applyFill="1" applyAlignment="1" applyProtection="1">
      <alignment horizontal="center" vertical="center"/>
      <protection hidden="1"/>
    </xf>
    <xf numFmtId="9" fontId="64" fillId="34" borderId="0" xfId="422" applyFont="1" applyFill="1" applyBorder="1" applyProtection="1">
      <alignment vertical="center"/>
      <protection hidden="1"/>
    </xf>
    <xf numFmtId="9" fontId="83" fillId="34" borderId="0" xfId="422" applyFont="1" applyFill="1" applyBorder="1" applyProtection="1">
      <alignment vertical="center"/>
      <protection hidden="1"/>
    </xf>
    <xf numFmtId="9" fontId="62" fillId="34" borderId="0" xfId="422" applyFont="1" applyFill="1" applyProtection="1">
      <alignment vertical="center"/>
      <protection hidden="1"/>
    </xf>
    <xf numFmtId="9" fontId="60" fillId="34" borderId="0" xfId="422" applyFont="1" applyFill="1" applyProtection="1">
      <alignment vertical="center"/>
      <protection hidden="1"/>
    </xf>
    <xf numFmtId="10" fontId="83" fillId="0" borderId="140" xfId="422" applyNumberFormat="1" applyFont="1" applyFill="1" applyBorder="1" applyAlignment="1">
      <alignment horizontal="center" vertical="center"/>
    </xf>
    <xf numFmtId="14" fontId="59" fillId="0" borderId="0" xfId="0" applyNumberFormat="1" applyFont="1" applyAlignment="1">
      <alignment horizontal="center" vertical="center"/>
    </xf>
    <xf numFmtId="0" fontId="160" fillId="34" borderId="0" xfId="446" applyFont="1" applyFill="1" applyAlignment="1" applyProtection="1">
      <alignment horizontal="center"/>
      <protection hidden="1"/>
    </xf>
    <xf numFmtId="180" fontId="58" fillId="57" borderId="0" xfId="0" applyNumberFormat="1" applyFont="1" applyFill="1" applyAlignment="1">
      <alignment horizontal="center" vertical="center"/>
    </xf>
    <xf numFmtId="181" fontId="102" fillId="34" borderId="0" xfId="420" applyNumberFormat="1" applyFont="1" applyFill="1" applyBorder="1" applyAlignment="1" applyProtection="1">
      <alignment horizontal="center" vertical="center"/>
      <protection hidden="1"/>
    </xf>
    <xf numFmtId="0" fontId="83" fillId="34" borderId="0" xfId="0" applyFont="1" applyFill="1" applyAlignment="1" applyProtection="1">
      <alignment horizontal="center" vertical="center"/>
      <protection hidden="1"/>
    </xf>
    <xf numFmtId="0" fontId="182" fillId="43" borderId="0" xfId="425" applyFont="1" applyFill="1" applyAlignment="1" applyProtection="1">
      <alignment horizontal="center" vertical="center"/>
      <protection hidden="1"/>
    </xf>
    <xf numFmtId="179" fontId="83" fillId="34" borderId="0" xfId="422" applyNumberFormat="1" applyFont="1" applyFill="1" applyBorder="1" applyAlignment="1" applyProtection="1">
      <alignment horizontal="center" vertical="center"/>
      <protection hidden="1"/>
    </xf>
    <xf numFmtId="182" fontId="182" fillId="43" borderId="0" xfId="425" applyNumberFormat="1" applyFont="1" applyFill="1" applyAlignment="1" applyProtection="1">
      <alignment horizontal="center" vertical="center"/>
      <protection hidden="1"/>
    </xf>
    <xf numFmtId="201" fontId="83" fillId="34" borderId="12" xfId="422" applyNumberFormat="1" applyFont="1" applyFill="1" applyBorder="1" applyAlignment="1" applyProtection="1">
      <alignment horizontal="center" vertical="center"/>
      <protection hidden="1"/>
    </xf>
    <xf numFmtId="179" fontId="60" fillId="49" borderId="0" xfId="0" applyNumberFormat="1" applyFont="1" applyFill="1" applyProtection="1">
      <alignment vertical="center"/>
      <protection hidden="1"/>
    </xf>
    <xf numFmtId="0" fontId="60" fillId="49" borderId="0" xfId="0" applyFont="1" applyFill="1" applyAlignment="1" applyProtection="1">
      <alignment horizontal="center" vertical="center"/>
      <protection hidden="1"/>
    </xf>
    <xf numFmtId="0" fontId="0" fillId="37" borderId="0" xfId="0" applyFill="1">
      <alignment vertical="center"/>
    </xf>
    <xf numFmtId="184" fontId="60" fillId="49" borderId="0" xfId="422" applyNumberFormat="1" applyFont="1" applyFill="1" applyProtection="1">
      <alignment vertical="center"/>
      <protection hidden="1"/>
    </xf>
    <xf numFmtId="0" fontId="0" fillId="53" borderId="0" xfId="0" applyFill="1" applyProtection="1">
      <alignment vertical="center"/>
      <protection hidden="1"/>
    </xf>
    <xf numFmtId="0" fontId="115" fillId="34" borderId="0" xfId="0" applyFont="1" applyFill="1" applyProtection="1">
      <alignment vertical="center"/>
      <protection hidden="1"/>
    </xf>
    <xf numFmtId="200" fontId="0" fillId="53" borderId="0" xfId="0" applyNumberFormat="1" applyFill="1" applyProtection="1">
      <alignment vertical="center"/>
      <protection hidden="1"/>
    </xf>
    <xf numFmtId="200" fontId="0" fillId="34" borderId="0" xfId="0" applyNumberFormat="1" applyFill="1" applyProtection="1">
      <alignment vertical="center"/>
      <protection hidden="1"/>
    </xf>
    <xf numFmtId="202" fontId="0" fillId="0" borderId="0" xfId="0" applyNumberFormat="1">
      <alignment vertical="center"/>
    </xf>
    <xf numFmtId="204" fontId="0" fillId="0" borderId="0" xfId="0" applyNumberFormat="1">
      <alignment vertical="center"/>
    </xf>
    <xf numFmtId="0" fontId="97" fillId="34" borderId="0" xfId="425" applyFont="1" applyFill="1" applyProtection="1">
      <alignment vertical="center"/>
      <protection hidden="1"/>
    </xf>
    <xf numFmtId="0" fontId="155" fillId="34" borderId="0" xfId="0" applyFont="1" applyFill="1" applyProtection="1">
      <alignment vertical="center"/>
      <protection hidden="1"/>
    </xf>
    <xf numFmtId="190" fontId="65" fillId="34" borderId="0" xfId="420" applyNumberFormat="1" applyFont="1" applyFill="1" applyBorder="1" applyAlignment="1" applyProtection="1">
      <alignment vertical="center"/>
      <protection hidden="1"/>
    </xf>
    <xf numFmtId="10" fontId="63" fillId="49" borderId="0" xfId="422" applyNumberFormat="1" applyFont="1" applyFill="1" applyProtection="1">
      <alignment vertical="center"/>
      <protection hidden="1"/>
    </xf>
    <xf numFmtId="202" fontId="0" fillId="35" borderId="0" xfId="0" applyNumberFormat="1" applyFill="1">
      <alignment vertical="center"/>
    </xf>
    <xf numFmtId="204" fontId="0" fillId="0" borderId="119" xfId="0" applyNumberFormat="1" applyBorder="1">
      <alignment vertical="center"/>
    </xf>
    <xf numFmtId="0" fontId="185" fillId="34" borderId="0" xfId="0" applyFont="1" applyFill="1" applyProtection="1">
      <alignment vertical="center"/>
      <protection hidden="1"/>
    </xf>
    <xf numFmtId="181" fontId="150" fillId="34" borderId="0" xfId="420" applyNumberFormat="1" applyFont="1" applyFill="1" applyBorder="1" applyAlignment="1" applyProtection="1">
      <alignment horizontal="center" vertical="center"/>
      <protection hidden="1"/>
    </xf>
    <xf numFmtId="177" fontId="97" fillId="34" borderId="0" xfId="420" applyFont="1" applyFill="1" applyBorder="1" applyAlignment="1" applyProtection="1">
      <alignment horizontal="right" vertical="center"/>
      <protection hidden="1"/>
    </xf>
    <xf numFmtId="177" fontId="96" fillId="34" borderId="0" xfId="420" applyFont="1" applyFill="1" applyBorder="1" applyAlignment="1" applyProtection="1">
      <alignment horizontal="center" vertical="center"/>
      <protection hidden="1"/>
    </xf>
    <xf numFmtId="0" fontId="98" fillId="34" borderId="0" xfId="425" applyFont="1" applyFill="1" applyAlignment="1" applyProtection="1">
      <alignment horizontal="center" vertical="center" wrapText="1"/>
      <protection hidden="1"/>
    </xf>
    <xf numFmtId="205" fontId="98" fillId="34" borderId="0" xfId="420" applyNumberFormat="1" applyFont="1" applyFill="1" applyBorder="1" applyAlignment="1" applyProtection="1">
      <alignment horizontal="right" vertical="center"/>
      <protection hidden="1"/>
    </xf>
    <xf numFmtId="205" fontId="49" fillId="34" borderId="0" xfId="420" applyNumberFormat="1" applyFont="1" applyFill="1" applyBorder="1" applyAlignment="1" applyProtection="1">
      <alignment horizontal="right" vertical="center"/>
      <protection hidden="1"/>
    </xf>
    <xf numFmtId="205" fontId="97" fillId="34" borderId="0" xfId="420" applyNumberFormat="1" applyFont="1" applyFill="1" applyBorder="1" applyAlignment="1" applyProtection="1">
      <alignment horizontal="right" vertical="center"/>
      <protection hidden="1"/>
    </xf>
    <xf numFmtId="205" fontId="96" fillId="34" borderId="0" xfId="420" applyNumberFormat="1" applyFont="1" applyFill="1" applyBorder="1" applyAlignment="1" applyProtection="1">
      <alignment horizontal="right" vertical="center"/>
      <protection hidden="1"/>
    </xf>
    <xf numFmtId="0" fontId="0" fillId="60" borderId="0" xfId="0" applyFill="1" applyProtection="1">
      <alignment vertical="center"/>
      <protection hidden="1"/>
    </xf>
    <xf numFmtId="203" fontId="139" fillId="53" borderId="0" xfId="446" applyNumberFormat="1" applyFont="1" applyFill="1" applyAlignment="1" applyProtection="1">
      <alignment horizontal="center" vertical="center"/>
      <protection hidden="1"/>
    </xf>
    <xf numFmtId="10" fontId="150" fillId="34" borderId="48" xfId="422" applyNumberFormat="1" applyFont="1" applyFill="1" applyBorder="1" applyAlignment="1" applyProtection="1">
      <alignment horizontal="right" vertical="center"/>
      <protection hidden="1"/>
    </xf>
    <xf numFmtId="10" fontId="150" fillId="34" borderId="0" xfId="426" applyNumberFormat="1" applyFont="1" applyFill="1" applyBorder="1" applyAlignment="1" applyProtection="1">
      <alignment horizontal="right" vertical="center"/>
      <protection hidden="1"/>
    </xf>
    <xf numFmtId="10" fontId="150" fillId="34" borderId="46" xfId="426" applyNumberFormat="1" applyFont="1" applyFill="1" applyBorder="1" applyAlignment="1" applyProtection="1">
      <alignment horizontal="right" vertical="center"/>
      <protection hidden="1"/>
    </xf>
    <xf numFmtId="10" fontId="145" fillId="34" borderId="101" xfId="448" applyNumberFormat="1" applyFont="1" applyFill="1" applyBorder="1" applyAlignment="1" applyProtection="1">
      <alignment horizontal="right" vertical="center"/>
      <protection hidden="1"/>
    </xf>
    <xf numFmtId="0" fontId="144" fillId="60" borderId="51" xfId="446" applyFont="1" applyFill="1" applyBorder="1" applyAlignment="1" applyProtection="1">
      <alignment horizontal="center" vertical="center"/>
      <protection hidden="1"/>
    </xf>
    <xf numFmtId="0" fontId="98" fillId="61" borderId="86" xfId="446" applyFont="1" applyFill="1" applyBorder="1" applyAlignment="1" applyProtection="1">
      <alignment horizontal="center" vertical="center"/>
      <protection locked="0"/>
    </xf>
    <xf numFmtId="0" fontId="139" fillId="34" borderId="86" xfId="446" applyFont="1" applyFill="1" applyBorder="1" applyAlignment="1" applyProtection="1">
      <alignment horizontal="center" vertical="center"/>
      <protection hidden="1"/>
    </xf>
    <xf numFmtId="0" fontId="139" fillId="34" borderId="87" xfId="446" applyFont="1" applyFill="1" applyBorder="1" applyProtection="1">
      <alignment vertical="center"/>
      <protection hidden="1"/>
    </xf>
    <xf numFmtId="0" fontId="144" fillId="60" borderId="86" xfId="446" applyFont="1" applyFill="1" applyBorder="1" applyAlignment="1" applyProtection="1">
      <alignment horizontal="center" vertical="center"/>
      <protection hidden="1"/>
    </xf>
    <xf numFmtId="181" fontId="98" fillId="61" borderId="146" xfId="447" applyNumberFormat="1" applyFont="1" applyFill="1" applyBorder="1" applyAlignment="1" applyProtection="1">
      <alignment horizontal="right" vertical="center"/>
      <protection locked="0"/>
    </xf>
    <xf numFmtId="10" fontId="98" fillId="61" borderId="128" xfId="422" applyNumberFormat="1" applyFont="1" applyFill="1" applyBorder="1" applyProtection="1">
      <alignment vertical="center"/>
      <protection hidden="1"/>
    </xf>
    <xf numFmtId="10" fontId="98" fillId="34" borderId="128" xfId="448" applyNumberFormat="1" applyFont="1" applyFill="1" applyBorder="1" applyProtection="1">
      <alignment vertical="center"/>
      <protection hidden="1"/>
    </xf>
    <xf numFmtId="0" fontId="144" fillId="60" borderId="99" xfId="446" applyFont="1" applyFill="1" applyBorder="1" applyAlignment="1" applyProtection="1">
      <alignment horizontal="center" vertical="center" wrapText="1"/>
      <protection hidden="1"/>
    </xf>
    <xf numFmtId="0" fontId="144" fillId="60" borderId="96" xfId="446" applyFont="1" applyFill="1" applyBorder="1" applyAlignment="1" applyProtection="1">
      <alignment horizontal="center" vertical="center" wrapText="1"/>
      <protection hidden="1"/>
    </xf>
    <xf numFmtId="0" fontId="144" fillId="60" borderId="96" xfId="446" applyFont="1" applyFill="1" applyBorder="1" applyAlignment="1" applyProtection="1">
      <alignment horizontal="center" vertical="center"/>
      <protection hidden="1"/>
    </xf>
    <xf numFmtId="14" fontId="142" fillId="34" borderId="0" xfId="446" applyNumberFormat="1" applyFont="1" applyFill="1" applyAlignment="1" applyProtection="1">
      <alignment horizontal="left" vertical="center"/>
      <protection hidden="1"/>
    </xf>
    <xf numFmtId="14" fontId="142" fillId="34" borderId="95" xfId="446" applyNumberFormat="1" applyFont="1" applyFill="1" applyBorder="1" applyAlignment="1" applyProtection="1">
      <alignment horizontal="left" vertical="center"/>
      <protection hidden="1"/>
    </xf>
    <xf numFmtId="0" fontId="160" fillId="34" borderId="0" xfId="446" applyFont="1" applyFill="1" applyAlignment="1" applyProtection="1">
      <alignment horizontal="center" vertical="center"/>
      <protection hidden="1"/>
    </xf>
    <xf numFmtId="14" fontId="142" fillId="34" borderId="94" xfId="446" applyNumberFormat="1" applyFont="1" applyFill="1" applyBorder="1" applyAlignment="1" applyProtection="1">
      <alignment horizontal="left" vertical="center"/>
      <protection hidden="1"/>
    </xf>
    <xf numFmtId="0" fontId="142" fillId="34" borderId="0" xfId="446" applyFont="1" applyFill="1" applyAlignment="1" applyProtection="1">
      <alignment horizontal="right" vertical="center"/>
      <protection hidden="1"/>
    </xf>
    <xf numFmtId="14" fontId="137" fillId="34" borderId="0" xfId="425" applyNumberFormat="1" applyFont="1" applyFill="1" applyAlignment="1" applyProtection="1">
      <alignment horizontal="right" vertical="top"/>
      <protection hidden="1"/>
    </xf>
    <xf numFmtId="14" fontId="137" fillId="34" borderId="0" xfId="425" applyNumberFormat="1" applyFont="1" applyFill="1" applyAlignment="1" applyProtection="1">
      <alignment horizontal="left" vertical="top"/>
      <protection hidden="1"/>
    </xf>
    <xf numFmtId="0" fontId="142" fillId="34" borderId="93" xfId="446" applyFont="1" applyFill="1" applyBorder="1" applyAlignment="1" applyProtection="1">
      <alignment horizontal="right" vertical="top"/>
      <protection hidden="1"/>
    </xf>
    <xf numFmtId="14" fontId="142" fillId="34" borderId="93" xfId="446" applyNumberFormat="1" applyFont="1" applyFill="1" applyBorder="1" applyAlignment="1" applyProtection="1">
      <alignment horizontal="left" vertical="top"/>
      <protection hidden="1"/>
    </xf>
    <xf numFmtId="0" fontId="191" fillId="34" borderId="0" xfId="411" applyFont="1" applyFill="1" applyAlignment="1" applyProtection="1">
      <alignment horizontal="left" vertical="center"/>
      <protection hidden="1"/>
    </xf>
    <xf numFmtId="0" fontId="173" fillId="34" borderId="0" xfId="425" applyFont="1" applyFill="1" applyAlignment="1" applyProtection="1">
      <alignment horizontal="center" vertical="center"/>
      <protection hidden="1"/>
    </xf>
    <xf numFmtId="0" fontId="176" fillId="34" borderId="0" xfId="425" applyFont="1" applyFill="1" applyProtection="1">
      <alignment vertical="center"/>
      <protection hidden="1"/>
    </xf>
    <xf numFmtId="0" fontId="59" fillId="0" borderId="0" xfId="0" applyFont="1" applyAlignment="1">
      <alignment horizontal="center" vertical="center"/>
    </xf>
    <xf numFmtId="188" fontId="200" fillId="0" borderId="10" xfId="430" applyNumberFormat="1" applyFont="1" applyBorder="1" applyAlignment="1" applyProtection="1">
      <alignment horizontal="center" vertical="center" wrapText="1"/>
      <protection hidden="1"/>
    </xf>
    <xf numFmtId="195" fontId="83" fillId="0" borderId="0" xfId="0" applyNumberFormat="1" applyFont="1" applyAlignment="1">
      <alignment horizontal="center" vertical="center"/>
    </xf>
    <xf numFmtId="0" fontId="174" fillId="34" borderId="0" xfId="425" applyFont="1" applyFill="1" applyAlignment="1" applyProtection="1">
      <alignment horizontal="right" vertical="center"/>
      <protection hidden="1"/>
    </xf>
    <xf numFmtId="0" fontId="14" fillId="34" borderId="0" xfId="425" applyFont="1" applyFill="1" applyAlignment="1" applyProtection="1">
      <protection hidden="1"/>
    </xf>
    <xf numFmtId="0" fontId="54" fillId="34" borderId="0" xfId="425" applyFont="1" applyFill="1" applyAlignment="1" applyProtection="1">
      <protection hidden="1"/>
    </xf>
    <xf numFmtId="0" fontId="115" fillId="34" borderId="0" xfId="425" applyFont="1" applyFill="1" applyAlignment="1" applyProtection="1">
      <protection hidden="1"/>
    </xf>
    <xf numFmtId="10" fontId="0" fillId="34" borderId="0" xfId="0" applyNumberFormat="1" applyFill="1" applyProtection="1">
      <alignment vertical="center"/>
      <protection hidden="1"/>
    </xf>
    <xf numFmtId="10" fontId="64" fillId="34" borderId="0" xfId="422" applyNumberFormat="1" applyFont="1" applyFill="1" applyBorder="1" applyProtection="1">
      <alignment vertical="center"/>
      <protection hidden="1"/>
    </xf>
    <xf numFmtId="10" fontId="83" fillId="34" borderId="0" xfId="422" applyNumberFormat="1" applyFont="1" applyFill="1" applyProtection="1">
      <alignment vertical="center"/>
      <protection hidden="1"/>
    </xf>
    <xf numFmtId="10" fontId="62" fillId="34" borderId="0" xfId="422" applyNumberFormat="1" applyFont="1" applyFill="1" applyProtection="1">
      <alignment vertical="center"/>
      <protection hidden="1"/>
    </xf>
    <xf numFmtId="10" fontId="60" fillId="34" borderId="0" xfId="422" applyNumberFormat="1" applyFont="1" applyFill="1" applyProtection="1">
      <alignment vertical="center"/>
      <protection hidden="1"/>
    </xf>
    <xf numFmtId="0" fontId="63" fillId="49" borderId="0" xfId="425" applyFont="1" applyFill="1" applyAlignment="1" applyProtection="1">
      <alignment horizontal="center" vertical="center"/>
      <protection hidden="1"/>
    </xf>
    <xf numFmtId="177" fontId="64" fillId="34" borderId="0" xfId="438" applyFont="1" applyFill="1" applyBorder="1" applyAlignment="1" applyProtection="1">
      <alignment horizontal="center" vertical="center"/>
      <protection hidden="1"/>
    </xf>
    <xf numFmtId="0" fontId="83" fillId="34" borderId="0" xfId="425" applyFont="1" applyFill="1" applyAlignment="1" applyProtection="1">
      <alignment horizontal="center" vertical="center"/>
      <protection hidden="1"/>
    </xf>
    <xf numFmtId="14" fontId="83" fillId="34" borderId="0" xfId="0" applyNumberFormat="1" applyFont="1" applyFill="1" applyAlignment="1" applyProtection="1">
      <alignment horizontal="center" vertical="center"/>
      <protection hidden="1"/>
    </xf>
    <xf numFmtId="177" fontId="62" fillId="34" borderId="0" xfId="425" applyNumberFormat="1" applyFont="1" applyFill="1" applyAlignment="1" applyProtection="1">
      <alignment horizontal="center" vertical="center"/>
      <protection hidden="1"/>
    </xf>
    <xf numFmtId="182" fontId="182" fillId="56" borderId="153" xfId="425" applyNumberFormat="1" applyFont="1" applyFill="1" applyBorder="1" applyAlignment="1" applyProtection="1">
      <alignment horizontal="center" vertical="center"/>
      <protection hidden="1"/>
    </xf>
    <xf numFmtId="10" fontId="182" fillId="56" borderId="153" xfId="422" applyNumberFormat="1" applyFont="1" applyFill="1" applyBorder="1" applyAlignment="1" applyProtection="1">
      <alignment horizontal="center" vertical="center"/>
      <protection hidden="1"/>
    </xf>
    <xf numFmtId="10" fontId="83" fillId="34" borderId="0" xfId="422" applyNumberFormat="1" applyFont="1" applyFill="1" applyBorder="1" applyAlignment="1" applyProtection="1">
      <alignment horizontal="center" vertical="center"/>
      <protection hidden="1"/>
    </xf>
    <xf numFmtId="182" fontId="181" fillId="33" borderId="0" xfId="425" applyNumberFormat="1" applyFont="1" applyFill="1" applyAlignment="1" applyProtection="1">
      <alignment horizontal="center" vertical="center"/>
      <protection hidden="1"/>
    </xf>
    <xf numFmtId="10" fontId="60" fillId="49" borderId="0" xfId="422" applyNumberFormat="1" applyFont="1" applyFill="1" applyProtection="1">
      <alignment vertical="center"/>
      <protection hidden="1"/>
    </xf>
    <xf numFmtId="181" fontId="83" fillId="34" borderId="0" xfId="427" applyNumberFormat="1" applyFont="1" applyFill="1" applyBorder="1" applyProtection="1">
      <alignment vertical="center"/>
      <protection hidden="1"/>
    </xf>
    <xf numFmtId="180" fontId="83" fillId="34" borderId="0" xfId="427" applyNumberFormat="1" applyFont="1" applyFill="1" applyBorder="1" applyProtection="1">
      <alignment vertical="center"/>
      <protection hidden="1"/>
    </xf>
    <xf numFmtId="201" fontId="83" fillId="34" borderId="0" xfId="427" applyNumberFormat="1" applyFont="1" applyFill="1" applyBorder="1" applyProtection="1">
      <alignment vertical="center"/>
      <protection hidden="1"/>
    </xf>
    <xf numFmtId="179" fontId="83" fillId="34" borderId="0" xfId="427" applyNumberFormat="1" applyFont="1" applyFill="1" applyBorder="1" applyProtection="1">
      <alignment vertical="center"/>
      <protection hidden="1"/>
    </xf>
    <xf numFmtId="177" fontId="83" fillId="34" borderId="0" xfId="420" applyFont="1" applyFill="1" applyBorder="1" applyProtection="1">
      <alignment vertical="center"/>
      <protection hidden="1"/>
    </xf>
    <xf numFmtId="10" fontId="83" fillId="34" borderId="0" xfId="422" applyNumberFormat="1" applyFont="1" applyFill="1" applyBorder="1" applyProtection="1">
      <alignment vertical="center"/>
      <protection hidden="1"/>
    </xf>
    <xf numFmtId="205" fontId="83" fillId="34" borderId="0" xfId="420" applyNumberFormat="1" applyFont="1" applyFill="1" applyBorder="1" applyProtection="1">
      <alignment vertical="center"/>
      <protection hidden="1"/>
    </xf>
    <xf numFmtId="10" fontId="83" fillId="34" borderId="0" xfId="420" applyNumberFormat="1" applyFont="1" applyFill="1" applyBorder="1" applyProtection="1">
      <alignment vertical="center"/>
      <protection hidden="1"/>
    </xf>
    <xf numFmtId="10" fontId="83" fillId="34" borderId="12" xfId="422" applyNumberFormat="1" applyFont="1" applyFill="1" applyBorder="1" applyAlignment="1" applyProtection="1">
      <alignment horizontal="center" vertical="center"/>
      <protection hidden="1"/>
    </xf>
    <xf numFmtId="204" fontId="0" fillId="0" borderId="0" xfId="422" applyNumberFormat="1" applyFont="1">
      <alignment vertical="center"/>
    </xf>
    <xf numFmtId="0" fontId="202" fillId="34" borderId="0" xfId="0" applyFont="1" applyFill="1" applyProtection="1">
      <alignment vertical="center"/>
      <protection hidden="1"/>
    </xf>
    <xf numFmtId="0" fontId="202" fillId="34" borderId="0" xfId="0" applyFont="1" applyFill="1" applyAlignment="1" applyProtection="1">
      <alignment horizontal="right" vertical="center"/>
      <protection hidden="1"/>
    </xf>
    <xf numFmtId="177" fontId="203" fillId="34" borderId="0" xfId="0" applyNumberFormat="1" applyFont="1" applyFill="1" applyAlignment="1" applyProtection="1">
      <alignment horizontal="right" vertical="center"/>
      <protection hidden="1"/>
    </xf>
    <xf numFmtId="0" fontId="204" fillId="34" borderId="0" xfId="0" applyFont="1" applyFill="1" applyAlignment="1" applyProtection="1">
      <alignment horizontal="center"/>
      <protection hidden="1"/>
    </xf>
    <xf numFmtId="190" fontId="205" fillId="34" borderId="0" xfId="420" applyNumberFormat="1" applyFont="1" applyFill="1" applyBorder="1" applyAlignment="1" applyProtection="1">
      <alignment vertical="center"/>
      <protection hidden="1"/>
    </xf>
    <xf numFmtId="188" fontId="206" fillId="0" borderId="10" xfId="430" applyNumberFormat="1" applyFont="1" applyBorder="1" applyAlignment="1" applyProtection="1">
      <alignment horizontal="center" vertical="center" wrapText="1"/>
      <protection hidden="1"/>
    </xf>
    <xf numFmtId="0" fontId="88" fillId="0" borderId="0" xfId="430" applyFont="1" applyAlignment="1">
      <alignment horizontal="center"/>
    </xf>
    <xf numFmtId="0" fontId="88" fillId="0" borderId="0" xfId="430" applyFont="1" applyAlignment="1">
      <alignment horizontal="center" vertical="center"/>
    </xf>
    <xf numFmtId="201" fontId="83" fillId="34" borderId="0" xfId="422" applyNumberFormat="1" applyFont="1" applyFill="1" applyBorder="1" applyAlignment="1" applyProtection="1">
      <alignment horizontal="center" vertical="center"/>
      <protection hidden="1"/>
    </xf>
    <xf numFmtId="0" fontId="0" fillId="0" borderId="0" xfId="0" applyAlignment="1">
      <alignment horizontal="center" vertical="center"/>
    </xf>
    <xf numFmtId="190" fontId="157" fillId="61" borderId="0" xfId="420" applyNumberFormat="1" applyFont="1" applyFill="1" applyBorder="1" applyAlignment="1" applyProtection="1">
      <alignment vertical="center" shrinkToFit="1"/>
      <protection locked="0"/>
    </xf>
    <xf numFmtId="0" fontId="185" fillId="61" borderId="103" xfId="0" applyFont="1" applyFill="1" applyBorder="1" applyAlignment="1" applyProtection="1">
      <alignment horizontal="center" vertical="center" shrinkToFit="1"/>
      <protection locked="0"/>
    </xf>
    <xf numFmtId="0" fontId="156" fillId="34" borderId="0" xfId="420" applyNumberFormat="1" applyFont="1" applyFill="1" applyBorder="1" applyAlignment="1" applyProtection="1">
      <alignment horizontal="center" vertical="center" shrinkToFit="1"/>
      <protection hidden="1"/>
    </xf>
    <xf numFmtId="0" fontId="139" fillId="61" borderId="103" xfId="0" applyFont="1" applyFill="1" applyBorder="1" applyAlignment="1" applyProtection="1">
      <alignment horizontal="center" vertical="center" shrinkToFit="1"/>
      <protection locked="0"/>
    </xf>
    <xf numFmtId="0" fontId="126" fillId="34" borderId="0" xfId="0" applyFont="1" applyFill="1" applyProtection="1">
      <alignment vertical="center"/>
      <protection hidden="1"/>
    </xf>
    <xf numFmtId="14" fontId="83" fillId="40" borderId="0" xfId="0" applyNumberFormat="1" applyFont="1" applyFill="1" applyAlignment="1" applyProtection="1">
      <alignment horizontal="center" vertical="center"/>
      <protection hidden="1"/>
    </xf>
    <xf numFmtId="180" fontId="202" fillId="34" borderId="0" xfId="0" applyNumberFormat="1" applyFont="1" applyFill="1" applyAlignment="1" applyProtection="1">
      <alignment horizontal="right" vertical="center"/>
      <protection hidden="1"/>
    </xf>
    <xf numFmtId="177" fontId="188" fillId="34" borderId="0" xfId="0" applyNumberFormat="1" applyFont="1" applyFill="1" applyProtection="1">
      <alignment vertical="center"/>
      <protection hidden="1"/>
    </xf>
    <xf numFmtId="0" fontId="188" fillId="53" borderId="0" xfId="0" applyFont="1" applyFill="1" applyProtection="1">
      <alignment vertical="center"/>
      <protection hidden="1"/>
    </xf>
    <xf numFmtId="0" fontId="126" fillId="53" borderId="0" xfId="0" applyFont="1" applyFill="1" applyProtection="1">
      <alignment vertical="center"/>
      <protection hidden="1"/>
    </xf>
    <xf numFmtId="0" fontId="185" fillId="53" borderId="0" xfId="0" applyFont="1" applyFill="1" applyProtection="1">
      <alignment vertical="center"/>
      <protection hidden="1"/>
    </xf>
    <xf numFmtId="0" fontId="109" fillId="60" borderId="160" xfId="0" applyFont="1" applyFill="1" applyBorder="1" applyProtection="1">
      <alignment vertical="center"/>
      <protection hidden="1"/>
    </xf>
    <xf numFmtId="0" fontId="109" fillId="60" borderId="161" xfId="0" applyFont="1" applyFill="1" applyBorder="1" applyProtection="1">
      <alignment vertical="center"/>
      <protection hidden="1"/>
    </xf>
    <xf numFmtId="14" fontId="185" fillId="34" borderId="0" xfId="0" applyNumberFormat="1" applyFont="1" applyFill="1" applyProtection="1">
      <alignment vertical="center"/>
      <protection hidden="1"/>
    </xf>
    <xf numFmtId="0" fontId="179" fillId="34" borderId="0" xfId="0" applyFont="1" applyFill="1" applyAlignment="1" applyProtection="1">
      <alignment vertical="center" wrapText="1"/>
      <protection hidden="1"/>
    </xf>
    <xf numFmtId="179" fontId="181" fillId="64" borderId="0" xfId="0" applyNumberFormat="1" applyFont="1" applyFill="1" applyAlignment="1" applyProtection="1">
      <alignment horizontal="center" vertical="center"/>
      <protection hidden="1"/>
    </xf>
    <xf numFmtId="0" fontId="180" fillId="34" borderId="0" xfId="0" applyFont="1" applyFill="1" applyAlignment="1" applyProtection="1">
      <alignment vertical="center" wrapText="1"/>
      <protection hidden="1"/>
    </xf>
    <xf numFmtId="0" fontId="90" fillId="34" borderId="0" xfId="0" applyFont="1" applyFill="1" applyProtection="1">
      <alignment vertical="center"/>
      <protection hidden="1"/>
    </xf>
    <xf numFmtId="0" fontId="195" fillId="34" borderId="0" xfId="0" applyFont="1" applyFill="1">
      <alignment vertical="center"/>
    </xf>
    <xf numFmtId="179" fontId="63" fillId="49" borderId="0" xfId="425" applyNumberFormat="1" applyFont="1" applyFill="1" applyProtection="1">
      <alignment vertical="center"/>
      <protection hidden="1"/>
    </xf>
    <xf numFmtId="179" fontId="181" fillId="64" borderId="0" xfId="425" applyNumberFormat="1" applyFont="1" applyFill="1" applyAlignment="1" applyProtection="1">
      <alignment horizontal="center" vertical="center"/>
      <protection hidden="1"/>
    </xf>
    <xf numFmtId="179" fontId="101" fillId="34" borderId="0" xfId="422" applyNumberFormat="1" applyFont="1" applyFill="1" applyBorder="1" applyProtection="1">
      <alignment vertical="center"/>
      <protection hidden="1"/>
    </xf>
    <xf numFmtId="10" fontId="83" fillId="34" borderId="0" xfId="422" applyNumberFormat="1" applyFont="1" applyFill="1" applyAlignment="1" applyProtection="1">
      <alignment horizontal="center" vertical="center"/>
      <protection hidden="1"/>
    </xf>
    <xf numFmtId="178" fontId="60" fillId="49" borderId="0" xfId="422" applyNumberFormat="1" applyFont="1" applyFill="1" applyProtection="1">
      <alignment vertical="center"/>
      <protection hidden="1"/>
    </xf>
    <xf numFmtId="180" fontId="0" fillId="34" borderId="0" xfId="0" applyNumberFormat="1" applyFill="1" applyProtection="1">
      <alignment vertical="center"/>
      <protection hidden="1"/>
    </xf>
    <xf numFmtId="0" fontId="14" fillId="34" borderId="0" xfId="425" applyFont="1" applyFill="1" applyProtection="1">
      <alignment vertical="center"/>
      <protection locked="0"/>
    </xf>
    <xf numFmtId="0" fontId="98" fillId="62" borderId="0" xfId="446" applyFont="1" applyFill="1" applyAlignment="1" applyProtection="1">
      <alignment horizontal="center" vertical="center"/>
      <protection hidden="1"/>
    </xf>
    <xf numFmtId="0" fontId="82" fillId="34" borderId="0" xfId="425" applyFont="1" applyFill="1" applyProtection="1">
      <alignment vertical="center"/>
      <protection locked="0" hidden="1"/>
    </xf>
    <xf numFmtId="0" fontId="172" fillId="34" borderId="0" xfId="425" applyFont="1" applyFill="1" applyProtection="1">
      <alignment vertical="center"/>
      <protection locked="0" hidden="1"/>
    </xf>
    <xf numFmtId="188" fontId="82" fillId="34" borderId="0" xfId="425" applyNumberFormat="1" applyFont="1" applyFill="1" applyAlignment="1" applyProtection="1">
      <alignment horizontal="right" vertical="center"/>
      <protection locked="0" hidden="1"/>
    </xf>
    <xf numFmtId="178" fontId="82" fillId="34" borderId="0" xfId="425" applyNumberFormat="1" applyFont="1" applyFill="1" applyAlignment="1" applyProtection="1">
      <alignment horizontal="right" vertical="center"/>
      <protection locked="0" hidden="1"/>
    </xf>
    <xf numFmtId="14" fontId="82" fillId="34" borderId="0" xfId="425" applyNumberFormat="1" applyFont="1" applyFill="1" applyProtection="1">
      <alignment vertical="center"/>
      <protection locked="0" hidden="1"/>
    </xf>
    <xf numFmtId="0" fontId="82" fillId="34" borderId="0" xfId="425" applyFont="1" applyFill="1" applyAlignment="1" applyProtection="1">
      <alignment horizontal="center" vertical="center"/>
      <protection locked="0" hidden="1"/>
    </xf>
    <xf numFmtId="10" fontId="82" fillId="34" borderId="0" xfId="425" applyNumberFormat="1" applyFont="1" applyFill="1" applyAlignment="1" applyProtection="1">
      <alignment horizontal="right" vertical="center"/>
      <protection locked="0" hidden="1"/>
    </xf>
    <xf numFmtId="180" fontId="82" fillId="34" borderId="0" xfId="425" applyNumberFormat="1" applyFont="1" applyFill="1" applyProtection="1">
      <alignment vertical="center"/>
      <protection locked="0" hidden="1"/>
    </xf>
    <xf numFmtId="14" fontId="82" fillId="34" borderId="0" xfId="425" applyNumberFormat="1" applyFont="1" applyFill="1" applyAlignment="1" applyProtection="1">
      <alignment horizontal="center" vertical="center"/>
      <protection locked="0" hidden="1"/>
    </xf>
    <xf numFmtId="197" fontId="82" fillId="34" borderId="0" xfId="425" applyNumberFormat="1" applyFont="1" applyFill="1" applyProtection="1">
      <alignment vertical="center"/>
      <protection locked="0" hidden="1"/>
    </xf>
    <xf numFmtId="178" fontId="82" fillId="34" borderId="0" xfId="425" applyNumberFormat="1" applyFont="1" applyFill="1" applyAlignment="1" applyProtection="1">
      <alignment horizontal="center" vertical="center"/>
      <protection locked="0" hidden="1"/>
    </xf>
    <xf numFmtId="197" fontId="82" fillId="34" borderId="0" xfId="425" applyNumberFormat="1" applyFont="1" applyFill="1" applyAlignment="1" applyProtection="1">
      <alignment horizontal="center" vertical="center"/>
      <protection locked="0" hidden="1"/>
    </xf>
    <xf numFmtId="177" fontId="156" fillId="34" borderId="0" xfId="420" applyFont="1" applyFill="1" applyBorder="1" applyAlignment="1" applyProtection="1">
      <alignment horizontal="center" vertical="center"/>
      <protection hidden="1"/>
    </xf>
    <xf numFmtId="0" fontId="157" fillId="34" borderId="0" xfId="0" applyFont="1" applyFill="1" applyAlignment="1" applyProtection="1">
      <alignment horizontal="center" vertical="center"/>
      <protection hidden="1"/>
    </xf>
    <xf numFmtId="0" fontId="184" fillId="34" borderId="0" xfId="425" applyFont="1" applyFill="1" applyAlignment="1" applyProtection="1">
      <alignment horizontal="center" vertical="center" wrapText="1"/>
      <protection hidden="1"/>
    </xf>
    <xf numFmtId="0" fontId="0" fillId="34" borderId="0" xfId="0" applyFill="1" applyAlignment="1" applyProtection="1">
      <alignment horizontal="center" vertical="center" wrapText="1"/>
      <protection hidden="1"/>
    </xf>
    <xf numFmtId="0" fontId="97" fillId="34" borderId="0" xfId="425" applyFont="1" applyFill="1" applyAlignment="1" applyProtection="1">
      <alignment horizontal="center" vertical="center"/>
      <protection hidden="1"/>
    </xf>
    <xf numFmtId="0" fontId="97" fillId="34" borderId="0" xfId="425" applyFont="1" applyFill="1" applyAlignment="1" applyProtection="1">
      <alignment horizontal="center" vertical="center" wrapText="1"/>
      <protection hidden="1"/>
    </xf>
    <xf numFmtId="0" fontId="155" fillId="34" borderId="0" xfId="0" applyFont="1" applyFill="1" applyAlignment="1" applyProtection="1">
      <alignment horizontal="center" vertical="center"/>
      <protection hidden="1"/>
    </xf>
    <xf numFmtId="177" fontId="65" fillId="34" borderId="0" xfId="420" applyFont="1" applyFill="1" applyBorder="1" applyAlignment="1" applyProtection="1">
      <alignment horizontal="center" vertical="center"/>
      <protection hidden="1"/>
    </xf>
    <xf numFmtId="0" fontId="186" fillId="34" borderId="0" xfId="0" applyFont="1" applyFill="1" applyAlignment="1" applyProtection="1">
      <alignment horizontal="center" vertical="center" textRotation="255"/>
      <protection hidden="1"/>
    </xf>
    <xf numFmtId="0" fontId="115" fillId="53" borderId="0" xfId="0" applyFont="1" applyFill="1" applyProtection="1">
      <alignment vertical="center"/>
      <protection hidden="1"/>
    </xf>
    <xf numFmtId="179" fontId="83" fillId="34" borderId="0" xfId="422" applyNumberFormat="1" applyFont="1" applyFill="1" applyAlignment="1" applyProtection="1">
      <alignment horizontal="center" vertical="center"/>
      <protection hidden="1"/>
    </xf>
    <xf numFmtId="180" fontId="98" fillId="61" borderId="141" xfId="420" applyNumberFormat="1" applyFont="1" applyFill="1" applyBorder="1" applyAlignment="1" applyProtection="1">
      <alignment horizontal="center" vertical="center" shrinkToFit="1"/>
      <protection locked="0"/>
    </xf>
    <xf numFmtId="190" fontId="157" fillId="61" borderId="162" xfId="420" applyNumberFormat="1" applyFont="1" applyFill="1" applyBorder="1" applyAlignment="1" applyProtection="1">
      <alignment vertical="center" shrinkToFit="1"/>
      <protection locked="0"/>
    </xf>
    <xf numFmtId="0" fontId="109" fillId="60" borderId="165" xfId="0" applyFont="1" applyFill="1" applyBorder="1" applyAlignment="1" applyProtection="1">
      <alignment horizontal="center"/>
      <protection hidden="1"/>
    </xf>
    <xf numFmtId="0" fontId="109" fillId="60" borderId="166" xfId="0" applyFont="1" applyFill="1" applyBorder="1" applyAlignment="1" applyProtection="1">
      <alignment horizontal="center" vertical="top"/>
      <protection hidden="1"/>
    </xf>
    <xf numFmtId="0" fontId="109" fillId="60" borderId="168" xfId="0" applyFont="1" applyFill="1" applyBorder="1" applyAlignment="1" applyProtection="1">
      <alignment horizontal="center" vertical="center"/>
      <protection hidden="1"/>
    </xf>
    <xf numFmtId="0" fontId="109" fillId="60" borderId="173" xfId="0" applyFont="1" applyFill="1" applyBorder="1" applyAlignment="1" applyProtection="1">
      <alignment horizontal="center" vertical="center" wrapText="1"/>
      <protection hidden="1"/>
    </xf>
    <xf numFmtId="0" fontId="109" fillId="60" borderId="172" xfId="0" applyFont="1" applyFill="1" applyBorder="1" applyAlignment="1" applyProtection="1">
      <alignment horizontal="center" vertical="center" wrapText="1"/>
      <protection hidden="1"/>
    </xf>
    <xf numFmtId="184" fontId="157" fillId="34" borderId="151" xfId="422" applyNumberFormat="1" applyFont="1" applyFill="1" applyBorder="1" applyAlignment="1" applyProtection="1">
      <alignment vertical="center" shrinkToFit="1"/>
      <protection hidden="1"/>
    </xf>
    <xf numFmtId="0" fontId="76" fillId="46" borderId="0" xfId="0" applyFont="1" applyFill="1" applyProtection="1">
      <alignment vertical="center"/>
      <protection hidden="1"/>
    </xf>
    <xf numFmtId="0" fontId="60" fillId="38" borderId="0" xfId="0" applyFont="1" applyFill="1" applyProtection="1">
      <alignment vertical="center"/>
      <protection hidden="1"/>
    </xf>
    <xf numFmtId="0" fontId="60" fillId="38" borderId="0" xfId="0" applyFont="1" applyFill="1" applyAlignment="1" applyProtection="1">
      <alignment horizontal="center" vertical="center"/>
      <protection hidden="1"/>
    </xf>
    <xf numFmtId="179" fontId="82" fillId="34" borderId="0" xfId="425" applyNumberFormat="1" applyFont="1" applyFill="1" applyProtection="1">
      <alignment vertical="center"/>
      <protection locked="0" hidden="1"/>
    </xf>
    <xf numFmtId="179" fontId="135" fillId="34" borderId="0" xfId="425" applyNumberFormat="1" applyFont="1" applyFill="1" applyAlignment="1" applyProtection="1">
      <alignment horizontal="center" vertical="center"/>
      <protection hidden="1"/>
    </xf>
    <xf numFmtId="179" fontId="173" fillId="34" borderId="0" xfId="425" applyNumberFormat="1" applyFont="1" applyFill="1" applyAlignment="1" applyProtection="1">
      <alignment horizontal="center" vertical="center"/>
      <protection hidden="1"/>
    </xf>
    <xf numFmtId="0" fontId="189" fillId="0" borderId="0" xfId="0" applyFont="1" applyAlignment="1" applyProtection="1">
      <protection hidden="1"/>
    </xf>
    <xf numFmtId="0" fontId="189" fillId="34" borderId="0" xfId="0" applyFont="1" applyFill="1" applyAlignment="1" applyProtection="1">
      <alignment horizontal="left"/>
      <protection hidden="1"/>
    </xf>
    <xf numFmtId="184" fontId="0" fillId="0" borderId="0" xfId="422" applyNumberFormat="1" applyFont="1">
      <alignment vertical="center"/>
    </xf>
    <xf numFmtId="179" fontId="94" fillId="0" borderId="0" xfId="0" applyNumberFormat="1" applyFont="1">
      <alignment vertical="center"/>
    </xf>
    <xf numFmtId="0" fontId="189" fillId="34" borderId="0" xfId="0" applyFont="1" applyFill="1" applyAlignment="1" applyProtection="1">
      <protection hidden="1"/>
    </xf>
    <xf numFmtId="0" fontId="97" fillId="34" borderId="0" xfId="425" applyFont="1" applyFill="1" applyAlignment="1" applyProtection="1">
      <alignment vertical="center" wrapText="1"/>
      <protection hidden="1"/>
    </xf>
    <xf numFmtId="0" fontId="0" fillId="35" borderId="0" xfId="0" applyFill="1" applyAlignment="1">
      <alignment horizontal="center" vertical="center"/>
    </xf>
    <xf numFmtId="0" fontId="0" fillId="0" borderId="118" xfId="0" applyBorder="1" applyAlignment="1">
      <alignment horizontal="center" vertical="center"/>
    </xf>
    <xf numFmtId="181" fontId="134" fillId="53" borderId="0" xfId="420" applyNumberFormat="1" applyFont="1" applyFill="1" applyBorder="1" applyAlignment="1" applyProtection="1">
      <alignment horizontal="center" vertical="center"/>
      <protection hidden="1"/>
    </xf>
    <xf numFmtId="181" fontId="150" fillId="53" borderId="0" xfId="420" applyNumberFormat="1" applyFont="1" applyFill="1" applyBorder="1" applyAlignment="1" applyProtection="1">
      <alignment horizontal="center" vertical="center"/>
      <protection hidden="1"/>
    </xf>
    <xf numFmtId="0" fontId="109" fillId="53" borderId="0" xfId="0" applyFont="1" applyFill="1" applyProtection="1">
      <alignment vertical="center"/>
      <protection hidden="1"/>
    </xf>
    <xf numFmtId="0" fontId="157" fillId="53" borderId="0" xfId="0" applyFont="1" applyFill="1" applyProtection="1">
      <alignment vertical="center"/>
      <protection hidden="1"/>
    </xf>
    <xf numFmtId="0" fontId="109" fillId="53" borderId="0" xfId="0" applyFont="1" applyFill="1" applyAlignment="1" applyProtection="1">
      <alignment horizontal="center" vertical="center"/>
      <protection hidden="1"/>
    </xf>
    <xf numFmtId="0" fontId="157" fillId="53" borderId="0" xfId="0" applyFont="1" applyFill="1" applyAlignment="1" applyProtection="1">
      <alignment horizontal="center" vertical="center"/>
      <protection hidden="1"/>
    </xf>
    <xf numFmtId="203" fontId="150" fillId="53" borderId="0" xfId="420" applyNumberFormat="1" applyFont="1" applyFill="1" applyBorder="1" applyAlignment="1" applyProtection="1">
      <alignment horizontal="center" vertical="center"/>
      <protection hidden="1"/>
    </xf>
    <xf numFmtId="0" fontId="207" fillId="34" borderId="0" xfId="425" applyFont="1" applyFill="1" applyProtection="1">
      <alignment vertical="center"/>
      <protection hidden="1"/>
    </xf>
    <xf numFmtId="0" fontId="157" fillId="53" borderId="0" xfId="0" applyFont="1" applyFill="1">
      <alignment vertical="center"/>
    </xf>
    <xf numFmtId="0" fontId="157" fillId="34" borderId="0" xfId="0" applyFont="1" applyFill="1">
      <alignment vertical="center"/>
    </xf>
    <xf numFmtId="203" fontId="150" fillId="61" borderId="175" xfId="420" applyNumberFormat="1" applyFont="1" applyFill="1" applyBorder="1" applyAlignment="1" applyProtection="1">
      <alignment horizontal="center" vertical="center"/>
      <protection locked="0"/>
    </xf>
    <xf numFmtId="203" fontId="150" fillId="66" borderId="141" xfId="420" applyNumberFormat="1" applyFont="1" applyFill="1" applyBorder="1" applyAlignment="1" applyProtection="1">
      <alignment horizontal="center" vertical="center"/>
      <protection hidden="1"/>
    </xf>
    <xf numFmtId="203" fontId="150" fillId="61" borderId="177" xfId="420" applyNumberFormat="1" applyFont="1" applyFill="1" applyBorder="1" applyAlignment="1" applyProtection="1">
      <alignment horizontal="center" vertical="center"/>
      <protection locked="0"/>
    </xf>
    <xf numFmtId="203" fontId="150" fillId="66" borderId="174" xfId="420" applyNumberFormat="1" applyFont="1" applyFill="1" applyBorder="1" applyAlignment="1" applyProtection="1">
      <alignment horizontal="center" vertical="center"/>
      <protection hidden="1"/>
    </xf>
    <xf numFmtId="0" fontId="109" fillId="60" borderId="180" xfId="0" applyFont="1" applyFill="1" applyBorder="1" applyAlignment="1" applyProtection="1">
      <alignment horizontal="center" vertical="center" wrapText="1"/>
      <protection hidden="1"/>
    </xf>
    <xf numFmtId="0" fontId="60" fillId="53" borderId="0" xfId="0" applyFont="1" applyFill="1" applyAlignment="1" applyProtection="1">
      <alignment horizontal="center" vertical="center"/>
      <protection hidden="1"/>
    </xf>
    <xf numFmtId="184" fontId="157" fillId="34" borderId="0" xfId="422" applyNumberFormat="1" applyFont="1" applyFill="1" applyBorder="1" applyAlignment="1" applyProtection="1">
      <alignment horizontal="right" vertical="center" shrinkToFit="1"/>
      <protection hidden="1"/>
    </xf>
    <xf numFmtId="190" fontId="157" fillId="34" borderId="0" xfId="420" applyNumberFormat="1" applyFont="1" applyFill="1" applyBorder="1" applyAlignment="1" applyProtection="1">
      <alignment horizontal="right" vertical="center" shrinkToFit="1"/>
      <protection hidden="1"/>
    </xf>
    <xf numFmtId="200" fontId="157" fillId="34" borderId="181" xfId="0" applyNumberFormat="1" applyFont="1" applyFill="1" applyBorder="1" applyAlignment="1" applyProtection="1">
      <alignment vertical="center" shrinkToFit="1"/>
      <protection hidden="1"/>
    </xf>
    <xf numFmtId="200" fontId="157" fillId="34" borderId="182" xfId="0" applyNumberFormat="1" applyFont="1" applyFill="1" applyBorder="1" applyAlignment="1" applyProtection="1">
      <alignment vertical="center" shrinkToFit="1"/>
      <protection hidden="1"/>
    </xf>
    <xf numFmtId="200" fontId="157" fillId="34" borderId="183" xfId="0" applyNumberFormat="1" applyFont="1" applyFill="1" applyBorder="1" applyAlignment="1" applyProtection="1">
      <alignment vertical="center" shrinkToFit="1"/>
      <protection hidden="1"/>
    </xf>
    <xf numFmtId="10" fontId="215" fillId="34" borderId="184" xfId="422" applyNumberFormat="1" applyFont="1" applyFill="1" applyBorder="1" applyAlignment="1" applyProtection="1">
      <alignment vertical="center" shrinkToFit="1"/>
      <protection hidden="1"/>
    </xf>
    <xf numFmtId="206" fontId="217" fillId="34" borderId="184" xfId="420" applyNumberFormat="1" applyFont="1" applyFill="1" applyBorder="1" applyAlignment="1" applyProtection="1">
      <alignment horizontal="center" vertical="center" shrinkToFit="1"/>
      <protection hidden="1"/>
    </xf>
    <xf numFmtId="206" fontId="217" fillId="34" borderId="185" xfId="420" applyNumberFormat="1" applyFont="1" applyFill="1" applyBorder="1" applyAlignment="1" applyProtection="1">
      <alignment horizontal="center" vertical="center" shrinkToFit="1"/>
      <protection hidden="1"/>
    </xf>
    <xf numFmtId="207" fontId="216" fillId="34" borderId="184" xfId="420" applyNumberFormat="1" applyFont="1" applyFill="1" applyBorder="1" applyAlignment="1" applyProtection="1">
      <alignment horizontal="right" vertical="center" shrinkToFit="1"/>
      <protection hidden="1"/>
    </xf>
    <xf numFmtId="207" fontId="216" fillId="34" borderId="186" xfId="420" applyNumberFormat="1" applyFont="1" applyFill="1" applyBorder="1" applyAlignment="1" applyProtection="1">
      <alignment horizontal="right" vertical="center" shrinkToFit="1"/>
      <protection hidden="1"/>
    </xf>
    <xf numFmtId="190" fontId="216" fillId="34" borderId="184" xfId="420" applyNumberFormat="1" applyFont="1" applyFill="1" applyBorder="1" applyAlignment="1" applyProtection="1">
      <alignment horizontal="right" vertical="center" shrinkToFit="1"/>
      <protection hidden="1"/>
    </xf>
    <xf numFmtId="10" fontId="216" fillId="34" borderId="184" xfId="422" applyNumberFormat="1" applyFont="1" applyFill="1" applyBorder="1" applyAlignment="1" applyProtection="1">
      <alignment vertical="center" shrinkToFit="1"/>
      <protection hidden="1"/>
    </xf>
    <xf numFmtId="0" fontId="210" fillId="34" borderId="0" xfId="446" applyFont="1" applyFill="1" applyAlignment="1" applyProtection="1">
      <protection hidden="1"/>
    </xf>
    <xf numFmtId="0" fontId="194" fillId="53" borderId="0" xfId="411" applyFont="1" applyFill="1" applyAlignment="1" applyProtection="1">
      <alignment horizontal="left" vertical="center" wrapText="1"/>
      <protection hidden="1"/>
    </xf>
    <xf numFmtId="0" fontId="207" fillId="34" borderId="0" xfId="425" applyFont="1" applyFill="1" applyAlignment="1" applyProtection="1">
      <alignment horizontal="center" vertical="center"/>
      <protection hidden="1"/>
    </xf>
    <xf numFmtId="0" fontId="189" fillId="34" borderId="0" xfId="0" applyFont="1" applyFill="1" applyAlignment="1" applyProtection="1">
      <alignment horizontal="center" vertical="center"/>
      <protection hidden="1"/>
    </xf>
    <xf numFmtId="180" fontId="0" fillId="34" borderId="0" xfId="0" applyNumberFormat="1" applyFill="1" applyAlignment="1" applyProtection="1">
      <alignment horizontal="right" vertical="center"/>
      <protection hidden="1"/>
    </xf>
    <xf numFmtId="179" fontId="0" fillId="34" borderId="0" xfId="0" applyNumberFormat="1" applyFill="1" applyAlignment="1" applyProtection="1">
      <alignment horizontal="right" vertical="center"/>
      <protection hidden="1"/>
    </xf>
    <xf numFmtId="0" fontId="139" fillId="61" borderId="0" xfId="0" applyFont="1" applyFill="1" applyAlignment="1" applyProtection="1">
      <alignment horizontal="center" vertical="center" shrinkToFit="1"/>
      <protection locked="0"/>
    </xf>
    <xf numFmtId="0" fontId="219" fillId="37" borderId="0" xfId="0" applyFont="1" applyFill="1" applyProtection="1">
      <alignment vertical="center"/>
      <protection hidden="1"/>
    </xf>
    <xf numFmtId="0" fontId="182" fillId="37" borderId="0" xfId="0" applyFont="1" applyFill="1" applyAlignment="1" applyProtection="1">
      <alignment horizontal="center" vertical="center"/>
      <protection hidden="1"/>
    </xf>
    <xf numFmtId="184" fontId="0" fillId="0" borderId="0" xfId="422" applyNumberFormat="1" applyFont="1" applyAlignment="1">
      <alignment horizontal="center" vertical="center"/>
    </xf>
    <xf numFmtId="184" fontId="0" fillId="0" borderId="0" xfId="0" applyNumberFormat="1">
      <alignment vertical="center"/>
    </xf>
    <xf numFmtId="208" fontId="220" fillId="0" borderId="0" xfId="0" applyNumberFormat="1" applyFont="1">
      <alignment vertical="center"/>
    </xf>
    <xf numFmtId="208" fontId="0" fillId="0" borderId="0" xfId="0" applyNumberFormat="1" applyAlignment="1">
      <alignment horizontal="center" vertical="center"/>
    </xf>
    <xf numFmtId="14" fontId="89" fillId="0" borderId="0" xfId="0" applyNumberFormat="1" applyFont="1" applyAlignment="1"/>
    <xf numFmtId="0" fontId="109" fillId="60" borderId="0" xfId="0" applyFont="1" applyFill="1" applyAlignment="1" applyProtection="1">
      <alignment horizontal="center" vertical="center" wrapText="1"/>
      <protection locked="0"/>
    </xf>
    <xf numFmtId="0" fontId="109" fillId="60" borderId="86" xfId="0" applyFont="1" applyFill="1" applyBorder="1" applyAlignment="1" applyProtection="1">
      <alignment horizontal="center" vertical="center" wrapText="1"/>
      <protection locked="0" hidden="1"/>
    </xf>
    <xf numFmtId="0" fontId="109" fillId="60" borderId="86" xfId="0" applyFont="1" applyFill="1" applyBorder="1" applyAlignment="1" applyProtection="1">
      <alignment horizontal="center" vertical="center"/>
      <protection locked="0" hidden="1"/>
    </xf>
    <xf numFmtId="188" fontId="109" fillId="60" borderId="86" xfId="0" applyNumberFormat="1" applyFont="1" applyFill="1" applyBorder="1" applyAlignment="1" applyProtection="1">
      <alignment horizontal="center" vertical="center" wrapText="1"/>
      <protection locked="0" hidden="1"/>
    </xf>
    <xf numFmtId="178" fontId="109" fillId="60" borderId="86" xfId="0" applyNumberFormat="1" applyFont="1" applyFill="1" applyBorder="1" applyAlignment="1" applyProtection="1">
      <alignment horizontal="center" vertical="center" wrapText="1"/>
      <protection locked="0" hidden="1"/>
    </xf>
    <xf numFmtId="14" fontId="109" fillId="60" borderId="86" xfId="0" applyNumberFormat="1" applyFont="1" applyFill="1" applyBorder="1" applyAlignment="1" applyProtection="1">
      <alignment horizontal="center" vertical="center" wrapText="1"/>
      <protection locked="0" hidden="1"/>
    </xf>
    <xf numFmtId="179" fontId="109" fillId="60" borderId="86" xfId="0" applyNumberFormat="1" applyFont="1" applyFill="1" applyBorder="1" applyAlignment="1" applyProtection="1">
      <alignment horizontal="center" vertical="center" wrapText="1"/>
      <protection locked="0" hidden="1"/>
    </xf>
    <xf numFmtId="10" fontId="109" fillId="60" borderId="86" xfId="0" applyNumberFormat="1" applyFont="1" applyFill="1" applyBorder="1" applyAlignment="1" applyProtection="1">
      <alignment horizontal="center" vertical="center" wrapText="1"/>
      <protection locked="0" hidden="1"/>
    </xf>
    <xf numFmtId="180" fontId="109" fillId="60" borderId="86" xfId="0" applyNumberFormat="1" applyFont="1" applyFill="1" applyBorder="1" applyAlignment="1" applyProtection="1">
      <alignment horizontal="center" vertical="center"/>
      <protection locked="0" hidden="1"/>
    </xf>
    <xf numFmtId="197" fontId="109" fillId="60" borderId="86" xfId="0" applyNumberFormat="1" applyFont="1" applyFill="1" applyBorder="1" applyAlignment="1" applyProtection="1">
      <alignment horizontal="center" vertical="center" wrapText="1"/>
      <protection locked="0" hidden="1"/>
    </xf>
    <xf numFmtId="0" fontId="189" fillId="34" borderId="0" xfId="0" applyFont="1" applyFill="1" applyProtection="1">
      <alignment vertical="center"/>
      <protection hidden="1"/>
    </xf>
    <xf numFmtId="0" fontId="221" fillId="34" borderId="0" xfId="0" applyFont="1" applyFill="1" applyProtection="1">
      <alignment vertical="center"/>
      <protection hidden="1"/>
    </xf>
    <xf numFmtId="0" fontId="210" fillId="34" borderId="0" xfId="452" applyFont="1" applyFill="1" applyAlignment="1" applyProtection="1">
      <protection hidden="1"/>
    </xf>
    <xf numFmtId="0" fontId="161" fillId="34" borderId="0" xfId="452" applyFont="1" applyFill="1" applyAlignment="1" applyProtection="1">
      <protection hidden="1"/>
    </xf>
    <xf numFmtId="0" fontId="160" fillId="34" borderId="0" xfId="452" applyFont="1" applyFill="1" applyAlignment="1" applyProtection="1">
      <alignment horizontal="center"/>
      <protection hidden="1"/>
    </xf>
    <xf numFmtId="0" fontId="183" fillId="34" borderId="0" xfId="452" applyFont="1" applyFill="1" applyAlignment="1" applyProtection="1">
      <alignment horizontal="center"/>
      <protection hidden="1"/>
    </xf>
    <xf numFmtId="0" fontId="207" fillId="34" borderId="0" xfId="453" applyFont="1" applyFill="1" applyProtection="1">
      <alignment vertical="center"/>
      <protection hidden="1"/>
    </xf>
    <xf numFmtId="0" fontId="97" fillId="34" borderId="0" xfId="453" applyFont="1" applyFill="1" applyProtection="1">
      <alignment vertical="center"/>
      <protection hidden="1"/>
    </xf>
    <xf numFmtId="0" fontId="97" fillId="34" borderId="0" xfId="453" applyFont="1" applyFill="1" applyAlignment="1" applyProtection="1">
      <alignment horizontal="center" vertical="center" wrapText="1"/>
      <protection hidden="1"/>
    </xf>
    <xf numFmtId="0" fontId="97" fillId="34" borderId="0" xfId="453" applyFont="1" applyFill="1" applyAlignment="1" applyProtection="1">
      <alignment vertical="center" wrapText="1"/>
      <protection hidden="1"/>
    </xf>
    <xf numFmtId="0" fontId="98" fillId="34" borderId="0" xfId="453" applyFont="1" applyFill="1" applyAlignment="1" applyProtection="1">
      <alignment horizontal="center" vertical="center" wrapText="1"/>
      <protection hidden="1"/>
    </xf>
    <xf numFmtId="0" fontId="184" fillId="34" borderId="0" xfId="453" applyFont="1" applyFill="1" applyAlignment="1" applyProtection="1">
      <alignment horizontal="center" vertical="center" wrapText="1"/>
      <protection hidden="1"/>
    </xf>
    <xf numFmtId="0" fontId="97" fillId="34" borderId="0" xfId="453" applyFont="1" applyFill="1" applyAlignment="1" applyProtection="1">
      <alignment horizontal="center" vertical="center"/>
      <protection hidden="1"/>
    </xf>
    <xf numFmtId="14" fontId="56" fillId="70" borderId="0" xfId="422" applyNumberFormat="1" applyFont="1" applyFill="1" applyAlignment="1" applyProtection="1">
      <alignment horizontal="center" vertical="center"/>
      <protection hidden="1"/>
    </xf>
    <xf numFmtId="179" fontId="56" fillId="70" borderId="0" xfId="422" applyNumberFormat="1" applyFont="1" applyFill="1" applyAlignment="1" applyProtection="1">
      <alignment horizontal="center" vertical="center"/>
      <protection hidden="1"/>
    </xf>
    <xf numFmtId="9" fontId="181" fillId="71" borderId="0" xfId="422" applyFont="1" applyFill="1" applyAlignment="1" applyProtection="1">
      <alignment horizontal="center" vertical="center"/>
      <protection hidden="1"/>
    </xf>
    <xf numFmtId="182" fontId="181" fillId="71" borderId="0" xfId="425" applyNumberFormat="1" applyFont="1" applyFill="1" applyAlignment="1" applyProtection="1">
      <alignment horizontal="center" vertical="center"/>
      <protection hidden="1"/>
    </xf>
    <xf numFmtId="177" fontId="181" fillId="71" borderId="0" xfId="420" applyFont="1" applyFill="1" applyAlignment="1" applyProtection="1">
      <alignment horizontal="center" vertical="center"/>
      <protection hidden="1"/>
    </xf>
    <xf numFmtId="14" fontId="83" fillId="34" borderId="0" xfId="422" applyNumberFormat="1" applyFont="1" applyFill="1" applyAlignment="1" applyProtection="1">
      <alignment horizontal="center" vertical="center"/>
      <protection hidden="1"/>
    </xf>
    <xf numFmtId="179" fontId="181" fillId="71" borderId="0" xfId="425" applyNumberFormat="1" applyFont="1" applyFill="1" applyAlignment="1" applyProtection="1">
      <alignment horizontal="center" vertical="center"/>
      <protection hidden="1"/>
    </xf>
    <xf numFmtId="190" fontId="0" fillId="34" borderId="0" xfId="0" applyNumberFormat="1" applyFill="1" applyProtection="1">
      <alignment vertical="center"/>
      <protection hidden="1"/>
    </xf>
    <xf numFmtId="176" fontId="0" fillId="34" borderId="0" xfId="0" applyNumberFormat="1" applyFill="1" applyProtection="1">
      <alignment vertical="center"/>
      <protection hidden="1"/>
    </xf>
    <xf numFmtId="184" fontId="0" fillId="34" borderId="0" xfId="422" applyNumberFormat="1" applyFont="1" applyFill="1" applyProtection="1">
      <alignment vertical="center"/>
      <protection hidden="1"/>
    </xf>
    <xf numFmtId="10" fontId="0" fillId="34" borderId="0" xfId="422" applyNumberFormat="1" applyFont="1" applyFill="1" applyProtection="1">
      <alignment vertical="center"/>
      <protection hidden="1"/>
    </xf>
    <xf numFmtId="209" fontId="0" fillId="34" borderId="0" xfId="422" applyNumberFormat="1" applyFont="1" applyFill="1" applyProtection="1">
      <alignment vertical="center"/>
      <protection hidden="1"/>
    </xf>
    <xf numFmtId="14" fontId="60" fillId="49" borderId="0" xfId="0" applyNumberFormat="1" applyFont="1" applyFill="1" applyProtection="1">
      <alignment vertical="center"/>
      <protection hidden="1"/>
    </xf>
    <xf numFmtId="14" fontId="83" fillId="34" borderId="0" xfId="425" applyNumberFormat="1" applyFont="1" applyFill="1" applyProtection="1">
      <alignment vertical="center"/>
      <protection hidden="1"/>
    </xf>
    <xf numFmtId="14" fontId="181" fillId="71" borderId="0" xfId="425" applyNumberFormat="1" applyFont="1" applyFill="1" applyAlignment="1" applyProtection="1">
      <alignment horizontal="center" vertical="center"/>
      <protection hidden="1"/>
    </xf>
    <xf numFmtId="179" fontId="0" fillId="34" borderId="0" xfId="422" applyNumberFormat="1" applyFont="1" applyFill="1" applyProtection="1">
      <alignment vertical="center"/>
      <protection hidden="1"/>
    </xf>
    <xf numFmtId="10" fontId="185" fillId="34" borderId="0" xfId="422" applyNumberFormat="1" applyFont="1" applyFill="1" applyProtection="1">
      <alignment vertical="center"/>
      <protection hidden="1"/>
    </xf>
    <xf numFmtId="0" fontId="222" fillId="0" borderId="0" xfId="0" applyFont="1" applyProtection="1">
      <alignment vertical="center"/>
      <protection hidden="1"/>
    </xf>
    <xf numFmtId="0" fontId="133" fillId="59" borderId="0" xfId="0" applyFont="1" applyFill="1" applyAlignment="1" applyProtection="1">
      <alignment horizontal="center" vertical="center"/>
      <protection hidden="1"/>
    </xf>
    <xf numFmtId="0" fontId="133" fillId="59" borderId="0" xfId="411" applyFont="1" applyFill="1" applyAlignment="1" applyProtection="1">
      <alignment horizontal="center" vertical="center"/>
      <protection hidden="1"/>
    </xf>
    <xf numFmtId="0" fontId="23" fillId="59" borderId="0" xfId="411" applyFill="1" applyAlignment="1" applyProtection="1">
      <alignment horizontal="center" vertical="center"/>
      <protection hidden="1"/>
    </xf>
    <xf numFmtId="0" fontId="23" fillId="59" borderId="0" xfId="411" applyFill="1" applyAlignment="1">
      <alignment horizontal="center" vertical="center"/>
    </xf>
    <xf numFmtId="182" fontId="182" fillId="56" borderId="0" xfId="425" applyNumberFormat="1" applyFont="1" applyFill="1" applyAlignment="1" applyProtection="1">
      <alignment horizontal="center" vertical="center"/>
      <protection hidden="1"/>
    </xf>
    <xf numFmtId="14" fontId="64" fillId="34" borderId="0" xfId="438" applyNumberFormat="1" applyFont="1" applyFill="1" applyBorder="1" applyProtection="1">
      <alignment vertical="center"/>
      <protection hidden="1"/>
    </xf>
    <xf numFmtId="14" fontId="63" fillId="49" borderId="0" xfId="425" applyNumberFormat="1" applyFont="1" applyFill="1" applyProtection="1">
      <alignment vertical="center"/>
      <protection hidden="1"/>
    </xf>
    <xf numFmtId="14" fontId="182" fillId="56" borderId="0" xfId="0" applyNumberFormat="1" applyFont="1" applyFill="1" applyAlignment="1" applyProtection="1">
      <alignment horizontal="center" vertical="center"/>
      <protection hidden="1"/>
    </xf>
    <xf numFmtId="14" fontId="62" fillId="34" borderId="0" xfId="425" applyNumberFormat="1" applyFont="1" applyFill="1" applyProtection="1">
      <alignment vertical="center"/>
      <protection hidden="1"/>
    </xf>
    <xf numFmtId="14" fontId="182" fillId="56" borderId="0" xfId="425" applyNumberFormat="1" applyFont="1" applyFill="1" applyAlignment="1" applyProtection="1">
      <alignment horizontal="center" vertical="center"/>
      <protection hidden="1"/>
    </xf>
    <xf numFmtId="14" fontId="63" fillId="34" borderId="0" xfId="425" applyNumberFormat="1" applyFont="1" applyFill="1" applyProtection="1">
      <alignment vertical="center"/>
      <protection hidden="1"/>
    </xf>
    <xf numFmtId="201" fontId="63" fillId="49" borderId="0" xfId="425" applyNumberFormat="1" applyFont="1" applyFill="1" applyProtection="1">
      <alignment vertical="center"/>
      <protection hidden="1"/>
    </xf>
    <xf numFmtId="201" fontId="64" fillId="34" borderId="0" xfId="438" applyNumberFormat="1" applyFont="1" applyFill="1" applyBorder="1" applyProtection="1">
      <alignment vertical="center"/>
      <protection hidden="1"/>
    </xf>
    <xf numFmtId="201" fontId="62" fillId="34" borderId="0" xfId="425" applyNumberFormat="1" applyFont="1" applyFill="1" applyProtection="1">
      <alignment vertical="center"/>
      <protection hidden="1"/>
    </xf>
    <xf numFmtId="201" fontId="60" fillId="34" borderId="0" xfId="0" applyNumberFormat="1" applyFont="1" applyFill="1" applyProtection="1">
      <alignment vertical="center"/>
      <protection hidden="1"/>
    </xf>
    <xf numFmtId="201" fontId="56" fillId="70" borderId="0" xfId="422" applyNumberFormat="1" applyFont="1" applyFill="1" applyAlignment="1" applyProtection="1">
      <alignment horizontal="center" vertical="center"/>
      <protection hidden="1"/>
    </xf>
    <xf numFmtId="201" fontId="83" fillId="34" borderId="0" xfId="422" applyNumberFormat="1" applyFont="1" applyFill="1" applyAlignment="1" applyProtection="1">
      <alignment horizontal="center" vertical="center"/>
      <protection hidden="1"/>
    </xf>
    <xf numFmtId="0" fontId="0" fillId="68" borderId="192" xfId="0" applyFill="1" applyBorder="1">
      <alignment vertical="center"/>
    </xf>
    <xf numFmtId="0" fontId="223" fillId="72" borderId="193" xfId="0" applyFont="1" applyFill="1" applyBorder="1">
      <alignment vertical="center"/>
    </xf>
    <xf numFmtId="0" fontId="0" fillId="0" borderId="194" xfId="0" applyBorder="1">
      <alignment vertical="center"/>
    </xf>
    <xf numFmtId="14" fontId="0" fillId="0" borderId="0" xfId="0" applyNumberFormat="1" applyAlignment="1">
      <alignment horizontal="center" vertical="center"/>
    </xf>
    <xf numFmtId="14" fontId="212" fillId="69" borderId="158" xfId="450" applyNumberFormat="1" applyBorder="1" applyAlignment="1">
      <alignment horizontal="center"/>
    </xf>
    <xf numFmtId="14" fontId="212" fillId="69" borderId="154" xfId="450" applyNumberFormat="1" applyBorder="1" applyAlignment="1">
      <alignment horizontal="center"/>
    </xf>
    <xf numFmtId="14" fontId="0" fillId="67" borderId="159" xfId="451" applyFont="1" applyFill="1" applyBorder="1" applyAlignment="1">
      <alignment vertical="center"/>
    </xf>
    <xf numFmtId="14" fontId="0" fillId="68" borderId="159" xfId="451" applyFont="1" applyFill="1" applyBorder="1" applyAlignment="1">
      <alignment vertical="center"/>
    </xf>
    <xf numFmtId="14" fontId="0" fillId="0" borderId="0" xfId="0" applyNumberFormat="1">
      <alignment vertical="center"/>
    </xf>
    <xf numFmtId="0" fontId="89" fillId="37" borderId="0" xfId="0" applyFont="1" applyFill="1" applyAlignment="1"/>
    <xf numFmtId="201" fontId="0" fillId="0" borderId="0" xfId="0" applyNumberFormat="1" applyProtection="1">
      <alignment vertical="center"/>
      <protection locked="0"/>
    </xf>
    <xf numFmtId="0" fontId="226" fillId="0" borderId="0" xfId="0" applyFont="1">
      <alignment vertical="center"/>
    </xf>
    <xf numFmtId="0" fontId="49" fillId="37" borderId="0" xfId="0" applyFont="1" applyFill="1" applyProtection="1">
      <alignment vertical="center"/>
      <protection hidden="1"/>
    </xf>
    <xf numFmtId="14" fontId="83" fillId="34" borderId="0" xfId="0" applyNumberFormat="1" applyFont="1" applyFill="1" applyAlignment="1" applyProtection="1">
      <alignment horizontal="left" vertical="center"/>
      <protection hidden="1"/>
    </xf>
    <xf numFmtId="181" fontId="64" fillId="34" borderId="0" xfId="427" applyNumberFormat="1" applyFont="1" applyFill="1" applyBorder="1" applyProtection="1">
      <alignment vertical="center"/>
      <protection hidden="1"/>
    </xf>
    <xf numFmtId="210" fontId="83" fillId="34" borderId="0" xfId="422" applyNumberFormat="1" applyFont="1" applyFill="1" applyAlignment="1" applyProtection="1">
      <alignment horizontal="center" vertical="center"/>
      <protection hidden="1"/>
    </xf>
    <xf numFmtId="0" fontId="85" fillId="53" borderId="0" xfId="0" applyFont="1" applyFill="1" applyProtection="1">
      <alignment vertical="center"/>
      <protection hidden="1"/>
    </xf>
    <xf numFmtId="0" fontId="227" fillId="34" borderId="0" xfId="0" applyFont="1" applyFill="1" applyAlignment="1" applyProtection="1">
      <alignment vertical="center" wrapText="1"/>
      <protection hidden="1"/>
    </xf>
    <xf numFmtId="179" fontId="83" fillId="34" borderId="0" xfId="0" applyNumberFormat="1" applyFont="1" applyFill="1" applyProtection="1">
      <alignment vertical="center"/>
      <protection hidden="1"/>
    </xf>
    <xf numFmtId="202" fontId="85" fillId="34" borderId="0" xfId="422" applyNumberFormat="1" applyFont="1" applyFill="1" applyBorder="1" applyProtection="1">
      <alignment vertical="center"/>
      <protection hidden="1"/>
    </xf>
    <xf numFmtId="10" fontId="85" fillId="34" borderId="0" xfId="422" applyNumberFormat="1" applyFont="1" applyFill="1" applyBorder="1" applyProtection="1">
      <alignment vertical="center"/>
      <protection hidden="1"/>
    </xf>
    <xf numFmtId="179" fontId="85" fillId="34" borderId="0" xfId="422" applyNumberFormat="1" applyFont="1" applyFill="1" applyBorder="1" applyProtection="1">
      <alignment vertical="center"/>
      <protection hidden="1"/>
    </xf>
    <xf numFmtId="183" fontId="83" fillId="34" borderId="0" xfId="0" applyNumberFormat="1" applyFont="1" applyFill="1" applyAlignment="1" applyProtection="1">
      <alignment horizontal="left" vertical="center"/>
      <protection hidden="1"/>
    </xf>
    <xf numFmtId="0" fontId="85" fillId="34" borderId="0" xfId="0" applyFont="1" applyFill="1" applyProtection="1">
      <alignment vertical="center"/>
      <protection hidden="1"/>
    </xf>
    <xf numFmtId="193" fontId="83" fillId="34" borderId="0" xfId="422" applyNumberFormat="1" applyFont="1" applyFill="1" applyAlignment="1" applyProtection="1">
      <alignment horizontal="center" vertical="center"/>
      <protection hidden="1"/>
    </xf>
    <xf numFmtId="0" fontId="57" fillId="34" borderId="137" xfId="425" applyFont="1" applyFill="1" applyBorder="1" applyProtection="1">
      <alignment vertical="center"/>
      <protection hidden="1"/>
    </xf>
    <xf numFmtId="179" fontId="111" fillId="0" borderId="0" xfId="0" applyNumberFormat="1" applyFont="1" applyProtection="1">
      <alignment vertical="center"/>
      <protection hidden="1"/>
    </xf>
    <xf numFmtId="179" fontId="114" fillId="43" borderId="0" xfId="0" applyNumberFormat="1" applyFont="1" applyFill="1" applyAlignment="1">
      <alignment horizontal="center" vertical="center"/>
    </xf>
    <xf numFmtId="179" fontId="130" fillId="56" borderId="83" xfId="422" applyNumberFormat="1" applyFont="1" applyFill="1" applyBorder="1" applyAlignment="1">
      <alignment horizontal="center" vertical="center"/>
    </xf>
    <xf numFmtId="179" fontId="130" fillId="34" borderId="84" xfId="422" applyNumberFormat="1" applyFont="1" applyFill="1" applyBorder="1" applyAlignment="1">
      <alignment horizontal="center" vertical="center"/>
    </xf>
    <xf numFmtId="0" fontId="228" fillId="0" borderId="0" xfId="0" applyFont="1" applyAlignment="1">
      <alignment horizontal="center" vertical="center"/>
    </xf>
    <xf numFmtId="14" fontId="111" fillId="36" borderId="0" xfId="0" applyNumberFormat="1" applyFont="1" applyFill="1" applyProtection="1">
      <alignment vertical="center"/>
      <protection hidden="1"/>
    </xf>
    <xf numFmtId="0" fontId="229" fillId="0" borderId="10" xfId="441" applyFont="1" applyBorder="1">
      <alignment vertical="center"/>
    </xf>
    <xf numFmtId="179" fontId="63" fillId="34" borderId="0" xfId="425" applyNumberFormat="1" applyFont="1" applyFill="1" applyProtection="1">
      <alignment vertical="center"/>
      <protection hidden="1"/>
    </xf>
    <xf numFmtId="0" fontId="98" fillId="53" borderId="0" xfId="425" applyFont="1" applyFill="1" applyAlignment="1" applyProtection="1">
      <alignment horizontal="center" vertical="center"/>
      <protection locked="0"/>
    </xf>
    <xf numFmtId="0" fontId="50" fillId="73" borderId="198" xfId="0" applyFont="1" applyFill="1" applyBorder="1" applyAlignment="1">
      <alignment horizontal="center" vertical="center"/>
    </xf>
    <xf numFmtId="0" fontId="224" fillId="53" borderId="199" xfId="0" applyFont="1" applyFill="1" applyBorder="1" applyAlignment="1">
      <alignment horizontal="center" vertical="center"/>
    </xf>
    <xf numFmtId="0" fontId="224" fillId="53" borderId="201" xfId="0" applyFont="1" applyFill="1" applyBorder="1" applyAlignment="1">
      <alignment horizontal="center" vertical="center"/>
    </xf>
    <xf numFmtId="0" fontId="224" fillId="53" borderId="203" xfId="0" applyFont="1" applyFill="1" applyBorder="1" applyAlignment="1">
      <alignment horizontal="center" vertical="center"/>
    </xf>
    <xf numFmtId="0" fontId="50" fillId="73" borderId="205" xfId="0" applyFont="1" applyFill="1" applyBorder="1">
      <alignment vertical="center"/>
    </xf>
    <xf numFmtId="178" fontId="49" fillId="34" borderId="202" xfId="422" applyNumberFormat="1" applyFont="1" applyFill="1" applyBorder="1" applyAlignment="1">
      <alignment horizontal="right" vertical="center"/>
    </xf>
    <xf numFmtId="181" fontId="49" fillId="34" borderId="202" xfId="420" applyNumberFormat="1" applyFont="1" applyFill="1" applyBorder="1" applyAlignment="1">
      <alignment horizontal="right" vertical="center"/>
    </xf>
    <xf numFmtId="0" fontId="49" fillId="34" borderId="204" xfId="0" applyFont="1" applyFill="1" applyBorder="1" applyAlignment="1">
      <alignment horizontal="right" vertical="center"/>
    </xf>
    <xf numFmtId="0" fontId="0" fillId="0" borderId="0" xfId="0" applyAlignment="1">
      <alignment horizontal="right" vertical="center"/>
    </xf>
    <xf numFmtId="0" fontId="230" fillId="34" borderId="0" xfId="0" applyFont="1" applyFill="1">
      <alignment vertical="center"/>
    </xf>
    <xf numFmtId="0" fontId="50" fillId="60" borderId="95" xfId="0" applyFont="1" applyFill="1" applyBorder="1" applyAlignment="1">
      <alignment horizontal="center" vertical="center"/>
    </xf>
    <xf numFmtId="0" fontId="50" fillId="60" borderId="206" xfId="0" applyFont="1" applyFill="1" applyBorder="1" applyAlignment="1">
      <alignment horizontal="center" vertical="center"/>
    </xf>
    <xf numFmtId="0" fontId="50" fillId="60" borderId="191" xfId="0" applyFont="1" applyFill="1" applyBorder="1">
      <alignment vertical="center"/>
    </xf>
    <xf numFmtId="0" fontId="81" fillId="74" borderId="207" xfId="0" applyFont="1" applyFill="1" applyBorder="1" applyAlignment="1">
      <alignment horizontal="center" vertical="center"/>
    </xf>
    <xf numFmtId="0" fontId="81" fillId="74" borderId="12" xfId="0" applyFont="1" applyFill="1" applyBorder="1" applyAlignment="1">
      <alignment horizontal="center" vertical="center"/>
    </xf>
    <xf numFmtId="0" fontId="81" fillId="74" borderId="209" xfId="0" applyFont="1" applyFill="1" applyBorder="1" applyAlignment="1">
      <alignment horizontal="center" vertical="center"/>
    </xf>
    <xf numFmtId="0" fontId="81" fillId="74" borderId="211" xfId="0" applyFont="1" applyFill="1" applyBorder="1" applyAlignment="1">
      <alignment horizontal="center" vertical="center"/>
    </xf>
    <xf numFmtId="178" fontId="49" fillId="34" borderId="208" xfId="422" applyNumberFormat="1" applyFont="1" applyFill="1" applyBorder="1" applyAlignment="1">
      <alignment horizontal="right" vertical="center"/>
    </xf>
    <xf numFmtId="14" fontId="49" fillId="34" borderId="208" xfId="0" applyNumberFormat="1" applyFont="1" applyFill="1" applyBorder="1" applyAlignment="1">
      <alignment horizontal="right" vertical="center"/>
    </xf>
    <xf numFmtId="0" fontId="49" fillId="34" borderId="212" xfId="0" applyFont="1" applyFill="1" applyBorder="1" applyAlignment="1">
      <alignment horizontal="right" vertical="center"/>
    </xf>
    <xf numFmtId="0" fontId="224" fillId="53" borderId="0" xfId="0" applyFont="1" applyFill="1" applyAlignment="1">
      <alignment horizontal="center" vertical="center"/>
    </xf>
    <xf numFmtId="177" fontId="0" fillId="0" borderId="0" xfId="420" applyFont="1">
      <alignment vertical="center"/>
    </xf>
    <xf numFmtId="190" fontId="0" fillId="0" borderId="0" xfId="420" applyNumberFormat="1" applyFont="1">
      <alignment vertical="center"/>
    </xf>
    <xf numFmtId="177" fontId="0" fillId="0" borderId="0" xfId="0" applyNumberFormat="1">
      <alignment vertical="center"/>
    </xf>
    <xf numFmtId="181" fontId="222" fillId="34" borderId="208" xfId="420" applyNumberFormat="1" applyFont="1" applyFill="1" applyBorder="1" applyAlignment="1">
      <alignment horizontal="right" vertical="center"/>
    </xf>
    <xf numFmtId="0" fontId="81" fillId="74" borderId="0" xfId="0" applyFont="1" applyFill="1" applyAlignment="1">
      <alignment horizontal="center" vertical="center"/>
    </xf>
    <xf numFmtId="181" fontId="0" fillId="0" borderId="0" xfId="0" applyNumberFormat="1">
      <alignment vertical="center"/>
    </xf>
    <xf numFmtId="0" fontId="81" fillId="0" borderId="135" xfId="0" applyFont="1" applyBorder="1" applyAlignment="1">
      <alignment horizontal="center" vertical="center"/>
    </xf>
    <xf numFmtId="190" fontId="0" fillId="0" borderId="191" xfId="420" applyNumberFormat="1" applyFont="1" applyFill="1" applyBorder="1">
      <alignment vertical="center"/>
    </xf>
    <xf numFmtId="0" fontId="81" fillId="0" borderId="12" xfId="0" applyFont="1" applyBorder="1" applyAlignment="1">
      <alignment horizontal="center" vertical="center"/>
    </xf>
    <xf numFmtId="190" fontId="0" fillId="0" borderId="213" xfId="420" applyNumberFormat="1" applyFont="1" applyFill="1" applyBorder="1">
      <alignment vertical="center"/>
    </xf>
    <xf numFmtId="0" fontId="81" fillId="0" borderId="214" xfId="0" applyFont="1" applyBorder="1" applyAlignment="1">
      <alignment horizontal="center" vertical="center"/>
    </xf>
    <xf numFmtId="190" fontId="0" fillId="0" borderId="212" xfId="420" applyNumberFormat="1" applyFont="1" applyFill="1" applyBorder="1">
      <alignment vertical="center"/>
    </xf>
    <xf numFmtId="0" fontId="0" fillId="0" borderId="0" xfId="0" applyAlignment="1">
      <alignment vertical="center" wrapText="1"/>
    </xf>
    <xf numFmtId="178" fontId="0" fillId="0" borderId="0" xfId="0" applyNumberFormat="1">
      <alignment vertical="center"/>
    </xf>
    <xf numFmtId="177" fontId="0" fillId="43" borderId="0" xfId="420" applyFont="1" applyFill="1">
      <alignment vertical="center"/>
    </xf>
    <xf numFmtId="0" fontId="60" fillId="56" borderId="0" xfId="0" applyFont="1" applyFill="1" applyProtection="1">
      <alignment vertical="center"/>
      <protection hidden="1"/>
    </xf>
    <xf numFmtId="0" fontId="103" fillId="56" borderId="0" xfId="425" applyFont="1" applyFill="1" applyProtection="1">
      <alignment vertical="center"/>
      <protection hidden="1"/>
    </xf>
    <xf numFmtId="177" fontId="64" fillId="56" borderId="0" xfId="438" applyFont="1" applyFill="1" applyBorder="1" applyProtection="1">
      <alignment vertical="center"/>
      <protection hidden="1"/>
    </xf>
    <xf numFmtId="177" fontId="64" fillId="56" borderId="0" xfId="438" applyFont="1" applyFill="1" applyBorder="1" applyAlignment="1" applyProtection="1">
      <alignment horizontal="center" vertical="center"/>
      <protection hidden="1"/>
    </xf>
    <xf numFmtId="202" fontId="64" fillId="56" borderId="0" xfId="438" applyNumberFormat="1" applyFont="1" applyFill="1" applyBorder="1" applyProtection="1">
      <alignment vertical="center"/>
      <protection hidden="1"/>
    </xf>
    <xf numFmtId="10" fontId="64" fillId="56" borderId="0" xfId="438" applyNumberFormat="1" applyFont="1" applyFill="1" applyBorder="1" applyProtection="1">
      <alignment vertical="center"/>
      <protection hidden="1"/>
    </xf>
    <xf numFmtId="179" fontId="64" fillId="56" borderId="0" xfId="438" applyNumberFormat="1" applyFont="1" applyFill="1" applyBorder="1" applyProtection="1">
      <alignment vertical="center"/>
      <protection hidden="1"/>
    </xf>
    <xf numFmtId="9" fontId="64" fillId="56" borderId="0" xfId="422" applyFont="1" applyFill="1" applyBorder="1" applyProtection="1">
      <alignment vertical="center"/>
      <protection hidden="1"/>
    </xf>
    <xf numFmtId="14" fontId="64" fillId="56" borderId="0" xfId="438" applyNumberFormat="1" applyFont="1" applyFill="1" applyBorder="1" applyProtection="1">
      <alignment vertical="center"/>
      <protection hidden="1"/>
    </xf>
    <xf numFmtId="179" fontId="60" fillId="56" borderId="0" xfId="0" applyNumberFormat="1" applyFont="1" applyFill="1" applyProtection="1">
      <alignment vertical="center"/>
      <protection hidden="1"/>
    </xf>
    <xf numFmtId="10" fontId="60" fillId="56" borderId="0" xfId="422" applyNumberFormat="1" applyFont="1" applyFill="1" applyProtection="1">
      <alignment vertical="center"/>
      <protection hidden="1"/>
    </xf>
    <xf numFmtId="10" fontId="64" fillId="56" borderId="0" xfId="422" applyNumberFormat="1" applyFont="1" applyFill="1" applyBorder="1" applyProtection="1">
      <alignment vertical="center"/>
      <protection hidden="1"/>
    </xf>
    <xf numFmtId="14" fontId="60" fillId="56" borderId="0" xfId="0" applyNumberFormat="1" applyFont="1" applyFill="1" applyProtection="1">
      <alignment vertical="center"/>
      <protection hidden="1"/>
    </xf>
    <xf numFmtId="181" fontId="64" fillId="56" borderId="0" xfId="438" applyNumberFormat="1" applyFont="1" applyFill="1" applyBorder="1" applyProtection="1">
      <alignment vertical="center"/>
      <protection hidden="1"/>
    </xf>
    <xf numFmtId="187" fontId="49" fillId="34" borderId="210" xfId="420" applyNumberFormat="1" applyFont="1" applyFill="1" applyBorder="1" applyAlignment="1">
      <alignment horizontal="right" vertical="center"/>
    </xf>
    <xf numFmtId="187" fontId="222" fillId="34" borderId="200" xfId="420" applyNumberFormat="1" applyFont="1" applyFill="1" applyBorder="1" applyAlignment="1">
      <alignment horizontal="right" vertical="center"/>
    </xf>
    <xf numFmtId="178" fontId="95" fillId="34" borderId="202" xfId="422" applyNumberFormat="1" applyFont="1" applyFill="1" applyBorder="1" applyAlignment="1">
      <alignment horizontal="right" vertical="center"/>
    </xf>
    <xf numFmtId="0" fontId="233" fillId="34" borderId="0" xfId="0" applyFont="1" applyFill="1" applyProtection="1">
      <alignment vertical="center"/>
      <protection hidden="1"/>
    </xf>
    <xf numFmtId="0" fontId="88" fillId="43" borderId="0" xfId="430" applyFont="1" applyFill="1" applyAlignment="1"/>
    <xf numFmtId="177" fontId="88" fillId="43" borderId="0" xfId="430" applyNumberFormat="1" applyFont="1" applyFill="1" applyAlignment="1"/>
    <xf numFmtId="178" fontId="88" fillId="43" borderId="0" xfId="422" applyNumberFormat="1" applyFont="1" applyFill="1" applyAlignment="1"/>
    <xf numFmtId="178" fontId="88" fillId="0" borderId="0" xfId="430" applyNumberFormat="1" applyFont="1">
      <alignment vertical="center"/>
    </xf>
    <xf numFmtId="178" fontId="88" fillId="0" borderId="0" xfId="430" applyNumberFormat="1" applyFont="1" applyAlignment="1"/>
    <xf numFmtId="0" fontId="121" fillId="56" borderId="0" xfId="430" applyFont="1" applyFill="1" applyAlignment="1">
      <alignment horizontal="center" vertical="center" wrapText="1"/>
    </xf>
    <xf numFmtId="0" fontId="0" fillId="43" borderId="0" xfId="0" applyFill="1">
      <alignment vertical="center"/>
    </xf>
    <xf numFmtId="190" fontId="0" fillId="0" borderId="0" xfId="420" applyNumberFormat="1" applyFont="1" applyFill="1" applyBorder="1">
      <alignment vertical="center"/>
    </xf>
    <xf numFmtId="0" fontId="50" fillId="0" borderId="0" xfId="0" applyFont="1" applyAlignment="1">
      <alignment horizontal="center" vertical="center"/>
    </xf>
    <xf numFmtId="0" fontId="50" fillId="0" borderId="0" xfId="0" applyFont="1">
      <alignment vertical="center"/>
    </xf>
    <xf numFmtId="178" fontId="49" fillId="0" borderId="0" xfId="422" applyNumberFormat="1" applyFont="1" applyFill="1" applyBorder="1" applyAlignment="1">
      <alignment horizontal="right" vertical="center"/>
    </xf>
    <xf numFmtId="14" fontId="49" fillId="0" borderId="0" xfId="0" applyNumberFormat="1" applyFont="1" applyAlignment="1">
      <alignment horizontal="right" vertical="center"/>
    </xf>
    <xf numFmtId="181" fontId="222" fillId="0" borderId="0" xfId="420" applyNumberFormat="1" applyFont="1" applyFill="1" applyBorder="1" applyAlignment="1">
      <alignment horizontal="right" vertical="center"/>
    </xf>
    <xf numFmtId="187" fontId="49" fillId="0" borderId="0" xfId="420" applyNumberFormat="1" applyFont="1" applyFill="1" applyBorder="1" applyAlignment="1">
      <alignment horizontal="right" vertical="center"/>
    </xf>
    <xf numFmtId="0" fontId="49" fillId="0" borderId="0" xfId="0" applyFont="1" applyAlignment="1">
      <alignment horizontal="right" vertical="center"/>
    </xf>
    <xf numFmtId="190" fontId="0" fillId="0" borderId="0" xfId="420" applyNumberFormat="1" applyFont="1" applyFill="1">
      <alignment vertical="center"/>
    </xf>
    <xf numFmtId="0" fontId="0" fillId="0" borderId="17" xfId="0" applyBorder="1">
      <alignment vertical="center"/>
    </xf>
    <xf numFmtId="0" fontId="0" fillId="0" borderId="19" xfId="0" applyBorder="1">
      <alignment vertical="center"/>
    </xf>
    <xf numFmtId="0" fontId="0" fillId="0" borderId="21" xfId="0" applyBorder="1">
      <alignment vertical="center"/>
    </xf>
    <xf numFmtId="0" fontId="0" fillId="0" borderId="23" xfId="0" applyBorder="1">
      <alignment vertical="center"/>
    </xf>
    <xf numFmtId="0" fontId="60" fillId="53" borderId="0" xfId="0" applyFont="1" applyFill="1" applyAlignment="1">
      <alignment horizontal="center" vertical="center"/>
    </xf>
    <xf numFmtId="0" fontId="60" fillId="35" borderId="0" xfId="0" applyFont="1" applyFill="1">
      <alignment vertical="center"/>
    </xf>
    <xf numFmtId="0" fontId="60" fillId="53" borderId="0" xfId="0" applyFont="1" applyFill="1">
      <alignment vertical="center"/>
    </xf>
    <xf numFmtId="177" fontId="60" fillId="0" borderId="0" xfId="420" applyFont="1" applyFill="1">
      <alignment vertical="center"/>
    </xf>
    <xf numFmtId="0" fontId="60" fillId="0" borderId="0" xfId="0" applyFont="1" applyAlignment="1">
      <alignment horizontal="center" vertical="center"/>
    </xf>
    <xf numFmtId="0" fontId="60" fillId="0" borderId="0" xfId="0" applyFont="1">
      <alignment vertical="center"/>
    </xf>
    <xf numFmtId="179" fontId="60" fillId="0" borderId="0" xfId="0" applyNumberFormat="1" applyFont="1">
      <alignment vertical="center"/>
    </xf>
    <xf numFmtId="14" fontId="60" fillId="0" borderId="0" xfId="0" applyNumberFormat="1" applyFont="1">
      <alignment vertical="center"/>
    </xf>
    <xf numFmtId="180" fontId="60" fillId="0" borderId="0" xfId="0" applyNumberFormat="1" applyFont="1">
      <alignment vertical="center"/>
    </xf>
    <xf numFmtId="2" fontId="60" fillId="0" borderId="0" xfId="0" applyNumberFormat="1" applyFont="1">
      <alignment vertical="center"/>
    </xf>
    <xf numFmtId="180" fontId="76" fillId="75" borderId="0" xfId="0" applyNumberFormat="1" applyFont="1" applyFill="1">
      <alignment vertical="center"/>
    </xf>
    <xf numFmtId="181" fontId="60" fillId="0" borderId="0" xfId="0" applyNumberFormat="1" applyFont="1">
      <alignment vertical="center"/>
    </xf>
    <xf numFmtId="0" fontId="60" fillId="40" borderId="0" xfId="0" applyFont="1" applyFill="1" applyAlignment="1">
      <alignment horizontal="center" vertical="center"/>
    </xf>
    <xf numFmtId="0" fontId="60" fillId="40" borderId="0" xfId="0" applyFont="1" applyFill="1">
      <alignment vertical="center"/>
    </xf>
    <xf numFmtId="180" fontId="60" fillId="40" borderId="0" xfId="0" applyNumberFormat="1" applyFont="1" applyFill="1">
      <alignment vertical="center"/>
    </xf>
    <xf numFmtId="180" fontId="76" fillId="46" borderId="0" xfId="0" applyNumberFormat="1" applyFont="1" applyFill="1">
      <alignment vertical="center"/>
    </xf>
    <xf numFmtId="14" fontId="85" fillId="37" borderId="0" xfId="0" applyNumberFormat="1" applyFont="1" applyFill="1" applyProtection="1">
      <alignment vertical="center"/>
      <protection hidden="1"/>
    </xf>
    <xf numFmtId="14" fontId="85" fillId="34" borderId="0" xfId="0" applyNumberFormat="1" applyFont="1" applyFill="1" applyProtection="1">
      <alignment vertical="center"/>
      <protection hidden="1"/>
    </xf>
    <xf numFmtId="0" fontId="234" fillId="75" borderId="224" xfId="0" applyFont="1" applyFill="1" applyBorder="1" applyAlignment="1">
      <alignment horizontal="center" vertical="center"/>
    </xf>
    <xf numFmtId="0" fontId="235" fillId="75" borderId="224" xfId="0" applyFont="1" applyFill="1" applyBorder="1" applyAlignment="1">
      <alignment horizontal="center" vertical="center"/>
    </xf>
    <xf numFmtId="179" fontId="234" fillId="75" borderId="158" xfId="454" applyNumberFormat="1" applyFont="1" applyFill="1" applyBorder="1" applyAlignment="1">
      <alignment horizontal="center" vertical="center"/>
    </xf>
    <xf numFmtId="0" fontId="234" fillId="75" borderId="158" xfId="454" applyFont="1" applyFill="1" applyBorder="1" applyAlignment="1">
      <alignment horizontal="center" vertical="center"/>
    </xf>
    <xf numFmtId="0" fontId="234" fillId="43" borderId="158" xfId="0" applyFont="1" applyFill="1" applyBorder="1" applyAlignment="1">
      <alignment horizontal="center" vertical="center"/>
    </xf>
    <xf numFmtId="0" fontId="234" fillId="75" borderId="158" xfId="0" applyFont="1" applyFill="1" applyBorder="1" applyAlignment="1">
      <alignment horizontal="center" vertical="center"/>
    </xf>
    <xf numFmtId="0" fontId="234" fillId="75" borderId="154" xfId="0" applyFont="1" applyFill="1" applyBorder="1" applyAlignment="1">
      <alignment horizontal="center" vertical="center"/>
    </xf>
    <xf numFmtId="179" fontId="234" fillId="43" borderId="158" xfId="454" applyNumberFormat="1" applyFont="1" applyFill="1" applyBorder="1" applyAlignment="1">
      <alignment horizontal="center" vertical="center"/>
    </xf>
    <xf numFmtId="0" fontId="236" fillId="56" borderId="158" xfId="0" applyFont="1" applyFill="1" applyBorder="1" applyAlignment="1">
      <alignment horizontal="center" vertical="center"/>
    </xf>
    <xf numFmtId="0" fontId="236" fillId="56" borderId="0" xfId="0" applyFont="1" applyFill="1" applyAlignment="1" applyProtection="1">
      <alignment horizontal="center" vertical="center"/>
      <protection hidden="1"/>
    </xf>
    <xf numFmtId="0" fontId="60" fillId="35" borderId="0" xfId="0" applyFont="1" applyFill="1" applyAlignment="1">
      <alignment horizontal="center" vertical="center"/>
    </xf>
    <xf numFmtId="180" fontId="60" fillId="35" borderId="0" xfId="0" applyNumberFormat="1" applyFont="1" applyFill="1">
      <alignment vertical="center"/>
    </xf>
    <xf numFmtId="177" fontId="60" fillId="0" borderId="0" xfId="420" applyFont="1">
      <alignment vertical="center"/>
    </xf>
    <xf numFmtId="178" fontId="60" fillId="0" borderId="0" xfId="422" applyNumberFormat="1" applyFont="1">
      <alignment vertical="center"/>
    </xf>
    <xf numFmtId="179" fontId="60" fillId="35" borderId="0" xfId="0" applyNumberFormat="1" applyFont="1" applyFill="1">
      <alignment vertical="center"/>
    </xf>
    <xf numFmtId="179" fontId="60" fillId="35" borderId="0" xfId="0" applyNumberFormat="1" applyFont="1" applyFill="1" applyAlignment="1">
      <alignment horizontal="center" vertical="center"/>
    </xf>
    <xf numFmtId="179" fontId="60" fillId="53" borderId="0" xfId="0" applyNumberFormat="1" applyFont="1" applyFill="1">
      <alignment vertical="center"/>
    </xf>
    <xf numFmtId="180" fontId="76" fillId="75" borderId="0" xfId="0" applyNumberFormat="1" applyFont="1" applyFill="1" applyProtection="1">
      <alignment vertical="center"/>
      <protection hidden="1"/>
    </xf>
    <xf numFmtId="0" fontId="8" fillId="34" borderId="0" xfId="0" applyFont="1" applyFill="1" applyAlignment="1" applyProtection="1">
      <alignment horizontal="center" vertical="center"/>
      <protection hidden="1"/>
    </xf>
    <xf numFmtId="0" fontId="181" fillId="0" borderId="0" xfId="0" applyFont="1" applyAlignment="1" applyProtection="1">
      <alignment horizontal="center" vertical="center"/>
      <protection hidden="1"/>
    </xf>
    <xf numFmtId="0" fontId="181" fillId="34" borderId="0" xfId="0" applyFont="1" applyFill="1" applyAlignment="1" applyProtection="1">
      <alignment horizontal="center" vertical="center"/>
      <protection hidden="1"/>
    </xf>
    <xf numFmtId="0" fontId="188" fillId="34" borderId="0" xfId="0" applyFont="1" applyFill="1" applyProtection="1">
      <alignment vertical="center"/>
      <protection hidden="1"/>
    </xf>
    <xf numFmtId="0" fontId="60" fillId="34" borderId="227" xfId="0" applyFont="1" applyFill="1" applyBorder="1" applyProtection="1">
      <alignment vertical="center"/>
      <protection hidden="1"/>
    </xf>
    <xf numFmtId="0" fontId="60" fillId="51" borderId="225" xfId="0" applyFont="1" applyFill="1" applyBorder="1" applyProtection="1">
      <alignment vertical="center"/>
      <protection hidden="1"/>
    </xf>
    <xf numFmtId="0" fontId="60" fillId="34" borderId="226" xfId="0" applyFont="1" applyFill="1" applyBorder="1" applyProtection="1">
      <alignment vertical="center"/>
      <protection hidden="1"/>
    </xf>
    <xf numFmtId="0" fontId="181" fillId="0" borderId="0" xfId="425" applyFont="1" applyAlignment="1" applyProtection="1">
      <alignment horizontal="center" vertical="center"/>
      <protection hidden="1"/>
    </xf>
    <xf numFmtId="10" fontId="181" fillId="0" borderId="0" xfId="425" applyNumberFormat="1" applyFont="1" applyAlignment="1" applyProtection="1">
      <alignment horizontal="center" vertical="center"/>
      <protection hidden="1"/>
    </xf>
    <xf numFmtId="182" fontId="181" fillId="0" borderId="0" xfId="425" applyNumberFormat="1" applyFont="1" applyAlignment="1" applyProtection="1">
      <alignment horizontal="center" vertical="center"/>
      <protection hidden="1"/>
    </xf>
    <xf numFmtId="0" fontId="238" fillId="0" borderId="0" xfId="0" applyFont="1" applyAlignment="1" applyProtection="1">
      <alignment horizontal="center" vertical="center"/>
      <protection hidden="1"/>
    </xf>
    <xf numFmtId="0" fontId="181" fillId="76" borderId="0" xfId="0" applyFont="1" applyFill="1" applyAlignment="1" applyProtection="1">
      <alignment horizontal="center" vertical="center"/>
      <protection hidden="1"/>
    </xf>
    <xf numFmtId="0" fontId="181" fillId="76" borderId="0" xfId="425" applyFont="1" applyFill="1" applyAlignment="1" applyProtection="1">
      <alignment horizontal="center" vertical="center"/>
      <protection hidden="1"/>
    </xf>
    <xf numFmtId="180" fontId="60" fillId="34" borderId="0" xfId="0" applyNumberFormat="1" applyFont="1" applyFill="1" applyProtection="1">
      <alignment vertical="center"/>
      <protection hidden="1"/>
    </xf>
    <xf numFmtId="0" fontId="60" fillId="62" borderId="0" xfId="0" applyFont="1" applyFill="1">
      <alignment vertical="center"/>
    </xf>
    <xf numFmtId="177" fontId="60" fillId="62" borderId="0" xfId="420" applyFont="1" applyFill="1">
      <alignment vertical="center"/>
    </xf>
    <xf numFmtId="0" fontId="232" fillId="34" borderId="0" xfId="0" applyFont="1" applyFill="1" applyAlignment="1" applyProtection="1">
      <alignment horizontal="center" vertical="center"/>
      <protection hidden="1"/>
    </xf>
    <xf numFmtId="178" fontId="8" fillId="34" borderId="0" xfId="422" applyNumberFormat="1" applyFont="1" applyFill="1" applyBorder="1" applyProtection="1">
      <alignment vertical="center"/>
      <protection hidden="1"/>
    </xf>
    <xf numFmtId="0" fontId="115" fillId="34" borderId="0" xfId="0" applyFont="1" applyFill="1" applyAlignment="1" applyProtection="1">
      <alignment horizontal="center" vertical="center"/>
      <protection hidden="1"/>
    </xf>
    <xf numFmtId="0" fontId="60" fillId="63" borderId="0" xfId="0" applyFont="1" applyFill="1" applyAlignment="1">
      <alignment horizontal="center" vertical="center"/>
    </xf>
    <xf numFmtId="179" fontId="60" fillId="62" borderId="0" xfId="420" applyNumberFormat="1" applyFont="1" applyFill="1">
      <alignment vertical="center"/>
    </xf>
    <xf numFmtId="179" fontId="60" fillId="40" borderId="0" xfId="0" applyNumberFormat="1" applyFont="1" applyFill="1">
      <alignment vertical="center"/>
    </xf>
    <xf numFmtId="0" fontId="60" fillId="76" borderId="0" xfId="0" applyFont="1" applyFill="1">
      <alignment vertical="center"/>
    </xf>
    <xf numFmtId="0" fontId="60" fillId="63" borderId="0" xfId="0" applyFont="1" applyFill="1">
      <alignment vertical="center"/>
    </xf>
    <xf numFmtId="0" fontId="157" fillId="34" borderId="0" xfId="0" applyFont="1" applyFill="1" applyProtection="1">
      <alignment vertical="center"/>
      <protection hidden="1"/>
    </xf>
    <xf numFmtId="0" fontId="81" fillId="0" borderId="0" xfId="0" applyFont="1" applyAlignment="1">
      <alignment horizontal="center" vertical="center"/>
    </xf>
    <xf numFmtId="10" fontId="0" fillId="0" borderId="0" xfId="422" applyNumberFormat="1" applyFont="1">
      <alignment vertical="center"/>
    </xf>
    <xf numFmtId="0" fontId="60" fillId="51" borderId="0" xfId="0" applyFont="1" applyFill="1" applyProtection="1">
      <alignment vertical="center"/>
      <protection hidden="1"/>
    </xf>
    <xf numFmtId="2" fontId="60" fillId="51" borderId="0" xfId="0" applyNumberFormat="1" applyFont="1" applyFill="1" applyProtection="1">
      <alignment vertical="center"/>
      <protection hidden="1"/>
    </xf>
    <xf numFmtId="2" fontId="60" fillId="34" borderId="0" xfId="0" applyNumberFormat="1" applyFont="1" applyFill="1" applyProtection="1">
      <alignment vertical="center"/>
      <protection hidden="1"/>
    </xf>
    <xf numFmtId="10" fontId="60" fillId="35" borderId="0" xfId="422" applyNumberFormat="1" applyFont="1" applyFill="1">
      <alignment vertical="center"/>
    </xf>
    <xf numFmtId="0" fontId="122" fillId="77" borderId="0" xfId="430" applyFont="1" applyFill="1" applyAlignment="1">
      <alignment horizontal="center" vertical="center" wrapText="1"/>
    </xf>
    <xf numFmtId="0" fontId="156" fillId="34" borderId="0" xfId="0" applyFont="1" applyFill="1" applyProtection="1">
      <alignment vertical="center"/>
      <protection hidden="1"/>
    </xf>
    <xf numFmtId="0" fontId="139" fillId="0" borderId="0" xfId="446" applyFont="1" applyAlignment="1" applyProtection="1">
      <alignment vertical="center" wrapText="1"/>
      <protection hidden="1"/>
    </xf>
    <xf numFmtId="179" fontId="0" fillId="34" borderId="0" xfId="0" applyNumberFormat="1" applyFill="1" applyProtection="1">
      <alignment vertical="center"/>
      <protection hidden="1"/>
    </xf>
    <xf numFmtId="177" fontId="194" fillId="34" borderId="222" xfId="0" applyNumberFormat="1" applyFont="1" applyFill="1" applyBorder="1" applyAlignment="1" applyProtection="1">
      <alignment horizontal="right" vertical="center"/>
      <protection hidden="1"/>
    </xf>
    <xf numFmtId="0" fontId="0" fillId="53" borderId="0" xfId="0" applyFill="1">
      <alignment vertical="center"/>
    </xf>
    <xf numFmtId="0" fontId="59" fillId="53" borderId="0" xfId="0" applyFont="1" applyFill="1">
      <alignment vertical="center"/>
    </xf>
    <xf numFmtId="0" fontId="50" fillId="53" borderId="0" xfId="0" applyFont="1" applyFill="1">
      <alignment vertical="center"/>
    </xf>
    <xf numFmtId="178" fontId="49" fillId="53" borderId="0" xfId="422" applyNumberFormat="1" applyFont="1" applyFill="1" applyBorder="1" applyAlignment="1">
      <alignment horizontal="right" vertical="center"/>
    </xf>
    <xf numFmtId="14" fontId="49" fillId="53" borderId="0" xfId="0" applyNumberFormat="1" applyFont="1" applyFill="1" applyAlignment="1">
      <alignment horizontal="right" vertical="center"/>
    </xf>
    <xf numFmtId="181" fontId="222" fillId="53" borderId="0" xfId="420" applyNumberFormat="1" applyFont="1" applyFill="1" applyBorder="1" applyAlignment="1">
      <alignment horizontal="right" vertical="center"/>
    </xf>
    <xf numFmtId="187" fontId="49" fillId="53" borderId="0" xfId="420" applyNumberFormat="1" applyFont="1" applyFill="1" applyBorder="1" applyAlignment="1">
      <alignment horizontal="right" vertical="center"/>
    </xf>
    <xf numFmtId="0" fontId="49" fillId="53" borderId="0" xfId="0" applyFont="1" applyFill="1" applyAlignment="1">
      <alignment horizontal="right" vertical="center"/>
    </xf>
    <xf numFmtId="0" fontId="0" fillId="53" borderId="0" xfId="0" applyFill="1" applyAlignment="1">
      <alignment horizontal="center" vertical="center"/>
    </xf>
    <xf numFmtId="190" fontId="0" fillId="53" borderId="0" xfId="420" applyNumberFormat="1" applyFont="1" applyFill="1">
      <alignment vertical="center"/>
    </xf>
    <xf numFmtId="190" fontId="0" fillId="53" borderId="0" xfId="420" applyNumberFormat="1" applyFont="1" applyFill="1" applyBorder="1">
      <alignment vertical="center"/>
    </xf>
    <xf numFmtId="0" fontId="155" fillId="34" borderId="222" xfId="0" applyFont="1" applyFill="1" applyBorder="1" applyAlignment="1" applyProtection="1">
      <alignment horizontal="center" vertical="center"/>
      <protection hidden="1"/>
    </xf>
    <xf numFmtId="177" fontId="242" fillId="34" borderId="222" xfId="0" applyNumberFormat="1" applyFont="1" applyFill="1" applyBorder="1" applyAlignment="1" applyProtection="1">
      <alignment horizontal="right" vertical="center"/>
      <protection hidden="1"/>
    </xf>
    <xf numFmtId="0" fontId="251" fillId="34" borderId="0" xfId="0" applyFont="1" applyFill="1" applyAlignment="1" applyProtection="1">
      <alignment horizontal="center" vertical="center"/>
      <protection hidden="1"/>
    </xf>
    <xf numFmtId="211" fontId="253" fillId="0" borderId="0" xfId="0" applyNumberFormat="1" applyFont="1">
      <alignment vertical="center"/>
    </xf>
    <xf numFmtId="0" fontId="254" fillId="0" borderId="0" xfId="0" applyFont="1">
      <alignment vertical="center"/>
    </xf>
    <xf numFmtId="177" fontId="162" fillId="34" borderId="0" xfId="0" applyNumberFormat="1" applyFont="1" applyFill="1" applyAlignment="1" applyProtection="1">
      <alignment horizontal="right" vertical="center"/>
      <protection hidden="1"/>
    </xf>
    <xf numFmtId="0" fontId="155" fillId="34" borderId="236" xfId="0" applyFont="1" applyFill="1" applyBorder="1" applyAlignment="1" applyProtection="1">
      <alignment horizontal="center" vertical="center"/>
      <protection hidden="1"/>
    </xf>
    <xf numFmtId="0" fontId="155" fillId="34" borderId="243" xfId="0" applyFont="1" applyFill="1" applyBorder="1" applyAlignment="1" applyProtection="1">
      <alignment horizontal="center" vertical="center"/>
      <protection hidden="1"/>
    </xf>
    <xf numFmtId="177" fontId="162" fillId="34" borderId="244" xfId="0" applyNumberFormat="1" applyFont="1" applyFill="1" applyBorder="1" applyAlignment="1" applyProtection="1">
      <alignment horizontal="right" vertical="center"/>
      <protection hidden="1"/>
    </xf>
    <xf numFmtId="0" fontId="155" fillId="34" borderId="246" xfId="0" applyFont="1" applyFill="1" applyBorder="1" applyAlignment="1" applyProtection="1">
      <alignment horizontal="center" vertical="center"/>
      <protection hidden="1"/>
    </xf>
    <xf numFmtId="190" fontId="162" fillId="34" borderId="247" xfId="420" applyNumberFormat="1" applyFont="1" applyFill="1" applyBorder="1" applyAlignment="1" applyProtection="1">
      <alignment horizontal="right" vertical="center"/>
      <protection hidden="1"/>
    </xf>
    <xf numFmtId="190" fontId="162" fillId="34" borderId="244" xfId="420" applyNumberFormat="1" applyFont="1" applyFill="1" applyBorder="1" applyAlignment="1" applyProtection="1">
      <alignment horizontal="right" vertical="center"/>
      <protection hidden="1"/>
    </xf>
    <xf numFmtId="178" fontId="162" fillId="34" borderId="247" xfId="422" applyNumberFormat="1" applyFont="1" applyFill="1" applyBorder="1" applyAlignment="1" applyProtection="1">
      <alignment horizontal="right" vertical="center"/>
      <protection hidden="1"/>
    </xf>
    <xf numFmtId="178" fontId="162" fillId="34" borderId="244" xfId="422" applyNumberFormat="1" applyFont="1" applyFill="1" applyBorder="1" applyAlignment="1" applyProtection="1">
      <alignment horizontal="right" vertical="center"/>
      <protection hidden="1"/>
    </xf>
    <xf numFmtId="177" fontId="162" fillId="34" borderId="93" xfId="0" applyNumberFormat="1" applyFont="1" applyFill="1" applyBorder="1" applyAlignment="1" applyProtection="1">
      <alignment horizontal="right" vertical="center"/>
      <protection hidden="1"/>
    </xf>
    <xf numFmtId="177" fontId="247" fillId="34" borderId="247" xfId="0" applyNumberFormat="1" applyFont="1" applyFill="1" applyBorder="1" applyAlignment="1" applyProtection="1">
      <alignment horizontal="right" vertical="center"/>
      <protection hidden="1"/>
    </xf>
    <xf numFmtId="177" fontId="247" fillId="34" borderId="244" xfId="0" applyNumberFormat="1" applyFont="1" applyFill="1" applyBorder="1" applyAlignment="1" applyProtection="1">
      <alignment horizontal="right" vertical="center"/>
      <protection hidden="1"/>
    </xf>
    <xf numFmtId="177" fontId="162" fillId="34" borderId="221" xfId="0" applyNumberFormat="1" applyFont="1" applyFill="1" applyBorder="1" applyAlignment="1" applyProtection="1">
      <alignment horizontal="right" vertical="center"/>
      <protection hidden="1"/>
    </xf>
    <xf numFmtId="190" fontId="0" fillId="0" borderId="0" xfId="0" applyNumberFormat="1">
      <alignment vertical="center"/>
    </xf>
    <xf numFmtId="0" fontId="256" fillId="34" borderId="221" xfId="0" applyFont="1" applyFill="1" applyBorder="1" applyProtection="1">
      <alignment vertical="center"/>
      <protection hidden="1"/>
    </xf>
    <xf numFmtId="0" fontId="139" fillId="34" borderId="0" xfId="0" applyFont="1" applyFill="1" applyProtection="1">
      <alignment vertical="center"/>
      <protection hidden="1"/>
    </xf>
    <xf numFmtId="0" fontId="156" fillId="34" borderId="231" xfId="0" applyFont="1" applyFill="1" applyBorder="1" applyAlignment="1" applyProtection="1">
      <alignment horizontal="center" vertical="center"/>
      <protection hidden="1"/>
    </xf>
    <xf numFmtId="0" fontId="209" fillId="34" borderId="229" xfId="0" applyFont="1" applyFill="1" applyBorder="1" applyAlignment="1" applyProtection="1">
      <alignment horizontal="center" vertical="center"/>
      <protection hidden="1"/>
    </xf>
    <xf numFmtId="0" fontId="156" fillId="34" borderId="216" xfId="0" applyFont="1" applyFill="1" applyBorder="1" applyAlignment="1" applyProtection="1">
      <alignment horizontal="center" vertical="center"/>
      <protection hidden="1"/>
    </xf>
    <xf numFmtId="0" fontId="209" fillId="34" borderId="217" xfId="0" applyFont="1" applyFill="1" applyBorder="1" applyAlignment="1" applyProtection="1">
      <alignment horizontal="center" vertical="center"/>
      <protection hidden="1"/>
    </xf>
    <xf numFmtId="0" fontId="209" fillId="34" borderId="0" xfId="0" applyFont="1" applyFill="1" applyAlignment="1" applyProtection="1">
      <alignment horizontal="center" vertical="center"/>
      <protection hidden="1"/>
    </xf>
    <xf numFmtId="0" fontId="209" fillId="34" borderId="230" xfId="0" applyFont="1" applyFill="1" applyBorder="1" applyAlignment="1" applyProtection="1">
      <alignment horizontal="center" vertical="center"/>
      <protection hidden="1"/>
    </xf>
    <xf numFmtId="0" fontId="209" fillId="34" borderId="220" xfId="0" applyFont="1" applyFill="1" applyBorder="1" applyAlignment="1" applyProtection="1">
      <alignment horizontal="center" vertical="center"/>
      <protection hidden="1"/>
    </xf>
    <xf numFmtId="0" fontId="249" fillId="61" borderId="85" xfId="0" applyFont="1" applyFill="1" applyBorder="1" applyAlignment="1" applyProtection="1">
      <alignment horizontal="center" vertical="center"/>
      <protection locked="0"/>
    </xf>
    <xf numFmtId="0" fontId="153" fillId="34" borderId="221" xfId="0" applyFont="1" applyFill="1" applyBorder="1" applyAlignment="1" applyProtection="1">
      <alignment horizontal="left" vertical="center"/>
      <protection hidden="1"/>
    </xf>
    <xf numFmtId="177" fontId="245" fillId="34" borderId="0" xfId="0" applyNumberFormat="1" applyFont="1" applyFill="1" applyAlignment="1" applyProtection="1">
      <alignment horizontal="right" vertical="center" shrinkToFit="1"/>
      <protection hidden="1"/>
    </xf>
    <xf numFmtId="177" fontId="156" fillId="34" borderId="0" xfId="0" applyNumberFormat="1" applyFont="1" applyFill="1" applyAlignment="1" applyProtection="1">
      <alignment horizontal="right" vertical="center" shrinkToFit="1"/>
      <protection hidden="1"/>
    </xf>
    <xf numFmtId="177" fontId="162" fillId="34" borderId="0" xfId="0" applyNumberFormat="1" applyFont="1" applyFill="1" applyAlignment="1" applyProtection="1">
      <alignment horizontal="right" vertical="center" shrinkToFit="1"/>
      <protection hidden="1"/>
    </xf>
    <xf numFmtId="177" fontId="162" fillId="34" borderId="249" xfId="0" applyNumberFormat="1" applyFont="1" applyFill="1" applyBorder="1" applyAlignment="1" applyProtection="1">
      <alignment horizontal="right" vertical="center" shrinkToFit="1"/>
      <protection hidden="1"/>
    </xf>
    <xf numFmtId="190" fontId="245" fillId="34" borderId="0" xfId="420" applyNumberFormat="1" applyFont="1" applyFill="1" applyBorder="1" applyAlignment="1" applyProtection="1">
      <alignment horizontal="right" vertical="center" shrinkToFit="1"/>
      <protection hidden="1"/>
    </xf>
    <xf numFmtId="180" fontId="156" fillId="34" borderId="239" xfId="0" applyNumberFormat="1" applyFont="1" applyFill="1" applyBorder="1" applyAlignment="1" applyProtection="1">
      <alignment horizontal="right" vertical="center" shrinkToFit="1"/>
      <protection hidden="1"/>
    </xf>
    <xf numFmtId="180" fontId="156" fillId="34" borderId="242" xfId="0" applyNumberFormat="1" applyFont="1" applyFill="1" applyBorder="1" applyAlignment="1" applyProtection="1">
      <alignment horizontal="right" vertical="center" shrinkToFit="1"/>
      <protection hidden="1"/>
    </xf>
    <xf numFmtId="190" fontId="162" fillId="34" borderId="242" xfId="420" applyNumberFormat="1" applyFont="1" applyFill="1" applyBorder="1" applyAlignment="1" applyProtection="1">
      <alignment horizontal="right" vertical="center" shrinkToFit="1"/>
      <protection hidden="1"/>
    </xf>
    <xf numFmtId="190" fontId="162" fillId="34" borderId="248" xfId="420" applyNumberFormat="1" applyFont="1" applyFill="1" applyBorder="1" applyAlignment="1" applyProtection="1">
      <alignment horizontal="right" vertical="center" shrinkToFit="1"/>
      <protection hidden="1"/>
    </xf>
    <xf numFmtId="190" fontId="162" fillId="34" borderId="245" xfId="420" applyNumberFormat="1" applyFont="1" applyFill="1" applyBorder="1" applyAlignment="1" applyProtection="1">
      <alignment horizontal="right" vertical="center" shrinkToFit="1"/>
      <protection hidden="1"/>
    </xf>
    <xf numFmtId="178" fontId="245" fillId="34" borderId="242" xfId="422" applyNumberFormat="1" applyFont="1" applyFill="1" applyBorder="1" applyAlignment="1" applyProtection="1">
      <alignment horizontal="right" vertical="center" shrinkToFit="1"/>
      <protection hidden="1"/>
    </xf>
    <xf numFmtId="178" fontId="156" fillId="34" borderId="242" xfId="422" applyNumberFormat="1" applyFont="1" applyFill="1" applyBorder="1" applyAlignment="1" applyProtection="1">
      <alignment horizontal="right" vertical="center" shrinkToFit="1"/>
      <protection hidden="1"/>
    </xf>
    <xf numFmtId="178" fontId="162" fillId="34" borderId="242" xfId="422" applyNumberFormat="1" applyFont="1" applyFill="1" applyBorder="1" applyAlignment="1" applyProtection="1">
      <alignment horizontal="right" vertical="center" shrinkToFit="1"/>
      <protection hidden="1"/>
    </xf>
    <xf numFmtId="178" fontId="162" fillId="34" borderId="248" xfId="422" applyNumberFormat="1" applyFont="1" applyFill="1" applyBorder="1" applyAlignment="1" applyProtection="1">
      <alignment horizontal="right" vertical="center" shrinkToFit="1"/>
      <protection hidden="1"/>
    </xf>
    <xf numFmtId="178" fontId="162" fillId="34" borderId="245" xfId="422" applyNumberFormat="1" applyFont="1" applyFill="1" applyBorder="1" applyAlignment="1" applyProtection="1">
      <alignment horizontal="right" vertical="center" shrinkToFit="1"/>
      <protection hidden="1"/>
    </xf>
    <xf numFmtId="177" fontId="245" fillId="34" borderId="242" xfId="0" applyNumberFormat="1" applyFont="1" applyFill="1" applyBorder="1" applyAlignment="1" applyProtection="1">
      <alignment horizontal="right" vertical="center" shrinkToFit="1"/>
      <protection hidden="1"/>
    </xf>
    <xf numFmtId="177" fontId="156" fillId="34" borderId="242" xfId="0" applyNumberFormat="1" applyFont="1" applyFill="1" applyBorder="1" applyAlignment="1" applyProtection="1">
      <alignment horizontal="right" vertical="center" shrinkToFit="1"/>
      <protection hidden="1"/>
    </xf>
    <xf numFmtId="177" fontId="162" fillId="34" borderId="242" xfId="0" applyNumberFormat="1" applyFont="1" applyFill="1" applyBorder="1" applyAlignment="1" applyProtection="1">
      <alignment horizontal="right" vertical="center" shrinkToFit="1"/>
      <protection hidden="1"/>
    </xf>
    <xf numFmtId="177" fontId="162" fillId="34" borderId="94" xfId="0" applyNumberFormat="1" applyFont="1" applyFill="1" applyBorder="1" applyAlignment="1" applyProtection="1">
      <alignment horizontal="right" vertical="center" shrinkToFit="1"/>
      <protection hidden="1"/>
    </xf>
    <xf numFmtId="177" fontId="162" fillId="34" borderId="245" xfId="0" applyNumberFormat="1" applyFont="1" applyFill="1" applyBorder="1" applyAlignment="1" applyProtection="1">
      <alignment horizontal="right" vertical="center" shrinkToFit="1"/>
      <protection hidden="1"/>
    </xf>
    <xf numFmtId="177" fontId="247" fillId="34" borderId="248" xfId="0" applyNumberFormat="1" applyFont="1" applyFill="1" applyBorder="1" applyAlignment="1" applyProtection="1">
      <alignment horizontal="right" vertical="center" shrinkToFit="1"/>
      <protection hidden="1"/>
    </xf>
    <xf numFmtId="177" fontId="247" fillId="34" borderId="245" xfId="0" applyNumberFormat="1" applyFont="1" applyFill="1" applyBorder="1" applyAlignment="1" applyProtection="1">
      <alignment horizontal="right" vertical="center" shrinkToFit="1"/>
      <protection hidden="1"/>
    </xf>
    <xf numFmtId="177" fontId="246" fillId="34" borderId="154" xfId="0" applyNumberFormat="1" applyFont="1" applyFill="1" applyBorder="1" applyAlignment="1" applyProtection="1">
      <alignment horizontal="right" vertical="center" shrinkToFit="1"/>
      <protection hidden="1"/>
    </xf>
    <xf numFmtId="177" fontId="209" fillId="34" borderId="154" xfId="0" applyNumberFormat="1" applyFont="1" applyFill="1" applyBorder="1" applyAlignment="1" applyProtection="1">
      <alignment horizontal="right" vertical="center" shrinkToFit="1"/>
      <protection hidden="1"/>
    </xf>
    <xf numFmtId="177" fontId="209" fillId="34" borderId="237" xfId="0" applyNumberFormat="1" applyFont="1" applyFill="1" applyBorder="1" applyAlignment="1" applyProtection="1">
      <alignment horizontal="right" vertical="center" shrinkToFit="1"/>
      <protection hidden="1"/>
    </xf>
    <xf numFmtId="177" fontId="194" fillId="34" borderId="239" xfId="0" applyNumberFormat="1" applyFont="1" applyFill="1" applyBorder="1" applyAlignment="1" applyProtection="1">
      <alignment horizontal="right" vertical="center" shrinkToFit="1"/>
      <protection hidden="1"/>
    </xf>
    <xf numFmtId="0" fontId="156" fillId="34" borderId="0" xfId="0" applyFont="1" applyFill="1" applyAlignment="1" applyProtection="1">
      <alignment horizontal="center" vertical="center"/>
      <protection hidden="1"/>
    </xf>
    <xf numFmtId="0" fontId="0" fillId="0" borderId="118" xfId="0" applyBorder="1">
      <alignment vertical="center"/>
    </xf>
    <xf numFmtId="0" fontId="0" fillId="0" borderId="120" xfId="0" applyBorder="1">
      <alignment vertical="center"/>
    </xf>
    <xf numFmtId="0" fontId="0" fillId="0" borderId="20" xfId="0" applyBorder="1">
      <alignment vertical="center"/>
    </xf>
    <xf numFmtId="0" fontId="0" fillId="0" borderId="11" xfId="0" applyBorder="1">
      <alignment vertical="center"/>
    </xf>
    <xf numFmtId="0" fontId="122" fillId="38" borderId="17" xfId="430" applyFont="1" applyFill="1" applyBorder="1" applyAlignment="1">
      <alignment horizontal="center" vertical="center" wrapText="1"/>
    </xf>
    <xf numFmtId="0" fontId="88" fillId="38" borderId="22" xfId="430" applyFont="1" applyFill="1" applyBorder="1">
      <alignment vertical="center"/>
    </xf>
    <xf numFmtId="0" fontId="88" fillId="38" borderId="23" xfId="430" applyFont="1" applyFill="1" applyBorder="1">
      <alignment vertical="center"/>
    </xf>
    <xf numFmtId="0" fontId="81" fillId="0" borderId="0" xfId="430" applyFont="1" applyAlignment="1">
      <alignment horizontal="center" vertical="center" wrapText="1"/>
    </xf>
    <xf numFmtId="0" fontId="0" fillId="0" borderId="18" xfId="0" applyBorder="1">
      <alignment vertical="center"/>
    </xf>
    <xf numFmtId="0" fontId="88" fillId="62" borderId="19" xfId="430" applyFont="1" applyFill="1" applyBorder="1" applyAlignment="1">
      <alignment horizontal="center"/>
    </xf>
    <xf numFmtId="0" fontId="0" fillId="0" borderId="225" xfId="0" applyBorder="1">
      <alignment vertical="center"/>
    </xf>
    <xf numFmtId="0" fontId="0" fillId="0" borderId="227" xfId="0" applyBorder="1">
      <alignment vertical="center"/>
    </xf>
    <xf numFmtId="0" fontId="250" fillId="34" borderId="0" xfId="0" applyFont="1" applyFill="1" applyProtection="1">
      <alignment vertical="center"/>
      <protection hidden="1"/>
    </xf>
    <xf numFmtId="0" fontId="241" fillId="34" borderId="215" xfId="0" applyFont="1" applyFill="1" applyBorder="1" applyProtection="1">
      <alignment vertical="center"/>
      <protection hidden="1"/>
    </xf>
    <xf numFmtId="0" fontId="243" fillId="34" borderId="0" xfId="0" applyFont="1" applyFill="1" applyProtection="1">
      <alignment vertical="center"/>
      <protection hidden="1"/>
    </xf>
    <xf numFmtId="0" fontId="230" fillId="34" borderId="0" xfId="0" applyFont="1" applyFill="1" applyProtection="1">
      <alignment vertical="center"/>
      <protection hidden="1"/>
    </xf>
    <xf numFmtId="0" fontId="257" fillId="34" borderId="0" xfId="0" applyFont="1" applyFill="1" applyProtection="1">
      <alignment vertical="center"/>
      <protection hidden="1"/>
    </xf>
    <xf numFmtId="0" fontId="249" fillId="61" borderId="29" xfId="0" applyFont="1" applyFill="1" applyBorder="1" applyAlignment="1" applyProtection="1">
      <alignment horizontal="center" vertical="center"/>
      <protection locked="0"/>
    </xf>
    <xf numFmtId="0" fontId="259" fillId="0" borderId="0" xfId="0" applyFont="1">
      <alignment vertical="center"/>
    </xf>
    <xf numFmtId="0" fontId="260" fillId="0" borderId="0" xfId="0" applyFont="1">
      <alignment vertical="center"/>
    </xf>
    <xf numFmtId="0" fontId="60" fillId="34" borderId="17" xfId="0" applyFont="1" applyFill="1" applyBorder="1" applyProtection="1">
      <alignment vertical="center"/>
      <protection hidden="1"/>
    </xf>
    <xf numFmtId="0" fontId="60" fillId="34" borderId="18" xfId="0" applyFont="1" applyFill="1" applyBorder="1" applyProtection="1">
      <alignment vertical="center"/>
      <protection hidden="1"/>
    </xf>
    <xf numFmtId="0" fontId="60" fillId="34" borderId="19" xfId="0" applyFont="1" applyFill="1" applyBorder="1" applyProtection="1">
      <alignment vertical="center"/>
      <protection hidden="1"/>
    </xf>
    <xf numFmtId="0" fontId="60" fillId="34" borderId="22" xfId="0" applyFont="1" applyFill="1" applyBorder="1" applyProtection="1">
      <alignment vertical="center"/>
      <protection hidden="1"/>
    </xf>
    <xf numFmtId="0" fontId="60" fillId="34" borderId="11" xfId="0" applyFont="1" applyFill="1" applyBorder="1" applyProtection="1">
      <alignment vertical="center"/>
      <protection hidden="1"/>
    </xf>
    <xf numFmtId="0" fontId="60" fillId="34" borderId="23" xfId="0" applyFont="1" applyFill="1" applyBorder="1" applyProtection="1">
      <alignment vertical="center"/>
      <protection hidden="1"/>
    </xf>
    <xf numFmtId="0" fontId="60" fillId="63" borderId="0" xfId="0" applyFont="1" applyFill="1" applyProtection="1">
      <alignment vertical="center"/>
      <protection hidden="1"/>
    </xf>
    <xf numFmtId="0" fontId="0" fillId="34" borderId="0" xfId="0" applyFill="1" applyAlignment="1" applyProtection="1">
      <alignment horizontal="right" vertical="center"/>
      <protection hidden="1"/>
    </xf>
    <xf numFmtId="0" fontId="155" fillId="34" borderId="250" xfId="0" applyFont="1" applyFill="1" applyBorder="1" applyAlignment="1" applyProtection="1">
      <alignment horizontal="center" vertical="center"/>
      <protection hidden="1"/>
    </xf>
    <xf numFmtId="0" fontId="155" fillId="34" borderId="219" xfId="0" applyFont="1" applyFill="1" applyBorder="1" applyAlignment="1" applyProtection="1">
      <alignment horizontal="center" vertical="center"/>
      <protection hidden="1"/>
    </xf>
    <xf numFmtId="0" fontId="262" fillId="34" borderId="0" xfId="0" applyFont="1" applyFill="1" applyAlignment="1" applyProtection="1">
      <alignment horizontal="right" vertical="center"/>
      <protection hidden="1"/>
    </xf>
    <xf numFmtId="0" fontId="263" fillId="34" borderId="0" xfId="0" applyFont="1" applyFill="1" applyAlignment="1" applyProtection="1">
      <alignment horizontal="center" vertical="center"/>
      <protection hidden="1"/>
    </xf>
    <xf numFmtId="193" fontId="60" fillId="40" borderId="0" xfId="0" applyNumberFormat="1" applyFont="1" applyFill="1">
      <alignment vertical="center"/>
    </xf>
    <xf numFmtId="0" fontId="244" fillId="34" borderId="0" xfId="0" applyFont="1" applyFill="1" applyProtection="1">
      <alignment vertical="center"/>
      <protection hidden="1"/>
    </xf>
    <xf numFmtId="0" fontId="194" fillId="34" borderId="0" xfId="411" applyFont="1" applyFill="1" applyAlignment="1" applyProtection="1">
      <alignment vertical="center" wrapText="1"/>
      <protection hidden="1"/>
    </xf>
    <xf numFmtId="0" fontId="0" fillId="34" borderId="0" xfId="0" applyFill="1" applyAlignment="1" applyProtection="1">
      <alignment horizontal="left" vertical="center"/>
      <protection hidden="1"/>
    </xf>
    <xf numFmtId="180" fontId="60" fillId="53" borderId="0" xfId="0" applyNumberFormat="1" applyFont="1" applyFill="1" applyAlignment="1">
      <alignment horizontal="center" vertical="center"/>
    </xf>
    <xf numFmtId="180" fontId="237" fillId="37" borderId="0" xfId="0" applyNumberFormat="1" applyFont="1" applyFill="1">
      <alignment vertical="center"/>
    </xf>
    <xf numFmtId="179" fontId="49" fillId="34" borderId="202" xfId="0" applyNumberFormat="1" applyFont="1" applyFill="1" applyBorder="1" applyAlignment="1">
      <alignment horizontal="right" vertical="center"/>
    </xf>
    <xf numFmtId="14" fontId="234" fillId="43" borderId="158" xfId="0" applyNumberFormat="1" applyFont="1" applyFill="1" applyBorder="1" applyAlignment="1">
      <alignment horizontal="center" vertical="center"/>
    </xf>
    <xf numFmtId="177" fontId="83" fillId="34" borderId="137" xfId="420" applyFont="1" applyFill="1" applyBorder="1" applyProtection="1">
      <alignment vertical="center"/>
      <protection hidden="1"/>
    </xf>
    <xf numFmtId="0" fontId="181" fillId="64" borderId="0" xfId="453" applyFont="1" applyFill="1" applyAlignment="1" applyProtection="1">
      <alignment horizontal="center" vertical="center"/>
      <protection hidden="1"/>
    </xf>
    <xf numFmtId="0" fontId="271" fillId="56" borderId="10" xfId="0" applyFont="1" applyFill="1" applyBorder="1" applyAlignment="1" applyProtection="1">
      <alignment horizontal="center" vertical="center"/>
      <protection hidden="1"/>
    </xf>
    <xf numFmtId="201" fontId="83" fillId="34" borderId="137" xfId="453" applyNumberFormat="1" applyFont="1" applyFill="1" applyBorder="1" applyProtection="1">
      <alignment vertical="center"/>
      <protection hidden="1"/>
    </xf>
    <xf numFmtId="201" fontId="181" fillId="64" borderId="0" xfId="453" applyNumberFormat="1" applyFont="1" applyFill="1" applyAlignment="1" applyProtection="1">
      <alignment horizontal="center" vertical="center"/>
      <protection hidden="1"/>
    </xf>
    <xf numFmtId="179" fontId="83" fillId="34" borderId="0" xfId="0" applyNumberFormat="1" applyFont="1" applyFill="1" applyAlignment="1" applyProtection="1">
      <alignment horizontal="right" vertical="center"/>
      <protection hidden="1"/>
    </xf>
    <xf numFmtId="201" fontId="83" fillId="34" borderId="0" xfId="0" applyNumberFormat="1" applyFont="1" applyFill="1" applyAlignment="1" applyProtection="1">
      <alignment horizontal="right" vertical="center"/>
      <protection hidden="1"/>
    </xf>
    <xf numFmtId="179" fontId="90" fillId="0" borderId="0" xfId="0" applyNumberFormat="1" applyFont="1" applyAlignment="1">
      <alignment horizontal="center" vertical="center"/>
    </xf>
    <xf numFmtId="179" fontId="0" fillId="0" borderId="0" xfId="0" applyNumberFormat="1" applyProtection="1">
      <alignment vertical="center"/>
      <protection locked="0"/>
    </xf>
    <xf numFmtId="210" fontId="56" fillId="70" borderId="0" xfId="422" applyNumberFormat="1" applyFont="1" applyFill="1" applyAlignment="1" applyProtection="1">
      <alignment horizontal="center" vertical="center"/>
      <protection hidden="1"/>
    </xf>
    <xf numFmtId="182" fontId="182" fillId="56" borderId="136" xfId="425" applyNumberFormat="1" applyFont="1" applyFill="1" applyBorder="1" applyAlignment="1" applyProtection="1">
      <alignment horizontal="center" vertical="center"/>
      <protection hidden="1"/>
    </xf>
    <xf numFmtId="179" fontId="182" fillId="56" borderId="137" xfId="425" applyNumberFormat="1" applyFont="1" applyFill="1" applyBorder="1" applyAlignment="1" applyProtection="1">
      <alignment horizontal="center" vertical="center"/>
      <protection hidden="1"/>
    </xf>
    <xf numFmtId="182" fontId="182" fillId="56" borderId="137" xfId="425" applyNumberFormat="1" applyFont="1" applyFill="1" applyBorder="1" applyAlignment="1" applyProtection="1">
      <alignment horizontal="center" vertical="center"/>
      <protection hidden="1"/>
    </xf>
    <xf numFmtId="182" fontId="182" fillId="56" borderId="138" xfId="425" applyNumberFormat="1" applyFont="1" applyFill="1" applyBorder="1" applyAlignment="1" applyProtection="1">
      <alignment horizontal="center" vertical="center"/>
      <protection hidden="1"/>
    </xf>
    <xf numFmtId="212" fontId="272" fillId="56" borderId="136" xfId="425" applyNumberFormat="1" applyFont="1" applyFill="1" applyBorder="1" applyAlignment="1" applyProtection="1">
      <alignment horizontal="center" vertical="center"/>
      <protection hidden="1"/>
    </xf>
    <xf numFmtId="212" fontId="272" fillId="56" borderId="137" xfId="425" applyNumberFormat="1" applyFont="1" applyFill="1" applyBorder="1" applyAlignment="1" applyProtection="1">
      <alignment horizontal="center" vertical="center"/>
      <protection hidden="1"/>
    </xf>
    <xf numFmtId="212" fontId="272" fillId="56" borderId="138" xfId="425" applyNumberFormat="1" applyFont="1" applyFill="1" applyBorder="1" applyAlignment="1" applyProtection="1">
      <alignment horizontal="center" vertical="center"/>
      <protection hidden="1"/>
    </xf>
    <xf numFmtId="201" fontId="83" fillId="34" borderId="0" xfId="420" applyNumberFormat="1" applyFont="1" applyFill="1" applyAlignment="1" applyProtection="1">
      <alignment horizontal="right" vertical="center"/>
      <protection hidden="1"/>
    </xf>
    <xf numFmtId="201" fontId="83" fillId="34" borderId="136" xfId="453" applyNumberFormat="1" applyFont="1" applyFill="1" applyBorder="1" applyProtection="1">
      <alignment vertical="center"/>
      <protection hidden="1"/>
    </xf>
    <xf numFmtId="201" fontId="181" fillId="64" borderId="22" xfId="453" applyNumberFormat="1" applyFont="1" applyFill="1" applyBorder="1" applyAlignment="1" applyProtection="1">
      <alignment horizontal="center" vertical="center"/>
      <protection hidden="1"/>
    </xf>
    <xf numFmtId="179" fontId="83" fillId="34" borderId="251" xfId="425" applyNumberFormat="1" applyFont="1" applyFill="1" applyBorder="1" applyProtection="1">
      <alignment vertical="center"/>
      <protection hidden="1"/>
    </xf>
    <xf numFmtId="177" fontId="181" fillId="64" borderId="23" xfId="420" applyFont="1" applyFill="1" applyBorder="1" applyAlignment="1" applyProtection="1">
      <alignment horizontal="center" vertical="center"/>
      <protection hidden="1"/>
    </xf>
    <xf numFmtId="201" fontId="83" fillId="34" borderId="252" xfId="453" applyNumberFormat="1" applyFont="1" applyFill="1" applyBorder="1" applyProtection="1">
      <alignment vertical="center"/>
      <protection hidden="1"/>
    </xf>
    <xf numFmtId="193" fontId="56" fillId="70" borderId="0" xfId="422" applyNumberFormat="1" applyFont="1" applyFill="1" applyAlignment="1" applyProtection="1">
      <alignment horizontal="center" vertical="center"/>
      <protection hidden="1"/>
    </xf>
    <xf numFmtId="180" fontId="60" fillId="49" borderId="0" xfId="0" applyNumberFormat="1" applyFont="1" applyFill="1" applyProtection="1">
      <alignment vertical="center"/>
      <protection hidden="1"/>
    </xf>
    <xf numFmtId="180" fontId="272" fillId="56" borderId="137" xfId="425" applyNumberFormat="1" applyFont="1" applyFill="1" applyBorder="1" applyAlignment="1" applyProtection="1">
      <alignment horizontal="center" vertical="center"/>
      <protection hidden="1"/>
    </xf>
    <xf numFmtId="180" fontId="56" fillId="70" borderId="0" xfId="422" applyNumberFormat="1" applyFont="1" applyFill="1" applyAlignment="1" applyProtection="1">
      <alignment horizontal="center" vertical="center"/>
      <protection hidden="1"/>
    </xf>
    <xf numFmtId="182" fontId="182" fillId="56" borderId="214" xfId="425" applyNumberFormat="1" applyFont="1" applyFill="1" applyBorder="1" applyAlignment="1" applyProtection="1">
      <alignment horizontal="center" vertical="center"/>
      <protection hidden="1"/>
    </xf>
    <xf numFmtId="179" fontId="182" fillId="56" borderId="15" xfId="425" applyNumberFormat="1" applyFont="1" applyFill="1" applyBorder="1" applyAlignment="1" applyProtection="1">
      <alignment horizontal="center" vertical="center"/>
      <protection hidden="1"/>
    </xf>
    <xf numFmtId="182" fontId="182" fillId="56" borderId="15" xfId="425" applyNumberFormat="1" applyFont="1" applyFill="1" applyBorder="1" applyAlignment="1" applyProtection="1">
      <alignment horizontal="center" vertical="center"/>
      <protection hidden="1"/>
    </xf>
    <xf numFmtId="0" fontId="59" fillId="49" borderId="135" xfId="0" applyFont="1" applyFill="1" applyBorder="1">
      <alignment vertical="center"/>
    </xf>
    <xf numFmtId="0" fontId="59" fillId="49" borderId="190" xfId="0" applyFont="1" applyFill="1" applyBorder="1">
      <alignment vertical="center"/>
    </xf>
    <xf numFmtId="1" fontId="60" fillId="38" borderId="0" xfId="0" applyNumberFormat="1" applyFont="1" applyFill="1" applyProtection="1">
      <alignment vertical="center"/>
      <protection hidden="1"/>
    </xf>
    <xf numFmtId="200" fontId="216" fillId="34" borderId="188" xfId="420" applyNumberFormat="1" applyFont="1" applyFill="1" applyBorder="1" applyAlignment="1" applyProtection="1">
      <alignment horizontal="right" vertical="center" shrinkToFit="1"/>
      <protection hidden="1"/>
    </xf>
    <xf numFmtId="200" fontId="216" fillId="34" borderId="189" xfId="420" applyNumberFormat="1" applyFont="1" applyFill="1" applyBorder="1" applyAlignment="1" applyProtection="1">
      <alignment horizontal="right" vertical="center" shrinkToFit="1"/>
      <protection hidden="1"/>
    </xf>
    <xf numFmtId="200" fontId="216" fillId="34" borderId="187" xfId="420" applyNumberFormat="1" applyFont="1" applyFill="1" applyBorder="1" applyAlignment="1" applyProtection="1">
      <alignment horizontal="right" vertical="center" shrinkToFit="1"/>
      <protection hidden="1"/>
    </xf>
    <xf numFmtId="0" fontId="150" fillId="0" borderId="48" xfId="0" applyFont="1" applyBorder="1" applyAlignment="1" applyProtection="1">
      <alignment horizontal="center" vertical="center" wrapText="1"/>
      <protection hidden="1"/>
    </xf>
    <xf numFmtId="0" fontId="150" fillId="34" borderId="0" xfId="0" applyFont="1" applyFill="1" applyAlignment="1" applyProtection="1">
      <alignment horizontal="center" vertical="center" wrapText="1"/>
      <protection hidden="1"/>
    </xf>
    <xf numFmtId="0" fontId="165" fillId="58" borderId="114" xfId="411" applyFont="1" applyFill="1" applyBorder="1" applyAlignment="1">
      <alignment horizontal="center" vertical="center" wrapText="1"/>
    </xf>
    <xf numFmtId="0" fontId="165" fillId="58" borderId="0" xfId="411" applyFont="1" applyFill="1" applyAlignment="1">
      <alignment horizontal="center" vertical="center" wrapText="1"/>
    </xf>
    <xf numFmtId="14" fontId="23" fillId="59" borderId="0" xfId="411" applyNumberFormat="1" applyFill="1" applyAlignment="1">
      <alignment horizontal="center" vertical="center"/>
    </xf>
    <xf numFmtId="10" fontId="0" fillId="0" borderId="0" xfId="0" applyNumberFormat="1">
      <alignment vertical="center"/>
    </xf>
    <xf numFmtId="0" fontId="98" fillId="0" borderId="98" xfId="446" applyFont="1" applyBorder="1" applyAlignment="1" applyProtection="1">
      <alignment vertical="center" wrapText="1"/>
      <protection hidden="1"/>
    </xf>
    <xf numFmtId="177" fontId="0" fillId="0" borderId="0" xfId="420" applyFont="1" applyFill="1" applyBorder="1">
      <alignment vertical="center"/>
    </xf>
    <xf numFmtId="177" fontId="0" fillId="0" borderId="0" xfId="420" applyFont="1" applyBorder="1">
      <alignment vertical="center"/>
    </xf>
    <xf numFmtId="0" fontId="98" fillId="0" borderId="0" xfId="446" applyFont="1" applyAlignment="1" applyProtection="1">
      <alignment vertical="center" wrapText="1"/>
      <protection hidden="1"/>
    </xf>
    <xf numFmtId="176" fontId="0" fillId="0" borderId="0" xfId="0" applyNumberFormat="1">
      <alignment vertical="center"/>
    </xf>
    <xf numFmtId="0" fontId="65" fillId="34" borderId="250" xfId="0" applyFont="1" applyFill="1" applyBorder="1" applyAlignment="1" applyProtection="1">
      <alignment horizontal="center" vertical="center" wrapText="1"/>
      <protection hidden="1"/>
    </xf>
    <xf numFmtId="190" fontId="120" fillId="34" borderId="0" xfId="420" applyNumberFormat="1" applyFont="1" applyFill="1" applyBorder="1" applyAlignment="1" applyProtection="1">
      <alignment horizontal="center" vertical="center"/>
      <protection hidden="1"/>
    </xf>
    <xf numFmtId="0" fontId="187" fillId="34" borderId="0" xfId="453" applyFont="1" applyFill="1" applyAlignment="1" applyProtection="1">
      <alignment horizontal="center" vertical="center" textRotation="255" wrapText="1"/>
      <protection hidden="1"/>
    </xf>
    <xf numFmtId="177" fontId="0" fillId="37" borderId="0" xfId="420" applyFont="1" applyFill="1" applyBorder="1">
      <alignment vertical="center"/>
    </xf>
    <xf numFmtId="194" fontId="0" fillId="0" borderId="0" xfId="420" applyNumberFormat="1" applyFont="1">
      <alignment vertical="center"/>
    </xf>
    <xf numFmtId="10" fontId="0" fillId="0" borderId="0" xfId="0" applyNumberFormat="1" applyAlignment="1">
      <alignment horizontal="right" vertical="center"/>
    </xf>
    <xf numFmtId="2" fontId="0" fillId="0" borderId="0" xfId="0" applyNumberFormat="1" applyProtection="1">
      <alignment vertical="center"/>
      <protection hidden="1"/>
    </xf>
    <xf numFmtId="2" fontId="0" fillId="0" borderId="0" xfId="0" applyNumberFormat="1">
      <alignment vertical="center"/>
    </xf>
    <xf numFmtId="2" fontId="0" fillId="0" borderId="227" xfId="0" applyNumberFormat="1" applyBorder="1">
      <alignment vertical="center"/>
    </xf>
    <xf numFmtId="178" fontId="0" fillId="0" borderId="227" xfId="0" applyNumberFormat="1" applyBorder="1">
      <alignment vertical="center"/>
    </xf>
    <xf numFmtId="1" fontId="0" fillId="0" borderId="0" xfId="0" applyNumberFormat="1">
      <alignment vertical="center"/>
    </xf>
    <xf numFmtId="177" fontId="0" fillId="0" borderId="120" xfId="420" applyFont="1" applyFill="1" applyBorder="1">
      <alignment vertical="center"/>
    </xf>
    <xf numFmtId="0" fontId="0" fillId="53" borderId="118" xfId="0" applyFill="1" applyBorder="1" applyAlignment="1">
      <alignment vertical="center" wrapText="1"/>
    </xf>
    <xf numFmtId="178" fontId="0" fillId="0" borderId="0" xfId="422" applyNumberFormat="1" applyFont="1" applyBorder="1">
      <alignment vertical="center"/>
    </xf>
    <xf numFmtId="190" fontId="0" fillId="0" borderId="0" xfId="420" applyNumberFormat="1" applyFont="1" applyBorder="1">
      <alignment vertical="center"/>
    </xf>
    <xf numFmtId="1" fontId="98" fillId="0" borderId="0" xfId="446" applyNumberFormat="1" applyFont="1" applyAlignment="1" applyProtection="1">
      <alignment vertical="center" wrapText="1"/>
      <protection hidden="1"/>
    </xf>
    <xf numFmtId="1" fontId="139" fillId="0" borderId="0" xfId="446" applyNumberFormat="1" applyFont="1" applyAlignment="1" applyProtection="1">
      <alignment vertical="center" wrapText="1"/>
      <protection hidden="1"/>
    </xf>
    <xf numFmtId="0" fontId="121" fillId="45" borderId="0" xfId="430" applyFont="1" applyFill="1" applyAlignment="1">
      <alignment horizontal="center" vertical="center" wrapText="1"/>
    </xf>
    <xf numFmtId="1" fontId="88" fillId="0" borderId="0" xfId="430" applyNumberFormat="1" applyFont="1">
      <alignment vertical="center"/>
    </xf>
    <xf numFmtId="0" fontId="81" fillId="62" borderId="0" xfId="430" applyFont="1" applyFill="1" applyAlignment="1">
      <alignment horizontal="center" vertical="center" wrapText="1"/>
    </xf>
    <xf numFmtId="0" fontId="121" fillId="62" borderId="0" xfId="430" applyFont="1" applyFill="1" applyAlignment="1">
      <alignment horizontal="center" vertical="center" wrapText="1"/>
    </xf>
    <xf numFmtId="0" fontId="0" fillId="62" borderId="136" xfId="0" applyFill="1" applyBorder="1">
      <alignment vertical="center"/>
    </xf>
    <xf numFmtId="0" fontId="0" fillId="62" borderId="138" xfId="0" applyFill="1" applyBorder="1">
      <alignment vertical="center"/>
    </xf>
    <xf numFmtId="0" fontId="0" fillId="0" borderId="22" xfId="0" applyBorder="1">
      <alignment vertical="center"/>
    </xf>
    <xf numFmtId="0" fontId="240" fillId="34" borderId="0" xfId="0" applyFont="1" applyFill="1" applyAlignment="1" applyProtection="1">
      <alignment vertical="center" shrinkToFit="1"/>
      <protection hidden="1"/>
    </xf>
    <xf numFmtId="0" fontId="115" fillId="0" borderId="0" xfId="0" applyFont="1" applyProtection="1">
      <alignment vertical="center"/>
      <protection hidden="1"/>
    </xf>
    <xf numFmtId="178" fontId="157" fillId="34" borderId="0" xfId="422" applyNumberFormat="1" applyFont="1" applyFill="1" applyBorder="1" applyAlignment="1" applyProtection="1">
      <alignment vertical="center"/>
      <protection hidden="1"/>
    </xf>
    <xf numFmtId="177" fontId="245" fillId="34" borderId="0" xfId="0" applyNumberFormat="1" applyFont="1" applyFill="1" applyProtection="1">
      <alignment vertical="center"/>
      <protection hidden="1"/>
    </xf>
    <xf numFmtId="177" fontId="156" fillId="34" borderId="0" xfId="0" applyNumberFormat="1" applyFont="1" applyFill="1" applyProtection="1">
      <alignment vertical="center"/>
      <protection hidden="1"/>
    </xf>
    <xf numFmtId="177" fontId="162" fillId="34" borderId="0" xfId="0" applyNumberFormat="1" applyFont="1" applyFill="1" applyProtection="1">
      <alignment vertical="center"/>
      <protection hidden="1"/>
    </xf>
    <xf numFmtId="190" fontId="245" fillId="34" borderId="0" xfId="420" applyNumberFormat="1" applyFont="1" applyFill="1" applyBorder="1" applyAlignment="1" applyProtection="1">
      <alignment vertical="center"/>
      <protection hidden="1"/>
    </xf>
    <xf numFmtId="177" fontId="242" fillId="34" borderId="0" xfId="0" applyNumberFormat="1" applyFont="1" applyFill="1" applyProtection="1">
      <alignment vertical="center"/>
      <protection hidden="1"/>
    </xf>
    <xf numFmtId="0" fontId="153" fillId="34" borderId="0" xfId="0" applyFont="1" applyFill="1" applyAlignment="1" applyProtection="1">
      <alignment horizontal="left" vertical="center"/>
      <protection hidden="1"/>
    </xf>
    <xf numFmtId="180" fontId="156" fillId="34" borderId="0" xfId="0" applyNumberFormat="1" applyFont="1" applyFill="1" applyProtection="1">
      <alignment vertical="center"/>
      <protection hidden="1"/>
    </xf>
    <xf numFmtId="190" fontId="162" fillId="34" borderId="0" xfId="420" applyNumberFormat="1" applyFont="1" applyFill="1" applyBorder="1" applyAlignment="1" applyProtection="1">
      <alignment vertical="center"/>
      <protection hidden="1"/>
    </xf>
    <xf numFmtId="190" fontId="162" fillId="34" borderId="0" xfId="420" applyNumberFormat="1" applyFont="1" applyFill="1" applyBorder="1" applyAlignment="1" applyProtection="1">
      <alignment horizontal="right" vertical="center"/>
      <protection hidden="1"/>
    </xf>
    <xf numFmtId="178" fontId="245" fillId="34" borderId="0" xfId="422" applyNumberFormat="1" applyFont="1" applyFill="1" applyBorder="1" applyAlignment="1" applyProtection="1">
      <alignment vertical="center"/>
      <protection hidden="1"/>
    </xf>
    <xf numFmtId="178" fontId="156" fillId="34" borderId="0" xfId="422" applyNumberFormat="1" applyFont="1" applyFill="1" applyBorder="1" applyAlignment="1" applyProtection="1">
      <alignment vertical="center"/>
      <protection hidden="1"/>
    </xf>
    <xf numFmtId="178" fontId="162" fillId="34" borderId="0" xfId="422" applyNumberFormat="1" applyFont="1" applyFill="1" applyBorder="1" applyAlignment="1" applyProtection="1">
      <alignment vertical="center"/>
      <protection hidden="1"/>
    </xf>
    <xf numFmtId="178" fontId="162" fillId="34" borderId="0" xfId="422" applyNumberFormat="1" applyFont="1" applyFill="1" applyBorder="1" applyAlignment="1" applyProtection="1">
      <alignment horizontal="right" vertical="center"/>
      <protection hidden="1"/>
    </xf>
    <xf numFmtId="177" fontId="247" fillId="34" borderId="0" xfId="0" applyNumberFormat="1" applyFont="1" applyFill="1" applyProtection="1">
      <alignment vertical="center"/>
      <protection hidden="1"/>
    </xf>
    <xf numFmtId="177" fontId="247" fillId="34" borderId="0" xfId="0" applyNumberFormat="1" applyFont="1" applyFill="1" applyAlignment="1" applyProtection="1">
      <alignment horizontal="right" vertical="center"/>
      <protection hidden="1"/>
    </xf>
    <xf numFmtId="177" fontId="242" fillId="34" borderId="0" xfId="0" applyNumberFormat="1" applyFont="1" applyFill="1" applyAlignment="1" applyProtection="1">
      <alignment horizontal="right" vertical="center"/>
      <protection hidden="1"/>
    </xf>
    <xf numFmtId="0" fontId="60" fillId="35" borderId="0" xfId="0" applyFont="1" applyFill="1" applyProtection="1">
      <alignment vertical="center"/>
      <protection hidden="1"/>
    </xf>
    <xf numFmtId="0" fontId="83" fillId="35" borderId="0" xfId="0" applyFont="1" applyFill="1" applyProtection="1">
      <alignment vertical="center"/>
      <protection hidden="1"/>
    </xf>
    <xf numFmtId="0" fontId="103" fillId="35" borderId="0" xfId="425" applyFont="1" applyFill="1" applyAlignment="1" applyProtection="1">
      <alignment horizontal="center" vertical="center"/>
      <protection hidden="1"/>
    </xf>
    <xf numFmtId="177" fontId="64" fillId="35" borderId="0" xfId="438" applyFont="1" applyFill="1" applyBorder="1" applyProtection="1">
      <alignment vertical="center"/>
      <protection hidden="1"/>
    </xf>
    <xf numFmtId="177" fontId="64" fillId="35" borderId="0" xfId="438" applyFont="1" applyFill="1" applyBorder="1" applyAlignment="1" applyProtection="1">
      <alignment horizontal="center" vertical="center"/>
      <protection hidden="1"/>
    </xf>
    <xf numFmtId="202" fontId="64" fillId="35" borderId="0" xfId="438" applyNumberFormat="1" applyFont="1" applyFill="1" applyBorder="1" applyProtection="1">
      <alignment vertical="center"/>
      <protection hidden="1"/>
    </xf>
    <xf numFmtId="10" fontId="64" fillId="35" borderId="0" xfId="438" applyNumberFormat="1" applyFont="1" applyFill="1" applyBorder="1" applyProtection="1">
      <alignment vertical="center"/>
      <protection hidden="1"/>
    </xf>
    <xf numFmtId="179" fontId="64" fillId="35" borderId="0" xfId="438" applyNumberFormat="1" applyFont="1" applyFill="1" applyBorder="1" applyProtection="1">
      <alignment vertical="center"/>
      <protection hidden="1"/>
    </xf>
    <xf numFmtId="9" fontId="64" fillId="35" borderId="0" xfId="422" applyFont="1" applyFill="1" applyBorder="1" applyProtection="1">
      <alignment vertical="center"/>
      <protection hidden="1"/>
    </xf>
    <xf numFmtId="14" fontId="64" fillId="35" borderId="0" xfId="438" applyNumberFormat="1" applyFont="1" applyFill="1" applyBorder="1" applyProtection="1">
      <alignment vertical="center"/>
      <protection hidden="1"/>
    </xf>
    <xf numFmtId="10" fontId="64" fillId="35" borderId="0" xfId="422" applyNumberFormat="1" applyFont="1" applyFill="1" applyBorder="1" applyProtection="1">
      <alignment vertical="center"/>
      <protection hidden="1"/>
    </xf>
    <xf numFmtId="14" fontId="60" fillId="35" borderId="0" xfId="0" applyNumberFormat="1" applyFont="1" applyFill="1" applyProtection="1">
      <alignment vertical="center"/>
      <protection hidden="1"/>
    </xf>
    <xf numFmtId="179" fontId="60" fillId="35" borderId="0" xfId="0" applyNumberFormat="1" applyFont="1" applyFill="1" applyProtection="1">
      <alignment vertical="center"/>
      <protection hidden="1"/>
    </xf>
    <xf numFmtId="177" fontId="0" fillId="0" borderId="0" xfId="0" applyNumberFormat="1" applyAlignment="1">
      <alignment horizontal="center" vertical="center"/>
    </xf>
    <xf numFmtId="181" fontId="64" fillId="35" borderId="0" xfId="438" applyNumberFormat="1" applyFont="1" applyFill="1" applyBorder="1" applyProtection="1">
      <alignment vertical="center"/>
      <protection hidden="1"/>
    </xf>
    <xf numFmtId="10" fontId="60" fillId="35" borderId="0" xfId="422" applyNumberFormat="1" applyFont="1" applyFill="1" applyProtection="1">
      <alignment vertical="center"/>
      <protection hidden="1"/>
    </xf>
    <xf numFmtId="2" fontId="60" fillId="35" borderId="0" xfId="0" applyNumberFormat="1" applyFont="1" applyFill="1" applyProtection="1">
      <alignment vertical="center"/>
      <protection hidden="1"/>
    </xf>
    <xf numFmtId="2" fontId="0" fillId="0" borderId="0" xfId="0" applyNumberFormat="1" applyAlignment="1">
      <alignment horizontal="center" vertical="center"/>
    </xf>
    <xf numFmtId="9" fontId="56" fillId="35" borderId="0" xfId="422" applyFont="1" applyFill="1" applyAlignment="1" applyProtection="1">
      <alignment horizontal="center" vertical="center"/>
      <protection hidden="1"/>
    </xf>
    <xf numFmtId="177" fontId="92" fillId="34" borderId="0" xfId="425" applyNumberFormat="1" applyFont="1" applyFill="1" applyProtection="1">
      <alignment vertical="center"/>
      <protection hidden="1"/>
    </xf>
    <xf numFmtId="0" fontId="89" fillId="0" borderId="0" xfId="430" applyFont="1" applyAlignment="1"/>
    <xf numFmtId="206" fontId="187" fillId="34" borderId="0" xfId="0" applyNumberFormat="1" applyFont="1" applyFill="1" applyAlignment="1" applyProtection="1">
      <alignment horizontal="right" vertical="center"/>
      <protection hidden="1"/>
    </xf>
    <xf numFmtId="0" fontId="242" fillId="34" borderId="0" xfId="0" applyFont="1" applyFill="1" applyProtection="1">
      <alignment vertical="center"/>
      <protection hidden="1"/>
    </xf>
    <xf numFmtId="0" fontId="239" fillId="34" borderId="0" xfId="0" applyFont="1" applyFill="1" applyProtection="1">
      <alignment vertical="center"/>
      <protection hidden="1"/>
    </xf>
    <xf numFmtId="0" fontId="60" fillId="51" borderId="227" xfId="0" applyFont="1" applyFill="1" applyBorder="1" applyProtection="1">
      <alignment vertical="center"/>
      <protection hidden="1"/>
    </xf>
    <xf numFmtId="0" fontId="264" fillId="34" borderId="0" xfId="0" applyFont="1" applyFill="1" applyProtection="1">
      <alignment vertical="center"/>
      <protection hidden="1"/>
    </xf>
    <xf numFmtId="0" fontId="252" fillId="34" borderId="0" xfId="0" applyFont="1" applyFill="1" applyProtection="1">
      <alignment vertical="center"/>
      <protection hidden="1"/>
    </xf>
    <xf numFmtId="0" fontId="60" fillId="78" borderId="0" xfId="0" applyFont="1" applyFill="1" applyProtection="1">
      <alignment vertical="center"/>
      <protection hidden="1"/>
    </xf>
    <xf numFmtId="0" fontId="60" fillId="78" borderId="0" xfId="0" applyFont="1" applyFill="1" applyAlignment="1" applyProtection="1">
      <alignment horizontal="center" vertical="center"/>
      <protection hidden="1"/>
    </xf>
    <xf numFmtId="0" fontId="103" fillId="51" borderId="0" xfId="425" applyFont="1" applyFill="1" applyProtection="1">
      <alignment vertical="center"/>
      <protection hidden="1"/>
    </xf>
    <xf numFmtId="177" fontId="64" fillId="51" borderId="0" xfId="438" applyFont="1" applyFill="1" applyBorder="1" applyAlignment="1" applyProtection="1">
      <alignment horizontal="center" vertical="center"/>
      <protection hidden="1"/>
    </xf>
    <xf numFmtId="10" fontId="64" fillId="51" borderId="0" xfId="438" applyNumberFormat="1" applyFont="1" applyFill="1" applyBorder="1" applyProtection="1">
      <alignment vertical="center"/>
      <protection hidden="1"/>
    </xf>
    <xf numFmtId="179" fontId="64" fillId="51" borderId="0" xfId="438" applyNumberFormat="1" applyFont="1" applyFill="1" applyBorder="1" applyProtection="1">
      <alignment vertical="center"/>
      <protection hidden="1"/>
    </xf>
    <xf numFmtId="10" fontId="60" fillId="51" borderId="0" xfId="422" applyNumberFormat="1" applyFont="1" applyFill="1" applyProtection="1">
      <alignment vertical="center"/>
      <protection hidden="1"/>
    </xf>
    <xf numFmtId="178" fontId="60" fillId="51" borderId="0" xfId="422" applyNumberFormat="1" applyFont="1" applyFill="1" applyProtection="1">
      <alignment vertical="center"/>
      <protection hidden="1"/>
    </xf>
    <xf numFmtId="179" fontId="60" fillId="51" borderId="0" xfId="0" applyNumberFormat="1" applyFont="1" applyFill="1" applyProtection="1">
      <alignment vertical="center"/>
      <protection hidden="1"/>
    </xf>
    <xf numFmtId="2" fontId="60" fillId="35" borderId="0" xfId="0" applyNumberFormat="1" applyFont="1" applyFill="1" applyAlignment="1" applyProtection="1">
      <alignment horizontal="center" vertical="center"/>
      <protection hidden="1"/>
    </xf>
    <xf numFmtId="10" fontId="92" fillId="34" borderId="0" xfId="422" applyNumberFormat="1" applyFont="1" applyFill="1" applyProtection="1">
      <alignment vertical="center"/>
      <protection hidden="1"/>
    </xf>
    <xf numFmtId="178" fontId="60" fillId="35" borderId="0" xfId="422" applyNumberFormat="1" applyFont="1" applyFill="1" applyProtection="1">
      <alignment vertical="center"/>
      <protection hidden="1"/>
    </xf>
    <xf numFmtId="189" fontId="0" fillId="0" borderId="0" xfId="0" applyNumberFormat="1" applyAlignment="1">
      <alignment horizontal="center" vertical="center"/>
    </xf>
    <xf numFmtId="9" fontId="56" fillId="70" borderId="0" xfId="422" applyFont="1" applyFill="1" applyAlignment="1" applyProtection="1">
      <alignment horizontal="center" vertical="center"/>
      <protection hidden="1"/>
    </xf>
    <xf numFmtId="179" fontId="181" fillId="0" borderId="0" xfId="425" applyNumberFormat="1" applyFont="1" applyAlignment="1" applyProtection="1">
      <alignment horizontal="center" vertical="center"/>
      <protection hidden="1"/>
    </xf>
    <xf numFmtId="180" fontId="83" fillId="34" borderId="0" xfId="425" applyNumberFormat="1" applyFont="1" applyFill="1" applyProtection="1">
      <alignment vertical="center"/>
      <protection hidden="1"/>
    </xf>
    <xf numFmtId="180" fontId="181" fillId="0" borderId="0" xfId="425" applyNumberFormat="1" applyFont="1" applyAlignment="1" applyProtection="1">
      <alignment horizontal="center" vertical="center"/>
      <protection hidden="1"/>
    </xf>
    <xf numFmtId="180" fontId="60" fillId="51" borderId="0" xfId="0" applyNumberFormat="1" applyFont="1" applyFill="1" applyProtection="1">
      <alignment vertical="center"/>
      <protection hidden="1"/>
    </xf>
    <xf numFmtId="0" fontId="81" fillId="40" borderId="0" xfId="0" applyFont="1" applyFill="1" applyAlignment="1">
      <alignment horizontal="center" vertical="center"/>
    </xf>
    <xf numFmtId="190" fontId="0" fillId="40" borderId="0" xfId="0" applyNumberFormat="1" applyFill="1" applyAlignment="1">
      <alignment horizontal="center" vertical="center"/>
    </xf>
    <xf numFmtId="0" fontId="94" fillId="0" borderId="0" xfId="0" applyFont="1">
      <alignment vertical="center"/>
    </xf>
    <xf numFmtId="0" fontId="121" fillId="55" borderId="0" xfId="0" applyFont="1" applyFill="1" applyAlignment="1">
      <alignment horizontal="center" vertical="center" wrapText="1"/>
    </xf>
    <xf numFmtId="178" fontId="122" fillId="35" borderId="0" xfId="422" applyNumberFormat="1" applyFont="1" applyFill="1" applyBorder="1" applyAlignment="1">
      <alignment horizontal="center" vertical="center" wrapText="1"/>
    </xf>
    <xf numFmtId="0" fontId="0" fillId="0" borderId="0" xfId="420" applyNumberFormat="1" applyFont="1">
      <alignment vertical="center"/>
    </xf>
    <xf numFmtId="177" fontId="88" fillId="0" borderId="0" xfId="430" applyNumberFormat="1" applyFont="1" applyAlignment="1"/>
    <xf numFmtId="181" fontId="56" fillId="70" borderId="0" xfId="422" applyNumberFormat="1" applyFont="1" applyFill="1" applyAlignment="1" applyProtection="1">
      <alignment horizontal="center" vertical="center"/>
      <protection hidden="1"/>
    </xf>
    <xf numFmtId="178" fontId="157" fillId="34" borderId="0" xfId="422" applyNumberFormat="1" applyFont="1" applyFill="1" applyProtection="1">
      <alignment vertical="center"/>
      <protection hidden="1"/>
    </xf>
    <xf numFmtId="180" fontId="277" fillId="34" borderId="0" xfId="0" applyNumberFormat="1" applyFont="1" applyFill="1" applyAlignment="1" applyProtection="1">
      <alignment horizontal="right" vertical="center"/>
      <protection hidden="1"/>
    </xf>
    <xf numFmtId="2" fontId="157" fillId="34" borderId="0" xfId="0" applyNumberFormat="1" applyFont="1" applyFill="1" applyProtection="1">
      <alignment vertical="center"/>
      <protection hidden="1"/>
    </xf>
    <xf numFmtId="178" fontId="239" fillId="34" borderId="0" xfId="422" applyNumberFormat="1" applyFont="1" applyFill="1" applyProtection="1">
      <alignment vertical="center"/>
      <protection hidden="1"/>
    </xf>
    <xf numFmtId="178" fontId="60" fillId="0" borderId="0" xfId="422" applyNumberFormat="1" applyFont="1" applyFill="1">
      <alignment vertical="center"/>
    </xf>
    <xf numFmtId="177" fontId="60" fillId="56" borderId="0" xfId="420" applyFont="1" applyFill="1">
      <alignment vertical="center"/>
    </xf>
    <xf numFmtId="179" fontId="60" fillId="56" borderId="0" xfId="420" applyNumberFormat="1" applyFont="1" applyFill="1">
      <alignment vertical="center"/>
    </xf>
    <xf numFmtId="188" fontId="81" fillId="35" borderId="0" xfId="430" applyNumberFormat="1" applyFont="1" applyFill="1" applyAlignment="1" applyProtection="1">
      <alignment horizontal="center" vertical="center" wrapText="1"/>
      <protection hidden="1"/>
    </xf>
    <xf numFmtId="178" fontId="88" fillId="0" borderId="0" xfId="422" applyNumberFormat="1" applyFont="1" applyBorder="1">
      <alignment vertical="center"/>
    </xf>
    <xf numFmtId="177" fontId="88" fillId="0" borderId="0" xfId="420" applyFont="1" applyAlignment="1"/>
    <xf numFmtId="177" fontId="88" fillId="0" borderId="0" xfId="420" applyFont="1">
      <alignment vertical="center"/>
    </xf>
    <xf numFmtId="190" fontId="88" fillId="0" borderId="0" xfId="420" applyNumberFormat="1" applyFont="1" applyAlignment="1"/>
    <xf numFmtId="190" fontId="88" fillId="0" borderId="0" xfId="420" applyNumberFormat="1" applyFont="1">
      <alignment vertical="center"/>
    </xf>
    <xf numFmtId="190" fontId="88" fillId="34" borderId="0" xfId="420" applyNumberFormat="1" applyFont="1" applyFill="1" applyAlignment="1"/>
    <xf numFmtId="177" fontId="88" fillId="43" borderId="0" xfId="420" applyFont="1" applyFill="1" applyAlignment="1"/>
    <xf numFmtId="190" fontId="88" fillId="43" borderId="0" xfId="420" applyNumberFormat="1" applyFont="1" applyFill="1" applyAlignment="1"/>
    <xf numFmtId="190" fontId="121" fillId="56" borderId="0" xfId="420" applyNumberFormat="1" applyFont="1" applyFill="1" applyAlignment="1">
      <alignment horizontal="center" vertical="center" wrapText="1"/>
    </xf>
    <xf numFmtId="179" fontId="88" fillId="43" borderId="0" xfId="420" applyNumberFormat="1" applyFont="1" applyFill="1" applyAlignment="1"/>
    <xf numFmtId="179" fontId="88" fillId="0" borderId="0" xfId="420" applyNumberFormat="1" applyFont="1" applyAlignment="1"/>
    <xf numFmtId="179" fontId="88" fillId="0" borderId="0" xfId="420" applyNumberFormat="1" applyFont="1">
      <alignment vertical="center"/>
    </xf>
    <xf numFmtId="177" fontId="121" fillId="45" borderId="0" xfId="420" applyFont="1" applyFill="1" applyAlignment="1">
      <alignment horizontal="center" vertical="center" wrapText="1"/>
    </xf>
    <xf numFmtId="190" fontId="88" fillId="43" borderId="0" xfId="420" applyNumberFormat="1" applyFont="1" applyFill="1">
      <alignment vertical="center"/>
    </xf>
    <xf numFmtId="177" fontId="88" fillId="0" borderId="0" xfId="430" applyNumberFormat="1" applyFont="1">
      <alignment vertical="center"/>
    </xf>
    <xf numFmtId="0" fontId="122" fillId="35" borderId="0" xfId="0" applyFont="1" applyFill="1" applyAlignment="1">
      <alignment horizontal="center" vertical="center" wrapText="1"/>
    </xf>
    <xf numFmtId="0" fontId="121" fillId="35" borderId="0" xfId="0" applyFont="1" applyFill="1" applyAlignment="1">
      <alignment horizontal="center" vertical="center" wrapText="1"/>
    </xf>
    <xf numFmtId="178" fontId="121" fillId="35" borderId="0" xfId="422" applyNumberFormat="1" applyFont="1" applyFill="1" applyBorder="1" applyAlignment="1">
      <alignment horizontal="center" vertical="center" wrapText="1"/>
    </xf>
    <xf numFmtId="190" fontId="121" fillId="35" borderId="0" xfId="420" applyNumberFormat="1" applyFont="1" applyFill="1" applyBorder="1" applyAlignment="1">
      <alignment horizontal="center" vertical="center" wrapText="1"/>
    </xf>
    <xf numFmtId="177" fontId="121" fillId="56" borderId="0" xfId="420" applyFont="1" applyFill="1" applyBorder="1" applyAlignment="1">
      <alignment horizontal="center" vertical="center" wrapText="1"/>
    </xf>
    <xf numFmtId="190" fontId="121" fillId="49" borderId="0" xfId="420" applyNumberFormat="1" applyFont="1" applyFill="1" applyBorder="1" applyAlignment="1">
      <alignment horizontal="center" vertical="center" wrapText="1"/>
    </xf>
    <xf numFmtId="177" fontId="121" fillId="49" borderId="0" xfId="420" applyFont="1" applyFill="1" applyBorder="1" applyAlignment="1">
      <alignment horizontal="center" vertical="center" wrapText="1"/>
    </xf>
    <xf numFmtId="0" fontId="121" fillId="49" borderId="0" xfId="430" applyFont="1" applyFill="1" applyAlignment="1">
      <alignment horizontal="center" vertical="center" wrapText="1"/>
    </xf>
    <xf numFmtId="178" fontId="121" fillId="49" borderId="0" xfId="430" applyNumberFormat="1" applyFont="1" applyFill="1" applyAlignment="1">
      <alignment horizontal="center" vertical="center" wrapText="1"/>
    </xf>
    <xf numFmtId="177" fontId="121" fillId="49" borderId="0" xfId="430" applyNumberFormat="1" applyFont="1" applyFill="1" applyAlignment="1">
      <alignment horizontal="center" vertical="center" wrapText="1"/>
    </xf>
    <xf numFmtId="177" fontId="121" fillId="51" borderId="0" xfId="420" applyFont="1" applyFill="1" applyBorder="1" applyAlignment="1">
      <alignment horizontal="center" vertical="center" wrapText="1"/>
    </xf>
    <xf numFmtId="0" fontId="121" fillId="51" borderId="0" xfId="430" applyFont="1" applyFill="1" applyAlignment="1">
      <alignment horizontal="center" vertical="center" wrapText="1"/>
    </xf>
    <xf numFmtId="0" fontId="81" fillId="51" borderId="0" xfId="430" applyFont="1" applyFill="1" applyAlignment="1">
      <alignment horizontal="center" vertical="center" wrapText="1"/>
    </xf>
    <xf numFmtId="190" fontId="121" fillId="56" borderId="0" xfId="420" applyNumberFormat="1" applyFont="1" applyFill="1" applyBorder="1" applyAlignment="1">
      <alignment horizontal="center" vertical="center" wrapText="1"/>
    </xf>
    <xf numFmtId="178" fontId="121" fillId="56" borderId="0" xfId="430" applyNumberFormat="1" applyFont="1" applyFill="1" applyAlignment="1">
      <alignment horizontal="center" vertical="center" wrapText="1"/>
    </xf>
    <xf numFmtId="179" fontId="121" fillId="77" borderId="0" xfId="420" applyNumberFormat="1" applyFont="1" applyFill="1" applyBorder="1" applyAlignment="1">
      <alignment horizontal="center" vertical="center" wrapText="1"/>
    </xf>
    <xf numFmtId="179" fontId="121" fillId="37" borderId="0" xfId="420" applyNumberFormat="1" applyFont="1" applyFill="1" applyBorder="1" applyAlignment="1">
      <alignment horizontal="center" vertical="center" wrapText="1"/>
    </xf>
    <xf numFmtId="0" fontId="121" fillId="37" borderId="0" xfId="430" applyFont="1" applyFill="1" applyAlignment="1">
      <alignment horizontal="center" vertical="center" wrapText="1"/>
    </xf>
    <xf numFmtId="0" fontId="65" fillId="34" borderId="250" xfId="0" applyFont="1" applyFill="1" applyBorder="1" applyAlignment="1" applyProtection="1">
      <alignment vertical="center" wrapText="1"/>
      <protection hidden="1"/>
    </xf>
    <xf numFmtId="207" fontId="60" fillId="37" borderId="0" xfId="420" applyNumberFormat="1" applyFont="1" applyFill="1">
      <alignment vertical="center"/>
    </xf>
    <xf numFmtId="177" fontId="60" fillId="37" borderId="0" xfId="420" applyFont="1" applyFill="1">
      <alignment vertical="center"/>
    </xf>
    <xf numFmtId="177" fontId="60" fillId="35" borderId="0" xfId="420" applyFont="1" applyFill="1">
      <alignment vertical="center"/>
    </xf>
    <xf numFmtId="177" fontId="60" fillId="63" borderId="0" xfId="420" applyFont="1" applyFill="1">
      <alignment vertical="center"/>
    </xf>
    <xf numFmtId="177" fontId="60" fillId="40" borderId="0" xfId="420" applyFont="1" applyFill="1">
      <alignment vertical="center"/>
    </xf>
    <xf numFmtId="190" fontId="60" fillId="35" borderId="0" xfId="420" applyNumberFormat="1" applyFont="1" applyFill="1">
      <alignment vertical="center"/>
    </xf>
    <xf numFmtId="190" fontId="60" fillId="63" borderId="0" xfId="420" applyNumberFormat="1" applyFont="1" applyFill="1">
      <alignment vertical="center"/>
    </xf>
    <xf numFmtId="190" fontId="60" fillId="40" borderId="0" xfId="420" applyNumberFormat="1" applyFont="1" applyFill="1">
      <alignment vertical="center"/>
    </xf>
    <xf numFmtId="10" fontId="0" fillId="34" borderId="0" xfId="422" applyNumberFormat="1" applyFont="1" applyFill="1" applyAlignment="1" applyProtection="1">
      <alignment horizontal="right" vertical="center"/>
      <protection hidden="1"/>
    </xf>
    <xf numFmtId="10" fontId="157" fillId="0" borderId="0" xfId="422" applyNumberFormat="1" applyFont="1" applyBorder="1" applyAlignment="1" applyProtection="1">
      <alignment vertical="center"/>
      <protection hidden="1"/>
    </xf>
    <xf numFmtId="10" fontId="157" fillId="0" borderId="0" xfId="422" applyNumberFormat="1" applyFont="1" applyFill="1" applyBorder="1" applyAlignment="1" applyProtection="1">
      <alignment shrinkToFit="1"/>
      <protection hidden="1"/>
    </xf>
    <xf numFmtId="10" fontId="239" fillId="34" borderId="0" xfId="422" applyNumberFormat="1" applyFont="1" applyFill="1" applyBorder="1" applyAlignment="1" applyProtection="1">
      <alignment horizontal="right" vertical="center"/>
      <protection hidden="1"/>
    </xf>
    <xf numFmtId="0" fontId="244" fillId="34" borderId="219" xfId="0" applyFont="1" applyFill="1" applyBorder="1" applyProtection="1">
      <alignment vertical="center"/>
      <protection hidden="1"/>
    </xf>
    <xf numFmtId="0" fontId="0" fillId="34" borderId="250" xfId="0" applyFill="1" applyBorder="1" applyProtection="1">
      <alignment vertical="center"/>
      <protection hidden="1"/>
    </xf>
    <xf numFmtId="0" fontId="0" fillId="34" borderId="219" xfId="0" applyFill="1" applyBorder="1" applyProtection="1">
      <alignment vertical="center"/>
      <protection hidden="1"/>
    </xf>
    <xf numFmtId="0" fontId="49" fillId="49" borderId="0" xfId="0" applyFont="1" applyFill="1" applyAlignment="1">
      <alignment horizontal="center" vertical="center"/>
    </xf>
    <xf numFmtId="0" fontId="49" fillId="0" borderId="0" xfId="0" applyFont="1" applyAlignment="1">
      <alignment horizontal="center" vertical="center"/>
    </xf>
    <xf numFmtId="0" fontId="0" fillId="53" borderId="133" xfId="0" applyFill="1" applyBorder="1" applyProtection="1">
      <alignment vertical="center"/>
      <protection hidden="1"/>
    </xf>
    <xf numFmtId="0" fontId="0" fillId="79" borderId="0" xfId="0" applyFill="1" applyProtection="1">
      <alignment vertical="center"/>
      <protection hidden="1"/>
    </xf>
    <xf numFmtId="0" fontId="0" fillId="53" borderId="14" xfId="0" applyFill="1" applyBorder="1" applyProtection="1">
      <alignment vertical="center"/>
      <protection hidden="1"/>
    </xf>
    <xf numFmtId="0" fontId="232" fillId="53" borderId="14" xfId="0" applyFont="1" applyFill="1" applyBorder="1" applyProtection="1">
      <alignment vertical="center"/>
      <protection hidden="1"/>
    </xf>
    <xf numFmtId="0" fontId="232" fillId="53" borderId="133" xfId="0" applyFont="1" applyFill="1" applyBorder="1" applyProtection="1">
      <alignment vertical="center"/>
      <protection hidden="1"/>
    </xf>
    <xf numFmtId="0" fontId="232" fillId="53" borderId="0" xfId="0" applyFont="1" applyFill="1" applyProtection="1">
      <alignment vertical="center"/>
      <protection hidden="1"/>
    </xf>
    <xf numFmtId="0" fontId="0" fillId="0" borderId="12" xfId="0" applyBorder="1">
      <alignment vertical="center"/>
    </xf>
    <xf numFmtId="179" fontId="239" fillId="34" borderId="0" xfId="420" applyNumberFormat="1" applyFont="1" applyFill="1" applyBorder="1" applyAlignment="1" applyProtection="1">
      <alignment shrinkToFit="1"/>
      <protection hidden="1"/>
    </xf>
    <xf numFmtId="179" fontId="278" fillId="34" borderId="0" xfId="420" applyNumberFormat="1" applyFont="1" applyFill="1" applyBorder="1" applyAlignment="1" applyProtection="1">
      <alignment shrinkToFit="1"/>
      <protection hidden="1"/>
    </xf>
    <xf numFmtId="10" fontId="239" fillId="34" borderId="0" xfId="422" applyNumberFormat="1" applyFont="1" applyFill="1" applyBorder="1" applyAlignment="1" applyProtection="1">
      <alignment shrinkToFit="1"/>
      <protection hidden="1"/>
    </xf>
    <xf numFmtId="179" fontId="278" fillId="34" borderId="219" xfId="420" applyNumberFormat="1" applyFont="1" applyFill="1" applyBorder="1" applyAlignment="1" applyProtection="1">
      <alignment vertical="center" shrinkToFit="1"/>
      <protection hidden="1"/>
    </xf>
    <xf numFmtId="10" fontId="239" fillId="34" borderId="219" xfId="422" applyNumberFormat="1" applyFont="1" applyFill="1" applyBorder="1" applyAlignment="1" applyProtection="1">
      <alignment vertical="center" shrinkToFit="1"/>
      <protection hidden="1"/>
    </xf>
    <xf numFmtId="179" fontId="278" fillId="34" borderId="0" xfId="0" applyNumberFormat="1" applyFont="1" applyFill="1" applyProtection="1">
      <alignment vertical="center"/>
      <protection hidden="1"/>
    </xf>
    <xf numFmtId="10" fontId="239" fillId="34" borderId="0" xfId="422" applyNumberFormat="1" applyFont="1" applyFill="1" applyBorder="1" applyAlignment="1" applyProtection="1">
      <alignment vertical="center"/>
      <protection hidden="1"/>
    </xf>
    <xf numFmtId="10" fontId="239" fillId="34" borderId="0" xfId="0" applyNumberFormat="1" applyFont="1" applyFill="1" applyProtection="1">
      <alignment vertical="center"/>
      <protection hidden="1"/>
    </xf>
    <xf numFmtId="177" fontId="239" fillId="34" borderId="0" xfId="420" applyFont="1" applyFill="1" applyBorder="1" applyAlignment="1" applyProtection="1">
      <alignment shrinkToFit="1"/>
      <protection hidden="1"/>
    </xf>
    <xf numFmtId="190" fontId="157" fillId="34" borderId="0" xfId="420" applyNumberFormat="1" applyFont="1" applyFill="1" applyBorder="1" applyAlignment="1" applyProtection="1">
      <alignment vertical="center"/>
      <protection hidden="1"/>
    </xf>
    <xf numFmtId="0" fontId="65" fillId="34" borderId="250" xfId="0" applyFont="1" applyFill="1" applyBorder="1" applyAlignment="1" applyProtection="1">
      <alignment horizontal="center" vertical="center"/>
      <protection hidden="1"/>
    </xf>
    <xf numFmtId="0" fontId="215" fillId="34" borderId="250" xfId="0" applyFont="1" applyFill="1" applyBorder="1" applyProtection="1">
      <alignment vertical="center"/>
      <protection hidden="1"/>
    </xf>
    <xf numFmtId="0" fontId="155" fillId="34" borderId="250" xfId="0" applyFont="1" applyFill="1" applyBorder="1" applyProtection="1">
      <alignment vertical="center"/>
      <protection hidden="1"/>
    </xf>
    <xf numFmtId="0" fontId="155" fillId="0" borderId="0" xfId="0" applyFont="1" applyProtection="1">
      <alignment vertical="center"/>
      <protection hidden="1"/>
    </xf>
    <xf numFmtId="0" fontId="215" fillId="0" borderId="0" xfId="0" applyFont="1" applyProtection="1">
      <alignment vertical="center"/>
      <protection hidden="1"/>
    </xf>
    <xf numFmtId="0" fontId="239" fillId="34" borderId="0" xfId="0" applyFont="1" applyFill="1" applyAlignment="1" applyProtection="1">
      <alignment horizontal="right" vertical="center"/>
      <protection hidden="1"/>
    </xf>
    <xf numFmtId="0" fontId="157" fillId="34" borderId="0" xfId="0" applyFont="1" applyFill="1" applyAlignment="1" applyProtection="1">
      <alignment horizontal="right" vertical="center"/>
      <protection hidden="1"/>
    </xf>
    <xf numFmtId="179" fontId="278" fillId="34" borderId="0" xfId="0" applyNumberFormat="1" applyFont="1" applyFill="1" applyAlignment="1" applyProtection="1">
      <alignment horizontal="right" vertical="center"/>
      <protection hidden="1"/>
    </xf>
    <xf numFmtId="0" fontId="65" fillId="34" borderId="0" xfId="0" applyFont="1" applyFill="1" applyAlignment="1" applyProtection="1">
      <alignment horizontal="center" vertical="center"/>
      <protection hidden="1"/>
    </xf>
    <xf numFmtId="177" fontId="239" fillId="34" borderId="0" xfId="420" applyFont="1" applyFill="1" applyBorder="1" applyAlignment="1" applyProtection="1">
      <alignment vertical="center" shrinkToFit="1"/>
      <protection hidden="1"/>
    </xf>
    <xf numFmtId="179" fontId="239" fillId="34" borderId="0" xfId="420" applyNumberFormat="1" applyFont="1" applyFill="1" applyBorder="1" applyAlignment="1" applyProtection="1">
      <alignment vertical="center" shrinkToFit="1"/>
      <protection hidden="1"/>
    </xf>
    <xf numFmtId="179" fontId="278" fillId="34" borderId="0" xfId="420" applyNumberFormat="1" applyFont="1" applyFill="1" applyBorder="1" applyAlignment="1" applyProtection="1">
      <alignment vertical="center" shrinkToFit="1"/>
      <protection hidden="1"/>
    </xf>
    <xf numFmtId="10" fontId="239" fillId="34" borderId="0" xfId="422" applyNumberFormat="1" applyFont="1" applyFill="1" applyBorder="1" applyAlignment="1" applyProtection="1">
      <alignment vertical="center" shrinkToFit="1"/>
      <protection hidden="1"/>
    </xf>
    <xf numFmtId="10" fontId="60" fillId="49" borderId="0" xfId="0" applyNumberFormat="1" applyFont="1" applyFill="1" applyProtection="1">
      <alignment vertical="center"/>
      <protection hidden="1"/>
    </xf>
    <xf numFmtId="10" fontId="60" fillId="51" borderId="0" xfId="0" applyNumberFormat="1" applyFont="1" applyFill="1" applyProtection="1">
      <alignment vertical="center"/>
      <protection hidden="1"/>
    </xf>
    <xf numFmtId="0" fontId="202" fillId="53" borderId="0" xfId="0" applyFont="1" applyFill="1" applyProtection="1">
      <alignment vertical="center"/>
      <protection hidden="1"/>
    </xf>
    <xf numFmtId="0" fontId="202" fillId="53" borderId="0" xfId="0" applyFont="1" applyFill="1" applyAlignment="1" applyProtection="1">
      <alignment horizontal="right" vertical="center"/>
      <protection hidden="1"/>
    </xf>
    <xf numFmtId="179" fontId="0" fillId="53" borderId="0" xfId="0" applyNumberFormat="1" applyFill="1" applyAlignment="1" applyProtection="1">
      <alignment horizontal="right" vertical="center"/>
      <protection hidden="1"/>
    </xf>
    <xf numFmtId="0" fontId="271" fillId="43" borderId="0" xfId="0" applyFont="1" applyFill="1" applyAlignment="1" applyProtection="1">
      <alignment horizontal="center" vertical="center"/>
      <protection hidden="1"/>
    </xf>
    <xf numFmtId="0" fontId="182" fillId="43" borderId="0" xfId="0" applyFont="1" applyFill="1" applyAlignment="1" applyProtection="1">
      <alignment horizontal="center" vertical="center"/>
      <protection hidden="1"/>
    </xf>
    <xf numFmtId="182" fontId="83" fillId="34" borderId="0" xfId="425" applyNumberFormat="1" applyFont="1" applyFill="1" applyProtection="1">
      <alignment vertical="center"/>
      <protection hidden="1"/>
    </xf>
    <xf numFmtId="177" fontId="56" fillId="70" borderId="0" xfId="420" applyFont="1" applyFill="1" applyAlignment="1" applyProtection="1">
      <alignment horizontal="center" vertical="center"/>
      <protection hidden="1"/>
    </xf>
    <xf numFmtId="177" fontId="60" fillId="49" borderId="0" xfId="420" applyFont="1" applyFill="1" applyProtection="1">
      <alignment vertical="center"/>
      <protection hidden="1"/>
    </xf>
    <xf numFmtId="180" fontId="182" fillId="37" borderId="0" xfId="0" applyNumberFormat="1" applyFont="1" applyFill="1" applyAlignment="1" applyProtection="1">
      <alignment horizontal="center" vertical="center"/>
      <protection hidden="1"/>
    </xf>
    <xf numFmtId="0" fontId="0" fillId="0" borderId="0" xfId="0" applyAlignment="1" applyProtection="1">
      <alignment horizontal="center" vertical="center"/>
      <protection hidden="1"/>
    </xf>
    <xf numFmtId="0" fontId="276" fillId="34" borderId="219" xfId="0" applyFont="1" applyFill="1" applyBorder="1" applyProtection="1">
      <alignment vertical="center"/>
      <protection hidden="1"/>
    </xf>
    <xf numFmtId="0" fontId="94" fillId="34" borderId="219" xfId="0" applyFont="1" applyFill="1" applyBorder="1" applyProtection="1">
      <alignment vertical="center"/>
      <protection hidden="1"/>
    </xf>
    <xf numFmtId="0" fontId="115" fillId="34" borderId="219" xfId="0" applyFont="1" applyFill="1" applyBorder="1" applyProtection="1">
      <alignment vertical="center"/>
      <protection hidden="1"/>
    </xf>
    <xf numFmtId="0" fontId="239" fillId="34" borderId="219" xfId="0" applyFont="1" applyFill="1" applyBorder="1" applyProtection="1">
      <alignment vertical="center"/>
      <protection hidden="1"/>
    </xf>
    <xf numFmtId="0" fontId="279" fillId="34" borderId="0" xfId="0" applyFont="1" applyFill="1" applyAlignment="1" applyProtection="1">
      <alignment horizontal="center" vertical="center"/>
      <protection hidden="1"/>
    </xf>
    <xf numFmtId="178" fontId="245" fillId="34" borderId="0" xfId="422" applyNumberFormat="1" applyFont="1" applyFill="1" applyBorder="1" applyAlignment="1" applyProtection="1">
      <alignment horizontal="right" vertical="center" shrinkToFit="1"/>
      <protection hidden="1"/>
    </xf>
    <xf numFmtId="0" fontId="261" fillId="34" borderId="0" xfId="0" applyFont="1" applyFill="1" applyAlignment="1" applyProtection="1">
      <alignment horizontal="right" vertical="center"/>
      <protection hidden="1"/>
    </xf>
    <xf numFmtId="10" fontId="0" fillId="0" borderId="136" xfId="0" applyNumberFormat="1" applyBorder="1">
      <alignment vertical="center"/>
    </xf>
    <xf numFmtId="10" fontId="0" fillId="0" borderId="138" xfId="0" applyNumberFormat="1" applyBorder="1">
      <alignment vertical="center"/>
    </xf>
    <xf numFmtId="177" fontId="0" fillId="0" borderId="136" xfId="420" applyFont="1" applyBorder="1">
      <alignment vertical="center"/>
    </xf>
    <xf numFmtId="177" fontId="0" fillId="0" borderId="138" xfId="420" applyFont="1" applyBorder="1">
      <alignment vertical="center"/>
    </xf>
    <xf numFmtId="206" fontId="187" fillId="34" borderId="219" xfId="0" applyNumberFormat="1" applyFont="1" applyFill="1" applyBorder="1" applyProtection="1">
      <alignment vertical="center"/>
      <protection hidden="1"/>
    </xf>
    <xf numFmtId="0" fontId="157" fillId="34" borderId="219" xfId="0" applyFont="1" applyFill="1" applyBorder="1" applyProtection="1">
      <alignment vertical="center"/>
      <protection hidden="1"/>
    </xf>
    <xf numFmtId="0" fontId="0" fillId="34" borderId="223" xfId="0" applyFill="1" applyBorder="1" applyProtection="1">
      <alignment vertical="center"/>
      <protection hidden="1"/>
    </xf>
    <xf numFmtId="0" fontId="0" fillId="53" borderId="214" xfId="0" applyFill="1" applyBorder="1" applyProtection="1">
      <alignment vertical="center"/>
      <protection hidden="1"/>
    </xf>
    <xf numFmtId="0" fontId="0" fillId="53" borderId="135" xfId="0" applyFill="1" applyBorder="1" applyProtection="1">
      <alignment vertical="center"/>
      <protection hidden="1"/>
    </xf>
    <xf numFmtId="182" fontId="181" fillId="80" borderId="0" xfId="425" applyNumberFormat="1" applyFont="1" applyFill="1" applyAlignment="1" applyProtection="1">
      <alignment horizontal="center" vertical="center"/>
      <protection hidden="1"/>
    </xf>
    <xf numFmtId="179" fontId="181" fillId="80" borderId="0" xfId="425" applyNumberFormat="1" applyFont="1" applyFill="1" applyAlignment="1" applyProtection="1">
      <alignment horizontal="center" vertical="center"/>
      <protection hidden="1"/>
    </xf>
    <xf numFmtId="0" fontId="6" fillId="0" borderId="0" xfId="455">
      <alignment vertical="center"/>
    </xf>
    <xf numFmtId="190" fontId="6" fillId="0" borderId="0" xfId="420" applyNumberFormat="1" applyFont="1">
      <alignment vertical="center"/>
    </xf>
    <xf numFmtId="0" fontId="6" fillId="37" borderId="17" xfId="455" applyFill="1" applyBorder="1">
      <alignment vertical="center"/>
    </xf>
    <xf numFmtId="0" fontId="6" fillId="37" borderId="18" xfId="455" applyFill="1" applyBorder="1">
      <alignment vertical="center"/>
    </xf>
    <xf numFmtId="0" fontId="6" fillId="37" borderId="19" xfId="455" applyFill="1" applyBorder="1">
      <alignment vertical="center"/>
    </xf>
    <xf numFmtId="10" fontId="6" fillId="0" borderId="0" xfId="455" applyNumberFormat="1">
      <alignment vertical="center"/>
    </xf>
    <xf numFmtId="10" fontId="6" fillId="0" borderId="0" xfId="422" applyNumberFormat="1" applyFont="1">
      <alignment vertical="center"/>
    </xf>
    <xf numFmtId="190" fontId="6" fillId="0" borderId="20" xfId="420" applyNumberFormat="1" applyFont="1" applyBorder="1">
      <alignment vertical="center"/>
    </xf>
    <xf numFmtId="177" fontId="6" fillId="0" borderId="0" xfId="420" applyFont="1" applyBorder="1">
      <alignment vertical="center"/>
    </xf>
    <xf numFmtId="190" fontId="6" fillId="35" borderId="0" xfId="420" applyNumberFormat="1" applyFont="1" applyFill="1" applyBorder="1">
      <alignment vertical="center"/>
    </xf>
    <xf numFmtId="177" fontId="6" fillId="0" borderId="21" xfId="420" applyFont="1" applyBorder="1">
      <alignment vertical="center"/>
    </xf>
    <xf numFmtId="0" fontId="6" fillId="0" borderId="21" xfId="455" applyBorder="1">
      <alignment vertical="center"/>
    </xf>
    <xf numFmtId="177" fontId="6" fillId="37" borderId="0" xfId="420" applyFont="1" applyFill="1" applyBorder="1">
      <alignment vertical="center"/>
    </xf>
    <xf numFmtId="190" fontId="6" fillId="0" borderId="22" xfId="455" applyNumberFormat="1" applyBorder="1">
      <alignment vertical="center"/>
    </xf>
    <xf numFmtId="177" fontId="6" fillId="0" borderId="11" xfId="420" applyFont="1" applyBorder="1">
      <alignment vertical="center"/>
    </xf>
    <xf numFmtId="0" fontId="6" fillId="0" borderId="11" xfId="455" applyBorder="1">
      <alignment vertical="center"/>
    </xf>
    <xf numFmtId="177" fontId="6" fillId="0" borderId="23" xfId="420" applyFont="1" applyBorder="1">
      <alignment vertical="center"/>
    </xf>
    <xf numFmtId="0" fontId="6" fillId="0" borderId="17" xfId="455" applyBorder="1">
      <alignment vertical="center"/>
    </xf>
    <xf numFmtId="0" fontId="6" fillId="0" borderId="18" xfId="455" applyBorder="1">
      <alignment vertical="center"/>
    </xf>
    <xf numFmtId="0" fontId="6" fillId="0" borderId="19" xfId="455" applyBorder="1">
      <alignment vertical="center"/>
    </xf>
    <xf numFmtId="190" fontId="6" fillId="0" borderId="0" xfId="455" applyNumberFormat="1">
      <alignment vertical="center"/>
    </xf>
    <xf numFmtId="184" fontId="6" fillId="0" borderId="0" xfId="455" applyNumberFormat="1">
      <alignment vertical="center"/>
    </xf>
    <xf numFmtId="0" fontId="6" fillId="81" borderId="21" xfId="455" applyFill="1" applyBorder="1">
      <alignment vertical="center"/>
    </xf>
    <xf numFmtId="176" fontId="6" fillId="0" borderId="0" xfId="455" applyNumberFormat="1">
      <alignment vertical="center"/>
    </xf>
    <xf numFmtId="180" fontId="6" fillId="0" borderId="0" xfId="455" applyNumberFormat="1">
      <alignment vertical="center"/>
    </xf>
    <xf numFmtId="213" fontId="6" fillId="0" borderId="0" xfId="455" applyNumberFormat="1">
      <alignment vertical="center"/>
    </xf>
    <xf numFmtId="184" fontId="6" fillId="0" borderId="11" xfId="455" applyNumberFormat="1" applyBorder="1">
      <alignment vertical="center"/>
    </xf>
    <xf numFmtId="213" fontId="6" fillId="81" borderId="11" xfId="455" applyNumberFormat="1" applyFill="1" applyBorder="1">
      <alignment vertical="center"/>
    </xf>
    <xf numFmtId="0" fontId="6" fillId="0" borderId="23" xfId="455" applyBorder="1">
      <alignment vertical="center"/>
    </xf>
    <xf numFmtId="0" fontId="6" fillId="0" borderId="0" xfId="455" applyAlignment="1">
      <alignment horizontal="center" vertical="center"/>
    </xf>
    <xf numFmtId="176" fontId="6" fillId="82" borderId="136" xfId="455" applyNumberFormat="1" applyFill="1" applyBorder="1">
      <alignment vertical="center"/>
    </xf>
    <xf numFmtId="190" fontId="6" fillId="53" borderId="0" xfId="420" applyNumberFormat="1" applyFont="1" applyFill="1" applyBorder="1">
      <alignment vertical="center"/>
    </xf>
    <xf numFmtId="190" fontId="6" fillId="0" borderId="0" xfId="420" applyNumberFormat="1" applyFont="1" applyBorder="1">
      <alignment vertical="center"/>
    </xf>
    <xf numFmtId="0" fontId="6" fillId="0" borderId="22" xfId="455" applyBorder="1">
      <alignment vertical="center"/>
    </xf>
    <xf numFmtId="190" fontId="6" fillId="0" borderId="11" xfId="455" applyNumberFormat="1" applyBorder="1">
      <alignment vertical="center"/>
    </xf>
    <xf numFmtId="0" fontId="6" fillId="0" borderId="136" xfId="455" applyBorder="1">
      <alignment vertical="center"/>
    </xf>
    <xf numFmtId="0" fontId="6" fillId="0" borderId="137" xfId="455" applyBorder="1">
      <alignment vertical="center"/>
    </xf>
    <xf numFmtId="0" fontId="6" fillId="0" borderId="138" xfId="455" applyBorder="1">
      <alignment vertical="center"/>
    </xf>
    <xf numFmtId="0" fontId="6" fillId="0" borderId="10" xfId="455" applyBorder="1" applyAlignment="1">
      <alignment vertical="center" wrapText="1"/>
    </xf>
    <xf numFmtId="0" fontId="6" fillId="0" borderId="135" xfId="455" applyBorder="1">
      <alignment vertical="center"/>
    </xf>
    <xf numFmtId="0" fontId="6" fillId="0" borderId="190" xfId="455" applyBorder="1">
      <alignment vertical="center"/>
    </xf>
    <xf numFmtId="0" fontId="6" fillId="0" borderId="191" xfId="455" applyBorder="1">
      <alignment vertical="center"/>
    </xf>
    <xf numFmtId="0" fontId="6" fillId="0" borderId="267" xfId="455" applyBorder="1">
      <alignment vertical="center"/>
    </xf>
    <xf numFmtId="0" fontId="6" fillId="43" borderId="25" xfId="455" applyFill="1" applyBorder="1">
      <alignment vertical="center"/>
    </xf>
    <xf numFmtId="0" fontId="6" fillId="0" borderId="12" xfId="455" applyBorder="1">
      <alignment vertical="center"/>
    </xf>
    <xf numFmtId="190" fontId="6" fillId="0" borderId="0" xfId="420" applyNumberFormat="1" applyFont="1" applyFill="1" applyBorder="1">
      <alignment vertical="center"/>
    </xf>
    <xf numFmtId="0" fontId="6" fillId="0" borderId="134" xfId="455" applyBorder="1">
      <alignment vertical="center"/>
    </xf>
    <xf numFmtId="0" fontId="6" fillId="0" borderId="213" xfId="455" applyBorder="1">
      <alignment vertical="center"/>
    </xf>
    <xf numFmtId="190" fontId="6" fillId="37" borderId="0" xfId="420" applyNumberFormat="1" applyFont="1" applyFill="1" applyBorder="1">
      <alignment vertical="center"/>
    </xf>
    <xf numFmtId="0" fontId="6" fillId="0" borderId="214" xfId="455" applyBorder="1">
      <alignment vertical="center"/>
    </xf>
    <xf numFmtId="0" fontId="6" fillId="0" borderId="15" xfId="455" applyBorder="1">
      <alignment vertical="center"/>
    </xf>
    <xf numFmtId="190" fontId="6" fillId="0" borderId="15" xfId="420" applyNumberFormat="1" applyFont="1" applyFill="1" applyBorder="1">
      <alignment vertical="center"/>
    </xf>
    <xf numFmtId="0" fontId="6" fillId="0" borderId="14" xfId="455" applyBorder="1">
      <alignment vertical="center"/>
    </xf>
    <xf numFmtId="0" fontId="6" fillId="0" borderId="212" xfId="455" applyBorder="1">
      <alignment vertical="center"/>
    </xf>
    <xf numFmtId="0" fontId="6" fillId="0" borderId="268" xfId="455" applyBorder="1">
      <alignment vertical="center"/>
    </xf>
    <xf numFmtId="0" fontId="6" fillId="0" borderId="225" xfId="455" applyBorder="1">
      <alignment vertical="center"/>
    </xf>
    <xf numFmtId="0" fontId="6" fillId="0" borderId="20" xfId="455" applyBorder="1">
      <alignment vertical="center"/>
    </xf>
    <xf numFmtId="0" fontId="6" fillId="0" borderId="227" xfId="455" applyBorder="1">
      <alignment vertical="center"/>
    </xf>
    <xf numFmtId="0" fontId="6" fillId="0" borderId="269" xfId="455" applyBorder="1">
      <alignment vertical="center"/>
    </xf>
    <xf numFmtId="0" fontId="6" fillId="0" borderId="270" xfId="455" applyBorder="1">
      <alignment vertical="center"/>
    </xf>
    <xf numFmtId="0" fontId="6" fillId="37" borderId="271" xfId="455" applyFill="1" applyBorder="1">
      <alignment vertical="center"/>
    </xf>
    <xf numFmtId="214" fontId="6" fillId="81" borderId="20" xfId="455" applyNumberFormat="1" applyFill="1" applyBorder="1">
      <alignment vertical="center"/>
    </xf>
    <xf numFmtId="176" fontId="6" fillId="0" borderId="213" xfId="455" applyNumberFormat="1" applyBorder="1">
      <alignment vertical="center"/>
    </xf>
    <xf numFmtId="176" fontId="6" fillId="81" borderId="12" xfId="455" applyNumberFormat="1" applyFill="1" applyBorder="1">
      <alignment vertical="center"/>
    </xf>
    <xf numFmtId="176" fontId="6" fillId="0" borderId="21" xfId="455" applyNumberFormat="1" applyBorder="1">
      <alignment vertical="center"/>
    </xf>
    <xf numFmtId="179" fontId="6" fillId="0" borderId="227" xfId="455" applyNumberFormat="1" applyBorder="1">
      <alignment vertical="center"/>
    </xf>
    <xf numFmtId="0" fontId="6" fillId="53" borderId="11" xfId="455" applyFill="1" applyBorder="1">
      <alignment vertical="center"/>
    </xf>
    <xf numFmtId="0" fontId="6" fillId="0" borderId="272" xfId="455" applyBorder="1">
      <alignment vertical="center"/>
    </xf>
    <xf numFmtId="214" fontId="6" fillId="81" borderId="22" xfId="455" applyNumberFormat="1" applyFill="1" applyBorder="1">
      <alignment vertical="center"/>
    </xf>
    <xf numFmtId="176" fontId="6" fillId="0" borderId="273" xfId="455" applyNumberFormat="1" applyBorder="1">
      <alignment vertical="center"/>
    </xf>
    <xf numFmtId="176" fontId="6" fillId="81" borderId="272" xfId="455" applyNumberFormat="1" applyFill="1" applyBorder="1">
      <alignment vertical="center"/>
    </xf>
    <xf numFmtId="176" fontId="6" fillId="0" borderId="11" xfId="455" applyNumberFormat="1" applyBorder="1">
      <alignment vertical="center"/>
    </xf>
    <xf numFmtId="176" fontId="6" fillId="0" borderId="23" xfId="455" applyNumberFormat="1" applyBorder="1">
      <alignment vertical="center"/>
    </xf>
    <xf numFmtId="179" fontId="6" fillId="0" borderId="226" xfId="455" applyNumberFormat="1" applyBorder="1">
      <alignment vertical="center"/>
    </xf>
    <xf numFmtId="215" fontId="6" fillId="0" borderId="0" xfId="455" applyNumberFormat="1">
      <alignment vertical="center"/>
    </xf>
    <xf numFmtId="190" fontId="6" fillId="37" borderId="0" xfId="420" applyNumberFormat="1" applyFont="1" applyFill="1">
      <alignment vertical="center"/>
    </xf>
    <xf numFmtId="190" fontId="0" fillId="43" borderId="0" xfId="420" applyNumberFormat="1" applyFont="1" applyFill="1">
      <alignment vertical="center"/>
    </xf>
    <xf numFmtId="0" fontId="6" fillId="53" borderId="0" xfId="455" applyFill="1">
      <alignment vertical="center"/>
    </xf>
    <xf numFmtId="0" fontId="6" fillId="43" borderId="133" xfId="455" applyFill="1" applyBorder="1">
      <alignment vertical="center"/>
    </xf>
    <xf numFmtId="0" fontId="0" fillId="0" borderId="135" xfId="0" applyBorder="1">
      <alignment vertical="center"/>
    </xf>
    <xf numFmtId="0" fontId="0" fillId="0" borderId="190" xfId="0" applyBorder="1">
      <alignment vertical="center"/>
    </xf>
    <xf numFmtId="177" fontId="6" fillId="0" borderId="0" xfId="420" applyFont="1">
      <alignment vertical="center"/>
    </xf>
    <xf numFmtId="0" fontId="6" fillId="81" borderId="0" xfId="455" applyFill="1">
      <alignment vertical="center"/>
    </xf>
    <xf numFmtId="190" fontId="6" fillId="82" borderId="137" xfId="420" applyNumberFormat="1" applyFont="1" applyFill="1" applyBorder="1">
      <alignment vertical="center"/>
    </xf>
    <xf numFmtId="190" fontId="6" fillId="53" borderId="138" xfId="420" applyNumberFormat="1" applyFont="1" applyFill="1" applyBorder="1">
      <alignment vertical="center"/>
    </xf>
    <xf numFmtId="190" fontId="157" fillId="34" borderId="0" xfId="420" applyNumberFormat="1" applyFont="1" applyFill="1" applyBorder="1" applyAlignment="1" applyProtection="1">
      <alignment horizontal="right" vertical="center"/>
      <protection hidden="1"/>
    </xf>
    <xf numFmtId="177" fontId="156" fillId="34" borderId="0" xfId="0" applyNumberFormat="1" applyFont="1" applyFill="1" applyAlignment="1" applyProtection="1">
      <alignment horizontal="center" vertical="center"/>
      <protection hidden="1"/>
    </xf>
    <xf numFmtId="177" fontId="162" fillId="34" borderId="0" xfId="0" applyNumberFormat="1" applyFont="1" applyFill="1" applyAlignment="1" applyProtection="1">
      <alignment horizontal="center" vertical="center"/>
      <protection hidden="1"/>
    </xf>
    <xf numFmtId="177" fontId="245" fillId="34" borderId="0" xfId="0" applyNumberFormat="1" applyFont="1" applyFill="1" applyAlignment="1" applyProtection="1">
      <alignment horizontal="center" vertical="center"/>
      <protection hidden="1"/>
    </xf>
    <xf numFmtId="0" fontId="157" fillId="34" borderId="0" xfId="0" applyFont="1" applyFill="1" applyAlignment="1" applyProtection="1">
      <alignment horizontal="center" vertical="center" shrinkToFit="1"/>
      <protection hidden="1"/>
    </xf>
    <xf numFmtId="0" fontId="155" fillId="34" borderId="235" xfId="0" applyFont="1" applyFill="1" applyBorder="1" applyAlignment="1" applyProtection="1">
      <alignment horizontal="center" vertical="center"/>
      <protection hidden="1"/>
    </xf>
    <xf numFmtId="177" fontId="156" fillId="34" borderId="241" xfId="0" applyNumberFormat="1" applyFont="1" applyFill="1" applyBorder="1" applyAlignment="1" applyProtection="1">
      <alignment horizontal="center" vertical="center"/>
      <protection hidden="1"/>
    </xf>
    <xf numFmtId="177" fontId="162" fillId="34" borderId="241" xfId="0" applyNumberFormat="1" applyFont="1" applyFill="1" applyBorder="1" applyAlignment="1" applyProtection="1">
      <alignment horizontal="center" vertical="center"/>
      <protection hidden="1"/>
    </xf>
    <xf numFmtId="177" fontId="245" fillId="34" borderId="241" xfId="0" applyNumberFormat="1" applyFont="1" applyFill="1" applyBorder="1" applyAlignment="1" applyProtection="1">
      <alignment horizontal="center" vertical="center"/>
      <protection hidden="1"/>
    </xf>
    <xf numFmtId="190" fontId="245" fillId="34" borderId="0" xfId="420" applyNumberFormat="1" applyFont="1" applyFill="1" applyBorder="1" applyAlignment="1" applyProtection="1">
      <alignment horizontal="center" vertical="center"/>
      <protection hidden="1"/>
    </xf>
    <xf numFmtId="180" fontId="156" fillId="34" borderId="105" xfId="0" applyNumberFormat="1" applyFont="1" applyFill="1" applyBorder="1" applyAlignment="1" applyProtection="1">
      <alignment horizontal="center" vertical="center"/>
      <protection hidden="1"/>
    </xf>
    <xf numFmtId="177" fontId="247" fillId="34" borderId="241" xfId="0" applyNumberFormat="1" applyFont="1" applyFill="1" applyBorder="1" applyAlignment="1" applyProtection="1">
      <alignment horizontal="center" vertical="center"/>
      <protection hidden="1"/>
    </xf>
    <xf numFmtId="178" fontId="156" fillId="34" borderId="241" xfId="422" applyNumberFormat="1" applyFont="1" applyFill="1" applyBorder="1" applyAlignment="1" applyProtection="1">
      <alignment horizontal="center" vertical="center"/>
      <protection hidden="1"/>
    </xf>
    <xf numFmtId="178" fontId="162" fillId="34" borderId="241" xfId="422" applyNumberFormat="1" applyFont="1" applyFill="1" applyBorder="1" applyAlignment="1" applyProtection="1">
      <alignment horizontal="center" vertical="center"/>
      <protection hidden="1"/>
    </xf>
    <xf numFmtId="177" fontId="242" fillId="34" borderId="105" xfId="0" applyNumberFormat="1" applyFont="1" applyFill="1" applyBorder="1" applyAlignment="1" applyProtection="1">
      <alignment horizontal="center" vertical="center"/>
      <protection hidden="1"/>
    </xf>
    <xf numFmtId="178" fontId="245" fillId="34" borderId="241" xfId="422" applyNumberFormat="1" applyFont="1" applyFill="1" applyBorder="1" applyAlignment="1" applyProtection="1">
      <alignment horizontal="center" vertical="center"/>
      <protection hidden="1"/>
    </xf>
    <xf numFmtId="180" fontId="156" fillId="34" borderId="241" xfId="0" applyNumberFormat="1" applyFont="1" applyFill="1" applyBorder="1" applyAlignment="1" applyProtection="1">
      <alignment horizontal="center" vertical="center"/>
      <protection hidden="1"/>
    </xf>
    <xf numFmtId="190" fontId="162" fillId="34" borderId="241" xfId="420" applyNumberFormat="1" applyFont="1" applyFill="1" applyBorder="1" applyAlignment="1" applyProtection="1">
      <alignment horizontal="center" vertical="center"/>
      <protection hidden="1"/>
    </xf>
    <xf numFmtId="0" fontId="156" fillId="34" borderId="218" xfId="0" applyFont="1" applyFill="1" applyBorder="1" applyAlignment="1" applyProtection="1">
      <alignment horizontal="center" vertical="center"/>
      <protection hidden="1"/>
    </xf>
    <xf numFmtId="0" fontId="109" fillId="60" borderId="178" xfId="0" applyFont="1" applyFill="1" applyBorder="1" applyAlignment="1" applyProtection="1">
      <alignment horizontal="center" vertical="center" wrapText="1"/>
      <protection hidden="1"/>
    </xf>
    <xf numFmtId="181" fontId="150" fillId="66" borderId="0" xfId="420" applyNumberFormat="1" applyFont="1" applyFill="1" applyBorder="1" applyAlignment="1" applyProtection="1">
      <alignment horizontal="center" vertical="center"/>
      <protection hidden="1"/>
    </xf>
    <xf numFmtId="181" fontId="150" fillId="66" borderId="132" xfId="420" applyNumberFormat="1" applyFont="1" applyFill="1" applyBorder="1" applyAlignment="1" applyProtection="1">
      <alignment horizontal="center" vertical="center"/>
      <protection hidden="1"/>
    </xf>
    <xf numFmtId="177" fontId="242" fillId="34" borderId="0" xfId="0" applyNumberFormat="1" applyFont="1" applyFill="1" applyAlignment="1" applyProtection="1">
      <alignment horizontal="center" vertical="center"/>
      <protection hidden="1"/>
    </xf>
    <xf numFmtId="177" fontId="242" fillId="34" borderId="95" xfId="0" applyNumberFormat="1" applyFont="1" applyFill="1" applyBorder="1" applyAlignment="1" applyProtection="1">
      <alignment horizontal="center" vertical="center"/>
      <protection hidden="1"/>
    </xf>
    <xf numFmtId="0" fontId="194" fillId="34" borderId="223" xfId="0" applyFont="1" applyFill="1" applyBorder="1" applyAlignment="1" applyProtection="1">
      <alignment horizontal="center" vertical="center"/>
      <protection hidden="1"/>
    </xf>
    <xf numFmtId="0" fontId="255" fillId="38" borderId="0" xfId="0" applyFont="1" applyFill="1" applyAlignment="1" applyProtection="1">
      <alignment horizontal="center" vertical="center"/>
      <protection hidden="1"/>
    </xf>
    <xf numFmtId="190" fontId="6" fillId="0" borderId="190" xfId="420" applyNumberFormat="1" applyFont="1" applyFill="1" applyBorder="1">
      <alignment vertical="center"/>
    </xf>
    <xf numFmtId="176" fontId="6" fillId="82" borderId="214" xfId="455" applyNumberFormat="1" applyFill="1" applyBorder="1">
      <alignment vertical="center"/>
    </xf>
    <xf numFmtId="190" fontId="6" fillId="82" borderId="15" xfId="420" applyNumberFormat="1" applyFont="1" applyFill="1" applyBorder="1">
      <alignment vertical="center"/>
    </xf>
    <xf numFmtId="0" fontId="5" fillId="0" borderId="0" xfId="455" applyFont="1">
      <alignment vertical="center"/>
    </xf>
    <xf numFmtId="0" fontId="6" fillId="0" borderId="273" xfId="455" applyBorder="1">
      <alignment vertical="center"/>
    </xf>
    <xf numFmtId="0" fontId="6" fillId="35" borderId="213" xfId="455" applyFill="1" applyBorder="1">
      <alignment vertical="center"/>
    </xf>
    <xf numFmtId="190" fontId="6" fillId="49" borderId="0" xfId="420" applyNumberFormat="1" applyFont="1" applyFill="1" applyBorder="1">
      <alignment vertical="center"/>
    </xf>
    <xf numFmtId="0" fontId="6" fillId="35" borderId="0" xfId="455" applyFill="1">
      <alignment vertical="center"/>
    </xf>
    <xf numFmtId="0" fontId="6" fillId="53" borderId="213" xfId="455" applyFill="1" applyBorder="1">
      <alignment vertical="center"/>
    </xf>
    <xf numFmtId="10" fontId="232" fillId="0" borderId="0" xfId="455" applyNumberFormat="1" applyFont="1">
      <alignment vertical="center"/>
    </xf>
    <xf numFmtId="0" fontId="232" fillId="0" borderId="0" xfId="455" applyFont="1">
      <alignment vertical="center"/>
    </xf>
    <xf numFmtId="190" fontId="232" fillId="35" borderId="0" xfId="420" applyNumberFormat="1" applyFont="1" applyFill="1" applyBorder="1">
      <alignment vertical="center"/>
    </xf>
    <xf numFmtId="190" fontId="232" fillId="53" borderId="0" xfId="420" applyNumberFormat="1" applyFont="1" applyFill="1" applyBorder="1">
      <alignment vertical="center"/>
    </xf>
    <xf numFmtId="190" fontId="232" fillId="49" borderId="0" xfId="420" applyNumberFormat="1" applyFont="1" applyFill="1" applyBorder="1">
      <alignment vertical="center"/>
    </xf>
    <xf numFmtId="0" fontId="232" fillId="53" borderId="213" xfId="455" applyFont="1" applyFill="1" applyBorder="1">
      <alignment vertical="center"/>
    </xf>
    <xf numFmtId="0" fontId="232" fillId="0" borderId="0" xfId="0" applyFont="1">
      <alignment vertical="center"/>
    </xf>
    <xf numFmtId="190" fontId="6" fillId="0" borderId="11" xfId="420" applyNumberFormat="1" applyFont="1" applyBorder="1">
      <alignment vertical="center"/>
    </xf>
    <xf numFmtId="10" fontId="6" fillId="0" borderId="190" xfId="455" applyNumberFormat="1" applyBorder="1">
      <alignment vertical="center"/>
    </xf>
    <xf numFmtId="0" fontId="6" fillId="0" borderId="274" xfId="455" applyBorder="1">
      <alignment vertical="center"/>
    </xf>
    <xf numFmtId="190" fontId="6" fillId="0" borderId="275" xfId="455" applyNumberFormat="1" applyBorder="1">
      <alignment vertical="center"/>
    </xf>
    <xf numFmtId="0" fontId="6" fillId="43" borderId="266" xfId="455" applyFill="1" applyBorder="1">
      <alignment vertical="center"/>
    </xf>
    <xf numFmtId="0" fontId="6" fillId="43" borderId="135" xfId="455" applyFill="1" applyBorder="1">
      <alignment vertical="center"/>
    </xf>
    <xf numFmtId="190" fontId="6" fillId="0" borderId="226" xfId="455" applyNumberFormat="1" applyBorder="1">
      <alignment vertical="center"/>
    </xf>
    <xf numFmtId="0" fontId="6" fillId="0" borderId="252" xfId="455" applyBorder="1">
      <alignment vertical="center"/>
    </xf>
    <xf numFmtId="0" fontId="6" fillId="0" borderId="251" xfId="455" applyBorder="1">
      <alignment vertical="center"/>
    </xf>
    <xf numFmtId="190" fontId="6" fillId="0" borderId="270" xfId="420" applyNumberFormat="1" applyFont="1" applyFill="1" applyBorder="1">
      <alignment vertical="center"/>
    </xf>
    <xf numFmtId="190" fontId="6" fillId="0" borderId="20" xfId="420" applyNumberFormat="1" applyFont="1" applyFill="1" applyBorder="1">
      <alignment vertical="center"/>
    </xf>
    <xf numFmtId="190" fontId="6" fillId="0" borderId="277" xfId="420" applyNumberFormat="1" applyFont="1" applyFill="1" applyBorder="1">
      <alignment vertical="center"/>
    </xf>
    <xf numFmtId="0" fontId="6" fillId="0" borderId="276" xfId="455" applyBorder="1">
      <alignment vertical="center"/>
    </xf>
    <xf numFmtId="190" fontId="6" fillId="0" borderId="278" xfId="455" applyNumberFormat="1" applyBorder="1">
      <alignment vertical="center"/>
    </xf>
    <xf numFmtId="190" fontId="6" fillId="0" borderId="279" xfId="455" applyNumberFormat="1" applyBorder="1">
      <alignment vertical="center"/>
    </xf>
    <xf numFmtId="190" fontId="6" fillId="0" borderId="270" xfId="420" applyNumberFormat="1" applyFont="1" applyBorder="1">
      <alignment vertical="center"/>
    </xf>
    <xf numFmtId="190" fontId="6" fillId="0" borderId="277" xfId="420" applyNumberFormat="1" applyFont="1" applyBorder="1">
      <alignment vertical="center"/>
    </xf>
    <xf numFmtId="190" fontId="6" fillId="0" borderId="135" xfId="420" applyNumberFormat="1" applyFont="1" applyBorder="1">
      <alignment vertical="center"/>
    </xf>
    <xf numFmtId="190" fontId="6" fillId="0" borderId="12" xfId="420" applyNumberFormat="1" applyFont="1" applyBorder="1">
      <alignment vertical="center"/>
    </xf>
    <xf numFmtId="190" fontId="6" fillId="0" borderId="214" xfId="420" applyNumberFormat="1" applyFont="1" applyBorder="1">
      <alignment vertical="center"/>
    </xf>
    <xf numFmtId="0" fontId="6" fillId="43" borderId="225" xfId="455" applyFill="1" applyBorder="1">
      <alignment vertical="center"/>
    </xf>
    <xf numFmtId="0" fontId="6" fillId="43" borderId="271" xfId="455" applyFill="1" applyBorder="1">
      <alignment vertical="center"/>
    </xf>
    <xf numFmtId="0" fontId="6" fillId="0" borderId="226" xfId="455" applyBorder="1">
      <alignment vertical="center"/>
    </xf>
    <xf numFmtId="0" fontId="0" fillId="0" borderId="214" xfId="0" applyBorder="1">
      <alignment vertical="center"/>
    </xf>
    <xf numFmtId="0" fontId="0" fillId="0" borderId="15" xfId="0" applyBorder="1">
      <alignment vertical="center"/>
    </xf>
    <xf numFmtId="10" fontId="6" fillId="0" borderId="15" xfId="455" applyNumberFormat="1" applyBorder="1">
      <alignment vertical="center"/>
    </xf>
    <xf numFmtId="177" fontId="6" fillId="0" borderId="0" xfId="455" applyNumberFormat="1">
      <alignment vertical="center"/>
    </xf>
    <xf numFmtId="10" fontId="6" fillId="0" borderId="12" xfId="422" applyNumberFormat="1" applyFont="1" applyBorder="1">
      <alignment vertical="center"/>
    </xf>
    <xf numFmtId="10" fontId="6" fillId="0" borderId="272" xfId="422" applyNumberFormat="1" applyFont="1" applyBorder="1">
      <alignment vertical="center"/>
    </xf>
    <xf numFmtId="176" fontId="6" fillId="0" borderId="10" xfId="455" applyNumberFormat="1" applyBorder="1">
      <alignment vertical="center"/>
    </xf>
    <xf numFmtId="0" fontId="0" fillId="0" borderId="19" xfId="0" applyBorder="1" applyProtection="1">
      <alignment vertical="center"/>
      <protection hidden="1"/>
    </xf>
    <xf numFmtId="0" fontId="0" fillId="0" borderId="21" xfId="0" applyBorder="1" applyProtection="1">
      <alignment vertical="center"/>
      <protection hidden="1"/>
    </xf>
    <xf numFmtId="0" fontId="0" fillId="0" borderId="23" xfId="0" applyBorder="1" applyProtection="1">
      <alignment vertical="center"/>
      <protection hidden="1"/>
    </xf>
    <xf numFmtId="177" fontId="0" fillId="0" borderId="21" xfId="420" applyFont="1" applyBorder="1">
      <alignment vertical="center"/>
    </xf>
    <xf numFmtId="177" fontId="0" fillId="0" borderId="23" xfId="420" applyFont="1" applyBorder="1">
      <alignment vertical="center"/>
    </xf>
    <xf numFmtId="0" fontId="279" fillId="61" borderId="0" xfId="0" applyFont="1" applyFill="1" applyProtection="1">
      <alignment vertical="center"/>
      <protection hidden="1"/>
    </xf>
    <xf numFmtId="0" fontId="0" fillId="61" borderId="0" xfId="0" applyFill="1" applyProtection="1">
      <alignment vertical="center"/>
      <protection hidden="1"/>
    </xf>
    <xf numFmtId="0" fontId="115" fillId="61" borderId="0" xfId="0" applyFont="1" applyFill="1" applyProtection="1">
      <alignment vertical="center"/>
      <protection hidden="1"/>
    </xf>
    <xf numFmtId="0" fontId="273" fillId="61" borderId="0" xfId="0" applyFont="1" applyFill="1" applyProtection="1">
      <alignment vertical="center"/>
      <protection hidden="1"/>
    </xf>
    <xf numFmtId="0" fontId="280" fillId="53" borderId="0" xfId="0" applyFont="1" applyFill="1" applyProtection="1">
      <alignment vertical="center"/>
      <protection hidden="1"/>
    </xf>
    <xf numFmtId="0" fontId="49" fillId="0" borderId="0" xfId="446" applyFont="1" applyAlignment="1" applyProtection="1">
      <alignment vertical="center" wrapText="1"/>
      <protection hidden="1"/>
    </xf>
    <xf numFmtId="0" fontId="4" fillId="0" borderId="0" xfId="446" applyFont="1" applyAlignment="1" applyProtection="1">
      <alignment vertical="center" wrapText="1"/>
      <protection hidden="1"/>
    </xf>
    <xf numFmtId="0" fontId="279" fillId="61" borderId="0" xfId="0" applyFont="1" applyFill="1" applyAlignment="1" applyProtection="1">
      <alignment horizontal="center" vertical="center"/>
      <protection hidden="1"/>
    </xf>
    <xf numFmtId="0" fontId="139" fillId="53" borderId="0" xfId="0" applyFont="1" applyFill="1" applyProtection="1">
      <alignment vertical="center"/>
      <protection hidden="1"/>
    </xf>
    <xf numFmtId="0" fontId="279" fillId="60" borderId="0" xfId="0" applyFont="1" applyFill="1" applyProtection="1">
      <alignment vertical="center"/>
      <protection hidden="1"/>
    </xf>
    <xf numFmtId="177" fontId="119" fillId="51" borderId="0" xfId="420" applyFont="1" applyFill="1" applyBorder="1" applyAlignment="1">
      <alignment horizontal="center" vertical="center" wrapText="1"/>
    </xf>
    <xf numFmtId="0" fontId="3" fillId="53" borderId="0" xfId="0" applyFont="1" applyFill="1" applyProtection="1">
      <alignment vertical="center"/>
      <protection hidden="1"/>
    </xf>
    <xf numFmtId="0" fontId="286" fillId="34" borderId="0" xfId="0" applyFont="1" applyFill="1" applyProtection="1">
      <alignment vertical="center"/>
      <protection hidden="1"/>
    </xf>
    <xf numFmtId="0" fontId="155" fillId="53" borderId="250" xfId="0" applyFont="1" applyFill="1" applyBorder="1" applyAlignment="1" applyProtection="1">
      <alignment horizontal="center" vertical="center"/>
      <protection locked="0"/>
    </xf>
    <xf numFmtId="0" fontId="155" fillId="53" borderId="0" xfId="0" applyFont="1" applyFill="1" applyAlignment="1" applyProtection="1">
      <alignment horizontal="center" vertical="center"/>
      <protection locked="0"/>
    </xf>
    <xf numFmtId="0" fontId="155" fillId="53" borderId="219" xfId="0" applyFont="1" applyFill="1" applyBorder="1" applyAlignment="1" applyProtection="1">
      <alignment horizontal="center" vertical="center"/>
      <protection locked="0"/>
    </xf>
    <xf numFmtId="0" fontId="158" fillId="34" borderId="0" xfId="0" applyFont="1" applyFill="1" applyAlignment="1" applyProtection="1">
      <alignment horizontal="left" vertical="center"/>
      <protection hidden="1"/>
    </xf>
    <xf numFmtId="0" fontId="292" fillId="34" borderId="0" xfId="0" applyFont="1" applyFill="1" applyAlignment="1" applyProtection="1">
      <alignment horizontal="left" vertical="center"/>
      <protection hidden="1"/>
    </xf>
    <xf numFmtId="0" fontId="291" fillId="34" borderId="250" xfId="0" applyFont="1" applyFill="1" applyBorder="1" applyAlignment="1" applyProtection="1">
      <alignment vertical="center" shrinkToFit="1"/>
      <protection hidden="1"/>
    </xf>
    <xf numFmtId="0" fontId="291" fillId="34" borderId="250" xfId="0" applyFont="1" applyFill="1" applyBorder="1" applyProtection="1">
      <alignment vertical="center"/>
      <protection hidden="1"/>
    </xf>
    <xf numFmtId="0" fontId="215" fillId="53" borderId="0" xfId="0" applyFont="1" applyFill="1" applyProtection="1">
      <alignment vertical="center"/>
      <protection hidden="1"/>
    </xf>
    <xf numFmtId="2" fontId="0" fillId="0" borderId="190" xfId="0" applyNumberFormat="1" applyBorder="1" applyProtection="1">
      <alignment vertical="center"/>
      <protection hidden="1"/>
    </xf>
    <xf numFmtId="190" fontId="0" fillId="0" borderId="190" xfId="420" applyNumberFormat="1" applyFont="1" applyBorder="1">
      <alignment vertical="center"/>
    </xf>
    <xf numFmtId="178" fontId="0" fillId="0" borderId="190" xfId="422" applyNumberFormat="1" applyFont="1" applyBorder="1">
      <alignment vertical="center"/>
    </xf>
    <xf numFmtId="2" fontId="0" fillId="0" borderId="15" xfId="0" applyNumberFormat="1" applyBorder="1" applyProtection="1">
      <alignment vertical="center"/>
      <protection hidden="1"/>
    </xf>
    <xf numFmtId="190" fontId="0" fillId="0" borderId="15" xfId="420" applyNumberFormat="1" applyFont="1" applyBorder="1">
      <alignment vertical="center"/>
    </xf>
    <xf numFmtId="178" fontId="0" fillId="0" borderId="15" xfId="422" applyNumberFormat="1" applyFont="1" applyBorder="1">
      <alignment vertical="center"/>
    </xf>
    <xf numFmtId="190" fontId="0" fillId="0" borderId="227" xfId="0" applyNumberFormat="1" applyBorder="1">
      <alignment vertical="center"/>
    </xf>
    <xf numFmtId="190" fontId="63" fillId="49" borderId="0" xfId="420" applyNumberFormat="1" applyFont="1" applyFill="1" applyProtection="1">
      <alignment vertical="center"/>
      <protection hidden="1"/>
    </xf>
    <xf numFmtId="181" fontId="64" fillId="51" borderId="0" xfId="438" applyNumberFormat="1" applyFont="1" applyFill="1" applyBorder="1" applyProtection="1">
      <alignment vertical="center"/>
      <protection hidden="1"/>
    </xf>
    <xf numFmtId="178" fontId="59" fillId="49" borderId="0" xfId="422" applyNumberFormat="1" applyFont="1" applyFill="1" applyBorder="1" applyAlignment="1" applyProtection="1">
      <alignment horizontal="right" vertical="center"/>
      <protection hidden="1"/>
    </xf>
    <xf numFmtId="178" fontId="60" fillId="51" borderId="0" xfId="422" applyNumberFormat="1" applyFont="1" applyFill="1" applyAlignment="1" applyProtection="1">
      <alignment horizontal="right" vertical="center"/>
      <protection hidden="1"/>
    </xf>
    <xf numFmtId="177" fontId="284" fillId="53" borderId="0" xfId="420" applyFont="1" applyFill="1" applyBorder="1" applyAlignment="1" applyProtection="1">
      <alignment vertical="center"/>
      <protection hidden="1"/>
    </xf>
    <xf numFmtId="190" fontId="60" fillId="49" borderId="0" xfId="420" applyNumberFormat="1" applyFont="1" applyFill="1" applyProtection="1">
      <alignment vertical="center"/>
      <protection hidden="1"/>
    </xf>
    <xf numFmtId="190" fontId="60" fillId="51" borderId="0" xfId="420" applyNumberFormat="1" applyFont="1" applyFill="1" applyProtection="1">
      <alignment vertical="center"/>
      <protection hidden="1"/>
    </xf>
    <xf numFmtId="190" fontId="60" fillId="34" borderId="0" xfId="420" applyNumberFormat="1" applyFont="1" applyFill="1" applyProtection="1">
      <alignment vertical="center"/>
      <protection hidden="1"/>
    </xf>
    <xf numFmtId="190" fontId="83" fillId="34" borderId="0" xfId="420" applyNumberFormat="1" applyFont="1" applyFill="1" applyProtection="1">
      <alignment vertical="center"/>
      <protection hidden="1"/>
    </xf>
    <xf numFmtId="190" fontId="181" fillId="0" borderId="0" xfId="420" applyNumberFormat="1" applyFont="1" applyAlignment="1" applyProtection="1">
      <alignment horizontal="center" vertical="center"/>
      <protection hidden="1"/>
    </xf>
    <xf numFmtId="190" fontId="83" fillId="34" borderId="0" xfId="420" applyNumberFormat="1" applyFont="1" applyFill="1" applyBorder="1" applyAlignment="1" applyProtection="1">
      <alignment horizontal="center" vertical="center"/>
      <protection hidden="1"/>
    </xf>
    <xf numFmtId="206" fontId="209" fillId="61" borderId="29" xfId="0" applyNumberFormat="1" applyFont="1" applyFill="1" applyBorder="1" applyAlignment="1" applyProtection="1">
      <alignment horizontal="center" vertical="center"/>
      <protection hidden="1"/>
    </xf>
    <xf numFmtId="0" fontId="155" fillId="53" borderId="0" xfId="0" applyFont="1" applyFill="1" applyAlignment="1" applyProtection="1">
      <alignment horizontal="right" vertical="center"/>
      <protection hidden="1"/>
    </xf>
    <xf numFmtId="0" fontId="242" fillId="61" borderId="37" xfId="0" applyFont="1" applyFill="1" applyBorder="1" applyAlignment="1" applyProtection="1">
      <alignment horizontal="center" vertical="center"/>
      <protection hidden="1"/>
    </xf>
    <xf numFmtId="0" fontId="60" fillId="35" borderId="0" xfId="0" applyFont="1" applyFill="1" applyAlignment="1">
      <alignment horizontal="left" vertical="center"/>
    </xf>
    <xf numFmtId="180" fontId="60" fillId="40" borderId="0" xfId="0" applyNumberFormat="1" applyFont="1" applyFill="1" applyAlignment="1">
      <alignment horizontal="center" vertical="center"/>
    </xf>
    <xf numFmtId="180" fontId="60" fillId="35" borderId="0" xfId="0" applyNumberFormat="1" applyFont="1" applyFill="1" applyAlignment="1">
      <alignment horizontal="center" vertical="center"/>
    </xf>
    <xf numFmtId="0" fontId="60" fillId="63" borderId="284" xfId="0" applyFont="1" applyFill="1" applyBorder="1">
      <alignment vertical="center"/>
    </xf>
    <xf numFmtId="177" fontId="60" fillId="51" borderId="0" xfId="420" applyFont="1" applyFill="1" applyProtection="1">
      <alignment vertical="center"/>
      <protection hidden="1"/>
    </xf>
    <xf numFmtId="0" fontId="279" fillId="83" borderId="0" xfId="0" applyFont="1" applyFill="1" applyProtection="1">
      <alignment vertical="center"/>
      <protection hidden="1"/>
    </xf>
    <xf numFmtId="0" fontId="0" fillId="83" borderId="0" xfId="0" applyFill="1" applyProtection="1">
      <alignment vertical="center"/>
      <protection hidden="1"/>
    </xf>
    <xf numFmtId="0" fontId="65" fillId="83" borderId="0" xfId="0" applyFont="1" applyFill="1" applyAlignment="1" applyProtection="1">
      <alignment vertical="center" wrapText="1"/>
      <protection hidden="1"/>
    </xf>
    <xf numFmtId="0" fontId="215" fillId="83" borderId="0" xfId="0" applyFont="1" applyFill="1" applyProtection="1">
      <alignment vertical="center"/>
      <protection hidden="1"/>
    </xf>
    <xf numFmtId="0" fontId="155" fillId="83" borderId="0" xfId="0" applyFont="1" applyFill="1" applyProtection="1">
      <alignment vertical="center"/>
      <protection hidden="1"/>
    </xf>
    <xf numFmtId="0" fontId="242" fillId="83" borderId="0" xfId="0" applyFont="1" applyFill="1" applyProtection="1">
      <alignment vertical="center"/>
      <protection hidden="1"/>
    </xf>
    <xf numFmtId="0" fontId="239" fillId="83" borderId="0" xfId="0" applyFont="1" applyFill="1" applyProtection="1">
      <alignment vertical="center"/>
      <protection hidden="1"/>
    </xf>
    <xf numFmtId="179" fontId="278" fillId="83" borderId="0" xfId="0" applyNumberFormat="1" applyFont="1" applyFill="1" applyProtection="1">
      <alignment vertical="center"/>
      <protection hidden="1"/>
    </xf>
    <xf numFmtId="10" fontId="239" fillId="83" borderId="0" xfId="422" applyNumberFormat="1" applyFont="1" applyFill="1" applyBorder="1" applyAlignment="1" applyProtection="1">
      <alignment vertical="center"/>
      <protection hidden="1"/>
    </xf>
    <xf numFmtId="0" fontId="157" fillId="83" borderId="0" xfId="0" applyFont="1" applyFill="1" applyProtection="1">
      <alignment vertical="center"/>
      <protection hidden="1"/>
    </xf>
    <xf numFmtId="10" fontId="239" fillId="83" borderId="0" xfId="0" applyNumberFormat="1" applyFont="1" applyFill="1" applyProtection="1">
      <alignment vertical="center"/>
      <protection hidden="1"/>
    </xf>
    <xf numFmtId="10" fontId="239" fillId="83" borderId="0" xfId="422" applyNumberFormat="1" applyFont="1" applyFill="1" applyBorder="1" applyAlignment="1" applyProtection="1">
      <alignment shrinkToFit="1"/>
      <protection hidden="1"/>
    </xf>
    <xf numFmtId="179" fontId="239" fillId="83" borderId="0" xfId="420" applyNumberFormat="1" applyFont="1" applyFill="1" applyBorder="1" applyAlignment="1" applyProtection="1">
      <alignment shrinkToFit="1"/>
      <protection hidden="1"/>
    </xf>
    <xf numFmtId="179" fontId="278" fillId="83" borderId="0" xfId="420" applyNumberFormat="1" applyFont="1" applyFill="1" applyBorder="1" applyAlignment="1" applyProtection="1">
      <alignment shrinkToFit="1"/>
      <protection hidden="1"/>
    </xf>
    <xf numFmtId="0" fontId="0" fillId="38" borderId="0" xfId="0" applyFill="1">
      <alignment vertical="center"/>
    </xf>
    <xf numFmtId="177" fontId="0" fillId="0" borderId="226" xfId="420" applyFont="1" applyBorder="1">
      <alignment vertical="center"/>
    </xf>
    <xf numFmtId="190" fontId="0" fillId="37" borderId="0" xfId="420" applyNumberFormat="1" applyFont="1" applyFill="1">
      <alignment vertical="center"/>
    </xf>
    <xf numFmtId="177" fontId="60" fillId="34" borderId="0" xfId="420" applyFont="1" applyFill="1" applyProtection="1">
      <alignment vertical="center"/>
      <protection hidden="1"/>
    </xf>
    <xf numFmtId="177" fontId="83" fillId="34" borderId="0" xfId="420" applyFont="1" applyFill="1" applyProtection="1">
      <alignment vertical="center"/>
      <protection hidden="1"/>
    </xf>
    <xf numFmtId="177" fontId="181" fillId="0" borderId="0" xfId="420" applyFont="1" applyAlignment="1" applyProtection="1">
      <alignment horizontal="center" vertical="center"/>
      <protection hidden="1"/>
    </xf>
    <xf numFmtId="177" fontId="238" fillId="0" borderId="0" xfId="420" applyFont="1" applyAlignment="1" applyProtection="1">
      <alignment horizontal="center" vertical="center"/>
      <protection hidden="1"/>
    </xf>
    <xf numFmtId="190" fontId="238" fillId="0" borderId="0" xfId="420" applyNumberFormat="1" applyFont="1" applyAlignment="1" applyProtection="1">
      <alignment horizontal="center" vertical="center"/>
      <protection hidden="1"/>
    </xf>
    <xf numFmtId="177" fontId="98" fillId="0" borderId="0" xfId="420" applyFont="1" applyAlignment="1" applyProtection="1">
      <alignment vertical="center" wrapText="1"/>
      <protection hidden="1"/>
    </xf>
    <xf numFmtId="177" fontId="60" fillId="56" borderId="0" xfId="420" applyFont="1" applyFill="1" applyProtection="1">
      <alignment vertical="center"/>
      <protection hidden="1"/>
    </xf>
    <xf numFmtId="177" fontId="60" fillId="35" borderId="0" xfId="420" applyFont="1" applyFill="1" applyProtection="1">
      <alignment vertical="center"/>
      <protection hidden="1"/>
    </xf>
    <xf numFmtId="177" fontId="182" fillId="43" borderId="0" xfId="420" applyFont="1" applyFill="1" applyAlignment="1" applyProtection="1">
      <alignment horizontal="center" vertical="center"/>
      <protection hidden="1"/>
    </xf>
    <xf numFmtId="177" fontId="83" fillId="34" borderId="0" xfId="420" applyFont="1" applyFill="1" applyBorder="1" applyAlignment="1" applyProtection="1">
      <alignment horizontal="center" vertical="center"/>
      <protection hidden="1"/>
    </xf>
    <xf numFmtId="177" fontId="63" fillId="37" borderId="0" xfId="420" applyFont="1" applyFill="1" applyProtection="1">
      <alignment vertical="center"/>
      <protection hidden="1"/>
    </xf>
    <xf numFmtId="177" fontId="64" fillId="56" borderId="0" xfId="420" applyFont="1" applyFill="1" applyBorder="1" applyProtection="1">
      <alignment vertical="center"/>
      <protection hidden="1"/>
    </xf>
    <xf numFmtId="177" fontId="64" fillId="35" borderId="0" xfId="420" applyFont="1" applyFill="1" applyBorder="1" applyProtection="1">
      <alignment vertical="center"/>
      <protection hidden="1"/>
    </xf>
    <xf numFmtId="177" fontId="60" fillId="37" borderId="0" xfId="420" applyFont="1" applyFill="1" applyProtection="1">
      <alignment vertical="center"/>
      <protection hidden="1"/>
    </xf>
    <xf numFmtId="177" fontId="0" fillId="0" borderId="0" xfId="420" applyFont="1" applyFill="1">
      <alignment vertical="center"/>
    </xf>
    <xf numFmtId="176" fontId="0" fillId="0" borderId="120" xfId="0" applyNumberFormat="1" applyBorder="1">
      <alignment vertical="center"/>
    </xf>
    <xf numFmtId="0" fontId="258" fillId="0" borderId="0" xfId="0" applyFont="1">
      <alignment vertical="center"/>
    </xf>
    <xf numFmtId="0" fontId="192" fillId="0" borderId="0" xfId="0" applyFont="1">
      <alignment vertical="center"/>
    </xf>
    <xf numFmtId="178" fontId="258" fillId="0" borderId="0" xfId="422" applyNumberFormat="1" applyFont="1">
      <alignment vertical="center"/>
    </xf>
    <xf numFmtId="177" fontId="0" fillId="0" borderId="0" xfId="420" applyFont="1" applyProtection="1">
      <alignment vertical="center"/>
      <protection hidden="1"/>
    </xf>
    <xf numFmtId="177" fontId="0" fillId="0" borderId="18" xfId="420" applyFont="1" applyBorder="1">
      <alignment vertical="center"/>
    </xf>
    <xf numFmtId="177" fontId="0" fillId="0" borderId="19" xfId="420" applyFont="1" applyBorder="1">
      <alignment vertical="center"/>
    </xf>
    <xf numFmtId="177" fontId="0" fillId="0" borderId="11" xfId="420" applyFont="1" applyBorder="1">
      <alignment vertical="center"/>
    </xf>
    <xf numFmtId="181" fontId="0" fillId="0" borderId="227" xfId="0" applyNumberFormat="1" applyBorder="1">
      <alignment vertical="center"/>
    </xf>
    <xf numFmtId="178" fontId="239" fillId="34" borderId="0" xfId="422" applyNumberFormat="1" applyFont="1" applyFill="1" applyBorder="1" applyAlignment="1" applyProtection="1">
      <alignment horizontal="center" vertical="center"/>
      <protection hidden="1"/>
    </xf>
    <xf numFmtId="178" fontId="157" fillId="34" borderId="0" xfId="422" applyNumberFormat="1" applyFont="1" applyFill="1" applyBorder="1" applyAlignment="1" applyProtection="1">
      <alignment horizontal="center" vertical="center"/>
      <protection hidden="1"/>
    </xf>
    <xf numFmtId="0" fontId="239" fillId="34" borderId="0" xfId="0" applyFont="1" applyFill="1" applyAlignment="1" applyProtection="1">
      <alignment horizontal="center" vertical="center"/>
      <protection hidden="1"/>
    </xf>
    <xf numFmtId="0" fontId="156" fillId="34" borderId="285" xfId="0" applyFont="1" applyFill="1" applyBorder="1" applyAlignment="1" applyProtection="1">
      <alignment horizontal="center" vertical="center"/>
      <protection hidden="1"/>
    </xf>
    <xf numFmtId="0" fontId="156" fillId="34" borderId="286" xfId="0" applyFont="1" applyFill="1" applyBorder="1" applyAlignment="1" applyProtection="1">
      <alignment horizontal="center" vertical="center"/>
      <protection hidden="1"/>
    </xf>
    <xf numFmtId="0" fontId="156" fillId="34" borderId="287" xfId="0" applyFont="1" applyFill="1" applyBorder="1" applyAlignment="1" applyProtection="1">
      <alignment horizontal="center" vertical="center"/>
      <protection hidden="1"/>
    </xf>
    <xf numFmtId="0" fontId="156" fillId="34" borderId="286" xfId="0" applyFont="1" applyFill="1" applyBorder="1" applyAlignment="1" applyProtection="1">
      <alignment horizontal="center" vertical="center" wrapText="1"/>
      <protection hidden="1"/>
    </xf>
    <xf numFmtId="0" fontId="297" fillId="59" borderId="45" xfId="411" applyFont="1" applyFill="1" applyBorder="1" applyAlignment="1">
      <alignment horizontal="center" vertical="center"/>
    </xf>
    <xf numFmtId="0" fontId="298" fillId="34" borderId="0" xfId="0" applyFont="1" applyFill="1" applyAlignment="1" applyProtection="1">
      <alignment horizontal="right" vertical="center"/>
      <protection hidden="1"/>
    </xf>
    <xf numFmtId="0" fontId="299" fillId="0" borderId="225" xfId="0" applyFont="1" applyBorder="1">
      <alignment vertical="center"/>
    </xf>
    <xf numFmtId="0" fontId="300" fillId="0" borderId="0" xfId="0" applyFont="1">
      <alignment vertical="center"/>
    </xf>
    <xf numFmtId="177" fontId="300" fillId="0" borderId="227" xfId="420" applyFont="1" applyBorder="1">
      <alignment vertical="center"/>
    </xf>
    <xf numFmtId="2" fontId="300" fillId="0" borderId="0" xfId="0" applyNumberFormat="1" applyFont="1">
      <alignment vertical="center"/>
    </xf>
    <xf numFmtId="190" fontId="300" fillId="0" borderId="227" xfId="420" applyNumberFormat="1" applyFont="1" applyBorder="1">
      <alignment vertical="center"/>
    </xf>
    <xf numFmtId="190" fontId="300" fillId="0" borderId="0" xfId="420" applyNumberFormat="1" applyFont="1" applyBorder="1">
      <alignment vertical="center"/>
    </xf>
    <xf numFmtId="178" fontId="300" fillId="0" borderId="227" xfId="0" applyNumberFormat="1" applyFont="1" applyBorder="1">
      <alignment vertical="center"/>
    </xf>
    <xf numFmtId="178" fontId="300" fillId="0" borderId="0" xfId="422" applyNumberFormat="1" applyFont="1" applyBorder="1">
      <alignment vertical="center"/>
    </xf>
    <xf numFmtId="216" fontId="88" fillId="0" borderId="0" xfId="430" applyNumberFormat="1" applyFont="1">
      <alignment vertical="center"/>
    </xf>
    <xf numFmtId="0" fontId="6" fillId="0" borderId="277" xfId="455" applyBorder="1">
      <alignment vertical="center"/>
    </xf>
    <xf numFmtId="184" fontId="267" fillId="34" borderId="280" xfId="422" applyNumberFormat="1" applyFont="1" applyFill="1" applyBorder="1" applyAlignment="1" applyProtection="1">
      <alignment horizontal="right" vertical="center"/>
      <protection hidden="1"/>
    </xf>
    <xf numFmtId="184" fontId="267" fillId="34" borderId="281" xfId="422" applyNumberFormat="1" applyFont="1" applyFill="1" applyBorder="1" applyAlignment="1" applyProtection="1">
      <alignment horizontal="right" vertical="center"/>
      <protection hidden="1"/>
    </xf>
    <xf numFmtId="0" fontId="188" fillId="34" borderId="0" xfId="0" applyFont="1" applyFill="1" applyAlignment="1" applyProtection="1">
      <alignment horizontal="right" vertical="center"/>
      <protection hidden="1"/>
    </xf>
    <xf numFmtId="0" fontId="218" fillId="79" borderId="0" xfId="0" applyFont="1" applyFill="1" applyAlignment="1" applyProtection="1">
      <alignment horizontal="right" vertical="center"/>
      <protection hidden="1"/>
    </xf>
    <xf numFmtId="0" fontId="65" fillId="34" borderId="219" xfId="0" applyFont="1" applyFill="1" applyBorder="1" applyAlignment="1" applyProtection="1">
      <alignment horizontal="center" vertical="center"/>
      <protection hidden="1"/>
    </xf>
    <xf numFmtId="0" fontId="155" fillId="34" borderId="281" xfId="0" applyFont="1" applyFill="1" applyBorder="1" applyAlignment="1" applyProtection="1">
      <alignment horizontal="right" vertical="center"/>
      <protection hidden="1"/>
    </xf>
    <xf numFmtId="0" fontId="153" fillId="34" borderId="292" xfId="0" applyFont="1" applyFill="1" applyBorder="1" applyProtection="1">
      <alignment vertical="center"/>
      <protection hidden="1"/>
    </xf>
    <xf numFmtId="180" fontId="60" fillId="37" borderId="0" xfId="0" applyNumberFormat="1" applyFont="1" applyFill="1">
      <alignment vertical="center"/>
    </xf>
    <xf numFmtId="0" fontId="0" fillId="38" borderId="12" xfId="0" applyFill="1" applyBorder="1">
      <alignment vertical="center"/>
    </xf>
    <xf numFmtId="0" fontId="0" fillId="35" borderId="0" xfId="0" applyFill="1">
      <alignment vertical="center"/>
    </xf>
    <xf numFmtId="0" fontId="0" fillId="53" borderId="12" xfId="0" applyFill="1" applyBorder="1">
      <alignment vertical="center"/>
    </xf>
    <xf numFmtId="0" fontId="126" fillId="84" borderId="190" xfId="0" applyFont="1" applyFill="1" applyBorder="1">
      <alignment vertical="center"/>
    </xf>
    <xf numFmtId="0" fontId="54" fillId="84" borderId="190" xfId="0" applyFont="1" applyFill="1" applyBorder="1" applyAlignment="1">
      <alignment horizontal="center" vertical="center"/>
    </xf>
    <xf numFmtId="0" fontId="54" fillId="84" borderId="190" xfId="0" applyFont="1" applyFill="1" applyBorder="1">
      <alignment vertical="center"/>
    </xf>
    <xf numFmtId="0" fontId="259" fillId="37" borderId="12" xfId="0" applyFont="1" applyFill="1" applyBorder="1">
      <alignment vertical="center"/>
    </xf>
    <xf numFmtId="0" fontId="54" fillId="84" borderId="0" xfId="0" applyFont="1" applyFill="1" applyAlignment="1">
      <alignment horizontal="center" vertical="center"/>
    </xf>
    <xf numFmtId="49" fontId="0" fillId="0" borderId="0" xfId="420" applyNumberFormat="1" applyFont="1">
      <alignment vertical="center"/>
    </xf>
    <xf numFmtId="190" fontId="54" fillId="84" borderId="190" xfId="420" applyNumberFormat="1" applyFont="1" applyFill="1" applyBorder="1" applyAlignment="1">
      <alignment horizontal="center" vertical="center"/>
    </xf>
    <xf numFmtId="190" fontId="0" fillId="0" borderId="0" xfId="420" applyNumberFormat="1" applyFont="1" applyBorder="1" applyAlignment="1">
      <alignment horizontal="right" vertical="center"/>
    </xf>
    <xf numFmtId="0" fontId="0" fillId="37" borderId="20" xfId="0" applyFill="1" applyBorder="1">
      <alignment vertical="center"/>
    </xf>
    <xf numFmtId="0" fontId="0" fillId="37" borderId="22" xfId="0" applyFill="1" applyBorder="1">
      <alignment vertical="center"/>
    </xf>
    <xf numFmtId="0" fontId="0" fillId="37" borderId="117" xfId="0" applyFill="1" applyBorder="1">
      <alignment vertical="center"/>
    </xf>
    <xf numFmtId="190" fontId="0" fillId="0" borderId="11" xfId="420" applyNumberFormat="1" applyFont="1" applyBorder="1">
      <alignment vertical="center"/>
    </xf>
    <xf numFmtId="0" fontId="0" fillId="0" borderId="225" xfId="0" applyBorder="1" applyProtection="1">
      <alignment vertical="center"/>
      <protection hidden="1"/>
    </xf>
    <xf numFmtId="190" fontId="0" fillId="37" borderId="227" xfId="420" applyNumberFormat="1" applyFont="1" applyFill="1" applyBorder="1" applyProtection="1">
      <alignment vertical="center"/>
      <protection hidden="1"/>
    </xf>
    <xf numFmtId="0" fontId="60" fillId="0" borderId="0" xfId="0" applyFont="1" applyAlignment="1">
      <alignment horizontal="right" vertical="center"/>
    </xf>
    <xf numFmtId="176" fontId="0" fillId="37" borderId="117" xfId="0" applyNumberFormat="1" applyFill="1" applyBorder="1">
      <alignment vertical="center"/>
    </xf>
    <xf numFmtId="0" fontId="115" fillId="37" borderId="0" xfId="0" applyFont="1" applyFill="1">
      <alignment vertical="center"/>
    </xf>
    <xf numFmtId="177" fontId="0" fillId="37" borderId="0" xfId="0" applyNumberFormat="1" applyFill="1" applyAlignment="1">
      <alignment horizontal="center" vertical="center"/>
    </xf>
    <xf numFmtId="0" fontId="0" fillId="59" borderId="0" xfId="0" applyFill="1">
      <alignment vertical="center"/>
    </xf>
    <xf numFmtId="0" fontId="95" fillId="0" borderId="0" xfId="0" applyFont="1">
      <alignment vertical="center"/>
    </xf>
    <xf numFmtId="0" fontId="23" fillId="0" borderId="0" xfId="411" applyAlignment="1">
      <alignment horizontal="center" vertical="center"/>
    </xf>
    <xf numFmtId="0" fontId="0" fillId="37" borderId="225" xfId="0" applyFill="1" applyBorder="1">
      <alignment vertical="center"/>
    </xf>
    <xf numFmtId="0" fontId="110" fillId="37" borderId="17" xfId="0" applyFont="1" applyFill="1" applyBorder="1">
      <alignment vertical="center"/>
    </xf>
    <xf numFmtId="0" fontId="115" fillId="37" borderId="19" xfId="0" applyFont="1" applyFill="1" applyBorder="1">
      <alignment vertical="center"/>
    </xf>
    <xf numFmtId="0" fontId="0" fillId="37" borderId="21" xfId="0" applyFill="1" applyBorder="1">
      <alignment vertical="center"/>
    </xf>
    <xf numFmtId="0" fontId="0" fillId="37" borderId="23" xfId="0" applyFill="1" applyBorder="1">
      <alignment vertical="center"/>
    </xf>
    <xf numFmtId="0" fontId="110" fillId="37" borderId="18" xfId="0" applyFont="1" applyFill="1" applyBorder="1">
      <alignment vertical="center"/>
    </xf>
    <xf numFmtId="0" fontId="115" fillId="37" borderId="11" xfId="0" applyFont="1" applyFill="1" applyBorder="1">
      <alignment vertical="center"/>
    </xf>
    <xf numFmtId="0" fontId="0" fillId="85" borderId="18" xfId="0" applyFill="1" applyBorder="1">
      <alignment vertical="center"/>
    </xf>
    <xf numFmtId="0" fontId="126" fillId="61" borderId="0" xfId="0" applyFont="1" applyFill="1" applyProtection="1">
      <alignment vertical="center"/>
      <protection hidden="1"/>
    </xf>
    <xf numFmtId="181" fontId="0" fillId="37" borderId="0" xfId="0" applyNumberFormat="1" applyFill="1">
      <alignment vertical="center"/>
    </xf>
    <xf numFmtId="0" fontId="0" fillId="37" borderId="0" xfId="0" applyFill="1" applyAlignment="1">
      <alignment horizontal="center" vertical="center"/>
    </xf>
    <xf numFmtId="0" fontId="0" fillId="0" borderId="0" xfId="0" applyAlignment="1">
      <alignment horizontal="left" vertical="center"/>
    </xf>
    <xf numFmtId="0" fontId="0" fillId="37" borderId="17" xfId="0" applyFill="1" applyBorder="1" applyAlignment="1">
      <alignment horizontal="center" vertical="center"/>
    </xf>
    <xf numFmtId="49" fontId="0" fillId="0" borderId="18" xfId="0" applyNumberFormat="1" applyBorder="1" applyAlignment="1">
      <alignment horizontal="center" vertical="center"/>
    </xf>
    <xf numFmtId="190" fontId="0" fillId="0" borderId="18" xfId="420" applyNumberFormat="1" applyFont="1" applyBorder="1">
      <alignment vertical="center"/>
    </xf>
    <xf numFmtId="180" fontId="110" fillId="59" borderId="0" xfId="0" applyNumberFormat="1" applyFont="1" applyFill="1">
      <alignment vertical="center"/>
    </xf>
    <xf numFmtId="0" fontId="0" fillId="0" borderId="17" xfId="0" applyBorder="1" applyAlignment="1">
      <alignment horizontal="center" vertical="center"/>
    </xf>
    <xf numFmtId="0" fontId="0" fillId="0" borderId="20" xfId="0" applyBorder="1" applyAlignment="1">
      <alignment horizontal="center" vertical="center"/>
    </xf>
    <xf numFmtId="49" fontId="0" fillId="0" borderId="0" xfId="0" applyNumberFormat="1" applyAlignment="1">
      <alignment horizontal="center" vertical="center"/>
    </xf>
    <xf numFmtId="0" fontId="0" fillId="0" borderId="22" xfId="0" applyBorder="1" applyAlignment="1">
      <alignment horizontal="center" vertical="center"/>
    </xf>
    <xf numFmtId="49" fontId="0" fillId="0" borderId="0" xfId="0" applyNumberFormat="1">
      <alignment vertical="center"/>
    </xf>
    <xf numFmtId="49" fontId="185" fillId="61" borderId="103" xfId="0" applyNumberFormat="1" applyFont="1" applyFill="1" applyBorder="1" applyAlignment="1" applyProtection="1">
      <alignment horizontal="center" vertical="center" shrinkToFit="1"/>
      <protection locked="0"/>
    </xf>
    <xf numFmtId="180" fontId="0" fillId="0" borderId="18" xfId="0" applyNumberFormat="1" applyBorder="1" applyAlignment="1">
      <alignment horizontal="left" vertical="center"/>
    </xf>
    <xf numFmtId="180" fontId="0" fillId="0" borderId="0" xfId="0" applyNumberFormat="1" applyAlignment="1">
      <alignment horizontal="left" vertical="center"/>
    </xf>
    <xf numFmtId="190" fontId="0" fillId="0" borderId="21" xfId="420" applyNumberFormat="1" applyFont="1" applyBorder="1">
      <alignment vertical="center"/>
    </xf>
    <xf numFmtId="190" fontId="0" fillId="0" borderId="19" xfId="420" applyNumberFormat="1" applyFont="1" applyBorder="1">
      <alignment vertical="center"/>
    </xf>
    <xf numFmtId="190" fontId="0" fillId="0" borderId="23" xfId="420" applyNumberFormat="1" applyFont="1" applyBorder="1">
      <alignment vertical="center"/>
    </xf>
    <xf numFmtId="180" fontId="0" fillId="0" borderId="18" xfId="0" applyNumberFormat="1" applyBorder="1">
      <alignment vertical="center"/>
    </xf>
    <xf numFmtId="180" fontId="0" fillId="0" borderId="0" xfId="0" applyNumberFormat="1">
      <alignment vertical="center"/>
    </xf>
    <xf numFmtId="180" fontId="0" fillId="0" borderId="11" xfId="0" applyNumberFormat="1" applyBorder="1">
      <alignment vertical="center"/>
    </xf>
    <xf numFmtId="0" fontId="244" fillId="34" borderId="292" xfId="0" applyFont="1" applyFill="1" applyBorder="1" applyProtection="1">
      <alignment vertical="center"/>
      <protection hidden="1"/>
    </xf>
    <xf numFmtId="0" fontId="81" fillId="0" borderId="0" xfId="0" applyFont="1" applyAlignment="1">
      <alignment horizontal="left" vertical="center"/>
    </xf>
    <xf numFmtId="0" fontId="94" fillId="53" borderId="0" xfId="0" applyFont="1" applyFill="1">
      <alignment vertical="center"/>
    </xf>
    <xf numFmtId="0" fontId="93" fillId="53" borderId="0" xfId="0" applyFont="1" applyFill="1">
      <alignment vertical="center"/>
    </xf>
    <xf numFmtId="0" fontId="93" fillId="53" borderId="0" xfId="0" applyFont="1" applyFill="1" applyProtection="1">
      <alignment vertical="center"/>
      <protection hidden="1"/>
    </xf>
    <xf numFmtId="2" fontId="300" fillId="0" borderId="227" xfId="0" applyNumberFormat="1" applyFont="1" applyBorder="1">
      <alignment vertical="center"/>
    </xf>
    <xf numFmtId="177" fontId="300" fillId="0" borderId="226" xfId="0" applyNumberFormat="1" applyFont="1" applyBorder="1">
      <alignment vertical="center"/>
    </xf>
    <xf numFmtId="177" fontId="0" fillId="0" borderId="190" xfId="420" applyFont="1" applyBorder="1" applyProtection="1">
      <alignment vertical="center"/>
      <protection hidden="1"/>
    </xf>
    <xf numFmtId="0" fontId="258" fillId="0" borderId="190" xfId="0" applyFont="1" applyBorder="1">
      <alignment vertical="center"/>
    </xf>
    <xf numFmtId="178" fontId="258" fillId="0" borderId="190" xfId="422" applyNumberFormat="1" applyFont="1" applyBorder="1">
      <alignment vertical="center"/>
    </xf>
    <xf numFmtId="0" fontId="192" fillId="0" borderId="190" xfId="0" applyFont="1" applyBorder="1">
      <alignment vertical="center"/>
    </xf>
    <xf numFmtId="177" fontId="0" fillId="0" borderId="0" xfId="420" applyFont="1" applyBorder="1" applyProtection="1">
      <alignment vertical="center"/>
      <protection hidden="1"/>
    </xf>
    <xf numFmtId="178" fontId="258" fillId="0" borderId="0" xfId="422" applyNumberFormat="1" applyFont="1" applyBorder="1">
      <alignment vertical="center"/>
    </xf>
    <xf numFmtId="177" fontId="0" fillId="0" borderId="15" xfId="420" applyFont="1" applyBorder="1" applyProtection="1">
      <alignment vertical="center"/>
      <protection hidden="1"/>
    </xf>
    <xf numFmtId="0" fontId="258" fillId="0" borderId="15" xfId="0" applyFont="1" applyBorder="1">
      <alignment vertical="center"/>
    </xf>
    <xf numFmtId="178" fontId="258" fillId="0" borderId="15" xfId="422" applyNumberFormat="1" applyFont="1" applyBorder="1">
      <alignment vertical="center"/>
    </xf>
    <xf numFmtId="0" fontId="192" fillId="0" borderId="15" xfId="0" applyFont="1" applyBorder="1">
      <alignment vertical="center"/>
    </xf>
    <xf numFmtId="178" fontId="0" fillId="56" borderId="190" xfId="422" applyNumberFormat="1" applyFont="1" applyFill="1" applyBorder="1">
      <alignment vertical="center"/>
    </xf>
    <xf numFmtId="0" fontId="0" fillId="56" borderId="190" xfId="0" applyFill="1" applyBorder="1">
      <alignment vertical="center"/>
    </xf>
    <xf numFmtId="177" fontId="0" fillId="56" borderId="190" xfId="420" applyFont="1" applyFill="1" applyBorder="1">
      <alignment vertical="center"/>
    </xf>
    <xf numFmtId="178" fontId="0" fillId="56" borderId="0" xfId="422" applyNumberFormat="1" applyFont="1" applyFill="1" applyBorder="1">
      <alignment vertical="center"/>
    </xf>
    <xf numFmtId="0" fontId="0" fillId="56" borderId="0" xfId="0" applyFill="1">
      <alignment vertical="center"/>
    </xf>
    <xf numFmtId="177" fontId="0" fillId="56" borderId="0" xfId="420" applyFont="1" applyFill="1">
      <alignment vertical="center"/>
    </xf>
    <xf numFmtId="178" fontId="0" fillId="56" borderId="15" xfId="422" applyNumberFormat="1" applyFont="1" applyFill="1" applyBorder="1">
      <alignment vertical="center"/>
    </xf>
    <xf numFmtId="0" fontId="0" fillId="56" borderId="15" xfId="0" applyFill="1" applyBorder="1">
      <alignment vertical="center"/>
    </xf>
    <xf numFmtId="177" fontId="0" fillId="56" borderId="15" xfId="420" applyFont="1" applyFill="1" applyBorder="1">
      <alignment vertical="center"/>
    </xf>
    <xf numFmtId="190" fontId="120" fillId="34" borderId="0" xfId="420" applyNumberFormat="1" applyFont="1" applyFill="1" applyBorder="1" applyAlignment="1" applyProtection="1">
      <alignment vertical="center"/>
      <protection hidden="1"/>
    </xf>
    <xf numFmtId="0" fontId="184" fillId="34" borderId="0" xfId="453" applyFont="1" applyFill="1" applyAlignment="1" applyProtection="1">
      <alignment vertical="center" wrapText="1"/>
      <protection hidden="1"/>
    </xf>
    <xf numFmtId="0" fontId="54" fillId="60" borderId="0" xfId="0" applyFont="1" applyFill="1" applyProtection="1">
      <alignment vertical="center"/>
      <protection hidden="1"/>
    </xf>
    <xf numFmtId="0" fontId="279" fillId="34" borderId="0" xfId="0" applyFont="1" applyFill="1" applyProtection="1">
      <alignment vertical="center"/>
      <protection hidden="1"/>
    </xf>
    <xf numFmtId="0" fontId="54" fillId="34" borderId="0" xfId="0" applyFont="1" applyFill="1" applyProtection="1">
      <alignment vertical="center"/>
      <protection hidden="1"/>
    </xf>
    <xf numFmtId="184" fontId="60" fillId="53" borderId="0" xfId="422" applyNumberFormat="1" applyFont="1" applyFill="1" applyProtection="1">
      <alignment vertical="center"/>
      <protection hidden="1"/>
    </xf>
    <xf numFmtId="0" fontId="302" fillId="34" borderId="0" xfId="0" applyFont="1" applyFill="1" applyProtection="1">
      <alignment vertical="center"/>
      <protection hidden="1"/>
    </xf>
    <xf numFmtId="217" fontId="0" fillId="59" borderId="0" xfId="0" applyNumberFormat="1" applyFill="1">
      <alignment vertical="center"/>
    </xf>
    <xf numFmtId="49" fontId="0" fillId="59" borderId="0" xfId="0" applyNumberFormat="1" applyFill="1">
      <alignment vertical="center"/>
    </xf>
    <xf numFmtId="49" fontId="0" fillId="0" borderId="18" xfId="0" applyNumberFormat="1" applyBorder="1">
      <alignment vertical="center"/>
    </xf>
    <xf numFmtId="49" fontId="0" fillId="0" borderId="11" xfId="0" applyNumberFormat="1" applyBorder="1">
      <alignment vertical="center"/>
    </xf>
    <xf numFmtId="49" fontId="2" fillId="0" borderId="0" xfId="0" applyNumberFormat="1" applyFont="1" applyAlignment="1">
      <alignment horizontal="center" vertical="center"/>
    </xf>
    <xf numFmtId="49" fontId="2" fillId="0" borderId="0" xfId="0" applyNumberFormat="1" applyFont="1" applyAlignment="1">
      <alignment horizontal="left" vertical="center"/>
    </xf>
    <xf numFmtId="190" fontId="2" fillId="0" borderId="0" xfId="420" applyNumberFormat="1" applyFont="1" applyBorder="1">
      <alignment vertical="center"/>
    </xf>
    <xf numFmtId="177" fontId="2" fillId="0" borderId="0" xfId="420" applyFont="1" applyBorder="1">
      <alignment vertical="center"/>
    </xf>
    <xf numFmtId="0" fontId="188" fillId="34" borderId="0" xfId="0" applyFont="1" applyFill="1">
      <alignment vertical="center"/>
    </xf>
    <xf numFmtId="0" fontId="23" fillId="53" borderId="0" xfId="411" applyFill="1" applyAlignment="1" applyProtection="1">
      <alignment horizontal="center" vertical="center"/>
      <protection hidden="1"/>
    </xf>
    <xf numFmtId="0" fontId="109" fillId="60" borderId="0" xfId="0" applyFont="1" applyFill="1" applyAlignment="1" applyProtection="1">
      <alignment horizontal="center" vertical="center" wrapText="1"/>
      <protection hidden="1"/>
    </xf>
    <xf numFmtId="203" fontId="104" fillId="53" borderId="0" xfId="420" applyNumberFormat="1" applyFont="1" applyFill="1" applyBorder="1" applyAlignment="1" applyProtection="1">
      <alignment horizontal="center" vertical="center"/>
      <protection hidden="1"/>
    </xf>
    <xf numFmtId="203" fontId="113" fillId="53" borderId="0" xfId="420" applyNumberFormat="1" applyFont="1" applyFill="1" applyBorder="1" applyAlignment="1" applyProtection="1">
      <alignment horizontal="center" vertical="center"/>
      <protection hidden="1"/>
    </xf>
    <xf numFmtId="181" fontId="82" fillId="53" borderId="0" xfId="420" applyNumberFormat="1" applyFont="1" applyFill="1" applyBorder="1" applyAlignment="1" applyProtection="1">
      <alignment horizontal="center" vertical="center"/>
      <protection hidden="1"/>
    </xf>
    <xf numFmtId="181" fontId="113" fillId="53" borderId="0" xfId="420" applyNumberFormat="1" applyFont="1" applyFill="1" applyBorder="1" applyAlignment="1" applyProtection="1">
      <alignment horizontal="center" vertical="center"/>
      <protection hidden="1"/>
    </xf>
    <xf numFmtId="0" fontId="54" fillId="53" borderId="0" xfId="0" applyFont="1" applyFill="1" applyProtection="1">
      <alignment vertical="center"/>
      <protection hidden="1"/>
    </xf>
    <xf numFmtId="0" fontId="211" fillId="53" borderId="0" xfId="0" applyFont="1" applyFill="1" applyAlignment="1" applyProtection="1">
      <alignment horizontal="center" vertical="center"/>
      <protection hidden="1"/>
    </xf>
    <xf numFmtId="203" fontId="150" fillId="61" borderId="0" xfId="420" applyNumberFormat="1" applyFont="1" applyFill="1" applyBorder="1" applyAlignment="1" applyProtection="1">
      <alignment horizontal="center" vertical="center"/>
      <protection locked="0"/>
    </xf>
    <xf numFmtId="203" fontId="150" fillId="66" borderId="0" xfId="420" applyNumberFormat="1" applyFont="1" applyFill="1" applyBorder="1" applyAlignment="1" applyProtection="1">
      <alignment horizontal="center" vertical="center"/>
      <protection hidden="1"/>
    </xf>
    <xf numFmtId="9" fontId="56" fillId="34" borderId="0" xfId="422" applyFont="1" applyFill="1" applyAlignment="1" applyProtection="1">
      <alignment horizontal="center" vertical="center"/>
      <protection hidden="1"/>
    </xf>
    <xf numFmtId="0" fontId="109" fillId="60" borderId="141" xfId="0" applyFont="1" applyFill="1" applyBorder="1" applyProtection="1">
      <alignment vertical="center"/>
      <protection hidden="1"/>
    </xf>
    <xf numFmtId="0" fontId="0" fillId="34" borderId="118" xfId="0" applyFill="1" applyBorder="1" applyProtection="1">
      <alignment vertical="center"/>
      <protection hidden="1"/>
    </xf>
    <xf numFmtId="0" fontId="0" fillId="37" borderId="120" xfId="0" applyFill="1" applyBorder="1">
      <alignment vertical="center"/>
    </xf>
    <xf numFmtId="193" fontId="0" fillId="0" borderId="0" xfId="422" applyNumberFormat="1" applyFont="1" applyAlignment="1">
      <alignment horizontal="right" vertical="center"/>
    </xf>
    <xf numFmtId="193" fontId="0" fillId="0" borderId="0" xfId="0" applyNumberFormat="1" applyAlignment="1">
      <alignment horizontal="right" vertical="center"/>
    </xf>
    <xf numFmtId="193" fontId="220" fillId="0" borderId="0" xfId="0" applyNumberFormat="1" applyFont="1" applyAlignment="1">
      <alignment horizontal="right" vertical="center"/>
    </xf>
    <xf numFmtId="0" fontId="0" fillId="0" borderId="119" xfId="0" applyBorder="1">
      <alignment vertical="center"/>
    </xf>
    <xf numFmtId="180" fontId="0" fillId="53" borderId="0" xfId="0" applyNumberFormat="1" applyFill="1" applyAlignment="1" applyProtection="1">
      <alignment horizontal="right" vertical="center"/>
      <protection hidden="1"/>
    </xf>
    <xf numFmtId="177" fontId="203" fillId="53" borderId="0" xfId="0" applyNumberFormat="1" applyFont="1" applyFill="1" applyAlignment="1" applyProtection="1">
      <alignment horizontal="right" vertical="center"/>
      <protection hidden="1"/>
    </xf>
    <xf numFmtId="0" fontId="0" fillId="53" borderId="225" xfId="0" applyFill="1" applyBorder="1">
      <alignment vertical="center"/>
    </xf>
    <xf numFmtId="190" fontId="60" fillId="53" borderId="0" xfId="420" applyNumberFormat="1" applyFont="1" applyFill="1">
      <alignment vertical="center"/>
    </xf>
    <xf numFmtId="0" fontId="232" fillId="53" borderId="226" xfId="0" applyFont="1" applyFill="1" applyBorder="1">
      <alignment vertical="center"/>
    </xf>
    <xf numFmtId="0" fontId="232" fillId="37" borderId="226" xfId="0" applyFont="1" applyFill="1" applyBorder="1">
      <alignment vertical="center"/>
    </xf>
    <xf numFmtId="190" fontId="97" fillId="34" borderId="0" xfId="420" applyNumberFormat="1" applyFont="1" applyFill="1" applyBorder="1" applyAlignment="1" applyProtection="1">
      <alignment vertical="center"/>
      <protection hidden="1"/>
    </xf>
    <xf numFmtId="10" fontId="0" fillId="34" borderId="0" xfId="422" applyNumberFormat="1" applyFont="1" applyFill="1">
      <alignment vertical="center"/>
    </xf>
    <xf numFmtId="190" fontId="0" fillId="34" borderId="0" xfId="420" applyNumberFormat="1" applyFont="1" applyFill="1" applyAlignment="1" applyProtection="1">
      <alignment horizontal="right" vertical="center"/>
      <protection hidden="1"/>
    </xf>
    <xf numFmtId="179" fontId="185" fillId="34" borderId="0" xfId="422" applyNumberFormat="1" applyFont="1" applyFill="1" applyProtection="1">
      <alignment vertical="center"/>
      <protection hidden="1"/>
    </xf>
    <xf numFmtId="0" fontId="50" fillId="73" borderId="296" xfId="0" applyFont="1" applyFill="1" applyBorder="1" applyAlignment="1">
      <alignment horizontal="center" vertical="center"/>
    </xf>
    <xf numFmtId="0" fontId="50" fillId="73" borderId="297" xfId="0" applyFont="1" applyFill="1" applyBorder="1">
      <alignment vertical="center"/>
    </xf>
    <xf numFmtId="0" fontId="0" fillId="0" borderId="136" xfId="0" applyBorder="1">
      <alignment vertical="center"/>
    </xf>
    <xf numFmtId="0" fontId="214" fillId="0" borderId="138" xfId="0" applyFont="1" applyBorder="1" applyAlignment="1">
      <alignment horizontal="center" vertical="center"/>
    </xf>
    <xf numFmtId="0" fontId="0" fillId="0" borderId="18" xfId="0" applyBorder="1" applyProtection="1">
      <alignment vertical="center"/>
      <protection hidden="1"/>
    </xf>
    <xf numFmtId="0" fontId="0" fillId="37" borderId="11" xfId="0" applyFill="1" applyBorder="1">
      <alignment vertical="center"/>
    </xf>
    <xf numFmtId="0" fontId="0" fillId="0" borderId="11" xfId="0" applyBorder="1" applyProtection="1">
      <alignment vertical="center"/>
      <protection hidden="1"/>
    </xf>
    <xf numFmtId="0" fontId="0" fillId="0" borderId="226" xfId="0" applyBorder="1">
      <alignment vertical="center"/>
    </xf>
    <xf numFmtId="0" fontId="131" fillId="34" borderId="0" xfId="0" applyFont="1" applyFill="1" applyProtection="1">
      <alignment vertical="center"/>
      <protection hidden="1"/>
    </xf>
    <xf numFmtId="0" fontId="133" fillId="34" borderId="0" xfId="0" applyFont="1" applyFill="1" applyAlignment="1" applyProtection="1">
      <alignment horizontal="center" vertical="center"/>
      <protection hidden="1"/>
    </xf>
    <xf numFmtId="0" fontId="133" fillId="34" borderId="0" xfId="0" applyFont="1" applyFill="1" applyAlignment="1" applyProtection="1">
      <alignment horizontal="center"/>
      <protection hidden="1"/>
    </xf>
    <xf numFmtId="0" fontId="175" fillId="34" borderId="0" xfId="425" applyFont="1" applyFill="1" applyAlignment="1" applyProtection="1">
      <alignment horizontal="right" vertical="center"/>
      <protection hidden="1"/>
    </xf>
    <xf numFmtId="0" fontId="140" fillId="34" borderId="0" xfId="425" applyFont="1" applyFill="1" applyAlignment="1" applyProtection="1">
      <alignment horizontal="center" vertical="center"/>
      <protection locked="0" hidden="1"/>
    </xf>
    <xf numFmtId="0" fontId="49" fillId="34" borderId="0" xfId="425" applyFont="1" applyFill="1" applyAlignment="1" applyProtection="1">
      <alignment horizontal="center" vertical="center"/>
      <protection locked="0" hidden="1"/>
    </xf>
    <xf numFmtId="188" fontId="49" fillId="34" borderId="0" xfId="425" applyNumberFormat="1" applyFont="1" applyFill="1" applyAlignment="1" applyProtection="1">
      <alignment horizontal="right" vertical="center"/>
      <protection locked="0" hidden="1"/>
    </xf>
    <xf numFmtId="178" fontId="49" fillId="34" borderId="0" xfId="422" applyNumberFormat="1" applyFont="1" applyFill="1" applyAlignment="1" applyProtection="1">
      <alignment horizontal="right" vertical="center"/>
      <protection locked="0" hidden="1"/>
    </xf>
    <xf numFmtId="14" fontId="49" fillId="34" borderId="0" xfId="425" applyNumberFormat="1" applyFont="1" applyFill="1" applyAlignment="1" applyProtection="1">
      <alignment horizontal="center" vertical="center"/>
      <protection locked="0" hidden="1"/>
    </xf>
    <xf numFmtId="179" fontId="49" fillId="34" borderId="0" xfId="425" applyNumberFormat="1" applyFont="1" applyFill="1" applyAlignment="1" applyProtection="1">
      <alignment horizontal="center" vertical="center"/>
      <protection locked="0" hidden="1"/>
    </xf>
    <xf numFmtId="10" fontId="49" fillId="34" borderId="0" xfId="422" applyNumberFormat="1" applyFont="1" applyFill="1" applyAlignment="1" applyProtection="1">
      <alignment horizontal="right" vertical="center"/>
      <protection locked="0" hidden="1"/>
    </xf>
    <xf numFmtId="180" fontId="49" fillId="34" borderId="0" xfId="422" applyNumberFormat="1" applyFont="1" applyFill="1" applyAlignment="1" applyProtection="1">
      <alignment horizontal="right" vertical="center"/>
      <protection locked="0" hidden="1"/>
    </xf>
    <xf numFmtId="14" fontId="49" fillId="34" borderId="0" xfId="422" applyNumberFormat="1" applyFont="1" applyFill="1" applyAlignment="1" applyProtection="1">
      <alignment horizontal="center" vertical="center"/>
      <protection locked="0" hidden="1"/>
    </xf>
    <xf numFmtId="197" fontId="49" fillId="34" borderId="0" xfId="425" applyNumberFormat="1" applyFont="1" applyFill="1" applyAlignment="1" applyProtection="1">
      <alignment horizontal="right" vertical="center"/>
      <protection locked="0" hidden="1"/>
    </xf>
    <xf numFmtId="178" fontId="49" fillId="34" borderId="0" xfId="425" applyNumberFormat="1" applyFont="1" applyFill="1" applyAlignment="1" applyProtection="1">
      <alignment horizontal="center" vertical="center"/>
      <protection locked="0" hidden="1"/>
    </xf>
    <xf numFmtId="197" fontId="49" fillId="34" borderId="0" xfId="425" applyNumberFormat="1" applyFont="1" applyFill="1" applyAlignment="1" applyProtection="1">
      <alignment horizontal="center" vertical="center"/>
      <protection locked="0" hidden="1"/>
    </xf>
    <xf numFmtId="0" fontId="98" fillId="0" borderId="0" xfId="425" applyFont="1" applyAlignment="1" applyProtection="1">
      <alignment horizontal="center" vertical="center"/>
      <protection locked="0" hidden="1"/>
    </xf>
    <xf numFmtId="0" fontId="140" fillId="0" borderId="0" xfId="425" applyFont="1" applyAlignment="1" applyProtection="1">
      <alignment horizontal="center" vertical="center"/>
      <protection locked="0" hidden="1"/>
    </xf>
    <xf numFmtId="188" fontId="98" fillId="0" borderId="0" xfId="425" applyNumberFormat="1" applyFont="1" applyAlignment="1" applyProtection="1">
      <alignment horizontal="right" vertical="center"/>
      <protection locked="0" hidden="1"/>
    </xf>
    <xf numFmtId="178" fontId="98" fillId="0" borderId="0" xfId="422" applyNumberFormat="1" applyFont="1" applyFill="1" applyAlignment="1" applyProtection="1">
      <alignment horizontal="right" vertical="center"/>
      <protection locked="0" hidden="1"/>
    </xf>
    <xf numFmtId="14" fontId="98" fillId="0" borderId="0" xfId="425" applyNumberFormat="1" applyFont="1" applyAlignment="1" applyProtection="1">
      <alignment horizontal="center" vertical="center"/>
      <protection locked="0" hidden="1"/>
    </xf>
    <xf numFmtId="179" fontId="98" fillId="0" borderId="0" xfId="425" applyNumberFormat="1" applyFont="1" applyAlignment="1" applyProtection="1">
      <alignment horizontal="center" vertical="center"/>
      <protection locked="0" hidden="1"/>
    </xf>
    <xf numFmtId="10" fontId="98" fillId="0" borderId="0" xfId="422" applyNumberFormat="1" applyFont="1" applyFill="1" applyAlignment="1" applyProtection="1">
      <alignment horizontal="right" vertical="center"/>
      <protection locked="0" hidden="1"/>
    </xf>
    <xf numFmtId="180" fontId="98" fillId="0" borderId="0" xfId="422" applyNumberFormat="1" applyFont="1" applyFill="1" applyAlignment="1" applyProtection="1">
      <alignment horizontal="right" vertical="center"/>
      <protection locked="0" hidden="1"/>
    </xf>
    <xf numFmtId="10" fontId="98" fillId="0" borderId="0" xfId="425" applyNumberFormat="1" applyFont="1" applyAlignment="1" applyProtection="1">
      <alignment horizontal="right" vertical="center"/>
      <protection locked="0" hidden="1"/>
    </xf>
    <xf numFmtId="197" fontId="98" fillId="0" borderId="0" xfId="425" applyNumberFormat="1" applyFont="1" applyAlignment="1" applyProtection="1">
      <alignment horizontal="right" vertical="center"/>
      <protection locked="0" hidden="1"/>
    </xf>
    <xf numFmtId="178" fontId="98" fillId="0" borderId="0" xfId="425" applyNumberFormat="1" applyFont="1" applyAlignment="1" applyProtection="1">
      <alignment horizontal="center" vertical="center"/>
      <protection locked="0" hidden="1"/>
    </xf>
    <xf numFmtId="197" fontId="98" fillId="0" borderId="0" xfId="425" applyNumberFormat="1" applyFont="1" applyAlignment="1" applyProtection="1">
      <alignment horizontal="center" vertical="center" wrapText="1"/>
      <protection locked="0" hidden="1"/>
    </xf>
    <xf numFmtId="197" fontId="98" fillId="0" borderId="0" xfId="425" applyNumberFormat="1" applyFont="1" applyAlignment="1" applyProtection="1">
      <alignment horizontal="center" vertical="center"/>
      <protection locked="0" hidden="1"/>
    </xf>
    <xf numFmtId="0" fontId="0" fillId="37" borderId="226" xfId="0" applyFill="1" applyBorder="1">
      <alignment vertical="center"/>
    </xf>
    <xf numFmtId="0" fontId="157" fillId="34" borderId="219" xfId="0" applyFont="1" applyFill="1" applyBorder="1" applyAlignment="1" applyProtection="1">
      <alignment horizontal="center" vertical="center"/>
      <protection hidden="1"/>
    </xf>
    <xf numFmtId="0" fontId="60" fillId="63" borderId="298" xfId="0" applyFont="1" applyFill="1" applyBorder="1">
      <alignment vertical="center"/>
    </xf>
    <xf numFmtId="0" fontId="60" fillId="37" borderId="117" xfId="0" applyFont="1" applyFill="1" applyBorder="1">
      <alignment vertical="center"/>
    </xf>
    <xf numFmtId="194" fontId="0" fillId="0" borderId="17" xfId="420" applyNumberFormat="1" applyFont="1" applyBorder="1">
      <alignment vertical="center"/>
    </xf>
    <xf numFmtId="194" fontId="0" fillId="0" borderId="19" xfId="420" applyNumberFormat="1" applyFont="1" applyBorder="1">
      <alignment vertical="center"/>
    </xf>
    <xf numFmtId="194" fontId="0" fillId="0" borderId="20" xfId="420" applyNumberFormat="1" applyFont="1" applyBorder="1">
      <alignment vertical="center"/>
    </xf>
    <xf numFmtId="194" fontId="0" fillId="0" borderId="21" xfId="420" applyNumberFormat="1" applyFont="1" applyBorder="1">
      <alignment vertical="center"/>
    </xf>
    <xf numFmtId="194" fontId="0" fillId="0" borderId="22" xfId="420" applyNumberFormat="1" applyFont="1" applyBorder="1">
      <alignment vertical="center"/>
    </xf>
    <xf numFmtId="194" fontId="0" fillId="0" borderId="23" xfId="420" applyNumberFormat="1" applyFont="1" applyBorder="1">
      <alignment vertical="center"/>
    </xf>
    <xf numFmtId="206" fontId="216" fillId="34" borderId="184" xfId="0" applyNumberFormat="1" applyFont="1" applyFill="1" applyBorder="1" applyAlignment="1" applyProtection="1">
      <alignment vertical="center" shrinkToFit="1"/>
      <protection hidden="1"/>
    </xf>
    <xf numFmtId="206" fontId="187" fillId="34" borderId="292" xfId="0" applyNumberFormat="1" applyFont="1" applyFill="1" applyBorder="1" applyAlignment="1" applyProtection="1">
      <alignment horizontal="left" vertical="center"/>
      <protection hidden="1"/>
    </xf>
    <xf numFmtId="0" fontId="0" fillId="34" borderId="299" xfId="0" applyFill="1" applyBorder="1" applyProtection="1">
      <alignment vertical="center"/>
      <protection hidden="1"/>
    </xf>
    <xf numFmtId="0" fontId="155" fillId="34" borderId="300" xfId="0" applyFont="1" applyFill="1" applyBorder="1" applyAlignment="1" applyProtection="1">
      <alignment horizontal="right" vertical="center"/>
      <protection hidden="1"/>
    </xf>
    <xf numFmtId="0" fontId="215" fillId="34" borderId="250" xfId="0" applyFont="1" applyFill="1" applyBorder="1" applyAlignment="1" applyProtection="1">
      <alignment horizontal="center" vertical="center"/>
      <protection hidden="1"/>
    </xf>
    <xf numFmtId="0" fontId="215" fillId="34" borderId="0" xfId="0" applyFont="1" applyFill="1" applyAlignment="1" applyProtection="1">
      <alignment horizontal="center" vertical="center"/>
      <protection hidden="1"/>
    </xf>
    <xf numFmtId="0" fontId="215" fillId="34" borderId="219" xfId="0" applyFont="1" applyFill="1" applyBorder="1" applyAlignment="1" applyProtection="1">
      <alignment horizontal="center" vertical="center"/>
      <protection hidden="1"/>
    </xf>
    <xf numFmtId="0" fontId="293" fillId="0" borderId="0" xfId="0" applyFont="1" applyProtection="1">
      <alignment vertical="center"/>
      <protection hidden="1"/>
    </xf>
    <xf numFmtId="0" fontId="278" fillId="34" borderId="0" xfId="0" applyFont="1" applyFill="1" applyAlignment="1" applyProtection="1">
      <alignment horizontal="center" vertical="center"/>
      <protection hidden="1"/>
    </xf>
    <xf numFmtId="0" fontId="278" fillId="34" borderId="219" xfId="0" applyFont="1" applyFill="1" applyBorder="1" applyAlignment="1" applyProtection="1">
      <alignment horizontal="center" vertical="center"/>
      <protection hidden="1"/>
    </xf>
    <xf numFmtId="206" fontId="217" fillId="79" borderId="185" xfId="420" applyNumberFormat="1" applyFont="1" applyFill="1" applyBorder="1" applyAlignment="1" applyProtection="1">
      <alignment horizontal="center" vertical="center" shrinkToFit="1"/>
      <protection hidden="1"/>
    </xf>
    <xf numFmtId="207" fontId="216" fillId="79" borderId="186" xfId="420" applyNumberFormat="1" applyFont="1" applyFill="1" applyBorder="1" applyAlignment="1" applyProtection="1">
      <alignment horizontal="right" vertical="center" shrinkToFit="1"/>
      <protection hidden="1"/>
    </xf>
    <xf numFmtId="207" fontId="216" fillId="79" borderId="184" xfId="420" applyNumberFormat="1" applyFont="1" applyFill="1" applyBorder="1" applyAlignment="1" applyProtection="1">
      <alignment horizontal="right" vertical="center" shrinkToFit="1"/>
      <protection hidden="1"/>
    </xf>
    <xf numFmtId="0" fontId="175" fillId="34" borderId="0" xfId="425" applyFont="1" applyFill="1" applyAlignment="1" applyProtection="1">
      <alignment horizontal="right" vertical="top"/>
      <protection hidden="1"/>
    </xf>
    <xf numFmtId="0" fontId="106" fillId="34" borderId="0" xfId="425" applyFont="1" applyFill="1" applyAlignment="1" applyProtection="1">
      <alignment horizontal="left" vertical="center"/>
      <protection hidden="1"/>
    </xf>
    <xf numFmtId="0" fontId="306" fillId="34" borderId="0" xfId="425" applyFont="1" applyFill="1" applyAlignment="1" applyProtection="1">
      <alignment horizontal="left" vertical="center"/>
      <protection hidden="1"/>
    </xf>
    <xf numFmtId="178" fontId="0" fillId="34" borderId="0" xfId="0" applyNumberFormat="1" applyFill="1">
      <alignment vertical="center"/>
    </xf>
    <xf numFmtId="178" fontId="0" fillId="34" borderId="0" xfId="0" applyNumberFormat="1" applyFill="1" applyProtection="1">
      <alignment vertical="center"/>
      <protection hidden="1"/>
    </xf>
    <xf numFmtId="178" fontId="0" fillId="53" borderId="0" xfId="0" applyNumberFormat="1" applyFill="1" applyProtection="1">
      <alignment vertical="center"/>
      <protection hidden="1"/>
    </xf>
    <xf numFmtId="0" fontId="94" fillId="0" borderId="0" xfId="0" applyFont="1" applyAlignment="1">
      <alignment horizontal="center" vertical="center"/>
    </xf>
    <xf numFmtId="204" fontId="93" fillId="0" borderId="0" xfId="0" applyNumberFormat="1" applyFont="1">
      <alignment vertical="center"/>
    </xf>
    <xf numFmtId="190" fontId="60" fillId="0" borderId="0" xfId="420" applyNumberFormat="1" applyFont="1" applyFill="1">
      <alignment vertical="center"/>
    </xf>
    <xf numFmtId="44" fontId="60" fillId="0" borderId="0" xfId="0" applyNumberFormat="1" applyFont="1">
      <alignment vertical="center"/>
    </xf>
    <xf numFmtId="0" fontId="0" fillId="86" borderId="0" xfId="0" applyFill="1">
      <alignment vertical="center"/>
    </xf>
    <xf numFmtId="14" fontId="49" fillId="0" borderId="11" xfId="0" applyNumberFormat="1" applyFont="1" applyBorder="1" applyAlignment="1">
      <alignment horizontal="right" vertical="center"/>
    </xf>
    <xf numFmtId="0" fontId="0" fillId="85" borderId="17" xfId="0" applyFill="1" applyBorder="1">
      <alignment vertical="center"/>
    </xf>
    <xf numFmtId="0" fontId="0" fillId="53" borderId="19" xfId="0" applyFill="1" applyBorder="1">
      <alignment vertical="center"/>
    </xf>
    <xf numFmtId="0" fontId="0" fillId="53" borderId="23" xfId="0" applyFill="1" applyBorder="1">
      <alignment vertical="center"/>
    </xf>
    <xf numFmtId="0" fontId="232" fillId="37" borderId="23" xfId="0" applyFont="1" applyFill="1" applyBorder="1">
      <alignment vertical="center"/>
    </xf>
    <xf numFmtId="218" fontId="0" fillId="0" borderId="0" xfId="0" applyNumberFormat="1">
      <alignment vertical="center"/>
    </xf>
    <xf numFmtId="188" fontId="177" fillId="0" borderId="10" xfId="430" applyNumberFormat="1" applyFont="1" applyBorder="1" applyAlignment="1">
      <alignment horizontal="center" vertical="center" wrapText="1"/>
    </xf>
    <xf numFmtId="0" fontId="177" fillId="0" borderId="0" xfId="0" applyFont="1">
      <alignment vertical="center"/>
    </xf>
    <xf numFmtId="0" fontId="81" fillId="0" borderId="0" xfId="0" applyFont="1">
      <alignment vertical="center"/>
    </xf>
    <xf numFmtId="0" fontId="177" fillId="0" borderId="0" xfId="0" applyFont="1" applyProtection="1">
      <alignment vertical="center"/>
      <protection hidden="1"/>
    </xf>
    <xf numFmtId="0" fontId="177" fillId="0" borderId="0" xfId="0" applyFont="1" applyAlignment="1" applyProtection="1">
      <alignment horizontal="center" vertical="center"/>
      <protection hidden="1"/>
    </xf>
    <xf numFmtId="0" fontId="177" fillId="0" borderId="0" xfId="0" applyFont="1" applyAlignment="1"/>
    <xf numFmtId="0" fontId="177" fillId="0" borderId="0" xfId="428" applyFont="1">
      <alignment vertical="center"/>
    </xf>
    <xf numFmtId="0" fontId="177" fillId="0" borderId="0" xfId="428" applyFont="1" applyAlignment="1">
      <alignment horizontal="center" vertical="center"/>
    </xf>
    <xf numFmtId="0" fontId="177" fillId="0" borderId="0" xfId="0" applyFont="1" applyAlignment="1">
      <alignment horizontal="center" vertical="center"/>
    </xf>
    <xf numFmtId="0" fontId="177" fillId="0" borderId="0" xfId="428" applyFont="1" applyProtection="1">
      <alignment vertical="center"/>
      <protection hidden="1"/>
    </xf>
    <xf numFmtId="0" fontId="177" fillId="0" borderId="0" xfId="428" applyFont="1" applyAlignment="1" applyProtection="1">
      <alignment horizontal="center" vertical="center"/>
      <protection hidden="1"/>
    </xf>
    <xf numFmtId="179" fontId="177" fillId="0" borderId="0" xfId="423" applyNumberFormat="1" applyFont="1" applyFill="1" applyBorder="1" applyProtection="1">
      <alignment vertical="center"/>
      <protection hidden="1"/>
    </xf>
    <xf numFmtId="0" fontId="177" fillId="0" borderId="0" xfId="0" applyFont="1" applyAlignment="1">
      <alignment horizontal="center"/>
    </xf>
    <xf numFmtId="179" fontId="146" fillId="0" borderId="0" xfId="422" applyNumberFormat="1" applyFont="1" applyFill="1" applyBorder="1" applyProtection="1">
      <alignment vertical="center"/>
      <protection hidden="1"/>
    </xf>
    <xf numFmtId="0" fontId="308" fillId="0" borderId="0" xfId="0" applyFont="1" applyProtection="1">
      <alignment vertical="center"/>
      <protection hidden="1"/>
    </xf>
    <xf numFmtId="0" fontId="308" fillId="0" borderId="0" xfId="0" applyFont="1" applyAlignment="1"/>
    <xf numFmtId="0" fontId="177" fillId="0" borderId="0" xfId="430" applyFont="1" applyAlignment="1"/>
    <xf numFmtId="0" fontId="177" fillId="0" borderId="0" xfId="430" applyFont="1" applyAlignment="1">
      <alignment horizontal="center"/>
    </xf>
    <xf numFmtId="0" fontId="177" fillId="0" borderId="0" xfId="411" applyFont="1" applyAlignment="1">
      <alignment vertical="center"/>
    </xf>
    <xf numFmtId="0" fontId="177" fillId="0" borderId="0" xfId="411" applyFont="1" applyAlignment="1">
      <alignment horizontal="center" vertical="center"/>
    </xf>
    <xf numFmtId="0" fontId="309" fillId="0" borderId="0" xfId="411" applyFont="1" applyAlignment="1">
      <alignment vertical="center"/>
    </xf>
    <xf numFmtId="0" fontId="308" fillId="0" borderId="0" xfId="0" applyFont="1">
      <alignment vertical="center"/>
    </xf>
    <xf numFmtId="0" fontId="225" fillId="0" borderId="0" xfId="0" applyFont="1" applyProtection="1">
      <alignment vertical="center"/>
      <protection hidden="1"/>
    </xf>
    <xf numFmtId="0" fontId="178" fillId="0" borderId="0" xfId="0" applyFont="1" applyProtection="1">
      <alignment vertical="center"/>
      <protection hidden="1"/>
    </xf>
    <xf numFmtId="0" fontId="307" fillId="0" borderId="0" xfId="0" applyFont="1">
      <alignment vertical="center"/>
    </xf>
    <xf numFmtId="0" fontId="146" fillId="0" borderId="0" xfId="0" applyFont="1">
      <alignment vertical="center"/>
    </xf>
    <xf numFmtId="0" fontId="122" fillId="0" borderId="0" xfId="0" applyFont="1" applyProtection="1">
      <alignment vertical="center"/>
      <protection hidden="1"/>
    </xf>
    <xf numFmtId="0" fontId="115" fillId="0" borderId="0" xfId="0" applyFont="1">
      <alignment vertical="center"/>
    </xf>
    <xf numFmtId="0" fontId="117" fillId="0" borderId="0" xfId="428" applyFont="1" applyProtection="1">
      <alignment vertical="center"/>
      <protection hidden="1"/>
    </xf>
    <xf numFmtId="0" fontId="307" fillId="0" borderId="0" xfId="0" applyFont="1" applyAlignment="1">
      <alignment horizontal="center" vertical="center"/>
    </xf>
    <xf numFmtId="0" fontId="307" fillId="0" borderId="0" xfId="428" applyFont="1">
      <alignment vertical="center"/>
    </xf>
    <xf numFmtId="0" fontId="307" fillId="0" borderId="0" xfId="0" applyFont="1" applyProtection="1">
      <alignment vertical="center"/>
      <protection hidden="1"/>
    </xf>
    <xf numFmtId="0" fontId="175" fillId="0" borderId="0" xfId="0" applyFont="1">
      <alignment vertical="center"/>
    </xf>
    <xf numFmtId="183" fontId="177" fillId="0" borderId="0" xfId="0" applyNumberFormat="1" applyFont="1" applyAlignment="1" applyProtection="1">
      <alignment horizontal="left" vertical="center"/>
      <protection hidden="1"/>
    </xf>
    <xf numFmtId="0" fontId="146" fillId="0" borderId="0" xfId="0" applyFont="1" applyProtection="1">
      <alignment vertical="center"/>
      <protection hidden="1"/>
    </xf>
    <xf numFmtId="0" fontId="177" fillId="37" borderId="0" xfId="0" applyFont="1" applyFill="1">
      <alignment vertical="center"/>
    </xf>
    <xf numFmtId="0" fontId="177" fillId="37" borderId="0" xfId="428" applyFont="1" applyFill="1" applyProtection="1">
      <alignment vertical="center"/>
      <protection hidden="1"/>
    </xf>
    <xf numFmtId="0" fontId="177" fillId="37" borderId="0" xfId="428" applyFont="1" applyFill="1" applyAlignment="1" applyProtection="1">
      <alignment horizontal="center" vertical="center"/>
      <protection hidden="1"/>
    </xf>
    <xf numFmtId="0" fontId="177" fillId="37" borderId="0" xfId="428" applyFont="1" applyFill="1">
      <alignment vertical="center"/>
    </xf>
    <xf numFmtId="0" fontId="177" fillId="37" borderId="0" xfId="0" applyFont="1" applyFill="1" applyProtection="1">
      <alignment vertical="center"/>
      <protection hidden="1"/>
    </xf>
    <xf numFmtId="0" fontId="308" fillId="37" borderId="0" xfId="0" applyFont="1" applyFill="1" applyProtection="1">
      <alignment vertical="center"/>
      <protection hidden="1"/>
    </xf>
    <xf numFmtId="0" fontId="146" fillId="37" borderId="0" xfId="0" applyFont="1" applyFill="1" applyProtection="1">
      <alignment vertical="center"/>
      <protection hidden="1"/>
    </xf>
    <xf numFmtId="0" fontId="308" fillId="37" borderId="0" xfId="0" applyFont="1" applyFill="1" applyAlignment="1"/>
    <xf numFmtId="0" fontId="81" fillId="37" borderId="0" xfId="0" applyFont="1" applyFill="1">
      <alignment vertical="center"/>
    </xf>
    <xf numFmtId="179" fontId="177" fillId="0" borderId="0" xfId="423" applyNumberFormat="1" applyFont="1" applyFill="1" applyBorder="1" applyAlignment="1" applyProtection="1">
      <alignment horizontal="center" vertical="center"/>
      <protection hidden="1"/>
    </xf>
    <xf numFmtId="0" fontId="146" fillId="0" borderId="0" xfId="0" applyFont="1" applyAlignment="1" applyProtection="1">
      <alignment horizontal="left" vertical="center"/>
      <protection hidden="1"/>
    </xf>
    <xf numFmtId="0" fontId="308" fillId="0" borderId="0" xfId="0" applyFont="1" applyAlignment="1">
      <alignment vertical="center" wrapText="1"/>
    </xf>
    <xf numFmtId="190" fontId="60" fillId="38" borderId="0" xfId="420" applyNumberFormat="1" applyFont="1" applyFill="1">
      <alignment vertical="center"/>
    </xf>
    <xf numFmtId="177" fontId="60" fillId="0" borderId="0" xfId="0" applyNumberFormat="1" applyFont="1">
      <alignment vertical="center"/>
    </xf>
    <xf numFmtId="0" fontId="162" fillId="0" borderId="0" xfId="0" applyFont="1" applyAlignment="1">
      <alignment horizontal="center"/>
    </xf>
    <xf numFmtId="0" fontId="162" fillId="34" borderId="0" xfId="0" applyFont="1" applyFill="1" applyAlignment="1">
      <alignment horizontal="center"/>
    </xf>
    <xf numFmtId="0" fontId="160" fillId="34" borderId="98" xfId="446" applyFont="1" applyFill="1" applyBorder="1" applyAlignment="1" applyProtection="1">
      <alignment horizontal="center" vertical="center"/>
      <protection hidden="1"/>
    </xf>
    <xf numFmtId="0" fontId="0" fillId="0" borderId="0" xfId="0" applyAlignment="1">
      <alignment horizontal="center" vertical="center"/>
    </xf>
    <xf numFmtId="0" fontId="0" fillId="0" borderId="98" xfId="0" applyBorder="1" applyAlignment="1">
      <alignment horizontal="center" vertical="center"/>
    </xf>
    <xf numFmtId="0" fontId="144" fillId="60" borderId="96" xfId="446" applyFont="1" applyFill="1" applyBorder="1" applyAlignment="1" applyProtection="1">
      <alignment horizontal="center" vertical="center"/>
      <protection hidden="1"/>
    </xf>
    <xf numFmtId="0" fontId="144" fillId="60" borderId="87" xfId="446" applyFont="1" applyFill="1" applyBorder="1" applyAlignment="1" applyProtection="1">
      <alignment horizontal="center" vertical="center"/>
      <protection hidden="1"/>
    </xf>
    <xf numFmtId="0" fontId="145" fillId="34" borderId="101" xfId="446" applyFont="1" applyFill="1" applyBorder="1" applyAlignment="1" applyProtection="1">
      <alignment horizontal="center" vertical="center"/>
      <protection hidden="1"/>
    </xf>
    <xf numFmtId="0" fontId="145" fillId="34" borderId="147" xfId="446" applyFont="1" applyFill="1" applyBorder="1" applyAlignment="1" applyProtection="1">
      <alignment horizontal="center" vertical="center"/>
      <protection hidden="1"/>
    </xf>
    <xf numFmtId="0" fontId="136" fillId="60" borderId="123" xfId="446" applyFont="1" applyFill="1" applyBorder="1" applyAlignment="1" applyProtection="1">
      <alignment horizontal="center" vertical="center"/>
      <protection hidden="1"/>
    </xf>
    <xf numFmtId="0" fontId="136" fillId="60" borderId="125" xfId="446" applyFont="1" applyFill="1" applyBorder="1" applyAlignment="1" applyProtection="1">
      <alignment horizontal="center" vertical="center"/>
      <protection hidden="1"/>
    </xf>
    <xf numFmtId="0" fontId="144" fillId="60" borderId="144" xfId="446" applyFont="1" applyFill="1" applyBorder="1" applyAlignment="1" applyProtection="1">
      <alignment horizontal="center" vertical="center"/>
      <protection hidden="1"/>
    </xf>
    <xf numFmtId="0" fontId="144" fillId="60" borderId="145" xfId="446" applyFont="1" applyFill="1" applyBorder="1" applyAlignment="1" applyProtection="1">
      <alignment horizontal="center" vertical="center"/>
      <protection hidden="1"/>
    </xf>
    <xf numFmtId="0" fontId="98" fillId="34" borderId="98" xfId="446" applyFont="1" applyFill="1" applyBorder="1" applyAlignment="1" applyProtection="1">
      <alignment horizontal="center" vertical="center" wrapText="1"/>
      <protection hidden="1"/>
    </xf>
    <xf numFmtId="0" fontId="139" fillId="0" borderId="0" xfId="446" applyFont="1" applyAlignment="1" applyProtection="1">
      <alignment horizontal="center" vertical="center" wrapText="1"/>
      <protection hidden="1"/>
    </xf>
    <xf numFmtId="0" fontId="144" fillId="60" borderId="48" xfId="446" applyFont="1" applyFill="1" applyBorder="1" applyAlignment="1" applyProtection="1">
      <alignment horizontal="center" vertical="center"/>
      <protection hidden="1"/>
    </xf>
    <xf numFmtId="0" fontId="144" fillId="60" borderId="52" xfId="446" applyFont="1" applyFill="1" applyBorder="1" applyAlignment="1" applyProtection="1">
      <alignment horizontal="center" vertical="center"/>
      <protection hidden="1"/>
    </xf>
    <xf numFmtId="0" fontId="98" fillId="34" borderId="98" xfId="446" applyFont="1" applyFill="1" applyBorder="1" applyAlignment="1" applyProtection="1">
      <alignment horizontal="left" vertical="center" wrapText="1"/>
      <protection hidden="1"/>
    </xf>
    <xf numFmtId="0" fontId="98" fillId="34" borderId="0" xfId="446" applyFont="1" applyFill="1" applyAlignment="1" applyProtection="1">
      <alignment horizontal="left" vertical="center" wrapText="1"/>
      <protection hidden="1"/>
    </xf>
    <xf numFmtId="0" fontId="98" fillId="34" borderId="87" xfId="446" applyFont="1" applyFill="1" applyBorder="1" applyAlignment="1" applyProtection="1">
      <alignment horizontal="left" vertical="center" wrapText="1"/>
      <protection hidden="1"/>
    </xf>
    <xf numFmtId="0" fontId="193" fillId="34" borderId="150" xfId="446" applyFont="1" applyFill="1" applyBorder="1" applyAlignment="1" applyProtection="1">
      <alignment horizontal="center"/>
      <protection hidden="1"/>
    </xf>
    <xf numFmtId="0" fontId="193" fillId="0" borderId="152" xfId="0" applyFont="1" applyBorder="1" applyAlignment="1">
      <alignment horizontal="center"/>
    </xf>
    <xf numFmtId="0" fontId="195" fillId="53" borderId="148" xfId="446" applyFont="1" applyFill="1" applyBorder="1" applyAlignment="1" applyProtection="1">
      <alignment horizontal="left" vertical="top" wrapText="1"/>
      <protection hidden="1"/>
    </xf>
    <xf numFmtId="0" fontId="196" fillId="0" borderId="106" xfId="0" applyFont="1" applyBorder="1">
      <alignment vertical="center"/>
    </xf>
    <xf numFmtId="0" fontId="196" fillId="0" borderId="149" xfId="0" applyFont="1" applyBorder="1">
      <alignment vertical="center"/>
    </xf>
    <xf numFmtId="0" fontId="196" fillId="0" borderId="82" xfId="0" applyFont="1" applyBorder="1">
      <alignment vertical="center"/>
    </xf>
    <xf numFmtId="0" fontId="196" fillId="0" borderId="46" xfId="0" applyFont="1" applyBorder="1">
      <alignment vertical="center"/>
    </xf>
    <xf numFmtId="0" fontId="196" fillId="0" borderId="88" xfId="0" applyFont="1" applyBorder="1">
      <alignment vertical="center"/>
    </xf>
    <xf numFmtId="0" fontId="199" fillId="34" borderId="103" xfId="446" applyFont="1" applyFill="1" applyBorder="1" applyAlignment="1" applyProtection="1">
      <alignment horizontal="left" shrinkToFit="1"/>
      <protection hidden="1"/>
    </xf>
    <xf numFmtId="0" fontId="199" fillId="34" borderId="0" xfId="446" applyFont="1" applyFill="1" applyAlignment="1" applyProtection="1">
      <alignment horizontal="left" shrinkToFit="1"/>
      <protection hidden="1"/>
    </xf>
    <xf numFmtId="0" fontId="214" fillId="34" borderId="195" xfId="446" applyFont="1" applyFill="1" applyBorder="1" applyAlignment="1" applyProtection="1">
      <alignment horizontal="right"/>
      <protection hidden="1"/>
    </xf>
    <xf numFmtId="0" fontId="214" fillId="34" borderId="196" xfId="446" applyFont="1" applyFill="1" applyBorder="1" applyAlignment="1" applyProtection="1">
      <alignment horizontal="right"/>
      <protection hidden="1"/>
    </xf>
    <xf numFmtId="0" fontId="214" fillId="34" borderId="197" xfId="446" applyFont="1" applyFill="1" applyBorder="1" applyAlignment="1" applyProtection="1">
      <alignment horizontal="right"/>
      <protection hidden="1"/>
    </xf>
    <xf numFmtId="0" fontId="98" fillId="61" borderId="0" xfId="425" applyFont="1" applyFill="1" applyAlignment="1" applyProtection="1">
      <alignment horizontal="left" vertical="center" wrapText="1"/>
      <protection hidden="1"/>
    </xf>
    <xf numFmtId="0" fontId="98" fillId="34" borderId="0" xfId="425" applyFont="1" applyFill="1" applyAlignment="1" applyProtection="1">
      <alignment horizontal="left" vertical="center" wrapText="1"/>
      <protection hidden="1"/>
    </xf>
    <xf numFmtId="194" fontId="151" fillId="34" borderId="131" xfId="420" applyNumberFormat="1" applyFont="1" applyFill="1" applyBorder="1" applyAlignment="1" applyProtection="1">
      <alignment horizontal="right" vertical="center"/>
      <protection hidden="1"/>
    </xf>
    <xf numFmtId="185" fontId="151" fillId="34" borderId="131" xfId="420" applyNumberFormat="1" applyFont="1" applyFill="1" applyBorder="1" applyAlignment="1" applyProtection="1">
      <alignment horizontal="right" vertical="center"/>
      <protection hidden="1"/>
    </xf>
    <xf numFmtId="194" fontId="151" fillId="34" borderId="0" xfId="420" applyNumberFormat="1" applyFont="1" applyFill="1" applyBorder="1" applyAlignment="1" applyProtection="1">
      <alignment horizontal="right" vertical="center"/>
      <protection hidden="1"/>
    </xf>
    <xf numFmtId="185" fontId="151" fillId="34" borderId="0" xfId="420" applyNumberFormat="1" applyFont="1" applyFill="1" applyBorder="1" applyAlignment="1" applyProtection="1">
      <alignment horizontal="right" vertical="center"/>
      <protection hidden="1"/>
    </xf>
    <xf numFmtId="0" fontId="104" fillId="34" borderId="130" xfId="0" applyFont="1" applyFill="1" applyBorder="1" applyAlignment="1" applyProtection="1">
      <alignment horizontal="right" vertical="center"/>
      <protection hidden="1"/>
    </xf>
    <xf numFmtId="0" fontId="97" fillId="61" borderId="76" xfId="425" applyFont="1" applyFill="1" applyBorder="1" applyAlignment="1" applyProtection="1">
      <alignment horizontal="center" vertical="center" wrapText="1"/>
      <protection hidden="1"/>
    </xf>
    <xf numFmtId="0" fontId="97" fillId="61" borderId="65" xfId="425" applyFont="1" applyFill="1" applyBorder="1" applyAlignment="1" applyProtection="1">
      <alignment horizontal="center" vertical="center"/>
      <protection hidden="1"/>
    </xf>
    <xf numFmtId="191" fontId="65" fillId="34" borderId="77" xfId="425" applyNumberFormat="1" applyFont="1" applyFill="1" applyBorder="1" applyAlignment="1" applyProtection="1">
      <alignment horizontal="center" vertical="center"/>
      <protection hidden="1"/>
    </xf>
    <xf numFmtId="0" fontId="155" fillId="34" borderId="66" xfId="0" applyFont="1" applyFill="1" applyBorder="1" applyAlignment="1" applyProtection="1">
      <alignment horizontal="center" vertical="center"/>
      <protection hidden="1"/>
    </xf>
    <xf numFmtId="177" fontId="65" fillId="34" borderId="77" xfId="420" applyFont="1" applyFill="1" applyBorder="1" applyAlignment="1" applyProtection="1">
      <alignment horizontal="center" vertical="center"/>
      <protection hidden="1"/>
    </xf>
    <xf numFmtId="177" fontId="65" fillId="34" borderId="78" xfId="420" applyFont="1" applyFill="1" applyBorder="1" applyAlignment="1" applyProtection="1">
      <alignment horizontal="center" vertical="center"/>
      <protection hidden="1"/>
    </xf>
    <xf numFmtId="177" fontId="65" fillId="34" borderId="66" xfId="420" applyFont="1" applyFill="1" applyBorder="1" applyAlignment="1" applyProtection="1">
      <alignment horizontal="center" vertical="center"/>
      <protection hidden="1"/>
    </xf>
    <xf numFmtId="177" fontId="65" fillId="34" borderId="67" xfId="420" applyFont="1" applyFill="1" applyBorder="1" applyAlignment="1" applyProtection="1">
      <alignment horizontal="center" vertical="center"/>
      <protection hidden="1"/>
    </xf>
    <xf numFmtId="0" fontId="97" fillId="61" borderId="62" xfId="425" applyFont="1" applyFill="1" applyBorder="1" applyAlignment="1" applyProtection="1">
      <alignment horizontal="center" vertical="center" wrapText="1"/>
      <protection hidden="1"/>
    </xf>
    <xf numFmtId="14" fontId="156" fillId="34" borderId="63" xfId="425" applyNumberFormat="1" applyFont="1" applyFill="1" applyBorder="1" applyAlignment="1" applyProtection="1">
      <alignment horizontal="center" vertical="center"/>
      <protection hidden="1"/>
    </xf>
    <xf numFmtId="14" fontId="156" fillId="34" borderId="64" xfId="425" applyNumberFormat="1" applyFont="1" applyFill="1" applyBorder="1" applyAlignment="1" applyProtection="1">
      <alignment horizontal="center" vertical="center"/>
      <protection hidden="1"/>
    </xf>
    <xf numFmtId="192" fontId="65" fillId="34" borderId="66" xfId="425" applyNumberFormat="1" applyFont="1" applyFill="1" applyBorder="1" applyAlignment="1" applyProtection="1">
      <alignment horizontal="center" vertical="center"/>
      <protection hidden="1"/>
    </xf>
    <xf numFmtId="192" fontId="65" fillId="34" borderId="67" xfId="425" applyNumberFormat="1" applyFont="1" applyFill="1" applyBorder="1" applyAlignment="1" applyProtection="1">
      <alignment horizontal="center" vertical="center"/>
      <protection hidden="1"/>
    </xf>
    <xf numFmtId="191" fontId="156" fillId="34" borderId="0" xfId="425" applyNumberFormat="1" applyFont="1" applyFill="1" applyAlignment="1" applyProtection="1">
      <alignment horizontal="center" vertical="center"/>
      <protection hidden="1"/>
    </xf>
    <xf numFmtId="0" fontId="157" fillId="34" borderId="111" xfId="0" applyFont="1" applyFill="1" applyBorder="1" applyAlignment="1" applyProtection="1">
      <alignment horizontal="center" vertical="center"/>
      <protection hidden="1"/>
    </xf>
    <xf numFmtId="177" fontId="156" fillId="34" borderId="0" xfId="420" applyFont="1" applyFill="1" applyBorder="1" applyAlignment="1" applyProtection="1">
      <alignment horizontal="center" vertical="center"/>
      <protection hidden="1"/>
    </xf>
    <xf numFmtId="177" fontId="156" fillId="34" borderId="87" xfId="420" applyFont="1" applyFill="1" applyBorder="1" applyAlignment="1" applyProtection="1">
      <alignment horizontal="center" vertical="center"/>
      <protection hidden="1"/>
    </xf>
    <xf numFmtId="177" fontId="156" fillId="34" borderId="111" xfId="420" applyFont="1" applyFill="1" applyBorder="1" applyAlignment="1" applyProtection="1">
      <alignment horizontal="center" vertical="center"/>
      <protection hidden="1"/>
    </xf>
    <xf numFmtId="177" fontId="156" fillId="34" borderId="112" xfId="420" applyFont="1" applyFill="1" applyBorder="1" applyAlignment="1" applyProtection="1">
      <alignment horizontal="center" vertical="center"/>
      <protection hidden="1"/>
    </xf>
    <xf numFmtId="0" fontId="97" fillId="61" borderId="62" xfId="425" applyFont="1" applyFill="1" applyBorder="1" applyAlignment="1" applyProtection="1">
      <alignment horizontal="center" vertical="center"/>
      <protection hidden="1"/>
    </xf>
    <xf numFmtId="178" fontId="158" fillId="34" borderId="63" xfId="422" applyNumberFormat="1" applyFont="1" applyFill="1" applyBorder="1" applyAlignment="1" applyProtection="1">
      <alignment horizontal="center" vertical="center"/>
      <protection hidden="1"/>
    </xf>
    <xf numFmtId="178" fontId="158" fillId="34" borderId="64" xfId="422" applyNumberFormat="1" applyFont="1" applyFill="1" applyBorder="1" applyAlignment="1" applyProtection="1">
      <alignment horizontal="center" vertical="center"/>
      <protection hidden="1"/>
    </xf>
    <xf numFmtId="0" fontId="97" fillId="61" borderId="79" xfId="425" applyFont="1" applyFill="1" applyBorder="1" applyAlignment="1" applyProtection="1">
      <alignment horizontal="center" vertical="center" wrapText="1"/>
      <protection hidden="1"/>
    </xf>
    <xf numFmtId="0" fontId="97" fillId="61" borderId="73" xfId="425" applyFont="1" applyFill="1" applyBorder="1" applyAlignment="1" applyProtection="1">
      <alignment horizontal="center" vertical="center" wrapText="1"/>
      <protection hidden="1"/>
    </xf>
    <xf numFmtId="191" fontId="156" fillId="34" borderId="80" xfId="425" applyNumberFormat="1" applyFont="1" applyFill="1" applyBorder="1" applyAlignment="1" applyProtection="1">
      <alignment horizontal="center" vertical="center"/>
      <protection hidden="1"/>
    </xf>
    <xf numFmtId="0" fontId="157" fillId="34" borderId="74" xfId="0" applyFont="1" applyFill="1" applyBorder="1" applyAlignment="1" applyProtection="1">
      <alignment horizontal="center" vertical="center"/>
      <protection hidden="1"/>
    </xf>
    <xf numFmtId="177" fontId="156" fillId="34" borderId="80" xfId="420" applyFont="1" applyFill="1" applyBorder="1" applyAlignment="1" applyProtection="1">
      <alignment horizontal="center" vertical="center"/>
      <protection hidden="1"/>
    </xf>
    <xf numFmtId="177" fontId="156" fillId="34" borderId="81" xfId="420" applyFont="1" applyFill="1" applyBorder="1" applyAlignment="1" applyProtection="1">
      <alignment horizontal="center" vertical="center"/>
      <protection hidden="1"/>
    </xf>
    <xf numFmtId="177" fontId="156" fillId="34" borderId="74" xfId="420" applyFont="1" applyFill="1" applyBorder="1" applyAlignment="1" applyProtection="1">
      <alignment horizontal="center" vertical="center"/>
      <protection hidden="1"/>
    </xf>
    <xf numFmtId="177" fontId="156" fillId="34" borderId="75" xfId="420" applyFont="1" applyFill="1" applyBorder="1" applyAlignment="1" applyProtection="1">
      <alignment horizontal="center" vertical="center"/>
      <protection hidden="1"/>
    </xf>
    <xf numFmtId="192" fontId="65" fillId="34" borderId="63" xfId="425" applyNumberFormat="1" applyFont="1" applyFill="1" applyBorder="1" applyAlignment="1" applyProtection="1">
      <alignment horizontal="center" vertical="center"/>
      <protection hidden="1"/>
    </xf>
    <xf numFmtId="192" fontId="65" fillId="34" borderId="64" xfId="425" applyNumberFormat="1" applyFont="1" applyFill="1" applyBorder="1" applyAlignment="1" applyProtection="1">
      <alignment horizontal="center" vertical="center"/>
      <protection hidden="1"/>
    </xf>
    <xf numFmtId="0" fontId="97" fillId="61" borderId="86" xfId="425" applyFont="1" applyFill="1" applyBorder="1" applyAlignment="1" applyProtection="1">
      <alignment horizontal="center" vertical="center" wrapText="1"/>
      <protection hidden="1"/>
    </xf>
    <xf numFmtId="0" fontId="97" fillId="61" borderId="110" xfId="425" applyFont="1" applyFill="1" applyBorder="1" applyAlignment="1" applyProtection="1">
      <alignment horizontal="center" vertical="center" wrapText="1"/>
      <protection hidden="1"/>
    </xf>
    <xf numFmtId="0" fontId="199" fillId="34" borderId="46" xfId="425" applyFont="1" applyFill="1" applyBorder="1" applyAlignment="1" applyProtection="1">
      <alignment horizontal="left" wrapText="1"/>
      <protection hidden="1"/>
    </xf>
    <xf numFmtId="0" fontId="159" fillId="34" borderId="0" xfId="425" applyFont="1" applyFill="1" applyAlignment="1" applyProtection="1">
      <alignment horizontal="center" vertical="center"/>
      <protection hidden="1"/>
    </xf>
    <xf numFmtId="0" fontId="0" fillId="0" borderId="0" xfId="0">
      <alignment vertical="center"/>
    </xf>
    <xf numFmtId="0" fontId="50" fillId="34" borderId="0" xfId="425" applyFont="1" applyFill="1" applyAlignment="1" applyProtection="1">
      <alignment horizontal="center" vertical="center" wrapText="1"/>
      <protection hidden="1"/>
    </xf>
    <xf numFmtId="0" fontId="154" fillId="60" borderId="53" xfId="425" applyFont="1" applyFill="1" applyBorder="1" applyAlignment="1" applyProtection="1">
      <alignment horizontal="center" vertical="center"/>
      <protection hidden="1"/>
    </xf>
    <xf numFmtId="0" fontId="154" fillId="60" borderId="54" xfId="425" applyFont="1" applyFill="1" applyBorder="1" applyAlignment="1" applyProtection="1">
      <alignment horizontal="center" vertical="center"/>
      <protection hidden="1"/>
    </xf>
    <xf numFmtId="0" fontId="154" fillId="60" borderId="55" xfId="425" applyFont="1" applyFill="1" applyBorder="1" applyAlignment="1" applyProtection="1">
      <alignment horizontal="center" vertical="center"/>
      <protection hidden="1"/>
    </xf>
    <xf numFmtId="0" fontId="154" fillId="60" borderId="56" xfId="425" applyFont="1" applyFill="1" applyBorder="1" applyAlignment="1" applyProtection="1">
      <alignment horizontal="center" vertical="center"/>
      <protection hidden="1"/>
    </xf>
    <xf numFmtId="0" fontId="154" fillId="60" borderId="57" xfId="425" applyFont="1" applyFill="1" applyBorder="1" applyAlignment="1" applyProtection="1">
      <alignment horizontal="center" vertical="center"/>
      <protection hidden="1"/>
    </xf>
    <xf numFmtId="0" fontId="154" fillId="60" borderId="58" xfId="425" applyFont="1" applyFill="1" applyBorder="1" applyAlignment="1" applyProtection="1">
      <alignment horizontal="center" vertical="center"/>
      <protection hidden="1"/>
    </xf>
    <xf numFmtId="0" fontId="154" fillId="60" borderId="51" xfId="425" applyFont="1" applyFill="1" applyBorder="1" applyAlignment="1" applyProtection="1">
      <alignment horizontal="center" vertical="center" wrapText="1"/>
      <protection hidden="1"/>
    </xf>
    <xf numFmtId="0" fontId="154" fillId="60" borderId="48" xfId="425" applyFont="1" applyFill="1" applyBorder="1" applyAlignment="1" applyProtection="1">
      <alignment horizontal="center" vertical="center" wrapText="1"/>
      <protection hidden="1"/>
    </xf>
    <xf numFmtId="0" fontId="154" fillId="60" borderId="52" xfId="425" applyFont="1" applyFill="1" applyBorder="1" applyAlignment="1" applyProtection="1">
      <alignment horizontal="center" vertical="center" wrapText="1"/>
      <protection hidden="1"/>
    </xf>
    <xf numFmtId="0" fontId="154" fillId="60" borderId="69" xfId="425" applyFont="1" applyFill="1" applyBorder="1" applyAlignment="1" applyProtection="1">
      <alignment horizontal="center" vertical="center" wrapText="1"/>
      <protection hidden="1"/>
    </xf>
    <xf numFmtId="0" fontId="154" fillId="60" borderId="15" xfId="425" applyFont="1" applyFill="1" applyBorder="1" applyAlignment="1" applyProtection="1">
      <alignment horizontal="center" vertical="center" wrapText="1"/>
      <protection hidden="1"/>
    </xf>
    <xf numFmtId="0" fontId="154" fillId="60" borderId="70" xfId="425" applyFont="1" applyFill="1" applyBorder="1" applyAlignment="1" applyProtection="1">
      <alignment horizontal="center" vertical="center" wrapText="1"/>
      <protection hidden="1"/>
    </xf>
    <xf numFmtId="0" fontId="97" fillId="61" borderId="59" xfId="425" applyFont="1" applyFill="1" applyBorder="1" applyAlignment="1" applyProtection="1">
      <alignment horizontal="center" vertical="center"/>
      <protection hidden="1"/>
    </xf>
    <xf numFmtId="0" fontId="97" fillId="61" borderId="73" xfId="425" applyFont="1" applyFill="1" applyBorder="1" applyAlignment="1" applyProtection="1">
      <alignment horizontal="center" vertical="center"/>
      <protection hidden="1"/>
    </xf>
    <xf numFmtId="191" fontId="65" fillId="34" borderId="60" xfId="425" applyNumberFormat="1" applyFont="1" applyFill="1" applyBorder="1" applyAlignment="1" applyProtection="1">
      <alignment horizontal="center" vertical="center"/>
      <protection hidden="1"/>
    </xf>
    <xf numFmtId="0" fontId="155" fillId="34" borderId="74" xfId="0" applyFont="1" applyFill="1" applyBorder="1" applyAlignment="1" applyProtection="1">
      <alignment horizontal="center" vertical="center"/>
      <protection hidden="1"/>
    </xf>
    <xf numFmtId="190" fontId="65" fillId="34" borderId="60" xfId="420" applyNumberFormat="1" applyFont="1" applyFill="1" applyBorder="1" applyAlignment="1" applyProtection="1">
      <alignment horizontal="center" vertical="center"/>
      <protection hidden="1"/>
    </xf>
    <xf numFmtId="190" fontId="65" fillId="34" borderId="61" xfId="420" applyNumberFormat="1" applyFont="1" applyFill="1" applyBorder="1" applyAlignment="1" applyProtection="1">
      <alignment horizontal="center" vertical="center"/>
      <protection hidden="1"/>
    </xf>
    <xf numFmtId="190" fontId="65" fillId="34" borderId="74" xfId="420" applyNumberFormat="1" applyFont="1" applyFill="1" applyBorder="1" applyAlignment="1" applyProtection="1">
      <alignment horizontal="center" vertical="center"/>
      <protection hidden="1"/>
    </xf>
    <xf numFmtId="190" fontId="65" fillId="34" borderId="75" xfId="420" applyNumberFormat="1" applyFont="1" applyFill="1" applyBorder="1" applyAlignment="1" applyProtection="1">
      <alignment horizontal="center" vertical="center"/>
      <protection hidden="1"/>
    </xf>
    <xf numFmtId="0" fontId="97" fillId="61" borderId="71" xfId="425" applyFont="1" applyFill="1" applyBorder="1" applyAlignment="1" applyProtection="1">
      <alignment horizontal="center" vertical="center"/>
      <protection hidden="1"/>
    </xf>
    <xf numFmtId="0" fontId="65" fillId="34" borderId="68" xfId="425" applyFont="1" applyFill="1" applyBorder="1" applyAlignment="1" applyProtection="1">
      <alignment horizontal="center" vertical="center"/>
      <protection hidden="1"/>
    </xf>
    <xf numFmtId="0" fontId="65" fillId="34" borderId="72" xfId="425" applyFont="1" applyFill="1" applyBorder="1" applyAlignment="1" applyProtection="1">
      <alignment horizontal="center" vertical="center"/>
      <protection hidden="1"/>
    </xf>
    <xf numFmtId="0" fontId="65" fillId="34" borderId="63" xfId="425" applyFont="1" applyFill="1" applyBorder="1" applyAlignment="1" applyProtection="1">
      <alignment horizontal="center" vertical="center"/>
      <protection hidden="1"/>
    </xf>
    <xf numFmtId="0" fontId="65" fillId="34" borderId="64" xfId="425" applyFont="1" applyFill="1" applyBorder="1" applyAlignment="1" applyProtection="1">
      <alignment horizontal="center" vertical="center"/>
      <protection hidden="1"/>
    </xf>
    <xf numFmtId="181" fontId="150" fillId="61" borderId="0" xfId="420" applyNumberFormat="1" applyFont="1" applyFill="1" applyBorder="1" applyAlignment="1" applyProtection="1">
      <alignment horizontal="center" vertical="center"/>
      <protection locked="0"/>
    </xf>
    <xf numFmtId="178" fontId="150" fillId="34" borderId="0" xfId="422" applyNumberFormat="1" applyFont="1" applyFill="1" applyBorder="1" applyAlignment="1" applyProtection="1">
      <alignment horizontal="center" vertical="center"/>
      <protection hidden="1"/>
    </xf>
    <xf numFmtId="181" fontId="150" fillId="61" borderId="46" xfId="420" applyNumberFormat="1" applyFont="1" applyFill="1" applyBorder="1" applyAlignment="1" applyProtection="1">
      <alignment horizontal="center" vertical="center"/>
      <protection locked="0"/>
    </xf>
    <xf numFmtId="178" fontId="150" fillId="34" borderId="46" xfId="422" applyNumberFormat="1" applyFont="1" applyFill="1" applyBorder="1" applyAlignment="1" applyProtection="1">
      <alignment horizontal="center" vertical="center"/>
      <protection hidden="1"/>
    </xf>
    <xf numFmtId="0" fontId="194" fillId="54" borderId="48" xfId="411" applyFont="1" applyFill="1" applyBorder="1" applyAlignment="1" applyProtection="1">
      <alignment horizontal="left" vertical="center" wrapText="1"/>
      <protection hidden="1"/>
    </xf>
    <xf numFmtId="0" fontId="157" fillId="0" borderId="48" xfId="0" applyFont="1" applyBorder="1" applyAlignment="1">
      <alignment horizontal="left" vertical="center"/>
    </xf>
    <xf numFmtId="0" fontId="157" fillId="0" borderId="0" xfId="0" applyFont="1" applyAlignment="1">
      <alignment horizontal="left" vertical="center"/>
    </xf>
    <xf numFmtId="0" fontId="197" fillId="0" borderId="48" xfId="0" applyFont="1" applyBorder="1" applyAlignment="1">
      <alignment horizontal="left" vertical="center" wrapText="1"/>
    </xf>
    <xf numFmtId="0" fontId="192" fillId="0" borderId="48" xfId="0" applyFont="1" applyBorder="1" applyAlignment="1">
      <alignment horizontal="left" vertical="center"/>
    </xf>
    <xf numFmtId="0" fontId="192" fillId="0" borderId="0" xfId="0" applyFont="1" applyAlignment="1">
      <alignment horizontal="left" vertical="center"/>
    </xf>
    <xf numFmtId="0" fontId="113" fillId="60" borderId="47" xfId="0" applyFont="1" applyFill="1" applyBorder="1" applyAlignment="1" applyProtection="1">
      <alignment horizontal="center" vertical="center"/>
      <protection hidden="1"/>
    </xf>
    <xf numFmtId="0" fontId="113" fillId="60" borderId="89" xfId="0" applyFont="1" applyFill="1" applyBorder="1" applyAlignment="1" applyProtection="1">
      <alignment horizontal="center" vertical="center"/>
      <protection hidden="1"/>
    </xf>
    <xf numFmtId="0" fontId="113" fillId="60" borderId="50" xfId="0" applyFont="1" applyFill="1" applyBorder="1" applyAlignment="1" applyProtection="1">
      <alignment horizontal="center" vertical="center"/>
      <protection hidden="1"/>
    </xf>
    <xf numFmtId="181" fontId="150" fillId="61" borderId="48" xfId="420" applyNumberFormat="1" applyFont="1" applyFill="1" applyBorder="1" applyAlignment="1" applyProtection="1">
      <alignment horizontal="center" vertical="center"/>
      <protection locked="0"/>
    </xf>
    <xf numFmtId="178" fontId="150" fillId="0" borderId="48" xfId="422" applyNumberFormat="1" applyFont="1" applyFill="1" applyBorder="1" applyAlignment="1" applyProtection="1">
      <alignment horizontal="center" vertical="center"/>
      <protection hidden="1"/>
    </xf>
    <xf numFmtId="0" fontId="97" fillId="61" borderId="107" xfId="425" applyFont="1" applyFill="1" applyBorder="1" applyAlignment="1" applyProtection="1">
      <alignment horizontal="center" vertical="center" wrapText="1"/>
      <protection hidden="1"/>
    </xf>
    <xf numFmtId="191" fontId="156" fillId="34" borderId="108" xfId="425" applyNumberFormat="1" applyFont="1" applyFill="1" applyBorder="1" applyAlignment="1" applyProtection="1">
      <alignment horizontal="center" vertical="center"/>
      <protection hidden="1"/>
    </xf>
    <xf numFmtId="0" fontId="157" fillId="34" borderId="0" xfId="0" applyFont="1" applyFill="1" applyAlignment="1" applyProtection="1">
      <alignment horizontal="center" vertical="center"/>
      <protection hidden="1"/>
    </xf>
    <xf numFmtId="177" fontId="156" fillId="34" borderId="108" xfId="420" applyFont="1" applyFill="1" applyBorder="1" applyAlignment="1" applyProtection="1">
      <alignment horizontal="center" vertical="center"/>
      <protection hidden="1"/>
    </xf>
    <xf numFmtId="177" fontId="156" fillId="34" borderId="109" xfId="420" applyFont="1" applyFill="1" applyBorder="1" applyAlignment="1" applyProtection="1">
      <alignment horizontal="center" vertical="center"/>
      <protection hidden="1"/>
    </xf>
    <xf numFmtId="0" fontId="173" fillId="34" borderId="0" xfId="425" applyFont="1" applyFill="1" applyAlignment="1" applyProtection="1">
      <alignment horizontal="center"/>
      <protection hidden="1"/>
    </xf>
    <xf numFmtId="0" fontId="135" fillId="34" borderId="0" xfId="425" applyFont="1" applyFill="1" applyAlignment="1" applyProtection="1">
      <alignment horizontal="center" vertical="center"/>
      <protection hidden="1"/>
    </xf>
    <xf numFmtId="0" fontId="201" fillId="34" borderId="0" xfId="425" applyFont="1" applyFill="1" applyAlignment="1" applyProtection="1">
      <alignment horizontal="left" vertical="center" shrinkToFit="1"/>
      <protection hidden="1"/>
    </xf>
    <xf numFmtId="0" fontId="256" fillId="34" borderId="292" xfId="0" applyFont="1" applyFill="1" applyBorder="1" applyAlignment="1" applyProtection="1">
      <alignment horizontal="right" vertical="center"/>
      <protection hidden="1"/>
    </xf>
    <xf numFmtId="0" fontId="156" fillId="34" borderId="0" xfId="0" applyFont="1" applyFill="1" applyAlignment="1" applyProtection="1">
      <alignment horizontal="center" vertical="center"/>
      <protection hidden="1"/>
    </xf>
    <xf numFmtId="0" fontId="0" fillId="0" borderId="0" xfId="0" applyProtection="1">
      <alignment vertical="center"/>
      <protection hidden="1"/>
    </xf>
    <xf numFmtId="0" fontId="288" fillId="34" borderId="215" xfId="0" applyFont="1" applyFill="1" applyBorder="1" applyAlignment="1" applyProtection="1">
      <alignment horizontal="center" vertical="center"/>
      <protection hidden="1"/>
    </xf>
    <xf numFmtId="0" fontId="289" fillId="0" borderId="215" xfId="0" applyFont="1" applyBorder="1" applyAlignment="1" applyProtection="1">
      <alignment horizontal="center" vertical="center"/>
      <protection hidden="1"/>
    </xf>
    <xf numFmtId="0" fontId="287" fillId="34" borderId="132" xfId="0" applyFont="1" applyFill="1" applyBorder="1" applyAlignment="1" applyProtection="1">
      <alignment horizontal="center" vertical="center"/>
      <protection hidden="1"/>
    </xf>
    <xf numFmtId="0" fontId="266" fillId="0" borderId="132" xfId="0" applyFont="1" applyBorder="1" applyAlignment="1" applyProtection="1">
      <alignment horizontal="center" vertical="center"/>
      <protection hidden="1"/>
    </xf>
    <xf numFmtId="0" fontId="162" fillId="34" borderId="282" xfId="0" applyFont="1" applyFill="1" applyBorder="1" applyAlignment="1" applyProtection="1">
      <alignment horizontal="center" vertical="center"/>
      <protection hidden="1"/>
    </xf>
    <xf numFmtId="0" fontId="293" fillId="0" borderId="57" xfId="0" applyFont="1" applyBorder="1" applyAlignment="1">
      <alignment horizontal="center" vertical="center"/>
    </xf>
    <xf numFmtId="0" fontId="293" fillId="0" borderId="234" xfId="0" applyFont="1" applyBorder="1" applyAlignment="1">
      <alignment horizontal="center" vertical="center"/>
    </xf>
    <xf numFmtId="190" fontId="157" fillId="34" borderId="0" xfId="420" applyNumberFormat="1" applyFont="1" applyFill="1" applyBorder="1" applyAlignment="1" applyProtection="1">
      <alignment horizontal="right" vertical="center" shrinkToFit="1"/>
      <protection hidden="1"/>
    </xf>
    <xf numFmtId="178" fontId="156" fillId="34" borderId="286" xfId="422" applyNumberFormat="1" applyFont="1" applyFill="1" applyBorder="1" applyAlignment="1" applyProtection="1">
      <alignment horizontal="center" vertical="center"/>
      <protection hidden="1"/>
    </xf>
    <xf numFmtId="178" fontId="215" fillId="34" borderId="290" xfId="422" applyNumberFormat="1" applyFont="1" applyFill="1" applyBorder="1" applyAlignment="1" applyProtection="1">
      <alignment horizontal="center" vertical="center"/>
      <protection hidden="1"/>
    </xf>
    <xf numFmtId="178" fontId="215" fillId="34" borderId="217" xfId="422" applyNumberFormat="1" applyFont="1" applyFill="1" applyBorder="1" applyAlignment="1" applyProtection="1">
      <alignment horizontal="center" vertical="center"/>
      <protection hidden="1"/>
    </xf>
    <xf numFmtId="177" fontId="156" fillId="34" borderId="286" xfId="420" applyFont="1" applyFill="1" applyBorder="1" applyAlignment="1" applyProtection="1">
      <alignment horizontal="center" vertical="center"/>
      <protection hidden="1"/>
    </xf>
    <xf numFmtId="2" fontId="215" fillId="34" borderId="290" xfId="0" applyNumberFormat="1" applyFont="1" applyFill="1" applyBorder="1" applyAlignment="1" applyProtection="1">
      <alignment horizontal="center" vertical="center"/>
      <protection hidden="1"/>
    </xf>
    <xf numFmtId="0" fontId="215" fillId="34" borderId="217" xfId="0" applyFont="1" applyFill="1" applyBorder="1" applyAlignment="1" applyProtection="1">
      <alignment horizontal="center" vertical="center"/>
      <protection hidden="1"/>
    </xf>
    <xf numFmtId="0" fontId="157" fillId="34" borderId="0" xfId="0" applyFont="1" applyFill="1" applyAlignment="1" applyProtection="1">
      <alignment horizontal="center" vertical="center" shrinkToFit="1"/>
      <protection hidden="1"/>
    </xf>
    <xf numFmtId="178" fontId="157" fillId="34" borderId="0" xfId="422" applyNumberFormat="1" applyFont="1" applyFill="1" applyBorder="1" applyAlignment="1" applyProtection="1">
      <alignment horizontal="center" vertical="center" shrinkToFit="1"/>
      <protection hidden="1"/>
    </xf>
    <xf numFmtId="0" fontId="155" fillId="34" borderId="0" xfId="0" applyFont="1" applyFill="1" applyAlignment="1" applyProtection="1">
      <alignment horizontal="center" vertical="center"/>
      <protection hidden="1"/>
    </xf>
    <xf numFmtId="178" fontId="239" fillId="34" borderId="0" xfId="422" applyNumberFormat="1" applyFont="1" applyFill="1" applyBorder="1" applyAlignment="1" applyProtection="1">
      <alignment horizontal="center" vertical="center"/>
      <protection hidden="1"/>
    </xf>
    <xf numFmtId="2" fontId="156" fillId="34" borderId="287" xfId="0" applyNumberFormat="1" applyFont="1" applyFill="1" applyBorder="1" applyAlignment="1" applyProtection="1">
      <alignment horizontal="center" vertical="center"/>
      <protection hidden="1"/>
    </xf>
    <xf numFmtId="0" fontId="156" fillId="34" borderId="287" xfId="0" applyFont="1" applyFill="1" applyBorder="1" applyAlignment="1" applyProtection="1">
      <alignment horizontal="center" vertical="center"/>
      <protection hidden="1"/>
    </xf>
    <xf numFmtId="2" fontId="215" fillId="34" borderId="291" xfId="0" applyNumberFormat="1" applyFont="1" applyFill="1" applyBorder="1" applyAlignment="1" applyProtection="1">
      <alignment horizontal="center" vertical="center"/>
      <protection hidden="1"/>
    </xf>
    <xf numFmtId="0" fontId="215" fillId="34" borderId="220" xfId="0" applyFont="1" applyFill="1" applyBorder="1" applyAlignment="1" applyProtection="1">
      <alignment horizontal="center" vertical="center"/>
      <protection hidden="1"/>
    </xf>
    <xf numFmtId="190" fontId="156" fillId="34" borderId="286" xfId="420" applyNumberFormat="1" applyFont="1" applyFill="1" applyBorder="1" applyAlignment="1" applyProtection="1">
      <alignment horizontal="center" vertical="center"/>
      <protection hidden="1"/>
    </xf>
    <xf numFmtId="190" fontId="215" fillId="34" borderId="290" xfId="420" applyNumberFormat="1" applyFont="1" applyFill="1" applyBorder="1" applyAlignment="1" applyProtection="1">
      <alignment horizontal="center" vertical="center"/>
      <protection hidden="1"/>
    </xf>
    <xf numFmtId="190" fontId="215" fillId="34" borderId="217" xfId="420" applyNumberFormat="1" applyFont="1" applyFill="1" applyBorder="1" applyAlignment="1" applyProtection="1">
      <alignment horizontal="center" vertical="center"/>
      <protection hidden="1"/>
    </xf>
    <xf numFmtId="178" fontId="156" fillId="34" borderId="285" xfId="422" applyNumberFormat="1" applyFont="1" applyFill="1" applyBorder="1" applyAlignment="1" applyProtection="1">
      <alignment horizontal="center" vertical="center"/>
      <protection hidden="1"/>
    </xf>
    <xf numFmtId="178" fontId="215" fillId="34" borderId="289" xfId="422" applyNumberFormat="1" applyFont="1" applyFill="1" applyBorder="1" applyAlignment="1" applyProtection="1">
      <alignment horizontal="center" vertical="center"/>
      <protection hidden="1"/>
    </xf>
    <xf numFmtId="178" fontId="215" fillId="34" borderId="264" xfId="422" applyNumberFormat="1" applyFont="1" applyFill="1" applyBorder="1" applyAlignment="1" applyProtection="1">
      <alignment horizontal="center" vertical="center"/>
      <protection hidden="1"/>
    </xf>
    <xf numFmtId="0" fontId="0" fillId="34" borderId="0" xfId="0" applyFill="1" applyAlignment="1" applyProtection="1">
      <alignment horizontal="center" vertical="center"/>
      <protection hidden="1"/>
    </xf>
    <xf numFmtId="0" fontId="0" fillId="34" borderId="105" xfId="0" applyFill="1" applyBorder="1" applyAlignment="1" applyProtection="1">
      <alignment horizontal="center" vertical="center"/>
      <protection hidden="1"/>
    </xf>
    <xf numFmtId="0" fontId="155" fillId="34" borderId="240" xfId="0" applyFont="1" applyFill="1" applyBorder="1" applyAlignment="1" applyProtection="1">
      <alignment horizontal="center" vertical="center" wrapText="1"/>
      <protection hidden="1"/>
    </xf>
    <xf numFmtId="0" fontId="155" fillId="34" borderId="240" xfId="0" applyFont="1" applyFill="1" applyBorder="1" applyAlignment="1" applyProtection="1">
      <alignment horizontal="center" vertical="center"/>
      <protection hidden="1"/>
    </xf>
    <xf numFmtId="0" fontId="255" fillId="38" borderId="221" xfId="0" applyFont="1" applyFill="1" applyBorder="1" applyAlignment="1" applyProtection="1">
      <alignment horizontal="center" vertical="center"/>
      <protection hidden="1"/>
    </xf>
    <xf numFmtId="0" fontId="255" fillId="38" borderId="0" xfId="0" applyFont="1" applyFill="1" applyAlignment="1" applyProtection="1">
      <alignment horizontal="center" vertical="center"/>
      <protection hidden="1"/>
    </xf>
    <xf numFmtId="0" fontId="256" fillId="38" borderId="221" xfId="0" applyFont="1" applyFill="1" applyBorder="1" applyAlignment="1" applyProtection="1">
      <alignment horizontal="center" vertical="center"/>
      <protection hidden="1"/>
    </xf>
    <xf numFmtId="0" fontId="256" fillId="38" borderId="0" xfId="0" applyFont="1" applyFill="1" applyAlignment="1" applyProtection="1">
      <alignment horizontal="center" vertical="center"/>
      <protection hidden="1"/>
    </xf>
    <xf numFmtId="177" fontId="242" fillId="34" borderId="221" xfId="0" applyNumberFormat="1" applyFont="1" applyFill="1" applyBorder="1" applyAlignment="1" applyProtection="1">
      <alignment horizontal="center" vertical="center"/>
      <protection hidden="1"/>
    </xf>
    <xf numFmtId="177" fontId="242" fillId="34" borderId="0" xfId="0" applyNumberFormat="1" applyFont="1" applyFill="1" applyAlignment="1" applyProtection="1">
      <alignment horizontal="center" vertical="center"/>
      <protection hidden="1"/>
    </xf>
    <xf numFmtId="177" fontId="162" fillId="34" borderId="0" xfId="0" applyNumberFormat="1" applyFont="1" applyFill="1" applyAlignment="1" applyProtection="1">
      <alignment horizontal="center" vertical="center"/>
      <protection hidden="1"/>
    </xf>
    <xf numFmtId="177" fontId="245" fillId="34" borderId="0" xfId="0" applyNumberFormat="1" applyFont="1" applyFill="1" applyAlignment="1" applyProtection="1">
      <alignment horizontal="center" vertical="center"/>
      <protection hidden="1"/>
    </xf>
    <xf numFmtId="177" fontId="156" fillId="34" borderId="0" xfId="0" applyNumberFormat="1" applyFont="1" applyFill="1" applyAlignment="1" applyProtection="1">
      <alignment horizontal="center" vertical="center"/>
      <protection hidden="1"/>
    </xf>
    <xf numFmtId="0" fontId="155" fillId="34" borderId="98" xfId="0" applyFont="1" applyFill="1" applyBorder="1" applyAlignment="1" applyProtection="1">
      <alignment horizontal="center" vertical="center"/>
      <protection hidden="1"/>
    </xf>
    <xf numFmtId="0" fontId="155" fillId="34" borderId="238" xfId="0" applyFont="1" applyFill="1" applyBorder="1" applyAlignment="1" applyProtection="1">
      <alignment horizontal="center" vertical="center"/>
      <protection hidden="1"/>
    </xf>
    <xf numFmtId="0" fontId="267" fillId="34" borderId="240" xfId="0" applyFont="1" applyFill="1" applyBorder="1" applyAlignment="1" applyProtection="1">
      <alignment horizontal="center" vertical="center" wrapText="1"/>
      <protection hidden="1"/>
    </xf>
    <xf numFmtId="0" fontId="267" fillId="34" borderId="240" xfId="0" applyFont="1" applyFill="1" applyBorder="1" applyAlignment="1" applyProtection="1">
      <alignment horizontal="center" vertical="center"/>
      <protection hidden="1"/>
    </xf>
    <xf numFmtId="0" fontId="240" fillId="73" borderId="215" xfId="0" applyFont="1" applyFill="1" applyBorder="1" applyAlignment="1" applyProtection="1">
      <alignment horizontal="center" vertical="center" shrinkToFit="1"/>
      <protection hidden="1"/>
    </xf>
    <xf numFmtId="0" fontId="109" fillId="60" borderId="288" xfId="0" applyFont="1" applyFill="1" applyBorder="1" applyAlignment="1" applyProtection="1">
      <alignment horizontal="center" vertical="center" shrinkToFit="1"/>
      <protection hidden="1"/>
    </xf>
    <xf numFmtId="0" fontId="109" fillId="60" borderId="234" xfId="0" applyFont="1" applyFill="1" applyBorder="1" applyAlignment="1" applyProtection="1">
      <alignment horizontal="center" vertical="center" shrinkToFit="1"/>
      <protection hidden="1"/>
    </xf>
    <xf numFmtId="177" fontId="215" fillId="34" borderId="290" xfId="0" applyNumberFormat="1" applyFont="1" applyFill="1" applyBorder="1" applyAlignment="1" applyProtection="1">
      <alignment horizontal="center" vertical="center"/>
      <protection hidden="1"/>
    </xf>
    <xf numFmtId="177" fontId="215" fillId="34" borderId="217" xfId="0" applyNumberFormat="1" applyFont="1" applyFill="1" applyBorder="1" applyAlignment="1" applyProtection="1">
      <alignment horizontal="center" vertical="center"/>
      <protection hidden="1"/>
    </xf>
    <xf numFmtId="0" fontId="210" fillId="34" borderId="0" xfId="452" applyFont="1" applyFill="1" applyAlignment="1" applyProtection="1">
      <alignment horizontal="center" vertical="center"/>
      <protection hidden="1"/>
    </xf>
    <xf numFmtId="0" fontId="244" fillId="53" borderId="0" xfId="453" applyFont="1" applyFill="1" applyAlignment="1" applyProtection="1">
      <alignment horizontal="left" shrinkToFit="1"/>
      <protection hidden="1"/>
    </xf>
    <xf numFmtId="178" fontId="239" fillId="34" borderId="250" xfId="422" applyNumberFormat="1" applyFont="1" applyFill="1" applyBorder="1" applyAlignment="1" applyProtection="1">
      <alignment horizontal="center" vertical="center"/>
      <protection hidden="1"/>
    </xf>
    <xf numFmtId="178" fontId="157" fillId="34" borderId="250" xfId="422" applyNumberFormat="1" applyFont="1" applyFill="1" applyBorder="1" applyAlignment="1" applyProtection="1">
      <alignment horizontal="center" vertical="center" shrinkToFit="1"/>
      <protection hidden="1"/>
    </xf>
    <xf numFmtId="0" fontId="157" fillId="34" borderId="250" xfId="0" applyFont="1" applyFill="1" applyBorder="1" applyAlignment="1" applyProtection="1">
      <alignment horizontal="center" vertical="center" shrinkToFit="1"/>
      <protection hidden="1"/>
    </xf>
    <xf numFmtId="190" fontId="157" fillId="61" borderId="0" xfId="420" applyNumberFormat="1" applyFont="1" applyFill="1" applyBorder="1" applyAlignment="1" applyProtection="1">
      <alignment horizontal="right" vertical="center" shrinkToFit="1"/>
      <protection hidden="1"/>
    </xf>
    <xf numFmtId="0" fontId="242" fillId="34" borderId="223" xfId="0" applyFont="1" applyFill="1" applyBorder="1" applyAlignment="1" applyProtection="1">
      <alignment horizontal="center" vertical="center"/>
      <protection hidden="1"/>
    </xf>
    <xf numFmtId="190" fontId="157" fillId="61" borderId="250" xfId="420" applyNumberFormat="1" applyFont="1" applyFill="1" applyBorder="1" applyAlignment="1" applyProtection="1">
      <alignment horizontal="right" vertical="center" shrinkToFit="1"/>
      <protection hidden="1"/>
    </xf>
    <xf numFmtId="0" fontId="194" fillId="34" borderId="223" xfId="0" applyFont="1" applyFill="1" applyBorder="1" applyAlignment="1" applyProtection="1">
      <alignment horizontal="center" vertical="center"/>
      <protection hidden="1"/>
    </xf>
    <xf numFmtId="0" fontId="155" fillId="61" borderId="250" xfId="0" applyFont="1" applyFill="1" applyBorder="1" applyAlignment="1" applyProtection="1">
      <alignment horizontal="center" vertical="center"/>
      <protection locked="0"/>
    </xf>
    <xf numFmtId="0" fontId="155" fillId="61" borderId="219" xfId="0" applyFont="1" applyFill="1" applyBorder="1" applyAlignment="1" applyProtection="1">
      <alignment horizontal="center" vertical="center"/>
      <protection locked="0"/>
    </xf>
    <xf numFmtId="178" fontId="239" fillId="34" borderId="219" xfId="422" applyNumberFormat="1" applyFont="1" applyFill="1" applyBorder="1" applyAlignment="1" applyProtection="1">
      <alignment horizontal="center" vertical="center"/>
      <protection hidden="1"/>
    </xf>
    <xf numFmtId="0" fontId="155" fillId="61" borderId="0" xfId="0" applyFont="1" applyFill="1" applyAlignment="1" applyProtection="1">
      <alignment horizontal="center" vertical="center"/>
      <protection locked="0"/>
    </xf>
    <xf numFmtId="0" fontId="278" fillId="34" borderId="0" xfId="0" applyFont="1" applyFill="1" applyAlignment="1" applyProtection="1">
      <alignment horizontal="center" vertical="center"/>
      <protection hidden="1"/>
    </xf>
    <xf numFmtId="200" fontId="157" fillId="34" borderId="141" xfId="0" applyNumberFormat="1" applyFont="1" applyFill="1" applyBorder="1" applyAlignment="1" applyProtection="1">
      <alignment horizontal="right" vertical="center" shrinkToFit="1"/>
      <protection hidden="1"/>
    </xf>
    <xf numFmtId="200" fontId="157" fillId="34" borderId="0" xfId="0" applyNumberFormat="1" applyFont="1" applyFill="1" applyAlignment="1" applyProtection="1">
      <alignment horizontal="right" vertical="center" shrinkToFit="1"/>
      <protection hidden="1"/>
    </xf>
    <xf numFmtId="200" fontId="157" fillId="34" borderId="255" xfId="0" applyNumberFormat="1" applyFont="1" applyFill="1" applyBorder="1" applyAlignment="1" applyProtection="1">
      <alignment horizontal="right" vertical="center" shrinkToFit="1"/>
      <protection hidden="1"/>
    </xf>
    <xf numFmtId="177" fontId="242" fillId="34" borderId="105" xfId="0" applyNumberFormat="1" applyFont="1" applyFill="1" applyBorder="1" applyAlignment="1" applyProtection="1">
      <alignment horizontal="center" vertical="center"/>
      <protection hidden="1"/>
    </xf>
    <xf numFmtId="206" fontId="187" fillId="34" borderId="222" xfId="0" applyNumberFormat="1" applyFont="1" applyFill="1" applyBorder="1" applyAlignment="1" applyProtection="1">
      <alignment horizontal="center" vertical="center"/>
      <protection hidden="1"/>
    </xf>
    <xf numFmtId="207" fontId="156" fillId="34" borderId="216" xfId="420" applyNumberFormat="1" applyFont="1" applyFill="1" applyBorder="1" applyAlignment="1" applyProtection="1">
      <alignment horizontal="center" vertical="center"/>
      <protection hidden="1"/>
    </xf>
    <xf numFmtId="178" fontId="156" fillId="34" borderId="231" xfId="422" applyNumberFormat="1" applyFont="1" applyFill="1" applyBorder="1" applyAlignment="1" applyProtection="1">
      <alignment horizontal="center" vertical="center"/>
      <protection hidden="1"/>
    </xf>
    <xf numFmtId="177" fontId="156" fillId="34" borderId="216" xfId="420" applyFont="1" applyFill="1" applyBorder="1" applyAlignment="1" applyProtection="1">
      <alignment horizontal="center" vertical="center"/>
      <protection hidden="1"/>
    </xf>
    <xf numFmtId="0" fontId="156" fillId="34" borderId="218" xfId="0" applyFont="1" applyFill="1" applyBorder="1" applyAlignment="1" applyProtection="1">
      <alignment horizontal="center" vertical="center"/>
      <protection hidden="1"/>
    </xf>
    <xf numFmtId="0" fontId="156" fillId="34" borderId="220" xfId="0" applyFont="1" applyFill="1" applyBorder="1" applyAlignment="1" applyProtection="1">
      <alignment horizontal="center" vertical="center"/>
      <protection hidden="1"/>
    </xf>
    <xf numFmtId="0" fontId="240" fillId="60" borderId="57" xfId="0" applyFont="1" applyFill="1" applyBorder="1" applyAlignment="1" applyProtection="1">
      <alignment horizontal="center" vertical="center" shrinkToFit="1"/>
      <protection hidden="1"/>
    </xf>
    <xf numFmtId="0" fontId="240" fillId="60" borderId="234" xfId="0" applyFont="1" applyFill="1" applyBorder="1" applyAlignment="1" applyProtection="1">
      <alignment horizontal="center" vertical="center" shrinkToFit="1"/>
      <protection hidden="1"/>
    </xf>
    <xf numFmtId="181" fontId="156" fillId="34" borderId="217" xfId="420" applyNumberFormat="1" applyFont="1" applyFill="1" applyBorder="1" applyAlignment="1" applyProtection="1">
      <alignment horizontal="center" vertical="center"/>
      <protection hidden="1"/>
    </xf>
    <xf numFmtId="177" fontId="156" fillId="34" borderId="217" xfId="420" applyFont="1" applyFill="1" applyBorder="1" applyAlignment="1" applyProtection="1">
      <alignment horizontal="center" vertical="center"/>
      <protection hidden="1"/>
    </xf>
    <xf numFmtId="200" fontId="157" fillId="34" borderId="256" xfId="0" applyNumberFormat="1" applyFont="1" applyFill="1" applyBorder="1" applyAlignment="1" applyProtection="1">
      <alignment horizontal="right" vertical="center" shrinkToFit="1"/>
      <protection hidden="1"/>
    </xf>
    <xf numFmtId="200" fontId="157" fillId="34" borderId="257" xfId="0" applyNumberFormat="1" applyFont="1" applyFill="1" applyBorder="1" applyAlignment="1" applyProtection="1">
      <alignment horizontal="right" vertical="center" shrinkToFit="1"/>
      <protection hidden="1"/>
    </xf>
    <xf numFmtId="200" fontId="157" fillId="34" borderId="258" xfId="0" applyNumberFormat="1" applyFont="1" applyFill="1" applyBorder="1" applyAlignment="1" applyProtection="1">
      <alignment horizontal="right" vertical="center" shrinkToFit="1"/>
      <protection hidden="1"/>
    </xf>
    <xf numFmtId="10" fontId="248" fillId="34" borderId="250" xfId="0" applyNumberFormat="1" applyFont="1" applyFill="1" applyBorder="1" applyAlignment="1" applyProtection="1">
      <alignment horizontal="right" vertical="center"/>
      <protection hidden="1"/>
    </xf>
    <xf numFmtId="10" fontId="248" fillId="34" borderId="219" xfId="0" applyNumberFormat="1" applyFont="1" applyFill="1" applyBorder="1" applyAlignment="1" applyProtection="1">
      <alignment horizontal="right" vertical="center"/>
      <protection hidden="1"/>
    </xf>
    <xf numFmtId="10" fontId="255" fillId="34" borderId="250" xfId="0" applyNumberFormat="1" applyFont="1" applyFill="1" applyBorder="1" applyAlignment="1" applyProtection="1">
      <alignment horizontal="right" vertical="center"/>
      <protection hidden="1"/>
    </xf>
    <xf numFmtId="10" fontId="255" fillId="34" borderId="219" xfId="0" applyNumberFormat="1" applyFont="1" applyFill="1" applyBorder="1" applyAlignment="1" applyProtection="1">
      <alignment horizontal="right" vertical="center"/>
      <protection hidden="1"/>
    </xf>
    <xf numFmtId="177" fontId="282" fillId="34" borderId="0" xfId="420" applyFont="1" applyFill="1" applyAlignment="1" applyProtection="1">
      <alignment horizontal="right" vertical="center" shrinkToFit="1"/>
      <protection hidden="1"/>
    </xf>
    <xf numFmtId="177" fontId="275" fillId="34" borderId="0" xfId="420" applyFont="1" applyFill="1" applyAlignment="1" applyProtection="1">
      <alignment horizontal="right" vertical="center" shrinkToFit="1"/>
      <protection hidden="1"/>
    </xf>
    <xf numFmtId="177" fontId="256" fillId="79" borderId="0" xfId="420" applyFont="1" applyFill="1" applyAlignment="1" applyProtection="1">
      <alignment horizontal="right" vertical="center" shrinkToFit="1"/>
      <protection hidden="1"/>
    </xf>
    <xf numFmtId="14" fontId="163" fillId="34" borderId="157" xfId="453" applyNumberFormat="1" applyFont="1" applyFill="1" applyBorder="1" applyAlignment="1" applyProtection="1">
      <alignment horizontal="right"/>
      <protection hidden="1"/>
    </xf>
    <xf numFmtId="0" fontId="199" fillId="34" borderId="0" xfId="0" applyFont="1" applyFill="1" applyAlignment="1" applyProtection="1">
      <alignment horizontal="left" vertical="top"/>
      <protection hidden="1"/>
    </xf>
    <xf numFmtId="0" fontId="194" fillId="53" borderId="0" xfId="411" applyFont="1" applyFill="1" applyAlignment="1" applyProtection="1">
      <alignment horizontal="left" vertical="center" wrapText="1"/>
      <protection hidden="1"/>
    </xf>
    <xf numFmtId="0" fontId="157" fillId="34" borderId="295" xfId="0" applyFont="1" applyFill="1" applyBorder="1" applyAlignment="1" applyProtection="1">
      <alignment horizontal="center" vertical="center" shrinkToFit="1"/>
      <protection hidden="1"/>
    </xf>
    <xf numFmtId="0" fontId="115" fillId="34" borderId="0" xfId="0" applyFont="1" applyFill="1" applyProtection="1">
      <alignment vertical="center"/>
      <protection hidden="1"/>
    </xf>
    <xf numFmtId="0" fontId="0" fillId="34" borderId="0" xfId="0" applyFill="1" applyProtection="1">
      <alignment vertical="center"/>
      <protection hidden="1"/>
    </xf>
    <xf numFmtId="0" fontId="109" fillId="53" borderId="0" xfId="0" applyFont="1" applyFill="1" applyAlignment="1" applyProtection="1">
      <alignment horizontal="center" vertical="center"/>
      <protection hidden="1"/>
    </xf>
    <xf numFmtId="200" fontId="157" fillId="34" borderId="91" xfId="0" applyNumberFormat="1" applyFont="1" applyFill="1" applyBorder="1" applyAlignment="1" applyProtection="1">
      <alignment horizontal="right" vertical="center" shrinkToFit="1"/>
      <protection hidden="1"/>
    </xf>
    <xf numFmtId="200" fontId="157" fillId="34" borderId="162" xfId="0" applyNumberFormat="1" applyFont="1" applyFill="1" applyBorder="1" applyAlignment="1" applyProtection="1">
      <alignment horizontal="right" vertical="center" shrinkToFit="1"/>
      <protection hidden="1"/>
    </xf>
    <xf numFmtId="10" fontId="211" fillId="34" borderId="0" xfId="422" applyNumberFormat="1" applyFont="1" applyFill="1" applyBorder="1" applyAlignment="1" applyProtection="1">
      <alignment horizontal="center" shrinkToFit="1"/>
      <protection hidden="1"/>
    </xf>
    <xf numFmtId="206" fontId="305" fillId="34" borderId="184" xfId="420" applyNumberFormat="1" applyFont="1" applyFill="1" applyBorder="1" applyAlignment="1" applyProtection="1">
      <alignment horizontal="center" vertical="center" shrinkToFit="1"/>
      <protection hidden="1"/>
    </xf>
    <xf numFmtId="206" fontId="305" fillId="34" borderId="186" xfId="420" applyNumberFormat="1" applyFont="1" applyFill="1" applyBorder="1" applyAlignment="1" applyProtection="1">
      <alignment horizontal="center" vertical="center" shrinkToFit="1"/>
      <protection hidden="1"/>
    </xf>
    <xf numFmtId="184" fontId="157" fillId="34" borderId="0" xfId="422" applyNumberFormat="1" applyFont="1" applyFill="1" applyBorder="1" applyAlignment="1" applyProtection="1">
      <alignment horizontal="center" vertical="center" shrinkToFit="1"/>
      <protection hidden="1"/>
    </xf>
    <xf numFmtId="184" fontId="157" fillId="34" borderId="151" xfId="422" applyNumberFormat="1" applyFont="1" applyFill="1" applyBorder="1" applyAlignment="1" applyProtection="1">
      <alignment horizontal="center" vertical="center" shrinkToFit="1"/>
      <protection hidden="1"/>
    </xf>
    <xf numFmtId="184" fontId="157" fillId="34" borderId="141" xfId="422" applyNumberFormat="1" applyFont="1" applyFill="1" applyBorder="1" applyAlignment="1" applyProtection="1">
      <alignment horizontal="center" vertical="center" shrinkToFit="1"/>
      <protection hidden="1"/>
    </xf>
    <xf numFmtId="184" fontId="157" fillId="34" borderId="162" xfId="422" applyNumberFormat="1" applyFont="1" applyFill="1" applyBorder="1" applyAlignment="1" applyProtection="1">
      <alignment horizontal="center" vertical="center" shrinkToFit="1"/>
      <protection hidden="1"/>
    </xf>
    <xf numFmtId="10" fontId="216" fillId="34" borderId="185" xfId="422" applyNumberFormat="1" applyFont="1" applyFill="1" applyBorder="1" applyAlignment="1" applyProtection="1">
      <alignment horizontal="center" vertical="center" shrinkToFit="1"/>
      <protection hidden="1"/>
    </xf>
    <xf numFmtId="10" fontId="216" fillId="34" borderId="184" xfId="422" applyNumberFormat="1" applyFont="1" applyFill="1" applyBorder="1" applyAlignment="1" applyProtection="1">
      <alignment horizontal="center" vertical="center" shrinkToFit="1"/>
      <protection hidden="1"/>
    </xf>
    <xf numFmtId="10" fontId="216" fillId="34" borderId="186" xfId="422" applyNumberFormat="1" applyFont="1" applyFill="1" applyBorder="1" applyAlignment="1" applyProtection="1">
      <alignment horizontal="center" vertical="center" shrinkToFit="1"/>
      <protection hidden="1"/>
    </xf>
    <xf numFmtId="0" fontId="189" fillId="34" borderId="0" xfId="0" applyFont="1" applyFill="1" applyAlignment="1" applyProtection="1">
      <alignment horizontal="center" vertical="center"/>
      <protection hidden="1"/>
    </xf>
    <xf numFmtId="0" fontId="0" fillId="34" borderId="0" xfId="0" applyFill="1" applyAlignment="1" applyProtection="1">
      <alignment horizontal="right" vertical="center"/>
      <protection hidden="1"/>
    </xf>
    <xf numFmtId="200" fontId="0" fillId="34" borderId="0" xfId="420" applyNumberFormat="1" applyFont="1" applyFill="1" applyAlignment="1" applyProtection="1">
      <alignment horizontal="right" vertical="center"/>
      <protection hidden="1"/>
    </xf>
    <xf numFmtId="200" fontId="0" fillId="34" borderId="0" xfId="0" applyNumberFormat="1" applyFill="1" applyAlignment="1" applyProtection="1">
      <alignment horizontal="right" vertical="center"/>
      <protection hidden="1"/>
    </xf>
    <xf numFmtId="0" fontId="265" fillId="53" borderId="0" xfId="0" applyFont="1" applyFill="1" applyAlignment="1" applyProtection="1">
      <alignment horizontal="center" vertical="center" textRotation="255"/>
      <protection hidden="1"/>
    </xf>
    <xf numFmtId="0" fontId="266" fillId="53" borderId="0" xfId="0" applyFont="1" applyFill="1" applyAlignment="1" applyProtection="1">
      <alignment horizontal="center" vertical="center" textRotation="255"/>
      <protection hidden="1"/>
    </xf>
    <xf numFmtId="190" fontId="157" fillId="34" borderId="141" xfId="420" applyNumberFormat="1" applyFont="1" applyFill="1" applyBorder="1" applyAlignment="1" applyProtection="1">
      <alignment horizontal="center" vertical="center" shrinkToFit="1"/>
      <protection hidden="1"/>
    </xf>
    <xf numFmtId="190" fontId="157" fillId="34" borderId="0" xfId="420" applyNumberFormat="1" applyFont="1" applyFill="1" applyBorder="1" applyAlignment="1" applyProtection="1">
      <alignment horizontal="center" vertical="center" shrinkToFit="1"/>
      <protection hidden="1"/>
    </xf>
    <xf numFmtId="190" fontId="157" fillId="34" borderId="162" xfId="420" applyNumberFormat="1" applyFont="1" applyFill="1" applyBorder="1" applyAlignment="1" applyProtection="1">
      <alignment horizontal="center" vertical="center" shrinkToFit="1"/>
      <protection hidden="1"/>
    </xf>
    <xf numFmtId="179" fontId="156" fillId="34" borderId="0" xfId="420" applyNumberFormat="1" applyFont="1" applyFill="1" applyBorder="1" applyAlignment="1" applyProtection="1">
      <alignment horizontal="center" vertical="center" shrinkToFit="1"/>
      <protection hidden="1"/>
    </xf>
    <xf numFmtId="179" fontId="156" fillId="34" borderId="162" xfId="420" applyNumberFormat="1" applyFont="1" applyFill="1" applyBorder="1" applyAlignment="1" applyProtection="1">
      <alignment horizontal="center" vertical="center" shrinkToFit="1"/>
      <protection hidden="1"/>
    </xf>
    <xf numFmtId="0" fontId="109" fillId="60" borderId="0" xfId="0" applyFont="1" applyFill="1" applyAlignment="1" applyProtection="1">
      <alignment horizontal="center" vertical="center"/>
      <protection hidden="1"/>
    </xf>
    <xf numFmtId="200" fontId="157" fillId="34" borderId="259" xfId="0" applyNumberFormat="1" applyFont="1" applyFill="1" applyBorder="1" applyAlignment="1" applyProtection="1">
      <alignment horizontal="right" vertical="center" shrinkToFit="1"/>
      <protection hidden="1"/>
    </xf>
    <xf numFmtId="200" fontId="157" fillId="34" borderId="260" xfId="0" applyNumberFormat="1" applyFont="1" applyFill="1" applyBorder="1" applyAlignment="1" applyProtection="1">
      <alignment horizontal="right" vertical="center" shrinkToFit="1"/>
      <protection hidden="1"/>
    </xf>
    <xf numFmtId="200" fontId="157" fillId="34" borderId="261" xfId="0" applyNumberFormat="1" applyFont="1" applyFill="1" applyBorder="1" applyAlignment="1" applyProtection="1">
      <alignment horizontal="right" vertical="center" shrinkToFit="1"/>
      <protection hidden="1"/>
    </xf>
    <xf numFmtId="0" fontId="210" fillId="34" borderId="0" xfId="452" applyFont="1" applyFill="1" applyAlignment="1" applyProtection="1">
      <alignment horizontal="center"/>
      <protection hidden="1"/>
    </xf>
    <xf numFmtId="0" fontId="201" fillId="53" borderId="0" xfId="453" applyFont="1" applyFill="1" applyAlignment="1" applyProtection="1">
      <alignment horizontal="left" shrinkToFit="1"/>
      <protection hidden="1"/>
    </xf>
    <xf numFmtId="14" fontId="163" fillId="34" borderId="0" xfId="453" applyNumberFormat="1" applyFont="1" applyFill="1" applyAlignment="1" applyProtection="1">
      <alignment horizontal="right"/>
      <protection hidden="1"/>
    </xf>
    <xf numFmtId="0" fontId="109" fillId="60" borderId="103" xfId="0" applyFont="1" applyFill="1" applyBorder="1" applyAlignment="1" applyProtection="1">
      <alignment horizontal="center" vertical="center"/>
      <protection hidden="1"/>
    </xf>
    <xf numFmtId="0" fontId="157" fillId="0" borderId="103" xfId="0" applyFont="1" applyBorder="1" applyAlignment="1" applyProtection="1">
      <alignment horizontal="center" vertical="center"/>
      <protection hidden="1"/>
    </xf>
    <xf numFmtId="0" fontId="109" fillId="60" borderId="262" xfId="0" applyFont="1" applyFill="1" applyBorder="1" applyAlignment="1" applyProtection="1">
      <alignment horizontal="center" vertical="center" wrapText="1"/>
      <protection hidden="1"/>
    </xf>
    <xf numFmtId="0" fontId="157" fillId="0" borderId="172" xfId="0" applyFont="1" applyBorder="1" applyAlignment="1" applyProtection="1">
      <alignment horizontal="center" vertical="center"/>
      <protection hidden="1"/>
    </xf>
    <xf numFmtId="0" fontId="109" fillId="60" borderId="262" xfId="0" applyFont="1" applyFill="1" applyBorder="1" applyAlignment="1" applyProtection="1">
      <alignment horizontal="center" vertical="center"/>
      <protection hidden="1"/>
    </xf>
    <xf numFmtId="0" fontId="109" fillId="60" borderId="166" xfId="0" applyFont="1" applyFill="1" applyBorder="1" applyAlignment="1" applyProtection="1">
      <alignment horizontal="center"/>
      <protection hidden="1"/>
    </xf>
    <xf numFmtId="0" fontId="109" fillId="60" borderId="166" xfId="0" applyFont="1" applyFill="1" applyBorder="1" applyAlignment="1" applyProtection="1">
      <alignment horizontal="center" vertical="top"/>
      <protection hidden="1"/>
    </xf>
    <xf numFmtId="0" fontId="109" fillId="60" borderId="172" xfId="0" applyFont="1" applyFill="1" applyBorder="1" applyAlignment="1" applyProtection="1">
      <alignment horizontal="center" vertical="center" wrapText="1"/>
      <protection hidden="1"/>
    </xf>
    <xf numFmtId="0" fontId="109" fillId="60" borderId="173" xfId="0" applyFont="1" applyFill="1" applyBorder="1" applyAlignment="1" applyProtection="1">
      <alignment horizontal="center" vertical="center" wrapText="1"/>
      <protection hidden="1"/>
    </xf>
    <xf numFmtId="14" fontId="163" fillId="34" borderId="0" xfId="453" applyNumberFormat="1" applyFont="1" applyFill="1" applyAlignment="1" applyProtection="1">
      <alignment horizontal="left"/>
      <protection hidden="1"/>
    </xf>
    <xf numFmtId="0" fontId="109" fillId="60" borderId="172" xfId="0" applyFont="1" applyFill="1" applyBorder="1" applyAlignment="1" applyProtection="1">
      <alignment horizontal="center" vertical="center"/>
      <protection hidden="1"/>
    </xf>
    <xf numFmtId="0" fontId="109" fillId="60" borderId="263" xfId="0" applyFont="1" applyFill="1" applyBorder="1" applyAlignment="1" applyProtection="1">
      <alignment horizontal="center" vertical="center" wrapText="1"/>
      <protection hidden="1"/>
    </xf>
    <xf numFmtId="0" fontId="109" fillId="60" borderId="0" xfId="0" applyFont="1" applyFill="1" applyAlignment="1" applyProtection="1">
      <alignment horizontal="center" vertical="center" wrapText="1"/>
      <protection hidden="1"/>
    </xf>
    <xf numFmtId="0" fontId="109" fillId="60" borderId="265" xfId="0" applyFont="1" applyFill="1" applyBorder="1" applyAlignment="1" applyProtection="1">
      <alignment horizontal="center" vertical="center" wrapText="1"/>
      <protection hidden="1"/>
    </xf>
    <xf numFmtId="177" fontId="242" fillId="34" borderId="93" xfId="0" applyNumberFormat="1" applyFont="1" applyFill="1" applyBorder="1" applyAlignment="1" applyProtection="1">
      <alignment horizontal="center" vertical="center"/>
      <protection hidden="1"/>
    </xf>
    <xf numFmtId="177" fontId="242" fillId="34" borderId="94" xfId="0" applyNumberFormat="1" applyFont="1" applyFill="1" applyBorder="1" applyAlignment="1" applyProtection="1">
      <alignment horizontal="center" vertical="center"/>
      <protection hidden="1"/>
    </xf>
    <xf numFmtId="0" fontId="262" fillId="34" borderId="215" xfId="0" applyFont="1" applyFill="1" applyBorder="1" applyAlignment="1" applyProtection="1">
      <alignment horizontal="right" vertical="center"/>
      <protection hidden="1"/>
    </xf>
    <xf numFmtId="0" fontId="157" fillId="34" borderId="250" xfId="0" applyFont="1" applyFill="1" applyBorder="1" applyAlignment="1" applyProtection="1">
      <alignment horizontal="center" vertical="center"/>
      <protection hidden="1"/>
    </xf>
    <xf numFmtId="0" fontId="240" fillId="73" borderId="232" xfId="0" applyFont="1" applyFill="1" applyBorder="1" applyAlignment="1" applyProtection="1">
      <alignment horizontal="center" vertical="center" shrinkToFit="1"/>
      <protection hidden="1"/>
    </xf>
    <xf numFmtId="0" fontId="240" fillId="73" borderId="233" xfId="0" applyFont="1" applyFill="1" applyBorder="1" applyAlignment="1" applyProtection="1">
      <alignment horizontal="center" vertical="center" shrinkToFit="1"/>
      <protection hidden="1"/>
    </xf>
    <xf numFmtId="14" fontId="156" fillId="34" borderId="217" xfId="0" applyNumberFormat="1" applyFont="1" applyFill="1" applyBorder="1" applyAlignment="1" applyProtection="1">
      <alignment horizontal="center" vertical="center"/>
      <protection hidden="1"/>
    </xf>
    <xf numFmtId="178" fontId="156" fillId="34" borderId="217" xfId="422" applyNumberFormat="1" applyFont="1" applyFill="1" applyBorder="1" applyAlignment="1" applyProtection="1">
      <alignment horizontal="center" vertical="center"/>
      <protection hidden="1"/>
    </xf>
    <xf numFmtId="14" fontId="156" fillId="34" borderId="216" xfId="0" applyNumberFormat="1" applyFont="1" applyFill="1" applyBorder="1" applyAlignment="1" applyProtection="1">
      <alignment horizontal="center" vertical="center"/>
      <protection hidden="1"/>
    </xf>
    <xf numFmtId="178" fontId="245" fillId="34" borderId="241" xfId="422" applyNumberFormat="1" applyFont="1" applyFill="1" applyBorder="1" applyAlignment="1" applyProtection="1">
      <alignment horizontal="center" vertical="center"/>
      <protection hidden="1"/>
    </xf>
    <xf numFmtId="180" fontId="156" fillId="34" borderId="241" xfId="0" applyNumberFormat="1" applyFont="1" applyFill="1" applyBorder="1" applyAlignment="1" applyProtection="1">
      <alignment horizontal="center" vertical="center"/>
      <protection hidden="1"/>
    </xf>
    <xf numFmtId="190" fontId="162" fillId="34" borderId="241" xfId="420" applyNumberFormat="1" applyFont="1" applyFill="1" applyBorder="1" applyAlignment="1" applyProtection="1">
      <alignment horizontal="center" vertical="center"/>
      <protection hidden="1"/>
    </xf>
    <xf numFmtId="177" fontId="242" fillId="34" borderId="95" xfId="0" applyNumberFormat="1" applyFont="1" applyFill="1" applyBorder="1" applyAlignment="1" applyProtection="1">
      <alignment horizontal="center" vertical="center"/>
      <protection hidden="1"/>
    </xf>
    <xf numFmtId="177" fontId="242" fillId="34" borderId="228" xfId="0" applyNumberFormat="1" applyFont="1" applyFill="1" applyBorder="1" applyAlignment="1" applyProtection="1">
      <alignment horizontal="center" vertical="center"/>
      <protection hidden="1"/>
    </xf>
    <xf numFmtId="177" fontId="156" fillId="34" borderId="241" xfId="0" applyNumberFormat="1" applyFont="1" applyFill="1" applyBorder="1" applyAlignment="1" applyProtection="1">
      <alignment horizontal="center" vertical="center"/>
      <protection hidden="1"/>
    </xf>
    <xf numFmtId="177" fontId="162" fillId="34" borderId="241" xfId="0" applyNumberFormat="1" applyFont="1" applyFill="1" applyBorder="1" applyAlignment="1" applyProtection="1">
      <alignment horizontal="center" vertical="center"/>
      <protection hidden="1"/>
    </xf>
    <xf numFmtId="177" fontId="245" fillId="34" borderId="241" xfId="0" applyNumberFormat="1" applyFont="1" applyFill="1" applyBorder="1" applyAlignment="1" applyProtection="1">
      <alignment horizontal="center" vertical="center"/>
      <protection hidden="1"/>
    </xf>
    <xf numFmtId="178" fontId="156" fillId="34" borderId="241" xfId="422" applyNumberFormat="1" applyFont="1" applyFill="1" applyBorder="1" applyAlignment="1" applyProtection="1">
      <alignment horizontal="center" vertical="center"/>
      <protection hidden="1"/>
    </xf>
    <xf numFmtId="190" fontId="245" fillId="34" borderId="0" xfId="420" applyNumberFormat="1" applyFont="1" applyFill="1" applyBorder="1" applyAlignment="1" applyProtection="1">
      <alignment horizontal="center" vertical="center"/>
      <protection hidden="1"/>
    </xf>
    <xf numFmtId="180" fontId="156" fillId="34" borderId="105" xfId="0" applyNumberFormat="1" applyFont="1" applyFill="1" applyBorder="1" applyAlignment="1" applyProtection="1">
      <alignment horizontal="center" vertical="center"/>
      <protection hidden="1"/>
    </xf>
    <xf numFmtId="191" fontId="156" fillId="34" borderId="0" xfId="453" applyNumberFormat="1" applyFont="1" applyFill="1" applyAlignment="1" applyProtection="1">
      <alignment horizontal="center" vertical="center"/>
      <protection hidden="1"/>
    </xf>
    <xf numFmtId="178" fontId="162" fillId="34" borderId="241" xfId="422" applyNumberFormat="1" applyFont="1" applyFill="1" applyBorder="1" applyAlignment="1" applyProtection="1">
      <alignment horizontal="center" vertical="center"/>
      <protection hidden="1"/>
    </xf>
    <xf numFmtId="0" fontId="269" fillId="34" borderId="0" xfId="411" applyFont="1" applyFill="1" applyAlignment="1" applyProtection="1">
      <alignment horizontal="left" vertical="top" wrapText="1"/>
      <protection hidden="1"/>
    </xf>
    <xf numFmtId="0" fontId="155" fillId="34" borderId="235" xfId="0" applyFont="1" applyFill="1" applyBorder="1" applyAlignment="1" applyProtection="1">
      <alignment horizontal="center" vertical="center"/>
      <protection hidden="1"/>
    </xf>
    <xf numFmtId="0" fontId="252" fillId="34" borderId="0" xfId="0" applyFont="1" applyFill="1" applyAlignment="1" applyProtection="1">
      <alignment horizontal="left" vertical="center"/>
      <protection hidden="1"/>
    </xf>
    <xf numFmtId="191" fontId="65" fillId="34" borderId="0" xfId="453" applyNumberFormat="1" applyFont="1" applyFill="1" applyAlignment="1" applyProtection="1">
      <alignment horizontal="center" vertical="center"/>
      <protection hidden="1"/>
    </xf>
    <xf numFmtId="177" fontId="65" fillId="34" borderId="0" xfId="420" applyFont="1" applyFill="1" applyBorder="1" applyAlignment="1" applyProtection="1">
      <alignment horizontal="center" vertical="center"/>
      <protection hidden="1"/>
    </xf>
    <xf numFmtId="190" fontId="216" fillId="34" borderId="185" xfId="420" applyNumberFormat="1" applyFont="1" applyFill="1" applyBorder="1" applyAlignment="1" applyProtection="1">
      <alignment horizontal="right" vertical="center" shrinkToFit="1"/>
      <protection hidden="1"/>
    </xf>
    <xf numFmtId="190" fontId="216" fillId="34" borderId="184" xfId="420" applyNumberFormat="1" applyFont="1" applyFill="1" applyBorder="1" applyAlignment="1" applyProtection="1">
      <alignment horizontal="right" vertical="center" shrinkToFit="1"/>
      <protection hidden="1"/>
    </xf>
    <xf numFmtId="190" fontId="216" fillId="34" borderId="186" xfId="420" applyNumberFormat="1" applyFont="1" applyFill="1" applyBorder="1" applyAlignment="1" applyProtection="1">
      <alignment horizontal="right" vertical="center" shrinkToFit="1"/>
      <protection hidden="1"/>
    </xf>
    <xf numFmtId="0" fontId="187" fillId="34" borderId="0" xfId="453" applyFont="1" applyFill="1" applyAlignment="1" applyProtection="1">
      <alignment horizontal="center" vertical="center" textRotation="255" wrapText="1"/>
      <protection hidden="1"/>
    </xf>
    <xf numFmtId="0" fontId="186" fillId="34" borderId="0" xfId="0" applyFont="1" applyFill="1" applyAlignment="1" applyProtection="1">
      <alignment horizontal="center" vertical="center" textRotation="255"/>
      <protection hidden="1"/>
    </xf>
    <xf numFmtId="0" fontId="244" fillId="34" borderId="0" xfId="0" applyFont="1" applyFill="1" applyAlignment="1" applyProtection="1">
      <alignment horizontal="right" vertical="center"/>
      <protection hidden="1"/>
    </xf>
    <xf numFmtId="200" fontId="216" fillId="34" borderId="185" xfId="420" applyNumberFormat="1" applyFont="1" applyFill="1" applyBorder="1" applyAlignment="1" applyProtection="1">
      <alignment horizontal="right" vertical="center" shrinkToFit="1"/>
      <protection hidden="1"/>
    </xf>
    <xf numFmtId="200" fontId="216" fillId="34" borderId="184" xfId="420" applyNumberFormat="1" applyFont="1" applyFill="1" applyBorder="1" applyAlignment="1" applyProtection="1">
      <alignment horizontal="right" vertical="center" shrinkToFit="1"/>
      <protection hidden="1"/>
    </xf>
    <xf numFmtId="200" fontId="216" fillId="34" borderId="253" xfId="420" applyNumberFormat="1" applyFont="1" applyFill="1" applyBorder="1" applyAlignment="1" applyProtection="1">
      <alignment horizontal="right" vertical="center" shrinkToFit="1"/>
      <protection hidden="1"/>
    </xf>
    <xf numFmtId="200" fontId="216" fillId="34" borderId="254" xfId="420" applyNumberFormat="1" applyFont="1" applyFill="1" applyBorder="1" applyAlignment="1" applyProtection="1">
      <alignment horizontal="right" vertical="center" shrinkToFit="1"/>
      <protection hidden="1"/>
    </xf>
    <xf numFmtId="200" fontId="216" fillId="34" borderId="186" xfId="420" applyNumberFormat="1" applyFont="1" applyFill="1" applyBorder="1" applyAlignment="1" applyProtection="1">
      <alignment horizontal="right" vertical="center" shrinkToFit="1"/>
      <protection hidden="1"/>
    </xf>
    <xf numFmtId="206" fontId="298" fillId="34" borderId="283" xfId="453" applyNumberFormat="1" applyFont="1" applyFill="1" applyBorder="1" applyAlignment="1" applyProtection="1">
      <alignment horizontal="center" vertical="center"/>
      <protection hidden="1"/>
    </xf>
    <xf numFmtId="206" fontId="298" fillId="34" borderId="46" xfId="453" applyNumberFormat="1" applyFont="1" applyFill="1" applyBorder="1" applyAlignment="1" applyProtection="1">
      <alignment horizontal="center" vertical="center"/>
      <protection hidden="1"/>
    </xf>
    <xf numFmtId="0" fontId="207" fillId="60" borderId="82" xfId="453" applyFont="1" applyFill="1" applyBorder="1" applyAlignment="1" applyProtection="1">
      <alignment horizontal="center" vertical="center"/>
      <protection hidden="1"/>
    </xf>
    <xf numFmtId="0" fontId="207" fillId="60" borderId="46" xfId="453" applyFont="1" applyFill="1" applyBorder="1" applyAlignment="1" applyProtection="1">
      <alignment horizontal="center" vertical="center"/>
      <protection hidden="1"/>
    </xf>
    <xf numFmtId="0" fontId="207" fillId="60" borderId="293" xfId="453" applyFont="1" applyFill="1" applyBorder="1" applyAlignment="1" applyProtection="1">
      <alignment horizontal="center" vertical="center"/>
      <protection hidden="1"/>
    </xf>
    <xf numFmtId="0" fontId="256" fillId="79" borderId="0" xfId="0" applyFont="1" applyFill="1" applyAlignment="1" applyProtection="1">
      <alignment horizontal="right" vertical="center"/>
      <protection hidden="1"/>
    </xf>
    <xf numFmtId="0" fontId="281" fillId="34" borderId="0" xfId="0" applyFont="1" applyFill="1" applyAlignment="1" applyProtection="1">
      <alignment horizontal="right" vertical="center"/>
      <protection hidden="1"/>
    </xf>
    <xf numFmtId="206" fontId="273" fillId="34" borderId="250" xfId="0" applyNumberFormat="1" applyFont="1" applyFill="1" applyBorder="1" applyAlignment="1" applyProtection="1">
      <alignment horizontal="center" vertical="center"/>
      <protection hidden="1"/>
    </xf>
    <xf numFmtId="206" fontId="273" fillId="34" borderId="219" xfId="0" applyNumberFormat="1" applyFont="1" applyFill="1" applyBorder="1" applyAlignment="1" applyProtection="1">
      <alignment horizontal="center" vertical="center"/>
      <protection hidden="1"/>
    </xf>
    <xf numFmtId="177" fontId="188" fillId="34" borderId="0" xfId="420" applyFont="1" applyFill="1" applyAlignment="1" applyProtection="1">
      <alignment horizontal="right" vertical="center" shrinkToFit="1"/>
      <protection hidden="1"/>
    </xf>
    <xf numFmtId="177" fontId="274" fillId="79" borderId="0" xfId="420" applyFont="1" applyFill="1" applyAlignment="1" applyProtection="1">
      <alignment horizontal="right" vertical="center" shrinkToFit="1"/>
      <protection hidden="1"/>
    </xf>
    <xf numFmtId="177" fontId="273" fillId="79" borderId="0" xfId="420" applyFont="1" applyFill="1" applyAlignment="1" applyProtection="1">
      <alignment horizontal="right" vertical="center" shrinkToFit="1"/>
      <protection hidden="1"/>
    </xf>
    <xf numFmtId="178" fontId="157" fillId="34" borderId="219" xfId="422" applyNumberFormat="1" applyFont="1" applyFill="1" applyBorder="1" applyAlignment="1" applyProtection="1">
      <alignment horizontal="center" vertical="center"/>
      <protection hidden="1"/>
    </xf>
    <xf numFmtId="178" fontId="157" fillId="34" borderId="0" xfId="422" applyNumberFormat="1" applyFont="1" applyFill="1" applyAlignment="1" applyProtection="1">
      <alignment horizontal="center" vertical="center"/>
      <protection hidden="1"/>
    </xf>
    <xf numFmtId="0" fontId="157" fillId="34" borderId="219" xfId="0" applyFont="1" applyFill="1" applyBorder="1" applyAlignment="1" applyProtection="1">
      <alignment horizontal="center" vertical="center" shrinkToFit="1"/>
      <protection hidden="1"/>
    </xf>
    <xf numFmtId="178" fontId="157" fillId="34" borderId="219" xfId="422" applyNumberFormat="1" applyFont="1" applyFill="1" applyBorder="1" applyAlignment="1" applyProtection="1">
      <alignment horizontal="center" vertical="center" shrinkToFit="1"/>
      <protection hidden="1"/>
    </xf>
    <xf numFmtId="190" fontId="157" fillId="61" borderId="219" xfId="420" applyNumberFormat="1" applyFont="1" applyFill="1" applyBorder="1" applyAlignment="1" applyProtection="1">
      <alignment horizontal="right" vertical="center" shrinkToFit="1"/>
      <protection hidden="1"/>
    </xf>
    <xf numFmtId="0" fontId="157" fillId="34" borderId="219" xfId="0" applyFont="1" applyFill="1" applyBorder="1" applyAlignment="1" applyProtection="1">
      <alignment horizontal="center" vertical="center"/>
      <protection hidden="1"/>
    </xf>
    <xf numFmtId="0" fontId="239" fillId="34" borderId="250" xfId="0" applyFont="1" applyFill="1" applyBorder="1" applyAlignment="1" applyProtection="1">
      <alignment horizontal="center" vertical="center"/>
      <protection hidden="1"/>
    </xf>
    <xf numFmtId="0" fontId="239" fillId="34" borderId="0" xfId="0" applyFont="1" applyFill="1" applyAlignment="1" applyProtection="1">
      <alignment horizontal="center" vertical="center"/>
      <protection hidden="1"/>
    </xf>
    <xf numFmtId="0" fontId="239" fillId="34" borderId="219" xfId="0" applyFont="1" applyFill="1" applyBorder="1" applyAlignment="1" applyProtection="1">
      <alignment horizontal="center" vertical="center"/>
      <protection hidden="1"/>
    </xf>
    <xf numFmtId="2" fontId="239" fillId="34" borderId="0" xfId="0" applyNumberFormat="1" applyFont="1" applyFill="1" applyAlignment="1" applyProtection="1">
      <alignment horizontal="center" vertical="center"/>
      <protection hidden="1"/>
    </xf>
    <xf numFmtId="2" fontId="239" fillId="34" borderId="219" xfId="0" applyNumberFormat="1" applyFont="1" applyFill="1" applyBorder="1" applyAlignment="1" applyProtection="1">
      <alignment horizontal="center" vertical="center"/>
      <protection hidden="1"/>
    </xf>
    <xf numFmtId="2" fontId="239" fillId="34" borderId="250" xfId="0" applyNumberFormat="1" applyFont="1" applyFill="1" applyBorder="1" applyAlignment="1" applyProtection="1">
      <alignment horizontal="center" vertical="center"/>
      <protection hidden="1"/>
    </xf>
    <xf numFmtId="178" fontId="157" fillId="34" borderId="250" xfId="422" applyNumberFormat="1" applyFont="1" applyFill="1" applyBorder="1" applyAlignment="1" applyProtection="1">
      <alignment horizontal="center" vertical="center"/>
      <protection hidden="1"/>
    </xf>
    <xf numFmtId="178" fontId="157" fillId="34" borderId="0" xfId="422" applyNumberFormat="1" applyFont="1" applyFill="1" applyBorder="1" applyAlignment="1" applyProtection="1">
      <alignment horizontal="center" vertical="center"/>
      <protection hidden="1"/>
    </xf>
    <xf numFmtId="0" fontId="252" fillId="34" borderId="219" xfId="0" applyFont="1" applyFill="1" applyBorder="1" applyAlignment="1" applyProtection="1">
      <alignment horizontal="left" vertical="center"/>
      <protection hidden="1"/>
    </xf>
    <xf numFmtId="0" fontId="264" fillId="34" borderId="219" xfId="0" applyFont="1" applyFill="1" applyBorder="1" applyAlignment="1" applyProtection="1">
      <alignment horizontal="center" vertical="center"/>
      <protection hidden="1"/>
    </xf>
    <xf numFmtId="0" fontId="244" fillId="34" borderId="0" xfId="0" applyFont="1" applyFill="1" applyAlignment="1" applyProtection="1">
      <alignment horizontal="left" vertical="center"/>
      <protection hidden="1"/>
    </xf>
    <xf numFmtId="0" fontId="270" fillId="34" borderId="0" xfId="0" applyFont="1" applyFill="1" applyAlignment="1" applyProtection="1">
      <alignment horizontal="left"/>
      <protection hidden="1"/>
    </xf>
    <xf numFmtId="177" fontId="247" fillId="34" borderId="241" xfId="0" applyNumberFormat="1" applyFont="1" applyFill="1" applyBorder="1" applyAlignment="1" applyProtection="1">
      <alignment horizontal="center" vertical="center"/>
      <protection hidden="1"/>
    </xf>
    <xf numFmtId="178" fontId="156" fillId="34" borderId="216" xfId="422" applyNumberFormat="1" applyFont="1" applyFill="1" applyBorder="1" applyAlignment="1" applyProtection="1">
      <alignment horizontal="center" vertical="center"/>
      <protection hidden="1"/>
    </xf>
    <xf numFmtId="178" fontId="156" fillId="34" borderId="229" xfId="422" applyNumberFormat="1" applyFont="1" applyFill="1" applyBorder="1" applyAlignment="1" applyProtection="1">
      <alignment horizontal="center" vertical="center"/>
      <protection hidden="1"/>
    </xf>
    <xf numFmtId="0" fontId="242" fillId="34" borderId="250" xfId="0" applyFont="1" applyFill="1" applyBorder="1" applyAlignment="1" applyProtection="1">
      <alignment horizontal="center" vertical="center"/>
      <protection hidden="1"/>
    </xf>
    <xf numFmtId="0" fontId="242" fillId="34" borderId="219" xfId="0" applyFont="1" applyFill="1" applyBorder="1" applyAlignment="1" applyProtection="1">
      <alignment horizontal="center" vertical="center"/>
      <protection hidden="1"/>
    </xf>
    <xf numFmtId="0" fontId="261" fillId="34" borderId="0" xfId="0" applyFont="1" applyFill="1" applyAlignment="1" applyProtection="1">
      <alignment horizontal="right" vertical="center"/>
      <protection hidden="1"/>
    </xf>
    <xf numFmtId="2" fontId="157" fillId="34" borderId="0" xfId="0" applyNumberFormat="1" applyFont="1" applyFill="1" applyAlignment="1" applyProtection="1">
      <alignment horizontal="center" vertical="center"/>
      <protection hidden="1"/>
    </xf>
    <xf numFmtId="0" fontId="194" fillId="34" borderId="250" xfId="0" applyFont="1" applyFill="1" applyBorder="1" applyAlignment="1" applyProtection="1">
      <alignment horizontal="center" vertical="center"/>
      <protection hidden="1"/>
    </xf>
    <xf numFmtId="0" fontId="194" fillId="34" borderId="219" xfId="0" applyFont="1" applyFill="1" applyBorder="1" applyAlignment="1" applyProtection="1">
      <alignment horizontal="center" vertical="center"/>
      <protection hidden="1"/>
    </xf>
    <xf numFmtId="0" fontId="240" fillId="73" borderId="232" xfId="0" applyFont="1" applyFill="1" applyBorder="1" applyAlignment="1" applyProtection="1">
      <alignment horizontal="center" vertical="center" wrapText="1" shrinkToFit="1"/>
      <protection hidden="1"/>
    </xf>
    <xf numFmtId="0" fontId="109" fillId="60" borderId="288" xfId="0" applyFont="1" applyFill="1" applyBorder="1" applyAlignment="1" applyProtection="1">
      <alignment horizontal="center" vertical="center" wrapText="1" shrinkToFit="1"/>
      <protection hidden="1"/>
    </xf>
    <xf numFmtId="0" fontId="294" fillId="34" borderId="250" xfId="0" applyFont="1" applyFill="1" applyBorder="1" applyAlignment="1" applyProtection="1">
      <alignment horizontal="right" vertical="center" shrinkToFit="1"/>
      <protection hidden="1"/>
    </xf>
    <xf numFmtId="177" fontId="295" fillId="34" borderId="250" xfId="420" applyFont="1" applyFill="1" applyBorder="1" applyAlignment="1" applyProtection="1">
      <alignment horizontal="right" vertical="center" shrinkToFit="1"/>
      <protection hidden="1"/>
    </xf>
    <xf numFmtId="178" fontId="283" fillId="34" borderId="0" xfId="422" applyNumberFormat="1" applyFont="1" applyFill="1" applyBorder="1" applyAlignment="1" applyProtection="1">
      <alignment horizontal="right" vertical="center" shrinkToFit="1"/>
      <protection hidden="1"/>
    </xf>
    <xf numFmtId="0" fontId="256" fillId="79" borderId="0" xfId="0" applyFont="1" applyFill="1" applyAlignment="1" applyProtection="1">
      <alignment horizontal="right" vertical="center" shrinkToFit="1"/>
      <protection hidden="1"/>
    </xf>
    <xf numFmtId="10" fontId="267" fillId="34" borderId="223" xfId="0" applyNumberFormat="1" applyFont="1" applyFill="1" applyBorder="1" applyAlignment="1" applyProtection="1">
      <alignment horizontal="right" vertical="center"/>
      <protection hidden="1"/>
    </xf>
    <xf numFmtId="2" fontId="157" fillId="34" borderId="219" xfId="0" applyNumberFormat="1" applyFont="1" applyFill="1" applyBorder="1" applyAlignment="1" applyProtection="1">
      <alignment horizontal="center" vertical="center"/>
      <protection hidden="1"/>
    </xf>
    <xf numFmtId="0" fontId="255" fillId="34" borderId="219" xfId="0" applyFont="1" applyFill="1" applyBorder="1" applyAlignment="1" applyProtection="1">
      <alignment horizontal="center" vertical="center"/>
      <protection hidden="1"/>
    </xf>
    <xf numFmtId="10" fontId="155" fillId="34" borderId="223" xfId="0" applyNumberFormat="1" applyFont="1" applyFill="1" applyBorder="1" applyAlignment="1" applyProtection="1">
      <alignment horizontal="right" vertical="center"/>
      <protection hidden="1"/>
    </xf>
    <xf numFmtId="0" fontId="283" fillId="34" borderId="0" xfId="0" applyFont="1" applyFill="1" applyAlignment="1" applyProtection="1">
      <alignment horizontal="right" vertical="center" shrinkToFit="1"/>
      <protection hidden="1"/>
    </xf>
    <xf numFmtId="0" fontId="215" fillId="79" borderId="0" xfId="0" applyFont="1" applyFill="1" applyAlignment="1" applyProtection="1">
      <alignment horizontal="right" vertical="center"/>
      <protection hidden="1"/>
    </xf>
    <xf numFmtId="0" fontId="267" fillId="34" borderId="223" xfId="0" applyFont="1" applyFill="1" applyBorder="1" applyAlignment="1" applyProtection="1">
      <alignment horizontal="right" vertical="center"/>
      <protection hidden="1"/>
    </xf>
    <xf numFmtId="2" fontId="283" fillId="34" borderId="0" xfId="0" applyNumberFormat="1" applyFont="1" applyFill="1" applyAlignment="1" applyProtection="1">
      <alignment horizontal="right" vertical="center" shrinkToFit="1"/>
      <protection hidden="1"/>
    </xf>
    <xf numFmtId="0" fontId="239" fillId="34" borderId="0" xfId="0" applyFont="1" applyFill="1" applyAlignment="1" applyProtection="1">
      <alignment horizontal="right" vertical="center"/>
      <protection hidden="1"/>
    </xf>
    <xf numFmtId="0" fontId="65" fillId="34" borderId="299" xfId="0" applyFont="1" applyFill="1" applyBorder="1" applyAlignment="1" applyProtection="1">
      <alignment horizontal="right" vertical="center" wrapText="1"/>
      <protection hidden="1"/>
    </xf>
    <xf numFmtId="0" fontId="65" fillId="34" borderId="219" xfId="0" applyFont="1" applyFill="1" applyBorder="1" applyAlignment="1" applyProtection="1">
      <alignment horizontal="right" vertical="center" wrapText="1"/>
      <protection hidden="1"/>
    </xf>
    <xf numFmtId="206" fontId="188" fillId="34" borderId="223" xfId="0" applyNumberFormat="1" applyFont="1" applyFill="1" applyBorder="1" applyAlignment="1" applyProtection="1">
      <alignment horizontal="center" vertical="center"/>
      <protection hidden="1"/>
    </xf>
    <xf numFmtId="190" fontId="157" fillId="34" borderId="250" xfId="420" applyNumberFormat="1" applyFont="1" applyFill="1" applyBorder="1" applyAlignment="1" applyProtection="1">
      <alignment horizontal="right" vertical="center"/>
      <protection hidden="1"/>
    </xf>
    <xf numFmtId="0" fontId="239" fillId="34" borderId="250" xfId="0" applyFont="1" applyFill="1" applyBorder="1" applyAlignment="1" applyProtection="1">
      <alignment horizontal="right" vertical="center"/>
      <protection hidden="1"/>
    </xf>
    <xf numFmtId="190" fontId="157" fillId="34" borderId="0" xfId="420" applyNumberFormat="1" applyFont="1" applyFill="1" applyBorder="1" applyAlignment="1" applyProtection="1">
      <alignment horizontal="right" vertical="center"/>
      <protection hidden="1"/>
    </xf>
    <xf numFmtId="190" fontId="157" fillId="34" borderId="219" xfId="420" applyNumberFormat="1" applyFont="1" applyFill="1" applyBorder="1" applyAlignment="1" applyProtection="1">
      <alignment horizontal="right" vertical="center"/>
      <protection hidden="1"/>
    </xf>
    <xf numFmtId="0" fontId="239" fillId="34" borderId="219" xfId="0" applyFont="1" applyFill="1" applyBorder="1" applyAlignment="1" applyProtection="1">
      <alignment horizontal="right" vertical="center"/>
      <protection hidden="1"/>
    </xf>
    <xf numFmtId="0" fontId="296" fillId="34" borderId="0" xfId="0" applyFont="1" applyFill="1" applyAlignment="1" applyProtection="1">
      <alignment horizontal="right" vertical="center"/>
      <protection hidden="1"/>
    </xf>
    <xf numFmtId="10" fontId="218" fillId="34" borderId="0" xfId="0" applyNumberFormat="1" applyFont="1" applyFill="1" applyAlignment="1" applyProtection="1">
      <alignment horizontal="center" vertical="center" shrinkToFit="1"/>
      <protection hidden="1"/>
    </xf>
    <xf numFmtId="10" fontId="187" fillId="34" borderId="294" xfId="420" applyNumberFormat="1" applyFont="1" applyFill="1" applyBorder="1" applyAlignment="1" applyProtection="1">
      <alignment horizontal="center" vertical="center" shrinkToFit="1"/>
      <protection hidden="1"/>
    </xf>
    <xf numFmtId="0" fontId="153" fillId="34" borderId="111" xfId="453" applyFont="1" applyFill="1" applyBorder="1" applyAlignment="1" applyProtection="1">
      <alignment horizontal="center" vertical="center"/>
      <protection hidden="1"/>
    </xf>
    <xf numFmtId="0" fontId="153" fillId="34" borderId="139" xfId="453" applyFont="1" applyFill="1" applyBorder="1" applyAlignment="1" applyProtection="1">
      <alignment horizontal="center" vertical="center" wrapText="1"/>
      <protection hidden="1"/>
    </xf>
    <xf numFmtId="0" fontId="153" fillId="34" borderId="155" xfId="453" applyFont="1" applyFill="1" applyBorder="1" applyAlignment="1" applyProtection="1">
      <alignment horizontal="center" vertical="center" wrapText="1"/>
      <protection hidden="1"/>
    </xf>
    <xf numFmtId="0" fontId="301" fillId="38" borderId="0" xfId="453" applyFont="1" applyFill="1" applyAlignment="1" applyProtection="1">
      <alignment horizontal="center" vertical="center" wrapText="1"/>
      <protection hidden="1"/>
    </xf>
    <xf numFmtId="0" fontId="301" fillId="38" borderId="294" xfId="453" applyFont="1" applyFill="1" applyBorder="1" applyAlignment="1" applyProtection="1">
      <alignment horizontal="center" vertical="center" wrapText="1"/>
      <protection hidden="1"/>
    </xf>
    <xf numFmtId="0" fontId="301" fillId="34" borderId="0" xfId="453" applyFont="1" applyFill="1" applyAlignment="1" applyProtection="1">
      <alignment horizontal="center" vertical="center"/>
      <protection hidden="1"/>
    </xf>
    <xf numFmtId="10" fontId="115" fillId="34" borderId="0" xfId="422" applyNumberFormat="1" applyFont="1" applyFill="1" applyAlignment="1" applyProtection="1">
      <alignment horizontal="center" vertical="center"/>
      <protection hidden="1"/>
    </xf>
    <xf numFmtId="206" fontId="304" fillId="34" borderId="184" xfId="0" applyNumberFormat="1" applyFont="1" applyFill="1" applyBorder="1" applyAlignment="1" applyProtection="1">
      <alignment horizontal="center" vertical="center" shrinkToFit="1"/>
      <protection hidden="1"/>
    </xf>
    <xf numFmtId="0" fontId="0" fillId="34" borderId="0" xfId="0" applyFill="1" applyAlignment="1" applyProtection="1">
      <alignment horizontal="center" vertical="center"/>
      <protection locked="0"/>
    </xf>
    <xf numFmtId="0" fontId="207" fillId="60" borderId="0" xfId="453" applyFont="1" applyFill="1" applyAlignment="1" applyProtection="1">
      <alignment horizontal="center" vertical="center"/>
      <protection hidden="1"/>
    </xf>
    <xf numFmtId="190" fontId="257" fillId="34" borderId="111" xfId="420" applyNumberFormat="1" applyFont="1" applyFill="1" applyBorder="1" applyAlignment="1" applyProtection="1">
      <alignment horizontal="center" vertical="center" shrinkToFit="1"/>
      <protection hidden="1"/>
    </xf>
    <xf numFmtId="178" fontId="153" fillId="34" borderId="139" xfId="422" applyNumberFormat="1" applyFont="1" applyFill="1" applyBorder="1" applyAlignment="1" applyProtection="1">
      <alignment horizontal="center" vertical="center" shrinkToFit="1"/>
      <protection hidden="1"/>
    </xf>
    <xf numFmtId="205" fontId="257" fillId="34" borderId="155" xfId="420" applyNumberFormat="1" applyFont="1" applyFill="1" applyBorder="1" applyAlignment="1" applyProtection="1">
      <alignment horizontal="center" vertical="center" shrinkToFit="1"/>
      <protection hidden="1"/>
    </xf>
    <xf numFmtId="0" fontId="169" fillId="57" borderId="118" xfId="0" applyFont="1" applyFill="1" applyBorder="1" applyAlignment="1">
      <alignment horizontal="center" vertical="center"/>
    </xf>
    <xf numFmtId="0" fontId="169" fillId="57" borderId="119" xfId="0" applyFont="1" applyFill="1" applyBorder="1" applyAlignment="1">
      <alignment horizontal="center" vertical="center"/>
    </xf>
    <xf numFmtId="0" fontId="90" fillId="0" borderId="120" xfId="0" applyFont="1" applyBorder="1">
      <alignment vertical="center"/>
    </xf>
    <xf numFmtId="206" fontId="162" fillId="34" borderId="292" xfId="0" applyNumberFormat="1" applyFont="1" applyFill="1" applyBorder="1" applyAlignment="1" applyProtection="1">
      <alignment horizontal="right" vertical="center"/>
      <protection hidden="1"/>
    </xf>
    <xf numFmtId="206" fontId="216" fillId="34" borderId="184" xfId="0" applyNumberFormat="1" applyFont="1" applyFill="1" applyBorder="1" applyAlignment="1" applyProtection="1">
      <alignment horizontal="center" vertical="center" shrinkToFit="1"/>
      <protection hidden="1"/>
    </xf>
    <xf numFmtId="206" fontId="216" fillId="34" borderId="184" xfId="0" applyNumberFormat="1" applyFont="1" applyFill="1" applyBorder="1" applyAlignment="1" applyProtection="1">
      <alignment vertical="center" shrinkToFit="1"/>
      <protection hidden="1"/>
    </xf>
    <xf numFmtId="206" fontId="217" fillId="34" borderId="184" xfId="420" applyNumberFormat="1" applyFont="1" applyFill="1" applyBorder="1" applyAlignment="1" applyProtection="1">
      <alignment horizontal="center" vertical="center" shrinkToFit="1"/>
      <protection hidden="1"/>
    </xf>
    <xf numFmtId="206" fontId="217" fillId="34" borderId="186" xfId="420" applyNumberFormat="1" applyFont="1" applyFill="1" applyBorder="1" applyAlignment="1" applyProtection="1">
      <alignment horizontal="center" vertical="center" shrinkToFit="1"/>
      <protection hidden="1"/>
    </xf>
    <xf numFmtId="206" fontId="290" fillId="34" borderId="283" xfId="453" applyNumberFormat="1" applyFont="1" applyFill="1" applyBorder="1" applyAlignment="1" applyProtection="1">
      <alignment horizontal="center" vertical="center"/>
      <protection hidden="1"/>
    </xf>
    <xf numFmtId="206" fontId="290" fillId="34" borderId="46" xfId="453" applyNumberFormat="1" applyFont="1" applyFill="1" applyBorder="1" applyAlignment="1" applyProtection="1">
      <alignment horizontal="center" vertical="center"/>
      <protection hidden="1"/>
    </xf>
    <xf numFmtId="190" fontId="97" fillId="34" borderId="0" xfId="420" applyNumberFormat="1" applyFont="1" applyFill="1" applyBorder="1" applyAlignment="1" applyProtection="1">
      <alignment horizontal="center" vertical="center"/>
      <protection hidden="1"/>
    </xf>
    <xf numFmtId="177" fontId="60" fillId="0" borderId="0" xfId="0" applyNumberFormat="1" applyFont="1" applyAlignment="1">
      <alignment horizontal="center" vertical="center"/>
    </xf>
    <xf numFmtId="0" fontId="0" fillId="0" borderId="190" xfId="0" applyBorder="1" applyAlignment="1">
      <alignment horizontal="center" vertical="center"/>
    </xf>
    <xf numFmtId="0" fontId="0" fillId="0" borderId="15" xfId="0" applyBorder="1" applyAlignment="1">
      <alignment horizontal="center" vertical="center"/>
    </xf>
    <xf numFmtId="0" fontId="83" fillId="34" borderId="10" xfId="425" applyFont="1" applyFill="1" applyBorder="1" applyAlignment="1" applyProtection="1">
      <alignment horizontal="left" vertical="center"/>
      <protection hidden="1"/>
    </xf>
    <xf numFmtId="0" fontId="59" fillId="49" borderId="10" xfId="0" applyFont="1" applyFill="1" applyBorder="1" applyAlignment="1">
      <alignment horizontal="center" vertical="center"/>
    </xf>
    <xf numFmtId="0" fontId="83" fillId="34" borderId="136" xfId="425" applyFont="1" applyFill="1" applyBorder="1" applyAlignment="1" applyProtection="1">
      <alignment horizontal="left" vertical="center"/>
      <protection hidden="1"/>
    </xf>
    <xf numFmtId="0" fontId="83" fillId="34" borderId="137" xfId="425" applyFont="1" applyFill="1" applyBorder="1" applyAlignment="1" applyProtection="1">
      <alignment horizontal="left" vertical="center"/>
      <protection hidden="1"/>
    </xf>
    <xf numFmtId="0" fontId="83" fillId="34" borderId="138" xfId="425" applyFont="1" applyFill="1" applyBorder="1" applyAlignment="1" applyProtection="1">
      <alignment horizontal="left" vertical="center"/>
      <protection hidden="1"/>
    </xf>
    <xf numFmtId="0" fontId="71" fillId="33" borderId="0" xfId="425" applyFont="1" applyFill="1" applyAlignment="1" applyProtection="1">
      <alignment horizontal="center" vertical="center" wrapText="1"/>
      <protection hidden="1"/>
    </xf>
    <xf numFmtId="206" fontId="304" fillId="79" borderId="184" xfId="0" applyNumberFormat="1" applyFont="1" applyFill="1" applyBorder="1" applyAlignment="1" applyProtection="1">
      <alignment horizontal="center" vertical="center" shrinkToFit="1"/>
      <protection hidden="1"/>
    </xf>
    <xf numFmtId="10" fontId="216" fillId="79" borderId="185" xfId="422" applyNumberFormat="1" applyFont="1" applyFill="1" applyBorder="1" applyAlignment="1" applyProtection="1">
      <alignment horizontal="center" vertical="center" shrinkToFit="1"/>
      <protection hidden="1"/>
    </xf>
    <xf numFmtId="10" fontId="216" fillId="79" borderId="184" xfId="422" applyNumberFormat="1" applyFont="1" applyFill="1" applyBorder="1" applyAlignment="1" applyProtection="1">
      <alignment horizontal="center" vertical="center" shrinkToFit="1"/>
      <protection hidden="1"/>
    </xf>
    <xf numFmtId="10" fontId="216" fillId="79" borderId="186" xfId="422" applyNumberFormat="1" applyFont="1" applyFill="1" applyBorder="1" applyAlignment="1" applyProtection="1">
      <alignment horizontal="center" vertical="center" shrinkToFit="1"/>
      <protection hidden="1"/>
    </xf>
    <xf numFmtId="206" fontId="305" fillId="79" borderId="184" xfId="420" applyNumberFormat="1" applyFont="1" applyFill="1" applyBorder="1" applyAlignment="1" applyProtection="1">
      <alignment horizontal="center" vertical="center" shrinkToFit="1"/>
      <protection hidden="1"/>
    </xf>
    <xf numFmtId="206" fontId="305" fillId="79" borderId="186" xfId="420" applyNumberFormat="1" applyFont="1" applyFill="1" applyBorder="1" applyAlignment="1" applyProtection="1">
      <alignment horizontal="center" vertical="center" shrinkToFit="1"/>
      <protection hidden="1"/>
    </xf>
    <xf numFmtId="190" fontId="216" fillId="79" borderId="185" xfId="420" applyNumberFormat="1" applyFont="1" applyFill="1" applyBorder="1" applyAlignment="1" applyProtection="1">
      <alignment horizontal="center" vertical="center" shrinkToFit="1"/>
      <protection hidden="1"/>
    </xf>
    <xf numFmtId="190" fontId="216" fillId="79" borderId="184" xfId="420" applyNumberFormat="1" applyFont="1" applyFill="1" applyBorder="1" applyAlignment="1" applyProtection="1">
      <alignment horizontal="center" vertical="center" shrinkToFit="1"/>
      <protection hidden="1"/>
    </xf>
    <xf numFmtId="190" fontId="216" fillId="79" borderId="186" xfId="420" applyNumberFormat="1" applyFont="1" applyFill="1" applyBorder="1" applyAlignment="1" applyProtection="1">
      <alignment horizontal="center" vertical="center" shrinkToFit="1"/>
      <protection hidden="1"/>
    </xf>
    <xf numFmtId="200" fontId="216" fillId="79" borderId="185" xfId="420" applyNumberFormat="1" applyFont="1" applyFill="1" applyBorder="1" applyAlignment="1" applyProtection="1">
      <alignment horizontal="right" vertical="center" shrinkToFit="1"/>
      <protection hidden="1"/>
    </xf>
    <xf numFmtId="200" fontId="216" fillId="79" borderId="184" xfId="420" applyNumberFormat="1" applyFont="1" applyFill="1" applyBorder="1" applyAlignment="1" applyProtection="1">
      <alignment horizontal="right" vertical="center" shrinkToFit="1"/>
      <protection hidden="1"/>
    </xf>
    <xf numFmtId="200" fontId="216" fillId="79" borderId="253" xfId="420" applyNumberFormat="1" applyFont="1" applyFill="1" applyBorder="1" applyAlignment="1" applyProtection="1">
      <alignment horizontal="right" vertical="center" shrinkToFit="1"/>
      <protection hidden="1"/>
    </xf>
    <xf numFmtId="200" fontId="216" fillId="79" borderId="254" xfId="420" applyNumberFormat="1" applyFont="1" applyFill="1" applyBorder="1" applyAlignment="1" applyProtection="1">
      <alignment horizontal="right" vertical="center" shrinkToFit="1"/>
      <protection hidden="1"/>
    </xf>
    <xf numFmtId="200" fontId="216" fillId="79" borderId="186" xfId="420" applyNumberFormat="1" applyFont="1" applyFill="1" applyBorder="1" applyAlignment="1" applyProtection="1">
      <alignment horizontal="right" vertical="center" shrinkToFit="1"/>
      <protection hidden="1"/>
    </xf>
    <xf numFmtId="0" fontId="5" fillId="0" borderId="17" xfId="455" applyFont="1" applyBorder="1" applyAlignment="1">
      <alignment horizontal="center" vertical="center" wrapText="1"/>
    </xf>
    <xf numFmtId="0" fontId="6" fillId="0" borderId="20" xfId="455" applyBorder="1" applyAlignment="1">
      <alignment horizontal="center" vertical="center" wrapText="1"/>
    </xf>
    <xf numFmtId="0" fontId="6" fillId="0" borderId="20" xfId="455" applyBorder="1" applyAlignment="1">
      <alignment horizontal="center" vertical="center"/>
    </xf>
    <xf numFmtId="0" fontId="6" fillId="0" borderId="17" xfId="455" applyBorder="1" applyAlignment="1">
      <alignment horizontal="center" vertical="center" wrapText="1"/>
    </xf>
    <xf numFmtId="0" fontId="6" fillId="0" borderId="0" xfId="455" applyAlignment="1">
      <alignment horizontal="center" vertical="center"/>
    </xf>
    <xf numFmtId="0" fontId="6" fillId="0" borderId="22" xfId="455" applyBorder="1" applyAlignment="1">
      <alignment horizontal="center" vertical="center"/>
    </xf>
    <xf numFmtId="0" fontId="6" fillId="0" borderId="11" xfId="455" applyBorder="1" applyAlignment="1">
      <alignment horizontal="center" vertical="center"/>
    </xf>
    <xf numFmtId="0" fontId="184" fillId="34" borderId="0" xfId="425" applyFont="1" applyFill="1" applyAlignment="1" applyProtection="1">
      <alignment horizontal="center" vertical="center" wrapText="1"/>
      <protection hidden="1"/>
    </xf>
    <xf numFmtId="0" fontId="0" fillId="34" borderId="0" xfId="0" applyFill="1" applyAlignment="1" applyProtection="1">
      <alignment horizontal="center" vertical="center" wrapText="1"/>
      <protection hidden="1"/>
    </xf>
    <xf numFmtId="191" fontId="65" fillId="34" borderId="0" xfId="425" applyNumberFormat="1" applyFont="1" applyFill="1" applyAlignment="1" applyProtection="1">
      <alignment horizontal="center" vertical="center"/>
      <protection hidden="1"/>
    </xf>
    <xf numFmtId="0" fontId="187" fillId="34" borderId="0" xfId="425" applyFont="1" applyFill="1" applyAlignment="1" applyProtection="1">
      <alignment horizontal="center" vertical="center" textRotation="255" wrapText="1"/>
      <protection hidden="1"/>
    </xf>
    <xf numFmtId="0" fontId="109" fillId="60" borderId="143" xfId="0" applyFont="1" applyFill="1" applyBorder="1" applyAlignment="1" applyProtection="1">
      <alignment horizontal="center" vertical="center"/>
      <protection hidden="1"/>
    </xf>
    <xf numFmtId="0" fontId="207" fillId="60" borderId="0" xfId="425" applyFont="1" applyFill="1" applyAlignment="1" applyProtection="1">
      <alignment horizontal="center" vertical="center"/>
      <protection hidden="1"/>
    </xf>
    <xf numFmtId="0" fontId="109" fillId="60" borderId="167" xfId="0" applyFont="1" applyFill="1" applyBorder="1" applyAlignment="1" applyProtection="1">
      <alignment horizontal="center" vertical="center" wrapText="1"/>
      <protection hidden="1"/>
    </xf>
    <xf numFmtId="0" fontId="157" fillId="0" borderId="171" xfId="0" applyFont="1" applyBorder="1" applyAlignment="1" applyProtection="1">
      <alignment horizontal="center" vertical="center" wrapText="1"/>
      <protection hidden="1"/>
    </xf>
    <xf numFmtId="0" fontId="109" fillId="60" borderId="142" xfId="0" applyFont="1" applyFill="1" applyBorder="1" applyAlignment="1" applyProtection="1">
      <alignment horizontal="center" vertical="center"/>
      <protection hidden="1"/>
    </xf>
    <xf numFmtId="0" fontId="109" fillId="60" borderId="165" xfId="0" applyFont="1" applyFill="1" applyBorder="1" applyAlignment="1" applyProtection="1">
      <alignment horizontal="center" vertical="center" wrapText="1"/>
      <protection hidden="1"/>
    </xf>
    <xf numFmtId="0" fontId="157" fillId="0" borderId="166" xfId="0" applyFont="1" applyBorder="1" applyAlignment="1" applyProtection="1">
      <alignment horizontal="center" vertical="center"/>
      <protection hidden="1"/>
    </xf>
    <xf numFmtId="0" fontId="109" fillId="60" borderId="143" xfId="0" applyFont="1" applyFill="1" applyBorder="1" applyAlignment="1" applyProtection="1">
      <alignment horizontal="center" vertical="center" wrapText="1"/>
      <protection hidden="1"/>
    </xf>
    <xf numFmtId="0" fontId="157" fillId="0" borderId="0" xfId="0" applyFont="1" applyAlignment="1" applyProtection="1">
      <alignment horizontal="center" vertical="center"/>
      <protection hidden="1"/>
    </xf>
    <xf numFmtId="0" fontId="109" fillId="60" borderId="169" xfId="0" applyFont="1" applyFill="1" applyBorder="1" applyAlignment="1" applyProtection="1">
      <alignment horizontal="center" vertical="center"/>
      <protection hidden="1"/>
    </xf>
    <xf numFmtId="0" fontId="109" fillId="60" borderId="164" xfId="0" applyFont="1" applyFill="1" applyBorder="1" applyAlignment="1" applyProtection="1">
      <alignment horizontal="center" vertical="center"/>
      <protection hidden="1"/>
    </xf>
    <xf numFmtId="0" fontId="109" fillId="60" borderId="170" xfId="0" applyFont="1" applyFill="1" applyBorder="1" applyAlignment="1" applyProtection="1">
      <alignment horizontal="center" vertical="center"/>
      <protection hidden="1"/>
    </xf>
    <xf numFmtId="0" fontId="109" fillId="60" borderId="98" xfId="0" applyFont="1" applyFill="1" applyBorder="1" applyAlignment="1" applyProtection="1">
      <alignment horizontal="center" vertical="center"/>
      <protection hidden="1"/>
    </xf>
    <xf numFmtId="0" fontId="109" fillId="60" borderId="167" xfId="0" applyFont="1" applyFill="1" applyBorder="1" applyAlignment="1" applyProtection="1">
      <alignment horizontal="center" vertical="center"/>
      <protection hidden="1"/>
    </xf>
    <xf numFmtId="0" fontId="218" fillId="34" borderId="0" xfId="0" applyFont="1" applyFill="1" applyAlignment="1" applyProtection="1">
      <alignment horizontal="center" vertical="center" wrapText="1"/>
      <protection hidden="1"/>
    </xf>
    <xf numFmtId="190" fontId="120" fillId="34" borderId="0" xfId="420" applyNumberFormat="1" applyFont="1" applyFill="1" applyBorder="1" applyAlignment="1" applyProtection="1">
      <alignment horizontal="center" vertical="center"/>
      <protection hidden="1"/>
    </xf>
    <xf numFmtId="0" fontId="189" fillId="34" borderId="0" xfId="0" applyFont="1" applyFill="1" applyAlignment="1" applyProtection="1">
      <alignment horizontal="center"/>
      <protection hidden="1"/>
    </xf>
    <xf numFmtId="10" fontId="157" fillId="34" borderId="163" xfId="0" applyNumberFormat="1" applyFont="1" applyFill="1" applyBorder="1" applyAlignment="1" applyProtection="1">
      <alignment horizontal="center" vertical="center" shrinkToFit="1"/>
      <protection hidden="1"/>
    </xf>
    <xf numFmtId="190" fontId="156" fillId="34" borderId="111" xfId="420" applyNumberFormat="1" applyFont="1" applyFill="1" applyBorder="1" applyAlignment="1" applyProtection="1">
      <alignment horizontal="center" vertical="center" shrinkToFit="1"/>
      <protection hidden="1"/>
    </xf>
    <xf numFmtId="178" fontId="65" fillId="34" borderId="139" xfId="422" applyNumberFormat="1" applyFont="1" applyFill="1" applyBorder="1" applyAlignment="1" applyProtection="1">
      <alignment horizontal="center" vertical="center" shrinkToFit="1"/>
      <protection hidden="1"/>
    </xf>
    <xf numFmtId="205" fontId="156" fillId="34" borderId="155" xfId="420" applyNumberFormat="1" applyFont="1" applyFill="1" applyBorder="1" applyAlignment="1" applyProtection="1">
      <alignment horizontal="center" vertical="center" shrinkToFit="1"/>
      <protection hidden="1"/>
    </xf>
    <xf numFmtId="10" fontId="157" fillId="34" borderId="48" xfId="0" applyNumberFormat="1" applyFont="1" applyFill="1" applyBorder="1" applyAlignment="1" applyProtection="1">
      <alignment horizontal="center" vertical="center" shrinkToFit="1"/>
      <protection hidden="1"/>
    </xf>
    <xf numFmtId="10" fontId="157" fillId="34" borderId="0" xfId="0" applyNumberFormat="1" applyFont="1" applyFill="1" applyAlignment="1" applyProtection="1">
      <alignment horizontal="center" vertical="center" shrinkToFit="1"/>
      <protection hidden="1"/>
    </xf>
    <xf numFmtId="10" fontId="209" fillId="34" borderId="156" xfId="420" applyNumberFormat="1" applyFont="1" applyFill="1" applyBorder="1" applyAlignment="1" applyProtection="1">
      <alignment horizontal="center" vertical="center" shrinkToFit="1"/>
      <protection hidden="1"/>
    </xf>
    <xf numFmtId="0" fontId="208" fillId="38" borderId="156" xfId="425" applyFont="1" applyFill="1" applyBorder="1" applyAlignment="1" applyProtection="1">
      <alignment horizontal="center" vertical="center" wrapText="1"/>
      <protection hidden="1"/>
    </xf>
    <xf numFmtId="0" fontId="208" fillId="34" borderId="163" xfId="425" applyFont="1" applyFill="1" applyBorder="1" applyAlignment="1" applyProtection="1">
      <alignment horizontal="center" vertical="center"/>
      <protection hidden="1"/>
    </xf>
    <xf numFmtId="0" fontId="65" fillId="34" borderId="139" xfId="425" applyFont="1" applyFill="1" applyBorder="1" applyAlignment="1" applyProtection="1">
      <alignment horizontal="center" vertical="center" wrapText="1"/>
      <protection hidden="1"/>
    </xf>
    <xf numFmtId="0" fontId="65" fillId="34" borderId="155" xfId="425" applyFont="1" applyFill="1" applyBorder="1" applyAlignment="1" applyProtection="1">
      <alignment horizontal="center" vertical="center" wrapText="1"/>
      <protection hidden="1"/>
    </xf>
    <xf numFmtId="0" fontId="208" fillId="38" borderId="48" xfId="425" applyFont="1" applyFill="1" applyBorder="1" applyAlignment="1" applyProtection="1">
      <alignment horizontal="center" vertical="center" wrapText="1"/>
      <protection hidden="1"/>
    </xf>
    <xf numFmtId="0" fontId="208" fillId="38" borderId="0" xfId="425" applyFont="1" applyFill="1" applyAlignment="1" applyProtection="1">
      <alignment horizontal="center" vertical="center" wrapText="1"/>
      <protection hidden="1"/>
    </xf>
    <xf numFmtId="181" fontId="150" fillId="66" borderId="0" xfId="420" applyNumberFormat="1" applyFont="1" applyFill="1" applyBorder="1" applyAlignment="1" applyProtection="1">
      <alignment horizontal="center" vertical="center"/>
      <protection hidden="1"/>
    </xf>
    <xf numFmtId="181" fontId="150" fillId="66" borderId="162" xfId="420" applyNumberFormat="1" applyFont="1" applyFill="1" applyBorder="1" applyAlignment="1" applyProtection="1">
      <alignment horizontal="center" vertical="center"/>
      <protection hidden="1"/>
    </xf>
    <xf numFmtId="181" fontId="150" fillId="66" borderId="132" xfId="420" applyNumberFormat="1" applyFont="1" applyFill="1" applyBorder="1" applyAlignment="1" applyProtection="1">
      <alignment horizontal="center" vertical="center"/>
      <protection hidden="1"/>
    </xf>
    <xf numFmtId="181" fontId="150" fillId="66" borderId="176" xfId="420" applyNumberFormat="1" applyFont="1" applyFill="1" applyBorder="1" applyAlignment="1" applyProtection="1">
      <alignment horizontal="center" vertical="center"/>
      <protection hidden="1"/>
    </xf>
    <xf numFmtId="0" fontId="109" fillId="60" borderId="178" xfId="0" applyFont="1" applyFill="1" applyBorder="1" applyAlignment="1" applyProtection="1">
      <alignment horizontal="center" vertical="center" wrapText="1"/>
      <protection hidden="1"/>
    </xf>
    <xf numFmtId="0" fontId="109" fillId="60" borderId="179" xfId="0" applyFont="1" applyFill="1" applyBorder="1" applyAlignment="1" applyProtection="1">
      <alignment horizontal="center" vertical="center" wrapText="1"/>
      <protection hidden="1"/>
    </xf>
    <xf numFmtId="0" fontId="210" fillId="34" borderId="0" xfId="446" applyFont="1" applyFill="1" applyAlignment="1" applyProtection="1">
      <alignment horizontal="center"/>
      <protection hidden="1"/>
    </xf>
    <xf numFmtId="0" fontId="109" fillId="60" borderId="165" xfId="0" applyFont="1" applyFill="1" applyBorder="1" applyAlignment="1" applyProtection="1">
      <alignment horizontal="center" vertical="center"/>
      <protection hidden="1"/>
    </xf>
    <xf numFmtId="0" fontId="201" fillId="53" borderId="0" xfId="425" applyFont="1" applyFill="1" applyAlignment="1" applyProtection="1">
      <alignment horizontal="left" shrinkToFit="1"/>
      <protection hidden="1"/>
    </xf>
    <xf numFmtId="14" fontId="163" fillId="34" borderId="157" xfId="425" applyNumberFormat="1" applyFont="1" applyFill="1" applyBorder="1" applyAlignment="1" applyProtection="1">
      <alignment horizontal="right"/>
      <protection hidden="1"/>
    </xf>
    <xf numFmtId="0" fontId="65" fillId="34" borderId="111" xfId="425" applyFont="1" applyFill="1" applyBorder="1" applyAlignment="1" applyProtection="1">
      <alignment horizontal="center" vertical="center"/>
      <protection hidden="1"/>
    </xf>
    <xf numFmtId="0" fontId="207" fillId="34" borderId="0" xfId="425" applyFont="1" applyFill="1" applyAlignment="1" applyProtection="1">
      <alignment horizontal="center" vertical="center"/>
      <protection hidden="1"/>
    </xf>
  </cellXfs>
  <cellStyles count="456">
    <cellStyle name="20% - Accent1 2" xfId="1" xr:uid="{00000000-0005-0000-0000-000000000000}"/>
    <cellStyle name="20% - Accent1 3" xfId="2" xr:uid="{00000000-0005-0000-0000-000001000000}"/>
    <cellStyle name="20% - Accent1 4" xfId="3" xr:uid="{00000000-0005-0000-0000-000002000000}"/>
    <cellStyle name="20% - Accent1 5" xfId="4" xr:uid="{00000000-0005-0000-0000-000003000000}"/>
    <cellStyle name="20% - Accent1 5 2" xfId="5" xr:uid="{00000000-0005-0000-0000-000004000000}"/>
    <cellStyle name="20% - Accent1 5 3" xfId="6" xr:uid="{00000000-0005-0000-0000-000005000000}"/>
    <cellStyle name="20% - Accent1 6" xfId="7" xr:uid="{00000000-0005-0000-0000-000006000000}"/>
    <cellStyle name="20% - Accent1 7" xfId="8" xr:uid="{00000000-0005-0000-0000-000007000000}"/>
    <cellStyle name="20% - Accent2 2" xfId="9" xr:uid="{00000000-0005-0000-0000-000008000000}"/>
    <cellStyle name="20% - Accent2 3" xfId="10" xr:uid="{00000000-0005-0000-0000-000009000000}"/>
    <cellStyle name="20% - Accent2 4" xfId="11" xr:uid="{00000000-0005-0000-0000-00000A000000}"/>
    <cellStyle name="20% - Accent2 5" xfId="12" xr:uid="{00000000-0005-0000-0000-00000B000000}"/>
    <cellStyle name="20% - Accent2 5 2" xfId="13" xr:uid="{00000000-0005-0000-0000-00000C000000}"/>
    <cellStyle name="20% - Accent2 5 3" xfId="14" xr:uid="{00000000-0005-0000-0000-00000D000000}"/>
    <cellStyle name="20% - Accent2 6" xfId="15" xr:uid="{00000000-0005-0000-0000-00000E000000}"/>
    <cellStyle name="20% - Accent2 7" xfId="16" xr:uid="{00000000-0005-0000-0000-00000F000000}"/>
    <cellStyle name="20% - Accent3 2" xfId="17" xr:uid="{00000000-0005-0000-0000-000010000000}"/>
    <cellStyle name="20% - Accent3 3" xfId="18" xr:uid="{00000000-0005-0000-0000-000011000000}"/>
    <cellStyle name="20% - Accent3 4" xfId="19" xr:uid="{00000000-0005-0000-0000-000012000000}"/>
    <cellStyle name="20% - Accent3 5" xfId="20" xr:uid="{00000000-0005-0000-0000-000013000000}"/>
    <cellStyle name="20% - Accent3 5 2" xfId="21" xr:uid="{00000000-0005-0000-0000-000014000000}"/>
    <cellStyle name="20% - Accent3 5 3" xfId="22" xr:uid="{00000000-0005-0000-0000-000015000000}"/>
    <cellStyle name="20% - Accent3 6" xfId="23" xr:uid="{00000000-0005-0000-0000-000016000000}"/>
    <cellStyle name="20% - Accent3 7" xfId="24" xr:uid="{00000000-0005-0000-0000-000017000000}"/>
    <cellStyle name="20% - Accent4 2" xfId="25" xr:uid="{00000000-0005-0000-0000-000018000000}"/>
    <cellStyle name="20% - Accent4 3" xfId="26" xr:uid="{00000000-0005-0000-0000-000019000000}"/>
    <cellStyle name="20% - Accent4 4" xfId="27" xr:uid="{00000000-0005-0000-0000-00001A000000}"/>
    <cellStyle name="20% - Accent4 5" xfId="28" xr:uid="{00000000-0005-0000-0000-00001B000000}"/>
    <cellStyle name="20% - Accent4 5 2" xfId="29" xr:uid="{00000000-0005-0000-0000-00001C000000}"/>
    <cellStyle name="20% - Accent4 5 3" xfId="30" xr:uid="{00000000-0005-0000-0000-00001D000000}"/>
    <cellStyle name="20% - Accent4 6" xfId="31" xr:uid="{00000000-0005-0000-0000-00001E000000}"/>
    <cellStyle name="20% - Accent4 7" xfId="32" xr:uid="{00000000-0005-0000-0000-00001F000000}"/>
    <cellStyle name="20% - Accent5 2" xfId="33" xr:uid="{00000000-0005-0000-0000-000020000000}"/>
    <cellStyle name="20% - Accent5 3" xfId="34" xr:uid="{00000000-0005-0000-0000-000021000000}"/>
    <cellStyle name="20% - Accent5 4" xfId="35" xr:uid="{00000000-0005-0000-0000-000022000000}"/>
    <cellStyle name="20% - Accent5 5" xfId="36" xr:uid="{00000000-0005-0000-0000-000023000000}"/>
    <cellStyle name="20% - Accent5 5 2" xfId="37" xr:uid="{00000000-0005-0000-0000-000024000000}"/>
    <cellStyle name="20% - Accent5 5 3" xfId="38" xr:uid="{00000000-0005-0000-0000-000025000000}"/>
    <cellStyle name="20% - Accent5 6" xfId="39" xr:uid="{00000000-0005-0000-0000-000026000000}"/>
    <cellStyle name="20% - Accent5 7" xfId="40" xr:uid="{00000000-0005-0000-0000-000027000000}"/>
    <cellStyle name="20% - Accent6 2" xfId="41" xr:uid="{00000000-0005-0000-0000-000028000000}"/>
    <cellStyle name="20% - Accent6 3" xfId="42" xr:uid="{00000000-0005-0000-0000-000029000000}"/>
    <cellStyle name="20% - Accent6 4" xfId="43" xr:uid="{00000000-0005-0000-0000-00002A000000}"/>
    <cellStyle name="20% - Accent6 5" xfId="44" xr:uid="{00000000-0005-0000-0000-00002B000000}"/>
    <cellStyle name="20% - Accent6 5 2" xfId="45" xr:uid="{00000000-0005-0000-0000-00002C000000}"/>
    <cellStyle name="20% - Accent6 5 3" xfId="46" xr:uid="{00000000-0005-0000-0000-00002D000000}"/>
    <cellStyle name="20% - Accent6 6" xfId="47" xr:uid="{00000000-0005-0000-0000-00002E000000}"/>
    <cellStyle name="20% - Accent6 7" xfId="48" xr:uid="{00000000-0005-0000-0000-00002F000000}"/>
    <cellStyle name="40% - Accent1 2" xfId="49" xr:uid="{00000000-0005-0000-0000-000030000000}"/>
    <cellStyle name="40% - Accent1 3" xfId="50" xr:uid="{00000000-0005-0000-0000-000031000000}"/>
    <cellStyle name="40% - Accent1 4" xfId="51" xr:uid="{00000000-0005-0000-0000-000032000000}"/>
    <cellStyle name="40% - Accent1 5" xfId="52" xr:uid="{00000000-0005-0000-0000-000033000000}"/>
    <cellStyle name="40% - Accent1 5 2" xfId="53" xr:uid="{00000000-0005-0000-0000-000034000000}"/>
    <cellStyle name="40% - Accent1 5 3" xfId="54" xr:uid="{00000000-0005-0000-0000-000035000000}"/>
    <cellStyle name="40% - Accent1 6" xfId="55" xr:uid="{00000000-0005-0000-0000-000036000000}"/>
    <cellStyle name="40% - Accent1 7" xfId="56" xr:uid="{00000000-0005-0000-0000-000037000000}"/>
    <cellStyle name="40% - Accent2 2" xfId="57" xr:uid="{00000000-0005-0000-0000-000038000000}"/>
    <cellStyle name="40% - Accent2 3" xfId="58" xr:uid="{00000000-0005-0000-0000-000039000000}"/>
    <cellStyle name="40% - Accent2 4" xfId="59" xr:uid="{00000000-0005-0000-0000-00003A000000}"/>
    <cellStyle name="40% - Accent2 5" xfId="60" xr:uid="{00000000-0005-0000-0000-00003B000000}"/>
    <cellStyle name="40% - Accent2 5 2" xfId="61" xr:uid="{00000000-0005-0000-0000-00003C000000}"/>
    <cellStyle name="40% - Accent2 5 3" xfId="62" xr:uid="{00000000-0005-0000-0000-00003D000000}"/>
    <cellStyle name="40% - Accent2 6" xfId="63" xr:uid="{00000000-0005-0000-0000-00003E000000}"/>
    <cellStyle name="40% - Accent2 7" xfId="64" xr:uid="{00000000-0005-0000-0000-00003F000000}"/>
    <cellStyle name="40% - Accent3 2" xfId="65" xr:uid="{00000000-0005-0000-0000-000040000000}"/>
    <cellStyle name="40% - Accent3 3" xfId="66" xr:uid="{00000000-0005-0000-0000-000041000000}"/>
    <cellStyle name="40% - Accent3 4" xfId="67" xr:uid="{00000000-0005-0000-0000-000042000000}"/>
    <cellStyle name="40% - Accent3 5" xfId="68" xr:uid="{00000000-0005-0000-0000-000043000000}"/>
    <cellStyle name="40% - Accent3 5 2" xfId="69" xr:uid="{00000000-0005-0000-0000-000044000000}"/>
    <cellStyle name="40% - Accent3 5 3" xfId="70" xr:uid="{00000000-0005-0000-0000-000045000000}"/>
    <cellStyle name="40% - Accent3 6" xfId="71" xr:uid="{00000000-0005-0000-0000-000046000000}"/>
    <cellStyle name="40% - Accent3 7" xfId="72" xr:uid="{00000000-0005-0000-0000-000047000000}"/>
    <cellStyle name="40% - Accent4 2" xfId="73" xr:uid="{00000000-0005-0000-0000-000048000000}"/>
    <cellStyle name="40% - Accent4 3" xfId="74" xr:uid="{00000000-0005-0000-0000-000049000000}"/>
    <cellStyle name="40% - Accent4 4" xfId="75" xr:uid="{00000000-0005-0000-0000-00004A000000}"/>
    <cellStyle name="40% - Accent4 5" xfId="76" xr:uid="{00000000-0005-0000-0000-00004B000000}"/>
    <cellStyle name="40% - Accent4 5 2" xfId="77" xr:uid="{00000000-0005-0000-0000-00004C000000}"/>
    <cellStyle name="40% - Accent4 5 3" xfId="78" xr:uid="{00000000-0005-0000-0000-00004D000000}"/>
    <cellStyle name="40% - Accent4 6" xfId="79" xr:uid="{00000000-0005-0000-0000-00004E000000}"/>
    <cellStyle name="40% - Accent4 7" xfId="80" xr:uid="{00000000-0005-0000-0000-00004F000000}"/>
    <cellStyle name="40% - Accent5 2" xfId="81" xr:uid="{00000000-0005-0000-0000-000050000000}"/>
    <cellStyle name="40% - Accent5 3" xfId="82" xr:uid="{00000000-0005-0000-0000-000051000000}"/>
    <cellStyle name="40% - Accent5 4" xfId="83" xr:uid="{00000000-0005-0000-0000-000052000000}"/>
    <cellStyle name="40% - Accent5 5" xfId="84" xr:uid="{00000000-0005-0000-0000-000053000000}"/>
    <cellStyle name="40% - Accent5 5 2" xfId="85" xr:uid="{00000000-0005-0000-0000-000054000000}"/>
    <cellStyle name="40% - Accent5 5 3" xfId="86" xr:uid="{00000000-0005-0000-0000-000055000000}"/>
    <cellStyle name="40% - Accent5 6" xfId="87" xr:uid="{00000000-0005-0000-0000-000056000000}"/>
    <cellStyle name="40% - Accent5 7" xfId="88" xr:uid="{00000000-0005-0000-0000-000057000000}"/>
    <cellStyle name="40% - Accent6 2" xfId="89" xr:uid="{00000000-0005-0000-0000-000058000000}"/>
    <cellStyle name="40% - Accent6 3" xfId="90" xr:uid="{00000000-0005-0000-0000-000059000000}"/>
    <cellStyle name="40% - Accent6 4" xfId="91" xr:uid="{00000000-0005-0000-0000-00005A000000}"/>
    <cellStyle name="40% - Accent6 5" xfId="92" xr:uid="{00000000-0005-0000-0000-00005B000000}"/>
    <cellStyle name="40% - Accent6 5 2" xfId="93" xr:uid="{00000000-0005-0000-0000-00005C000000}"/>
    <cellStyle name="40% - Accent6 5 3" xfId="94" xr:uid="{00000000-0005-0000-0000-00005D000000}"/>
    <cellStyle name="40% - Accent6 6" xfId="95" xr:uid="{00000000-0005-0000-0000-00005E000000}"/>
    <cellStyle name="40% - Accent6 7" xfId="96" xr:uid="{00000000-0005-0000-0000-00005F000000}"/>
    <cellStyle name="60% - Accent1 2" xfId="97" xr:uid="{00000000-0005-0000-0000-000060000000}"/>
    <cellStyle name="60% - Accent1 3" xfId="98" xr:uid="{00000000-0005-0000-0000-000061000000}"/>
    <cellStyle name="60% - Accent1 4" xfId="99" xr:uid="{00000000-0005-0000-0000-000062000000}"/>
    <cellStyle name="60% - Accent1 5" xfId="100" xr:uid="{00000000-0005-0000-0000-000063000000}"/>
    <cellStyle name="60% - Accent1 5 2" xfId="101" xr:uid="{00000000-0005-0000-0000-000064000000}"/>
    <cellStyle name="60% - Accent1 5 3" xfId="102" xr:uid="{00000000-0005-0000-0000-000065000000}"/>
    <cellStyle name="60% - Accent1 6" xfId="103" xr:uid="{00000000-0005-0000-0000-000066000000}"/>
    <cellStyle name="60% - Accent1 7" xfId="104" xr:uid="{00000000-0005-0000-0000-000067000000}"/>
    <cellStyle name="60% - Accent2 2" xfId="105" xr:uid="{00000000-0005-0000-0000-000068000000}"/>
    <cellStyle name="60% - Accent2 3" xfId="106" xr:uid="{00000000-0005-0000-0000-000069000000}"/>
    <cellStyle name="60% - Accent2 4" xfId="107" xr:uid="{00000000-0005-0000-0000-00006A000000}"/>
    <cellStyle name="60% - Accent2 5" xfId="108" xr:uid="{00000000-0005-0000-0000-00006B000000}"/>
    <cellStyle name="60% - Accent2 5 2" xfId="109" xr:uid="{00000000-0005-0000-0000-00006C000000}"/>
    <cellStyle name="60% - Accent2 5 3" xfId="110" xr:uid="{00000000-0005-0000-0000-00006D000000}"/>
    <cellStyle name="60% - Accent2 6" xfId="111" xr:uid="{00000000-0005-0000-0000-00006E000000}"/>
    <cellStyle name="60% - Accent2 7" xfId="112" xr:uid="{00000000-0005-0000-0000-00006F000000}"/>
    <cellStyle name="60% - Accent3 2" xfId="113" xr:uid="{00000000-0005-0000-0000-000070000000}"/>
    <cellStyle name="60% - Accent3 3" xfId="114" xr:uid="{00000000-0005-0000-0000-000071000000}"/>
    <cellStyle name="60% - Accent3 4" xfId="115" xr:uid="{00000000-0005-0000-0000-000072000000}"/>
    <cellStyle name="60% - Accent3 5" xfId="116" xr:uid="{00000000-0005-0000-0000-000073000000}"/>
    <cellStyle name="60% - Accent3 5 2" xfId="117" xr:uid="{00000000-0005-0000-0000-000074000000}"/>
    <cellStyle name="60% - Accent3 5 3" xfId="118" xr:uid="{00000000-0005-0000-0000-000075000000}"/>
    <cellStyle name="60% - Accent3 6" xfId="119" xr:uid="{00000000-0005-0000-0000-000076000000}"/>
    <cellStyle name="60% - Accent3 7" xfId="120" xr:uid="{00000000-0005-0000-0000-000077000000}"/>
    <cellStyle name="60% - Accent4 2" xfId="121" xr:uid="{00000000-0005-0000-0000-000078000000}"/>
    <cellStyle name="60% - Accent4 3" xfId="122" xr:uid="{00000000-0005-0000-0000-000079000000}"/>
    <cellStyle name="60% - Accent4 4" xfId="123" xr:uid="{00000000-0005-0000-0000-00007A000000}"/>
    <cellStyle name="60% - Accent4 5" xfId="124" xr:uid="{00000000-0005-0000-0000-00007B000000}"/>
    <cellStyle name="60% - Accent4 5 2" xfId="125" xr:uid="{00000000-0005-0000-0000-00007C000000}"/>
    <cellStyle name="60% - Accent4 5 3" xfId="126" xr:uid="{00000000-0005-0000-0000-00007D000000}"/>
    <cellStyle name="60% - Accent4 6" xfId="127" xr:uid="{00000000-0005-0000-0000-00007E000000}"/>
    <cellStyle name="60% - Accent4 7" xfId="128" xr:uid="{00000000-0005-0000-0000-00007F000000}"/>
    <cellStyle name="60% - Accent5 2" xfId="129" xr:uid="{00000000-0005-0000-0000-000080000000}"/>
    <cellStyle name="60% - Accent5 3" xfId="130" xr:uid="{00000000-0005-0000-0000-000081000000}"/>
    <cellStyle name="60% - Accent5 4" xfId="131" xr:uid="{00000000-0005-0000-0000-000082000000}"/>
    <cellStyle name="60% - Accent5 5" xfId="132" xr:uid="{00000000-0005-0000-0000-000083000000}"/>
    <cellStyle name="60% - Accent5 5 2" xfId="133" xr:uid="{00000000-0005-0000-0000-000084000000}"/>
    <cellStyle name="60% - Accent5 5 3" xfId="134" xr:uid="{00000000-0005-0000-0000-000085000000}"/>
    <cellStyle name="60% - Accent5 6" xfId="135" xr:uid="{00000000-0005-0000-0000-000086000000}"/>
    <cellStyle name="60% - Accent5 7" xfId="136" xr:uid="{00000000-0005-0000-0000-000087000000}"/>
    <cellStyle name="60% - Accent6 2" xfId="137" xr:uid="{00000000-0005-0000-0000-000088000000}"/>
    <cellStyle name="60% - Accent6 3" xfId="138" xr:uid="{00000000-0005-0000-0000-000089000000}"/>
    <cellStyle name="60% - Accent6 4" xfId="139" xr:uid="{00000000-0005-0000-0000-00008A000000}"/>
    <cellStyle name="60% - Accent6 5" xfId="140" xr:uid="{00000000-0005-0000-0000-00008B000000}"/>
    <cellStyle name="60% - Accent6 5 2" xfId="141" xr:uid="{00000000-0005-0000-0000-00008C000000}"/>
    <cellStyle name="60% - Accent6 5 3" xfId="142" xr:uid="{00000000-0005-0000-0000-00008D000000}"/>
    <cellStyle name="60% - Accent6 6" xfId="143" xr:uid="{00000000-0005-0000-0000-00008E000000}"/>
    <cellStyle name="60% - Accent6 7" xfId="144" xr:uid="{00000000-0005-0000-0000-00008F000000}"/>
    <cellStyle name="Accent1 2" xfId="145" xr:uid="{00000000-0005-0000-0000-000090000000}"/>
    <cellStyle name="Accent1 3" xfId="146" xr:uid="{00000000-0005-0000-0000-000091000000}"/>
    <cellStyle name="Accent1 4" xfId="147" xr:uid="{00000000-0005-0000-0000-000092000000}"/>
    <cellStyle name="Accent1 5" xfId="148" xr:uid="{00000000-0005-0000-0000-000093000000}"/>
    <cellStyle name="Accent1 5 2" xfId="149" xr:uid="{00000000-0005-0000-0000-000094000000}"/>
    <cellStyle name="Accent1 5 3" xfId="150" xr:uid="{00000000-0005-0000-0000-000095000000}"/>
    <cellStyle name="Accent1 6" xfId="151" xr:uid="{00000000-0005-0000-0000-000096000000}"/>
    <cellStyle name="Accent1 7" xfId="152" xr:uid="{00000000-0005-0000-0000-000097000000}"/>
    <cellStyle name="Accent2 2" xfId="153" xr:uid="{00000000-0005-0000-0000-000098000000}"/>
    <cellStyle name="Accent2 3" xfId="154" xr:uid="{00000000-0005-0000-0000-000099000000}"/>
    <cellStyle name="Accent2 4" xfId="155" xr:uid="{00000000-0005-0000-0000-00009A000000}"/>
    <cellStyle name="Accent2 5" xfId="156" xr:uid="{00000000-0005-0000-0000-00009B000000}"/>
    <cellStyle name="Accent2 5 2" xfId="157" xr:uid="{00000000-0005-0000-0000-00009C000000}"/>
    <cellStyle name="Accent2 5 3" xfId="158" xr:uid="{00000000-0005-0000-0000-00009D000000}"/>
    <cellStyle name="Accent2 6" xfId="159" xr:uid="{00000000-0005-0000-0000-00009E000000}"/>
    <cellStyle name="Accent2 7" xfId="160" xr:uid="{00000000-0005-0000-0000-00009F000000}"/>
    <cellStyle name="Accent3 2" xfId="161" xr:uid="{00000000-0005-0000-0000-0000A0000000}"/>
    <cellStyle name="Accent3 3" xfId="162" xr:uid="{00000000-0005-0000-0000-0000A1000000}"/>
    <cellStyle name="Accent3 4" xfId="163" xr:uid="{00000000-0005-0000-0000-0000A2000000}"/>
    <cellStyle name="Accent3 5" xfId="164" xr:uid="{00000000-0005-0000-0000-0000A3000000}"/>
    <cellStyle name="Accent3 5 2" xfId="165" xr:uid="{00000000-0005-0000-0000-0000A4000000}"/>
    <cellStyle name="Accent3 5 3" xfId="166" xr:uid="{00000000-0005-0000-0000-0000A5000000}"/>
    <cellStyle name="Accent3 6" xfId="167" xr:uid="{00000000-0005-0000-0000-0000A6000000}"/>
    <cellStyle name="Accent3 7" xfId="168" xr:uid="{00000000-0005-0000-0000-0000A7000000}"/>
    <cellStyle name="Accent4 2" xfId="169" xr:uid="{00000000-0005-0000-0000-0000A8000000}"/>
    <cellStyle name="Accent4 3" xfId="170" xr:uid="{00000000-0005-0000-0000-0000A9000000}"/>
    <cellStyle name="Accent4 4" xfId="171" xr:uid="{00000000-0005-0000-0000-0000AA000000}"/>
    <cellStyle name="Accent4 5" xfId="172" xr:uid="{00000000-0005-0000-0000-0000AB000000}"/>
    <cellStyle name="Accent4 5 2" xfId="173" xr:uid="{00000000-0005-0000-0000-0000AC000000}"/>
    <cellStyle name="Accent4 5 3" xfId="174" xr:uid="{00000000-0005-0000-0000-0000AD000000}"/>
    <cellStyle name="Accent4 6" xfId="175" xr:uid="{00000000-0005-0000-0000-0000AE000000}"/>
    <cellStyle name="Accent4 7" xfId="176" xr:uid="{00000000-0005-0000-0000-0000AF000000}"/>
    <cellStyle name="Accent5 2" xfId="177" xr:uid="{00000000-0005-0000-0000-0000B0000000}"/>
    <cellStyle name="Accent5 3" xfId="178" xr:uid="{00000000-0005-0000-0000-0000B1000000}"/>
    <cellStyle name="Accent5 4" xfId="179" xr:uid="{00000000-0005-0000-0000-0000B2000000}"/>
    <cellStyle name="Accent5 5" xfId="180" xr:uid="{00000000-0005-0000-0000-0000B3000000}"/>
    <cellStyle name="Accent5 5 2" xfId="181" xr:uid="{00000000-0005-0000-0000-0000B4000000}"/>
    <cellStyle name="Accent5 5 3" xfId="182" xr:uid="{00000000-0005-0000-0000-0000B5000000}"/>
    <cellStyle name="Accent5 6" xfId="183" xr:uid="{00000000-0005-0000-0000-0000B6000000}"/>
    <cellStyle name="Accent5 7" xfId="184" xr:uid="{00000000-0005-0000-0000-0000B7000000}"/>
    <cellStyle name="Accent6 2" xfId="185" xr:uid="{00000000-0005-0000-0000-0000B8000000}"/>
    <cellStyle name="Accent6 3" xfId="186" xr:uid="{00000000-0005-0000-0000-0000B9000000}"/>
    <cellStyle name="Accent6 4" xfId="187" xr:uid="{00000000-0005-0000-0000-0000BA000000}"/>
    <cellStyle name="Accent6 5" xfId="188" xr:uid="{00000000-0005-0000-0000-0000BB000000}"/>
    <cellStyle name="Accent6 5 2" xfId="189" xr:uid="{00000000-0005-0000-0000-0000BC000000}"/>
    <cellStyle name="Accent6 5 3" xfId="190" xr:uid="{00000000-0005-0000-0000-0000BD000000}"/>
    <cellStyle name="Accent6 6" xfId="191" xr:uid="{00000000-0005-0000-0000-0000BE000000}"/>
    <cellStyle name="Accent6 7" xfId="192" xr:uid="{00000000-0005-0000-0000-0000BF000000}"/>
    <cellStyle name="Bad 2" xfId="193" xr:uid="{00000000-0005-0000-0000-0000C0000000}"/>
    <cellStyle name="Bad 3" xfId="194" xr:uid="{00000000-0005-0000-0000-0000C1000000}"/>
    <cellStyle name="Bad 4" xfId="195" xr:uid="{00000000-0005-0000-0000-0000C2000000}"/>
    <cellStyle name="Bad 5" xfId="196" xr:uid="{00000000-0005-0000-0000-0000C3000000}"/>
    <cellStyle name="Bad 5 2" xfId="197" xr:uid="{00000000-0005-0000-0000-0000C4000000}"/>
    <cellStyle name="Bad 5 3" xfId="198" xr:uid="{00000000-0005-0000-0000-0000C5000000}"/>
    <cellStyle name="Bad 6" xfId="199" xr:uid="{00000000-0005-0000-0000-0000C6000000}"/>
    <cellStyle name="Bad 7" xfId="200" xr:uid="{00000000-0005-0000-0000-0000C7000000}"/>
    <cellStyle name="blp_column_header" xfId="450" xr:uid="{00000000-0005-0000-0000-0000C8000000}"/>
    <cellStyle name="blp_date_short" xfId="451" xr:uid="{00000000-0005-0000-0000-0000C9000000}"/>
    <cellStyle name="Calculation 2" xfId="201" xr:uid="{00000000-0005-0000-0000-0000CA000000}"/>
    <cellStyle name="Calculation 3" xfId="202" xr:uid="{00000000-0005-0000-0000-0000CB000000}"/>
    <cellStyle name="Calculation 4" xfId="203" xr:uid="{00000000-0005-0000-0000-0000CC000000}"/>
    <cellStyle name="Calculation 5" xfId="204" xr:uid="{00000000-0005-0000-0000-0000CD000000}"/>
    <cellStyle name="Calculation 5 2" xfId="205" xr:uid="{00000000-0005-0000-0000-0000CE000000}"/>
    <cellStyle name="Calculation 5 3" xfId="206" xr:uid="{00000000-0005-0000-0000-0000CF000000}"/>
    <cellStyle name="Calculation 6" xfId="207" xr:uid="{00000000-0005-0000-0000-0000D0000000}"/>
    <cellStyle name="Calculation 7" xfId="208" xr:uid="{00000000-0005-0000-0000-0000D1000000}"/>
    <cellStyle name="Check Cell 2" xfId="209" xr:uid="{00000000-0005-0000-0000-0000D2000000}"/>
    <cellStyle name="Check Cell 3" xfId="210" xr:uid="{00000000-0005-0000-0000-0000D3000000}"/>
    <cellStyle name="Check Cell 4" xfId="211" xr:uid="{00000000-0005-0000-0000-0000D4000000}"/>
    <cellStyle name="Check Cell 5" xfId="212" xr:uid="{00000000-0005-0000-0000-0000D5000000}"/>
    <cellStyle name="Check Cell 5 2" xfId="213" xr:uid="{00000000-0005-0000-0000-0000D6000000}"/>
    <cellStyle name="Check Cell 5 3" xfId="214" xr:uid="{00000000-0005-0000-0000-0000D7000000}"/>
    <cellStyle name="Check Cell 6" xfId="215" xr:uid="{00000000-0005-0000-0000-0000D8000000}"/>
    <cellStyle name="Check Cell 7" xfId="216" xr:uid="{00000000-0005-0000-0000-0000D9000000}"/>
    <cellStyle name="Comma 2" xfId="217" xr:uid="{00000000-0005-0000-0000-0000DA000000}"/>
    <cellStyle name="Comma 2 2" xfId="218" xr:uid="{00000000-0005-0000-0000-0000DB000000}"/>
    <cellStyle name="Comma 2 3" xfId="219" xr:uid="{00000000-0005-0000-0000-0000DC000000}"/>
    <cellStyle name="Comma 2 3 2" xfId="220" xr:uid="{00000000-0005-0000-0000-0000DD000000}"/>
    <cellStyle name="Comma 2 4" xfId="221" xr:uid="{00000000-0005-0000-0000-0000DE000000}"/>
    <cellStyle name="Comma 3" xfId="222" xr:uid="{00000000-0005-0000-0000-0000DF000000}"/>
    <cellStyle name="Comma 3 2" xfId="223" xr:uid="{00000000-0005-0000-0000-0000E0000000}"/>
    <cellStyle name="Comma 3 2 2" xfId="224" xr:uid="{00000000-0005-0000-0000-0000E1000000}"/>
    <cellStyle name="Comma 3 2 3" xfId="225" xr:uid="{00000000-0005-0000-0000-0000E2000000}"/>
    <cellStyle name="Comma 3 2 3 2" xfId="226" xr:uid="{00000000-0005-0000-0000-0000E3000000}"/>
    <cellStyle name="Comma 3 2 4" xfId="227" xr:uid="{00000000-0005-0000-0000-0000E4000000}"/>
    <cellStyle name="Comma 3 3" xfId="228" xr:uid="{00000000-0005-0000-0000-0000E5000000}"/>
    <cellStyle name="Comma 3 3 2" xfId="229" xr:uid="{00000000-0005-0000-0000-0000E6000000}"/>
    <cellStyle name="Comma 3 3 3" xfId="230" xr:uid="{00000000-0005-0000-0000-0000E7000000}"/>
    <cellStyle name="Comma 3 3 3 2" xfId="231" xr:uid="{00000000-0005-0000-0000-0000E8000000}"/>
    <cellStyle name="Comma 3 3 4" xfId="232" xr:uid="{00000000-0005-0000-0000-0000E9000000}"/>
    <cellStyle name="Comma 3 4" xfId="233" xr:uid="{00000000-0005-0000-0000-0000EA000000}"/>
    <cellStyle name="Comma 3 5" xfId="234" xr:uid="{00000000-0005-0000-0000-0000EB000000}"/>
    <cellStyle name="Comma 3 5 2" xfId="235" xr:uid="{00000000-0005-0000-0000-0000EC000000}"/>
    <cellStyle name="Comma 3 6" xfId="236" xr:uid="{00000000-0005-0000-0000-0000ED000000}"/>
    <cellStyle name="Comma 4" xfId="237" xr:uid="{00000000-0005-0000-0000-0000EE000000}"/>
    <cellStyle name="Comma 4 2" xfId="238" xr:uid="{00000000-0005-0000-0000-0000EF000000}"/>
    <cellStyle name="Comma 4 3" xfId="239" xr:uid="{00000000-0005-0000-0000-0000F0000000}"/>
    <cellStyle name="Comma 4 3 2" xfId="240" xr:uid="{00000000-0005-0000-0000-0000F1000000}"/>
    <cellStyle name="Comma 4 4" xfId="241" xr:uid="{00000000-0005-0000-0000-0000F2000000}"/>
    <cellStyle name="Comma 5" xfId="242" xr:uid="{00000000-0005-0000-0000-0000F3000000}"/>
    <cellStyle name="Comma 6" xfId="243" xr:uid="{00000000-0005-0000-0000-0000F4000000}"/>
    <cellStyle name="Explanatory Text 2" xfId="244" xr:uid="{00000000-0005-0000-0000-0000F5000000}"/>
    <cellStyle name="Explanatory Text 3" xfId="245" xr:uid="{00000000-0005-0000-0000-0000F6000000}"/>
    <cellStyle name="Explanatory Text 4" xfId="246" xr:uid="{00000000-0005-0000-0000-0000F7000000}"/>
    <cellStyle name="Explanatory Text 5" xfId="247" xr:uid="{00000000-0005-0000-0000-0000F8000000}"/>
    <cellStyle name="Explanatory Text 5 2" xfId="248" xr:uid="{00000000-0005-0000-0000-0000F9000000}"/>
    <cellStyle name="Explanatory Text 5 3" xfId="249" xr:uid="{00000000-0005-0000-0000-0000FA000000}"/>
    <cellStyle name="Explanatory Text 6" xfId="250" xr:uid="{00000000-0005-0000-0000-0000FB000000}"/>
    <cellStyle name="Explanatory Text 7" xfId="251" xr:uid="{00000000-0005-0000-0000-0000FC000000}"/>
    <cellStyle name="Good 2" xfId="252" xr:uid="{00000000-0005-0000-0000-0000FD000000}"/>
    <cellStyle name="Good 3" xfId="253" xr:uid="{00000000-0005-0000-0000-0000FE000000}"/>
    <cellStyle name="Good 4" xfId="254" xr:uid="{00000000-0005-0000-0000-0000FF000000}"/>
    <cellStyle name="Good 5" xfId="255" xr:uid="{00000000-0005-0000-0000-000000010000}"/>
    <cellStyle name="Good 5 2" xfId="256" xr:uid="{00000000-0005-0000-0000-000001010000}"/>
    <cellStyle name="Good 5 3" xfId="257" xr:uid="{00000000-0005-0000-0000-000002010000}"/>
    <cellStyle name="Good 6" xfId="258" xr:uid="{00000000-0005-0000-0000-000003010000}"/>
    <cellStyle name="Good 7" xfId="259" xr:uid="{00000000-0005-0000-0000-000004010000}"/>
    <cellStyle name="Heading 1 2" xfId="260" xr:uid="{00000000-0005-0000-0000-000005010000}"/>
    <cellStyle name="Heading 1 3" xfId="261" xr:uid="{00000000-0005-0000-0000-000006010000}"/>
    <cellStyle name="Heading 1 4" xfId="262" xr:uid="{00000000-0005-0000-0000-000007010000}"/>
    <cellStyle name="Heading 1 5" xfId="263" xr:uid="{00000000-0005-0000-0000-000008010000}"/>
    <cellStyle name="Heading 1 5 2" xfId="264" xr:uid="{00000000-0005-0000-0000-000009010000}"/>
    <cellStyle name="Heading 1 5 3" xfId="265" xr:uid="{00000000-0005-0000-0000-00000A010000}"/>
    <cellStyle name="Heading 1 6" xfId="266" xr:uid="{00000000-0005-0000-0000-00000B010000}"/>
    <cellStyle name="Heading 1 7" xfId="267" xr:uid="{00000000-0005-0000-0000-00000C010000}"/>
    <cellStyle name="Heading 2 2" xfId="268" xr:uid="{00000000-0005-0000-0000-00000D010000}"/>
    <cellStyle name="Heading 2 3" xfId="269" xr:uid="{00000000-0005-0000-0000-00000E010000}"/>
    <cellStyle name="Heading 2 4" xfId="270" xr:uid="{00000000-0005-0000-0000-00000F010000}"/>
    <cellStyle name="Heading 2 5" xfId="271" xr:uid="{00000000-0005-0000-0000-000010010000}"/>
    <cellStyle name="Heading 2 5 2" xfId="272" xr:uid="{00000000-0005-0000-0000-000011010000}"/>
    <cellStyle name="Heading 2 5 3" xfId="273" xr:uid="{00000000-0005-0000-0000-000012010000}"/>
    <cellStyle name="Heading 2 6" xfId="274" xr:uid="{00000000-0005-0000-0000-000013010000}"/>
    <cellStyle name="Heading 2 7" xfId="275" xr:uid="{00000000-0005-0000-0000-000014010000}"/>
    <cellStyle name="Heading 3 2" xfId="276" xr:uid="{00000000-0005-0000-0000-000015010000}"/>
    <cellStyle name="Heading 3 3" xfId="277" xr:uid="{00000000-0005-0000-0000-000016010000}"/>
    <cellStyle name="Heading 3 4" xfId="278" xr:uid="{00000000-0005-0000-0000-000017010000}"/>
    <cellStyle name="Heading 3 5" xfId="279" xr:uid="{00000000-0005-0000-0000-000018010000}"/>
    <cellStyle name="Heading 3 5 2" xfId="280" xr:uid="{00000000-0005-0000-0000-000019010000}"/>
    <cellStyle name="Heading 3 5 3" xfId="281" xr:uid="{00000000-0005-0000-0000-00001A010000}"/>
    <cellStyle name="Heading 3 6" xfId="282" xr:uid="{00000000-0005-0000-0000-00001B010000}"/>
    <cellStyle name="Heading 3 7" xfId="283" xr:uid="{00000000-0005-0000-0000-00001C010000}"/>
    <cellStyle name="Heading 4 2" xfId="284" xr:uid="{00000000-0005-0000-0000-00001D010000}"/>
    <cellStyle name="Heading 4 3" xfId="285" xr:uid="{00000000-0005-0000-0000-00001E010000}"/>
    <cellStyle name="Heading 4 4" xfId="286" xr:uid="{00000000-0005-0000-0000-00001F010000}"/>
    <cellStyle name="Heading 4 5" xfId="287" xr:uid="{00000000-0005-0000-0000-000020010000}"/>
    <cellStyle name="Heading 4 5 2" xfId="288" xr:uid="{00000000-0005-0000-0000-000021010000}"/>
    <cellStyle name="Heading 4 5 3" xfId="289" xr:uid="{00000000-0005-0000-0000-000022010000}"/>
    <cellStyle name="Heading 4 6" xfId="290" xr:uid="{00000000-0005-0000-0000-000023010000}"/>
    <cellStyle name="Heading 4 7" xfId="291" xr:uid="{00000000-0005-0000-0000-000024010000}"/>
    <cellStyle name="Hyperlink 2" xfId="292" xr:uid="{00000000-0005-0000-0000-000025010000}"/>
    <cellStyle name="Input 2" xfId="293" xr:uid="{00000000-0005-0000-0000-000026010000}"/>
    <cellStyle name="Input 3" xfId="294" xr:uid="{00000000-0005-0000-0000-000027010000}"/>
    <cellStyle name="Input 4" xfId="295" xr:uid="{00000000-0005-0000-0000-000028010000}"/>
    <cellStyle name="Input 5" xfId="296" xr:uid="{00000000-0005-0000-0000-000029010000}"/>
    <cellStyle name="Input 5 2" xfId="297" xr:uid="{00000000-0005-0000-0000-00002A010000}"/>
    <cellStyle name="Input 5 3" xfId="298" xr:uid="{00000000-0005-0000-0000-00002B010000}"/>
    <cellStyle name="Input 6" xfId="299" xr:uid="{00000000-0005-0000-0000-00002C010000}"/>
    <cellStyle name="Input 7" xfId="300" xr:uid="{00000000-0005-0000-0000-00002D010000}"/>
    <cellStyle name="Linked Cell 2" xfId="301" xr:uid="{00000000-0005-0000-0000-00002E010000}"/>
    <cellStyle name="Linked Cell 3" xfId="302" xr:uid="{00000000-0005-0000-0000-00002F010000}"/>
    <cellStyle name="Linked Cell 4" xfId="303" xr:uid="{00000000-0005-0000-0000-000030010000}"/>
    <cellStyle name="Linked Cell 5" xfId="304" xr:uid="{00000000-0005-0000-0000-000031010000}"/>
    <cellStyle name="Linked Cell 5 2" xfId="305" xr:uid="{00000000-0005-0000-0000-000032010000}"/>
    <cellStyle name="Linked Cell 5 3" xfId="306" xr:uid="{00000000-0005-0000-0000-000033010000}"/>
    <cellStyle name="Linked Cell 6" xfId="307" xr:uid="{00000000-0005-0000-0000-000034010000}"/>
    <cellStyle name="Linked Cell 7" xfId="308" xr:uid="{00000000-0005-0000-0000-000035010000}"/>
    <cellStyle name="Neutral 2" xfId="309" xr:uid="{00000000-0005-0000-0000-000036010000}"/>
    <cellStyle name="Neutral 3" xfId="310" xr:uid="{00000000-0005-0000-0000-000037010000}"/>
    <cellStyle name="Neutral 4" xfId="311" xr:uid="{00000000-0005-0000-0000-000038010000}"/>
    <cellStyle name="Neutral 5" xfId="312" xr:uid="{00000000-0005-0000-0000-000039010000}"/>
    <cellStyle name="Neutral 5 2" xfId="313" xr:uid="{00000000-0005-0000-0000-00003A010000}"/>
    <cellStyle name="Neutral 5 3" xfId="314" xr:uid="{00000000-0005-0000-0000-00003B010000}"/>
    <cellStyle name="Neutral 6" xfId="315" xr:uid="{00000000-0005-0000-0000-00003C010000}"/>
    <cellStyle name="Neutral 7" xfId="316" xr:uid="{00000000-0005-0000-0000-00003D010000}"/>
    <cellStyle name="Normal 2" xfId="317" xr:uid="{00000000-0005-0000-0000-00003E010000}"/>
    <cellStyle name="Normal 3" xfId="318" xr:uid="{00000000-0005-0000-0000-00003F010000}"/>
    <cellStyle name="Normal 4" xfId="319" xr:uid="{00000000-0005-0000-0000-000040010000}"/>
    <cellStyle name="Normal 5" xfId="320" xr:uid="{00000000-0005-0000-0000-000041010000}"/>
    <cellStyle name="Normal 6" xfId="321" xr:uid="{00000000-0005-0000-0000-000042010000}"/>
    <cellStyle name="Normal 7" xfId="322" xr:uid="{00000000-0005-0000-0000-000043010000}"/>
    <cellStyle name="Normal 8" xfId="323" xr:uid="{00000000-0005-0000-0000-000044010000}"/>
    <cellStyle name="Normal 9" xfId="324" xr:uid="{00000000-0005-0000-0000-000045010000}"/>
    <cellStyle name="Note 2" xfId="325" xr:uid="{00000000-0005-0000-0000-000046010000}"/>
    <cellStyle name="Note 2 2" xfId="326" xr:uid="{00000000-0005-0000-0000-000047010000}"/>
    <cellStyle name="Note 2 3" xfId="327" xr:uid="{00000000-0005-0000-0000-000048010000}"/>
    <cellStyle name="Note 2 3 2" xfId="328" xr:uid="{00000000-0005-0000-0000-000049010000}"/>
    <cellStyle name="Note 2 4" xfId="329" xr:uid="{00000000-0005-0000-0000-00004A010000}"/>
    <cellStyle name="Note 3" xfId="330" xr:uid="{00000000-0005-0000-0000-00004B010000}"/>
    <cellStyle name="Note 3 2" xfId="331" xr:uid="{00000000-0005-0000-0000-00004C010000}"/>
    <cellStyle name="Note 3 3" xfId="332" xr:uid="{00000000-0005-0000-0000-00004D010000}"/>
    <cellStyle name="Note 3 3 2" xfId="333" xr:uid="{00000000-0005-0000-0000-00004E010000}"/>
    <cellStyle name="Note 3 4" xfId="334" xr:uid="{00000000-0005-0000-0000-00004F010000}"/>
    <cellStyle name="Note 4" xfId="335" xr:uid="{00000000-0005-0000-0000-000050010000}"/>
    <cellStyle name="Note 4 2" xfId="336" xr:uid="{00000000-0005-0000-0000-000051010000}"/>
    <cellStyle name="Note 4 3" xfId="337" xr:uid="{00000000-0005-0000-0000-000052010000}"/>
    <cellStyle name="Note 4 3 2" xfId="338" xr:uid="{00000000-0005-0000-0000-000053010000}"/>
    <cellStyle name="Note 4 4" xfId="339" xr:uid="{00000000-0005-0000-0000-000054010000}"/>
    <cellStyle name="Note 5" xfId="340" xr:uid="{00000000-0005-0000-0000-000055010000}"/>
    <cellStyle name="Note 5 2" xfId="341" xr:uid="{00000000-0005-0000-0000-000056010000}"/>
    <cellStyle name="Note 5 2 2" xfId="342" xr:uid="{00000000-0005-0000-0000-000057010000}"/>
    <cellStyle name="Note 5 2 3" xfId="343" xr:uid="{00000000-0005-0000-0000-000058010000}"/>
    <cellStyle name="Note 5 2 3 2" xfId="344" xr:uid="{00000000-0005-0000-0000-000059010000}"/>
    <cellStyle name="Note 5 2 4" xfId="345" xr:uid="{00000000-0005-0000-0000-00005A010000}"/>
    <cellStyle name="Note 5 3" xfId="346" xr:uid="{00000000-0005-0000-0000-00005B010000}"/>
    <cellStyle name="Note 5 3 2" xfId="347" xr:uid="{00000000-0005-0000-0000-00005C010000}"/>
    <cellStyle name="Note 5 3 3" xfId="348" xr:uid="{00000000-0005-0000-0000-00005D010000}"/>
    <cellStyle name="Note 5 3 3 2" xfId="349" xr:uid="{00000000-0005-0000-0000-00005E010000}"/>
    <cellStyle name="Note 5 3 4" xfId="350" xr:uid="{00000000-0005-0000-0000-00005F010000}"/>
    <cellStyle name="Note 5 4" xfId="351" xr:uid="{00000000-0005-0000-0000-000060010000}"/>
    <cellStyle name="Note 5 5" xfId="352" xr:uid="{00000000-0005-0000-0000-000061010000}"/>
    <cellStyle name="Note 5 5 2" xfId="353" xr:uid="{00000000-0005-0000-0000-000062010000}"/>
    <cellStyle name="Note 5 6" xfId="354" xr:uid="{00000000-0005-0000-0000-000063010000}"/>
    <cellStyle name="Note 6" xfId="355" xr:uid="{00000000-0005-0000-0000-000064010000}"/>
    <cellStyle name="Note 6 2" xfId="356" xr:uid="{00000000-0005-0000-0000-000065010000}"/>
    <cellStyle name="Note 6 3" xfId="357" xr:uid="{00000000-0005-0000-0000-000066010000}"/>
    <cellStyle name="Note 6 3 2" xfId="358" xr:uid="{00000000-0005-0000-0000-000067010000}"/>
    <cellStyle name="Note 6 4" xfId="359" xr:uid="{00000000-0005-0000-0000-000068010000}"/>
    <cellStyle name="Note 7" xfId="360" xr:uid="{00000000-0005-0000-0000-000069010000}"/>
    <cellStyle name="Output 2" xfId="361" xr:uid="{00000000-0005-0000-0000-00006A010000}"/>
    <cellStyle name="Output 3" xfId="362" xr:uid="{00000000-0005-0000-0000-00006B010000}"/>
    <cellStyle name="Output 4" xfId="363" xr:uid="{00000000-0005-0000-0000-00006C010000}"/>
    <cellStyle name="Output 5" xfId="364" xr:uid="{00000000-0005-0000-0000-00006D010000}"/>
    <cellStyle name="Output 5 2" xfId="365" xr:uid="{00000000-0005-0000-0000-00006E010000}"/>
    <cellStyle name="Output 5 3" xfId="366" xr:uid="{00000000-0005-0000-0000-00006F010000}"/>
    <cellStyle name="Output 6" xfId="367" xr:uid="{00000000-0005-0000-0000-000070010000}"/>
    <cellStyle name="Output 7" xfId="368" xr:uid="{00000000-0005-0000-0000-000071010000}"/>
    <cellStyle name="Percent 2" xfId="369" xr:uid="{00000000-0005-0000-0000-000072010000}"/>
    <cellStyle name="Percent 2 2" xfId="370" xr:uid="{00000000-0005-0000-0000-000073010000}"/>
    <cellStyle name="Percent 2 3" xfId="371" xr:uid="{00000000-0005-0000-0000-000074010000}"/>
    <cellStyle name="Percent 2 3 2" xfId="372" xr:uid="{00000000-0005-0000-0000-000075010000}"/>
    <cellStyle name="Percent 2 4" xfId="373" xr:uid="{00000000-0005-0000-0000-000076010000}"/>
    <cellStyle name="Percent 3" xfId="374" xr:uid="{00000000-0005-0000-0000-000077010000}"/>
    <cellStyle name="Percent 3 2" xfId="375" xr:uid="{00000000-0005-0000-0000-000078010000}"/>
    <cellStyle name="Percent 3 3" xfId="376" xr:uid="{00000000-0005-0000-0000-000079010000}"/>
    <cellStyle name="Percent 3 3 2" xfId="377" xr:uid="{00000000-0005-0000-0000-00007A010000}"/>
    <cellStyle name="Percent 3 4" xfId="378" xr:uid="{00000000-0005-0000-0000-00007B010000}"/>
    <cellStyle name="Percent 4" xfId="379" xr:uid="{00000000-0005-0000-0000-00007C010000}"/>
    <cellStyle name="Percent 4 2" xfId="380" xr:uid="{00000000-0005-0000-0000-00007D010000}"/>
    <cellStyle name="Percent 4 3" xfId="381" xr:uid="{00000000-0005-0000-0000-00007E010000}"/>
    <cellStyle name="Percent 4 3 2" xfId="382" xr:uid="{00000000-0005-0000-0000-00007F010000}"/>
    <cellStyle name="Percent 4 4" xfId="383" xr:uid="{00000000-0005-0000-0000-000080010000}"/>
    <cellStyle name="Percent 5" xfId="384" xr:uid="{00000000-0005-0000-0000-000081010000}"/>
    <cellStyle name="Percent 6" xfId="385" xr:uid="{00000000-0005-0000-0000-000082010000}"/>
    <cellStyle name="Percent 7" xfId="386" xr:uid="{00000000-0005-0000-0000-000083010000}"/>
    <cellStyle name="Title 2" xfId="387" xr:uid="{00000000-0005-0000-0000-000084010000}"/>
    <cellStyle name="Title 3" xfId="388" xr:uid="{00000000-0005-0000-0000-000085010000}"/>
    <cellStyle name="Title 4" xfId="389" xr:uid="{00000000-0005-0000-0000-000086010000}"/>
    <cellStyle name="Title 5" xfId="390" xr:uid="{00000000-0005-0000-0000-000087010000}"/>
    <cellStyle name="Title 5 2" xfId="391" xr:uid="{00000000-0005-0000-0000-000088010000}"/>
    <cellStyle name="Title 5 3" xfId="392" xr:uid="{00000000-0005-0000-0000-000089010000}"/>
    <cellStyle name="Title 6" xfId="393" xr:uid="{00000000-0005-0000-0000-00008A010000}"/>
    <cellStyle name="Title 7" xfId="394" xr:uid="{00000000-0005-0000-0000-00008B010000}"/>
    <cellStyle name="Total 2" xfId="395" xr:uid="{00000000-0005-0000-0000-00008C010000}"/>
    <cellStyle name="Total 3" xfId="396" xr:uid="{00000000-0005-0000-0000-00008D010000}"/>
    <cellStyle name="Total 4" xfId="397" xr:uid="{00000000-0005-0000-0000-00008E010000}"/>
    <cellStyle name="Total 5" xfId="398" xr:uid="{00000000-0005-0000-0000-00008F010000}"/>
    <cellStyle name="Total 5 2" xfId="399" xr:uid="{00000000-0005-0000-0000-000090010000}"/>
    <cellStyle name="Total 5 3" xfId="400" xr:uid="{00000000-0005-0000-0000-000091010000}"/>
    <cellStyle name="Total 6" xfId="401" xr:uid="{00000000-0005-0000-0000-000092010000}"/>
    <cellStyle name="Total 7" xfId="402" xr:uid="{00000000-0005-0000-0000-000093010000}"/>
    <cellStyle name="Warning Text 2" xfId="403" xr:uid="{00000000-0005-0000-0000-000094010000}"/>
    <cellStyle name="Warning Text 3" xfId="404" xr:uid="{00000000-0005-0000-0000-000095010000}"/>
    <cellStyle name="Warning Text 4" xfId="405" xr:uid="{00000000-0005-0000-0000-000096010000}"/>
    <cellStyle name="Warning Text 5" xfId="406" xr:uid="{00000000-0005-0000-0000-000097010000}"/>
    <cellStyle name="Warning Text 5 2" xfId="407" xr:uid="{00000000-0005-0000-0000-000098010000}"/>
    <cellStyle name="Warning Text 5 3" xfId="408" xr:uid="{00000000-0005-0000-0000-000099010000}"/>
    <cellStyle name="Warning Text 6" xfId="409" xr:uid="{00000000-0005-0000-0000-00009A010000}"/>
    <cellStyle name="Warning Text 7" xfId="410" xr:uid="{00000000-0005-0000-0000-00009B010000}"/>
    <cellStyle name="一般" xfId="0" builtinId="0"/>
    <cellStyle name="一般 10" xfId="428" xr:uid="{00000000-0005-0000-0000-00009D010000}"/>
    <cellStyle name="一般 10 2" xfId="434" xr:uid="{00000000-0005-0000-0000-00009E010000}"/>
    <cellStyle name="一般 10 3" xfId="435" xr:uid="{00000000-0005-0000-0000-00009F010000}"/>
    <cellStyle name="一般 11" xfId="430" xr:uid="{00000000-0005-0000-0000-0000A0010000}"/>
    <cellStyle name="一般 11 2" xfId="436" xr:uid="{00000000-0005-0000-0000-0000A1010000}"/>
    <cellStyle name="一般 12" xfId="444" xr:uid="{00000000-0005-0000-0000-0000A2010000}"/>
    <cellStyle name="一般 129" xfId="443" xr:uid="{00000000-0005-0000-0000-0000A3010000}"/>
    <cellStyle name="一般 13" xfId="445" xr:uid="{00000000-0005-0000-0000-0000A4010000}"/>
    <cellStyle name="一般 13 2" xfId="455" xr:uid="{00000000-0005-0000-0000-0000A5010000}"/>
    <cellStyle name="一般 14" xfId="446" xr:uid="{00000000-0005-0000-0000-0000A6010000}"/>
    <cellStyle name="一般 14 2" xfId="452" xr:uid="{00000000-0005-0000-0000-0000A7010000}"/>
    <cellStyle name="一般 17" xfId="437" xr:uid="{00000000-0005-0000-0000-0000A8010000}"/>
    <cellStyle name="一般 2" xfId="411" xr:uid="{00000000-0005-0000-0000-0000A9010000}"/>
    <cellStyle name="一般 2 10" xfId="441" xr:uid="{00000000-0005-0000-0000-0000AA010000}"/>
    <cellStyle name="一般 2 2" xfId="412" xr:uid="{00000000-0005-0000-0000-0000AB010000}"/>
    <cellStyle name="一般 2 3" xfId="413" xr:uid="{00000000-0005-0000-0000-0000AC010000}"/>
    <cellStyle name="一般 3" xfId="414" xr:uid="{00000000-0005-0000-0000-0000AD010000}"/>
    <cellStyle name="一般 3 2" xfId="442" xr:uid="{00000000-0005-0000-0000-0000AE010000}"/>
    <cellStyle name="一般 4" xfId="415" xr:uid="{00000000-0005-0000-0000-0000AF010000}"/>
    <cellStyle name="一般 5" xfId="416" xr:uid="{00000000-0005-0000-0000-0000B0010000}"/>
    <cellStyle name="一般 6" xfId="417" xr:uid="{00000000-0005-0000-0000-0000B1010000}"/>
    <cellStyle name="一般 7" xfId="418" xr:uid="{00000000-0005-0000-0000-0000B2010000}"/>
    <cellStyle name="一般 8" xfId="419" xr:uid="{00000000-0005-0000-0000-0000B3010000}"/>
    <cellStyle name="一般 9" xfId="425" xr:uid="{00000000-0005-0000-0000-0000B4010000}"/>
    <cellStyle name="一般 9 2" xfId="439" xr:uid="{00000000-0005-0000-0000-0000B5010000}"/>
    <cellStyle name="一般 9 3" xfId="449" xr:uid="{00000000-0005-0000-0000-0000B6010000}"/>
    <cellStyle name="一般 9 4" xfId="453" xr:uid="{00000000-0005-0000-0000-0000B7010000}"/>
    <cellStyle name="一般 9 4 3" xfId="454" xr:uid="{00000000-0005-0000-0000-0000B8010000}"/>
    <cellStyle name="千分位" xfId="420" builtinId="3"/>
    <cellStyle name="千分位 13" xfId="440" xr:uid="{00000000-0005-0000-0000-0000BA010000}"/>
    <cellStyle name="千分位 2" xfId="421" xr:uid="{00000000-0005-0000-0000-0000BB010000}"/>
    <cellStyle name="千分位 3" xfId="427" xr:uid="{00000000-0005-0000-0000-0000BC010000}"/>
    <cellStyle name="千分位 3 2" xfId="431" xr:uid="{00000000-0005-0000-0000-0000BD010000}"/>
    <cellStyle name="千分位 4" xfId="429" xr:uid="{00000000-0005-0000-0000-0000BE010000}"/>
    <cellStyle name="千分位 5" xfId="432" xr:uid="{00000000-0005-0000-0000-0000BF010000}"/>
    <cellStyle name="千分位 6" xfId="438" xr:uid="{00000000-0005-0000-0000-0000C0010000}"/>
    <cellStyle name="千分位 7" xfId="447" xr:uid="{00000000-0005-0000-0000-0000C1010000}"/>
    <cellStyle name="百分比" xfId="422" builtinId="5"/>
    <cellStyle name="百分比 2" xfId="423" xr:uid="{00000000-0005-0000-0000-0000C3010000}"/>
    <cellStyle name="百分比 2 3" xfId="433" xr:uid="{00000000-0005-0000-0000-0000C4010000}"/>
    <cellStyle name="百分比 3" xfId="424" xr:uid="{00000000-0005-0000-0000-0000C5010000}"/>
    <cellStyle name="百分比 4" xfId="426" xr:uid="{00000000-0005-0000-0000-0000C6010000}"/>
    <cellStyle name="百分比 5" xfId="448" xr:uid="{00000000-0005-0000-0000-0000C7010000}"/>
  </cellStyles>
  <dxfs count="923">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val="0"/>
        <i val="0"/>
        <strike val="0"/>
        <condense val="0"/>
        <extend val="0"/>
        <outline val="0"/>
        <shadow val="0"/>
        <u val="none"/>
        <vertAlign val="baseline"/>
        <sz val="12"/>
        <color theme="1"/>
        <name val="微軟正黑體"/>
        <scheme val="minor"/>
      </font>
      <numFmt numFmtId="190" formatCode="_(* #,##0_);_(* \(#,##0\);_(* &quot;-&quot;??_);_(@_)"/>
    </dxf>
    <dxf>
      <font>
        <b val="0"/>
        <i val="0"/>
        <strike val="0"/>
        <condense val="0"/>
        <extend val="0"/>
        <outline val="0"/>
        <shadow val="0"/>
        <u val="none"/>
        <vertAlign val="baseline"/>
        <sz val="12"/>
        <color theme="1"/>
        <name val="微軟正黑體"/>
        <scheme val="minor"/>
      </font>
      <numFmt numFmtId="190" formatCode="_(* #,##0_);_(* \(#,##0\);_(* &quot;-&quot;??_);_(@_)"/>
    </dxf>
    <dxf>
      <numFmt numFmtId="179" formatCode="0.00_);[Red]\(0.00\)"/>
      <alignment horizontal="left" vertical="center" textRotation="0" wrapText="0" indent="0" justifyLastLine="0" shrinkToFit="0" readingOrder="0"/>
    </dxf>
    <dxf>
      <numFmt numFmtId="0" formatCode="General"/>
    </dxf>
    <dxf>
      <border outline="0">
        <right style="medium">
          <color indexed="64"/>
        </right>
        <top style="medium">
          <color indexed="64"/>
        </top>
      </border>
    </dxf>
    <dxf>
      <font>
        <b val="0"/>
      </font>
    </dxf>
    <dxf>
      <font>
        <color rgb="FFFF0000"/>
      </font>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top style="hair">
          <color rgb="FFB3863B"/>
        </top>
        <bottom style="thin">
          <color rgb="FF82602A"/>
        </bottom>
        <vertical/>
        <horizontal/>
      </border>
    </dxf>
    <dxf>
      <font>
        <color rgb="FFFF0000"/>
      </font>
    </dxf>
    <dxf>
      <font>
        <color rgb="FFFF0000"/>
      </font>
    </dxf>
    <dxf>
      <font>
        <b/>
        <i val="0"/>
        <color theme="0"/>
      </font>
      <fill>
        <patternFill>
          <bgColor rgb="FF297D6B"/>
        </patternFill>
      </fill>
    </dxf>
    <dxf>
      <border>
        <top style="hair">
          <color rgb="FFB3863B"/>
        </top>
        <vertical/>
        <horizontal/>
      </border>
    </dxf>
    <dxf>
      <font>
        <color rgb="FF82602A"/>
      </font>
      <fill>
        <patternFill>
          <bgColor rgb="FFEEECE1"/>
        </patternFill>
      </fill>
      <border>
        <top style="hair">
          <color rgb="FFB3863B"/>
        </top>
        <bottom style="thin">
          <color rgb="FF82602A"/>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218" formatCode="m/d/yyyy"/>
    </dxf>
    <dxf>
      <numFmt numFmtId="218" formatCode="m/d/yyyy"/>
    </dxf>
    <dxf>
      <numFmt numFmtId="218" formatCode="m/d/yyyy"/>
    </dxf>
    <dxf>
      <numFmt numFmtId="218" formatCode="m/d/yyyy"/>
    </dxf>
    <dxf>
      <numFmt numFmtId="218" formatCode="m/d/yyyy"/>
    </dxf>
    <dxf>
      <numFmt numFmtId="218" formatCode="m/d/yyyy"/>
    </dxf>
    <dxf>
      <numFmt numFmtId="218" formatCode="m/d/yyyy"/>
    </dxf>
    <dxf>
      <numFmt numFmtId="218" formatCode="m/d/yyyy"/>
    </dxf>
    <dxf>
      <numFmt numFmtId="218" formatCode="m/d/yyyy"/>
    </dxf>
    <dxf>
      <numFmt numFmtId="218" formatCode="m/d/yyyy"/>
    </dxf>
    <dxf>
      <font>
        <color rgb="FF9C0006"/>
      </font>
      <fill>
        <patternFill>
          <bgColor rgb="FFFFC7CE"/>
        </patternFill>
      </fill>
    </dxf>
    <dxf>
      <font>
        <color rgb="FF9C5700"/>
      </font>
      <fill>
        <patternFill>
          <bgColor rgb="FFFFEB9C"/>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FF0000"/>
      </font>
    </dxf>
    <dxf>
      <font>
        <color rgb="FFFF0000"/>
      </font>
    </dxf>
    <dxf>
      <font>
        <b/>
        <i val="0"/>
        <color rgb="FFFF0000"/>
      </font>
    </dxf>
    <dxf>
      <font>
        <b/>
        <i val="0"/>
        <color rgb="FFFF0000"/>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theme="0"/>
      </font>
      <fill>
        <patternFill>
          <bgColor rgb="FF297D6B"/>
        </patternFill>
      </fill>
    </dxf>
    <dxf>
      <fill>
        <patternFill>
          <fgColor rgb="FFEEF5F4"/>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solid">
          <fgColor indexed="64"/>
          <bgColor rgb="FFFFFF00"/>
        </patternFill>
      </fill>
    </dxf>
    <dxf>
      <fill>
        <patternFill patternType="solid">
          <fgColor indexed="64"/>
          <bgColor rgb="FFFFFF00"/>
        </patternFill>
      </fill>
      <border diagonalUp="0" diagonalDown="0">
        <left style="medium">
          <color indexed="64"/>
        </left>
        <right/>
        <top/>
        <bottom/>
        <vertical/>
        <horizontal/>
      </border>
    </dxf>
    <dxf>
      <numFmt numFmtId="0" formatCode="General"/>
      <fill>
        <patternFill patternType="solid">
          <fgColor indexed="64"/>
          <bgColor rgb="FFFFFF00"/>
        </patternFill>
      </fill>
    </dxf>
    <dxf>
      <numFmt numFmtId="0" formatCode="General"/>
      <fill>
        <patternFill patternType="solid">
          <fgColor indexed="64"/>
          <bgColor rgb="FFFFFF00"/>
        </patternFill>
      </fill>
      <border diagonalUp="0" diagonalDown="0">
        <left/>
        <right style="medium">
          <color indexed="64"/>
        </right>
        <top/>
        <bottom/>
        <vertical/>
        <horizontal/>
      </border>
    </dxf>
    <dxf>
      <numFmt numFmtId="0" formatCode="General"/>
    </dxf>
    <dxf>
      <numFmt numFmtId="0" formatCode="General"/>
      <fill>
        <patternFill patternType="solid">
          <fgColor indexed="64"/>
          <bgColor rgb="FFFFFF00"/>
        </patternFill>
      </fill>
      <border diagonalUp="0" diagonalDown="0">
        <left style="medium">
          <color indexed="64"/>
        </left>
        <right/>
        <top/>
        <bottom/>
        <vertical/>
        <horizontal/>
      </border>
    </dxf>
    <dxf>
      <border outline="0">
        <right style="thin">
          <color indexed="64"/>
        </right>
      </border>
    </dxf>
    <dxf>
      <numFmt numFmtId="0" formatCode="General"/>
    </dxf>
    <dxf>
      <protection locked="1" hidden="1"/>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alignment horizontal="center" vertical="center" textRotation="0" wrapText="0" indent="0" justifyLastLine="0" shrinkToFit="0" readingOrder="0"/>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numFmt numFmtId="204" formatCode="0.0_ ;[Red]\-0.0\ "/>
    </dxf>
    <dxf>
      <alignment horizontal="center" vertical="center" textRotation="0" wrapText="0" indent="0" justifyLastLine="0" shrinkToFit="0" readingOrder="0"/>
    </dxf>
    <dxf>
      <font>
        <b/>
        <i val="0"/>
        <color theme="0"/>
      </font>
      <fill>
        <patternFill>
          <bgColor theme="9" tint="-0.24994659260841701"/>
        </patternFill>
      </fill>
    </dxf>
    <dxf>
      <font>
        <b val="0"/>
        <i val="0"/>
        <strike val="0"/>
        <condense val="0"/>
        <extend val="0"/>
        <outline val="0"/>
        <shadow val="0"/>
        <u val="none"/>
        <vertAlign val="baseline"/>
        <sz val="10"/>
        <color auto="1"/>
        <name val="微軟正黑體"/>
        <scheme val="minor"/>
      </font>
      <numFmt numFmtId="210" formatCode="0.0000_ ;[Red]\-0.0000\ "/>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0" formatCode="0.0000_ ;[Red]\-0.0000\ "/>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93" formatCode="0.0_);[Red]\(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left/>
        <right/>
        <top style="thin">
          <color indexed="64"/>
        </top>
        <bottom/>
      </border>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left/>
        <right/>
        <top style="thin">
          <color indexed="64"/>
        </top>
        <bottom/>
      </border>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border>
        <right style="thin">
          <color indexed="64"/>
        </right>
      </border>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border diagonalUp="0" diagonalDown="0" outline="0">
        <left/>
        <right style="thin">
          <color indexed="64"/>
        </right>
        <top/>
        <bottom/>
      </border>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5" formatCode="#,##0.00_ ;[Red]\-#,##0.00\ "/>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77" formatCode="_(* #,##0.00_);_(* \(#,##0.00\);_(* &quot;-&quot;??_);_(@_)"/>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81" formatCode="_-* #,##0_-;\-* #,##0_-;_-* &quot;-&quot;??_-;_-@_-"/>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4" tint="0.79998168889431442"/>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 formatCode="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theme="1" tint="0.249977111117893"/>
        <name val="微軟正黑體"/>
        <scheme val="minor"/>
      </font>
      <numFmt numFmtId="183" formatCode="0.0"/>
      <fill>
        <patternFill patternType="solid">
          <fgColor indexed="64"/>
          <bgColor theme="0"/>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theme="1" tint="0.249977111117893"/>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theme="1" tint="0.249977111117893"/>
        <name val="微軟正黑體"/>
        <scheme val="minor"/>
      </font>
      <numFmt numFmtId="179" formatCode="0.00_);[Red]\(0.00\)"/>
      <fill>
        <patternFill patternType="solid">
          <fgColor indexed="64"/>
          <bgColor theme="0"/>
        </patternFill>
      </fill>
      <protection locked="1" hidden="1"/>
    </dxf>
    <dxf>
      <font>
        <b val="0"/>
        <i val="0"/>
        <strike val="0"/>
        <condense val="0"/>
        <extend val="0"/>
        <outline val="0"/>
        <shadow val="0"/>
        <u val="none"/>
        <vertAlign val="baseline"/>
        <sz val="10"/>
        <color theme="1" tint="0.249977111117893"/>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theme="1" tint="0.249977111117893"/>
        <name val="微軟正黑體"/>
        <scheme val="minor"/>
      </font>
      <numFmt numFmtId="202" formatCode="0.00_ ;[Red]\-0.00\ "/>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90" formatCode="_(* #,##0_);_(* \(#,##0\);_(* &quot;-&quot;??_);_(@_)"/>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81" formatCode="_-* #,##0_-;\-* #,##0_-;_-* &quot;-&quot;??_-;_-@_-"/>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81" formatCode="_-* #,##0_-;\-* #,##0_-;_-* &quot;-&quot;??_-;_-@_-"/>
      <fill>
        <patternFill patternType="solid">
          <fgColor indexed="64"/>
          <bgColor theme="0"/>
        </patternFill>
      </fill>
      <protection locked="1" hidden="1"/>
    </dxf>
    <dxf>
      <font>
        <b val="0"/>
        <i val="0"/>
        <strike val="0"/>
        <condense val="0"/>
        <extend val="0"/>
        <outline val="0"/>
        <shadow val="0"/>
        <u val="none"/>
        <vertAlign val="baseline"/>
        <sz val="10"/>
        <color rgb="FFFF0000"/>
        <name val="微軟正黑體"/>
        <scheme val="minor"/>
      </font>
      <numFmt numFmtId="181" formatCode="_-* #,##0_-;\-* #,##0_-;_-* &quot;-&quot;??_-;_-@_-"/>
      <fill>
        <patternFill patternType="solid">
          <fgColor indexed="64"/>
          <bgColor theme="5" tint="0.79998168889431442"/>
        </patternFill>
      </fill>
      <protection locked="1" hidden="1"/>
    </dxf>
    <dxf>
      <font>
        <b val="0"/>
        <i val="0"/>
        <strike val="0"/>
        <condense val="0"/>
        <extend val="0"/>
        <outline val="0"/>
        <shadow val="0"/>
        <u val="none"/>
        <vertAlign val="baseline"/>
        <sz val="10"/>
        <color rgb="FFFF0000"/>
        <name val="微軟正黑體"/>
        <scheme val="minor"/>
      </font>
      <numFmt numFmtId="181" formatCode="_-* #,##0_-;\-* #,##0_-;_-* &quot;-&quot;??_-;_-@_-"/>
      <fill>
        <patternFill patternType="solid">
          <fgColor indexed="64"/>
          <bgColor theme="5" tint="0.79998168889431442"/>
        </patternFill>
      </fill>
      <protection locked="1" hidden="1"/>
    </dxf>
    <dxf>
      <font>
        <b val="0"/>
        <i val="0"/>
        <strike val="0"/>
        <condense val="0"/>
        <extend val="0"/>
        <outline val="0"/>
        <shadow val="0"/>
        <u val="none"/>
        <vertAlign val="baseline"/>
        <sz val="10"/>
        <color auto="1"/>
        <name val="微軟正黑體"/>
        <scheme val="minor"/>
      </font>
      <numFmt numFmtId="19" formatCode="yyyy/m/d"/>
      <fill>
        <patternFill patternType="solid">
          <fgColor indexed="64"/>
          <bgColor theme="5" tint="0.79998168889431442"/>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5"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5"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8" formatCode="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8" formatCode="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 formatCode="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theme="1"/>
        <name val="微軟正黑體"/>
        <scheme val="minor"/>
      </font>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theme="1"/>
        <name val="微軟正黑體"/>
        <scheme val="minor"/>
      </font>
      <numFmt numFmtId="179" formatCode="0.00_);[Red]\(0.00\)"/>
      <fill>
        <patternFill patternType="solid">
          <fgColor indexed="64"/>
          <bgColor theme="0"/>
        </patternFill>
      </fill>
      <protection locked="1" hidden="1"/>
    </dxf>
    <dxf>
      <font>
        <b val="0"/>
        <i val="0"/>
        <strike val="0"/>
        <condense val="0"/>
        <extend val="0"/>
        <outline val="0"/>
        <shadow val="0"/>
        <u val="none"/>
        <vertAlign val="baseline"/>
        <sz val="10"/>
        <color theme="1"/>
        <name val="微軟正黑體"/>
        <scheme val="minor"/>
      </font>
      <numFmt numFmtId="179" formatCode="0.00_);[Red]\(0.00\)"/>
      <fill>
        <patternFill patternType="solid">
          <fgColor indexed="64"/>
          <bgColor theme="0"/>
        </patternFill>
      </fill>
      <protection locked="1" hidden="1"/>
    </dxf>
    <dxf>
      <numFmt numFmtId="0" formatCode="General"/>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fill>
        <patternFill patternType="solid">
          <fgColor indexed="64"/>
          <bgColor theme="0"/>
        </patternFill>
      </fill>
      <alignment horizontal="center" vertical="center" textRotation="0" wrapText="0" indent="0" justifyLastLine="0" shrinkToFit="0" readingOrder="0"/>
      <protection locked="1" hidden="1"/>
    </dxf>
    <dxf>
      <font>
        <b/>
        <i val="0"/>
        <strike val="0"/>
        <condense val="0"/>
        <extend val="0"/>
        <outline val="0"/>
        <shadow val="0"/>
        <u val="none"/>
        <vertAlign val="baseline"/>
        <sz val="11"/>
        <color theme="8" tint="-0.249977111117893"/>
        <name val="微軟正黑體"/>
        <scheme val="minor"/>
      </font>
      <fill>
        <patternFill patternType="solid">
          <fgColor indexed="64"/>
          <bgColor theme="8"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3" formatCode="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10" formatCode="0.0000_ ;[Red]\-0.0000\ "/>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93" formatCode="0.0_);[Red]\(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18" formatCode="m/d/yyyy"/>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10" formatCode="0.0000_ ;[Red]\-0.0000\ "/>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93" formatCode="0.0_);[Red]\(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01" formatCode="0.0000_);[Red]\(0.0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01" formatCode="0.0000_);[Red]\(0.0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01" formatCode="0.0000_);[Red]\(0.0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01" formatCode="0.0000_);[Red]\(0.0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01" formatCode="0.0000_);[Red]\(0.0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01" formatCode="0.0000_);[Red]\(0.0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01" formatCode="0.0000_);[Red]\(0.0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18" formatCode="m/d/yyyy"/>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18" formatCode="m/d/yyyy"/>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18" formatCode="m/d/yyyy"/>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18" formatCode="m/d/yyyy"/>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218" formatCode="m/d/yyyy"/>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left/>
        <right/>
        <top style="thin">
          <color indexed="64"/>
        </top>
        <bottom/>
      </border>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left/>
        <right/>
        <top style="thin">
          <color indexed="64"/>
        </top>
        <bottom/>
      </border>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border>
        <right style="thin">
          <color indexed="64"/>
        </right>
      </border>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7" formatCode="_(* #,##0.00_);_(* \(#,##0.00\);_(* &quot;-&quot;??_);_(@_)"/>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7" formatCode="_(* #,##0.00_);_(* \(#,##0.00\);_(* &quot;-&quot;??_);_(@_)"/>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7" formatCode="_(* #,##0.00_);_(* \(#,##0.00\);_(* &quot;-&quot;??_);_(@_)"/>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7" formatCode="_(* #,##0.00_);_(* \(#,##0.00\);_(* &quot;-&quot;??_);_(@_)"/>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7" formatCode="_(* #,##0.00_);_(* \(#,##0.00\);_(* &quot;-&quot;??_);_(@_)"/>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border diagonalUp="0" diagonalDown="0" outline="0">
        <left/>
        <right style="thin">
          <color indexed="64"/>
        </right>
        <top/>
        <bottom/>
      </border>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5" formatCode="#,##0.00_ ;[Red]\-#,##0.00\ "/>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77" formatCode="_(* #,##0.00_);_(* \(#,##0.00\);_(* &quot;-&quot;??_);_(@_)"/>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81" formatCode="_-* #,##0_-;\-* #,##0_-;_-* &quot;-&quot;??_-;_-@_-"/>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4" tint="0.79998168889431442"/>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 formatCode="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theme="1" tint="0.249977111117893"/>
        <name val="微軟正黑體"/>
        <scheme val="minor"/>
      </font>
      <numFmt numFmtId="183" formatCode="0.0"/>
      <fill>
        <patternFill patternType="solid">
          <fgColor indexed="64"/>
          <bgColor theme="0"/>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theme="1" tint="0.249977111117893"/>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theme="1" tint="0.249977111117893"/>
        <name val="微軟正黑體"/>
        <scheme val="minor"/>
      </font>
      <numFmt numFmtId="179" formatCode="0.00_);[Red]\(0.00\)"/>
      <fill>
        <patternFill patternType="solid">
          <fgColor indexed="64"/>
          <bgColor theme="0"/>
        </patternFill>
      </fill>
      <protection locked="1" hidden="1"/>
    </dxf>
    <dxf>
      <font>
        <b val="0"/>
        <i val="0"/>
        <strike val="0"/>
        <condense val="0"/>
        <extend val="0"/>
        <outline val="0"/>
        <shadow val="0"/>
        <u val="none"/>
        <vertAlign val="baseline"/>
        <sz val="10"/>
        <color theme="1" tint="0.249977111117893"/>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theme="1" tint="0.249977111117893"/>
        <name val="微軟正黑體"/>
        <scheme val="minor"/>
      </font>
      <numFmt numFmtId="202" formatCode="0.00_ ;[Red]\-0.00\ "/>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90" formatCode="_(* #,##0_);_(* \(#,##0\);_(* &quot;-&quot;??_);_(@_)"/>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81" formatCode="_-* #,##0_-;\-* #,##0_-;_-* &quot;-&quot;??_-;_-@_-"/>
      <fill>
        <patternFill patternType="solid">
          <fgColor indexed="64"/>
          <bgColor theme="0"/>
        </patternFill>
      </fill>
      <protection locked="1" hidden="1"/>
    </dxf>
    <dxf>
      <font>
        <b val="0"/>
        <i val="0"/>
        <strike val="0"/>
        <condense val="0"/>
        <extend val="0"/>
        <outline val="0"/>
        <shadow val="0"/>
        <u val="none"/>
        <vertAlign val="baseline"/>
        <sz val="10"/>
        <color auto="1"/>
        <name val="微軟正黑體"/>
        <scheme val="minor"/>
      </font>
      <numFmt numFmtId="181" formatCode="_-* #,##0_-;\-* #,##0_-;_-* &quot;-&quot;??_-;_-@_-"/>
      <fill>
        <patternFill patternType="solid">
          <fgColor indexed="64"/>
          <bgColor theme="0"/>
        </patternFill>
      </fill>
      <protection locked="1" hidden="1"/>
    </dxf>
    <dxf>
      <font>
        <b val="0"/>
        <i val="0"/>
        <strike val="0"/>
        <condense val="0"/>
        <extend val="0"/>
        <outline val="0"/>
        <shadow val="0"/>
        <u val="none"/>
        <vertAlign val="baseline"/>
        <sz val="10"/>
        <color rgb="FFFF0000"/>
        <name val="微軟正黑體"/>
        <scheme val="minor"/>
      </font>
      <numFmt numFmtId="181" formatCode="_-* #,##0_-;\-* #,##0_-;_-* &quot;-&quot;??_-;_-@_-"/>
      <fill>
        <patternFill patternType="solid">
          <fgColor indexed="64"/>
          <bgColor theme="5" tint="0.79998168889431442"/>
        </patternFill>
      </fill>
      <protection locked="1" hidden="1"/>
    </dxf>
    <dxf>
      <font>
        <b val="0"/>
        <i val="0"/>
        <strike val="0"/>
        <condense val="0"/>
        <extend val="0"/>
        <outline val="0"/>
        <shadow val="0"/>
        <u val="none"/>
        <vertAlign val="baseline"/>
        <sz val="10"/>
        <color rgb="FFFF0000"/>
        <name val="微軟正黑體"/>
        <scheme val="minor"/>
      </font>
      <numFmt numFmtId="181" formatCode="_-* #,##0_-;\-* #,##0_-;_-* &quot;-&quot;??_-;_-@_-"/>
      <fill>
        <patternFill patternType="solid">
          <fgColor indexed="64"/>
          <bgColor theme="5" tint="0.79998168889431442"/>
        </patternFill>
      </fill>
      <protection locked="1" hidden="1"/>
    </dxf>
    <dxf>
      <font>
        <b val="0"/>
        <i val="0"/>
        <strike val="0"/>
        <condense val="0"/>
        <extend val="0"/>
        <outline val="0"/>
        <shadow val="0"/>
        <u val="none"/>
        <vertAlign val="baseline"/>
        <sz val="10"/>
        <color auto="1"/>
        <name val="微軟正黑體"/>
        <scheme val="minor"/>
      </font>
      <numFmt numFmtId="19" formatCode="yyyy/m/d"/>
      <fill>
        <patternFill patternType="solid">
          <fgColor indexed="64"/>
          <bgColor theme="5" tint="0.79998168889431442"/>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5"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5"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9" formatCode="yyyy/m/d"/>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8" formatCode="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8" formatCode="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 formatCode="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theme="1"/>
        <name val="微軟正黑體"/>
        <scheme val="minor"/>
      </font>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theme="1"/>
        <name val="微軟正黑體"/>
        <scheme val="minor"/>
      </font>
      <numFmt numFmtId="179" formatCode="0.00_);[Red]\(0.00\)"/>
      <fill>
        <patternFill patternType="solid">
          <fgColor indexed="64"/>
          <bgColor theme="0"/>
        </patternFill>
      </fill>
      <protection locked="1" hidden="1"/>
    </dxf>
    <dxf>
      <font>
        <b val="0"/>
        <i val="0"/>
        <strike val="0"/>
        <condense val="0"/>
        <extend val="0"/>
        <outline val="0"/>
        <shadow val="0"/>
        <u val="none"/>
        <vertAlign val="baseline"/>
        <sz val="10"/>
        <color theme="1"/>
        <name val="微軟正黑體"/>
        <scheme val="minor"/>
      </font>
      <numFmt numFmtId="179" formatCode="0.00_);[Red]\(0.00\)"/>
      <fill>
        <patternFill patternType="solid">
          <fgColor indexed="64"/>
          <bgColor theme="0"/>
        </patternFill>
      </fill>
      <protection locked="1" hidden="1"/>
    </dxf>
    <dxf>
      <numFmt numFmtId="0" formatCode="General"/>
      <fill>
        <patternFill patternType="solid">
          <fgColor indexed="64"/>
          <bgColor theme="0" tint="-4.9989318521683403E-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3" formatCode="0%"/>
      <fill>
        <patternFill patternType="solid">
          <fgColor indexed="64"/>
          <bgColor theme="6"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i val="0"/>
        <strike val="0"/>
        <condense val="0"/>
        <extend val="0"/>
        <outline val="0"/>
        <shadow val="0"/>
        <u val="none"/>
        <vertAlign val="baseline"/>
        <sz val="11"/>
        <color theme="8" tint="-0.249977111117893"/>
        <name val="微軟正黑體"/>
        <scheme val="minor"/>
      </font>
      <fill>
        <patternFill patternType="solid">
          <fgColor indexed="64"/>
          <bgColor theme="8" tint="0.79998168889431442"/>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80" formatCode="0_);[Red]\(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80" formatCode="0_);[Red]\(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80" formatCode="0_);[Red]\(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80" formatCode="0_);[Red]\(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3" formatCode="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81" formatCode="_-* #,##0_-;\-* #,##0_-;_-* &quot;-&quot;??_-;_-@_-"/>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80" formatCode="0_);[Red]\(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80" formatCode="0_);[Red]\(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7" formatCode="_(* #,##0.00_);_(* \(#,##0.00\);_(* &quot;-&quot;??_);_(@_)"/>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numFmt numFmtId="179" formatCode="0.00_);[Red]\(0.00\)"/>
      <fill>
        <patternFill patternType="solid">
          <fgColor rgb="FF000000"/>
          <bgColor rgb="FFFFFFFF"/>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4" formatCode="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90" formatCode="_(* #,##0_);_(* \(#,##0\);_(* &quot;-&quot;??_);_(@_)"/>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theme="1" tint="0.249977111117893"/>
        <name val="微軟正黑體"/>
        <scheme val="minor"/>
      </font>
      <numFmt numFmtId="183" formatCode="0.0"/>
      <fill>
        <patternFill patternType="solid">
          <fgColor indexed="64"/>
          <bgColor theme="0"/>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theme="1" tint="0.249977111117893"/>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rgb="FFFF0000"/>
        <name val="微軟正黑體"/>
        <scheme val="minor"/>
      </font>
      <numFmt numFmtId="181" formatCode="_-* #,##0_-;\-* #,##0_-;_-* &quot;-&quot;??_-;_-@_-"/>
      <fill>
        <patternFill patternType="solid">
          <fgColor indexed="64"/>
          <bgColor theme="5" tint="0.79998168889431442"/>
        </patternFill>
      </fill>
      <protection locked="1" hidden="1"/>
    </dxf>
    <dxf>
      <font>
        <b val="0"/>
        <i val="0"/>
        <strike val="0"/>
        <condense val="0"/>
        <extend val="0"/>
        <outline val="0"/>
        <shadow val="0"/>
        <u val="none"/>
        <vertAlign val="baseline"/>
        <sz val="10"/>
        <color rgb="FFFF0000"/>
        <name val="微軟正黑體"/>
        <scheme val="minor"/>
      </font>
      <numFmt numFmtId="181" formatCode="_-* #,##0_-;\-* #,##0_-;_-* &quot;-&quot;??_-;_-@_-"/>
      <fill>
        <patternFill patternType="solid">
          <fgColor indexed="64"/>
          <bgColor theme="5" tint="0.79998168889431442"/>
        </patternFill>
      </fill>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5" tint="0.79998168889431442"/>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8" formatCode="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 formatCode="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theme="1"/>
        <name val="微軟正黑體"/>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theme="1"/>
        <name val="微軟正黑體"/>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1"/>
    </dxf>
    <dxf>
      <numFmt numFmtId="0" formatCode="General"/>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i val="0"/>
        <strike val="0"/>
        <condense val="0"/>
        <extend val="0"/>
        <outline val="0"/>
        <shadow val="0"/>
        <u val="none"/>
        <vertAlign val="baseline"/>
        <sz val="11"/>
        <color theme="8" tint="-0.249977111117893"/>
        <name val="微軟正黑體"/>
        <scheme val="minor"/>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01" formatCode="0.0000_);[Red]\(0.0000\)"/>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bottom/>
        <vertical/>
        <horizontal/>
      </border>
      <protection locked="1" hidden="1"/>
    </dxf>
    <dxf>
      <font>
        <b val="0"/>
        <i val="0"/>
        <strike val="0"/>
        <condense val="0"/>
        <extend val="0"/>
        <outline val="0"/>
        <shadow val="0"/>
        <u val="none"/>
        <vertAlign val="baseline"/>
        <sz val="10"/>
        <color auto="1"/>
        <name val="微軟正黑體"/>
        <scheme val="minor"/>
      </font>
      <numFmt numFmtId="179" formatCode="0.00_);[Red]\(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top style="thin">
          <color indexed="64"/>
        </top>
        <bottom/>
        <vertical/>
        <horizontal/>
      </border>
      <protection locked="1" hidden="1"/>
    </dxf>
    <dxf>
      <font>
        <b val="0"/>
        <i val="0"/>
        <strike val="0"/>
        <condense val="0"/>
        <extend val="0"/>
        <outline val="0"/>
        <shadow val="0"/>
        <u val="none"/>
        <vertAlign val="baseline"/>
        <sz val="10"/>
        <color theme="1" tint="0.249977111117893"/>
        <name val="微軟正黑體"/>
        <scheme val="minor"/>
      </font>
      <numFmt numFmtId="183" formatCode="0.0"/>
      <fill>
        <patternFill patternType="solid">
          <fgColor indexed="64"/>
          <bgColor theme="0"/>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theme="1" tint="0.249977111117893"/>
        <name val="微軟正黑體"/>
        <scheme val="minor"/>
      </font>
      <numFmt numFmtId="14" formatCode="0.00%"/>
      <fill>
        <patternFill patternType="solid">
          <fgColor indexed="64"/>
          <bgColor theme="0"/>
        </patternFill>
      </fill>
      <protection locked="1" hidden="1"/>
    </dxf>
    <dxf>
      <font>
        <b val="0"/>
        <i val="0"/>
        <strike val="0"/>
        <condense val="0"/>
        <extend val="0"/>
        <outline val="0"/>
        <shadow val="0"/>
        <u val="none"/>
        <vertAlign val="baseline"/>
        <sz val="10"/>
        <color rgb="FFFF0000"/>
        <name val="微軟正黑體"/>
        <scheme val="minor"/>
      </font>
      <numFmt numFmtId="181" formatCode="_-* #,##0_-;\-* #,##0_-;_-* &quot;-&quot;??_-;_-@_-"/>
      <fill>
        <patternFill patternType="solid">
          <fgColor indexed="64"/>
          <bgColor theme="5" tint="0.79998168889431442"/>
        </patternFill>
      </fill>
      <protection locked="1" hidden="1"/>
    </dxf>
    <dxf>
      <font>
        <b val="0"/>
        <i val="0"/>
        <strike val="0"/>
        <condense val="0"/>
        <extend val="0"/>
        <outline val="0"/>
        <shadow val="0"/>
        <u val="none"/>
        <vertAlign val="baseline"/>
        <sz val="10"/>
        <color rgb="FFFF0000"/>
        <name val="微軟正黑體"/>
        <scheme val="minor"/>
      </font>
      <numFmt numFmtId="181" formatCode="_-* #,##0_-;\-* #,##0_-;_-* &quot;-&quot;??_-;_-@_-"/>
      <fill>
        <patternFill patternType="solid">
          <fgColor indexed="64"/>
          <bgColor theme="5" tint="0.79998168889431442"/>
        </patternFill>
      </fill>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5" tint="0.79998168889431442"/>
        </patternFill>
      </fill>
      <alignment horizontal="lef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80" formatCode="0_);[Red]\(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178" formatCode="0.000%"/>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18" formatCode="m/d/yyyy"/>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minor"/>
      </font>
      <numFmt numFmtId="2" formatCode="0.00"/>
      <fill>
        <patternFill patternType="solid">
          <fgColor indexed="64"/>
          <bgColor theme="0"/>
        </patternFill>
      </fill>
      <alignment horizontal="right" vertical="center" textRotation="0" wrapText="0" indent="0" justifyLastLine="0" shrinkToFit="0" readingOrder="0"/>
      <protection locked="1" hidden="1"/>
    </dxf>
    <dxf>
      <font>
        <b val="0"/>
        <i val="0"/>
        <strike val="0"/>
        <condense val="0"/>
        <extend val="0"/>
        <outline val="0"/>
        <shadow val="0"/>
        <u val="none"/>
        <vertAlign val="baseline"/>
        <sz val="10"/>
        <color theme="1"/>
        <name val="微軟正黑體"/>
        <scheme val="minor"/>
      </font>
      <numFmt numFmtId="0" formatCode="General"/>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theme="1"/>
        <name val="微軟正黑體"/>
        <scheme val="minor"/>
      </font>
      <numFmt numFmtId="179" formatCode="0.00_);[Red]\(0.00\)"/>
      <fill>
        <patternFill patternType="solid">
          <fgColor indexed="64"/>
          <bgColor theme="0"/>
        </patternFill>
      </fill>
      <protection locked="1" hidden="1"/>
    </dxf>
    <dxf>
      <font>
        <b val="0"/>
        <i val="0"/>
        <strike val="0"/>
        <condense val="0"/>
        <extend val="0"/>
        <outline val="0"/>
        <shadow val="0"/>
        <u val="none"/>
        <vertAlign val="baseline"/>
        <sz val="10"/>
        <color theme="1"/>
        <name val="微軟正黑體"/>
        <scheme val="minor"/>
      </font>
      <numFmt numFmtId="179" formatCode="0.00_);[Red]\(0.00\)"/>
      <fill>
        <patternFill patternType="solid">
          <fgColor indexed="64"/>
          <bgColor theme="0"/>
        </patternFill>
      </fill>
      <protection locked="1" hidden="1"/>
    </dxf>
    <dxf>
      <numFmt numFmtId="0" formatCode="General"/>
      <fill>
        <patternFill patternType="solid">
          <fgColor indexed="64"/>
          <bgColor theme="0"/>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微軟正黑體"/>
        <scheme val="none"/>
      </font>
      <fill>
        <patternFill patternType="solid">
          <fgColor rgb="FF000000"/>
          <bgColor rgb="FFFFFFFF"/>
        </patternFill>
      </fill>
      <alignment horizontal="center" vertical="center" textRotation="0" wrapText="0" indent="0" justifyLastLine="0" shrinkToFit="0" readingOrder="0"/>
      <protection locked="1" hidden="1"/>
    </dxf>
    <dxf>
      <font>
        <b/>
        <i val="0"/>
        <strike val="0"/>
        <condense val="0"/>
        <extend val="0"/>
        <outline val="0"/>
        <shadow val="0"/>
        <u val="none"/>
        <vertAlign val="baseline"/>
        <sz val="11"/>
        <color theme="8" tint="-0.249977111117893"/>
        <name val="微軟正黑體"/>
        <scheme val="minor"/>
      </font>
      <fill>
        <patternFill patternType="none">
          <fgColor indexed="64"/>
          <bgColor auto="1"/>
        </patternFill>
      </fill>
      <alignment horizontal="center" vertical="center" textRotation="0" wrapText="0" indent="0" justifyLastLine="0" shrinkToFit="0" readingOrder="0"/>
      <protection locked="1" hidden="1"/>
    </dxf>
    <dxf>
      <numFmt numFmtId="0" formatCode="General"/>
      <border diagonalUp="0" diagonalDown="0">
        <left/>
        <right style="medium">
          <color indexed="64"/>
        </right>
        <top/>
        <bottom/>
        <vertical/>
        <horizontal/>
      </border>
    </dxf>
    <dxf>
      <font>
        <b val="0"/>
        <i val="0"/>
        <strike val="0"/>
        <condense val="0"/>
        <extend val="0"/>
        <outline val="0"/>
        <shadow val="0"/>
        <u val="none"/>
        <vertAlign val="baseline"/>
        <sz val="12"/>
        <color theme="1"/>
        <name val="微軟正黑體"/>
        <scheme val="none"/>
      </font>
      <numFmt numFmtId="218" formatCode="m/d/yyyy"/>
      <alignment horizontal="right" vertical="center" textRotation="0" wrapText="0" indent="0" justifyLastLine="0" shrinkToFit="0" readingOrder="0"/>
    </dxf>
    <dxf>
      <numFmt numFmtId="0" formatCode="General"/>
    </dxf>
    <dxf>
      <numFmt numFmtId="0" formatCode="General"/>
      <border diagonalUp="0" diagonalDown="0">
        <left style="medium">
          <color indexed="64"/>
        </left>
        <right/>
        <top/>
        <bottom/>
        <vertical/>
        <horizontal/>
      </border>
    </dxf>
    <dxf>
      <font>
        <color auto="1"/>
      </font>
      <numFmt numFmtId="0" formatCode="General"/>
      <fill>
        <patternFill patternType="solid">
          <fgColor indexed="64"/>
          <bgColor rgb="FFFFFF00"/>
        </patternFill>
      </fill>
      <border diagonalUp="0" diagonalDown="0">
        <left/>
        <right style="medium">
          <color indexed="64"/>
        </right>
        <top/>
        <bottom/>
        <vertical/>
        <horizontal/>
      </border>
    </dxf>
    <dxf>
      <font>
        <strike val="0"/>
        <outline val="0"/>
        <shadow val="0"/>
        <u val="none"/>
        <vertAlign val="baseline"/>
        <sz val="12"/>
        <color auto="1"/>
        <name val="微軟正黑體"/>
        <scheme val="minor"/>
      </font>
      <numFmt numFmtId="0" formatCode="General"/>
      <fill>
        <patternFill patternType="solid">
          <fgColor indexed="64"/>
          <bgColor rgb="FFFFFF00"/>
        </patternFill>
      </fill>
    </dxf>
    <dxf>
      <numFmt numFmtId="0" formatCode="General"/>
    </dxf>
    <dxf>
      <fill>
        <patternFill patternType="solid">
          <fgColor indexed="64"/>
          <bgColor rgb="FFFFFF00"/>
        </patternFill>
      </fill>
      <border diagonalUp="0" diagonalDown="0">
        <left style="medium">
          <color indexed="64"/>
        </left>
        <right/>
        <top/>
        <bottom/>
        <vertical/>
        <horizontal/>
      </border>
    </dxf>
    <dxf>
      <border outline="0">
        <right style="thin">
          <color indexed="64"/>
        </right>
      </border>
    </dxf>
    <dxf>
      <numFmt numFmtId="0" formatCode="General"/>
    </dxf>
    <dxf>
      <protection locked="1" hidden="1"/>
    </dxf>
    <dxf>
      <font>
        <strike val="0"/>
        <outline val="0"/>
        <shadow val="0"/>
        <u val="none"/>
        <vertAlign val="baseline"/>
        <sz val="9"/>
        <color theme="1"/>
        <name val="微軟正黑體"/>
        <scheme val="minor"/>
      </font>
    </dxf>
    <dxf>
      <font>
        <strike val="0"/>
        <outline val="0"/>
        <shadow val="0"/>
        <u val="none"/>
        <vertAlign val="baseline"/>
        <sz val="9"/>
        <color theme="1"/>
        <name val="微軟正黑體"/>
        <scheme val="minor"/>
      </font>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2"/>
        <color theme="0"/>
        <name val="微軟正黑體"/>
        <scheme val="minor"/>
      </font>
      <fill>
        <patternFill patternType="solid">
          <fgColor theme="4"/>
          <bgColor theme="4"/>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EEF5F4"/>
        </patternFill>
      </fill>
    </dxf>
    <dxf>
      <fill>
        <patternFill>
          <bgColor rgb="FFEEF5F4"/>
        </patternFill>
      </fill>
    </dxf>
    <dxf>
      <fill>
        <patternFill>
          <bgColor rgb="FFEEF5F4"/>
        </patternFill>
      </fill>
    </dxf>
    <dxf>
      <fill>
        <patternFill>
          <bgColor rgb="FFEEF5F4"/>
        </patternFill>
      </fill>
    </dxf>
    <dxf>
      <fill>
        <patternFill>
          <bgColor rgb="FFEEF5F4"/>
        </patternFill>
      </fill>
    </dxf>
    <dxf>
      <font>
        <b/>
        <i val="0"/>
        <color rgb="FFFF0000"/>
      </font>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EEF5F4"/>
        </patternFill>
      </fill>
    </dxf>
    <dxf>
      <border>
        <top style="hair">
          <color rgb="FFB3863B"/>
        </top>
        <bottom style="thin">
          <color rgb="FF82602A"/>
        </bottom>
        <vertical/>
        <horizontal/>
      </border>
    </dxf>
    <dxf>
      <font>
        <color rgb="FF82602A"/>
      </font>
      <fill>
        <patternFill>
          <bgColor rgb="FFEEECE1"/>
        </patternFill>
      </fill>
      <border>
        <top style="hair">
          <color rgb="FFB3863B"/>
        </top>
        <bottom style="thin">
          <color rgb="FF82602A"/>
        </bottom>
        <vertical/>
        <horizontal/>
      </border>
    </dxf>
    <dxf>
      <font>
        <color rgb="FFFF0000"/>
      </font>
    </dxf>
    <dxf>
      <font>
        <color rgb="FFFF0000"/>
      </font>
    </dxf>
    <dxf>
      <font>
        <color rgb="FFFF0000"/>
      </font>
    </dxf>
    <dxf>
      <border>
        <top style="hair">
          <color rgb="FFB3863B"/>
        </top>
        <vertical/>
        <horizontal/>
      </border>
    </dxf>
    <dxf>
      <border>
        <top style="hair">
          <color rgb="FFB3863B"/>
        </top>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val="0"/>
        <i val="0"/>
        <color theme="0"/>
      </font>
      <fill>
        <patternFill>
          <bgColor rgb="FF297D6B"/>
        </patternFill>
      </fill>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ont>
        <b/>
        <i val="0"/>
        <color rgb="FF297D6B"/>
      </font>
    </dxf>
    <dxf>
      <fill>
        <patternFill>
          <fgColor rgb="FFEEF5F4"/>
        </patternFill>
      </fill>
    </dxf>
    <dxf>
      <font>
        <color rgb="FF9C0006"/>
      </font>
      <fill>
        <patternFill>
          <bgColor rgb="FFFFC7CE"/>
        </patternFill>
      </fill>
    </dxf>
    <dxf>
      <font>
        <color rgb="FF9C5700"/>
      </font>
      <fill>
        <patternFill>
          <bgColor rgb="FFFFEB9C"/>
        </patternFill>
      </fill>
    </dxf>
    <dxf>
      <font>
        <color rgb="FF9C0006"/>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EEF5F4"/>
        </patternFill>
      </fill>
    </dxf>
    <dxf>
      <fill>
        <patternFill>
          <bgColor rgb="FFEEF5F4"/>
        </patternFill>
      </fill>
    </dxf>
    <dxf>
      <fill>
        <patternFill>
          <bgColor rgb="FFEEF5F4"/>
        </patternFill>
      </fill>
    </dxf>
    <dxf>
      <fill>
        <patternFill>
          <bgColor rgb="FFEEF5F4"/>
        </patternFill>
      </fill>
    </dxf>
    <dxf>
      <fill>
        <patternFill>
          <bgColor rgb="FFEEF5F4"/>
        </patternFill>
      </fill>
    </dxf>
    <dxf>
      <font>
        <b/>
        <i val="0"/>
        <color rgb="FFFF0000"/>
      </font>
    </dxf>
    <dxf>
      <font>
        <b/>
        <i val="0"/>
        <color rgb="FFFF0000"/>
      </font>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BFBFBF"/>
        </patternFill>
      </fill>
    </dxf>
    <dxf>
      <fill>
        <patternFill>
          <bgColor rgb="FF297D6B"/>
        </patternFill>
      </fill>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EEF5F4"/>
        </patternFill>
      </fill>
    </dxf>
    <dxf>
      <font>
        <b/>
        <i val="0"/>
        <color theme="0"/>
      </font>
      <fill>
        <patternFill>
          <bgColor rgb="FF297D6B"/>
        </patternFill>
      </fill>
    </dxf>
    <dxf>
      <fill>
        <patternFill>
          <bgColor rgb="FFEEECE1"/>
        </patternFill>
      </fill>
    </dxf>
    <dxf>
      <font>
        <b/>
        <i val="0"/>
        <color rgb="FF297D6B"/>
      </font>
    </dxf>
    <dxf>
      <font>
        <b/>
        <i val="0"/>
        <color rgb="FF297D6B"/>
      </font>
    </dxf>
    <dxf>
      <font>
        <b/>
        <i val="0"/>
        <color rgb="FF297D6B"/>
      </font>
    </dxf>
    <dxf>
      <font>
        <b/>
        <i val="0"/>
        <color rgb="FF297D6B"/>
      </font>
    </dxf>
    <dxf>
      <border>
        <top style="hair">
          <color rgb="FFB3863B"/>
        </top>
        <bottom style="thin">
          <color rgb="FF82602A"/>
        </bottom>
        <vertical/>
        <horizontal/>
      </border>
    </dxf>
    <dxf>
      <font>
        <color rgb="FF82602A"/>
      </font>
      <fill>
        <patternFill>
          <bgColor rgb="FFEEECE1"/>
        </patternFill>
      </fill>
      <border>
        <top style="hair">
          <color rgb="FFB3863B"/>
        </top>
        <bottom style="thin">
          <color rgb="FF82602A"/>
        </bottom>
        <vertical/>
        <horizontal/>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val="0"/>
        <i val="0"/>
        <color theme="0"/>
      </font>
      <fill>
        <patternFill>
          <bgColor rgb="FF297D6B"/>
        </patternFill>
      </fill>
    </dxf>
    <dxf>
      <font>
        <color rgb="FFFF0000"/>
      </font>
    </dxf>
    <dxf>
      <font>
        <color rgb="FFFF0000"/>
      </font>
    </dxf>
    <dxf>
      <font>
        <color rgb="FFFF0000"/>
      </font>
    </dxf>
    <dxf>
      <font>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
      <fill>
        <patternFill>
          <bgColor rgb="FFEEF5F4"/>
        </patternFill>
      </fill>
    </dxf>
    <dxf>
      <fill>
        <patternFill>
          <bgColor rgb="FFEEF5F4"/>
        </patternFill>
      </fill>
    </dxf>
    <dxf>
      <fill>
        <patternFill>
          <bgColor rgb="FFEEF5F4"/>
        </patternFill>
      </fill>
    </dxf>
    <dxf>
      <fill>
        <patternFill>
          <bgColor rgb="FFEEF5F4"/>
        </patternFill>
      </fill>
    </dxf>
    <dxf>
      <fill>
        <patternFill>
          <bgColor rgb="FFEEF5F4"/>
        </patternFill>
      </fill>
    </dxf>
    <dxf>
      <font>
        <b/>
        <i val="0"/>
        <color theme="0"/>
      </font>
      <fill>
        <patternFill>
          <bgColor rgb="FF297D6B"/>
        </patternFill>
      </fill>
    </dxf>
    <dxf>
      <fill>
        <patternFill>
          <bgColor rgb="FFEEF5F4"/>
        </patternFill>
      </fill>
    </dxf>
    <dxf>
      <font>
        <b/>
        <i val="0"/>
        <color rgb="FFFF0000"/>
      </font>
    </dxf>
    <dxf>
      <font>
        <color rgb="FFFF0000"/>
      </font>
    </dxf>
    <dxf>
      <font>
        <color rgb="FFFF0000"/>
      </font>
    </dxf>
    <dxf>
      <font>
        <color rgb="FFFF0000"/>
      </font>
    </dxf>
    <dxf>
      <border>
        <top style="hair">
          <color rgb="FFB3863B"/>
        </top>
        <vertical/>
        <horizontal/>
      </border>
    </dxf>
    <dxf>
      <font>
        <b/>
        <i val="0"/>
        <color rgb="FF297D6B"/>
      </font>
    </dxf>
    <dxf>
      <font>
        <b/>
        <i val="0"/>
        <color theme="0"/>
      </font>
      <fill>
        <patternFill>
          <bgColor rgb="FF297D6B"/>
        </patternFill>
      </fill>
    </dxf>
    <dxf>
      <border>
        <top style="hair">
          <color rgb="FFB3863B"/>
        </top>
        <vertical/>
        <horizontal/>
      </border>
    </dxf>
    <dxf>
      <fill>
        <patternFill>
          <fgColor rgb="FFEEF5F4"/>
        </patternFill>
      </fill>
    </dxf>
    <dxf>
      <font>
        <b val="0"/>
        <i val="0"/>
        <strike val="0"/>
        <condense val="0"/>
        <extend val="0"/>
        <outline val="0"/>
        <shadow val="0"/>
        <u val="none"/>
        <vertAlign val="baseline"/>
        <sz val="14"/>
        <color theme="1"/>
        <name val="微軟正黑體"/>
        <scheme val="none"/>
      </font>
      <numFmt numFmtId="197" formatCode="#,##0_);[Red]\(#,##0\)"/>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right"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178" formatCode="0.000%"/>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right"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0" formatCode="General"/>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right"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197" formatCode="#,##0_);[Red]\(#,##0\)"/>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right"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197" formatCode="#,##0_);[Red]\(#,##0\)"/>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alignment horizontal="right" vertical="center" textRotation="0" wrapText="0" indent="0" justifyLastLine="0" shrinkToFit="0" readingOrder="0"/>
      <protection locked="0" hidden="1"/>
    </dxf>
    <dxf>
      <font>
        <b val="0"/>
        <i val="0"/>
        <strike val="0"/>
        <condense val="0"/>
        <extend val="0"/>
        <outline val="0"/>
        <shadow val="0"/>
        <u val="none"/>
        <vertAlign val="baseline"/>
        <sz val="14"/>
        <color theme="1"/>
        <name val="微軟正黑體"/>
        <scheme val="none"/>
      </font>
      <numFmt numFmtId="218" formatCode="m/d/yyyy"/>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alignment horizontal="right" vertical="center" textRotation="0" wrapText="0" indent="0" justifyLastLine="0" shrinkToFit="0" readingOrder="0"/>
      <protection locked="0" hidden="1"/>
    </dxf>
    <dxf>
      <font>
        <b val="0"/>
        <i val="0"/>
        <strike val="0"/>
        <condense val="0"/>
        <extend val="0"/>
        <outline val="0"/>
        <shadow val="0"/>
        <u val="none"/>
        <vertAlign val="baseline"/>
        <sz val="14"/>
        <color theme="1"/>
        <name val="微軟正黑體"/>
        <scheme val="none"/>
      </font>
      <numFmt numFmtId="218" formatCode="m/d/yyyy"/>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alignment horizontal="right" vertical="center" textRotation="0" wrapText="0" indent="0" justifyLastLine="0" shrinkToFit="0" readingOrder="0"/>
      <protection locked="0" hidden="1"/>
    </dxf>
    <dxf>
      <font>
        <b val="0"/>
        <i val="0"/>
        <strike val="0"/>
        <condense val="0"/>
        <extend val="0"/>
        <outline val="0"/>
        <shadow val="0"/>
        <u val="none"/>
        <vertAlign val="baseline"/>
        <sz val="14"/>
        <color theme="1"/>
        <name val="微軟正黑體"/>
        <scheme val="none"/>
      </font>
      <numFmt numFmtId="14" formatCode="0.00%"/>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alignment horizontal="right" vertical="center" textRotation="0" wrapText="0" indent="0" justifyLastLine="0" shrinkToFit="0" readingOrder="0"/>
      <protection locked="0" hidden="1"/>
    </dxf>
    <dxf>
      <font>
        <b val="0"/>
        <i val="0"/>
        <strike val="0"/>
        <condense val="0"/>
        <extend val="0"/>
        <outline val="0"/>
        <shadow val="0"/>
        <u val="none"/>
        <vertAlign val="baseline"/>
        <sz val="14"/>
        <color theme="1"/>
        <name val="微軟正黑體"/>
        <scheme val="none"/>
      </font>
      <numFmt numFmtId="180" formatCode="0_);[Red]\(0\)"/>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alignment horizontal="right" vertical="center" textRotation="0" wrapText="0" indent="0" justifyLastLine="0" shrinkToFit="0" readingOrder="0"/>
      <protection locked="0" hidden="1"/>
    </dxf>
    <dxf>
      <font>
        <b val="0"/>
        <i val="0"/>
        <strike val="0"/>
        <condense val="0"/>
        <extend val="0"/>
        <outline val="0"/>
        <shadow val="0"/>
        <u val="none"/>
        <vertAlign val="baseline"/>
        <sz val="14"/>
        <color theme="1"/>
        <name val="微軟正黑體"/>
        <scheme val="none"/>
      </font>
      <numFmt numFmtId="14" formatCode="0.00%"/>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right"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0" formatCode="General"/>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right"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188" formatCode="0.00_ "/>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179" formatCode="0.00_);[Red]\(0.00\)"/>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218" formatCode="m/d/yyyy"/>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0" formatCode="General"/>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alignment horizontal="right" vertical="center" textRotation="0" wrapText="0" indent="0" justifyLastLine="0" shrinkToFit="0" readingOrder="0"/>
      <protection locked="0" hidden="1"/>
    </dxf>
    <dxf>
      <font>
        <b val="0"/>
        <i val="0"/>
        <strike val="0"/>
        <condense val="0"/>
        <extend val="0"/>
        <outline val="0"/>
        <shadow val="0"/>
        <u val="none"/>
        <vertAlign val="baseline"/>
        <sz val="14"/>
        <color theme="1"/>
        <name val="微軟正黑體"/>
        <scheme val="none"/>
      </font>
      <numFmt numFmtId="178" formatCode="0.000%"/>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right"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numFmt numFmtId="188" formatCode="0.00_ "/>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3"/>
        <color theme="1"/>
        <name val="微軟正黑體"/>
        <scheme val="none"/>
      </font>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3"/>
        <color theme="1"/>
        <name val="微軟正黑體"/>
        <scheme val="none"/>
      </font>
      <numFmt numFmtId="0" formatCode="General"/>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4"/>
        <color theme="1"/>
        <name val="微軟正黑體"/>
        <scheme val="none"/>
      </font>
      <numFmt numFmtId="0" formatCode="General"/>
      <fill>
        <patternFill patternType="none">
          <fgColor indexed="64"/>
          <bgColor auto="1"/>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12"/>
        <color theme="1"/>
        <name val="微軟正黑體"/>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1"/>
    </dxf>
    <dxf>
      <font>
        <b val="0"/>
        <i val="0"/>
        <strike val="0"/>
        <condense val="0"/>
        <extend val="0"/>
        <outline val="0"/>
        <shadow val="0"/>
        <u val="none"/>
        <vertAlign val="baseline"/>
        <sz val="14"/>
        <color theme="1"/>
        <name val="微軟正黑體"/>
        <scheme val="none"/>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14"/>
        <name val="微軟正黑體"/>
        <scheme val="none"/>
      </font>
      <fill>
        <patternFill patternType="solid">
          <fgColor indexed="64"/>
          <bgColor theme="0"/>
        </patternFill>
      </fill>
      <protection locked="0" hidden="1"/>
    </dxf>
    <dxf>
      <border outline="0">
        <top style="medium">
          <color rgb="FF297D6B"/>
        </top>
      </border>
    </dxf>
    <dxf>
      <font>
        <strike val="0"/>
        <outline val="0"/>
        <shadow val="0"/>
        <u val="none"/>
        <vertAlign val="baseline"/>
        <sz val="14"/>
        <name val="微軟正黑體"/>
        <scheme val="none"/>
      </font>
      <fill>
        <patternFill patternType="none">
          <fgColor indexed="64"/>
          <bgColor auto="1"/>
        </patternFill>
      </fill>
      <protection locked="0" hidden="1"/>
    </dxf>
    <dxf>
      <font>
        <b/>
        <i val="0"/>
        <strike val="0"/>
        <condense val="0"/>
        <extend val="0"/>
        <outline val="0"/>
        <shadow val="0"/>
        <u val="none"/>
        <vertAlign val="baseline"/>
        <sz val="16"/>
        <color theme="0"/>
        <name val="微軟正黑體"/>
        <scheme val="none"/>
      </font>
      <fill>
        <patternFill patternType="solid">
          <fgColor indexed="64"/>
          <bgColor rgb="FF297D6B"/>
        </patternFill>
      </fill>
      <alignment horizontal="center" vertical="center" textRotation="0" wrapText="0" indent="0" justifyLastLine="0" shrinkToFit="0" readingOrder="0"/>
      <protection locked="0" hidden="1"/>
    </dxf>
    <dxf>
      <font>
        <b/>
        <i val="0"/>
        <color rgb="FFFF0000"/>
      </font>
    </dxf>
    <dxf>
      <font>
        <b/>
        <i val="0"/>
        <color rgb="FFFF0000"/>
      </font>
    </dxf>
    <dxf>
      <font>
        <b/>
        <i val="0"/>
        <color rgb="FF0000FF"/>
      </font>
    </dxf>
    <dxf>
      <fill>
        <patternFill>
          <bgColor rgb="FFEEF5F4"/>
        </patternFill>
      </fill>
    </dxf>
    <dxf>
      <fill>
        <patternFill>
          <bgColor rgb="FFEEF5F4"/>
        </patternFill>
      </fill>
    </dxf>
    <dxf>
      <fill>
        <patternFill>
          <bgColor rgb="FFEEF5F4"/>
        </patternFill>
      </fill>
    </dxf>
    <dxf>
      <fill>
        <patternFill>
          <bgColor rgb="FFEEF5F4"/>
        </patternFill>
      </fill>
    </dxf>
    <dxf>
      <fill>
        <patternFill>
          <bgColor rgb="FFEEF5F4"/>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bottom style="thin">
          <color rgb="FF009043"/>
        </bottom>
        <vertical/>
        <horizontal/>
      </border>
    </dxf>
    <dxf>
      <border>
        <bottom style="thin">
          <color rgb="FF009043"/>
        </bottom>
        <vertical/>
        <horizontal/>
      </border>
    </dxf>
    <dxf>
      <border>
        <bottom style="thin">
          <color rgb="FF009043"/>
        </bottom>
        <vertical/>
        <horizontal/>
      </border>
    </dxf>
    <dxf>
      <border>
        <bottom style="thin">
          <color rgb="FF009043"/>
        </bottom>
        <vertical/>
        <horizontal/>
      </border>
    </dxf>
    <dxf>
      <border>
        <bottom style="thin">
          <color rgb="FF009043"/>
        </bottom>
        <vertical/>
        <horizontal/>
      </border>
    </dxf>
    <dxf>
      <border>
        <bottom style="thin">
          <color rgb="FF009043"/>
        </bottom>
        <vertical/>
        <horizontal/>
      </border>
    </dxf>
    <dxf>
      <border>
        <bottom style="thin">
          <color rgb="FF009043"/>
        </bottom>
        <vertical/>
        <horizontal/>
      </border>
    </dxf>
    <dxf>
      <border>
        <bottom style="thin">
          <color rgb="FF009043"/>
        </bottom>
        <vertical/>
        <horizontal/>
      </border>
    </dxf>
    <dxf>
      <border>
        <bottom style="thin">
          <color rgb="FF009043"/>
        </bottom>
        <vertical/>
        <horizontal/>
      </border>
    </dxf>
    <dxf>
      <border>
        <bottom style="thin">
          <color rgb="FF009043"/>
        </bottom>
        <vertical/>
        <horizontal/>
      </border>
    </dxf>
    <dxf>
      <border>
        <bottom style="thin">
          <color rgb="FF009043"/>
        </bottom>
        <vertical/>
        <horizontal/>
      </border>
    </dxf>
    <dxf>
      <fill>
        <patternFill>
          <bgColor theme="0" tint="-4.9989318521683403E-2"/>
        </patternFill>
      </fill>
    </dxf>
    <dxf>
      <fill>
        <patternFill>
          <bgColor theme="0"/>
        </patternFill>
      </fill>
      <border>
        <right/>
        <vertical/>
        <horizontal/>
      </border>
    </dxf>
    <dxf>
      <border>
        <right/>
        <vertical/>
        <horizontal/>
      </border>
    </dxf>
    <dxf>
      <fill>
        <patternFill>
          <bgColor theme="0"/>
        </patternFill>
      </fill>
    </dxf>
    <dxf>
      <fill>
        <patternFill>
          <bgColor theme="0"/>
        </patternFill>
      </fill>
      <border>
        <right/>
      </border>
    </dxf>
    <dxf>
      <fill>
        <patternFill>
          <bgColor theme="0"/>
        </patternFill>
      </fill>
      <border>
        <left/>
        <vertical/>
        <horizontal/>
      </border>
    </dxf>
    <dxf>
      <fill>
        <patternFill>
          <bgColor theme="0"/>
        </patternFill>
      </fill>
    </dxf>
    <dxf>
      <fill>
        <patternFill>
          <bgColor theme="0"/>
        </patternFill>
      </fill>
    </dxf>
    <dxf>
      <border>
        <bottom style="thin">
          <color rgb="FF297D6B"/>
        </bottom>
        <vertical/>
        <horizontal/>
      </border>
    </dxf>
    <dxf>
      <border>
        <left style="thin">
          <color theme="0"/>
        </left>
        <vertical/>
        <horizontal/>
      </border>
    </dxf>
    <dxf>
      <font>
        <b/>
        <i val="0"/>
        <color rgb="FFFF0000"/>
      </font>
    </dxf>
    <dxf>
      <fill>
        <patternFill>
          <bgColor theme="0" tint="-4.9989318521683403E-2"/>
        </patternFill>
      </fill>
    </dxf>
    <dxf>
      <font>
        <b/>
        <i val="0"/>
        <sz val="14"/>
        <color auto="1"/>
        <name val="微軟正黑體"/>
        <scheme val="minor"/>
      </font>
    </dxf>
    <dxf>
      <font>
        <b/>
        <i val="0"/>
        <sz val="14"/>
        <name val="微軟正黑體"/>
        <scheme val="major"/>
      </font>
      <border>
        <bottom style="thin">
          <color theme="0" tint="-0.499984740745262"/>
        </bottom>
      </border>
    </dxf>
    <dxf>
      <font>
        <color theme="0"/>
      </font>
    </dxf>
    <dxf>
      <font>
        <color theme="0"/>
      </font>
      <border diagonalUp="0" diagonalDown="0">
        <left/>
        <right/>
        <top/>
        <bottom/>
        <vertical/>
        <horizontal/>
      </border>
    </dxf>
    <dxf>
      <font>
        <b/>
        <i val="0"/>
        <sz val="16"/>
        <name val="微軟正黑體"/>
        <scheme val="major"/>
      </font>
    </dxf>
    <dxf>
      <fill>
        <patternFill>
          <bgColor rgb="FFEEF5F4"/>
        </patternFill>
      </fill>
    </dxf>
    <dxf>
      <fill>
        <patternFill patternType="none">
          <bgColor auto="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patternType="none">
          <bgColor auto="1"/>
        </patternFill>
      </fill>
    </dxf>
    <dxf>
      <font>
        <b/>
        <i val="0"/>
        <sz val="16"/>
        <name val="微軟正黑體"/>
        <scheme val="major"/>
      </font>
      <border>
        <bottom style="thin">
          <color theme="0" tint="-0.499984740745262"/>
        </bottom>
      </border>
    </dxf>
    <dxf>
      <font>
        <b/>
        <i val="0"/>
        <sz val="16"/>
        <name val="微軟正黑體"/>
        <scheme val="major"/>
      </font>
      <border>
        <bottom style="thin">
          <color theme="0" tint="-0.499984740745262"/>
        </bottom>
      </border>
    </dxf>
    <dxf>
      <font>
        <b/>
        <i val="0"/>
        <sz val="16"/>
        <name val="微軟正黑體"/>
        <scheme val="major"/>
      </font>
      <border>
        <bottom style="thin">
          <color theme="0" tint="-0.499984740745262"/>
        </bottom>
      </border>
    </dxf>
    <dxf>
      <font>
        <b/>
        <i val="0"/>
        <sz val="16"/>
        <name val="微軟正黑體"/>
        <scheme val="major"/>
      </font>
      <border>
        <bottom style="thin">
          <color theme="0" tint="-0.499984740745262"/>
        </bottom>
      </border>
    </dxf>
    <dxf>
      <font>
        <b/>
        <i val="0"/>
        <sz val="16"/>
        <name val="微軟正黑體"/>
        <scheme val="major"/>
      </font>
      <border>
        <bottom style="thin">
          <color theme="0" tint="-0.499984740745262"/>
        </bottom>
      </border>
    </dxf>
    <dxf>
      <font>
        <b/>
        <i val="0"/>
        <sz val="16"/>
        <name val="微軟正黑體"/>
        <scheme val="major"/>
      </font>
      <border>
        <bottom style="thin">
          <color theme="0" tint="-0.499984740745262"/>
        </bottom>
      </border>
    </dxf>
    <dxf>
      <font>
        <b/>
        <i val="0"/>
        <sz val="16"/>
        <name val="微軟正黑體"/>
        <scheme val="major"/>
      </font>
      <border>
        <bottom style="thin">
          <color theme="0" tint="-0.499984740745262"/>
        </bottom>
      </border>
    </dxf>
    <dxf>
      <font>
        <b/>
        <i val="0"/>
        <sz val="16"/>
        <name val="微軟正黑體"/>
        <scheme val="major"/>
      </font>
      <border>
        <bottom style="thin">
          <color theme="0" tint="-0.499984740745262"/>
        </bottom>
      </border>
    </dxf>
  </dxfs>
  <tableStyles count="30" defaultTableStyle="TableStyleMedium2" defaultPivotStyle="PivotStyleLight16">
    <tableStyle name="交叉分析篩選器樣式 1" pivot="0" table="0" count="1" xr9:uid="{00000000-0011-0000-FFFF-FFFF00000000}"/>
    <tableStyle name="交叉分析篩選器樣式 1 10" pivot="0" table="0" count="6" xr9:uid="{00000000-0011-0000-FFFF-FFFF01000000}">
      <tableStyleElement type="headerRow" dxfId="922"/>
    </tableStyle>
    <tableStyle name="交叉分析篩選器樣式 1 3" pivot="0" table="0" count="6" xr9:uid="{00000000-0011-0000-FFFF-FFFF02000000}">
      <tableStyleElement type="headerRow" dxfId="921"/>
    </tableStyle>
    <tableStyle name="交叉分析篩選器樣式 1 4" pivot="0" table="0" count="6" xr9:uid="{00000000-0011-0000-FFFF-FFFF03000000}">
      <tableStyleElement type="headerRow" dxfId="920"/>
    </tableStyle>
    <tableStyle name="交叉分析篩選器樣式 1 5" pivot="0" table="0" count="6" xr9:uid="{00000000-0011-0000-FFFF-FFFF04000000}">
      <tableStyleElement type="headerRow" dxfId="919"/>
    </tableStyle>
    <tableStyle name="交叉分析篩選器樣式 1 6" pivot="0" table="0" count="6" xr9:uid="{00000000-0011-0000-FFFF-FFFF05000000}">
      <tableStyleElement type="headerRow" dxfId="918"/>
    </tableStyle>
    <tableStyle name="交叉分析篩選器樣式 1 7" pivot="0" table="0" count="6" xr9:uid="{00000000-0011-0000-FFFF-FFFF06000000}">
      <tableStyleElement type="headerRow" dxfId="917"/>
    </tableStyle>
    <tableStyle name="交叉分析篩選器樣式 1 8" pivot="0" table="0" count="6" xr9:uid="{00000000-0011-0000-FFFF-FFFF07000000}">
      <tableStyleElement type="headerRow" dxfId="916"/>
    </tableStyle>
    <tableStyle name="交叉分析篩選器樣式 1 9" pivot="0" table="0" count="6" xr9:uid="{00000000-0011-0000-FFFF-FFFF08000000}">
      <tableStyleElement type="headerRow" dxfId="915"/>
    </tableStyle>
    <tableStyle name="交叉分析篩選器樣式 10" pivot="0" table="0" count="8" xr9:uid="{00000000-0011-0000-FFFF-FFFF09000000}"/>
    <tableStyle name="交叉分析篩選器樣式 11" pivot="0" table="0" count="4" xr9:uid="{00000000-0011-0000-FFFF-FFFF0A000000}"/>
    <tableStyle name="交叉分析篩選器樣式 12" pivot="0" table="0" count="4" xr9:uid="{00000000-0011-0000-FFFF-FFFF0B000000}"/>
    <tableStyle name="交叉分析篩選器樣式 13" pivot="0" table="0" count="5" xr9:uid="{00000000-0011-0000-FFFF-FFFF0C000000}">
      <tableStyleElement type="wholeTable" dxfId="914"/>
    </tableStyle>
    <tableStyle name="交叉分析篩選器樣式 14" pivot="0" table="0" count="2" xr9:uid="{00000000-0011-0000-FFFF-FFFF0D000000}">
      <tableStyleElement type="wholeTable" dxfId="913"/>
    </tableStyle>
    <tableStyle name="交叉分析篩選器樣式 15" pivot="0" table="0" count="5" xr9:uid="{00000000-0011-0000-FFFF-FFFF0E000000}">
      <tableStyleElement type="wholeTable" dxfId="912"/>
    </tableStyle>
    <tableStyle name="交叉分析篩選器樣式 15 2" pivot="0" table="0" count="5" xr9:uid="{00000000-0011-0000-FFFF-FFFF0F000000}">
      <tableStyleElement type="wholeTable" dxfId="911"/>
    </tableStyle>
    <tableStyle name="交叉分析篩選器樣式 16" pivot="0" table="0" count="4" xr9:uid="{00000000-0011-0000-FFFF-FFFF10000000}"/>
    <tableStyle name="交叉分析篩選器樣式 17" pivot="0" table="0" count="1" xr9:uid="{00000000-0011-0000-FFFF-FFFF11000000}">
      <tableStyleElement type="wholeTable" dxfId="910"/>
    </tableStyle>
    <tableStyle name="交叉分析篩選器樣式 18" pivot="0" table="0" count="5" xr9:uid="{00000000-0011-0000-FFFF-FFFF12000000}">
      <tableStyleElement type="wholeTable" dxfId="909"/>
    </tableStyle>
    <tableStyle name="交叉分析篩選器樣式 2" pivot="0" table="0" count="1" xr9:uid="{00000000-0011-0000-FFFF-FFFF13000000}"/>
    <tableStyle name="交叉分析篩選器樣式 3" pivot="0" table="0" count="1" xr9:uid="{00000000-0011-0000-FFFF-FFFF14000000}"/>
    <tableStyle name="交叉分析篩選器樣式 4" pivot="0" table="0" count="1" xr9:uid="{00000000-0011-0000-FFFF-FFFF15000000}"/>
    <tableStyle name="交叉分析篩選器樣式 5" pivot="0" table="0" count="4" xr9:uid="{00000000-0011-0000-FFFF-FFFF16000000}">
      <tableStyleElement type="headerRow" dxfId="908"/>
    </tableStyle>
    <tableStyle name="交叉分析篩選器樣式 6" pivot="0" table="0" count="3" xr9:uid="{00000000-0011-0000-FFFF-FFFF17000000}"/>
    <tableStyle name="交叉分析篩選器樣式 7" pivot="0" table="0" count="5" xr9:uid="{00000000-0011-0000-FFFF-FFFF18000000}">
      <tableStyleElement type="headerRow" dxfId="907"/>
    </tableStyle>
    <tableStyle name="交叉分析篩選器樣式 8" pivot="0" table="0" count="9" xr9:uid="{00000000-0011-0000-FFFF-FFFF19000000}">
      <tableStyleElement type="headerRow" dxfId="906"/>
    </tableStyle>
    <tableStyle name="交叉分析篩選器樣式 9" pivot="0" table="0" count="6" xr9:uid="{00000000-0011-0000-FFFF-FFFF1A000000}"/>
    <tableStyle name="交叉分析篩選器樣式 -客戶資格" pivot="0" table="0" count="6" xr9:uid="{00000000-0011-0000-FFFF-FFFF1B000000}">
      <tableStyleElement type="headerRow" dxfId="905"/>
    </tableStyle>
    <tableStyle name="交叉分析篩選器樣式_FB" pivot="0" table="0" count="3" xr9:uid="{00000000-0011-0000-FFFF-FFFF1C000000}">
      <tableStyleElement type="wholeTable" dxfId="904"/>
    </tableStyle>
    <tableStyle name="表格樣式 1" pivot="0" count="1" xr9:uid="{00000000-0011-0000-FFFF-FFFF1D000000}">
      <tableStyleElement type="firstRowStripe" dxfId="903"/>
    </tableStyle>
  </tableStyles>
  <colors>
    <mruColors>
      <color rgb="FF297D6B"/>
      <color rgb="FFFFFF99"/>
      <color rgb="FFFFE389"/>
      <color rgb="FFEEECE1"/>
      <color rgb="FFC49500"/>
      <color rgb="FFE80E0E"/>
      <color rgb="FF37A78F"/>
      <color rgb="FFEEF5F4"/>
      <color rgb="FFB3863B"/>
      <color rgb="FFEBF8F4"/>
    </mruColors>
  </colors>
  <extLst>
    <ext xmlns:x14="http://schemas.microsoft.com/office/spreadsheetml/2009/9/main" uri="{46F421CA-312F-682f-3DD2-61675219B42D}">
      <x14:dxfs count="112">
        <dxf>
          <font>
            <b val="0"/>
            <i val="0"/>
            <sz val="11"/>
            <name val="微軟正黑體"/>
            <scheme val="minor"/>
          </font>
          <fill>
            <patternFill>
              <bgColor theme="0" tint="-4.9989318521683403E-2"/>
            </patternFill>
          </fill>
        </dxf>
        <dxf>
          <font>
            <b/>
            <i val="0"/>
            <sz val="14"/>
            <color rgb="FF009043"/>
            <name val="微軟正黑體"/>
            <scheme val="minor"/>
          </font>
          <fill>
            <patternFill>
              <bgColor rgb="FFFFFF00"/>
            </patternFill>
          </fill>
          <border>
            <left style="thin">
              <color auto="1"/>
            </left>
            <right style="thin">
              <color auto="1"/>
            </right>
            <top style="thin">
              <color auto="1"/>
            </top>
            <bottom style="thin">
              <color auto="1"/>
            </bottom>
          </border>
        </dxf>
        <dxf>
          <font>
            <sz val="12"/>
          </font>
          <fill>
            <patternFill patternType="none">
              <bgColor auto="1"/>
            </patternFill>
          </fill>
        </dxf>
        <dxf>
          <font>
            <sz val="12"/>
          </font>
          <fill>
            <patternFill>
              <bgColor theme="0" tint="-0.14996795556505021"/>
            </patternFill>
          </fill>
        </dxf>
        <dxf>
          <font>
            <b/>
            <i val="0"/>
            <sz val="12"/>
            <name val="微軟正黑體"/>
            <scheme val="minor"/>
          </font>
          <fill>
            <patternFill>
              <bgColor rgb="FFFFC000"/>
            </patternFill>
          </fill>
        </dxf>
        <dxf>
          <font>
            <sz val="12"/>
          </font>
          <fill>
            <patternFill patternType="solid">
              <bgColor theme="0" tint="-4.9989318521683403E-2"/>
            </patternFill>
          </fill>
        </dxf>
        <dxf>
          <font>
            <b/>
            <i val="0"/>
            <sz val="12"/>
          </font>
          <fill>
            <patternFill patternType="solid">
              <bgColor theme="9" tint="0.79998168889431442"/>
            </patternFill>
          </fill>
        </dxf>
        <dxf>
          <fill>
            <gradientFill degree="90">
              <stop position="0">
                <color theme="0"/>
              </stop>
              <stop position="1">
                <color rgb="FFFFC000"/>
              </stop>
            </gradientFill>
          </fill>
          <border>
            <left style="thin">
              <color rgb="FF226859"/>
            </left>
            <right style="thin">
              <color rgb="FF226859"/>
            </right>
            <top style="thin">
              <color rgb="FF226859"/>
            </top>
            <bottom style="thin">
              <color rgb="FF226859"/>
            </bottom>
          </border>
        </dxf>
        <dxf>
          <fill>
            <gradientFill degree="90">
              <stop position="0">
                <color theme="0"/>
              </stop>
              <stop position="1">
                <color rgb="FFFFC000"/>
              </stop>
            </gradientFill>
          </fill>
          <border>
            <left style="thin">
              <color rgb="FF226859"/>
            </left>
            <right style="thin">
              <color rgb="FF226859"/>
            </right>
            <top style="thin">
              <color rgb="FF226859"/>
            </top>
            <bottom style="thin">
              <color rgb="FF226859"/>
            </bottom>
          </border>
        </dxf>
        <dxf>
          <font>
            <color theme="0"/>
          </font>
        </dxf>
        <dxf>
          <font>
            <b/>
            <i val="0"/>
            <color auto="1"/>
            <name val="微軟正黑體"/>
            <scheme val="minor"/>
          </font>
          <fill>
            <patternFill>
              <bgColor rgb="FFFFC000"/>
            </patternFill>
          </fill>
        </dxf>
        <dxf>
          <font>
            <color theme="0"/>
          </font>
        </dxf>
        <dxf>
          <fill>
            <patternFill>
              <bgColor rgb="FFFFE389"/>
            </patternFill>
          </fill>
        </dxf>
        <dxf>
          <font>
            <sz val="14"/>
            <color theme="0"/>
          </font>
        </dxf>
        <dxf>
          <font>
            <sz val="14"/>
            <color theme="0"/>
          </font>
        </dxf>
        <dxf>
          <font>
            <sz val="14"/>
            <color theme="0"/>
          </font>
        </dxf>
        <dxf>
          <font>
            <sz val="14"/>
            <color theme="0"/>
          </font>
        </dxf>
        <dxf>
          <font>
            <sz val="14"/>
            <color theme="0"/>
          </font>
        </dxf>
        <dxf>
          <font>
            <sz val="14"/>
            <color theme="0"/>
          </font>
        </dxf>
        <dxf>
          <font>
            <sz val="14"/>
            <color theme="0"/>
          </font>
        </dxf>
        <dxf>
          <font>
            <sz val="14"/>
            <color theme="0"/>
          </font>
        </dxf>
        <dxf>
          <font>
            <b/>
            <i val="0"/>
            <sz val="16"/>
            <name val="微軟正黑體"/>
            <scheme val="min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6"/>
            <name val="微軟正黑體"/>
            <scheme val="min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4"/>
            <name val="微軟正黑體"/>
            <scheme val="minor"/>
          </font>
          <fill>
            <patternFill>
              <bgColor rgb="FFFFC000"/>
            </patternFill>
          </fill>
        </dxf>
        <dxf>
          <font>
            <b/>
            <i val="0"/>
            <sz val="14"/>
            <name val="微軟正黑體"/>
            <scheme val="minor"/>
          </font>
          <fill>
            <patternFill>
              <bgColor rgb="FFFFE389"/>
            </patternFill>
          </fill>
        </dxf>
        <dxf>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4"/>
            <color theme="1"/>
            <name val="微軟正黑體"/>
            <scheme val="minor"/>
          </font>
          <fill>
            <patternFill>
              <bgColor rgb="FFFFC000"/>
            </patternFill>
          </fill>
        </dxf>
        <dxf>
          <font>
            <b val="0"/>
            <i val="0"/>
            <sz val="14"/>
            <name val="微軟正黑體"/>
            <scheme val="minor"/>
          </font>
          <fill>
            <patternFill>
              <bgColor rgb="FFFFE285"/>
            </patternFill>
          </fill>
        </dxf>
        <dxf>
          <font>
            <sz val="16"/>
            <name val="微軟正黑體"/>
            <scheme val="major"/>
          </font>
          <fill>
            <patternFill>
              <bgColor theme="0" tint="-4.9989318521683403E-2"/>
            </patternFill>
          </fill>
        </dxf>
        <dxf>
          <font>
            <b/>
            <i val="0"/>
            <sz val="16"/>
            <name val="微軟正黑體"/>
            <scheme val="major"/>
          </font>
          <fill>
            <patternFill>
              <bgColor rgb="FFFFC000"/>
            </patternFill>
          </fill>
        </dxf>
        <dxf>
          <font>
            <sz val="16"/>
          </font>
          <fill>
            <patternFill>
              <bgColor theme="9" tint="0.79998168889431442"/>
            </patternFill>
          </fill>
        </dxf>
        <dxf>
          <font>
            <sz val="16"/>
          </font>
        </dxf>
        <dxf>
          <font>
            <sz val="14"/>
          </font>
        </dxf>
        <dxf>
          <fill>
            <patternFill>
              <bgColor rgb="FF297D6B"/>
            </patternFill>
          </fill>
        </dxf>
        <dxf>
          <font>
            <b/>
            <i val="0"/>
            <sz val="10"/>
            <color theme="0"/>
            <name val="微軟正黑體"/>
            <scheme val="minor"/>
          </font>
          <fill>
            <gradientFill degree="90">
              <stop position="0">
                <color theme="0"/>
              </stop>
              <stop position="1">
                <color rgb="FF297D6B"/>
              </stop>
            </gradientFill>
          </fill>
          <border>
            <left style="thin">
              <color rgb="FFFFC000"/>
            </left>
            <right style="thin">
              <color rgb="FFFFC000"/>
            </right>
            <top style="thin">
              <color rgb="FFFFC000"/>
            </top>
            <bottom style="thin">
              <color rgb="FFFFC000"/>
            </bottom>
          </border>
        </dxf>
        <dxf>
          <font>
            <b/>
            <i val="0"/>
            <sz val="10"/>
            <color theme="0"/>
            <name val="微軟正黑體"/>
            <scheme val="minor"/>
          </font>
          <fill>
            <gradientFill degree="90">
              <stop position="0">
                <color theme="0"/>
              </stop>
              <stop position="1">
                <color rgb="FF297D6B"/>
              </stop>
            </gradientFill>
          </fill>
          <border>
            <left style="thin">
              <color rgb="FFFFC000"/>
            </left>
            <right style="thin">
              <color rgb="FFFFC000"/>
            </right>
            <top style="thin">
              <color rgb="FFFFC000"/>
            </top>
            <bottom style="thin">
              <color rgb="FFFFC000"/>
            </bottom>
          </border>
        </dxf>
        <dxf>
          <font>
            <b/>
            <i val="0"/>
            <sz val="10"/>
            <color theme="0"/>
            <name val="微軟正黑體"/>
            <scheme val="minor"/>
          </font>
          <fill>
            <patternFill>
              <bgColor rgb="FF297D6B"/>
            </patternFill>
          </fill>
          <border>
            <left style="thin">
              <color rgb="FFFFC000"/>
            </left>
            <right style="thin">
              <color rgb="FFFFC000"/>
            </right>
            <top style="thin">
              <color rgb="FFFFC000"/>
            </top>
            <bottom style="thin">
              <color rgb="FFFFC000"/>
            </bottom>
          </border>
        </dxf>
        <dxf>
          <font>
            <sz val="9"/>
            <name val="微軟正黑體"/>
            <scheme val="minor"/>
          </font>
          <fill>
            <patternFill>
              <bgColor rgb="FFEEF5F4"/>
            </patternFill>
          </fill>
        </dxf>
        <dxf>
          <font>
            <b/>
            <i val="0"/>
            <sz val="12"/>
            <color theme="0"/>
            <name val="微軟正黑體"/>
            <scheme val="major"/>
          </font>
          <fill>
            <gradientFill degree="90">
              <stop position="0">
                <color theme="0"/>
              </stop>
              <stop position="1">
                <color rgb="FF297D6B"/>
              </stop>
            </gradientFill>
          </fill>
          <border>
            <left style="thin">
              <color rgb="FFFFC000"/>
            </left>
            <right style="thin">
              <color rgb="FFFFC000"/>
            </right>
            <top style="thin">
              <color rgb="FFFFC000"/>
            </top>
            <bottom style="thin">
              <color rgb="FFFFC000"/>
            </bottom>
          </border>
        </dxf>
        <dxf>
          <font>
            <sz val="10"/>
            <color theme="0"/>
            <name val="微軟正黑體"/>
            <scheme val="minor"/>
          </font>
          <fill>
            <gradientFill degree="90">
              <stop position="0">
                <color theme="0"/>
              </stop>
              <stop position="1">
                <color rgb="FF297D6B"/>
              </stop>
            </gradientFill>
          </fill>
          <border>
            <left style="thin">
              <color rgb="FFFFC000"/>
            </left>
            <right style="thin">
              <color rgb="FFFFC000"/>
            </right>
            <top style="thin">
              <color rgb="FFFFC000"/>
            </top>
            <bottom style="thin">
              <color rgb="FFFFC000"/>
            </bottom>
          </border>
        </dxf>
        <dxf>
          <font>
            <b/>
            <i val="0"/>
            <sz val="10"/>
            <color theme="0"/>
            <name val="微軟正黑體"/>
            <scheme val="minor"/>
          </font>
          <fill>
            <patternFill>
              <bgColor rgb="FF297D6B"/>
            </patternFill>
          </fill>
          <border>
            <left style="thin">
              <color rgb="FFFFC000"/>
            </left>
            <right style="thin">
              <color rgb="FFFFC000"/>
            </right>
            <top style="thin">
              <color rgb="FFFFC000"/>
            </top>
            <bottom style="thin">
              <color rgb="FFFFC000"/>
            </bottom>
          </border>
        </dxf>
        <dxf>
          <font>
            <sz val="9"/>
            <name val="微軟正黑體"/>
            <scheme val="minor"/>
          </font>
          <fill>
            <patternFill>
              <bgColor rgb="FFEEF5F4"/>
            </patternFill>
          </fill>
        </dxf>
        <dxf>
          <font>
            <b/>
            <i val="0"/>
            <sz val="16"/>
            <name val="微軟正黑體"/>
            <scheme val="maj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6"/>
            <name val="微軟正黑體"/>
            <scheme val="maj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4"/>
            <name val="微軟正黑體"/>
            <scheme val="major"/>
          </font>
          <fill>
            <patternFill>
              <bgColor rgb="FFFFC000"/>
            </patternFill>
          </fill>
          <border>
            <left style="thin">
              <color rgb="FF297D6B"/>
            </left>
            <right style="thin">
              <color rgb="FF297D6B"/>
            </right>
            <top style="thin">
              <color rgb="FF297D6B"/>
            </top>
            <bottom style="thin">
              <color rgb="FF297D6B"/>
            </bottom>
          </border>
        </dxf>
        <dxf>
          <font>
            <b val="0"/>
            <i val="0"/>
            <sz val="14"/>
            <name val="微軟正黑體"/>
            <scheme val="major"/>
          </font>
          <fill>
            <patternFill>
              <bgColor rgb="FFFFE389"/>
            </patternFill>
          </fill>
        </dxf>
        <dxf>
          <font>
            <b/>
            <i val="0"/>
            <sz val="16"/>
            <name val="微軟正黑體"/>
            <scheme val="maj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6"/>
            <name val="微軟正黑體"/>
            <scheme val="maj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4"/>
            <name val="微軟正黑體"/>
            <scheme val="major"/>
          </font>
          <fill>
            <patternFill>
              <bgColor rgb="FFFFC000"/>
            </patternFill>
          </fill>
          <border>
            <left style="thin">
              <color rgb="FF297D6B"/>
            </left>
            <right style="thin">
              <color rgb="FF297D6B"/>
            </right>
            <top style="thin">
              <color rgb="FF297D6B"/>
            </top>
            <bottom style="thin">
              <color rgb="FF297D6B"/>
            </bottom>
          </border>
        </dxf>
        <dxf>
          <font>
            <b val="0"/>
            <i val="0"/>
            <sz val="14"/>
            <name val="微軟正黑體"/>
            <scheme val="major"/>
          </font>
          <fill>
            <patternFill>
              <bgColor rgb="FFFFE389"/>
            </patternFill>
          </fill>
        </dxf>
        <dxf>
          <fill>
            <patternFill>
              <bgColor rgb="FFFFC000"/>
            </patternFill>
          </fill>
        </dxf>
        <dxf>
          <font>
            <b/>
            <i val="0"/>
            <sz val="16"/>
            <name val="微軟正黑體"/>
            <scheme val="maj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6"/>
            <name val="微軟正黑體"/>
            <scheme val="maj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4"/>
            <name val="微軟正黑體"/>
            <scheme val="major"/>
          </font>
          <fill>
            <patternFill>
              <bgColor rgb="FFFFC000"/>
            </patternFill>
          </fill>
          <border>
            <left style="thin">
              <color rgb="FF297D6B"/>
            </left>
            <right style="thin">
              <color rgb="FF297D6B"/>
            </right>
            <top style="thin">
              <color rgb="FF297D6B"/>
            </top>
            <bottom style="thin">
              <color rgb="FF297D6B"/>
            </bottom>
          </border>
        </dxf>
        <dxf>
          <font>
            <sz val="14"/>
            <name val="微軟正黑體"/>
            <scheme val="major"/>
          </font>
          <fill>
            <patternFill>
              <bgColor rgb="FFFFE389"/>
            </patternFill>
          </fill>
        </dxf>
        <dxf>
          <font>
            <b/>
            <i val="0"/>
            <sz val="12"/>
            <color theme="0"/>
            <name val="微軟正黑體"/>
            <scheme val="major"/>
          </font>
          <fill>
            <gradientFill degree="90">
              <stop position="0">
                <color theme="0"/>
              </stop>
              <stop position="1">
                <color rgb="FF297D6B"/>
              </stop>
            </gradientFill>
          </fill>
          <border>
            <left style="thin">
              <color rgb="FFFFC000"/>
            </left>
            <right style="thin">
              <color rgb="FFFFC000"/>
            </right>
            <top style="thin">
              <color rgb="FFFFC000"/>
            </top>
            <bottom style="thin">
              <color rgb="FFFFC000"/>
            </bottom>
          </border>
        </dxf>
        <dxf>
          <font>
            <b/>
            <i val="0"/>
            <sz val="12"/>
            <color theme="0"/>
            <name val="微軟正黑體"/>
            <scheme val="major"/>
          </font>
          <fill>
            <gradientFill degree="90">
              <stop position="0">
                <color theme="0"/>
              </stop>
              <stop position="1">
                <color rgb="FF297D6B"/>
              </stop>
            </gradientFill>
          </fill>
          <border>
            <left style="thin">
              <color rgb="FFFFC000"/>
            </left>
            <right style="thin">
              <color rgb="FFFFC000"/>
            </right>
            <top style="thin">
              <color rgb="FFFFC000"/>
            </top>
            <bottom style="thin">
              <color rgb="FFFFC000"/>
            </bottom>
          </border>
        </dxf>
        <dxf>
          <font>
            <b/>
            <i val="0"/>
            <sz val="12"/>
            <color theme="0"/>
            <name val="微軟正黑體"/>
            <scheme val="minor"/>
          </font>
          <fill>
            <patternFill>
              <bgColor rgb="FF297D6B"/>
            </patternFill>
          </fill>
          <border>
            <left style="thin">
              <color rgb="FFFFC000"/>
            </left>
            <right style="thin">
              <color rgb="FFFFC000"/>
            </right>
            <top style="thin">
              <color rgb="FFFFC000"/>
            </top>
            <bottom style="thin">
              <color rgb="FFFFC000"/>
            </bottom>
          </border>
        </dxf>
        <dxf>
          <font>
            <b val="0"/>
            <i val="0"/>
            <sz val="12"/>
            <color theme="1" tint="0.24994659260841701"/>
            <name val="微軟正黑體"/>
            <scheme val="major"/>
          </font>
          <fill>
            <patternFill>
              <bgColor rgb="FFEBF9F6"/>
            </patternFill>
          </fill>
        </dxf>
        <dxf>
          <font>
            <b/>
            <i val="0"/>
            <sz val="12"/>
            <color theme="1"/>
            <name val="微軟正黑體"/>
            <scheme val="maj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2"/>
            <name val="微軟正黑體"/>
            <scheme val="major"/>
          </font>
          <fill>
            <gradientFill degree="90">
              <stop position="0">
                <color theme="0"/>
              </stop>
              <stop position="1">
                <color rgb="FFFFC000"/>
              </stop>
            </gradientFill>
          </fill>
          <border>
            <left style="thin">
              <color rgb="FF297D6B"/>
            </left>
            <right style="thin">
              <color rgb="FF297D6B"/>
            </right>
            <top style="thin">
              <color rgb="FF297D6B"/>
            </top>
            <bottom style="thin">
              <color rgb="FF297D6B"/>
            </bottom>
          </border>
        </dxf>
        <dxf>
          <font>
            <b/>
            <i val="0"/>
            <sz val="12"/>
            <name val="微軟正黑體"/>
            <scheme val="major"/>
          </font>
          <fill>
            <patternFill>
              <bgColor rgb="FFFFC000"/>
            </patternFill>
          </fill>
          <border>
            <left style="thin">
              <color rgb="FF297D6B"/>
            </left>
            <right style="thin">
              <color rgb="FF297D6B"/>
            </right>
            <top style="thin">
              <color rgb="FF297D6B"/>
            </top>
            <bottom style="thin">
              <color rgb="FF297D6B"/>
            </bottom>
          </border>
        </dxf>
        <dxf>
          <font>
            <b val="0"/>
            <i val="0"/>
            <sz val="12"/>
            <color theme="1" tint="0.499984740745262"/>
            <name val="微軟正黑體"/>
            <scheme val="major"/>
          </font>
          <fill>
            <patternFill>
              <bgColor rgb="FFFFE389"/>
            </patternFill>
          </fill>
        </dxf>
        <dxf>
          <font>
            <color theme="0"/>
          </font>
        </dxf>
        <dxf>
          <font>
            <color theme="0"/>
          </font>
        </dxf>
        <dxf>
          <font>
            <b/>
            <i val="0"/>
            <sz val="16"/>
            <name val="微軟正黑體"/>
            <scheme val="minor"/>
          </font>
          <fill>
            <gradientFill degree="90">
              <stop position="0">
                <color theme="0"/>
              </stop>
              <stop position="1">
                <color rgb="FFFFC000"/>
              </stop>
            </gradientFill>
          </fill>
          <border>
            <left style="thin">
              <color rgb="FF226859"/>
            </left>
            <right style="thin">
              <color rgb="FF226859"/>
            </right>
            <top style="thin">
              <color rgb="FF226859"/>
            </top>
            <bottom style="thin">
              <color rgb="FF226859"/>
            </bottom>
          </border>
        </dxf>
        <dxf>
          <font>
            <b/>
            <i val="0"/>
            <sz val="16"/>
            <name val="微軟正黑體"/>
            <scheme val="minor"/>
          </font>
          <fill>
            <gradientFill degree="90">
              <stop position="0">
                <color theme="0"/>
              </stop>
              <stop position="1">
                <color rgb="FFFFC000"/>
              </stop>
            </gradientFill>
          </fill>
          <border>
            <left style="thin">
              <color rgb="FF226859"/>
            </left>
            <right style="thin">
              <color rgb="FF226859"/>
            </right>
            <top style="thin">
              <color rgb="FF226859"/>
            </top>
            <bottom style="thin">
              <color rgb="FF226859"/>
            </bottom>
          </border>
        </dxf>
        <dxf>
          <font>
            <color theme="0"/>
          </font>
        </dxf>
        <dxf>
          <font>
            <b/>
            <i val="0"/>
            <sz val="14"/>
            <name val="微軟正黑體"/>
            <scheme val="minor"/>
          </font>
          <fill>
            <patternFill>
              <bgColor rgb="FFFFC000"/>
            </patternFill>
          </fill>
        </dxf>
        <dxf>
          <font>
            <color theme="0"/>
          </font>
        </dxf>
        <dxf>
          <font>
            <sz val="14"/>
            <color theme="1"/>
            <name val="微軟正黑體"/>
            <scheme val="minor"/>
          </font>
          <fill>
            <patternFill>
              <bgColor rgb="FFFFE389"/>
            </patternFill>
          </fill>
        </dxf>
        <dxf>
          <font>
            <sz val="14"/>
          </font>
          <fill>
            <patternFill patternType="none">
              <bgColor auto="1"/>
            </patternFill>
          </fill>
        </dxf>
        <dxf>
          <font>
            <sz val="14"/>
          </font>
          <fill>
            <patternFill>
              <bgColor theme="0" tint="-0.14996795556505021"/>
            </patternFill>
          </fill>
        </dxf>
        <dxf>
          <font>
            <b/>
            <i val="0"/>
            <sz val="14"/>
            <name val="微軟正黑體"/>
            <scheme val="minor"/>
          </font>
          <fill>
            <patternFill>
              <bgColor rgb="FFFFC000"/>
            </patternFill>
          </fill>
        </dxf>
        <dxf>
          <font>
            <sz val="14"/>
          </font>
          <fill>
            <patternFill patternType="solid">
              <bgColor theme="0" tint="-4.9989318521683403E-2"/>
            </patternFill>
          </fill>
        </dxf>
        <dxf>
          <font>
            <b/>
            <i val="0"/>
            <sz val="14"/>
          </font>
          <fill>
            <patternFill patternType="solid">
              <bgColor theme="9" tint="0.79998168889431442"/>
            </patternFill>
          </fill>
        </dxf>
        <dxf>
          <font>
            <sz val="14"/>
          </font>
          <fill>
            <patternFill patternType="none">
              <bgColor auto="1"/>
            </patternFill>
          </fill>
        </dxf>
        <dxf>
          <font>
            <sz val="14"/>
          </font>
          <fill>
            <patternFill>
              <bgColor theme="0" tint="-0.14996795556505021"/>
            </patternFill>
          </fill>
        </dxf>
        <dxf>
          <font>
            <b/>
            <i val="0"/>
            <sz val="14"/>
            <name val="微軟正黑體"/>
            <scheme val="minor"/>
          </font>
          <fill>
            <patternFill>
              <bgColor rgb="FFFFC000"/>
            </patternFill>
          </fill>
        </dxf>
        <dxf>
          <font>
            <sz val="14"/>
          </font>
          <fill>
            <patternFill patternType="solid">
              <bgColor theme="0" tint="-4.9989318521683403E-2"/>
            </patternFill>
          </fill>
        </dxf>
        <dxf>
          <font>
            <b/>
            <i val="0"/>
            <sz val="14"/>
          </font>
          <fill>
            <patternFill patternType="solid">
              <bgColor theme="9" tint="0.79998168889431442"/>
            </patternFill>
          </fill>
        </dxf>
        <dxf>
          <font>
            <sz val="14"/>
          </font>
          <fill>
            <patternFill patternType="none">
              <bgColor auto="1"/>
            </patternFill>
          </fill>
        </dxf>
        <dxf>
          <font>
            <sz val="14"/>
          </font>
          <fill>
            <patternFill>
              <bgColor theme="0" tint="-0.14996795556505021"/>
            </patternFill>
          </fill>
        </dxf>
        <dxf>
          <font>
            <b/>
            <i val="0"/>
            <sz val="14"/>
            <name val="微軟正黑體"/>
            <scheme val="minor"/>
          </font>
          <fill>
            <patternFill>
              <bgColor rgb="FFFFC000"/>
            </patternFill>
          </fill>
        </dxf>
        <dxf>
          <font>
            <sz val="14"/>
          </font>
          <fill>
            <patternFill patternType="solid">
              <bgColor theme="0" tint="-4.9989318521683403E-2"/>
            </patternFill>
          </fill>
        </dxf>
        <dxf>
          <font>
            <b/>
            <i val="0"/>
            <sz val="14"/>
          </font>
          <fill>
            <patternFill patternType="solid">
              <bgColor theme="9" tint="0.79998168889431442"/>
            </patternFill>
          </fill>
        </dxf>
        <dxf>
          <font>
            <sz val="14"/>
          </font>
          <fill>
            <patternFill patternType="none">
              <bgColor auto="1"/>
            </patternFill>
          </fill>
        </dxf>
        <dxf>
          <font>
            <sz val="14"/>
          </font>
          <fill>
            <patternFill>
              <bgColor theme="0" tint="-0.14996795556505021"/>
            </patternFill>
          </fill>
        </dxf>
        <dxf>
          <font>
            <b/>
            <i val="0"/>
            <sz val="14"/>
            <name val="微軟正黑體"/>
            <scheme val="minor"/>
          </font>
          <fill>
            <patternFill>
              <bgColor rgb="FFFFC000"/>
            </patternFill>
          </fill>
        </dxf>
        <dxf>
          <font>
            <sz val="14"/>
          </font>
          <fill>
            <patternFill patternType="solid">
              <bgColor theme="0" tint="-4.9989318521683403E-2"/>
            </patternFill>
          </fill>
        </dxf>
        <dxf>
          <font>
            <b/>
            <i val="0"/>
            <sz val="14"/>
          </font>
          <fill>
            <patternFill patternType="solid">
              <bgColor theme="9" tint="0.79998168889431442"/>
            </patternFill>
          </fill>
        </dxf>
        <dxf>
          <font>
            <sz val="14"/>
          </font>
          <fill>
            <patternFill patternType="none">
              <bgColor auto="1"/>
            </patternFill>
          </fill>
        </dxf>
        <dxf>
          <font>
            <sz val="14"/>
          </font>
          <fill>
            <patternFill>
              <bgColor theme="0" tint="-0.14996795556505021"/>
            </patternFill>
          </fill>
        </dxf>
        <dxf>
          <font>
            <b/>
            <i val="0"/>
            <sz val="14"/>
            <name val="微軟正黑體"/>
            <scheme val="minor"/>
          </font>
          <fill>
            <patternFill>
              <bgColor rgb="FFFFC000"/>
            </patternFill>
          </fill>
        </dxf>
        <dxf>
          <font>
            <sz val="14"/>
          </font>
          <fill>
            <patternFill patternType="solid">
              <bgColor theme="0" tint="-4.9989318521683403E-2"/>
            </patternFill>
          </fill>
        </dxf>
        <dxf>
          <font>
            <b/>
            <i val="0"/>
            <sz val="14"/>
          </font>
          <fill>
            <patternFill patternType="solid">
              <bgColor theme="9" tint="0.79998168889431442"/>
            </patternFill>
          </fill>
        </dxf>
        <dxf>
          <font>
            <sz val="14"/>
          </font>
          <fill>
            <patternFill patternType="none">
              <bgColor auto="1"/>
            </patternFill>
          </fill>
        </dxf>
        <dxf>
          <font>
            <sz val="14"/>
          </font>
          <fill>
            <patternFill>
              <bgColor theme="0" tint="-0.14996795556505021"/>
            </patternFill>
          </fill>
        </dxf>
        <dxf>
          <font>
            <b/>
            <i val="0"/>
            <sz val="14"/>
            <name val="微軟正黑體"/>
            <scheme val="minor"/>
          </font>
          <fill>
            <patternFill>
              <bgColor rgb="FFFFC000"/>
            </patternFill>
          </fill>
        </dxf>
        <dxf>
          <font>
            <sz val="14"/>
          </font>
          <fill>
            <patternFill patternType="solid">
              <bgColor theme="0" tint="-4.9989318521683403E-2"/>
            </patternFill>
          </fill>
        </dxf>
        <dxf>
          <font>
            <b/>
            <i val="0"/>
            <sz val="14"/>
          </font>
          <fill>
            <patternFill patternType="solid">
              <bgColor theme="9" tint="0.79998168889431442"/>
            </patternFill>
          </fill>
        </dxf>
        <dxf>
          <font>
            <sz val="14"/>
          </font>
          <fill>
            <patternFill patternType="none">
              <bgColor auto="1"/>
            </patternFill>
          </fill>
        </dxf>
        <dxf>
          <font>
            <sz val="14"/>
          </font>
          <fill>
            <patternFill>
              <bgColor theme="0" tint="-0.14996795556505021"/>
            </patternFill>
          </fill>
        </dxf>
        <dxf>
          <font>
            <b/>
            <i val="0"/>
            <sz val="14"/>
            <name val="微軟正黑體"/>
            <scheme val="minor"/>
          </font>
          <fill>
            <patternFill>
              <bgColor rgb="FFFFC000"/>
            </patternFill>
          </fill>
        </dxf>
        <dxf>
          <font>
            <sz val="14"/>
          </font>
          <fill>
            <patternFill patternType="solid">
              <bgColor theme="0" tint="-4.9989318521683403E-2"/>
            </patternFill>
          </fill>
        </dxf>
        <dxf>
          <font>
            <b/>
            <i val="0"/>
            <sz val="14"/>
          </font>
          <fill>
            <patternFill patternType="solid">
              <bgColor theme="9" tint="0.79998168889431442"/>
            </patternFill>
          </fill>
        </dxf>
        <dxf>
          <font>
            <sz val="14"/>
          </font>
          <fill>
            <patternFill patternType="none">
              <bgColor auto="1"/>
            </patternFill>
          </fill>
        </dxf>
        <dxf>
          <font>
            <sz val="14"/>
          </font>
          <fill>
            <patternFill>
              <bgColor theme="0" tint="-0.14996795556505021"/>
            </patternFill>
          </fill>
        </dxf>
        <dxf>
          <font>
            <b/>
            <i val="0"/>
            <sz val="14"/>
            <name val="微軟正黑體"/>
            <scheme val="minor"/>
          </font>
          <fill>
            <patternFill>
              <bgColor rgb="FFFFC000"/>
            </patternFill>
          </fill>
        </dxf>
        <dxf>
          <font>
            <sz val="14"/>
          </font>
          <fill>
            <patternFill patternType="solid">
              <bgColor theme="0" tint="-4.9989318521683403E-2"/>
            </patternFill>
          </fill>
        </dxf>
        <dxf>
          <font>
            <b/>
            <i val="0"/>
            <sz val="14"/>
          </font>
          <fill>
            <patternFill patternType="solid">
              <bgColor theme="9" tint="0.79998168889431442"/>
            </patternFill>
          </fill>
        </dxf>
        <dxf>
          <fill>
            <patternFill>
              <bgColor rgb="FFFFC000"/>
            </patternFill>
          </fill>
        </dxf>
      </x14:dxfs>
    </ext>
    <ext xmlns:x14="http://schemas.microsoft.com/office/spreadsheetml/2009/9/main" uri="{EB79DEF2-80B8-43e5-95BD-54CBDDF9020C}">
      <x14:slicerStyles defaultSlicerStyle="交叉分析篩選器樣式 5">
        <x14:slicerStyle name="交叉分析篩選器樣式 1">
          <x14:slicerStyleElements>
            <x14:slicerStyleElement type="selectedItemWithData" dxfId="111"/>
          </x14:slicerStyleElements>
        </x14:slicerStyle>
        <x14:slicerStyle name="交叉分析篩選器樣式 1 10">
          <x14:slicerStyleElements>
            <x14:slicerStyleElement type="unselectedItemWithData" dxfId="110"/>
            <x14:slicerStyleElement type="unselectedItemWithNoData" dxfId="109"/>
            <x14:slicerStyleElement type="selectedItemWithData" dxfId="108"/>
            <x14:slicerStyleElement type="selectedItemWithNoData" dxfId="107"/>
            <x14:slicerStyleElement type="hoveredSelectedItemWithData" dxfId="106"/>
          </x14:slicerStyleElements>
        </x14:slicerStyle>
        <x14:slicerStyle name="交叉分析篩選器樣式 1 3">
          <x14:slicerStyleElements>
            <x14:slicerStyleElement type="unselectedItemWithData" dxfId="105"/>
            <x14:slicerStyleElement type="unselectedItemWithNoData" dxfId="104"/>
            <x14:slicerStyleElement type="selectedItemWithData" dxfId="103"/>
            <x14:slicerStyleElement type="selectedItemWithNoData" dxfId="102"/>
            <x14:slicerStyleElement type="hoveredSelectedItemWithData" dxfId="101"/>
          </x14:slicerStyleElements>
        </x14:slicerStyle>
        <x14:slicerStyle name="交叉分析篩選器樣式 1 4">
          <x14:slicerStyleElements>
            <x14:slicerStyleElement type="unselectedItemWithData" dxfId="100"/>
            <x14:slicerStyleElement type="unselectedItemWithNoData" dxfId="99"/>
            <x14:slicerStyleElement type="selectedItemWithData" dxfId="98"/>
            <x14:slicerStyleElement type="selectedItemWithNoData" dxfId="97"/>
            <x14:slicerStyleElement type="hoveredSelectedItemWithData" dxfId="96"/>
          </x14:slicerStyleElements>
        </x14:slicerStyle>
        <x14:slicerStyle name="交叉分析篩選器樣式 1 5">
          <x14:slicerStyleElements>
            <x14:slicerStyleElement type="unselectedItemWithData" dxfId="95"/>
            <x14:slicerStyleElement type="unselectedItemWithNoData" dxfId="94"/>
            <x14:slicerStyleElement type="selectedItemWithData" dxfId="93"/>
            <x14:slicerStyleElement type="selectedItemWithNoData" dxfId="92"/>
            <x14:slicerStyleElement type="hoveredSelectedItemWithData" dxfId="91"/>
          </x14:slicerStyleElements>
        </x14:slicerStyle>
        <x14:slicerStyle name="交叉分析篩選器樣式 1 6">
          <x14:slicerStyleElements>
            <x14:slicerStyleElement type="unselectedItemWithData" dxfId="90"/>
            <x14:slicerStyleElement type="unselectedItemWithNoData" dxfId="89"/>
            <x14:slicerStyleElement type="selectedItemWithData" dxfId="88"/>
            <x14:slicerStyleElement type="selectedItemWithNoData" dxfId="87"/>
            <x14:slicerStyleElement type="hoveredSelectedItemWithData" dxfId="86"/>
          </x14:slicerStyleElements>
        </x14:slicerStyle>
        <x14:slicerStyle name="交叉分析篩選器樣式 1 7">
          <x14:slicerStyleElements>
            <x14:slicerStyleElement type="unselectedItemWithData" dxfId="85"/>
            <x14:slicerStyleElement type="unselectedItemWithNoData" dxfId="84"/>
            <x14:slicerStyleElement type="selectedItemWithData" dxfId="83"/>
            <x14:slicerStyleElement type="selectedItemWithNoData" dxfId="82"/>
            <x14:slicerStyleElement type="hoveredSelectedItemWithData" dxfId="81"/>
          </x14:slicerStyleElements>
        </x14:slicerStyle>
        <x14:slicerStyle name="交叉分析篩選器樣式 1 8">
          <x14:slicerStyleElements>
            <x14:slicerStyleElement type="unselectedItemWithData" dxfId="80"/>
            <x14:slicerStyleElement type="unselectedItemWithNoData" dxfId="79"/>
            <x14:slicerStyleElement type="selectedItemWithData" dxfId="78"/>
            <x14:slicerStyleElement type="selectedItemWithNoData" dxfId="77"/>
            <x14:slicerStyleElement type="hoveredSelectedItemWithData" dxfId="76"/>
          </x14:slicerStyleElements>
        </x14:slicerStyle>
        <x14:slicerStyle name="交叉分析篩選器樣式 1 9">
          <x14:slicerStyleElements>
            <x14:slicerStyleElement type="unselectedItemWithData" dxfId="75"/>
            <x14:slicerStyleElement type="unselectedItemWithNoData" dxfId="74"/>
            <x14:slicerStyleElement type="selectedItemWithData" dxfId="73"/>
            <x14:slicerStyleElement type="selectedItemWithNoData" dxfId="72"/>
            <x14:slicerStyleElement type="hoveredSelectedItemWithData" dxfId="71"/>
          </x14:slicerStyleElements>
        </x14:slicerStyle>
        <x14:slicerStyle name="交叉分析篩選器樣式 10">
          <x14:slicerStyleElements>
            <x14:slicerStyleElement type="unselectedItemWithData" dxfId="70"/>
            <x14:slicerStyleElement type="unselectedItemWithNoData" dxfId="69"/>
            <x14:slicerStyleElement type="selectedItemWithData" dxfId="68"/>
            <x14:slicerStyleElement type="selectedItemWithNoData" dxfId="67"/>
            <x14:slicerStyleElement type="hoveredUnselectedItemWithData" dxfId="66"/>
            <x14:slicerStyleElement type="hoveredSelectedItemWithData" dxfId="65"/>
            <x14:slicerStyleElement type="hoveredUnselectedItemWithNoData" dxfId="64"/>
            <x14:slicerStyleElement type="hoveredSelectedItemWithNoData" dxfId="63"/>
          </x14:slicerStyleElements>
        </x14:slicerStyle>
        <x14:slicerStyle name="交叉分析篩選器樣式 11">
          <x14:slicerStyleElements>
            <x14:slicerStyleElement type="unselectedItemWithData" dxfId="62"/>
            <x14:slicerStyleElement type="selectedItemWithData" dxfId="61"/>
            <x14:slicerStyleElement type="hoveredUnselectedItemWithData" dxfId="60"/>
            <x14:slicerStyleElement type="hoveredSelectedItemWithData" dxfId="59"/>
          </x14:slicerStyleElements>
        </x14:slicerStyle>
        <x14:slicerStyle name="交叉分析篩選器樣式 12">
          <x14:slicerStyleElements>
            <x14:slicerStyleElement type="unselectedItemWithData" dxfId="58"/>
            <x14:slicerStyleElement type="selectedItemWithData" dxfId="57"/>
            <x14:slicerStyleElement type="hoveredUnselectedItemWithData" dxfId="56"/>
            <x14:slicerStyleElement type="hoveredSelectedItemWithData" dxfId="55"/>
          </x14:slicerStyleElements>
        </x14:slicerStyle>
        <x14:slicerStyle name="交叉分析篩選器樣式 13">
          <x14:slicerStyleElements>
            <x14:slicerStyleElement type="unselectedItemWithData" dxfId="54"/>
            <x14:slicerStyleElement type="selectedItemWithData" dxfId="53"/>
            <x14:slicerStyleElement type="hoveredUnselectedItemWithData" dxfId="52"/>
            <x14:slicerStyleElement type="hoveredSelectedItemWithData" dxfId="51"/>
          </x14:slicerStyleElements>
        </x14:slicerStyle>
        <x14:slicerStyle name="交叉分析篩選器樣式 14">
          <x14:slicerStyleElements>
            <x14:slicerStyleElement type="selectedItemWithData" dxfId="50"/>
          </x14:slicerStyleElements>
        </x14:slicerStyle>
        <x14:slicerStyle name="交叉分析篩選器樣式 15">
          <x14:slicerStyleElements>
            <x14:slicerStyleElement type="unselectedItemWithData" dxfId="49"/>
            <x14:slicerStyleElement type="selectedItemWithData" dxfId="48"/>
            <x14:slicerStyleElement type="hoveredUnselectedItemWithData" dxfId="47"/>
            <x14:slicerStyleElement type="hoveredSelectedItemWithData" dxfId="46"/>
          </x14:slicerStyleElements>
        </x14:slicerStyle>
        <x14:slicerStyle name="交叉分析篩選器樣式 15 2">
          <x14:slicerStyleElements>
            <x14:slicerStyleElement type="unselectedItemWithData" dxfId="45"/>
            <x14:slicerStyleElement type="selectedItemWithData" dxfId="44"/>
            <x14:slicerStyleElement type="hoveredUnselectedItemWithData" dxfId="43"/>
            <x14:slicerStyleElement type="hoveredSelectedItemWithData" dxfId="42"/>
          </x14:slicerStyleElements>
        </x14:slicerStyle>
        <x14:slicerStyle name="交叉分析篩選器樣式 16">
          <x14:slicerStyleElements>
            <x14:slicerStyleElement type="unselectedItemWithData" dxfId="41"/>
            <x14:slicerStyleElement type="selectedItemWithData" dxfId="40"/>
            <x14:slicerStyleElement type="hoveredUnselectedItemWithData" dxfId="39"/>
            <x14:slicerStyleElement type="hoveredSelectedItemWithData" dxfId="38"/>
          </x14:slicerStyleElements>
        </x14:slicerStyle>
        <x14:slicerStyle name="交叉分析篩選器樣式 17"/>
        <x14:slicerStyle name="交叉分析篩選器樣式 18">
          <x14:slicerStyleElements>
            <x14:slicerStyleElement type="unselectedItemWithData" dxfId="37"/>
            <x14:slicerStyleElement type="selectedItemWithData" dxfId="36"/>
            <x14:slicerStyleElement type="hoveredUnselectedItemWithData" dxfId="35"/>
            <x14:slicerStyleElement type="hoveredSelectedItemWithData" dxfId="34"/>
          </x14:slicerStyleElements>
        </x14:slicerStyle>
        <x14:slicerStyle name="交叉分析篩選器樣式 2">
          <x14:slicerStyleElements>
            <x14:slicerStyleElement type="selectedItemWithData" dxfId="33"/>
          </x14:slicerStyleElements>
        </x14:slicerStyle>
        <x14:slicerStyle name="交叉分析篩選器樣式 3">
          <x14:slicerStyleElements>
            <x14:slicerStyleElement type="selectedItemWithData" dxfId="32"/>
          </x14:slicerStyleElements>
        </x14:slicerStyle>
        <x14:slicerStyle name="交叉分析篩選器樣式 4">
          <x14:slicerStyleElements>
            <x14:slicerStyleElement type="selectedItemWithData" dxfId="31"/>
          </x14:slicerStyleElements>
        </x14:slicerStyle>
        <x14:slicerStyle name="交叉分析篩選器樣式 5">
          <x14:slicerStyleElements>
            <x14:slicerStyleElement type="unselectedItemWithData" dxfId="30"/>
            <x14:slicerStyleElement type="selectedItemWithData" dxfId="29"/>
            <x14:slicerStyleElement type="selectedItemWithNoData" dxfId="28"/>
          </x14:slicerStyleElements>
        </x14:slicerStyle>
        <x14:slicerStyle name="交叉分析篩選器樣式 6">
          <x14:slicerStyleElements>
            <x14:slicerStyleElement type="unselectedItemWithData" dxfId="27"/>
            <x14:slicerStyleElement type="selectedItemWithData" dxfId="26"/>
            <x14:slicerStyleElement type="hoveredSelectedItemWithData" dxfId="25"/>
          </x14:slicerStyleElements>
        </x14:slicerStyle>
        <x14:slicerStyle name="交叉分析篩選器樣式 7">
          <x14:slicerStyleElements>
            <x14:slicerStyleElement type="unselectedItemWithData" dxfId="24"/>
            <x14:slicerStyleElement type="selectedItemWithData" dxfId="23"/>
            <x14:slicerStyleElement type="hoveredUnselectedItemWithData" dxfId="22"/>
            <x14:slicerStyleElement type="hoveredSelectedItemWithData" dxfId="21"/>
          </x14:slicerStyleElements>
        </x14:slicerStyle>
        <x14:slicerStyle name="交叉分析篩選器樣式 8">
          <x14:slicerStyleElements>
            <x14:slicerStyleElement type="unselectedItemWithData" dxfId="20"/>
            <x14:slicerStyleElement type="unselectedItemWithNoData" dxfId="19"/>
            <x14:slicerStyleElement type="selectedItemWithData" dxfId="18"/>
            <x14:slicerStyleElement type="selectedItemWithNoData" dxfId="17"/>
            <x14:slicerStyleElement type="hoveredUnselectedItemWithData" dxfId="16"/>
            <x14:slicerStyleElement type="hoveredSelectedItemWithData" dxfId="15"/>
            <x14:slicerStyleElement type="hoveredUnselectedItemWithNoData" dxfId="14"/>
            <x14:slicerStyleElement type="hoveredSelectedItemWithNoData" dxfId="13"/>
          </x14:slicerStyleElements>
        </x14:slicerStyle>
        <x14:slicerStyle name="交叉分析篩選器樣式 9">
          <x14:slicerStyleElements>
            <x14:slicerStyleElement type="unselectedItemWithData" dxfId="12"/>
            <x14:slicerStyleElement type="unselectedItemWithNoData" dxfId="11"/>
            <x14:slicerStyleElement type="selectedItemWithData" dxfId="10"/>
            <x14:slicerStyleElement type="selectedItemWithNoData" dxfId="9"/>
            <x14:slicerStyleElement type="hoveredUnselectedItemWithData" dxfId="8"/>
            <x14:slicerStyleElement type="hoveredSelectedItemWithData" dxfId="7"/>
          </x14:slicerStyleElements>
        </x14:slicerStyle>
        <x14:slicerStyle name="交叉分析篩選器樣式 -客戶資格">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SelectedItemWithData" dxfId="2"/>
          </x14:slicerStyleElements>
        </x14:slicerStyle>
        <x14:slicerStyle name="交叉分析篩選器樣式_FB">
          <x14:slicerStyleElements>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ofaddin.rtdserver">
      <tp t="s">
        <v>#N/A Requesting Data...4222871848</v>
        <stp/>
        <stp>BDP|16003894752484729173</stp>
        <tr r="I5" s="86"/>
      </tp>
      <tp t="s">
        <v>#N/A Requesting Data...4046390896</v>
        <stp/>
        <stp>BDP|16883105895767943738</stp>
        <tr r="I2" s="86"/>
      </tp>
      <tp t="s">
        <v>#N/A Requesting Data...4254979627</v>
        <stp/>
        <stp>BDP|16376906609124889870</stp>
        <tr r="C2" s="86"/>
      </tp>
      <tp t="s">
        <v>#N/A Requesting Data...4157893416</v>
        <stp/>
        <stp>BDP|13113111924661937575</stp>
        <tr r="I6" s="86"/>
      </tp>
      <tp t="s">
        <v>#N/A Requesting Data...4226145484</v>
        <stp/>
        <stp>BDP|10306600867280842495</stp>
        <tr r="C5" s="86"/>
      </tp>
    </main>
    <main first="bofaddin.rtdserver">
      <tp t="s">
        <v>#N/A Requesting Data...4024649318</v>
        <stp/>
        <stp>BDP|9423842992362513622</stp>
        <tr r="C4" s="86"/>
      </tp>
      <tp t="s">
        <v>#N/A Requesting Data...3987798609</v>
        <stp/>
        <stp>BDP|8875573611103174176</stp>
        <tr r="I4" s="86"/>
      </tp>
      <tp t="s">
        <v>#N/A Requesting Data...4152230603</v>
        <stp/>
        <stp>BDP|8655275041943204352</stp>
        <tr r="C3" s="86"/>
      </tp>
      <tp t="s">
        <v>#N/A Requesting Data...4077312089</v>
        <stp/>
        <stp>BDP|4859616283932886097</stp>
        <tr r="I7" s="86"/>
      </tp>
      <tp t="s">
        <v>#N/A Requesting Data...3958511466</v>
        <stp/>
        <stp>BDP|9973832030799552251</stp>
        <tr r="Z3" s="86"/>
      </tp>
      <tp t="s">
        <v>#N/A Requesting Data...4017175568</v>
        <stp/>
        <stp>BDP|6463715479274591502</stp>
        <tr r="I8" s="86"/>
      </tp>
      <tp t="s">
        <v>#N/A Requesting Data...4004552752</v>
        <stp/>
        <stp>BDP|1002113171285316145</stp>
        <tr r="I3" s="86"/>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7/relationships/slicerCache" Target="slicerCaches/slicerCache7.xml"/><Relationship Id="rId47" Type="http://schemas.microsoft.com/office/2007/relationships/slicerCache" Target="slicerCaches/slicerCache12.xml"/><Relationship Id="rId50" Type="http://schemas.microsoft.com/office/2007/relationships/slicerCache" Target="slicerCaches/slicerCache15.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7/relationships/slicerCache" Target="slicerCaches/slicerCache2.xml"/><Relationship Id="rId40" Type="http://schemas.microsoft.com/office/2007/relationships/slicerCache" Target="slicerCaches/slicerCache5.xml"/><Relationship Id="rId45" Type="http://schemas.microsoft.com/office/2007/relationships/slicerCache" Target="slicerCaches/slicerCache10.xml"/><Relationship Id="rId53" Type="http://schemas.openxmlformats.org/officeDocument/2006/relationships/sharedStrings" Target="sharedStrings.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microsoft.com/office/2007/relationships/slicerCache" Target="slicerCaches/slicerCache8.xml"/><Relationship Id="rId48" Type="http://schemas.microsoft.com/office/2007/relationships/slicerCache" Target="slicerCaches/slicerCache13.xml"/><Relationship Id="rId56" Type="http://schemas.openxmlformats.org/officeDocument/2006/relationships/volatileDependencies" Target="volatileDependencies.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7/relationships/slicerCache" Target="slicerCaches/slicerCache3.xml"/><Relationship Id="rId46" Type="http://schemas.microsoft.com/office/2007/relationships/slicerCache" Target="slicerCaches/slicerCache11.xml"/><Relationship Id="rId20" Type="http://schemas.openxmlformats.org/officeDocument/2006/relationships/worksheet" Target="worksheets/sheet20.xml"/><Relationship Id="rId41" Type="http://schemas.microsoft.com/office/2007/relationships/slicerCache" Target="slicerCaches/slicerCache6.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7/relationships/slicerCache" Target="slicerCaches/slicerCache1.xml"/><Relationship Id="rId49" Type="http://schemas.microsoft.com/office/2007/relationships/slicerCache" Target="slicerCaches/slicerCache14.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07/relationships/slicerCache" Target="slicerCaches/slicerCache9.xml"/><Relationship Id="rId5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800" b="0" i="0" u="none" strike="noStrike" kern="1200" cap="none" spc="50" normalizeH="0" baseline="0">
                <a:solidFill>
                  <a:srgbClr val="595959"/>
                </a:solidFill>
                <a:latin typeface="微軟正黑體" panose="020B0604030504040204" pitchFamily="34" charset="-120"/>
                <a:ea typeface="微軟正黑體" panose="020B0604030504040204" pitchFamily="34" charset="-120"/>
                <a:cs typeface="+mj-cs"/>
              </a:defRPr>
            </a:pPr>
            <a:r>
              <a:rPr lang="zh-TW" altLang="en-US" sz="1800" b="1">
                <a:solidFill>
                  <a:srgbClr val="595959"/>
                </a:solidFill>
              </a:rPr>
              <a:t>配息現金流</a:t>
            </a:r>
            <a:endParaRPr lang="zh-TW" sz="1800" b="1">
              <a:solidFill>
                <a:srgbClr val="595959"/>
              </a:solidFill>
            </a:endParaRPr>
          </a:p>
        </c:rich>
      </c:tx>
      <c:layout>
        <c:manualLayout>
          <c:xMode val="edge"/>
          <c:yMode val="edge"/>
          <c:x val="0.44285397774278534"/>
          <c:y val="5.7990112914055687E-3"/>
        </c:manualLayout>
      </c:layout>
      <c:overlay val="0"/>
      <c:spPr>
        <a:noFill/>
        <a:ln>
          <a:noFill/>
        </a:ln>
        <a:effectLst/>
      </c:spPr>
      <c:txPr>
        <a:bodyPr rot="0" spcFirstLastPara="1" vertOverflow="ellipsis" vert="horz" wrap="square" anchor="ctr" anchorCtr="1"/>
        <a:lstStyle/>
        <a:p>
          <a:pPr>
            <a:defRPr sz="1800" b="0" i="0" u="none" strike="noStrike" kern="1200" cap="none" spc="50" normalizeH="0" baseline="0">
              <a:solidFill>
                <a:srgbClr val="595959"/>
              </a:solidFill>
              <a:latin typeface="微軟正黑體" panose="020B0604030504040204" pitchFamily="34" charset="-120"/>
              <a:ea typeface="微軟正黑體" panose="020B0604030504040204" pitchFamily="34" charset="-120"/>
              <a:cs typeface="+mj-cs"/>
            </a:defRPr>
          </a:pPr>
          <a:endParaRPr lang="zh-TW"/>
        </a:p>
      </c:txPr>
    </c:title>
    <c:autoTitleDeleted val="0"/>
    <c:plotArea>
      <c:layout/>
      <c:barChart>
        <c:barDir val="col"/>
        <c:grouping val="clustered"/>
        <c:varyColors val="0"/>
        <c:ser>
          <c:idx val="0"/>
          <c:order val="0"/>
          <c:spPr>
            <a:gradFill flip="none" rotWithShape="1">
              <a:gsLst>
                <a:gs pos="0">
                  <a:srgbClr val="EEF5F4"/>
                </a:gs>
                <a:gs pos="100000">
                  <a:srgbClr val="297D6B"/>
                </a:gs>
                <a:gs pos="50000">
                  <a:srgbClr val="76C191"/>
                </a:gs>
              </a:gsLst>
              <a:lin ang="5400000" scaled="1"/>
              <a:tileRect/>
            </a:gradFill>
            <a:ln>
              <a:noFill/>
            </a:ln>
            <a:effectLst/>
          </c:spPr>
          <c:invertIfNegative val="0"/>
          <c:dLbls>
            <c:numFmt formatCode="#,##0_);[Red]\(#,##0\)"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微軟正黑體" panose="020B0604030504040204" pitchFamily="34" charset="-120"/>
                    <a:ea typeface="微軟正黑體" panose="020B0604030504040204" pitchFamily="34" charset="-120"/>
                    <a:cs typeface="+mn-cs"/>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'Tssco-bond portfolio'!$U$53:$U$64</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'Tssco-bond portfolio'!$T$53:$T$64</c:f>
              <c:numCache>
                <c:formatCode>_(* #,##0.00_);_(* \(#,##0.00\);_(* "-"??_);_(@_)</c:formatCode>
                <c:ptCount val="12"/>
                <c:pt idx="0">
                  <c:v>1306.25</c:v>
                </c:pt>
                <c:pt idx="1">
                  <c:v>287.5</c:v>
                </c:pt>
                <c:pt idx="2">
                  <c:v>285</c:v>
                </c:pt>
                <c:pt idx="3">
                  <c:v>643.75</c:v>
                </c:pt>
                <c:pt idx="4">
                  <c:v>206.25</c:v>
                </c:pt>
                <c:pt idx="5">
                  <c:v>206.25</c:v>
                </c:pt>
                <c:pt idx="6">
                  <c:v>1306.25</c:v>
                </c:pt>
                <c:pt idx="7">
                  <c:v>287.5</c:v>
                </c:pt>
                <c:pt idx="8">
                  <c:v>285</c:v>
                </c:pt>
                <c:pt idx="9">
                  <c:v>643.75</c:v>
                </c:pt>
                <c:pt idx="10">
                  <c:v>206.25</c:v>
                </c:pt>
                <c:pt idx="11">
                  <c:v>206.25</c:v>
                </c:pt>
              </c:numCache>
            </c:numRef>
          </c:val>
          <c:extLst>
            <c:ext xmlns:c16="http://schemas.microsoft.com/office/drawing/2014/chart" uri="{C3380CC4-5D6E-409C-BE32-E72D297353CC}">
              <c16:uniqueId val="{00000000-5B69-4CBD-A9F8-626110CED31C}"/>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400" b="1" i="0" u="none" strike="noStrike" kern="1200" cap="none" spc="20" normalizeH="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majorGridlines>
          <c:spPr>
            <a:ln w="9525" cap="flat" cmpd="sng" algn="ctr">
              <a:solidFill>
                <a:schemeClr val="tx1">
                  <a:lumMod val="5000"/>
                  <a:lumOff val="95000"/>
                </a:schemeClr>
              </a:solidFill>
              <a:round/>
            </a:ln>
            <a:effectLst/>
          </c:spPr>
        </c:majorGridlines>
        <c:numFmt formatCode="_(* #,##0.00_);_(* \(#,##0.00\);_(* &quot;-&quot;??_);_(@_)" sourceLinked="1"/>
        <c:majorTickMark val="none"/>
        <c:minorTickMark val="none"/>
        <c:tickLblPos val="nextTo"/>
        <c:crossAx val="478345600"/>
        <c:crosses val="autoZero"/>
        <c:crossBetween val="between"/>
      </c:valAx>
      <c:spPr>
        <a:noFill/>
        <a:ln>
          <a:noFill/>
        </a:ln>
        <a:effectLst/>
      </c:spPr>
    </c:plotArea>
    <c:plotVisOnly val="1"/>
    <c:dispBlanksAs val="gap"/>
    <c:showDLblsOverMax val="0"/>
  </c:chart>
  <c:spPr>
    <a:solidFill>
      <a:schemeClr val="lt1"/>
    </a:solid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barChart>
        <c:barDir val="col"/>
        <c:grouping val="clustered"/>
        <c:varyColors val="0"/>
        <c:ser>
          <c:idx val="0"/>
          <c:order val="0"/>
          <c:spPr>
            <a:gradFill flip="none" rotWithShape="1">
              <a:gsLst>
                <a:gs pos="0">
                  <a:srgbClr val="D2E4E1"/>
                </a:gs>
                <a:gs pos="100000">
                  <a:srgbClr val="297D6B"/>
                </a:gs>
                <a:gs pos="62000">
                  <a:srgbClr val="76C191"/>
                </a:gs>
              </a:gsLst>
              <a:lin ang="5400000" scaled="1"/>
              <a:tileRect/>
            </a:gradFill>
            <a:ln>
              <a:noFill/>
            </a:ln>
            <a:effectLst/>
          </c:spPr>
          <c:invertIfNegative val="0"/>
          <c:dLbls>
            <c:numFmt formatCode="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微軟正黑體" panose="020B0604030504040204" pitchFamily="34" charset="-120"/>
                    <a:ea typeface="微軟正黑體" panose="020B0604030504040204" pitchFamily="34" charset="-120"/>
                    <a:cs typeface="+mn-cs"/>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'Tssco-bond portfolio'!$U$40:$U$50</c:f>
              <c:strCache>
                <c:ptCount val="11"/>
                <c:pt idx="0">
                  <c:v>政府</c:v>
                </c:pt>
                <c:pt idx="1">
                  <c:v>科技</c:v>
                </c:pt>
                <c:pt idx="2">
                  <c:v>醫療保健</c:v>
                </c:pt>
                <c:pt idx="3">
                  <c:v>工業</c:v>
                </c:pt>
                <c:pt idx="4">
                  <c:v>核心消費</c:v>
                </c:pt>
                <c:pt idx="5">
                  <c:v>通訊</c:v>
                </c:pt>
                <c:pt idx="6">
                  <c:v>非核心</c:v>
                </c:pt>
                <c:pt idx="7">
                  <c:v>金融</c:v>
                </c:pt>
                <c:pt idx="8">
                  <c:v>公用</c:v>
                </c:pt>
                <c:pt idx="9">
                  <c:v>原物料</c:v>
                </c:pt>
                <c:pt idx="10">
                  <c:v>能源</c:v>
                </c:pt>
              </c:strCache>
            </c:strRef>
          </c:cat>
          <c:val>
            <c:numRef>
              <c:f>'Tssco-bond portfolio'!$T$40:$T$50</c:f>
              <c:numCache>
                <c:formatCode>0.00%</c:formatCode>
                <c:ptCount val="11"/>
                <c:pt idx="0">
                  <c:v>8.8554958061088984E-2</c:v>
                </c:pt>
                <c:pt idx="1">
                  <c:v>0.15348564434967149</c:v>
                </c:pt>
                <c:pt idx="2">
                  <c:v>0.195221365872702</c:v>
                </c:pt>
                <c:pt idx="3">
                  <c:v>9.376391821749834E-2</c:v>
                </c:pt>
                <c:pt idx="4">
                  <c:v>8.6050271876868395E-2</c:v>
                </c:pt>
                <c:pt idx="5">
                  <c:v>0.13811237741207377</c:v>
                </c:pt>
                <c:pt idx="6">
                  <c:v>0</c:v>
                </c:pt>
                <c:pt idx="7">
                  <c:v>0.16136971336136582</c:v>
                </c:pt>
                <c:pt idx="8">
                  <c:v>0</c:v>
                </c:pt>
                <c:pt idx="9">
                  <c:v>0</c:v>
                </c:pt>
                <c:pt idx="10">
                  <c:v>8.3441750848731261E-2</c:v>
                </c:pt>
              </c:numCache>
            </c:numRef>
          </c:val>
          <c:extLst>
            <c:ext xmlns:c16="http://schemas.microsoft.com/office/drawing/2014/chart" uri="{C3380CC4-5D6E-409C-BE32-E72D297353CC}">
              <c16:uniqueId val="{00000000-2DC0-4D08-A9BC-6227D5E5B86B}"/>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cap="none" spc="20" normalizeH="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majorGridlines>
          <c:spPr>
            <a:ln w="9525" cap="flat" cmpd="sng" algn="ctr">
              <a:solidFill>
                <a:schemeClr val="tx1">
                  <a:lumMod val="5000"/>
                  <a:lumOff val="95000"/>
                </a:schemeClr>
              </a:solidFill>
              <a:round/>
            </a:ln>
            <a:effectLst/>
          </c:spPr>
        </c:majorGridlines>
        <c:numFmt formatCode="0.00%" sourceLinked="1"/>
        <c:majorTickMark val="none"/>
        <c:minorTickMark val="none"/>
        <c:tickLblPos val="nextTo"/>
        <c:crossAx val="478345600"/>
        <c:crosses val="autoZero"/>
        <c:crossBetween val="between"/>
      </c:valAx>
      <c:spPr>
        <a:noFill/>
        <a:ln>
          <a:noFill/>
        </a:ln>
        <a:effectLst/>
      </c:spPr>
    </c:plotArea>
    <c:plotVisOnly val="1"/>
    <c:dispBlanksAs val="gap"/>
    <c:showDLblsOverMax val="0"/>
  </c:chart>
  <c:spPr>
    <a:solidFill>
      <a:schemeClr val="lt1"/>
    </a:solid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0703344846199838E-2"/>
          <c:y val="0.13074194093033004"/>
          <c:w val="0.87348570094938027"/>
          <c:h val="0.75751267827392399"/>
        </c:manualLayout>
      </c:layout>
      <c:barChart>
        <c:barDir val="col"/>
        <c:grouping val="stacked"/>
        <c:varyColors val="0"/>
        <c:ser>
          <c:idx val="5"/>
          <c:order val="0"/>
          <c:tx>
            <c:strRef>
              <c:f>'Tssco-bond portfolio'!$J$39</c:f>
              <c:strCache>
                <c:ptCount val="1"/>
                <c:pt idx="0">
                  <c:v>投入本金</c:v>
                </c:pt>
              </c:strCache>
            </c:strRef>
          </c:tx>
          <c:spPr>
            <a:pattFill prst="pct30">
              <a:fgClr>
                <a:srgbClr val="005439"/>
              </a:fgClr>
              <a:bgClr>
                <a:schemeClr val="bg1"/>
              </a:bgClr>
            </a:pattFill>
            <a:ln w="28575">
              <a:noFill/>
            </a:ln>
          </c:spPr>
          <c:invertIfNegative val="0"/>
          <c:cat>
            <c:numRef>
              <c:f>[0]!年度_F</c:f>
              <c:numCache>
                <c:formatCode>General</c:formatCode>
                <c:ptCount val="3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numCache>
            </c:numRef>
          </c:cat>
          <c:val>
            <c:numRef>
              <c:f>[0]!投入本金_F</c:f>
              <c:numCache>
                <c:formatCode>_(* #,##0.00_);_(* \(#,##0.00\);_(* "-"??_);_(@_)</c:formatCode>
                <c:ptCount val="37"/>
                <c:pt idx="0">
                  <c:v>113834.62</c:v>
                </c:pt>
                <c:pt idx="1">
                  <c:v>113834.62</c:v>
                </c:pt>
                <c:pt idx="2">
                  <c:v>113834.62</c:v>
                </c:pt>
                <c:pt idx="3">
                  <c:v>113834.62</c:v>
                </c:pt>
                <c:pt idx="4">
                  <c:v>113834.62</c:v>
                </c:pt>
                <c:pt idx="5">
                  <c:v>113834.62</c:v>
                </c:pt>
                <c:pt idx="6">
                  <c:v>113834.62</c:v>
                </c:pt>
                <c:pt idx="7">
                  <c:v>113834.62</c:v>
                </c:pt>
                <c:pt idx="8">
                  <c:v>113834.62</c:v>
                </c:pt>
                <c:pt idx="9">
                  <c:v>104039.12</c:v>
                </c:pt>
                <c:pt idx="10">
                  <c:v>94625.95</c:v>
                </c:pt>
                <c:pt idx="11">
                  <c:v>85127.39</c:v>
                </c:pt>
                <c:pt idx="12">
                  <c:v>75351.789999999994</c:v>
                </c:pt>
                <c:pt idx="13">
                  <c:v>64678.209999999992</c:v>
                </c:pt>
                <c:pt idx="14">
                  <c:v>53600.589999999989</c:v>
                </c:pt>
                <c:pt idx="15">
                  <c:v>42455.259999999987</c:v>
                </c:pt>
                <c:pt idx="16">
                  <c:v>32374.639999999985</c:v>
                </c:pt>
                <c:pt idx="17">
                  <c:v>24315.829999999984</c:v>
                </c:pt>
                <c:pt idx="18">
                  <c:v>13719.889999999983</c:v>
                </c:pt>
                <c:pt idx="19">
                  <c:v>13719.889999999983</c:v>
                </c:pt>
                <c:pt idx="20">
                  <c:v>13719.889999999983</c:v>
                </c:pt>
                <c:pt idx="21">
                  <c:v>13719.889999999983</c:v>
                </c:pt>
                <c:pt idx="22">
                  <c:v>13719.889999999983</c:v>
                </c:pt>
                <c:pt idx="23">
                  <c:v>13719.889999999983</c:v>
                </c:pt>
                <c:pt idx="24">
                  <c:v>13719.889999999983</c:v>
                </c:pt>
                <c:pt idx="25">
                  <c:v>13719.889999999983</c:v>
                </c:pt>
                <c:pt idx="26">
                  <c:v>13719.889999999983</c:v>
                </c:pt>
                <c:pt idx="27">
                  <c:v>5946.3699999999826</c:v>
                </c:pt>
                <c:pt idx="28">
                  <c:v>5946.3699999999826</c:v>
                </c:pt>
                <c:pt idx="29">
                  <c:v>5946.3699999999826</c:v>
                </c:pt>
                <c:pt idx="30">
                  <c:v>5946.3699999999826</c:v>
                </c:pt>
                <c:pt idx="31">
                  <c:v>5946.3699999999826</c:v>
                </c:pt>
                <c:pt idx="32">
                  <c:v>5946.3699999999826</c:v>
                </c:pt>
                <c:pt idx="33">
                  <c:v>5946.3699999999826</c:v>
                </c:pt>
                <c:pt idx="34">
                  <c:v>5946.3699999999826</c:v>
                </c:pt>
                <c:pt idx="35">
                  <c:v>5946.3699999999826</c:v>
                </c:pt>
                <c:pt idx="36">
                  <c:v>-1.7280399333685637E-11</c:v>
                </c:pt>
              </c:numCache>
            </c:numRef>
          </c:val>
          <c:extLst>
            <c:ext xmlns:c16="http://schemas.microsoft.com/office/drawing/2014/chart" uri="{C3380CC4-5D6E-409C-BE32-E72D297353CC}">
              <c16:uniqueId val="{00000000-868E-4BB6-9C9B-6BD45E671242}"/>
            </c:ext>
          </c:extLst>
        </c:ser>
        <c:ser>
          <c:idx val="1"/>
          <c:order val="1"/>
          <c:tx>
            <c:strRef>
              <c:f>'Tssco-bond portfolio'!$I$39</c:f>
              <c:strCache>
                <c:ptCount val="1"/>
                <c:pt idx="0">
                  <c:v>累積到期面額</c:v>
                </c:pt>
              </c:strCache>
            </c:strRef>
          </c:tx>
          <c:spPr>
            <a:solidFill>
              <a:srgbClr val="005439"/>
            </a:solidFill>
            <a:ln>
              <a:noFill/>
            </a:ln>
          </c:spPr>
          <c:invertIfNegative val="0"/>
          <c:cat>
            <c:numRef>
              <c:f>[0]!年度_F</c:f>
              <c:numCache>
                <c:formatCode>General</c:formatCode>
                <c:ptCount val="3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numCache>
            </c:numRef>
          </c:cat>
          <c:val>
            <c:numRef>
              <c:f>[0]!累積到期面額_F</c:f>
              <c:numCache>
                <c:formatCode>_(* #,##0.00_);_(* \(#,##0.00\);_(* "-"??_);_(@_)</c:formatCode>
                <c:ptCount val="37"/>
                <c:pt idx="0">
                  <c:v>0</c:v>
                </c:pt>
                <c:pt idx="1">
                  <c:v>0</c:v>
                </c:pt>
                <c:pt idx="2">
                  <c:v>0</c:v>
                </c:pt>
                <c:pt idx="3">
                  <c:v>0</c:v>
                </c:pt>
                <c:pt idx="4">
                  <c:v>0</c:v>
                </c:pt>
                <c:pt idx="5">
                  <c:v>0</c:v>
                </c:pt>
                <c:pt idx="6">
                  <c:v>0</c:v>
                </c:pt>
                <c:pt idx="7">
                  <c:v>0</c:v>
                </c:pt>
                <c:pt idx="8">
                  <c:v>0</c:v>
                </c:pt>
                <c:pt idx="9">
                  <c:v>10000</c:v>
                </c:pt>
                <c:pt idx="10">
                  <c:v>20000</c:v>
                </c:pt>
                <c:pt idx="11">
                  <c:v>30000</c:v>
                </c:pt>
                <c:pt idx="12">
                  <c:v>40000</c:v>
                </c:pt>
                <c:pt idx="13">
                  <c:v>50000</c:v>
                </c:pt>
                <c:pt idx="14">
                  <c:v>60000</c:v>
                </c:pt>
                <c:pt idx="15">
                  <c:v>70000</c:v>
                </c:pt>
                <c:pt idx="16">
                  <c:v>80000</c:v>
                </c:pt>
                <c:pt idx="17">
                  <c:v>90000</c:v>
                </c:pt>
                <c:pt idx="18">
                  <c:v>100000</c:v>
                </c:pt>
                <c:pt idx="19">
                  <c:v>100000</c:v>
                </c:pt>
                <c:pt idx="20">
                  <c:v>100000</c:v>
                </c:pt>
                <c:pt idx="21">
                  <c:v>100000</c:v>
                </c:pt>
                <c:pt idx="22">
                  <c:v>100000</c:v>
                </c:pt>
                <c:pt idx="23">
                  <c:v>100000</c:v>
                </c:pt>
                <c:pt idx="24">
                  <c:v>100000</c:v>
                </c:pt>
                <c:pt idx="25">
                  <c:v>100000</c:v>
                </c:pt>
                <c:pt idx="26">
                  <c:v>100000</c:v>
                </c:pt>
                <c:pt idx="27">
                  <c:v>110000</c:v>
                </c:pt>
                <c:pt idx="28">
                  <c:v>110000</c:v>
                </c:pt>
                <c:pt idx="29">
                  <c:v>110000</c:v>
                </c:pt>
                <c:pt idx="30">
                  <c:v>110000</c:v>
                </c:pt>
                <c:pt idx="31">
                  <c:v>110000</c:v>
                </c:pt>
                <c:pt idx="32">
                  <c:v>110000</c:v>
                </c:pt>
                <c:pt idx="33">
                  <c:v>110000</c:v>
                </c:pt>
                <c:pt idx="34">
                  <c:v>110000</c:v>
                </c:pt>
                <c:pt idx="35">
                  <c:v>110000</c:v>
                </c:pt>
                <c:pt idx="36">
                  <c:v>120000</c:v>
                </c:pt>
              </c:numCache>
            </c:numRef>
          </c:val>
          <c:extLst>
            <c:ext xmlns:c16="http://schemas.microsoft.com/office/drawing/2014/chart" uri="{C3380CC4-5D6E-409C-BE32-E72D297353CC}">
              <c16:uniqueId val="{00000001-868E-4BB6-9C9B-6BD45E671242}"/>
            </c:ext>
          </c:extLst>
        </c:ser>
        <c:ser>
          <c:idx val="2"/>
          <c:order val="3"/>
          <c:tx>
            <c:strRef>
              <c:f>'Tssco-bond portfolio'!$C$39</c:f>
              <c:strCache>
                <c:ptCount val="1"/>
                <c:pt idx="0">
                  <c:v>累計利息</c:v>
                </c:pt>
              </c:strCache>
            </c:strRef>
          </c:tx>
          <c:spPr>
            <a:solidFill>
              <a:srgbClr val="B3863B"/>
            </a:solidFill>
            <a:ln>
              <a:noFill/>
            </a:ln>
            <a:effectLst/>
          </c:spPr>
          <c:invertIfNegative val="0"/>
          <c:cat>
            <c:numRef>
              <c:f>[0]!年度_F</c:f>
              <c:numCache>
                <c:formatCode>General</c:formatCode>
                <c:ptCount val="3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numCache>
            </c:numRef>
          </c:cat>
          <c:val>
            <c:numRef>
              <c:f>[0]!非當年利息_F</c:f>
              <c:numCache>
                <c:formatCode>_(* #,##0.00_);_(* \(#,##0.00\);_(* "-"??_);_(@_)</c:formatCode>
                <c:ptCount val="37"/>
                <c:pt idx="0">
                  <c:v>0</c:v>
                </c:pt>
                <c:pt idx="1">
                  <c:v>2935</c:v>
                </c:pt>
                <c:pt idx="2">
                  <c:v>8805</c:v>
                </c:pt>
                <c:pt idx="3">
                  <c:v>14675</c:v>
                </c:pt>
                <c:pt idx="4">
                  <c:v>20545</c:v>
                </c:pt>
                <c:pt idx="5">
                  <c:v>26415</c:v>
                </c:pt>
                <c:pt idx="6">
                  <c:v>32285</c:v>
                </c:pt>
                <c:pt idx="7">
                  <c:v>38155</c:v>
                </c:pt>
                <c:pt idx="8">
                  <c:v>44025</c:v>
                </c:pt>
                <c:pt idx="9">
                  <c:v>49895</c:v>
                </c:pt>
                <c:pt idx="10">
                  <c:v>55562.5</c:v>
                </c:pt>
                <c:pt idx="11">
                  <c:v>61027.5</c:v>
                </c:pt>
                <c:pt idx="12">
                  <c:v>65856.25</c:v>
                </c:pt>
                <c:pt idx="13">
                  <c:v>70135</c:v>
                </c:pt>
                <c:pt idx="14">
                  <c:v>73785</c:v>
                </c:pt>
                <c:pt idx="15">
                  <c:v>77150</c:v>
                </c:pt>
                <c:pt idx="16">
                  <c:v>79630</c:v>
                </c:pt>
                <c:pt idx="17">
                  <c:v>81507.5</c:v>
                </c:pt>
                <c:pt idx="18">
                  <c:v>82907.5</c:v>
                </c:pt>
                <c:pt idx="19">
                  <c:v>83838.75</c:v>
                </c:pt>
                <c:pt idx="20">
                  <c:v>84476.25</c:v>
                </c:pt>
                <c:pt idx="21">
                  <c:v>85113.75</c:v>
                </c:pt>
                <c:pt idx="22">
                  <c:v>85751.25</c:v>
                </c:pt>
                <c:pt idx="23">
                  <c:v>86388.75</c:v>
                </c:pt>
                <c:pt idx="24">
                  <c:v>87026.25</c:v>
                </c:pt>
                <c:pt idx="25">
                  <c:v>87663.75</c:v>
                </c:pt>
                <c:pt idx="26">
                  <c:v>88301.25</c:v>
                </c:pt>
                <c:pt idx="27">
                  <c:v>88938.75</c:v>
                </c:pt>
                <c:pt idx="28">
                  <c:v>89370</c:v>
                </c:pt>
                <c:pt idx="29">
                  <c:v>89595</c:v>
                </c:pt>
                <c:pt idx="30">
                  <c:v>89820</c:v>
                </c:pt>
                <c:pt idx="31">
                  <c:v>90045</c:v>
                </c:pt>
                <c:pt idx="32">
                  <c:v>90270</c:v>
                </c:pt>
                <c:pt idx="33">
                  <c:v>90495</c:v>
                </c:pt>
                <c:pt idx="34">
                  <c:v>90720</c:v>
                </c:pt>
                <c:pt idx="35">
                  <c:v>90945</c:v>
                </c:pt>
                <c:pt idx="36">
                  <c:v>91170</c:v>
                </c:pt>
              </c:numCache>
            </c:numRef>
          </c:val>
          <c:extLst>
            <c:ext xmlns:c16="http://schemas.microsoft.com/office/drawing/2014/chart" uri="{C3380CC4-5D6E-409C-BE32-E72D297353CC}">
              <c16:uniqueId val="{00000002-868E-4BB6-9C9B-6BD45E671242}"/>
            </c:ext>
          </c:extLst>
        </c:ser>
        <c:ser>
          <c:idx val="3"/>
          <c:order val="4"/>
          <c:tx>
            <c:strRef>
              <c:f>'Tssco-bond portfolio'!$G$39</c:f>
              <c:strCache>
                <c:ptCount val="1"/>
                <c:pt idx="0">
                  <c:v>當年利息</c:v>
                </c:pt>
              </c:strCache>
            </c:strRef>
          </c:tx>
          <c:spPr>
            <a:solidFill>
              <a:schemeClr val="accent6">
                <a:lumMod val="50000"/>
              </a:schemeClr>
            </a:solidFill>
          </c:spPr>
          <c:invertIfNegative val="0"/>
          <c:cat>
            <c:numRef>
              <c:f>[0]!年度_F</c:f>
              <c:numCache>
                <c:formatCode>General</c:formatCode>
                <c:ptCount val="3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numCache>
            </c:numRef>
          </c:cat>
          <c:val>
            <c:numRef>
              <c:f>[0]!當年利息_F</c:f>
              <c:numCache>
                <c:formatCode>General</c:formatCode>
                <c:ptCount val="37"/>
                <c:pt idx="0">
                  <c:v>2935</c:v>
                </c:pt>
                <c:pt idx="1">
                  <c:v>5870</c:v>
                </c:pt>
                <c:pt idx="2">
                  <c:v>5870</c:v>
                </c:pt>
                <c:pt idx="3">
                  <c:v>5870</c:v>
                </c:pt>
                <c:pt idx="4">
                  <c:v>5870</c:v>
                </c:pt>
                <c:pt idx="5">
                  <c:v>5870</c:v>
                </c:pt>
                <c:pt idx="6">
                  <c:v>5870</c:v>
                </c:pt>
                <c:pt idx="7">
                  <c:v>5870</c:v>
                </c:pt>
                <c:pt idx="8">
                  <c:v>5870</c:v>
                </c:pt>
                <c:pt idx="9">
                  <c:v>5667.5</c:v>
                </c:pt>
                <c:pt idx="10">
                  <c:v>5465</c:v>
                </c:pt>
                <c:pt idx="11">
                  <c:v>4828.75</c:v>
                </c:pt>
                <c:pt idx="12">
                  <c:v>4278.75</c:v>
                </c:pt>
                <c:pt idx="13">
                  <c:v>3650</c:v>
                </c:pt>
                <c:pt idx="14">
                  <c:v>3365</c:v>
                </c:pt>
                <c:pt idx="15">
                  <c:v>2480</c:v>
                </c:pt>
                <c:pt idx="16">
                  <c:v>1877.5</c:v>
                </c:pt>
                <c:pt idx="17">
                  <c:v>1400</c:v>
                </c:pt>
                <c:pt idx="18">
                  <c:v>931.25</c:v>
                </c:pt>
                <c:pt idx="19">
                  <c:v>637.5</c:v>
                </c:pt>
                <c:pt idx="20">
                  <c:v>637.5</c:v>
                </c:pt>
                <c:pt idx="21">
                  <c:v>637.5</c:v>
                </c:pt>
                <c:pt idx="22">
                  <c:v>637.5</c:v>
                </c:pt>
                <c:pt idx="23">
                  <c:v>637.5</c:v>
                </c:pt>
                <c:pt idx="24">
                  <c:v>637.5</c:v>
                </c:pt>
                <c:pt idx="25">
                  <c:v>637.5</c:v>
                </c:pt>
                <c:pt idx="26">
                  <c:v>637.5</c:v>
                </c:pt>
                <c:pt idx="27">
                  <c:v>431.25</c:v>
                </c:pt>
                <c:pt idx="28">
                  <c:v>225</c:v>
                </c:pt>
                <c:pt idx="29">
                  <c:v>225</c:v>
                </c:pt>
                <c:pt idx="30">
                  <c:v>225</c:v>
                </c:pt>
                <c:pt idx="31">
                  <c:v>225</c:v>
                </c:pt>
                <c:pt idx="32">
                  <c:v>225</c:v>
                </c:pt>
                <c:pt idx="33">
                  <c:v>225</c:v>
                </c:pt>
                <c:pt idx="34">
                  <c:v>225</c:v>
                </c:pt>
                <c:pt idx="35">
                  <c:v>225</c:v>
                </c:pt>
                <c:pt idx="36">
                  <c:v>225</c:v>
                </c:pt>
              </c:numCache>
            </c:numRef>
          </c:val>
          <c:extLst>
            <c:ext xmlns:c16="http://schemas.microsoft.com/office/drawing/2014/chart" uri="{C3380CC4-5D6E-409C-BE32-E72D297353CC}">
              <c16:uniqueId val="{00000003-868E-4BB6-9C9B-6BD45E671242}"/>
            </c:ext>
          </c:extLst>
        </c:ser>
        <c:dLbls>
          <c:showLegendKey val="0"/>
          <c:showVal val="0"/>
          <c:showCatName val="0"/>
          <c:showSerName val="0"/>
          <c:showPercent val="0"/>
          <c:showBubbleSize val="0"/>
        </c:dLbls>
        <c:gapWidth val="150"/>
        <c:overlap val="100"/>
        <c:axId val="805984888"/>
        <c:axId val="805981608"/>
      </c:barChart>
      <c:barChart>
        <c:barDir val="col"/>
        <c:grouping val="clustered"/>
        <c:varyColors val="0"/>
        <c:ser>
          <c:idx val="0"/>
          <c:order val="2"/>
          <c:tx>
            <c:strRef>
              <c:f>'Tssco-bond portfolio'!$H$39</c:f>
              <c:strCache>
                <c:ptCount val="1"/>
                <c:pt idx="0">
                  <c:v>X及Y軸調整</c:v>
                </c:pt>
              </c:strCache>
            </c:strRef>
          </c:tx>
          <c:spPr>
            <a:noFill/>
            <a:ln>
              <a:noFill/>
            </a:ln>
          </c:spPr>
          <c:invertIfNegative val="0"/>
          <c:cat>
            <c:numRef>
              <c:f>[0]!年度_F</c:f>
              <c:numCache>
                <c:formatCode>General</c:formatCode>
                <c:ptCount val="3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numCache>
            </c:numRef>
          </c:cat>
          <c:val>
            <c:numRef>
              <c:f>[0]!X及Y軸調整_F</c:f>
              <c:numCache>
                <c:formatCode>_(* #,##0.00_);_(* \(#,##0.00\);_(* "-"??_);_(@_)</c:formatCode>
                <c:ptCount val="37"/>
                <c:pt idx="0">
                  <c:v>211395</c:v>
                </c:pt>
                <c:pt idx="1">
                  <c:v>211395</c:v>
                </c:pt>
                <c:pt idx="2">
                  <c:v>211395</c:v>
                </c:pt>
                <c:pt idx="3">
                  <c:v>211395</c:v>
                </c:pt>
                <c:pt idx="4">
                  <c:v>211395</c:v>
                </c:pt>
                <c:pt idx="5">
                  <c:v>211395</c:v>
                </c:pt>
                <c:pt idx="6">
                  <c:v>211395</c:v>
                </c:pt>
                <c:pt idx="7">
                  <c:v>211395</c:v>
                </c:pt>
                <c:pt idx="8">
                  <c:v>211395</c:v>
                </c:pt>
                <c:pt idx="9">
                  <c:v>211395</c:v>
                </c:pt>
                <c:pt idx="10">
                  <c:v>211395</c:v>
                </c:pt>
                <c:pt idx="11">
                  <c:v>211395</c:v>
                </c:pt>
                <c:pt idx="12">
                  <c:v>211395</c:v>
                </c:pt>
                <c:pt idx="13">
                  <c:v>211395</c:v>
                </c:pt>
                <c:pt idx="14">
                  <c:v>211395</c:v>
                </c:pt>
                <c:pt idx="15">
                  <c:v>211395</c:v>
                </c:pt>
                <c:pt idx="16">
                  <c:v>211395</c:v>
                </c:pt>
                <c:pt idx="17">
                  <c:v>211395</c:v>
                </c:pt>
                <c:pt idx="18">
                  <c:v>211395</c:v>
                </c:pt>
                <c:pt idx="19">
                  <c:v>211395</c:v>
                </c:pt>
                <c:pt idx="20">
                  <c:v>211395</c:v>
                </c:pt>
                <c:pt idx="21">
                  <c:v>211395</c:v>
                </c:pt>
                <c:pt idx="22">
                  <c:v>211395</c:v>
                </c:pt>
                <c:pt idx="23">
                  <c:v>211395</c:v>
                </c:pt>
                <c:pt idx="24">
                  <c:v>211395</c:v>
                </c:pt>
                <c:pt idx="25">
                  <c:v>211395</c:v>
                </c:pt>
                <c:pt idx="26">
                  <c:v>211395</c:v>
                </c:pt>
                <c:pt idx="27">
                  <c:v>211395</c:v>
                </c:pt>
                <c:pt idx="28">
                  <c:v>211395</c:v>
                </c:pt>
                <c:pt idx="29">
                  <c:v>211395</c:v>
                </c:pt>
                <c:pt idx="30">
                  <c:v>211395</c:v>
                </c:pt>
                <c:pt idx="31">
                  <c:v>211395</c:v>
                </c:pt>
                <c:pt idx="32">
                  <c:v>211395</c:v>
                </c:pt>
                <c:pt idx="33">
                  <c:v>211395</c:v>
                </c:pt>
                <c:pt idx="34">
                  <c:v>211395</c:v>
                </c:pt>
                <c:pt idx="35">
                  <c:v>211395</c:v>
                </c:pt>
                <c:pt idx="36">
                  <c:v>211395</c:v>
                </c:pt>
              </c:numCache>
            </c:numRef>
          </c:val>
          <c:extLst>
            <c:ext xmlns:c16="http://schemas.microsoft.com/office/drawing/2014/chart" uri="{C3380CC4-5D6E-409C-BE32-E72D297353CC}">
              <c16:uniqueId val="{00000004-868E-4BB6-9C9B-6BD45E671242}"/>
            </c:ext>
          </c:extLst>
        </c:ser>
        <c:dLbls>
          <c:showLegendKey val="0"/>
          <c:showVal val="0"/>
          <c:showCatName val="0"/>
          <c:showSerName val="0"/>
          <c:showPercent val="0"/>
          <c:showBubbleSize val="0"/>
        </c:dLbls>
        <c:gapWidth val="80"/>
        <c:axId val="1967042927"/>
        <c:axId val="1967067471"/>
      </c:barChart>
      <c:lineChart>
        <c:grouping val="standard"/>
        <c:varyColors val="0"/>
        <c:ser>
          <c:idx val="4"/>
          <c:order val="5"/>
          <c:tx>
            <c:strRef>
              <c:f>'Tssco-bond portfolio'!$H$39</c:f>
              <c:strCache>
                <c:ptCount val="1"/>
                <c:pt idx="0">
                  <c:v>X及Y軸調整</c:v>
                </c:pt>
              </c:strCache>
            </c:strRef>
          </c:tx>
          <c:spPr>
            <a:ln>
              <a:noFill/>
            </a:ln>
          </c:spPr>
          <c:marker>
            <c:symbol val="none"/>
          </c:marker>
          <c:cat>
            <c:numRef>
              <c:f>[0]!年度_F</c:f>
              <c:numCache>
                <c:formatCode>General</c:formatCode>
                <c:ptCount val="37"/>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pt idx="15">
                  <c:v>2039</c:v>
                </c:pt>
                <c:pt idx="16">
                  <c:v>2040</c:v>
                </c:pt>
                <c:pt idx="17">
                  <c:v>2041</c:v>
                </c:pt>
                <c:pt idx="18">
                  <c:v>2042</c:v>
                </c:pt>
                <c:pt idx="19">
                  <c:v>2043</c:v>
                </c:pt>
                <c:pt idx="20">
                  <c:v>2044</c:v>
                </c:pt>
                <c:pt idx="21">
                  <c:v>2045</c:v>
                </c:pt>
                <c:pt idx="22">
                  <c:v>2046</c:v>
                </c:pt>
                <c:pt idx="23">
                  <c:v>2047</c:v>
                </c:pt>
                <c:pt idx="24">
                  <c:v>2048</c:v>
                </c:pt>
                <c:pt idx="25">
                  <c:v>2049</c:v>
                </c:pt>
                <c:pt idx="26">
                  <c:v>2050</c:v>
                </c:pt>
                <c:pt idx="27">
                  <c:v>2051</c:v>
                </c:pt>
                <c:pt idx="28">
                  <c:v>2052</c:v>
                </c:pt>
                <c:pt idx="29">
                  <c:v>2053</c:v>
                </c:pt>
                <c:pt idx="30">
                  <c:v>2054</c:v>
                </c:pt>
                <c:pt idx="31">
                  <c:v>2055</c:v>
                </c:pt>
                <c:pt idx="32">
                  <c:v>2056</c:v>
                </c:pt>
                <c:pt idx="33">
                  <c:v>2057</c:v>
                </c:pt>
                <c:pt idx="34">
                  <c:v>2058</c:v>
                </c:pt>
                <c:pt idx="35">
                  <c:v>2059</c:v>
                </c:pt>
                <c:pt idx="36">
                  <c:v>2060</c:v>
                </c:pt>
              </c:numCache>
            </c:numRef>
          </c:cat>
          <c:val>
            <c:numRef>
              <c:f>[0]!X及Y軸調整_F</c:f>
              <c:numCache>
                <c:formatCode>_(* #,##0.00_);_(* \(#,##0.00\);_(* "-"??_);_(@_)</c:formatCode>
                <c:ptCount val="37"/>
                <c:pt idx="0">
                  <c:v>211395</c:v>
                </c:pt>
                <c:pt idx="1">
                  <c:v>211395</c:v>
                </c:pt>
                <c:pt idx="2">
                  <c:v>211395</c:v>
                </c:pt>
                <c:pt idx="3">
                  <c:v>211395</c:v>
                </c:pt>
                <c:pt idx="4">
                  <c:v>211395</c:v>
                </c:pt>
                <c:pt idx="5">
                  <c:v>211395</c:v>
                </c:pt>
                <c:pt idx="6">
                  <c:v>211395</c:v>
                </c:pt>
                <c:pt idx="7">
                  <c:v>211395</c:v>
                </c:pt>
                <c:pt idx="8">
                  <c:v>211395</c:v>
                </c:pt>
                <c:pt idx="9">
                  <c:v>211395</c:v>
                </c:pt>
                <c:pt idx="10">
                  <c:v>211395</c:v>
                </c:pt>
                <c:pt idx="11">
                  <c:v>211395</c:v>
                </c:pt>
                <c:pt idx="12">
                  <c:v>211395</c:v>
                </c:pt>
                <c:pt idx="13">
                  <c:v>211395</c:v>
                </c:pt>
                <c:pt idx="14">
                  <c:v>211395</c:v>
                </c:pt>
                <c:pt idx="15">
                  <c:v>211395</c:v>
                </c:pt>
                <c:pt idx="16">
                  <c:v>211395</c:v>
                </c:pt>
                <c:pt idx="17">
                  <c:v>211395</c:v>
                </c:pt>
                <c:pt idx="18">
                  <c:v>211395</c:v>
                </c:pt>
                <c:pt idx="19">
                  <c:v>211395</c:v>
                </c:pt>
                <c:pt idx="20">
                  <c:v>211395</c:v>
                </c:pt>
                <c:pt idx="21">
                  <c:v>211395</c:v>
                </c:pt>
                <c:pt idx="22">
                  <c:v>211395</c:v>
                </c:pt>
                <c:pt idx="23">
                  <c:v>211395</c:v>
                </c:pt>
                <c:pt idx="24">
                  <c:v>211395</c:v>
                </c:pt>
                <c:pt idx="25">
                  <c:v>211395</c:v>
                </c:pt>
                <c:pt idx="26">
                  <c:v>211395</c:v>
                </c:pt>
                <c:pt idx="27">
                  <c:v>211395</c:v>
                </c:pt>
                <c:pt idx="28">
                  <c:v>211395</c:v>
                </c:pt>
                <c:pt idx="29">
                  <c:v>211395</c:v>
                </c:pt>
                <c:pt idx="30">
                  <c:v>211395</c:v>
                </c:pt>
                <c:pt idx="31">
                  <c:v>211395</c:v>
                </c:pt>
                <c:pt idx="32">
                  <c:v>211395</c:v>
                </c:pt>
                <c:pt idx="33">
                  <c:v>211395</c:v>
                </c:pt>
                <c:pt idx="34">
                  <c:v>211395</c:v>
                </c:pt>
                <c:pt idx="35">
                  <c:v>211395</c:v>
                </c:pt>
                <c:pt idx="36">
                  <c:v>211395</c:v>
                </c:pt>
              </c:numCache>
            </c:numRef>
          </c:val>
          <c:smooth val="0"/>
          <c:extLst>
            <c:ext xmlns:c16="http://schemas.microsoft.com/office/drawing/2014/chart" uri="{C3380CC4-5D6E-409C-BE32-E72D297353CC}">
              <c16:uniqueId val="{00000005-868E-4BB6-9C9B-6BD45E671242}"/>
            </c:ext>
          </c:extLst>
        </c:ser>
        <c:dLbls>
          <c:showLegendKey val="0"/>
          <c:showVal val="0"/>
          <c:showCatName val="0"/>
          <c:showSerName val="0"/>
          <c:showPercent val="0"/>
          <c:showBubbleSize val="0"/>
        </c:dLbls>
        <c:marker val="1"/>
        <c:smooth val="0"/>
        <c:axId val="805984888"/>
        <c:axId val="805981608"/>
      </c:lineChart>
      <c:catAx>
        <c:axId val="80598488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5400000" spcFirstLastPara="1" vertOverflow="ellipsis" vert="horz" wrap="square" anchor="ctr" anchorCtr="1"/>
          <a:lstStyle/>
          <a:p>
            <a:pPr>
              <a:defRPr sz="1100" b="0" i="0" u="none" strike="noStrike" kern="1200" cap="none" spc="20" normalizeH="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805981608"/>
        <c:crosses val="autoZero"/>
        <c:auto val="1"/>
        <c:lblAlgn val="ctr"/>
        <c:lblOffset val="100"/>
        <c:noMultiLvlLbl val="0"/>
      </c:catAx>
      <c:valAx>
        <c:axId val="805981608"/>
        <c:scaling>
          <c:orientation val="minMax"/>
          <c:min val="0"/>
        </c:scaling>
        <c:delete val="0"/>
        <c:axPos val="l"/>
        <c:majorGridlines>
          <c:spPr>
            <a:ln w="9525" cap="flat" cmpd="sng" algn="ctr">
              <a:solidFill>
                <a:schemeClr val="tx1">
                  <a:lumMod val="5000"/>
                  <a:lumOff val="95000"/>
                </a:schemeClr>
              </a:solidFill>
              <a:round/>
            </a:ln>
            <a:effectLst/>
          </c:spPr>
        </c:majorGridlines>
        <c:numFmt formatCode="#,##0_);[Red]\(#,##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spc="2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805984888"/>
        <c:crossesAt val="1"/>
        <c:crossBetween val="between"/>
      </c:valAx>
      <c:valAx>
        <c:axId val="1967067471"/>
        <c:scaling>
          <c:orientation val="minMax"/>
          <c:min val="0"/>
        </c:scaling>
        <c:delete val="0"/>
        <c:axPos val="r"/>
        <c:numFmt formatCode="#,##0_);[Red]\(#,##0\)" sourceLinked="0"/>
        <c:majorTickMark val="none"/>
        <c:minorTickMark val="none"/>
        <c:tickLblPos val="nextTo"/>
        <c:spPr>
          <a:ln>
            <a:noFill/>
          </a:ln>
        </c:spPr>
        <c:txPr>
          <a:bodyPr/>
          <a:lstStyle/>
          <a:p>
            <a:pPr>
              <a:defRPr sz="1100">
                <a:solidFill>
                  <a:schemeClr val="tx1">
                    <a:lumMod val="50000"/>
                    <a:lumOff val="50000"/>
                  </a:schemeClr>
                </a:solidFill>
              </a:defRPr>
            </a:pPr>
            <a:endParaRPr lang="zh-TW"/>
          </a:p>
        </c:txPr>
        <c:crossAx val="1967042927"/>
        <c:crosses val="max"/>
        <c:crossBetween val="between"/>
      </c:valAx>
      <c:catAx>
        <c:axId val="1967042927"/>
        <c:scaling>
          <c:orientation val="minMax"/>
        </c:scaling>
        <c:delete val="1"/>
        <c:axPos val="b"/>
        <c:numFmt formatCode="General" sourceLinked="1"/>
        <c:majorTickMark val="out"/>
        <c:minorTickMark val="none"/>
        <c:tickLblPos val="nextTo"/>
        <c:crossAx val="1967067471"/>
        <c:crosses val="autoZero"/>
        <c:auto val="1"/>
        <c:lblAlgn val="ctr"/>
        <c:lblOffset val="100"/>
        <c:noMultiLvlLbl val="0"/>
      </c:catAx>
      <c:spPr>
        <a:ln>
          <a:solidFill>
            <a:schemeClr val="bg1">
              <a:lumMod val="95000"/>
            </a:schemeClr>
          </a:solidFill>
        </a:ln>
      </c:spPr>
    </c:plotArea>
    <c:legend>
      <c:legendPos val="t"/>
      <c:legendEntry>
        <c:idx val="4"/>
        <c:delete val="1"/>
      </c:legendEntry>
      <c:legendEntry>
        <c:idx val="5"/>
        <c:delete val="1"/>
      </c:legendEntry>
      <c:layout>
        <c:manualLayout>
          <c:xMode val="edge"/>
          <c:yMode val="edge"/>
          <c:x val="0.14201713923979847"/>
          <c:y val="3.8751884195944171E-2"/>
          <c:w val="0.7159655926713766"/>
          <c:h val="6.99269104882330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ln>
      <a:noFill/>
    </a:ln>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1.1763360815051007E-3"/>
          <c:y val="0.1236813878947637"/>
          <c:w val="0.95658079174009392"/>
          <c:h val="0.77697570172818409"/>
        </c:manualLayout>
      </c:layout>
      <c:barChart>
        <c:barDir val="col"/>
        <c:grouping val="clustered"/>
        <c:varyColors val="0"/>
        <c:ser>
          <c:idx val="0"/>
          <c:order val="0"/>
          <c:spPr>
            <a:gradFill>
              <a:gsLst>
                <a:gs pos="0">
                  <a:srgbClr val="EEF5F4"/>
                </a:gs>
                <a:gs pos="100000">
                  <a:srgbClr val="297D6B"/>
                </a:gs>
                <a:gs pos="50000">
                  <a:srgbClr val="76C191"/>
                </a:gs>
              </a:gsLst>
              <a:lin ang="5400000" scaled="1"/>
            </a:gradFill>
            <a:ln>
              <a:noFill/>
            </a:ln>
            <a:effectLst/>
          </c:spPr>
          <c:invertIfNegative val="0"/>
          <c:cat>
            <c:strRef>
              <c:f>'Tssco-bond portfolio(2)'!$D$19:$D$30</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'Tssco-bond portfolio(2)'!$C$19:$C$30</c:f>
              <c:numCache>
                <c:formatCode>_(* #,##0.00_);_(* \(#,##0.00\);_(* "-"??_);_(@_)</c:formatCode>
                <c:ptCount val="12"/>
                <c:pt idx="0">
                  <c:v>0</c:v>
                </c:pt>
                <c:pt idx="1">
                  <c:v>5787.5</c:v>
                </c:pt>
                <c:pt idx="2">
                  <c:v>0</c:v>
                </c:pt>
                <c:pt idx="3">
                  <c:v>0</c:v>
                </c:pt>
                <c:pt idx="4">
                  <c:v>2424.9999999999995</c:v>
                </c:pt>
                <c:pt idx="5">
                  <c:v>0</c:v>
                </c:pt>
                <c:pt idx="6">
                  <c:v>0</c:v>
                </c:pt>
                <c:pt idx="7">
                  <c:v>5787.5</c:v>
                </c:pt>
                <c:pt idx="8">
                  <c:v>0</c:v>
                </c:pt>
                <c:pt idx="9">
                  <c:v>0</c:v>
                </c:pt>
                <c:pt idx="10">
                  <c:v>2424.9999999999995</c:v>
                </c:pt>
                <c:pt idx="11">
                  <c:v>0</c:v>
                </c:pt>
              </c:numCache>
            </c:numRef>
          </c:val>
          <c:extLst>
            <c:ext xmlns:c16="http://schemas.microsoft.com/office/drawing/2014/chart" uri="{C3380CC4-5D6E-409C-BE32-E72D297353CC}">
              <c16:uniqueId val="{00000000-F56F-47FF-98C4-C109A417937D}"/>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800" b="1" i="0" u="none" strike="noStrike" kern="1200" cap="none" spc="20" normalizeH="0" baseline="0">
                <a:solidFill>
                  <a:srgbClr val="226859"/>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numFmt formatCode="_(* #,##0.00_);_(* \(#,##0.00\);_(* &quot;-&quot;??_);_(@_)" sourceLinked="1"/>
        <c:majorTickMark val="none"/>
        <c:minorTickMark val="none"/>
        <c:tickLblPos val="nextTo"/>
        <c:crossAx val="4783456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3.4348012939943252E-2"/>
          <c:y val="8.8029018096407244E-2"/>
          <c:w val="0.94430430116853015"/>
          <c:h val="0.78445377182148968"/>
        </c:manualLayout>
      </c:layout>
      <c:barChart>
        <c:barDir val="col"/>
        <c:grouping val="clustered"/>
        <c:varyColors val="0"/>
        <c:ser>
          <c:idx val="1"/>
          <c:order val="0"/>
          <c:tx>
            <c:strRef>
              <c:f>績效圖!$D$15</c:f>
              <c:strCache>
                <c:ptCount val="1"/>
                <c:pt idx="0">
                  <c:v>b) 利息報酬率</c:v>
                </c:pt>
              </c:strCache>
            </c:strRef>
          </c:tx>
          <c:spPr>
            <a:solidFill>
              <a:srgbClr val="297D6B"/>
            </a:solidFill>
            <a:ln>
              <a:noFill/>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XG300</c:v>
                  </c:pt>
                  <c:pt idx="2">
                    <c:v>XH750</c:v>
                  </c:pt>
                  <c:pt idx="3">
                    <c:v>XH040</c:v>
                  </c:pt>
                </c:lvl>
                <c:lvl>
                  <c:pt idx="0">
                    <c:v>蘋果公</c:v>
                  </c:pt>
                  <c:pt idx="1">
                    <c:v>Alp</c:v>
                  </c:pt>
                  <c:pt idx="2">
                    <c:v>禮來公</c:v>
                  </c:pt>
                  <c:pt idx="3">
                    <c:v>MET</c:v>
                  </c:pt>
                </c:lvl>
              </c:multiLvlStrCache>
            </c:multiLvlStrRef>
          </c:cat>
          <c:val>
            <c:numRef>
              <c:f>績效圖!$E$15:$P$15</c:f>
            </c:numRef>
          </c:val>
          <c:extLst>
            <c:ext xmlns:c16="http://schemas.microsoft.com/office/drawing/2014/chart" uri="{C3380CC4-5D6E-409C-BE32-E72D297353CC}">
              <c16:uniqueId val="{00000000-A4F6-4E66-9204-E0A76AAF4A40}"/>
            </c:ext>
          </c:extLst>
        </c:ser>
        <c:ser>
          <c:idx val="6"/>
          <c:order val="1"/>
          <c:tx>
            <c:v>利息報酬率(台幣)</c:v>
          </c:tx>
          <c:spPr>
            <a:solidFill>
              <a:srgbClr val="297D6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績效圖!$E$10:$P$11</c:f>
              <c:multiLvlStrCache>
                <c:ptCount val="4"/>
                <c:lvl>
                  <c:pt idx="0">
                    <c:v>XH430</c:v>
                  </c:pt>
                  <c:pt idx="1">
                    <c:v>XG300</c:v>
                  </c:pt>
                  <c:pt idx="2">
                    <c:v>XH750</c:v>
                  </c:pt>
                  <c:pt idx="3">
                    <c:v>XH040</c:v>
                  </c:pt>
                </c:lvl>
                <c:lvl>
                  <c:pt idx="0">
                    <c:v>蘋果公</c:v>
                  </c:pt>
                  <c:pt idx="1">
                    <c:v>Alp</c:v>
                  </c:pt>
                  <c:pt idx="2">
                    <c:v>禮來公</c:v>
                  </c:pt>
                  <c:pt idx="3">
                    <c:v>MET</c:v>
                  </c:pt>
                </c:lvl>
              </c:multiLvlStrCache>
            </c:multiLvlStrRef>
          </c:cat>
          <c:val>
            <c:numRef>
              <c:f>績效圖!$E$18:$P$18</c:f>
            </c:numRef>
          </c:val>
          <c:extLst>
            <c:ext xmlns:c16="http://schemas.microsoft.com/office/drawing/2014/chart" uri="{C3380CC4-5D6E-409C-BE32-E72D297353CC}">
              <c16:uniqueId val="{00000001-A4F6-4E66-9204-E0A76AAF4A40}"/>
            </c:ext>
          </c:extLst>
        </c:ser>
        <c:ser>
          <c:idx val="5"/>
          <c:order val="3"/>
          <c:tx>
            <c:v>價格報酬率(台幣)</c:v>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XG300</c:v>
                  </c:pt>
                  <c:pt idx="2">
                    <c:v>XH750</c:v>
                  </c:pt>
                  <c:pt idx="3">
                    <c:v>XH040</c:v>
                  </c:pt>
                </c:lvl>
                <c:lvl>
                  <c:pt idx="0">
                    <c:v>蘋果公</c:v>
                  </c:pt>
                  <c:pt idx="1">
                    <c:v>Alp</c:v>
                  </c:pt>
                  <c:pt idx="2">
                    <c:v>禮來公</c:v>
                  </c:pt>
                  <c:pt idx="3">
                    <c:v>MET</c:v>
                  </c:pt>
                </c:lvl>
              </c:multiLvlStrCache>
            </c:multiLvlStrRef>
          </c:cat>
          <c:val>
            <c:numRef>
              <c:f>績效圖!$E$17:$P$17</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2-A4F6-4E66-9204-E0A76AAF4A40}"/>
            </c:ext>
          </c:extLst>
        </c:ser>
        <c:ser>
          <c:idx val="8"/>
          <c:order val="4"/>
          <c:tx>
            <c:v>匯率報酬率(台幣)</c:v>
          </c:tx>
          <c:spPr>
            <a:solidFill>
              <a:srgbClr val="297D6B"/>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XG300</c:v>
                  </c:pt>
                  <c:pt idx="2">
                    <c:v>XH750</c:v>
                  </c:pt>
                  <c:pt idx="3">
                    <c:v>XH040</c:v>
                  </c:pt>
                </c:lvl>
                <c:lvl>
                  <c:pt idx="0">
                    <c:v>蘋果公</c:v>
                  </c:pt>
                  <c:pt idx="1">
                    <c:v>Alp</c:v>
                  </c:pt>
                  <c:pt idx="2">
                    <c:v>禮來公</c:v>
                  </c:pt>
                  <c:pt idx="3">
                    <c:v>MET</c:v>
                  </c:pt>
                </c:lvl>
              </c:multiLvlStrCache>
            </c:multiLvlStrRef>
          </c:cat>
          <c:val>
            <c:numRef>
              <c:f>績效圖!$E$20:$P$20</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3-A4F6-4E66-9204-E0A76AAF4A40}"/>
            </c:ext>
          </c:extLst>
        </c:ser>
        <c:ser>
          <c:idx val="0"/>
          <c:order val="6"/>
          <c:tx>
            <c:strRef>
              <c:f>績效圖!$D$14</c:f>
              <c:strCache>
                <c:ptCount val="1"/>
                <c:pt idx="0">
                  <c:v>c) 價格報酬率</c:v>
                </c:pt>
              </c:strCache>
            </c:strRef>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Arial" panose="020B0604020202020204" pitchFamily="34" charset="0"/>
                    <a:ea typeface="微軟正黑體" panose="020B0604030504040204" pitchFamily="34" charset="-120"/>
                    <a:cs typeface="Arial" panose="020B0604020202020204" pitchFamily="34" charset="0"/>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XG300</c:v>
                  </c:pt>
                  <c:pt idx="2">
                    <c:v>XH750</c:v>
                  </c:pt>
                  <c:pt idx="3">
                    <c:v>XH040</c:v>
                  </c:pt>
                </c:lvl>
                <c:lvl>
                  <c:pt idx="0">
                    <c:v>蘋果公</c:v>
                  </c:pt>
                  <c:pt idx="1">
                    <c:v>Alp</c:v>
                  </c:pt>
                  <c:pt idx="2">
                    <c:v>禮來公</c:v>
                  </c:pt>
                  <c:pt idx="3">
                    <c:v>MET</c:v>
                  </c:pt>
                </c:lvl>
              </c:multiLvlStrCache>
            </c:multiLvlStrRef>
          </c:cat>
          <c:val>
            <c:numRef>
              <c:f>績效圖!$E$14:$P$14</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4-A4F6-4E66-9204-E0A76AAF4A40}"/>
            </c:ext>
          </c:extLst>
        </c:ser>
        <c:ser>
          <c:idx val="2"/>
          <c:order val="2"/>
          <c:tx>
            <c:strRef>
              <c:f>績效圖!$D$16</c:f>
              <c:strCache>
                <c:ptCount val="1"/>
                <c:pt idx="0">
                  <c:v>a) 總報酬率</c:v>
                </c:pt>
              </c:strCache>
            </c:strRef>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XG300</c:v>
                  </c:pt>
                  <c:pt idx="2">
                    <c:v>XH750</c:v>
                  </c:pt>
                  <c:pt idx="3">
                    <c:v>XH040</c:v>
                  </c:pt>
                </c:lvl>
                <c:lvl>
                  <c:pt idx="0">
                    <c:v>蘋果公</c:v>
                  </c:pt>
                  <c:pt idx="1">
                    <c:v>Alp</c:v>
                  </c:pt>
                  <c:pt idx="2">
                    <c:v>禮來公</c:v>
                  </c:pt>
                  <c:pt idx="3">
                    <c:v>MET</c:v>
                  </c:pt>
                </c:lvl>
              </c:multiLvlStrCache>
            </c:multiLvlStrRef>
          </c:cat>
          <c:val>
            <c:numRef>
              <c:f>績效圖!$E$16:$P$16</c:f>
              <c:numCache>
                <c:formatCode>0.0_ ;[Red]\-0.0\ </c:formatCode>
                <c:ptCount val="12"/>
                <c:pt idx="0">
                  <c:v>1.1485714285714341</c:v>
                </c:pt>
                <c:pt idx="1">
                  <c:v>-2.6874137931034432</c:v>
                </c:pt>
                <c:pt idx="2">
                  <c:v>10.227499999999996</c:v>
                </c:pt>
                <c:pt idx="3">
                  <c:v>1.2823863636363642</c:v>
                </c:pt>
                <c:pt idx="4">
                  <c:v>0</c:v>
                </c:pt>
                <c:pt idx="5">
                  <c:v>0</c:v>
                </c:pt>
                <c:pt idx="6">
                  <c:v>0</c:v>
                </c:pt>
                <c:pt idx="7">
                  <c:v>0</c:v>
                </c:pt>
                <c:pt idx="8">
                  <c:v>0</c:v>
                </c:pt>
                <c:pt idx="9">
                  <c:v>0</c:v>
                </c:pt>
                <c:pt idx="10">
                  <c:v>0</c:v>
                </c:pt>
                <c:pt idx="11">
                  <c:v>0</c:v>
                </c:pt>
              </c:numCache>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5-A4F6-4E66-9204-E0A76AAF4A40}"/>
            </c:ext>
          </c:extLst>
        </c:ser>
        <c:ser>
          <c:idx val="7"/>
          <c:order val="5"/>
          <c:tx>
            <c:v>總報酬率(台幣)</c:v>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XG300</c:v>
                  </c:pt>
                  <c:pt idx="2">
                    <c:v>XH750</c:v>
                  </c:pt>
                  <c:pt idx="3">
                    <c:v>XH040</c:v>
                  </c:pt>
                </c:lvl>
                <c:lvl>
                  <c:pt idx="0">
                    <c:v>蘋果公</c:v>
                  </c:pt>
                  <c:pt idx="1">
                    <c:v>Alp</c:v>
                  </c:pt>
                  <c:pt idx="2">
                    <c:v>禮來公</c:v>
                  </c:pt>
                  <c:pt idx="3">
                    <c:v>MET</c:v>
                  </c:pt>
                </c:lvl>
              </c:multiLvlStrCache>
            </c:multiLvlStrRef>
          </c:cat>
          <c:val>
            <c:numRef>
              <c:f>績效圖!$E$19:$P$19</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6-A4F6-4E66-9204-E0A76AAF4A40}"/>
            </c:ext>
          </c:extLst>
        </c:ser>
        <c:dLbls>
          <c:showLegendKey val="0"/>
          <c:showVal val="0"/>
          <c:showCatName val="0"/>
          <c:showSerName val="0"/>
          <c:showPercent val="0"/>
          <c:showBubbleSize val="0"/>
        </c:dLbls>
        <c:gapWidth val="76"/>
        <c:axId val="1613956928"/>
        <c:axId val="1613964608"/>
      </c:barChart>
      <c:catAx>
        <c:axId val="16139569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rgbClr val="226859"/>
                </a:solidFill>
                <a:latin typeface="+mj-ea"/>
                <a:ea typeface="+mj-ea"/>
                <a:cs typeface="+mn-cs"/>
              </a:defRPr>
            </a:pPr>
            <a:endParaRPr lang="zh-TW"/>
          </a:p>
        </c:txPr>
        <c:crossAx val="1613964608"/>
        <c:crosses val="autoZero"/>
        <c:auto val="1"/>
        <c:lblAlgn val="ctr"/>
        <c:lblOffset val="100"/>
        <c:noMultiLvlLbl val="0"/>
      </c:catAx>
      <c:valAx>
        <c:axId val="1613964608"/>
        <c:scaling>
          <c:orientation val="minMax"/>
        </c:scaling>
        <c:delete val="0"/>
        <c:axPos val="l"/>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zh-TW"/>
          </a:p>
        </c:txPr>
        <c:crossAx val="161395692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00629732553898"/>
          <c:y val="0.15924674895464355"/>
          <c:w val="0.40234538381399138"/>
          <c:h val="0.72748408914362017"/>
        </c:manualLayout>
      </c:layout>
      <c:radarChart>
        <c:radarStyle val="filled"/>
        <c:varyColors val="0"/>
        <c:ser>
          <c:idx val="2"/>
          <c:order val="2"/>
          <c:tx>
            <c:v>輔助1</c:v>
          </c:tx>
          <c:spPr>
            <a:solidFill>
              <a:schemeClr val="accent1">
                <a:lumMod val="20000"/>
                <a:lumOff val="80000"/>
                <a:alpha val="35000"/>
              </a:schemeClr>
            </a:solidFill>
            <a:ln>
              <a:noFill/>
            </a:ln>
            <a:effectLst>
              <a:outerShdw blurRad="50800" dist="50800" dir="5400000" algn="ctr" rotWithShape="0">
                <a:schemeClr val="bg1">
                  <a:lumMod val="95000"/>
                </a:schemeClr>
              </a:outerShdw>
            </a:effectLst>
          </c:spPr>
          <c:val>
            <c:numRef>
              <c:f>換券投組!$D$62:$D$66</c:f>
              <c:numCache>
                <c:formatCode>0</c:formatCode>
                <c:ptCount val="5"/>
                <c:pt idx="0">
                  <c:v>5</c:v>
                </c:pt>
                <c:pt idx="1">
                  <c:v>3.6231884057971016</c:v>
                </c:pt>
                <c:pt idx="2">
                  <c:v>5</c:v>
                </c:pt>
                <c:pt idx="3">
                  <c:v>4.135687267341793</c:v>
                </c:pt>
                <c:pt idx="4">
                  <c:v>4.2826258943466922</c:v>
                </c:pt>
              </c:numCache>
            </c:numRef>
          </c:val>
          <c:extLst>
            <c:ext xmlns:c16="http://schemas.microsoft.com/office/drawing/2014/chart" uri="{C3380CC4-5D6E-409C-BE32-E72D297353CC}">
              <c16:uniqueId val="{00000000-E66C-4BAF-95CE-FA82166CB20D}"/>
            </c:ext>
          </c:extLst>
        </c:ser>
        <c:ser>
          <c:idx val="3"/>
          <c:order val="3"/>
          <c:tx>
            <c:v>輔助2</c:v>
          </c:tx>
          <c:spPr>
            <a:solidFill>
              <a:schemeClr val="accent2">
                <a:lumMod val="20000"/>
                <a:lumOff val="80000"/>
                <a:alpha val="20000"/>
              </a:schemeClr>
            </a:solidFill>
            <a:ln>
              <a:noFill/>
            </a:ln>
            <a:effectLst>
              <a:outerShdw blurRad="50800" dist="50800" dir="5400000" algn="ctr" rotWithShape="0">
                <a:srgbClr val="EBF1DE"/>
              </a:outerShdw>
            </a:effectLst>
          </c:spPr>
          <c:val>
            <c:numRef>
              <c:f>換券投組!$E$62:$E$66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E66C-4BAF-95CE-FA82166CB20D}"/>
            </c:ext>
          </c:extLst>
        </c:ser>
        <c:dLbls>
          <c:showLegendKey val="0"/>
          <c:showVal val="0"/>
          <c:showCatName val="0"/>
          <c:showSerName val="0"/>
          <c:showPercent val="0"/>
          <c:showBubbleSize val="0"/>
        </c:dLbls>
        <c:axId val="858044464"/>
        <c:axId val="858040200"/>
      </c:radarChart>
      <c:radarChart>
        <c:radarStyle val="marker"/>
        <c:varyColors val="0"/>
        <c:ser>
          <c:idx val="0"/>
          <c:order val="0"/>
          <c:tx>
            <c:strRef>
              <c:f>換券投組!$D$61</c:f>
              <c:strCache>
                <c:ptCount val="1"/>
                <c:pt idx="0">
                  <c:v>原庫存組合</c:v>
                </c:pt>
              </c:strCache>
            </c:strRef>
          </c:tx>
          <c:spPr>
            <a:ln w="12700" cap="rnd">
              <a:solidFill>
                <a:schemeClr val="tx1">
                  <a:lumMod val="75000"/>
                  <a:lumOff val="25000"/>
                </a:schemeClr>
              </a:solidFill>
              <a:round/>
            </a:ln>
            <a:effectLst/>
          </c:spPr>
          <c:marker>
            <c:symbol val="circle"/>
            <c:size val="6"/>
            <c:spPr>
              <a:solidFill>
                <a:schemeClr val="bg1"/>
              </a:solidFill>
              <a:ln w="12700">
                <a:solidFill>
                  <a:schemeClr val="tx1">
                    <a:lumMod val="75000"/>
                    <a:lumOff val="25000"/>
                  </a:schemeClr>
                </a:solidFill>
              </a:ln>
              <a:effectLst/>
            </c:spPr>
          </c:marker>
          <c:cat>
            <c:strRef>
              <c:f>換券投組!$C$62:$C$66</c:f>
              <c:strCache>
                <c:ptCount val="5"/>
                <c:pt idx="0">
                  <c:v>年領利息
(XH750)</c:v>
                </c:pt>
                <c:pt idx="1">
                  <c:v>面額
(XG300)</c:v>
                </c:pt>
                <c:pt idx="2">
                  <c:v>殖利率
(XH040)</c:v>
                </c:pt>
                <c:pt idx="3">
                  <c:v>剩餘年期
(XG300)</c:v>
                </c:pt>
                <c:pt idx="4">
                  <c:v>增值潛力
(XG300)</c:v>
                </c:pt>
              </c:strCache>
            </c:strRef>
          </c:cat>
          <c:val>
            <c:numRef>
              <c:f>換券投組!$D$62:$D$66</c:f>
              <c:numCache>
                <c:formatCode>0</c:formatCode>
                <c:ptCount val="5"/>
                <c:pt idx="0">
                  <c:v>5</c:v>
                </c:pt>
                <c:pt idx="1">
                  <c:v>3.6231884057971016</c:v>
                </c:pt>
                <c:pt idx="2">
                  <c:v>5</c:v>
                </c:pt>
                <c:pt idx="3">
                  <c:v>4.135687267341793</c:v>
                </c:pt>
                <c:pt idx="4">
                  <c:v>4.2826258943466922</c:v>
                </c:pt>
              </c:numCache>
            </c:numRef>
          </c:val>
          <c:extLst>
            <c:ext xmlns:c16="http://schemas.microsoft.com/office/drawing/2014/chart" uri="{C3380CC4-5D6E-409C-BE32-E72D297353CC}">
              <c16:uniqueId val="{00000002-E66C-4BAF-95CE-FA82166CB20D}"/>
            </c:ext>
          </c:extLst>
        </c:ser>
        <c:ser>
          <c:idx val="1"/>
          <c:order val="1"/>
          <c:tx>
            <c:strRef>
              <c:f>換券投組!$E$61</c:f>
              <c:strCache>
                <c:ptCount val="1"/>
                <c:pt idx="0">
                  <c:v>新庫存組合</c:v>
                </c:pt>
              </c:strCache>
            </c:strRef>
          </c:tx>
          <c:spPr>
            <a:ln w="34925" cap="rnd">
              <a:solidFill>
                <a:srgbClr val="297D6B"/>
              </a:solidFill>
              <a:round/>
            </a:ln>
            <a:effectLst/>
          </c:spPr>
          <c:marker>
            <c:symbol val="circle"/>
            <c:size val="8"/>
            <c:spPr>
              <a:solidFill>
                <a:schemeClr val="bg1"/>
              </a:solidFill>
              <a:ln w="12700">
                <a:solidFill>
                  <a:srgbClr val="297D6B"/>
                </a:solidFill>
              </a:ln>
              <a:effectLst/>
            </c:spPr>
          </c:marker>
          <c:cat>
            <c:strRef>
              <c:f>換券投組!$C$62:$C$66</c:f>
              <c:strCache>
                <c:ptCount val="5"/>
                <c:pt idx="0">
                  <c:v>年領利息
(XH750)</c:v>
                </c:pt>
                <c:pt idx="1">
                  <c:v>面額
(XG300)</c:v>
                </c:pt>
                <c:pt idx="2">
                  <c:v>殖利率
(XH040)</c:v>
                </c:pt>
                <c:pt idx="3">
                  <c:v>剩餘年期
(XG300)</c:v>
                </c:pt>
                <c:pt idx="4">
                  <c:v>增值潛力
(XG300)</c:v>
                </c:pt>
              </c:strCache>
            </c:strRef>
          </c:cat>
          <c:val>
            <c:numRef>
              <c:f>換券投組!$E$62:$E$66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3-E66C-4BAF-95CE-FA82166CB20D}"/>
            </c:ext>
          </c:extLst>
        </c:ser>
        <c:dLbls>
          <c:showLegendKey val="0"/>
          <c:showVal val="0"/>
          <c:showCatName val="0"/>
          <c:showSerName val="0"/>
          <c:showPercent val="0"/>
          <c:showBubbleSize val="0"/>
        </c:dLbls>
        <c:axId val="619618320"/>
        <c:axId val="619622256"/>
      </c:radarChart>
      <c:catAx>
        <c:axId val="8580444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zh-TW"/>
          </a:p>
        </c:txPr>
        <c:crossAx val="858040200"/>
        <c:crosses val="autoZero"/>
        <c:auto val="1"/>
        <c:lblAlgn val="ctr"/>
        <c:lblOffset val="100"/>
        <c:noMultiLvlLbl val="0"/>
      </c:catAx>
      <c:valAx>
        <c:axId val="8580402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ln>
                  <a:noFill/>
                </a:ln>
                <a:noFill/>
                <a:latin typeface="+mn-lt"/>
                <a:ea typeface="+mn-ea"/>
                <a:cs typeface="+mn-cs"/>
              </a:defRPr>
            </a:pPr>
            <a:endParaRPr lang="zh-TW"/>
          </a:p>
        </c:txPr>
        <c:crossAx val="858044464"/>
        <c:crosses val="autoZero"/>
        <c:crossBetween val="between"/>
        <c:majorUnit val="1"/>
      </c:valAx>
      <c:valAx>
        <c:axId val="619622256"/>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zh-TW"/>
          </a:p>
        </c:txPr>
        <c:crossAx val="619618320"/>
        <c:crosses val="autoZero"/>
        <c:crossBetween val="between"/>
      </c:valAx>
      <c:catAx>
        <c:axId val="619618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zh-TW"/>
          </a:p>
        </c:txPr>
        <c:crossAx val="619622256"/>
        <c:crosses val="autoZero"/>
        <c:auto val="1"/>
        <c:lblAlgn val="ctr"/>
        <c:lblOffset val="100"/>
        <c:noMultiLvlLbl val="0"/>
      </c:catAx>
      <c:spPr>
        <a:noFill/>
        <a:ln>
          <a:noFill/>
        </a:ln>
        <a:effectLst/>
      </c:spPr>
    </c:plotArea>
    <c:legend>
      <c:legendPos val="r"/>
      <c:legendEntry>
        <c:idx val="0"/>
        <c:delete val="1"/>
      </c:legendEntry>
      <c:legendEntry>
        <c:idx val="1"/>
        <c:delete val="1"/>
      </c:legendEntry>
      <c:layout>
        <c:manualLayout>
          <c:xMode val="edge"/>
          <c:yMode val="edge"/>
          <c:x val="0.8118561753589334"/>
          <c:y val="8.4152973911046577E-2"/>
          <c:w val="0.12827988043709096"/>
          <c:h val="0.15785121036940988"/>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no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9.6581999673266625E-3"/>
          <c:y val="0.16606607942192933"/>
          <c:w val="0.98068360006534672"/>
          <c:h val="0.67281869625389479"/>
        </c:manualLayout>
      </c:layout>
      <c:barChart>
        <c:barDir val="col"/>
        <c:grouping val="clustered"/>
        <c:varyColors val="0"/>
        <c:ser>
          <c:idx val="1"/>
          <c:order val="0"/>
          <c:tx>
            <c:v>原庫存組合</c:v>
          </c:tx>
          <c:spPr>
            <a:pattFill prst="smGrid">
              <a:fgClr>
                <a:schemeClr val="bg1">
                  <a:lumMod val="95000"/>
                </a:schemeClr>
              </a:fgClr>
              <a:bgClr>
                <a:srgbClr val="EEECE1"/>
              </a:bgClr>
            </a:pattFill>
            <a:ln>
              <a:noFill/>
            </a:ln>
            <a:effectLst/>
          </c:spPr>
          <c:invertIfNegative val="0"/>
          <c:cat>
            <c:strRef>
              <c:f>Change投!$D$19:$D$30</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'Tssco-bond portfolio(2)'!$C$19:$C$30</c:f>
              <c:numCache>
                <c:formatCode>_(* #,##0.00_);_(* \(#,##0.00\);_(* "-"??_);_(@_)</c:formatCode>
                <c:ptCount val="12"/>
                <c:pt idx="0">
                  <c:v>0</c:v>
                </c:pt>
                <c:pt idx="1">
                  <c:v>5787.5</c:v>
                </c:pt>
                <c:pt idx="2">
                  <c:v>0</c:v>
                </c:pt>
                <c:pt idx="3">
                  <c:v>0</c:v>
                </c:pt>
                <c:pt idx="4">
                  <c:v>2424.9999999999995</c:v>
                </c:pt>
                <c:pt idx="5">
                  <c:v>0</c:v>
                </c:pt>
                <c:pt idx="6">
                  <c:v>0</c:v>
                </c:pt>
                <c:pt idx="7">
                  <c:v>5787.5</c:v>
                </c:pt>
                <c:pt idx="8">
                  <c:v>0</c:v>
                </c:pt>
                <c:pt idx="9">
                  <c:v>0</c:v>
                </c:pt>
                <c:pt idx="10">
                  <c:v>2424.9999999999995</c:v>
                </c:pt>
                <c:pt idx="11">
                  <c:v>0</c:v>
                </c:pt>
              </c:numCache>
            </c:numRef>
          </c:val>
          <c:extLst>
            <c:ext xmlns:c16="http://schemas.microsoft.com/office/drawing/2014/chart" uri="{C3380CC4-5D6E-409C-BE32-E72D297353CC}">
              <c16:uniqueId val="{0000000D-61F9-4573-AA31-41BB76A9AE13}"/>
            </c:ext>
          </c:extLst>
        </c:ser>
        <c:ser>
          <c:idx val="0"/>
          <c:order val="1"/>
          <c:tx>
            <c:v>新庫存組合</c:v>
          </c:tx>
          <c:spPr>
            <a:gradFill flip="none" rotWithShape="1">
              <a:gsLst>
                <a:gs pos="0">
                  <a:srgbClr val="EEF5F4"/>
                </a:gs>
                <a:gs pos="100000">
                  <a:srgbClr val="297D6B"/>
                </a:gs>
                <a:gs pos="50000">
                  <a:srgbClr val="76C191"/>
                </a:gs>
              </a:gsLst>
              <a:lin ang="5400000" scaled="1"/>
              <a:tileRect/>
            </a:gradFill>
            <a:ln>
              <a:noFill/>
            </a:ln>
            <a:effectLst/>
          </c:spPr>
          <c:invertIfNegative val="0"/>
          <c:dLbls>
            <c:dLbl>
              <c:idx val="0"/>
              <c:tx>
                <c:rich>
                  <a:bodyPr/>
                  <a:lstStyle/>
                  <a:p>
                    <a:fld id="{389AA607-BB57-42CA-8C9A-D636E9155694}" type="CELLRANGE">
                      <a:rPr lang="en-US" altLang="zh-TW"/>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61F9-4573-AA31-41BB76A9AE13}"/>
                </c:ext>
              </c:extLst>
            </c:dLbl>
            <c:dLbl>
              <c:idx val="1"/>
              <c:tx>
                <c:rich>
                  <a:bodyPr/>
                  <a:lstStyle/>
                  <a:p>
                    <a:fld id="{3941C386-DBB6-4D22-BAB5-700B24B44BFA}"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61F9-4573-AA31-41BB76A9AE13}"/>
                </c:ext>
              </c:extLst>
            </c:dLbl>
            <c:dLbl>
              <c:idx val="2"/>
              <c:tx>
                <c:rich>
                  <a:bodyPr/>
                  <a:lstStyle/>
                  <a:p>
                    <a:fld id="{A4FD19B0-91A3-4474-BDEC-23127A85AB82}"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1F9-4573-AA31-41BB76A9AE13}"/>
                </c:ext>
              </c:extLst>
            </c:dLbl>
            <c:dLbl>
              <c:idx val="3"/>
              <c:tx>
                <c:rich>
                  <a:bodyPr/>
                  <a:lstStyle/>
                  <a:p>
                    <a:fld id="{F1BFB51F-2949-42A0-8AD5-AFE6C97297E8}"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1F9-4573-AA31-41BB76A9AE13}"/>
                </c:ext>
              </c:extLst>
            </c:dLbl>
            <c:dLbl>
              <c:idx val="4"/>
              <c:tx>
                <c:rich>
                  <a:bodyPr/>
                  <a:lstStyle/>
                  <a:p>
                    <a:fld id="{9B852ECC-34E2-469A-A65D-A5C959C34A29}"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1F9-4573-AA31-41BB76A9AE13}"/>
                </c:ext>
              </c:extLst>
            </c:dLbl>
            <c:dLbl>
              <c:idx val="5"/>
              <c:tx>
                <c:rich>
                  <a:bodyPr/>
                  <a:lstStyle/>
                  <a:p>
                    <a:fld id="{E73C056C-68D5-4218-9D3E-B3617BE58FBF}"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1F9-4573-AA31-41BB76A9AE13}"/>
                </c:ext>
              </c:extLst>
            </c:dLbl>
            <c:dLbl>
              <c:idx val="6"/>
              <c:tx>
                <c:rich>
                  <a:bodyPr/>
                  <a:lstStyle/>
                  <a:p>
                    <a:fld id="{A0103366-A03B-48DB-9B85-FE0FB53B3615}"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1F9-4573-AA31-41BB76A9AE13}"/>
                </c:ext>
              </c:extLst>
            </c:dLbl>
            <c:dLbl>
              <c:idx val="7"/>
              <c:tx>
                <c:rich>
                  <a:bodyPr/>
                  <a:lstStyle/>
                  <a:p>
                    <a:fld id="{42B71F2E-A9D1-4A39-84A9-F8B40D8730B9}"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1F9-4573-AA31-41BB76A9AE13}"/>
                </c:ext>
              </c:extLst>
            </c:dLbl>
            <c:dLbl>
              <c:idx val="8"/>
              <c:tx>
                <c:rich>
                  <a:bodyPr/>
                  <a:lstStyle/>
                  <a:p>
                    <a:fld id="{8400E4E1-12BF-4474-AE61-B80D542000C1}"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1F9-4573-AA31-41BB76A9AE13}"/>
                </c:ext>
              </c:extLst>
            </c:dLbl>
            <c:dLbl>
              <c:idx val="9"/>
              <c:tx>
                <c:rich>
                  <a:bodyPr/>
                  <a:lstStyle/>
                  <a:p>
                    <a:fld id="{0126C04D-7EE7-4ECA-B547-5356910DBAE0}"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1F9-4573-AA31-41BB76A9AE13}"/>
                </c:ext>
              </c:extLst>
            </c:dLbl>
            <c:dLbl>
              <c:idx val="10"/>
              <c:tx>
                <c:rich>
                  <a:bodyPr/>
                  <a:lstStyle/>
                  <a:p>
                    <a:fld id="{8E8DEE22-A0CC-479D-A372-CF0DBD61A013}"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1F9-4573-AA31-41BB76A9AE13}"/>
                </c:ext>
              </c:extLst>
            </c:dLbl>
            <c:dLbl>
              <c:idx val="11"/>
              <c:tx>
                <c:rich>
                  <a:bodyPr/>
                  <a:lstStyle/>
                  <a:p>
                    <a:fld id="{8955AA35-F5AB-4A14-BC64-616ABFA364BF}"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1F9-4573-AA31-41BB76A9AE13}"/>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297D6B"/>
                    </a:solidFill>
                    <a:latin typeface="微軟正黑體" panose="020B0604030504040204" pitchFamily="34" charset="-120"/>
                    <a:ea typeface="微軟正黑體" panose="020B0604030504040204" pitchFamily="34" charset="-120"/>
                    <a:cs typeface="+mn-cs"/>
                  </a:defRPr>
                </a:pPr>
                <a:endParaRPr lang="zh-TW"/>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tx1">
                          <a:lumMod val="35000"/>
                          <a:lumOff val="65000"/>
                        </a:schemeClr>
                      </a:solidFill>
                    </a:ln>
                    <a:effectLst/>
                  </c:spPr>
                </c15:leaderLines>
              </c:ext>
            </c:extLst>
          </c:dLbls>
          <c:cat>
            <c:strRef>
              <c:f>Change投!$D$19:$D$30</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Change投!$C$19:$C$30</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Change投!$G$19:$G$30</c15:f>
                <c15:dlblRangeCache>
                  <c:ptCount val="12"/>
                </c15:dlblRangeCache>
              </c15:datalabelsRange>
            </c:ext>
            <c:ext xmlns:c16="http://schemas.microsoft.com/office/drawing/2014/chart" uri="{C3380CC4-5D6E-409C-BE32-E72D297353CC}">
              <c16:uniqueId val="{00000000-61F9-4573-AA31-41BB76A9AE13}"/>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600" b="1" i="0" u="none" strike="noStrike" kern="1200" cap="none" spc="20" normalizeH="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numFmt formatCode="_(* #,##0.00_);_(* \(#,##0.00\);_(* &quot;-&quot;??_);_(@_)" sourceLinked="1"/>
        <c:majorTickMark val="none"/>
        <c:minorTickMark val="none"/>
        <c:tickLblPos val="nextTo"/>
        <c:crossAx val="478345600"/>
        <c:crosses val="autoZero"/>
        <c:crossBetween val="between"/>
      </c:valAx>
      <c:spPr>
        <a:noFill/>
        <a:ln>
          <a:noFill/>
        </a:ln>
        <a:effectLst/>
      </c:spPr>
    </c:plotArea>
    <c:legend>
      <c:legendPos val="t"/>
      <c:layout>
        <c:manualLayout>
          <c:xMode val="edge"/>
          <c:yMode val="edge"/>
          <c:x val="0.6442047226839297"/>
          <c:y val="7.9096062791063383E-3"/>
          <c:w val="0.35137534867488757"/>
          <c:h val="0.1206865503687181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no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1164180383856327"/>
          <c:y val="0.14285865026329139"/>
          <c:w val="0.37196248167516649"/>
          <c:h val="0.69772002538019962"/>
        </c:manualLayout>
      </c:layout>
      <c:radarChart>
        <c:radarStyle val="filled"/>
        <c:varyColors val="0"/>
        <c:ser>
          <c:idx val="2"/>
          <c:order val="2"/>
          <c:tx>
            <c:v>輔助1</c:v>
          </c:tx>
          <c:spPr>
            <a:solidFill>
              <a:schemeClr val="accent1">
                <a:lumMod val="20000"/>
                <a:lumOff val="80000"/>
                <a:alpha val="35000"/>
              </a:schemeClr>
            </a:solidFill>
            <a:ln>
              <a:noFill/>
            </a:ln>
            <a:effectLst>
              <a:outerShdw blurRad="50800" dist="50800" dir="5400000" algn="ctr" rotWithShape="0">
                <a:schemeClr val="bg1">
                  <a:lumMod val="95000"/>
                </a:schemeClr>
              </a:outerShdw>
            </a:effectLst>
          </c:spPr>
          <c:val>
            <c:numRef>
              <c:f>換券單檔!$D$41:$D$45</c:f>
              <c:numCache>
                <c:formatCode>0</c:formatCode>
                <c:ptCount val="5"/>
                <c:pt idx="0">
                  <c:v>3.2555797952676619</c:v>
                </c:pt>
                <c:pt idx="1">
                  <c:v>2.9708853238265003</c:v>
                </c:pt>
                <c:pt idx="2">
                  <c:v>3.1071973889048077</c:v>
                </c:pt>
                <c:pt idx="3">
                  <c:v>3.993632336655593</c:v>
                </c:pt>
                <c:pt idx="4">
                  <c:v>4.1615071763484233</c:v>
                </c:pt>
              </c:numCache>
            </c:numRef>
          </c:val>
          <c:extLst>
            <c:ext xmlns:c16="http://schemas.microsoft.com/office/drawing/2014/chart" uri="{C3380CC4-5D6E-409C-BE32-E72D297353CC}">
              <c16:uniqueId val="{00000000-CBB6-4A54-A767-AFAEEA3F469A}"/>
            </c:ext>
          </c:extLst>
        </c:ser>
        <c:ser>
          <c:idx val="3"/>
          <c:order val="3"/>
          <c:tx>
            <c:v>輔助2</c:v>
          </c:tx>
          <c:spPr>
            <a:solidFill>
              <a:schemeClr val="accent2">
                <a:lumMod val="20000"/>
                <a:lumOff val="80000"/>
                <a:alpha val="20000"/>
              </a:schemeClr>
            </a:solidFill>
            <a:ln>
              <a:noFill/>
            </a:ln>
            <a:effectLst>
              <a:outerShdw blurRad="50800" dist="50800" dir="5400000" algn="ctr" rotWithShape="0">
                <a:srgbClr val="EBF1DE"/>
              </a:outerShdw>
            </a:effectLst>
          </c:spPr>
          <c:val>
            <c:numRef>
              <c:f>換券單檔!$E$41:$E$45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CBB6-4A54-A767-AFAEEA3F469A}"/>
            </c:ext>
          </c:extLst>
        </c:ser>
        <c:dLbls>
          <c:showLegendKey val="0"/>
          <c:showVal val="0"/>
          <c:showCatName val="0"/>
          <c:showSerName val="0"/>
          <c:showPercent val="0"/>
          <c:showBubbleSize val="0"/>
        </c:dLbls>
        <c:axId val="858044464"/>
        <c:axId val="858040200"/>
      </c:radarChart>
      <c:radarChart>
        <c:radarStyle val="marker"/>
        <c:varyColors val="0"/>
        <c:ser>
          <c:idx val="0"/>
          <c:order val="0"/>
          <c:tx>
            <c:strRef>
              <c:f>換券單檔!$D$40</c:f>
              <c:strCache>
                <c:ptCount val="1"/>
                <c:pt idx="0">
                  <c:v>XH430</c:v>
                </c:pt>
              </c:strCache>
            </c:strRef>
          </c:tx>
          <c:spPr>
            <a:ln w="12700" cap="rnd">
              <a:solidFill>
                <a:schemeClr val="tx1">
                  <a:lumMod val="75000"/>
                  <a:lumOff val="25000"/>
                </a:schemeClr>
              </a:solidFill>
              <a:round/>
            </a:ln>
            <a:effectLst/>
          </c:spPr>
          <c:marker>
            <c:symbol val="circle"/>
            <c:size val="8"/>
            <c:spPr>
              <a:solidFill>
                <a:schemeClr val="bg1"/>
              </a:solidFill>
              <a:ln w="12700">
                <a:solidFill>
                  <a:schemeClr val="tx1">
                    <a:lumMod val="75000"/>
                    <a:lumOff val="25000"/>
                  </a:schemeClr>
                </a:solidFill>
              </a:ln>
              <a:effectLst/>
            </c:spPr>
          </c:marker>
          <c:cat>
            <c:strRef>
              <c:f>換券單檔!$C$41:$C$45</c:f>
              <c:strCache>
                <c:ptCount val="5"/>
                <c:pt idx="0">
                  <c:v>年領利息
(XG540)</c:v>
                </c:pt>
                <c:pt idx="1">
                  <c:v>面額
(XG340)</c:v>
                </c:pt>
                <c:pt idx="2">
                  <c:v>殖利率
(XG540)</c:v>
                </c:pt>
                <c:pt idx="3">
                  <c:v>剩餘年期
(XG300)</c:v>
                </c:pt>
                <c:pt idx="4">
                  <c:v>增值潛力
(XG300)</c:v>
                </c:pt>
              </c:strCache>
            </c:strRef>
          </c:cat>
          <c:val>
            <c:numRef>
              <c:f>換券單檔!$D$41:$D$45</c:f>
              <c:numCache>
                <c:formatCode>0</c:formatCode>
                <c:ptCount val="5"/>
                <c:pt idx="0">
                  <c:v>3.2555797952676619</c:v>
                </c:pt>
                <c:pt idx="1">
                  <c:v>2.9708853238265003</c:v>
                </c:pt>
                <c:pt idx="2">
                  <c:v>3.1071973889048077</c:v>
                </c:pt>
                <c:pt idx="3">
                  <c:v>3.993632336655593</c:v>
                </c:pt>
                <c:pt idx="4">
                  <c:v>4.1615071763484233</c:v>
                </c:pt>
              </c:numCache>
            </c:numRef>
          </c:val>
          <c:extLst>
            <c:ext xmlns:c16="http://schemas.microsoft.com/office/drawing/2014/chart" uri="{C3380CC4-5D6E-409C-BE32-E72D297353CC}">
              <c16:uniqueId val="{00000002-CBB6-4A54-A767-AFAEEA3F469A}"/>
            </c:ext>
          </c:extLst>
        </c:ser>
        <c:ser>
          <c:idx val="1"/>
          <c:order val="1"/>
          <c:tx>
            <c:strRef>
              <c:f>換券單檔!$E$40</c:f>
              <c:strCache>
                <c:ptCount val="1"/>
              </c:strCache>
            </c:strRef>
          </c:tx>
          <c:spPr>
            <a:ln w="34925" cap="rnd">
              <a:solidFill>
                <a:srgbClr val="297D6B"/>
              </a:solidFill>
              <a:round/>
            </a:ln>
            <a:effectLst/>
          </c:spPr>
          <c:marker>
            <c:symbol val="circle"/>
            <c:size val="7"/>
            <c:spPr>
              <a:solidFill>
                <a:schemeClr val="bg1"/>
              </a:solidFill>
              <a:ln w="12700">
                <a:solidFill>
                  <a:srgbClr val="297D6B"/>
                </a:solidFill>
              </a:ln>
              <a:effectLst/>
            </c:spPr>
          </c:marker>
          <c:cat>
            <c:strRef>
              <c:f>換券單檔!$C$41:$C$45</c:f>
              <c:strCache>
                <c:ptCount val="5"/>
                <c:pt idx="0">
                  <c:v>年領利息
(XG540)</c:v>
                </c:pt>
                <c:pt idx="1">
                  <c:v>面額
(XG340)</c:v>
                </c:pt>
                <c:pt idx="2">
                  <c:v>殖利率
(XG540)</c:v>
                </c:pt>
                <c:pt idx="3">
                  <c:v>剩餘年期
(XG300)</c:v>
                </c:pt>
                <c:pt idx="4">
                  <c:v>增值潛力
(XG300)</c:v>
                </c:pt>
              </c:strCache>
            </c:strRef>
          </c:cat>
          <c:val>
            <c:numRef>
              <c:f>換券單檔!$E$41:$E$45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3-CBB6-4A54-A767-AFAEEA3F469A}"/>
            </c:ext>
          </c:extLst>
        </c:ser>
        <c:dLbls>
          <c:showLegendKey val="0"/>
          <c:showVal val="0"/>
          <c:showCatName val="0"/>
          <c:showSerName val="0"/>
          <c:showPercent val="0"/>
          <c:showBubbleSize val="0"/>
        </c:dLbls>
        <c:axId val="619618320"/>
        <c:axId val="619622256"/>
      </c:radarChart>
      <c:catAx>
        <c:axId val="8580444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zh-TW"/>
          </a:p>
        </c:txPr>
        <c:crossAx val="858040200"/>
        <c:crosses val="autoZero"/>
        <c:auto val="1"/>
        <c:lblAlgn val="ctr"/>
        <c:lblOffset val="100"/>
        <c:noMultiLvlLbl val="0"/>
      </c:catAx>
      <c:valAx>
        <c:axId val="8580402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ln>
                  <a:noFill/>
                </a:ln>
                <a:noFill/>
                <a:latin typeface="+mn-lt"/>
                <a:ea typeface="+mn-ea"/>
                <a:cs typeface="+mn-cs"/>
              </a:defRPr>
            </a:pPr>
            <a:endParaRPr lang="zh-TW"/>
          </a:p>
        </c:txPr>
        <c:crossAx val="858044464"/>
        <c:crosses val="autoZero"/>
        <c:crossBetween val="between"/>
        <c:majorUnit val="1"/>
      </c:valAx>
      <c:valAx>
        <c:axId val="619622256"/>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zh-TW"/>
          </a:p>
        </c:txPr>
        <c:crossAx val="619618320"/>
        <c:crosses val="autoZero"/>
        <c:crossBetween val="between"/>
      </c:valAx>
      <c:catAx>
        <c:axId val="619618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zh-TW"/>
          </a:p>
        </c:txPr>
        <c:crossAx val="619622256"/>
        <c:crosses val="autoZero"/>
        <c:auto val="1"/>
        <c:lblAlgn val="ctr"/>
        <c:lblOffset val="100"/>
        <c:noMultiLvlLbl val="0"/>
      </c:catAx>
      <c:spPr>
        <a:noFill/>
        <a:ln>
          <a:noFill/>
        </a:ln>
        <a:effectLst/>
      </c:spPr>
    </c:plotArea>
    <c:legend>
      <c:legendPos val="t"/>
      <c:legendEntry>
        <c:idx val="0"/>
        <c:delete val="1"/>
      </c:legendEntry>
      <c:legendEntry>
        <c:idx val="1"/>
        <c:delete val="1"/>
      </c:legendEntry>
      <c:layout>
        <c:manualLayout>
          <c:xMode val="edge"/>
          <c:yMode val="edge"/>
          <c:x val="0.77167469283150147"/>
          <c:y val="0.54342500365991953"/>
          <c:w val="0.10291268167086977"/>
          <c:h val="0.23537934732141746"/>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no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9.6581999673266625E-3"/>
          <c:y val="0.14699280918743951"/>
          <c:w val="0.98068360006534672"/>
          <c:h val="0.69189228429830918"/>
        </c:manualLayout>
      </c:layout>
      <c:barChart>
        <c:barDir val="col"/>
        <c:grouping val="clustered"/>
        <c:varyColors val="0"/>
        <c:ser>
          <c:idx val="1"/>
          <c:order val="0"/>
          <c:tx>
            <c:v>原庫存組合</c:v>
          </c:tx>
          <c:spPr>
            <a:pattFill prst="smGrid">
              <a:fgClr>
                <a:schemeClr val="bg1">
                  <a:lumMod val="95000"/>
                </a:schemeClr>
              </a:fgClr>
              <a:bgClr>
                <a:srgbClr val="EEECE1"/>
              </a:bgClr>
            </a:pattFill>
            <a:ln>
              <a:noFill/>
            </a:ln>
            <a:effectLst/>
          </c:spPr>
          <c:invertIfNegative val="0"/>
          <c:cat>
            <c:strRef>
              <c:f>Change投!$C$68:$C$78</c:f>
              <c:strCache>
                <c:ptCount val="11"/>
                <c:pt idx="0">
                  <c:v>政府</c:v>
                </c:pt>
                <c:pt idx="1">
                  <c:v>科技</c:v>
                </c:pt>
                <c:pt idx="2">
                  <c:v>醫療保健</c:v>
                </c:pt>
                <c:pt idx="3">
                  <c:v>工業</c:v>
                </c:pt>
                <c:pt idx="4">
                  <c:v>核心消費</c:v>
                </c:pt>
                <c:pt idx="5">
                  <c:v>通訊</c:v>
                </c:pt>
                <c:pt idx="6">
                  <c:v>非核心消費</c:v>
                </c:pt>
                <c:pt idx="7">
                  <c:v>金融</c:v>
                </c:pt>
                <c:pt idx="8">
                  <c:v>公用</c:v>
                </c:pt>
                <c:pt idx="9">
                  <c:v>原物料</c:v>
                </c:pt>
                <c:pt idx="10">
                  <c:v>能源</c:v>
                </c:pt>
              </c:strCache>
            </c:strRef>
          </c:cat>
          <c:val>
            <c:numRef>
              <c:f>'Tssco-bond portfolio(2)'!$D$68:$D$78</c:f>
              <c:numCache>
                <c:formatCode>0.00%</c:formatCode>
                <c:ptCount val="11"/>
                <c:pt idx="0">
                  <c:v>0</c:v>
                </c:pt>
                <c:pt idx="1">
                  <c:v>0.29518072289156627</c:v>
                </c:pt>
                <c:pt idx="2">
                  <c:v>0.26506024096385544</c:v>
                </c:pt>
                <c:pt idx="3">
                  <c:v>0</c:v>
                </c:pt>
                <c:pt idx="4">
                  <c:v>0</c:v>
                </c:pt>
                <c:pt idx="5">
                  <c:v>0.43975903614457834</c:v>
                </c:pt>
                <c:pt idx="6">
                  <c:v>0</c:v>
                </c:pt>
                <c:pt idx="7">
                  <c:v>0</c:v>
                </c:pt>
                <c:pt idx="8">
                  <c:v>0</c:v>
                </c:pt>
                <c:pt idx="9">
                  <c:v>0</c:v>
                </c:pt>
                <c:pt idx="10">
                  <c:v>0</c:v>
                </c:pt>
              </c:numCache>
            </c:numRef>
          </c:val>
          <c:extLst>
            <c:ext xmlns:c16="http://schemas.microsoft.com/office/drawing/2014/chart" uri="{C3380CC4-5D6E-409C-BE32-E72D297353CC}">
              <c16:uniqueId val="{00000000-3DA8-47B5-A9C6-D8571A080BC4}"/>
            </c:ext>
          </c:extLst>
        </c:ser>
        <c:ser>
          <c:idx val="0"/>
          <c:order val="1"/>
          <c:tx>
            <c:v>新庫存組合</c:v>
          </c:tx>
          <c:spPr>
            <a:gradFill flip="none" rotWithShape="1">
              <a:gsLst>
                <a:gs pos="0">
                  <a:srgbClr val="EEF5F4"/>
                </a:gs>
                <a:gs pos="100000">
                  <a:srgbClr val="297D6B"/>
                </a:gs>
                <a:gs pos="50000">
                  <a:srgbClr val="76C191"/>
                </a:gs>
              </a:gsLst>
              <a:lin ang="5400000" scaled="1"/>
              <a:tileRect/>
            </a:gradFill>
            <a:ln>
              <a:noFill/>
            </a:ln>
            <a:effectLst/>
          </c:spPr>
          <c:invertIfNegative val="0"/>
          <c:dLbls>
            <c:dLbl>
              <c:idx val="0"/>
              <c:tx>
                <c:rich>
                  <a:bodyPr/>
                  <a:lstStyle/>
                  <a:p>
                    <a:fld id="{A49E44D5-C297-4A1C-BBAC-9EAEBAF8A0D0}" type="CELLRANGE">
                      <a:rPr lang="en-US" altLang="zh-TW"/>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F46-4F33-94D7-1323597134C2}"/>
                </c:ext>
              </c:extLst>
            </c:dLbl>
            <c:dLbl>
              <c:idx val="1"/>
              <c:tx>
                <c:rich>
                  <a:bodyPr/>
                  <a:lstStyle/>
                  <a:p>
                    <a:fld id="{F084C32F-832F-4D0D-885D-70F805D3DA5E}"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2F46-4F33-94D7-1323597134C2}"/>
                </c:ext>
              </c:extLst>
            </c:dLbl>
            <c:dLbl>
              <c:idx val="2"/>
              <c:tx>
                <c:rich>
                  <a:bodyPr/>
                  <a:lstStyle/>
                  <a:p>
                    <a:fld id="{F1E9223D-DC0D-427C-A62C-2667D2B7AB56}"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F46-4F33-94D7-1323597134C2}"/>
                </c:ext>
              </c:extLst>
            </c:dLbl>
            <c:dLbl>
              <c:idx val="3"/>
              <c:tx>
                <c:rich>
                  <a:bodyPr/>
                  <a:lstStyle/>
                  <a:p>
                    <a:fld id="{B35391B1-8EE1-4E07-B6DA-4B241A2F1E07}"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F46-4F33-94D7-1323597134C2}"/>
                </c:ext>
              </c:extLst>
            </c:dLbl>
            <c:dLbl>
              <c:idx val="4"/>
              <c:tx>
                <c:rich>
                  <a:bodyPr/>
                  <a:lstStyle/>
                  <a:p>
                    <a:fld id="{FB7DDD86-D0F2-4865-BB7F-D65DD05E8491}"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F46-4F33-94D7-1323597134C2}"/>
                </c:ext>
              </c:extLst>
            </c:dLbl>
            <c:dLbl>
              <c:idx val="5"/>
              <c:tx>
                <c:rich>
                  <a:bodyPr/>
                  <a:lstStyle/>
                  <a:p>
                    <a:fld id="{27A008E7-CFB0-4FBA-9036-E0CDDF7B9FE5}"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F46-4F33-94D7-1323597134C2}"/>
                </c:ext>
              </c:extLst>
            </c:dLbl>
            <c:dLbl>
              <c:idx val="6"/>
              <c:tx>
                <c:rich>
                  <a:bodyPr/>
                  <a:lstStyle/>
                  <a:p>
                    <a:fld id="{2CE6B878-77FD-46FB-902D-632A086E1E94}"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F46-4F33-94D7-1323597134C2}"/>
                </c:ext>
              </c:extLst>
            </c:dLbl>
            <c:dLbl>
              <c:idx val="7"/>
              <c:tx>
                <c:rich>
                  <a:bodyPr/>
                  <a:lstStyle/>
                  <a:p>
                    <a:fld id="{DE744509-535E-4CA3-A310-33147A3FEE04}"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F46-4F33-94D7-1323597134C2}"/>
                </c:ext>
              </c:extLst>
            </c:dLbl>
            <c:dLbl>
              <c:idx val="8"/>
              <c:tx>
                <c:rich>
                  <a:bodyPr/>
                  <a:lstStyle/>
                  <a:p>
                    <a:fld id="{7ACA471E-C123-42DE-9F2B-9206462C3C61}"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F46-4F33-94D7-1323597134C2}"/>
                </c:ext>
              </c:extLst>
            </c:dLbl>
            <c:dLbl>
              <c:idx val="9"/>
              <c:tx>
                <c:rich>
                  <a:bodyPr/>
                  <a:lstStyle/>
                  <a:p>
                    <a:fld id="{DE1CF463-5329-492C-957F-121E5C216E37}"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F46-4F33-94D7-1323597134C2}"/>
                </c:ext>
              </c:extLst>
            </c:dLbl>
            <c:dLbl>
              <c:idx val="10"/>
              <c:tx>
                <c:rich>
                  <a:bodyPr/>
                  <a:lstStyle/>
                  <a:p>
                    <a:fld id="{06B07A68-D95B-45A3-8324-232F6FC9B1C7}"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F46-4F33-94D7-1323597134C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297D6B"/>
                    </a:solidFill>
                    <a:latin typeface="微軟正黑體" panose="020B0604030504040204" pitchFamily="34" charset="-120"/>
                    <a:ea typeface="微軟正黑體" panose="020B0604030504040204" pitchFamily="34" charset="-120"/>
                    <a:cs typeface="+mn-cs"/>
                  </a:defRPr>
                </a:pPr>
                <a:endParaRPr lang="zh-TW"/>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tx1">
                          <a:lumMod val="35000"/>
                          <a:lumOff val="65000"/>
                        </a:schemeClr>
                      </a:solidFill>
                    </a:ln>
                    <a:effectLst/>
                  </c:spPr>
                </c15:leaderLines>
              </c:ext>
            </c:extLst>
          </c:dLbls>
          <c:cat>
            <c:strRef>
              <c:f>Change投!$C$68:$C$78</c:f>
              <c:strCache>
                <c:ptCount val="11"/>
                <c:pt idx="0">
                  <c:v>政府</c:v>
                </c:pt>
                <c:pt idx="1">
                  <c:v>科技</c:v>
                </c:pt>
                <c:pt idx="2">
                  <c:v>醫療保健</c:v>
                </c:pt>
                <c:pt idx="3">
                  <c:v>工業</c:v>
                </c:pt>
                <c:pt idx="4">
                  <c:v>核心消費</c:v>
                </c:pt>
                <c:pt idx="5">
                  <c:v>通訊</c:v>
                </c:pt>
                <c:pt idx="6">
                  <c:v>非核心消費</c:v>
                </c:pt>
                <c:pt idx="7">
                  <c:v>金融</c:v>
                </c:pt>
                <c:pt idx="8">
                  <c:v>公用</c:v>
                </c:pt>
                <c:pt idx="9">
                  <c:v>原物料</c:v>
                </c:pt>
                <c:pt idx="10">
                  <c:v>能源</c:v>
                </c:pt>
              </c:strCache>
            </c:strRef>
          </c:cat>
          <c:val>
            <c:numRef>
              <c:f>Change投!$D$68:$D$78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Change投!$G$68:$G$78</c15:f>
                <c15:dlblRangeCache>
                  <c:ptCount val="11"/>
                </c15:dlblRangeCache>
              </c15:datalabelsRange>
            </c:ext>
            <c:ext xmlns:c16="http://schemas.microsoft.com/office/drawing/2014/chart" uri="{C3380CC4-5D6E-409C-BE32-E72D297353CC}">
              <c16:uniqueId val="{0000000D-3DA8-47B5-A9C6-D8571A080BC4}"/>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600" b="1" i="0" u="none" strike="noStrike" kern="1200" cap="none" spc="20" normalizeH="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numFmt formatCode="0.00%" sourceLinked="1"/>
        <c:majorTickMark val="none"/>
        <c:minorTickMark val="none"/>
        <c:tickLblPos val="nextTo"/>
        <c:crossAx val="478345600"/>
        <c:crosses val="autoZero"/>
        <c:crossBetween val="between"/>
      </c:valAx>
      <c:spPr>
        <a:noFill/>
        <a:ln>
          <a:noFill/>
        </a:ln>
        <a:effectLst/>
      </c:spPr>
    </c:plotArea>
    <c:legend>
      <c:legendPos val="t"/>
      <c:layout>
        <c:manualLayout>
          <c:xMode val="edge"/>
          <c:yMode val="edge"/>
          <c:x val="0.6721745700934938"/>
          <c:y val="2.9933329098614077E-2"/>
          <c:w val="0.32096886086119197"/>
          <c:h val="0.1206865503687181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no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00629732553898"/>
          <c:y val="0.15924674895464355"/>
          <c:w val="0.40234538381399138"/>
          <c:h val="0.72748408914362017"/>
        </c:manualLayout>
      </c:layout>
      <c:radarChart>
        <c:radarStyle val="filled"/>
        <c:varyColors val="0"/>
        <c:ser>
          <c:idx val="2"/>
          <c:order val="2"/>
          <c:tx>
            <c:v>輔助1</c:v>
          </c:tx>
          <c:spPr>
            <a:solidFill>
              <a:schemeClr val="accent1">
                <a:lumMod val="20000"/>
                <a:lumOff val="80000"/>
                <a:alpha val="35000"/>
              </a:schemeClr>
            </a:solidFill>
            <a:ln>
              <a:noFill/>
            </a:ln>
            <a:effectLst>
              <a:outerShdw blurRad="50800" dist="50800" dir="5400000" algn="ctr" rotWithShape="0">
                <a:schemeClr val="bg1">
                  <a:lumMod val="95000"/>
                </a:schemeClr>
              </a:outerShdw>
            </a:effectLst>
          </c:spPr>
          <c:val>
            <c:numRef>
              <c:f>換券投組!$D$62:$D$66</c:f>
              <c:numCache>
                <c:formatCode>0</c:formatCode>
                <c:ptCount val="5"/>
                <c:pt idx="0">
                  <c:v>5</c:v>
                </c:pt>
                <c:pt idx="1">
                  <c:v>3.6231884057971016</c:v>
                </c:pt>
                <c:pt idx="2">
                  <c:v>5</c:v>
                </c:pt>
                <c:pt idx="3">
                  <c:v>4.135687267341793</c:v>
                </c:pt>
                <c:pt idx="4">
                  <c:v>4.2826258943466922</c:v>
                </c:pt>
              </c:numCache>
            </c:numRef>
          </c:val>
          <c:extLst>
            <c:ext xmlns:c16="http://schemas.microsoft.com/office/drawing/2014/chart" uri="{C3380CC4-5D6E-409C-BE32-E72D297353CC}">
              <c16:uniqueId val="{00000000-4E43-4838-B7F2-ECF812A9EFA6}"/>
            </c:ext>
          </c:extLst>
        </c:ser>
        <c:ser>
          <c:idx val="3"/>
          <c:order val="3"/>
          <c:tx>
            <c:v>輔助2</c:v>
          </c:tx>
          <c:spPr>
            <a:solidFill>
              <a:schemeClr val="accent2">
                <a:lumMod val="20000"/>
                <a:lumOff val="80000"/>
                <a:alpha val="20000"/>
              </a:schemeClr>
            </a:solidFill>
            <a:ln>
              <a:noFill/>
            </a:ln>
            <a:effectLst>
              <a:outerShdw blurRad="50800" dist="50800" dir="5400000" algn="ctr" rotWithShape="0">
                <a:srgbClr val="EBF1DE"/>
              </a:outerShdw>
            </a:effectLst>
          </c:spPr>
          <c:val>
            <c:numRef>
              <c:f>換券投組!$E$62:$E$66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4E43-4838-B7F2-ECF812A9EFA6}"/>
            </c:ext>
          </c:extLst>
        </c:ser>
        <c:dLbls>
          <c:showLegendKey val="0"/>
          <c:showVal val="0"/>
          <c:showCatName val="0"/>
          <c:showSerName val="0"/>
          <c:showPercent val="0"/>
          <c:showBubbleSize val="0"/>
        </c:dLbls>
        <c:axId val="858044464"/>
        <c:axId val="858040200"/>
      </c:radarChart>
      <c:radarChart>
        <c:radarStyle val="marker"/>
        <c:varyColors val="0"/>
        <c:ser>
          <c:idx val="0"/>
          <c:order val="0"/>
          <c:tx>
            <c:strRef>
              <c:f>換券投組!$D$61</c:f>
              <c:strCache>
                <c:ptCount val="1"/>
                <c:pt idx="0">
                  <c:v>原庫存組合</c:v>
                </c:pt>
              </c:strCache>
            </c:strRef>
          </c:tx>
          <c:spPr>
            <a:ln w="12700" cap="rnd">
              <a:solidFill>
                <a:schemeClr val="tx1">
                  <a:lumMod val="75000"/>
                  <a:lumOff val="25000"/>
                </a:schemeClr>
              </a:solidFill>
              <a:round/>
            </a:ln>
            <a:effectLst/>
          </c:spPr>
          <c:marker>
            <c:symbol val="circle"/>
            <c:size val="6"/>
            <c:spPr>
              <a:solidFill>
                <a:schemeClr val="bg1"/>
              </a:solidFill>
              <a:ln w="12700">
                <a:solidFill>
                  <a:schemeClr val="tx1">
                    <a:lumMod val="75000"/>
                    <a:lumOff val="25000"/>
                  </a:schemeClr>
                </a:solidFill>
              </a:ln>
              <a:effectLst/>
            </c:spPr>
          </c:marker>
          <c:cat>
            <c:strRef>
              <c:f>換券投組!$C$62:$C$66</c:f>
              <c:strCache>
                <c:ptCount val="5"/>
                <c:pt idx="0">
                  <c:v>年領利息
(XH750)</c:v>
                </c:pt>
                <c:pt idx="1">
                  <c:v>面額
(XG300)</c:v>
                </c:pt>
                <c:pt idx="2">
                  <c:v>殖利率
(XH040)</c:v>
                </c:pt>
                <c:pt idx="3">
                  <c:v>剩餘年期
(XG300)</c:v>
                </c:pt>
                <c:pt idx="4">
                  <c:v>增值潛力
(XG300)</c:v>
                </c:pt>
              </c:strCache>
            </c:strRef>
          </c:cat>
          <c:val>
            <c:numRef>
              <c:f>換券投組!$D$62:$D$66</c:f>
              <c:numCache>
                <c:formatCode>0</c:formatCode>
                <c:ptCount val="5"/>
                <c:pt idx="0">
                  <c:v>5</c:v>
                </c:pt>
                <c:pt idx="1">
                  <c:v>3.6231884057971016</c:v>
                </c:pt>
                <c:pt idx="2">
                  <c:v>5</c:v>
                </c:pt>
                <c:pt idx="3">
                  <c:v>4.135687267341793</c:v>
                </c:pt>
                <c:pt idx="4">
                  <c:v>4.2826258943466922</c:v>
                </c:pt>
              </c:numCache>
            </c:numRef>
          </c:val>
          <c:extLst>
            <c:ext xmlns:c16="http://schemas.microsoft.com/office/drawing/2014/chart" uri="{C3380CC4-5D6E-409C-BE32-E72D297353CC}">
              <c16:uniqueId val="{00000002-4E43-4838-B7F2-ECF812A9EFA6}"/>
            </c:ext>
          </c:extLst>
        </c:ser>
        <c:ser>
          <c:idx val="1"/>
          <c:order val="1"/>
          <c:tx>
            <c:strRef>
              <c:f>換券投組!$E$61</c:f>
              <c:strCache>
                <c:ptCount val="1"/>
                <c:pt idx="0">
                  <c:v>新庫存組合</c:v>
                </c:pt>
              </c:strCache>
            </c:strRef>
          </c:tx>
          <c:spPr>
            <a:ln w="34925" cap="rnd">
              <a:solidFill>
                <a:srgbClr val="297D6B"/>
              </a:solidFill>
              <a:round/>
            </a:ln>
            <a:effectLst/>
          </c:spPr>
          <c:marker>
            <c:symbol val="circle"/>
            <c:size val="8"/>
            <c:spPr>
              <a:solidFill>
                <a:schemeClr val="bg1"/>
              </a:solidFill>
              <a:ln w="12700">
                <a:solidFill>
                  <a:srgbClr val="297D6B"/>
                </a:solidFill>
              </a:ln>
              <a:effectLst/>
            </c:spPr>
          </c:marker>
          <c:cat>
            <c:strRef>
              <c:f>換券投組!$C$62:$C$66</c:f>
              <c:strCache>
                <c:ptCount val="5"/>
                <c:pt idx="0">
                  <c:v>年領利息
(XH750)</c:v>
                </c:pt>
                <c:pt idx="1">
                  <c:v>面額
(XG300)</c:v>
                </c:pt>
                <c:pt idx="2">
                  <c:v>殖利率
(XH040)</c:v>
                </c:pt>
                <c:pt idx="3">
                  <c:v>剩餘年期
(XG300)</c:v>
                </c:pt>
                <c:pt idx="4">
                  <c:v>增值潛力
(XG300)</c:v>
                </c:pt>
              </c:strCache>
            </c:strRef>
          </c:cat>
          <c:val>
            <c:numRef>
              <c:f>換券投組!$E$62:$E$66</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3-4E43-4838-B7F2-ECF812A9EFA6}"/>
            </c:ext>
          </c:extLst>
        </c:ser>
        <c:dLbls>
          <c:showLegendKey val="0"/>
          <c:showVal val="0"/>
          <c:showCatName val="0"/>
          <c:showSerName val="0"/>
          <c:showPercent val="0"/>
          <c:showBubbleSize val="0"/>
        </c:dLbls>
        <c:axId val="619618320"/>
        <c:axId val="619622256"/>
      </c:radarChart>
      <c:catAx>
        <c:axId val="8580444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zh-TW"/>
          </a:p>
        </c:txPr>
        <c:crossAx val="858040200"/>
        <c:crosses val="autoZero"/>
        <c:auto val="1"/>
        <c:lblAlgn val="ctr"/>
        <c:lblOffset val="100"/>
        <c:noMultiLvlLbl val="0"/>
      </c:catAx>
      <c:valAx>
        <c:axId val="8580402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ln>
                  <a:noFill/>
                </a:ln>
                <a:noFill/>
                <a:latin typeface="+mn-lt"/>
                <a:ea typeface="+mn-ea"/>
                <a:cs typeface="+mn-cs"/>
              </a:defRPr>
            </a:pPr>
            <a:endParaRPr lang="zh-TW"/>
          </a:p>
        </c:txPr>
        <c:crossAx val="858044464"/>
        <c:crosses val="autoZero"/>
        <c:crossBetween val="between"/>
        <c:majorUnit val="1"/>
      </c:valAx>
      <c:valAx>
        <c:axId val="619622256"/>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zh-TW"/>
          </a:p>
        </c:txPr>
        <c:crossAx val="619618320"/>
        <c:crosses val="autoZero"/>
        <c:crossBetween val="between"/>
      </c:valAx>
      <c:catAx>
        <c:axId val="619618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zh-TW"/>
          </a:p>
        </c:txPr>
        <c:crossAx val="619622256"/>
        <c:crosses val="autoZero"/>
        <c:auto val="1"/>
        <c:lblAlgn val="ctr"/>
        <c:lblOffset val="100"/>
        <c:noMultiLvlLbl val="0"/>
      </c:catAx>
      <c:spPr>
        <a:noFill/>
        <a:ln>
          <a:noFill/>
        </a:ln>
        <a:effectLst/>
      </c:spPr>
    </c:plotArea>
    <c:legend>
      <c:legendPos val="r"/>
      <c:legendEntry>
        <c:idx val="0"/>
        <c:delete val="1"/>
      </c:legendEntry>
      <c:legendEntry>
        <c:idx val="1"/>
        <c:delete val="1"/>
      </c:legendEntry>
      <c:layout>
        <c:manualLayout>
          <c:xMode val="edge"/>
          <c:yMode val="edge"/>
          <c:x val="0.8118561753589334"/>
          <c:y val="8.4152973911046577E-2"/>
          <c:w val="0.12827988043709096"/>
          <c:h val="0.15785121036940988"/>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no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9.6581999673266625E-3"/>
          <c:y val="0.16606607942192933"/>
          <c:w val="0.98068360006534672"/>
          <c:h val="0.67281869625389479"/>
        </c:manualLayout>
      </c:layout>
      <c:barChart>
        <c:barDir val="col"/>
        <c:grouping val="clustered"/>
        <c:varyColors val="0"/>
        <c:ser>
          <c:idx val="1"/>
          <c:order val="0"/>
          <c:tx>
            <c:v>原庫存組合</c:v>
          </c:tx>
          <c:spPr>
            <a:pattFill prst="smGrid">
              <a:fgClr>
                <a:schemeClr val="bg1">
                  <a:lumMod val="95000"/>
                </a:schemeClr>
              </a:fgClr>
              <a:bgClr>
                <a:srgbClr val="EEECE1"/>
              </a:bgClr>
            </a:pattFill>
            <a:ln>
              <a:noFill/>
            </a:ln>
            <a:effectLst/>
          </c:spPr>
          <c:invertIfNegative val="0"/>
          <c:cat>
            <c:strRef>
              <c:f>Change投!$D$19:$D$30</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'Tssco-bond portfolio(2)'!$C$19:$C$30</c:f>
              <c:numCache>
                <c:formatCode>_(* #,##0.00_);_(* \(#,##0.00\);_(* "-"??_);_(@_)</c:formatCode>
                <c:ptCount val="12"/>
                <c:pt idx="0">
                  <c:v>0</c:v>
                </c:pt>
                <c:pt idx="1">
                  <c:v>5787.5</c:v>
                </c:pt>
                <c:pt idx="2">
                  <c:v>0</c:v>
                </c:pt>
                <c:pt idx="3">
                  <c:v>0</c:v>
                </c:pt>
                <c:pt idx="4">
                  <c:v>2424.9999999999995</c:v>
                </c:pt>
                <c:pt idx="5">
                  <c:v>0</c:v>
                </c:pt>
                <c:pt idx="6">
                  <c:v>0</c:v>
                </c:pt>
                <c:pt idx="7">
                  <c:v>5787.5</c:v>
                </c:pt>
                <c:pt idx="8">
                  <c:v>0</c:v>
                </c:pt>
                <c:pt idx="9">
                  <c:v>0</c:v>
                </c:pt>
                <c:pt idx="10">
                  <c:v>2424.9999999999995</c:v>
                </c:pt>
                <c:pt idx="11">
                  <c:v>0</c:v>
                </c:pt>
              </c:numCache>
            </c:numRef>
          </c:val>
          <c:extLst>
            <c:ext xmlns:c16="http://schemas.microsoft.com/office/drawing/2014/chart" uri="{C3380CC4-5D6E-409C-BE32-E72D297353CC}">
              <c16:uniqueId val="{00000000-4AEC-4E38-B9E3-C41D5690CF35}"/>
            </c:ext>
          </c:extLst>
        </c:ser>
        <c:ser>
          <c:idx val="0"/>
          <c:order val="1"/>
          <c:tx>
            <c:v>新庫存組合</c:v>
          </c:tx>
          <c:spPr>
            <a:gradFill flip="none" rotWithShape="1">
              <a:gsLst>
                <a:gs pos="0">
                  <a:srgbClr val="EEF5F4"/>
                </a:gs>
                <a:gs pos="100000">
                  <a:srgbClr val="297D6B"/>
                </a:gs>
                <a:gs pos="50000">
                  <a:srgbClr val="76C191"/>
                </a:gs>
              </a:gsLst>
              <a:lin ang="5400000" scaled="1"/>
              <a:tileRect/>
            </a:gradFill>
            <a:ln>
              <a:noFill/>
            </a:ln>
            <a:effectLst/>
          </c:spPr>
          <c:invertIfNegative val="0"/>
          <c:dLbls>
            <c:dLbl>
              <c:idx val="0"/>
              <c:tx>
                <c:rich>
                  <a:bodyPr/>
                  <a:lstStyle/>
                  <a:p>
                    <a:fld id="{EA0CE69E-EF39-402B-9E67-EC51914E5E1A}" type="CELLRANGE">
                      <a:rPr lang="en-US" altLang="zh-TW"/>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4AEC-4E38-B9E3-C41D5690CF35}"/>
                </c:ext>
              </c:extLst>
            </c:dLbl>
            <c:dLbl>
              <c:idx val="1"/>
              <c:tx>
                <c:rich>
                  <a:bodyPr/>
                  <a:lstStyle/>
                  <a:p>
                    <a:fld id="{215409B3-E4F2-460E-A585-E147FE19BF3D}"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4AEC-4E38-B9E3-C41D5690CF35}"/>
                </c:ext>
              </c:extLst>
            </c:dLbl>
            <c:dLbl>
              <c:idx val="2"/>
              <c:tx>
                <c:rich>
                  <a:bodyPr/>
                  <a:lstStyle/>
                  <a:p>
                    <a:fld id="{65AE03EF-2DB5-48FB-9C3F-6F14AF61734F}"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AEC-4E38-B9E3-C41D5690CF35}"/>
                </c:ext>
              </c:extLst>
            </c:dLbl>
            <c:dLbl>
              <c:idx val="3"/>
              <c:tx>
                <c:rich>
                  <a:bodyPr/>
                  <a:lstStyle/>
                  <a:p>
                    <a:fld id="{7E5A3DC8-911F-4DF3-BB4A-BE7016231B49}"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AEC-4E38-B9E3-C41D5690CF35}"/>
                </c:ext>
              </c:extLst>
            </c:dLbl>
            <c:dLbl>
              <c:idx val="4"/>
              <c:tx>
                <c:rich>
                  <a:bodyPr/>
                  <a:lstStyle/>
                  <a:p>
                    <a:fld id="{58282C4F-823D-41DE-A513-8EF12CF60882}"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AEC-4E38-B9E3-C41D5690CF35}"/>
                </c:ext>
              </c:extLst>
            </c:dLbl>
            <c:dLbl>
              <c:idx val="5"/>
              <c:tx>
                <c:rich>
                  <a:bodyPr/>
                  <a:lstStyle/>
                  <a:p>
                    <a:fld id="{CCF9A52B-7AF6-4109-B7E0-8DB86D2927A7}"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AEC-4E38-B9E3-C41D5690CF35}"/>
                </c:ext>
              </c:extLst>
            </c:dLbl>
            <c:dLbl>
              <c:idx val="6"/>
              <c:tx>
                <c:rich>
                  <a:bodyPr/>
                  <a:lstStyle/>
                  <a:p>
                    <a:fld id="{E4111DF5-0389-4642-9DED-52B8DF3F86D3}"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AEC-4E38-B9E3-C41D5690CF35}"/>
                </c:ext>
              </c:extLst>
            </c:dLbl>
            <c:dLbl>
              <c:idx val="7"/>
              <c:tx>
                <c:rich>
                  <a:bodyPr/>
                  <a:lstStyle/>
                  <a:p>
                    <a:fld id="{D704A660-2635-4A59-A089-5A4AE30E0724}"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AEC-4E38-B9E3-C41D5690CF35}"/>
                </c:ext>
              </c:extLst>
            </c:dLbl>
            <c:dLbl>
              <c:idx val="8"/>
              <c:tx>
                <c:rich>
                  <a:bodyPr/>
                  <a:lstStyle/>
                  <a:p>
                    <a:fld id="{75311412-04E9-415D-9432-3FF949782417}"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AEC-4E38-B9E3-C41D5690CF35}"/>
                </c:ext>
              </c:extLst>
            </c:dLbl>
            <c:dLbl>
              <c:idx val="9"/>
              <c:tx>
                <c:rich>
                  <a:bodyPr/>
                  <a:lstStyle/>
                  <a:p>
                    <a:fld id="{B12B140E-BD3C-4648-88E3-E7821F229EAE}"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AEC-4E38-B9E3-C41D5690CF35}"/>
                </c:ext>
              </c:extLst>
            </c:dLbl>
            <c:dLbl>
              <c:idx val="10"/>
              <c:tx>
                <c:rich>
                  <a:bodyPr/>
                  <a:lstStyle/>
                  <a:p>
                    <a:fld id="{B29E6C91-457B-4D51-AA8A-DE8223ED2986}"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AEC-4E38-B9E3-C41D5690CF35}"/>
                </c:ext>
              </c:extLst>
            </c:dLbl>
            <c:dLbl>
              <c:idx val="11"/>
              <c:tx>
                <c:rich>
                  <a:bodyPr/>
                  <a:lstStyle/>
                  <a:p>
                    <a:fld id="{F3AA31F7-94C3-49DF-8D39-083D3CA861C2}"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AEC-4E38-B9E3-C41D5690CF35}"/>
                </c:ext>
              </c:extLst>
            </c:dLbl>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rgbClr val="297D6B"/>
                    </a:solidFill>
                    <a:latin typeface="微軟正黑體" panose="020B0604030504040204" pitchFamily="34" charset="-120"/>
                    <a:ea typeface="微軟正黑體" panose="020B0604030504040204" pitchFamily="34" charset="-120"/>
                    <a:cs typeface="+mn-cs"/>
                  </a:defRPr>
                </a:pPr>
                <a:endParaRPr lang="zh-TW"/>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tx1">
                          <a:lumMod val="35000"/>
                          <a:lumOff val="65000"/>
                        </a:schemeClr>
                      </a:solidFill>
                    </a:ln>
                    <a:effectLst/>
                  </c:spPr>
                </c15:leaderLines>
              </c:ext>
            </c:extLst>
          </c:dLbls>
          <c:cat>
            <c:strRef>
              <c:f>Change投!$D$19:$D$30</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Change投!$C$19:$C$30</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Change投!$G$19:$G$30</c15:f>
                <c15:dlblRangeCache>
                  <c:ptCount val="12"/>
                </c15:dlblRangeCache>
              </c15:datalabelsRange>
            </c:ext>
            <c:ext xmlns:c16="http://schemas.microsoft.com/office/drawing/2014/chart" uri="{C3380CC4-5D6E-409C-BE32-E72D297353CC}">
              <c16:uniqueId val="{0000000D-4AEC-4E38-B9E3-C41D5690CF35}"/>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600" b="1" i="0" u="none" strike="noStrike" kern="1200" cap="none" spc="20" normalizeH="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numFmt formatCode="_(* #,##0.00_);_(* \(#,##0.00\);_(* &quot;-&quot;??_);_(@_)" sourceLinked="1"/>
        <c:majorTickMark val="none"/>
        <c:minorTickMark val="none"/>
        <c:tickLblPos val="nextTo"/>
        <c:crossAx val="478345600"/>
        <c:crosses val="autoZero"/>
        <c:crossBetween val="between"/>
      </c:valAx>
      <c:spPr>
        <a:noFill/>
        <a:ln>
          <a:noFill/>
        </a:ln>
        <a:effectLst/>
      </c:spPr>
    </c:plotArea>
    <c:legend>
      <c:legendPos val="t"/>
      <c:layout>
        <c:manualLayout>
          <c:xMode val="edge"/>
          <c:yMode val="edge"/>
          <c:x val="0.6442047226839297"/>
          <c:y val="7.9096062791063383E-3"/>
          <c:w val="0.35137534867488757"/>
          <c:h val="0.1206865503687181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no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9.6581999673266625E-3"/>
          <c:y val="0.14699280918743951"/>
          <c:w val="0.98068360006534672"/>
          <c:h val="0.69189228429830918"/>
        </c:manualLayout>
      </c:layout>
      <c:barChart>
        <c:barDir val="col"/>
        <c:grouping val="clustered"/>
        <c:varyColors val="0"/>
        <c:ser>
          <c:idx val="1"/>
          <c:order val="0"/>
          <c:tx>
            <c:v>原庫存組合</c:v>
          </c:tx>
          <c:spPr>
            <a:pattFill prst="smGrid">
              <a:fgClr>
                <a:schemeClr val="bg1">
                  <a:lumMod val="95000"/>
                </a:schemeClr>
              </a:fgClr>
              <a:bgClr>
                <a:srgbClr val="EEECE1"/>
              </a:bgClr>
            </a:pattFill>
            <a:ln>
              <a:noFill/>
            </a:ln>
            <a:effectLst/>
          </c:spPr>
          <c:invertIfNegative val="0"/>
          <c:cat>
            <c:strRef>
              <c:f>Change投!$C$68:$C$78</c:f>
              <c:strCache>
                <c:ptCount val="11"/>
                <c:pt idx="0">
                  <c:v>政府</c:v>
                </c:pt>
                <c:pt idx="1">
                  <c:v>科技</c:v>
                </c:pt>
                <c:pt idx="2">
                  <c:v>醫療保健</c:v>
                </c:pt>
                <c:pt idx="3">
                  <c:v>工業</c:v>
                </c:pt>
                <c:pt idx="4">
                  <c:v>核心消費</c:v>
                </c:pt>
                <c:pt idx="5">
                  <c:v>通訊</c:v>
                </c:pt>
                <c:pt idx="6">
                  <c:v>非核心消費</c:v>
                </c:pt>
                <c:pt idx="7">
                  <c:v>金融</c:v>
                </c:pt>
                <c:pt idx="8">
                  <c:v>公用</c:v>
                </c:pt>
                <c:pt idx="9">
                  <c:v>原物料</c:v>
                </c:pt>
                <c:pt idx="10">
                  <c:v>能源</c:v>
                </c:pt>
              </c:strCache>
            </c:strRef>
          </c:cat>
          <c:val>
            <c:numRef>
              <c:f>'Tssco-bond portfolio(2)'!$D$68:$D$78</c:f>
              <c:numCache>
                <c:formatCode>0.00%</c:formatCode>
                <c:ptCount val="11"/>
                <c:pt idx="0">
                  <c:v>0</c:v>
                </c:pt>
                <c:pt idx="1">
                  <c:v>0.29518072289156627</c:v>
                </c:pt>
                <c:pt idx="2">
                  <c:v>0.26506024096385544</c:v>
                </c:pt>
                <c:pt idx="3">
                  <c:v>0</c:v>
                </c:pt>
                <c:pt idx="4">
                  <c:v>0</c:v>
                </c:pt>
                <c:pt idx="5">
                  <c:v>0.43975903614457834</c:v>
                </c:pt>
                <c:pt idx="6">
                  <c:v>0</c:v>
                </c:pt>
                <c:pt idx="7">
                  <c:v>0</c:v>
                </c:pt>
                <c:pt idx="8">
                  <c:v>0</c:v>
                </c:pt>
                <c:pt idx="9">
                  <c:v>0</c:v>
                </c:pt>
                <c:pt idx="10">
                  <c:v>0</c:v>
                </c:pt>
              </c:numCache>
            </c:numRef>
          </c:val>
          <c:extLst>
            <c:ext xmlns:c16="http://schemas.microsoft.com/office/drawing/2014/chart" uri="{C3380CC4-5D6E-409C-BE32-E72D297353CC}">
              <c16:uniqueId val="{00000000-6C29-461C-B19B-6138092944C4}"/>
            </c:ext>
          </c:extLst>
        </c:ser>
        <c:ser>
          <c:idx val="0"/>
          <c:order val="1"/>
          <c:tx>
            <c:v>新庫存組合</c:v>
          </c:tx>
          <c:spPr>
            <a:gradFill flip="none" rotWithShape="1">
              <a:gsLst>
                <a:gs pos="0">
                  <a:srgbClr val="EEF5F4"/>
                </a:gs>
                <a:gs pos="100000">
                  <a:srgbClr val="297D6B"/>
                </a:gs>
                <a:gs pos="50000">
                  <a:srgbClr val="76C191"/>
                </a:gs>
              </a:gsLst>
              <a:lin ang="5400000" scaled="1"/>
              <a:tileRect/>
            </a:gradFill>
            <a:ln>
              <a:noFill/>
            </a:ln>
            <a:effectLst/>
          </c:spPr>
          <c:invertIfNegative val="0"/>
          <c:dLbls>
            <c:dLbl>
              <c:idx val="0"/>
              <c:tx>
                <c:rich>
                  <a:bodyPr/>
                  <a:lstStyle/>
                  <a:p>
                    <a:fld id="{A4F65E71-A9E4-49EA-BA71-9786A0D5C3F7}" type="CELLRANGE">
                      <a:rPr lang="en-US" altLang="zh-TW"/>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C208-40EB-AAE0-B6CDDDA18665}"/>
                </c:ext>
              </c:extLst>
            </c:dLbl>
            <c:dLbl>
              <c:idx val="1"/>
              <c:tx>
                <c:rich>
                  <a:bodyPr/>
                  <a:lstStyle/>
                  <a:p>
                    <a:fld id="{A04A54FC-DF3D-40D4-890C-5BC8495D797E}"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208-40EB-AAE0-B6CDDDA18665}"/>
                </c:ext>
              </c:extLst>
            </c:dLbl>
            <c:dLbl>
              <c:idx val="2"/>
              <c:tx>
                <c:rich>
                  <a:bodyPr/>
                  <a:lstStyle/>
                  <a:p>
                    <a:fld id="{25FE98C5-35F8-41C6-B83E-EFE6F9F9FEBD}"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C208-40EB-AAE0-B6CDDDA18665}"/>
                </c:ext>
              </c:extLst>
            </c:dLbl>
            <c:dLbl>
              <c:idx val="3"/>
              <c:tx>
                <c:rich>
                  <a:bodyPr/>
                  <a:lstStyle/>
                  <a:p>
                    <a:fld id="{EEDDFE2A-F3B3-4C7F-851E-FFDCBC712F74}"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C208-40EB-AAE0-B6CDDDA18665}"/>
                </c:ext>
              </c:extLst>
            </c:dLbl>
            <c:dLbl>
              <c:idx val="4"/>
              <c:tx>
                <c:rich>
                  <a:bodyPr/>
                  <a:lstStyle/>
                  <a:p>
                    <a:fld id="{CA643692-F82B-4B62-AFF8-51727DB6A2A3}"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208-40EB-AAE0-B6CDDDA18665}"/>
                </c:ext>
              </c:extLst>
            </c:dLbl>
            <c:dLbl>
              <c:idx val="5"/>
              <c:tx>
                <c:rich>
                  <a:bodyPr/>
                  <a:lstStyle/>
                  <a:p>
                    <a:fld id="{BDD088A5-90C9-47FB-8F38-0C19882735FD}"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C208-40EB-AAE0-B6CDDDA18665}"/>
                </c:ext>
              </c:extLst>
            </c:dLbl>
            <c:dLbl>
              <c:idx val="6"/>
              <c:tx>
                <c:rich>
                  <a:bodyPr/>
                  <a:lstStyle/>
                  <a:p>
                    <a:fld id="{C550A408-158E-41DC-BCD4-AEED8F4B79B3}"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C208-40EB-AAE0-B6CDDDA18665}"/>
                </c:ext>
              </c:extLst>
            </c:dLbl>
            <c:dLbl>
              <c:idx val="7"/>
              <c:tx>
                <c:rich>
                  <a:bodyPr/>
                  <a:lstStyle/>
                  <a:p>
                    <a:fld id="{ED3CAF89-422C-4DFD-9AC0-7430B852AB9A}"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C208-40EB-AAE0-B6CDDDA18665}"/>
                </c:ext>
              </c:extLst>
            </c:dLbl>
            <c:dLbl>
              <c:idx val="8"/>
              <c:tx>
                <c:rich>
                  <a:bodyPr/>
                  <a:lstStyle/>
                  <a:p>
                    <a:fld id="{2917344E-2898-48DE-9508-89E9ACE6A40C}"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C208-40EB-AAE0-B6CDDDA18665}"/>
                </c:ext>
              </c:extLst>
            </c:dLbl>
            <c:dLbl>
              <c:idx val="9"/>
              <c:tx>
                <c:rich>
                  <a:bodyPr/>
                  <a:lstStyle/>
                  <a:p>
                    <a:fld id="{61182E1E-6B93-47BF-8E53-3E3E584D677D}"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C208-40EB-AAE0-B6CDDDA18665}"/>
                </c:ext>
              </c:extLst>
            </c:dLbl>
            <c:dLbl>
              <c:idx val="10"/>
              <c:tx>
                <c:rich>
                  <a:bodyPr/>
                  <a:lstStyle/>
                  <a:p>
                    <a:fld id="{14C98A78-3052-4D0A-BF10-1BD3CAC38BD2}" type="CELLRANGE">
                      <a:rPr lang="zh-TW" altLang="en-US"/>
                      <a:pPr/>
                      <a:t>[CELLRANGE]</a:t>
                    </a:fld>
                    <a:endParaRPr lang="zh-TW" alt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C208-40EB-AAE0-B6CDDDA18665}"/>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297D6B"/>
                    </a:solidFill>
                    <a:latin typeface="微軟正黑體" panose="020B0604030504040204" pitchFamily="34" charset="-120"/>
                    <a:ea typeface="微軟正黑體" panose="020B0604030504040204" pitchFamily="34" charset="-120"/>
                    <a:cs typeface="+mn-cs"/>
                  </a:defRPr>
                </a:pPr>
                <a:endParaRPr lang="zh-TW"/>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a:solidFill>
                        <a:schemeClr val="tx1">
                          <a:lumMod val="35000"/>
                          <a:lumOff val="65000"/>
                        </a:schemeClr>
                      </a:solidFill>
                    </a:ln>
                    <a:effectLst/>
                  </c:spPr>
                </c15:leaderLines>
              </c:ext>
            </c:extLst>
          </c:dLbls>
          <c:cat>
            <c:strRef>
              <c:f>Change投!$C$68:$C$78</c:f>
              <c:strCache>
                <c:ptCount val="11"/>
                <c:pt idx="0">
                  <c:v>政府</c:v>
                </c:pt>
                <c:pt idx="1">
                  <c:v>科技</c:v>
                </c:pt>
                <c:pt idx="2">
                  <c:v>醫療保健</c:v>
                </c:pt>
                <c:pt idx="3">
                  <c:v>工業</c:v>
                </c:pt>
                <c:pt idx="4">
                  <c:v>核心消費</c:v>
                </c:pt>
                <c:pt idx="5">
                  <c:v>通訊</c:v>
                </c:pt>
                <c:pt idx="6">
                  <c:v>非核心消費</c:v>
                </c:pt>
                <c:pt idx="7">
                  <c:v>金融</c:v>
                </c:pt>
                <c:pt idx="8">
                  <c:v>公用</c:v>
                </c:pt>
                <c:pt idx="9">
                  <c:v>原物料</c:v>
                </c:pt>
                <c:pt idx="10">
                  <c:v>能源</c:v>
                </c:pt>
              </c:strCache>
            </c:strRef>
          </c:cat>
          <c:val>
            <c:numRef>
              <c:f>Change投!$D$68:$D$78</c:f>
              <c:numCache>
                <c:formatCode>0.00%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Change投!$G$68:$G$78</c15:f>
                <c15:dlblRangeCache>
                  <c:ptCount val="11"/>
                </c15:dlblRangeCache>
              </c15:datalabelsRange>
            </c:ext>
            <c:ext xmlns:c16="http://schemas.microsoft.com/office/drawing/2014/chart" uri="{C3380CC4-5D6E-409C-BE32-E72D297353CC}">
              <c16:uniqueId val="{00000001-6C29-461C-B19B-6138092944C4}"/>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600" b="1" i="0" u="none" strike="noStrike" kern="1200" cap="none" spc="20" normalizeH="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numFmt formatCode="0.00%" sourceLinked="1"/>
        <c:majorTickMark val="none"/>
        <c:minorTickMark val="none"/>
        <c:tickLblPos val="nextTo"/>
        <c:crossAx val="478345600"/>
        <c:crosses val="autoZero"/>
        <c:crossBetween val="between"/>
      </c:valAx>
      <c:spPr>
        <a:noFill/>
        <a:ln>
          <a:noFill/>
        </a:ln>
        <a:effectLst/>
      </c:spPr>
    </c:plotArea>
    <c:legend>
      <c:legendPos val="t"/>
      <c:layout>
        <c:manualLayout>
          <c:xMode val="edge"/>
          <c:yMode val="edge"/>
          <c:x val="0.6721745700934938"/>
          <c:y val="2.9933329098614077E-2"/>
          <c:w val="0.32096886086119197"/>
          <c:h val="0.1206865503687181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no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3.4348012939943252E-2"/>
          <c:y val="8.8029018096407244E-2"/>
          <c:w val="0.94430430116853015"/>
          <c:h val="0.78659670001030246"/>
        </c:manualLayout>
      </c:layout>
      <c:barChart>
        <c:barDir val="col"/>
        <c:grouping val="clustered"/>
        <c:varyColors val="0"/>
        <c:ser>
          <c:idx val="1"/>
          <c:order val="0"/>
          <c:tx>
            <c:strRef>
              <c:f>績效圖!$D$15</c:f>
              <c:strCache>
                <c:ptCount val="1"/>
                <c:pt idx="0">
                  <c:v>b) 利息報酬率</c:v>
                </c:pt>
              </c:strCache>
            </c:strRef>
          </c:tx>
          <c:spPr>
            <a:solidFill>
              <a:srgbClr val="297D6B"/>
            </a:solidFill>
            <a:ln>
              <a:noFill/>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XG300</c:v>
                  </c:pt>
                  <c:pt idx="2">
                    <c:v>XH750</c:v>
                  </c:pt>
                  <c:pt idx="3">
                    <c:v>XH040</c:v>
                  </c:pt>
                </c:lvl>
                <c:lvl>
                  <c:pt idx="0">
                    <c:v>蘋果公</c:v>
                  </c:pt>
                  <c:pt idx="1">
                    <c:v>Alp</c:v>
                  </c:pt>
                  <c:pt idx="2">
                    <c:v>禮來公</c:v>
                  </c:pt>
                  <c:pt idx="3">
                    <c:v>MET</c:v>
                  </c:pt>
                </c:lvl>
              </c:multiLvlStrCache>
            </c:multiLvlStrRef>
          </c:cat>
          <c:val>
            <c:numRef>
              <c:f>績效圖!$E$15:$P$15</c:f>
            </c:numRef>
          </c:val>
          <c:extLst>
            <c:ext xmlns:c16="http://schemas.microsoft.com/office/drawing/2014/chart" uri="{C3380CC4-5D6E-409C-BE32-E72D297353CC}">
              <c16:uniqueId val="{00000000-AC40-40D0-B02A-D1DE78939714}"/>
            </c:ext>
          </c:extLst>
        </c:ser>
        <c:ser>
          <c:idx val="6"/>
          <c:order val="1"/>
          <c:tx>
            <c:v>利息報酬率(台幣)</c:v>
          </c:tx>
          <c:spPr>
            <a:solidFill>
              <a:srgbClr val="297D6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績效圖!$E$10:$P$11</c:f>
              <c:multiLvlStrCache>
                <c:ptCount val="4"/>
                <c:lvl>
                  <c:pt idx="0">
                    <c:v>XH430</c:v>
                  </c:pt>
                  <c:pt idx="1">
                    <c:v>XG300</c:v>
                  </c:pt>
                  <c:pt idx="2">
                    <c:v>XH750</c:v>
                  </c:pt>
                  <c:pt idx="3">
                    <c:v>XH040</c:v>
                  </c:pt>
                </c:lvl>
                <c:lvl>
                  <c:pt idx="0">
                    <c:v>蘋果公</c:v>
                  </c:pt>
                  <c:pt idx="1">
                    <c:v>Alp</c:v>
                  </c:pt>
                  <c:pt idx="2">
                    <c:v>禮來公</c:v>
                  </c:pt>
                  <c:pt idx="3">
                    <c:v>MET</c:v>
                  </c:pt>
                </c:lvl>
              </c:multiLvlStrCache>
            </c:multiLvlStrRef>
          </c:cat>
          <c:val>
            <c:numRef>
              <c:f>績效圖!$E$18:$P$18</c:f>
            </c:numRef>
          </c:val>
          <c:extLst>
            <c:ext xmlns:c16="http://schemas.microsoft.com/office/drawing/2014/chart" uri="{C3380CC4-5D6E-409C-BE32-E72D297353CC}">
              <c16:uniqueId val="{00000001-AC40-40D0-B02A-D1DE78939714}"/>
            </c:ext>
          </c:extLst>
        </c:ser>
        <c:ser>
          <c:idx val="5"/>
          <c:order val="3"/>
          <c:tx>
            <c:v>價格報酬率(台幣)</c:v>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XG300</c:v>
                  </c:pt>
                  <c:pt idx="2">
                    <c:v>XH750</c:v>
                  </c:pt>
                  <c:pt idx="3">
                    <c:v>XH040</c:v>
                  </c:pt>
                </c:lvl>
                <c:lvl>
                  <c:pt idx="0">
                    <c:v>蘋果公</c:v>
                  </c:pt>
                  <c:pt idx="1">
                    <c:v>Alp</c:v>
                  </c:pt>
                  <c:pt idx="2">
                    <c:v>禮來公</c:v>
                  </c:pt>
                  <c:pt idx="3">
                    <c:v>MET</c:v>
                  </c:pt>
                </c:lvl>
              </c:multiLvlStrCache>
            </c:multiLvlStrRef>
          </c:cat>
          <c:val>
            <c:numRef>
              <c:f>績效圖!$E$17:$P$17</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2-AC40-40D0-B02A-D1DE78939714}"/>
            </c:ext>
          </c:extLst>
        </c:ser>
        <c:ser>
          <c:idx val="8"/>
          <c:order val="4"/>
          <c:tx>
            <c:v>匯率報酬率(台幣)</c:v>
          </c:tx>
          <c:spPr>
            <a:solidFill>
              <a:srgbClr val="297D6B"/>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XG300</c:v>
                  </c:pt>
                  <c:pt idx="2">
                    <c:v>XH750</c:v>
                  </c:pt>
                  <c:pt idx="3">
                    <c:v>XH040</c:v>
                  </c:pt>
                </c:lvl>
                <c:lvl>
                  <c:pt idx="0">
                    <c:v>蘋果公</c:v>
                  </c:pt>
                  <c:pt idx="1">
                    <c:v>Alp</c:v>
                  </c:pt>
                  <c:pt idx="2">
                    <c:v>禮來公</c:v>
                  </c:pt>
                  <c:pt idx="3">
                    <c:v>MET</c:v>
                  </c:pt>
                </c:lvl>
              </c:multiLvlStrCache>
            </c:multiLvlStrRef>
          </c:cat>
          <c:val>
            <c:numRef>
              <c:f>績效圖!$E$20:$P$20</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3-AC40-40D0-B02A-D1DE78939714}"/>
            </c:ext>
          </c:extLst>
        </c:ser>
        <c:ser>
          <c:idx val="0"/>
          <c:order val="6"/>
          <c:tx>
            <c:strRef>
              <c:f>績效圖!$D$14</c:f>
              <c:strCache>
                <c:ptCount val="1"/>
                <c:pt idx="0">
                  <c:v>c) 價格報酬率</c:v>
                </c:pt>
              </c:strCache>
            </c:strRef>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Arial" panose="020B0604020202020204" pitchFamily="34" charset="0"/>
                    <a:ea typeface="微軟正黑體" panose="020B0604030504040204" pitchFamily="34" charset="-120"/>
                    <a:cs typeface="Arial" panose="020B0604020202020204" pitchFamily="34" charset="0"/>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XG300</c:v>
                  </c:pt>
                  <c:pt idx="2">
                    <c:v>XH750</c:v>
                  </c:pt>
                  <c:pt idx="3">
                    <c:v>XH040</c:v>
                  </c:pt>
                </c:lvl>
                <c:lvl>
                  <c:pt idx="0">
                    <c:v>蘋果公</c:v>
                  </c:pt>
                  <c:pt idx="1">
                    <c:v>Alp</c:v>
                  </c:pt>
                  <c:pt idx="2">
                    <c:v>禮來公</c:v>
                  </c:pt>
                  <c:pt idx="3">
                    <c:v>MET</c:v>
                  </c:pt>
                </c:lvl>
              </c:multiLvlStrCache>
            </c:multiLvlStrRef>
          </c:cat>
          <c:val>
            <c:numRef>
              <c:f>績效圖!$E$14:$P$14</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4-AC40-40D0-B02A-D1DE78939714}"/>
            </c:ext>
          </c:extLst>
        </c:ser>
        <c:ser>
          <c:idx val="2"/>
          <c:order val="2"/>
          <c:tx>
            <c:strRef>
              <c:f>績效圖!$D$16</c:f>
              <c:strCache>
                <c:ptCount val="1"/>
                <c:pt idx="0">
                  <c:v>a) 總報酬率</c:v>
                </c:pt>
              </c:strCache>
            </c:strRef>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XG300</c:v>
                  </c:pt>
                  <c:pt idx="2">
                    <c:v>XH750</c:v>
                  </c:pt>
                  <c:pt idx="3">
                    <c:v>XH040</c:v>
                  </c:pt>
                </c:lvl>
                <c:lvl>
                  <c:pt idx="0">
                    <c:v>蘋果公</c:v>
                  </c:pt>
                  <c:pt idx="1">
                    <c:v>Alp</c:v>
                  </c:pt>
                  <c:pt idx="2">
                    <c:v>禮來公</c:v>
                  </c:pt>
                  <c:pt idx="3">
                    <c:v>MET</c:v>
                  </c:pt>
                </c:lvl>
              </c:multiLvlStrCache>
            </c:multiLvlStrRef>
          </c:cat>
          <c:val>
            <c:numRef>
              <c:f>績效圖!$E$16:$P$16</c:f>
              <c:numCache>
                <c:formatCode>0.0_ ;[Red]\-0.0\ </c:formatCode>
                <c:ptCount val="12"/>
                <c:pt idx="0">
                  <c:v>1.1485714285714341</c:v>
                </c:pt>
                <c:pt idx="1">
                  <c:v>-2.6874137931034432</c:v>
                </c:pt>
                <c:pt idx="2">
                  <c:v>10.227499999999996</c:v>
                </c:pt>
                <c:pt idx="3">
                  <c:v>1.2823863636363642</c:v>
                </c:pt>
                <c:pt idx="4">
                  <c:v>0</c:v>
                </c:pt>
                <c:pt idx="5">
                  <c:v>0</c:v>
                </c:pt>
                <c:pt idx="6">
                  <c:v>0</c:v>
                </c:pt>
                <c:pt idx="7">
                  <c:v>0</c:v>
                </c:pt>
                <c:pt idx="8">
                  <c:v>0</c:v>
                </c:pt>
                <c:pt idx="9">
                  <c:v>0</c:v>
                </c:pt>
                <c:pt idx="10">
                  <c:v>0</c:v>
                </c:pt>
                <c:pt idx="11">
                  <c:v>0</c:v>
                </c:pt>
              </c:numCache>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5-AC40-40D0-B02A-D1DE78939714}"/>
            </c:ext>
          </c:extLst>
        </c:ser>
        <c:ser>
          <c:idx val="7"/>
          <c:order val="5"/>
          <c:tx>
            <c:v>總報酬率(台幣)</c:v>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績效圖!$E$10:$P$11</c:f>
              <c:multiLvlStrCache>
                <c:ptCount val="4"/>
                <c:lvl>
                  <c:pt idx="0">
                    <c:v>XH430</c:v>
                  </c:pt>
                  <c:pt idx="1">
                    <c:v>XG300</c:v>
                  </c:pt>
                  <c:pt idx="2">
                    <c:v>XH750</c:v>
                  </c:pt>
                  <c:pt idx="3">
                    <c:v>XH040</c:v>
                  </c:pt>
                </c:lvl>
                <c:lvl>
                  <c:pt idx="0">
                    <c:v>蘋果公</c:v>
                  </c:pt>
                  <c:pt idx="1">
                    <c:v>Alp</c:v>
                  </c:pt>
                  <c:pt idx="2">
                    <c:v>禮來公</c:v>
                  </c:pt>
                  <c:pt idx="3">
                    <c:v>MET</c:v>
                  </c:pt>
                </c:lvl>
              </c:multiLvlStrCache>
            </c:multiLvlStrRef>
          </c:cat>
          <c:val>
            <c:numRef>
              <c:f>績效圖!$E$19:$P$19</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6-AC40-40D0-B02A-D1DE78939714}"/>
            </c:ext>
          </c:extLst>
        </c:ser>
        <c:dLbls>
          <c:showLegendKey val="0"/>
          <c:showVal val="0"/>
          <c:showCatName val="0"/>
          <c:showSerName val="0"/>
          <c:showPercent val="0"/>
          <c:showBubbleSize val="0"/>
        </c:dLbls>
        <c:gapWidth val="76"/>
        <c:axId val="1613956928"/>
        <c:axId val="1613964608"/>
      </c:barChart>
      <c:catAx>
        <c:axId val="16139569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rgbClr val="226859"/>
                </a:solidFill>
                <a:latin typeface="+mj-ea"/>
                <a:ea typeface="+mj-ea"/>
                <a:cs typeface="+mn-cs"/>
              </a:defRPr>
            </a:pPr>
            <a:endParaRPr lang="zh-TW"/>
          </a:p>
        </c:txPr>
        <c:crossAx val="1613964608"/>
        <c:crosses val="autoZero"/>
        <c:auto val="1"/>
        <c:lblAlgn val="ctr"/>
        <c:lblOffset val="100"/>
        <c:noMultiLvlLbl val="0"/>
      </c:catAx>
      <c:valAx>
        <c:axId val="1613964608"/>
        <c:scaling>
          <c:orientation val="minMax"/>
        </c:scaling>
        <c:delete val="0"/>
        <c:axPos val="l"/>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zh-TW"/>
          </a:p>
        </c:txPr>
        <c:crossAx val="161395692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zh-TW"/>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1.1763360815051007E-3"/>
          <c:y val="0.1236813878947637"/>
          <c:w val="0.95658079174009392"/>
          <c:h val="0.77697570172818409"/>
        </c:manualLayout>
      </c:layout>
      <c:barChart>
        <c:barDir val="col"/>
        <c:grouping val="clustered"/>
        <c:varyColors val="0"/>
        <c:ser>
          <c:idx val="0"/>
          <c:order val="0"/>
          <c:spPr>
            <a:gradFill>
              <a:gsLst>
                <a:gs pos="0">
                  <a:srgbClr val="EEF5F4"/>
                </a:gs>
                <a:gs pos="100000">
                  <a:srgbClr val="297D6B"/>
                </a:gs>
                <a:gs pos="50000">
                  <a:srgbClr val="76C191"/>
                </a:gs>
              </a:gsLst>
              <a:lin ang="5400000" scaled="1"/>
            </a:gradFill>
            <a:ln>
              <a:noFill/>
            </a:ln>
            <a:effectLst/>
          </c:spPr>
          <c:invertIfNegative val="0"/>
          <c:cat>
            <c:strRef>
              <c:f>'Tssco-bond portfolio(2)'!$D$19:$D$30</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'Tssco-bond portfolio(2)'!$C$19:$C$30</c:f>
              <c:numCache>
                <c:formatCode>_(* #,##0.00_);_(* \(#,##0.00\);_(* "-"??_);_(@_)</c:formatCode>
                <c:ptCount val="12"/>
                <c:pt idx="0">
                  <c:v>0</c:v>
                </c:pt>
                <c:pt idx="1">
                  <c:v>5787.5</c:v>
                </c:pt>
                <c:pt idx="2">
                  <c:v>0</c:v>
                </c:pt>
                <c:pt idx="3">
                  <c:v>0</c:v>
                </c:pt>
                <c:pt idx="4">
                  <c:v>2424.9999999999995</c:v>
                </c:pt>
                <c:pt idx="5">
                  <c:v>0</c:v>
                </c:pt>
                <c:pt idx="6">
                  <c:v>0</c:v>
                </c:pt>
                <c:pt idx="7">
                  <c:v>5787.5</c:v>
                </c:pt>
                <c:pt idx="8">
                  <c:v>0</c:v>
                </c:pt>
                <c:pt idx="9">
                  <c:v>0</c:v>
                </c:pt>
                <c:pt idx="10">
                  <c:v>2424.9999999999995</c:v>
                </c:pt>
                <c:pt idx="11">
                  <c:v>0</c:v>
                </c:pt>
              </c:numCache>
            </c:numRef>
          </c:val>
          <c:extLst>
            <c:ext xmlns:c16="http://schemas.microsoft.com/office/drawing/2014/chart" uri="{C3380CC4-5D6E-409C-BE32-E72D297353CC}">
              <c16:uniqueId val="{00000000-9E59-4F95-844C-0EB6895AB4FD}"/>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800" b="1" i="0" u="none" strike="noStrike" kern="1200" cap="none" spc="20" normalizeH="0" baseline="0">
                <a:solidFill>
                  <a:srgbClr val="226859"/>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numFmt formatCode="_(* #,##0.00_);_(* \(#,##0.00\);_(* &quot;-&quot;??_);_(@_)" sourceLinked="1"/>
        <c:majorTickMark val="none"/>
        <c:minorTickMark val="none"/>
        <c:tickLblPos val="nextTo"/>
        <c:crossAx val="4783456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1.1763360815051007E-3"/>
          <c:y val="0.22931598677396653"/>
          <c:w val="0.95658079174009392"/>
          <c:h val="0.66770053651098038"/>
        </c:manualLayout>
      </c:layout>
      <c:barChart>
        <c:barDir val="col"/>
        <c:grouping val="clustered"/>
        <c:varyColors val="0"/>
        <c:ser>
          <c:idx val="0"/>
          <c:order val="0"/>
          <c:spPr>
            <a:gradFill>
              <a:gsLst>
                <a:gs pos="0">
                  <a:srgbClr val="EEF5F4"/>
                </a:gs>
                <a:gs pos="100000">
                  <a:srgbClr val="297D6B"/>
                </a:gs>
                <a:gs pos="50000">
                  <a:srgbClr val="76C191"/>
                </a:gs>
              </a:gsLst>
              <a:lin ang="5400000" scaled="1"/>
            </a:gradFill>
            <a:ln>
              <a:noFill/>
            </a:ln>
            <a:effectLst/>
          </c:spPr>
          <c:invertIfNegative val="0"/>
          <c:cat>
            <c:strRef>
              <c:f>'Tssco-bond portfolio'!$U$53:$U$64</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'Tssco-bond portfolio(Pro)'!$C$19:$C$30</c:f>
              <c:numCache>
                <c:formatCode>_(* #,##0.00_);_(* \(#,##0.00\);_(* "-"??_);_(@_)</c:formatCode>
                <c:ptCount val="12"/>
                <c:pt idx="0">
                  <c:v>500613</c:v>
                </c:pt>
                <c:pt idx="1">
                  <c:v>0</c:v>
                </c:pt>
                <c:pt idx="2">
                  <c:v>276089</c:v>
                </c:pt>
                <c:pt idx="3">
                  <c:v>0</c:v>
                </c:pt>
                <c:pt idx="4">
                  <c:v>0</c:v>
                </c:pt>
                <c:pt idx="5">
                  <c:v>334960</c:v>
                </c:pt>
                <c:pt idx="6">
                  <c:v>500613</c:v>
                </c:pt>
                <c:pt idx="7">
                  <c:v>0</c:v>
                </c:pt>
                <c:pt idx="8">
                  <c:v>276089</c:v>
                </c:pt>
                <c:pt idx="9">
                  <c:v>0</c:v>
                </c:pt>
                <c:pt idx="10">
                  <c:v>0</c:v>
                </c:pt>
                <c:pt idx="11">
                  <c:v>334960</c:v>
                </c:pt>
              </c:numCache>
            </c:numRef>
          </c:val>
          <c:extLst>
            <c:ext xmlns:c16="http://schemas.microsoft.com/office/drawing/2014/chart" uri="{C3380CC4-5D6E-409C-BE32-E72D297353CC}">
              <c16:uniqueId val="{00000000-659C-49EB-A8DF-CCAF79AF8818}"/>
            </c:ext>
          </c:extLst>
        </c:ser>
        <c:dLbls>
          <c:showLegendKey val="0"/>
          <c:showVal val="0"/>
          <c:showCatName val="0"/>
          <c:showSerName val="0"/>
          <c:showPercent val="0"/>
          <c:showBubbleSize val="0"/>
        </c:dLbls>
        <c:gapWidth val="80"/>
        <c:overlap val="25"/>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800" b="1" i="0" u="none" strike="noStrike" kern="1200" cap="none" spc="20" normalizeH="0" baseline="0">
                <a:solidFill>
                  <a:srgbClr val="226859"/>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numFmt formatCode="_(* #,##0.00_);_(* \(#,##0.00\);_(* &quot;-&quot;??_);_(@_)" sourceLinked="1"/>
        <c:majorTickMark val="none"/>
        <c:minorTickMark val="none"/>
        <c:tickLblPos val="nextTo"/>
        <c:crossAx val="4783456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1.5309449388858981E-2"/>
          <c:y val="8.2235076166093074E-2"/>
          <c:w val="0.97200779973411133"/>
          <c:h val="0.76719323379563997"/>
        </c:manualLayout>
      </c:layout>
      <c:barChart>
        <c:barDir val="col"/>
        <c:grouping val="clustered"/>
        <c:varyColors val="0"/>
        <c:ser>
          <c:idx val="1"/>
          <c:order val="0"/>
          <c:tx>
            <c:strRef>
              <c:f>'績效圖(Pro)'!$D$15</c:f>
              <c:strCache>
                <c:ptCount val="1"/>
                <c:pt idx="0">
                  <c:v>b) 利息報酬率</c:v>
                </c:pt>
              </c:strCache>
            </c:strRef>
          </c:tx>
          <c:spPr>
            <a:solidFill>
              <a:srgbClr val="297D6B"/>
            </a:solidFill>
            <a:ln>
              <a:noFill/>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[0]!績效圖X軸</c:f>
              <c:multiLvlStrCache>
                <c:ptCount val="5"/>
                <c:lvl>
                  <c:pt idx="0">
                    <c:v>XFV30</c:v>
                  </c:pt>
                  <c:pt idx="1">
                    <c:v>XG500</c:v>
                  </c:pt>
                  <c:pt idx="2">
                    <c:v>XG440</c:v>
                  </c:pt>
                  <c:pt idx="3">
                    <c:v>XH240</c:v>
                  </c:pt>
                  <c:pt idx="4">
                    <c:v>XG490</c:v>
                  </c:pt>
                </c:lvl>
                <c:lvl>
                  <c:pt idx="0">
                    <c:v>印尼國</c:v>
                  </c:pt>
                  <c:pt idx="1">
                    <c:v>Unu</c:v>
                  </c:pt>
                  <c:pt idx="2">
                    <c:v>信諾公</c:v>
                  </c:pt>
                  <c:pt idx="3">
                    <c:v>目標百</c:v>
                  </c:pt>
                  <c:pt idx="4">
                    <c:v>美國醫</c:v>
                  </c:pt>
                </c:lvl>
              </c:multiLvlStrCache>
            </c:multiLvlStrRef>
          </c:cat>
          <c:val>
            <c:numRef>
              <c:f>[0]!USD_利息報酬率</c:f>
            </c:numRef>
          </c:val>
          <c:extLst>
            <c:ext xmlns:c16="http://schemas.microsoft.com/office/drawing/2014/chart" uri="{C3380CC4-5D6E-409C-BE32-E72D297353CC}">
              <c16:uniqueId val="{00000000-D59A-42BD-A654-E8A837ED8A4F}"/>
            </c:ext>
          </c:extLst>
        </c:ser>
        <c:ser>
          <c:idx val="6"/>
          <c:order val="1"/>
          <c:tx>
            <c:v>配息報酬率(台幣)</c:v>
          </c:tx>
          <c:spPr>
            <a:solidFill>
              <a:srgbClr val="297D6B"/>
            </a:solidFill>
            <a:ln>
              <a:noFill/>
            </a:ln>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[0]!績效圖X軸</c:f>
              <c:multiLvlStrCache>
                <c:ptCount val="5"/>
                <c:lvl>
                  <c:pt idx="0">
                    <c:v>XFV30</c:v>
                  </c:pt>
                  <c:pt idx="1">
                    <c:v>XG500</c:v>
                  </c:pt>
                  <c:pt idx="2">
                    <c:v>XG440</c:v>
                  </c:pt>
                  <c:pt idx="3">
                    <c:v>XH240</c:v>
                  </c:pt>
                  <c:pt idx="4">
                    <c:v>XG490</c:v>
                  </c:pt>
                </c:lvl>
                <c:lvl>
                  <c:pt idx="0">
                    <c:v>印尼國</c:v>
                  </c:pt>
                  <c:pt idx="1">
                    <c:v>Unu</c:v>
                  </c:pt>
                  <c:pt idx="2">
                    <c:v>信諾公</c:v>
                  </c:pt>
                  <c:pt idx="3">
                    <c:v>目標百</c:v>
                  </c:pt>
                  <c:pt idx="4">
                    <c:v>美國醫</c:v>
                  </c:pt>
                </c:lvl>
              </c:multiLvlStrCache>
            </c:multiLvlStrRef>
          </c:cat>
          <c:val>
            <c:numRef>
              <c:f>[0]!TWD_利息報酬率</c:f>
              <c:numCache>
                <c:formatCode>0.0_ ;[Red]\-0.0\ </c:formatCode>
                <c:ptCount val="5"/>
                <c:pt idx="0">
                  <c:v>3.0026756149479659</c:v>
                </c:pt>
                <c:pt idx="1">
                  <c:v>5.7852190108607839</c:v>
                </c:pt>
                <c:pt idx="2">
                  <c:v>4.7751199397773103</c:v>
                </c:pt>
                <c:pt idx="3">
                  <c:v>2.1691176470588234</c:v>
                </c:pt>
                <c:pt idx="4">
                  <c:v>2.6318955663839261</c:v>
                </c:pt>
              </c:numCache>
            </c:numRef>
          </c:val>
          <c:extLst>
            <c:ext xmlns:c16="http://schemas.microsoft.com/office/drawing/2014/chart" uri="{C3380CC4-5D6E-409C-BE32-E72D297353CC}">
              <c16:uniqueId val="{00000001-C558-43A4-A684-DA7CA54B0B98}"/>
            </c:ext>
          </c:extLst>
        </c:ser>
        <c:ser>
          <c:idx val="5"/>
          <c:order val="3"/>
          <c:tx>
            <c:v>資本報酬率(台幣)</c:v>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[0]!績效圖X軸</c:f>
              <c:multiLvlStrCache>
                <c:ptCount val="5"/>
                <c:lvl>
                  <c:pt idx="0">
                    <c:v>XFV30</c:v>
                  </c:pt>
                  <c:pt idx="1">
                    <c:v>XG500</c:v>
                  </c:pt>
                  <c:pt idx="2">
                    <c:v>XG440</c:v>
                  </c:pt>
                  <c:pt idx="3">
                    <c:v>XH240</c:v>
                  </c:pt>
                  <c:pt idx="4">
                    <c:v>XG490</c:v>
                  </c:pt>
                </c:lvl>
                <c:lvl>
                  <c:pt idx="0">
                    <c:v>印尼國</c:v>
                  </c:pt>
                  <c:pt idx="1">
                    <c:v>Unu</c:v>
                  </c:pt>
                  <c:pt idx="2">
                    <c:v>信諾公</c:v>
                  </c:pt>
                  <c:pt idx="3">
                    <c:v>目標百</c:v>
                  </c:pt>
                  <c:pt idx="4">
                    <c:v>美國醫</c:v>
                  </c:pt>
                </c:lvl>
              </c:multiLvlStrCache>
            </c:multiLvlStrRef>
          </c:cat>
          <c:val>
            <c:numRef>
              <c:f>[0]!TWD_價格報酬率</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0-C558-43A4-A684-DA7CA54B0B98}"/>
            </c:ext>
          </c:extLst>
        </c:ser>
        <c:ser>
          <c:idx val="8"/>
          <c:order val="4"/>
          <c:tx>
            <c:v>匯率報酬率(台幣)</c:v>
          </c:tx>
          <c:spPr>
            <a:solidFill>
              <a:srgbClr val="297D6B"/>
            </a:solidFill>
            <a:ln>
              <a:noFill/>
            </a:ln>
            <a:effectLst/>
          </c:spPr>
          <c:invertIfNegative val="1"/>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[0]!績效圖X軸</c:f>
              <c:multiLvlStrCache>
                <c:ptCount val="5"/>
                <c:lvl>
                  <c:pt idx="0">
                    <c:v>XFV30</c:v>
                  </c:pt>
                  <c:pt idx="1">
                    <c:v>XG500</c:v>
                  </c:pt>
                  <c:pt idx="2">
                    <c:v>XG440</c:v>
                  </c:pt>
                  <c:pt idx="3">
                    <c:v>XH240</c:v>
                  </c:pt>
                  <c:pt idx="4">
                    <c:v>XG490</c:v>
                  </c:pt>
                </c:lvl>
                <c:lvl>
                  <c:pt idx="0">
                    <c:v>印尼國</c:v>
                  </c:pt>
                  <c:pt idx="1">
                    <c:v>Unu</c:v>
                  </c:pt>
                  <c:pt idx="2">
                    <c:v>信諾公</c:v>
                  </c:pt>
                  <c:pt idx="3">
                    <c:v>目標百</c:v>
                  </c:pt>
                  <c:pt idx="4">
                    <c:v>美國醫</c:v>
                  </c:pt>
                </c:lvl>
              </c:multiLvlStrCache>
            </c:multiLvlStrRef>
          </c:cat>
          <c:val>
            <c:numRef>
              <c:f>[0]!TWD_匯率報酬率</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3-C558-43A4-A684-DA7CA54B0B98}"/>
            </c:ext>
          </c:extLst>
        </c:ser>
        <c:ser>
          <c:idx val="0"/>
          <c:order val="6"/>
          <c:tx>
            <c:strRef>
              <c:f>'績效圖(Pro)'!$D$14</c:f>
              <c:strCache>
                <c:ptCount val="1"/>
                <c:pt idx="0">
                  <c:v>c) 價格報酬率</c:v>
                </c:pt>
              </c:strCache>
            </c:strRef>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Arial" panose="020B0604020202020204" pitchFamily="34" charset="0"/>
                    <a:ea typeface="微軟正黑體" panose="020B0604030504040204" pitchFamily="34" charset="-120"/>
                    <a:cs typeface="Arial" panose="020B0604020202020204" pitchFamily="34" charset="0"/>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[0]!績效圖X軸</c:f>
              <c:multiLvlStrCache>
                <c:ptCount val="5"/>
                <c:lvl>
                  <c:pt idx="0">
                    <c:v>XFV30</c:v>
                  </c:pt>
                  <c:pt idx="1">
                    <c:v>XG500</c:v>
                  </c:pt>
                  <c:pt idx="2">
                    <c:v>XG440</c:v>
                  </c:pt>
                  <c:pt idx="3">
                    <c:v>XH240</c:v>
                  </c:pt>
                  <c:pt idx="4">
                    <c:v>XG490</c:v>
                  </c:pt>
                </c:lvl>
                <c:lvl>
                  <c:pt idx="0">
                    <c:v>印尼國</c:v>
                  </c:pt>
                  <c:pt idx="1">
                    <c:v>Unu</c:v>
                  </c:pt>
                  <c:pt idx="2">
                    <c:v>信諾公</c:v>
                  </c:pt>
                  <c:pt idx="3">
                    <c:v>目標百</c:v>
                  </c:pt>
                  <c:pt idx="4">
                    <c:v>美國醫</c:v>
                  </c:pt>
                </c:lvl>
              </c:multiLvlStrCache>
            </c:multiLvlStrRef>
          </c:cat>
          <c:val>
            <c:numRef>
              <c:f>[0]!USD_價格報酬率</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1-D59A-42BD-A654-E8A837ED8A4F}"/>
            </c:ext>
          </c:extLst>
        </c:ser>
        <c:ser>
          <c:idx val="2"/>
          <c:order val="2"/>
          <c:tx>
            <c:strRef>
              <c:f>'績效圖(Pro)'!$D$16</c:f>
              <c:strCache>
                <c:ptCount val="1"/>
                <c:pt idx="0">
                  <c:v>a) 總報酬率</c:v>
                </c:pt>
              </c:strCache>
            </c:strRef>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[0]!績效圖X軸</c:f>
              <c:multiLvlStrCache>
                <c:ptCount val="5"/>
                <c:lvl>
                  <c:pt idx="0">
                    <c:v>XFV30</c:v>
                  </c:pt>
                  <c:pt idx="1">
                    <c:v>XG500</c:v>
                  </c:pt>
                  <c:pt idx="2">
                    <c:v>XG440</c:v>
                  </c:pt>
                  <c:pt idx="3">
                    <c:v>XH240</c:v>
                  </c:pt>
                  <c:pt idx="4">
                    <c:v>XG490</c:v>
                  </c:pt>
                </c:lvl>
                <c:lvl>
                  <c:pt idx="0">
                    <c:v>印尼國</c:v>
                  </c:pt>
                  <c:pt idx="1">
                    <c:v>Unu</c:v>
                  </c:pt>
                  <c:pt idx="2">
                    <c:v>信諾公</c:v>
                  </c:pt>
                  <c:pt idx="3">
                    <c:v>目標百</c:v>
                  </c:pt>
                  <c:pt idx="4">
                    <c:v>美國醫</c:v>
                  </c:pt>
                </c:lvl>
              </c:multiLvlStrCache>
            </c:multiLvlStrRef>
          </c:cat>
          <c:val>
            <c:numRef>
              <c:f>[0]!USD_總報酬率</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3-D59A-42BD-A654-E8A837ED8A4F}"/>
            </c:ext>
          </c:extLst>
        </c:ser>
        <c:ser>
          <c:idx val="7"/>
          <c:order val="5"/>
          <c:tx>
            <c:v>合計報酬率(台幣)</c:v>
          </c:tx>
          <c:spPr>
            <a:solidFill>
              <a:srgbClr val="297D6B"/>
            </a:solidFill>
            <a:ln>
              <a:noFill/>
            </a:ln>
            <a:effectLst/>
          </c:spPr>
          <c:invertIfNegative val="1"/>
          <c:dLbls>
            <c:numFmt formatCode="#,##0.0_ ;[Red]\-#,##0.0\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444444"/>
                    </a:solidFill>
                    <a:latin typeface="+mn-lt"/>
                    <a:ea typeface="+mn-ea"/>
                    <a:cs typeface="+mn-cs"/>
                  </a:defRPr>
                </a:pPr>
                <a:endParaRPr lang="zh-TW"/>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[0]!績效圖X軸</c:f>
              <c:multiLvlStrCache>
                <c:ptCount val="5"/>
                <c:lvl>
                  <c:pt idx="0">
                    <c:v>XFV30</c:v>
                  </c:pt>
                  <c:pt idx="1">
                    <c:v>XG500</c:v>
                  </c:pt>
                  <c:pt idx="2">
                    <c:v>XG440</c:v>
                  </c:pt>
                  <c:pt idx="3">
                    <c:v>XH240</c:v>
                  </c:pt>
                  <c:pt idx="4">
                    <c:v>XG490</c:v>
                  </c:pt>
                </c:lvl>
                <c:lvl>
                  <c:pt idx="0">
                    <c:v>印尼國</c:v>
                  </c:pt>
                  <c:pt idx="1">
                    <c:v>Unu</c:v>
                  </c:pt>
                  <c:pt idx="2">
                    <c:v>信諾公</c:v>
                  </c:pt>
                  <c:pt idx="3">
                    <c:v>目標百</c:v>
                  </c:pt>
                  <c:pt idx="4">
                    <c:v>美國醫</c:v>
                  </c:pt>
                </c:lvl>
              </c:multiLvlStrCache>
            </c:multiLvlStrRef>
          </c:cat>
          <c:val>
            <c:numRef>
              <c:f>[0]!TWD_總報酬率</c:f>
            </c:numRef>
          </c:val>
          <c:extLst>
            <c:ext xmlns:c14="http://schemas.microsoft.com/office/drawing/2007/8/2/chart" uri="{6F2FDCE9-48DA-4B69-8628-5D25D57E5C99}">
              <c14:invertSolidFillFmt>
                <c14:spPr xmlns:c14="http://schemas.microsoft.com/office/drawing/2007/8/2/chart">
                  <a:solidFill>
                    <a:srgbClr val="FF7575"/>
                  </a:solidFill>
                  <a:ln>
                    <a:noFill/>
                  </a:ln>
                  <a:effectLst/>
                </c14:spPr>
              </c14:invertSolidFillFmt>
            </c:ext>
            <c:ext xmlns:c16="http://schemas.microsoft.com/office/drawing/2014/chart" uri="{C3380CC4-5D6E-409C-BE32-E72D297353CC}">
              <c16:uniqueId val="{00000002-C558-43A4-A684-DA7CA54B0B98}"/>
            </c:ext>
          </c:extLst>
        </c:ser>
        <c:dLbls>
          <c:showLegendKey val="0"/>
          <c:showVal val="0"/>
          <c:showCatName val="0"/>
          <c:showSerName val="0"/>
          <c:showPercent val="0"/>
          <c:showBubbleSize val="0"/>
        </c:dLbls>
        <c:gapWidth val="76"/>
        <c:axId val="1613956928"/>
        <c:axId val="1613964608"/>
      </c:barChart>
      <c:catAx>
        <c:axId val="16139569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rgbClr val="226859"/>
                </a:solidFill>
                <a:latin typeface="+mj-ea"/>
                <a:ea typeface="+mj-ea"/>
                <a:cs typeface="+mn-cs"/>
              </a:defRPr>
            </a:pPr>
            <a:endParaRPr lang="zh-TW"/>
          </a:p>
        </c:txPr>
        <c:crossAx val="1613964608"/>
        <c:crosses val="autoZero"/>
        <c:auto val="1"/>
        <c:lblAlgn val="ctr"/>
        <c:lblOffset val="100"/>
        <c:noMultiLvlLbl val="0"/>
      </c:catAx>
      <c:valAx>
        <c:axId val="1613964608"/>
        <c:scaling>
          <c:orientation val="minMax"/>
        </c:scaling>
        <c:delete val="0"/>
        <c:axPos val="l"/>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zh-TW"/>
          </a:p>
        </c:txPr>
        <c:crossAx val="161395692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zh-TW"/>
    </a:p>
  </c:txPr>
  <c:printSettings>
    <c:headerFooter/>
    <c:pageMargins b="0.75" l="0.7" r="0.7" t="0.75" header="0.3" footer="0.3"/>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1.4852321464623886E-2"/>
          <c:y val="0.13759631641552919"/>
          <c:w val="0.97029535707075221"/>
          <c:h val="0.75554584890809029"/>
        </c:manualLayout>
      </c:layout>
      <c:barChart>
        <c:barDir val="col"/>
        <c:grouping val="clustered"/>
        <c:varyColors val="0"/>
        <c:ser>
          <c:idx val="1"/>
          <c:order val="0"/>
          <c:tx>
            <c:strRef>
              <c:f>'Tssco-bond portfolio(Pro)'!$D$67</c:f>
              <c:strCache>
                <c:ptCount val="1"/>
                <c:pt idx="0">
                  <c:v>庫存成本</c:v>
                </c:pt>
              </c:strCache>
            </c:strRef>
          </c:tx>
          <c:spPr>
            <a:solidFill>
              <a:schemeClr val="accent3">
                <a:tint val="77000"/>
                <a:alpha val="70000"/>
              </a:schemeClr>
            </a:solidFill>
            <a:ln>
              <a:solidFill>
                <a:srgbClr val="EBF1DE"/>
              </a:solidFill>
            </a:ln>
            <a:effectLst/>
          </c:spPr>
          <c:invertIfNegative val="0"/>
          <c:dLbls>
            <c:numFmt formatCode="#,##0.0_ "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微軟正黑體" panose="020B0604030504040204" pitchFamily="34" charset="-120"/>
                    <a:ea typeface="微軟正黑體" panose="020B0604030504040204" pitchFamily="34" charset="-120"/>
                    <a:cs typeface="+mn-cs"/>
                  </a:defRPr>
                </a:pPr>
                <a:endParaRPr lang="zh-TW"/>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'Tssco-bond portfolio(Pro)'!$C$68:$C$78</c:f>
              <c:strCache>
                <c:ptCount val="11"/>
                <c:pt idx="0">
                  <c:v>政府</c:v>
                </c:pt>
                <c:pt idx="1">
                  <c:v>科技</c:v>
                </c:pt>
                <c:pt idx="2">
                  <c:v>醫療保健</c:v>
                </c:pt>
                <c:pt idx="3">
                  <c:v>工業</c:v>
                </c:pt>
                <c:pt idx="4">
                  <c:v>核心消費</c:v>
                </c:pt>
                <c:pt idx="5">
                  <c:v>通訊</c:v>
                </c:pt>
                <c:pt idx="6">
                  <c:v>非核心</c:v>
                </c:pt>
                <c:pt idx="7">
                  <c:v>金融</c:v>
                </c:pt>
                <c:pt idx="8">
                  <c:v>公用</c:v>
                </c:pt>
                <c:pt idx="9">
                  <c:v>原物料</c:v>
                </c:pt>
                <c:pt idx="10">
                  <c:v>能源</c:v>
                </c:pt>
              </c:strCache>
            </c:strRef>
          </c:cat>
          <c:val>
            <c:numRef>
              <c:f>'Tssco-bond portfolio(Pro)'!$D$68:$D$78</c:f>
              <c:numCache>
                <c:formatCode>0.00%</c:formatCode>
                <c:ptCount val="11"/>
                <c:pt idx="0">
                  <c:v>0</c:v>
                </c:pt>
                <c:pt idx="1">
                  <c:v>0</c:v>
                </c:pt>
                <c:pt idx="2">
                  <c:v>33.721977102794789</c:v>
                </c:pt>
                <c:pt idx="3">
                  <c:v>0</c:v>
                </c:pt>
                <c:pt idx="4">
                  <c:v>5.427391085031255</c:v>
                </c:pt>
                <c:pt idx="5">
                  <c:v>0</c:v>
                </c:pt>
                <c:pt idx="6">
                  <c:v>0</c:v>
                </c:pt>
                <c:pt idx="7">
                  <c:v>28.454853683921517</c:v>
                </c:pt>
                <c:pt idx="8">
                  <c:v>32.395778128252445</c:v>
                </c:pt>
                <c:pt idx="9">
                  <c:v>0</c:v>
                </c:pt>
                <c:pt idx="10">
                  <c:v>0</c:v>
                </c:pt>
              </c:numCache>
            </c:numRef>
          </c:val>
          <c:extLst>
            <c:ext xmlns:c16="http://schemas.microsoft.com/office/drawing/2014/chart" uri="{C3380CC4-5D6E-409C-BE32-E72D297353CC}">
              <c16:uniqueId val="{00000001-C912-428B-80B5-D66542F2E19E}"/>
            </c:ext>
          </c:extLst>
        </c:ser>
        <c:ser>
          <c:idx val="0"/>
          <c:order val="1"/>
          <c:tx>
            <c:strRef>
              <c:f>'Tssco-bond portfolio(Pro)'!$E$67</c:f>
              <c:strCache>
                <c:ptCount val="1"/>
                <c:pt idx="0">
                  <c:v>庫存現值</c:v>
                </c:pt>
              </c:strCache>
            </c:strRef>
          </c:tx>
          <c:spPr>
            <a:gradFill flip="none" rotWithShape="1">
              <a:gsLst>
                <a:gs pos="0">
                  <a:srgbClr val="D2E4E1"/>
                </a:gs>
                <a:gs pos="100000">
                  <a:srgbClr val="297D6B"/>
                </a:gs>
                <a:gs pos="62000">
                  <a:srgbClr val="76C191"/>
                </a:gs>
              </a:gsLst>
              <a:lin ang="5400000" scaled="1"/>
              <a:tileRect/>
            </a:gradFill>
            <a:ln>
              <a:noFill/>
            </a:ln>
            <a:effectLst/>
          </c:spPr>
          <c:invertIfNegative val="0"/>
          <c:dLbls>
            <c:numFmt formatCode="#,##0.0_);[Red]\(#,##0.0\)" sourceLinked="0"/>
            <c:spPr>
              <a:noFill/>
              <a:ln>
                <a:noFill/>
              </a:ln>
              <a:effectLst/>
            </c:spPr>
            <c:txPr>
              <a:bodyPr rot="0" spcFirstLastPara="1" vertOverflow="ellipsis" vert="horz" wrap="square" anchor="ctr" anchorCtr="1"/>
              <a:lstStyle/>
              <a:p>
                <a:pPr>
                  <a:defRPr sz="1600" b="1" i="0" u="none" strike="noStrike" kern="1200" baseline="0">
                    <a:solidFill>
                      <a:srgbClr val="297D6B"/>
                    </a:solidFill>
                    <a:latin typeface="微軟正黑體" panose="020B0604030504040204" pitchFamily="34" charset="-120"/>
                    <a:ea typeface="微軟正黑體" panose="020B0604030504040204" pitchFamily="34" charset="-120"/>
                    <a:cs typeface="+mn-cs"/>
                  </a:defRPr>
                </a:pPr>
                <a:endParaRPr lang="zh-TW"/>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'Tssco-bond portfolio(Pro)'!$C$68:$C$78</c:f>
              <c:strCache>
                <c:ptCount val="11"/>
                <c:pt idx="0">
                  <c:v>政府</c:v>
                </c:pt>
                <c:pt idx="1">
                  <c:v>科技</c:v>
                </c:pt>
                <c:pt idx="2">
                  <c:v>醫療保健</c:v>
                </c:pt>
                <c:pt idx="3">
                  <c:v>工業</c:v>
                </c:pt>
                <c:pt idx="4">
                  <c:v>核心消費</c:v>
                </c:pt>
                <c:pt idx="5">
                  <c:v>通訊</c:v>
                </c:pt>
                <c:pt idx="6">
                  <c:v>非核心</c:v>
                </c:pt>
                <c:pt idx="7">
                  <c:v>金融</c:v>
                </c:pt>
                <c:pt idx="8">
                  <c:v>公用</c:v>
                </c:pt>
                <c:pt idx="9">
                  <c:v>原物料</c:v>
                </c:pt>
                <c:pt idx="10">
                  <c:v>能源</c:v>
                </c:pt>
              </c:strCache>
            </c:strRef>
          </c:cat>
          <c:val>
            <c:numRef>
              <c:f>'Tssco-bond portfolio(Pro)'!$E$68:$E$78</c:f>
              <c:numCache>
                <c:formatCode>0.00%</c:formatCode>
                <c:ptCount val="11"/>
                <c:pt idx="0">
                  <c:v>0</c:v>
                </c:pt>
                <c:pt idx="1">
                  <c:v>0</c:v>
                </c:pt>
                <c:pt idx="2">
                  <c:v>32.635114438421311</c:v>
                </c:pt>
                <c:pt idx="3">
                  <c:v>0</c:v>
                </c:pt>
                <c:pt idx="4">
                  <c:v>5.2038968431549169</c:v>
                </c:pt>
                <c:pt idx="5">
                  <c:v>0</c:v>
                </c:pt>
                <c:pt idx="6">
                  <c:v>0</c:v>
                </c:pt>
                <c:pt idx="7">
                  <c:v>29.066734881480361</c:v>
                </c:pt>
                <c:pt idx="8">
                  <c:v>33.094253836943423</c:v>
                </c:pt>
                <c:pt idx="9">
                  <c:v>0</c:v>
                </c:pt>
                <c:pt idx="10">
                  <c:v>0</c:v>
                </c:pt>
              </c:numCache>
            </c:numRef>
          </c:val>
          <c:extLst>
            <c:ext xmlns:c16="http://schemas.microsoft.com/office/drawing/2014/chart" uri="{C3380CC4-5D6E-409C-BE32-E72D297353CC}">
              <c16:uniqueId val="{00000000-C912-428B-80B5-D66542F2E19E}"/>
            </c:ext>
          </c:extLst>
        </c:ser>
        <c:dLbls>
          <c:showLegendKey val="0"/>
          <c:showVal val="0"/>
          <c:showCatName val="0"/>
          <c:showSerName val="0"/>
          <c:showPercent val="0"/>
          <c:showBubbleSize val="0"/>
        </c:dLbls>
        <c:gapWidth val="80"/>
        <c:overlap val="6"/>
        <c:axId val="478345600"/>
        <c:axId val="478349208"/>
      </c:barChart>
      <c:catAx>
        <c:axId val="47834560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600" b="1" i="0" u="none" strike="noStrike" kern="1200" cap="none" spc="20" normalizeH="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crossAx val="478349208"/>
        <c:crosses val="autoZero"/>
        <c:auto val="1"/>
        <c:lblAlgn val="ctr"/>
        <c:lblOffset val="100"/>
        <c:noMultiLvlLbl val="0"/>
      </c:catAx>
      <c:valAx>
        <c:axId val="478349208"/>
        <c:scaling>
          <c:orientation val="minMax"/>
        </c:scaling>
        <c:delete val="1"/>
        <c:axPos val="l"/>
        <c:numFmt formatCode="0.00%" sourceLinked="1"/>
        <c:majorTickMark val="none"/>
        <c:minorTickMark val="none"/>
        <c:tickLblPos val="nextTo"/>
        <c:crossAx val="478345600"/>
        <c:crosses val="autoZero"/>
        <c:crossBetween val="between"/>
      </c:valAx>
      <c:spPr>
        <a:noFill/>
        <a:ln>
          <a:noFill/>
        </a:ln>
        <a:effectLst/>
      </c:spPr>
    </c:plotArea>
    <c:legend>
      <c:legendPos val="r"/>
      <c:layout>
        <c:manualLayout>
          <c:xMode val="edge"/>
          <c:yMode val="edge"/>
          <c:x val="0.23251513882699607"/>
          <c:y val="1.7528263992573536E-2"/>
          <c:w val="0.51036361395999141"/>
          <c:h val="0.1056732707166329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微軟正黑體" panose="020B0604030504040204" pitchFamily="34" charset="-120"/>
              <a:ea typeface="微軟正黑體" panose="020B0604030504040204" pitchFamily="34" charset="-120"/>
              <a:cs typeface="+mn-cs"/>
            </a:defRPr>
          </a:pPr>
          <a:endParaRPr lang="zh-TW"/>
        </a:p>
      </c:txPr>
    </c:legend>
    <c:plotVisOnly val="1"/>
    <c:dispBlanksAs val="gap"/>
    <c:showDLblsOverMax val="0"/>
  </c:chart>
  <c:spPr>
    <a:solidFill>
      <a:schemeClr val="lt1"/>
    </a:solidFill>
    <a:ln w="9525" cap="flat" cmpd="sng" algn="ctr">
      <a:noFill/>
      <a:round/>
    </a:ln>
    <a:effectLst/>
  </c:spPr>
  <c:txPr>
    <a:bodyPr/>
    <a:lstStyle/>
    <a:p>
      <a:pPr>
        <a:defRPr>
          <a:latin typeface="微軟正黑體" panose="020B0604030504040204" pitchFamily="34" charset="-120"/>
          <a:ea typeface="微軟正黑體" panose="020B0604030504040204" pitchFamily="34" charset="-120"/>
        </a:defRPr>
      </a:pPr>
      <a:endParaRPr lang="zh-TW"/>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withinLinear" id="16">
  <a:schemeClr val="accent3"/>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6">
  <a:schemeClr val="accent3"/>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6">
  <a:schemeClr val="accent3"/>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6">
  <a:schemeClr val="accent3"/>
</cs:colorStyle>
</file>

<file path=xl/charts/colors11.xml><?xml version="1.0" encoding="utf-8"?>
<cs:colorStyle xmlns:cs="http://schemas.microsoft.com/office/drawing/2012/chartStyle" xmlns:a="http://schemas.openxmlformats.org/drawingml/2006/main" meth="withinLinear" id="16">
  <a:schemeClr val="accent3"/>
</cs:colorStyle>
</file>

<file path=xl/charts/colors12.xml><?xml version="1.0" encoding="utf-8"?>
<cs:colorStyle xmlns:cs="http://schemas.microsoft.com/office/drawing/2012/chartStyle" xmlns:a="http://schemas.openxmlformats.org/drawingml/2006/main" meth="withinLinear" id="16">
  <a:schemeClr val="accent3"/>
</cs:colorStyle>
</file>

<file path=xl/charts/colors13.xml><?xml version="1.0" encoding="utf-8"?>
<cs:colorStyle xmlns:cs="http://schemas.microsoft.com/office/drawing/2012/chartStyle" xmlns:a="http://schemas.openxmlformats.org/drawingml/2006/main" meth="withinLinear" id="16">
  <a:schemeClr val="accent3"/>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withinLinear" id="16">
  <a:schemeClr val="accent3"/>
</cs:colorStyle>
</file>

<file path=xl/charts/colors16.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25237;&#36039;&#21830;&#21697;&#29694;&#37329;&#27969;&#35430;&#31639;&#34920;!B8"/><Relationship Id="rId13" Type="http://schemas.openxmlformats.org/officeDocument/2006/relationships/image" Target="../media/image9.png"/><Relationship Id="rId3" Type="http://schemas.openxmlformats.org/officeDocument/2006/relationships/image" Target="../media/image2.png"/><Relationship Id="rId7" Type="http://schemas.openxmlformats.org/officeDocument/2006/relationships/image" Target="../media/image6.jpg"/><Relationship Id="rId12" Type="http://schemas.openxmlformats.org/officeDocument/2006/relationships/hyperlink" Target="#&#31721;&#36984;&#21543;!G12"/><Relationship Id="rId17" Type="http://schemas.openxmlformats.org/officeDocument/2006/relationships/image" Target="../media/image12.png"/><Relationship Id="rId2" Type="http://schemas.openxmlformats.org/officeDocument/2006/relationships/image" Target="../media/image1.png"/><Relationship Id="rId16" Type="http://schemas.openxmlformats.org/officeDocument/2006/relationships/hyperlink" Target="#&#24235;&#23384;&#31649;&#29702;!P7"/><Relationship Id="rId1" Type="http://schemas.openxmlformats.org/officeDocument/2006/relationships/hyperlink" Target="#' &#20351;&#29992;&#35498;&#26126;'!A1"/><Relationship Id="rId6" Type="http://schemas.openxmlformats.org/officeDocument/2006/relationships/image" Target="../media/image5.svg"/><Relationship Id="rId11" Type="http://schemas.openxmlformats.org/officeDocument/2006/relationships/image" Target="../media/image8.png"/><Relationship Id="rId5" Type="http://schemas.openxmlformats.org/officeDocument/2006/relationships/image" Target="../media/image4.png"/><Relationship Id="rId15" Type="http://schemas.openxmlformats.org/officeDocument/2006/relationships/image" Target="../media/image11.svg"/><Relationship Id="rId10" Type="http://schemas.openxmlformats.org/officeDocument/2006/relationships/hyperlink" Target="#&#33258;&#30001;&#36984;!B8"/><Relationship Id="rId4" Type="http://schemas.openxmlformats.org/officeDocument/2006/relationships/image" Target="../media/image3.svg"/><Relationship Id="rId9" Type="http://schemas.openxmlformats.org/officeDocument/2006/relationships/image" Target="../media/image7.pn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hyperlink" Target="https://b2bteamservice.com/FirstBankCashFlow" TargetMode="External"/><Relationship Id="rId6" Type="http://schemas.openxmlformats.org/officeDocument/2006/relationships/hyperlink" Target="#&#20027;&#30059;&#38754;!A1"/><Relationship Id="rId5" Type="http://schemas.openxmlformats.org/officeDocument/2006/relationships/image" Target="../media/image16.svg"/><Relationship Id="rId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8" Type="http://schemas.openxmlformats.org/officeDocument/2006/relationships/image" Target="../media/image16.svg"/><Relationship Id="rId3" Type="http://schemas.openxmlformats.org/officeDocument/2006/relationships/chart" Target="../charts/chart3.xml"/><Relationship Id="rId7" Type="http://schemas.openxmlformats.org/officeDocument/2006/relationships/image" Target="../media/image15.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4.svg"/><Relationship Id="rId5" Type="http://schemas.openxmlformats.org/officeDocument/2006/relationships/image" Target="../media/image13.png"/><Relationship Id="rId4" Type="http://schemas.openxmlformats.org/officeDocument/2006/relationships/hyperlink" Target="https://b2bteamservice.com/FirstBankFreeSelection" TargetMode="External"/><Relationship Id="rId9" Type="http://schemas.openxmlformats.org/officeDocument/2006/relationships/hyperlink" Target="#&#20027;&#30059;&#38754;!A1"/></Relationships>
</file>

<file path=xl/drawings/_rels/drawing4.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4.svg"/><Relationship Id="rId7" Type="http://schemas.openxmlformats.org/officeDocument/2006/relationships/image" Target="../media/image17.png"/><Relationship Id="rId2" Type="http://schemas.openxmlformats.org/officeDocument/2006/relationships/image" Target="../media/image13.png"/><Relationship Id="rId1" Type="http://schemas.openxmlformats.org/officeDocument/2006/relationships/hyperlink" Target="https://b2bteamservice.com/FirstBankFilter" TargetMode="External"/><Relationship Id="rId6" Type="http://schemas.openxmlformats.org/officeDocument/2006/relationships/hyperlink" Target="#&#20027;&#30059;&#38754;!A1"/><Relationship Id="rId5" Type="http://schemas.openxmlformats.org/officeDocument/2006/relationships/image" Target="../media/image16.svg"/><Relationship Id="rId10" Type="http://schemas.openxmlformats.org/officeDocument/2006/relationships/image" Target="../media/image20.png"/><Relationship Id="rId4" Type="http://schemas.openxmlformats.org/officeDocument/2006/relationships/image" Target="../media/image15.png"/><Relationship Id="rId9" Type="http://schemas.openxmlformats.org/officeDocument/2006/relationships/image" Target="../media/image19.png"/></Relationships>
</file>

<file path=xl/drawings/_rels/drawing5.xml.rels><?xml version="1.0" encoding="UTF-8" standalone="yes"?>
<Relationships xmlns="http://schemas.openxmlformats.org/package/2006/relationships"><Relationship Id="rId3" Type="http://schemas.openxmlformats.org/officeDocument/2006/relationships/hyperlink" Target="#&#20027;&#30059;&#38754;!A1"/><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25.png"/><Relationship Id="rId18" Type="http://schemas.openxmlformats.org/officeDocument/2006/relationships/image" Target="../media/image28.png"/><Relationship Id="rId26" Type="http://schemas.openxmlformats.org/officeDocument/2006/relationships/hyperlink" Target="https://b2bteamservice.com/FirstBankBondSwap" TargetMode="External"/><Relationship Id="rId3" Type="http://schemas.openxmlformats.org/officeDocument/2006/relationships/chart" Target="../charts/chart6.xml"/><Relationship Id="rId21" Type="http://schemas.openxmlformats.org/officeDocument/2006/relationships/image" Target="../media/image31.png"/><Relationship Id="rId7" Type="http://schemas.openxmlformats.org/officeDocument/2006/relationships/image" Target="../media/image14.svg"/><Relationship Id="rId12" Type="http://schemas.openxmlformats.org/officeDocument/2006/relationships/image" Target="../media/image24.png"/><Relationship Id="rId17" Type="http://schemas.openxmlformats.org/officeDocument/2006/relationships/image" Target="../media/image27.png"/><Relationship Id="rId25" Type="http://schemas.openxmlformats.org/officeDocument/2006/relationships/image" Target="../media/image35.png"/><Relationship Id="rId2" Type="http://schemas.openxmlformats.org/officeDocument/2006/relationships/chart" Target="../charts/chart5.xml"/><Relationship Id="rId16" Type="http://schemas.openxmlformats.org/officeDocument/2006/relationships/image" Target="../media/image26.png"/><Relationship Id="rId20" Type="http://schemas.openxmlformats.org/officeDocument/2006/relationships/image" Target="../media/image30.png"/><Relationship Id="rId29" Type="http://schemas.openxmlformats.org/officeDocument/2006/relationships/hyperlink" Target="https://b2bteamservice.com/FirstBankCalculationEdition" TargetMode="External"/><Relationship Id="rId1" Type="http://schemas.openxmlformats.org/officeDocument/2006/relationships/chart" Target="../charts/chart4.xml"/><Relationship Id="rId6" Type="http://schemas.openxmlformats.org/officeDocument/2006/relationships/image" Target="../media/image13.png"/><Relationship Id="rId11" Type="http://schemas.openxmlformats.org/officeDocument/2006/relationships/hyperlink" Target="https://b2bteamservice.com/FirstBankPosition" TargetMode="External"/><Relationship Id="rId24" Type="http://schemas.openxmlformats.org/officeDocument/2006/relationships/image" Target="../media/image34.png"/><Relationship Id="rId5" Type="http://schemas.openxmlformats.org/officeDocument/2006/relationships/hyperlink" Target="https://b2bteamservice.com/FirstBankPositionUpgraded" TargetMode="External"/><Relationship Id="rId15" Type="http://schemas.openxmlformats.org/officeDocument/2006/relationships/chart" Target="../charts/chart9.xml"/><Relationship Id="rId23" Type="http://schemas.openxmlformats.org/officeDocument/2006/relationships/image" Target="../media/image33.png"/><Relationship Id="rId28" Type="http://schemas.openxmlformats.org/officeDocument/2006/relationships/image" Target="../media/image36.png"/><Relationship Id="rId10" Type="http://schemas.openxmlformats.org/officeDocument/2006/relationships/hyperlink" Target="#&#20027;&#30059;&#38754;!A1"/><Relationship Id="rId19" Type="http://schemas.openxmlformats.org/officeDocument/2006/relationships/image" Target="../media/image29.png"/><Relationship Id="rId4" Type="http://schemas.openxmlformats.org/officeDocument/2006/relationships/chart" Target="../charts/chart7.xml"/><Relationship Id="rId9" Type="http://schemas.openxmlformats.org/officeDocument/2006/relationships/image" Target="../media/image16.svg"/><Relationship Id="rId14" Type="http://schemas.openxmlformats.org/officeDocument/2006/relationships/chart" Target="../charts/chart8.xml"/><Relationship Id="rId22" Type="http://schemas.openxmlformats.org/officeDocument/2006/relationships/image" Target="../media/image32.png"/><Relationship Id="rId27" Type="http://schemas.openxmlformats.org/officeDocument/2006/relationships/hyperlink" Target="https://b2bteamservice.com/FirstBankMultipleBondSwap"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38.png"/><Relationship Id="rId1" Type="http://schemas.openxmlformats.org/officeDocument/2006/relationships/image" Target="../media/image37.png"/></Relationships>
</file>

<file path=xl/drawings/_rels/drawing8.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image" Target="../media/image33.png"/><Relationship Id="rId3" Type="http://schemas.openxmlformats.org/officeDocument/2006/relationships/hyperlink" Target="https://b2bteamservice.com/FirstBankPosition" TargetMode="External"/><Relationship Id="rId7" Type="http://schemas.openxmlformats.org/officeDocument/2006/relationships/image" Target="../media/image25.png"/><Relationship Id="rId12" Type="http://schemas.openxmlformats.org/officeDocument/2006/relationships/image" Target="../media/image32.png"/><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image" Target="../media/image24.png"/><Relationship Id="rId11" Type="http://schemas.openxmlformats.org/officeDocument/2006/relationships/chart" Target="../charts/chart14.xml"/><Relationship Id="rId5" Type="http://schemas.openxmlformats.org/officeDocument/2006/relationships/image" Target="../media/image14.svg"/><Relationship Id="rId10" Type="http://schemas.openxmlformats.org/officeDocument/2006/relationships/chart" Target="../charts/chart13.xml"/><Relationship Id="rId4" Type="http://schemas.openxmlformats.org/officeDocument/2006/relationships/image" Target="../media/image13.png"/><Relationship Id="rId9" Type="http://schemas.openxmlformats.org/officeDocument/2006/relationships/image" Target="../media/image26.png"/></Relationships>
</file>

<file path=xl/drawings/_rels/drawing10.xml.rels><?xml version="1.0" encoding="UTF-8" standalone="yes"?>
<Relationships xmlns="http://schemas.openxmlformats.org/package/2006/relationships"><Relationship Id="rId3" Type="http://schemas.openxmlformats.org/officeDocument/2006/relationships/hyperlink" Target="#&#20027;&#30059;&#38754;!A1"/><Relationship Id="rId2" Type="http://schemas.openxmlformats.org/officeDocument/2006/relationships/image" Target="../media/image16.svg"/><Relationship Id="rId1" Type="http://schemas.openxmlformats.org/officeDocument/2006/relationships/image" Target="../media/image15.png"/></Relationships>
</file>

<file path=xl/drawings/_rels/drawing11.xml.rels><?xml version="1.0" encoding="UTF-8" standalone="yes"?>
<Relationships xmlns="http://schemas.openxmlformats.org/package/2006/relationships"><Relationship Id="rId8" Type="http://schemas.openxmlformats.org/officeDocument/2006/relationships/hyperlink" Target="#&#20027;&#30059;&#38754;!A1"/><Relationship Id="rId3" Type="http://schemas.openxmlformats.org/officeDocument/2006/relationships/hyperlink" Target="https://b2bteamservice.com/FirstBankPositionPro" TargetMode="External"/><Relationship Id="rId7" Type="http://schemas.openxmlformats.org/officeDocument/2006/relationships/image" Target="../media/image16.svg"/><Relationship Id="rId12" Type="http://schemas.openxmlformats.org/officeDocument/2006/relationships/image" Target="../media/image40.svg"/><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media/image15.png"/><Relationship Id="rId11" Type="http://schemas.openxmlformats.org/officeDocument/2006/relationships/image" Target="../media/image39.png"/><Relationship Id="rId5" Type="http://schemas.openxmlformats.org/officeDocument/2006/relationships/image" Target="../media/image14.svg"/><Relationship Id="rId10" Type="http://schemas.openxmlformats.org/officeDocument/2006/relationships/hyperlink" Target="#&#24235;&#23384;&#31649;&#29702;!D44"/><Relationship Id="rId4" Type="http://schemas.openxmlformats.org/officeDocument/2006/relationships/image" Target="../media/image13.png"/><Relationship Id="rId9"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7</xdr:col>
      <xdr:colOff>447260</xdr:colOff>
      <xdr:row>70</xdr:row>
      <xdr:rowOff>18497</xdr:rowOff>
    </xdr:from>
    <xdr:to>
      <xdr:col>8</xdr:col>
      <xdr:colOff>751565</xdr:colOff>
      <xdr:row>75</xdr:row>
      <xdr:rowOff>39784</xdr:rowOff>
    </xdr:to>
    <xdr:sp macro="" textlink="">
      <xdr:nvSpPr>
        <xdr:cNvPr id="56" name="矩形: 圓角化同側角落 55">
          <a:extLst>
            <a:ext uri="{FF2B5EF4-FFF2-40B4-BE49-F238E27FC236}">
              <a16:creationId xmlns:a16="http://schemas.microsoft.com/office/drawing/2014/main" id="{00000000-0008-0000-0000-000038000000}"/>
            </a:ext>
          </a:extLst>
        </xdr:cNvPr>
        <xdr:cNvSpPr/>
      </xdr:nvSpPr>
      <xdr:spPr>
        <a:xfrm>
          <a:off x="6129130" y="13825606"/>
          <a:ext cx="1116000" cy="1015200"/>
        </a:xfrm>
        <a:prstGeom prst="round2SameRect">
          <a:avLst>
            <a:gd name="adj1" fmla="val 7803"/>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clientData/>
  </xdr:twoCellAnchor>
  <xdr:twoCellAnchor>
    <xdr:from>
      <xdr:col>15</xdr:col>
      <xdr:colOff>231322</xdr:colOff>
      <xdr:row>0</xdr:row>
      <xdr:rowOff>0</xdr:rowOff>
    </xdr:from>
    <xdr:to>
      <xdr:col>17</xdr:col>
      <xdr:colOff>64861</xdr:colOff>
      <xdr:row>1</xdr:row>
      <xdr:rowOff>0</xdr:rowOff>
    </xdr:to>
    <xdr:sp macro="" textlink="">
      <xdr:nvSpPr>
        <xdr:cNvPr id="2" name="文字方塊 1">
          <a:hlinkClick xmlns:r="http://schemas.openxmlformats.org/officeDocument/2006/relationships" r:id="rId1"/>
          <a:extLst>
            <a:ext uri="{FF2B5EF4-FFF2-40B4-BE49-F238E27FC236}">
              <a16:creationId xmlns:a16="http://schemas.microsoft.com/office/drawing/2014/main" id="{00000000-0008-0000-0000-000002000000}"/>
            </a:ext>
          </a:extLst>
        </xdr:cNvPr>
        <xdr:cNvSpPr txBox="1"/>
      </xdr:nvSpPr>
      <xdr:spPr>
        <a:xfrm>
          <a:off x="11947072" y="0"/>
          <a:ext cx="1395639" cy="19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a:solidFill>
                <a:schemeClr val="bg1">
                  <a:lumMod val="50000"/>
                </a:schemeClr>
              </a:solidFill>
              <a:latin typeface="微軟正黑體" panose="020B0604030504040204" pitchFamily="34" charset="-120"/>
              <a:ea typeface="微軟正黑體" panose="020B0604030504040204" pitchFamily="34" charset="-120"/>
            </a:rPr>
            <a:t>使用說明</a:t>
          </a:r>
        </a:p>
      </xdr:txBody>
    </xdr:sp>
    <xdr:clientData/>
  </xdr:twoCellAnchor>
  <xdr:twoCellAnchor>
    <xdr:from>
      <xdr:col>3</xdr:col>
      <xdr:colOff>749029</xdr:colOff>
      <xdr:row>31</xdr:row>
      <xdr:rowOff>197520</xdr:rowOff>
    </xdr:from>
    <xdr:to>
      <xdr:col>5</xdr:col>
      <xdr:colOff>12701</xdr:colOff>
      <xdr:row>35</xdr:row>
      <xdr:rowOff>66850</xdr:rowOff>
    </xdr:to>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3092179" y="5762625"/>
          <a:ext cx="825772" cy="0"/>
        </a:xfrm>
        <a:prstGeom prst="rect">
          <a:avLst/>
        </a:prstGeom>
      </xdr:spPr>
    </xdr:pic>
    <xdr:clientData/>
  </xdr:twoCellAnchor>
  <xdr:twoCellAnchor>
    <xdr:from>
      <xdr:col>11</xdr:col>
      <xdr:colOff>679618</xdr:colOff>
      <xdr:row>31</xdr:row>
      <xdr:rowOff>164835</xdr:rowOff>
    </xdr:from>
    <xdr:to>
      <xdr:col>13</xdr:col>
      <xdr:colOff>43708</xdr:colOff>
      <xdr:row>35</xdr:row>
      <xdr:rowOff>102709</xdr:rowOff>
    </xdr:to>
    <xdr:pic>
      <xdr:nvPicPr>
        <xdr:cNvPr id="4" name="圖形 12" descr="放大鏡 以實心填滿">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9271168" y="5762625"/>
          <a:ext cx="926190" cy="0"/>
        </a:xfrm>
        <a:prstGeom prst="rect">
          <a:avLst/>
        </a:prstGeom>
      </xdr:spPr>
    </xdr:pic>
    <xdr:clientData/>
  </xdr:twoCellAnchor>
  <xdr:twoCellAnchor>
    <xdr:from>
      <xdr:col>7</xdr:col>
      <xdr:colOff>716932</xdr:colOff>
      <xdr:row>31</xdr:row>
      <xdr:rowOff>163225</xdr:rowOff>
    </xdr:from>
    <xdr:to>
      <xdr:col>9</xdr:col>
      <xdr:colOff>74011</xdr:colOff>
      <xdr:row>35</xdr:row>
      <xdr:rowOff>104319</xdr:rowOff>
    </xdr:to>
    <xdr:pic>
      <xdr:nvPicPr>
        <xdr:cNvPr id="5" name="圖形 20" descr="購物車 以實心填滿">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6184282" y="5762625"/>
          <a:ext cx="919179" cy="0"/>
        </a:xfrm>
        <a:prstGeom prst="rect">
          <a:avLst/>
        </a:prstGeom>
      </xdr:spPr>
    </xdr:pic>
    <xdr:clientData/>
  </xdr:twoCellAnchor>
  <xdr:twoCellAnchor editAs="oneCell">
    <xdr:from>
      <xdr:col>0</xdr:col>
      <xdr:colOff>246288</xdr:colOff>
      <xdr:row>1</xdr:row>
      <xdr:rowOff>165652</xdr:rowOff>
    </xdr:from>
    <xdr:to>
      <xdr:col>13</xdr:col>
      <xdr:colOff>496233</xdr:colOff>
      <xdr:row>28</xdr:row>
      <xdr:rowOff>48560</xdr:rowOff>
    </xdr:to>
    <xdr:pic>
      <xdr:nvPicPr>
        <xdr:cNvPr id="6" name="object 2">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7" cstate="print"/>
        <a:srcRect t="1534"/>
        <a:stretch/>
      </xdr:blipFill>
      <xdr:spPr>
        <a:xfrm>
          <a:off x="246288" y="190500"/>
          <a:ext cx="10801988" cy="5382560"/>
        </a:xfrm>
        <a:prstGeom prst="rect">
          <a:avLst/>
        </a:prstGeom>
      </xdr:spPr>
    </xdr:pic>
    <xdr:clientData/>
  </xdr:twoCellAnchor>
  <xdr:oneCellAnchor>
    <xdr:from>
      <xdr:col>0</xdr:col>
      <xdr:colOff>735047</xdr:colOff>
      <xdr:row>2</xdr:row>
      <xdr:rowOff>102991</xdr:rowOff>
    </xdr:from>
    <xdr:ext cx="4769876" cy="2309671"/>
    <xdr:sp macro="" textlink="">
      <xdr:nvSpPr>
        <xdr:cNvPr id="12" name="文字方塊 11">
          <a:extLst>
            <a:ext uri="{FF2B5EF4-FFF2-40B4-BE49-F238E27FC236}">
              <a16:creationId xmlns:a16="http://schemas.microsoft.com/office/drawing/2014/main" id="{00000000-0008-0000-0000-00000C000000}"/>
            </a:ext>
          </a:extLst>
        </xdr:cNvPr>
        <xdr:cNvSpPr txBox="1"/>
      </xdr:nvSpPr>
      <xdr:spPr>
        <a:xfrm>
          <a:off x="735047" y="334312"/>
          <a:ext cx="4769876" cy="230967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TW" altLang="en-US" sz="6000" b="1" spc="400" baseline="0">
              <a:solidFill>
                <a:srgbClr val="005439"/>
              </a:solidFill>
              <a:effectLst/>
            </a:rPr>
            <a:t>海外債券</a:t>
          </a:r>
          <a:endParaRPr lang="en-US" altLang="zh-TW" sz="6000" b="1" spc="400" baseline="0">
            <a:solidFill>
              <a:srgbClr val="005439"/>
            </a:solidFill>
            <a:effectLst/>
          </a:endParaRPr>
        </a:p>
        <a:p>
          <a:r>
            <a:rPr lang="zh-TW" altLang="en-US" sz="4000" b="1" spc="350" baseline="0">
              <a:solidFill>
                <a:srgbClr val="005439"/>
              </a:solidFill>
              <a:effectLst/>
            </a:rPr>
            <a:t>投資商品小工具</a:t>
          </a:r>
        </a:p>
      </xdr:txBody>
    </xdr:sp>
    <xdr:clientData/>
  </xdr:oneCellAnchor>
  <xdr:twoCellAnchor editAs="oneCell">
    <xdr:from>
      <xdr:col>13</xdr:col>
      <xdr:colOff>682226</xdr:colOff>
      <xdr:row>1</xdr:row>
      <xdr:rowOff>133938</xdr:rowOff>
    </xdr:from>
    <xdr:to>
      <xdr:col>16</xdr:col>
      <xdr:colOff>257482</xdr:colOff>
      <xdr:row>7</xdr:row>
      <xdr:rowOff>56112</xdr:rowOff>
    </xdr:to>
    <xdr:pic>
      <xdr:nvPicPr>
        <xdr:cNvPr id="7" name="圖片 6">
          <a:hlinkClick xmlns:r="http://schemas.openxmlformats.org/officeDocument/2006/relationships" r:id="rId8"/>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9"/>
        <a:stretch>
          <a:fillRect/>
        </a:stretch>
      </xdr:blipFill>
      <xdr:spPr>
        <a:xfrm>
          <a:off x="11268050" y="160085"/>
          <a:ext cx="2018138" cy="1256234"/>
        </a:xfrm>
        <a:prstGeom prst="rect">
          <a:avLst/>
        </a:prstGeom>
      </xdr:spPr>
    </xdr:pic>
    <xdr:clientData/>
  </xdr:twoCellAnchor>
  <xdr:twoCellAnchor editAs="oneCell">
    <xdr:from>
      <xdr:col>13</xdr:col>
      <xdr:colOff>690164</xdr:colOff>
      <xdr:row>8</xdr:row>
      <xdr:rowOff>24762</xdr:rowOff>
    </xdr:from>
    <xdr:to>
      <xdr:col>16</xdr:col>
      <xdr:colOff>246370</xdr:colOff>
      <xdr:row>14</xdr:row>
      <xdr:rowOff>66283</xdr:rowOff>
    </xdr:to>
    <xdr:pic>
      <xdr:nvPicPr>
        <xdr:cNvPr id="8" name="圖片 7">
          <a:hlinkClick xmlns:r="http://schemas.openxmlformats.org/officeDocument/2006/relationships" r:id="rId10"/>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11275988" y="1589850"/>
          <a:ext cx="2002263" cy="1248582"/>
        </a:xfrm>
        <a:prstGeom prst="rect">
          <a:avLst/>
        </a:prstGeom>
      </xdr:spPr>
    </xdr:pic>
    <xdr:clientData/>
  </xdr:twoCellAnchor>
  <xdr:twoCellAnchor editAs="oneCell">
    <xdr:from>
      <xdr:col>13</xdr:col>
      <xdr:colOff>685401</xdr:colOff>
      <xdr:row>15</xdr:row>
      <xdr:rowOff>38109</xdr:rowOff>
    </xdr:from>
    <xdr:to>
      <xdr:col>16</xdr:col>
      <xdr:colOff>257482</xdr:colOff>
      <xdr:row>21</xdr:row>
      <xdr:rowOff>65872</xdr:rowOff>
    </xdr:to>
    <xdr:pic>
      <xdr:nvPicPr>
        <xdr:cNvPr id="18" name="圖片 17">
          <a:hlinkClick xmlns:r="http://schemas.openxmlformats.org/officeDocument/2006/relationships" r:id="rId12"/>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3"/>
        <a:stretch>
          <a:fillRect/>
        </a:stretch>
      </xdr:blipFill>
      <xdr:spPr>
        <a:xfrm>
          <a:off x="11237444" y="2978435"/>
          <a:ext cx="2007168" cy="1220459"/>
        </a:xfrm>
        <a:prstGeom prst="rect">
          <a:avLst/>
        </a:prstGeom>
      </xdr:spPr>
    </xdr:pic>
    <xdr:clientData/>
  </xdr:twoCellAnchor>
  <xdr:twoCellAnchor>
    <xdr:from>
      <xdr:col>2</xdr:col>
      <xdr:colOff>0</xdr:colOff>
      <xdr:row>44</xdr:row>
      <xdr:rowOff>488</xdr:rowOff>
    </xdr:from>
    <xdr:to>
      <xdr:col>5</xdr:col>
      <xdr:colOff>1339</xdr:colOff>
      <xdr:row>49</xdr:row>
      <xdr:rowOff>24839</xdr:rowOff>
    </xdr:to>
    <xdr:sp macro="" textlink="">
      <xdr:nvSpPr>
        <xdr:cNvPr id="20" name="矩形: 圓角化同側角落 19">
          <a:extLst>
            <a:ext uri="{FF2B5EF4-FFF2-40B4-BE49-F238E27FC236}">
              <a16:creationId xmlns:a16="http://schemas.microsoft.com/office/drawing/2014/main" id="{00000000-0008-0000-0000-000014000000}"/>
            </a:ext>
          </a:extLst>
        </xdr:cNvPr>
        <xdr:cNvSpPr/>
      </xdr:nvSpPr>
      <xdr:spPr>
        <a:xfrm>
          <a:off x="1619250" y="8842863"/>
          <a:ext cx="2430214" cy="1056226"/>
        </a:xfrm>
        <a:prstGeom prst="round2SameRect">
          <a:avLst>
            <a:gd name="adj1" fmla="val 14422"/>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clientData/>
  </xdr:twoCellAnchor>
  <xdr:twoCellAnchor>
    <xdr:from>
      <xdr:col>2</xdr:col>
      <xdr:colOff>778222</xdr:colOff>
      <xdr:row>45</xdr:row>
      <xdr:rowOff>15611</xdr:rowOff>
    </xdr:from>
    <xdr:to>
      <xdr:col>4</xdr:col>
      <xdr:colOff>39093</xdr:colOff>
      <xdr:row>48</xdr:row>
      <xdr:rowOff>105883</xdr:rowOff>
    </xdr:to>
    <xdr:pic>
      <xdr:nvPicPr>
        <xdr:cNvPr id="21" name="圖片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2"/>
        <a:stretch>
          <a:fillRect/>
        </a:stretch>
      </xdr:blipFill>
      <xdr:spPr>
        <a:xfrm>
          <a:off x="2397472" y="9064361"/>
          <a:ext cx="880121" cy="709397"/>
        </a:xfrm>
        <a:prstGeom prst="rect">
          <a:avLst/>
        </a:prstGeom>
      </xdr:spPr>
    </xdr:pic>
    <xdr:clientData/>
  </xdr:twoCellAnchor>
  <xdr:twoCellAnchor>
    <xdr:from>
      <xdr:col>2</xdr:col>
      <xdr:colOff>44560</xdr:colOff>
      <xdr:row>48</xdr:row>
      <xdr:rowOff>191434</xdr:rowOff>
    </xdr:from>
    <xdr:to>
      <xdr:col>4</xdr:col>
      <xdr:colOff>772754</xdr:colOff>
      <xdr:row>51</xdr:row>
      <xdr:rowOff>15502</xdr:rowOff>
    </xdr:to>
    <xdr:sp macro="" textlink="">
      <xdr:nvSpPr>
        <xdr:cNvPr id="23" name="文字方塊 22">
          <a:extLst>
            <a:ext uri="{FF2B5EF4-FFF2-40B4-BE49-F238E27FC236}">
              <a16:creationId xmlns:a16="http://schemas.microsoft.com/office/drawing/2014/main" id="{00000000-0008-0000-0000-000017000000}"/>
            </a:ext>
          </a:extLst>
        </xdr:cNvPr>
        <xdr:cNvSpPr txBox="1"/>
      </xdr:nvSpPr>
      <xdr:spPr>
        <a:xfrm>
          <a:off x="1663810" y="9859309"/>
          <a:ext cx="2347444" cy="443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en-US" sz="1800" b="1">
              <a:solidFill>
                <a:srgbClr val="297D6B"/>
              </a:solidFill>
              <a:latin typeface="+mj-ea"/>
              <a:ea typeface="+mj-ea"/>
            </a:rPr>
            <a:t>現金流試算表</a:t>
          </a:r>
        </a:p>
      </xdr:txBody>
    </xdr:sp>
    <xdr:clientData/>
  </xdr:twoCellAnchor>
  <xdr:twoCellAnchor>
    <xdr:from>
      <xdr:col>2</xdr:col>
      <xdr:colOff>8047</xdr:colOff>
      <xdr:row>44</xdr:row>
      <xdr:rowOff>0</xdr:rowOff>
    </xdr:from>
    <xdr:to>
      <xdr:col>4</xdr:col>
      <xdr:colOff>809267</xdr:colOff>
      <xdr:row>51</xdr:row>
      <xdr:rowOff>53601</xdr:rowOff>
    </xdr:to>
    <xdr:sp macro="" textlink="">
      <xdr:nvSpPr>
        <xdr:cNvPr id="24" name="矩形: 圓角化同側角落 23">
          <a:extLst>
            <a:ext uri="{FF2B5EF4-FFF2-40B4-BE49-F238E27FC236}">
              <a16:creationId xmlns:a16="http://schemas.microsoft.com/office/drawing/2014/main" id="{00000000-0008-0000-0000-000018000000}"/>
            </a:ext>
          </a:extLst>
        </xdr:cNvPr>
        <xdr:cNvSpPr/>
      </xdr:nvSpPr>
      <xdr:spPr>
        <a:xfrm>
          <a:off x="1627297" y="8842375"/>
          <a:ext cx="2420470" cy="1498226"/>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xdr:col>
      <xdr:colOff>0</xdr:colOff>
      <xdr:row>52</xdr:row>
      <xdr:rowOff>136826</xdr:rowOff>
    </xdr:from>
    <xdr:to>
      <xdr:col>5</xdr:col>
      <xdr:colOff>1339</xdr:colOff>
      <xdr:row>57</xdr:row>
      <xdr:rowOff>158002</xdr:rowOff>
    </xdr:to>
    <xdr:sp macro="" textlink="">
      <xdr:nvSpPr>
        <xdr:cNvPr id="25" name="矩形: 圓角化同側角落 24">
          <a:extLst>
            <a:ext uri="{FF2B5EF4-FFF2-40B4-BE49-F238E27FC236}">
              <a16:creationId xmlns:a16="http://schemas.microsoft.com/office/drawing/2014/main" id="{00000000-0008-0000-0000-000019000000}"/>
            </a:ext>
          </a:extLst>
        </xdr:cNvPr>
        <xdr:cNvSpPr/>
      </xdr:nvSpPr>
      <xdr:spPr>
        <a:xfrm>
          <a:off x="1619250" y="10677826"/>
          <a:ext cx="2430214" cy="1053051"/>
        </a:xfrm>
        <a:prstGeom prst="round2SameRect">
          <a:avLst>
            <a:gd name="adj1" fmla="val 14422"/>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clientData/>
  </xdr:twoCellAnchor>
  <xdr:twoCellAnchor>
    <xdr:from>
      <xdr:col>2</xdr:col>
      <xdr:colOff>36623</xdr:colOff>
      <xdr:row>57</xdr:row>
      <xdr:rowOff>118222</xdr:rowOff>
    </xdr:from>
    <xdr:to>
      <xdr:col>4</xdr:col>
      <xdr:colOff>780692</xdr:colOff>
      <xdr:row>59</xdr:row>
      <xdr:rowOff>148665</xdr:rowOff>
    </xdr:to>
    <xdr:sp macro="" textlink="">
      <xdr:nvSpPr>
        <xdr:cNvPr id="26" name="文字方塊 25">
          <a:extLst>
            <a:ext uri="{FF2B5EF4-FFF2-40B4-BE49-F238E27FC236}">
              <a16:creationId xmlns:a16="http://schemas.microsoft.com/office/drawing/2014/main" id="{00000000-0008-0000-0000-00001A000000}"/>
            </a:ext>
          </a:extLst>
        </xdr:cNvPr>
        <xdr:cNvSpPr txBox="1"/>
      </xdr:nvSpPr>
      <xdr:spPr>
        <a:xfrm>
          <a:off x="1655873" y="11691097"/>
          <a:ext cx="2363319" cy="443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en-US" sz="1800" b="1">
              <a:solidFill>
                <a:srgbClr val="297D6B"/>
              </a:solidFill>
              <a:latin typeface="+mj-ea"/>
              <a:ea typeface="+mj-ea"/>
            </a:rPr>
            <a:t>自由選</a:t>
          </a:r>
        </a:p>
      </xdr:txBody>
    </xdr:sp>
    <xdr:clientData/>
  </xdr:twoCellAnchor>
  <xdr:twoCellAnchor>
    <xdr:from>
      <xdr:col>2</xdr:col>
      <xdr:colOff>8047</xdr:colOff>
      <xdr:row>52</xdr:row>
      <xdr:rowOff>136338</xdr:rowOff>
    </xdr:from>
    <xdr:to>
      <xdr:col>4</xdr:col>
      <xdr:colOff>809267</xdr:colOff>
      <xdr:row>59</xdr:row>
      <xdr:rowOff>186764</xdr:rowOff>
    </xdr:to>
    <xdr:sp macro="" textlink="">
      <xdr:nvSpPr>
        <xdr:cNvPr id="27" name="矩形: 圓角化同側角落 26">
          <a:extLst>
            <a:ext uri="{FF2B5EF4-FFF2-40B4-BE49-F238E27FC236}">
              <a16:creationId xmlns:a16="http://schemas.microsoft.com/office/drawing/2014/main" id="{00000000-0008-0000-0000-00001B000000}"/>
            </a:ext>
          </a:extLst>
        </xdr:cNvPr>
        <xdr:cNvSpPr/>
      </xdr:nvSpPr>
      <xdr:spPr>
        <a:xfrm>
          <a:off x="1627297" y="10677338"/>
          <a:ext cx="2420470" cy="1495051"/>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xdr:col>
      <xdr:colOff>0</xdr:colOff>
      <xdr:row>61</xdr:row>
      <xdr:rowOff>147658</xdr:rowOff>
    </xdr:from>
    <xdr:to>
      <xdr:col>5</xdr:col>
      <xdr:colOff>1339</xdr:colOff>
      <xdr:row>66</xdr:row>
      <xdr:rowOff>172009</xdr:rowOff>
    </xdr:to>
    <xdr:sp macro="" textlink="">
      <xdr:nvSpPr>
        <xdr:cNvPr id="29" name="矩形: 圓角化同側角落 28">
          <a:extLst>
            <a:ext uri="{FF2B5EF4-FFF2-40B4-BE49-F238E27FC236}">
              <a16:creationId xmlns:a16="http://schemas.microsoft.com/office/drawing/2014/main" id="{00000000-0008-0000-0000-00001D000000}"/>
            </a:ext>
          </a:extLst>
        </xdr:cNvPr>
        <xdr:cNvSpPr/>
      </xdr:nvSpPr>
      <xdr:spPr>
        <a:xfrm>
          <a:off x="1619250" y="12546033"/>
          <a:ext cx="2430214" cy="1056226"/>
        </a:xfrm>
        <a:prstGeom prst="round2SameRect">
          <a:avLst>
            <a:gd name="adj1" fmla="val 14422"/>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clientData/>
  </xdr:twoCellAnchor>
  <xdr:twoCellAnchor>
    <xdr:from>
      <xdr:col>2</xdr:col>
      <xdr:colOff>731274</xdr:colOff>
      <xdr:row>53</xdr:row>
      <xdr:rowOff>73283</xdr:rowOff>
    </xdr:from>
    <xdr:to>
      <xdr:col>4</xdr:col>
      <xdr:colOff>86041</xdr:colOff>
      <xdr:row>57</xdr:row>
      <xdr:rowOff>33470</xdr:rowOff>
    </xdr:to>
    <xdr:pic>
      <xdr:nvPicPr>
        <xdr:cNvPr id="30" name="圖形 20" descr="購物車 以實心填滿">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350524" y="10820658"/>
          <a:ext cx="974017" cy="785687"/>
        </a:xfrm>
        <a:prstGeom prst="rect">
          <a:avLst/>
        </a:prstGeom>
      </xdr:spPr>
    </xdr:pic>
    <xdr:clientData/>
  </xdr:twoCellAnchor>
  <xdr:twoCellAnchor>
    <xdr:from>
      <xdr:col>2</xdr:col>
      <xdr:colOff>8047</xdr:colOff>
      <xdr:row>61</xdr:row>
      <xdr:rowOff>139139</xdr:rowOff>
    </xdr:from>
    <xdr:to>
      <xdr:col>4</xdr:col>
      <xdr:colOff>809267</xdr:colOff>
      <xdr:row>68</xdr:row>
      <xdr:rowOff>192740</xdr:rowOff>
    </xdr:to>
    <xdr:grpSp>
      <xdr:nvGrpSpPr>
        <xdr:cNvPr id="31" name="群組 30">
          <a:extLst>
            <a:ext uri="{FF2B5EF4-FFF2-40B4-BE49-F238E27FC236}">
              <a16:creationId xmlns:a16="http://schemas.microsoft.com/office/drawing/2014/main" id="{00000000-0008-0000-0000-00001F000000}"/>
            </a:ext>
          </a:extLst>
        </xdr:cNvPr>
        <xdr:cNvGrpSpPr/>
      </xdr:nvGrpSpPr>
      <xdr:grpSpPr>
        <a:xfrm>
          <a:off x="1620395" y="5919304"/>
          <a:ext cx="2413568" cy="0"/>
          <a:chOff x="1596107" y="11598088"/>
          <a:chExt cx="2420470" cy="1498226"/>
        </a:xfrm>
      </xdr:grpSpPr>
      <xdr:sp macro="" textlink="">
        <xdr:nvSpPr>
          <xdr:cNvPr id="32" name="文字方塊 31">
            <a:extLst>
              <a:ext uri="{FF2B5EF4-FFF2-40B4-BE49-F238E27FC236}">
                <a16:creationId xmlns:a16="http://schemas.microsoft.com/office/drawing/2014/main" id="{00000000-0008-0000-0000-000020000000}"/>
              </a:ext>
            </a:extLst>
          </xdr:cNvPr>
          <xdr:cNvSpPr txBox="1"/>
        </xdr:nvSpPr>
        <xdr:spPr>
          <a:xfrm>
            <a:off x="1624683" y="12615022"/>
            <a:ext cx="2363319" cy="443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en-US" sz="1800" b="1">
                <a:solidFill>
                  <a:srgbClr val="297D6B"/>
                </a:solidFill>
                <a:latin typeface="+mj-ea"/>
                <a:ea typeface="+mj-ea"/>
              </a:rPr>
              <a:t>篩選吧</a:t>
            </a:r>
          </a:p>
        </xdr:txBody>
      </xdr:sp>
      <xdr:sp macro="" textlink="">
        <xdr:nvSpPr>
          <xdr:cNvPr id="33" name="矩形: 圓角化同側角落 32">
            <a:extLst>
              <a:ext uri="{FF2B5EF4-FFF2-40B4-BE49-F238E27FC236}">
                <a16:creationId xmlns:a16="http://schemas.microsoft.com/office/drawing/2014/main" id="{00000000-0008-0000-0000-000021000000}"/>
              </a:ext>
            </a:extLst>
          </xdr:cNvPr>
          <xdr:cNvSpPr/>
        </xdr:nvSpPr>
        <xdr:spPr>
          <a:xfrm>
            <a:off x="1596107" y="11598088"/>
            <a:ext cx="2420470" cy="1498226"/>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pic>
        <xdr:nvPicPr>
          <xdr:cNvPr id="34" name="圖形 12" descr="放大鏡 以實心填滿">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319003" y="11702632"/>
            <a:ext cx="974678" cy="844780"/>
          </a:xfrm>
          <a:prstGeom prst="rect">
            <a:avLst/>
          </a:prstGeom>
        </xdr:spPr>
      </xdr:pic>
    </xdr:grpSp>
    <xdr:clientData/>
  </xdr:twoCellAnchor>
  <xdr:twoCellAnchor>
    <xdr:from>
      <xdr:col>2</xdr:col>
      <xdr:colOff>8047</xdr:colOff>
      <xdr:row>70</xdr:row>
      <xdr:rowOff>97117</xdr:rowOff>
    </xdr:from>
    <xdr:to>
      <xdr:col>5</xdr:col>
      <xdr:colOff>26926</xdr:colOff>
      <xdr:row>77</xdr:row>
      <xdr:rowOff>150718</xdr:rowOff>
    </xdr:to>
    <xdr:grpSp>
      <xdr:nvGrpSpPr>
        <xdr:cNvPr id="35" name="群組 34">
          <a:extLst>
            <a:ext uri="{FF2B5EF4-FFF2-40B4-BE49-F238E27FC236}">
              <a16:creationId xmlns:a16="http://schemas.microsoft.com/office/drawing/2014/main" id="{00000000-0008-0000-0000-000023000000}"/>
            </a:ext>
          </a:extLst>
        </xdr:cNvPr>
        <xdr:cNvGrpSpPr/>
      </xdr:nvGrpSpPr>
      <xdr:grpSpPr>
        <a:xfrm>
          <a:off x="1620395" y="5919304"/>
          <a:ext cx="2437401" cy="0"/>
          <a:chOff x="1596107" y="13413441"/>
          <a:chExt cx="2447754" cy="1498226"/>
        </a:xfrm>
      </xdr:grpSpPr>
      <xdr:sp macro="" textlink="">
        <xdr:nvSpPr>
          <xdr:cNvPr id="36" name="矩形: 圓角化同側角落 35">
            <a:extLst>
              <a:ext uri="{FF2B5EF4-FFF2-40B4-BE49-F238E27FC236}">
                <a16:creationId xmlns:a16="http://schemas.microsoft.com/office/drawing/2014/main" id="{00000000-0008-0000-0000-000024000000}"/>
              </a:ext>
            </a:extLst>
          </xdr:cNvPr>
          <xdr:cNvSpPr/>
        </xdr:nvSpPr>
        <xdr:spPr>
          <a:xfrm>
            <a:off x="1613647" y="13413929"/>
            <a:ext cx="2430214" cy="1056226"/>
          </a:xfrm>
          <a:prstGeom prst="round2SameRect">
            <a:avLst>
              <a:gd name="adj1" fmla="val 14422"/>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sp macro="" textlink="">
        <xdr:nvSpPr>
          <xdr:cNvPr id="37" name="文字方塊 36">
            <a:extLst>
              <a:ext uri="{FF2B5EF4-FFF2-40B4-BE49-F238E27FC236}">
                <a16:creationId xmlns:a16="http://schemas.microsoft.com/office/drawing/2014/main" id="{00000000-0008-0000-0000-000025000000}"/>
              </a:ext>
            </a:extLst>
          </xdr:cNvPr>
          <xdr:cNvSpPr txBox="1"/>
        </xdr:nvSpPr>
        <xdr:spPr>
          <a:xfrm>
            <a:off x="1624683" y="14430375"/>
            <a:ext cx="2363319" cy="443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en-US" sz="1800" b="1">
                <a:solidFill>
                  <a:srgbClr val="297D6B"/>
                </a:solidFill>
                <a:latin typeface="+mj-ea"/>
                <a:ea typeface="+mj-ea"/>
              </a:rPr>
              <a:t>庫存管理</a:t>
            </a:r>
          </a:p>
        </xdr:txBody>
      </xdr:sp>
      <xdr:sp macro="" textlink="">
        <xdr:nvSpPr>
          <xdr:cNvPr id="38" name="矩形: 圓角化同側角落 37">
            <a:extLst>
              <a:ext uri="{FF2B5EF4-FFF2-40B4-BE49-F238E27FC236}">
                <a16:creationId xmlns:a16="http://schemas.microsoft.com/office/drawing/2014/main" id="{00000000-0008-0000-0000-000026000000}"/>
              </a:ext>
            </a:extLst>
          </xdr:cNvPr>
          <xdr:cNvSpPr/>
        </xdr:nvSpPr>
        <xdr:spPr>
          <a:xfrm>
            <a:off x="1596107" y="13413441"/>
            <a:ext cx="2420470" cy="1498226"/>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pic>
        <xdr:nvPicPr>
          <xdr:cNvPr id="39" name="圖形 38" descr="上升趨勢的橫條圖 以實心填滿">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355363" y="13519323"/>
            <a:ext cx="901958" cy="854649"/>
          </a:xfrm>
          <a:prstGeom prst="rect">
            <a:avLst/>
          </a:prstGeom>
        </xdr:spPr>
      </xdr:pic>
    </xdr:grpSp>
    <xdr:clientData/>
  </xdr:twoCellAnchor>
  <xdr:twoCellAnchor>
    <xdr:from>
      <xdr:col>6</xdr:col>
      <xdr:colOff>9334</xdr:colOff>
      <xdr:row>70</xdr:row>
      <xdr:rowOff>8755</xdr:rowOff>
    </xdr:from>
    <xdr:to>
      <xdr:col>7</xdr:col>
      <xdr:colOff>313638</xdr:colOff>
      <xdr:row>75</xdr:row>
      <xdr:rowOff>30042</xdr:rowOff>
    </xdr:to>
    <xdr:sp macro="" textlink="">
      <xdr:nvSpPr>
        <xdr:cNvPr id="10" name="矩形: 圓角化同側角落 9">
          <a:extLst>
            <a:ext uri="{FF2B5EF4-FFF2-40B4-BE49-F238E27FC236}">
              <a16:creationId xmlns:a16="http://schemas.microsoft.com/office/drawing/2014/main" id="{00000000-0008-0000-0000-00000A000000}"/>
            </a:ext>
          </a:extLst>
        </xdr:cNvPr>
        <xdr:cNvSpPr/>
      </xdr:nvSpPr>
      <xdr:spPr>
        <a:xfrm>
          <a:off x="4879508" y="13815864"/>
          <a:ext cx="1116000" cy="1015200"/>
        </a:xfrm>
        <a:prstGeom prst="round2SameRect">
          <a:avLst>
            <a:gd name="adj1" fmla="val 9527"/>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clientData/>
  </xdr:twoCellAnchor>
  <xdr:twoCellAnchor>
    <xdr:from>
      <xdr:col>6</xdr:col>
      <xdr:colOff>2</xdr:colOff>
      <xdr:row>74</xdr:row>
      <xdr:rowOff>189418</xdr:rowOff>
    </xdr:from>
    <xdr:to>
      <xdr:col>7</xdr:col>
      <xdr:colOff>303281</xdr:colOff>
      <xdr:row>77</xdr:row>
      <xdr:rowOff>28005</xdr:rowOff>
    </xdr:to>
    <xdr:sp macro="" textlink="">
      <xdr:nvSpPr>
        <xdr:cNvPr id="11" name="文字方塊 10">
          <a:extLst>
            <a:ext uri="{FF2B5EF4-FFF2-40B4-BE49-F238E27FC236}">
              <a16:creationId xmlns:a16="http://schemas.microsoft.com/office/drawing/2014/main" id="{00000000-0008-0000-0000-00000B000000}"/>
            </a:ext>
          </a:extLst>
        </xdr:cNvPr>
        <xdr:cNvSpPr txBox="1"/>
      </xdr:nvSpPr>
      <xdr:spPr>
        <a:xfrm>
          <a:off x="4870176" y="12522222"/>
          <a:ext cx="1114975" cy="4349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en-US" sz="1800" b="1">
              <a:solidFill>
                <a:srgbClr val="297D6B"/>
              </a:solidFill>
              <a:latin typeface="+mj-ea"/>
              <a:ea typeface="+mj-ea"/>
            </a:rPr>
            <a:t>庫存管理</a:t>
          </a:r>
        </a:p>
      </xdr:txBody>
    </xdr:sp>
    <xdr:clientData/>
  </xdr:twoCellAnchor>
  <xdr:twoCellAnchor>
    <xdr:from>
      <xdr:col>6</xdr:col>
      <xdr:colOff>226631</xdr:colOff>
      <xdr:row>71</xdr:row>
      <xdr:rowOff>38175</xdr:rowOff>
    </xdr:from>
    <xdr:to>
      <xdr:col>7</xdr:col>
      <xdr:colOff>76651</xdr:colOff>
      <xdr:row>74</xdr:row>
      <xdr:rowOff>38417</xdr:rowOff>
    </xdr:to>
    <xdr:pic>
      <xdr:nvPicPr>
        <xdr:cNvPr id="16" name="圖形 15" descr="上升趨勢的橫條圖 以實心填滿">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096805" y="14044066"/>
          <a:ext cx="661716" cy="596590"/>
        </a:xfrm>
        <a:prstGeom prst="rect">
          <a:avLst/>
        </a:prstGeom>
      </xdr:spPr>
    </xdr:pic>
    <xdr:clientData/>
  </xdr:twoCellAnchor>
  <xdr:twoCellAnchor>
    <xdr:from>
      <xdr:col>5</xdr:col>
      <xdr:colOff>808520</xdr:colOff>
      <xdr:row>70</xdr:row>
      <xdr:rowOff>1</xdr:rowOff>
    </xdr:from>
    <xdr:to>
      <xdr:col>7</xdr:col>
      <xdr:colOff>301128</xdr:colOff>
      <xdr:row>77</xdr:row>
      <xdr:rowOff>56924</xdr:rowOff>
    </xdr:to>
    <xdr:sp macro="" textlink="">
      <xdr:nvSpPr>
        <xdr:cNvPr id="13" name="矩形: 圓角化同側角落 12">
          <a:extLst>
            <a:ext uri="{FF2B5EF4-FFF2-40B4-BE49-F238E27FC236}">
              <a16:creationId xmlns:a16="http://schemas.microsoft.com/office/drawing/2014/main" id="{00000000-0008-0000-0000-00000D000000}"/>
            </a:ext>
          </a:extLst>
        </xdr:cNvPr>
        <xdr:cNvSpPr/>
      </xdr:nvSpPr>
      <xdr:spPr>
        <a:xfrm>
          <a:off x="4866998" y="13807110"/>
          <a:ext cx="1116000" cy="1448401"/>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0</xdr:colOff>
      <xdr:row>78</xdr:row>
      <xdr:rowOff>0</xdr:rowOff>
    </xdr:from>
    <xdr:to>
      <xdr:col>8</xdr:col>
      <xdr:colOff>314738</xdr:colOff>
      <xdr:row>85</xdr:row>
      <xdr:rowOff>47765</xdr:rowOff>
    </xdr:to>
    <xdr:grpSp>
      <xdr:nvGrpSpPr>
        <xdr:cNvPr id="111" name="群組 110">
          <a:extLst>
            <a:ext uri="{FF2B5EF4-FFF2-40B4-BE49-F238E27FC236}">
              <a16:creationId xmlns:a16="http://schemas.microsoft.com/office/drawing/2014/main" id="{00000000-0008-0000-0000-00006F000000}"/>
            </a:ext>
          </a:extLst>
        </xdr:cNvPr>
        <xdr:cNvGrpSpPr/>
      </xdr:nvGrpSpPr>
      <xdr:grpSpPr>
        <a:xfrm>
          <a:off x="5643217" y="5919304"/>
          <a:ext cx="1120912" cy="0"/>
          <a:chOff x="5681870" y="13127935"/>
          <a:chExt cx="1126433" cy="1439243"/>
        </a:xfrm>
      </xdr:grpSpPr>
      <xdr:grpSp>
        <xdr:nvGrpSpPr>
          <xdr:cNvPr id="79" name="群組 78">
            <a:extLst>
              <a:ext uri="{FF2B5EF4-FFF2-40B4-BE49-F238E27FC236}">
                <a16:creationId xmlns:a16="http://schemas.microsoft.com/office/drawing/2014/main" id="{00000000-0008-0000-0000-00004F000000}"/>
              </a:ext>
            </a:extLst>
          </xdr:cNvPr>
          <xdr:cNvGrpSpPr/>
        </xdr:nvGrpSpPr>
        <xdr:grpSpPr>
          <a:xfrm>
            <a:off x="5691949" y="13127935"/>
            <a:ext cx="1116000" cy="1230933"/>
            <a:chOff x="5691949" y="13127935"/>
            <a:chExt cx="1116000" cy="1230933"/>
          </a:xfrm>
        </xdr:grpSpPr>
        <xdr:sp macro="" textlink="">
          <xdr:nvSpPr>
            <xdr:cNvPr id="72" name="箭號: 向右 71">
              <a:extLst>
                <a:ext uri="{FF2B5EF4-FFF2-40B4-BE49-F238E27FC236}">
                  <a16:creationId xmlns:a16="http://schemas.microsoft.com/office/drawing/2014/main" id="{00000000-0008-0000-0000-000048000000}"/>
                </a:ext>
              </a:extLst>
            </xdr:cNvPr>
            <xdr:cNvSpPr/>
          </xdr:nvSpPr>
          <xdr:spPr>
            <a:xfrm rot="16200000">
              <a:off x="6547403" y="14164228"/>
              <a:ext cx="207066" cy="182214"/>
            </a:xfrm>
            <a:prstGeom prst="rightArrow">
              <a:avLst/>
            </a:prstGeom>
            <a:solidFill>
              <a:srgbClr val="FFFF00"/>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 textlink="">
          <xdr:nvSpPr>
            <xdr:cNvPr id="67" name="矩形: 圓角化同側角落 66">
              <a:extLst>
                <a:ext uri="{FF2B5EF4-FFF2-40B4-BE49-F238E27FC236}">
                  <a16:creationId xmlns:a16="http://schemas.microsoft.com/office/drawing/2014/main" id="{00000000-0008-0000-0000-000043000000}"/>
                </a:ext>
              </a:extLst>
            </xdr:cNvPr>
            <xdr:cNvSpPr/>
          </xdr:nvSpPr>
          <xdr:spPr>
            <a:xfrm>
              <a:off x="5691949" y="13127935"/>
              <a:ext cx="1116000" cy="1012025"/>
            </a:xfrm>
            <a:prstGeom prst="round2SameRect">
              <a:avLst>
                <a:gd name="adj1" fmla="val 7803"/>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pic>
          <xdr:nvPicPr>
            <xdr:cNvPr id="68" name="圖形 67" descr="上升趨勢的橫條圖 以實心填滿">
              <a:extLst>
                <a:ext uri="{FF2B5EF4-FFF2-40B4-BE49-F238E27FC236}">
                  <a16:creationId xmlns:a16="http://schemas.microsoft.com/office/drawing/2014/main" id="{00000000-0008-0000-0000-000044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5776934" y="13193723"/>
              <a:ext cx="936867" cy="862454"/>
            </a:xfrm>
            <a:prstGeom prst="rect">
              <a:avLst/>
            </a:prstGeom>
          </xdr:spPr>
        </xdr:pic>
      </xdr:grpSp>
      <xdr:sp macro="" textlink="">
        <xdr:nvSpPr>
          <xdr:cNvPr id="69" name="文字方塊 68">
            <a:extLst>
              <a:ext uri="{FF2B5EF4-FFF2-40B4-BE49-F238E27FC236}">
                <a16:creationId xmlns:a16="http://schemas.microsoft.com/office/drawing/2014/main" id="{00000000-0008-0000-0000-000045000000}"/>
              </a:ext>
            </a:extLst>
          </xdr:cNvPr>
          <xdr:cNvSpPr txBox="1"/>
        </xdr:nvSpPr>
        <xdr:spPr>
          <a:xfrm>
            <a:off x="5711688" y="14141897"/>
            <a:ext cx="1096615" cy="378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zh-TW" sz="1400" b="1">
                <a:solidFill>
                  <a:srgbClr val="297D6B"/>
                </a:solidFill>
                <a:latin typeface="+mj-ea"/>
                <a:ea typeface="+mj-ea"/>
                <a:cs typeface="+mn-cs"/>
              </a:rPr>
              <a:t>庫存</a:t>
            </a:r>
            <a:r>
              <a:rPr lang="zh-TW" altLang="en-US" sz="1400" b="1">
                <a:solidFill>
                  <a:srgbClr val="297D6B"/>
                </a:solidFill>
                <a:latin typeface="+mj-ea"/>
                <a:ea typeface="+mj-ea"/>
                <a:cs typeface="+mn-cs"/>
              </a:rPr>
              <a:t>管理</a:t>
            </a:r>
            <a:r>
              <a:rPr lang="en-US" altLang="zh-TW" sz="1400" b="1" baseline="30000">
                <a:solidFill>
                  <a:srgbClr val="297D6B"/>
                </a:solidFill>
                <a:latin typeface="+mj-ea"/>
                <a:ea typeface="+mj-ea"/>
                <a:cs typeface="+mn-cs"/>
              </a:rPr>
              <a:t>UP</a:t>
            </a:r>
            <a:endParaRPr lang="zh-TW" altLang="zh-TW" sz="1800" baseline="30000">
              <a:solidFill>
                <a:srgbClr val="00B050"/>
              </a:solidFill>
              <a:effectLst/>
            </a:endParaRPr>
          </a:p>
        </xdr:txBody>
      </xdr:sp>
      <xdr:sp macro="" textlink="">
        <xdr:nvSpPr>
          <xdr:cNvPr id="70" name="矩形: 圓角化同側角落 69">
            <a:extLst>
              <a:ext uri="{FF2B5EF4-FFF2-40B4-BE49-F238E27FC236}">
                <a16:creationId xmlns:a16="http://schemas.microsoft.com/office/drawing/2014/main" id="{00000000-0008-0000-0000-000046000000}"/>
              </a:ext>
            </a:extLst>
          </xdr:cNvPr>
          <xdr:cNvSpPr/>
        </xdr:nvSpPr>
        <xdr:spPr>
          <a:xfrm>
            <a:off x="5681870" y="13129318"/>
            <a:ext cx="1116000" cy="1437860"/>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7</xdr:col>
      <xdr:colOff>428762</xdr:colOff>
      <xdr:row>70</xdr:row>
      <xdr:rowOff>19880</xdr:rowOff>
    </xdr:from>
    <xdr:to>
      <xdr:col>8</xdr:col>
      <xdr:colOff>741486</xdr:colOff>
      <xdr:row>77</xdr:row>
      <xdr:rowOff>66262</xdr:rowOff>
    </xdr:to>
    <xdr:grpSp>
      <xdr:nvGrpSpPr>
        <xdr:cNvPr id="112" name="群組 111">
          <a:extLst>
            <a:ext uri="{FF2B5EF4-FFF2-40B4-BE49-F238E27FC236}">
              <a16:creationId xmlns:a16="http://schemas.microsoft.com/office/drawing/2014/main" id="{00000000-0008-0000-0000-000070000000}"/>
            </a:ext>
          </a:extLst>
        </xdr:cNvPr>
        <xdr:cNvGrpSpPr/>
      </xdr:nvGrpSpPr>
      <xdr:grpSpPr>
        <a:xfrm>
          <a:off x="6071979" y="5919304"/>
          <a:ext cx="1118898" cy="0"/>
          <a:chOff x="6110632" y="11557554"/>
          <a:chExt cx="1124419" cy="1437860"/>
        </a:xfrm>
      </xdr:grpSpPr>
      <xdr:pic>
        <xdr:nvPicPr>
          <xdr:cNvPr id="14" name="圖形 13" descr="上升趨勢的橫條圖 以實心填滿">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6214115" y="11621959"/>
            <a:ext cx="936867" cy="862454"/>
          </a:xfrm>
          <a:prstGeom prst="rect">
            <a:avLst/>
          </a:prstGeom>
        </xdr:spPr>
      </xdr:pic>
      <xdr:sp macro="" textlink="">
        <xdr:nvSpPr>
          <xdr:cNvPr id="17" name="文字方塊 16">
            <a:extLst>
              <a:ext uri="{FF2B5EF4-FFF2-40B4-BE49-F238E27FC236}">
                <a16:creationId xmlns:a16="http://schemas.microsoft.com/office/drawing/2014/main" id="{00000000-0008-0000-0000-000011000000}"/>
              </a:ext>
            </a:extLst>
          </xdr:cNvPr>
          <xdr:cNvSpPr txBox="1"/>
        </xdr:nvSpPr>
        <xdr:spPr>
          <a:xfrm>
            <a:off x="6110632" y="12598156"/>
            <a:ext cx="934693" cy="378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zh-TW" sz="1400" b="1">
                <a:solidFill>
                  <a:srgbClr val="297D6B"/>
                </a:solidFill>
                <a:latin typeface="+mj-ea"/>
                <a:ea typeface="+mj-ea"/>
                <a:cs typeface="+mn-cs"/>
              </a:rPr>
              <a:t>庫存</a:t>
            </a:r>
            <a:r>
              <a:rPr lang="zh-TW" altLang="en-US" sz="1400" b="1">
                <a:solidFill>
                  <a:srgbClr val="297D6B"/>
                </a:solidFill>
                <a:latin typeface="+mj-ea"/>
                <a:ea typeface="+mj-ea"/>
                <a:cs typeface="+mn-cs"/>
              </a:rPr>
              <a:t>管理</a:t>
            </a:r>
            <a:endParaRPr lang="zh-TW" altLang="zh-TW" sz="1800" baseline="30000">
              <a:solidFill>
                <a:srgbClr val="00B050"/>
              </a:solidFill>
              <a:effectLst/>
            </a:endParaRPr>
          </a:p>
        </xdr:txBody>
      </xdr:sp>
      <xdr:sp macro="" textlink="">
        <xdr:nvSpPr>
          <xdr:cNvPr id="57" name="矩形: 圓角化同側角落 56">
            <a:extLst>
              <a:ext uri="{FF2B5EF4-FFF2-40B4-BE49-F238E27FC236}">
                <a16:creationId xmlns:a16="http://schemas.microsoft.com/office/drawing/2014/main" id="{00000000-0008-0000-0000-000039000000}"/>
              </a:ext>
            </a:extLst>
          </xdr:cNvPr>
          <xdr:cNvSpPr/>
        </xdr:nvSpPr>
        <xdr:spPr>
          <a:xfrm>
            <a:off x="6119051" y="11557554"/>
            <a:ext cx="1116000" cy="1437860"/>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 textlink="">
        <xdr:nvSpPr>
          <xdr:cNvPr id="83" name="加號 82">
            <a:extLst>
              <a:ext uri="{FF2B5EF4-FFF2-40B4-BE49-F238E27FC236}">
                <a16:creationId xmlns:a16="http://schemas.microsoft.com/office/drawing/2014/main" id="{00000000-0008-0000-0000-000053000000}"/>
              </a:ext>
            </a:extLst>
          </xdr:cNvPr>
          <xdr:cNvSpPr/>
        </xdr:nvSpPr>
        <xdr:spPr>
          <a:xfrm>
            <a:off x="7045325" y="12589566"/>
            <a:ext cx="182218" cy="180286"/>
          </a:xfrm>
          <a:prstGeom prst="mathPlus">
            <a:avLst/>
          </a:prstGeom>
          <a:solidFill>
            <a:srgbClr val="297D6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solidFill>
                <a:srgbClr val="297D6B"/>
              </a:solidFill>
            </a:endParaRPr>
          </a:p>
        </xdr:txBody>
      </xdr:sp>
      <xdr:sp macro="" textlink="">
        <xdr:nvSpPr>
          <xdr:cNvPr id="86" name="加號 85">
            <a:extLst>
              <a:ext uri="{FF2B5EF4-FFF2-40B4-BE49-F238E27FC236}">
                <a16:creationId xmlns:a16="http://schemas.microsoft.com/office/drawing/2014/main" id="{00000000-0008-0000-0000-000056000000}"/>
              </a:ext>
            </a:extLst>
          </xdr:cNvPr>
          <xdr:cNvSpPr/>
        </xdr:nvSpPr>
        <xdr:spPr>
          <a:xfrm>
            <a:off x="6882848" y="12589566"/>
            <a:ext cx="182218" cy="180286"/>
          </a:xfrm>
          <a:prstGeom prst="mathPlus">
            <a:avLst/>
          </a:prstGeom>
          <a:solidFill>
            <a:srgbClr val="297D6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solidFill>
                <a:srgbClr val="297D6B"/>
              </a:solidFill>
            </a:endParaRPr>
          </a:p>
        </xdr:txBody>
      </xdr:sp>
    </xdr:grpSp>
    <xdr:clientData/>
  </xdr:twoCellAnchor>
  <xdr:twoCellAnchor>
    <xdr:from>
      <xdr:col>9</xdr:col>
      <xdr:colOff>770283</xdr:colOff>
      <xdr:row>75</xdr:row>
      <xdr:rowOff>29955</xdr:rowOff>
    </xdr:from>
    <xdr:to>
      <xdr:col>10</xdr:col>
      <xdr:colOff>160544</xdr:colOff>
      <xdr:row>76</xdr:row>
      <xdr:rowOff>46520</xdr:rowOff>
    </xdr:to>
    <xdr:sp macro="" textlink="">
      <xdr:nvSpPr>
        <xdr:cNvPr id="91" name="星形: 四角 90">
          <a:extLst>
            <a:ext uri="{FF2B5EF4-FFF2-40B4-BE49-F238E27FC236}">
              <a16:creationId xmlns:a16="http://schemas.microsoft.com/office/drawing/2014/main" id="{00000000-0008-0000-0000-00005B000000}"/>
            </a:ext>
          </a:extLst>
        </xdr:cNvPr>
        <xdr:cNvSpPr/>
      </xdr:nvSpPr>
      <xdr:spPr>
        <a:xfrm>
          <a:off x="8075544" y="12561542"/>
          <a:ext cx="201957" cy="215348"/>
        </a:xfrm>
        <a:prstGeom prst="star4">
          <a:avLst>
            <a:gd name="adj" fmla="val 16346"/>
          </a:avLst>
        </a:prstGeom>
        <a:solidFill>
          <a:srgbClr val="297D6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0</xdr:colOff>
      <xdr:row>70</xdr:row>
      <xdr:rowOff>0</xdr:rowOff>
    </xdr:from>
    <xdr:to>
      <xdr:col>10</xdr:col>
      <xdr:colOff>322802</xdr:colOff>
      <xdr:row>77</xdr:row>
      <xdr:rowOff>47765</xdr:rowOff>
    </xdr:to>
    <xdr:grpSp>
      <xdr:nvGrpSpPr>
        <xdr:cNvPr id="113" name="群組 112">
          <a:extLst>
            <a:ext uri="{FF2B5EF4-FFF2-40B4-BE49-F238E27FC236}">
              <a16:creationId xmlns:a16="http://schemas.microsoft.com/office/drawing/2014/main" id="{00000000-0008-0000-0000-000071000000}"/>
            </a:ext>
          </a:extLst>
        </xdr:cNvPr>
        <xdr:cNvGrpSpPr/>
      </xdr:nvGrpSpPr>
      <xdr:grpSpPr>
        <a:xfrm>
          <a:off x="7255565" y="5919304"/>
          <a:ext cx="1128976" cy="0"/>
          <a:chOff x="7305261" y="11537674"/>
          <a:chExt cx="1134498" cy="1439243"/>
        </a:xfrm>
      </xdr:grpSpPr>
      <xdr:sp macro="" textlink="">
        <xdr:nvSpPr>
          <xdr:cNvPr id="89" name="文字方塊 88">
            <a:extLst>
              <a:ext uri="{FF2B5EF4-FFF2-40B4-BE49-F238E27FC236}">
                <a16:creationId xmlns:a16="http://schemas.microsoft.com/office/drawing/2014/main" id="{00000000-0008-0000-0000-000059000000}"/>
              </a:ext>
            </a:extLst>
          </xdr:cNvPr>
          <xdr:cNvSpPr txBox="1"/>
        </xdr:nvSpPr>
        <xdr:spPr>
          <a:xfrm>
            <a:off x="7305261" y="12579659"/>
            <a:ext cx="934693" cy="378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zh-TW" sz="1400" b="1">
                <a:solidFill>
                  <a:srgbClr val="297D6B"/>
                </a:solidFill>
                <a:latin typeface="+mj-ea"/>
                <a:ea typeface="+mj-ea"/>
                <a:cs typeface="+mn-cs"/>
              </a:rPr>
              <a:t>庫存</a:t>
            </a:r>
            <a:r>
              <a:rPr lang="zh-TW" altLang="en-US" sz="1400" b="1">
                <a:solidFill>
                  <a:srgbClr val="297D6B"/>
                </a:solidFill>
                <a:latin typeface="+mj-ea"/>
                <a:ea typeface="+mj-ea"/>
                <a:cs typeface="+mn-cs"/>
              </a:rPr>
              <a:t>管理</a:t>
            </a:r>
            <a:endParaRPr lang="zh-TW" altLang="zh-TW" sz="1800" baseline="30000">
              <a:solidFill>
                <a:srgbClr val="00B050"/>
              </a:solidFill>
              <a:effectLst/>
            </a:endParaRPr>
          </a:p>
        </xdr:txBody>
      </xdr:sp>
      <xdr:sp macro="" textlink="">
        <xdr:nvSpPr>
          <xdr:cNvPr id="87" name="矩形: 圓角化同側角落 86">
            <a:extLst>
              <a:ext uri="{FF2B5EF4-FFF2-40B4-BE49-F238E27FC236}">
                <a16:creationId xmlns:a16="http://schemas.microsoft.com/office/drawing/2014/main" id="{00000000-0008-0000-0000-000057000000}"/>
              </a:ext>
            </a:extLst>
          </xdr:cNvPr>
          <xdr:cNvSpPr/>
        </xdr:nvSpPr>
        <xdr:spPr>
          <a:xfrm>
            <a:off x="7323759" y="11537674"/>
            <a:ext cx="1116000" cy="1012025"/>
          </a:xfrm>
          <a:prstGeom prst="round2SameRect">
            <a:avLst>
              <a:gd name="adj1" fmla="val 7803"/>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pic>
        <xdr:nvPicPr>
          <xdr:cNvPr id="88" name="圖形 87" descr="上升趨勢的橫條圖 以實心填滿">
            <a:extLst>
              <a:ext uri="{FF2B5EF4-FFF2-40B4-BE49-F238E27FC236}">
                <a16:creationId xmlns:a16="http://schemas.microsoft.com/office/drawing/2014/main" id="{00000000-0008-0000-0000-000058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7408744" y="11603462"/>
            <a:ext cx="936867" cy="862454"/>
          </a:xfrm>
          <a:prstGeom prst="rect">
            <a:avLst/>
          </a:prstGeom>
        </xdr:spPr>
      </xdr:pic>
      <xdr:sp macro="" textlink="">
        <xdr:nvSpPr>
          <xdr:cNvPr id="90" name="矩形: 圓角化同側角落 89">
            <a:extLst>
              <a:ext uri="{FF2B5EF4-FFF2-40B4-BE49-F238E27FC236}">
                <a16:creationId xmlns:a16="http://schemas.microsoft.com/office/drawing/2014/main" id="{00000000-0008-0000-0000-00005A000000}"/>
              </a:ext>
            </a:extLst>
          </xdr:cNvPr>
          <xdr:cNvSpPr/>
        </xdr:nvSpPr>
        <xdr:spPr>
          <a:xfrm>
            <a:off x="7313680" y="11539057"/>
            <a:ext cx="1119175" cy="1437860"/>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 textlink="">
        <xdr:nvSpPr>
          <xdr:cNvPr id="94" name="星形: 四角 93">
            <a:extLst>
              <a:ext uri="{FF2B5EF4-FFF2-40B4-BE49-F238E27FC236}">
                <a16:creationId xmlns:a16="http://schemas.microsoft.com/office/drawing/2014/main" id="{00000000-0008-0000-0000-00005E000000}"/>
              </a:ext>
            </a:extLst>
          </xdr:cNvPr>
          <xdr:cNvSpPr/>
        </xdr:nvSpPr>
        <xdr:spPr>
          <a:xfrm>
            <a:off x="8239402" y="12551465"/>
            <a:ext cx="154057" cy="140667"/>
          </a:xfrm>
          <a:prstGeom prst="star4">
            <a:avLst>
              <a:gd name="adj" fmla="val 16346"/>
            </a:avLst>
          </a:prstGeom>
          <a:solidFill>
            <a:srgbClr val="297D6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10</xdr:col>
      <xdr:colOff>389283</xdr:colOff>
      <xdr:row>70</xdr:row>
      <xdr:rowOff>0</xdr:rowOff>
    </xdr:from>
    <xdr:to>
      <xdr:col>11</xdr:col>
      <xdr:colOff>753718</xdr:colOff>
      <xdr:row>77</xdr:row>
      <xdr:rowOff>47765</xdr:rowOff>
    </xdr:to>
    <xdr:grpSp>
      <xdr:nvGrpSpPr>
        <xdr:cNvPr id="114" name="群組 113">
          <a:extLst>
            <a:ext uri="{FF2B5EF4-FFF2-40B4-BE49-F238E27FC236}">
              <a16:creationId xmlns:a16="http://schemas.microsoft.com/office/drawing/2014/main" id="{00000000-0008-0000-0000-000072000000}"/>
            </a:ext>
          </a:extLst>
        </xdr:cNvPr>
        <xdr:cNvGrpSpPr/>
      </xdr:nvGrpSpPr>
      <xdr:grpSpPr>
        <a:xfrm>
          <a:off x="8451022" y="5919304"/>
          <a:ext cx="1170609" cy="0"/>
          <a:chOff x="8506240" y="11537674"/>
          <a:chExt cx="1176130" cy="1439243"/>
        </a:xfrm>
      </xdr:grpSpPr>
      <xdr:sp macro="" textlink="">
        <xdr:nvSpPr>
          <xdr:cNvPr id="98" name="文字方塊 97">
            <a:extLst>
              <a:ext uri="{FF2B5EF4-FFF2-40B4-BE49-F238E27FC236}">
                <a16:creationId xmlns:a16="http://schemas.microsoft.com/office/drawing/2014/main" id="{00000000-0008-0000-0000-000062000000}"/>
              </a:ext>
            </a:extLst>
          </xdr:cNvPr>
          <xdr:cNvSpPr txBox="1"/>
        </xdr:nvSpPr>
        <xdr:spPr>
          <a:xfrm>
            <a:off x="8506240" y="12559919"/>
            <a:ext cx="1176130" cy="378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zh-TW" altLang="zh-TW" sz="1000" b="1">
                <a:solidFill>
                  <a:srgbClr val="297D6B"/>
                </a:solidFill>
                <a:latin typeface="+mj-ea"/>
                <a:ea typeface="+mj-ea"/>
                <a:cs typeface="+mn-cs"/>
              </a:rPr>
              <a:t>庫存</a:t>
            </a:r>
            <a:r>
              <a:rPr lang="zh-TW" altLang="en-US" sz="1000" b="1">
                <a:solidFill>
                  <a:srgbClr val="297D6B"/>
                </a:solidFill>
                <a:latin typeface="+mj-ea"/>
                <a:ea typeface="+mj-ea"/>
                <a:cs typeface="+mn-cs"/>
              </a:rPr>
              <a:t>管理</a:t>
            </a:r>
            <a:r>
              <a:rPr lang="en-US" altLang="zh-TW" sz="1600" b="1">
                <a:solidFill>
                  <a:srgbClr val="297D6B"/>
                </a:solidFill>
                <a:latin typeface="+mj-ea"/>
                <a:ea typeface="+mj-ea"/>
                <a:cs typeface="+mn-cs"/>
              </a:rPr>
              <a:t>MAX</a:t>
            </a:r>
            <a:endParaRPr lang="zh-TW" altLang="zh-TW" sz="1600" baseline="30000">
              <a:solidFill>
                <a:srgbClr val="00B050"/>
              </a:solidFill>
              <a:effectLst/>
            </a:endParaRPr>
          </a:p>
        </xdr:txBody>
      </xdr:sp>
      <xdr:sp macro="" textlink="">
        <xdr:nvSpPr>
          <xdr:cNvPr id="99" name="矩形: 圓角化同側角落 98">
            <a:extLst>
              <a:ext uri="{FF2B5EF4-FFF2-40B4-BE49-F238E27FC236}">
                <a16:creationId xmlns:a16="http://schemas.microsoft.com/office/drawing/2014/main" id="{00000000-0008-0000-0000-000063000000}"/>
              </a:ext>
            </a:extLst>
          </xdr:cNvPr>
          <xdr:cNvSpPr/>
        </xdr:nvSpPr>
        <xdr:spPr>
          <a:xfrm>
            <a:off x="8544478" y="11537674"/>
            <a:ext cx="1109650" cy="1012025"/>
          </a:xfrm>
          <a:prstGeom prst="round2SameRect">
            <a:avLst>
              <a:gd name="adj1" fmla="val 7803"/>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pic>
        <xdr:nvPicPr>
          <xdr:cNvPr id="100" name="圖形 99" descr="上升趨勢的橫條圖 以實心填滿">
            <a:extLst>
              <a:ext uri="{FF2B5EF4-FFF2-40B4-BE49-F238E27FC236}">
                <a16:creationId xmlns:a16="http://schemas.microsoft.com/office/drawing/2014/main" id="{00000000-0008-0000-0000-000064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8623113" y="11603462"/>
            <a:ext cx="943217" cy="862454"/>
          </a:xfrm>
          <a:prstGeom prst="rect">
            <a:avLst/>
          </a:prstGeom>
        </xdr:spPr>
      </xdr:pic>
      <xdr:sp macro="" textlink="">
        <xdr:nvSpPr>
          <xdr:cNvPr id="101" name="矩形: 圓角化同側角落 100">
            <a:extLst>
              <a:ext uri="{FF2B5EF4-FFF2-40B4-BE49-F238E27FC236}">
                <a16:creationId xmlns:a16="http://schemas.microsoft.com/office/drawing/2014/main" id="{00000000-0008-0000-0000-000065000000}"/>
              </a:ext>
            </a:extLst>
          </xdr:cNvPr>
          <xdr:cNvSpPr/>
        </xdr:nvSpPr>
        <xdr:spPr>
          <a:xfrm>
            <a:off x="8528049" y="11539057"/>
            <a:ext cx="1125525" cy="1437860"/>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12</xdr:col>
      <xdr:colOff>8282</xdr:colOff>
      <xdr:row>69</xdr:row>
      <xdr:rowOff>198779</xdr:rowOff>
    </xdr:from>
    <xdr:to>
      <xdr:col>13</xdr:col>
      <xdr:colOff>342762</xdr:colOff>
      <xdr:row>77</xdr:row>
      <xdr:rowOff>47765</xdr:rowOff>
    </xdr:to>
    <xdr:grpSp>
      <xdr:nvGrpSpPr>
        <xdr:cNvPr id="115" name="群組 114">
          <a:extLst>
            <a:ext uri="{FF2B5EF4-FFF2-40B4-BE49-F238E27FC236}">
              <a16:creationId xmlns:a16="http://schemas.microsoft.com/office/drawing/2014/main" id="{00000000-0008-0000-0000-000073000000}"/>
            </a:ext>
          </a:extLst>
        </xdr:cNvPr>
        <xdr:cNvGrpSpPr/>
      </xdr:nvGrpSpPr>
      <xdr:grpSpPr>
        <a:xfrm>
          <a:off x="9682369" y="5919304"/>
          <a:ext cx="1140654" cy="0"/>
          <a:chOff x="9748630" y="11537670"/>
          <a:chExt cx="1146175" cy="1439247"/>
        </a:xfrm>
      </xdr:grpSpPr>
      <xdr:sp macro="" textlink="">
        <xdr:nvSpPr>
          <xdr:cNvPr id="102" name="文字方塊 101">
            <a:extLst>
              <a:ext uri="{FF2B5EF4-FFF2-40B4-BE49-F238E27FC236}">
                <a16:creationId xmlns:a16="http://schemas.microsoft.com/office/drawing/2014/main" id="{00000000-0008-0000-0000-000066000000}"/>
              </a:ext>
            </a:extLst>
          </xdr:cNvPr>
          <xdr:cNvSpPr txBox="1"/>
        </xdr:nvSpPr>
        <xdr:spPr>
          <a:xfrm>
            <a:off x="9748630" y="12550392"/>
            <a:ext cx="1137893" cy="378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zh-TW" altLang="zh-TW" sz="1200" b="1">
                <a:solidFill>
                  <a:srgbClr val="297D6B"/>
                </a:solidFill>
                <a:latin typeface="+mj-ea"/>
                <a:ea typeface="+mj-ea"/>
                <a:cs typeface="+mn-cs"/>
              </a:rPr>
              <a:t>庫存</a:t>
            </a:r>
            <a:r>
              <a:rPr lang="zh-TW" altLang="en-US" sz="1200" b="1">
                <a:solidFill>
                  <a:srgbClr val="297D6B"/>
                </a:solidFill>
                <a:latin typeface="+mj-ea"/>
                <a:ea typeface="+mj-ea"/>
                <a:cs typeface="+mn-cs"/>
              </a:rPr>
              <a:t>管理</a:t>
            </a:r>
            <a:r>
              <a:rPr lang="en-US" altLang="zh-TW" sz="1600" b="1">
                <a:solidFill>
                  <a:srgbClr val="297D6B"/>
                </a:solidFill>
                <a:latin typeface="+mj-ea"/>
                <a:ea typeface="+mj-ea"/>
                <a:cs typeface="+mn-cs"/>
              </a:rPr>
              <a:t>Pro</a:t>
            </a:r>
            <a:endParaRPr lang="zh-TW" altLang="zh-TW" sz="1600" baseline="30000">
              <a:solidFill>
                <a:srgbClr val="297D6B"/>
              </a:solidFill>
              <a:effectLst/>
            </a:endParaRPr>
          </a:p>
        </xdr:txBody>
      </xdr:sp>
      <xdr:sp macro="" textlink="">
        <xdr:nvSpPr>
          <xdr:cNvPr id="103" name="矩形: 圓角化同側角落 102">
            <a:extLst>
              <a:ext uri="{FF2B5EF4-FFF2-40B4-BE49-F238E27FC236}">
                <a16:creationId xmlns:a16="http://schemas.microsoft.com/office/drawing/2014/main" id="{00000000-0008-0000-0000-000067000000}"/>
              </a:ext>
            </a:extLst>
          </xdr:cNvPr>
          <xdr:cNvSpPr/>
        </xdr:nvSpPr>
        <xdr:spPr>
          <a:xfrm>
            <a:off x="9768371" y="11537670"/>
            <a:ext cx="1126434" cy="1012025"/>
          </a:xfrm>
          <a:prstGeom prst="round2SameRect">
            <a:avLst>
              <a:gd name="adj1" fmla="val 7803"/>
              <a:gd name="adj2" fmla="val 0"/>
            </a:avLst>
          </a:prstGeom>
          <a:solidFill>
            <a:srgbClr val="EBF1D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pic>
        <xdr:nvPicPr>
          <xdr:cNvPr id="104" name="圖形 103" descr="上升趨勢的橫條圖 以實心填滿">
            <a:extLst>
              <a:ext uri="{FF2B5EF4-FFF2-40B4-BE49-F238E27FC236}">
                <a16:creationId xmlns:a16="http://schemas.microsoft.com/office/drawing/2014/main" id="{00000000-0008-0000-0000-000068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854046" y="11603462"/>
            <a:ext cx="946392" cy="862454"/>
          </a:xfrm>
          <a:prstGeom prst="rect">
            <a:avLst/>
          </a:prstGeom>
        </xdr:spPr>
      </xdr:pic>
      <xdr:sp macro="" textlink="">
        <xdr:nvSpPr>
          <xdr:cNvPr id="105" name="矩形: 圓角化同側角落 104">
            <a:extLst>
              <a:ext uri="{FF2B5EF4-FFF2-40B4-BE49-F238E27FC236}">
                <a16:creationId xmlns:a16="http://schemas.microsoft.com/office/drawing/2014/main" id="{00000000-0008-0000-0000-000069000000}"/>
              </a:ext>
            </a:extLst>
          </xdr:cNvPr>
          <xdr:cNvSpPr/>
        </xdr:nvSpPr>
        <xdr:spPr>
          <a:xfrm>
            <a:off x="9758982" y="11539057"/>
            <a:ext cx="1125525" cy="1437860"/>
          </a:xfrm>
          <a:prstGeom prst="round2SameRect">
            <a:avLst>
              <a:gd name="adj1" fmla="val 8995"/>
              <a:gd name="adj2" fmla="val 9900"/>
            </a:avLst>
          </a:prstGeom>
          <a:noFill/>
          <a:ln w="9525">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grpSp>
    <xdr:clientData/>
  </xdr:twoCellAnchor>
  <xdr:twoCellAnchor editAs="oneCell">
    <xdr:from>
      <xdr:col>13</xdr:col>
      <xdr:colOff>685801</xdr:colOff>
      <xdr:row>22</xdr:row>
      <xdr:rowOff>9525</xdr:rowOff>
    </xdr:from>
    <xdr:to>
      <xdr:col>16</xdr:col>
      <xdr:colOff>266701</xdr:colOff>
      <xdr:row>28</xdr:row>
      <xdr:rowOff>40874</xdr:rowOff>
    </xdr:to>
    <xdr:pic>
      <xdr:nvPicPr>
        <xdr:cNvPr id="28" name="圖片 27">
          <a:hlinkClick xmlns:r="http://schemas.openxmlformats.org/officeDocument/2006/relationships" r:id="rId16"/>
          <a:extLst>
            <a:ext uri="{FF2B5EF4-FFF2-40B4-BE49-F238E27FC236}">
              <a16:creationId xmlns:a16="http://schemas.microsoft.com/office/drawing/2014/main" id="{00000000-0008-0000-0000-00001C000000}"/>
            </a:ext>
          </a:extLst>
        </xdr:cNvPr>
        <xdr:cNvPicPr>
          <a:picLocks noChangeAspect="1"/>
        </xdr:cNvPicPr>
      </xdr:nvPicPr>
      <xdr:blipFill rotWithShape="1">
        <a:blip xmlns:r="http://schemas.openxmlformats.org/officeDocument/2006/relationships" r:embed="rId17"/>
        <a:srcRect r="6904"/>
        <a:stretch/>
      </xdr:blipFill>
      <xdr:spPr>
        <a:xfrm>
          <a:off x="10839451" y="4371975"/>
          <a:ext cx="1924050" cy="12314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305451</xdr:colOff>
      <xdr:row>0</xdr:row>
      <xdr:rowOff>0</xdr:rowOff>
    </xdr:from>
    <xdr:to>
      <xdr:col>2</xdr:col>
      <xdr:colOff>314449</xdr:colOff>
      <xdr:row>2</xdr:row>
      <xdr:rowOff>36792</xdr:rowOff>
    </xdr:to>
    <xdr:sp macro="" textlink="">
      <xdr:nvSpPr>
        <xdr:cNvPr id="2" name="文字方塊 1">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672844" y="0"/>
          <a:ext cx="1165605" cy="431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p>
      </xdr:txBody>
    </xdr:sp>
    <xdr:clientData/>
  </xdr:twoCellAnchor>
  <xdr:twoCellAnchor editAs="oneCell">
    <xdr:from>
      <xdr:col>1</xdr:col>
      <xdr:colOff>38366</xdr:colOff>
      <xdr:row>1</xdr:row>
      <xdr:rowOff>56734</xdr:rowOff>
    </xdr:from>
    <xdr:to>
      <xdr:col>1</xdr:col>
      <xdr:colOff>372318</xdr:colOff>
      <xdr:row>1</xdr:row>
      <xdr:rowOff>371490</xdr:rowOff>
    </xdr:to>
    <xdr:pic>
      <xdr:nvPicPr>
        <xdr:cNvPr id="3" name="圖形 59" descr="開燈 以實心填滿">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05759" y="56734"/>
          <a:ext cx="333952" cy="317931"/>
        </a:xfrm>
        <a:prstGeom prst="rect">
          <a:avLst/>
        </a:prstGeom>
      </xdr:spPr>
    </xdr:pic>
    <xdr:clientData/>
  </xdr:twoCellAnchor>
  <xdr:twoCellAnchor editAs="oneCell">
    <xdr:from>
      <xdr:col>12</xdr:col>
      <xdr:colOff>704348</xdr:colOff>
      <xdr:row>1</xdr:row>
      <xdr:rowOff>31347</xdr:rowOff>
    </xdr:from>
    <xdr:to>
      <xdr:col>13</xdr:col>
      <xdr:colOff>115158</xdr:colOff>
      <xdr:row>2</xdr:row>
      <xdr:rowOff>8620</xdr:rowOff>
    </xdr:to>
    <xdr:pic>
      <xdr:nvPicPr>
        <xdr:cNvPr id="6" name="圖形 5" descr="首頁 外框">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8080669" y="31347"/>
          <a:ext cx="376918" cy="368705"/>
        </a:xfrm>
        <a:prstGeom prst="rect">
          <a:avLst/>
        </a:prstGeom>
      </xdr:spPr>
    </xdr:pic>
    <xdr:clientData/>
  </xdr:twoCellAnchor>
  <xdr:twoCellAnchor>
    <xdr:from>
      <xdr:col>13</xdr:col>
      <xdr:colOff>67730</xdr:colOff>
      <xdr:row>0</xdr:row>
      <xdr:rowOff>0</xdr:rowOff>
    </xdr:from>
    <xdr:to>
      <xdr:col>15</xdr:col>
      <xdr:colOff>151114</xdr:colOff>
      <xdr:row>2</xdr:row>
      <xdr:rowOff>36792</xdr:rowOff>
    </xdr:to>
    <xdr:sp macro="" textlink="">
      <xdr:nvSpPr>
        <xdr:cNvPr id="7" name="文字方塊 6">
          <a:hlinkClick xmlns:r="http://schemas.openxmlformats.org/officeDocument/2006/relationships" r:id="rId6"/>
          <a:extLst>
            <a:ext uri="{FF2B5EF4-FFF2-40B4-BE49-F238E27FC236}">
              <a16:creationId xmlns:a16="http://schemas.microsoft.com/office/drawing/2014/main" id="{00000000-0008-0000-0100-000007000000}"/>
            </a:ext>
          </a:extLst>
        </xdr:cNvPr>
        <xdr:cNvSpPr txBox="1"/>
      </xdr:nvSpPr>
      <xdr:spPr>
        <a:xfrm>
          <a:off x="18410159" y="0"/>
          <a:ext cx="1171955" cy="431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回主畫面</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22</xdr:row>
      <xdr:rowOff>0</xdr:rowOff>
    </xdr:from>
    <xdr:to>
      <xdr:col>6</xdr:col>
      <xdr:colOff>104033</xdr:colOff>
      <xdr:row>34</xdr:row>
      <xdr:rowOff>15875</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118443</xdr:colOff>
      <xdr:row>39</xdr:row>
      <xdr:rowOff>40823</xdr:rowOff>
    </xdr:from>
    <xdr:to>
      <xdr:col>16</xdr:col>
      <xdr:colOff>13420</xdr:colOff>
      <xdr:row>47</xdr:row>
      <xdr:rowOff>0</xdr:rowOff>
    </xdr:to>
    <xdr:graphicFrame macro="">
      <xdr:nvGraphicFramePr>
        <xdr:cNvPr id="4" name="圖表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149677</xdr:colOff>
      <xdr:row>61</xdr:row>
      <xdr:rowOff>69273</xdr:rowOff>
    </xdr:from>
    <xdr:to>
      <xdr:col>16</xdr:col>
      <xdr:colOff>13607</xdr:colOff>
      <xdr:row>74</xdr:row>
      <xdr:rowOff>285750</xdr:rowOff>
    </xdr:to>
    <xdr:graphicFrame macro="">
      <xdr:nvGraphicFramePr>
        <xdr:cNvPr id="5" name="圖表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267085</xdr:colOff>
      <xdr:row>0</xdr:row>
      <xdr:rowOff>0</xdr:rowOff>
    </xdr:from>
    <xdr:to>
      <xdr:col>2</xdr:col>
      <xdr:colOff>477015</xdr:colOff>
      <xdr:row>1</xdr:row>
      <xdr:rowOff>87192</xdr:rowOff>
    </xdr:to>
    <xdr:sp macro="" textlink="">
      <xdr:nvSpPr>
        <xdr:cNvPr id="2" name="文字方塊 1">
          <a:hlinkClick xmlns:r="http://schemas.openxmlformats.org/officeDocument/2006/relationships" r:id="rId4"/>
          <a:extLst>
            <a:ext uri="{FF2B5EF4-FFF2-40B4-BE49-F238E27FC236}">
              <a16:creationId xmlns:a16="http://schemas.microsoft.com/office/drawing/2014/main" id="{00000000-0008-0000-0200-000002000000}"/>
            </a:ext>
          </a:extLst>
        </xdr:cNvPr>
        <xdr:cNvSpPr txBox="1"/>
      </xdr:nvSpPr>
      <xdr:spPr>
        <a:xfrm>
          <a:off x="390350" y="0"/>
          <a:ext cx="1162430" cy="479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p>
      </xdr:txBody>
    </xdr:sp>
    <xdr:clientData/>
  </xdr:twoCellAnchor>
  <xdr:twoCellAnchor editAs="oneCell">
    <xdr:from>
      <xdr:col>1</xdr:col>
      <xdr:colOff>0</xdr:colOff>
      <xdr:row>0</xdr:row>
      <xdr:rowOff>82321</xdr:rowOff>
    </xdr:from>
    <xdr:to>
      <xdr:col>1</xdr:col>
      <xdr:colOff>333952</xdr:colOff>
      <xdr:row>1</xdr:row>
      <xdr:rowOff>4871</xdr:rowOff>
    </xdr:to>
    <xdr:pic>
      <xdr:nvPicPr>
        <xdr:cNvPr id="6" name="圖形 59" descr="開燈 以實心填滿">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3265" y="82321"/>
          <a:ext cx="333952" cy="314756"/>
        </a:xfrm>
        <a:prstGeom prst="rect">
          <a:avLst/>
        </a:prstGeom>
      </xdr:spPr>
    </xdr:pic>
    <xdr:clientData/>
  </xdr:twoCellAnchor>
  <xdr:twoCellAnchor editAs="oneCell">
    <xdr:from>
      <xdr:col>14</xdr:col>
      <xdr:colOff>811865</xdr:colOff>
      <xdr:row>0</xdr:row>
      <xdr:rowOff>48997</xdr:rowOff>
    </xdr:from>
    <xdr:to>
      <xdr:col>15</xdr:col>
      <xdr:colOff>40927</xdr:colOff>
      <xdr:row>1</xdr:row>
      <xdr:rowOff>38196</xdr:rowOff>
    </xdr:to>
    <xdr:pic>
      <xdr:nvPicPr>
        <xdr:cNvPr id="9" name="圖形 8" descr="首頁 外框">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8707659" y="48997"/>
          <a:ext cx="383268" cy="381405"/>
        </a:xfrm>
        <a:prstGeom prst="rect">
          <a:avLst/>
        </a:prstGeom>
      </xdr:spPr>
    </xdr:pic>
    <xdr:clientData/>
  </xdr:twoCellAnchor>
  <xdr:twoCellAnchor>
    <xdr:from>
      <xdr:col>14</xdr:col>
      <xdr:colOff>1144530</xdr:colOff>
      <xdr:row>0</xdr:row>
      <xdr:rowOff>0</xdr:rowOff>
    </xdr:from>
    <xdr:to>
      <xdr:col>20</xdr:col>
      <xdr:colOff>38474</xdr:colOff>
      <xdr:row>1</xdr:row>
      <xdr:rowOff>39193</xdr:rowOff>
    </xdr:to>
    <xdr:sp macro="" textlink="">
      <xdr:nvSpPr>
        <xdr:cNvPr id="10" name="文字方塊 9">
          <a:hlinkClick xmlns:r="http://schemas.openxmlformats.org/officeDocument/2006/relationships" r:id="rId9"/>
          <a:extLst>
            <a:ext uri="{FF2B5EF4-FFF2-40B4-BE49-F238E27FC236}">
              <a16:creationId xmlns:a16="http://schemas.microsoft.com/office/drawing/2014/main" id="{00000000-0008-0000-0200-00000A000000}"/>
            </a:ext>
          </a:extLst>
        </xdr:cNvPr>
        <xdr:cNvSpPr txBox="1"/>
      </xdr:nvSpPr>
      <xdr:spPr>
        <a:xfrm>
          <a:off x="19040324" y="0"/>
          <a:ext cx="1168738" cy="431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回主畫面</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1036864</xdr:colOff>
      <xdr:row>7</xdr:row>
      <xdr:rowOff>84365</xdr:rowOff>
    </xdr:from>
    <xdr:to>
      <xdr:col>4</xdr:col>
      <xdr:colOff>571500</xdr:colOff>
      <xdr:row>7</xdr:row>
      <xdr:rowOff>438151</xdr:rowOff>
    </xdr:to>
    <xdr:sp macro="" textlink="">
      <xdr:nvSpPr>
        <xdr:cNvPr id="20" name="Filter_free_2" hidden="1">
          <a:extLst>
            <a:ext uri="{FF2B5EF4-FFF2-40B4-BE49-F238E27FC236}">
              <a16:creationId xmlns:a16="http://schemas.microsoft.com/office/drawing/2014/main" id="{00000000-0008-0000-0300-000014000000}"/>
            </a:ext>
          </a:extLst>
        </xdr:cNvPr>
        <xdr:cNvSpPr/>
      </xdr:nvSpPr>
      <xdr:spPr>
        <a:xfrm>
          <a:off x="1812471" y="2207079"/>
          <a:ext cx="677636" cy="353786"/>
        </a:xfrm>
        <a:prstGeom prst="roundRect">
          <a:avLst>
            <a:gd name="adj" fmla="val 19231"/>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xdr:col>
      <xdr:colOff>1034142</xdr:colOff>
      <xdr:row>6</xdr:row>
      <xdr:rowOff>13607</xdr:rowOff>
    </xdr:from>
    <xdr:to>
      <xdr:col>4</xdr:col>
      <xdr:colOff>517071</xdr:colOff>
      <xdr:row>7</xdr:row>
      <xdr:rowOff>13608</xdr:rowOff>
    </xdr:to>
    <xdr:sp macro="" textlink="">
      <xdr:nvSpPr>
        <xdr:cNvPr id="6" name="Filter_cash_2">
          <a:extLst>
            <a:ext uri="{FF2B5EF4-FFF2-40B4-BE49-F238E27FC236}">
              <a16:creationId xmlns:a16="http://schemas.microsoft.com/office/drawing/2014/main" id="{00000000-0008-0000-0300-000006000000}"/>
            </a:ext>
          </a:extLst>
        </xdr:cNvPr>
        <xdr:cNvSpPr/>
      </xdr:nvSpPr>
      <xdr:spPr>
        <a:xfrm>
          <a:off x="1809749" y="1782536"/>
          <a:ext cx="625929" cy="353786"/>
        </a:xfrm>
        <a:prstGeom prst="roundRect">
          <a:avLst>
            <a:gd name="adj" fmla="val 19231"/>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xdr:col>
      <xdr:colOff>267085</xdr:colOff>
      <xdr:row>0</xdr:row>
      <xdr:rowOff>0</xdr:rowOff>
    </xdr:from>
    <xdr:to>
      <xdr:col>4</xdr:col>
      <xdr:colOff>235262</xdr:colOff>
      <xdr:row>1</xdr:row>
      <xdr:rowOff>431399</xdr:rowOff>
    </xdr:to>
    <xdr:sp macro="" textlink="">
      <xdr:nvSpPr>
        <xdr:cNvPr id="2" name="文字方塊 1">
          <a:hlinkClick xmlns:r="http://schemas.openxmlformats.org/officeDocument/2006/relationships" r:id="rId1"/>
          <a:extLst>
            <a:ext uri="{FF2B5EF4-FFF2-40B4-BE49-F238E27FC236}">
              <a16:creationId xmlns:a16="http://schemas.microsoft.com/office/drawing/2014/main" id="{00000000-0008-0000-0300-000002000000}"/>
            </a:ext>
          </a:extLst>
        </xdr:cNvPr>
        <xdr:cNvSpPr txBox="1"/>
      </xdr:nvSpPr>
      <xdr:spPr>
        <a:xfrm>
          <a:off x="1083514" y="0"/>
          <a:ext cx="1165605" cy="431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p>
      </xdr:txBody>
    </xdr:sp>
    <xdr:clientData/>
  </xdr:twoCellAnchor>
  <xdr:twoCellAnchor editAs="oneCell">
    <xdr:from>
      <xdr:col>1</xdr:col>
      <xdr:colOff>0</xdr:colOff>
      <xdr:row>1</xdr:row>
      <xdr:rowOff>82322</xdr:rowOff>
    </xdr:from>
    <xdr:to>
      <xdr:col>1</xdr:col>
      <xdr:colOff>333952</xdr:colOff>
      <xdr:row>2</xdr:row>
      <xdr:rowOff>8821</xdr:rowOff>
    </xdr:to>
    <xdr:pic>
      <xdr:nvPicPr>
        <xdr:cNvPr id="5" name="圖形 59" descr="開燈 以實心填滿">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16429" y="82322"/>
          <a:ext cx="333952" cy="317931"/>
        </a:xfrm>
        <a:prstGeom prst="rect">
          <a:avLst/>
        </a:prstGeom>
      </xdr:spPr>
    </xdr:pic>
    <xdr:clientData/>
  </xdr:twoCellAnchor>
  <xdr:twoCellAnchor editAs="oneCell">
    <xdr:from>
      <xdr:col>22</xdr:col>
      <xdr:colOff>189068</xdr:colOff>
      <xdr:row>1</xdr:row>
      <xdr:rowOff>48997</xdr:rowOff>
    </xdr:from>
    <xdr:to>
      <xdr:col>22</xdr:col>
      <xdr:colOff>542001</xdr:colOff>
      <xdr:row>2</xdr:row>
      <xdr:rowOff>38970</xdr:rowOff>
    </xdr:to>
    <xdr:pic>
      <xdr:nvPicPr>
        <xdr:cNvPr id="11" name="圖形 10" descr="首頁 外框">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3811068" y="48997"/>
          <a:ext cx="352933" cy="384580"/>
        </a:xfrm>
        <a:prstGeom prst="rect">
          <a:avLst/>
        </a:prstGeom>
      </xdr:spPr>
    </xdr:pic>
    <xdr:clientData/>
  </xdr:twoCellAnchor>
  <xdr:twoCellAnchor>
    <xdr:from>
      <xdr:col>22</xdr:col>
      <xdr:colOff>489827</xdr:colOff>
      <xdr:row>0</xdr:row>
      <xdr:rowOff>0</xdr:rowOff>
    </xdr:from>
    <xdr:to>
      <xdr:col>24</xdr:col>
      <xdr:colOff>44956</xdr:colOff>
      <xdr:row>2</xdr:row>
      <xdr:rowOff>36792</xdr:rowOff>
    </xdr:to>
    <xdr:sp macro="" textlink="">
      <xdr:nvSpPr>
        <xdr:cNvPr id="12" name="文字方塊 11">
          <a:hlinkClick xmlns:r="http://schemas.openxmlformats.org/officeDocument/2006/relationships" r:id="rId6"/>
          <a:extLst>
            <a:ext uri="{FF2B5EF4-FFF2-40B4-BE49-F238E27FC236}">
              <a16:creationId xmlns:a16="http://schemas.microsoft.com/office/drawing/2014/main" id="{00000000-0008-0000-0300-00000C000000}"/>
            </a:ext>
          </a:extLst>
        </xdr:cNvPr>
        <xdr:cNvSpPr txBox="1"/>
      </xdr:nvSpPr>
      <xdr:spPr>
        <a:xfrm>
          <a:off x="24111827" y="0"/>
          <a:ext cx="1187986" cy="431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回主畫面</a:t>
          </a:r>
        </a:p>
      </xdr:txBody>
    </xdr:sp>
    <xdr:clientData/>
  </xdr:twoCellAnchor>
  <xdr:twoCellAnchor>
    <xdr:from>
      <xdr:col>0</xdr:col>
      <xdr:colOff>762001</xdr:colOff>
      <xdr:row>4</xdr:row>
      <xdr:rowOff>104291</xdr:rowOff>
    </xdr:from>
    <xdr:to>
      <xdr:col>22</xdr:col>
      <xdr:colOff>1251858</xdr:colOff>
      <xdr:row>8</xdr:row>
      <xdr:rowOff>209979</xdr:rowOff>
    </xdr:to>
    <xdr:grpSp>
      <xdr:nvGrpSpPr>
        <xdr:cNvPr id="24" name="群組 23">
          <a:extLst>
            <a:ext uri="{FF2B5EF4-FFF2-40B4-BE49-F238E27FC236}">
              <a16:creationId xmlns:a16="http://schemas.microsoft.com/office/drawing/2014/main" id="{00000000-0008-0000-0300-000018000000}"/>
            </a:ext>
          </a:extLst>
        </xdr:cNvPr>
        <xdr:cNvGrpSpPr/>
      </xdr:nvGrpSpPr>
      <xdr:grpSpPr>
        <a:xfrm>
          <a:off x="762001" y="1165648"/>
          <a:ext cx="24039286" cy="1665974"/>
          <a:chOff x="721404" y="1572739"/>
          <a:chExt cx="23483284" cy="1496225"/>
        </a:xfrm>
      </xdr:grpSpPr>
      <xdr:sp macro="" textlink="">
        <xdr:nvSpPr>
          <xdr:cNvPr id="25" name="圓角矩形 24">
            <a:extLst>
              <a:ext uri="{FF2B5EF4-FFF2-40B4-BE49-F238E27FC236}">
                <a16:creationId xmlns:a16="http://schemas.microsoft.com/office/drawing/2014/main" id="{00000000-0008-0000-0300-000019000000}"/>
              </a:ext>
            </a:extLst>
          </xdr:cNvPr>
          <xdr:cNvSpPr/>
        </xdr:nvSpPr>
        <xdr:spPr>
          <a:xfrm>
            <a:off x="737253" y="1572739"/>
            <a:ext cx="3033733" cy="400302"/>
          </a:xfrm>
          <a:prstGeom prst="roundRect">
            <a:avLst/>
          </a:prstGeom>
          <a:solidFill>
            <a:srgbClr val="297D6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500" b="1">
                <a:latin typeface="+mj-ea"/>
                <a:ea typeface="+mj-ea"/>
              </a:rPr>
              <a:t>主 要 功 能 表 單</a:t>
            </a:r>
          </a:p>
        </xdr:txBody>
      </xdr:sp>
      <mc:AlternateContent xmlns:mc="http://schemas.openxmlformats.org/markup-compatibility/2006" xmlns:sle15="http://schemas.microsoft.com/office/drawing/2012/slicer">
        <mc:Choice Requires="sle15">
          <xdr:graphicFrame macro="">
            <xdr:nvGraphicFramePr>
              <xdr:cNvPr id="27" name="幣別 1">
                <a:extLst>
                  <a:ext uri="{FF2B5EF4-FFF2-40B4-BE49-F238E27FC236}">
                    <a16:creationId xmlns:a16="http://schemas.microsoft.com/office/drawing/2014/main" id="{00000000-0008-0000-0300-00001B000000}"/>
                  </a:ext>
                </a:extLst>
              </xdr:cNvPr>
              <xdr:cNvGraphicFramePr/>
            </xdr:nvGraphicFramePr>
            <xdr:xfrm>
              <a:off x="12951886" y="1837502"/>
              <a:ext cx="11252802" cy="1221998"/>
            </xdr:xfrm>
            <a:graphic>
              <a:graphicData uri="http://schemas.microsoft.com/office/drawing/2010/slicer">
                <sle:slicer xmlns:sle="http://schemas.microsoft.com/office/drawing/2010/slicer" name="幣別 1"/>
              </a:graphicData>
            </a:graphic>
          </xdr:graphicFrame>
        </mc:Choice>
        <mc:Fallback xmlns="">
          <xdr:sp macro="" textlink="">
            <xdr:nvSpPr>
              <xdr:cNvPr id="0" name=""/>
              <xdr:cNvSpPr>
                <a:spLocks noTextEdit="1"/>
              </xdr:cNvSpPr>
            </xdr:nvSpPr>
            <xdr:spPr>
              <a:xfrm>
                <a:off x="12859210" y="1458843"/>
                <a:ext cx="11130184" cy="1353226"/>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mc:AlternateContent xmlns:mc="http://schemas.openxmlformats.org/markup-compatibility/2006" xmlns:sle15="http://schemas.microsoft.com/office/drawing/2012/slicer">
        <mc:Choice Requires="sle15">
          <xdr:graphicFrame macro="">
            <xdr:nvGraphicFramePr>
              <xdr:cNvPr id="31" name="客戶資格2 1">
                <a:extLst>
                  <a:ext uri="{FF2B5EF4-FFF2-40B4-BE49-F238E27FC236}">
                    <a16:creationId xmlns:a16="http://schemas.microsoft.com/office/drawing/2014/main" id="{00000000-0008-0000-0300-00001F000000}"/>
                  </a:ext>
                </a:extLst>
              </xdr:cNvPr>
              <xdr:cNvGraphicFramePr/>
            </xdr:nvGraphicFramePr>
            <xdr:xfrm>
              <a:off x="6089875" y="1828038"/>
              <a:ext cx="4904811" cy="1240926"/>
            </xdr:xfrm>
            <a:graphic>
              <a:graphicData uri="http://schemas.microsoft.com/office/drawing/2010/slicer">
                <sle:slicer xmlns:sle="http://schemas.microsoft.com/office/drawing/2010/slicer" name="客戶資格2 1"/>
              </a:graphicData>
            </a:graphic>
          </xdr:graphicFrame>
        </mc:Choice>
        <mc:Fallback xmlns="">
          <xdr:sp macro="" textlink="">
            <xdr:nvSpPr>
              <xdr:cNvPr id="0" name=""/>
              <xdr:cNvSpPr>
                <a:spLocks noTextEdit="1"/>
              </xdr:cNvSpPr>
            </xdr:nvSpPr>
            <xdr:spPr>
              <a:xfrm>
                <a:off x="6071973" y="1448363"/>
                <a:ext cx="4851365" cy="1374187"/>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cxnSp macro="">
        <xdr:nvCxnSpPr>
          <xdr:cNvPr id="32" name="直線接點 31">
            <a:extLst>
              <a:ext uri="{FF2B5EF4-FFF2-40B4-BE49-F238E27FC236}">
                <a16:creationId xmlns:a16="http://schemas.microsoft.com/office/drawing/2014/main" id="{00000000-0008-0000-0300-000020000000}"/>
              </a:ext>
            </a:extLst>
          </xdr:cNvPr>
          <xdr:cNvCxnSpPr/>
        </xdr:nvCxnSpPr>
        <xdr:spPr>
          <a:xfrm>
            <a:off x="4251028" y="2000107"/>
            <a:ext cx="0" cy="840802"/>
          </a:xfrm>
          <a:prstGeom prst="line">
            <a:avLst/>
          </a:prstGeom>
          <a:ln>
            <a:solidFill>
              <a:srgbClr val="297D6B"/>
            </a:solidFill>
          </a:ln>
        </xdr:spPr>
        <xdr:style>
          <a:lnRef idx="2">
            <a:schemeClr val="accent3"/>
          </a:lnRef>
          <a:fillRef idx="0">
            <a:schemeClr val="accent3"/>
          </a:fillRef>
          <a:effectRef idx="1">
            <a:schemeClr val="accent3"/>
          </a:effectRef>
          <a:fontRef idx="minor">
            <a:schemeClr val="tx1"/>
          </a:fontRef>
        </xdr:style>
      </xdr:cxnSp>
      <xdr:pic>
        <xdr:nvPicPr>
          <xdr:cNvPr id="39" name="圖片 38">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7"/>
          <a:stretch>
            <a:fillRect/>
          </a:stretch>
        </xdr:blipFill>
        <xdr:spPr>
          <a:xfrm>
            <a:off x="721404" y="2038737"/>
            <a:ext cx="930169" cy="852896"/>
          </a:xfrm>
          <a:prstGeom prst="rect">
            <a:avLst/>
          </a:prstGeom>
        </xdr:spPr>
      </xdr:pic>
      <xdr:pic>
        <xdr:nvPicPr>
          <xdr:cNvPr id="40" name="圖片 39">
            <a:extLst>
              <a:ext uri="{FF2B5EF4-FFF2-40B4-BE49-F238E27FC236}">
                <a16:creationId xmlns:a16="http://schemas.microsoft.com/office/drawing/2014/main" id="{00000000-0008-0000-0300-000028000000}"/>
              </a:ext>
            </a:extLst>
          </xdr:cNvPr>
          <xdr:cNvPicPr>
            <a:picLocks noChangeAspect="1"/>
          </xdr:cNvPicPr>
        </xdr:nvPicPr>
        <xdr:blipFill>
          <a:blip xmlns:r="http://schemas.openxmlformats.org/officeDocument/2006/relationships" r:embed="rId8"/>
          <a:stretch>
            <a:fillRect/>
          </a:stretch>
        </xdr:blipFill>
        <xdr:spPr>
          <a:xfrm>
            <a:off x="4949820" y="1954999"/>
            <a:ext cx="1060505" cy="1064600"/>
          </a:xfrm>
          <a:prstGeom prst="rect">
            <a:avLst/>
          </a:prstGeom>
        </xdr:spPr>
      </xdr:pic>
      <xdr:pic>
        <xdr:nvPicPr>
          <xdr:cNvPr id="43" name="圖片 42">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9"/>
          <a:stretch>
            <a:fillRect/>
          </a:stretch>
        </xdr:blipFill>
        <xdr:spPr>
          <a:xfrm>
            <a:off x="11832802" y="2021691"/>
            <a:ext cx="1042280" cy="906643"/>
          </a:xfrm>
          <a:prstGeom prst="rect">
            <a:avLst/>
          </a:prstGeom>
        </xdr:spPr>
      </xdr:pic>
    </xdr:grpSp>
    <xdr:clientData/>
  </xdr:twoCellAnchor>
  <xdr:twoCellAnchor editAs="oneCell">
    <xdr:from>
      <xdr:col>22</xdr:col>
      <xdr:colOff>122464</xdr:colOff>
      <xdr:row>5</xdr:row>
      <xdr:rowOff>42182</xdr:rowOff>
    </xdr:from>
    <xdr:to>
      <xdr:col>22</xdr:col>
      <xdr:colOff>1161525</xdr:colOff>
      <xdr:row>6</xdr:row>
      <xdr:rowOff>9221</xdr:rowOff>
    </xdr:to>
    <xdr:pic macro="[0]!Currency_reset_Click">
      <xdr:nvPicPr>
        <xdr:cNvPr id="52" name="Currency_reset">
          <a:extLst>
            <a:ext uri="{FF2B5EF4-FFF2-40B4-BE49-F238E27FC236}">
              <a16:creationId xmlns:a16="http://schemas.microsoft.com/office/drawing/2014/main" id="{00000000-0008-0000-0300-000034000000}"/>
            </a:ext>
          </a:extLst>
        </xdr:cNvPr>
        <xdr:cNvPicPr>
          <a:picLocks noChangeAspect="1"/>
        </xdr:cNvPicPr>
      </xdr:nvPicPr>
      <xdr:blipFill>
        <a:blip xmlns:r="http://schemas.openxmlformats.org/officeDocument/2006/relationships" r:embed="rId10"/>
        <a:stretch>
          <a:fillRect/>
        </a:stretch>
      </xdr:blipFill>
      <xdr:spPr>
        <a:xfrm>
          <a:off x="22860000" y="1457325"/>
          <a:ext cx="1035886" cy="324000"/>
        </a:xfrm>
        <a:prstGeom prst="rect">
          <a:avLst/>
        </a:prstGeom>
      </xdr:spPr>
    </xdr:pic>
    <xdr:clientData/>
  </xdr:twoCellAnchor>
  <xdr:twoCellAnchor editAs="oneCell">
    <xdr:from>
      <xdr:col>6</xdr:col>
      <xdr:colOff>2722</xdr:colOff>
      <xdr:row>5</xdr:row>
      <xdr:rowOff>42182</xdr:rowOff>
    </xdr:from>
    <xdr:to>
      <xdr:col>7</xdr:col>
      <xdr:colOff>75677</xdr:colOff>
      <xdr:row>6</xdr:row>
      <xdr:rowOff>9221</xdr:rowOff>
    </xdr:to>
    <xdr:pic macro="[0]!customer_reset_Click">
      <xdr:nvPicPr>
        <xdr:cNvPr id="53" name="customer_reset">
          <a:extLst>
            <a:ext uri="{FF2B5EF4-FFF2-40B4-BE49-F238E27FC236}">
              <a16:creationId xmlns:a16="http://schemas.microsoft.com/office/drawing/2014/main" id="{00000000-0008-0000-0300-000035000000}"/>
            </a:ext>
          </a:extLst>
        </xdr:cNvPr>
        <xdr:cNvPicPr>
          <a:picLocks noChangeAspect="1"/>
        </xdr:cNvPicPr>
      </xdr:nvPicPr>
      <xdr:blipFill>
        <a:blip xmlns:r="http://schemas.openxmlformats.org/officeDocument/2006/relationships" r:embed="rId10"/>
        <a:stretch>
          <a:fillRect/>
        </a:stretch>
      </xdr:blipFill>
      <xdr:spPr>
        <a:xfrm>
          <a:off x="9827079" y="1457325"/>
          <a:ext cx="1035887" cy="324000"/>
        </a:xfrm>
        <a:prstGeom prst="rect">
          <a:avLst/>
        </a:prstGeom>
      </xdr:spPr>
    </xdr:pic>
    <xdr:clientData/>
  </xdr:twoCellAnchor>
  <xdr:twoCellAnchor>
    <xdr:from>
      <xdr:col>4</xdr:col>
      <xdr:colOff>369000</xdr:colOff>
      <xdr:row>6</xdr:row>
      <xdr:rowOff>0</xdr:rowOff>
    </xdr:from>
    <xdr:to>
      <xdr:col>4</xdr:col>
      <xdr:colOff>1879393</xdr:colOff>
      <xdr:row>7</xdr:row>
      <xdr:rowOff>27215</xdr:rowOff>
    </xdr:to>
    <xdr:sp macro="[0]!Filter_cash_Click" textlink="">
      <xdr:nvSpPr>
        <xdr:cNvPr id="3" name="Filter_cash">
          <a:extLst>
            <a:ext uri="{FF2B5EF4-FFF2-40B4-BE49-F238E27FC236}">
              <a16:creationId xmlns:a16="http://schemas.microsoft.com/office/drawing/2014/main" id="{00000000-0008-0000-0300-000003000000}"/>
            </a:ext>
          </a:extLst>
        </xdr:cNvPr>
        <xdr:cNvSpPr/>
      </xdr:nvSpPr>
      <xdr:spPr>
        <a:xfrm>
          <a:off x="2287607" y="1768929"/>
          <a:ext cx="1510393" cy="381000"/>
        </a:xfrm>
        <a:prstGeom prst="roundRect">
          <a:avLst/>
        </a:prstGeom>
        <a:solidFill>
          <a:srgbClr val="FFC000"/>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zh-TW" altLang="en-US" sz="1400" b="1">
              <a:solidFill>
                <a:srgbClr val="000000"/>
              </a:solidFill>
            </a:rPr>
            <a:t>現金流試算表</a:t>
          </a:r>
        </a:p>
      </xdr:txBody>
    </xdr:sp>
    <xdr:clientData/>
  </xdr:twoCellAnchor>
  <xdr:twoCellAnchor>
    <xdr:from>
      <xdr:col>4</xdr:col>
      <xdr:colOff>367393</xdr:colOff>
      <xdr:row>7</xdr:row>
      <xdr:rowOff>68035</xdr:rowOff>
    </xdr:from>
    <xdr:to>
      <xdr:col>4</xdr:col>
      <xdr:colOff>1879393</xdr:colOff>
      <xdr:row>7</xdr:row>
      <xdr:rowOff>449635</xdr:rowOff>
    </xdr:to>
    <xdr:sp macro="[0]!Filter_free_Click" textlink="">
      <xdr:nvSpPr>
        <xdr:cNvPr id="21" name="Filter_free">
          <a:extLst>
            <a:ext uri="{FF2B5EF4-FFF2-40B4-BE49-F238E27FC236}">
              <a16:creationId xmlns:a16="http://schemas.microsoft.com/office/drawing/2014/main" id="{00000000-0008-0000-0300-000015000000}"/>
            </a:ext>
          </a:extLst>
        </xdr:cNvPr>
        <xdr:cNvSpPr/>
      </xdr:nvSpPr>
      <xdr:spPr>
        <a:xfrm>
          <a:off x="2286000" y="2190749"/>
          <a:ext cx="1512000" cy="381600"/>
        </a:xfrm>
        <a:prstGeom prst="roundRect">
          <a:avLst/>
        </a:prstGeom>
        <a:solidFill>
          <a:srgbClr val="FFE389"/>
        </a:solidFill>
        <a:ln w="25400" cap="flat" cmpd="sng" algn="ctr">
          <a:noFill/>
          <a:prstDash val="solid"/>
        </a:ln>
        <a:effectLst/>
        <a:extLst>
          <a:ext uri="{91240B29-F687-4F45-9708-019B960494DF}">
            <a14:hiddenLine xmlns:a14="http://schemas.microsoft.com/office/drawing/2010/main" w="25400" cap="flat" cmpd="sng" algn="ctr">
              <a:solidFill>
                <a:srgbClr val="FFC000"/>
              </a:solidFill>
              <a:prstDash val="solid"/>
            </a14:hiddenLine>
          </a:ext>
        </a:ex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zh-TW" altLang="en-US" sz="1200" b="1">
              <a:solidFill>
                <a:sysClr val="windowText" lastClr="000000"/>
              </a:solidFill>
            </a:rPr>
            <a:t>自 由 選 清 單</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56</xdr:row>
      <xdr:rowOff>133349</xdr:rowOff>
    </xdr:from>
    <xdr:to>
      <xdr:col>19</xdr:col>
      <xdr:colOff>23444</xdr:colOff>
      <xdr:row>79</xdr:row>
      <xdr:rowOff>133349</xdr:rowOff>
    </xdr:to>
    <xdr:pic>
      <xdr:nvPicPr>
        <xdr:cNvPr id="14" name="圖片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stretch>
          <a:fillRect/>
        </a:stretch>
      </xdr:blipFill>
      <xdr:spPr>
        <a:xfrm>
          <a:off x="0" y="11391899"/>
          <a:ext cx="14863394" cy="4600575"/>
        </a:xfrm>
        <a:prstGeom prst="rect">
          <a:avLst/>
        </a:prstGeom>
      </xdr:spPr>
    </xdr:pic>
    <xdr:clientData/>
  </xdr:twoCellAnchor>
  <xdr:twoCellAnchor editAs="oneCell">
    <xdr:from>
      <xdr:col>0</xdr:col>
      <xdr:colOff>0</xdr:colOff>
      <xdr:row>15</xdr:row>
      <xdr:rowOff>85725</xdr:rowOff>
    </xdr:from>
    <xdr:to>
      <xdr:col>19</xdr:col>
      <xdr:colOff>9525</xdr:colOff>
      <xdr:row>42</xdr:row>
      <xdr:rowOff>126674</xdr:rowOff>
    </xdr:to>
    <xdr:pic>
      <xdr:nvPicPr>
        <xdr:cNvPr id="2" name="圖片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2"/>
        <a:srcRect t="7958"/>
        <a:stretch/>
      </xdr:blipFill>
      <xdr:spPr>
        <a:xfrm>
          <a:off x="0" y="3190875"/>
          <a:ext cx="14849475" cy="5441624"/>
        </a:xfrm>
        <a:prstGeom prst="rect">
          <a:avLst/>
        </a:prstGeom>
      </xdr:spPr>
    </xdr:pic>
    <xdr:clientData/>
  </xdr:twoCellAnchor>
  <xdr:twoCellAnchor>
    <xdr:from>
      <xdr:col>0</xdr:col>
      <xdr:colOff>0</xdr:colOff>
      <xdr:row>0</xdr:row>
      <xdr:rowOff>0</xdr:rowOff>
    </xdr:from>
    <xdr:to>
      <xdr:col>19</xdr:col>
      <xdr:colOff>11206</xdr:colOff>
      <xdr:row>1</xdr:row>
      <xdr:rowOff>200025</xdr:rowOff>
    </xdr:to>
    <xdr:sp macro="" textlink="">
      <xdr:nvSpPr>
        <xdr:cNvPr id="4" name="矩形 3">
          <a:extLst>
            <a:ext uri="{FF2B5EF4-FFF2-40B4-BE49-F238E27FC236}">
              <a16:creationId xmlns:a16="http://schemas.microsoft.com/office/drawing/2014/main" id="{00000000-0008-0000-0400-000004000000}"/>
            </a:ext>
          </a:extLst>
        </xdr:cNvPr>
        <xdr:cNvSpPr/>
      </xdr:nvSpPr>
      <xdr:spPr>
        <a:xfrm>
          <a:off x="0" y="0"/>
          <a:ext cx="13041406" cy="409575"/>
        </a:xfrm>
        <a:prstGeom prst="rect">
          <a:avLst/>
        </a:prstGeom>
        <a:solidFill>
          <a:srgbClr val="297D6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zh-TW" altLang="en-US" sz="2000" b="1">
              <a:latin typeface="微軟正黑體" panose="020B0604030504040204" pitchFamily="34" charset="-120"/>
              <a:ea typeface="微軟正黑體" panose="020B0604030504040204" pitchFamily="34" charset="-120"/>
            </a:rPr>
            <a:t>海 外 債 券 投 組 小 工 具 使 用 說 明</a:t>
          </a:r>
        </a:p>
      </xdr:txBody>
    </xdr:sp>
    <xdr:clientData/>
  </xdr:twoCellAnchor>
  <xdr:twoCellAnchor>
    <xdr:from>
      <xdr:col>17</xdr:col>
      <xdr:colOff>400050</xdr:colOff>
      <xdr:row>2</xdr:row>
      <xdr:rowOff>66675</xdr:rowOff>
    </xdr:from>
    <xdr:to>
      <xdr:col>18</xdr:col>
      <xdr:colOff>680357</xdr:colOff>
      <xdr:row>4</xdr:row>
      <xdr:rowOff>122464</xdr:rowOff>
    </xdr:to>
    <xdr:sp macro="" textlink="">
      <xdr:nvSpPr>
        <xdr:cNvPr id="34" name="圓角矩形 33">
          <a:hlinkClick xmlns:r="http://schemas.openxmlformats.org/officeDocument/2006/relationships" r:id="rId3"/>
          <a:extLst>
            <a:ext uri="{FF2B5EF4-FFF2-40B4-BE49-F238E27FC236}">
              <a16:creationId xmlns:a16="http://schemas.microsoft.com/office/drawing/2014/main" id="{00000000-0008-0000-0400-000022000000}"/>
            </a:ext>
          </a:extLst>
        </xdr:cNvPr>
        <xdr:cNvSpPr/>
      </xdr:nvSpPr>
      <xdr:spPr>
        <a:xfrm>
          <a:off x="12058650" y="485775"/>
          <a:ext cx="966107" cy="503464"/>
        </a:xfrm>
        <a:prstGeom prst="roundRect">
          <a:avLst/>
        </a:prstGeom>
        <a:solidFill>
          <a:srgbClr val="297D6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latin typeface="微軟正黑體" panose="020B0604030504040204" pitchFamily="34" charset="-120"/>
              <a:ea typeface="微軟正黑體" panose="020B0604030504040204" pitchFamily="34" charset="-120"/>
            </a:rPr>
            <a:t>主畫面</a:t>
          </a:r>
        </a:p>
      </xdr:txBody>
    </xdr:sp>
    <xdr:clientData/>
  </xdr:twoCellAnchor>
  <xdr:twoCellAnchor>
    <xdr:from>
      <xdr:col>0</xdr:col>
      <xdr:colOff>0</xdr:colOff>
      <xdr:row>8</xdr:row>
      <xdr:rowOff>0</xdr:rowOff>
    </xdr:from>
    <xdr:to>
      <xdr:col>19</xdr:col>
      <xdr:colOff>11206</xdr:colOff>
      <xdr:row>9</xdr:row>
      <xdr:rowOff>200025</xdr:rowOff>
    </xdr:to>
    <xdr:sp macro="" textlink="">
      <xdr:nvSpPr>
        <xdr:cNvPr id="36" name="矩形 35">
          <a:extLst>
            <a:ext uri="{FF2B5EF4-FFF2-40B4-BE49-F238E27FC236}">
              <a16:creationId xmlns:a16="http://schemas.microsoft.com/office/drawing/2014/main" id="{00000000-0008-0000-0400-000024000000}"/>
            </a:ext>
          </a:extLst>
        </xdr:cNvPr>
        <xdr:cNvSpPr/>
      </xdr:nvSpPr>
      <xdr:spPr>
        <a:xfrm>
          <a:off x="0" y="1704975"/>
          <a:ext cx="13041406" cy="409575"/>
        </a:xfrm>
        <a:prstGeom prst="rect">
          <a:avLst/>
        </a:prstGeom>
        <a:solidFill>
          <a:srgbClr val="EEF5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ltLang="zh-TW" sz="2000" b="1">
              <a:solidFill>
                <a:srgbClr val="297D6B"/>
              </a:solidFill>
              <a:latin typeface="微軟正黑體" panose="020B0604030504040204" pitchFamily="34" charset="-120"/>
              <a:ea typeface="微軟正黑體" panose="020B0604030504040204" pitchFamily="34" charset="-120"/>
            </a:rPr>
            <a:t>A</a:t>
          </a:r>
          <a:r>
            <a:rPr lang="zh-TW" altLang="en-US" sz="2000" b="1">
              <a:solidFill>
                <a:srgbClr val="297D6B"/>
              </a:solidFill>
              <a:latin typeface="微軟正黑體" panose="020B0604030504040204" pitchFamily="34" charset="-120"/>
              <a:ea typeface="微軟正黑體" panose="020B0604030504040204" pitchFamily="34" charset="-120"/>
            </a:rPr>
            <a:t>、「投資商品現金流試算表」</a:t>
          </a:r>
          <a:r>
            <a:rPr lang="zh-TW" altLang="en-US" sz="2000" b="1" baseline="0">
              <a:solidFill>
                <a:srgbClr val="297D6B"/>
              </a:solidFill>
              <a:latin typeface="微軟正黑體" panose="020B0604030504040204" pitchFamily="34" charset="-120"/>
              <a:ea typeface="微軟正黑體" panose="020B0604030504040204" pitchFamily="34" charset="-120"/>
            </a:rPr>
            <a:t>對單檔債券商品進行現金流試算</a:t>
          </a:r>
          <a:endParaRPr lang="zh-TW" altLang="en-US" sz="2000" b="1">
            <a:solidFill>
              <a:srgbClr val="297D6B"/>
            </a:solidFill>
            <a:latin typeface="微軟正黑體" panose="020B0604030504040204" pitchFamily="34" charset="-120"/>
            <a:ea typeface="微軟正黑體" panose="020B0604030504040204" pitchFamily="34" charset="-120"/>
          </a:endParaRPr>
        </a:p>
      </xdr:txBody>
    </xdr:sp>
    <xdr:clientData/>
  </xdr:twoCellAnchor>
  <xdr:twoCellAnchor>
    <xdr:from>
      <xdr:col>0</xdr:col>
      <xdr:colOff>0</xdr:colOff>
      <xdr:row>47</xdr:row>
      <xdr:rowOff>145687</xdr:rowOff>
    </xdr:from>
    <xdr:to>
      <xdr:col>19</xdr:col>
      <xdr:colOff>11206</xdr:colOff>
      <xdr:row>49</xdr:row>
      <xdr:rowOff>132801</xdr:rowOff>
    </xdr:to>
    <xdr:sp macro="" textlink="">
      <xdr:nvSpPr>
        <xdr:cNvPr id="39" name="矩形 38">
          <a:extLst>
            <a:ext uri="{FF2B5EF4-FFF2-40B4-BE49-F238E27FC236}">
              <a16:creationId xmlns:a16="http://schemas.microsoft.com/office/drawing/2014/main" id="{00000000-0008-0000-0400-000027000000}"/>
            </a:ext>
          </a:extLst>
        </xdr:cNvPr>
        <xdr:cNvSpPr/>
      </xdr:nvSpPr>
      <xdr:spPr>
        <a:xfrm>
          <a:off x="0" y="9200040"/>
          <a:ext cx="12998824" cy="412937"/>
        </a:xfrm>
        <a:prstGeom prst="rect">
          <a:avLst/>
        </a:prstGeom>
        <a:solidFill>
          <a:srgbClr val="EEF5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n-US" altLang="zh-TW" sz="2000" b="1" kern="1200">
              <a:solidFill>
                <a:srgbClr val="297D6B"/>
              </a:solidFill>
              <a:latin typeface="微軟正黑體" panose="020B0604030504040204" pitchFamily="34" charset="-120"/>
              <a:ea typeface="微軟正黑體" panose="020B0604030504040204" pitchFamily="34" charset="-120"/>
              <a:cs typeface="+mn-cs"/>
            </a:rPr>
            <a:t>B</a:t>
          </a:r>
          <a:r>
            <a:rPr lang="zh-TW" altLang="en-US" sz="2000" b="1" kern="1200">
              <a:solidFill>
                <a:srgbClr val="297D6B"/>
              </a:solidFill>
              <a:latin typeface="微軟正黑體" panose="020B0604030504040204" pitchFamily="34" charset="-120"/>
              <a:ea typeface="微軟正黑體" panose="020B0604030504040204" pitchFamily="34" charset="-120"/>
              <a:cs typeface="+mn-cs"/>
            </a:rPr>
            <a:t>、「自由選」自由組建架上的半年配美元債券投資組合</a:t>
          </a:r>
        </a:p>
      </xdr:txBody>
    </xdr:sp>
    <xdr:clientData/>
  </xdr:twoCellAnchor>
  <xdr:twoCellAnchor>
    <xdr:from>
      <xdr:col>0</xdr:col>
      <xdr:colOff>0</xdr:colOff>
      <xdr:row>81</xdr:row>
      <xdr:rowOff>0</xdr:rowOff>
    </xdr:from>
    <xdr:to>
      <xdr:col>19</xdr:col>
      <xdr:colOff>11206</xdr:colOff>
      <xdr:row>82</xdr:row>
      <xdr:rowOff>200025</xdr:rowOff>
    </xdr:to>
    <xdr:sp macro="" textlink="">
      <xdr:nvSpPr>
        <xdr:cNvPr id="46" name="矩形 45">
          <a:extLst>
            <a:ext uri="{FF2B5EF4-FFF2-40B4-BE49-F238E27FC236}">
              <a16:creationId xmlns:a16="http://schemas.microsoft.com/office/drawing/2014/main" id="{00000000-0008-0000-0400-00002E000000}"/>
            </a:ext>
          </a:extLst>
        </xdr:cNvPr>
        <xdr:cNvSpPr/>
      </xdr:nvSpPr>
      <xdr:spPr>
        <a:xfrm>
          <a:off x="0" y="18086294"/>
          <a:ext cx="12998824" cy="412937"/>
        </a:xfrm>
        <a:prstGeom prst="rect">
          <a:avLst/>
        </a:prstGeom>
        <a:solidFill>
          <a:srgbClr val="EEF5F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n-US" altLang="zh-TW" sz="2000" b="1" kern="1200">
              <a:solidFill>
                <a:srgbClr val="297D6B"/>
              </a:solidFill>
              <a:latin typeface="微軟正黑體" panose="020B0604030504040204" pitchFamily="34" charset="-120"/>
              <a:ea typeface="微軟正黑體" panose="020B0604030504040204" pitchFamily="34" charset="-120"/>
              <a:cs typeface="+mn-cs"/>
            </a:rPr>
            <a:t>C</a:t>
          </a:r>
          <a:r>
            <a:rPr lang="zh-TW" altLang="en-US" sz="2000" b="1" kern="1200">
              <a:solidFill>
                <a:srgbClr val="297D6B"/>
              </a:solidFill>
              <a:latin typeface="微軟正黑體" panose="020B0604030504040204" pitchFamily="34" charset="-120"/>
              <a:ea typeface="+mn-ea"/>
              <a:cs typeface="+mn-cs"/>
            </a:rPr>
            <a:t>、「篩選吧」針對架上商品進行多重篩選</a:t>
          </a:r>
        </a:p>
      </xdr:txBody>
    </xdr:sp>
    <xdr:clientData/>
  </xdr:twoCellAnchor>
  <xdr:twoCellAnchor>
    <xdr:from>
      <xdr:col>0</xdr:col>
      <xdr:colOff>97681</xdr:colOff>
      <xdr:row>13</xdr:row>
      <xdr:rowOff>39975</xdr:rowOff>
    </xdr:from>
    <xdr:to>
      <xdr:col>3</xdr:col>
      <xdr:colOff>676275</xdr:colOff>
      <xdr:row>15</xdr:row>
      <xdr:rowOff>39975</xdr:rowOff>
    </xdr:to>
    <xdr:sp macro="" textlink="">
      <xdr:nvSpPr>
        <xdr:cNvPr id="3" name="矩形: 圓角 2">
          <a:extLst>
            <a:ext uri="{FF2B5EF4-FFF2-40B4-BE49-F238E27FC236}">
              <a16:creationId xmlns:a16="http://schemas.microsoft.com/office/drawing/2014/main" id="{00000000-0008-0000-0400-000003000000}"/>
            </a:ext>
          </a:extLst>
        </xdr:cNvPr>
        <xdr:cNvSpPr/>
      </xdr:nvSpPr>
      <xdr:spPr>
        <a:xfrm>
          <a:off x="97681" y="2745075"/>
          <a:ext cx="2921744" cy="400050"/>
        </a:xfrm>
        <a:prstGeom prst="roundRect">
          <a:avLst/>
        </a:prstGeom>
        <a:solidFill>
          <a:srgbClr val="B3863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400"/>
            <a:t>可自行輸入商品代碼及投資面額</a:t>
          </a:r>
        </a:p>
      </xdr:txBody>
    </xdr:sp>
    <xdr:clientData/>
  </xdr:twoCellAnchor>
  <xdr:twoCellAnchor>
    <xdr:from>
      <xdr:col>0</xdr:col>
      <xdr:colOff>383801</xdr:colOff>
      <xdr:row>14</xdr:row>
      <xdr:rowOff>182661</xdr:rowOff>
    </xdr:from>
    <xdr:to>
      <xdr:col>0</xdr:col>
      <xdr:colOff>627156</xdr:colOff>
      <xdr:row>15</xdr:row>
      <xdr:rowOff>107582</xdr:rowOff>
    </xdr:to>
    <xdr:sp macro="" textlink="">
      <xdr:nvSpPr>
        <xdr:cNvPr id="6" name="等腰三角形 5">
          <a:extLst>
            <a:ext uri="{FF2B5EF4-FFF2-40B4-BE49-F238E27FC236}">
              <a16:creationId xmlns:a16="http://schemas.microsoft.com/office/drawing/2014/main" id="{00000000-0008-0000-0400-000006000000}"/>
            </a:ext>
          </a:extLst>
        </xdr:cNvPr>
        <xdr:cNvSpPr/>
      </xdr:nvSpPr>
      <xdr:spPr>
        <a:xfrm flipV="1">
          <a:off x="383801" y="3087786"/>
          <a:ext cx="243355" cy="124946"/>
        </a:xfrm>
        <a:prstGeom prst="triangle">
          <a:avLst/>
        </a:prstGeom>
        <a:solidFill>
          <a:srgbClr val="B3863B"/>
        </a:solidFill>
        <a:ln w="19050">
          <a:solidFill>
            <a:srgbClr val="B3863B"/>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clientData/>
  </xdr:twoCellAnchor>
  <xdr:twoCellAnchor>
    <xdr:from>
      <xdr:col>0</xdr:col>
      <xdr:colOff>64060</xdr:colOff>
      <xdr:row>54</xdr:row>
      <xdr:rowOff>935</xdr:rowOff>
    </xdr:from>
    <xdr:to>
      <xdr:col>2</xdr:col>
      <xdr:colOff>421822</xdr:colOff>
      <xdr:row>56</xdr:row>
      <xdr:rowOff>935</xdr:rowOff>
    </xdr:to>
    <xdr:sp macro="" textlink="">
      <xdr:nvSpPr>
        <xdr:cNvPr id="8" name="矩形: 圓角 7">
          <a:extLst>
            <a:ext uri="{FF2B5EF4-FFF2-40B4-BE49-F238E27FC236}">
              <a16:creationId xmlns:a16="http://schemas.microsoft.com/office/drawing/2014/main" id="{00000000-0008-0000-0400-000008000000}"/>
            </a:ext>
          </a:extLst>
        </xdr:cNvPr>
        <xdr:cNvSpPr/>
      </xdr:nvSpPr>
      <xdr:spPr>
        <a:xfrm>
          <a:off x="64060" y="11063542"/>
          <a:ext cx="1908976" cy="408214"/>
        </a:xfrm>
        <a:prstGeom prst="roundRect">
          <a:avLst/>
        </a:prstGeom>
        <a:solidFill>
          <a:srgbClr val="B3863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400"/>
            <a:t>可自行輸入商品代碼</a:t>
          </a:r>
        </a:p>
      </xdr:txBody>
    </xdr:sp>
    <xdr:clientData/>
  </xdr:twoCellAnchor>
  <xdr:twoCellAnchor>
    <xdr:from>
      <xdr:col>0</xdr:col>
      <xdr:colOff>323284</xdr:colOff>
      <xdr:row>55</xdr:row>
      <xdr:rowOff>170515</xdr:rowOff>
    </xdr:from>
    <xdr:to>
      <xdr:col>0</xdr:col>
      <xdr:colOff>560289</xdr:colOff>
      <xdr:row>56</xdr:row>
      <xdr:rowOff>124012</xdr:rowOff>
    </xdr:to>
    <xdr:sp macro="" textlink="">
      <xdr:nvSpPr>
        <xdr:cNvPr id="9" name="等腰三角形 8">
          <a:extLst>
            <a:ext uri="{FF2B5EF4-FFF2-40B4-BE49-F238E27FC236}">
              <a16:creationId xmlns:a16="http://schemas.microsoft.com/office/drawing/2014/main" id="{00000000-0008-0000-0400-000009000000}"/>
            </a:ext>
          </a:extLst>
        </xdr:cNvPr>
        <xdr:cNvSpPr/>
      </xdr:nvSpPr>
      <xdr:spPr>
        <a:xfrm flipV="1">
          <a:off x="323284" y="11229040"/>
          <a:ext cx="237005" cy="153522"/>
        </a:xfrm>
        <a:prstGeom prst="triangle">
          <a:avLst/>
        </a:prstGeom>
        <a:solidFill>
          <a:srgbClr val="B3863B"/>
        </a:solidFill>
        <a:ln w="19050">
          <a:solidFill>
            <a:srgbClr val="B3863B"/>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clientData/>
  </xdr:twoCellAnchor>
  <xdr:twoCellAnchor>
    <xdr:from>
      <xdr:col>8</xdr:col>
      <xdr:colOff>331129</xdr:colOff>
      <xdr:row>53</xdr:row>
      <xdr:rowOff>197784</xdr:rowOff>
    </xdr:from>
    <xdr:to>
      <xdr:col>10</xdr:col>
      <xdr:colOff>685800</xdr:colOff>
      <xdr:row>55</xdr:row>
      <xdr:rowOff>197784</xdr:rowOff>
    </xdr:to>
    <xdr:sp macro="" textlink="">
      <xdr:nvSpPr>
        <xdr:cNvPr id="10" name="矩形: 圓角 9">
          <a:extLst>
            <a:ext uri="{FF2B5EF4-FFF2-40B4-BE49-F238E27FC236}">
              <a16:creationId xmlns:a16="http://schemas.microsoft.com/office/drawing/2014/main" id="{00000000-0008-0000-0400-00000A000000}"/>
            </a:ext>
          </a:extLst>
        </xdr:cNvPr>
        <xdr:cNvSpPr/>
      </xdr:nvSpPr>
      <xdr:spPr>
        <a:xfrm>
          <a:off x="6579529" y="10856259"/>
          <a:ext cx="1916771" cy="400050"/>
        </a:xfrm>
        <a:prstGeom prst="roundRect">
          <a:avLst/>
        </a:prstGeom>
        <a:solidFill>
          <a:srgbClr val="B3863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400"/>
            <a:t>可自行輸入投資面額</a:t>
          </a:r>
        </a:p>
      </xdr:txBody>
    </xdr:sp>
    <xdr:clientData/>
  </xdr:twoCellAnchor>
  <xdr:twoCellAnchor>
    <xdr:from>
      <xdr:col>9</xdr:col>
      <xdr:colOff>198147</xdr:colOff>
      <xdr:row>55</xdr:row>
      <xdr:rowOff>170514</xdr:rowOff>
    </xdr:from>
    <xdr:to>
      <xdr:col>9</xdr:col>
      <xdr:colOff>416102</xdr:colOff>
      <xdr:row>56</xdr:row>
      <xdr:rowOff>120835</xdr:rowOff>
    </xdr:to>
    <xdr:sp macro="" textlink="">
      <xdr:nvSpPr>
        <xdr:cNvPr id="11" name="等腰三角形 10">
          <a:extLst>
            <a:ext uri="{FF2B5EF4-FFF2-40B4-BE49-F238E27FC236}">
              <a16:creationId xmlns:a16="http://schemas.microsoft.com/office/drawing/2014/main" id="{00000000-0008-0000-0400-00000B000000}"/>
            </a:ext>
          </a:extLst>
        </xdr:cNvPr>
        <xdr:cNvSpPr/>
      </xdr:nvSpPr>
      <xdr:spPr>
        <a:xfrm flipV="1">
          <a:off x="7227597" y="11229039"/>
          <a:ext cx="217955" cy="150346"/>
        </a:xfrm>
        <a:prstGeom prst="triangle">
          <a:avLst/>
        </a:prstGeom>
        <a:solidFill>
          <a:srgbClr val="B3863B"/>
        </a:solidFill>
        <a:ln w="19050">
          <a:solidFill>
            <a:srgbClr val="B3863B"/>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marL="0" indent="0" algn="l"/>
          <a:endParaRPr lang="zh-TW" altLang="en-US" sz="1100">
            <a:solidFill>
              <a:schemeClr val="lt1"/>
            </a:solidFill>
            <a:latin typeface="+mn-lt"/>
            <a:ea typeface="+mn-ea"/>
            <a:cs typeface="+mn-cs"/>
          </a:endParaRPr>
        </a:p>
      </xdr:txBody>
    </xdr:sp>
    <xdr:clientData/>
  </xdr:twoCellAnchor>
  <xdr:twoCellAnchor>
    <xdr:from>
      <xdr:col>0</xdr:col>
      <xdr:colOff>66675</xdr:colOff>
      <xdr:row>15</xdr:row>
      <xdr:rowOff>114300</xdr:rowOff>
    </xdr:from>
    <xdr:to>
      <xdr:col>1</xdr:col>
      <xdr:colOff>104775</xdr:colOff>
      <xdr:row>22</xdr:row>
      <xdr:rowOff>104775</xdr:rowOff>
    </xdr:to>
    <xdr:sp macro="" textlink="">
      <xdr:nvSpPr>
        <xdr:cNvPr id="7" name="矩形 6">
          <a:extLst>
            <a:ext uri="{FF2B5EF4-FFF2-40B4-BE49-F238E27FC236}">
              <a16:creationId xmlns:a16="http://schemas.microsoft.com/office/drawing/2014/main" id="{00000000-0008-0000-0400-000007000000}"/>
            </a:ext>
          </a:extLst>
        </xdr:cNvPr>
        <xdr:cNvSpPr/>
      </xdr:nvSpPr>
      <xdr:spPr>
        <a:xfrm>
          <a:off x="66675" y="3219450"/>
          <a:ext cx="819150" cy="1390650"/>
        </a:xfrm>
        <a:prstGeom prst="rect">
          <a:avLst/>
        </a:prstGeom>
        <a:noFill/>
        <a:ln>
          <a:solidFill>
            <a:srgbClr val="B3863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0</xdr:col>
      <xdr:colOff>47625</xdr:colOff>
      <xdr:row>58</xdr:row>
      <xdr:rowOff>180975</xdr:rowOff>
    </xdr:from>
    <xdr:to>
      <xdr:col>0</xdr:col>
      <xdr:colOff>742950</xdr:colOff>
      <xdr:row>76</xdr:row>
      <xdr:rowOff>123825</xdr:rowOff>
    </xdr:to>
    <xdr:sp macro="" textlink="">
      <xdr:nvSpPr>
        <xdr:cNvPr id="41" name="矩形 40">
          <a:extLst>
            <a:ext uri="{FF2B5EF4-FFF2-40B4-BE49-F238E27FC236}">
              <a16:creationId xmlns:a16="http://schemas.microsoft.com/office/drawing/2014/main" id="{00000000-0008-0000-0400-000029000000}"/>
            </a:ext>
          </a:extLst>
        </xdr:cNvPr>
        <xdr:cNvSpPr/>
      </xdr:nvSpPr>
      <xdr:spPr>
        <a:xfrm>
          <a:off x="47625" y="11839575"/>
          <a:ext cx="695325" cy="3543300"/>
        </a:xfrm>
        <a:prstGeom prst="rect">
          <a:avLst/>
        </a:prstGeom>
        <a:noFill/>
        <a:ln>
          <a:solidFill>
            <a:srgbClr val="B3863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8</xdr:col>
      <xdr:colOff>552448</xdr:colOff>
      <xdr:row>58</xdr:row>
      <xdr:rowOff>190499</xdr:rowOff>
    </xdr:from>
    <xdr:to>
      <xdr:col>10</xdr:col>
      <xdr:colOff>190500</xdr:colOff>
      <xdr:row>76</xdr:row>
      <xdr:rowOff>123824</xdr:rowOff>
    </xdr:to>
    <xdr:sp macro="" textlink="">
      <xdr:nvSpPr>
        <xdr:cNvPr id="42" name="矩形 41">
          <a:extLst>
            <a:ext uri="{FF2B5EF4-FFF2-40B4-BE49-F238E27FC236}">
              <a16:creationId xmlns:a16="http://schemas.microsoft.com/office/drawing/2014/main" id="{00000000-0008-0000-0400-00002A000000}"/>
            </a:ext>
          </a:extLst>
        </xdr:cNvPr>
        <xdr:cNvSpPr/>
      </xdr:nvSpPr>
      <xdr:spPr>
        <a:xfrm>
          <a:off x="6800848" y="11849099"/>
          <a:ext cx="1200152" cy="3533775"/>
        </a:xfrm>
        <a:prstGeom prst="rect">
          <a:avLst/>
        </a:prstGeom>
        <a:noFill/>
        <a:ln>
          <a:solidFill>
            <a:srgbClr val="B3863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editAs="oneCell">
    <xdr:from>
      <xdr:col>0</xdr:col>
      <xdr:colOff>0</xdr:colOff>
      <xdr:row>86</xdr:row>
      <xdr:rowOff>27219</xdr:rowOff>
    </xdr:from>
    <xdr:to>
      <xdr:col>19</xdr:col>
      <xdr:colOff>45357</xdr:colOff>
      <xdr:row>109</xdr:row>
      <xdr:rowOff>120551</xdr:rowOff>
    </xdr:to>
    <xdr:pic>
      <xdr:nvPicPr>
        <xdr:cNvPr id="5" name="圖片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4"/>
        <a:stretch>
          <a:fillRect/>
        </a:stretch>
      </xdr:blipFill>
      <xdr:spPr>
        <a:xfrm>
          <a:off x="0" y="17281076"/>
          <a:ext cx="15557500" cy="46834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17319</xdr:colOff>
      <xdr:row>116</xdr:row>
      <xdr:rowOff>225137</xdr:rowOff>
    </xdr:from>
    <xdr:to>
      <xdr:col>6</xdr:col>
      <xdr:colOff>665883</xdr:colOff>
      <xdr:row>118</xdr:row>
      <xdr:rowOff>86591</xdr:rowOff>
    </xdr:to>
    <xdr:sp macro="[0]!Multi_1" textlink="">
      <xdr:nvSpPr>
        <xdr:cNvPr id="7184" name="S_1">
          <a:extLst>
            <a:ext uri="{FF2B5EF4-FFF2-40B4-BE49-F238E27FC236}">
              <a16:creationId xmlns:a16="http://schemas.microsoft.com/office/drawing/2014/main" id="{00000000-0008-0000-0500-0000101C0000}"/>
            </a:ext>
          </a:extLst>
        </xdr:cNvPr>
        <xdr:cNvSpPr/>
      </xdr:nvSpPr>
      <xdr:spPr>
        <a:xfrm>
          <a:off x="363683" y="38030728"/>
          <a:ext cx="2397700" cy="43295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5</xdr:col>
      <xdr:colOff>17318</xdr:colOff>
      <xdr:row>119</xdr:row>
      <xdr:rowOff>0</xdr:rowOff>
    </xdr:from>
    <xdr:to>
      <xdr:col>6</xdr:col>
      <xdr:colOff>675407</xdr:colOff>
      <xdr:row>122</xdr:row>
      <xdr:rowOff>51954</xdr:rowOff>
    </xdr:to>
    <xdr:sp macro="[0]!Multi_3" textlink="">
      <xdr:nvSpPr>
        <xdr:cNvPr id="7186" name="M_3">
          <a:extLst>
            <a:ext uri="{FF2B5EF4-FFF2-40B4-BE49-F238E27FC236}">
              <a16:creationId xmlns:a16="http://schemas.microsoft.com/office/drawing/2014/main" id="{00000000-0008-0000-0500-0000121C0000}"/>
            </a:ext>
          </a:extLst>
        </xdr:cNvPr>
        <xdr:cNvSpPr/>
      </xdr:nvSpPr>
      <xdr:spPr>
        <a:xfrm>
          <a:off x="363682" y="38567591"/>
          <a:ext cx="2407225" cy="43295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24</xdr:col>
      <xdr:colOff>363681</xdr:colOff>
      <xdr:row>26</xdr:row>
      <xdr:rowOff>432955</xdr:rowOff>
    </xdr:from>
    <xdr:to>
      <xdr:col>39</xdr:col>
      <xdr:colOff>259772</xdr:colOff>
      <xdr:row>33</xdr:row>
      <xdr:rowOff>484909</xdr:rowOff>
    </xdr:to>
    <xdr:grpSp>
      <xdr:nvGrpSpPr>
        <xdr:cNvPr id="2" name="群組 1">
          <a:extLst>
            <a:ext uri="{FF2B5EF4-FFF2-40B4-BE49-F238E27FC236}">
              <a16:creationId xmlns:a16="http://schemas.microsoft.com/office/drawing/2014/main" id="{00000000-0008-0000-0500-000002000000}"/>
            </a:ext>
          </a:extLst>
        </xdr:cNvPr>
        <xdr:cNvGrpSpPr/>
      </xdr:nvGrpSpPr>
      <xdr:grpSpPr>
        <a:xfrm>
          <a:off x="15903863" y="10165773"/>
          <a:ext cx="8370454" cy="4092863"/>
          <a:chOff x="905465" y="8497206"/>
          <a:chExt cx="7334679" cy="3996000"/>
        </a:xfrm>
      </xdr:grpSpPr>
      <xdr:cxnSp macro="">
        <xdr:nvCxnSpPr>
          <xdr:cNvPr id="3" name="直線接點 2">
            <a:extLst>
              <a:ext uri="{FF2B5EF4-FFF2-40B4-BE49-F238E27FC236}">
                <a16:creationId xmlns:a16="http://schemas.microsoft.com/office/drawing/2014/main" id="{00000000-0008-0000-0500-000003000000}"/>
              </a:ext>
            </a:extLst>
          </xdr:cNvPr>
          <xdr:cNvCxnSpPr/>
        </xdr:nvCxnSpPr>
        <xdr:spPr>
          <a:xfrm>
            <a:off x="905465"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4" name="直線接點 3">
            <a:extLst>
              <a:ext uri="{FF2B5EF4-FFF2-40B4-BE49-F238E27FC236}">
                <a16:creationId xmlns:a16="http://schemas.microsoft.com/office/drawing/2014/main" id="{00000000-0008-0000-0500-000004000000}"/>
              </a:ext>
            </a:extLst>
          </xdr:cNvPr>
          <xdr:cNvCxnSpPr/>
        </xdr:nvCxnSpPr>
        <xdr:spPr>
          <a:xfrm>
            <a:off x="1572254"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5" name="直線接點 4">
            <a:extLst>
              <a:ext uri="{FF2B5EF4-FFF2-40B4-BE49-F238E27FC236}">
                <a16:creationId xmlns:a16="http://schemas.microsoft.com/office/drawing/2014/main" id="{00000000-0008-0000-0500-000005000000}"/>
              </a:ext>
            </a:extLst>
          </xdr:cNvPr>
          <xdr:cNvCxnSpPr/>
        </xdr:nvCxnSpPr>
        <xdr:spPr>
          <a:xfrm>
            <a:off x="2239043"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6" name="直線接點 5">
            <a:extLst>
              <a:ext uri="{FF2B5EF4-FFF2-40B4-BE49-F238E27FC236}">
                <a16:creationId xmlns:a16="http://schemas.microsoft.com/office/drawing/2014/main" id="{00000000-0008-0000-0500-000006000000}"/>
              </a:ext>
            </a:extLst>
          </xdr:cNvPr>
          <xdr:cNvCxnSpPr/>
        </xdr:nvCxnSpPr>
        <xdr:spPr>
          <a:xfrm>
            <a:off x="2905832"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7" name="直線接點 6">
            <a:extLst>
              <a:ext uri="{FF2B5EF4-FFF2-40B4-BE49-F238E27FC236}">
                <a16:creationId xmlns:a16="http://schemas.microsoft.com/office/drawing/2014/main" id="{00000000-0008-0000-0500-000007000000}"/>
              </a:ext>
            </a:extLst>
          </xdr:cNvPr>
          <xdr:cNvCxnSpPr/>
        </xdr:nvCxnSpPr>
        <xdr:spPr>
          <a:xfrm>
            <a:off x="3572621"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8" name="直線接點 7">
            <a:extLst>
              <a:ext uri="{FF2B5EF4-FFF2-40B4-BE49-F238E27FC236}">
                <a16:creationId xmlns:a16="http://schemas.microsoft.com/office/drawing/2014/main" id="{00000000-0008-0000-0500-000008000000}"/>
              </a:ext>
            </a:extLst>
          </xdr:cNvPr>
          <xdr:cNvCxnSpPr/>
        </xdr:nvCxnSpPr>
        <xdr:spPr>
          <a:xfrm>
            <a:off x="4239410"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9" name="直線接點 8">
            <a:extLst>
              <a:ext uri="{FF2B5EF4-FFF2-40B4-BE49-F238E27FC236}">
                <a16:creationId xmlns:a16="http://schemas.microsoft.com/office/drawing/2014/main" id="{00000000-0008-0000-0500-000009000000}"/>
              </a:ext>
            </a:extLst>
          </xdr:cNvPr>
          <xdr:cNvCxnSpPr/>
        </xdr:nvCxnSpPr>
        <xdr:spPr>
          <a:xfrm>
            <a:off x="4906199"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500-00000A000000}"/>
              </a:ext>
            </a:extLst>
          </xdr:cNvPr>
          <xdr:cNvCxnSpPr/>
        </xdr:nvCxnSpPr>
        <xdr:spPr>
          <a:xfrm>
            <a:off x="5572988"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500-00000B000000}"/>
              </a:ext>
            </a:extLst>
          </xdr:cNvPr>
          <xdr:cNvCxnSpPr/>
        </xdr:nvCxnSpPr>
        <xdr:spPr>
          <a:xfrm>
            <a:off x="6239777"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2" name="直線接點 11">
            <a:extLst>
              <a:ext uri="{FF2B5EF4-FFF2-40B4-BE49-F238E27FC236}">
                <a16:creationId xmlns:a16="http://schemas.microsoft.com/office/drawing/2014/main" id="{00000000-0008-0000-0500-00000C000000}"/>
              </a:ext>
            </a:extLst>
          </xdr:cNvPr>
          <xdr:cNvCxnSpPr/>
        </xdr:nvCxnSpPr>
        <xdr:spPr>
          <a:xfrm>
            <a:off x="6906566"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3" name="直線接點 12">
            <a:extLst>
              <a:ext uri="{FF2B5EF4-FFF2-40B4-BE49-F238E27FC236}">
                <a16:creationId xmlns:a16="http://schemas.microsoft.com/office/drawing/2014/main" id="{00000000-0008-0000-0500-00000D000000}"/>
              </a:ext>
            </a:extLst>
          </xdr:cNvPr>
          <xdr:cNvCxnSpPr/>
        </xdr:nvCxnSpPr>
        <xdr:spPr>
          <a:xfrm>
            <a:off x="7573355"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4" name="直線接點 13">
            <a:extLst>
              <a:ext uri="{FF2B5EF4-FFF2-40B4-BE49-F238E27FC236}">
                <a16:creationId xmlns:a16="http://schemas.microsoft.com/office/drawing/2014/main" id="{00000000-0008-0000-0500-00000E000000}"/>
              </a:ext>
            </a:extLst>
          </xdr:cNvPr>
          <xdr:cNvCxnSpPr/>
        </xdr:nvCxnSpPr>
        <xdr:spPr>
          <a:xfrm>
            <a:off x="8240144"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24</xdr:col>
      <xdr:colOff>34635</xdr:colOff>
      <xdr:row>25</xdr:row>
      <xdr:rowOff>223263</xdr:rowOff>
    </xdr:from>
    <xdr:to>
      <xdr:col>42</xdr:col>
      <xdr:colOff>16126</xdr:colOff>
      <xdr:row>34</xdr:row>
      <xdr:rowOff>519550</xdr:rowOff>
    </xdr:to>
    <xdr:grpSp>
      <xdr:nvGrpSpPr>
        <xdr:cNvPr id="64" name="群組 63">
          <a:extLst>
            <a:ext uri="{FF2B5EF4-FFF2-40B4-BE49-F238E27FC236}">
              <a16:creationId xmlns:a16="http://schemas.microsoft.com/office/drawing/2014/main" id="{00000000-0008-0000-0500-000040000000}"/>
            </a:ext>
          </a:extLst>
        </xdr:cNvPr>
        <xdr:cNvGrpSpPr/>
      </xdr:nvGrpSpPr>
      <xdr:grpSpPr>
        <a:xfrm>
          <a:off x="15574817" y="9378808"/>
          <a:ext cx="9702764" cy="5491742"/>
          <a:chOff x="5299365" y="8097830"/>
          <a:chExt cx="9461488" cy="5877944"/>
        </a:xfrm>
      </xdr:grpSpPr>
      <xdr:graphicFrame macro="">
        <xdr:nvGraphicFramePr>
          <xdr:cNvPr id="16" name="圖表 15">
            <a:extLst>
              <a:ext uri="{FF2B5EF4-FFF2-40B4-BE49-F238E27FC236}">
                <a16:creationId xmlns:a16="http://schemas.microsoft.com/office/drawing/2014/main" id="{00000000-0008-0000-0500-000010000000}"/>
              </a:ext>
            </a:extLst>
          </xdr:cNvPr>
          <xdr:cNvGraphicFramePr>
            <a:graphicFrameLocks/>
          </xdr:cNvGraphicFramePr>
        </xdr:nvGraphicFramePr>
        <xdr:xfrm>
          <a:off x="5299365" y="8287175"/>
          <a:ext cx="9286487" cy="5688599"/>
        </xdr:xfrm>
        <a:graphic>
          <a:graphicData uri="http://schemas.openxmlformats.org/drawingml/2006/chart">
            <c:chart xmlns:c="http://schemas.openxmlformats.org/drawingml/2006/chart" xmlns:r="http://schemas.openxmlformats.org/officeDocument/2006/relationships" r:id="rId1"/>
          </a:graphicData>
        </a:graphic>
      </xdr:graphicFrame>
      <xdr:sp macro="" textlink="'Tssco-bond portfolio(2)'!E30">
        <xdr:nvSpPr>
          <xdr:cNvPr id="17" name="文字方塊 16">
            <a:extLst>
              <a:ext uri="{FF2B5EF4-FFF2-40B4-BE49-F238E27FC236}">
                <a16:creationId xmlns:a16="http://schemas.microsoft.com/office/drawing/2014/main" id="{00000000-0008-0000-0500-000011000000}"/>
              </a:ext>
            </a:extLst>
          </xdr:cNvPr>
          <xdr:cNvSpPr txBox="1"/>
        </xdr:nvSpPr>
        <xdr:spPr>
          <a:xfrm rot="19620153">
            <a:off x="13515382" y="8229027"/>
            <a:ext cx="1245471"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4A43C4B1-5528-4879-B314-AD2DB1EEC40C}"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19">
        <xdr:nvSpPr>
          <xdr:cNvPr id="18" name="文字方塊 17">
            <a:extLst>
              <a:ext uri="{FF2B5EF4-FFF2-40B4-BE49-F238E27FC236}">
                <a16:creationId xmlns:a16="http://schemas.microsoft.com/office/drawing/2014/main" id="{00000000-0008-0000-0500-000012000000}"/>
              </a:ext>
            </a:extLst>
          </xdr:cNvPr>
          <xdr:cNvSpPr txBox="1"/>
        </xdr:nvSpPr>
        <xdr:spPr>
          <a:xfrm rot="19620153">
            <a:off x="5416154" y="8097830"/>
            <a:ext cx="1699173"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F9EB6BC4-53E5-4E59-844B-8A322A981A93}" type="TxLink">
              <a:rPr lang="en-US" altLang="en-US" sz="1600" b="0" i="0" u="none" strike="noStrike">
                <a:solidFill>
                  <a:srgbClr val="000000"/>
                </a:solidFill>
                <a:latin typeface="微軟正黑體"/>
                <a:ea typeface="微軟正黑體"/>
              </a:rPr>
              <a:pPr/>
              <a:t> </a:t>
            </a:fld>
            <a:endParaRPr lang="zh-TW" altLang="en-US" sz="1600">
              <a:solidFill>
                <a:schemeClr val="tx1">
                  <a:lumMod val="85000"/>
                  <a:lumOff val="15000"/>
                </a:schemeClr>
              </a:solidFill>
            </a:endParaRPr>
          </a:p>
        </xdr:txBody>
      </xdr:sp>
      <xdr:sp macro="" textlink="'Tssco-bond portfolio(2)'!E20">
        <xdr:nvSpPr>
          <xdr:cNvPr id="19" name="文字方塊 18">
            <a:extLst>
              <a:ext uri="{FF2B5EF4-FFF2-40B4-BE49-F238E27FC236}">
                <a16:creationId xmlns:a16="http://schemas.microsoft.com/office/drawing/2014/main" id="{00000000-0008-0000-0500-000013000000}"/>
              </a:ext>
            </a:extLst>
          </xdr:cNvPr>
          <xdr:cNvSpPr txBox="1"/>
        </xdr:nvSpPr>
        <xdr:spPr>
          <a:xfrm rot="19620153">
            <a:off x="6059199" y="8175746"/>
            <a:ext cx="1429723"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2C18092D-BB47-4BFC-845E-0862B221F8FC}" type="TxLink">
              <a:rPr lang="en-US" altLang="en-US" sz="1600" b="0" i="0" u="none" strike="noStrike">
                <a:solidFill>
                  <a:srgbClr val="000000"/>
                </a:solidFill>
                <a:latin typeface="微軟正黑體"/>
                <a:ea typeface="微軟正黑體"/>
              </a:rPr>
              <a:pPr/>
              <a:t>5,788</a:t>
            </a:fld>
            <a:endParaRPr lang="zh-TW" altLang="en-US" sz="1600">
              <a:solidFill>
                <a:schemeClr val="tx1">
                  <a:lumMod val="85000"/>
                  <a:lumOff val="15000"/>
                </a:schemeClr>
              </a:solidFill>
            </a:endParaRPr>
          </a:p>
        </xdr:txBody>
      </xdr:sp>
      <xdr:sp macro="" textlink="'Tssco-bond portfolio(2)'!E21">
        <xdr:nvSpPr>
          <xdr:cNvPr id="20" name="文字方塊 19">
            <a:extLst>
              <a:ext uri="{FF2B5EF4-FFF2-40B4-BE49-F238E27FC236}">
                <a16:creationId xmlns:a16="http://schemas.microsoft.com/office/drawing/2014/main" id="{00000000-0008-0000-0500-000014000000}"/>
              </a:ext>
            </a:extLst>
          </xdr:cNvPr>
          <xdr:cNvSpPr txBox="1"/>
        </xdr:nvSpPr>
        <xdr:spPr>
          <a:xfrm rot="19620153">
            <a:off x="6838088" y="8168029"/>
            <a:ext cx="1456412"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73C894D-D13E-48EC-BE33-09C134D5FCBC}"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2">
        <xdr:nvSpPr>
          <xdr:cNvPr id="21" name="文字方塊 20">
            <a:extLst>
              <a:ext uri="{FF2B5EF4-FFF2-40B4-BE49-F238E27FC236}">
                <a16:creationId xmlns:a16="http://schemas.microsoft.com/office/drawing/2014/main" id="{00000000-0008-0000-0500-000015000000}"/>
              </a:ext>
            </a:extLst>
          </xdr:cNvPr>
          <xdr:cNvSpPr txBox="1"/>
        </xdr:nvSpPr>
        <xdr:spPr>
          <a:xfrm rot="19620153">
            <a:off x="7573179" y="8200795"/>
            <a:ext cx="1343100"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7F71FEE-EA77-4C62-BF12-D8E2C5071253}"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3">
        <xdr:nvSpPr>
          <xdr:cNvPr id="22" name="文字方塊 21">
            <a:extLst>
              <a:ext uri="{FF2B5EF4-FFF2-40B4-BE49-F238E27FC236}">
                <a16:creationId xmlns:a16="http://schemas.microsoft.com/office/drawing/2014/main" id="{00000000-0008-0000-0500-000016000000}"/>
              </a:ext>
            </a:extLst>
          </xdr:cNvPr>
          <xdr:cNvSpPr txBox="1"/>
        </xdr:nvSpPr>
        <xdr:spPr>
          <a:xfrm rot="19620153">
            <a:off x="8283066" y="8181000"/>
            <a:ext cx="1411556"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5293F4E-AC31-489B-91AE-68AB6B9655CD}" type="TxLink">
              <a:rPr lang="en-US" altLang="en-US" sz="1600" b="0" i="0" u="none" strike="noStrike">
                <a:solidFill>
                  <a:srgbClr val="000000"/>
                </a:solidFill>
                <a:latin typeface="微軟正黑體"/>
                <a:ea typeface="微軟正黑體"/>
              </a:rPr>
              <a:pPr/>
              <a:t>2,425</a:t>
            </a:fld>
            <a:endParaRPr lang="zh-TW" altLang="en-US" sz="1100">
              <a:solidFill>
                <a:schemeClr val="tx1">
                  <a:lumMod val="85000"/>
                  <a:lumOff val="15000"/>
                </a:schemeClr>
              </a:solidFill>
            </a:endParaRPr>
          </a:p>
        </xdr:txBody>
      </xdr:sp>
      <xdr:sp macro="" textlink="'Tssco-bond portfolio(2)'!E25">
        <xdr:nvSpPr>
          <xdr:cNvPr id="23" name="文字方塊 22">
            <a:extLst>
              <a:ext uri="{FF2B5EF4-FFF2-40B4-BE49-F238E27FC236}">
                <a16:creationId xmlns:a16="http://schemas.microsoft.com/office/drawing/2014/main" id="{00000000-0008-0000-0500-000017000000}"/>
              </a:ext>
            </a:extLst>
          </xdr:cNvPr>
          <xdr:cNvSpPr txBox="1"/>
        </xdr:nvSpPr>
        <xdr:spPr>
          <a:xfrm rot="19620153">
            <a:off x="9833472" y="8154383"/>
            <a:ext cx="1503603"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BE79C3F8-92BC-4C39-B377-55955784E5D4}"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6">
        <xdr:nvSpPr>
          <xdr:cNvPr id="24" name="文字方塊 23">
            <a:extLst>
              <a:ext uri="{FF2B5EF4-FFF2-40B4-BE49-F238E27FC236}">
                <a16:creationId xmlns:a16="http://schemas.microsoft.com/office/drawing/2014/main" id="{00000000-0008-0000-0500-000018000000}"/>
              </a:ext>
            </a:extLst>
          </xdr:cNvPr>
          <xdr:cNvSpPr txBox="1"/>
        </xdr:nvSpPr>
        <xdr:spPr>
          <a:xfrm rot="19620153">
            <a:off x="10580513" y="8232551"/>
            <a:ext cx="1233279"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E3882C23-4919-43E3-8E77-CF266A9E6FAF}" type="TxLink">
              <a:rPr lang="en-US" altLang="en-US" sz="1600" b="0" i="0" u="none" strike="noStrike">
                <a:solidFill>
                  <a:srgbClr val="000000"/>
                </a:solidFill>
                <a:latin typeface="微軟正黑體"/>
                <a:ea typeface="微軟正黑體"/>
              </a:rPr>
              <a:pPr/>
              <a:t>5,788</a:t>
            </a:fld>
            <a:endParaRPr lang="zh-TW" altLang="en-US" sz="1100">
              <a:solidFill>
                <a:schemeClr val="tx1">
                  <a:lumMod val="85000"/>
                  <a:lumOff val="15000"/>
                </a:schemeClr>
              </a:solidFill>
            </a:endParaRPr>
          </a:p>
        </xdr:txBody>
      </xdr:sp>
      <xdr:sp macro="" textlink="'Tssco-bond portfolio(2)'!E27">
        <xdr:nvSpPr>
          <xdr:cNvPr id="25" name="文字方塊 24">
            <a:extLst>
              <a:ext uri="{FF2B5EF4-FFF2-40B4-BE49-F238E27FC236}">
                <a16:creationId xmlns:a16="http://schemas.microsoft.com/office/drawing/2014/main" id="{00000000-0008-0000-0500-000019000000}"/>
              </a:ext>
            </a:extLst>
          </xdr:cNvPr>
          <xdr:cNvSpPr txBox="1"/>
        </xdr:nvSpPr>
        <xdr:spPr>
          <a:xfrm rot="19620153">
            <a:off x="11286306" y="8259144"/>
            <a:ext cx="1141320"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14966D7-4D06-4958-9DED-047D32D4B54D}"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8">
        <xdr:nvSpPr>
          <xdr:cNvPr id="26" name="文字方塊 25">
            <a:extLst>
              <a:ext uri="{FF2B5EF4-FFF2-40B4-BE49-F238E27FC236}">
                <a16:creationId xmlns:a16="http://schemas.microsoft.com/office/drawing/2014/main" id="{00000000-0008-0000-0500-00001A000000}"/>
              </a:ext>
            </a:extLst>
          </xdr:cNvPr>
          <xdr:cNvSpPr txBox="1"/>
        </xdr:nvSpPr>
        <xdr:spPr>
          <a:xfrm rot="19620153">
            <a:off x="12076357" y="8240691"/>
            <a:ext cx="1205133"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39CD692-22C5-41FA-8555-031259C3FEAE}"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9">
        <xdr:nvSpPr>
          <xdr:cNvPr id="27" name="文字方塊 26">
            <a:extLst>
              <a:ext uri="{FF2B5EF4-FFF2-40B4-BE49-F238E27FC236}">
                <a16:creationId xmlns:a16="http://schemas.microsoft.com/office/drawing/2014/main" id="{00000000-0008-0000-0500-00001B000000}"/>
              </a:ext>
            </a:extLst>
          </xdr:cNvPr>
          <xdr:cNvSpPr txBox="1"/>
        </xdr:nvSpPr>
        <xdr:spPr>
          <a:xfrm rot="19620153">
            <a:off x="12754004" y="8175716"/>
            <a:ext cx="1429829"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7939A8F-64E9-489E-8C2A-B7B9ADBD91E1}" type="TxLink">
              <a:rPr lang="en-US" altLang="en-US" sz="1600" b="0" i="0" u="none" strike="noStrike">
                <a:solidFill>
                  <a:srgbClr val="000000"/>
                </a:solidFill>
                <a:latin typeface="微軟正黑體"/>
                <a:ea typeface="微軟正黑體"/>
              </a:rPr>
              <a:pPr/>
              <a:t>2,425</a:t>
            </a:fld>
            <a:endParaRPr lang="zh-TW" altLang="en-US" sz="1100">
              <a:solidFill>
                <a:schemeClr val="tx1">
                  <a:lumMod val="85000"/>
                  <a:lumOff val="15000"/>
                </a:schemeClr>
              </a:solidFill>
            </a:endParaRPr>
          </a:p>
        </xdr:txBody>
      </xdr:sp>
      <xdr:sp macro="" textlink="'Tssco-bond portfolio(2)'!E24">
        <xdr:nvSpPr>
          <xdr:cNvPr id="28" name="文字方塊 27">
            <a:extLst>
              <a:ext uri="{FF2B5EF4-FFF2-40B4-BE49-F238E27FC236}">
                <a16:creationId xmlns:a16="http://schemas.microsoft.com/office/drawing/2014/main" id="{00000000-0008-0000-0500-00001C000000}"/>
              </a:ext>
            </a:extLst>
          </xdr:cNvPr>
          <xdr:cNvSpPr txBox="1"/>
        </xdr:nvSpPr>
        <xdr:spPr>
          <a:xfrm rot="19620153">
            <a:off x="9079031" y="8203197"/>
            <a:ext cx="1334791"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F85E939F-F9AA-4352-B8EC-7EE62E35D777}"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grpSp>
    <xdr:clientData/>
  </xdr:twoCellAnchor>
  <xdr:twoCellAnchor>
    <xdr:from>
      <xdr:col>15</xdr:col>
      <xdr:colOff>103908</xdr:colOff>
      <xdr:row>23</xdr:row>
      <xdr:rowOff>346364</xdr:rowOff>
    </xdr:from>
    <xdr:to>
      <xdr:col>23</xdr:col>
      <xdr:colOff>975880</xdr:colOff>
      <xdr:row>35</xdr:row>
      <xdr:rowOff>207818</xdr:rowOff>
    </xdr:to>
    <xdr:graphicFrame macro="">
      <xdr:nvGraphicFramePr>
        <xdr:cNvPr id="31" name="圖表 3">
          <a:extLst>
            <a:ext uri="{FF2B5EF4-FFF2-40B4-BE49-F238E27FC236}">
              <a16:creationId xmlns:a16="http://schemas.microsoft.com/office/drawing/2014/main" id="{00000000-0008-0000-05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45</xdr:col>
      <xdr:colOff>103908</xdr:colOff>
      <xdr:row>159</xdr:row>
      <xdr:rowOff>329045</xdr:rowOff>
    </xdr:from>
    <xdr:to>
      <xdr:col>51</xdr:col>
      <xdr:colOff>86590</xdr:colOff>
      <xdr:row>161</xdr:row>
      <xdr:rowOff>398317</xdr:rowOff>
    </xdr:to>
    <xdr:sp macro="" textlink="">
      <xdr:nvSpPr>
        <xdr:cNvPr id="101" name="圓角矩形 100">
          <a:extLst>
            <a:ext uri="{FF2B5EF4-FFF2-40B4-BE49-F238E27FC236}">
              <a16:creationId xmlns:a16="http://schemas.microsoft.com/office/drawing/2014/main" id="{00000000-0008-0000-0500-000065000000}"/>
            </a:ext>
          </a:extLst>
        </xdr:cNvPr>
        <xdr:cNvSpPr/>
      </xdr:nvSpPr>
      <xdr:spPr>
        <a:xfrm>
          <a:off x="19846635" y="50292000"/>
          <a:ext cx="2372591" cy="1142999"/>
        </a:xfrm>
        <a:prstGeom prst="roundRect">
          <a:avLst>
            <a:gd name="adj" fmla="val 10253"/>
          </a:avLst>
        </a:prstGeom>
        <a:solidFill>
          <a:schemeClr val="bg1"/>
        </a:solidFill>
        <a:ln>
          <a:noFill/>
        </a:ln>
        <a:effectLst>
          <a:outerShdw blurRad="25400" dist="12700" dir="5400000" sx="101000" sy="101000" algn="ctr"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25</xdr:col>
      <xdr:colOff>34635</xdr:colOff>
      <xdr:row>158</xdr:row>
      <xdr:rowOff>450273</xdr:rowOff>
    </xdr:from>
    <xdr:to>
      <xdr:col>51</xdr:col>
      <xdr:colOff>363681</xdr:colOff>
      <xdr:row>170</xdr:row>
      <xdr:rowOff>34636</xdr:rowOff>
    </xdr:to>
    <xdr:graphicFrame macro="">
      <xdr:nvGraphicFramePr>
        <xdr:cNvPr id="89" name="圖表 88">
          <a:extLst>
            <a:ext uri="{FF2B5EF4-FFF2-40B4-BE49-F238E27FC236}">
              <a16:creationId xmlns:a16="http://schemas.microsoft.com/office/drawing/2014/main" id="{00000000-0008-0000-0500-00005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44</xdr:col>
      <xdr:colOff>283813</xdr:colOff>
      <xdr:row>68</xdr:row>
      <xdr:rowOff>138547</xdr:rowOff>
    </xdr:from>
    <xdr:to>
      <xdr:col>51</xdr:col>
      <xdr:colOff>206210</xdr:colOff>
      <xdr:row>77</xdr:row>
      <xdr:rowOff>215241</xdr:rowOff>
    </xdr:to>
    <xdr:sp macro="" textlink="">
      <xdr:nvSpPr>
        <xdr:cNvPr id="99" name="圓角矩形 98">
          <a:extLst>
            <a:ext uri="{FF2B5EF4-FFF2-40B4-BE49-F238E27FC236}">
              <a16:creationId xmlns:a16="http://schemas.microsoft.com/office/drawing/2014/main" id="{00000000-0008-0000-0500-000063000000}"/>
            </a:ext>
          </a:extLst>
        </xdr:cNvPr>
        <xdr:cNvSpPr/>
      </xdr:nvSpPr>
      <xdr:spPr>
        <a:xfrm>
          <a:off x="26434268" y="24903547"/>
          <a:ext cx="2831851" cy="1843149"/>
        </a:xfrm>
        <a:prstGeom prst="roundRect">
          <a:avLst>
            <a:gd name="adj" fmla="val 10253"/>
          </a:avLst>
        </a:prstGeom>
        <a:solidFill>
          <a:schemeClr val="bg1"/>
        </a:solidFill>
        <a:ln>
          <a:noFill/>
        </a:ln>
        <a:effectLst>
          <a:outerShdw blurRad="25400" dist="12700" dir="5400000" sx="101000" sy="101000" algn="ctr"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22</xdr:col>
      <xdr:colOff>201387</xdr:colOff>
      <xdr:row>151</xdr:row>
      <xdr:rowOff>69273</xdr:rowOff>
    </xdr:from>
    <xdr:to>
      <xdr:col>51</xdr:col>
      <xdr:colOff>363682</xdr:colOff>
      <xdr:row>158</xdr:row>
      <xdr:rowOff>81643</xdr:rowOff>
    </xdr:to>
    <xdr:graphicFrame macro="">
      <xdr:nvGraphicFramePr>
        <xdr:cNvPr id="88" name="圖表 87">
          <a:extLst>
            <a:ext uri="{FF2B5EF4-FFF2-40B4-BE49-F238E27FC236}">
              <a16:creationId xmlns:a16="http://schemas.microsoft.com/office/drawing/2014/main" id="{00000000-0008-0000-0500-00005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1833</xdr:colOff>
      <xdr:row>25</xdr:row>
      <xdr:rowOff>73250</xdr:rowOff>
    </xdr:from>
    <xdr:to>
      <xdr:col>8</xdr:col>
      <xdr:colOff>13233</xdr:colOff>
      <xdr:row>25</xdr:row>
      <xdr:rowOff>73250</xdr:rowOff>
    </xdr:to>
    <xdr:cxnSp macro="">
      <xdr:nvCxnSpPr>
        <xdr:cNvPr id="29" name="直線接點 28">
          <a:extLst>
            <a:ext uri="{FF2B5EF4-FFF2-40B4-BE49-F238E27FC236}">
              <a16:creationId xmlns:a16="http://schemas.microsoft.com/office/drawing/2014/main" id="{00000000-0008-0000-0500-00001D000000}"/>
            </a:ext>
          </a:extLst>
        </xdr:cNvPr>
        <xdr:cNvCxnSpPr/>
      </xdr:nvCxnSpPr>
      <xdr:spPr>
        <a:xfrm>
          <a:off x="348197" y="8611114"/>
          <a:ext cx="4964400" cy="0"/>
        </a:xfrm>
        <a:prstGeom prst="line">
          <a:avLst/>
        </a:prstGeom>
        <a:ln w="19050">
          <a:solidFill>
            <a:srgbClr val="297D6B"/>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121226</xdr:colOff>
      <xdr:row>23</xdr:row>
      <xdr:rowOff>294409</xdr:rowOff>
    </xdr:from>
    <xdr:to>
      <xdr:col>5</xdr:col>
      <xdr:colOff>1739609</xdr:colOff>
      <xdr:row>25</xdr:row>
      <xdr:rowOff>66954</xdr:rowOff>
    </xdr:to>
    <xdr:sp macro="" textlink="">
      <xdr:nvSpPr>
        <xdr:cNvPr id="30" name="圓角矩形 50">
          <a:extLst>
            <a:ext uri="{FF2B5EF4-FFF2-40B4-BE49-F238E27FC236}">
              <a16:creationId xmlns:a16="http://schemas.microsoft.com/office/drawing/2014/main" id="{00000000-0008-0000-0500-00001E000000}"/>
            </a:ext>
          </a:extLst>
        </xdr:cNvPr>
        <xdr:cNvSpPr/>
      </xdr:nvSpPr>
      <xdr:spPr>
        <a:xfrm>
          <a:off x="294408" y="8208818"/>
          <a:ext cx="1791565" cy="396000"/>
        </a:xfrm>
        <a:prstGeom prst="roundRect">
          <a:avLst/>
        </a:prstGeom>
        <a:solidFill>
          <a:srgbClr val="297D6B"/>
        </a:solid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latin typeface="+mj-ea"/>
              <a:ea typeface="+mj-ea"/>
            </a:rPr>
            <a:t>報 酬 率 選 單</a:t>
          </a:r>
        </a:p>
      </xdr:txBody>
    </xdr:sp>
    <xdr:clientData/>
  </xdr:twoCellAnchor>
  <xdr:oneCellAnchor>
    <xdr:from>
      <xdr:col>20</xdr:col>
      <xdr:colOff>944220</xdr:colOff>
      <xdr:row>35</xdr:row>
      <xdr:rowOff>346364</xdr:rowOff>
    </xdr:from>
    <xdr:ext cx="368499" cy="92398"/>
    <xdr:sp macro="" textlink="">
      <xdr:nvSpPr>
        <xdr:cNvPr id="32" name="文字方塊 31">
          <a:extLst>
            <a:ext uri="{FF2B5EF4-FFF2-40B4-BE49-F238E27FC236}">
              <a16:creationId xmlns:a16="http://schemas.microsoft.com/office/drawing/2014/main" id="{00000000-0008-0000-0500-000020000000}"/>
            </a:ext>
          </a:extLst>
        </xdr:cNvPr>
        <xdr:cNvSpPr txBox="1"/>
      </xdr:nvSpPr>
      <xdr:spPr>
        <a:xfrm>
          <a:off x="5039970" y="14211589"/>
          <a:ext cx="368499" cy="923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wordArtVertRtl" wrap="none" rtlCol="0" anchor="t">
          <a:spAutoFit/>
        </a:bodyPr>
        <a:lstStyle/>
        <a:p>
          <a:endParaRPr lang="zh-TW" altLang="en-US" sz="1100"/>
        </a:p>
      </xdr:txBody>
    </xdr:sp>
    <xdr:clientData/>
  </xdr:oneCellAnchor>
  <xdr:twoCellAnchor>
    <xdr:from>
      <xdr:col>4</xdr:col>
      <xdr:colOff>138546</xdr:colOff>
      <xdr:row>4</xdr:row>
      <xdr:rowOff>336840</xdr:rowOff>
    </xdr:from>
    <xdr:to>
      <xdr:col>8</xdr:col>
      <xdr:colOff>9134</xdr:colOff>
      <xdr:row>5</xdr:row>
      <xdr:rowOff>349969</xdr:rowOff>
    </xdr:to>
    <xdr:grpSp>
      <xdr:nvGrpSpPr>
        <xdr:cNvPr id="33" name="群組 32">
          <a:extLst>
            <a:ext uri="{FF2B5EF4-FFF2-40B4-BE49-F238E27FC236}">
              <a16:creationId xmlns:a16="http://schemas.microsoft.com/office/drawing/2014/main" id="{00000000-0008-0000-0500-000021000000}"/>
            </a:ext>
          </a:extLst>
        </xdr:cNvPr>
        <xdr:cNvGrpSpPr/>
      </xdr:nvGrpSpPr>
      <xdr:grpSpPr>
        <a:xfrm>
          <a:off x="323273" y="2380385"/>
          <a:ext cx="5146861" cy="405675"/>
          <a:chOff x="409030" y="7377545"/>
          <a:chExt cx="4378672" cy="405918"/>
        </a:xfrm>
      </xdr:grpSpPr>
      <xdr:cxnSp macro="">
        <xdr:nvCxnSpPr>
          <xdr:cNvPr id="34" name="直線接點 33">
            <a:extLst>
              <a:ext uri="{FF2B5EF4-FFF2-40B4-BE49-F238E27FC236}">
                <a16:creationId xmlns:a16="http://schemas.microsoft.com/office/drawing/2014/main" id="{00000000-0008-0000-0500-000022000000}"/>
              </a:ext>
            </a:extLst>
          </xdr:cNvPr>
          <xdr:cNvCxnSpPr/>
        </xdr:nvCxnSpPr>
        <xdr:spPr>
          <a:xfrm>
            <a:off x="491025" y="7783463"/>
            <a:ext cx="4296677" cy="0"/>
          </a:xfrm>
          <a:prstGeom prst="line">
            <a:avLst/>
          </a:prstGeom>
          <a:ln w="19050">
            <a:solidFill>
              <a:srgbClr val="297D6B"/>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35" name="圓角矩形 47">
            <a:extLst>
              <a:ext uri="{FF2B5EF4-FFF2-40B4-BE49-F238E27FC236}">
                <a16:creationId xmlns:a16="http://schemas.microsoft.com/office/drawing/2014/main" id="{00000000-0008-0000-0500-000023000000}"/>
              </a:ext>
            </a:extLst>
          </xdr:cNvPr>
          <xdr:cNvSpPr/>
        </xdr:nvSpPr>
        <xdr:spPr>
          <a:xfrm>
            <a:off x="409030" y="7377545"/>
            <a:ext cx="1523711" cy="399959"/>
          </a:xfrm>
          <a:prstGeom prst="roundRect">
            <a:avLst/>
          </a:prstGeom>
          <a:solidFill>
            <a:srgbClr val="297D6B"/>
          </a:solid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latin typeface="+mj-ea"/>
                <a:ea typeface="+mj-ea"/>
              </a:rPr>
              <a:t>幣 別 選 單</a:t>
            </a:r>
          </a:p>
        </xdr:txBody>
      </xdr:sp>
    </xdr:grpSp>
    <xdr:clientData/>
  </xdr:twoCellAnchor>
  <xdr:twoCellAnchor>
    <xdr:from>
      <xdr:col>6</xdr:col>
      <xdr:colOff>128358</xdr:colOff>
      <xdr:row>22</xdr:row>
      <xdr:rowOff>410547</xdr:rowOff>
    </xdr:from>
    <xdr:to>
      <xdr:col>7</xdr:col>
      <xdr:colOff>1420091</xdr:colOff>
      <xdr:row>25</xdr:row>
      <xdr:rowOff>289318</xdr:rowOff>
    </xdr:to>
    <xdr:sp macro="" textlink="">
      <xdr:nvSpPr>
        <xdr:cNvPr id="36" name="文字方塊 35">
          <a:extLst>
            <a:ext uri="{FF2B5EF4-FFF2-40B4-BE49-F238E27FC236}">
              <a16:creationId xmlns:a16="http://schemas.microsoft.com/office/drawing/2014/main" id="{00000000-0008-0000-0500-000024000000}"/>
            </a:ext>
          </a:extLst>
        </xdr:cNvPr>
        <xdr:cNvSpPr txBox="1"/>
      </xdr:nvSpPr>
      <xdr:spPr>
        <a:xfrm>
          <a:off x="2223858" y="7874683"/>
          <a:ext cx="3040869" cy="952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i="0" u="none" strike="noStrike">
              <a:solidFill>
                <a:srgbClr val="297D6B"/>
              </a:solidFill>
              <a:effectLst/>
              <a:latin typeface="+mn-lt"/>
              <a:ea typeface="+mn-ea"/>
              <a:cs typeface="+mn-cs"/>
            </a:rPr>
            <a:t>先選「幣別選單」</a:t>
          </a:r>
          <a:br>
            <a:rPr lang="zh-TW" altLang="en-US" sz="1600" b="1" i="0" u="none" strike="noStrike">
              <a:solidFill>
                <a:srgbClr val="297D6B"/>
              </a:solidFill>
              <a:effectLst/>
              <a:latin typeface="+mn-lt"/>
              <a:ea typeface="+mn-ea"/>
              <a:cs typeface="+mn-cs"/>
            </a:rPr>
          </a:br>
          <a:r>
            <a:rPr lang="zh-TW" altLang="en-US" sz="1600" b="1" i="0" u="none" strike="noStrike">
              <a:solidFill>
                <a:srgbClr val="297D6B"/>
              </a:solidFill>
              <a:effectLst/>
              <a:latin typeface="+mn-lt"/>
              <a:ea typeface="+mn-ea"/>
              <a:cs typeface="+mn-cs"/>
            </a:rPr>
            <a:t>再選「報酬率選單」</a:t>
          </a:r>
          <a:r>
            <a:rPr lang="zh-TW" altLang="en-US" sz="1600">
              <a:solidFill>
                <a:srgbClr val="297D6B"/>
              </a:solidFill>
            </a:rPr>
            <a:t> </a:t>
          </a:r>
        </a:p>
      </xdr:txBody>
    </xdr:sp>
    <xdr:clientData/>
  </xdr:twoCellAnchor>
  <xdr:twoCellAnchor>
    <xdr:from>
      <xdr:col>7</xdr:col>
      <xdr:colOff>189156</xdr:colOff>
      <xdr:row>0</xdr:row>
      <xdr:rowOff>119994</xdr:rowOff>
    </xdr:from>
    <xdr:to>
      <xdr:col>8</xdr:col>
      <xdr:colOff>138543</xdr:colOff>
      <xdr:row>0</xdr:row>
      <xdr:rowOff>571499</xdr:rowOff>
    </xdr:to>
    <xdr:sp macro="" textlink="">
      <xdr:nvSpPr>
        <xdr:cNvPr id="37" name="文字方塊 36">
          <a:hlinkClick xmlns:r="http://schemas.openxmlformats.org/officeDocument/2006/relationships" r:id="rId5"/>
          <a:extLst>
            <a:ext uri="{FF2B5EF4-FFF2-40B4-BE49-F238E27FC236}">
              <a16:creationId xmlns:a16="http://schemas.microsoft.com/office/drawing/2014/main" id="{00000000-0008-0000-0500-000025000000}"/>
            </a:ext>
          </a:extLst>
        </xdr:cNvPr>
        <xdr:cNvSpPr txBox="1"/>
      </xdr:nvSpPr>
      <xdr:spPr>
        <a:xfrm>
          <a:off x="4033792" y="119994"/>
          <a:ext cx="1404115" cy="451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r>
            <a:rPr lang="en-US" altLang="zh-TW" sz="1600" b="1" u="sng">
              <a:solidFill>
                <a:srgbClr val="6F3505"/>
              </a:solidFill>
              <a:latin typeface="微軟正黑體" panose="020B0604030504040204" pitchFamily="34" charset="-120"/>
              <a:ea typeface="微軟正黑體" panose="020B0604030504040204" pitchFamily="34" charset="-120"/>
            </a:rPr>
            <a:t>-1</a:t>
          </a:r>
          <a:endParaRPr lang="zh-TW" altLang="en-US" sz="1600" b="1" u="sng">
            <a:solidFill>
              <a:srgbClr val="6F3505"/>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6</xdr:col>
      <xdr:colOff>1671207</xdr:colOff>
      <xdr:row>0</xdr:row>
      <xdr:rowOff>202316</xdr:rowOff>
    </xdr:from>
    <xdr:to>
      <xdr:col>7</xdr:col>
      <xdr:colOff>256023</xdr:colOff>
      <xdr:row>0</xdr:row>
      <xdr:rowOff>533483</xdr:rowOff>
    </xdr:to>
    <xdr:pic>
      <xdr:nvPicPr>
        <xdr:cNvPr id="38" name="圖形 59" descr="開燈 以實心填滿">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766707" y="202316"/>
          <a:ext cx="337127" cy="327992"/>
        </a:xfrm>
        <a:prstGeom prst="rect">
          <a:avLst/>
        </a:prstGeom>
      </xdr:spPr>
    </xdr:pic>
    <xdr:clientData/>
  </xdr:twoCellAnchor>
  <xdr:twoCellAnchor editAs="oneCell">
    <xdr:from>
      <xdr:col>48</xdr:col>
      <xdr:colOff>88771</xdr:colOff>
      <xdr:row>0</xdr:row>
      <xdr:rowOff>311730</xdr:rowOff>
    </xdr:from>
    <xdr:to>
      <xdr:col>49</xdr:col>
      <xdr:colOff>10967</xdr:colOff>
      <xdr:row>0</xdr:row>
      <xdr:rowOff>646586</xdr:rowOff>
    </xdr:to>
    <xdr:pic>
      <xdr:nvPicPr>
        <xdr:cNvPr id="39" name="圖形 38" descr="首頁 外框">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6845362" y="311730"/>
          <a:ext cx="323689" cy="338031"/>
        </a:xfrm>
        <a:prstGeom prst="rect">
          <a:avLst/>
        </a:prstGeom>
      </xdr:spPr>
    </xdr:pic>
    <xdr:clientData/>
  </xdr:twoCellAnchor>
  <xdr:twoCellAnchor>
    <xdr:from>
      <xdr:col>49</xdr:col>
      <xdr:colOff>17316</xdr:colOff>
      <xdr:row>0</xdr:row>
      <xdr:rowOff>173183</xdr:rowOff>
    </xdr:from>
    <xdr:to>
      <xdr:col>52</xdr:col>
      <xdr:colOff>34634</xdr:colOff>
      <xdr:row>0</xdr:row>
      <xdr:rowOff>675410</xdr:rowOff>
    </xdr:to>
    <xdr:sp macro="" textlink="">
      <xdr:nvSpPr>
        <xdr:cNvPr id="40" name="文字方塊 39">
          <a:hlinkClick xmlns:r="http://schemas.openxmlformats.org/officeDocument/2006/relationships" r:id="rId10"/>
          <a:extLst>
            <a:ext uri="{FF2B5EF4-FFF2-40B4-BE49-F238E27FC236}">
              <a16:creationId xmlns:a16="http://schemas.microsoft.com/office/drawing/2014/main" id="{00000000-0008-0000-0500-000028000000}"/>
            </a:ext>
          </a:extLst>
        </xdr:cNvPr>
        <xdr:cNvSpPr txBox="1"/>
      </xdr:nvSpPr>
      <xdr:spPr>
        <a:xfrm>
          <a:off x="27172225" y="173183"/>
          <a:ext cx="1212273" cy="502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2000" b="1" u="sng">
              <a:solidFill>
                <a:srgbClr val="6F3505"/>
              </a:solidFill>
              <a:latin typeface="微軟正黑體" panose="020B0604030504040204" pitchFamily="34" charset="-120"/>
              <a:ea typeface="微軟正黑體" panose="020B0604030504040204" pitchFamily="34" charset="-120"/>
            </a:rPr>
            <a:t>回主畫面</a:t>
          </a:r>
        </a:p>
      </xdr:txBody>
    </xdr:sp>
    <xdr:clientData/>
  </xdr:twoCellAnchor>
  <xdr:twoCellAnchor editAs="absolute">
    <xdr:from>
      <xdr:col>4</xdr:col>
      <xdr:colOff>75453</xdr:colOff>
      <xdr:row>25</xdr:row>
      <xdr:rowOff>344349</xdr:rowOff>
    </xdr:from>
    <xdr:to>
      <xdr:col>6</xdr:col>
      <xdr:colOff>124408</xdr:colOff>
      <xdr:row>31</xdr:row>
      <xdr:rowOff>122385</xdr:rowOff>
    </xdr:to>
    <mc:AlternateContent xmlns:mc="http://schemas.openxmlformats.org/markup-compatibility/2006" xmlns:sle15="http://schemas.microsoft.com/office/drawing/2012/slicer">
      <mc:Choice Requires="sle15">
        <xdr:graphicFrame macro="">
          <xdr:nvGraphicFramePr>
            <xdr:cNvPr id="42" name="報酬率 1">
              <a:extLst>
                <a:ext uri="{FF2B5EF4-FFF2-40B4-BE49-F238E27FC236}">
                  <a16:creationId xmlns:a16="http://schemas.microsoft.com/office/drawing/2014/main" id="{00000000-0008-0000-0500-00002A000000}"/>
                </a:ext>
              </a:extLst>
            </xdr:cNvPr>
            <xdr:cNvGraphicFramePr/>
          </xdr:nvGraphicFramePr>
          <xdr:xfrm>
            <a:off x="0" y="0"/>
            <a:ext cx="0" cy="0"/>
          </xdr:xfrm>
          <a:graphic>
            <a:graphicData uri="http://schemas.microsoft.com/office/drawing/2010/slicer">
              <sle:slicer xmlns:sle="http://schemas.microsoft.com/office/drawing/2010/slicer" name="報酬率 1"/>
            </a:graphicData>
          </a:graphic>
        </xdr:graphicFrame>
      </mc:Choice>
      <mc:Fallback xmlns="">
        <xdr:sp macro="" textlink="">
          <xdr:nvSpPr>
            <xdr:cNvPr id="0" name=""/>
            <xdr:cNvSpPr>
              <a:spLocks noTextEdit="1"/>
            </xdr:cNvSpPr>
          </xdr:nvSpPr>
          <xdr:spPr>
            <a:xfrm>
              <a:off x="248635" y="9606401"/>
              <a:ext cx="1971273" cy="3210211"/>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clientData/>
  </xdr:twoCellAnchor>
  <xdr:twoCellAnchor editAs="absolute">
    <xdr:from>
      <xdr:col>4</xdr:col>
      <xdr:colOff>67660</xdr:colOff>
      <xdr:row>1</xdr:row>
      <xdr:rowOff>105236</xdr:rowOff>
    </xdr:from>
    <xdr:to>
      <xdr:col>6</xdr:col>
      <xdr:colOff>1589392</xdr:colOff>
      <xdr:row>3</xdr:row>
      <xdr:rowOff>124407</xdr:rowOff>
    </xdr:to>
    <mc:AlternateContent xmlns:mc="http://schemas.openxmlformats.org/markup-compatibility/2006" xmlns:sle15="http://schemas.microsoft.com/office/drawing/2012/slicer">
      <mc:Choice Requires="sle15">
        <xdr:graphicFrame macro="">
          <xdr:nvGraphicFramePr>
            <xdr:cNvPr id="43" name="模型名稱">
              <a:extLst>
                <a:ext uri="{FF2B5EF4-FFF2-40B4-BE49-F238E27FC236}">
                  <a16:creationId xmlns:a16="http://schemas.microsoft.com/office/drawing/2014/main" id="{00000000-0008-0000-0500-00002B000000}"/>
                </a:ext>
              </a:extLst>
            </xdr:cNvPr>
            <xdr:cNvGraphicFramePr/>
          </xdr:nvGraphicFramePr>
          <xdr:xfrm>
            <a:off x="0" y="0"/>
            <a:ext cx="0" cy="0"/>
          </xdr:xfrm>
          <a:graphic>
            <a:graphicData uri="http://schemas.microsoft.com/office/drawing/2010/slicer">
              <sle:slicer xmlns:sle="http://schemas.microsoft.com/office/drawing/2010/slicer" name="模型名稱"/>
            </a:graphicData>
          </a:graphic>
        </xdr:graphicFrame>
      </mc:Choice>
      <mc:Fallback xmlns="">
        <xdr:sp macro="" textlink="">
          <xdr:nvSpPr>
            <xdr:cNvPr id="0" name=""/>
            <xdr:cNvSpPr>
              <a:spLocks noTextEdit="1"/>
            </xdr:cNvSpPr>
          </xdr:nvSpPr>
          <xdr:spPr>
            <a:xfrm>
              <a:off x="237667" y="1234093"/>
              <a:ext cx="3447225" cy="636275"/>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clientData/>
  </xdr:twoCellAnchor>
  <xdr:twoCellAnchor>
    <xdr:from>
      <xdr:col>4</xdr:col>
      <xdr:colOff>153192</xdr:colOff>
      <xdr:row>1</xdr:row>
      <xdr:rowOff>3403</xdr:rowOff>
    </xdr:from>
    <xdr:to>
      <xdr:col>7</xdr:col>
      <xdr:colOff>1386465</xdr:colOff>
      <xdr:row>1</xdr:row>
      <xdr:rowOff>3403</xdr:rowOff>
    </xdr:to>
    <xdr:cxnSp macro="">
      <xdr:nvCxnSpPr>
        <xdr:cNvPr id="47" name="直線接點 46">
          <a:extLst>
            <a:ext uri="{FF2B5EF4-FFF2-40B4-BE49-F238E27FC236}">
              <a16:creationId xmlns:a16="http://schemas.microsoft.com/office/drawing/2014/main" id="{00000000-0008-0000-0500-00002F000000}"/>
            </a:ext>
          </a:extLst>
        </xdr:cNvPr>
        <xdr:cNvCxnSpPr/>
      </xdr:nvCxnSpPr>
      <xdr:spPr>
        <a:xfrm>
          <a:off x="326374" y="1129085"/>
          <a:ext cx="4904727" cy="0"/>
        </a:xfrm>
        <a:prstGeom prst="line">
          <a:avLst/>
        </a:prstGeom>
        <a:ln w="19050">
          <a:solidFill>
            <a:srgbClr val="297D6B"/>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98136</xdr:colOff>
      <xdr:row>0</xdr:row>
      <xdr:rowOff>733139</xdr:rowOff>
    </xdr:from>
    <xdr:to>
      <xdr:col>5</xdr:col>
      <xdr:colOff>1662545</xdr:colOff>
      <xdr:row>1</xdr:row>
      <xdr:rowOff>3456</xdr:rowOff>
    </xdr:to>
    <xdr:sp macro="" textlink="">
      <xdr:nvSpPr>
        <xdr:cNvPr id="48" name="圓角矩形 47">
          <a:extLst>
            <a:ext uri="{FF2B5EF4-FFF2-40B4-BE49-F238E27FC236}">
              <a16:creationId xmlns:a16="http://schemas.microsoft.com/office/drawing/2014/main" id="{00000000-0008-0000-0500-000030000000}"/>
            </a:ext>
          </a:extLst>
        </xdr:cNvPr>
        <xdr:cNvSpPr/>
      </xdr:nvSpPr>
      <xdr:spPr>
        <a:xfrm>
          <a:off x="271318" y="733139"/>
          <a:ext cx="1737591" cy="395999"/>
        </a:xfrm>
        <a:prstGeom prst="roundRect">
          <a:avLst/>
        </a:prstGeom>
        <a:solidFill>
          <a:srgbClr val="297D6B"/>
        </a:solid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latin typeface="+mj-ea"/>
              <a:ea typeface="+mj-ea"/>
            </a:rPr>
            <a:t>試 算 選 單</a:t>
          </a:r>
        </a:p>
      </xdr:txBody>
    </xdr:sp>
    <xdr:clientData/>
  </xdr:twoCellAnchor>
  <xdr:twoCellAnchor editAs="absolute">
    <xdr:from>
      <xdr:col>43</xdr:col>
      <xdr:colOff>125123</xdr:colOff>
      <xdr:row>41</xdr:row>
      <xdr:rowOff>95045</xdr:rowOff>
    </xdr:from>
    <xdr:to>
      <xdr:col>46</xdr:col>
      <xdr:colOff>180194</xdr:colOff>
      <xdr:row>42</xdr:row>
      <xdr:rowOff>389085</xdr:rowOff>
    </xdr:to>
    <mc:AlternateContent xmlns:mc="http://schemas.openxmlformats.org/markup-compatibility/2006" xmlns:sle15="http://schemas.microsoft.com/office/drawing/2012/slicer">
      <mc:Choice Requires="sle15">
        <xdr:graphicFrame macro="">
          <xdr:nvGraphicFramePr>
            <xdr:cNvPr id="53" name="頁面名稱">
              <a:extLst>
                <a:ext uri="{FF2B5EF4-FFF2-40B4-BE49-F238E27FC236}">
                  <a16:creationId xmlns:a16="http://schemas.microsoft.com/office/drawing/2014/main" id="{00000000-0008-0000-0500-000035000000}"/>
                </a:ext>
              </a:extLst>
            </xdr:cNvPr>
            <xdr:cNvGraphicFramePr/>
          </xdr:nvGraphicFramePr>
          <xdr:xfrm>
            <a:off x="0" y="0"/>
            <a:ext cx="0" cy="0"/>
          </xdr:xfrm>
          <a:graphic>
            <a:graphicData uri="http://schemas.microsoft.com/office/drawing/2010/slicer">
              <sle:slicer xmlns:sle="http://schemas.microsoft.com/office/drawing/2010/slicer" name="頁面名稱"/>
            </a:graphicData>
          </a:graphic>
        </xdr:graphicFrame>
      </mc:Choice>
      <mc:Fallback xmlns="">
        <xdr:sp macro="" textlink="">
          <xdr:nvSpPr>
            <xdr:cNvPr id="0" name=""/>
            <xdr:cNvSpPr>
              <a:spLocks noTextEdit="1"/>
            </xdr:cNvSpPr>
          </xdr:nvSpPr>
          <xdr:spPr>
            <a:xfrm>
              <a:off x="25794998" y="16371683"/>
              <a:ext cx="1293321" cy="516290"/>
            </a:xfrm>
            <a:prstGeom prst="rect">
              <a:avLst/>
            </a:prstGeom>
            <a:solidFill>
              <a:prstClr val="white"/>
            </a:solidFill>
            <a:ln w="1">
              <a:solidFill>
                <a:prstClr val="green"/>
              </a:solidFill>
            </a:ln>
          </xdr:spPr>
          <xdr:txBody>
            <a:bodyPr vertOverflow="clip" horzOverflow="clip"/>
            <a:lstStyle/>
            <a:p>
              <a:r>
                <a:rPr lang="zh-TW" altLang="en-US" sz="1100"/>
                <a:t>此圖形代表表格交叉分析篩選器。此版本的 Excel 不支援表格交叉分析篩選器。
如果圖形在舊版 Excel 中修改，或如果活頁簿在 Excel 2007 或較舊版本中儲存，則無法使用交叉分析篩選器。</a:t>
              </a:r>
            </a:p>
          </xdr:txBody>
        </xdr:sp>
      </mc:Fallback>
    </mc:AlternateContent>
    <xdr:clientData/>
  </xdr:twoCellAnchor>
  <xdr:twoCellAnchor>
    <xdr:from>
      <xdr:col>19</xdr:col>
      <xdr:colOff>0</xdr:colOff>
      <xdr:row>45</xdr:row>
      <xdr:rowOff>484909</xdr:rowOff>
    </xdr:from>
    <xdr:to>
      <xdr:col>20</xdr:col>
      <xdr:colOff>0</xdr:colOff>
      <xdr:row>47</xdr:row>
      <xdr:rowOff>121228</xdr:rowOff>
    </xdr:to>
    <xdr:sp macro="" textlink="">
      <xdr:nvSpPr>
        <xdr:cNvPr id="50" name="向右箭號 49">
          <a:extLst>
            <a:ext uri="{FF2B5EF4-FFF2-40B4-BE49-F238E27FC236}">
              <a16:creationId xmlns:a16="http://schemas.microsoft.com/office/drawing/2014/main" id="{00000000-0008-0000-0500-000032000000}"/>
            </a:ext>
          </a:extLst>
        </xdr:cNvPr>
        <xdr:cNvSpPr/>
      </xdr:nvSpPr>
      <xdr:spPr>
        <a:xfrm>
          <a:off x="4502727" y="17266227"/>
          <a:ext cx="519546" cy="744683"/>
        </a:xfrm>
        <a:prstGeom prst="stripedRightArrow">
          <a:avLst/>
        </a:prstGeom>
        <a:gradFill flip="none" rotWithShape="1">
          <a:gsLst>
            <a:gs pos="0">
              <a:schemeClr val="bg1">
                <a:lumMod val="95000"/>
              </a:schemeClr>
            </a:gs>
            <a:gs pos="100000">
              <a:srgbClr val="37A78F"/>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15</xdr:col>
      <xdr:colOff>267085</xdr:colOff>
      <xdr:row>38</xdr:row>
      <xdr:rowOff>0</xdr:rowOff>
    </xdr:from>
    <xdr:to>
      <xdr:col>16</xdr:col>
      <xdr:colOff>258229</xdr:colOff>
      <xdr:row>38</xdr:row>
      <xdr:rowOff>428224</xdr:rowOff>
    </xdr:to>
    <xdr:sp macro="" textlink="">
      <xdr:nvSpPr>
        <xdr:cNvPr id="57" name="文字方塊 56">
          <a:hlinkClick xmlns:r="http://schemas.openxmlformats.org/officeDocument/2006/relationships" r:id="rId11"/>
          <a:extLst>
            <a:ext uri="{FF2B5EF4-FFF2-40B4-BE49-F238E27FC236}">
              <a16:creationId xmlns:a16="http://schemas.microsoft.com/office/drawing/2014/main" id="{00000000-0008-0000-0500-000039000000}"/>
            </a:ext>
          </a:extLst>
        </xdr:cNvPr>
        <xdr:cNvSpPr txBox="1"/>
      </xdr:nvSpPr>
      <xdr:spPr>
        <a:xfrm>
          <a:off x="961049" y="0"/>
          <a:ext cx="1460716" cy="399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p>
      </xdr:txBody>
    </xdr:sp>
    <xdr:clientData/>
  </xdr:twoCellAnchor>
  <xdr:twoCellAnchor editAs="oneCell">
    <xdr:from>
      <xdr:col>25</xdr:col>
      <xdr:colOff>26344</xdr:colOff>
      <xdr:row>86</xdr:row>
      <xdr:rowOff>102890</xdr:rowOff>
    </xdr:from>
    <xdr:to>
      <xdr:col>25</xdr:col>
      <xdr:colOff>408765</xdr:colOff>
      <xdr:row>87</xdr:row>
      <xdr:rowOff>113836</xdr:rowOff>
    </xdr:to>
    <xdr:pic>
      <xdr:nvPicPr>
        <xdr:cNvPr id="56" name="圖片 55">
          <a:extLst>
            <a:ext uri="{FF2B5EF4-FFF2-40B4-BE49-F238E27FC236}">
              <a16:creationId xmlns:a16="http://schemas.microsoft.com/office/drawing/2014/main" id="{00000000-0008-0000-0500-000038000000}"/>
            </a:ext>
          </a:extLst>
        </xdr:cNvPr>
        <xdr:cNvPicPr>
          <a:picLocks noChangeAspect="1"/>
        </xdr:cNvPicPr>
      </xdr:nvPicPr>
      <xdr:blipFill>
        <a:blip xmlns:r="http://schemas.openxmlformats.org/officeDocument/2006/relationships" r:embed="rId12"/>
        <a:stretch>
          <a:fillRect/>
        </a:stretch>
      </xdr:blipFill>
      <xdr:spPr>
        <a:xfrm>
          <a:off x="10680737" y="27385211"/>
          <a:ext cx="385596" cy="388771"/>
        </a:xfrm>
        <a:prstGeom prst="rect">
          <a:avLst/>
        </a:prstGeom>
      </xdr:spPr>
    </xdr:pic>
    <xdr:clientData/>
  </xdr:twoCellAnchor>
  <xdr:twoCellAnchor editAs="oneCell">
    <xdr:from>
      <xdr:col>25</xdr:col>
      <xdr:colOff>61997</xdr:colOff>
      <xdr:row>88</xdr:row>
      <xdr:rowOff>91685</xdr:rowOff>
    </xdr:from>
    <xdr:to>
      <xdr:col>25</xdr:col>
      <xdr:colOff>427700</xdr:colOff>
      <xdr:row>89</xdr:row>
      <xdr:rowOff>901</xdr:rowOff>
    </xdr:to>
    <xdr:pic>
      <xdr:nvPicPr>
        <xdr:cNvPr id="58" name="圖片 57">
          <a:extLst>
            <a:ext uri="{FF2B5EF4-FFF2-40B4-BE49-F238E27FC236}">
              <a16:creationId xmlns:a16="http://schemas.microsoft.com/office/drawing/2014/main" id="{00000000-0008-0000-0500-00003A000000}"/>
            </a:ext>
          </a:extLst>
        </xdr:cNvPr>
        <xdr:cNvPicPr>
          <a:picLocks noChangeAspect="1"/>
        </xdr:cNvPicPr>
      </xdr:nvPicPr>
      <xdr:blipFill>
        <a:blip xmlns:r="http://schemas.openxmlformats.org/officeDocument/2006/relationships" r:embed="rId13">
          <a:clrChange>
            <a:clrFrom>
              <a:srgbClr val="FFFFFF"/>
            </a:clrFrom>
            <a:clrTo>
              <a:srgbClr val="FFFFFF">
                <a:alpha val="0"/>
              </a:srgbClr>
            </a:clrTo>
          </a:clrChange>
        </a:blip>
        <a:stretch>
          <a:fillRect/>
        </a:stretch>
      </xdr:blipFill>
      <xdr:spPr>
        <a:xfrm>
          <a:off x="10716390" y="27918292"/>
          <a:ext cx="368878" cy="456678"/>
        </a:xfrm>
        <a:prstGeom prst="rect">
          <a:avLst/>
        </a:prstGeom>
      </xdr:spPr>
    </xdr:pic>
    <xdr:clientData/>
  </xdr:twoCellAnchor>
  <xdr:twoCellAnchor>
    <xdr:from>
      <xdr:col>4</xdr:col>
      <xdr:colOff>47167</xdr:colOff>
      <xdr:row>43</xdr:row>
      <xdr:rowOff>452450</xdr:rowOff>
    </xdr:from>
    <xdr:to>
      <xdr:col>8</xdr:col>
      <xdr:colOff>11453</xdr:colOff>
      <xdr:row>45</xdr:row>
      <xdr:rowOff>17479</xdr:rowOff>
    </xdr:to>
    <mc:AlternateContent xmlns:mc="http://schemas.openxmlformats.org/markup-compatibility/2006" xmlns:sle15="http://schemas.microsoft.com/office/drawing/2012/slicer">
      <mc:Choice Requires="sle15">
        <xdr:graphicFrame macro="">
          <xdr:nvGraphicFramePr>
            <xdr:cNvPr id="52" name="資格名稱">
              <a:extLst>
                <a:ext uri="{FF2B5EF4-FFF2-40B4-BE49-F238E27FC236}">
                  <a16:creationId xmlns:a16="http://schemas.microsoft.com/office/drawing/2014/main" id="{00000000-0008-0000-0500-000034000000}"/>
                </a:ext>
              </a:extLst>
            </xdr:cNvPr>
            <xdr:cNvGraphicFramePr/>
          </xdr:nvGraphicFramePr>
          <xdr:xfrm>
            <a:off x="0" y="0"/>
            <a:ext cx="0" cy="0"/>
          </xdr:xfrm>
          <a:graphic>
            <a:graphicData uri="http://schemas.microsoft.com/office/drawing/2010/slicer">
              <sle:slicer xmlns:sle="http://schemas.microsoft.com/office/drawing/2010/slicer" name="資格名稱"/>
            </a:graphicData>
          </a:graphic>
        </xdr:graphicFrame>
      </mc:Choice>
      <mc:Fallback xmlns="">
        <xdr:sp macro="" textlink="">
          <xdr:nvSpPr>
            <xdr:cNvPr id="0" name=""/>
            <xdr:cNvSpPr>
              <a:spLocks noTextEdit="1"/>
            </xdr:cNvSpPr>
          </xdr:nvSpPr>
          <xdr:spPr>
            <a:xfrm>
              <a:off x="220349" y="16852768"/>
              <a:ext cx="5090468" cy="673393"/>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clientData/>
  </xdr:twoCellAnchor>
  <xdr:twoCellAnchor>
    <xdr:from>
      <xdr:col>4</xdr:col>
      <xdr:colOff>65195</xdr:colOff>
      <xdr:row>41</xdr:row>
      <xdr:rowOff>86581</xdr:rowOff>
    </xdr:from>
    <xdr:to>
      <xdr:col>7</xdr:col>
      <xdr:colOff>1401844</xdr:colOff>
      <xdr:row>42</xdr:row>
      <xdr:rowOff>380052</xdr:rowOff>
    </xdr:to>
    <xdr:grpSp>
      <xdr:nvGrpSpPr>
        <xdr:cNvPr id="69" name="群組 68">
          <a:extLst>
            <a:ext uri="{FF2B5EF4-FFF2-40B4-BE49-F238E27FC236}">
              <a16:creationId xmlns:a16="http://schemas.microsoft.com/office/drawing/2014/main" id="{00000000-0008-0000-0500-000045000000}"/>
            </a:ext>
          </a:extLst>
        </xdr:cNvPr>
        <xdr:cNvGrpSpPr/>
      </xdr:nvGrpSpPr>
      <xdr:grpSpPr>
        <a:xfrm>
          <a:off x="249922" y="16446490"/>
          <a:ext cx="5112013" cy="512835"/>
          <a:chOff x="23587359" y="15499994"/>
          <a:chExt cx="4235599" cy="514571"/>
        </a:xfrm>
      </xdr:grpSpPr>
      <xdr:cxnSp macro="">
        <xdr:nvCxnSpPr>
          <xdr:cNvPr id="51" name="直線接點 50">
            <a:extLst>
              <a:ext uri="{FF2B5EF4-FFF2-40B4-BE49-F238E27FC236}">
                <a16:creationId xmlns:a16="http://schemas.microsoft.com/office/drawing/2014/main" id="{00000000-0008-0000-0500-000033000000}"/>
              </a:ext>
            </a:extLst>
          </xdr:cNvPr>
          <xdr:cNvCxnSpPr/>
        </xdr:nvCxnSpPr>
        <xdr:spPr>
          <a:xfrm>
            <a:off x="23625102" y="16014565"/>
            <a:ext cx="4197856" cy="0"/>
          </a:xfrm>
          <a:prstGeom prst="line">
            <a:avLst/>
          </a:prstGeom>
          <a:ln w="19050">
            <a:solidFill>
              <a:srgbClr val="297D6B"/>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60" name="圓角矩形 47">
            <a:extLst>
              <a:ext uri="{FF2B5EF4-FFF2-40B4-BE49-F238E27FC236}">
                <a16:creationId xmlns:a16="http://schemas.microsoft.com/office/drawing/2014/main" id="{00000000-0008-0000-0500-00003C000000}"/>
              </a:ext>
            </a:extLst>
          </xdr:cNvPr>
          <xdr:cNvSpPr/>
        </xdr:nvSpPr>
        <xdr:spPr>
          <a:xfrm>
            <a:off x="23587359" y="15499994"/>
            <a:ext cx="2496652" cy="509594"/>
          </a:xfrm>
          <a:prstGeom prst="roundRect">
            <a:avLst/>
          </a:prstGeom>
          <a:solidFill>
            <a:srgbClr val="297D6B"/>
          </a:solid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latin typeface="+mj-ea"/>
                <a:ea typeface="+mj-ea"/>
              </a:rPr>
              <a:t>轉</a:t>
            </a:r>
            <a:r>
              <a:rPr lang="zh-TW" altLang="en-US" sz="2000" b="1" baseline="0">
                <a:latin typeface="+mj-ea"/>
                <a:ea typeface="+mj-ea"/>
              </a:rPr>
              <a:t> 換 債 券 清 單 選 項</a:t>
            </a:r>
            <a:endParaRPr lang="zh-TW" altLang="en-US" sz="2000" b="1">
              <a:latin typeface="+mj-ea"/>
              <a:ea typeface="+mj-ea"/>
            </a:endParaRPr>
          </a:p>
        </xdr:txBody>
      </xdr:sp>
    </xdr:grpSp>
    <xdr:clientData/>
  </xdr:twoCellAnchor>
  <xdr:twoCellAnchor>
    <xdr:from>
      <xdr:col>4</xdr:col>
      <xdr:colOff>100824</xdr:colOff>
      <xdr:row>43</xdr:row>
      <xdr:rowOff>56267</xdr:rowOff>
    </xdr:from>
    <xdr:to>
      <xdr:col>6</xdr:col>
      <xdr:colOff>72450</xdr:colOff>
      <xdr:row>43</xdr:row>
      <xdr:rowOff>436131</xdr:rowOff>
    </xdr:to>
    <xdr:sp macro="" textlink="">
      <xdr:nvSpPr>
        <xdr:cNvPr id="68" name="圓角矩形 47">
          <a:extLst>
            <a:ext uri="{FF2B5EF4-FFF2-40B4-BE49-F238E27FC236}">
              <a16:creationId xmlns:a16="http://schemas.microsoft.com/office/drawing/2014/main" id="{00000000-0008-0000-0500-000044000000}"/>
            </a:ext>
          </a:extLst>
        </xdr:cNvPr>
        <xdr:cNvSpPr/>
      </xdr:nvSpPr>
      <xdr:spPr>
        <a:xfrm>
          <a:off x="274006" y="16456585"/>
          <a:ext cx="1893944" cy="37986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TW" altLang="en-US" sz="2000" b="1" u="sng">
              <a:solidFill>
                <a:srgbClr val="297D6B"/>
              </a:solidFill>
              <a:latin typeface="+mj-ea"/>
              <a:ea typeface="+mj-ea"/>
            </a:rPr>
            <a:t>客 戶 資 格</a:t>
          </a:r>
        </a:p>
      </xdr:txBody>
    </xdr:sp>
    <xdr:clientData/>
  </xdr:twoCellAnchor>
  <xdr:twoCellAnchor>
    <xdr:from>
      <xdr:col>32</xdr:col>
      <xdr:colOff>176066</xdr:colOff>
      <xdr:row>98</xdr:row>
      <xdr:rowOff>318944</xdr:rowOff>
    </xdr:from>
    <xdr:to>
      <xdr:col>33</xdr:col>
      <xdr:colOff>273626</xdr:colOff>
      <xdr:row>100</xdr:row>
      <xdr:rowOff>33193</xdr:rowOff>
    </xdr:to>
    <xdr:sp macro="" textlink="">
      <xdr:nvSpPr>
        <xdr:cNvPr id="76" name="向右箭號 75">
          <a:extLst>
            <a:ext uri="{FF2B5EF4-FFF2-40B4-BE49-F238E27FC236}">
              <a16:creationId xmlns:a16="http://schemas.microsoft.com/office/drawing/2014/main" id="{00000000-0008-0000-0500-00004C000000}"/>
            </a:ext>
          </a:extLst>
        </xdr:cNvPr>
        <xdr:cNvSpPr/>
      </xdr:nvSpPr>
      <xdr:spPr>
        <a:xfrm>
          <a:off x="14913839" y="32651989"/>
          <a:ext cx="495878" cy="787977"/>
        </a:xfrm>
        <a:prstGeom prst="stripedRightArrow">
          <a:avLst/>
        </a:prstGeom>
        <a:gradFill flip="none" rotWithShape="1">
          <a:gsLst>
            <a:gs pos="0">
              <a:schemeClr val="bg1">
                <a:lumMod val="95000"/>
              </a:schemeClr>
            </a:gs>
            <a:gs pos="100000">
              <a:srgbClr val="37A78F"/>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editAs="absolute">
    <xdr:from>
      <xdr:col>4</xdr:col>
      <xdr:colOff>113265</xdr:colOff>
      <xdr:row>95</xdr:row>
      <xdr:rowOff>513194</xdr:rowOff>
    </xdr:from>
    <xdr:to>
      <xdr:col>7</xdr:col>
      <xdr:colOff>1341830</xdr:colOff>
      <xdr:row>97</xdr:row>
      <xdr:rowOff>170004</xdr:rowOff>
    </xdr:to>
    <mc:AlternateContent xmlns:mc="http://schemas.openxmlformats.org/markup-compatibility/2006" xmlns:sle15="http://schemas.microsoft.com/office/drawing/2012/slicer">
      <mc:Choice Requires="sle15">
        <xdr:graphicFrame macro="">
          <xdr:nvGraphicFramePr>
            <xdr:cNvPr id="94" name="資格名稱 1">
              <a:extLst>
                <a:ext uri="{FF2B5EF4-FFF2-40B4-BE49-F238E27FC236}">
                  <a16:creationId xmlns:a16="http://schemas.microsoft.com/office/drawing/2014/main" id="{00000000-0008-0000-0500-00005E000000}"/>
                </a:ext>
              </a:extLst>
            </xdr:cNvPr>
            <xdr:cNvGraphicFramePr/>
          </xdr:nvGraphicFramePr>
          <xdr:xfrm>
            <a:off x="0" y="0"/>
            <a:ext cx="0" cy="0"/>
          </xdr:xfrm>
          <a:graphic>
            <a:graphicData uri="http://schemas.microsoft.com/office/drawing/2010/slicer">
              <sle:slicer xmlns:sle="http://schemas.microsoft.com/office/drawing/2010/slicer" name="資格名稱 1"/>
            </a:graphicData>
          </a:graphic>
        </xdr:graphicFrame>
      </mc:Choice>
      <mc:Fallback xmlns="">
        <xdr:sp macro="" textlink="">
          <xdr:nvSpPr>
            <xdr:cNvPr id="0" name=""/>
            <xdr:cNvSpPr>
              <a:spLocks noTextEdit="1"/>
            </xdr:cNvSpPr>
          </xdr:nvSpPr>
          <xdr:spPr>
            <a:xfrm>
              <a:off x="286447" y="31463960"/>
              <a:ext cx="4900019" cy="724187"/>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clientData/>
  </xdr:twoCellAnchor>
  <xdr:twoCellAnchor>
    <xdr:from>
      <xdr:col>24</xdr:col>
      <xdr:colOff>1194954</xdr:colOff>
      <xdr:row>50</xdr:row>
      <xdr:rowOff>467591</xdr:rowOff>
    </xdr:from>
    <xdr:to>
      <xdr:col>51</xdr:col>
      <xdr:colOff>398317</xdr:colOff>
      <xdr:row>83</xdr:row>
      <xdr:rowOff>259773</xdr:rowOff>
    </xdr:to>
    <xdr:graphicFrame macro="">
      <xdr:nvGraphicFramePr>
        <xdr:cNvPr id="84" name="圖表 83">
          <a:extLst>
            <a:ext uri="{FF2B5EF4-FFF2-40B4-BE49-F238E27FC236}">
              <a16:creationId xmlns:a16="http://schemas.microsoft.com/office/drawing/2014/main" id="{00000000-0008-0000-05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24</xdr:col>
      <xdr:colOff>1180181</xdr:colOff>
      <xdr:row>171</xdr:row>
      <xdr:rowOff>98960</xdr:rowOff>
    </xdr:from>
    <xdr:to>
      <xdr:col>25</xdr:col>
      <xdr:colOff>218490</xdr:colOff>
      <xdr:row>171</xdr:row>
      <xdr:rowOff>476250</xdr:rowOff>
    </xdr:to>
    <xdr:pic>
      <xdr:nvPicPr>
        <xdr:cNvPr id="95" name="圖片 94">
          <a:extLst>
            <a:ext uri="{FF2B5EF4-FFF2-40B4-BE49-F238E27FC236}">
              <a16:creationId xmlns:a16="http://schemas.microsoft.com/office/drawing/2014/main" id="{00000000-0008-0000-0500-00005F000000}"/>
            </a:ext>
          </a:extLst>
        </xdr:cNvPr>
        <xdr:cNvPicPr>
          <a:picLocks noChangeAspect="1"/>
        </xdr:cNvPicPr>
      </xdr:nvPicPr>
      <xdr:blipFill rotWithShape="1">
        <a:blip xmlns:r="http://schemas.openxmlformats.org/officeDocument/2006/relationships" r:embed="rId12"/>
        <a:srcRect l="1" t="-1" r="17482" b="2154"/>
        <a:stretch/>
      </xdr:blipFill>
      <xdr:spPr>
        <a:xfrm>
          <a:off x="10525887" y="56486960"/>
          <a:ext cx="323809" cy="377290"/>
        </a:xfrm>
        <a:prstGeom prst="rect">
          <a:avLst/>
        </a:prstGeom>
      </xdr:spPr>
    </xdr:pic>
    <xdr:clientData/>
  </xdr:twoCellAnchor>
  <xdr:twoCellAnchor editAs="oneCell">
    <xdr:from>
      <xdr:col>24</xdr:col>
      <xdr:colOff>1218453</xdr:colOff>
      <xdr:row>172</xdr:row>
      <xdr:rowOff>86445</xdr:rowOff>
    </xdr:from>
    <xdr:to>
      <xdr:col>25</xdr:col>
      <xdr:colOff>295189</xdr:colOff>
      <xdr:row>173</xdr:row>
      <xdr:rowOff>1165</xdr:rowOff>
    </xdr:to>
    <xdr:pic>
      <xdr:nvPicPr>
        <xdr:cNvPr id="97" name="圖片 96">
          <a:extLst>
            <a:ext uri="{FF2B5EF4-FFF2-40B4-BE49-F238E27FC236}">
              <a16:creationId xmlns:a16="http://schemas.microsoft.com/office/drawing/2014/main" id="{00000000-0008-0000-0500-000061000000}"/>
            </a:ext>
          </a:extLst>
        </xdr:cNvPr>
        <xdr:cNvPicPr>
          <a:picLocks noChangeAspect="1"/>
        </xdr:cNvPicPr>
      </xdr:nvPicPr>
      <xdr:blipFill>
        <a:blip xmlns:r="http://schemas.openxmlformats.org/officeDocument/2006/relationships" r:embed="rId13">
          <a:clrChange>
            <a:clrFrom>
              <a:srgbClr val="FFFFFF"/>
            </a:clrFrom>
            <a:clrTo>
              <a:srgbClr val="FFFFFF">
                <a:alpha val="0"/>
              </a:srgbClr>
            </a:clrTo>
          </a:clrChange>
        </a:blip>
        <a:stretch>
          <a:fillRect/>
        </a:stretch>
      </xdr:blipFill>
      <xdr:spPr>
        <a:xfrm>
          <a:off x="10564159" y="57012327"/>
          <a:ext cx="368586" cy="444944"/>
        </a:xfrm>
        <a:prstGeom prst="rect">
          <a:avLst/>
        </a:prstGeom>
      </xdr:spPr>
    </xdr:pic>
    <xdr:clientData/>
  </xdr:twoCellAnchor>
  <xdr:twoCellAnchor>
    <xdr:from>
      <xdr:col>22</xdr:col>
      <xdr:colOff>346363</xdr:colOff>
      <xdr:row>125</xdr:row>
      <xdr:rowOff>0</xdr:rowOff>
    </xdr:from>
    <xdr:to>
      <xdr:col>51</xdr:col>
      <xdr:colOff>363682</xdr:colOff>
      <xdr:row>144</xdr:row>
      <xdr:rowOff>81641</xdr:rowOff>
    </xdr:to>
    <xdr:graphicFrame macro="">
      <xdr:nvGraphicFramePr>
        <xdr:cNvPr id="114" name="圖表 113">
          <a:extLst>
            <a:ext uri="{FF2B5EF4-FFF2-40B4-BE49-F238E27FC236}">
              <a16:creationId xmlns:a16="http://schemas.microsoft.com/office/drawing/2014/main" id="{00000000-0008-0000-05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43</xdr:col>
      <xdr:colOff>210312</xdr:colOff>
      <xdr:row>104</xdr:row>
      <xdr:rowOff>68119</xdr:rowOff>
    </xdr:from>
    <xdr:to>
      <xdr:col>46</xdr:col>
      <xdr:colOff>304454</xdr:colOff>
      <xdr:row>105</xdr:row>
      <xdr:rowOff>438191</xdr:rowOff>
    </xdr:to>
    <mc:AlternateContent xmlns:mc="http://schemas.openxmlformats.org/markup-compatibility/2006" xmlns:sle15="http://schemas.microsoft.com/office/drawing/2012/slicer">
      <mc:Choice Requires="sle15">
        <xdr:graphicFrame macro="">
          <xdr:nvGraphicFramePr>
            <xdr:cNvPr id="102" name="頁面名稱 2">
              <a:extLst>
                <a:ext uri="{FF2B5EF4-FFF2-40B4-BE49-F238E27FC236}">
                  <a16:creationId xmlns:a16="http://schemas.microsoft.com/office/drawing/2014/main" id="{00000000-0008-0000-0500-000066000000}"/>
                </a:ext>
              </a:extLst>
            </xdr:cNvPr>
            <xdr:cNvGraphicFramePr/>
          </xdr:nvGraphicFramePr>
          <xdr:xfrm>
            <a:off x="0" y="0"/>
            <a:ext cx="0" cy="0"/>
          </xdr:xfrm>
          <a:graphic>
            <a:graphicData uri="http://schemas.microsoft.com/office/drawing/2010/slicer">
              <sle:slicer xmlns:sle="http://schemas.microsoft.com/office/drawing/2010/slicer" name="頁面名稱 2"/>
            </a:graphicData>
          </a:graphic>
        </xdr:graphicFrame>
      </mc:Choice>
      <mc:Fallback xmlns="">
        <xdr:sp macro="" textlink="">
          <xdr:nvSpPr>
            <xdr:cNvPr id="0" name=""/>
            <xdr:cNvSpPr>
              <a:spLocks noTextEdit="1"/>
            </xdr:cNvSpPr>
          </xdr:nvSpPr>
          <xdr:spPr>
            <a:xfrm>
              <a:off x="25880187" y="35672569"/>
              <a:ext cx="1332392" cy="468497"/>
            </a:xfrm>
            <a:prstGeom prst="rect">
              <a:avLst/>
            </a:prstGeom>
            <a:solidFill>
              <a:prstClr val="white"/>
            </a:solidFill>
            <a:ln w="1">
              <a:solidFill>
                <a:prstClr val="green"/>
              </a:solidFill>
            </a:ln>
          </xdr:spPr>
          <xdr:txBody>
            <a:bodyPr vertOverflow="clip" horzOverflow="clip"/>
            <a:lstStyle/>
            <a:p>
              <a:r>
                <a:rPr lang="zh-TW" altLang="en-US" sz="1100"/>
                <a:t>此圖形代表表格交叉分析篩選器。此版本的 Excel 不支援表格交叉分析篩選器。
如果圖形在舊版 Excel 中修改，或如果活頁簿在 Excel 2007 或較舊版本中儲存，則無法使用交叉分析篩選器。</a:t>
              </a:r>
            </a:p>
          </xdr:txBody>
        </xdr:sp>
      </mc:Fallback>
    </mc:AlternateContent>
    <xdr:clientData/>
  </xdr:twoCellAnchor>
  <xdr:twoCellAnchor editAs="oneCell">
    <xdr:from>
      <xdr:col>18</xdr:col>
      <xdr:colOff>432957</xdr:colOff>
      <xdr:row>153</xdr:row>
      <xdr:rowOff>467591</xdr:rowOff>
    </xdr:from>
    <xdr:to>
      <xdr:col>19</xdr:col>
      <xdr:colOff>277091</xdr:colOff>
      <xdr:row>155</xdr:row>
      <xdr:rowOff>104928</xdr:rowOff>
    </xdr:to>
    <xdr:pic>
      <xdr:nvPicPr>
        <xdr:cNvPr id="46" name="圖片 45">
          <a:extLst>
            <a:ext uri="{FF2B5EF4-FFF2-40B4-BE49-F238E27FC236}">
              <a16:creationId xmlns:a16="http://schemas.microsoft.com/office/drawing/2014/main" id="{00000000-0008-0000-0500-00002E000000}"/>
            </a:ext>
          </a:extLst>
        </xdr:cNvPr>
        <xdr:cNvPicPr>
          <a:picLocks noChangeAspect="1"/>
        </xdr:cNvPicPr>
      </xdr:nvPicPr>
      <xdr:blipFill>
        <a:blip xmlns:r="http://schemas.openxmlformats.org/officeDocument/2006/relationships" r:embed="rId16"/>
        <a:stretch>
          <a:fillRect/>
        </a:stretch>
      </xdr:blipFill>
      <xdr:spPr>
        <a:xfrm>
          <a:off x="4052457" y="47209364"/>
          <a:ext cx="727361" cy="714238"/>
        </a:xfrm>
        <a:prstGeom prst="rect">
          <a:avLst/>
        </a:prstGeom>
      </xdr:spPr>
    </xdr:pic>
    <xdr:clientData/>
  </xdr:twoCellAnchor>
  <xdr:twoCellAnchor editAs="oneCell">
    <xdr:from>
      <xdr:col>18</xdr:col>
      <xdr:colOff>450273</xdr:colOff>
      <xdr:row>98</xdr:row>
      <xdr:rowOff>484909</xdr:rowOff>
    </xdr:from>
    <xdr:to>
      <xdr:col>19</xdr:col>
      <xdr:colOff>294407</xdr:colOff>
      <xdr:row>100</xdr:row>
      <xdr:rowOff>122246</xdr:rowOff>
    </xdr:to>
    <xdr:pic>
      <xdr:nvPicPr>
        <xdr:cNvPr id="104" name="圖片 103">
          <a:extLst>
            <a:ext uri="{FF2B5EF4-FFF2-40B4-BE49-F238E27FC236}">
              <a16:creationId xmlns:a16="http://schemas.microsoft.com/office/drawing/2014/main" id="{00000000-0008-0000-0500-000068000000}"/>
            </a:ext>
          </a:extLst>
        </xdr:cNvPr>
        <xdr:cNvPicPr>
          <a:picLocks noChangeAspect="1"/>
        </xdr:cNvPicPr>
      </xdr:nvPicPr>
      <xdr:blipFill>
        <a:blip xmlns:r="http://schemas.openxmlformats.org/officeDocument/2006/relationships" r:embed="rId16"/>
        <a:stretch>
          <a:fillRect/>
        </a:stretch>
      </xdr:blipFill>
      <xdr:spPr>
        <a:xfrm>
          <a:off x="4069773" y="32523545"/>
          <a:ext cx="727361" cy="714238"/>
        </a:xfrm>
        <a:prstGeom prst="rect">
          <a:avLst/>
        </a:prstGeom>
      </xdr:spPr>
    </xdr:pic>
    <xdr:clientData/>
  </xdr:twoCellAnchor>
  <xdr:twoCellAnchor>
    <xdr:from>
      <xdr:col>19</xdr:col>
      <xdr:colOff>152687</xdr:colOff>
      <xdr:row>159</xdr:row>
      <xdr:rowOff>39624</xdr:rowOff>
    </xdr:from>
    <xdr:to>
      <xdr:col>20</xdr:col>
      <xdr:colOff>675408</xdr:colOff>
      <xdr:row>159</xdr:row>
      <xdr:rowOff>527418</xdr:rowOff>
    </xdr:to>
    <xdr:sp macro="[0]!Cashflow_Original_Click" textlink="">
      <xdr:nvSpPr>
        <xdr:cNvPr id="45" name="Cash_original">
          <a:extLst>
            <a:ext uri="{FF2B5EF4-FFF2-40B4-BE49-F238E27FC236}">
              <a16:creationId xmlns:a16="http://schemas.microsoft.com/office/drawing/2014/main" id="{00000000-0008-0000-0500-00002D000000}"/>
            </a:ext>
          </a:extLst>
        </xdr:cNvPr>
        <xdr:cNvSpPr/>
      </xdr:nvSpPr>
      <xdr:spPr>
        <a:xfrm>
          <a:off x="10335778" y="50366260"/>
          <a:ext cx="1475221" cy="487794"/>
        </a:xfrm>
        <a:prstGeom prst="round2SameRect">
          <a:avLst/>
        </a:prstGeom>
        <a:solidFill>
          <a:srgbClr val="FFC000"/>
        </a:solidFill>
        <a:ln w="25400" cap="flat" cmpd="sng" algn="ctr">
          <a:solidFill>
            <a:srgbClr val="209D82"/>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000000"/>
              </a:solidFill>
            </a:rPr>
            <a:t>原庫存組合</a:t>
          </a:r>
        </a:p>
      </xdr:txBody>
    </xdr:sp>
    <xdr:clientData/>
  </xdr:twoCellAnchor>
  <xdr:twoCellAnchor>
    <xdr:from>
      <xdr:col>17</xdr:col>
      <xdr:colOff>221670</xdr:colOff>
      <xdr:row>159</xdr:row>
      <xdr:rowOff>39624</xdr:rowOff>
    </xdr:from>
    <xdr:to>
      <xdr:col>19</xdr:col>
      <xdr:colOff>48490</xdr:colOff>
      <xdr:row>159</xdr:row>
      <xdr:rowOff>527418</xdr:rowOff>
    </xdr:to>
    <xdr:sp macro="[0]!Cashflow_New_Click" textlink="">
      <xdr:nvSpPr>
        <xdr:cNvPr id="105" name="Cash_New">
          <a:extLst>
            <a:ext uri="{FF2B5EF4-FFF2-40B4-BE49-F238E27FC236}">
              <a16:creationId xmlns:a16="http://schemas.microsoft.com/office/drawing/2014/main" id="{00000000-0008-0000-0500-000069000000}"/>
            </a:ext>
          </a:extLst>
        </xdr:cNvPr>
        <xdr:cNvSpPr/>
      </xdr:nvSpPr>
      <xdr:spPr>
        <a:xfrm>
          <a:off x="8655625" y="50366260"/>
          <a:ext cx="1575956" cy="487794"/>
        </a:xfrm>
        <a:prstGeom prst="round2SameRect">
          <a:avLst/>
        </a:prstGeom>
        <a:solidFill>
          <a:srgbClr val="E2E2E2"/>
        </a:solidFill>
        <a:ln w="19050" cap="flat" cmpd="sng" algn="ctr">
          <a:noFill/>
          <a:prstDash val="solid"/>
        </a:ln>
        <a:effectLst/>
        <a:extLst>
          <a:ext uri="{91240B29-F687-4F45-9708-019B960494DF}">
            <a14:hiddenLine xmlns:a14="http://schemas.microsoft.com/office/drawing/2010/main" w="19050" cap="flat" cmpd="sng" algn="ctr">
              <a:solidFill>
                <a:srgbClr val="209D82"/>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8B8D85"/>
              </a:solidFill>
            </a:rPr>
            <a:t>新庫存組合</a:t>
          </a:r>
        </a:p>
      </xdr:txBody>
    </xdr:sp>
    <xdr:clientData/>
  </xdr:twoCellAnchor>
  <xdr:twoCellAnchor>
    <xdr:from>
      <xdr:col>47</xdr:col>
      <xdr:colOff>238991</xdr:colOff>
      <xdr:row>169</xdr:row>
      <xdr:rowOff>50222</xdr:rowOff>
    </xdr:from>
    <xdr:to>
      <xdr:col>51</xdr:col>
      <xdr:colOff>114589</xdr:colOff>
      <xdr:row>170</xdr:row>
      <xdr:rowOff>1442</xdr:rowOff>
    </xdr:to>
    <xdr:sp macro="[0]!Multi_Mod_add_Click" textlink="">
      <xdr:nvSpPr>
        <xdr:cNvPr id="113" name="Multi_Mod_add">
          <a:extLst>
            <a:ext uri="{FF2B5EF4-FFF2-40B4-BE49-F238E27FC236}">
              <a16:creationId xmlns:a16="http://schemas.microsoft.com/office/drawing/2014/main" id="{00000000-0008-0000-0500-000071000000}"/>
            </a:ext>
          </a:extLst>
        </xdr:cNvPr>
        <xdr:cNvSpPr/>
      </xdr:nvSpPr>
      <xdr:spPr>
        <a:xfrm>
          <a:off x="27528116" y="56025472"/>
          <a:ext cx="1526598" cy="490970"/>
        </a:xfrm>
        <a:prstGeom prst="round2SameRect">
          <a:avLst/>
        </a:prstGeom>
        <a:solidFill>
          <a:srgbClr val="E2E2E2"/>
        </a:solidFill>
        <a:ln w="19050" cap="flat" cmpd="sng" algn="ctr">
          <a:noFill/>
          <a:prstDash val="solid"/>
        </a:ln>
        <a:effectLst/>
        <a:extLst>
          <a:ext uri="{91240B29-F687-4F45-9708-019B960494DF}">
            <a14:hiddenLine xmlns:a14="http://schemas.microsoft.com/office/drawing/2010/main" w="19050" cap="flat" cmpd="sng" algn="ctr">
              <a:solidFill>
                <a:srgbClr val="209D82"/>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8B8D85"/>
              </a:solidFill>
            </a:rPr>
            <a:t>含年領利息</a:t>
          </a:r>
        </a:p>
      </xdr:txBody>
    </xdr:sp>
    <xdr:clientData/>
  </xdr:twoCellAnchor>
  <xdr:twoCellAnchor>
    <xdr:from>
      <xdr:col>43</xdr:col>
      <xdr:colOff>256597</xdr:colOff>
      <xdr:row>169</xdr:row>
      <xdr:rowOff>51809</xdr:rowOff>
    </xdr:from>
    <xdr:to>
      <xdr:col>47</xdr:col>
      <xdr:colOff>141721</xdr:colOff>
      <xdr:row>169</xdr:row>
      <xdr:rowOff>533254</xdr:rowOff>
    </xdr:to>
    <xdr:sp macro="[0]!Multi_Mod_Click" textlink="">
      <xdr:nvSpPr>
        <xdr:cNvPr id="110" name="Multi_Mod">
          <a:extLst>
            <a:ext uri="{FF2B5EF4-FFF2-40B4-BE49-F238E27FC236}">
              <a16:creationId xmlns:a16="http://schemas.microsoft.com/office/drawing/2014/main" id="{00000000-0008-0000-0500-00006E000000}"/>
            </a:ext>
          </a:extLst>
        </xdr:cNvPr>
        <xdr:cNvSpPr/>
      </xdr:nvSpPr>
      <xdr:spPr>
        <a:xfrm>
          <a:off x="25894722" y="56027059"/>
          <a:ext cx="1536124" cy="481445"/>
        </a:xfrm>
        <a:prstGeom prst="round2SameRect">
          <a:avLst/>
        </a:prstGeom>
        <a:solidFill>
          <a:srgbClr val="FFC000"/>
        </a:solidFill>
        <a:ln w="25400" cap="flat" cmpd="sng" algn="ctr">
          <a:solidFill>
            <a:srgbClr val="209D82"/>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000000"/>
              </a:solidFill>
            </a:rPr>
            <a:t>不含年領利息</a:t>
          </a:r>
        </a:p>
      </xdr:txBody>
    </xdr:sp>
    <xdr:clientData/>
  </xdr:twoCellAnchor>
  <xdr:twoCellAnchor>
    <xdr:from>
      <xdr:col>47</xdr:col>
      <xdr:colOff>276802</xdr:colOff>
      <xdr:row>80</xdr:row>
      <xdr:rowOff>23812</xdr:rowOff>
    </xdr:from>
    <xdr:to>
      <xdr:col>51</xdr:col>
      <xdr:colOff>152400</xdr:colOff>
      <xdr:row>81</xdr:row>
      <xdr:rowOff>160482</xdr:rowOff>
    </xdr:to>
    <xdr:sp macro="[0]!Single_Mod_add_Click" textlink="">
      <xdr:nvSpPr>
        <xdr:cNvPr id="115" name="Single_Mod_add">
          <a:extLst>
            <a:ext uri="{FF2B5EF4-FFF2-40B4-BE49-F238E27FC236}">
              <a16:creationId xmlns:a16="http://schemas.microsoft.com/office/drawing/2014/main" id="{00000000-0008-0000-0500-000073000000}"/>
            </a:ext>
          </a:extLst>
        </xdr:cNvPr>
        <xdr:cNvSpPr/>
      </xdr:nvSpPr>
      <xdr:spPr>
        <a:xfrm>
          <a:off x="26756302" y="26908125"/>
          <a:ext cx="1494848" cy="517670"/>
        </a:xfrm>
        <a:prstGeom prst="round2SameRect">
          <a:avLst/>
        </a:prstGeom>
        <a:solidFill>
          <a:srgbClr val="E2E2E2"/>
        </a:solidFill>
        <a:ln w="19050" cap="flat" cmpd="sng" algn="ctr">
          <a:noFill/>
          <a:prstDash val="solid"/>
        </a:ln>
        <a:effectLst/>
        <a:extLst>
          <a:ext uri="{91240B29-F687-4F45-9708-019B960494DF}">
            <a14:hiddenLine xmlns:a14="http://schemas.microsoft.com/office/drawing/2010/main" w="19050" cap="flat" cmpd="sng" algn="ctr">
              <a:solidFill>
                <a:srgbClr val="209D82"/>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8B8D85"/>
              </a:solidFill>
            </a:rPr>
            <a:t>含年領利息</a:t>
          </a:r>
        </a:p>
      </xdr:txBody>
    </xdr:sp>
    <xdr:clientData/>
  </xdr:twoCellAnchor>
  <xdr:twoCellAnchor>
    <xdr:from>
      <xdr:col>43</xdr:col>
      <xdr:colOff>294408</xdr:colOff>
      <xdr:row>80</xdr:row>
      <xdr:rowOff>23812</xdr:rowOff>
    </xdr:from>
    <xdr:to>
      <xdr:col>47</xdr:col>
      <xdr:colOff>170007</xdr:colOff>
      <xdr:row>81</xdr:row>
      <xdr:rowOff>160482</xdr:rowOff>
    </xdr:to>
    <xdr:sp macro="[0]!Single_Mod_Click" textlink="">
      <xdr:nvSpPr>
        <xdr:cNvPr id="116" name="Single_Mod">
          <a:extLst>
            <a:ext uri="{FF2B5EF4-FFF2-40B4-BE49-F238E27FC236}">
              <a16:creationId xmlns:a16="http://schemas.microsoft.com/office/drawing/2014/main" id="{00000000-0008-0000-0500-000074000000}"/>
            </a:ext>
          </a:extLst>
        </xdr:cNvPr>
        <xdr:cNvSpPr/>
      </xdr:nvSpPr>
      <xdr:spPr>
        <a:xfrm>
          <a:off x="25154658" y="26908125"/>
          <a:ext cx="1494849" cy="517670"/>
        </a:xfrm>
        <a:prstGeom prst="round2SameRect">
          <a:avLst/>
        </a:prstGeom>
        <a:solidFill>
          <a:srgbClr val="FFC000"/>
        </a:solidFill>
        <a:ln w="25400" cap="flat" cmpd="sng" algn="ctr">
          <a:solidFill>
            <a:srgbClr val="209D82"/>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000000"/>
              </a:solidFill>
            </a:rPr>
            <a:t>不含年領利息</a:t>
          </a:r>
        </a:p>
      </xdr:txBody>
    </xdr:sp>
    <xdr:clientData/>
  </xdr:twoCellAnchor>
  <xdr:twoCellAnchor>
    <xdr:from>
      <xdr:col>45</xdr:col>
      <xdr:colOff>294946</xdr:colOff>
      <xdr:row>70</xdr:row>
      <xdr:rowOff>86588</xdr:rowOff>
    </xdr:from>
    <xdr:to>
      <xdr:col>51</xdr:col>
      <xdr:colOff>141723</xdr:colOff>
      <xdr:row>74</xdr:row>
      <xdr:rowOff>37809</xdr:rowOff>
    </xdr:to>
    <xdr:sp macro="" textlink="$AU$72">
      <xdr:nvSpPr>
        <xdr:cNvPr id="79" name="圓角矩形 78">
          <a:extLst>
            <a:ext uri="{FF2B5EF4-FFF2-40B4-BE49-F238E27FC236}">
              <a16:creationId xmlns:a16="http://schemas.microsoft.com/office/drawing/2014/main" id="{00000000-0008-0000-0500-00004F000000}"/>
            </a:ext>
          </a:extLst>
        </xdr:cNvPr>
        <xdr:cNvSpPr/>
      </xdr:nvSpPr>
      <xdr:spPr>
        <a:xfrm>
          <a:off x="26861037" y="25388452"/>
          <a:ext cx="2340595" cy="4880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7359DF9-5270-4ECE-A4CC-F2BA6C1FBDDD}" type="TxLink">
            <a:rPr lang="zh-TW" altLang="en-US" sz="1600" b="0" i="0" u="none" strike="noStrike">
              <a:solidFill>
                <a:schemeClr val="bg1">
                  <a:lumMod val="50000"/>
                </a:schemeClr>
              </a:solidFill>
              <a:latin typeface="微軟正黑體"/>
              <a:ea typeface="微軟正黑體"/>
            </a:rPr>
            <a:pPr algn="l"/>
            <a:t>蘋果公司</a:t>
          </a:fld>
          <a:endParaRPr lang="zh-TW" altLang="en-US" sz="1600">
            <a:solidFill>
              <a:schemeClr val="bg1">
                <a:lumMod val="50000"/>
              </a:schemeClr>
            </a:solidFill>
          </a:endParaRPr>
        </a:p>
      </xdr:txBody>
    </xdr:sp>
    <xdr:clientData/>
  </xdr:twoCellAnchor>
  <xdr:twoCellAnchor>
    <xdr:from>
      <xdr:col>45</xdr:col>
      <xdr:colOff>294657</xdr:colOff>
      <xdr:row>74</xdr:row>
      <xdr:rowOff>294408</xdr:rowOff>
    </xdr:from>
    <xdr:to>
      <xdr:col>51</xdr:col>
      <xdr:colOff>124403</xdr:colOff>
      <xdr:row>77</xdr:row>
      <xdr:rowOff>103619</xdr:rowOff>
    </xdr:to>
    <xdr:sp macro="" textlink="$AU$75">
      <xdr:nvSpPr>
        <xdr:cNvPr id="98" name="圓角矩形 97">
          <a:extLst>
            <a:ext uri="{FF2B5EF4-FFF2-40B4-BE49-F238E27FC236}">
              <a16:creationId xmlns:a16="http://schemas.microsoft.com/office/drawing/2014/main" id="{00000000-0008-0000-0500-000062000000}"/>
            </a:ext>
          </a:extLst>
        </xdr:cNvPr>
        <xdr:cNvSpPr/>
      </xdr:nvSpPr>
      <xdr:spPr>
        <a:xfrm>
          <a:off x="26860748" y="26133135"/>
          <a:ext cx="2323564" cy="50193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06455B94-2C52-4D06-B28A-B8719D102B41}" type="TxLink">
            <a:rPr lang="zh-TW" altLang="en-US" sz="1600" b="1" i="0" u="none" strike="noStrike">
              <a:solidFill>
                <a:srgbClr val="297D6B"/>
              </a:solidFill>
              <a:latin typeface="微軟正黑體"/>
              <a:ea typeface="微軟正黑體"/>
              <a:cs typeface="+mn-cs"/>
            </a:rPr>
            <a:pPr marL="0" indent="0" algn="l"/>
            <a:t> </a:t>
          </a:fld>
          <a:endParaRPr lang="zh-TW" altLang="en-US" sz="1600" b="1" i="0" u="none" strike="noStrike">
            <a:solidFill>
              <a:srgbClr val="297D6B"/>
            </a:solidFill>
            <a:latin typeface="微軟正黑體"/>
            <a:ea typeface="微軟正黑體"/>
            <a:cs typeface="+mn-cs"/>
          </a:endParaRPr>
        </a:p>
      </xdr:txBody>
    </xdr:sp>
    <xdr:clientData/>
  </xdr:twoCellAnchor>
  <xdr:twoCellAnchor editAs="oneCell">
    <xdr:from>
      <xdr:col>14</xdr:col>
      <xdr:colOff>92882</xdr:colOff>
      <xdr:row>0</xdr:row>
      <xdr:rowOff>115285</xdr:rowOff>
    </xdr:from>
    <xdr:to>
      <xdr:col>15</xdr:col>
      <xdr:colOff>903544</xdr:colOff>
      <xdr:row>0</xdr:row>
      <xdr:rowOff>980135</xdr:rowOff>
    </xdr:to>
    <xdr:pic macro="[0]!匯入txt檔">
      <xdr:nvPicPr>
        <xdr:cNvPr id="7168" name="inport">
          <a:extLst>
            <a:ext uri="{FF2B5EF4-FFF2-40B4-BE49-F238E27FC236}">
              <a16:creationId xmlns:a16="http://schemas.microsoft.com/office/drawing/2014/main" id="{00000000-0008-0000-0500-0000001C0000}"/>
            </a:ext>
          </a:extLst>
        </xdr:cNvPr>
        <xdr:cNvPicPr>
          <a:picLocks/>
        </xdr:cNvPicPr>
      </xdr:nvPicPr>
      <xdr:blipFill>
        <a:blip xmlns:r="http://schemas.openxmlformats.org/officeDocument/2006/relationships" r:embed="rId17"/>
        <a:stretch>
          <a:fillRect/>
        </a:stretch>
      </xdr:blipFill>
      <xdr:spPr>
        <a:xfrm>
          <a:off x="6188882" y="115285"/>
          <a:ext cx="905912" cy="868025"/>
        </a:xfrm>
        <a:prstGeom prst="rect">
          <a:avLst/>
        </a:prstGeom>
        <a:effectLst>
          <a:outerShdw blurRad="50800" dist="38100" dir="2700000" algn="tl" rotWithShape="0">
            <a:prstClr val="black">
              <a:alpha val="40000"/>
            </a:prstClr>
          </a:outerShdw>
        </a:effectLst>
      </xdr:spPr>
    </xdr:pic>
    <xdr:clientData/>
  </xdr:twoCellAnchor>
  <xdr:twoCellAnchor editAs="oneCell">
    <xdr:from>
      <xdr:col>15</xdr:col>
      <xdr:colOff>1127010</xdr:colOff>
      <xdr:row>0</xdr:row>
      <xdr:rowOff>115285</xdr:rowOff>
    </xdr:from>
    <xdr:to>
      <xdr:col>16</xdr:col>
      <xdr:colOff>523435</xdr:colOff>
      <xdr:row>0</xdr:row>
      <xdr:rowOff>980135</xdr:rowOff>
    </xdr:to>
    <xdr:pic macro="[0]!匯出txt檔">
      <xdr:nvPicPr>
        <xdr:cNvPr id="7170" name="export">
          <a:extLst>
            <a:ext uri="{FF2B5EF4-FFF2-40B4-BE49-F238E27FC236}">
              <a16:creationId xmlns:a16="http://schemas.microsoft.com/office/drawing/2014/main" id="{00000000-0008-0000-0500-0000021C0000}"/>
            </a:ext>
          </a:extLst>
        </xdr:cNvPr>
        <xdr:cNvPicPr>
          <a:picLocks/>
        </xdr:cNvPicPr>
      </xdr:nvPicPr>
      <xdr:blipFill>
        <a:blip xmlns:r="http://schemas.openxmlformats.org/officeDocument/2006/relationships" r:embed="rId18">
          <a:clrChange>
            <a:clrFrom>
              <a:srgbClr val="FF6600"/>
            </a:clrFrom>
            <a:clrTo>
              <a:srgbClr val="FF6600">
                <a:alpha val="0"/>
              </a:srgbClr>
            </a:clrTo>
          </a:clrChange>
        </a:blip>
        <a:stretch>
          <a:fillRect/>
        </a:stretch>
      </xdr:blipFill>
      <xdr:spPr>
        <a:xfrm>
          <a:off x="7318260" y="115285"/>
          <a:ext cx="923600" cy="868025"/>
        </a:xfrm>
        <a:prstGeom prst="rect">
          <a:avLst/>
        </a:prstGeom>
        <a:effectLst>
          <a:outerShdw blurRad="50800" dist="38100" dir="2700000" algn="tl" rotWithShape="0">
            <a:prstClr val="black">
              <a:alpha val="40000"/>
            </a:prstClr>
          </a:outerShdw>
        </a:effectLst>
      </xdr:spPr>
    </xdr:pic>
    <xdr:clientData/>
  </xdr:twoCellAnchor>
  <xdr:twoCellAnchor editAs="oneCell">
    <xdr:from>
      <xdr:col>17</xdr:col>
      <xdr:colOff>35701</xdr:colOff>
      <xdr:row>0</xdr:row>
      <xdr:rowOff>115285</xdr:rowOff>
    </xdr:from>
    <xdr:to>
      <xdr:col>18</xdr:col>
      <xdr:colOff>38470</xdr:colOff>
      <xdr:row>0</xdr:row>
      <xdr:rowOff>980135</xdr:rowOff>
    </xdr:to>
    <xdr:pic macro="[0]!PrintPagesToPDF_Click">
      <xdr:nvPicPr>
        <xdr:cNvPr id="7171" name="printPDF">
          <a:extLst>
            <a:ext uri="{FF2B5EF4-FFF2-40B4-BE49-F238E27FC236}">
              <a16:creationId xmlns:a16="http://schemas.microsoft.com/office/drawing/2014/main" id="{00000000-0008-0000-0500-0000031C0000}"/>
            </a:ext>
          </a:extLst>
        </xdr:cNvPr>
        <xdr:cNvPicPr>
          <a:picLocks/>
        </xdr:cNvPicPr>
      </xdr:nvPicPr>
      <xdr:blipFill>
        <a:blip xmlns:r="http://schemas.openxmlformats.org/officeDocument/2006/relationships" r:embed="rId19"/>
        <a:stretch>
          <a:fillRect/>
        </a:stretch>
      </xdr:blipFill>
      <xdr:spPr>
        <a:xfrm>
          <a:off x="8465326" y="115285"/>
          <a:ext cx="860019" cy="868025"/>
        </a:xfrm>
        <a:prstGeom prst="rect">
          <a:avLst/>
        </a:prstGeom>
        <a:effectLst>
          <a:outerShdw blurRad="50800" dist="38100" dir="2700000" algn="tl" rotWithShape="0">
            <a:prstClr val="black">
              <a:alpha val="40000"/>
            </a:prstClr>
          </a:outerShdw>
        </a:effectLst>
      </xdr:spPr>
    </xdr:pic>
    <xdr:clientData/>
  </xdr:twoCellAnchor>
  <xdr:twoCellAnchor>
    <xdr:from>
      <xdr:col>4</xdr:col>
      <xdr:colOff>80042</xdr:colOff>
      <xdr:row>45</xdr:row>
      <xdr:rowOff>139394</xdr:rowOff>
    </xdr:from>
    <xdr:to>
      <xdr:col>6</xdr:col>
      <xdr:colOff>51668</xdr:colOff>
      <xdr:row>45</xdr:row>
      <xdr:rowOff>519258</xdr:rowOff>
    </xdr:to>
    <xdr:sp macro="" textlink="">
      <xdr:nvSpPr>
        <xdr:cNvPr id="100" name="圓角矩形 47">
          <a:extLst>
            <a:ext uri="{FF2B5EF4-FFF2-40B4-BE49-F238E27FC236}">
              <a16:creationId xmlns:a16="http://schemas.microsoft.com/office/drawing/2014/main" id="{00000000-0008-0000-0500-000064000000}"/>
            </a:ext>
          </a:extLst>
        </xdr:cNvPr>
        <xdr:cNvSpPr/>
      </xdr:nvSpPr>
      <xdr:spPr>
        <a:xfrm>
          <a:off x="253224" y="17648076"/>
          <a:ext cx="1893944" cy="37986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TW" altLang="en-US" sz="2000" b="1">
              <a:solidFill>
                <a:srgbClr val="297D6B"/>
              </a:solidFill>
              <a:latin typeface="+mj-ea"/>
              <a:ea typeface="+mj-ea"/>
            </a:rPr>
            <a:t>轉</a:t>
          </a:r>
          <a:r>
            <a:rPr lang="zh-TW" altLang="en-US" sz="2000" b="1" baseline="0">
              <a:solidFill>
                <a:srgbClr val="297D6B"/>
              </a:solidFill>
              <a:latin typeface="+mj-ea"/>
              <a:ea typeface="+mj-ea"/>
            </a:rPr>
            <a:t> 換 策 略</a:t>
          </a:r>
          <a:endParaRPr lang="zh-TW" altLang="en-US" sz="2000" b="1">
            <a:solidFill>
              <a:srgbClr val="297D6B"/>
            </a:solidFill>
            <a:latin typeface="+mj-ea"/>
            <a:ea typeface="+mj-ea"/>
          </a:endParaRPr>
        </a:p>
      </xdr:txBody>
    </xdr:sp>
    <xdr:clientData/>
  </xdr:twoCellAnchor>
  <xdr:twoCellAnchor>
    <xdr:from>
      <xdr:col>4</xdr:col>
      <xdr:colOff>69273</xdr:colOff>
      <xdr:row>92</xdr:row>
      <xdr:rowOff>554180</xdr:rowOff>
    </xdr:from>
    <xdr:to>
      <xdr:col>8</xdr:col>
      <xdr:colOff>55103</xdr:colOff>
      <xdr:row>94</xdr:row>
      <xdr:rowOff>136233</xdr:rowOff>
    </xdr:to>
    <xdr:grpSp>
      <xdr:nvGrpSpPr>
        <xdr:cNvPr id="7173" name="群組 7172">
          <a:extLst>
            <a:ext uri="{FF2B5EF4-FFF2-40B4-BE49-F238E27FC236}">
              <a16:creationId xmlns:a16="http://schemas.microsoft.com/office/drawing/2014/main" id="{00000000-0008-0000-0500-0000051C0000}"/>
            </a:ext>
          </a:extLst>
        </xdr:cNvPr>
        <xdr:cNvGrpSpPr/>
      </xdr:nvGrpSpPr>
      <xdr:grpSpPr>
        <a:xfrm>
          <a:off x="254000" y="30329907"/>
          <a:ext cx="5262103" cy="586508"/>
          <a:chOff x="242455" y="34948092"/>
          <a:chExt cx="5112012" cy="586506"/>
        </a:xfrm>
      </xdr:grpSpPr>
      <xdr:cxnSp macro="">
        <xdr:nvCxnSpPr>
          <xdr:cNvPr id="103" name="直線接點 102">
            <a:extLst>
              <a:ext uri="{FF2B5EF4-FFF2-40B4-BE49-F238E27FC236}">
                <a16:creationId xmlns:a16="http://schemas.microsoft.com/office/drawing/2014/main" id="{00000000-0008-0000-0500-000067000000}"/>
              </a:ext>
            </a:extLst>
          </xdr:cNvPr>
          <xdr:cNvCxnSpPr/>
        </xdr:nvCxnSpPr>
        <xdr:spPr>
          <a:xfrm>
            <a:off x="390991" y="35534519"/>
            <a:ext cx="4963476" cy="0"/>
          </a:xfrm>
          <a:prstGeom prst="line">
            <a:avLst/>
          </a:prstGeom>
          <a:ln w="19050">
            <a:solidFill>
              <a:srgbClr val="297D6B"/>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06" name="圓角矩形 47">
            <a:extLst>
              <a:ext uri="{FF2B5EF4-FFF2-40B4-BE49-F238E27FC236}">
                <a16:creationId xmlns:a16="http://schemas.microsoft.com/office/drawing/2014/main" id="{00000000-0008-0000-0500-00006A000000}"/>
              </a:ext>
            </a:extLst>
          </xdr:cNvPr>
          <xdr:cNvSpPr/>
        </xdr:nvSpPr>
        <xdr:spPr>
          <a:xfrm>
            <a:off x="242455" y="34948092"/>
            <a:ext cx="2952001" cy="586506"/>
          </a:xfrm>
          <a:prstGeom prst="roundRect">
            <a:avLst/>
          </a:prstGeom>
          <a:solidFill>
            <a:srgbClr val="297D6B"/>
          </a:solid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latin typeface="+mj-ea"/>
                <a:ea typeface="+mj-ea"/>
              </a:rPr>
              <a:t>轉</a:t>
            </a:r>
            <a:r>
              <a:rPr lang="zh-TW" altLang="en-US" sz="2000" b="1" baseline="0">
                <a:latin typeface="+mj-ea"/>
                <a:ea typeface="+mj-ea"/>
              </a:rPr>
              <a:t> 換 債 券 清 單 選 項</a:t>
            </a:r>
            <a:endParaRPr lang="zh-TW" altLang="en-US" sz="2000" b="1">
              <a:latin typeface="+mj-ea"/>
              <a:ea typeface="+mj-ea"/>
            </a:endParaRPr>
          </a:p>
        </xdr:txBody>
      </xdr:sp>
    </xdr:grpSp>
    <xdr:clientData/>
  </xdr:twoCellAnchor>
  <xdr:twoCellAnchor>
    <xdr:from>
      <xdr:col>4</xdr:col>
      <xdr:colOff>159328</xdr:colOff>
      <xdr:row>95</xdr:row>
      <xdr:rowOff>121232</xdr:rowOff>
    </xdr:from>
    <xdr:to>
      <xdr:col>6</xdr:col>
      <xdr:colOff>130954</xdr:colOff>
      <xdr:row>95</xdr:row>
      <xdr:rowOff>501097</xdr:rowOff>
    </xdr:to>
    <xdr:sp macro="" textlink="">
      <xdr:nvSpPr>
        <xdr:cNvPr id="109" name="圓角矩形 47">
          <a:extLst>
            <a:ext uri="{FF2B5EF4-FFF2-40B4-BE49-F238E27FC236}">
              <a16:creationId xmlns:a16="http://schemas.microsoft.com/office/drawing/2014/main" id="{00000000-0008-0000-0500-00006D000000}"/>
            </a:ext>
          </a:extLst>
        </xdr:cNvPr>
        <xdr:cNvSpPr/>
      </xdr:nvSpPr>
      <xdr:spPr>
        <a:xfrm>
          <a:off x="332510" y="31068823"/>
          <a:ext cx="1893944" cy="379865"/>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TW" altLang="en-US" sz="2000" b="1">
              <a:solidFill>
                <a:srgbClr val="297D6B"/>
              </a:solidFill>
              <a:latin typeface="+mj-ea"/>
              <a:ea typeface="+mj-ea"/>
            </a:rPr>
            <a:t>客 戶 資 格</a:t>
          </a:r>
        </a:p>
      </xdr:txBody>
    </xdr:sp>
    <xdr:clientData/>
  </xdr:twoCellAnchor>
  <xdr:twoCellAnchor>
    <xdr:from>
      <xdr:col>5</xdr:col>
      <xdr:colOff>0</xdr:colOff>
      <xdr:row>97</xdr:row>
      <xdr:rowOff>277089</xdr:rowOff>
    </xdr:from>
    <xdr:to>
      <xdr:col>6</xdr:col>
      <xdr:colOff>144808</xdr:colOff>
      <xdr:row>98</xdr:row>
      <xdr:rowOff>103908</xdr:rowOff>
    </xdr:to>
    <xdr:sp macro="" textlink="">
      <xdr:nvSpPr>
        <xdr:cNvPr id="111" name="圓角矩形 47">
          <a:extLst>
            <a:ext uri="{FF2B5EF4-FFF2-40B4-BE49-F238E27FC236}">
              <a16:creationId xmlns:a16="http://schemas.microsoft.com/office/drawing/2014/main" id="{00000000-0008-0000-0500-00006F000000}"/>
            </a:ext>
          </a:extLst>
        </xdr:cNvPr>
        <xdr:cNvSpPr/>
      </xdr:nvSpPr>
      <xdr:spPr>
        <a:xfrm>
          <a:off x="346364" y="32298407"/>
          <a:ext cx="1893944" cy="363683"/>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TW" altLang="en-US" sz="2000" b="1">
              <a:solidFill>
                <a:srgbClr val="297D6B"/>
              </a:solidFill>
              <a:latin typeface="+mj-ea"/>
              <a:ea typeface="+mj-ea"/>
            </a:rPr>
            <a:t>轉</a:t>
          </a:r>
          <a:r>
            <a:rPr lang="zh-TW" altLang="en-US" sz="2000" b="1" baseline="0">
              <a:solidFill>
                <a:srgbClr val="297D6B"/>
              </a:solidFill>
              <a:latin typeface="+mj-ea"/>
              <a:ea typeface="+mj-ea"/>
            </a:rPr>
            <a:t> 換 策 略</a:t>
          </a:r>
          <a:endParaRPr lang="zh-TW" altLang="en-US" sz="2000" b="1">
            <a:solidFill>
              <a:srgbClr val="297D6B"/>
            </a:solidFill>
            <a:latin typeface="+mj-ea"/>
            <a:ea typeface="+mj-ea"/>
          </a:endParaRPr>
        </a:p>
      </xdr:txBody>
    </xdr:sp>
    <xdr:clientData/>
  </xdr:twoCellAnchor>
  <xdr:twoCellAnchor>
    <xdr:from>
      <xdr:col>5</xdr:col>
      <xdr:colOff>6526</xdr:colOff>
      <xdr:row>97</xdr:row>
      <xdr:rowOff>189743</xdr:rowOff>
    </xdr:from>
    <xdr:to>
      <xdr:col>8</xdr:col>
      <xdr:colOff>17002</xdr:colOff>
      <xdr:row>97</xdr:row>
      <xdr:rowOff>189743</xdr:rowOff>
    </xdr:to>
    <xdr:cxnSp macro="">
      <xdr:nvCxnSpPr>
        <xdr:cNvPr id="108" name="直線接點 107">
          <a:extLst>
            <a:ext uri="{FF2B5EF4-FFF2-40B4-BE49-F238E27FC236}">
              <a16:creationId xmlns:a16="http://schemas.microsoft.com/office/drawing/2014/main" id="{00000000-0008-0000-0500-00006C000000}"/>
            </a:ext>
          </a:extLst>
        </xdr:cNvPr>
        <xdr:cNvCxnSpPr/>
      </xdr:nvCxnSpPr>
      <xdr:spPr>
        <a:xfrm>
          <a:off x="352890" y="32211061"/>
          <a:ext cx="4963476" cy="0"/>
        </a:xfrm>
        <a:prstGeom prst="line">
          <a:avLst/>
        </a:prstGeom>
        <a:ln w="19050">
          <a:solidFill>
            <a:srgbClr val="297D6B"/>
          </a:solidFill>
          <a:prstDash val="sysDash"/>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55014</xdr:colOff>
      <xdr:row>45</xdr:row>
      <xdr:rowOff>47734</xdr:rowOff>
    </xdr:from>
    <xdr:to>
      <xdr:col>7</xdr:col>
      <xdr:colOff>1212273</xdr:colOff>
      <xdr:row>45</xdr:row>
      <xdr:rowOff>51955</xdr:rowOff>
    </xdr:to>
    <xdr:cxnSp macro="">
      <xdr:nvCxnSpPr>
        <xdr:cNvPr id="112" name="直線接點 111">
          <a:extLst>
            <a:ext uri="{FF2B5EF4-FFF2-40B4-BE49-F238E27FC236}">
              <a16:creationId xmlns:a16="http://schemas.microsoft.com/office/drawing/2014/main" id="{00000000-0008-0000-0500-000070000000}"/>
            </a:ext>
          </a:extLst>
        </xdr:cNvPr>
        <xdr:cNvCxnSpPr/>
      </xdr:nvCxnSpPr>
      <xdr:spPr>
        <a:xfrm>
          <a:off x="401378" y="17556416"/>
          <a:ext cx="4655531" cy="4221"/>
        </a:xfrm>
        <a:prstGeom prst="line">
          <a:avLst/>
        </a:prstGeom>
        <a:ln w="19050">
          <a:solidFill>
            <a:srgbClr val="297D6B"/>
          </a:solidFill>
          <a:prstDash val="sysDash"/>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136071</xdr:colOff>
      <xdr:row>26</xdr:row>
      <xdr:rowOff>360218</xdr:rowOff>
    </xdr:from>
    <xdr:to>
      <xdr:col>6</xdr:col>
      <xdr:colOff>40822</xdr:colOff>
      <xdr:row>29</xdr:row>
      <xdr:rowOff>398318</xdr:rowOff>
    </xdr:to>
    <xdr:sp macro="" textlink="">
      <xdr:nvSpPr>
        <xdr:cNvPr id="117" name="矩形 116">
          <a:extLst>
            <a:ext uri="{FF2B5EF4-FFF2-40B4-BE49-F238E27FC236}">
              <a16:creationId xmlns:a16="http://schemas.microsoft.com/office/drawing/2014/main" id="{00000000-0008-0000-0500-000075000000}"/>
            </a:ext>
          </a:extLst>
        </xdr:cNvPr>
        <xdr:cNvSpPr/>
      </xdr:nvSpPr>
      <xdr:spPr>
        <a:xfrm>
          <a:off x="312964" y="9395361"/>
          <a:ext cx="1823358" cy="1752600"/>
        </a:xfrm>
        <a:prstGeom prst="rect">
          <a:avLst/>
        </a:prstGeom>
        <a:noFill/>
        <a:ln w="19050">
          <a:solidFill>
            <a:srgbClr val="297D6B"/>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47</xdr:col>
      <xdr:colOff>17318</xdr:colOff>
      <xdr:row>1</xdr:row>
      <xdr:rowOff>34636</xdr:rowOff>
    </xdr:from>
    <xdr:to>
      <xdr:col>48</xdr:col>
      <xdr:colOff>103908</xdr:colOff>
      <xdr:row>3</xdr:row>
      <xdr:rowOff>1</xdr:rowOff>
    </xdr:to>
    <xdr:sp macro="" textlink="'商品代碼-中繼頁'!A16">
      <xdr:nvSpPr>
        <xdr:cNvPr id="7175" name="文字方塊 7174">
          <a:extLst>
            <a:ext uri="{FF2B5EF4-FFF2-40B4-BE49-F238E27FC236}">
              <a16:creationId xmlns:a16="http://schemas.microsoft.com/office/drawing/2014/main" id="{00000000-0008-0000-0500-0000071C0000}"/>
            </a:ext>
          </a:extLst>
        </xdr:cNvPr>
        <xdr:cNvSpPr txBox="1"/>
      </xdr:nvSpPr>
      <xdr:spPr>
        <a:xfrm>
          <a:off x="26375591" y="1160318"/>
          <a:ext cx="484908" cy="588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8FCBDF4-7565-477A-8504-FF661E1EC461}" type="TxLink">
            <a:rPr lang="en-US" altLang="en-US" sz="2800" b="0" i="0" u="none" strike="noStrike">
              <a:solidFill>
                <a:srgbClr val="297D6B"/>
              </a:solidFill>
              <a:latin typeface="Arial Black" panose="020B0A04020102020204" pitchFamily="34" charset="0"/>
              <a:ea typeface="微軟正黑體"/>
            </a:rPr>
            <a:pPr/>
            <a:t>1</a:t>
          </a:fld>
          <a:endParaRPr lang="zh-TW" altLang="en-US" sz="2800">
            <a:solidFill>
              <a:srgbClr val="297D6B"/>
            </a:solidFill>
            <a:latin typeface="Arial Black" panose="020B0A04020102020204" pitchFamily="34" charset="0"/>
          </a:endParaRPr>
        </a:p>
      </xdr:txBody>
    </xdr:sp>
    <xdr:clientData/>
  </xdr:twoCellAnchor>
  <xdr:twoCellAnchor>
    <xdr:from>
      <xdr:col>48</xdr:col>
      <xdr:colOff>138546</xdr:colOff>
      <xdr:row>1</xdr:row>
      <xdr:rowOff>162792</xdr:rowOff>
    </xdr:from>
    <xdr:to>
      <xdr:col>49</xdr:col>
      <xdr:colOff>204354</xdr:colOff>
      <xdr:row>3</xdr:row>
      <xdr:rowOff>1</xdr:rowOff>
    </xdr:to>
    <xdr:sp macro="" textlink="'商品代碼-中繼頁'!B16">
      <xdr:nvSpPr>
        <xdr:cNvPr id="129" name="文字方塊 128">
          <a:extLst>
            <a:ext uri="{FF2B5EF4-FFF2-40B4-BE49-F238E27FC236}">
              <a16:creationId xmlns:a16="http://schemas.microsoft.com/office/drawing/2014/main" id="{00000000-0008-0000-0500-000081000000}"/>
            </a:ext>
          </a:extLst>
        </xdr:cNvPr>
        <xdr:cNvSpPr txBox="1"/>
      </xdr:nvSpPr>
      <xdr:spPr>
        <a:xfrm>
          <a:off x="26895137" y="1288474"/>
          <a:ext cx="464126" cy="460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98D057-8F70-4FD6-9D65-EFC4066C089E}" type="TxLink">
            <a:rPr lang="en-US" altLang="en-US" sz="2000" b="0" i="0" u="none" strike="noStrike">
              <a:solidFill>
                <a:srgbClr val="297D6B"/>
              </a:solidFill>
              <a:latin typeface="Arial" panose="020B0604020202020204" pitchFamily="34" charset="0"/>
              <a:ea typeface="微軟正黑體"/>
              <a:cs typeface="Arial" panose="020B0604020202020204" pitchFamily="34" charset="0"/>
            </a:rPr>
            <a:pPr marL="0" indent="0"/>
            <a:t>1</a:t>
          </a:fld>
          <a:endParaRPr lang="zh-TW" altLang="en-US" sz="2000" b="0" i="0" u="none" strike="noStrike">
            <a:solidFill>
              <a:srgbClr val="297D6B"/>
            </a:solidFill>
            <a:latin typeface="Arial" panose="020B0604020202020204" pitchFamily="34" charset="0"/>
            <a:ea typeface="微軟正黑體"/>
            <a:cs typeface="Arial" panose="020B0604020202020204" pitchFamily="34" charset="0"/>
          </a:endParaRPr>
        </a:p>
      </xdr:txBody>
    </xdr:sp>
    <xdr:clientData/>
  </xdr:twoCellAnchor>
  <xdr:twoCellAnchor>
    <xdr:from>
      <xdr:col>47</xdr:col>
      <xdr:colOff>346366</xdr:colOff>
      <xdr:row>1</xdr:row>
      <xdr:rowOff>17320</xdr:rowOff>
    </xdr:from>
    <xdr:to>
      <xdr:col>48</xdr:col>
      <xdr:colOff>225137</xdr:colOff>
      <xdr:row>1</xdr:row>
      <xdr:rowOff>484910</xdr:rowOff>
    </xdr:to>
    <xdr:sp macro="" textlink="">
      <xdr:nvSpPr>
        <xdr:cNvPr id="7176" name="文字方塊 7175">
          <a:extLst>
            <a:ext uri="{FF2B5EF4-FFF2-40B4-BE49-F238E27FC236}">
              <a16:creationId xmlns:a16="http://schemas.microsoft.com/office/drawing/2014/main" id="{00000000-0008-0000-0500-0000081C0000}"/>
            </a:ext>
          </a:extLst>
        </xdr:cNvPr>
        <xdr:cNvSpPr txBox="1"/>
      </xdr:nvSpPr>
      <xdr:spPr>
        <a:xfrm>
          <a:off x="26704639" y="1143002"/>
          <a:ext cx="277089" cy="467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2200" b="1">
              <a:solidFill>
                <a:srgbClr val="297D6B"/>
              </a:solidFill>
              <a:latin typeface="+mn-ea"/>
              <a:ea typeface="+mn-ea"/>
            </a:rPr>
            <a:t>/</a:t>
          </a:r>
          <a:endParaRPr lang="zh-TW" altLang="en-US" sz="2200" b="1">
            <a:solidFill>
              <a:srgbClr val="297D6B"/>
            </a:solidFill>
            <a:latin typeface="+mn-ea"/>
            <a:ea typeface="+mn-ea"/>
          </a:endParaRPr>
        </a:p>
      </xdr:txBody>
    </xdr:sp>
    <xdr:clientData/>
  </xdr:twoCellAnchor>
  <xdr:twoCellAnchor editAs="oneCell">
    <xdr:from>
      <xdr:col>15</xdr:col>
      <xdr:colOff>1084857</xdr:colOff>
      <xdr:row>1</xdr:row>
      <xdr:rowOff>157102</xdr:rowOff>
    </xdr:from>
    <xdr:to>
      <xdr:col>16</xdr:col>
      <xdr:colOff>515832</xdr:colOff>
      <xdr:row>2</xdr:row>
      <xdr:rowOff>10986</xdr:rowOff>
    </xdr:to>
    <xdr:pic macro="[0]!刪除所有空格">
      <xdr:nvPicPr>
        <xdr:cNvPr id="7174" name="DataReset">
          <a:extLst>
            <a:ext uri="{FF2B5EF4-FFF2-40B4-BE49-F238E27FC236}">
              <a16:creationId xmlns:a16="http://schemas.microsoft.com/office/drawing/2014/main" id="{00000000-0008-0000-0500-0000061C0000}"/>
            </a:ext>
          </a:extLst>
        </xdr:cNvPr>
        <xdr:cNvPicPr>
          <a:picLocks noChangeAspect="1"/>
        </xdr:cNvPicPr>
      </xdr:nvPicPr>
      <xdr:blipFill rotWithShape="1">
        <a:blip xmlns:r="http://schemas.openxmlformats.org/officeDocument/2006/relationships" r:embed="rId20"/>
        <a:srcRect b="13084"/>
        <a:stretch/>
      </xdr:blipFill>
      <xdr:spPr>
        <a:xfrm>
          <a:off x="7302084" y="1282784"/>
          <a:ext cx="937657" cy="353514"/>
        </a:xfrm>
        <a:prstGeom prst="rect">
          <a:avLst/>
        </a:prstGeom>
        <a:effectLst>
          <a:outerShdw blurRad="50800" dist="38100" dir="2700000" algn="tl" rotWithShape="0">
            <a:prstClr val="black">
              <a:alpha val="40000"/>
            </a:prstClr>
          </a:outerShdw>
        </a:effectLst>
      </xdr:spPr>
    </xdr:pic>
    <xdr:clientData/>
  </xdr:twoCellAnchor>
  <xdr:twoCellAnchor editAs="oneCell">
    <xdr:from>
      <xdr:col>15</xdr:col>
      <xdr:colOff>28446</xdr:colOff>
      <xdr:row>1</xdr:row>
      <xdr:rowOff>157473</xdr:rowOff>
    </xdr:from>
    <xdr:to>
      <xdr:col>15</xdr:col>
      <xdr:colOff>979712</xdr:colOff>
      <xdr:row>1</xdr:row>
      <xdr:rowOff>503558</xdr:rowOff>
    </xdr:to>
    <xdr:pic macro="[0]!清除所有資料">
      <xdr:nvPicPr>
        <xdr:cNvPr id="122" name="AllClean">
          <a:extLst>
            <a:ext uri="{FF2B5EF4-FFF2-40B4-BE49-F238E27FC236}">
              <a16:creationId xmlns:a16="http://schemas.microsoft.com/office/drawing/2014/main" id="{00000000-0008-0000-0500-00007A000000}"/>
            </a:ext>
          </a:extLst>
        </xdr:cNvPr>
        <xdr:cNvPicPr>
          <a:picLocks noChangeAspect="1"/>
        </xdr:cNvPicPr>
      </xdr:nvPicPr>
      <xdr:blipFill rotWithShape="1">
        <a:blip xmlns:r="http://schemas.openxmlformats.org/officeDocument/2006/relationships" r:embed="rId21"/>
        <a:srcRect b="14476"/>
        <a:stretch/>
      </xdr:blipFill>
      <xdr:spPr>
        <a:xfrm>
          <a:off x="6245673" y="1283155"/>
          <a:ext cx="951266" cy="349260"/>
        </a:xfrm>
        <a:prstGeom prst="rect">
          <a:avLst/>
        </a:prstGeom>
        <a:effectLst>
          <a:outerShdw blurRad="50800" dist="38100" dir="2700000" algn="tl" rotWithShape="0">
            <a:prstClr val="black">
              <a:alpha val="40000"/>
            </a:prstClr>
          </a:outerShdw>
        </a:effectLst>
      </xdr:spPr>
    </xdr:pic>
    <xdr:clientData/>
  </xdr:twoCellAnchor>
  <xdr:twoCellAnchor editAs="oneCell">
    <xdr:from>
      <xdr:col>43</xdr:col>
      <xdr:colOff>381003</xdr:colOff>
      <xdr:row>1</xdr:row>
      <xdr:rowOff>170371</xdr:rowOff>
    </xdr:from>
    <xdr:to>
      <xdr:col>46</xdr:col>
      <xdr:colOff>325386</xdr:colOff>
      <xdr:row>2</xdr:row>
      <xdr:rowOff>67801</xdr:rowOff>
    </xdr:to>
    <xdr:pic macro="[0]!上一頁_Click">
      <xdr:nvPicPr>
        <xdr:cNvPr id="119" name="圖片 118">
          <a:extLst>
            <a:ext uri="{FF2B5EF4-FFF2-40B4-BE49-F238E27FC236}">
              <a16:creationId xmlns:a16="http://schemas.microsoft.com/office/drawing/2014/main" id="{00000000-0008-0000-0500-000077000000}"/>
            </a:ext>
          </a:extLst>
        </xdr:cNvPr>
        <xdr:cNvPicPr>
          <a:picLocks noChangeAspect="1"/>
        </xdr:cNvPicPr>
      </xdr:nvPicPr>
      <xdr:blipFill>
        <a:blip xmlns:r="http://schemas.openxmlformats.org/officeDocument/2006/relationships" r:embed="rId22"/>
        <a:stretch>
          <a:fillRect/>
        </a:stretch>
      </xdr:blipFill>
      <xdr:spPr>
        <a:xfrm>
          <a:off x="25146003" y="1296053"/>
          <a:ext cx="1139338" cy="416975"/>
        </a:xfrm>
        <a:prstGeom prst="rect">
          <a:avLst/>
        </a:prstGeom>
      </xdr:spPr>
    </xdr:pic>
    <xdr:clientData/>
  </xdr:twoCellAnchor>
  <xdr:twoCellAnchor editAs="oneCell">
    <xdr:from>
      <xdr:col>49</xdr:col>
      <xdr:colOff>101701</xdr:colOff>
      <xdr:row>1</xdr:row>
      <xdr:rowOff>170371</xdr:rowOff>
    </xdr:from>
    <xdr:to>
      <xdr:col>52</xdr:col>
      <xdr:colOff>48781</xdr:colOff>
      <xdr:row>2</xdr:row>
      <xdr:rowOff>67800</xdr:rowOff>
    </xdr:to>
    <xdr:pic macro="[0]!下一頁_Click">
      <xdr:nvPicPr>
        <xdr:cNvPr id="120" name="圖片 119">
          <a:extLst>
            <a:ext uri="{FF2B5EF4-FFF2-40B4-BE49-F238E27FC236}">
              <a16:creationId xmlns:a16="http://schemas.microsoft.com/office/drawing/2014/main" id="{00000000-0008-0000-0500-000078000000}"/>
            </a:ext>
          </a:extLst>
        </xdr:cNvPr>
        <xdr:cNvPicPr>
          <a:picLocks noChangeAspect="1"/>
        </xdr:cNvPicPr>
      </xdr:nvPicPr>
      <xdr:blipFill>
        <a:blip xmlns:r="http://schemas.openxmlformats.org/officeDocument/2006/relationships" r:embed="rId23"/>
        <a:stretch>
          <a:fillRect/>
        </a:stretch>
      </xdr:blipFill>
      <xdr:spPr>
        <a:xfrm>
          <a:off x="27256610" y="1296053"/>
          <a:ext cx="1145210" cy="416974"/>
        </a:xfrm>
        <a:prstGeom prst="rect">
          <a:avLst/>
        </a:prstGeom>
      </xdr:spPr>
    </xdr:pic>
    <xdr:clientData/>
  </xdr:twoCellAnchor>
  <xdr:twoCellAnchor editAs="oneCell">
    <xdr:from>
      <xdr:col>18</xdr:col>
      <xdr:colOff>261936</xdr:colOff>
      <xdr:row>0</xdr:row>
      <xdr:rowOff>115497</xdr:rowOff>
    </xdr:from>
    <xdr:to>
      <xdr:col>19</xdr:col>
      <xdr:colOff>295698</xdr:colOff>
      <xdr:row>0</xdr:row>
      <xdr:rowOff>979922</xdr:rowOff>
    </xdr:to>
    <xdr:pic macro="[0]!Detail_Click">
      <xdr:nvPicPr>
        <xdr:cNvPr id="121" name="DataDetail">
          <a:extLst>
            <a:ext uri="{FF2B5EF4-FFF2-40B4-BE49-F238E27FC236}">
              <a16:creationId xmlns:a16="http://schemas.microsoft.com/office/drawing/2014/main" id="{00000000-0008-0000-0500-000079000000}"/>
            </a:ext>
          </a:extLst>
        </xdr:cNvPr>
        <xdr:cNvPicPr>
          <a:picLocks/>
        </xdr:cNvPicPr>
      </xdr:nvPicPr>
      <xdr:blipFill>
        <a:blip xmlns:r="http://schemas.openxmlformats.org/officeDocument/2006/relationships" r:embed="rId24"/>
        <a:stretch>
          <a:fillRect/>
        </a:stretch>
      </xdr:blipFill>
      <xdr:spPr>
        <a:xfrm>
          <a:off x="9548811" y="115497"/>
          <a:ext cx="918000" cy="867600"/>
        </a:xfrm>
        <a:prstGeom prst="rect">
          <a:avLst/>
        </a:prstGeom>
        <a:effectLst>
          <a:outerShdw blurRad="50800" dist="38100" dir="2700000" algn="tl" rotWithShape="0">
            <a:prstClr val="black">
              <a:alpha val="40000"/>
            </a:prstClr>
          </a:outerShdw>
        </a:effectLst>
      </xdr:spPr>
    </xdr:pic>
    <xdr:clientData/>
  </xdr:twoCellAnchor>
  <xdr:twoCellAnchor>
    <xdr:from>
      <xdr:col>5</xdr:col>
      <xdr:colOff>0</xdr:colOff>
      <xdr:row>46</xdr:row>
      <xdr:rowOff>100734</xdr:rowOff>
    </xdr:from>
    <xdr:to>
      <xdr:col>5</xdr:col>
      <xdr:colOff>1694007</xdr:colOff>
      <xdr:row>46</xdr:row>
      <xdr:rowOff>522720</xdr:rowOff>
    </xdr:to>
    <xdr:sp macro="" textlink="">
      <xdr:nvSpPr>
        <xdr:cNvPr id="15" name="矩形 14">
          <a:extLst>
            <a:ext uri="{FF2B5EF4-FFF2-40B4-BE49-F238E27FC236}">
              <a16:creationId xmlns:a16="http://schemas.microsoft.com/office/drawing/2014/main" id="{00000000-0008-0000-0500-00000F000000}"/>
            </a:ext>
          </a:extLst>
        </xdr:cNvPr>
        <xdr:cNvSpPr/>
      </xdr:nvSpPr>
      <xdr:spPr>
        <a:xfrm>
          <a:off x="363682" y="18873643"/>
          <a:ext cx="1694007" cy="42198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51956</xdr:colOff>
      <xdr:row>46</xdr:row>
      <xdr:rowOff>85818</xdr:rowOff>
    </xdr:from>
    <xdr:to>
      <xdr:col>8</xdr:col>
      <xdr:colOff>7420</xdr:colOff>
      <xdr:row>48</xdr:row>
      <xdr:rowOff>415636</xdr:rowOff>
    </xdr:to>
    <xdr:grpSp>
      <xdr:nvGrpSpPr>
        <xdr:cNvPr id="7182" name="群組 7181">
          <a:extLst>
            <a:ext uri="{FF2B5EF4-FFF2-40B4-BE49-F238E27FC236}">
              <a16:creationId xmlns:a16="http://schemas.microsoft.com/office/drawing/2014/main" id="{00000000-0008-0000-0500-00000E1C0000}"/>
            </a:ext>
          </a:extLst>
        </xdr:cNvPr>
        <xdr:cNvGrpSpPr/>
      </xdr:nvGrpSpPr>
      <xdr:grpSpPr>
        <a:xfrm>
          <a:off x="236683" y="18789454"/>
          <a:ext cx="5231737" cy="1438182"/>
          <a:chOff x="225138" y="18876045"/>
          <a:chExt cx="5081646" cy="1438182"/>
        </a:xfrm>
      </xdr:grpSpPr>
      <mc:AlternateContent xmlns:mc="http://schemas.openxmlformats.org/markup-compatibility/2006" xmlns:sle15="http://schemas.microsoft.com/office/drawing/2012/slicer">
        <mc:Choice Requires="sle15">
          <xdr:graphicFrame macro="">
            <xdr:nvGraphicFramePr>
              <xdr:cNvPr id="61" name="名稱">
                <a:extLst>
                  <a:ext uri="{FF2B5EF4-FFF2-40B4-BE49-F238E27FC236}">
                    <a16:creationId xmlns:a16="http://schemas.microsoft.com/office/drawing/2014/main" id="{00000000-0008-0000-0500-00003D000000}"/>
                  </a:ext>
                </a:extLst>
              </xdr:cNvPr>
              <xdr:cNvGraphicFramePr/>
            </xdr:nvGraphicFramePr>
            <xdr:xfrm>
              <a:off x="225138" y="18876045"/>
              <a:ext cx="5081646" cy="1438182"/>
            </xdr:xfrm>
            <a:graphic>
              <a:graphicData uri="http://schemas.microsoft.com/office/drawing/2010/slicer">
                <sle:slicer xmlns:sle="http://schemas.microsoft.com/office/drawing/2010/slicer" name="名稱"/>
              </a:graphicData>
            </a:graphic>
          </xdr:graphicFrame>
        </mc:Choice>
        <mc:Fallback xmlns="">
          <xdr:sp macro="" textlink="">
            <xdr:nvSpPr>
              <xdr:cNvPr id="0" name=""/>
              <xdr:cNvSpPr>
                <a:spLocks noTextEdit="1"/>
              </xdr:cNvSpPr>
            </xdr:nvSpPr>
            <xdr:spPr>
              <a:xfrm>
                <a:off x="225138" y="18876045"/>
                <a:ext cx="5081646" cy="1438182"/>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sp macro="[0]!single_2" textlink="">
        <xdr:nvSpPr>
          <xdr:cNvPr id="49" name="S_2">
            <a:extLst>
              <a:ext uri="{FF2B5EF4-FFF2-40B4-BE49-F238E27FC236}">
                <a16:creationId xmlns:a16="http://schemas.microsoft.com/office/drawing/2014/main" id="{00000000-0008-0000-0500-000031000000}"/>
              </a:ext>
            </a:extLst>
          </xdr:cNvPr>
          <xdr:cNvSpPr/>
        </xdr:nvSpPr>
        <xdr:spPr>
          <a:xfrm>
            <a:off x="2753591" y="18957059"/>
            <a:ext cx="2445038" cy="48808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0]!single_1" textlink="">
        <xdr:nvSpPr>
          <xdr:cNvPr id="59" name="S_1">
            <a:extLst>
              <a:ext uri="{FF2B5EF4-FFF2-40B4-BE49-F238E27FC236}">
                <a16:creationId xmlns:a16="http://schemas.microsoft.com/office/drawing/2014/main" id="{00000000-0008-0000-0500-00003B000000}"/>
              </a:ext>
            </a:extLst>
          </xdr:cNvPr>
          <xdr:cNvSpPr/>
        </xdr:nvSpPr>
        <xdr:spPr>
          <a:xfrm>
            <a:off x="297585" y="18998047"/>
            <a:ext cx="2400875" cy="447097"/>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0]!single_3" textlink="">
        <xdr:nvSpPr>
          <xdr:cNvPr id="63" name="S_3">
            <a:extLst>
              <a:ext uri="{FF2B5EF4-FFF2-40B4-BE49-F238E27FC236}">
                <a16:creationId xmlns:a16="http://schemas.microsoft.com/office/drawing/2014/main" id="{00000000-0008-0000-0500-00003F000000}"/>
              </a:ext>
            </a:extLst>
          </xdr:cNvPr>
          <xdr:cNvSpPr/>
        </xdr:nvSpPr>
        <xdr:spPr>
          <a:xfrm>
            <a:off x="297585" y="19531734"/>
            <a:ext cx="2418196" cy="447098"/>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0]!DiyList_Click" textlink="">
        <xdr:nvSpPr>
          <xdr:cNvPr id="7177" name="DiyList">
            <a:extLst>
              <a:ext uri="{FF2B5EF4-FFF2-40B4-BE49-F238E27FC236}">
                <a16:creationId xmlns:a16="http://schemas.microsoft.com/office/drawing/2014/main" id="{00000000-0008-0000-0500-0000091C0000}"/>
              </a:ext>
            </a:extLst>
          </xdr:cNvPr>
          <xdr:cNvSpPr/>
        </xdr:nvSpPr>
        <xdr:spPr>
          <a:xfrm>
            <a:off x="2759940" y="19479777"/>
            <a:ext cx="2445038" cy="585644"/>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4</xdr:col>
      <xdr:colOff>48779</xdr:colOff>
      <xdr:row>43</xdr:row>
      <xdr:rowOff>20494</xdr:rowOff>
    </xdr:from>
    <xdr:to>
      <xdr:col>7</xdr:col>
      <xdr:colOff>1420091</xdr:colOff>
      <xdr:row>48</xdr:row>
      <xdr:rowOff>170008</xdr:rowOff>
    </xdr:to>
    <xdr:sp macro="" textlink="">
      <xdr:nvSpPr>
        <xdr:cNvPr id="7169" name="矩形 7168">
          <a:extLst>
            <a:ext uri="{FF2B5EF4-FFF2-40B4-BE49-F238E27FC236}">
              <a16:creationId xmlns:a16="http://schemas.microsoft.com/office/drawing/2014/main" id="{00000000-0008-0000-0500-0000011C0000}"/>
            </a:ext>
          </a:extLst>
        </xdr:cNvPr>
        <xdr:cNvSpPr/>
      </xdr:nvSpPr>
      <xdr:spPr>
        <a:xfrm>
          <a:off x="239279" y="17130858"/>
          <a:ext cx="5181312" cy="2920423"/>
        </a:xfrm>
        <a:prstGeom prst="rect">
          <a:avLst/>
        </a:prstGeom>
        <a:noFill/>
        <a:ln w="19050">
          <a:solidFill>
            <a:srgbClr val="297D6B"/>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editAs="oneCell">
    <xdr:from>
      <xdr:col>15</xdr:col>
      <xdr:colOff>432955</xdr:colOff>
      <xdr:row>18</xdr:row>
      <xdr:rowOff>69272</xdr:rowOff>
    </xdr:from>
    <xdr:to>
      <xdr:col>15</xdr:col>
      <xdr:colOff>1056409</xdr:colOff>
      <xdr:row>18</xdr:row>
      <xdr:rowOff>362980</xdr:rowOff>
    </xdr:to>
    <xdr:pic macro="[0]!subcount_Click">
      <xdr:nvPicPr>
        <xdr:cNvPr id="123" name="圖片 122">
          <a:extLst>
            <a:ext uri="{FF2B5EF4-FFF2-40B4-BE49-F238E27FC236}">
              <a16:creationId xmlns:a16="http://schemas.microsoft.com/office/drawing/2014/main" id="{00000000-0008-0000-0500-00007B000000}"/>
            </a:ext>
          </a:extLst>
        </xdr:cNvPr>
        <xdr:cNvPicPr>
          <a:picLocks noChangeAspect="1"/>
        </xdr:cNvPicPr>
      </xdr:nvPicPr>
      <xdr:blipFill rotWithShape="1">
        <a:blip xmlns:r="http://schemas.openxmlformats.org/officeDocument/2006/relationships" r:embed="rId25"/>
        <a:srcRect l="8518" t="22348" r="7350" b="27048"/>
        <a:stretch/>
      </xdr:blipFill>
      <xdr:spPr>
        <a:xfrm>
          <a:off x="6650182" y="7706590"/>
          <a:ext cx="623454" cy="296883"/>
        </a:xfrm>
        <a:prstGeom prst="rect">
          <a:avLst/>
        </a:prstGeom>
      </xdr:spPr>
    </xdr:pic>
    <xdr:clientData/>
  </xdr:twoCellAnchor>
  <xdr:twoCellAnchor>
    <xdr:from>
      <xdr:col>4</xdr:col>
      <xdr:colOff>100735</xdr:colOff>
      <xdr:row>98</xdr:row>
      <xdr:rowOff>207815</xdr:rowOff>
    </xdr:from>
    <xdr:to>
      <xdr:col>8</xdr:col>
      <xdr:colOff>80827</xdr:colOff>
      <xdr:row>100</xdr:row>
      <xdr:rowOff>440745</xdr:rowOff>
    </xdr:to>
    <xdr:grpSp>
      <xdr:nvGrpSpPr>
        <xdr:cNvPr id="7172" name="群組 7171">
          <a:extLst>
            <a:ext uri="{FF2B5EF4-FFF2-40B4-BE49-F238E27FC236}">
              <a16:creationId xmlns:a16="http://schemas.microsoft.com/office/drawing/2014/main" id="{00000000-0008-0000-0500-0000041C0000}"/>
            </a:ext>
          </a:extLst>
        </xdr:cNvPr>
        <xdr:cNvGrpSpPr/>
      </xdr:nvGrpSpPr>
      <xdr:grpSpPr>
        <a:xfrm>
          <a:off x="285462" y="32765997"/>
          <a:ext cx="5256365" cy="1318203"/>
          <a:chOff x="273917" y="32765997"/>
          <a:chExt cx="5106274" cy="1306657"/>
        </a:xfrm>
      </xdr:grpSpPr>
      <mc:AlternateContent xmlns:mc="http://schemas.openxmlformats.org/markup-compatibility/2006" xmlns:sle15="http://schemas.microsoft.com/office/drawing/2012/slicer">
        <mc:Choice Requires="sle15">
          <xdr:graphicFrame macro="">
            <xdr:nvGraphicFramePr>
              <xdr:cNvPr id="62" name="多檔策略">
                <a:extLst>
                  <a:ext uri="{FF2B5EF4-FFF2-40B4-BE49-F238E27FC236}">
                    <a16:creationId xmlns:a16="http://schemas.microsoft.com/office/drawing/2014/main" id="{00000000-0008-0000-0500-00003E000000}"/>
                  </a:ext>
                </a:extLst>
              </xdr:cNvPr>
              <xdr:cNvGraphicFramePr/>
            </xdr:nvGraphicFramePr>
            <xdr:xfrm>
              <a:off x="273917" y="32765997"/>
              <a:ext cx="5106274" cy="1306657"/>
            </xdr:xfrm>
            <a:graphic>
              <a:graphicData uri="http://schemas.microsoft.com/office/drawing/2010/slicer">
                <sle:slicer xmlns:sle="http://schemas.microsoft.com/office/drawing/2010/slicer" name="多檔策略"/>
              </a:graphicData>
            </a:graphic>
          </xdr:graphicFrame>
        </mc:Choice>
        <mc:Fallback xmlns="">
          <xdr:sp macro="" textlink="">
            <xdr:nvSpPr>
              <xdr:cNvPr id="0" name=""/>
              <xdr:cNvSpPr>
                <a:spLocks noTextEdit="1"/>
              </xdr:cNvSpPr>
            </xdr:nvSpPr>
            <xdr:spPr>
              <a:xfrm>
                <a:off x="273917" y="32765997"/>
                <a:ext cx="5106274" cy="1306657"/>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sp macro="[0]!MultiDiyList_Click" textlink="">
        <xdr:nvSpPr>
          <xdr:cNvPr id="7187" name="MultiDiyList">
            <a:extLst>
              <a:ext uri="{FF2B5EF4-FFF2-40B4-BE49-F238E27FC236}">
                <a16:creationId xmlns:a16="http://schemas.microsoft.com/office/drawing/2014/main" id="{00000000-0008-0000-0500-0000131C0000}"/>
              </a:ext>
            </a:extLst>
          </xdr:cNvPr>
          <xdr:cNvSpPr/>
        </xdr:nvSpPr>
        <xdr:spPr>
          <a:xfrm>
            <a:off x="2877993" y="33394848"/>
            <a:ext cx="2397700" cy="50400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0]!Multi_1" textlink="">
        <xdr:nvSpPr>
          <xdr:cNvPr id="7178" name="M_1">
            <a:extLst>
              <a:ext uri="{FF2B5EF4-FFF2-40B4-BE49-F238E27FC236}">
                <a16:creationId xmlns:a16="http://schemas.microsoft.com/office/drawing/2014/main" id="{00000000-0008-0000-0500-00000A1C0000}"/>
              </a:ext>
            </a:extLst>
          </xdr:cNvPr>
          <xdr:cNvSpPr/>
        </xdr:nvSpPr>
        <xdr:spPr>
          <a:xfrm>
            <a:off x="404667" y="32873460"/>
            <a:ext cx="2415021" cy="445499"/>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0]!Multi_3" textlink="">
        <xdr:nvSpPr>
          <xdr:cNvPr id="7183" name="S_1">
            <a:extLst>
              <a:ext uri="{FF2B5EF4-FFF2-40B4-BE49-F238E27FC236}">
                <a16:creationId xmlns:a16="http://schemas.microsoft.com/office/drawing/2014/main" id="{00000000-0008-0000-0500-00000F1C0000}"/>
              </a:ext>
            </a:extLst>
          </xdr:cNvPr>
          <xdr:cNvSpPr/>
        </xdr:nvSpPr>
        <xdr:spPr>
          <a:xfrm>
            <a:off x="381000" y="33412230"/>
            <a:ext cx="2397700" cy="42493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0]!Multi_2" textlink="">
        <xdr:nvSpPr>
          <xdr:cNvPr id="124" name="M_2">
            <a:extLst>
              <a:ext uri="{FF2B5EF4-FFF2-40B4-BE49-F238E27FC236}">
                <a16:creationId xmlns:a16="http://schemas.microsoft.com/office/drawing/2014/main" id="{00000000-0008-0000-0500-00007C000000}"/>
              </a:ext>
            </a:extLst>
          </xdr:cNvPr>
          <xdr:cNvSpPr/>
        </xdr:nvSpPr>
        <xdr:spPr>
          <a:xfrm>
            <a:off x="2854036" y="32852605"/>
            <a:ext cx="2397700" cy="42493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4</xdr:col>
      <xdr:colOff>51954</xdr:colOff>
      <xdr:row>95</xdr:row>
      <xdr:rowOff>86589</xdr:rowOff>
    </xdr:from>
    <xdr:to>
      <xdr:col>8</xdr:col>
      <xdr:colOff>103909</xdr:colOff>
      <xdr:row>100</xdr:row>
      <xdr:rowOff>329045</xdr:rowOff>
    </xdr:to>
    <xdr:sp macro="" textlink="">
      <xdr:nvSpPr>
        <xdr:cNvPr id="107" name="矩形 106">
          <a:extLst>
            <a:ext uri="{FF2B5EF4-FFF2-40B4-BE49-F238E27FC236}">
              <a16:creationId xmlns:a16="http://schemas.microsoft.com/office/drawing/2014/main" id="{00000000-0008-0000-0500-00006B000000}"/>
            </a:ext>
          </a:extLst>
        </xdr:cNvPr>
        <xdr:cNvSpPr/>
      </xdr:nvSpPr>
      <xdr:spPr>
        <a:xfrm>
          <a:off x="225136" y="31034180"/>
          <a:ext cx="5178137" cy="2926774"/>
        </a:xfrm>
        <a:prstGeom prst="rect">
          <a:avLst/>
        </a:prstGeom>
        <a:noFill/>
        <a:ln w="19050">
          <a:solidFill>
            <a:srgbClr val="297D6B"/>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267083</xdr:colOff>
      <xdr:row>39</xdr:row>
      <xdr:rowOff>51954</xdr:rowOff>
    </xdr:from>
    <xdr:to>
      <xdr:col>8</xdr:col>
      <xdr:colOff>216470</xdr:colOff>
      <xdr:row>39</xdr:row>
      <xdr:rowOff>503459</xdr:rowOff>
    </xdr:to>
    <xdr:sp macro="" textlink="">
      <xdr:nvSpPr>
        <xdr:cNvPr id="118" name="文字方塊 117">
          <a:hlinkClick xmlns:r="http://schemas.openxmlformats.org/officeDocument/2006/relationships" r:id="rId26"/>
          <a:extLst>
            <a:ext uri="{FF2B5EF4-FFF2-40B4-BE49-F238E27FC236}">
              <a16:creationId xmlns:a16="http://schemas.microsoft.com/office/drawing/2014/main" id="{00000000-0008-0000-0500-000076000000}"/>
            </a:ext>
          </a:extLst>
        </xdr:cNvPr>
        <xdr:cNvSpPr txBox="1"/>
      </xdr:nvSpPr>
      <xdr:spPr>
        <a:xfrm>
          <a:off x="4111719" y="15672954"/>
          <a:ext cx="1404115" cy="451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r>
            <a:rPr lang="en-US" altLang="zh-TW" sz="1600" b="1" u="sng">
              <a:solidFill>
                <a:srgbClr val="6F3505"/>
              </a:solidFill>
              <a:latin typeface="微軟正黑體" panose="020B0604030504040204" pitchFamily="34" charset="-120"/>
              <a:ea typeface="微軟正黑體" panose="020B0604030504040204" pitchFamily="34" charset="-120"/>
            </a:rPr>
            <a:t>-2</a:t>
          </a:r>
          <a:endParaRPr lang="zh-TW" altLang="en-US" sz="1600" b="1" u="sng">
            <a:solidFill>
              <a:srgbClr val="6F3505"/>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6</xdr:col>
      <xdr:colOff>1739609</xdr:colOff>
      <xdr:row>39</xdr:row>
      <xdr:rowOff>134276</xdr:rowOff>
    </xdr:from>
    <xdr:to>
      <xdr:col>7</xdr:col>
      <xdr:colOff>333950</xdr:colOff>
      <xdr:row>39</xdr:row>
      <xdr:rowOff>465443</xdr:rowOff>
    </xdr:to>
    <xdr:pic>
      <xdr:nvPicPr>
        <xdr:cNvPr id="125" name="圖形 59" descr="開燈 以實心填滿">
          <a:extLst>
            <a:ext uri="{FF2B5EF4-FFF2-40B4-BE49-F238E27FC236}">
              <a16:creationId xmlns:a16="http://schemas.microsoft.com/office/drawing/2014/main" id="{00000000-0008-0000-0500-00007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835109" y="15755276"/>
          <a:ext cx="346652" cy="327992"/>
        </a:xfrm>
        <a:prstGeom prst="rect">
          <a:avLst/>
        </a:prstGeom>
      </xdr:spPr>
    </xdr:pic>
    <xdr:clientData/>
  </xdr:twoCellAnchor>
  <xdr:twoCellAnchor>
    <xdr:from>
      <xdr:col>7</xdr:col>
      <xdr:colOff>293928</xdr:colOff>
      <xdr:row>92</xdr:row>
      <xdr:rowOff>51954</xdr:rowOff>
    </xdr:from>
    <xdr:to>
      <xdr:col>9</xdr:col>
      <xdr:colOff>0</xdr:colOff>
      <xdr:row>92</xdr:row>
      <xdr:rowOff>503459</xdr:rowOff>
    </xdr:to>
    <xdr:sp macro="" textlink="">
      <xdr:nvSpPr>
        <xdr:cNvPr id="126" name="文字方塊 125">
          <a:hlinkClick xmlns:r="http://schemas.openxmlformats.org/officeDocument/2006/relationships" r:id="rId27"/>
          <a:extLst>
            <a:ext uri="{FF2B5EF4-FFF2-40B4-BE49-F238E27FC236}">
              <a16:creationId xmlns:a16="http://schemas.microsoft.com/office/drawing/2014/main" id="{00000000-0008-0000-0500-00007E000000}"/>
            </a:ext>
          </a:extLst>
        </xdr:cNvPr>
        <xdr:cNvSpPr txBox="1"/>
      </xdr:nvSpPr>
      <xdr:spPr>
        <a:xfrm>
          <a:off x="4138564" y="29839227"/>
          <a:ext cx="1403254" cy="451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r>
            <a:rPr lang="en-US" altLang="zh-TW" sz="1600" b="1" u="sng">
              <a:solidFill>
                <a:srgbClr val="6F3505"/>
              </a:solidFill>
              <a:latin typeface="微軟正黑體" panose="020B0604030504040204" pitchFamily="34" charset="-120"/>
              <a:ea typeface="微軟正黑體" panose="020B0604030504040204" pitchFamily="34" charset="-120"/>
            </a:rPr>
            <a:t>-3</a:t>
          </a:r>
          <a:endParaRPr lang="zh-TW" altLang="en-US" sz="1600" b="1" u="sng">
            <a:solidFill>
              <a:srgbClr val="6F3505"/>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7</xdr:col>
      <xdr:colOff>17318</xdr:colOff>
      <xdr:row>92</xdr:row>
      <xdr:rowOff>134276</xdr:rowOff>
    </xdr:from>
    <xdr:to>
      <xdr:col>7</xdr:col>
      <xdr:colOff>360795</xdr:colOff>
      <xdr:row>92</xdr:row>
      <xdr:rowOff>465443</xdr:rowOff>
    </xdr:to>
    <xdr:pic>
      <xdr:nvPicPr>
        <xdr:cNvPr id="127" name="圖形 59" descr="開燈 以實心填滿">
          <a:extLst>
            <a:ext uri="{FF2B5EF4-FFF2-40B4-BE49-F238E27FC236}">
              <a16:creationId xmlns:a16="http://schemas.microsoft.com/office/drawing/2014/main" id="{00000000-0008-0000-0500-00007F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861954" y="29921549"/>
          <a:ext cx="346652" cy="327992"/>
        </a:xfrm>
        <a:prstGeom prst="rect">
          <a:avLst/>
        </a:prstGeom>
      </xdr:spPr>
    </xdr:pic>
    <xdr:clientData/>
  </xdr:twoCellAnchor>
  <xdr:twoCellAnchor editAs="oneCell">
    <xdr:from>
      <xdr:col>7</xdr:col>
      <xdr:colOff>0</xdr:colOff>
      <xdr:row>1</xdr:row>
      <xdr:rowOff>304526</xdr:rowOff>
    </xdr:from>
    <xdr:to>
      <xdr:col>7</xdr:col>
      <xdr:colOff>265230</xdr:colOff>
      <xdr:row>2</xdr:row>
      <xdr:rowOff>56693</xdr:rowOff>
    </xdr:to>
    <xdr:pic>
      <xdr:nvPicPr>
        <xdr:cNvPr id="128" name="圖片 127">
          <a:extLst>
            <a:ext uri="{FF2B5EF4-FFF2-40B4-BE49-F238E27FC236}">
              <a16:creationId xmlns:a16="http://schemas.microsoft.com/office/drawing/2014/main" id="{00000000-0008-0000-0500-000080000000}"/>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val="0"/>
            </a:ext>
          </a:extLst>
        </a:blip>
        <a:stretch>
          <a:fillRect/>
        </a:stretch>
      </xdr:blipFill>
      <xdr:spPr>
        <a:xfrm>
          <a:off x="3844636" y="1430208"/>
          <a:ext cx="265230" cy="268537"/>
        </a:xfrm>
        <a:prstGeom prst="rect">
          <a:avLst/>
        </a:prstGeom>
      </xdr:spPr>
    </xdr:pic>
    <xdr:clientData/>
  </xdr:twoCellAnchor>
  <xdr:twoCellAnchor>
    <xdr:from>
      <xdr:col>7</xdr:col>
      <xdr:colOff>228557</xdr:colOff>
      <xdr:row>1</xdr:row>
      <xdr:rowOff>207819</xdr:rowOff>
    </xdr:from>
    <xdr:to>
      <xdr:col>8</xdr:col>
      <xdr:colOff>165573</xdr:colOff>
      <xdr:row>3</xdr:row>
      <xdr:rowOff>38344</xdr:rowOff>
    </xdr:to>
    <xdr:sp macro="" textlink="">
      <xdr:nvSpPr>
        <xdr:cNvPr id="130" name="文字方塊 129">
          <a:hlinkClick xmlns:r="http://schemas.openxmlformats.org/officeDocument/2006/relationships" r:id="rId29"/>
          <a:extLst>
            <a:ext uri="{FF2B5EF4-FFF2-40B4-BE49-F238E27FC236}">
              <a16:creationId xmlns:a16="http://schemas.microsoft.com/office/drawing/2014/main" id="{00000000-0008-0000-0500-000082000000}"/>
            </a:ext>
          </a:extLst>
        </xdr:cNvPr>
        <xdr:cNvSpPr txBox="1"/>
      </xdr:nvSpPr>
      <xdr:spPr>
        <a:xfrm>
          <a:off x="4073193" y="1333501"/>
          <a:ext cx="1391744" cy="453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功能說明</a:t>
          </a:r>
        </a:p>
      </xdr:txBody>
    </xdr:sp>
    <xdr:clientData/>
  </xdr:twoCellAnchor>
  <xdr:twoCellAnchor>
    <xdr:from>
      <xdr:col>4</xdr:col>
      <xdr:colOff>58134</xdr:colOff>
      <xdr:row>6</xdr:row>
      <xdr:rowOff>93316</xdr:rowOff>
    </xdr:from>
    <xdr:to>
      <xdr:col>6</xdr:col>
      <xdr:colOff>1580894</xdr:colOff>
      <xdr:row>7</xdr:row>
      <xdr:rowOff>388649</xdr:rowOff>
    </xdr:to>
    <xdr:grpSp>
      <xdr:nvGrpSpPr>
        <xdr:cNvPr id="7181" name="群組 7180">
          <a:extLst>
            <a:ext uri="{FF2B5EF4-FFF2-40B4-BE49-F238E27FC236}">
              <a16:creationId xmlns:a16="http://schemas.microsoft.com/office/drawing/2014/main" id="{00000000-0008-0000-0500-00000D1C0000}"/>
            </a:ext>
          </a:extLst>
        </xdr:cNvPr>
        <xdr:cNvGrpSpPr/>
      </xdr:nvGrpSpPr>
      <xdr:grpSpPr>
        <a:xfrm>
          <a:off x="242861" y="2921952"/>
          <a:ext cx="3497033" cy="687879"/>
          <a:chOff x="231316" y="2950816"/>
          <a:chExt cx="3445078" cy="693651"/>
        </a:xfrm>
      </xdr:grpSpPr>
      <mc:AlternateContent xmlns:mc="http://schemas.openxmlformats.org/markup-compatibility/2006" xmlns:sle15="http://schemas.microsoft.com/office/drawing/2012/slicer">
        <mc:Choice Requires="sle15">
          <xdr:graphicFrame macro="">
            <xdr:nvGraphicFramePr>
              <xdr:cNvPr id="41" name="匯率索引 1">
                <a:extLst>
                  <a:ext uri="{FF2B5EF4-FFF2-40B4-BE49-F238E27FC236}">
                    <a16:creationId xmlns:a16="http://schemas.microsoft.com/office/drawing/2014/main" id="{00000000-0008-0000-0500-000029000000}"/>
                  </a:ext>
                </a:extLst>
              </xdr:cNvPr>
              <xdr:cNvGraphicFramePr/>
            </xdr:nvGraphicFramePr>
            <xdr:xfrm>
              <a:off x="231316" y="2950816"/>
              <a:ext cx="3445078" cy="693651"/>
            </xdr:xfrm>
            <a:graphic>
              <a:graphicData uri="http://schemas.microsoft.com/office/drawing/2010/slicer">
                <sle:slicer xmlns:sle="http://schemas.microsoft.com/office/drawing/2010/slicer" name="匯率索引 1"/>
              </a:graphicData>
            </a:graphic>
          </xdr:graphicFrame>
        </mc:Choice>
        <mc:Fallback xmlns="">
          <xdr:sp macro="" textlink="">
            <xdr:nvSpPr>
              <xdr:cNvPr id="0" name=""/>
              <xdr:cNvSpPr>
                <a:spLocks noTextEdit="1"/>
              </xdr:cNvSpPr>
            </xdr:nvSpPr>
            <xdr:spPr>
              <a:xfrm>
                <a:off x="231316" y="2950816"/>
                <a:ext cx="3445078" cy="693651"/>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sp macro="[0]!foreign_currency" textlink="">
        <xdr:nvSpPr>
          <xdr:cNvPr id="7179" name="currency_1">
            <a:extLst>
              <a:ext uri="{FF2B5EF4-FFF2-40B4-BE49-F238E27FC236}">
                <a16:creationId xmlns:a16="http://schemas.microsoft.com/office/drawing/2014/main" id="{00000000-0008-0000-0500-00000B1C0000}"/>
              </a:ext>
            </a:extLst>
          </xdr:cNvPr>
          <xdr:cNvSpPr/>
        </xdr:nvSpPr>
        <xdr:spPr>
          <a:xfrm>
            <a:off x="311729" y="3048000"/>
            <a:ext cx="1627907" cy="48491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sp macro="[0]!TWD_currency" textlink="">
        <xdr:nvSpPr>
          <xdr:cNvPr id="131" name="currency_2">
            <a:extLst>
              <a:ext uri="{FF2B5EF4-FFF2-40B4-BE49-F238E27FC236}">
                <a16:creationId xmlns:a16="http://schemas.microsoft.com/office/drawing/2014/main" id="{00000000-0008-0000-0500-000083000000}"/>
              </a:ext>
            </a:extLst>
          </xdr:cNvPr>
          <xdr:cNvSpPr/>
        </xdr:nvSpPr>
        <xdr:spPr>
          <a:xfrm>
            <a:off x="1970812" y="3027217"/>
            <a:ext cx="1627907" cy="505692"/>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16</xdr:row>
      <xdr:rowOff>161925</xdr:rowOff>
    </xdr:from>
    <xdr:to>
      <xdr:col>16</xdr:col>
      <xdr:colOff>591673</xdr:colOff>
      <xdr:row>27</xdr:row>
      <xdr:rowOff>76495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201150" y="3524250"/>
          <a:ext cx="8049748" cy="2114845"/>
        </a:xfrm>
        <a:prstGeom prst="rect">
          <a:avLst/>
        </a:prstGeom>
      </xdr:spPr>
    </xdr:pic>
    <xdr:clientData/>
  </xdr:twoCellAnchor>
  <xdr:twoCellAnchor>
    <xdr:from>
      <xdr:col>12</xdr:col>
      <xdr:colOff>238125</xdr:colOff>
      <xdr:row>21</xdr:row>
      <xdr:rowOff>171450</xdr:rowOff>
    </xdr:from>
    <xdr:to>
      <xdr:col>15</xdr:col>
      <xdr:colOff>495300</xdr:colOff>
      <xdr:row>23</xdr:row>
      <xdr:rowOff>9525</xdr:rowOff>
    </xdr:to>
    <xdr:sp macro="" textlink="">
      <xdr:nvSpPr>
        <xdr:cNvPr id="3" name="圓角矩形 2">
          <a:extLst>
            <a:ext uri="{FF2B5EF4-FFF2-40B4-BE49-F238E27FC236}">
              <a16:creationId xmlns:a16="http://schemas.microsoft.com/office/drawing/2014/main" id="{00000000-0008-0000-0600-000003000000}"/>
            </a:ext>
          </a:extLst>
        </xdr:cNvPr>
        <xdr:cNvSpPr/>
      </xdr:nvSpPr>
      <xdr:spPr>
        <a:xfrm>
          <a:off x="13773150" y="4533900"/>
          <a:ext cx="2600325" cy="238125"/>
        </a:xfrm>
        <a:prstGeom prst="roundRect">
          <a:avLst/>
        </a:prstGeom>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zh-TW" altLang="en-US" sz="1100"/>
        </a:p>
      </xdr:txBody>
    </xdr:sp>
    <xdr:clientData/>
  </xdr:twoCellAnchor>
  <xdr:twoCellAnchor>
    <xdr:from>
      <xdr:col>14</xdr:col>
      <xdr:colOff>581025</xdr:colOff>
      <xdr:row>18</xdr:row>
      <xdr:rowOff>180975</xdr:rowOff>
    </xdr:from>
    <xdr:to>
      <xdr:col>15</xdr:col>
      <xdr:colOff>447675</xdr:colOff>
      <xdr:row>20</xdr:row>
      <xdr:rowOff>114300</xdr:rowOff>
    </xdr:to>
    <xdr:sp macro="" textlink="">
      <xdr:nvSpPr>
        <xdr:cNvPr id="4" name="圓角矩形 3">
          <a:extLst>
            <a:ext uri="{FF2B5EF4-FFF2-40B4-BE49-F238E27FC236}">
              <a16:creationId xmlns:a16="http://schemas.microsoft.com/office/drawing/2014/main" id="{00000000-0008-0000-0600-000004000000}"/>
            </a:ext>
          </a:extLst>
        </xdr:cNvPr>
        <xdr:cNvSpPr/>
      </xdr:nvSpPr>
      <xdr:spPr>
        <a:xfrm>
          <a:off x="15678150" y="3943350"/>
          <a:ext cx="647700" cy="333375"/>
        </a:xfrm>
        <a:prstGeom prst="roundRect">
          <a:avLst/>
        </a:prstGeom>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zh-TW" altLang="en-US" sz="1100"/>
        </a:p>
      </xdr:txBody>
    </xdr:sp>
    <xdr:clientData/>
  </xdr:twoCellAnchor>
  <xdr:twoCellAnchor editAs="oneCell">
    <xdr:from>
      <xdr:col>13</xdr:col>
      <xdr:colOff>409575</xdr:colOff>
      <xdr:row>32</xdr:row>
      <xdr:rowOff>28575</xdr:rowOff>
    </xdr:from>
    <xdr:to>
      <xdr:col>17</xdr:col>
      <xdr:colOff>94899</xdr:colOff>
      <xdr:row>43</xdr:row>
      <xdr:rowOff>75919</xdr:rowOff>
    </xdr:to>
    <xdr:pic>
      <xdr:nvPicPr>
        <xdr:cNvPr id="5" name="圖片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14306550" y="6610350"/>
          <a:ext cx="2809524" cy="2247619"/>
        </a:xfrm>
        <a:prstGeom prst="rect">
          <a:avLst/>
        </a:prstGeom>
      </xdr:spPr>
    </xdr:pic>
    <xdr:clientData/>
  </xdr:twoCellAnchor>
  <xdr:twoCellAnchor>
    <xdr:from>
      <xdr:col>14</xdr:col>
      <xdr:colOff>247651</xdr:colOff>
      <xdr:row>5</xdr:row>
      <xdr:rowOff>95251</xdr:rowOff>
    </xdr:from>
    <xdr:to>
      <xdr:col>15</xdr:col>
      <xdr:colOff>609601</xdr:colOff>
      <xdr:row>9</xdr:row>
      <xdr:rowOff>28576</xdr:rowOff>
    </xdr:to>
    <xdr:sp macro="[0]!ProtectData" textlink="">
      <xdr:nvSpPr>
        <xdr:cNvPr id="7" name="心形 6">
          <a:extLst>
            <a:ext uri="{FF2B5EF4-FFF2-40B4-BE49-F238E27FC236}">
              <a16:creationId xmlns:a16="http://schemas.microsoft.com/office/drawing/2014/main" id="{00000000-0008-0000-0600-000007000000}"/>
            </a:ext>
          </a:extLst>
        </xdr:cNvPr>
        <xdr:cNvSpPr/>
      </xdr:nvSpPr>
      <xdr:spPr>
        <a:xfrm>
          <a:off x="14925676" y="1200151"/>
          <a:ext cx="1143000" cy="762000"/>
        </a:xfrm>
        <a:prstGeom prst="heart">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zh-TW" altLang="en-US" sz="1100"/>
            <a:t>保護檔案</a:t>
          </a:r>
        </a:p>
      </xdr:txBody>
    </xdr:sp>
    <xdr:clientData/>
  </xdr:twoCellAnchor>
  <xdr:twoCellAnchor>
    <xdr:from>
      <xdr:col>13</xdr:col>
      <xdr:colOff>171450</xdr:colOff>
      <xdr:row>2</xdr:row>
      <xdr:rowOff>66675</xdr:rowOff>
    </xdr:from>
    <xdr:to>
      <xdr:col>14</xdr:col>
      <xdr:colOff>733425</xdr:colOff>
      <xdr:row>4</xdr:row>
      <xdr:rowOff>19050</xdr:rowOff>
    </xdr:to>
    <xdr:sp macro="[0]!StartWork" textlink="">
      <xdr:nvSpPr>
        <xdr:cNvPr id="8" name="圓角矩形 7">
          <a:extLst>
            <a:ext uri="{FF2B5EF4-FFF2-40B4-BE49-F238E27FC236}">
              <a16:creationId xmlns:a16="http://schemas.microsoft.com/office/drawing/2014/main" id="{00000000-0008-0000-0600-000008000000}"/>
            </a:ext>
          </a:extLst>
        </xdr:cNvPr>
        <xdr:cNvSpPr/>
      </xdr:nvSpPr>
      <xdr:spPr>
        <a:xfrm>
          <a:off x="14068425" y="542925"/>
          <a:ext cx="1343025" cy="371475"/>
        </a:xfrm>
        <a:prstGeom prst="roundRect">
          <a:avLst/>
        </a:prstGeom>
        <a:solidFill>
          <a:srgbClr val="0090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TW" altLang="en-US" sz="1100"/>
            <a:t>開啟維護工作表</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45</xdr:col>
      <xdr:colOff>103908</xdr:colOff>
      <xdr:row>106</xdr:row>
      <xdr:rowOff>329045</xdr:rowOff>
    </xdr:from>
    <xdr:to>
      <xdr:col>51</xdr:col>
      <xdr:colOff>86590</xdr:colOff>
      <xdr:row>108</xdr:row>
      <xdr:rowOff>398317</xdr:rowOff>
    </xdr:to>
    <xdr:sp macro="" textlink="">
      <xdr:nvSpPr>
        <xdr:cNvPr id="3" name="圓角矩形 2">
          <a:extLst>
            <a:ext uri="{FF2B5EF4-FFF2-40B4-BE49-F238E27FC236}">
              <a16:creationId xmlns:a16="http://schemas.microsoft.com/office/drawing/2014/main" id="{00000000-0008-0000-0900-000003000000}"/>
            </a:ext>
          </a:extLst>
        </xdr:cNvPr>
        <xdr:cNvSpPr/>
      </xdr:nvSpPr>
      <xdr:spPr>
        <a:xfrm>
          <a:off x="25478508" y="50373395"/>
          <a:ext cx="2382982" cy="1155122"/>
        </a:xfrm>
        <a:prstGeom prst="roundRect">
          <a:avLst>
            <a:gd name="adj" fmla="val 10253"/>
          </a:avLst>
        </a:prstGeom>
        <a:solidFill>
          <a:schemeClr val="bg1"/>
        </a:solidFill>
        <a:ln>
          <a:noFill/>
        </a:ln>
        <a:effectLst>
          <a:outerShdw blurRad="25400" dist="12700" dir="5400000" sx="101000" sy="101000" algn="ctr" rotWithShape="0">
            <a:srgbClr val="000000">
              <a:alpha val="1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zh-TW"/>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zh-TW" altLang="en-US"/>
        </a:p>
      </xdr:txBody>
    </xdr:sp>
    <xdr:clientData/>
  </xdr:twoCellAnchor>
  <xdr:twoCellAnchor>
    <xdr:from>
      <xdr:col>25</xdr:col>
      <xdr:colOff>34635</xdr:colOff>
      <xdr:row>105</xdr:row>
      <xdr:rowOff>450273</xdr:rowOff>
    </xdr:from>
    <xdr:to>
      <xdr:col>51</xdr:col>
      <xdr:colOff>363681</xdr:colOff>
      <xdr:row>117</xdr:row>
      <xdr:rowOff>34636</xdr:rowOff>
    </xdr:to>
    <xdr:graphicFrame macro="">
      <xdr:nvGraphicFramePr>
        <xdr:cNvPr id="4" name="圖表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201387</xdr:colOff>
      <xdr:row>98</xdr:row>
      <xdr:rowOff>69273</xdr:rowOff>
    </xdr:from>
    <xdr:to>
      <xdr:col>51</xdr:col>
      <xdr:colOff>363682</xdr:colOff>
      <xdr:row>105</xdr:row>
      <xdr:rowOff>81643</xdr:rowOff>
    </xdr:to>
    <xdr:graphicFrame macro="">
      <xdr:nvGraphicFramePr>
        <xdr:cNvPr id="6" name="圖表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20</xdr:col>
      <xdr:colOff>944220</xdr:colOff>
      <xdr:row>35</xdr:row>
      <xdr:rowOff>346364</xdr:rowOff>
    </xdr:from>
    <xdr:ext cx="368499" cy="92398"/>
    <xdr:sp macro="" textlink="">
      <xdr:nvSpPr>
        <xdr:cNvPr id="36" name="文字方塊 35">
          <a:extLst>
            <a:ext uri="{FF2B5EF4-FFF2-40B4-BE49-F238E27FC236}">
              <a16:creationId xmlns:a16="http://schemas.microsoft.com/office/drawing/2014/main" id="{00000000-0008-0000-0900-000024000000}"/>
            </a:ext>
          </a:extLst>
        </xdr:cNvPr>
        <xdr:cNvSpPr txBox="1"/>
      </xdr:nvSpPr>
      <xdr:spPr>
        <a:xfrm>
          <a:off x="11926545" y="14405264"/>
          <a:ext cx="368499" cy="923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wordArtVertRtl" wrap="none" rtlCol="0" anchor="t">
          <a:spAutoFit/>
        </a:bodyPr>
        <a:lstStyle/>
        <a:p>
          <a:endParaRPr lang="zh-TW" altLang="en-US" sz="1100"/>
        </a:p>
      </xdr:txBody>
    </xdr:sp>
    <xdr:clientData/>
  </xdr:oneCellAnchor>
  <xdr:twoCellAnchor>
    <xdr:from>
      <xdr:col>15</xdr:col>
      <xdr:colOff>267085</xdr:colOff>
      <xdr:row>38</xdr:row>
      <xdr:rowOff>0</xdr:rowOff>
    </xdr:from>
    <xdr:to>
      <xdr:col>16</xdr:col>
      <xdr:colOff>258229</xdr:colOff>
      <xdr:row>38</xdr:row>
      <xdr:rowOff>428224</xdr:rowOff>
    </xdr:to>
    <xdr:sp macro="" textlink="">
      <xdr:nvSpPr>
        <xdr:cNvPr id="55" name="文字方塊 54">
          <a:hlinkClick xmlns:r="http://schemas.openxmlformats.org/officeDocument/2006/relationships" r:id="rId3"/>
          <a:extLst>
            <a:ext uri="{FF2B5EF4-FFF2-40B4-BE49-F238E27FC236}">
              <a16:creationId xmlns:a16="http://schemas.microsoft.com/office/drawing/2014/main" id="{00000000-0008-0000-0900-000037000000}"/>
            </a:ext>
          </a:extLst>
        </xdr:cNvPr>
        <xdr:cNvSpPr txBox="1"/>
      </xdr:nvSpPr>
      <xdr:spPr>
        <a:xfrm>
          <a:off x="6477385" y="14763750"/>
          <a:ext cx="1457994"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p>
      </xdr:txBody>
    </xdr:sp>
    <xdr:clientData/>
  </xdr:twoCellAnchor>
  <xdr:twoCellAnchor>
    <xdr:from>
      <xdr:col>32</xdr:col>
      <xdr:colOff>176066</xdr:colOff>
      <xdr:row>45</xdr:row>
      <xdr:rowOff>318944</xdr:rowOff>
    </xdr:from>
    <xdr:to>
      <xdr:col>33</xdr:col>
      <xdr:colOff>273626</xdr:colOff>
      <xdr:row>47</xdr:row>
      <xdr:rowOff>33193</xdr:rowOff>
    </xdr:to>
    <xdr:sp macro="" textlink="">
      <xdr:nvSpPr>
        <xdr:cNvPr id="65" name="向右箭號 64">
          <a:extLst>
            <a:ext uri="{FF2B5EF4-FFF2-40B4-BE49-F238E27FC236}">
              <a16:creationId xmlns:a16="http://schemas.microsoft.com/office/drawing/2014/main" id="{00000000-0008-0000-0900-000041000000}"/>
            </a:ext>
          </a:extLst>
        </xdr:cNvPr>
        <xdr:cNvSpPr/>
      </xdr:nvSpPr>
      <xdr:spPr>
        <a:xfrm>
          <a:off x="20350016" y="32380094"/>
          <a:ext cx="497610" cy="800099"/>
        </a:xfrm>
        <a:prstGeom prst="stripedRightArrow">
          <a:avLst/>
        </a:prstGeom>
        <a:gradFill flip="none" rotWithShape="1">
          <a:gsLst>
            <a:gs pos="0">
              <a:schemeClr val="bg1">
                <a:lumMod val="95000"/>
              </a:schemeClr>
            </a:gs>
            <a:gs pos="100000">
              <a:srgbClr val="37A78F"/>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49</xdr:col>
      <xdr:colOff>225136</xdr:colOff>
      <xdr:row>39</xdr:row>
      <xdr:rowOff>45070</xdr:rowOff>
    </xdr:from>
    <xdr:to>
      <xdr:col>52</xdr:col>
      <xdr:colOff>68036</xdr:colOff>
      <xdr:row>39</xdr:row>
      <xdr:rowOff>538102</xdr:rowOff>
    </xdr:to>
    <xdr:sp macro="" textlink="">
      <xdr:nvSpPr>
        <xdr:cNvPr id="66" name="文字方塊 65">
          <a:extLst>
            <a:ext uri="{FF2B5EF4-FFF2-40B4-BE49-F238E27FC236}">
              <a16:creationId xmlns:a16="http://schemas.microsoft.com/office/drawing/2014/main" id="{00000000-0008-0000-0900-000042000000}"/>
            </a:ext>
          </a:extLst>
        </xdr:cNvPr>
        <xdr:cNvSpPr txBox="1"/>
      </xdr:nvSpPr>
      <xdr:spPr>
        <a:xfrm>
          <a:off x="27199936" y="29115370"/>
          <a:ext cx="1043050" cy="493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p>
      </xdr:txBody>
    </xdr:sp>
    <xdr:clientData/>
  </xdr:twoCellAnchor>
  <xdr:oneCellAnchor>
    <xdr:from>
      <xdr:col>48</xdr:col>
      <xdr:colOff>272144</xdr:colOff>
      <xdr:row>39</xdr:row>
      <xdr:rowOff>95930</xdr:rowOff>
    </xdr:from>
    <xdr:ext cx="342611" cy="324281"/>
    <xdr:pic>
      <xdr:nvPicPr>
        <xdr:cNvPr id="67" name="圖形 59" descr="開燈 以實心填滿">
          <a:extLst>
            <a:ext uri="{FF2B5EF4-FFF2-40B4-BE49-F238E27FC236}">
              <a16:creationId xmlns:a16="http://schemas.microsoft.com/office/drawing/2014/main" id="{00000000-0008-0000-0900-00004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6846894" y="29166230"/>
          <a:ext cx="342611" cy="324281"/>
        </a:xfrm>
        <a:prstGeom prst="rect">
          <a:avLst/>
        </a:prstGeom>
      </xdr:spPr>
    </xdr:pic>
    <xdr:clientData/>
  </xdr:oneCellAnchor>
  <xdr:twoCellAnchor>
    <xdr:from>
      <xdr:col>49</xdr:col>
      <xdr:colOff>225136</xdr:colOff>
      <xdr:row>94</xdr:row>
      <xdr:rowOff>45070</xdr:rowOff>
    </xdr:from>
    <xdr:to>
      <xdr:col>52</xdr:col>
      <xdr:colOff>68036</xdr:colOff>
      <xdr:row>94</xdr:row>
      <xdr:rowOff>538102</xdr:rowOff>
    </xdr:to>
    <xdr:sp macro="" textlink="">
      <xdr:nvSpPr>
        <xdr:cNvPr id="75" name="文字方塊 74">
          <a:extLst>
            <a:ext uri="{FF2B5EF4-FFF2-40B4-BE49-F238E27FC236}">
              <a16:creationId xmlns:a16="http://schemas.microsoft.com/office/drawing/2014/main" id="{00000000-0008-0000-0900-00004B000000}"/>
            </a:ext>
          </a:extLst>
        </xdr:cNvPr>
        <xdr:cNvSpPr txBox="1"/>
      </xdr:nvSpPr>
      <xdr:spPr>
        <a:xfrm>
          <a:off x="27199936" y="43955320"/>
          <a:ext cx="1043050" cy="493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p>
      </xdr:txBody>
    </xdr:sp>
    <xdr:clientData/>
  </xdr:twoCellAnchor>
  <xdr:oneCellAnchor>
    <xdr:from>
      <xdr:col>48</xdr:col>
      <xdr:colOff>272144</xdr:colOff>
      <xdr:row>94</xdr:row>
      <xdr:rowOff>95930</xdr:rowOff>
    </xdr:from>
    <xdr:ext cx="342611" cy="324281"/>
    <xdr:pic>
      <xdr:nvPicPr>
        <xdr:cNvPr id="76" name="圖形 59" descr="開燈 以實心填滿">
          <a:extLst>
            <a:ext uri="{FF2B5EF4-FFF2-40B4-BE49-F238E27FC236}">
              <a16:creationId xmlns:a16="http://schemas.microsoft.com/office/drawing/2014/main" id="{00000000-0008-0000-0900-00004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6846894" y="44006180"/>
          <a:ext cx="342611" cy="324281"/>
        </a:xfrm>
        <a:prstGeom prst="rect">
          <a:avLst/>
        </a:prstGeom>
      </xdr:spPr>
    </xdr:pic>
    <xdr:clientData/>
  </xdr:oneCellAnchor>
  <xdr:twoCellAnchor editAs="oneCell">
    <xdr:from>
      <xdr:col>24</xdr:col>
      <xdr:colOff>1180181</xdr:colOff>
      <xdr:row>118</xdr:row>
      <xdr:rowOff>98960</xdr:rowOff>
    </xdr:from>
    <xdr:to>
      <xdr:col>25</xdr:col>
      <xdr:colOff>218490</xdr:colOff>
      <xdr:row>118</xdr:row>
      <xdr:rowOff>476250</xdr:rowOff>
    </xdr:to>
    <xdr:pic>
      <xdr:nvPicPr>
        <xdr:cNvPr id="77" name="圖片 76">
          <a:extLst>
            <a:ext uri="{FF2B5EF4-FFF2-40B4-BE49-F238E27FC236}">
              <a16:creationId xmlns:a16="http://schemas.microsoft.com/office/drawing/2014/main" id="{00000000-0008-0000-0900-00004D000000}"/>
            </a:ext>
          </a:extLst>
        </xdr:cNvPr>
        <xdr:cNvPicPr>
          <a:picLocks noChangeAspect="1"/>
        </xdr:cNvPicPr>
      </xdr:nvPicPr>
      <xdr:blipFill rotWithShape="1">
        <a:blip xmlns:r="http://schemas.openxmlformats.org/officeDocument/2006/relationships" r:embed="rId6"/>
        <a:srcRect l="1" t="-1" r="17482" b="2154"/>
        <a:stretch/>
      </xdr:blipFill>
      <xdr:spPr>
        <a:xfrm>
          <a:off x="16067756" y="56658410"/>
          <a:ext cx="321009" cy="377290"/>
        </a:xfrm>
        <a:prstGeom prst="rect">
          <a:avLst/>
        </a:prstGeom>
      </xdr:spPr>
    </xdr:pic>
    <xdr:clientData/>
  </xdr:twoCellAnchor>
  <xdr:twoCellAnchor editAs="oneCell">
    <xdr:from>
      <xdr:col>24</xdr:col>
      <xdr:colOff>1218453</xdr:colOff>
      <xdr:row>119</xdr:row>
      <xdr:rowOff>86445</xdr:rowOff>
    </xdr:from>
    <xdr:to>
      <xdr:col>25</xdr:col>
      <xdr:colOff>295189</xdr:colOff>
      <xdr:row>119</xdr:row>
      <xdr:rowOff>534564</xdr:rowOff>
    </xdr:to>
    <xdr:pic>
      <xdr:nvPicPr>
        <xdr:cNvPr id="78" name="圖片 77">
          <a:extLst>
            <a:ext uri="{FF2B5EF4-FFF2-40B4-BE49-F238E27FC236}">
              <a16:creationId xmlns:a16="http://schemas.microsoft.com/office/drawing/2014/main" id="{00000000-0008-0000-0900-00004E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16106028" y="57188820"/>
          <a:ext cx="365786" cy="444944"/>
        </a:xfrm>
        <a:prstGeom prst="rect">
          <a:avLst/>
        </a:prstGeom>
      </xdr:spPr>
    </xdr:pic>
    <xdr:clientData/>
  </xdr:twoCellAnchor>
  <xdr:twoCellAnchor>
    <xdr:from>
      <xdr:col>22</xdr:col>
      <xdr:colOff>346363</xdr:colOff>
      <xdr:row>72</xdr:row>
      <xdr:rowOff>0</xdr:rowOff>
    </xdr:from>
    <xdr:to>
      <xdr:col>51</xdr:col>
      <xdr:colOff>363682</xdr:colOff>
      <xdr:row>91</xdr:row>
      <xdr:rowOff>81641</xdr:rowOff>
    </xdr:to>
    <xdr:graphicFrame macro="">
      <xdr:nvGraphicFramePr>
        <xdr:cNvPr id="79" name="圖表 78">
          <a:extLst>
            <a:ext uri="{FF2B5EF4-FFF2-40B4-BE49-F238E27FC236}">
              <a16:creationId xmlns:a16="http://schemas.microsoft.com/office/drawing/2014/main" id="{00000000-0008-0000-0900-00004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18</xdr:col>
      <xdr:colOff>432957</xdr:colOff>
      <xdr:row>100</xdr:row>
      <xdr:rowOff>467591</xdr:rowOff>
    </xdr:from>
    <xdr:to>
      <xdr:col>19</xdr:col>
      <xdr:colOff>277091</xdr:colOff>
      <xdr:row>102</xdr:row>
      <xdr:rowOff>104928</xdr:rowOff>
    </xdr:to>
    <xdr:pic>
      <xdr:nvPicPr>
        <xdr:cNvPr id="81" name="圖片 80">
          <a:extLst>
            <a:ext uri="{FF2B5EF4-FFF2-40B4-BE49-F238E27FC236}">
              <a16:creationId xmlns:a16="http://schemas.microsoft.com/office/drawing/2014/main" id="{00000000-0008-0000-0900-000051000000}"/>
            </a:ext>
          </a:extLst>
        </xdr:cNvPr>
        <xdr:cNvPicPr>
          <a:picLocks noChangeAspect="1"/>
        </xdr:cNvPicPr>
      </xdr:nvPicPr>
      <xdr:blipFill>
        <a:blip xmlns:r="http://schemas.openxmlformats.org/officeDocument/2006/relationships" r:embed="rId9"/>
        <a:stretch>
          <a:fillRect/>
        </a:stretch>
      </xdr:blipFill>
      <xdr:spPr>
        <a:xfrm>
          <a:off x="9586482" y="47254391"/>
          <a:ext cx="720434" cy="723186"/>
        </a:xfrm>
        <a:prstGeom prst="rect">
          <a:avLst/>
        </a:prstGeom>
      </xdr:spPr>
    </xdr:pic>
    <xdr:clientData/>
  </xdr:twoCellAnchor>
  <xdr:twoCellAnchor editAs="oneCell">
    <xdr:from>
      <xdr:col>18</xdr:col>
      <xdr:colOff>450273</xdr:colOff>
      <xdr:row>45</xdr:row>
      <xdr:rowOff>484909</xdr:rowOff>
    </xdr:from>
    <xdr:to>
      <xdr:col>19</xdr:col>
      <xdr:colOff>294407</xdr:colOff>
      <xdr:row>47</xdr:row>
      <xdr:rowOff>122246</xdr:rowOff>
    </xdr:to>
    <xdr:pic>
      <xdr:nvPicPr>
        <xdr:cNvPr id="82" name="圖片 81">
          <a:extLst>
            <a:ext uri="{FF2B5EF4-FFF2-40B4-BE49-F238E27FC236}">
              <a16:creationId xmlns:a16="http://schemas.microsoft.com/office/drawing/2014/main" id="{00000000-0008-0000-0900-000052000000}"/>
            </a:ext>
          </a:extLst>
        </xdr:cNvPr>
        <xdr:cNvPicPr>
          <a:picLocks noChangeAspect="1"/>
        </xdr:cNvPicPr>
      </xdr:nvPicPr>
      <xdr:blipFill>
        <a:blip xmlns:r="http://schemas.openxmlformats.org/officeDocument/2006/relationships" r:embed="rId9"/>
        <a:stretch>
          <a:fillRect/>
        </a:stretch>
      </xdr:blipFill>
      <xdr:spPr>
        <a:xfrm>
          <a:off x="9603798" y="32546059"/>
          <a:ext cx="720434" cy="723185"/>
        </a:xfrm>
        <a:prstGeom prst="rect">
          <a:avLst/>
        </a:prstGeom>
      </xdr:spPr>
    </xdr:pic>
    <xdr:clientData/>
  </xdr:twoCellAnchor>
  <xdr:twoCellAnchor>
    <xdr:from>
      <xdr:col>19</xdr:col>
      <xdr:colOff>98216</xdr:colOff>
      <xdr:row>106</xdr:row>
      <xdr:rowOff>33544</xdr:rowOff>
    </xdr:from>
    <xdr:to>
      <xdr:col>20</xdr:col>
      <xdr:colOff>617762</xdr:colOff>
      <xdr:row>106</xdr:row>
      <xdr:rowOff>513401</xdr:rowOff>
    </xdr:to>
    <xdr:sp macro="[0]!Cashflow_Original_Click" textlink="">
      <xdr:nvSpPr>
        <xdr:cNvPr id="35" name="Cash_original">
          <a:extLst>
            <a:ext uri="{FF2B5EF4-FFF2-40B4-BE49-F238E27FC236}">
              <a16:creationId xmlns:a16="http://schemas.microsoft.com/office/drawing/2014/main" id="{00000000-0008-0000-0900-000023000000}"/>
            </a:ext>
          </a:extLst>
        </xdr:cNvPr>
        <xdr:cNvSpPr/>
      </xdr:nvSpPr>
      <xdr:spPr>
        <a:xfrm>
          <a:off x="10142761" y="35345317"/>
          <a:ext cx="1472046" cy="479857"/>
        </a:xfrm>
        <a:prstGeom prst="round2SameRect">
          <a:avLst/>
        </a:prstGeom>
        <a:solidFill>
          <a:srgbClr val="FFC000"/>
        </a:solidFill>
        <a:ln w="25400" cap="flat" cmpd="sng" algn="ctr">
          <a:solidFill>
            <a:srgbClr val="209D82"/>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000000"/>
              </a:solidFill>
            </a:rPr>
            <a:t>原庫存組合</a:t>
          </a:r>
        </a:p>
      </xdr:txBody>
    </xdr:sp>
    <xdr:clientData/>
  </xdr:twoCellAnchor>
  <xdr:twoCellAnchor>
    <xdr:from>
      <xdr:col>17</xdr:col>
      <xdr:colOff>277459</xdr:colOff>
      <xdr:row>106</xdr:row>
      <xdr:rowOff>27194</xdr:rowOff>
    </xdr:from>
    <xdr:to>
      <xdr:col>19</xdr:col>
      <xdr:colOff>369</xdr:colOff>
      <xdr:row>106</xdr:row>
      <xdr:rowOff>513401</xdr:rowOff>
    </xdr:to>
    <xdr:sp macro="[0]!Cashflow_New_Click" textlink="">
      <xdr:nvSpPr>
        <xdr:cNvPr id="37" name="Cash_New">
          <a:extLst>
            <a:ext uri="{FF2B5EF4-FFF2-40B4-BE49-F238E27FC236}">
              <a16:creationId xmlns:a16="http://schemas.microsoft.com/office/drawing/2014/main" id="{00000000-0008-0000-0900-000025000000}"/>
            </a:ext>
          </a:extLst>
        </xdr:cNvPr>
        <xdr:cNvSpPr/>
      </xdr:nvSpPr>
      <xdr:spPr>
        <a:xfrm>
          <a:off x="8572868" y="35338967"/>
          <a:ext cx="1472046" cy="486207"/>
        </a:xfrm>
        <a:prstGeom prst="round2SameRect">
          <a:avLst/>
        </a:prstGeom>
        <a:solidFill>
          <a:srgbClr val="E2E2E2"/>
        </a:solidFill>
        <a:ln w="19050" cap="flat" cmpd="sng" algn="ctr">
          <a:noFill/>
          <a:prstDash val="solid"/>
        </a:ln>
        <a:effectLst/>
        <a:extLst>
          <a:ext uri="{91240B29-F687-4F45-9708-019B960494DF}">
            <a14:hiddenLine xmlns:a14="http://schemas.microsoft.com/office/drawing/2010/main" w="19050" cap="flat" cmpd="sng" algn="ctr">
              <a:solidFill>
                <a:srgbClr val="209D82"/>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8B8D85"/>
              </a:solidFill>
            </a:rPr>
            <a:t>新庫存組合</a:t>
          </a:r>
        </a:p>
      </xdr:txBody>
    </xdr:sp>
    <xdr:clientData/>
  </xdr:twoCellAnchor>
  <xdr:twoCellAnchor>
    <xdr:from>
      <xdr:col>47</xdr:col>
      <xdr:colOff>322574</xdr:colOff>
      <xdr:row>115</xdr:row>
      <xdr:rowOff>545256</xdr:rowOff>
    </xdr:from>
    <xdr:to>
      <xdr:col>51</xdr:col>
      <xdr:colOff>201347</xdr:colOff>
      <xdr:row>116</xdr:row>
      <xdr:rowOff>513421</xdr:rowOff>
    </xdr:to>
    <xdr:sp macro="[0]!Multi_Mod_add_Click" textlink="">
      <xdr:nvSpPr>
        <xdr:cNvPr id="42" name="Multi_Mod_add">
          <a:extLst>
            <a:ext uri="{FF2B5EF4-FFF2-40B4-BE49-F238E27FC236}">
              <a16:creationId xmlns:a16="http://schemas.microsoft.com/office/drawing/2014/main" id="{00000000-0008-0000-0900-00002A000000}"/>
            </a:ext>
          </a:extLst>
        </xdr:cNvPr>
        <xdr:cNvSpPr/>
      </xdr:nvSpPr>
      <xdr:spPr>
        <a:xfrm>
          <a:off x="26587762" y="40597881"/>
          <a:ext cx="1498023" cy="515853"/>
        </a:xfrm>
        <a:prstGeom prst="round2SameRect">
          <a:avLst/>
        </a:prstGeom>
        <a:solidFill>
          <a:srgbClr val="E2E2E2"/>
        </a:solidFill>
        <a:ln w="19050" cap="flat" cmpd="sng" algn="ctr">
          <a:noFill/>
          <a:prstDash val="solid"/>
        </a:ln>
        <a:effectLst/>
        <a:extLst>
          <a:ext uri="{91240B29-F687-4F45-9708-019B960494DF}">
            <a14:hiddenLine xmlns:a14="http://schemas.microsoft.com/office/drawing/2010/main" w="19050" cap="flat" cmpd="sng" algn="ctr">
              <a:solidFill>
                <a:srgbClr val="209D82"/>
              </a:solidFill>
              <a:prstDash val="soli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8B8D85"/>
              </a:solidFill>
            </a:rPr>
            <a:t>含年領利息</a:t>
          </a:r>
        </a:p>
      </xdr:txBody>
    </xdr:sp>
    <xdr:clientData/>
  </xdr:twoCellAnchor>
  <xdr:twoCellAnchor>
    <xdr:from>
      <xdr:col>43</xdr:col>
      <xdr:colOff>343355</xdr:colOff>
      <xdr:row>116</xdr:row>
      <xdr:rowOff>7093</xdr:rowOff>
    </xdr:from>
    <xdr:to>
      <xdr:col>47</xdr:col>
      <xdr:colOff>228479</xdr:colOff>
      <xdr:row>116</xdr:row>
      <xdr:rowOff>513421</xdr:rowOff>
    </xdr:to>
    <xdr:sp macro="[0]!Multi_Mod_Click" textlink="">
      <xdr:nvSpPr>
        <xdr:cNvPr id="45" name="Multi_Mod">
          <a:extLst>
            <a:ext uri="{FF2B5EF4-FFF2-40B4-BE49-F238E27FC236}">
              <a16:creationId xmlns:a16="http://schemas.microsoft.com/office/drawing/2014/main" id="{00000000-0008-0000-0900-00002D000000}"/>
            </a:ext>
          </a:extLst>
        </xdr:cNvPr>
        <xdr:cNvSpPr/>
      </xdr:nvSpPr>
      <xdr:spPr>
        <a:xfrm>
          <a:off x="24989293" y="40607406"/>
          <a:ext cx="1504374" cy="506328"/>
        </a:xfrm>
        <a:prstGeom prst="round2SameRect">
          <a:avLst/>
        </a:prstGeom>
        <a:solidFill>
          <a:srgbClr val="FFC000"/>
        </a:solidFill>
        <a:ln w="25400" cap="flat" cmpd="sng" algn="ctr">
          <a:solidFill>
            <a:srgbClr val="209D82"/>
          </a:solid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zh-TW" altLang="en-US" sz="1600">
              <a:solidFill>
                <a:srgbClr val="000000"/>
              </a:solidFill>
            </a:rPr>
            <a:t>不含年領利息</a:t>
          </a:r>
        </a:p>
      </xdr:txBody>
    </xdr:sp>
    <xdr:clientData/>
  </xdr:twoCellAnchor>
  <xdr:twoCellAnchor>
    <xdr:from>
      <xdr:col>15</xdr:col>
      <xdr:colOff>103908</xdr:colOff>
      <xdr:row>23</xdr:row>
      <xdr:rowOff>346364</xdr:rowOff>
    </xdr:from>
    <xdr:to>
      <xdr:col>23</xdr:col>
      <xdr:colOff>975880</xdr:colOff>
      <xdr:row>35</xdr:row>
      <xdr:rowOff>207818</xdr:rowOff>
    </xdr:to>
    <xdr:graphicFrame macro="">
      <xdr:nvGraphicFramePr>
        <xdr:cNvPr id="54" name="圖表 3">
          <a:extLst>
            <a:ext uri="{FF2B5EF4-FFF2-40B4-BE49-F238E27FC236}">
              <a16:creationId xmlns:a16="http://schemas.microsoft.com/office/drawing/2014/main" id="{00000000-0008-0000-09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20</xdr:col>
      <xdr:colOff>944220</xdr:colOff>
      <xdr:row>35</xdr:row>
      <xdr:rowOff>346364</xdr:rowOff>
    </xdr:from>
    <xdr:ext cx="368499" cy="92398"/>
    <xdr:sp macro="" textlink="">
      <xdr:nvSpPr>
        <xdr:cNvPr id="72" name="文字方塊 71">
          <a:extLst>
            <a:ext uri="{FF2B5EF4-FFF2-40B4-BE49-F238E27FC236}">
              <a16:creationId xmlns:a16="http://schemas.microsoft.com/office/drawing/2014/main" id="{00000000-0008-0000-0900-000048000000}"/>
            </a:ext>
          </a:extLst>
        </xdr:cNvPr>
        <xdr:cNvSpPr txBox="1"/>
      </xdr:nvSpPr>
      <xdr:spPr>
        <a:xfrm>
          <a:off x="12336120" y="14411614"/>
          <a:ext cx="368499" cy="923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wordArtVertRtl" wrap="none" rtlCol="0" anchor="t">
          <a:spAutoFit/>
        </a:bodyPr>
        <a:lstStyle/>
        <a:p>
          <a:endParaRPr lang="zh-TW" altLang="en-US" sz="1100"/>
        </a:p>
      </xdr:txBody>
    </xdr:sp>
    <xdr:clientData/>
  </xdr:oneCellAnchor>
  <xdr:twoCellAnchor>
    <xdr:from>
      <xdr:col>23</xdr:col>
      <xdr:colOff>1265466</xdr:colOff>
      <xdr:row>25</xdr:row>
      <xdr:rowOff>244929</xdr:rowOff>
    </xdr:from>
    <xdr:to>
      <xdr:col>41</xdr:col>
      <xdr:colOff>385995</xdr:colOff>
      <xdr:row>34</xdr:row>
      <xdr:rowOff>541216</xdr:rowOff>
    </xdr:to>
    <xdr:grpSp>
      <xdr:nvGrpSpPr>
        <xdr:cNvPr id="73" name="群組 72">
          <a:extLst>
            <a:ext uri="{FF2B5EF4-FFF2-40B4-BE49-F238E27FC236}">
              <a16:creationId xmlns:a16="http://schemas.microsoft.com/office/drawing/2014/main" id="{00000000-0008-0000-0900-000049000000}"/>
            </a:ext>
          </a:extLst>
        </xdr:cNvPr>
        <xdr:cNvGrpSpPr/>
      </xdr:nvGrpSpPr>
      <xdr:grpSpPr>
        <a:xfrm>
          <a:off x="15248166" y="8690429"/>
          <a:ext cx="9712329" cy="5439787"/>
          <a:chOff x="5299365" y="8097830"/>
          <a:chExt cx="9461488" cy="5877944"/>
        </a:xfrm>
      </xdr:grpSpPr>
      <xdr:graphicFrame macro="">
        <xdr:nvGraphicFramePr>
          <xdr:cNvPr id="74" name="圖表 73">
            <a:extLst>
              <a:ext uri="{FF2B5EF4-FFF2-40B4-BE49-F238E27FC236}">
                <a16:creationId xmlns:a16="http://schemas.microsoft.com/office/drawing/2014/main" id="{00000000-0008-0000-0900-00004A000000}"/>
              </a:ext>
            </a:extLst>
          </xdr:cNvPr>
          <xdr:cNvGraphicFramePr>
            <a:graphicFrameLocks/>
          </xdr:cNvGraphicFramePr>
        </xdr:nvGraphicFramePr>
        <xdr:xfrm>
          <a:off x="5299365" y="8287175"/>
          <a:ext cx="9286487" cy="5688599"/>
        </xdr:xfrm>
        <a:graphic>
          <a:graphicData uri="http://schemas.openxmlformats.org/drawingml/2006/chart">
            <c:chart xmlns:c="http://schemas.openxmlformats.org/drawingml/2006/chart" xmlns:r="http://schemas.openxmlformats.org/officeDocument/2006/relationships" r:id="rId11"/>
          </a:graphicData>
        </a:graphic>
      </xdr:graphicFrame>
      <xdr:sp macro="" textlink="'Tssco-bond portfolio(2)'!E30">
        <xdr:nvSpPr>
          <xdr:cNvPr id="80" name="文字方塊 79">
            <a:extLst>
              <a:ext uri="{FF2B5EF4-FFF2-40B4-BE49-F238E27FC236}">
                <a16:creationId xmlns:a16="http://schemas.microsoft.com/office/drawing/2014/main" id="{00000000-0008-0000-0900-000050000000}"/>
              </a:ext>
            </a:extLst>
          </xdr:cNvPr>
          <xdr:cNvSpPr txBox="1"/>
        </xdr:nvSpPr>
        <xdr:spPr>
          <a:xfrm rot="19620153">
            <a:off x="13515382" y="8229027"/>
            <a:ext cx="1245471"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4A43C4B1-5528-4879-B314-AD2DB1EEC40C}"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19">
        <xdr:nvSpPr>
          <xdr:cNvPr id="83" name="文字方塊 82">
            <a:extLst>
              <a:ext uri="{FF2B5EF4-FFF2-40B4-BE49-F238E27FC236}">
                <a16:creationId xmlns:a16="http://schemas.microsoft.com/office/drawing/2014/main" id="{00000000-0008-0000-0900-000053000000}"/>
              </a:ext>
            </a:extLst>
          </xdr:cNvPr>
          <xdr:cNvSpPr txBox="1"/>
        </xdr:nvSpPr>
        <xdr:spPr>
          <a:xfrm rot="19620153">
            <a:off x="5416154" y="8097830"/>
            <a:ext cx="1699173"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F9EB6BC4-53E5-4E59-844B-8A322A981A93}" type="TxLink">
              <a:rPr lang="en-US" altLang="en-US" sz="1600" b="0" i="0" u="none" strike="noStrike">
                <a:solidFill>
                  <a:srgbClr val="000000"/>
                </a:solidFill>
                <a:latin typeface="微軟正黑體"/>
                <a:ea typeface="微軟正黑體"/>
              </a:rPr>
              <a:pPr/>
              <a:t> </a:t>
            </a:fld>
            <a:endParaRPr lang="zh-TW" altLang="en-US" sz="1600">
              <a:solidFill>
                <a:schemeClr val="tx1">
                  <a:lumMod val="85000"/>
                  <a:lumOff val="15000"/>
                </a:schemeClr>
              </a:solidFill>
            </a:endParaRPr>
          </a:p>
        </xdr:txBody>
      </xdr:sp>
      <xdr:sp macro="" textlink="'Tssco-bond portfolio(2)'!E20">
        <xdr:nvSpPr>
          <xdr:cNvPr id="84" name="文字方塊 83">
            <a:extLst>
              <a:ext uri="{FF2B5EF4-FFF2-40B4-BE49-F238E27FC236}">
                <a16:creationId xmlns:a16="http://schemas.microsoft.com/office/drawing/2014/main" id="{00000000-0008-0000-0900-000054000000}"/>
              </a:ext>
            </a:extLst>
          </xdr:cNvPr>
          <xdr:cNvSpPr txBox="1"/>
        </xdr:nvSpPr>
        <xdr:spPr>
          <a:xfrm rot="19620153">
            <a:off x="6059199" y="8175746"/>
            <a:ext cx="1429723"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2C18092D-BB47-4BFC-845E-0862B221F8FC}" type="TxLink">
              <a:rPr lang="en-US" altLang="en-US" sz="1600" b="0" i="0" u="none" strike="noStrike">
                <a:solidFill>
                  <a:srgbClr val="000000"/>
                </a:solidFill>
                <a:latin typeface="微軟正黑體"/>
                <a:ea typeface="微軟正黑體"/>
              </a:rPr>
              <a:pPr/>
              <a:t>5,788</a:t>
            </a:fld>
            <a:endParaRPr lang="zh-TW" altLang="en-US" sz="1600">
              <a:solidFill>
                <a:schemeClr val="tx1">
                  <a:lumMod val="85000"/>
                  <a:lumOff val="15000"/>
                </a:schemeClr>
              </a:solidFill>
            </a:endParaRPr>
          </a:p>
        </xdr:txBody>
      </xdr:sp>
      <xdr:sp macro="" textlink="'Tssco-bond portfolio(2)'!E21">
        <xdr:nvSpPr>
          <xdr:cNvPr id="85" name="文字方塊 84">
            <a:extLst>
              <a:ext uri="{FF2B5EF4-FFF2-40B4-BE49-F238E27FC236}">
                <a16:creationId xmlns:a16="http://schemas.microsoft.com/office/drawing/2014/main" id="{00000000-0008-0000-0900-000055000000}"/>
              </a:ext>
            </a:extLst>
          </xdr:cNvPr>
          <xdr:cNvSpPr txBox="1"/>
        </xdr:nvSpPr>
        <xdr:spPr>
          <a:xfrm rot="19620153">
            <a:off x="6838088" y="8168029"/>
            <a:ext cx="1456412"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73C894D-D13E-48EC-BE33-09C134D5FCBC}"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2">
        <xdr:nvSpPr>
          <xdr:cNvPr id="86" name="文字方塊 85">
            <a:extLst>
              <a:ext uri="{FF2B5EF4-FFF2-40B4-BE49-F238E27FC236}">
                <a16:creationId xmlns:a16="http://schemas.microsoft.com/office/drawing/2014/main" id="{00000000-0008-0000-0900-000056000000}"/>
              </a:ext>
            </a:extLst>
          </xdr:cNvPr>
          <xdr:cNvSpPr txBox="1"/>
        </xdr:nvSpPr>
        <xdr:spPr>
          <a:xfrm rot="19620153">
            <a:off x="7573179" y="8200795"/>
            <a:ext cx="1343100"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A7F71FEE-EA77-4C62-BF12-D8E2C5071253}"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3">
        <xdr:nvSpPr>
          <xdr:cNvPr id="87" name="文字方塊 86">
            <a:extLst>
              <a:ext uri="{FF2B5EF4-FFF2-40B4-BE49-F238E27FC236}">
                <a16:creationId xmlns:a16="http://schemas.microsoft.com/office/drawing/2014/main" id="{00000000-0008-0000-0900-000057000000}"/>
              </a:ext>
            </a:extLst>
          </xdr:cNvPr>
          <xdr:cNvSpPr txBox="1"/>
        </xdr:nvSpPr>
        <xdr:spPr>
          <a:xfrm rot="19620153">
            <a:off x="8283066" y="8181000"/>
            <a:ext cx="1411556"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5293F4E-AC31-489B-91AE-68AB6B9655CD}" type="TxLink">
              <a:rPr lang="en-US" altLang="en-US" sz="1600" b="0" i="0" u="none" strike="noStrike">
                <a:solidFill>
                  <a:srgbClr val="000000"/>
                </a:solidFill>
                <a:latin typeface="微軟正黑體"/>
                <a:ea typeface="微軟正黑體"/>
              </a:rPr>
              <a:pPr/>
              <a:t>2,425</a:t>
            </a:fld>
            <a:endParaRPr lang="zh-TW" altLang="en-US" sz="1100">
              <a:solidFill>
                <a:schemeClr val="tx1">
                  <a:lumMod val="85000"/>
                  <a:lumOff val="15000"/>
                </a:schemeClr>
              </a:solidFill>
            </a:endParaRPr>
          </a:p>
        </xdr:txBody>
      </xdr:sp>
      <xdr:sp macro="" textlink="'Tssco-bond portfolio(2)'!E25">
        <xdr:nvSpPr>
          <xdr:cNvPr id="88" name="文字方塊 87">
            <a:extLst>
              <a:ext uri="{FF2B5EF4-FFF2-40B4-BE49-F238E27FC236}">
                <a16:creationId xmlns:a16="http://schemas.microsoft.com/office/drawing/2014/main" id="{00000000-0008-0000-0900-000058000000}"/>
              </a:ext>
            </a:extLst>
          </xdr:cNvPr>
          <xdr:cNvSpPr txBox="1"/>
        </xdr:nvSpPr>
        <xdr:spPr>
          <a:xfrm rot="19620153">
            <a:off x="9833472" y="8154383"/>
            <a:ext cx="1503603"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BE79C3F8-92BC-4C39-B377-55955784E5D4}"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6">
        <xdr:nvSpPr>
          <xdr:cNvPr id="89" name="文字方塊 88">
            <a:extLst>
              <a:ext uri="{FF2B5EF4-FFF2-40B4-BE49-F238E27FC236}">
                <a16:creationId xmlns:a16="http://schemas.microsoft.com/office/drawing/2014/main" id="{00000000-0008-0000-0900-000059000000}"/>
              </a:ext>
            </a:extLst>
          </xdr:cNvPr>
          <xdr:cNvSpPr txBox="1"/>
        </xdr:nvSpPr>
        <xdr:spPr>
          <a:xfrm rot="19620153">
            <a:off x="10580513" y="8232551"/>
            <a:ext cx="1233279"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E3882C23-4919-43E3-8E77-CF266A9E6FAF}" type="TxLink">
              <a:rPr lang="en-US" altLang="en-US" sz="1600" b="0" i="0" u="none" strike="noStrike">
                <a:solidFill>
                  <a:srgbClr val="000000"/>
                </a:solidFill>
                <a:latin typeface="微軟正黑體"/>
                <a:ea typeface="微軟正黑體"/>
              </a:rPr>
              <a:pPr/>
              <a:t>5,788</a:t>
            </a:fld>
            <a:endParaRPr lang="zh-TW" altLang="en-US" sz="1100">
              <a:solidFill>
                <a:schemeClr val="tx1">
                  <a:lumMod val="85000"/>
                  <a:lumOff val="15000"/>
                </a:schemeClr>
              </a:solidFill>
            </a:endParaRPr>
          </a:p>
        </xdr:txBody>
      </xdr:sp>
      <xdr:sp macro="" textlink="'Tssco-bond portfolio(2)'!E27">
        <xdr:nvSpPr>
          <xdr:cNvPr id="90" name="文字方塊 89">
            <a:extLst>
              <a:ext uri="{FF2B5EF4-FFF2-40B4-BE49-F238E27FC236}">
                <a16:creationId xmlns:a16="http://schemas.microsoft.com/office/drawing/2014/main" id="{00000000-0008-0000-0900-00005A000000}"/>
              </a:ext>
            </a:extLst>
          </xdr:cNvPr>
          <xdr:cNvSpPr txBox="1"/>
        </xdr:nvSpPr>
        <xdr:spPr>
          <a:xfrm rot="19620153">
            <a:off x="11286306" y="8259144"/>
            <a:ext cx="1141320"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14966D7-4D06-4958-9DED-047D32D4B54D}"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8">
        <xdr:nvSpPr>
          <xdr:cNvPr id="91" name="文字方塊 90">
            <a:extLst>
              <a:ext uri="{FF2B5EF4-FFF2-40B4-BE49-F238E27FC236}">
                <a16:creationId xmlns:a16="http://schemas.microsoft.com/office/drawing/2014/main" id="{00000000-0008-0000-0900-00005B000000}"/>
              </a:ext>
            </a:extLst>
          </xdr:cNvPr>
          <xdr:cNvSpPr txBox="1"/>
        </xdr:nvSpPr>
        <xdr:spPr>
          <a:xfrm rot="19620153">
            <a:off x="12076357" y="8240691"/>
            <a:ext cx="1205133"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39CD692-22C5-41FA-8555-031259C3FEAE}"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sp macro="" textlink="'Tssco-bond portfolio(2)'!E29">
        <xdr:nvSpPr>
          <xdr:cNvPr id="92" name="文字方塊 91">
            <a:extLst>
              <a:ext uri="{FF2B5EF4-FFF2-40B4-BE49-F238E27FC236}">
                <a16:creationId xmlns:a16="http://schemas.microsoft.com/office/drawing/2014/main" id="{00000000-0008-0000-0900-00005C000000}"/>
              </a:ext>
            </a:extLst>
          </xdr:cNvPr>
          <xdr:cNvSpPr txBox="1"/>
        </xdr:nvSpPr>
        <xdr:spPr>
          <a:xfrm rot="19620153">
            <a:off x="12754004" y="8175716"/>
            <a:ext cx="1429829"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7939A8F-64E9-489E-8C2A-B7B9ADBD91E1}" type="TxLink">
              <a:rPr lang="en-US" altLang="en-US" sz="1600" b="0" i="0" u="none" strike="noStrike">
                <a:solidFill>
                  <a:srgbClr val="000000"/>
                </a:solidFill>
                <a:latin typeface="微軟正黑體"/>
                <a:ea typeface="微軟正黑體"/>
              </a:rPr>
              <a:pPr/>
              <a:t>2,425</a:t>
            </a:fld>
            <a:endParaRPr lang="zh-TW" altLang="en-US" sz="1100">
              <a:solidFill>
                <a:schemeClr val="tx1">
                  <a:lumMod val="85000"/>
                  <a:lumOff val="15000"/>
                </a:schemeClr>
              </a:solidFill>
            </a:endParaRPr>
          </a:p>
        </xdr:txBody>
      </xdr:sp>
      <xdr:sp macro="" textlink="'Tssco-bond portfolio(2)'!E24">
        <xdr:nvSpPr>
          <xdr:cNvPr id="93" name="文字方塊 92">
            <a:extLst>
              <a:ext uri="{FF2B5EF4-FFF2-40B4-BE49-F238E27FC236}">
                <a16:creationId xmlns:a16="http://schemas.microsoft.com/office/drawing/2014/main" id="{00000000-0008-0000-0900-00005D000000}"/>
              </a:ext>
            </a:extLst>
          </xdr:cNvPr>
          <xdr:cNvSpPr txBox="1"/>
        </xdr:nvSpPr>
        <xdr:spPr>
          <a:xfrm rot="19620153">
            <a:off x="9079031" y="8203197"/>
            <a:ext cx="1334791" cy="450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F85E939F-F9AA-4352-B8EC-7EE62E35D777}" type="TxLink">
              <a:rPr lang="en-US" altLang="en-US" sz="1600" b="0" i="0" u="none" strike="noStrike">
                <a:solidFill>
                  <a:srgbClr val="000000"/>
                </a:solidFill>
                <a:latin typeface="微軟正黑體"/>
                <a:ea typeface="微軟正黑體"/>
              </a:rPr>
              <a:pPr/>
              <a:t> </a:t>
            </a:fld>
            <a:endParaRPr lang="zh-TW" altLang="en-US" sz="1100">
              <a:solidFill>
                <a:schemeClr val="tx1">
                  <a:lumMod val="85000"/>
                  <a:lumOff val="15000"/>
                </a:schemeClr>
              </a:solidFill>
            </a:endParaRPr>
          </a:p>
        </xdr:txBody>
      </xdr:sp>
    </xdr:grpSp>
    <xdr:clientData/>
  </xdr:twoCellAnchor>
  <xdr:twoCellAnchor>
    <xdr:from>
      <xdr:col>24</xdr:col>
      <xdr:colOff>251116</xdr:colOff>
      <xdr:row>26</xdr:row>
      <xdr:rowOff>489258</xdr:rowOff>
    </xdr:from>
    <xdr:to>
      <xdr:col>39</xdr:col>
      <xdr:colOff>241219</xdr:colOff>
      <xdr:row>33</xdr:row>
      <xdr:rowOff>541212</xdr:rowOff>
    </xdr:to>
    <xdr:grpSp>
      <xdr:nvGrpSpPr>
        <xdr:cNvPr id="94" name="群組 93">
          <a:extLst>
            <a:ext uri="{FF2B5EF4-FFF2-40B4-BE49-F238E27FC236}">
              <a16:creationId xmlns:a16="http://schemas.microsoft.com/office/drawing/2014/main" id="{00000000-0008-0000-0900-00005E000000}"/>
            </a:ext>
          </a:extLst>
        </xdr:cNvPr>
        <xdr:cNvGrpSpPr/>
      </xdr:nvGrpSpPr>
      <xdr:grpSpPr>
        <a:xfrm>
          <a:off x="15643516" y="9506258"/>
          <a:ext cx="8346703" cy="4052454"/>
          <a:chOff x="905465" y="8497206"/>
          <a:chExt cx="7334679" cy="3996000"/>
        </a:xfrm>
      </xdr:grpSpPr>
      <xdr:cxnSp macro="">
        <xdr:nvCxnSpPr>
          <xdr:cNvPr id="95" name="直線接點 94">
            <a:extLst>
              <a:ext uri="{FF2B5EF4-FFF2-40B4-BE49-F238E27FC236}">
                <a16:creationId xmlns:a16="http://schemas.microsoft.com/office/drawing/2014/main" id="{00000000-0008-0000-0900-00005F000000}"/>
              </a:ext>
            </a:extLst>
          </xdr:cNvPr>
          <xdr:cNvCxnSpPr/>
        </xdr:nvCxnSpPr>
        <xdr:spPr>
          <a:xfrm>
            <a:off x="905465"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96" name="直線接點 95">
            <a:extLst>
              <a:ext uri="{FF2B5EF4-FFF2-40B4-BE49-F238E27FC236}">
                <a16:creationId xmlns:a16="http://schemas.microsoft.com/office/drawing/2014/main" id="{00000000-0008-0000-0900-000060000000}"/>
              </a:ext>
            </a:extLst>
          </xdr:cNvPr>
          <xdr:cNvCxnSpPr/>
        </xdr:nvCxnSpPr>
        <xdr:spPr>
          <a:xfrm>
            <a:off x="1572254"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97" name="直線接點 96">
            <a:extLst>
              <a:ext uri="{FF2B5EF4-FFF2-40B4-BE49-F238E27FC236}">
                <a16:creationId xmlns:a16="http://schemas.microsoft.com/office/drawing/2014/main" id="{00000000-0008-0000-0900-000061000000}"/>
              </a:ext>
            </a:extLst>
          </xdr:cNvPr>
          <xdr:cNvCxnSpPr/>
        </xdr:nvCxnSpPr>
        <xdr:spPr>
          <a:xfrm>
            <a:off x="2239043"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98" name="直線接點 97">
            <a:extLst>
              <a:ext uri="{FF2B5EF4-FFF2-40B4-BE49-F238E27FC236}">
                <a16:creationId xmlns:a16="http://schemas.microsoft.com/office/drawing/2014/main" id="{00000000-0008-0000-0900-000062000000}"/>
              </a:ext>
            </a:extLst>
          </xdr:cNvPr>
          <xdr:cNvCxnSpPr/>
        </xdr:nvCxnSpPr>
        <xdr:spPr>
          <a:xfrm>
            <a:off x="2905832"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99" name="直線接點 98">
            <a:extLst>
              <a:ext uri="{FF2B5EF4-FFF2-40B4-BE49-F238E27FC236}">
                <a16:creationId xmlns:a16="http://schemas.microsoft.com/office/drawing/2014/main" id="{00000000-0008-0000-0900-000063000000}"/>
              </a:ext>
            </a:extLst>
          </xdr:cNvPr>
          <xdr:cNvCxnSpPr/>
        </xdr:nvCxnSpPr>
        <xdr:spPr>
          <a:xfrm>
            <a:off x="3572621"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00" name="直線接點 99">
            <a:extLst>
              <a:ext uri="{FF2B5EF4-FFF2-40B4-BE49-F238E27FC236}">
                <a16:creationId xmlns:a16="http://schemas.microsoft.com/office/drawing/2014/main" id="{00000000-0008-0000-0900-000064000000}"/>
              </a:ext>
            </a:extLst>
          </xdr:cNvPr>
          <xdr:cNvCxnSpPr/>
        </xdr:nvCxnSpPr>
        <xdr:spPr>
          <a:xfrm>
            <a:off x="4239410"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01" name="直線接點 100">
            <a:extLst>
              <a:ext uri="{FF2B5EF4-FFF2-40B4-BE49-F238E27FC236}">
                <a16:creationId xmlns:a16="http://schemas.microsoft.com/office/drawing/2014/main" id="{00000000-0008-0000-0900-000065000000}"/>
              </a:ext>
            </a:extLst>
          </xdr:cNvPr>
          <xdr:cNvCxnSpPr/>
        </xdr:nvCxnSpPr>
        <xdr:spPr>
          <a:xfrm>
            <a:off x="4906199"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02" name="直線接點 101">
            <a:extLst>
              <a:ext uri="{FF2B5EF4-FFF2-40B4-BE49-F238E27FC236}">
                <a16:creationId xmlns:a16="http://schemas.microsoft.com/office/drawing/2014/main" id="{00000000-0008-0000-0900-000066000000}"/>
              </a:ext>
            </a:extLst>
          </xdr:cNvPr>
          <xdr:cNvCxnSpPr/>
        </xdr:nvCxnSpPr>
        <xdr:spPr>
          <a:xfrm>
            <a:off x="5572988"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03" name="直線接點 102">
            <a:extLst>
              <a:ext uri="{FF2B5EF4-FFF2-40B4-BE49-F238E27FC236}">
                <a16:creationId xmlns:a16="http://schemas.microsoft.com/office/drawing/2014/main" id="{00000000-0008-0000-0900-000067000000}"/>
              </a:ext>
            </a:extLst>
          </xdr:cNvPr>
          <xdr:cNvCxnSpPr/>
        </xdr:nvCxnSpPr>
        <xdr:spPr>
          <a:xfrm>
            <a:off x="6239777"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04" name="直線接點 103">
            <a:extLst>
              <a:ext uri="{FF2B5EF4-FFF2-40B4-BE49-F238E27FC236}">
                <a16:creationId xmlns:a16="http://schemas.microsoft.com/office/drawing/2014/main" id="{00000000-0008-0000-0900-000068000000}"/>
              </a:ext>
            </a:extLst>
          </xdr:cNvPr>
          <xdr:cNvCxnSpPr/>
        </xdr:nvCxnSpPr>
        <xdr:spPr>
          <a:xfrm>
            <a:off x="6906566"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05" name="直線接點 104">
            <a:extLst>
              <a:ext uri="{FF2B5EF4-FFF2-40B4-BE49-F238E27FC236}">
                <a16:creationId xmlns:a16="http://schemas.microsoft.com/office/drawing/2014/main" id="{00000000-0008-0000-0900-000069000000}"/>
              </a:ext>
            </a:extLst>
          </xdr:cNvPr>
          <xdr:cNvCxnSpPr/>
        </xdr:nvCxnSpPr>
        <xdr:spPr>
          <a:xfrm>
            <a:off x="7573355"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06" name="直線接點 105">
            <a:extLst>
              <a:ext uri="{FF2B5EF4-FFF2-40B4-BE49-F238E27FC236}">
                <a16:creationId xmlns:a16="http://schemas.microsoft.com/office/drawing/2014/main" id="{00000000-0008-0000-0900-00006A000000}"/>
              </a:ext>
            </a:extLst>
          </xdr:cNvPr>
          <xdr:cNvCxnSpPr/>
        </xdr:nvCxnSpPr>
        <xdr:spPr>
          <a:xfrm>
            <a:off x="8240144"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46</xdr:col>
      <xdr:colOff>394106</xdr:colOff>
      <xdr:row>1</xdr:row>
      <xdr:rowOff>51954</xdr:rowOff>
    </xdr:from>
    <xdr:to>
      <xdr:col>48</xdr:col>
      <xdr:colOff>82377</xdr:colOff>
      <xdr:row>3</xdr:row>
      <xdr:rowOff>17318</xdr:rowOff>
    </xdr:to>
    <xdr:sp macro="" textlink="'商品代碼-中繼頁'!A16">
      <xdr:nvSpPr>
        <xdr:cNvPr id="61" name="文字方塊 60">
          <a:extLst>
            <a:ext uri="{FF2B5EF4-FFF2-40B4-BE49-F238E27FC236}">
              <a16:creationId xmlns:a16="http://schemas.microsoft.com/office/drawing/2014/main" id="{00000000-0008-0000-0900-00003D000000}"/>
            </a:ext>
          </a:extLst>
        </xdr:cNvPr>
        <xdr:cNvSpPr txBox="1"/>
      </xdr:nvSpPr>
      <xdr:spPr>
        <a:xfrm>
          <a:off x="26146242" y="450272"/>
          <a:ext cx="484908" cy="588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8FCBDF4-7565-477A-8504-FF661E1EC461}" type="TxLink">
            <a:rPr lang="en-US" altLang="en-US" sz="2800" b="0" i="0" u="none" strike="noStrike">
              <a:solidFill>
                <a:srgbClr val="297D6B"/>
              </a:solidFill>
              <a:latin typeface="Arial Black" panose="020B0A04020102020204" pitchFamily="34" charset="0"/>
              <a:ea typeface="微軟正黑體"/>
            </a:rPr>
            <a:pPr/>
            <a:t>1</a:t>
          </a:fld>
          <a:endParaRPr lang="zh-TW" altLang="en-US" sz="2800">
            <a:solidFill>
              <a:srgbClr val="297D6B"/>
            </a:solidFill>
            <a:latin typeface="Arial Black" panose="020B0A04020102020204" pitchFamily="34" charset="0"/>
          </a:endParaRPr>
        </a:p>
      </xdr:txBody>
    </xdr:sp>
    <xdr:clientData/>
  </xdr:twoCellAnchor>
  <xdr:twoCellAnchor>
    <xdr:from>
      <xdr:col>48</xdr:col>
      <xdr:colOff>138544</xdr:colOff>
      <xdr:row>1</xdr:row>
      <xdr:rowOff>197427</xdr:rowOff>
    </xdr:from>
    <xdr:to>
      <xdr:col>49</xdr:col>
      <xdr:colOff>204352</xdr:colOff>
      <xdr:row>3</xdr:row>
      <xdr:rowOff>34635</xdr:rowOff>
    </xdr:to>
    <xdr:sp macro="" textlink="'商品代碼-中繼頁'!B16">
      <xdr:nvSpPr>
        <xdr:cNvPr id="64" name="文字方塊 63">
          <a:extLst>
            <a:ext uri="{FF2B5EF4-FFF2-40B4-BE49-F238E27FC236}">
              <a16:creationId xmlns:a16="http://schemas.microsoft.com/office/drawing/2014/main" id="{00000000-0008-0000-0900-000040000000}"/>
            </a:ext>
          </a:extLst>
        </xdr:cNvPr>
        <xdr:cNvSpPr txBox="1"/>
      </xdr:nvSpPr>
      <xdr:spPr>
        <a:xfrm>
          <a:off x="26687317" y="595745"/>
          <a:ext cx="464126" cy="4606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98D057-8F70-4FD6-9D65-EFC4066C089E}" type="TxLink">
            <a:rPr lang="en-US" altLang="en-US" sz="2000" b="0" i="0" u="none" strike="noStrike">
              <a:solidFill>
                <a:srgbClr val="297D6B"/>
              </a:solidFill>
              <a:latin typeface="Arial" panose="020B0604020202020204" pitchFamily="34" charset="0"/>
              <a:ea typeface="微軟正黑體"/>
              <a:cs typeface="Arial" panose="020B0604020202020204" pitchFamily="34" charset="0"/>
            </a:rPr>
            <a:pPr marL="0" indent="0"/>
            <a:t>1</a:t>
          </a:fld>
          <a:endParaRPr lang="zh-TW" altLang="en-US" sz="2000" b="0" i="0" u="none" strike="noStrike">
            <a:solidFill>
              <a:srgbClr val="297D6B"/>
            </a:solidFill>
            <a:latin typeface="Arial" panose="020B0604020202020204" pitchFamily="34" charset="0"/>
            <a:ea typeface="微軟正黑體"/>
            <a:cs typeface="Arial" panose="020B0604020202020204" pitchFamily="34" charset="0"/>
          </a:endParaRPr>
        </a:p>
      </xdr:txBody>
    </xdr:sp>
    <xdr:clientData/>
  </xdr:twoCellAnchor>
  <xdr:twoCellAnchor>
    <xdr:from>
      <xdr:col>47</xdr:col>
      <xdr:colOff>363682</xdr:colOff>
      <xdr:row>1</xdr:row>
      <xdr:rowOff>51955</xdr:rowOff>
    </xdr:from>
    <xdr:to>
      <xdr:col>48</xdr:col>
      <xdr:colOff>242453</xdr:colOff>
      <xdr:row>2</xdr:row>
      <xdr:rowOff>-1</xdr:rowOff>
    </xdr:to>
    <xdr:sp macro="" textlink="">
      <xdr:nvSpPr>
        <xdr:cNvPr id="68" name="文字方塊 67">
          <a:extLst>
            <a:ext uri="{FF2B5EF4-FFF2-40B4-BE49-F238E27FC236}">
              <a16:creationId xmlns:a16="http://schemas.microsoft.com/office/drawing/2014/main" id="{00000000-0008-0000-0900-000044000000}"/>
            </a:ext>
          </a:extLst>
        </xdr:cNvPr>
        <xdr:cNvSpPr txBox="1"/>
      </xdr:nvSpPr>
      <xdr:spPr>
        <a:xfrm>
          <a:off x="26514137" y="450273"/>
          <a:ext cx="277089" cy="4675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2200" b="1">
              <a:solidFill>
                <a:srgbClr val="297D6B"/>
              </a:solidFill>
              <a:latin typeface="+mn-ea"/>
              <a:ea typeface="+mn-ea"/>
            </a:rPr>
            <a:t>/</a:t>
          </a:r>
          <a:endParaRPr lang="zh-TW" altLang="en-US" sz="2200" b="1">
            <a:solidFill>
              <a:srgbClr val="297D6B"/>
            </a:solidFill>
            <a:latin typeface="+mn-ea"/>
            <a:ea typeface="+mn-ea"/>
          </a:endParaRPr>
        </a:p>
      </xdr:txBody>
    </xdr:sp>
    <xdr:clientData/>
  </xdr:twoCellAnchor>
  <xdr:twoCellAnchor editAs="oneCell">
    <xdr:from>
      <xdr:col>43</xdr:col>
      <xdr:colOff>381000</xdr:colOff>
      <xdr:row>1</xdr:row>
      <xdr:rowOff>173181</xdr:rowOff>
    </xdr:from>
    <xdr:to>
      <xdr:col>46</xdr:col>
      <xdr:colOff>333754</xdr:colOff>
      <xdr:row>2</xdr:row>
      <xdr:rowOff>65415</xdr:rowOff>
    </xdr:to>
    <xdr:pic macro="[0]!上一頁_Click">
      <xdr:nvPicPr>
        <xdr:cNvPr id="56" name="圖片 55">
          <a:extLst>
            <a:ext uri="{FF2B5EF4-FFF2-40B4-BE49-F238E27FC236}">
              <a16:creationId xmlns:a16="http://schemas.microsoft.com/office/drawing/2014/main" id="{00000000-0008-0000-0900-000038000000}"/>
            </a:ext>
          </a:extLst>
        </xdr:cNvPr>
        <xdr:cNvPicPr>
          <a:picLocks noChangeAspect="1"/>
        </xdr:cNvPicPr>
      </xdr:nvPicPr>
      <xdr:blipFill>
        <a:blip xmlns:r="http://schemas.openxmlformats.org/officeDocument/2006/relationships" r:embed="rId12"/>
        <a:stretch>
          <a:fillRect/>
        </a:stretch>
      </xdr:blipFill>
      <xdr:spPr>
        <a:xfrm>
          <a:off x="24938182" y="571499"/>
          <a:ext cx="1144533" cy="411780"/>
        </a:xfrm>
        <a:prstGeom prst="rect">
          <a:avLst/>
        </a:prstGeom>
      </xdr:spPr>
    </xdr:pic>
    <xdr:clientData/>
  </xdr:twoCellAnchor>
  <xdr:twoCellAnchor editAs="oneCell">
    <xdr:from>
      <xdr:col>49</xdr:col>
      <xdr:colOff>112089</xdr:colOff>
      <xdr:row>1</xdr:row>
      <xdr:rowOff>173181</xdr:rowOff>
    </xdr:from>
    <xdr:to>
      <xdr:col>52</xdr:col>
      <xdr:colOff>67540</xdr:colOff>
      <xdr:row>2</xdr:row>
      <xdr:rowOff>65414</xdr:rowOff>
    </xdr:to>
    <xdr:pic macro="[0]!下一頁_Click">
      <xdr:nvPicPr>
        <xdr:cNvPr id="57" name="圖片 56">
          <a:extLst>
            <a:ext uri="{FF2B5EF4-FFF2-40B4-BE49-F238E27FC236}">
              <a16:creationId xmlns:a16="http://schemas.microsoft.com/office/drawing/2014/main" id="{00000000-0008-0000-0900-000039000000}"/>
            </a:ext>
          </a:extLst>
        </xdr:cNvPr>
        <xdr:cNvPicPr>
          <a:picLocks noChangeAspect="1"/>
        </xdr:cNvPicPr>
      </xdr:nvPicPr>
      <xdr:blipFill>
        <a:blip xmlns:r="http://schemas.openxmlformats.org/officeDocument/2006/relationships" r:embed="rId13"/>
        <a:stretch>
          <a:fillRect/>
        </a:stretch>
      </xdr:blipFill>
      <xdr:spPr>
        <a:xfrm>
          <a:off x="27059180" y="571499"/>
          <a:ext cx="1150405" cy="41177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10</xdr:col>
      <xdr:colOff>657225</xdr:colOff>
      <xdr:row>0</xdr:row>
      <xdr:rowOff>190500</xdr:rowOff>
    </xdr:from>
    <xdr:to>
      <xdr:col>13</xdr:col>
      <xdr:colOff>107056</xdr:colOff>
      <xdr:row>7</xdr:row>
      <xdr:rowOff>42760</xdr:rowOff>
    </xdr:to>
    <mc:AlternateContent xmlns:mc="http://schemas.openxmlformats.org/markup-compatibility/2006" xmlns:sle15="http://schemas.microsoft.com/office/drawing/2012/slicer">
      <mc:Choice Requires="sle15">
        <xdr:graphicFrame macro="">
          <xdr:nvGraphicFramePr>
            <xdr:cNvPr id="2" name="清單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清單 1"/>
            </a:graphicData>
          </a:graphic>
        </xdr:graphicFrame>
      </mc:Choice>
      <mc:Fallback xmlns="">
        <xdr:sp macro="" textlink="">
          <xdr:nvSpPr>
            <xdr:cNvPr id="0" name=""/>
            <xdr:cNvSpPr>
              <a:spLocks noTextEdit="1"/>
            </xdr:cNvSpPr>
          </xdr:nvSpPr>
          <xdr:spPr>
            <a:xfrm>
              <a:off x="9067800" y="190500"/>
              <a:ext cx="1735831" cy="1252435"/>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oneCellAnchor>
    <xdr:from>
      <xdr:col>20</xdr:col>
      <xdr:colOff>944220</xdr:colOff>
      <xdr:row>44</xdr:row>
      <xdr:rowOff>0</xdr:rowOff>
    </xdr:from>
    <xdr:ext cx="368499" cy="92398"/>
    <xdr:sp macro="" textlink="">
      <xdr:nvSpPr>
        <xdr:cNvPr id="5" name="文字方塊 4">
          <a:extLst>
            <a:ext uri="{FF2B5EF4-FFF2-40B4-BE49-F238E27FC236}">
              <a16:creationId xmlns:a16="http://schemas.microsoft.com/office/drawing/2014/main" id="{00000000-0008-0000-1700-000005000000}"/>
            </a:ext>
          </a:extLst>
        </xdr:cNvPr>
        <xdr:cNvSpPr txBox="1"/>
      </xdr:nvSpPr>
      <xdr:spPr>
        <a:xfrm>
          <a:off x="12329770" y="14408439"/>
          <a:ext cx="368499" cy="923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wordArtVertRtl" wrap="none" rtlCol="0" anchor="t">
          <a:spAutoFit/>
        </a:bodyPr>
        <a:lstStyle/>
        <a:p>
          <a:endParaRPr lang="zh-TW" altLang="en-US" sz="1100"/>
        </a:p>
      </xdr:txBody>
    </xdr:sp>
    <xdr:clientData/>
  </xdr:oneCellAnchor>
  <xdr:twoCellAnchor editAs="oneCell">
    <xdr:from>
      <xdr:col>48</xdr:col>
      <xdr:colOff>36818</xdr:colOff>
      <xdr:row>0</xdr:row>
      <xdr:rowOff>51956</xdr:rowOff>
    </xdr:from>
    <xdr:to>
      <xdr:col>48</xdr:col>
      <xdr:colOff>360507</xdr:colOff>
      <xdr:row>0</xdr:row>
      <xdr:rowOff>389987</xdr:rowOff>
    </xdr:to>
    <xdr:pic>
      <xdr:nvPicPr>
        <xdr:cNvPr id="6" name="圖形 38" descr="首頁 外框">
          <a:extLst>
            <a:ext uri="{FF2B5EF4-FFF2-40B4-BE49-F238E27FC236}">
              <a16:creationId xmlns:a16="http://schemas.microsoft.com/office/drawing/2014/main" id="{00000000-0008-0000-17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7614868" y="51956"/>
          <a:ext cx="323689" cy="338031"/>
        </a:xfrm>
        <a:prstGeom prst="rect">
          <a:avLst/>
        </a:prstGeom>
      </xdr:spPr>
    </xdr:pic>
    <xdr:clientData/>
  </xdr:twoCellAnchor>
  <xdr:twoCellAnchor>
    <xdr:from>
      <xdr:col>48</xdr:col>
      <xdr:colOff>294408</xdr:colOff>
      <xdr:row>0</xdr:row>
      <xdr:rowOff>0</xdr:rowOff>
    </xdr:from>
    <xdr:to>
      <xdr:col>51</xdr:col>
      <xdr:colOff>311727</xdr:colOff>
      <xdr:row>1</xdr:row>
      <xdr:rowOff>36792</xdr:rowOff>
    </xdr:to>
    <xdr:sp macro="" textlink="">
      <xdr:nvSpPr>
        <xdr:cNvPr id="7" name="文字方塊 6">
          <a:hlinkClick xmlns:r="http://schemas.openxmlformats.org/officeDocument/2006/relationships" r:id="rId3"/>
          <a:extLst>
            <a:ext uri="{FF2B5EF4-FFF2-40B4-BE49-F238E27FC236}">
              <a16:creationId xmlns:a16="http://schemas.microsoft.com/office/drawing/2014/main" id="{00000000-0008-0000-1700-000007000000}"/>
            </a:ext>
          </a:extLst>
        </xdr:cNvPr>
        <xdr:cNvSpPr txBox="1"/>
      </xdr:nvSpPr>
      <xdr:spPr>
        <a:xfrm>
          <a:off x="27872458" y="0"/>
          <a:ext cx="1265094" cy="436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回主畫面</a:t>
          </a:r>
        </a:p>
      </xdr:txBody>
    </xdr:sp>
    <xdr:clientData/>
  </xdr:twoCellAnchor>
  <xdr:oneCellAnchor>
    <xdr:from>
      <xdr:col>20</xdr:col>
      <xdr:colOff>944220</xdr:colOff>
      <xdr:row>44</xdr:row>
      <xdr:rowOff>0</xdr:rowOff>
    </xdr:from>
    <xdr:ext cx="368499" cy="92398"/>
    <xdr:sp macro="" textlink="">
      <xdr:nvSpPr>
        <xdr:cNvPr id="24" name="文字方塊 23">
          <a:extLst>
            <a:ext uri="{FF2B5EF4-FFF2-40B4-BE49-F238E27FC236}">
              <a16:creationId xmlns:a16="http://schemas.microsoft.com/office/drawing/2014/main" id="{00000000-0008-0000-1700-000018000000}"/>
            </a:ext>
          </a:extLst>
        </xdr:cNvPr>
        <xdr:cNvSpPr txBox="1"/>
      </xdr:nvSpPr>
      <xdr:spPr>
        <a:xfrm>
          <a:off x="12329770" y="14408439"/>
          <a:ext cx="368499" cy="923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wordArtVertRtl" wrap="none" rtlCol="0" anchor="t">
          <a:spAutoFit/>
        </a:bodyPr>
        <a:lstStyle/>
        <a:p>
          <a:endParaRPr lang="zh-TW" altLang="en-US" sz="1100"/>
        </a:p>
      </xdr:txBody>
    </xdr:sp>
    <xdr:clientData/>
  </xdr:oneCellAnchor>
  <xdr:twoCellAnchor>
    <xdr:from>
      <xdr:col>5</xdr:col>
      <xdr:colOff>269875</xdr:colOff>
      <xdr:row>5</xdr:row>
      <xdr:rowOff>365125</xdr:rowOff>
    </xdr:from>
    <xdr:to>
      <xdr:col>7</xdr:col>
      <xdr:colOff>1270000</xdr:colOff>
      <xdr:row>8</xdr:row>
      <xdr:rowOff>103187</xdr:rowOff>
    </xdr:to>
    <xdr:sp macro="" textlink="">
      <xdr:nvSpPr>
        <xdr:cNvPr id="2" name="文字方塊 1">
          <a:extLst>
            <a:ext uri="{FF2B5EF4-FFF2-40B4-BE49-F238E27FC236}">
              <a16:creationId xmlns:a16="http://schemas.microsoft.com/office/drawing/2014/main" id="{00000000-0008-0000-1700-000002000000}"/>
            </a:ext>
          </a:extLst>
        </xdr:cNvPr>
        <xdr:cNvSpPr txBox="1"/>
      </xdr:nvSpPr>
      <xdr:spPr>
        <a:xfrm>
          <a:off x="635000" y="2079625"/>
          <a:ext cx="4619625" cy="904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400"/>
            <a:t>資料來源：皆來自</a:t>
          </a:r>
          <a:r>
            <a:rPr lang="en-US" altLang="zh-TW" sz="1400"/>
            <a:t>Tssco-bond portfolio(2)</a:t>
          </a:r>
        </a:p>
        <a:p>
          <a:pPr marL="0" marR="0" lvl="0" indent="0" defTabSz="914400" eaLnBrk="1" fontAlgn="auto" latinLnBrk="0" hangingPunct="1">
            <a:lnSpc>
              <a:spcPct val="100000"/>
            </a:lnSpc>
            <a:spcBef>
              <a:spcPts val="0"/>
            </a:spcBef>
            <a:spcAft>
              <a:spcPts val="0"/>
            </a:spcAft>
            <a:buClrTx/>
            <a:buSzTx/>
            <a:buFontTx/>
            <a:buNone/>
            <a:tabLst/>
            <a:defRPr/>
          </a:pPr>
          <a:r>
            <a:rPr lang="en-US" altLang="zh-TW" sz="1400">
              <a:solidFill>
                <a:schemeClr val="dk1"/>
              </a:solidFill>
              <a:effectLst/>
              <a:latin typeface="+mn-lt"/>
              <a:ea typeface="+mn-ea"/>
              <a:cs typeface="+mn-cs"/>
            </a:rPr>
            <a:t>Tssco-bond portfolio(2)</a:t>
          </a:r>
          <a:r>
            <a:rPr lang="zh-TW" altLang="en-US" sz="1400">
              <a:solidFill>
                <a:schemeClr val="dk1"/>
              </a:solidFill>
              <a:effectLst/>
              <a:latin typeface="+mn-lt"/>
              <a:ea typeface="+mn-ea"/>
              <a:cs typeface="+mn-cs"/>
            </a:rPr>
            <a:t>的資料來自商品代碼</a:t>
          </a:r>
          <a:r>
            <a:rPr lang="en-US" altLang="zh-TW" sz="1400">
              <a:solidFill>
                <a:schemeClr val="dk1"/>
              </a:solidFill>
              <a:effectLst/>
              <a:latin typeface="+mn-lt"/>
              <a:ea typeface="+mn-ea"/>
              <a:cs typeface="+mn-cs"/>
            </a:rPr>
            <a:t>-</a:t>
          </a:r>
          <a:r>
            <a:rPr lang="zh-TW" altLang="en-US" sz="1400">
              <a:solidFill>
                <a:schemeClr val="dk1"/>
              </a:solidFill>
              <a:effectLst/>
              <a:latin typeface="+mn-lt"/>
              <a:ea typeface="+mn-ea"/>
              <a:cs typeface="+mn-cs"/>
            </a:rPr>
            <a:t>中繼頁</a:t>
          </a:r>
          <a:endParaRPr lang="zh-TW" altLang="zh-TW" sz="1400">
            <a:effectLst/>
          </a:endParaRPr>
        </a:p>
        <a:p>
          <a:endParaRPr lang="zh-TW" alt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799812</xdr:colOff>
      <xdr:row>59</xdr:row>
      <xdr:rowOff>155863</xdr:rowOff>
    </xdr:from>
    <xdr:to>
      <xdr:col>11</xdr:col>
      <xdr:colOff>349251</xdr:colOff>
      <xdr:row>66</xdr:row>
      <xdr:rowOff>467590</xdr:rowOff>
    </xdr:to>
    <xdr:grpSp>
      <xdr:nvGrpSpPr>
        <xdr:cNvPr id="45" name="群組 44">
          <a:extLst>
            <a:ext uri="{FF2B5EF4-FFF2-40B4-BE49-F238E27FC236}">
              <a16:creationId xmlns:a16="http://schemas.microsoft.com/office/drawing/2014/main" id="{00000000-0008-0000-1F00-00002D000000}"/>
            </a:ext>
          </a:extLst>
        </xdr:cNvPr>
        <xdr:cNvGrpSpPr/>
      </xdr:nvGrpSpPr>
      <xdr:grpSpPr>
        <a:xfrm>
          <a:off x="1244312" y="23327013"/>
          <a:ext cx="10649239" cy="3994727"/>
          <a:chOff x="905465" y="8497206"/>
          <a:chExt cx="7334679" cy="3996000"/>
        </a:xfrm>
      </xdr:grpSpPr>
      <xdr:cxnSp macro="">
        <xdr:nvCxnSpPr>
          <xdr:cNvPr id="42" name="直線接點 41">
            <a:extLst>
              <a:ext uri="{FF2B5EF4-FFF2-40B4-BE49-F238E27FC236}">
                <a16:creationId xmlns:a16="http://schemas.microsoft.com/office/drawing/2014/main" id="{00000000-0008-0000-1F00-00002A000000}"/>
              </a:ext>
            </a:extLst>
          </xdr:cNvPr>
          <xdr:cNvCxnSpPr/>
        </xdr:nvCxnSpPr>
        <xdr:spPr>
          <a:xfrm>
            <a:off x="6906566"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1F00-000010000000}"/>
              </a:ext>
            </a:extLst>
          </xdr:cNvPr>
          <xdr:cNvCxnSpPr/>
        </xdr:nvCxnSpPr>
        <xdr:spPr>
          <a:xfrm>
            <a:off x="905465"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34" name="直線接點 33">
            <a:extLst>
              <a:ext uri="{FF2B5EF4-FFF2-40B4-BE49-F238E27FC236}">
                <a16:creationId xmlns:a16="http://schemas.microsoft.com/office/drawing/2014/main" id="{00000000-0008-0000-1F00-000022000000}"/>
              </a:ext>
            </a:extLst>
          </xdr:cNvPr>
          <xdr:cNvCxnSpPr/>
        </xdr:nvCxnSpPr>
        <xdr:spPr>
          <a:xfrm>
            <a:off x="1572254"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35" name="直線接點 34">
            <a:extLst>
              <a:ext uri="{FF2B5EF4-FFF2-40B4-BE49-F238E27FC236}">
                <a16:creationId xmlns:a16="http://schemas.microsoft.com/office/drawing/2014/main" id="{00000000-0008-0000-1F00-000023000000}"/>
              </a:ext>
            </a:extLst>
          </xdr:cNvPr>
          <xdr:cNvCxnSpPr/>
        </xdr:nvCxnSpPr>
        <xdr:spPr>
          <a:xfrm>
            <a:off x="2239043"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36" name="直線接點 35">
            <a:extLst>
              <a:ext uri="{FF2B5EF4-FFF2-40B4-BE49-F238E27FC236}">
                <a16:creationId xmlns:a16="http://schemas.microsoft.com/office/drawing/2014/main" id="{00000000-0008-0000-1F00-000024000000}"/>
              </a:ext>
            </a:extLst>
          </xdr:cNvPr>
          <xdr:cNvCxnSpPr/>
        </xdr:nvCxnSpPr>
        <xdr:spPr>
          <a:xfrm>
            <a:off x="2905832"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37" name="直線接點 36">
            <a:extLst>
              <a:ext uri="{FF2B5EF4-FFF2-40B4-BE49-F238E27FC236}">
                <a16:creationId xmlns:a16="http://schemas.microsoft.com/office/drawing/2014/main" id="{00000000-0008-0000-1F00-000025000000}"/>
              </a:ext>
            </a:extLst>
          </xdr:cNvPr>
          <xdr:cNvCxnSpPr/>
        </xdr:nvCxnSpPr>
        <xdr:spPr>
          <a:xfrm>
            <a:off x="3572621"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38" name="直線接點 37">
            <a:extLst>
              <a:ext uri="{FF2B5EF4-FFF2-40B4-BE49-F238E27FC236}">
                <a16:creationId xmlns:a16="http://schemas.microsoft.com/office/drawing/2014/main" id="{00000000-0008-0000-1F00-000026000000}"/>
              </a:ext>
            </a:extLst>
          </xdr:cNvPr>
          <xdr:cNvCxnSpPr/>
        </xdr:nvCxnSpPr>
        <xdr:spPr>
          <a:xfrm>
            <a:off x="4239410"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39" name="直線接點 38">
            <a:extLst>
              <a:ext uri="{FF2B5EF4-FFF2-40B4-BE49-F238E27FC236}">
                <a16:creationId xmlns:a16="http://schemas.microsoft.com/office/drawing/2014/main" id="{00000000-0008-0000-1F00-000027000000}"/>
              </a:ext>
            </a:extLst>
          </xdr:cNvPr>
          <xdr:cNvCxnSpPr/>
        </xdr:nvCxnSpPr>
        <xdr:spPr>
          <a:xfrm>
            <a:off x="4906199"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40" name="直線接點 39">
            <a:extLst>
              <a:ext uri="{FF2B5EF4-FFF2-40B4-BE49-F238E27FC236}">
                <a16:creationId xmlns:a16="http://schemas.microsoft.com/office/drawing/2014/main" id="{00000000-0008-0000-1F00-000028000000}"/>
              </a:ext>
            </a:extLst>
          </xdr:cNvPr>
          <xdr:cNvCxnSpPr/>
        </xdr:nvCxnSpPr>
        <xdr:spPr>
          <a:xfrm>
            <a:off x="5572988"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41" name="直線接點 40">
            <a:extLst>
              <a:ext uri="{FF2B5EF4-FFF2-40B4-BE49-F238E27FC236}">
                <a16:creationId xmlns:a16="http://schemas.microsoft.com/office/drawing/2014/main" id="{00000000-0008-0000-1F00-000029000000}"/>
              </a:ext>
            </a:extLst>
          </xdr:cNvPr>
          <xdr:cNvCxnSpPr/>
        </xdr:nvCxnSpPr>
        <xdr:spPr>
          <a:xfrm>
            <a:off x="6239777"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43" name="直線接點 42">
            <a:extLst>
              <a:ext uri="{FF2B5EF4-FFF2-40B4-BE49-F238E27FC236}">
                <a16:creationId xmlns:a16="http://schemas.microsoft.com/office/drawing/2014/main" id="{00000000-0008-0000-1F00-00002B000000}"/>
              </a:ext>
            </a:extLst>
          </xdr:cNvPr>
          <xdr:cNvCxnSpPr/>
        </xdr:nvCxnSpPr>
        <xdr:spPr>
          <a:xfrm>
            <a:off x="7573355"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44" name="直線接點 43">
            <a:extLst>
              <a:ext uri="{FF2B5EF4-FFF2-40B4-BE49-F238E27FC236}">
                <a16:creationId xmlns:a16="http://schemas.microsoft.com/office/drawing/2014/main" id="{00000000-0008-0000-1F00-00002C000000}"/>
              </a:ext>
            </a:extLst>
          </xdr:cNvPr>
          <xdr:cNvCxnSpPr/>
        </xdr:nvCxnSpPr>
        <xdr:spPr>
          <a:xfrm>
            <a:off x="8240144" y="8497206"/>
            <a:ext cx="0" cy="3996000"/>
          </a:xfrm>
          <a:prstGeom prst="line">
            <a:avLst/>
          </a:prstGeom>
          <a:ln>
            <a:solidFill>
              <a:srgbClr val="B3863B"/>
            </a:solidFill>
            <a:prstDash val="dash"/>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294409</xdr:colOff>
      <xdr:row>57</xdr:row>
      <xdr:rowOff>105638</xdr:rowOff>
    </xdr:from>
    <xdr:to>
      <xdr:col>12</xdr:col>
      <xdr:colOff>484187</xdr:colOff>
      <xdr:row>68</xdr:row>
      <xdr:rowOff>20494</xdr:rowOff>
    </xdr:to>
    <xdr:grpSp>
      <xdr:nvGrpSpPr>
        <xdr:cNvPr id="6" name="群組 5">
          <a:extLst>
            <a:ext uri="{FF2B5EF4-FFF2-40B4-BE49-F238E27FC236}">
              <a16:creationId xmlns:a16="http://schemas.microsoft.com/office/drawing/2014/main" id="{00000000-0008-0000-1F00-000006000000}"/>
            </a:ext>
          </a:extLst>
        </xdr:cNvPr>
        <xdr:cNvGrpSpPr/>
      </xdr:nvGrpSpPr>
      <xdr:grpSpPr>
        <a:xfrm>
          <a:off x="738909" y="22222688"/>
          <a:ext cx="12927878" cy="5693356"/>
          <a:chOff x="571501" y="8242633"/>
          <a:chExt cx="9216000" cy="5975598"/>
        </a:xfrm>
      </xdr:grpSpPr>
      <xdr:graphicFrame macro="">
        <xdr:nvGraphicFramePr>
          <xdr:cNvPr id="5" name="圖表 4">
            <a:extLst>
              <a:ext uri="{FF2B5EF4-FFF2-40B4-BE49-F238E27FC236}">
                <a16:creationId xmlns:a16="http://schemas.microsoft.com/office/drawing/2014/main" id="{00000000-0008-0000-1F00-000005000000}"/>
              </a:ext>
            </a:extLst>
          </xdr:cNvPr>
          <xdr:cNvGraphicFramePr>
            <a:graphicFrameLocks/>
          </xdr:cNvGraphicFramePr>
        </xdr:nvGraphicFramePr>
        <xdr:xfrm>
          <a:off x="571501" y="8747875"/>
          <a:ext cx="8659090" cy="5470356"/>
        </xdr:xfrm>
        <a:graphic>
          <a:graphicData uri="http://schemas.openxmlformats.org/drawingml/2006/chart">
            <c:chart xmlns:c="http://schemas.openxmlformats.org/drawingml/2006/chart" xmlns:r="http://schemas.openxmlformats.org/officeDocument/2006/relationships" r:id="rId1"/>
          </a:graphicData>
        </a:graphic>
      </xdr:graphicFrame>
      <xdr:sp macro="" textlink="'Tssco-bond portfolio(Pro)'!G30">
        <xdr:nvSpPr>
          <xdr:cNvPr id="31" name="文字方塊 30">
            <a:extLst>
              <a:ext uri="{FF2B5EF4-FFF2-40B4-BE49-F238E27FC236}">
                <a16:creationId xmlns:a16="http://schemas.microsoft.com/office/drawing/2014/main" id="{00000000-0008-0000-1F00-00001F000000}"/>
              </a:ext>
            </a:extLst>
          </xdr:cNvPr>
          <xdr:cNvSpPr txBox="1"/>
        </xdr:nvSpPr>
        <xdr:spPr>
          <a:xfrm rot="19620153">
            <a:off x="8232271" y="8409069"/>
            <a:ext cx="1555230"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436EC0CB-E800-4300-B7CE-419139780DA2}" type="TxLink">
              <a:rPr lang="en-US" altLang="en-US" sz="1600" b="0" i="0" u="none" strike="noStrike">
                <a:solidFill>
                  <a:srgbClr val="000000"/>
                </a:solidFill>
                <a:latin typeface="微軟正黑體"/>
                <a:ea typeface="微軟正黑體"/>
              </a:rPr>
              <a:pPr/>
              <a:t>334,960</a:t>
            </a:fld>
            <a:endParaRPr lang="zh-TW" altLang="en-US" sz="1100">
              <a:solidFill>
                <a:schemeClr val="tx1">
                  <a:lumMod val="85000"/>
                  <a:lumOff val="15000"/>
                </a:schemeClr>
              </a:solidFill>
            </a:endParaRPr>
          </a:p>
        </xdr:txBody>
      </xdr:sp>
      <xdr:sp macro="" textlink="'Tssco-bond portfolio(Pro)'!G19">
        <xdr:nvSpPr>
          <xdr:cNvPr id="7" name="文字方塊 6">
            <a:extLst>
              <a:ext uri="{FF2B5EF4-FFF2-40B4-BE49-F238E27FC236}">
                <a16:creationId xmlns:a16="http://schemas.microsoft.com/office/drawing/2014/main" id="{00000000-0008-0000-1F00-000007000000}"/>
              </a:ext>
            </a:extLst>
          </xdr:cNvPr>
          <xdr:cNvSpPr txBox="1"/>
        </xdr:nvSpPr>
        <xdr:spPr>
          <a:xfrm rot="19620153">
            <a:off x="596420" y="8242633"/>
            <a:ext cx="2121769"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368A37C-B37C-492F-8D8B-DC64231900DA}" type="TxLink">
              <a:rPr lang="en-US" altLang="en-US" sz="1600" b="0" i="0" u="none" strike="noStrike">
                <a:solidFill>
                  <a:srgbClr val="000000"/>
                </a:solidFill>
                <a:latin typeface="微軟正黑體"/>
                <a:ea typeface="微軟正黑體"/>
              </a:rPr>
              <a:pPr/>
              <a:t>500,613</a:t>
            </a:fld>
            <a:endParaRPr lang="zh-TW" altLang="en-US" sz="1600">
              <a:solidFill>
                <a:schemeClr val="tx1">
                  <a:lumMod val="85000"/>
                  <a:lumOff val="15000"/>
                </a:schemeClr>
              </a:solidFill>
            </a:endParaRPr>
          </a:p>
        </xdr:txBody>
      </xdr:sp>
      <xdr:sp macro="" textlink="'Tssco-bond portfolio(Pro)'!G20">
        <xdr:nvSpPr>
          <xdr:cNvPr id="18" name="文字方塊 17">
            <a:extLst>
              <a:ext uri="{FF2B5EF4-FFF2-40B4-BE49-F238E27FC236}">
                <a16:creationId xmlns:a16="http://schemas.microsoft.com/office/drawing/2014/main" id="{00000000-0008-0000-1F00-000012000000}"/>
              </a:ext>
            </a:extLst>
          </xdr:cNvPr>
          <xdr:cNvSpPr txBox="1"/>
        </xdr:nvSpPr>
        <xdr:spPr>
          <a:xfrm rot="19620153">
            <a:off x="1352934" y="8341479"/>
            <a:ext cx="1785306"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08B4DD6-229C-4D57-842B-C7F37E2B479E}" type="TxLink">
              <a:rPr lang="en-US" altLang="en-US" sz="1600" b="0" i="0" u="none" strike="noStrike">
                <a:solidFill>
                  <a:srgbClr val="000000"/>
                </a:solidFill>
                <a:latin typeface="微軟正黑體"/>
                <a:ea typeface="微軟正黑體"/>
              </a:rPr>
              <a:pPr/>
              <a:t>0</a:t>
            </a:fld>
            <a:endParaRPr lang="zh-TW" altLang="en-US" sz="1600">
              <a:solidFill>
                <a:schemeClr val="tx1">
                  <a:lumMod val="85000"/>
                  <a:lumOff val="15000"/>
                </a:schemeClr>
              </a:solidFill>
            </a:endParaRPr>
          </a:p>
        </xdr:txBody>
      </xdr:sp>
      <xdr:sp macro="" textlink="'Tssco-bond portfolio(Pro)'!G21">
        <xdr:nvSpPr>
          <xdr:cNvPr id="19" name="文字方塊 18">
            <a:extLst>
              <a:ext uri="{FF2B5EF4-FFF2-40B4-BE49-F238E27FC236}">
                <a16:creationId xmlns:a16="http://schemas.microsoft.com/office/drawing/2014/main" id="{00000000-0008-0000-1F00-000013000000}"/>
              </a:ext>
            </a:extLst>
          </xdr:cNvPr>
          <xdr:cNvSpPr txBox="1"/>
        </xdr:nvSpPr>
        <xdr:spPr>
          <a:xfrm rot="19620153">
            <a:off x="1996075" y="8331688"/>
            <a:ext cx="1818632"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BF6D99AD-DC9D-410E-84EC-8EF0645F97E9}" type="TxLink">
              <a:rPr lang="en-US" altLang="en-US" sz="1600" b="0" i="0" u="none" strike="noStrike">
                <a:solidFill>
                  <a:srgbClr val="000000"/>
                </a:solidFill>
                <a:latin typeface="微軟正黑體"/>
                <a:ea typeface="微軟正黑體"/>
              </a:rPr>
              <a:pPr/>
              <a:t>276,089</a:t>
            </a:fld>
            <a:endParaRPr lang="zh-TW" altLang="en-US" sz="1100">
              <a:solidFill>
                <a:schemeClr val="tx1">
                  <a:lumMod val="85000"/>
                  <a:lumOff val="15000"/>
                </a:schemeClr>
              </a:solidFill>
            </a:endParaRPr>
          </a:p>
        </xdr:txBody>
      </xdr:sp>
      <xdr:sp macro="" textlink="'Tssco-bond portfolio(Pro)'!G22">
        <xdr:nvSpPr>
          <xdr:cNvPr id="20" name="文字方塊 19">
            <a:extLst>
              <a:ext uri="{FF2B5EF4-FFF2-40B4-BE49-F238E27FC236}">
                <a16:creationId xmlns:a16="http://schemas.microsoft.com/office/drawing/2014/main" id="{00000000-0008-0000-1F00-000014000000}"/>
              </a:ext>
            </a:extLst>
          </xdr:cNvPr>
          <xdr:cNvSpPr txBox="1"/>
        </xdr:nvSpPr>
        <xdr:spPr>
          <a:xfrm rot="19620153">
            <a:off x="2721618" y="8373256"/>
            <a:ext cx="1677139"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FEFA43B7-A025-457A-A95C-311D6A893397}" type="TxLink">
              <a:rPr lang="en-US" altLang="en-US" sz="1600" b="0" i="0" u="none" strike="noStrike">
                <a:solidFill>
                  <a:srgbClr val="000000"/>
                </a:solidFill>
                <a:latin typeface="微軟正黑體"/>
                <a:ea typeface="微軟正黑體"/>
              </a:rPr>
              <a:pPr/>
              <a:t>0</a:t>
            </a:fld>
            <a:endParaRPr lang="zh-TW" altLang="en-US" sz="1100">
              <a:solidFill>
                <a:schemeClr val="tx1">
                  <a:lumMod val="85000"/>
                  <a:lumOff val="15000"/>
                </a:schemeClr>
              </a:solidFill>
            </a:endParaRPr>
          </a:p>
        </xdr:txBody>
      </xdr:sp>
      <xdr:sp macro="" textlink="'Tssco-bond portfolio(Pro)'!G23">
        <xdr:nvSpPr>
          <xdr:cNvPr id="24" name="文字方塊 23">
            <a:extLst>
              <a:ext uri="{FF2B5EF4-FFF2-40B4-BE49-F238E27FC236}">
                <a16:creationId xmlns:a16="http://schemas.microsoft.com/office/drawing/2014/main" id="{00000000-0008-0000-1F00-000018000000}"/>
              </a:ext>
            </a:extLst>
          </xdr:cNvPr>
          <xdr:cNvSpPr txBox="1"/>
        </xdr:nvSpPr>
        <xdr:spPr>
          <a:xfrm rot="19620153">
            <a:off x="3357626" y="8348141"/>
            <a:ext cx="1762621"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723D9583-F2E6-45BA-BC07-C5ED34FFEFE3}" type="TxLink">
              <a:rPr lang="en-US" altLang="en-US" sz="1600" b="0" i="0" u="none" strike="noStrike">
                <a:solidFill>
                  <a:srgbClr val="000000"/>
                </a:solidFill>
                <a:latin typeface="微軟正黑體"/>
                <a:ea typeface="微軟正黑體"/>
              </a:rPr>
              <a:pPr/>
              <a:t>0</a:t>
            </a:fld>
            <a:endParaRPr lang="zh-TW" altLang="en-US" sz="1100">
              <a:solidFill>
                <a:schemeClr val="tx1">
                  <a:lumMod val="85000"/>
                  <a:lumOff val="15000"/>
                </a:schemeClr>
              </a:solidFill>
            </a:endParaRPr>
          </a:p>
        </xdr:txBody>
      </xdr:sp>
      <xdr:sp macro="" textlink="'Tssco-bond portfolio(Pro)'!G25">
        <xdr:nvSpPr>
          <xdr:cNvPr id="26" name="文字方塊 25">
            <a:extLst>
              <a:ext uri="{FF2B5EF4-FFF2-40B4-BE49-F238E27FC236}">
                <a16:creationId xmlns:a16="http://schemas.microsoft.com/office/drawing/2014/main" id="{00000000-0008-0000-1F00-00001A000000}"/>
              </a:ext>
            </a:extLst>
          </xdr:cNvPr>
          <xdr:cNvSpPr txBox="1"/>
        </xdr:nvSpPr>
        <xdr:spPr>
          <a:xfrm rot="19620153">
            <a:off x="4724661" y="8314376"/>
            <a:ext cx="1877560"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B09E92D1-55DB-45E3-9216-EE80E1BF3D2A}" type="TxLink">
              <a:rPr lang="en-US" altLang="en-US" sz="1600" b="0" i="0" u="none" strike="noStrike">
                <a:solidFill>
                  <a:srgbClr val="000000"/>
                </a:solidFill>
                <a:latin typeface="微軟正黑體"/>
                <a:ea typeface="微軟正黑體"/>
              </a:rPr>
              <a:pPr/>
              <a:t>500,613</a:t>
            </a:fld>
            <a:endParaRPr lang="zh-TW" altLang="en-US" sz="1100">
              <a:solidFill>
                <a:schemeClr val="tx1">
                  <a:lumMod val="85000"/>
                  <a:lumOff val="15000"/>
                </a:schemeClr>
              </a:solidFill>
            </a:endParaRPr>
          </a:p>
        </xdr:txBody>
      </xdr:sp>
      <xdr:sp macro="" textlink="'Tssco-bond portfolio(Pro)'!G26">
        <xdr:nvSpPr>
          <xdr:cNvPr id="27" name="文字方塊 26">
            <a:extLst>
              <a:ext uri="{FF2B5EF4-FFF2-40B4-BE49-F238E27FC236}">
                <a16:creationId xmlns:a16="http://schemas.microsoft.com/office/drawing/2014/main" id="{00000000-0008-0000-1F00-00001B000000}"/>
              </a:ext>
            </a:extLst>
          </xdr:cNvPr>
          <xdr:cNvSpPr txBox="1"/>
        </xdr:nvSpPr>
        <xdr:spPr>
          <a:xfrm rot="19620153">
            <a:off x="5482844" y="8413544"/>
            <a:ext cx="1540004"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2ED38BF3-CBF8-4F27-885C-96F921C4A0EB}" type="TxLink">
              <a:rPr lang="en-US" altLang="en-US" sz="1600" b="0" i="0" u="none" strike="noStrike">
                <a:solidFill>
                  <a:srgbClr val="000000"/>
                </a:solidFill>
                <a:latin typeface="微軟正黑體"/>
                <a:ea typeface="微軟正黑體"/>
              </a:rPr>
              <a:pPr/>
              <a:t>0</a:t>
            </a:fld>
            <a:endParaRPr lang="zh-TW" altLang="en-US" sz="1100">
              <a:solidFill>
                <a:schemeClr val="tx1">
                  <a:lumMod val="85000"/>
                  <a:lumOff val="15000"/>
                </a:schemeClr>
              </a:solidFill>
            </a:endParaRPr>
          </a:p>
        </xdr:txBody>
      </xdr:sp>
      <xdr:sp macro="" textlink="'Tssco-bond portfolio(Pro)'!G27">
        <xdr:nvSpPr>
          <xdr:cNvPr id="28" name="文字方塊 27">
            <a:extLst>
              <a:ext uri="{FF2B5EF4-FFF2-40B4-BE49-F238E27FC236}">
                <a16:creationId xmlns:a16="http://schemas.microsoft.com/office/drawing/2014/main" id="{00000000-0008-0000-1F00-00001C000000}"/>
              </a:ext>
            </a:extLst>
          </xdr:cNvPr>
          <xdr:cNvSpPr txBox="1"/>
        </xdr:nvSpPr>
        <xdr:spPr>
          <a:xfrm rot="19620153">
            <a:off x="6178027" y="8461754"/>
            <a:ext cx="1425175"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1B5713D0-299D-4E9D-BE20-ED1384DDE1A2}" type="TxLink">
              <a:rPr lang="en-US" altLang="en-US" sz="1600" b="0" i="0" u="none" strike="noStrike">
                <a:solidFill>
                  <a:srgbClr val="000000"/>
                </a:solidFill>
                <a:latin typeface="微軟正黑體"/>
                <a:ea typeface="微軟正黑體"/>
              </a:rPr>
              <a:pPr/>
              <a:t>276,089</a:t>
            </a:fld>
            <a:endParaRPr lang="zh-TW" altLang="en-US" sz="1100">
              <a:solidFill>
                <a:schemeClr val="tx1">
                  <a:lumMod val="85000"/>
                  <a:lumOff val="15000"/>
                </a:schemeClr>
              </a:solidFill>
            </a:endParaRPr>
          </a:p>
        </xdr:txBody>
      </xdr:sp>
      <xdr:sp macro="" textlink="'Tssco-bond portfolio(Pro)'!G28">
        <xdr:nvSpPr>
          <xdr:cNvPr id="29" name="文字方塊 28">
            <a:extLst>
              <a:ext uri="{FF2B5EF4-FFF2-40B4-BE49-F238E27FC236}">
                <a16:creationId xmlns:a16="http://schemas.microsoft.com/office/drawing/2014/main" id="{00000000-0008-0000-1F00-00001D000000}"/>
              </a:ext>
            </a:extLst>
          </xdr:cNvPr>
          <xdr:cNvSpPr txBox="1"/>
        </xdr:nvSpPr>
        <xdr:spPr>
          <a:xfrm rot="19620153">
            <a:off x="6850117" y="8423867"/>
            <a:ext cx="1504859"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BCA5DF6-112C-4132-8350-37F0F3624617}" type="TxLink">
              <a:rPr lang="en-US" altLang="en-US" sz="1600" b="0" i="0" u="none" strike="noStrike">
                <a:solidFill>
                  <a:srgbClr val="000000"/>
                </a:solidFill>
                <a:latin typeface="微軟正黑體"/>
                <a:ea typeface="微軟正黑體"/>
              </a:rPr>
              <a:pPr/>
              <a:t>0</a:t>
            </a:fld>
            <a:endParaRPr lang="zh-TW" altLang="en-US" sz="1100">
              <a:solidFill>
                <a:schemeClr val="tx1">
                  <a:lumMod val="85000"/>
                  <a:lumOff val="15000"/>
                </a:schemeClr>
              </a:solidFill>
            </a:endParaRPr>
          </a:p>
        </xdr:txBody>
      </xdr:sp>
      <xdr:sp macro="" textlink="'Tssco-bond portfolio(Pro)'!G29">
        <xdr:nvSpPr>
          <xdr:cNvPr id="30" name="文字方塊 29">
            <a:extLst>
              <a:ext uri="{FF2B5EF4-FFF2-40B4-BE49-F238E27FC236}">
                <a16:creationId xmlns:a16="http://schemas.microsoft.com/office/drawing/2014/main" id="{00000000-0008-0000-1F00-00001E000000}"/>
              </a:ext>
            </a:extLst>
          </xdr:cNvPr>
          <xdr:cNvSpPr txBox="1"/>
        </xdr:nvSpPr>
        <xdr:spPr>
          <a:xfrm rot="19620153">
            <a:off x="7541126" y="8341439"/>
            <a:ext cx="1785438"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097C9C81-39D2-4DCB-AA1B-BBEDB1D1035A}" type="TxLink">
              <a:rPr lang="en-US" altLang="en-US" sz="1600" b="0" i="0" u="none" strike="noStrike">
                <a:solidFill>
                  <a:srgbClr val="000000"/>
                </a:solidFill>
                <a:latin typeface="微軟正黑體"/>
                <a:ea typeface="微軟正黑體"/>
              </a:rPr>
              <a:pPr/>
              <a:t>0</a:t>
            </a:fld>
            <a:endParaRPr lang="zh-TW" altLang="en-US" sz="1100">
              <a:solidFill>
                <a:schemeClr val="tx1">
                  <a:lumMod val="85000"/>
                  <a:lumOff val="15000"/>
                </a:schemeClr>
              </a:solidFill>
            </a:endParaRPr>
          </a:p>
        </xdr:txBody>
      </xdr:sp>
      <xdr:sp macro="" textlink="'Tssco-bond portfolio(Pro)'!G24">
        <xdr:nvSpPr>
          <xdr:cNvPr id="33" name="文字方塊 32">
            <a:extLst>
              <a:ext uri="{FF2B5EF4-FFF2-40B4-BE49-F238E27FC236}">
                <a16:creationId xmlns:a16="http://schemas.microsoft.com/office/drawing/2014/main" id="{00000000-0008-0000-1F00-000021000000}"/>
              </a:ext>
            </a:extLst>
          </xdr:cNvPr>
          <xdr:cNvSpPr txBox="1"/>
        </xdr:nvSpPr>
        <xdr:spPr>
          <a:xfrm rot="19620153">
            <a:off x="4079978" y="8376303"/>
            <a:ext cx="1666764" cy="450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0D3912A-D021-4DBA-B674-A71A0DF85AD9}" type="TxLink">
              <a:rPr lang="en-US" altLang="en-US" sz="1600" b="0" i="0" u="none" strike="noStrike">
                <a:solidFill>
                  <a:srgbClr val="000000"/>
                </a:solidFill>
                <a:latin typeface="微軟正黑體"/>
                <a:ea typeface="微軟正黑體"/>
              </a:rPr>
              <a:pPr/>
              <a:t>334,960</a:t>
            </a:fld>
            <a:endParaRPr lang="zh-TW" altLang="en-US" sz="1100">
              <a:solidFill>
                <a:schemeClr val="tx1">
                  <a:lumMod val="85000"/>
                  <a:lumOff val="15000"/>
                </a:schemeClr>
              </a:solidFill>
            </a:endParaRPr>
          </a:p>
        </xdr:txBody>
      </xdr:sp>
    </xdr:grpSp>
    <xdr:clientData/>
  </xdr:twoCellAnchor>
  <xdr:twoCellAnchor>
    <xdr:from>
      <xdr:col>9</xdr:col>
      <xdr:colOff>1157152</xdr:colOff>
      <xdr:row>42</xdr:row>
      <xdr:rowOff>110257</xdr:rowOff>
    </xdr:from>
    <xdr:to>
      <xdr:col>11</xdr:col>
      <xdr:colOff>116188</xdr:colOff>
      <xdr:row>43</xdr:row>
      <xdr:rowOff>138544</xdr:rowOff>
    </xdr:to>
    <xdr:sp macro="" textlink="">
      <xdr:nvSpPr>
        <xdr:cNvPr id="51" name="圓角矩形 50">
          <a:extLst>
            <a:ext uri="{FF2B5EF4-FFF2-40B4-BE49-F238E27FC236}">
              <a16:creationId xmlns:a16="http://schemas.microsoft.com/office/drawing/2014/main" id="{00000000-0008-0000-1F00-000033000000}"/>
            </a:ext>
          </a:extLst>
        </xdr:cNvPr>
        <xdr:cNvSpPr/>
      </xdr:nvSpPr>
      <xdr:spPr>
        <a:xfrm>
          <a:off x="9279379" y="15315621"/>
          <a:ext cx="2007036" cy="513196"/>
        </a:xfrm>
        <a:prstGeom prst="roundRect">
          <a:avLst/>
        </a:prstGeom>
        <a:solidFill>
          <a:srgbClr val="297D6B"/>
        </a:solid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latin typeface="+mj-ea"/>
              <a:ea typeface="+mj-ea"/>
            </a:rPr>
            <a:t>報 酬 率 選 單</a:t>
          </a:r>
        </a:p>
      </xdr:txBody>
    </xdr:sp>
    <xdr:clientData/>
  </xdr:twoCellAnchor>
  <xdr:twoCellAnchor>
    <xdr:from>
      <xdr:col>5</xdr:col>
      <xdr:colOff>210994</xdr:colOff>
      <xdr:row>43</xdr:row>
      <xdr:rowOff>242454</xdr:rowOff>
    </xdr:from>
    <xdr:to>
      <xdr:col>21</xdr:col>
      <xdr:colOff>2885</xdr:colOff>
      <xdr:row>55</xdr:row>
      <xdr:rowOff>34637</xdr:rowOff>
    </xdr:to>
    <xdr:graphicFrame macro="">
      <xdr:nvGraphicFramePr>
        <xdr:cNvPr id="8" name="圖表 3">
          <a:extLst>
            <a:ext uri="{FF2B5EF4-FFF2-40B4-BE49-F238E27FC236}">
              <a16:creationId xmlns:a16="http://schemas.microsoft.com/office/drawing/2014/main" id="{00000000-0008-0000-1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6</xdr:col>
      <xdr:colOff>944220</xdr:colOff>
      <xdr:row>68</xdr:row>
      <xdr:rowOff>346364</xdr:rowOff>
    </xdr:from>
    <xdr:ext cx="368499" cy="92398"/>
    <xdr:sp macro="" textlink="">
      <xdr:nvSpPr>
        <xdr:cNvPr id="10" name="文字方塊 9">
          <a:extLst>
            <a:ext uri="{FF2B5EF4-FFF2-40B4-BE49-F238E27FC236}">
              <a16:creationId xmlns:a16="http://schemas.microsoft.com/office/drawing/2014/main" id="{00000000-0008-0000-1F00-00000A000000}"/>
            </a:ext>
          </a:extLst>
        </xdr:cNvPr>
        <xdr:cNvSpPr txBox="1"/>
      </xdr:nvSpPr>
      <xdr:spPr>
        <a:xfrm>
          <a:off x="2502856" y="13490864"/>
          <a:ext cx="368499" cy="923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wordArtVertRtl" wrap="none" rtlCol="0" anchor="t">
          <a:spAutoFit/>
        </a:bodyPr>
        <a:lstStyle/>
        <a:p>
          <a:endParaRPr lang="zh-TW" altLang="en-US" sz="1100"/>
        </a:p>
      </xdr:txBody>
    </xdr:sp>
    <xdr:clientData/>
  </xdr:oneCellAnchor>
  <xdr:twoCellAnchor editAs="absolute">
    <xdr:from>
      <xdr:col>1</xdr:col>
      <xdr:colOff>66097</xdr:colOff>
      <xdr:row>43</xdr:row>
      <xdr:rowOff>229445</xdr:rowOff>
    </xdr:from>
    <xdr:to>
      <xdr:col>5</xdr:col>
      <xdr:colOff>37972</xdr:colOff>
      <xdr:row>44</xdr:row>
      <xdr:rowOff>439052</xdr:rowOff>
    </xdr:to>
    <mc:AlternateContent xmlns:mc="http://schemas.openxmlformats.org/markup-compatibility/2006" xmlns:sle15="http://schemas.microsoft.com/office/drawing/2012/slicer">
      <mc:Choice Requires="sle15">
        <xdr:graphicFrame macro="">
          <xdr:nvGraphicFramePr>
            <xdr:cNvPr id="2" name="匯率索引">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microsoft.com/office/drawing/2010/slicer">
              <sle:slicer xmlns:sle="http://schemas.microsoft.com/office/drawing/2010/slicer" name="匯率索引"/>
            </a:graphicData>
          </a:graphic>
        </xdr:graphicFrame>
      </mc:Choice>
      <mc:Fallback xmlns="">
        <xdr:sp macro="" textlink="">
          <xdr:nvSpPr>
            <xdr:cNvPr id="0" name=""/>
            <xdr:cNvSpPr>
              <a:spLocks noTextEdit="1"/>
            </xdr:cNvSpPr>
          </xdr:nvSpPr>
          <xdr:spPr>
            <a:xfrm>
              <a:off x="499052" y="15916543"/>
              <a:ext cx="3331602" cy="694516"/>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clientData/>
  </xdr:twoCellAnchor>
  <xdr:twoCellAnchor>
    <xdr:from>
      <xdr:col>1</xdr:col>
      <xdr:colOff>48779</xdr:colOff>
      <xdr:row>42</xdr:row>
      <xdr:rowOff>75184</xdr:rowOff>
    </xdr:from>
    <xdr:to>
      <xdr:col>3</xdr:col>
      <xdr:colOff>324844</xdr:colOff>
      <xdr:row>43</xdr:row>
      <xdr:rowOff>123371</xdr:rowOff>
    </xdr:to>
    <xdr:sp macro="" textlink="">
      <xdr:nvSpPr>
        <xdr:cNvPr id="48" name="圓角矩形 47">
          <a:extLst>
            <a:ext uri="{FF2B5EF4-FFF2-40B4-BE49-F238E27FC236}">
              <a16:creationId xmlns:a16="http://schemas.microsoft.com/office/drawing/2014/main" id="{00000000-0008-0000-1F00-000030000000}"/>
            </a:ext>
          </a:extLst>
        </xdr:cNvPr>
        <xdr:cNvSpPr/>
      </xdr:nvSpPr>
      <xdr:spPr>
        <a:xfrm>
          <a:off x="481734" y="15280548"/>
          <a:ext cx="1886655" cy="533096"/>
        </a:xfrm>
        <a:prstGeom prst="roundRect">
          <a:avLst/>
        </a:prstGeom>
        <a:solidFill>
          <a:srgbClr val="297D6B"/>
        </a:solid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latin typeface="+mj-ea"/>
              <a:ea typeface="+mj-ea"/>
            </a:rPr>
            <a:t>幣 別 選 單</a:t>
          </a:r>
        </a:p>
      </xdr:txBody>
    </xdr:sp>
    <xdr:clientData/>
  </xdr:twoCellAnchor>
  <xdr:twoCellAnchor>
    <xdr:from>
      <xdr:col>10</xdr:col>
      <xdr:colOff>1572789</xdr:colOff>
      <xdr:row>42</xdr:row>
      <xdr:rowOff>34344</xdr:rowOff>
    </xdr:from>
    <xdr:to>
      <xdr:col>20</xdr:col>
      <xdr:colOff>854558</xdr:colOff>
      <xdr:row>43</xdr:row>
      <xdr:rowOff>262946</xdr:rowOff>
    </xdr:to>
    <mc:AlternateContent xmlns:mc="http://schemas.openxmlformats.org/markup-compatibility/2006" xmlns:sle15="http://schemas.microsoft.com/office/drawing/2012/slicer">
      <mc:Choice Requires="sle15">
        <xdr:graphicFrame macro="">
          <xdr:nvGraphicFramePr>
            <xdr:cNvPr id="4" name="報酬率">
              <a:extLst>
                <a:ext uri="{FF2B5EF4-FFF2-40B4-BE49-F238E27FC236}">
                  <a16:creationId xmlns:a16="http://schemas.microsoft.com/office/drawing/2014/main"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報酬率"/>
            </a:graphicData>
          </a:graphic>
        </xdr:graphicFrame>
      </mc:Choice>
      <mc:Fallback xmlns="">
        <xdr:sp macro="" textlink="">
          <xdr:nvSpPr>
            <xdr:cNvPr id="0" name=""/>
            <xdr:cNvSpPr>
              <a:spLocks noTextEdit="1"/>
            </xdr:cNvSpPr>
          </xdr:nvSpPr>
          <xdr:spPr>
            <a:xfrm>
              <a:off x="11132425" y="15239708"/>
              <a:ext cx="10625178" cy="713511"/>
            </a:xfrm>
            <a:prstGeom prst="rect">
              <a:avLst/>
            </a:prstGeom>
            <a:solidFill>
              <a:prstClr val="white"/>
            </a:solidFill>
            <a:ln w="1">
              <a:solidFill>
                <a:prstClr val="green"/>
              </a:solidFill>
            </a:ln>
          </xdr:spPr>
          <xdr:txBody>
            <a:bodyPr vertOverflow="clip" horzOverflow="clip"/>
            <a:lstStyle/>
            <a:p>
              <a:r>
                <a:rPr lang="zh-TW" altLang="en-US" sz="1100"/>
                <a:t>此圖案代表表格交叉分析篩選器。Excel 或更新版本支援表格交叉分析篩選器。
如果圖案是在舊版 Excel 中修改，或如果曾以 Excel 2007 或較舊版本儲存活頁簿，便無法使用交叉分析篩選器。</a:t>
              </a:r>
            </a:p>
          </xdr:txBody>
        </xdr:sp>
      </mc:Fallback>
    </mc:AlternateContent>
    <xdr:clientData/>
  </xdr:twoCellAnchor>
  <xdr:twoCellAnchor>
    <xdr:from>
      <xdr:col>12</xdr:col>
      <xdr:colOff>1073728</xdr:colOff>
      <xdr:row>42</xdr:row>
      <xdr:rowOff>121227</xdr:rowOff>
    </xdr:from>
    <xdr:to>
      <xdr:col>20</xdr:col>
      <xdr:colOff>744682</xdr:colOff>
      <xdr:row>43</xdr:row>
      <xdr:rowOff>155862</xdr:rowOff>
    </xdr:to>
    <xdr:sp macro="" textlink="">
      <xdr:nvSpPr>
        <xdr:cNvPr id="13" name="圓角矩形 12">
          <a:extLst>
            <a:ext uri="{FF2B5EF4-FFF2-40B4-BE49-F238E27FC236}">
              <a16:creationId xmlns:a16="http://schemas.microsoft.com/office/drawing/2014/main" id="{00000000-0008-0000-1F00-00000D000000}"/>
            </a:ext>
          </a:extLst>
        </xdr:cNvPr>
        <xdr:cNvSpPr/>
      </xdr:nvSpPr>
      <xdr:spPr>
        <a:xfrm>
          <a:off x="13819910" y="15326591"/>
          <a:ext cx="7827817" cy="519544"/>
        </a:xfrm>
        <a:prstGeom prst="roundRect">
          <a:avLst>
            <a:gd name="adj" fmla="val 4013"/>
          </a:avLst>
        </a:prstGeom>
        <a:no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xdr:col>
      <xdr:colOff>267085</xdr:colOff>
      <xdr:row>0</xdr:row>
      <xdr:rowOff>0</xdr:rowOff>
    </xdr:from>
    <xdr:to>
      <xdr:col>2</xdr:col>
      <xdr:colOff>258229</xdr:colOff>
      <xdr:row>0</xdr:row>
      <xdr:rowOff>428224</xdr:rowOff>
    </xdr:to>
    <xdr:sp macro="" textlink="">
      <xdr:nvSpPr>
        <xdr:cNvPr id="9" name="文字方塊 8">
          <a:hlinkClick xmlns:r="http://schemas.openxmlformats.org/officeDocument/2006/relationships" r:id="rId3"/>
          <a:extLst>
            <a:ext uri="{FF2B5EF4-FFF2-40B4-BE49-F238E27FC236}">
              <a16:creationId xmlns:a16="http://schemas.microsoft.com/office/drawing/2014/main" id="{00000000-0008-0000-1F00-000009000000}"/>
            </a:ext>
          </a:extLst>
        </xdr:cNvPr>
        <xdr:cNvSpPr txBox="1"/>
      </xdr:nvSpPr>
      <xdr:spPr>
        <a:xfrm>
          <a:off x="717358" y="0"/>
          <a:ext cx="1168780" cy="428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使用說明</a:t>
          </a:r>
        </a:p>
      </xdr:txBody>
    </xdr:sp>
    <xdr:clientData/>
  </xdr:twoCellAnchor>
  <xdr:twoCellAnchor editAs="oneCell">
    <xdr:from>
      <xdr:col>1</xdr:col>
      <xdr:colOff>0</xdr:colOff>
      <xdr:row>0</xdr:row>
      <xdr:rowOff>82322</xdr:rowOff>
    </xdr:from>
    <xdr:to>
      <xdr:col>1</xdr:col>
      <xdr:colOff>333952</xdr:colOff>
      <xdr:row>1</xdr:row>
      <xdr:rowOff>8821</xdr:rowOff>
    </xdr:to>
    <xdr:pic>
      <xdr:nvPicPr>
        <xdr:cNvPr id="11" name="圖形 59" descr="開燈 以實心填滿">
          <a:extLst>
            <a:ext uri="{FF2B5EF4-FFF2-40B4-BE49-F238E27FC236}">
              <a16:creationId xmlns:a16="http://schemas.microsoft.com/office/drawing/2014/main" id="{00000000-0008-0000-1F00-00000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449036" y="82322"/>
          <a:ext cx="333952" cy="317931"/>
        </a:xfrm>
        <a:prstGeom prst="rect">
          <a:avLst/>
        </a:prstGeom>
      </xdr:spPr>
    </xdr:pic>
    <xdr:clientData/>
  </xdr:twoCellAnchor>
  <xdr:twoCellAnchor editAs="oneCell">
    <xdr:from>
      <xdr:col>19</xdr:col>
      <xdr:colOff>296591</xdr:colOff>
      <xdr:row>0</xdr:row>
      <xdr:rowOff>48997</xdr:rowOff>
    </xdr:from>
    <xdr:to>
      <xdr:col>20</xdr:col>
      <xdr:colOff>190001</xdr:colOff>
      <xdr:row>1</xdr:row>
      <xdr:rowOff>38970</xdr:rowOff>
    </xdr:to>
    <xdr:pic>
      <xdr:nvPicPr>
        <xdr:cNvPr id="21" name="圖形 20" descr="首頁 外框">
          <a:extLst>
            <a:ext uri="{FF2B5EF4-FFF2-40B4-BE49-F238E27FC236}">
              <a16:creationId xmlns:a16="http://schemas.microsoft.com/office/drawing/2014/main" id="{00000000-0008-0000-1F00-00001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0714727" y="48997"/>
          <a:ext cx="378319" cy="388291"/>
        </a:xfrm>
        <a:prstGeom prst="rect">
          <a:avLst/>
        </a:prstGeom>
      </xdr:spPr>
    </xdr:pic>
    <xdr:clientData/>
  </xdr:twoCellAnchor>
  <xdr:twoCellAnchor>
    <xdr:from>
      <xdr:col>20</xdr:col>
      <xdr:colOff>139399</xdr:colOff>
      <xdr:row>0</xdr:row>
      <xdr:rowOff>0</xdr:rowOff>
    </xdr:from>
    <xdr:to>
      <xdr:col>22</xdr:col>
      <xdr:colOff>51333</xdr:colOff>
      <xdr:row>1</xdr:row>
      <xdr:rowOff>36792</xdr:rowOff>
    </xdr:to>
    <xdr:sp macro="" textlink="">
      <xdr:nvSpPr>
        <xdr:cNvPr id="22" name="文字方塊 21">
          <a:hlinkClick xmlns:r="http://schemas.openxmlformats.org/officeDocument/2006/relationships" r:id="rId8"/>
          <a:extLst>
            <a:ext uri="{FF2B5EF4-FFF2-40B4-BE49-F238E27FC236}">
              <a16:creationId xmlns:a16="http://schemas.microsoft.com/office/drawing/2014/main" id="{00000000-0008-0000-1F00-000016000000}"/>
            </a:ext>
          </a:extLst>
        </xdr:cNvPr>
        <xdr:cNvSpPr txBox="1"/>
      </xdr:nvSpPr>
      <xdr:spPr>
        <a:xfrm>
          <a:off x="21042444" y="0"/>
          <a:ext cx="1141525" cy="435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1600" b="1" u="sng">
              <a:solidFill>
                <a:srgbClr val="6F3505"/>
              </a:solidFill>
              <a:latin typeface="微軟正黑體" panose="020B0604030504040204" pitchFamily="34" charset="-120"/>
              <a:ea typeface="微軟正黑體" panose="020B0604030504040204" pitchFamily="34" charset="-120"/>
            </a:rPr>
            <a:t>回主畫面</a:t>
          </a:r>
        </a:p>
      </xdr:txBody>
    </xdr:sp>
    <xdr:clientData/>
  </xdr:twoCellAnchor>
  <xdr:twoCellAnchor>
    <xdr:from>
      <xdr:col>11</xdr:col>
      <xdr:colOff>1198562</xdr:colOff>
      <xdr:row>57</xdr:row>
      <xdr:rowOff>151243</xdr:rowOff>
    </xdr:from>
    <xdr:to>
      <xdr:col>21</xdr:col>
      <xdr:colOff>577</xdr:colOff>
      <xdr:row>68</xdr:row>
      <xdr:rowOff>85145</xdr:rowOff>
    </xdr:to>
    <xdr:graphicFrame macro="">
      <xdr:nvGraphicFramePr>
        <xdr:cNvPr id="3" name="圖表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423721</xdr:colOff>
      <xdr:row>42</xdr:row>
      <xdr:rowOff>91307</xdr:rowOff>
    </xdr:from>
    <xdr:to>
      <xdr:col>4</xdr:col>
      <xdr:colOff>875931</xdr:colOff>
      <xdr:row>43</xdr:row>
      <xdr:rowOff>155867</xdr:rowOff>
    </xdr:to>
    <xdr:grpSp>
      <xdr:nvGrpSpPr>
        <xdr:cNvPr id="49" name="群組 48">
          <a:extLst>
            <a:ext uri="{FF2B5EF4-FFF2-40B4-BE49-F238E27FC236}">
              <a16:creationId xmlns:a16="http://schemas.microsoft.com/office/drawing/2014/main" id="{00000000-0008-0000-1F00-000031000000}"/>
            </a:ext>
          </a:extLst>
        </xdr:cNvPr>
        <xdr:cNvGrpSpPr/>
      </xdr:nvGrpSpPr>
      <xdr:grpSpPr>
        <a:xfrm>
          <a:off x="2531921" y="15134457"/>
          <a:ext cx="1347560" cy="547160"/>
          <a:chOff x="2515056" y="15631898"/>
          <a:chExt cx="1367517" cy="556058"/>
        </a:xfrm>
      </xdr:grpSpPr>
      <xdr:sp macro="" textlink="">
        <xdr:nvSpPr>
          <xdr:cNvPr id="17" name="文字方塊 16">
            <a:hlinkClick xmlns:r="http://schemas.openxmlformats.org/officeDocument/2006/relationships" r:id="rId10" tooltip="選定「試算選單」後，先選「幣別選單」，再選「報酬率選單」"/>
            <a:extLst>
              <a:ext uri="{FF2B5EF4-FFF2-40B4-BE49-F238E27FC236}">
                <a16:creationId xmlns:a16="http://schemas.microsoft.com/office/drawing/2014/main" id="{00000000-0008-0000-1F00-000011000000}"/>
              </a:ext>
            </a:extLst>
          </xdr:cNvPr>
          <xdr:cNvSpPr txBox="1"/>
        </xdr:nvSpPr>
        <xdr:spPr>
          <a:xfrm>
            <a:off x="2845028" y="15631898"/>
            <a:ext cx="1037545" cy="5560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TW" altLang="en-US" sz="2000" b="1" i="0" u="none" strike="noStrike">
                <a:solidFill>
                  <a:srgbClr val="297D6B"/>
                </a:solidFill>
                <a:effectLst/>
                <a:latin typeface="+mn-lt"/>
                <a:ea typeface="+mn-ea"/>
                <a:cs typeface="+mn-cs"/>
              </a:rPr>
              <a:t>小叮嚀</a:t>
            </a:r>
            <a:endParaRPr lang="zh-TW" altLang="en-US" sz="2000">
              <a:solidFill>
                <a:srgbClr val="297D6B"/>
              </a:solidFill>
            </a:endParaRPr>
          </a:p>
        </xdr:txBody>
      </xdr:sp>
      <xdr:pic>
        <xdr:nvPicPr>
          <xdr:cNvPr id="12" name="圖形 59" descr="開燈 以實心填滿">
            <a:hlinkClick xmlns:r="http://schemas.openxmlformats.org/officeDocument/2006/relationships" r:id="rId10" tooltip="選定「試算選單」後，先選「幣別選單」，再選「報酬率選單」"/>
            <a:extLst>
              <a:ext uri="{FF2B5EF4-FFF2-40B4-BE49-F238E27FC236}">
                <a16:creationId xmlns:a16="http://schemas.microsoft.com/office/drawing/2014/main" id="{00000000-0008-0000-1F00-00000C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515056" y="15718035"/>
            <a:ext cx="436562" cy="358695"/>
          </a:xfrm>
          <a:prstGeom prst="rect">
            <a:avLst/>
          </a:prstGeom>
        </xdr:spPr>
      </xdr:pic>
    </xdr:grpSp>
    <xdr:clientData/>
  </xdr:twoCellAnchor>
  <xdr:twoCellAnchor>
    <xdr:from>
      <xdr:col>24</xdr:col>
      <xdr:colOff>37737</xdr:colOff>
      <xdr:row>1</xdr:row>
      <xdr:rowOff>390753</xdr:rowOff>
    </xdr:from>
    <xdr:to>
      <xdr:col>27</xdr:col>
      <xdr:colOff>1167101</xdr:colOff>
      <xdr:row>1</xdr:row>
      <xdr:rowOff>390753</xdr:rowOff>
    </xdr:to>
    <xdr:cxnSp macro="">
      <xdr:nvCxnSpPr>
        <xdr:cNvPr id="15" name="直線接點 14">
          <a:extLst>
            <a:ext uri="{FF2B5EF4-FFF2-40B4-BE49-F238E27FC236}">
              <a16:creationId xmlns:a16="http://schemas.microsoft.com/office/drawing/2014/main" id="{00000000-0008-0000-1F00-00000F000000}"/>
            </a:ext>
          </a:extLst>
        </xdr:cNvPr>
        <xdr:cNvCxnSpPr/>
      </xdr:nvCxnSpPr>
      <xdr:spPr>
        <a:xfrm>
          <a:off x="23244101" y="789071"/>
          <a:ext cx="4212000" cy="0"/>
        </a:xfrm>
        <a:prstGeom prst="line">
          <a:avLst/>
        </a:prstGeom>
        <a:ln w="19050">
          <a:solidFill>
            <a:srgbClr val="297D6B"/>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xdr:colOff>
      <xdr:row>1</xdr:row>
      <xdr:rowOff>5772</xdr:rowOff>
    </xdr:from>
    <xdr:to>
      <xdr:col>25</xdr:col>
      <xdr:colOff>188908</xdr:colOff>
      <xdr:row>1</xdr:row>
      <xdr:rowOff>404092</xdr:rowOff>
    </xdr:to>
    <xdr:sp macro="" textlink="">
      <xdr:nvSpPr>
        <xdr:cNvPr id="23" name="圓角矩形 47">
          <a:extLst>
            <a:ext uri="{FF2B5EF4-FFF2-40B4-BE49-F238E27FC236}">
              <a16:creationId xmlns:a16="http://schemas.microsoft.com/office/drawing/2014/main" id="{00000000-0008-0000-1F00-000017000000}"/>
            </a:ext>
          </a:extLst>
        </xdr:cNvPr>
        <xdr:cNvSpPr/>
      </xdr:nvSpPr>
      <xdr:spPr>
        <a:xfrm>
          <a:off x="22375090" y="404090"/>
          <a:ext cx="1626318" cy="398320"/>
        </a:xfrm>
        <a:prstGeom prst="roundRect">
          <a:avLst/>
        </a:prstGeom>
        <a:solidFill>
          <a:srgbClr val="297D6B"/>
        </a:solidFill>
        <a:ln>
          <a:solidFill>
            <a:srgbClr val="297D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latin typeface="+mj-ea"/>
              <a:ea typeface="+mj-ea"/>
            </a:rPr>
            <a:t>試 算 選 單</a:t>
          </a:r>
        </a:p>
      </xdr:txBody>
    </xdr:sp>
    <xdr:clientData/>
  </xdr:twoCellAnchor>
  <xdr:twoCellAnchor editAs="absolute">
    <xdr:from>
      <xdr:col>23</xdr:col>
      <xdr:colOff>37812</xdr:colOff>
      <xdr:row>1</xdr:row>
      <xdr:rowOff>429779</xdr:rowOff>
    </xdr:from>
    <xdr:to>
      <xdr:col>28</xdr:col>
      <xdr:colOff>86569</xdr:colOff>
      <xdr:row>5</xdr:row>
      <xdr:rowOff>276218</xdr:rowOff>
    </xdr:to>
    <mc:AlternateContent xmlns:mc="http://schemas.openxmlformats.org/markup-compatibility/2006" xmlns:sle15="http://schemas.microsoft.com/office/drawing/2012/slicer">
      <mc:Choice Requires="sle15">
        <xdr:graphicFrame macro="">
          <xdr:nvGraphicFramePr>
            <xdr:cNvPr id="25" name="模型名稱 2">
              <a:extLst>
                <a:ext uri="{FF2B5EF4-FFF2-40B4-BE49-F238E27FC236}">
                  <a16:creationId xmlns:a16="http://schemas.microsoft.com/office/drawing/2014/main" id="{00000000-0008-0000-1F00-000019000000}"/>
                </a:ext>
              </a:extLst>
            </xdr:cNvPr>
            <xdr:cNvGraphicFramePr/>
          </xdr:nvGraphicFramePr>
          <xdr:xfrm>
            <a:off x="0" y="0"/>
            <a:ext cx="0" cy="0"/>
          </xdr:xfrm>
          <a:graphic>
            <a:graphicData uri="http://schemas.microsoft.com/office/drawing/2010/slicer">
              <sle:slicer xmlns:sle="http://schemas.microsoft.com/office/drawing/2010/slicer" name="模型名稱 2"/>
            </a:graphicData>
          </a:graphic>
        </xdr:graphicFrame>
      </mc:Choice>
      <mc:Fallback xmlns="">
        <xdr:sp macro="" textlink="">
          <xdr:nvSpPr>
            <xdr:cNvPr id="0" name=""/>
            <xdr:cNvSpPr>
              <a:spLocks noTextEdit="1"/>
            </xdr:cNvSpPr>
          </xdr:nvSpPr>
          <xdr:spPr>
            <a:xfrm>
              <a:off x="23165955" y="831272"/>
              <a:ext cx="4390425" cy="1162044"/>
            </a:xfrm>
            <a:prstGeom prst="rect">
              <a:avLst/>
            </a:prstGeom>
            <a:solidFill>
              <a:prstClr val="white"/>
            </a:solidFill>
            <a:ln w="1">
              <a:solidFill>
                <a:prstClr val="green"/>
              </a:solidFill>
            </a:ln>
          </xdr:spPr>
          <xdr:txBody>
            <a:bodyPr vertOverflow="clip" horzOverflow="clip"/>
            <a:lstStyle/>
            <a:p>
              <a:r>
                <a:rPr lang="zh-TW" altLang="en-US" sz="1100"/>
                <a:t>此圖形代表表格交叉分析篩選器。此版本的 Excel 不支援表格交叉分析篩選器。
如果圖形在舊版 Excel 中修改，或如果活頁簿在 Excel 2007 或較舊版本中儲存，則無法使用交叉分析篩選器。</a:t>
              </a:r>
            </a:p>
          </xdr:txBody>
        </xdr:sp>
      </mc:Fallback>
    </mc:AlternateContent>
    <xdr:clientData/>
  </xdr:twoCellAnchor>
  <xdr:twoCellAnchor>
    <xdr:from>
      <xdr:col>1</xdr:col>
      <xdr:colOff>190500</xdr:colOff>
      <xdr:row>43</xdr:row>
      <xdr:rowOff>121228</xdr:rowOff>
    </xdr:from>
    <xdr:to>
      <xdr:col>4</xdr:col>
      <xdr:colOff>882000</xdr:colOff>
      <xdr:row>43</xdr:row>
      <xdr:rowOff>121228</xdr:rowOff>
    </xdr:to>
    <xdr:cxnSp macro="">
      <xdr:nvCxnSpPr>
        <xdr:cNvPr id="47" name="直線接點 46">
          <a:extLst>
            <a:ext uri="{FF2B5EF4-FFF2-40B4-BE49-F238E27FC236}">
              <a16:creationId xmlns:a16="http://schemas.microsoft.com/office/drawing/2014/main" id="{00000000-0008-0000-1F00-00002F000000}"/>
            </a:ext>
          </a:extLst>
        </xdr:cNvPr>
        <xdr:cNvCxnSpPr/>
      </xdr:nvCxnSpPr>
      <xdr:spPr>
        <a:xfrm>
          <a:off x="623455" y="15811501"/>
          <a:ext cx="3168000" cy="0"/>
        </a:xfrm>
        <a:prstGeom prst="line">
          <a:avLst/>
        </a:prstGeom>
        <a:ln w="19050">
          <a:solidFill>
            <a:srgbClr val="297D6B"/>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990600</xdr:colOff>
          <xdr:row>18</xdr:row>
          <xdr:rowOff>114300</xdr:rowOff>
        </xdr:from>
        <xdr:to>
          <xdr:col>1</xdr:col>
          <xdr:colOff>431800</xdr:colOff>
          <xdr:row>20</xdr:row>
          <xdr:rowOff>127000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2000-0000019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200" b="0" i="0" u="none" strike="noStrike" baseline="0">
                  <a:solidFill>
                    <a:srgbClr val="000000"/>
                  </a:solidFill>
                  <a:latin typeface="微軟正黑體"/>
                  <a:ea typeface="微軟正黑體"/>
                </a:rPr>
                <a:t>上一頁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18</xdr:row>
          <xdr:rowOff>114300</xdr:rowOff>
        </xdr:from>
        <xdr:to>
          <xdr:col>2</xdr:col>
          <xdr:colOff>546100</xdr:colOff>
          <xdr:row>20</xdr:row>
          <xdr:rowOff>133350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2000-0000029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TW" altLang="en-US" sz="1200" b="0" i="0" u="none" strike="noStrike" baseline="0">
                  <a:solidFill>
                    <a:srgbClr val="000000"/>
                  </a:solidFill>
                  <a:latin typeface="微軟正黑體"/>
                  <a:ea typeface="微軟正黑體"/>
                </a:rPr>
                <a:t>下一頁</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37329;&#34701;&#27231;&#27083;&#37096;/Dora/&#23567;&#24037;&#20855;/&#22283;&#27888;/&#22283;&#27888;&#19990;&#33775;&#37504;&#34892;-&#32654;&#20803;&#20661;&#21048;&#32068;&#21512;&#23567;&#24037;&#20855;&#20778;&#21270;_20240430_&#30041;&#27284;.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主畫面"/>
      <sheetName val="主題式投組&amp;自由選"/>
      <sheetName val="產業RV"/>
      <sheetName val="庫存管理"/>
      <sheetName val="債券一覽表"/>
      <sheetName val="篩選介面"/>
      <sheetName val="安控"/>
      <sheetName val="銀行-TSS"/>
      <sheetName val="產業分析"/>
      <sheetName val="公債計算"/>
      <sheetName val="投組產業比例"/>
      <sheetName val="庫存管理側邊欄列印"/>
      <sheetName val="產業計算NPI"/>
      <sheetName val="績效圖"/>
      <sheetName val="庫存現金流"/>
      <sheetName val="Tssco-bond portfolio (3)"/>
      <sheetName val="Tssco-bond portfolio (2)"/>
      <sheetName val="自由現金流"/>
      <sheetName val="Duration計算"/>
      <sheetName val="資料來源2"/>
      <sheetName val="公式表"/>
      <sheetName val="資料來源3"/>
      <sheetName val="投組list"/>
      <sheetName val="1_重設PP數據"/>
      <sheetName val="2_休假日"/>
      <sheetName val="3_步階"/>
      <sheetName val="4_配息日例外"/>
      <sheetName val="產業報酬NPI"/>
      <sheetName val="OAS產業NPI"/>
      <sheetName val="公債報酬"/>
      <sheetName val="Bond_DES"/>
      <sheetName val="貼上值"/>
      <sheetName val="5_首次配息例外"/>
      <sheetName val="更新重點"/>
      <sheetName val="自由選Max"/>
      <sheetName val="自由選Pay"/>
      <sheetName val="美債殖利率"/>
      <sheetName val="credit rating"/>
    </sheetNames>
    <sheetDataSet>
      <sheetData sheetId="0"/>
      <sheetData sheetId="1"/>
      <sheetData sheetId="2"/>
      <sheetData sheetId="3"/>
      <sheetData sheetId="4"/>
      <sheetData sheetId="5">
        <row r="24">
          <cell r="Y24" t="str">
            <v>Non_PI</v>
          </cell>
        </row>
      </sheetData>
      <sheetData sheetId="6"/>
      <sheetData sheetId="7"/>
      <sheetData sheetId="8">
        <row r="3">
          <cell r="V3" t="str">
            <v>價格報酬率</v>
          </cell>
        </row>
      </sheetData>
      <sheetData sheetId="9"/>
      <sheetData sheetId="10">
        <row r="5">
          <cell r="A5">
            <v>45405</v>
          </cell>
        </row>
      </sheetData>
      <sheetData sheetId="11"/>
      <sheetData sheetId="12"/>
      <sheetData sheetId="13">
        <row r="2">
          <cell r="A2">
            <v>1</v>
          </cell>
        </row>
      </sheetData>
      <sheetData sheetId="14">
        <row r="2">
          <cell r="A2">
            <v>2</v>
          </cell>
        </row>
        <row r="12">
          <cell r="L12">
            <v>2022</v>
          </cell>
          <cell r="S12">
            <v>41450</v>
          </cell>
        </row>
        <row r="13">
          <cell r="S13">
            <v>82900</v>
          </cell>
        </row>
        <row r="14">
          <cell r="S14">
            <v>124350</v>
          </cell>
        </row>
        <row r="15">
          <cell r="S15">
            <v>165800</v>
          </cell>
        </row>
        <row r="16">
          <cell r="S16">
            <v>207250</v>
          </cell>
        </row>
        <row r="17">
          <cell r="S17">
            <v>248700</v>
          </cell>
        </row>
        <row r="18">
          <cell r="S18">
            <v>490150</v>
          </cell>
        </row>
        <row r="19">
          <cell r="S19">
            <v>528800</v>
          </cell>
        </row>
        <row r="20">
          <cell r="S20">
            <v>567450</v>
          </cell>
        </row>
        <row r="21">
          <cell r="S21">
            <v>606100</v>
          </cell>
        </row>
        <row r="22">
          <cell r="S22">
            <v>644750</v>
          </cell>
        </row>
        <row r="23">
          <cell r="S23">
            <v>683400</v>
          </cell>
        </row>
        <row r="24">
          <cell r="S24">
            <v>922050</v>
          </cell>
        </row>
        <row r="25">
          <cell r="S25">
            <v>951100</v>
          </cell>
        </row>
        <row r="26">
          <cell r="S26">
            <v>980150</v>
          </cell>
        </row>
        <row r="27">
          <cell r="S27">
            <v>1009200</v>
          </cell>
        </row>
        <row r="28">
          <cell r="S28">
            <v>1038250</v>
          </cell>
        </row>
        <row r="29">
          <cell r="S29">
            <v>1067300</v>
          </cell>
        </row>
        <row r="30">
          <cell r="S30">
            <v>1096350</v>
          </cell>
        </row>
        <row r="31">
          <cell r="S31">
            <v>1125400</v>
          </cell>
        </row>
        <row r="32">
          <cell r="S32">
            <v>1154450</v>
          </cell>
        </row>
        <row r="33">
          <cell r="S33">
            <v>1383500</v>
          </cell>
        </row>
        <row r="34">
          <cell r="S34">
            <v>1401750</v>
          </cell>
        </row>
        <row r="35">
          <cell r="S35">
            <v>1815625</v>
          </cell>
        </row>
        <row r="36">
          <cell r="S36" t="str">
            <v/>
          </cell>
        </row>
        <row r="37">
          <cell r="S37" t="str">
            <v/>
          </cell>
        </row>
        <row r="38">
          <cell r="S38" t="str">
            <v/>
          </cell>
        </row>
        <row r="39">
          <cell r="S39" t="str">
            <v/>
          </cell>
        </row>
        <row r="40">
          <cell r="S40" t="str">
            <v/>
          </cell>
        </row>
        <row r="41">
          <cell r="S41" t="str">
            <v/>
          </cell>
        </row>
        <row r="42">
          <cell r="S42" t="str">
            <v/>
          </cell>
        </row>
        <row r="43">
          <cell r="S43" t="str">
            <v/>
          </cell>
        </row>
        <row r="44">
          <cell r="S44" t="str">
            <v/>
          </cell>
        </row>
        <row r="45">
          <cell r="S45" t="str">
            <v/>
          </cell>
        </row>
        <row r="46">
          <cell r="S46" t="str">
            <v/>
          </cell>
        </row>
        <row r="47">
          <cell r="S47" t="str">
            <v/>
          </cell>
        </row>
        <row r="48">
          <cell r="S48" t="str">
            <v/>
          </cell>
        </row>
        <row r="49">
          <cell r="S49" t="str">
            <v/>
          </cell>
        </row>
        <row r="50">
          <cell r="S50" t="str">
            <v/>
          </cell>
        </row>
        <row r="51">
          <cell r="S51" t="str">
            <v/>
          </cell>
        </row>
        <row r="52">
          <cell r="S52" t="str">
            <v/>
          </cell>
        </row>
        <row r="53">
          <cell r="S53" t="str">
            <v/>
          </cell>
        </row>
        <row r="54">
          <cell r="S54" t="str">
            <v/>
          </cell>
        </row>
        <row r="55">
          <cell r="S55" t="str">
            <v/>
          </cell>
        </row>
        <row r="56">
          <cell r="S56" t="str">
            <v/>
          </cell>
        </row>
        <row r="57">
          <cell r="S57" t="str">
            <v/>
          </cell>
        </row>
        <row r="58">
          <cell r="S58" t="str">
            <v/>
          </cell>
        </row>
        <row r="59">
          <cell r="S59" t="str">
            <v/>
          </cell>
        </row>
        <row r="60">
          <cell r="S60" t="str">
            <v/>
          </cell>
        </row>
        <row r="61">
          <cell r="S61" t="str">
            <v/>
          </cell>
        </row>
        <row r="62">
          <cell r="S62" t="str">
            <v/>
          </cell>
        </row>
        <row r="63">
          <cell r="S63" t="str">
            <v/>
          </cell>
        </row>
        <row r="64">
          <cell r="S64" t="str">
            <v/>
          </cell>
        </row>
        <row r="65">
          <cell r="S65" t="str">
            <v/>
          </cell>
        </row>
        <row r="66">
          <cell r="S66" t="str">
            <v/>
          </cell>
        </row>
        <row r="67">
          <cell r="S67" t="str">
            <v/>
          </cell>
        </row>
        <row r="68">
          <cell r="S68" t="str">
            <v/>
          </cell>
        </row>
        <row r="69">
          <cell r="S69" t="str">
            <v/>
          </cell>
        </row>
        <row r="70">
          <cell r="S70" t="str">
            <v/>
          </cell>
        </row>
        <row r="71">
          <cell r="S71" t="str">
            <v/>
          </cell>
        </row>
        <row r="72">
          <cell r="S72" t="str">
            <v/>
          </cell>
        </row>
        <row r="73">
          <cell r="S73" t="str">
            <v/>
          </cell>
        </row>
        <row r="74">
          <cell r="S74" t="str">
            <v/>
          </cell>
        </row>
        <row r="75">
          <cell r="S75" t="str">
            <v/>
          </cell>
        </row>
        <row r="76">
          <cell r="S76" t="str">
            <v/>
          </cell>
        </row>
        <row r="77">
          <cell r="S77" t="str">
            <v/>
          </cell>
        </row>
        <row r="78">
          <cell r="S78" t="str">
            <v/>
          </cell>
        </row>
        <row r="79">
          <cell r="S79" t="str">
            <v/>
          </cell>
        </row>
        <row r="80">
          <cell r="S80" t="str">
            <v/>
          </cell>
        </row>
        <row r="81">
          <cell r="S81" t="str">
            <v/>
          </cell>
        </row>
        <row r="82">
          <cell r="S82" t="str">
            <v/>
          </cell>
        </row>
        <row r="83">
          <cell r="S83" t="str">
            <v/>
          </cell>
        </row>
        <row r="84">
          <cell r="S84" t="str">
            <v/>
          </cell>
        </row>
        <row r="85">
          <cell r="S85" t="str">
            <v/>
          </cell>
        </row>
        <row r="86">
          <cell r="S86" t="str">
            <v/>
          </cell>
        </row>
        <row r="87">
          <cell r="S87" t="str">
            <v/>
          </cell>
        </row>
        <row r="88">
          <cell r="S88" t="str">
            <v/>
          </cell>
        </row>
        <row r="89">
          <cell r="S89" t="str">
            <v/>
          </cell>
        </row>
        <row r="90">
          <cell r="S90" t="str">
            <v/>
          </cell>
        </row>
        <row r="91">
          <cell r="S91" t="str">
            <v/>
          </cell>
        </row>
        <row r="92">
          <cell r="S92" t="str">
            <v/>
          </cell>
        </row>
        <row r="93">
          <cell r="S93" t="str">
            <v/>
          </cell>
        </row>
        <row r="94">
          <cell r="S94" t="str">
            <v/>
          </cell>
        </row>
        <row r="95">
          <cell r="S95" t="str">
            <v/>
          </cell>
        </row>
        <row r="96">
          <cell r="S96" t="str">
            <v/>
          </cell>
        </row>
        <row r="97">
          <cell r="S97" t="str">
            <v/>
          </cell>
        </row>
        <row r="98">
          <cell r="S98" t="str">
            <v/>
          </cell>
        </row>
        <row r="99">
          <cell r="S99" t="str">
            <v/>
          </cell>
        </row>
        <row r="100">
          <cell r="S100" t="str">
            <v/>
          </cell>
        </row>
        <row r="101">
          <cell r="S101" t="str">
            <v/>
          </cell>
        </row>
        <row r="102">
          <cell r="S102" t="str">
            <v/>
          </cell>
        </row>
        <row r="103">
          <cell r="S103" t="str">
            <v/>
          </cell>
        </row>
        <row r="104">
          <cell r="S104" t="str">
            <v/>
          </cell>
        </row>
        <row r="105">
          <cell r="S105" t="str">
            <v/>
          </cell>
        </row>
        <row r="106">
          <cell r="S106" t="str">
            <v/>
          </cell>
        </row>
        <row r="107">
          <cell r="S107" t="str">
            <v/>
          </cell>
        </row>
        <row r="108">
          <cell r="S108" t="str">
            <v/>
          </cell>
        </row>
        <row r="109">
          <cell r="S109" t="str">
            <v/>
          </cell>
        </row>
        <row r="110">
          <cell r="S110" t="str">
            <v/>
          </cell>
        </row>
        <row r="111">
          <cell r="S111" t="str">
            <v/>
          </cell>
        </row>
        <row r="112">
          <cell r="S112" t="str">
            <v/>
          </cell>
        </row>
        <row r="113">
          <cell r="S113" t="str">
            <v/>
          </cell>
        </row>
        <row r="114">
          <cell r="S114" t="str">
            <v/>
          </cell>
        </row>
        <row r="115">
          <cell r="S115" t="str">
            <v/>
          </cell>
        </row>
        <row r="116">
          <cell r="S116" t="str">
            <v/>
          </cell>
        </row>
        <row r="117">
          <cell r="S117" t="str">
            <v/>
          </cell>
        </row>
        <row r="118">
          <cell r="S118" t="str">
            <v/>
          </cell>
        </row>
        <row r="119">
          <cell r="S119" t="str">
            <v/>
          </cell>
        </row>
        <row r="120">
          <cell r="S120" t="str">
            <v/>
          </cell>
        </row>
        <row r="121">
          <cell r="S121" t="str">
            <v/>
          </cell>
        </row>
        <row r="122">
          <cell r="S122" t="str">
            <v/>
          </cell>
        </row>
        <row r="123">
          <cell r="S123" t="str">
            <v/>
          </cell>
        </row>
        <row r="124">
          <cell r="S124" t="str">
            <v/>
          </cell>
        </row>
        <row r="125">
          <cell r="S125" t="str">
            <v/>
          </cell>
        </row>
        <row r="126">
          <cell r="S126" t="str">
            <v/>
          </cell>
        </row>
        <row r="127">
          <cell r="S127" t="str">
            <v/>
          </cell>
        </row>
        <row r="128">
          <cell r="S128" t="str">
            <v/>
          </cell>
        </row>
        <row r="129">
          <cell r="S129" t="str">
            <v/>
          </cell>
        </row>
        <row r="130">
          <cell r="S130" t="str">
            <v/>
          </cell>
        </row>
        <row r="131">
          <cell r="S131" t="str">
            <v/>
          </cell>
        </row>
        <row r="132">
          <cell r="S132" t="str">
            <v/>
          </cell>
        </row>
        <row r="133">
          <cell r="S133" t="str">
            <v/>
          </cell>
        </row>
        <row r="134">
          <cell r="S134" t="str">
            <v/>
          </cell>
        </row>
        <row r="135">
          <cell r="S135" t="str">
            <v/>
          </cell>
        </row>
        <row r="136">
          <cell r="S136" t="str">
            <v/>
          </cell>
        </row>
        <row r="137">
          <cell r="S137" t="str">
            <v/>
          </cell>
        </row>
        <row r="138">
          <cell r="S138" t="str">
            <v/>
          </cell>
        </row>
        <row r="139">
          <cell r="S139" t="str">
            <v/>
          </cell>
        </row>
        <row r="140">
          <cell r="S140" t="str">
            <v/>
          </cell>
        </row>
        <row r="141">
          <cell r="S141" t="str">
            <v/>
          </cell>
        </row>
        <row r="142">
          <cell r="S142" t="str">
            <v/>
          </cell>
        </row>
        <row r="143">
          <cell r="S143" t="str">
            <v/>
          </cell>
        </row>
        <row r="144">
          <cell r="S144" t="str">
            <v/>
          </cell>
        </row>
        <row r="145">
          <cell r="S145" t="str">
            <v/>
          </cell>
        </row>
        <row r="146">
          <cell r="S146" t="str">
            <v/>
          </cell>
        </row>
        <row r="147">
          <cell r="S147" t="str">
            <v/>
          </cell>
        </row>
        <row r="148">
          <cell r="S148" t="str">
            <v/>
          </cell>
        </row>
        <row r="149">
          <cell r="S149" t="str">
            <v/>
          </cell>
        </row>
        <row r="150">
          <cell r="S150" t="str">
            <v/>
          </cell>
        </row>
        <row r="151">
          <cell r="S151" t="str">
            <v/>
          </cell>
        </row>
        <row r="152">
          <cell r="S152" t="str">
            <v/>
          </cell>
        </row>
        <row r="153">
          <cell r="S153" t="str">
            <v/>
          </cell>
        </row>
        <row r="154">
          <cell r="S154" t="str">
            <v/>
          </cell>
        </row>
        <row r="155">
          <cell r="S155" t="str">
            <v/>
          </cell>
        </row>
        <row r="156">
          <cell r="S156" t="str">
            <v/>
          </cell>
        </row>
        <row r="157">
          <cell r="S157" t="str">
            <v/>
          </cell>
        </row>
        <row r="158">
          <cell r="S158" t="str">
            <v/>
          </cell>
        </row>
        <row r="159">
          <cell r="S159" t="str">
            <v/>
          </cell>
        </row>
        <row r="160">
          <cell r="S160" t="str">
            <v/>
          </cell>
        </row>
        <row r="161">
          <cell r="S161" t="str">
            <v/>
          </cell>
        </row>
        <row r="162">
          <cell r="S162" t="str">
            <v/>
          </cell>
        </row>
        <row r="163">
          <cell r="S163" t="str">
            <v/>
          </cell>
        </row>
      </sheetData>
      <sheetData sheetId="15">
        <row r="1">
          <cell r="BX1">
            <v>1</v>
          </cell>
        </row>
        <row r="50">
          <cell r="C50" t="str">
            <v>通訊</v>
          </cell>
          <cell r="D50">
            <v>0.22123893805309736</v>
          </cell>
          <cell r="E50">
            <v>0.21463331704103533</v>
          </cell>
        </row>
        <row r="51">
          <cell r="D51">
            <v>0.20464601769911506</v>
          </cell>
        </row>
        <row r="52">
          <cell r="D52">
            <v>0.18805309734513273</v>
          </cell>
        </row>
        <row r="53">
          <cell r="D53">
            <v>0.16592920353982302</v>
          </cell>
        </row>
        <row r="54">
          <cell r="D54">
            <v>0</v>
          </cell>
        </row>
        <row r="55">
          <cell r="D55" t="e">
            <v>#N/A</v>
          </cell>
        </row>
        <row r="56">
          <cell r="D56" t="e">
            <v>#N/A</v>
          </cell>
        </row>
        <row r="57">
          <cell r="D57" t="e">
            <v>#N/A</v>
          </cell>
        </row>
        <row r="58">
          <cell r="D58" t="e">
            <v>#N/A</v>
          </cell>
        </row>
        <row r="59">
          <cell r="D59" t="e">
            <v>#N/A</v>
          </cell>
        </row>
        <row r="60">
          <cell r="D60" t="e">
            <v>#N/A</v>
          </cell>
        </row>
        <row r="61">
          <cell r="D61" t="e">
            <v>#N/A</v>
          </cell>
        </row>
      </sheetData>
      <sheetData sheetId="16"/>
      <sheetData sheetId="17">
        <row r="12">
          <cell r="H12">
            <v>2024</v>
          </cell>
          <cell r="J12">
            <v>52058.5</v>
          </cell>
          <cell r="K12">
            <v>52058.5</v>
          </cell>
          <cell r="O12">
            <v>0</v>
          </cell>
          <cell r="P12">
            <v>0</v>
          </cell>
          <cell r="Q12">
            <v>2135684.7000000002</v>
          </cell>
          <cell r="R12">
            <v>3411619</v>
          </cell>
        </row>
        <row r="13">
          <cell r="K13">
            <v>156175.5</v>
          </cell>
        </row>
        <row r="14">
          <cell r="K14">
            <v>260292.5</v>
          </cell>
        </row>
        <row r="15">
          <cell r="K15">
            <v>364409.5</v>
          </cell>
        </row>
        <row r="16">
          <cell r="K16">
            <v>464726.5</v>
          </cell>
        </row>
        <row r="17">
          <cell r="K17">
            <v>561243.5</v>
          </cell>
        </row>
        <row r="18">
          <cell r="K18">
            <v>657760.5</v>
          </cell>
        </row>
        <row r="19">
          <cell r="K19">
            <v>754277.5</v>
          </cell>
        </row>
        <row r="20">
          <cell r="K20">
            <v>850794.5</v>
          </cell>
        </row>
        <row r="21">
          <cell r="K21">
            <v>938491.5</v>
          </cell>
        </row>
        <row r="22">
          <cell r="K22">
            <v>1017368.5</v>
          </cell>
        </row>
        <row r="23">
          <cell r="K23">
            <v>1096245.5</v>
          </cell>
        </row>
        <row r="24">
          <cell r="K24">
            <v>1175122.5</v>
          </cell>
        </row>
        <row r="25">
          <cell r="K25">
            <v>1244549.5</v>
          </cell>
        </row>
        <row r="26">
          <cell r="K26">
            <v>1292151.5</v>
          </cell>
        </row>
        <row r="27">
          <cell r="K27">
            <v>1327378.5</v>
          </cell>
        </row>
        <row r="28">
          <cell r="K28">
            <v>1362605.5</v>
          </cell>
        </row>
        <row r="29">
          <cell r="K29">
            <v>1388319</v>
          </cell>
        </row>
        <row r="30">
          <cell r="K30">
            <v>1404519</v>
          </cell>
        </row>
        <row r="31">
          <cell r="K31">
            <v>1412619</v>
          </cell>
        </row>
        <row r="32">
          <cell r="K32" t="str">
            <v/>
          </cell>
        </row>
        <row r="33">
          <cell r="K33" t="str">
            <v/>
          </cell>
        </row>
        <row r="34">
          <cell r="K34" t="str">
            <v/>
          </cell>
        </row>
        <row r="35">
          <cell r="K35" t="str">
            <v/>
          </cell>
        </row>
        <row r="36">
          <cell r="K36" t="str">
            <v/>
          </cell>
        </row>
        <row r="37">
          <cell r="K37" t="str">
            <v/>
          </cell>
        </row>
        <row r="38">
          <cell r="K38" t="str">
            <v/>
          </cell>
        </row>
        <row r="39">
          <cell r="K39" t="str">
            <v/>
          </cell>
        </row>
        <row r="40">
          <cell r="K40" t="str">
            <v/>
          </cell>
        </row>
        <row r="41">
          <cell r="K41" t="str">
            <v/>
          </cell>
        </row>
        <row r="42">
          <cell r="K42" t="str">
            <v/>
          </cell>
        </row>
        <row r="43">
          <cell r="K43" t="str">
            <v/>
          </cell>
        </row>
        <row r="44">
          <cell r="K44" t="str">
            <v/>
          </cell>
        </row>
        <row r="45">
          <cell r="K45" t="str">
            <v/>
          </cell>
        </row>
        <row r="46">
          <cell r="K46" t="str">
            <v/>
          </cell>
        </row>
        <row r="47">
          <cell r="K47" t="str">
            <v/>
          </cell>
        </row>
        <row r="48">
          <cell r="K48" t="str">
            <v/>
          </cell>
        </row>
        <row r="49">
          <cell r="K49" t="str">
            <v/>
          </cell>
        </row>
        <row r="50">
          <cell r="K50" t="str">
            <v/>
          </cell>
        </row>
        <row r="51">
          <cell r="K51" t="str">
            <v/>
          </cell>
        </row>
        <row r="52">
          <cell r="K52" t="str">
            <v/>
          </cell>
        </row>
        <row r="53">
          <cell r="K53" t="str">
            <v/>
          </cell>
        </row>
        <row r="54">
          <cell r="K54" t="str">
            <v/>
          </cell>
        </row>
        <row r="55">
          <cell r="K55" t="str">
            <v/>
          </cell>
        </row>
        <row r="56">
          <cell r="K56" t="str">
            <v/>
          </cell>
        </row>
        <row r="57">
          <cell r="K57" t="str">
            <v/>
          </cell>
        </row>
        <row r="58">
          <cell r="K58" t="str">
            <v/>
          </cell>
        </row>
        <row r="59">
          <cell r="K59" t="str">
            <v/>
          </cell>
        </row>
        <row r="60">
          <cell r="K60" t="str">
            <v/>
          </cell>
        </row>
        <row r="61">
          <cell r="K61" t="str">
            <v/>
          </cell>
        </row>
        <row r="62">
          <cell r="K62" t="str">
            <v/>
          </cell>
        </row>
        <row r="63">
          <cell r="K63" t="str">
            <v/>
          </cell>
        </row>
        <row r="64">
          <cell r="K64" t="str">
            <v/>
          </cell>
        </row>
        <row r="65">
          <cell r="K65" t="str">
            <v/>
          </cell>
        </row>
        <row r="66">
          <cell r="K66" t="str">
            <v/>
          </cell>
        </row>
        <row r="67">
          <cell r="K67" t="str">
            <v/>
          </cell>
        </row>
        <row r="68">
          <cell r="K68" t="str">
            <v/>
          </cell>
        </row>
        <row r="69">
          <cell r="K69" t="str">
            <v/>
          </cell>
        </row>
        <row r="70">
          <cell r="K70" t="str">
            <v/>
          </cell>
        </row>
        <row r="71">
          <cell r="K71" t="str">
            <v/>
          </cell>
        </row>
        <row r="72">
          <cell r="K72" t="str">
            <v/>
          </cell>
        </row>
        <row r="73">
          <cell r="K73" t="str">
            <v/>
          </cell>
        </row>
        <row r="74">
          <cell r="K74" t="str">
            <v/>
          </cell>
        </row>
        <row r="75">
          <cell r="K75" t="str">
            <v/>
          </cell>
        </row>
        <row r="76">
          <cell r="K76" t="str">
            <v/>
          </cell>
        </row>
        <row r="77">
          <cell r="K77" t="str">
            <v/>
          </cell>
        </row>
        <row r="78">
          <cell r="K78" t="str">
            <v/>
          </cell>
        </row>
        <row r="79">
          <cell r="K79" t="str">
            <v/>
          </cell>
        </row>
        <row r="80">
          <cell r="K80" t="str">
            <v/>
          </cell>
        </row>
        <row r="81">
          <cell r="K81" t="str">
            <v/>
          </cell>
        </row>
        <row r="82">
          <cell r="K82" t="str">
            <v/>
          </cell>
        </row>
        <row r="83">
          <cell r="K83" t="str">
            <v/>
          </cell>
        </row>
        <row r="84">
          <cell r="K84" t="str">
            <v/>
          </cell>
        </row>
        <row r="85">
          <cell r="K85" t="str">
            <v/>
          </cell>
        </row>
        <row r="86">
          <cell r="K86" t="str">
            <v/>
          </cell>
        </row>
        <row r="87">
          <cell r="K87" t="str">
            <v/>
          </cell>
        </row>
        <row r="88">
          <cell r="K88" t="str">
            <v/>
          </cell>
        </row>
        <row r="89">
          <cell r="K89" t="str">
            <v/>
          </cell>
        </row>
        <row r="90">
          <cell r="K90" t="str">
            <v/>
          </cell>
        </row>
        <row r="91">
          <cell r="K91" t="str">
            <v/>
          </cell>
        </row>
        <row r="92">
          <cell r="K92" t="str">
            <v/>
          </cell>
        </row>
        <row r="93">
          <cell r="K93" t="str">
            <v/>
          </cell>
        </row>
        <row r="94">
          <cell r="K94" t="str">
            <v/>
          </cell>
        </row>
        <row r="95">
          <cell r="K95" t="str">
            <v/>
          </cell>
        </row>
        <row r="96">
          <cell r="K96" t="str">
            <v/>
          </cell>
        </row>
        <row r="97">
          <cell r="K97" t="str">
            <v/>
          </cell>
        </row>
        <row r="98">
          <cell r="K98" t="str">
            <v/>
          </cell>
        </row>
        <row r="99">
          <cell r="K99" t="str">
            <v/>
          </cell>
        </row>
      </sheetData>
      <sheetData sheetId="18"/>
      <sheetData sheetId="19"/>
      <sheetData sheetId="20"/>
      <sheetData sheetId="21"/>
      <sheetData sheetId="22">
        <row r="2">
          <cell r="F2" t="str">
            <v>小額存債，多元配置 (5千門檻)</v>
          </cell>
        </row>
      </sheetData>
      <sheetData sheetId="23"/>
      <sheetData sheetId="24">
        <row r="3">
          <cell r="A3">
            <v>42005</v>
          </cell>
          <cell r="B3">
            <v>42005</v>
          </cell>
          <cell r="C3">
            <v>42005</v>
          </cell>
          <cell r="D3">
            <v>42005</v>
          </cell>
          <cell r="E3">
            <v>42005</v>
          </cell>
          <cell r="F3">
            <v>42005</v>
          </cell>
          <cell r="G3">
            <v>42005</v>
          </cell>
        </row>
        <row r="4">
          <cell r="A4">
            <v>42006</v>
          </cell>
          <cell r="B4">
            <v>42006</v>
          </cell>
          <cell r="C4">
            <v>42006</v>
          </cell>
          <cell r="D4">
            <v>42006</v>
          </cell>
          <cell r="E4">
            <v>42006</v>
          </cell>
          <cell r="F4">
            <v>42006</v>
          </cell>
          <cell r="G4">
            <v>42006</v>
          </cell>
        </row>
        <row r="5">
          <cell r="A5">
            <v>42023</v>
          </cell>
          <cell r="B5">
            <v>42007</v>
          </cell>
          <cell r="C5">
            <v>42053</v>
          </cell>
          <cell r="D5">
            <v>42030</v>
          </cell>
          <cell r="E5">
            <v>42051</v>
          </cell>
          <cell r="F5">
            <v>42041</v>
          </cell>
          <cell r="G5">
            <v>42053</v>
          </cell>
        </row>
        <row r="6">
          <cell r="A6">
            <v>42051</v>
          </cell>
          <cell r="B6">
            <v>42053</v>
          </cell>
          <cell r="C6">
            <v>42054</v>
          </cell>
          <cell r="D6">
            <v>42053</v>
          </cell>
          <cell r="E6">
            <v>42053</v>
          </cell>
          <cell r="F6">
            <v>42053</v>
          </cell>
          <cell r="G6">
            <v>42054</v>
          </cell>
        </row>
        <row r="7">
          <cell r="A7">
            <v>42053</v>
          </cell>
          <cell r="B7">
            <v>42054</v>
          </cell>
          <cell r="C7">
            <v>42055</v>
          </cell>
          <cell r="D7">
            <v>42054</v>
          </cell>
          <cell r="E7">
            <v>42054</v>
          </cell>
          <cell r="F7">
            <v>42054</v>
          </cell>
          <cell r="G7">
            <v>42055</v>
          </cell>
        </row>
        <row r="8">
          <cell r="A8">
            <v>42054</v>
          </cell>
          <cell r="B8">
            <v>42055</v>
          </cell>
          <cell r="C8">
            <v>42058</v>
          </cell>
          <cell r="D8">
            <v>42055</v>
          </cell>
          <cell r="E8">
            <v>42055</v>
          </cell>
          <cell r="F8">
            <v>42055</v>
          </cell>
          <cell r="G8">
            <v>42058</v>
          </cell>
        </row>
        <row r="9">
          <cell r="A9">
            <v>42055</v>
          </cell>
          <cell r="B9">
            <v>42056</v>
          </cell>
          <cell r="C9">
            <v>42062</v>
          </cell>
          <cell r="D9">
            <v>42058</v>
          </cell>
          <cell r="E9">
            <v>42058</v>
          </cell>
          <cell r="F9">
            <v>42058</v>
          </cell>
          <cell r="G9">
            <v>42062</v>
          </cell>
        </row>
        <row r="10">
          <cell r="A10">
            <v>42058</v>
          </cell>
          <cell r="B10">
            <v>42057</v>
          </cell>
          <cell r="C10">
            <v>42063</v>
          </cell>
          <cell r="D10">
            <v>42062</v>
          </cell>
          <cell r="E10">
            <v>42062</v>
          </cell>
          <cell r="F10">
            <v>42062</v>
          </cell>
          <cell r="G10">
            <v>42063</v>
          </cell>
        </row>
        <row r="11">
          <cell r="A11">
            <v>42062</v>
          </cell>
          <cell r="B11">
            <v>42058</v>
          </cell>
          <cell r="C11">
            <v>42084</v>
          </cell>
          <cell r="D11">
            <v>42063</v>
          </cell>
          <cell r="E11">
            <v>42063</v>
          </cell>
          <cell r="F11">
            <v>42063</v>
          </cell>
          <cell r="G11">
            <v>42092</v>
          </cell>
        </row>
        <row r="12">
          <cell r="A12">
            <v>42063</v>
          </cell>
          <cell r="B12">
            <v>42059</v>
          </cell>
          <cell r="C12">
            <v>42097</v>
          </cell>
          <cell r="D12">
            <v>42072</v>
          </cell>
          <cell r="E12">
            <v>42097</v>
          </cell>
          <cell r="F12">
            <v>42097</v>
          </cell>
          <cell r="G12">
            <v>42097</v>
          </cell>
        </row>
        <row r="13">
          <cell r="A13">
            <v>42071</v>
          </cell>
          <cell r="B13">
            <v>42062</v>
          </cell>
          <cell r="C13">
            <v>42098</v>
          </cell>
          <cell r="D13">
            <v>42097</v>
          </cell>
          <cell r="E13">
            <v>42098</v>
          </cell>
          <cell r="F13">
            <v>42098</v>
          </cell>
          <cell r="G13">
            <v>42098</v>
          </cell>
        </row>
        <row r="14">
          <cell r="A14">
            <v>42097</v>
          </cell>
          <cell r="B14">
            <v>42063</v>
          </cell>
          <cell r="C14">
            <v>42099</v>
          </cell>
          <cell r="D14">
            <v>42098</v>
          </cell>
          <cell r="E14">
            <v>42099</v>
          </cell>
          <cell r="F14">
            <v>42099</v>
          </cell>
          <cell r="G14">
            <v>42099</v>
          </cell>
        </row>
        <row r="15">
          <cell r="A15">
            <v>42098</v>
          </cell>
          <cell r="B15">
            <v>42097</v>
          </cell>
          <cell r="C15">
            <v>42100</v>
          </cell>
          <cell r="D15">
            <v>42099</v>
          </cell>
          <cell r="E15">
            <v>42100</v>
          </cell>
          <cell r="F15">
            <v>42100</v>
          </cell>
          <cell r="G15">
            <v>42100</v>
          </cell>
        </row>
        <row r="16">
          <cell r="A16">
            <v>42099</v>
          </cell>
          <cell r="B16">
            <v>42098</v>
          </cell>
          <cell r="C16">
            <v>42121</v>
          </cell>
          <cell r="D16">
            <v>42100</v>
          </cell>
          <cell r="E16">
            <v>42125</v>
          </cell>
          <cell r="F16">
            <v>42119</v>
          </cell>
          <cell r="G16">
            <v>42125</v>
          </cell>
        </row>
        <row r="17">
          <cell r="A17">
            <v>42100</v>
          </cell>
          <cell r="B17">
            <v>42099</v>
          </cell>
          <cell r="C17">
            <v>42125</v>
          </cell>
          <cell r="D17">
            <v>42119</v>
          </cell>
          <cell r="E17">
            <v>42142</v>
          </cell>
          <cell r="F17">
            <v>42121</v>
          </cell>
          <cell r="G17">
            <v>42174</v>
          </cell>
        </row>
        <row r="18">
          <cell r="A18">
            <v>42125</v>
          </cell>
          <cell r="B18">
            <v>42100</v>
          </cell>
          <cell r="C18">
            <v>42171</v>
          </cell>
          <cell r="D18">
            <v>42125</v>
          </cell>
          <cell r="E18">
            <v>42174</v>
          </cell>
          <cell r="F18">
            <v>42125</v>
          </cell>
          <cell r="G18">
            <v>42175</v>
          </cell>
        </row>
        <row r="19">
          <cell r="A19">
            <v>42149</v>
          </cell>
          <cell r="B19">
            <v>42125</v>
          </cell>
          <cell r="C19">
            <v>42174</v>
          </cell>
          <cell r="D19">
            <v>42163</v>
          </cell>
          <cell r="E19">
            <v>42175</v>
          </cell>
          <cell r="F19">
            <v>42156</v>
          </cell>
          <cell r="G19">
            <v>42274</v>
          </cell>
        </row>
        <row r="20">
          <cell r="A20">
            <v>42174</v>
          </cell>
          <cell r="B20">
            <v>42174</v>
          </cell>
          <cell r="C20">
            <v>42175</v>
          </cell>
          <cell r="D20">
            <v>42174</v>
          </cell>
          <cell r="E20">
            <v>42186</v>
          </cell>
          <cell r="F20">
            <v>42174</v>
          </cell>
          <cell r="G20">
            <v>42275</v>
          </cell>
        </row>
        <row r="21">
          <cell r="A21">
            <v>42175</v>
          </cell>
          <cell r="B21">
            <v>42175</v>
          </cell>
          <cell r="C21">
            <v>42225</v>
          </cell>
          <cell r="D21">
            <v>42175</v>
          </cell>
          <cell r="E21">
            <v>42219</v>
          </cell>
          <cell r="F21">
            <v>42175</v>
          </cell>
          <cell r="G21">
            <v>42286</v>
          </cell>
        </row>
        <row r="22">
          <cell r="A22">
            <v>42188</v>
          </cell>
          <cell r="B22">
            <v>42177</v>
          </cell>
          <cell r="C22">
            <v>42226</v>
          </cell>
          <cell r="D22">
            <v>42274</v>
          </cell>
          <cell r="E22">
            <v>42254</v>
          </cell>
          <cell r="F22">
            <v>42274</v>
          </cell>
          <cell r="G22">
            <v>42287</v>
          </cell>
        </row>
        <row r="23">
          <cell r="A23">
            <v>42189</v>
          </cell>
          <cell r="B23">
            <v>42250</v>
          </cell>
          <cell r="C23">
            <v>42271</v>
          </cell>
          <cell r="D23">
            <v>42275</v>
          </cell>
          <cell r="E23">
            <v>42274</v>
          </cell>
          <cell r="F23">
            <v>42275</v>
          </cell>
          <cell r="G23">
            <v>42302</v>
          </cell>
        </row>
        <row r="24">
          <cell r="A24">
            <v>42254</v>
          </cell>
          <cell r="B24">
            <v>42251</v>
          </cell>
          <cell r="C24">
            <v>42274</v>
          </cell>
          <cell r="D24">
            <v>42282</v>
          </cell>
          <cell r="E24">
            <v>42275</v>
          </cell>
          <cell r="F24">
            <v>42286</v>
          </cell>
          <cell r="G24">
            <v>42363</v>
          </cell>
        </row>
        <row r="25">
          <cell r="A25">
            <v>42274</v>
          </cell>
          <cell r="B25">
            <v>42274</v>
          </cell>
          <cell r="C25">
            <v>42275</v>
          </cell>
          <cell r="D25">
            <v>42286</v>
          </cell>
          <cell r="E25">
            <v>42286</v>
          </cell>
          <cell r="F25">
            <v>42287</v>
          </cell>
          <cell r="G25">
            <v>42364</v>
          </cell>
        </row>
        <row r="26">
          <cell r="A26">
            <v>42275</v>
          </cell>
          <cell r="B26">
            <v>42275</v>
          </cell>
          <cell r="C26">
            <v>42286</v>
          </cell>
          <cell r="D26">
            <v>42287</v>
          </cell>
          <cell r="E26">
            <v>42287</v>
          </cell>
          <cell r="F26">
            <v>42303</v>
          </cell>
          <cell r="G26">
            <v>42370</v>
          </cell>
        </row>
        <row r="27">
          <cell r="A27">
            <v>42286</v>
          </cell>
          <cell r="B27">
            <v>42278</v>
          </cell>
          <cell r="C27">
            <v>42287</v>
          </cell>
          <cell r="D27">
            <v>42363</v>
          </cell>
          <cell r="E27">
            <v>42289</v>
          </cell>
          <cell r="F27">
            <v>42363</v>
          </cell>
          <cell r="G27">
            <v>42399</v>
          </cell>
        </row>
        <row r="28">
          <cell r="A28">
            <v>42287</v>
          </cell>
          <cell r="B28">
            <v>42279</v>
          </cell>
          <cell r="C28">
            <v>42354</v>
          </cell>
          <cell r="D28">
            <v>42366</v>
          </cell>
          <cell r="E28">
            <v>42319</v>
          </cell>
          <cell r="F28">
            <v>42366</v>
          </cell>
          <cell r="G28">
            <v>42407</v>
          </cell>
        </row>
        <row r="29">
          <cell r="A29">
            <v>42289</v>
          </cell>
          <cell r="B29">
            <v>42280</v>
          </cell>
          <cell r="C29">
            <v>42363</v>
          </cell>
          <cell r="D29">
            <v>42370</v>
          </cell>
          <cell r="E29">
            <v>42363</v>
          </cell>
          <cell r="F29">
            <v>42370</v>
          </cell>
          <cell r="G29">
            <v>42408</v>
          </cell>
        </row>
        <row r="30">
          <cell r="A30">
            <v>42309</v>
          </cell>
          <cell r="B30">
            <v>42281</v>
          </cell>
          <cell r="C30">
            <v>42364</v>
          </cell>
          <cell r="D30">
            <v>42395</v>
          </cell>
          <cell r="E30">
            <v>42366</v>
          </cell>
          <cell r="F30">
            <v>42373</v>
          </cell>
          <cell r="G30">
            <v>42409</v>
          </cell>
        </row>
        <row r="31">
          <cell r="A31">
            <v>42319</v>
          </cell>
          <cell r="B31">
            <v>42282</v>
          </cell>
          <cell r="C31">
            <v>42370</v>
          </cell>
          <cell r="D31">
            <v>42399</v>
          </cell>
          <cell r="E31">
            <v>42370</v>
          </cell>
          <cell r="F31">
            <v>42399</v>
          </cell>
          <cell r="G31">
            <v>42410</v>
          </cell>
        </row>
        <row r="32">
          <cell r="A32">
            <v>42334</v>
          </cell>
          <cell r="B32">
            <v>42283</v>
          </cell>
          <cell r="C32">
            <v>42399</v>
          </cell>
          <cell r="D32">
            <v>42407</v>
          </cell>
          <cell r="E32">
            <v>42399</v>
          </cell>
          <cell r="F32">
            <v>42407</v>
          </cell>
          <cell r="G32">
            <v>42411</v>
          </cell>
        </row>
        <row r="33">
          <cell r="A33">
            <v>42363</v>
          </cell>
          <cell r="B33">
            <v>42284</v>
          </cell>
          <cell r="C33">
            <v>42407</v>
          </cell>
          <cell r="D33">
            <v>42408</v>
          </cell>
          <cell r="E33">
            <v>42407</v>
          </cell>
          <cell r="F33">
            <v>42408</v>
          </cell>
          <cell r="G33">
            <v>42412</v>
          </cell>
        </row>
        <row r="34">
          <cell r="A34">
            <v>42370</v>
          </cell>
          <cell r="B34">
            <v>42286</v>
          </cell>
          <cell r="C34">
            <v>42408</v>
          </cell>
          <cell r="D34">
            <v>42409</v>
          </cell>
          <cell r="E34">
            <v>42408</v>
          </cell>
          <cell r="F34">
            <v>42409</v>
          </cell>
          <cell r="G34">
            <v>42428</v>
          </cell>
        </row>
        <row r="35">
          <cell r="A35">
            <v>42387</v>
          </cell>
          <cell r="B35">
            <v>42287</v>
          </cell>
          <cell r="C35">
            <v>42409</v>
          </cell>
          <cell r="D35">
            <v>42410</v>
          </cell>
          <cell r="E35">
            <v>42409</v>
          </cell>
          <cell r="F35">
            <v>42410</v>
          </cell>
          <cell r="G35">
            <v>42429</v>
          </cell>
        </row>
        <row r="36">
          <cell r="A36">
            <v>42399</v>
          </cell>
          <cell r="B36">
            <v>42370</v>
          </cell>
          <cell r="C36">
            <v>42410</v>
          </cell>
          <cell r="D36">
            <v>42411</v>
          </cell>
          <cell r="E36">
            <v>42410</v>
          </cell>
          <cell r="F36">
            <v>42411</v>
          </cell>
          <cell r="G36">
            <v>42454</v>
          </cell>
        </row>
        <row r="37">
          <cell r="A37">
            <v>42407</v>
          </cell>
          <cell r="B37">
            <v>42371</v>
          </cell>
          <cell r="C37">
            <v>42411</v>
          </cell>
          <cell r="D37">
            <v>42412</v>
          </cell>
          <cell r="E37">
            <v>42411</v>
          </cell>
          <cell r="F37">
            <v>42412</v>
          </cell>
          <cell r="G37">
            <v>42456</v>
          </cell>
        </row>
        <row r="38">
          <cell r="A38">
            <v>42408</v>
          </cell>
          <cell r="B38">
            <v>42372</v>
          </cell>
          <cell r="C38">
            <v>42412</v>
          </cell>
          <cell r="D38">
            <v>42428</v>
          </cell>
          <cell r="E38">
            <v>42412</v>
          </cell>
          <cell r="F38">
            <v>42428</v>
          </cell>
          <cell r="G38">
            <v>42457</v>
          </cell>
        </row>
        <row r="39">
          <cell r="A39">
            <v>42409</v>
          </cell>
          <cell r="B39">
            <v>42399</v>
          </cell>
          <cell r="C39">
            <v>42428</v>
          </cell>
          <cell r="D39">
            <v>42429</v>
          </cell>
          <cell r="E39">
            <v>42415</v>
          </cell>
          <cell r="F39">
            <v>42429</v>
          </cell>
          <cell r="G39">
            <v>42464</v>
          </cell>
        </row>
        <row r="40">
          <cell r="A40">
            <v>42410</v>
          </cell>
          <cell r="B40">
            <v>42407</v>
          </cell>
          <cell r="C40">
            <v>42429</v>
          </cell>
          <cell r="D40">
            <v>42443</v>
          </cell>
          <cell r="E40">
            <v>42428</v>
          </cell>
          <cell r="F40">
            <v>42454</v>
          </cell>
          <cell r="G40">
            <v>42465</v>
          </cell>
        </row>
        <row r="41">
          <cell r="A41">
            <v>42411</v>
          </cell>
          <cell r="B41">
            <v>42408</v>
          </cell>
          <cell r="C41">
            <v>42450</v>
          </cell>
          <cell r="D41">
            <v>42454</v>
          </cell>
          <cell r="E41">
            <v>42429</v>
          </cell>
          <cell r="F41">
            <v>42457</v>
          </cell>
          <cell r="G41">
            <v>42491</v>
          </cell>
        </row>
        <row r="42">
          <cell r="A42">
            <v>42412</v>
          </cell>
          <cell r="B42">
            <v>42409</v>
          </cell>
          <cell r="C42">
            <v>42454</v>
          </cell>
          <cell r="D42">
            <v>42457</v>
          </cell>
          <cell r="E42">
            <v>42454</v>
          </cell>
          <cell r="F42">
            <v>42464</v>
          </cell>
          <cell r="G42">
            <v>42492</v>
          </cell>
        </row>
        <row r="43">
          <cell r="A43">
            <v>42415</v>
          </cell>
          <cell r="B43">
            <v>42410</v>
          </cell>
          <cell r="C43">
            <v>42457</v>
          </cell>
          <cell r="D43">
            <v>42464</v>
          </cell>
          <cell r="E43">
            <v>42464</v>
          </cell>
          <cell r="F43">
            <v>42465</v>
          </cell>
          <cell r="G43">
            <v>42525</v>
          </cell>
        </row>
        <row r="44">
          <cell r="A44">
            <v>42428</v>
          </cell>
          <cell r="B44">
            <v>42411</v>
          </cell>
          <cell r="C44">
            <v>42464</v>
          </cell>
          <cell r="D44">
            <v>42465</v>
          </cell>
          <cell r="E44">
            <v>42465</v>
          </cell>
          <cell r="F44">
            <v>42485</v>
          </cell>
          <cell r="G44">
            <v>42530</v>
          </cell>
        </row>
        <row r="45">
          <cell r="A45">
            <v>42429</v>
          </cell>
          <cell r="B45">
            <v>42412</v>
          </cell>
          <cell r="C45">
            <v>42465</v>
          </cell>
          <cell r="D45">
            <v>42485</v>
          </cell>
          <cell r="E45">
            <v>42491</v>
          </cell>
          <cell r="F45">
            <v>42491</v>
          </cell>
          <cell r="G45">
            <v>42531</v>
          </cell>
        </row>
        <row r="46">
          <cell r="A46">
            <v>42442</v>
          </cell>
          <cell r="B46">
            <v>42413</v>
          </cell>
          <cell r="C46">
            <v>42487</v>
          </cell>
          <cell r="D46">
            <v>42491</v>
          </cell>
          <cell r="E46">
            <v>42492</v>
          </cell>
          <cell r="F46">
            <v>42492</v>
          </cell>
          <cell r="G46">
            <v>42623</v>
          </cell>
        </row>
        <row r="47">
          <cell r="A47">
            <v>42454</v>
          </cell>
          <cell r="B47">
            <v>42428</v>
          </cell>
          <cell r="C47">
            <v>42491</v>
          </cell>
          <cell r="D47">
            <v>42492</v>
          </cell>
          <cell r="E47">
            <v>42513</v>
          </cell>
          <cell r="F47">
            <v>42525</v>
          </cell>
          <cell r="G47">
            <v>42628</v>
          </cell>
        </row>
        <row r="48">
          <cell r="A48">
            <v>42464</v>
          </cell>
          <cell r="B48">
            <v>42429</v>
          </cell>
          <cell r="C48">
            <v>42492</v>
          </cell>
          <cell r="D48">
            <v>42525</v>
          </cell>
          <cell r="E48">
            <v>42525</v>
          </cell>
          <cell r="F48">
            <v>42527</v>
          </cell>
          <cell r="G48">
            <v>42629</v>
          </cell>
        </row>
        <row r="49">
          <cell r="A49">
            <v>42465</v>
          </cell>
          <cell r="B49">
            <v>42462</v>
          </cell>
          <cell r="C49">
            <v>42525</v>
          </cell>
          <cell r="D49">
            <v>42530</v>
          </cell>
          <cell r="E49">
            <v>42530</v>
          </cell>
          <cell r="F49">
            <v>42530</v>
          </cell>
          <cell r="G49">
            <v>42653</v>
          </cell>
        </row>
        <row r="50">
          <cell r="A50">
            <v>42491</v>
          </cell>
          <cell r="B50">
            <v>42463</v>
          </cell>
          <cell r="C50">
            <v>42530</v>
          </cell>
          <cell r="D50">
            <v>42531</v>
          </cell>
          <cell r="E50">
            <v>42531</v>
          </cell>
          <cell r="F50">
            <v>42531</v>
          </cell>
          <cell r="G50">
            <v>42673</v>
          </cell>
        </row>
        <row r="51">
          <cell r="A51">
            <v>42492</v>
          </cell>
          <cell r="B51">
            <v>42464</v>
          </cell>
          <cell r="C51">
            <v>42531</v>
          </cell>
          <cell r="D51">
            <v>42534</v>
          </cell>
          <cell r="E51">
            <v>42552</v>
          </cell>
          <cell r="F51">
            <v>42623</v>
          </cell>
          <cell r="G51">
            <v>42729</v>
          </cell>
        </row>
        <row r="52">
          <cell r="A52">
            <v>42520</v>
          </cell>
          <cell r="B52">
            <v>42465</v>
          </cell>
          <cell r="C52">
            <v>42537</v>
          </cell>
          <cell r="D52">
            <v>42623</v>
          </cell>
          <cell r="E52">
            <v>42583</v>
          </cell>
          <cell r="F52">
            <v>42628</v>
          </cell>
          <cell r="G52">
            <v>42730</v>
          </cell>
        </row>
        <row r="53">
          <cell r="A53">
            <v>42525</v>
          </cell>
          <cell r="B53">
            <v>42491</v>
          </cell>
          <cell r="C53">
            <v>42585</v>
          </cell>
          <cell r="D53">
            <v>42628</v>
          </cell>
          <cell r="E53">
            <v>42618</v>
          </cell>
          <cell r="F53">
            <v>42629</v>
          </cell>
          <cell r="G53">
            <v>42736</v>
          </cell>
        </row>
        <row r="54">
          <cell r="A54">
            <v>42530</v>
          </cell>
          <cell r="B54">
            <v>42492</v>
          </cell>
          <cell r="C54">
            <v>42591</v>
          </cell>
          <cell r="D54">
            <v>42629</v>
          </cell>
          <cell r="E54">
            <v>42623</v>
          </cell>
          <cell r="F54">
            <v>42653</v>
          </cell>
          <cell r="G54">
            <v>42737</v>
          </cell>
        </row>
        <row r="55">
          <cell r="A55">
            <v>42531</v>
          </cell>
          <cell r="B55">
            <v>42525</v>
          </cell>
          <cell r="C55">
            <v>42623</v>
          </cell>
          <cell r="D55">
            <v>42646</v>
          </cell>
          <cell r="E55">
            <v>42628</v>
          </cell>
          <cell r="F55">
            <v>42667</v>
          </cell>
          <cell r="G55">
            <v>42762</v>
          </cell>
        </row>
        <row r="56">
          <cell r="A56">
            <v>42555</v>
          </cell>
          <cell r="B56">
            <v>42530</v>
          </cell>
          <cell r="C56">
            <v>42628</v>
          </cell>
          <cell r="D56">
            <v>42653</v>
          </cell>
          <cell r="E56">
            <v>42629</v>
          </cell>
          <cell r="F56">
            <v>42730</v>
          </cell>
          <cell r="G56">
            <v>42763</v>
          </cell>
        </row>
        <row r="57">
          <cell r="A57">
            <v>42618</v>
          </cell>
          <cell r="B57">
            <v>42531</v>
          </cell>
          <cell r="C57">
            <v>42629</v>
          </cell>
          <cell r="D57">
            <v>42730</v>
          </cell>
          <cell r="E57">
            <v>42653</v>
          </cell>
          <cell r="F57">
            <v>42731</v>
          </cell>
          <cell r="G57">
            <v>42764</v>
          </cell>
        </row>
        <row r="58">
          <cell r="A58">
            <v>42623</v>
          </cell>
          <cell r="B58">
            <v>42532</v>
          </cell>
          <cell r="C58">
            <v>42637</v>
          </cell>
          <cell r="D58">
            <v>42731</v>
          </cell>
          <cell r="E58">
            <v>42685</v>
          </cell>
          <cell r="F58">
            <v>42736</v>
          </cell>
          <cell r="G58">
            <v>42765</v>
          </cell>
        </row>
        <row r="59">
          <cell r="A59">
            <v>42628</v>
          </cell>
          <cell r="B59">
            <v>42623</v>
          </cell>
          <cell r="C59">
            <v>42653</v>
          </cell>
          <cell r="D59">
            <v>42736</v>
          </cell>
          <cell r="E59">
            <v>42730</v>
          </cell>
          <cell r="F59">
            <v>42737</v>
          </cell>
          <cell r="G59">
            <v>42766</v>
          </cell>
        </row>
        <row r="60">
          <cell r="A60">
            <v>42629</v>
          </cell>
          <cell r="B60">
            <v>42628</v>
          </cell>
          <cell r="C60">
            <v>42720</v>
          </cell>
          <cell r="D60">
            <v>42737</v>
          </cell>
          <cell r="E60">
            <v>42731</v>
          </cell>
          <cell r="F60">
            <v>42738</v>
          </cell>
          <cell r="G60">
            <v>42767</v>
          </cell>
        </row>
        <row r="61">
          <cell r="A61">
            <v>42653</v>
          </cell>
          <cell r="B61">
            <v>42629</v>
          </cell>
          <cell r="C61">
            <v>42729</v>
          </cell>
          <cell r="D61">
            <v>42761</v>
          </cell>
          <cell r="E61">
            <v>42736</v>
          </cell>
          <cell r="F61">
            <v>42762</v>
          </cell>
          <cell r="G61">
            <v>42784</v>
          </cell>
        </row>
        <row r="62">
          <cell r="A62">
            <v>42680</v>
          </cell>
          <cell r="B62">
            <v>42630</v>
          </cell>
          <cell r="C62">
            <v>42730</v>
          </cell>
          <cell r="D62">
            <v>42762</v>
          </cell>
          <cell r="E62">
            <v>42737</v>
          </cell>
          <cell r="F62">
            <v>42763</v>
          </cell>
          <cell r="G62">
            <v>42793</v>
          </cell>
        </row>
        <row r="63">
          <cell r="A63">
            <v>42685</v>
          </cell>
          <cell r="B63">
            <v>42644</v>
          </cell>
          <cell r="C63">
            <v>42731</v>
          </cell>
          <cell r="D63">
            <v>42763</v>
          </cell>
          <cell r="E63">
            <v>42762</v>
          </cell>
          <cell r="F63">
            <v>42764</v>
          </cell>
          <cell r="G63">
            <v>42794</v>
          </cell>
        </row>
        <row r="64">
          <cell r="A64">
            <v>42698</v>
          </cell>
          <cell r="B64">
            <v>42645</v>
          </cell>
          <cell r="C64">
            <v>42736</v>
          </cell>
          <cell r="D64">
            <v>42764</v>
          </cell>
          <cell r="E64">
            <v>42763</v>
          </cell>
          <cell r="F64">
            <v>42765</v>
          </cell>
          <cell r="G64">
            <v>42820</v>
          </cell>
        </row>
        <row r="65">
          <cell r="A65">
            <v>42729</v>
          </cell>
          <cell r="B65">
            <v>42646</v>
          </cell>
          <cell r="C65">
            <v>42737</v>
          </cell>
          <cell r="D65">
            <v>42765</v>
          </cell>
          <cell r="E65">
            <v>42764</v>
          </cell>
          <cell r="F65">
            <v>42766</v>
          </cell>
          <cell r="G65">
            <v>42828</v>
          </cell>
        </row>
        <row r="66">
          <cell r="A66">
            <v>42730</v>
          </cell>
          <cell r="B66">
            <v>42647</v>
          </cell>
          <cell r="C66">
            <v>42762</v>
          </cell>
          <cell r="D66">
            <v>42766</v>
          </cell>
          <cell r="E66">
            <v>42765</v>
          </cell>
          <cell r="F66">
            <v>42767</v>
          </cell>
          <cell r="G66">
            <v>42829</v>
          </cell>
        </row>
        <row r="67">
          <cell r="A67">
            <v>42736</v>
          </cell>
          <cell r="B67">
            <v>42648</v>
          </cell>
          <cell r="C67">
            <v>42763</v>
          </cell>
          <cell r="D67">
            <v>42767</v>
          </cell>
          <cell r="E67">
            <v>42766</v>
          </cell>
          <cell r="F67">
            <v>42772</v>
          </cell>
          <cell r="G67">
            <v>42839</v>
          </cell>
        </row>
        <row r="68">
          <cell r="A68">
            <v>42737</v>
          </cell>
          <cell r="B68">
            <v>42649</v>
          </cell>
          <cell r="C68">
            <v>42764</v>
          </cell>
          <cell r="D68">
            <v>42784</v>
          </cell>
          <cell r="E68">
            <v>42767</v>
          </cell>
          <cell r="F68">
            <v>42784</v>
          </cell>
          <cell r="G68">
            <v>42842</v>
          </cell>
        </row>
        <row r="69">
          <cell r="A69">
            <v>42751</v>
          </cell>
          <cell r="B69">
            <v>42650</v>
          </cell>
          <cell r="C69">
            <v>42765</v>
          </cell>
          <cell r="D69">
            <v>42793</v>
          </cell>
          <cell r="E69">
            <v>42784</v>
          </cell>
          <cell r="F69">
            <v>42793</v>
          </cell>
          <cell r="G69">
            <v>42856</v>
          </cell>
        </row>
        <row r="70">
          <cell r="A70">
            <v>42762</v>
          </cell>
          <cell r="B70">
            <v>42653</v>
          </cell>
          <cell r="C70">
            <v>42766</v>
          </cell>
          <cell r="D70">
            <v>42794</v>
          </cell>
          <cell r="E70">
            <v>42786</v>
          </cell>
          <cell r="F70">
            <v>42794</v>
          </cell>
          <cell r="G70">
            <v>42884</v>
          </cell>
        </row>
        <row r="71">
          <cell r="A71">
            <v>42763</v>
          </cell>
          <cell r="B71">
            <v>42736</v>
          </cell>
          <cell r="C71">
            <v>42767</v>
          </cell>
          <cell r="D71">
            <v>42807</v>
          </cell>
          <cell r="E71">
            <v>42793</v>
          </cell>
          <cell r="F71">
            <v>42828</v>
          </cell>
          <cell r="G71">
            <v>42885</v>
          </cell>
        </row>
        <row r="72">
          <cell r="A72">
            <v>42764</v>
          </cell>
          <cell r="B72">
            <v>42737</v>
          </cell>
          <cell r="C72">
            <v>42784</v>
          </cell>
          <cell r="D72">
            <v>42828</v>
          </cell>
          <cell r="E72">
            <v>42794</v>
          </cell>
          <cell r="F72">
            <v>42829</v>
          </cell>
          <cell r="G72">
            <v>42889</v>
          </cell>
        </row>
        <row r="73">
          <cell r="A73">
            <v>42765</v>
          </cell>
          <cell r="B73">
            <v>42762</v>
          </cell>
          <cell r="C73">
            <v>42793</v>
          </cell>
          <cell r="D73">
            <v>42829</v>
          </cell>
          <cell r="E73">
            <v>42828</v>
          </cell>
          <cell r="F73">
            <v>42839</v>
          </cell>
          <cell r="G73">
            <v>43008</v>
          </cell>
        </row>
        <row r="74">
          <cell r="A74">
            <v>42766</v>
          </cell>
          <cell r="B74">
            <v>42763</v>
          </cell>
          <cell r="C74">
            <v>42794</v>
          </cell>
          <cell r="D74">
            <v>42839</v>
          </cell>
          <cell r="E74">
            <v>42829</v>
          </cell>
          <cell r="F74">
            <v>42842</v>
          </cell>
          <cell r="G74">
            <v>43012</v>
          </cell>
        </row>
        <row r="75">
          <cell r="A75">
            <v>42767</v>
          </cell>
          <cell r="B75">
            <v>42764</v>
          </cell>
          <cell r="C75">
            <v>42815</v>
          </cell>
          <cell r="D75">
            <v>42842</v>
          </cell>
          <cell r="E75">
            <v>42839</v>
          </cell>
          <cell r="F75">
            <v>42850</v>
          </cell>
          <cell r="G75">
            <v>43017</v>
          </cell>
        </row>
        <row r="76">
          <cell r="A76">
            <v>42784</v>
          </cell>
          <cell r="B76">
            <v>42765</v>
          </cell>
          <cell r="C76">
            <v>42828</v>
          </cell>
          <cell r="D76">
            <v>42850</v>
          </cell>
          <cell r="E76">
            <v>42856</v>
          </cell>
          <cell r="F76">
            <v>42856</v>
          </cell>
          <cell r="G76">
            <v>43018</v>
          </cell>
        </row>
        <row r="77">
          <cell r="A77">
            <v>42786</v>
          </cell>
          <cell r="B77">
            <v>42766</v>
          </cell>
          <cell r="C77">
            <v>42829</v>
          </cell>
          <cell r="D77">
            <v>42856</v>
          </cell>
          <cell r="E77">
            <v>42877</v>
          </cell>
          <cell r="F77">
            <v>42884</v>
          </cell>
          <cell r="G77">
            <v>43037</v>
          </cell>
        </row>
        <row r="78">
          <cell r="A78">
            <v>42793</v>
          </cell>
          <cell r="B78">
            <v>42767</v>
          </cell>
          <cell r="C78">
            <v>42839</v>
          </cell>
          <cell r="D78">
            <v>42884</v>
          </cell>
          <cell r="E78">
            <v>42884</v>
          </cell>
          <cell r="F78">
            <v>42885</v>
          </cell>
          <cell r="G78">
            <v>43094</v>
          </cell>
        </row>
        <row r="79">
          <cell r="A79">
            <v>42794</v>
          </cell>
          <cell r="B79">
            <v>42768</v>
          </cell>
          <cell r="C79">
            <v>42842</v>
          </cell>
          <cell r="D79">
            <v>42885</v>
          </cell>
          <cell r="E79">
            <v>42885</v>
          </cell>
          <cell r="F79">
            <v>42889</v>
          </cell>
          <cell r="G79">
            <v>43095</v>
          </cell>
        </row>
        <row r="80">
          <cell r="A80">
            <v>42806</v>
          </cell>
          <cell r="B80">
            <v>42784</v>
          </cell>
          <cell r="C80">
            <v>42852</v>
          </cell>
          <cell r="D80">
            <v>42889</v>
          </cell>
          <cell r="E80">
            <v>42889</v>
          </cell>
          <cell r="F80">
            <v>42891</v>
          </cell>
          <cell r="G80">
            <v>43101</v>
          </cell>
        </row>
        <row r="81">
          <cell r="A81">
            <v>42828</v>
          </cell>
          <cell r="B81">
            <v>42793</v>
          </cell>
          <cell r="C81">
            <v>42856</v>
          </cell>
          <cell r="D81">
            <v>42898</v>
          </cell>
          <cell r="E81">
            <v>42919</v>
          </cell>
          <cell r="F81">
            <v>43008</v>
          </cell>
          <cell r="G81">
            <v>43146</v>
          </cell>
        </row>
        <row r="82">
          <cell r="A82">
            <v>42829</v>
          </cell>
          <cell r="B82">
            <v>42794</v>
          </cell>
          <cell r="C82">
            <v>42884</v>
          </cell>
          <cell r="D82">
            <v>43008</v>
          </cell>
          <cell r="E82">
            <v>42954</v>
          </cell>
          <cell r="F82">
            <v>43012</v>
          </cell>
          <cell r="G82">
            <v>43147</v>
          </cell>
        </row>
        <row r="83">
          <cell r="A83">
            <v>42839</v>
          </cell>
          <cell r="B83">
            <v>42827</v>
          </cell>
          <cell r="C83">
            <v>42885</v>
          </cell>
          <cell r="D83">
            <v>43010</v>
          </cell>
          <cell r="E83">
            <v>42982</v>
          </cell>
          <cell r="F83">
            <v>43017</v>
          </cell>
          <cell r="G83">
            <v>43150</v>
          </cell>
        </row>
        <row r="84">
          <cell r="A84">
            <v>42856</v>
          </cell>
          <cell r="B84">
            <v>42828</v>
          </cell>
          <cell r="C84">
            <v>42889</v>
          </cell>
          <cell r="D84">
            <v>43012</v>
          </cell>
          <cell r="E84">
            <v>43008</v>
          </cell>
          <cell r="F84">
            <v>43018</v>
          </cell>
          <cell r="G84">
            <v>43151</v>
          </cell>
        </row>
        <row r="85">
          <cell r="A85">
            <v>42884</v>
          </cell>
          <cell r="B85">
            <v>42829</v>
          </cell>
          <cell r="C85">
            <v>42902</v>
          </cell>
          <cell r="D85">
            <v>43017</v>
          </cell>
          <cell r="E85">
            <v>43012</v>
          </cell>
          <cell r="F85">
            <v>43031</v>
          </cell>
          <cell r="G85">
            <v>43159</v>
          </cell>
        </row>
        <row r="86">
          <cell r="A86">
            <v>42885</v>
          </cell>
          <cell r="B86">
            <v>42856</v>
          </cell>
          <cell r="C86">
            <v>42956</v>
          </cell>
          <cell r="D86">
            <v>43018</v>
          </cell>
          <cell r="E86">
            <v>43017</v>
          </cell>
          <cell r="F86">
            <v>43094</v>
          </cell>
          <cell r="G86">
            <v>43184</v>
          </cell>
        </row>
        <row r="87">
          <cell r="A87">
            <v>42889</v>
          </cell>
          <cell r="B87">
            <v>42883</v>
          </cell>
          <cell r="C87">
            <v>43002</v>
          </cell>
          <cell r="D87">
            <v>43094</v>
          </cell>
          <cell r="E87">
            <v>43018</v>
          </cell>
          <cell r="F87">
            <v>43095</v>
          </cell>
          <cell r="G87">
            <v>43189</v>
          </cell>
        </row>
        <row r="88">
          <cell r="A88">
            <v>42920</v>
          </cell>
          <cell r="B88">
            <v>42884</v>
          </cell>
          <cell r="C88">
            <v>43003</v>
          </cell>
          <cell r="D88">
            <v>43095</v>
          </cell>
          <cell r="E88">
            <v>43052</v>
          </cell>
          <cell r="F88">
            <v>43101</v>
          </cell>
          <cell r="G88">
            <v>43190</v>
          </cell>
        </row>
        <row r="89">
          <cell r="A89">
            <v>42982</v>
          </cell>
          <cell r="B89">
            <v>42885</v>
          </cell>
          <cell r="C89">
            <v>43008</v>
          </cell>
          <cell r="D89">
            <v>43101</v>
          </cell>
          <cell r="E89">
            <v>43094</v>
          </cell>
          <cell r="F89">
            <v>43102</v>
          </cell>
          <cell r="G89">
            <v>43192</v>
          </cell>
        </row>
        <row r="90">
          <cell r="A90">
            <v>43008</v>
          </cell>
          <cell r="B90">
            <v>42889</v>
          </cell>
          <cell r="C90">
            <v>43012</v>
          </cell>
          <cell r="D90">
            <v>43126</v>
          </cell>
          <cell r="E90">
            <v>43095</v>
          </cell>
          <cell r="F90">
            <v>43137</v>
          </cell>
          <cell r="G90">
            <v>43194</v>
          </cell>
        </row>
        <row r="91">
          <cell r="A91">
            <v>43012</v>
          </cell>
          <cell r="B91">
            <v>43008</v>
          </cell>
          <cell r="C91">
            <v>43017</v>
          </cell>
          <cell r="D91">
            <v>43146</v>
          </cell>
          <cell r="E91">
            <v>43101</v>
          </cell>
          <cell r="F91">
            <v>43146</v>
          </cell>
          <cell r="G91">
            <v>43195</v>
          </cell>
        </row>
        <row r="92">
          <cell r="A92">
            <v>43017</v>
          </cell>
          <cell r="B92">
            <v>43009</v>
          </cell>
          <cell r="C92">
            <v>43018</v>
          </cell>
          <cell r="D92">
            <v>43147</v>
          </cell>
          <cell r="E92">
            <v>43146</v>
          </cell>
          <cell r="F92">
            <v>43147</v>
          </cell>
          <cell r="G92">
            <v>43196</v>
          </cell>
        </row>
        <row r="93">
          <cell r="A93">
            <v>43018</v>
          </cell>
          <cell r="B93">
            <v>43010</v>
          </cell>
          <cell r="C93">
            <v>43085</v>
          </cell>
          <cell r="D93">
            <v>43150</v>
          </cell>
          <cell r="E93">
            <v>43147</v>
          </cell>
          <cell r="F93">
            <v>43150</v>
          </cell>
          <cell r="G93">
            <v>43221</v>
          </cell>
        </row>
        <row r="94">
          <cell r="A94">
            <v>43044</v>
          </cell>
          <cell r="B94">
            <v>43011</v>
          </cell>
          <cell r="C94">
            <v>43094</v>
          </cell>
          <cell r="D94">
            <v>43151</v>
          </cell>
          <cell r="E94">
            <v>43150</v>
          </cell>
          <cell r="F94">
            <v>43151</v>
          </cell>
          <cell r="G94">
            <v>43269</v>
          </cell>
        </row>
        <row r="95">
          <cell r="A95">
            <v>43050</v>
          </cell>
          <cell r="B95">
            <v>43012</v>
          </cell>
          <cell r="C95">
            <v>43095</v>
          </cell>
          <cell r="D95">
            <v>43159</v>
          </cell>
          <cell r="E95">
            <v>43151</v>
          </cell>
          <cell r="F95">
            <v>43159</v>
          </cell>
          <cell r="G95">
            <v>43367</v>
          </cell>
        </row>
        <row r="96">
          <cell r="A96">
            <v>43062</v>
          </cell>
          <cell r="B96">
            <v>43013</v>
          </cell>
          <cell r="C96">
            <v>43101</v>
          </cell>
          <cell r="D96">
            <v>43171</v>
          </cell>
          <cell r="E96">
            <v>43159</v>
          </cell>
          <cell r="F96">
            <v>43189</v>
          </cell>
          <cell r="G96">
            <v>43383</v>
          </cell>
        </row>
        <row r="97">
          <cell r="A97">
            <v>43094</v>
          </cell>
          <cell r="B97">
            <v>43014</v>
          </cell>
          <cell r="C97">
            <v>43146</v>
          </cell>
          <cell r="D97">
            <v>43189</v>
          </cell>
          <cell r="E97">
            <v>43189</v>
          </cell>
          <cell r="F97">
            <v>43190</v>
          </cell>
          <cell r="G97">
            <v>43401</v>
          </cell>
        </row>
        <row r="98">
          <cell r="A98">
            <v>43101</v>
          </cell>
          <cell r="B98">
            <v>43015</v>
          </cell>
          <cell r="C98">
            <v>43147</v>
          </cell>
          <cell r="D98">
            <v>43190</v>
          </cell>
          <cell r="E98">
            <v>43190</v>
          </cell>
          <cell r="F98">
            <v>43192</v>
          </cell>
          <cell r="G98">
            <v>43456</v>
          </cell>
        </row>
        <row r="99">
          <cell r="A99">
            <v>43115</v>
          </cell>
          <cell r="B99">
            <v>43016</v>
          </cell>
          <cell r="C99">
            <v>43150</v>
          </cell>
          <cell r="D99">
            <v>43192</v>
          </cell>
          <cell r="E99">
            <v>43194</v>
          </cell>
          <cell r="F99">
            <v>43194</v>
          </cell>
          <cell r="G99">
            <v>43459</v>
          </cell>
        </row>
        <row r="100">
          <cell r="A100">
            <v>43146</v>
          </cell>
          <cell r="B100">
            <v>43017</v>
          </cell>
          <cell r="C100">
            <v>43151</v>
          </cell>
          <cell r="D100">
            <v>43194</v>
          </cell>
          <cell r="E100">
            <v>43195</v>
          </cell>
          <cell r="F100">
            <v>43195</v>
          </cell>
          <cell r="G100">
            <v>43460</v>
          </cell>
        </row>
        <row r="101">
          <cell r="A101">
            <v>43147</v>
          </cell>
          <cell r="B101">
            <v>43018</v>
          </cell>
          <cell r="C101">
            <v>43159</v>
          </cell>
          <cell r="D101">
            <v>43195</v>
          </cell>
          <cell r="E101">
            <v>43196</v>
          </cell>
          <cell r="F101">
            <v>43196</v>
          </cell>
          <cell r="G101">
            <v>43465</v>
          </cell>
        </row>
        <row r="102">
          <cell r="A102">
            <v>43150</v>
          </cell>
          <cell r="B102">
            <v>43101</v>
          </cell>
          <cell r="C102">
            <v>43180</v>
          </cell>
          <cell r="D102">
            <v>43196</v>
          </cell>
          <cell r="E102">
            <v>43221</v>
          </cell>
          <cell r="F102">
            <v>43215</v>
          </cell>
          <cell r="G102">
            <v>43466</v>
          </cell>
        </row>
        <row r="103">
          <cell r="A103">
            <v>43151</v>
          </cell>
          <cell r="B103">
            <v>43146</v>
          </cell>
          <cell r="C103">
            <v>43189</v>
          </cell>
          <cell r="D103">
            <v>43215</v>
          </cell>
          <cell r="E103">
            <v>43241</v>
          </cell>
          <cell r="F103">
            <v>43221</v>
          </cell>
          <cell r="G103">
            <v>43500</v>
          </cell>
        </row>
        <row r="104">
          <cell r="A104">
            <v>43159</v>
          </cell>
          <cell r="B104">
            <v>43147</v>
          </cell>
          <cell r="C104">
            <v>43190</v>
          </cell>
          <cell r="D104">
            <v>43221</v>
          </cell>
          <cell r="E104">
            <v>43269</v>
          </cell>
          <cell r="F104">
            <v>43255</v>
          </cell>
          <cell r="G104">
            <v>43501</v>
          </cell>
        </row>
        <row r="105">
          <cell r="A105">
            <v>43170</v>
          </cell>
          <cell r="B105">
            <v>43148</v>
          </cell>
          <cell r="C105">
            <v>43192</v>
          </cell>
          <cell r="D105">
            <v>43262</v>
          </cell>
          <cell r="E105">
            <v>43283</v>
          </cell>
          <cell r="F105">
            <v>43269</v>
          </cell>
          <cell r="G105">
            <v>43502</v>
          </cell>
        </row>
        <row r="106">
          <cell r="A106">
            <v>43189</v>
          </cell>
          <cell r="B106">
            <v>43149</v>
          </cell>
          <cell r="C106">
            <v>43194</v>
          </cell>
          <cell r="D106">
            <v>43269</v>
          </cell>
          <cell r="E106">
            <v>43318</v>
          </cell>
          <cell r="F106">
            <v>43367</v>
          </cell>
          <cell r="G106">
            <v>43503</v>
          </cell>
        </row>
        <row r="107">
          <cell r="A107">
            <v>43190</v>
          </cell>
          <cell r="B107">
            <v>43150</v>
          </cell>
          <cell r="C107">
            <v>43195</v>
          </cell>
          <cell r="D107">
            <v>43367</v>
          </cell>
          <cell r="E107">
            <v>43346</v>
          </cell>
          <cell r="F107">
            <v>43383</v>
          </cell>
          <cell r="G107">
            <v>43504</v>
          </cell>
        </row>
        <row r="108">
          <cell r="A108">
            <v>43194</v>
          </cell>
          <cell r="B108">
            <v>43151</v>
          </cell>
          <cell r="C108">
            <v>43196</v>
          </cell>
          <cell r="D108">
            <v>43374</v>
          </cell>
          <cell r="E108">
            <v>43367</v>
          </cell>
          <cell r="F108">
            <v>43395</v>
          </cell>
          <cell r="G108">
            <v>43524</v>
          </cell>
        </row>
        <row r="109">
          <cell r="A109">
            <v>43195</v>
          </cell>
          <cell r="B109">
            <v>43152</v>
          </cell>
          <cell r="C109">
            <v>43217</v>
          </cell>
          <cell r="D109">
            <v>43383</v>
          </cell>
          <cell r="E109">
            <v>43381</v>
          </cell>
          <cell r="F109">
            <v>43456</v>
          </cell>
          <cell r="G109">
            <v>43525</v>
          </cell>
        </row>
        <row r="110">
          <cell r="A110">
            <v>43196</v>
          </cell>
          <cell r="B110">
            <v>43159</v>
          </cell>
          <cell r="C110">
            <v>43221</v>
          </cell>
          <cell r="D110">
            <v>43456</v>
          </cell>
          <cell r="E110">
            <v>43383</v>
          </cell>
          <cell r="F110">
            <v>43459</v>
          </cell>
          <cell r="G110">
            <v>43555</v>
          </cell>
        </row>
        <row r="111">
          <cell r="A111">
            <v>43221</v>
          </cell>
          <cell r="B111">
            <v>43190</v>
          </cell>
          <cell r="C111">
            <v>43267</v>
          </cell>
          <cell r="D111">
            <v>43459</v>
          </cell>
          <cell r="E111">
            <v>43416</v>
          </cell>
          <cell r="F111">
            <v>43460</v>
          </cell>
          <cell r="G111">
            <v>43559</v>
          </cell>
        </row>
        <row r="112">
          <cell r="A112">
            <v>43248</v>
          </cell>
          <cell r="B112">
            <v>43194</v>
          </cell>
          <cell r="C112">
            <v>43269</v>
          </cell>
          <cell r="D112">
            <v>43460</v>
          </cell>
          <cell r="E112">
            <v>43456</v>
          </cell>
          <cell r="F112">
            <v>43465</v>
          </cell>
          <cell r="G112">
            <v>43560</v>
          </cell>
        </row>
        <row r="113">
          <cell r="A113">
            <v>43269</v>
          </cell>
          <cell r="B113">
            <v>43195</v>
          </cell>
          <cell r="C113">
            <v>43321</v>
          </cell>
          <cell r="D113">
            <v>43465</v>
          </cell>
          <cell r="E113">
            <v>43459</v>
          </cell>
          <cell r="F113">
            <v>43466</v>
          </cell>
          <cell r="G113">
            <v>43574</v>
          </cell>
        </row>
        <row r="114">
          <cell r="A114">
            <v>43285</v>
          </cell>
          <cell r="B114">
            <v>43196</v>
          </cell>
          <cell r="C114">
            <v>43367</v>
          </cell>
          <cell r="D114">
            <v>43466</v>
          </cell>
          <cell r="E114">
            <v>43460</v>
          </cell>
          <cell r="F114">
            <v>43467</v>
          </cell>
          <cell r="G114">
            <v>43577</v>
          </cell>
        </row>
        <row r="115">
          <cell r="A115">
            <v>43346</v>
          </cell>
          <cell r="B115">
            <v>43197</v>
          </cell>
          <cell r="C115">
            <v>43383</v>
          </cell>
          <cell r="D115">
            <v>43493</v>
          </cell>
          <cell r="E115">
            <v>43465</v>
          </cell>
          <cell r="F115">
            <v>43500</v>
          </cell>
          <cell r="G115">
            <v>43586</v>
          </cell>
        </row>
        <row r="116">
          <cell r="A116">
            <v>43367</v>
          </cell>
          <cell r="B116">
            <v>43219</v>
          </cell>
          <cell r="C116">
            <v>43450</v>
          </cell>
          <cell r="D116">
            <v>43500</v>
          </cell>
          <cell r="E116">
            <v>43466</v>
          </cell>
          <cell r="F116">
            <v>43501</v>
          </cell>
          <cell r="G116">
            <v>43623</v>
          </cell>
        </row>
        <row r="117">
          <cell r="A117">
            <v>43381</v>
          </cell>
          <cell r="B117">
            <v>43220</v>
          </cell>
          <cell r="C117">
            <v>43451</v>
          </cell>
          <cell r="D117">
            <v>43501</v>
          </cell>
          <cell r="E117">
            <v>43500</v>
          </cell>
          <cell r="F117">
            <v>43502</v>
          </cell>
          <cell r="G117">
            <v>43721</v>
          </cell>
        </row>
        <row r="118">
          <cell r="A118">
            <v>43383</v>
          </cell>
          <cell r="B118">
            <v>43221</v>
          </cell>
          <cell r="C118">
            <v>43456</v>
          </cell>
          <cell r="D118">
            <v>43502</v>
          </cell>
          <cell r="E118">
            <v>43501</v>
          </cell>
          <cell r="F118">
            <v>43503</v>
          </cell>
          <cell r="G118">
            <v>43748</v>
          </cell>
        </row>
        <row r="119">
          <cell r="A119">
            <v>43408</v>
          </cell>
          <cell r="B119">
            <v>43269</v>
          </cell>
          <cell r="C119">
            <v>43459</v>
          </cell>
          <cell r="D119">
            <v>43503</v>
          </cell>
          <cell r="E119">
            <v>43502</v>
          </cell>
          <cell r="F119">
            <v>43504</v>
          </cell>
          <cell r="G119">
            <v>43749</v>
          </cell>
        </row>
        <row r="120">
          <cell r="A120">
            <v>43416</v>
          </cell>
          <cell r="B120">
            <v>43367</v>
          </cell>
          <cell r="C120">
            <v>43460</v>
          </cell>
          <cell r="D120">
            <v>43504</v>
          </cell>
          <cell r="E120">
            <v>43503</v>
          </cell>
          <cell r="F120">
            <v>43524</v>
          </cell>
          <cell r="G120">
            <v>43771</v>
          </cell>
        </row>
        <row r="121">
          <cell r="A121">
            <v>43426</v>
          </cell>
          <cell r="B121">
            <v>43374</v>
          </cell>
          <cell r="C121">
            <v>43465</v>
          </cell>
          <cell r="D121">
            <v>43524</v>
          </cell>
          <cell r="E121">
            <v>43504</v>
          </cell>
          <cell r="F121">
            <v>43525</v>
          </cell>
          <cell r="G121">
            <v>43824</v>
          </cell>
        </row>
        <row r="122">
          <cell r="A122">
            <v>43456</v>
          </cell>
          <cell r="B122">
            <v>43375</v>
          </cell>
          <cell r="C122">
            <v>43466</v>
          </cell>
          <cell r="D122">
            <v>43525</v>
          </cell>
          <cell r="E122">
            <v>43514</v>
          </cell>
          <cell r="F122">
            <v>43559</v>
          </cell>
          <cell r="G122">
            <v>43825</v>
          </cell>
        </row>
        <row r="123">
          <cell r="A123">
            <v>43459</v>
          </cell>
          <cell r="B123">
            <v>43376</v>
          </cell>
          <cell r="C123">
            <v>43500</v>
          </cell>
          <cell r="D123">
            <v>43535</v>
          </cell>
          <cell r="E123">
            <v>43524</v>
          </cell>
          <cell r="F123">
            <v>43560</v>
          </cell>
          <cell r="G123">
            <v>43831</v>
          </cell>
        </row>
        <row r="124">
          <cell r="A124">
            <v>43465</v>
          </cell>
          <cell r="B124">
            <v>43377</v>
          </cell>
          <cell r="C124">
            <v>43501</v>
          </cell>
          <cell r="D124">
            <v>43559</v>
          </cell>
          <cell r="E124">
            <v>43525</v>
          </cell>
          <cell r="F124">
            <v>43562</v>
          </cell>
          <cell r="G124">
            <v>43853</v>
          </cell>
        </row>
        <row r="125">
          <cell r="A125">
            <v>43466</v>
          </cell>
          <cell r="B125">
            <v>43378</v>
          </cell>
          <cell r="C125">
            <v>43502</v>
          </cell>
          <cell r="D125">
            <v>43560</v>
          </cell>
          <cell r="E125">
            <v>43559</v>
          </cell>
          <cell r="F125">
            <v>43574</v>
          </cell>
          <cell r="G125">
            <v>43854</v>
          </cell>
        </row>
        <row r="126">
          <cell r="A126">
            <v>43486</v>
          </cell>
          <cell r="B126">
            <v>43379</v>
          </cell>
          <cell r="C126">
            <v>43503</v>
          </cell>
          <cell r="D126">
            <v>43574</v>
          </cell>
          <cell r="E126">
            <v>43560</v>
          </cell>
          <cell r="F126">
            <v>43577</v>
          </cell>
          <cell r="G126">
            <v>43855</v>
          </cell>
        </row>
        <row r="127">
          <cell r="A127">
            <v>43500</v>
          </cell>
          <cell r="B127">
            <v>43380</v>
          </cell>
          <cell r="C127">
            <v>43504</v>
          </cell>
          <cell r="D127">
            <v>43577</v>
          </cell>
          <cell r="E127">
            <v>43574</v>
          </cell>
          <cell r="F127">
            <v>43580</v>
          </cell>
          <cell r="G127">
            <v>43856</v>
          </cell>
        </row>
        <row r="128">
          <cell r="A128">
            <v>43501</v>
          </cell>
          <cell r="B128">
            <v>43383</v>
          </cell>
          <cell r="C128">
            <v>43524</v>
          </cell>
          <cell r="D128">
            <v>43580</v>
          </cell>
          <cell r="E128">
            <v>43586</v>
          </cell>
          <cell r="F128">
            <v>43586</v>
          </cell>
          <cell r="G128">
            <v>43857</v>
          </cell>
        </row>
        <row r="129">
          <cell r="A129">
            <v>43502</v>
          </cell>
          <cell r="B129">
            <v>43456</v>
          </cell>
          <cell r="C129">
            <v>43525</v>
          </cell>
          <cell r="D129">
            <v>43586</v>
          </cell>
          <cell r="E129">
            <v>43605</v>
          </cell>
          <cell r="F129">
            <v>43619</v>
          </cell>
          <cell r="G129">
            <v>43858</v>
          </cell>
        </row>
        <row r="130">
          <cell r="A130">
            <v>43503</v>
          </cell>
          <cell r="B130">
            <v>43465</v>
          </cell>
          <cell r="C130">
            <v>43545</v>
          </cell>
          <cell r="D130">
            <v>43623</v>
          </cell>
          <cell r="E130">
            <v>43623</v>
          </cell>
          <cell r="F130">
            <v>43623</v>
          </cell>
          <cell r="G130">
            <v>43859</v>
          </cell>
        </row>
        <row r="131">
          <cell r="A131">
            <v>43504</v>
          </cell>
          <cell r="B131">
            <v>43466</v>
          </cell>
          <cell r="C131">
            <v>43559</v>
          </cell>
          <cell r="D131">
            <v>43626</v>
          </cell>
          <cell r="E131">
            <v>43647</v>
          </cell>
          <cell r="F131">
            <v>43721</v>
          </cell>
          <cell r="G131">
            <v>43889</v>
          </cell>
        </row>
        <row r="132">
          <cell r="A132">
            <v>43514</v>
          </cell>
          <cell r="B132">
            <v>43500</v>
          </cell>
          <cell r="C132">
            <v>43560</v>
          </cell>
          <cell r="D132">
            <v>43721</v>
          </cell>
          <cell r="E132">
            <v>43682</v>
          </cell>
          <cell r="F132">
            <v>43737</v>
          </cell>
          <cell r="G132">
            <v>43919</v>
          </cell>
        </row>
        <row r="133">
          <cell r="A133">
            <v>43524</v>
          </cell>
          <cell r="B133">
            <v>43501</v>
          </cell>
          <cell r="C133">
            <v>43574</v>
          </cell>
          <cell r="D133">
            <v>43745</v>
          </cell>
          <cell r="E133">
            <v>43710</v>
          </cell>
          <cell r="F133">
            <v>43748</v>
          </cell>
          <cell r="G133">
            <v>43923</v>
          </cell>
        </row>
        <row r="134">
          <cell r="A134">
            <v>43525</v>
          </cell>
          <cell r="B134">
            <v>43502</v>
          </cell>
          <cell r="C134">
            <v>43577</v>
          </cell>
          <cell r="D134">
            <v>43748</v>
          </cell>
          <cell r="E134">
            <v>43721</v>
          </cell>
          <cell r="F134">
            <v>43749</v>
          </cell>
          <cell r="G134">
            <v>43924</v>
          </cell>
        </row>
        <row r="135">
          <cell r="A135">
            <v>43534</v>
          </cell>
          <cell r="B135">
            <v>43503</v>
          </cell>
          <cell r="C135">
            <v>43582</v>
          </cell>
          <cell r="D135">
            <v>43749</v>
          </cell>
          <cell r="E135">
            <v>43748</v>
          </cell>
          <cell r="F135">
            <v>43766</v>
          </cell>
          <cell r="G135">
            <v>43925</v>
          </cell>
        </row>
        <row r="136">
          <cell r="A136">
            <v>43559</v>
          </cell>
          <cell r="B136">
            <v>43504</v>
          </cell>
          <cell r="C136">
            <v>43586</v>
          </cell>
          <cell r="D136">
            <v>43824</v>
          </cell>
          <cell r="E136">
            <v>43749</v>
          </cell>
          <cell r="F136">
            <v>43824</v>
          </cell>
          <cell r="G136">
            <v>43926</v>
          </cell>
        </row>
        <row r="137">
          <cell r="A137">
            <v>43560</v>
          </cell>
          <cell r="B137">
            <v>43505</v>
          </cell>
          <cell r="C137">
            <v>43593</v>
          </cell>
          <cell r="D137">
            <v>43825</v>
          </cell>
          <cell r="E137">
            <v>43752</v>
          </cell>
          <cell r="F137">
            <v>43825</v>
          </cell>
          <cell r="G137">
            <v>43931</v>
          </cell>
        </row>
        <row r="138">
          <cell r="A138">
            <v>43574</v>
          </cell>
          <cell r="B138">
            <v>43506</v>
          </cell>
          <cell r="C138">
            <v>43623</v>
          </cell>
          <cell r="D138">
            <v>43831</v>
          </cell>
          <cell r="E138">
            <v>43780</v>
          </cell>
          <cell r="F138">
            <v>43831</v>
          </cell>
          <cell r="G138">
            <v>43934</v>
          </cell>
        </row>
        <row r="139">
          <cell r="A139">
            <v>43586</v>
          </cell>
          <cell r="B139">
            <v>43524</v>
          </cell>
          <cell r="C139">
            <v>43632</v>
          </cell>
          <cell r="D139">
            <v>43853</v>
          </cell>
          <cell r="E139">
            <v>43824</v>
          </cell>
          <cell r="F139">
            <v>43832</v>
          </cell>
          <cell r="G139">
            <v>43952</v>
          </cell>
        </row>
        <row r="140">
          <cell r="A140">
            <v>43612</v>
          </cell>
          <cell r="B140">
            <v>43525</v>
          </cell>
          <cell r="C140">
            <v>43633</v>
          </cell>
          <cell r="D140">
            <v>43854</v>
          </cell>
          <cell r="E140">
            <v>43825</v>
          </cell>
          <cell r="F140">
            <v>43853</v>
          </cell>
          <cell r="G140">
            <v>44007</v>
          </cell>
        </row>
        <row r="141">
          <cell r="A141">
            <v>43623</v>
          </cell>
          <cell r="B141">
            <v>43559</v>
          </cell>
          <cell r="C141">
            <v>43686</v>
          </cell>
          <cell r="D141">
            <v>43855</v>
          </cell>
          <cell r="E141">
            <v>43831</v>
          </cell>
          <cell r="F141">
            <v>43854</v>
          </cell>
          <cell r="G141">
            <v>44008</v>
          </cell>
        </row>
        <row r="142">
          <cell r="A142">
            <v>43650</v>
          </cell>
          <cell r="B142">
            <v>43560</v>
          </cell>
          <cell r="C142">
            <v>43721</v>
          </cell>
          <cell r="D142">
            <v>43856</v>
          </cell>
          <cell r="E142">
            <v>43853</v>
          </cell>
          <cell r="F142">
            <v>43855</v>
          </cell>
          <cell r="G142">
            <v>44105</v>
          </cell>
        </row>
        <row r="143">
          <cell r="A143">
            <v>43710</v>
          </cell>
          <cell r="B143">
            <v>43586</v>
          </cell>
          <cell r="C143">
            <v>43732</v>
          </cell>
          <cell r="D143">
            <v>43857</v>
          </cell>
          <cell r="E143">
            <v>43854</v>
          </cell>
          <cell r="F143">
            <v>43856</v>
          </cell>
          <cell r="G143">
            <v>44106</v>
          </cell>
        </row>
        <row r="144">
          <cell r="A144">
            <v>43721</v>
          </cell>
          <cell r="B144">
            <v>43587</v>
          </cell>
          <cell r="C144">
            <v>43748</v>
          </cell>
          <cell r="D144">
            <v>43858</v>
          </cell>
          <cell r="E144">
            <v>43855</v>
          </cell>
          <cell r="F144">
            <v>43857</v>
          </cell>
          <cell r="G144">
            <v>44113</v>
          </cell>
        </row>
        <row r="145">
          <cell r="A145">
            <v>43748</v>
          </cell>
          <cell r="B145">
            <v>43588</v>
          </cell>
          <cell r="C145">
            <v>43749</v>
          </cell>
          <cell r="D145">
            <v>43859</v>
          </cell>
          <cell r="E145">
            <v>43856</v>
          </cell>
          <cell r="F145">
            <v>43858</v>
          </cell>
          <cell r="G145">
            <v>44129</v>
          </cell>
        </row>
        <row r="146">
          <cell r="A146">
            <v>43749</v>
          </cell>
          <cell r="B146">
            <v>43589</v>
          </cell>
          <cell r="C146">
            <v>43815</v>
          </cell>
          <cell r="D146">
            <v>43889</v>
          </cell>
          <cell r="E146">
            <v>43857</v>
          </cell>
          <cell r="F146">
            <v>43859</v>
          </cell>
          <cell r="G146">
            <v>44190</v>
          </cell>
        </row>
        <row r="147">
          <cell r="A147">
            <v>43752</v>
          </cell>
          <cell r="B147">
            <v>43623</v>
          </cell>
          <cell r="C147">
            <v>43824</v>
          </cell>
          <cell r="D147">
            <v>43899</v>
          </cell>
          <cell r="E147">
            <v>43858</v>
          </cell>
          <cell r="F147">
            <v>43867</v>
          </cell>
          <cell r="G147">
            <v>44191</v>
          </cell>
        </row>
        <row r="148">
          <cell r="A148">
            <v>43772</v>
          </cell>
          <cell r="B148">
            <v>43721</v>
          </cell>
          <cell r="C148">
            <v>43825</v>
          </cell>
          <cell r="D148">
            <v>43923</v>
          </cell>
          <cell r="E148">
            <v>43859</v>
          </cell>
          <cell r="F148">
            <v>43889</v>
          </cell>
          <cell r="G148">
            <v>44197</v>
          </cell>
        </row>
        <row r="149">
          <cell r="A149">
            <v>43780</v>
          </cell>
          <cell r="B149">
            <v>43739</v>
          </cell>
          <cell r="C149">
            <v>43831</v>
          </cell>
          <cell r="D149">
            <v>43924</v>
          </cell>
          <cell r="E149">
            <v>43878</v>
          </cell>
          <cell r="F149">
            <v>43923</v>
          </cell>
          <cell r="G149">
            <v>44237</v>
          </cell>
        </row>
        <row r="150">
          <cell r="A150">
            <v>43797</v>
          </cell>
          <cell r="B150">
            <v>43740</v>
          </cell>
          <cell r="C150">
            <v>43853</v>
          </cell>
          <cell r="D150">
            <v>43925</v>
          </cell>
          <cell r="E150">
            <v>43889</v>
          </cell>
          <cell r="F150">
            <v>43924</v>
          </cell>
          <cell r="G150">
            <v>44238</v>
          </cell>
        </row>
        <row r="151">
          <cell r="A151">
            <v>43824</v>
          </cell>
          <cell r="B151">
            <v>43741</v>
          </cell>
          <cell r="C151">
            <v>43854</v>
          </cell>
          <cell r="D151">
            <v>43926</v>
          </cell>
          <cell r="E151">
            <v>43923</v>
          </cell>
          <cell r="F151">
            <v>43925</v>
          </cell>
          <cell r="G151">
            <v>44239</v>
          </cell>
        </row>
        <row r="152">
          <cell r="A152">
            <v>43831</v>
          </cell>
          <cell r="B152">
            <v>43742</v>
          </cell>
          <cell r="C152">
            <v>43855</v>
          </cell>
          <cell r="D152">
            <v>43931</v>
          </cell>
          <cell r="E152">
            <v>43924</v>
          </cell>
          <cell r="F152">
            <v>43926</v>
          </cell>
          <cell r="G152">
            <v>44240</v>
          </cell>
        </row>
        <row r="153">
          <cell r="A153">
            <v>43850</v>
          </cell>
          <cell r="B153">
            <v>43743</v>
          </cell>
          <cell r="C153">
            <v>43856</v>
          </cell>
          <cell r="D153">
            <v>43934</v>
          </cell>
          <cell r="E153">
            <v>43925</v>
          </cell>
          <cell r="F153">
            <v>43931</v>
          </cell>
          <cell r="G153">
            <v>44241</v>
          </cell>
        </row>
        <row r="154">
          <cell r="A154">
            <v>43853</v>
          </cell>
          <cell r="B154">
            <v>43744</v>
          </cell>
          <cell r="C154">
            <v>43857</v>
          </cell>
          <cell r="D154">
            <v>43948</v>
          </cell>
          <cell r="E154">
            <v>43926</v>
          </cell>
          <cell r="F154">
            <v>43934</v>
          </cell>
          <cell r="G154">
            <v>44242</v>
          </cell>
        </row>
        <row r="155">
          <cell r="A155">
            <v>43854</v>
          </cell>
          <cell r="B155">
            <v>43745</v>
          </cell>
          <cell r="C155">
            <v>43858</v>
          </cell>
          <cell r="D155">
            <v>43952</v>
          </cell>
          <cell r="E155">
            <v>43931</v>
          </cell>
          <cell r="F155">
            <v>43948</v>
          </cell>
          <cell r="G155">
            <v>44243</v>
          </cell>
        </row>
        <row r="156">
          <cell r="A156">
            <v>43855</v>
          </cell>
          <cell r="B156">
            <v>43748</v>
          </cell>
          <cell r="C156">
            <v>43859</v>
          </cell>
          <cell r="D156">
            <v>43990</v>
          </cell>
          <cell r="E156">
            <v>43952</v>
          </cell>
          <cell r="F156">
            <v>43952</v>
          </cell>
          <cell r="G156">
            <v>44256</v>
          </cell>
        </row>
        <row r="157">
          <cell r="A157">
            <v>43856</v>
          </cell>
          <cell r="B157">
            <v>43749</v>
          </cell>
          <cell r="C157">
            <v>43889</v>
          </cell>
          <cell r="D157">
            <v>44007</v>
          </cell>
          <cell r="E157">
            <v>43969</v>
          </cell>
          <cell r="F157">
            <v>43983</v>
          </cell>
          <cell r="G157">
            <v>44283</v>
          </cell>
        </row>
        <row r="158">
          <cell r="A158">
            <v>43857</v>
          </cell>
          <cell r="B158">
            <v>43831</v>
          </cell>
          <cell r="C158">
            <v>43911</v>
          </cell>
          <cell r="D158">
            <v>44008</v>
          </cell>
          <cell r="E158">
            <v>44007</v>
          </cell>
          <cell r="F158">
            <v>44007</v>
          </cell>
          <cell r="G158">
            <v>44288</v>
          </cell>
        </row>
        <row r="159">
          <cell r="A159">
            <v>43858</v>
          </cell>
          <cell r="B159">
            <v>43853</v>
          </cell>
          <cell r="C159">
            <v>43923</v>
          </cell>
          <cell r="D159">
            <v>44105</v>
          </cell>
          <cell r="E159">
            <v>44008</v>
          </cell>
          <cell r="F159">
            <v>44008</v>
          </cell>
          <cell r="G159">
            <v>44291</v>
          </cell>
        </row>
        <row r="160">
          <cell r="A160">
            <v>43859</v>
          </cell>
          <cell r="B160">
            <v>43854</v>
          </cell>
          <cell r="C160">
            <v>43924</v>
          </cell>
          <cell r="D160">
            <v>44106</v>
          </cell>
          <cell r="E160">
            <v>44013</v>
          </cell>
          <cell r="F160">
            <v>44101</v>
          </cell>
          <cell r="G160">
            <v>44316</v>
          </cell>
        </row>
        <row r="161">
          <cell r="A161">
            <v>43878</v>
          </cell>
          <cell r="B161">
            <v>43855</v>
          </cell>
          <cell r="C161">
            <v>43925</v>
          </cell>
          <cell r="D161">
            <v>44109</v>
          </cell>
          <cell r="E161">
            <v>44046</v>
          </cell>
          <cell r="F161">
            <v>44105</v>
          </cell>
          <cell r="G161">
            <v>44317</v>
          </cell>
        </row>
        <row r="162">
          <cell r="A162">
            <v>43889</v>
          </cell>
          <cell r="B162">
            <v>43856</v>
          </cell>
          <cell r="C162">
            <v>43926</v>
          </cell>
          <cell r="D162">
            <v>44113</v>
          </cell>
          <cell r="E162">
            <v>44081</v>
          </cell>
          <cell r="F162">
            <v>44106</v>
          </cell>
          <cell r="G162">
            <v>44361</v>
          </cell>
        </row>
        <row r="163">
          <cell r="A163">
            <v>43898</v>
          </cell>
          <cell r="B163">
            <v>43857</v>
          </cell>
          <cell r="C163">
            <v>43931</v>
          </cell>
          <cell r="D163">
            <v>44190</v>
          </cell>
          <cell r="E163">
            <v>44105</v>
          </cell>
          <cell r="F163">
            <v>44113</v>
          </cell>
          <cell r="G163">
            <v>44459</v>
          </cell>
        </row>
        <row r="164">
          <cell r="A164">
            <v>43923</v>
          </cell>
          <cell r="B164">
            <v>43858</v>
          </cell>
          <cell r="C164">
            <v>43934</v>
          </cell>
          <cell r="D164">
            <v>44193</v>
          </cell>
          <cell r="E164">
            <v>44106</v>
          </cell>
          <cell r="F164">
            <v>44130</v>
          </cell>
          <cell r="G164">
            <v>44460</v>
          </cell>
        </row>
        <row r="165">
          <cell r="A165">
            <v>43924</v>
          </cell>
          <cell r="B165">
            <v>43859</v>
          </cell>
          <cell r="C165">
            <v>43948</v>
          </cell>
          <cell r="D165">
            <v>44197</v>
          </cell>
          <cell r="E165">
            <v>44113</v>
          </cell>
          <cell r="F165">
            <v>44190</v>
          </cell>
          <cell r="G165">
            <v>44479</v>
          </cell>
        </row>
        <row r="166">
          <cell r="A166">
            <v>43925</v>
          </cell>
          <cell r="B166">
            <v>43860</v>
          </cell>
          <cell r="C166">
            <v>43952</v>
          </cell>
          <cell r="D166">
            <v>44222</v>
          </cell>
          <cell r="E166">
            <v>44116</v>
          </cell>
          <cell r="F166">
            <v>44193</v>
          </cell>
          <cell r="G166">
            <v>44480</v>
          </cell>
        </row>
        <row r="167">
          <cell r="A167">
            <v>43926</v>
          </cell>
          <cell r="B167">
            <v>43861</v>
          </cell>
          <cell r="C167">
            <v>43998</v>
          </cell>
          <cell r="D167">
            <v>44237</v>
          </cell>
          <cell r="E167">
            <v>44146</v>
          </cell>
          <cell r="F167">
            <v>44197</v>
          </cell>
          <cell r="G167">
            <v>44500</v>
          </cell>
        </row>
        <row r="168">
          <cell r="A168">
            <v>43931</v>
          </cell>
          <cell r="B168">
            <v>43889</v>
          </cell>
          <cell r="C168">
            <v>44007</v>
          </cell>
          <cell r="D168">
            <v>44238</v>
          </cell>
          <cell r="E168">
            <v>44190</v>
          </cell>
          <cell r="F168">
            <v>44200</v>
          </cell>
          <cell r="G168">
            <v>44555</v>
          </cell>
        </row>
        <row r="169">
          <cell r="A169">
            <v>43952</v>
          </cell>
          <cell r="B169">
            <v>43923</v>
          </cell>
          <cell r="C169">
            <v>44008</v>
          </cell>
          <cell r="D169">
            <v>44239</v>
          </cell>
          <cell r="E169">
            <v>44193</v>
          </cell>
          <cell r="F169">
            <v>44235</v>
          </cell>
          <cell r="G169">
            <v>44556</v>
          </cell>
        </row>
        <row r="170">
          <cell r="A170">
            <v>43976</v>
          </cell>
          <cell r="B170">
            <v>43924</v>
          </cell>
          <cell r="C170">
            <v>44052</v>
          </cell>
          <cell r="D170">
            <v>44240</v>
          </cell>
          <cell r="E170">
            <v>44197</v>
          </cell>
          <cell r="F170">
            <v>44237</v>
          </cell>
          <cell r="G170">
            <v>44561</v>
          </cell>
        </row>
        <row r="171">
          <cell r="A171">
            <v>44007</v>
          </cell>
          <cell r="B171">
            <v>43925</v>
          </cell>
          <cell r="C171">
            <v>44053</v>
          </cell>
          <cell r="D171">
            <v>44241</v>
          </cell>
          <cell r="E171">
            <v>44237</v>
          </cell>
          <cell r="F171">
            <v>44238</v>
          </cell>
          <cell r="G171">
            <v>44562</v>
          </cell>
        </row>
        <row r="172">
          <cell r="A172">
            <v>44008</v>
          </cell>
          <cell r="B172">
            <v>43926</v>
          </cell>
          <cell r="C172">
            <v>44098</v>
          </cell>
          <cell r="D172">
            <v>44242</v>
          </cell>
          <cell r="E172">
            <v>44238</v>
          </cell>
          <cell r="F172">
            <v>44239</v>
          </cell>
          <cell r="G172">
            <v>44592</v>
          </cell>
        </row>
        <row r="173">
          <cell r="A173">
            <v>44015</v>
          </cell>
          <cell r="B173">
            <v>43927</v>
          </cell>
          <cell r="C173">
            <v>44105</v>
          </cell>
          <cell r="D173">
            <v>44243</v>
          </cell>
          <cell r="E173">
            <v>44239</v>
          </cell>
          <cell r="F173">
            <v>44240</v>
          </cell>
          <cell r="G173">
            <v>44593</v>
          </cell>
        </row>
        <row r="174">
          <cell r="A174">
            <v>44016</v>
          </cell>
          <cell r="B174">
            <v>43952</v>
          </cell>
          <cell r="C174">
            <v>44106</v>
          </cell>
          <cell r="D174">
            <v>44256</v>
          </cell>
          <cell r="E174">
            <v>44240</v>
          </cell>
          <cell r="F174">
            <v>44241</v>
          </cell>
          <cell r="G174">
            <v>44594</v>
          </cell>
        </row>
        <row r="175">
          <cell r="A175">
            <v>44081</v>
          </cell>
          <cell r="B175">
            <v>43953</v>
          </cell>
          <cell r="C175">
            <v>44113</v>
          </cell>
          <cell r="D175">
            <v>44263</v>
          </cell>
          <cell r="E175">
            <v>44241</v>
          </cell>
          <cell r="F175">
            <v>44242</v>
          </cell>
          <cell r="G175">
            <v>44595</v>
          </cell>
        </row>
        <row r="176">
          <cell r="A176">
            <v>44105</v>
          </cell>
          <cell r="B176">
            <v>43954</v>
          </cell>
          <cell r="C176">
            <v>44181</v>
          </cell>
          <cell r="D176">
            <v>44288</v>
          </cell>
          <cell r="E176">
            <v>44242</v>
          </cell>
          <cell r="F176">
            <v>44243</v>
          </cell>
          <cell r="G176">
            <v>44596</v>
          </cell>
        </row>
        <row r="177">
          <cell r="A177">
            <v>44106</v>
          </cell>
          <cell r="B177">
            <v>43955</v>
          </cell>
          <cell r="C177">
            <v>44190</v>
          </cell>
          <cell r="D177">
            <v>44291</v>
          </cell>
          <cell r="E177">
            <v>44243</v>
          </cell>
          <cell r="F177">
            <v>44256</v>
          </cell>
          <cell r="G177">
            <v>44620</v>
          </cell>
        </row>
        <row r="178">
          <cell r="A178">
            <v>44113</v>
          </cell>
          <cell r="B178">
            <v>43956</v>
          </cell>
          <cell r="C178">
            <v>44191</v>
          </cell>
          <cell r="D178">
            <v>44312</v>
          </cell>
          <cell r="E178">
            <v>44256</v>
          </cell>
          <cell r="F178">
            <v>44288</v>
          </cell>
          <cell r="G178">
            <v>44647</v>
          </cell>
        </row>
        <row r="179">
          <cell r="A179">
            <v>44116</v>
          </cell>
          <cell r="B179">
            <v>44007</v>
          </cell>
          <cell r="C179">
            <v>44197</v>
          </cell>
          <cell r="D179">
            <v>44316</v>
          </cell>
          <cell r="E179">
            <v>44288</v>
          </cell>
          <cell r="F179">
            <v>44290</v>
          </cell>
          <cell r="G179">
            <v>44655</v>
          </cell>
        </row>
        <row r="180">
          <cell r="A180">
            <v>44136</v>
          </cell>
          <cell r="B180">
            <v>44008</v>
          </cell>
          <cell r="C180">
            <v>44237</v>
          </cell>
          <cell r="D180">
            <v>44317</v>
          </cell>
          <cell r="E180">
            <v>44291</v>
          </cell>
          <cell r="F180">
            <v>44291</v>
          </cell>
          <cell r="G180">
            <v>44656</v>
          </cell>
        </row>
        <row r="181">
          <cell r="A181">
            <v>44146</v>
          </cell>
          <cell r="B181">
            <v>44009</v>
          </cell>
          <cell r="C181">
            <v>44238</v>
          </cell>
          <cell r="D181">
            <v>44361</v>
          </cell>
          <cell r="E181">
            <v>44316</v>
          </cell>
          <cell r="F181">
            <v>44312</v>
          </cell>
          <cell r="G181">
            <v>44666</v>
          </cell>
        </row>
        <row r="182">
          <cell r="A182">
            <v>44161</v>
          </cell>
          <cell r="B182">
            <v>44105</v>
          </cell>
          <cell r="C182">
            <v>44239</v>
          </cell>
          <cell r="D182">
            <v>44459</v>
          </cell>
          <cell r="E182">
            <v>44317</v>
          </cell>
          <cell r="F182">
            <v>44316</v>
          </cell>
          <cell r="G182">
            <v>44669</v>
          </cell>
        </row>
        <row r="183">
          <cell r="A183">
            <v>44190</v>
          </cell>
          <cell r="B183">
            <v>44106</v>
          </cell>
          <cell r="C183">
            <v>44240</v>
          </cell>
          <cell r="D183">
            <v>44460</v>
          </cell>
          <cell r="E183">
            <v>44340</v>
          </cell>
          <cell r="F183">
            <v>44317</v>
          </cell>
          <cell r="G183">
            <v>44682</v>
          </cell>
        </row>
        <row r="184">
          <cell r="A184">
            <v>44197</v>
          </cell>
          <cell r="B184">
            <v>44107</v>
          </cell>
          <cell r="C184">
            <v>44241</v>
          </cell>
          <cell r="D184">
            <v>44473</v>
          </cell>
          <cell r="E184">
            <v>44361</v>
          </cell>
          <cell r="F184">
            <v>44354</v>
          </cell>
          <cell r="G184">
            <v>44683</v>
          </cell>
        </row>
        <row r="185">
          <cell r="A185">
            <v>44214</v>
          </cell>
          <cell r="B185">
            <v>44108</v>
          </cell>
          <cell r="C185">
            <v>44242</v>
          </cell>
          <cell r="D185">
            <v>44479</v>
          </cell>
          <cell r="E185">
            <v>44378</v>
          </cell>
          <cell r="F185">
            <v>44361</v>
          </cell>
          <cell r="G185">
            <v>44715</v>
          </cell>
        </row>
        <row r="186">
          <cell r="A186">
            <v>44237</v>
          </cell>
          <cell r="B186">
            <v>44109</v>
          </cell>
          <cell r="C186">
            <v>44243</v>
          </cell>
          <cell r="D186">
            <v>44480</v>
          </cell>
          <cell r="E186">
            <v>44410</v>
          </cell>
          <cell r="F186">
            <v>44459</v>
          </cell>
          <cell r="G186">
            <v>44813</v>
          </cell>
        </row>
        <row r="187">
          <cell r="A187">
            <v>44238</v>
          </cell>
          <cell r="B187">
            <v>44110</v>
          </cell>
          <cell r="C187">
            <v>44256</v>
          </cell>
          <cell r="D187">
            <v>44557</v>
          </cell>
          <cell r="E187">
            <v>44445</v>
          </cell>
          <cell r="F187">
            <v>44460</v>
          </cell>
          <cell r="G187">
            <v>44844</v>
          </cell>
        </row>
        <row r="188">
          <cell r="A188">
            <v>44239</v>
          </cell>
          <cell r="B188">
            <v>44111</v>
          </cell>
          <cell r="C188">
            <v>44277</v>
          </cell>
          <cell r="D188">
            <v>44558</v>
          </cell>
          <cell r="E188">
            <v>44459</v>
          </cell>
          <cell r="F188">
            <v>44465</v>
          </cell>
          <cell r="G188">
            <v>44864</v>
          </cell>
        </row>
        <row r="189">
          <cell r="A189">
            <v>44240</v>
          </cell>
          <cell r="B189">
            <v>44112</v>
          </cell>
          <cell r="C189">
            <v>44288</v>
          </cell>
          <cell r="D189">
            <v>44561</v>
          </cell>
          <cell r="E189">
            <v>44460</v>
          </cell>
          <cell r="F189">
            <v>44479</v>
          </cell>
          <cell r="G189">
            <v>44920</v>
          </cell>
        </row>
        <row r="190">
          <cell r="A190">
            <v>44241</v>
          </cell>
          <cell r="B190">
            <v>44113</v>
          </cell>
          <cell r="C190">
            <v>44291</v>
          </cell>
          <cell r="D190">
            <v>44564</v>
          </cell>
          <cell r="E190">
            <v>44469</v>
          </cell>
          <cell r="F190">
            <v>44480</v>
          </cell>
          <cell r="G190">
            <v>44921</v>
          </cell>
        </row>
        <row r="191">
          <cell r="A191">
            <v>44242</v>
          </cell>
          <cell r="B191">
            <v>44197</v>
          </cell>
          <cell r="C191">
            <v>44313</v>
          </cell>
          <cell r="D191">
            <v>44587</v>
          </cell>
          <cell r="E191">
            <v>44479</v>
          </cell>
          <cell r="F191">
            <v>44494</v>
          </cell>
          <cell r="G191">
            <v>44927</v>
          </cell>
        </row>
        <row r="192">
          <cell r="A192">
            <v>44243</v>
          </cell>
          <cell r="B192">
            <v>44198</v>
          </cell>
          <cell r="C192">
            <v>44316</v>
          </cell>
          <cell r="D192">
            <v>44592</v>
          </cell>
          <cell r="E192">
            <v>44480</v>
          </cell>
          <cell r="F192">
            <v>44557</v>
          </cell>
          <cell r="G192">
            <v>44928</v>
          </cell>
        </row>
        <row r="193">
          <cell r="A193">
            <v>44256</v>
          </cell>
          <cell r="B193">
            <v>44199</v>
          </cell>
          <cell r="C193">
            <v>44317</v>
          </cell>
          <cell r="D193">
            <v>44593</v>
          </cell>
          <cell r="E193">
            <v>44511</v>
          </cell>
          <cell r="F193">
            <v>44558</v>
          </cell>
          <cell r="G193">
            <v>44946</v>
          </cell>
        </row>
        <row r="194">
          <cell r="A194">
            <v>44269</v>
          </cell>
          <cell r="B194">
            <v>44237</v>
          </cell>
          <cell r="C194">
            <v>44361</v>
          </cell>
          <cell r="D194">
            <v>44594</v>
          </cell>
          <cell r="E194">
            <v>44557</v>
          </cell>
          <cell r="F194">
            <v>44561</v>
          </cell>
          <cell r="G194">
            <v>44947</v>
          </cell>
        </row>
        <row r="195">
          <cell r="A195">
            <v>44288</v>
          </cell>
          <cell r="B195">
            <v>44238</v>
          </cell>
          <cell r="C195">
            <v>44363</v>
          </cell>
          <cell r="D195">
            <v>44595</v>
          </cell>
          <cell r="E195">
            <v>44558</v>
          </cell>
          <cell r="F195">
            <v>44564</v>
          </cell>
          <cell r="G195">
            <v>44948</v>
          </cell>
        </row>
        <row r="196">
          <cell r="A196">
            <v>44291</v>
          </cell>
          <cell r="B196">
            <v>44239</v>
          </cell>
          <cell r="C196">
            <v>44417</v>
          </cell>
          <cell r="D196">
            <v>44596</v>
          </cell>
          <cell r="E196">
            <v>44561</v>
          </cell>
          <cell r="F196">
            <v>44565</v>
          </cell>
          <cell r="G196">
            <v>44949</v>
          </cell>
        </row>
        <row r="197">
          <cell r="A197">
            <v>44316</v>
          </cell>
          <cell r="B197">
            <v>44240</v>
          </cell>
          <cell r="C197">
            <v>44459</v>
          </cell>
          <cell r="D197">
            <v>44620</v>
          </cell>
          <cell r="E197">
            <v>44564</v>
          </cell>
          <cell r="F197">
            <v>44592</v>
          </cell>
          <cell r="G197">
            <v>44950</v>
          </cell>
        </row>
        <row r="198">
          <cell r="A198">
            <v>44317</v>
          </cell>
          <cell r="B198">
            <v>44241</v>
          </cell>
          <cell r="C198">
            <v>44460</v>
          </cell>
          <cell r="D198">
            <v>44634</v>
          </cell>
          <cell r="E198">
            <v>44592</v>
          </cell>
          <cell r="F198">
            <v>44593</v>
          </cell>
          <cell r="G198">
            <v>44951</v>
          </cell>
        </row>
        <row r="199">
          <cell r="A199">
            <v>44347</v>
          </cell>
          <cell r="B199">
            <v>44242</v>
          </cell>
          <cell r="C199">
            <v>44463</v>
          </cell>
          <cell r="D199">
            <v>44655</v>
          </cell>
          <cell r="E199">
            <v>44593</v>
          </cell>
          <cell r="F199">
            <v>44594</v>
          </cell>
          <cell r="G199">
            <v>44952</v>
          </cell>
        </row>
        <row r="200">
          <cell r="A200">
            <v>44361</v>
          </cell>
          <cell r="B200">
            <v>44243</v>
          </cell>
          <cell r="C200">
            <v>44479</v>
          </cell>
          <cell r="D200">
            <v>44656</v>
          </cell>
          <cell r="E200">
            <v>44594</v>
          </cell>
          <cell r="F200">
            <v>44595</v>
          </cell>
          <cell r="G200">
            <v>44953</v>
          </cell>
        </row>
        <row r="201">
          <cell r="A201">
            <v>44366</v>
          </cell>
          <cell r="B201">
            <v>44244</v>
          </cell>
          <cell r="C201">
            <v>44480</v>
          </cell>
          <cell r="D201">
            <v>44666</v>
          </cell>
          <cell r="E201">
            <v>44595</v>
          </cell>
          <cell r="F201">
            <v>44596</v>
          </cell>
          <cell r="G201">
            <v>44984</v>
          </cell>
        </row>
        <row r="202">
          <cell r="A202">
            <v>44381</v>
          </cell>
          <cell r="B202">
            <v>44256</v>
          </cell>
          <cell r="C202">
            <v>44501</v>
          </cell>
          <cell r="D202">
            <v>44669</v>
          </cell>
          <cell r="E202">
            <v>44596</v>
          </cell>
          <cell r="F202">
            <v>44599</v>
          </cell>
          <cell r="G202">
            <v>44985</v>
          </cell>
        </row>
        <row r="203">
          <cell r="A203">
            <v>44382</v>
          </cell>
          <cell r="B203">
            <v>44288</v>
          </cell>
          <cell r="C203">
            <v>44546</v>
          </cell>
          <cell r="D203">
            <v>44676</v>
          </cell>
          <cell r="E203">
            <v>44613</v>
          </cell>
          <cell r="F203">
            <v>44620</v>
          </cell>
          <cell r="G203">
            <v>45011</v>
          </cell>
        </row>
        <row r="204">
          <cell r="A204">
            <v>44445</v>
          </cell>
          <cell r="B204">
            <v>44289</v>
          </cell>
          <cell r="C204">
            <v>44555</v>
          </cell>
          <cell r="D204">
            <v>44683</v>
          </cell>
          <cell r="E204">
            <v>44620</v>
          </cell>
          <cell r="F204">
            <v>44654</v>
          </cell>
          <cell r="G204">
            <v>45019</v>
          </cell>
        </row>
        <row r="205">
          <cell r="A205">
            <v>44459</v>
          </cell>
          <cell r="B205">
            <v>44290</v>
          </cell>
          <cell r="C205">
            <v>44557</v>
          </cell>
          <cell r="D205">
            <v>44715</v>
          </cell>
          <cell r="E205">
            <v>44655</v>
          </cell>
          <cell r="F205">
            <v>44655</v>
          </cell>
          <cell r="G205">
            <v>45020</v>
          </cell>
        </row>
        <row r="206">
          <cell r="A206">
            <v>44460</v>
          </cell>
          <cell r="B206">
            <v>44291</v>
          </cell>
          <cell r="C206">
            <v>44561</v>
          </cell>
          <cell r="D206">
            <v>44725</v>
          </cell>
          <cell r="E206">
            <v>44656</v>
          </cell>
          <cell r="F206">
            <v>44656</v>
          </cell>
          <cell r="G206">
            <v>45021</v>
          </cell>
        </row>
        <row r="207">
          <cell r="A207">
            <v>44479</v>
          </cell>
          <cell r="B207">
            <v>44316</v>
          </cell>
          <cell r="C207">
            <v>44562</v>
          </cell>
          <cell r="D207">
            <v>44813</v>
          </cell>
          <cell r="E207">
            <v>44666</v>
          </cell>
          <cell r="F207">
            <v>44666</v>
          </cell>
          <cell r="G207">
            <v>45023</v>
          </cell>
        </row>
        <row r="208">
          <cell r="A208">
            <v>44480</v>
          </cell>
          <cell r="B208">
            <v>44317</v>
          </cell>
          <cell r="C208">
            <v>44592</v>
          </cell>
          <cell r="D208">
            <v>44826</v>
          </cell>
          <cell r="E208">
            <v>44683</v>
          </cell>
          <cell r="F208">
            <v>44669</v>
          </cell>
          <cell r="G208">
            <v>45026</v>
          </cell>
        </row>
        <row r="209">
          <cell r="A209">
            <v>44507</v>
          </cell>
          <cell r="B209">
            <v>44318</v>
          </cell>
          <cell r="C209">
            <v>44593</v>
          </cell>
          <cell r="D209">
            <v>44837</v>
          </cell>
          <cell r="E209">
            <v>44704</v>
          </cell>
          <cell r="F209">
            <v>44676</v>
          </cell>
          <cell r="G209">
            <v>45047</v>
          </cell>
        </row>
        <row r="210">
          <cell r="A210">
            <v>44511</v>
          </cell>
          <cell r="B210">
            <v>44319</v>
          </cell>
          <cell r="C210">
            <v>44594</v>
          </cell>
          <cell r="D210">
            <v>44844</v>
          </cell>
          <cell r="E210">
            <v>44715</v>
          </cell>
          <cell r="F210">
            <v>44683</v>
          </cell>
          <cell r="G210">
            <v>45099</v>
          </cell>
        </row>
        <row r="211">
          <cell r="A211">
            <v>44525</v>
          </cell>
          <cell r="B211">
            <v>44320</v>
          </cell>
          <cell r="C211">
            <v>44595</v>
          </cell>
          <cell r="D211">
            <v>44921</v>
          </cell>
          <cell r="E211">
            <v>44743</v>
          </cell>
          <cell r="F211">
            <v>44715</v>
          </cell>
          <cell r="G211">
            <v>45100</v>
          </cell>
        </row>
        <row r="212">
          <cell r="A212">
            <v>44554</v>
          </cell>
          <cell r="B212">
            <v>44321</v>
          </cell>
          <cell r="C212">
            <v>44596</v>
          </cell>
          <cell r="D212">
            <v>44922</v>
          </cell>
          <cell r="E212">
            <v>44774</v>
          </cell>
          <cell r="F212">
            <v>44718</v>
          </cell>
          <cell r="G212">
            <v>45198</v>
          </cell>
        </row>
        <row r="213">
          <cell r="A213">
            <v>44555</v>
          </cell>
          <cell r="B213">
            <v>44359</v>
          </cell>
          <cell r="C213">
            <v>44620</v>
          </cell>
          <cell r="D213">
            <v>44927</v>
          </cell>
          <cell r="E213">
            <v>44809</v>
          </cell>
          <cell r="F213">
            <v>44736</v>
          </cell>
          <cell r="G213">
            <v>45208</v>
          </cell>
        </row>
        <row r="214">
          <cell r="A214">
            <v>44561</v>
          </cell>
          <cell r="B214">
            <v>44360</v>
          </cell>
          <cell r="C214">
            <v>44641</v>
          </cell>
          <cell r="D214">
            <v>44928</v>
          </cell>
          <cell r="E214">
            <v>44813</v>
          </cell>
          <cell r="F214">
            <v>44813</v>
          </cell>
          <cell r="G214">
            <v>45209</v>
          </cell>
        </row>
        <row r="215">
          <cell r="A215">
            <v>44562</v>
          </cell>
          <cell r="B215">
            <v>44361</v>
          </cell>
          <cell r="C215">
            <v>44655</v>
          </cell>
          <cell r="D215">
            <v>44946</v>
          </cell>
          <cell r="E215">
            <v>44834</v>
          </cell>
          <cell r="F215">
            <v>44829</v>
          </cell>
          <cell r="G215">
            <v>45228</v>
          </cell>
        </row>
        <row r="216">
          <cell r="A216">
            <v>44578</v>
          </cell>
          <cell r="B216">
            <v>44458</v>
          </cell>
          <cell r="C216">
            <v>44656</v>
          </cell>
          <cell r="D216">
            <v>44947</v>
          </cell>
          <cell r="E216">
            <v>44844</v>
          </cell>
          <cell r="F216">
            <v>44830</v>
          </cell>
          <cell r="G216">
            <v>45285</v>
          </cell>
        </row>
        <row r="217">
          <cell r="A217">
            <v>44592</v>
          </cell>
          <cell r="B217">
            <v>44459</v>
          </cell>
          <cell r="C217">
            <v>44666</v>
          </cell>
          <cell r="D217">
            <v>44948</v>
          </cell>
          <cell r="E217">
            <v>44876</v>
          </cell>
          <cell r="F217">
            <v>44844</v>
          </cell>
          <cell r="G217">
            <v>45286</v>
          </cell>
        </row>
        <row r="218">
          <cell r="A218">
            <v>44593</v>
          </cell>
          <cell r="B218">
            <v>44460</v>
          </cell>
          <cell r="C218">
            <v>44669</v>
          </cell>
          <cell r="D218">
            <v>44949</v>
          </cell>
          <cell r="E218">
            <v>44921</v>
          </cell>
          <cell r="F218">
            <v>44858</v>
          </cell>
          <cell r="G218">
            <v>45292</v>
          </cell>
        </row>
        <row r="219">
          <cell r="A219">
            <v>44594</v>
          </cell>
          <cell r="B219">
            <v>44470</v>
          </cell>
          <cell r="C219">
            <v>44678</v>
          </cell>
          <cell r="D219">
            <v>44950</v>
          </cell>
          <cell r="E219">
            <v>44922</v>
          </cell>
          <cell r="F219">
            <v>44921</v>
          </cell>
          <cell r="G219">
            <v>45330</v>
          </cell>
        </row>
        <row r="220">
          <cell r="A220">
            <v>44595</v>
          </cell>
          <cell r="B220">
            <v>44471</v>
          </cell>
          <cell r="C220">
            <v>44683</v>
          </cell>
          <cell r="D220">
            <v>44951</v>
          </cell>
          <cell r="E220">
            <v>44927</v>
          </cell>
          <cell r="F220">
            <v>44922</v>
          </cell>
          <cell r="G220">
            <v>45331</v>
          </cell>
        </row>
        <row r="221">
          <cell r="A221">
            <v>44596</v>
          </cell>
          <cell r="B221">
            <v>44472</v>
          </cell>
          <cell r="C221">
            <v>44715</v>
          </cell>
          <cell r="D221">
            <v>44952</v>
          </cell>
          <cell r="E221">
            <v>44928</v>
          </cell>
          <cell r="F221">
            <v>44927</v>
          </cell>
          <cell r="G221">
            <v>45332</v>
          </cell>
        </row>
        <row r="222">
          <cell r="A222">
            <v>44613</v>
          </cell>
          <cell r="B222">
            <v>44473</v>
          </cell>
          <cell r="C222">
            <v>44728</v>
          </cell>
          <cell r="D222">
            <v>44953</v>
          </cell>
          <cell r="E222">
            <v>44946</v>
          </cell>
          <cell r="F222">
            <v>44928</v>
          </cell>
          <cell r="G222">
            <v>45333</v>
          </cell>
        </row>
        <row r="223">
          <cell r="A223">
            <v>44620</v>
          </cell>
          <cell r="B223">
            <v>44474</v>
          </cell>
          <cell r="C223">
            <v>44782</v>
          </cell>
          <cell r="D223">
            <v>44984</v>
          </cell>
          <cell r="E223">
            <v>44947</v>
          </cell>
          <cell r="F223">
            <v>44929</v>
          </cell>
          <cell r="G223">
            <v>45334</v>
          </cell>
        </row>
        <row r="224">
          <cell r="A224">
            <v>44633</v>
          </cell>
          <cell r="B224">
            <v>44475</v>
          </cell>
          <cell r="C224">
            <v>44813</v>
          </cell>
          <cell r="D224">
            <v>44985</v>
          </cell>
          <cell r="E224">
            <v>44948</v>
          </cell>
          <cell r="F224">
            <v>44946</v>
          </cell>
          <cell r="G224">
            <v>45335</v>
          </cell>
        </row>
        <row r="225">
          <cell r="A225">
            <v>44655</v>
          </cell>
          <cell r="B225">
            <v>44476</v>
          </cell>
          <cell r="C225">
            <v>44828</v>
          </cell>
          <cell r="D225">
            <v>44998</v>
          </cell>
          <cell r="E225">
            <v>44949</v>
          </cell>
          <cell r="F225">
            <v>44947</v>
          </cell>
          <cell r="G225">
            <v>45336</v>
          </cell>
        </row>
        <row r="226">
          <cell r="A226">
            <v>44656</v>
          </cell>
          <cell r="B226">
            <v>44479</v>
          </cell>
          <cell r="C226">
            <v>44844</v>
          </cell>
          <cell r="D226">
            <v>45019</v>
          </cell>
          <cell r="E226">
            <v>44950</v>
          </cell>
          <cell r="F226">
            <v>44948</v>
          </cell>
          <cell r="G226">
            <v>45350</v>
          </cell>
        </row>
        <row r="227">
          <cell r="A227">
            <v>44666</v>
          </cell>
          <cell r="B227">
            <v>44480</v>
          </cell>
          <cell r="C227">
            <v>44911</v>
          </cell>
          <cell r="D227">
            <v>45020</v>
          </cell>
          <cell r="E227">
            <v>44951</v>
          </cell>
          <cell r="F227">
            <v>44949</v>
          </cell>
          <cell r="G227">
            <v>45380</v>
          </cell>
        </row>
        <row r="228">
          <cell r="A228">
            <v>44683</v>
          </cell>
          <cell r="B228">
            <v>44561</v>
          </cell>
          <cell r="C228">
            <v>44920</v>
          </cell>
          <cell r="D228">
            <v>45021</v>
          </cell>
          <cell r="E228">
            <v>44952</v>
          </cell>
          <cell r="F228">
            <v>44950</v>
          </cell>
          <cell r="G228">
            <v>45382</v>
          </cell>
        </row>
        <row r="229">
          <cell r="A229">
            <v>44711</v>
          </cell>
          <cell r="B229">
            <v>44562</v>
          </cell>
          <cell r="C229">
            <v>44921</v>
          </cell>
          <cell r="D229">
            <v>45023</v>
          </cell>
          <cell r="E229">
            <v>44953</v>
          </cell>
          <cell r="F229">
            <v>44951</v>
          </cell>
          <cell r="G229">
            <v>45383</v>
          </cell>
        </row>
        <row r="230">
          <cell r="A230">
            <v>44715</v>
          </cell>
          <cell r="B230">
            <v>44563</v>
          </cell>
          <cell r="C230">
            <v>44922</v>
          </cell>
          <cell r="D230">
            <v>45026</v>
          </cell>
          <cell r="E230">
            <v>44977</v>
          </cell>
          <cell r="F230">
            <v>44952</v>
          </cell>
          <cell r="G230">
            <v>45386</v>
          </cell>
        </row>
        <row r="231">
          <cell r="A231">
            <v>44731</v>
          </cell>
          <cell r="B231">
            <v>44564</v>
          </cell>
          <cell r="C231">
            <v>44927</v>
          </cell>
          <cell r="D231">
            <v>45041</v>
          </cell>
          <cell r="E231">
            <v>44984</v>
          </cell>
          <cell r="F231">
            <v>44953</v>
          </cell>
          <cell r="G231">
            <v>45387</v>
          </cell>
        </row>
        <row r="232">
          <cell r="A232">
            <v>44732</v>
          </cell>
          <cell r="B232">
            <v>44592</v>
          </cell>
          <cell r="C232">
            <v>44928</v>
          </cell>
          <cell r="D232">
            <v>45047</v>
          </cell>
          <cell r="E232">
            <v>44985</v>
          </cell>
          <cell r="F232">
            <v>44963</v>
          </cell>
          <cell r="G232">
            <v>45413</v>
          </cell>
        </row>
        <row r="233">
          <cell r="A233">
            <v>44746</v>
          </cell>
          <cell r="B233">
            <v>44593</v>
          </cell>
          <cell r="C233">
            <v>44946</v>
          </cell>
          <cell r="D233">
            <v>45089</v>
          </cell>
          <cell r="E233">
            <v>45019</v>
          </cell>
          <cell r="F233">
            <v>44984</v>
          </cell>
          <cell r="G233">
            <v>45453</v>
          </cell>
        </row>
        <row r="234">
          <cell r="A234">
            <v>44809</v>
          </cell>
          <cell r="B234">
            <v>44594</v>
          </cell>
          <cell r="C234">
            <v>44947</v>
          </cell>
          <cell r="D234">
            <v>45099</v>
          </cell>
          <cell r="E234">
            <v>45020</v>
          </cell>
          <cell r="F234">
            <v>44985</v>
          </cell>
          <cell r="G234">
            <v>45552</v>
          </cell>
        </row>
        <row r="235">
          <cell r="A235">
            <v>44813</v>
          </cell>
          <cell r="B235">
            <v>44595</v>
          </cell>
          <cell r="C235">
            <v>44948</v>
          </cell>
          <cell r="D235">
            <v>45100</v>
          </cell>
          <cell r="E235">
            <v>45021</v>
          </cell>
          <cell r="F235">
            <v>45018</v>
          </cell>
          <cell r="G235">
            <v>45575</v>
          </cell>
        </row>
        <row r="236">
          <cell r="A236">
            <v>44844</v>
          </cell>
          <cell r="B236">
            <v>44596</v>
          </cell>
          <cell r="C236">
            <v>44949</v>
          </cell>
          <cell r="D236">
            <v>45198</v>
          </cell>
          <cell r="E236">
            <v>45023</v>
          </cell>
          <cell r="F236">
            <v>45019</v>
          </cell>
          <cell r="G236">
            <v>45599</v>
          </cell>
        </row>
        <row r="237">
          <cell r="A237">
            <v>44871</v>
          </cell>
          <cell r="B237">
            <v>44597</v>
          </cell>
          <cell r="C237">
            <v>44950</v>
          </cell>
          <cell r="D237">
            <v>45201</v>
          </cell>
          <cell r="E237">
            <v>45047</v>
          </cell>
          <cell r="F237">
            <v>45020</v>
          </cell>
          <cell r="G237">
            <v>45651</v>
          </cell>
        </row>
        <row r="238">
          <cell r="A238">
            <v>44876</v>
          </cell>
          <cell r="B238">
            <v>44598</v>
          </cell>
          <cell r="C238">
            <v>44951</v>
          </cell>
          <cell r="D238">
            <v>45208</v>
          </cell>
          <cell r="E238">
            <v>45068</v>
          </cell>
          <cell r="F238">
            <v>45021</v>
          </cell>
          <cell r="G238">
            <v>45652</v>
          </cell>
        </row>
        <row r="239">
          <cell r="A239">
            <v>44889</v>
          </cell>
          <cell r="B239">
            <v>44620</v>
          </cell>
          <cell r="C239">
            <v>44952</v>
          </cell>
          <cell r="D239">
            <v>45209</v>
          </cell>
          <cell r="E239">
            <v>45099</v>
          </cell>
          <cell r="F239">
            <v>45023</v>
          </cell>
        </row>
        <row r="240">
          <cell r="A240">
            <v>44920</v>
          </cell>
          <cell r="B240">
            <v>44654</v>
          </cell>
          <cell r="C240">
            <v>44953</v>
          </cell>
          <cell r="D240">
            <v>45285</v>
          </cell>
          <cell r="E240">
            <v>45100</v>
          </cell>
          <cell r="F240">
            <v>45026</v>
          </cell>
        </row>
        <row r="241">
          <cell r="A241">
            <v>44921</v>
          </cell>
          <cell r="B241">
            <v>44655</v>
          </cell>
          <cell r="C241">
            <v>44984</v>
          </cell>
          <cell r="D241">
            <v>45286</v>
          </cell>
          <cell r="E241">
            <v>45110</v>
          </cell>
          <cell r="F241">
            <v>45041</v>
          </cell>
        </row>
        <row r="242">
          <cell r="A242">
            <v>44927</v>
          </cell>
          <cell r="B242">
            <v>44656</v>
          </cell>
          <cell r="C242">
            <v>44985</v>
          </cell>
          <cell r="D242">
            <v>45292</v>
          </cell>
          <cell r="E242">
            <v>45145</v>
          </cell>
          <cell r="F242">
            <v>45047</v>
          </cell>
        </row>
        <row r="243">
          <cell r="A243">
            <v>44928</v>
          </cell>
          <cell r="B243">
            <v>44681</v>
          </cell>
          <cell r="C243">
            <v>45006</v>
          </cell>
          <cell r="D243">
            <v>45330</v>
          </cell>
          <cell r="E243">
            <v>45173</v>
          </cell>
          <cell r="F243">
            <v>45082</v>
          </cell>
        </row>
        <row r="244">
          <cell r="A244">
            <v>44942</v>
          </cell>
          <cell r="B244">
            <v>44682</v>
          </cell>
          <cell r="C244">
            <v>45019</v>
          </cell>
          <cell r="D244">
            <v>45331</v>
          </cell>
          <cell r="E244">
            <v>45198</v>
          </cell>
          <cell r="F244">
            <v>45099</v>
          </cell>
        </row>
        <row r="245">
          <cell r="A245">
            <v>44946</v>
          </cell>
          <cell r="B245">
            <v>44683</v>
          </cell>
          <cell r="C245">
            <v>45020</v>
          </cell>
          <cell r="D245">
            <v>45332</v>
          </cell>
          <cell r="E245">
            <v>45199</v>
          </cell>
          <cell r="F245">
            <v>45100</v>
          </cell>
        </row>
        <row r="246">
          <cell r="A246">
            <v>44947</v>
          </cell>
          <cell r="B246">
            <v>44684</v>
          </cell>
          <cell r="C246">
            <v>45021</v>
          </cell>
          <cell r="D246">
            <v>45333</v>
          </cell>
          <cell r="E246">
            <v>45201</v>
          </cell>
          <cell r="F246">
            <v>45121</v>
          </cell>
        </row>
        <row r="247">
          <cell r="A247">
            <v>44948</v>
          </cell>
          <cell r="B247">
            <v>44685</v>
          </cell>
          <cell r="C247">
            <v>45023</v>
          </cell>
          <cell r="D247">
            <v>45334</v>
          </cell>
          <cell r="E247">
            <v>45208</v>
          </cell>
          <cell r="F247">
            <v>45193</v>
          </cell>
        </row>
        <row r="248">
          <cell r="A248">
            <v>44949</v>
          </cell>
          <cell r="B248">
            <v>44715</v>
          </cell>
          <cell r="C248">
            <v>45026</v>
          </cell>
          <cell r="D248">
            <v>45335</v>
          </cell>
          <cell r="E248">
            <v>45209</v>
          </cell>
          <cell r="F248">
            <v>45198</v>
          </cell>
        </row>
        <row r="249">
          <cell r="A249">
            <v>44950</v>
          </cell>
          <cell r="B249">
            <v>44716</v>
          </cell>
          <cell r="C249">
            <v>45043</v>
          </cell>
          <cell r="D249">
            <v>45336</v>
          </cell>
          <cell r="E249">
            <v>45243</v>
          </cell>
          <cell r="F249">
            <v>45208</v>
          </cell>
        </row>
        <row r="250">
          <cell r="A250">
            <v>44951</v>
          </cell>
          <cell r="B250">
            <v>44717</v>
          </cell>
          <cell r="C250">
            <v>45047</v>
          </cell>
          <cell r="D250">
            <v>45350</v>
          </cell>
          <cell r="E250">
            <v>45285</v>
          </cell>
          <cell r="F250">
            <v>45209</v>
          </cell>
        </row>
        <row r="251">
          <cell r="A251">
            <v>44952</v>
          </cell>
          <cell r="B251">
            <v>44813</v>
          </cell>
          <cell r="C251">
            <v>45093</v>
          </cell>
          <cell r="D251">
            <v>45386</v>
          </cell>
          <cell r="E251">
            <v>45286</v>
          </cell>
          <cell r="F251">
            <v>45222</v>
          </cell>
        </row>
        <row r="252">
          <cell r="A252">
            <v>44953</v>
          </cell>
          <cell r="B252">
            <v>44814</v>
          </cell>
          <cell r="C252">
            <v>45099</v>
          </cell>
          <cell r="D252">
            <v>45387</v>
          </cell>
          <cell r="E252">
            <v>45292</v>
          </cell>
          <cell r="F252">
            <v>45285</v>
          </cell>
        </row>
        <row r="253">
          <cell r="A253">
            <v>44977</v>
          </cell>
          <cell r="B253">
            <v>44815</v>
          </cell>
          <cell r="C253">
            <v>45100</v>
          </cell>
          <cell r="D253">
            <v>45413</v>
          </cell>
          <cell r="E253">
            <v>45330</v>
          </cell>
          <cell r="F253">
            <v>45286</v>
          </cell>
        </row>
        <row r="254">
          <cell r="A254">
            <v>44984</v>
          </cell>
          <cell r="B254">
            <v>44816</v>
          </cell>
          <cell r="C254">
            <v>45147</v>
          </cell>
          <cell r="D254">
            <v>45453</v>
          </cell>
          <cell r="E254">
            <v>45331</v>
          </cell>
          <cell r="F254">
            <v>45292</v>
          </cell>
        </row>
        <row r="255">
          <cell r="A255">
            <v>44985</v>
          </cell>
          <cell r="B255">
            <v>44835</v>
          </cell>
          <cell r="C255">
            <v>45194</v>
          </cell>
          <cell r="D255">
            <v>45552</v>
          </cell>
          <cell r="E255">
            <v>45332</v>
          </cell>
          <cell r="F255">
            <v>45293</v>
          </cell>
        </row>
        <row r="256">
          <cell r="A256">
            <v>44997</v>
          </cell>
          <cell r="B256">
            <v>44836</v>
          </cell>
          <cell r="C256">
            <v>45198</v>
          </cell>
          <cell r="D256">
            <v>45575</v>
          </cell>
          <cell r="E256">
            <v>45333</v>
          </cell>
          <cell r="F256">
            <v>45328</v>
          </cell>
        </row>
        <row r="257">
          <cell r="A257">
            <v>45019</v>
          </cell>
          <cell r="B257">
            <v>44837</v>
          </cell>
          <cell r="C257">
            <v>45208</v>
          </cell>
          <cell r="E257">
            <v>45334</v>
          </cell>
          <cell r="F257">
            <v>45330</v>
          </cell>
        </row>
        <row r="258">
          <cell r="A258">
            <v>45020</v>
          </cell>
          <cell r="B258">
            <v>44838</v>
          </cell>
          <cell r="C258">
            <v>45209</v>
          </cell>
          <cell r="E258">
            <v>45335</v>
          </cell>
          <cell r="F258">
            <v>45331</v>
          </cell>
        </row>
        <row r="259">
          <cell r="A259">
            <v>45021</v>
          </cell>
          <cell r="B259">
            <v>44839</v>
          </cell>
          <cell r="C259">
            <v>45276</v>
          </cell>
          <cell r="E259">
            <v>45336</v>
          </cell>
          <cell r="F259">
            <v>45332</v>
          </cell>
        </row>
        <row r="260">
          <cell r="A260">
            <v>45023</v>
          </cell>
          <cell r="B260">
            <v>44840</v>
          </cell>
          <cell r="C260">
            <v>45285</v>
          </cell>
          <cell r="E260">
            <v>45341</v>
          </cell>
          <cell r="F260">
            <v>45333</v>
          </cell>
        </row>
        <row r="261">
          <cell r="A261">
            <v>45047</v>
          </cell>
          <cell r="B261">
            <v>44841</v>
          </cell>
          <cell r="C261">
            <v>45286</v>
          </cell>
          <cell r="E261">
            <v>45350</v>
          </cell>
          <cell r="F261">
            <v>45334</v>
          </cell>
        </row>
        <row r="262">
          <cell r="A262">
            <v>45075</v>
          </cell>
          <cell r="B262">
            <v>44844</v>
          </cell>
          <cell r="C262">
            <v>45292</v>
          </cell>
          <cell r="E262">
            <v>45380</v>
          </cell>
          <cell r="F262">
            <v>45335</v>
          </cell>
        </row>
        <row r="263">
          <cell r="A263">
            <v>45096</v>
          </cell>
          <cell r="B263">
            <v>44927</v>
          </cell>
          <cell r="C263">
            <v>45330</v>
          </cell>
          <cell r="E263">
            <v>45386</v>
          </cell>
          <cell r="F263">
            <v>45336</v>
          </cell>
        </row>
        <row r="264">
          <cell r="A264">
            <v>45099</v>
          </cell>
          <cell r="B264">
            <v>44928</v>
          </cell>
          <cell r="C264">
            <v>45331</v>
          </cell>
          <cell r="E264">
            <v>45387</v>
          </cell>
          <cell r="F264">
            <v>45350</v>
          </cell>
        </row>
        <row r="265">
          <cell r="A265">
            <v>45100</v>
          </cell>
          <cell r="B265">
            <v>44946</v>
          </cell>
          <cell r="C265">
            <v>45332</v>
          </cell>
          <cell r="E265">
            <v>45413</v>
          </cell>
          <cell r="F265">
            <v>45380</v>
          </cell>
        </row>
        <row r="266">
          <cell r="A266">
            <v>45111</v>
          </cell>
          <cell r="B266">
            <v>44947</v>
          </cell>
          <cell r="C266">
            <v>45333</v>
          </cell>
          <cell r="E266">
            <v>45432</v>
          </cell>
          <cell r="F266">
            <v>45383</v>
          </cell>
        </row>
        <row r="267">
          <cell r="A267">
            <v>45173</v>
          </cell>
          <cell r="B267">
            <v>44948</v>
          </cell>
          <cell r="C267">
            <v>45334</v>
          </cell>
          <cell r="E267">
            <v>45453</v>
          </cell>
          <cell r="F267">
            <v>45386</v>
          </cell>
        </row>
        <row r="268">
          <cell r="A268">
            <v>45198</v>
          </cell>
          <cell r="B268">
            <v>44949</v>
          </cell>
          <cell r="C268">
            <v>45335</v>
          </cell>
          <cell r="E268">
            <v>45474</v>
          </cell>
          <cell r="F268">
            <v>45387</v>
          </cell>
        </row>
        <row r="269">
          <cell r="A269">
            <v>45208</v>
          </cell>
          <cell r="B269">
            <v>44950</v>
          </cell>
          <cell r="C269">
            <v>45336</v>
          </cell>
          <cell r="E269">
            <v>45509</v>
          </cell>
          <cell r="F269">
            <v>45407</v>
          </cell>
        </row>
        <row r="270">
          <cell r="A270">
            <v>45209</v>
          </cell>
          <cell r="B270">
            <v>44951</v>
          </cell>
          <cell r="C270">
            <v>45350</v>
          </cell>
          <cell r="E270">
            <v>45537</v>
          </cell>
          <cell r="F270">
            <v>45413</v>
          </cell>
        </row>
        <row r="271">
          <cell r="A271">
            <v>45235</v>
          </cell>
          <cell r="B271">
            <v>44952</v>
          </cell>
          <cell r="C271">
            <v>45372</v>
          </cell>
          <cell r="E271">
            <v>45552</v>
          </cell>
          <cell r="F271">
            <v>45446</v>
          </cell>
        </row>
        <row r="272">
          <cell r="A272">
            <v>45241</v>
          </cell>
          <cell r="B272">
            <v>44953</v>
          </cell>
          <cell r="C272">
            <v>45380</v>
          </cell>
          <cell r="E272">
            <v>45565</v>
          </cell>
          <cell r="F272">
            <v>45453</v>
          </cell>
        </row>
        <row r="273">
          <cell r="A273">
            <v>45253</v>
          </cell>
          <cell r="B273">
            <v>44984</v>
          </cell>
          <cell r="C273">
            <v>45383</v>
          </cell>
          <cell r="E273">
            <v>45575</v>
          </cell>
          <cell r="F273">
            <v>45471</v>
          </cell>
        </row>
        <row r="274">
          <cell r="A274">
            <v>45285</v>
          </cell>
          <cell r="B274">
            <v>44985</v>
          </cell>
          <cell r="C274">
            <v>45386</v>
          </cell>
          <cell r="E274">
            <v>45579</v>
          </cell>
          <cell r="F274">
            <v>45552</v>
          </cell>
        </row>
        <row r="275">
          <cell r="A275">
            <v>45292</v>
          </cell>
          <cell r="B275">
            <v>45019</v>
          </cell>
          <cell r="C275">
            <v>45387</v>
          </cell>
          <cell r="E275">
            <v>45607</v>
          </cell>
          <cell r="F275">
            <v>45575</v>
          </cell>
        </row>
        <row r="276">
          <cell r="A276">
            <v>45306</v>
          </cell>
          <cell r="B276">
            <v>45020</v>
          </cell>
          <cell r="C276">
            <v>45409</v>
          </cell>
          <cell r="E276">
            <v>45651</v>
          </cell>
          <cell r="F276">
            <v>45593</v>
          </cell>
        </row>
        <row r="277">
          <cell r="A277">
            <v>45330</v>
          </cell>
          <cell r="B277">
            <v>45021</v>
          </cell>
          <cell r="C277">
            <v>45413</v>
          </cell>
          <cell r="E277">
            <v>45652</v>
          </cell>
          <cell r="F277">
            <v>45651</v>
          </cell>
        </row>
        <row r="278">
          <cell r="A278">
            <v>45331</v>
          </cell>
          <cell r="B278">
            <v>45045</v>
          </cell>
          <cell r="C278">
            <v>45453</v>
          </cell>
          <cell r="F278">
            <v>45652</v>
          </cell>
        </row>
        <row r="279">
          <cell r="A279">
            <v>45332</v>
          </cell>
          <cell r="B279">
            <v>45046</v>
          </cell>
          <cell r="C279">
            <v>45460</v>
          </cell>
        </row>
        <row r="280">
          <cell r="A280">
            <v>45333</v>
          </cell>
          <cell r="B280">
            <v>45047</v>
          </cell>
          <cell r="C280">
            <v>45513</v>
          </cell>
        </row>
        <row r="281">
          <cell r="A281">
            <v>45334</v>
          </cell>
          <cell r="B281">
            <v>45048</v>
          </cell>
          <cell r="C281">
            <v>45552</v>
          </cell>
        </row>
        <row r="282">
          <cell r="A282">
            <v>45335</v>
          </cell>
          <cell r="B282">
            <v>45049</v>
          </cell>
          <cell r="C282">
            <v>45559</v>
          </cell>
        </row>
        <row r="283">
          <cell r="A283">
            <v>45336</v>
          </cell>
          <cell r="B283">
            <v>45099</v>
          </cell>
          <cell r="C283">
            <v>45575</v>
          </cell>
        </row>
        <row r="284">
          <cell r="A284">
            <v>45341</v>
          </cell>
          <cell r="B284">
            <v>45100</v>
          </cell>
          <cell r="C284">
            <v>45642</v>
          </cell>
        </row>
        <row r="285">
          <cell r="A285">
            <v>45350</v>
          </cell>
          <cell r="B285">
            <v>45101</v>
          </cell>
          <cell r="C285">
            <v>45651</v>
          </cell>
        </row>
        <row r="286">
          <cell r="A286">
            <v>45380</v>
          </cell>
          <cell r="B286">
            <v>45198</v>
          </cell>
          <cell r="C286">
            <v>45652</v>
          </cell>
        </row>
        <row r="287">
          <cell r="A287">
            <v>45386</v>
          </cell>
          <cell r="B287">
            <v>45199</v>
          </cell>
        </row>
        <row r="288">
          <cell r="A288">
            <v>45387</v>
          </cell>
          <cell r="B288">
            <v>45200</v>
          </cell>
        </row>
        <row r="289">
          <cell r="A289">
            <v>45413</v>
          </cell>
          <cell r="B289">
            <v>45201</v>
          </cell>
        </row>
        <row r="290">
          <cell r="A290">
            <v>45439</v>
          </cell>
          <cell r="B290">
            <v>45202</v>
          </cell>
        </row>
        <row r="291">
          <cell r="A291">
            <v>45453</v>
          </cell>
          <cell r="B291">
            <v>45203</v>
          </cell>
        </row>
        <row r="292">
          <cell r="A292">
            <v>45462</v>
          </cell>
          <cell r="B292">
            <v>45204</v>
          </cell>
        </row>
        <row r="293">
          <cell r="A293">
            <v>45477</v>
          </cell>
          <cell r="B293">
            <v>45205</v>
          </cell>
        </row>
        <row r="294">
          <cell r="A294">
            <v>45537</v>
          </cell>
          <cell r="B294">
            <v>45208</v>
          </cell>
        </row>
        <row r="295">
          <cell r="A295">
            <v>45552</v>
          </cell>
          <cell r="B295">
            <v>45209</v>
          </cell>
        </row>
        <row r="296">
          <cell r="A296">
            <v>45575</v>
          </cell>
          <cell r="B296">
            <v>45292</v>
          </cell>
        </row>
        <row r="297">
          <cell r="A297">
            <v>45579</v>
          </cell>
          <cell r="B297">
            <v>45330</v>
          </cell>
        </row>
        <row r="298">
          <cell r="A298">
            <v>45607</v>
          </cell>
          <cell r="B298">
            <v>45331</v>
          </cell>
        </row>
        <row r="299">
          <cell r="A299">
            <v>45624</v>
          </cell>
          <cell r="B299">
            <v>45332</v>
          </cell>
        </row>
        <row r="300">
          <cell r="A300">
            <v>45651</v>
          </cell>
          <cell r="B300">
            <v>45333</v>
          </cell>
        </row>
        <row r="301">
          <cell r="B301">
            <v>45334</v>
          </cell>
        </row>
        <row r="302">
          <cell r="B302">
            <v>45335</v>
          </cell>
        </row>
        <row r="303">
          <cell r="B303">
            <v>45336</v>
          </cell>
        </row>
        <row r="304">
          <cell r="B304">
            <v>45337</v>
          </cell>
        </row>
        <row r="305">
          <cell r="B305">
            <v>45338</v>
          </cell>
        </row>
        <row r="306">
          <cell r="B306">
            <v>45350</v>
          </cell>
        </row>
        <row r="307">
          <cell r="B307">
            <v>45386</v>
          </cell>
        </row>
        <row r="308">
          <cell r="B308">
            <v>45387</v>
          </cell>
        </row>
        <row r="309">
          <cell r="B309">
            <v>45413</v>
          </cell>
        </row>
        <row r="310">
          <cell r="B310">
            <v>45414</v>
          </cell>
        </row>
        <row r="311">
          <cell r="B311">
            <v>45415</v>
          </cell>
        </row>
        <row r="312">
          <cell r="B312">
            <v>45453</v>
          </cell>
        </row>
        <row r="313">
          <cell r="B313">
            <v>45551</v>
          </cell>
        </row>
        <row r="314">
          <cell r="B314">
            <v>45552</v>
          </cell>
        </row>
        <row r="315">
          <cell r="B315">
            <v>45566</v>
          </cell>
        </row>
        <row r="316">
          <cell r="B316">
            <v>45567</v>
          </cell>
        </row>
        <row r="317">
          <cell r="B317">
            <v>45568</v>
          </cell>
        </row>
        <row r="318">
          <cell r="B318">
            <v>45569</v>
          </cell>
        </row>
        <row r="319">
          <cell r="B319">
            <v>45572</v>
          </cell>
        </row>
        <row r="320">
          <cell r="B320">
            <v>45575</v>
          </cell>
        </row>
      </sheetData>
      <sheetData sheetId="25"/>
      <sheetData sheetId="26"/>
      <sheetData sheetId="27">
        <row r="7">
          <cell r="A7">
            <v>45405</v>
          </cell>
        </row>
      </sheetData>
      <sheetData sheetId="28"/>
      <sheetData sheetId="29"/>
      <sheetData sheetId="30"/>
      <sheetData sheetId="31">
        <row r="1">
          <cell r="Y1" t="b">
            <v>1</v>
          </cell>
        </row>
      </sheetData>
      <sheetData sheetId="32"/>
      <sheetData sheetId="33"/>
      <sheetData sheetId="34"/>
      <sheetData sheetId="35"/>
      <sheetData sheetId="36"/>
      <sheetData sheetId="37"/>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項目" xr10:uid="{00000000-0013-0000-FFFF-FFFF01000000}" sourceName="報酬率">
  <extLst>
    <x:ext xmlns:x15="http://schemas.microsoft.com/office/spreadsheetml/2010/11/main" uri="{2F2917AC-EB37-4324-AD4E-5DD8C200BD13}">
      <x15:tableSlicerCache tableId="5" column="2"/>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匯率索引" xr10:uid="{00000000-0013-0000-FFFF-FFFF02000000}" sourceName="匯率索引">
  <extLst>
    <x:ext xmlns:x15="http://schemas.microsoft.com/office/spreadsheetml/2010/11/main" uri="{2F2917AC-EB37-4324-AD4E-5DD8C200BD13}">
      <x15:tableSlicerCache tableId="5" column="15" crossFilter="none"/>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匯率索引1" xr10:uid="{00000000-0013-0000-FFFF-FFFF03000000}" sourceName="匯率索引">
  <extLst>
    <x:ext xmlns:x15="http://schemas.microsoft.com/office/spreadsheetml/2010/11/main" uri="{2F2917AC-EB37-4324-AD4E-5DD8C200BD13}">
      <x15:tableSlicerCache tableId="4" column="15" crossFilter="none"/>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報酬率" xr10:uid="{00000000-0013-0000-FFFF-FFFF04000000}" sourceName="報酬率">
  <extLst>
    <x:ext xmlns:x15="http://schemas.microsoft.com/office/spreadsheetml/2010/11/main" uri="{2F2917AC-EB37-4324-AD4E-5DD8C200BD13}">
      <x15:tableSlicerCache tableId="4" column="2"/>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模型名稱" xr10:uid="{00000000-0013-0000-FFFF-FFFF05000000}" sourceName="模型名稱">
  <extLst>
    <x:ext xmlns:x15="http://schemas.microsoft.com/office/spreadsheetml/2010/11/main" uri="{2F2917AC-EB37-4324-AD4E-5DD8C200BD13}">
      <x15:tableSlicerCache tableId="6" column="2"/>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模型名稱1" xr10:uid="{00000000-0013-0000-FFFF-FFFF06000000}" sourceName="模型名稱">
  <extLst>
    <x:ext xmlns:x15="http://schemas.microsoft.com/office/spreadsheetml/2010/11/main" uri="{2F2917AC-EB37-4324-AD4E-5DD8C200BD13}">
      <x15:tableSlicerCache tableId="7" column="2"/>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資格名稱" xr10:uid="{00000000-0013-0000-FFFF-FFFF07000000}" sourceName="資格名稱">
  <extLst>
    <x:ext xmlns:x15="http://schemas.microsoft.com/office/spreadsheetml/2010/11/main" uri="{2F2917AC-EB37-4324-AD4E-5DD8C200BD13}">
      <x15:tableSlicerCache tableId="10" column="2"/>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頁面名稱" xr10:uid="{00000000-0013-0000-FFFF-FFFF08000000}" sourceName="頁面名稱">
  <extLst>
    <x:ext xmlns:x15="http://schemas.microsoft.com/office/spreadsheetml/2010/11/main" uri="{2F2917AC-EB37-4324-AD4E-5DD8C200BD13}">
      <x15:tableSlicerCache tableId="11" column="2"/>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名稱" xr10:uid="{00000000-0013-0000-FFFF-FFFF09000000}" sourceName="名稱">
  <extLst>
    <x:ext xmlns:x15="http://schemas.microsoft.com/office/spreadsheetml/2010/11/main" uri="{2F2917AC-EB37-4324-AD4E-5DD8C200BD13}">
      <x15:tableSlicerCache tableId="14"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資格名稱1" xr10:uid="{00000000-0013-0000-FFFF-FFFF0A000000}" sourceName="資格名稱">
  <extLst>
    <x:ext xmlns:x15="http://schemas.microsoft.com/office/spreadsheetml/2010/11/main" uri="{2F2917AC-EB37-4324-AD4E-5DD8C200BD13}">
      <x15:tableSlicerCache tableId="16" column="2"/>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名稱1" xr10:uid="{00000000-0013-0000-FFFF-FFFF0B000000}" sourceName="名稱">
  <extLst>
    <x:ext xmlns:x15="http://schemas.microsoft.com/office/spreadsheetml/2010/11/main" uri="{2F2917AC-EB37-4324-AD4E-5DD8C200BD13}">
      <x15:tableSlicerCache tableId="17" column="2"/>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頁面名稱1" xr10:uid="{00000000-0013-0000-FFFF-FFFF0C000000}" sourceName="多檔頁面名稱">
  <extLst>
    <x:ext xmlns:x15="http://schemas.microsoft.com/office/spreadsheetml/2010/11/main" uri="{2F2917AC-EB37-4324-AD4E-5DD8C200BD13}">
      <x15:tableSlicerCache tableId="18" column="2"/>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幣別" xr10:uid="{00000000-0013-0000-FFFF-FFFF0D000000}" sourceName="幣別">
  <extLst>
    <x:ext xmlns:x15="http://schemas.microsoft.com/office/spreadsheetml/2010/11/main" uri="{2F2917AC-EB37-4324-AD4E-5DD8C200BD13}">
      <x15:tableSlicerCache tableId="1" column="12"/>
    </x:ex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客戶資格2" xr10:uid="{00000000-0013-0000-FFFF-FFFF0E000000}" sourceName="客戶資格2">
  <extLst>
    <x:ext xmlns:x15="http://schemas.microsoft.com/office/spreadsheetml/2010/11/main" uri="{2F2917AC-EB37-4324-AD4E-5DD8C200BD13}">
      <x15:tableSlicerCache tableId="1" column="5" customListSort="0"/>
    </x:ex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清單" xr10:uid="{00000000-0013-0000-FFFF-FFFF0F000000}" sourceName="清單">
  <extLst>
    <x:ext xmlns:x15="http://schemas.microsoft.com/office/spreadsheetml/2010/11/main" uri="{2F2917AC-EB37-4324-AD4E-5DD8C200BD13}">
      <x15:tableSlicerCache tableId="1" column="23"/>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幣別 1" xr10:uid="{00000000-0014-0000-FFFF-FFFF01000000}" cache="Slicer_幣別" caption="幣別" columnCount="7" style="交叉分析篩選器樣式 7" rowHeight="720000"/>
  <slicer name="客戶資格2 1" xr10:uid="{00000000-0014-0000-FFFF-FFFF02000000}" cache="Slicer_客戶資格2" caption="客戶資格2" columnCount="3" style="交叉分析篩選器樣式 7" rowHeight="720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匯率索引 1" xr10:uid="{00000000-0014-0000-FFFF-FFFF03000000}" cache="Slicer_匯率索引1" caption="匯率索引" columnCount="2" showCaption="0" style="交叉分析篩選器樣式 15" rowHeight="468000"/>
  <slicer name="報酬率 1" xr10:uid="{00000000-0014-0000-FFFF-FFFF04000000}" cache="Slicer_報酬率" caption="報酬率" showCaption="0" style="交叉分析篩選器樣式 15" rowHeight="540000"/>
  <slicer name="模型名稱" xr10:uid="{00000000-0014-0000-FFFF-FFFF05000000}" cache="Slicer_模型名稱" caption="模型名稱" columnCount="2" showCaption="0" style="交叉分析篩選器樣式 15" rowHeight="468000"/>
  <slicer name="資格名稱" xr10:uid="{00000000-0014-0000-FFFF-FFFF06000000}" cache="Slicer_資格名稱" caption="資格名稱" columnCount="3" showCaption="0" style="交叉分析篩選器樣式 15" rowHeight="504000"/>
  <slicer name="頁面名稱" xr10:uid="{00000000-0014-0000-FFFF-FFFF07000000}" cache="Slicer_頁面名稱" caption="頁面名稱" columnCount="2" showCaption="0" style="交叉分析篩選器樣式 12" rowHeight="324000"/>
  <slicer name="名稱" xr10:uid="{00000000-0014-0000-FFFF-FFFF08000000}" cache="Slicer_名稱" caption="名稱" columnCount="2" showCaption="0" style="交叉分析篩選器樣式 15" rowHeight="504000"/>
  <slicer name="資格名稱 1" xr10:uid="{00000000-0014-0000-FFFF-FFFF09000000}" cache="Slicer_資格名稱1" caption="資格名稱" columnCount="3" showCaption="0" style="交叉分析篩選器樣式 15" rowHeight="504000"/>
  <slicer name="多檔策略" xr10:uid="{00000000-0014-0000-FFFF-FFFF0A000000}" cache="Slicer_名稱1" caption="名稱" columnCount="2" showCaption="0" style="交叉分析篩選器樣式 15" rowHeight="504000"/>
  <slicer name="頁面名稱 2" xr10:uid="{00000000-0014-0000-FFFF-FFFF0B000000}" cache="Slicer_頁面名稱1" caption="多檔頁面名稱" columnCount="2" showCaption="0" style="交叉分析篩選器樣式 12" rowHeight="324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清單 1" xr10:uid="{00000000-0014-0000-FFFF-FFFF0C000000}" cache="Slicer_清單" caption="清單" style="交叉分析篩選器樣式 1 10" rowHeight="3600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報酬率" xr10:uid="{00000000-0014-0000-FFFF-FFFF0D000000}" cache="Slicer_項目" caption="報酬率" columnCount="4" showCaption="0" style="交叉分析篩選器樣式 10" rowHeight="540000"/>
  <slicer name="匯率索引" xr10:uid="{00000000-0014-0000-FFFF-FFFF0E000000}" cache="Slicer_匯率索引" caption="匯率索引" columnCount="2" showCaption="0" style="交叉分析篩選器樣式 11" rowHeight="468000"/>
  <slicer name="模型名稱 2" xr10:uid="{00000000-0014-0000-FFFF-FFFF0F000000}" cache="Slicer_模型名稱1" caption="模型名稱" columnCount="2" showCaption="0" style="交叉分析篩選器樣式 15" rowHeight="39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格1" displayName="表格1" ref="B12:W290" headerRowDxfId="860" dataDxfId="859" totalsRowDxfId="857" tableBorderDxfId="858">
  <autoFilter ref="B12:W290" xr:uid="{00000000-0009-0000-0100-000001000000}"/>
  <sortState xmlns:xlrd2="http://schemas.microsoft.com/office/spreadsheetml/2017/richdata2" ref="B13:W293">
    <sortCondition descending="1" ref="G12:G293"/>
  </sortState>
  <tableColumns count="22">
    <tableColumn id="1" xr3:uid="{00000000-0010-0000-0000-000001000000}" name="商品_x000a_代碼" totalsRowLabel="合計" dataDxfId="856" totalsRowDxfId="855" dataCellStyle="一般 9"/>
    <tableColumn id="5" xr3:uid="{00000000-0010-0000-0000-000005000000}" name="客戶資格2" dataDxfId="854" dataCellStyle="一般 9">
      <calculatedColumnFormula>IFERROR(VLOOKUP(表格1[[#This Row],[商品
代碼]],'銀行-TSS'!B:V,21,FALSE),"")</calculatedColumnFormula>
    </tableColumn>
    <tableColumn id="2" xr3:uid="{00000000-0010-0000-0000-000002000000}" name="ISIN" dataDxfId="853" totalsRowDxfId="852" dataCellStyle="一般 9">
      <calculatedColumnFormula>IFERROR(VLOOKUP(表格1[[#This Row],[商品
代碼]],bond!B:F,5,FALSE),"")</calculatedColumnFormula>
    </tableColumn>
    <tableColumn id="3" xr3:uid="{00000000-0010-0000-0000-000003000000}" name="產品名稱" dataDxfId="851" totalsRowDxfId="850" dataCellStyle="一般 9">
      <calculatedColumnFormula>IFERROR(VLOOKUP(B13,'銀行-TSS'!B:D,3,FALSE),"")</calculatedColumnFormula>
    </tableColumn>
    <tableColumn id="4" xr3:uid="{00000000-0010-0000-0000-000004000000}" name="債券信評_x000a_(穆迪/標普/惠譽)" dataDxfId="849" totalsRowDxfId="848" dataCellStyle="一般 9">
      <calculatedColumnFormula>IFERROR(VLOOKUP(B13,'銀行-TSS'!B:E,4,FALSE),"")</calculatedColumnFormula>
    </tableColumn>
    <tableColumn id="6" xr3:uid="{00000000-0010-0000-0000-000006000000}" name="距到_x000a_期年" dataDxfId="847" totalsRowDxfId="846" dataCellStyle="一般 9">
      <calculatedColumnFormula>IFERROR(VLOOKUP(B13,'銀行-TSS'!B:G,6,FALSE),"")</calculatedColumnFormula>
    </tableColumn>
    <tableColumn id="7" xr3:uid="{00000000-0010-0000-0000-000007000000}" name="票面_x000a_年利率" dataDxfId="845" totalsRowDxfId="844" dataCellStyle="百分比">
      <calculatedColumnFormula>IFERROR(VLOOKUP(B13,'銀行-TSS'!B:H,7,FALSE),"")</calculatedColumnFormula>
    </tableColumn>
    <tableColumn id="8" xr3:uid="{00000000-0010-0000-0000-000008000000}" name="配息_x000a_月份" dataDxfId="843" totalsRowDxfId="842" dataCellStyle="一般 9">
      <calculatedColumnFormula>IFERROR(IF(表格1[[#This Row],[配息頻率]]=0,"",CHOOSE(表格1[[#This Row],[配息頻率]],MONTH(J13),IF(MONTH(J13)&lt;=6,CONCATENATE(MONTH(J13)," / ",MONTH(J13)+6),CONCATENATE(MONTH(J13)-6," / ",MONTH(J13))),0,"2 / 4 / 8 / 11")),"")</calculatedColumnFormula>
    </tableColumn>
    <tableColumn id="9" xr3:uid="{00000000-0010-0000-0000-000009000000}" name="下一票息_x000a_支付日" dataDxfId="841" totalsRowDxfId="840" dataCellStyle="一般 9">
      <calculatedColumnFormula>IFERROR(VLOOKUP(B13,'銀行-TSS'!B:P,15,FALSE),"")</calculatedColumnFormula>
    </tableColumn>
    <tableColumn id="16" xr3:uid="{00000000-0010-0000-0000-000010000000}" name="配息頻率" dataDxfId="839" totalsRowDxfId="838" dataCellStyle="一般 9">
      <calculatedColumnFormula>IFERROR(VLOOKUP(表格1[[#This Row],[商品
代碼]],'銀行-TSS'!B:I,8,FALSE),"")</calculatedColumnFormula>
    </tableColumn>
    <tableColumn id="10" xr3:uid="{00000000-0010-0000-0000-00000A000000}" name="含息申購_x000a_參考價" dataDxfId="837" totalsRowDxfId="836" dataCellStyle="一般 9">
      <calculatedColumnFormula>IFERROR(VLOOKUP(B13,'銀行-TSS'!B:K,10,FALSE),"")</calculatedColumnFormula>
    </tableColumn>
    <tableColumn id="15" xr3:uid="{00000000-0010-0000-0000-00000F000000}" name="折溢價" dataDxfId="835" totalsRowDxfId="834" dataCellStyle="一般 9">
      <calculatedColumnFormula>IF(表格1[[#This Row],[含息申購
參考價]]&gt;100,"溢價",IF(表格1[[#This Row],[含息申購
參考價]]&lt;100,"折價","平價"))</calculatedColumnFormula>
    </tableColumn>
    <tableColumn id="11" xr3:uid="{00000000-0010-0000-0000-00000B000000}" name="參考殖利率_x000a_(不含前手息)" dataDxfId="833" totalsRowDxfId="832" dataCellStyle="百分比">
      <calculatedColumnFormula>IFERROR(VLOOKUP(B13,'銀行-TSS'!B:M,12,FALSE),"")</calculatedColumnFormula>
    </tableColumn>
    <tableColumn id="18" xr3:uid="{00000000-0010-0000-0000-000012000000}" name="清單計數" dataDxfId="831" totalsRowDxfId="830" dataCellStyle="百分比">
      <calculatedColumnFormula>IFERROR(VLOOKUP(表格1[[#This Row],[商品
代碼]],'銀行-TSS'!B:AJ,35,FALSE),"")</calculatedColumnFormula>
    </tableColumn>
    <tableColumn id="25" xr3:uid="{00000000-0010-0000-0000-000019000000}" name="YTC" dataDxfId="829" totalsRowDxfId="828" dataCellStyle="百分比">
      <calculatedColumnFormula>IFERROR(VLOOKUP(表格1[[#This Row],[商品
代碼]],'銀行-TSS'!B:AE,30,FALSE),"")</calculatedColumnFormula>
    </tableColumn>
    <tableColumn id="26" xr3:uid="{00000000-0010-0000-0000-00001A000000}" name="Call Date" dataDxfId="827" totalsRowDxfId="826" dataCellStyle="一般 9">
      <calculatedColumnFormula>IFERROR(IF(VLOOKUP(表格1[[#This Row],[商品
代碼]],'銀行-TSS'!B:AM,38,FALSE)="#N/A Field Not Applicable","",VLOOKUP(表格1[[#This Row],[商品
代碼]],'銀行-TSS'!B:AM,38,FALSE)),"")</calculatedColumnFormula>
    </tableColumn>
    <tableColumn id="12" xr3:uid="{00000000-0010-0000-0000-00000C000000}" name="幣別" dataDxfId="825" totalsRowDxfId="824" dataCellStyle="一般 9">
      <calculatedColumnFormula>IFERROR(VLOOKUP(表格1[[#This Row],[商品
代碼]],'銀行-TSS'!B:AH,33,FALSE),"")</calculatedColumnFormula>
    </tableColumn>
    <tableColumn id="13" xr3:uid="{00000000-0010-0000-0000-00000D000000}" name="最低_x000a_申購面額" dataDxfId="823" totalsRowDxfId="822" dataCellStyle="一般 9">
      <calculatedColumnFormula>IFERROR(VLOOKUP(B13,'銀行-TSS'!B:N,13,FALSE),"")</calculatedColumnFormula>
    </tableColumn>
    <tableColumn id="23" xr3:uid="{00000000-0010-0000-0000-000017000000}" name="清單" dataDxfId="821" totalsRowDxfId="820" dataCellStyle="一般 9">
      <calculatedColumnFormula>VLOOKUP(表格1[[#This Row],[商品
代碼]],'銀行-TSS'!B:AI,34,FALSE)</calculatedColumnFormula>
    </tableColumn>
    <tableColumn id="21" xr3:uid="{00000000-0010-0000-0000-000015000000}" name="產業" dataDxfId="819" totalsRowDxfId="818" dataCellStyle="一般 9">
      <calculatedColumnFormula>IFERROR(VLOOKUP(B13,'銀行-TSS'!B:Q,16,FALSE),"")</calculatedColumnFormula>
    </tableColumn>
    <tableColumn id="14" xr3:uid="{00000000-0010-0000-0000-00000E000000}" name="票息_x000a_類型" dataDxfId="817" totalsRowDxfId="816" dataCellStyle="一般 9">
      <calculatedColumnFormula>IFERROR(VLOOKUP(表格1[[#This Row],[商品
代碼]],'銀行-TSS'!B:AG,32,FALSE),"")</calculatedColumnFormula>
    </tableColumn>
    <tableColumn id="22" xr3:uid="{00000000-0010-0000-0000-000016000000}" name="流動性" dataDxfId="815" dataCellStyle="一般 9">
      <calculatedColumnFormula>IFERROR(IFERROR(VLOOKUP(表格1[[#This Row],[商品
代碼]],'3_是否下架'!A:B,2,FALSE),VLOOKUP(表格1[[#This Row],[商品
代碼]],'銀行-TSS'!B:AK,36,FALSE)),"")</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模型" displayName="模型" ref="A23:B25" totalsRowShown="0">
  <autoFilter ref="A23:B25" xr:uid="{00000000-0009-0000-0100-000006000000}">
    <filterColumn colId="1">
      <filters>
        <filter val="1) 銀行版"/>
      </filters>
    </filterColumn>
  </autoFilter>
  <tableColumns count="2">
    <tableColumn id="1" xr3:uid="{00000000-0010-0000-0100-000001000000}" name="模型代碼"/>
    <tableColumn id="2" xr3:uid="{00000000-0010-0000-0100-000002000000}" name="模型名稱"/>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模型Pro" displayName="模型Pro" ref="A30:B32" totalsRowShown="0" headerRowDxfId="588" headerRowBorderDxfId="587" tableBorderDxfId="586" totalsRowBorderDxfId="585">
  <autoFilter ref="A30:B32" xr:uid="{00000000-0009-0000-0100-000007000000}">
    <filterColumn colId="1">
      <filters>
        <filter val="1) 銀行版"/>
      </filters>
    </filterColumn>
  </autoFilter>
  <tableColumns count="2">
    <tableColumn id="1" xr3:uid="{00000000-0010-0000-0200-000001000000}" name="模型Pro代碼"/>
    <tableColumn id="2" xr3:uid="{00000000-0010-0000-0200-000002000000}" name="模型名稱"/>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3000000}" name="單檔換券資格" displayName="單檔換券資格" ref="A35:B38" totalsRowShown="0">
  <autoFilter ref="A35:B38" xr:uid="{00000000-0009-0000-0100-00000A000000}">
    <filterColumn colId="1">
      <filters>
        <filter val="全部"/>
      </filters>
    </filterColumn>
  </autoFilter>
  <tableColumns count="2">
    <tableColumn id="1" xr3:uid="{00000000-0010-0000-0300-000001000000}" name="單檔換券資格"/>
    <tableColumn id="2" xr3:uid="{00000000-0010-0000-0300-000002000000}" name="資格名稱"/>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4000000}" name="單檔換頁" displayName="單檔換頁" ref="A41:B43" totalsRowShown="0">
  <autoFilter ref="A41:B43" xr:uid="{00000000-0009-0000-0100-00000B000000}">
    <filterColumn colId="1">
      <filters>
        <filter val="&lt;&lt;"/>
      </filters>
    </filterColumn>
  </autoFilter>
  <tableColumns count="2">
    <tableColumn id="1" xr3:uid="{00000000-0010-0000-0400-000001000000}" name="單檔換頁標籤"/>
    <tableColumn id="2" xr3:uid="{00000000-0010-0000-0400-000002000000}" name="頁面名稱" dataDxfId="58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5000000}" name="利率情境" displayName="利率情境" ref="A47:B49" totalsRowShown="0">
  <autoFilter ref="A47:B49" xr:uid="{00000000-0009-0000-0100-00000C000000}">
    <filterColumn colId="1">
      <filters>
        <filter val="不含年領利息"/>
      </filters>
    </filterColumn>
  </autoFilter>
  <tableColumns count="2">
    <tableColumn id="1" xr3:uid="{00000000-0010-0000-0500-000001000000}" name="單檔情境"/>
    <tableColumn id="2" xr3:uid="{00000000-0010-0000-0500-000002000000}" name="情境名稱"/>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6000000}" name="單檔選券" displayName="單檔選券" ref="A52:B56" totalsRowShown="0">
  <autoFilter ref="A52:B56" xr:uid="{00000000-0009-0000-0100-00000E000000}">
    <filterColumn colId="1">
      <filters>
        <filter val="1)現金流量"/>
      </filters>
    </filterColumn>
  </autoFilter>
  <tableColumns count="2">
    <tableColumn id="1" xr3:uid="{00000000-0010-0000-0600-000001000000}" name="單檔選券策略"/>
    <tableColumn id="2" xr3:uid="{00000000-0010-0000-0600-000002000000}" name="名稱"/>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投組換券資格" displayName="投組換券資格" ref="A66:B69" totalsRowShown="0">
  <autoFilter ref="A66:B69" xr:uid="{00000000-0009-0000-0100-000010000000}">
    <filterColumn colId="1">
      <filters>
        <filter val="全部"/>
      </filters>
    </filterColumn>
  </autoFilter>
  <tableColumns count="2">
    <tableColumn id="1" xr3:uid="{00000000-0010-0000-0700-000001000000}" name="多檔換券資格"/>
    <tableColumn id="2" xr3:uid="{00000000-0010-0000-0700-000002000000}" name="資格名稱"/>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8000000}" name="投組選券" displayName="投組選券" ref="A72:B76" totalsRowShown="0">
  <autoFilter ref="A72:B76" xr:uid="{00000000-0009-0000-0100-000011000000}">
    <filterColumn colId="1">
      <filters>
        <filter val="1)現金流量"/>
      </filters>
    </filterColumn>
  </autoFilter>
  <tableColumns count="2">
    <tableColumn id="1" xr3:uid="{00000000-0010-0000-0800-000001000000}" name="多檔選券策略"/>
    <tableColumn id="2" xr3:uid="{00000000-0010-0000-0800-000002000000}" name="名稱"/>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9000000}" name="投組換頁" displayName="投組換頁" ref="A79:B81" totalsRowShown="0">
  <autoFilter ref="A79:B81" xr:uid="{00000000-0009-0000-0100-000012000000}">
    <filterColumn colId="1">
      <filters>
        <filter val="&lt;&lt;"/>
      </filters>
    </filterColumn>
  </autoFilter>
  <tableColumns count="2">
    <tableColumn id="1" xr3:uid="{00000000-0010-0000-0900-000001000000}" name="多檔換頁標籤"/>
    <tableColumn id="2" xr3:uid="{00000000-0010-0000-0900-000002000000}" name="多檔頁面名稱" dataDxfId="5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A000000}" name="自訂清單" displayName="自訂清單" ref="A58:B60" totalsRowShown="0">
  <autoFilter ref="A58:B60" xr:uid="{00000000-0009-0000-0100-000014000000}">
    <filterColumn colId="1">
      <filters>
        <filter val="2)取消"/>
      </filters>
    </filterColumn>
  </autoFilter>
  <tableColumns count="2">
    <tableColumn id="1" xr3:uid="{00000000-0010-0000-0A00-000001000000}" name="清單"/>
    <tableColumn id="2" xr3:uid="{00000000-0010-0000-0A00-000002000000}" name="名稱"/>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B000000}" name="多檔利率情境" displayName="多檔利率情境" ref="A85:B87" totalsRowShown="0">
  <autoFilter ref="A85:B87" xr:uid="{00000000-0009-0000-0100-000015000000}">
    <filterColumn colId="1">
      <filters>
        <filter val="不含年領利息"/>
      </filters>
    </filterColumn>
  </autoFilter>
  <tableColumns count="2">
    <tableColumn id="1" xr3:uid="{00000000-0010-0000-0B00-000001000000}" name="多檔情境"/>
    <tableColumn id="2" xr3:uid="{00000000-0010-0000-0B00-000002000000}" name="情境名稱"/>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C000000}" name="面額方式" displayName="面額方式" ref="A90:B92" totalsRowShown="0">
  <autoFilter ref="A90:B92" xr:uid="{00000000-0009-0000-0100-000016000000}">
    <filterColumn colId="1">
      <filters>
        <filter val="2)取消"/>
      </filters>
    </filterColumn>
  </autoFilter>
  <tableColumns count="2">
    <tableColumn id="1" xr3:uid="{00000000-0010-0000-0C00-000001000000}" name="面額"/>
    <tableColumn id="2" xr3:uid="{00000000-0010-0000-0C00-000002000000}" name="方式"/>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D000000}" name="庫存部位" displayName="庫存部位" ref="A95:B97" totalsRowShown="0">
  <autoFilter ref="A95:B97" xr:uid="{00000000-0009-0000-0100-000017000000}">
    <filterColumn colId="1">
      <filters>
        <filter val="2)原庫存組合"/>
      </filters>
    </filterColumn>
  </autoFilter>
  <tableColumns count="2">
    <tableColumn id="1" xr3:uid="{00000000-0010-0000-0D00-000001000000}" name="庫存部位"/>
    <tableColumn id="2" xr3:uid="{00000000-0010-0000-0D00-000002000000}" name="部位"/>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表格1316" displayName="表格1316" ref="N7:Y13" totalsRowShown="0">
  <autoFilter ref="N7:Y13" xr:uid="{00000000-0009-0000-0100-00000F000000}"/>
  <tableColumns count="12">
    <tableColumn id="5" xr3:uid="{00000000-0010-0000-0E00-000005000000}" name="序號"/>
    <tableColumn id="3" xr3:uid="{00000000-0010-0000-0E00-000003000000}" name="排序" dataDxfId="582"/>
    <tableColumn id="1" xr3:uid="{00000000-0010-0000-0E00-000001000000}" name="預設代碼" dataDxfId="581">
      <calculatedColumnFormula>IFERROR(INDEX($P$20:$P$31,O8,1),"")</calculatedColumnFormula>
    </tableColumn>
    <tableColumn id="6" xr3:uid="{00000000-0010-0000-0E00-000006000000}" name="最佳信評(預)" dataDxfId="580">
      <calculatedColumnFormula>INDEX($V$20:$V$31,表格1316[[#This Row],[排序]],1)</calculatedColumnFormula>
    </tableColumn>
    <tableColumn id="4" xr3:uid="{00000000-0010-0000-0E00-000004000000}" name="自訂清單" dataDxfId="579"/>
    <tableColumn id="8" xr3:uid="{00000000-0010-0000-0E00-000008000000}" name="最佳信評(自)" dataDxfId="578">
      <calculatedColumnFormula>INDEX($V$35:$V$40,表格1316[[#This Row],[序號]],1)</calculatedColumnFormula>
    </tableColumn>
    <tableColumn id="7" xr3:uid="{00000000-0010-0000-0E00-000007000000}" name="產品名稱(自訂)" dataDxfId="577">
      <calculatedColumnFormula>IF(表格1316[[#This Row],[自訂清單]]="","",IFERROR(VLOOKUP(表格1316[[#This Row],[自訂清單]],'銀行-TSS'!B:D,3,FALSE),""))</calculatedColumnFormula>
    </tableColumn>
    <tableColumn id="9" xr3:uid="{00000000-0010-0000-0E00-000009000000}" name="產品名稱(庫)" dataDxfId="576">
      <calculatedColumnFormula>IF($O$6=4,VLOOKUP(表格1316[[#This Row],[自訂清單]],'銀行-TSS'!B:D,3,FALSE),VLOOKUP(表格1316[[#This Row],[預設代碼]],'銀行-TSS'!B:D,3,FALSE))</calculatedColumnFormula>
    </tableColumn>
    <tableColumn id="2" xr3:uid="{00000000-0010-0000-0E00-000002000000}" name="清單(暫存)" dataDxfId="575"/>
    <tableColumn id="11" xr3:uid="{00000000-0010-0000-0E00-00000B000000}" name="產品名稱(暫存)" dataDxfId="574">
      <calculatedColumnFormula>IF(表格1316[[#This Row],[清單(暫存)]]="","",IFERROR(IF(表格1316[[#This Row],[幣別(暫存)]]&lt;&gt;$E$13,1,VLOOKUP(表格1316[[#This Row],[清單(暫存)]],'銀行-TSS'!B:D,3,FALSE)),1))</calculatedColumnFormula>
    </tableColumn>
    <tableColumn id="10" xr3:uid="{00000000-0010-0000-0E00-00000A000000}" name="幣別(暫存)" dataDxfId="573">
      <calculatedColumnFormula>INDEX('2_Check_code'!$L$3:$L$9,MATCH(VLOOKUP(表格1316[[#This Row],[清單(暫存)]],'銀行-TSS'!B:C,2,FALSE),'2_Check_code'!$I$3:$I$9,0),0)</calculatedColumnFormula>
    </tableColumn>
    <tableColumn id="12" xr3:uid="{00000000-0010-0000-0E00-00000C000000}" name="銷售對象" dataDxfId="572">
      <calculatedColumnFormula>IF(表格1316[[#This Row],[清單(暫存)]]="","",VLOOKUP(表格1316[[#This Row],[清單(暫存)]],'銀行-TSS'!B:V,21,FALSE))</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F000000}" name="換券表" displayName="換券表" ref="M6:AE19" totalsRowShown="0" headerRowDxfId="571" dataDxfId="570" dataCellStyle="百分比">
  <tableColumns count="19">
    <tableColumn id="1" xr3:uid="{00000000-0010-0000-0F00-000001000000}" name="商品代號" dataDxfId="569" dataCellStyle="一般 2">
      <calculatedColumnFormula>I7</calculatedColumnFormula>
    </tableColumn>
    <tableColumn id="2" xr3:uid="{00000000-0010-0000-0F00-000002000000}" name="買價" dataDxfId="568">
      <calculatedColumnFormula>VLOOKUP(M7,bond!B:I,8,FALSE)</calculatedColumnFormula>
    </tableColumn>
    <tableColumn id="14" xr3:uid="{00000000-0010-0000-0F00-00000E000000}" name="買價(含息)" dataDxfId="567">
      <calculatedColumnFormula>換券表[[#This Row],[買價]]+VLOOKUP(換券表[[#This Row],[商品代號]],bond!B:K,10,FALSE)</calculatedColumnFormula>
    </tableColumn>
    <tableColumn id="4" xr3:uid="{00000000-0010-0000-0F00-000004000000}" name="賣價(含息)" dataDxfId="566">
      <calculatedColumnFormula>VLOOKUP(換券表[[#This Row],[商品代號]],'銀行-TSS'!B:K,10,FALSE)</calculatedColumnFormula>
    </tableColumn>
    <tableColumn id="5" xr3:uid="{00000000-0010-0000-0F00-000005000000}" name="距到期年" dataDxfId="565">
      <calculatedColumnFormula>VLOOKUP($M7,'銀行-TSS'!B:G,6,FALSE)</calculatedColumnFormula>
    </tableColumn>
    <tableColumn id="6" xr3:uid="{00000000-0010-0000-0F00-000006000000}" name="到期日" dataDxfId="564">
      <calculatedColumnFormula>IFERROR(DATEVALUE(VLOOKUP($M7,'銀行-TSS'!B:F,5,FALSE)),VLOOKUP($M7,'銀行-TSS'!B:F,5,FALSE))</calculatedColumnFormula>
    </tableColumn>
    <tableColumn id="7" xr3:uid="{00000000-0010-0000-0F00-000007000000}" name="票面利率" dataDxfId="563" dataCellStyle="百分比">
      <calculatedColumnFormula>VLOOKUP($M7,'銀行-TSS'!B:H,7,FALSE)</calculatedColumnFormula>
    </tableColumn>
    <tableColumn id="8" xr3:uid="{00000000-0010-0000-0F00-000008000000}" name="配息頻率" dataDxfId="562" dataCellStyle="百分比">
      <calculatedColumnFormula>IFERROR(VLOOKUP($M7,'銀行-TSS'!B:I,8,FALSE),"")</calculatedColumnFormula>
    </tableColumn>
    <tableColumn id="9" xr3:uid="{00000000-0010-0000-0F00-000009000000}" name="下一配息日" dataDxfId="561">
      <calculatedColumnFormula>_xlfn.IFNA(IFERROR(DATEVALUE(VLOOKUP($M7,'銀行-TSS'!B:P,15,FALSE)),VLOOKUP($M7,'銀行-TSS'!B:P,15,FALSE)),"")</calculatedColumnFormula>
    </tableColumn>
    <tableColumn id="27" xr3:uid="{00000000-0010-0000-0F00-00001B000000}" name="檢測" dataDxfId="560">
      <calculatedColumnFormula>IF(AND('2_Check_code'!C62,換券表[[#This Row],[投入面額]]&gt;0),TRUE,FALSE)</calculatedColumnFormula>
    </tableColumn>
    <tableColumn id="10" xr3:uid="{00000000-0010-0000-0F00-00000A000000}" name="交割日" dataDxfId="559">
      <calculatedColumnFormula>DATEVALUE(VLOOKUP(M7,bond!B:I,7,FALSE))</calculatedColumnFormula>
    </tableColumn>
    <tableColumn id="11" xr3:uid="{00000000-0010-0000-0F00-00000B000000}" name="投入面額" dataDxfId="558" dataCellStyle="千分位 3">
      <calculatedColumnFormula>J7</calculatedColumnFormula>
    </tableColumn>
    <tableColumn id="12" xr3:uid="{00000000-0010-0000-0F00-00000C000000}" name="持有成本(不含前手息)" dataDxfId="557" dataCellStyle="千分位 3">
      <calculatedColumnFormula>K7</calculatedColumnFormula>
    </tableColumn>
    <tableColumn id="53" xr3:uid="{00000000-0010-0000-0F00-000035000000}" name="名稱" dataDxfId="556" dataCellStyle="百分比">
      <calculatedColumnFormula>IFERROR(VLOOKUP(換券表[[#This Row],[商品代號]],bond!B:AA,26,FALSE),"")</calculatedColumnFormula>
    </tableColumn>
    <tableColumn id="45" xr3:uid="{00000000-0010-0000-0F00-00002D000000}" name="產業" dataDxfId="555" dataCellStyle="百分比">
      <calculatedColumnFormula>IFERROR(VLOOKUP($M7,'銀行-TSS'!B:Q,16,FALSE),"")</calculatedColumnFormula>
    </tableColumn>
    <tableColumn id="46" xr3:uid="{00000000-0010-0000-0F00-00002E000000}" name="幣別" dataDxfId="554" dataCellStyle="百分比">
      <calculatedColumnFormula>IFERROR(VLOOKUP($M7,'銀行-TSS'!B:C,2,FALSE),"")</calculatedColumnFormula>
    </tableColumn>
    <tableColumn id="54" xr3:uid="{00000000-0010-0000-0F00-000036000000}" name="對應編碼" dataDxfId="553" dataCellStyle="百分比">
      <calculatedColumnFormula>VLOOKUP(換券表[[#This Row],[幣別]],$B$37:$C$43,2,FALSE)</calculatedColumnFormula>
    </tableColumn>
    <tableColumn id="55" xr3:uid="{00000000-0010-0000-0F00-000037000000}" name="換算匯率(買)" dataDxfId="552" dataCellStyle="百分比">
      <calculatedColumnFormula>CHOOSE(換券表[[#This Row],[對應編碼]],$D$37,$D$38,$D$39,$D$40,$D$41,$D$42,$D$43)</calculatedColumnFormula>
    </tableColumn>
    <tableColumn id="63" xr3:uid="{00000000-0010-0000-0F00-00003F000000}" name="換算匯率(現)" dataDxfId="551" dataCellStyle="百分比">
      <calculatedColumnFormula>CHOOSE(換券表[[#This Row],[對應編碼]],$E$37,$E$38,$E$39,$E$40,$E$41,$E$42,$E$43)</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0000000}" name="投組換券表" displayName="投組換券表" ref="S6:BJ48" totalsRowShown="0" headerRowDxfId="550" dataDxfId="549" dataCellStyle="百分比">
  <tableColumns count="44">
    <tableColumn id="1" xr3:uid="{00000000-0010-0000-1000-000001000000}" name="商品代號" dataDxfId="548" dataCellStyle="一般 2">
      <calculatedColumnFormula>K7</calculatedColumnFormula>
    </tableColumn>
    <tableColumn id="4" xr3:uid="{00000000-0010-0000-1000-000004000000}" name="賣價+UF" dataDxfId="547">
      <calculatedColumnFormula>IFERROR(VLOOKUP(投組換券表[[#This Row],[商品代號]],bond!B:J,9,FALSE)+VLOOKUP(投組換券表[[#This Row],[商品代號]],bond!B:N,13,FALSE),0)</calculatedColumnFormula>
    </tableColumn>
    <tableColumn id="3" xr3:uid="{00000000-0010-0000-1000-000003000000}" name="賣價(含息)" dataDxfId="546">
      <calculatedColumnFormula>IFERROR(VLOOKUP(投組換券表[[#This Row],[商品代號]],'銀行-TSS'!B:K,10,FALSE),0)</calculatedColumnFormula>
    </tableColumn>
    <tableColumn id="5" xr3:uid="{00000000-0010-0000-1000-000005000000}" name="距到期年" dataDxfId="545">
      <calculatedColumnFormula>IFERROR(VLOOKUP($S7,'銀行-TSS'!B:G,6,FALSE),0)</calculatedColumnFormula>
    </tableColumn>
    <tableColumn id="6" xr3:uid="{00000000-0010-0000-1000-000006000000}" name="到期日" dataDxfId="544">
      <calculatedColumnFormula>IFERROR(DATEVALUE(VLOOKUP($S7,'銀行-TSS'!B:F,5,FALSE)),VLOOKUP($S7,'銀行-TSS'!B:F,5,FALSE))</calculatedColumnFormula>
    </tableColumn>
    <tableColumn id="7" xr3:uid="{00000000-0010-0000-1000-000007000000}" name="票面利率" dataDxfId="543" dataCellStyle="百分比">
      <calculatedColumnFormula>IFERROR(VLOOKUP($S7,'銀行-TSS'!B:H,7,FALSE),0)</calculatedColumnFormula>
    </tableColumn>
    <tableColumn id="8" xr3:uid="{00000000-0010-0000-1000-000008000000}" name="配息頻率" dataDxfId="542" dataCellStyle="百分比">
      <calculatedColumnFormula>IFERROR(VLOOKUP($S7,'銀行-TSS'!B:I,8,FALSE),"")</calculatedColumnFormula>
    </tableColumn>
    <tableColumn id="9" xr3:uid="{00000000-0010-0000-1000-000009000000}" name="下一配息日" dataDxfId="541">
      <calculatedColumnFormula>_xlfn.IFNA(IFERROR(DATEVALUE(VLOOKUP($S7,'銀行-TSS'!B:P,15,FALSE)),VLOOKUP($S7,'銀行-TSS'!B:P,15,FALSE)),"")</calculatedColumnFormula>
    </tableColumn>
    <tableColumn id="27" xr3:uid="{00000000-0010-0000-1000-00001B000000}" name="檢測" dataDxfId="540">
      <calculatedColumnFormula>IF(AND(K7&lt;&gt;0,L7&lt;&gt;""), TRUE,FALSE)</calculatedColumnFormula>
    </tableColumn>
    <tableColumn id="10" xr3:uid="{00000000-0010-0000-1000-00000A000000}" name="交割日" dataDxfId="539">
      <calculatedColumnFormula>DATEVALUE(VLOOKUP(S7,bond!B:I,7,FALSE))</calculatedColumnFormula>
    </tableColumn>
    <tableColumn id="11" xr3:uid="{00000000-0010-0000-1000-00000B000000}" name="投入面額" dataDxfId="538" dataCellStyle="千分位 3">
      <calculatedColumnFormula>IF(投組換券表[[#This Row],[檢測]]=TRUE,L7,0)</calculatedColumnFormula>
    </tableColumn>
    <tableColumn id="12" xr3:uid="{00000000-0010-0000-1000-00000C000000}" name="持有成本(不含前手息)" dataDxfId="537" dataCellStyle="千分位 3">
      <calculatedColumnFormula>O7</calculatedColumnFormula>
    </tableColumn>
    <tableColumn id="53" xr3:uid="{00000000-0010-0000-1000-000035000000}" name="名稱" dataDxfId="536" dataCellStyle="百分比">
      <calculatedColumnFormula>IFERROR(VLOOKUP(投組換券表[[#This Row],[商品代號]],bond!B:AA,26,FALSE),"")</calculatedColumnFormula>
    </tableColumn>
    <tableColumn id="45" xr3:uid="{00000000-0010-0000-1000-00002D000000}" name="產業" dataDxfId="535" dataCellStyle="百分比">
      <calculatedColumnFormula>IFERROR(VLOOKUP($S7,'銀行-TSS'!B:Q,16,FALSE),"")</calculatedColumnFormula>
    </tableColumn>
    <tableColumn id="46" xr3:uid="{00000000-0010-0000-1000-00002E000000}" name="幣別" dataDxfId="534" dataCellStyle="百分比">
      <calculatedColumnFormula>IFERROR(VLOOKUP($S7,'銀行-TSS'!B:C,2,FALSE),"")</calculatedColumnFormula>
    </tableColumn>
    <tableColumn id="54" xr3:uid="{00000000-0010-0000-1000-000036000000}" name="對應編碼" dataDxfId="533" dataCellStyle="百分比">
      <calculatedColumnFormula>VLOOKUP(投組換券表[[#This Row],[幣別]],$B$37:$C$43,2,FALSE)</calculatedColumnFormula>
    </tableColumn>
    <tableColumn id="55" xr3:uid="{00000000-0010-0000-1000-000037000000}" name="換算匯率(買)" dataDxfId="532" dataCellStyle="百分比">
      <calculatedColumnFormula>CHOOSE(投組換券表[[#This Row],[對應編碼]],$D$37,$D$38,$D$39,$D$40,$D$41,$D$42,$D$43)</calculatedColumnFormula>
    </tableColumn>
    <tableColumn id="63" xr3:uid="{00000000-0010-0000-1000-00003F000000}" name="換算匯率(現)" dataDxfId="531" dataCellStyle="百分比">
      <calculatedColumnFormula>IF(K7=0,0,CHOOSE(投組換券表[[#This Row],[對應編碼]],$E$37,$E$38,$E$39,$E$40,$E$41,$E$42,$E$43))</calculatedColumnFormula>
    </tableColumn>
    <tableColumn id="2" xr3:uid="{00000000-0010-0000-1000-000002000000}" name="投資面額" dataDxfId="530" dataCellStyle="千分位">
      <calculatedColumnFormula>IFERROR(投組換券表[[#This Row],[投入面額]]*投組換券表[[#This Row],[換算匯率(現)]],0)</calculatedColumnFormula>
    </tableColumn>
    <tableColumn id="22" xr3:uid="{00000000-0010-0000-1000-000016000000}" name="投入佔比" dataDxfId="529" dataCellStyle="百分比">
      <calculatedColumnFormula>IF(開關=TRUE,IF(MF=2,IFERROR(Q7/$Q$1,0),IFERROR(P7/$P$1,0)),0)</calculatedColumnFormula>
    </tableColumn>
    <tableColumn id="13" xr3:uid="{00000000-0010-0000-1000-00000D000000}" name="MOD" dataDxfId="528" dataCellStyle="百分比">
      <calculatedColumnFormula>IFERROR(VLOOKUP(投組換券表[[#This Row],[商品代號]],bond!B:X,21,FALSE),0)</calculatedColumnFormula>
    </tableColumn>
    <tableColumn id="20" xr3:uid="{00000000-0010-0000-1000-000014000000}" name="clean申購價" dataDxfId="527" dataCellStyle="百分比">
      <calculatedColumnFormula>IFERROR(VLOOKUP(投組換券表[[#This Row],[商品代號]],bond!B:J,9,FALSE),0)</calculatedColumnFormula>
    </tableColumn>
    <tableColumn id="19" xr3:uid="{00000000-0010-0000-1000-000013000000}" name="增值潛力" dataDxfId="526" dataCellStyle="千分位">
      <calculatedColumnFormula>IFERROR(IF(K7=0,0,投組換券表[[#This Row],[clean申購價]]/100*投組換券表[[#This Row],[投入面額]]*投組換券表[[#This Row],[MOD]]*1%),0)</calculatedColumnFormula>
    </tableColumn>
    <tableColumn id="15" xr3:uid="{00000000-0010-0000-1000-00000F000000}" name="最低申購" dataDxfId="525" dataCellStyle="百分比">
      <calculatedColumnFormula>IFERROR(VLOOKUP(投組換券表[[#This Row],[商品代號]],'銀行-TSS'!B:N,13,FALSE),0)</calculatedColumnFormula>
    </tableColumn>
    <tableColumn id="16" xr3:uid="{00000000-0010-0000-1000-000010000000}" name="最小增額" dataDxfId="524" dataCellStyle="百分比">
      <calculatedColumnFormula>IFERROR(VLOOKUP(投組換券表[[#This Row],[商品代號]],'銀行-TSS'!B:O,14,FALSE),0)</calculatedColumnFormula>
    </tableColumn>
    <tableColumn id="17" xr3:uid="{00000000-0010-0000-1000-000011000000}" name="年度配息" dataDxfId="523" dataCellStyle="百分比">
      <calculatedColumnFormula>IFERROR(IF(K7=0,0,投組換券表[[#This Row],[票面利率]]*投組換券表[[#This Row],[投入面額]]),0)</calculatedColumnFormula>
    </tableColumn>
    <tableColumn id="21" xr3:uid="{00000000-0010-0000-1000-000015000000}" name="流動性" dataDxfId="522" dataCellStyle="百分比">
      <calculatedColumnFormula>VLOOKUP(K7,'銀行-TSS'!B:AK,36,FALSE)</calculatedColumnFormula>
    </tableColumn>
    <tableColumn id="36" xr3:uid="{00000000-0010-0000-1000-000024000000}" name="第一個配息月" dataDxfId="521" dataCellStyle="百分比">
      <calculatedColumnFormula>IF(Y7=0,0,IF(MOD(MONTH(Z7),12/Y7)=0,12/Y7,MOD(MONTH(Z7),12/Y7)))</calculatedColumnFormula>
    </tableColumn>
    <tableColumn id="37" xr3:uid="{00000000-0010-0000-1000-000025000000}" name="第二個配息月" dataDxfId="520" dataCellStyle="百分比">
      <calculatedColumnFormula>IF(Y7&gt;=2,AT7+12/Y7,0)</calculatedColumnFormula>
    </tableColumn>
    <tableColumn id="38" xr3:uid="{00000000-0010-0000-1000-000026000000}" name="第三個配息月" dataDxfId="519" dataCellStyle="百分比">
      <calculatedColumnFormula>IF(Y7=4,AU7+12/Y7,0)</calculatedColumnFormula>
    </tableColumn>
    <tableColumn id="39" xr3:uid="{00000000-0010-0000-1000-000027000000}" name="第四個配息月" dataDxfId="518" dataCellStyle="百分比">
      <calculatedColumnFormula>IF(Y7=4,AV7+12/Y7,0)</calculatedColumnFormula>
    </tableColumn>
    <tableColumn id="18" xr3:uid="{00000000-0010-0000-1000-000012000000}" name="單次配息" dataDxfId="517" dataCellStyle="千分位">
      <calculatedColumnFormula>IF($C$16=1,投組換券表[[#This Row],[投入面額]]*投組換券表[[#This Row],[票面利率]]/投組換券表[[#This Row],[配息頻率]]*投組換券表[[#This Row],[換算匯率(現)]],投組換券表[[#This Row],[投入面額]]*投組換券表[[#This Row],[票面利率]]/投組換券表[[#This Row],[配息頻率]])</calculatedColumnFormula>
    </tableColumn>
    <tableColumn id="23" xr3:uid="{00000000-0010-0000-1000-000017000000}" name="未來1" dataDxfId="516" dataCellStyle="千分位">
      <calculatedColumnFormula>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calculatedColumnFormula>
    </tableColumn>
    <tableColumn id="24" xr3:uid="{00000000-0010-0000-1000-000018000000}" name="未來2" dataDxfId="515" dataCellStyle="千分位">
      <calculatedColumnFormula>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calculatedColumnFormula>
    </tableColumn>
    <tableColumn id="25" xr3:uid="{00000000-0010-0000-1000-000019000000}" name="未來3" dataDxfId="514" dataCellStyle="千分位">
      <calculatedColumnFormula>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calculatedColumnFormula>
    </tableColumn>
    <tableColumn id="26" xr3:uid="{00000000-0010-0000-1000-00001A000000}" name="未來4" dataDxfId="513" dataCellStyle="千分位">
      <calculatedColumnFormula>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calculatedColumnFormula>
    </tableColumn>
    <tableColumn id="28" xr3:uid="{00000000-0010-0000-1000-00001C000000}" name="未來5" dataDxfId="512" dataCellStyle="千分位">
      <calculatedColumnFormula>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calculatedColumnFormula>
    </tableColumn>
    <tableColumn id="29" xr3:uid="{00000000-0010-0000-1000-00001D000000}" name="未來6" dataDxfId="511" dataCellStyle="千分位">
      <calculatedColumnFormula>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calculatedColumnFormula>
    </tableColumn>
    <tableColumn id="30" xr3:uid="{00000000-0010-0000-1000-00001E000000}" name="未來7" dataDxfId="510" dataCellStyle="千分位">
      <calculatedColumnFormula>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calculatedColumnFormula>
    </tableColumn>
    <tableColumn id="31" xr3:uid="{00000000-0010-0000-1000-00001F000000}" name="未來8" dataDxfId="509" dataCellStyle="千分位">
      <calculatedColumnFormula>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calculatedColumnFormula>
    </tableColumn>
    <tableColumn id="32" xr3:uid="{00000000-0010-0000-1000-000020000000}" name="未來9" dataDxfId="508" dataCellStyle="千分位">
      <calculatedColumnFormula>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calculatedColumnFormula>
    </tableColumn>
    <tableColumn id="33" xr3:uid="{00000000-0010-0000-1000-000021000000}" name="未來10" dataDxfId="507" dataCellStyle="千分位">
      <calculatedColumnFormula>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calculatedColumnFormula>
    </tableColumn>
    <tableColumn id="34" xr3:uid="{00000000-0010-0000-1000-000022000000}" name="未來11" dataDxfId="506" dataCellStyle="千分位">
      <calculatedColumnFormula>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calculatedColumnFormula>
    </tableColumn>
    <tableColumn id="35" xr3:uid="{00000000-0010-0000-1000-000023000000}" name="未來12" dataDxfId="505" dataCellStyle="千分位">
      <calculatedColumnFormula>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1000000}" name="庫存管理" displayName="庫存管理" ref="H6:EB42" totalsRowShown="0" headerRowDxfId="504" dataDxfId="503" dataCellStyle="百分比">
  <tableColumns count="125">
    <tableColumn id="85" xr3:uid="{00000000-0010-0000-1100-000055000000}" name="投組檢測" dataDxfId="502" dataCellStyle="百分比">
      <calculatedColumnFormula>IFERROR(IF(VLOOKUP(G7,換券投組!$AH$8:$AH$13,1,FALSE)&gt;0,TRUE,FALSE),FALSE)</calculatedColumnFormula>
    </tableColumn>
    <tableColumn id="1" xr3:uid="{00000000-0010-0000-1100-000001000000}" name="商品代號" dataDxfId="501" dataCellStyle="一般 2">
      <calculatedColumnFormula>IF(開關=TRUE,'商品代碼-中繼頁'!R2,"")</calculatedColumnFormula>
    </tableColumn>
    <tableColumn id="2" xr3:uid="{00000000-0010-0000-1100-000002000000}" name="買價" dataDxfId="500">
      <calculatedColumnFormula>IFERROR(VLOOKUP(I7,bond!B:I,8,FALSE),0)</calculatedColumnFormula>
    </tableColumn>
    <tableColumn id="14" xr3:uid="{00000000-0010-0000-1100-00000E000000}" name="買價(含息)" dataDxfId="499">
      <calculatedColumnFormula>IFERROR(庫存管理[[#This Row],[買價]]+VLOOKUP(庫存管理[[#This Row],[商品代號]],bond!B:K,10,FALSE),0)</calculatedColumnFormula>
    </tableColumn>
    <tableColumn id="4" xr3:uid="{00000000-0010-0000-1100-000004000000}" name="信用評等(M/S/F)" dataDxfId="498">
      <calculatedColumnFormula>VLOOKUP(I7,'銀行-TSS'!B:E,4,FALSE)</calculatedColumnFormula>
    </tableColumn>
    <tableColumn id="5" xr3:uid="{00000000-0010-0000-1100-000005000000}" name="距到期年" dataDxfId="497">
      <calculatedColumnFormula>IFERROR(VLOOKUP($I7,'銀行-TSS'!B:G,6,FALSE),0)</calculatedColumnFormula>
    </tableColumn>
    <tableColumn id="6" xr3:uid="{00000000-0010-0000-1100-000006000000}" name="到期日" dataDxfId="496">
      <calculatedColumnFormula>IFERROR(DATEVALUE(VLOOKUP($I7,'銀行-TSS'!B:F,5,FALSE)),VLOOKUP($I7,'銀行-TSS'!B:F,5,FALSE))</calculatedColumnFormula>
    </tableColumn>
    <tableColumn id="7" xr3:uid="{00000000-0010-0000-1100-000007000000}" name="票面利率" dataDxfId="495" dataCellStyle="百分比">
      <calculatedColumnFormula>IFERROR(VLOOKUP($I7,'銀行-TSS'!B:H,7,FALSE),0)</calculatedColumnFormula>
    </tableColumn>
    <tableColumn id="58" xr3:uid="{00000000-0010-0000-1100-00003A000000}" name="現金殖利率" dataDxfId="494" dataCellStyle="百分比">
      <calculatedColumnFormula>庫存管理[[#This Row],[票面利率]]/庫存管理[[#This Row],[成本價(不含前手息)]]*100</calculatedColumnFormula>
    </tableColumn>
    <tableColumn id="8" xr3:uid="{00000000-0010-0000-1100-000008000000}" name="配息頻率" dataDxfId="493" dataCellStyle="百分比">
      <calculatedColumnFormula>IFERROR(VLOOKUP($I7,'銀行-TSS'!B:I,8,FALSE),"")</calculatedColumnFormula>
    </tableColumn>
    <tableColumn id="9" xr3:uid="{00000000-0010-0000-1100-000009000000}" name="下一配息日" dataDxfId="492">
      <calculatedColumnFormula>_xlfn.IFNA(IFERROR(DATEVALUE(VLOOKUP($I7,'銀行-TSS'!B:P,15,FALSE)),VLOOKUP($I7,'銀行-TSS'!B:P,15,FALSE)),"")</calculatedColumnFormula>
    </tableColumn>
    <tableColumn id="27" xr3:uid="{00000000-0010-0000-1100-00001B000000}" name="檢測" dataDxfId="491">
      <calculatedColumnFormula>IF(AND(庫存管理[[#This Row],[配息頻率]]&lt;&gt;"",庫存管理[[#This Row],[持有成本(不含前手息)]]&lt;&gt;0,庫存管理[[#This Row],[買進日]]&lt;&gt;""),TRUE,FALSE)</calculatedColumnFormula>
    </tableColumn>
    <tableColumn id="21" xr3:uid="{00000000-0010-0000-1100-000015000000}" name="買進日" dataDxfId="490">
      <calculatedColumnFormula>IFERROR(DATE(LEFT('商品代碼-中繼頁'!S2,4),MID('商品代碼-中繼頁'!S2,5,2),RIGHT('商品代碼-中繼頁'!S2,2)),"")</calculatedColumnFormula>
    </tableColumn>
    <tableColumn id="52" xr3:uid="{00000000-0010-0000-1100-000034000000}" name="買進日(T+2/公債T+1)" dataDxfId="489">
      <calculatedColumnFormula>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calculatedColumnFormula>
    </tableColumn>
    <tableColumn id="10" xr3:uid="{00000000-0010-0000-1100-00000A000000}" name="買進例外調整" dataDxfId="488">
      <calculatedColumnFormula>IFERROR(WORKDAY(庫存管理[[#This Row],[買進日]],VLOOKUP(庫存管理[[#This Row],[商品代號]],'1_重設數據'!R:S,2,FALSE),休USD),庫存管理[[#This Row],[買進日(T+2/公債T+1)]])</calculatedColumnFormula>
    </tableColumn>
    <tableColumn id="11" xr3:uid="{00000000-0010-0000-1100-00000B000000}" name="投入面額" dataDxfId="487" dataCellStyle="千分位 3">
      <calculatedColumnFormula>庫存管理!Y7</calculatedColumnFormula>
    </tableColumn>
    <tableColumn id="12" xr3:uid="{00000000-0010-0000-1100-00000C000000}" name="持有成本(含前手息)" dataDxfId="486" dataCellStyle="千分位 3">
      <calculatedColumnFormula>庫存管理!Z7</calculatedColumnFormula>
    </tableColumn>
    <tableColumn id="13" xr3:uid="{00000000-0010-0000-1100-00000D000000}" name="持有成本(不含前手息)" dataDxfId="485" dataCellStyle="千分位 3">
      <calculatedColumnFormula>IFERROR(ROUND(X7-AM7,2),0)</calculatedColumnFormula>
    </tableColumn>
    <tableColumn id="49" xr3:uid="{00000000-0010-0000-1100-000031000000}" name="部位現值(含前手息)" dataDxfId="484" dataCellStyle="千分位 3">
      <calculatedColumnFormula>ROUND(K7*W7/100,2)</calculatedColumnFormula>
    </tableColumn>
    <tableColumn id="26" xr3:uid="{00000000-0010-0000-1100-00001A000000}" name="部位現值(不含前手息)" dataDxfId="483" dataCellStyle="千分位">
      <calculatedColumnFormula>ROUND(J7*W7/100,2)</calculatedColumnFormula>
    </tableColumn>
    <tableColumn id="48" xr3:uid="{00000000-0010-0000-1100-000030000000}" name="資本利損" dataDxfId="482" dataCellStyle="百分比">
      <calculatedColumnFormula>IF(MF=2,庫存管理[[#This Row],[部位現值(不含前手息)]]-庫存管理[[#This Row],[持有成本(不含前手息)]],庫存管理[[#This Row],[部位現值(含前手息)]]-庫存管理[[#This Row],[持有成本(含前手息)]])</calculatedColumnFormula>
    </tableColumn>
    <tableColumn id="25" xr3:uid="{00000000-0010-0000-1100-000019000000}" name="資本報酬" dataDxfId="481" dataCellStyle="百分比">
      <calculatedColumnFormula>IF(庫存管理[[#This Row],[檢測]]=TRUE,IF(MF=2,IFERROR(庫存管理[[#This Row],[資本利損]]/庫存管理[[#This Row],[持有成本(不含前手息)]],0),IFERROR(庫存管理[[#This Row],[資本利損]]/庫存管理[[#This Row],[持有成本(含前手息)]],0)),0)</calculatedColumnFormula>
    </tableColumn>
    <tableColumn id="69" xr3:uid="{00000000-0010-0000-1100-000045000000}" name="成本價(不含前手息)" dataDxfId="480" dataCellStyle="百分比">
      <calculatedColumnFormula>庫存管理[[#This Row],[持有成本(不含前手息)]]/庫存管理[[#This Row],[投入面額]]*100</calculatedColumnFormula>
    </tableColumn>
    <tableColumn id="53" xr3:uid="{00000000-0010-0000-1100-000035000000}" name="名稱" dataDxfId="479" dataCellStyle="百分比">
      <calculatedColumnFormula>IFERROR(VLOOKUP(庫存管理[[#This Row],[商品代號]],bond!B:AA,26,FALSE),"")</calculatedColumnFormula>
    </tableColumn>
    <tableColumn id="45" xr3:uid="{00000000-0010-0000-1100-00002D000000}" name="產業" dataDxfId="478" dataCellStyle="百分比">
      <calculatedColumnFormula>IFERROR(VLOOKUP($I7,'銀行-TSS'!B:Q,16,FALSE),"")</calculatedColumnFormula>
    </tableColumn>
    <tableColumn id="47" xr3:uid="{00000000-0010-0000-1100-00002F000000}" name="年度配息" dataDxfId="477">
      <calculatedColumnFormula>IFERROR(O7*W7,0)</calculatedColumnFormula>
    </tableColumn>
    <tableColumn id="15" xr3:uid="{00000000-0010-0000-1100-00000F000000}" name="買進前一個配息日(最終)" dataDxfId="476">
      <calculatedColumnFormula>IF(OR(庫存管理[[#This Row],[起息日]]&gt;庫存管理[[#This Row],[買進前一配息日(複算)]],庫存管理[[#This Row],[判斷]]=TRUE),庫存管理[[#This Row],[起息日]],庫存管理[[#This Row],[買進前一配息日(複算)]])</calculatedColumnFormula>
    </tableColumn>
    <tableColumn id="16" xr3:uid="{00000000-0010-0000-1100-000010000000}" name="day count" dataDxfId="475" dataCellStyle="千分位 3">
      <calculatedColumnFormula>VLOOKUP(I7,bond!B:AP,41,FALSE)</calculatedColumnFormula>
    </tableColumn>
    <tableColumn id="17" xr3:uid="{00000000-0010-0000-1100-000011000000}" name="計息基礎" dataDxfId="474" dataCellStyle="千分位 3">
      <calculatedColumnFormula>VLOOKUP(AI7,$B$7:$C$13,2,FALSE)</calculatedColumnFormula>
    </tableColumn>
    <tableColumn id="18" xr3:uid="{00000000-0010-0000-1100-000012000000}" name="計算前手息(複算)" dataDxfId="473" dataCellStyle="千分位 3">
      <calculatedColumnFormula>IFERROR(IF(庫存管理[[#This Row],[買進日是否落入record date]]=1,庫存管理[[#This Row],[record date制度前手息]],庫存管理[[#This Row],[計算前手息(初算)]]),0)</calculatedColumnFormula>
    </tableColumn>
    <tableColumn id="98" xr3:uid="{00000000-0010-0000-1100-000062000000}" name="計算前手息(初算)" dataDxfId="472" dataCellStyle="千分位 3">
      <calculatedColumnFormula>IF(OR(庫存管理[[#This Row],[買進例外調整]]&lt;庫存管理[[#This Row],[起息日]],庫存管理[[#This Row],[買進例外調整]]&gt;庫存管理[[#This Row],[到期日]]),0,IF(庫存管理[[#This Row],[備註]]&lt;&gt;"",庫存管理[[#This Row],[買進時前手息]],IFERROR(ROUND(ACCRINT(AH7,AH7,V7,O7,100,Q7,AJ7,TRUE),4),0)))</calculatedColumnFormula>
    </tableColumn>
    <tableColumn id="19" xr3:uid="{00000000-0010-0000-1100-000013000000}" name="前手息" dataDxfId="471" dataCellStyle="千分位 3">
      <calculatedColumnFormula>ROUND(AK7*W7/100,2)</calculatedColumnFormula>
    </tableColumn>
    <tableColumn id="20" xr3:uid="{00000000-0010-0000-1100-000014000000}" name="交割日" dataDxfId="470">
      <calculatedColumnFormula>DATEVALUE(VLOOKUP(I7,bond!B:I,7,FALSE))</calculatedColumnFormula>
    </tableColumn>
    <tableColumn id="102" xr3:uid="{00000000-0010-0000-1100-000066000000}" name="買進後不完整計息" dataDxfId="469">
      <calculatedColumnFormula>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calculatedColumnFormula>
    </tableColumn>
    <tableColumn id="111" xr3:uid="{00000000-0010-0000-1100-00006F000000}" name="計算交割前手息(複算)" dataDxfId="468" dataCellStyle="千分位">
      <calculatedColumnFormula>IFERROR(IF(庫存管理[[#This Row],[交割日是否落入record date]]=1,庫存管理[[#This Row],[交_record date制度前手息]],庫存管理[[#This Row],[計算交割前手息(初算)]]),0)</calculatedColumnFormula>
    </tableColumn>
    <tableColumn id="110" xr3:uid="{00000000-0010-0000-1100-00006E000000}" name="計算交割前手息(初算)" dataDxfId="467">
      <calculatedColumnFormula>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calculatedColumnFormula>
    </tableColumn>
    <tableColumn id="109" xr3:uid="{00000000-0010-0000-1100-00006D000000}" name="交割前手息" dataDxfId="466">
      <calculatedColumnFormula>ROUND(庫存管理[[#This Row],[計算交割前手息(複算)]]*庫存管理[[#This Row],[投入面額]]/100,2)</calculatedColumnFormula>
    </tableColumn>
    <tableColumn id="119" xr3:uid="{00000000-0010-0000-1100-000077000000}" name="累計前手息" dataDxfId="465">
      <calculatedColumnFormula>IF(庫存管理[[#This Row],[配息頻率]]=0,0,(100*庫存管理[[#This Row],[票面利率]]/庫存管理[[#This Row],[配息頻率]])*庫存管理[[#This Row],[經過幾次配息]]+庫存管理[[#This Row],[計算交割前手息(複算)]]-庫存管理[[#This Row],[計算前手息(複算)]])</calculatedColumnFormula>
    </tableColumn>
    <tableColumn id="22" xr3:uid="{00000000-0010-0000-1100-000016000000}" name="累計配息" dataDxfId="464" dataCellStyle="千分位">
      <calculatedColumnFormula>IF(庫存管理[[#This Row],[商品代號]]="XFM90",0,ROUND(AS7*W7/100,2))</calculatedColumnFormula>
    </tableColumn>
    <tableColumn id="24" xr3:uid="{00000000-0010-0000-1100-000018000000}" name="配息報酬" dataDxfId="463" dataCellStyle="百分比">
      <calculatedColumnFormula>IF(MF=2,IFERROR(庫存管理[[#This Row],[累計配息]]/庫存管理[[#This Row],[持有成本(不含前手息)]],0),IFERROR(庫存管理[[#This Row],[已實現配息(原幣)]]/庫存管理[[#This Row],[持有成本(含前手息)]],0))</calculatedColumnFormula>
    </tableColumn>
    <tableColumn id="43" xr3:uid="{00000000-0010-0000-1100-00002B000000}" name="合計收益" dataDxfId="462" dataCellStyle="千分位">
      <calculatedColumnFormula>IF(MF=2,庫存管理[[#This Row],[資本利損]]+庫存管理[[#This Row],[累計配息]],庫存管理[[#This Row],[資本利損]]+庫存管理[[#This Row],[已實現配息(原幣)]])</calculatedColumnFormula>
    </tableColumn>
    <tableColumn id="44" xr3:uid="{00000000-0010-0000-1100-00002C000000}" name="總報酬" dataDxfId="461" dataCellStyle="千分位">
      <calculatedColumnFormula>IF(庫存管理[[#This Row],[檢測]]=TRUE,IF(MF=2,IFERROR(庫存管理[[#This Row],[合計收益]]/庫存管理[[#This Row],[持有成本(不含前手息)]],0),IFERROR(庫存管理[[#This Row],[合計收益]]/庫存管理[[#This Row],[持有成本(含前手息)]],0)),0)</calculatedColumnFormula>
    </tableColumn>
    <tableColumn id="28" xr3:uid="{00000000-0010-0000-1100-00001C000000}" name="第一個配息月" dataDxfId="460" dataCellStyle="百分比">
      <calculatedColumnFormula>IF(Q7=0,0,IF(MOD(MONTH(R7),12/Q7)=0,12/Q7,MOD(MONTH(R7),12/Q7)))</calculatedColumnFormula>
    </tableColumn>
    <tableColumn id="29" xr3:uid="{00000000-0010-0000-1100-00001D000000}" name="第二個配息月" dataDxfId="459" dataCellStyle="百分比">
      <calculatedColumnFormula>IF(Q7&gt;=2,AX7+12/Q7,0)</calculatedColumnFormula>
    </tableColumn>
    <tableColumn id="30" xr3:uid="{00000000-0010-0000-1100-00001E000000}" name="第三個配息月" dataDxfId="458" dataCellStyle="百分比">
      <calculatedColumnFormula>IF(Q7=4,AY7+12/Q7,0)</calculatedColumnFormula>
    </tableColumn>
    <tableColumn id="31" xr3:uid="{00000000-0010-0000-1100-00001F000000}" name="第四個配息月" dataDxfId="457" dataCellStyle="百分比">
      <calculatedColumnFormula>IF(Q7=4,AZ7+12/Q7,0)</calculatedColumnFormula>
    </tableColumn>
    <tableColumn id="82" xr3:uid="{00000000-0010-0000-1100-000052000000}" name="買進前一配息日(複算)" dataDxfId="456" dataCellStyle="百分比">
      <calculatedColumnFormula>IF(AND(庫存管理[[#This Row],[名稱]]="美國國庫債券",DAY(庫存管理[[#This Row],[買進前一配息日(初算)]])&gt;=28),EOMONTH(庫存管理[[#This Row],[買進前一配息日(初算)]],0),庫存管理[[#This Row],[買進前一配息日(初算)]])</calculatedColumnFormula>
    </tableColumn>
    <tableColumn id="78" xr3:uid="{00000000-0010-0000-1100-00004E000000}" name="買進前一配息日(初算)" dataDxfId="455" dataCellStyle="百分比">
      <calculatedColumnFormula>INDEX(BE7:BI7,1,MATCH(MIN(BJ7:BN7),BJ7:BN7,0))</calculatedColumnFormula>
    </tableColumn>
    <tableColumn id="32" xr3:uid="{00000000-0010-0000-1100-000020000000}" name="買進年2" dataDxfId="454" dataCellStyle="百分比">
      <calculatedColumnFormula>YEAR(V7)</calculatedColumnFormula>
    </tableColumn>
    <tableColumn id="33" xr3:uid="{00000000-0010-0000-1100-000021000000}" name="1" dataDxfId="453" dataCellStyle="百分比">
      <calculatedColumnFormula>IF(Q7&gt;0,IF(MONTH(DATE(BD7,AX7,DAY(R7)))&lt;&gt;庫存管理[[#This Row],[第一個配息月]],DATE(BD7,AX7+1,0),DATE(BD7,AX7,DAY(R7))),庫存管理[[#This Row],[買進例外調整]]+100)</calculatedColumnFormula>
    </tableColumn>
    <tableColumn id="34" xr3:uid="{00000000-0010-0000-1100-000022000000}" name="2" dataDxfId="452" dataCellStyle="百分比">
      <calculatedColumnFormula>IF(AY7&lt;&gt;0,IF(MONTH(DATE(BD7,AY7,DAY(R7)))&lt;&gt;庫存管理[[#This Row],[第二個配息月]],DATE(BD7,AY7+1,0),DATE(BD7,AY7,DAY(R7))),庫存管理[[#This Row],[買進例外調整]]+100)</calculatedColumnFormula>
    </tableColumn>
    <tableColumn id="35" xr3:uid="{00000000-0010-0000-1100-000023000000}" name="3" dataDxfId="451" dataCellStyle="百分比">
      <calculatedColumnFormula>IF(AZ7&lt;&gt;0,IF(MONTH(DATE(BD7,AZ7,DAY(R7)))&lt;&gt;庫存管理[[#This Row],[第三個配息月]],DATE(BD7,AZ7+1,0),DATE(BD7,AZ7,DAY(R7))),庫存管理[[#This Row],[買進例外調整]]+100)</calculatedColumnFormula>
    </tableColumn>
    <tableColumn id="36" xr3:uid="{00000000-0010-0000-1100-000024000000}" name="4" dataDxfId="450" dataCellStyle="百分比">
      <calculatedColumnFormula>IF(BA7&lt;&gt;0,IF(MONTH(DATE(BD7,BA7,DAY(R7)))&lt;&gt;庫存管理[[#This Row],[第四個配息月]],DATE(BD7,BA7+1,0),DATE(BD7,BA7,DAY(R7))),庫存管理[[#This Row],[買進例外調整]]+100)</calculatedColumnFormula>
    </tableColumn>
    <tableColumn id="37" xr3:uid="{00000000-0010-0000-1100-000025000000}" name="5(前一年)" dataDxfId="449" dataCellStyle="百分比">
      <calculatedColumnFormula>IF(Q7=1,IF(MONTH(DATE(BD7-1,AX7,DAY(R7)))&lt;&gt;庫存管理[[#This Row],[第一個配息月]],DATE(BD7-1,AX7+1,0),DATE(BD7-1,AX7,DAY(R7))),IF(Q7=2,IF(MONTH(DATE(BD7-1,AY7,DAY(R7)))&lt;&gt;庫存管理[[#This Row],[第二個配息月]],DATE(BD7-1,AY7+1,0),DATE(BD7-1,AY7,DAY(R7))),IF(Q7=4,IF(MONTH(DATE(BD7-1,BA7,DAY(R7)))&lt;&gt;庫存管理[[#This Row],[第四個配息月]],DATE(BD7-1,BA7+1,0),DATE(BD7-1,BA7,DAY(R7))),庫存管理[[#This Row],[買進例外調整]]+100)))</calculatedColumnFormula>
    </tableColumn>
    <tableColumn id="38" xr3:uid="{00000000-0010-0000-1100-000026000000}" name="A" dataDxfId="448" dataCellStyle="百分比">
      <calculatedColumnFormula>IFERROR(DATEDIF(BE7,$V7,"d"),10000)</calculatedColumnFormula>
    </tableColumn>
    <tableColumn id="39" xr3:uid="{00000000-0010-0000-1100-000027000000}" name="B" dataDxfId="447" dataCellStyle="百分比">
      <calculatedColumnFormula>IFERROR(DATEDIF(BF7,$V7,"d"),10000)</calculatedColumnFormula>
    </tableColumn>
    <tableColumn id="40" xr3:uid="{00000000-0010-0000-1100-000028000000}" name="C" dataDxfId="446" dataCellStyle="百分比">
      <calculatedColumnFormula>IFERROR(DATEDIF(BG7,$V7,"d"),10000)</calculatedColumnFormula>
    </tableColumn>
    <tableColumn id="41" xr3:uid="{00000000-0010-0000-1100-000029000000}" name="D" dataDxfId="445" dataCellStyle="百分比">
      <calculatedColumnFormula>IFERROR(DATEDIF(BH7,$V7,"d"),10000)</calculatedColumnFormula>
    </tableColumn>
    <tableColumn id="42" xr3:uid="{00000000-0010-0000-1100-00002A000000}" name="E" dataDxfId="444" dataCellStyle="百分比">
      <calculatedColumnFormula>IFERROR(DATEDIF(BI7,$V7,"d"),10000)</calculatedColumnFormula>
    </tableColumn>
    <tableColumn id="23" xr3:uid="{00000000-0010-0000-1100-000017000000}" name="單次配息(原幣)" dataDxfId="443" dataCellStyle="百分比">
      <calculatedColumnFormula>庫存管理[[#This Row],[年度配息]]/庫存管理[[#This Row],[配息頻率]]</calculatedColumnFormula>
    </tableColumn>
    <tableColumn id="59" xr3:uid="{00000000-0010-0000-1100-00003B000000}" name="單次配息(台幣)" dataDxfId="442" dataCellStyle="百分比">
      <calculatedColumnFormula>庫存管理[[#This Row],[單次配息(原幣)]]*庫存管理[[#This Row],[換算匯率(現)]]</calculatedColumnFormula>
    </tableColumn>
    <tableColumn id="46" xr3:uid="{00000000-0010-0000-1100-00002E000000}" name="幣別" dataDxfId="441" dataCellStyle="百分比">
      <calculatedColumnFormula>IF(庫存管理[[#This Row],[商品代號]]&lt;&gt;"",IFERROR(VLOOKUP($I7,'銀行-TSS'!B:C,2,FALSE),""),"")</calculatedColumnFormula>
    </tableColumn>
    <tableColumn id="54" xr3:uid="{00000000-0010-0000-1100-000036000000}" name="對應編碼" dataDxfId="440" dataCellStyle="百分比">
      <calculatedColumnFormula>VLOOKUP(庫存管理[[#This Row],[幣別]],$B$37:$C$43,2,FALSE)</calculatedColumnFormula>
    </tableColumn>
    <tableColumn id="55" xr3:uid="{00000000-0010-0000-1100-000037000000}" name="換算匯率(買)" dataDxfId="439" dataCellStyle="百分比">
      <calculatedColumnFormula>CHOOSE(庫存管理[[#This Row],[對應編碼]],$D$37,$D$38,$D$39,$D$40,$D$41,$D$42,$D$43)</calculatedColumnFormula>
    </tableColumn>
    <tableColumn id="63" xr3:uid="{00000000-0010-0000-1100-00003F000000}" name="換算匯率(現)" dataDxfId="438" dataCellStyle="百分比">
      <calculatedColumnFormula>IF(庫存管理[[#This Row],[商品代號]]="",0,CHOOSE(庫存管理[[#This Row],[對應編碼]],$E$37,$E$38,$E$39,$E$40,$E$41,$E$42,$E$43))</calculatedColumnFormula>
    </tableColumn>
    <tableColumn id="70" xr3:uid="{00000000-0010-0000-1100-000046000000}" name="投資面額" dataDxfId="437" dataCellStyle="千分位">
      <calculatedColumnFormula>IF(庫存管理[[#This Row],[檢測]]=TRUE,庫存管理[[#This Row],[投入面額]]*庫存管理[[#This Row],[換算匯率(現)]],0)</calculatedColumnFormula>
    </tableColumn>
    <tableColumn id="71" xr3:uid="{00000000-0010-0000-1100-000047000000}" name="庫存成本(買)" dataDxfId="436" dataCellStyle="千分位">
      <calculatedColumnFormula>IF(庫存管理[[#This Row],[檢測]]=TRUE,IFERROR(庫存管理[[#This Row],[持有成本(含前手息)]]*庫存管理[[#This Row],[換算匯率(買)]],0),0)</calculatedColumnFormula>
    </tableColumn>
    <tableColumn id="50" xr3:uid="{00000000-0010-0000-1100-000032000000}" name="淨投入成本(買)" dataDxfId="435" dataCellStyle="千分位">
      <calculatedColumnFormula>IF(庫存管理[[#This Row],[檢測]]=TRUE,庫存管理[[#This Row],[持有成本(不含前手息)]]*庫存管理[[#This Row],[換算匯率(買)]],0)</calculatedColumnFormula>
    </tableColumn>
    <tableColumn id="64" xr3:uid="{00000000-0010-0000-1100-000040000000}" name="參考贖回金額含前手息(現)" dataDxfId="434" dataCellStyle="千分位">
      <calculatedColumnFormula>IF(庫存管理[[#This Row],[檢測]]=TRUE,庫存管理[[#This Row],[部位現值(含前手息)]]*庫存管理[[#This Row],[換算匯率(現)]],0)</calculatedColumnFormula>
    </tableColumn>
    <tableColumn id="3" xr3:uid="{00000000-0010-0000-1100-000003000000}" name="參考贖回金額(現)" dataDxfId="433" dataCellStyle="千分位">
      <calculatedColumnFormula>IF(庫存管理[[#This Row],[檢測]]=TRUE,庫存管理[[#This Row],[部位現值(不含前手息)]]*庫存管理[[#This Row],[換算匯率(現)]],0)</calculatedColumnFormula>
    </tableColumn>
    <tableColumn id="51" xr3:uid="{00000000-0010-0000-1100-000033000000}" name="累計利息(台)" dataDxfId="432" dataCellStyle="千分位">
      <calculatedColumnFormula>IF(庫存管理[[#This Row],[檢測]]=TRUE,IF(MF=2,庫存管理[[#This Row],[累計配息]]*庫存管理[[#This Row],[換算匯率(現)]],庫存管理[[#This Row],[已實現配息(原幣)]]*庫存管理[[#This Row],[換算匯率(現)]]),0)</calculatedColumnFormula>
    </tableColumn>
    <tableColumn id="72" xr3:uid="{00000000-0010-0000-1100-000048000000}" name="資本貢獻(台)" dataDxfId="431" dataCellStyle="千分位">
      <calculatedColumnFormula>庫存管理[[#This Row],[資本利損]]*庫存管理[[#This Row],[換算匯率(現)]]</calculatedColumnFormula>
    </tableColumn>
    <tableColumn id="73" xr3:uid="{00000000-0010-0000-1100-000049000000}" name="合計" dataDxfId="430" dataCellStyle="千分位">
      <calculatedColumnFormula>庫存管理[[#This Row],[累計利息(台)]]+庫存管理[[#This Row],[資本貢獻(台)]]</calculatedColumnFormula>
    </tableColumn>
    <tableColumn id="60" xr3:uid="{00000000-0010-0000-1100-00003C000000}" name="配息報酬率" dataDxfId="429" dataCellStyle="百分比">
      <calculatedColumnFormula>IF(庫存管理[[#This Row],[檢測]]=TRUE,IFERROR(庫存管理[[#This Row],[配息報酬]],0),0)</calculatedColumnFormula>
    </tableColumn>
    <tableColumn id="62" xr3:uid="{00000000-0010-0000-1100-00003E000000}" name="資本報酬率" dataDxfId="428" dataCellStyle="百分比">
      <calculatedColumnFormula>IF(庫存管理[[#This Row],[檢測]]=TRUE,庫存管理[[#This Row],[資本報酬]],0)</calculatedColumnFormula>
    </tableColumn>
    <tableColumn id="67" xr3:uid="{00000000-0010-0000-1100-000043000000}" name="匯率報酬率" dataDxfId="427" dataCellStyle="百分比">
      <calculatedColumnFormula>IF(S7=TRUE,IFERROR(庫存管理[[#This Row],[換匯總報酬率]]-(庫存管理[[#This Row],[配息報酬率]]+庫存管理[[#This Row],[資本報酬率]]),0),0)</calculatedColumnFormula>
    </tableColumn>
    <tableColumn id="61" xr3:uid="{00000000-0010-0000-1100-00003D000000}" name="換匯總報酬率" dataDxfId="426" dataCellStyle="百分比">
      <calculatedColumnFormula>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calculatedColumnFormula>
    </tableColumn>
    <tableColumn id="56" xr3:uid="{00000000-0010-0000-1100-000038000000}" name="投入佔比" dataDxfId="425" dataCellStyle="百分比">
      <calculatedColumnFormula>IF(AND(庫存管理[[#This Row],[檢測]]=TRUE,開關=TRUE),IF(MF=2,IFERROR(BW7/$BW$1,0),IFERROR(BV7/$BV$1,0)),0)</calculatedColumnFormula>
    </tableColumn>
    <tableColumn id="57" xr3:uid="{00000000-0010-0000-1100-000039000000}" name="現值佔比" dataDxfId="424" dataCellStyle="百分比">
      <calculatedColumnFormula>IF(庫存管理[[#This Row],[檢測]]=TRUE,IF(MF=2,IFERROR(BY7/$BY$1,0),IFERROR(BX7/$BX$1,0)),0)</calculatedColumnFormula>
    </tableColumn>
    <tableColumn id="65" xr3:uid="{00000000-0010-0000-1100-000041000000}" name="投入參考YTM" dataDxfId="423" dataCellStyle="百分比">
      <calculatedColumnFormula>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calculatedColumnFormula>
    </tableColumn>
    <tableColumn id="68" xr3:uid="{00000000-0010-0000-1100-000044000000}" name="投入時的剩餘年期" dataDxfId="422" dataCellStyle="百分比">
      <calculatedColumnFormula>DATEDIF(庫存管理[[#This Row],[買進例外調整]],庫存管理[[#This Row],[到期日]],"d")/365.25</calculatedColumnFormula>
    </tableColumn>
    <tableColumn id="74" xr3:uid="{00000000-0010-0000-1100-00004A000000}" name="最近的上一票息日" dataDxfId="421" dataCellStyle="百分比">
      <calculatedColumnFormula>DATEVALUE(VLOOKUP(庫存管理[[#This Row],[商品代號]],bond!B:AF,31,FALSE))</calculatedColumnFormula>
    </tableColumn>
    <tableColumn id="75" xr3:uid="{00000000-0010-0000-1100-00004B000000}" name="買進時的下個配息日" dataDxfId="420" dataCellStyle="百分比">
      <calculatedColumnFormula>IF(庫存管理[[#This Row],[買下配(國調)]]&lt;庫存管理[[#This Row],[第一票息日]],庫存管理[[#This Row],[第一票息日]],庫存管理[[#This Row],[買下配(國調)]])</calculatedColumnFormula>
    </tableColumn>
    <tableColumn id="125" xr3:uid="{00000000-0010-0000-1100-00007D000000}" name="買下配(國調)" dataDxfId="419" dataCellStyle="百分比">
      <calculatedColumnFormula>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calculatedColumnFormula>
    </tableColumn>
    <tableColumn id="76" xr3:uid="{00000000-0010-0000-1100-00004C000000}" name="經過幾次配息" dataDxfId="418" dataCellStyle="百分比">
      <calculatedColumnFormula>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calculatedColumnFormula>
    </tableColumn>
    <tableColumn id="77" xr3:uid="{00000000-0010-0000-1100-00004D000000}" name="已實現配息(原幣)" dataDxfId="417" dataCellStyle="百分比">
      <calculatedColumnFormula>IF(庫存管理[[#This Row],[商品代號]]="XFM90",0,IFERROR(庫存管理[[#This Row],[單次配息(原幣)]]*庫存管理[[#This Row],[經過幾次配息]],0))</calculatedColumnFormula>
    </tableColumn>
    <tableColumn id="124" xr3:uid="{00000000-0010-0000-1100-00007C000000}" name="ISIN" dataDxfId="416" dataCellStyle="百分比">
      <calculatedColumnFormula>VLOOKUP(庫存管理[[#This Row],[商品代號]],bond!B:F,5,FALSE)</calculatedColumnFormula>
    </tableColumn>
    <tableColumn id="66" xr3:uid="{00000000-0010-0000-1100-000042000000}" name="起息日" dataDxfId="415" dataCellStyle="百分比">
      <calculatedColumnFormula>IFERROR(VLOOKUP(庫存管理[[#This Row],[ISIN]],'7_發行日例外'!A:C,3,FALSE),IFERROR(DATEVALUE(VLOOKUP(庫存管理[[#This Row],[商品代號]],bond!B:AR,43,FALSE)),""))</calculatedColumnFormula>
    </tableColumn>
    <tableColumn id="79" xr3:uid="{00000000-0010-0000-1100-00004F000000}" name="差異天數" dataDxfId="414" dataCellStyle="百分比">
      <calculatedColumnFormula>DATEDIF(庫存管理[[#This Row],[起息日]],庫存管理[[#This Row],[買進前一配息日(複算)]],"d")</calculatedColumnFormula>
    </tableColumn>
    <tableColumn id="92" xr3:uid="{00000000-0010-0000-1100-00005C000000}" name="判斷" dataDxfId="413" dataCellStyle="百分比">
      <calculatedColumnFormula>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calculatedColumnFormula>
    </tableColumn>
    <tableColumn id="99" xr3:uid="{00000000-0010-0000-1100-000063000000}" name="第一票息日" dataDxfId="412" dataCellStyle="百分比">
      <calculatedColumnFormula>IFERROR(VLOOKUP(庫存管理[[#This Row],[ISIN]],'7_發行日例外'!A:D,4,FALSE),DATEVALUE(VLOOKUP(庫存管理[[#This Row],[商品代號]],bond!B:AV,44,FALSE)))</calculatedColumnFormula>
    </tableColumn>
    <tableColumn id="100" xr3:uid="{00000000-0010-0000-1100-000064000000}" name="計算類型" dataDxfId="411" dataCellStyle="百分比">
      <calculatedColumnFormula>VLOOKUP(庫存管理[[#This Row],[商品代號]],bond!B:AU,46,FALSE)</calculatedColumnFormula>
    </tableColumn>
    <tableColumn id="80" xr3:uid="{00000000-0010-0000-1100-000050000000}" name="備註" dataDxfId="410" dataCellStyle="百分比">
      <calculatedColumnFormula>IF(庫存管理[[#This Row],[計息基礎]]=1,CHOOSE(庫存管理[[#This Row],[對應編碼]],"沒進位","","沒進位",IF(庫存管理[[#This Row],[計算類型]]="AUSTRALIA:EX-DIV","4捨五入進0.01%","沒進位"),"年/2去計算ACT","沒進位","沒進位"),"")</calculatedColumnFormula>
    </tableColumn>
    <tableColumn id="81" xr3:uid="{00000000-0010-0000-1100-000051000000}" name="應計息日數" dataDxfId="409" dataCellStyle="百分比">
      <calculatedColumnFormula>_xlfn.DAYS(庫存管理[[#This Row],[買進例外調整]],庫存管理[[#This Row],[買進前一個配息日(最終)]])</calculatedColumnFormula>
    </tableColumn>
    <tableColumn id="83" xr3:uid="{00000000-0010-0000-1100-000053000000}" name="區間日數" dataDxfId="408" dataCellStyle="百分比">
      <calculatedColumnFormula>IF(庫存管理[[#This Row],[備註]]="年/2去計算ACT",365/2,_xlfn.DAYS(庫存管理[[#This Row],[買進時的下個配息日]],庫存管理[[#This Row],[買進前一個配息日(最終)]]))</calculatedColumnFormula>
    </tableColumn>
    <tableColumn id="84" xr3:uid="{00000000-0010-0000-1100-000054000000}" name="買進時前手息" dataDxfId="407" dataCellStyle="百分比">
      <calculatedColumnFormula>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calculatedColumnFormula>
    </tableColumn>
    <tableColumn id="104" xr3:uid="{00000000-0010-0000-1100-000068000000}" name="應計息日數2" dataDxfId="406" dataCellStyle="百分比">
      <calculatedColumnFormula>_xlfn.DAYS(庫存管理[[#This Row],[交割日]],庫存管理[[#This Row],[買進前一個配息日(最終)]])</calculatedColumnFormula>
    </tableColumn>
    <tableColumn id="103" xr3:uid="{00000000-0010-0000-1100-000067000000}" name="評價時前手息" dataDxfId="405" dataCellStyle="百分比">
      <calculatedColumnFormula>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calculatedColumnFormula>
    </tableColumn>
    <tableColumn id="105" xr3:uid="{00000000-0010-0000-1100-000069000000}" name="應計息日數3" dataDxfId="404" dataCellStyle="百分比">
      <calculatedColumnFormula>_xlfn.DAYS(庫存管理[[#This Row],[交割日]],庫存管理[[#This Row],[最近的上一票息日]])</calculatedColumnFormula>
    </tableColumn>
    <tableColumn id="106" xr3:uid="{00000000-0010-0000-1100-00006A000000}" name="區間日數3" dataDxfId="403" dataCellStyle="百分比">
      <calculatedColumnFormula>IF(庫存管理[[#This Row],[備註]]="年/2去計算ACT",365/2,_xlfn.DAYS(庫存管理[[#This Row],[下一配息日]],庫存管理[[#This Row],[最近的上一票息日]]))</calculatedColumnFormula>
    </tableColumn>
    <tableColumn id="107" xr3:uid="{00000000-0010-0000-1100-00006B000000}" name="至交割日前手息" dataDxfId="402" dataCellStyle="百分比">
      <calculatedColumnFormula>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calculatedColumnFormula>
    </tableColumn>
    <tableColumn id="93" xr3:uid="{00000000-0010-0000-1100-00005D000000}" name="買進下一個配息日先減n天" dataDxfId="401" dataCellStyle="百分比">
      <calculatedColumnFormula>CL7-庫存管理[[#This Row],[ex_div_days]]</calculatedColumnFormula>
    </tableColumn>
    <tableColumn id="101" xr3:uid="{00000000-0010-0000-1100-000065000000}" name="ex_div_days" dataDxfId="400" dataCellStyle="百分比">
      <calculatedColumnFormula>IF(VLOOKUP(庫存管理[[#This Row],[商品代號]],bond!B:AT,45,FALSE)="#N/A Field Not Applicable",0,VLOOKUP(庫存管理[[#This Row],[商品代號]],bond!B:AT,45,FALSE))</calculatedColumnFormula>
    </tableColumn>
    <tableColumn id="96" xr3:uid="{00000000-0010-0000-1100-000060000000}" name="買進日是否落入record date" dataDxfId="399" dataCellStyle="百分比">
      <calculatedColumnFormula>IF(庫存管理[[#This Row],[ex_div_days]]&lt;&gt;0,IF(AND(庫存管理[[#This Row],[買進例外調整]]-庫存管理[[#This Row],[買進下一個配息日先減n天]]&gt;=0,庫存管理[[#This Row],[買進時的下個配息日]]-庫存管理[[#This Row],[買進例外調整]]&gt;0),1,0),0)</calculatedColumnFormula>
    </tableColumn>
    <tableColumn id="97" xr3:uid="{00000000-0010-0000-1100-000061000000}" name="record date制度前手息" dataDxfId="398" dataCellStyle="百分比">
      <calculatedColumnFormula>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calculatedColumnFormula>
    </tableColumn>
    <tableColumn id="112" xr3:uid="{00000000-0010-0000-1100-000070000000}" name="交割下個配息日先減n天" dataDxfId="397" dataCellStyle="百分比">
      <calculatedColumnFormula>庫存管理[[#This Row],[下一配息日]]-庫存管理[[#This Row],[ex_div_days]]</calculatedColumnFormula>
    </tableColumn>
    <tableColumn id="113" xr3:uid="{00000000-0010-0000-1100-000071000000}" name="交割日是否落入record date" dataDxfId="396" dataCellStyle="百分比">
      <calculatedColumnFormula>IF(庫存管理[[#This Row],[ex_div_days]]&lt;&gt;0,IF(AND(庫存管理[[#This Row],[交割日]]-庫存管理[[#This Row],[交割下個配息日先減n天]]&gt;=0,庫存管理[[#This Row],[下一配息日]]-庫存管理[[#This Row],[交割日]]&gt;0),1,0),0)</calculatedColumnFormula>
    </tableColumn>
    <tableColumn id="114" xr3:uid="{00000000-0010-0000-1100-000072000000}" name="交_record date制度前手息" dataDxfId="395" dataCellStyle="百分比">
      <calculatedColumnFormula>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calculatedColumnFormula>
    </tableColumn>
    <tableColumn id="89" xr3:uid="{00000000-0010-0000-1100-000059000000}" name="MOD" dataDxfId="394" dataCellStyle="百分比">
      <calculatedColumnFormula>IFERROR(VLOOKUP(庫存管理[[#This Row],[商品代號]],bond!B:X,21,FALSE),0)</calculatedColumnFormula>
    </tableColumn>
    <tableColumn id="90" xr3:uid="{00000000-0010-0000-1100-00005A000000}" name="clean申購價" dataDxfId="393" dataCellStyle="百分比">
      <calculatedColumnFormula>IFERROR(VLOOKUP(I7,bond!B:J,9,FALSE),0)</calculatedColumnFormula>
    </tableColumn>
    <tableColumn id="86" xr3:uid="{00000000-0010-0000-1100-000056000000}" name="換券庫存佔比" dataDxfId="392" dataCellStyle="百分比">
      <calculatedColumnFormula>IF(AND(開關=TRUE,庫存管理[[#This Row],[投組檢測]]=TRUE),IF(MF=2,IFERROR(BW7/$BW$3,0),IFERROR(BV7/$BV$3,0)),0)</calculatedColumnFormula>
    </tableColumn>
    <tableColumn id="87" xr3:uid="{00000000-0010-0000-1100-000057000000}" name="增值潛力" dataDxfId="391" dataCellStyle="百分比">
      <calculatedColumnFormula>IFERROR(庫存管理[[#This Row],[clean申購價]]/100*庫存管理[[#This Row],[投入面額]]*庫存管理[[#This Row],[MOD]]*0.01,0)</calculatedColumnFormula>
    </tableColumn>
    <tableColumn id="123" xr3:uid="{00000000-0010-0000-1100-00007B000000}" name="單次配息" dataDxfId="390" dataCellStyle="千分位">
      <calculatedColumnFormula>IF($C$16=1,庫存管理[[#This Row],[單次配息(台幣)]],庫存管理[[#This Row],[單次配息(原幣)]])</calculatedColumnFormula>
    </tableColumn>
    <tableColumn id="88" xr3:uid="{00000000-0010-0000-1100-000058000000}" name="未來1" dataDxfId="389" dataCellStyle="千分位">
      <calculatedColumnFormula>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calculatedColumnFormula>
    </tableColumn>
    <tableColumn id="91" xr3:uid="{00000000-0010-0000-1100-00005B000000}" name="未來2" dataDxfId="388" dataCellStyle="千分位">
      <calculatedColumnFormula>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calculatedColumnFormula>
    </tableColumn>
    <tableColumn id="94" xr3:uid="{00000000-0010-0000-1100-00005E000000}" name="未來3" dataDxfId="387" dataCellStyle="千分位">
      <calculatedColumnFormula>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calculatedColumnFormula>
    </tableColumn>
    <tableColumn id="95" xr3:uid="{00000000-0010-0000-1100-00005F000000}" name="未來4" dataDxfId="386" dataCellStyle="千分位">
      <calculatedColumnFormula>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calculatedColumnFormula>
    </tableColumn>
    <tableColumn id="108" xr3:uid="{00000000-0010-0000-1100-00006C000000}" name="未來5" dataDxfId="385" dataCellStyle="千分位">
      <calculatedColumnFormula>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calculatedColumnFormula>
    </tableColumn>
    <tableColumn id="115" xr3:uid="{00000000-0010-0000-1100-000073000000}" name="未來6" dataDxfId="384" dataCellStyle="千分位">
      <calculatedColumnFormula>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calculatedColumnFormula>
    </tableColumn>
    <tableColumn id="116" xr3:uid="{00000000-0010-0000-1100-000074000000}" name="未來7" dataDxfId="383" dataCellStyle="千分位">
      <calculatedColumnFormula>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calculatedColumnFormula>
    </tableColumn>
    <tableColumn id="117" xr3:uid="{00000000-0010-0000-1100-000075000000}" name="未來8" dataDxfId="382" dataCellStyle="千分位">
      <calculatedColumnFormula>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calculatedColumnFormula>
    </tableColumn>
    <tableColumn id="118" xr3:uid="{00000000-0010-0000-1100-000076000000}" name="未來9" dataDxfId="381" dataCellStyle="千分位">
      <calculatedColumnFormula>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calculatedColumnFormula>
    </tableColumn>
    <tableColumn id="120" xr3:uid="{00000000-0010-0000-1100-000078000000}" name="未來10" dataDxfId="380" dataCellStyle="千分位">
      <calculatedColumnFormula>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calculatedColumnFormula>
    </tableColumn>
    <tableColumn id="121" xr3:uid="{00000000-0010-0000-1100-000079000000}" name="未來11" dataDxfId="379" dataCellStyle="千分位">
      <calculatedColumnFormula>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calculatedColumnFormula>
    </tableColumn>
    <tableColumn id="122" xr3:uid="{00000000-0010-0000-1100-00007A000000}" name="未來12" dataDxfId="378" dataCellStyle="千分位">
      <calculatedColumnFormula>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calculatedColumnFormula>
    </tableColumn>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12000000}" name="庫存Pro" displayName="庫存Pro" ref="H6:DI36" totalsRowShown="0" headerRowDxfId="377" dataDxfId="376" dataCellStyle="百分比">
  <tableColumns count="106">
    <tableColumn id="1" xr3:uid="{00000000-0010-0000-1200-000001000000}" name="商品代號" dataDxfId="375" dataCellStyle="一般 2">
      <calculatedColumnFormula>IF(開關=TRUE,'庫存管理(Pro)'!B7,0)</calculatedColumnFormula>
    </tableColumn>
    <tableColumn id="2" xr3:uid="{00000000-0010-0000-1200-000002000000}" name="買價" dataDxfId="374">
      <calculatedColumnFormula>VLOOKUP(H7,bond!B:L,11,FALSE)</calculatedColumnFormula>
    </tableColumn>
    <tableColumn id="14" xr3:uid="{00000000-0010-0000-1200-00000E000000}" name="買價(含息)" dataDxfId="373">
      <calculatedColumnFormula>庫存Pro[[#This Row],[買價]]+VLOOKUP(庫存Pro[[#This Row],[商品代號]],bond!B:K,10,FALSE)</calculatedColumnFormula>
    </tableColumn>
    <tableColumn id="4" xr3:uid="{00000000-0010-0000-1200-000004000000}" name="信用評等(M/S/F)" dataDxfId="372">
      <calculatedColumnFormula>VLOOKUP(H7,'銀行-TSS'!B:E,4,FALSE)</calculatedColumnFormula>
    </tableColumn>
    <tableColumn id="5" xr3:uid="{00000000-0010-0000-1200-000005000000}" name="距到期年" dataDxfId="371">
      <calculatedColumnFormula>VLOOKUP($H7,'銀行-TSS'!B:G,6,FALSE)</calculatedColumnFormula>
    </tableColumn>
    <tableColumn id="6" xr3:uid="{00000000-0010-0000-1200-000006000000}" name="到期日" dataDxfId="370">
      <calculatedColumnFormula>IFERROR(DATEVALUE(VLOOKUP($H7,'銀行-TSS'!B:F,5,FALSE)),VLOOKUP($H7,'銀行-TSS'!B:F,5,FALSE))</calculatedColumnFormula>
    </tableColumn>
    <tableColumn id="7" xr3:uid="{00000000-0010-0000-1200-000007000000}" name="票面利率" dataDxfId="369" dataCellStyle="百分比">
      <calculatedColumnFormula>VLOOKUP($H7,'銀行-TSS'!B:H,7,FALSE)</calculatedColumnFormula>
    </tableColumn>
    <tableColumn id="58" xr3:uid="{00000000-0010-0000-1200-00003A000000}" name="現金殖利率" dataDxfId="368" dataCellStyle="百分比">
      <calculatedColumnFormula>庫存Pro[[#This Row],[票面利率]]/庫存Pro[[#This Row],[成本價(不含前手息)]]*100</calculatedColumnFormula>
    </tableColumn>
    <tableColumn id="8" xr3:uid="{00000000-0010-0000-1200-000008000000}" name="配息頻率" dataDxfId="367" dataCellStyle="百分比">
      <calculatedColumnFormula>IFERROR(VLOOKUP($H7,'銀行-TSS'!B:I,8,FALSE),"")</calculatedColumnFormula>
    </tableColumn>
    <tableColumn id="9" xr3:uid="{00000000-0010-0000-1200-000009000000}" name="下一配息日" dataDxfId="366">
      <calculatedColumnFormula>_xlfn.IFNA(IFERROR(DATEVALUE(VLOOKUP($H7,'銀行-TSS'!B:P,15,FALSE)),VLOOKUP($H7,'銀行-TSS'!B:P,15,FALSE)),"")</calculatedColumnFormula>
    </tableColumn>
    <tableColumn id="27" xr3:uid="{00000000-0010-0000-1200-00001B000000}" name="檢測" dataDxfId="365">
      <calculatedColumnFormula>IF(AND('2_Check_code'!C28,庫存Pro[[#This Row],[投入面額]]&gt;0),TRUE,FALSE)</calculatedColumnFormula>
    </tableColumn>
    <tableColumn id="21" xr3:uid="{00000000-0010-0000-1200-000015000000}" name="買進日" dataDxfId="364">
      <calculatedColumnFormula>'庫存管理(Pro)'!AE7</calculatedColumnFormula>
    </tableColumn>
    <tableColumn id="52" xr3:uid="{00000000-0010-0000-1200-000034000000}" name="買進日(T+2/公債T+1)" dataDxfId="363">
      <calculatedColumnFormula>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calculatedColumnFormula>
    </tableColumn>
    <tableColumn id="10" xr3:uid="{00000000-0010-0000-1200-00000A000000}" name="買進例外調整" dataDxfId="362">
      <calculatedColumnFormula>IFERROR(WORKDAY(庫存Pro[[#This Row],[買進日]],VLOOKUP(庫存Pro[[#This Row],[商品代號]],'1_重設數據'!R:S,2,FALSE),休USD),庫存Pro[[#This Row],[買進日(T+2/公債T+1)]])</calculatedColumnFormula>
    </tableColumn>
    <tableColumn id="11" xr3:uid="{00000000-0010-0000-1200-00000B000000}" name="投入面額" dataDxfId="361" dataCellStyle="千分位 3">
      <calculatedColumnFormula>'庫存管理(Pro)'!J7</calculatedColumnFormula>
    </tableColumn>
    <tableColumn id="12" xr3:uid="{00000000-0010-0000-1200-00000C000000}" name="持有成本(含前手息)" dataDxfId="360" dataCellStyle="千分位 3">
      <calculatedColumnFormula>'庫存管理(Pro)'!K7</calculatedColumnFormula>
    </tableColumn>
    <tableColumn id="13" xr3:uid="{00000000-0010-0000-1200-00000D000000}" name="持有成本(不含前手息)" dataDxfId="359" dataCellStyle="千分位 3">
      <calculatedColumnFormula>ROUND(W7-AL7,2)</calculatedColumnFormula>
    </tableColumn>
    <tableColumn id="49" xr3:uid="{00000000-0010-0000-1200-000031000000}" name="部位現值(含前手息)" dataDxfId="358" dataCellStyle="千分位 3">
      <calculatedColumnFormula>ROUND(J7*V7/100,2)</calculatedColumnFormula>
    </tableColumn>
    <tableColumn id="26" xr3:uid="{00000000-0010-0000-1200-00001A000000}" name="部位現值(不含前手息)" dataDxfId="357" dataCellStyle="千分位">
      <calculatedColumnFormula>ROUND(I7*V7/100,2)</calculatedColumnFormula>
    </tableColumn>
    <tableColumn id="48" xr3:uid="{00000000-0010-0000-1200-000030000000}" name="資本利損" dataDxfId="356" dataCellStyle="百分比">
      <calculatedColumnFormula>IF(MF_Pro=2,庫存Pro[[#This Row],[部位現值(不含前手息)]]-庫存Pro[[#This Row],[持有成本(不含前手息)]],庫存Pro[[#This Row],[部位現值(含前手息)]]-庫存Pro[[#This Row],[持有成本(含前手息)]])</calculatedColumnFormula>
    </tableColumn>
    <tableColumn id="25" xr3:uid="{00000000-0010-0000-1200-000019000000}" name="資本報酬" dataDxfId="355" dataCellStyle="百分比">
      <calculatedColumnFormula>IF(MF_Pro=2,IFERROR(庫存Pro[[#This Row],[資本利損]]/庫存Pro[[#This Row],[持有成本(不含前手息)]],0),IFERROR(庫存Pro[[#This Row],[資本利損]]/庫存Pro[[#This Row],[持有成本(含前手息)]],0))</calculatedColumnFormula>
    </tableColumn>
    <tableColumn id="69" xr3:uid="{00000000-0010-0000-1200-000045000000}" name="成本價(不含前手息)" dataDxfId="354" dataCellStyle="百分比">
      <calculatedColumnFormula>庫存Pro[[#This Row],[持有成本(不含前手息)]]/庫存Pro[[#This Row],[投入面額]]*100</calculatedColumnFormula>
    </tableColumn>
    <tableColumn id="53" xr3:uid="{00000000-0010-0000-1200-000035000000}" name="名稱" dataDxfId="353" dataCellStyle="百分比">
      <calculatedColumnFormula>VLOOKUP(庫存Pro[[#This Row],[商品代號]],bond!B:AA,26,FALSE)</calculatedColumnFormula>
    </tableColumn>
    <tableColumn id="45" xr3:uid="{00000000-0010-0000-1200-00002D000000}" name="產業" dataDxfId="352" dataCellStyle="百分比">
      <calculatedColumnFormula>IFERROR(VLOOKUP($H7,'銀行-TSS'!B:Q,16,FALSE),"")</calculatedColumnFormula>
    </tableColumn>
    <tableColumn id="47" xr3:uid="{00000000-0010-0000-1200-00002F000000}" name="年度配息" dataDxfId="351">
      <calculatedColumnFormula>N7*V7</calculatedColumnFormula>
    </tableColumn>
    <tableColumn id="15" xr3:uid="{00000000-0010-0000-1200-00000F000000}" name="買進前一個配息日(最終)" dataDxfId="350">
      <calculatedColumnFormula>IF(OR(庫存Pro[[#This Row],[起息日]]&gt;庫存Pro[[#This Row],[買進前一配息日(複算)]],庫存Pro[[#This Row],[判斷]]=TRUE),庫存Pro[[#This Row],[起息日]],庫存Pro[[#This Row],[買進前一配息日(複算)]])</calculatedColumnFormula>
    </tableColumn>
    <tableColumn id="16" xr3:uid="{00000000-0010-0000-1200-000010000000}" name="day count" dataDxfId="349" dataCellStyle="千分位 3">
      <calculatedColumnFormula>VLOOKUP(H7,bond!B:AP,41,FALSE)</calculatedColumnFormula>
    </tableColumn>
    <tableColumn id="17" xr3:uid="{00000000-0010-0000-1200-000011000000}" name="計息基礎" dataDxfId="348" dataCellStyle="千分位 3">
      <calculatedColumnFormula>VLOOKUP(AH7,$B$7:$C$13,2,FALSE)</calculatedColumnFormula>
    </tableColumn>
    <tableColumn id="18" xr3:uid="{00000000-0010-0000-1200-000012000000}" name="計算前手息(複算)" dataDxfId="347" dataCellStyle="千分位 3">
      <calculatedColumnFormula>IFERROR(IF(庫存Pro[[#This Row],[買進日是否落入record date]]=1,庫存Pro[[#This Row],[record date制度前手息]],庫存Pro[[#This Row],[前手息(初算)]]),0)</calculatedColumnFormula>
    </tableColumn>
    <tableColumn id="103" xr3:uid="{00000000-0010-0000-1200-000067000000}" name="前手息(初算)" dataDxfId="346" dataCellStyle="千分位 3">
      <calculatedColumnFormula>IF(OR(庫存Pro[[#This Row],[買進例外調整]]&lt;庫存Pro[[#This Row],[起息日]],庫存Pro[[#This Row],[買進例外調整]]&gt;庫存Pro[[#This Row],[到期日]]),0,IF(庫存Pro[[#This Row],[備註]]&lt;&gt;"",庫存Pro[[#This Row],[買進時前手息]],IFERROR(ROUND(ACCRINT(AG7,AG7,U7,N7,100,P7,AI7,TRUE),4),0)))</calculatedColumnFormula>
    </tableColumn>
    <tableColumn id="19" xr3:uid="{00000000-0010-0000-1200-000013000000}" name="前手息" dataDxfId="345" dataCellStyle="千分位 3">
      <calculatedColumnFormula>ROUND(AJ7*V7/100,2)</calculatedColumnFormula>
    </tableColumn>
    <tableColumn id="20" xr3:uid="{00000000-0010-0000-1200-000014000000}" name="交割日" dataDxfId="344">
      <calculatedColumnFormula>DATEVALUE(VLOOKUP(H7,bond!B:I,7,FALSE))</calculatedColumnFormula>
    </tableColumn>
    <tableColumn id="108" xr3:uid="{00000000-0010-0000-1200-00006C000000}" name="買進後不完整計息" dataDxfId="343" dataCellStyle="千分位 3">
      <calculatedColumnFormula>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calculatedColumnFormula>
    </tableColumn>
    <tableColumn id="109" xr3:uid="{00000000-0010-0000-1200-00006D000000}" name="計算交割前手息(複算)" dataDxfId="342" dataCellStyle="千分位 3">
      <calculatedColumnFormula>IFERROR(IF(庫存Pro[[#This Row],[交割日是否落入record date]]=1,庫存Pro[[#This Row],[交_record date制度前手息]],庫存Pro[[#This Row],[計算交割前手息(初算)]]),0)</calculatedColumnFormula>
    </tableColumn>
    <tableColumn id="110" xr3:uid="{00000000-0010-0000-1200-00006E000000}" name="計算交割前手息(初算)" dataDxfId="341" dataCellStyle="千分位 3">
      <calculatedColumnFormula>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calculatedColumnFormula>
    </tableColumn>
    <tableColumn id="111" xr3:uid="{00000000-0010-0000-1200-00006F000000}" name="累計前手息" dataDxfId="340" dataCellStyle="千分位 3">
      <calculatedColumnFormula>IF(庫存Pro[[#This Row],[配息頻率]]=0,0,(100*庫存Pro[[#This Row],[票面利率]]/庫存Pro[[#This Row],[配息頻率]])*庫存Pro[[#This Row],[經過幾次配息]]+庫存Pro[[#This Row],[計算交割前手息(複算)]]-庫存Pro[[#This Row],[計算前手息(複算)]])</calculatedColumnFormula>
    </tableColumn>
    <tableColumn id="22" xr3:uid="{00000000-0010-0000-1200-000016000000}" name="累計配息" dataDxfId="339" dataCellStyle="千分位">
      <calculatedColumnFormula>IF(庫存Pro[[#This Row],[商品代號]]="XFM90",0,ROUND(AQ7*V7/100,2))</calculatedColumnFormula>
    </tableColumn>
    <tableColumn id="24" xr3:uid="{00000000-0010-0000-1200-000018000000}" name="配息報酬" dataDxfId="338" dataCellStyle="百分比">
      <calculatedColumnFormula>IF(MF_Pro=2,IFERROR(庫存Pro[[#This Row],[累計配息]]/庫存Pro[[#This Row],[持有成本(不含前手息)]],0),IFERROR(庫存Pro[[#This Row],[已實現配息(原幣)]]/庫存Pro[[#This Row],[持有成本(含前手息)]],0))</calculatedColumnFormula>
    </tableColumn>
    <tableColumn id="43" xr3:uid="{00000000-0010-0000-1200-00002B000000}" name="合計收益" dataDxfId="337" dataCellStyle="千分位">
      <calculatedColumnFormula>IF(MF_Pro=2,庫存Pro[[#This Row],[資本利損]]+庫存Pro[[#This Row],[累計配息]],庫存Pro[[#This Row],[資本利損]]+庫存Pro[[#This Row],[已實現配息(原幣)]])</calculatedColumnFormula>
    </tableColumn>
    <tableColumn id="44" xr3:uid="{00000000-0010-0000-1200-00002C000000}" name="總報酬" dataDxfId="336" dataCellStyle="千分位">
      <calculatedColumnFormula>IF(MF_Pro=2,IFERROR(庫存Pro[[#This Row],[合計收益]]/庫存Pro[[#This Row],[持有成本(不含前手息)]],0),IFERROR(庫存Pro[[#This Row],[合計收益]]/庫存Pro[[#This Row],[持有成本(含前手息)]],0))</calculatedColumnFormula>
    </tableColumn>
    <tableColumn id="28" xr3:uid="{00000000-0010-0000-1200-00001C000000}" name="第一個配息月" dataDxfId="335" dataCellStyle="百分比">
      <calculatedColumnFormula>IF(P7=0,0,IF(MOD(MONTH(Q7),12/P7)=0,12/P7,MOD(MONTH(Q7),12/P7)))</calculatedColumnFormula>
    </tableColumn>
    <tableColumn id="29" xr3:uid="{00000000-0010-0000-1200-00001D000000}" name="第二個配息月" dataDxfId="334" dataCellStyle="百分比">
      <calculatedColumnFormula>IF(P7&gt;=2,AV7+12/P7,0)</calculatedColumnFormula>
    </tableColumn>
    <tableColumn id="30" xr3:uid="{00000000-0010-0000-1200-00001E000000}" name="第三個配息月" dataDxfId="333" dataCellStyle="百分比">
      <calculatedColumnFormula>IF(P7=4,AW7+12/P7,0)</calculatedColumnFormula>
    </tableColumn>
    <tableColumn id="31" xr3:uid="{00000000-0010-0000-1200-00001F000000}" name="第四個配息月" dataDxfId="332" dataCellStyle="百分比">
      <calculatedColumnFormula>IF(P7=4,AX7+12/P7,0)</calculatedColumnFormula>
    </tableColumn>
    <tableColumn id="80" xr3:uid="{00000000-0010-0000-1200-000050000000}" name="買進前一配息日(複算)" dataDxfId="331" dataCellStyle="百分比">
      <calculatedColumnFormula>IF(AND(庫存Pro[[#This Row],[名稱]]="美國國庫債券",DAY(庫存Pro[[#This Row],[買進前一配息日(初算)]])&gt;=28),EOMONTH(庫存Pro[[#This Row],[買進前一配息日(初算)]],0),庫存Pro[[#This Row],[買進前一配息日(初算)]])</calculatedColumnFormula>
    </tableColumn>
    <tableColumn id="74" xr3:uid="{00000000-0010-0000-1200-00004A000000}" name="買進前一配息日(初算)" dataDxfId="330" dataCellStyle="百分比">
      <calculatedColumnFormula>INDEX(BC7:BG7,1,MATCH(MIN(BH7:BL7),BH7:BL7,0))</calculatedColumnFormula>
    </tableColumn>
    <tableColumn id="32" xr3:uid="{00000000-0010-0000-1200-000020000000}" name="買進年" dataDxfId="329" dataCellStyle="百分比">
      <calculatedColumnFormula>YEAR(U7)</calculatedColumnFormula>
    </tableColumn>
    <tableColumn id="33" xr3:uid="{00000000-0010-0000-1200-000021000000}" name="1" dataDxfId="328" dataCellStyle="百分比">
      <calculatedColumnFormula>IF(P7&gt;0,IF(MONTH(DATE(BB7,AV7,DAY(Q7)))&lt;&gt;庫存Pro[[#This Row],[第一個配息月]],DATE(BB7,AV7+1,0),DATE(BB7,AV7,DAY(Q7))),庫存Pro[[#This Row],[買進例外調整]]+100)</calculatedColumnFormula>
    </tableColumn>
    <tableColumn id="34" xr3:uid="{00000000-0010-0000-1200-000022000000}" name="2" dataDxfId="327" dataCellStyle="百分比">
      <calculatedColumnFormula>IF(AW7&lt;&gt;0,IF(MONTH(DATE(BB7,AW7,DAY(Q7)))&lt;&gt;庫存Pro[[#This Row],[第二個配息月]],DATE(BB7,AW7+1,0),DATE(BB7,AW7,DAY(Q7))),庫存Pro[[#This Row],[買進例外調整]]+100)</calculatedColumnFormula>
    </tableColumn>
    <tableColumn id="35" xr3:uid="{00000000-0010-0000-1200-000023000000}" name="3" dataDxfId="326" dataCellStyle="百分比">
      <calculatedColumnFormula>IF(AX7&lt;&gt;0,IF(MONTH(DATE(BB7,AX7,DAY(Q7)))&lt;&gt;庫存Pro[[#This Row],[第三個配息月]],DATE(BB7,AX7+1,0),DATE(BB7,AX7,DAY(Q7))),庫存Pro[[#This Row],[買進例外調整]]+100)</calculatedColumnFormula>
    </tableColumn>
    <tableColumn id="36" xr3:uid="{00000000-0010-0000-1200-000024000000}" name="4" dataDxfId="325" dataCellStyle="百分比">
      <calculatedColumnFormula>IF(AY7&lt;&gt;0,IF(MONTH(DATE(BB7,AY7,DAY(Q7)))&lt;&gt;庫存Pro[[#This Row],[第四個配息月]],DATE(BB7,AY7+1,0),DATE(BB7,AY7,DAY(Q7))),庫存Pro[[#This Row],[買進例外調整]]+100)</calculatedColumnFormula>
    </tableColumn>
    <tableColumn id="37" xr3:uid="{00000000-0010-0000-1200-000025000000}" name="5(前一年)" dataDxfId="324" dataCellStyle="百分比">
      <calculatedColumnFormula>IF(P7=1,IF(MONTH(DATE(BB7-1,AV7,DAY(Q7)))&lt;&gt;庫存Pro[[#This Row],[第一個配息月]],DATE(BB7-1,AV7+1,0),DATE(BB7-1,AV7,DAY(Q7))),IF(P7=2,IF(MONTH(DATE(BB7-1,AW7,DAY(Q7)))&lt;&gt;庫存Pro[[#This Row],[第二個配息月]],DATE(BB7-1,AW7+1,0),DATE(BB7-1,AW7,DAY(Q7))),IF(P7=4,IF(MONTH(DATE(BB7-1,AY7,DAY(Q7)))&lt;&gt;庫存Pro[[#This Row],[第四個配息月]],DATE(BB7-1,AY7+1,0),DATE(BB7-1,AY7,DAY(Q7))),庫存Pro[[#This Row],[買進例外調整]]+100)))</calculatedColumnFormula>
    </tableColumn>
    <tableColumn id="38" xr3:uid="{00000000-0010-0000-1200-000026000000}" name="A" dataDxfId="323" dataCellStyle="百分比">
      <calculatedColumnFormula>IFERROR(DATEDIF(BC7,$U7,"d"),10000)</calculatedColumnFormula>
    </tableColumn>
    <tableColumn id="39" xr3:uid="{00000000-0010-0000-1200-000027000000}" name="B" dataDxfId="322" dataCellStyle="百分比">
      <calculatedColumnFormula>IFERROR(DATEDIF(BD7,$U7,"d"),10000)</calculatedColumnFormula>
    </tableColumn>
    <tableColumn id="40" xr3:uid="{00000000-0010-0000-1200-000028000000}" name="C" dataDxfId="321" dataCellStyle="百分比">
      <calculatedColumnFormula>IFERROR(DATEDIF(BE7,$U7,"d"),10000)</calculatedColumnFormula>
    </tableColumn>
    <tableColumn id="41" xr3:uid="{00000000-0010-0000-1200-000029000000}" name="D" dataDxfId="320" dataCellStyle="百分比">
      <calculatedColumnFormula>IFERROR(DATEDIF(BF7,$U7,"d"),10000)</calculatedColumnFormula>
    </tableColumn>
    <tableColumn id="42" xr3:uid="{00000000-0010-0000-1200-00002A000000}" name="E" dataDxfId="319" dataCellStyle="百分比">
      <calculatedColumnFormula>IFERROR(DATEDIF(BG7,$U7,"d"),10000)</calculatedColumnFormula>
    </tableColumn>
    <tableColumn id="23" xr3:uid="{00000000-0010-0000-1200-000017000000}" name="單次配息(原幣)" dataDxfId="318" dataCellStyle="百分比">
      <calculatedColumnFormula>庫存Pro[[#This Row],[年度配息]]/庫存Pro[[#This Row],[配息頻率]]</calculatedColumnFormula>
    </tableColumn>
    <tableColumn id="59" xr3:uid="{00000000-0010-0000-1200-00003B000000}" name="單次配息(台幣)" dataDxfId="317" dataCellStyle="百分比">
      <calculatedColumnFormula>庫存Pro[[#This Row],[單次配息(原幣)]]*庫存Pro[[#This Row],[換算匯率(現)]]</calculatedColumnFormula>
    </tableColumn>
    <tableColumn id="46" xr3:uid="{00000000-0010-0000-1200-00002E000000}" name="幣別" dataDxfId="316" dataCellStyle="百分比"/>
    <tableColumn id="54" xr3:uid="{00000000-0010-0000-1200-000036000000}" name="對應編碼" dataDxfId="315" dataCellStyle="百分比"/>
    <tableColumn id="55" xr3:uid="{00000000-0010-0000-1200-000037000000}" name="換算匯率(買)" dataDxfId="314" dataCellStyle="百分比"/>
    <tableColumn id="63" xr3:uid="{00000000-0010-0000-1200-00003F000000}" name="換算匯率(現)" dataDxfId="313" dataCellStyle="百分比">
      <calculatedColumnFormula>CHOOSE(庫存Pro[[#This Row],[對應編碼]],$E$37,$E$38,$E$39,$E$40,$E$41,$E$42,$E$43)</calculatedColumnFormula>
    </tableColumn>
    <tableColumn id="70" xr3:uid="{00000000-0010-0000-1200-000046000000}" name="投資面額" dataDxfId="312" dataCellStyle="百分比">
      <calculatedColumnFormula>庫存Pro[[#This Row],[投入面額]]*庫存Pro[[#This Row],[換算匯率(現)]]</calculatedColumnFormula>
    </tableColumn>
    <tableColumn id="71" xr3:uid="{00000000-0010-0000-1200-000047000000}" name="庫存成本(買)" dataDxfId="311" dataCellStyle="百分比">
      <calculatedColumnFormula>庫存Pro[[#This Row],[持有成本(含前手息)]]*庫存Pro[[#This Row],[換算匯率(買)]]</calculatedColumnFormula>
    </tableColumn>
    <tableColumn id="50" xr3:uid="{00000000-0010-0000-1200-000032000000}" name="淨投入成本(買)" dataDxfId="310" dataCellStyle="百分比">
      <calculatedColumnFormula>庫存Pro[[#This Row],[持有成本(不含前手息)]]*庫存Pro[[#This Row],[換算匯率(買)]]</calculatedColumnFormula>
    </tableColumn>
    <tableColumn id="64" xr3:uid="{00000000-0010-0000-1200-000040000000}" name="參考贖回金額含前手息(現)" dataDxfId="309" dataCellStyle="百分比">
      <calculatedColumnFormula>庫存Pro[[#This Row],[部位現值(含前手息)]]*庫存Pro[[#This Row],[換算匯率(現)]]</calculatedColumnFormula>
    </tableColumn>
    <tableColumn id="3" xr3:uid="{00000000-0010-0000-1200-000003000000}" name="參考贖回金額(現)" dataDxfId="308" dataCellStyle="百分比">
      <calculatedColumnFormula>庫存Pro[[#This Row],[部位現值(不含前手息)]]*庫存Pro[[#This Row],[換算匯率(現)]]</calculatedColumnFormula>
    </tableColumn>
    <tableColumn id="51" xr3:uid="{00000000-0010-0000-1200-000033000000}" name="累計利息(台)" dataDxfId="307" dataCellStyle="百分比">
      <calculatedColumnFormula>IF(MF_Pro=2,庫存Pro[[#This Row],[累計配息]]*庫存Pro[[#This Row],[換算匯率(現)]],庫存Pro[[#This Row],[已實現配息(原幣)]]*庫存Pro[[#This Row],[換算匯率(現)]])</calculatedColumnFormula>
    </tableColumn>
    <tableColumn id="72" xr3:uid="{00000000-0010-0000-1200-000048000000}" name="資本貢獻(台)" dataDxfId="306" dataCellStyle="百分比">
      <calculatedColumnFormula>庫存Pro[[#This Row],[資本利損]]*庫存Pro[[#This Row],[換算匯率(現)]]</calculatedColumnFormula>
    </tableColumn>
    <tableColumn id="73" xr3:uid="{00000000-0010-0000-1200-000049000000}" name="合計" dataDxfId="305" dataCellStyle="百分比">
      <calculatedColumnFormula>庫存Pro[[#This Row],[累計利息(台)]]+庫存Pro[[#This Row],[資本貢獻(台)]]</calculatedColumnFormula>
    </tableColumn>
    <tableColumn id="60" xr3:uid="{00000000-0010-0000-1200-00003C000000}" name="配息報酬率" dataDxfId="304" dataCellStyle="百分比">
      <calculatedColumnFormula>IFERROR(庫存Pro[[#This Row],[配息報酬]],0)</calculatedColumnFormula>
    </tableColumn>
    <tableColumn id="62" xr3:uid="{00000000-0010-0000-1200-00003E000000}" name="資本報酬率" dataDxfId="303" dataCellStyle="百分比">
      <calculatedColumnFormula>庫存Pro[[#This Row],[資本報酬]]</calculatedColumnFormula>
    </tableColumn>
    <tableColumn id="67" xr3:uid="{00000000-0010-0000-1200-000043000000}" name="匯率報酬率" dataDxfId="302" dataCellStyle="百分比">
      <calculatedColumnFormula>IFERROR(庫存Pro[[#This Row],[換匯總報酬率]]-(庫存Pro[[#This Row],[配息報酬率]]+庫存Pro[[#This Row],[資本報酬率]]),0)</calculatedColumnFormula>
    </tableColumn>
    <tableColumn id="61" xr3:uid="{00000000-0010-0000-1200-00003D000000}" name="換匯總報酬率" dataDxfId="301" dataCellStyle="百分比">
      <calculatedColumnFormula>IF(MF_Pro=2,IFERROR((庫存Pro[[#This Row],[參考贖回金額(現)]]+庫存Pro[[#This Row],[累計利息(台)]])/庫存Pro[[#This Row],[淨投入成本(買)]]-1,0),IFERROR(((庫存Pro[[#This Row],[參考贖回金額含前手息(現)]]+庫存Pro[[#This Row],[累計利息(台)]])/庫存Pro[[#This Row],[庫存成本(買)]])-1,0))</calculatedColumnFormula>
    </tableColumn>
    <tableColumn id="56" xr3:uid="{00000000-0010-0000-1200-000038000000}" name="投入佔比" dataDxfId="300" dataCellStyle="百分比">
      <calculatedColumnFormula>IF(開關=TRUE,IF(MF_Pro=2,IFERROR(BU7/$BU$1,0),IFERROR(BT7/$BT$1,0)),0)</calculatedColumnFormula>
    </tableColumn>
    <tableColumn id="57" xr3:uid="{00000000-0010-0000-1200-000039000000}" name="現值佔比" dataDxfId="299" dataCellStyle="百分比">
      <calculatedColumnFormula>IF(MF_Pro=2,IFERROR(BW7/$BW$1,0),IFERROR(BV7/$BV$1,0))</calculatedColumnFormula>
    </tableColumn>
    <tableColumn id="65" xr3:uid="{00000000-0010-0000-1200-000041000000}" name="投入參考YTM" dataDxfId="298" dataCellStyle="百分比">
      <calculatedColumnFormula>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calculatedColumnFormula>
    </tableColumn>
    <tableColumn id="68" xr3:uid="{00000000-0010-0000-1200-000044000000}" name="投入時的剩餘年期" dataDxfId="297" dataCellStyle="百分比">
      <calculatedColumnFormula>DATEDIF(庫存Pro[[#This Row],[買進例外調整]],庫存Pro[[#This Row],[到期日]],"d")/365.25</calculatedColumnFormula>
    </tableColumn>
    <tableColumn id="66" xr3:uid="{00000000-0010-0000-1200-000042000000}" name="最近的上一票息日" dataDxfId="296" dataCellStyle="百分比">
      <calculatedColumnFormula>DATEVALUE(VLOOKUP(庫存Pro[[#This Row],[商品代號]],bond!B:AF,31,FALSE))</calculatedColumnFormula>
    </tableColumn>
    <tableColumn id="75" xr3:uid="{00000000-0010-0000-1200-00004B000000}" name="買進時的下個配息日" dataDxfId="295" dataCellStyle="百分比">
      <calculatedColumnFormula>IF(庫存Pro[[#This Row],[買下配(國調)]]&lt;庫存Pro[[#This Row],[第一票息日]],庫存Pro[[#This Row],[第一票息日]],庫存Pro[[#This Row],[買下配(國調)]])</calculatedColumnFormula>
    </tableColumn>
    <tableColumn id="86" xr3:uid="{00000000-0010-0000-1200-000056000000}" name="買下配(國調)" dataDxfId="294" dataCellStyle="百分比">
      <calculatedColumnFormula>IF(AND(庫存Pro[[#This Row],[名稱]]="美國國庫債券",DAY(庫存Pro[[#This Row],[買進前一配息日(複算)]])&gt;=28),EOMONTH(EDATE(庫存Pro[[#This Row],[買進前一配息日(複算)]],12/庫存Pro[[#This Row],[配息頻率]]),0),EDATE(庫存Pro[[#This Row],[買進前一配息日(複算)]],12/庫存Pro[[#This Row],[配息頻率]]))</calculatedColumnFormula>
    </tableColumn>
    <tableColumn id="76" xr3:uid="{00000000-0010-0000-1200-00004C000000}" name="經過幾次配息" dataDxfId="293" dataCellStyle="百分比">
      <calculatedColumnFormula>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calculatedColumnFormula>
    </tableColumn>
    <tableColumn id="77" xr3:uid="{00000000-0010-0000-1200-00004D000000}" name="已實現配息(原幣)" dataDxfId="292" dataCellStyle="百分比">
      <calculatedColumnFormula>IF(庫存Pro[[#This Row],[商品代號]]="XFM90",0,IFERROR(庫存Pro[[#This Row],[單次配息(原幣)]]*庫存Pro[[#This Row],[經過幾次配息]],0))</calculatedColumnFormula>
    </tableColumn>
    <tableColumn id="85" xr3:uid="{00000000-0010-0000-1200-000055000000}" name="ISIN" dataDxfId="291" dataCellStyle="百分比">
      <calculatedColumnFormula>VLOOKUP(庫存Pro[[#This Row],[商品代號]],bond!B:F,5,FALSE)</calculatedColumnFormula>
    </tableColumn>
    <tableColumn id="78" xr3:uid="{00000000-0010-0000-1200-00004E000000}" name="起息日" dataDxfId="290" dataCellStyle="百分比">
      <calculatedColumnFormula>IFERROR(VLOOKUP(庫存Pro[[#This Row],[ISIN]],'7_發行日例外'!A:C,3,FALSE),IFERROR(DATEVALUE(VLOOKUP(庫存Pro[[#This Row],[商品代號]],bond!B:AR,43,FALSE)),""))</calculatedColumnFormula>
    </tableColumn>
    <tableColumn id="79" xr3:uid="{00000000-0010-0000-1200-00004F000000}" name="差異天數" dataDxfId="289" dataCellStyle="百分比">
      <calculatedColumnFormula>DATEDIF(庫存Pro[[#This Row],[起息日]],庫存Pro[[#This Row],[買進前一配息日(複算)]],"d")</calculatedColumnFormula>
    </tableColumn>
    <tableColumn id="92" xr3:uid="{00000000-0010-0000-1200-00005C000000}" name="判斷" dataDxfId="288" dataCellStyle="百分比">
      <calculatedColumnFormula>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calculatedColumnFormula>
    </tableColumn>
    <tableColumn id="102" xr3:uid="{00000000-0010-0000-1200-000066000000}" name="第一票息日" dataDxfId="287" dataCellStyle="百分比">
      <calculatedColumnFormula>IFERROR(VLOOKUP(庫存Pro[[#This Row],[ISIN]],'7_發行日例外'!A:D,4,FALSE),DATEVALUE(VLOOKUP(庫存Pro[[#This Row],[商品代號]],bond!B:AV,44,FALSE)))</calculatedColumnFormula>
    </tableColumn>
    <tableColumn id="99" xr3:uid="{00000000-0010-0000-1200-000063000000}" name="計算類型" dataDxfId="286" dataCellStyle="百分比">
      <calculatedColumnFormula>VLOOKUP(庫存Pro[[#This Row],[商品代號]],bond!B:AU,46,FALSE)</calculatedColumnFormula>
    </tableColumn>
    <tableColumn id="81" xr3:uid="{00000000-0010-0000-1200-000051000000}" name="備註" dataDxfId="285" dataCellStyle="百分比">
      <calculatedColumnFormula>IF(庫存Pro[[#This Row],[計息基礎]]=1,CHOOSE(庫存Pro[[#This Row],[對應編碼]],"沒進位","","沒進位",IF(庫存Pro[[#This Row],[計算類型]]="AUSTRALIA:EX-DIV","4捨五入進0.01%","沒進位"),"年/2去計算ACT","沒進位","沒進位"),"")</calculatedColumnFormula>
    </tableColumn>
    <tableColumn id="82" xr3:uid="{00000000-0010-0000-1200-000052000000}" name="應計息日數" dataDxfId="284" dataCellStyle="百分比">
      <calculatedColumnFormula>_xlfn.DAYS(庫存Pro[[#This Row],[買進例外調整]],庫存Pro[[#This Row],[買進前一個配息日(最終)]])</calculatedColumnFormula>
    </tableColumn>
    <tableColumn id="83" xr3:uid="{00000000-0010-0000-1200-000053000000}" name="區間日數" dataDxfId="283" dataCellStyle="百分比">
      <calculatedColumnFormula>IF(庫存Pro[[#This Row],[備註]]="年/2去計算ACT",365/2,_xlfn.DAYS(庫存Pro[[#This Row],[買進時的下個配息日]],庫存Pro[[#This Row],[買進前一個配息日(最終)]]))</calculatedColumnFormula>
    </tableColumn>
    <tableColumn id="84" xr3:uid="{00000000-0010-0000-1200-000054000000}" name="買進時前手息" dataDxfId="282" dataCellStyle="百分比">
      <calculatedColumnFormula>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calculatedColumnFormula>
    </tableColumn>
    <tableColumn id="101" xr3:uid="{00000000-0010-0000-1200-000065000000}" name="應計息日數2" dataDxfId="281" dataCellStyle="百分比">
      <calculatedColumnFormula>_xlfn.DAYS(庫存Pro[[#This Row],[交割日]],庫存Pro[[#This Row],[買進前一個配息日(最終)]])</calculatedColumnFormula>
    </tableColumn>
    <tableColumn id="104" xr3:uid="{00000000-0010-0000-1200-000068000000}" name="評價時前手息" dataDxfId="280" dataCellStyle="百分比">
      <calculatedColumnFormula>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calculatedColumnFormula>
    </tableColumn>
    <tableColumn id="105" xr3:uid="{00000000-0010-0000-1200-000069000000}" name="應計息日數3" dataDxfId="279" dataCellStyle="百分比">
      <calculatedColumnFormula>_xlfn.DAYS(庫存Pro[[#This Row],[交割日]],庫存Pro[[#This Row],[最近的上一票息日]])</calculatedColumnFormula>
    </tableColumn>
    <tableColumn id="106" xr3:uid="{00000000-0010-0000-1200-00006A000000}" name="區間日數3" dataDxfId="278" dataCellStyle="百分比">
      <calculatedColumnFormula>IF(庫存Pro[[#This Row],[備註]]="年/2去計算ACT",365/2,_xlfn.DAYS(庫存Pro[[#This Row],[下一配息日]],庫存Pro[[#This Row],[最近的上一票息日]]))</calculatedColumnFormula>
    </tableColumn>
    <tableColumn id="107" xr3:uid="{00000000-0010-0000-1200-00006B000000}" name="至交割日前手息" dataDxfId="277" dataCellStyle="百分比">
      <calculatedColumnFormula>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calculatedColumnFormula>
    </tableColumn>
    <tableColumn id="93" xr3:uid="{00000000-0010-0000-1200-00005D000000}" name="買進下一個配息日先減n天" dataDxfId="276" dataCellStyle="百分比">
      <calculatedColumnFormula>CJ7-庫存Pro[[#This Row],[ex_div_days]]</calculatedColumnFormula>
    </tableColumn>
    <tableColumn id="98" xr3:uid="{00000000-0010-0000-1200-000062000000}" name="ex_div_days" dataDxfId="275" dataCellStyle="百分比">
      <calculatedColumnFormula>IF(VLOOKUP(庫存Pro[[#This Row],[商品代號]],bond!B:AT,45,FALSE)="#N/A Field Not Applicable",0,VLOOKUP(庫存Pro[[#This Row],[商品代號]],bond!B:AT,45,FALSE))</calculatedColumnFormula>
    </tableColumn>
    <tableColumn id="96" xr3:uid="{00000000-0010-0000-1200-000060000000}" name="買進日是否落入record date" dataDxfId="274" dataCellStyle="百分比">
      <calculatedColumnFormula>IF(庫存Pro[[#This Row],[ex_div_days]]&lt;&gt;0,IF(AND(庫存Pro[[#This Row],[買進例外調整]]-庫存Pro[[#This Row],[買進下一個配息日先減n天]]&gt;=0,庫存Pro[[#This Row],[買進時的下個配息日]]-庫存Pro[[#This Row],[買進例外調整]]&gt;0),1,0),0)</calculatedColumnFormula>
    </tableColumn>
    <tableColumn id="97" xr3:uid="{00000000-0010-0000-1200-000061000000}" name="record date制度前手息" dataDxfId="273" dataCellStyle="百分比">
      <calculatedColumnFormula>IF(庫存Pro[[#This Row],[對應編碼]]=4,ROUND(庫存Pro[[#This Row],[前手息(初算)]]-庫存Pro[[#This Row],[票面利率]]/庫存Pro[[#This Row],[配息頻率]]*100,3),ROUND(庫存Pro[[#This Row],[前手息(初算)]]-庫存Pro[[#This Row],[票面利率]]/庫存Pro[[#This Row],[配息頻率]]*100,4))</calculatedColumnFormula>
    </tableColumn>
    <tableColumn id="94" xr3:uid="{00000000-0010-0000-1200-00005E000000}" name="交割下個配息日先減n天" dataDxfId="272" dataCellStyle="百分比">
      <calculatedColumnFormula>庫存Pro[[#This Row],[下一配息日]]-庫存Pro[[#This Row],[ex_div_days]]</calculatedColumnFormula>
    </tableColumn>
    <tableColumn id="95" xr3:uid="{00000000-0010-0000-1200-00005F000000}" name="交割日是否落入record date" dataDxfId="271" dataCellStyle="百分比">
      <calculatedColumnFormula>IF(庫存Pro[[#This Row],[ex_div_days]]&lt;&gt;0,IF(AND(庫存Pro[[#This Row],[交割日]]-庫存Pro[[#This Row],[交割下個配息日先減n天]]&gt;=0,庫存Pro[[#This Row],[下一配息日]]-庫存Pro[[#This Row],[交割日]]&gt;0),1,0),0)</calculatedColumnFormula>
    </tableColumn>
    <tableColumn id="100" xr3:uid="{00000000-0010-0000-1200-000064000000}" name="交_record date制度前手息" dataDxfId="270" dataCellStyle="百分比">
      <calculatedColumnFormula>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calculatedColumnFormula>
    </tableColumn>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3000000}" name="表格5_5" displayName="表格5_5" ref="A13:P20" totalsRowShown="0">
  <autoFilter ref="A13:P20" xr:uid="{00000000-0009-0000-0100-000004000000}">
    <filterColumn colId="2">
      <filters>
        <filter val="1) USD"/>
      </filters>
    </filterColumn>
    <filterColumn colId="3">
      <filters>
        <filter val="a) 總報酬率"/>
      </filters>
    </filterColumn>
  </autoFilter>
  <tableColumns count="16">
    <tableColumn id="1" xr3:uid="{00000000-0010-0000-1300-000001000000}" name="匯率代碼"/>
    <tableColumn id="16" xr3:uid="{00000000-0010-0000-1300-000010000000}" name="報酬代碼"/>
    <tableColumn id="15" xr3:uid="{00000000-0010-0000-1300-00000F000000}" name="匯率索引"/>
    <tableColumn id="2" xr3:uid="{00000000-0010-0000-1300-000002000000}" name="報酬率" dataDxfId="268"/>
    <tableColumn id="3" xr3:uid="{00000000-0010-0000-1300-000003000000}" name="第1檔" dataDxfId="267"/>
    <tableColumn id="4" xr3:uid="{00000000-0010-0000-1300-000004000000}" name="第2檔" dataDxfId="266"/>
    <tableColumn id="5" xr3:uid="{00000000-0010-0000-1300-000005000000}" name="第3檔" dataDxfId="265"/>
    <tableColumn id="6" xr3:uid="{00000000-0010-0000-1300-000006000000}" name="第4檔" dataDxfId="264"/>
    <tableColumn id="7" xr3:uid="{00000000-0010-0000-1300-000007000000}" name="第5檔" dataDxfId="263"/>
    <tableColumn id="8" xr3:uid="{00000000-0010-0000-1300-000008000000}" name="第6檔" dataDxfId="262"/>
    <tableColumn id="9" xr3:uid="{00000000-0010-0000-1300-000009000000}" name="第7檔" dataDxfId="261"/>
    <tableColumn id="10" xr3:uid="{00000000-0010-0000-1300-00000A000000}" name="第8檔" dataDxfId="260"/>
    <tableColumn id="11" xr3:uid="{00000000-0010-0000-1300-00000B000000}" name="第9檔" dataDxfId="259"/>
    <tableColumn id="12" xr3:uid="{00000000-0010-0000-1300-00000C000000}" name="第10檔" dataDxfId="258"/>
    <tableColumn id="13" xr3:uid="{00000000-0010-0000-1300-00000D000000}" name="第11檔" dataDxfId="257"/>
    <tableColumn id="14" xr3:uid="{00000000-0010-0000-1300-00000E000000}" name="第12檔" dataDxfId="256"/>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14000000}" name="表格5" displayName="表格5" ref="A13:AH20" totalsRowShown="0">
  <autoFilter ref="A13:AH20" xr:uid="{00000000-0009-0000-0100-000005000000}">
    <filterColumn colId="2">
      <filters>
        <filter val="2) TWD"/>
      </filters>
    </filterColumn>
    <filterColumn colId="3">
      <filters>
        <filter val="b) 利息報酬率"/>
      </filters>
    </filterColumn>
  </autoFilter>
  <tableColumns count="34">
    <tableColumn id="1" xr3:uid="{00000000-0010-0000-1400-000001000000}" name="匯率代碼"/>
    <tableColumn id="16" xr3:uid="{00000000-0010-0000-1400-000010000000}" name="報酬代碼"/>
    <tableColumn id="15" xr3:uid="{00000000-0010-0000-1400-00000F000000}" name="匯率索引"/>
    <tableColumn id="2" xr3:uid="{00000000-0010-0000-1400-000002000000}" name="報酬率" dataDxfId="255"/>
    <tableColumn id="3" xr3:uid="{00000000-0010-0000-1400-000003000000}" name="第1檔" dataDxfId="254"/>
    <tableColumn id="4" xr3:uid="{00000000-0010-0000-1400-000004000000}" name="第2檔" dataDxfId="253"/>
    <tableColumn id="5" xr3:uid="{00000000-0010-0000-1400-000005000000}" name="第3檔" dataDxfId="252"/>
    <tableColumn id="6" xr3:uid="{00000000-0010-0000-1400-000006000000}" name="第4檔" dataDxfId="251"/>
    <tableColumn id="7" xr3:uid="{00000000-0010-0000-1400-000007000000}" name="第5檔" dataDxfId="250"/>
    <tableColumn id="8" xr3:uid="{00000000-0010-0000-1400-000008000000}" name="第6檔" dataDxfId="249"/>
    <tableColumn id="9" xr3:uid="{00000000-0010-0000-1400-000009000000}" name="第7檔" dataDxfId="248"/>
    <tableColumn id="10" xr3:uid="{00000000-0010-0000-1400-00000A000000}" name="第8檔" dataDxfId="247"/>
    <tableColumn id="11" xr3:uid="{00000000-0010-0000-1400-00000B000000}" name="第9檔" dataDxfId="246"/>
    <tableColumn id="12" xr3:uid="{00000000-0010-0000-1400-00000C000000}" name="第10檔" dataDxfId="245"/>
    <tableColumn id="13" xr3:uid="{00000000-0010-0000-1400-00000D000000}" name="第11檔" dataDxfId="244"/>
    <tableColumn id="14" xr3:uid="{00000000-0010-0000-1400-00000E000000}" name="第12檔" dataDxfId="243"/>
    <tableColumn id="17" xr3:uid="{00000000-0010-0000-1400-000011000000}" name="第13檔" dataDxfId="242">
      <calculatedColumnFormula>'Tssco-bond portfolio(Pro)'!$AB19*100</calculatedColumnFormula>
    </tableColumn>
    <tableColumn id="18" xr3:uid="{00000000-0010-0000-1400-000012000000}" name="第14檔" dataDxfId="241">
      <calculatedColumnFormula>'Tssco-bond portfolio(Pro)'!$AB20*100</calculatedColumnFormula>
    </tableColumn>
    <tableColumn id="19" xr3:uid="{00000000-0010-0000-1400-000013000000}" name="第15檔" dataDxfId="240">
      <calculatedColumnFormula>'Tssco-bond portfolio(Pro)'!$AB21*100</calculatedColumnFormula>
    </tableColumn>
    <tableColumn id="20" xr3:uid="{00000000-0010-0000-1400-000014000000}" name="第16檔" dataDxfId="239">
      <calculatedColumnFormula>'Tssco-bond portfolio(Pro)'!$AB22*100</calculatedColumnFormula>
    </tableColumn>
    <tableColumn id="21" xr3:uid="{00000000-0010-0000-1400-000015000000}" name="第17檔" dataDxfId="238">
      <calculatedColumnFormula>'Tssco-bond portfolio(Pro)'!$AB23*100</calculatedColumnFormula>
    </tableColumn>
    <tableColumn id="22" xr3:uid="{00000000-0010-0000-1400-000016000000}" name="第18檔" dataDxfId="237">
      <calculatedColumnFormula>'Tssco-bond portfolio(Pro)'!$AB24*100</calculatedColumnFormula>
    </tableColumn>
    <tableColumn id="23" xr3:uid="{00000000-0010-0000-1400-000017000000}" name="第19檔" dataDxfId="236">
      <calculatedColumnFormula>'Tssco-bond portfolio(Pro)'!$AB25*100</calculatedColumnFormula>
    </tableColumn>
    <tableColumn id="24" xr3:uid="{00000000-0010-0000-1400-000018000000}" name="第20檔" dataDxfId="235">
      <calculatedColumnFormula>'Tssco-bond portfolio(Pro)'!$AB26*100</calculatedColumnFormula>
    </tableColumn>
    <tableColumn id="25" xr3:uid="{00000000-0010-0000-1400-000019000000}" name="第21檔" dataDxfId="234">
      <calculatedColumnFormula>'Tssco-bond portfolio(Pro)'!$AB27*100</calculatedColumnFormula>
    </tableColumn>
    <tableColumn id="26" xr3:uid="{00000000-0010-0000-1400-00001A000000}" name="第22檔" dataDxfId="233">
      <calculatedColumnFormula>'Tssco-bond portfolio(Pro)'!$AB28*100</calculatedColumnFormula>
    </tableColumn>
    <tableColumn id="27" xr3:uid="{00000000-0010-0000-1400-00001B000000}" name="第23檔" dataDxfId="232">
      <calculatedColumnFormula>'Tssco-bond portfolio(Pro)'!$AB29*100</calculatedColumnFormula>
    </tableColumn>
    <tableColumn id="28" xr3:uid="{00000000-0010-0000-1400-00001C000000}" name="第24檔" dataDxfId="231">
      <calculatedColumnFormula>'Tssco-bond portfolio(Pro)'!$AB30*100</calculatedColumnFormula>
    </tableColumn>
    <tableColumn id="29" xr3:uid="{00000000-0010-0000-1400-00001D000000}" name="第25檔" dataDxfId="230">
      <calculatedColumnFormula>'Tssco-bond portfolio(Pro)'!$AB31*100</calculatedColumnFormula>
    </tableColumn>
    <tableColumn id="30" xr3:uid="{00000000-0010-0000-1400-00001E000000}" name="第26檔" dataDxfId="229">
      <calculatedColumnFormula>'Tssco-bond portfolio(Pro)'!$AB32*100</calculatedColumnFormula>
    </tableColumn>
    <tableColumn id="31" xr3:uid="{00000000-0010-0000-1400-00001F000000}" name="第27檔" dataDxfId="228">
      <calculatedColumnFormula>'Tssco-bond portfolio(Pro)'!$AB33*100</calculatedColumnFormula>
    </tableColumn>
    <tableColumn id="32" xr3:uid="{00000000-0010-0000-1400-000020000000}" name="第28檔" dataDxfId="227">
      <calculatedColumnFormula>'Tssco-bond portfolio(Pro)'!$AB34*100</calculatedColumnFormula>
    </tableColumn>
    <tableColumn id="33" xr3:uid="{00000000-0010-0000-1400-000021000000}" name="第29檔" dataDxfId="226">
      <calculatedColumnFormula>'Tssco-bond portfolio(Pro)'!$AB35*100</calculatedColumnFormula>
    </tableColumn>
    <tableColumn id="34" xr3:uid="{00000000-0010-0000-1400-000022000000}" name="第30檔" dataDxfId="225">
      <calculatedColumnFormula>'Tssco-bond portfolio(Pro)'!$AB36*100</calculatedColumnFormula>
    </tableColumn>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5000000}" name="表格13" displayName="表格13" ref="N7:Y13" totalsRowShown="0">
  <autoFilter ref="N7:Y13" xr:uid="{00000000-0009-0000-0100-00000D000000}"/>
  <tableColumns count="12">
    <tableColumn id="5" xr3:uid="{00000000-0010-0000-1500-000005000000}" name="序號"/>
    <tableColumn id="3" xr3:uid="{00000000-0010-0000-1500-000003000000}" name="排序" dataDxfId="207">
      <calculatedColumnFormula>O7+1</calculatedColumnFormula>
    </tableColumn>
    <tableColumn id="1" xr3:uid="{00000000-0010-0000-1500-000001000000}" name="預設代碼" dataDxfId="206">
      <calculatedColumnFormula>IFERROR(INDEX($O$20:$O$31,O8,1),"")</calculatedColumnFormula>
    </tableColumn>
    <tableColumn id="6" xr3:uid="{00000000-0010-0000-1500-000006000000}" name="最佳信評(預)" dataDxfId="205">
      <calculatedColumnFormula>INDEX($U$20:$U$31,表格13[[#This Row],[排序]],1)</calculatedColumnFormula>
    </tableColumn>
    <tableColumn id="7" xr3:uid="{00000000-0010-0000-1500-000007000000}" name="自訂清單" dataDxfId="204"/>
    <tableColumn id="9" xr3:uid="{00000000-0010-0000-1500-000009000000}" name="最佳信評(自)" dataDxfId="203">
      <calculatedColumnFormula>INDEX($U$35:$U$40,表格13[[#This Row],[序號]],1)</calculatedColumnFormula>
    </tableColumn>
    <tableColumn id="10" xr3:uid="{00000000-0010-0000-1500-00000A000000}" name="產品名稱" dataDxfId="202">
      <calculatedColumnFormula>IF(表格13[[#This Row],[自訂清單]]="","",IFERROR(VLOOKUP(表格13[[#This Row],[自訂清單]],'銀行-TSS'!B:D,3,FALSE),""))</calculatedColumnFormula>
    </tableColumn>
    <tableColumn id="2" xr3:uid="{00000000-0010-0000-1500-000002000000}" name="產品名稱(庫)" dataDxfId="201">
      <calculatedColumnFormula>IF($O$6=4,VLOOKUP(表格13[[#This Row],[自訂清單]],'銀行-TSS'!B:D,3,FALSE),VLOOKUP(表格13[[#This Row],[預設代碼]],'銀行-TSS'!B:D,3,FALSE))</calculatedColumnFormula>
    </tableColumn>
    <tableColumn id="8" xr3:uid="{00000000-0010-0000-1500-000008000000}" name="清單(暫存)" dataDxfId="200"/>
    <tableColumn id="12" xr3:uid="{00000000-0010-0000-1500-00000C000000}" name="產品名稱(暫存)" dataDxfId="199">
      <calculatedColumnFormula>IF(表格13[[#This Row],[清單(暫存)]]="","",IFERROR(IF(表格13[[#This Row],[幣別]]&lt;&gt;$E$13,1,VLOOKUP(表格13[[#This Row],[清單(暫存)]],'銀行-TSS'!B:D,3,FALSE)),1))</calculatedColumnFormula>
    </tableColumn>
    <tableColumn id="13" xr3:uid="{00000000-0010-0000-1500-00000D000000}" name="幣別" dataDxfId="198">
      <calculatedColumnFormula>INDEX('2_Check_code'!$L$3:$L$9,MATCH(VLOOKUP(表格13[[#This Row],[清單(暫存)]],'銀行-TSS'!B:C,2,FALSE),'2_Check_code'!$I$3:$I$9,0),0)</calculatedColumnFormula>
    </tableColumn>
    <tableColumn id="4" xr3:uid="{00000000-0010-0000-1500-000004000000}" name="銷售對象" dataDxfId="197">
      <calculatedColumnFormula>IF(表格13[[#This Row],[清單(暫存)]]="","",VLOOKUP(表格13[[#This Row],[清單(暫存)]],'銀行-TSS'!B:V,21,FALSE))</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6000000}" name="表格9_26" displayName="表格9_26" ref="A2:H291" totalsRowShown="0" headerRowDxfId="104" dataDxfId="103">
  <autoFilter ref="A2:H291" xr:uid="{00000000-0009-0000-0100-000019000000}"/>
  <tableColumns count="8">
    <tableColumn id="1" xr3:uid="{00000000-0010-0000-1600-000001000000}" name="US" dataDxfId="102"/>
    <tableColumn id="2" xr3:uid="{00000000-0010-0000-1600-000002000000}" name="CH" dataDxfId="101"/>
    <tableColumn id="3" xr3:uid="{00000000-0010-0000-1600-000003000000}" name="SA" dataDxfId="100"/>
    <tableColumn id="4" xr3:uid="{00000000-0010-0000-1600-000004000000}" name="0A" dataDxfId="99"/>
    <tableColumn id="5" xr3:uid="{00000000-0010-0000-1600-000005000000}" name="CA" dataDxfId="98"/>
    <tableColumn id="6" xr3:uid="{00000000-0010-0000-1600-000006000000}" name="N$" dataDxfId="97"/>
    <tableColumn id="7" xr3:uid="{00000000-0010-0000-1600-000007000000}" name="TE" dataDxfId="96"/>
    <tableColumn id="8" xr3:uid="{00000000-0010-0000-1600-000008000000}" name="TW" dataDxfId="9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表格6" displayName="表格6" ref="R1:U180" totalsRowShown="0" headerRowDxfId="15" tableBorderDxfId="14">
  <tableColumns count="4">
    <tableColumn id="1" xr3:uid="{00000000-0010-0000-1700-000001000000}" name="商品代碼" dataDxfId="13">
      <calculatedColumnFormula>IF(IF($V2=$A$16,VLOOKUP($W2,$A$2:$E$13,COLUMN(R2)-16,0),I2)=0,"", IF($V2=$A$16,VLOOKUP($W2,$A$2:$E$13,COLUMN(R2)-16,0),I2))</calculatedColumnFormula>
    </tableColumn>
    <tableColumn id="2" xr3:uid="{00000000-0010-0000-1700-000002000000}" name="買進日期" dataDxfId="12">
      <calculatedColumnFormula>IF(IF($V2=$A$16,VLOOKUP($W2,$A$2:$E$13,COLUMN(S2)-16,0),J2)=0,"",IF($V2=$A$16,VLOOKUP($W2,$A$2:$E$13,COLUMN(S2)-16,0),J2))</calculatedColumnFormula>
    </tableColumn>
    <tableColumn id="3" xr3:uid="{00000000-0010-0000-1700-000003000000}" name="投資面額" dataDxfId="11" dataCellStyle="千分位">
      <calculatedColumnFormula>IF(IF($V2=$A$16,VLOOKUP($W2,$A$2:$E$13,COLUMN(T2)-16,0),K2)=0,"",IF($V2=$A$16,VLOOKUP($W2,$A$2:$E$13,COLUMN(T2)-16,0),K2))</calculatedColumnFormula>
    </tableColumn>
    <tableColumn id="4" xr3:uid="{00000000-0010-0000-1700-000004000000}" name="庫存成本" dataDxfId="10" dataCellStyle="千分位">
      <calculatedColumnFormula>IF(IF($V2=$A$16,VLOOKUP($W2,$A$2:$E$13,COLUMN(U2)-16,0),L2)=0,"",IF($V2=$A$16,VLOOKUP($W2,$A$2:$E$13,COLUMN(U2)-16,0),L2))</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009043"/>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drawing" Target="../drawings/drawing9.xml"/><Relationship Id="rId16" Type="http://schemas.microsoft.com/office/2007/relationships/slicer" Target="../slicers/slicer3.xml"/><Relationship Id="rId1" Type="http://schemas.openxmlformats.org/officeDocument/2006/relationships/printerSettings" Target="../printerSettings/printerSettings1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11.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9.bin"/><Relationship Id="rId6" Type="http://schemas.openxmlformats.org/officeDocument/2006/relationships/table" Target="../tables/table2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4">
    <tabColor theme="0" tint="-0.499984740745262"/>
  </sheetPr>
  <dimension ref="A1:Q89"/>
  <sheetViews>
    <sheetView showRowColHeaders="0" tabSelected="1" topLeftCell="A3" zoomScale="115" zoomScaleNormal="115" workbookViewId="0">
      <selection activeCell="AG114" sqref="AG114"/>
    </sheetView>
  </sheetViews>
  <sheetFormatPr defaultColWidth="9.0703125" defaultRowHeight="15.5"/>
  <cols>
    <col min="1" max="16" width="9.0703125" style="169"/>
    <col min="17" max="17" width="11.42578125" style="169" customWidth="1"/>
    <col min="18" max="16384" width="9.0703125" style="169"/>
  </cols>
  <sheetData>
    <row r="1" spans="1:10" ht="2.15" customHeight="1"/>
    <row r="5" spans="1:10" ht="25.5">
      <c r="A5" s="172"/>
      <c r="B5" s="172"/>
      <c r="C5" s="172"/>
      <c r="D5" s="172"/>
      <c r="E5" s="172"/>
      <c r="F5" s="172"/>
      <c r="G5" s="172"/>
      <c r="H5" s="172"/>
      <c r="I5" s="172"/>
      <c r="J5" s="172"/>
    </row>
    <row r="30" spans="4:14" hidden="1"/>
    <row r="31" spans="4:14" hidden="1"/>
    <row r="32" spans="4:14" ht="16.399999999999999" hidden="1" customHeight="1">
      <c r="D32" s="364"/>
      <c r="E32" s="364"/>
      <c r="F32" s="364"/>
      <c r="H32" s="364"/>
      <c r="I32" s="364"/>
      <c r="J32" s="364"/>
      <c r="L32" s="364"/>
      <c r="M32" s="364"/>
      <c r="N32" s="364"/>
    </row>
    <row r="33" spans="4:14" ht="16.399999999999999" hidden="1" customHeight="1">
      <c r="D33" s="364"/>
      <c r="E33" s="364"/>
      <c r="F33" s="364"/>
      <c r="H33" s="364"/>
      <c r="I33" s="364"/>
      <c r="J33" s="364"/>
      <c r="L33" s="364"/>
      <c r="M33" s="364"/>
      <c r="N33" s="364"/>
    </row>
    <row r="34" spans="4:14" ht="16.399999999999999" hidden="1" customHeight="1">
      <c r="D34" s="364"/>
      <c r="E34" s="364"/>
      <c r="F34" s="364"/>
      <c r="H34" s="364"/>
      <c r="I34" s="364"/>
      <c r="J34" s="364"/>
      <c r="L34" s="364"/>
      <c r="M34" s="364"/>
      <c r="N34" s="364"/>
    </row>
    <row r="35" spans="4:14" ht="16.399999999999999" hidden="1" customHeight="1">
      <c r="D35" s="364"/>
      <c r="E35" s="364"/>
      <c r="F35" s="364"/>
      <c r="H35" s="364"/>
      <c r="I35" s="364"/>
      <c r="J35" s="364"/>
      <c r="L35" s="364"/>
      <c r="M35" s="364"/>
      <c r="N35" s="364"/>
    </row>
    <row r="36" spans="4:14" ht="16.399999999999999" hidden="1" customHeight="1">
      <c r="D36" s="364"/>
      <c r="E36" s="364"/>
      <c r="F36" s="364"/>
      <c r="H36" s="364"/>
      <c r="I36" s="364"/>
      <c r="J36" s="364"/>
      <c r="L36" s="364"/>
      <c r="M36" s="364"/>
      <c r="N36" s="364"/>
    </row>
    <row r="37" spans="4:14" ht="23.9" hidden="1" customHeight="1">
      <c r="D37" s="1847" t="s">
        <v>1736</v>
      </c>
      <c r="E37" s="1847"/>
      <c r="F37" s="1847"/>
      <c r="H37" s="1848" t="s">
        <v>518</v>
      </c>
      <c r="I37" s="1848"/>
      <c r="J37" s="1848"/>
      <c r="L37" s="1848" t="s">
        <v>1737</v>
      </c>
      <c r="M37" s="1848"/>
      <c r="N37" s="1848"/>
    </row>
    <row r="38" spans="4:14" ht="3.65" hidden="1" customHeight="1" thickBot="1">
      <c r="D38" s="300"/>
      <c r="E38" s="300"/>
      <c r="F38" s="300"/>
      <c r="H38" s="300"/>
      <c r="I38" s="300"/>
      <c r="J38" s="300"/>
      <c r="L38" s="300"/>
      <c r="M38" s="300"/>
      <c r="N38" s="300"/>
    </row>
    <row r="39" spans="4:14" ht="2.25" hidden="1" customHeight="1" thickTop="1"/>
    <row r="40" spans="4:14" ht="20.5" hidden="1" customHeight="1"/>
    <row r="41" spans="4:14" hidden="1"/>
    <row r="43" spans="4:14" hidden="1"/>
    <row r="44" spans="4:14" hidden="1"/>
    <row r="45" spans="4:14" hidden="1"/>
    <row r="46" spans="4:14" hidden="1"/>
    <row r="47" spans="4:14" hidden="1"/>
    <row r="48" spans="4:14" hidden="1"/>
    <row r="49" spans="17:17" hidden="1"/>
    <row r="50" spans="17:17" hidden="1"/>
    <row r="51" spans="17:17" hidden="1"/>
    <row r="52" spans="17:17" ht="19.5" hidden="1">
      <c r="Q52" s="615"/>
    </row>
    <row r="53" spans="17:17" hidden="1"/>
    <row r="54" spans="17:17" hidden="1"/>
    <row r="55" spans="17:17" hidden="1"/>
    <row r="56" spans="17:17" hidden="1"/>
    <row r="57" spans="17:17" hidden="1"/>
    <row r="58" spans="17:17" hidden="1"/>
    <row r="59" spans="17:17" hidden="1"/>
    <row r="60" spans="17:17" hidden="1"/>
    <row r="61" spans="17:17" hidden="1"/>
    <row r="62" spans="17:17" hidden="1"/>
    <row r="63" spans="17:17" hidden="1"/>
    <row r="64" spans="17:17"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sheetData>
  <sheetProtection algorithmName="SHA-512" hashValue="oaXu10a2oiR22cmr9J9tDuojd6UYQj4ih80O9QlBjFVLNNF4FbRoPnm0Ve59eGqMUIldIVAzoXO9OwYJ8zmc6A==" saltValue="KDNjzyXzQc499zUSuh/+7w==" spinCount="100000" sheet="1" selectLockedCells="1" selectUnlockedCells="1"/>
  <mergeCells count="3">
    <mergeCell ref="D37:F37"/>
    <mergeCell ref="H37:J37"/>
    <mergeCell ref="L37:N37"/>
  </mergeCells>
  <phoneticPr fontId="53" type="noConversion"/>
  <pageMargins left="0.7" right="0.7" top="0.75" bottom="0.75" header="0.3" footer="0.3"/>
  <pageSetup paperSize="9" scale="42"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14">
    <tabColor rgb="FF297D6B"/>
    <pageSetUpPr fitToPage="1"/>
  </sheetPr>
  <dimension ref="B1:Z97"/>
  <sheetViews>
    <sheetView showRowColHeaders="0" topLeftCell="A2" zoomScale="70" zoomScaleNormal="70" workbookViewId="0">
      <selection activeCell="B8" sqref="B8"/>
    </sheetView>
  </sheetViews>
  <sheetFormatPr defaultColWidth="8.85546875" defaultRowHeight="15.5"/>
  <cols>
    <col min="1" max="1" width="4.0703125" style="262" customWidth="1"/>
    <col min="2" max="2" width="13" style="261" customWidth="1"/>
    <col min="3" max="3" width="23.42578125" style="261" customWidth="1"/>
    <col min="4" max="4" width="21.28515625" style="262" bestFit="1" customWidth="1"/>
    <col min="5" max="5" width="20.0703125" style="262" bestFit="1" customWidth="1"/>
    <col min="6" max="8" width="15.640625" style="262" customWidth="1"/>
    <col min="9" max="9" width="15" style="262" customWidth="1"/>
    <col min="10" max="10" width="15.640625" style="262" customWidth="1"/>
    <col min="11" max="11" width="19.640625" style="262" customWidth="1"/>
    <col min="12" max="12" width="15.640625" style="262" customWidth="1"/>
    <col min="13" max="13" width="10.640625" style="262" customWidth="1"/>
    <col min="14" max="14" width="11.640625" style="262" customWidth="1"/>
    <col min="15" max="15" width="1.42578125" style="262" customWidth="1"/>
    <col min="16" max="16" width="32.42578125" style="261" customWidth="1"/>
    <col min="17" max="17" width="5" style="262" customWidth="1"/>
    <col min="18" max="18" width="8.85546875" style="262" customWidth="1"/>
    <col min="19" max="19" width="23.0703125" style="262" hidden="1" customWidth="1"/>
    <col min="20" max="20" width="17.0703125" style="261" hidden="1" customWidth="1"/>
    <col min="21" max="21" width="14.640625" style="262" hidden="1" customWidth="1"/>
    <col min="22" max="22" width="10.42578125" style="262" hidden="1" customWidth="1"/>
    <col min="23" max="23" width="8.85546875" style="262" hidden="1" customWidth="1"/>
    <col min="24" max="16384" width="8.85546875" style="262"/>
  </cols>
  <sheetData>
    <row r="1" spans="2:26" hidden="1"/>
    <row r="2" spans="2:26" ht="31.75" customHeight="1"/>
    <row r="3" spans="2:26" ht="20.149999999999999" customHeight="1">
      <c r="D3" s="546"/>
      <c r="E3" s="1849" t="s">
        <v>2074</v>
      </c>
      <c r="F3" s="1850"/>
      <c r="G3" s="1850"/>
      <c r="H3" s="1850"/>
      <c r="I3" s="1850"/>
      <c r="J3" s="1850"/>
      <c r="K3" s="545"/>
      <c r="P3" s="307"/>
    </row>
    <row r="4" spans="2:26" ht="33.75" customHeight="1">
      <c r="B4" s="547"/>
      <c r="C4" s="543"/>
      <c r="D4" s="544"/>
      <c r="E4" s="1851"/>
      <c r="F4" s="1850"/>
      <c r="G4" s="1850"/>
      <c r="H4" s="1850"/>
      <c r="I4" s="1850"/>
      <c r="J4" s="1850"/>
      <c r="K4" s="545"/>
      <c r="M4" s="550" t="s">
        <v>1313</v>
      </c>
      <c r="N4" s="551">
        <f>bond!AV4</f>
        <v>45474</v>
      </c>
      <c r="P4" s="307"/>
    </row>
    <row r="5" spans="2:26" ht="18.75" customHeight="1" thickBot="1">
      <c r="B5" s="1875" t="s">
        <v>2075</v>
      </c>
      <c r="C5" s="1876"/>
      <c r="D5" s="1876"/>
      <c r="E5" s="1876"/>
      <c r="F5" s="1876"/>
      <c r="G5" s="1876"/>
      <c r="H5" s="1876"/>
      <c r="I5" s="1876"/>
      <c r="J5" s="1876"/>
      <c r="K5" s="1876"/>
      <c r="L5" s="1876"/>
      <c r="M5" s="1876"/>
      <c r="N5" s="1876"/>
      <c r="P5" s="307"/>
      <c r="U5" s="308"/>
      <c r="V5" s="309"/>
    </row>
    <row r="6" spans="2:26" ht="24.5" hidden="1" thickTop="1" thickBot="1">
      <c r="B6" s="310"/>
      <c r="C6" s="310"/>
      <c r="D6" s="310"/>
      <c r="E6" s="310"/>
      <c r="F6" s="310"/>
      <c r="G6" s="310"/>
      <c r="H6" s="310"/>
      <c r="I6" s="310"/>
      <c r="J6" s="310"/>
      <c r="K6" s="310"/>
      <c r="L6" s="311"/>
      <c r="M6" s="312"/>
      <c r="P6" s="307"/>
    </row>
    <row r="7" spans="2:26" s="270" customFormat="1" ht="31.75" customHeight="1">
      <c r="B7" s="532" t="s">
        <v>1314</v>
      </c>
      <c r="C7" s="1858" t="s">
        <v>1315</v>
      </c>
      <c r="D7" s="1859"/>
      <c r="E7" s="1858" t="s">
        <v>1316</v>
      </c>
      <c r="F7" s="1862"/>
      <c r="G7" s="1862"/>
      <c r="H7" s="1862"/>
      <c r="I7" s="1862"/>
      <c r="J7" s="1862"/>
      <c r="K7" s="1862"/>
      <c r="L7" s="1862"/>
      <c r="M7" s="1862"/>
      <c r="N7" s="1863"/>
      <c r="P7" s="313"/>
      <c r="T7" s="269"/>
    </row>
    <row r="8" spans="2:26" s="270" customFormat="1" ht="60" customHeight="1">
      <c r="B8" s="533" t="s">
        <v>3786</v>
      </c>
      <c r="C8" s="1860" t="str">
        <f ca="1">IFERROR(IF(FIND("美國政府",T17)=1,T17),IFERROR(CONCATENATE(LEFT(T17,SEARCH(U18,T17,1)-1),CHAR(10),U18,IF(T22=0,"零息債券","配息債券"),CHAR(10),RIGHT(T17,LEN(T17)-SEARCH(" ",T17,1))),""))</f>
        <v>蘋果公司
美元配息債券
3.35% 2032/8/8</v>
      </c>
      <c r="D8" s="1861"/>
      <c r="E8" s="1864" t="str">
        <f ca="1">IFERROR(VLOOKUP(B8,'銀行-TSS'!B:U,20,FALSE),"")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F8" s="1865"/>
      <c r="G8" s="1865"/>
      <c r="H8" s="1865"/>
      <c r="I8" s="1865"/>
      <c r="J8" s="1865"/>
      <c r="K8" s="1865"/>
      <c r="L8" s="1865"/>
      <c r="M8" s="1865"/>
      <c r="N8" s="1866"/>
      <c r="P8" s="527"/>
      <c r="S8" s="314"/>
      <c r="T8" s="269"/>
    </row>
    <row r="9" spans="2:26" s="270" customFormat="1" ht="9.75" hidden="1" customHeight="1">
      <c r="B9" s="534"/>
      <c r="C9" s="269"/>
      <c r="M9" s="250"/>
      <c r="N9" s="535"/>
      <c r="P9" s="313"/>
      <c r="T9" s="269"/>
    </row>
    <row r="10" spans="2:26" s="270" customFormat="1" ht="5.25" hidden="1" customHeight="1">
      <c r="B10" s="534"/>
      <c r="C10" s="269"/>
      <c r="M10" s="250"/>
      <c r="N10" s="535"/>
      <c r="P10" s="313"/>
      <c r="T10" s="269"/>
    </row>
    <row r="11" spans="2:26" s="269" customFormat="1" ht="38.15" customHeight="1">
      <c r="B11" s="536" t="s">
        <v>2066</v>
      </c>
      <c r="C11" s="541" t="s">
        <v>2065</v>
      </c>
      <c r="D11" s="251" t="s">
        <v>2067</v>
      </c>
      <c r="E11" s="542" t="s">
        <v>2068</v>
      </c>
      <c r="F11" s="540" t="s">
        <v>2056</v>
      </c>
      <c r="G11" s="251" t="s">
        <v>208</v>
      </c>
      <c r="H11" s="542" t="s">
        <v>1317</v>
      </c>
      <c r="I11" s="251" t="s">
        <v>157</v>
      </c>
      <c r="J11" s="252" t="s">
        <v>1318</v>
      </c>
      <c r="K11" s="542" t="s">
        <v>1319</v>
      </c>
      <c r="L11" s="542" t="s">
        <v>204</v>
      </c>
      <c r="M11" s="1852" t="s">
        <v>2053</v>
      </c>
      <c r="N11" s="1853"/>
      <c r="P11" s="313"/>
      <c r="T11" s="314"/>
    </row>
    <row r="12" spans="2:26" s="270" customFormat="1" ht="40" customHeight="1" thickBot="1">
      <c r="B12" s="537">
        <v>10000</v>
      </c>
      <c r="C12" s="253">
        <f ca="1">IFERROR(IF(VLOOKUP(B8,'銀行-TSS'!B:K,10,FALSE)=0,"--",VLOOKUP(B8,'銀行-TSS'!B:K,10,FALSE)),"")</f>
        <v>94.58</v>
      </c>
      <c r="D12" s="254">
        <f ca="1">IFERROR(ROUND(VLOOKUP(B8,'銀行-TSS'!B:J,9,FALSE)*B12/100,2),"")</f>
        <v>134</v>
      </c>
      <c r="E12" s="255">
        <f ca="1">IFERROR(D18-D12,"")</f>
        <v>9324</v>
      </c>
      <c r="F12" s="531">
        <f ca="1">IFERROR(VLOOKUP(B8,'銀行-TSS'!B:M,12,FALSE),"")</f>
        <v>4.3499999999999997E-2</v>
      </c>
      <c r="G12" s="256">
        <f ca="1">IFERROR(VLOOKUP(B8,'銀行-TSS'!B:H,7,FALSE),"")</f>
        <v>3.3500000000000002E-2</v>
      </c>
      <c r="H12" s="257">
        <f ca="1">IFERROR(VLOOKUP(B8,'銀行-TSS'!B:G,6,FALSE),"")</f>
        <v>8.1</v>
      </c>
      <c r="I12" s="258">
        <f ca="1">IFERROR(VLOOKUP(B8,'銀行-TSS'!B:N,13,FALSE),"")</f>
        <v>10000</v>
      </c>
      <c r="J12" s="258">
        <f ca="1">IFERROR(VLOOKUP(B8,'銀行-TSS'!B:O,14,FALSE),"")</f>
        <v>1000</v>
      </c>
      <c r="K12" s="259" t="str">
        <f ca="1">IFERROR(VLOOKUP(B8,'銀行-TSS'!B:E,4,FALSE),"")</f>
        <v>Aaa / AA+ / -</v>
      </c>
      <c r="L12" s="260" t="str">
        <f ca="1">IFERROR(VLOOKUP(B8,'銀行-TSS'!B:Q,16,FALSE),"")</f>
        <v>科技</v>
      </c>
      <c r="M12" s="1854" t="str">
        <f ca="1">IFERROR(IFERROR(VLOOKUP(B8,'3_是否下架'!A:B,2,FALSE),VLOOKUP(B8,'銀行-TSS'!B:AK,36,FALSE)),"")</f>
        <v>有</v>
      </c>
      <c r="N12" s="1855"/>
      <c r="P12" s="313"/>
    </row>
    <row r="13" spans="2:26" ht="2.25" customHeight="1">
      <c r="B13" s="1869" t="s">
        <v>2069</v>
      </c>
      <c r="C13" s="1870"/>
      <c r="D13" s="1870"/>
      <c r="E13" s="1870"/>
      <c r="F13" s="1870"/>
      <c r="G13" s="1870"/>
      <c r="H13" s="1870"/>
      <c r="I13" s="1870"/>
      <c r="J13" s="1870"/>
      <c r="K13" s="1870"/>
      <c r="L13" s="1870"/>
      <c r="M13" s="1870"/>
      <c r="N13" s="1871"/>
      <c r="P13" s="307"/>
    </row>
    <row r="14" spans="2:26" ht="37.5" customHeight="1" thickBot="1">
      <c r="B14" s="1872"/>
      <c r="C14" s="1873"/>
      <c r="D14" s="1873"/>
      <c r="E14" s="1873"/>
      <c r="F14" s="1873"/>
      <c r="G14" s="1873"/>
      <c r="H14" s="1873"/>
      <c r="I14" s="1873"/>
      <c r="J14" s="1873"/>
      <c r="K14" s="1873"/>
      <c r="L14" s="1873"/>
      <c r="M14" s="1873"/>
      <c r="N14" s="1874"/>
      <c r="P14" s="307"/>
    </row>
    <row r="15" spans="2:26" ht="16" thickBot="1">
      <c r="B15" s="1867"/>
      <c r="C15" s="1868"/>
      <c r="D15" s="1868"/>
      <c r="E15" s="1868"/>
      <c r="F15" s="1868"/>
      <c r="G15" s="1868"/>
      <c r="H15" s="1868"/>
      <c r="I15" s="1868"/>
      <c r="J15" s="1868"/>
      <c r="K15" s="1868"/>
      <c r="L15" s="1868"/>
      <c r="M15" s="1868"/>
      <c r="N15" s="1868"/>
      <c r="P15" s="307"/>
    </row>
    <row r="16" spans="2:26" ht="33" customHeight="1">
      <c r="B16" s="1877" t="str">
        <f ca="1">IFERROR(IF(T34="變動",CONCATENATE("說明：",T34,"票息現金流為預估參考值，並非未來實際票息"),IF(T34="不含息交易","說明：本券為不含息交易債券標的","")),"")</f>
        <v/>
      </c>
      <c r="C16" s="1878"/>
      <c r="D16" s="1878"/>
      <c r="E16" s="1878"/>
      <c r="F16" s="1878"/>
      <c r="G16" s="1878"/>
      <c r="H16" s="1878"/>
      <c r="I16" s="1878"/>
      <c r="J16" s="1878"/>
      <c r="K16" s="1878"/>
      <c r="L16" s="1878"/>
      <c r="M16" s="1878"/>
      <c r="N16" s="1879"/>
      <c r="P16" s="393" t="str">
        <f ca="1">IFERROR(IF(T30&lt;&gt;"",IF(B8="XG410","第一次贖回，僅於贖回日可買回；"&amp;CHAR(10)&amp;"2041/10/22後可於任何時間買回。",IF(T40="N","自「贖回日」起任何時間可買回","僅於「贖回日」可買回")),""),"")</f>
        <v>自「贖回日」起任何時間可買回</v>
      </c>
      <c r="Q16" s="351"/>
      <c r="R16" s="351"/>
      <c r="S16" s="351"/>
      <c r="T16" s="351"/>
      <c r="U16" s="351"/>
      <c r="V16" s="351"/>
      <c r="W16" s="351"/>
      <c r="X16" s="351"/>
      <c r="Z16" s="391"/>
    </row>
    <row r="17" spans="2:21" s="269" customFormat="1" ht="25" customHeight="1">
      <c r="B17" s="356" t="s">
        <v>1320</v>
      </c>
      <c r="C17" s="357" t="s">
        <v>1787</v>
      </c>
      <c r="D17" s="358" t="s">
        <v>2055</v>
      </c>
      <c r="E17" s="384" t="s">
        <v>1321</v>
      </c>
      <c r="F17" s="359" t="s">
        <v>1322</v>
      </c>
      <c r="G17" s="384" t="s">
        <v>1323</v>
      </c>
      <c r="H17" s="384" t="s">
        <v>1324</v>
      </c>
      <c r="I17" s="384" t="s">
        <v>1325</v>
      </c>
      <c r="J17" s="384" t="s">
        <v>1326</v>
      </c>
      <c r="K17" s="384" t="s">
        <v>1772</v>
      </c>
      <c r="L17" s="360" t="s">
        <v>1327</v>
      </c>
      <c r="M17" s="1856" t="s">
        <v>1328</v>
      </c>
      <c r="N17" s="1857"/>
      <c r="P17" s="244" t="s">
        <v>1773</v>
      </c>
      <c r="R17" s="270"/>
      <c r="S17" s="315" t="s">
        <v>1315</v>
      </c>
      <c r="T17" s="316" t="str">
        <f>IFERROR(VLOOKUP(B8,bond!B:C,2,FALSE),"")</f>
        <v>蘋果公司美元配息債券 3.35% 2032/8/8</v>
      </c>
    </row>
    <row r="18" spans="2:21" s="270" customFormat="1" ht="18">
      <c r="B18" s="361">
        <f ca="1">IFERROR(IF(T19=0,"",1),"")</f>
        <v>1</v>
      </c>
      <c r="C18" s="355">
        <f ca="1">IFERROR(IF(T34="零息",T29,IF(B18="","",IFERROR(datavalue(T25),T25))),"")</f>
        <v>45512</v>
      </c>
      <c r="D18" s="263">
        <f ca="1">IFERROR(ROUND(C12*B12/100,2),"")</f>
        <v>9458</v>
      </c>
      <c r="E18" s="264">
        <f t="shared" ref="E18:E49" ca="1" si="0">IF(B18="","",IF(B18&lt;=$T$20,$T$23,$T$38))</f>
        <v>167.5</v>
      </c>
      <c r="F18" s="266">
        <f ca="1">IF(B18="","",E18)</f>
        <v>167.5</v>
      </c>
      <c r="G18" s="365" t="str">
        <f ca="1">IFERROR(IF(T22=0,B12,IF(B18="","",IF(B18=$T$19,$B$12,""))),"")</f>
        <v/>
      </c>
      <c r="H18" s="266" t="str">
        <f ca="1">IFERROR(IF(T22=0,B12,IF(G18="","",G18+F18)),"")</f>
        <v/>
      </c>
      <c r="I18" s="538" t="str">
        <f ca="1">IF(G18="","",$F$12)</f>
        <v/>
      </c>
      <c r="J18" s="367" t="str">
        <f t="shared" ref="J18:J49" ca="1" si="1">IF(B18="","",IF(M18="可贖回日",$B$12,""))</f>
        <v/>
      </c>
      <c r="K18" s="265" t="str">
        <f t="shared" ref="K18:K49" ca="1" si="2">IF(B18="","",IF(M18="可贖回日",IF(C18=$T$30,J18+F18,J18+F18+E19*(1-(DATEDIF($T$30,C19,"M")/DATEDIF(C18,C19,"M")))),""))</f>
        <v/>
      </c>
      <c r="L18" s="539" t="str">
        <f t="shared" ref="L18:L49" ca="1" si="3">IF(B18="","",IF(M18="可贖回日",$T$31,""))</f>
        <v/>
      </c>
      <c r="M18" s="366" t="str">
        <f ca="1">IFERROR(IF(T34="零息","到期日",IF(B18="","",IF(C18=$T$29,"到期日",IF(C18=$T$30,"可贖回日",IF($U$30="無對應贖回日",IF(C19&gt;$T$30,"可贖回日",""),""))))),"")</f>
        <v/>
      </c>
      <c r="N18" s="362" t="str">
        <f ca="1">IFERROR(IF(T34="零息","零息",IF(B18="","",IF(AND($T$34="變動",C18=$T$30),"固定轉浮動",IF(AND($T$34="固定",M18="可贖回日",C18&lt;&gt;$T$30),TEXT($T$30,"yyyy/m/d"),"")))),"")</f>
        <v/>
      </c>
      <c r="P18" s="269" t="str">
        <f ca="1">IF(B18="","",IF($T$34="浮動",T$36,IF(AND($T$34="變動",C18&gt;$T$30),T$36,"")))</f>
        <v/>
      </c>
      <c r="S18" s="315" t="s">
        <v>1728</v>
      </c>
      <c r="T18" s="269" t="str">
        <f ca="1">VLOOKUP(B8,'銀行-TSS'!B:C,2,FALSE)</f>
        <v>USD</v>
      </c>
      <c r="U18" s="270" t="str">
        <f ca="1">CHOOSE(VLOOKUP(T18,'2_Check_code'!$I$3:$K$9,3,FALSE),"美元","人民幣","南非幣","澳幣","加幣","紐幣","歐元")</f>
        <v>美元</v>
      </c>
    </row>
    <row r="19" spans="2:21" s="270" customFormat="1" ht="18">
      <c r="B19" s="361">
        <f ca="1">IF(B18="","",IF(B18&lt;$T$19,B18+1,""))</f>
        <v>2</v>
      </c>
      <c r="C19" s="355">
        <f ca="1">IF(B19="","",IF(T42=TRUE,EOMONTH(IF(B19&lt;=$T$20,IF($T$28=TRUE,EDATE(C18,+(12/$T$22)),DATE(YEAR(EDATE(C18,+(12/$T$22))),MONTH(EDATE(C18,+(12/$T$22))),T27)),IF($T$28=TRUE,EDATE(C18,+(12/$T$35)),DATE(YEAR(EDATE(C18,+(12/$T$35))),MONTH(EDATE(C18,+(12/$T$35))),T27))),0),(IF(B19&lt;=$T$20,IF($T$28=TRUE,EDATE(C18,+(12/$T$22)),DATE(YEAR(EDATE(C18,+(12/$T$22))),MONTH(EDATE(C18,+(12/$T$22))),T27)),IF($T$28=TRUE,EDATE(C18,+(12/$T$35)),DATE(YEAR(EDATE(C18,+(12/$T$35))),MONTH(EDATE(C18,+(12/$T$35))),T27))))))</f>
        <v>45696</v>
      </c>
      <c r="D19" s="363"/>
      <c r="E19" s="264">
        <f t="shared" ca="1" si="0"/>
        <v>167.5</v>
      </c>
      <c r="F19" s="266">
        <f ca="1">IF(B19="","",F18+E19)</f>
        <v>335</v>
      </c>
      <c r="G19" s="365" t="str">
        <f t="shared" ref="G19:G50" ca="1" si="4">IF(B19="","",IF(B19=$T$19,$B$12,""))</f>
        <v/>
      </c>
      <c r="H19" s="266" t="str">
        <f t="shared" ref="H19:H50" ca="1" si="5">IF(G19="","",G19+F19)</f>
        <v/>
      </c>
      <c r="I19" s="538" t="str">
        <f ca="1">IF(G19="","",$F$12)</f>
        <v/>
      </c>
      <c r="J19" s="367" t="str">
        <f t="shared" ca="1" si="1"/>
        <v/>
      </c>
      <c r="K19" s="265" t="str">
        <f t="shared" ca="1" si="2"/>
        <v/>
      </c>
      <c r="L19" s="539" t="str">
        <f t="shared" ca="1" si="3"/>
        <v/>
      </c>
      <c r="M19" s="366" t="str">
        <f t="shared" ref="M19:M49" ca="1" si="6">IF(B19="","",IF(C19=$T$29,"到期日",IF(C19=$T$30,"可贖回日",IF($U$30="無對應贖回日",IF(C20&gt;$T$30,"可贖回日",""),""))))</f>
        <v/>
      </c>
      <c r="N19" s="362" t="str">
        <f t="shared" ref="N19:N49" ca="1" si="7">IF(B19="","",IF(AND($T$34="變動",C19=$T$30),"固定轉浮動",IF(AND($T$34="固定",M19="可贖回日",C19&lt;&gt;$T$30),TEXT($T$30,"yyyy/m/d"),"")))</f>
        <v/>
      </c>
      <c r="P19" s="269" t="str">
        <f t="shared" ref="P19:P82" ca="1" si="8">IF(B19="","",IF($T$34="浮動",T$36,IF(AND($T$34="變動",C19&gt;$T$30),T$36,"")))</f>
        <v/>
      </c>
      <c r="S19" s="317" t="s">
        <v>1731</v>
      </c>
      <c r="T19" s="318">
        <f ca="1">IF(T34="變動",T21-(DATEDIF(T30,T29,"y")*T22)+(DATEDIF(T30,T29,"y")*T35),T21)</f>
        <v>17</v>
      </c>
    </row>
    <row r="20" spans="2:21" s="270" customFormat="1" ht="18">
      <c r="B20" s="361">
        <f t="shared" ref="B20:B50" ca="1" si="9">IF(B19="","",IF(B19&lt;$T$19,B19+1,""))</f>
        <v>3</v>
      </c>
      <c r="C20" s="355">
        <f ca="1">IF(B20="","",IF($T$42=TRUE,EOMONTH(IF(B20&lt;=$T$20,EDATE(C19,+(12/$T$22)),EDATE(C19,+(12/$T$35))),0),IF(B20&lt;=$T$20,EDATE(C19,+(12/$T$22)),EDATE(C19,+(12/$T$35)))))</f>
        <v>45877</v>
      </c>
      <c r="D20" s="267"/>
      <c r="E20" s="264">
        <f t="shared" ca="1" si="0"/>
        <v>167.5</v>
      </c>
      <c r="F20" s="266">
        <f t="shared" ref="F20:F83" ca="1" si="10">IF(B20="","",F19+E20)</f>
        <v>502.5</v>
      </c>
      <c r="G20" s="365" t="str">
        <f t="shared" ca="1" si="4"/>
        <v/>
      </c>
      <c r="H20" s="266" t="str">
        <f t="shared" ca="1" si="5"/>
        <v/>
      </c>
      <c r="I20" s="538" t="str">
        <f t="shared" ref="I20:I82" ca="1" si="11">IF(G20="","",$F$12)</f>
        <v/>
      </c>
      <c r="J20" s="367" t="str">
        <f t="shared" ca="1" si="1"/>
        <v/>
      </c>
      <c r="K20" s="265" t="str">
        <f t="shared" ca="1" si="2"/>
        <v/>
      </c>
      <c r="L20" s="539" t="str">
        <f t="shared" ca="1" si="3"/>
        <v/>
      </c>
      <c r="M20" s="366" t="str">
        <f t="shared" ca="1" si="6"/>
        <v/>
      </c>
      <c r="N20" s="362" t="str">
        <f t="shared" ca="1" si="7"/>
        <v/>
      </c>
      <c r="P20" s="269" t="str">
        <f t="shared" ca="1" si="8"/>
        <v/>
      </c>
      <c r="S20" s="317" t="s">
        <v>1732</v>
      </c>
      <c r="T20" s="318">
        <f ca="1">IF(T34="變動",T21-(DATEDIF(T30,T29,"y")*T22),T21)</f>
        <v>17</v>
      </c>
    </row>
    <row r="21" spans="2:21" s="270" customFormat="1" ht="18">
      <c r="B21" s="361">
        <f t="shared" ca="1" si="9"/>
        <v>4</v>
      </c>
      <c r="C21" s="355">
        <f t="shared" ref="C21:C84" ca="1" si="12">IF(B21="","",IF($T$42=TRUE,EOMONTH(IF(B21&lt;=$T$20,EDATE(C20,+(12/$T$22)),EDATE(C20,+(12/$T$35))),0),IF(B21&lt;=$T$20,EDATE(C20,+(12/$T$22)),EDATE(C20,+(12/$T$35)))))</f>
        <v>46061</v>
      </c>
      <c r="D21" s="363"/>
      <c r="E21" s="264">
        <f t="shared" ca="1" si="0"/>
        <v>167.5</v>
      </c>
      <c r="F21" s="266">
        <f t="shared" ca="1" si="10"/>
        <v>670</v>
      </c>
      <c r="G21" s="365" t="str">
        <f t="shared" ca="1" si="4"/>
        <v/>
      </c>
      <c r="H21" s="266" t="str">
        <f t="shared" ca="1" si="5"/>
        <v/>
      </c>
      <c r="I21" s="538" t="str">
        <f t="shared" ca="1" si="11"/>
        <v/>
      </c>
      <c r="J21" s="367" t="str">
        <f t="shared" ca="1" si="1"/>
        <v/>
      </c>
      <c r="K21" s="265" t="str">
        <f t="shared" ca="1" si="2"/>
        <v/>
      </c>
      <c r="L21" s="539" t="str">
        <f t="shared" ca="1" si="3"/>
        <v/>
      </c>
      <c r="M21" s="366" t="str">
        <f t="shared" ca="1" si="6"/>
        <v/>
      </c>
      <c r="N21" s="362" t="str">
        <f t="shared" ca="1" si="7"/>
        <v/>
      </c>
      <c r="P21" s="269" t="str">
        <f t="shared" ca="1" si="8"/>
        <v/>
      </c>
      <c r="S21" s="319" t="s">
        <v>1733</v>
      </c>
      <c r="T21" s="269">
        <f>VLOOKUP(B8,bond!B:AD,29,FALSE)</f>
        <v>17</v>
      </c>
    </row>
    <row r="22" spans="2:21" s="270" customFormat="1" ht="18">
      <c r="B22" s="361">
        <f t="shared" ca="1" si="9"/>
        <v>5</v>
      </c>
      <c r="C22" s="355">
        <f t="shared" ca="1" si="12"/>
        <v>46242</v>
      </c>
      <c r="D22" s="363"/>
      <c r="E22" s="264">
        <f t="shared" ca="1" si="0"/>
        <v>167.5</v>
      </c>
      <c r="F22" s="266">
        <f t="shared" ca="1" si="10"/>
        <v>837.5</v>
      </c>
      <c r="G22" s="365" t="str">
        <f t="shared" ca="1" si="4"/>
        <v/>
      </c>
      <c r="H22" s="266" t="str">
        <f t="shared" ca="1" si="5"/>
        <v/>
      </c>
      <c r="I22" s="538" t="str">
        <f t="shared" ca="1" si="11"/>
        <v/>
      </c>
      <c r="J22" s="367" t="str">
        <f t="shared" ca="1" si="1"/>
        <v/>
      </c>
      <c r="K22" s="265" t="str">
        <f t="shared" ca="1" si="2"/>
        <v/>
      </c>
      <c r="L22" s="539" t="str">
        <f t="shared" ca="1" si="3"/>
        <v/>
      </c>
      <c r="M22" s="366" t="str">
        <f t="shared" ca="1" si="6"/>
        <v/>
      </c>
      <c r="N22" s="362" t="str">
        <f t="shared" ca="1" si="7"/>
        <v/>
      </c>
      <c r="P22" s="269" t="str">
        <f t="shared" ca="1" si="8"/>
        <v/>
      </c>
      <c r="S22" s="319" t="s">
        <v>1334</v>
      </c>
      <c r="T22" s="269">
        <f ca="1">VLOOKUP(B8,'銀行-TSS'!B:I,8,FALSE)</f>
        <v>2</v>
      </c>
    </row>
    <row r="23" spans="2:21" s="270" customFormat="1" ht="18">
      <c r="B23" s="361">
        <f t="shared" ca="1" si="9"/>
        <v>6</v>
      </c>
      <c r="C23" s="355">
        <f t="shared" ca="1" si="12"/>
        <v>46426</v>
      </c>
      <c r="D23" s="363"/>
      <c r="E23" s="264">
        <f t="shared" ca="1" si="0"/>
        <v>167.5</v>
      </c>
      <c r="F23" s="266">
        <f t="shared" ca="1" si="10"/>
        <v>1005</v>
      </c>
      <c r="G23" s="365" t="str">
        <f t="shared" ca="1" si="4"/>
        <v/>
      </c>
      <c r="H23" s="266" t="str">
        <f t="shared" ca="1" si="5"/>
        <v/>
      </c>
      <c r="I23" s="538" t="str">
        <f t="shared" ca="1" si="11"/>
        <v/>
      </c>
      <c r="J23" s="367" t="str">
        <f t="shared" ca="1" si="1"/>
        <v/>
      </c>
      <c r="K23" s="265" t="str">
        <f t="shared" ca="1" si="2"/>
        <v/>
      </c>
      <c r="L23" s="539" t="str">
        <f t="shared" ca="1" si="3"/>
        <v/>
      </c>
      <c r="M23" s="366" t="str">
        <f t="shared" ca="1" si="6"/>
        <v/>
      </c>
      <c r="N23" s="362" t="str">
        <f t="shared" ca="1" si="7"/>
        <v/>
      </c>
      <c r="P23" s="269" t="str">
        <f t="shared" ca="1" si="8"/>
        <v/>
      </c>
      <c r="S23" s="319" t="s">
        <v>1338</v>
      </c>
      <c r="T23" s="320">
        <f ca="1">B12*G12/T22</f>
        <v>167.5</v>
      </c>
    </row>
    <row r="24" spans="2:21" s="270" customFormat="1" ht="18">
      <c r="B24" s="361">
        <f t="shared" ca="1" si="9"/>
        <v>7</v>
      </c>
      <c r="C24" s="355">
        <f t="shared" ca="1" si="12"/>
        <v>46607</v>
      </c>
      <c r="D24" s="363"/>
      <c r="E24" s="264">
        <f t="shared" ca="1" si="0"/>
        <v>167.5</v>
      </c>
      <c r="F24" s="266">
        <f t="shared" ca="1" si="10"/>
        <v>1172.5</v>
      </c>
      <c r="G24" s="365" t="str">
        <f t="shared" ca="1" si="4"/>
        <v/>
      </c>
      <c r="H24" s="266" t="str">
        <f t="shared" ca="1" si="5"/>
        <v/>
      </c>
      <c r="I24" s="538" t="str">
        <f t="shared" ca="1" si="11"/>
        <v/>
      </c>
      <c r="J24" s="367" t="str">
        <f t="shared" ca="1" si="1"/>
        <v/>
      </c>
      <c r="K24" s="265" t="str">
        <f t="shared" ca="1" si="2"/>
        <v/>
      </c>
      <c r="L24" s="539" t="str">
        <f t="shared" ca="1" si="3"/>
        <v/>
      </c>
      <c r="M24" s="366" t="str">
        <f t="shared" ca="1" si="6"/>
        <v/>
      </c>
      <c r="N24" s="362" t="str">
        <f t="shared" ca="1" si="7"/>
        <v/>
      </c>
      <c r="P24" s="269" t="str">
        <f t="shared" ca="1" si="8"/>
        <v/>
      </c>
      <c r="T24" s="269"/>
    </row>
    <row r="25" spans="2:21" s="270" customFormat="1" ht="18">
      <c r="B25" s="361">
        <f t="shared" ca="1" si="9"/>
        <v>8</v>
      </c>
      <c r="C25" s="355">
        <f t="shared" ca="1" si="12"/>
        <v>46791</v>
      </c>
      <c r="D25" s="363"/>
      <c r="E25" s="264">
        <f t="shared" ca="1" si="0"/>
        <v>167.5</v>
      </c>
      <c r="F25" s="266">
        <f t="shared" ca="1" si="10"/>
        <v>1340</v>
      </c>
      <c r="G25" s="365" t="str">
        <f t="shared" ca="1" si="4"/>
        <v/>
      </c>
      <c r="H25" s="266" t="str">
        <f t="shared" ca="1" si="5"/>
        <v/>
      </c>
      <c r="I25" s="538" t="str">
        <f t="shared" ca="1" si="11"/>
        <v/>
      </c>
      <c r="J25" s="367" t="str">
        <f t="shared" ca="1" si="1"/>
        <v/>
      </c>
      <c r="K25" s="265" t="str">
        <f t="shared" ca="1" si="2"/>
        <v/>
      </c>
      <c r="L25" s="539" t="str">
        <f t="shared" ca="1" si="3"/>
        <v/>
      </c>
      <c r="M25" s="366" t="str">
        <f t="shared" ca="1" si="6"/>
        <v/>
      </c>
      <c r="N25" s="362" t="str">
        <f t="shared" ca="1" si="7"/>
        <v/>
      </c>
      <c r="P25" s="269" t="str">
        <f t="shared" ca="1" si="8"/>
        <v/>
      </c>
      <c r="S25" s="319" t="s">
        <v>1335</v>
      </c>
      <c r="T25" s="321">
        <f ca="1">IFERROR(DATEVALUE(VLOOKUP(B8,'銀行-TSS'!B:P,15,FALSE)),VLOOKUP(B8,'銀行-TSS'!B:P,15,FALSE))</f>
        <v>45512</v>
      </c>
    </row>
    <row r="26" spans="2:21" s="270" customFormat="1" ht="18">
      <c r="B26" s="361">
        <f t="shared" ca="1" si="9"/>
        <v>9</v>
      </c>
      <c r="C26" s="355">
        <f t="shared" ca="1" si="12"/>
        <v>46973</v>
      </c>
      <c r="D26" s="363"/>
      <c r="E26" s="264">
        <f t="shared" ca="1" si="0"/>
        <v>167.5</v>
      </c>
      <c r="F26" s="266">
        <f t="shared" ca="1" si="10"/>
        <v>1507.5</v>
      </c>
      <c r="G26" s="365" t="str">
        <f t="shared" ca="1" si="4"/>
        <v/>
      </c>
      <c r="H26" s="266" t="str">
        <f t="shared" ca="1" si="5"/>
        <v/>
      </c>
      <c r="I26" s="538" t="str">
        <f t="shared" ca="1" si="11"/>
        <v/>
      </c>
      <c r="J26" s="367" t="str">
        <f t="shared" ca="1" si="1"/>
        <v/>
      </c>
      <c r="K26" s="265" t="str">
        <f t="shared" ca="1" si="2"/>
        <v/>
      </c>
      <c r="L26" s="539" t="str">
        <f t="shared" ca="1" si="3"/>
        <v/>
      </c>
      <c r="M26" s="366" t="str">
        <f t="shared" ca="1" si="6"/>
        <v/>
      </c>
      <c r="N26" s="362" t="str">
        <f t="shared" ca="1" si="7"/>
        <v/>
      </c>
      <c r="P26" s="269" t="str">
        <f t="shared" ca="1" si="8"/>
        <v/>
      </c>
      <c r="S26" s="319" t="s">
        <v>1337</v>
      </c>
      <c r="T26" s="269">
        <f ca="1">MONTH(T25)</f>
        <v>8</v>
      </c>
    </row>
    <row r="27" spans="2:21" s="270" customFormat="1" ht="18">
      <c r="B27" s="361">
        <f t="shared" ca="1" si="9"/>
        <v>10</v>
      </c>
      <c r="C27" s="355">
        <f t="shared" ca="1" si="12"/>
        <v>47157</v>
      </c>
      <c r="D27" s="363"/>
      <c r="E27" s="264">
        <f t="shared" ca="1" si="0"/>
        <v>167.5</v>
      </c>
      <c r="F27" s="266">
        <f t="shared" ca="1" si="10"/>
        <v>1675</v>
      </c>
      <c r="G27" s="365" t="str">
        <f t="shared" ca="1" si="4"/>
        <v/>
      </c>
      <c r="H27" s="266" t="str">
        <f t="shared" ca="1" si="5"/>
        <v/>
      </c>
      <c r="I27" s="538" t="str">
        <f t="shared" ca="1" si="11"/>
        <v/>
      </c>
      <c r="J27" s="367" t="str">
        <f t="shared" ca="1" si="1"/>
        <v/>
      </c>
      <c r="K27" s="265" t="str">
        <f t="shared" ca="1" si="2"/>
        <v/>
      </c>
      <c r="L27" s="539" t="str">
        <f t="shared" ca="1" si="3"/>
        <v/>
      </c>
      <c r="M27" s="366" t="str">
        <f t="shared" ca="1" si="6"/>
        <v/>
      </c>
      <c r="N27" s="362" t="str">
        <f t="shared" ca="1" si="7"/>
        <v/>
      </c>
      <c r="P27" s="269" t="str">
        <f t="shared" ca="1" si="8"/>
        <v/>
      </c>
      <c r="S27" s="319" t="s">
        <v>1336</v>
      </c>
      <c r="T27" s="269">
        <f ca="1">DAY(T29)</f>
        <v>8</v>
      </c>
    </row>
    <row r="28" spans="2:21" ht="18">
      <c r="B28" s="361">
        <f t="shared" ca="1" si="9"/>
        <v>11</v>
      </c>
      <c r="C28" s="355">
        <f t="shared" ca="1" si="12"/>
        <v>47338</v>
      </c>
      <c r="E28" s="264">
        <f t="shared" ca="1" si="0"/>
        <v>167.5</v>
      </c>
      <c r="F28" s="266">
        <f t="shared" ca="1" si="10"/>
        <v>1842.5</v>
      </c>
      <c r="G28" s="365" t="str">
        <f t="shared" ca="1" si="4"/>
        <v/>
      </c>
      <c r="H28" s="266" t="str">
        <f t="shared" ca="1" si="5"/>
        <v/>
      </c>
      <c r="I28" s="538" t="str">
        <f t="shared" ca="1" si="11"/>
        <v/>
      </c>
      <c r="J28" s="367" t="str">
        <f t="shared" ca="1" si="1"/>
        <v/>
      </c>
      <c r="K28" s="265" t="str">
        <f t="shared" ca="1" si="2"/>
        <v/>
      </c>
      <c r="L28" s="539" t="str">
        <f t="shared" ca="1" si="3"/>
        <v/>
      </c>
      <c r="M28" s="366" t="str">
        <f t="shared" ca="1" si="6"/>
        <v/>
      </c>
      <c r="N28" s="362" t="str">
        <f t="shared" ca="1" si="7"/>
        <v/>
      </c>
      <c r="P28" s="269" t="str">
        <f t="shared" ca="1" si="8"/>
        <v/>
      </c>
      <c r="S28" s="315" t="s">
        <v>1714</v>
      </c>
      <c r="T28" s="269" t="b">
        <f ca="1">IF(DAY(T25)=DAY(T29),TRUE,FALSE)</f>
        <v>1</v>
      </c>
      <c r="U28" s="270"/>
    </row>
    <row r="29" spans="2:21" ht="18">
      <c r="B29" s="361">
        <f t="shared" ca="1" si="9"/>
        <v>12</v>
      </c>
      <c r="C29" s="355">
        <f t="shared" ca="1" si="12"/>
        <v>47522</v>
      </c>
      <c r="E29" s="264">
        <f t="shared" ca="1" si="0"/>
        <v>167.5</v>
      </c>
      <c r="F29" s="266">
        <f t="shared" ca="1" si="10"/>
        <v>2010</v>
      </c>
      <c r="G29" s="365" t="str">
        <f t="shared" ca="1" si="4"/>
        <v/>
      </c>
      <c r="H29" s="266" t="str">
        <f t="shared" ca="1" si="5"/>
        <v/>
      </c>
      <c r="I29" s="538" t="str">
        <f t="shared" ca="1" si="11"/>
        <v/>
      </c>
      <c r="J29" s="367" t="str">
        <f t="shared" ca="1" si="1"/>
        <v/>
      </c>
      <c r="K29" s="265" t="str">
        <f t="shared" ca="1" si="2"/>
        <v/>
      </c>
      <c r="L29" s="539" t="str">
        <f t="shared" ca="1" si="3"/>
        <v/>
      </c>
      <c r="M29" s="366" t="str">
        <f t="shared" ca="1" si="6"/>
        <v/>
      </c>
      <c r="N29" s="362" t="str">
        <f t="shared" ca="1" si="7"/>
        <v/>
      </c>
      <c r="P29" s="269" t="str">
        <f t="shared" ca="1" si="8"/>
        <v/>
      </c>
      <c r="S29" s="319" t="s">
        <v>1330</v>
      </c>
      <c r="T29" s="321">
        <f ca="1">IFERROR(DATEVALUE(VLOOKUP(B8,'銀行-TSS'!B:F,5,FALSE)),VLOOKUP(B8,'銀行-TSS'!B:F,5,FALSE))</f>
        <v>48434</v>
      </c>
    </row>
    <row r="30" spans="2:21" ht="18">
      <c r="B30" s="361">
        <f t="shared" ca="1" si="9"/>
        <v>13</v>
      </c>
      <c r="C30" s="355">
        <f t="shared" ca="1" si="12"/>
        <v>47703</v>
      </c>
      <c r="E30" s="264">
        <f t="shared" ca="1" si="0"/>
        <v>167.5</v>
      </c>
      <c r="F30" s="266">
        <f t="shared" ca="1" si="10"/>
        <v>2177.5</v>
      </c>
      <c r="G30" s="365" t="str">
        <f t="shared" ca="1" si="4"/>
        <v/>
      </c>
      <c r="H30" s="266" t="str">
        <f t="shared" ca="1" si="5"/>
        <v/>
      </c>
      <c r="I30" s="538" t="str">
        <f t="shared" ca="1" si="11"/>
        <v/>
      </c>
      <c r="J30" s="367" t="str">
        <f t="shared" ca="1" si="1"/>
        <v/>
      </c>
      <c r="K30" s="265" t="str">
        <f t="shared" ca="1" si="2"/>
        <v/>
      </c>
      <c r="L30" s="539" t="str">
        <f t="shared" ca="1" si="3"/>
        <v/>
      </c>
      <c r="M30" s="366" t="str">
        <f t="shared" ca="1" si="6"/>
        <v/>
      </c>
      <c r="N30" s="362" t="str">
        <f t="shared" ca="1" si="7"/>
        <v/>
      </c>
      <c r="P30" s="269" t="str">
        <f t="shared" ca="1" si="8"/>
        <v/>
      </c>
      <c r="S30" s="319" t="s">
        <v>1329</v>
      </c>
      <c r="T30" s="321">
        <f ca="1">IFERROR(DATEVALUE(VLOOKUP(B8,'銀行-TSS'!B:AF,31,FALSE)),VLOOKUP(B8,'銀行-TSS'!B:AF,31,FALSE))</f>
        <v>48342</v>
      </c>
      <c r="U30" s="322" t="str">
        <f ca="1">IFERROR(VLOOKUP(T30,C18:C97,1,FALSE),"無對應贖回日")</f>
        <v>無對應贖回日</v>
      </c>
    </row>
    <row r="31" spans="2:21" ht="18">
      <c r="B31" s="361">
        <f t="shared" ca="1" si="9"/>
        <v>14</v>
      </c>
      <c r="C31" s="355">
        <f t="shared" ca="1" si="12"/>
        <v>47887</v>
      </c>
      <c r="E31" s="264">
        <f t="shared" ca="1" si="0"/>
        <v>167.5</v>
      </c>
      <c r="F31" s="266">
        <f t="shared" ca="1" si="10"/>
        <v>2345</v>
      </c>
      <c r="G31" s="365" t="str">
        <f t="shared" ca="1" si="4"/>
        <v/>
      </c>
      <c r="H31" s="266" t="str">
        <f t="shared" ca="1" si="5"/>
        <v/>
      </c>
      <c r="I31" s="538" t="str">
        <f ca="1">IF(G31="","",$F$12)</f>
        <v/>
      </c>
      <c r="J31" s="367" t="str">
        <f t="shared" ca="1" si="1"/>
        <v/>
      </c>
      <c r="K31" s="265" t="str">
        <f t="shared" ca="1" si="2"/>
        <v/>
      </c>
      <c r="L31" s="539" t="str">
        <f t="shared" ca="1" si="3"/>
        <v/>
      </c>
      <c r="M31" s="366" t="str">
        <f t="shared" ca="1" si="6"/>
        <v/>
      </c>
      <c r="N31" s="362" t="str">
        <f t="shared" ca="1" si="7"/>
        <v/>
      </c>
      <c r="P31" s="269" t="str">
        <f t="shared" ca="1" si="8"/>
        <v/>
      </c>
      <c r="S31" s="319" t="s">
        <v>1713</v>
      </c>
      <c r="T31" s="323">
        <f ca="1">VLOOKUP(B8,'銀行-TSS'!B:AE,30,FALSE)</f>
        <v>4.3799999999999999E-2</v>
      </c>
    </row>
    <row r="32" spans="2:21" ht="18">
      <c r="B32" s="361">
        <f t="shared" ca="1" si="9"/>
        <v>15</v>
      </c>
      <c r="C32" s="355">
        <f t="shared" ca="1" si="12"/>
        <v>48068</v>
      </c>
      <c r="E32" s="264">
        <f t="shared" ca="1" si="0"/>
        <v>167.5</v>
      </c>
      <c r="F32" s="266">
        <f t="shared" ca="1" si="10"/>
        <v>2512.5</v>
      </c>
      <c r="G32" s="365" t="str">
        <f t="shared" ca="1" si="4"/>
        <v/>
      </c>
      <c r="H32" s="266" t="str">
        <f t="shared" ca="1" si="5"/>
        <v/>
      </c>
      <c r="I32" s="538" t="str">
        <f t="shared" ca="1" si="11"/>
        <v/>
      </c>
      <c r="J32" s="367" t="str">
        <f t="shared" ca="1" si="1"/>
        <v/>
      </c>
      <c r="K32" s="265" t="str">
        <f t="shared" ca="1" si="2"/>
        <v/>
      </c>
      <c r="L32" s="539" t="str">
        <f t="shared" ca="1" si="3"/>
        <v/>
      </c>
      <c r="M32" s="366" t="str">
        <f t="shared" ca="1" si="6"/>
        <v/>
      </c>
      <c r="N32" s="362" t="str">
        <f t="shared" ca="1" si="7"/>
        <v/>
      </c>
      <c r="P32" s="269" t="str">
        <f t="shared" ca="1" si="8"/>
        <v/>
      </c>
    </row>
    <row r="33" spans="2:20" ht="18">
      <c r="B33" s="361">
        <f t="shared" ca="1" si="9"/>
        <v>16</v>
      </c>
      <c r="C33" s="355">
        <f t="shared" ca="1" si="12"/>
        <v>48252</v>
      </c>
      <c r="E33" s="264">
        <f t="shared" ca="1" si="0"/>
        <v>167.5</v>
      </c>
      <c r="F33" s="266">
        <f t="shared" ca="1" si="10"/>
        <v>2680</v>
      </c>
      <c r="G33" s="365" t="str">
        <f t="shared" ca="1" si="4"/>
        <v/>
      </c>
      <c r="H33" s="266" t="str">
        <f t="shared" ca="1" si="5"/>
        <v/>
      </c>
      <c r="I33" s="538" t="str">
        <f t="shared" ca="1" si="11"/>
        <v/>
      </c>
      <c r="J33" s="367">
        <f t="shared" ca="1" si="1"/>
        <v>10000</v>
      </c>
      <c r="K33" s="265">
        <f t="shared" ca="1" si="2"/>
        <v>12763.75</v>
      </c>
      <c r="L33" s="539">
        <f t="shared" ca="1" si="3"/>
        <v>4.3799999999999999E-2</v>
      </c>
      <c r="M33" s="366" t="str">
        <f t="shared" ca="1" si="6"/>
        <v>可贖回日</v>
      </c>
      <c r="N33" s="362" t="str">
        <f t="shared" ca="1" si="7"/>
        <v>2032/5/8</v>
      </c>
      <c r="P33" s="269" t="str">
        <f t="shared" ca="1" si="8"/>
        <v/>
      </c>
    </row>
    <row r="34" spans="2:20" ht="18">
      <c r="B34" s="361">
        <f t="shared" ca="1" si="9"/>
        <v>17</v>
      </c>
      <c r="C34" s="355">
        <f t="shared" ca="1" si="12"/>
        <v>48434</v>
      </c>
      <c r="E34" s="264">
        <f t="shared" ca="1" si="0"/>
        <v>167.5</v>
      </c>
      <c r="F34" s="266">
        <f t="shared" ca="1" si="10"/>
        <v>2847.5</v>
      </c>
      <c r="G34" s="365">
        <f t="shared" ca="1" si="4"/>
        <v>10000</v>
      </c>
      <c r="H34" s="266">
        <f t="shared" ca="1" si="5"/>
        <v>12847.5</v>
      </c>
      <c r="I34" s="538">
        <f t="shared" ca="1" si="11"/>
        <v>4.3499999999999997E-2</v>
      </c>
      <c r="J34" s="367" t="str">
        <f t="shared" ca="1" si="1"/>
        <v/>
      </c>
      <c r="K34" s="265" t="str">
        <f t="shared" ca="1" si="2"/>
        <v/>
      </c>
      <c r="L34" s="539" t="str">
        <f t="shared" ca="1" si="3"/>
        <v/>
      </c>
      <c r="M34" s="366" t="str">
        <f t="shared" ca="1" si="6"/>
        <v>到期日</v>
      </c>
      <c r="N34" s="362" t="str">
        <f t="shared" ca="1" si="7"/>
        <v/>
      </c>
      <c r="P34" s="269" t="str">
        <f t="shared" ca="1" si="8"/>
        <v/>
      </c>
      <c r="S34" s="319" t="s">
        <v>1727</v>
      </c>
      <c r="T34" s="324" t="str">
        <f ca="1">VLOOKUP(B8,'銀行-TSS'!B:AG,32,FALSE)</f>
        <v>固定</v>
      </c>
    </row>
    <row r="35" spans="2:20" ht="18">
      <c r="B35" s="361" t="str">
        <f t="shared" ca="1" si="9"/>
        <v/>
      </c>
      <c r="C35" s="355" t="str">
        <f t="shared" ca="1" si="12"/>
        <v/>
      </c>
      <c r="E35" s="264" t="str">
        <f t="shared" ca="1" si="0"/>
        <v/>
      </c>
      <c r="F35" s="266" t="str">
        <f t="shared" ca="1" si="10"/>
        <v/>
      </c>
      <c r="G35" s="365" t="str">
        <f t="shared" ca="1" si="4"/>
        <v/>
      </c>
      <c r="H35" s="266" t="str">
        <f t="shared" ca="1" si="5"/>
        <v/>
      </c>
      <c r="I35" s="538" t="str">
        <f t="shared" ca="1" si="11"/>
        <v/>
      </c>
      <c r="J35" s="367" t="str">
        <f t="shared" ca="1" si="1"/>
        <v/>
      </c>
      <c r="K35" s="265" t="str">
        <f t="shared" ca="1" si="2"/>
        <v/>
      </c>
      <c r="L35" s="539" t="str">
        <f t="shared" ca="1" si="3"/>
        <v/>
      </c>
      <c r="M35" s="366" t="str">
        <f t="shared" ca="1" si="6"/>
        <v/>
      </c>
      <c r="N35" s="362" t="str">
        <f t="shared" ca="1" si="7"/>
        <v/>
      </c>
      <c r="P35" s="269" t="str">
        <f t="shared" ca="1" si="8"/>
        <v/>
      </c>
      <c r="S35" s="315" t="s">
        <v>1729</v>
      </c>
      <c r="T35" s="269" t="str">
        <f>IFERROR(VLOOKUP(B8,'5_非固定類型(手動)'!A:C,3,FALSE),"")</f>
        <v/>
      </c>
    </row>
    <row r="36" spans="2:20" ht="18">
      <c r="B36" s="361" t="str">
        <f t="shared" ca="1" si="9"/>
        <v/>
      </c>
      <c r="C36" s="355" t="str">
        <f t="shared" ca="1" si="12"/>
        <v/>
      </c>
      <c r="E36" s="264" t="str">
        <f t="shared" ca="1" si="0"/>
        <v/>
      </c>
      <c r="F36" s="266" t="str">
        <f t="shared" ca="1" si="10"/>
        <v/>
      </c>
      <c r="G36" s="365" t="str">
        <f t="shared" ca="1" si="4"/>
        <v/>
      </c>
      <c r="H36" s="266" t="str">
        <f t="shared" ca="1" si="5"/>
        <v/>
      </c>
      <c r="I36" s="538" t="str">
        <f t="shared" ca="1" si="11"/>
        <v/>
      </c>
      <c r="J36" s="367" t="str">
        <f t="shared" ca="1" si="1"/>
        <v/>
      </c>
      <c r="K36" s="265" t="str">
        <f t="shared" ca="1" si="2"/>
        <v/>
      </c>
      <c r="L36" s="539" t="str">
        <f t="shared" ca="1" si="3"/>
        <v/>
      </c>
      <c r="M36" s="366" t="str">
        <f t="shared" ca="1" si="6"/>
        <v/>
      </c>
      <c r="N36" s="362" t="str">
        <f t="shared" ca="1" si="7"/>
        <v/>
      </c>
      <c r="P36" s="269" t="str">
        <f t="shared" ca="1" si="8"/>
        <v/>
      </c>
      <c r="S36" s="315" t="s">
        <v>1730</v>
      </c>
      <c r="T36" s="261" t="str">
        <f>IFERROR(VLOOKUP(B8,'5_非固定類型(手動)'!A:F,6,FALSE),"")</f>
        <v/>
      </c>
    </row>
    <row r="37" spans="2:20" ht="18">
      <c r="B37" s="361" t="str">
        <f t="shared" ca="1" si="9"/>
        <v/>
      </c>
      <c r="C37" s="355" t="str">
        <f t="shared" ca="1" si="12"/>
        <v/>
      </c>
      <c r="E37" s="264" t="str">
        <f t="shared" ca="1" si="0"/>
        <v/>
      </c>
      <c r="F37" s="266" t="str">
        <f t="shared" ca="1" si="10"/>
        <v/>
      </c>
      <c r="G37" s="365" t="str">
        <f t="shared" ca="1" si="4"/>
        <v/>
      </c>
      <c r="H37" s="266" t="str">
        <f t="shared" ca="1" si="5"/>
        <v/>
      </c>
      <c r="I37" s="538" t="str">
        <f t="shared" ca="1" si="11"/>
        <v/>
      </c>
      <c r="J37" s="367" t="str">
        <f t="shared" ca="1" si="1"/>
        <v/>
      </c>
      <c r="K37" s="265" t="str">
        <f t="shared" ca="1" si="2"/>
        <v/>
      </c>
      <c r="L37" s="539" t="str">
        <f t="shared" ca="1" si="3"/>
        <v/>
      </c>
      <c r="M37" s="366" t="str">
        <f t="shared" ca="1" si="6"/>
        <v/>
      </c>
      <c r="N37" s="362" t="str">
        <f t="shared" ca="1" si="7"/>
        <v/>
      </c>
      <c r="P37" s="269" t="str">
        <f t="shared" ca="1" si="8"/>
        <v/>
      </c>
      <c r="S37" s="325" t="s">
        <v>1735</v>
      </c>
      <c r="T37" s="326" t="str">
        <f>IFERROR(VLOOKUP(B8,'5_非固定類型(手動)'!A:G,7,FALSE),"")</f>
        <v/>
      </c>
    </row>
    <row r="38" spans="2:20" ht="18">
      <c r="B38" s="361" t="str">
        <f t="shared" ca="1" si="9"/>
        <v/>
      </c>
      <c r="C38" s="355" t="str">
        <f t="shared" ca="1" si="12"/>
        <v/>
      </c>
      <c r="E38" s="264" t="str">
        <f t="shared" ca="1" si="0"/>
        <v/>
      </c>
      <c r="F38" s="266" t="str">
        <f t="shared" ca="1" si="10"/>
        <v/>
      </c>
      <c r="G38" s="365" t="str">
        <f t="shared" ca="1" si="4"/>
        <v/>
      </c>
      <c r="H38" s="266" t="str">
        <f t="shared" ca="1" si="5"/>
        <v/>
      </c>
      <c r="I38" s="538" t="str">
        <f t="shared" ca="1" si="11"/>
        <v/>
      </c>
      <c r="J38" s="367" t="str">
        <f t="shared" ca="1" si="1"/>
        <v/>
      </c>
      <c r="K38" s="265" t="str">
        <f t="shared" ca="1" si="2"/>
        <v/>
      </c>
      <c r="L38" s="539" t="str">
        <f t="shared" ca="1" si="3"/>
        <v/>
      </c>
      <c r="M38" s="366" t="str">
        <f t="shared" ca="1" si="6"/>
        <v/>
      </c>
      <c r="N38" s="362" t="str">
        <f t="shared" ca="1" si="7"/>
        <v/>
      </c>
      <c r="P38" s="269" t="str">
        <f t="shared" ca="1" si="8"/>
        <v/>
      </c>
      <c r="S38" s="315" t="s">
        <v>1734</v>
      </c>
      <c r="T38" s="347" t="str">
        <f>IFERROR(B12*T37/T35,"")</f>
        <v/>
      </c>
    </row>
    <row r="39" spans="2:20" ht="18">
      <c r="B39" s="361" t="str">
        <f t="shared" ca="1" si="9"/>
        <v/>
      </c>
      <c r="C39" s="355" t="str">
        <f t="shared" ca="1" si="12"/>
        <v/>
      </c>
      <c r="E39" s="264" t="str">
        <f t="shared" ca="1" si="0"/>
        <v/>
      </c>
      <c r="F39" s="266" t="str">
        <f t="shared" ca="1" si="10"/>
        <v/>
      </c>
      <c r="G39" s="365" t="str">
        <f t="shared" ca="1" si="4"/>
        <v/>
      </c>
      <c r="H39" s="266" t="str">
        <f t="shared" ca="1" si="5"/>
        <v/>
      </c>
      <c r="I39" s="538" t="str">
        <f t="shared" ca="1" si="11"/>
        <v/>
      </c>
      <c r="J39" s="367" t="str">
        <f t="shared" ca="1" si="1"/>
        <v/>
      </c>
      <c r="K39" s="265" t="str">
        <f t="shared" ca="1" si="2"/>
        <v/>
      </c>
      <c r="L39" s="539" t="str">
        <f t="shared" ca="1" si="3"/>
        <v/>
      </c>
      <c r="M39" s="366" t="str">
        <f t="shared" ca="1" si="6"/>
        <v/>
      </c>
      <c r="N39" s="362" t="str">
        <f t="shared" ca="1" si="7"/>
        <v/>
      </c>
      <c r="P39" s="269" t="str">
        <f t="shared" ca="1" si="8"/>
        <v/>
      </c>
    </row>
    <row r="40" spans="2:20" ht="18">
      <c r="B40" s="361" t="str">
        <f t="shared" ca="1" si="9"/>
        <v/>
      </c>
      <c r="C40" s="355" t="str">
        <f t="shared" ca="1" si="12"/>
        <v/>
      </c>
      <c r="E40" s="264" t="str">
        <f t="shared" ca="1" si="0"/>
        <v/>
      </c>
      <c r="F40" s="266" t="str">
        <f t="shared" ca="1" si="10"/>
        <v/>
      </c>
      <c r="G40" s="365" t="str">
        <f t="shared" ca="1" si="4"/>
        <v/>
      </c>
      <c r="H40" s="266" t="str">
        <f t="shared" ca="1" si="5"/>
        <v/>
      </c>
      <c r="I40" s="538" t="str">
        <f t="shared" ca="1" si="11"/>
        <v/>
      </c>
      <c r="J40" s="367" t="str">
        <f t="shared" ca="1" si="1"/>
        <v/>
      </c>
      <c r="K40" s="265" t="str">
        <f t="shared" ca="1" si="2"/>
        <v/>
      </c>
      <c r="L40" s="539" t="str">
        <f t="shared" ca="1" si="3"/>
        <v/>
      </c>
      <c r="M40" s="366" t="str">
        <f t="shared" ca="1" si="6"/>
        <v/>
      </c>
      <c r="N40" s="362" t="str">
        <f t="shared" ca="1" si="7"/>
        <v/>
      </c>
      <c r="P40" s="269" t="str">
        <f t="shared" ca="1" si="8"/>
        <v/>
      </c>
      <c r="S40" s="325" t="s">
        <v>1749</v>
      </c>
      <c r="T40" s="261" t="str">
        <f>VLOOKUP(B8,bond!B:AM,38,FALSE)</f>
        <v>N</v>
      </c>
    </row>
    <row r="41" spans="2:20" ht="18">
      <c r="B41" s="361" t="str">
        <f t="shared" ca="1" si="9"/>
        <v/>
      </c>
      <c r="C41" s="355" t="str">
        <f t="shared" ca="1" si="12"/>
        <v/>
      </c>
      <c r="E41" s="264" t="str">
        <f t="shared" ca="1" si="0"/>
        <v/>
      </c>
      <c r="F41" s="266" t="str">
        <f t="shared" ca="1" si="10"/>
        <v/>
      </c>
      <c r="G41" s="365" t="str">
        <f t="shared" ca="1" si="4"/>
        <v/>
      </c>
      <c r="H41" s="266" t="str">
        <f t="shared" ca="1" si="5"/>
        <v/>
      </c>
      <c r="I41" s="538" t="str">
        <f t="shared" ca="1" si="11"/>
        <v/>
      </c>
      <c r="J41" s="367" t="str">
        <f t="shared" ca="1" si="1"/>
        <v/>
      </c>
      <c r="K41" s="265" t="str">
        <f t="shared" ca="1" si="2"/>
        <v/>
      </c>
      <c r="L41" s="539" t="str">
        <f t="shared" ca="1" si="3"/>
        <v/>
      </c>
      <c r="M41" s="366" t="str">
        <f t="shared" ca="1" si="6"/>
        <v/>
      </c>
      <c r="N41" s="362" t="str">
        <f t="shared" ca="1" si="7"/>
        <v/>
      </c>
      <c r="P41" s="269" t="str">
        <f t="shared" ca="1" si="8"/>
        <v/>
      </c>
      <c r="S41" s="623" t="s">
        <v>2169</v>
      </c>
    </row>
    <row r="42" spans="2:20" ht="18">
      <c r="B42" s="361" t="str">
        <f t="shared" ca="1" si="9"/>
        <v/>
      </c>
      <c r="C42" s="355" t="str">
        <f t="shared" ca="1" si="12"/>
        <v/>
      </c>
      <c r="E42" s="264" t="str">
        <f t="shared" ca="1" si="0"/>
        <v/>
      </c>
      <c r="F42" s="266" t="str">
        <f t="shared" ca="1" si="10"/>
        <v/>
      </c>
      <c r="G42" s="365" t="str">
        <f t="shared" ca="1" si="4"/>
        <v/>
      </c>
      <c r="H42" s="266" t="str">
        <f t="shared" ca="1" si="5"/>
        <v/>
      </c>
      <c r="I42" s="538" t="str">
        <f t="shared" ca="1" si="11"/>
        <v/>
      </c>
      <c r="J42" s="367" t="str">
        <f t="shared" ca="1" si="1"/>
        <v/>
      </c>
      <c r="K42" s="265" t="str">
        <f t="shared" ca="1" si="2"/>
        <v/>
      </c>
      <c r="L42" s="539" t="str">
        <f t="shared" ca="1" si="3"/>
        <v/>
      </c>
      <c r="M42" s="366" t="str">
        <f t="shared" ca="1" si="6"/>
        <v/>
      </c>
      <c r="N42" s="362" t="str">
        <f t="shared" ca="1" si="7"/>
        <v/>
      </c>
      <c r="P42" s="269" t="str">
        <f t="shared" ca="1" si="8"/>
        <v/>
      </c>
      <c r="S42" s="623" t="s">
        <v>2168</v>
      </c>
      <c r="T42" s="261" t="b">
        <f ca="1">IFERROR(AND(FIND("美國政府",C8)=1,T27&gt;=30),FALSE)</f>
        <v>0</v>
      </c>
    </row>
    <row r="43" spans="2:20" ht="18">
      <c r="B43" s="361" t="str">
        <f t="shared" ca="1" si="9"/>
        <v/>
      </c>
      <c r="C43" s="355" t="str">
        <f t="shared" ca="1" si="12"/>
        <v/>
      </c>
      <c r="E43" s="264" t="str">
        <f t="shared" ca="1" si="0"/>
        <v/>
      </c>
      <c r="F43" s="266" t="str">
        <f t="shared" ca="1" si="10"/>
        <v/>
      </c>
      <c r="G43" s="365" t="str">
        <f t="shared" ca="1" si="4"/>
        <v/>
      </c>
      <c r="H43" s="266" t="str">
        <f t="shared" ca="1" si="5"/>
        <v/>
      </c>
      <c r="I43" s="538" t="str">
        <f t="shared" ca="1" si="11"/>
        <v/>
      </c>
      <c r="J43" s="367" t="str">
        <f t="shared" ca="1" si="1"/>
        <v/>
      </c>
      <c r="K43" s="265" t="str">
        <f t="shared" ca="1" si="2"/>
        <v/>
      </c>
      <c r="L43" s="539" t="str">
        <f t="shared" ca="1" si="3"/>
        <v/>
      </c>
      <c r="M43" s="366" t="str">
        <f t="shared" ca="1" si="6"/>
        <v/>
      </c>
      <c r="N43" s="362" t="str">
        <f t="shared" ca="1" si="7"/>
        <v/>
      </c>
      <c r="P43" s="269" t="str">
        <f t="shared" ca="1" si="8"/>
        <v/>
      </c>
    </row>
    <row r="44" spans="2:20" ht="18">
      <c r="B44" s="361" t="str">
        <f t="shared" ca="1" si="9"/>
        <v/>
      </c>
      <c r="C44" s="355" t="str">
        <f t="shared" ca="1" si="12"/>
        <v/>
      </c>
      <c r="E44" s="264" t="str">
        <f t="shared" ca="1" si="0"/>
        <v/>
      </c>
      <c r="F44" s="266" t="str">
        <f t="shared" ca="1" si="10"/>
        <v/>
      </c>
      <c r="G44" s="365" t="str">
        <f t="shared" ca="1" si="4"/>
        <v/>
      </c>
      <c r="H44" s="266" t="str">
        <f t="shared" ca="1" si="5"/>
        <v/>
      </c>
      <c r="I44" s="538" t="str">
        <f t="shared" ca="1" si="11"/>
        <v/>
      </c>
      <c r="J44" s="367" t="str">
        <f t="shared" ca="1" si="1"/>
        <v/>
      </c>
      <c r="K44" s="265" t="str">
        <f t="shared" ca="1" si="2"/>
        <v/>
      </c>
      <c r="L44" s="539" t="str">
        <f t="shared" ca="1" si="3"/>
        <v/>
      </c>
      <c r="M44" s="366" t="str">
        <f t="shared" ca="1" si="6"/>
        <v/>
      </c>
      <c r="N44" s="362" t="str">
        <f t="shared" ca="1" si="7"/>
        <v/>
      </c>
      <c r="P44" s="269" t="str">
        <f t="shared" ca="1" si="8"/>
        <v/>
      </c>
    </row>
    <row r="45" spans="2:20" ht="18">
      <c r="B45" s="361" t="str">
        <f t="shared" ca="1" si="9"/>
        <v/>
      </c>
      <c r="C45" s="355" t="str">
        <f t="shared" ca="1" si="12"/>
        <v/>
      </c>
      <c r="E45" s="264" t="str">
        <f t="shared" ca="1" si="0"/>
        <v/>
      </c>
      <c r="F45" s="266" t="str">
        <f t="shared" ca="1" si="10"/>
        <v/>
      </c>
      <c r="G45" s="365" t="str">
        <f t="shared" ca="1" si="4"/>
        <v/>
      </c>
      <c r="H45" s="266" t="str">
        <f t="shared" ca="1" si="5"/>
        <v/>
      </c>
      <c r="I45" s="538" t="str">
        <f t="shared" ca="1" si="11"/>
        <v/>
      </c>
      <c r="J45" s="367" t="str">
        <f t="shared" ca="1" si="1"/>
        <v/>
      </c>
      <c r="K45" s="265" t="str">
        <f t="shared" ca="1" si="2"/>
        <v/>
      </c>
      <c r="L45" s="539" t="str">
        <f t="shared" ca="1" si="3"/>
        <v/>
      </c>
      <c r="M45" s="366" t="str">
        <f t="shared" ca="1" si="6"/>
        <v/>
      </c>
      <c r="N45" s="362" t="str">
        <f t="shared" ca="1" si="7"/>
        <v/>
      </c>
      <c r="P45" s="269" t="str">
        <f t="shared" ca="1" si="8"/>
        <v/>
      </c>
    </row>
    <row r="46" spans="2:20" ht="18">
      <c r="B46" s="361" t="str">
        <f t="shared" ca="1" si="9"/>
        <v/>
      </c>
      <c r="C46" s="355" t="str">
        <f t="shared" ca="1" si="12"/>
        <v/>
      </c>
      <c r="E46" s="264" t="str">
        <f t="shared" ca="1" si="0"/>
        <v/>
      </c>
      <c r="F46" s="266" t="str">
        <f t="shared" ca="1" si="10"/>
        <v/>
      </c>
      <c r="G46" s="365" t="str">
        <f t="shared" ca="1" si="4"/>
        <v/>
      </c>
      <c r="H46" s="266" t="str">
        <f t="shared" ca="1" si="5"/>
        <v/>
      </c>
      <c r="I46" s="538" t="str">
        <f t="shared" ca="1" si="11"/>
        <v/>
      </c>
      <c r="J46" s="367" t="str">
        <f t="shared" ca="1" si="1"/>
        <v/>
      </c>
      <c r="K46" s="265" t="str">
        <f t="shared" ca="1" si="2"/>
        <v/>
      </c>
      <c r="L46" s="539" t="str">
        <f t="shared" ca="1" si="3"/>
        <v/>
      </c>
      <c r="M46" s="366" t="str">
        <f t="shared" ca="1" si="6"/>
        <v/>
      </c>
      <c r="N46" s="362" t="str">
        <f t="shared" ca="1" si="7"/>
        <v/>
      </c>
      <c r="P46" s="269" t="str">
        <f t="shared" ca="1" si="8"/>
        <v/>
      </c>
      <c r="S46" s="346"/>
    </row>
    <row r="47" spans="2:20" ht="18">
      <c r="B47" s="361" t="str">
        <f t="shared" ca="1" si="9"/>
        <v/>
      </c>
      <c r="C47" s="355" t="str">
        <f t="shared" ca="1" si="12"/>
        <v/>
      </c>
      <c r="E47" s="264" t="str">
        <f t="shared" ca="1" si="0"/>
        <v/>
      </c>
      <c r="F47" s="266" t="str">
        <f t="shared" ca="1" si="10"/>
        <v/>
      </c>
      <c r="G47" s="365" t="str">
        <f t="shared" ca="1" si="4"/>
        <v/>
      </c>
      <c r="H47" s="266" t="str">
        <f t="shared" ca="1" si="5"/>
        <v/>
      </c>
      <c r="I47" s="538" t="str">
        <f t="shared" ca="1" si="11"/>
        <v/>
      </c>
      <c r="J47" s="367" t="str">
        <f t="shared" ca="1" si="1"/>
        <v/>
      </c>
      <c r="K47" s="265" t="str">
        <f t="shared" ca="1" si="2"/>
        <v/>
      </c>
      <c r="L47" s="539" t="str">
        <f t="shared" ca="1" si="3"/>
        <v/>
      </c>
      <c r="M47" s="366" t="str">
        <f t="shared" ca="1" si="6"/>
        <v/>
      </c>
      <c r="N47" s="362" t="str">
        <f t="shared" ca="1" si="7"/>
        <v/>
      </c>
      <c r="P47" s="269" t="str">
        <f t="shared" ca="1" si="8"/>
        <v/>
      </c>
    </row>
    <row r="48" spans="2:20" ht="18">
      <c r="B48" s="361" t="str">
        <f t="shared" ca="1" si="9"/>
        <v/>
      </c>
      <c r="C48" s="355" t="str">
        <f t="shared" ca="1" si="12"/>
        <v/>
      </c>
      <c r="E48" s="264" t="str">
        <f t="shared" ca="1" si="0"/>
        <v/>
      </c>
      <c r="F48" s="266" t="str">
        <f t="shared" ca="1" si="10"/>
        <v/>
      </c>
      <c r="G48" s="365" t="str">
        <f t="shared" ca="1" si="4"/>
        <v/>
      </c>
      <c r="H48" s="266" t="str">
        <f t="shared" ca="1" si="5"/>
        <v/>
      </c>
      <c r="I48" s="538" t="str">
        <f t="shared" ca="1" si="11"/>
        <v/>
      </c>
      <c r="J48" s="367" t="str">
        <f t="shared" ca="1" si="1"/>
        <v/>
      </c>
      <c r="K48" s="265" t="str">
        <f t="shared" ca="1" si="2"/>
        <v/>
      </c>
      <c r="L48" s="539" t="str">
        <f t="shared" ca="1" si="3"/>
        <v/>
      </c>
      <c r="M48" s="366" t="str">
        <f t="shared" ca="1" si="6"/>
        <v/>
      </c>
      <c r="N48" s="362" t="str">
        <f t="shared" ca="1" si="7"/>
        <v/>
      </c>
      <c r="P48" s="269" t="str">
        <f t="shared" ca="1" si="8"/>
        <v/>
      </c>
      <c r="S48" s="344"/>
    </row>
    <row r="49" spans="2:19" ht="18">
      <c r="B49" s="361" t="str">
        <f t="shared" ca="1" si="9"/>
        <v/>
      </c>
      <c r="C49" s="355" t="str">
        <f t="shared" ca="1" si="12"/>
        <v/>
      </c>
      <c r="E49" s="264" t="str">
        <f t="shared" ca="1" si="0"/>
        <v/>
      </c>
      <c r="F49" s="266" t="str">
        <f t="shared" ca="1" si="10"/>
        <v/>
      </c>
      <c r="G49" s="365" t="str">
        <f t="shared" ca="1" si="4"/>
        <v/>
      </c>
      <c r="H49" s="266" t="str">
        <f t="shared" ca="1" si="5"/>
        <v/>
      </c>
      <c r="I49" s="538" t="str">
        <f t="shared" ca="1" si="11"/>
        <v/>
      </c>
      <c r="J49" s="367" t="str">
        <f t="shared" ca="1" si="1"/>
        <v/>
      </c>
      <c r="K49" s="265" t="str">
        <f t="shared" ca="1" si="2"/>
        <v/>
      </c>
      <c r="L49" s="539" t="str">
        <f t="shared" ca="1" si="3"/>
        <v/>
      </c>
      <c r="M49" s="366" t="str">
        <f t="shared" ca="1" si="6"/>
        <v/>
      </c>
      <c r="N49" s="362" t="str">
        <f t="shared" ca="1" si="7"/>
        <v/>
      </c>
      <c r="P49" s="269" t="str">
        <f t="shared" ca="1" si="8"/>
        <v/>
      </c>
      <c r="S49" s="345"/>
    </row>
    <row r="50" spans="2:19" ht="18">
      <c r="B50" s="361" t="str">
        <f t="shared" ca="1" si="9"/>
        <v/>
      </c>
      <c r="C50" s="355" t="str">
        <f t="shared" ca="1" si="12"/>
        <v/>
      </c>
      <c r="E50" s="264" t="str">
        <f t="shared" ref="E50:E81" ca="1" si="13">IF(B50="","",IF(B50&lt;=$T$20,$T$23,$T$38))</f>
        <v/>
      </c>
      <c r="F50" s="266" t="str">
        <f t="shared" ca="1" si="10"/>
        <v/>
      </c>
      <c r="G50" s="365" t="str">
        <f t="shared" ca="1" si="4"/>
        <v/>
      </c>
      <c r="H50" s="266" t="str">
        <f t="shared" ca="1" si="5"/>
        <v/>
      </c>
      <c r="I50" s="538" t="str">
        <f t="shared" ca="1" si="11"/>
        <v/>
      </c>
      <c r="J50" s="367" t="str">
        <f t="shared" ref="J50:J81" ca="1" si="14">IF(B50="","",IF(M50="可贖回日",$B$12,""))</f>
        <v/>
      </c>
      <c r="K50" s="265" t="str">
        <f t="shared" ref="K50:K81" ca="1" si="15">IF(B50="","",IF(M50="可贖回日",IF(C50=$T$30,J50+F50,J50+F50+E51*(1-(DATEDIF($T$30,C51,"M")/DATEDIF(C50,C51,"M")))),""))</f>
        <v/>
      </c>
      <c r="L50" s="539" t="str">
        <f t="shared" ref="L50:L81" ca="1" si="16">IF(B50="","",IF(M50="可贖回日",$T$31,""))</f>
        <v/>
      </c>
      <c r="M50" s="366" t="str">
        <f t="shared" ref="M50:M81" ca="1" si="17">IF(B50="","",IF(C50=$T$29,"到期日",IF(C50=$T$30,"可贖回日",IF($U$30="無對應贖回日",IF(C51&gt;$T$30,"可贖回日",""),""))))</f>
        <v/>
      </c>
      <c r="N50" s="362" t="str">
        <f t="shared" ref="N50:N81" ca="1" si="18">IF(B50="","",IF(AND($T$34="變動",C50=$T$30),"固定轉浮動",IF(AND($T$34="固定",M50="可贖回日",C50&lt;&gt;$T$30),TEXT($T$30,"yyyy/m/d"),"")))</f>
        <v/>
      </c>
      <c r="P50" s="269" t="str">
        <f t="shared" ca="1" si="8"/>
        <v/>
      </c>
    </row>
    <row r="51" spans="2:19" ht="18">
      <c r="B51" s="361" t="str">
        <f t="shared" ref="B51:B82" ca="1" si="19">IF(B50="","",IF(B50&lt;$T$19,B50+1,""))</f>
        <v/>
      </c>
      <c r="C51" s="355" t="str">
        <f t="shared" ca="1" si="12"/>
        <v/>
      </c>
      <c r="E51" s="264" t="str">
        <f t="shared" ca="1" si="13"/>
        <v/>
      </c>
      <c r="F51" s="266" t="str">
        <f t="shared" ca="1" si="10"/>
        <v/>
      </c>
      <c r="G51" s="365" t="str">
        <f t="shared" ref="G51:G82" ca="1" si="20">IF(B51="","",IF(B51=$T$19,$B$12,""))</f>
        <v/>
      </c>
      <c r="H51" s="266" t="str">
        <f t="shared" ref="H51:H82" ca="1" si="21">IF(G51="","",G51+F51)</f>
        <v/>
      </c>
      <c r="I51" s="538" t="str">
        <f t="shared" ca="1" si="11"/>
        <v/>
      </c>
      <c r="J51" s="367" t="str">
        <f t="shared" ca="1" si="14"/>
        <v/>
      </c>
      <c r="K51" s="265" t="str">
        <f t="shared" ca="1" si="15"/>
        <v/>
      </c>
      <c r="L51" s="539" t="str">
        <f t="shared" ca="1" si="16"/>
        <v/>
      </c>
      <c r="M51" s="366" t="str">
        <f t="shared" ca="1" si="17"/>
        <v/>
      </c>
      <c r="N51" s="362" t="str">
        <f t="shared" ca="1" si="18"/>
        <v/>
      </c>
      <c r="P51" s="269" t="str">
        <f t="shared" ca="1" si="8"/>
        <v/>
      </c>
      <c r="S51" s="344"/>
    </row>
    <row r="52" spans="2:19" ht="18">
      <c r="B52" s="361" t="str">
        <f t="shared" ca="1" si="19"/>
        <v/>
      </c>
      <c r="C52" s="355" t="str">
        <f t="shared" ca="1" si="12"/>
        <v/>
      </c>
      <c r="E52" s="264" t="str">
        <f t="shared" ca="1" si="13"/>
        <v/>
      </c>
      <c r="F52" s="266" t="str">
        <f t="shared" ca="1" si="10"/>
        <v/>
      </c>
      <c r="G52" s="365" t="str">
        <f t="shared" ca="1" si="20"/>
        <v/>
      </c>
      <c r="H52" s="266" t="str">
        <f t="shared" ca="1" si="21"/>
        <v/>
      </c>
      <c r="I52" s="538" t="str">
        <f t="shared" ca="1" si="11"/>
        <v/>
      </c>
      <c r="J52" s="367" t="str">
        <f t="shared" ca="1" si="14"/>
        <v/>
      </c>
      <c r="K52" s="265" t="str">
        <f t="shared" ca="1" si="15"/>
        <v/>
      </c>
      <c r="L52" s="539" t="str">
        <f t="shared" ca="1" si="16"/>
        <v/>
      </c>
      <c r="M52" s="366" t="str">
        <f t="shared" ca="1" si="17"/>
        <v/>
      </c>
      <c r="N52" s="362" t="str">
        <f t="shared" ca="1" si="18"/>
        <v/>
      </c>
      <c r="P52" s="269" t="str">
        <f t="shared" ca="1" si="8"/>
        <v/>
      </c>
    </row>
    <row r="53" spans="2:19" ht="18">
      <c r="B53" s="361" t="str">
        <f t="shared" ca="1" si="19"/>
        <v/>
      </c>
      <c r="C53" s="355" t="str">
        <f t="shared" ca="1" si="12"/>
        <v/>
      </c>
      <c r="E53" s="264" t="str">
        <f ca="1">IF(B53="","",IF(B53&lt;=$T$20,$T$23,$T$38))</f>
        <v/>
      </c>
      <c r="F53" s="266" t="str">
        <f t="shared" ca="1" si="10"/>
        <v/>
      </c>
      <c r="G53" s="365" t="str">
        <f t="shared" ca="1" si="20"/>
        <v/>
      </c>
      <c r="H53" s="266" t="str">
        <f t="shared" ca="1" si="21"/>
        <v/>
      </c>
      <c r="I53" s="538" t="str">
        <f t="shared" ca="1" si="11"/>
        <v/>
      </c>
      <c r="J53" s="367" t="str">
        <f t="shared" ca="1" si="14"/>
        <v/>
      </c>
      <c r="K53" s="265" t="str">
        <f t="shared" ca="1" si="15"/>
        <v/>
      </c>
      <c r="L53" s="539" t="str">
        <f t="shared" ca="1" si="16"/>
        <v/>
      </c>
      <c r="M53" s="366" t="str">
        <f t="shared" ca="1" si="17"/>
        <v/>
      </c>
      <c r="N53" s="362" t="str">
        <f t="shared" ca="1" si="18"/>
        <v/>
      </c>
      <c r="P53" s="269" t="str">
        <f t="shared" ca="1" si="8"/>
        <v/>
      </c>
      <c r="S53" s="344"/>
    </row>
    <row r="54" spans="2:19" ht="19.5" customHeight="1">
      <c r="B54" s="361" t="str">
        <f t="shared" ca="1" si="19"/>
        <v/>
      </c>
      <c r="C54" s="355" t="str">
        <f t="shared" ca="1" si="12"/>
        <v/>
      </c>
      <c r="E54" s="264" t="str">
        <f t="shared" ca="1" si="13"/>
        <v/>
      </c>
      <c r="F54" s="266" t="str">
        <f t="shared" ca="1" si="10"/>
        <v/>
      </c>
      <c r="G54" s="365" t="str">
        <f t="shared" ca="1" si="20"/>
        <v/>
      </c>
      <c r="H54" s="266" t="str">
        <f t="shared" ca="1" si="21"/>
        <v/>
      </c>
      <c r="I54" s="538" t="str">
        <f t="shared" ca="1" si="11"/>
        <v/>
      </c>
      <c r="J54" s="367" t="str">
        <f t="shared" ca="1" si="14"/>
        <v/>
      </c>
      <c r="K54" s="265" t="str">
        <f t="shared" ca="1" si="15"/>
        <v/>
      </c>
      <c r="L54" s="539" t="str">
        <f t="shared" ca="1" si="16"/>
        <v/>
      </c>
      <c r="M54" s="366" t="str">
        <f t="shared" ca="1" si="17"/>
        <v/>
      </c>
      <c r="N54" s="362" t="str">
        <f t="shared" ca="1" si="18"/>
        <v/>
      </c>
      <c r="P54" s="269" t="str">
        <f t="shared" ca="1" si="8"/>
        <v/>
      </c>
      <c r="S54" s="344"/>
    </row>
    <row r="55" spans="2:19" ht="18">
      <c r="B55" s="361" t="str">
        <f t="shared" ca="1" si="19"/>
        <v/>
      </c>
      <c r="C55" s="355" t="str">
        <f t="shared" ca="1" si="12"/>
        <v/>
      </c>
      <c r="E55" s="264" t="str">
        <f t="shared" ca="1" si="13"/>
        <v/>
      </c>
      <c r="F55" s="266" t="str">
        <f t="shared" ca="1" si="10"/>
        <v/>
      </c>
      <c r="G55" s="365" t="str">
        <f t="shared" ca="1" si="20"/>
        <v/>
      </c>
      <c r="H55" s="266" t="str">
        <f t="shared" ca="1" si="21"/>
        <v/>
      </c>
      <c r="I55" s="538" t="str">
        <f t="shared" ca="1" si="11"/>
        <v/>
      </c>
      <c r="J55" s="367" t="str">
        <f t="shared" ca="1" si="14"/>
        <v/>
      </c>
      <c r="K55" s="265" t="str">
        <f t="shared" ca="1" si="15"/>
        <v/>
      </c>
      <c r="L55" s="539" t="str">
        <f t="shared" ca="1" si="16"/>
        <v/>
      </c>
      <c r="M55" s="366" t="str">
        <f t="shared" ca="1" si="17"/>
        <v/>
      </c>
      <c r="N55" s="362" t="str">
        <f t="shared" ca="1" si="18"/>
        <v/>
      </c>
      <c r="P55" s="269" t="str">
        <f t="shared" ca="1" si="8"/>
        <v/>
      </c>
    </row>
    <row r="56" spans="2:19" ht="18">
      <c r="B56" s="361" t="str">
        <f t="shared" ca="1" si="19"/>
        <v/>
      </c>
      <c r="C56" s="355" t="str">
        <f t="shared" ca="1" si="12"/>
        <v/>
      </c>
      <c r="E56" s="264" t="str">
        <f t="shared" ca="1" si="13"/>
        <v/>
      </c>
      <c r="F56" s="266" t="str">
        <f t="shared" ca="1" si="10"/>
        <v/>
      </c>
      <c r="G56" s="365" t="str">
        <f t="shared" ca="1" si="20"/>
        <v/>
      </c>
      <c r="H56" s="266" t="str">
        <f t="shared" ca="1" si="21"/>
        <v/>
      </c>
      <c r="I56" s="538" t="str">
        <f t="shared" ca="1" si="11"/>
        <v/>
      </c>
      <c r="J56" s="367" t="str">
        <f t="shared" ca="1" si="14"/>
        <v/>
      </c>
      <c r="K56" s="265" t="str">
        <f t="shared" ca="1" si="15"/>
        <v/>
      </c>
      <c r="L56" s="539" t="str">
        <f t="shared" ca="1" si="16"/>
        <v/>
      </c>
      <c r="M56" s="366" t="str">
        <f t="shared" ca="1" si="17"/>
        <v/>
      </c>
      <c r="N56" s="362" t="str">
        <f t="shared" ca="1" si="18"/>
        <v/>
      </c>
      <c r="P56" s="269" t="str">
        <f t="shared" ca="1" si="8"/>
        <v/>
      </c>
    </row>
    <row r="57" spans="2:19" ht="18">
      <c r="B57" s="361" t="str">
        <f t="shared" ca="1" si="19"/>
        <v/>
      </c>
      <c r="C57" s="355" t="str">
        <f t="shared" ca="1" si="12"/>
        <v/>
      </c>
      <c r="E57" s="264" t="str">
        <f t="shared" ca="1" si="13"/>
        <v/>
      </c>
      <c r="F57" s="266" t="str">
        <f t="shared" ca="1" si="10"/>
        <v/>
      </c>
      <c r="G57" s="365" t="str">
        <f t="shared" ca="1" si="20"/>
        <v/>
      </c>
      <c r="H57" s="266" t="str">
        <f t="shared" ca="1" si="21"/>
        <v/>
      </c>
      <c r="I57" s="538" t="str">
        <f t="shared" ca="1" si="11"/>
        <v/>
      </c>
      <c r="J57" s="367" t="str">
        <f t="shared" ca="1" si="14"/>
        <v/>
      </c>
      <c r="K57" s="265" t="str">
        <f t="shared" ca="1" si="15"/>
        <v/>
      </c>
      <c r="L57" s="539" t="str">
        <f t="shared" ca="1" si="16"/>
        <v/>
      </c>
      <c r="M57" s="366" t="str">
        <f t="shared" ca="1" si="17"/>
        <v/>
      </c>
      <c r="N57" s="362" t="str">
        <f t="shared" ca="1" si="18"/>
        <v/>
      </c>
      <c r="P57" s="269" t="str">
        <f t="shared" ca="1" si="8"/>
        <v/>
      </c>
    </row>
    <row r="58" spans="2:19" ht="18">
      <c r="B58" s="361" t="str">
        <f t="shared" ca="1" si="19"/>
        <v/>
      </c>
      <c r="C58" s="355" t="str">
        <f t="shared" ca="1" si="12"/>
        <v/>
      </c>
      <c r="E58" s="264" t="str">
        <f t="shared" ca="1" si="13"/>
        <v/>
      </c>
      <c r="F58" s="266" t="str">
        <f t="shared" ca="1" si="10"/>
        <v/>
      </c>
      <c r="G58" s="365" t="str">
        <f t="shared" ca="1" si="20"/>
        <v/>
      </c>
      <c r="H58" s="266" t="str">
        <f t="shared" ca="1" si="21"/>
        <v/>
      </c>
      <c r="I58" s="538" t="str">
        <f t="shared" ca="1" si="11"/>
        <v/>
      </c>
      <c r="J58" s="367" t="str">
        <f t="shared" ca="1" si="14"/>
        <v/>
      </c>
      <c r="K58" s="265" t="str">
        <f t="shared" ca="1" si="15"/>
        <v/>
      </c>
      <c r="L58" s="539" t="str">
        <f t="shared" ca="1" si="16"/>
        <v/>
      </c>
      <c r="M58" s="366" t="str">
        <f t="shared" ca="1" si="17"/>
        <v/>
      </c>
      <c r="N58" s="362" t="str">
        <f t="shared" ca="1" si="18"/>
        <v/>
      </c>
      <c r="P58" s="269" t="str">
        <f t="shared" ca="1" si="8"/>
        <v/>
      </c>
    </row>
    <row r="59" spans="2:19" ht="18">
      <c r="B59" s="361" t="str">
        <f t="shared" ca="1" si="19"/>
        <v/>
      </c>
      <c r="C59" s="355" t="str">
        <f t="shared" ca="1" si="12"/>
        <v/>
      </c>
      <c r="E59" s="264" t="str">
        <f t="shared" ca="1" si="13"/>
        <v/>
      </c>
      <c r="F59" s="266" t="str">
        <f t="shared" ca="1" si="10"/>
        <v/>
      </c>
      <c r="G59" s="365" t="str">
        <f t="shared" ca="1" si="20"/>
        <v/>
      </c>
      <c r="H59" s="266" t="str">
        <f t="shared" ca="1" si="21"/>
        <v/>
      </c>
      <c r="I59" s="538" t="str">
        <f t="shared" ca="1" si="11"/>
        <v/>
      </c>
      <c r="J59" s="367" t="str">
        <f t="shared" ca="1" si="14"/>
        <v/>
      </c>
      <c r="K59" s="265" t="str">
        <f t="shared" ca="1" si="15"/>
        <v/>
      </c>
      <c r="L59" s="539" t="str">
        <f t="shared" ca="1" si="16"/>
        <v/>
      </c>
      <c r="M59" s="366" t="str">
        <f t="shared" ca="1" si="17"/>
        <v/>
      </c>
      <c r="N59" s="362" t="str">
        <f t="shared" ca="1" si="18"/>
        <v/>
      </c>
      <c r="P59" s="269" t="str">
        <f t="shared" ca="1" si="8"/>
        <v/>
      </c>
    </row>
    <row r="60" spans="2:19" ht="18">
      <c r="B60" s="361" t="str">
        <f t="shared" ca="1" si="19"/>
        <v/>
      </c>
      <c r="C60" s="355" t="str">
        <f t="shared" ca="1" si="12"/>
        <v/>
      </c>
      <c r="E60" s="264" t="str">
        <f t="shared" ca="1" si="13"/>
        <v/>
      </c>
      <c r="F60" s="266" t="str">
        <f t="shared" ca="1" si="10"/>
        <v/>
      </c>
      <c r="G60" s="365" t="str">
        <f t="shared" ca="1" si="20"/>
        <v/>
      </c>
      <c r="H60" s="266" t="str">
        <f t="shared" ca="1" si="21"/>
        <v/>
      </c>
      <c r="I60" s="538" t="str">
        <f t="shared" ca="1" si="11"/>
        <v/>
      </c>
      <c r="J60" s="367" t="str">
        <f t="shared" ca="1" si="14"/>
        <v/>
      </c>
      <c r="K60" s="265" t="str">
        <f t="shared" ca="1" si="15"/>
        <v/>
      </c>
      <c r="L60" s="539" t="str">
        <f t="shared" ca="1" si="16"/>
        <v/>
      </c>
      <c r="M60" s="366" t="str">
        <f t="shared" ca="1" si="17"/>
        <v/>
      </c>
      <c r="N60" s="362" t="str">
        <f t="shared" ca="1" si="18"/>
        <v/>
      </c>
      <c r="P60" s="269" t="str">
        <f t="shared" ca="1" si="8"/>
        <v/>
      </c>
    </row>
    <row r="61" spans="2:19" ht="18">
      <c r="B61" s="361" t="str">
        <f t="shared" ca="1" si="19"/>
        <v/>
      </c>
      <c r="C61" s="355" t="str">
        <f t="shared" ca="1" si="12"/>
        <v/>
      </c>
      <c r="E61" s="264" t="str">
        <f t="shared" ca="1" si="13"/>
        <v/>
      </c>
      <c r="F61" s="266" t="str">
        <f t="shared" ca="1" si="10"/>
        <v/>
      </c>
      <c r="G61" s="365" t="str">
        <f t="shared" ca="1" si="20"/>
        <v/>
      </c>
      <c r="H61" s="266" t="str">
        <f t="shared" ca="1" si="21"/>
        <v/>
      </c>
      <c r="I61" s="538" t="str">
        <f t="shared" ca="1" si="11"/>
        <v/>
      </c>
      <c r="J61" s="367" t="str">
        <f t="shared" ca="1" si="14"/>
        <v/>
      </c>
      <c r="K61" s="265" t="str">
        <f t="shared" ca="1" si="15"/>
        <v/>
      </c>
      <c r="L61" s="539" t="str">
        <f t="shared" ca="1" si="16"/>
        <v/>
      </c>
      <c r="M61" s="366" t="str">
        <f t="shared" ca="1" si="17"/>
        <v/>
      </c>
      <c r="N61" s="362" t="str">
        <f t="shared" ca="1" si="18"/>
        <v/>
      </c>
      <c r="P61" s="269" t="str">
        <f t="shared" ca="1" si="8"/>
        <v/>
      </c>
    </row>
    <row r="62" spans="2:19" ht="18">
      <c r="B62" s="361" t="str">
        <f t="shared" ca="1" si="19"/>
        <v/>
      </c>
      <c r="C62" s="355" t="str">
        <f t="shared" ca="1" si="12"/>
        <v/>
      </c>
      <c r="E62" s="264" t="str">
        <f t="shared" ca="1" si="13"/>
        <v/>
      </c>
      <c r="F62" s="266" t="str">
        <f t="shared" ca="1" si="10"/>
        <v/>
      </c>
      <c r="G62" s="365" t="str">
        <f t="shared" ca="1" si="20"/>
        <v/>
      </c>
      <c r="H62" s="266" t="str">
        <f t="shared" ca="1" si="21"/>
        <v/>
      </c>
      <c r="I62" s="538" t="str">
        <f t="shared" ca="1" si="11"/>
        <v/>
      </c>
      <c r="J62" s="367" t="str">
        <f t="shared" ca="1" si="14"/>
        <v/>
      </c>
      <c r="K62" s="265" t="str">
        <f t="shared" ca="1" si="15"/>
        <v/>
      </c>
      <c r="L62" s="539" t="str">
        <f t="shared" ca="1" si="16"/>
        <v/>
      </c>
      <c r="M62" s="366" t="str">
        <f t="shared" ca="1" si="17"/>
        <v/>
      </c>
      <c r="N62" s="362" t="str">
        <f t="shared" ca="1" si="18"/>
        <v/>
      </c>
      <c r="P62" s="269" t="str">
        <f t="shared" ca="1" si="8"/>
        <v/>
      </c>
    </row>
    <row r="63" spans="2:19" ht="18">
      <c r="B63" s="361" t="str">
        <f t="shared" ca="1" si="19"/>
        <v/>
      </c>
      <c r="C63" s="355" t="str">
        <f t="shared" ca="1" si="12"/>
        <v/>
      </c>
      <c r="E63" s="264" t="str">
        <f t="shared" ca="1" si="13"/>
        <v/>
      </c>
      <c r="F63" s="266" t="str">
        <f t="shared" ca="1" si="10"/>
        <v/>
      </c>
      <c r="G63" s="365" t="str">
        <f t="shared" ca="1" si="20"/>
        <v/>
      </c>
      <c r="H63" s="266" t="str">
        <f t="shared" ca="1" si="21"/>
        <v/>
      </c>
      <c r="I63" s="538" t="str">
        <f t="shared" ca="1" si="11"/>
        <v/>
      </c>
      <c r="J63" s="367" t="str">
        <f t="shared" ca="1" si="14"/>
        <v/>
      </c>
      <c r="K63" s="265" t="str">
        <f t="shared" ca="1" si="15"/>
        <v/>
      </c>
      <c r="L63" s="539" t="str">
        <f t="shared" ca="1" si="16"/>
        <v/>
      </c>
      <c r="M63" s="366" t="str">
        <f t="shared" ca="1" si="17"/>
        <v/>
      </c>
      <c r="N63" s="362" t="str">
        <f t="shared" ca="1" si="18"/>
        <v/>
      </c>
      <c r="P63" s="269" t="str">
        <f t="shared" ca="1" si="8"/>
        <v/>
      </c>
    </row>
    <row r="64" spans="2:19" ht="18">
      <c r="B64" s="361" t="str">
        <f t="shared" ca="1" si="19"/>
        <v/>
      </c>
      <c r="C64" s="355" t="str">
        <f t="shared" ca="1" si="12"/>
        <v/>
      </c>
      <c r="E64" s="264" t="str">
        <f t="shared" ca="1" si="13"/>
        <v/>
      </c>
      <c r="F64" s="266" t="str">
        <f t="shared" ca="1" si="10"/>
        <v/>
      </c>
      <c r="G64" s="365" t="str">
        <f t="shared" ca="1" si="20"/>
        <v/>
      </c>
      <c r="H64" s="266" t="str">
        <f t="shared" ca="1" si="21"/>
        <v/>
      </c>
      <c r="I64" s="538" t="str">
        <f t="shared" ca="1" si="11"/>
        <v/>
      </c>
      <c r="J64" s="367" t="str">
        <f t="shared" ca="1" si="14"/>
        <v/>
      </c>
      <c r="K64" s="265" t="str">
        <f t="shared" ca="1" si="15"/>
        <v/>
      </c>
      <c r="L64" s="539" t="str">
        <f t="shared" ca="1" si="16"/>
        <v/>
      </c>
      <c r="M64" s="366" t="str">
        <f t="shared" ca="1" si="17"/>
        <v/>
      </c>
      <c r="N64" s="362" t="str">
        <f t="shared" ca="1" si="18"/>
        <v/>
      </c>
      <c r="P64" s="269" t="str">
        <f t="shared" ca="1" si="8"/>
        <v/>
      </c>
    </row>
    <row r="65" spans="2:16" ht="18">
      <c r="B65" s="361" t="str">
        <f t="shared" ca="1" si="19"/>
        <v/>
      </c>
      <c r="C65" s="355" t="str">
        <f t="shared" ca="1" si="12"/>
        <v/>
      </c>
      <c r="E65" s="264" t="str">
        <f t="shared" ca="1" si="13"/>
        <v/>
      </c>
      <c r="F65" s="266" t="str">
        <f t="shared" ca="1" si="10"/>
        <v/>
      </c>
      <c r="G65" s="365" t="str">
        <f t="shared" ca="1" si="20"/>
        <v/>
      </c>
      <c r="H65" s="266" t="str">
        <f t="shared" ca="1" si="21"/>
        <v/>
      </c>
      <c r="I65" s="538" t="str">
        <f t="shared" ca="1" si="11"/>
        <v/>
      </c>
      <c r="J65" s="367" t="str">
        <f t="shared" ca="1" si="14"/>
        <v/>
      </c>
      <c r="K65" s="265" t="str">
        <f t="shared" ca="1" si="15"/>
        <v/>
      </c>
      <c r="L65" s="539" t="str">
        <f t="shared" ca="1" si="16"/>
        <v/>
      </c>
      <c r="M65" s="366" t="str">
        <f t="shared" ca="1" si="17"/>
        <v/>
      </c>
      <c r="N65" s="362" t="str">
        <f t="shared" ca="1" si="18"/>
        <v/>
      </c>
      <c r="P65" s="269" t="str">
        <f t="shared" ca="1" si="8"/>
        <v/>
      </c>
    </row>
    <row r="66" spans="2:16" ht="18">
      <c r="B66" s="361" t="str">
        <f t="shared" ca="1" si="19"/>
        <v/>
      </c>
      <c r="C66" s="355" t="str">
        <f t="shared" ca="1" si="12"/>
        <v/>
      </c>
      <c r="E66" s="264" t="str">
        <f t="shared" ca="1" si="13"/>
        <v/>
      </c>
      <c r="F66" s="266" t="str">
        <f t="shared" ca="1" si="10"/>
        <v/>
      </c>
      <c r="G66" s="365" t="str">
        <f t="shared" ca="1" si="20"/>
        <v/>
      </c>
      <c r="H66" s="266" t="str">
        <f t="shared" ca="1" si="21"/>
        <v/>
      </c>
      <c r="I66" s="538" t="str">
        <f t="shared" ca="1" si="11"/>
        <v/>
      </c>
      <c r="J66" s="367" t="str">
        <f t="shared" ca="1" si="14"/>
        <v/>
      </c>
      <c r="K66" s="265" t="str">
        <f t="shared" ca="1" si="15"/>
        <v/>
      </c>
      <c r="L66" s="539" t="str">
        <f t="shared" ca="1" si="16"/>
        <v/>
      </c>
      <c r="M66" s="366" t="str">
        <f t="shared" ca="1" si="17"/>
        <v/>
      </c>
      <c r="N66" s="362" t="str">
        <f t="shared" ca="1" si="18"/>
        <v/>
      </c>
      <c r="P66" s="269" t="str">
        <f t="shared" ca="1" si="8"/>
        <v/>
      </c>
    </row>
    <row r="67" spans="2:16" ht="18">
      <c r="B67" s="361" t="str">
        <f t="shared" ca="1" si="19"/>
        <v/>
      </c>
      <c r="C67" s="355" t="str">
        <f t="shared" ca="1" si="12"/>
        <v/>
      </c>
      <c r="E67" s="264" t="str">
        <f t="shared" ca="1" si="13"/>
        <v/>
      </c>
      <c r="F67" s="266" t="str">
        <f t="shared" ca="1" si="10"/>
        <v/>
      </c>
      <c r="G67" s="365" t="str">
        <f t="shared" ca="1" si="20"/>
        <v/>
      </c>
      <c r="H67" s="266" t="str">
        <f t="shared" ca="1" si="21"/>
        <v/>
      </c>
      <c r="I67" s="538" t="str">
        <f t="shared" ca="1" si="11"/>
        <v/>
      </c>
      <c r="J67" s="367" t="str">
        <f t="shared" ca="1" si="14"/>
        <v/>
      </c>
      <c r="K67" s="265" t="str">
        <f t="shared" ca="1" si="15"/>
        <v/>
      </c>
      <c r="L67" s="539" t="str">
        <f t="shared" ca="1" si="16"/>
        <v/>
      </c>
      <c r="M67" s="366" t="str">
        <f t="shared" ca="1" si="17"/>
        <v/>
      </c>
      <c r="N67" s="362" t="str">
        <f t="shared" ca="1" si="18"/>
        <v/>
      </c>
      <c r="P67" s="269" t="str">
        <f t="shared" ca="1" si="8"/>
        <v/>
      </c>
    </row>
    <row r="68" spans="2:16" ht="18">
      <c r="B68" s="361" t="str">
        <f t="shared" ca="1" si="19"/>
        <v/>
      </c>
      <c r="C68" s="355" t="str">
        <f t="shared" ca="1" si="12"/>
        <v/>
      </c>
      <c r="E68" s="264" t="str">
        <f t="shared" ca="1" si="13"/>
        <v/>
      </c>
      <c r="F68" s="266" t="str">
        <f t="shared" ca="1" si="10"/>
        <v/>
      </c>
      <c r="G68" s="365" t="str">
        <f t="shared" ca="1" si="20"/>
        <v/>
      </c>
      <c r="H68" s="266" t="str">
        <f t="shared" ca="1" si="21"/>
        <v/>
      </c>
      <c r="I68" s="538" t="str">
        <f t="shared" ca="1" si="11"/>
        <v/>
      </c>
      <c r="J68" s="367" t="str">
        <f t="shared" ca="1" si="14"/>
        <v/>
      </c>
      <c r="K68" s="265" t="str">
        <f t="shared" ca="1" si="15"/>
        <v/>
      </c>
      <c r="L68" s="539" t="str">
        <f t="shared" ca="1" si="16"/>
        <v/>
      </c>
      <c r="M68" s="366" t="str">
        <f t="shared" ca="1" si="17"/>
        <v/>
      </c>
      <c r="N68" s="362" t="str">
        <f t="shared" ca="1" si="18"/>
        <v/>
      </c>
      <c r="P68" s="269" t="str">
        <f t="shared" ca="1" si="8"/>
        <v/>
      </c>
    </row>
    <row r="69" spans="2:16" ht="18">
      <c r="B69" s="361" t="str">
        <f t="shared" ca="1" si="19"/>
        <v/>
      </c>
      <c r="C69" s="355" t="str">
        <f t="shared" ca="1" si="12"/>
        <v/>
      </c>
      <c r="E69" s="264" t="str">
        <f t="shared" ca="1" si="13"/>
        <v/>
      </c>
      <c r="F69" s="266" t="str">
        <f t="shared" ca="1" si="10"/>
        <v/>
      </c>
      <c r="G69" s="365" t="str">
        <f t="shared" ca="1" si="20"/>
        <v/>
      </c>
      <c r="H69" s="266" t="str">
        <f t="shared" ca="1" si="21"/>
        <v/>
      </c>
      <c r="I69" s="538" t="str">
        <f t="shared" ca="1" si="11"/>
        <v/>
      </c>
      <c r="J69" s="367" t="str">
        <f t="shared" ca="1" si="14"/>
        <v/>
      </c>
      <c r="K69" s="265" t="str">
        <f t="shared" ca="1" si="15"/>
        <v/>
      </c>
      <c r="L69" s="539" t="str">
        <f t="shared" ca="1" si="16"/>
        <v/>
      </c>
      <c r="M69" s="366" t="str">
        <f t="shared" ca="1" si="17"/>
        <v/>
      </c>
      <c r="N69" s="362" t="str">
        <f t="shared" ca="1" si="18"/>
        <v/>
      </c>
      <c r="P69" s="269" t="str">
        <f t="shared" ca="1" si="8"/>
        <v/>
      </c>
    </row>
    <row r="70" spans="2:16" ht="18">
      <c r="B70" s="361" t="str">
        <f t="shared" ca="1" si="19"/>
        <v/>
      </c>
      <c r="C70" s="355" t="str">
        <f t="shared" ca="1" si="12"/>
        <v/>
      </c>
      <c r="E70" s="264" t="str">
        <f t="shared" ca="1" si="13"/>
        <v/>
      </c>
      <c r="F70" s="266" t="str">
        <f t="shared" ca="1" si="10"/>
        <v/>
      </c>
      <c r="G70" s="365" t="str">
        <f t="shared" ca="1" si="20"/>
        <v/>
      </c>
      <c r="H70" s="266" t="str">
        <f t="shared" ca="1" si="21"/>
        <v/>
      </c>
      <c r="I70" s="538" t="str">
        <f t="shared" ca="1" si="11"/>
        <v/>
      </c>
      <c r="J70" s="367" t="str">
        <f t="shared" ca="1" si="14"/>
        <v/>
      </c>
      <c r="K70" s="265" t="str">
        <f t="shared" ca="1" si="15"/>
        <v/>
      </c>
      <c r="L70" s="539" t="str">
        <f t="shared" ca="1" si="16"/>
        <v/>
      </c>
      <c r="M70" s="366" t="str">
        <f t="shared" ca="1" si="17"/>
        <v/>
      </c>
      <c r="N70" s="362" t="str">
        <f t="shared" ca="1" si="18"/>
        <v/>
      </c>
      <c r="P70" s="269" t="str">
        <f t="shared" ca="1" si="8"/>
        <v/>
      </c>
    </row>
    <row r="71" spans="2:16" ht="18">
      <c r="B71" s="361" t="str">
        <f t="shared" ca="1" si="19"/>
        <v/>
      </c>
      <c r="C71" s="355" t="str">
        <f t="shared" ca="1" si="12"/>
        <v/>
      </c>
      <c r="E71" s="264" t="str">
        <f t="shared" ca="1" si="13"/>
        <v/>
      </c>
      <c r="F71" s="266" t="str">
        <f t="shared" ca="1" si="10"/>
        <v/>
      </c>
      <c r="G71" s="365" t="str">
        <f t="shared" ca="1" si="20"/>
        <v/>
      </c>
      <c r="H71" s="266" t="str">
        <f t="shared" ca="1" si="21"/>
        <v/>
      </c>
      <c r="I71" s="538" t="str">
        <f t="shared" ca="1" si="11"/>
        <v/>
      </c>
      <c r="J71" s="367" t="str">
        <f t="shared" ca="1" si="14"/>
        <v/>
      </c>
      <c r="K71" s="265" t="str">
        <f t="shared" ca="1" si="15"/>
        <v/>
      </c>
      <c r="L71" s="539" t="str">
        <f t="shared" ca="1" si="16"/>
        <v/>
      </c>
      <c r="M71" s="366" t="str">
        <f t="shared" ca="1" si="17"/>
        <v/>
      </c>
      <c r="N71" s="362" t="str">
        <f t="shared" ca="1" si="18"/>
        <v/>
      </c>
      <c r="P71" s="269" t="str">
        <f t="shared" ca="1" si="8"/>
        <v/>
      </c>
    </row>
    <row r="72" spans="2:16" ht="18">
      <c r="B72" s="361" t="str">
        <f t="shared" ca="1" si="19"/>
        <v/>
      </c>
      <c r="C72" s="355" t="str">
        <f t="shared" ca="1" si="12"/>
        <v/>
      </c>
      <c r="E72" s="264" t="str">
        <f t="shared" ca="1" si="13"/>
        <v/>
      </c>
      <c r="F72" s="266" t="str">
        <f t="shared" ca="1" si="10"/>
        <v/>
      </c>
      <c r="G72" s="365" t="str">
        <f t="shared" ca="1" si="20"/>
        <v/>
      </c>
      <c r="H72" s="266" t="str">
        <f t="shared" ca="1" si="21"/>
        <v/>
      </c>
      <c r="I72" s="538" t="str">
        <f t="shared" ca="1" si="11"/>
        <v/>
      </c>
      <c r="J72" s="367" t="str">
        <f t="shared" ca="1" si="14"/>
        <v/>
      </c>
      <c r="K72" s="265" t="str">
        <f t="shared" ca="1" si="15"/>
        <v/>
      </c>
      <c r="L72" s="539" t="str">
        <f t="shared" ca="1" si="16"/>
        <v/>
      </c>
      <c r="M72" s="366" t="str">
        <f t="shared" ca="1" si="17"/>
        <v/>
      </c>
      <c r="N72" s="362" t="str">
        <f t="shared" ca="1" si="18"/>
        <v/>
      </c>
      <c r="P72" s="269" t="str">
        <f t="shared" ca="1" si="8"/>
        <v/>
      </c>
    </row>
    <row r="73" spans="2:16" ht="18">
      <c r="B73" s="361" t="str">
        <f t="shared" ca="1" si="19"/>
        <v/>
      </c>
      <c r="C73" s="355" t="str">
        <f t="shared" ca="1" si="12"/>
        <v/>
      </c>
      <c r="E73" s="264" t="str">
        <f t="shared" ca="1" si="13"/>
        <v/>
      </c>
      <c r="F73" s="266" t="str">
        <f t="shared" ca="1" si="10"/>
        <v/>
      </c>
      <c r="G73" s="365" t="str">
        <f t="shared" ca="1" si="20"/>
        <v/>
      </c>
      <c r="H73" s="266" t="str">
        <f t="shared" ca="1" si="21"/>
        <v/>
      </c>
      <c r="I73" s="538" t="str">
        <f t="shared" ca="1" si="11"/>
        <v/>
      </c>
      <c r="J73" s="367" t="str">
        <f t="shared" ca="1" si="14"/>
        <v/>
      </c>
      <c r="K73" s="265" t="str">
        <f t="shared" ca="1" si="15"/>
        <v/>
      </c>
      <c r="L73" s="539" t="str">
        <f t="shared" ca="1" si="16"/>
        <v/>
      </c>
      <c r="M73" s="366" t="str">
        <f t="shared" ca="1" si="17"/>
        <v/>
      </c>
      <c r="N73" s="362" t="str">
        <f t="shared" ca="1" si="18"/>
        <v/>
      </c>
      <c r="P73" s="269" t="str">
        <f t="shared" ca="1" si="8"/>
        <v/>
      </c>
    </row>
    <row r="74" spans="2:16" ht="18">
      <c r="B74" s="361" t="str">
        <f t="shared" ca="1" si="19"/>
        <v/>
      </c>
      <c r="C74" s="355" t="str">
        <f t="shared" ca="1" si="12"/>
        <v/>
      </c>
      <c r="E74" s="264" t="str">
        <f t="shared" ca="1" si="13"/>
        <v/>
      </c>
      <c r="F74" s="266" t="str">
        <f t="shared" ca="1" si="10"/>
        <v/>
      </c>
      <c r="G74" s="365" t="str">
        <f t="shared" ca="1" si="20"/>
        <v/>
      </c>
      <c r="H74" s="266" t="str">
        <f t="shared" ca="1" si="21"/>
        <v/>
      </c>
      <c r="I74" s="538" t="str">
        <f t="shared" ca="1" si="11"/>
        <v/>
      </c>
      <c r="J74" s="367" t="str">
        <f t="shared" ca="1" si="14"/>
        <v/>
      </c>
      <c r="K74" s="265" t="str">
        <f t="shared" ca="1" si="15"/>
        <v/>
      </c>
      <c r="L74" s="539" t="str">
        <f t="shared" ca="1" si="16"/>
        <v/>
      </c>
      <c r="M74" s="366" t="str">
        <f t="shared" ca="1" si="17"/>
        <v/>
      </c>
      <c r="N74" s="362" t="str">
        <f t="shared" ca="1" si="18"/>
        <v/>
      </c>
      <c r="P74" s="269" t="str">
        <f t="shared" ca="1" si="8"/>
        <v/>
      </c>
    </row>
    <row r="75" spans="2:16" ht="18">
      <c r="B75" s="361" t="str">
        <f t="shared" ca="1" si="19"/>
        <v/>
      </c>
      <c r="C75" s="355" t="str">
        <f t="shared" ca="1" si="12"/>
        <v/>
      </c>
      <c r="E75" s="264" t="str">
        <f t="shared" ca="1" si="13"/>
        <v/>
      </c>
      <c r="F75" s="266" t="str">
        <f t="shared" ca="1" si="10"/>
        <v/>
      </c>
      <c r="G75" s="365" t="str">
        <f t="shared" ca="1" si="20"/>
        <v/>
      </c>
      <c r="H75" s="266" t="str">
        <f t="shared" ca="1" si="21"/>
        <v/>
      </c>
      <c r="I75" s="538" t="str">
        <f t="shared" ca="1" si="11"/>
        <v/>
      </c>
      <c r="J75" s="367" t="str">
        <f t="shared" ca="1" si="14"/>
        <v/>
      </c>
      <c r="K75" s="265" t="str">
        <f t="shared" ca="1" si="15"/>
        <v/>
      </c>
      <c r="L75" s="539" t="str">
        <f t="shared" ca="1" si="16"/>
        <v/>
      </c>
      <c r="M75" s="366" t="str">
        <f t="shared" ca="1" si="17"/>
        <v/>
      </c>
      <c r="N75" s="362" t="str">
        <f t="shared" ca="1" si="18"/>
        <v/>
      </c>
      <c r="P75" s="269" t="str">
        <f t="shared" ca="1" si="8"/>
        <v/>
      </c>
    </row>
    <row r="76" spans="2:16" ht="18">
      <c r="B76" s="361" t="str">
        <f t="shared" ca="1" si="19"/>
        <v/>
      </c>
      <c r="C76" s="355" t="str">
        <f t="shared" ca="1" si="12"/>
        <v/>
      </c>
      <c r="E76" s="264" t="str">
        <f t="shared" ca="1" si="13"/>
        <v/>
      </c>
      <c r="F76" s="266" t="str">
        <f t="shared" ca="1" si="10"/>
        <v/>
      </c>
      <c r="G76" s="365" t="str">
        <f t="shared" ca="1" si="20"/>
        <v/>
      </c>
      <c r="H76" s="266" t="str">
        <f t="shared" ca="1" si="21"/>
        <v/>
      </c>
      <c r="I76" s="538" t="str">
        <f t="shared" ca="1" si="11"/>
        <v/>
      </c>
      <c r="J76" s="367" t="str">
        <f t="shared" ca="1" si="14"/>
        <v/>
      </c>
      <c r="K76" s="265" t="str">
        <f t="shared" ca="1" si="15"/>
        <v/>
      </c>
      <c r="L76" s="539" t="str">
        <f t="shared" ca="1" si="16"/>
        <v/>
      </c>
      <c r="M76" s="366" t="str">
        <f t="shared" ca="1" si="17"/>
        <v/>
      </c>
      <c r="N76" s="362" t="str">
        <f t="shared" ca="1" si="18"/>
        <v/>
      </c>
      <c r="P76" s="269" t="str">
        <f t="shared" ca="1" si="8"/>
        <v/>
      </c>
    </row>
    <row r="77" spans="2:16" ht="18">
      <c r="B77" s="361" t="str">
        <f t="shared" ca="1" si="19"/>
        <v/>
      </c>
      <c r="C77" s="355" t="str">
        <f t="shared" ca="1" si="12"/>
        <v/>
      </c>
      <c r="E77" s="264" t="str">
        <f t="shared" ca="1" si="13"/>
        <v/>
      </c>
      <c r="F77" s="266" t="str">
        <f t="shared" ca="1" si="10"/>
        <v/>
      </c>
      <c r="G77" s="365" t="str">
        <f t="shared" ca="1" si="20"/>
        <v/>
      </c>
      <c r="H77" s="266" t="str">
        <f t="shared" ca="1" si="21"/>
        <v/>
      </c>
      <c r="I77" s="538" t="str">
        <f t="shared" ca="1" si="11"/>
        <v/>
      </c>
      <c r="J77" s="367" t="str">
        <f t="shared" ca="1" si="14"/>
        <v/>
      </c>
      <c r="K77" s="265" t="str">
        <f t="shared" ca="1" si="15"/>
        <v/>
      </c>
      <c r="L77" s="539" t="str">
        <f t="shared" ca="1" si="16"/>
        <v/>
      </c>
      <c r="M77" s="366" t="str">
        <f t="shared" ca="1" si="17"/>
        <v/>
      </c>
      <c r="N77" s="362" t="str">
        <f t="shared" ca="1" si="18"/>
        <v/>
      </c>
      <c r="P77" s="269" t="str">
        <f t="shared" ca="1" si="8"/>
        <v/>
      </c>
    </row>
    <row r="78" spans="2:16" ht="18">
      <c r="B78" s="361" t="str">
        <f t="shared" ca="1" si="19"/>
        <v/>
      </c>
      <c r="C78" s="355" t="str">
        <f t="shared" ca="1" si="12"/>
        <v/>
      </c>
      <c r="E78" s="264" t="str">
        <f t="shared" ca="1" si="13"/>
        <v/>
      </c>
      <c r="F78" s="266" t="str">
        <f t="shared" ca="1" si="10"/>
        <v/>
      </c>
      <c r="G78" s="365" t="str">
        <f t="shared" ca="1" si="20"/>
        <v/>
      </c>
      <c r="H78" s="266" t="str">
        <f t="shared" ca="1" si="21"/>
        <v/>
      </c>
      <c r="I78" s="538" t="str">
        <f t="shared" ca="1" si="11"/>
        <v/>
      </c>
      <c r="J78" s="367" t="str">
        <f t="shared" ca="1" si="14"/>
        <v/>
      </c>
      <c r="K78" s="265" t="str">
        <f t="shared" ca="1" si="15"/>
        <v/>
      </c>
      <c r="L78" s="539" t="str">
        <f t="shared" ca="1" si="16"/>
        <v/>
      </c>
      <c r="M78" s="366" t="str">
        <f t="shared" ca="1" si="17"/>
        <v/>
      </c>
      <c r="N78" s="362" t="str">
        <f t="shared" ca="1" si="18"/>
        <v/>
      </c>
      <c r="P78" s="269" t="str">
        <f t="shared" ca="1" si="8"/>
        <v/>
      </c>
    </row>
    <row r="79" spans="2:16" ht="18">
      <c r="B79" s="361" t="str">
        <f t="shared" ca="1" si="19"/>
        <v/>
      </c>
      <c r="C79" s="355" t="str">
        <f t="shared" ca="1" si="12"/>
        <v/>
      </c>
      <c r="E79" s="264" t="str">
        <f t="shared" ca="1" si="13"/>
        <v/>
      </c>
      <c r="F79" s="266" t="str">
        <f t="shared" ca="1" si="10"/>
        <v/>
      </c>
      <c r="G79" s="365" t="str">
        <f t="shared" ca="1" si="20"/>
        <v/>
      </c>
      <c r="H79" s="266" t="str">
        <f t="shared" ca="1" si="21"/>
        <v/>
      </c>
      <c r="I79" s="538" t="str">
        <f t="shared" ca="1" si="11"/>
        <v/>
      </c>
      <c r="J79" s="367" t="str">
        <f t="shared" ca="1" si="14"/>
        <v/>
      </c>
      <c r="K79" s="265" t="str">
        <f t="shared" ca="1" si="15"/>
        <v/>
      </c>
      <c r="L79" s="539" t="str">
        <f t="shared" ca="1" si="16"/>
        <v/>
      </c>
      <c r="M79" s="366" t="str">
        <f t="shared" ca="1" si="17"/>
        <v/>
      </c>
      <c r="N79" s="362" t="str">
        <f t="shared" ca="1" si="18"/>
        <v/>
      </c>
      <c r="P79" s="269" t="str">
        <f t="shared" ca="1" si="8"/>
        <v/>
      </c>
    </row>
    <row r="80" spans="2:16" ht="18">
      <c r="B80" s="361" t="str">
        <f t="shared" ca="1" si="19"/>
        <v/>
      </c>
      <c r="C80" s="355" t="str">
        <f t="shared" ca="1" si="12"/>
        <v/>
      </c>
      <c r="E80" s="264" t="str">
        <f t="shared" ca="1" si="13"/>
        <v/>
      </c>
      <c r="F80" s="266" t="str">
        <f t="shared" ca="1" si="10"/>
        <v/>
      </c>
      <c r="G80" s="365" t="str">
        <f t="shared" ca="1" si="20"/>
        <v/>
      </c>
      <c r="H80" s="266" t="str">
        <f t="shared" ca="1" si="21"/>
        <v/>
      </c>
      <c r="I80" s="538" t="str">
        <f t="shared" ca="1" si="11"/>
        <v/>
      </c>
      <c r="J80" s="367" t="str">
        <f t="shared" ca="1" si="14"/>
        <v/>
      </c>
      <c r="K80" s="265" t="str">
        <f t="shared" ca="1" si="15"/>
        <v/>
      </c>
      <c r="L80" s="539" t="str">
        <f t="shared" ca="1" si="16"/>
        <v/>
      </c>
      <c r="M80" s="366" t="str">
        <f t="shared" ca="1" si="17"/>
        <v/>
      </c>
      <c r="N80" s="362" t="str">
        <f t="shared" ca="1" si="18"/>
        <v/>
      </c>
      <c r="P80" s="269" t="str">
        <f t="shared" ca="1" si="8"/>
        <v/>
      </c>
    </row>
    <row r="81" spans="2:16" ht="18">
      <c r="B81" s="361" t="str">
        <f t="shared" ca="1" si="19"/>
        <v/>
      </c>
      <c r="C81" s="355" t="str">
        <f t="shared" ca="1" si="12"/>
        <v/>
      </c>
      <c r="E81" s="264" t="str">
        <f t="shared" ca="1" si="13"/>
        <v/>
      </c>
      <c r="F81" s="266" t="str">
        <f t="shared" ca="1" si="10"/>
        <v/>
      </c>
      <c r="G81" s="365" t="str">
        <f t="shared" ca="1" si="20"/>
        <v/>
      </c>
      <c r="H81" s="266" t="str">
        <f t="shared" ca="1" si="21"/>
        <v/>
      </c>
      <c r="I81" s="538" t="str">
        <f t="shared" ca="1" si="11"/>
        <v/>
      </c>
      <c r="J81" s="367" t="str">
        <f t="shared" ca="1" si="14"/>
        <v/>
      </c>
      <c r="K81" s="265" t="str">
        <f t="shared" ca="1" si="15"/>
        <v/>
      </c>
      <c r="L81" s="539" t="str">
        <f t="shared" ca="1" si="16"/>
        <v/>
      </c>
      <c r="M81" s="366" t="str">
        <f t="shared" ca="1" si="17"/>
        <v/>
      </c>
      <c r="N81" s="362" t="str">
        <f t="shared" ca="1" si="18"/>
        <v/>
      </c>
      <c r="P81" s="269" t="str">
        <f t="shared" ca="1" si="8"/>
        <v/>
      </c>
    </row>
    <row r="82" spans="2:16" ht="18">
      <c r="B82" s="361" t="str">
        <f t="shared" ca="1" si="19"/>
        <v/>
      </c>
      <c r="C82" s="355" t="str">
        <f t="shared" ca="1" si="12"/>
        <v/>
      </c>
      <c r="E82" s="264" t="str">
        <f t="shared" ref="E82:E97" ca="1" si="22">IF(B82="","",IF(B82&lt;=$T$20,$T$23,$T$38))</f>
        <v/>
      </c>
      <c r="F82" s="266" t="str">
        <f t="shared" ca="1" si="10"/>
        <v/>
      </c>
      <c r="G82" s="365" t="str">
        <f t="shared" ca="1" si="20"/>
        <v/>
      </c>
      <c r="H82" s="266" t="str">
        <f t="shared" ca="1" si="21"/>
        <v/>
      </c>
      <c r="I82" s="538" t="str">
        <f t="shared" ca="1" si="11"/>
        <v/>
      </c>
      <c r="J82" s="367" t="str">
        <f t="shared" ref="J82:J97" ca="1" si="23">IF(B82="","",IF(M82="可贖回日",$B$12,""))</f>
        <v/>
      </c>
      <c r="K82" s="265" t="str">
        <f t="shared" ref="K82:K97" ca="1" si="24">IF(B82="","",IF(M82="可贖回日",IF(C82=$T$30,J82+F82,J82+F82+E83*(1-(DATEDIF($T$30,C83,"M")/DATEDIF(C82,C83,"M")))),""))</f>
        <v/>
      </c>
      <c r="L82" s="539" t="str">
        <f t="shared" ref="L82:L97" ca="1" si="25">IF(B82="","",IF(M82="可贖回日",$T$31,""))</f>
        <v/>
      </c>
      <c r="M82" s="366" t="str">
        <f t="shared" ref="M82:M97" ca="1" si="26">IF(B82="","",IF(C82=$T$29,"到期日",IF(C82=$T$30,"可贖回日",IF($U$30="無對應贖回日",IF(C83&gt;$T$30,"可贖回日",""),""))))</f>
        <v/>
      </c>
      <c r="N82" s="362" t="str">
        <f t="shared" ref="N82:N97" ca="1" si="27">IF(B82="","",IF(AND($T$34="變動",C82=$T$30),"固定轉浮動",IF(AND($T$34="固定",M82="可贖回日",C82&lt;&gt;$T$30),TEXT($T$30,"yyyy/m/d"),"")))</f>
        <v/>
      </c>
      <c r="P82" s="269" t="str">
        <f t="shared" ca="1" si="8"/>
        <v/>
      </c>
    </row>
    <row r="83" spans="2:16" ht="18">
      <c r="B83" s="361" t="str">
        <f t="shared" ref="B83:B97" ca="1" si="28">IF(B82="","",IF(B82&lt;$T$19,B82+1,""))</f>
        <v/>
      </c>
      <c r="C83" s="355" t="str">
        <f t="shared" ca="1" si="12"/>
        <v/>
      </c>
      <c r="E83" s="264" t="str">
        <f t="shared" ca="1" si="22"/>
        <v/>
      </c>
      <c r="F83" s="266" t="str">
        <f t="shared" ca="1" si="10"/>
        <v/>
      </c>
      <c r="G83" s="365" t="str">
        <f t="shared" ref="G83:G97" ca="1" si="29">IF(B83="","",IF(B83=$T$19,$B$12,""))</f>
        <v/>
      </c>
      <c r="H83" s="266" t="str">
        <f t="shared" ref="H83:H97" ca="1" si="30">IF(G83="","",G83+F83)</f>
        <v/>
      </c>
      <c r="I83" s="538" t="str">
        <f ca="1">IF(G83="","",$F$12)</f>
        <v/>
      </c>
      <c r="J83" s="367" t="str">
        <f t="shared" ca="1" si="23"/>
        <v/>
      </c>
      <c r="K83" s="265" t="str">
        <f t="shared" ca="1" si="24"/>
        <v/>
      </c>
      <c r="L83" s="539" t="str">
        <f t="shared" ca="1" si="25"/>
        <v/>
      </c>
      <c r="M83" s="366" t="str">
        <f t="shared" ca="1" si="26"/>
        <v/>
      </c>
      <c r="N83" s="362" t="str">
        <f t="shared" ca="1" si="27"/>
        <v/>
      </c>
      <c r="P83" s="269" t="str">
        <f t="shared" ref="P83:P97" ca="1" si="31">IF(B83="","",IF($T$34="浮動",T$36,IF(AND($T$34="變動",C83&gt;$T$30),T$36,"")))</f>
        <v/>
      </c>
    </row>
    <row r="84" spans="2:16" ht="18">
      <c r="B84" s="361" t="str">
        <f t="shared" ca="1" si="28"/>
        <v/>
      </c>
      <c r="C84" s="355" t="str">
        <f t="shared" ca="1" si="12"/>
        <v/>
      </c>
      <c r="E84" s="264" t="str">
        <f t="shared" ca="1" si="22"/>
        <v/>
      </c>
      <c r="F84" s="266" t="str">
        <f ca="1">IF(B84="","",F83+E84)</f>
        <v/>
      </c>
      <c r="G84" s="365" t="str">
        <f t="shared" ca="1" si="29"/>
        <v/>
      </c>
      <c r="H84" s="266" t="str">
        <f t="shared" ca="1" si="30"/>
        <v/>
      </c>
      <c r="I84" s="538" t="str">
        <f ca="1">IF(G84="","",$F$12)</f>
        <v/>
      </c>
      <c r="J84" s="367" t="str">
        <f t="shared" ca="1" si="23"/>
        <v/>
      </c>
      <c r="K84" s="265" t="str">
        <f t="shared" ca="1" si="24"/>
        <v/>
      </c>
      <c r="L84" s="539" t="str">
        <f t="shared" ca="1" si="25"/>
        <v/>
      </c>
      <c r="M84" s="366" t="str">
        <f t="shared" ca="1" si="26"/>
        <v/>
      </c>
      <c r="N84" s="362" t="str">
        <f t="shared" ca="1" si="27"/>
        <v/>
      </c>
      <c r="P84" s="269" t="str">
        <f t="shared" ca="1" si="31"/>
        <v/>
      </c>
    </row>
    <row r="85" spans="2:16" ht="18">
      <c r="B85" s="361" t="str">
        <f t="shared" ca="1" si="28"/>
        <v/>
      </c>
      <c r="C85" s="355" t="str">
        <f t="shared" ref="C85:C97" ca="1" si="32">IF(B85="","",IF($T$42=TRUE,EOMONTH(IF(B85&lt;=$T$20,EDATE(C84,+(12/$T$22)),EDATE(C84,+(12/$T$35))),0),IF(B85&lt;=$T$20,EDATE(C84,+(12/$T$22)),EDATE(C84,+(12/$T$35)))))</f>
        <v/>
      </c>
      <c r="E85" s="264" t="str">
        <f t="shared" ca="1" si="22"/>
        <v/>
      </c>
      <c r="F85" s="266" t="str">
        <f ca="1">IF(B85="","",F84+E85)</f>
        <v/>
      </c>
      <c r="G85" s="365" t="str">
        <f t="shared" ca="1" si="29"/>
        <v/>
      </c>
      <c r="H85" s="266" t="str">
        <f t="shared" ca="1" si="30"/>
        <v/>
      </c>
      <c r="I85" s="538" t="str">
        <f ca="1">IF(G85="","",$F$12)</f>
        <v/>
      </c>
      <c r="J85" s="367" t="str">
        <f t="shared" ca="1" si="23"/>
        <v/>
      </c>
      <c r="K85" s="265" t="str">
        <f t="shared" ca="1" si="24"/>
        <v/>
      </c>
      <c r="L85" s="539" t="str">
        <f t="shared" ca="1" si="25"/>
        <v/>
      </c>
      <c r="M85" s="366" t="str">
        <f t="shared" ca="1" si="26"/>
        <v/>
      </c>
      <c r="N85" s="362" t="str">
        <f t="shared" ca="1" si="27"/>
        <v/>
      </c>
      <c r="P85" s="269" t="str">
        <f t="shared" ca="1" si="31"/>
        <v/>
      </c>
    </row>
    <row r="86" spans="2:16" ht="18">
      <c r="B86" s="361" t="str">
        <f t="shared" ca="1" si="28"/>
        <v/>
      </c>
      <c r="C86" s="355" t="str">
        <f t="shared" ca="1" si="32"/>
        <v/>
      </c>
      <c r="E86" s="264" t="str">
        <f t="shared" ca="1" si="22"/>
        <v/>
      </c>
      <c r="F86" s="266" t="str">
        <f ca="1">IF(B86="","",F85+E86)</f>
        <v/>
      </c>
      <c r="G86" s="365" t="str">
        <f t="shared" ca="1" si="29"/>
        <v/>
      </c>
      <c r="H86" s="266" t="str">
        <f t="shared" ca="1" si="30"/>
        <v/>
      </c>
      <c r="I86" s="538" t="str">
        <f ca="1">IF(G86="","",$F$12)</f>
        <v/>
      </c>
      <c r="J86" s="367" t="str">
        <f t="shared" ca="1" si="23"/>
        <v/>
      </c>
      <c r="K86" s="265" t="str">
        <f t="shared" ca="1" si="24"/>
        <v/>
      </c>
      <c r="L86" s="539" t="str">
        <f t="shared" ca="1" si="25"/>
        <v/>
      </c>
      <c r="M86" s="366" t="str">
        <f t="shared" ca="1" si="26"/>
        <v/>
      </c>
      <c r="N86" s="362" t="str">
        <f t="shared" ca="1" si="27"/>
        <v/>
      </c>
      <c r="P86" s="269" t="str">
        <f t="shared" ca="1" si="31"/>
        <v/>
      </c>
    </row>
    <row r="87" spans="2:16" ht="18">
      <c r="B87" s="361" t="str">
        <f t="shared" ca="1" si="28"/>
        <v/>
      </c>
      <c r="C87" s="355" t="str">
        <f t="shared" ca="1" si="32"/>
        <v/>
      </c>
      <c r="E87" s="264" t="str">
        <f t="shared" ca="1" si="22"/>
        <v/>
      </c>
      <c r="F87" s="266" t="str">
        <f ca="1">IF(B87="","",F86+E87)</f>
        <v/>
      </c>
      <c r="G87" s="365" t="str">
        <f t="shared" ca="1" si="29"/>
        <v/>
      </c>
      <c r="H87" s="266" t="str">
        <f t="shared" ca="1" si="30"/>
        <v/>
      </c>
      <c r="I87" s="538" t="str">
        <f ca="1">IF(G87="","",$F$12)</f>
        <v/>
      </c>
      <c r="J87" s="367" t="str">
        <f t="shared" ca="1" si="23"/>
        <v/>
      </c>
      <c r="K87" s="265" t="str">
        <f t="shared" ca="1" si="24"/>
        <v/>
      </c>
      <c r="L87" s="539" t="str">
        <f t="shared" ca="1" si="25"/>
        <v/>
      </c>
      <c r="M87" s="366" t="str">
        <f t="shared" ca="1" si="26"/>
        <v/>
      </c>
      <c r="N87" s="362" t="str">
        <f t="shared" ca="1" si="27"/>
        <v/>
      </c>
      <c r="P87" s="269" t="str">
        <f t="shared" ca="1" si="31"/>
        <v/>
      </c>
    </row>
    <row r="88" spans="2:16" ht="18">
      <c r="B88" s="361" t="str">
        <f t="shared" ca="1" si="28"/>
        <v/>
      </c>
      <c r="C88" s="355" t="str">
        <f t="shared" ca="1" si="32"/>
        <v/>
      </c>
      <c r="E88" s="264" t="str">
        <f t="shared" ca="1" si="22"/>
        <v/>
      </c>
      <c r="F88" s="266" t="str">
        <f t="shared" ref="F88:F97" ca="1" si="33">IF(B88="","",F87+E88)</f>
        <v/>
      </c>
      <c r="G88" s="365" t="str">
        <f t="shared" ca="1" si="29"/>
        <v/>
      </c>
      <c r="H88" s="266" t="str">
        <f t="shared" ca="1" si="30"/>
        <v/>
      </c>
      <c r="I88" s="538" t="str">
        <f t="shared" ref="I88:I97" ca="1" si="34">IF(G88="","",$F$12)</f>
        <v/>
      </c>
      <c r="J88" s="367" t="str">
        <f t="shared" ca="1" si="23"/>
        <v/>
      </c>
      <c r="K88" s="265" t="str">
        <f t="shared" ca="1" si="24"/>
        <v/>
      </c>
      <c r="L88" s="539" t="str">
        <f t="shared" ca="1" si="25"/>
        <v/>
      </c>
      <c r="M88" s="366" t="str">
        <f t="shared" ca="1" si="26"/>
        <v/>
      </c>
      <c r="N88" s="362" t="str">
        <f t="shared" ca="1" si="27"/>
        <v/>
      </c>
      <c r="P88" s="269" t="str">
        <f t="shared" ca="1" si="31"/>
        <v/>
      </c>
    </row>
    <row r="89" spans="2:16" ht="18">
      <c r="B89" s="361" t="str">
        <f t="shared" ca="1" si="28"/>
        <v/>
      </c>
      <c r="C89" s="355" t="str">
        <f t="shared" ca="1" si="32"/>
        <v/>
      </c>
      <c r="E89" s="264" t="str">
        <f t="shared" ca="1" si="22"/>
        <v/>
      </c>
      <c r="F89" s="266" t="str">
        <f t="shared" ca="1" si="33"/>
        <v/>
      </c>
      <c r="G89" s="365" t="str">
        <f t="shared" ca="1" si="29"/>
        <v/>
      </c>
      <c r="H89" s="266" t="str">
        <f t="shared" ca="1" si="30"/>
        <v/>
      </c>
      <c r="I89" s="538" t="str">
        <f t="shared" ca="1" si="34"/>
        <v/>
      </c>
      <c r="J89" s="367" t="str">
        <f t="shared" ca="1" si="23"/>
        <v/>
      </c>
      <c r="K89" s="265" t="str">
        <f t="shared" ca="1" si="24"/>
        <v/>
      </c>
      <c r="L89" s="539" t="str">
        <f t="shared" ca="1" si="25"/>
        <v/>
      </c>
      <c r="M89" s="366" t="str">
        <f t="shared" ca="1" si="26"/>
        <v/>
      </c>
      <c r="N89" s="362" t="str">
        <f t="shared" ca="1" si="27"/>
        <v/>
      </c>
      <c r="P89" s="269" t="str">
        <f t="shared" ca="1" si="31"/>
        <v/>
      </c>
    </row>
    <row r="90" spans="2:16" ht="18">
      <c r="B90" s="361" t="str">
        <f t="shared" ca="1" si="28"/>
        <v/>
      </c>
      <c r="C90" s="355" t="str">
        <f t="shared" ca="1" si="32"/>
        <v/>
      </c>
      <c r="E90" s="264" t="str">
        <f t="shared" ca="1" si="22"/>
        <v/>
      </c>
      <c r="F90" s="266" t="str">
        <f t="shared" ca="1" si="33"/>
        <v/>
      </c>
      <c r="G90" s="365" t="str">
        <f t="shared" ca="1" si="29"/>
        <v/>
      </c>
      <c r="H90" s="266" t="str">
        <f t="shared" ca="1" si="30"/>
        <v/>
      </c>
      <c r="I90" s="538" t="str">
        <f t="shared" ca="1" si="34"/>
        <v/>
      </c>
      <c r="J90" s="367" t="str">
        <f t="shared" ca="1" si="23"/>
        <v/>
      </c>
      <c r="K90" s="265" t="str">
        <f t="shared" ca="1" si="24"/>
        <v/>
      </c>
      <c r="L90" s="539" t="str">
        <f t="shared" ca="1" si="25"/>
        <v/>
      </c>
      <c r="M90" s="366" t="str">
        <f t="shared" ca="1" si="26"/>
        <v/>
      </c>
      <c r="N90" s="362" t="str">
        <f t="shared" ca="1" si="27"/>
        <v/>
      </c>
      <c r="P90" s="269" t="str">
        <f t="shared" ca="1" si="31"/>
        <v/>
      </c>
    </row>
    <row r="91" spans="2:16" ht="18">
      <c r="B91" s="361" t="str">
        <f t="shared" ca="1" si="28"/>
        <v/>
      </c>
      <c r="C91" s="355" t="str">
        <f t="shared" ca="1" si="32"/>
        <v/>
      </c>
      <c r="E91" s="264" t="str">
        <f t="shared" ca="1" si="22"/>
        <v/>
      </c>
      <c r="F91" s="266" t="str">
        <f t="shared" ca="1" si="33"/>
        <v/>
      </c>
      <c r="G91" s="365" t="str">
        <f t="shared" ca="1" si="29"/>
        <v/>
      </c>
      <c r="H91" s="266" t="str">
        <f t="shared" ca="1" si="30"/>
        <v/>
      </c>
      <c r="I91" s="538" t="str">
        <f t="shared" ca="1" si="34"/>
        <v/>
      </c>
      <c r="J91" s="367" t="str">
        <f t="shared" ca="1" si="23"/>
        <v/>
      </c>
      <c r="K91" s="265" t="str">
        <f t="shared" ca="1" si="24"/>
        <v/>
      </c>
      <c r="L91" s="539" t="str">
        <f t="shared" ca="1" si="25"/>
        <v/>
      </c>
      <c r="M91" s="366" t="str">
        <f t="shared" ca="1" si="26"/>
        <v/>
      </c>
      <c r="N91" s="362" t="str">
        <f t="shared" ca="1" si="27"/>
        <v/>
      </c>
      <c r="P91" s="269" t="str">
        <f t="shared" ca="1" si="31"/>
        <v/>
      </c>
    </row>
    <row r="92" spans="2:16" ht="18">
      <c r="B92" s="361" t="str">
        <f t="shared" ca="1" si="28"/>
        <v/>
      </c>
      <c r="C92" s="355" t="str">
        <f t="shared" ca="1" si="32"/>
        <v/>
      </c>
      <c r="E92" s="264" t="str">
        <f t="shared" ca="1" si="22"/>
        <v/>
      </c>
      <c r="F92" s="266" t="str">
        <f t="shared" ca="1" si="33"/>
        <v/>
      </c>
      <c r="G92" s="365" t="str">
        <f t="shared" ca="1" si="29"/>
        <v/>
      </c>
      <c r="H92" s="266" t="str">
        <f t="shared" ca="1" si="30"/>
        <v/>
      </c>
      <c r="I92" s="538" t="str">
        <f t="shared" ca="1" si="34"/>
        <v/>
      </c>
      <c r="J92" s="367" t="str">
        <f t="shared" ca="1" si="23"/>
        <v/>
      </c>
      <c r="K92" s="265" t="str">
        <f t="shared" ca="1" si="24"/>
        <v/>
      </c>
      <c r="L92" s="539" t="str">
        <f t="shared" ca="1" si="25"/>
        <v/>
      </c>
      <c r="M92" s="366" t="str">
        <f t="shared" ca="1" si="26"/>
        <v/>
      </c>
      <c r="N92" s="362" t="str">
        <f t="shared" ca="1" si="27"/>
        <v/>
      </c>
      <c r="P92" s="269" t="str">
        <f t="shared" ca="1" si="31"/>
        <v/>
      </c>
    </row>
    <row r="93" spans="2:16" ht="18">
      <c r="B93" s="361" t="str">
        <f t="shared" ca="1" si="28"/>
        <v/>
      </c>
      <c r="C93" s="355" t="str">
        <f t="shared" ca="1" si="32"/>
        <v/>
      </c>
      <c r="E93" s="264" t="str">
        <f t="shared" ca="1" si="22"/>
        <v/>
      </c>
      <c r="F93" s="266" t="str">
        <f t="shared" ca="1" si="33"/>
        <v/>
      </c>
      <c r="G93" s="365" t="str">
        <f t="shared" ca="1" si="29"/>
        <v/>
      </c>
      <c r="H93" s="266" t="str">
        <f t="shared" ca="1" si="30"/>
        <v/>
      </c>
      <c r="I93" s="538" t="str">
        <f t="shared" ca="1" si="34"/>
        <v/>
      </c>
      <c r="J93" s="367" t="str">
        <f t="shared" ca="1" si="23"/>
        <v/>
      </c>
      <c r="K93" s="265" t="str">
        <f t="shared" ca="1" si="24"/>
        <v/>
      </c>
      <c r="L93" s="539" t="str">
        <f t="shared" ca="1" si="25"/>
        <v/>
      </c>
      <c r="M93" s="366" t="str">
        <f t="shared" ca="1" si="26"/>
        <v/>
      </c>
      <c r="N93" s="362" t="str">
        <f t="shared" ca="1" si="27"/>
        <v/>
      </c>
      <c r="P93" s="269" t="str">
        <f t="shared" ca="1" si="31"/>
        <v/>
      </c>
    </row>
    <row r="94" spans="2:16" ht="18">
      <c r="B94" s="361" t="str">
        <f t="shared" ca="1" si="28"/>
        <v/>
      </c>
      <c r="C94" s="355" t="str">
        <f t="shared" ca="1" si="32"/>
        <v/>
      </c>
      <c r="E94" s="264" t="str">
        <f t="shared" ca="1" si="22"/>
        <v/>
      </c>
      <c r="F94" s="266" t="str">
        <f t="shared" ca="1" si="33"/>
        <v/>
      </c>
      <c r="G94" s="365" t="str">
        <f t="shared" ca="1" si="29"/>
        <v/>
      </c>
      <c r="H94" s="266" t="str">
        <f t="shared" ca="1" si="30"/>
        <v/>
      </c>
      <c r="I94" s="538" t="str">
        <f t="shared" ca="1" si="34"/>
        <v/>
      </c>
      <c r="J94" s="367" t="str">
        <f t="shared" ca="1" si="23"/>
        <v/>
      </c>
      <c r="K94" s="265" t="str">
        <f t="shared" ca="1" si="24"/>
        <v/>
      </c>
      <c r="L94" s="539" t="str">
        <f t="shared" ca="1" si="25"/>
        <v/>
      </c>
      <c r="M94" s="366" t="str">
        <f t="shared" ca="1" si="26"/>
        <v/>
      </c>
      <c r="N94" s="362" t="str">
        <f t="shared" ca="1" si="27"/>
        <v/>
      </c>
      <c r="P94" s="269" t="str">
        <f t="shared" ca="1" si="31"/>
        <v/>
      </c>
    </row>
    <row r="95" spans="2:16" ht="18">
      <c r="B95" s="361" t="str">
        <f t="shared" ca="1" si="28"/>
        <v/>
      </c>
      <c r="C95" s="355" t="str">
        <f t="shared" ca="1" si="32"/>
        <v/>
      </c>
      <c r="E95" s="264" t="str">
        <f t="shared" ca="1" si="22"/>
        <v/>
      </c>
      <c r="F95" s="266" t="str">
        <f t="shared" ca="1" si="33"/>
        <v/>
      </c>
      <c r="G95" s="365" t="str">
        <f t="shared" ca="1" si="29"/>
        <v/>
      </c>
      <c r="H95" s="266" t="str">
        <f t="shared" ca="1" si="30"/>
        <v/>
      </c>
      <c r="I95" s="538" t="str">
        <f t="shared" ca="1" si="34"/>
        <v/>
      </c>
      <c r="J95" s="367" t="str">
        <f t="shared" ca="1" si="23"/>
        <v/>
      </c>
      <c r="K95" s="265" t="str">
        <f t="shared" ca="1" si="24"/>
        <v/>
      </c>
      <c r="L95" s="539" t="str">
        <f t="shared" ca="1" si="25"/>
        <v/>
      </c>
      <c r="M95" s="366" t="str">
        <f t="shared" ca="1" si="26"/>
        <v/>
      </c>
      <c r="N95" s="362" t="str">
        <f t="shared" ca="1" si="27"/>
        <v/>
      </c>
      <c r="P95" s="269" t="str">
        <f t="shared" ca="1" si="31"/>
        <v/>
      </c>
    </row>
    <row r="96" spans="2:16" ht="18">
      <c r="B96" s="361" t="str">
        <f t="shared" ca="1" si="28"/>
        <v/>
      </c>
      <c r="C96" s="355" t="str">
        <f t="shared" ca="1" si="32"/>
        <v/>
      </c>
      <c r="E96" s="264" t="str">
        <f t="shared" ca="1" si="22"/>
        <v/>
      </c>
      <c r="F96" s="266" t="str">
        <f t="shared" ca="1" si="33"/>
        <v/>
      </c>
      <c r="G96" s="365" t="str">
        <f t="shared" ca="1" si="29"/>
        <v/>
      </c>
      <c r="H96" s="266" t="str">
        <f t="shared" ca="1" si="30"/>
        <v/>
      </c>
      <c r="I96" s="538" t="str">
        <f t="shared" ca="1" si="34"/>
        <v/>
      </c>
      <c r="J96" s="367" t="str">
        <f t="shared" ca="1" si="23"/>
        <v/>
      </c>
      <c r="K96" s="265" t="str">
        <f t="shared" ca="1" si="24"/>
        <v/>
      </c>
      <c r="L96" s="539" t="str">
        <f t="shared" ca="1" si="25"/>
        <v/>
      </c>
      <c r="M96" s="366" t="str">
        <f t="shared" ca="1" si="26"/>
        <v/>
      </c>
      <c r="N96" s="362" t="str">
        <f t="shared" ca="1" si="27"/>
        <v/>
      </c>
      <c r="P96" s="269" t="str">
        <f t="shared" ca="1" si="31"/>
        <v/>
      </c>
    </row>
    <row r="97" spans="2:16" ht="18">
      <c r="B97" s="361" t="str">
        <f t="shared" ca="1" si="28"/>
        <v/>
      </c>
      <c r="C97" s="355" t="str">
        <f t="shared" ca="1" si="32"/>
        <v/>
      </c>
      <c r="E97" s="264" t="str">
        <f t="shared" ca="1" si="22"/>
        <v/>
      </c>
      <c r="F97" s="266" t="str">
        <f t="shared" ca="1" si="33"/>
        <v/>
      </c>
      <c r="G97" s="365" t="str">
        <f t="shared" ca="1" si="29"/>
        <v/>
      </c>
      <c r="H97" s="266" t="str">
        <f t="shared" ca="1" si="30"/>
        <v/>
      </c>
      <c r="I97" s="538" t="str">
        <f t="shared" ca="1" si="34"/>
        <v/>
      </c>
      <c r="J97" s="367" t="str">
        <f t="shared" ca="1" si="23"/>
        <v/>
      </c>
      <c r="K97" s="265" t="str">
        <f t="shared" ca="1" si="24"/>
        <v/>
      </c>
      <c r="L97" s="539" t="str">
        <f t="shared" ca="1" si="25"/>
        <v/>
      </c>
      <c r="M97" s="366" t="str">
        <f t="shared" ca="1" si="26"/>
        <v/>
      </c>
      <c r="N97" s="362" t="str">
        <f t="shared" ca="1" si="27"/>
        <v/>
      </c>
      <c r="P97" s="269" t="str">
        <f t="shared" ca="1" si="31"/>
        <v/>
      </c>
    </row>
  </sheetData>
  <sheetProtection algorithmName="SHA-512" hashValue="6rAbJvL9hlVyq6BhgBVc0vbHlsSTja75xiQz3iPp1IcdMB1DhMwk4R+4i0JmZxyp2dsXjoFBkAN0gITCwcmijw==" saltValue="HsV3bLKXoh7D8B/mhL/MDQ==" spinCount="100000" sheet="1" formatCells="0" formatColumns="0" formatRows="0"/>
  <mergeCells count="12">
    <mergeCell ref="E3:J4"/>
    <mergeCell ref="M11:N11"/>
    <mergeCell ref="M12:N12"/>
    <mergeCell ref="M17:N17"/>
    <mergeCell ref="C7:D7"/>
    <mergeCell ref="C8:D8"/>
    <mergeCell ref="E7:N7"/>
    <mergeCell ref="E8:N8"/>
    <mergeCell ref="B15:N15"/>
    <mergeCell ref="B13:N14"/>
    <mergeCell ref="B5:N5"/>
    <mergeCell ref="B16:N16"/>
  </mergeCells>
  <phoneticPr fontId="55" type="noConversion"/>
  <conditionalFormatting sqref="B12">
    <cfRule type="expression" dxfId="902" priority="1">
      <formula>OR(B12&lt;I12,MOD(B12,J12)&lt;&gt;0)</formula>
    </cfRule>
  </conditionalFormatting>
  <conditionalFormatting sqref="B18:B97">
    <cfRule type="expression" dxfId="901" priority="16">
      <formula>$B18=""</formula>
    </cfRule>
  </conditionalFormatting>
  <conditionalFormatting sqref="B18:N97">
    <cfRule type="expression" dxfId="900" priority="5">
      <formula>AND($B18&lt;&gt;"",$B19="")</formula>
    </cfRule>
  </conditionalFormatting>
  <conditionalFormatting sqref="C18:C97">
    <cfRule type="expression" dxfId="899" priority="14">
      <formula>$C18=""</formula>
    </cfRule>
  </conditionalFormatting>
  <conditionalFormatting sqref="E18:E97">
    <cfRule type="expression" dxfId="898" priority="13">
      <formula>$E18=""</formula>
    </cfRule>
  </conditionalFormatting>
  <conditionalFormatting sqref="G18:G97">
    <cfRule type="expression" dxfId="897" priority="12">
      <formula>$B18=""</formula>
    </cfRule>
  </conditionalFormatting>
  <conditionalFormatting sqref="I18:I97">
    <cfRule type="expression" dxfId="896" priority="11">
      <formula>$B18=""</formula>
    </cfRule>
  </conditionalFormatting>
  <conditionalFormatting sqref="K18:K97">
    <cfRule type="expression" dxfId="895" priority="10">
      <formula>$B18=""</formula>
    </cfRule>
  </conditionalFormatting>
  <conditionalFormatting sqref="L18:L97">
    <cfRule type="expression" dxfId="894" priority="9">
      <formula>$B18=""</formula>
    </cfRule>
  </conditionalFormatting>
  <conditionalFormatting sqref="M18:N97">
    <cfRule type="expression" dxfId="893" priority="7">
      <formula>$B18=""</formula>
    </cfRule>
  </conditionalFormatting>
  <conditionalFormatting sqref="P18:P97">
    <cfRule type="expression" dxfId="892" priority="6">
      <formula>$B18&lt;&gt;""</formula>
    </cfRule>
  </conditionalFormatting>
  <dataValidations count="1">
    <dataValidation type="custom" operator="greaterThan" allowBlank="1" showInputMessage="1" showErrorMessage="1" errorTitle="投資面額待確認" error="不符合最低申購面額或最低增額要求，有請重新輸入，謝謝！" sqref="B12" xr:uid="{00000000-0002-0000-0100-000000000000}">
      <formula1>AND(B12&gt;=I12,MOD(B12,J12)=0)</formula1>
    </dataValidation>
  </dataValidations>
  <pageMargins left="0.39370078740157483" right="0.39370078740157483" top="0.39370078740157483" bottom="0.39370078740157483" header="0.31496062992125984" footer="0.31496062992125984"/>
  <pageSetup paperSize="9" scale="52" fitToHeight="0" orientation="landscape" r:id="rId1"/>
  <colBreaks count="1" manualBreakCount="1">
    <brk id="17" max="1048575" man="1"/>
  </colBreaks>
  <drawing r:id="rId2"/>
  <extLst>
    <ext xmlns:x14="http://schemas.microsoft.com/office/spreadsheetml/2009/9/main" uri="{CCE6A557-97BC-4b89-ADB6-D9C93CAAB3DF}">
      <x14:dataValidations xmlns:xm="http://schemas.microsoft.com/office/excel/2006/main" count="1">
        <x14:dataValidation type="custom" allowBlank="1" showInputMessage="1" showErrorMessage="1" errorTitle="商品代碼待確認" error="有請填入正確的商品代碼，謝謝您！" xr:uid="{00000000-0002-0000-0100-000001000000}">
          <x14:formula1>
            <xm:f>'2_Check_code'!C3="TRUE"</xm:f>
          </x14:formula1>
          <xm:sqref>B8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3">
    <tabColor rgb="FF297D6B"/>
    <pageSetUpPr fitToPage="1"/>
  </sheetPr>
  <dimension ref="A1:AD76"/>
  <sheetViews>
    <sheetView showRowColHeaders="0" zoomScale="85" zoomScaleNormal="85" workbookViewId="0">
      <selection activeCell="B8" sqref="B8"/>
    </sheetView>
  </sheetViews>
  <sheetFormatPr defaultColWidth="8.85546875" defaultRowHeight="15.5"/>
  <cols>
    <col min="1" max="1" width="1.42578125" style="55" customWidth="1"/>
    <col min="2" max="2" width="10.640625" style="55" customWidth="1"/>
    <col min="3" max="3" width="67.640625" style="55" bestFit="1" customWidth="1"/>
    <col min="4" max="4" width="8.640625" style="55" bestFit="1" customWidth="1"/>
    <col min="5" max="5" width="21.0703125" style="55" customWidth="1"/>
    <col min="6" max="6" width="18" style="55" customWidth="1"/>
    <col min="7" max="7" width="1.640625" style="55" customWidth="1"/>
    <col min="8" max="8" width="16.42578125" style="55" bestFit="1" customWidth="1"/>
    <col min="9" max="9" width="5.42578125" style="55" customWidth="1"/>
    <col min="10" max="10" width="7.640625" style="55" customWidth="1"/>
    <col min="11" max="11" width="8.85546875" style="55"/>
    <col min="12" max="12" width="11.640625" style="55" customWidth="1"/>
    <col min="13" max="13" width="8.85546875" style="55" customWidth="1"/>
    <col min="14" max="14" width="12.42578125" style="55" bestFit="1" customWidth="1"/>
    <col min="15" max="15" width="13" style="55" customWidth="1"/>
    <col min="16" max="16" width="11.0703125" style="55" customWidth="1"/>
    <col min="17" max="17" width="2.28515625" style="55" customWidth="1"/>
    <col min="18" max="20" width="2.28515625" style="55" hidden="1" customWidth="1"/>
    <col min="21" max="21" width="16" style="55" bestFit="1" customWidth="1"/>
    <col min="22" max="16384" width="8.85546875" style="55"/>
  </cols>
  <sheetData>
    <row r="1" spans="1:30" ht="31" customHeight="1"/>
    <row r="2" spans="1:30">
      <c r="A2" s="3"/>
      <c r="B2" s="1922" t="s">
        <v>2071</v>
      </c>
      <c r="C2" s="1923"/>
      <c r="D2" s="1923"/>
      <c r="E2" s="1923"/>
      <c r="F2" s="1923"/>
      <c r="G2" s="1923"/>
      <c r="H2" s="1923"/>
      <c r="I2" s="1923"/>
      <c r="J2" s="1923"/>
      <c r="K2" s="1923"/>
      <c r="L2" s="1923"/>
      <c r="M2" s="1923"/>
      <c r="N2" s="1923"/>
      <c r="Q2" s="4"/>
      <c r="R2" s="4"/>
      <c r="S2" s="4"/>
      <c r="T2" s="4"/>
      <c r="U2" s="387"/>
    </row>
    <row r="3" spans="1:30" ht="28.5">
      <c r="A3" s="5"/>
      <c r="B3" s="1923"/>
      <c r="C3" s="1923"/>
      <c r="D3" s="1923"/>
      <c r="E3" s="1923"/>
      <c r="F3" s="1923"/>
      <c r="G3" s="1923"/>
      <c r="H3" s="1923"/>
      <c r="I3" s="1923"/>
      <c r="J3" s="1923"/>
      <c r="K3" s="1923"/>
      <c r="L3" s="1923"/>
      <c r="M3" s="1923"/>
      <c r="N3" s="1923"/>
      <c r="O3" s="548" t="s">
        <v>122</v>
      </c>
      <c r="P3" s="549">
        <f>投資商品現金流試算表!N4</f>
        <v>45474</v>
      </c>
      <c r="Q3" s="4"/>
      <c r="R3" s="4"/>
      <c r="S3" s="4"/>
      <c r="T3" s="4"/>
      <c r="U3" s="387"/>
    </row>
    <row r="4" spans="1:30" ht="31" hidden="1">
      <c r="A4" s="5"/>
      <c r="B4" s="381"/>
      <c r="C4" s="381"/>
      <c r="D4" s="381"/>
      <c r="E4" s="381"/>
      <c r="F4" s="381"/>
      <c r="G4" s="381"/>
      <c r="H4" s="381"/>
      <c r="I4" s="381"/>
      <c r="J4" s="381"/>
      <c r="K4" s="381"/>
      <c r="L4" s="381"/>
      <c r="M4" s="381"/>
      <c r="N4" s="381"/>
      <c r="O4" s="381"/>
      <c r="P4" s="381"/>
      <c r="Q4" s="4"/>
      <c r="R4" s="4"/>
      <c r="S4" s="4"/>
      <c r="T4" s="4"/>
      <c r="U4" s="387"/>
    </row>
    <row r="5" spans="1:30" ht="31" hidden="1">
      <c r="A5" s="5"/>
      <c r="B5" s="381"/>
      <c r="C5" s="381"/>
      <c r="D5" s="381"/>
      <c r="E5" s="381"/>
      <c r="F5" s="381"/>
      <c r="G5" s="381"/>
      <c r="H5" s="381"/>
      <c r="I5" s="381"/>
      <c r="J5" s="381"/>
      <c r="K5" s="381"/>
      <c r="L5" s="381"/>
      <c r="M5" s="381"/>
      <c r="N5" s="381"/>
      <c r="O5" s="381"/>
      <c r="P5" s="381"/>
      <c r="Q5" s="4"/>
      <c r="R5" s="4"/>
      <c r="S5" s="4"/>
      <c r="T5" s="4"/>
      <c r="U5" s="387"/>
    </row>
    <row r="6" spans="1:30" ht="24" customHeight="1" thickBot="1">
      <c r="A6" s="5"/>
      <c r="B6" s="1921" t="s">
        <v>2072</v>
      </c>
      <c r="C6" s="1921"/>
      <c r="D6" s="1921"/>
      <c r="E6" s="1921"/>
      <c r="F6" s="1921"/>
      <c r="G6" s="1921"/>
      <c r="H6" s="1921"/>
      <c r="I6" s="1921"/>
      <c r="J6" s="1921"/>
      <c r="K6" s="1921"/>
      <c r="L6" s="1921"/>
      <c r="M6" s="1921"/>
      <c r="N6" s="1921"/>
      <c r="O6" s="1921"/>
      <c r="P6" s="1921"/>
      <c r="Q6" s="4"/>
      <c r="R6" s="4"/>
      <c r="S6" s="4"/>
      <c r="T6" s="4"/>
      <c r="U6" s="387"/>
    </row>
    <row r="7" spans="1:30" ht="47.25" customHeight="1" thickBot="1">
      <c r="A7" s="6"/>
      <c r="B7" s="295" t="s">
        <v>1341</v>
      </c>
      <c r="C7" s="380" t="s">
        <v>123</v>
      </c>
      <c r="D7" s="380" t="s">
        <v>160</v>
      </c>
      <c r="E7" s="296" t="s">
        <v>1782</v>
      </c>
      <c r="F7" s="1960" t="s">
        <v>1281</v>
      </c>
      <c r="G7" s="1960"/>
      <c r="H7" s="1960" t="s">
        <v>18</v>
      </c>
      <c r="I7" s="1960"/>
      <c r="J7" s="1960" t="s">
        <v>22</v>
      </c>
      <c r="K7" s="1960"/>
      <c r="L7" s="296" t="s">
        <v>2063</v>
      </c>
      <c r="M7" s="297" t="s">
        <v>1283</v>
      </c>
      <c r="N7" s="296" t="s">
        <v>2054</v>
      </c>
      <c r="O7" s="1961" t="s">
        <v>34</v>
      </c>
      <c r="P7" s="1962"/>
      <c r="Q7" s="7"/>
      <c r="R7" s="7"/>
      <c r="S7" s="7"/>
      <c r="T7" s="7"/>
      <c r="U7" s="244" t="s">
        <v>1282</v>
      </c>
    </row>
    <row r="8" spans="1:30" ht="35.5" customHeight="1">
      <c r="A8" s="19"/>
      <c r="B8" s="285" t="s">
        <v>1024</v>
      </c>
      <c r="C8" s="1094" t="str">
        <f ca="1">IFERROR(IF(B8="","",VLOOKUP(B8,'銀行-TSS'!B:D,3,FALSE)),"")</f>
        <v>Alphabet公司美元配息債券 2.25% 2060/8/15</v>
      </c>
      <c r="D8" s="370" t="str">
        <f ca="1">IFERROR('Tssco-bond portfolio'!AB7,"")</f>
        <v>通訊</v>
      </c>
      <c r="E8" s="350" t="str">
        <f ca="1">IF(B8="","",IFERROR('Tssco-bond portfolio'!C7,""))</f>
        <v>Aa2 / AA+ / -</v>
      </c>
      <c r="F8" s="1963">
        <v>10000</v>
      </c>
      <c r="G8" s="1963"/>
      <c r="H8" s="1964">
        <f ca="1">IFERROR(IF('Tssco-bond portfolio'!D7=0,"",'Tssco-bond portfolio'!D7),"")</f>
        <v>2.2499999999999999E-2</v>
      </c>
      <c r="I8" s="1964"/>
      <c r="J8" s="371" t="str">
        <f ca="1">IFERROR(CONCATENATE(LEFT('Tssco-bond portfolio'!F7,1),"月"),"")</f>
        <v>2月</v>
      </c>
      <c r="K8" s="371" t="str">
        <f ca="1">IFERROR(CONCATENATE(RIGHT('Tssco-bond portfolio'!F7,LEN('Tssco-bond portfolio'!F7)-2),"月"),"")</f>
        <v>8月</v>
      </c>
      <c r="L8" s="528">
        <f ca="1">IF(B8="","",IFERROR('Tssco-bond portfolio'!G7,""))</f>
        <v>4.5499999999999999E-2</v>
      </c>
      <c r="M8" s="372">
        <f ca="1">IF(B8="","",IFERROR('Tssco-bond portfolio'!H7,""))</f>
        <v>36.119999999999997</v>
      </c>
      <c r="N8" s="373">
        <f ca="1">IF(B8="","",IFERROR('Tssco-bond portfolio'!B7,""))</f>
        <v>60.32</v>
      </c>
      <c r="O8" s="374">
        <f ca="1">IF(IFERROR(N8*F8/100,"")=0,"",IFERROR(N8*F8/100,""))</f>
        <v>6032</v>
      </c>
      <c r="P8" s="375">
        <f ca="1">IFERROR(IF(F8&lt;&gt;"",O8/$J$33,""),"")</f>
        <v>5.2107359127858258E-2</v>
      </c>
      <c r="Q8" s="7"/>
      <c r="R8" s="7"/>
      <c r="S8" s="7"/>
      <c r="T8" s="7"/>
      <c r="U8" s="304" t="str">
        <f>IFERROR(IF(B8="","",VLOOKUP(B8,bond!B:R,17,FALSE)),"")</f>
        <v>10000 / 1000</v>
      </c>
    </row>
    <row r="9" spans="1:30" ht="35.5" customHeight="1">
      <c r="A9" s="19"/>
      <c r="B9" s="286" t="s">
        <v>2082</v>
      </c>
      <c r="C9" s="1095" t="str">
        <f ca="1">IFERROR(IF(B9="","",VLOOKUP(B9,'銀行-TSS'!B:D,3,FALSE)),"")</f>
        <v>寶僑公司美元配息債券 4.05% 2033/1/26</v>
      </c>
      <c r="D9" s="348" t="str">
        <f ca="1">IFERROR('Tssco-bond portfolio'!AB8,"")</f>
        <v>核心消費</v>
      </c>
      <c r="E9" s="348" t="str">
        <f ca="1">IF(B9="","",IFERROR('Tssco-bond portfolio'!C8,""))</f>
        <v>Aa3 / AA- / -</v>
      </c>
      <c r="F9" s="1950">
        <v>10000</v>
      </c>
      <c r="G9" s="1950"/>
      <c r="H9" s="1951">
        <f ca="1">IFERROR(IF('Tssco-bond portfolio'!D8=0,"",'Tssco-bond portfolio'!D8),"")</f>
        <v>4.0500000000000001E-2</v>
      </c>
      <c r="I9" s="1951"/>
      <c r="J9" s="301" t="str">
        <f ca="1">IFERROR(CONCATENATE(LEFT('Tssco-bond portfolio'!F8,1),"月"),"")</f>
        <v>1月</v>
      </c>
      <c r="K9" s="301" t="str">
        <f ca="1">IFERROR(CONCATENATE(RIGHT('Tssco-bond portfolio'!F8,LEN('Tssco-bond portfolio'!F8)-2),"月"),"")</f>
        <v>7月</v>
      </c>
      <c r="L9" s="529">
        <f ca="1">IF(B9="","",IFERROR('Tssco-bond portfolio'!G8,""))</f>
        <v>4.3400000000000001E-2</v>
      </c>
      <c r="M9" s="302">
        <f ca="1">IF(B9="","",IFERROR('Tssco-bond portfolio'!H8,""))</f>
        <v>8.57</v>
      </c>
      <c r="N9" s="303">
        <f ca="1">IF(B9="","",IFERROR('Tssco-bond portfolio'!B8,""))</f>
        <v>99.71</v>
      </c>
      <c r="O9" s="287">
        <f t="shared" ref="O9:O19" ca="1" si="0">IF(IFERROR(N9*F9/100,"")=0,"",IFERROR(N9*F9/100,""))</f>
        <v>9970.9999999999982</v>
      </c>
      <c r="P9" s="376">
        <f t="shared" ref="P9:P19" ca="1" si="1">IFERROR(IF(F9&lt;&gt;"",O9/$J$33,""),"")</f>
        <v>8.6134363041093273E-2</v>
      </c>
      <c r="Q9" s="7"/>
      <c r="R9" s="7"/>
      <c r="S9" s="7"/>
      <c r="T9" s="7"/>
      <c r="U9" s="304" t="str">
        <f>IFERROR(IF(B9="","",VLOOKUP(B9,bond!B:R,17,FALSE)),"")</f>
        <v>2000 / 1000</v>
      </c>
    </row>
    <row r="10" spans="1:30" ht="35.5" customHeight="1">
      <c r="A10" s="19"/>
      <c r="B10" s="286" t="s">
        <v>933</v>
      </c>
      <c r="C10" s="1095" t="str">
        <f ca="1">IFERROR(IF(B10="","",VLOOKUP(B10,'銀行-TSS'!B:D,3,FALSE)),"")</f>
        <v>甲骨文公司美元配息債券 4.3% 2034/7/8</v>
      </c>
      <c r="D10" s="348" t="str">
        <f ca="1">IFERROR('Tssco-bond portfolio'!AB9,"")</f>
        <v>科技</v>
      </c>
      <c r="E10" s="348" t="str">
        <f ca="1">IF(B10="","",IFERROR('Tssco-bond portfolio'!C9,""))</f>
        <v>Baa2 / BBB / BBB</v>
      </c>
      <c r="F10" s="1950">
        <v>10000</v>
      </c>
      <c r="G10" s="1950"/>
      <c r="H10" s="1951">
        <f ca="1">IFERROR(IF('Tssco-bond portfolio'!D9=0,"",'Tssco-bond portfolio'!D9),"")</f>
        <v>4.2999999999999997E-2</v>
      </c>
      <c r="I10" s="1951"/>
      <c r="J10" s="301" t="str">
        <f ca="1">IFERROR(CONCATENATE(LEFT('Tssco-bond portfolio'!F9,1),"月"),"")</f>
        <v>1月</v>
      </c>
      <c r="K10" s="301" t="str">
        <f ca="1">IFERROR(CONCATENATE(RIGHT('Tssco-bond portfolio'!F9,LEN('Tssco-bond portfolio'!F9)-2),"月"),"")</f>
        <v>7月</v>
      </c>
      <c r="L10" s="529">
        <f ca="1">IF(B10="","",IFERROR('Tssco-bond portfolio'!G9,""))</f>
        <v>5.0500000000000003E-2</v>
      </c>
      <c r="M10" s="302">
        <f ca="1">IF(B10="","",IFERROR('Tssco-bond portfolio'!H9,""))</f>
        <v>10.02</v>
      </c>
      <c r="N10" s="303">
        <f ca="1">IF(B10="","",IFERROR('Tssco-bond portfolio'!B9,""))</f>
        <v>96.21</v>
      </c>
      <c r="O10" s="287">
        <f t="shared" ca="1" si="0"/>
        <v>9620.9999999999982</v>
      </c>
      <c r="P10" s="376">
        <f t="shared" ca="1" si="1"/>
        <v>8.3110892269417147E-2</v>
      </c>
      <c r="Q10" s="7"/>
      <c r="R10" s="7"/>
      <c r="S10" s="7"/>
      <c r="T10" s="7"/>
      <c r="U10" s="304" t="str">
        <f>IFERROR(IF(B10="","",VLOOKUP(B10,bond!B:R,17,FALSE)),"")</f>
        <v>10000 / 1000</v>
      </c>
    </row>
    <row r="11" spans="1:30" ht="35.5" customHeight="1">
      <c r="A11" s="19"/>
      <c r="B11" s="286" t="s">
        <v>580</v>
      </c>
      <c r="C11" s="1095" t="str">
        <f ca="1">IFERROR(IF(B11="","",VLOOKUP(B11,'銀行-TSS'!B:D,3,FALSE)),"")</f>
        <v>殼牌國際金融公司美元配息債券  4.125% 2035/5/11</v>
      </c>
      <c r="D11" s="348" t="str">
        <f ca="1">IFERROR('Tssco-bond portfolio'!AB10,"")</f>
        <v>能源</v>
      </c>
      <c r="E11" s="348" t="str">
        <f ca="1">IF(B11="","",IFERROR('Tssco-bond portfolio'!C10,""))</f>
        <v>Aa2 / A+ / AA-u</v>
      </c>
      <c r="F11" s="1950">
        <v>10000</v>
      </c>
      <c r="G11" s="1950"/>
      <c r="H11" s="1951">
        <f ca="1">IFERROR(IF('Tssco-bond portfolio'!D10=0,"",'Tssco-bond portfolio'!D10),"")</f>
        <v>4.1250000000000002E-2</v>
      </c>
      <c r="I11" s="1951"/>
      <c r="J11" s="301" t="str">
        <f ca="1">IFERROR(CONCATENATE(LEFT('Tssco-bond portfolio'!F10,1),"月"),"")</f>
        <v>5月</v>
      </c>
      <c r="K11" s="301" t="str">
        <f ca="1">IFERROR(CONCATENATE(RIGHT('Tssco-bond portfolio'!F10,LEN('Tssco-bond portfolio'!F10)-2),"月"),"")</f>
        <v>11月</v>
      </c>
      <c r="L11" s="529">
        <f ca="1">IF(B11="","",IFERROR('Tssco-bond portfolio'!G10,""))</f>
        <v>4.7199999999999999E-2</v>
      </c>
      <c r="M11" s="302">
        <f ca="1">IF(B11="","",IFERROR('Tssco-bond portfolio'!H10,""))</f>
        <v>10.86</v>
      </c>
      <c r="N11" s="303">
        <f ca="1">IF(B11="","",IFERROR('Tssco-bond portfolio'!B10,""))</f>
        <v>95.57</v>
      </c>
      <c r="O11" s="287">
        <f t="shared" ca="1" si="0"/>
        <v>9556.9999999999982</v>
      </c>
      <c r="P11" s="376">
        <f t="shared" ca="1" si="1"/>
        <v>8.2558029042596362E-2</v>
      </c>
      <c r="Q11" s="7"/>
      <c r="R11" s="7"/>
      <c r="S11" s="7"/>
      <c r="T11" s="7"/>
      <c r="U11" s="304" t="str">
        <f>IFERROR(IF(B11="","",VLOOKUP(B11,bond!B:R,17,FALSE)),"")</f>
        <v>10000 / 1000</v>
      </c>
    </row>
    <row r="12" spans="1:30" ht="35.5" customHeight="1">
      <c r="A12" s="19"/>
      <c r="B12" s="286" t="s">
        <v>714</v>
      </c>
      <c r="C12" s="1095" t="str">
        <f ca="1">IFERROR(IF(B12="","",VLOOKUP(B12,'銀行-TSS'!B:D,3,FALSE)),"")</f>
        <v>派拉蒙全球公司美元配息債券6.875%  2036/4/30</v>
      </c>
      <c r="D12" s="348" t="str">
        <f ca="1">IFERROR('Tssco-bond portfolio'!AB11,"")</f>
        <v>通訊</v>
      </c>
      <c r="E12" s="348" t="str">
        <f ca="1">IF(B12="","",IFERROR('Tssco-bond portfolio'!C11,""))</f>
        <v>Baa3 / BB+ / BBB-</v>
      </c>
      <c r="F12" s="1950">
        <v>10000</v>
      </c>
      <c r="G12" s="1950"/>
      <c r="H12" s="1951">
        <f ca="1">IFERROR(IF('Tssco-bond portfolio'!D11=0,"",'Tssco-bond portfolio'!D11),"")</f>
        <v>6.8750000000000006E-2</v>
      </c>
      <c r="I12" s="1951"/>
      <c r="J12" s="301" t="str">
        <f ca="1">IFERROR(CONCATENATE(LEFT('Tssco-bond portfolio'!F11,1),"月"),"")</f>
        <v>4月</v>
      </c>
      <c r="K12" s="301" t="str">
        <f ca="1">IFERROR(CONCATENATE(RIGHT('Tssco-bond portfolio'!F11,LEN('Tssco-bond portfolio'!F11)-2),"月"),"")</f>
        <v>10月</v>
      </c>
      <c r="L12" s="529">
        <f ca="1">IF(B12="","",IFERROR('Tssco-bond portfolio'!G11,""))</f>
        <v>7.1599999999999997E-2</v>
      </c>
      <c r="M12" s="302">
        <f ca="1">IF(B12="","",IFERROR('Tssco-bond portfolio'!H11,""))</f>
        <v>11.83</v>
      </c>
      <c r="N12" s="303">
        <f ca="1">IF(B12="","",IFERROR('Tssco-bond portfolio'!B11,""))</f>
        <v>98.94</v>
      </c>
      <c r="O12" s="287">
        <f t="shared" ca="1" si="0"/>
        <v>9894</v>
      </c>
      <c r="P12" s="376">
        <f t="shared" ca="1" si="1"/>
        <v>8.5469199471324545E-2</v>
      </c>
      <c r="Q12" s="7"/>
      <c r="R12" s="7"/>
      <c r="S12" s="7"/>
      <c r="T12" s="7"/>
      <c r="U12" s="304" t="str">
        <f>IFERROR(IF(B12="","",VLOOKUP(B12,bond!B:R,17,FALSE)),"")</f>
        <v>10000 / 1000</v>
      </c>
    </row>
    <row r="13" spans="1:30" ht="35.5" customHeight="1">
      <c r="A13" s="19"/>
      <c r="B13" s="286" t="s">
        <v>2229</v>
      </c>
      <c r="C13" s="1095" t="str">
        <f ca="1">IFERROR(IF(B13="","",VLOOKUP(B13,'銀行-TSS'!B:D,3,FALSE)),"")</f>
        <v>3M公司美元配息債券 5.7% 2037/3/15</v>
      </c>
      <c r="D13" s="348" t="str">
        <f ca="1">IFERROR('Tssco-bond portfolio'!AB12,"")</f>
        <v>工業</v>
      </c>
      <c r="E13" s="348" t="str">
        <f ca="1">IF(B13="","",IFERROR('Tssco-bond portfolio'!C12,""))</f>
        <v>A3 / BBB+ / A-</v>
      </c>
      <c r="F13" s="1950">
        <v>10000</v>
      </c>
      <c r="G13" s="1950"/>
      <c r="H13" s="1951">
        <f ca="1">IFERROR(IF('Tssco-bond portfolio'!D12=0,"",'Tssco-bond portfolio'!D12),"")</f>
        <v>5.7000000000000002E-2</v>
      </c>
      <c r="I13" s="1951"/>
      <c r="J13" s="301" t="str">
        <f ca="1">IFERROR(CONCATENATE(LEFT('Tssco-bond portfolio'!F12,1),"月"),"")</f>
        <v>3月</v>
      </c>
      <c r="K13" s="301" t="str">
        <f ca="1">IFERROR(CONCATENATE(RIGHT('Tssco-bond portfolio'!F12,LEN('Tssco-bond portfolio'!F12)-2),"月"),"")</f>
        <v>9月</v>
      </c>
      <c r="L13" s="529">
        <f ca="1">IF(B13="","",IFERROR('Tssco-bond portfolio'!G12,""))</f>
        <v>4.9799999999999997E-2</v>
      </c>
      <c r="M13" s="302">
        <f ca="1">IF(B13="","",IFERROR('Tssco-bond portfolio'!H12,""))</f>
        <v>12.7</v>
      </c>
      <c r="N13" s="303">
        <f ca="1">IF(B13="","",IFERROR('Tssco-bond portfolio'!B12,""))</f>
        <v>108.43</v>
      </c>
      <c r="O13" s="287">
        <f t="shared" ca="1" si="0"/>
        <v>10843</v>
      </c>
      <c r="P13" s="376">
        <f t="shared" ca="1" si="1"/>
        <v>9.3667124506526381E-2</v>
      </c>
      <c r="Q13" s="7"/>
      <c r="R13" s="7"/>
      <c r="S13" s="7"/>
      <c r="T13" s="7"/>
      <c r="U13" s="304" t="str">
        <f>IFERROR(IF(B13="","",VLOOKUP(B13,bond!B:R,17,FALSE)),"")</f>
        <v>10000 / 1000</v>
      </c>
    </row>
    <row r="14" spans="1:30" ht="35.5" customHeight="1">
      <c r="A14" s="19"/>
      <c r="B14" s="286" t="s">
        <v>2389</v>
      </c>
      <c r="C14" s="1095" t="str">
        <f ca="1">IFERROR(IF(B14="","",VLOOKUP(B14,'銀行-TSS'!B:D,3,FALSE)),"")</f>
        <v>嬌生公司美元配息債券 5.85% 2038/7/15</v>
      </c>
      <c r="D14" s="348" t="str">
        <f ca="1">IFERROR('Tssco-bond portfolio'!AB13,"")</f>
        <v>醫療保健</v>
      </c>
      <c r="E14" s="348" t="str">
        <f ca="1">IF(B14="","",IFERROR('Tssco-bond portfolio'!C13,""))</f>
        <v>Aaa / AAA / WD</v>
      </c>
      <c r="F14" s="1950">
        <v>10000</v>
      </c>
      <c r="G14" s="1950"/>
      <c r="H14" s="1951">
        <f ca="1">IFERROR(IF('Tssco-bond portfolio'!D13=0,"",'Tssco-bond portfolio'!D13),"")</f>
        <v>5.8499999999999996E-2</v>
      </c>
      <c r="I14" s="1951"/>
      <c r="J14" s="301" t="str">
        <f ca="1">IFERROR(CONCATENATE(LEFT('Tssco-bond portfolio'!F13,1),"月"),"")</f>
        <v>1月</v>
      </c>
      <c r="K14" s="301" t="str">
        <f ca="1">IFERROR(CONCATENATE(RIGHT('Tssco-bond portfolio'!F13,LEN('Tssco-bond portfolio'!F13)-2),"月"),"")</f>
        <v>7月</v>
      </c>
      <c r="L14" s="529">
        <f ca="1">IF(B14="","",IFERROR('Tssco-bond portfolio'!G13,""))</f>
        <v>4.7899999999999998E-2</v>
      </c>
      <c r="M14" s="302">
        <f ca="1">IF(B14="","",IFERROR('Tssco-bond portfolio'!H13,""))</f>
        <v>14.03</v>
      </c>
      <c r="N14" s="303">
        <f ca="1">IF(B14="","",IFERROR('Tssco-bond portfolio'!B13,""))</f>
        <v>113.49</v>
      </c>
      <c r="O14" s="287">
        <f t="shared" ca="1" si="0"/>
        <v>11349</v>
      </c>
      <c r="P14" s="376">
        <f t="shared" ca="1" si="1"/>
        <v>9.8038199393578149E-2</v>
      </c>
      <c r="Q14" s="7"/>
      <c r="R14" s="7"/>
      <c r="S14" s="7"/>
      <c r="T14" s="7"/>
      <c r="U14" s="304" t="str">
        <f>IFERROR(IF(B14="","",VLOOKUP(B14,bond!B:R,17,FALSE)),"")</f>
        <v>10000 / 1000</v>
      </c>
    </row>
    <row r="15" spans="1:30" ht="35.5" customHeight="1">
      <c r="A15" s="19"/>
      <c r="B15" s="286" t="s">
        <v>2232</v>
      </c>
      <c r="C15" s="1095" t="str">
        <f ca="1">IFERROR(IF(B15="","",VLOOKUP(B15,'銀行-TSS'!B:D,3,FALSE)),"")</f>
        <v>亞培公司美元配息債券 6% 2039/4/1</v>
      </c>
      <c r="D15" s="348" t="str">
        <f ca="1">IFERROR('Tssco-bond portfolio'!AB14,"")</f>
        <v>醫療保健</v>
      </c>
      <c r="E15" s="348" t="str">
        <f ca="1">IF(B15="","",IFERROR('Tssco-bond portfolio'!C14,""))</f>
        <v>Aa3 / AA- / WD</v>
      </c>
      <c r="F15" s="1950">
        <v>10000</v>
      </c>
      <c r="G15" s="1950"/>
      <c r="H15" s="1951">
        <f ca="1">IFERROR(IF('Tssco-bond portfolio'!D14=0,"",'Tssco-bond portfolio'!D14),"")</f>
        <v>0.06</v>
      </c>
      <c r="I15" s="1951"/>
      <c r="J15" s="301" t="str">
        <f ca="1">IFERROR(CONCATENATE(LEFT('Tssco-bond portfolio'!F14,1),"月"),"")</f>
        <v>4月</v>
      </c>
      <c r="K15" s="301" t="str">
        <f ca="1">IFERROR(CONCATENATE(RIGHT('Tssco-bond portfolio'!F14,LEN('Tssco-bond portfolio'!F14)-2),"月"),"")</f>
        <v>10月</v>
      </c>
      <c r="L15" s="529">
        <f ca="1">IF(B15="","",IFERROR('Tssco-bond portfolio'!G14,""))</f>
        <v>4.9000000000000002E-2</v>
      </c>
      <c r="M15" s="302">
        <f ca="1">IF(B15="","",IFERROR('Tssco-bond portfolio'!H14,""))</f>
        <v>14.75</v>
      </c>
      <c r="N15" s="303">
        <f ca="1">IF(B15="","",IFERROR('Tssco-bond portfolio'!B14,""))</f>
        <v>112.97</v>
      </c>
      <c r="O15" s="287">
        <f t="shared" ca="1" si="0"/>
        <v>11297</v>
      </c>
      <c r="P15" s="376">
        <f t="shared" ca="1" si="1"/>
        <v>9.7588998021786263E-2</v>
      </c>
      <c r="Q15" s="7"/>
      <c r="R15" s="7"/>
      <c r="S15" s="7"/>
      <c r="T15" s="7"/>
      <c r="U15" s="304" t="str">
        <f>IFERROR(IF(B15="","",VLOOKUP(B15,bond!B:R,17,FALSE)),"")</f>
        <v>10000 / 1000</v>
      </c>
    </row>
    <row r="16" spans="1:30" ht="35.5" customHeight="1">
      <c r="A16" s="19"/>
      <c r="B16" s="286" t="s">
        <v>731</v>
      </c>
      <c r="C16" s="1095" t="str">
        <f ca="1">IFERROR(IF(B16="","",VLOOKUP(B16,'銀行-TSS'!B:D,3,FALSE)),"")</f>
        <v>墨西哥政府美元配息債券 6.05% 2040/1/11</v>
      </c>
      <c r="D16" s="348" t="str">
        <f ca="1">IFERROR('Tssco-bond portfolio'!AB15,"")</f>
        <v>政府</v>
      </c>
      <c r="E16" s="348" t="str">
        <f ca="1">IF(B16="","",IFERROR('Tssco-bond portfolio'!C15,""))</f>
        <v>Baa2 / BBB / BBB-</v>
      </c>
      <c r="F16" s="1950">
        <v>10000</v>
      </c>
      <c r="G16" s="1950"/>
      <c r="H16" s="1951">
        <f ca="1">IFERROR(IF('Tssco-bond portfolio'!D15=0,"",'Tssco-bond portfolio'!D15),"")</f>
        <v>6.0499999999999998E-2</v>
      </c>
      <c r="I16" s="1951"/>
      <c r="J16" s="301" t="str">
        <f ca="1">IFERROR(CONCATENATE(LEFT('Tssco-bond portfolio'!F15,1),"月"),"")</f>
        <v>1月</v>
      </c>
      <c r="K16" s="301" t="str">
        <f ca="1">IFERROR(CONCATENATE(RIGHT('Tssco-bond portfolio'!F15,LEN('Tssco-bond portfolio'!F15)-2),"月"),"")</f>
        <v>7月</v>
      </c>
      <c r="L16" s="529">
        <f ca="1">IF(B16="","",IFERROR('Tssco-bond portfolio'!G15,""))</f>
        <v>5.9700000000000003E-2</v>
      </c>
      <c r="M16" s="302">
        <f ca="1">IF(B16="","",IFERROR('Tssco-bond portfolio'!H15,""))</f>
        <v>15.53</v>
      </c>
      <c r="N16" s="303">
        <f ca="1">IF(B16="","",IFERROR('Tssco-bond portfolio'!B15,""))</f>
        <v>103.68</v>
      </c>
      <c r="O16" s="287">
        <f t="shared" ca="1" si="0"/>
        <v>10368.000000000002</v>
      </c>
      <c r="P16" s="376">
        <f t="shared" ca="1" si="1"/>
        <v>8.9563842744965941E-2</v>
      </c>
      <c r="Q16" s="7"/>
      <c r="R16" s="7"/>
      <c r="S16" s="7"/>
      <c r="T16" s="7"/>
      <c r="U16" s="304" t="str">
        <f>IFERROR(IF(B16="","",VLOOKUP(B16,bond!B:R,17,FALSE)),"")</f>
        <v>10000 / 2000</v>
      </c>
      <c r="AC16" s="552"/>
      <c r="AD16" s="552"/>
    </row>
    <row r="17" spans="1:30" ht="35.5" customHeight="1">
      <c r="A17" s="19"/>
      <c r="B17" s="286" t="s">
        <v>1030</v>
      </c>
      <c r="C17" s="1095" t="str">
        <f ca="1">IFERROR(IF(B17="","",VLOOKUP(B17,'銀行-TSS'!B:D,3,FALSE)),"")</f>
        <v>博通公司美元配息債券 3.5% 2041/2/15</v>
      </c>
      <c r="D17" s="348" t="str">
        <f ca="1">IFERROR('Tssco-bond portfolio'!AB16,"")</f>
        <v>科技</v>
      </c>
      <c r="E17" s="348" t="str">
        <f ca="1">IF(B17="","",IFERROR('Tssco-bond portfolio'!C16,""))</f>
        <v>Baa3 / BBB / BBB-</v>
      </c>
      <c r="F17" s="1950">
        <v>10000</v>
      </c>
      <c r="G17" s="1950"/>
      <c r="H17" s="1951">
        <f ca="1">IFERROR(IF('Tssco-bond portfolio'!D16=0,"",'Tssco-bond portfolio'!D16),"")</f>
        <v>3.5000000000000003E-2</v>
      </c>
      <c r="I17" s="1951"/>
      <c r="J17" s="301" t="str">
        <f ca="1">IFERROR(CONCATENATE(LEFT('Tssco-bond portfolio'!F16,1),"月"),"")</f>
        <v>2月</v>
      </c>
      <c r="K17" s="301" t="str">
        <f ca="1">IFERROR(CONCATENATE(RIGHT('Tssco-bond portfolio'!F16,LEN('Tssco-bond portfolio'!F16)-2),"月"),"")</f>
        <v>8月</v>
      </c>
      <c r="L17" s="529">
        <f ca="1">IF(B17="","",IFERROR('Tssco-bond portfolio'!G16,""))</f>
        <v>5.2699999999999997E-2</v>
      </c>
      <c r="M17" s="302">
        <f ca="1">IF(B17="","",IFERROR('Tssco-bond portfolio'!H16,""))</f>
        <v>16.62</v>
      </c>
      <c r="N17" s="303">
        <f ca="1">IF(B17="","",IFERROR('Tssco-bond portfolio'!B16,""))</f>
        <v>81.92</v>
      </c>
      <c r="O17" s="287">
        <f t="shared" ca="1" si="0"/>
        <v>8192</v>
      </c>
      <c r="P17" s="376">
        <f t="shared" ca="1" si="1"/>
        <v>7.0766493033059499E-2</v>
      </c>
      <c r="Q17" s="7"/>
      <c r="R17" s="7"/>
      <c r="S17" s="7"/>
      <c r="T17" s="7"/>
      <c r="U17" s="304" t="str">
        <f>IFERROR(IF(B17="","",VLOOKUP(B17,bond!B:R,17,FALSE)),"")</f>
        <v>10000 / 1000</v>
      </c>
      <c r="AC17" s="552"/>
      <c r="AD17" s="552"/>
    </row>
    <row r="18" spans="1:30" ht="35.5" customHeight="1">
      <c r="A18" s="19"/>
      <c r="B18" s="286" t="s">
        <v>2340</v>
      </c>
      <c r="C18" s="301" t="str">
        <f ca="1">IFERROR(IF(B18="","",VLOOKUP(B18,'銀行-TSS'!B:D,3,FALSE)),"")</f>
        <v>花旗集團美元配息債券 5.875% 2042/1/30</v>
      </c>
      <c r="D18" s="348" t="str">
        <f ca="1">IFERROR('Tssco-bond portfolio'!AB17,"")</f>
        <v>金融</v>
      </c>
      <c r="E18" s="348" t="str">
        <f ca="1">IF(B18="","",IFERROR('Tssco-bond portfolio'!C17,""))</f>
        <v>A3 / BBB+ / A</v>
      </c>
      <c r="F18" s="1950">
        <v>10000</v>
      </c>
      <c r="G18" s="1950"/>
      <c r="H18" s="1951">
        <f ca="1">IFERROR(IF('Tssco-bond portfolio'!D17=0,"",'Tssco-bond portfolio'!D17),"")</f>
        <v>5.8749999999999997E-2</v>
      </c>
      <c r="I18" s="1951"/>
      <c r="J18" s="301" t="str">
        <f ca="1">IFERROR(CONCATENATE(LEFT('Tssco-bond portfolio'!F17,1),"月"),"")</f>
        <v>1月</v>
      </c>
      <c r="K18" s="301" t="str">
        <f ca="1">IFERROR(CONCATENATE(RIGHT('Tssco-bond portfolio'!F17,LEN('Tssco-bond portfolio'!F17)-2),"月"),"")</f>
        <v>7月</v>
      </c>
      <c r="L18" s="529">
        <f ca="1">IF(B18="","",IFERROR('Tssco-bond portfolio'!G17,""))</f>
        <v>5.3499999999999999E-2</v>
      </c>
      <c r="M18" s="302">
        <f ca="1">IF(B18="","",IFERROR('Tssco-bond portfolio'!H17,""))</f>
        <v>17.579999999999998</v>
      </c>
      <c r="N18" s="303">
        <f ca="1">IF(B18="","",IFERROR('Tssco-bond portfolio'!B17,""))</f>
        <v>108.44</v>
      </c>
      <c r="O18" s="287">
        <f t="shared" ca="1" si="0"/>
        <v>10844</v>
      </c>
      <c r="P18" s="376">
        <f t="shared" ca="1" si="1"/>
        <v>9.3675762994445452E-2</v>
      </c>
      <c r="Q18" s="7"/>
      <c r="R18" s="7"/>
      <c r="S18" s="7"/>
      <c r="T18" s="7"/>
      <c r="U18" s="304" t="str">
        <f>IFERROR(IF(B18="","",VLOOKUP(B18,bond!B:R,17,FALSE)),"")</f>
        <v>10000 / 1000</v>
      </c>
    </row>
    <row r="19" spans="1:30" ht="35.5" customHeight="1" thickBot="1">
      <c r="A19" s="19"/>
      <c r="B19" s="288" t="s">
        <v>1078</v>
      </c>
      <c r="C19" s="289" t="str">
        <f ca="1">IFERROR(IF(B19="","",VLOOKUP(B19,'銀行-TSS'!B:D,3,FALSE)),"")</f>
        <v>Unum集團美元配息債券 4.125% 2051/6/15</v>
      </c>
      <c r="D19" s="349" t="str">
        <f ca="1">IFERROR('Tssco-bond portfolio'!AB18,"")</f>
        <v>金融</v>
      </c>
      <c r="E19" s="349" t="str">
        <f ca="1">IF(B19="","",IFERROR('Tssco-bond portfolio'!C18,""))</f>
        <v>Baa2 / BBB / BBB</v>
      </c>
      <c r="F19" s="1952">
        <v>10000</v>
      </c>
      <c r="G19" s="1952"/>
      <c r="H19" s="1953">
        <f ca="1">IFERROR(IF('Tssco-bond portfolio'!D18=0,"",'Tssco-bond portfolio'!D18),"")</f>
        <v>4.1250000000000002E-2</v>
      </c>
      <c r="I19" s="1953"/>
      <c r="J19" s="289" t="str">
        <f ca="1">IFERROR(CONCATENATE(LEFT('Tssco-bond portfolio'!F18,1),"月"),"")</f>
        <v>6月</v>
      </c>
      <c r="K19" s="289" t="str">
        <f ca="1">IFERROR(CONCATENATE(RIGHT('Tssco-bond portfolio'!F18,LEN('Tssco-bond portfolio'!F18)-2),"月"),"")</f>
        <v>12月</v>
      </c>
      <c r="L19" s="530">
        <f ca="1">IF(B19="","",IFERROR('Tssco-bond portfolio'!G18,""))</f>
        <v>5.7599999999999998E-2</v>
      </c>
      <c r="M19" s="290">
        <f ca="1">IF(B19="","",IFERROR('Tssco-bond portfolio'!H18,""))</f>
        <v>26.95</v>
      </c>
      <c r="N19" s="291">
        <f ca="1">IF(B19="","",IFERROR('Tssco-bond portfolio'!B18,""))</f>
        <v>77.930000000000007</v>
      </c>
      <c r="O19" s="292">
        <f t="shared" ca="1" si="0"/>
        <v>7793.0000000000009</v>
      </c>
      <c r="P19" s="377">
        <f t="shared" ca="1" si="1"/>
        <v>6.7319736353348716E-2</v>
      </c>
      <c r="Q19" s="7"/>
      <c r="R19" s="7"/>
      <c r="S19" s="7"/>
      <c r="T19" s="7"/>
      <c r="U19" s="304" t="str">
        <f>IFERROR(IF(B19="","",VLOOKUP(B19,bond!B:R,17,FALSE)),"")</f>
        <v>10000 / 1000</v>
      </c>
    </row>
    <row r="20" spans="1:30" ht="32.25" customHeight="1">
      <c r="A20" s="19"/>
      <c r="B20" s="1954" t="s">
        <v>2064</v>
      </c>
      <c r="C20" s="1955"/>
      <c r="D20" s="1955"/>
      <c r="E20" s="1955"/>
      <c r="F20" s="1955"/>
      <c r="G20" s="1955"/>
      <c r="H20" s="1957" t="s">
        <v>3763</v>
      </c>
      <c r="I20" s="1958"/>
      <c r="J20" s="1958"/>
      <c r="K20" s="1958"/>
      <c r="L20" s="1958"/>
      <c r="M20" s="1958"/>
      <c r="N20" s="1958"/>
      <c r="O20" s="1958"/>
      <c r="P20" s="1958"/>
      <c r="Q20" s="7"/>
      <c r="R20" s="7"/>
      <c r="S20" s="7"/>
      <c r="T20" s="7"/>
      <c r="U20" s="388"/>
    </row>
    <row r="21" spans="1:30" ht="32.25" customHeight="1">
      <c r="A21" s="19"/>
      <c r="B21" s="1956"/>
      <c r="C21" s="1956"/>
      <c r="D21" s="1956"/>
      <c r="E21" s="1956"/>
      <c r="F21" s="1956"/>
      <c r="G21" s="1956"/>
      <c r="H21" s="1959"/>
      <c r="I21" s="1959"/>
      <c r="J21" s="1959"/>
      <c r="K21" s="1959"/>
      <c r="L21" s="1959"/>
      <c r="M21" s="1959"/>
      <c r="N21" s="1959"/>
      <c r="O21" s="1959"/>
      <c r="P21" s="1959"/>
      <c r="Q21" s="7"/>
      <c r="R21" s="7"/>
      <c r="S21" s="7"/>
      <c r="T21" s="7"/>
      <c r="U21" s="389"/>
    </row>
    <row r="22" spans="1:30" ht="39.75" customHeight="1" thickBot="1">
      <c r="A22" s="100"/>
      <c r="B22" s="11" t="s">
        <v>2062</v>
      </c>
      <c r="C22" s="3"/>
      <c r="D22" s="3"/>
      <c r="E22" s="3"/>
      <c r="F22" s="3"/>
      <c r="G22" s="3"/>
      <c r="H22" s="4"/>
      <c r="I22" s="4"/>
      <c r="J22" s="97"/>
      <c r="K22" s="4"/>
      <c r="L22" s="4"/>
      <c r="M22" s="4"/>
      <c r="N22" s="4"/>
      <c r="O22" s="4"/>
      <c r="P22" s="4"/>
      <c r="Q22" s="4"/>
      <c r="R22" s="4"/>
      <c r="S22" s="4"/>
      <c r="T22" s="4"/>
      <c r="U22" s="390"/>
    </row>
    <row r="23" spans="1:30" ht="28.5" customHeight="1">
      <c r="A23" s="3"/>
      <c r="B23" s="1924"/>
      <c r="C23" s="1924"/>
      <c r="D23" s="8"/>
      <c r="E23" s="379"/>
      <c r="F23" s="379"/>
      <c r="G23" s="3"/>
      <c r="H23" s="1925" t="s">
        <v>540</v>
      </c>
      <c r="I23" s="1926"/>
      <c r="J23" s="1926"/>
      <c r="K23" s="1926"/>
      <c r="L23" s="1927"/>
      <c r="M23" s="101"/>
      <c r="N23" s="1931" t="s">
        <v>1781</v>
      </c>
      <c r="O23" s="1932"/>
      <c r="P23" s="1933"/>
      <c r="Q23" s="4"/>
      <c r="R23" s="4"/>
      <c r="S23" s="4"/>
      <c r="T23" s="4"/>
      <c r="U23" s="390"/>
    </row>
    <row r="24" spans="1:30" ht="28.5" customHeight="1">
      <c r="A24" s="3"/>
      <c r="B24" s="3"/>
      <c r="C24" s="3"/>
      <c r="D24" s="3"/>
      <c r="E24" s="3"/>
      <c r="F24" s="3"/>
      <c r="G24" s="3"/>
      <c r="H24" s="1928"/>
      <c r="I24" s="1929"/>
      <c r="J24" s="1929"/>
      <c r="K24" s="1929"/>
      <c r="L24" s="1930"/>
      <c r="M24" s="3"/>
      <c r="N24" s="1934"/>
      <c r="O24" s="1935"/>
      <c r="P24" s="1936"/>
      <c r="Q24" s="4"/>
      <c r="R24" s="4"/>
      <c r="S24" s="4"/>
      <c r="T24" s="4"/>
      <c r="U24" s="390"/>
    </row>
    <row r="25" spans="1:30" ht="28.5" customHeight="1">
      <c r="A25" s="3"/>
      <c r="B25" s="3"/>
      <c r="C25" s="3"/>
      <c r="D25" s="3"/>
      <c r="E25" s="3"/>
      <c r="F25" s="3"/>
      <c r="G25" s="3"/>
      <c r="H25" s="1937" t="s">
        <v>2060</v>
      </c>
      <c r="I25" s="1939" t="s">
        <v>206</v>
      </c>
      <c r="J25" s="1941">
        <f>SUMIF('Tssco-bond portfolio'!A7:A18,"&lt;&gt;0",F8:F19)</f>
        <v>120000</v>
      </c>
      <c r="K25" s="1941"/>
      <c r="L25" s="1942"/>
      <c r="M25" s="3"/>
      <c r="N25" s="1945" t="s">
        <v>207</v>
      </c>
      <c r="O25" s="1946" t="str">
        <f ca="1">IFERROR(ROUND('Tssco-bond portfolio'!H27,2)&amp;"年","--")</f>
        <v>16.3年</v>
      </c>
      <c r="P25" s="1947"/>
      <c r="Q25" s="4"/>
      <c r="R25" s="4"/>
      <c r="S25" s="4"/>
      <c r="T25" s="4"/>
      <c r="U25" s="390"/>
    </row>
    <row r="26" spans="1:30" ht="28.5" customHeight="1">
      <c r="A26" s="3"/>
      <c r="B26" s="3"/>
      <c r="C26" s="3"/>
      <c r="D26" s="3"/>
      <c r="E26" s="3"/>
      <c r="F26" s="3"/>
      <c r="G26" s="3"/>
      <c r="H26" s="1938"/>
      <c r="I26" s="1940"/>
      <c r="J26" s="1943"/>
      <c r="K26" s="1943"/>
      <c r="L26" s="1944"/>
      <c r="M26" s="3"/>
      <c r="N26" s="1906"/>
      <c r="O26" s="1948"/>
      <c r="P26" s="1949"/>
      <c r="Q26" s="4"/>
      <c r="R26" s="4"/>
      <c r="S26" s="4"/>
      <c r="T26" s="4"/>
      <c r="U26" s="390"/>
    </row>
    <row r="27" spans="1:30" ht="28.5" customHeight="1">
      <c r="A27" s="3"/>
      <c r="B27" s="3"/>
      <c r="C27" s="3"/>
      <c r="D27" s="3"/>
      <c r="E27" s="3"/>
      <c r="F27" s="3"/>
      <c r="G27" s="3"/>
      <c r="H27" s="1965" t="s">
        <v>2057</v>
      </c>
      <c r="I27" s="1966" t="s">
        <v>206</v>
      </c>
      <c r="J27" s="1968">
        <f ca="1">IFERROR('Tssco-bond portfolio'!R27,"-")</f>
        <v>113834.62</v>
      </c>
      <c r="K27" s="1968"/>
      <c r="L27" s="1969"/>
      <c r="M27" s="3"/>
      <c r="N27" s="1906" t="s">
        <v>208</v>
      </c>
      <c r="O27" s="1907">
        <f ca="1">IFERROR('Tssco-bond portfolio'!D27,"--")</f>
        <v>4.8916666666666664E-2</v>
      </c>
      <c r="P27" s="1908"/>
      <c r="Q27" s="4"/>
      <c r="R27" s="4"/>
      <c r="S27" s="4"/>
      <c r="T27" s="4"/>
      <c r="U27" s="390"/>
    </row>
    <row r="28" spans="1:30" ht="28.5" customHeight="1">
      <c r="A28" s="3"/>
      <c r="B28" s="3"/>
      <c r="C28" s="3"/>
      <c r="D28" s="3"/>
      <c r="E28" s="3"/>
      <c r="F28" s="3"/>
      <c r="G28" s="3"/>
      <c r="H28" s="1919"/>
      <c r="I28" s="1967"/>
      <c r="J28" s="1902"/>
      <c r="K28" s="1902"/>
      <c r="L28" s="1903"/>
      <c r="M28" s="3"/>
      <c r="N28" s="1906"/>
      <c r="O28" s="1907"/>
      <c r="P28" s="1908"/>
      <c r="Q28" s="4"/>
      <c r="R28" s="4"/>
      <c r="S28" s="4"/>
      <c r="T28" s="4"/>
      <c r="U28" s="387"/>
    </row>
    <row r="29" spans="1:30" ht="28.5" customHeight="1">
      <c r="A29" s="3"/>
      <c r="B29" s="3"/>
      <c r="C29" s="3"/>
      <c r="D29" s="3"/>
      <c r="E29" s="3"/>
      <c r="F29" s="3"/>
      <c r="G29" s="3"/>
      <c r="H29" s="1919" t="s">
        <v>2058</v>
      </c>
      <c r="I29" s="1900" t="s">
        <v>206</v>
      </c>
      <c r="J29" s="1902">
        <f ca="1">IFERROR('Tssco-bond portfolio'!W27,"-")</f>
        <v>1926.38</v>
      </c>
      <c r="K29" s="1902"/>
      <c r="L29" s="1903"/>
      <c r="M29" s="3"/>
      <c r="N29" s="1906" t="s">
        <v>209</v>
      </c>
      <c r="O29" s="1907">
        <f ca="1">IFERROR('Tssco-bond portfolio'!G27,"--")</f>
        <v>5.2366666666666666E-2</v>
      </c>
      <c r="P29" s="1908"/>
      <c r="Q29" s="4"/>
      <c r="R29" s="4"/>
      <c r="S29" s="4"/>
      <c r="T29" s="4"/>
      <c r="U29" s="387"/>
    </row>
    <row r="30" spans="1:30" ht="28.5" customHeight="1">
      <c r="A30" s="3"/>
      <c r="B30" s="3"/>
      <c r="C30" s="3"/>
      <c r="D30" s="3"/>
      <c r="E30" s="3"/>
      <c r="F30" s="3"/>
      <c r="G30" s="3"/>
      <c r="H30" s="1920"/>
      <c r="I30" s="1901"/>
      <c r="J30" s="1904"/>
      <c r="K30" s="1904"/>
      <c r="L30" s="1905"/>
      <c r="M30" s="3"/>
      <c r="N30" s="1906"/>
      <c r="O30" s="1907"/>
      <c r="P30" s="1908"/>
      <c r="Q30" s="4"/>
      <c r="R30" s="4"/>
      <c r="S30" s="4"/>
      <c r="T30" s="4"/>
      <c r="U30" s="387"/>
    </row>
    <row r="31" spans="1:30" ht="28.5" customHeight="1">
      <c r="A31" s="3"/>
      <c r="B31" s="3"/>
      <c r="C31" s="3"/>
      <c r="D31" s="3"/>
      <c r="E31" s="3"/>
      <c r="F31" s="3"/>
      <c r="G31" s="3"/>
      <c r="H31" s="1909" t="s">
        <v>2059</v>
      </c>
      <c r="I31" s="1911" t="s">
        <v>206</v>
      </c>
      <c r="J31" s="1913">
        <f ca="1">IFERROR(ROUND('Tssco-bond portfolio'!B27,3),"-")</f>
        <v>96.468000000000004</v>
      </c>
      <c r="K31" s="1913"/>
      <c r="L31" s="1914"/>
      <c r="M31" s="3"/>
      <c r="N31" s="1895" t="s">
        <v>1280</v>
      </c>
      <c r="O31" s="1917">
        <f ca="1">IFERROR('Tssco-bond portfolio'!T66,0)</f>
        <v>5870</v>
      </c>
      <c r="P31" s="1918"/>
      <c r="Q31" s="4"/>
      <c r="R31" s="4"/>
      <c r="S31" s="4"/>
      <c r="T31" s="4"/>
      <c r="U31" s="387"/>
    </row>
    <row r="32" spans="1:30" ht="28.5" customHeight="1">
      <c r="A32" s="3"/>
      <c r="B32" s="3"/>
      <c r="C32" s="3"/>
      <c r="D32" s="3"/>
      <c r="E32" s="3"/>
      <c r="F32" s="3"/>
      <c r="G32" s="3"/>
      <c r="H32" s="1910"/>
      <c r="I32" s="1912"/>
      <c r="J32" s="1915"/>
      <c r="K32" s="1915"/>
      <c r="L32" s="1916"/>
      <c r="M32" s="3"/>
      <c r="N32" s="1906"/>
      <c r="O32" s="1917"/>
      <c r="P32" s="1918"/>
      <c r="Q32" s="4"/>
      <c r="R32" s="4"/>
      <c r="S32" s="4"/>
      <c r="T32" s="4"/>
      <c r="U32" s="387"/>
    </row>
    <row r="33" spans="1:21" ht="28.5" customHeight="1">
      <c r="A33" s="3"/>
      <c r="B33" s="3"/>
      <c r="C33" s="3"/>
      <c r="D33" s="3"/>
      <c r="E33" s="3"/>
      <c r="F33" s="3"/>
      <c r="G33" s="3"/>
      <c r="H33" s="1887" t="s">
        <v>2061</v>
      </c>
      <c r="I33" s="1889" t="s">
        <v>206</v>
      </c>
      <c r="J33" s="1891">
        <f ca="1">IFERROR('Tssco-bond portfolio'!AC27,"-")</f>
        <v>115761</v>
      </c>
      <c r="K33" s="1891"/>
      <c r="L33" s="1892"/>
      <c r="M33" s="3"/>
      <c r="N33" s="1895" t="s">
        <v>210</v>
      </c>
      <c r="O33" s="1896">
        <f ca="1">IF(O34=0,"--",'Tssco-bond portfolio'!AI2)</f>
        <v>45481</v>
      </c>
      <c r="P33" s="1897"/>
      <c r="Q33" s="4"/>
      <c r="R33" s="4"/>
      <c r="S33" s="4"/>
      <c r="T33" s="4"/>
      <c r="U33" s="387"/>
    </row>
    <row r="34" spans="1:21" ht="28.5" customHeight="1" thickBot="1">
      <c r="A34" s="3"/>
      <c r="B34" s="3"/>
      <c r="C34" s="3"/>
      <c r="D34" s="3"/>
      <c r="E34" s="379"/>
      <c r="F34" s="379"/>
      <c r="G34" s="8"/>
      <c r="H34" s="1888"/>
      <c r="I34" s="1890"/>
      <c r="J34" s="1893"/>
      <c r="K34" s="1893"/>
      <c r="L34" s="1894"/>
      <c r="M34" s="3"/>
      <c r="N34" s="1888"/>
      <c r="O34" s="1898">
        <f ca="1">'Tssco-bond portfolio'!AI3</f>
        <v>214.99999999999997</v>
      </c>
      <c r="P34" s="1899"/>
      <c r="Q34" s="4"/>
      <c r="R34" s="4"/>
      <c r="S34" s="4"/>
      <c r="T34" s="4"/>
      <c r="U34" s="387"/>
    </row>
    <row r="35" spans="1:21" ht="18" customHeight="1">
      <c r="A35" s="3"/>
      <c r="B35" s="3"/>
      <c r="C35" s="3"/>
      <c r="D35" s="3"/>
      <c r="E35" s="3"/>
      <c r="F35" s="3"/>
      <c r="G35" s="3"/>
      <c r="H35" s="382"/>
      <c r="I35" s="368"/>
      <c r="J35" s="369"/>
      <c r="K35" s="369"/>
      <c r="L35" s="369"/>
      <c r="M35" s="3"/>
      <c r="N35" s="3"/>
      <c r="O35" s="3"/>
      <c r="P35" s="4"/>
      <c r="Q35" s="4"/>
      <c r="R35" s="4"/>
      <c r="S35" s="4"/>
      <c r="T35" s="4"/>
      <c r="U35" s="387"/>
    </row>
    <row r="36" spans="1:21" ht="12.75" hidden="1" customHeight="1">
      <c r="A36" s="3"/>
      <c r="B36" s="3"/>
      <c r="C36" s="3"/>
      <c r="D36" s="3"/>
      <c r="E36" s="3"/>
      <c r="F36" s="3"/>
      <c r="G36" s="3"/>
      <c r="H36" s="382"/>
      <c r="I36" s="368"/>
      <c r="J36" s="369"/>
      <c r="K36" s="369"/>
      <c r="L36" s="369"/>
      <c r="M36" s="3"/>
      <c r="N36" s="3"/>
      <c r="O36" s="3"/>
      <c r="P36" s="4"/>
      <c r="Q36" s="4"/>
      <c r="R36" s="4"/>
      <c r="S36" s="4"/>
      <c r="T36" s="4"/>
      <c r="U36" s="387"/>
    </row>
    <row r="37" spans="1:21" ht="30.25" hidden="1" customHeight="1">
      <c r="A37" s="3"/>
      <c r="B37" s="3"/>
      <c r="C37" s="3"/>
      <c r="D37" s="3"/>
      <c r="E37" s="3"/>
      <c r="F37" s="3"/>
      <c r="G37" s="3"/>
      <c r="H37" s="3"/>
      <c r="I37" s="3"/>
      <c r="J37" s="3"/>
      <c r="K37" s="3"/>
      <c r="L37" s="3"/>
      <c r="M37" s="3"/>
      <c r="N37" s="3"/>
      <c r="O37" s="3"/>
      <c r="P37" s="4"/>
      <c r="Q37" s="4"/>
      <c r="R37" s="4"/>
      <c r="S37" s="4"/>
      <c r="T37" s="4"/>
      <c r="U37" s="387"/>
    </row>
    <row r="38" spans="1:21" ht="30.75" customHeight="1">
      <c r="A38" s="3"/>
      <c r="B38" s="3"/>
      <c r="C38" s="3"/>
      <c r="D38" s="3"/>
      <c r="E38" s="3"/>
      <c r="F38" s="3"/>
      <c r="G38" s="3"/>
      <c r="H38" s="3"/>
      <c r="I38" s="3"/>
      <c r="J38" s="3"/>
      <c r="K38" s="3"/>
      <c r="L38" s="3"/>
      <c r="M38" s="3"/>
      <c r="N38" s="3"/>
      <c r="O38" s="3"/>
      <c r="P38" s="4"/>
      <c r="Q38" s="4"/>
      <c r="R38" s="4"/>
      <c r="S38" s="4"/>
      <c r="T38" s="4"/>
      <c r="U38" s="387"/>
    </row>
    <row r="39" spans="1:21" ht="24.75" customHeight="1">
      <c r="A39" s="3"/>
      <c r="B39" s="293" t="s">
        <v>1784</v>
      </c>
      <c r="C39" s="147"/>
      <c r="D39" s="148"/>
      <c r="E39" s="148"/>
      <c r="F39" s="148"/>
      <c r="G39" s="3"/>
      <c r="H39" s="293" t="s">
        <v>1786</v>
      </c>
      <c r="I39" s="147"/>
      <c r="J39" s="148"/>
      <c r="K39" s="148"/>
      <c r="L39" s="148"/>
      <c r="M39" s="148"/>
      <c r="N39" s="148"/>
      <c r="O39" s="148"/>
      <c r="P39" s="148"/>
      <c r="Q39" s="4"/>
      <c r="R39" s="4"/>
      <c r="S39" s="4"/>
      <c r="T39" s="4"/>
      <c r="U39" s="387"/>
    </row>
    <row r="40" spans="1:21" ht="27" customHeight="1">
      <c r="A40" s="3"/>
      <c r="B40" s="1880" t="str">
        <f ca="1">IFERROR(CONCATENATE("◤",LEFT('Tssco-bond portfolio'!P7,SEARCH(")",'Tssco-bond portfolio'!P7,1)),CHAR(10),RIGHT('Tssco-bond portfolio'!P7,LEN('Tssco-bond portfolio'!P7)-SEARCH(")",'Tssco-bond portfolio'!P7,1))),"")</f>
        <v>◤字母控股(Alphabet Inc.)
為Google的母公司，旗下Google作為全球領先的網路搜尋引擎和數位廣告服務商；Google Cloud為全球前三大雲端服務平台；Waymo則為自駕車領域的領導廠商，並為2024年《Brand Finance》全球最具價值品牌排行第3位。</v>
      </c>
      <c r="C40" s="1880"/>
      <c r="D40" s="1880"/>
      <c r="E40" s="1880"/>
      <c r="F40" s="1880"/>
      <c r="G40" s="10"/>
      <c r="Q40" s="4"/>
      <c r="R40" s="4"/>
      <c r="S40" s="4"/>
      <c r="T40" s="4"/>
      <c r="U40" s="387"/>
    </row>
    <row r="41" spans="1:21" ht="27" customHeight="1">
      <c r="A41" s="3"/>
      <c r="B41" s="1880"/>
      <c r="C41" s="1880"/>
      <c r="D41" s="1880"/>
      <c r="E41" s="1880"/>
      <c r="F41" s="1880"/>
      <c r="G41" s="10"/>
      <c r="Q41" s="4"/>
      <c r="R41" s="4"/>
      <c r="S41" s="4"/>
      <c r="T41" s="4"/>
      <c r="U41" s="387"/>
    </row>
    <row r="42" spans="1:21" ht="27" customHeight="1">
      <c r="A42" s="3"/>
      <c r="B42" s="1880"/>
      <c r="C42" s="1880"/>
      <c r="D42" s="1880"/>
      <c r="E42" s="1880"/>
      <c r="F42" s="1880"/>
      <c r="G42" s="10"/>
      <c r="Q42" s="4"/>
      <c r="R42" s="4"/>
      <c r="S42" s="4"/>
      <c r="T42" s="4"/>
      <c r="U42" s="387"/>
    </row>
    <row r="43" spans="1:21" ht="27" customHeight="1">
      <c r="A43" s="3"/>
      <c r="B43" s="1881" t="str">
        <f ca="1">IFERROR(CONCATENATE("◤",LEFT('Tssco-bond portfolio'!P8,SEARCH(")",'Tssco-bond portfolio'!P8,1)),CHAR(10),RIGHT('Tssco-bond portfolio'!P8,LEN('Tssco-bond portfolio'!P8)-SEARCH(")",'Tssco-bond portfolio'!P8,1))),"")</f>
        <v>◤寶僑公司(The Procter &amp; Gamble Company)
為全球消費性用品產業翹楚，位居彭博「家庭用品」產業營收全球龍頭地位，提供產品包括：美妝、除毛、健康護理、清潔用品，以及嬰兒和女性家庭用品，Always®、Oral-B®、Pampers®、Pantene®、SK-II®、Tide®等皆是旗下知名品牌，業務遍及全球約70個國家。</v>
      </c>
      <c r="C43" s="1881"/>
      <c r="D43" s="1881"/>
      <c r="E43" s="1881"/>
      <c r="F43" s="1881"/>
      <c r="G43" s="10"/>
      <c r="Q43" s="4"/>
      <c r="R43" s="4"/>
      <c r="S43" s="4"/>
      <c r="T43" s="4"/>
      <c r="U43" s="387"/>
    </row>
    <row r="44" spans="1:21" ht="27" customHeight="1">
      <c r="A44" s="3"/>
      <c r="B44" s="1881"/>
      <c r="C44" s="1881"/>
      <c r="D44" s="1881"/>
      <c r="E44" s="1881"/>
      <c r="F44" s="1881"/>
      <c r="G44" s="10"/>
      <c r="Q44" s="4"/>
      <c r="R44" s="4"/>
      <c r="S44" s="4"/>
      <c r="T44" s="4"/>
      <c r="U44" s="387"/>
    </row>
    <row r="45" spans="1:21" ht="27" customHeight="1">
      <c r="A45" s="3"/>
      <c r="B45" s="1881"/>
      <c r="C45" s="1881"/>
      <c r="D45" s="1881"/>
      <c r="E45" s="1881"/>
      <c r="F45" s="1881"/>
      <c r="G45" s="10"/>
      <c r="Q45" s="4"/>
      <c r="R45" s="4"/>
      <c r="S45" s="4"/>
      <c r="T45" s="4"/>
      <c r="U45" s="387"/>
    </row>
    <row r="46" spans="1:21" ht="27" customHeight="1">
      <c r="A46" s="3"/>
      <c r="B46" s="1880" t="str">
        <f ca="1">IFERROR(CONCATENATE("◤",LEFT('Tssco-bond portfolio'!P9,SEARCH(")",'Tssco-bond portfolio'!P9,1)),CHAR(10),RIGHT('Tssco-bond portfolio'!P9,LEN('Tssco-bond portfolio'!P9)-SEARCH(")",'Tssco-bond portfolio'!P9,1))),"")</f>
        <v>◤甲骨文公司(Oracle)
為全球最大資料庫軟體公司及最大的企業級軟體公司，僅次於微軟的全球第二大純軟體公司，近年積極切入雲端服務，結合過去在關聯式資料庫和企業用應用軟體(ERP、CRM等)之競爭優勢，搶占雲端運算服務商機，且名列2024年《Brand Finance》全球網路與軟體公司品牌價值第2位。</v>
      </c>
      <c r="C46" s="1880"/>
      <c r="D46" s="1880"/>
      <c r="E46" s="1880"/>
      <c r="F46" s="1880"/>
      <c r="G46" s="10"/>
      <c r="Q46" s="4"/>
      <c r="R46" s="4"/>
      <c r="S46" s="4"/>
      <c r="T46" s="4"/>
      <c r="U46" s="387"/>
    </row>
    <row r="47" spans="1:21" ht="27" customHeight="1">
      <c r="A47" s="3"/>
      <c r="B47" s="1880"/>
      <c r="C47" s="1880"/>
      <c r="D47" s="1880"/>
      <c r="E47" s="1880"/>
      <c r="F47" s="1880"/>
      <c r="G47" s="10"/>
      <c r="Q47" s="4"/>
      <c r="R47" s="4"/>
      <c r="S47" s="4"/>
      <c r="T47" s="4"/>
      <c r="U47" s="387"/>
    </row>
    <row r="48" spans="1:21" ht="27" customHeight="1">
      <c r="A48" s="3"/>
      <c r="B48" s="1880"/>
      <c r="C48" s="1880"/>
      <c r="D48" s="1880"/>
      <c r="E48" s="1880"/>
      <c r="F48" s="1880"/>
      <c r="G48" s="10"/>
      <c r="Q48" s="4"/>
      <c r="R48" s="4"/>
      <c r="S48" s="4"/>
      <c r="T48" s="4"/>
      <c r="U48" s="387"/>
    </row>
    <row r="49" spans="1:21" ht="27" customHeight="1">
      <c r="A49" s="3"/>
      <c r="B49" s="1881" t="str">
        <f ca="1">IFERROR(CONCATENATE("◤",LEFT('Tssco-bond portfolio'!P10,SEARCH(")",'Tssco-bond portfolio'!P10,1)),CHAR(10),RIGHT('Tssco-bond portfolio'!P10,LEN('Tssco-bond portfolio'!P10)-SEARCH(")",'Tssco-bond portfolio'!P10,1))),"")</f>
        <v>◤殼牌國際金融私人有限公司(Shell International Finance B.V.)
為一家特殊目的機構。保證機構殼牌(Royal Dutch Shell plc)擁有超過100年歷史，是一家全球性的能源及石化公司集團，亦是全球油氣50強品牌價值龍頭(Brand Finance 2024)，為石油天然氣、能源、化工等領域的重要領航者。</v>
      </c>
      <c r="C49" s="1881"/>
      <c r="D49" s="1881"/>
      <c r="E49" s="1881"/>
      <c r="F49" s="1881"/>
      <c r="G49" s="10"/>
      <c r="H49" s="294" t="s">
        <v>1785</v>
      </c>
      <c r="I49" s="3"/>
      <c r="J49" s="3"/>
      <c r="K49" s="3"/>
      <c r="L49" s="3"/>
      <c r="M49" s="3"/>
      <c r="N49" s="3"/>
      <c r="O49" s="3"/>
      <c r="P49" s="4"/>
      <c r="Q49" s="4"/>
      <c r="R49" s="4"/>
      <c r="S49" s="4"/>
      <c r="T49" s="4"/>
      <c r="U49" s="387"/>
    </row>
    <row r="50" spans="1:21" ht="27" customHeight="1">
      <c r="A50" s="3"/>
      <c r="B50" s="1881"/>
      <c r="C50" s="1881"/>
      <c r="D50" s="1881"/>
      <c r="E50" s="1881"/>
      <c r="F50" s="1881"/>
      <c r="G50" s="10"/>
      <c r="H50" s="386" t="s">
        <v>12</v>
      </c>
      <c r="I50" s="1886" t="s">
        <v>14</v>
      </c>
      <c r="J50" s="1886"/>
      <c r="K50" s="1886" t="s">
        <v>15</v>
      </c>
      <c r="L50" s="1886"/>
      <c r="M50" s="1886" t="s">
        <v>16</v>
      </c>
      <c r="N50" s="1886"/>
      <c r="O50" s="1886" t="s">
        <v>13</v>
      </c>
      <c r="P50" s="1886"/>
      <c r="Q50" s="4"/>
      <c r="R50" s="4"/>
      <c r="S50" s="4"/>
      <c r="T50" s="4"/>
      <c r="U50" s="387"/>
    </row>
    <row r="51" spans="1:21" ht="27" customHeight="1">
      <c r="A51" s="3"/>
      <c r="B51" s="1881"/>
      <c r="C51" s="1881"/>
      <c r="D51" s="1881"/>
      <c r="E51" s="1881"/>
      <c r="F51" s="1881"/>
      <c r="G51" s="10"/>
      <c r="H51" s="385">
        <f ca="1">IF(('Tssco-bond portfolio'!N75+'Tssco-bond portfolio'!Q75)=0,"",'Tssco-bond portfolio'!M75)</f>
        <v>2024</v>
      </c>
      <c r="I51" s="1882">
        <f ca="1">IF('Tssco-bond portfolio'!N75=0,"",'Tssco-bond portfolio'!N75)</f>
        <v>2935</v>
      </c>
      <c r="J51" s="1882"/>
      <c r="K51" s="1882">
        <f ca="1">IF(I51="","",'Tssco-bond portfolio'!O75)</f>
        <v>2935</v>
      </c>
      <c r="L51" s="1882"/>
      <c r="M51" s="1882">
        <f ca="1">IF(('Tssco-bond portfolio'!N75+'Tssco-bond portfolio'!Q75)=0,"",'Tssco-bond portfolio'!P75)</f>
        <v>2935</v>
      </c>
      <c r="N51" s="1882"/>
      <c r="O51" s="1883" t="str">
        <f ca="1">IF('Tssco-bond portfolio'!Q75=0,"",'Tssco-bond portfolio'!Q75)</f>
        <v/>
      </c>
      <c r="P51" s="1883"/>
      <c r="Q51" s="4"/>
      <c r="R51" s="4"/>
      <c r="S51" s="4"/>
      <c r="T51" s="4"/>
      <c r="U51" s="387"/>
    </row>
    <row r="52" spans="1:21" ht="27" customHeight="1">
      <c r="A52" s="3"/>
      <c r="B52" s="1880" t="str">
        <f ca="1">IFERROR(CONCATENATE("◤",LEFT('Tssco-bond portfolio'!P11,SEARCH(")",'Tssco-bond portfolio'!P11,1)),CHAR(10),RIGHT('Tssco-bond portfolio'!P11,LEN('Tssco-bond portfolio'!P11)-SEARCH(")",'Tssco-bond portfolio'!P11,1))),"")</f>
        <v>◤派拉蒙全球(Paramount Global)
是全球最大的媒體公司之一，旗下分為直接對消費者、影視及電影拍攝三大部門。派拉蒙擁有多個全球知名的版權，如教父、海綿寶寶、變形金剛及印第安那瓊斯系列，也曾拍攝多部高票房影視作品，如鐵達尼號、捍衛戰士、鋼鐵人及史瑞克等，旗下影業公司為美國第二悠久的製片廠。</v>
      </c>
      <c r="C52" s="1880"/>
      <c r="D52" s="1880"/>
      <c r="E52" s="1880"/>
      <c r="F52" s="1880"/>
      <c r="G52" s="10"/>
      <c r="H52" s="385">
        <f ca="1">IF(('Tssco-bond portfolio'!N76+'Tssco-bond portfolio'!Q76)=0,"",'Tssco-bond portfolio'!M76)</f>
        <v>2025</v>
      </c>
      <c r="I52" s="1884">
        <f ca="1">IF('Tssco-bond portfolio'!N76=0,"",'Tssco-bond portfolio'!N76)</f>
        <v>5870</v>
      </c>
      <c r="J52" s="1884"/>
      <c r="K52" s="1884">
        <f ca="1">IF(I52="","",'Tssco-bond portfolio'!O76)</f>
        <v>8805</v>
      </c>
      <c r="L52" s="1884"/>
      <c r="M52" s="1884">
        <f ca="1">IF(('Tssco-bond portfolio'!N76+'Tssco-bond portfolio'!Q76)=0,"",'Tssco-bond portfolio'!P76)</f>
        <v>8805</v>
      </c>
      <c r="N52" s="1884"/>
      <c r="O52" s="1885" t="str">
        <f ca="1">IF('Tssco-bond portfolio'!Q76=0,"",'Tssco-bond portfolio'!Q76)</f>
        <v/>
      </c>
      <c r="P52" s="1885"/>
      <c r="Q52" s="4"/>
      <c r="R52" s="4"/>
      <c r="S52" s="4"/>
      <c r="T52" s="4"/>
      <c r="U52" s="387"/>
    </row>
    <row r="53" spans="1:21" ht="27" customHeight="1">
      <c r="A53" s="3"/>
      <c r="B53" s="1880"/>
      <c r="C53" s="1880"/>
      <c r="D53" s="1880"/>
      <c r="E53" s="1880"/>
      <c r="F53" s="1880"/>
      <c r="G53" s="10"/>
      <c r="H53" s="385">
        <f ca="1">IF(('Tssco-bond portfolio'!N77+'Tssco-bond portfolio'!Q77)=0,"",'Tssco-bond portfolio'!M77)</f>
        <v>2026</v>
      </c>
      <c r="I53" s="1884">
        <f ca="1">IF('Tssco-bond portfolio'!N77=0,"",'Tssco-bond portfolio'!N77)</f>
        <v>5870</v>
      </c>
      <c r="J53" s="1884"/>
      <c r="K53" s="1884">
        <f ca="1">IF(I53="","",'Tssco-bond portfolio'!O77)</f>
        <v>14675</v>
      </c>
      <c r="L53" s="1884"/>
      <c r="M53" s="1884">
        <f ca="1">IF(('Tssco-bond portfolio'!N77+'Tssco-bond portfolio'!Q77)=0,"",'Tssco-bond portfolio'!P77)</f>
        <v>14675</v>
      </c>
      <c r="N53" s="1884"/>
      <c r="O53" s="1885" t="str">
        <f ca="1">IF('Tssco-bond portfolio'!Q77=0,"",'Tssco-bond portfolio'!Q77)</f>
        <v/>
      </c>
      <c r="P53" s="1885"/>
      <c r="Q53" s="4"/>
      <c r="R53" s="4"/>
      <c r="S53" s="4"/>
      <c r="T53" s="4"/>
      <c r="U53" s="387"/>
    </row>
    <row r="54" spans="1:21" ht="27" customHeight="1">
      <c r="A54" s="3"/>
      <c r="B54" s="1880"/>
      <c r="C54" s="1880"/>
      <c r="D54" s="1880"/>
      <c r="E54" s="1880"/>
      <c r="F54" s="1880"/>
      <c r="G54" s="10"/>
      <c r="H54" s="385">
        <f ca="1">IF(('Tssco-bond portfolio'!N78+'Tssco-bond portfolio'!Q78)=0,"",'Tssco-bond portfolio'!M78)</f>
        <v>2027</v>
      </c>
      <c r="I54" s="1884">
        <f ca="1">IF('Tssco-bond portfolio'!N78=0,"",'Tssco-bond portfolio'!N78)</f>
        <v>5870</v>
      </c>
      <c r="J54" s="1884"/>
      <c r="K54" s="1884">
        <f ca="1">IF(I54="","",'Tssco-bond portfolio'!O78)</f>
        <v>20545</v>
      </c>
      <c r="L54" s="1884"/>
      <c r="M54" s="1884">
        <f ca="1">IF(('Tssco-bond portfolio'!N78+'Tssco-bond portfolio'!Q78)=0,"",'Tssco-bond portfolio'!P78)</f>
        <v>20545</v>
      </c>
      <c r="N54" s="1884"/>
      <c r="O54" s="1885" t="str">
        <f ca="1">IF('Tssco-bond portfolio'!Q78=0,"",'Tssco-bond portfolio'!Q78)</f>
        <v/>
      </c>
      <c r="P54" s="1885"/>
      <c r="Q54" s="4"/>
      <c r="R54" s="4"/>
      <c r="S54" s="4"/>
      <c r="T54" s="4"/>
      <c r="U54" s="387"/>
    </row>
    <row r="55" spans="1:21" ht="27" customHeight="1">
      <c r="A55" s="3"/>
      <c r="B55" s="1881" t="str">
        <f ca="1">IFERROR(CONCATENATE("◤",LEFT('Tssco-bond portfolio'!P12,SEARCH(")",'Tssco-bond portfolio'!P12,1)),CHAR(10),RIGHT('Tssco-bond portfolio'!P12,LEN('Tssco-bond portfolio'!P12)-SEARCH(")",'Tssco-bond portfolio'!P12,1))),"")</f>
        <v>◤3M公司(3M Company)
透過安全與工業產品、運輸及電子產品、醫療產品及消費品等四大事業群於全球開發、製造並銷售各類產品，2024年4月完成醫療保健業務的分拆，名列2024年《Fortune》美國500強企業中化學品產業第2位，受《Interbrand》評為2023年最佳全球品牌。</v>
      </c>
      <c r="C55" s="1881"/>
      <c r="D55" s="1881"/>
      <c r="E55" s="1881"/>
      <c r="F55" s="1881"/>
      <c r="G55" s="10"/>
      <c r="H55" s="385">
        <f ca="1">IF(('Tssco-bond portfolio'!N79+'Tssco-bond portfolio'!Q79)=0,"",'Tssco-bond portfolio'!M79)</f>
        <v>2028</v>
      </c>
      <c r="I55" s="1884">
        <f ca="1">IF('Tssco-bond portfolio'!N79=0,"",'Tssco-bond portfolio'!N79)</f>
        <v>5870</v>
      </c>
      <c r="J55" s="1884"/>
      <c r="K55" s="1884">
        <f ca="1">IF(I55="","",'Tssco-bond portfolio'!O79)</f>
        <v>26415</v>
      </c>
      <c r="L55" s="1884"/>
      <c r="M55" s="1884">
        <f ca="1">IF(('Tssco-bond portfolio'!N79+'Tssco-bond portfolio'!Q79)=0,"",'Tssco-bond portfolio'!P79)</f>
        <v>26415</v>
      </c>
      <c r="N55" s="1884"/>
      <c r="O55" s="1885" t="str">
        <f ca="1">IF('Tssco-bond portfolio'!Q79=0,"",'Tssco-bond portfolio'!Q79)</f>
        <v/>
      </c>
      <c r="P55" s="1885"/>
      <c r="Q55" s="4"/>
      <c r="R55" s="4"/>
      <c r="S55" s="4"/>
      <c r="T55" s="4"/>
      <c r="U55" s="387"/>
    </row>
    <row r="56" spans="1:21" ht="27" customHeight="1">
      <c r="A56" s="3"/>
      <c r="B56" s="1881"/>
      <c r="C56" s="1881"/>
      <c r="D56" s="1881"/>
      <c r="E56" s="1881"/>
      <c r="F56" s="1881"/>
      <c r="G56" s="10"/>
      <c r="H56" s="385" t="str">
        <f ca="1">IF(('Tssco-bond portfolio'!N80+'Tssco-bond portfolio'!Q80)=0,"",'Tssco-bond portfolio'!M80)</f>
        <v>2029~2033</v>
      </c>
      <c r="I56" s="1884">
        <f ca="1">IF('Tssco-bond portfolio'!N80=0,"",'Tssco-bond portfolio'!N80)</f>
        <v>29147.5</v>
      </c>
      <c r="J56" s="1884"/>
      <c r="K56" s="1884">
        <f ca="1">IF(I56="","",'Tssco-bond portfolio'!O80)</f>
        <v>55562.5</v>
      </c>
      <c r="L56" s="1884"/>
      <c r="M56" s="1884">
        <f ca="1">IF(('Tssco-bond portfolio'!N80+'Tssco-bond portfolio'!Q80)=0,"",'Tssco-bond portfolio'!P80)</f>
        <v>65562.5</v>
      </c>
      <c r="N56" s="1884"/>
      <c r="O56" s="1885">
        <f ca="1">IF('Tssco-bond portfolio'!Q80=0,"",'Tssco-bond portfolio'!Q80)</f>
        <v>10000</v>
      </c>
      <c r="P56" s="1885"/>
      <c r="Q56" s="4"/>
      <c r="R56" s="4"/>
      <c r="S56" s="4"/>
      <c r="T56" s="4"/>
      <c r="U56" s="387"/>
    </row>
    <row r="57" spans="1:21" ht="27" customHeight="1">
      <c r="A57" s="3"/>
      <c r="B57" s="1881"/>
      <c r="C57" s="1881"/>
      <c r="D57" s="1881"/>
      <c r="E57" s="1881"/>
      <c r="F57" s="1881"/>
      <c r="G57" s="10"/>
      <c r="H57" s="385" t="str">
        <f ca="1">IF(('Tssco-bond portfolio'!N81+'Tssco-bond portfolio'!Q81)=0,"",'Tssco-bond portfolio'!M81)</f>
        <v>2034~2038</v>
      </c>
      <c r="I57" s="1884">
        <f ca="1">IF('Tssco-bond portfolio'!N81=0,"",'Tssco-bond portfolio'!N81)</f>
        <v>21587.5</v>
      </c>
      <c r="J57" s="1884"/>
      <c r="K57" s="1884">
        <f ca="1">IF(I57="","",'Tssco-bond portfolio'!O81)</f>
        <v>77150</v>
      </c>
      <c r="L57" s="1884"/>
      <c r="M57" s="1884">
        <f ca="1">IF(('Tssco-bond portfolio'!N81+'Tssco-bond portfolio'!Q81)=0,"",'Tssco-bond portfolio'!P81)</f>
        <v>137150</v>
      </c>
      <c r="N57" s="1884"/>
      <c r="O57" s="1885">
        <f ca="1">IF('Tssco-bond portfolio'!Q81=0,"",'Tssco-bond portfolio'!Q81)</f>
        <v>50000</v>
      </c>
      <c r="P57" s="1885"/>
      <c r="Q57" s="4"/>
      <c r="R57" s="4"/>
      <c r="S57" s="4"/>
      <c r="T57" s="4"/>
      <c r="U57" s="387"/>
    </row>
    <row r="58" spans="1:21" ht="27" customHeight="1">
      <c r="A58" s="3"/>
      <c r="B58" s="1880" t="str">
        <f ca="1">IFERROR(CONCATENATE("◤",LEFT('Tssco-bond portfolio'!P13,SEARCH(")",'Tssco-bond portfolio'!P13,1)),CHAR(10),RIGHT('Tssco-bond portfolio'!P13,LEN('Tssco-bond portfolio'!P13)-SEARCH(")",'Tssco-bond portfolio'!P13,1))),"")</f>
        <v>◤嬌生公司(Johnson &amp; Johnson)
全球市值前三大藥廠，且是全球最佳信用紀錄保持人，連續36年保持AAA評等，與微軟及蘋果並列為全球信評最佳企業；連續11年入選全球最受尊敬公司製藥行業榜單(Fortune 2024)且前10年排名第1，在基於處方藥銷售的全球製藥企業50強排行榜名列第1位(Pharm Exec 2024)。</v>
      </c>
      <c r="C58" s="1880"/>
      <c r="D58" s="1880"/>
      <c r="E58" s="1880"/>
      <c r="F58" s="1880"/>
      <c r="G58" s="10"/>
      <c r="H58" s="385" t="str">
        <f ca="1">IF(('Tssco-bond portfolio'!N82+'Tssco-bond portfolio'!Q82)=0,"",'Tssco-bond portfolio'!M82)</f>
        <v>2039~2043</v>
      </c>
      <c r="I58" s="1884">
        <f ca="1">IF('Tssco-bond portfolio'!N82=0,"",'Tssco-bond portfolio'!N82)</f>
        <v>7326.25</v>
      </c>
      <c r="J58" s="1884"/>
      <c r="K58" s="1884">
        <f ca="1">IF(I58="","",'Tssco-bond portfolio'!O82)</f>
        <v>84476.25</v>
      </c>
      <c r="L58" s="1884"/>
      <c r="M58" s="1884">
        <f ca="1">IF(('Tssco-bond portfolio'!N82+'Tssco-bond portfolio'!Q82)=0,"",'Tssco-bond portfolio'!P82)</f>
        <v>184476.25</v>
      </c>
      <c r="N58" s="1884"/>
      <c r="O58" s="1885">
        <f ca="1">IF('Tssco-bond portfolio'!Q82=0,"",'Tssco-bond portfolio'!Q82)</f>
        <v>40000</v>
      </c>
      <c r="P58" s="1885"/>
      <c r="Q58" s="4"/>
      <c r="R58" s="4"/>
      <c r="S58" s="4"/>
      <c r="T58" s="4"/>
      <c r="U58" s="387"/>
    </row>
    <row r="59" spans="1:21" ht="27" customHeight="1">
      <c r="A59" s="3"/>
      <c r="B59" s="1880"/>
      <c r="C59" s="1880"/>
      <c r="D59" s="1880"/>
      <c r="E59" s="1880"/>
      <c r="F59" s="1880"/>
      <c r="G59" s="10"/>
      <c r="H59" s="385" t="str">
        <f ca="1">IF(('Tssco-bond portfolio'!N83+'Tssco-bond portfolio'!Q83)=0,"",'Tssco-bond portfolio'!M83)</f>
        <v>2044~2048</v>
      </c>
      <c r="I59" s="1884">
        <f ca="1">IF('Tssco-bond portfolio'!N83=0,"",'Tssco-bond portfolio'!N83)</f>
        <v>3187.5</v>
      </c>
      <c r="J59" s="1884"/>
      <c r="K59" s="1884">
        <f ca="1">IF(I59="","",'Tssco-bond portfolio'!O83)</f>
        <v>87663.75</v>
      </c>
      <c r="L59" s="1884"/>
      <c r="M59" s="1884">
        <f ca="1">IF(('Tssco-bond portfolio'!N83+'Tssco-bond portfolio'!Q83)=0,"",'Tssco-bond portfolio'!P83)</f>
        <v>187663.75</v>
      </c>
      <c r="N59" s="1884"/>
      <c r="O59" s="1885" t="str">
        <f ca="1">IF('Tssco-bond portfolio'!Q83=0,"",'Tssco-bond portfolio'!Q83)</f>
        <v/>
      </c>
      <c r="P59" s="1885"/>
      <c r="Q59" s="4"/>
      <c r="R59" s="4"/>
      <c r="S59" s="4"/>
      <c r="T59" s="4"/>
      <c r="U59" s="387"/>
    </row>
    <row r="60" spans="1:21" ht="27" customHeight="1">
      <c r="A60" s="3"/>
      <c r="B60" s="1880"/>
      <c r="C60" s="1880"/>
      <c r="D60" s="1880"/>
      <c r="E60" s="1880"/>
      <c r="F60" s="1880"/>
      <c r="G60" s="10"/>
      <c r="H60" s="385" t="str">
        <f ca="1">IF(('Tssco-bond portfolio'!N84+'Tssco-bond portfolio'!Q84)=0,"",'Tssco-bond portfolio'!M84)</f>
        <v>2049~2053</v>
      </c>
      <c r="I60" s="1884">
        <f ca="1">IF('Tssco-bond portfolio'!N84=0,"",'Tssco-bond portfolio'!N84)</f>
        <v>2156.25</v>
      </c>
      <c r="J60" s="1884"/>
      <c r="K60" s="1884">
        <f ca="1">IF(I60="","",'Tssco-bond portfolio'!O84)</f>
        <v>89820</v>
      </c>
      <c r="L60" s="1884"/>
      <c r="M60" s="1884">
        <f ca="1">IF(('Tssco-bond portfolio'!N84+'Tssco-bond portfolio'!Q84)=0,"",'Tssco-bond portfolio'!P84)</f>
        <v>199820</v>
      </c>
      <c r="N60" s="1884"/>
      <c r="O60" s="1885">
        <f ca="1">IF('Tssco-bond portfolio'!Q84=0,"",'Tssco-bond portfolio'!Q84)</f>
        <v>10000</v>
      </c>
      <c r="P60" s="1885"/>
      <c r="Q60" s="4"/>
      <c r="R60" s="4"/>
      <c r="S60" s="4"/>
      <c r="T60" s="4"/>
      <c r="U60" s="387"/>
    </row>
    <row r="61" spans="1:21" ht="27" customHeight="1">
      <c r="A61" s="3"/>
      <c r="B61" s="1881" t="str">
        <f ca="1">IFERROR(CONCATENATE("◤",LEFT('Tssco-bond portfolio'!P14,SEARCH(")",'Tssco-bond portfolio'!P14,1)),CHAR(10),RIGHT('Tssco-bond portfolio'!P14,LEN('Tssco-bond portfolio'!P14)-SEARCH(")",'Tssco-bond portfolio'!P14,1))),"")</f>
        <v>◤亞培公司(Abbott Laboratories)
是全球醫療保健領導者，業務觸及醫療設備、檢驗試劑、營養品及品牌學名藥等多元領域，旗下知名品牌有亞培安素、嬰兒配方奶粉Similac(心美力)、連續監控血糖檢測儀Freestyle libre等。2023年亞培連續第11年獲道瓊永續發展指數(DJSI)評為「醫療保健設備與用品」全球行業領導者地位。</v>
      </c>
      <c r="C61" s="1881"/>
      <c r="D61" s="1881"/>
      <c r="E61" s="1881"/>
      <c r="F61" s="1881"/>
      <c r="G61" s="10"/>
      <c r="H61" s="385" t="str">
        <f ca="1">IF(('Tssco-bond portfolio'!N85+'Tssco-bond portfolio'!Q85)=0,"",'Tssco-bond portfolio'!M85)</f>
        <v>2054~2060</v>
      </c>
      <c r="I61" s="1884">
        <f ca="1">IF('Tssco-bond portfolio'!N85=0,"",'Tssco-bond portfolio'!N85)</f>
        <v>1575</v>
      </c>
      <c r="J61" s="1884"/>
      <c r="K61" s="1884">
        <f ca="1">IF(I61="","",'Tssco-bond portfolio'!O85)</f>
        <v>91395</v>
      </c>
      <c r="L61" s="1884"/>
      <c r="M61" s="1884">
        <f ca="1">IF(('Tssco-bond portfolio'!N85+'Tssco-bond portfolio'!Q85)=0,"",'Tssco-bond portfolio'!P85)</f>
        <v>211395</v>
      </c>
      <c r="N61" s="1884"/>
      <c r="O61" s="1885">
        <f ca="1">IF('Tssco-bond portfolio'!Q85=0,"",'Tssco-bond portfolio'!Q85)</f>
        <v>10000</v>
      </c>
      <c r="P61" s="1885"/>
      <c r="Q61" s="4"/>
      <c r="R61" s="4"/>
      <c r="S61" s="4"/>
      <c r="T61" s="4"/>
      <c r="U61" s="387"/>
    </row>
    <row r="62" spans="1:21" ht="27" customHeight="1">
      <c r="A62" s="3"/>
      <c r="B62" s="1881"/>
      <c r="C62" s="1881"/>
      <c r="D62" s="1881"/>
      <c r="E62" s="1881"/>
      <c r="F62" s="1881"/>
      <c r="G62" s="10"/>
      <c r="Q62" s="4"/>
      <c r="R62" s="4"/>
      <c r="S62" s="4"/>
      <c r="T62" s="4"/>
      <c r="U62" s="387"/>
    </row>
    <row r="63" spans="1:21" ht="27" customHeight="1">
      <c r="A63" s="3"/>
      <c r="B63" s="1881"/>
      <c r="C63" s="1881"/>
      <c r="D63" s="1881"/>
      <c r="E63" s="1881"/>
      <c r="F63" s="1881"/>
      <c r="G63" s="10"/>
      <c r="Q63" s="4"/>
      <c r="R63" s="4"/>
      <c r="S63" s="4"/>
      <c r="T63" s="4"/>
      <c r="U63" s="387"/>
    </row>
    <row r="64" spans="1:21" ht="27" customHeight="1">
      <c r="A64" s="3"/>
      <c r="B64" s="1880" t="str">
        <f ca="1">IFERROR(CONCATENATE("◤",LEFT('Tssco-bond portfolio'!P15,SEARCH(")",'Tssco-bond portfolio'!P15,1)),CHAR(10),RIGHT('Tssco-bond portfolio'!P15,LEN('Tssco-bond portfolio'!P15)-SEARCH(")",'Tssco-bond portfolio'!P15,1))),"")</f>
        <v>◤墨西哥合眾國(United Mexican States)
通稱墨西哥，是世界第10大人口國家(人口約1.3億)，世界銀行將其歸為中高收入國家。墨西哥為世界第12大經濟體(IMF 2023)，GDP規模居拉美第二(僅次於巴西)，該國經濟與其美墨加協定(USMCA)貿易夥伴緊密相關，且自2021年起成為美國最大的貿易夥伴(按總貿易額)。</v>
      </c>
      <c r="C64" s="1880"/>
      <c r="D64" s="1880"/>
      <c r="E64" s="1880"/>
      <c r="F64" s="1880"/>
      <c r="G64" s="10"/>
      <c r="H64" s="10"/>
      <c r="I64" s="3"/>
      <c r="J64" s="3"/>
      <c r="K64" s="3"/>
      <c r="L64" s="3"/>
      <c r="M64" s="3"/>
      <c r="N64" s="3"/>
      <c r="O64" s="3"/>
      <c r="P64" s="4"/>
      <c r="Q64" s="4"/>
      <c r="R64" s="4"/>
      <c r="S64" s="4"/>
      <c r="T64" s="4"/>
      <c r="U64" s="387"/>
    </row>
    <row r="65" spans="1:21" ht="27" customHeight="1">
      <c r="A65" s="3"/>
      <c r="B65" s="1880"/>
      <c r="C65" s="1880"/>
      <c r="D65" s="1880"/>
      <c r="E65" s="1880"/>
      <c r="F65" s="1880"/>
      <c r="G65" s="10"/>
      <c r="H65" s="10"/>
      <c r="I65" s="3"/>
      <c r="J65" s="3"/>
      <c r="K65" s="3"/>
      <c r="L65" s="3"/>
      <c r="M65" s="3"/>
      <c r="N65" s="3"/>
      <c r="O65" s="3"/>
      <c r="P65" s="4"/>
      <c r="Q65" s="4"/>
      <c r="R65" s="4"/>
      <c r="S65" s="4"/>
      <c r="T65" s="4"/>
      <c r="U65" s="387"/>
    </row>
    <row r="66" spans="1:21" ht="27" customHeight="1">
      <c r="A66" s="3"/>
      <c r="B66" s="1880"/>
      <c r="C66" s="1880"/>
      <c r="D66" s="1880"/>
      <c r="E66" s="1880"/>
      <c r="F66" s="1880"/>
      <c r="G66" s="10"/>
      <c r="H66" s="10"/>
      <c r="I66" s="3"/>
      <c r="J66" s="3"/>
      <c r="K66" s="3"/>
      <c r="L66" s="3"/>
      <c r="M66" s="3"/>
      <c r="N66" s="3"/>
      <c r="O66" s="3"/>
      <c r="P66" s="4"/>
      <c r="Q66" s="4"/>
      <c r="R66" s="4"/>
      <c r="S66" s="4"/>
      <c r="T66" s="4"/>
      <c r="U66" s="387"/>
    </row>
    <row r="67" spans="1:21" ht="27" customHeight="1">
      <c r="A67" s="3"/>
      <c r="B67" s="1881" t="str">
        <f ca="1">IFERROR(CONCATENATE("◤",LEFT('Tssco-bond portfolio'!P16,SEARCH(")",'Tssco-bond portfolio'!P16,1)),CHAR(10),RIGHT('Tssco-bond portfolio'!P16,LEN('Tssco-bond portfolio'!P16)-SEARCH(")",'Tssco-bond portfolio'!P16,1))),"")</f>
        <v>◤博通公司(Broadcom Inc.)
為美國半導體公司，負責晶片設計與銷售，並將生產、測試與封裝環節外包，發展歷程中透過不斷併購壯大集團實力，近年來多次蟬聯全球IC設計公司前三名榜單，與高通、輝達三強鼎立。2024年《Brand Finance》品牌價值中，博通排名全球半導體產業第6。</v>
      </c>
      <c r="C67" s="1881"/>
      <c r="D67" s="1881"/>
      <c r="E67" s="1881"/>
      <c r="F67" s="1881"/>
      <c r="G67" s="10"/>
      <c r="H67" s="10"/>
      <c r="I67" s="3"/>
      <c r="J67" s="3"/>
      <c r="K67" s="3"/>
      <c r="L67" s="3"/>
      <c r="M67" s="3"/>
      <c r="N67" s="3"/>
      <c r="O67" s="3"/>
      <c r="P67" s="4"/>
      <c r="Q67" s="4"/>
      <c r="R67" s="4"/>
      <c r="S67" s="4"/>
      <c r="T67" s="4"/>
      <c r="U67" s="387"/>
    </row>
    <row r="68" spans="1:21" ht="27" customHeight="1">
      <c r="A68" s="3"/>
      <c r="B68" s="1881"/>
      <c r="C68" s="1881"/>
      <c r="D68" s="1881"/>
      <c r="E68" s="1881"/>
      <c r="F68" s="1881"/>
      <c r="G68" s="10"/>
      <c r="H68" s="10"/>
      <c r="I68" s="3"/>
      <c r="J68" s="3"/>
      <c r="K68" s="3"/>
      <c r="L68" s="3"/>
      <c r="M68" s="3"/>
      <c r="N68" s="3"/>
      <c r="O68" s="3"/>
      <c r="P68" s="4"/>
      <c r="Q68" s="4"/>
      <c r="R68" s="4"/>
      <c r="S68" s="4"/>
      <c r="T68" s="4"/>
      <c r="U68" s="387"/>
    </row>
    <row r="69" spans="1:21" ht="27" customHeight="1">
      <c r="A69" s="3"/>
      <c r="B69" s="1881"/>
      <c r="C69" s="1881"/>
      <c r="D69" s="1881"/>
      <c r="E69" s="1881"/>
      <c r="F69" s="1881"/>
      <c r="G69" s="10"/>
      <c r="H69" s="10"/>
      <c r="I69" s="3"/>
      <c r="J69" s="3"/>
      <c r="K69" s="3"/>
      <c r="L69" s="3"/>
      <c r="M69" s="3"/>
      <c r="N69" s="3"/>
      <c r="O69" s="3"/>
      <c r="P69" s="4"/>
      <c r="Q69" s="4"/>
      <c r="R69" s="4"/>
      <c r="S69" s="4"/>
      <c r="T69" s="4"/>
      <c r="U69" s="387"/>
    </row>
    <row r="70" spans="1:21" ht="27" customHeight="1">
      <c r="A70" s="3"/>
      <c r="B70" s="1880" t="str">
        <f ca="1">IFERROR(CONCATENATE("◤",LEFT('Tssco-bond portfolio'!P17,SEARCH(")",'Tssco-bond portfolio'!P17,1)),CHAR(10),RIGHT('Tssco-bond portfolio'!P17,LEN('Tssco-bond portfolio'!P17)-SEARCH(")",'Tssco-bond portfolio'!P17,1))),"")</f>
        <v>◤花旗集團(Citigroup Inc.)
是一家全球性多元化金融服務控股公司，按一級資本為全球第7大、美國第3大行(The Banker 2023)，營收、品牌、資本水準高居美國前五大行。</v>
      </c>
      <c r="C70" s="1880"/>
      <c r="D70" s="1880"/>
      <c r="E70" s="1880"/>
      <c r="F70" s="1880"/>
      <c r="G70" s="10"/>
      <c r="H70" s="10"/>
      <c r="I70" s="3"/>
      <c r="J70" s="3"/>
      <c r="K70" s="3"/>
      <c r="L70" s="3"/>
      <c r="M70" s="3"/>
      <c r="N70" s="3"/>
      <c r="O70" s="3"/>
      <c r="P70" s="4"/>
      <c r="Q70" s="4"/>
      <c r="R70" s="4"/>
      <c r="S70" s="4"/>
      <c r="T70" s="4"/>
      <c r="U70" s="387"/>
    </row>
    <row r="71" spans="1:21" ht="27" customHeight="1">
      <c r="A71" s="3"/>
      <c r="B71" s="1880"/>
      <c r="C71" s="1880"/>
      <c r="D71" s="1880"/>
      <c r="E71" s="1880"/>
      <c r="F71" s="1880"/>
      <c r="G71" s="10"/>
      <c r="H71" s="10"/>
      <c r="I71" s="3"/>
      <c r="J71" s="3"/>
      <c r="K71" s="3"/>
      <c r="L71" s="3"/>
      <c r="M71" s="3"/>
      <c r="N71" s="3"/>
      <c r="O71" s="3"/>
      <c r="P71" s="4"/>
      <c r="Q71" s="4"/>
      <c r="R71" s="4"/>
      <c r="S71" s="4"/>
      <c r="T71" s="4"/>
      <c r="U71" s="387"/>
    </row>
    <row r="72" spans="1:21" ht="27" customHeight="1">
      <c r="A72" s="3"/>
      <c r="B72" s="1880"/>
      <c r="C72" s="1880"/>
      <c r="D72" s="1880"/>
      <c r="E72" s="1880"/>
      <c r="F72" s="1880"/>
      <c r="G72" s="10"/>
      <c r="H72" s="10"/>
      <c r="I72" s="3"/>
      <c r="J72" s="3"/>
      <c r="K72" s="3"/>
      <c r="L72" s="3"/>
      <c r="M72" s="3"/>
      <c r="N72" s="3"/>
      <c r="O72" s="3"/>
      <c r="P72" s="4"/>
      <c r="Q72" s="4"/>
      <c r="R72" s="4"/>
      <c r="S72" s="4"/>
      <c r="T72" s="4"/>
      <c r="U72" s="387"/>
    </row>
    <row r="73" spans="1:21" ht="27" customHeight="1">
      <c r="A73" s="3"/>
      <c r="B73" s="1881" t="str">
        <f ca="1">IFERROR(CONCATENATE("◤",LEFT('Tssco-bond portfolio'!P18,SEARCH(")",'Tssco-bond portfolio'!P18,1)),CHAR(10),RIGHT('Tssco-bond portfolio'!P18,LEN('Tssco-bond portfolio'!P18)-SEARCH(")",'Tssco-bond portfolio'!P18,1))),"")</f>
        <v>◤Unum集團(Unum Group)
擁有170年歷史，為全美最大團體失能保險公司之一，亦是團體壽險和僱員自購保障計畫的主要提供商之一，保險產品組合涵蓋失能、壽險、意外、重大疾病、癌症、牙齒及視力保險，營業據點遍及美國、英國及波蘭。該集團於2023美國財富「保險：壽險及醫療險」行業上市公司營收排名第10位。</v>
      </c>
      <c r="C73" s="1881"/>
      <c r="D73" s="1881"/>
      <c r="E73" s="1881"/>
      <c r="F73" s="1881"/>
      <c r="G73" s="10"/>
      <c r="H73" s="10"/>
      <c r="I73" s="3"/>
      <c r="J73" s="3"/>
      <c r="K73" s="3"/>
      <c r="L73" s="3"/>
      <c r="M73" s="3"/>
      <c r="N73" s="3"/>
      <c r="O73" s="3"/>
      <c r="P73" s="4"/>
      <c r="Q73" s="4"/>
      <c r="R73" s="4"/>
      <c r="S73" s="4"/>
      <c r="T73" s="4"/>
      <c r="U73" s="387"/>
    </row>
    <row r="74" spans="1:21" ht="27" customHeight="1">
      <c r="A74" s="3"/>
      <c r="B74" s="1881"/>
      <c r="C74" s="1881"/>
      <c r="D74" s="1881"/>
      <c r="E74" s="1881"/>
      <c r="F74" s="1881"/>
      <c r="G74" s="10"/>
      <c r="H74" s="10"/>
      <c r="I74" s="3"/>
      <c r="J74" s="3"/>
      <c r="K74" s="3"/>
      <c r="L74" s="3"/>
      <c r="M74" s="3"/>
      <c r="N74" s="3"/>
      <c r="O74" s="3"/>
      <c r="P74" s="4"/>
      <c r="Q74" s="4"/>
      <c r="R74" s="4"/>
      <c r="S74" s="4"/>
      <c r="T74" s="4"/>
      <c r="U74" s="387"/>
    </row>
    <row r="75" spans="1:21" ht="27" customHeight="1">
      <c r="A75" s="3"/>
      <c r="B75" s="1881"/>
      <c r="C75" s="1881"/>
      <c r="D75" s="1881"/>
      <c r="E75" s="1881"/>
      <c r="F75" s="1881"/>
      <c r="G75" s="10"/>
      <c r="H75" s="10"/>
      <c r="I75" s="3"/>
      <c r="J75" s="3"/>
      <c r="K75" s="3"/>
      <c r="L75" s="3"/>
      <c r="M75" s="3"/>
      <c r="N75" s="3"/>
      <c r="O75" s="3"/>
      <c r="P75" s="4"/>
      <c r="Q75" s="4"/>
      <c r="R75" s="4"/>
      <c r="S75" s="4"/>
      <c r="T75" s="4"/>
      <c r="U75" s="387"/>
    </row>
    <row r="76" spans="1:21">
      <c r="A76" s="3"/>
      <c r="B76" s="210"/>
      <c r="C76" s="210"/>
      <c r="D76" s="210"/>
      <c r="E76" s="210"/>
      <c r="F76" s="210"/>
      <c r="G76" s="210"/>
      <c r="H76" s="210"/>
      <c r="I76" s="210"/>
      <c r="J76" s="210"/>
      <c r="K76" s="211"/>
      <c r="L76" s="211"/>
      <c r="M76" s="211"/>
      <c r="N76" s="211"/>
      <c r="O76" s="211"/>
      <c r="P76" s="212"/>
      <c r="Q76" s="4"/>
      <c r="R76" s="4"/>
      <c r="S76" s="4"/>
      <c r="T76" s="4"/>
      <c r="U76" s="387"/>
    </row>
  </sheetData>
  <sheetProtection algorithmName="SHA-512" hashValue="z3Gfxq9qMj3hMp1jdKr/TCsG5SAWVnMJGTesDTi+uAuqf6bGv5Ixo/e3xtTgHr7US5rI8Bv6NTMKKqcA4SOTgg==" saltValue="CV+TfkGwfHa9Q7kUN4IiYw==" spinCount="100000" sheet="1" formatCells="0"/>
  <mergeCells count="121">
    <mergeCell ref="F15:G15"/>
    <mergeCell ref="H15:I15"/>
    <mergeCell ref="F16:G16"/>
    <mergeCell ref="H16:I16"/>
    <mergeCell ref="H27:H28"/>
    <mergeCell ref="I27:I28"/>
    <mergeCell ref="J27:L28"/>
    <mergeCell ref="N27:N28"/>
    <mergeCell ref="O27:P28"/>
    <mergeCell ref="F11:G11"/>
    <mergeCell ref="H11:I11"/>
    <mergeCell ref="F12:G12"/>
    <mergeCell ref="H12:I12"/>
    <mergeCell ref="F13:G13"/>
    <mergeCell ref="H13:I13"/>
    <mergeCell ref="F8:G8"/>
    <mergeCell ref="H8:I8"/>
    <mergeCell ref="F9:G9"/>
    <mergeCell ref="H9:I9"/>
    <mergeCell ref="F10:G10"/>
    <mergeCell ref="H10:I10"/>
    <mergeCell ref="B6:P6"/>
    <mergeCell ref="B2:N3"/>
    <mergeCell ref="B23:C23"/>
    <mergeCell ref="H23:L24"/>
    <mergeCell ref="N23:P24"/>
    <mergeCell ref="H25:H26"/>
    <mergeCell ref="I25:I26"/>
    <mergeCell ref="J25:L26"/>
    <mergeCell ref="N25:N26"/>
    <mergeCell ref="O25:P26"/>
    <mergeCell ref="F17:G17"/>
    <mergeCell ref="H17:I17"/>
    <mergeCell ref="F18:G18"/>
    <mergeCell ref="H18:I18"/>
    <mergeCell ref="F19:G19"/>
    <mergeCell ref="H19:I19"/>
    <mergeCell ref="B20:G21"/>
    <mergeCell ref="H20:P21"/>
    <mergeCell ref="F7:G7"/>
    <mergeCell ref="H7:I7"/>
    <mergeCell ref="J7:K7"/>
    <mergeCell ref="O7:P7"/>
    <mergeCell ref="F14:G14"/>
    <mergeCell ref="H14:I14"/>
    <mergeCell ref="I29:I30"/>
    <mergeCell ref="J29:L30"/>
    <mergeCell ref="N29:N30"/>
    <mergeCell ref="O29:P30"/>
    <mergeCell ref="H31:H32"/>
    <mergeCell ref="I31:I32"/>
    <mergeCell ref="J31:L32"/>
    <mergeCell ref="N31:N32"/>
    <mergeCell ref="O31:P32"/>
    <mergeCell ref="H29:H30"/>
    <mergeCell ref="H33:H34"/>
    <mergeCell ref="I33:I34"/>
    <mergeCell ref="J33:L34"/>
    <mergeCell ref="N33:N34"/>
    <mergeCell ref="O33:P33"/>
    <mergeCell ref="O34:P34"/>
    <mergeCell ref="B40:F42"/>
    <mergeCell ref="M60:N60"/>
    <mergeCell ref="O60:P60"/>
    <mergeCell ref="I51:J51"/>
    <mergeCell ref="K51:L51"/>
    <mergeCell ref="B43:F45"/>
    <mergeCell ref="I55:J55"/>
    <mergeCell ref="K55:L55"/>
    <mergeCell ref="M55:N55"/>
    <mergeCell ref="O55:P55"/>
    <mergeCell ref="I56:J56"/>
    <mergeCell ref="K56:L56"/>
    <mergeCell ref="M56:N56"/>
    <mergeCell ref="O56:P56"/>
    <mergeCell ref="I57:J57"/>
    <mergeCell ref="K57:L57"/>
    <mergeCell ref="M57:N57"/>
    <mergeCell ref="O57:P57"/>
    <mergeCell ref="B46:F48"/>
    <mergeCell ref="I58:J58"/>
    <mergeCell ref="K58:L58"/>
    <mergeCell ref="M58:N58"/>
    <mergeCell ref="O58:P58"/>
    <mergeCell ref="I59:J59"/>
    <mergeCell ref="K59:L59"/>
    <mergeCell ref="M59:N59"/>
    <mergeCell ref="O59:P59"/>
    <mergeCell ref="M53:N53"/>
    <mergeCell ref="O53:P53"/>
    <mergeCell ref="I54:J54"/>
    <mergeCell ref="K54:L54"/>
    <mergeCell ref="M54:N54"/>
    <mergeCell ref="O54:P54"/>
    <mergeCell ref="B49:F51"/>
    <mergeCell ref="M50:N50"/>
    <mergeCell ref="K50:L50"/>
    <mergeCell ref="I50:J50"/>
    <mergeCell ref="O50:P50"/>
    <mergeCell ref="B70:F72"/>
    <mergeCell ref="B73:F75"/>
    <mergeCell ref="B58:F60"/>
    <mergeCell ref="B61:F63"/>
    <mergeCell ref="B64:F66"/>
    <mergeCell ref="B67:F69"/>
    <mergeCell ref="M51:N51"/>
    <mergeCell ref="O51:P51"/>
    <mergeCell ref="B55:F57"/>
    <mergeCell ref="B52:F54"/>
    <mergeCell ref="I52:J52"/>
    <mergeCell ref="K52:L52"/>
    <mergeCell ref="M52:N52"/>
    <mergeCell ref="O52:P52"/>
    <mergeCell ref="I53:J53"/>
    <mergeCell ref="K53:L53"/>
    <mergeCell ref="I60:J60"/>
    <mergeCell ref="K60:L60"/>
    <mergeCell ref="I61:J61"/>
    <mergeCell ref="K61:L61"/>
    <mergeCell ref="M61:N61"/>
    <mergeCell ref="O61:P61"/>
  </mergeCells>
  <phoneticPr fontId="55" type="noConversion"/>
  <printOptions horizontalCentered="1" verticalCentered="1"/>
  <pageMargins left="0.23622047244094491" right="0.23622047244094491" top="0.39370078740157483" bottom="0.39370078740157483" header="0.31496062992125984" footer="0.31496062992125984"/>
  <pageSetup paperSize="9" scale="51" fitToHeight="0" orientation="landscape" r:id="rId1"/>
  <colBreaks count="1" manualBreakCount="1">
    <brk id="20" max="1048575" man="1"/>
  </colBreaks>
  <drawing r:id="rId2"/>
  <extLst>
    <ext xmlns:x14="http://schemas.microsoft.com/office/spreadsheetml/2009/9/main" uri="{78C0D931-6437-407d-A8EE-F0AAD7539E65}">
      <x14:conditionalFormattings>
        <x14:conditionalFormatting xmlns:xm="http://schemas.microsoft.com/office/excel/2006/main">
          <x14:cfRule type="expression" priority="28" id="{6DC6C4DF-B1C4-4DAA-B36D-1C0410B5BE8B}">
            <xm:f>'Tssco-bond portfolio'!$L$7</xm:f>
            <x14:dxf>
              <border>
                <bottom style="thin">
                  <color rgb="FF009043"/>
                </bottom>
                <vertical/>
                <horizontal/>
              </border>
            </x14:dxf>
          </x14:cfRule>
          <xm:sqref>B8:P8</xm:sqref>
        </x14:conditionalFormatting>
        <x14:conditionalFormatting xmlns:xm="http://schemas.microsoft.com/office/excel/2006/main">
          <x14:cfRule type="expression" priority="27" id="{3FD290ED-265F-4B2B-9320-EFB131A95E9C}">
            <xm:f>'Tssco-bond portfolio'!$L$8</xm:f>
            <x14:dxf>
              <border>
                <bottom style="thin">
                  <color rgb="FF009043"/>
                </bottom>
                <vertical/>
                <horizontal/>
              </border>
            </x14:dxf>
          </x14:cfRule>
          <xm:sqref>B9:P9</xm:sqref>
        </x14:conditionalFormatting>
        <x14:conditionalFormatting xmlns:xm="http://schemas.microsoft.com/office/excel/2006/main">
          <x14:cfRule type="expression" priority="26" id="{F598AC44-E0A1-4AE2-AC68-BE2D83B2A5A2}">
            <xm:f>'Tssco-bond portfolio'!$L$9</xm:f>
            <x14:dxf>
              <border>
                <bottom style="thin">
                  <color rgb="FF009043"/>
                </bottom>
                <vertical/>
                <horizontal/>
              </border>
            </x14:dxf>
          </x14:cfRule>
          <xm:sqref>B10:P10</xm:sqref>
        </x14:conditionalFormatting>
        <x14:conditionalFormatting xmlns:xm="http://schemas.microsoft.com/office/excel/2006/main">
          <x14:cfRule type="expression" priority="25" id="{80B80459-4095-4348-A077-213B61836772}">
            <xm:f>'Tssco-bond portfolio'!$L$10</xm:f>
            <x14:dxf>
              <border>
                <bottom style="thin">
                  <color rgb="FF009043"/>
                </bottom>
                <vertical/>
                <horizontal/>
              </border>
            </x14:dxf>
          </x14:cfRule>
          <xm:sqref>B11:P11</xm:sqref>
        </x14:conditionalFormatting>
        <x14:conditionalFormatting xmlns:xm="http://schemas.microsoft.com/office/excel/2006/main">
          <x14:cfRule type="expression" priority="24" id="{F89DED70-E74A-42C5-BE16-A81DA846B394}">
            <xm:f>'Tssco-bond portfolio'!$L$11</xm:f>
            <x14:dxf>
              <border>
                <bottom style="thin">
                  <color rgb="FF009043"/>
                </bottom>
                <vertical/>
                <horizontal/>
              </border>
            </x14:dxf>
          </x14:cfRule>
          <xm:sqref>B12:P12</xm:sqref>
        </x14:conditionalFormatting>
        <x14:conditionalFormatting xmlns:xm="http://schemas.microsoft.com/office/excel/2006/main">
          <x14:cfRule type="expression" priority="23" id="{D62C7E32-B69D-4839-9437-059CBEB8E492}">
            <xm:f>'Tssco-bond portfolio'!$L$12</xm:f>
            <x14:dxf>
              <border>
                <bottom style="thin">
                  <color rgb="FF009043"/>
                </bottom>
                <vertical/>
                <horizontal/>
              </border>
            </x14:dxf>
          </x14:cfRule>
          <xm:sqref>B13:P13</xm:sqref>
        </x14:conditionalFormatting>
        <x14:conditionalFormatting xmlns:xm="http://schemas.microsoft.com/office/excel/2006/main">
          <x14:cfRule type="expression" priority="22" id="{0607480F-786D-4444-B907-90BAE2F08024}">
            <xm:f>'Tssco-bond portfolio'!$L$13</xm:f>
            <x14:dxf>
              <border>
                <bottom style="thin">
                  <color rgb="FF009043"/>
                </bottom>
                <vertical/>
                <horizontal/>
              </border>
            </x14:dxf>
          </x14:cfRule>
          <xm:sqref>B14:P14</xm:sqref>
        </x14:conditionalFormatting>
        <x14:conditionalFormatting xmlns:xm="http://schemas.microsoft.com/office/excel/2006/main">
          <x14:cfRule type="expression" priority="21" id="{113E0780-7993-487A-9FAE-567A2BB44BBA}">
            <xm:f>'Tssco-bond portfolio'!$L$14</xm:f>
            <x14:dxf>
              <border>
                <bottom style="thin">
                  <color rgb="FF009043"/>
                </bottom>
                <vertical/>
                <horizontal/>
              </border>
            </x14:dxf>
          </x14:cfRule>
          <xm:sqref>B15:P15</xm:sqref>
        </x14:conditionalFormatting>
        <x14:conditionalFormatting xmlns:xm="http://schemas.microsoft.com/office/excel/2006/main">
          <x14:cfRule type="expression" priority="20" id="{A5F80EB6-8D8C-4E7F-9050-8E8E1E88673B}">
            <xm:f>'Tssco-bond portfolio'!$L$15</xm:f>
            <x14:dxf>
              <border>
                <bottom style="thin">
                  <color rgb="FF009043"/>
                </bottom>
                <vertical/>
                <horizontal/>
              </border>
            </x14:dxf>
          </x14:cfRule>
          <xm:sqref>B16:P16</xm:sqref>
        </x14:conditionalFormatting>
        <x14:conditionalFormatting xmlns:xm="http://schemas.microsoft.com/office/excel/2006/main">
          <x14:cfRule type="expression" priority="14" id="{45C01C15-9FCA-4A96-84B1-4E562D128A62}">
            <xm:f>'Tssco-bond portfolio'!$L$16</xm:f>
            <x14:dxf>
              <border>
                <bottom style="thin">
                  <color rgb="FF009043"/>
                </bottom>
                <vertical/>
                <horizontal/>
              </border>
            </x14:dxf>
          </x14:cfRule>
          <xm:sqref>B17:P17</xm:sqref>
        </x14:conditionalFormatting>
        <x14:conditionalFormatting xmlns:xm="http://schemas.microsoft.com/office/excel/2006/main">
          <x14:cfRule type="expression" priority="13" id="{C47B760A-5FF3-4954-907A-A6B2C66A4F5C}">
            <xm:f>'Tssco-bond portfolio'!$L$17</xm:f>
            <x14:dxf>
              <border>
                <bottom style="thin">
                  <color rgb="FF009043"/>
                </bottom>
                <vertical/>
                <horizontal/>
              </border>
            </x14:dxf>
          </x14:cfRule>
          <xm:sqref>B18:P18</xm:sqref>
        </x14:conditionalFormatting>
        <x14:conditionalFormatting xmlns:xm="http://schemas.microsoft.com/office/excel/2006/main">
          <x14:cfRule type="expression" priority="12" id="{EA492762-27CE-4B2C-886C-8007E9CBF7CA}">
            <xm:f>OR($F$8&lt;'Tssco-bond portfolio'!$M$7,MOD($F$8,'Tssco-bond portfolio'!$O$7)&lt;&gt;0)</xm:f>
            <x14:dxf>
              <font>
                <b/>
                <i val="0"/>
                <color rgb="FFFF0000"/>
              </font>
            </x14:dxf>
          </x14:cfRule>
          <xm:sqref>F8:G8</xm:sqref>
        </x14:conditionalFormatting>
        <x14:conditionalFormatting xmlns:xm="http://schemas.microsoft.com/office/excel/2006/main">
          <x14:cfRule type="expression" priority="11" id="{312E0FD5-267E-463B-A123-5E390500F48F}">
            <xm:f>OR($F$9&lt;'Tssco-bond portfolio'!$M$8,MOD($F$9,'Tssco-bond portfolio'!$O$8)&lt;&gt;0)</xm:f>
            <x14:dxf>
              <font>
                <b/>
                <i val="0"/>
                <color rgb="FFFF0000"/>
              </font>
            </x14:dxf>
          </x14:cfRule>
          <xm:sqref>F9:G9</xm:sqref>
        </x14:conditionalFormatting>
        <x14:conditionalFormatting xmlns:xm="http://schemas.microsoft.com/office/excel/2006/main">
          <x14:cfRule type="expression" priority="10" id="{910B531E-506F-4975-8198-9FFAF9F71FF7}">
            <xm:f>OR($F$10&lt;'Tssco-bond portfolio'!$M$9,MOD($F$10,'Tssco-bond portfolio'!$O$9)&lt;&gt;0)</xm:f>
            <x14:dxf>
              <font>
                <b/>
                <i val="0"/>
                <color rgb="FFFF0000"/>
              </font>
            </x14:dxf>
          </x14:cfRule>
          <xm:sqref>F10:G10</xm:sqref>
        </x14:conditionalFormatting>
        <x14:conditionalFormatting xmlns:xm="http://schemas.microsoft.com/office/excel/2006/main">
          <x14:cfRule type="expression" priority="9" id="{2D36B7A9-A12C-4AF8-A53D-6C51D53E17C8}">
            <xm:f>OR($F$11&lt;'Tssco-bond portfolio'!$M$10,MOD($F$11,'Tssco-bond portfolio'!$O$10)&lt;&gt;0)</xm:f>
            <x14:dxf>
              <font>
                <b/>
                <i val="0"/>
                <color rgb="FFFF0000"/>
              </font>
            </x14:dxf>
          </x14:cfRule>
          <xm:sqref>F11:G11</xm:sqref>
        </x14:conditionalFormatting>
        <x14:conditionalFormatting xmlns:xm="http://schemas.microsoft.com/office/excel/2006/main">
          <x14:cfRule type="expression" priority="8" id="{3EEF4BA0-3CC5-494D-8D23-6D622C415D4A}">
            <xm:f>OR($F$12&lt;'Tssco-bond portfolio'!$M$11,MOD($F$12,'Tssco-bond portfolio'!$O$11)&lt;&gt;0)</xm:f>
            <x14:dxf>
              <font>
                <b/>
                <i val="0"/>
                <color rgb="FFFF0000"/>
              </font>
            </x14:dxf>
          </x14:cfRule>
          <xm:sqref>F12:G12</xm:sqref>
        </x14:conditionalFormatting>
        <x14:conditionalFormatting xmlns:xm="http://schemas.microsoft.com/office/excel/2006/main">
          <x14:cfRule type="expression" priority="7" id="{8BBA2363-6465-46F6-B462-1976BF571020}">
            <xm:f>OR($F$13&lt;'Tssco-bond portfolio'!$M$12,MOD($F$13,'Tssco-bond portfolio'!$O$12)&lt;&gt;0)</xm:f>
            <x14:dxf>
              <font>
                <b/>
                <i val="0"/>
                <color rgb="FFFF0000"/>
              </font>
            </x14:dxf>
          </x14:cfRule>
          <xm:sqref>F13:G13</xm:sqref>
        </x14:conditionalFormatting>
        <x14:conditionalFormatting xmlns:xm="http://schemas.microsoft.com/office/excel/2006/main">
          <x14:cfRule type="expression" priority="6" id="{3470C154-AE57-46E7-AE50-95F5A4AEDE85}">
            <xm:f>OR($F$14&lt;'Tssco-bond portfolio'!$M$13,MOD($F$14,'Tssco-bond portfolio'!$O$13)&lt;&gt;0)</xm:f>
            <x14:dxf>
              <font>
                <b/>
                <i val="0"/>
                <color rgb="FFFF0000"/>
              </font>
            </x14:dxf>
          </x14:cfRule>
          <xm:sqref>F14:G14</xm:sqref>
        </x14:conditionalFormatting>
        <x14:conditionalFormatting xmlns:xm="http://schemas.microsoft.com/office/excel/2006/main">
          <x14:cfRule type="expression" priority="5" id="{FB1A0D7F-F93E-4901-A73C-AC7746315A8F}">
            <xm:f>OR($F$15&lt;'Tssco-bond portfolio'!$M$14,MOD($F$15,'Tssco-bond portfolio'!$O$14)&lt;&gt;0)</xm:f>
            <x14:dxf>
              <font>
                <b/>
                <i val="0"/>
                <color rgb="FFFF0000"/>
              </font>
            </x14:dxf>
          </x14:cfRule>
          <xm:sqref>F15:G15</xm:sqref>
        </x14:conditionalFormatting>
        <x14:conditionalFormatting xmlns:xm="http://schemas.microsoft.com/office/excel/2006/main">
          <x14:cfRule type="expression" priority="4" id="{4DE9A480-6751-4EFF-B015-CB915F048B43}">
            <xm:f>OR($F$16&lt;'Tssco-bond portfolio'!$M$15,MOD($F$16,'Tssco-bond portfolio'!$O$15)&lt;&gt;0)</xm:f>
            <x14:dxf>
              <font>
                <b/>
                <i val="0"/>
                <color rgb="FFFF0000"/>
              </font>
            </x14:dxf>
          </x14:cfRule>
          <xm:sqref>F16:G16</xm:sqref>
        </x14:conditionalFormatting>
        <x14:conditionalFormatting xmlns:xm="http://schemas.microsoft.com/office/excel/2006/main">
          <x14:cfRule type="expression" priority="3" id="{DBE222D7-0D67-4D04-AB5C-035D3735F5A5}">
            <xm:f>OR($F$17&lt;'Tssco-bond portfolio'!$M$16,MOD($F$17,'Tssco-bond portfolio'!$O$16)&lt;&gt;0)</xm:f>
            <x14:dxf>
              <font>
                <b/>
                <i val="0"/>
                <color rgb="FFFF0000"/>
              </font>
            </x14:dxf>
          </x14:cfRule>
          <xm:sqref>F17:G17</xm:sqref>
        </x14:conditionalFormatting>
        <x14:conditionalFormatting xmlns:xm="http://schemas.microsoft.com/office/excel/2006/main">
          <x14:cfRule type="expression" priority="2" id="{1808F32E-B987-4855-9E8C-595EA5609B0A}">
            <xm:f>OR($F$18&lt;'Tssco-bond portfolio'!$M$17,MOD($F$18,'Tssco-bond portfolio'!$O$17)&lt;&gt;0)</xm:f>
            <x14:dxf>
              <font>
                <b/>
                <i val="0"/>
                <color rgb="FFFF0000"/>
              </font>
            </x14:dxf>
          </x14:cfRule>
          <xm:sqref>F18:G18</xm:sqref>
        </x14:conditionalFormatting>
        <x14:conditionalFormatting xmlns:xm="http://schemas.microsoft.com/office/excel/2006/main">
          <x14:cfRule type="expression" priority="1" id="{0EE2F436-4512-4252-9C43-03F12FDB7F49}">
            <xm:f>OR($F$19&lt;'Tssco-bond portfolio'!$M$18,MOD($F$19,'Tssco-bond portfolio'!$O$18)&lt;&gt;0)</xm:f>
            <x14:dxf>
              <font>
                <b/>
                <i val="0"/>
                <color rgb="FFFF0000"/>
              </font>
            </x14:dxf>
          </x14:cfRule>
          <xm:sqref>F19:G19</xm:sqref>
        </x14:conditionalFormatting>
        <x14:conditionalFormatting xmlns:xm="http://schemas.microsoft.com/office/excel/2006/main">
          <x14:cfRule type="expression" priority="443" id="{F8C2E603-D657-493F-A9E3-8F12E1E523BC}">
            <xm:f>'Tssco-bond portfolio'!$L$76</xm:f>
            <x14:dxf>
              <fill>
                <patternFill>
                  <bgColor rgb="FFEEF5F4"/>
                </patternFill>
              </fill>
            </x14:dxf>
          </x14:cfRule>
          <xm:sqref>H52:I52 K52 M52 O52</xm:sqref>
        </x14:conditionalFormatting>
        <x14:conditionalFormatting xmlns:xm="http://schemas.microsoft.com/office/excel/2006/main">
          <x14:cfRule type="expression" priority="447" id="{0EFFD8AF-D698-4D32-9AB3-69D55C267A69}">
            <xm:f>'Tssco-bond portfolio'!$L$78</xm:f>
            <x14:dxf>
              <fill>
                <patternFill>
                  <bgColor rgb="FFEEF5F4"/>
                </patternFill>
              </fill>
            </x14:dxf>
          </x14:cfRule>
          <xm:sqref>H54:I54 K54 M54 O54</xm:sqref>
        </x14:conditionalFormatting>
        <x14:conditionalFormatting xmlns:xm="http://schemas.microsoft.com/office/excel/2006/main">
          <x14:cfRule type="expression" priority="451" id="{72B14729-62DA-45A5-A146-04FE07765DE1}">
            <xm:f>'Tssco-bond portfolio'!$L$80</xm:f>
            <x14:dxf>
              <fill>
                <patternFill>
                  <bgColor rgb="FFEEF5F4"/>
                </patternFill>
              </fill>
            </x14:dxf>
          </x14:cfRule>
          <xm:sqref>H56:I56 K56 M56 O56</xm:sqref>
        </x14:conditionalFormatting>
        <x14:conditionalFormatting xmlns:xm="http://schemas.microsoft.com/office/excel/2006/main">
          <x14:cfRule type="expression" priority="455" id="{EFECAC51-EC73-43FA-A3F0-F14D2CE6ACC3}">
            <xm:f>'Tssco-bond portfolio'!$L$82</xm:f>
            <x14:dxf>
              <fill>
                <patternFill>
                  <bgColor rgb="FFEEF5F4"/>
                </patternFill>
              </fill>
            </x14:dxf>
          </x14:cfRule>
          <xm:sqref>H58:I58 K58 M58 O58</xm:sqref>
        </x14:conditionalFormatting>
        <x14:conditionalFormatting xmlns:xm="http://schemas.microsoft.com/office/excel/2006/main">
          <x14:cfRule type="expression" priority="459" id="{A10C0F2B-7F17-4248-9540-4E7D580A9047}">
            <xm:f>'Tssco-bond portfolio'!$L$84</xm:f>
            <x14:dxf>
              <fill>
                <patternFill>
                  <bgColor rgb="FFEEF5F4"/>
                </patternFill>
              </fill>
            </x14:dxf>
          </x14:cfRule>
          <xm:sqref>H60:P60</xm:sqref>
        </x14:conditionalFormatting>
      </x14:conditionalFormattings>
    </ext>
    <ext xmlns:x14="http://schemas.microsoft.com/office/spreadsheetml/2009/9/main" uri="{CCE6A557-97BC-4b89-ADB6-D9C93CAAB3DF}">
      <x14:dataValidations xmlns:xm="http://schemas.microsoft.com/office/excel/2006/main" count="4">
        <x14:dataValidation type="custom" allowBlank="1" showInputMessage="1" showErrorMessage="1" errorTitle="商品代碼待確認" error="有請填入半年配美元債的商品代碼，謝謝您！_x000a_" xr:uid="{00000000-0002-0000-0200-000000000000}">
          <x14:formula1>
            <xm:f>'2_Check_code'!C7="TRUE"</xm:f>
          </x14:formula1>
          <xm:sqref>B8 B18</xm:sqref>
        </x14:dataValidation>
        <x14:dataValidation type="custom" allowBlank="1" showInputMessage="1" showErrorMessage="1" errorTitle="商品代碼待確認" error="有請填入半年配美元債的商品代碼，謝謝您！" xr:uid="{00000000-0002-0000-0200-000002000000}">
          <x14:formula1>
            <xm:f>'2_Check_code'!C8="TRUE"</xm:f>
          </x14:formula1>
          <xm:sqref>B19 B9:B17</xm:sqref>
        </x14:dataValidation>
        <x14:dataValidation type="whole" operator="greaterThanOrEqual" allowBlank="1" showInputMessage="1" showErrorMessage="1" errorTitle="投資面額不正確" error="請檢視「最小面額/增額」後調整，謝謝您！" xr:uid="{00000000-0002-0000-0200-000004000000}">
          <x14:formula1>
            <xm:f>'Tssco-bond portfolio'!M7</xm:f>
          </x14:formula1>
          <xm:sqref>F17:G17 F8:G13</xm:sqref>
        </x14:dataValidation>
        <x14:dataValidation type="whole" operator="greaterThanOrEqual" allowBlank="1" showInputMessage="1" showErrorMessage="1" errorTitle="投資面額不正確" error="請檢視「最小面額/增額」後調整，謝謝您！_x000a_" xr:uid="{00000000-0002-0000-0200-000006000000}">
          <x14:formula1>
            <xm:f>'Tssco-bond portfolio'!M13</xm:f>
          </x14:formula1>
          <xm:sqref>F18:G19 F14:G16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18">
    <tabColor rgb="FF297D6B"/>
    <pageSetUpPr fitToPage="1"/>
  </sheetPr>
  <dimension ref="B1:AI339"/>
  <sheetViews>
    <sheetView showRowColHeaders="0" topLeftCell="A2" zoomScale="70" zoomScaleNormal="70" workbookViewId="0">
      <selection activeCell="B146" sqref="B146:B215"/>
    </sheetView>
  </sheetViews>
  <sheetFormatPr defaultColWidth="9.0703125" defaultRowHeight="24.75" customHeight="1"/>
  <cols>
    <col min="1" max="1" width="9.0703125" style="305"/>
    <col min="2" max="2" width="13.28515625" style="622" customWidth="1"/>
    <col min="3" max="3" width="12.85546875" style="399" hidden="1" customWidth="1"/>
    <col min="4" max="4" width="17.0703125" style="1734" hidden="1" customWidth="1"/>
    <col min="5" max="5" width="65.42578125" style="1733" bestFit="1" customWidth="1"/>
    <col min="6" max="6" width="26.85546875" style="1734" bestFit="1" customWidth="1"/>
    <col min="7" max="7" width="11.28515625" style="1735" customWidth="1"/>
    <col min="8" max="8" width="15.28515625" style="1736" bestFit="1" customWidth="1"/>
    <col min="9" max="9" width="15.640625" style="1734" customWidth="1"/>
    <col min="10" max="10" width="9.85546875" style="1737" hidden="1" customWidth="1"/>
    <col min="11" max="11" width="9.85546875" style="1738" hidden="1" customWidth="1"/>
    <col min="12" max="12" width="15.85546875" style="1735" customWidth="1"/>
    <col min="13" max="13" width="8.640625" style="1734" hidden="1" customWidth="1"/>
    <col min="14" max="14" width="18.42578125" style="1739" customWidth="1"/>
    <col min="15" max="15" width="13.42578125" style="1740" hidden="1" customWidth="1"/>
    <col min="16" max="16" width="14.42578125" style="1739" customWidth="1"/>
    <col min="17" max="17" width="15.640625" style="1741" customWidth="1"/>
    <col min="18" max="18" width="14.640625" style="1741" hidden="1" customWidth="1"/>
    <col min="19" max="19" width="17.42578125" style="1742" customWidth="1"/>
    <col min="20" max="20" width="13.640625" style="1742" hidden="1" customWidth="1"/>
    <col min="21" max="21" width="13.42578125" style="1743" customWidth="1"/>
    <col min="22" max="22" width="12.85546875" style="1743" bestFit="1" customWidth="1"/>
    <col min="23" max="23" width="15.28515625" style="1744" bestFit="1" customWidth="1"/>
    <col min="24" max="24" width="3.0703125" style="305" customWidth="1"/>
    <col min="25" max="26" width="5" style="4" customWidth="1"/>
    <col min="27" max="27" width="5" style="398" customWidth="1"/>
    <col min="28" max="28" width="5" style="305" customWidth="1"/>
    <col min="29" max="29" width="8.0703125" style="305" customWidth="1"/>
    <col min="30" max="30" width="5" style="305" customWidth="1"/>
    <col min="31" max="31" width="9.0703125" style="305"/>
    <col min="32" max="32" width="6.42578125" style="305" customWidth="1"/>
    <col min="33" max="33" width="8.85546875" style="305" customWidth="1"/>
    <col min="34" max="16384" width="9.0703125" style="305"/>
  </cols>
  <sheetData>
    <row r="1" spans="2:35" ht="27.75" hidden="1" customHeight="1">
      <c r="D1" s="624"/>
      <c r="E1" s="625"/>
      <c r="F1" s="624"/>
      <c r="G1" s="626"/>
      <c r="H1" s="627"/>
      <c r="I1" s="624"/>
      <c r="J1" s="628"/>
      <c r="K1" s="658"/>
      <c r="L1" s="626"/>
      <c r="M1" s="629"/>
      <c r="N1" s="630"/>
      <c r="O1" s="631"/>
      <c r="P1" s="630"/>
      <c r="Q1" s="632"/>
      <c r="R1" s="632"/>
      <c r="S1" s="633"/>
      <c r="T1" s="633"/>
      <c r="U1" s="634"/>
      <c r="V1" s="634"/>
      <c r="W1" s="635"/>
      <c r="X1" s="306"/>
      <c r="Y1" s="396"/>
      <c r="AA1" s="397"/>
      <c r="AH1" s="1729"/>
      <c r="AI1" s="94"/>
    </row>
    <row r="2" spans="2:35" ht="30.75" customHeight="1">
      <c r="B2" s="1971"/>
      <c r="C2" s="1971"/>
      <c r="D2" s="1971"/>
      <c r="E2" s="1971"/>
      <c r="F2" s="1971"/>
      <c r="G2" s="1971"/>
      <c r="H2" s="1971"/>
      <c r="I2" s="1971"/>
      <c r="J2" s="1971"/>
      <c r="K2" s="1971"/>
      <c r="L2" s="1971"/>
      <c r="M2" s="1971"/>
      <c r="N2" s="1971"/>
      <c r="O2" s="1971"/>
      <c r="P2" s="1971"/>
      <c r="Q2" s="1971"/>
      <c r="R2" s="1971"/>
      <c r="S2" s="1971"/>
      <c r="T2" s="1971"/>
      <c r="U2" s="1971"/>
      <c r="V2" s="1971"/>
      <c r="W2" s="1971"/>
      <c r="X2" s="306"/>
      <c r="Y2" s="396"/>
      <c r="AH2" s="1730"/>
      <c r="AI2" s="1730"/>
    </row>
    <row r="3" spans="2:35" ht="52.5" customHeight="1">
      <c r="B3" s="1971" t="s">
        <v>2070</v>
      </c>
      <c r="C3" s="1971"/>
      <c r="D3" s="1971"/>
      <c r="E3" s="1971"/>
      <c r="F3" s="1971"/>
      <c r="G3" s="1971"/>
      <c r="H3" s="1971"/>
      <c r="I3" s="1971"/>
      <c r="J3" s="1971"/>
      <c r="K3" s="1971"/>
      <c r="L3" s="1971"/>
      <c r="M3" s="1971"/>
      <c r="N3" s="1971"/>
      <c r="O3" s="1971"/>
      <c r="P3" s="1971"/>
      <c r="Q3" s="1971"/>
      <c r="R3" s="1971"/>
      <c r="S3" s="1971"/>
      <c r="T3" s="1971"/>
      <c r="U3" s="1971"/>
      <c r="V3" s="1971"/>
      <c r="W3" s="1971"/>
      <c r="X3" s="306"/>
      <c r="Y3" s="396"/>
      <c r="AH3" s="1730"/>
      <c r="AI3" s="1730"/>
    </row>
    <row r="4" spans="2:35" ht="24.75" hidden="1" customHeight="1">
      <c r="B4" s="554"/>
      <c r="C4" s="554"/>
      <c r="D4" s="554"/>
      <c r="E4" s="305"/>
      <c r="F4" s="381"/>
      <c r="G4" s="381"/>
      <c r="H4" s="381"/>
      <c r="I4" s="381"/>
      <c r="J4" s="381"/>
      <c r="K4" s="659"/>
      <c r="L4" s="381"/>
      <c r="M4" s="381"/>
      <c r="N4" s="381"/>
      <c r="O4" s="413"/>
      <c r="P4" s="381"/>
      <c r="Q4" s="381"/>
      <c r="R4" s="381"/>
      <c r="S4" s="381"/>
      <c r="T4" s="381"/>
      <c r="U4" s="381"/>
      <c r="V4" s="381"/>
      <c r="W4" s="381"/>
      <c r="AH4" s="1730"/>
      <c r="AI4" s="1730"/>
    </row>
    <row r="5" spans="2:35" ht="28.4" customHeight="1">
      <c r="B5" s="305"/>
      <c r="C5" s="381"/>
      <c r="D5" s="381"/>
      <c r="E5" s="381"/>
      <c r="F5" s="381"/>
      <c r="G5" s="381"/>
      <c r="H5" s="381"/>
      <c r="I5" s="381"/>
      <c r="J5" s="381"/>
      <c r="K5" s="659"/>
      <c r="L5" s="381"/>
      <c r="M5" s="381"/>
      <c r="N5" s="381"/>
      <c r="O5" s="413"/>
      <c r="P5" s="381"/>
      <c r="Q5" s="381"/>
      <c r="R5" s="381"/>
      <c r="S5" s="381"/>
      <c r="T5" s="381"/>
      <c r="U5" s="381"/>
      <c r="V5" s="381"/>
      <c r="W5" s="381"/>
      <c r="AH5" s="1730"/>
      <c r="AI5" s="1730"/>
    </row>
    <row r="6" spans="2:35" ht="28.4" customHeight="1">
      <c r="B6" s="1732"/>
      <c r="C6" s="381"/>
      <c r="D6" s="381"/>
      <c r="E6" s="381"/>
      <c r="F6" s="381"/>
      <c r="G6" s="381"/>
      <c r="H6" s="381"/>
      <c r="I6" s="381"/>
      <c r="J6" s="381"/>
      <c r="K6" s="659"/>
      <c r="L6" s="381"/>
      <c r="M6" s="381"/>
      <c r="N6" s="381"/>
      <c r="O6" s="413"/>
      <c r="P6" s="381"/>
      <c r="Q6" s="381"/>
      <c r="R6" s="381"/>
      <c r="S6" s="381"/>
      <c r="T6" s="381"/>
      <c r="U6" s="381"/>
      <c r="V6" s="381"/>
      <c r="W6" s="381"/>
      <c r="AH6" s="1730"/>
      <c r="AI6" s="1730"/>
    </row>
    <row r="7" spans="2:35" ht="28.4" customHeight="1">
      <c r="B7" s="1781"/>
      <c r="C7" s="381"/>
      <c r="D7" s="381"/>
      <c r="E7" s="1782" t="str">
        <f ca="1">IF(SUBTOTAL(109,O:O)&lt;&gt;0,"✔️","")</f>
        <v>✔️</v>
      </c>
      <c r="F7" s="381"/>
      <c r="G7" s="381"/>
      <c r="H7" s="381"/>
      <c r="I7" s="381"/>
      <c r="J7" s="381"/>
      <c r="K7" s="659"/>
      <c r="L7" s="381"/>
      <c r="M7" s="381"/>
      <c r="N7" s="381"/>
      <c r="O7" s="413"/>
      <c r="P7" s="381"/>
      <c r="Q7" s="381"/>
      <c r="R7" s="381"/>
      <c r="S7" s="381"/>
      <c r="T7" s="381"/>
      <c r="U7" s="381"/>
      <c r="V7" s="381"/>
      <c r="W7" s="381"/>
      <c r="AH7" s="1730"/>
      <c r="AI7" s="1730"/>
    </row>
    <row r="8" spans="2:35" ht="39" customHeight="1">
      <c r="B8" s="558"/>
      <c r="C8" s="381"/>
      <c r="D8" s="381"/>
      <c r="E8" s="1783" t="str">
        <f ca="1">IF(SUBTOTAL(109,O:O)=0,"✔️","")</f>
        <v/>
      </c>
      <c r="F8" s="381"/>
      <c r="G8" s="381"/>
      <c r="H8" s="381"/>
      <c r="I8" s="381"/>
      <c r="J8" s="381"/>
      <c r="K8" s="659"/>
      <c r="L8" s="381"/>
      <c r="M8" s="381"/>
      <c r="N8" s="381"/>
      <c r="O8" s="413"/>
      <c r="P8" s="381"/>
      <c r="Q8" s="381"/>
      <c r="R8" s="381"/>
      <c r="S8" s="381"/>
      <c r="T8" s="381"/>
      <c r="U8" s="381"/>
      <c r="V8" s="381"/>
      <c r="W8" s="381"/>
      <c r="AH8" s="1730"/>
      <c r="AI8" s="1730"/>
    </row>
    <row r="9" spans="2:35" s="559" customFormat="1" ht="57.65" customHeight="1">
      <c r="B9" s="1970" t="str">
        <f ca="1">IFERROR(IF(SUBTOTAL(109,O:O)=0,"自 由 選 債 券 清 單","現 金 流 試 算 表 債 券 清 單"),"")</f>
        <v>現 金 流 試 算 表 債 券 清 單</v>
      </c>
      <c r="C9" s="1970"/>
      <c r="D9" s="1970"/>
      <c r="E9" s="1970"/>
      <c r="F9" s="1970"/>
      <c r="G9" s="1970"/>
      <c r="H9" s="1970"/>
      <c r="I9" s="1970"/>
      <c r="J9" s="1970"/>
      <c r="K9" s="1970"/>
      <c r="L9" s="1970"/>
      <c r="M9" s="1970"/>
      <c r="N9" s="1970"/>
      <c r="O9" s="1970"/>
      <c r="P9" s="1970"/>
      <c r="Q9" s="1970"/>
      <c r="R9" s="1970"/>
      <c r="S9" s="1970"/>
      <c r="T9" s="1970"/>
      <c r="U9" s="1970"/>
      <c r="V9" s="1970"/>
      <c r="W9" s="1970"/>
      <c r="Y9" s="560"/>
      <c r="Z9" s="560"/>
      <c r="AA9" s="561"/>
      <c r="AH9" s="1731"/>
      <c r="AI9" s="1731"/>
    </row>
    <row r="10" spans="2:35" ht="17.5" customHeight="1">
      <c r="B10" s="553"/>
      <c r="C10" s="553"/>
      <c r="D10" s="553"/>
      <c r="E10" s="553"/>
      <c r="F10" s="553"/>
      <c r="G10" s="553"/>
      <c r="H10" s="553"/>
      <c r="I10" s="553"/>
      <c r="J10" s="553"/>
      <c r="K10" s="660"/>
      <c r="L10" s="553"/>
      <c r="M10" s="553"/>
      <c r="N10" s="553"/>
      <c r="O10" s="553"/>
      <c r="P10" s="553"/>
      <c r="Q10" s="553"/>
      <c r="R10" s="553"/>
      <c r="S10" s="553"/>
      <c r="T10" s="553"/>
      <c r="U10" s="553"/>
      <c r="V10" s="553"/>
      <c r="W10" s="553"/>
      <c r="AH10" s="1730"/>
      <c r="AI10" s="1730"/>
    </row>
    <row r="11" spans="2:35" ht="20.25" customHeight="1">
      <c r="B11" s="1972" t="s">
        <v>2073</v>
      </c>
      <c r="C11" s="1972"/>
      <c r="D11" s="1972"/>
      <c r="E11" s="1972"/>
      <c r="F11" s="1972"/>
      <c r="G11" s="1972"/>
      <c r="H11" s="1972"/>
      <c r="I11" s="1972"/>
      <c r="J11" s="1972"/>
      <c r="K11" s="1972"/>
      <c r="L11" s="1972"/>
      <c r="M11" s="1972"/>
      <c r="N11" s="1972"/>
      <c r="O11" s="1972"/>
      <c r="P11" s="1972"/>
      <c r="Q11" s="1972"/>
      <c r="R11" s="1972"/>
      <c r="S11" s="1972"/>
      <c r="T11" s="1972"/>
      <c r="U11" s="1972"/>
      <c r="V11" s="415" t="s">
        <v>122</v>
      </c>
      <c r="W11" s="416">
        <f>投資商品現金流試算表!N4</f>
        <v>45474</v>
      </c>
      <c r="AH11" s="1730"/>
      <c r="AI11" s="1730"/>
    </row>
    <row r="12" spans="2:35" s="399" customFormat="1" ht="40.75" customHeight="1">
      <c r="B12" s="711" t="s">
        <v>1741</v>
      </c>
      <c r="C12" s="712" t="s">
        <v>1817</v>
      </c>
      <c r="D12" s="713" t="s">
        <v>521</v>
      </c>
      <c r="E12" s="713" t="s">
        <v>123</v>
      </c>
      <c r="F12" s="712" t="s">
        <v>1780</v>
      </c>
      <c r="G12" s="714" t="s">
        <v>1283</v>
      </c>
      <c r="H12" s="715" t="s">
        <v>1717</v>
      </c>
      <c r="I12" s="712" t="s">
        <v>1718</v>
      </c>
      <c r="J12" s="716" t="s">
        <v>1285</v>
      </c>
      <c r="K12" s="717" t="s">
        <v>2186</v>
      </c>
      <c r="L12" s="714" t="s">
        <v>2098</v>
      </c>
      <c r="M12" s="713" t="s">
        <v>1312</v>
      </c>
      <c r="N12" s="718" t="s">
        <v>2099</v>
      </c>
      <c r="O12" s="719" t="s">
        <v>1819</v>
      </c>
      <c r="P12" s="718" t="s">
        <v>1310</v>
      </c>
      <c r="Q12" s="716" t="s">
        <v>1311</v>
      </c>
      <c r="R12" s="716" t="s">
        <v>1816</v>
      </c>
      <c r="S12" s="720" t="s">
        <v>1716</v>
      </c>
      <c r="T12" s="720" t="s">
        <v>1814</v>
      </c>
      <c r="U12" s="713" t="s">
        <v>160</v>
      </c>
      <c r="V12" s="712" t="s">
        <v>1812</v>
      </c>
      <c r="W12" s="720" t="s">
        <v>1953</v>
      </c>
      <c r="Y12" s="400"/>
      <c r="Z12" s="400"/>
      <c r="AA12" s="401"/>
    </row>
    <row r="13" spans="2:35" s="399" customFormat="1" ht="24.75" customHeight="1">
      <c r="B13" s="1745" t="s">
        <v>1024</v>
      </c>
      <c r="C13" s="1745" t="str">
        <f ca="1">IFERROR(VLOOKUP(表格1[[#This Row],[商品
代碼]],'銀行-TSS'!B:V,21,FALSE),"")</f>
        <v>(NPI)非專投</v>
      </c>
      <c r="D13" s="1746" t="str">
        <f>IFERROR(VLOOKUP(表格1[[#This Row],[商品
代碼]],bond!B:F,5,FALSE),"")</f>
        <v>US02079KAG22</v>
      </c>
      <c r="E13" s="1746" t="str">
        <f ca="1">IFERROR(VLOOKUP(B13,'銀行-TSS'!B:D,3,FALSE),"")</f>
        <v>Alphabet公司美元配息債券 2.25% 2060/8/15</v>
      </c>
      <c r="F13" s="1745" t="str">
        <f ca="1">IFERROR(VLOOKUP(B13,'銀行-TSS'!B:E,4,FALSE),"")</f>
        <v>Aa2 / AA+ / -</v>
      </c>
      <c r="G13" s="1747">
        <f ca="1">IFERROR(VLOOKUP(B13,'銀行-TSS'!B:G,6,FALSE),"")</f>
        <v>36.119999999999997</v>
      </c>
      <c r="H13" s="1748">
        <f ca="1">IFERROR(VLOOKUP(B13,'銀行-TSS'!B:H,7,FALSE),"")</f>
        <v>2.2499999999999999E-2</v>
      </c>
      <c r="I13" s="1745" t="str">
        <f ca="1">IFERROR(IF(表格1[[#This Row],[配息頻率]]=0,"",CHOOSE(表格1[[#This Row],[配息頻率]],MONTH(J13),IF(MONTH(J13)&lt;=6,CONCATENATE(MONTH(J13)," / ",MONTH(J13)+6),CONCATENATE(MONTH(J13)-6," / ",MONTH(J13))),0,"2 / 4 / 8 / 11")),"")</f>
        <v>2 / 8</v>
      </c>
      <c r="J13" s="1749" t="str">
        <f ca="1">IFERROR(VLOOKUP(B13,'銀行-TSS'!B:P,15,FALSE),"")</f>
        <v>2024/8/15</v>
      </c>
      <c r="K13" s="1750">
        <f ca="1">IFERROR(VLOOKUP(表格1[[#This Row],[商品
代碼]],'銀行-TSS'!B:I,8,FALSE),"")</f>
        <v>2</v>
      </c>
      <c r="L13" s="1747">
        <f ca="1">IFERROR(VLOOKUP(B13,'銀行-TSS'!B:K,10,FALSE),"")</f>
        <v>60.32</v>
      </c>
      <c r="M13" s="1745" t="str">
        <f ca="1">IF(表格1[[#This Row],[含息申購
參考價]]&gt;100,"溢價",IF(表格1[[#This Row],[含息申購
參考價]]&lt;100,"折價","平價"))</f>
        <v>折價</v>
      </c>
      <c r="N13" s="1751">
        <f ca="1">IFERROR(VLOOKUP(B13,'銀行-TSS'!B:M,12,FALSE),"")</f>
        <v>4.5499999999999999E-2</v>
      </c>
      <c r="O13" s="1752">
        <f ca="1">IFERROR(VLOOKUP(表格1[[#This Row],[商品
代碼]],'銀行-TSS'!B:AJ,35,FALSE),"")</f>
        <v>0</v>
      </c>
      <c r="P13" s="1753">
        <f ca="1">IFERROR(VLOOKUP(表格1[[#This Row],[商品
代碼]],'銀行-TSS'!B:AE,30,FALSE),"")</f>
        <v>4.5600000000000002E-2</v>
      </c>
      <c r="Q13" s="1749" t="str">
        <f ca="1">IFERROR(IF(VLOOKUP(表格1[[#This Row],[商品
代碼]],'銀行-TSS'!B:AM,38,FALSE)="#N/A Field Not Applicable","",VLOOKUP(表格1[[#This Row],[商品
代碼]],'銀行-TSS'!B:AM,38,FALSE)),"")</f>
        <v>2060/2/15</v>
      </c>
      <c r="R13" s="1749" t="str">
        <f ca="1">IFERROR(VLOOKUP(表格1[[#This Row],[商品
代碼]],'銀行-TSS'!B:AH,33,FALSE),"")</f>
        <v>美元(USD)</v>
      </c>
      <c r="S13" s="1754">
        <f ca="1">IFERROR(VLOOKUP(B13,'銀行-TSS'!B:N,13,FALSE),"")</f>
        <v>10000</v>
      </c>
      <c r="T13" s="1754" t="str">
        <f ca="1">VLOOKUP(表格1[[#This Row],[商品
代碼]],'銀行-TSS'!B:AI,34,FALSE)</f>
        <v>自由選清單</v>
      </c>
      <c r="U13" s="1755" t="str">
        <f ca="1">IFERROR(VLOOKUP(B13,'銀行-TSS'!B:Q,16,FALSE),"")</f>
        <v>通訊</v>
      </c>
      <c r="V13" s="1755" t="str">
        <f ca="1">IFERROR(VLOOKUP(表格1[[#This Row],[商品
代碼]],'銀行-TSS'!B:AG,32,FALSE),"")</f>
        <v>固定</v>
      </c>
      <c r="W13" s="1756" t="str">
        <f ca="1">IFERROR(IFERROR(VLOOKUP(表格1[[#This Row],[商品
代碼]],'3_是否下架'!A:B,2,FALSE),VLOOKUP(表格1[[#This Row],[商品
代碼]],'銀行-TSS'!B:AK,36,FALSE)),"")</f>
        <v>有</v>
      </c>
      <c r="Y13" s="400"/>
      <c r="Z13" s="400"/>
      <c r="AA13" s="401"/>
    </row>
    <row r="14" spans="2:35" s="399" customFormat="1" ht="24.75" customHeight="1">
      <c r="B14" s="1745" t="s">
        <v>3963</v>
      </c>
      <c r="C14" s="1745" t="str">
        <f ca="1">IFERROR(VLOOKUP(表格1[[#This Row],[商品
代碼]],'銀行-TSS'!B:V,21,FALSE),"")</f>
        <v>(NPI)非專投</v>
      </c>
      <c r="D14" s="1746" t="str">
        <f>IFERROR(VLOOKUP(表格1[[#This Row],[商品
代碼]],bond!B:F,5,FALSE),"")</f>
        <v>XS2747599509</v>
      </c>
      <c r="E14" s="1746" t="str">
        <f ca="1">IFERROR(VLOOKUP(B14,'銀行-TSS'!B:D,3,FALSE),"")</f>
        <v>沙烏地阿拉伯政府美元配息債券 5.75% 2054/1/16</v>
      </c>
      <c r="F14" s="1745" t="str">
        <f ca="1">IFERROR(VLOOKUP(B14,'銀行-TSS'!B:E,4,FALSE),"")</f>
        <v>A1 / - / A+</v>
      </c>
      <c r="G14" s="1747">
        <f ca="1">IFERROR(VLOOKUP(B14,'銀行-TSS'!B:G,6,FALSE),"")</f>
        <v>29.54</v>
      </c>
      <c r="H14" s="1748">
        <f ca="1">IFERROR(VLOOKUP(B14,'銀行-TSS'!B:H,7,FALSE),"")</f>
        <v>5.7500000000000002E-2</v>
      </c>
      <c r="I14" s="1745" t="str">
        <f ca="1">IFERROR(IF(表格1[[#This Row],[配息頻率]]=0,"",CHOOSE(表格1[[#This Row],[配息頻率]],MONTH(J14),IF(MONTH(J14)&lt;=6,CONCATENATE(MONTH(J14)," / ",MONTH(J14)+6),CONCATENATE(MONTH(J14)-6," / ",MONTH(J14))),0,"2 / 4 / 8 / 11")),"")</f>
        <v>1 / 7</v>
      </c>
      <c r="J14" s="1749" t="str">
        <f ca="1">IFERROR(VLOOKUP(B14,'銀行-TSS'!B:P,15,FALSE),"")</f>
        <v>2024/7/16</v>
      </c>
      <c r="K14" s="1750">
        <f ca="1">IFERROR(VLOOKUP(表格1[[#This Row],[商品
代碼]],'銀行-TSS'!B:I,8,FALSE),"")</f>
        <v>2</v>
      </c>
      <c r="L14" s="1747">
        <f ca="1">IFERROR(VLOOKUP(B14,'銀行-TSS'!B:K,10,FALSE),"")</f>
        <v>103.54</v>
      </c>
      <c r="M14" s="1745" t="str">
        <f ca="1">IF(表格1[[#This Row],[含息申購
參考價]]&gt;100,"溢價",IF(表格1[[#This Row],[含息申購
參考價]]&lt;100,"折價","平價"))</f>
        <v>溢價</v>
      </c>
      <c r="N14" s="1751">
        <f ca="1">IFERROR(VLOOKUP(B14,'銀行-TSS'!B:M,12,FALSE),"")</f>
        <v>5.6899999999999999E-2</v>
      </c>
      <c r="O14" s="1752">
        <f ca="1">IFERROR(VLOOKUP(表格1[[#This Row],[商品
代碼]],'銀行-TSS'!B:AJ,35,FALSE),"")</f>
        <v>0</v>
      </c>
      <c r="P14" s="1753" t="str">
        <f ca="1">IFERROR(VLOOKUP(表格1[[#This Row],[商品
代碼]],'銀行-TSS'!B:AE,30,FALSE),"")</f>
        <v xml:space="preserve"> </v>
      </c>
      <c r="Q14" s="1749" t="str">
        <f ca="1">IFERROR(IF(VLOOKUP(表格1[[#This Row],[商品
代碼]],'銀行-TSS'!B:AM,38,FALSE)="#N/A Field Not Applicable","",VLOOKUP(表格1[[#This Row],[商品
代碼]],'銀行-TSS'!B:AM,38,FALSE)),"")</f>
        <v/>
      </c>
      <c r="R14" s="1749" t="str">
        <f ca="1">IFERROR(VLOOKUP(表格1[[#This Row],[商品
代碼]],'銀行-TSS'!B:AH,33,FALSE),"")</f>
        <v>美元(USD)</v>
      </c>
      <c r="S14" s="1754">
        <f ca="1">IFERROR(VLOOKUP(B14,'銀行-TSS'!B:N,13,FALSE),"")</f>
        <v>200000</v>
      </c>
      <c r="T14" s="1754" t="str">
        <f ca="1">VLOOKUP(表格1[[#This Row],[商品
代碼]],'銀行-TSS'!B:AI,34,FALSE)</f>
        <v>自由選清單</v>
      </c>
      <c r="U14" s="1755" t="str">
        <f ca="1">IFERROR(VLOOKUP(B14,'銀行-TSS'!B:Q,16,FALSE),"")</f>
        <v>政府</v>
      </c>
      <c r="V14" s="1755" t="str">
        <f ca="1">IFERROR(VLOOKUP(表格1[[#This Row],[商品
代碼]],'銀行-TSS'!B:AG,32,FALSE),"")</f>
        <v>固定</v>
      </c>
      <c r="W14" s="1756" t="str">
        <f ca="1">IFERROR(IFERROR(VLOOKUP(表格1[[#This Row],[商品
代碼]],'3_是否下架'!A:B,2,FALSE),VLOOKUP(表格1[[#This Row],[商品
代碼]],'銀行-TSS'!B:AK,36,FALSE)),"")</f>
        <v>有</v>
      </c>
      <c r="Y14" s="400"/>
      <c r="Z14" s="400"/>
      <c r="AA14" s="401"/>
    </row>
    <row r="15" spans="2:35" s="399" customFormat="1" ht="24.75" customHeight="1">
      <c r="B15" s="1745" t="s">
        <v>3489</v>
      </c>
      <c r="C15" s="1745" t="str">
        <f ca="1">IFERROR(VLOOKUP(表格1[[#This Row],[商品
代碼]],'銀行-TSS'!B:V,21,FALSE),"")</f>
        <v>(NPI)非專投</v>
      </c>
      <c r="D15" s="1746" t="str">
        <f>IFERROR(VLOOKUP(表格1[[#This Row],[商品
代碼]],bond!B:F,5,FALSE),"")</f>
        <v>US055451BF42</v>
      </c>
      <c r="E15" s="1746" t="str">
        <f ca="1">IFERROR(VLOOKUP(B15,'銀行-TSS'!B:D,3,FALSE),"")</f>
        <v>必和必拓金融(美國)有限公司美元配息債券 5.5% 2053/9/8</v>
      </c>
      <c r="F15" s="1745" t="str">
        <f ca="1">IFERROR(VLOOKUP(B15,'銀行-TSS'!B:E,4,FALSE),"")</f>
        <v>A1 / A- / Au</v>
      </c>
      <c r="G15" s="1747">
        <f ca="1">IFERROR(VLOOKUP(B15,'銀行-TSS'!B:G,6,FALSE),"")</f>
        <v>29.19</v>
      </c>
      <c r="H15" s="1748">
        <f ca="1">IFERROR(VLOOKUP(B15,'銀行-TSS'!B:H,7,FALSE),"")</f>
        <v>5.5E-2</v>
      </c>
      <c r="I15" s="1745" t="str">
        <f ca="1">IFERROR(IF(表格1[[#This Row],[配息頻率]]=0,"",CHOOSE(表格1[[#This Row],[配息頻率]],MONTH(J15),IF(MONTH(J15)&lt;=6,CONCATENATE(MONTH(J15)," / ",MONTH(J15)+6),CONCATENATE(MONTH(J15)-6," / ",MONTH(J15))),0,"2 / 4 / 8 / 11")),"")</f>
        <v>3 / 9</v>
      </c>
      <c r="J15" s="1749" t="str">
        <f ca="1">IFERROR(VLOOKUP(B15,'銀行-TSS'!B:P,15,FALSE),"")</f>
        <v>2024/9/8</v>
      </c>
      <c r="K15" s="1750">
        <f ca="1">IFERROR(VLOOKUP(表格1[[#This Row],[商品
代碼]],'銀行-TSS'!B:I,8,FALSE),"")</f>
        <v>2</v>
      </c>
      <c r="L15" s="1747">
        <f ca="1">IFERROR(VLOOKUP(B15,'銀行-TSS'!B:K,10,FALSE),"")</f>
        <v>105.15</v>
      </c>
      <c r="M15" s="1745" t="str">
        <f ca="1">IF(表格1[[#This Row],[含息申購
參考價]]&gt;100,"溢價",IF(表格1[[#This Row],[含息申購
參考價]]&lt;100,"折價","平價"))</f>
        <v>溢價</v>
      </c>
      <c r="N15" s="1751">
        <f ca="1">IFERROR(VLOOKUP(B15,'銀行-TSS'!B:M,12,FALSE),"")</f>
        <v>5.2699999999999997E-2</v>
      </c>
      <c r="O15" s="1752">
        <f ca="1">IFERROR(VLOOKUP(表格1[[#This Row],[商品
代碼]],'銀行-TSS'!B:AJ,35,FALSE),"")</f>
        <v>0</v>
      </c>
      <c r="P15" s="1753">
        <f ca="1">IFERROR(VLOOKUP(表格1[[#This Row],[商品
代碼]],'銀行-TSS'!B:AE,30,FALSE),"")</f>
        <v>5.2699999999999997E-2</v>
      </c>
      <c r="Q15" s="1749" t="str">
        <f ca="1">IFERROR(IF(VLOOKUP(表格1[[#This Row],[商品
代碼]],'銀行-TSS'!B:AM,38,FALSE)="#N/A Field Not Applicable","",VLOOKUP(表格1[[#This Row],[商品
代碼]],'銀行-TSS'!B:AM,38,FALSE)),"")</f>
        <v>2053/3/8</v>
      </c>
      <c r="R15" s="1749" t="str">
        <f ca="1">IFERROR(VLOOKUP(表格1[[#This Row],[商品
代碼]],'銀行-TSS'!B:AH,33,FALSE),"")</f>
        <v>美元(USD)</v>
      </c>
      <c r="S15" s="1754">
        <f ca="1">IFERROR(VLOOKUP(B15,'銀行-TSS'!B:N,13,FALSE),"")</f>
        <v>10000</v>
      </c>
      <c r="T15" s="1754" t="str">
        <f ca="1">VLOOKUP(表格1[[#This Row],[商品
代碼]],'銀行-TSS'!B:AI,34,FALSE)</f>
        <v>自由選清單</v>
      </c>
      <c r="U15" s="1755" t="str">
        <f ca="1">IFERROR(VLOOKUP(B15,'銀行-TSS'!B:Q,16,FALSE),"")</f>
        <v>原物料</v>
      </c>
      <c r="V15" s="1755" t="str">
        <f ca="1">IFERROR(VLOOKUP(表格1[[#This Row],[商品
代碼]],'銀行-TSS'!B:AG,32,FALSE),"")</f>
        <v>固定</v>
      </c>
      <c r="W15" s="1756" t="str">
        <f ca="1">IFERROR(IFERROR(VLOOKUP(表格1[[#This Row],[商品
代碼]],'3_是否下架'!A:B,2,FALSE),VLOOKUP(表格1[[#This Row],[商品
代碼]],'銀行-TSS'!B:AK,36,FALSE)),"")</f>
        <v>有</v>
      </c>
      <c r="Y15" s="400"/>
      <c r="Z15" s="400"/>
      <c r="AA15" s="401"/>
    </row>
    <row r="16" spans="2:35" s="399" customFormat="1" ht="24.75" customHeight="1">
      <c r="B16" s="1745" t="s">
        <v>2363</v>
      </c>
      <c r="C16" s="1745" t="str">
        <f ca="1">IFERROR(VLOOKUP(表格1[[#This Row],[商品
代碼]],'銀行-TSS'!B:V,21,FALSE),"")</f>
        <v>(PI)專投</v>
      </c>
      <c r="D16" s="1746" t="str">
        <f>IFERROR(VLOOKUP(表格1[[#This Row],[商品
代碼]],bond!B:F,5,FALSE),"")</f>
        <v>USF29416AD06</v>
      </c>
      <c r="E16" s="1746" t="str">
        <f ca="1">IFERROR(VLOOKUP(B16,'銀行-TSS'!B:D,3,FALSE),"")</f>
        <v>法國電力公司美元配息債券 6.9% 2053/5/23</v>
      </c>
      <c r="F16" s="1745" t="str">
        <f ca="1">IFERROR(VLOOKUP(B16,'銀行-TSS'!B:E,4,FALSE),"")</f>
        <v>Baa1 / BBB / BBB+</v>
      </c>
      <c r="G16" s="1747">
        <f ca="1">IFERROR(VLOOKUP(B16,'銀行-TSS'!B:G,6,FALSE),"")</f>
        <v>28.89</v>
      </c>
      <c r="H16" s="1748">
        <f ca="1">IFERROR(VLOOKUP(B16,'銀行-TSS'!B:H,7,FALSE),"")</f>
        <v>6.9000000000000006E-2</v>
      </c>
      <c r="I16" s="1745" t="str">
        <f ca="1">IFERROR(IF(表格1[[#This Row],[配息頻率]]=0,"",CHOOSE(表格1[[#This Row],[配息頻率]],MONTH(J16),IF(MONTH(J16)&lt;=6,CONCATENATE(MONTH(J16)," / ",MONTH(J16)+6),CONCATENATE(MONTH(J16)-6," / ",MONTH(J16))),0,"2 / 4 / 8 / 11")),"")</f>
        <v>5 / 11</v>
      </c>
      <c r="J16" s="1749" t="str">
        <f ca="1">IFERROR(VLOOKUP(B16,'銀行-TSS'!B:P,15,FALSE),"")</f>
        <v>2024/11/23</v>
      </c>
      <c r="K16" s="1750">
        <f ca="1">IFERROR(VLOOKUP(表格1[[#This Row],[商品
代碼]],'銀行-TSS'!B:I,8,FALSE),"")</f>
        <v>2</v>
      </c>
      <c r="L16" s="1747">
        <f ca="1">IFERROR(VLOOKUP(B16,'銀行-TSS'!B:K,10,FALSE),"")</f>
        <v>112.06</v>
      </c>
      <c r="M16" s="1745" t="str">
        <f ca="1">IF(表格1[[#This Row],[含息申購
參考價]]&gt;100,"溢價",IF(表格1[[#This Row],[含息申購
參考價]]&lt;100,"折價","平價"))</f>
        <v>溢價</v>
      </c>
      <c r="N16" s="1751">
        <f ca="1">IFERROR(VLOOKUP(B16,'銀行-TSS'!B:M,12,FALSE),"")</f>
        <v>6.0600000000000001E-2</v>
      </c>
      <c r="O16" s="1752">
        <f ca="1">IFERROR(VLOOKUP(表格1[[#This Row],[商品
代碼]],'銀行-TSS'!B:AJ,35,FALSE),"")</f>
        <v>0</v>
      </c>
      <c r="P16" s="1753">
        <f ca="1">IFERROR(VLOOKUP(表格1[[#This Row],[商品
代碼]],'銀行-TSS'!B:AE,30,FALSE),"")</f>
        <v>6.0600000000000001E-2</v>
      </c>
      <c r="Q16" s="1749" t="str">
        <f ca="1">IFERROR(IF(VLOOKUP(表格1[[#This Row],[商品
代碼]],'銀行-TSS'!B:AM,38,FALSE)="#N/A Field Not Applicable","",VLOOKUP(表格1[[#This Row],[商品
代碼]],'銀行-TSS'!B:AM,38,FALSE)),"")</f>
        <v>2052/11/23</v>
      </c>
      <c r="R16" s="1749" t="str">
        <f ca="1">IFERROR(VLOOKUP(表格1[[#This Row],[商品
代碼]],'銀行-TSS'!B:AH,33,FALSE),"")</f>
        <v>美元(USD)</v>
      </c>
      <c r="S16" s="1754">
        <f ca="1">IFERROR(VLOOKUP(B16,'銀行-TSS'!B:N,13,FALSE),"")</f>
        <v>200000</v>
      </c>
      <c r="T16" s="1754" t="str">
        <f ca="1">VLOOKUP(表格1[[#This Row],[商品
代碼]],'銀行-TSS'!B:AI,34,FALSE)</f>
        <v>自由選清單</v>
      </c>
      <c r="U16" s="1755" t="str">
        <f ca="1">IFERROR(VLOOKUP(B16,'銀行-TSS'!B:Q,16,FALSE),"")</f>
        <v>公用事業</v>
      </c>
      <c r="V16" s="1755" t="str">
        <f ca="1">IFERROR(VLOOKUP(表格1[[#This Row],[商品
代碼]],'銀行-TSS'!B:AG,32,FALSE),"")</f>
        <v>固定</v>
      </c>
      <c r="W16" s="1756" t="str">
        <f ca="1">IFERROR(IFERROR(VLOOKUP(表格1[[#This Row],[商品
代碼]],'3_是否下架'!A:B,2,FALSE),VLOOKUP(表格1[[#This Row],[商品
代碼]],'銀行-TSS'!B:AK,36,FALSE)),"")</f>
        <v>有</v>
      </c>
      <c r="Y16" s="400"/>
      <c r="Z16" s="400"/>
      <c r="AA16" s="401"/>
    </row>
    <row r="17" spans="2:27" s="399" customFormat="1" ht="24.75" customHeight="1">
      <c r="B17" s="1745" t="s">
        <v>2200</v>
      </c>
      <c r="C17" s="1745" t="str">
        <f ca="1">IFERROR(VLOOKUP(表格1[[#This Row],[商品
代碼]],'銀行-TSS'!B:V,21,FALSE),"")</f>
        <v>(NPI)非專投</v>
      </c>
      <c r="D17" s="1746" t="str">
        <f>IFERROR(VLOOKUP(表格1[[#This Row],[商品
代碼]],bond!B:F,5,FALSE),"")</f>
        <v>US037833EW60</v>
      </c>
      <c r="E17" s="1746" t="str">
        <f ca="1">IFERROR(VLOOKUP(B17,'銀行-TSS'!B:D,3,FALSE),"")</f>
        <v>蘋果公司美元配息債券 4.85% 2053/5/10</v>
      </c>
      <c r="F17" s="1745" t="str">
        <f ca="1">IFERROR(VLOOKUP(B17,'銀行-TSS'!B:E,4,FALSE),"")</f>
        <v>Aaa / AA+ / -</v>
      </c>
      <c r="G17" s="1747">
        <f ca="1">IFERROR(VLOOKUP(B17,'銀行-TSS'!B:G,6,FALSE),"")</f>
        <v>28.85</v>
      </c>
      <c r="H17" s="1748">
        <f ca="1">IFERROR(VLOOKUP(B17,'銀行-TSS'!B:H,7,FALSE),"")</f>
        <v>4.8499999999999995E-2</v>
      </c>
      <c r="I17" s="1745" t="str">
        <f ca="1">IFERROR(IF(表格1[[#This Row],[配息頻率]]=0,"",CHOOSE(表格1[[#This Row],[配息頻率]],MONTH(J17),IF(MONTH(J17)&lt;=6,CONCATENATE(MONTH(J17)," / ",MONTH(J17)+6),CONCATENATE(MONTH(J17)-6," / ",MONTH(J17))),0,"2 / 4 / 8 / 11")),"")</f>
        <v>5 / 11</v>
      </c>
      <c r="J17" s="1749" t="str">
        <f ca="1">IFERROR(VLOOKUP(B17,'銀行-TSS'!B:P,15,FALSE),"")</f>
        <v>2024/11/10</v>
      </c>
      <c r="K17" s="1750">
        <f ca="1">IFERROR(VLOOKUP(表格1[[#This Row],[商品
代碼]],'銀行-TSS'!B:I,8,FALSE),"")</f>
        <v>2</v>
      </c>
      <c r="L17" s="1747">
        <f ca="1">IFERROR(VLOOKUP(B17,'銀行-TSS'!B:K,10,FALSE),"")</f>
        <v>101.87</v>
      </c>
      <c r="M17" s="1745" t="str">
        <f ca="1">IF(表格1[[#This Row],[含息申購
參考價]]&gt;100,"溢價",IF(表格1[[#This Row],[含息申購
參考價]]&lt;100,"折價","平價"))</f>
        <v>溢價</v>
      </c>
      <c r="N17" s="1751">
        <f ca="1">IFERROR(VLOOKUP(B17,'銀行-TSS'!B:M,12,FALSE),"")</f>
        <v>4.7699999999999999E-2</v>
      </c>
      <c r="O17" s="1752">
        <f ca="1">IFERROR(VLOOKUP(表格1[[#This Row],[商品
代碼]],'銀行-TSS'!B:AJ,35,FALSE),"")</f>
        <v>0</v>
      </c>
      <c r="P17" s="1753">
        <f ca="1">IFERROR(VLOOKUP(表格1[[#This Row],[商品
代碼]],'銀行-TSS'!B:AE,30,FALSE),"")</f>
        <v>4.7699999999999999E-2</v>
      </c>
      <c r="Q17" s="1749" t="str">
        <f ca="1">IFERROR(IF(VLOOKUP(表格1[[#This Row],[商品
代碼]],'銀行-TSS'!B:AM,38,FALSE)="#N/A Field Not Applicable","",VLOOKUP(表格1[[#This Row],[商品
代碼]],'銀行-TSS'!B:AM,38,FALSE)),"")</f>
        <v>2052/11/10</v>
      </c>
      <c r="R17" s="1749" t="str">
        <f ca="1">IFERROR(VLOOKUP(表格1[[#This Row],[商品
代碼]],'銀行-TSS'!B:AH,33,FALSE),"")</f>
        <v>美元(USD)</v>
      </c>
      <c r="S17" s="1754">
        <f ca="1">IFERROR(VLOOKUP(B17,'銀行-TSS'!B:N,13,FALSE),"")</f>
        <v>10000</v>
      </c>
      <c r="T17" s="1754" t="str">
        <f ca="1">VLOOKUP(表格1[[#This Row],[商品
代碼]],'銀行-TSS'!B:AI,34,FALSE)</f>
        <v>自由選清單</v>
      </c>
      <c r="U17" s="1755" t="str">
        <f ca="1">IFERROR(VLOOKUP(B17,'銀行-TSS'!B:Q,16,FALSE),"")</f>
        <v>科技</v>
      </c>
      <c r="V17" s="1755" t="str">
        <f ca="1">IFERROR(VLOOKUP(表格1[[#This Row],[商品
代碼]],'銀行-TSS'!B:AG,32,FALSE),"")</f>
        <v>固定</v>
      </c>
      <c r="W17" s="1756" t="str">
        <f ca="1">IFERROR(IFERROR(VLOOKUP(表格1[[#This Row],[商品
代碼]],'3_是否下架'!A:B,2,FALSE),VLOOKUP(表格1[[#This Row],[商品
代碼]],'銀行-TSS'!B:AK,36,FALSE)),"")</f>
        <v>有</v>
      </c>
      <c r="Y17" s="400"/>
      <c r="Z17" s="400"/>
      <c r="AA17" s="401"/>
    </row>
    <row r="18" spans="2:27" s="399" customFormat="1" ht="24.75" customHeight="1">
      <c r="B18" s="1745" t="s">
        <v>2365</v>
      </c>
      <c r="C18" s="1745" t="str">
        <f ca="1">IFERROR(VLOOKUP(表格1[[#This Row],[商品
代碼]],'銀行-TSS'!B:V,21,FALSE),"")</f>
        <v>(PI)專投</v>
      </c>
      <c r="D18" s="1746" t="str">
        <f>IFERROR(VLOOKUP(表格1[[#This Row],[商品
代碼]],bond!B:F,5,FALSE),"")</f>
        <v>US91087BAX82</v>
      </c>
      <c r="E18" s="1746" t="str">
        <f ca="1">IFERROR(VLOOKUP(B18,'銀行-TSS'!B:D,3,FALSE),"")</f>
        <v>墨西哥政府美元配息債券 6.338% 2053/5/4</v>
      </c>
      <c r="F18" s="1745" t="str">
        <f ca="1">IFERROR(VLOOKUP(B18,'銀行-TSS'!B:E,4,FALSE),"")</f>
        <v>Baa2 / BBB / BBB-</v>
      </c>
      <c r="G18" s="1747">
        <f ca="1">IFERROR(VLOOKUP(B18,'銀行-TSS'!B:G,6,FALSE),"")</f>
        <v>28.84</v>
      </c>
      <c r="H18" s="1748">
        <f ca="1">IFERROR(VLOOKUP(B18,'銀行-TSS'!B:H,7,FALSE),"")</f>
        <v>6.3380000000000006E-2</v>
      </c>
      <c r="I18" s="1745" t="str">
        <f ca="1">IFERROR(IF(表格1[[#This Row],[配息頻率]]=0,"",CHOOSE(表格1[[#This Row],[配息頻率]],MONTH(J18),IF(MONTH(J18)&lt;=6,CONCATENATE(MONTH(J18)," / ",MONTH(J18)+6),CONCATENATE(MONTH(J18)-6," / ",MONTH(J18))),0,"2 / 4 / 8 / 11")),"")</f>
        <v>5 / 11</v>
      </c>
      <c r="J18" s="1749" t="str">
        <f ca="1">IFERROR(VLOOKUP(B18,'銀行-TSS'!B:P,15,FALSE),"")</f>
        <v>2024/11/4</v>
      </c>
      <c r="K18" s="1750">
        <f ca="1">IFERROR(VLOOKUP(表格1[[#This Row],[商品
代碼]],'銀行-TSS'!B:I,8,FALSE),"")</f>
        <v>2</v>
      </c>
      <c r="L18" s="1747">
        <f ca="1">IFERROR(VLOOKUP(B18,'銀行-TSS'!B:K,10,FALSE),"")</f>
        <v>99.65</v>
      </c>
      <c r="M18" s="1745" t="str">
        <f ca="1">IF(表格1[[#This Row],[含息申購
參考價]]&gt;100,"溢價",IF(表格1[[#This Row],[含息申購
參考價]]&lt;100,"折價","平價"))</f>
        <v>折價</v>
      </c>
      <c r="N18" s="1751">
        <f ca="1">IFERROR(VLOOKUP(B18,'銀行-TSS'!B:M,12,FALSE),"")</f>
        <v>6.4399999999999999E-2</v>
      </c>
      <c r="O18" s="1752">
        <f ca="1">IFERROR(VLOOKUP(表格1[[#This Row],[商品
代碼]],'銀行-TSS'!B:AJ,35,FALSE),"")</f>
        <v>0</v>
      </c>
      <c r="P18" s="1753">
        <f ca="1">IFERROR(VLOOKUP(表格1[[#This Row],[商品
代碼]],'銀行-TSS'!B:AE,30,FALSE),"")</f>
        <v>6.4399999999999999E-2</v>
      </c>
      <c r="Q18" s="1749" t="str">
        <f ca="1">IFERROR(IF(VLOOKUP(表格1[[#This Row],[商品
代碼]],'銀行-TSS'!B:AM,38,FALSE)="#N/A Field Not Applicable","",VLOOKUP(表格1[[#This Row],[商品
代碼]],'銀行-TSS'!B:AM,38,FALSE)),"")</f>
        <v>2052/11/4</v>
      </c>
      <c r="R18" s="1749" t="str">
        <f ca="1">IFERROR(VLOOKUP(表格1[[#This Row],[商品
代碼]],'銀行-TSS'!B:AH,33,FALSE),"")</f>
        <v>美元(USD)</v>
      </c>
      <c r="S18" s="1754">
        <f ca="1">IFERROR(VLOOKUP(B18,'銀行-TSS'!B:N,13,FALSE),"")</f>
        <v>200000</v>
      </c>
      <c r="T18" s="1754" t="str">
        <f ca="1">VLOOKUP(表格1[[#This Row],[商品
代碼]],'銀行-TSS'!B:AI,34,FALSE)</f>
        <v>自由選清單</v>
      </c>
      <c r="U18" s="1755" t="str">
        <f ca="1">IFERROR(VLOOKUP(B18,'銀行-TSS'!B:Q,16,FALSE),"")</f>
        <v>政府</v>
      </c>
      <c r="V18" s="1755" t="str">
        <f ca="1">IFERROR(VLOOKUP(表格1[[#This Row],[商品
代碼]],'銀行-TSS'!B:AG,32,FALSE),"")</f>
        <v>固定</v>
      </c>
      <c r="W18" s="1756" t="str">
        <f ca="1">IFERROR(IFERROR(VLOOKUP(表格1[[#This Row],[商品
代碼]],'3_是否下架'!A:B,2,FALSE),VLOOKUP(表格1[[#This Row],[商品
代碼]],'銀行-TSS'!B:AK,36,FALSE)),"")</f>
        <v>有</v>
      </c>
      <c r="Y18" s="400"/>
      <c r="Z18" s="400"/>
      <c r="AA18" s="401"/>
    </row>
    <row r="19" spans="2:27" s="399" customFormat="1" ht="24.75" customHeight="1">
      <c r="B19" s="1745" t="s">
        <v>3921</v>
      </c>
      <c r="C19" s="1745" t="str">
        <f ca="1">IFERROR(VLOOKUP(表格1[[#This Row],[商品
代碼]],'銀行-TSS'!B:V,21,FALSE),"")</f>
        <v>(NPI)非專投</v>
      </c>
      <c r="D19" s="1746" t="str">
        <f>IFERROR(VLOOKUP(表格1[[#This Row],[商品
代碼]],bond!B:F,5,FALSE),"")</f>
        <v>US532457CG18</v>
      </c>
      <c r="E19" s="1746" t="str">
        <f ca="1">IFERROR(VLOOKUP(B19,'銀行-TSS'!B:D,3,FALSE),"")</f>
        <v>禮來公司美元配息債券 4.875% 2053/2/27</v>
      </c>
      <c r="F19" s="1745" t="str">
        <f ca="1">IFERROR(VLOOKUP(B19,'銀行-TSS'!B:E,4,FALSE),"")</f>
        <v>A1 / A+ / -</v>
      </c>
      <c r="G19" s="1747">
        <f ca="1">IFERROR(VLOOKUP(B19,'銀行-TSS'!B:G,6,FALSE),"")</f>
        <v>28.66</v>
      </c>
      <c r="H19" s="1748">
        <f ca="1">IFERROR(VLOOKUP(B19,'銀行-TSS'!B:H,7,FALSE),"")</f>
        <v>4.8750000000000002E-2</v>
      </c>
      <c r="I19" s="1745" t="str">
        <f ca="1">IFERROR(IF(表格1[[#This Row],[配息頻率]]=0,"",CHOOSE(表格1[[#This Row],[配息頻率]],MONTH(J19),IF(MONTH(J19)&lt;=6,CONCATENATE(MONTH(J19)," / ",MONTH(J19)+6),CONCATENATE(MONTH(J19)-6," / ",MONTH(J19))),0,"2 / 4 / 8 / 11")),"")</f>
        <v>2 / 8</v>
      </c>
      <c r="J19" s="1749" t="str">
        <f ca="1">IFERROR(VLOOKUP(B19,'銀行-TSS'!B:P,15,FALSE),"")</f>
        <v>2024/8/27</v>
      </c>
      <c r="K19" s="1750">
        <f ca="1">IFERROR(VLOOKUP(表格1[[#This Row],[商品
代碼]],'銀行-TSS'!B:I,8,FALSE),"")</f>
        <v>2</v>
      </c>
      <c r="L19" s="1747">
        <f ca="1">IFERROR(VLOOKUP(B19,'銀行-TSS'!B:K,10,FALSE),"")</f>
        <v>99.7</v>
      </c>
      <c r="M19" s="1745" t="str">
        <f ca="1">IF(表格1[[#This Row],[含息申購
參考價]]&gt;100,"溢價",IF(表格1[[#This Row],[含息申購
參考價]]&lt;100,"折價","平價"))</f>
        <v>折價</v>
      </c>
      <c r="N19" s="1751">
        <f ca="1">IFERROR(VLOOKUP(B19,'銀行-TSS'!B:M,12,FALSE),"")</f>
        <v>5.0099999999999999E-2</v>
      </c>
      <c r="O19" s="1752">
        <f ca="1">IFERROR(VLOOKUP(表格1[[#This Row],[商品
代碼]],'銀行-TSS'!B:AJ,35,FALSE),"")</f>
        <v>0</v>
      </c>
      <c r="P19" s="1753">
        <f ca="1">IFERROR(VLOOKUP(表格1[[#This Row],[商品
代碼]],'銀行-TSS'!B:AE,30,FALSE),"")</f>
        <v>5.0099999999999999E-2</v>
      </c>
      <c r="Q19" s="1749" t="str">
        <f ca="1">IFERROR(IF(VLOOKUP(表格1[[#This Row],[商品
代碼]],'銀行-TSS'!B:AM,38,FALSE)="#N/A Field Not Applicable","",VLOOKUP(表格1[[#This Row],[商品
代碼]],'銀行-TSS'!B:AM,38,FALSE)),"")</f>
        <v>2052/8/27</v>
      </c>
      <c r="R19" s="1749" t="str">
        <f ca="1">IFERROR(VLOOKUP(表格1[[#This Row],[商品
代碼]],'銀行-TSS'!B:AH,33,FALSE),"")</f>
        <v>美元(USD)</v>
      </c>
      <c r="S19" s="1754">
        <f ca="1">IFERROR(VLOOKUP(B19,'銀行-TSS'!B:N,13,FALSE),"")</f>
        <v>10000</v>
      </c>
      <c r="T19" s="1754" t="str">
        <f ca="1">VLOOKUP(表格1[[#This Row],[商品
代碼]],'銀行-TSS'!B:AI,34,FALSE)</f>
        <v>自由選清單</v>
      </c>
      <c r="U19" s="1755" t="str">
        <f ca="1">IFERROR(VLOOKUP(B19,'銀行-TSS'!B:Q,16,FALSE),"")</f>
        <v>醫療保健</v>
      </c>
      <c r="V19" s="1755" t="str">
        <f ca="1">IFERROR(VLOOKUP(表格1[[#This Row],[商品
代碼]],'銀行-TSS'!B:AG,32,FALSE),"")</f>
        <v>固定</v>
      </c>
      <c r="W19" s="1756" t="str">
        <f ca="1">IFERROR(IFERROR(VLOOKUP(表格1[[#This Row],[商品
代碼]],'3_是否下架'!A:B,2,FALSE),VLOOKUP(表格1[[#This Row],[商品
代碼]],'銀行-TSS'!B:AK,36,FALSE)),"")</f>
        <v>有</v>
      </c>
      <c r="Y19" s="400"/>
      <c r="Z19" s="400"/>
      <c r="AA19" s="401"/>
    </row>
    <row r="20" spans="2:27" s="399" customFormat="1" ht="24.75" customHeight="1">
      <c r="B20" s="1745" t="s">
        <v>1223</v>
      </c>
      <c r="C20" s="1745" t="str">
        <f ca="1">IFERROR(VLOOKUP(表格1[[#This Row],[商品
代碼]],'銀行-TSS'!B:V,21,FALSE),"")</f>
        <v>(NPI)非專投</v>
      </c>
      <c r="D20" s="1746" t="str">
        <f>IFERROR(VLOOKUP(表格1[[#This Row],[商品
代碼]],bond!B:F,5,FALSE),"")</f>
        <v>US30303M8J41</v>
      </c>
      <c r="E20" s="1746" t="str">
        <f ca="1">IFERROR(VLOOKUP(B20,'銀行-TSS'!B:D,3,FALSE),"")</f>
        <v>META平台公司美元配息債券 4.45% 2052/8/15</v>
      </c>
      <c r="F20" s="1745" t="str">
        <f ca="1">IFERROR(VLOOKUP(B20,'銀行-TSS'!B:E,4,FALSE),"")</f>
        <v>Aa3 / AA- / -</v>
      </c>
      <c r="G20" s="1747">
        <f ca="1">IFERROR(VLOOKUP(B20,'銀行-TSS'!B:G,6,FALSE),"")</f>
        <v>28.12</v>
      </c>
      <c r="H20" s="1748">
        <f ca="1">IFERROR(VLOOKUP(B20,'銀行-TSS'!B:H,7,FALSE),"")</f>
        <v>4.4500000000000005E-2</v>
      </c>
      <c r="I20" s="1745" t="str">
        <f ca="1">IFERROR(IF(表格1[[#This Row],[配息頻率]]=0,"",CHOOSE(表格1[[#This Row],[配息頻率]],MONTH(J20),IF(MONTH(J20)&lt;=6,CONCATENATE(MONTH(J20)," / ",MONTH(J20)+6),CONCATENATE(MONTH(J20)-6," / ",MONTH(J20))),0,"2 / 4 / 8 / 11")),"")</f>
        <v>2 / 8</v>
      </c>
      <c r="J20" s="1749" t="str">
        <f ca="1">IFERROR(VLOOKUP(B20,'銀行-TSS'!B:P,15,FALSE),"")</f>
        <v>2024/8/15</v>
      </c>
      <c r="K20" s="1750">
        <f ca="1">IFERROR(VLOOKUP(表格1[[#This Row],[商品
代碼]],'銀行-TSS'!B:I,8,FALSE),"")</f>
        <v>2</v>
      </c>
      <c r="L20" s="1747">
        <f ca="1">IFERROR(VLOOKUP(B20,'銀行-TSS'!B:K,10,FALSE),"")</f>
        <v>91.89</v>
      </c>
      <c r="M20" s="1745" t="str">
        <f ca="1">IF(表格1[[#This Row],[含息申購
參考價]]&gt;100,"溢價",IF(表格1[[#This Row],[含息申購
參考價]]&lt;100,"折價","平價"))</f>
        <v>折價</v>
      </c>
      <c r="N20" s="1751">
        <f ca="1">IFERROR(VLOOKUP(B20,'銀行-TSS'!B:M,12,FALSE),"")</f>
        <v>5.11E-2</v>
      </c>
      <c r="O20" s="1752">
        <f ca="1">IFERROR(VLOOKUP(表格1[[#This Row],[商品
代碼]],'銀行-TSS'!B:AJ,35,FALSE),"")</f>
        <v>0</v>
      </c>
      <c r="P20" s="1753">
        <f ca="1">IFERROR(VLOOKUP(表格1[[#This Row],[商品
代碼]],'銀行-TSS'!B:AE,30,FALSE),"")</f>
        <v>5.1200000000000002E-2</v>
      </c>
      <c r="Q20" s="1749" t="str">
        <f ca="1">IFERROR(IF(VLOOKUP(表格1[[#This Row],[商品
代碼]],'銀行-TSS'!B:AM,38,FALSE)="#N/A Field Not Applicable","",VLOOKUP(表格1[[#This Row],[商品
代碼]],'銀行-TSS'!B:AM,38,FALSE)),"")</f>
        <v>2052/2/15</v>
      </c>
      <c r="R20" s="1749" t="str">
        <f ca="1">IFERROR(VLOOKUP(表格1[[#This Row],[商品
代碼]],'銀行-TSS'!B:AH,33,FALSE),"")</f>
        <v>美元(USD)</v>
      </c>
      <c r="S20" s="1754">
        <f ca="1">IFERROR(VLOOKUP(B20,'銀行-TSS'!B:N,13,FALSE),"")</f>
        <v>10000</v>
      </c>
      <c r="T20" s="1754" t="str">
        <f ca="1">VLOOKUP(表格1[[#This Row],[商品
代碼]],'銀行-TSS'!B:AI,34,FALSE)</f>
        <v>自由選清單</v>
      </c>
      <c r="U20" s="1755" t="str">
        <f ca="1">IFERROR(VLOOKUP(B20,'銀行-TSS'!B:Q,16,FALSE),"")</f>
        <v>通訊</v>
      </c>
      <c r="V20" s="1755" t="str">
        <f ca="1">IFERROR(VLOOKUP(表格1[[#This Row],[商品
代碼]],'銀行-TSS'!B:AG,32,FALSE),"")</f>
        <v>固定</v>
      </c>
      <c r="W20" s="1756" t="str">
        <f ca="1">IFERROR(IFERROR(VLOOKUP(表格1[[#This Row],[商品
代碼]],'3_是否下架'!A:B,2,FALSE),VLOOKUP(表格1[[#This Row],[商品
代碼]],'銀行-TSS'!B:AK,36,FALSE)),"")</f>
        <v>有</v>
      </c>
      <c r="Y20" s="400"/>
      <c r="Z20" s="400"/>
      <c r="AA20" s="401"/>
    </row>
    <row r="21" spans="2:27" s="399" customFormat="1" ht="24.75" customHeight="1">
      <c r="B21" s="1745" t="s">
        <v>971</v>
      </c>
      <c r="C21" s="1745" t="str">
        <f ca="1">IFERROR(VLOOKUP(表格1[[#This Row],[商品
代碼]],'銀行-TSS'!B:V,21,FALSE),"")</f>
        <v>(PI)專投</v>
      </c>
      <c r="D21" s="1746" t="str">
        <f>IFERROR(VLOOKUP(表格1[[#This Row],[商品
代碼]],bond!B:F,5,FALSE),"")</f>
        <v>US00206RKE17</v>
      </c>
      <c r="E21" s="1746" t="str">
        <f ca="1">IFERROR(VLOOKUP(B21,'銀行-TSS'!B:D,3,FALSE),"")</f>
        <v>AT&amp;T公司美元配息債券 3.3% 2052/2/1</v>
      </c>
      <c r="F21" s="1745" t="str">
        <f ca="1">IFERROR(VLOOKUP(B21,'銀行-TSS'!B:E,4,FALSE),"")</f>
        <v>Baa2 / BBB / BBB+</v>
      </c>
      <c r="G21" s="1747">
        <f ca="1">IFERROR(VLOOKUP(B21,'銀行-TSS'!B:G,6,FALSE),"")</f>
        <v>27.58</v>
      </c>
      <c r="H21" s="1748">
        <f ca="1">IFERROR(VLOOKUP(B21,'銀行-TSS'!B:H,7,FALSE),"")</f>
        <v>3.3000000000000002E-2</v>
      </c>
      <c r="I21" s="1745" t="str">
        <f ca="1">IFERROR(IF(表格1[[#This Row],[配息頻率]]=0,"",CHOOSE(表格1[[#This Row],[配息頻率]],MONTH(J21),IF(MONTH(J21)&lt;=6,CONCATENATE(MONTH(J21)," / ",MONTH(J21)+6),CONCATENATE(MONTH(J21)-6," / ",MONTH(J21))),0,"2 / 4 / 8 / 11")),"")</f>
        <v>2 / 8</v>
      </c>
      <c r="J21" s="1749" t="str">
        <f ca="1">IFERROR(VLOOKUP(B21,'銀行-TSS'!B:P,15,FALSE),"")</f>
        <v>2024/8/1</v>
      </c>
      <c r="K21" s="1750">
        <f ca="1">IFERROR(VLOOKUP(表格1[[#This Row],[商品
代碼]],'銀行-TSS'!B:I,8,FALSE),"")</f>
        <v>2</v>
      </c>
      <c r="L21" s="1747">
        <f ca="1">IFERROR(VLOOKUP(B21,'銀行-TSS'!B:K,10,FALSE),"")</f>
        <v>72.260000000000005</v>
      </c>
      <c r="M21" s="1745" t="str">
        <f ca="1">IF(表格1[[#This Row],[含息申購
參考價]]&gt;100,"溢價",IF(表格1[[#This Row],[含息申購
參考價]]&lt;100,"折價","平價"))</f>
        <v>折價</v>
      </c>
      <c r="N21" s="1751">
        <f ca="1">IFERROR(VLOOKUP(B21,'銀行-TSS'!B:M,12,FALSE),"")</f>
        <v>5.33E-2</v>
      </c>
      <c r="O21" s="1752">
        <f ca="1">IFERROR(VLOOKUP(表格1[[#This Row],[商品
代碼]],'銀行-TSS'!B:AJ,35,FALSE),"")</f>
        <v>0</v>
      </c>
      <c r="P21" s="1753">
        <f ca="1">IFERROR(VLOOKUP(表格1[[#This Row],[商品
代碼]],'銀行-TSS'!B:AE,30,FALSE),"")</f>
        <v>5.3499999999999999E-2</v>
      </c>
      <c r="Q21" s="1749" t="str">
        <f ca="1">IFERROR(IF(VLOOKUP(表格1[[#This Row],[商品
代碼]],'銀行-TSS'!B:AM,38,FALSE)="#N/A Field Not Applicable","",VLOOKUP(表格1[[#This Row],[商品
代碼]],'銀行-TSS'!B:AM,38,FALSE)),"")</f>
        <v>2051/8/1</v>
      </c>
      <c r="R21" s="1749" t="str">
        <f ca="1">IFERROR(VLOOKUP(表格1[[#This Row],[商品
代碼]],'銀行-TSS'!B:AH,33,FALSE),"")</f>
        <v>美元(USD)</v>
      </c>
      <c r="S21" s="1754">
        <f ca="1">IFERROR(VLOOKUP(B21,'銀行-TSS'!B:N,13,FALSE),"")</f>
        <v>10000</v>
      </c>
      <c r="T21" s="1754" t="str">
        <f ca="1">VLOOKUP(表格1[[#This Row],[商品
代碼]],'銀行-TSS'!B:AI,34,FALSE)</f>
        <v>自由選清單</v>
      </c>
      <c r="U21" s="1755" t="str">
        <f ca="1">IFERROR(VLOOKUP(B21,'銀行-TSS'!B:Q,16,FALSE),"")</f>
        <v>通訊</v>
      </c>
      <c r="V21" s="1755" t="str">
        <f ca="1">IFERROR(VLOOKUP(表格1[[#This Row],[商品
代碼]],'銀行-TSS'!B:AG,32,FALSE),"")</f>
        <v>固定</v>
      </c>
      <c r="W21" s="1756" t="str">
        <f ca="1">IFERROR(IFERROR(VLOOKUP(表格1[[#This Row],[商品
代碼]],'3_是否下架'!A:B,2,FALSE),VLOOKUP(表格1[[#This Row],[商品
代碼]],'銀行-TSS'!B:AK,36,FALSE)),"")</f>
        <v>有</v>
      </c>
      <c r="Y21" s="400"/>
      <c r="Z21" s="400"/>
      <c r="AA21" s="401"/>
    </row>
    <row r="22" spans="2:27" s="399" customFormat="1" ht="24.75" customHeight="1">
      <c r="B22" s="1745" t="s">
        <v>1267</v>
      </c>
      <c r="C22" s="1745" t="str">
        <f ca="1">IFERROR(VLOOKUP(表格1[[#This Row],[商品
代碼]],'銀行-TSS'!B:V,21,FALSE),"")</f>
        <v>(NPI)非專投</v>
      </c>
      <c r="D22" s="1746" t="str">
        <f>IFERROR(VLOOKUP(表格1[[#This Row],[商品
代碼]],bond!B:F,5,FALSE),"")</f>
        <v>US87612EBN58</v>
      </c>
      <c r="E22" s="1746" t="str">
        <f ca="1">IFERROR(VLOOKUP(B22,'銀行-TSS'!B:D,3,FALSE),"")</f>
        <v>目標百貨公司美元配息債券 2.95% 2052/1/15</v>
      </c>
      <c r="F22" s="1745" t="str">
        <f ca="1">IFERROR(VLOOKUP(B22,'銀行-TSS'!B:E,4,FALSE),"")</f>
        <v>A2 / A / A</v>
      </c>
      <c r="G22" s="1747">
        <f ca="1">IFERROR(VLOOKUP(B22,'銀行-TSS'!B:G,6,FALSE),"")</f>
        <v>27.54</v>
      </c>
      <c r="H22" s="1748">
        <f ca="1">IFERROR(VLOOKUP(B22,'銀行-TSS'!B:H,7,FALSE),"")</f>
        <v>2.9500000000000002E-2</v>
      </c>
      <c r="I22" s="1745" t="str">
        <f ca="1">IFERROR(IF(表格1[[#This Row],[配息頻率]]=0,"",CHOOSE(表格1[[#This Row],[配息頻率]],MONTH(J22),IF(MONTH(J22)&lt;=6,CONCATENATE(MONTH(J22)," / ",MONTH(J22)+6),CONCATENATE(MONTH(J22)-6," / ",MONTH(J22))),0,"2 / 4 / 8 / 11")),"")</f>
        <v>1 / 7</v>
      </c>
      <c r="J22" s="1749" t="str">
        <f ca="1">IFERROR(VLOOKUP(B22,'銀行-TSS'!B:P,15,FALSE),"")</f>
        <v>2024/7/15</v>
      </c>
      <c r="K22" s="1750">
        <f ca="1">IFERROR(VLOOKUP(表格1[[#This Row],[商品
代碼]],'銀行-TSS'!B:I,8,FALSE),"")</f>
        <v>2</v>
      </c>
      <c r="L22" s="1747">
        <f ca="1">IFERROR(VLOOKUP(B22,'銀行-TSS'!B:K,10,FALSE),"")</f>
        <v>70.12</v>
      </c>
      <c r="M22" s="1745" t="str">
        <f ca="1">IF(表格1[[#This Row],[含息申購
參考價]]&gt;100,"溢價",IF(表格1[[#This Row],[含息申購
參考價]]&lt;100,"折價","平價"))</f>
        <v>折價</v>
      </c>
      <c r="N22" s="1751">
        <f ca="1">IFERROR(VLOOKUP(B22,'銀行-TSS'!B:M,12,FALSE),"")</f>
        <v>5.0700000000000002E-2</v>
      </c>
      <c r="O22" s="1752">
        <f ca="1">IFERROR(VLOOKUP(表格1[[#This Row],[商品
代碼]],'銀行-TSS'!B:AJ,35,FALSE),"")</f>
        <v>0</v>
      </c>
      <c r="P22" s="1753">
        <f ca="1">IFERROR(VLOOKUP(表格1[[#This Row],[商品
代碼]],'銀行-TSS'!B:AE,30,FALSE),"")</f>
        <v>5.0900000000000001E-2</v>
      </c>
      <c r="Q22" s="1749" t="str">
        <f ca="1">IFERROR(IF(VLOOKUP(表格1[[#This Row],[商品
代碼]],'銀行-TSS'!B:AM,38,FALSE)="#N/A Field Not Applicable","",VLOOKUP(表格1[[#This Row],[商品
代碼]],'銀行-TSS'!B:AM,38,FALSE)),"")</f>
        <v>2051/7/15</v>
      </c>
      <c r="R22" s="1749" t="str">
        <f ca="1">IFERROR(VLOOKUP(表格1[[#This Row],[商品
代碼]],'銀行-TSS'!B:AH,33,FALSE),"")</f>
        <v>美元(USD)</v>
      </c>
      <c r="S22" s="1754">
        <f ca="1">IFERROR(VLOOKUP(B22,'銀行-TSS'!B:N,13,FALSE),"")</f>
        <v>10000</v>
      </c>
      <c r="T22" s="1754" t="str">
        <f ca="1">VLOOKUP(表格1[[#This Row],[商品
代碼]],'銀行-TSS'!B:AI,34,FALSE)</f>
        <v>自由選清單</v>
      </c>
      <c r="U22" s="1755" t="str">
        <f ca="1">IFERROR(VLOOKUP(B22,'銀行-TSS'!B:Q,16,FALSE),"")</f>
        <v>核心消費</v>
      </c>
      <c r="V22" s="1755" t="str">
        <f ca="1">IFERROR(VLOOKUP(表格1[[#This Row],[商品
代碼]],'銀行-TSS'!B:AG,32,FALSE),"")</f>
        <v>固定</v>
      </c>
      <c r="W22" s="1756" t="str">
        <f ca="1">IFERROR(IFERROR(VLOOKUP(表格1[[#This Row],[商品
代碼]],'3_是否下架'!A:B,2,FALSE),VLOOKUP(表格1[[#This Row],[商品
代碼]],'銀行-TSS'!B:AK,36,FALSE)),"")</f>
        <v>有</v>
      </c>
      <c r="Y22" s="400"/>
      <c r="Z22" s="400"/>
      <c r="AA22" s="401"/>
    </row>
    <row r="23" spans="2:27" s="399" customFormat="1" ht="24.75" customHeight="1">
      <c r="B23" s="1745" t="s">
        <v>1075</v>
      </c>
      <c r="C23" s="1745" t="str">
        <f ca="1">IFERROR(VLOOKUP(表格1[[#This Row],[商品
代碼]],'銀行-TSS'!B:V,21,FALSE),"")</f>
        <v>(PI)專投</v>
      </c>
      <c r="D23" s="1746" t="str">
        <f>IFERROR(VLOOKUP(表格1[[#This Row],[商品
代碼]],bond!B:F,5,FALSE),"")</f>
        <v>US404119CB31</v>
      </c>
      <c r="E23" s="1746" t="str">
        <f ca="1">IFERROR(VLOOKUP(B23,'銀行-TSS'!B:D,3,FALSE),"")</f>
        <v>美國醫院公司美元配息債券 3.5% 2051/7/15</v>
      </c>
      <c r="F23" s="1745" t="str">
        <f ca="1">IFERROR(VLOOKUP(B23,'銀行-TSS'!B:E,4,FALSE),"")</f>
        <v>Baa3 / BBB- / WD</v>
      </c>
      <c r="G23" s="1747">
        <f ca="1">IFERROR(VLOOKUP(B23,'銀行-TSS'!B:G,6,FALSE),"")</f>
        <v>27.03</v>
      </c>
      <c r="H23" s="1748">
        <f ca="1">IFERROR(VLOOKUP(B23,'銀行-TSS'!B:H,7,FALSE),"")</f>
        <v>3.5000000000000003E-2</v>
      </c>
      <c r="I23" s="1745" t="str">
        <f ca="1">IFERROR(IF(表格1[[#This Row],[配息頻率]]=0,"",CHOOSE(表格1[[#This Row],[配息頻率]],MONTH(J23),IF(MONTH(J23)&lt;=6,CONCATENATE(MONTH(J23)," / ",MONTH(J23)+6),CONCATENATE(MONTH(J23)-6," / ",MONTH(J23))),0,"2 / 4 / 8 / 11")),"")</f>
        <v>1 / 7</v>
      </c>
      <c r="J23" s="1749" t="str">
        <f ca="1">IFERROR(VLOOKUP(B23,'銀行-TSS'!B:P,15,FALSE),"")</f>
        <v>2024/7/15</v>
      </c>
      <c r="K23" s="1750">
        <f ca="1">IFERROR(VLOOKUP(表格1[[#This Row],[商品
代碼]],'銀行-TSS'!B:I,8,FALSE),"")</f>
        <v>2</v>
      </c>
      <c r="L23" s="1747">
        <f ca="1">IFERROR(VLOOKUP(B23,'銀行-TSS'!B:K,10,FALSE),"")</f>
        <v>72.69</v>
      </c>
      <c r="M23" s="1745" t="str">
        <f ca="1">IF(表格1[[#This Row],[含息申購
參考價]]&gt;100,"溢價",IF(表格1[[#This Row],[含息申購
參考價]]&lt;100,"折價","平價"))</f>
        <v>折價</v>
      </c>
      <c r="N23" s="1751">
        <f ca="1">IFERROR(VLOOKUP(B23,'銀行-TSS'!B:M,12,FALSE),"")</f>
        <v>5.5899999999999998E-2</v>
      </c>
      <c r="O23" s="1752">
        <f ca="1">IFERROR(VLOOKUP(表格1[[#This Row],[商品
代碼]],'銀行-TSS'!B:AJ,35,FALSE),"")</f>
        <v>0</v>
      </c>
      <c r="P23" s="1753">
        <f ca="1">IFERROR(VLOOKUP(表格1[[#This Row],[商品
代碼]],'銀行-TSS'!B:AE,30,FALSE),"")</f>
        <v>5.6099999999999997E-2</v>
      </c>
      <c r="Q23" s="1749" t="str">
        <f ca="1">IFERROR(IF(VLOOKUP(表格1[[#This Row],[商品
代碼]],'銀行-TSS'!B:AM,38,FALSE)="#N/A Field Not Applicable","",VLOOKUP(表格1[[#This Row],[商品
代碼]],'銀行-TSS'!B:AM,38,FALSE)),"")</f>
        <v>2051/1/15</v>
      </c>
      <c r="R23" s="1749" t="str">
        <f ca="1">IFERROR(VLOOKUP(表格1[[#This Row],[商品
代碼]],'銀行-TSS'!B:AH,33,FALSE),"")</f>
        <v>美元(USD)</v>
      </c>
      <c r="S23" s="1754">
        <f ca="1">IFERROR(VLOOKUP(B23,'銀行-TSS'!B:N,13,FALSE),"")</f>
        <v>10000</v>
      </c>
      <c r="T23" s="1754" t="str">
        <f ca="1">VLOOKUP(表格1[[#This Row],[商品
代碼]],'銀行-TSS'!B:AI,34,FALSE)</f>
        <v>自由選清單</v>
      </c>
      <c r="U23" s="1755" t="str">
        <f ca="1">IFERROR(VLOOKUP(B23,'銀行-TSS'!B:Q,16,FALSE),"")</f>
        <v>醫療保健</v>
      </c>
      <c r="V23" s="1755" t="str">
        <f ca="1">IFERROR(VLOOKUP(表格1[[#This Row],[商品
代碼]],'銀行-TSS'!B:AG,32,FALSE),"")</f>
        <v>固定</v>
      </c>
      <c r="W23" s="1756" t="str">
        <f ca="1">IFERROR(IFERROR(VLOOKUP(表格1[[#This Row],[商品
代碼]],'3_是否下架'!A:B,2,FALSE),VLOOKUP(表格1[[#This Row],[商品
代碼]],'銀行-TSS'!B:AK,36,FALSE)),"")</f>
        <v>有</v>
      </c>
      <c r="Y23" s="400"/>
      <c r="Z23" s="400"/>
      <c r="AA23" s="401"/>
    </row>
    <row r="24" spans="2:27" s="399" customFormat="1" ht="24.75" customHeight="1">
      <c r="B24" s="1745" t="s">
        <v>1078</v>
      </c>
      <c r="C24" s="1745" t="str">
        <f ca="1">IFERROR(VLOOKUP(表格1[[#This Row],[商品
代碼]],'銀行-TSS'!B:V,21,FALSE),"")</f>
        <v>(PI)專投</v>
      </c>
      <c r="D24" s="1746" t="str">
        <f>IFERROR(VLOOKUP(表格1[[#This Row],[商品
代碼]],bond!B:F,5,FALSE),"")</f>
        <v>US91529YAR71</v>
      </c>
      <c r="E24" s="1746" t="str">
        <f ca="1">IFERROR(VLOOKUP(B24,'銀行-TSS'!B:D,3,FALSE),"")</f>
        <v>Unum集團美元配息債券 4.125% 2051/6/15</v>
      </c>
      <c r="F24" s="1745" t="str">
        <f ca="1">IFERROR(VLOOKUP(B24,'銀行-TSS'!B:E,4,FALSE),"")</f>
        <v>Baa2 / BBB / BBB</v>
      </c>
      <c r="G24" s="1747">
        <f ca="1">IFERROR(VLOOKUP(B24,'銀行-TSS'!B:G,6,FALSE),"")</f>
        <v>26.95</v>
      </c>
      <c r="H24" s="1748">
        <f ca="1">IFERROR(VLOOKUP(B24,'銀行-TSS'!B:H,7,FALSE),"")</f>
        <v>4.1250000000000002E-2</v>
      </c>
      <c r="I24" s="1745" t="str">
        <f ca="1">IFERROR(IF(表格1[[#This Row],[配息頻率]]=0,"",CHOOSE(表格1[[#This Row],[配息頻率]],MONTH(J24),IF(MONTH(J24)&lt;=6,CONCATENATE(MONTH(J24)," / ",MONTH(J24)+6),CONCATENATE(MONTH(J24)-6," / ",MONTH(J24))),0,"2 / 4 / 8 / 11")),"")</f>
        <v>6 / 12</v>
      </c>
      <c r="J24" s="1749" t="str">
        <f ca="1">IFERROR(VLOOKUP(B24,'銀行-TSS'!B:P,15,FALSE),"")</f>
        <v>2024/12/15</v>
      </c>
      <c r="K24" s="1750">
        <f ca="1">IFERROR(VLOOKUP(表格1[[#This Row],[商品
代碼]],'銀行-TSS'!B:I,8,FALSE),"")</f>
        <v>2</v>
      </c>
      <c r="L24" s="1747">
        <f ca="1">IFERROR(VLOOKUP(B24,'銀行-TSS'!B:K,10,FALSE),"")</f>
        <v>77.930000000000007</v>
      </c>
      <c r="M24" s="1745" t="str">
        <f ca="1">IF(表格1[[#This Row],[含息申購
參考價]]&gt;100,"溢價",IF(表格1[[#This Row],[含息申購
參考價]]&lt;100,"折價","平價"))</f>
        <v>折價</v>
      </c>
      <c r="N24" s="1751">
        <f ca="1">IFERROR(VLOOKUP(B24,'銀行-TSS'!B:M,12,FALSE),"")</f>
        <v>5.7599999999999998E-2</v>
      </c>
      <c r="O24" s="1752">
        <f ca="1">IFERROR(VLOOKUP(表格1[[#This Row],[商品
代碼]],'銀行-TSS'!B:AJ,35,FALSE),"")</f>
        <v>0</v>
      </c>
      <c r="P24" s="1753">
        <f ca="1">IFERROR(VLOOKUP(表格1[[#This Row],[商品
代碼]],'銀行-TSS'!B:AE,30,FALSE),"")</f>
        <v>5.7799999999999997E-2</v>
      </c>
      <c r="Q24" s="1749" t="str">
        <f ca="1">IFERROR(IF(VLOOKUP(表格1[[#This Row],[商品
代碼]],'銀行-TSS'!B:AM,38,FALSE)="#N/A Field Not Applicable","",VLOOKUP(表格1[[#This Row],[商品
代碼]],'銀行-TSS'!B:AM,38,FALSE)),"")</f>
        <v>2050/12/15</v>
      </c>
      <c r="R24" s="1749" t="str">
        <f ca="1">IFERROR(VLOOKUP(表格1[[#This Row],[商品
代碼]],'銀行-TSS'!B:AH,33,FALSE),"")</f>
        <v>美元(USD)</v>
      </c>
      <c r="S24" s="1754">
        <f ca="1">IFERROR(VLOOKUP(B24,'銀行-TSS'!B:N,13,FALSE),"")</f>
        <v>10000</v>
      </c>
      <c r="T24" s="1754" t="str">
        <f ca="1">VLOOKUP(表格1[[#This Row],[商品
代碼]],'銀行-TSS'!B:AI,34,FALSE)</f>
        <v>自由選清單</v>
      </c>
      <c r="U24" s="1755" t="str">
        <f ca="1">IFERROR(VLOOKUP(B24,'銀行-TSS'!B:Q,16,FALSE),"")</f>
        <v>金融</v>
      </c>
      <c r="V24" s="1755" t="str">
        <f ca="1">IFERROR(VLOOKUP(表格1[[#This Row],[商品
代碼]],'銀行-TSS'!B:AG,32,FALSE),"")</f>
        <v>固定</v>
      </c>
      <c r="W24" s="1756" t="str">
        <f ca="1">IFERROR(IFERROR(VLOOKUP(表格1[[#This Row],[商品
代碼]],'3_是否下架'!A:B,2,FALSE),VLOOKUP(表格1[[#This Row],[商品
代碼]],'銀行-TSS'!B:AK,36,FALSE)),"")</f>
        <v>有</v>
      </c>
      <c r="Y24" s="400"/>
      <c r="Z24" s="400"/>
      <c r="AA24" s="401"/>
    </row>
    <row r="25" spans="2:27" s="399" customFormat="1" ht="24.75" customHeight="1">
      <c r="B25" s="1745" t="s">
        <v>1006</v>
      </c>
      <c r="C25" s="1745" t="str">
        <f ca="1">IFERROR(VLOOKUP(表格1[[#This Row],[商品
代碼]],'銀行-TSS'!B:V,21,FALSE),"")</f>
        <v>(PI)專投</v>
      </c>
      <c r="D25" s="1746" t="str">
        <f>IFERROR(VLOOKUP(表格1[[#This Row],[商品
代碼]],bond!B:F,5,FALSE),"")</f>
        <v>US00206RKA94</v>
      </c>
      <c r="E25" s="1746" t="str">
        <f ca="1">IFERROR(VLOOKUP(B25,'銀行-TSS'!B:D,3,FALSE),"")</f>
        <v>AT&amp;T公司美元配息債券 3.65% 2051/6/1</v>
      </c>
      <c r="F25" s="1745" t="str">
        <f ca="1">IFERROR(VLOOKUP(B25,'銀行-TSS'!B:E,4,FALSE),"")</f>
        <v>Baa2 / BBB / BBB+</v>
      </c>
      <c r="G25" s="1747">
        <f ca="1">IFERROR(VLOOKUP(B25,'銀行-TSS'!B:G,6,FALSE),"")</f>
        <v>26.91</v>
      </c>
      <c r="H25" s="1748">
        <f ca="1">IFERROR(VLOOKUP(B25,'銀行-TSS'!B:H,7,FALSE),"")</f>
        <v>3.6499999999999998E-2</v>
      </c>
      <c r="I25" s="1745" t="str">
        <f ca="1">IFERROR(IF(表格1[[#This Row],[配息頻率]]=0,"",CHOOSE(表格1[[#This Row],[配息頻率]],MONTH(J25),IF(MONTH(J25)&lt;=6,CONCATENATE(MONTH(J25)," / ",MONTH(J25)+6),CONCATENATE(MONTH(J25)-6," / ",MONTH(J25))),0,"2 / 4 / 8 / 11")),"")</f>
        <v>6 / 12</v>
      </c>
      <c r="J25" s="1749" t="str">
        <f ca="1">IFERROR(VLOOKUP(B25,'銀行-TSS'!B:P,15,FALSE),"")</f>
        <v>2024/12/1</v>
      </c>
      <c r="K25" s="1750">
        <f ca="1">IFERROR(VLOOKUP(表格1[[#This Row],[商品
代碼]],'銀行-TSS'!B:I,8,FALSE),"")</f>
        <v>2</v>
      </c>
      <c r="L25" s="1747">
        <f ca="1">IFERROR(VLOOKUP(B25,'銀行-TSS'!B:K,10,FALSE),"")</f>
        <v>75.06</v>
      </c>
      <c r="M25" s="1745" t="str">
        <f ca="1">IF(表格1[[#This Row],[含息申購
參考價]]&gt;100,"溢價",IF(表格1[[#This Row],[含息申購
參考價]]&lt;100,"折價","平價"))</f>
        <v>折價</v>
      </c>
      <c r="N25" s="1751">
        <f ca="1">IFERROR(VLOOKUP(B25,'銀行-TSS'!B:M,12,FALSE),"")</f>
        <v>5.45E-2</v>
      </c>
      <c r="O25" s="1752">
        <f ca="1">IFERROR(VLOOKUP(表格1[[#This Row],[商品
代碼]],'銀行-TSS'!B:AJ,35,FALSE),"")</f>
        <v>0</v>
      </c>
      <c r="P25" s="1753">
        <f ca="1">IFERROR(VLOOKUP(表格1[[#This Row],[商品
代碼]],'銀行-TSS'!B:AE,30,FALSE),"")</f>
        <v>5.4699999999999999E-2</v>
      </c>
      <c r="Q25" s="1749" t="str">
        <f ca="1">IFERROR(IF(VLOOKUP(表格1[[#This Row],[商品
代碼]],'銀行-TSS'!B:AM,38,FALSE)="#N/A Field Not Applicable","",VLOOKUP(表格1[[#This Row],[商品
代碼]],'銀行-TSS'!B:AM,38,FALSE)),"")</f>
        <v>2050/12/1</v>
      </c>
      <c r="R25" s="1749" t="str">
        <f ca="1">IFERROR(VLOOKUP(表格1[[#This Row],[商品
代碼]],'銀行-TSS'!B:AH,33,FALSE),"")</f>
        <v>美元(USD)</v>
      </c>
      <c r="S25" s="1754">
        <f ca="1">IFERROR(VLOOKUP(B25,'銀行-TSS'!B:N,13,FALSE),"")</f>
        <v>10000</v>
      </c>
      <c r="T25" s="1754" t="str">
        <f ca="1">VLOOKUP(表格1[[#This Row],[商品
代碼]],'銀行-TSS'!B:AI,34,FALSE)</f>
        <v>自由選清單</v>
      </c>
      <c r="U25" s="1755" t="str">
        <f ca="1">IFERROR(VLOOKUP(B25,'銀行-TSS'!B:Q,16,FALSE),"")</f>
        <v>通訊</v>
      </c>
      <c r="V25" s="1755" t="str">
        <f ca="1">IFERROR(VLOOKUP(表格1[[#This Row],[商品
代碼]],'銀行-TSS'!B:AG,32,FALSE),"")</f>
        <v>固定</v>
      </c>
      <c r="W25" s="1756" t="str">
        <f ca="1">IFERROR(IFERROR(VLOOKUP(表格1[[#This Row],[商品
代碼]],'3_是否下架'!A:B,2,FALSE),VLOOKUP(表格1[[#This Row],[商品
代碼]],'銀行-TSS'!B:AK,36,FALSE)),"")</f>
        <v>有</v>
      </c>
      <c r="Y25" s="400"/>
      <c r="Z25" s="400"/>
      <c r="AA25" s="401"/>
    </row>
    <row r="26" spans="2:27" s="399" customFormat="1" ht="24.75" customHeight="1">
      <c r="B26" s="1745" t="s">
        <v>1061</v>
      </c>
      <c r="C26" s="1745" t="str">
        <f ca="1">IFERROR(VLOOKUP(表格1[[#This Row],[商品
代碼]],'銀行-TSS'!B:V,21,FALSE),"")</f>
        <v>(NPI)非專投</v>
      </c>
      <c r="D26" s="1746" t="str">
        <f>IFERROR(VLOOKUP(表格1[[#This Row],[商品
代碼]],bond!B:F,5,FALSE),"")</f>
        <v>US125523CQ19</v>
      </c>
      <c r="E26" s="1746" t="str">
        <f ca="1">IFERROR(VLOOKUP(B26,'銀行-TSS'!B:D,3,FALSE),"")</f>
        <v>信諾公司美元配息債券 3.4% 2051/3/15</v>
      </c>
      <c r="F26" s="1745" t="str">
        <f ca="1">IFERROR(VLOOKUP(B26,'銀行-TSS'!B:E,4,FALSE),"")</f>
        <v>Baa1 / A- / BBB+</v>
      </c>
      <c r="G26" s="1747">
        <f ca="1">IFERROR(VLOOKUP(B26,'銀行-TSS'!B:G,6,FALSE),"")</f>
        <v>26.7</v>
      </c>
      <c r="H26" s="1748">
        <f ca="1">IFERROR(VLOOKUP(B26,'銀行-TSS'!B:H,7,FALSE),"")</f>
        <v>3.4000000000000002E-2</v>
      </c>
      <c r="I26" s="1745" t="str">
        <f ca="1">IFERROR(IF(表格1[[#This Row],[配息頻率]]=0,"",CHOOSE(表格1[[#This Row],[配息頻率]],MONTH(J26),IF(MONTH(J26)&lt;=6,CONCATENATE(MONTH(J26)," / ",MONTH(J26)+6),CONCATENATE(MONTH(J26)-6," / ",MONTH(J26))),0,"2 / 4 / 8 / 11")),"")</f>
        <v>3 / 9</v>
      </c>
      <c r="J26" s="1749" t="str">
        <f ca="1">IFERROR(VLOOKUP(B26,'銀行-TSS'!B:P,15,FALSE),"")</f>
        <v>2024/9/15</v>
      </c>
      <c r="K26" s="1750">
        <f ca="1">IFERROR(VLOOKUP(表格1[[#This Row],[商品
代碼]],'銀行-TSS'!B:I,8,FALSE),"")</f>
        <v>2</v>
      </c>
      <c r="L26" s="1747">
        <f ca="1">IFERROR(VLOOKUP(B26,'銀行-TSS'!B:K,10,FALSE),"")</f>
        <v>73.260000000000005</v>
      </c>
      <c r="M26" s="1745" t="str">
        <f ca="1">IF(表格1[[#This Row],[含息申購
參考價]]&gt;100,"溢價",IF(表格1[[#This Row],[含息申購
參考價]]&lt;100,"折價","平價"))</f>
        <v>折價</v>
      </c>
      <c r="N26" s="1751">
        <f ca="1">IFERROR(VLOOKUP(B26,'銀行-TSS'!B:M,12,FALSE),"")</f>
        <v>5.3699999999999998E-2</v>
      </c>
      <c r="O26" s="1752">
        <f ca="1">IFERROR(VLOOKUP(表格1[[#This Row],[商品
代碼]],'銀行-TSS'!B:AJ,35,FALSE),"")</f>
        <v>0</v>
      </c>
      <c r="P26" s="1753">
        <f ca="1">IFERROR(VLOOKUP(表格1[[#This Row],[商品
代碼]],'銀行-TSS'!B:AE,30,FALSE),"")</f>
        <v>5.3900000000000003E-2</v>
      </c>
      <c r="Q26" s="1749" t="str">
        <f ca="1">IFERROR(IF(VLOOKUP(表格1[[#This Row],[商品
代碼]],'銀行-TSS'!B:AM,38,FALSE)="#N/A Field Not Applicable","",VLOOKUP(表格1[[#This Row],[商品
代碼]],'銀行-TSS'!B:AM,38,FALSE)),"")</f>
        <v>2050/9/15</v>
      </c>
      <c r="R26" s="1749" t="str">
        <f ca="1">IFERROR(VLOOKUP(表格1[[#This Row],[商品
代碼]],'銀行-TSS'!B:AH,33,FALSE),"")</f>
        <v>美元(USD)</v>
      </c>
      <c r="S26" s="1754">
        <f ca="1">IFERROR(VLOOKUP(B26,'銀行-TSS'!B:N,13,FALSE),"")</f>
        <v>10000</v>
      </c>
      <c r="T26" s="1754" t="str">
        <f ca="1">VLOOKUP(表格1[[#This Row],[商品
代碼]],'銀行-TSS'!B:AI,34,FALSE)</f>
        <v>自由選清單</v>
      </c>
      <c r="U26" s="1755" t="str">
        <f ca="1">IFERROR(VLOOKUP(B26,'銀行-TSS'!B:Q,16,FALSE),"")</f>
        <v>醫療保健</v>
      </c>
      <c r="V26" s="1755" t="str">
        <f ca="1">IFERROR(VLOOKUP(表格1[[#This Row],[商品
代碼]],'銀行-TSS'!B:AG,32,FALSE),"")</f>
        <v>固定</v>
      </c>
      <c r="W26" s="1756" t="str">
        <f ca="1">IFERROR(IFERROR(VLOOKUP(表格1[[#This Row],[商品
代碼]],'3_是否下架'!A:B,2,FALSE),VLOOKUP(表格1[[#This Row],[商品
代碼]],'銀行-TSS'!B:AK,36,FALSE)),"")</f>
        <v>有</v>
      </c>
      <c r="Y26" s="400"/>
      <c r="Z26" s="400"/>
      <c r="AA26" s="401"/>
    </row>
    <row r="27" spans="2:27" s="399" customFormat="1" ht="24.75" customHeight="1">
      <c r="B27" s="1745" t="s">
        <v>1064</v>
      </c>
      <c r="C27" s="1745" t="str">
        <f ca="1">IFERROR(VLOOKUP(表格1[[#This Row],[商品
代碼]],'銀行-TSS'!B:V,21,FALSE),"")</f>
        <v>(NPI)非專投</v>
      </c>
      <c r="D27" s="1746" t="str">
        <f>IFERROR(VLOOKUP(表格1[[#This Row],[商品
代碼]],bond!B:F,5,FALSE),"")</f>
        <v>US285512AF68</v>
      </c>
      <c r="E27" s="1746" t="str">
        <f ca="1">IFERROR(VLOOKUP(B27,'銀行-TSS'!B:D,3,FALSE),"")</f>
        <v>美商藝電公司美元配息債券 2.95% 2051/2/15</v>
      </c>
      <c r="F27" s="1745" t="str">
        <f ca="1">IFERROR(VLOOKUP(B27,'銀行-TSS'!B:E,4,FALSE),"")</f>
        <v>Baa1 / BBB+ / A-</v>
      </c>
      <c r="G27" s="1747">
        <f ca="1">IFERROR(VLOOKUP(B27,'銀行-TSS'!B:G,6,FALSE),"")</f>
        <v>26.62</v>
      </c>
      <c r="H27" s="1748">
        <f ca="1">IFERROR(VLOOKUP(B27,'銀行-TSS'!B:H,7,FALSE),"")</f>
        <v>2.9500000000000002E-2</v>
      </c>
      <c r="I27" s="1745" t="str">
        <f ca="1">IFERROR(IF(表格1[[#This Row],[配息頻率]]=0,"",CHOOSE(表格1[[#This Row],[配息頻率]],MONTH(J27),IF(MONTH(J27)&lt;=6,CONCATENATE(MONTH(J27)," / ",MONTH(J27)+6),CONCATENATE(MONTH(J27)-6," / ",MONTH(J27))),0,"2 / 4 / 8 / 11")),"")</f>
        <v>2 / 8</v>
      </c>
      <c r="J27" s="1749" t="str">
        <f ca="1">IFERROR(VLOOKUP(B27,'銀行-TSS'!B:P,15,FALSE),"")</f>
        <v>2024/8/15</v>
      </c>
      <c r="K27" s="1750">
        <f ca="1">IFERROR(VLOOKUP(表格1[[#This Row],[商品
代碼]],'銀行-TSS'!B:I,8,FALSE),"")</f>
        <v>2</v>
      </c>
      <c r="L27" s="1747">
        <f ca="1">IFERROR(VLOOKUP(B27,'銀行-TSS'!B:K,10,FALSE),"")</f>
        <v>70</v>
      </c>
      <c r="M27" s="1745" t="str">
        <f ca="1">IF(表格1[[#This Row],[含息申購
參考價]]&gt;100,"溢價",IF(表格1[[#This Row],[含息申購
參考價]]&lt;100,"折價","平價"))</f>
        <v>折價</v>
      </c>
      <c r="N27" s="1751">
        <f ca="1">IFERROR(VLOOKUP(B27,'銀行-TSS'!B:M,12,FALSE),"")</f>
        <v>5.0999999999999997E-2</v>
      </c>
      <c r="O27" s="1752">
        <f ca="1">IFERROR(VLOOKUP(表格1[[#This Row],[商品
代碼]],'銀行-TSS'!B:AJ,35,FALSE),"")</f>
        <v>0</v>
      </c>
      <c r="P27" s="1753">
        <f ca="1">IFERROR(VLOOKUP(表格1[[#This Row],[商品
代碼]],'銀行-TSS'!B:AE,30,FALSE),"")</f>
        <v>5.1200000000000002E-2</v>
      </c>
      <c r="Q27" s="1749" t="str">
        <f ca="1">IFERROR(IF(VLOOKUP(表格1[[#This Row],[商品
代碼]],'銀行-TSS'!B:AM,38,FALSE)="#N/A Field Not Applicable","",VLOOKUP(表格1[[#This Row],[商品
代碼]],'銀行-TSS'!B:AM,38,FALSE)),"")</f>
        <v>2050/8/15</v>
      </c>
      <c r="R27" s="1749" t="str">
        <f ca="1">IFERROR(VLOOKUP(表格1[[#This Row],[商品
代碼]],'銀行-TSS'!B:AH,33,FALSE),"")</f>
        <v>美元(USD)</v>
      </c>
      <c r="S27" s="1754">
        <f ca="1">IFERROR(VLOOKUP(B27,'銀行-TSS'!B:N,13,FALSE),"")</f>
        <v>10000</v>
      </c>
      <c r="T27" s="1754" t="str">
        <f ca="1">VLOOKUP(表格1[[#This Row],[商品
代碼]],'銀行-TSS'!B:AI,34,FALSE)</f>
        <v>自由選清單</v>
      </c>
      <c r="U27" s="1755" t="str">
        <f ca="1">IFERROR(VLOOKUP(B27,'銀行-TSS'!B:Q,16,FALSE),"")</f>
        <v>科技</v>
      </c>
      <c r="V27" s="1755" t="str">
        <f ca="1">IFERROR(VLOOKUP(表格1[[#This Row],[商品
代碼]],'銀行-TSS'!B:AG,32,FALSE),"")</f>
        <v>固定</v>
      </c>
      <c r="W27" s="1756" t="str">
        <f ca="1">IFERROR(IFERROR(VLOOKUP(表格1[[#This Row],[商品
代碼]],'3_是否下架'!A:B,2,FALSE),VLOOKUP(表格1[[#This Row],[商品
代碼]],'銀行-TSS'!B:AK,36,FALSE)),"")</f>
        <v>有</v>
      </c>
      <c r="Y27" s="400"/>
      <c r="Z27" s="400"/>
      <c r="AA27" s="401"/>
    </row>
    <row r="28" spans="2:27" s="399" customFormat="1" ht="24.75" customHeight="1">
      <c r="B28" s="1745" t="s">
        <v>945</v>
      </c>
      <c r="C28" s="1745" t="str">
        <f ca="1">IFERROR(VLOOKUP(表格1[[#This Row],[商品
代碼]],'銀行-TSS'!B:V,21,FALSE),"")</f>
        <v>(NPI)非專投</v>
      </c>
      <c r="D28" s="1746" t="str">
        <f>IFERROR(VLOOKUP(表格1[[#This Row],[商品
代碼]],bond!B:F,5,FALSE),"")</f>
        <v>US20030NDL29</v>
      </c>
      <c r="E28" s="1746" t="str">
        <f ca="1">IFERROR(VLOOKUP(B28,'銀行-TSS'!B:D,3,FALSE),"")</f>
        <v>康卡斯特公司美元配息債券 2.8% 2051/1/15</v>
      </c>
      <c r="F28" s="1745" t="str">
        <f ca="1">IFERROR(VLOOKUP(B28,'銀行-TSS'!B:E,4,FALSE),"")</f>
        <v>A3 / A- / A-</v>
      </c>
      <c r="G28" s="1747">
        <f ca="1">IFERROR(VLOOKUP(B28,'銀行-TSS'!B:G,6,FALSE),"")</f>
        <v>26.54</v>
      </c>
      <c r="H28" s="1748">
        <f ca="1">IFERROR(VLOOKUP(B28,'銀行-TSS'!B:H,7,FALSE),"")</f>
        <v>2.7999999999999997E-2</v>
      </c>
      <c r="I28" s="1745" t="str">
        <f ca="1">IFERROR(IF(表格1[[#This Row],[配息頻率]]=0,"",CHOOSE(表格1[[#This Row],[配息頻率]],MONTH(J28),IF(MONTH(J28)&lt;=6,CONCATENATE(MONTH(J28)," / ",MONTH(J28)+6),CONCATENATE(MONTH(J28)-6," / ",MONTH(J28))),0,"2 / 4 / 8 / 11")),"")</f>
        <v>1 / 7</v>
      </c>
      <c r="J28" s="1749" t="str">
        <f ca="1">IFERROR(VLOOKUP(B28,'銀行-TSS'!B:P,15,FALSE),"")</f>
        <v>2024/7/15</v>
      </c>
      <c r="K28" s="1750">
        <f ca="1">IFERROR(VLOOKUP(表格1[[#This Row],[商品
代碼]],'銀行-TSS'!B:I,8,FALSE),"")</f>
        <v>2</v>
      </c>
      <c r="L28" s="1747">
        <f ca="1">IFERROR(VLOOKUP(B28,'銀行-TSS'!B:K,10,FALSE),"")</f>
        <v>64.64</v>
      </c>
      <c r="M28" s="1745" t="str">
        <f ca="1">IF(表格1[[#This Row],[含息申購
參考價]]&gt;100,"溢價",IF(表格1[[#This Row],[含息申購
參考價]]&lt;100,"折價","平價"))</f>
        <v>折價</v>
      </c>
      <c r="N28" s="1751">
        <f ca="1">IFERROR(VLOOKUP(B28,'銀行-TSS'!B:M,12,FALSE),"")</f>
        <v>5.4199999999999998E-2</v>
      </c>
      <c r="O28" s="1752">
        <f ca="1">IFERROR(VLOOKUP(表格1[[#This Row],[商品
代碼]],'銀行-TSS'!B:AJ,35,FALSE),"")</f>
        <v>0</v>
      </c>
      <c r="P28" s="1753">
        <f ca="1">IFERROR(VLOOKUP(表格1[[#This Row],[商品
代碼]],'銀行-TSS'!B:AE,30,FALSE),"")</f>
        <v>5.45E-2</v>
      </c>
      <c r="Q28" s="1749" t="str">
        <f ca="1">IFERROR(IF(VLOOKUP(表格1[[#This Row],[商品
代碼]],'銀行-TSS'!B:AM,38,FALSE)="#N/A Field Not Applicable","",VLOOKUP(表格1[[#This Row],[商品
代碼]],'銀行-TSS'!B:AM,38,FALSE)),"")</f>
        <v>2050/7/15</v>
      </c>
      <c r="R28" s="1749" t="str">
        <f ca="1">IFERROR(VLOOKUP(表格1[[#This Row],[商品
代碼]],'銀行-TSS'!B:AH,33,FALSE),"")</f>
        <v>美元(USD)</v>
      </c>
      <c r="S28" s="1754">
        <f ca="1">IFERROR(VLOOKUP(B28,'銀行-TSS'!B:N,13,FALSE),"")</f>
        <v>2000</v>
      </c>
      <c r="T28" s="1754" t="str">
        <f ca="1">VLOOKUP(表格1[[#This Row],[商品
代碼]],'銀行-TSS'!B:AI,34,FALSE)</f>
        <v>自由選清單</v>
      </c>
      <c r="U28" s="1755" t="str">
        <f ca="1">IFERROR(VLOOKUP(B28,'銀行-TSS'!B:Q,16,FALSE),"")</f>
        <v>通訊</v>
      </c>
      <c r="V28" s="1755" t="str">
        <f ca="1">IFERROR(VLOOKUP(表格1[[#This Row],[商品
代碼]],'銀行-TSS'!B:AG,32,FALSE),"")</f>
        <v>固定</v>
      </c>
      <c r="W28" s="1756" t="str">
        <f ca="1">IFERROR(IFERROR(VLOOKUP(表格1[[#This Row],[商品
代碼]],'3_是否下架'!A:B,2,FALSE),VLOOKUP(表格1[[#This Row],[商品
代碼]],'銀行-TSS'!B:AK,36,FALSE)),"")</f>
        <v>有</v>
      </c>
      <c r="Y28" s="400"/>
      <c r="Z28" s="400"/>
      <c r="AA28" s="401"/>
    </row>
    <row r="29" spans="2:27" s="399" customFormat="1" ht="24.75" customHeight="1">
      <c r="B29" s="1745" t="s">
        <v>965</v>
      </c>
      <c r="C29" s="1745" t="str">
        <f ca="1">IFERROR(VLOOKUP(表格1[[#This Row],[商品
代碼]],'銀行-TSS'!B:V,21,FALSE),"")</f>
        <v>(NPI)非專投</v>
      </c>
      <c r="D29" s="1746" t="str">
        <f>IFERROR(VLOOKUP(表格1[[#This Row],[商品
代碼]],bond!B:F,5,FALSE),"")</f>
        <v>US254687FZ49</v>
      </c>
      <c r="E29" s="1746" t="str">
        <f ca="1">IFERROR(VLOOKUP(B29,'銀行-TSS'!B:D,3,FALSE),"")</f>
        <v>華特迪士尼公司美元配息債券 3.6% 2051/1/13</v>
      </c>
      <c r="F29" s="1745" t="str">
        <f ca="1">IFERROR(VLOOKUP(B29,'銀行-TSS'!B:E,4,FALSE),"")</f>
        <v>A2 / A- / A-</v>
      </c>
      <c r="G29" s="1747">
        <f ca="1">IFERROR(VLOOKUP(B29,'銀行-TSS'!B:G,6,FALSE),"")</f>
        <v>26.53</v>
      </c>
      <c r="H29" s="1748">
        <f ca="1">IFERROR(VLOOKUP(B29,'銀行-TSS'!B:H,7,FALSE),"")</f>
        <v>3.6000000000000004E-2</v>
      </c>
      <c r="I29" s="1745" t="str">
        <f ca="1">IFERROR(IF(表格1[[#This Row],[配息頻率]]=0,"",CHOOSE(表格1[[#This Row],[配息頻率]],MONTH(J29),IF(MONTH(J29)&lt;=6,CONCATENATE(MONTH(J29)," / ",MONTH(J29)+6),CONCATENATE(MONTH(J29)-6," / ",MONTH(J29))),0,"2 / 4 / 8 / 11")),"")</f>
        <v>1 / 7</v>
      </c>
      <c r="J29" s="1749" t="str">
        <f ca="1">IFERROR(VLOOKUP(B29,'銀行-TSS'!B:P,15,FALSE),"")</f>
        <v>2024/7/13</v>
      </c>
      <c r="K29" s="1750">
        <f ca="1">IFERROR(VLOOKUP(表格1[[#This Row],[商品
代碼]],'銀行-TSS'!B:I,8,FALSE),"")</f>
        <v>2</v>
      </c>
      <c r="L29" s="1747">
        <f ca="1">IFERROR(VLOOKUP(B29,'銀行-TSS'!B:K,10,FALSE),"")</f>
        <v>80.400000000000006</v>
      </c>
      <c r="M29" s="1745" t="str">
        <f ca="1">IF(表格1[[#This Row],[含息申購
參考價]]&gt;100,"溢價",IF(表格1[[#This Row],[含息申購
參考價]]&lt;100,"折價","平價"))</f>
        <v>折價</v>
      </c>
      <c r="N29" s="1751">
        <f ca="1">IFERROR(VLOOKUP(B29,'銀行-TSS'!B:M,12,FALSE),"")</f>
        <v>5.0700000000000002E-2</v>
      </c>
      <c r="O29" s="1752">
        <f ca="1">IFERROR(VLOOKUP(表格1[[#This Row],[商品
代碼]],'銀行-TSS'!B:AJ,35,FALSE),"")</f>
        <v>0</v>
      </c>
      <c r="P29" s="1753">
        <f ca="1">IFERROR(VLOOKUP(表格1[[#This Row],[商品
代碼]],'銀行-TSS'!B:AE,30,FALSE),"")</f>
        <v>5.0799999999999998E-2</v>
      </c>
      <c r="Q29" s="1749" t="str">
        <f ca="1">IFERROR(IF(VLOOKUP(表格1[[#This Row],[商品
代碼]],'銀行-TSS'!B:AM,38,FALSE)="#N/A Field Not Applicable","",VLOOKUP(表格1[[#This Row],[商品
代碼]],'銀行-TSS'!B:AM,38,FALSE)),"")</f>
        <v>2050/7/13</v>
      </c>
      <c r="R29" s="1749" t="str">
        <f ca="1">IFERROR(VLOOKUP(表格1[[#This Row],[商品
代碼]],'銀行-TSS'!B:AH,33,FALSE),"")</f>
        <v>美元(USD)</v>
      </c>
      <c r="S29" s="1754">
        <f ca="1">IFERROR(VLOOKUP(B29,'銀行-TSS'!B:N,13,FALSE),"")</f>
        <v>10000</v>
      </c>
      <c r="T29" s="1754" t="str">
        <f ca="1">VLOOKUP(表格1[[#This Row],[商品
代碼]],'銀行-TSS'!B:AI,34,FALSE)</f>
        <v>自由選清單</v>
      </c>
      <c r="U29" s="1755" t="str">
        <f ca="1">IFERROR(VLOOKUP(B29,'銀行-TSS'!B:Q,16,FALSE),"")</f>
        <v>通訊</v>
      </c>
      <c r="V29" s="1755" t="str">
        <f ca="1">IFERROR(VLOOKUP(表格1[[#This Row],[商品
代碼]],'銀行-TSS'!B:AG,32,FALSE),"")</f>
        <v>固定</v>
      </c>
      <c r="W29" s="1756" t="str">
        <f ca="1">IFERROR(IFERROR(VLOOKUP(表格1[[#This Row],[商品
代碼]],'3_是否下架'!A:B,2,FALSE),VLOOKUP(表格1[[#This Row],[商品
代碼]],'銀行-TSS'!B:AK,36,FALSE)),"")</f>
        <v>需查詢</v>
      </c>
      <c r="Y29" s="400"/>
      <c r="Z29" s="400"/>
      <c r="AA29" s="401"/>
    </row>
    <row r="30" spans="2:27" s="399" customFormat="1" ht="24.75" customHeight="1">
      <c r="B30" s="1745" t="s">
        <v>1022</v>
      </c>
      <c r="C30" s="1745" t="str">
        <f ca="1">IFERROR(VLOOKUP(表格1[[#This Row],[商品
代碼]],'銀行-TSS'!B:V,21,FALSE),"")</f>
        <v>(NPI)非專投</v>
      </c>
      <c r="D30" s="1746" t="str">
        <f>IFERROR(VLOOKUP(表格1[[#This Row],[商品
代碼]],bond!B:F,5,FALSE),"")</f>
        <v>XS2262853349</v>
      </c>
      <c r="E30" s="1746" t="str">
        <f ca="1">IFERROR(VLOOKUP(B30,'銀行-TSS'!B:D,3,FALSE),"")</f>
        <v>沙烏地阿拉伯國家石油公司美元配息債券 3.25% 2050/11/24</v>
      </c>
      <c r="F30" s="1745" t="str">
        <f ca="1">IFERROR(VLOOKUP(B30,'銀行-TSS'!B:E,4,FALSE),"")</f>
        <v>A1 / - / A+</v>
      </c>
      <c r="G30" s="1747">
        <f ca="1">IFERROR(VLOOKUP(B30,'銀行-TSS'!B:G,6,FALSE),"")</f>
        <v>26.39</v>
      </c>
      <c r="H30" s="1748">
        <f ca="1">IFERROR(VLOOKUP(B30,'銀行-TSS'!B:H,7,FALSE),"")</f>
        <v>3.2500000000000001E-2</v>
      </c>
      <c r="I30" s="1745" t="str">
        <f ca="1">IFERROR(IF(表格1[[#This Row],[配息頻率]]=0,"",CHOOSE(表格1[[#This Row],[配息頻率]],MONTH(J30),IF(MONTH(J30)&lt;=6,CONCATENATE(MONTH(J30)," / ",MONTH(J30)+6),CONCATENATE(MONTH(J30)-6," / ",MONTH(J30))),0,"2 / 4 / 8 / 11")),"")</f>
        <v>5 / 11</v>
      </c>
      <c r="J30" s="1749" t="str">
        <f ca="1">IFERROR(VLOOKUP(B30,'銀行-TSS'!B:P,15,FALSE),"")</f>
        <v>2024/11/24</v>
      </c>
      <c r="K30" s="1750">
        <f ca="1">IFERROR(VLOOKUP(表格1[[#This Row],[商品
代碼]],'銀行-TSS'!B:I,8,FALSE),"")</f>
        <v>2</v>
      </c>
      <c r="L30" s="1747">
        <f ca="1">IFERROR(VLOOKUP(B30,'銀行-TSS'!B:K,10,FALSE),"")</f>
        <v>71.55</v>
      </c>
      <c r="M30" s="1745" t="str">
        <f ca="1">IF(表格1[[#This Row],[含息申購
參考價]]&gt;100,"溢價",IF(表格1[[#This Row],[含息申購
參考價]]&lt;100,"折價","平價"))</f>
        <v>折價</v>
      </c>
      <c r="N30" s="1751">
        <f ca="1">IFERROR(VLOOKUP(B30,'銀行-TSS'!B:M,12,FALSE),"")</f>
        <v>5.2900000000000003E-2</v>
      </c>
      <c r="O30" s="1752">
        <f ca="1">IFERROR(VLOOKUP(表格1[[#This Row],[商品
代碼]],'銀行-TSS'!B:AJ,35,FALSE),"")</f>
        <v>0</v>
      </c>
      <c r="P30" s="1753">
        <f ca="1">IFERROR(VLOOKUP(表格1[[#This Row],[商品
代碼]],'銀行-TSS'!B:AE,30,FALSE),"")</f>
        <v>5.3100000000000001E-2</v>
      </c>
      <c r="Q30" s="1749" t="str">
        <f ca="1">IFERROR(IF(VLOOKUP(表格1[[#This Row],[商品
代碼]],'銀行-TSS'!B:AM,38,FALSE)="#N/A Field Not Applicable","",VLOOKUP(表格1[[#This Row],[商品
代碼]],'銀行-TSS'!B:AM,38,FALSE)),"")</f>
        <v>2050/5/24</v>
      </c>
      <c r="R30" s="1749" t="str">
        <f ca="1">IFERROR(VLOOKUP(表格1[[#This Row],[商品
代碼]],'銀行-TSS'!B:AH,33,FALSE),"")</f>
        <v>美元(USD)</v>
      </c>
      <c r="S30" s="1754">
        <f ca="1">IFERROR(VLOOKUP(B30,'銀行-TSS'!B:N,13,FALSE),"")</f>
        <v>200000</v>
      </c>
      <c r="T30" s="1754" t="str">
        <f ca="1">VLOOKUP(表格1[[#This Row],[商品
代碼]],'銀行-TSS'!B:AI,34,FALSE)</f>
        <v>自由選清單</v>
      </c>
      <c r="U30" s="1755" t="str">
        <f ca="1">IFERROR(VLOOKUP(B30,'銀行-TSS'!B:Q,16,FALSE),"")</f>
        <v>能源</v>
      </c>
      <c r="V30" s="1755" t="str">
        <f ca="1">IFERROR(VLOOKUP(表格1[[#This Row],[商品
代碼]],'銀行-TSS'!B:AG,32,FALSE),"")</f>
        <v>固定</v>
      </c>
      <c r="W30" s="1756" t="str">
        <f ca="1">IFERROR(IFERROR(VLOOKUP(表格1[[#This Row],[商品
代碼]],'3_是否下架'!A:B,2,FALSE),VLOOKUP(表格1[[#This Row],[商品
代碼]],'銀行-TSS'!B:AK,36,FALSE)),"")</f>
        <v>有</v>
      </c>
      <c r="Y30" s="400"/>
      <c r="Z30" s="400"/>
      <c r="AA30" s="401"/>
    </row>
    <row r="31" spans="2:27" s="399" customFormat="1" ht="24.75" customHeight="1">
      <c r="B31" s="1745" t="s">
        <v>1036</v>
      </c>
      <c r="C31" s="1745" t="str">
        <f ca="1">IFERROR(VLOOKUP(表格1[[#This Row],[商品
代碼]],'銀行-TSS'!B:V,21,FALSE),"")</f>
        <v>(NPI)非專投</v>
      </c>
      <c r="D31" s="1746" t="str">
        <f>IFERROR(VLOOKUP(表格1[[#This Row],[商品
代碼]],bond!B:F,5,FALSE),"")</f>
        <v>US912810SS87</v>
      </c>
      <c r="E31" s="1746" t="str">
        <f ca="1">IFERROR(VLOOKUP(B31,'銀行-TSS'!B:D,3,FALSE),"")</f>
        <v>美國政府公債 1.625% 2050/11/15</v>
      </c>
      <c r="F31" s="1745" t="str">
        <f ca="1">IFERROR(VLOOKUP(B31,'銀行-TSS'!B:E,4,FALSE),"")</f>
        <v>Aaa / - / AA+u</v>
      </c>
      <c r="G31" s="1747">
        <f ca="1">IFERROR(VLOOKUP(B31,'銀行-TSS'!B:G,6,FALSE),"")</f>
        <v>26.37</v>
      </c>
      <c r="H31" s="1748">
        <f ca="1">IFERROR(VLOOKUP(B31,'銀行-TSS'!B:H,7,FALSE),"")</f>
        <v>1.6250000000000001E-2</v>
      </c>
      <c r="I31" s="1745" t="str">
        <f ca="1">IFERROR(IF(表格1[[#This Row],[配息頻率]]=0,"",CHOOSE(表格1[[#This Row],[配息頻率]],MONTH(J31),IF(MONTH(J31)&lt;=6,CONCATENATE(MONTH(J31)," / ",MONTH(J31)+6),CONCATENATE(MONTH(J31)-6," / ",MONTH(J31))),0,"2 / 4 / 8 / 11")),"")</f>
        <v>5 / 11</v>
      </c>
      <c r="J31" s="1749" t="str">
        <f ca="1">IFERROR(VLOOKUP(B31,'銀行-TSS'!B:P,15,FALSE),"")</f>
        <v>2024/11/15</v>
      </c>
      <c r="K31" s="1750">
        <f ca="1">IFERROR(VLOOKUP(表格1[[#This Row],[商品
代碼]],'銀行-TSS'!B:I,8,FALSE),"")</f>
        <v>2</v>
      </c>
      <c r="L31" s="1747">
        <f ca="1">IFERROR(VLOOKUP(B31,'銀行-TSS'!B:K,10,FALSE),"")</f>
        <v>57.45</v>
      </c>
      <c r="M31" s="1745" t="str">
        <f ca="1">IF(表格1[[#This Row],[含息申購
參考價]]&gt;100,"溢價",IF(表格1[[#This Row],[含息申購
參考價]]&lt;100,"折價","平價"))</f>
        <v>折價</v>
      </c>
      <c r="N31" s="1751">
        <f ca="1">IFERROR(VLOOKUP(B31,'銀行-TSS'!B:M,12,FALSE),"")</f>
        <v>4.3700000000000003E-2</v>
      </c>
      <c r="O31" s="1752">
        <f ca="1">IFERROR(VLOOKUP(表格1[[#This Row],[商品
代碼]],'銀行-TSS'!B:AJ,35,FALSE),"")</f>
        <v>0</v>
      </c>
      <c r="P31" s="1753" t="str">
        <f ca="1">IFERROR(VLOOKUP(表格1[[#This Row],[商品
代碼]],'銀行-TSS'!B:AE,30,FALSE),"")</f>
        <v xml:space="preserve"> </v>
      </c>
      <c r="Q31" s="1749" t="str">
        <f ca="1">IFERROR(IF(VLOOKUP(表格1[[#This Row],[商品
代碼]],'銀行-TSS'!B:AM,38,FALSE)="#N/A Field Not Applicable","",VLOOKUP(表格1[[#This Row],[商品
代碼]],'銀行-TSS'!B:AM,38,FALSE)),"")</f>
        <v/>
      </c>
      <c r="R31" s="1749" t="str">
        <f ca="1">IFERROR(VLOOKUP(表格1[[#This Row],[商品
代碼]],'銀行-TSS'!B:AH,33,FALSE),"")</f>
        <v>美元(USD)</v>
      </c>
      <c r="S31" s="1754">
        <f ca="1">IFERROR(VLOOKUP(B31,'銀行-TSS'!B:N,13,FALSE),"")</f>
        <v>10000</v>
      </c>
      <c r="T31" s="1754" t="str">
        <f ca="1">VLOOKUP(表格1[[#This Row],[商品
代碼]],'銀行-TSS'!B:AI,34,FALSE)</f>
        <v>自由選清單</v>
      </c>
      <c r="U31" s="1755" t="str">
        <f ca="1">IFERROR(VLOOKUP(B31,'銀行-TSS'!B:Q,16,FALSE),"")</f>
        <v>政府</v>
      </c>
      <c r="V31" s="1755" t="str">
        <f ca="1">IFERROR(VLOOKUP(表格1[[#This Row],[商品
代碼]],'銀行-TSS'!B:AG,32,FALSE),"")</f>
        <v>固定</v>
      </c>
      <c r="W31" s="1756" t="str">
        <f ca="1">IFERROR(IFERROR(VLOOKUP(表格1[[#This Row],[商品
代碼]],'3_是否下架'!A:B,2,FALSE),VLOOKUP(表格1[[#This Row],[商品
代碼]],'銀行-TSS'!B:AK,36,FALSE)),"")</f>
        <v>有</v>
      </c>
      <c r="Y31" s="400"/>
      <c r="Z31" s="400"/>
      <c r="AA31" s="401"/>
    </row>
    <row r="32" spans="2:27" s="399" customFormat="1" ht="24.75" customHeight="1">
      <c r="B32" s="1745" t="s">
        <v>1144</v>
      </c>
      <c r="C32" s="1745" t="str">
        <f ca="1">IFERROR(VLOOKUP(表格1[[#This Row],[商品
代碼]],'銀行-TSS'!B:V,21,FALSE),"")</f>
        <v>高資產</v>
      </c>
      <c r="D32" s="1746" t="str">
        <f>IFERROR(VLOOKUP(表格1[[#This Row],[商品
代碼]],bond!B:F,5,FALSE),"")</f>
        <v>USU59340AM85</v>
      </c>
      <c r="E32" s="1746" t="str">
        <f ca="1">IFERROR(VLOOKUP(B32,'銀行-TSS'!B:D,3,FALSE),"")</f>
        <v>微軟公司美元配息債券 2.5% 2050/9/15</v>
      </c>
      <c r="F32" s="1745" t="str">
        <f ca="1">IFERROR(VLOOKUP(B32,'銀行-TSS'!B:E,4,FALSE),"")</f>
        <v>WR / NR / -</v>
      </c>
      <c r="G32" s="1747">
        <f ca="1">IFERROR(VLOOKUP(B32,'銀行-TSS'!B:G,6,FALSE),"")</f>
        <v>26.2</v>
      </c>
      <c r="H32" s="1748">
        <f ca="1">IFERROR(VLOOKUP(B32,'銀行-TSS'!B:H,7,FALSE),"")</f>
        <v>2.5000000000000001E-2</v>
      </c>
      <c r="I32" s="1745" t="str">
        <f ca="1">IFERROR(IF(表格1[[#This Row],[配息頻率]]=0,"",CHOOSE(表格1[[#This Row],[配息頻率]],MONTH(J32),IF(MONTH(J32)&lt;=6,CONCATENATE(MONTH(J32)," / ",MONTH(J32)+6),CONCATENATE(MONTH(J32)-6," / ",MONTH(J32))),0,"2 / 4 / 8 / 11")),"")</f>
        <v>3 / 9</v>
      </c>
      <c r="J32" s="1749" t="str">
        <f ca="1">IFERROR(VLOOKUP(B32,'銀行-TSS'!B:P,15,FALSE),"")</f>
        <v>2024/9/15</v>
      </c>
      <c r="K32" s="1750">
        <f ca="1">IFERROR(VLOOKUP(表格1[[#This Row],[商品
代碼]],'銀行-TSS'!B:I,8,FALSE),"")</f>
        <v>2</v>
      </c>
      <c r="L32" s="1747">
        <f ca="1">IFERROR(VLOOKUP(B32,'銀行-TSS'!B:K,10,FALSE),"")</f>
        <v>67.239999999999995</v>
      </c>
      <c r="M32" s="1745" t="str">
        <f ca="1">IF(表格1[[#This Row],[含息申購
參考價]]&gt;100,"溢價",IF(表格1[[#This Row],[含息申購
參考價]]&lt;100,"折價","平價"))</f>
        <v>折價</v>
      </c>
      <c r="N32" s="1751">
        <f ca="1">IFERROR(VLOOKUP(B32,'銀行-TSS'!B:M,12,FALSE),"")</f>
        <v>4.7500000000000001E-2</v>
      </c>
      <c r="O32" s="1752">
        <f ca="1">IFERROR(VLOOKUP(表格1[[#This Row],[商品
代碼]],'銀行-TSS'!B:AJ,35,FALSE),"")</f>
        <v>0</v>
      </c>
      <c r="P32" s="1753">
        <f ca="1">IFERROR(VLOOKUP(表格1[[#This Row],[商品
代碼]],'銀行-TSS'!B:AE,30,FALSE),"")</f>
        <v>4.7800000000000002E-2</v>
      </c>
      <c r="Q32" s="1749" t="str">
        <f ca="1">IFERROR(IF(VLOOKUP(表格1[[#This Row],[商品
代碼]],'銀行-TSS'!B:AM,38,FALSE)="#N/A Field Not Applicable","",VLOOKUP(表格1[[#This Row],[商品
代碼]],'銀行-TSS'!B:AM,38,FALSE)),"")</f>
        <v>2050/3/15</v>
      </c>
      <c r="R32" s="1749" t="str">
        <f ca="1">IFERROR(VLOOKUP(表格1[[#This Row],[商品
代碼]],'銀行-TSS'!B:AH,33,FALSE),"")</f>
        <v>美元(USD)</v>
      </c>
      <c r="S32" s="1754">
        <f ca="1">IFERROR(VLOOKUP(B32,'銀行-TSS'!B:N,13,FALSE),"")</f>
        <v>10000</v>
      </c>
      <c r="T32" s="1754" t="str">
        <f ca="1">VLOOKUP(表格1[[#This Row],[商品
代碼]],'銀行-TSS'!B:AI,34,FALSE)</f>
        <v>自由選清單</v>
      </c>
      <c r="U32" s="1755" t="str">
        <f ca="1">IFERROR(VLOOKUP(B32,'銀行-TSS'!B:Q,16,FALSE),"")</f>
        <v>科技</v>
      </c>
      <c r="V32" s="1755" t="str">
        <f ca="1">IFERROR(VLOOKUP(表格1[[#This Row],[商品
代碼]],'銀行-TSS'!B:AG,32,FALSE),"")</f>
        <v>固定</v>
      </c>
      <c r="W32" s="1756" t="str">
        <f ca="1">IFERROR(IFERROR(VLOOKUP(表格1[[#This Row],[商品
代碼]],'3_是否下架'!A:B,2,FALSE),VLOOKUP(表格1[[#This Row],[商品
代碼]],'銀行-TSS'!B:AK,36,FALSE)),"")</f>
        <v>需查詢</v>
      </c>
      <c r="Y32" s="400"/>
      <c r="Z32" s="400"/>
      <c r="AA32" s="401"/>
    </row>
    <row r="33" spans="2:27" s="399" customFormat="1" ht="24.75" customHeight="1">
      <c r="B33" s="1745" t="s">
        <v>1067</v>
      </c>
      <c r="C33" s="1745" t="str">
        <f ca="1">IFERROR(VLOOKUP(表格1[[#This Row],[商品
代碼]],'銀行-TSS'!B:V,21,FALSE),"")</f>
        <v>(NPI)非專投</v>
      </c>
      <c r="D33" s="1746" t="str">
        <f>IFERROR(VLOOKUP(表格1[[#This Row],[商品
代碼]],bond!B:F,5,FALSE),"")</f>
        <v>US046353AX64</v>
      </c>
      <c r="E33" s="1746" t="str">
        <f ca="1">IFERROR(VLOOKUP(B33,'銀行-TSS'!B:D,3,FALSE),"")</f>
        <v>阿斯特捷利康公開有限公司美元配息債券 2.125% 2050/8/6</v>
      </c>
      <c r="F33" s="1745" t="str">
        <f ca="1">IFERROR(VLOOKUP(B33,'銀行-TSS'!B:E,4,FALSE),"")</f>
        <v>A2 / A / A-u</v>
      </c>
      <c r="G33" s="1747">
        <f ca="1">IFERROR(VLOOKUP(B33,'銀行-TSS'!B:G,6,FALSE),"")</f>
        <v>26.09</v>
      </c>
      <c r="H33" s="1748">
        <f ca="1">IFERROR(VLOOKUP(B33,'銀行-TSS'!B:H,7,FALSE),"")</f>
        <v>2.1250000000000002E-2</v>
      </c>
      <c r="I33" s="1745" t="str">
        <f ca="1">IFERROR(IF(表格1[[#This Row],[配息頻率]]=0,"",CHOOSE(表格1[[#This Row],[配息頻率]],MONTH(J33),IF(MONTH(J33)&lt;=6,CONCATENATE(MONTH(J33)," / ",MONTH(J33)+6),CONCATENATE(MONTH(J33)-6," / ",MONTH(J33))),0,"2 / 4 / 8 / 11")),"")</f>
        <v>2 / 8</v>
      </c>
      <c r="J33" s="1749" t="str">
        <f ca="1">IFERROR(VLOOKUP(B33,'銀行-TSS'!B:P,15,FALSE),"")</f>
        <v>2024/8/6</v>
      </c>
      <c r="K33" s="1750">
        <f ca="1">IFERROR(VLOOKUP(表格1[[#This Row],[商品
代碼]],'銀行-TSS'!B:I,8,FALSE),"")</f>
        <v>2</v>
      </c>
      <c r="L33" s="1747">
        <f ca="1">IFERROR(VLOOKUP(B33,'銀行-TSS'!B:K,10,FALSE),"")</f>
        <v>61.73</v>
      </c>
      <c r="M33" s="1745" t="str">
        <f ca="1">IF(表格1[[#This Row],[含息申購
參考價]]&gt;100,"溢價",IF(表格1[[#This Row],[含息申購
參考價]]&lt;100,"折價","平價"))</f>
        <v>折價</v>
      </c>
      <c r="N33" s="1751">
        <f ca="1">IFERROR(VLOOKUP(B33,'銀行-TSS'!B:M,12,FALSE),"")</f>
        <v>4.7600000000000003E-2</v>
      </c>
      <c r="O33" s="1752">
        <f ca="1">IFERROR(VLOOKUP(表格1[[#This Row],[商品
代碼]],'銀行-TSS'!B:AJ,35,FALSE),"")</f>
        <v>0</v>
      </c>
      <c r="P33" s="1753">
        <f ca="1">IFERROR(VLOOKUP(表格1[[#This Row],[商品
代碼]],'銀行-TSS'!B:AE,30,FALSE),"")</f>
        <v>4.8000000000000001E-2</v>
      </c>
      <c r="Q33" s="1749" t="str">
        <f ca="1">IFERROR(IF(VLOOKUP(表格1[[#This Row],[商品
代碼]],'銀行-TSS'!B:AM,38,FALSE)="#N/A Field Not Applicable","",VLOOKUP(表格1[[#This Row],[商品
代碼]],'銀行-TSS'!B:AM,38,FALSE)),"")</f>
        <v>2050/2/6</v>
      </c>
      <c r="R33" s="1749" t="str">
        <f ca="1">IFERROR(VLOOKUP(表格1[[#This Row],[商品
代碼]],'銀行-TSS'!B:AH,33,FALSE),"")</f>
        <v>美元(USD)</v>
      </c>
      <c r="S33" s="1754">
        <f ca="1">IFERROR(VLOOKUP(B33,'銀行-TSS'!B:N,13,FALSE),"")</f>
        <v>10000</v>
      </c>
      <c r="T33" s="1754" t="str">
        <f ca="1">VLOOKUP(表格1[[#This Row],[商品
代碼]],'銀行-TSS'!B:AI,34,FALSE)</f>
        <v>自由選清單</v>
      </c>
      <c r="U33" s="1755" t="str">
        <f ca="1">IFERROR(VLOOKUP(B33,'銀行-TSS'!B:Q,16,FALSE),"")</f>
        <v>醫療保健</v>
      </c>
      <c r="V33" s="1755" t="str">
        <f ca="1">IFERROR(VLOOKUP(表格1[[#This Row],[商品
代碼]],'銀行-TSS'!B:AG,32,FALSE),"")</f>
        <v>固定</v>
      </c>
      <c r="W33" s="1756" t="str">
        <f ca="1">IFERROR(IFERROR(VLOOKUP(表格1[[#This Row],[商品
代碼]],'3_是否下架'!A:B,2,FALSE),VLOOKUP(表格1[[#This Row],[商品
代碼]],'銀行-TSS'!B:AK,36,FALSE)),"")</f>
        <v>有</v>
      </c>
      <c r="Y33" s="400"/>
      <c r="Z33" s="400"/>
      <c r="AA33" s="401"/>
    </row>
    <row r="34" spans="2:27" s="399" customFormat="1" ht="24.75" customHeight="1">
      <c r="B34" s="1745" t="s">
        <v>1292</v>
      </c>
      <c r="C34" s="1745" t="str">
        <f ca="1">IFERROR(VLOOKUP(表格1[[#This Row],[商品
代碼]],'銀行-TSS'!B:V,21,FALSE),"")</f>
        <v>(PI)專投</v>
      </c>
      <c r="D34" s="1746" t="str">
        <f>IFERROR(VLOOKUP(表格1[[#This Row],[商品
代碼]],bond!B:F,5,FALSE),"")</f>
        <v>US92556VAF31</v>
      </c>
      <c r="E34" s="1746" t="str">
        <f ca="1">IFERROR(VLOOKUP(B34,'銀行-TSS'!B:D,3,FALSE),"")</f>
        <v>暉致公司美元配息債券 4% 2050/6/22</v>
      </c>
      <c r="F34" s="1745" t="str">
        <f ca="1">IFERROR(VLOOKUP(B34,'銀行-TSS'!B:E,4,FALSE),"")</f>
        <v>Baa3 / BBB- / BBB</v>
      </c>
      <c r="G34" s="1747">
        <f ca="1">IFERROR(VLOOKUP(B34,'銀行-TSS'!B:G,6,FALSE),"")</f>
        <v>25.97</v>
      </c>
      <c r="H34" s="1748">
        <f ca="1">IFERROR(VLOOKUP(B34,'銀行-TSS'!B:H,7,FALSE),"")</f>
        <v>0.04</v>
      </c>
      <c r="I34" s="1745" t="str">
        <f ca="1">IFERROR(IF(表格1[[#This Row],[配息頻率]]=0,"",CHOOSE(表格1[[#This Row],[配息頻率]],MONTH(J34),IF(MONTH(J34)&lt;=6,CONCATENATE(MONTH(J34)," / ",MONTH(J34)+6),CONCATENATE(MONTH(J34)-6," / ",MONTH(J34))),0,"2 / 4 / 8 / 11")),"")</f>
        <v>6 / 12</v>
      </c>
      <c r="J34" s="1749" t="str">
        <f ca="1">IFERROR(VLOOKUP(B34,'銀行-TSS'!B:P,15,FALSE),"")</f>
        <v>2024/12/22</v>
      </c>
      <c r="K34" s="1750">
        <f ca="1">IFERROR(VLOOKUP(表格1[[#This Row],[商品
代碼]],'銀行-TSS'!B:I,8,FALSE),"")</f>
        <v>2</v>
      </c>
      <c r="L34" s="1747">
        <f ca="1">IFERROR(VLOOKUP(B34,'銀行-TSS'!B:K,10,FALSE),"")</f>
        <v>71.63</v>
      </c>
      <c r="M34" s="1745" t="str">
        <f ca="1">IF(表格1[[#This Row],[含息申購
參考價]]&gt;100,"溢價",IF(表格1[[#This Row],[含息申購
參考價]]&lt;100,"折價","平價"))</f>
        <v>折價</v>
      </c>
      <c r="N34" s="1751">
        <f ca="1">IFERROR(VLOOKUP(B34,'銀行-TSS'!B:M,12,FALSE),"")</f>
        <v>6.2300000000000001E-2</v>
      </c>
      <c r="O34" s="1752">
        <f ca="1">IFERROR(VLOOKUP(表格1[[#This Row],[商品
代碼]],'銀行-TSS'!B:AJ,35,FALSE),"")</f>
        <v>0</v>
      </c>
      <c r="P34" s="1753">
        <f ca="1">IFERROR(VLOOKUP(表格1[[#This Row],[商品
代碼]],'銀行-TSS'!B:AE,30,FALSE),"")</f>
        <v>6.25E-2</v>
      </c>
      <c r="Q34" s="1749" t="str">
        <f ca="1">IFERROR(IF(VLOOKUP(表格1[[#This Row],[商品
代碼]],'銀行-TSS'!B:AM,38,FALSE)="#N/A Field Not Applicable","",VLOOKUP(表格1[[#This Row],[商品
代碼]],'銀行-TSS'!B:AM,38,FALSE)),"")</f>
        <v>2049/12/22</v>
      </c>
      <c r="R34" s="1749" t="str">
        <f ca="1">IFERROR(VLOOKUP(表格1[[#This Row],[商品
代碼]],'銀行-TSS'!B:AH,33,FALSE),"")</f>
        <v>美元(USD)</v>
      </c>
      <c r="S34" s="1754">
        <f ca="1">IFERROR(VLOOKUP(B34,'銀行-TSS'!B:N,13,FALSE),"")</f>
        <v>10000</v>
      </c>
      <c r="T34" s="1754" t="str">
        <f ca="1">VLOOKUP(表格1[[#This Row],[商品
代碼]],'銀行-TSS'!B:AI,34,FALSE)</f>
        <v>自由選清單</v>
      </c>
      <c r="U34" s="1755" t="str">
        <f ca="1">IFERROR(VLOOKUP(B34,'銀行-TSS'!B:Q,16,FALSE),"")</f>
        <v>醫療保健</v>
      </c>
      <c r="V34" s="1755" t="str">
        <f ca="1">IFERROR(VLOOKUP(表格1[[#This Row],[商品
代碼]],'銀行-TSS'!B:AG,32,FALSE),"")</f>
        <v>固定</v>
      </c>
      <c r="W34" s="1756" t="str">
        <f ca="1">IFERROR(IFERROR(VLOOKUP(表格1[[#This Row],[商品
代碼]],'3_是否下架'!A:B,2,FALSE),VLOOKUP(表格1[[#This Row],[商品
代碼]],'銀行-TSS'!B:AK,36,FALSE)),"")</f>
        <v>有</v>
      </c>
      <c r="Y34" s="400"/>
      <c r="Z34" s="400"/>
      <c r="AA34" s="401"/>
    </row>
    <row r="35" spans="2:27" s="399" customFormat="1" ht="24.75" customHeight="1">
      <c r="B35" s="1745" t="s">
        <v>983</v>
      </c>
      <c r="C35" s="1745" t="str">
        <f ca="1">IFERROR(VLOOKUP(表格1[[#This Row],[商品
代碼]],'銀行-TSS'!B:V,21,FALSE),"")</f>
        <v>(PI)專投</v>
      </c>
      <c r="D35" s="1746" t="str">
        <f>IFERROR(VLOOKUP(表格1[[#This Row],[商品
代碼]],bond!B:F,5,FALSE),"")</f>
        <v>US03027XBD12</v>
      </c>
      <c r="E35" s="1746" t="str">
        <f ca="1">IFERROR(VLOOKUP(B35,'銀行-TSS'!B:D,3,FALSE),"")</f>
        <v>美國電塔公司美元配息債券 3.1% 2050/6/15</v>
      </c>
      <c r="F35" s="1745" t="str">
        <f ca="1">IFERROR(VLOOKUP(B35,'銀行-TSS'!B:E,4,FALSE),"")</f>
        <v>Baa3 / BBB- / BBB+</v>
      </c>
      <c r="G35" s="1747">
        <f ca="1">IFERROR(VLOOKUP(B35,'銀行-TSS'!B:G,6,FALSE),"")</f>
        <v>25.95</v>
      </c>
      <c r="H35" s="1748">
        <f ca="1">IFERROR(VLOOKUP(B35,'銀行-TSS'!B:H,7,FALSE),"")</f>
        <v>3.1E-2</v>
      </c>
      <c r="I35" s="1745" t="str">
        <f ca="1">IFERROR(IF(表格1[[#This Row],[配息頻率]]=0,"",CHOOSE(表格1[[#This Row],[配息頻率]],MONTH(J35),IF(MONTH(J35)&lt;=6,CONCATENATE(MONTH(J35)," / ",MONTH(J35)+6),CONCATENATE(MONTH(J35)-6," / ",MONTH(J35))),0,"2 / 4 / 8 / 11")),"")</f>
        <v>6 / 12</v>
      </c>
      <c r="J35" s="1749" t="str">
        <f ca="1">IFERROR(VLOOKUP(B35,'銀行-TSS'!B:P,15,FALSE),"")</f>
        <v>2024/12/15</v>
      </c>
      <c r="K35" s="1750">
        <f ca="1">IFERROR(VLOOKUP(表格1[[#This Row],[商品
代碼]],'銀行-TSS'!B:I,8,FALSE),"")</f>
        <v>2</v>
      </c>
      <c r="L35" s="1747">
        <f ca="1">IFERROR(VLOOKUP(B35,'銀行-TSS'!B:K,10,FALSE),"")</f>
        <v>69.03</v>
      </c>
      <c r="M35" s="1745" t="str">
        <f ca="1">IF(表格1[[#This Row],[含息申購
參考價]]&gt;100,"溢價",IF(表格1[[#This Row],[含息申購
參考價]]&lt;100,"折價","平價"))</f>
        <v>折價</v>
      </c>
      <c r="N35" s="1751">
        <f ca="1">IFERROR(VLOOKUP(B35,'銀行-TSS'!B:M,12,FALSE),"")</f>
        <v>5.33E-2</v>
      </c>
      <c r="O35" s="1752">
        <f ca="1">IFERROR(VLOOKUP(表格1[[#This Row],[商品
代碼]],'銀行-TSS'!B:AJ,35,FALSE),"")</f>
        <v>0</v>
      </c>
      <c r="P35" s="1753">
        <f ca="1">IFERROR(VLOOKUP(表格1[[#This Row],[商品
代碼]],'銀行-TSS'!B:AE,30,FALSE),"")</f>
        <v>5.3499999999999999E-2</v>
      </c>
      <c r="Q35" s="1749" t="str">
        <f ca="1">IFERROR(IF(VLOOKUP(表格1[[#This Row],[商品
代碼]],'銀行-TSS'!B:AM,38,FALSE)="#N/A Field Not Applicable","",VLOOKUP(表格1[[#This Row],[商品
代碼]],'銀行-TSS'!B:AM,38,FALSE)),"")</f>
        <v>2049/12/15</v>
      </c>
      <c r="R35" s="1749" t="str">
        <f ca="1">IFERROR(VLOOKUP(表格1[[#This Row],[商品
代碼]],'銀行-TSS'!B:AH,33,FALSE),"")</f>
        <v>美元(USD)</v>
      </c>
      <c r="S35" s="1754">
        <f ca="1">IFERROR(VLOOKUP(B35,'銀行-TSS'!B:N,13,FALSE),"")</f>
        <v>10000</v>
      </c>
      <c r="T35" s="1754" t="str">
        <f ca="1">VLOOKUP(表格1[[#This Row],[商品
代碼]],'銀行-TSS'!B:AI,34,FALSE)</f>
        <v>自由選清單</v>
      </c>
      <c r="U35" s="1755" t="str">
        <f ca="1">IFERROR(VLOOKUP(B35,'銀行-TSS'!B:Q,16,FALSE),"")</f>
        <v>金融</v>
      </c>
      <c r="V35" s="1755" t="str">
        <f ca="1">IFERROR(VLOOKUP(表格1[[#This Row],[商品
代碼]],'銀行-TSS'!B:AG,32,FALSE),"")</f>
        <v>固定</v>
      </c>
      <c r="W35" s="1756" t="str">
        <f ca="1">IFERROR(IFERROR(VLOOKUP(表格1[[#This Row],[商品
代碼]],'3_是否下架'!A:B,2,FALSE),VLOOKUP(表格1[[#This Row],[商品
代碼]],'銀行-TSS'!B:AK,36,FALSE)),"")</f>
        <v>有</v>
      </c>
      <c r="Y35" s="400"/>
      <c r="Z35" s="400"/>
      <c r="AA35" s="401"/>
    </row>
    <row r="36" spans="2:27" s="399" customFormat="1" ht="24.75" customHeight="1">
      <c r="B36" s="1745" t="s">
        <v>1052</v>
      </c>
      <c r="C36" s="1745" t="str">
        <f ca="1">IFERROR(VLOOKUP(表格1[[#This Row],[商品
代碼]],'銀行-TSS'!B:V,21,FALSE),"")</f>
        <v>(NPI)非專投</v>
      </c>
      <c r="D36" s="1746" t="str">
        <f>IFERROR(VLOOKUP(表格1[[#This Row],[商品
代碼]],bond!B:F,5,FALSE),"")</f>
        <v>US88032XAV64</v>
      </c>
      <c r="E36" s="1746" t="str">
        <f ca="1">IFERROR(VLOOKUP(B36,'銀行-TSS'!B:D,3,FALSE),"")</f>
        <v>騰訊控股美元配息債券 3.24% 2050/6/3</v>
      </c>
      <c r="F36" s="1745" t="str">
        <f ca="1">IFERROR(VLOOKUP(B36,'銀行-TSS'!B:E,4,FALSE),"")</f>
        <v>A1 / A+ / A+</v>
      </c>
      <c r="G36" s="1747">
        <f ca="1">IFERROR(VLOOKUP(B36,'銀行-TSS'!B:G,6,FALSE),"")</f>
        <v>25.92</v>
      </c>
      <c r="H36" s="1748">
        <f ca="1">IFERROR(VLOOKUP(B36,'銀行-TSS'!B:H,7,FALSE),"")</f>
        <v>3.2400000000000005E-2</v>
      </c>
      <c r="I36" s="1745" t="str">
        <f ca="1">IFERROR(IF(表格1[[#This Row],[配息頻率]]=0,"",CHOOSE(表格1[[#This Row],[配息頻率]],MONTH(J36),IF(MONTH(J36)&lt;=6,CONCATENATE(MONTH(J36)," / ",MONTH(J36)+6),CONCATENATE(MONTH(J36)-6," / ",MONTH(J36))),0,"2 / 4 / 8 / 11")),"")</f>
        <v>6 / 12</v>
      </c>
      <c r="J36" s="1749" t="str">
        <f ca="1">IFERROR(VLOOKUP(B36,'銀行-TSS'!B:P,15,FALSE),"")</f>
        <v>2024/12/3</v>
      </c>
      <c r="K36" s="1750">
        <f ca="1">IFERROR(VLOOKUP(表格1[[#This Row],[商品
代碼]],'銀行-TSS'!B:I,8,FALSE),"")</f>
        <v>2</v>
      </c>
      <c r="L36" s="1747">
        <f ca="1">IFERROR(VLOOKUP(B36,'銀行-TSS'!B:K,10,FALSE),"")</f>
        <v>69.989999999999995</v>
      </c>
      <c r="M36" s="1745" t="str">
        <f ca="1">IF(表格1[[#This Row],[含息申購
參考價]]&gt;100,"溢價",IF(表格1[[#This Row],[含息申購
參考價]]&lt;100,"折價","平價"))</f>
        <v>折價</v>
      </c>
      <c r="N36" s="1751">
        <f ca="1">IFERROR(VLOOKUP(B36,'銀行-TSS'!B:M,12,FALSE),"")</f>
        <v>5.4300000000000001E-2</v>
      </c>
      <c r="O36" s="1752">
        <f ca="1">IFERROR(VLOOKUP(表格1[[#This Row],[商品
代碼]],'銀行-TSS'!B:AJ,35,FALSE),"")</f>
        <v>0</v>
      </c>
      <c r="P36" s="1753">
        <f ca="1">IFERROR(VLOOKUP(表格1[[#This Row],[商品
代碼]],'銀行-TSS'!B:AE,30,FALSE),"")</f>
        <v>5.4600000000000003E-2</v>
      </c>
      <c r="Q36" s="1749" t="str">
        <f ca="1">IFERROR(IF(VLOOKUP(表格1[[#This Row],[商品
代碼]],'銀行-TSS'!B:AM,38,FALSE)="#N/A Field Not Applicable","",VLOOKUP(表格1[[#This Row],[商品
代碼]],'銀行-TSS'!B:AM,38,FALSE)),"")</f>
        <v>2049/12/3</v>
      </c>
      <c r="R36" s="1749" t="str">
        <f ca="1">IFERROR(VLOOKUP(表格1[[#This Row],[商品
代碼]],'銀行-TSS'!B:AH,33,FALSE),"")</f>
        <v>美元(USD)</v>
      </c>
      <c r="S36" s="1754">
        <f ca="1">IFERROR(VLOOKUP(B36,'銀行-TSS'!B:N,13,FALSE),"")</f>
        <v>200000</v>
      </c>
      <c r="T36" s="1754" t="str">
        <f ca="1">VLOOKUP(表格1[[#This Row],[商品
代碼]],'銀行-TSS'!B:AI,34,FALSE)</f>
        <v>自由選清單</v>
      </c>
      <c r="U36" s="1755" t="str">
        <f ca="1">IFERROR(VLOOKUP(B36,'銀行-TSS'!B:Q,16,FALSE),"")</f>
        <v>通訊</v>
      </c>
      <c r="V36" s="1755" t="str">
        <f ca="1">IFERROR(VLOOKUP(表格1[[#This Row],[商品
代碼]],'銀行-TSS'!B:AG,32,FALSE),"")</f>
        <v>固定</v>
      </c>
      <c r="W36" s="1756" t="str">
        <f ca="1">IFERROR(IFERROR(VLOOKUP(表格1[[#This Row],[商品
代碼]],'3_是否下架'!A:B,2,FALSE),VLOOKUP(表格1[[#This Row],[商品
代碼]],'銀行-TSS'!B:AK,36,FALSE)),"")</f>
        <v>有</v>
      </c>
      <c r="Y36" s="400"/>
      <c r="Z36" s="400"/>
      <c r="AA36" s="401"/>
    </row>
    <row r="37" spans="2:27" s="399" customFormat="1" ht="24.75" customHeight="1">
      <c r="B37" s="1745" t="s">
        <v>1165</v>
      </c>
      <c r="C37" s="1745" t="str">
        <f ca="1">IFERROR(VLOOKUP(表格1[[#This Row],[商品
代碼]],'銀行-TSS'!B:V,21,FALSE),"")</f>
        <v>(NPI)非專投</v>
      </c>
      <c r="D37" s="1746" t="str">
        <f>IFERROR(VLOOKUP(表格1[[#This Row],[商品
代碼]],bond!B:F,5,FALSE),"")</f>
        <v>US70450YAJ29</v>
      </c>
      <c r="E37" s="1746" t="str">
        <f ca="1">IFERROR(VLOOKUP(B37,'銀行-TSS'!B:D,3,FALSE),"")</f>
        <v>Paypal控股有限公司美元配息債券 3.25% 2050/6/1</v>
      </c>
      <c r="F37" s="1745" t="str">
        <f ca="1">IFERROR(VLOOKUP(B37,'銀行-TSS'!B:E,4,FALSE),"")</f>
        <v>A3 / A- / A-</v>
      </c>
      <c r="G37" s="1747">
        <f ca="1">IFERROR(VLOOKUP(B37,'銀行-TSS'!B:G,6,FALSE),"")</f>
        <v>25.91</v>
      </c>
      <c r="H37" s="1748">
        <f ca="1">IFERROR(VLOOKUP(B37,'銀行-TSS'!B:H,7,FALSE),"")</f>
        <v>3.2500000000000001E-2</v>
      </c>
      <c r="I37" s="1745" t="str">
        <f ca="1">IFERROR(IF(表格1[[#This Row],[配息頻率]]=0,"",CHOOSE(表格1[[#This Row],[配息頻率]],MONTH(J37),IF(MONTH(J37)&lt;=6,CONCATENATE(MONTH(J37)," / ",MONTH(J37)+6),CONCATENATE(MONTH(J37)-6," / ",MONTH(J37))),0,"2 / 4 / 8 / 11")),"")</f>
        <v>6 / 12</v>
      </c>
      <c r="J37" s="1749" t="str">
        <f ca="1">IFERROR(VLOOKUP(B37,'銀行-TSS'!B:P,15,FALSE),"")</f>
        <v>2024/12/1</v>
      </c>
      <c r="K37" s="1750">
        <f ca="1">IFERROR(VLOOKUP(表格1[[#This Row],[商品
代碼]],'銀行-TSS'!B:I,8,FALSE),"")</f>
        <v>2</v>
      </c>
      <c r="L37" s="1747">
        <f ca="1">IFERROR(VLOOKUP(B37,'銀行-TSS'!B:K,10,FALSE),"")</f>
        <v>72.25</v>
      </c>
      <c r="M37" s="1745" t="str">
        <f ca="1">IF(表格1[[#This Row],[含息申購
參考價]]&gt;100,"溢價",IF(表格1[[#This Row],[含息申購
參考價]]&lt;100,"折價","平價"))</f>
        <v>折價</v>
      </c>
      <c r="N37" s="1751">
        <f ca="1">IFERROR(VLOOKUP(B37,'銀行-TSS'!B:M,12,FALSE),"")</f>
        <v>5.2400000000000002E-2</v>
      </c>
      <c r="O37" s="1752">
        <f ca="1">IFERROR(VLOOKUP(表格1[[#This Row],[商品
代碼]],'銀行-TSS'!B:AJ,35,FALSE),"")</f>
        <v>0</v>
      </c>
      <c r="P37" s="1753">
        <f ca="1">IFERROR(VLOOKUP(表格1[[#This Row],[商品
代碼]],'銀行-TSS'!B:AE,30,FALSE),"")</f>
        <v>5.2600000000000001E-2</v>
      </c>
      <c r="Q37" s="1749" t="str">
        <f ca="1">IFERROR(IF(VLOOKUP(表格1[[#This Row],[商品
代碼]],'銀行-TSS'!B:AM,38,FALSE)="#N/A Field Not Applicable","",VLOOKUP(表格1[[#This Row],[商品
代碼]],'銀行-TSS'!B:AM,38,FALSE)),"")</f>
        <v>2049/12/1</v>
      </c>
      <c r="R37" s="1749" t="str">
        <f ca="1">IFERROR(VLOOKUP(表格1[[#This Row],[商品
代碼]],'銀行-TSS'!B:AH,33,FALSE),"")</f>
        <v>美元(USD)</v>
      </c>
      <c r="S37" s="1754">
        <f ca="1">IFERROR(VLOOKUP(B37,'銀行-TSS'!B:N,13,FALSE),"")</f>
        <v>10000</v>
      </c>
      <c r="T37" s="1754" t="str">
        <f ca="1">VLOOKUP(表格1[[#This Row],[商品
代碼]],'銀行-TSS'!B:AI,34,FALSE)</f>
        <v>自由選清單</v>
      </c>
      <c r="U37" s="1755" t="str">
        <f ca="1">IFERROR(VLOOKUP(B37,'銀行-TSS'!B:Q,16,FALSE),"")</f>
        <v>金融</v>
      </c>
      <c r="V37" s="1755" t="str">
        <f ca="1">IFERROR(VLOOKUP(表格1[[#This Row],[商品
代碼]],'銀行-TSS'!B:AG,32,FALSE),"")</f>
        <v>固定</v>
      </c>
      <c r="W37" s="1756" t="str">
        <f ca="1">IFERROR(IFERROR(VLOOKUP(表格1[[#This Row],[商品
代碼]],'3_是否下架'!A:B,2,FALSE),VLOOKUP(表格1[[#This Row],[商品
代碼]],'銀行-TSS'!B:AK,36,FALSE)),"")</f>
        <v>有</v>
      </c>
      <c r="Y37" s="400"/>
      <c r="Z37" s="400"/>
      <c r="AA37" s="401"/>
    </row>
    <row r="38" spans="2:27" s="399" customFormat="1" ht="24.75" customHeight="1">
      <c r="B38" s="1745" t="s">
        <v>1072</v>
      </c>
      <c r="C38" s="1745" t="str">
        <f ca="1">IFERROR(VLOOKUP(表格1[[#This Row],[商品
代碼]],'銀行-TSS'!B:V,21,FALSE),"")</f>
        <v>(PI)專投</v>
      </c>
      <c r="D38" s="1746" t="str">
        <f>IFERROR(VLOOKUP(表格1[[#This Row],[商品
代碼]],bond!B:F,5,FALSE),"")</f>
        <v>US25470DBH17</v>
      </c>
      <c r="E38" s="1746" t="str">
        <f ca="1">IFERROR(VLOOKUP(B38,'銀行-TSS'!B:D,3,FALSE),"")</f>
        <v>Discovery傳播有限責任公司美元配息債券 4.65% 2050/5/15</v>
      </c>
      <c r="F38" s="1745" t="str">
        <f ca="1">IFERROR(VLOOKUP(B38,'銀行-TSS'!B:E,4,FALSE),"")</f>
        <v>Baa3 / BBB- / BBB-</v>
      </c>
      <c r="G38" s="1747">
        <f ca="1">IFERROR(VLOOKUP(B38,'銀行-TSS'!B:G,6,FALSE),"")</f>
        <v>25.87</v>
      </c>
      <c r="H38" s="1748">
        <f ca="1">IFERROR(VLOOKUP(B38,'銀行-TSS'!B:H,7,FALSE),"")</f>
        <v>4.6500000000000007E-2</v>
      </c>
      <c r="I38" s="1745" t="str">
        <f ca="1">IFERROR(IF(表格1[[#This Row],[配息頻率]]=0,"",CHOOSE(表格1[[#This Row],[配息頻率]],MONTH(J38),IF(MONTH(J38)&lt;=6,CONCATENATE(MONTH(J38)," / ",MONTH(J38)+6),CONCATENATE(MONTH(J38)-6," / ",MONTH(J38))),0,"2 / 4 / 8 / 11")),"")</f>
        <v>5 / 11</v>
      </c>
      <c r="J38" s="1749" t="str">
        <f ca="1">IFERROR(VLOOKUP(B38,'銀行-TSS'!B:P,15,FALSE),"")</f>
        <v>2024/11/15</v>
      </c>
      <c r="K38" s="1750">
        <f ca="1">IFERROR(VLOOKUP(表格1[[#This Row],[商品
代碼]],'銀行-TSS'!B:I,8,FALSE),"")</f>
        <v>2</v>
      </c>
      <c r="L38" s="1747">
        <f ca="1">IFERROR(VLOOKUP(B38,'銀行-TSS'!B:K,10,FALSE),"")</f>
        <v>77.95</v>
      </c>
      <c r="M38" s="1745" t="str">
        <f ca="1">IF(表格1[[#This Row],[含息申購
參考價]]&gt;100,"溢價",IF(表格1[[#This Row],[含息申購
參考價]]&lt;100,"折價","平價"))</f>
        <v>折價</v>
      </c>
      <c r="N38" s="1751">
        <f ca="1">IFERROR(VLOOKUP(B38,'銀行-TSS'!B:M,12,FALSE),"")</f>
        <v>6.4600000000000005E-2</v>
      </c>
      <c r="O38" s="1752">
        <f ca="1">IFERROR(VLOOKUP(表格1[[#This Row],[商品
代碼]],'銀行-TSS'!B:AJ,35,FALSE),"")</f>
        <v>0</v>
      </c>
      <c r="P38" s="1753">
        <f ca="1">IFERROR(VLOOKUP(表格1[[#This Row],[商品
代碼]],'銀行-TSS'!B:AE,30,FALSE),"")</f>
        <v>6.4799999999999996E-2</v>
      </c>
      <c r="Q38" s="1749" t="str">
        <f ca="1">IFERROR(IF(VLOOKUP(表格1[[#This Row],[商品
代碼]],'銀行-TSS'!B:AM,38,FALSE)="#N/A Field Not Applicable","",VLOOKUP(表格1[[#This Row],[商品
代碼]],'銀行-TSS'!B:AM,38,FALSE)),"")</f>
        <v>2049/11/15</v>
      </c>
      <c r="R38" s="1749" t="str">
        <f ca="1">IFERROR(VLOOKUP(表格1[[#This Row],[商品
代碼]],'銀行-TSS'!B:AH,33,FALSE),"")</f>
        <v>美元(USD)</v>
      </c>
      <c r="S38" s="1754">
        <f ca="1">IFERROR(VLOOKUP(B38,'銀行-TSS'!B:N,13,FALSE),"")</f>
        <v>10000</v>
      </c>
      <c r="T38" s="1754" t="str">
        <f ca="1">VLOOKUP(表格1[[#This Row],[商品
代碼]],'銀行-TSS'!B:AI,34,FALSE)</f>
        <v>自由選清單</v>
      </c>
      <c r="U38" s="1755" t="str">
        <f ca="1">IFERROR(VLOOKUP(B38,'銀行-TSS'!B:Q,16,FALSE),"")</f>
        <v>通訊</v>
      </c>
      <c r="V38" s="1755" t="str">
        <f ca="1">IFERROR(VLOOKUP(表格1[[#This Row],[商品
代碼]],'銀行-TSS'!B:AG,32,FALSE),"")</f>
        <v>固定</v>
      </c>
      <c r="W38" s="1756" t="str">
        <f ca="1">IFERROR(IFERROR(VLOOKUP(表格1[[#This Row],[商品
代碼]],'3_是否下架'!A:B,2,FALSE),VLOOKUP(表格1[[#This Row],[商品
代碼]],'銀行-TSS'!B:AK,36,FALSE)),"")</f>
        <v>有</v>
      </c>
      <c r="Y38" s="400"/>
      <c r="Z38" s="400"/>
      <c r="AA38" s="401"/>
    </row>
    <row r="39" spans="2:27" s="399" customFormat="1" ht="24.75" customHeight="1">
      <c r="B39" s="1745" t="s">
        <v>1167</v>
      </c>
      <c r="C39" s="1745" t="str">
        <f ca="1">IFERROR(VLOOKUP(表格1[[#This Row],[商品
代碼]],'銀行-TSS'!B:V,21,FALSE),"")</f>
        <v>(NPI)非專投</v>
      </c>
      <c r="D39" s="1746" t="str">
        <f>IFERROR(VLOOKUP(表格1[[#This Row],[商品
代碼]],bond!B:F,5,FALSE),"")</f>
        <v>US459200KL41</v>
      </c>
      <c r="E39" s="1746" t="str">
        <f ca="1">IFERROR(VLOOKUP(B39,'銀行-TSS'!B:D,3,FALSE),"")</f>
        <v>國際商業機器公司美元配息債券 2.95% 2050/5/15</v>
      </c>
      <c r="F39" s="1745" t="str">
        <f ca="1">IFERROR(VLOOKUP(B39,'銀行-TSS'!B:E,4,FALSE),"")</f>
        <v>A3 / A- / A-</v>
      </c>
      <c r="G39" s="1747">
        <f ca="1">IFERROR(VLOOKUP(B39,'銀行-TSS'!B:G,6,FALSE),"")</f>
        <v>25.87</v>
      </c>
      <c r="H39" s="1748">
        <f ca="1">IFERROR(VLOOKUP(B39,'銀行-TSS'!B:H,7,FALSE),"")</f>
        <v>2.9500000000000002E-2</v>
      </c>
      <c r="I39" s="1745" t="str">
        <f ca="1">IFERROR(IF(表格1[[#This Row],[配息頻率]]=0,"",CHOOSE(表格1[[#This Row],[配息頻率]],MONTH(J39),IF(MONTH(J39)&lt;=6,CONCATENATE(MONTH(J39)," / ",MONTH(J39)+6),CONCATENATE(MONTH(J39)-6," / ",MONTH(J39))),0,"2 / 4 / 8 / 11")),"")</f>
        <v>5 / 11</v>
      </c>
      <c r="J39" s="1749" t="str">
        <f ca="1">IFERROR(VLOOKUP(B39,'銀行-TSS'!B:P,15,FALSE),"")</f>
        <v>2024/11/15</v>
      </c>
      <c r="K39" s="1750">
        <f ca="1">IFERROR(VLOOKUP(表格1[[#This Row],[商品
代碼]],'銀行-TSS'!B:I,8,FALSE),"")</f>
        <v>2</v>
      </c>
      <c r="L39" s="1747">
        <f ca="1">IFERROR(VLOOKUP(B39,'銀行-TSS'!B:K,10,FALSE),"")</f>
        <v>68.260000000000005</v>
      </c>
      <c r="M39" s="1745" t="str">
        <f ca="1">IF(表格1[[#This Row],[含息申購
參考價]]&gt;100,"溢價",IF(表格1[[#This Row],[含息申購
參考價]]&lt;100,"折價","平價"))</f>
        <v>折價</v>
      </c>
      <c r="N39" s="1751">
        <f ca="1">IFERROR(VLOOKUP(B39,'銀行-TSS'!B:M,12,FALSE),"")</f>
        <v>5.2299999999999999E-2</v>
      </c>
      <c r="O39" s="1752">
        <f ca="1">IFERROR(VLOOKUP(表格1[[#This Row],[商品
代碼]],'銀行-TSS'!B:AJ,35,FALSE),"")</f>
        <v>0</v>
      </c>
      <c r="P39" s="1753">
        <f ca="1">IFERROR(VLOOKUP(表格1[[#This Row],[商品
代碼]],'銀行-TSS'!B:AE,30,FALSE),"")</f>
        <v>5.2600000000000001E-2</v>
      </c>
      <c r="Q39" s="1749" t="str">
        <f ca="1">IFERROR(IF(VLOOKUP(表格1[[#This Row],[商品
代碼]],'銀行-TSS'!B:AM,38,FALSE)="#N/A Field Not Applicable","",VLOOKUP(表格1[[#This Row],[商品
代碼]],'銀行-TSS'!B:AM,38,FALSE)),"")</f>
        <v>2049/11/15</v>
      </c>
      <c r="R39" s="1749" t="str">
        <f ca="1">IFERROR(VLOOKUP(表格1[[#This Row],[商品
代碼]],'銀行-TSS'!B:AH,33,FALSE),"")</f>
        <v>美元(USD)</v>
      </c>
      <c r="S39" s="1754">
        <f ca="1">IFERROR(VLOOKUP(B39,'銀行-TSS'!B:N,13,FALSE),"")</f>
        <v>100000</v>
      </c>
      <c r="T39" s="1754" t="str">
        <f ca="1">VLOOKUP(表格1[[#This Row],[商品
代碼]],'銀行-TSS'!B:AI,34,FALSE)</f>
        <v>自由選清單</v>
      </c>
      <c r="U39" s="1755" t="str">
        <f ca="1">IFERROR(VLOOKUP(B39,'銀行-TSS'!B:Q,16,FALSE),"")</f>
        <v>科技</v>
      </c>
      <c r="V39" s="1755" t="str">
        <f ca="1">IFERROR(VLOOKUP(表格1[[#This Row],[商品
代碼]],'銀行-TSS'!B:AG,32,FALSE),"")</f>
        <v>固定</v>
      </c>
      <c r="W39" s="1756" t="str">
        <f ca="1">IFERROR(IFERROR(VLOOKUP(表格1[[#This Row],[商品
代碼]],'3_是否下架'!A:B,2,FALSE),VLOOKUP(表格1[[#This Row],[商品
代碼]],'銀行-TSS'!B:AK,36,FALSE)),"")</f>
        <v>有</v>
      </c>
      <c r="Y39" s="400"/>
      <c r="Z39" s="400"/>
      <c r="AA39" s="401"/>
    </row>
    <row r="40" spans="2:27" s="399" customFormat="1" ht="24.75" customHeight="1">
      <c r="B40" s="1745" t="s">
        <v>942</v>
      </c>
      <c r="C40" s="1745" t="str">
        <f ca="1">IFERROR(VLOOKUP(表格1[[#This Row],[商品
代碼]],'銀行-TSS'!B:V,21,FALSE),"")</f>
        <v>(NPI)非專投</v>
      </c>
      <c r="D40" s="1746" t="str">
        <f>IFERROR(VLOOKUP(表格1[[#This Row],[商品
代碼]],bond!B:F,5,FALSE),"")</f>
        <v>US037833DW79</v>
      </c>
      <c r="E40" s="1746" t="str">
        <f ca="1">IFERROR(VLOOKUP(B40,'銀行-TSS'!B:D,3,FALSE),"")</f>
        <v>蘋果公司美元配息債券 2.65% 2050/5/11</v>
      </c>
      <c r="F40" s="1745" t="str">
        <f ca="1">IFERROR(VLOOKUP(B40,'銀行-TSS'!B:E,4,FALSE),"")</f>
        <v>Aaa / AA+ / -</v>
      </c>
      <c r="G40" s="1747">
        <f ca="1">IFERROR(VLOOKUP(B40,'銀行-TSS'!B:G,6,FALSE),"")</f>
        <v>25.86</v>
      </c>
      <c r="H40" s="1748">
        <f ca="1">IFERROR(VLOOKUP(B40,'銀行-TSS'!B:H,7,FALSE),"")</f>
        <v>2.6499999999999999E-2</v>
      </c>
      <c r="I40" s="1745" t="str">
        <f ca="1">IFERROR(IF(表格1[[#This Row],[配息頻率]]=0,"",CHOOSE(表格1[[#This Row],[配息頻率]],MONTH(J40),IF(MONTH(J40)&lt;=6,CONCATENATE(MONTH(J40)," / ",MONTH(J40)+6),CONCATENATE(MONTH(J40)-6," / ",MONTH(J40))),0,"2 / 4 / 8 / 11")),"")</f>
        <v>5 / 11</v>
      </c>
      <c r="J40" s="1749" t="str">
        <f ca="1">IFERROR(VLOOKUP(B40,'銀行-TSS'!B:P,15,FALSE),"")</f>
        <v>2024/11/11</v>
      </c>
      <c r="K40" s="1750">
        <f ca="1">IFERROR(VLOOKUP(表格1[[#This Row],[商品
代碼]],'銀行-TSS'!B:I,8,FALSE),"")</f>
        <v>2</v>
      </c>
      <c r="L40" s="1747">
        <f ca="1">IFERROR(VLOOKUP(B40,'銀行-TSS'!B:K,10,FALSE),"")</f>
        <v>65.849999999999994</v>
      </c>
      <c r="M40" s="1745" t="str">
        <f ca="1">IF(表格1[[#This Row],[含息申購
參考價]]&gt;100,"溢價",IF(表格1[[#This Row],[含息申購
參考價]]&lt;100,"折價","平價"))</f>
        <v>折價</v>
      </c>
      <c r="N40" s="1751">
        <f ca="1">IFERROR(VLOOKUP(B40,'銀行-TSS'!B:M,12,FALSE),"")</f>
        <v>5.0599999999999999E-2</v>
      </c>
      <c r="O40" s="1752">
        <f ca="1">IFERROR(VLOOKUP(表格1[[#This Row],[商品
代碼]],'銀行-TSS'!B:AJ,35,FALSE),"")</f>
        <v>0</v>
      </c>
      <c r="P40" s="1753">
        <f ca="1">IFERROR(VLOOKUP(表格1[[#This Row],[商品
代碼]],'銀行-TSS'!B:AE,30,FALSE),"")</f>
        <v>5.0900000000000001E-2</v>
      </c>
      <c r="Q40" s="1749" t="str">
        <f ca="1">IFERROR(IF(VLOOKUP(表格1[[#This Row],[商品
代碼]],'銀行-TSS'!B:AM,38,FALSE)="#N/A Field Not Applicable","",VLOOKUP(表格1[[#This Row],[商品
代碼]],'銀行-TSS'!B:AM,38,FALSE)),"")</f>
        <v>2049/11/11</v>
      </c>
      <c r="R40" s="1749" t="str">
        <f ca="1">IFERROR(VLOOKUP(表格1[[#This Row],[商品
代碼]],'銀行-TSS'!B:AH,33,FALSE),"")</f>
        <v>美元(USD)</v>
      </c>
      <c r="S40" s="1754">
        <f ca="1">IFERROR(VLOOKUP(B40,'銀行-TSS'!B:N,13,FALSE),"")</f>
        <v>2000</v>
      </c>
      <c r="T40" s="1754" t="str">
        <f ca="1">VLOOKUP(表格1[[#This Row],[商品
代碼]],'銀行-TSS'!B:AI,34,FALSE)</f>
        <v>自由選清單</v>
      </c>
      <c r="U40" s="1755" t="str">
        <f ca="1">IFERROR(VLOOKUP(B40,'銀行-TSS'!B:Q,16,FALSE),"")</f>
        <v>科技</v>
      </c>
      <c r="V40" s="1755" t="str">
        <f ca="1">IFERROR(VLOOKUP(表格1[[#This Row],[商品
代碼]],'銀行-TSS'!B:AG,32,FALSE),"")</f>
        <v>固定</v>
      </c>
      <c r="W40" s="1756" t="str">
        <f ca="1">IFERROR(IFERROR(VLOOKUP(表格1[[#This Row],[商品
代碼]],'3_是否下架'!A:B,2,FALSE),VLOOKUP(表格1[[#This Row],[商品
代碼]],'銀行-TSS'!B:AK,36,FALSE)),"")</f>
        <v>有</v>
      </c>
      <c r="Y40" s="400"/>
      <c r="Z40" s="400"/>
      <c r="AA40" s="401"/>
    </row>
    <row r="41" spans="2:27" s="399" customFormat="1" ht="24.75" customHeight="1">
      <c r="B41" s="1745" t="s">
        <v>1070</v>
      </c>
      <c r="C41" s="1745" t="str">
        <f ca="1">IFERROR(VLOOKUP(表格1[[#This Row],[商品
代碼]],'銀行-TSS'!B:V,21,FALSE),"")</f>
        <v>(PI)專投</v>
      </c>
      <c r="D41" s="1746" t="str">
        <f>IFERROR(VLOOKUP(表格1[[#This Row],[商品
代碼]],bond!B:F,5,FALSE),"")</f>
        <v>US09062XAG88</v>
      </c>
      <c r="E41" s="1746" t="str">
        <f ca="1">IFERROR(VLOOKUP(B41,'銀行-TSS'!B:D,3,FALSE),"")</f>
        <v>生物基因公司美元配息債券 3.15% 2050/5/1</v>
      </c>
      <c r="F41" s="1745" t="str">
        <f ca="1">IFERROR(VLOOKUP(B41,'銀行-TSS'!B:E,4,FALSE),"")</f>
        <v>Baa2 / BBB+ / -</v>
      </c>
      <c r="G41" s="1747">
        <f ca="1">IFERROR(VLOOKUP(B41,'銀行-TSS'!B:G,6,FALSE),"")</f>
        <v>25.83</v>
      </c>
      <c r="H41" s="1748">
        <f ca="1">IFERROR(VLOOKUP(B41,'銀行-TSS'!B:H,7,FALSE),"")</f>
        <v>3.15E-2</v>
      </c>
      <c r="I41" s="1745" t="str">
        <f ca="1">IFERROR(IF(表格1[[#This Row],[配息頻率]]=0,"",CHOOSE(表格1[[#This Row],[配息頻率]],MONTH(J41),IF(MONTH(J41)&lt;=6,CONCATENATE(MONTH(J41)," / ",MONTH(J41)+6),CONCATENATE(MONTH(J41)-6," / ",MONTH(J41))),0,"2 / 4 / 8 / 11")),"")</f>
        <v>5 / 11</v>
      </c>
      <c r="J41" s="1749" t="str">
        <f ca="1">IFERROR(VLOOKUP(B41,'銀行-TSS'!B:P,15,FALSE),"")</f>
        <v>2024/11/1</v>
      </c>
      <c r="K41" s="1750">
        <f ca="1">IFERROR(VLOOKUP(表格1[[#This Row],[商品
代碼]],'銀行-TSS'!B:I,8,FALSE),"")</f>
        <v>2</v>
      </c>
      <c r="L41" s="1747">
        <f ca="1">IFERROR(VLOOKUP(B41,'銀行-TSS'!B:K,10,FALSE),"")</f>
        <v>69.37</v>
      </c>
      <c r="M41" s="1745" t="str">
        <f ca="1">IF(表格1[[#This Row],[含息申購
參考價]]&gt;100,"溢價",IF(表格1[[#This Row],[含息申購
參考價]]&lt;100,"折價","平價"))</f>
        <v>折價</v>
      </c>
      <c r="N41" s="1751">
        <f ca="1">IFERROR(VLOOKUP(B41,'銀行-TSS'!B:M,12,FALSE),"")</f>
        <v>5.3999999999999999E-2</v>
      </c>
      <c r="O41" s="1752">
        <f ca="1">IFERROR(VLOOKUP(表格1[[#This Row],[商品
代碼]],'銀行-TSS'!B:AJ,35,FALSE),"")</f>
        <v>0</v>
      </c>
      <c r="P41" s="1753">
        <f ca="1">IFERROR(VLOOKUP(表格1[[#This Row],[商品
代碼]],'銀行-TSS'!B:AE,30,FALSE),"")</f>
        <v>5.4300000000000001E-2</v>
      </c>
      <c r="Q41" s="1749" t="str">
        <f ca="1">IFERROR(IF(VLOOKUP(表格1[[#This Row],[商品
代碼]],'銀行-TSS'!B:AM,38,FALSE)="#N/A Field Not Applicable","",VLOOKUP(表格1[[#This Row],[商品
代碼]],'銀行-TSS'!B:AM,38,FALSE)),"")</f>
        <v>2049/11/1</v>
      </c>
      <c r="R41" s="1749" t="str">
        <f ca="1">IFERROR(VLOOKUP(表格1[[#This Row],[商品
代碼]],'銀行-TSS'!B:AH,33,FALSE),"")</f>
        <v>美元(USD)</v>
      </c>
      <c r="S41" s="1754">
        <f ca="1">IFERROR(VLOOKUP(B41,'銀行-TSS'!B:N,13,FALSE),"")</f>
        <v>10000</v>
      </c>
      <c r="T41" s="1754" t="str">
        <f ca="1">VLOOKUP(表格1[[#This Row],[商品
代碼]],'銀行-TSS'!B:AI,34,FALSE)</f>
        <v>自由選清單</v>
      </c>
      <c r="U41" s="1755" t="str">
        <f ca="1">IFERROR(VLOOKUP(B41,'銀行-TSS'!B:Q,16,FALSE),"")</f>
        <v>醫療保健</v>
      </c>
      <c r="V41" s="1755" t="str">
        <f ca="1">IFERROR(VLOOKUP(表格1[[#This Row],[商品
代碼]],'銀行-TSS'!B:AG,32,FALSE),"")</f>
        <v>固定</v>
      </c>
      <c r="W41" s="1756" t="str">
        <f ca="1">IFERROR(IFERROR(VLOOKUP(表格1[[#This Row],[商品
代碼]],'3_是否下架'!A:B,2,FALSE),VLOOKUP(表格1[[#This Row],[商品
代碼]],'銀行-TSS'!B:AK,36,FALSE)),"")</f>
        <v>有</v>
      </c>
      <c r="Y41" s="400"/>
      <c r="Z41" s="400"/>
      <c r="AA41" s="401"/>
    </row>
    <row r="42" spans="2:27" s="399" customFormat="1" ht="24.75" customHeight="1">
      <c r="B42" s="1745" t="s">
        <v>1155</v>
      </c>
      <c r="C42" s="1745" t="str">
        <f ca="1">IFERROR(VLOOKUP(表格1[[#This Row],[商品
代碼]],'銀行-TSS'!B:V,21,FALSE),"")</f>
        <v>(PI)專投</v>
      </c>
      <c r="D42" s="1746" t="str">
        <f>IFERROR(VLOOKUP(表格1[[#This Row],[商品
代碼]],bond!B:F,5,FALSE),"")</f>
        <v>US097023CW33</v>
      </c>
      <c r="E42" s="1746" t="str">
        <f ca="1">IFERROR(VLOOKUP(B42,'銀行-TSS'!B:D,3,FALSE),"")</f>
        <v>波音公司美元配息債券 5.805% 2050/5/1</v>
      </c>
      <c r="F42" s="1745" t="str">
        <f ca="1">IFERROR(VLOOKUP(B42,'銀行-TSS'!B:E,4,FALSE),"")</f>
        <v>Baa3 / BBB- / BBB-</v>
      </c>
      <c r="G42" s="1747">
        <f ca="1">IFERROR(VLOOKUP(B42,'銀行-TSS'!B:G,6,FALSE),"")</f>
        <v>25.83</v>
      </c>
      <c r="H42" s="1748">
        <f ca="1">IFERROR(VLOOKUP(B42,'銀行-TSS'!B:H,7,FALSE),"")</f>
        <v>5.8049999999999997E-2</v>
      </c>
      <c r="I42" s="1745" t="str">
        <f ca="1">IFERROR(IF(表格1[[#This Row],[配息頻率]]=0,"",CHOOSE(表格1[[#This Row],[配息頻率]],MONTH(J42),IF(MONTH(J42)&lt;=6,CONCATENATE(MONTH(J42)," / ",MONTH(J42)+6),CONCATENATE(MONTH(J42)-6," / ",MONTH(J42))),0,"2 / 4 / 8 / 11")),"")</f>
        <v>5 / 11</v>
      </c>
      <c r="J42" s="1749" t="str">
        <f ca="1">IFERROR(VLOOKUP(B42,'銀行-TSS'!B:P,15,FALSE),"")</f>
        <v>2024/11/1</v>
      </c>
      <c r="K42" s="1750">
        <f ca="1">IFERROR(VLOOKUP(表格1[[#This Row],[商品
代碼]],'銀行-TSS'!B:I,8,FALSE),"")</f>
        <v>2</v>
      </c>
      <c r="L42" s="1747">
        <f ca="1">IFERROR(VLOOKUP(B42,'銀行-TSS'!B:K,10,FALSE),"")</f>
        <v>95.6</v>
      </c>
      <c r="M42" s="1745" t="str">
        <f ca="1">IF(表格1[[#This Row],[含息申購
參考價]]&gt;100,"溢價",IF(表格1[[#This Row],[含息申購
參考價]]&lt;100,"折價","平價"))</f>
        <v>折價</v>
      </c>
      <c r="N42" s="1751">
        <f ca="1">IFERROR(VLOOKUP(B42,'銀行-TSS'!B:M,12,FALSE),"")</f>
        <v>6.2300000000000001E-2</v>
      </c>
      <c r="O42" s="1752">
        <f ca="1">IFERROR(VLOOKUP(表格1[[#This Row],[商品
代碼]],'銀行-TSS'!B:AJ,35,FALSE),"")</f>
        <v>0</v>
      </c>
      <c r="P42" s="1753">
        <f ca="1">IFERROR(VLOOKUP(表格1[[#This Row],[商品
代碼]],'銀行-TSS'!B:AE,30,FALSE),"")</f>
        <v>6.2300000000000001E-2</v>
      </c>
      <c r="Q42" s="1749" t="str">
        <f ca="1">IFERROR(IF(VLOOKUP(表格1[[#This Row],[商品
代碼]],'銀行-TSS'!B:AM,38,FALSE)="#N/A Field Not Applicable","",VLOOKUP(表格1[[#This Row],[商品
代碼]],'銀行-TSS'!B:AM,38,FALSE)),"")</f>
        <v>2049/11/1</v>
      </c>
      <c r="R42" s="1749" t="str">
        <f ca="1">IFERROR(VLOOKUP(表格1[[#This Row],[商品
代碼]],'銀行-TSS'!B:AH,33,FALSE),"")</f>
        <v>美元(USD)</v>
      </c>
      <c r="S42" s="1754">
        <f ca="1">IFERROR(VLOOKUP(B42,'銀行-TSS'!B:N,13,FALSE),"")</f>
        <v>10000</v>
      </c>
      <c r="T42" s="1754" t="str">
        <f ca="1">VLOOKUP(表格1[[#This Row],[商品
代碼]],'銀行-TSS'!B:AI,34,FALSE)</f>
        <v>自由選清單</v>
      </c>
      <c r="U42" s="1755" t="str">
        <f ca="1">IFERROR(VLOOKUP(B42,'銀行-TSS'!B:Q,16,FALSE),"")</f>
        <v>工業</v>
      </c>
      <c r="V42" s="1755" t="str">
        <f ca="1">IFERROR(VLOOKUP(表格1[[#This Row],[商品
代碼]],'銀行-TSS'!B:AG,32,FALSE),"")</f>
        <v>固定</v>
      </c>
      <c r="W42" s="1756" t="str">
        <f ca="1">IFERROR(IFERROR(VLOOKUP(表格1[[#This Row],[商品
代碼]],'3_是否下架'!A:B,2,FALSE),VLOOKUP(表格1[[#This Row],[商品
代碼]],'銀行-TSS'!B:AK,36,FALSE)),"")</f>
        <v>有</v>
      </c>
      <c r="Y42" s="400"/>
      <c r="Z42" s="400"/>
      <c r="AA42" s="401"/>
    </row>
    <row r="43" spans="2:27" s="399" customFormat="1" ht="24.75" customHeight="1">
      <c r="B43" s="1745" t="s">
        <v>993</v>
      </c>
      <c r="C43" s="1745" t="str">
        <f ca="1">IFERROR(VLOOKUP(表格1[[#This Row],[商品
代碼]],'銀行-TSS'!B:V,21,FALSE),"")</f>
        <v>(NPI)非專投</v>
      </c>
      <c r="D43" s="1746" t="str">
        <f>IFERROR(VLOOKUP(表格1[[#This Row],[商品
代碼]],bond!B:F,5,FALSE),"")</f>
        <v>US437076CD22</v>
      </c>
      <c r="E43" s="1746" t="str">
        <f ca="1">IFERROR(VLOOKUP(B43,'銀行-TSS'!B:D,3,FALSE),"")</f>
        <v>家得寶公司美元配息債券  3.35% 2050/4/15</v>
      </c>
      <c r="F43" s="1745" t="str">
        <f ca="1">IFERROR(VLOOKUP(B43,'銀行-TSS'!B:E,4,FALSE),"")</f>
        <v>A2 / A / A</v>
      </c>
      <c r="G43" s="1747">
        <f ca="1">IFERROR(VLOOKUP(B43,'銀行-TSS'!B:G,6,FALSE),"")</f>
        <v>25.79</v>
      </c>
      <c r="H43" s="1748">
        <f ca="1">IFERROR(VLOOKUP(B43,'銀行-TSS'!B:H,7,FALSE),"")</f>
        <v>3.3500000000000002E-2</v>
      </c>
      <c r="I43" s="1745" t="str">
        <f ca="1">IFERROR(IF(表格1[[#This Row],[配息頻率]]=0,"",CHOOSE(表格1[[#This Row],[配息頻率]],MONTH(J43),IF(MONTH(J43)&lt;=6,CONCATENATE(MONTH(J43)," / ",MONTH(J43)+6),CONCATENATE(MONTH(J43)-6," / ",MONTH(J43))),0,"2 / 4 / 8 / 11")),"")</f>
        <v>4 / 10</v>
      </c>
      <c r="J43" s="1749" t="str">
        <f ca="1">IFERROR(VLOOKUP(B43,'銀行-TSS'!B:P,15,FALSE),"")</f>
        <v>2024/10/15</v>
      </c>
      <c r="K43" s="1750">
        <f ca="1">IFERROR(VLOOKUP(表格1[[#This Row],[商品
代碼]],'銀行-TSS'!B:I,8,FALSE),"")</f>
        <v>2</v>
      </c>
      <c r="L43" s="1747">
        <f ca="1">IFERROR(VLOOKUP(B43,'銀行-TSS'!B:K,10,FALSE),"")</f>
        <v>75.959999999999994</v>
      </c>
      <c r="M43" s="1745" t="str">
        <f ca="1">IF(表格1[[#This Row],[含息申購
參考價]]&gt;100,"溢價",IF(表格1[[#This Row],[含息申購
參考價]]&lt;100,"折價","平價"))</f>
        <v>折價</v>
      </c>
      <c r="N43" s="1751">
        <f ca="1">IFERROR(VLOOKUP(B43,'銀行-TSS'!B:M,12,FALSE),"")</f>
        <v>5.0799999999999998E-2</v>
      </c>
      <c r="O43" s="1752">
        <f ca="1">IFERROR(VLOOKUP(表格1[[#This Row],[商品
代碼]],'銀行-TSS'!B:AJ,35,FALSE),"")</f>
        <v>0</v>
      </c>
      <c r="P43" s="1753">
        <f ca="1">IFERROR(VLOOKUP(表格1[[#This Row],[商品
代碼]],'銀行-TSS'!B:AE,30,FALSE),"")</f>
        <v>5.0999999999999997E-2</v>
      </c>
      <c r="Q43" s="1749" t="str">
        <f ca="1">IFERROR(IF(VLOOKUP(表格1[[#This Row],[商品
代碼]],'銀行-TSS'!B:AM,38,FALSE)="#N/A Field Not Applicable","",VLOOKUP(表格1[[#This Row],[商品
代碼]],'銀行-TSS'!B:AM,38,FALSE)),"")</f>
        <v>2049/10/15</v>
      </c>
      <c r="R43" s="1749" t="str">
        <f ca="1">IFERROR(VLOOKUP(表格1[[#This Row],[商品
代碼]],'銀行-TSS'!B:AH,33,FALSE),"")</f>
        <v>美元(USD)</v>
      </c>
      <c r="S43" s="1754">
        <f ca="1">IFERROR(VLOOKUP(B43,'銀行-TSS'!B:N,13,FALSE),"")</f>
        <v>2000</v>
      </c>
      <c r="T43" s="1754" t="str">
        <f ca="1">VLOOKUP(表格1[[#This Row],[商品
代碼]],'銀行-TSS'!B:AI,34,FALSE)</f>
        <v>自由選清單</v>
      </c>
      <c r="U43" s="1755" t="str">
        <f ca="1">IFERROR(VLOOKUP(B43,'銀行-TSS'!B:Q,16,FALSE),"")</f>
        <v>非核心消費</v>
      </c>
      <c r="V43" s="1755" t="str">
        <f ca="1">IFERROR(VLOOKUP(表格1[[#This Row],[商品
代碼]],'銀行-TSS'!B:AG,32,FALSE),"")</f>
        <v>固定</v>
      </c>
      <c r="W43" s="1756" t="str">
        <f ca="1">IFERROR(IFERROR(VLOOKUP(表格1[[#This Row],[商品
代碼]],'3_是否下架'!A:B,2,FALSE),VLOOKUP(表格1[[#This Row],[商品
代碼]],'銀行-TSS'!B:AK,36,FALSE)),"")</f>
        <v>有</v>
      </c>
      <c r="Y43" s="400"/>
      <c r="Z43" s="400"/>
      <c r="AA43" s="401"/>
    </row>
    <row r="44" spans="2:27" s="399" customFormat="1" ht="24.75" customHeight="1">
      <c r="B44" s="1745" t="s">
        <v>1003</v>
      </c>
      <c r="C44" s="1745" t="str">
        <f ca="1">IFERROR(VLOOKUP(表格1[[#This Row],[商品
代碼]],'銀行-TSS'!B:V,21,FALSE),"")</f>
        <v>(PI)專投</v>
      </c>
      <c r="D44" s="1746" t="str">
        <f>IFERROR(VLOOKUP(表格1[[#This Row],[商品
代碼]],bond!B:F,5,FALSE),"")</f>
        <v>US931427AT57</v>
      </c>
      <c r="E44" s="1746" t="str">
        <f ca="1">IFERROR(VLOOKUP(B44,'銀行-TSS'!B:D,3,FALSE),"")</f>
        <v>沃爾格林博姿聯合公司美元配息債券 4.1% 2050/4/15</v>
      </c>
      <c r="F44" s="1745" t="str">
        <f ca="1">IFERROR(VLOOKUP(B44,'銀行-TSS'!B:E,4,FALSE),"")</f>
        <v>Ba2 / BBB- / WD</v>
      </c>
      <c r="G44" s="1747">
        <f ca="1">IFERROR(VLOOKUP(B44,'銀行-TSS'!B:G,6,FALSE),"")</f>
        <v>25.79</v>
      </c>
      <c r="H44" s="1748">
        <f ca="1">IFERROR(VLOOKUP(B44,'銀行-TSS'!B:H,7,FALSE),"")</f>
        <v>4.0999999999999995E-2</v>
      </c>
      <c r="I44" s="1745" t="str">
        <f ca="1">IFERROR(IF(表格1[[#This Row],[配息頻率]]=0,"",CHOOSE(表格1[[#This Row],[配息頻率]],MONTH(J44),IF(MONTH(J44)&lt;=6,CONCATENATE(MONTH(J44)," / ",MONTH(J44)+6),CONCATENATE(MONTH(J44)-6," / ",MONTH(J44))),0,"2 / 4 / 8 / 11")),"")</f>
        <v>4 / 10</v>
      </c>
      <c r="J44" s="1749" t="str">
        <f ca="1">IFERROR(VLOOKUP(B44,'銀行-TSS'!B:P,15,FALSE),"")</f>
        <v>2024/10/15</v>
      </c>
      <c r="K44" s="1750">
        <f ca="1">IFERROR(VLOOKUP(表格1[[#This Row],[商品
代碼]],'銀行-TSS'!B:I,8,FALSE),"")</f>
        <v>2</v>
      </c>
      <c r="L44" s="1747">
        <f ca="1">IFERROR(VLOOKUP(B44,'銀行-TSS'!B:K,10,FALSE),"")</f>
        <v>74.12</v>
      </c>
      <c r="M44" s="1745" t="str">
        <f ca="1">IF(表格1[[#This Row],[含息申購
參考價]]&gt;100,"溢價",IF(表格1[[#This Row],[含息申購
參考價]]&lt;100,"折價","平價"))</f>
        <v>折價</v>
      </c>
      <c r="N44" s="1751">
        <f ca="1">IFERROR(VLOOKUP(B44,'銀行-TSS'!B:M,12,FALSE),"")</f>
        <v>6.1899999999999997E-2</v>
      </c>
      <c r="O44" s="1752">
        <f ca="1">IFERROR(VLOOKUP(表格1[[#This Row],[商品
代碼]],'銀行-TSS'!B:AJ,35,FALSE),"")</f>
        <v>0</v>
      </c>
      <c r="P44" s="1753">
        <f ca="1">IFERROR(VLOOKUP(表格1[[#This Row],[商品
代碼]],'銀行-TSS'!B:AE,30,FALSE),"")</f>
        <v>6.2100000000000002E-2</v>
      </c>
      <c r="Q44" s="1749" t="str">
        <f ca="1">IFERROR(IF(VLOOKUP(表格1[[#This Row],[商品
代碼]],'銀行-TSS'!B:AM,38,FALSE)="#N/A Field Not Applicable","",VLOOKUP(表格1[[#This Row],[商品
代碼]],'銀行-TSS'!B:AM,38,FALSE)),"")</f>
        <v>2049/10/15</v>
      </c>
      <c r="R44" s="1749" t="str">
        <f ca="1">IFERROR(VLOOKUP(表格1[[#This Row],[商品
代碼]],'銀行-TSS'!B:AH,33,FALSE),"")</f>
        <v>美元(USD)</v>
      </c>
      <c r="S44" s="1754">
        <f ca="1">IFERROR(VLOOKUP(B44,'銀行-TSS'!B:N,13,FALSE),"")</f>
        <v>10000</v>
      </c>
      <c r="T44" s="1754" t="str">
        <f ca="1">VLOOKUP(表格1[[#This Row],[商品
代碼]],'銀行-TSS'!B:AI,34,FALSE)</f>
        <v>自由選清單</v>
      </c>
      <c r="U44" s="1755" t="str">
        <f ca="1">IFERROR(VLOOKUP(B44,'銀行-TSS'!B:Q,16,FALSE),"")</f>
        <v>核心消費</v>
      </c>
      <c r="V44" s="1755" t="str">
        <f ca="1">IFERROR(VLOOKUP(表格1[[#This Row],[商品
代碼]],'銀行-TSS'!B:AG,32,FALSE),"")</f>
        <v>固定</v>
      </c>
      <c r="W44" s="1756" t="str">
        <f ca="1">IFERROR(IFERROR(VLOOKUP(表格1[[#This Row],[商品
代碼]],'3_是否下架'!A:B,2,FALSE),VLOOKUP(表格1[[#This Row],[商品
代碼]],'銀行-TSS'!B:AK,36,FALSE)),"")</f>
        <v>有</v>
      </c>
      <c r="Y44" s="400"/>
      <c r="Z44" s="400"/>
      <c r="AA44" s="401"/>
    </row>
    <row r="45" spans="2:27" s="399" customFormat="1" ht="24.75" customHeight="1">
      <c r="B45" s="1745" t="s">
        <v>981</v>
      </c>
      <c r="C45" s="1745" t="str">
        <f ca="1">IFERROR(VLOOKUP(表格1[[#This Row],[商品
代碼]],'銀行-TSS'!B:V,21,FALSE),"")</f>
        <v>(PI)專投</v>
      </c>
      <c r="D45" s="1746" t="str">
        <f>IFERROR(VLOOKUP(表格1[[#This Row],[商品
代碼]],bond!B:F,5,FALSE),"")</f>
        <v>US68389XBX21</v>
      </c>
      <c r="E45" s="1746" t="str">
        <f ca="1">IFERROR(VLOOKUP(B45,'銀行-TSS'!B:D,3,FALSE),"")</f>
        <v>甲骨文公司美元配息債券  3.6% 2050/4/1</v>
      </c>
      <c r="F45" s="1745" t="str">
        <f ca="1">IFERROR(VLOOKUP(B45,'銀行-TSS'!B:E,4,FALSE),"")</f>
        <v>Baa2 / BBB / BBB</v>
      </c>
      <c r="G45" s="1747">
        <f ca="1">IFERROR(VLOOKUP(B45,'銀行-TSS'!B:G,6,FALSE),"")</f>
        <v>25.75</v>
      </c>
      <c r="H45" s="1748">
        <f ca="1">IFERROR(VLOOKUP(B45,'銀行-TSS'!B:H,7,FALSE),"")</f>
        <v>3.6000000000000004E-2</v>
      </c>
      <c r="I45" s="1745" t="str">
        <f ca="1">IFERROR(IF(表格1[[#This Row],[配息頻率]]=0,"",CHOOSE(表格1[[#This Row],[配息頻率]],MONTH(J45),IF(MONTH(J45)&lt;=6,CONCATENATE(MONTH(J45)," / ",MONTH(J45)+6),CONCATENATE(MONTH(J45)-6," / ",MONTH(J45))),0,"2 / 4 / 8 / 11")),"")</f>
        <v>4 / 10</v>
      </c>
      <c r="J45" s="1749" t="str">
        <f ca="1">IFERROR(VLOOKUP(B45,'銀行-TSS'!B:P,15,FALSE),"")</f>
        <v>2024/10/1</v>
      </c>
      <c r="K45" s="1750">
        <f ca="1">IFERROR(VLOOKUP(表格1[[#This Row],[商品
代碼]],'銀行-TSS'!B:I,8,FALSE),"")</f>
        <v>2</v>
      </c>
      <c r="L45" s="1747">
        <f ca="1">IFERROR(VLOOKUP(B45,'銀行-TSS'!B:K,10,FALSE),"")</f>
        <v>74.88</v>
      </c>
      <c r="M45" s="1745" t="str">
        <f ca="1">IF(表格1[[#This Row],[含息申購
參考價]]&gt;100,"溢價",IF(表格1[[#This Row],[含息申購
參考價]]&lt;100,"折價","平價"))</f>
        <v>折價</v>
      </c>
      <c r="N45" s="1751">
        <f ca="1">IFERROR(VLOOKUP(B45,'銀行-TSS'!B:M,12,FALSE),"")</f>
        <v>5.5E-2</v>
      </c>
      <c r="O45" s="1752">
        <f ca="1">IFERROR(VLOOKUP(表格1[[#This Row],[商品
代碼]],'銀行-TSS'!B:AJ,35,FALSE),"")</f>
        <v>0</v>
      </c>
      <c r="P45" s="1753">
        <f ca="1">IFERROR(VLOOKUP(表格1[[#This Row],[商品
代碼]],'銀行-TSS'!B:AE,30,FALSE),"")</f>
        <v>5.5199999999999999E-2</v>
      </c>
      <c r="Q45" s="1749" t="str">
        <f ca="1">IFERROR(IF(VLOOKUP(表格1[[#This Row],[商品
代碼]],'銀行-TSS'!B:AM,38,FALSE)="#N/A Field Not Applicable","",VLOOKUP(表格1[[#This Row],[商品
代碼]],'銀行-TSS'!B:AM,38,FALSE)),"")</f>
        <v>2049/10/1</v>
      </c>
      <c r="R45" s="1749" t="str">
        <f ca="1">IFERROR(VLOOKUP(表格1[[#This Row],[商品
代碼]],'銀行-TSS'!B:AH,33,FALSE),"")</f>
        <v>美元(USD)</v>
      </c>
      <c r="S45" s="1754">
        <f ca="1">IFERROR(VLOOKUP(B45,'銀行-TSS'!B:N,13,FALSE),"")</f>
        <v>10000</v>
      </c>
      <c r="T45" s="1754" t="str">
        <f ca="1">VLOOKUP(表格1[[#This Row],[商品
代碼]],'銀行-TSS'!B:AI,34,FALSE)</f>
        <v>自由選清單</v>
      </c>
      <c r="U45" s="1755" t="str">
        <f ca="1">IFERROR(VLOOKUP(B45,'銀行-TSS'!B:Q,16,FALSE),"")</f>
        <v>科技</v>
      </c>
      <c r="V45" s="1755" t="str">
        <f ca="1">IFERROR(VLOOKUP(表格1[[#This Row],[商品
代碼]],'銀行-TSS'!B:AG,32,FALSE),"")</f>
        <v>固定</v>
      </c>
      <c r="W45" s="1756" t="str">
        <f ca="1">IFERROR(IFERROR(VLOOKUP(表格1[[#This Row],[商品
代碼]],'3_是否下架'!A:B,2,FALSE),VLOOKUP(表格1[[#This Row],[商品
代碼]],'銀行-TSS'!B:AK,36,FALSE)),"")</f>
        <v>有</v>
      </c>
      <c r="Y45" s="400"/>
      <c r="Z45" s="400"/>
      <c r="AA45" s="401"/>
    </row>
    <row r="46" spans="2:27" s="399" customFormat="1" ht="24.75" customHeight="1">
      <c r="B46" s="1745" t="s">
        <v>1053</v>
      </c>
      <c r="C46" s="1745" t="str">
        <f ca="1">IFERROR(VLOOKUP(表格1[[#This Row],[商品
代碼]],'銀行-TSS'!B:V,21,FALSE),"")</f>
        <v>(PI)專投</v>
      </c>
      <c r="D46" s="1746" t="str">
        <f>IFERROR(VLOOKUP(表格1[[#This Row],[商品
代碼]],bond!B:F,5,FALSE),"")</f>
        <v>US209111FY40</v>
      </c>
      <c r="E46" s="1746" t="str">
        <f ca="1">IFERROR(VLOOKUP(B46,'銀行-TSS'!B:D,3,FALSE),"")</f>
        <v>紐約聯合愛迪生公司美元配息債券 3.95% 2050/4/1</v>
      </c>
      <c r="F46" s="1745" t="str">
        <f ca="1">IFERROR(VLOOKUP(B46,'銀行-TSS'!B:E,4,FALSE),"")</f>
        <v>A3 / A- / A-</v>
      </c>
      <c r="G46" s="1747">
        <f ca="1">IFERROR(VLOOKUP(B46,'銀行-TSS'!B:G,6,FALSE),"")</f>
        <v>25.75</v>
      </c>
      <c r="H46" s="1748">
        <f ca="1">IFERROR(VLOOKUP(B46,'銀行-TSS'!B:H,7,FALSE),"")</f>
        <v>3.95E-2</v>
      </c>
      <c r="I46" s="1745" t="str">
        <f ca="1">IFERROR(IF(表格1[[#This Row],[配息頻率]]=0,"",CHOOSE(表格1[[#This Row],[配息頻率]],MONTH(J46),IF(MONTH(J46)&lt;=6,CONCATENATE(MONTH(J46)," / ",MONTH(J46)+6),CONCATENATE(MONTH(J46)-6," / ",MONTH(J46))),0,"2 / 4 / 8 / 11")),"")</f>
        <v>4 / 10</v>
      </c>
      <c r="J46" s="1749" t="str">
        <f ca="1">IFERROR(VLOOKUP(B46,'銀行-TSS'!B:P,15,FALSE),"")</f>
        <v>2024/10/1</v>
      </c>
      <c r="K46" s="1750">
        <f ca="1">IFERROR(VLOOKUP(表格1[[#This Row],[商品
代碼]],'銀行-TSS'!B:I,8,FALSE),"")</f>
        <v>2</v>
      </c>
      <c r="L46" s="1747">
        <f ca="1">IFERROR(VLOOKUP(B46,'銀行-TSS'!B:K,10,FALSE),"")</f>
        <v>83.43</v>
      </c>
      <c r="M46" s="1745" t="str">
        <f ca="1">IF(表格1[[#This Row],[含息申購
參考價]]&gt;100,"溢價",IF(表格1[[#This Row],[含息申購
參考價]]&lt;100,"折價","平價"))</f>
        <v>折價</v>
      </c>
      <c r="N46" s="1751">
        <f ca="1">IFERROR(VLOOKUP(B46,'銀行-TSS'!B:M,12,FALSE),"")</f>
        <v>5.1900000000000002E-2</v>
      </c>
      <c r="O46" s="1752">
        <f ca="1">IFERROR(VLOOKUP(表格1[[#This Row],[商品
代碼]],'銀行-TSS'!B:AJ,35,FALSE),"")</f>
        <v>0</v>
      </c>
      <c r="P46" s="1753">
        <f ca="1">IFERROR(VLOOKUP(表格1[[#This Row],[商品
代碼]],'銀行-TSS'!B:AE,30,FALSE),"")</f>
        <v>5.21E-2</v>
      </c>
      <c r="Q46" s="1749" t="str">
        <f ca="1">IFERROR(IF(VLOOKUP(表格1[[#This Row],[商品
代碼]],'銀行-TSS'!B:AM,38,FALSE)="#N/A Field Not Applicable","",VLOOKUP(表格1[[#This Row],[商品
代碼]],'銀行-TSS'!B:AM,38,FALSE)),"")</f>
        <v>2049/10/1</v>
      </c>
      <c r="R46" s="1749" t="str">
        <f ca="1">IFERROR(VLOOKUP(表格1[[#This Row],[商品
代碼]],'銀行-TSS'!B:AH,33,FALSE),"")</f>
        <v>美元(USD)</v>
      </c>
      <c r="S46" s="1754">
        <f ca="1">IFERROR(VLOOKUP(B46,'銀行-TSS'!B:N,13,FALSE),"")</f>
        <v>10000</v>
      </c>
      <c r="T46" s="1754" t="str">
        <f ca="1">VLOOKUP(表格1[[#This Row],[商品
代碼]],'銀行-TSS'!B:AI,34,FALSE)</f>
        <v>自由選清單</v>
      </c>
      <c r="U46" s="1755" t="str">
        <f ca="1">IFERROR(VLOOKUP(B46,'銀行-TSS'!B:Q,16,FALSE),"")</f>
        <v>公用事業</v>
      </c>
      <c r="V46" s="1755" t="str">
        <f ca="1">IFERROR(VLOOKUP(表格1[[#This Row],[商品
代碼]],'銀行-TSS'!B:AG,32,FALSE),"")</f>
        <v>固定</v>
      </c>
      <c r="W46" s="1756" t="str">
        <f ca="1">IFERROR(IFERROR(VLOOKUP(表格1[[#This Row],[商品
代碼]],'3_是否下架'!A:B,2,FALSE),VLOOKUP(表格1[[#This Row],[商品
代碼]],'銀行-TSS'!B:AK,36,FALSE)),"")</f>
        <v>有</v>
      </c>
      <c r="Y46" s="400"/>
      <c r="Z46" s="400"/>
      <c r="AA46" s="401"/>
    </row>
    <row r="47" spans="2:27" s="399" customFormat="1" ht="24.75" customHeight="1">
      <c r="B47" s="1745" t="s">
        <v>1018</v>
      </c>
      <c r="C47" s="1745" t="str">
        <f ca="1">IFERROR(VLOOKUP(表格1[[#This Row],[商品
代碼]],'銀行-TSS'!B:V,21,FALSE),"")</f>
        <v>(NPI)非專投</v>
      </c>
      <c r="D47" s="1746" t="str">
        <f>IFERROR(VLOOKUP(表格1[[#This Row],[商品
代碼]],bond!B:F,5,FALSE),"")</f>
        <v>US654106AM50</v>
      </c>
      <c r="E47" s="1746" t="str">
        <f ca="1">IFERROR(VLOOKUP(B47,'銀行-TSS'!B:D,3,FALSE),"")</f>
        <v>NIKE公司美元配息債券 3.375% 2050/3/27</v>
      </c>
      <c r="F47" s="1745" t="str">
        <f ca="1">IFERROR(VLOOKUP(B47,'銀行-TSS'!B:E,4,FALSE),"")</f>
        <v>A1 / AA- / -</v>
      </c>
      <c r="G47" s="1747">
        <f ca="1">IFERROR(VLOOKUP(B47,'銀行-TSS'!B:G,6,FALSE),"")</f>
        <v>25.73</v>
      </c>
      <c r="H47" s="1748">
        <f ca="1">IFERROR(VLOOKUP(B47,'銀行-TSS'!B:H,7,FALSE),"")</f>
        <v>3.3750000000000002E-2</v>
      </c>
      <c r="I47" s="1745" t="str">
        <f ca="1">IFERROR(IF(表格1[[#This Row],[配息頻率]]=0,"",CHOOSE(表格1[[#This Row],[配息頻率]],MONTH(J47),IF(MONTH(J47)&lt;=6,CONCATENATE(MONTH(J47)," / ",MONTH(J47)+6),CONCATENATE(MONTH(J47)-6," / ",MONTH(J47))),0,"2 / 4 / 8 / 11")),"")</f>
        <v>3 / 9</v>
      </c>
      <c r="J47" s="1749" t="str">
        <f ca="1">IFERROR(VLOOKUP(B47,'銀行-TSS'!B:P,15,FALSE),"")</f>
        <v>2024/9/27</v>
      </c>
      <c r="K47" s="1750">
        <f ca="1">IFERROR(VLOOKUP(表格1[[#This Row],[商品
代碼]],'銀行-TSS'!B:I,8,FALSE),"")</f>
        <v>2</v>
      </c>
      <c r="L47" s="1747">
        <f ca="1">IFERROR(VLOOKUP(B47,'銀行-TSS'!B:K,10,FALSE),"")</f>
        <v>77.11</v>
      </c>
      <c r="M47" s="1745" t="str">
        <f ca="1">IF(表格1[[#This Row],[含息申購
參考價]]&gt;100,"溢價",IF(表格1[[#This Row],[含息申購
參考價]]&lt;100,"折價","平價"))</f>
        <v>折價</v>
      </c>
      <c r="N47" s="1751">
        <f ca="1">IFERROR(VLOOKUP(B47,'銀行-TSS'!B:M,12,FALSE),"")</f>
        <v>5.0299999999999997E-2</v>
      </c>
      <c r="O47" s="1752">
        <f ca="1">IFERROR(VLOOKUP(表格1[[#This Row],[商品
代碼]],'銀行-TSS'!B:AJ,35,FALSE),"")</f>
        <v>0</v>
      </c>
      <c r="P47" s="1751">
        <f ca="1">IFERROR(VLOOKUP(表格1[[#This Row],[商品
代碼]],'銀行-TSS'!B:AE,30,FALSE),"")</f>
        <v>5.0500000000000003E-2</v>
      </c>
      <c r="Q47" s="1749" t="str">
        <f ca="1">IFERROR(IF(VLOOKUP(表格1[[#This Row],[商品
代碼]],'銀行-TSS'!B:AM,38,FALSE)="#N/A Field Not Applicable","",VLOOKUP(表格1[[#This Row],[商品
代碼]],'銀行-TSS'!B:AM,38,FALSE)),"")</f>
        <v>2049/9/27</v>
      </c>
      <c r="R47" s="1749" t="str">
        <f ca="1">IFERROR(VLOOKUP(表格1[[#This Row],[商品
代碼]],'銀行-TSS'!B:AH,33,FALSE),"")</f>
        <v>美元(USD)</v>
      </c>
      <c r="S47" s="1754">
        <f ca="1">IFERROR(VLOOKUP(B47,'銀行-TSS'!B:N,13,FALSE),"")</f>
        <v>10000</v>
      </c>
      <c r="T47" s="1754" t="str">
        <f ca="1">VLOOKUP(表格1[[#This Row],[商品
代碼]],'銀行-TSS'!B:AI,34,FALSE)</f>
        <v>自由選清單</v>
      </c>
      <c r="U47" s="1745" t="str">
        <f ca="1">IFERROR(VLOOKUP(B47,'銀行-TSS'!B:Q,16,FALSE),"")</f>
        <v>非核心消費</v>
      </c>
      <c r="V47" s="1755" t="str">
        <f ca="1">IFERROR(VLOOKUP(表格1[[#This Row],[商品
代碼]],'銀行-TSS'!B:AG,32,FALSE),"")</f>
        <v>固定</v>
      </c>
      <c r="W47" s="1757" t="str">
        <f ca="1">IFERROR(IFERROR(VLOOKUP(表格1[[#This Row],[商品
代碼]],'3_是否下架'!A:B,2,FALSE),VLOOKUP(表格1[[#This Row],[商品
代碼]],'銀行-TSS'!B:AK,36,FALSE)),"")</f>
        <v>有</v>
      </c>
      <c r="Y47" s="400"/>
      <c r="Z47" s="400"/>
      <c r="AA47" s="401"/>
    </row>
    <row r="48" spans="2:27" s="399" customFormat="1" ht="24.75" customHeight="1">
      <c r="B48" s="1745" t="s">
        <v>1059</v>
      </c>
      <c r="C48" s="1745" t="str">
        <f ca="1">IFERROR(VLOOKUP(表格1[[#This Row],[商品
代碼]],'銀行-TSS'!B:V,21,FALSE),"")</f>
        <v>(NPI)非專投</v>
      </c>
      <c r="D48" s="1746" t="str">
        <f>IFERROR(VLOOKUP(表格1[[#This Row],[商品
代碼]],bond!B:F,5,FALSE),"")</f>
        <v>US92343VFD10</v>
      </c>
      <c r="E48" s="1746" t="str">
        <f ca="1">IFERROR(VLOOKUP(B48,'銀行-TSS'!B:D,3,FALSE),"")</f>
        <v>威瑞森電信公司美元配息債券 4% 2050/3/22</v>
      </c>
      <c r="F48" s="1745" t="str">
        <f ca="1">IFERROR(VLOOKUP(B48,'銀行-TSS'!B:E,4,FALSE),"")</f>
        <v>Baa1 / BBB+ / A-</v>
      </c>
      <c r="G48" s="1747">
        <f ca="1">IFERROR(VLOOKUP(B48,'銀行-TSS'!B:G,6,FALSE),"")</f>
        <v>25.72</v>
      </c>
      <c r="H48" s="1748">
        <f ca="1">IFERROR(VLOOKUP(B48,'銀行-TSS'!B:H,7,FALSE),"")</f>
        <v>0.04</v>
      </c>
      <c r="I48" s="1745" t="str">
        <f ca="1">IFERROR(IF(表格1[[#This Row],[配息頻率]]=0,"",CHOOSE(表格1[[#This Row],[配息頻率]],MONTH(J48),IF(MONTH(J48)&lt;=6,CONCATENATE(MONTH(J48)," / ",MONTH(J48)+6),CONCATENATE(MONTH(J48)-6," / ",MONTH(J48))),0,"2 / 4 / 8 / 11")),"")</f>
        <v>3 / 9</v>
      </c>
      <c r="J48" s="1749" t="str">
        <f ca="1">IFERROR(VLOOKUP(B48,'銀行-TSS'!B:P,15,FALSE),"")</f>
        <v>2024/9/22</v>
      </c>
      <c r="K48" s="1750">
        <f ca="1">IFERROR(VLOOKUP(表格1[[#This Row],[商品
代碼]],'銀行-TSS'!B:I,8,FALSE),"")</f>
        <v>2</v>
      </c>
      <c r="L48" s="1747">
        <f ca="1">IFERROR(VLOOKUP(B48,'銀行-TSS'!B:K,10,FALSE),"")</f>
        <v>83.44</v>
      </c>
      <c r="M48" s="1745" t="str">
        <f ca="1">IF(表格1[[#This Row],[含息申購
參考價]]&gt;100,"溢價",IF(表格1[[#This Row],[含息申購
參考價]]&lt;100,"折價","平價"))</f>
        <v>折價</v>
      </c>
      <c r="N48" s="1751">
        <f ca="1">IFERROR(VLOOKUP(B48,'銀行-TSS'!B:M,12,FALSE),"")</f>
        <v>5.2600000000000001E-2</v>
      </c>
      <c r="O48" s="1752">
        <f ca="1">IFERROR(VLOOKUP(表格1[[#This Row],[商品
代碼]],'銀行-TSS'!B:AJ,35,FALSE),"")</f>
        <v>0</v>
      </c>
      <c r="P48" s="1753">
        <f ca="1">IFERROR(VLOOKUP(表格1[[#This Row],[商品
代碼]],'銀行-TSS'!B:AE,30,FALSE),"")</f>
        <v>5.2699999999999997E-2</v>
      </c>
      <c r="Q48" s="1749" t="str">
        <f ca="1">IFERROR(IF(VLOOKUP(表格1[[#This Row],[商品
代碼]],'銀行-TSS'!B:AM,38,FALSE)="#N/A Field Not Applicable","",VLOOKUP(表格1[[#This Row],[商品
代碼]],'銀行-TSS'!B:AM,38,FALSE)),"")</f>
        <v>2049/9/22</v>
      </c>
      <c r="R48" s="1749" t="str">
        <f ca="1">IFERROR(VLOOKUP(表格1[[#This Row],[商品
代碼]],'銀行-TSS'!B:AH,33,FALSE),"")</f>
        <v>美元(USD)</v>
      </c>
      <c r="S48" s="1754">
        <f ca="1">IFERROR(VLOOKUP(B48,'銀行-TSS'!B:N,13,FALSE),"")</f>
        <v>10000</v>
      </c>
      <c r="T48" s="1754" t="str">
        <f ca="1">VLOOKUP(表格1[[#This Row],[商品
代碼]],'銀行-TSS'!B:AI,34,FALSE)</f>
        <v>自由選清單</v>
      </c>
      <c r="U48" s="1755" t="str">
        <f ca="1">IFERROR(VLOOKUP(B48,'銀行-TSS'!B:Q,16,FALSE),"")</f>
        <v>通訊</v>
      </c>
      <c r="V48" s="1755" t="str">
        <f ca="1">IFERROR(VLOOKUP(表格1[[#This Row],[商品
代碼]],'銀行-TSS'!B:AG,32,FALSE),"")</f>
        <v>固定</v>
      </c>
      <c r="W48" s="1756" t="str">
        <f ca="1">IFERROR(IFERROR(VLOOKUP(表格1[[#This Row],[商品
代碼]],'3_是否下架'!A:B,2,FALSE),VLOOKUP(表格1[[#This Row],[商品
代碼]],'銀行-TSS'!B:AK,36,FALSE)),"")</f>
        <v>有</v>
      </c>
      <c r="Y48" s="400"/>
      <c r="Z48" s="400"/>
      <c r="AA48" s="401"/>
    </row>
    <row r="49" spans="2:27" s="399" customFormat="1" ht="24.75" customHeight="1">
      <c r="B49" s="1745" t="s">
        <v>979</v>
      </c>
      <c r="C49" s="1745" t="str">
        <f ca="1">IFERROR(VLOOKUP(表格1[[#This Row],[商品
代碼]],'銀行-TSS'!B:V,21,FALSE),"")</f>
        <v>(NPI)非專投</v>
      </c>
      <c r="D49" s="1746" t="str">
        <f>IFERROR(VLOOKUP(表格1[[#This Row],[商品
代碼]],bond!B:F,5,FALSE),"")</f>
        <v>US10373QBG47</v>
      </c>
      <c r="E49" s="1746" t="str">
        <f ca="1">IFERROR(VLOOKUP(B49,'銀行-TSS'!B:D,3,FALSE),"")</f>
        <v>BP資本市場美國公司美元配息債券 3% 2050/2/24</v>
      </c>
      <c r="F49" s="1745" t="str">
        <f ca="1">IFERROR(VLOOKUP(B49,'銀行-TSS'!B:E,4,FALSE),"")</f>
        <v>A1 / A- / A+</v>
      </c>
      <c r="G49" s="1747">
        <f ca="1">IFERROR(VLOOKUP(B49,'銀行-TSS'!B:G,6,FALSE),"")</f>
        <v>25.65</v>
      </c>
      <c r="H49" s="1748">
        <f ca="1">IFERROR(VLOOKUP(B49,'銀行-TSS'!B:H,7,FALSE),"")</f>
        <v>0.03</v>
      </c>
      <c r="I49" s="1745" t="str">
        <f ca="1">IFERROR(IF(表格1[[#This Row],[配息頻率]]=0,"",CHOOSE(表格1[[#This Row],[配息頻率]],MONTH(J49),IF(MONTH(J49)&lt;=6,CONCATENATE(MONTH(J49)," / ",MONTH(J49)+6),CONCATENATE(MONTH(J49)-6," / ",MONTH(J49))),0,"2 / 4 / 8 / 11")),"")</f>
        <v>2 / 8</v>
      </c>
      <c r="J49" s="1749" t="str">
        <f ca="1">IFERROR(VLOOKUP(B49,'銀行-TSS'!B:P,15,FALSE),"")</f>
        <v>2024/8/24</v>
      </c>
      <c r="K49" s="1750">
        <f ca="1">IFERROR(VLOOKUP(表格1[[#This Row],[商品
代碼]],'銀行-TSS'!B:I,8,FALSE),"")</f>
        <v>2</v>
      </c>
      <c r="L49" s="1747">
        <f ca="1">IFERROR(VLOOKUP(B49,'銀行-TSS'!B:K,10,FALSE),"")</f>
        <v>70.260000000000005</v>
      </c>
      <c r="M49" s="1745" t="str">
        <f ca="1">IF(表格1[[#This Row],[含息申購
參考價]]&gt;100,"溢價",IF(表格1[[#This Row],[含息申購
參考價]]&lt;100,"折價","平價"))</f>
        <v>折價</v>
      </c>
      <c r="N49" s="1751">
        <f ca="1">IFERROR(VLOOKUP(B49,'銀行-TSS'!B:M,12,FALSE),"")</f>
        <v>5.1900000000000002E-2</v>
      </c>
      <c r="O49" s="1752">
        <f ca="1">IFERROR(VLOOKUP(表格1[[#This Row],[商品
代碼]],'銀行-TSS'!B:AJ,35,FALSE),"")</f>
        <v>0</v>
      </c>
      <c r="P49" s="1751">
        <f ca="1">IFERROR(VLOOKUP(表格1[[#This Row],[商品
代碼]],'銀行-TSS'!B:AE,30,FALSE),"")</f>
        <v>5.21E-2</v>
      </c>
      <c r="Q49" s="1749" t="str">
        <f ca="1">IFERROR(IF(VLOOKUP(表格1[[#This Row],[商品
代碼]],'銀行-TSS'!B:AM,38,FALSE)="#N/A Field Not Applicable","",VLOOKUP(表格1[[#This Row],[商品
代碼]],'銀行-TSS'!B:AM,38,FALSE)),"")</f>
        <v>2049/8/24</v>
      </c>
      <c r="R49" s="1749" t="str">
        <f ca="1">IFERROR(VLOOKUP(表格1[[#This Row],[商品
代碼]],'銀行-TSS'!B:AH,33,FALSE),"")</f>
        <v>美元(USD)</v>
      </c>
      <c r="S49" s="1754">
        <f ca="1">IFERROR(VLOOKUP(B49,'銀行-TSS'!B:N,13,FALSE),"")</f>
        <v>10000</v>
      </c>
      <c r="T49" s="1754" t="str">
        <f ca="1">VLOOKUP(表格1[[#This Row],[商品
代碼]],'銀行-TSS'!B:AI,34,FALSE)</f>
        <v>自由選清單</v>
      </c>
      <c r="U49" s="1745" t="str">
        <f ca="1">IFERROR(VLOOKUP(B49,'銀行-TSS'!B:Q,16,FALSE),"")</f>
        <v>能源</v>
      </c>
      <c r="V49" s="1755" t="str">
        <f ca="1">IFERROR(VLOOKUP(表格1[[#This Row],[商品
代碼]],'銀行-TSS'!B:AG,32,FALSE),"")</f>
        <v>固定</v>
      </c>
      <c r="W49" s="1757" t="str">
        <f ca="1">IFERROR(IFERROR(VLOOKUP(表格1[[#This Row],[商品
代碼]],'3_是否下架'!A:B,2,FALSE),VLOOKUP(表格1[[#This Row],[商品
代碼]],'銀行-TSS'!B:AK,36,FALSE)),"")</f>
        <v>有</v>
      </c>
      <c r="Y49" s="400"/>
      <c r="Z49" s="400"/>
      <c r="AA49" s="401"/>
    </row>
    <row r="50" spans="2:27" s="399" customFormat="1" ht="24.75" customHeight="1">
      <c r="B50" s="1745" t="s">
        <v>1176</v>
      </c>
      <c r="C50" s="1745" t="str">
        <f ca="1">IFERROR(VLOOKUP(表格1[[#This Row],[商品
代碼]],'銀行-TSS'!B:V,21,FALSE),"")</f>
        <v>(PI)專投</v>
      </c>
      <c r="D50" s="1746" t="str">
        <f>IFERROR(VLOOKUP(表格1[[#This Row],[商品
代碼]],bond!B:F,5,FALSE),"")</f>
        <v>US031162CS70</v>
      </c>
      <c r="E50" s="1746" t="str">
        <f ca="1">IFERROR(VLOOKUP(B50,'銀行-TSS'!B:D,3,FALSE),"")</f>
        <v>安進公司美元配息債券 3.375% 2050/2/21</v>
      </c>
      <c r="F50" s="1745" t="str">
        <f ca="1">IFERROR(VLOOKUP(B50,'銀行-TSS'!B:E,4,FALSE),"")</f>
        <v>Baa1 / BBB+ / BBB</v>
      </c>
      <c r="G50" s="1747">
        <f ca="1">IFERROR(VLOOKUP(B50,'銀行-TSS'!B:G,6,FALSE),"")</f>
        <v>25.64</v>
      </c>
      <c r="H50" s="1748">
        <f ca="1">IFERROR(VLOOKUP(B50,'銀行-TSS'!B:H,7,FALSE),"")</f>
        <v>3.3750000000000002E-2</v>
      </c>
      <c r="I50" s="1745" t="str">
        <f ca="1">IFERROR(IF(表格1[[#This Row],[配息頻率]]=0,"",CHOOSE(表格1[[#This Row],[配息頻率]],MONTH(J50),IF(MONTH(J50)&lt;=6,CONCATENATE(MONTH(J50)," / ",MONTH(J50)+6),CONCATENATE(MONTH(J50)-6," / ",MONTH(J50))),0,"2 / 4 / 8 / 11")),"")</f>
        <v>2 / 8</v>
      </c>
      <c r="J50" s="1749" t="str">
        <f ca="1">IFERROR(VLOOKUP(B50,'銀行-TSS'!B:P,15,FALSE),"")</f>
        <v>2024/8/21</v>
      </c>
      <c r="K50" s="1750">
        <f ca="1">IFERROR(VLOOKUP(表格1[[#This Row],[商品
代碼]],'銀行-TSS'!B:I,8,FALSE),"")</f>
        <v>2</v>
      </c>
      <c r="L50" s="1747">
        <f ca="1">IFERROR(VLOOKUP(B50,'銀行-TSS'!B:K,10,FALSE),"")</f>
        <v>75.33</v>
      </c>
      <c r="M50" s="1745" t="str">
        <f ca="1">IF(表格1[[#This Row],[含息申購
參考價]]&gt;100,"溢價",IF(表格1[[#This Row],[含息申購
參考價]]&lt;100,"折價","平價"))</f>
        <v>折價</v>
      </c>
      <c r="N50" s="1751">
        <f ca="1">IFERROR(VLOOKUP(B50,'銀行-TSS'!B:M,12,FALSE),"")</f>
        <v>5.2200000000000003E-2</v>
      </c>
      <c r="O50" s="1752">
        <f ca="1">IFERROR(VLOOKUP(表格1[[#This Row],[商品
代碼]],'銀行-TSS'!B:AJ,35,FALSE),"")</f>
        <v>0</v>
      </c>
      <c r="P50" s="1751">
        <f ca="1">IFERROR(VLOOKUP(表格1[[#This Row],[商品
代碼]],'銀行-TSS'!B:AE,30,FALSE),"")</f>
        <v>5.2400000000000002E-2</v>
      </c>
      <c r="Q50" s="1749" t="str">
        <f ca="1">IFERROR(IF(VLOOKUP(表格1[[#This Row],[商品
代碼]],'銀行-TSS'!B:AM,38,FALSE)="#N/A Field Not Applicable","",VLOOKUP(表格1[[#This Row],[商品
代碼]],'銀行-TSS'!B:AM,38,FALSE)),"")</f>
        <v>2049/8/21</v>
      </c>
      <c r="R50" s="1749" t="str">
        <f ca="1">IFERROR(VLOOKUP(表格1[[#This Row],[商品
代碼]],'銀行-TSS'!B:AH,33,FALSE),"")</f>
        <v>美元(USD)</v>
      </c>
      <c r="S50" s="1754">
        <f ca="1">IFERROR(VLOOKUP(B50,'銀行-TSS'!B:N,13,FALSE),"")</f>
        <v>10000</v>
      </c>
      <c r="T50" s="1754" t="str">
        <f ca="1">VLOOKUP(表格1[[#This Row],[商品
代碼]],'銀行-TSS'!B:AI,34,FALSE)</f>
        <v>自由選清單</v>
      </c>
      <c r="U50" s="1745" t="str">
        <f ca="1">IFERROR(VLOOKUP(B50,'銀行-TSS'!B:Q,16,FALSE),"")</f>
        <v>醫療保健</v>
      </c>
      <c r="V50" s="1755" t="str">
        <f ca="1">IFERROR(VLOOKUP(表格1[[#This Row],[商品
代碼]],'銀行-TSS'!B:AG,32,FALSE),"")</f>
        <v>固定</v>
      </c>
      <c r="W50" s="1757" t="str">
        <f>IFERROR(IFERROR(VLOOKUP(表格1[[#This Row],[商品
代碼]],'3_是否下架'!A:B,2,FALSE),VLOOKUP(表格1[[#This Row],[商品
代碼]],'銀行-TSS'!B:AK,36,FALSE)),"")</f>
        <v>已下架</v>
      </c>
      <c r="Y50" s="400"/>
      <c r="Z50" s="400"/>
      <c r="AA50" s="401"/>
    </row>
    <row r="51" spans="2:27" s="399" customFormat="1" ht="24.75" customHeight="1">
      <c r="B51" s="1745" t="s">
        <v>999</v>
      </c>
      <c r="C51" s="1745" t="str">
        <f ca="1">IFERROR(VLOOKUP(表格1[[#This Row],[商品
代碼]],'銀行-TSS'!B:V,21,FALSE),"")</f>
        <v>(PI)專投</v>
      </c>
      <c r="D51" s="1746" t="str">
        <f>IFERROR(VLOOKUP(表格1[[#This Row],[商品
代碼]],bond!B:F,5,FALSE),"")</f>
        <v>US501044DN88</v>
      </c>
      <c r="E51" s="1746" t="str">
        <f ca="1">IFERROR(VLOOKUP(B51,'銀行-TSS'!B:D,3,FALSE),"")</f>
        <v>克羅格公司美元配息債券 3.95% 2050/1/15</v>
      </c>
      <c r="F51" s="1745" t="str">
        <f ca="1">IFERROR(VLOOKUP(B51,'銀行-TSS'!B:E,4,FALSE),"")</f>
        <v>Baa1 / BBB / -</v>
      </c>
      <c r="G51" s="1747">
        <f ca="1">IFERROR(VLOOKUP(B51,'銀行-TSS'!B:G,6,FALSE),"")</f>
        <v>25.54</v>
      </c>
      <c r="H51" s="1748">
        <f ca="1">IFERROR(VLOOKUP(B51,'銀行-TSS'!B:H,7,FALSE),"")</f>
        <v>3.95E-2</v>
      </c>
      <c r="I51" s="1745" t="str">
        <f ca="1">IFERROR(IF(表格1[[#This Row],[配息頻率]]=0,"",CHOOSE(表格1[[#This Row],[配息頻率]],MONTH(J51),IF(MONTH(J51)&lt;=6,CONCATENATE(MONTH(J51)," / ",MONTH(J51)+6),CONCATENATE(MONTH(J51)-6," / ",MONTH(J51))),0,"2 / 4 / 8 / 11")),"")</f>
        <v>1 / 7</v>
      </c>
      <c r="J51" s="1749" t="str">
        <f ca="1">IFERROR(VLOOKUP(B51,'銀行-TSS'!B:P,15,FALSE),"")</f>
        <v>2024/7/15</v>
      </c>
      <c r="K51" s="1750">
        <f ca="1">IFERROR(VLOOKUP(表格1[[#This Row],[商品
代碼]],'銀行-TSS'!B:I,8,FALSE),"")</f>
        <v>2</v>
      </c>
      <c r="L51" s="1747">
        <f ca="1">IFERROR(VLOOKUP(B51,'銀行-TSS'!B:K,10,FALSE),"")</f>
        <v>83.31</v>
      </c>
      <c r="M51" s="1745" t="str">
        <f ca="1">IF(表格1[[#This Row],[含息申購
參考價]]&gt;100,"溢價",IF(表格1[[#This Row],[含息申購
參考價]]&lt;100,"折價","平價"))</f>
        <v>折價</v>
      </c>
      <c r="N51" s="1751">
        <f ca="1">IFERROR(VLOOKUP(B51,'銀行-TSS'!B:M,12,FALSE),"")</f>
        <v>5.28E-2</v>
      </c>
      <c r="O51" s="1752">
        <f ca="1">IFERROR(VLOOKUP(表格1[[#This Row],[商品
代碼]],'銀行-TSS'!B:AJ,35,FALSE),"")</f>
        <v>0</v>
      </c>
      <c r="P51" s="1753">
        <f ca="1">IFERROR(VLOOKUP(表格1[[#This Row],[商品
代碼]],'銀行-TSS'!B:AE,30,FALSE),"")</f>
        <v>5.2900000000000003E-2</v>
      </c>
      <c r="Q51" s="1749" t="str">
        <f ca="1">IFERROR(IF(VLOOKUP(表格1[[#This Row],[商品
代碼]],'銀行-TSS'!B:AM,38,FALSE)="#N/A Field Not Applicable","",VLOOKUP(表格1[[#This Row],[商品
代碼]],'銀行-TSS'!B:AM,38,FALSE)),"")</f>
        <v>2049/7/15</v>
      </c>
      <c r="R51" s="1749" t="str">
        <f ca="1">IFERROR(VLOOKUP(表格1[[#This Row],[商品
代碼]],'銀行-TSS'!B:AH,33,FALSE),"")</f>
        <v>美元(USD)</v>
      </c>
      <c r="S51" s="1754">
        <f ca="1">IFERROR(VLOOKUP(B51,'銀行-TSS'!B:N,13,FALSE),"")</f>
        <v>10000</v>
      </c>
      <c r="T51" s="1754" t="str">
        <f ca="1">VLOOKUP(表格1[[#This Row],[商品
代碼]],'銀行-TSS'!B:AI,34,FALSE)</f>
        <v>自由選清單</v>
      </c>
      <c r="U51" s="1755" t="str">
        <f ca="1">IFERROR(VLOOKUP(B51,'銀行-TSS'!B:Q,16,FALSE),"")</f>
        <v>核心消費</v>
      </c>
      <c r="V51" s="1755" t="str">
        <f ca="1">IFERROR(VLOOKUP(表格1[[#This Row],[商品
代碼]],'銀行-TSS'!B:AG,32,FALSE),"")</f>
        <v>固定</v>
      </c>
      <c r="W51" s="1756" t="str">
        <f ca="1">IFERROR(IFERROR(VLOOKUP(表格1[[#This Row],[商品
代碼]],'3_是否下架'!A:B,2,FALSE),VLOOKUP(表格1[[#This Row],[商品
代碼]],'銀行-TSS'!B:AK,36,FALSE)),"")</f>
        <v>有</v>
      </c>
      <c r="Y51" s="400"/>
      <c r="Z51" s="400"/>
      <c r="AA51" s="401"/>
    </row>
    <row r="52" spans="2:27" s="399" customFormat="1" ht="24.75" customHeight="1">
      <c r="B52" s="1745" t="s">
        <v>900</v>
      </c>
      <c r="C52" s="1745" t="str">
        <f ca="1">IFERROR(VLOOKUP(表格1[[#This Row],[商品
代碼]],'銀行-TSS'!B:V,21,FALSE),"")</f>
        <v>(NPI)非專投</v>
      </c>
      <c r="D52" s="1746" t="str">
        <f>IFERROR(VLOOKUP(表格1[[#This Row],[商品
代碼]],bond!B:F,5,FALSE),"")</f>
        <v>US713448EP96</v>
      </c>
      <c r="E52" s="1746" t="str">
        <f ca="1">IFERROR(VLOOKUP(B52,'銀行-TSS'!B:D,3,FALSE),"")</f>
        <v>百事公司美元配息債券 2.875% 2049/10/15</v>
      </c>
      <c r="F52" s="1745" t="str">
        <f ca="1">IFERROR(VLOOKUP(B52,'銀行-TSS'!B:E,4,FALSE),"")</f>
        <v>A1 / A+ / WD</v>
      </c>
      <c r="G52" s="1747">
        <f ca="1">IFERROR(VLOOKUP(B52,'銀行-TSS'!B:G,6,FALSE),"")</f>
        <v>25.29</v>
      </c>
      <c r="H52" s="1748">
        <f ca="1">IFERROR(VLOOKUP(B52,'銀行-TSS'!B:H,7,FALSE),"")</f>
        <v>2.8750000000000001E-2</v>
      </c>
      <c r="I52" s="1745" t="str">
        <f ca="1">IFERROR(IF(表格1[[#This Row],[配息頻率]]=0,"",CHOOSE(表格1[[#This Row],[配息頻率]],MONTH(J52),IF(MONTH(J52)&lt;=6,CONCATENATE(MONTH(J52)," / ",MONTH(J52)+6),CONCATENATE(MONTH(J52)-6," / ",MONTH(J52))),0,"2 / 4 / 8 / 11")),"")</f>
        <v>4 / 10</v>
      </c>
      <c r="J52" s="1749" t="str">
        <f ca="1">IFERROR(VLOOKUP(B52,'銀行-TSS'!B:P,15,FALSE),"")</f>
        <v>2024/10/15</v>
      </c>
      <c r="K52" s="1750">
        <f ca="1">IFERROR(VLOOKUP(表格1[[#This Row],[商品
代碼]],'銀行-TSS'!B:I,8,FALSE),"")</f>
        <v>2</v>
      </c>
      <c r="L52" s="1747">
        <f ca="1">IFERROR(VLOOKUP(B52,'銀行-TSS'!B:K,10,FALSE),"")</f>
        <v>68.75</v>
      </c>
      <c r="M52" s="1745" t="str">
        <f ca="1">IF(表格1[[#This Row],[含息申購
參考價]]&gt;100,"溢價",IF(表格1[[#This Row],[含息申購
參考價]]&lt;100,"折價","平價"))</f>
        <v>折價</v>
      </c>
      <c r="N52" s="1751">
        <f ca="1">IFERROR(VLOOKUP(B52,'銀行-TSS'!B:M,12,FALSE),"")</f>
        <v>5.1400000000000001E-2</v>
      </c>
      <c r="O52" s="1752">
        <f ca="1">IFERROR(VLOOKUP(表格1[[#This Row],[商品
代碼]],'銀行-TSS'!B:AJ,35,FALSE),"")</f>
        <v>0</v>
      </c>
      <c r="P52" s="1753">
        <f ca="1">IFERROR(VLOOKUP(表格1[[#This Row],[商品
代碼]],'銀行-TSS'!B:AE,30,FALSE),"")</f>
        <v>5.1700000000000003E-2</v>
      </c>
      <c r="Q52" s="1749" t="str">
        <f ca="1">IFERROR(IF(VLOOKUP(表格1[[#This Row],[商品
代碼]],'銀行-TSS'!B:AM,38,FALSE)="#N/A Field Not Applicable","",VLOOKUP(表格1[[#This Row],[商品
代碼]],'銀行-TSS'!B:AM,38,FALSE)),"")</f>
        <v>2049/4/15</v>
      </c>
      <c r="R52" s="1749" t="str">
        <f ca="1">IFERROR(VLOOKUP(表格1[[#This Row],[商品
代碼]],'銀行-TSS'!B:AH,33,FALSE),"")</f>
        <v>美元(USD)</v>
      </c>
      <c r="S52" s="1754">
        <f ca="1">IFERROR(VLOOKUP(B52,'銀行-TSS'!B:N,13,FALSE),"")</f>
        <v>2000</v>
      </c>
      <c r="T52" s="1754" t="str">
        <f ca="1">VLOOKUP(表格1[[#This Row],[商品
代碼]],'銀行-TSS'!B:AI,34,FALSE)</f>
        <v>自由選清單</v>
      </c>
      <c r="U52" s="1755" t="str">
        <f ca="1">IFERROR(VLOOKUP(B52,'銀行-TSS'!B:Q,16,FALSE),"")</f>
        <v>核心消費</v>
      </c>
      <c r="V52" s="1755" t="str">
        <f ca="1">IFERROR(VLOOKUP(表格1[[#This Row],[商品
代碼]],'銀行-TSS'!B:AG,32,FALSE),"")</f>
        <v>固定</v>
      </c>
      <c r="W52" s="1756" t="str">
        <f ca="1">IFERROR(IFERROR(VLOOKUP(表格1[[#This Row],[商品
代碼]],'3_是否下架'!A:B,2,FALSE),VLOOKUP(表格1[[#This Row],[商品
代碼]],'銀行-TSS'!B:AK,36,FALSE)),"")</f>
        <v>有</v>
      </c>
      <c r="Y52" s="400"/>
      <c r="Z52" s="400"/>
      <c r="AA52" s="401"/>
    </row>
    <row r="53" spans="2:27" s="399" customFormat="1" ht="24.75" customHeight="1">
      <c r="B53" s="1745" t="s">
        <v>1122</v>
      </c>
      <c r="C53" s="1745" t="str">
        <f ca="1">IFERROR(VLOOKUP(表格1[[#This Row],[商品
代碼]],'銀行-TSS'!B:V,21,FALSE),"")</f>
        <v>(NPI)非專投</v>
      </c>
      <c r="D53" s="1746" t="str">
        <f>IFERROR(VLOOKUP(表格1[[#This Row],[商品
代碼]],bond!B:F,5,FALSE),"")</f>
        <v>XS2057866191</v>
      </c>
      <c r="E53" s="1746" t="str">
        <f ca="1">IFERROR(VLOOKUP(B53,'銀行-TSS'!B:D,3,FALSE),"")</f>
        <v>阿布達比政府國際美元配息債券 3.125% 2049/9/30</v>
      </c>
      <c r="F53" s="1745" t="str">
        <f ca="1">IFERROR(VLOOKUP(B53,'銀行-TSS'!B:E,4,FALSE),"")</f>
        <v>Aa2u / AA / AA</v>
      </c>
      <c r="G53" s="1747">
        <f ca="1">IFERROR(VLOOKUP(B53,'銀行-TSS'!B:G,6,FALSE),"")</f>
        <v>25.24</v>
      </c>
      <c r="H53" s="1748">
        <f ca="1">IFERROR(VLOOKUP(B53,'銀行-TSS'!B:H,7,FALSE),"")</f>
        <v>3.125E-2</v>
      </c>
      <c r="I53" s="1745" t="str">
        <f ca="1">IFERROR(IF(表格1[[#This Row],[配息頻率]]=0,"",CHOOSE(表格1[[#This Row],[配息頻率]],MONTH(J53),IF(MONTH(J53)&lt;=6,CONCATENATE(MONTH(J53)," / ",MONTH(J53)+6),CONCATENATE(MONTH(J53)-6," / ",MONTH(J53))),0,"2 / 4 / 8 / 11")),"")</f>
        <v>3 / 9</v>
      </c>
      <c r="J53" s="1749" t="str">
        <f ca="1">IFERROR(VLOOKUP(B53,'銀行-TSS'!B:P,15,FALSE),"")</f>
        <v>2024/9/30</v>
      </c>
      <c r="K53" s="1750">
        <f ca="1">IFERROR(VLOOKUP(表格1[[#This Row],[商品
代碼]],'銀行-TSS'!B:I,8,FALSE),"")</f>
        <v>2</v>
      </c>
      <c r="L53" s="1747">
        <f ca="1">IFERROR(VLOOKUP(B53,'銀行-TSS'!B:K,10,FALSE),"")</f>
        <v>74.61</v>
      </c>
      <c r="M53" s="1745" t="str">
        <f ca="1">IF(表格1[[#This Row],[含息申購
參考價]]&gt;100,"溢價",IF(表格1[[#This Row],[含息申購
參考價]]&lt;100,"折價","平價"))</f>
        <v>折價</v>
      </c>
      <c r="N53" s="1751">
        <f ca="1">IFERROR(VLOOKUP(B53,'銀行-TSS'!B:M,12,FALSE),"")</f>
        <v>4.9500000000000002E-2</v>
      </c>
      <c r="O53" s="1752">
        <f ca="1">IFERROR(VLOOKUP(表格1[[#This Row],[商品
代碼]],'銀行-TSS'!B:AJ,35,FALSE),"")</f>
        <v>0</v>
      </c>
      <c r="P53" s="1753" t="str">
        <f ca="1">IFERROR(VLOOKUP(表格1[[#This Row],[商品
代碼]],'銀行-TSS'!B:AE,30,FALSE),"")</f>
        <v xml:space="preserve"> </v>
      </c>
      <c r="Q53" s="1749" t="str">
        <f ca="1">IFERROR(IF(VLOOKUP(表格1[[#This Row],[商品
代碼]],'銀行-TSS'!B:AM,38,FALSE)="#N/A Field Not Applicable","",VLOOKUP(表格1[[#This Row],[商品
代碼]],'銀行-TSS'!B:AM,38,FALSE)),"")</f>
        <v/>
      </c>
      <c r="R53" s="1749" t="str">
        <f ca="1">IFERROR(VLOOKUP(表格1[[#This Row],[商品
代碼]],'銀行-TSS'!B:AH,33,FALSE),"")</f>
        <v>美元(USD)</v>
      </c>
      <c r="S53" s="1754">
        <f ca="1">IFERROR(VLOOKUP(B53,'銀行-TSS'!B:N,13,FALSE),"")</f>
        <v>200000</v>
      </c>
      <c r="T53" s="1754" t="str">
        <f ca="1">VLOOKUP(表格1[[#This Row],[商品
代碼]],'銀行-TSS'!B:AI,34,FALSE)</f>
        <v>自由選清單</v>
      </c>
      <c r="U53" s="1755" t="str">
        <f ca="1">IFERROR(VLOOKUP(B53,'銀行-TSS'!B:Q,16,FALSE),"")</f>
        <v>政府</v>
      </c>
      <c r="V53" s="1755" t="str">
        <f ca="1">IFERROR(VLOOKUP(表格1[[#This Row],[商品
代碼]],'銀行-TSS'!B:AG,32,FALSE),"")</f>
        <v>固定</v>
      </c>
      <c r="W53" s="1756" t="str">
        <f ca="1">IFERROR(IFERROR(VLOOKUP(表格1[[#This Row],[商品
代碼]],'3_是否下架'!A:B,2,FALSE),VLOOKUP(表格1[[#This Row],[商品
代碼]],'銀行-TSS'!B:AK,36,FALSE)),"")</f>
        <v>有</v>
      </c>
      <c r="Y53" s="400"/>
      <c r="Z53" s="400"/>
      <c r="AA53" s="401"/>
    </row>
    <row r="54" spans="2:27" s="399" customFormat="1" ht="24.75" customHeight="1">
      <c r="B54" s="1745" t="s">
        <v>864</v>
      </c>
      <c r="C54" s="1745" t="str">
        <f ca="1">IFERROR(VLOOKUP(表格1[[#This Row],[商品
代碼]],'銀行-TSS'!B:V,21,FALSE),"")</f>
        <v>(NPI)非專投</v>
      </c>
      <c r="D54" s="1746" t="str">
        <f>IFERROR(VLOOKUP(表格1[[#This Row],[商品
代碼]],bond!B:F,5,FALSE),"")</f>
        <v>US931142EP44</v>
      </c>
      <c r="E54" s="1746" t="str">
        <f ca="1">IFERROR(VLOOKUP(B54,'銀行-TSS'!B:D,3,FALSE),"")</f>
        <v>沃爾瑪公司美元配息債券 2.95% 2049/9/24</v>
      </c>
      <c r="F54" s="1745" t="str">
        <f ca="1">IFERROR(VLOOKUP(B54,'銀行-TSS'!B:E,4,FALSE),"")</f>
        <v>Aa2 / AA / AA</v>
      </c>
      <c r="G54" s="1747">
        <f ca="1">IFERROR(VLOOKUP(B54,'銀行-TSS'!B:G,6,FALSE),"")</f>
        <v>25.23</v>
      </c>
      <c r="H54" s="1748">
        <f ca="1">IFERROR(VLOOKUP(B54,'銀行-TSS'!B:H,7,FALSE),"")</f>
        <v>2.9500000000000002E-2</v>
      </c>
      <c r="I54" s="1745" t="str">
        <f ca="1">IFERROR(IF(表格1[[#This Row],[配息頻率]]=0,"",CHOOSE(表格1[[#This Row],[配息頻率]],MONTH(J54),IF(MONTH(J54)&lt;=6,CONCATENATE(MONTH(J54)," / ",MONTH(J54)+6),CONCATENATE(MONTH(J54)-6," / ",MONTH(J54))),0,"2 / 4 / 8 / 11")),"")</f>
        <v>3 / 9</v>
      </c>
      <c r="J54" s="1749" t="str">
        <f ca="1">IFERROR(VLOOKUP(B54,'銀行-TSS'!B:P,15,FALSE),"")</f>
        <v>2024/9/24</v>
      </c>
      <c r="K54" s="1750">
        <f ca="1">IFERROR(VLOOKUP(表格1[[#This Row],[商品
代碼]],'銀行-TSS'!B:I,8,FALSE),"")</f>
        <v>2</v>
      </c>
      <c r="L54" s="1747">
        <f ca="1">IFERROR(VLOOKUP(B54,'銀行-TSS'!B:K,10,FALSE),"")</f>
        <v>70.81</v>
      </c>
      <c r="M54" s="1745" t="str">
        <f ca="1">IF(表格1[[#This Row],[含息申購
參考價]]&gt;100,"溢價",IF(表格1[[#This Row],[含息申購
參考價]]&lt;100,"折價","平價"))</f>
        <v>折價</v>
      </c>
      <c r="N54" s="1751">
        <f ca="1">IFERROR(VLOOKUP(B54,'銀行-TSS'!B:M,12,FALSE),"")</f>
        <v>5.0700000000000002E-2</v>
      </c>
      <c r="O54" s="1752">
        <f ca="1">IFERROR(VLOOKUP(表格1[[#This Row],[商品
代碼]],'銀行-TSS'!B:AJ,35,FALSE),"")</f>
        <v>0</v>
      </c>
      <c r="P54" s="1753">
        <f ca="1">IFERROR(VLOOKUP(表格1[[#This Row],[商品
代碼]],'銀行-TSS'!B:AE,30,FALSE),"")</f>
        <v>5.0999999999999997E-2</v>
      </c>
      <c r="Q54" s="1749" t="str">
        <f ca="1">IFERROR(IF(VLOOKUP(表格1[[#This Row],[商品
代碼]],'銀行-TSS'!B:AM,38,FALSE)="#N/A Field Not Applicable","",VLOOKUP(表格1[[#This Row],[商品
代碼]],'銀行-TSS'!B:AM,38,FALSE)),"")</f>
        <v>2049/3/24</v>
      </c>
      <c r="R54" s="1749" t="str">
        <f ca="1">IFERROR(VLOOKUP(表格1[[#This Row],[商品
代碼]],'銀行-TSS'!B:AH,33,FALSE),"")</f>
        <v>美元(USD)</v>
      </c>
      <c r="S54" s="1754">
        <f ca="1">IFERROR(VLOOKUP(B54,'銀行-TSS'!B:N,13,FALSE),"")</f>
        <v>2000</v>
      </c>
      <c r="T54" s="1754" t="str">
        <f ca="1">VLOOKUP(表格1[[#This Row],[商品
代碼]],'銀行-TSS'!B:AI,34,FALSE)</f>
        <v>自由選清單</v>
      </c>
      <c r="U54" s="1755" t="str">
        <f ca="1">IFERROR(VLOOKUP(B54,'銀行-TSS'!B:Q,16,FALSE),"")</f>
        <v>核心消費</v>
      </c>
      <c r="V54" s="1755" t="str">
        <f ca="1">IFERROR(VLOOKUP(表格1[[#This Row],[商品
代碼]],'銀行-TSS'!B:AG,32,FALSE),"")</f>
        <v>固定</v>
      </c>
      <c r="W54" s="1756" t="str">
        <f ca="1">IFERROR(IFERROR(VLOOKUP(表格1[[#This Row],[商品
代碼]],'3_是否下架'!A:B,2,FALSE),VLOOKUP(表格1[[#This Row],[商品
代碼]],'銀行-TSS'!B:AK,36,FALSE)),"")</f>
        <v>有</v>
      </c>
      <c r="Y54" s="400"/>
      <c r="Z54" s="400"/>
      <c r="AA54" s="401"/>
    </row>
    <row r="55" spans="2:27" s="399" customFormat="1" ht="24.75" customHeight="1">
      <c r="B55" s="1745" t="s">
        <v>869</v>
      </c>
      <c r="C55" s="1745" t="str">
        <f ca="1">IFERROR(VLOOKUP(表格1[[#This Row],[商品
代碼]],'銀行-TSS'!B:V,21,FALSE),"")</f>
        <v>(NPI)非專投</v>
      </c>
      <c r="D55" s="1746" t="str">
        <f>IFERROR(VLOOKUP(表格1[[#This Row],[商品
代碼]],bond!B:F,5,FALSE),"")</f>
        <v>US911312BS40</v>
      </c>
      <c r="E55" s="1746" t="str">
        <f ca="1">IFERROR(VLOOKUP(B55,'銀行-TSS'!B:D,3,FALSE),"")</f>
        <v>聯合包裹服務公司美元配息債券 3.4% 2049/9/1</v>
      </c>
      <c r="F55" s="1745" t="str">
        <f ca="1">IFERROR(VLOOKUP(B55,'銀行-TSS'!B:E,4,FALSE),"")</f>
        <v>A2 / A / -</v>
      </c>
      <c r="G55" s="1747">
        <f ca="1">IFERROR(VLOOKUP(B55,'銀行-TSS'!B:G,6,FALSE),"")</f>
        <v>25.17</v>
      </c>
      <c r="H55" s="1748">
        <f ca="1">IFERROR(VLOOKUP(B55,'銀行-TSS'!B:H,7,FALSE),"")</f>
        <v>3.4000000000000002E-2</v>
      </c>
      <c r="I55" s="1745" t="str">
        <f ca="1">IFERROR(IF(表格1[[#This Row],[配息頻率]]=0,"",CHOOSE(表格1[[#This Row],[配息頻率]],MONTH(J55),IF(MONTH(J55)&lt;=6,CONCATENATE(MONTH(J55)," / ",MONTH(J55)+6),CONCATENATE(MONTH(J55)-6," / ",MONTH(J55))),0,"2 / 4 / 8 / 11")),"")</f>
        <v>3 / 9</v>
      </c>
      <c r="J55" s="1749" t="str">
        <f ca="1">IFERROR(VLOOKUP(B55,'銀行-TSS'!B:P,15,FALSE),"")</f>
        <v>2024/9/1</v>
      </c>
      <c r="K55" s="1750">
        <f ca="1">IFERROR(VLOOKUP(表格1[[#This Row],[商品
代碼]],'銀行-TSS'!B:I,8,FALSE),"")</f>
        <v>2</v>
      </c>
      <c r="L55" s="1747">
        <f ca="1">IFERROR(VLOOKUP(B55,'銀行-TSS'!B:K,10,FALSE),"")</f>
        <v>77.53</v>
      </c>
      <c r="M55" s="1745" t="str">
        <f ca="1">IF(表格1[[#This Row],[含息申購
參考價]]&gt;100,"溢價",IF(表格1[[#This Row],[含息申購
參考價]]&lt;100,"折價","平價"))</f>
        <v>折價</v>
      </c>
      <c r="N55" s="1751">
        <f ca="1">IFERROR(VLOOKUP(B55,'銀行-TSS'!B:M,12,FALSE),"")</f>
        <v>5.0700000000000002E-2</v>
      </c>
      <c r="O55" s="1752">
        <f ca="1">IFERROR(VLOOKUP(表格1[[#This Row],[商品
代碼]],'銀行-TSS'!B:AJ,35,FALSE),"")</f>
        <v>0</v>
      </c>
      <c r="P55" s="1753">
        <f ca="1">IFERROR(VLOOKUP(表格1[[#This Row],[商品
代碼]],'銀行-TSS'!B:AE,30,FALSE),"")</f>
        <v>5.0900000000000001E-2</v>
      </c>
      <c r="Q55" s="1749" t="str">
        <f ca="1">IFERROR(IF(VLOOKUP(表格1[[#This Row],[商品
代碼]],'銀行-TSS'!B:AM,38,FALSE)="#N/A Field Not Applicable","",VLOOKUP(表格1[[#This Row],[商品
代碼]],'銀行-TSS'!B:AM,38,FALSE)),"")</f>
        <v>2049/3/1</v>
      </c>
      <c r="R55" s="1749" t="str">
        <f ca="1">IFERROR(VLOOKUP(表格1[[#This Row],[商品
代碼]],'銀行-TSS'!B:AH,33,FALSE),"")</f>
        <v>美元(USD)</v>
      </c>
      <c r="S55" s="1754">
        <f ca="1">IFERROR(VLOOKUP(B55,'銀行-TSS'!B:N,13,FALSE),"")</f>
        <v>10000</v>
      </c>
      <c r="T55" s="1754" t="str">
        <f ca="1">VLOOKUP(表格1[[#This Row],[商品
代碼]],'銀行-TSS'!B:AI,34,FALSE)</f>
        <v>自由選清單</v>
      </c>
      <c r="U55" s="1755" t="str">
        <f ca="1">IFERROR(VLOOKUP(B55,'銀行-TSS'!B:Q,16,FALSE),"")</f>
        <v>工業</v>
      </c>
      <c r="V55" s="1755" t="str">
        <f ca="1">IFERROR(VLOOKUP(表格1[[#This Row],[商品
代碼]],'銀行-TSS'!B:AG,32,FALSE),"")</f>
        <v>固定</v>
      </c>
      <c r="W55" s="1756" t="str">
        <f ca="1">IFERROR(IFERROR(VLOOKUP(表格1[[#This Row],[商品
代碼]],'3_是否下架'!A:B,2,FALSE),VLOOKUP(表格1[[#This Row],[商品
代碼]],'銀行-TSS'!B:AK,36,FALSE)),"")</f>
        <v>有</v>
      </c>
      <c r="Y55" s="400"/>
      <c r="Z55" s="400"/>
      <c r="AA55" s="401"/>
    </row>
    <row r="56" spans="2:27" s="399" customFormat="1" ht="24.75" customHeight="1">
      <c r="B56" s="1745" t="s">
        <v>877</v>
      </c>
      <c r="C56" s="1745" t="str">
        <f ca="1">IFERROR(VLOOKUP(表格1[[#This Row],[商品
代碼]],'銀行-TSS'!B:V,21,FALSE),"")</f>
        <v>(NPI)非專投</v>
      </c>
      <c r="D56" s="1746" t="str">
        <f>IFERROR(VLOOKUP(表格1[[#This Row],[商品
代碼]],bond!B:F,5,FALSE),"")</f>
        <v>US254687FM36</v>
      </c>
      <c r="E56" s="1746" t="str">
        <f ca="1">IFERROR(VLOOKUP(B56,'銀行-TSS'!B:D,3,FALSE),"")</f>
        <v>華特迪士尼公司美元配息債券 2.75% 2049/9/1</v>
      </c>
      <c r="F56" s="1745" t="str">
        <f ca="1">IFERROR(VLOOKUP(B56,'銀行-TSS'!B:E,4,FALSE),"")</f>
        <v>A2 / A- / A-</v>
      </c>
      <c r="G56" s="1747">
        <f ca="1">IFERROR(VLOOKUP(B56,'銀行-TSS'!B:G,6,FALSE),"")</f>
        <v>25.17</v>
      </c>
      <c r="H56" s="1748">
        <f ca="1">IFERROR(VLOOKUP(B56,'銀行-TSS'!B:H,7,FALSE),"")</f>
        <v>2.75E-2</v>
      </c>
      <c r="I56" s="1745" t="str">
        <f ca="1">IFERROR(IF(表格1[[#This Row],[配息頻率]]=0,"",CHOOSE(表格1[[#This Row],[配息頻率]],MONTH(J56),IF(MONTH(J56)&lt;=6,CONCATENATE(MONTH(J56)," / ",MONTH(J56)+6),CONCATENATE(MONTH(J56)-6," / ",MONTH(J56))),0,"2 / 4 / 8 / 11")),"")</f>
        <v>3 / 9</v>
      </c>
      <c r="J56" s="1749" t="str">
        <f ca="1">IFERROR(VLOOKUP(B56,'銀行-TSS'!B:P,15,FALSE),"")</f>
        <v>2024/9/1</v>
      </c>
      <c r="K56" s="1750">
        <f ca="1">IFERROR(VLOOKUP(表格1[[#This Row],[商品
代碼]],'銀行-TSS'!B:I,8,FALSE),"")</f>
        <v>2</v>
      </c>
      <c r="L56" s="1747">
        <f ca="1">IFERROR(VLOOKUP(B56,'銀行-TSS'!B:K,10,FALSE),"")</f>
        <v>68.56</v>
      </c>
      <c r="M56" s="1745" t="str">
        <f ca="1">IF(表格1[[#This Row],[含息申購
參考價]]&gt;100,"溢價",IF(表格1[[#This Row],[含息申購
參考價]]&lt;100,"折價","平價"))</f>
        <v>折價</v>
      </c>
      <c r="N56" s="1751">
        <f ca="1">IFERROR(VLOOKUP(B56,'銀行-TSS'!B:M,12,FALSE),"")</f>
        <v>5.0299999999999997E-2</v>
      </c>
      <c r="O56" s="1752">
        <f ca="1">IFERROR(VLOOKUP(表格1[[#This Row],[商品
代碼]],'銀行-TSS'!B:AJ,35,FALSE),"")</f>
        <v>0</v>
      </c>
      <c r="P56" s="1753">
        <f ca="1">IFERROR(VLOOKUP(表格1[[#This Row],[商品
代碼]],'銀行-TSS'!B:AE,30,FALSE),"")</f>
        <v>5.0599999999999999E-2</v>
      </c>
      <c r="Q56" s="1749" t="str">
        <f ca="1">IFERROR(IF(VLOOKUP(表格1[[#This Row],[商品
代碼]],'銀行-TSS'!B:AM,38,FALSE)="#N/A Field Not Applicable","",VLOOKUP(表格1[[#This Row],[商品
代碼]],'銀行-TSS'!B:AM,38,FALSE)),"")</f>
        <v>2049/3/1</v>
      </c>
      <c r="R56" s="1749" t="str">
        <f ca="1">IFERROR(VLOOKUP(表格1[[#This Row],[商品
代碼]],'銀行-TSS'!B:AH,33,FALSE),"")</f>
        <v>美元(USD)</v>
      </c>
      <c r="S56" s="1754">
        <f ca="1">IFERROR(VLOOKUP(B56,'銀行-TSS'!B:N,13,FALSE),"")</f>
        <v>10000</v>
      </c>
      <c r="T56" s="1754" t="str">
        <f ca="1">VLOOKUP(表格1[[#This Row],[商品
代碼]],'銀行-TSS'!B:AI,34,FALSE)</f>
        <v>自由選清單</v>
      </c>
      <c r="U56" s="1755" t="str">
        <f ca="1">IFERROR(VLOOKUP(B56,'銀行-TSS'!B:Q,16,FALSE),"")</f>
        <v>通訊</v>
      </c>
      <c r="V56" s="1755" t="str">
        <f ca="1">IFERROR(VLOOKUP(表格1[[#This Row],[商品
代碼]],'銀行-TSS'!B:AG,32,FALSE),"")</f>
        <v>固定</v>
      </c>
      <c r="W56" s="1756" t="str">
        <f ca="1">IFERROR(IFERROR(VLOOKUP(表格1[[#This Row],[商品
代碼]],'3_是否下架'!A:B,2,FALSE),VLOOKUP(表格1[[#This Row],[商品
代碼]],'銀行-TSS'!B:AK,36,FALSE)),"")</f>
        <v>有</v>
      </c>
      <c r="Y56" s="400"/>
      <c r="Z56" s="400"/>
      <c r="AA56" s="401"/>
    </row>
    <row r="57" spans="2:27" s="399" customFormat="1" ht="24.75" customHeight="1">
      <c r="B57" s="1745" t="s">
        <v>897</v>
      </c>
      <c r="C57" s="1745" t="str">
        <f ca="1">IFERROR(VLOOKUP(表格1[[#This Row],[商品
代碼]],'銀行-TSS'!B:V,21,FALSE),"")</f>
        <v>(NPI)非專投</v>
      </c>
      <c r="D57" s="1746" t="str">
        <f>IFERROR(VLOOKUP(表格1[[#This Row],[商品
代碼]],bond!B:F,5,FALSE),"")</f>
        <v>US88579YBK64</v>
      </c>
      <c r="E57" s="1746" t="str">
        <f ca="1">IFERROR(VLOOKUP(B57,'銀行-TSS'!B:D,3,FALSE),"")</f>
        <v>3M公司美元配息債券 3.25% 2049/8/26</v>
      </c>
      <c r="F57" s="1745" t="str">
        <f ca="1">IFERROR(VLOOKUP(B57,'銀行-TSS'!B:E,4,FALSE),"")</f>
        <v>A3 / BBB+ / A-</v>
      </c>
      <c r="G57" s="1747">
        <f ca="1">IFERROR(VLOOKUP(B57,'銀行-TSS'!B:G,6,FALSE),"")</f>
        <v>25.15</v>
      </c>
      <c r="H57" s="1748">
        <f ca="1">IFERROR(VLOOKUP(B57,'銀行-TSS'!B:H,7,FALSE),"")</f>
        <v>3.2500000000000001E-2</v>
      </c>
      <c r="I57" s="1745" t="str">
        <f ca="1">IFERROR(IF(表格1[[#This Row],[配息頻率]]=0,"",CHOOSE(表格1[[#This Row],[配息頻率]],MONTH(J57),IF(MONTH(J57)&lt;=6,CONCATENATE(MONTH(J57)," / ",MONTH(J57)+6),CONCATENATE(MONTH(J57)-6," / ",MONTH(J57))),0,"2 / 4 / 8 / 11")),"")</f>
        <v>2 / 8</v>
      </c>
      <c r="J57" s="1749" t="str">
        <f ca="1">IFERROR(VLOOKUP(B57,'銀行-TSS'!B:P,15,FALSE),"")</f>
        <v>2024/8/26</v>
      </c>
      <c r="K57" s="1750">
        <f ca="1">IFERROR(VLOOKUP(表格1[[#This Row],[商品
代碼]],'銀行-TSS'!B:I,8,FALSE),"")</f>
        <v>2</v>
      </c>
      <c r="L57" s="1747">
        <f ca="1">IFERROR(VLOOKUP(B57,'銀行-TSS'!B:K,10,FALSE),"")</f>
        <v>70.760000000000005</v>
      </c>
      <c r="M57" s="1745" t="str">
        <f ca="1">IF(表格1[[#This Row],[含息申購
參考價]]&gt;100,"溢價",IF(表格1[[#This Row],[含息申購
參考價]]&lt;100,"折價","平價"))</f>
        <v>折價</v>
      </c>
      <c r="N57" s="1751">
        <f ca="1">IFERROR(VLOOKUP(B57,'銀行-TSS'!B:M,12,FALSE),"")</f>
        <v>5.4899999999999997E-2</v>
      </c>
      <c r="O57" s="1752">
        <f ca="1">IFERROR(VLOOKUP(表格1[[#This Row],[商品
代碼]],'銀行-TSS'!B:AJ,35,FALSE),"")</f>
        <v>0</v>
      </c>
      <c r="P57" s="1753">
        <f ca="1">IFERROR(VLOOKUP(表格1[[#This Row],[商品
代碼]],'銀行-TSS'!B:AE,30,FALSE),"")</f>
        <v>5.5199999999999999E-2</v>
      </c>
      <c r="Q57" s="1749" t="str">
        <f ca="1">IFERROR(IF(VLOOKUP(表格1[[#This Row],[商品
代碼]],'銀行-TSS'!B:AM,38,FALSE)="#N/A Field Not Applicable","",VLOOKUP(表格1[[#This Row],[商品
代碼]],'銀行-TSS'!B:AM,38,FALSE)),"")</f>
        <v>2049/2/26</v>
      </c>
      <c r="R57" s="1749" t="str">
        <f ca="1">IFERROR(VLOOKUP(表格1[[#This Row],[商品
代碼]],'銀行-TSS'!B:AH,33,FALSE),"")</f>
        <v>美元(USD)</v>
      </c>
      <c r="S57" s="1754">
        <f ca="1">IFERROR(VLOOKUP(B57,'銀行-TSS'!B:N,13,FALSE),"")</f>
        <v>2000</v>
      </c>
      <c r="T57" s="1754" t="str">
        <f ca="1">VLOOKUP(表格1[[#This Row],[商品
代碼]],'銀行-TSS'!B:AI,34,FALSE)</f>
        <v>自由選清單</v>
      </c>
      <c r="U57" s="1755" t="str">
        <f ca="1">IFERROR(VLOOKUP(B57,'銀行-TSS'!B:Q,16,FALSE),"")</f>
        <v>工業</v>
      </c>
      <c r="V57" s="1755" t="str">
        <f ca="1">IFERROR(VLOOKUP(表格1[[#This Row],[商品
代碼]],'銀行-TSS'!B:AG,32,FALSE),"")</f>
        <v>固定</v>
      </c>
      <c r="W57" s="1756" t="str">
        <f ca="1">IFERROR(IFERROR(VLOOKUP(表格1[[#This Row],[商品
代碼]],'3_是否下架'!A:B,2,FALSE),VLOOKUP(表格1[[#This Row],[商品
代碼]],'銀行-TSS'!B:AK,36,FALSE)),"")</f>
        <v>有</v>
      </c>
      <c r="Y57" s="400"/>
      <c r="Z57" s="400"/>
      <c r="AA57" s="401"/>
    </row>
    <row r="58" spans="2:27" s="399" customFormat="1" ht="24.75" customHeight="1">
      <c r="B58" s="1745" t="s">
        <v>914</v>
      </c>
      <c r="C58" s="1745" t="str">
        <f ca="1">IFERROR(VLOOKUP(表格1[[#This Row],[商品
代碼]],'銀行-TSS'!B:V,21,FALSE),"")</f>
        <v>(PI)專投</v>
      </c>
      <c r="D58" s="1746" t="str">
        <f>IFERROR(VLOOKUP(表格1[[#This Row],[商品
代碼]],bond!B:F,5,FALSE),"")</f>
        <v>US69370RAE71</v>
      </c>
      <c r="E58" s="1746" t="str">
        <f ca="1">IFERROR(VLOOKUP(B58,'銀行-TSS'!B:D,3,FALSE),"")</f>
        <v>印尼國家石油有限公司美元配息債券 4.7% 2049/7/30</v>
      </c>
      <c r="F58" s="1745" t="str">
        <f ca="1">IFERROR(VLOOKUP(B58,'銀行-TSS'!B:E,4,FALSE),"")</f>
        <v>Baa2 / - / BBB</v>
      </c>
      <c r="G58" s="1747">
        <f ca="1">IFERROR(VLOOKUP(B58,'銀行-TSS'!B:G,6,FALSE),"")</f>
        <v>25.08</v>
      </c>
      <c r="H58" s="1748">
        <f ca="1">IFERROR(VLOOKUP(B58,'銀行-TSS'!B:H,7,FALSE),"")</f>
        <v>4.7E-2</v>
      </c>
      <c r="I58" s="1745" t="str">
        <f ca="1">IFERROR(IF(表格1[[#This Row],[配息頻率]]=0,"",CHOOSE(表格1[[#This Row],[配息頻率]],MONTH(J58),IF(MONTH(J58)&lt;=6,CONCATENATE(MONTH(J58)," / ",MONTH(J58)+6),CONCATENATE(MONTH(J58)-6," / ",MONTH(J58))),0,"2 / 4 / 8 / 11")),"")</f>
        <v>1 / 7</v>
      </c>
      <c r="J58" s="1749" t="str">
        <f ca="1">IFERROR(VLOOKUP(B58,'銀行-TSS'!B:P,15,FALSE),"")</f>
        <v>2024/7/30</v>
      </c>
      <c r="K58" s="1750">
        <f ca="1">IFERROR(VLOOKUP(表格1[[#This Row],[商品
代碼]],'銀行-TSS'!B:I,8,FALSE),"")</f>
        <v>2</v>
      </c>
      <c r="L58" s="1747">
        <f ca="1">IFERROR(VLOOKUP(B58,'銀行-TSS'!B:K,10,FALSE),"")</f>
        <v>90.71</v>
      </c>
      <c r="M58" s="1745" t="str">
        <f ca="1">IF(表格1[[#This Row],[含息申購
參考價]]&gt;100,"溢價",IF(表格1[[#This Row],[含息申購
參考價]]&lt;100,"折價","平價"))</f>
        <v>折價</v>
      </c>
      <c r="N58" s="1751">
        <f ca="1">IFERROR(VLOOKUP(B58,'銀行-TSS'!B:M,12,FALSE),"")</f>
        <v>5.5399999999999998E-2</v>
      </c>
      <c r="O58" s="1752">
        <f ca="1">IFERROR(VLOOKUP(表格1[[#This Row],[商品
代碼]],'銀行-TSS'!B:AJ,35,FALSE),"")</f>
        <v>0</v>
      </c>
      <c r="P58" s="1753" t="str">
        <f ca="1">IFERROR(VLOOKUP(表格1[[#This Row],[商品
代碼]],'銀行-TSS'!B:AE,30,FALSE),"")</f>
        <v xml:space="preserve"> </v>
      </c>
      <c r="Q58" s="1749" t="str">
        <f ca="1">IFERROR(IF(VLOOKUP(表格1[[#This Row],[商品
代碼]],'銀行-TSS'!B:AM,38,FALSE)="#N/A Field Not Applicable","",VLOOKUP(表格1[[#This Row],[商品
代碼]],'銀行-TSS'!B:AM,38,FALSE)),"")</f>
        <v/>
      </c>
      <c r="R58" s="1749" t="str">
        <f ca="1">IFERROR(VLOOKUP(表格1[[#This Row],[商品
代碼]],'銀行-TSS'!B:AH,33,FALSE),"")</f>
        <v>美元(USD)</v>
      </c>
      <c r="S58" s="1754">
        <f ca="1">IFERROR(VLOOKUP(B58,'銀行-TSS'!B:N,13,FALSE),"")</f>
        <v>200000</v>
      </c>
      <c r="T58" s="1754" t="str">
        <f ca="1">VLOOKUP(表格1[[#This Row],[商品
代碼]],'銀行-TSS'!B:AI,34,FALSE)</f>
        <v>自由選清單</v>
      </c>
      <c r="U58" s="1755" t="str">
        <f ca="1">IFERROR(VLOOKUP(B58,'銀行-TSS'!B:Q,16,FALSE),"")</f>
        <v>能源</v>
      </c>
      <c r="V58" s="1755" t="str">
        <f ca="1">IFERROR(VLOOKUP(表格1[[#This Row],[商品
代碼]],'銀行-TSS'!B:AG,32,FALSE),"")</f>
        <v>固定</v>
      </c>
      <c r="W58" s="1756" t="str">
        <f ca="1">IFERROR(IFERROR(VLOOKUP(表格1[[#This Row],[商品
代碼]],'3_是否下架'!A:B,2,FALSE),VLOOKUP(表格1[[#This Row],[商品
代碼]],'銀行-TSS'!B:AK,36,FALSE)),"")</f>
        <v>有</v>
      </c>
      <c r="Y58" s="400"/>
      <c r="Z58" s="400"/>
      <c r="AA58" s="401"/>
    </row>
    <row r="59" spans="2:27" s="399" customFormat="1" ht="24.75" customHeight="1">
      <c r="B59" s="1745" t="s">
        <v>837</v>
      </c>
      <c r="C59" s="1745" t="str">
        <f ca="1">IFERROR(VLOOKUP(表格1[[#This Row],[商品
代碼]],'銀行-TSS'!B:V,21,FALSE),"")</f>
        <v>(PI)專投</v>
      </c>
      <c r="D59" s="1746" t="str">
        <f>IFERROR(VLOOKUP(表格1[[#This Row],[商品
代碼]],bond!B:F,5,FALSE),"")</f>
        <v>US71568QAK31</v>
      </c>
      <c r="E59" s="1746" t="str">
        <f ca="1">IFERROR(VLOOKUP(B59,'銀行-TSS'!B:D,3,FALSE),"")</f>
        <v>印尼國家電力公司美元配息債券 4.875% 2049/7/17</v>
      </c>
      <c r="F59" s="1745" t="str">
        <f ca="1">IFERROR(VLOOKUP(B59,'銀行-TSS'!B:E,4,FALSE),"")</f>
        <v>Baa2 / BBB / BBB</v>
      </c>
      <c r="G59" s="1747">
        <f ca="1">IFERROR(VLOOKUP(B59,'銀行-TSS'!B:G,6,FALSE),"")</f>
        <v>25.04</v>
      </c>
      <c r="H59" s="1748">
        <f ca="1">IFERROR(VLOOKUP(B59,'銀行-TSS'!B:H,7,FALSE),"")</f>
        <v>4.8750000000000002E-2</v>
      </c>
      <c r="I59" s="1745" t="str">
        <f ca="1">IFERROR(IF(表格1[[#This Row],[配息頻率]]=0,"",CHOOSE(表格1[[#This Row],[配息頻率]],MONTH(J59),IF(MONTH(J59)&lt;=6,CONCATENATE(MONTH(J59)," / ",MONTH(J59)+6),CONCATENATE(MONTH(J59)-6," / ",MONTH(J59))),0,"2 / 4 / 8 / 11")),"")</f>
        <v>1 / 7</v>
      </c>
      <c r="J59" s="1749" t="str">
        <f ca="1">IFERROR(VLOOKUP(B59,'銀行-TSS'!B:P,15,FALSE),"")</f>
        <v>2024/7/17</v>
      </c>
      <c r="K59" s="1750">
        <f ca="1">IFERROR(VLOOKUP(表格1[[#This Row],[商品
代碼]],'銀行-TSS'!B:I,8,FALSE),"")</f>
        <v>2</v>
      </c>
      <c r="L59" s="1747">
        <f ca="1">IFERROR(VLOOKUP(B59,'銀行-TSS'!B:K,10,FALSE),"")</f>
        <v>88.4</v>
      </c>
      <c r="M59" s="1745" t="str">
        <f ca="1">IF(表格1[[#This Row],[含息申購
參考價]]&gt;100,"溢價",IF(表格1[[#This Row],[含息申購
參考價]]&lt;100,"折價","平價"))</f>
        <v>折價</v>
      </c>
      <c r="N59" s="1751">
        <f ca="1">IFERROR(VLOOKUP(B59,'銀行-TSS'!B:M,12,FALSE),"")</f>
        <v>5.9400000000000001E-2</v>
      </c>
      <c r="O59" s="1752">
        <f ca="1">IFERROR(VLOOKUP(表格1[[#This Row],[商品
代碼]],'銀行-TSS'!B:AJ,35,FALSE),"")</f>
        <v>0</v>
      </c>
      <c r="P59" s="1753" t="str">
        <f ca="1">IFERROR(VLOOKUP(表格1[[#This Row],[商品
代碼]],'銀行-TSS'!B:AE,30,FALSE),"")</f>
        <v xml:space="preserve"> </v>
      </c>
      <c r="Q59" s="1749" t="str">
        <f ca="1">IFERROR(IF(VLOOKUP(表格1[[#This Row],[商品
代碼]],'銀行-TSS'!B:AM,38,FALSE)="#N/A Field Not Applicable","",VLOOKUP(表格1[[#This Row],[商品
代碼]],'銀行-TSS'!B:AM,38,FALSE)),"")</f>
        <v/>
      </c>
      <c r="R59" s="1749" t="str">
        <f ca="1">IFERROR(VLOOKUP(表格1[[#This Row],[商品
代碼]],'銀行-TSS'!B:AH,33,FALSE),"")</f>
        <v>美元(USD)</v>
      </c>
      <c r="S59" s="1754">
        <f ca="1">IFERROR(VLOOKUP(B59,'銀行-TSS'!B:N,13,FALSE),"")</f>
        <v>200000</v>
      </c>
      <c r="T59" s="1754" t="str">
        <f ca="1">VLOOKUP(表格1[[#This Row],[商品
代碼]],'銀行-TSS'!B:AI,34,FALSE)</f>
        <v>自由選清單</v>
      </c>
      <c r="U59" s="1755" t="str">
        <f ca="1">IFERROR(VLOOKUP(B59,'銀行-TSS'!B:Q,16,FALSE),"")</f>
        <v>公用事業</v>
      </c>
      <c r="V59" s="1755" t="str">
        <f ca="1">IFERROR(VLOOKUP(表格1[[#This Row],[商品
代碼]],'銀行-TSS'!B:AG,32,FALSE),"")</f>
        <v>固定</v>
      </c>
      <c r="W59" s="1756" t="str">
        <f ca="1">IFERROR(IFERROR(VLOOKUP(表格1[[#This Row],[商品
代碼]],'3_是否下架'!A:B,2,FALSE),VLOOKUP(表格1[[#This Row],[商品
代碼]],'銀行-TSS'!B:AK,36,FALSE)),"")</f>
        <v>需查詢</v>
      </c>
      <c r="Y59" s="400"/>
      <c r="Z59" s="400"/>
      <c r="AA59" s="401"/>
    </row>
    <row r="60" spans="2:27" s="399" customFormat="1" ht="24.75" customHeight="1">
      <c r="B60" s="1745" t="s">
        <v>922</v>
      </c>
      <c r="C60" s="1745" t="str">
        <f ca="1">IFERROR(VLOOKUP(表格1[[#This Row],[商品
代碼]],'銀行-TSS'!B:V,21,FALSE),"")</f>
        <v>(NPI)非專投</v>
      </c>
      <c r="D60" s="1746" t="str">
        <f>IFERROR(VLOOKUP(表格1[[#This Row],[商品
代碼]],bond!B:F,5,FALSE),"")</f>
        <v>US125523AK66</v>
      </c>
      <c r="E60" s="1746" t="str">
        <f ca="1">IFERROR(VLOOKUP(B60,'銀行-TSS'!B:D,3,FALSE),"")</f>
        <v>信諾公司美元配息債券 4.9% 2048/12/15</v>
      </c>
      <c r="F60" s="1745" t="str">
        <f ca="1">IFERROR(VLOOKUP(B60,'銀行-TSS'!B:E,4,FALSE),"")</f>
        <v>Baa1 / A- / BBB+</v>
      </c>
      <c r="G60" s="1747">
        <f ca="1">IFERROR(VLOOKUP(B60,'銀行-TSS'!B:G,6,FALSE),"")</f>
        <v>24.45</v>
      </c>
      <c r="H60" s="1748">
        <f ca="1">IFERROR(VLOOKUP(B60,'銀行-TSS'!B:H,7,FALSE),"")</f>
        <v>4.9000000000000002E-2</v>
      </c>
      <c r="I60" s="1745" t="str">
        <f ca="1">IFERROR(IF(表格1[[#This Row],[配息頻率]]=0,"",CHOOSE(表格1[[#This Row],[配息頻率]],MONTH(J60),IF(MONTH(J60)&lt;=6,CONCATENATE(MONTH(J60)," / ",MONTH(J60)+6),CONCATENATE(MONTH(J60)-6," / ",MONTH(J60))),0,"2 / 4 / 8 / 11")),"")</f>
        <v>6 / 12</v>
      </c>
      <c r="J60" s="1749" t="str">
        <f ca="1">IFERROR(VLOOKUP(B60,'銀行-TSS'!B:P,15,FALSE),"")</f>
        <v>2024/12/15</v>
      </c>
      <c r="K60" s="1750">
        <f ca="1">IFERROR(VLOOKUP(表格1[[#This Row],[商品
代碼]],'銀行-TSS'!B:I,8,FALSE),"")</f>
        <v>2</v>
      </c>
      <c r="L60" s="1747">
        <f ca="1">IFERROR(VLOOKUP(B60,'銀行-TSS'!B:K,10,FALSE),"")</f>
        <v>92.21</v>
      </c>
      <c r="M60" s="1745" t="str">
        <f ca="1">IF(表格1[[#This Row],[含息申購
參考價]]&gt;100,"溢價",IF(表格1[[#This Row],[含息申購
參考價]]&lt;100,"折價","平價"))</f>
        <v>折價</v>
      </c>
      <c r="N60" s="1751">
        <f ca="1">IFERROR(VLOOKUP(B60,'銀行-TSS'!B:M,12,FALSE),"")</f>
        <v>5.5E-2</v>
      </c>
      <c r="O60" s="1752">
        <f ca="1">IFERROR(VLOOKUP(表格1[[#This Row],[商品
代碼]],'銀行-TSS'!B:AJ,35,FALSE),"")</f>
        <v>0</v>
      </c>
      <c r="P60" s="1753">
        <f ca="1">IFERROR(VLOOKUP(表格1[[#This Row],[商品
代碼]],'銀行-TSS'!B:AE,30,FALSE),"")</f>
        <v>5.5100000000000003E-2</v>
      </c>
      <c r="Q60" s="1749" t="str">
        <f ca="1">IFERROR(IF(VLOOKUP(表格1[[#This Row],[商品
代碼]],'銀行-TSS'!B:AM,38,FALSE)="#N/A Field Not Applicable","",VLOOKUP(表格1[[#This Row],[商品
代碼]],'銀行-TSS'!B:AM,38,FALSE)),"")</f>
        <v>2048/6/15</v>
      </c>
      <c r="R60" s="1749" t="str">
        <f ca="1">IFERROR(VLOOKUP(表格1[[#This Row],[商品
代碼]],'銀行-TSS'!B:AH,33,FALSE),"")</f>
        <v>美元(USD)</v>
      </c>
      <c r="S60" s="1754">
        <f ca="1">IFERROR(VLOOKUP(B60,'銀行-TSS'!B:N,13,FALSE),"")</f>
        <v>10000</v>
      </c>
      <c r="T60" s="1754" t="str">
        <f ca="1">VLOOKUP(表格1[[#This Row],[商品
代碼]],'銀行-TSS'!B:AI,34,FALSE)</f>
        <v>自由選清單</v>
      </c>
      <c r="U60" s="1755" t="str">
        <f ca="1">IFERROR(VLOOKUP(B60,'銀行-TSS'!B:Q,16,FALSE),"")</f>
        <v>醫療保健</v>
      </c>
      <c r="V60" s="1755" t="str">
        <f ca="1">IFERROR(VLOOKUP(表格1[[#This Row],[商品
代碼]],'銀行-TSS'!B:AG,32,FALSE),"")</f>
        <v>固定</v>
      </c>
      <c r="W60" s="1756" t="str">
        <f ca="1">IFERROR(IFERROR(VLOOKUP(表格1[[#This Row],[商品
代碼]],'3_是否下架'!A:B,2,FALSE),VLOOKUP(表格1[[#This Row],[商品
代碼]],'銀行-TSS'!B:AK,36,FALSE)),"")</f>
        <v>有</v>
      </c>
      <c r="Y60" s="400"/>
      <c r="Z60" s="400"/>
      <c r="AA60" s="401"/>
    </row>
    <row r="61" spans="2:27" s="399" customFormat="1" ht="24.75" customHeight="1">
      <c r="B61" s="1745" t="s">
        <v>818</v>
      </c>
      <c r="C61" s="1745" t="str">
        <f ca="1">IFERROR(VLOOKUP(表格1[[#This Row],[商品
代碼]],'銀行-TSS'!B:V,21,FALSE),"")</f>
        <v>(PI)專投</v>
      </c>
      <c r="D61" s="1746" t="str">
        <f>IFERROR(VLOOKUP(表格1[[#This Row],[商品
代碼]],bond!B:F,5,FALSE),"")</f>
        <v>US26078JAF75</v>
      </c>
      <c r="E61" s="1746" t="str">
        <f ca="1">IFERROR(VLOOKUP(B61,'銀行-TSS'!B:D,3,FALSE),"")</f>
        <v>杜邦公司美元配息債券 5.419% 2048/11/15</v>
      </c>
      <c r="F61" s="1745" t="str">
        <f ca="1">IFERROR(VLOOKUP(B61,'銀行-TSS'!B:E,4,FALSE),"")</f>
        <v>Baa1 / BBB+ *- / BBB+</v>
      </c>
      <c r="G61" s="1747">
        <f ca="1">IFERROR(VLOOKUP(B61,'銀行-TSS'!B:G,6,FALSE),"")</f>
        <v>24.37</v>
      </c>
      <c r="H61" s="1748">
        <f ca="1">IFERROR(VLOOKUP(B61,'銀行-TSS'!B:H,7,FALSE),"")</f>
        <v>5.4189999999999995E-2</v>
      </c>
      <c r="I61" s="1745" t="str">
        <f ca="1">IFERROR(IF(表格1[[#This Row],[配息頻率]]=0,"",CHOOSE(表格1[[#This Row],[配息頻率]],MONTH(J61),IF(MONTH(J61)&lt;=6,CONCATENATE(MONTH(J61)," / ",MONTH(J61)+6),CONCATENATE(MONTH(J61)-6," / ",MONTH(J61))),0,"2 / 4 / 8 / 11")),"")</f>
        <v>5 / 11</v>
      </c>
      <c r="J61" s="1749" t="str">
        <f ca="1">IFERROR(VLOOKUP(B61,'銀行-TSS'!B:P,15,FALSE),"")</f>
        <v>2024/11/15</v>
      </c>
      <c r="K61" s="1750">
        <f ca="1">IFERROR(VLOOKUP(表格1[[#This Row],[商品
代碼]],'銀行-TSS'!B:I,8,FALSE),"")</f>
        <v>2</v>
      </c>
      <c r="L61" s="1747">
        <f ca="1">IFERROR(VLOOKUP(B61,'銀行-TSS'!B:K,10,FALSE),"")</f>
        <v>108.5</v>
      </c>
      <c r="M61" s="1745" t="str">
        <f ca="1">IF(表格1[[#This Row],[含息申購
參考價]]&gt;100,"溢價",IF(表格1[[#This Row],[含息申購
參考價]]&lt;100,"折價","平價"))</f>
        <v>溢價</v>
      </c>
      <c r="N61" s="1751">
        <f ca="1">IFERROR(VLOOKUP(B61,'銀行-TSS'!B:M,12,FALSE),"")</f>
        <v>4.87E-2</v>
      </c>
      <c r="O61" s="1752">
        <f ca="1">IFERROR(VLOOKUP(表格1[[#This Row],[商品
代碼]],'銀行-TSS'!B:AJ,35,FALSE),"")</f>
        <v>0</v>
      </c>
      <c r="P61" s="1753">
        <f ca="1">IFERROR(VLOOKUP(表格1[[#This Row],[商品
代碼]],'銀行-TSS'!B:AE,30,FALSE),"")</f>
        <v>4.8599999999999997E-2</v>
      </c>
      <c r="Q61" s="1749" t="str">
        <f ca="1">IFERROR(IF(VLOOKUP(表格1[[#This Row],[商品
代碼]],'銀行-TSS'!B:AM,38,FALSE)="#N/A Field Not Applicable","",VLOOKUP(表格1[[#This Row],[商品
代碼]],'銀行-TSS'!B:AM,38,FALSE)),"")</f>
        <v>2048/5/15</v>
      </c>
      <c r="R61" s="1749" t="str">
        <f ca="1">IFERROR(VLOOKUP(表格1[[#This Row],[商品
代碼]],'銀行-TSS'!B:AH,33,FALSE),"")</f>
        <v>美元(USD)</v>
      </c>
      <c r="S61" s="1754">
        <f ca="1">IFERROR(VLOOKUP(B61,'銀行-TSS'!B:N,13,FALSE),"")</f>
        <v>10000</v>
      </c>
      <c r="T61" s="1754" t="str">
        <f ca="1">VLOOKUP(表格1[[#This Row],[商品
代碼]],'銀行-TSS'!B:AI,34,FALSE)</f>
        <v>自由選清單</v>
      </c>
      <c r="U61" s="1755" t="str">
        <f ca="1">IFERROR(VLOOKUP(B61,'銀行-TSS'!B:Q,16,FALSE),"")</f>
        <v>原物料</v>
      </c>
      <c r="V61" s="1755" t="str">
        <f ca="1">IFERROR(VLOOKUP(表格1[[#This Row],[商品
代碼]],'銀行-TSS'!B:AG,32,FALSE),"")</f>
        <v>固定</v>
      </c>
      <c r="W61" s="1756" t="str">
        <f ca="1">IFERROR(IFERROR(VLOOKUP(表格1[[#This Row],[商品
代碼]],'3_是否下架'!A:B,2,FALSE),VLOOKUP(表格1[[#This Row],[商品
代碼]],'銀行-TSS'!B:AK,36,FALSE)),"")</f>
        <v>有</v>
      </c>
      <c r="Y61" s="400"/>
      <c r="Z61" s="400"/>
      <c r="AA61" s="401"/>
    </row>
    <row r="62" spans="2:27" s="399" customFormat="1" ht="24.75" customHeight="1">
      <c r="B62" s="1745" t="s">
        <v>974</v>
      </c>
      <c r="C62" s="1745" t="str">
        <f ca="1">IFERROR(VLOOKUP(表格1[[#This Row],[商品
代碼]],'銀行-TSS'!B:V,21,FALSE),"")</f>
        <v>(NPI)非專投</v>
      </c>
      <c r="D62" s="1746" t="str">
        <f>IFERROR(VLOOKUP(表格1[[#This Row],[商品
代碼]],bond!B:F,5,FALSE),"")</f>
        <v>US88579YBD22</v>
      </c>
      <c r="E62" s="1746" t="str">
        <f ca="1">IFERROR(VLOOKUP(B62,'銀行-TSS'!B:D,3,FALSE),"")</f>
        <v>3M公司美元配息債券 4% 2048/9/14</v>
      </c>
      <c r="F62" s="1745" t="str">
        <f ca="1">IFERROR(VLOOKUP(B62,'銀行-TSS'!B:E,4,FALSE),"")</f>
        <v>A3 / BBB+ / A-</v>
      </c>
      <c r="G62" s="1747">
        <f ca="1">IFERROR(VLOOKUP(B62,'銀行-TSS'!B:G,6,FALSE),"")</f>
        <v>24.2</v>
      </c>
      <c r="H62" s="1748">
        <f ca="1">IFERROR(VLOOKUP(B62,'銀行-TSS'!B:H,7,FALSE),"")</f>
        <v>0.04</v>
      </c>
      <c r="I62" s="1745" t="str">
        <f ca="1">IFERROR(IF(表格1[[#This Row],[配息頻率]]=0,"",CHOOSE(表格1[[#This Row],[配息頻率]],MONTH(J62),IF(MONTH(J62)&lt;=6,CONCATENATE(MONTH(J62)," / ",MONTH(J62)+6),CONCATENATE(MONTH(J62)-6," / ",MONTH(J62))),0,"2 / 4 / 8 / 11")),"")</f>
        <v>3 / 9</v>
      </c>
      <c r="J62" s="1749" t="str">
        <f ca="1">IFERROR(VLOOKUP(B62,'銀行-TSS'!B:P,15,FALSE),"")</f>
        <v>2024/9/14</v>
      </c>
      <c r="K62" s="1750">
        <f ca="1">IFERROR(VLOOKUP(表格1[[#This Row],[商品
代碼]],'銀行-TSS'!B:I,8,FALSE),"")</f>
        <v>2</v>
      </c>
      <c r="L62" s="1747">
        <f ca="1">IFERROR(VLOOKUP(B62,'銀行-TSS'!B:K,10,FALSE),"")</f>
        <v>85.07</v>
      </c>
      <c r="M62" s="1745" t="str">
        <f ca="1">IF(表格1[[#This Row],[含息申購
參考價]]&gt;100,"溢價",IF(表格1[[#This Row],[含息申購
參考價]]&lt;100,"折價","平價"))</f>
        <v>折價</v>
      </c>
      <c r="N62" s="1751">
        <f ca="1">IFERROR(VLOOKUP(B62,'銀行-TSS'!B:M,12,FALSE),"")</f>
        <v>5.1799999999999999E-2</v>
      </c>
      <c r="O62" s="1752">
        <f ca="1">IFERROR(VLOOKUP(表格1[[#This Row],[商品
代碼]],'銀行-TSS'!B:AJ,35,FALSE),"")</f>
        <v>0</v>
      </c>
      <c r="P62" s="1753">
        <f ca="1">IFERROR(VLOOKUP(表格1[[#This Row],[商品
代碼]],'銀行-TSS'!B:AE,30,FALSE),"")</f>
        <v>5.1900000000000002E-2</v>
      </c>
      <c r="Q62" s="1749" t="str">
        <f ca="1">IFERROR(IF(VLOOKUP(表格1[[#This Row],[商品
代碼]],'銀行-TSS'!B:AM,38,FALSE)="#N/A Field Not Applicable","",VLOOKUP(表格1[[#This Row],[商品
代碼]],'銀行-TSS'!B:AM,38,FALSE)),"")</f>
        <v>2048/3/14</v>
      </c>
      <c r="R62" s="1749" t="str">
        <f ca="1">IFERROR(VLOOKUP(表格1[[#This Row],[商品
代碼]],'銀行-TSS'!B:AH,33,FALSE),"")</f>
        <v>美元(USD)</v>
      </c>
      <c r="S62" s="1754">
        <f ca="1">IFERROR(VLOOKUP(B62,'銀行-TSS'!B:N,13,FALSE),"")</f>
        <v>10000</v>
      </c>
      <c r="T62" s="1754" t="str">
        <f ca="1">VLOOKUP(表格1[[#This Row],[商品
代碼]],'銀行-TSS'!B:AI,34,FALSE)</f>
        <v>自由選清單</v>
      </c>
      <c r="U62" s="1755" t="str">
        <f ca="1">IFERROR(VLOOKUP(B62,'銀行-TSS'!B:Q,16,FALSE),"")</f>
        <v>工業</v>
      </c>
      <c r="V62" s="1755" t="str">
        <f ca="1">IFERROR(VLOOKUP(表格1[[#This Row],[商品
代碼]],'銀行-TSS'!B:AG,32,FALSE),"")</f>
        <v>固定</v>
      </c>
      <c r="W62" s="1756" t="str">
        <f ca="1">IFERROR(IFERROR(VLOOKUP(表格1[[#This Row],[商品
代碼]],'3_是否下架'!A:B,2,FALSE),VLOOKUP(表格1[[#This Row],[商品
代碼]],'銀行-TSS'!B:AK,36,FALSE)),"")</f>
        <v>有</v>
      </c>
      <c r="Y62" s="400"/>
      <c r="Z62" s="400"/>
      <c r="AA62" s="401"/>
    </row>
    <row r="63" spans="2:27" s="399" customFormat="1" ht="24.75" customHeight="1">
      <c r="B63" s="1745" t="s">
        <v>2226</v>
      </c>
      <c r="C63" s="1745" t="str">
        <f ca="1">IFERROR(VLOOKUP(表格1[[#This Row],[商品
代碼]],'銀行-TSS'!B:V,21,FALSE),"")</f>
        <v>(NPI)非專投</v>
      </c>
      <c r="D63" s="1746" t="str">
        <f>IFERROR(VLOOKUP(表格1[[#This Row],[商品
代碼]],bond!B:F,5,FALSE),"")</f>
        <v>US084664CQ25</v>
      </c>
      <c r="E63" s="1746" t="str">
        <f ca="1">IFERROR(VLOOKUP(B63,'銀行-TSS'!B:D,3,FALSE),"")</f>
        <v>波克夏海瑟威金融公司美元配息債券 4.2% 2048/8/15</v>
      </c>
      <c r="F63" s="1745" t="str">
        <f ca="1">IFERROR(VLOOKUP(B63,'銀行-TSS'!B:E,4,FALSE),"")</f>
        <v>Aa2 / AA / A+u</v>
      </c>
      <c r="G63" s="1747">
        <f ca="1">IFERROR(VLOOKUP(B63,'銀行-TSS'!B:G,6,FALSE),"")</f>
        <v>24.12</v>
      </c>
      <c r="H63" s="1748">
        <f ca="1">IFERROR(VLOOKUP(B63,'銀行-TSS'!B:H,7,FALSE),"")</f>
        <v>4.2000000000000003E-2</v>
      </c>
      <c r="I63" s="1745" t="str">
        <f ca="1">IFERROR(IF(表格1[[#This Row],[配息頻率]]=0,"",CHOOSE(表格1[[#This Row],[配息頻率]],MONTH(J63),IF(MONTH(J63)&lt;=6,CONCATENATE(MONTH(J63)," / ",MONTH(J63)+6),CONCATENATE(MONTH(J63)-6," / ",MONTH(J63))),0,"2 / 4 / 8 / 11")),"")</f>
        <v>2 / 8</v>
      </c>
      <c r="J63" s="1749" t="str">
        <f ca="1">IFERROR(VLOOKUP(B63,'銀行-TSS'!B:P,15,FALSE),"")</f>
        <v>2024/8/15</v>
      </c>
      <c r="K63" s="1750">
        <f ca="1">IFERROR(VLOOKUP(表格1[[#This Row],[商品
代碼]],'銀行-TSS'!B:I,8,FALSE),"")</f>
        <v>2</v>
      </c>
      <c r="L63" s="1747">
        <f ca="1">IFERROR(VLOOKUP(B63,'銀行-TSS'!B:K,10,FALSE),"")</f>
        <v>89.93</v>
      </c>
      <c r="M63" s="1745" t="str">
        <f ca="1">IF(表格1[[#This Row],[含息申購
參考價]]&gt;100,"溢價",IF(表格1[[#This Row],[含息申購
參考價]]&lt;100,"折價","平價"))</f>
        <v>折價</v>
      </c>
      <c r="N63" s="1751">
        <f ca="1">IFERROR(VLOOKUP(B63,'銀行-TSS'!B:M,12,FALSE),"")</f>
        <v>5.04E-2</v>
      </c>
      <c r="O63" s="1752">
        <f ca="1">IFERROR(VLOOKUP(表格1[[#This Row],[商品
代碼]],'銀行-TSS'!B:AJ,35,FALSE),"")</f>
        <v>0</v>
      </c>
      <c r="P63" s="1753">
        <f ca="1">IFERROR(VLOOKUP(表格1[[#This Row],[商品
代碼]],'銀行-TSS'!B:AE,30,FALSE),"")</f>
        <v>5.0500000000000003E-2</v>
      </c>
      <c r="Q63" s="1749" t="str">
        <f ca="1">IFERROR(IF(VLOOKUP(表格1[[#This Row],[商品
代碼]],'銀行-TSS'!B:AM,38,FALSE)="#N/A Field Not Applicable","",VLOOKUP(表格1[[#This Row],[商品
代碼]],'銀行-TSS'!B:AM,38,FALSE)),"")</f>
        <v>2048/2/15</v>
      </c>
      <c r="R63" s="1749" t="str">
        <f ca="1">IFERROR(VLOOKUP(表格1[[#This Row],[商品
代碼]],'銀行-TSS'!B:AH,33,FALSE),"")</f>
        <v>美元(USD)</v>
      </c>
      <c r="S63" s="1754">
        <f ca="1">IFERROR(VLOOKUP(B63,'銀行-TSS'!B:N,13,FALSE),"")</f>
        <v>10000</v>
      </c>
      <c r="T63" s="1754" t="str">
        <f ca="1">VLOOKUP(表格1[[#This Row],[商品
代碼]],'銀行-TSS'!B:AI,34,FALSE)</f>
        <v>自由選清單</v>
      </c>
      <c r="U63" s="1755" t="str">
        <f ca="1">IFERROR(VLOOKUP(B63,'銀行-TSS'!B:Q,16,FALSE),"")</f>
        <v>金融</v>
      </c>
      <c r="V63" s="1755" t="str">
        <f ca="1">IFERROR(VLOOKUP(表格1[[#This Row],[商品
代碼]],'銀行-TSS'!B:AG,32,FALSE),"")</f>
        <v>固定</v>
      </c>
      <c r="W63" s="1756" t="str">
        <f ca="1">IFERROR(IFERROR(VLOOKUP(表格1[[#This Row],[商品
代碼]],'3_是否下架'!A:B,2,FALSE),VLOOKUP(表格1[[#This Row],[商品
代碼]],'銀行-TSS'!B:AK,36,FALSE)),"")</f>
        <v>有</v>
      </c>
      <c r="Y63" s="400"/>
      <c r="Z63" s="400"/>
      <c r="AA63" s="401"/>
    </row>
    <row r="64" spans="2:27" s="399" customFormat="1" ht="24.75" customHeight="1">
      <c r="B64" s="1745" t="s">
        <v>2342</v>
      </c>
      <c r="C64" s="1745" t="str">
        <f ca="1">IFERROR(VLOOKUP(表格1[[#This Row],[商品
代碼]],'銀行-TSS'!B:V,21,FALSE),"")</f>
        <v>(PI)專投</v>
      </c>
      <c r="D64" s="1746" t="str">
        <f>IFERROR(VLOOKUP(表格1[[#This Row],[商品
代碼]],bond!B:F,5,FALSE),"")</f>
        <v>US172967MD09</v>
      </c>
      <c r="E64" s="1746" t="str">
        <f ca="1">IFERROR(VLOOKUP(B64,'銀行-TSS'!B:D,3,FALSE),"")</f>
        <v>花旗集團美元配息債券 4.65% 2048/7/23</v>
      </c>
      <c r="F64" s="1745" t="str">
        <f ca="1">IFERROR(VLOOKUP(B64,'銀行-TSS'!B:E,4,FALSE),"")</f>
        <v>A3 / BBB+ / A</v>
      </c>
      <c r="G64" s="1747">
        <f ca="1">IFERROR(VLOOKUP(B64,'銀行-TSS'!B:G,6,FALSE),"")</f>
        <v>24.06</v>
      </c>
      <c r="H64" s="1748">
        <f ca="1">IFERROR(VLOOKUP(B64,'銀行-TSS'!B:H,7,FALSE),"")</f>
        <v>4.6500000000000007E-2</v>
      </c>
      <c r="I64" s="1745" t="str">
        <f ca="1">IFERROR(IF(表格1[[#This Row],[配息頻率]]=0,"",CHOOSE(表格1[[#This Row],[配息頻率]],MONTH(J64),IF(MONTH(J64)&lt;=6,CONCATENATE(MONTH(J64)," / ",MONTH(J64)+6),CONCATENATE(MONTH(J64)-6," / ",MONTH(J64))),0,"2 / 4 / 8 / 11")),"")</f>
        <v>1 / 7</v>
      </c>
      <c r="J64" s="1749" t="str">
        <f ca="1">IFERROR(VLOOKUP(B64,'銀行-TSS'!B:P,15,FALSE),"")</f>
        <v>2024/7/23</v>
      </c>
      <c r="K64" s="1750">
        <f ca="1">IFERROR(VLOOKUP(表格1[[#This Row],[商品
代碼]],'銀行-TSS'!B:I,8,FALSE),"")</f>
        <v>2</v>
      </c>
      <c r="L64" s="1747">
        <f ca="1">IFERROR(VLOOKUP(B64,'銀行-TSS'!B:K,10,FALSE),"")</f>
        <v>93.46</v>
      </c>
      <c r="M64" s="1745" t="str">
        <f ca="1">IF(表格1[[#This Row],[含息申購
參考價]]&gt;100,"溢價",IF(表格1[[#This Row],[含息申購
參考價]]&lt;100,"折價","平價"))</f>
        <v>折價</v>
      </c>
      <c r="N64" s="1751">
        <f ca="1">IFERROR(VLOOKUP(B64,'銀行-TSS'!B:M,12,FALSE),"")</f>
        <v>5.28E-2</v>
      </c>
      <c r="O64" s="1752">
        <f ca="1">IFERROR(VLOOKUP(表格1[[#This Row],[商品
代碼]],'銀行-TSS'!B:AJ,35,FALSE),"")</f>
        <v>0</v>
      </c>
      <c r="P64" s="1753">
        <f ca="1">IFERROR(VLOOKUP(表格1[[#This Row],[商品
代碼]],'銀行-TSS'!B:AE,30,FALSE),"")</f>
        <v>5.2900000000000003E-2</v>
      </c>
      <c r="Q64" s="1749" t="str">
        <f ca="1">IFERROR(IF(VLOOKUP(表格1[[#This Row],[商品
代碼]],'銀行-TSS'!B:AM,38,FALSE)="#N/A Field Not Applicable","",VLOOKUP(表格1[[#This Row],[商品
代碼]],'銀行-TSS'!B:AM,38,FALSE)),"")</f>
        <v>2048/6/23</v>
      </c>
      <c r="R64" s="1749" t="str">
        <f ca="1">IFERROR(VLOOKUP(表格1[[#This Row],[商品
代碼]],'銀行-TSS'!B:AH,33,FALSE),"")</f>
        <v>美元(USD)</v>
      </c>
      <c r="S64" s="1754">
        <f ca="1">IFERROR(VLOOKUP(B64,'銀行-TSS'!B:N,13,FALSE),"")</f>
        <v>10000</v>
      </c>
      <c r="T64" s="1754" t="str">
        <f ca="1">VLOOKUP(表格1[[#This Row],[商品
代碼]],'銀行-TSS'!B:AI,34,FALSE)</f>
        <v>自由選清單</v>
      </c>
      <c r="U64" s="1755" t="str">
        <f ca="1">IFERROR(VLOOKUP(B64,'銀行-TSS'!B:Q,16,FALSE),"")</f>
        <v>金融</v>
      </c>
      <c r="V64" s="1755" t="str">
        <f ca="1">IFERROR(VLOOKUP(表格1[[#This Row],[商品
代碼]],'銀行-TSS'!B:AG,32,FALSE),"")</f>
        <v>固定</v>
      </c>
      <c r="W64" s="1756" t="str">
        <f ca="1">IFERROR(IFERROR(VLOOKUP(表格1[[#This Row],[商品
代碼]],'3_是否下架'!A:B,2,FALSE),VLOOKUP(表格1[[#This Row],[商品
代碼]],'銀行-TSS'!B:AK,36,FALSE)),"")</f>
        <v>有</v>
      </c>
      <c r="Y64" s="400"/>
      <c r="Z64" s="400"/>
      <c r="AA64" s="401"/>
    </row>
    <row r="65" spans="2:27" s="399" customFormat="1" ht="24.75" customHeight="1">
      <c r="B65" s="1745" t="s">
        <v>860</v>
      </c>
      <c r="C65" s="1745" t="str">
        <f ca="1">IFERROR(VLOOKUP(表格1[[#This Row],[商品
代碼]],'銀行-TSS'!B:V,21,FALSE),"")</f>
        <v>(PI)專投</v>
      </c>
      <c r="D65" s="1746" t="str">
        <f>IFERROR(VLOOKUP(表格1[[#This Row],[商品
代碼]],bond!B:F,5,FALSE),"")</f>
        <v>US126650CZ11</v>
      </c>
      <c r="E65" s="1746" t="str">
        <f ca="1">IFERROR(VLOOKUP(B65,'銀行-TSS'!B:D,3,FALSE),"")</f>
        <v>CVSHEALTH公司美元配息債券 5.05% 2048/3/25</v>
      </c>
      <c r="F65" s="1745" t="str">
        <f ca="1">IFERROR(VLOOKUP(B65,'銀行-TSS'!B:E,4,FALSE),"")</f>
        <v>Baa2 / BBB / -</v>
      </c>
      <c r="G65" s="1747">
        <f ca="1">IFERROR(VLOOKUP(B65,'銀行-TSS'!B:G,6,FALSE),"")</f>
        <v>23.73</v>
      </c>
      <c r="H65" s="1748">
        <f ca="1">IFERROR(VLOOKUP(B65,'銀行-TSS'!B:H,7,FALSE),"")</f>
        <v>5.0499999999999996E-2</v>
      </c>
      <c r="I65" s="1745" t="str">
        <f ca="1">IFERROR(IF(表格1[[#This Row],[配息頻率]]=0,"",CHOOSE(表格1[[#This Row],[配息頻率]],MONTH(J65),IF(MONTH(J65)&lt;=6,CONCATENATE(MONTH(J65)," / ",MONTH(J65)+6),CONCATENATE(MONTH(J65)-6," / ",MONTH(J65))),0,"2 / 4 / 8 / 11")),"")</f>
        <v>3 / 9</v>
      </c>
      <c r="J65" s="1749" t="str">
        <f ca="1">IFERROR(VLOOKUP(B65,'銀行-TSS'!B:P,15,FALSE),"")</f>
        <v>2024/9/25</v>
      </c>
      <c r="K65" s="1750">
        <f ca="1">IFERROR(VLOOKUP(表格1[[#This Row],[商品
代碼]],'銀行-TSS'!B:I,8,FALSE),"")</f>
        <v>2</v>
      </c>
      <c r="L65" s="1747">
        <f ca="1">IFERROR(VLOOKUP(B65,'銀行-TSS'!B:K,10,FALSE),"")</f>
        <v>91.65</v>
      </c>
      <c r="M65" s="1745" t="str">
        <f ca="1">IF(表格1[[#This Row],[含息申購
參考價]]&gt;100,"溢價",IF(表格1[[#This Row],[含息申購
參考價]]&lt;100,"折價","平價"))</f>
        <v>折價</v>
      </c>
      <c r="N65" s="1751">
        <f ca="1">IFERROR(VLOOKUP(B65,'銀行-TSS'!B:M,12,FALSE),"")</f>
        <v>5.8099999999999999E-2</v>
      </c>
      <c r="O65" s="1752">
        <f ca="1">IFERROR(VLOOKUP(表格1[[#This Row],[商品
代碼]],'銀行-TSS'!B:AJ,35,FALSE),"")</f>
        <v>0</v>
      </c>
      <c r="P65" s="1753">
        <f ca="1">IFERROR(VLOOKUP(表格1[[#This Row],[商品
代碼]],'銀行-TSS'!B:AE,30,FALSE),"")</f>
        <v>5.8200000000000002E-2</v>
      </c>
      <c r="Q65" s="1749" t="str">
        <f ca="1">IFERROR(IF(VLOOKUP(表格1[[#This Row],[商品
代碼]],'銀行-TSS'!B:AM,38,FALSE)="#N/A Field Not Applicable","",VLOOKUP(表格1[[#This Row],[商品
代碼]],'銀行-TSS'!B:AM,38,FALSE)),"")</f>
        <v>2047/9/25</v>
      </c>
      <c r="R65" s="1749" t="str">
        <f ca="1">IFERROR(VLOOKUP(表格1[[#This Row],[商品
代碼]],'銀行-TSS'!B:AH,33,FALSE),"")</f>
        <v>美元(USD)</v>
      </c>
      <c r="S65" s="1754">
        <f ca="1">IFERROR(VLOOKUP(B65,'銀行-TSS'!B:N,13,FALSE),"")</f>
        <v>10000</v>
      </c>
      <c r="T65" s="1754" t="str">
        <f ca="1">VLOOKUP(表格1[[#This Row],[商品
代碼]],'銀行-TSS'!B:AI,34,FALSE)</f>
        <v>自由選清單</v>
      </c>
      <c r="U65" s="1755" t="str">
        <f ca="1">IFERROR(VLOOKUP(B65,'銀行-TSS'!B:Q,16,FALSE),"")</f>
        <v>醫療保健</v>
      </c>
      <c r="V65" s="1755" t="str">
        <f ca="1">IFERROR(VLOOKUP(表格1[[#This Row],[商品
代碼]],'銀行-TSS'!B:AG,32,FALSE),"")</f>
        <v>固定</v>
      </c>
      <c r="W65" s="1756" t="str">
        <f ca="1">IFERROR(IFERROR(VLOOKUP(表格1[[#This Row],[商品
代碼]],'3_是否下架'!A:B,2,FALSE),VLOOKUP(表格1[[#This Row],[商品
代碼]],'銀行-TSS'!B:AK,36,FALSE)),"")</f>
        <v>有</v>
      </c>
      <c r="Y65" s="400"/>
      <c r="Z65" s="400"/>
      <c r="AA65" s="401"/>
    </row>
    <row r="66" spans="2:27" s="399" customFormat="1" ht="24.75" customHeight="1">
      <c r="B66" s="1745" t="s">
        <v>850</v>
      </c>
      <c r="C66" s="1745" t="str">
        <f ca="1">IFERROR(VLOOKUP(表格1[[#This Row],[商品
代碼]],'銀行-TSS'!B:V,21,FALSE),"")</f>
        <v>(PI)專投</v>
      </c>
      <c r="D66" s="1746" t="str">
        <f>IFERROR(VLOOKUP(表格1[[#This Row],[商品
代碼]],bond!B:F,5,FALSE),"")</f>
        <v>USP57908AH15</v>
      </c>
      <c r="E66" s="1746" t="str">
        <f ca="1">IFERROR(VLOOKUP(B66,'銀行-TSS'!B:D,3,FALSE),"")</f>
        <v>墨西哥化工公司美元配息債券 5.5% 2048/1/15</v>
      </c>
      <c r="F66" s="1745" t="str">
        <f ca="1">IFERROR(VLOOKUP(B66,'銀行-TSS'!B:E,4,FALSE),"")</f>
        <v>Baa3 / BBB- / BBB</v>
      </c>
      <c r="G66" s="1747">
        <f ca="1">IFERROR(VLOOKUP(B66,'銀行-TSS'!B:G,6,FALSE),"")</f>
        <v>23.54</v>
      </c>
      <c r="H66" s="1748">
        <f ca="1">IFERROR(VLOOKUP(B66,'銀行-TSS'!B:H,7,FALSE),"")</f>
        <v>5.5E-2</v>
      </c>
      <c r="I66" s="1745" t="str">
        <f ca="1">IFERROR(IF(表格1[[#This Row],[配息頻率]]=0,"",CHOOSE(表格1[[#This Row],[配息頻率]],MONTH(J66),IF(MONTH(J66)&lt;=6,CONCATENATE(MONTH(J66)," / ",MONTH(J66)+6),CONCATENATE(MONTH(J66)-6," / ",MONTH(J66))),0,"2 / 4 / 8 / 11")),"")</f>
        <v>1 / 7</v>
      </c>
      <c r="J66" s="1749" t="str">
        <f ca="1">IFERROR(VLOOKUP(B66,'銀行-TSS'!B:P,15,FALSE),"")</f>
        <v>2024/7/15</v>
      </c>
      <c r="K66" s="1750">
        <f ca="1">IFERROR(VLOOKUP(表格1[[#This Row],[商品
代碼]],'銀行-TSS'!B:I,8,FALSE),"")</f>
        <v>2</v>
      </c>
      <c r="L66" s="1747">
        <f ca="1">IFERROR(VLOOKUP(B66,'銀行-TSS'!B:K,10,FALSE),"")</f>
        <v>92</v>
      </c>
      <c r="M66" s="1745" t="str">
        <f ca="1">IF(表格1[[#This Row],[含息申購
參考價]]&gt;100,"溢價",IF(表格1[[#This Row],[含息申購
參考價]]&lt;100,"折價","平價"))</f>
        <v>折價</v>
      </c>
      <c r="N66" s="1751">
        <f ca="1">IFERROR(VLOOKUP(B66,'銀行-TSS'!B:M,12,FALSE),"")</f>
        <v>6.3700000000000007E-2</v>
      </c>
      <c r="O66" s="1752">
        <f ca="1">IFERROR(VLOOKUP(表格1[[#This Row],[商品
代碼]],'銀行-TSS'!B:AJ,35,FALSE),"")</f>
        <v>0</v>
      </c>
      <c r="P66" s="1753">
        <f ca="1">IFERROR(VLOOKUP(表格1[[#This Row],[商品
代碼]],'銀行-TSS'!B:AE,30,FALSE),"")</f>
        <v>6.3799999999999996E-2</v>
      </c>
      <c r="Q66" s="1749" t="str">
        <f ca="1">IFERROR(IF(VLOOKUP(表格1[[#This Row],[商品
代碼]],'銀行-TSS'!B:AM,38,FALSE)="#N/A Field Not Applicable","",VLOOKUP(表格1[[#This Row],[商品
代碼]],'銀行-TSS'!B:AM,38,FALSE)),"")</f>
        <v>2047/7/15</v>
      </c>
      <c r="R66" s="1749" t="str">
        <f ca="1">IFERROR(VLOOKUP(表格1[[#This Row],[商品
代碼]],'銀行-TSS'!B:AH,33,FALSE),"")</f>
        <v>美元(USD)</v>
      </c>
      <c r="S66" s="1754">
        <f ca="1">IFERROR(VLOOKUP(B66,'銀行-TSS'!B:N,13,FALSE),"")</f>
        <v>200000</v>
      </c>
      <c r="T66" s="1754" t="str">
        <f ca="1">VLOOKUP(表格1[[#This Row],[商品
代碼]],'銀行-TSS'!B:AI,34,FALSE)</f>
        <v>自由選清單</v>
      </c>
      <c r="U66" s="1755" t="str">
        <f ca="1">IFERROR(VLOOKUP(B66,'銀行-TSS'!B:Q,16,FALSE),"")</f>
        <v>原物料</v>
      </c>
      <c r="V66" s="1755" t="str">
        <f ca="1">IFERROR(VLOOKUP(表格1[[#This Row],[商品
代碼]],'銀行-TSS'!B:AG,32,FALSE),"")</f>
        <v>固定</v>
      </c>
      <c r="W66" s="1756" t="str">
        <f ca="1">IFERROR(IFERROR(VLOOKUP(表格1[[#This Row],[商品
代碼]],'3_是否下架'!A:B,2,FALSE),VLOOKUP(表格1[[#This Row],[商品
代碼]],'銀行-TSS'!B:AK,36,FALSE)),"")</f>
        <v>需查詢</v>
      </c>
      <c r="Y66" s="400"/>
      <c r="Z66" s="400"/>
      <c r="AA66" s="401"/>
    </row>
    <row r="67" spans="2:27" s="399" customFormat="1" ht="24.75" customHeight="1">
      <c r="B67" s="1745" t="s">
        <v>1141</v>
      </c>
      <c r="C67" s="1745" t="str">
        <f ca="1">IFERROR(VLOOKUP(表格1[[#This Row],[商品
代碼]],'銀行-TSS'!B:V,21,FALSE),"")</f>
        <v>高資產</v>
      </c>
      <c r="D67" s="1746" t="str">
        <f>IFERROR(VLOOKUP(表格1[[#This Row],[商品
代碼]],bond!B:F,5,FALSE),"")</f>
        <v>US71654QCC42</v>
      </c>
      <c r="E67" s="1746" t="str">
        <f ca="1">IFERROR(VLOOKUP(B67,'銀行-TSS'!B:D,3,FALSE),"")</f>
        <v>墨西哥石油公司美元配息債券 6.75% 2047/9/21</v>
      </c>
      <c r="F67" s="1745" t="str">
        <f ca="1">IFERROR(VLOOKUP(B67,'銀行-TSS'!B:E,4,FALSE),"")</f>
        <v>B3 / BBB / B+u</v>
      </c>
      <c r="G67" s="1747">
        <f ca="1">IFERROR(VLOOKUP(B67,'銀行-TSS'!B:G,6,FALSE),"")</f>
        <v>23.22</v>
      </c>
      <c r="H67" s="1748">
        <f ca="1">IFERROR(VLOOKUP(B67,'銀行-TSS'!B:H,7,FALSE),"")</f>
        <v>6.7500000000000004E-2</v>
      </c>
      <c r="I67" s="1745" t="str">
        <f ca="1">IFERROR(IF(表格1[[#This Row],[配息頻率]]=0,"",CHOOSE(表格1[[#This Row],[配息頻率]],MONTH(J67),IF(MONTH(J67)&lt;=6,CONCATENATE(MONTH(J67)," / ",MONTH(J67)+6),CONCATENATE(MONTH(J67)-6," / ",MONTH(J67))),0,"2 / 4 / 8 / 11")),"")</f>
        <v>3 / 9</v>
      </c>
      <c r="J67" s="1749" t="str">
        <f ca="1">IFERROR(VLOOKUP(B67,'銀行-TSS'!B:P,15,FALSE),"")</f>
        <v>2024/9/21</v>
      </c>
      <c r="K67" s="1750">
        <f ca="1">IFERROR(VLOOKUP(表格1[[#This Row],[商品
代碼]],'銀行-TSS'!B:I,8,FALSE),"")</f>
        <v>2</v>
      </c>
      <c r="L67" s="1747">
        <f ca="1">IFERROR(VLOOKUP(B67,'銀行-TSS'!B:K,10,FALSE),"")</f>
        <v>72.55</v>
      </c>
      <c r="M67" s="1745" t="str">
        <f ca="1">IF(表格1[[#This Row],[含息申購
參考價]]&gt;100,"溢價",IF(表格1[[#This Row],[含息申購
參考價]]&lt;100,"折價","平價"))</f>
        <v>折價</v>
      </c>
      <c r="N67" s="1751">
        <f ca="1">IFERROR(VLOOKUP(B67,'銀行-TSS'!B:M,12,FALSE),"")</f>
        <v>0.1003</v>
      </c>
      <c r="O67" s="1752">
        <f ca="1">IFERROR(VLOOKUP(表格1[[#This Row],[商品
代碼]],'銀行-TSS'!B:AJ,35,FALSE),"")</f>
        <v>0</v>
      </c>
      <c r="P67" s="1753" t="str">
        <f ca="1">IFERROR(VLOOKUP(表格1[[#This Row],[商品
代碼]],'銀行-TSS'!B:AE,30,FALSE),"")</f>
        <v xml:space="preserve"> </v>
      </c>
      <c r="Q67" s="1749" t="str">
        <f ca="1">IFERROR(IF(VLOOKUP(表格1[[#This Row],[商品
代碼]],'銀行-TSS'!B:AM,38,FALSE)="#N/A Field Not Applicable","",VLOOKUP(表格1[[#This Row],[商品
代碼]],'銀行-TSS'!B:AM,38,FALSE)),"")</f>
        <v/>
      </c>
      <c r="R67" s="1749" t="str">
        <f ca="1">IFERROR(VLOOKUP(表格1[[#This Row],[商品
代碼]],'銀行-TSS'!B:AH,33,FALSE),"")</f>
        <v>美元(USD)</v>
      </c>
      <c r="S67" s="1754">
        <f ca="1">IFERROR(VLOOKUP(B67,'銀行-TSS'!B:N,13,FALSE),"")</f>
        <v>10000</v>
      </c>
      <c r="T67" s="1754" t="str">
        <f ca="1">VLOOKUP(表格1[[#This Row],[商品
代碼]],'銀行-TSS'!B:AI,34,FALSE)</f>
        <v>自由選清單</v>
      </c>
      <c r="U67" s="1755" t="str">
        <f ca="1">IFERROR(VLOOKUP(B67,'銀行-TSS'!B:Q,16,FALSE),"")</f>
        <v>能源</v>
      </c>
      <c r="V67" s="1755" t="str">
        <f ca="1">IFERROR(VLOOKUP(表格1[[#This Row],[商品
代碼]],'銀行-TSS'!B:AG,32,FALSE),"")</f>
        <v>固定</v>
      </c>
      <c r="W67" s="1756" t="str">
        <f ca="1">IFERROR(IFERROR(VLOOKUP(表格1[[#This Row],[商品
代碼]],'3_是否下架'!A:B,2,FALSE),VLOOKUP(表格1[[#This Row],[商品
代碼]],'銀行-TSS'!B:AK,36,FALSE)),"")</f>
        <v>有</v>
      </c>
      <c r="Y67" s="400"/>
      <c r="Z67" s="400"/>
      <c r="AA67" s="401"/>
    </row>
    <row r="68" spans="2:27" s="399" customFormat="1" ht="24.75" customHeight="1">
      <c r="B68" s="1745" t="s">
        <v>1174</v>
      </c>
      <c r="C68" s="1745" t="str">
        <f ca="1">IFERROR(VLOOKUP(表格1[[#This Row],[商品
代碼]],'銀行-TSS'!B:V,21,FALSE),"")</f>
        <v>(NPI)非專投</v>
      </c>
      <c r="D68" s="1746" t="str">
        <f>IFERROR(VLOOKUP(表格1[[#This Row],[商品
代碼]],bond!B:F,5,FALSE),"")</f>
        <v>US023135BJ40</v>
      </c>
      <c r="E68" s="1746" t="str">
        <f ca="1">IFERROR(VLOOKUP(B68,'銀行-TSS'!B:D,3,FALSE),"")</f>
        <v>亞馬遜公司美元配息債券 4.05% 2047/8/22</v>
      </c>
      <c r="F68" s="1745" t="str">
        <f ca="1">IFERROR(VLOOKUP(B68,'銀行-TSS'!B:E,4,FALSE),"")</f>
        <v>A1 / AA / AA-</v>
      </c>
      <c r="G68" s="1747">
        <f ca="1">IFERROR(VLOOKUP(B68,'銀行-TSS'!B:G,6,FALSE),"")</f>
        <v>23.14</v>
      </c>
      <c r="H68" s="1748">
        <f ca="1">IFERROR(VLOOKUP(B68,'銀行-TSS'!B:H,7,FALSE),"")</f>
        <v>4.0500000000000001E-2</v>
      </c>
      <c r="I68" s="1745" t="str">
        <f ca="1">IFERROR(IF(表格1[[#This Row],[配息頻率]]=0,"",CHOOSE(表格1[[#This Row],[配息頻率]],MONTH(J68),IF(MONTH(J68)&lt;=6,CONCATENATE(MONTH(J68)," / ",MONTH(J68)+6),CONCATENATE(MONTH(J68)-6," / ",MONTH(J68))),0,"2 / 4 / 8 / 11")),"")</f>
        <v>2 / 8</v>
      </c>
      <c r="J68" s="1749" t="str">
        <f ca="1">IFERROR(VLOOKUP(B68,'銀行-TSS'!B:P,15,FALSE),"")</f>
        <v>2024/8/22</v>
      </c>
      <c r="K68" s="1750">
        <f ca="1">IFERROR(VLOOKUP(表格1[[#This Row],[商品
代碼]],'銀行-TSS'!B:I,8,FALSE),"")</f>
        <v>2</v>
      </c>
      <c r="L68" s="1747">
        <f ca="1">IFERROR(VLOOKUP(B68,'銀行-TSS'!B:K,10,FALSE),"")</f>
        <v>89.15</v>
      </c>
      <c r="M68" s="1745" t="str">
        <f ca="1">IF(表格1[[#This Row],[含息申購
參考價]]&gt;100,"溢價",IF(表格1[[#This Row],[含息申購
參考價]]&lt;100,"折價","平價"))</f>
        <v>折價</v>
      </c>
      <c r="N68" s="1751">
        <f ca="1">IFERROR(VLOOKUP(B68,'銀行-TSS'!B:M,12,FALSE),"")</f>
        <v>4.9500000000000002E-2</v>
      </c>
      <c r="O68" s="1752">
        <f ca="1">IFERROR(VLOOKUP(表格1[[#This Row],[商品
代碼]],'銀行-TSS'!B:AJ,35,FALSE),"")</f>
        <v>0</v>
      </c>
      <c r="P68" s="1753">
        <f ca="1">IFERROR(VLOOKUP(表格1[[#This Row],[商品
代碼]],'銀行-TSS'!B:AE,30,FALSE),"")</f>
        <v>4.9599999999999998E-2</v>
      </c>
      <c r="Q68" s="1749" t="str">
        <f ca="1">IFERROR(IF(VLOOKUP(表格1[[#This Row],[商品
代碼]],'銀行-TSS'!B:AM,38,FALSE)="#N/A Field Not Applicable","",VLOOKUP(表格1[[#This Row],[商品
代碼]],'銀行-TSS'!B:AM,38,FALSE)),"")</f>
        <v>2047/2/22</v>
      </c>
      <c r="R68" s="1749" t="str">
        <f ca="1">IFERROR(VLOOKUP(表格1[[#This Row],[商品
代碼]],'銀行-TSS'!B:AH,33,FALSE),"")</f>
        <v>美元(USD)</v>
      </c>
      <c r="S68" s="1754">
        <f ca="1">IFERROR(VLOOKUP(B68,'銀行-TSS'!B:N,13,FALSE),"")</f>
        <v>10000</v>
      </c>
      <c r="T68" s="1754" t="str">
        <f ca="1">VLOOKUP(表格1[[#This Row],[商品
代碼]],'銀行-TSS'!B:AI,34,FALSE)</f>
        <v>自由選清單</v>
      </c>
      <c r="U68" s="1755" t="str">
        <f ca="1">IFERROR(VLOOKUP(B68,'銀行-TSS'!B:Q,16,FALSE),"")</f>
        <v>非核心消費</v>
      </c>
      <c r="V68" s="1755" t="str">
        <f ca="1">IFERROR(VLOOKUP(表格1[[#This Row],[商品
代碼]],'銀行-TSS'!B:AG,32,FALSE),"")</f>
        <v>固定</v>
      </c>
      <c r="W68" s="1756" t="str">
        <f ca="1">IFERROR(IFERROR(VLOOKUP(表格1[[#This Row],[商品
代碼]],'3_是否下架'!A:B,2,FALSE),VLOOKUP(表格1[[#This Row],[商品
代碼]],'銀行-TSS'!B:AK,36,FALSE)),"")</f>
        <v>有</v>
      </c>
      <c r="Y68" s="400"/>
      <c r="Z68" s="400"/>
      <c r="AA68" s="401"/>
    </row>
    <row r="69" spans="2:27" s="399" customFormat="1" ht="24.75" customHeight="1">
      <c r="B69" s="1745" t="s">
        <v>847</v>
      </c>
      <c r="C69" s="1745" t="str">
        <f ca="1">IFERROR(VLOOKUP(表格1[[#This Row],[商品
代碼]],'銀行-TSS'!B:V,21,FALSE),"")</f>
        <v>(PI)專投</v>
      </c>
      <c r="D69" s="1746" t="str">
        <f>IFERROR(VLOOKUP(表格1[[#This Row],[商品
代碼]],bond!B:F,5,FALSE),"")</f>
        <v>USN30707AE88</v>
      </c>
      <c r="E69" s="1746" t="str">
        <f ca="1">IFERROR(VLOOKUP(B69,'銀行-TSS'!B:D,3,FALSE),"")</f>
        <v>義大利國家電力金融公司美元配息債券 4.75% 2047/5/25</v>
      </c>
      <c r="F69" s="1745" t="str">
        <f ca="1">IFERROR(VLOOKUP(B69,'銀行-TSS'!B:E,4,FALSE),"")</f>
        <v>Baa1 / BBB / BBB+</v>
      </c>
      <c r="G69" s="1747">
        <f ca="1">IFERROR(VLOOKUP(B69,'銀行-TSS'!B:G,6,FALSE),"")</f>
        <v>22.89</v>
      </c>
      <c r="H69" s="1748">
        <f ca="1">IFERROR(VLOOKUP(B69,'銀行-TSS'!B:H,7,FALSE),"")</f>
        <v>4.7500000000000001E-2</v>
      </c>
      <c r="I69" s="1745" t="str">
        <f ca="1">IFERROR(IF(表格1[[#This Row],[配息頻率]]=0,"",CHOOSE(表格1[[#This Row],[配息頻率]],MONTH(J69),IF(MONTH(J69)&lt;=6,CONCATENATE(MONTH(J69)," / ",MONTH(J69)+6),CONCATENATE(MONTH(J69)-6," / ",MONTH(J69))),0,"2 / 4 / 8 / 11")),"")</f>
        <v>5 / 11</v>
      </c>
      <c r="J69" s="1749" t="str">
        <f ca="1">IFERROR(VLOOKUP(B69,'銀行-TSS'!B:P,15,FALSE),"")</f>
        <v>2024/11/25</v>
      </c>
      <c r="K69" s="1750">
        <f ca="1">IFERROR(VLOOKUP(表格1[[#This Row],[商品
代碼]],'銀行-TSS'!B:I,8,FALSE),"")</f>
        <v>2</v>
      </c>
      <c r="L69" s="1747">
        <f ca="1">IFERROR(VLOOKUP(B69,'銀行-TSS'!B:K,10,FALSE),"")</f>
        <v>88.91</v>
      </c>
      <c r="M69" s="1745" t="str">
        <f ca="1">IF(表格1[[#This Row],[含息申購
參考價]]&gt;100,"溢價",IF(表格1[[#This Row],[含息申購
參考價]]&lt;100,"折價","平價"))</f>
        <v>折價</v>
      </c>
      <c r="N69" s="1751">
        <f ca="1">IFERROR(VLOOKUP(B69,'銀行-TSS'!B:M,12,FALSE),"")</f>
        <v>5.6599999999999998E-2</v>
      </c>
      <c r="O69" s="1752">
        <f ca="1">IFERROR(VLOOKUP(表格1[[#This Row],[商品
代碼]],'銀行-TSS'!B:AJ,35,FALSE),"")</f>
        <v>0</v>
      </c>
      <c r="P69" s="1751" t="str">
        <f ca="1">IFERROR(VLOOKUP(表格1[[#This Row],[商品
代碼]],'銀行-TSS'!B:AE,30,FALSE),"")</f>
        <v xml:space="preserve"> </v>
      </c>
      <c r="Q69" s="1749" t="str">
        <f ca="1">IFERROR(IF(VLOOKUP(表格1[[#This Row],[商品
代碼]],'銀行-TSS'!B:AM,38,FALSE)="#N/A Field Not Applicable","",VLOOKUP(表格1[[#This Row],[商品
代碼]],'銀行-TSS'!B:AM,38,FALSE)),"")</f>
        <v/>
      </c>
      <c r="R69" s="1749" t="str">
        <f ca="1">IFERROR(VLOOKUP(表格1[[#This Row],[商品
代碼]],'銀行-TSS'!B:AH,33,FALSE),"")</f>
        <v>美元(USD)</v>
      </c>
      <c r="S69" s="1754">
        <f ca="1">IFERROR(VLOOKUP(B69,'銀行-TSS'!B:N,13,FALSE),"")</f>
        <v>200000</v>
      </c>
      <c r="T69" s="1754" t="str">
        <f ca="1">VLOOKUP(表格1[[#This Row],[商品
代碼]],'銀行-TSS'!B:AI,34,FALSE)</f>
        <v>自由選清單</v>
      </c>
      <c r="U69" s="1745" t="str">
        <f ca="1">IFERROR(VLOOKUP(B69,'銀行-TSS'!B:Q,16,FALSE),"")</f>
        <v>公用事業</v>
      </c>
      <c r="V69" s="1755" t="str">
        <f ca="1">IFERROR(VLOOKUP(表格1[[#This Row],[商品
代碼]],'銀行-TSS'!B:AG,32,FALSE),"")</f>
        <v>固定</v>
      </c>
      <c r="W69" s="1757" t="str">
        <f ca="1">IFERROR(IFERROR(VLOOKUP(表格1[[#This Row],[商品
代碼]],'3_是否下架'!A:B,2,FALSE),VLOOKUP(表格1[[#This Row],[商品
代碼]],'銀行-TSS'!B:AK,36,FALSE)),"")</f>
        <v>有</v>
      </c>
      <c r="Y69" s="400"/>
      <c r="Z69" s="400"/>
      <c r="AA69" s="401"/>
    </row>
    <row r="70" spans="2:27" s="399" customFormat="1" ht="24.75" customHeight="1">
      <c r="B70" s="1745" t="s">
        <v>4039</v>
      </c>
      <c r="C70" s="1745" t="str">
        <f ca="1">IFERROR(VLOOKUP(表格1[[#This Row],[商品
代碼]],'銀行-TSS'!B:V,21,FALSE),"")</f>
        <v>(NPI)非專投</v>
      </c>
      <c r="D70" s="1746" t="str">
        <f>IFERROR(VLOOKUP(表格1[[#This Row],[商品
代碼]],bond!B:F,5,FALSE),"")</f>
        <v>US038222AM71</v>
      </c>
      <c r="E70" s="1746" t="str">
        <f ca="1">IFERROR(VLOOKUP(B70,'銀行-TSS'!B:D,3,FALSE),"")</f>
        <v>應用材料公司美元配息債券 4.35% 2047/4/1</v>
      </c>
      <c r="F70" s="1745" t="str">
        <f ca="1">IFERROR(VLOOKUP(B70,'銀行-TSS'!B:E,4,FALSE),"")</f>
        <v>A2 / A / -</v>
      </c>
      <c r="G70" s="1747">
        <f ca="1">IFERROR(VLOOKUP(B70,'銀行-TSS'!B:G,6,FALSE),"")</f>
        <v>22.75</v>
      </c>
      <c r="H70" s="1748">
        <f ca="1">IFERROR(VLOOKUP(B70,'銀行-TSS'!B:H,7,FALSE),"")</f>
        <v>4.3499999999999997E-2</v>
      </c>
      <c r="I70" s="1745" t="str">
        <f ca="1">IFERROR(IF(表格1[[#This Row],[配息頻率]]=0,"",CHOOSE(表格1[[#This Row],[配息頻率]],MONTH(J70),IF(MONTH(J70)&lt;=6,CONCATENATE(MONTH(J70)," / ",MONTH(J70)+6),CONCATENATE(MONTH(J70)-6," / ",MONTH(J70))),0,"2 / 4 / 8 / 11")),"")</f>
        <v>4 / 10</v>
      </c>
      <c r="J70" s="1749" t="str">
        <f ca="1">IFERROR(VLOOKUP(B70,'銀行-TSS'!B:P,15,FALSE),"")</f>
        <v>2024/10/1</v>
      </c>
      <c r="K70" s="1750">
        <f ca="1">IFERROR(VLOOKUP(表格1[[#This Row],[商品
代碼]],'銀行-TSS'!B:I,8,FALSE),"")</f>
        <v>2</v>
      </c>
      <c r="L70" s="1747">
        <f ca="1">IFERROR(VLOOKUP(B70,'銀行-TSS'!B:K,10,FALSE),"")</f>
        <v>92.62</v>
      </c>
      <c r="M70" s="1745" t="str">
        <f ca="1">IF(表格1[[#This Row],[含息申購
參考價]]&gt;100,"溢價",IF(表格1[[#This Row],[含息申購
參考價]]&lt;100,"折價","平價"))</f>
        <v>折價</v>
      </c>
      <c r="N70" s="1751">
        <f ca="1">IFERROR(VLOOKUP(B70,'銀行-TSS'!B:M,12,FALSE),"")</f>
        <v>4.9799999999999997E-2</v>
      </c>
      <c r="O70" s="1752">
        <f ca="1">IFERROR(VLOOKUP(表格1[[#This Row],[商品
代碼]],'銀行-TSS'!B:AJ,35,FALSE),"")</f>
        <v>0</v>
      </c>
      <c r="P70" s="1751">
        <f ca="1">IFERROR(VLOOKUP(表格1[[#This Row],[商品
代碼]],'銀行-TSS'!B:AE,30,FALSE),"")</f>
        <v>4.9799999999999997E-2</v>
      </c>
      <c r="Q70" s="1749" t="str">
        <f ca="1">IFERROR(IF(VLOOKUP(表格1[[#This Row],[商品
代碼]],'銀行-TSS'!B:AM,38,FALSE)="#N/A Field Not Applicable","",VLOOKUP(表格1[[#This Row],[商品
代碼]],'銀行-TSS'!B:AM,38,FALSE)),"")</f>
        <v>2046/10/1</v>
      </c>
      <c r="R70" s="1749" t="str">
        <f ca="1">IFERROR(VLOOKUP(表格1[[#This Row],[商品
代碼]],'銀行-TSS'!B:AH,33,FALSE),"")</f>
        <v>美元(USD)</v>
      </c>
      <c r="S70" s="1754">
        <f ca="1">IFERROR(VLOOKUP(B70,'銀行-TSS'!B:N,13,FALSE),"")</f>
        <v>10000</v>
      </c>
      <c r="T70" s="1754" t="str">
        <f ca="1">VLOOKUP(表格1[[#This Row],[商品
代碼]],'銀行-TSS'!B:AI,34,FALSE)</f>
        <v>自由選清單</v>
      </c>
      <c r="U70" s="1745" t="str">
        <f ca="1">IFERROR(VLOOKUP(B70,'銀行-TSS'!B:Q,16,FALSE),"")</f>
        <v>科技</v>
      </c>
      <c r="V70" s="1755" t="str">
        <f ca="1">IFERROR(VLOOKUP(表格1[[#This Row],[商品
代碼]],'銀行-TSS'!B:AG,32,FALSE),"")</f>
        <v>固定</v>
      </c>
      <c r="W70" s="1757" t="str">
        <f ca="1">IFERROR(IFERROR(VLOOKUP(表格1[[#This Row],[商品
代碼]],'3_是否下架'!A:B,2,FALSE),VLOOKUP(表格1[[#This Row],[商品
代碼]],'銀行-TSS'!B:AK,36,FALSE)),"")</f>
        <v>有</v>
      </c>
      <c r="Y70" s="400"/>
      <c r="Z70" s="400"/>
      <c r="AA70" s="401"/>
    </row>
    <row r="71" spans="2:27" s="399" customFormat="1" ht="24.75" customHeight="1">
      <c r="B71" s="1745" t="s">
        <v>904</v>
      </c>
      <c r="C71" s="1745" t="str">
        <f ca="1">IFERROR(VLOOKUP(表格1[[#This Row],[商品
代碼]],'銀行-TSS'!B:V,21,FALSE),"")</f>
        <v>(NPI)非專投</v>
      </c>
      <c r="D71" s="1746" t="str">
        <f>IFERROR(VLOOKUP(表格1[[#This Row],[商品
代碼]],bond!B:F,5,FALSE),"")</f>
        <v>US375558BK80</v>
      </c>
      <c r="E71" s="1746" t="str">
        <f ca="1">IFERROR(VLOOKUP(B71,'銀行-TSS'!B:D,3,FALSE),"")</f>
        <v>吉利德科學公司美元配息債券 4.15% 2047/3/1</v>
      </c>
      <c r="F71" s="1745" t="str">
        <f ca="1">IFERROR(VLOOKUP(B71,'銀行-TSS'!B:E,4,FALSE),"")</f>
        <v>A3 / BBB+ / -</v>
      </c>
      <c r="G71" s="1747">
        <f ca="1">IFERROR(VLOOKUP(B71,'銀行-TSS'!B:G,6,FALSE),"")</f>
        <v>22.66</v>
      </c>
      <c r="H71" s="1748">
        <f ca="1">IFERROR(VLOOKUP(B71,'銀行-TSS'!B:H,7,FALSE),"")</f>
        <v>4.1500000000000002E-2</v>
      </c>
      <c r="I71" s="1745" t="str">
        <f ca="1">IFERROR(IF(表格1[[#This Row],[配息頻率]]=0,"",CHOOSE(表格1[[#This Row],[配息頻率]],MONTH(J71),IF(MONTH(J71)&lt;=6,CONCATENATE(MONTH(J71)," / ",MONTH(J71)+6),CONCATENATE(MONTH(J71)-6," / ",MONTH(J71))),0,"2 / 4 / 8 / 11")),"")</f>
        <v>3 / 9</v>
      </c>
      <c r="J71" s="1749" t="str">
        <f ca="1">IFERROR(VLOOKUP(B71,'銀行-TSS'!B:P,15,FALSE),"")</f>
        <v>2024/9/1</v>
      </c>
      <c r="K71" s="1750">
        <f ca="1">IFERROR(VLOOKUP(表格1[[#This Row],[商品
代碼]],'銀行-TSS'!B:I,8,FALSE),"")</f>
        <v>2</v>
      </c>
      <c r="L71" s="1747">
        <f ca="1">IFERROR(VLOOKUP(B71,'銀行-TSS'!B:K,10,FALSE),"")</f>
        <v>86.39</v>
      </c>
      <c r="M71" s="1745" t="str">
        <f ca="1">IF(表格1[[#This Row],[含息申購
參考價]]&gt;100,"溢價",IF(表格1[[#This Row],[含息申購
參考價]]&lt;100,"折價","平價"))</f>
        <v>折價</v>
      </c>
      <c r="N71" s="1751">
        <f ca="1">IFERROR(VLOOKUP(B71,'銀行-TSS'!B:M,12,FALSE),"")</f>
        <v>5.2900000000000003E-2</v>
      </c>
      <c r="O71" s="1752">
        <f ca="1">IFERROR(VLOOKUP(表格1[[#This Row],[商品
代碼]],'銀行-TSS'!B:AJ,35,FALSE),"")</f>
        <v>0</v>
      </c>
      <c r="P71" s="1753">
        <f ca="1">IFERROR(VLOOKUP(表格1[[#This Row],[商品
代碼]],'銀行-TSS'!B:AE,30,FALSE),"")</f>
        <v>5.3100000000000001E-2</v>
      </c>
      <c r="Q71" s="1749" t="str">
        <f ca="1">IFERROR(IF(VLOOKUP(表格1[[#This Row],[商品
代碼]],'銀行-TSS'!B:AM,38,FALSE)="#N/A Field Not Applicable","",VLOOKUP(表格1[[#This Row],[商品
代碼]],'銀行-TSS'!B:AM,38,FALSE)),"")</f>
        <v>2046/9/1</v>
      </c>
      <c r="R71" s="1749" t="str">
        <f ca="1">IFERROR(VLOOKUP(表格1[[#This Row],[商品
代碼]],'銀行-TSS'!B:AH,33,FALSE),"")</f>
        <v>美元(USD)</v>
      </c>
      <c r="S71" s="1754">
        <f ca="1">IFERROR(VLOOKUP(B71,'銀行-TSS'!B:N,13,FALSE),"")</f>
        <v>10000</v>
      </c>
      <c r="T71" s="1754" t="str">
        <f ca="1">VLOOKUP(表格1[[#This Row],[商品
代碼]],'銀行-TSS'!B:AI,34,FALSE)</f>
        <v>自由選清單</v>
      </c>
      <c r="U71" s="1755" t="str">
        <f ca="1">IFERROR(VLOOKUP(B71,'銀行-TSS'!B:Q,16,FALSE),"")</f>
        <v>醫療保健</v>
      </c>
      <c r="V71" s="1755" t="str">
        <f ca="1">IFERROR(VLOOKUP(表格1[[#This Row],[商品
代碼]],'銀行-TSS'!B:AG,32,FALSE),"")</f>
        <v>固定</v>
      </c>
      <c r="W71" s="1756" t="str">
        <f ca="1">IFERROR(IFERROR(VLOOKUP(表格1[[#This Row],[商品
代碼]],'3_是否下架'!A:B,2,FALSE),VLOOKUP(表格1[[#This Row],[商品
代碼]],'銀行-TSS'!B:AK,36,FALSE)),"")</f>
        <v>有</v>
      </c>
      <c r="Y71" s="400"/>
      <c r="Z71" s="400"/>
      <c r="AA71" s="401"/>
    </row>
    <row r="72" spans="2:27" s="399" customFormat="1" ht="24.75" customHeight="1">
      <c r="B72" s="1745" t="s">
        <v>2078</v>
      </c>
      <c r="C72" s="1745" t="str">
        <f ca="1">IFERROR(VLOOKUP(表格1[[#This Row],[商品
代碼]],'銀行-TSS'!B:V,21,FALSE),"")</f>
        <v>(NPI)非專投</v>
      </c>
      <c r="D72" s="1746" t="str">
        <f>IFERROR(VLOOKUP(表格1[[#This Row],[商品
代碼]],bond!B:F,5,FALSE),"")</f>
        <v>US57636QAH74</v>
      </c>
      <c r="E72" s="1746" t="str">
        <f ca="1">IFERROR(VLOOKUP(B72,'銀行-TSS'!B:D,3,FALSE),"")</f>
        <v>萬事達卡公司美元配息債券 3.8% 2046/11/21</v>
      </c>
      <c r="F72" s="1745" t="str">
        <f ca="1">IFERROR(VLOOKUP(B72,'銀行-TSS'!B:E,4,FALSE),"")</f>
        <v>Aa3 / A+ / -</v>
      </c>
      <c r="G72" s="1747">
        <f ca="1">IFERROR(VLOOKUP(B72,'銀行-TSS'!B:G,6,FALSE),"")</f>
        <v>22.39</v>
      </c>
      <c r="H72" s="1748">
        <f ca="1">IFERROR(VLOOKUP(B72,'銀行-TSS'!B:H,7,FALSE),"")</f>
        <v>3.7999999999999999E-2</v>
      </c>
      <c r="I72" s="1745" t="str">
        <f ca="1">IFERROR(IF(表格1[[#This Row],[配息頻率]]=0,"",CHOOSE(表格1[[#This Row],[配息頻率]],MONTH(J72),IF(MONTH(J72)&lt;=6,CONCATENATE(MONTH(J72)," / ",MONTH(J72)+6),CONCATENATE(MONTH(J72)-6," / ",MONTH(J72))),0,"2 / 4 / 8 / 11")),"")</f>
        <v>5 / 11</v>
      </c>
      <c r="J72" s="1749" t="str">
        <f ca="1">IFERROR(VLOOKUP(B72,'銀行-TSS'!B:P,15,FALSE),"")</f>
        <v>2024/11/21</v>
      </c>
      <c r="K72" s="1750">
        <f ca="1">IFERROR(VLOOKUP(表格1[[#This Row],[商品
代碼]],'銀行-TSS'!B:I,8,FALSE),"")</f>
        <v>2</v>
      </c>
      <c r="L72" s="1747">
        <f ca="1">IFERROR(VLOOKUP(B72,'銀行-TSS'!B:K,10,FALSE),"")</f>
        <v>83.8</v>
      </c>
      <c r="M72" s="1745" t="str">
        <f ca="1">IF(表格1[[#This Row],[含息申購
參考價]]&gt;100,"溢價",IF(表格1[[#This Row],[含息申購
參考價]]&lt;100,"折價","平價"))</f>
        <v>折價</v>
      </c>
      <c r="N72" s="1751">
        <f ca="1">IFERROR(VLOOKUP(B72,'銀行-TSS'!B:M,12,FALSE),"")</f>
        <v>5.0500000000000003E-2</v>
      </c>
      <c r="O72" s="1752">
        <f ca="1">IFERROR(VLOOKUP(表格1[[#This Row],[商品
代碼]],'銀行-TSS'!B:AJ,35,FALSE),"")</f>
        <v>0</v>
      </c>
      <c r="P72" s="1753">
        <f ca="1">IFERROR(VLOOKUP(表格1[[#This Row],[商品
代碼]],'銀行-TSS'!B:AE,30,FALSE),"")</f>
        <v>5.0700000000000002E-2</v>
      </c>
      <c r="Q72" s="1749" t="str">
        <f ca="1">IFERROR(IF(VLOOKUP(表格1[[#This Row],[商品
代碼]],'銀行-TSS'!B:AM,38,FALSE)="#N/A Field Not Applicable","",VLOOKUP(表格1[[#This Row],[商品
代碼]],'銀行-TSS'!B:AM,38,FALSE)),"")</f>
        <v>2046/5/21</v>
      </c>
      <c r="R72" s="1749" t="str">
        <f ca="1">IFERROR(VLOOKUP(表格1[[#This Row],[商品
代碼]],'銀行-TSS'!B:AH,33,FALSE),"")</f>
        <v>美元(USD)</v>
      </c>
      <c r="S72" s="1754">
        <f ca="1">IFERROR(VLOOKUP(B72,'銀行-TSS'!B:N,13,FALSE),"")</f>
        <v>10000</v>
      </c>
      <c r="T72" s="1754" t="str">
        <f ca="1">VLOOKUP(表格1[[#This Row],[商品
代碼]],'銀行-TSS'!B:AI,34,FALSE)</f>
        <v>自由選清單</v>
      </c>
      <c r="U72" s="1755" t="str">
        <f ca="1">IFERROR(VLOOKUP(B72,'銀行-TSS'!B:Q,16,FALSE),"")</f>
        <v>金融</v>
      </c>
      <c r="V72" s="1755" t="str">
        <f ca="1">IFERROR(VLOOKUP(表格1[[#This Row],[商品
代碼]],'銀行-TSS'!B:AG,32,FALSE),"")</f>
        <v>固定</v>
      </c>
      <c r="W72" s="1756" t="str">
        <f ca="1">IFERROR(IFERROR(VLOOKUP(表格1[[#This Row],[商品
代碼]],'3_是否下架'!A:B,2,FALSE),VLOOKUP(表格1[[#This Row],[商品
代碼]],'銀行-TSS'!B:AK,36,FALSE)),"")</f>
        <v>有</v>
      </c>
      <c r="Y72" s="400"/>
      <c r="Z72" s="400"/>
      <c r="AA72" s="401"/>
    </row>
    <row r="73" spans="2:27" s="399" customFormat="1" ht="24.75" customHeight="1">
      <c r="B73" s="1745" t="s">
        <v>948</v>
      </c>
      <c r="C73" s="1745" t="str">
        <f ca="1">IFERROR(VLOOKUP(表格1[[#This Row],[商品
代碼]],'銀行-TSS'!B:V,21,FALSE),"")</f>
        <v>(NPI)非專投</v>
      </c>
      <c r="D73" s="1746" t="str">
        <f>IFERROR(VLOOKUP(表格1[[#This Row],[商品
代碼]],bond!B:F,5,FALSE),"")</f>
        <v>XS1508675508</v>
      </c>
      <c r="E73" s="1746" t="str">
        <f ca="1">IFERROR(VLOOKUP(B73,'銀行-TSS'!B:D,3,FALSE),"")</f>
        <v>沙烏地阿拉伯政府美元配息債券 4.5% 2046/10/26</v>
      </c>
      <c r="F73" s="1745" t="str">
        <f ca="1">IFERROR(VLOOKUP(B73,'銀行-TSS'!B:E,4,FALSE),"")</f>
        <v>A1 / - / A+</v>
      </c>
      <c r="G73" s="1747">
        <f ca="1">IFERROR(VLOOKUP(B73,'銀行-TSS'!B:G,6,FALSE),"")</f>
        <v>22.31</v>
      </c>
      <c r="H73" s="1748">
        <f ca="1">IFERROR(VLOOKUP(B73,'銀行-TSS'!B:H,7,FALSE),"")</f>
        <v>4.4999999999999998E-2</v>
      </c>
      <c r="I73" s="1745" t="str">
        <f ca="1">IFERROR(IF(表格1[[#This Row],[配息頻率]]=0,"",CHOOSE(表格1[[#This Row],[配息頻率]],MONTH(J73),IF(MONTH(J73)&lt;=6,CONCATENATE(MONTH(J73)," / ",MONTH(J73)+6),CONCATENATE(MONTH(J73)-6," / ",MONTH(J73))),0,"2 / 4 / 8 / 11")),"")</f>
        <v>4 / 10</v>
      </c>
      <c r="J73" s="1749" t="str">
        <f ca="1">IFERROR(VLOOKUP(B73,'銀行-TSS'!B:P,15,FALSE),"")</f>
        <v>2024/10/26</v>
      </c>
      <c r="K73" s="1750">
        <f ca="1">IFERROR(VLOOKUP(表格1[[#This Row],[商品
代碼]],'銀行-TSS'!B:I,8,FALSE),"")</f>
        <v>2</v>
      </c>
      <c r="L73" s="1747">
        <f ca="1">IFERROR(VLOOKUP(B73,'銀行-TSS'!B:K,10,FALSE),"")</f>
        <v>89.14</v>
      </c>
      <c r="M73" s="1745" t="str">
        <f ca="1">IF(表格1[[#This Row],[含息申購
參考價]]&gt;100,"溢價",IF(表格1[[#This Row],[含息申購
參考價]]&lt;100,"折價","平價"))</f>
        <v>折價</v>
      </c>
      <c r="N73" s="1751">
        <f ca="1">IFERROR(VLOOKUP(B73,'銀行-TSS'!B:M,12,FALSE),"")</f>
        <v>5.4100000000000002E-2</v>
      </c>
      <c r="O73" s="1752">
        <f ca="1">IFERROR(VLOOKUP(表格1[[#This Row],[商品
代碼]],'銀行-TSS'!B:AJ,35,FALSE),"")</f>
        <v>0</v>
      </c>
      <c r="P73" s="1753" t="str">
        <f ca="1">IFERROR(VLOOKUP(表格1[[#This Row],[商品
代碼]],'銀行-TSS'!B:AE,30,FALSE),"")</f>
        <v xml:space="preserve"> </v>
      </c>
      <c r="Q73" s="1749" t="str">
        <f ca="1">IFERROR(IF(VLOOKUP(表格1[[#This Row],[商品
代碼]],'銀行-TSS'!B:AM,38,FALSE)="#N/A Field Not Applicable","",VLOOKUP(表格1[[#This Row],[商品
代碼]],'銀行-TSS'!B:AM,38,FALSE)),"")</f>
        <v/>
      </c>
      <c r="R73" s="1749" t="str">
        <f ca="1">IFERROR(VLOOKUP(表格1[[#This Row],[商品
代碼]],'銀行-TSS'!B:AH,33,FALSE),"")</f>
        <v>美元(USD)</v>
      </c>
      <c r="S73" s="1754">
        <f ca="1">IFERROR(VLOOKUP(B73,'銀行-TSS'!B:N,13,FALSE),"")</f>
        <v>200000</v>
      </c>
      <c r="T73" s="1754" t="str">
        <f ca="1">VLOOKUP(表格1[[#This Row],[商品
代碼]],'銀行-TSS'!B:AI,34,FALSE)</f>
        <v>自由選清單</v>
      </c>
      <c r="U73" s="1755" t="str">
        <f ca="1">IFERROR(VLOOKUP(B73,'銀行-TSS'!B:Q,16,FALSE),"")</f>
        <v>政府</v>
      </c>
      <c r="V73" s="1755" t="str">
        <f ca="1">IFERROR(VLOOKUP(表格1[[#This Row],[商品
代碼]],'銀行-TSS'!B:AG,32,FALSE),"")</f>
        <v>固定</v>
      </c>
      <c r="W73" s="1756" t="str">
        <f ca="1">IFERROR(IFERROR(VLOOKUP(表格1[[#This Row],[商品
代碼]],'3_是否下架'!A:B,2,FALSE),VLOOKUP(表格1[[#This Row],[商品
代碼]],'銀行-TSS'!B:AK,36,FALSE)),"")</f>
        <v>有</v>
      </c>
      <c r="Y73" s="400"/>
      <c r="Z73" s="400"/>
      <c r="AA73" s="401"/>
    </row>
    <row r="74" spans="2:27" s="399" customFormat="1" ht="24.75" customHeight="1">
      <c r="B74" s="1745" t="s">
        <v>712</v>
      </c>
      <c r="C74" s="1745" t="str">
        <f ca="1">IFERROR(VLOOKUP(表格1[[#This Row],[商品
代碼]],'銀行-TSS'!B:V,21,FALSE),"")</f>
        <v>(NPI)非專投</v>
      </c>
      <c r="D74" s="1746" t="str">
        <f>IFERROR(VLOOKUP(表格1[[#This Row],[商品
代碼]],bond!B:F,5,FALSE),"")</f>
        <v>US92343VDC54</v>
      </c>
      <c r="E74" s="1746" t="str">
        <f ca="1">IFERROR(VLOOKUP(B74,'銀行-TSS'!B:D,3,FALSE),"")</f>
        <v>威瑞森電信公司美元配息債券 4.125% 2046/8/15</v>
      </c>
      <c r="F74" s="1745" t="str">
        <f ca="1">IFERROR(VLOOKUP(B74,'銀行-TSS'!B:E,4,FALSE),"")</f>
        <v>Baa1 / BBB+ / A-</v>
      </c>
      <c r="G74" s="1747">
        <f ca="1">IFERROR(VLOOKUP(B74,'銀行-TSS'!B:G,6,FALSE),"")</f>
        <v>22.12</v>
      </c>
      <c r="H74" s="1748">
        <f ca="1">IFERROR(VLOOKUP(B74,'銀行-TSS'!B:H,7,FALSE),"")</f>
        <v>4.1250000000000002E-2</v>
      </c>
      <c r="I74" s="1745" t="str">
        <f ca="1">IFERROR(IF(表格1[[#This Row],[配息頻率]]=0,"",CHOOSE(表格1[[#This Row],[配息頻率]],MONTH(J74),IF(MONTH(J74)&lt;=6,CONCATENATE(MONTH(J74)," / ",MONTH(J74)+6),CONCATENATE(MONTH(J74)-6," / ",MONTH(J74))),0,"2 / 4 / 8 / 11")),"")</f>
        <v>2 / 8</v>
      </c>
      <c r="J74" s="1749" t="str">
        <f ca="1">IFERROR(VLOOKUP(B74,'銀行-TSS'!B:P,15,FALSE),"")</f>
        <v>2024/8/15</v>
      </c>
      <c r="K74" s="1750">
        <f ca="1">IFERROR(VLOOKUP(表格1[[#This Row],[商品
代碼]],'銀行-TSS'!B:I,8,FALSE),"")</f>
        <v>2</v>
      </c>
      <c r="L74" s="1747">
        <f ca="1">IFERROR(VLOOKUP(B74,'銀行-TSS'!B:K,10,FALSE),"")</f>
        <v>86.36</v>
      </c>
      <c r="M74" s="1745" t="str">
        <f ca="1">IF(表格1[[#This Row],[含息申購
參考價]]&gt;100,"溢價",IF(表格1[[#This Row],[含息申購
參考價]]&lt;100,"折價","平價"))</f>
        <v>折價</v>
      </c>
      <c r="N74" s="1751">
        <f ca="1">IFERROR(VLOOKUP(B74,'銀行-TSS'!B:M,12,FALSE),"")</f>
        <v>5.2999999999999999E-2</v>
      </c>
      <c r="O74" s="1752">
        <f ca="1">IFERROR(VLOOKUP(表格1[[#This Row],[商品
代碼]],'銀行-TSS'!B:AJ,35,FALSE),"")</f>
        <v>0</v>
      </c>
      <c r="P74" s="1753" t="str">
        <f ca="1">IFERROR(VLOOKUP(表格1[[#This Row],[商品
代碼]],'銀行-TSS'!B:AE,30,FALSE),"")</f>
        <v xml:space="preserve"> </v>
      </c>
      <c r="Q74" s="1749" t="str">
        <f ca="1">IFERROR(IF(VLOOKUP(表格1[[#This Row],[商品
代碼]],'銀行-TSS'!B:AM,38,FALSE)="#N/A Field Not Applicable","",VLOOKUP(表格1[[#This Row],[商品
代碼]],'銀行-TSS'!B:AM,38,FALSE)),"")</f>
        <v/>
      </c>
      <c r="R74" s="1749" t="str">
        <f ca="1">IFERROR(VLOOKUP(表格1[[#This Row],[商品
代碼]],'銀行-TSS'!B:AH,33,FALSE),"")</f>
        <v>美元(USD)</v>
      </c>
      <c r="S74" s="1754">
        <f ca="1">IFERROR(VLOOKUP(B74,'銀行-TSS'!B:N,13,FALSE),"")</f>
        <v>10000</v>
      </c>
      <c r="T74" s="1754" t="str">
        <f ca="1">VLOOKUP(表格1[[#This Row],[商品
代碼]],'銀行-TSS'!B:AI,34,FALSE)</f>
        <v>自由選清單</v>
      </c>
      <c r="U74" s="1755" t="str">
        <f ca="1">IFERROR(VLOOKUP(B74,'銀行-TSS'!B:Q,16,FALSE),"")</f>
        <v>通訊</v>
      </c>
      <c r="V74" s="1755" t="str">
        <f ca="1">IFERROR(VLOOKUP(表格1[[#This Row],[商品
代碼]],'銀行-TSS'!B:AG,32,FALSE),"")</f>
        <v>固定</v>
      </c>
      <c r="W74" s="1756" t="str">
        <f ca="1">IFERROR(IFERROR(VLOOKUP(表格1[[#This Row],[商品
代碼]],'3_是否下架'!A:B,2,FALSE),VLOOKUP(表格1[[#This Row],[商品
代碼]],'銀行-TSS'!B:AK,36,FALSE)),"")</f>
        <v>有</v>
      </c>
      <c r="Y74" s="400"/>
      <c r="Z74" s="400"/>
      <c r="AA74" s="401"/>
    </row>
    <row r="75" spans="2:27" s="399" customFormat="1" ht="24.75" customHeight="1">
      <c r="B75" s="1745" t="s">
        <v>1009</v>
      </c>
      <c r="C75" s="1745" t="str">
        <f ca="1">IFERROR(VLOOKUP(表格1[[#This Row],[商品
代碼]],'銀行-TSS'!B:V,21,FALSE),"")</f>
        <v>(NPI)非專投</v>
      </c>
      <c r="D75" s="1746" t="str">
        <f>IFERROR(VLOOKUP(表格1[[#This Row],[商品
代碼]],bond!B:F,5,FALSE),"")</f>
        <v>US594918BT09</v>
      </c>
      <c r="E75" s="1746" t="str">
        <f ca="1">IFERROR(VLOOKUP(B75,'銀行-TSS'!B:D,3,FALSE),"")</f>
        <v>微軟公司美元配息債券 3.7% 2046/8/8</v>
      </c>
      <c r="F75" s="1745" t="str">
        <f ca="1">IFERROR(VLOOKUP(B75,'銀行-TSS'!B:E,4,FALSE),"")</f>
        <v>Aaa / AAA / WD</v>
      </c>
      <c r="G75" s="1747">
        <f ca="1">IFERROR(VLOOKUP(B75,'銀行-TSS'!B:G,6,FALSE),"")</f>
        <v>22.1</v>
      </c>
      <c r="H75" s="1748">
        <f ca="1">IFERROR(VLOOKUP(B75,'銀行-TSS'!B:H,7,FALSE),"")</f>
        <v>3.7000000000000005E-2</v>
      </c>
      <c r="I75" s="1745" t="str">
        <f ca="1">IFERROR(IF(表格1[[#This Row],[配息頻率]]=0,"",CHOOSE(表格1[[#This Row],[配息頻率]],MONTH(J75),IF(MONTH(J75)&lt;=6,CONCATENATE(MONTH(J75)," / ",MONTH(J75)+6),CONCATENATE(MONTH(J75)-6," / ",MONTH(J75))),0,"2 / 4 / 8 / 11")),"")</f>
        <v>2 / 8</v>
      </c>
      <c r="J75" s="1749" t="str">
        <f ca="1">IFERROR(VLOOKUP(B75,'銀行-TSS'!B:P,15,FALSE),"")</f>
        <v>2024/8/8</v>
      </c>
      <c r="K75" s="1750">
        <f ca="1">IFERROR(VLOOKUP(表格1[[#This Row],[商品
代碼]],'銀行-TSS'!B:I,8,FALSE),"")</f>
        <v>2</v>
      </c>
      <c r="L75" s="1747">
        <f ca="1">IFERROR(VLOOKUP(B75,'銀行-TSS'!B:K,10,FALSE),"")</f>
        <v>87.19</v>
      </c>
      <c r="M75" s="1745" t="str">
        <f ca="1">IF(表格1[[#This Row],[含息申購
參考價]]&gt;100,"溢價",IF(表格1[[#This Row],[含息申購
參考價]]&lt;100,"折價","平價"))</f>
        <v>折價</v>
      </c>
      <c r="N75" s="1751">
        <f ca="1">IFERROR(VLOOKUP(B75,'銀行-TSS'!B:M,12,FALSE),"")</f>
        <v>4.7500000000000001E-2</v>
      </c>
      <c r="O75" s="1752">
        <f ca="1">IFERROR(VLOOKUP(表格1[[#This Row],[商品
代碼]],'銀行-TSS'!B:AJ,35,FALSE),"")</f>
        <v>0</v>
      </c>
      <c r="P75" s="1753">
        <f ca="1">IFERROR(VLOOKUP(表格1[[#This Row],[商品
代碼]],'銀行-TSS'!B:AE,30,FALSE),"")</f>
        <v>4.7699999999999999E-2</v>
      </c>
      <c r="Q75" s="1749" t="str">
        <f ca="1">IFERROR(IF(VLOOKUP(表格1[[#This Row],[商品
代碼]],'銀行-TSS'!B:AM,38,FALSE)="#N/A Field Not Applicable","",VLOOKUP(表格1[[#This Row],[商品
代碼]],'銀行-TSS'!B:AM,38,FALSE)),"")</f>
        <v>2046/2/8</v>
      </c>
      <c r="R75" s="1749" t="str">
        <f ca="1">IFERROR(VLOOKUP(表格1[[#This Row],[商品
代碼]],'銀行-TSS'!B:AH,33,FALSE),"")</f>
        <v>美元(USD)</v>
      </c>
      <c r="S75" s="1754">
        <f ca="1">IFERROR(VLOOKUP(B75,'銀行-TSS'!B:N,13,FALSE),"")</f>
        <v>10000</v>
      </c>
      <c r="T75" s="1754" t="str">
        <f ca="1">VLOOKUP(表格1[[#This Row],[商品
代碼]],'銀行-TSS'!B:AI,34,FALSE)</f>
        <v>自由選清單</v>
      </c>
      <c r="U75" s="1755" t="str">
        <f ca="1">IFERROR(VLOOKUP(B75,'銀行-TSS'!B:Q,16,FALSE),"")</f>
        <v>科技</v>
      </c>
      <c r="V75" s="1755" t="str">
        <f ca="1">IFERROR(VLOOKUP(表格1[[#This Row],[商品
代碼]],'銀行-TSS'!B:AG,32,FALSE),"")</f>
        <v>固定</v>
      </c>
      <c r="W75" s="1756" t="str">
        <f ca="1">IFERROR(IFERROR(VLOOKUP(表格1[[#This Row],[商品
代碼]],'3_是否下架'!A:B,2,FALSE),VLOOKUP(表格1[[#This Row],[商品
代碼]],'銀行-TSS'!B:AK,36,FALSE)),"")</f>
        <v>有</v>
      </c>
      <c r="Y75" s="400"/>
      <c r="Z75" s="400"/>
      <c r="AA75" s="401"/>
    </row>
    <row r="76" spans="2:27" s="399" customFormat="1" ht="24.75" customHeight="1">
      <c r="B76" s="1745" t="s">
        <v>977</v>
      </c>
      <c r="C76" s="1745" t="str">
        <f ca="1">IFERROR(VLOOKUP(表格1[[#This Row],[商品
代碼]],'銀行-TSS'!B:V,21,FALSE),"")</f>
        <v>(NPI)非專投</v>
      </c>
      <c r="D76" s="1746" t="str">
        <f>IFERROR(VLOOKUP(表格1[[#This Row],[商品
代碼]],bond!B:F,5,FALSE),"")</f>
        <v>US25468PDN33</v>
      </c>
      <c r="E76" s="1746" t="str">
        <f ca="1">IFERROR(VLOOKUP(B76,'銀行-TSS'!B:D,3,FALSE),"")</f>
        <v>TWDC企業18公司美元配息債券 3% 2046/7/30</v>
      </c>
      <c r="F76" s="1745" t="str">
        <f ca="1">IFERROR(VLOOKUP(B76,'銀行-TSS'!B:E,4,FALSE),"")</f>
        <v>A2 / A- / A-</v>
      </c>
      <c r="G76" s="1747">
        <f ca="1">IFERROR(VLOOKUP(B76,'銀行-TSS'!B:G,6,FALSE),"")</f>
        <v>22.08</v>
      </c>
      <c r="H76" s="1748">
        <f ca="1">IFERROR(VLOOKUP(B76,'銀行-TSS'!B:H,7,FALSE),"")</f>
        <v>0.03</v>
      </c>
      <c r="I76" s="1745" t="str">
        <f ca="1">IFERROR(IF(表格1[[#This Row],[配息頻率]]=0,"",CHOOSE(表格1[[#This Row],[配息頻率]],MONTH(J76),IF(MONTH(J76)&lt;=6,CONCATENATE(MONTH(J76)," / ",MONTH(J76)+6),CONCATENATE(MONTH(J76)-6," / ",MONTH(J76))),0,"2 / 4 / 8 / 11")),"")</f>
        <v>1 / 7</v>
      </c>
      <c r="J76" s="1749" t="str">
        <f ca="1">IFERROR(VLOOKUP(B76,'銀行-TSS'!B:P,15,FALSE),"")</f>
        <v>2024/7/30</v>
      </c>
      <c r="K76" s="1750">
        <f ca="1">IFERROR(VLOOKUP(表格1[[#This Row],[商品
代碼]],'銀行-TSS'!B:I,8,FALSE),"")</f>
        <v>2</v>
      </c>
      <c r="L76" s="1747">
        <f ca="1">IFERROR(VLOOKUP(B76,'銀行-TSS'!B:K,10,FALSE),"")</f>
        <v>73.14</v>
      </c>
      <c r="M76" s="1745" t="str">
        <f ca="1">IF(表格1[[#This Row],[含息申購
參考價]]&gt;100,"溢價",IF(表格1[[#This Row],[含息申購
參考價]]&lt;100,"折價","平價"))</f>
        <v>折價</v>
      </c>
      <c r="N76" s="1751">
        <f ca="1">IFERROR(VLOOKUP(B76,'銀行-TSS'!B:M,12,FALSE),"")</f>
        <v>5.1499999999999997E-2</v>
      </c>
      <c r="O76" s="1752">
        <f ca="1">IFERROR(VLOOKUP(表格1[[#This Row],[商品
代碼]],'銀行-TSS'!B:AJ,35,FALSE),"")</f>
        <v>0</v>
      </c>
      <c r="P76" s="1753" t="str">
        <f ca="1">IFERROR(VLOOKUP(表格1[[#This Row],[商品
代碼]],'銀行-TSS'!B:AE,30,FALSE),"")</f>
        <v xml:space="preserve"> </v>
      </c>
      <c r="Q76" s="1749" t="str">
        <f ca="1">IFERROR(IF(VLOOKUP(表格1[[#This Row],[商品
代碼]],'銀行-TSS'!B:AM,38,FALSE)="#N/A Field Not Applicable","",VLOOKUP(表格1[[#This Row],[商品
代碼]],'銀行-TSS'!B:AM,38,FALSE)),"")</f>
        <v/>
      </c>
      <c r="R76" s="1749" t="str">
        <f ca="1">IFERROR(VLOOKUP(表格1[[#This Row],[商品
代碼]],'銀行-TSS'!B:AH,33,FALSE),"")</f>
        <v>美元(USD)</v>
      </c>
      <c r="S76" s="1754">
        <f ca="1">IFERROR(VLOOKUP(B76,'銀行-TSS'!B:N,13,FALSE),"")</f>
        <v>10000</v>
      </c>
      <c r="T76" s="1754" t="str">
        <f ca="1">VLOOKUP(表格1[[#This Row],[商品
代碼]],'銀行-TSS'!B:AI,34,FALSE)</f>
        <v>自由選清單</v>
      </c>
      <c r="U76" s="1755" t="str">
        <f ca="1">IFERROR(VLOOKUP(B76,'銀行-TSS'!B:Q,16,FALSE),"")</f>
        <v>通訊</v>
      </c>
      <c r="V76" s="1755" t="str">
        <f ca="1">IFERROR(VLOOKUP(表格1[[#This Row],[商品
代碼]],'銀行-TSS'!B:AG,32,FALSE),"")</f>
        <v>固定</v>
      </c>
      <c r="W76" s="1756" t="str">
        <f ca="1">IFERROR(IFERROR(VLOOKUP(表格1[[#This Row],[商品
代碼]],'3_是否下架'!A:B,2,FALSE),VLOOKUP(表格1[[#This Row],[商品
代碼]],'銀行-TSS'!B:AK,36,FALSE)),"")</f>
        <v>有</v>
      </c>
      <c r="Y76" s="400"/>
      <c r="Z76" s="400"/>
      <c r="AA76" s="401"/>
    </row>
    <row r="77" spans="2:27" s="399" customFormat="1" ht="24.75" customHeight="1">
      <c r="B77" s="1745" t="s">
        <v>833</v>
      </c>
      <c r="C77" s="1745" t="str">
        <f ca="1">IFERROR(VLOOKUP(表格1[[#This Row],[商品
代碼]],'銀行-TSS'!B:V,21,FALSE),"")</f>
        <v>(NPI)非專投</v>
      </c>
      <c r="D77" s="1746" t="str">
        <f>IFERROR(VLOOKUP(表格1[[#This Row],[商品
代碼]],bond!B:F,5,FALSE),"")</f>
        <v>US30219GAP37</v>
      </c>
      <c r="E77" s="1746" t="str">
        <f ca="1">IFERROR(VLOOKUP(B77,'銀行-TSS'!B:D,3,FALSE),"")</f>
        <v>快捷藥方控股公司美元配息債券 4.8% 2046/7/15</v>
      </c>
      <c r="F77" s="1745" t="str">
        <f ca="1">IFERROR(VLOOKUP(B77,'銀行-TSS'!B:E,4,FALSE),"")</f>
        <v>WR / A- / BBB+</v>
      </c>
      <c r="G77" s="1747">
        <f ca="1">IFERROR(VLOOKUP(B77,'銀行-TSS'!B:G,6,FALSE),"")</f>
        <v>22.03</v>
      </c>
      <c r="H77" s="1748">
        <f ca="1">IFERROR(VLOOKUP(B77,'銀行-TSS'!B:H,7,FALSE),"")</f>
        <v>4.8000000000000001E-2</v>
      </c>
      <c r="I77" s="1745" t="str">
        <f ca="1">IFERROR(IF(表格1[[#This Row],[配息頻率]]=0,"",CHOOSE(表格1[[#This Row],[配息頻率]],MONTH(J77),IF(MONTH(J77)&lt;=6,CONCATENATE(MONTH(J77)," / ",MONTH(J77)+6),CONCATENATE(MONTH(J77)-6," / ",MONTH(J77))),0,"2 / 4 / 8 / 11")),"")</f>
        <v>1 / 7</v>
      </c>
      <c r="J77" s="1749" t="str">
        <f ca="1">IFERROR(VLOOKUP(B77,'銀行-TSS'!B:P,15,FALSE),"")</f>
        <v>2024/7/15</v>
      </c>
      <c r="K77" s="1750">
        <f ca="1">IFERROR(VLOOKUP(表格1[[#This Row],[商品
代碼]],'銀行-TSS'!B:I,8,FALSE),"")</f>
        <v>2</v>
      </c>
      <c r="L77" s="1747">
        <f ca="1">IFERROR(VLOOKUP(B77,'銀行-TSS'!B:K,10,FALSE),"")</f>
        <v>90.02</v>
      </c>
      <c r="M77" s="1745" t="str">
        <f ca="1">IF(表格1[[#This Row],[含息申購
參考價]]&gt;100,"溢價",IF(表格1[[#This Row],[含息申購
參考價]]&lt;100,"折價","平價"))</f>
        <v>折價</v>
      </c>
      <c r="N77" s="1751">
        <f ca="1">IFERROR(VLOOKUP(B77,'銀行-TSS'!B:M,12,FALSE),"")</f>
        <v>5.79E-2</v>
      </c>
      <c r="O77" s="1752">
        <f ca="1">IFERROR(VLOOKUP(表格1[[#This Row],[商品
代碼]],'銀行-TSS'!B:AJ,35,FALSE),"")</f>
        <v>0</v>
      </c>
      <c r="P77" s="1753">
        <f ca="1">IFERROR(VLOOKUP(表格1[[#This Row],[商品
代碼]],'銀行-TSS'!B:AE,30,FALSE),"")</f>
        <v>5.8000000000000003E-2</v>
      </c>
      <c r="Q77" s="1749" t="str">
        <f ca="1">IFERROR(IF(VLOOKUP(表格1[[#This Row],[商品
代碼]],'銀行-TSS'!B:AM,38,FALSE)="#N/A Field Not Applicable","",VLOOKUP(表格1[[#This Row],[商品
代碼]],'銀行-TSS'!B:AM,38,FALSE)),"")</f>
        <v>2046/1/16</v>
      </c>
      <c r="R77" s="1749" t="str">
        <f ca="1">IFERROR(VLOOKUP(表格1[[#This Row],[商品
代碼]],'銀行-TSS'!B:AH,33,FALSE),"")</f>
        <v>美元(USD)</v>
      </c>
      <c r="S77" s="1754">
        <f ca="1">IFERROR(VLOOKUP(B77,'銀行-TSS'!B:N,13,FALSE),"")</f>
        <v>10000</v>
      </c>
      <c r="T77" s="1754" t="str">
        <f ca="1">VLOOKUP(表格1[[#This Row],[商品
代碼]],'銀行-TSS'!B:AI,34,FALSE)</f>
        <v>自由選清單</v>
      </c>
      <c r="U77" s="1755" t="str">
        <f ca="1">IFERROR(VLOOKUP(B77,'銀行-TSS'!B:Q,16,FALSE),"")</f>
        <v>醫療保健</v>
      </c>
      <c r="V77" s="1755" t="str">
        <f ca="1">IFERROR(VLOOKUP(表格1[[#This Row],[商品
代碼]],'銀行-TSS'!B:AG,32,FALSE),"")</f>
        <v>固定</v>
      </c>
      <c r="W77" s="1756" t="str">
        <f>IFERROR(IFERROR(VLOOKUP(表格1[[#This Row],[商品
代碼]],'3_是否下架'!A:B,2,FALSE),VLOOKUP(表格1[[#This Row],[商品
代碼]],'銀行-TSS'!B:AK,36,FALSE)),"")</f>
        <v>已下架</v>
      </c>
      <c r="Y77" s="400"/>
      <c r="Z77" s="400"/>
      <c r="AA77" s="401"/>
    </row>
    <row r="78" spans="2:27" s="399" customFormat="1" ht="24.75" customHeight="1">
      <c r="B78" s="1745" t="s">
        <v>879</v>
      </c>
      <c r="C78" s="1745" t="str">
        <f ca="1">IFERROR(VLOOKUP(表格1[[#This Row],[商品
代碼]],'銀行-TSS'!B:V,21,FALSE),"")</f>
        <v>(PI)專投</v>
      </c>
      <c r="D78" s="1746" t="str">
        <f>IFERROR(VLOOKUP(表格1[[#This Row],[商品
代碼]],bond!B:F,5,FALSE),"")</f>
        <v>US50077LAB27</v>
      </c>
      <c r="E78" s="1746" t="str">
        <f ca="1">IFERROR(VLOOKUP(B78,'銀行-TSS'!B:D,3,FALSE),"")</f>
        <v>卡夫亨氏食品公司美元配息債券 4.375% 2046/6/1</v>
      </c>
      <c r="F78" s="1745" t="str">
        <f ca="1">IFERROR(VLOOKUP(B78,'銀行-TSS'!B:E,4,FALSE),"")</f>
        <v>Baa2 / BBB / BBB</v>
      </c>
      <c r="G78" s="1747">
        <f ca="1">IFERROR(VLOOKUP(B78,'銀行-TSS'!B:G,6,FALSE),"")</f>
        <v>21.91</v>
      </c>
      <c r="H78" s="1748">
        <f ca="1">IFERROR(VLOOKUP(B78,'銀行-TSS'!B:H,7,FALSE),"")</f>
        <v>4.3749999999999997E-2</v>
      </c>
      <c r="I78" s="1745" t="str">
        <f ca="1">IFERROR(IF(表格1[[#This Row],[配息頻率]]=0,"",CHOOSE(表格1[[#This Row],[配息頻率]],MONTH(J78),IF(MONTH(J78)&lt;=6,CONCATENATE(MONTH(J78)," / ",MONTH(J78)+6),CONCATENATE(MONTH(J78)-6," / ",MONTH(J78))),0,"2 / 4 / 8 / 11")),"")</f>
        <v>6 / 12</v>
      </c>
      <c r="J78" s="1749" t="str">
        <f ca="1">IFERROR(VLOOKUP(B78,'銀行-TSS'!B:P,15,FALSE),"")</f>
        <v>2024/12/1</v>
      </c>
      <c r="K78" s="1750">
        <f ca="1">IFERROR(VLOOKUP(表格1[[#This Row],[商品
代碼]],'銀行-TSS'!B:I,8,FALSE),"")</f>
        <v>2</v>
      </c>
      <c r="L78" s="1747">
        <f ca="1">IFERROR(VLOOKUP(B78,'銀行-TSS'!B:K,10,FALSE),"")</f>
        <v>85.64</v>
      </c>
      <c r="M78" s="1745" t="str">
        <f ca="1">IF(表格1[[#This Row],[含息申購
參考價]]&gt;100,"溢價",IF(表格1[[#This Row],[含息申購
參考價]]&lt;100,"折價","平價"))</f>
        <v>折價</v>
      </c>
      <c r="N78" s="1751">
        <f ca="1">IFERROR(VLOOKUP(B78,'銀行-TSS'!B:M,12,FALSE),"")</f>
        <v>5.5399999999999998E-2</v>
      </c>
      <c r="O78" s="1752">
        <f ca="1">IFERROR(VLOOKUP(表格1[[#This Row],[商品
代碼]],'銀行-TSS'!B:AJ,35,FALSE),"")</f>
        <v>0</v>
      </c>
      <c r="P78" s="1753">
        <f ca="1">IFERROR(VLOOKUP(表格1[[#This Row],[商品
代碼]],'銀行-TSS'!B:AE,30,FALSE),"")</f>
        <v>5.5599999999999997E-2</v>
      </c>
      <c r="Q78" s="1749" t="str">
        <f ca="1">IFERROR(IF(VLOOKUP(表格1[[#This Row],[商品
代碼]],'銀行-TSS'!B:AM,38,FALSE)="#N/A Field Not Applicable","",VLOOKUP(表格1[[#This Row],[商品
代碼]],'銀行-TSS'!B:AM,38,FALSE)),"")</f>
        <v>2045/12/1</v>
      </c>
      <c r="R78" s="1749" t="str">
        <f ca="1">IFERROR(VLOOKUP(表格1[[#This Row],[商品
代碼]],'銀行-TSS'!B:AH,33,FALSE),"")</f>
        <v>美元(USD)</v>
      </c>
      <c r="S78" s="1754">
        <f ca="1">IFERROR(VLOOKUP(B78,'銀行-TSS'!B:N,13,FALSE),"")</f>
        <v>10000</v>
      </c>
      <c r="T78" s="1754" t="str">
        <f ca="1">VLOOKUP(表格1[[#This Row],[商品
代碼]],'銀行-TSS'!B:AI,34,FALSE)</f>
        <v>自由選清單</v>
      </c>
      <c r="U78" s="1755" t="str">
        <f ca="1">IFERROR(VLOOKUP(B78,'銀行-TSS'!B:Q,16,FALSE),"")</f>
        <v>核心消費</v>
      </c>
      <c r="V78" s="1755" t="str">
        <f ca="1">IFERROR(VLOOKUP(表格1[[#This Row],[商品
代碼]],'銀行-TSS'!B:AG,32,FALSE),"")</f>
        <v>固定</v>
      </c>
      <c r="W78" s="1756" t="str">
        <f ca="1">IFERROR(IFERROR(VLOOKUP(表格1[[#This Row],[商品
代碼]],'3_是否下架'!A:B,2,FALSE),VLOOKUP(表格1[[#This Row],[商品
代碼]],'銀行-TSS'!B:AK,36,FALSE)),"")</f>
        <v>有</v>
      </c>
      <c r="Y78" s="400"/>
      <c r="Z78" s="400"/>
      <c r="AA78" s="401"/>
    </row>
    <row r="79" spans="2:27" s="399" customFormat="1" ht="24.75" customHeight="1">
      <c r="B79" s="1745" t="s">
        <v>1088</v>
      </c>
      <c r="C79" s="1745" t="str">
        <f ca="1">IFERROR(VLOOKUP(表格1[[#This Row],[商品
代碼]],'銀行-TSS'!B:V,21,FALSE),"")</f>
        <v>(PI)專投</v>
      </c>
      <c r="D79" s="1746" t="str">
        <f>IFERROR(VLOOKUP(表格1[[#This Row],[商品
代碼]],bond!B:F,5,FALSE),"")</f>
        <v>US674599CJ22</v>
      </c>
      <c r="E79" s="1746" t="str">
        <f ca="1">IFERROR(VLOOKUP(B79,'銀行-TSS'!B:D,3,FALSE),"")</f>
        <v>西方石油公司美元配息債券  4.4% 2046/4/15</v>
      </c>
      <c r="F79" s="1745" t="str">
        <f ca="1">IFERROR(VLOOKUP(B79,'銀行-TSS'!B:E,4,FALSE),"")</f>
        <v>Baa3 / BB+ / BBB-</v>
      </c>
      <c r="G79" s="1747">
        <f ca="1">IFERROR(VLOOKUP(B79,'銀行-TSS'!B:G,6,FALSE),"")</f>
        <v>21.79</v>
      </c>
      <c r="H79" s="1748">
        <f ca="1">IFERROR(VLOOKUP(B79,'銀行-TSS'!B:H,7,FALSE),"")</f>
        <v>4.4000000000000004E-2</v>
      </c>
      <c r="I79" s="1745" t="str">
        <f ca="1">IFERROR(IF(表格1[[#This Row],[配息頻率]]=0,"",CHOOSE(表格1[[#This Row],[配息頻率]],MONTH(J79),IF(MONTH(J79)&lt;=6,CONCATENATE(MONTH(J79)," / ",MONTH(J79)+6),CONCATENATE(MONTH(J79)-6," / ",MONTH(J79))),0,"2 / 4 / 8 / 11")),"")</f>
        <v>4 / 10</v>
      </c>
      <c r="J79" s="1749" t="str">
        <f ca="1">IFERROR(VLOOKUP(B79,'銀行-TSS'!B:P,15,FALSE),"")</f>
        <v>2024/10/15</v>
      </c>
      <c r="K79" s="1750">
        <f ca="1">IFERROR(VLOOKUP(表格1[[#This Row],[商品
代碼]],'銀行-TSS'!B:I,8,FALSE),"")</f>
        <v>2</v>
      </c>
      <c r="L79" s="1747">
        <f ca="1">IFERROR(VLOOKUP(B79,'銀行-TSS'!B:K,10,FALSE),"")</f>
        <v>83.24</v>
      </c>
      <c r="M79" s="1745" t="str">
        <f ca="1">IF(表格1[[#This Row],[含息申購
參考價]]&gt;100,"溢價",IF(表格1[[#This Row],[含息申購
參考價]]&lt;100,"折價","平價"))</f>
        <v>折價</v>
      </c>
      <c r="N79" s="1751">
        <f ca="1">IFERROR(VLOOKUP(B79,'銀行-TSS'!B:M,12,FALSE),"")</f>
        <v>5.8500000000000003E-2</v>
      </c>
      <c r="O79" s="1752">
        <f ca="1">IFERROR(VLOOKUP(表格1[[#This Row],[商品
代碼]],'銀行-TSS'!B:AJ,35,FALSE),"")</f>
        <v>0</v>
      </c>
      <c r="P79" s="1751">
        <f ca="1">IFERROR(VLOOKUP(表格1[[#This Row],[商品
代碼]],'銀行-TSS'!B:AE,30,FALSE),"")</f>
        <v>5.8700000000000002E-2</v>
      </c>
      <c r="Q79" s="1749" t="str">
        <f ca="1">IFERROR(IF(VLOOKUP(表格1[[#This Row],[商品
代碼]],'銀行-TSS'!B:AM,38,FALSE)="#N/A Field Not Applicable","",VLOOKUP(表格1[[#This Row],[商品
代碼]],'銀行-TSS'!B:AM,38,FALSE)),"")</f>
        <v>2045/10/15</v>
      </c>
      <c r="R79" s="1749" t="str">
        <f ca="1">IFERROR(VLOOKUP(表格1[[#This Row],[商品
代碼]],'銀行-TSS'!B:AH,33,FALSE),"")</f>
        <v>美元(USD)</v>
      </c>
      <c r="S79" s="1754">
        <f ca="1">IFERROR(VLOOKUP(B79,'銀行-TSS'!B:N,13,FALSE),"")</f>
        <v>10000</v>
      </c>
      <c r="T79" s="1754" t="str">
        <f ca="1">VLOOKUP(表格1[[#This Row],[商品
代碼]],'銀行-TSS'!B:AI,34,FALSE)</f>
        <v>自由選清單</v>
      </c>
      <c r="U79" s="1745" t="str">
        <f ca="1">IFERROR(VLOOKUP(B79,'銀行-TSS'!B:Q,16,FALSE),"")</f>
        <v>能源</v>
      </c>
      <c r="V79" s="1755" t="str">
        <f ca="1">IFERROR(VLOOKUP(表格1[[#This Row],[商品
代碼]],'銀行-TSS'!B:AG,32,FALSE),"")</f>
        <v>固定</v>
      </c>
      <c r="W79" s="1757" t="str">
        <f ca="1">IFERROR(IFERROR(VLOOKUP(表格1[[#This Row],[商品
代碼]],'3_是否下架'!A:B,2,FALSE),VLOOKUP(表格1[[#This Row],[商品
代碼]],'銀行-TSS'!B:AK,36,FALSE)),"")</f>
        <v>有</v>
      </c>
      <c r="Y79" s="400"/>
      <c r="Z79" s="400"/>
      <c r="AA79" s="401"/>
    </row>
    <row r="80" spans="2:27" s="399" customFormat="1" ht="24.75" customHeight="1">
      <c r="B80" s="1745" t="s">
        <v>968</v>
      </c>
      <c r="C80" s="1745" t="str">
        <f ca="1">IFERROR(VLOOKUP(表格1[[#This Row],[商品
代碼]],'銀行-TSS'!B:V,21,FALSE),"")</f>
        <v>(PI)專投</v>
      </c>
      <c r="D80" s="1746" t="str">
        <f>IFERROR(VLOOKUP(表格1[[#This Row],[商品
代碼]],bond!B:F,5,FALSE),"")</f>
        <v>US31428XBG07</v>
      </c>
      <c r="E80" s="1746" t="str">
        <f ca="1">IFERROR(VLOOKUP(B80,'銀行-TSS'!B:D,3,FALSE),"")</f>
        <v>聯邦快遞美元配息債券 4.55% 2046/4/1</v>
      </c>
      <c r="F80" s="1745" t="str">
        <f ca="1">IFERROR(VLOOKUP(B80,'銀行-TSS'!B:E,4,FALSE),"")</f>
        <v>Baa2 / BBB / -</v>
      </c>
      <c r="G80" s="1747">
        <f ca="1">IFERROR(VLOOKUP(B80,'銀行-TSS'!B:G,6,FALSE),"")</f>
        <v>21.75</v>
      </c>
      <c r="H80" s="1748">
        <f ca="1">IFERROR(VLOOKUP(B80,'銀行-TSS'!B:H,7,FALSE),"")</f>
        <v>4.5499999999999999E-2</v>
      </c>
      <c r="I80" s="1745" t="str">
        <f ca="1">IFERROR(IF(表格1[[#This Row],[配息頻率]]=0,"",CHOOSE(表格1[[#This Row],[配息頻率]],MONTH(J80),IF(MONTH(J80)&lt;=6,CONCATENATE(MONTH(J80)," / ",MONTH(J80)+6),CONCATENATE(MONTH(J80)-6," / ",MONTH(J80))),0,"2 / 4 / 8 / 11")),"")</f>
        <v>4 / 10</v>
      </c>
      <c r="J80" s="1749" t="str">
        <f ca="1">IFERROR(VLOOKUP(B80,'銀行-TSS'!B:P,15,FALSE),"")</f>
        <v>2024/10/1</v>
      </c>
      <c r="K80" s="1750">
        <f ca="1">IFERROR(VLOOKUP(表格1[[#This Row],[商品
代碼]],'銀行-TSS'!B:I,8,FALSE),"")</f>
        <v>2</v>
      </c>
      <c r="L80" s="1747">
        <f ca="1">IFERROR(VLOOKUP(B80,'銀行-TSS'!B:K,10,FALSE),"")</f>
        <v>88.43</v>
      </c>
      <c r="M80" s="1745" t="str">
        <f ca="1">IF(表格1[[#This Row],[含息申購
參考價]]&gt;100,"溢價",IF(表格1[[#This Row],[含息申購
參考價]]&lt;100,"折價","平價"))</f>
        <v>折價</v>
      </c>
      <c r="N80" s="1751">
        <f ca="1">IFERROR(VLOOKUP(B80,'銀行-TSS'!B:M,12,FALSE),"")</f>
        <v>5.57E-2</v>
      </c>
      <c r="O80" s="1752">
        <f ca="1">IFERROR(VLOOKUP(表格1[[#This Row],[商品
代碼]],'銀行-TSS'!B:AJ,35,FALSE),"")</f>
        <v>0</v>
      </c>
      <c r="P80" s="1753">
        <f ca="1">IFERROR(VLOOKUP(表格1[[#This Row],[商品
代碼]],'銀行-TSS'!B:AE,30,FALSE),"")</f>
        <v>5.5800000000000002E-2</v>
      </c>
      <c r="Q80" s="1749" t="str">
        <f ca="1">IFERROR(IF(VLOOKUP(表格1[[#This Row],[商品
代碼]],'銀行-TSS'!B:AM,38,FALSE)="#N/A Field Not Applicable","",VLOOKUP(表格1[[#This Row],[商品
代碼]],'銀行-TSS'!B:AM,38,FALSE)),"")</f>
        <v>2045/10/1</v>
      </c>
      <c r="R80" s="1749" t="str">
        <f ca="1">IFERROR(VLOOKUP(表格1[[#This Row],[商品
代碼]],'銀行-TSS'!B:AH,33,FALSE),"")</f>
        <v>美元(USD)</v>
      </c>
      <c r="S80" s="1754">
        <f ca="1">IFERROR(VLOOKUP(B80,'銀行-TSS'!B:N,13,FALSE),"")</f>
        <v>10000</v>
      </c>
      <c r="T80" s="1754" t="str">
        <f ca="1">VLOOKUP(表格1[[#This Row],[商品
代碼]],'銀行-TSS'!B:AI,34,FALSE)</f>
        <v>自由選清單</v>
      </c>
      <c r="U80" s="1755" t="str">
        <f ca="1">IFERROR(VLOOKUP(B80,'銀行-TSS'!B:Q,16,FALSE),"")</f>
        <v>工業</v>
      </c>
      <c r="V80" s="1755" t="str">
        <f ca="1">IFERROR(VLOOKUP(表格1[[#This Row],[商品
代碼]],'銀行-TSS'!B:AG,32,FALSE),"")</f>
        <v>固定</v>
      </c>
      <c r="W80" s="1756" t="str">
        <f ca="1">IFERROR(IFERROR(VLOOKUP(表格1[[#This Row],[商品
代碼]],'3_是否下架'!A:B,2,FALSE),VLOOKUP(表格1[[#This Row],[商品
代碼]],'銀行-TSS'!B:AK,36,FALSE)),"")</f>
        <v>有</v>
      </c>
      <c r="Y80" s="400"/>
      <c r="Z80" s="400"/>
      <c r="AA80" s="401"/>
    </row>
    <row r="81" spans="2:27" s="399" customFormat="1" ht="24.75" customHeight="1">
      <c r="B81" s="1745" t="s">
        <v>995</v>
      </c>
      <c r="C81" s="1745" t="str">
        <f ca="1">IFERROR(VLOOKUP(表格1[[#This Row],[商品
代碼]],'銀行-TSS'!B:V,21,FALSE),"")</f>
        <v>(PI)專投</v>
      </c>
      <c r="D81" s="1746" t="str">
        <f>IFERROR(VLOOKUP(表格1[[#This Row],[商品
代碼]],bond!B:F,5,FALSE),"")</f>
        <v>US37045VAL45</v>
      </c>
      <c r="E81" s="1746" t="str">
        <f ca="1">IFERROR(VLOOKUP(B81,'銀行-TSS'!B:D,3,FALSE),"")</f>
        <v>通用汽車公司美元配息債券  6.75% 2046/4/1</v>
      </c>
      <c r="F81" s="1745" t="str">
        <f ca="1">IFERROR(VLOOKUP(B81,'銀行-TSS'!B:E,4,FALSE),"")</f>
        <v>Baa2 / BBB / BBB</v>
      </c>
      <c r="G81" s="1747">
        <f ca="1">IFERROR(VLOOKUP(B81,'銀行-TSS'!B:G,6,FALSE),"")</f>
        <v>21.75</v>
      </c>
      <c r="H81" s="1748">
        <f ca="1">IFERROR(VLOOKUP(B81,'銀行-TSS'!B:H,7,FALSE),"")</f>
        <v>6.7500000000000004E-2</v>
      </c>
      <c r="I81" s="1745" t="str">
        <f ca="1">IFERROR(IF(表格1[[#This Row],[配息頻率]]=0,"",CHOOSE(表格1[[#This Row],[配息頻率]],MONTH(J81),IF(MONTH(J81)&lt;=6,CONCATENATE(MONTH(J81)," / ",MONTH(J81)+6),CONCATENATE(MONTH(J81)-6," / ",MONTH(J81))),0,"2 / 4 / 8 / 11")),"")</f>
        <v>4 / 10</v>
      </c>
      <c r="J81" s="1749" t="str">
        <f ca="1">IFERROR(VLOOKUP(B81,'銀行-TSS'!B:P,15,FALSE),"")</f>
        <v>2024/10/1</v>
      </c>
      <c r="K81" s="1750">
        <f ca="1">IFERROR(VLOOKUP(表格1[[#This Row],[商品
代碼]],'銀行-TSS'!B:I,8,FALSE),"")</f>
        <v>2</v>
      </c>
      <c r="L81" s="1747">
        <f ca="1">IFERROR(VLOOKUP(B81,'銀行-TSS'!B:K,10,FALSE),"")</f>
        <v>110.26</v>
      </c>
      <c r="M81" s="1745" t="str">
        <f ca="1">IF(表格1[[#This Row],[含息申購
參考價]]&gt;100,"溢價",IF(表格1[[#This Row],[含息申購
參考價]]&lt;100,"折價","平價"))</f>
        <v>溢價</v>
      </c>
      <c r="N81" s="1751">
        <f ca="1">IFERROR(VLOOKUP(B81,'銀行-TSS'!B:M,12,FALSE),"")</f>
        <v>6.0400000000000002E-2</v>
      </c>
      <c r="O81" s="1752">
        <f ca="1">IFERROR(VLOOKUP(表格1[[#This Row],[商品
代碼]],'銀行-TSS'!B:AJ,35,FALSE),"")</f>
        <v>0</v>
      </c>
      <c r="P81" s="1753">
        <f ca="1">IFERROR(VLOOKUP(表格1[[#This Row],[商品
代碼]],'銀行-TSS'!B:AE,30,FALSE),"")</f>
        <v>6.0299999999999999E-2</v>
      </c>
      <c r="Q81" s="1749" t="str">
        <f ca="1">IFERROR(IF(VLOOKUP(表格1[[#This Row],[商品
代碼]],'銀行-TSS'!B:AM,38,FALSE)="#N/A Field Not Applicable","",VLOOKUP(表格1[[#This Row],[商品
代碼]],'銀行-TSS'!B:AM,38,FALSE)),"")</f>
        <v>2045/10/1</v>
      </c>
      <c r="R81" s="1749" t="str">
        <f ca="1">IFERROR(VLOOKUP(表格1[[#This Row],[商品
代碼]],'銀行-TSS'!B:AH,33,FALSE),"")</f>
        <v>美元(USD)</v>
      </c>
      <c r="S81" s="1754">
        <f ca="1">IFERROR(VLOOKUP(B81,'銀行-TSS'!B:N,13,FALSE),"")</f>
        <v>10000</v>
      </c>
      <c r="T81" s="1754" t="str">
        <f ca="1">VLOOKUP(表格1[[#This Row],[商品
代碼]],'銀行-TSS'!B:AI,34,FALSE)</f>
        <v>自由選清單</v>
      </c>
      <c r="U81" s="1755" t="str">
        <f ca="1">IFERROR(VLOOKUP(B81,'銀行-TSS'!B:Q,16,FALSE),"")</f>
        <v>非核心消費</v>
      </c>
      <c r="V81" s="1755" t="str">
        <f ca="1">IFERROR(VLOOKUP(表格1[[#This Row],[商品
代碼]],'銀行-TSS'!B:AG,32,FALSE),"")</f>
        <v>固定</v>
      </c>
      <c r="W81" s="1756" t="str">
        <f ca="1">IFERROR(IFERROR(VLOOKUP(表格1[[#This Row],[商品
代碼]],'3_是否下架'!A:B,2,FALSE),VLOOKUP(表格1[[#This Row],[商品
代碼]],'銀行-TSS'!B:AK,36,FALSE)),"")</f>
        <v>有</v>
      </c>
      <c r="Y81" s="400"/>
      <c r="Z81" s="400"/>
      <c r="AA81" s="401"/>
    </row>
    <row r="82" spans="2:27" s="399" customFormat="1" ht="24.75" customHeight="1">
      <c r="B82" s="1745" t="s">
        <v>693</v>
      </c>
      <c r="C82" s="1745" t="str">
        <f ca="1">IFERROR(VLOOKUP(表格1[[#This Row],[商品
代碼]],'銀行-TSS'!B:V,21,FALSE),"")</f>
        <v>(NPI)非專投</v>
      </c>
      <c r="D82" s="1746" t="str">
        <f>IFERROR(VLOOKUP(表格1[[#This Row],[商品
代碼]],bond!B:F,5,FALSE),"")</f>
        <v>US30231GAW24</v>
      </c>
      <c r="E82" s="1746" t="str">
        <f ca="1">IFERROR(VLOOKUP(B82,'銀行-TSS'!B:D,3,FALSE),"")</f>
        <v>艾克索美孚石油美元債券 4.114% 2046/3/1</v>
      </c>
      <c r="F82" s="1745" t="str">
        <f ca="1">IFERROR(VLOOKUP(B82,'銀行-TSS'!B:E,4,FALSE),"")</f>
        <v>Aa2 / AA- / -</v>
      </c>
      <c r="G82" s="1747">
        <f ca="1">IFERROR(VLOOKUP(B82,'銀行-TSS'!B:G,6,FALSE),"")</f>
        <v>21.66</v>
      </c>
      <c r="H82" s="1748">
        <f ca="1">IFERROR(VLOOKUP(B82,'銀行-TSS'!B:H,7,FALSE),"")</f>
        <v>4.1139999999999996E-2</v>
      </c>
      <c r="I82" s="1745" t="str">
        <f ca="1">IFERROR(IF(表格1[[#This Row],[配息頻率]]=0,"",CHOOSE(表格1[[#This Row],[配息頻率]],MONTH(J82),IF(MONTH(J82)&lt;=6,CONCATENATE(MONTH(J82)," / ",MONTH(J82)+6),CONCATENATE(MONTH(J82)-6," / ",MONTH(J82))),0,"2 / 4 / 8 / 11")),"")</f>
        <v>3 / 9</v>
      </c>
      <c r="J82" s="1749" t="str">
        <f ca="1">IFERROR(VLOOKUP(B82,'銀行-TSS'!B:P,15,FALSE),"")</f>
        <v>2024/9/1</v>
      </c>
      <c r="K82" s="1750">
        <f ca="1">IFERROR(VLOOKUP(表格1[[#This Row],[商品
代碼]],'銀行-TSS'!B:I,8,FALSE),"")</f>
        <v>2</v>
      </c>
      <c r="L82" s="1747">
        <f ca="1">IFERROR(VLOOKUP(B82,'銀行-TSS'!B:K,10,FALSE),"")</f>
        <v>87.56</v>
      </c>
      <c r="M82" s="1745" t="str">
        <f ca="1">IF(表格1[[#This Row],[含息申購
參考價]]&gt;100,"溢價",IF(表格1[[#This Row],[含息申購
參考價]]&lt;100,"折價","平價"))</f>
        <v>折價</v>
      </c>
      <c r="N82" s="1751">
        <f ca="1">IFERROR(VLOOKUP(B82,'銀行-TSS'!B:M,12,FALSE),"")</f>
        <v>5.1799999999999999E-2</v>
      </c>
      <c r="O82" s="1752">
        <f ca="1">IFERROR(VLOOKUP(表格1[[#This Row],[商品
代碼]],'銀行-TSS'!B:AJ,35,FALSE),"")</f>
        <v>0</v>
      </c>
      <c r="P82" s="1753">
        <f ca="1">IFERROR(VLOOKUP(表格1[[#This Row],[商品
代碼]],'銀行-TSS'!B:AE,30,FALSE),"")</f>
        <v>5.1999999999999998E-2</v>
      </c>
      <c r="Q82" s="1749" t="str">
        <f ca="1">IFERROR(IF(VLOOKUP(表格1[[#This Row],[商品
代碼]],'銀行-TSS'!B:AM,38,FALSE)="#N/A Field Not Applicable","",VLOOKUP(表格1[[#This Row],[商品
代碼]],'銀行-TSS'!B:AM,38,FALSE)),"")</f>
        <v>2045/9/1</v>
      </c>
      <c r="R82" s="1749" t="str">
        <f ca="1">IFERROR(VLOOKUP(表格1[[#This Row],[商品
代碼]],'銀行-TSS'!B:AH,33,FALSE),"")</f>
        <v>美元(USD)</v>
      </c>
      <c r="S82" s="1754">
        <f ca="1">IFERROR(VLOOKUP(B82,'銀行-TSS'!B:N,13,FALSE),"")</f>
        <v>10000</v>
      </c>
      <c r="T82" s="1754" t="str">
        <f ca="1">VLOOKUP(表格1[[#This Row],[商品
代碼]],'銀行-TSS'!B:AI,34,FALSE)</f>
        <v>自由選清單</v>
      </c>
      <c r="U82" s="1755" t="str">
        <f ca="1">IFERROR(VLOOKUP(B82,'銀行-TSS'!B:Q,16,FALSE),"")</f>
        <v>能源</v>
      </c>
      <c r="V82" s="1755" t="str">
        <f ca="1">IFERROR(VLOOKUP(表格1[[#This Row],[商品
代碼]],'銀行-TSS'!B:AG,32,FALSE),"")</f>
        <v>固定</v>
      </c>
      <c r="W82" s="1756" t="str">
        <f ca="1">IFERROR(IFERROR(VLOOKUP(表格1[[#This Row],[商品
代碼]],'3_是否下架'!A:B,2,FALSE),VLOOKUP(表格1[[#This Row],[商品
代碼]],'銀行-TSS'!B:AK,36,FALSE)),"")</f>
        <v>有</v>
      </c>
      <c r="Y82" s="400"/>
      <c r="Z82" s="400"/>
      <c r="AA82" s="401"/>
    </row>
    <row r="83" spans="2:27" s="399" customFormat="1" ht="24.75" customHeight="1">
      <c r="B83" s="1745" t="s">
        <v>959</v>
      </c>
      <c r="C83" s="1745" t="str">
        <f ca="1">IFERROR(VLOOKUP(表格1[[#This Row],[商品
代碼]],'銀行-TSS'!B:V,21,FALSE),"")</f>
        <v>(NPI)非專投</v>
      </c>
      <c r="D83" s="1746" t="str">
        <f>IFERROR(VLOOKUP(表格1[[#This Row],[商品
代碼]],bond!B:F,5,FALSE),"")</f>
        <v>US375558BD48</v>
      </c>
      <c r="E83" s="1746" t="str">
        <f ca="1">IFERROR(VLOOKUP(B83,'銀行-TSS'!B:D,3,FALSE),"")</f>
        <v>吉利德科學公司美元配息債券 4.75% 2046/3/1</v>
      </c>
      <c r="F83" s="1745" t="str">
        <f ca="1">IFERROR(VLOOKUP(B83,'銀行-TSS'!B:E,4,FALSE),"")</f>
        <v>A3 / BBB+ / -</v>
      </c>
      <c r="G83" s="1747">
        <f ca="1">IFERROR(VLOOKUP(B83,'銀行-TSS'!B:G,6,FALSE),"")</f>
        <v>21.66</v>
      </c>
      <c r="H83" s="1748">
        <f ca="1">IFERROR(VLOOKUP(B83,'銀行-TSS'!B:H,7,FALSE),"")</f>
        <v>4.7500000000000001E-2</v>
      </c>
      <c r="I83" s="1745" t="str">
        <f ca="1">IFERROR(IF(表格1[[#This Row],[配息頻率]]=0,"",CHOOSE(表格1[[#This Row],[配息頻率]],MONTH(J83),IF(MONTH(J83)&lt;=6,CONCATENATE(MONTH(J83)," / ",MONTH(J83)+6),CONCATENATE(MONTH(J83)-6," / ",MONTH(J83))),0,"2 / 4 / 8 / 11")),"")</f>
        <v>3 / 9</v>
      </c>
      <c r="J83" s="1749" t="str">
        <f ca="1">IFERROR(VLOOKUP(B83,'銀行-TSS'!B:P,15,FALSE),"")</f>
        <v>2024/9/1</v>
      </c>
      <c r="K83" s="1750">
        <f ca="1">IFERROR(VLOOKUP(表格1[[#This Row],[商品
代碼]],'銀行-TSS'!B:I,8,FALSE),"")</f>
        <v>2</v>
      </c>
      <c r="L83" s="1747">
        <f ca="1">IFERROR(VLOOKUP(B83,'銀行-TSS'!B:K,10,FALSE),"")</f>
        <v>94.4</v>
      </c>
      <c r="M83" s="1745" t="str">
        <f ca="1">IF(表格1[[#This Row],[含息申購
參考價]]&gt;100,"溢價",IF(表格1[[#This Row],[含息申購
參考價]]&lt;100,"折價","平價"))</f>
        <v>折價</v>
      </c>
      <c r="N83" s="1751">
        <f ca="1">IFERROR(VLOOKUP(B83,'銀行-TSS'!B:M,12,FALSE),"")</f>
        <v>5.3100000000000001E-2</v>
      </c>
      <c r="O83" s="1752">
        <f ca="1">IFERROR(VLOOKUP(表格1[[#This Row],[商品
代碼]],'銀行-TSS'!B:AJ,35,FALSE),"")</f>
        <v>0</v>
      </c>
      <c r="P83" s="1753">
        <f ca="1">IFERROR(VLOOKUP(表格1[[#This Row],[商品
代碼]],'銀行-TSS'!B:AE,30,FALSE),"")</f>
        <v>5.3199999999999997E-2</v>
      </c>
      <c r="Q83" s="1749" t="str">
        <f ca="1">IFERROR(IF(VLOOKUP(表格1[[#This Row],[商品
代碼]],'銀行-TSS'!B:AM,38,FALSE)="#N/A Field Not Applicable","",VLOOKUP(表格1[[#This Row],[商品
代碼]],'銀行-TSS'!B:AM,38,FALSE)),"")</f>
        <v>2045/9/1</v>
      </c>
      <c r="R83" s="1749" t="str">
        <f ca="1">IFERROR(VLOOKUP(表格1[[#This Row],[商品
代碼]],'銀行-TSS'!B:AH,33,FALSE),"")</f>
        <v>美元(USD)</v>
      </c>
      <c r="S83" s="1754">
        <f ca="1">IFERROR(VLOOKUP(B83,'銀行-TSS'!B:N,13,FALSE),"")</f>
        <v>10000</v>
      </c>
      <c r="T83" s="1754" t="str">
        <f ca="1">VLOOKUP(表格1[[#This Row],[商品
代碼]],'銀行-TSS'!B:AI,34,FALSE)</f>
        <v>自由選清單</v>
      </c>
      <c r="U83" s="1755" t="str">
        <f ca="1">IFERROR(VLOOKUP(B83,'銀行-TSS'!B:Q,16,FALSE),"")</f>
        <v>醫療保健</v>
      </c>
      <c r="V83" s="1755" t="str">
        <f ca="1">IFERROR(VLOOKUP(表格1[[#This Row],[商品
代碼]],'銀行-TSS'!B:AG,32,FALSE),"")</f>
        <v>固定</v>
      </c>
      <c r="W83" s="1756" t="str">
        <f ca="1">IFERROR(IFERROR(VLOOKUP(表格1[[#This Row],[商品
代碼]],'3_是否下架'!A:B,2,FALSE),VLOOKUP(表格1[[#This Row],[商品
代碼]],'銀行-TSS'!B:AK,36,FALSE)),"")</f>
        <v>有</v>
      </c>
      <c r="Y83" s="400"/>
      <c r="Z83" s="400"/>
      <c r="AA83" s="401"/>
    </row>
    <row r="84" spans="2:27" s="399" customFormat="1" ht="24.75" customHeight="1">
      <c r="B84" s="1745" t="s">
        <v>990</v>
      </c>
      <c r="C84" s="1745" t="str">
        <f ca="1">IFERROR(VLOOKUP(表格1[[#This Row],[商品
代碼]],'銀行-TSS'!B:V,21,FALSE),"")</f>
        <v>(NPI)非專投</v>
      </c>
      <c r="D84" s="1746" t="str">
        <f>IFERROR(VLOOKUP(表格1[[#This Row],[商品
代碼]],bond!B:F,5,FALSE),"")</f>
        <v>US478160BV55</v>
      </c>
      <c r="E84" s="1746" t="str">
        <f ca="1">IFERROR(VLOOKUP(B84,'銀行-TSS'!B:D,3,FALSE),"")</f>
        <v>嬌生公司美元配息債券 3.7% 2046/3/1</v>
      </c>
      <c r="F84" s="1745" t="str">
        <f ca="1">IFERROR(VLOOKUP(B84,'銀行-TSS'!B:E,4,FALSE),"")</f>
        <v>Aaa / AAA / WD</v>
      </c>
      <c r="G84" s="1747">
        <f ca="1">IFERROR(VLOOKUP(B84,'銀行-TSS'!B:G,6,FALSE),"")</f>
        <v>21.66</v>
      </c>
      <c r="H84" s="1748">
        <f ca="1">IFERROR(VLOOKUP(B84,'銀行-TSS'!B:H,7,FALSE),"")</f>
        <v>3.7000000000000005E-2</v>
      </c>
      <c r="I84" s="1745" t="str">
        <f ca="1">IFERROR(IF(表格1[[#This Row],[配息頻率]]=0,"",CHOOSE(表格1[[#This Row],[配息頻率]],MONTH(J84),IF(MONTH(J84)&lt;=6,CONCATENATE(MONTH(J84)," / ",MONTH(J84)+6),CONCATENATE(MONTH(J84)-6," / ",MONTH(J84))),0,"2 / 4 / 8 / 11")),"")</f>
        <v>3 / 9</v>
      </c>
      <c r="J84" s="1749" t="str">
        <f ca="1">IFERROR(VLOOKUP(B84,'銀行-TSS'!B:P,15,FALSE),"")</f>
        <v>2024/9/1</v>
      </c>
      <c r="K84" s="1750">
        <f ca="1">IFERROR(VLOOKUP(表格1[[#This Row],[商品
代碼]],'銀行-TSS'!B:I,8,FALSE),"")</f>
        <v>2</v>
      </c>
      <c r="L84" s="1747">
        <f ca="1">IFERROR(VLOOKUP(B84,'銀行-TSS'!B:K,10,FALSE),"")</f>
        <v>85.29</v>
      </c>
      <c r="M84" s="1745" t="str">
        <f ca="1">IF(表格1[[#This Row],[含息申購
參考價]]&gt;100,"溢價",IF(表格1[[#This Row],[含息申購
參考價]]&lt;100,"折價","平價"))</f>
        <v>折價</v>
      </c>
      <c r="N84" s="1751">
        <f ca="1">IFERROR(VLOOKUP(B84,'銀行-TSS'!B:M,12,FALSE),"")</f>
        <v>4.9000000000000002E-2</v>
      </c>
      <c r="O84" s="1752">
        <f ca="1">IFERROR(VLOOKUP(表格1[[#This Row],[商品
代碼]],'銀行-TSS'!B:AJ,35,FALSE),"")</f>
        <v>0</v>
      </c>
      <c r="P84" s="1753">
        <f ca="1">IFERROR(VLOOKUP(表格1[[#This Row],[商品
代碼]],'銀行-TSS'!B:AE,30,FALSE),"")</f>
        <v>4.9200000000000001E-2</v>
      </c>
      <c r="Q84" s="1749" t="str">
        <f ca="1">IFERROR(IF(VLOOKUP(表格1[[#This Row],[商品
代碼]],'銀行-TSS'!B:AM,38,FALSE)="#N/A Field Not Applicable","",VLOOKUP(表格1[[#This Row],[商品
代碼]],'銀行-TSS'!B:AM,38,FALSE)),"")</f>
        <v>2045/9/1</v>
      </c>
      <c r="R84" s="1749" t="str">
        <f ca="1">IFERROR(VLOOKUP(表格1[[#This Row],[商品
代碼]],'銀行-TSS'!B:AH,33,FALSE),"")</f>
        <v>美元(USD)</v>
      </c>
      <c r="S84" s="1754">
        <f ca="1">IFERROR(VLOOKUP(B84,'銀行-TSS'!B:N,13,FALSE),"")</f>
        <v>10000</v>
      </c>
      <c r="T84" s="1754" t="str">
        <f ca="1">VLOOKUP(表格1[[#This Row],[商品
代碼]],'銀行-TSS'!B:AI,34,FALSE)</f>
        <v>自由選清單</v>
      </c>
      <c r="U84" s="1755" t="str">
        <f ca="1">IFERROR(VLOOKUP(B84,'銀行-TSS'!B:Q,16,FALSE),"")</f>
        <v>醫療保健</v>
      </c>
      <c r="V84" s="1755" t="str">
        <f ca="1">IFERROR(VLOOKUP(表格1[[#This Row],[商品
代碼]],'銀行-TSS'!B:AG,32,FALSE),"")</f>
        <v>固定</v>
      </c>
      <c r="W84" s="1756" t="str">
        <f ca="1">IFERROR(IFERROR(VLOOKUP(表格1[[#This Row],[商品
代碼]],'3_是否下架'!A:B,2,FALSE),VLOOKUP(表格1[[#This Row],[商品
代碼]],'銀行-TSS'!B:AK,36,FALSE)),"")</f>
        <v>有</v>
      </c>
      <c r="Y84" s="400"/>
      <c r="Z84" s="400"/>
      <c r="AA84" s="401"/>
    </row>
    <row r="85" spans="2:27" s="399" customFormat="1" ht="24.75" customHeight="1">
      <c r="B85" s="1745" t="s">
        <v>929</v>
      </c>
      <c r="C85" s="1745" t="str">
        <f ca="1">IFERROR(VLOOKUP(表格1[[#This Row],[商品
代碼]],'銀行-TSS'!B:V,21,FALSE),"")</f>
        <v>(NPI)非專投</v>
      </c>
      <c r="D85" s="1746" t="str">
        <f>IFERROR(VLOOKUP(表格1[[#This Row],[商品
代碼]],bond!B:F,5,FALSE),"")</f>
        <v>US92826CAF95</v>
      </c>
      <c r="E85" s="1746" t="str">
        <f ca="1">IFERROR(VLOOKUP(B85,'銀行-TSS'!B:D,3,FALSE),"")</f>
        <v>威士卡公司美元配息債券 4.3% 2045/12/14</v>
      </c>
      <c r="F85" s="1745" t="str">
        <f ca="1">IFERROR(VLOOKUP(B85,'銀行-TSS'!B:E,4,FALSE),"")</f>
        <v>Aa3 / AA- / -</v>
      </c>
      <c r="G85" s="1747">
        <f ca="1">IFERROR(VLOOKUP(B85,'銀行-TSS'!B:G,6,FALSE),"")</f>
        <v>21.45</v>
      </c>
      <c r="H85" s="1748">
        <f ca="1">IFERROR(VLOOKUP(B85,'銀行-TSS'!B:H,7,FALSE),"")</f>
        <v>4.2999999999999997E-2</v>
      </c>
      <c r="I85" s="1745" t="str">
        <f ca="1">IFERROR(IF(表格1[[#This Row],[配息頻率]]=0,"",CHOOSE(表格1[[#This Row],[配息頻率]],MONTH(J85),IF(MONTH(J85)&lt;=6,CONCATENATE(MONTH(J85)," / ",MONTH(J85)+6),CONCATENATE(MONTH(J85)-6," / ",MONTH(J85))),0,"2 / 4 / 8 / 11")),"")</f>
        <v>6 / 12</v>
      </c>
      <c r="J85" s="1749" t="str">
        <f ca="1">IFERROR(VLOOKUP(B85,'銀行-TSS'!B:P,15,FALSE),"")</f>
        <v>2024/12/14</v>
      </c>
      <c r="K85" s="1750">
        <f ca="1">IFERROR(VLOOKUP(表格1[[#This Row],[商品
代碼]],'銀行-TSS'!B:I,8,FALSE),"")</f>
        <v>2</v>
      </c>
      <c r="L85" s="1747">
        <f ca="1">IFERROR(VLOOKUP(B85,'銀行-TSS'!B:K,10,FALSE),"")</f>
        <v>88.53</v>
      </c>
      <c r="M85" s="1745" t="str">
        <f ca="1">IF(表格1[[#This Row],[含息申購
參考價]]&gt;100,"溢價",IF(表格1[[#This Row],[含息申購
參考價]]&lt;100,"折價","平價"))</f>
        <v>折價</v>
      </c>
      <c r="N85" s="1751">
        <f ca="1">IFERROR(VLOOKUP(B85,'銀行-TSS'!B:M,12,FALSE),"")</f>
        <v>5.21E-2</v>
      </c>
      <c r="O85" s="1752">
        <f ca="1">IFERROR(VLOOKUP(表格1[[#This Row],[商品
代碼]],'銀行-TSS'!B:AJ,35,FALSE),"")</f>
        <v>0</v>
      </c>
      <c r="P85" s="1753">
        <f ca="1">IFERROR(VLOOKUP(表格1[[#This Row],[商品
代碼]],'銀行-TSS'!B:AE,30,FALSE),"")</f>
        <v>5.2200000000000003E-2</v>
      </c>
      <c r="Q85" s="1749" t="str">
        <f ca="1">IFERROR(IF(VLOOKUP(表格1[[#This Row],[商品
代碼]],'銀行-TSS'!B:AM,38,FALSE)="#N/A Field Not Applicable","",VLOOKUP(表格1[[#This Row],[商品
代碼]],'銀行-TSS'!B:AM,38,FALSE)),"")</f>
        <v>2045/6/14</v>
      </c>
      <c r="R85" s="1749" t="str">
        <f ca="1">IFERROR(VLOOKUP(表格1[[#This Row],[商品
代碼]],'銀行-TSS'!B:AH,33,FALSE),"")</f>
        <v>美元(USD)</v>
      </c>
      <c r="S85" s="1754">
        <f ca="1">IFERROR(VLOOKUP(B85,'銀行-TSS'!B:N,13,FALSE),"")</f>
        <v>2000</v>
      </c>
      <c r="T85" s="1754" t="str">
        <f ca="1">VLOOKUP(表格1[[#This Row],[商品
代碼]],'銀行-TSS'!B:AI,34,FALSE)</f>
        <v>自由選清單</v>
      </c>
      <c r="U85" s="1755" t="str">
        <f ca="1">IFERROR(VLOOKUP(B85,'銀行-TSS'!B:Q,16,FALSE),"")</f>
        <v>金融</v>
      </c>
      <c r="V85" s="1755" t="str">
        <f ca="1">IFERROR(VLOOKUP(表格1[[#This Row],[商品
代碼]],'銀行-TSS'!B:AG,32,FALSE),"")</f>
        <v>固定</v>
      </c>
      <c r="W85" s="1756" t="str">
        <f ca="1">IFERROR(IFERROR(VLOOKUP(表格1[[#This Row],[商品
代碼]],'3_是否下架'!A:B,2,FALSE),VLOOKUP(表格1[[#This Row],[商品
代碼]],'銀行-TSS'!B:AK,36,FALSE)),"")</f>
        <v>有</v>
      </c>
      <c r="Y85" s="400"/>
      <c r="Z85" s="400"/>
      <c r="AA85" s="401"/>
    </row>
    <row r="86" spans="2:27" s="399" customFormat="1" ht="24.75" customHeight="1">
      <c r="B86" s="1745" t="s">
        <v>857</v>
      </c>
      <c r="C86" s="1745" t="str">
        <f ca="1">IFERROR(VLOOKUP(表格1[[#This Row],[商品
代碼]],'銀行-TSS'!B:V,21,FALSE),"")</f>
        <v>(PI)專投</v>
      </c>
      <c r="D86" s="1746" t="str">
        <f>IFERROR(VLOOKUP(表格1[[#This Row],[商品
代碼]],bond!B:F,5,FALSE),"")</f>
        <v>US58013MFA71</v>
      </c>
      <c r="E86" s="1746" t="str">
        <f ca="1">IFERROR(VLOOKUP(B86,'銀行-TSS'!B:D,3,FALSE),"")</f>
        <v>麥當勞公司美元配息債券 4.875% 2045/12/9</v>
      </c>
      <c r="F86" s="1745" t="str">
        <f ca="1">IFERROR(VLOOKUP(B86,'銀行-TSS'!B:E,4,FALSE),"")</f>
        <v>Baa1 / BBB+ / WD</v>
      </c>
      <c r="G86" s="1747">
        <f ca="1">IFERROR(VLOOKUP(B86,'銀行-TSS'!B:G,6,FALSE),"")</f>
        <v>21.44</v>
      </c>
      <c r="H86" s="1748">
        <f ca="1">IFERROR(VLOOKUP(B86,'銀行-TSS'!B:H,7,FALSE),"")</f>
        <v>4.8750000000000002E-2</v>
      </c>
      <c r="I86" s="1745" t="str">
        <f ca="1">IFERROR(IF(表格1[[#This Row],[配息頻率]]=0,"",CHOOSE(表格1[[#This Row],[配息頻率]],MONTH(J86),IF(MONTH(J86)&lt;=6,CONCATENATE(MONTH(J86)," / ",MONTH(J86)+6),CONCATENATE(MONTH(J86)-6," / ",MONTH(J86))),0,"2 / 4 / 8 / 11")),"")</f>
        <v>6 / 12</v>
      </c>
      <c r="J86" s="1749" t="str">
        <f ca="1">IFERROR(VLOOKUP(B86,'銀行-TSS'!B:P,15,FALSE),"")</f>
        <v>2024/12/9</v>
      </c>
      <c r="K86" s="1750">
        <f ca="1">IFERROR(VLOOKUP(表格1[[#This Row],[商品
代碼]],'銀行-TSS'!B:I,8,FALSE),"")</f>
        <v>2</v>
      </c>
      <c r="L86" s="1747">
        <f ca="1">IFERROR(VLOOKUP(B86,'銀行-TSS'!B:K,10,FALSE),"")</f>
        <v>93.85</v>
      </c>
      <c r="M86" s="1745" t="str">
        <f ca="1">IF(表格1[[#This Row],[含息申購
參考價]]&gt;100,"溢價",IF(表格1[[#This Row],[含息申購
參考價]]&lt;100,"折價","平價"))</f>
        <v>折價</v>
      </c>
      <c r="N86" s="1751">
        <f ca="1">IFERROR(VLOOKUP(B86,'銀行-TSS'!B:M,12,FALSE),"")</f>
        <v>5.3900000000000003E-2</v>
      </c>
      <c r="O86" s="1752">
        <f ca="1">IFERROR(VLOOKUP(表格1[[#This Row],[商品
代碼]],'銀行-TSS'!B:AJ,35,FALSE),"")</f>
        <v>0</v>
      </c>
      <c r="P86" s="1753">
        <f ca="1">IFERROR(VLOOKUP(表格1[[#This Row],[商品
代碼]],'銀行-TSS'!B:AE,30,FALSE),"")</f>
        <v>5.3900000000000003E-2</v>
      </c>
      <c r="Q86" s="1749" t="str">
        <f ca="1">IFERROR(IF(VLOOKUP(表格1[[#This Row],[商品
代碼]],'銀行-TSS'!B:AM,38,FALSE)="#N/A Field Not Applicable","",VLOOKUP(表格1[[#This Row],[商品
代碼]],'銀行-TSS'!B:AM,38,FALSE)),"")</f>
        <v>2045/6/9</v>
      </c>
      <c r="R86" s="1749" t="str">
        <f ca="1">IFERROR(VLOOKUP(表格1[[#This Row],[商品
代碼]],'銀行-TSS'!B:AH,33,FALSE),"")</f>
        <v>美元(USD)</v>
      </c>
      <c r="S86" s="1754">
        <f ca="1">IFERROR(VLOOKUP(B86,'銀行-TSS'!B:N,13,FALSE),"")</f>
        <v>10000</v>
      </c>
      <c r="T86" s="1754" t="str">
        <f ca="1">VLOOKUP(表格1[[#This Row],[商品
代碼]],'銀行-TSS'!B:AI,34,FALSE)</f>
        <v>自由選清單</v>
      </c>
      <c r="U86" s="1755" t="str">
        <f ca="1">IFERROR(VLOOKUP(B86,'銀行-TSS'!B:Q,16,FALSE),"")</f>
        <v>非核心消費</v>
      </c>
      <c r="V86" s="1755" t="str">
        <f ca="1">IFERROR(VLOOKUP(表格1[[#This Row],[商品
代碼]],'銀行-TSS'!B:AG,32,FALSE),"")</f>
        <v>固定</v>
      </c>
      <c r="W86" s="1756" t="str">
        <f ca="1">IFERROR(IFERROR(VLOOKUP(表格1[[#This Row],[商品
代碼]],'3_是否下架'!A:B,2,FALSE),VLOOKUP(表格1[[#This Row],[商品
代碼]],'銀行-TSS'!B:AK,36,FALSE)),"")</f>
        <v>有</v>
      </c>
      <c r="Y86" s="400"/>
      <c r="Z86" s="400"/>
      <c r="AA86" s="401"/>
    </row>
    <row r="87" spans="2:27" s="399" customFormat="1" ht="24.75" customHeight="1">
      <c r="B87" s="1745" t="s">
        <v>874</v>
      </c>
      <c r="C87" s="1745" t="str">
        <f ca="1">IFERROR(VLOOKUP(表格1[[#This Row],[商品
代碼]],'銀行-TSS'!B:V,21,FALSE),"")</f>
        <v>(NPI)非專投</v>
      </c>
      <c r="D87" s="1746" t="str">
        <f>IFERROR(VLOOKUP(表格1[[#This Row],[商品
代碼]],bond!B:F,5,FALSE),"")</f>
        <v>US406216BK61</v>
      </c>
      <c r="E87" s="1746" t="str">
        <f ca="1">IFERROR(VLOOKUP(B87,'銀行-TSS'!B:D,3,FALSE),"")</f>
        <v>哈里伯頓公司美元配息債券 5% 2045/11/15</v>
      </c>
      <c r="F87" s="1745" t="str">
        <f ca="1">IFERROR(VLOOKUP(B87,'銀行-TSS'!B:E,4,FALSE),"")</f>
        <v>A3 / BBB+ / WD</v>
      </c>
      <c r="G87" s="1747">
        <f ca="1">IFERROR(VLOOKUP(B87,'銀行-TSS'!B:G,6,FALSE),"")</f>
        <v>21.37</v>
      </c>
      <c r="H87" s="1748">
        <f ca="1">IFERROR(VLOOKUP(B87,'銀行-TSS'!B:H,7,FALSE),"")</f>
        <v>0.05</v>
      </c>
      <c r="I87" s="1745" t="str">
        <f ca="1">IFERROR(IF(表格1[[#This Row],[配息頻率]]=0,"",CHOOSE(表格1[[#This Row],[配息頻率]],MONTH(J87),IF(MONTH(J87)&lt;=6,CONCATENATE(MONTH(J87)," / ",MONTH(J87)+6),CONCATENATE(MONTH(J87)-6," / ",MONTH(J87))),0,"2 / 4 / 8 / 11")),"")</f>
        <v>5 / 11</v>
      </c>
      <c r="J87" s="1749" t="str">
        <f ca="1">IFERROR(VLOOKUP(B87,'銀行-TSS'!B:P,15,FALSE),"")</f>
        <v>2024/11/15</v>
      </c>
      <c r="K87" s="1750">
        <f ca="1">IFERROR(VLOOKUP(表格1[[#This Row],[商品
代碼]],'銀行-TSS'!B:I,8,FALSE),"")</f>
        <v>2</v>
      </c>
      <c r="L87" s="1747">
        <f ca="1">IFERROR(VLOOKUP(B87,'銀行-TSS'!B:K,10,FALSE),"")</f>
        <v>94.77</v>
      </c>
      <c r="M87" s="1745" t="str">
        <f ca="1">IF(表格1[[#This Row],[含息申購
參考價]]&gt;100,"溢價",IF(表格1[[#This Row],[含息申購
參考價]]&lt;100,"折價","平價"))</f>
        <v>折價</v>
      </c>
      <c r="N87" s="1751">
        <f ca="1">IFERROR(VLOOKUP(B87,'銀行-TSS'!B:M,12,FALSE),"")</f>
        <v>5.4699999999999999E-2</v>
      </c>
      <c r="O87" s="1752">
        <f ca="1">IFERROR(VLOOKUP(表格1[[#This Row],[商品
代碼]],'銀行-TSS'!B:AJ,35,FALSE),"")</f>
        <v>0</v>
      </c>
      <c r="P87" s="1753">
        <f ca="1">IFERROR(VLOOKUP(表格1[[#This Row],[商品
代碼]],'銀行-TSS'!B:AE,30,FALSE),"")</f>
        <v>5.4800000000000001E-2</v>
      </c>
      <c r="Q87" s="1749" t="str">
        <f ca="1">IFERROR(IF(VLOOKUP(表格1[[#This Row],[商品
代碼]],'銀行-TSS'!B:AM,38,FALSE)="#N/A Field Not Applicable","",VLOOKUP(表格1[[#This Row],[商品
代碼]],'銀行-TSS'!B:AM,38,FALSE)),"")</f>
        <v>2045/5/15</v>
      </c>
      <c r="R87" s="1749" t="str">
        <f ca="1">IFERROR(VLOOKUP(表格1[[#This Row],[商品
代碼]],'銀行-TSS'!B:AH,33,FALSE),"")</f>
        <v>美元(USD)</v>
      </c>
      <c r="S87" s="1754">
        <f ca="1">IFERROR(VLOOKUP(B87,'銀行-TSS'!B:N,13,FALSE),"")</f>
        <v>10000</v>
      </c>
      <c r="T87" s="1754" t="str">
        <f ca="1">VLOOKUP(表格1[[#This Row],[商品
代碼]],'銀行-TSS'!B:AI,34,FALSE)</f>
        <v>自由選清單</v>
      </c>
      <c r="U87" s="1755" t="str">
        <f ca="1">IFERROR(VLOOKUP(B87,'銀行-TSS'!B:Q,16,FALSE),"")</f>
        <v>能源</v>
      </c>
      <c r="V87" s="1755" t="str">
        <f ca="1">IFERROR(VLOOKUP(表格1[[#This Row],[商品
代碼]],'銀行-TSS'!B:AG,32,FALSE),"")</f>
        <v>固定</v>
      </c>
      <c r="W87" s="1756" t="str">
        <f ca="1">IFERROR(IFERROR(VLOOKUP(表格1[[#This Row],[商品
代碼]],'3_是否下架'!A:B,2,FALSE),VLOOKUP(表格1[[#This Row],[商品
代碼]],'銀行-TSS'!B:AK,36,FALSE)),"")</f>
        <v>需查詢</v>
      </c>
      <c r="Y87" s="400"/>
      <c r="Z87" s="400"/>
      <c r="AA87" s="401"/>
    </row>
    <row r="88" spans="2:27" s="399" customFormat="1" ht="24.75" customHeight="1">
      <c r="B88" s="1745" t="s">
        <v>1802</v>
      </c>
      <c r="C88" s="1745" t="str">
        <f ca="1">IFERROR(VLOOKUP(表格1[[#This Row],[商品
代碼]],'銀行-TSS'!B:V,21,FALSE),"")</f>
        <v>(NPI)非專投</v>
      </c>
      <c r="D88" s="1746" t="str">
        <f>IFERROR(VLOOKUP(表格1[[#This Row],[商品
代碼]],bond!B:F,5,FALSE),"")</f>
        <v>US654106AE35</v>
      </c>
      <c r="E88" s="1746" t="str">
        <f ca="1">IFERROR(VLOOKUP(B88,'銀行-TSS'!B:D,3,FALSE),"")</f>
        <v>NIKE公司美元配息債券 3.875% 2045/11/1</v>
      </c>
      <c r="F88" s="1745" t="str">
        <f ca="1">IFERROR(VLOOKUP(B88,'銀行-TSS'!B:E,4,FALSE),"")</f>
        <v>A1 / AA- / -</v>
      </c>
      <c r="G88" s="1747">
        <f ca="1">IFERROR(VLOOKUP(B88,'銀行-TSS'!B:G,6,FALSE),"")</f>
        <v>21.33</v>
      </c>
      <c r="H88" s="1748">
        <f ca="1">IFERROR(VLOOKUP(B88,'銀行-TSS'!B:H,7,FALSE),"")</f>
        <v>3.875E-2</v>
      </c>
      <c r="I88" s="1745" t="str">
        <f ca="1">IFERROR(IF(表格1[[#This Row],[配息頻率]]=0,"",CHOOSE(表格1[[#This Row],[配息頻率]],MONTH(J88),IF(MONTH(J88)&lt;=6,CONCATENATE(MONTH(J88)," / ",MONTH(J88)+6),CONCATENATE(MONTH(J88)-6," / ",MONTH(J88))),0,"2 / 4 / 8 / 11")),"")</f>
        <v>5 / 11</v>
      </c>
      <c r="J88" s="1749" t="str">
        <f ca="1">IFERROR(VLOOKUP(B88,'銀行-TSS'!B:P,15,FALSE),"")</f>
        <v>2024/11/1</v>
      </c>
      <c r="K88" s="1750">
        <f ca="1">IFERROR(VLOOKUP(表格1[[#This Row],[商品
代碼]],'銀行-TSS'!B:I,8,FALSE),"")</f>
        <v>2</v>
      </c>
      <c r="L88" s="1747">
        <f ca="1">IFERROR(VLOOKUP(B88,'銀行-TSS'!B:K,10,FALSE),"")</f>
        <v>84.56</v>
      </c>
      <c r="M88" s="1745" t="str">
        <f ca="1">IF(表格1[[#This Row],[含息申購
參考價]]&gt;100,"溢價",IF(表格1[[#This Row],[含息申購
參考價]]&lt;100,"折價","平價"))</f>
        <v>折價</v>
      </c>
      <c r="N88" s="1751">
        <f ca="1">IFERROR(VLOOKUP(B88,'銀行-TSS'!B:M,12,FALSE),"")</f>
        <v>5.1200000000000002E-2</v>
      </c>
      <c r="O88" s="1752">
        <f ca="1">IFERROR(VLOOKUP(表格1[[#This Row],[商品
代碼]],'銀行-TSS'!B:AJ,35,FALSE),"")</f>
        <v>0</v>
      </c>
      <c r="P88" s="1753">
        <f ca="1">IFERROR(VLOOKUP(表格1[[#This Row],[商品
代碼]],'銀行-TSS'!B:AE,30,FALSE),"")</f>
        <v>5.1400000000000001E-2</v>
      </c>
      <c r="Q88" s="1749" t="str">
        <f ca="1">IFERROR(IF(VLOOKUP(表格1[[#This Row],[商品
代碼]],'銀行-TSS'!B:AM,38,FALSE)="#N/A Field Not Applicable","",VLOOKUP(表格1[[#This Row],[商品
代碼]],'銀行-TSS'!B:AM,38,FALSE)),"")</f>
        <v>2045/5/1</v>
      </c>
      <c r="R88" s="1749" t="str">
        <f ca="1">IFERROR(VLOOKUP(表格1[[#This Row],[商品
代碼]],'銀行-TSS'!B:AH,33,FALSE),"")</f>
        <v>美元(USD)</v>
      </c>
      <c r="S88" s="1754">
        <f ca="1">IFERROR(VLOOKUP(B88,'銀行-TSS'!B:N,13,FALSE),"")</f>
        <v>10000</v>
      </c>
      <c r="T88" s="1754" t="str">
        <f ca="1">VLOOKUP(表格1[[#This Row],[商品
代碼]],'銀行-TSS'!B:AI,34,FALSE)</f>
        <v>自由選清單</v>
      </c>
      <c r="U88" s="1755" t="str">
        <f ca="1">IFERROR(VLOOKUP(B88,'銀行-TSS'!B:Q,16,FALSE),"")</f>
        <v>非核心消費</v>
      </c>
      <c r="V88" s="1755" t="str">
        <f ca="1">IFERROR(VLOOKUP(表格1[[#This Row],[商品
代碼]],'銀行-TSS'!B:AG,32,FALSE),"")</f>
        <v>固定</v>
      </c>
      <c r="W88" s="1756" t="str">
        <f ca="1">IFERROR(IFERROR(VLOOKUP(表格1[[#This Row],[商品
代碼]],'3_是否下架'!A:B,2,FALSE),VLOOKUP(表格1[[#This Row],[商品
代碼]],'銀行-TSS'!B:AK,36,FALSE)),"")</f>
        <v>有</v>
      </c>
      <c r="Y88" s="400"/>
      <c r="Z88" s="400"/>
      <c r="AA88" s="401"/>
    </row>
    <row r="89" spans="2:27" s="399" customFormat="1" ht="24.75" customHeight="1">
      <c r="B89" s="1745" t="s">
        <v>630</v>
      </c>
      <c r="C89" s="1745" t="str">
        <f ca="1">IFERROR(VLOOKUP(表格1[[#This Row],[商品
代碼]],'銀行-TSS'!B:V,21,FALSE),"")</f>
        <v>(PI)專投</v>
      </c>
      <c r="D89" s="1746" t="str">
        <f>IFERROR(VLOOKUP(表格1[[#This Row],[商品
代碼]],bond!B:F,5,FALSE),"")</f>
        <v>US42824CAY57</v>
      </c>
      <c r="E89" s="1746" t="str">
        <f ca="1">IFERROR(VLOOKUP(B89,'銀行-TSS'!B:D,3,FALSE),"")</f>
        <v>惠普企業公司美元配息債券  6.35% 2045/10/15</v>
      </c>
      <c r="F89" s="1745" t="str">
        <f ca="1">IFERROR(VLOOKUP(B89,'銀行-TSS'!B:E,4,FALSE),"")</f>
        <v>Baa2 / BBB / BBB+</v>
      </c>
      <c r="G89" s="1747">
        <f ca="1">IFERROR(VLOOKUP(B89,'銀行-TSS'!B:G,6,FALSE),"")</f>
        <v>21.29</v>
      </c>
      <c r="H89" s="1748">
        <f ca="1">IFERROR(VLOOKUP(B89,'銀行-TSS'!B:H,7,FALSE),"")</f>
        <v>6.3500000000000001E-2</v>
      </c>
      <c r="I89" s="1745" t="str">
        <f ca="1">IFERROR(IF(表格1[[#This Row],[配息頻率]]=0,"",CHOOSE(表格1[[#This Row],[配息頻率]],MONTH(J89),IF(MONTH(J89)&lt;=6,CONCATENATE(MONTH(J89)," / ",MONTH(J89)+6),CONCATENATE(MONTH(J89)-6," / ",MONTH(J89))),0,"2 / 4 / 8 / 11")),"")</f>
        <v>4 / 10</v>
      </c>
      <c r="J89" s="1749" t="str">
        <f ca="1">IFERROR(VLOOKUP(B89,'銀行-TSS'!B:P,15,FALSE),"")</f>
        <v>2024/10/15</v>
      </c>
      <c r="K89" s="1750">
        <f ca="1">IFERROR(VLOOKUP(表格1[[#This Row],[商品
代碼]],'銀行-TSS'!B:I,8,FALSE),"")</f>
        <v>2</v>
      </c>
      <c r="L89" s="1747">
        <f ca="1">IFERROR(VLOOKUP(B89,'銀行-TSS'!B:K,10,FALSE),"")</f>
        <v>110.29</v>
      </c>
      <c r="M89" s="1745" t="str">
        <f ca="1">IF(表格1[[#This Row],[含息申購
參考價]]&gt;100,"溢價",IF(表格1[[#This Row],[含息申購
參考價]]&lt;100,"折價","平價"))</f>
        <v>溢價</v>
      </c>
      <c r="N89" s="1751">
        <f ca="1">IFERROR(VLOOKUP(B89,'銀行-TSS'!B:M,12,FALSE),"")</f>
        <v>5.62E-2</v>
      </c>
      <c r="O89" s="1752">
        <f ca="1">IFERROR(VLOOKUP(表格1[[#This Row],[商品
代碼]],'銀行-TSS'!B:AJ,35,FALSE),"")</f>
        <v>0</v>
      </c>
      <c r="P89" s="1753">
        <f ca="1">IFERROR(VLOOKUP(表格1[[#This Row],[商品
代碼]],'銀行-TSS'!B:AE,30,FALSE),"")</f>
        <v>5.62E-2</v>
      </c>
      <c r="Q89" s="1749" t="str">
        <f ca="1">IFERROR(IF(VLOOKUP(表格1[[#This Row],[商品
代碼]],'銀行-TSS'!B:AM,38,FALSE)="#N/A Field Not Applicable","",VLOOKUP(表格1[[#This Row],[商品
代碼]],'銀行-TSS'!B:AM,38,FALSE)),"")</f>
        <v>2045/4/15</v>
      </c>
      <c r="R89" s="1749" t="str">
        <f ca="1">IFERROR(VLOOKUP(表格1[[#This Row],[商品
代碼]],'銀行-TSS'!B:AH,33,FALSE),"")</f>
        <v>美元(USD)</v>
      </c>
      <c r="S89" s="1754">
        <f ca="1">IFERROR(VLOOKUP(B89,'銀行-TSS'!B:N,13,FALSE),"")</f>
        <v>10000</v>
      </c>
      <c r="T89" s="1754" t="str">
        <f ca="1">VLOOKUP(表格1[[#This Row],[商品
代碼]],'銀行-TSS'!B:AI,34,FALSE)</f>
        <v>自由選清單</v>
      </c>
      <c r="U89" s="1755" t="str">
        <f ca="1">IFERROR(VLOOKUP(B89,'銀行-TSS'!B:Q,16,FALSE),"")</f>
        <v>科技</v>
      </c>
      <c r="V89" s="1755" t="str">
        <f ca="1">IFERROR(VLOOKUP(表格1[[#This Row],[商品
代碼]],'銀行-TSS'!B:AG,32,FALSE),"")</f>
        <v>固定</v>
      </c>
      <c r="W89" s="1756" t="str">
        <f ca="1">IFERROR(IFERROR(VLOOKUP(表格1[[#This Row],[商品
代碼]],'3_是否下架'!A:B,2,FALSE),VLOOKUP(表格1[[#This Row],[商品
代碼]],'銀行-TSS'!B:AK,36,FALSE)),"")</f>
        <v>有</v>
      </c>
      <c r="Y89" s="400"/>
      <c r="Z89" s="400"/>
      <c r="AA89" s="401"/>
    </row>
    <row r="90" spans="2:27" s="399" customFormat="1" ht="24.75" customHeight="1">
      <c r="B90" s="1745" t="s">
        <v>601</v>
      </c>
      <c r="C90" s="1745" t="str">
        <f ca="1">IFERROR(VLOOKUP(表格1[[#This Row],[商品
代碼]],'銀行-TSS'!B:V,21,FALSE),"")</f>
        <v>(PI)專投</v>
      </c>
      <c r="D90" s="1746" t="str">
        <f>IFERROR(VLOOKUP(表格1[[#This Row],[商品
代碼]],bond!B:F,5,FALSE),"")</f>
        <v>XS1291352711</v>
      </c>
      <c r="E90" s="1746" t="str">
        <f ca="1">IFERROR(VLOOKUP(B90,'銀行-TSS'!B:D,3,FALSE),"")</f>
        <v>西班牙國際銀行英國控股公司美元配息債券 5.625% 2045/9/15</v>
      </c>
      <c r="F90" s="1745" t="str">
        <f ca="1">IFERROR(VLOOKUP(B90,'銀行-TSS'!B:E,4,FALSE),"")</f>
        <v>Baa2 / BB+ / BBB+</v>
      </c>
      <c r="G90" s="1747">
        <f ca="1">IFERROR(VLOOKUP(B90,'銀行-TSS'!B:G,6,FALSE),"")</f>
        <v>21.2</v>
      </c>
      <c r="H90" s="1748">
        <f ca="1">IFERROR(VLOOKUP(B90,'銀行-TSS'!B:H,7,FALSE),"")</f>
        <v>5.6250000000000001E-2</v>
      </c>
      <c r="I90" s="1745" t="str">
        <f ca="1">IFERROR(IF(表格1[[#This Row],[配息頻率]]=0,"",CHOOSE(表格1[[#This Row],[配息頻率]],MONTH(J90),IF(MONTH(J90)&lt;=6,CONCATENATE(MONTH(J90)," / ",MONTH(J90)+6),CONCATENATE(MONTH(J90)-6," / ",MONTH(J90))),0,"2 / 4 / 8 / 11")),"")</f>
        <v>3 / 9</v>
      </c>
      <c r="J90" s="1749" t="str">
        <f ca="1">IFERROR(VLOOKUP(B90,'銀行-TSS'!B:P,15,FALSE),"")</f>
        <v>2024/9/15</v>
      </c>
      <c r="K90" s="1750">
        <f ca="1">IFERROR(VLOOKUP(表格1[[#This Row],[商品
代碼]],'銀行-TSS'!B:I,8,FALSE),"")</f>
        <v>2</v>
      </c>
      <c r="L90" s="1747">
        <f ca="1">IFERROR(VLOOKUP(B90,'銀行-TSS'!B:K,10,FALSE),"")</f>
        <v>89.85</v>
      </c>
      <c r="M90" s="1745" t="str">
        <f ca="1">IF(表格1[[#This Row],[含息申購
參考價]]&gt;100,"溢價",IF(表格1[[#This Row],[含息申購
參考價]]&lt;100,"折價","平價"))</f>
        <v>折價</v>
      </c>
      <c r="N90" s="1751">
        <f ca="1">IFERROR(VLOOKUP(B90,'銀行-TSS'!B:M,12,FALSE),"")</f>
        <v>6.6799999999999998E-2</v>
      </c>
      <c r="O90" s="1752">
        <f ca="1">IFERROR(VLOOKUP(表格1[[#This Row],[商品
代碼]],'銀行-TSS'!B:AJ,35,FALSE),"")</f>
        <v>0</v>
      </c>
      <c r="P90" s="1753" t="str">
        <f ca="1">IFERROR(VLOOKUP(表格1[[#This Row],[商品
代碼]],'銀行-TSS'!B:AE,30,FALSE),"")</f>
        <v xml:space="preserve"> </v>
      </c>
      <c r="Q90" s="1749" t="str">
        <f ca="1">IFERROR(IF(VLOOKUP(表格1[[#This Row],[商品
代碼]],'銀行-TSS'!B:AM,38,FALSE)="#N/A Field Not Applicable","",VLOOKUP(表格1[[#This Row],[商品
代碼]],'銀行-TSS'!B:AM,38,FALSE)),"")</f>
        <v/>
      </c>
      <c r="R90" s="1749" t="str">
        <f ca="1">IFERROR(VLOOKUP(表格1[[#This Row],[商品
代碼]],'銀行-TSS'!B:AH,33,FALSE),"")</f>
        <v>美元(USD)</v>
      </c>
      <c r="S90" s="1754">
        <f ca="1">IFERROR(VLOOKUP(B90,'銀行-TSS'!B:N,13,FALSE),"")</f>
        <v>200000</v>
      </c>
      <c r="T90" s="1754" t="str">
        <f ca="1">VLOOKUP(表格1[[#This Row],[商品
代碼]],'銀行-TSS'!B:AI,34,FALSE)</f>
        <v>自由選清單</v>
      </c>
      <c r="U90" s="1755" t="str">
        <f ca="1">IFERROR(VLOOKUP(B90,'銀行-TSS'!B:Q,16,FALSE),"")</f>
        <v>金融</v>
      </c>
      <c r="V90" s="1755" t="str">
        <f ca="1">IFERROR(VLOOKUP(表格1[[#This Row],[商品
代碼]],'銀行-TSS'!B:AG,32,FALSE),"")</f>
        <v>固定</v>
      </c>
      <c r="W90" s="1756" t="str">
        <f>IFERROR(IFERROR(VLOOKUP(表格1[[#This Row],[商品
代碼]],'3_是否下架'!A:B,2,FALSE),VLOOKUP(表格1[[#This Row],[商品
代碼]],'銀行-TSS'!B:AK,36,FALSE)),"")</f>
        <v>已下架</v>
      </c>
      <c r="Y90" s="400"/>
      <c r="Z90" s="400"/>
      <c r="AA90" s="401"/>
    </row>
    <row r="91" spans="2:27" s="399" customFormat="1" ht="24.75" customHeight="1">
      <c r="B91" s="1745" t="s">
        <v>824</v>
      </c>
      <c r="C91" s="1745" t="str">
        <f ca="1">IFERROR(VLOOKUP(表格1[[#This Row],[商品
代碼]],'銀行-TSS'!B:V,21,FALSE),"")</f>
        <v>(PI)專投</v>
      </c>
      <c r="D91" s="1746" t="str">
        <f>IFERROR(VLOOKUP(表格1[[#This Row],[商品
代碼]],bond!B:F,5,FALSE),"")</f>
        <v>US06738EAJ47</v>
      </c>
      <c r="E91" s="1746" t="str">
        <f ca="1">IFERROR(VLOOKUP(B91,'銀行-TSS'!B:D,3,FALSE),"")</f>
        <v>巴克萊集團美元配息債券 5.25% 2045/8/17</v>
      </c>
      <c r="F91" s="1745" t="str">
        <f ca="1">IFERROR(VLOOKUP(B91,'銀行-TSS'!B:E,4,FALSE),"")</f>
        <v>Baa1 / BBB+ / A</v>
      </c>
      <c r="G91" s="1747">
        <f ca="1">IFERROR(VLOOKUP(B91,'銀行-TSS'!B:G,6,FALSE),"")</f>
        <v>21.13</v>
      </c>
      <c r="H91" s="1748">
        <f ca="1">IFERROR(VLOOKUP(B91,'銀行-TSS'!B:H,7,FALSE),"")</f>
        <v>5.2499999999999998E-2</v>
      </c>
      <c r="I91" s="1745" t="str">
        <f ca="1">IFERROR(IF(表格1[[#This Row],[配息頻率]]=0,"",CHOOSE(表格1[[#This Row],[配息頻率]],MONTH(J91),IF(MONTH(J91)&lt;=6,CONCATENATE(MONTH(J91)," / ",MONTH(J91)+6),CONCATENATE(MONTH(J91)-6," / ",MONTH(J91))),0,"2 / 4 / 8 / 11")),"")</f>
        <v>2 / 8</v>
      </c>
      <c r="J91" s="1749" t="str">
        <f ca="1">IFERROR(VLOOKUP(B91,'銀行-TSS'!B:P,15,FALSE),"")</f>
        <v>2024/8/17</v>
      </c>
      <c r="K91" s="1750">
        <f ca="1">IFERROR(VLOOKUP(表格1[[#This Row],[商品
代碼]],'銀行-TSS'!B:I,8,FALSE),"")</f>
        <v>2</v>
      </c>
      <c r="L91" s="1747">
        <f ca="1">IFERROR(VLOOKUP(B91,'銀行-TSS'!B:K,10,FALSE),"")</f>
        <v>100.79</v>
      </c>
      <c r="M91" s="1745" t="str">
        <f ca="1">IF(表格1[[#This Row],[含息申購
參考價]]&gt;100,"溢價",IF(表格1[[#This Row],[含息申購
參考價]]&lt;100,"折價","平價"))</f>
        <v>溢價</v>
      </c>
      <c r="N91" s="1751">
        <f ca="1">IFERROR(VLOOKUP(B91,'銀行-TSS'!B:M,12,FALSE),"")</f>
        <v>5.3400000000000003E-2</v>
      </c>
      <c r="O91" s="1752">
        <f ca="1">IFERROR(VLOOKUP(表格1[[#This Row],[商品
代碼]],'銀行-TSS'!B:AJ,35,FALSE),"")</f>
        <v>0</v>
      </c>
      <c r="P91" s="1753" t="str">
        <f ca="1">IFERROR(VLOOKUP(表格1[[#This Row],[商品
代碼]],'銀行-TSS'!B:AE,30,FALSE),"")</f>
        <v xml:space="preserve"> </v>
      </c>
      <c r="Q91" s="1749" t="str">
        <f ca="1">IFERROR(IF(VLOOKUP(表格1[[#This Row],[商品
代碼]],'銀行-TSS'!B:AM,38,FALSE)="#N/A Field Not Applicable","",VLOOKUP(表格1[[#This Row],[商品
代碼]],'銀行-TSS'!B:AM,38,FALSE)),"")</f>
        <v/>
      </c>
      <c r="R91" s="1749" t="str">
        <f ca="1">IFERROR(VLOOKUP(表格1[[#This Row],[商品
代碼]],'銀行-TSS'!B:AH,33,FALSE),"")</f>
        <v>美元(USD)</v>
      </c>
      <c r="S91" s="1754">
        <f ca="1">IFERROR(VLOOKUP(B91,'銀行-TSS'!B:N,13,FALSE),"")</f>
        <v>200000</v>
      </c>
      <c r="T91" s="1754" t="str">
        <f ca="1">VLOOKUP(表格1[[#This Row],[商品
代碼]],'銀行-TSS'!B:AI,34,FALSE)</f>
        <v>自由選清單</v>
      </c>
      <c r="U91" s="1755" t="str">
        <f ca="1">IFERROR(VLOOKUP(B91,'銀行-TSS'!B:Q,16,FALSE),"")</f>
        <v>金融</v>
      </c>
      <c r="V91" s="1755" t="str">
        <f ca="1">IFERROR(VLOOKUP(表格1[[#This Row],[商品
代碼]],'銀行-TSS'!B:AG,32,FALSE),"")</f>
        <v>固定</v>
      </c>
      <c r="W91" s="1756" t="str">
        <f ca="1">IFERROR(IFERROR(VLOOKUP(表格1[[#This Row],[商品
代碼]],'3_是否下架'!A:B,2,FALSE),VLOOKUP(表格1[[#This Row],[商品
代碼]],'銀行-TSS'!B:AK,36,FALSE)),"")</f>
        <v>有</v>
      </c>
      <c r="Y91" s="400"/>
      <c r="Z91" s="400"/>
      <c r="AA91" s="401"/>
    </row>
    <row r="92" spans="2:27" s="399" customFormat="1" ht="24.75" customHeight="1">
      <c r="B92" s="1745" t="s">
        <v>665</v>
      </c>
      <c r="C92" s="1745" t="str">
        <f ca="1">IFERROR(VLOOKUP(表格1[[#This Row],[商品
代碼]],'銀行-TSS'!B:V,21,FALSE),"")</f>
        <v>(NPI)非專投</v>
      </c>
      <c r="D92" s="1746" t="str">
        <f>IFERROR(VLOOKUP(表格1[[#This Row],[商品
代碼]],bond!B:F,5,FALSE),"")</f>
        <v>US458140AT73</v>
      </c>
      <c r="E92" s="1746" t="str">
        <f ca="1">IFERROR(VLOOKUP(B92,'銀行-TSS'!B:D,3,FALSE),"")</f>
        <v>英特爾公司美元配息債券 4.9% 2045/7/29</v>
      </c>
      <c r="F92" s="1745" t="str">
        <f ca="1">IFERROR(VLOOKUP(B92,'銀行-TSS'!B:E,4,FALSE),"")</f>
        <v>A3 / A- / A-</v>
      </c>
      <c r="G92" s="1747">
        <f ca="1">IFERROR(VLOOKUP(B92,'銀行-TSS'!B:G,6,FALSE),"")</f>
        <v>21.07</v>
      </c>
      <c r="H92" s="1748">
        <f ca="1">IFERROR(VLOOKUP(B92,'銀行-TSS'!B:H,7,FALSE),"")</f>
        <v>4.9000000000000002E-2</v>
      </c>
      <c r="I92" s="1745" t="str">
        <f ca="1">IFERROR(IF(表格1[[#This Row],[配息頻率]]=0,"",CHOOSE(表格1[[#This Row],[配息頻率]],MONTH(J92),IF(MONTH(J92)&lt;=6,CONCATENATE(MONTH(J92)," / ",MONTH(J92)+6),CONCATENATE(MONTH(J92)-6," / ",MONTH(J92))),0,"2 / 4 / 8 / 11")),"")</f>
        <v>1 / 7</v>
      </c>
      <c r="J92" s="1749" t="str">
        <f ca="1">IFERROR(VLOOKUP(B92,'銀行-TSS'!B:P,15,FALSE),"")</f>
        <v>2024/7/29</v>
      </c>
      <c r="K92" s="1750">
        <f ca="1">IFERROR(VLOOKUP(表格1[[#This Row],[商品
代碼]],'銀行-TSS'!B:I,8,FALSE),"")</f>
        <v>2</v>
      </c>
      <c r="L92" s="1747">
        <f ca="1">IFERROR(VLOOKUP(B92,'銀行-TSS'!B:K,10,FALSE),"")</f>
        <v>97.24</v>
      </c>
      <c r="M92" s="1745" t="str">
        <f ca="1">IF(表格1[[#This Row],[含息申購
參考價]]&gt;100,"溢價",IF(表格1[[#This Row],[含息申購
參考價]]&lt;100,"折價","平價"))</f>
        <v>折價</v>
      </c>
      <c r="N92" s="1751">
        <f ca="1">IFERROR(VLOOKUP(B92,'銀行-TSS'!B:M,12,FALSE),"")</f>
        <v>5.28E-2</v>
      </c>
      <c r="O92" s="1752">
        <f ca="1">IFERROR(VLOOKUP(表格1[[#This Row],[商品
代碼]],'銀行-TSS'!B:AJ,35,FALSE),"")</f>
        <v>0</v>
      </c>
      <c r="P92" s="1753">
        <f ca="1">IFERROR(VLOOKUP(表格1[[#This Row],[商品
代碼]],'銀行-TSS'!B:AE,30,FALSE),"")</f>
        <v>5.2900000000000003E-2</v>
      </c>
      <c r="Q92" s="1749" t="str">
        <f ca="1">IFERROR(IF(VLOOKUP(表格1[[#This Row],[商品
代碼]],'銀行-TSS'!B:AM,38,FALSE)="#N/A Field Not Applicable","",VLOOKUP(表格1[[#This Row],[商品
代碼]],'銀行-TSS'!B:AM,38,FALSE)),"")</f>
        <v>2045/1/29</v>
      </c>
      <c r="R92" s="1749" t="str">
        <f ca="1">IFERROR(VLOOKUP(表格1[[#This Row],[商品
代碼]],'銀行-TSS'!B:AH,33,FALSE),"")</f>
        <v>美元(USD)</v>
      </c>
      <c r="S92" s="1754">
        <f ca="1">IFERROR(VLOOKUP(B92,'銀行-TSS'!B:N,13,FALSE),"")</f>
        <v>10000</v>
      </c>
      <c r="T92" s="1754" t="str">
        <f ca="1">VLOOKUP(表格1[[#This Row],[商品
代碼]],'銀行-TSS'!B:AI,34,FALSE)</f>
        <v>自由選清單</v>
      </c>
      <c r="U92" s="1755" t="str">
        <f ca="1">IFERROR(VLOOKUP(B92,'銀行-TSS'!B:Q,16,FALSE),"")</f>
        <v>科技</v>
      </c>
      <c r="V92" s="1755" t="str">
        <f ca="1">IFERROR(VLOOKUP(表格1[[#This Row],[商品
代碼]],'銀行-TSS'!B:AG,32,FALSE),"")</f>
        <v>固定</v>
      </c>
      <c r="W92" s="1756" t="str">
        <f ca="1">IFERROR(IFERROR(VLOOKUP(表格1[[#This Row],[商品
代碼]],'3_是否下架'!A:B,2,FALSE),VLOOKUP(表格1[[#This Row],[商品
代碼]],'銀行-TSS'!B:AK,36,FALSE)),"")</f>
        <v>有</v>
      </c>
      <c r="Y92" s="400"/>
      <c r="Z92" s="400"/>
      <c r="AA92" s="401"/>
    </row>
    <row r="93" spans="2:27" s="399" customFormat="1" ht="24.75" customHeight="1">
      <c r="B93" s="1745" t="s">
        <v>703</v>
      </c>
      <c r="C93" s="1745" t="str">
        <f ca="1">IFERROR(VLOOKUP(表格1[[#This Row],[商品
代碼]],'銀行-TSS'!B:V,21,FALSE),"")</f>
        <v>(PI)專投</v>
      </c>
      <c r="D93" s="1746" t="str">
        <f>IFERROR(VLOOKUP(表格1[[#This Row],[商品
代碼]],bond!B:F,5,FALSE),"")</f>
        <v>US00206RBK77</v>
      </c>
      <c r="E93" s="1746" t="str">
        <f ca="1">IFERROR(VLOOKUP(B93,'銀行-TSS'!B:D,3,FALSE),"")</f>
        <v>AT&amp;T公司美元配息債券 4.35% 2045/6/15</v>
      </c>
      <c r="F93" s="1745" t="str">
        <f ca="1">IFERROR(VLOOKUP(B93,'銀行-TSS'!B:E,4,FALSE),"")</f>
        <v>Baa2 / BBB / BBB+</v>
      </c>
      <c r="G93" s="1747">
        <f ca="1">IFERROR(VLOOKUP(B93,'銀行-TSS'!B:G,6,FALSE),"")</f>
        <v>20.95</v>
      </c>
      <c r="H93" s="1748">
        <f ca="1">IFERROR(VLOOKUP(B93,'銀行-TSS'!B:H,7,FALSE),"")</f>
        <v>4.3499999999999997E-2</v>
      </c>
      <c r="I93" s="1745" t="str">
        <f ca="1">IFERROR(IF(表格1[[#This Row],[配息頻率]]=0,"",CHOOSE(表格1[[#This Row],[配息頻率]],MONTH(J93),IF(MONTH(J93)&lt;=6,CONCATENATE(MONTH(J93)," / ",MONTH(J93)+6),CONCATENATE(MONTH(J93)-6," / ",MONTH(J93))),0,"2 / 4 / 8 / 11")),"")</f>
        <v>6 / 12</v>
      </c>
      <c r="J93" s="1749" t="str">
        <f ca="1">IFERROR(VLOOKUP(B93,'銀行-TSS'!B:P,15,FALSE),"")</f>
        <v>2024/12/15</v>
      </c>
      <c r="K93" s="1750">
        <f ca="1">IFERROR(VLOOKUP(表格1[[#This Row],[商品
代碼]],'銀行-TSS'!B:I,8,FALSE),"")</f>
        <v>2</v>
      </c>
      <c r="L93" s="1747">
        <f ca="1">IFERROR(VLOOKUP(B93,'銀行-TSS'!B:K,10,FALSE),"")</f>
        <v>86.94</v>
      </c>
      <c r="M93" s="1745" t="str">
        <f ca="1">IF(表格1[[#This Row],[含息申購
參考價]]&gt;100,"溢價",IF(表格1[[#This Row],[含息申購
參考價]]&lt;100,"折價","平價"))</f>
        <v>折價</v>
      </c>
      <c r="N93" s="1751">
        <f ca="1">IFERROR(VLOOKUP(B93,'銀行-TSS'!B:M,12,FALSE),"")</f>
        <v>5.4199999999999998E-2</v>
      </c>
      <c r="O93" s="1752">
        <f ca="1">IFERROR(VLOOKUP(表格1[[#This Row],[商品
代碼]],'銀行-TSS'!B:AJ,35,FALSE),"")</f>
        <v>0</v>
      </c>
      <c r="P93" s="1753">
        <f ca="1">IFERROR(VLOOKUP(表格1[[#This Row],[商品
代碼]],'銀行-TSS'!B:AE,30,FALSE),"")</f>
        <v>5.4300000000000001E-2</v>
      </c>
      <c r="Q93" s="1749" t="str">
        <f ca="1">IFERROR(IF(VLOOKUP(表格1[[#This Row],[商品
代碼]],'銀行-TSS'!B:AM,38,FALSE)="#N/A Field Not Applicable","",VLOOKUP(表格1[[#This Row],[商品
代碼]],'銀行-TSS'!B:AM,38,FALSE)),"")</f>
        <v>2044/12/15</v>
      </c>
      <c r="R93" s="1749" t="str">
        <f ca="1">IFERROR(VLOOKUP(表格1[[#This Row],[商品
代碼]],'銀行-TSS'!B:AH,33,FALSE),"")</f>
        <v>美元(USD)</v>
      </c>
      <c r="S93" s="1754">
        <f ca="1">IFERROR(VLOOKUP(B93,'銀行-TSS'!B:N,13,FALSE),"")</f>
        <v>10000</v>
      </c>
      <c r="T93" s="1754" t="str">
        <f ca="1">VLOOKUP(表格1[[#This Row],[商品
代碼]],'銀行-TSS'!B:AI,34,FALSE)</f>
        <v>自由選清單</v>
      </c>
      <c r="U93" s="1755" t="str">
        <f ca="1">IFERROR(VLOOKUP(B93,'銀行-TSS'!B:Q,16,FALSE),"")</f>
        <v>通訊</v>
      </c>
      <c r="V93" s="1755" t="str">
        <f ca="1">IFERROR(VLOOKUP(表格1[[#This Row],[商品
代碼]],'銀行-TSS'!B:AG,32,FALSE),"")</f>
        <v>固定</v>
      </c>
      <c r="W93" s="1756" t="str">
        <f ca="1">IFERROR(IFERROR(VLOOKUP(表格1[[#This Row],[商品
代碼]],'3_是否下架'!A:B,2,FALSE),VLOOKUP(表格1[[#This Row],[商品
代碼]],'銀行-TSS'!B:AK,36,FALSE)),"")</f>
        <v>有</v>
      </c>
      <c r="Y93" s="400"/>
      <c r="Z93" s="400"/>
      <c r="AA93" s="401"/>
    </row>
    <row r="94" spans="2:27" s="399" customFormat="1" ht="24.75" customHeight="1">
      <c r="B94" s="1745" t="s">
        <v>1027</v>
      </c>
      <c r="C94" s="1745" t="str">
        <f ca="1">IFERROR(VLOOKUP(表格1[[#This Row],[商品
代碼]],'銀行-TSS'!B:V,21,FALSE),"")</f>
        <v>(PI)專投</v>
      </c>
      <c r="D94" s="1746" t="str">
        <f>IFERROR(VLOOKUP(表格1[[#This Row],[商品
代碼]],bond!B:F,5,FALSE),"")</f>
        <v>US855244AH20</v>
      </c>
      <c r="E94" s="1746" t="str">
        <f ca="1">IFERROR(VLOOKUP(B94,'銀行-TSS'!B:D,3,FALSE),"")</f>
        <v>星巴克公司美元配息債券 4.3% 2045/6/15</v>
      </c>
      <c r="F94" s="1745" t="str">
        <f ca="1">IFERROR(VLOOKUP(B94,'銀行-TSS'!B:E,4,FALSE),"")</f>
        <v>Baa1 / BBB+ / WD</v>
      </c>
      <c r="G94" s="1747">
        <f ca="1">IFERROR(VLOOKUP(B94,'銀行-TSS'!B:G,6,FALSE),"")</f>
        <v>20.95</v>
      </c>
      <c r="H94" s="1748">
        <f ca="1">IFERROR(VLOOKUP(B94,'銀行-TSS'!B:H,7,FALSE),"")</f>
        <v>4.2999999999999997E-2</v>
      </c>
      <c r="I94" s="1745" t="str">
        <f ca="1">IFERROR(IF(表格1[[#This Row],[配息頻率]]=0,"",CHOOSE(表格1[[#This Row],[配息頻率]],MONTH(J94),IF(MONTH(J94)&lt;=6,CONCATENATE(MONTH(J94)," / ",MONTH(J94)+6),CONCATENATE(MONTH(J94)-6," / ",MONTH(J94))),0,"2 / 4 / 8 / 11")),"")</f>
        <v>6 / 12</v>
      </c>
      <c r="J94" s="1749" t="str">
        <f ca="1">IFERROR(VLOOKUP(B94,'銀行-TSS'!B:P,15,FALSE),"")</f>
        <v>2024/12/15</v>
      </c>
      <c r="K94" s="1750">
        <f ca="1">IFERROR(VLOOKUP(表格1[[#This Row],[商品
代碼]],'銀行-TSS'!B:I,8,FALSE),"")</f>
        <v>2</v>
      </c>
      <c r="L94" s="1747">
        <f ca="1">IFERROR(VLOOKUP(B94,'銀行-TSS'!B:K,10,FALSE),"")</f>
        <v>86.41</v>
      </c>
      <c r="M94" s="1745" t="str">
        <f ca="1">IF(表格1[[#This Row],[含息申購
參考價]]&gt;100,"溢價",IF(表格1[[#This Row],[含息申購
參考價]]&lt;100,"折價","平價"))</f>
        <v>折價</v>
      </c>
      <c r="N94" s="1751">
        <f ca="1">IFERROR(VLOOKUP(B94,'銀行-TSS'!B:M,12,FALSE),"")</f>
        <v>5.4100000000000002E-2</v>
      </c>
      <c r="O94" s="1752">
        <f ca="1">IFERROR(VLOOKUP(表格1[[#This Row],[商品
代碼]],'銀行-TSS'!B:AJ,35,FALSE),"")</f>
        <v>0</v>
      </c>
      <c r="P94" s="1753">
        <f ca="1">IFERROR(VLOOKUP(表格1[[#This Row],[商品
代碼]],'銀行-TSS'!B:AE,30,FALSE),"")</f>
        <v>5.4199999999999998E-2</v>
      </c>
      <c r="Q94" s="1749" t="str">
        <f ca="1">IFERROR(IF(VLOOKUP(表格1[[#This Row],[商品
代碼]],'銀行-TSS'!B:AM,38,FALSE)="#N/A Field Not Applicable","",VLOOKUP(表格1[[#This Row],[商品
代碼]],'銀行-TSS'!B:AM,38,FALSE)),"")</f>
        <v>2044/12/15</v>
      </c>
      <c r="R94" s="1749" t="str">
        <f ca="1">IFERROR(VLOOKUP(表格1[[#This Row],[商品
代碼]],'銀行-TSS'!B:AH,33,FALSE),"")</f>
        <v>美元(USD)</v>
      </c>
      <c r="S94" s="1754">
        <f ca="1">IFERROR(VLOOKUP(B94,'銀行-TSS'!B:N,13,FALSE),"")</f>
        <v>10000</v>
      </c>
      <c r="T94" s="1754" t="str">
        <f ca="1">VLOOKUP(表格1[[#This Row],[商品
代碼]],'銀行-TSS'!B:AI,34,FALSE)</f>
        <v>自由選清單</v>
      </c>
      <c r="U94" s="1755" t="str">
        <f ca="1">IFERROR(VLOOKUP(B94,'銀行-TSS'!B:Q,16,FALSE),"")</f>
        <v>非核心消費</v>
      </c>
      <c r="V94" s="1755" t="str">
        <f ca="1">IFERROR(VLOOKUP(表格1[[#This Row],[商品
代碼]],'銀行-TSS'!B:AG,32,FALSE),"")</f>
        <v>固定</v>
      </c>
      <c r="W94" s="1756" t="str">
        <f ca="1">IFERROR(IFERROR(VLOOKUP(表格1[[#This Row],[商品
代碼]],'3_是否下架'!A:B,2,FALSE),VLOOKUP(表格1[[#This Row],[商品
代碼]],'銀行-TSS'!B:AK,36,FALSE)),"")</f>
        <v>需查詢</v>
      </c>
      <c r="Y94" s="400"/>
      <c r="Z94" s="400"/>
      <c r="AA94" s="401"/>
    </row>
    <row r="95" spans="2:27" s="399" customFormat="1" ht="24.75" customHeight="1">
      <c r="B95" s="1745" t="s">
        <v>1125</v>
      </c>
      <c r="C95" s="1745" t="str">
        <f ca="1">IFERROR(VLOOKUP(表格1[[#This Row],[商品
代碼]],'銀行-TSS'!B:V,21,FALSE),"")</f>
        <v>(NPI)非專投</v>
      </c>
      <c r="D95" s="1746" t="str">
        <f>IFERROR(VLOOKUP(表格1[[#This Row],[商品
代碼]],bond!B:F,5,FALSE),"")</f>
        <v>US747525AK99</v>
      </c>
      <c r="E95" s="1746" t="str">
        <f ca="1">IFERROR(VLOOKUP(B95,'銀行-TSS'!B:D,3,FALSE),"")</f>
        <v>高通公司美元配息債券  4.8% 2045/5/20</v>
      </c>
      <c r="F95" s="1745" t="str">
        <f ca="1">IFERROR(VLOOKUP(B95,'銀行-TSS'!B:E,4,FALSE),"")</f>
        <v>A2 / A / -</v>
      </c>
      <c r="G95" s="1747">
        <f ca="1">IFERROR(VLOOKUP(B95,'銀行-TSS'!B:G,6,FALSE),"")</f>
        <v>20.88</v>
      </c>
      <c r="H95" s="1748">
        <f ca="1">IFERROR(VLOOKUP(B95,'銀行-TSS'!B:H,7,FALSE),"")</f>
        <v>4.8000000000000001E-2</v>
      </c>
      <c r="I95" s="1745" t="str">
        <f ca="1">IFERROR(IF(表格1[[#This Row],[配息頻率]]=0,"",CHOOSE(表格1[[#This Row],[配息頻率]],MONTH(J95),IF(MONTH(J95)&lt;=6,CONCATENATE(MONTH(J95)," / ",MONTH(J95)+6),CONCATENATE(MONTH(J95)-6," / ",MONTH(J95))),0,"2 / 4 / 8 / 11")),"")</f>
        <v>5 / 11</v>
      </c>
      <c r="J95" s="1749" t="str">
        <f ca="1">IFERROR(VLOOKUP(B95,'銀行-TSS'!B:P,15,FALSE),"")</f>
        <v>2024/11/20</v>
      </c>
      <c r="K95" s="1750">
        <f ca="1">IFERROR(VLOOKUP(表格1[[#This Row],[商品
代碼]],'銀行-TSS'!B:I,8,FALSE),"")</f>
        <v>2</v>
      </c>
      <c r="L95" s="1747">
        <f ca="1">IFERROR(VLOOKUP(B95,'銀行-TSS'!B:K,10,FALSE),"")</f>
        <v>96.73</v>
      </c>
      <c r="M95" s="1745" t="str">
        <f ca="1">IF(表格1[[#This Row],[含息申購
參考價]]&gt;100,"溢價",IF(表格1[[#This Row],[含息申購
參考價]]&lt;100,"折價","平價"))</f>
        <v>折價</v>
      </c>
      <c r="N95" s="1751">
        <f ca="1">IFERROR(VLOOKUP(B95,'銀行-TSS'!B:M,12,FALSE),"")</f>
        <v>5.0999999999999997E-2</v>
      </c>
      <c r="O95" s="1752">
        <f ca="1">IFERROR(VLOOKUP(表格1[[#This Row],[商品
代碼]],'銀行-TSS'!B:AJ,35,FALSE),"")</f>
        <v>0</v>
      </c>
      <c r="P95" s="1753">
        <f ca="1">IFERROR(VLOOKUP(表格1[[#This Row],[商品
代碼]],'銀行-TSS'!B:AE,30,FALSE),"")</f>
        <v>5.0999999999999997E-2</v>
      </c>
      <c r="Q95" s="1749" t="str">
        <f ca="1">IFERROR(IF(VLOOKUP(表格1[[#This Row],[商品
代碼]],'銀行-TSS'!B:AM,38,FALSE)="#N/A Field Not Applicable","",VLOOKUP(表格1[[#This Row],[商品
代碼]],'銀行-TSS'!B:AM,38,FALSE)),"")</f>
        <v>2044/11/20</v>
      </c>
      <c r="R95" s="1749" t="str">
        <f ca="1">IFERROR(VLOOKUP(表格1[[#This Row],[商品
代碼]],'銀行-TSS'!B:AH,33,FALSE),"")</f>
        <v>美元(USD)</v>
      </c>
      <c r="S95" s="1754">
        <f ca="1">IFERROR(VLOOKUP(B95,'銀行-TSS'!B:N,13,FALSE),"")</f>
        <v>10000</v>
      </c>
      <c r="T95" s="1754" t="str">
        <f ca="1">VLOOKUP(表格1[[#This Row],[商品
代碼]],'銀行-TSS'!B:AI,34,FALSE)</f>
        <v>自由選清單</v>
      </c>
      <c r="U95" s="1755" t="str">
        <f ca="1">IFERROR(VLOOKUP(B95,'銀行-TSS'!B:Q,16,FALSE),"")</f>
        <v>科技</v>
      </c>
      <c r="V95" s="1755" t="str">
        <f ca="1">IFERROR(VLOOKUP(表格1[[#This Row],[商品
代碼]],'銀行-TSS'!B:AG,32,FALSE),"")</f>
        <v>固定</v>
      </c>
      <c r="W95" s="1756" t="str">
        <f ca="1">IFERROR(IFERROR(VLOOKUP(表格1[[#This Row],[商品
代碼]],'3_是否下架'!A:B,2,FALSE),VLOOKUP(表格1[[#This Row],[商品
代碼]],'銀行-TSS'!B:AK,36,FALSE)),"")</f>
        <v>有</v>
      </c>
      <c r="Y95" s="400"/>
      <c r="Z95" s="400"/>
      <c r="AA95" s="401"/>
    </row>
    <row r="96" spans="2:27" s="399" customFormat="1" ht="24.75" customHeight="1">
      <c r="B96" s="1745" t="s">
        <v>871</v>
      </c>
      <c r="C96" s="1745" t="str">
        <f ca="1">IFERROR(VLOOKUP(表格1[[#This Row],[商品
代碼]],'銀行-TSS'!B:V,21,FALSE),"")</f>
        <v>(NPI)非專投</v>
      </c>
      <c r="D96" s="1746" t="str">
        <f>IFERROR(VLOOKUP(表格1[[#This Row],[商品
代碼]],bond!B:F,5,FALSE),"")</f>
        <v>US00287YAS81</v>
      </c>
      <c r="E96" s="1746" t="str">
        <f ca="1">IFERROR(VLOOKUP(B96,'銀行-TSS'!B:D,3,FALSE),"")</f>
        <v>艾伯維藥品有限公司美元配息債券 4.7% 2045/5/14</v>
      </c>
      <c r="F96" s="1745" t="str">
        <f ca="1">IFERROR(VLOOKUP(B96,'銀行-TSS'!B:E,4,FALSE),"")</f>
        <v>A3 / A- / -</v>
      </c>
      <c r="G96" s="1747">
        <f ca="1">IFERROR(VLOOKUP(B96,'銀行-TSS'!B:G,6,FALSE),"")</f>
        <v>20.87</v>
      </c>
      <c r="H96" s="1748">
        <f ca="1">IFERROR(VLOOKUP(B96,'銀行-TSS'!B:H,7,FALSE),"")</f>
        <v>4.7E-2</v>
      </c>
      <c r="I96" s="1745" t="str">
        <f ca="1">IFERROR(IF(表格1[[#This Row],[配息頻率]]=0,"",CHOOSE(表格1[[#This Row],[配息頻率]],MONTH(J96),IF(MONTH(J96)&lt;=6,CONCATENATE(MONTH(J96)," / ",MONTH(J96)+6),CONCATENATE(MONTH(J96)-6," / ",MONTH(J96))),0,"2 / 4 / 8 / 11")),"")</f>
        <v>5 / 11</v>
      </c>
      <c r="J96" s="1749" t="str">
        <f ca="1">IFERROR(VLOOKUP(B96,'銀行-TSS'!B:P,15,FALSE),"")</f>
        <v>2024/11/14</v>
      </c>
      <c r="K96" s="1750">
        <f ca="1">IFERROR(VLOOKUP(表格1[[#This Row],[商品
代碼]],'銀行-TSS'!B:I,8,FALSE),"")</f>
        <v>2</v>
      </c>
      <c r="L96" s="1747">
        <f ca="1">IFERROR(VLOOKUP(B96,'銀行-TSS'!B:K,10,FALSE),"")</f>
        <v>94.66</v>
      </c>
      <c r="M96" s="1745" t="str">
        <f ca="1">IF(表格1[[#This Row],[含息申購
參考價]]&gt;100,"溢價",IF(表格1[[#This Row],[含息申購
參考價]]&lt;100,"折價","平價"))</f>
        <v>折價</v>
      </c>
      <c r="N96" s="1751">
        <f ca="1">IFERROR(VLOOKUP(B96,'銀行-TSS'!B:M,12,FALSE),"")</f>
        <v>5.1700000000000003E-2</v>
      </c>
      <c r="O96" s="1752">
        <f ca="1">IFERROR(VLOOKUP(表格1[[#This Row],[商品
代碼]],'銀行-TSS'!B:AJ,35,FALSE),"")</f>
        <v>0</v>
      </c>
      <c r="P96" s="1753">
        <f ca="1">IFERROR(VLOOKUP(表格1[[#This Row],[商品
代碼]],'銀行-TSS'!B:AE,30,FALSE),"")</f>
        <v>5.1799999999999999E-2</v>
      </c>
      <c r="Q96" s="1749" t="str">
        <f ca="1">IFERROR(IF(VLOOKUP(表格1[[#This Row],[商品
代碼]],'銀行-TSS'!B:AM,38,FALSE)="#N/A Field Not Applicable","",VLOOKUP(表格1[[#This Row],[商品
代碼]],'銀行-TSS'!B:AM,38,FALSE)),"")</f>
        <v>2044/11/14</v>
      </c>
      <c r="R96" s="1749" t="str">
        <f ca="1">IFERROR(VLOOKUP(表格1[[#This Row],[商品
代碼]],'銀行-TSS'!B:AH,33,FALSE),"")</f>
        <v>美元(USD)</v>
      </c>
      <c r="S96" s="1754">
        <f ca="1">IFERROR(VLOOKUP(B96,'銀行-TSS'!B:N,13,FALSE),"")</f>
        <v>10000</v>
      </c>
      <c r="T96" s="1754" t="str">
        <f ca="1">VLOOKUP(表格1[[#This Row],[商品
代碼]],'銀行-TSS'!B:AI,34,FALSE)</f>
        <v>自由選清單</v>
      </c>
      <c r="U96" s="1755" t="str">
        <f ca="1">IFERROR(VLOOKUP(B96,'銀行-TSS'!B:Q,16,FALSE),"")</f>
        <v>醫療保健</v>
      </c>
      <c r="V96" s="1755" t="str">
        <f ca="1">IFERROR(VLOOKUP(表格1[[#This Row],[商品
代碼]],'銀行-TSS'!B:AG,32,FALSE),"")</f>
        <v>固定</v>
      </c>
      <c r="W96" s="1756" t="str">
        <f ca="1">IFERROR(IFERROR(VLOOKUP(表格1[[#This Row],[商品
代碼]],'3_是否下架'!A:B,2,FALSE),VLOOKUP(表格1[[#This Row],[商品
代碼]],'銀行-TSS'!B:AK,36,FALSE)),"")</f>
        <v>有</v>
      </c>
      <c r="Y96" s="400"/>
      <c r="Z96" s="400"/>
      <c r="AA96" s="401"/>
    </row>
    <row r="97" spans="2:27" s="399" customFormat="1" ht="24.75" customHeight="1">
      <c r="B97" s="1745" t="s">
        <v>3849</v>
      </c>
      <c r="C97" s="1745" t="str">
        <f ca="1">IFERROR(VLOOKUP(表格1[[#This Row],[商品
代碼]],'銀行-TSS'!B:V,21,FALSE),"")</f>
        <v>(PI)專投</v>
      </c>
      <c r="D97" s="1746" t="str">
        <f>IFERROR(VLOOKUP(表格1[[#This Row],[商品
代碼]],bond!B:F,5,FALSE),"")</f>
        <v>US94974BGK08</v>
      </c>
      <c r="E97" s="1746" t="str">
        <f ca="1">IFERROR(VLOOKUP(B97,'銀行-TSS'!B:D,3,FALSE),"")</f>
        <v>富國銀行美元配息債券 3.9% 2045/05/01</v>
      </c>
      <c r="F97" s="1745" t="str">
        <f ca="1">IFERROR(VLOOKUP(B97,'銀行-TSS'!B:E,4,FALSE),"")</f>
        <v>A1 / BBB+ / A+</v>
      </c>
      <c r="G97" s="1747">
        <f ca="1">IFERROR(VLOOKUP(B97,'銀行-TSS'!B:G,6,FALSE),"")</f>
        <v>20.83</v>
      </c>
      <c r="H97" s="1748">
        <f ca="1">IFERROR(VLOOKUP(B97,'銀行-TSS'!B:H,7,FALSE),"")</f>
        <v>3.9E-2</v>
      </c>
      <c r="I97" s="1745" t="str">
        <f ca="1">IFERROR(IF(表格1[[#This Row],[配息頻率]]=0,"",CHOOSE(表格1[[#This Row],[配息頻率]],MONTH(J97),IF(MONTH(J97)&lt;=6,CONCATENATE(MONTH(J97)," / ",MONTH(J97)+6),CONCATENATE(MONTH(J97)-6," / ",MONTH(J97))),0,"2 / 4 / 8 / 11")),"")</f>
        <v>5 / 11</v>
      </c>
      <c r="J97" s="1749" t="str">
        <f ca="1">IFERROR(VLOOKUP(B97,'銀行-TSS'!B:P,15,FALSE),"")</f>
        <v>2024/11/1</v>
      </c>
      <c r="K97" s="1750">
        <f ca="1">IFERROR(VLOOKUP(表格1[[#This Row],[商品
代碼]],'銀行-TSS'!B:I,8,FALSE),"")</f>
        <v>2</v>
      </c>
      <c r="L97" s="1747">
        <f ca="1">IFERROR(VLOOKUP(B97,'銀行-TSS'!B:K,10,FALSE),"")</f>
        <v>83.96</v>
      </c>
      <c r="M97" s="1745" t="str">
        <f ca="1">IF(表格1[[#This Row],[含息申購
參考價]]&gt;100,"溢價",IF(表格1[[#This Row],[含息申購
參考價]]&lt;100,"折價","平價"))</f>
        <v>折價</v>
      </c>
      <c r="N97" s="1751">
        <f ca="1">IFERROR(VLOOKUP(B97,'銀行-TSS'!B:M,12,FALSE),"")</f>
        <v>5.2200000000000003E-2</v>
      </c>
      <c r="O97" s="1752">
        <f ca="1">IFERROR(VLOOKUP(表格1[[#This Row],[商品
代碼]],'銀行-TSS'!B:AJ,35,FALSE),"")</f>
        <v>0</v>
      </c>
      <c r="P97" s="1753" t="str">
        <f ca="1">IFERROR(VLOOKUP(表格1[[#This Row],[商品
代碼]],'銀行-TSS'!B:AE,30,FALSE),"")</f>
        <v xml:space="preserve"> </v>
      </c>
      <c r="Q97" s="1749" t="str">
        <f ca="1">IFERROR(IF(VLOOKUP(表格1[[#This Row],[商品
代碼]],'銀行-TSS'!B:AM,38,FALSE)="#N/A Field Not Applicable","",VLOOKUP(表格1[[#This Row],[商品
代碼]],'銀行-TSS'!B:AM,38,FALSE)),"")</f>
        <v/>
      </c>
      <c r="R97" s="1749" t="str">
        <f ca="1">IFERROR(VLOOKUP(表格1[[#This Row],[商品
代碼]],'銀行-TSS'!B:AH,33,FALSE),"")</f>
        <v>美元(USD)</v>
      </c>
      <c r="S97" s="1754">
        <f ca="1">IFERROR(VLOOKUP(B97,'銀行-TSS'!B:N,13,FALSE),"")</f>
        <v>10000</v>
      </c>
      <c r="T97" s="1754" t="str">
        <f ca="1">VLOOKUP(表格1[[#This Row],[商品
代碼]],'銀行-TSS'!B:AI,34,FALSE)</f>
        <v>自由選清單</v>
      </c>
      <c r="U97" s="1755" t="str">
        <f ca="1">IFERROR(VLOOKUP(B97,'銀行-TSS'!B:Q,16,FALSE),"")</f>
        <v>金融</v>
      </c>
      <c r="V97" s="1755" t="str">
        <f ca="1">IFERROR(VLOOKUP(表格1[[#This Row],[商品
代碼]],'銀行-TSS'!B:AG,32,FALSE),"")</f>
        <v>固定</v>
      </c>
      <c r="W97" s="1756" t="str">
        <f ca="1">IFERROR(IFERROR(VLOOKUP(表格1[[#This Row],[商品
代碼]],'3_是否下架'!A:B,2,FALSE),VLOOKUP(表格1[[#This Row],[商品
代碼]],'銀行-TSS'!B:AK,36,FALSE)),"")</f>
        <v>有</v>
      </c>
      <c r="Y97" s="400"/>
      <c r="Z97" s="400"/>
      <c r="AA97" s="401"/>
    </row>
    <row r="98" spans="2:27" s="399" customFormat="1" ht="24.75" customHeight="1">
      <c r="B98" s="1745" t="s">
        <v>1299</v>
      </c>
      <c r="C98" s="1745" t="str">
        <f ca="1">IFERROR(VLOOKUP(表格1[[#This Row],[商品
代碼]],'銀行-TSS'!B:V,21,FALSE),"")</f>
        <v>(NPI)非專投</v>
      </c>
      <c r="D98" s="1746" t="str">
        <f>IFERROR(VLOOKUP(表格1[[#This Row],[商品
代碼]],bond!B:F,5,FALSE),"")</f>
        <v>US59156RBN70</v>
      </c>
      <c r="E98" s="1746" t="str">
        <f ca="1">IFERROR(VLOOKUP(B98,'銀行-TSS'!B:D,3,FALSE),"")</f>
        <v>大都會人壽美元配息債券 4.05% 2045/3/1</v>
      </c>
      <c r="F98" s="1745" t="str">
        <f ca="1">IFERROR(VLOOKUP(B98,'銀行-TSS'!B:E,4,FALSE),"")</f>
        <v>A3 / A- / A-</v>
      </c>
      <c r="G98" s="1747">
        <f ca="1">IFERROR(VLOOKUP(B98,'銀行-TSS'!B:G,6,FALSE),"")</f>
        <v>20.66</v>
      </c>
      <c r="H98" s="1748">
        <f ca="1">IFERROR(VLOOKUP(B98,'銀行-TSS'!B:H,7,FALSE),"")</f>
        <v>4.0500000000000001E-2</v>
      </c>
      <c r="I98" s="1745" t="str">
        <f ca="1">IFERROR(IF(表格1[[#This Row],[配息頻率]]=0,"",CHOOSE(表格1[[#This Row],[配息頻率]],MONTH(J98),IF(MONTH(J98)&lt;=6,CONCATENATE(MONTH(J98)," / ",MONTH(J98)+6),CONCATENATE(MONTH(J98)-6," / ",MONTH(J98))),0,"2 / 4 / 8 / 11")),"")</f>
        <v>3 / 9</v>
      </c>
      <c r="J98" s="1749" t="str">
        <f ca="1">IFERROR(VLOOKUP(B98,'銀行-TSS'!B:P,15,FALSE),"")</f>
        <v>2024/9/1</v>
      </c>
      <c r="K98" s="1750">
        <f ca="1">IFERROR(VLOOKUP(表格1[[#This Row],[商品
代碼]],'銀行-TSS'!B:I,8,FALSE),"")</f>
        <v>2</v>
      </c>
      <c r="L98" s="1747">
        <f ca="1">IFERROR(VLOOKUP(B98,'銀行-TSS'!B:K,10,FALSE),"")</f>
        <v>84.8</v>
      </c>
      <c r="M98" s="1745" t="str">
        <f ca="1">IF(表格1[[#This Row],[含息申購
參考價]]&gt;100,"溢價",IF(表格1[[#This Row],[含息申購
參考價]]&lt;100,"折價","平價"))</f>
        <v>折價</v>
      </c>
      <c r="N98" s="1751">
        <f ca="1">IFERROR(VLOOKUP(B98,'銀行-TSS'!B:M,12,FALSE),"")</f>
        <v>5.3900000000000003E-2</v>
      </c>
      <c r="O98" s="1752">
        <f ca="1">IFERROR(VLOOKUP(表格1[[#This Row],[商品
代碼]],'銀行-TSS'!B:AJ,35,FALSE),"")</f>
        <v>0</v>
      </c>
      <c r="P98" s="1753" t="str">
        <f ca="1">IFERROR(VLOOKUP(表格1[[#This Row],[商品
代碼]],'銀行-TSS'!B:AE,30,FALSE),"")</f>
        <v xml:space="preserve"> </v>
      </c>
      <c r="Q98" s="1749" t="str">
        <f ca="1">IFERROR(IF(VLOOKUP(表格1[[#This Row],[商品
代碼]],'銀行-TSS'!B:AM,38,FALSE)="#N/A Field Not Applicable","",VLOOKUP(表格1[[#This Row],[商品
代碼]],'銀行-TSS'!B:AM,38,FALSE)),"")</f>
        <v/>
      </c>
      <c r="R98" s="1749" t="str">
        <f ca="1">IFERROR(VLOOKUP(表格1[[#This Row],[商品
代碼]],'銀行-TSS'!B:AH,33,FALSE),"")</f>
        <v>美元(USD)</v>
      </c>
      <c r="S98" s="1754">
        <f ca="1">IFERROR(VLOOKUP(B98,'銀行-TSS'!B:N,13,FALSE),"")</f>
        <v>10000</v>
      </c>
      <c r="T98" s="1754" t="str">
        <f ca="1">VLOOKUP(表格1[[#This Row],[商品
代碼]],'銀行-TSS'!B:AI,34,FALSE)</f>
        <v>自由選清單</v>
      </c>
      <c r="U98" s="1755" t="str">
        <f ca="1">IFERROR(VLOOKUP(B98,'銀行-TSS'!B:Q,16,FALSE),"")</f>
        <v>金融</v>
      </c>
      <c r="V98" s="1755" t="str">
        <f ca="1">IFERROR(VLOOKUP(表格1[[#This Row],[商品
代碼]],'銀行-TSS'!B:AG,32,FALSE),"")</f>
        <v>固定</v>
      </c>
      <c r="W98" s="1756" t="str">
        <f ca="1">IFERROR(IFERROR(VLOOKUP(表格1[[#This Row],[商品
代碼]],'3_是否下架'!A:B,2,FALSE),VLOOKUP(表格1[[#This Row],[商品
代碼]],'銀行-TSS'!B:AK,36,FALSE)),"")</f>
        <v>有</v>
      </c>
      <c r="Y98" s="400"/>
      <c r="Z98" s="400"/>
      <c r="AA98" s="401"/>
    </row>
    <row r="99" spans="2:27" s="399" customFormat="1" ht="24.75" customHeight="1">
      <c r="B99" s="1745" t="s">
        <v>1107</v>
      </c>
      <c r="C99" s="1745" t="str">
        <f ca="1">IFERROR(VLOOKUP(表格1[[#This Row],[商品
代碼]],'銀行-TSS'!B:V,21,FALSE),"")</f>
        <v>高資產</v>
      </c>
      <c r="D99" s="1746" t="str">
        <f>IFERROR(VLOOKUP(表格1[[#This Row],[商品
代碼]],bond!B:F,5,FALSE),"")</f>
        <v>US105756BW95</v>
      </c>
      <c r="E99" s="1746" t="str">
        <f ca="1">IFERROR(VLOOKUP(B99,'銀行-TSS'!B:D,3,FALSE),"")</f>
        <v>巴西政府公債美元配息債券 5% 2045/1/27</v>
      </c>
      <c r="F99" s="1745" t="str">
        <f ca="1">IFERROR(VLOOKUP(B99,'銀行-TSS'!B:E,4,FALSE),"")</f>
        <v>Ba2 / BB / BB</v>
      </c>
      <c r="G99" s="1747">
        <f ca="1">IFERROR(VLOOKUP(B99,'銀行-TSS'!B:G,6,FALSE),"")</f>
        <v>20.57</v>
      </c>
      <c r="H99" s="1748">
        <f ca="1">IFERROR(VLOOKUP(B99,'銀行-TSS'!B:H,7,FALSE),"")</f>
        <v>0.05</v>
      </c>
      <c r="I99" s="1745" t="str">
        <f ca="1">IFERROR(IF(表格1[[#This Row],[配息頻率]]=0,"",CHOOSE(表格1[[#This Row],[配息頻率]],MONTH(J99),IF(MONTH(J99)&lt;=6,CONCATENATE(MONTH(J99)," / ",MONTH(J99)+6),CONCATENATE(MONTH(J99)-6," / ",MONTH(J99))),0,"2 / 4 / 8 / 11")),"")</f>
        <v>1 / 7</v>
      </c>
      <c r="J99" s="1749" t="str">
        <f ca="1">IFERROR(VLOOKUP(B99,'銀行-TSS'!B:P,15,FALSE),"")</f>
        <v>2024/7/27</v>
      </c>
      <c r="K99" s="1750">
        <f ca="1">IFERROR(VLOOKUP(表格1[[#This Row],[商品
代碼]],'銀行-TSS'!B:I,8,FALSE),"")</f>
        <v>2</v>
      </c>
      <c r="L99" s="1747">
        <f ca="1">IFERROR(VLOOKUP(B99,'銀行-TSS'!B:K,10,FALSE),"")</f>
        <v>83.27</v>
      </c>
      <c r="M99" s="1745" t="str">
        <f ca="1">IF(表格1[[#This Row],[含息申購
參考價]]&gt;100,"溢價",IF(表格1[[#This Row],[含息申購
參考價]]&lt;100,"折價","平價"))</f>
        <v>折價</v>
      </c>
      <c r="N99" s="1751">
        <f ca="1">IFERROR(VLOOKUP(B99,'銀行-TSS'!B:M,12,FALSE),"")</f>
        <v>6.7000000000000004E-2</v>
      </c>
      <c r="O99" s="1752">
        <f ca="1">IFERROR(VLOOKUP(表格1[[#This Row],[商品
代碼]],'銀行-TSS'!B:AJ,35,FALSE),"")</f>
        <v>0</v>
      </c>
      <c r="P99" s="1753" t="str">
        <f ca="1">IFERROR(VLOOKUP(表格1[[#This Row],[商品
代碼]],'銀行-TSS'!B:AE,30,FALSE),"")</f>
        <v xml:space="preserve"> </v>
      </c>
      <c r="Q99" s="1749" t="str">
        <f ca="1">IFERROR(IF(VLOOKUP(表格1[[#This Row],[商品
代碼]],'銀行-TSS'!B:AM,38,FALSE)="#N/A Field Not Applicable","",VLOOKUP(表格1[[#This Row],[商品
代碼]],'銀行-TSS'!B:AM,38,FALSE)),"")</f>
        <v/>
      </c>
      <c r="R99" s="1749" t="str">
        <f ca="1">IFERROR(VLOOKUP(表格1[[#This Row],[商品
代碼]],'銀行-TSS'!B:AH,33,FALSE),"")</f>
        <v>美元(USD)</v>
      </c>
      <c r="S99" s="1754">
        <f ca="1">IFERROR(VLOOKUP(B99,'銀行-TSS'!B:N,13,FALSE),"")</f>
        <v>200000</v>
      </c>
      <c r="T99" s="1754" t="str">
        <f ca="1">VLOOKUP(表格1[[#This Row],[商品
代碼]],'銀行-TSS'!B:AI,34,FALSE)</f>
        <v>自由選清單</v>
      </c>
      <c r="U99" s="1755" t="str">
        <f ca="1">IFERROR(VLOOKUP(B99,'銀行-TSS'!B:Q,16,FALSE),"")</f>
        <v>政府</v>
      </c>
      <c r="V99" s="1755" t="str">
        <f ca="1">IFERROR(VLOOKUP(表格1[[#This Row],[商品
代碼]],'銀行-TSS'!B:AG,32,FALSE),"")</f>
        <v>固定</v>
      </c>
      <c r="W99" s="1756" t="str">
        <f ca="1">IFERROR(IFERROR(VLOOKUP(表格1[[#This Row],[商品
代碼]],'3_是否下架'!A:B,2,FALSE),VLOOKUP(表格1[[#This Row],[商品
代碼]],'銀行-TSS'!B:AK,36,FALSE)),"")</f>
        <v>有</v>
      </c>
      <c r="Y99" s="400"/>
      <c r="Z99" s="400"/>
      <c r="AA99" s="401"/>
    </row>
    <row r="100" spans="2:27" s="399" customFormat="1" ht="24.75" customHeight="1">
      <c r="B100" s="1745" t="s">
        <v>678</v>
      </c>
      <c r="C100" s="1745" t="str">
        <f ca="1">IFERROR(VLOOKUP(表格1[[#This Row],[商品
代碼]],'銀行-TSS'!B:V,21,FALSE),"")</f>
        <v>(NPI)非專投</v>
      </c>
      <c r="D100" s="1746" t="str">
        <f>IFERROR(VLOOKUP(表格1[[#This Row],[商品
代碼]],bond!B:F,5,FALSE),"")</f>
        <v>US023135AQ91</v>
      </c>
      <c r="E100" s="1746" t="str">
        <f ca="1">IFERROR(VLOOKUP(B100,'銀行-TSS'!B:D,3,FALSE),"")</f>
        <v>亞馬遜公司美元配息債券 4.95% 2044/12/5</v>
      </c>
      <c r="F100" s="1745" t="str">
        <f ca="1">IFERROR(VLOOKUP(B100,'銀行-TSS'!B:E,4,FALSE),"")</f>
        <v>A1 / AA / AA-</v>
      </c>
      <c r="G100" s="1747">
        <f ca="1">IFERROR(VLOOKUP(B100,'銀行-TSS'!B:G,6,FALSE),"")</f>
        <v>20.43</v>
      </c>
      <c r="H100" s="1748">
        <f ca="1">IFERROR(VLOOKUP(B100,'銀行-TSS'!B:H,7,FALSE),"")</f>
        <v>4.9500000000000002E-2</v>
      </c>
      <c r="I100" s="1745" t="str">
        <f ca="1">IFERROR(IF(表格1[[#This Row],[配息頻率]]=0,"",CHOOSE(表格1[[#This Row],[配息頻率]],MONTH(J100),IF(MONTH(J100)&lt;=6,CONCATENATE(MONTH(J100)," / ",MONTH(J100)+6),CONCATENATE(MONTH(J100)-6," / ",MONTH(J100))),0,"2 / 4 / 8 / 11")),"")</f>
        <v>6 / 12</v>
      </c>
      <c r="J100" s="1749" t="str">
        <f ca="1">IFERROR(VLOOKUP(B100,'銀行-TSS'!B:P,15,FALSE),"")</f>
        <v>2024/12/5</v>
      </c>
      <c r="K100" s="1750">
        <f ca="1">IFERROR(VLOOKUP(表格1[[#This Row],[商品
代碼]],'銀行-TSS'!B:I,8,FALSE),"")</f>
        <v>2</v>
      </c>
      <c r="L100" s="1747">
        <f ca="1">IFERROR(VLOOKUP(B100,'銀行-TSS'!B:K,10,FALSE),"")</f>
        <v>100.91</v>
      </c>
      <c r="M100" s="1745" t="str">
        <f ca="1">IF(表格1[[#This Row],[含息申購
參考價]]&gt;100,"溢價",IF(表格1[[#This Row],[含息申購
參考價]]&lt;100,"折價","平價"))</f>
        <v>溢價</v>
      </c>
      <c r="N100" s="1751">
        <f ca="1">IFERROR(VLOOKUP(B100,'銀行-TSS'!B:M,12,FALSE),"")</f>
        <v>4.9099999999999998E-2</v>
      </c>
      <c r="O100" s="1752">
        <f ca="1">IFERROR(VLOOKUP(表格1[[#This Row],[商品
代碼]],'銀行-TSS'!B:AJ,35,FALSE),"")</f>
        <v>0</v>
      </c>
      <c r="P100" s="1753">
        <f ca="1">IFERROR(VLOOKUP(表格1[[#This Row],[商品
代碼]],'銀行-TSS'!B:AE,30,FALSE),"")</f>
        <v>4.9099999999999998E-2</v>
      </c>
      <c r="Q100" s="1749" t="str">
        <f ca="1">IFERROR(IF(VLOOKUP(表格1[[#This Row],[商品
代碼]],'銀行-TSS'!B:AM,38,FALSE)="#N/A Field Not Applicable","",VLOOKUP(表格1[[#This Row],[商品
代碼]],'銀行-TSS'!B:AM,38,FALSE)),"")</f>
        <v>2044/6/5</v>
      </c>
      <c r="R100" s="1749" t="str">
        <f ca="1">IFERROR(VLOOKUP(表格1[[#This Row],[商品
代碼]],'銀行-TSS'!B:AH,33,FALSE),"")</f>
        <v>美元(USD)</v>
      </c>
      <c r="S100" s="1754">
        <f ca="1">IFERROR(VLOOKUP(B100,'銀行-TSS'!B:N,13,FALSE),"")</f>
        <v>2000</v>
      </c>
      <c r="T100" s="1754" t="str">
        <f ca="1">VLOOKUP(表格1[[#This Row],[商品
代碼]],'銀行-TSS'!B:AI,34,FALSE)</f>
        <v>自由選清單</v>
      </c>
      <c r="U100" s="1755" t="str">
        <f ca="1">IFERROR(VLOOKUP(B100,'銀行-TSS'!B:Q,16,FALSE),"")</f>
        <v>非核心消費</v>
      </c>
      <c r="V100" s="1755" t="str">
        <f ca="1">IFERROR(VLOOKUP(表格1[[#This Row],[商品
代碼]],'銀行-TSS'!B:AG,32,FALSE),"")</f>
        <v>固定</v>
      </c>
      <c r="W100" s="1756" t="str">
        <f ca="1">IFERROR(IFERROR(VLOOKUP(表格1[[#This Row],[商品
代碼]],'3_是否下架'!A:B,2,FALSE),VLOOKUP(表格1[[#This Row],[商品
代碼]],'銀行-TSS'!B:AK,36,FALSE)),"")</f>
        <v>有</v>
      </c>
      <c r="Y100" s="400"/>
      <c r="Z100" s="400"/>
      <c r="AA100" s="401"/>
    </row>
    <row r="101" spans="2:27" s="399" customFormat="1" ht="24.75" customHeight="1">
      <c r="B101" s="1745" t="s">
        <v>626</v>
      </c>
      <c r="C101" s="1745" t="str">
        <f ca="1">IFERROR(VLOOKUP(表格1[[#This Row],[商品
代碼]],'銀行-TSS'!B:V,21,FALSE),"")</f>
        <v>(PI)專投</v>
      </c>
      <c r="D101" s="1746" t="str">
        <f>IFERROR(VLOOKUP(表格1[[#This Row],[商品
代碼]],bond!B:F,5,FALSE),"")</f>
        <v>US00206RCG56</v>
      </c>
      <c r="E101" s="1746" t="str">
        <f ca="1">IFERROR(VLOOKUP(B101,'銀行-TSS'!B:D,3,FALSE),"")</f>
        <v>AT&amp;T公司美元配息債券 4.8% 2044/6/15</v>
      </c>
      <c r="F101" s="1745" t="str">
        <f ca="1">IFERROR(VLOOKUP(B101,'銀行-TSS'!B:E,4,FALSE),"")</f>
        <v>Baa2 / BBB / BBB+</v>
      </c>
      <c r="G101" s="1747">
        <f ca="1">IFERROR(VLOOKUP(B101,'銀行-TSS'!B:G,6,FALSE),"")</f>
        <v>19.95</v>
      </c>
      <c r="H101" s="1748">
        <f ca="1">IFERROR(VLOOKUP(B101,'銀行-TSS'!B:H,7,FALSE),"")</f>
        <v>4.8000000000000001E-2</v>
      </c>
      <c r="I101" s="1745" t="str">
        <f ca="1">IFERROR(IF(表格1[[#This Row],[配息頻率]]=0,"",CHOOSE(表格1[[#This Row],[配息頻率]],MONTH(J101),IF(MONTH(J101)&lt;=6,CONCATENATE(MONTH(J101)," / ",MONTH(J101)+6),CONCATENATE(MONTH(J101)-6," / ",MONTH(J101))),0,"2 / 4 / 8 / 11")),"")</f>
        <v>6 / 12</v>
      </c>
      <c r="J101" s="1749" t="str">
        <f ca="1">IFERROR(VLOOKUP(B101,'銀行-TSS'!B:P,15,FALSE),"")</f>
        <v>2024/12/15</v>
      </c>
      <c r="K101" s="1750">
        <f ca="1">IFERROR(VLOOKUP(表格1[[#This Row],[商品
代碼]],'銀行-TSS'!B:I,8,FALSE),"")</f>
        <v>2</v>
      </c>
      <c r="L101" s="1747">
        <f ca="1">IFERROR(VLOOKUP(B101,'銀行-TSS'!B:K,10,FALSE),"")</f>
        <v>91.06</v>
      </c>
      <c r="M101" s="1745" t="str">
        <f ca="1">IF(表格1[[#This Row],[含息申購
參考價]]&gt;100,"溢價",IF(表格1[[#This Row],[含息申購
參考價]]&lt;100,"折價","平價"))</f>
        <v>折價</v>
      </c>
      <c r="N101" s="1751">
        <f ca="1">IFERROR(VLOOKUP(B101,'銀行-TSS'!B:M,12,FALSE),"")</f>
        <v>5.57E-2</v>
      </c>
      <c r="O101" s="1752">
        <f ca="1">IFERROR(VLOOKUP(表格1[[#This Row],[商品
代碼]],'銀行-TSS'!B:AJ,35,FALSE),"")</f>
        <v>0</v>
      </c>
      <c r="P101" s="1753">
        <f ca="1">IFERROR(VLOOKUP(表格1[[#This Row],[商品
代碼]],'銀行-TSS'!B:AE,30,FALSE),"")</f>
        <v>5.5800000000000002E-2</v>
      </c>
      <c r="Q101" s="1749" t="str">
        <f ca="1">IFERROR(IF(VLOOKUP(表格1[[#This Row],[商品
代碼]],'銀行-TSS'!B:AM,38,FALSE)="#N/A Field Not Applicable","",VLOOKUP(表格1[[#This Row],[商品
代碼]],'銀行-TSS'!B:AM,38,FALSE)),"")</f>
        <v>2043/12/15</v>
      </c>
      <c r="R101" s="1749" t="str">
        <f ca="1">IFERROR(VLOOKUP(表格1[[#This Row],[商品
代碼]],'銀行-TSS'!B:AH,33,FALSE),"")</f>
        <v>美元(USD)</v>
      </c>
      <c r="S101" s="1754">
        <f ca="1">IFERROR(VLOOKUP(B101,'銀行-TSS'!B:N,13,FALSE),"")</f>
        <v>10000</v>
      </c>
      <c r="T101" s="1754" t="str">
        <f ca="1">VLOOKUP(表格1[[#This Row],[商品
代碼]],'銀行-TSS'!B:AI,34,FALSE)</f>
        <v>自由選清單</v>
      </c>
      <c r="U101" s="1755" t="str">
        <f ca="1">IFERROR(VLOOKUP(B101,'銀行-TSS'!B:Q,16,FALSE),"")</f>
        <v>通訊</v>
      </c>
      <c r="V101" s="1755" t="str">
        <f ca="1">IFERROR(VLOOKUP(表格1[[#This Row],[商品
代碼]],'銀行-TSS'!B:AG,32,FALSE),"")</f>
        <v>固定</v>
      </c>
      <c r="W101" s="1756" t="str">
        <f ca="1">IFERROR(IFERROR(VLOOKUP(表格1[[#This Row],[商品
代碼]],'3_是否下架'!A:B,2,FALSE),VLOOKUP(表格1[[#This Row],[商品
代碼]],'銀行-TSS'!B:AK,36,FALSE)),"")</f>
        <v>需查詢</v>
      </c>
      <c r="Y101" s="400"/>
      <c r="Z101" s="400"/>
      <c r="AA101" s="401"/>
    </row>
    <row r="102" spans="2:27" s="399" customFormat="1" ht="24.75" customHeight="1">
      <c r="B102" s="1745" t="s">
        <v>891</v>
      </c>
      <c r="C102" s="1745" t="str">
        <f ca="1">IFERROR(VLOOKUP(表格1[[#This Row],[商品
代碼]],'銀行-TSS'!B:V,21,FALSE),"")</f>
        <v>(PI)專投</v>
      </c>
      <c r="D102" s="1746" t="str">
        <f>IFERROR(VLOOKUP(表格1[[#This Row],[商品
代碼]],bond!B:F,5,FALSE),"")</f>
        <v>US418056AU19</v>
      </c>
      <c r="E102" s="1746" t="str">
        <f ca="1">IFERROR(VLOOKUP(B102,'銀行-TSS'!B:D,3,FALSE),"")</f>
        <v>孩之寶公司美元配息債券 5.1% 2044/5/15</v>
      </c>
      <c r="F102" s="1745" t="str">
        <f ca="1">IFERROR(VLOOKUP(B102,'銀行-TSS'!B:E,4,FALSE),"")</f>
        <v>Baa2 / BBB / BBB-</v>
      </c>
      <c r="G102" s="1747">
        <f ca="1">IFERROR(VLOOKUP(B102,'銀行-TSS'!B:G,6,FALSE),"")</f>
        <v>19.87</v>
      </c>
      <c r="H102" s="1748">
        <f ca="1">IFERROR(VLOOKUP(B102,'銀行-TSS'!B:H,7,FALSE),"")</f>
        <v>5.0999999999999997E-2</v>
      </c>
      <c r="I102" s="1745" t="str">
        <f ca="1">IFERROR(IF(表格1[[#This Row],[配息頻率]]=0,"",CHOOSE(表格1[[#This Row],[配息頻率]],MONTH(J102),IF(MONTH(J102)&lt;=6,CONCATENATE(MONTH(J102)," / ",MONTH(J102)+6),CONCATENATE(MONTH(J102)-6," / ",MONTH(J102))),0,"2 / 4 / 8 / 11")),"")</f>
        <v>5 / 11</v>
      </c>
      <c r="J102" s="1749" t="str">
        <f ca="1">IFERROR(VLOOKUP(B102,'銀行-TSS'!B:P,15,FALSE),"")</f>
        <v>2024/11/15</v>
      </c>
      <c r="K102" s="1750">
        <f ca="1">IFERROR(VLOOKUP(表格1[[#This Row],[商品
代碼]],'銀行-TSS'!B:I,8,FALSE),"")</f>
        <v>2</v>
      </c>
      <c r="L102" s="1747">
        <f ca="1">IFERROR(VLOOKUP(B102,'銀行-TSS'!B:K,10,FALSE),"")</f>
        <v>90.38</v>
      </c>
      <c r="M102" s="1745" t="str">
        <f ca="1">IF(表格1[[#This Row],[含息申購
參考價]]&gt;100,"溢價",IF(表格1[[#This Row],[含息申購
參考價]]&lt;100,"折價","平價"))</f>
        <v>折價</v>
      </c>
      <c r="N102" s="1751">
        <f ca="1">IFERROR(VLOOKUP(B102,'銀行-TSS'!B:M,12,FALSE),"")</f>
        <v>5.9900000000000002E-2</v>
      </c>
      <c r="O102" s="1752">
        <f ca="1">IFERROR(VLOOKUP(表格1[[#This Row],[商品
代碼]],'銀行-TSS'!B:AJ,35,FALSE),"")</f>
        <v>0</v>
      </c>
      <c r="P102" s="1753">
        <f ca="1">IFERROR(VLOOKUP(表格1[[#This Row],[商品
代碼]],'銀行-TSS'!B:AE,30,FALSE),"")</f>
        <v>6.0100000000000001E-2</v>
      </c>
      <c r="Q102" s="1749" t="str">
        <f ca="1">IFERROR(IF(VLOOKUP(表格1[[#This Row],[商品
代碼]],'銀行-TSS'!B:AM,38,FALSE)="#N/A Field Not Applicable","",VLOOKUP(表格1[[#This Row],[商品
代碼]],'銀行-TSS'!B:AM,38,FALSE)),"")</f>
        <v>2043/11/15</v>
      </c>
      <c r="R102" s="1749" t="str">
        <f ca="1">IFERROR(VLOOKUP(表格1[[#This Row],[商品
代碼]],'銀行-TSS'!B:AH,33,FALSE),"")</f>
        <v>美元(USD)</v>
      </c>
      <c r="S102" s="1754">
        <f ca="1">IFERROR(VLOOKUP(B102,'銀行-TSS'!B:N,13,FALSE),"")</f>
        <v>10000</v>
      </c>
      <c r="T102" s="1754" t="str">
        <f ca="1">VLOOKUP(表格1[[#This Row],[商品
代碼]],'銀行-TSS'!B:AI,34,FALSE)</f>
        <v>自由選清單</v>
      </c>
      <c r="U102" s="1755" t="str">
        <f ca="1">IFERROR(VLOOKUP(B102,'銀行-TSS'!B:Q,16,FALSE),"")</f>
        <v>非核心消費</v>
      </c>
      <c r="V102" s="1755" t="str">
        <f ca="1">IFERROR(VLOOKUP(表格1[[#This Row],[商品
代碼]],'銀行-TSS'!B:AG,32,FALSE),"")</f>
        <v>固定</v>
      </c>
      <c r="W102" s="1756" t="str">
        <f ca="1">IFERROR(IFERROR(VLOOKUP(表格1[[#This Row],[商品
代碼]],'3_是否下架'!A:B,2,FALSE),VLOOKUP(表格1[[#This Row],[商品
代碼]],'銀行-TSS'!B:AK,36,FALSE)),"")</f>
        <v>需查詢</v>
      </c>
      <c r="Y102" s="400"/>
      <c r="Z102" s="400"/>
      <c r="AA102" s="401"/>
    </row>
    <row r="103" spans="2:27" s="399" customFormat="1" ht="24.75" customHeight="1">
      <c r="B103" s="1745" t="s">
        <v>1261</v>
      </c>
      <c r="C103" s="1745" t="str">
        <f ca="1">IFERROR(VLOOKUP(表格1[[#This Row],[商品
代碼]],'銀行-TSS'!B:V,21,FALSE),"")</f>
        <v>(NPI)非專投</v>
      </c>
      <c r="D103" s="1746" t="str">
        <f>IFERROR(VLOOKUP(表格1[[#This Row],[商品
代碼]],bond!B:F,5,FALSE),"")</f>
        <v>US74432QCA13</v>
      </c>
      <c r="E103" s="1746" t="str">
        <f ca="1">IFERROR(VLOOKUP(B103,'銀行-TSS'!B:D,3,FALSE),"")</f>
        <v>保德信金融公司美元配息債券 4.6% 2044/5/15</v>
      </c>
      <c r="F103" s="1745" t="str">
        <f ca="1">IFERROR(VLOOKUP(B103,'銀行-TSS'!B:E,4,FALSE),"")</f>
        <v>A3 / A / A-</v>
      </c>
      <c r="G103" s="1747">
        <f ca="1">IFERROR(VLOOKUP(B103,'銀行-TSS'!B:G,6,FALSE),"")</f>
        <v>19.87</v>
      </c>
      <c r="H103" s="1748">
        <f ca="1">IFERROR(VLOOKUP(B103,'銀行-TSS'!B:H,7,FALSE),"")</f>
        <v>4.5999999999999999E-2</v>
      </c>
      <c r="I103" s="1745" t="str">
        <f ca="1">IFERROR(IF(表格1[[#This Row],[配息頻率]]=0,"",CHOOSE(表格1[[#This Row],[配息頻率]],MONTH(J103),IF(MONTH(J103)&lt;=6,CONCATENATE(MONTH(J103)," / ",MONTH(J103)+6),CONCATENATE(MONTH(J103)-6," / ",MONTH(J103))),0,"2 / 4 / 8 / 11")),"")</f>
        <v>5 / 11</v>
      </c>
      <c r="J103" s="1749" t="str">
        <f ca="1">IFERROR(VLOOKUP(B103,'銀行-TSS'!B:P,15,FALSE),"")</f>
        <v>2024/11/15</v>
      </c>
      <c r="K103" s="1750">
        <f ca="1">IFERROR(VLOOKUP(表格1[[#This Row],[商品
代碼]],'銀行-TSS'!B:I,8,FALSE),"")</f>
        <v>2</v>
      </c>
      <c r="L103" s="1747">
        <f ca="1">IFERROR(VLOOKUP(B103,'銀行-TSS'!B:K,10,FALSE),"")</f>
        <v>91.3</v>
      </c>
      <c r="M103" s="1745" t="str">
        <f ca="1">IF(表格1[[#This Row],[含息申購
參考價]]&gt;100,"溢價",IF(表格1[[#This Row],[含息申購
參考價]]&lt;100,"折價","平價"))</f>
        <v>折價</v>
      </c>
      <c r="N103" s="1751">
        <f ca="1">IFERROR(VLOOKUP(B103,'銀行-TSS'!B:M,12,FALSE),"")</f>
        <v>5.3699999999999998E-2</v>
      </c>
      <c r="O103" s="1752">
        <f ca="1">IFERROR(VLOOKUP(表格1[[#This Row],[商品
代碼]],'銀行-TSS'!B:AJ,35,FALSE),"")</f>
        <v>0</v>
      </c>
      <c r="P103" s="1753" t="str">
        <f ca="1">IFERROR(VLOOKUP(表格1[[#This Row],[商品
代碼]],'銀行-TSS'!B:AE,30,FALSE),"")</f>
        <v xml:space="preserve"> </v>
      </c>
      <c r="Q103" s="1749" t="str">
        <f ca="1">IFERROR(IF(VLOOKUP(表格1[[#This Row],[商品
代碼]],'銀行-TSS'!B:AM,38,FALSE)="#N/A Field Not Applicable","",VLOOKUP(表格1[[#This Row],[商品
代碼]],'銀行-TSS'!B:AM,38,FALSE)),"")</f>
        <v/>
      </c>
      <c r="R103" s="1749" t="str">
        <f ca="1">IFERROR(VLOOKUP(表格1[[#This Row],[商品
代碼]],'銀行-TSS'!B:AH,33,FALSE),"")</f>
        <v>美元(USD)</v>
      </c>
      <c r="S103" s="1754">
        <f ca="1">IFERROR(VLOOKUP(B103,'銀行-TSS'!B:N,13,FALSE),"")</f>
        <v>10000</v>
      </c>
      <c r="T103" s="1754" t="str">
        <f ca="1">VLOOKUP(表格1[[#This Row],[商品
代碼]],'銀行-TSS'!B:AI,34,FALSE)</f>
        <v>自由選清單</v>
      </c>
      <c r="U103" s="1755" t="str">
        <f ca="1">IFERROR(VLOOKUP(B103,'銀行-TSS'!B:Q,16,FALSE),"")</f>
        <v>金融</v>
      </c>
      <c r="V103" s="1755" t="str">
        <f ca="1">IFERROR(VLOOKUP(表格1[[#This Row],[商品
代碼]],'銀行-TSS'!B:AG,32,FALSE),"")</f>
        <v>固定</v>
      </c>
      <c r="W103" s="1756" t="str">
        <f ca="1">IFERROR(IFERROR(VLOOKUP(表格1[[#This Row],[商品
代碼]],'3_是否下架'!A:B,2,FALSE),VLOOKUP(表格1[[#This Row],[商品
代碼]],'銀行-TSS'!B:AK,36,FALSE)),"")</f>
        <v>有</v>
      </c>
      <c r="Y103" s="400"/>
      <c r="Z103" s="400"/>
      <c r="AA103" s="401"/>
    </row>
    <row r="104" spans="2:27" s="399" customFormat="1" ht="24.75" customHeight="1">
      <c r="B104" s="1745" t="s">
        <v>1296</v>
      </c>
      <c r="C104" s="1745" t="str">
        <f ca="1">IFERROR(VLOOKUP(表格1[[#This Row],[商品
代碼]],'銀行-TSS'!B:V,21,FALSE),"")</f>
        <v>(NPI)非專投</v>
      </c>
      <c r="D104" s="1746" t="str">
        <f>IFERROR(VLOOKUP(表格1[[#This Row],[商品
代碼]],bond!B:F,5,FALSE),"")</f>
        <v>US717081DK61</v>
      </c>
      <c r="E104" s="1746" t="str">
        <f ca="1">IFERROR(VLOOKUP(B104,'銀行-TSS'!B:D,3,FALSE),"")</f>
        <v>輝瑞大藥廠美元配息債券 4.4% 2044/5/15</v>
      </c>
      <c r="F104" s="1745" t="str">
        <f ca="1">IFERROR(VLOOKUP(B104,'銀行-TSS'!B:E,4,FALSE),"")</f>
        <v>A2 / A / WD</v>
      </c>
      <c r="G104" s="1747">
        <f ca="1">IFERROR(VLOOKUP(B104,'銀行-TSS'!B:G,6,FALSE),"")</f>
        <v>19.87</v>
      </c>
      <c r="H104" s="1748">
        <f ca="1">IFERROR(VLOOKUP(B104,'銀行-TSS'!B:H,7,FALSE),"")</f>
        <v>4.4000000000000004E-2</v>
      </c>
      <c r="I104" s="1745" t="str">
        <f ca="1">IFERROR(IF(表格1[[#This Row],[配息頻率]]=0,"",CHOOSE(表格1[[#This Row],[配息頻率]],MONTH(J104),IF(MONTH(J104)&lt;=6,CONCATENATE(MONTH(J104)," / ",MONTH(J104)+6),CONCATENATE(MONTH(J104)-6," / ",MONTH(J104))),0,"2 / 4 / 8 / 11")),"")</f>
        <v>5 / 11</v>
      </c>
      <c r="J104" s="1749" t="str">
        <f ca="1">IFERROR(VLOOKUP(B104,'銀行-TSS'!B:P,15,FALSE),"")</f>
        <v>2024/11/15</v>
      </c>
      <c r="K104" s="1750">
        <f ca="1">IFERROR(VLOOKUP(表格1[[#This Row],[商品
代碼]],'銀行-TSS'!B:I,8,FALSE),"")</f>
        <v>2</v>
      </c>
      <c r="L104" s="1747">
        <f ca="1">IFERROR(VLOOKUP(B104,'銀行-TSS'!B:K,10,FALSE),"")</f>
        <v>92.56</v>
      </c>
      <c r="M104" s="1745" t="str">
        <f ca="1">IF(表格1[[#This Row],[含息申購
參考價]]&gt;100,"溢價",IF(表格1[[#This Row],[含息申購
參考價]]&lt;100,"折價","平價"))</f>
        <v>折價</v>
      </c>
      <c r="N104" s="1751">
        <f ca="1">IFERROR(VLOOKUP(B104,'銀行-TSS'!B:M,12,FALSE),"")</f>
        <v>5.04E-2</v>
      </c>
      <c r="O104" s="1752">
        <f ca="1">IFERROR(VLOOKUP(表格1[[#This Row],[商品
代碼]],'銀行-TSS'!B:AJ,35,FALSE),"")</f>
        <v>0</v>
      </c>
      <c r="P104" s="1753" t="str">
        <f ca="1">IFERROR(VLOOKUP(表格1[[#This Row],[商品
代碼]],'銀行-TSS'!B:AE,30,FALSE),"")</f>
        <v xml:space="preserve"> </v>
      </c>
      <c r="Q104" s="1749" t="str">
        <f ca="1">IFERROR(IF(VLOOKUP(表格1[[#This Row],[商品
代碼]],'銀行-TSS'!B:AM,38,FALSE)="#N/A Field Not Applicable","",VLOOKUP(表格1[[#This Row],[商品
代碼]],'銀行-TSS'!B:AM,38,FALSE)),"")</f>
        <v/>
      </c>
      <c r="R104" s="1749" t="str">
        <f ca="1">IFERROR(VLOOKUP(表格1[[#This Row],[商品
代碼]],'銀行-TSS'!B:AH,33,FALSE),"")</f>
        <v>美元(USD)</v>
      </c>
      <c r="S104" s="1754">
        <f ca="1">IFERROR(VLOOKUP(B104,'銀行-TSS'!B:N,13,FALSE),"")</f>
        <v>10000</v>
      </c>
      <c r="T104" s="1754" t="str">
        <f ca="1">VLOOKUP(表格1[[#This Row],[商品
代碼]],'銀行-TSS'!B:AI,34,FALSE)</f>
        <v>自由選清單</v>
      </c>
      <c r="U104" s="1755" t="str">
        <f ca="1">IFERROR(VLOOKUP(B104,'銀行-TSS'!B:Q,16,FALSE),"")</f>
        <v>醫療保健</v>
      </c>
      <c r="V104" s="1755" t="str">
        <f ca="1">IFERROR(VLOOKUP(表格1[[#This Row],[商品
代碼]],'銀行-TSS'!B:AG,32,FALSE),"")</f>
        <v>固定</v>
      </c>
      <c r="W104" s="1756" t="str">
        <f ca="1">IFERROR(IFERROR(VLOOKUP(表格1[[#This Row],[商品
代碼]],'3_是否下架'!A:B,2,FALSE),VLOOKUP(表格1[[#This Row],[商品
代碼]],'銀行-TSS'!B:AK,36,FALSE)),"")</f>
        <v>有</v>
      </c>
      <c r="Y104" s="400"/>
      <c r="Z104" s="400"/>
      <c r="AA104" s="401"/>
    </row>
    <row r="105" spans="2:27" s="399" customFormat="1" ht="24.75" customHeight="1">
      <c r="B105" s="1745" t="s">
        <v>956</v>
      </c>
      <c r="C105" s="1745" t="str">
        <f ca="1">IFERROR(VLOOKUP(表格1[[#This Row],[商品
代碼]],'銀行-TSS'!B:V,21,FALSE),"")</f>
        <v>(NPI)非專投</v>
      </c>
      <c r="D105" s="1746" t="str">
        <f>IFERROR(VLOOKUP(表格1[[#This Row],[商品
代碼]],bond!B:F,5,FALSE),"")</f>
        <v>US037833AT77</v>
      </c>
      <c r="E105" s="1746" t="str">
        <f ca="1">IFERROR(VLOOKUP(B105,'銀行-TSS'!B:D,3,FALSE),"")</f>
        <v>蘋果公司美元配息債券 4.45% 2044/5/6</v>
      </c>
      <c r="F105" s="1745" t="str">
        <f ca="1">IFERROR(VLOOKUP(B105,'銀行-TSS'!B:E,4,FALSE),"")</f>
        <v>Aaa / AA+ / -</v>
      </c>
      <c r="G105" s="1747">
        <f ca="1">IFERROR(VLOOKUP(B105,'銀行-TSS'!B:G,6,FALSE),"")</f>
        <v>19.84</v>
      </c>
      <c r="H105" s="1748">
        <f ca="1">IFERROR(VLOOKUP(B105,'銀行-TSS'!B:H,7,FALSE),"")</f>
        <v>4.4500000000000005E-2</v>
      </c>
      <c r="I105" s="1745" t="str">
        <f ca="1">IFERROR(IF(表格1[[#This Row],[配息頻率]]=0,"",CHOOSE(表格1[[#This Row],[配息頻率]],MONTH(J105),IF(MONTH(J105)&lt;=6,CONCATENATE(MONTH(J105)," / ",MONTH(J105)+6),CONCATENATE(MONTH(J105)-6," / ",MONTH(J105))),0,"2 / 4 / 8 / 11")),"")</f>
        <v>5 / 11</v>
      </c>
      <c r="J105" s="1749" t="str">
        <f ca="1">IFERROR(VLOOKUP(B105,'銀行-TSS'!B:P,15,FALSE),"")</f>
        <v>2024/11/6</v>
      </c>
      <c r="K105" s="1750">
        <f ca="1">IFERROR(VLOOKUP(表格1[[#This Row],[商品
代碼]],'銀行-TSS'!B:I,8,FALSE),"")</f>
        <v>2</v>
      </c>
      <c r="L105" s="1747">
        <f ca="1">IFERROR(VLOOKUP(B105,'銀行-TSS'!B:K,10,FALSE),"")</f>
        <v>96.76</v>
      </c>
      <c r="M105" s="1745" t="str">
        <f ca="1">IF(表格1[[#This Row],[含息申購
參考價]]&gt;100,"溢價",IF(表格1[[#This Row],[含息申購
參考價]]&lt;100,"折價","平價"))</f>
        <v>折價</v>
      </c>
      <c r="N105" s="1751">
        <f ca="1">IFERROR(VLOOKUP(B105,'銀行-TSS'!B:M,12,FALSE),"")</f>
        <v>4.7600000000000003E-2</v>
      </c>
      <c r="O105" s="1752">
        <f ca="1">IFERROR(VLOOKUP(表格1[[#This Row],[商品
代碼]],'銀行-TSS'!B:AJ,35,FALSE),"")</f>
        <v>0</v>
      </c>
      <c r="P105" s="1753" t="str">
        <f ca="1">IFERROR(VLOOKUP(表格1[[#This Row],[商品
代碼]],'銀行-TSS'!B:AE,30,FALSE),"")</f>
        <v xml:space="preserve"> </v>
      </c>
      <c r="Q105" s="1749" t="str">
        <f ca="1">IFERROR(IF(VLOOKUP(表格1[[#This Row],[商品
代碼]],'銀行-TSS'!B:AM,38,FALSE)="#N/A Field Not Applicable","",VLOOKUP(表格1[[#This Row],[商品
代碼]],'銀行-TSS'!B:AM,38,FALSE)),"")</f>
        <v/>
      </c>
      <c r="R105" s="1749" t="str">
        <f ca="1">IFERROR(VLOOKUP(表格1[[#This Row],[商品
代碼]],'銀行-TSS'!B:AH,33,FALSE),"")</f>
        <v>美元(USD)</v>
      </c>
      <c r="S105" s="1754">
        <f ca="1">IFERROR(VLOOKUP(B105,'銀行-TSS'!B:N,13,FALSE),"")</f>
        <v>10000</v>
      </c>
      <c r="T105" s="1754" t="str">
        <f ca="1">VLOOKUP(表格1[[#This Row],[商品
代碼]],'銀行-TSS'!B:AI,34,FALSE)</f>
        <v>自由選清單</v>
      </c>
      <c r="U105" s="1755" t="str">
        <f ca="1">IFERROR(VLOOKUP(B105,'銀行-TSS'!B:Q,16,FALSE),"")</f>
        <v>科技</v>
      </c>
      <c r="V105" s="1755" t="str">
        <f ca="1">IFERROR(VLOOKUP(表格1[[#This Row],[商品
代碼]],'銀行-TSS'!B:AG,32,FALSE),"")</f>
        <v>固定</v>
      </c>
      <c r="W105" s="1756" t="str">
        <f ca="1">IFERROR(IFERROR(VLOOKUP(表格1[[#This Row],[商品
代碼]],'3_是否下架'!A:B,2,FALSE),VLOOKUP(表格1[[#This Row],[商品
代碼]],'銀行-TSS'!B:AK,36,FALSE)),"")</f>
        <v>有</v>
      </c>
      <c r="Y105" s="400"/>
      <c r="Z105" s="400"/>
      <c r="AA105" s="401"/>
    </row>
    <row r="106" spans="2:27" s="399" customFormat="1" ht="24.75" customHeight="1">
      <c r="B106" s="1745" t="s">
        <v>598</v>
      </c>
      <c r="C106" s="1745" t="str">
        <f ca="1">IFERROR(VLOOKUP(表格1[[#This Row],[商品
代碼]],'銀行-TSS'!B:V,21,FALSE),"")</f>
        <v>(NPI)非專投</v>
      </c>
      <c r="D106" s="1746" t="str">
        <f>IFERROR(VLOOKUP(表格1[[#This Row],[商品
代碼]],bond!B:F,5,FALSE),"")</f>
        <v>XS1054250318</v>
      </c>
      <c r="E106" s="1746" t="str">
        <f ca="1">IFERROR(VLOOKUP(B106,'銀行-TSS'!B:D,3,FALSE),"")</f>
        <v>沙烏地電力美元配息債券 5.5% 2044/4/8</v>
      </c>
      <c r="F106" s="1745" t="str">
        <f ca="1">IFERROR(VLOOKUP(B106,'銀行-TSS'!B:E,4,FALSE),"")</f>
        <v>A1 / A / A+</v>
      </c>
      <c r="G106" s="1747">
        <f ca="1">IFERROR(VLOOKUP(B106,'銀行-TSS'!B:G,6,FALSE),"")</f>
        <v>19.760000000000002</v>
      </c>
      <c r="H106" s="1748">
        <f ca="1">IFERROR(VLOOKUP(B106,'銀行-TSS'!B:H,7,FALSE),"")</f>
        <v>5.5E-2</v>
      </c>
      <c r="I106" s="1745" t="str">
        <f ca="1">IFERROR(IF(表格1[[#This Row],[配息頻率]]=0,"",CHOOSE(表格1[[#This Row],[配息頻率]],MONTH(J106),IF(MONTH(J106)&lt;=6,CONCATENATE(MONTH(J106)," / ",MONTH(J106)+6),CONCATENATE(MONTH(J106)-6," / ",MONTH(J106))),0,"2 / 4 / 8 / 11")),"")</f>
        <v>4 / 10</v>
      </c>
      <c r="J106" s="1749" t="str">
        <f ca="1">IFERROR(VLOOKUP(B106,'銀行-TSS'!B:P,15,FALSE),"")</f>
        <v>2024/10/8</v>
      </c>
      <c r="K106" s="1750">
        <f ca="1">IFERROR(VLOOKUP(表格1[[#This Row],[商品
代碼]],'銀行-TSS'!B:I,8,FALSE),"")</f>
        <v>2</v>
      </c>
      <c r="L106" s="1747">
        <f ca="1">IFERROR(VLOOKUP(B106,'銀行-TSS'!B:K,10,FALSE),"")</f>
        <v>102.29</v>
      </c>
      <c r="M106" s="1745" t="str">
        <f ca="1">IF(表格1[[#This Row],[含息申購
參考價]]&gt;100,"溢價",IF(表格1[[#This Row],[含息申購
參考價]]&lt;100,"折價","平價"))</f>
        <v>溢價</v>
      </c>
      <c r="N106" s="1751">
        <f ca="1">IFERROR(VLOOKUP(B106,'銀行-TSS'!B:M,12,FALSE),"")</f>
        <v>5.4199999999999998E-2</v>
      </c>
      <c r="O106" s="1752">
        <f ca="1">IFERROR(VLOOKUP(表格1[[#This Row],[商品
代碼]],'銀行-TSS'!B:AJ,35,FALSE),"")</f>
        <v>0</v>
      </c>
      <c r="P106" s="1751" t="str">
        <f ca="1">IFERROR(VLOOKUP(表格1[[#This Row],[商品
代碼]],'銀行-TSS'!B:AE,30,FALSE),"")</f>
        <v xml:space="preserve"> </v>
      </c>
      <c r="Q106" s="1749" t="str">
        <f ca="1">IFERROR(IF(VLOOKUP(表格1[[#This Row],[商品
代碼]],'銀行-TSS'!B:AM,38,FALSE)="#N/A Field Not Applicable","",VLOOKUP(表格1[[#This Row],[商品
代碼]],'銀行-TSS'!B:AM,38,FALSE)),"")</f>
        <v/>
      </c>
      <c r="R106" s="1749" t="str">
        <f ca="1">IFERROR(VLOOKUP(表格1[[#This Row],[商品
代碼]],'銀行-TSS'!B:AH,33,FALSE),"")</f>
        <v>美元(USD)</v>
      </c>
      <c r="S106" s="1754">
        <f ca="1">IFERROR(VLOOKUP(B106,'銀行-TSS'!B:N,13,FALSE),"")</f>
        <v>200000</v>
      </c>
      <c r="T106" s="1754" t="str">
        <f ca="1">VLOOKUP(表格1[[#This Row],[商品
代碼]],'銀行-TSS'!B:AI,34,FALSE)</f>
        <v>自由選清單</v>
      </c>
      <c r="U106" s="1745" t="str">
        <f ca="1">IFERROR(VLOOKUP(B106,'銀行-TSS'!B:Q,16,FALSE),"")</f>
        <v>公用事業</v>
      </c>
      <c r="V106" s="1755" t="str">
        <f ca="1">IFERROR(VLOOKUP(表格1[[#This Row],[商品
代碼]],'銀行-TSS'!B:AG,32,FALSE),"")</f>
        <v>固定</v>
      </c>
      <c r="W106" s="1757" t="str">
        <f>IFERROR(IFERROR(VLOOKUP(表格1[[#This Row],[商品
代碼]],'3_是否下架'!A:B,2,FALSE),VLOOKUP(表格1[[#This Row],[商品
代碼]],'銀行-TSS'!B:AK,36,FALSE)),"")</f>
        <v>已下架</v>
      </c>
      <c r="Y106" s="400"/>
      <c r="Z106" s="400"/>
      <c r="AA106" s="401"/>
    </row>
    <row r="107" spans="2:27" s="399" customFormat="1" ht="24.75" customHeight="1">
      <c r="B107" s="1745" t="s">
        <v>3991</v>
      </c>
      <c r="C107" s="1745" t="str">
        <f ca="1">IFERROR(VLOOKUP(表格1[[#This Row],[商品
代碼]],'銀行-TSS'!B:V,21,FALSE),"")</f>
        <v>(NPI)非專投</v>
      </c>
      <c r="D107" s="1746" t="str">
        <f>IFERROR(VLOOKUP(表格1[[#This Row],[商品
代碼]],bond!B:F,5,FALSE),"")</f>
        <v>US12189LAS07</v>
      </c>
      <c r="E107" s="1746" t="str">
        <f ca="1">IFERROR(VLOOKUP(B107,'銀行-TSS'!B:D,3,FALSE),"")</f>
        <v>伯靈頓北方聖塔菲有限責任公司美元配息債券 4.9% 2044/4/1</v>
      </c>
      <c r="F107" s="1745" t="str">
        <f ca="1">IFERROR(VLOOKUP(B107,'銀行-TSS'!B:E,4,FALSE),"")</f>
        <v>A3 / AA- / -</v>
      </c>
      <c r="G107" s="1747">
        <f ca="1">IFERROR(VLOOKUP(B107,'銀行-TSS'!B:G,6,FALSE),"")</f>
        <v>19.75</v>
      </c>
      <c r="H107" s="1748">
        <f ca="1">IFERROR(VLOOKUP(B107,'銀行-TSS'!B:H,7,FALSE),"")</f>
        <v>4.9000000000000002E-2</v>
      </c>
      <c r="I107" s="1745" t="str">
        <f ca="1">IFERROR(IF(表格1[[#This Row],[配息頻率]]=0,"",CHOOSE(表格1[[#This Row],[配息頻率]],MONTH(J107),IF(MONTH(J107)&lt;=6,CONCATENATE(MONTH(J107)," / ",MONTH(J107)+6),CONCATENATE(MONTH(J107)-6," / ",MONTH(J107))),0,"2 / 4 / 8 / 11")),"")</f>
        <v>4 / 10</v>
      </c>
      <c r="J107" s="1749" t="str">
        <f ca="1">IFERROR(VLOOKUP(B107,'銀行-TSS'!B:P,15,FALSE),"")</f>
        <v>2024/10/1</v>
      </c>
      <c r="K107" s="1750">
        <f ca="1">IFERROR(VLOOKUP(表格1[[#This Row],[商品
代碼]],'銀行-TSS'!B:I,8,FALSE),"")</f>
        <v>2</v>
      </c>
      <c r="L107" s="1747">
        <f ca="1">IFERROR(VLOOKUP(B107,'銀行-TSS'!B:K,10,FALSE),"")</f>
        <v>97.31</v>
      </c>
      <c r="M107" s="1745" t="str">
        <f ca="1">IF(表格1[[#This Row],[含息申購
參考價]]&gt;100,"溢價",IF(表格1[[#This Row],[含息申購
參考價]]&lt;100,"折價","平價"))</f>
        <v>折價</v>
      </c>
      <c r="N107" s="1751">
        <f ca="1">IFERROR(VLOOKUP(B107,'銀行-TSS'!B:M,12,FALSE),"")</f>
        <v>5.2200000000000003E-2</v>
      </c>
      <c r="O107" s="1752">
        <f ca="1">IFERROR(VLOOKUP(表格1[[#This Row],[商品
代碼]],'銀行-TSS'!B:AJ,35,FALSE),"")</f>
        <v>0</v>
      </c>
      <c r="P107" s="1753">
        <f ca="1">IFERROR(VLOOKUP(表格1[[#This Row],[商品
代碼]],'銀行-TSS'!B:AE,30,FALSE),"")</f>
        <v>5.2299999999999999E-2</v>
      </c>
      <c r="Q107" s="1749" t="str">
        <f ca="1">IFERROR(IF(VLOOKUP(表格1[[#This Row],[商品
代碼]],'銀行-TSS'!B:AM,38,FALSE)="#N/A Field Not Applicable","",VLOOKUP(表格1[[#This Row],[商品
代碼]],'銀行-TSS'!B:AM,38,FALSE)),"")</f>
        <v>2043/10/1</v>
      </c>
      <c r="R107" s="1749" t="str">
        <f ca="1">IFERROR(VLOOKUP(表格1[[#This Row],[商品
代碼]],'銀行-TSS'!B:AH,33,FALSE),"")</f>
        <v>美元(USD)</v>
      </c>
      <c r="S107" s="1754">
        <f ca="1">IFERROR(VLOOKUP(B107,'銀行-TSS'!B:N,13,FALSE),"")</f>
        <v>10000</v>
      </c>
      <c r="T107" s="1754" t="str">
        <f ca="1">VLOOKUP(表格1[[#This Row],[商品
代碼]],'銀行-TSS'!B:AI,34,FALSE)</f>
        <v>自由選清單</v>
      </c>
      <c r="U107" s="1755" t="str">
        <f ca="1">IFERROR(VLOOKUP(B107,'銀行-TSS'!B:Q,16,FALSE),"")</f>
        <v>工業</v>
      </c>
      <c r="V107" s="1755" t="str">
        <f ca="1">IFERROR(VLOOKUP(表格1[[#This Row],[商品
代碼]],'銀行-TSS'!B:AG,32,FALSE),"")</f>
        <v>固定</v>
      </c>
      <c r="W107" s="1756" t="str">
        <f ca="1">IFERROR(IFERROR(VLOOKUP(表格1[[#This Row],[商品
代碼]],'3_是否下架'!A:B,2,FALSE),VLOOKUP(表格1[[#This Row],[商品
代碼]],'銀行-TSS'!B:AK,36,FALSE)),"")</f>
        <v>有</v>
      </c>
      <c r="Y107" s="400"/>
      <c r="Z107" s="400"/>
      <c r="AA107" s="401"/>
    </row>
    <row r="108" spans="2:27" s="399" customFormat="1" ht="24.75" customHeight="1">
      <c r="B108" s="1745" t="s">
        <v>2383</v>
      </c>
      <c r="C108" s="1745" t="str">
        <f ca="1">IFERROR(VLOOKUP(表格1[[#This Row],[商品
代碼]],'銀行-TSS'!B:V,21,FALSE),"")</f>
        <v>(PI)專投</v>
      </c>
      <c r="D108" s="1746" t="str">
        <f>IFERROR(VLOOKUP(表格1[[#This Row],[商品
代碼]],bond!B:F,5,FALSE),"")</f>
        <v>US46625HJU59</v>
      </c>
      <c r="E108" s="1746" t="str">
        <f ca="1">IFERROR(VLOOKUP(B108,'銀行-TSS'!B:D,3,FALSE),"")</f>
        <v>摩根大通銀行美元配息債券 4.85% 2044/2/1</v>
      </c>
      <c r="F108" s="1745" t="str">
        <f ca="1">IFERROR(VLOOKUP(B108,'銀行-TSS'!B:E,4,FALSE),"")</f>
        <v>A1 / A- / AA-</v>
      </c>
      <c r="G108" s="1747">
        <f ca="1">IFERROR(VLOOKUP(B108,'銀行-TSS'!B:G,6,FALSE),"")</f>
        <v>19.579999999999998</v>
      </c>
      <c r="H108" s="1748">
        <f ca="1">IFERROR(VLOOKUP(B108,'銀行-TSS'!B:H,7,FALSE),"")</f>
        <v>4.8499999999999995E-2</v>
      </c>
      <c r="I108" s="1745" t="str">
        <f ca="1">IFERROR(IF(表格1[[#This Row],[配息頻率]]=0,"",CHOOSE(表格1[[#This Row],[配息頻率]],MONTH(J108),IF(MONTH(J108)&lt;=6,CONCATENATE(MONTH(J108)," / ",MONTH(J108)+6),CONCATENATE(MONTH(J108)-6," / ",MONTH(J108))),0,"2 / 4 / 8 / 11")),"")</f>
        <v>2 / 8</v>
      </c>
      <c r="J108" s="1749" t="str">
        <f ca="1">IFERROR(VLOOKUP(B108,'銀行-TSS'!B:P,15,FALSE),"")</f>
        <v>2024/8/1</v>
      </c>
      <c r="K108" s="1750">
        <f ca="1">IFERROR(VLOOKUP(表格1[[#This Row],[商品
代碼]],'銀行-TSS'!B:I,8,FALSE),"")</f>
        <v>2</v>
      </c>
      <c r="L108" s="1747">
        <f ca="1">IFERROR(VLOOKUP(B108,'銀行-TSS'!B:K,10,FALSE),"")</f>
        <v>99.01</v>
      </c>
      <c r="M108" s="1745" t="str">
        <f ca="1">IF(表格1[[#This Row],[含息申購
參考價]]&gt;100,"溢價",IF(表格1[[#This Row],[含息申購
參考價]]&lt;100,"折價","平價"))</f>
        <v>折價</v>
      </c>
      <c r="N108" s="1751">
        <f ca="1">IFERROR(VLOOKUP(B108,'銀行-TSS'!B:M,12,FALSE),"")</f>
        <v>5.0999999999999997E-2</v>
      </c>
      <c r="O108" s="1752">
        <f ca="1">IFERROR(VLOOKUP(表格1[[#This Row],[商品
代碼]],'銀行-TSS'!B:AJ,35,FALSE),"")</f>
        <v>0</v>
      </c>
      <c r="P108" s="1753" t="str">
        <f ca="1">IFERROR(VLOOKUP(表格1[[#This Row],[商品
代碼]],'銀行-TSS'!B:AE,30,FALSE),"")</f>
        <v xml:space="preserve"> </v>
      </c>
      <c r="Q108" s="1749" t="str">
        <f ca="1">IFERROR(IF(VLOOKUP(表格1[[#This Row],[商品
代碼]],'銀行-TSS'!B:AM,38,FALSE)="#N/A Field Not Applicable","",VLOOKUP(表格1[[#This Row],[商品
代碼]],'銀行-TSS'!B:AM,38,FALSE)),"")</f>
        <v/>
      </c>
      <c r="R108" s="1749" t="str">
        <f ca="1">IFERROR(VLOOKUP(表格1[[#This Row],[商品
代碼]],'銀行-TSS'!B:AH,33,FALSE),"")</f>
        <v>美元(USD)</v>
      </c>
      <c r="S108" s="1754">
        <f ca="1">IFERROR(VLOOKUP(B108,'銀行-TSS'!B:N,13,FALSE),"")</f>
        <v>10000</v>
      </c>
      <c r="T108" s="1754" t="str">
        <f ca="1">VLOOKUP(表格1[[#This Row],[商品
代碼]],'銀行-TSS'!B:AI,34,FALSE)</f>
        <v>自由選清單</v>
      </c>
      <c r="U108" s="1755" t="str">
        <f ca="1">IFERROR(VLOOKUP(B108,'銀行-TSS'!B:Q,16,FALSE),"")</f>
        <v>金融</v>
      </c>
      <c r="V108" s="1755" t="str">
        <f ca="1">IFERROR(VLOOKUP(表格1[[#This Row],[商品
代碼]],'銀行-TSS'!B:AG,32,FALSE),"")</f>
        <v>固定</v>
      </c>
      <c r="W108" s="1756" t="str">
        <f ca="1">IFERROR(IFERROR(VLOOKUP(表格1[[#This Row],[商品
代碼]],'3_是否下架'!A:B,2,FALSE),VLOOKUP(表格1[[#This Row],[商品
代碼]],'銀行-TSS'!B:AK,36,FALSE)),"")</f>
        <v>有</v>
      </c>
      <c r="Y108" s="400"/>
      <c r="Z108" s="400"/>
      <c r="AA108" s="401"/>
    </row>
    <row r="109" spans="2:27" s="399" customFormat="1" ht="24.75" customHeight="1">
      <c r="B109" s="1745" t="s">
        <v>911</v>
      </c>
      <c r="C109" s="1745" t="str">
        <f ca="1">IFERROR(VLOOKUP(表格1[[#This Row],[商品
代碼]],'銀行-TSS'!B:V,21,FALSE),"")</f>
        <v>(PI)專投</v>
      </c>
      <c r="D109" s="1746" t="str">
        <f>IFERROR(VLOOKUP(表格1[[#This Row],[商品
代碼]],bond!B:F,5,FALSE),"")</f>
        <v>US655664AR15</v>
      </c>
      <c r="E109" s="1746" t="str">
        <f ca="1">IFERROR(VLOOKUP(B109,'銀行-TSS'!B:D,3,FALSE),"")</f>
        <v>諾德斯特隆公司美元配息債券 5% 2044/1/15</v>
      </c>
      <c r="F109" s="1745" t="str">
        <f ca="1">IFERROR(VLOOKUP(B109,'銀行-TSS'!B:E,4,FALSE),"")</f>
        <v>Ba2 / BB+ / BB</v>
      </c>
      <c r="G109" s="1747">
        <f ca="1">IFERROR(VLOOKUP(B109,'銀行-TSS'!B:G,6,FALSE),"")</f>
        <v>19.54</v>
      </c>
      <c r="H109" s="1748">
        <f ca="1">IFERROR(VLOOKUP(B109,'銀行-TSS'!B:H,7,FALSE),"")</f>
        <v>0.05</v>
      </c>
      <c r="I109" s="1745" t="str">
        <f ca="1">IFERROR(IF(表格1[[#This Row],[配息頻率]]=0,"",CHOOSE(表格1[[#This Row],[配息頻率]],MONTH(J109),IF(MONTH(J109)&lt;=6,CONCATENATE(MONTH(J109)," / ",MONTH(J109)+6),CONCATENATE(MONTH(J109)-6," / ",MONTH(J109))),0,"2 / 4 / 8 / 11")),"")</f>
        <v>1 / 7</v>
      </c>
      <c r="J109" s="1749" t="str">
        <f ca="1">IFERROR(VLOOKUP(B109,'銀行-TSS'!B:P,15,FALSE),"")</f>
        <v>2024/7/15</v>
      </c>
      <c r="K109" s="1750">
        <f ca="1">IFERROR(VLOOKUP(表格1[[#This Row],[商品
代碼]],'銀行-TSS'!B:I,8,FALSE),"")</f>
        <v>2</v>
      </c>
      <c r="L109" s="1747">
        <f ca="1">IFERROR(VLOOKUP(B109,'銀行-TSS'!B:K,10,FALSE),"")</f>
        <v>87.04</v>
      </c>
      <c r="M109" s="1745" t="str">
        <f ca="1">IF(表格1[[#This Row],[含息申購
參考價]]&gt;100,"溢價",IF(表格1[[#This Row],[含息申購
參考價]]&lt;100,"折價","平價"))</f>
        <v>折價</v>
      </c>
      <c r="N109" s="1751">
        <f ca="1">IFERROR(VLOOKUP(B109,'銀行-TSS'!B:M,12,FALSE),"")</f>
        <v>6.3799999999999996E-2</v>
      </c>
      <c r="O109" s="1752">
        <f ca="1">IFERROR(VLOOKUP(表格1[[#This Row],[商品
代碼]],'銀行-TSS'!B:AJ,35,FALSE),"")</f>
        <v>0</v>
      </c>
      <c r="P109" s="1753">
        <f ca="1">IFERROR(VLOOKUP(表格1[[#This Row],[商品
代碼]],'銀行-TSS'!B:AE,30,FALSE),"")</f>
        <v>6.4000000000000001E-2</v>
      </c>
      <c r="Q109" s="1749" t="str">
        <f ca="1">IFERROR(IF(VLOOKUP(表格1[[#This Row],[商品
代碼]],'銀行-TSS'!B:AM,38,FALSE)="#N/A Field Not Applicable","",VLOOKUP(表格1[[#This Row],[商品
代碼]],'銀行-TSS'!B:AM,38,FALSE)),"")</f>
        <v>2043/7/15</v>
      </c>
      <c r="R109" s="1749" t="str">
        <f ca="1">IFERROR(VLOOKUP(表格1[[#This Row],[商品
代碼]],'銀行-TSS'!B:AH,33,FALSE),"")</f>
        <v>美元(USD)</v>
      </c>
      <c r="S109" s="1754">
        <f ca="1">IFERROR(VLOOKUP(B109,'銀行-TSS'!B:N,13,FALSE),"")</f>
        <v>10000</v>
      </c>
      <c r="T109" s="1754" t="str">
        <f ca="1">VLOOKUP(表格1[[#This Row],[商品
代碼]],'銀行-TSS'!B:AI,34,FALSE)</f>
        <v>自由選清單</v>
      </c>
      <c r="U109" s="1755" t="str">
        <f ca="1">IFERROR(VLOOKUP(B109,'銀行-TSS'!B:Q,16,FALSE),"")</f>
        <v>非核心消費</v>
      </c>
      <c r="V109" s="1755" t="str">
        <f ca="1">IFERROR(VLOOKUP(表格1[[#This Row],[商品
代碼]],'銀行-TSS'!B:AG,32,FALSE),"")</f>
        <v>固定</v>
      </c>
      <c r="W109" s="1756" t="str">
        <f ca="1">IFERROR(IFERROR(VLOOKUP(表格1[[#This Row],[商品
代碼]],'3_是否下架'!A:B,2,FALSE),VLOOKUP(表格1[[#This Row],[商品
代碼]],'銀行-TSS'!B:AK,36,FALSE)),"")</f>
        <v>有</v>
      </c>
      <c r="Y109" s="400"/>
      <c r="Z109" s="400"/>
      <c r="AA109" s="401"/>
    </row>
    <row r="110" spans="2:27" s="399" customFormat="1" ht="24.75" customHeight="1">
      <c r="B110" s="1745" t="s">
        <v>1091</v>
      </c>
      <c r="C110" s="1745" t="str">
        <f ca="1">IFERROR(VLOOKUP(表格1[[#This Row],[商品
代碼]],'銀行-TSS'!B:V,21,FALSE),"")</f>
        <v>(PI)專投</v>
      </c>
      <c r="D110" s="1746" t="str">
        <f>IFERROR(VLOOKUP(表格1[[#This Row],[商品
代碼]],bond!B:F,5,FALSE),"")</f>
        <v>US279158AE95</v>
      </c>
      <c r="E110" s="1746" t="str">
        <f ca="1">IFERROR(VLOOKUP(B110,'銀行-TSS'!B:D,3,FALSE),"")</f>
        <v>哥倫比亞國家石油公司美元配息債券 7.375% 2043/9/18</v>
      </c>
      <c r="F110" s="1745" t="str">
        <f ca="1">IFERROR(VLOOKUP(B110,'銀行-TSS'!B:E,4,FALSE),"")</f>
        <v>Ba1 / BB+ / BB+</v>
      </c>
      <c r="G110" s="1747">
        <f ca="1">IFERROR(VLOOKUP(B110,'銀行-TSS'!B:G,6,FALSE),"")</f>
        <v>19.21</v>
      </c>
      <c r="H110" s="1748">
        <f ca="1">IFERROR(VLOOKUP(B110,'銀行-TSS'!B:H,7,FALSE),"")</f>
        <v>7.3749999999999996E-2</v>
      </c>
      <c r="I110" s="1745" t="str">
        <f ca="1">IFERROR(IF(表格1[[#This Row],[配息頻率]]=0,"",CHOOSE(表格1[[#This Row],[配息頻率]],MONTH(J110),IF(MONTH(J110)&lt;=6,CONCATENATE(MONTH(J110)," / ",MONTH(J110)+6),CONCATENATE(MONTH(J110)-6," / ",MONTH(J110))),0,"2 / 4 / 8 / 11")),"")</f>
        <v>3 / 9</v>
      </c>
      <c r="J110" s="1749" t="str">
        <f ca="1">IFERROR(VLOOKUP(B110,'銀行-TSS'!B:P,15,FALSE),"")</f>
        <v>2024/9/18</v>
      </c>
      <c r="K110" s="1750">
        <f ca="1">IFERROR(VLOOKUP(表格1[[#This Row],[商品
代碼]],'銀行-TSS'!B:I,8,FALSE),"")</f>
        <v>2</v>
      </c>
      <c r="L110" s="1747">
        <f ca="1">IFERROR(VLOOKUP(B110,'銀行-TSS'!B:K,10,FALSE),"")</f>
        <v>95.21</v>
      </c>
      <c r="M110" s="1745" t="str">
        <f ca="1">IF(表格1[[#This Row],[含息申購
參考價]]&gt;100,"溢價",IF(表格1[[#This Row],[含息申購
參考價]]&lt;100,"折價","平價"))</f>
        <v>折價</v>
      </c>
      <c r="N110" s="1751">
        <f ca="1">IFERROR(VLOOKUP(B110,'銀行-TSS'!B:M,12,FALSE),"")</f>
        <v>8.09E-2</v>
      </c>
      <c r="O110" s="1752">
        <f ca="1">IFERROR(VLOOKUP(表格1[[#This Row],[商品
代碼]],'銀行-TSS'!B:AJ,35,FALSE),"")</f>
        <v>0</v>
      </c>
      <c r="P110" s="1753" t="str">
        <f ca="1">IFERROR(VLOOKUP(表格1[[#This Row],[商品
代碼]],'銀行-TSS'!B:AE,30,FALSE),"")</f>
        <v xml:space="preserve"> </v>
      </c>
      <c r="Q110" s="1749" t="str">
        <f ca="1">IFERROR(IF(VLOOKUP(表格1[[#This Row],[商品
代碼]],'銀行-TSS'!B:AM,38,FALSE)="#N/A Field Not Applicable","",VLOOKUP(表格1[[#This Row],[商品
代碼]],'銀行-TSS'!B:AM,38,FALSE)),"")</f>
        <v/>
      </c>
      <c r="R110" s="1749" t="str">
        <f ca="1">IFERROR(VLOOKUP(表格1[[#This Row],[商品
代碼]],'銀行-TSS'!B:AH,33,FALSE),"")</f>
        <v>美元(USD)</v>
      </c>
      <c r="S110" s="1754">
        <f ca="1">IFERROR(VLOOKUP(B110,'銀行-TSS'!B:N,13,FALSE),"")</f>
        <v>10000</v>
      </c>
      <c r="T110" s="1754" t="str">
        <f ca="1">VLOOKUP(表格1[[#This Row],[商品
代碼]],'銀行-TSS'!B:AI,34,FALSE)</f>
        <v>自由選清單</v>
      </c>
      <c r="U110" s="1755" t="str">
        <f ca="1">IFERROR(VLOOKUP(B110,'銀行-TSS'!B:Q,16,FALSE),"")</f>
        <v>能源</v>
      </c>
      <c r="V110" s="1755" t="str">
        <f ca="1">IFERROR(VLOOKUP(表格1[[#This Row],[商品
代碼]],'銀行-TSS'!B:AG,32,FALSE),"")</f>
        <v>固定</v>
      </c>
      <c r="W110" s="1756" t="str">
        <f ca="1">IFERROR(IFERROR(VLOOKUP(表格1[[#This Row],[商品
代碼]],'3_是否下架'!A:B,2,FALSE),VLOOKUP(表格1[[#This Row],[商品
代碼]],'銀行-TSS'!B:AK,36,FALSE)),"")</f>
        <v>有</v>
      </c>
      <c r="Y110" s="400"/>
      <c r="Z110" s="400"/>
      <c r="AA110" s="401"/>
    </row>
    <row r="111" spans="2:27" s="399" customFormat="1" ht="24.75" customHeight="1">
      <c r="B111" s="1745" t="s">
        <v>623</v>
      </c>
      <c r="C111" s="1745" t="str">
        <f ca="1">IFERROR(VLOOKUP(表格1[[#This Row],[商品
代碼]],'銀行-TSS'!B:V,21,FALSE),"")</f>
        <v>(NPI)非專投</v>
      </c>
      <c r="D111" s="1746" t="str">
        <f>IFERROR(VLOOKUP(表格1[[#This Row],[商品
代碼]],bond!B:F,5,FALSE),"")</f>
        <v>US037833AL42</v>
      </c>
      <c r="E111" s="1746" t="str">
        <f ca="1">IFERROR(VLOOKUP(B111,'銀行-TSS'!B:D,3,FALSE),"")</f>
        <v>蘋果公司美元配息債券 3.85% 2043/5/4</v>
      </c>
      <c r="F111" s="1745" t="str">
        <f ca="1">IFERROR(VLOOKUP(B111,'銀行-TSS'!B:E,4,FALSE),"")</f>
        <v>Aaa / AA+ / -</v>
      </c>
      <c r="G111" s="1747">
        <f ca="1">IFERROR(VLOOKUP(B111,'銀行-TSS'!B:G,6,FALSE),"")</f>
        <v>18.84</v>
      </c>
      <c r="H111" s="1748">
        <f ca="1">IFERROR(VLOOKUP(B111,'銀行-TSS'!B:H,7,FALSE),"")</f>
        <v>3.85E-2</v>
      </c>
      <c r="I111" s="1745" t="str">
        <f ca="1">IFERROR(IF(表格1[[#This Row],[配息頻率]]=0,"",CHOOSE(表格1[[#This Row],[配息頻率]],MONTH(J111),IF(MONTH(J111)&lt;=6,CONCATENATE(MONTH(J111)," / ",MONTH(J111)+6),CONCATENATE(MONTH(J111)-6," / ",MONTH(J111))),0,"2 / 4 / 8 / 11")),"")</f>
        <v>5 / 11</v>
      </c>
      <c r="J111" s="1749" t="str">
        <f ca="1">IFERROR(VLOOKUP(B111,'銀行-TSS'!B:P,15,FALSE),"")</f>
        <v>2024/11/4</v>
      </c>
      <c r="K111" s="1750">
        <f ca="1">IFERROR(VLOOKUP(表格1[[#This Row],[商品
代碼]],'銀行-TSS'!B:I,8,FALSE),"")</f>
        <v>2</v>
      </c>
      <c r="L111" s="1747">
        <f ca="1">IFERROR(VLOOKUP(B111,'銀行-TSS'!B:K,10,FALSE),"")</f>
        <v>88.03</v>
      </c>
      <c r="M111" s="1745" t="str">
        <f ca="1">IF(表格1[[#This Row],[含息申購
參考價]]&gt;100,"溢價",IF(表格1[[#This Row],[含息申購
參考價]]&lt;100,"折價","平價"))</f>
        <v>折價</v>
      </c>
      <c r="N111" s="1751">
        <f ca="1">IFERROR(VLOOKUP(B111,'銀行-TSS'!B:M,12,FALSE),"")</f>
        <v>4.8800000000000003E-2</v>
      </c>
      <c r="O111" s="1752">
        <f ca="1">IFERROR(VLOOKUP(表格1[[#This Row],[商品
代碼]],'銀行-TSS'!B:AJ,35,FALSE),"")</f>
        <v>0</v>
      </c>
      <c r="P111" s="1753" t="str">
        <f ca="1">IFERROR(VLOOKUP(表格1[[#This Row],[商品
代碼]],'銀行-TSS'!B:AE,30,FALSE),"")</f>
        <v xml:space="preserve"> </v>
      </c>
      <c r="Q111" s="1749" t="str">
        <f ca="1">IFERROR(IF(VLOOKUP(表格1[[#This Row],[商品
代碼]],'銀行-TSS'!B:AM,38,FALSE)="#N/A Field Not Applicable","",VLOOKUP(表格1[[#This Row],[商品
代碼]],'銀行-TSS'!B:AM,38,FALSE)),"")</f>
        <v/>
      </c>
      <c r="R111" s="1749" t="str">
        <f ca="1">IFERROR(VLOOKUP(表格1[[#This Row],[商品
代碼]],'銀行-TSS'!B:AH,33,FALSE),"")</f>
        <v>美元(USD)</v>
      </c>
      <c r="S111" s="1754">
        <f ca="1">IFERROR(VLOOKUP(B111,'銀行-TSS'!B:N,13,FALSE),"")</f>
        <v>10000</v>
      </c>
      <c r="T111" s="1754" t="str">
        <f ca="1">VLOOKUP(表格1[[#This Row],[商品
代碼]],'銀行-TSS'!B:AI,34,FALSE)</f>
        <v>自由選清單</v>
      </c>
      <c r="U111" s="1755" t="str">
        <f ca="1">IFERROR(VLOOKUP(B111,'銀行-TSS'!B:Q,16,FALSE),"")</f>
        <v>科技</v>
      </c>
      <c r="V111" s="1755" t="str">
        <f ca="1">IFERROR(VLOOKUP(表格1[[#This Row],[商品
代碼]],'銀行-TSS'!B:AG,32,FALSE),"")</f>
        <v>固定</v>
      </c>
      <c r="W111" s="1756" t="str">
        <f ca="1">IFERROR(IFERROR(VLOOKUP(表格1[[#This Row],[商品
代碼]],'3_是否下架'!A:B,2,FALSE),VLOOKUP(表格1[[#This Row],[商品
代碼]],'銀行-TSS'!B:AK,36,FALSE)),"")</f>
        <v>有</v>
      </c>
      <c r="Y111" s="400"/>
      <c r="Z111" s="400"/>
      <c r="AA111" s="401"/>
    </row>
    <row r="112" spans="2:27" s="399" customFormat="1" ht="24.75" customHeight="1">
      <c r="B112" s="1745" t="s">
        <v>1081</v>
      </c>
      <c r="C112" s="1745" t="str">
        <f ca="1">IFERROR(VLOOKUP(表格1[[#This Row],[商品
代碼]],'銀行-TSS'!B:V,21,FALSE),"")</f>
        <v>(PI)專投</v>
      </c>
      <c r="D112" s="1746" t="str">
        <f>IFERROR(VLOOKUP(表格1[[#This Row],[商品
代碼]],bond!B:F,5,FALSE),"")</f>
        <v>US35671DBC83</v>
      </c>
      <c r="E112" s="1746" t="str">
        <f ca="1">IFERROR(VLOOKUP(B112,'銀行-TSS'!B:D,3,FALSE),"")</f>
        <v>自由港麥克莫蘭銅金公司美元配息債券 5.45% 2043/3/15</v>
      </c>
      <c r="F112" s="1745" t="str">
        <f ca="1">IFERROR(VLOOKUP(B112,'銀行-TSS'!B:E,4,FALSE),"")</f>
        <v>Baa2 / BBB- / BBB</v>
      </c>
      <c r="G112" s="1747">
        <f ca="1">IFERROR(VLOOKUP(B112,'銀行-TSS'!B:G,6,FALSE),"")</f>
        <v>18.7</v>
      </c>
      <c r="H112" s="1748">
        <f ca="1">IFERROR(VLOOKUP(B112,'銀行-TSS'!B:H,7,FALSE),"")</f>
        <v>5.45E-2</v>
      </c>
      <c r="I112" s="1745" t="str">
        <f ca="1">IFERROR(IF(表格1[[#This Row],[配息頻率]]=0,"",CHOOSE(表格1[[#This Row],[配息頻率]],MONTH(J112),IF(MONTH(J112)&lt;=6,CONCATENATE(MONTH(J112)," / ",MONTH(J112)+6),CONCATENATE(MONTH(J112)-6," / ",MONTH(J112))),0,"2 / 4 / 8 / 11")),"")</f>
        <v>3 / 9</v>
      </c>
      <c r="J112" s="1749" t="str">
        <f ca="1">IFERROR(VLOOKUP(B112,'銀行-TSS'!B:P,15,FALSE),"")</f>
        <v>2024/9/15</v>
      </c>
      <c r="K112" s="1750">
        <f ca="1">IFERROR(VLOOKUP(表格1[[#This Row],[商品
代碼]],'銀行-TSS'!B:I,8,FALSE),"")</f>
        <v>2</v>
      </c>
      <c r="L112" s="1747">
        <f ca="1">IFERROR(VLOOKUP(B112,'銀行-TSS'!B:K,10,FALSE),"")</f>
        <v>99.64</v>
      </c>
      <c r="M112" s="1745" t="str">
        <f ca="1">IF(表格1[[#This Row],[含息申購
參考價]]&gt;100,"溢價",IF(表格1[[#This Row],[含息申購
參考價]]&lt;100,"折價","平價"))</f>
        <v>折價</v>
      </c>
      <c r="N112" s="1751">
        <f ca="1">IFERROR(VLOOKUP(B112,'銀行-TSS'!B:M,12,FALSE),"")</f>
        <v>5.62E-2</v>
      </c>
      <c r="O112" s="1752">
        <f ca="1">IFERROR(VLOOKUP(表格1[[#This Row],[商品
代碼]],'銀行-TSS'!B:AJ,35,FALSE),"")</f>
        <v>0</v>
      </c>
      <c r="P112" s="1753">
        <f ca="1">IFERROR(VLOOKUP(表格1[[#This Row],[商品
代碼]],'銀行-TSS'!B:AE,30,FALSE),"")</f>
        <v>5.62E-2</v>
      </c>
      <c r="Q112" s="1749" t="str">
        <f ca="1">IFERROR(IF(VLOOKUP(表格1[[#This Row],[商品
代碼]],'銀行-TSS'!B:AM,38,FALSE)="#N/A Field Not Applicable","",VLOOKUP(表格1[[#This Row],[商品
代碼]],'銀行-TSS'!B:AM,38,FALSE)),"")</f>
        <v>2042/9/15</v>
      </c>
      <c r="R112" s="1749" t="str">
        <f ca="1">IFERROR(VLOOKUP(表格1[[#This Row],[商品
代碼]],'銀行-TSS'!B:AH,33,FALSE),"")</f>
        <v>美元(USD)</v>
      </c>
      <c r="S112" s="1754">
        <f ca="1">IFERROR(VLOOKUP(B112,'銀行-TSS'!B:N,13,FALSE),"")</f>
        <v>10000</v>
      </c>
      <c r="T112" s="1754" t="str">
        <f ca="1">VLOOKUP(表格1[[#This Row],[商品
代碼]],'銀行-TSS'!B:AI,34,FALSE)</f>
        <v>自由選清單</v>
      </c>
      <c r="U112" s="1755" t="str">
        <f ca="1">IFERROR(VLOOKUP(B112,'銀行-TSS'!B:Q,16,FALSE),"")</f>
        <v>原物料</v>
      </c>
      <c r="V112" s="1755" t="str">
        <f ca="1">IFERROR(VLOOKUP(表格1[[#This Row],[商品
代碼]],'銀行-TSS'!B:AG,32,FALSE),"")</f>
        <v>固定</v>
      </c>
      <c r="W112" s="1756" t="str">
        <f ca="1">IFERROR(IFERROR(VLOOKUP(表格1[[#This Row],[商品
代碼]],'3_是否下架'!A:B,2,FALSE),VLOOKUP(表格1[[#This Row],[商品
代碼]],'銀行-TSS'!B:AK,36,FALSE)),"")</f>
        <v>有</v>
      </c>
      <c r="Y112" s="400"/>
      <c r="Z112" s="400"/>
      <c r="AA112" s="401"/>
    </row>
    <row r="113" spans="2:27" s="399" customFormat="1" ht="24.75" customHeight="1">
      <c r="B113" s="1745" t="s">
        <v>1204</v>
      </c>
      <c r="C113" s="1745" t="str">
        <f ca="1">IFERROR(VLOOKUP(表格1[[#This Row],[商品
代碼]],'銀行-TSS'!B:V,21,FALSE),"")</f>
        <v>(PI)專投</v>
      </c>
      <c r="D113" s="1746" t="str">
        <f>IFERROR(VLOOKUP(表格1[[#This Row],[商品
代碼]],bond!B:F,5,FALSE),"")</f>
        <v>US92553PAP71</v>
      </c>
      <c r="E113" s="1746" t="str">
        <f ca="1">IFERROR(VLOOKUP(B113,'銀行-TSS'!B:D,3,FALSE),"")</f>
        <v>派拉蒙全球美元配息債券 4.375% 2043/3/15</v>
      </c>
      <c r="F113" s="1745" t="str">
        <f ca="1">IFERROR(VLOOKUP(B113,'銀行-TSS'!B:E,4,FALSE),"")</f>
        <v>Baa3 / BB+ / BBB-</v>
      </c>
      <c r="G113" s="1747">
        <f ca="1">IFERROR(VLOOKUP(B113,'銀行-TSS'!B:G,6,FALSE),"")</f>
        <v>18.7</v>
      </c>
      <c r="H113" s="1748">
        <f ca="1">IFERROR(VLOOKUP(B113,'銀行-TSS'!B:H,7,FALSE),"")</f>
        <v>4.3749999999999997E-2</v>
      </c>
      <c r="I113" s="1745" t="str">
        <f ca="1">IFERROR(IF(表格1[[#This Row],[配息頻率]]=0,"",CHOOSE(表格1[[#This Row],[配息頻率]],MONTH(J113),IF(MONTH(J113)&lt;=6,CONCATENATE(MONTH(J113)," / ",MONTH(J113)+6),CONCATENATE(MONTH(J113)-6," / ",MONTH(J113))),0,"2 / 4 / 8 / 11")),"")</f>
        <v>3 / 9</v>
      </c>
      <c r="J113" s="1749" t="str">
        <f ca="1">IFERROR(VLOOKUP(B113,'銀行-TSS'!B:P,15,FALSE),"")</f>
        <v>2024/9/15</v>
      </c>
      <c r="K113" s="1750">
        <f ca="1">IFERROR(VLOOKUP(表格1[[#This Row],[商品
代碼]],'銀行-TSS'!B:I,8,FALSE),"")</f>
        <v>2</v>
      </c>
      <c r="L113" s="1747">
        <f ca="1">IFERROR(VLOOKUP(B113,'銀行-TSS'!B:K,10,FALSE),"")</f>
        <v>70.930000000000007</v>
      </c>
      <c r="M113" s="1745" t="str">
        <f ca="1">IF(表格1[[#This Row],[含息申購
參考價]]&gt;100,"溢價",IF(表格1[[#This Row],[含息申購
參考價]]&lt;100,"折價","平價"))</f>
        <v>折價</v>
      </c>
      <c r="N113" s="1751">
        <f ca="1">IFERROR(VLOOKUP(B113,'銀行-TSS'!B:M,12,FALSE),"")</f>
        <v>7.3999999999999996E-2</v>
      </c>
      <c r="O113" s="1752">
        <f ca="1">IFERROR(VLOOKUP(表格1[[#This Row],[商品
代碼]],'銀行-TSS'!B:AJ,35,FALSE),"")</f>
        <v>0</v>
      </c>
      <c r="P113" s="1753" t="str">
        <f ca="1">IFERROR(VLOOKUP(表格1[[#This Row],[商品
代碼]],'銀行-TSS'!B:AE,30,FALSE),"")</f>
        <v xml:space="preserve"> </v>
      </c>
      <c r="Q113" s="1749" t="str">
        <f ca="1">IFERROR(IF(VLOOKUP(表格1[[#This Row],[商品
代碼]],'銀行-TSS'!B:AM,38,FALSE)="#N/A Field Not Applicable","",VLOOKUP(表格1[[#This Row],[商品
代碼]],'銀行-TSS'!B:AM,38,FALSE)),"")</f>
        <v/>
      </c>
      <c r="R113" s="1749" t="str">
        <f ca="1">IFERROR(VLOOKUP(表格1[[#This Row],[商品
代碼]],'銀行-TSS'!B:AH,33,FALSE),"")</f>
        <v>美元(USD)</v>
      </c>
      <c r="S113" s="1754">
        <f ca="1">IFERROR(VLOOKUP(B113,'銀行-TSS'!B:N,13,FALSE),"")</f>
        <v>10000</v>
      </c>
      <c r="T113" s="1754" t="str">
        <f ca="1">VLOOKUP(表格1[[#This Row],[商品
代碼]],'銀行-TSS'!B:AI,34,FALSE)</f>
        <v>自由選清單</v>
      </c>
      <c r="U113" s="1755" t="str">
        <f ca="1">IFERROR(VLOOKUP(B113,'銀行-TSS'!B:Q,16,FALSE),"")</f>
        <v>通訊</v>
      </c>
      <c r="V113" s="1755" t="str">
        <f ca="1">IFERROR(VLOOKUP(表格1[[#This Row],[商品
代碼]],'銀行-TSS'!B:AG,32,FALSE),"")</f>
        <v>固定</v>
      </c>
      <c r="W113" s="1756" t="str">
        <f ca="1">IFERROR(IFERROR(VLOOKUP(表格1[[#This Row],[商品
代碼]],'3_是否下架'!A:B,2,FALSE),VLOOKUP(表格1[[#This Row],[商品
代碼]],'銀行-TSS'!B:AK,36,FALSE)),"")</f>
        <v>有</v>
      </c>
      <c r="Y113" s="400"/>
      <c r="Z113" s="400"/>
      <c r="AA113" s="401"/>
    </row>
    <row r="114" spans="2:27" s="399" customFormat="1" ht="24.75" customHeight="1">
      <c r="B114" s="1745" t="s">
        <v>1195</v>
      </c>
      <c r="C114" s="1745" t="str">
        <f ca="1">IFERROR(VLOOKUP(表格1[[#This Row],[商品
代碼]],'銀行-TSS'!B:V,21,FALSE),"")</f>
        <v>(NPI)非專投</v>
      </c>
      <c r="D114" s="1746" t="str">
        <f>IFERROR(VLOOKUP(表格1[[#This Row],[商品
代碼]],bond!B:F,5,FALSE),"")</f>
        <v>US084670BK32</v>
      </c>
      <c r="E114" s="1746" t="str">
        <f ca="1">IFERROR(VLOOKUP(B114,'銀行-TSS'!B:D,3,FALSE),"")</f>
        <v>波克夏海瑟威公司美元配息債券 4.5% 2043/2/11</v>
      </c>
      <c r="F114" s="1745" t="str">
        <f ca="1">IFERROR(VLOOKUP(B114,'銀行-TSS'!B:E,4,FALSE),"")</f>
        <v>Aa2 / AA / A+u</v>
      </c>
      <c r="G114" s="1747">
        <f ca="1">IFERROR(VLOOKUP(B114,'銀行-TSS'!B:G,6,FALSE),"")</f>
        <v>18.61</v>
      </c>
      <c r="H114" s="1748">
        <f ca="1">IFERROR(VLOOKUP(B114,'銀行-TSS'!B:H,7,FALSE),"")</f>
        <v>4.4999999999999998E-2</v>
      </c>
      <c r="I114" s="1745" t="str">
        <f ca="1">IFERROR(IF(表格1[[#This Row],[配息頻率]]=0,"",CHOOSE(表格1[[#This Row],[配息頻率]],MONTH(J114),IF(MONTH(J114)&lt;=6,CONCATENATE(MONTH(J114)," / ",MONTH(J114)+6),CONCATENATE(MONTH(J114)-6," / ",MONTH(J114))),0,"2 / 4 / 8 / 11")),"")</f>
        <v>2 / 8</v>
      </c>
      <c r="J114" s="1749" t="str">
        <f ca="1">IFERROR(VLOOKUP(B114,'銀行-TSS'!B:P,15,FALSE),"")</f>
        <v>2024/8/11</v>
      </c>
      <c r="K114" s="1750">
        <f ca="1">IFERROR(VLOOKUP(表格1[[#This Row],[商品
代碼]],'銀行-TSS'!B:I,8,FALSE),"")</f>
        <v>2</v>
      </c>
      <c r="L114" s="1747">
        <f ca="1">IFERROR(VLOOKUP(B114,'銀行-TSS'!B:K,10,FALSE),"")</f>
        <v>97.83</v>
      </c>
      <c r="M114" s="1745" t="str">
        <f ca="1">IF(表格1[[#This Row],[含息申購
參考價]]&gt;100,"溢價",IF(表格1[[#This Row],[含息申購
參考價]]&lt;100,"折價","平價"))</f>
        <v>折價</v>
      </c>
      <c r="N114" s="1751">
        <f ca="1">IFERROR(VLOOKUP(B114,'銀行-TSS'!B:M,12,FALSE),"")</f>
        <v>4.82E-2</v>
      </c>
      <c r="O114" s="1752">
        <f ca="1">IFERROR(VLOOKUP(表格1[[#This Row],[商品
代碼]],'銀行-TSS'!B:AJ,35,FALSE),"")</f>
        <v>0</v>
      </c>
      <c r="P114" s="1753" t="str">
        <f ca="1">IFERROR(VLOOKUP(表格1[[#This Row],[商品
代碼]],'銀行-TSS'!B:AE,30,FALSE),"")</f>
        <v xml:space="preserve"> </v>
      </c>
      <c r="Q114" s="1749" t="str">
        <f ca="1">IFERROR(IF(VLOOKUP(表格1[[#This Row],[商品
代碼]],'銀行-TSS'!B:AM,38,FALSE)="#N/A Field Not Applicable","",VLOOKUP(表格1[[#This Row],[商品
代碼]],'銀行-TSS'!B:AM,38,FALSE)),"")</f>
        <v/>
      </c>
      <c r="R114" s="1749" t="str">
        <f ca="1">IFERROR(VLOOKUP(表格1[[#This Row],[商品
代碼]],'銀行-TSS'!B:AH,33,FALSE),"")</f>
        <v>美元(USD)</v>
      </c>
      <c r="S114" s="1754">
        <f ca="1">IFERROR(VLOOKUP(B114,'銀行-TSS'!B:N,13,FALSE),"")</f>
        <v>2000</v>
      </c>
      <c r="T114" s="1754" t="str">
        <f ca="1">VLOOKUP(表格1[[#This Row],[商品
代碼]],'銀行-TSS'!B:AI,34,FALSE)</f>
        <v>自由選清單</v>
      </c>
      <c r="U114" s="1755" t="str">
        <f ca="1">IFERROR(VLOOKUP(B114,'銀行-TSS'!B:Q,16,FALSE),"")</f>
        <v>金融</v>
      </c>
      <c r="V114" s="1755" t="str">
        <f ca="1">IFERROR(VLOOKUP(表格1[[#This Row],[商品
代碼]],'銀行-TSS'!B:AG,32,FALSE),"")</f>
        <v>固定</v>
      </c>
      <c r="W114" s="1756" t="str">
        <f ca="1">IFERROR(IFERROR(VLOOKUP(表格1[[#This Row],[商品
代碼]],'3_是否下架'!A:B,2,FALSE),VLOOKUP(表格1[[#This Row],[商品
代碼]],'銀行-TSS'!B:AK,36,FALSE)),"")</f>
        <v>有</v>
      </c>
      <c r="Y114" s="400"/>
      <c r="Z114" s="400"/>
      <c r="AA114" s="401"/>
    </row>
    <row r="115" spans="2:27" s="399" customFormat="1" ht="24.75" customHeight="1">
      <c r="B115" s="1745" t="s">
        <v>1085</v>
      </c>
      <c r="C115" s="1745" t="str">
        <f ca="1">IFERROR(VLOOKUP(表格1[[#This Row],[商品
代碼]],'銀行-TSS'!B:V,21,FALSE),"")</f>
        <v>(PI)專投</v>
      </c>
      <c r="D115" s="1746" t="str">
        <f>IFERROR(VLOOKUP(表格1[[#This Row],[商品
代碼]],bond!B:F,5,FALSE),"")</f>
        <v>US345370CQ17</v>
      </c>
      <c r="E115" s="1746" t="str">
        <f ca="1">IFERROR(VLOOKUP(B115,'銀行-TSS'!B:D,3,FALSE),"")</f>
        <v>福特汽車公司美元配息債券 4.75% 2043/1/15</v>
      </c>
      <c r="F115" s="1745" t="str">
        <f ca="1">IFERROR(VLOOKUP(B115,'銀行-TSS'!B:E,4,FALSE),"")</f>
        <v>Ba1 / BBB- / BBB-</v>
      </c>
      <c r="G115" s="1747">
        <f ca="1">IFERROR(VLOOKUP(B115,'銀行-TSS'!B:G,6,FALSE),"")</f>
        <v>18.54</v>
      </c>
      <c r="H115" s="1748">
        <f ca="1">IFERROR(VLOOKUP(B115,'銀行-TSS'!B:H,7,FALSE),"")</f>
        <v>4.7500000000000001E-2</v>
      </c>
      <c r="I115" s="1745" t="str">
        <f ca="1">IFERROR(IF(表格1[[#This Row],[配息頻率]]=0,"",CHOOSE(表格1[[#This Row],[配息頻率]],MONTH(J115),IF(MONTH(J115)&lt;=6,CONCATENATE(MONTH(J115)," / ",MONTH(J115)+6),CONCATENATE(MONTH(J115)-6," / ",MONTH(J115))),0,"2 / 4 / 8 / 11")),"")</f>
        <v>1 / 7</v>
      </c>
      <c r="J115" s="1749" t="str">
        <f ca="1">IFERROR(VLOOKUP(B115,'銀行-TSS'!B:P,15,FALSE),"")</f>
        <v>2024/7/15</v>
      </c>
      <c r="K115" s="1750">
        <f ca="1">IFERROR(VLOOKUP(表格1[[#This Row],[商品
代碼]],'銀行-TSS'!B:I,8,FALSE),"")</f>
        <v>2</v>
      </c>
      <c r="L115" s="1747">
        <f ca="1">IFERROR(VLOOKUP(B115,'銀行-TSS'!B:K,10,FALSE),"")</f>
        <v>86.8</v>
      </c>
      <c r="M115" s="1745" t="str">
        <f ca="1">IF(表格1[[#This Row],[含息申購
參考價]]&gt;100,"溢價",IF(表格1[[#This Row],[含息申購
參考價]]&lt;100,"折價","平價"))</f>
        <v>折價</v>
      </c>
      <c r="N115" s="1751">
        <f ca="1">IFERROR(VLOOKUP(B115,'銀行-TSS'!B:M,12,FALSE),"")</f>
        <v>6.1499999999999999E-2</v>
      </c>
      <c r="O115" s="1752">
        <f ca="1">IFERROR(VLOOKUP(表格1[[#This Row],[商品
代碼]],'銀行-TSS'!B:AJ,35,FALSE),"")</f>
        <v>0</v>
      </c>
      <c r="P115" s="1753" t="str">
        <f ca="1">IFERROR(VLOOKUP(表格1[[#This Row],[商品
代碼]],'銀行-TSS'!B:AE,30,FALSE),"")</f>
        <v xml:space="preserve"> </v>
      </c>
      <c r="Q115" s="1749" t="str">
        <f ca="1">IFERROR(IF(VLOOKUP(表格1[[#This Row],[商品
代碼]],'銀行-TSS'!B:AM,38,FALSE)="#N/A Field Not Applicable","",VLOOKUP(表格1[[#This Row],[商品
代碼]],'銀行-TSS'!B:AM,38,FALSE)),"")</f>
        <v/>
      </c>
      <c r="R115" s="1749" t="str">
        <f ca="1">IFERROR(VLOOKUP(表格1[[#This Row],[商品
代碼]],'銀行-TSS'!B:AH,33,FALSE),"")</f>
        <v>美元(USD)</v>
      </c>
      <c r="S115" s="1754">
        <f ca="1">IFERROR(VLOOKUP(B115,'銀行-TSS'!B:N,13,FALSE),"")</f>
        <v>10000</v>
      </c>
      <c r="T115" s="1754" t="str">
        <f ca="1">VLOOKUP(表格1[[#This Row],[商品
代碼]],'銀行-TSS'!B:AI,34,FALSE)</f>
        <v>自由選清單</v>
      </c>
      <c r="U115" s="1755" t="str">
        <f ca="1">IFERROR(VLOOKUP(B115,'銀行-TSS'!B:Q,16,FALSE),"")</f>
        <v>非核心消費</v>
      </c>
      <c r="V115" s="1755" t="str">
        <f ca="1">IFERROR(VLOOKUP(表格1[[#This Row],[商品
代碼]],'銀行-TSS'!B:AG,32,FALSE),"")</f>
        <v>固定</v>
      </c>
      <c r="W115" s="1756" t="str">
        <f ca="1">IFERROR(IFERROR(VLOOKUP(表格1[[#This Row],[商品
代碼]],'3_是否下架'!A:B,2,FALSE),VLOOKUP(表格1[[#This Row],[商品
代碼]],'銀行-TSS'!B:AK,36,FALSE)),"")</f>
        <v>有</v>
      </c>
      <c r="Y115" s="400"/>
      <c r="Z115" s="400"/>
      <c r="AA115" s="401"/>
    </row>
    <row r="116" spans="2:27" s="399" customFormat="1" ht="24.75" customHeight="1">
      <c r="B116" s="1745" t="s">
        <v>936</v>
      </c>
      <c r="C116" s="1745" t="str">
        <f ca="1">IFERROR(VLOOKUP(表格1[[#This Row],[商品
代碼]],'銀行-TSS'!B:V,21,FALSE),"")</f>
        <v>(NPI)非專投</v>
      </c>
      <c r="D116" s="1746" t="str">
        <f>IFERROR(VLOOKUP(表格1[[#This Row],[商品
代碼]],bond!B:F,5,FALSE),"")</f>
        <v>US539830BB41</v>
      </c>
      <c r="E116" s="1746" t="str">
        <f ca="1">IFERROR(VLOOKUP(B116,'銀行-TSS'!B:D,3,FALSE),"")</f>
        <v>洛克希德馬丁公司美元配息債券 4.07% 2042/12/15</v>
      </c>
      <c r="F116" s="1745" t="str">
        <f ca="1">IFERROR(VLOOKUP(B116,'銀行-TSS'!B:E,4,FALSE),"")</f>
        <v>A2 / A- / A</v>
      </c>
      <c r="G116" s="1747">
        <f ca="1">IFERROR(VLOOKUP(B116,'銀行-TSS'!B:G,6,FALSE),"")</f>
        <v>18.45</v>
      </c>
      <c r="H116" s="1748">
        <f ca="1">IFERROR(VLOOKUP(B116,'銀行-TSS'!B:H,7,FALSE),"")</f>
        <v>4.07E-2</v>
      </c>
      <c r="I116" s="1745" t="str">
        <f ca="1">IFERROR(IF(表格1[[#This Row],[配息頻率]]=0,"",CHOOSE(表格1[[#This Row],[配息頻率]],MONTH(J116),IF(MONTH(J116)&lt;=6,CONCATENATE(MONTH(J116)," / ",MONTH(J116)+6),CONCATENATE(MONTH(J116)-6," / ",MONTH(J116))),0,"2 / 4 / 8 / 11")),"")</f>
        <v>6 / 12</v>
      </c>
      <c r="J116" s="1749" t="str">
        <f ca="1">IFERROR(VLOOKUP(B116,'銀行-TSS'!B:P,15,FALSE),"")</f>
        <v>2024/12/15</v>
      </c>
      <c r="K116" s="1750">
        <f ca="1">IFERROR(VLOOKUP(表格1[[#This Row],[商品
代碼]],'銀行-TSS'!B:I,8,FALSE),"")</f>
        <v>2</v>
      </c>
      <c r="L116" s="1747">
        <f ca="1">IFERROR(VLOOKUP(B116,'銀行-TSS'!B:K,10,FALSE),"")</f>
        <v>88</v>
      </c>
      <c r="M116" s="1745" t="str">
        <f ca="1">IF(表格1[[#This Row],[含息申購
參考價]]&gt;100,"溢價",IF(表格1[[#This Row],[含息申購
參考價]]&lt;100,"折價","平價"))</f>
        <v>折價</v>
      </c>
      <c r="N116" s="1751">
        <f ca="1">IFERROR(VLOOKUP(B116,'銀行-TSS'!B:M,12,FALSE),"")</f>
        <v>5.0999999999999997E-2</v>
      </c>
      <c r="O116" s="1752">
        <f ca="1">IFERROR(VLOOKUP(表格1[[#This Row],[商品
代碼]],'銀行-TSS'!B:AJ,35,FALSE),"")</f>
        <v>0</v>
      </c>
      <c r="P116" s="1753" t="str">
        <f ca="1">IFERROR(VLOOKUP(表格1[[#This Row],[商品
代碼]],'銀行-TSS'!B:AE,30,FALSE),"")</f>
        <v xml:space="preserve"> </v>
      </c>
      <c r="Q116" s="1749" t="str">
        <f ca="1">IFERROR(IF(VLOOKUP(表格1[[#This Row],[商品
代碼]],'銀行-TSS'!B:AM,38,FALSE)="#N/A Field Not Applicable","",VLOOKUP(表格1[[#This Row],[商品
代碼]],'銀行-TSS'!B:AM,38,FALSE)),"")</f>
        <v/>
      </c>
      <c r="R116" s="1749" t="str">
        <f ca="1">IFERROR(VLOOKUP(表格1[[#This Row],[商品
代碼]],'銀行-TSS'!B:AH,33,FALSE),"")</f>
        <v>美元(USD)</v>
      </c>
      <c r="S116" s="1754">
        <f ca="1">IFERROR(VLOOKUP(B116,'銀行-TSS'!B:N,13,FALSE),"")</f>
        <v>10000</v>
      </c>
      <c r="T116" s="1754" t="str">
        <f ca="1">VLOOKUP(表格1[[#This Row],[商品
代碼]],'銀行-TSS'!B:AI,34,FALSE)</f>
        <v>自由選清單</v>
      </c>
      <c r="U116" s="1755" t="str">
        <f ca="1">IFERROR(VLOOKUP(B116,'銀行-TSS'!B:Q,16,FALSE),"")</f>
        <v>工業</v>
      </c>
      <c r="V116" s="1755" t="str">
        <f ca="1">IFERROR(VLOOKUP(表格1[[#This Row],[商品
代碼]],'銀行-TSS'!B:AG,32,FALSE),"")</f>
        <v>固定</v>
      </c>
      <c r="W116" s="1756" t="str">
        <f ca="1">IFERROR(IFERROR(VLOOKUP(表格1[[#This Row],[商品
代碼]],'3_是否下架'!A:B,2,FALSE),VLOOKUP(表格1[[#This Row],[商品
代碼]],'銀行-TSS'!B:AK,36,FALSE)),"")</f>
        <v>有</v>
      </c>
      <c r="Y116" s="400"/>
      <c r="Z116" s="400"/>
      <c r="AA116" s="401"/>
    </row>
    <row r="117" spans="2:27" s="399" customFormat="1" ht="24.75" customHeight="1">
      <c r="B117" s="1745" t="s">
        <v>1258</v>
      </c>
      <c r="C117" s="1745" t="str">
        <f ca="1">IFERROR(VLOOKUP(表格1[[#This Row],[商品
代碼]],'銀行-TSS'!B:V,21,FALSE),"")</f>
        <v>(NPI)非專投</v>
      </c>
      <c r="D117" s="1746" t="str">
        <f>IFERROR(VLOOKUP(表格1[[#This Row],[商品
代碼]],bond!B:F,5,FALSE),"")</f>
        <v>US025816BF52</v>
      </c>
      <c r="E117" s="1746" t="str">
        <f ca="1">IFERROR(VLOOKUP(B117,'銀行-TSS'!B:D,3,FALSE),"")</f>
        <v>美國運通公司美元配息債券 4.05% 2042/12/3</v>
      </c>
      <c r="F117" s="1745" t="str">
        <f ca="1">IFERROR(VLOOKUP(B117,'銀行-TSS'!B:E,4,FALSE),"")</f>
        <v>A2 / BBB+ / A</v>
      </c>
      <c r="G117" s="1747">
        <f ca="1">IFERROR(VLOOKUP(B117,'銀行-TSS'!B:G,6,FALSE),"")</f>
        <v>18.420000000000002</v>
      </c>
      <c r="H117" s="1748">
        <f ca="1">IFERROR(VLOOKUP(B117,'銀行-TSS'!B:H,7,FALSE),"")</f>
        <v>4.0500000000000001E-2</v>
      </c>
      <c r="I117" s="1745" t="str">
        <f ca="1">IFERROR(IF(表格1[[#This Row],[配息頻率]]=0,"",CHOOSE(表格1[[#This Row],[配息頻率]],MONTH(J117),IF(MONTH(J117)&lt;=6,CONCATENATE(MONTH(J117)," / ",MONTH(J117)+6),CONCATENATE(MONTH(J117)-6," / ",MONTH(J117))),0,"2 / 4 / 8 / 11")),"")</f>
        <v>6 / 12</v>
      </c>
      <c r="J117" s="1749" t="str">
        <f ca="1">IFERROR(VLOOKUP(B117,'銀行-TSS'!B:P,15,FALSE),"")</f>
        <v>2024/12/3</v>
      </c>
      <c r="K117" s="1750">
        <f ca="1">IFERROR(VLOOKUP(表格1[[#This Row],[商品
代碼]],'銀行-TSS'!B:I,8,FALSE),"")</f>
        <v>2</v>
      </c>
      <c r="L117" s="1747">
        <f ca="1">IFERROR(VLOOKUP(B117,'銀行-TSS'!B:K,10,FALSE),"")</f>
        <v>86.85</v>
      </c>
      <c r="M117" s="1745" t="str">
        <f ca="1">IF(表格1[[#This Row],[含息申購
參考價]]&gt;100,"溢價",IF(表格1[[#This Row],[含息申購
參考價]]&lt;100,"折價","平價"))</f>
        <v>折價</v>
      </c>
      <c r="N117" s="1751">
        <f ca="1">IFERROR(VLOOKUP(B117,'銀行-TSS'!B:M,12,FALSE),"")</f>
        <v>5.1999999999999998E-2</v>
      </c>
      <c r="O117" s="1752">
        <f ca="1">IFERROR(VLOOKUP(表格1[[#This Row],[商品
代碼]],'銀行-TSS'!B:AJ,35,FALSE),"")</f>
        <v>0</v>
      </c>
      <c r="P117" s="1753" t="str">
        <f ca="1">IFERROR(VLOOKUP(表格1[[#This Row],[商品
代碼]],'銀行-TSS'!B:AE,30,FALSE),"")</f>
        <v xml:space="preserve"> </v>
      </c>
      <c r="Q117" s="1749" t="str">
        <f ca="1">IFERROR(IF(VLOOKUP(表格1[[#This Row],[商品
代碼]],'銀行-TSS'!B:AM,38,FALSE)="#N/A Field Not Applicable","",VLOOKUP(表格1[[#This Row],[商品
代碼]],'銀行-TSS'!B:AM,38,FALSE)),"")</f>
        <v/>
      </c>
      <c r="R117" s="1749" t="str">
        <f ca="1">IFERROR(VLOOKUP(表格1[[#This Row],[商品
代碼]],'銀行-TSS'!B:AH,33,FALSE),"")</f>
        <v>美元(USD)</v>
      </c>
      <c r="S117" s="1754">
        <f ca="1">IFERROR(VLOOKUP(B117,'銀行-TSS'!B:N,13,FALSE),"")</f>
        <v>10000</v>
      </c>
      <c r="T117" s="1754" t="str">
        <f ca="1">VLOOKUP(表格1[[#This Row],[商品
代碼]],'銀行-TSS'!B:AI,34,FALSE)</f>
        <v>自由選清單</v>
      </c>
      <c r="U117" s="1755" t="str">
        <f ca="1">IFERROR(VLOOKUP(B117,'銀行-TSS'!B:Q,16,FALSE),"")</f>
        <v>金融</v>
      </c>
      <c r="V117" s="1755" t="str">
        <f ca="1">IFERROR(VLOOKUP(表格1[[#This Row],[商品
代碼]],'銀行-TSS'!B:AG,32,FALSE),"")</f>
        <v>固定</v>
      </c>
      <c r="W117" s="1756" t="str">
        <f ca="1">IFERROR(IFERROR(VLOOKUP(表格1[[#This Row],[商品
代碼]],'3_是否下架'!A:B,2,FALSE),VLOOKUP(表格1[[#This Row],[商品
代碼]],'銀行-TSS'!B:AK,36,FALSE)),"")</f>
        <v>有</v>
      </c>
      <c r="Y117" s="400"/>
      <c r="Z117" s="400"/>
      <c r="AA117" s="401"/>
    </row>
    <row r="118" spans="2:27" s="399" customFormat="1" ht="24.75" customHeight="1">
      <c r="B118" s="1745" t="s">
        <v>1033</v>
      </c>
      <c r="C118" s="1745" t="str">
        <f ca="1">IFERROR(VLOOKUP(表格1[[#This Row],[商品
代碼]],'銀行-TSS'!B:V,21,FALSE),"")</f>
        <v>(PI)專投</v>
      </c>
      <c r="D118" s="1746" t="str">
        <f>IFERROR(VLOOKUP(表格1[[#This Row],[商品
代碼]],bond!B:F,5,FALSE),"")</f>
        <v>US91912EAA38</v>
      </c>
      <c r="E118" s="1746" t="str">
        <f ca="1">IFERROR(VLOOKUP(B118,'銀行-TSS'!B:D,3,FALSE),"")</f>
        <v>巴西淡水河谷公司美元配息債券  5.625% 2042/9/11</v>
      </c>
      <c r="F118" s="1745" t="str">
        <f ca="1">IFERROR(VLOOKUP(B118,'銀行-TSS'!B:E,4,FALSE),"")</f>
        <v>Baa3 / BBB- / BBB</v>
      </c>
      <c r="G118" s="1747">
        <f ca="1">IFERROR(VLOOKUP(B118,'銀行-TSS'!B:G,6,FALSE),"")</f>
        <v>18.190000000000001</v>
      </c>
      <c r="H118" s="1748">
        <f ca="1">IFERROR(VLOOKUP(B118,'銀行-TSS'!B:H,7,FALSE),"")</f>
        <v>5.6250000000000001E-2</v>
      </c>
      <c r="I118" s="1745" t="str">
        <f ca="1">IFERROR(IF(表格1[[#This Row],[配息頻率]]=0,"",CHOOSE(表格1[[#This Row],[配息頻率]],MONTH(J118),IF(MONTH(J118)&lt;=6,CONCATENATE(MONTH(J118)," / ",MONTH(J118)+6),CONCATENATE(MONTH(J118)-6," / ",MONTH(J118))),0,"2 / 4 / 8 / 11")),"")</f>
        <v>3 / 9</v>
      </c>
      <c r="J118" s="1749" t="str">
        <f ca="1">IFERROR(VLOOKUP(B118,'銀行-TSS'!B:P,15,FALSE),"")</f>
        <v>2024/9/11</v>
      </c>
      <c r="K118" s="1750">
        <f ca="1">IFERROR(VLOOKUP(表格1[[#This Row],[商品
代碼]],'銀行-TSS'!B:I,8,FALSE),"")</f>
        <v>2</v>
      </c>
      <c r="L118" s="1747">
        <f ca="1">IFERROR(VLOOKUP(B118,'銀行-TSS'!B:K,10,FALSE),"")</f>
        <v>103.37</v>
      </c>
      <c r="M118" s="1745" t="str">
        <f ca="1">IF(表格1[[#This Row],[含息申購
參考價]]&gt;100,"溢價",IF(表格1[[#This Row],[含息申購
參考價]]&lt;100,"折價","平價"))</f>
        <v>溢價</v>
      </c>
      <c r="N118" s="1751">
        <f ca="1">IFERROR(VLOOKUP(B118,'銀行-TSS'!B:M,12,FALSE),"")</f>
        <v>5.4800000000000001E-2</v>
      </c>
      <c r="O118" s="1752">
        <f ca="1">IFERROR(VLOOKUP(表格1[[#This Row],[商品
代碼]],'銀行-TSS'!B:AJ,35,FALSE),"")</f>
        <v>0</v>
      </c>
      <c r="P118" s="1753" t="str">
        <f ca="1">IFERROR(VLOOKUP(表格1[[#This Row],[商品
代碼]],'銀行-TSS'!B:AE,30,FALSE),"")</f>
        <v xml:space="preserve"> </v>
      </c>
      <c r="Q118" s="1749" t="str">
        <f ca="1">IFERROR(IF(VLOOKUP(表格1[[#This Row],[商品
代碼]],'銀行-TSS'!B:AM,38,FALSE)="#N/A Field Not Applicable","",VLOOKUP(表格1[[#This Row],[商品
代碼]],'銀行-TSS'!B:AM,38,FALSE)),"")</f>
        <v/>
      </c>
      <c r="R118" s="1749" t="str">
        <f ca="1">IFERROR(VLOOKUP(表格1[[#This Row],[商品
代碼]],'銀行-TSS'!B:AH,33,FALSE),"")</f>
        <v>美元(USD)</v>
      </c>
      <c r="S118" s="1754">
        <f ca="1">IFERROR(VLOOKUP(B118,'銀行-TSS'!B:N,13,FALSE),"")</f>
        <v>10000</v>
      </c>
      <c r="T118" s="1754" t="str">
        <f ca="1">VLOOKUP(表格1[[#This Row],[商品
代碼]],'銀行-TSS'!B:AI,34,FALSE)</f>
        <v>自由選清單</v>
      </c>
      <c r="U118" s="1755" t="str">
        <f ca="1">IFERROR(VLOOKUP(B118,'銀行-TSS'!B:Q,16,FALSE),"")</f>
        <v>原物料</v>
      </c>
      <c r="V118" s="1755" t="str">
        <f ca="1">IFERROR(VLOOKUP(表格1[[#This Row],[商品
代碼]],'銀行-TSS'!B:AG,32,FALSE),"")</f>
        <v>固定</v>
      </c>
      <c r="W118" s="1756" t="str">
        <f ca="1">IFERROR(IFERROR(VLOOKUP(表格1[[#This Row],[商品
代碼]],'3_是否下架'!A:B,2,FALSE),VLOOKUP(表格1[[#This Row],[商品
代碼]],'銀行-TSS'!B:AK,36,FALSE)),"")</f>
        <v>有</v>
      </c>
      <c r="Y118" s="400"/>
      <c r="Z118" s="400"/>
      <c r="AA118" s="401"/>
    </row>
    <row r="119" spans="2:27" s="399" customFormat="1" ht="24.75" customHeight="1">
      <c r="B119" s="1745" t="s">
        <v>1237</v>
      </c>
      <c r="C119" s="1745" t="str">
        <f ca="1">IFERROR(VLOOKUP(表格1[[#This Row],[商品
代碼]],'銀行-TSS'!B:V,21,FALSE),"")</f>
        <v>(NPI)非專投</v>
      </c>
      <c r="D119" s="1746" t="str">
        <f>IFERROR(VLOOKUP(表格1[[#This Row],[商品
代碼]],bond!B:F,5,FALSE),"")</f>
        <v>US912810TK43</v>
      </c>
      <c r="E119" s="1746" t="str">
        <f ca="1">IFERROR(VLOOKUP(B119,'銀行-TSS'!B:D,3,FALSE),"")</f>
        <v>美國政府公債 3.375% 2042/8/15</v>
      </c>
      <c r="F119" s="1745" t="str">
        <f ca="1">IFERROR(VLOOKUP(B119,'銀行-TSS'!B:E,4,FALSE),"")</f>
        <v>Aaa / - / AA+u</v>
      </c>
      <c r="G119" s="1747">
        <f ca="1">IFERROR(VLOOKUP(B119,'銀行-TSS'!B:G,6,FALSE),"")</f>
        <v>18.12</v>
      </c>
      <c r="H119" s="1748">
        <f ca="1">IFERROR(VLOOKUP(B119,'銀行-TSS'!B:H,7,FALSE),"")</f>
        <v>3.3750000000000002E-2</v>
      </c>
      <c r="I119" s="1745" t="str">
        <f ca="1">IFERROR(IF(表格1[[#This Row],[配息頻率]]=0,"",CHOOSE(表格1[[#This Row],[配息頻率]],MONTH(J119),IF(MONTH(J119)&lt;=6,CONCATENATE(MONTH(J119)," / ",MONTH(J119)+6),CONCATENATE(MONTH(J119)-6," / ",MONTH(J119))),0,"2 / 4 / 8 / 11")),"")</f>
        <v>2 / 8</v>
      </c>
      <c r="J119" s="1749" t="str">
        <f ca="1">IFERROR(VLOOKUP(B119,'銀行-TSS'!B:P,15,FALSE),"")</f>
        <v>2024/8/15</v>
      </c>
      <c r="K119" s="1750">
        <f ca="1">IFERROR(VLOOKUP(表格1[[#This Row],[商品
代碼]],'銀行-TSS'!B:I,8,FALSE),"")</f>
        <v>2</v>
      </c>
      <c r="L119" s="1747">
        <f ca="1">IFERROR(VLOOKUP(B119,'銀行-TSS'!B:K,10,FALSE),"")</f>
        <v>88.25</v>
      </c>
      <c r="M119" s="1745" t="str">
        <f ca="1">IF(表格1[[#This Row],[含息申購
參考價]]&gt;100,"溢價",IF(表格1[[#This Row],[含息申購
參考價]]&lt;100,"折價","平價"))</f>
        <v>折價</v>
      </c>
      <c r="N119" s="1751">
        <f ca="1">IFERROR(VLOOKUP(B119,'銀行-TSS'!B:M,12,FALSE),"")</f>
        <v>4.4299999999999999E-2</v>
      </c>
      <c r="O119" s="1752">
        <f ca="1">IFERROR(VLOOKUP(表格1[[#This Row],[商品
代碼]],'銀行-TSS'!B:AJ,35,FALSE),"")</f>
        <v>0</v>
      </c>
      <c r="P119" s="1751" t="str">
        <f ca="1">IFERROR(VLOOKUP(表格1[[#This Row],[商品
代碼]],'銀行-TSS'!B:AE,30,FALSE),"")</f>
        <v xml:space="preserve"> </v>
      </c>
      <c r="Q119" s="1749" t="str">
        <f ca="1">IFERROR(IF(VLOOKUP(表格1[[#This Row],[商品
代碼]],'銀行-TSS'!B:AM,38,FALSE)="#N/A Field Not Applicable","",VLOOKUP(表格1[[#This Row],[商品
代碼]],'銀行-TSS'!B:AM,38,FALSE)),"")</f>
        <v/>
      </c>
      <c r="R119" s="1749" t="str">
        <f ca="1">IFERROR(VLOOKUP(表格1[[#This Row],[商品
代碼]],'銀行-TSS'!B:AH,33,FALSE),"")</f>
        <v>美元(USD)</v>
      </c>
      <c r="S119" s="1754">
        <f ca="1">IFERROR(VLOOKUP(B119,'銀行-TSS'!B:N,13,FALSE),"")</f>
        <v>10000</v>
      </c>
      <c r="T119" s="1754" t="str">
        <f ca="1">VLOOKUP(表格1[[#This Row],[商品
代碼]],'銀行-TSS'!B:AI,34,FALSE)</f>
        <v>自由選清單</v>
      </c>
      <c r="U119" s="1745" t="str">
        <f ca="1">IFERROR(VLOOKUP(B119,'銀行-TSS'!B:Q,16,FALSE),"")</f>
        <v>政府</v>
      </c>
      <c r="V119" s="1755" t="str">
        <f ca="1">IFERROR(VLOOKUP(表格1[[#This Row],[商品
代碼]],'銀行-TSS'!B:AG,32,FALSE),"")</f>
        <v>固定</v>
      </c>
      <c r="W119" s="1757" t="str">
        <f ca="1">IFERROR(IFERROR(VLOOKUP(表格1[[#This Row],[商品
代碼]],'3_是否下架'!A:B,2,FALSE),VLOOKUP(表格1[[#This Row],[商品
代碼]],'銀行-TSS'!B:AK,36,FALSE)),"")</f>
        <v>有</v>
      </c>
      <c r="Y119" s="400"/>
      <c r="Z119" s="400"/>
      <c r="AA119" s="401"/>
    </row>
    <row r="120" spans="2:27" s="399" customFormat="1" ht="24.75" customHeight="1">
      <c r="B120" s="1745" t="s">
        <v>4043</v>
      </c>
      <c r="C120" s="1745" t="str">
        <f ca="1">IFERROR(VLOOKUP(表格1[[#This Row],[商品
代碼]],'銀行-TSS'!B:V,21,FALSE),"")</f>
        <v>(NPI)非專投</v>
      </c>
      <c r="D120" s="1746" t="str">
        <f>IFERROR(VLOOKUP(表格1[[#This Row],[商品
代碼]],bond!B:F,5,FALSE),"")</f>
        <v>US459200HF10</v>
      </c>
      <c r="E120" s="1746" t="str">
        <f ca="1">IFERROR(VLOOKUP(B120,'銀行-TSS'!B:D,3,FALSE),"")</f>
        <v>國際商業機器公司美元配息債券 4% 2042/6/20</v>
      </c>
      <c r="F120" s="1745" t="str">
        <f ca="1">IFERROR(VLOOKUP(B120,'銀行-TSS'!B:E,4,FALSE),"")</f>
        <v>A3 / A- / A-</v>
      </c>
      <c r="G120" s="1747">
        <f ca="1">IFERROR(VLOOKUP(B120,'銀行-TSS'!B:G,6,FALSE),"")</f>
        <v>17.97</v>
      </c>
      <c r="H120" s="1748">
        <f ca="1">IFERROR(VLOOKUP(B120,'銀行-TSS'!B:H,7,FALSE),"")</f>
        <v>0.04</v>
      </c>
      <c r="I120" s="1745" t="str">
        <f ca="1">IFERROR(IF(表格1[[#This Row],[配息頻率]]=0,"",CHOOSE(表格1[[#This Row],[配息頻率]],MONTH(J120),IF(MONTH(J120)&lt;=6,CONCATENATE(MONTH(J120)," / ",MONTH(J120)+6),CONCATENATE(MONTH(J120)-6," / ",MONTH(J120))),0,"2 / 4 / 8 / 11")),"")</f>
        <v>6 / 12</v>
      </c>
      <c r="J120" s="1749" t="str">
        <f ca="1">IFERROR(VLOOKUP(B120,'銀行-TSS'!B:P,15,FALSE),"")</f>
        <v>2024/12/20</v>
      </c>
      <c r="K120" s="1750">
        <f ca="1">IFERROR(VLOOKUP(表格1[[#This Row],[商品
代碼]],'銀行-TSS'!B:I,8,FALSE),"")</f>
        <v>2</v>
      </c>
      <c r="L120" s="1747">
        <f ca="1">IFERROR(VLOOKUP(B120,'銀行-TSS'!B:K,10,FALSE),"")</f>
        <v>85.49</v>
      </c>
      <c r="M120" s="1745" t="str">
        <f ca="1">IF(表格1[[#This Row],[含息申購
參考價]]&gt;100,"溢價",IF(表格1[[#This Row],[含息申購
參考價]]&lt;100,"折價","平價"))</f>
        <v>折價</v>
      </c>
      <c r="N120" s="1751">
        <f ca="1">IFERROR(VLOOKUP(B120,'銀行-TSS'!B:M,12,FALSE),"")</f>
        <v>5.2699999999999997E-2</v>
      </c>
      <c r="O120" s="1752">
        <f ca="1">IFERROR(VLOOKUP(表格1[[#This Row],[商品
代碼]],'銀行-TSS'!B:AJ,35,FALSE),"")</f>
        <v>0</v>
      </c>
      <c r="P120" s="1751" t="str">
        <f ca="1">IFERROR(VLOOKUP(表格1[[#This Row],[商品
代碼]],'銀行-TSS'!B:AE,30,FALSE),"")</f>
        <v xml:space="preserve"> </v>
      </c>
      <c r="Q120" s="1749" t="str">
        <f ca="1">IFERROR(IF(VLOOKUP(表格1[[#This Row],[商品
代碼]],'銀行-TSS'!B:AM,38,FALSE)="#N/A Field Not Applicable","",VLOOKUP(表格1[[#This Row],[商品
代碼]],'銀行-TSS'!B:AM,38,FALSE)),"")</f>
        <v/>
      </c>
      <c r="R120" s="1749" t="str">
        <f ca="1">IFERROR(VLOOKUP(表格1[[#This Row],[商品
代碼]],'銀行-TSS'!B:AH,33,FALSE),"")</f>
        <v>美元(USD)</v>
      </c>
      <c r="S120" s="1754">
        <f ca="1">IFERROR(VLOOKUP(B120,'銀行-TSS'!B:N,13,FALSE),"")</f>
        <v>10000</v>
      </c>
      <c r="T120" s="1754" t="str">
        <f ca="1">VLOOKUP(表格1[[#This Row],[商品
代碼]],'銀行-TSS'!B:AI,34,FALSE)</f>
        <v>自由選清單</v>
      </c>
      <c r="U120" s="1745" t="str">
        <f ca="1">IFERROR(VLOOKUP(B120,'銀行-TSS'!B:Q,16,FALSE),"")</f>
        <v>科技</v>
      </c>
      <c r="V120" s="1755" t="str">
        <f ca="1">IFERROR(VLOOKUP(表格1[[#This Row],[商品
代碼]],'銀行-TSS'!B:AG,32,FALSE),"")</f>
        <v>固定</v>
      </c>
      <c r="W120" s="1757" t="str">
        <f ca="1">IFERROR(IFERROR(VLOOKUP(表格1[[#This Row],[商品
代碼]],'3_是否下架'!A:B,2,FALSE),VLOOKUP(表格1[[#This Row],[商品
代碼]],'銀行-TSS'!B:AK,36,FALSE)),"")</f>
        <v>有</v>
      </c>
      <c r="Y120" s="400"/>
      <c r="Z120" s="400"/>
      <c r="AA120" s="401"/>
    </row>
    <row r="121" spans="2:27" s="399" customFormat="1" ht="24.75" customHeight="1">
      <c r="B121" s="1745" t="s">
        <v>590</v>
      </c>
      <c r="C121" s="1745" t="str">
        <f ca="1">IFERROR(VLOOKUP(表格1[[#This Row],[商品
代碼]],'銀行-TSS'!B:V,21,FALSE),"")</f>
        <v>(PI)專投</v>
      </c>
      <c r="D121" s="1746" t="str">
        <f>IFERROR(VLOOKUP(表格1[[#This Row],[商品
代碼]],bond!B:F,5,FALSE),"")</f>
        <v>USY7138AAD29</v>
      </c>
      <c r="E121" s="1746" t="str">
        <f ca="1">IFERROR(VLOOKUP(B121,'銀行-TSS'!B:D,3,FALSE),"")</f>
        <v>印尼國家能源公司美元配息債券 6% 2042/5/3</v>
      </c>
      <c r="F121" s="1745" t="str">
        <f ca="1">IFERROR(VLOOKUP(B121,'銀行-TSS'!B:E,4,FALSE),"")</f>
        <v>Baa2 / BBB / BBB</v>
      </c>
      <c r="G121" s="1747">
        <f ca="1">IFERROR(VLOOKUP(B121,'銀行-TSS'!B:G,6,FALSE),"")</f>
        <v>17.829999999999998</v>
      </c>
      <c r="H121" s="1748">
        <f ca="1">IFERROR(VLOOKUP(B121,'銀行-TSS'!B:H,7,FALSE),"")</f>
        <v>0.06</v>
      </c>
      <c r="I121" s="1745" t="str">
        <f ca="1">IFERROR(IF(表格1[[#This Row],[配息頻率]]=0,"",CHOOSE(表格1[[#This Row],[配息頻率]],MONTH(J121),IF(MONTH(J121)&lt;=6,CONCATENATE(MONTH(J121)," / ",MONTH(J121)+6),CONCATENATE(MONTH(J121)-6," / ",MONTH(J121))),0,"2 / 4 / 8 / 11")),"")</f>
        <v>5 / 11</v>
      </c>
      <c r="J121" s="1749" t="str">
        <f ca="1">IFERROR(VLOOKUP(B121,'銀行-TSS'!B:P,15,FALSE),"")</f>
        <v>2024/11/3</v>
      </c>
      <c r="K121" s="1750">
        <f ca="1">IFERROR(VLOOKUP(表格1[[#This Row],[商品
代碼]],'銀行-TSS'!B:I,8,FALSE),"")</f>
        <v>2</v>
      </c>
      <c r="L121" s="1747">
        <f ca="1">IFERROR(VLOOKUP(B121,'銀行-TSS'!B:K,10,FALSE),"")</f>
        <v>105.12</v>
      </c>
      <c r="M121" s="1745" t="str">
        <f ca="1">IF(表格1[[#This Row],[含息申購
參考價]]&gt;100,"溢價",IF(表格1[[#This Row],[含息申購
參考價]]&lt;100,"折價","平價"))</f>
        <v>溢價</v>
      </c>
      <c r="N121" s="1751">
        <f ca="1">IFERROR(VLOOKUP(B121,'銀行-TSS'!B:M,12,FALSE),"")</f>
        <v>5.6300000000000003E-2</v>
      </c>
      <c r="O121" s="1752">
        <f ca="1">IFERROR(VLOOKUP(表格1[[#This Row],[商品
代碼]],'銀行-TSS'!B:AJ,35,FALSE),"")</f>
        <v>0</v>
      </c>
      <c r="P121" s="1753" t="str">
        <f ca="1">IFERROR(VLOOKUP(表格1[[#This Row],[商品
代碼]],'銀行-TSS'!B:AE,30,FALSE),"")</f>
        <v xml:space="preserve"> </v>
      </c>
      <c r="Q121" s="1749" t="str">
        <f ca="1">IFERROR(IF(VLOOKUP(表格1[[#This Row],[商品
代碼]],'銀行-TSS'!B:AM,38,FALSE)="#N/A Field Not Applicable","",VLOOKUP(表格1[[#This Row],[商品
代碼]],'銀行-TSS'!B:AM,38,FALSE)),"")</f>
        <v/>
      </c>
      <c r="R121" s="1749" t="str">
        <f ca="1">IFERROR(VLOOKUP(表格1[[#This Row],[商品
代碼]],'銀行-TSS'!B:AH,33,FALSE),"")</f>
        <v>美元(USD)</v>
      </c>
      <c r="S121" s="1754">
        <f ca="1">IFERROR(VLOOKUP(B121,'銀行-TSS'!B:N,13,FALSE),"")</f>
        <v>200000</v>
      </c>
      <c r="T121" s="1754" t="str">
        <f ca="1">VLOOKUP(表格1[[#This Row],[商品
代碼]],'銀行-TSS'!B:AI,34,FALSE)</f>
        <v>自由選清單</v>
      </c>
      <c r="U121" s="1755" t="str">
        <f ca="1">IFERROR(VLOOKUP(B121,'銀行-TSS'!B:Q,16,FALSE),"")</f>
        <v>能源</v>
      </c>
      <c r="V121" s="1755" t="str">
        <f ca="1">IFERROR(VLOOKUP(表格1[[#This Row],[商品
代碼]],'銀行-TSS'!B:AG,32,FALSE),"")</f>
        <v>固定</v>
      </c>
      <c r="W121" s="1756" t="str">
        <f ca="1">IFERROR(IFERROR(VLOOKUP(表格1[[#This Row],[商品
代碼]],'3_是否下架'!A:B,2,FALSE),VLOOKUP(表格1[[#This Row],[商品
代碼]],'銀行-TSS'!B:AK,36,FALSE)),"")</f>
        <v>需查詢</v>
      </c>
      <c r="Y121" s="400"/>
      <c r="Z121" s="400"/>
      <c r="AA121" s="401"/>
    </row>
    <row r="122" spans="2:27" s="399" customFormat="1" ht="24.75" customHeight="1">
      <c r="B122" s="1745" t="s">
        <v>1055</v>
      </c>
      <c r="C122" s="1745" t="str">
        <f ca="1">IFERROR(VLOOKUP(表格1[[#This Row],[商品
代碼]],'銀行-TSS'!B:V,21,FALSE),"")</f>
        <v>(PI)專投</v>
      </c>
      <c r="D122" s="1746" t="str">
        <f>IFERROR(VLOOKUP(表格1[[#This Row],[商品
代碼]],bond!B:F,5,FALSE),"")</f>
        <v>US46647PCD69</v>
      </c>
      <c r="E122" s="1746" t="str">
        <f ca="1">IFERROR(VLOOKUP(B122,'銀行-TSS'!B:D,3,FALSE),"")</f>
        <v>摩根大通銀行美元配息債券  3.157% 2042/4/22</v>
      </c>
      <c r="F122" s="1745" t="str">
        <f ca="1">IFERROR(VLOOKUP(B122,'銀行-TSS'!B:E,4,FALSE),"")</f>
        <v>A1 / A- / AA-</v>
      </c>
      <c r="G122" s="1747">
        <f ca="1">IFERROR(VLOOKUP(B122,'銀行-TSS'!B:G,6,FALSE),"")</f>
        <v>17.8</v>
      </c>
      <c r="H122" s="1748">
        <f ca="1">IFERROR(VLOOKUP(B122,'銀行-TSS'!B:H,7,FALSE),"")</f>
        <v>3.1570000000000001E-2</v>
      </c>
      <c r="I122" s="1745" t="str">
        <f ca="1">IFERROR(IF(表格1[[#This Row],[配息頻率]]=0,"",CHOOSE(表格1[[#This Row],[配息頻率]],MONTH(J122),IF(MONTH(J122)&lt;=6,CONCATENATE(MONTH(J122)," / ",MONTH(J122)+6),CONCATENATE(MONTH(J122)-6," / ",MONTH(J122))),0,"2 / 4 / 8 / 11")),"")</f>
        <v>4 / 10</v>
      </c>
      <c r="J122" s="1749" t="str">
        <f ca="1">IFERROR(VLOOKUP(B122,'銀行-TSS'!B:P,15,FALSE),"")</f>
        <v>2024/10/22</v>
      </c>
      <c r="K122" s="1750">
        <f ca="1">IFERROR(VLOOKUP(表格1[[#This Row],[商品
代碼]],'銀行-TSS'!B:I,8,FALSE),"")</f>
        <v>2</v>
      </c>
      <c r="L122" s="1747">
        <f ca="1">IFERROR(VLOOKUP(B122,'銀行-TSS'!B:K,10,FALSE),"")</f>
        <v>78.2</v>
      </c>
      <c r="M122" s="1745" t="str">
        <f ca="1">IF(表格1[[#This Row],[含息申購
參考價]]&gt;100,"溢價",IF(表格1[[#This Row],[含息申購
參考價]]&lt;100,"折價","平價"))</f>
        <v>折價</v>
      </c>
      <c r="N122" s="1751">
        <f ca="1">IFERROR(VLOOKUP(B122,'銀行-TSS'!B:M,12,FALSE),"")</f>
        <v>5.2400000000000002E-2</v>
      </c>
      <c r="O122" s="1752">
        <f ca="1">IFERROR(VLOOKUP(表格1[[#This Row],[商品
代碼]],'銀行-TSS'!B:AJ,35,FALSE),"")</f>
        <v>0</v>
      </c>
      <c r="P122" s="1753">
        <f ca="1">IFERROR(VLOOKUP(表格1[[#This Row],[商品
代碼]],'銀行-TSS'!B:AE,30,FALSE),"")</f>
        <v>5.1700000000000003E-2</v>
      </c>
      <c r="Q122" s="1749" t="str">
        <f ca="1">IFERROR(IF(VLOOKUP(表格1[[#This Row],[商品
代碼]],'銀行-TSS'!B:AM,38,FALSE)="#N/A Field Not Applicable","",VLOOKUP(表格1[[#This Row],[商品
代碼]],'銀行-TSS'!B:AM,38,FALSE)),"")</f>
        <v>2041/4/22</v>
      </c>
      <c r="R122" s="1749" t="str">
        <f ca="1">IFERROR(VLOOKUP(表格1[[#This Row],[商品
代碼]],'銀行-TSS'!B:AH,33,FALSE),"")</f>
        <v>美元(USD)</v>
      </c>
      <c r="S122" s="1754">
        <f ca="1">IFERROR(VLOOKUP(B122,'銀行-TSS'!B:N,13,FALSE),"")</f>
        <v>10000</v>
      </c>
      <c r="T122" s="1754" t="str">
        <f ca="1">VLOOKUP(表格1[[#This Row],[商品
代碼]],'銀行-TSS'!B:AI,34,FALSE)</f>
        <v>自由選清單</v>
      </c>
      <c r="U122" s="1755" t="str">
        <f ca="1">IFERROR(VLOOKUP(B122,'銀行-TSS'!B:Q,16,FALSE),"")</f>
        <v>金融</v>
      </c>
      <c r="V122" s="1755" t="str">
        <f ca="1">IFERROR(VLOOKUP(表格1[[#This Row],[商品
代碼]],'銀行-TSS'!B:AG,32,FALSE),"")</f>
        <v>變動</v>
      </c>
      <c r="W122" s="1756" t="str">
        <f ca="1">IFERROR(IFERROR(VLOOKUP(表格1[[#This Row],[商品
代碼]],'3_是否下架'!A:B,2,FALSE),VLOOKUP(表格1[[#This Row],[商品
代碼]],'銀行-TSS'!B:AK,36,FALSE)),"")</f>
        <v>有</v>
      </c>
      <c r="Y122" s="400"/>
      <c r="Z122" s="400"/>
      <c r="AA122" s="401"/>
    </row>
    <row r="123" spans="2:27" s="399" customFormat="1" ht="24.75" customHeight="1">
      <c r="B123" s="1745" t="s">
        <v>1057</v>
      </c>
      <c r="C123" s="1745" t="str">
        <f ca="1">IFERROR(VLOOKUP(表格1[[#This Row],[商品
代碼]],'銀行-TSS'!B:V,21,FALSE),"")</f>
        <v>(PI)專投</v>
      </c>
      <c r="D123" s="1746" t="str">
        <f>IFERROR(VLOOKUP(表格1[[#This Row],[商品
代碼]],bond!B:F,5,FALSE),"")</f>
        <v>US38141GYC22</v>
      </c>
      <c r="E123" s="1746" t="str">
        <f ca="1">IFERROR(VLOOKUP(B123,'銀行-TSS'!B:D,3,FALSE),"")</f>
        <v>高盛集團美元配息債券 3.21% 2042/4/22</v>
      </c>
      <c r="F123" s="1745" t="str">
        <f ca="1">IFERROR(VLOOKUP(B123,'銀行-TSS'!B:E,4,FALSE),"")</f>
        <v>A2 / BBB+ / A</v>
      </c>
      <c r="G123" s="1747">
        <f ca="1">IFERROR(VLOOKUP(B123,'銀行-TSS'!B:G,6,FALSE),"")</f>
        <v>17.8</v>
      </c>
      <c r="H123" s="1748">
        <f ca="1">IFERROR(VLOOKUP(B123,'銀行-TSS'!B:H,7,FALSE),"")</f>
        <v>3.2099999999999997E-2</v>
      </c>
      <c r="I123" s="1745" t="str">
        <f ca="1">IFERROR(IF(表格1[[#This Row],[配息頻率]]=0,"",CHOOSE(表格1[[#This Row],[配息頻率]],MONTH(J123),IF(MONTH(J123)&lt;=6,CONCATENATE(MONTH(J123)," / ",MONTH(J123)+6),CONCATENATE(MONTH(J123)-6," / ",MONTH(J123))),0,"2 / 4 / 8 / 11")),"")</f>
        <v>4 / 10</v>
      </c>
      <c r="J123" s="1749" t="str">
        <f ca="1">IFERROR(VLOOKUP(B123,'銀行-TSS'!B:P,15,FALSE),"")</f>
        <v>2024/10/22</v>
      </c>
      <c r="K123" s="1750">
        <f ca="1">IFERROR(VLOOKUP(表格1[[#This Row],[商品
代碼]],'銀行-TSS'!B:I,8,FALSE),"")</f>
        <v>2</v>
      </c>
      <c r="L123" s="1747">
        <f ca="1">IFERROR(VLOOKUP(B123,'銀行-TSS'!B:K,10,FALSE),"")</f>
        <v>77.790000000000006</v>
      </c>
      <c r="M123" s="1745" t="str">
        <f ca="1">IF(表格1[[#This Row],[含息申購
參考價]]&gt;100,"溢價",IF(表格1[[#This Row],[含息申購
參考價]]&lt;100,"折價","平價"))</f>
        <v>折價</v>
      </c>
      <c r="N123" s="1751">
        <f ca="1">IFERROR(VLOOKUP(B123,'銀行-TSS'!B:M,12,FALSE),"")</f>
        <v>5.3400000000000003E-2</v>
      </c>
      <c r="O123" s="1752">
        <f ca="1">IFERROR(VLOOKUP(表格1[[#This Row],[商品
代碼]],'銀行-TSS'!B:AJ,35,FALSE),"")</f>
        <v>0</v>
      </c>
      <c r="P123" s="1753">
        <f ca="1">IFERROR(VLOOKUP(表格1[[#This Row],[商品
代碼]],'銀行-TSS'!B:AE,30,FALSE),"")</f>
        <v>5.2699999999999997E-2</v>
      </c>
      <c r="Q123" s="1749" t="str">
        <f ca="1">IFERROR(IF(VLOOKUP(表格1[[#This Row],[商品
代碼]],'銀行-TSS'!B:AM,38,FALSE)="#N/A Field Not Applicable","",VLOOKUP(表格1[[#This Row],[商品
代碼]],'銀行-TSS'!B:AM,38,FALSE)),"")</f>
        <v>2041/4/22</v>
      </c>
      <c r="R123" s="1749" t="str">
        <f ca="1">IFERROR(VLOOKUP(表格1[[#This Row],[商品
代碼]],'銀行-TSS'!B:AH,33,FALSE),"")</f>
        <v>美元(USD)</v>
      </c>
      <c r="S123" s="1754">
        <f ca="1">IFERROR(VLOOKUP(B123,'銀行-TSS'!B:N,13,FALSE),"")</f>
        <v>10000</v>
      </c>
      <c r="T123" s="1754" t="str">
        <f ca="1">VLOOKUP(表格1[[#This Row],[商品
代碼]],'銀行-TSS'!B:AI,34,FALSE)</f>
        <v>自由選清單</v>
      </c>
      <c r="U123" s="1755" t="str">
        <f ca="1">IFERROR(VLOOKUP(B123,'銀行-TSS'!B:Q,16,FALSE),"")</f>
        <v>金融</v>
      </c>
      <c r="V123" s="1755" t="str">
        <f ca="1">IFERROR(VLOOKUP(表格1[[#This Row],[商品
代碼]],'銀行-TSS'!B:AG,32,FALSE),"")</f>
        <v>變動</v>
      </c>
      <c r="W123" s="1756" t="str">
        <f ca="1">IFERROR(IFERROR(VLOOKUP(表格1[[#This Row],[商品
代碼]],'3_是否下架'!A:B,2,FALSE),VLOOKUP(表格1[[#This Row],[商品
代碼]],'銀行-TSS'!B:AK,36,FALSE)),"")</f>
        <v>有</v>
      </c>
      <c r="Y123" s="400"/>
      <c r="Z123" s="400"/>
      <c r="AA123" s="401"/>
    </row>
    <row r="124" spans="2:27" s="399" customFormat="1" ht="24.75" customHeight="1">
      <c r="B124" s="1745" t="s">
        <v>1801</v>
      </c>
      <c r="C124" s="1745" t="str">
        <f ca="1">IFERROR(VLOOKUP(表格1[[#This Row],[商品
代碼]],'銀行-TSS'!B:V,21,FALSE),"")</f>
        <v>(NPI)非專投</v>
      </c>
      <c r="D124" s="1746" t="str">
        <f>IFERROR(VLOOKUP(表格1[[#This Row],[商品
代碼]],bond!B:F,5,FALSE),"")</f>
        <v>US91324PBW14</v>
      </c>
      <c r="E124" s="1746" t="str">
        <f ca="1">IFERROR(VLOOKUP(B124,'銀行-TSS'!B:D,3,FALSE),"")</f>
        <v>聯合健康集團美元配息債券 4.375% 2042/3/15</v>
      </c>
      <c r="F124" s="1745" t="str">
        <f ca="1">IFERROR(VLOOKUP(B124,'銀行-TSS'!B:E,4,FALSE),"")</f>
        <v>A2 / A+ / A</v>
      </c>
      <c r="G124" s="1747">
        <f ca="1">IFERROR(VLOOKUP(B124,'銀行-TSS'!B:G,6,FALSE),"")</f>
        <v>17.7</v>
      </c>
      <c r="H124" s="1748">
        <f ca="1">IFERROR(VLOOKUP(B124,'銀行-TSS'!B:H,7,FALSE),"")</f>
        <v>4.3749999999999997E-2</v>
      </c>
      <c r="I124" s="1745" t="str">
        <f ca="1">IFERROR(IF(表格1[[#This Row],[配息頻率]]=0,"",CHOOSE(表格1[[#This Row],[配息頻率]],MONTH(J124),IF(MONTH(J124)&lt;=6,CONCATENATE(MONTH(J124)," / ",MONTH(J124)+6),CONCATENATE(MONTH(J124)-6," / ",MONTH(J124))),0,"2 / 4 / 8 / 11")),"")</f>
        <v>3 / 9</v>
      </c>
      <c r="J124" s="1749" t="str">
        <f ca="1">IFERROR(VLOOKUP(B124,'銀行-TSS'!B:P,15,FALSE),"")</f>
        <v>2024/9/15</v>
      </c>
      <c r="K124" s="1750">
        <f ca="1">IFERROR(VLOOKUP(表格1[[#This Row],[商品
代碼]],'銀行-TSS'!B:I,8,FALSE),"")</f>
        <v>2</v>
      </c>
      <c r="L124" s="1747">
        <f ca="1">IFERROR(VLOOKUP(B124,'銀行-TSS'!B:K,10,FALSE),"")</f>
        <v>92.34</v>
      </c>
      <c r="M124" s="1745" t="str">
        <f ca="1">IF(表格1[[#This Row],[含息申購
參考價]]&gt;100,"溢價",IF(表格1[[#This Row],[含息申購
參考價]]&lt;100,"折價","平價"))</f>
        <v>折價</v>
      </c>
      <c r="N124" s="1751">
        <f ca="1">IFERROR(VLOOKUP(B124,'銀行-TSS'!B:M,12,FALSE),"")</f>
        <v>5.1499999999999997E-2</v>
      </c>
      <c r="O124" s="1752">
        <f ca="1">IFERROR(VLOOKUP(表格1[[#This Row],[商品
代碼]],'銀行-TSS'!B:AJ,35,FALSE),"")</f>
        <v>0</v>
      </c>
      <c r="P124" s="1753">
        <f ca="1">IFERROR(VLOOKUP(表格1[[#This Row],[商品
代碼]],'銀行-TSS'!B:AE,30,FALSE),"")</f>
        <v>5.1700000000000003E-2</v>
      </c>
      <c r="Q124" s="1749" t="str">
        <f ca="1">IFERROR(IF(VLOOKUP(表格1[[#This Row],[商品
代碼]],'銀行-TSS'!B:AM,38,FALSE)="#N/A Field Not Applicable","",VLOOKUP(表格1[[#This Row],[商品
代碼]],'銀行-TSS'!B:AM,38,FALSE)),"")</f>
        <v>2041/9/15</v>
      </c>
      <c r="R124" s="1749" t="str">
        <f ca="1">IFERROR(VLOOKUP(表格1[[#This Row],[商品
代碼]],'銀行-TSS'!B:AH,33,FALSE),"")</f>
        <v>美元(USD)</v>
      </c>
      <c r="S124" s="1754">
        <f ca="1">IFERROR(VLOOKUP(B124,'銀行-TSS'!B:N,13,FALSE),"")</f>
        <v>10000</v>
      </c>
      <c r="T124" s="1754" t="str">
        <f ca="1">VLOOKUP(表格1[[#This Row],[商品
代碼]],'銀行-TSS'!B:AI,34,FALSE)</f>
        <v>自由選清單</v>
      </c>
      <c r="U124" s="1755" t="str">
        <f ca="1">IFERROR(VLOOKUP(B124,'銀行-TSS'!B:Q,16,FALSE),"")</f>
        <v>醫療保健</v>
      </c>
      <c r="V124" s="1755" t="str">
        <f ca="1">IFERROR(VLOOKUP(表格1[[#This Row],[商品
代碼]],'銀行-TSS'!B:AG,32,FALSE),"")</f>
        <v>固定</v>
      </c>
      <c r="W124" s="1756" t="str">
        <f ca="1">IFERROR(IFERROR(VLOOKUP(表格1[[#This Row],[商品
代碼]],'3_是否下架'!A:B,2,FALSE),VLOOKUP(表格1[[#This Row],[商品
代碼]],'銀行-TSS'!B:AK,36,FALSE)),"")</f>
        <v>有</v>
      </c>
      <c r="Y124" s="400"/>
      <c r="Z124" s="400"/>
      <c r="AA124" s="401"/>
    </row>
    <row r="125" spans="2:27" s="399" customFormat="1" ht="24.75" customHeight="1">
      <c r="B125" s="1745" t="s">
        <v>700</v>
      </c>
      <c r="C125" s="1745" t="str">
        <f ca="1">IFERROR(VLOOKUP(表格1[[#This Row],[商品
代碼]],'銀行-TSS'!B:V,21,FALSE),"")</f>
        <v>(PI)專投</v>
      </c>
      <c r="D125" s="1746" t="str">
        <f>IFERROR(VLOOKUP(表格1[[#This Row],[商品
代碼]],bond!B:F,5,FALSE),"")</f>
        <v>USP30179AK43</v>
      </c>
      <c r="E125" s="1746" t="str">
        <f ca="1">IFERROR(VLOOKUP(B125,'銀行-TSS'!B:D,3,FALSE),"")</f>
        <v>墨西哥國家電力美元配息債券 5.75% 2042/2/14</v>
      </c>
      <c r="F125" s="1745" t="str">
        <f ca="1">IFERROR(VLOOKUP(B125,'銀行-TSS'!B:E,4,FALSE),"")</f>
        <v>Baa2 / BBB / BBB-</v>
      </c>
      <c r="G125" s="1747">
        <f ca="1">IFERROR(VLOOKUP(B125,'銀行-TSS'!B:G,6,FALSE),"")</f>
        <v>17.62</v>
      </c>
      <c r="H125" s="1748">
        <f ca="1">IFERROR(VLOOKUP(B125,'銀行-TSS'!B:H,7,FALSE),"")</f>
        <v>5.7500000000000002E-2</v>
      </c>
      <c r="I125" s="1745" t="str">
        <f ca="1">IFERROR(IF(表格1[[#This Row],[配息頻率]]=0,"",CHOOSE(表格1[[#This Row],[配息頻率]],MONTH(J125),IF(MONTH(J125)&lt;=6,CONCATENATE(MONTH(J125)," / ",MONTH(J125)+6),CONCATENATE(MONTH(J125)-6," / ",MONTH(J125))),0,"2 / 4 / 8 / 11")),"")</f>
        <v>2 / 8</v>
      </c>
      <c r="J125" s="1749" t="str">
        <f ca="1">IFERROR(VLOOKUP(B125,'銀行-TSS'!B:P,15,FALSE),"")</f>
        <v>2024/8/14</v>
      </c>
      <c r="K125" s="1750">
        <f ca="1">IFERROR(VLOOKUP(表格1[[#This Row],[商品
代碼]],'銀行-TSS'!B:I,8,FALSE),"")</f>
        <v>2</v>
      </c>
      <c r="L125" s="1747">
        <f ca="1">IFERROR(VLOOKUP(B125,'銀行-TSS'!B:K,10,FALSE),"")</f>
        <v>98.23</v>
      </c>
      <c r="M125" s="1745" t="str">
        <f ca="1">IF(表格1[[#This Row],[含息申購
參考價]]&gt;100,"溢價",IF(表格1[[#This Row],[含息申購
參考價]]&lt;100,"折價","平價"))</f>
        <v>折價</v>
      </c>
      <c r="N125" s="1751">
        <f ca="1">IFERROR(VLOOKUP(B125,'銀行-TSS'!B:M,12,FALSE),"")</f>
        <v>6.1199999999999997E-2</v>
      </c>
      <c r="O125" s="1752">
        <f ca="1">IFERROR(VLOOKUP(表格1[[#This Row],[商品
代碼]],'銀行-TSS'!B:AJ,35,FALSE),"")</f>
        <v>0</v>
      </c>
      <c r="P125" s="1753" t="str">
        <f ca="1">IFERROR(VLOOKUP(表格1[[#This Row],[商品
代碼]],'銀行-TSS'!B:AE,30,FALSE),"")</f>
        <v xml:space="preserve"> </v>
      </c>
      <c r="Q125" s="1749" t="str">
        <f ca="1">IFERROR(IF(VLOOKUP(表格1[[#This Row],[商品
代碼]],'銀行-TSS'!B:AM,38,FALSE)="#N/A Field Not Applicable","",VLOOKUP(表格1[[#This Row],[商品
代碼]],'銀行-TSS'!B:AM,38,FALSE)),"")</f>
        <v/>
      </c>
      <c r="R125" s="1749" t="str">
        <f ca="1">IFERROR(VLOOKUP(表格1[[#This Row],[商品
代碼]],'銀行-TSS'!B:AH,33,FALSE),"")</f>
        <v>美元(USD)</v>
      </c>
      <c r="S125" s="1754">
        <f ca="1">IFERROR(VLOOKUP(B125,'銀行-TSS'!B:N,13,FALSE),"")</f>
        <v>200000</v>
      </c>
      <c r="T125" s="1754" t="str">
        <f ca="1">VLOOKUP(表格1[[#This Row],[商品
代碼]],'銀行-TSS'!B:AI,34,FALSE)</f>
        <v>自由選清單</v>
      </c>
      <c r="U125" s="1755" t="str">
        <f ca="1">IFERROR(VLOOKUP(B125,'銀行-TSS'!B:Q,16,FALSE),"")</f>
        <v>公用事業</v>
      </c>
      <c r="V125" s="1755" t="str">
        <f ca="1">IFERROR(VLOOKUP(表格1[[#This Row],[商品
代碼]],'銀行-TSS'!B:AG,32,FALSE),"")</f>
        <v>固定</v>
      </c>
      <c r="W125" s="1756" t="str">
        <f ca="1">IFERROR(IFERROR(VLOOKUP(表格1[[#This Row],[商品
代碼]],'3_是否下架'!A:B,2,FALSE),VLOOKUP(表格1[[#This Row],[商品
代碼]],'銀行-TSS'!B:AK,36,FALSE)),"")</f>
        <v>需查詢</v>
      </c>
      <c r="Y125" s="400"/>
      <c r="Z125" s="400"/>
      <c r="AA125" s="401"/>
    </row>
    <row r="126" spans="2:27" s="399" customFormat="1" ht="24.75" customHeight="1">
      <c r="B126" s="1745" t="s">
        <v>2340</v>
      </c>
      <c r="C126" s="1745" t="str">
        <f ca="1">IFERROR(VLOOKUP(表格1[[#This Row],[商品
代碼]],'銀行-TSS'!B:V,21,FALSE),"")</f>
        <v>(PI)專投</v>
      </c>
      <c r="D126" s="1746" t="str">
        <f>IFERROR(VLOOKUP(表格1[[#This Row],[商品
代碼]],bond!B:F,5,FALSE),"")</f>
        <v>US172967FX46</v>
      </c>
      <c r="E126" s="1746" t="str">
        <f ca="1">IFERROR(VLOOKUP(B126,'銀行-TSS'!B:D,3,FALSE),"")</f>
        <v>花旗集團美元配息債券 5.875% 2042/1/30</v>
      </c>
      <c r="F126" s="1745" t="str">
        <f ca="1">IFERROR(VLOOKUP(B126,'銀行-TSS'!B:E,4,FALSE),"")</f>
        <v>A3 / BBB+ / A</v>
      </c>
      <c r="G126" s="1747">
        <f ca="1">IFERROR(VLOOKUP(B126,'銀行-TSS'!B:G,6,FALSE),"")</f>
        <v>17.579999999999998</v>
      </c>
      <c r="H126" s="1748">
        <f ca="1">IFERROR(VLOOKUP(B126,'銀行-TSS'!B:H,7,FALSE),"")</f>
        <v>5.8749999999999997E-2</v>
      </c>
      <c r="I126" s="1745" t="str">
        <f ca="1">IFERROR(IF(表格1[[#This Row],[配息頻率]]=0,"",CHOOSE(表格1[[#This Row],[配息頻率]],MONTH(J126),IF(MONTH(J126)&lt;=6,CONCATENATE(MONTH(J126)," / ",MONTH(J126)+6),CONCATENATE(MONTH(J126)-6," / ",MONTH(J126))),0,"2 / 4 / 8 / 11")),"")</f>
        <v>1 / 7</v>
      </c>
      <c r="J126" s="1749" t="str">
        <f ca="1">IFERROR(VLOOKUP(B126,'銀行-TSS'!B:P,15,FALSE),"")</f>
        <v>2024/7/30</v>
      </c>
      <c r="K126" s="1750">
        <f ca="1">IFERROR(VLOOKUP(表格1[[#This Row],[商品
代碼]],'銀行-TSS'!B:I,8,FALSE),"")</f>
        <v>2</v>
      </c>
      <c r="L126" s="1747">
        <f ca="1">IFERROR(VLOOKUP(B126,'銀行-TSS'!B:K,10,FALSE),"")</f>
        <v>108.44</v>
      </c>
      <c r="M126" s="1745" t="str">
        <f ca="1">IF(表格1[[#This Row],[含息申購
參考價]]&gt;100,"溢價",IF(表格1[[#This Row],[含息申購
參考價]]&lt;100,"折價","平價"))</f>
        <v>溢價</v>
      </c>
      <c r="N126" s="1751">
        <f ca="1">IFERROR(VLOOKUP(B126,'銀行-TSS'!B:M,12,FALSE),"")</f>
        <v>5.3499999999999999E-2</v>
      </c>
      <c r="O126" s="1752">
        <f ca="1">IFERROR(VLOOKUP(表格1[[#This Row],[商品
代碼]],'銀行-TSS'!B:AJ,35,FALSE),"")</f>
        <v>0</v>
      </c>
      <c r="P126" s="1753" t="str">
        <f ca="1">IFERROR(VLOOKUP(表格1[[#This Row],[商品
代碼]],'銀行-TSS'!B:AE,30,FALSE),"")</f>
        <v xml:space="preserve"> </v>
      </c>
      <c r="Q126" s="1749" t="str">
        <f ca="1">IFERROR(IF(VLOOKUP(表格1[[#This Row],[商品
代碼]],'銀行-TSS'!B:AM,38,FALSE)="#N/A Field Not Applicable","",VLOOKUP(表格1[[#This Row],[商品
代碼]],'銀行-TSS'!B:AM,38,FALSE)),"")</f>
        <v/>
      </c>
      <c r="R126" s="1749" t="str">
        <f ca="1">IFERROR(VLOOKUP(表格1[[#This Row],[商品
代碼]],'銀行-TSS'!B:AH,33,FALSE),"")</f>
        <v>美元(USD)</v>
      </c>
      <c r="S126" s="1754">
        <f ca="1">IFERROR(VLOOKUP(B126,'銀行-TSS'!B:N,13,FALSE),"")</f>
        <v>10000</v>
      </c>
      <c r="T126" s="1754" t="str">
        <f ca="1">VLOOKUP(表格1[[#This Row],[商品
代碼]],'銀行-TSS'!B:AI,34,FALSE)</f>
        <v>自由選清單</v>
      </c>
      <c r="U126" s="1755" t="str">
        <f ca="1">IFERROR(VLOOKUP(B126,'銀行-TSS'!B:Q,16,FALSE),"")</f>
        <v>金融</v>
      </c>
      <c r="V126" s="1755" t="str">
        <f ca="1">IFERROR(VLOOKUP(表格1[[#This Row],[商品
代碼]],'銀行-TSS'!B:AG,32,FALSE),"")</f>
        <v>固定</v>
      </c>
      <c r="W126" s="1756" t="str">
        <f ca="1">IFERROR(IFERROR(VLOOKUP(表格1[[#This Row],[商品
代碼]],'3_是否下架'!A:B,2,FALSE),VLOOKUP(表格1[[#This Row],[商品
代碼]],'銀行-TSS'!B:AK,36,FALSE)),"")</f>
        <v>有</v>
      </c>
      <c r="Y126" s="400"/>
      <c r="Z126" s="400"/>
      <c r="AA126" s="401"/>
    </row>
    <row r="127" spans="2:27" s="399" customFormat="1" ht="24.75" customHeight="1">
      <c r="B127" s="1745" t="s">
        <v>889</v>
      </c>
      <c r="C127" s="1745" t="str">
        <f ca="1">IFERROR(VLOOKUP(表格1[[#This Row],[商品
代碼]],'銀行-TSS'!B:V,21,FALSE),"")</f>
        <v>(PI)專投</v>
      </c>
      <c r="D127" s="1746" t="str">
        <f>IFERROR(VLOOKUP(表格1[[#This Row],[商品
代碼]],bond!B:F,5,FALSE),"")</f>
        <v>US428236BR31</v>
      </c>
      <c r="E127" s="1746" t="str">
        <f ca="1">IFERROR(VLOOKUP(B127,'銀行-TSS'!B:D,3,FALSE),"")</f>
        <v>惠普公司美元配息債券 6% 2041/9/15</v>
      </c>
      <c r="F127" s="1745" t="str">
        <f ca="1">IFERROR(VLOOKUP(B127,'銀行-TSS'!B:E,4,FALSE),"")</f>
        <v>Baa2 / BBB / BBB+</v>
      </c>
      <c r="G127" s="1747">
        <f ca="1">IFERROR(VLOOKUP(B127,'銀行-TSS'!B:G,6,FALSE),"")</f>
        <v>17.2</v>
      </c>
      <c r="H127" s="1748">
        <f ca="1">IFERROR(VLOOKUP(B127,'銀行-TSS'!B:H,7,FALSE),"")</f>
        <v>0.06</v>
      </c>
      <c r="I127" s="1745" t="str">
        <f ca="1">IFERROR(IF(表格1[[#This Row],[配息頻率]]=0,"",CHOOSE(表格1[[#This Row],[配息頻率]],MONTH(J127),IF(MONTH(J127)&lt;=6,CONCATENATE(MONTH(J127)," / ",MONTH(J127)+6),CONCATENATE(MONTH(J127)-6," / ",MONTH(J127))),0,"2 / 4 / 8 / 11")),"")</f>
        <v>3 / 9</v>
      </c>
      <c r="J127" s="1749" t="str">
        <f ca="1">IFERROR(VLOOKUP(B127,'銀行-TSS'!B:P,15,FALSE),"")</f>
        <v>2024/9/15</v>
      </c>
      <c r="K127" s="1750">
        <f ca="1">IFERROR(VLOOKUP(表格1[[#This Row],[商品
代碼]],'銀行-TSS'!B:I,8,FALSE),"")</f>
        <v>2</v>
      </c>
      <c r="L127" s="1747">
        <f ca="1">IFERROR(VLOOKUP(B127,'銀行-TSS'!B:K,10,FALSE),"")</f>
        <v>107.57</v>
      </c>
      <c r="M127" s="1745" t="str">
        <f ca="1">IF(表格1[[#This Row],[含息申購
參考價]]&gt;100,"溢價",IF(表格1[[#This Row],[含息申購
參考價]]&lt;100,"折價","平價"))</f>
        <v>溢價</v>
      </c>
      <c r="N127" s="1751">
        <f ca="1">IFERROR(VLOOKUP(B127,'銀行-TSS'!B:M,12,FALSE),"")</f>
        <v>5.4800000000000001E-2</v>
      </c>
      <c r="O127" s="1752">
        <f ca="1">IFERROR(VLOOKUP(表格1[[#This Row],[商品
代碼]],'銀行-TSS'!B:AJ,35,FALSE),"")</f>
        <v>0</v>
      </c>
      <c r="P127" s="1753" t="str">
        <f ca="1">IFERROR(VLOOKUP(表格1[[#This Row],[商品
代碼]],'銀行-TSS'!B:AE,30,FALSE),"")</f>
        <v xml:space="preserve"> </v>
      </c>
      <c r="Q127" s="1749" t="str">
        <f ca="1">IFERROR(IF(VLOOKUP(表格1[[#This Row],[商品
代碼]],'銀行-TSS'!B:AM,38,FALSE)="#N/A Field Not Applicable","",VLOOKUP(表格1[[#This Row],[商品
代碼]],'銀行-TSS'!B:AM,38,FALSE)),"")</f>
        <v/>
      </c>
      <c r="R127" s="1749" t="str">
        <f ca="1">IFERROR(VLOOKUP(表格1[[#This Row],[商品
代碼]],'銀行-TSS'!B:AH,33,FALSE),"")</f>
        <v>美元(USD)</v>
      </c>
      <c r="S127" s="1754">
        <f ca="1">IFERROR(VLOOKUP(B127,'銀行-TSS'!B:N,13,FALSE),"")</f>
        <v>10000</v>
      </c>
      <c r="T127" s="1754" t="str">
        <f ca="1">VLOOKUP(表格1[[#This Row],[商品
代碼]],'銀行-TSS'!B:AI,34,FALSE)</f>
        <v>自由選清單</v>
      </c>
      <c r="U127" s="1755" t="str">
        <f ca="1">IFERROR(VLOOKUP(B127,'銀行-TSS'!B:Q,16,FALSE),"")</f>
        <v>科技</v>
      </c>
      <c r="V127" s="1755" t="str">
        <f ca="1">IFERROR(VLOOKUP(表格1[[#This Row],[商品
代碼]],'銀行-TSS'!B:AG,32,FALSE),"")</f>
        <v>固定</v>
      </c>
      <c r="W127" s="1756" t="str">
        <f ca="1">IFERROR(IFERROR(VLOOKUP(表格1[[#This Row],[商品
代碼]],'3_是否下架'!A:B,2,FALSE),VLOOKUP(表格1[[#This Row],[商品
代碼]],'銀行-TSS'!B:AK,36,FALSE)),"")</f>
        <v>有</v>
      </c>
      <c r="Y127" s="400"/>
      <c r="Z127" s="400"/>
      <c r="AA127" s="401"/>
    </row>
    <row r="128" spans="2:27" s="399" customFormat="1" ht="24.75" customHeight="1">
      <c r="B128" s="1745" t="s">
        <v>1149</v>
      </c>
      <c r="C128" s="1745" t="str">
        <f ca="1">IFERROR(VLOOKUP(表格1[[#This Row],[商品
代碼]],'銀行-TSS'!B:V,21,FALSE),"")</f>
        <v>(PI)專投</v>
      </c>
      <c r="D128" s="1746" t="str">
        <f>IFERROR(VLOOKUP(表格1[[#This Row],[商品
代碼]],bond!B:F,5,FALSE),"")</f>
        <v>USY00130YU53</v>
      </c>
      <c r="E128" s="1746" t="str">
        <f ca="1">IFERROR(VLOOKUP(B128,'銀行-TSS'!B:D,3,FALSE),"")</f>
        <v>Adani港口及特別經濟區有限公司美元配息債券 5% 2041/8/2</v>
      </c>
      <c r="F128" s="1745" t="str">
        <f ca="1">IFERROR(VLOOKUP(B128,'銀行-TSS'!B:E,4,FALSE),"")</f>
        <v>Baa3 / BBB- / BBB-</v>
      </c>
      <c r="G128" s="1747">
        <f ca="1">IFERROR(VLOOKUP(B128,'銀行-TSS'!B:G,6,FALSE),"")</f>
        <v>17.079999999999998</v>
      </c>
      <c r="H128" s="1748">
        <f ca="1">IFERROR(VLOOKUP(B128,'銀行-TSS'!B:H,7,FALSE),"")</f>
        <v>0.05</v>
      </c>
      <c r="I128" s="1745" t="str">
        <f ca="1">IFERROR(IF(表格1[[#This Row],[配息頻率]]=0,"",CHOOSE(表格1[[#This Row],[配息頻率]],MONTH(J128),IF(MONTH(J128)&lt;=6,CONCATENATE(MONTH(J128)," / ",MONTH(J128)+6),CONCATENATE(MONTH(J128)-6," / ",MONTH(J128))),0,"2 / 4 / 8 / 11")),"")</f>
        <v>2 / 8</v>
      </c>
      <c r="J128" s="1749" t="str">
        <f ca="1">IFERROR(VLOOKUP(B128,'銀行-TSS'!B:P,15,FALSE),"")</f>
        <v>2024/8/2</v>
      </c>
      <c r="K128" s="1750">
        <f ca="1">IFERROR(VLOOKUP(表格1[[#This Row],[商品
代碼]],'銀行-TSS'!B:I,8,FALSE),"")</f>
        <v>2</v>
      </c>
      <c r="L128" s="1747">
        <f ca="1">IFERROR(VLOOKUP(B128,'銀行-TSS'!B:K,10,FALSE),"")</f>
        <v>84.07</v>
      </c>
      <c r="M128" s="1745" t="str">
        <f ca="1">IF(表格1[[#This Row],[含息申購
參考價]]&gt;100,"溢價",IF(表格1[[#This Row],[含息申購
參考價]]&lt;100,"折價","平價"))</f>
        <v>折價</v>
      </c>
      <c r="N128" s="1751">
        <f ca="1">IFERROR(VLOOKUP(B128,'銀行-TSS'!B:M,12,FALSE),"")</f>
        <v>6.8000000000000005E-2</v>
      </c>
      <c r="O128" s="1752">
        <f ca="1">IFERROR(VLOOKUP(表格1[[#This Row],[商品
代碼]],'銀行-TSS'!B:AJ,35,FALSE),"")</f>
        <v>0</v>
      </c>
      <c r="P128" s="1753">
        <f ca="1">IFERROR(VLOOKUP(表格1[[#This Row],[商品
代碼]],'銀行-TSS'!B:AE,30,FALSE),"")</f>
        <v>6.83E-2</v>
      </c>
      <c r="Q128" s="1749" t="str">
        <f ca="1">IFERROR(IF(VLOOKUP(表格1[[#This Row],[商品
代碼]],'銀行-TSS'!B:AM,38,FALSE)="#N/A Field Not Applicable","",VLOOKUP(表格1[[#This Row],[商品
代碼]],'銀行-TSS'!B:AM,38,FALSE)),"")</f>
        <v>2041/2/2</v>
      </c>
      <c r="R128" s="1749" t="str">
        <f ca="1">IFERROR(VLOOKUP(表格1[[#This Row],[商品
代碼]],'銀行-TSS'!B:AH,33,FALSE),"")</f>
        <v>美元(USD)</v>
      </c>
      <c r="S128" s="1754">
        <f ca="1">IFERROR(VLOOKUP(B128,'銀行-TSS'!B:N,13,FALSE),"")</f>
        <v>200000</v>
      </c>
      <c r="T128" s="1754" t="str">
        <f ca="1">VLOOKUP(表格1[[#This Row],[商品
代碼]],'銀行-TSS'!B:AI,34,FALSE)</f>
        <v>自由選清單</v>
      </c>
      <c r="U128" s="1755" t="str">
        <f ca="1">IFERROR(VLOOKUP(B128,'銀行-TSS'!B:Q,16,FALSE),"")</f>
        <v>工業</v>
      </c>
      <c r="V128" s="1755" t="str">
        <f ca="1">IFERROR(VLOOKUP(表格1[[#This Row],[商品
代碼]],'銀行-TSS'!B:AG,32,FALSE),"")</f>
        <v>固定</v>
      </c>
      <c r="W128" s="1756" t="str">
        <f ca="1">IFERROR(IFERROR(VLOOKUP(表格1[[#This Row],[商品
代碼]],'3_是否下架'!A:B,2,FALSE),VLOOKUP(表格1[[#This Row],[商品
代碼]],'銀行-TSS'!B:AK,36,FALSE)),"")</f>
        <v>無</v>
      </c>
      <c r="Y128" s="400"/>
      <c r="Z128" s="400"/>
      <c r="AA128" s="401"/>
    </row>
    <row r="129" spans="2:27" s="399" customFormat="1" ht="24.75" customHeight="1">
      <c r="B129" s="1745" t="s">
        <v>2361</v>
      </c>
      <c r="C129" s="1745" t="str">
        <f ca="1">IFERROR(VLOOKUP(表格1[[#This Row],[商品
代碼]],'銀行-TSS'!B:V,21,FALSE),"")</f>
        <v>(PI)專投</v>
      </c>
      <c r="D129" s="1746" t="str">
        <f>IFERROR(VLOOKUP(表格1[[#This Row],[商品
代碼]],bond!B:F,5,FALSE),"")</f>
        <v>US56585AAF93</v>
      </c>
      <c r="E129" s="1746" t="str">
        <f ca="1">IFERROR(VLOOKUP(B129,'銀行-TSS'!B:D,3,FALSE),"")</f>
        <v>馬拉松石油公司美元配息債券 6.5% 2041/3/1</v>
      </c>
      <c r="F129" s="1745" t="str">
        <f ca="1">IFERROR(VLOOKUP(B129,'銀行-TSS'!B:E,4,FALSE),"")</f>
        <v>Baa2 / BBB / BBB</v>
      </c>
      <c r="G129" s="1747">
        <f ca="1">IFERROR(VLOOKUP(B129,'銀行-TSS'!B:G,6,FALSE),"")</f>
        <v>16.66</v>
      </c>
      <c r="H129" s="1748">
        <f ca="1">IFERROR(VLOOKUP(B129,'銀行-TSS'!B:H,7,FALSE),"")</f>
        <v>6.5000000000000002E-2</v>
      </c>
      <c r="I129" s="1745" t="str">
        <f ca="1">IFERROR(IF(表格1[[#This Row],[配息頻率]]=0,"",CHOOSE(表格1[[#This Row],[配息頻率]],MONTH(J129),IF(MONTH(J129)&lt;=6,CONCATENATE(MONTH(J129)," / ",MONTH(J129)+6),CONCATENATE(MONTH(J129)-6," / ",MONTH(J129))),0,"2 / 4 / 8 / 11")),"")</f>
        <v>3 / 9</v>
      </c>
      <c r="J129" s="1749" t="str">
        <f ca="1">IFERROR(VLOOKUP(B129,'銀行-TSS'!B:P,15,FALSE),"")</f>
        <v>2024/9/1</v>
      </c>
      <c r="K129" s="1750">
        <f ca="1">IFERROR(VLOOKUP(表格1[[#This Row],[商品
代碼]],'銀行-TSS'!B:I,8,FALSE),"")</f>
        <v>2</v>
      </c>
      <c r="L129" s="1747">
        <f ca="1">IFERROR(VLOOKUP(B129,'銀行-TSS'!B:K,10,FALSE),"")</f>
        <v>109.58</v>
      </c>
      <c r="M129" s="1745" t="str">
        <f ca="1">IF(表格1[[#This Row],[含息申購
參考價]]&gt;100,"溢價",IF(表格1[[#This Row],[含息申購
參考價]]&lt;100,"折價","平價"))</f>
        <v>溢價</v>
      </c>
      <c r="N129" s="1751">
        <f ca="1">IFERROR(VLOOKUP(B129,'銀行-TSS'!B:M,12,FALSE),"")</f>
        <v>5.8000000000000003E-2</v>
      </c>
      <c r="O129" s="1752">
        <f ca="1">IFERROR(VLOOKUP(表格1[[#This Row],[商品
代碼]],'銀行-TSS'!B:AJ,35,FALSE),"")</f>
        <v>0</v>
      </c>
      <c r="P129" s="1753">
        <f ca="1">IFERROR(VLOOKUP(表格1[[#This Row],[商品
代碼]],'銀行-TSS'!B:AE,30,FALSE),"")</f>
        <v>5.79E-2</v>
      </c>
      <c r="Q129" s="1749" t="str">
        <f ca="1">IFERROR(IF(VLOOKUP(表格1[[#This Row],[商品
代碼]],'銀行-TSS'!B:AM,38,FALSE)="#N/A Field Not Applicable","",VLOOKUP(表格1[[#This Row],[商品
代碼]],'銀行-TSS'!B:AM,38,FALSE)),"")</f>
        <v>2040/9/1</v>
      </c>
      <c r="R129" s="1749" t="str">
        <f ca="1">IFERROR(VLOOKUP(表格1[[#This Row],[商品
代碼]],'銀行-TSS'!B:AH,33,FALSE),"")</f>
        <v>美元(USD)</v>
      </c>
      <c r="S129" s="1754">
        <f ca="1">IFERROR(VLOOKUP(B129,'銀行-TSS'!B:N,13,FALSE),"")</f>
        <v>10000</v>
      </c>
      <c r="T129" s="1754" t="str">
        <f ca="1">VLOOKUP(表格1[[#This Row],[商品
代碼]],'銀行-TSS'!B:AI,34,FALSE)</f>
        <v>自由選清單</v>
      </c>
      <c r="U129" s="1755" t="str">
        <f ca="1">IFERROR(VLOOKUP(B129,'銀行-TSS'!B:Q,16,FALSE),"")</f>
        <v>能源</v>
      </c>
      <c r="V129" s="1755" t="str">
        <f ca="1">IFERROR(VLOOKUP(表格1[[#This Row],[商品
代碼]],'銀行-TSS'!B:AG,32,FALSE),"")</f>
        <v>固定</v>
      </c>
      <c r="W129" s="1756" t="str">
        <f ca="1">IFERROR(IFERROR(VLOOKUP(表格1[[#This Row],[商品
代碼]],'3_是否下架'!A:B,2,FALSE),VLOOKUP(表格1[[#This Row],[商品
代碼]],'銀行-TSS'!B:AK,36,FALSE)),"")</f>
        <v>有</v>
      </c>
      <c r="Y129" s="400"/>
      <c r="Z129" s="400"/>
      <c r="AA129" s="401"/>
    </row>
    <row r="130" spans="2:27" s="399" customFormat="1" ht="24.75" customHeight="1">
      <c r="B130" s="1745" t="s">
        <v>1030</v>
      </c>
      <c r="C130" s="1745" t="str">
        <f ca="1">IFERROR(VLOOKUP(表格1[[#This Row],[商品
代碼]],'銀行-TSS'!B:V,21,FALSE),"")</f>
        <v>(PI)專投</v>
      </c>
      <c r="D130" s="1746" t="str">
        <f>IFERROR(VLOOKUP(表格1[[#This Row],[商品
代碼]],bond!B:F,5,FALSE),"")</f>
        <v>USU1109MAT37</v>
      </c>
      <c r="E130" s="1746" t="str">
        <f ca="1">IFERROR(VLOOKUP(B130,'銀行-TSS'!B:D,3,FALSE),"")</f>
        <v>博通公司美元配息債券 3.5% 2041/2/15</v>
      </c>
      <c r="F130" s="1745" t="str">
        <f ca="1">IFERROR(VLOOKUP(B130,'銀行-TSS'!B:E,4,FALSE),"")</f>
        <v>Baa3 / BBB / BBB-</v>
      </c>
      <c r="G130" s="1747">
        <f ca="1">IFERROR(VLOOKUP(B130,'銀行-TSS'!B:G,6,FALSE),"")</f>
        <v>16.62</v>
      </c>
      <c r="H130" s="1748">
        <f ca="1">IFERROR(VLOOKUP(B130,'銀行-TSS'!B:H,7,FALSE),"")</f>
        <v>3.5000000000000003E-2</v>
      </c>
      <c r="I130" s="1745" t="str">
        <f ca="1">IFERROR(IF(表格1[[#This Row],[配息頻率]]=0,"",CHOOSE(表格1[[#This Row],[配息頻率]],MONTH(J130),IF(MONTH(J130)&lt;=6,CONCATENATE(MONTH(J130)," / ",MONTH(J130)+6),CONCATENATE(MONTH(J130)-6," / ",MONTH(J130))),0,"2 / 4 / 8 / 11")),"")</f>
        <v>2 / 8</v>
      </c>
      <c r="J130" s="1749" t="str">
        <f ca="1">IFERROR(VLOOKUP(B130,'銀行-TSS'!B:P,15,FALSE),"")</f>
        <v>2024/8/15</v>
      </c>
      <c r="K130" s="1750">
        <f ca="1">IFERROR(VLOOKUP(表格1[[#This Row],[商品
代碼]],'銀行-TSS'!B:I,8,FALSE),"")</f>
        <v>2</v>
      </c>
      <c r="L130" s="1747">
        <f ca="1">IFERROR(VLOOKUP(B130,'銀行-TSS'!B:K,10,FALSE),"")</f>
        <v>81.92</v>
      </c>
      <c r="M130" s="1745" t="str">
        <f ca="1">IF(表格1[[#This Row],[含息申購
參考價]]&gt;100,"溢價",IF(表格1[[#This Row],[含息申購
參考價]]&lt;100,"折價","平價"))</f>
        <v>折價</v>
      </c>
      <c r="N130" s="1751">
        <f ca="1">IFERROR(VLOOKUP(B130,'銀行-TSS'!B:M,12,FALSE),"")</f>
        <v>5.2699999999999997E-2</v>
      </c>
      <c r="O130" s="1752">
        <f ca="1">IFERROR(VLOOKUP(表格1[[#This Row],[商品
代碼]],'銀行-TSS'!B:AJ,35,FALSE),"")</f>
        <v>0</v>
      </c>
      <c r="P130" s="1753">
        <f ca="1">IFERROR(VLOOKUP(表格1[[#This Row],[商品
代碼]],'銀行-TSS'!B:AE,30,FALSE),"")</f>
        <v>5.3100000000000001E-2</v>
      </c>
      <c r="Q130" s="1749" t="str">
        <f ca="1">IFERROR(IF(VLOOKUP(表格1[[#This Row],[商品
代碼]],'銀行-TSS'!B:AM,38,FALSE)="#N/A Field Not Applicable","",VLOOKUP(表格1[[#This Row],[商品
代碼]],'銀行-TSS'!B:AM,38,FALSE)),"")</f>
        <v>2040/8/15</v>
      </c>
      <c r="R130" s="1749" t="str">
        <f ca="1">IFERROR(VLOOKUP(表格1[[#This Row],[商品
代碼]],'銀行-TSS'!B:AH,33,FALSE),"")</f>
        <v>美元(USD)</v>
      </c>
      <c r="S130" s="1754">
        <f ca="1">IFERROR(VLOOKUP(B130,'銀行-TSS'!B:N,13,FALSE),"")</f>
        <v>10000</v>
      </c>
      <c r="T130" s="1754" t="str">
        <f ca="1">VLOOKUP(表格1[[#This Row],[商品
代碼]],'銀行-TSS'!B:AI,34,FALSE)</f>
        <v>自由選清單</v>
      </c>
      <c r="U130" s="1755" t="str">
        <f ca="1">IFERROR(VLOOKUP(B130,'銀行-TSS'!B:Q,16,FALSE),"")</f>
        <v>科技</v>
      </c>
      <c r="V130" s="1755" t="str">
        <f ca="1">IFERROR(VLOOKUP(表格1[[#This Row],[商品
代碼]],'銀行-TSS'!B:AG,32,FALSE),"")</f>
        <v>固定</v>
      </c>
      <c r="W130" s="1756" t="str">
        <f ca="1">IFERROR(IFERROR(VLOOKUP(表格1[[#This Row],[商品
代碼]],'3_是否下架'!A:B,2,FALSE),VLOOKUP(表格1[[#This Row],[商品
代碼]],'銀行-TSS'!B:AK,36,FALSE)),"")</f>
        <v>有</v>
      </c>
      <c r="Y130" s="400"/>
      <c r="Z130" s="400"/>
      <c r="AA130" s="401"/>
    </row>
    <row r="131" spans="2:27" s="399" customFormat="1" ht="24.75" customHeight="1">
      <c r="B131" s="1745" t="s">
        <v>1128</v>
      </c>
      <c r="C131" s="1745" t="str">
        <f ca="1">IFERROR(VLOOKUP(表格1[[#This Row],[商品
代碼]],'銀行-TSS'!B:V,21,FALSE),"")</f>
        <v>(PI)專投</v>
      </c>
      <c r="D131" s="1746" t="str">
        <f>IFERROR(VLOOKUP(表格1[[#This Row],[商品
代碼]],bond!B:F,5,FALSE),"")</f>
        <v>US87264ABL89</v>
      </c>
      <c r="E131" s="1746" t="str">
        <f ca="1">IFERROR(VLOOKUP(B131,'銀行-TSS'!B:D,3,FALSE),"")</f>
        <v>T-Mobile公司美元配息債券 3% 2041/2/15</v>
      </c>
      <c r="F131" s="1745" t="str">
        <f ca="1">IFERROR(VLOOKUP(B131,'銀行-TSS'!B:E,4,FALSE),"")</f>
        <v>Baa2 / BBB / BBB+</v>
      </c>
      <c r="G131" s="1747">
        <f ca="1">IFERROR(VLOOKUP(B131,'銀行-TSS'!B:G,6,FALSE),"")</f>
        <v>16.62</v>
      </c>
      <c r="H131" s="1748">
        <f ca="1">IFERROR(VLOOKUP(B131,'銀行-TSS'!B:H,7,FALSE),"")</f>
        <v>0.03</v>
      </c>
      <c r="I131" s="1745" t="str">
        <f ca="1">IFERROR(IF(表格1[[#This Row],[配息頻率]]=0,"",CHOOSE(表格1[[#This Row],[配息頻率]],MONTH(J131),IF(MONTH(J131)&lt;=6,CONCATENATE(MONTH(J131)," / ",MONTH(J131)+6),CONCATENATE(MONTH(J131)-6," / ",MONTH(J131))),0,"2 / 4 / 8 / 11")),"")</f>
        <v>2 / 8</v>
      </c>
      <c r="J131" s="1749" t="str">
        <f ca="1">IFERROR(VLOOKUP(B131,'銀行-TSS'!B:P,15,FALSE),"")</f>
        <v>2024/8/15</v>
      </c>
      <c r="K131" s="1750">
        <f ca="1">IFERROR(VLOOKUP(表格1[[#This Row],[商品
代碼]],'銀行-TSS'!B:I,8,FALSE),"")</f>
        <v>2</v>
      </c>
      <c r="L131" s="1747">
        <f ca="1">IFERROR(VLOOKUP(B131,'銀行-TSS'!B:K,10,FALSE),"")</f>
        <v>76.319999999999993</v>
      </c>
      <c r="M131" s="1745" t="str">
        <f ca="1">IF(表格1[[#This Row],[含息申購
參考價]]&gt;100,"溢價",IF(表格1[[#This Row],[含息申購
參考價]]&lt;100,"折價","平價"))</f>
        <v>折價</v>
      </c>
      <c r="N131" s="1751">
        <f ca="1">IFERROR(VLOOKUP(B131,'銀行-TSS'!B:M,12,FALSE),"")</f>
        <v>5.2600000000000001E-2</v>
      </c>
      <c r="O131" s="1752">
        <f ca="1">IFERROR(VLOOKUP(表格1[[#This Row],[商品
代碼]],'銀行-TSS'!B:AJ,35,FALSE),"")</f>
        <v>0</v>
      </c>
      <c r="P131" s="1753">
        <f ca="1">IFERROR(VLOOKUP(表格1[[#This Row],[商品
代碼]],'銀行-TSS'!B:AE,30,FALSE),"")</f>
        <v>5.3100000000000001E-2</v>
      </c>
      <c r="Q131" s="1749" t="str">
        <f ca="1">IFERROR(IF(VLOOKUP(表格1[[#This Row],[商品
代碼]],'銀行-TSS'!B:AM,38,FALSE)="#N/A Field Not Applicable","",VLOOKUP(表格1[[#This Row],[商品
代碼]],'銀行-TSS'!B:AM,38,FALSE)),"")</f>
        <v>2040/8/15</v>
      </c>
      <c r="R131" s="1749" t="str">
        <f ca="1">IFERROR(VLOOKUP(表格1[[#This Row],[商品
代碼]],'銀行-TSS'!B:AH,33,FALSE),"")</f>
        <v>美元(USD)</v>
      </c>
      <c r="S131" s="1754">
        <f ca="1">IFERROR(VLOOKUP(B131,'銀行-TSS'!B:N,13,FALSE),"")</f>
        <v>10000</v>
      </c>
      <c r="T131" s="1754" t="str">
        <f ca="1">VLOOKUP(表格1[[#This Row],[商品
代碼]],'銀行-TSS'!B:AI,34,FALSE)</f>
        <v>自由選清單</v>
      </c>
      <c r="U131" s="1755" t="str">
        <f ca="1">IFERROR(VLOOKUP(B131,'銀行-TSS'!B:Q,16,FALSE),"")</f>
        <v>通訊</v>
      </c>
      <c r="V131" s="1755" t="str">
        <f ca="1">IFERROR(VLOOKUP(表格1[[#This Row],[商品
代碼]],'銀行-TSS'!B:AG,32,FALSE),"")</f>
        <v>固定</v>
      </c>
      <c r="W131" s="1756" t="str">
        <f ca="1">IFERROR(IFERROR(VLOOKUP(表格1[[#This Row],[商品
代碼]],'3_是否下架'!A:B,2,FALSE),VLOOKUP(表格1[[#This Row],[商品
代碼]],'銀行-TSS'!B:AK,36,FALSE)),"")</f>
        <v>有</v>
      </c>
      <c r="Y131" s="400"/>
      <c r="Z131" s="400"/>
      <c r="AA131" s="401"/>
    </row>
    <row r="132" spans="2:27" s="399" customFormat="1" ht="24.75" customHeight="1">
      <c r="B132" s="1745" t="s">
        <v>1138</v>
      </c>
      <c r="C132" s="1745" t="str">
        <f ca="1">IFERROR(VLOOKUP(表格1[[#This Row],[商品
代碼]],'銀行-TSS'!B:V,21,FALSE),"")</f>
        <v>高資產</v>
      </c>
      <c r="D132" s="1746" t="str">
        <f>IFERROR(VLOOKUP(表格1[[#This Row],[商品
代碼]],bond!B:F,5,FALSE),"")</f>
        <v>US71645WAS08</v>
      </c>
      <c r="E132" s="1746" t="str">
        <f ca="1">IFERROR(VLOOKUP(B132,'銀行-TSS'!B:D,3,FALSE),"")</f>
        <v>巴西石油全球金融私人有限公司美元配息債券 6.75% 2041/1/27</v>
      </c>
      <c r="F132" s="1745" t="str">
        <f ca="1">IFERROR(VLOOKUP(B132,'銀行-TSS'!B:E,4,FALSE),"")</f>
        <v>Ba1 / BB / BB</v>
      </c>
      <c r="G132" s="1747">
        <f ca="1">IFERROR(VLOOKUP(B132,'銀行-TSS'!B:G,6,FALSE),"")</f>
        <v>16.57</v>
      </c>
      <c r="H132" s="1748">
        <f ca="1">IFERROR(VLOOKUP(B132,'銀行-TSS'!B:H,7,FALSE),"")</f>
        <v>6.7500000000000004E-2</v>
      </c>
      <c r="I132" s="1745" t="str">
        <f ca="1">IFERROR(IF(表格1[[#This Row],[配息頻率]]=0,"",CHOOSE(表格1[[#This Row],[配息頻率]],MONTH(J132),IF(MONTH(J132)&lt;=6,CONCATENATE(MONTH(J132)," / ",MONTH(J132)+6),CONCATENATE(MONTH(J132)-6," / ",MONTH(J132))),0,"2 / 4 / 8 / 11")),"")</f>
        <v>1 / 7</v>
      </c>
      <c r="J132" s="1749" t="str">
        <f ca="1">IFERROR(VLOOKUP(B132,'銀行-TSS'!B:P,15,FALSE),"")</f>
        <v>2024/7/27</v>
      </c>
      <c r="K132" s="1750">
        <f ca="1">IFERROR(VLOOKUP(表格1[[#This Row],[商品
代碼]],'銀行-TSS'!B:I,8,FALSE),"")</f>
        <v>2</v>
      </c>
      <c r="L132" s="1747">
        <f ca="1">IFERROR(VLOOKUP(B132,'銀行-TSS'!B:K,10,FALSE),"")</f>
        <v>103.26</v>
      </c>
      <c r="M132" s="1745" t="str">
        <f ca="1">IF(表格1[[#This Row],[含息申購
參考價]]&gt;100,"溢價",IF(表格1[[#This Row],[含息申購
參考價]]&lt;100,"折價","平價"))</f>
        <v>溢價</v>
      </c>
      <c r="N132" s="1751">
        <f ca="1">IFERROR(VLOOKUP(B132,'銀行-TSS'!B:M,12,FALSE),"")</f>
        <v>6.7100000000000007E-2</v>
      </c>
      <c r="O132" s="1752">
        <f ca="1">IFERROR(VLOOKUP(表格1[[#This Row],[商品
代碼]],'銀行-TSS'!B:AJ,35,FALSE),"")</f>
        <v>0</v>
      </c>
      <c r="P132" s="1753" t="str">
        <f ca="1">IFERROR(VLOOKUP(表格1[[#This Row],[商品
代碼]],'銀行-TSS'!B:AE,30,FALSE),"")</f>
        <v xml:space="preserve"> </v>
      </c>
      <c r="Q132" s="1749" t="str">
        <f ca="1">IFERROR(IF(VLOOKUP(表格1[[#This Row],[商品
代碼]],'銀行-TSS'!B:AM,38,FALSE)="#N/A Field Not Applicable","",VLOOKUP(表格1[[#This Row],[商品
代碼]],'銀行-TSS'!B:AM,38,FALSE)),"")</f>
        <v/>
      </c>
      <c r="R132" s="1749" t="str">
        <f ca="1">IFERROR(VLOOKUP(表格1[[#This Row],[商品
代碼]],'銀行-TSS'!B:AH,33,FALSE),"")</f>
        <v>美元(USD)</v>
      </c>
      <c r="S132" s="1754">
        <f ca="1">IFERROR(VLOOKUP(B132,'銀行-TSS'!B:N,13,FALSE),"")</f>
        <v>10000</v>
      </c>
      <c r="T132" s="1754" t="str">
        <f ca="1">VLOOKUP(表格1[[#This Row],[商品
代碼]],'銀行-TSS'!B:AI,34,FALSE)</f>
        <v>自由選清單</v>
      </c>
      <c r="U132" s="1755" t="str">
        <f ca="1">IFERROR(VLOOKUP(B132,'銀行-TSS'!B:Q,16,FALSE),"")</f>
        <v>能源</v>
      </c>
      <c r="V132" s="1755" t="str">
        <f ca="1">IFERROR(VLOOKUP(表格1[[#This Row],[商品
代碼]],'銀行-TSS'!B:AG,32,FALSE),"")</f>
        <v>固定</v>
      </c>
      <c r="W132" s="1756" t="str">
        <f ca="1">IFERROR(IFERROR(VLOOKUP(表格1[[#This Row],[商品
代碼]],'3_是否下架'!A:B,2,FALSE),VLOOKUP(表格1[[#This Row],[商品
代碼]],'銀行-TSS'!B:AK,36,FALSE)),"")</f>
        <v>有</v>
      </c>
      <c r="Y132" s="400"/>
      <c r="Z132" s="400"/>
      <c r="AA132" s="401"/>
    </row>
    <row r="133" spans="2:27" s="399" customFormat="1" ht="24.75" customHeight="1">
      <c r="B133" s="1745" t="s">
        <v>2380</v>
      </c>
      <c r="C133" s="1745" t="str">
        <f ca="1">IFERROR(VLOOKUP(表格1[[#This Row],[商品
代碼]],'銀行-TSS'!B:V,21,FALSE),"")</f>
        <v>(PI)專投</v>
      </c>
      <c r="D133" s="1746" t="str">
        <f>IFERROR(VLOOKUP(表格1[[#This Row],[商品
代碼]],bond!B:F,5,FALSE),"")</f>
        <v>US46625HHV50</v>
      </c>
      <c r="E133" s="1746" t="str">
        <f ca="1">IFERROR(VLOOKUP(B133,'銀行-TSS'!B:D,3,FALSE),"")</f>
        <v>摩根大通銀行美元配息債券 5.5% 2040/10/15</v>
      </c>
      <c r="F133" s="1745" t="str">
        <f ca="1">IFERROR(VLOOKUP(B133,'銀行-TSS'!B:E,4,FALSE),"")</f>
        <v>A1 / A- / AA-</v>
      </c>
      <c r="G133" s="1747">
        <f ca="1">IFERROR(VLOOKUP(B133,'銀行-TSS'!B:G,6,FALSE),"")</f>
        <v>16.29</v>
      </c>
      <c r="H133" s="1748">
        <f ca="1">IFERROR(VLOOKUP(B133,'銀行-TSS'!B:H,7,FALSE),"")</f>
        <v>5.5E-2</v>
      </c>
      <c r="I133" s="1745" t="str">
        <f ca="1">IFERROR(IF(表格1[[#This Row],[配息頻率]]=0,"",CHOOSE(表格1[[#This Row],[配息頻率]],MONTH(J133),IF(MONTH(J133)&lt;=6,CONCATENATE(MONTH(J133)," / ",MONTH(J133)+6),CONCATENATE(MONTH(J133)-6," / ",MONTH(J133))),0,"2 / 4 / 8 / 11")),"")</f>
        <v>4 / 10</v>
      </c>
      <c r="J133" s="1749" t="str">
        <f ca="1">IFERROR(VLOOKUP(B133,'銀行-TSS'!B:P,15,FALSE),"")</f>
        <v>2024/10/15</v>
      </c>
      <c r="K133" s="1750">
        <f ca="1">IFERROR(VLOOKUP(表格1[[#This Row],[商品
代碼]],'銀行-TSS'!B:I,8,FALSE),"")</f>
        <v>2</v>
      </c>
      <c r="L133" s="1747">
        <f ca="1">IFERROR(VLOOKUP(B133,'銀行-TSS'!B:K,10,FALSE),"")</f>
        <v>104.98</v>
      </c>
      <c r="M133" s="1745" t="str">
        <f ca="1">IF(表格1[[#This Row],[含息申購
參考價]]&gt;100,"溢價",IF(表格1[[#This Row],[含息申購
參考價]]&lt;100,"折價","平價"))</f>
        <v>溢價</v>
      </c>
      <c r="N133" s="1751">
        <f ca="1">IFERROR(VLOOKUP(B133,'銀行-TSS'!B:M,12,FALSE),"")</f>
        <v>5.1499999999999997E-2</v>
      </c>
      <c r="O133" s="1752">
        <f ca="1">IFERROR(VLOOKUP(表格1[[#This Row],[商品
代碼]],'銀行-TSS'!B:AJ,35,FALSE),"")</f>
        <v>0</v>
      </c>
      <c r="P133" s="1753" t="str">
        <f ca="1">IFERROR(VLOOKUP(表格1[[#This Row],[商品
代碼]],'銀行-TSS'!B:AE,30,FALSE),"")</f>
        <v xml:space="preserve"> </v>
      </c>
      <c r="Q133" s="1749" t="str">
        <f ca="1">IFERROR(IF(VLOOKUP(表格1[[#This Row],[商品
代碼]],'銀行-TSS'!B:AM,38,FALSE)="#N/A Field Not Applicable","",VLOOKUP(表格1[[#This Row],[商品
代碼]],'銀行-TSS'!B:AM,38,FALSE)),"")</f>
        <v/>
      </c>
      <c r="R133" s="1749" t="str">
        <f ca="1">IFERROR(VLOOKUP(表格1[[#This Row],[商品
代碼]],'銀行-TSS'!B:AH,33,FALSE),"")</f>
        <v>美元(USD)</v>
      </c>
      <c r="S133" s="1754">
        <f ca="1">IFERROR(VLOOKUP(B133,'銀行-TSS'!B:N,13,FALSE),"")</f>
        <v>10000</v>
      </c>
      <c r="T133" s="1754" t="str">
        <f ca="1">VLOOKUP(表格1[[#This Row],[商品
代碼]],'銀行-TSS'!B:AI,34,FALSE)</f>
        <v>自由選清單</v>
      </c>
      <c r="U133" s="1755" t="str">
        <f ca="1">IFERROR(VLOOKUP(B133,'銀行-TSS'!B:Q,16,FALSE),"")</f>
        <v>金融</v>
      </c>
      <c r="V133" s="1755" t="str">
        <f ca="1">IFERROR(VLOOKUP(表格1[[#This Row],[商品
代碼]],'銀行-TSS'!B:AG,32,FALSE),"")</f>
        <v>固定</v>
      </c>
      <c r="W133" s="1756" t="str">
        <f ca="1">IFERROR(IFERROR(VLOOKUP(表格1[[#This Row],[商品
代碼]],'3_是否下架'!A:B,2,FALSE),VLOOKUP(表格1[[#This Row],[商品
代碼]],'銀行-TSS'!B:AK,36,FALSE)),"")</f>
        <v>有</v>
      </c>
      <c r="Y133" s="400"/>
      <c r="Z133" s="400"/>
      <c r="AA133" s="401"/>
    </row>
    <row r="134" spans="2:27" s="399" customFormat="1" ht="24.75" customHeight="1">
      <c r="B134" s="1745" t="s">
        <v>2354</v>
      </c>
      <c r="C134" s="1745" t="str">
        <f ca="1">IFERROR(VLOOKUP(表格1[[#This Row],[商品
代碼]],'銀行-TSS'!B:V,21,FALSE),"")</f>
        <v>(PI)專投</v>
      </c>
      <c r="D134" s="1746" t="str">
        <f>IFERROR(VLOOKUP(表格1[[#This Row],[商品
代碼]],bond!B:F,5,FALSE),"")</f>
        <v>US25470DAD12</v>
      </c>
      <c r="E134" s="1746" t="str">
        <f ca="1">IFERROR(VLOOKUP(B134,'銀行-TSS'!B:D,3,FALSE),"")</f>
        <v>探索傳播有限責任公司美元配息債券 6.35% 2040/6/1</v>
      </c>
      <c r="F134" s="1745" t="str">
        <f ca="1">IFERROR(VLOOKUP(B134,'銀行-TSS'!B:E,4,FALSE),"")</f>
        <v>Baa3 / BBB- / BBB-</v>
      </c>
      <c r="G134" s="1747">
        <f ca="1">IFERROR(VLOOKUP(B134,'銀行-TSS'!B:G,6,FALSE),"")</f>
        <v>15.92</v>
      </c>
      <c r="H134" s="1748">
        <f ca="1">IFERROR(VLOOKUP(B134,'銀行-TSS'!B:H,7,FALSE),"")</f>
        <v>6.3500000000000001E-2</v>
      </c>
      <c r="I134" s="1745" t="str">
        <f ca="1">IFERROR(IF(表格1[[#This Row],[配息頻率]]=0,"",CHOOSE(表格1[[#This Row],[配息頻率]],MONTH(J134),IF(MONTH(J134)&lt;=6,CONCATENATE(MONTH(J134)," / ",MONTH(J134)+6),CONCATENATE(MONTH(J134)-6," / ",MONTH(J134))),0,"2 / 4 / 8 / 11")),"")</f>
        <v>6 / 12</v>
      </c>
      <c r="J134" s="1749" t="str">
        <f ca="1">IFERROR(VLOOKUP(B134,'銀行-TSS'!B:P,15,FALSE),"")</f>
        <v>2024/12/1</v>
      </c>
      <c r="K134" s="1750">
        <f ca="1">IFERROR(VLOOKUP(表格1[[#This Row],[商品
代碼]],'銀行-TSS'!B:I,8,FALSE),"")</f>
        <v>2</v>
      </c>
      <c r="L134" s="1747">
        <f ca="1">IFERROR(VLOOKUP(B134,'銀行-TSS'!B:K,10,FALSE),"")</f>
        <v>98.81</v>
      </c>
      <c r="M134" s="1745" t="str">
        <f ca="1">IF(表格1[[#This Row],[含息申購
參考價]]&gt;100,"溢價",IF(表格1[[#This Row],[含息申購
參考價]]&lt;100,"折價","平價"))</f>
        <v>折價</v>
      </c>
      <c r="N134" s="1751">
        <f ca="1">IFERROR(VLOOKUP(B134,'銀行-TSS'!B:M,12,FALSE),"")</f>
        <v>6.5299999999999997E-2</v>
      </c>
      <c r="O134" s="1752">
        <f ca="1">IFERROR(VLOOKUP(表格1[[#This Row],[商品
代碼]],'銀行-TSS'!B:AJ,35,FALSE),"")</f>
        <v>0</v>
      </c>
      <c r="P134" s="1753" t="str">
        <f ca="1">IFERROR(VLOOKUP(表格1[[#This Row],[商品
代碼]],'銀行-TSS'!B:AE,30,FALSE),"")</f>
        <v xml:space="preserve"> </v>
      </c>
      <c r="Q134" s="1749" t="str">
        <f ca="1">IFERROR(IF(VLOOKUP(表格1[[#This Row],[商品
代碼]],'銀行-TSS'!B:AM,38,FALSE)="#N/A Field Not Applicable","",VLOOKUP(表格1[[#This Row],[商品
代碼]],'銀行-TSS'!B:AM,38,FALSE)),"")</f>
        <v/>
      </c>
      <c r="R134" s="1749" t="str">
        <f ca="1">IFERROR(VLOOKUP(表格1[[#This Row],[商品
代碼]],'銀行-TSS'!B:AH,33,FALSE),"")</f>
        <v>美元(USD)</v>
      </c>
      <c r="S134" s="1754">
        <f ca="1">IFERROR(VLOOKUP(B134,'銀行-TSS'!B:N,13,FALSE),"")</f>
        <v>10000</v>
      </c>
      <c r="T134" s="1754" t="str">
        <f ca="1">VLOOKUP(表格1[[#This Row],[商品
代碼]],'銀行-TSS'!B:AI,34,FALSE)</f>
        <v>自由選清單</v>
      </c>
      <c r="U134" s="1755" t="str">
        <f ca="1">IFERROR(VLOOKUP(B134,'銀行-TSS'!B:Q,16,FALSE),"")</f>
        <v>通訊</v>
      </c>
      <c r="V134" s="1755" t="str">
        <f ca="1">IFERROR(VLOOKUP(表格1[[#This Row],[商品
代碼]],'銀行-TSS'!B:AG,32,FALSE),"")</f>
        <v>固定</v>
      </c>
      <c r="W134" s="1756" t="str">
        <f ca="1">IFERROR(IFERROR(VLOOKUP(表格1[[#This Row],[商品
代碼]],'3_是否下架'!A:B,2,FALSE),VLOOKUP(表格1[[#This Row],[商品
代碼]],'銀行-TSS'!B:AK,36,FALSE)),"")</f>
        <v>有</v>
      </c>
      <c r="Y134" s="400"/>
      <c r="Z134" s="400"/>
      <c r="AA134" s="401"/>
    </row>
    <row r="135" spans="2:27" s="399" customFormat="1" ht="24.75" customHeight="1">
      <c r="B135" s="1745" t="s">
        <v>1189</v>
      </c>
      <c r="C135" s="1745" t="str">
        <f ca="1">IFERROR(VLOOKUP(表格1[[#This Row],[商品
代碼]],'銀行-TSS'!B:V,21,FALSE),"")</f>
        <v>(NPI)非專投</v>
      </c>
      <c r="D135" s="1746" t="str">
        <f>IFERROR(VLOOKUP(表格1[[#This Row],[商品
代碼]],bond!B:F,5,FALSE),"")</f>
        <v>US254687FY73</v>
      </c>
      <c r="E135" s="1746" t="str">
        <f ca="1">IFERROR(VLOOKUP(B135,'銀行-TSS'!B:D,3,FALSE),"")</f>
        <v>華特迪士尼公司美元配息債券 3.5% 2040/5/13</v>
      </c>
      <c r="F135" s="1745" t="str">
        <f ca="1">IFERROR(VLOOKUP(B135,'銀行-TSS'!B:E,4,FALSE),"")</f>
        <v>A2 / A- / A-</v>
      </c>
      <c r="G135" s="1747">
        <f ca="1">IFERROR(VLOOKUP(B135,'銀行-TSS'!B:G,6,FALSE),"")</f>
        <v>15.86</v>
      </c>
      <c r="H135" s="1748">
        <f ca="1">IFERROR(VLOOKUP(B135,'銀行-TSS'!B:H,7,FALSE),"")</f>
        <v>3.5000000000000003E-2</v>
      </c>
      <c r="I135" s="1745" t="str">
        <f ca="1">IFERROR(IF(表格1[[#This Row],[配息頻率]]=0,"",CHOOSE(表格1[[#This Row],[配息頻率]],MONTH(J135),IF(MONTH(J135)&lt;=6,CONCATENATE(MONTH(J135)," / ",MONTH(J135)+6),CONCATENATE(MONTH(J135)-6," / ",MONTH(J135))),0,"2 / 4 / 8 / 11")),"")</f>
        <v>5 / 11</v>
      </c>
      <c r="J135" s="1749" t="str">
        <f ca="1">IFERROR(VLOOKUP(B135,'銀行-TSS'!B:P,15,FALSE),"")</f>
        <v>2024/11/13</v>
      </c>
      <c r="K135" s="1750">
        <f ca="1">IFERROR(VLOOKUP(表格1[[#This Row],[商品
代碼]],'銀行-TSS'!B:I,8,FALSE),"")</f>
        <v>2</v>
      </c>
      <c r="L135" s="1747">
        <f ca="1">IFERROR(VLOOKUP(B135,'銀行-TSS'!B:K,10,FALSE),"")</f>
        <v>82.97</v>
      </c>
      <c r="M135" s="1745" t="str">
        <f ca="1">IF(表格1[[#This Row],[含息申購
參考價]]&gt;100,"溢價",IF(表格1[[#This Row],[含息申購
參考價]]&lt;100,"折價","平價"))</f>
        <v>折價</v>
      </c>
      <c r="N135" s="1751">
        <f ca="1">IFERROR(VLOOKUP(B135,'銀行-TSS'!B:M,12,FALSE),"")</f>
        <v>5.1299999999999998E-2</v>
      </c>
      <c r="O135" s="1752">
        <f ca="1">IFERROR(VLOOKUP(表格1[[#This Row],[商品
代碼]],'銀行-TSS'!B:AJ,35,FALSE),"")</f>
        <v>0</v>
      </c>
      <c r="P135" s="1753">
        <f ca="1">IFERROR(VLOOKUP(表格1[[#This Row],[商品
代碼]],'銀行-TSS'!B:AE,30,FALSE),"")</f>
        <v>5.16E-2</v>
      </c>
      <c r="Q135" s="1749" t="str">
        <f ca="1">IFERROR(IF(VLOOKUP(表格1[[#This Row],[商品
代碼]],'銀行-TSS'!B:AM,38,FALSE)="#N/A Field Not Applicable","",VLOOKUP(表格1[[#This Row],[商品
代碼]],'銀行-TSS'!B:AM,38,FALSE)),"")</f>
        <v>2039/11/13</v>
      </c>
      <c r="R135" s="1749" t="str">
        <f ca="1">IFERROR(VLOOKUP(表格1[[#This Row],[商品
代碼]],'銀行-TSS'!B:AH,33,FALSE),"")</f>
        <v>美元(USD)</v>
      </c>
      <c r="S135" s="1754">
        <f ca="1">IFERROR(VLOOKUP(B135,'銀行-TSS'!B:N,13,FALSE),"")</f>
        <v>2000</v>
      </c>
      <c r="T135" s="1754" t="str">
        <f ca="1">VLOOKUP(表格1[[#This Row],[商品
代碼]],'銀行-TSS'!B:AI,34,FALSE)</f>
        <v>自由選清單</v>
      </c>
      <c r="U135" s="1755" t="str">
        <f ca="1">IFERROR(VLOOKUP(B135,'銀行-TSS'!B:Q,16,FALSE),"")</f>
        <v>通訊</v>
      </c>
      <c r="V135" s="1755" t="str">
        <f ca="1">IFERROR(VLOOKUP(表格1[[#This Row],[商品
代碼]],'銀行-TSS'!B:AG,32,FALSE),"")</f>
        <v>固定</v>
      </c>
      <c r="W135" s="1756" t="str">
        <f ca="1">IFERROR(IFERROR(VLOOKUP(表格1[[#This Row],[商品
代碼]],'3_是否下架'!A:B,2,FALSE),VLOOKUP(表格1[[#This Row],[商品
代碼]],'銀行-TSS'!B:AK,36,FALSE)),"")</f>
        <v>有</v>
      </c>
      <c r="Y135" s="400"/>
      <c r="Z135" s="400"/>
      <c r="AA135" s="401"/>
    </row>
    <row r="136" spans="2:27" s="399" customFormat="1" ht="24.75" customHeight="1">
      <c r="B136" s="1745" t="s">
        <v>1179</v>
      </c>
      <c r="C136" s="1745" t="str">
        <f ca="1">IFERROR(VLOOKUP(表格1[[#This Row],[商品
代碼]],'銀行-TSS'!B:V,21,FALSE),"")</f>
        <v>(NPI)非專投</v>
      </c>
      <c r="D136" s="1746" t="str">
        <f>IFERROR(VLOOKUP(表格1[[#This Row],[商品
代碼]],bond!B:F,5,FALSE),"")</f>
        <v>US29446MAG78</v>
      </c>
      <c r="E136" s="1746" t="str">
        <f ca="1">IFERROR(VLOOKUP(B136,'銀行-TSS'!B:D,3,FALSE),"")</f>
        <v>挪威國家石油公司美元配息債券 3.625% 2040/4/6</v>
      </c>
      <c r="F136" s="1745" t="str">
        <f ca="1">IFERROR(VLOOKUP(B136,'銀行-TSS'!B:E,4,FALSE),"")</f>
        <v>Aa2 / AA- / -</v>
      </c>
      <c r="G136" s="1747">
        <f ca="1">IFERROR(VLOOKUP(B136,'銀行-TSS'!B:G,6,FALSE),"")</f>
        <v>15.76</v>
      </c>
      <c r="H136" s="1748">
        <f ca="1">IFERROR(VLOOKUP(B136,'銀行-TSS'!B:H,7,FALSE),"")</f>
        <v>3.6249999999999998E-2</v>
      </c>
      <c r="I136" s="1745" t="str">
        <f ca="1">IFERROR(IF(表格1[[#This Row],[配息頻率]]=0,"",CHOOSE(表格1[[#This Row],[配息頻率]],MONTH(J136),IF(MONTH(J136)&lt;=6,CONCATENATE(MONTH(J136)," / ",MONTH(J136)+6),CONCATENATE(MONTH(J136)-6," / ",MONTH(J136))),0,"2 / 4 / 8 / 11")),"")</f>
        <v>4 / 10</v>
      </c>
      <c r="J136" s="1749" t="str">
        <f ca="1">IFERROR(VLOOKUP(B136,'銀行-TSS'!B:P,15,FALSE),"")</f>
        <v>2024/10/6</v>
      </c>
      <c r="K136" s="1750">
        <f ca="1">IFERROR(VLOOKUP(表格1[[#This Row],[商品
代碼]],'銀行-TSS'!B:I,8,FALSE),"")</f>
        <v>2</v>
      </c>
      <c r="L136" s="1747">
        <f ca="1">IFERROR(VLOOKUP(B136,'銀行-TSS'!B:K,10,FALSE),"")</f>
        <v>85.09</v>
      </c>
      <c r="M136" s="1745" t="str">
        <f ca="1">IF(表格1[[#This Row],[含息申購
參考價]]&gt;100,"溢價",IF(表格1[[#This Row],[含息申購
參考價]]&lt;100,"折價","平價"))</f>
        <v>折價</v>
      </c>
      <c r="N136" s="1751">
        <f ca="1">IFERROR(VLOOKUP(B136,'銀行-TSS'!B:M,12,FALSE),"")</f>
        <v>5.0900000000000001E-2</v>
      </c>
      <c r="O136" s="1752">
        <f ca="1">IFERROR(VLOOKUP(表格1[[#This Row],[商品
代碼]],'銀行-TSS'!B:AJ,35,FALSE),"")</f>
        <v>0</v>
      </c>
      <c r="P136" s="1753">
        <f ca="1">IFERROR(VLOOKUP(表格1[[#This Row],[商品
代碼]],'銀行-TSS'!B:AE,30,FALSE),"")</f>
        <v>5.1299999999999998E-2</v>
      </c>
      <c r="Q136" s="1749" t="str">
        <f ca="1">IFERROR(IF(VLOOKUP(表格1[[#This Row],[商品
代碼]],'銀行-TSS'!B:AM,38,FALSE)="#N/A Field Not Applicable","",VLOOKUP(表格1[[#This Row],[商品
代碼]],'銀行-TSS'!B:AM,38,FALSE)),"")</f>
        <v>2039/10/6</v>
      </c>
      <c r="R136" s="1749" t="str">
        <f ca="1">IFERROR(VLOOKUP(表格1[[#This Row],[商品
代碼]],'銀行-TSS'!B:AH,33,FALSE),"")</f>
        <v>美元(USD)</v>
      </c>
      <c r="S136" s="1754">
        <f ca="1">IFERROR(VLOOKUP(B136,'銀行-TSS'!B:N,13,FALSE),"")</f>
        <v>10000</v>
      </c>
      <c r="T136" s="1754" t="str">
        <f ca="1">VLOOKUP(表格1[[#This Row],[商品
代碼]],'銀行-TSS'!B:AI,34,FALSE)</f>
        <v>自由選清單</v>
      </c>
      <c r="U136" s="1755" t="str">
        <f ca="1">IFERROR(VLOOKUP(B136,'銀行-TSS'!B:Q,16,FALSE),"")</f>
        <v>能源</v>
      </c>
      <c r="V136" s="1755" t="str">
        <f ca="1">IFERROR(VLOOKUP(表格1[[#This Row],[商品
代碼]],'銀行-TSS'!B:AG,32,FALSE),"")</f>
        <v>固定</v>
      </c>
      <c r="W136" s="1756" t="str">
        <f ca="1">IFERROR(IFERROR(VLOOKUP(表格1[[#This Row],[商品
代碼]],'3_是否下架'!A:B,2,FALSE),VLOOKUP(表格1[[#This Row],[商品
代碼]],'銀行-TSS'!B:AK,36,FALSE)),"")</f>
        <v>有</v>
      </c>
      <c r="Y136" s="400"/>
      <c r="Z136" s="400"/>
      <c r="AA136" s="401"/>
    </row>
    <row r="137" spans="2:27" s="399" customFormat="1" ht="24.75" customHeight="1">
      <c r="B137" s="1745" t="s">
        <v>1186</v>
      </c>
      <c r="C137" s="1745" t="str">
        <f ca="1">IFERROR(VLOOKUP(表格1[[#This Row],[商品
代碼]],'銀行-TSS'!B:V,21,FALSE),"")</f>
        <v>(NPI)非專投</v>
      </c>
      <c r="D137" s="1746" t="str">
        <f>IFERROR(VLOOKUP(表格1[[#This Row],[商品
代碼]],bond!B:F,5,FALSE),"")</f>
        <v>US20030NDH17</v>
      </c>
      <c r="E137" s="1746" t="str">
        <f ca="1">IFERROR(VLOOKUP(B137,'銀行-TSS'!B:D,3,FALSE),"")</f>
        <v>康卡斯特公司美元配息債券 3.75% 2040/4/1</v>
      </c>
      <c r="F137" s="1745" t="str">
        <f ca="1">IFERROR(VLOOKUP(B137,'銀行-TSS'!B:E,4,FALSE),"")</f>
        <v>A3 / A- / A-</v>
      </c>
      <c r="G137" s="1747">
        <f ca="1">IFERROR(VLOOKUP(B137,'銀行-TSS'!B:G,6,FALSE),"")</f>
        <v>15.75</v>
      </c>
      <c r="H137" s="1748">
        <f ca="1">IFERROR(VLOOKUP(B137,'銀行-TSS'!B:H,7,FALSE),"")</f>
        <v>3.7499999999999999E-2</v>
      </c>
      <c r="I137" s="1745" t="str">
        <f ca="1">IFERROR(IF(表格1[[#This Row],[配息頻率]]=0,"",CHOOSE(表格1[[#This Row],[配息頻率]],MONTH(J137),IF(MONTH(J137)&lt;=6,CONCATENATE(MONTH(J137)," / ",MONTH(J137)+6),CONCATENATE(MONTH(J137)-6," / ",MONTH(J137))),0,"2 / 4 / 8 / 11")),"")</f>
        <v>4 / 10</v>
      </c>
      <c r="J137" s="1749" t="str">
        <f ca="1">IFERROR(VLOOKUP(B137,'銀行-TSS'!B:P,15,FALSE),"")</f>
        <v>2024/10/1</v>
      </c>
      <c r="K137" s="1750">
        <f ca="1">IFERROR(VLOOKUP(表格1[[#This Row],[商品
代碼]],'銀行-TSS'!B:I,8,FALSE),"")</f>
        <v>2</v>
      </c>
      <c r="L137" s="1747">
        <f ca="1">IFERROR(VLOOKUP(B137,'銀行-TSS'!B:K,10,FALSE),"")</f>
        <v>84.83</v>
      </c>
      <c r="M137" s="1745" t="str">
        <f ca="1">IF(表格1[[#This Row],[含息申購
參考價]]&gt;100,"溢價",IF(表格1[[#This Row],[含息申購
參考價]]&lt;100,"折價","平價"))</f>
        <v>折價</v>
      </c>
      <c r="N137" s="1751">
        <f ca="1">IFERROR(VLOOKUP(B137,'銀行-TSS'!B:M,12,FALSE),"")</f>
        <v>5.2699999999999997E-2</v>
      </c>
      <c r="O137" s="1752">
        <f ca="1">IFERROR(VLOOKUP(表格1[[#This Row],[商品
代碼]],'銀行-TSS'!B:AJ,35,FALSE),"")</f>
        <v>0</v>
      </c>
      <c r="P137" s="1753">
        <f ca="1">IFERROR(VLOOKUP(表格1[[#This Row],[商品
代碼]],'銀行-TSS'!B:AE,30,FALSE),"")</f>
        <v>5.2999999999999999E-2</v>
      </c>
      <c r="Q137" s="1749" t="str">
        <f ca="1">IFERROR(IF(VLOOKUP(表格1[[#This Row],[商品
代碼]],'銀行-TSS'!B:AM,38,FALSE)="#N/A Field Not Applicable","",VLOOKUP(表格1[[#This Row],[商品
代碼]],'銀行-TSS'!B:AM,38,FALSE)),"")</f>
        <v>2039/10/1</v>
      </c>
      <c r="R137" s="1749" t="str">
        <f ca="1">IFERROR(VLOOKUP(表格1[[#This Row],[商品
代碼]],'銀行-TSS'!B:AH,33,FALSE),"")</f>
        <v>美元(USD)</v>
      </c>
      <c r="S137" s="1754">
        <f ca="1">IFERROR(VLOOKUP(B137,'銀行-TSS'!B:N,13,FALSE),"")</f>
        <v>10000</v>
      </c>
      <c r="T137" s="1754" t="str">
        <f ca="1">VLOOKUP(表格1[[#This Row],[商品
代碼]],'銀行-TSS'!B:AI,34,FALSE)</f>
        <v>自由選清單</v>
      </c>
      <c r="U137" s="1755" t="str">
        <f ca="1">IFERROR(VLOOKUP(B137,'銀行-TSS'!B:Q,16,FALSE),"")</f>
        <v>通訊</v>
      </c>
      <c r="V137" s="1755" t="str">
        <f ca="1">IFERROR(VLOOKUP(表格1[[#This Row],[商品
代碼]],'銀行-TSS'!B:AG,32,FALSE),"")</f>
        <v>固定</v>
      </c>
      <c r="W137" s="1756" t="str">
        <f ca="1">IFERROR(IFERROR(VLOOKUP(表格1[[#This Row],[商品
代碼]],'3_是否下架'!A:B,2,FALSE),VLOOKUP(表格1[[#This Row],[商品
代碼]],'銀行-TSS'!B:AK,36,FALSE)),"")</f>
        <v>有</v>
      </c>
      <c r="Y137" s="400"/>
      <c r="Z137" s="400"/>
      <c r="AA137" s="401"/>
    </row>
    <row r="138" spans="2:27" s="399" customFormat="1" ht="24.75" customHeight="1">
      <c r="B138" s="1745" t="s">
        <v>853</v>
      </c>
      <c r="C138" s="1745" t="str">
        <f ca="1">IFERROR(VLOOKUP(表格1[[#This Row],[商品
代碼]],'銀行-TSS'!B:V,21,FALSE),"")</f>
        <v>(PI)專投</v>
      </c>
      <c r="D138" s="1746" t="str">
        <f>IFERROR(VLOOKUP(表格1[[#This Row],[商品
代碼]],bond!B:F,5,FALSE),"")</f>
        <v>USF2893TAE67</v>
      </c>
      <c r="E138" s="1746" t="str">
        <f ca="1">IFERROR(VLOOKUP(B138,'銀行-TSS'!B:D,3,FALSE),"")</f>
        <v>法國電力公司美元配息債券 5.6% 2040/1/27</v>
      </c>
      <c r="F138" s="1745" t="str">
        <f ca="1">IFERROR(VLOOKUP(B138,'銀行-TSS'!B:E,4,FALSE),"")</f>
        <v>Baa1 / BBB / BBB+</v>
      </c>
      <c r="G138" s="1747">
        <f ca="1">IFERROR(VLOOKUP(B138,'銀行-TSS'!B:G,6,FALSE),"")</f>
        <v>15.57</v>
      </c>
      <c r="H138" s="1748">
        <f ca="1">IFERROR(VLOOKUP(B138,'銀行-TSS'!B:H,7,FALSE),"")</f>
        <v>5.5999999999999994E-2</v>
      </c>
      <c r="I138" s="1745" t="str">
        <f ca="1">IFERROR(IF(表格1[[#This Row],[配息頻率]]=0,"",CHOOSE(表格1[[#This Row],[配息頻率]],MONTH(J138),IF(MONTH(J138)&lt;=6,CONCATENATE(MONTH(J138)," / ",MONTH(J138)+6),CONCATENATE(MONTH(J138)-6," / ",MONTH(J138))),0,"2 / 4 / 8 / 11")),"")</f>
        <v>1 / 7</v>
      </c>
      <c r="J138" s="1749" t="str">
        <f ca="1">IFERROR(VLOOKUP(B138,'銀行-TSS'!B:P,15,FALSE),"")</f>
        <v>2024/7/27</v>
      </c>
      <c r="K138" s="1750">
        <f ca="1">IFERROR(VLOOKUP(表格1[[#This Row],[商品
代碼]],'銀行-TSS'!B:I,8,FALSE),"")</f>
        <v>2</v>
      </c>
      <c r="L138" s="1747">
        <f ca="1">IFERROR(VLOOKUP(B138,'銀行-TSS'!B:K,10,FALSE),"")</f>
        <v>105.01</v>
      </c>
      <c r="M138" s="1745" t="str">
        <f ca="1">IF(表格1[[#This Row],[含息申購
參考價]]&gt;100,"溢價",IF(表格1[[#This Row],[含息申購
參考價]]&lt;100,"折價","平價"))</f>
        <v>溢價</v>
      </c>
      <c r="N138" s="1751">
        <f ca="1">IFERROR(VLOOKUP(B138,'銀行-TSS'!B:M,12,FALSE),"")</f>
        <v>5.3499999999999999E-2</v>
      </c>
      <c r="O138" s="1752">
        <f ca="1">IFERROR(VLOOKUP(表格1[[#This Row],[商品
代碼]],'銀行-TSS'!B:AJ,35,FALSE),"")</f>
        <v>0</v>
      </c>
      <c r="P138" s="1751" t="str">
        <f ca="1">IFERROR(VLOOKUP(表格1[[#This Row],[商品
代碼]],'銀行-TSS'!B:AE,30,FALSE),"")</f>
        <v xml:space="preserve"> </v>
      </c>
      <c r="Q138" s="1749" t="str">
        <f ca="1">IFERROR(IF(VLOOKUP(表格1[[#This Row],[商品
代碼]],'銀行-TSS'!B:AM,38,FALSE)="#N/A Field Not Applicable","",VLOOKUP(表格1[[#This Row],[商品
代碼]],'銀行-TSS'!B:AM,38,FALSE)),"")</f>
        <v/>
      </c>
      <c r="R138" s="1749" t="str">
        <f ca="1">IFERROR(VLOOKUP(表格1[[#This Row],[商品
代碼]],'銀行-TSS'!B:AH,33,FALSE),"")</f>
        <v>美元(USD)</v>
      </c>
      <c r="S138" s="1754">
        <f ca="1">IFERROR(VLOOKUP(B138,'銀行-TSS'!B:N,13,FALSE),"")</f>
        <v>10000</v>
      </c>
      <c r="T138" s="1754" t="str">
        <f ca="1">VLOOKUP(表格1[[#This Row],[商品
代碼]],'銀行-TSS'!B:AI,34,FALSE)</f>
        <v>自由選清單</v>
      </c>
      <c r="U138" s="1745" t="str">
        <f ca="1">IFERROR(VLOOKUP(B138,'銀行-TSS'!B:Q,16,FALSE),"")</f>
        <v>公用事業</v>
      </c>
      <c r="V138" s="1755" t="str">
        <f ca="1">IFERROR(VLOOKUP(表格1[[#This Row],[商品
代碼]],'銀行-TSS'!B:AG,32,FALSE),"")</f>
        <v>固定</v>
      </c>
      <c r="W138" s="1757" t="str">
        <f>IFERROR(IFERROR(VLOOKUP(表格1[[#This Row],[商品
代碼]],'3_是否下架'!A:B,2,FALSE),VLOOKUP(表格1[[#This Row],[商品
代碼]],'銀行-TSS'!B:AK,36,FALSE)),"")</f>
        <v>已下架</v>
      </c>
      <c r="Y138" s="400"/>
      <c r="Z138" s="400"/>
      <c r="AA138" s="401"/>
    </row>
    <row r="139" spans="2:27" s="399" customFormat="1" ht="24.75" customHeight="1">
      <c r="B139" s="1745" t="s">
        <v>731</v>
      </c>
      <c r="C139" s="1745" t="str">
        <f ca="1">IFERROR(VLOOKUP(表格1[[#This Row],[商品
代碼]],'銀行-TSS'!B:V,21,FALSE),"")</f>
        <v>(PI)專投</v>
      </c>
      <c r="D139" s="1746" t="str">
        <f>IFERROR(VLOOKUP(表格1[[#This Row],[商品
代碼]],bond!B:F,5,FALSE),"")</f>
        <v>US91086QAV05</v>
      </c>
      <c r="E139" s="1746" t="str">
        <f ca="1">IFERROR(VLOOKUP(B139,'銀行-TSS'!B:D,3,FALSE),"")</f>
        <v>墨西哥政府美元配息債券 6.05% 2040/1/11</v>
      </c>
      <c r="F139" s="1745" t="str">
        <f ca="1">IFERROR(VLOOKUP(B139,'銀行-TSS'!B:E,4,FALSE),"")</f>
        <v>Baa2 / BBB / BBB-</v>
      </c>
      <c r="G139" s="1747">
        <f ca="1">IFERROR(VLOOKUP(B139,'銀行-TSS'!B:G,6,FALSE),"")</f>
        <v>15.53</v>
      </c>
      <c r="H139" s="1748">
        <f ca="1">IFERROR(VLOOKUP(B139,'銀行-TSS'!B:H,7,FALSE),"")</f>
        <v>6.0499999999999998E-2</v>
      </c>
      <c r="I139" s="1745" t="str">
        <f ca="1">IFERROR(IF(表格1[[#This Row],[配息頻率]]=0,"",CHOOSE(表格1[[#This Row],[配息頻率]],MONTH(J139),IF(MONTH(J139)&lt;=6,CONCATENATE(MONTH(J139)," / ",MONTH(J139)+6),CONCATENATE(MONTH(J139)-6," / ",MONTH(J139))),0,"2 / 4 / 8 / 11")),"")</f>
        <v>1 / 7</v>
      </c>
      <c r="J139" s="1749" t="str">
        <f ca="1">IFERROR(VLOOKUP(B139,'銀行-TSS'!B:P,15,FALSE),"")</f>
        <v>2024/7/11</v>
      </c>
      <c r="K139" s="1750">
        <f ca="1">IFERROR(VLOOKUP(表格1[[#This Row],[商品
代碼]],'銀行-TSS'!B:I,8,FALSE),"")</f>
        <v>2</v>
      </c>
      <c r="L139" s="1747">
        <f ca="1">IFERROR(VLOOKUP(B139,'銀行-TSS'!B:K,10,FALSE),"")</f>
        <v>103.68</v>
      </c>
      <c r="M139" s="1745" t="str">
        <f ca="1">IF(表格1[[#This Row],[含息申購
參考價]]&gt;100,"溢價",IF(表格1[[#This Row],[含息申購
參考價]]&lt;100,"折價","平價"))</f>
        <v>溢價</v>
      </c>
      <c r="N139" s="1751">
        <f ca="1">IFERROR(VLOOKUP(B139,'銀行-TSS'!B:M,12,FALSE),"")</f>
        <v>5.9700000000000003E-2</v>
      </c>
      <c r="O139" s="1752">
        <f ca="1">IFERROR(VLOOKUP(表格1[[#This Row],[商品
代碼]],'銀行-TSS'!B:AJ,35,FALSE),"")</f>
        <v>0</v>
      </c>
      <c r="P139" s="1753" t="str">
        <f ca="1">IFERROR(VLOOKUP(表格1[[#This Row],[商品
代碼]],'銀行-TSS'!B:AE,30,FALSE),"")</f>
        <v xml:space="preserve"> </v>
      </c>
      <c r="Q139" s="1749" t="str">
        <f ca="1">IFERROR(IF(VLOOKUP(表格1[[#This Row],[商品
代碼]],'銀行-TSS'!B:AM,38,FALSE)="#N/A Field Not Applicable","",VLOOKUP(表格1[[#This Row],[商品
代碼]],'銀行-TSS'!B:AM,38,FALSE)),"")</f>
        <v/>
      </c>
      <c r="R139" s="1749" t="str">
        <f ca="1">IFERROR(VLOOKUP(表格1[[#This Row],[商品
代碼]],'銀行-TSS'!B:AH,33,FALSE),"")</f>
        <v>美元(USD)</v>
      </c>
      <c r="S139" s="1754">
        <f ca="1">IFERROR(VLOOKUP(B139,'銀行-TSS'!B:N,13,FALSE),"")</f>
        <v>10000</v>
      </c>
      <c r="T139" s="1754" t="str">
        <f ca="1">VLOOKUP(表格1[[#This Row],[商品
代碼]],'銀行-TSS'!B:AI,34,FALSE)</f>
        <v>自由選清單</v>
      </c>
      <c r="U139" s="1755" t="str">
        <f ca="1">IFERROR(VLOOKUP(B139,'銀行-TSS'!B:Q,16,FALSE),"")</f>
        <v>政府</v>
      </c>
      <c r="V139" s="1755" t="str">
        <f ca="1">IFERROR(VLOOKUP(表格1[[#This Row],[商品
代碼]],'銀行-TSS'!B:AG,32,FALSE),"")</f>
        <v>固定</v>
      </c>
      <c r="W139" s="1756" t="str">
        <f ca="1">IFERROR(IFERROR(VLOOKUP(表格1[[#This Row],[商品
代碼]],'3_是否下架'!A:B,2,FALSE),VLOOKUP(表格1[[#This Row],[商品
代碼]],'銀行-TSS'!B:AK,36,FALSE)),"")</f>
        <v>有</v>
      </c>
      <c r="Y139" s="400"/>
      <c r="Z139" s="400"/>
      <c r="AA139" s="401"/>
    </row>
    <row r="140" spans="2:27" s="399" customFormat="1" ht="24.75" customHeight="1">
      <c r="B140" s="1745" t="s">
        <v>1131</v>
      </c>
      <c r="C140" s="1745" t="str">
        <f ca="1">IFERROR(VLOOKUP(表格1[[#This Row],[商品
代碼]],'銀行-TSS'!B:V,21,FALSE),"")</f>
        <v>(NPI)非專投</v>
      </c>
      <c r="D140" s="1746" t="str">
        <f>IFERROR(VLOOKUP(表格1[[#This Row],[商品
代碼]],bond!B:F,5,FALSE),"")</f>
        <v>AU3CB0268167</v>
      </c>
      <c r="E140" s="1746" t="str">
        <f ca="1">IFERROR(VLOOKUP(B140,'銀行-TSS'!B:D,3,FALSE),"")</f>
        <v>威瑞森電信公司澳幣配息債券  3.5% 2039/11/4</v>
      </c>
      <c r="F140" s="1745" t="str">
        <f ca="1">IFERROR(VLOOKUP(B140,'銀行-TSS'!B:E,4,FALSE),"")</f>
        <v>Baa1 / BBB+ / A-</v>
      </c>
      <c r="G140" s="1747">
        <f ca="1">IFERROR(VLOOKUP(B140,'銀行-TSS'!B:G,6,FALSE),"")</f>
        <v>15.34</v>
      </c>
      <c r="H140" s="1748">
        <f ca="1">IFERROR(VLOOKUP(B140,'銀行-TSS'!B:H,7,FALSE),"")</f>
        <v>3.5000000000000003E-2</v>
      </c>
      <c r="I140" s="1745" t="str">
        <f ca="1">IFERROR(IF(表格1[[#This Row],[配息頻率]]=0,"",CHOOSE(表格1[[#This Row],[配息頻率]],MONTH(J140),IF(MONTH(J140)&lt;=6,CONCATENATE(MONTH(J140)," / ",MONTH(J140)+6),CONCATENATE(MONTH(J140)-6," / ",MONTH(J140))),0,"2 / 4 / 8 / 11")),"")</f>
        <v>5 / 11</v>
      </c>
      <c r="J140" s="1749" t="str">
        <f ca="1">IFERROR(VLOOKUP(B140,'銀行-TSS'!B:P,15,FALSE),"")</f>
        <v>2024/11/4</v>
      </c>
      <c r="K140" s="1750">
        <f ca="1">IFERROR(VLOOKUP(表格1[[#This Row],[商品
代碼]],'銀行-TSS'!B:I,8,FALSE),"")</f>
        <v>2</v>
      </c>
      <c r="L140" s="1747">
        <f ca="1">IFERROR(VLOOKUP(B140,'銀行-TSS'!B:K,10,FALSE),"")</f>
        <v>75.66</v>
      </c>
      <c r="M140" s="1745" t="str">
        <f ca="1">IF(表格1[[#This Row],[含息申購
參考價]]&gt;100,"溢價",IF(表格1[[#This Row],[含息申購
參考價]]&lt;100,"折價","平價"))</f>
        <v>折價</v>
      </c>
      <c r="N140" s="1751">
        <f ca="1">IFERROR(VLOOKUP(B140,'銀行-TSS'!B:M,12,FALSE),"")</f>
        <v>6.0100000000000001E-2</v>
      </c>
      <c r="O140" s="1752">
        <f ca="1">IFERROR(VLOOKUP(表格1[[#This Row],[商品
代碼]],'銀行-TSS'!B:AJ,35,FALSE),"")</f>
        <v>1</v>
      </c>
      <c r="P140" s="1753" t="str">
        <f ca="1">IFERROR(VLOOKUP(表格1[[#This Row],[商品
代碼]],'銀行-TSS'!B:AE,30,FALSE),"")</f>
        <v xml:space="preserve"> </v>
      </c>
      <c r="Q140" s="1749" t="str">
        <f ca="1">IFERROR(IF(VLOOKUP(表格1[[#This Row],[商品
代碼]],'銀行-TSS'!B:AM,38,FALSE)="#N/A Field Not Applicable","",VLOOKUP(表格1[[#This Row],[商品
代碼]],'銀行-TSS'!B:AM,38,FALSE)),"")</f>
        <v/>
      </c>
      <c r="R140" s="1749" t="str">
        <f ca="1">IFERROR(VLOOKUP(表格1[[#This Row],[商品
代碼]],'銀行-TSS'!B:AH,33,FALSE),"")</f>
        <v>澳幣(AUD)</v>
      </c>
      <c r="S140" s="1754">
        <f ca="1">IFERROR(VLOOKUP(B140,'銀行-TSS'!B:N,13,FALSE),"")</f>
        <v>200000</v>
      </c>
      <c r="T140" s="1754" t="str">
        <f ca="1">VLOOKUP(表格1[[#This Row],[商品
代碼]],'銀行-TSS'!B:AI,34,FALSE)</f>
        <v/>
      </c>
      <c r="U140" s="1755" t="str">
        <f ca="1">IFERROR(VLOOKUP(B140,'銀行-TSS'!B:Q,16,FALSE),"")</f>
        <v>通訊</v>
      </c>
      <c r="V140" s="1755" t="str">
        <f ca="1">IFERROR(VLOOKUP(表格1[[#This Row],[商品
代碼]],'銀行-TSS'!B:AG,32,FALSE),"")</f>
        <v>固定</v>
      </c>
      <c r="W140" s="1756" t="str">
        <f>IFERROR(IFERROR(VLOOKUP(表格1[[#This Row],[商品
代碼]],'3_是否下架'!A:B,2,FALSE),VLOOKUP(表格1[[#This Row],[商品
代碼]],'銀行-TSS'!B:AK,36,FALSE)),"")</f>
        <v>已下架</v>
      </c>
      <c r="Y140" s="400"/>
      <c r="Z140" s="400"/>
      <c r="AA140" s="401"/>
    </row>
    <row r="141" spans="2:27" s="399" customFormat="1" ht="24.75" customHeight="1">
      <c r="B141" s="1745" t="s">
        <v>2386</v>
      </c>
      <c r="C141" s="1745" t="str">
        <f ca="1">IFERROR(VLOOKUP(表格1[[#This Row],[商品
代碼]],'銀行-TSS'!B:V,21,FALSE),"")</f>
        <v>(PI)專投</v>
      </c>
      <c r="D141" s="1746" t="str">
        <f>IFERROR(VLOOKUP(表格1[[#This Row],[商品
代碼]],bond!B:F,5,FALSE),"")</f>
        <v>US172967EW71</v>
      </c>
      <c r="E141" s="1746" t="str">
        <f ca="1">IFERROR(VLOOKUP(B141,'銀行-TSS'!B:D,3,FALSE),"")</f>
        <v>花旗集團美元配息債券 8.125% 2039/7/15</v>
      </c>
      <c r="F141" s="1745" t="str">
        <f ca="1">IFERROR(VLOOKUP(B141,'銀行-TSS'!B:E,4,FALSE),"")</f>
        <v>A3 / BBB+ / A</v>
      </c>
      <c r="G141" s="1747">
        <f ca="1">IFERROR(VLOOKUP(B141,'銀行-TSS'!B:G,6,FALSE),"")</f>
        <v>15.03</v>
      </c>
      <c r="H141" s="1748">
        <f ca="1">IFERROR(VLOOKUP(B141,'銀行-TSS'!B:H,7,FALSE),"")</f>
        <v>8.1250000000000003E-2</v>
      </c>
      <c r="I141" s="1745" t="str">
        <f ca="1">IFERROR(IF(表格1[[#This Row],[配息頻率]]=0,"",CHOOSE(表格1[[#This Row],[配息頻率]],MONTH(J141),IF(MONTH(J141)&lt;=6,CONCATENATE(MONTH(J141)," / ",MONTH(J141)+6),CONCATENATE(MONTH(J141)-6," / ",MONTH(J141))),0,"2 / 4 / 8 / 11")),"")</f>
        <v>1 / 7</v>
      </c>
      <c r="J141" s="1749" t="str">
        <f ca="1">IFERROR(VLOOKUP(B141,'銀行-TSS'!B:P,15,FALSE),"")</f>
        <v>2024/7/15</v>
      </c>
      <c r="K141" s="1750">
        <f ca="1">IFERROR(VLOOKUP(表格1[[#This Row],[商品
代碼]],'銀行-TSS'!B:I,8,FALSE),"")</f>
        <v>2</v>
      </c>
      <c r="L141" s="1747">
        <f ca="1">IFERROR(VLOOKUP(B141,'銀行-TSS'!B:K,10,FALSE),"")</f>
        <v>131.37</v>
      </c>
      <c r="M141" s="1745" t="str">
        <f ca="1">IF(表格1[[#This Row],[含息申購
參考價]]&gt;100,"溢價",IF(表格1[[#This Row],[含息申購
參考價]]&lt;100,"折價","平價"))</f>
        <v>溢價</v>
      </c>
      <c r="N141" s="1751">
        <f ca="1">IFERROR(VLOOKUP(B141,'銀行-TSS'!B:M,12,FALSE),"")</f>
        <v>5.4199999999999998E-2</v>
      </c>
      <c r="O141" s="1752">
        <f ca="1">IFERROR(VLOOKUP(表格1[[#This Row],[商品
代碼]],'銀行-TSS'!B:AJ,35,FALSE),"")</f>
        <v>0</v>
      </c>
      <c r="P141" s="1753" t="str">
        <f ca="1">IFERROR(VLOOKUP(表格1[[#This Row],[商品
代碼]],'銀行-TSS'!B:AE,30,FALSE),"")</f>
        <v xml:space="preserve"> </v>
      </c>
      <c r="Q141" s="1749" t="str">
        <f ca="1">IFERROR(IF(VLOOKUP(表格1[[#This Row],[商品
代碼]],'銀行-TSS'!B:AM,38,FALSE)="#N/A Field Not Applicable","",VLOOKUP(表格1[[#This Row],[商品
代碼]],'銀行-TSS'!B:AM,38,FALSE)),"")</f>
        <v/>
      </c>
      <c r="R141" s="1749" t="str">
        <f ca="1">IFERROR(VLOOKUP(表格1[[#This Row],[商品
代碼]],'銀行-TSS'!B:AH,33,FALSE),"")</f>
        <v>美元(USD)</v>
      </c>
      <c r="S141" s="1754">
        <f ca="1">IFERROR(VLOOKUP(B141,'銀行-TSS'!B:N,13,FALSE),"")</f>
        <v>10000</v>
      </c>
      <c r="T141" s="1754" t="str">
        <f ca="1">VLOOKUP(表格1[[#This Row],[商品
代碼]],'銀行-TSS'!B:AI,34,FALSE)</f>
        <v>自由選清單</v>
      </c>
      <c r="U141" s="1755" t="str">
        <f ca="1">IFERROR(VLOOKUP(B141,'銀行-TSS'!B:Q,16,FALSE),"")</f>
        <v>金融</v>
      </c>
      <c r="V141" s="1755" t="str">
        <f ca="1">IFERROR(VLOOKUP(表格1[[#This Row],[商品
代碼]],'銀行-TSS'!B:AG,32,FALSE),"")</f>
        <v>固定</v>
      </c>
      <c r="W141" s="1756" t="str">
        <f ca="1">IFERROR(IFERROR(VLOOKUP(表格1[[#This Row],[商品
代碼]],'3_是否下架'!A:B,2,FALSE),VLOOKUP(表格1[[#This Row],[商品
代碼]],'銀行-TSS'!B:AK,36,FALSE)),"")</f>
        <v>有</v>
      </c>
      <c r="Y141" s="400"/>
      <c r="Z141" s="400"/>
      <c r="AA141" s="401"/>
    </row>
    <row r="142" spans="2:27" s="399" customFormat="1" ht="24.75" customHeight="1">
      <c r="B142" s="1745" t="s">
        <v>807</v>
      </c>
      <c r="C142" s="1745" t="str">
        <f ca="1">IFERROR(VLOOKUP(表格1[[#This Row],[商品
代碼]],'銀行-TSS'!B:V,21,FALSE),"")</f>
        <v>(NPI)非專投</v>
      </c>
      <c r="D142" s="1746" t="str">
        <f>IFERROR(VLOOKUP(表格1[[#This Row],[商品
代碼]],bond!B:F,5,FALSE),"")</f>
        <v>XS1982113463</v>
      </c>
      <c r="E142" s="1746" t="str">
        <f ca="1">IFERROR(VLOOKUP(B142,'銀行-TSS'!B:D,3,FALSE),"")</f>
        <v>沙烏地阿拉伯石油公司美元配息債券 4.25% 2039/4/16</v>
      </c>
      <c r="F142" s="1745" t="str">
        <f ca="1">IFERROR(VLOOKUP(B142,'銀行-TSS'!B:E,4,FALSE),"")</f>
        <v>A1 / - / A+</v>
      </c>
      <c r="G142" s="1747">
        <f ca="1">IFERROR(VLOOKUP(B142,'銀行-TSS'!B:G,6,FALSE),"")</f>
        <v>14.78</v>
      </c>
      <c r="H142" s="1748">
        <f ca="1">IFERROR(VLOOKUP(B142,'銀行-TSS'!B:H,7,FALSE),"")</f>
        <v>4.2500000000000003E-2</v>
      </c>
      <c r="I142" s="1745" t="str">
        <f ca="1">IFERROR(IF(表格1[[#This Row],[配息頻率]]=0,"",CHOOSE(表格1[[#This Row],[配息頻率]],MONTH(J142),IF(MONTH(J142)&lt;=6,CONCATENATE(MONTH(J142)," / ",MONTH(J142)+6),CONCATENATE(MONTH(J142)-6," / ",MONTH(J142))),0,"2 / 4 / 8 / 11")),"")</f>
        <v>4 / 10</v>
      </c>
      <c r="J142" s="1749" t="str">
        <f ca="1">IFERROR(VLOOKUP(B142,'銀行-TSS'!B:P,15,FALSE),"")</f>
        <v>2024/10/16</v>
      </c>
      <c r="K142" s="1750">
        <f ca="1">IFERROR(VLOOKUP(表格1[[#This Row],[商品
代碼]],'銀行-TSS'!B:I,8,FALSE),"")</f>
        <v>2</v>
      </c>
      <c r="L142" s="1747">
        <f ca="1">IFERROR(VLOOKUP(B142,'銀行-TSS'!B:K,10,FALSE),"")</f>
        <v>91.64</v>
      </c>
      <c r="M142" s="1745" t="str">
        <f ca="1">IF(表格1[[#This Row],[含息申購
參考價]]&gt;100,"溢價",IF(表格1[[#This Row],[含息申購
參考價]]&lt;100,"折價","平價"))</f>
        <v>折價</v>
      </c>
      <c r="N142" s="1751">
        <f ca="1">IFERROR(VLOOKUP(B142,'銀行-TSS'!B:M,12,FALSE),"")</f>
        <v>5.1499999999999997E-2</v>
      </c>
      <c r="O142" s="1752">
        <f ca="1">IFERROR(VLOOKUP(表格1[[#This Row],[商品
代碼]],'銀行-TSS'!B:AJ,35,FALSE),"")</f>
        <v>0</v>
      </c>
      <c r="P142" s="1753" t="str">
        <f ca="1">IFERROR(VLOOKUP(表格1[[#This Row],[商品
代碼]],'銀行-TSS'!B:AE,30,FALSE),"")</f>
        <v xml:space="preserve"> </v>
      </c>
      <c r="Q142" s="1749" t="str">
        <f ca="1">IFERROR(IF(VLOOKUP(表格1[[#This Row],[商品
代碼]],'銀行-TSS'!B:AM,38,FALSE)="#N/A Field Not Applicable","",VLOOKUP(表格1[[#This Row],[商品
代碼]],'銀行-TSS'!B:AM,38,FALSE)),"")</f>
        <v/>
      </c>
      <c r="R142" s="1749" t="str">
        <f ca="1">IFERROR(VLOOKUP(表格1[[#This Row],[商品
代碼]],'銀行-TSS'!B:AH,33,FALSE),"")</f>
        <v>美元(USD)</v>
      </c>
      <c r="S142" s="1754">
        <f ca="1">IFERROR(VLOOKUP(B142,'銀行-TSS'!B:N,13,FALSE),"")</f>
        <v>200000</v>
      </c>
      <c r="T142" s="1754" t="str">
        <f ca="1">VLOOKUP(表格1[[#This Row],[商品
代碼]],'銀行-TSS'!B:AI,34,FALSE)</f>
        <v>自由選清單</v>
      </c>
      <c r="U142" s="1755" t="str">
        <f ca="1">IFERROR(VLOOKUP(B142,'銀行-TSS'!B:Q,16,FALSE),"")</f>
        <v>能源</v>
      </c>
      <c r="V142" s="1755" t="str">
        <f ca="1">IFERROR(VLOOKUP(表格1[[#This Row],[商品
代碼]],'銀行-TSS'!B:AG,32,FALSE),"")</f>
        <v>固定</v>
      </c>
      <c r="W142" s="1756" t="str">
        <f ca="1">IFERROR(IFERROR(VLOOKUP(表格1[[#This Row],[商品
代碼]],'3_是否下架'!A:B,2,FALSE),VLOOKUP(表格1[[#This Row],[商品
代碼]],'銀行-TSS'!B:AK,36,FALSE)),"")</f>
        <v>有</v>
      </c>
      <c r="Y142" s="400"/>
      <c r="Z142" s="400"/>
      <c r="AA142" s="401"/>
    </row>
    <row r="143" spans="2:27" s="399" customFormat="1" ht="24.75" customHeight="1">
      <c r="B143" s="1745" t="s">
        <v>2232</v>
      </c>
      <c r="C143" s="1745" t="str">
        <f ca="1">IFERROR(VLOOKUP(表格1[[#This Row],[商品
代碼]],'銀行-TSS'!B:V,21,FALSE),"")</f>
        <v>(NPI)非專投</v>
      </c>
      <c r="D143" s="1746" t="str">
        <f>IFERROR(VLOOKUP(表格1[[#This Row],[商品
代碼]],bond!B:F,5,FALSE),"")</f>
        <v>US002824AV29</v>
      </c>
      <c r="E143" s="1746" t="str">
        <f ca="1">IFERROR(VLOOKUP(B143,'銀行-TSS'!B:D,3,FALSE),"")</f>
        <v>亞培公司美元配息債券 6% 2039/4/1</v>
      </c>
      <c r="F143" s="1745" t="str">
        <f ca="1">IFERROR(VLOOKUP(B143,'銀行-TSS'!B:E,4,FALSE),"")</f>
        <v>Aa3 / AA- / WD</v>
      </c>
      <c r="G143" s="1747">
        <f ca="1">IFERROR(VLOOKUP(B143,'銀行-TSS'!B:G,6,FALSE),"")</f>
        <v>14.75</v>
      </c>
      <c r="H143" s="1748">
        <f ca="1">IFERROR(VLOOKUP(B143,'銀行-TSS'!B:H,7,FALSE),"")</f>
        <v>0.06</v>
      </c>
      <c r="I143" s="1745" t="str">
        <f ca="1">IFERROR(IF(表格1[[#This Row],[配息頻率]]=0,"",CHOOSE(表格1[[#This Row],[配息頻率]],MONTH(J143),IF(MONTH(J143)&lt;=6,CONCATENATE(MONTH(J143)," / ",MONTH(J143)+6),CONCATENATE(MONTH(J143)-6," / ",MONTH(J143))),0,"2 / 4 / 8 / 11")),"")</f>
        <v>4 / 10</v>
      </c>
      <c r="J143" s="1749" t="str">
        <f ca="1">IFERROR(VLOOKUP(B143,'銀行-TSS'!B:P,15,FALSE),"")</f>
        <v>2024/10/1</v>
      </c>
      <c r="K143" s="1750">
        <f ca="1">IFERROR(VLOOKUP(表格1[[#This Row],[商品
代碼]],'銀行-TSS'!B:I,8,FALSE),"")</f>
        <v>2</v>
      </c>
      <c r="L143" s="1747">
        <f ca="1">IFERROR(VLOOKUP(B143,'銀行-TSS'!B:K,10,FALSE),"")</f>
        <v>112.97</v>
      </c>
      <c r="M143" s="1745" t="str">
        <f ca="1">IF(表格1[[#This Row],[含息申購
參考價]]&gt;100,"溢價",IF(表格1[[#This Row],[含息申購
參考價]]&lt;100,"折價","平價"))</f>
        <v>溢價</v>
      </c>
      <c r="N143" s="1751">
        <f ca="1">IFERROR(VLOOKUP(B143,'銀行-TSS'!B:M,12,FALSE),"")</f>
        <v>4.9000000000000002E-2</v>
      </c>
      <c r="O143" s="1752">
        <f ca="1">IFERROR(VLOOKUP(表格1[[#This Row],[商品
代碼]],'銀行-TSS'!B:AJ,35,FALSE),"")</f>
        <v>0</v>
      </c>
      <c r="P143" s="1753" t="str">
        <f ca="1">IFERROR(VLOOKUP(表格1[[#This Row],[商品
代碼]],'銀行-TSS'!B:AE,30,FALSE),"")</f>
        <v xml:space="preserve"> </v>
      </c>
      <c r="Q143" s="1749" t="str">
        <f ca="1">IFERROR(IF(VLOOKUP(表格1[[#This Row],[商品
代碼]],'銀行-TSS'!B:AM,38,FALSE)="#N/A Field Not Applicable","",VLOOKUP(表格1[[#This Row],[商品
代碼]],'銀行-TSS'!B:AM,38,FALSE)),"")</f>
        <v/>
      </c>
      <c r="R143" s="1749" t="str">
        <f ca="1">IFERROR(VLOOKUP(表格1[[#This Row],[商品
代碼]],'銀行-TSS'!B:AH,33,FALSE),"")</f>
        <v>美元(USD)</v>
      </c>
      <c r="S143" s="1754">
        <f ca="1">IFERROR(VLOOKUP(B143,'銀行-TSS'!B:N,13,FALSE),"")</f>
        <v>10000</v>
      </c>
      <c r="T143" s="1754" t="str">
        <f ca="1">VLOOKUP(表格1[[#This Row],[商品
代碼]],'銀行-TSS'!B:AI,34,FALSE)</f>
        <v>自由選清單</v>
      </c>
      <c r="U143" s="1755" t="str">
        <f ca="1">IFERROR(VLOOKUP(B143,'銀行-TSS'!B:Q,16,FALSE),"")</f>
        <v>醫療保健</v>
      </c>
      <c r="V143" s="1755" t="str">
        <f ca="1">IFERROR(VLOOKUP(表格1[[#This Row],[商品
代碼]],'銀行-TSS'!B:AG,32,FALSE),"")</f>
        <v>固定</v>
      </c>
      <c r="W143" s="1756" t="str">
        <f ca="1">IFERROR(IFERROR(VLOOKUP(表格1[[#This Row],[商品
代碼]],'3_是否下架'!A:B,2,FALSE),VLOOKUP(表格1[[#This Row],[商品
代碼]],'銀行-TSS'!B:AK,36,FALSE)),"")</f>
        <v>需查詢</v>
      </c>
      <c r="Y143" s="400"/>
      <c r="Z143" s="400"/>
      <c r="AA143" s="401"/>
    </row>
    <row r="144" spans="2:27" s="399" customFormat="1" ht="24.75" customHeight="1">
      <c r="B144" s="1745" t="s">
        <v>1043</v>
      </c>
      <c r="C144" s="1745" t="str">
        <f ca="1">IFERROR(VLOOKUP(表格1[[#This Row],[商品
代碼]],'銀行-TSS'!B:V,21,FALSE),"")</f>
        <v>(NPI)非專投</v>
      </c>
      <c r="D144" s="1746" t="str">
        <f>IFERROR(VLOOKUP(表格1[[#This Row],[商品
代碼]],bond!B:F,5,FALSE),"")</f>
        <v>US58933YAV74</v>
      </c>
      <c r="E144" s="1746" t="str">
        <f ca="1">IFERROR(VLOOKUP(B144,'銀行-TSS'!B:D,3,FALSE),"")</f>
        <v>默克公司美元配息債券 3.9% 2039/3/7</v>
      </c>
      <c r="F144" s="1745" t="str">
        <f ca="1">IFERROR(VLOOKUP(B144,'銀行-TSS'!B:E,4,FALSE),"")</f>
        <v>A1 / A+ / WD</v>
      </c>
      <c r="G144" s="1747">
        <f ca="1">IFERROR(VLOOKUP(B144,'銀行-TSS'!B:G,6,FALSE),"")</f>
        <v>14.68</v>
      </c>
      <c r="H144" s="1748">
        <f ca="1">IFERROR(VLOOKUP(B144,'銀行-TSS'!B:H,7,FALSE),"")</f>
        <v>3.9E-2</v>
      </c>
      <c r="I144" s="1745" t="str">
        <f ca="1">IFERROR(IF(表格1[[#This Row],[配息頻率]]=0,"",CHOOSE(表格1[[#This Row],[配息頻率]],MONTH(J144),IF(MONTH(J144)&lt;=6,CONCATENATE(MONTH(J144)," / ",MONTH(J144)+6),CONCATENATE(MONTH(J144)-6," / ",MONTH(J144))),0,"2 / 4 / 8 / 11")),"")</f>
        <v>3 / 9</v>
      </c>
      <c r="J144" s="1749" t="str">
        <f ca="1">IFERROR(VLOOKUP(B144,'銀行-TSS'!B:P,15,FALSE),"")</f>
        <v>2024/9/7</v>
      </c>
      <c r="K144" s="1750">
        <f ca="1">IFERROR(VLOOKUP(表格1[[#This Row],[商品
代碼]],'銀行-TSS'!B:I,8,FALSE),"")</f>
        <v>2</v>
      </c>
      <c r="L144" s="1747">
        <f ca="1">IFERROR(VLOOKUP(B144,'銀行-TSS'!B:K,10,FALSE),"")</f>
        <v>90.21</v>
      </c>
      <c r="M144" s="1745" t="str">
        <f ca="1">IF(表格1[[#This Row],[含息申購
參考價]]&gt;100,"溢價",IF(表格1[[#This Row],[含息申購
參考價]]&lt;100,"折價","平價"))</f>
        <v>折價</v>
      </c>
      <c r="N144" s="1751">
        <f ca="1">IFERROR(VLOOKUP(B144,'銀行-TSS'!B:M,12,FALSE),"")</f>
        <v>4.9700000000000001E-2</v>
      </c>
      <c r="O144" s="1752">
        <f ca="1">IFERROR(VLOOKUP(表格1[[#This Row],[商品
代碼]],'銀行-TSS'!B:AJ,35,FALSE),"")</f>
        <v>0</v>
      </c>
      <c r="P144" s="1753">
        <f ca="1">IFERROR(VLOOKUP(表格1[[#This Row],[商品
代碼]],'銀行-TSS'!B:AE,30,FALSE),"")</f>
        <v>0.05</v>
      </c>
      <c r="Q144" s="1749" t="str">
        <f ca="1">IFERROR(IF(VLOOKUP(表格1[[#This Row],[商品
代碼]],'銀行-TSS'!B:AM,38,FALSE)="#N/A Field Not Applicable","",VLOOKUP(表格1[[#This Row],[商品
代碼]],'銀行-TSS'!B:AM,38,FALSE)),"")</f>
        <v>2038/9/7</v>
      </c>
      <c r="R144" s="1749" t="str">
        <f ca="1">IFERROR(VLOOKUP(表格1[[#This Row],[商品
代碼]],'銀行-TSS'!B:AH,33,FALSE),"")</f>
        <v>美元(USD)</v>
      </c>
      <c r="S144" s="1754">
        <f ca="1">IFERROR(VLOOKUP(B144,'銀行-TSS'!B:N,13,FALSE),"")</f>
        <v>10000</v>
      </c>
      <c r="T144" s="1754" t="str">
        <f ca="1">VLOOKUP(表格1[[#This Row],[商品
代碼]],'銀行-TSS'!B:AI,34,FALSE)</f>
        <v>自由選清單</v>
      </c>
      <c r="U144" s="1755" t="str">
        <f ca="1">IFERROR(VLOOKUP(B144,'銀行-TSS'!B:Q,16,FALSE),"")</f>
        <v>醫療保健</v>
      </c>
      <c r="V144" s="1755" t="str">
        <f ca="1">IFERROR(VLOOKUP(表格1[[#This Row],[商品
代碼]],'銀行-TSS'!B:AG,32,FALSE),"")</f>
        <v>固定</v>
      </c>
      <c r="W144" s="1756" t="str">
        <f ca="1">IFERROR(IFERROR(VLOOKUP(表格1[[#This Row],[商品
代碼]],'3_是否下架'!A:B,2,FALSE),VLOOKUP(表格1[[#This Row],[商品
代碼]],'銀行-TSS'!B:AK,36,FALSE)),"")</f>
        <v>有</v>
      </c>
      <c r="Y144" s="400"/>
      <c r="Z144" s="400"/>
      <c r="AA144" s="401"/>
    </row>
    <row r="145" spans="2:27" s="399" customFormat="1" ht="24.75" customHeight="1">
      <c r="B145" s="1745" t="s">
        <v>1199</v>
      </c>
      <c r="C145" s="1745" t="str">
        <f ca="1">IFERROR(VLOOKUP(表格1[[#This Row],[商品
代碼]],'銀行-TSS'!B:V,21,FALSE),"")</f>
        <v>(NPI)非專投</v>
      </c>
      <c r="D145" s="1746" t="str">
        <f>IFERROR(VLOOKUP(表格1[[#This Row],[商品
代碼]],bond!B:F,5,FALSE),"")</f>
        <v>US17275RAD44</v>
      </c>
      <c r="E145" s="1746" t="str">
        <f ca="1">IFERROR(VLOOKUP(B145,'銀行-TSS'!B:D,3,FALSE),"")</f>
        <v>思科系統股份有限公司美元配息債券 5.9% 2039/2/15</v>
      </c>
      <c r="F145" s="1745" t="str">
        <f ca="1">IFERROR(VLOOKUP(B145,'銀行-TSS'!B:E,4,FALSE),"")</f>
        <v>A1 / AA- / -</v>
      </c>
      <c r="G145" s="1747">
        <f ca="1">IFERROR(VLOOKUP(B145,'銀行-TSS'!B:G,6,FALSE),"")</f>
        <v>14.62</v>
      </c>
      <c r="H145" s="1748">
        <f ca="1">IFERROR(VLOOKUP(B145,'銀行-TSS'!B:H,7,FALSE),"")</f>
        <v>5.9000000000000004E-2</v>
      </c>
      <c r="I145" s="1745" t="str">
        <f ca="1">IFERROR(IF(表格1[[#This Row],[配息頻率]]=0,"",CHOOSE(表格1[[#This Row],[配息頻率]],MONTH(J145),IF(MONTH(J145)&lt;=6,CONCATENATE(MONTH(J145)," / ",MONTH(J145)+6),CONCATENATE(MONTH(J145)-6," / ",MONTH(J145))),0,"2 / 4 / 8 / 11")),"")</f>
        <v>2 / 8</v>
      </c>
      <c r="J145" s="1749" t="str">
        <f ca="1">IFERROR(VLOOKUP(B145,'銀行-TSS'!B:P,15,FALSE),"")</f>
        <v>2024/8/15</v>
      </c>
      <c r="K145" s="1750">
        <f ca="1">IFERROR(VLOOKUP(表格1[[#This Row],[商品
代碼]],'銀行-TSS'!B:I,8,FALSE),"")</f>
        <v>2</v>
      </c>
      <c r="L145" s="1747">
        <f ca="1">IFERROR(VLOOKUP(B145,'銀行-TSS'!B:K,10,FALSE),"")</f>
        <v>111.06</v>
      </c>
      <c r="M145" s="1745" t="str">
        <f ca="1">IF(表格1[[#This Row],[含息申購
參考價]]&gt;100,"溢價",IF(表格1[[#This Row],[含息申購
參考價]]&lt;100,"折價","平價"))</f>
        <v>溢價</v>
      </c>
      <c r="N145" s="1751">
        <f ca="1">IFERROR(VLOOKUP(B145,'銀行-TSS'!B:M,12,FALSE),"")</f>
        <v>5.04E-2</v>
      </c>
      <c r="O145" s="1752">
        <f ca="1">IFERROR(VLOOKUP(表格1[[#This Row],[商品
代碼]],'銀行-TSS'!B:AJ,35,FALSE),"")</f>
        <v>0</v>
      </c>
      <c r="P145" s="1753" t="str">
        <f ca="1">IFERROR(VLOOKUP(表格1[[#This Row],[商品
代碼]],'銀行-TSS'!B:AE,30,FALSE),"")</f>
        <v xml:space="preserve"> </v>
      </c>
      <c r="Q145" s="1749" t="str">
        <f ca="1">IFERROR(IF(VLOOKUP(表格1[[#This Row],[商品
代碼]],'銀行-TSS'!B:AM,38,FALSE)="#N/A Field Not Applicable","",VLOOKUP(表格1[[#This Row],[商品
代碼]],'銀行-TSS'!B:AM,38,FALSE)),"")</f>
        <v/>
      </c>
      <c r="R145" s="1749" t="str">
        <f ca="1">IFERROR(VLOOKUP(表格1[[#This Row],[商品
代碼]],'銀行-TSS'!B:AH,33,FALSE),"")</f>
        <v>美元(USD)</v>
      </c>
      <c r="S145" s="1754">
        <f ca="1">IFERROR(VLOOKUP(B145,'銀行-TSS'!B:N,13,FALSE),"")</f>
        <v>10000</v>
      </c>
      <c r="T145" s="1754" t="str">
        <f ca="1">VLOOKUP(表格1[[#This Row],[商品
代碼]],'銀行-TSS'!B:AI,34,FALSE)</f>
        <v>自由選清單</v>
      </c>
      <c r="U145" s="1755" t="str">
        <f ca="1">IFERROR(VLOOKUP(B145,'銀行-TSS'!B:Q,16,FALSE),"")</f>
        <v>科技</v>
      </c>
      <c r="V145" s="1755" t="str">
        <f ca="1">IFERROR(VLOOKUP(表格1[[#This Row],[商品
代碼]],'銀行-TSS'!B:AG,32,FALSE),"")</f>
        <v>固定</v>
      </c>
      <c r="W145" s="1756" t="str">
        <f ca="1">IFERROR(IFERROR(VLOOKUP(表格1[[#This Row],[商品
代碼]],'3_是否下架'!A:B,2,FALSE),VLOOKUP(表格1[[#This Row],[商品
代碼]],'銀行-TSS'!B:AK,36,FALSE)),"")</f>
        <v>有</v>
      </c>
      <c r="Y145" s="400"/>
      <c r="Z145" s="400"/>
      <c r="AA145" s="401"/>
    </row>
    <row r="146" spans="2:27" s="399" customFormat="1" ht="24.75" customHeight="1">
      <c r="B146" s="1745" t="s">
        <v>840</v>
      </c>
      <c r="C146" s="1745" t="str">
        <f ca="1">IFERROR(VLOOKUP(表格1[[#This Row],[商品
代碼]],'銀行-TSS'!B:V,21,FALSE),"")</f>
        <v>(NPI)非專投</v>
      </c>
      <c r="D146" s="1746" t="str">
        <f>IFERROR(VLOOKUP(表格1[[#This Row],[商品
代碼]],bond!B:F,5,FALSE),"")</f>
        <v>XS1910948675</v>
      </c>
      <c r="E146" s="1746" t="str">
        <f ca="1">IFERROR(VLOOKUP(B146,'銀行-TSS'!B:D,3,FALSE),"")</f>
        <v>福斯汽車國際金融公司歐元配息債券 4.125% 2038/11/16</v>
      </c>
      <c r="F146" s="1745" t="str">
        <f ca="1">IFERROR(VLOOKUP(B146,'銀行-TSS'!B:E,4,FALSE),"")</f>
        <v>A3 / BBB+ / A-</v>
      </c>
      <c r="G146" s="1747">
        <f ca="1">IFERROR(VLOOKUP(B146,'銀行-TSS'!B:G,6,FALSE),"")</f>
        <v>14.37</v>
      </c>
      <c r="H146" s="1748">
        <f ca="1">IFERROR(VLOOKUP(B146,'銀行-TSS'!B:H,7,FALSE),"")</f>
        <v>4.1250000000000002E-2</v>
      </c>
      <c r="I146" s="1745">
        <f ca="1">IFERROR(IF(表格1[[#This Row],[配息頻率]]=0,"",CHOOSE(表格1[[#This Row],[配息頻率]],MONTH(J146),IF(MONTH(J146)&lt;=6,CONCATENATE(MONTH(J146)," / ",MONTH(J146)+6),CONCATENATE(MONTH(J146)-6," / ",MONTH(J146))),0,"2 / 4 / 8 / 11")),"")</f>
        <v>11</v>
      </c>
      <c r="J146" s="1749" t="str">
        <f ca="1">IFERROR(VLOOKUP(B146,'銀行-TSS'!B:P,15,FALSE),"")</f>
        <v>2024/11/16</v>
      </c>
      <c r="K146" s="1750">
        <f ca="1">IFERROR(VLOOKUP(表格1[[#This Row],[商品
代碼]],'銀行-TSS'!B:I,8,FALSE),"")</f>
        <v>1</v>
      </c>
      <c r="L146" s="1747">
        <f ca="1">IFERROR(VLOOKUP(B146,'銀行-TSS'!B:K,10,FALSE),"")</f>
        <v>107.64</v>
      </c>
      <c r="M146" s="1745" t="str">
        <f ca="1">IF(表格1[[#This Row],[含息申購
參考價]]&gt;100,"溢價",IF(表格1[[#This Row],[含息申購
參考價]]&lt;100,"折價","平價"))</f>
        <v>溢價</v>
      </c>
      <c r="N146" s="1751">
        <f ca="1">IFERROR(VLOOKUP(B146,'銀行-TSS'!B:M,12,FALSE),"")</f>
        <v>3.6700000000000003E-2</v>
      </c>
      <c r="O146" s="1752">
        <f ca="1">IFERROR(VLOOKUP(表格1[[#This Row],[商品
代碼]],'銀行-TSS'!B:AJ,35,FALSE),"")</f>
        <v>1</v>
      </c>
      <c r="P146" s="1753" t="str">
        <f ca="1">IFERROR(VLOOKUP(表格1[[#This Row],[商品
代碼]],'銀行-TSS'!B:AE,30,FALSE),"")</f>
        <v xml:space="preserve"> </v>
      </c>
      <c r="Q146" s="1749" t="str">
        <f ca="1">IFERROR(IF(VLOOKUP(表格1[[#This Row],[商品
代碼]],'銀行-TSS'!B:AM,38,FALSE)="#N/A Field Not Applicable","",VLOOKUP(表格1[[#This Row],[商品
代碼]],'銀行-TSS'!B:AM,38,FALSE)),"")</f>
        <v/>
      </c>
      <c r="R146" s="1749" t="str">
        <f ca="1">IFERROR(VLOOKUP(表格1[[#This Row],[商品
代碼]],'銀行-TSS'!B:AH,33,FALSE),"")</f>
        <v>歐元(EUR)</v>
      </c>
      <c r="S146" s="1754">
        <f ca="1">IFERROR(VLOOKUP(B146,'銀行-TSS'!B:N,13,FALSE),"")</f>
        <v>100000</v>
      </c>
      <c r="T146" s="1754" t="str">
        <f ca="1">VLOOKUP(表格1[[#This Row],[商品
代碼]],'銀行-TSS'!B:AI,34,FALSE)</f>
        <v/>
      </c>
      <c r="U146" s="1755" t="str">
        <f ca="1">IFERROR(VLOOKUP(B146,'銀行-TSS'!B:Q,16,FALSE),"")</f>
        <v>非核心消費</v>
      </c>
      <c r="V146" s="1755" t="str">
        <f ca="1">IFERROR(VLOOKUP(表格1[[#This Row],[商品
代碼]],'銀行-TSS'!B:AG,32,FALSE),"")</f>
        <v>固定</v>
      </c>
      <c r="W146" s="1756" t="str">
        <f ca="1">IFERROR(IFERROR(VLOOKUP(表格1[[#This Row],[商品
代碼]],'3_是否下架'!A:B,2,FALSE),VLOOKUP(表格1[[#This Row],[商品
代碼]],'銀行-TSS'!B:AK,36,FALSE)),"")</f>
        <v>需查詢</v>
      </c>
      <c r="Y146" s="400"/>
      <c r="Z146" s="400"/>
      <c r="AA146" s="401"/>
    </row>
    <row r="147" spans="2:27" s="399" customFormat="1" ht="24.75" customHeight="1">
      <c r="B147" s="1745" t="s">
        <v>1039</v>
      </c>
      <c r="C147" s="1745" t="str">
        <f ca="1">IFERROR(VLOOKUP(表格1[[#This Row],[商品
代碼]],'銀行-TSS'!B:V,21,FALSE),"")</f>
        <v>(NPI)非專投</v>
      </c>
      <c r="D147" s="1746" t="str">
        <f>IFERROR(VLOOKUP(表格1[[#This Row],[商品
代碼]],bond!B:F,5,FALSE),"")</f>
        <v>USU74078CC58</v>
      </c>
      <c r="E147" s="1746" t="str">
        <f ca="1">IFERROR(VLOOKUP(B147,'銀行-TSS'!B:D,3,FALSE),"")</f>
        <v>雀巢控股公司美元配息債券 3.9% 2038/9/24</v>
      </c>
      <c r="F147" s="1745" t="str">
        <f ca="1">IFERROR(VLOOKUP(B147,'銀行-TSS'!B:E,4,FALSE),"")</f>
        <v>Aa3 / AA- / -</v>
      </c>
      <c r="G147" s="1747">
        <f ca="1">IFERROR(VLOOKUP(B147,'銀行-TSS'!B:G,6,FALSE),"")</f>
        <v>14.23</v>
      </c>
      <c r="H147" s="1748">
        <f ca="1">IFERROR(VLOOKUP(B147,'銀行-TSS'!B:H,7,FALSE),"")</f>
        <v>3.9E-2</v>
      </c>
      <c r="I147" s="1745" t="str">
        <f ca="1">IFERROR(IF(表格1[[#This Row],[配息頻率]]=0,"",CHOOSE(表格1[[#This Row],[配息頻率]],MONTH(J147),IF(MONTH(J147)&lt;=6,CONCATENATE(MONTH(J147)," / ",MONTH(J147)+6),CONCATENATE(MONTH(J147)-6," / ",MONTH(J147))),0,"2 / 4 / 8 / 11")),"")</f>
        <v>3 / 9</v>
      </c>
      <c r="J147" s="1749" t="str">
        <f ca="1">IFERROR(VLOOKUP(B147,'銀行-TSS'!B:P,15,FALSE),"")</f>
        <v>2024/9/24</v>
      </c>
      <c r="K147" s="1750">
        <f ca="1">IFERROR(VLOOKUP(表格1[[#This Row],[商品
代碼]],'銀行-TSS'!B:I,8,FALSE),"")</f>
        <v>2</v>
      </c>
      <c r="L147" s="1747">
        <f ca="1">IFERROR(VLOOKUP(B147,'銀行-TSS'!B:K,10,FALSE),"")</f>
        <v>90.47</v>
      </c>
      <c r="M147" s="1745" t="str">
        <f ca="1">IF(表格1[[#This Row],[含息申購
參考價]]&gt;100,"溢價",IF(表格1[[#This Row],[含息申購
參考價]]&lt;100,"折價","平價"))</f>
        <v>折價</v>
      </c>
      <c r="N147" s="1751">
        <f ca="1">IFERROR(VLOOKUP(B147,'銀行-TSS'!B:M,12,FALSE),"")</f>
        <v>4.9399999999999999E-2</v>
      </c>
      <c r="O147" s="1752">
        <f ca="1">IFERROR(VLOOKUP(表格1[[#This Row],[商品
代碼]],'銀行-TSS'!B:AJ,35,FALSE),"")</f>
        <v>0</v>
      </c>
      <c r="P147" s="1751">
        <f ca="1">IFERROR(VLOOKUP(表格1[[#This Row],[商品
代碼]],'銀行-TSS'!B:AE,30,FALSE),"")</f>
        <v>4.9700000000000001E-2</v>
      </c>
      <c r="Q147" s="1749" t="str">
        <f ca="1">IFERROR(IF(VLOOKUP(表格1[[#This Row],[商品
代碼]],'銀行-TSS'!B:AM,38,FALSE)="#N/A Field Not Applicable","",VLOOKUP(表格1[[#This Row],[商品
代碼]],'銀行-TSS'!B:AM,38,FALSE)),"")</f>
        <v>2038/3/24</v>
      </c>
      <c r="R147" s="1749" t="str">
        <f ca="1">IFERROR(VLOOKUP(表格1[[#This Row],[商品
代碼]],'銀行-TSS'!B:AH,33,FALSE),"")</f>
        <v>美元(USD)</v>
      </c>
      <c r="S147" s="1754">
        <f ca="1">IFERROR(VLOOKUP(B147,'銀行-TSS'!B:N,13,FALSE),"")</f>
        <v>150000</v>
      </c>
      <c r="T147" s="1754" t="str">
        <f ca="1">VLOOKUP(表格1[[#This Row],[商品
代碼]],'銀行-TSS'!B:AI,34,FALSE)</f>
        <v>自由選清單</v>
      </c>
      <c r="U147" s="1745" t="str">
        <f ca="1">IFERROR(VLOOKUP(B147,'銀行-TSS'!B:Q,16,FALSE),"")</f>
        <v>核心消費</v>
      </c>
      <c r="V147" s="1755" t="str">
        <f ca="1">IFERROR(VLOOKUP(表格1[[#This Row],[商品
代碼]],'銀行-TSS'!B:AG,32,FALSE),"")</f>
        <v>固定</v>
      </c>
      <c r="W147" s="1757" t="str">
        <f ca="1">IFERROR(IFERROR(VLOOKUP(表格1[[#This Row],[商品
代碼]],'3_是否下架'!A:B,2,FALSE),VLOOKUP(表格1[[#This Row],[商品
代碼]],'銀行-TSS'!B:AK,36,FALSE)),"")</f>
        <v>有</v>
      </c>
      <c r="Y147" s="400"/>
      <c r="Z147" s="400"/>
      <c r="AA147" s="401"/>
    </row>
    <row r="148" spans="2:27" s="399" customFormat="1" ht="24.75" customHeight="1">
      <c r="B148" s="1745" t="s">
        <v>2389</v>
      </c>
      <c r="C148" s="1745" t="str">
        <f ca="1">IFERROR(VLOOKUP(表格1[[#This Row],[商品
代碼]],'銀行-TSS'!B:V,21,FALSE),"")</f>
        <v>(NPI)非專投</v>
      </c>
      <c r="D148" s="1746" t="str">
        <f>IFERROR(VLOOKUP(表格1[[#This Row],[商品
代碼]],bond!B:F,5,FALSE),"")</f>
        <v>US478160AT19</v>
      </c>
      <c r="E148" s="1746" t="str">
        <f ca="1">IFERROR(VLOOKUP(B148,'銀行-TSS'!B:D,3,FALSE),"")</f>
        <v>嬌生公司美元配息債券 5.85% 2038/7/15</v>
      </c>
      <c r="F148" s="1745" t="str">
        <f ca="1">IFERROR(VLOOKUP(B148,'銀行-TSS'!B:E,4,FALSE),"")</f>
        <v>Aaa / AAA / WD</v>
      </c>
      <c r="G148" s="1747">
        <f ca="1">IFERROR(VLOOKUP(B148,'銀行-TSS'!B:G,6,FALSE),"")</f>
        <v>14.03</v>
      </c>
      <c r="H148" s="1748">
        <f ca="1">IFERROR(VLOOKUP(B148,'銀行-TSS'!B:H,7,FALSE),"")</f>
        <v>5.8499999999999996E-2</v>
      </c>
      <c r="I148" s="1745" t="str">
        <f ca="1">IFERROR(IF(表格1[[#This Row],[配息頻率]]=0,"",CHOOSE(表格1[[#This Row],[配息頻率]],MONTH(J148),IF(MONTH(J148)&lt;=6,CONCATENATE(MONTH(J148)," / ",MONTH(J148)+6),CONCATENATE(MONTH(J148)-6," / ",MONTH(J148))),0,"2 / 4 / 8 / 11")),"")</f>
        <v>1 / 7</v>
      </c>
      <c r="J148" s="1749" t="str">
        <f ca="1">IFERROR(VLOOKUP(B148,'銀行-TSS'!B:P,15,FALSE),"")</f>
        <v>2024/7/15</v>
      </c>
      <c r="K148" s="1750">
        <f ca="1">IFERROR(VLOOKUP(表格1[[#This Row],[商品
代碼]],'銀行-TSS'!B:I,8,FALSE),"")</f>
        <v>2</v>
      </c>
      <c r="L148" s="1747">
        <f ca="1">IFERROR(VLOOKUP(B148,'銀行-TSS'!B:K,10,FALSE),"")</f>
        <v>113.49</v>
      </c>
      <c r="M148" s="1745" t="str">
        <f ca="1">IF(表格1[[#This Row],[含息申購
參考價]]&gt;100,"溢價",IF(表格1[[#This Row],[含息申購
參考價]]&lt;100,"折價","平價"))</f>
        <v>溢價</v>
      </c>
      <c r="N148" s="1751">
        <f ca="1">IFERROR(VLOOKUP(B148,'銀行-TSS'!B:M,12,FALSE),"")</f>
        <v>4.7899999999999998E-2</v>
      </c>
      <c r="O148" s="1752">
        <f ca="1">IFERROR(VLOOKUP(表格1[[#This Row],[商品
代碼]],'銀行-TSS'!B:AJ,35,FALSE),"")</f>
        <v>0</v>
      </c>
      <c r="P148" s="1753" t="str">
        <f ca="1">IFERROR(VLOOKUP(表格1[[#This Row],[商品
代碼]],'銀行-TSS'!B:AE,30,FALSE),"")</f>
        <v xml:space="preserve"> </v>
      </c>
      <c r="Q148" s="1749" t="str">
        <f ca="1">IFERROR(IF(VLOOKUP(表格1[[#This Row],[商品
代碼]],'銀行-TSS'!B:AM,38,FALSE)="#N/A Field Not Applicable","",VLOOKUP(表格1[[#This Row],[商品
代碼]],'銀行-TSS'!B:AM,38,FALSE)),"")</f>
        <v/>
      </c>
      <c r="R148" s="1749" t="str">
        <f ca="1">IFERROR(VLOOKUP(表格1[[#This Row],[商品
代碼]],'銀行-TSS'!B:AH,33,FALSE),"")</f>
        <v>美元(USD)</v>
      </c>
      <c r="S148" s="1754">
        <f ca="1">IFERROR(VLOOKUP(B148,'銀行-TSS'!B:N,13,FALSE),"")</f>
        <v>10000</v>
      </c>
      <c r="T148" s="1754" t="str">
        <f ca="1">VLOOKUP(表格1[[#This Row],[商品
代碼]],'銀行-TSS'!B:AI,34,FALSE)</f>
        <v>自由選清單</v>
      </c>
      <c r="U148" s="1755" t="str">
        <f ca="1">IFERROR(VLOOKUP(B148,'銀行-TSS'!B:Q,16,FALSE),"")</f>
        <v>醫療保健</v>
      </c>
      <c r="V148" s="1755" t="str">
        <f ca="1">IFERROR(VLOOKUP(表格1[[#This Row],[商品
代碼]],'銀行-TSS'!B:AG,32,FALSE),"")</f>
        <v>固定</v>
      </c>
      <c r="W148" s="1756" t="str">
        <f ca="1">IFERROR(IFERROR(VLOOKUP(表格1[[#This Row],[商品
代碼]],'3_是否下架'!A:B,2,FALSE),VLOOKUP(表格1[[#This Row],[商品
代碼]],'銀行-TSS'!B:AK,36,FALSE)),"")</f>
        <v>有</v>
      </c>
      <c r="Y148" s="400"/>
      <c r="Z148" s="400"/>
      <c r="AA148" s="401"/>
    </row>
    <row r="149" spans="2:27" s="399" customFormat="1" ht="24.75" customHeight="1">
      <c r="B149" s="1745" t="s">
        <v>827</v>
      </c>
      <c r="C149" s="1745" t="str">
        <f ca="1">IFERROR(VLOOKUP(表格1[[#This Row],[商品
代碼]],'銀行-TSS'!B:V,21,FALSE),"")</f>
        <v>高資產</v>
      </c>
      <c r="D149" s="1746" t="str">
        <f>IFERROR(VLOOKUP(表格1[[#This Row],[商品
代碼]],bond!B:F,5,FALSE),"")</f>
        <v>US87927VAV09</v>
      </c>
      <c r="E149" s="1746" t="str">
        <f ca="1">IFERROR(VLOOKUP(B149,'銀行-TSS'!B:D,3,FALSE),"")</f>
        <v>義大利電信資本公司美元配息債券 7.721% 2038/6/4</v>
      </c>
      <c r="F149" s="1745" t="str">
        <f ca="1">IFERROR(VLOOKUP(B149,'銀行-TSS'!B:E,4,FALSE),"")</f>
        <v>Ba3 / B+ *+ / BB- *+</v>
      </c>
      <c r="G149" s="1747">
        <f ca="1">IFERROR(VLOOKUP(B149,'銀行-TSS'!B:G,6,FALSE),"")</f>
        <v>13.92</v>
      </c>
      <c r="H149" s="1748">
        <f ca="1">IFERROR(VLOOKUP(B149,'銀行-TSS'!B:H,7,FALSE),"")</f>
        <v>7.7210000000000001E-2</v>
      </c>
      <c r="I149" s="1745" t="str">
        <f ca="1">IFERROR(IF(表格1[[#This Row],[配息頻率]]=0,"",CHOOSE(表格1[[#This Row],[配息頻率]],MONTH(J149),IF(MONTH(J149)&lt;=6,CONCATENATE(MONTH(J149)," / ",MONTH(J149)+6),CONCATENATE(MONTH(J149)-6," / ",MONTH(J149))),0,"2 / 4 / 8 / 11")),"")</f>
        <v>6 / 12</v>
      </c>
      <c r="J149" s="1749" t="str">
        <f ca="1">IFERROR(VLOOKUP(B149,'銀行-TSS'!B:P,15,FALSE),"")</f>
        <v>2024/12/4</v>
      </c>
      <c r="K149" s="1750">
        <f ca="1">IFERROR(VLOOKUP(表格1[[#This Row],[商品
代碼]],'銀行-TSS'!B:I,8,FALSE),"")</f>
        <v>2</v>
      </c>
      <c r="L149" s="1747">
        <f ca="1">IFERROR(VLOOKUP(B149,'銀行-TSS'!B:K,10,FALSE),"")</f>
        <v>102.29</v>
      </c>
      <c r="M149" s="1745" t="str">
        <f ca="1">IF(表格1[[#This Row],[含息申購
參考價]]&gt;100,"溢價",IF(表格1[[#This Row],[含息申購
參考價]]&lt;100,"折價","平價"))</f>
        <v>溢價</v>
      </c>
      <c r="N149" s="1751">
        <f ca="1">IFERROR(VLOOKUP(B149,'銀行-TSS'!B:M,12,FALSE),"")</f>
        <v>7.5200000000000003E-2</v>
      </c>
      <c r="O149" s="1752">
        <f ca="1">IFERROR(VLOOKUP(表格1[[#This Row],[商品
代碼]],'銀行-TSS'!B:AJ,35,FALSE),"")</f>
        <v>0</v>
      </c>
      <c r="P149" s="1753" t="str">
        <f ca="1">IFERROR(VLOOKUP(表格1[[#This Row],[商品
代碼]],'銀行-TSS'!B:AE,30,FALSE),"")</f>
        <v xml:space="preserve"> </v>
      </c>
      <c r="Q149" s="1749" t="str">
        <f ca="1">IFERROR(IF(VLOOKUP(表格1[[#This Row],[商品
代碼]],'銀行-TSS'!B:AM,38,FALSE)="#N/A Field Not Applicable","",VLOOKUP(表格1[[#This Row],[商品
代碼]],'銀行-TSS'!B:AM,38,FALSE)),"")</f>
        <v/>
      </c>
      <c r="R149" s="1749" t="str">
        <f ca="1">IFERROR(VLOOKUP(表格1[[#This Row],[商品
代碼]],'銀行-TSS'!B:AH,33,FALSE),"")</f>
        <v>美元(USD)</v>
      </c>
      <c r="S149" s="1754">
        <f ca="1">IFERROR(VLOOKUP(B149,'銀行-TSS'!B:N,13,FALSE),"")</f>
        <v>10000</v>
      </c>
      <c r="T149" s="1754" t="str">
        <f ca="1">VLOOKUP(表格1[[#This Row],[商品
代碼]],'銀行-TSS'!B:AI,34,FALSE)</f>
        <v>自由選清單</v>
      </c>
      <c r="U149" s="1755" t="str">
        <f ca="1">IFERROR(VLOOKUP(B149,'銀行-TSS'!B:Q,16,FALSE),"")</f>
        <v>通訊</v>
      </c>
      <c r="V149" s="1755" t="str">
        <f ca="1">IFERROR(VLOOKUP(表格1[[#This Row],[商品
代碼]],'銀行-TSS'!B:AG,32,FALSE),"")</f>
        <v>固定</v>
      </c>
      <c r="W149" s="1756" t="str">
        <f>IFERROR(IFERROR(VLOOKUP(表格1[[#This Row],[商品
代碼]],'3_是否下架'!A:B,2,FALSE),VLOOKUP(表格1[[#This Row],[商品
代碼]],'銀行-TSS'!B:AK,36,FALSE)),"")</f>
        <v>已下架</v>
      </c>
      <c r="Y149" s="400"/>
      <c r="Z149" s="400"/>
      <c r="AA149" s="401"/>
    </row>
    <row r="150" spans="2:27" s="399" customFormat="1" ht="24.75" customHeight="1">
      <c r="B150" s="1745" t="s">
        <v>689</v>
      </c>
      <c r="C150" s="1745" t="str">
        <f ca="1">IFERROR(VLOOKUP(表格1[[#This Row],[商品
代碼]],'銀行-TSS'!B:V,21,FALSE),"")</f>
        <v>(PI)專投</v>
      </c>
      <c r="D150" s="1746" t="str">
        <f>IFERROR(VLOOKUP(表格1[[#This Row],[商品
代碼]],bond!B:F,5,FALSE),"")</f>
        <v>US46625HHF01</v>
      </c>
      <c r="E150" s="1746" t="str">
        <f ca="1">IFERROR(VLOOKUP(B150,'銀行-TSS'!B:D,3,FALSE),"")</f>
        <v>摩根大通銀行美元配息債券 6.4% 2038/5/15</v>
      </c>
      <c r="F150" s="1745" t="str">
        <f ca="1">IFERROR(VLOOKUP(B150,'銀行-TSS'!B:E,4,FALSE),"")</f>
        <v>A1 / A- / AA-</v>
      </c>
      <c r="G150" s="1747">
        <f ca="1">IFERROR(VLOOKUP(B150,'銀行-TSS'!B:G,6,FALSE),"")</f>
        <v>13.87</v>
      </c>
      <c r="H150" s="1748">
        <f ca="1">IFERROR(VLOOKUP(B150,'銀行-TSS'!B:H,7,FALSE),"")</f>
        <v>6.4000000000000001E-2</v>
      </c>
      <c r="I150" s="1745" t="str">
        <f ca="1">IFERROR(IF(表格1[[#This Row],[配息頻率]]=0,"",CHOOSE(表格1[[#This Row],[配息頻率]],MONTH(J150),IF(MONTH(J150)&lt;=6,CONCATENATE(MONTH(J150)," / ",MONTH(J150)+6),CONCATENATE(MONTH(J150)-6," / ",MONTH(J150))),0,"2 / 4 / 8 / 11")),"")</f>
        <v>5 / 11</v>
      </c>
      <c r="J150" s="1749" t="str">
        <f ca="1">IFERROR(VLOOKUP(B150,'銀行-TSS'!B:P,15,FALSE),"")</f>
        <v>2024/11/15</v>
      </c>
      <c r="K150" s="1750">
        <f ca="1">IFERROR(VLOOKUP(表格1[[#This Row],[商品
代碼]],'銀行-TSS'!B:I,8,FALSE),"")</f>
        <v>2</v>
      </c>
      <c r="L150" s="1747">
        <f ca="1">IFERROR(VLOOKUP(B150,'銀行-TSS'!B:K,10,FALSE),"")</f>
        <v>114.54</v>
      </c>
      <c r="M150" s="1745" t="str">
        <f ca="1">IF(表格1[[#This Row],[含息申購
參考價]]&gt;100,"溢價",IF(表格1[[#This Row],[含息申購
參考價]]&lt;100,"折價","平價"))</f>
        <v>溢價</v>
      </c>
      <c r="N150" s="1751">
        <f ca="1">IFERROR(VLOOKUP(B150,'銀行-TSS'!B:M,12,FALSE),"")</f>
        <v>5.0200000000000002E-2</v>
      </c>
      <c r="O150" s="1752">
        <f ca="1">IFERROR(VLOOKUP(表格1[[#This Row],[商品
代碼]],'銀行-TSS'!B:AJ,35,FALSE),"")</f>
        <v>0</v>
      </c>
      <c r="P150" s="1753" t="str">
        <f ca="1">IFERROR(VLOOKUP(表格1[[#This Row],[商品
代碼]],'銀行-TSS'!B:AE,30,FALSE),"")</f>
        <v xml:space="preserve"> </v>
      </c>
      <c r="Q150" s="1749" t="str">
        <f ca="1">IFERROR(IF(VLOOKUP(表格1[[#This Row],[商品
代碼]],'銀行-TSS'!B:AM,38,FALSE)="#N/A Field Not Applicable","",VLOOKUP(表格1[[#This Row],[商品
代碼]],'銀行-TSS'!B:AM,38,FALSE)),"")</f>
        <v/>
      </c>
      <c r="R150" s="1749" t="str">
        <f ca="1">IFERROR(VLOOKUP(表格1[[#This Row],[商品
代碼]],'銀行-TSS'!B:AH,33,FALSE),"")</f>
        <v>美元(USD)</v>
      </c>
      <c r="S150" s="1754">
        <f ca="1">IFERROR(VLOOKUP(B150,'銀行-TSS'!B:N,13,FALSE),"")</f>
        <v>10000</v>
      </c>
      <c r="T150" s="1754" t="str">
        <f ca="1">VLOOKUP(表格1[[#This Row],[商品
代碼]],'銀行-TSS'!B:AI,34,FALSE)</f>
        <v>自由選清單</v>
      </c>
      <c r="U150" s="1755" t="str">
        <f ca="1">IFERROR(VLOOKUP(B150,'銀行-TSS'!B:Q,16,FALSE),"")</f>
        <v>金融</v>
      </c>
      <c r="V150" s="1755" t="str">
        <f ca="1">IFERROR(VLOOKUP(表格1[[#This Row],[商品
代碼]],'銀行-TSS'!B:AG,32,FALSE),"")</f>
        <v>固定</v>
      </c>
      <c r="W150" s="1756" t="str">
        <f ca="1">IFERROR(IFERROR(VLOOKUP(表格1[[#This Row],[商品
代碼]],'3_是否下架'!A:B,2,FALSE),VLOOKUP(表格1[[#This Row],[商品
代碼]],'銀行-TSS'!B:AK,36,FALSE)),"")</f>
        <v>有</v>
      </c>
      <c r="Y150" s="400"/>
      <c r="Z150" s="400"/>
      <c r="AA150" s="401"/>
    </row>
    <row r="151" spans="2:27" s="399" customFormat="1" ht="24.75" customHeight="1">
      <c r="B151" s="1745" t="s">
        <v>770</v>
      </c>
      <c r="C151" s="1745" t="str">
        <f ca="1">IFERROR(VLOOKUP(表格1[[#This Row],[商品
代碼]],'銀行-TSS'!B:V,21,FALSE),"")</f>
        <v>(NPI)非專投</v>
      </c>
      <c r="D151" s="1746" t="str">
        <f>IFERROR(VLOOKUP(表格1[[#This Row],[商品
代碼]],bond!B:F,5,FALSE),"")</f>
        <v>US88032XAH70</v>
      </c>
      <c r="E151" s="1746" t="str">
        <f ca="1">IFERROR(VLOOKUP(B151,'銀行-TSS'!B:D,3,FALSE),"")</f>
        <v>騰訊控股有限公司美元配息債券 3.925% 2038/1/19</v>
      </c>
      <c r="F151" s="1745" t="str">
        <f ca="1">IFERROR(VLOOKUP(B151,'銀行-TSS'!B:E,4,FALSE),"")</f>
        <v>A1 / A+ / A+</v>
      </c>
      <c r="G151" s="1747">
        <f ca="1">IFERROR(VLOOKUP(B151,'銀行-TSS'!B:G,6,FALSE),"")</f>
        <v>13.55</v>
      </c>
      <c r="H151" s="1748">
        <f ca="1">IFERROR(VLOOKUP(B151,'銀行-TSS'!B:H,7,FALSE),"")</f>
        <v>3.925E-2</v>
      </c>
      <c r="I151" s="1745" t="str">
        <f ca="1">IFERROR(IF(表格1[[#This Row],[配息頻率]]=0,"",CHOOSE(表格1[[#This Row],[配息頻率]],MONTH(J151),IF(MONTH(J151)&lt;=6,CONCATENATE(MONTH(J151)," / ",MONTH(J151)+6),CONCATENATE(MONTH(J151)-6," / ",MONTH(J151))),0,"2 / 4 / 8 / 11")),"")</f>
        <v>1 / 7</v>
      </c>
      <c r="J151" s="1749" t="str">
        <f ca="1">IFERROR(VLOOKUP(B151,'銀行-TSS'!B:P,15,FALSE),"")</f>
        <v>2024/7/19</v>
      </c>
      <c r="K151" s="1750">
        <f ca="1">IFERROR(VLOOKUP(表格1[[#This Row],[商品
代碼]],'銀行-TSS'!B:I,8,FALSE),"")</f>
        <v>2</v>
      </c>
      <c r="L151" s="1747">
        <f ca="1">IFERROR(VLOOKUP(B151,'銀行-TSS'!B:K,10,FALSE),"")</f>
        <v>89.06</v>
      </c>
      <c r="M151" s="1745" t="str">
        <f ca="1">IF(表格1[[#This Row],[含息申購
參考價]]&gt;100,"溢價",IF(表格1[[#This Row],[含息申購
參考價]]&lt;100,"折價","平價"))</f>
        <v>折價</v>
      </c>
      <c r="N151" s="1751">
        <f ca="1">IFERROR(VLOOKUP(B151,'銀行-TSS'!B:M,12,FALSE),"")</f>
        <v>5.2499999999999998E-2</v>
      </c>
      <c r="O151" s="1752">
        <f ca="1">IFERROR(VLOOKUP(表格1[[#This Row],[商品
代碼]],'銀行-TSS'!B:AJ,35,FALSE),"")</f>
        <v>0</v>
      </c>
      <c r="P151" s="1753">
        <f ca="1">IFERROR(VLOOKUP(表格1[[#This Row],[商品
代碼]],'銀行-TSS'!B:AE,30,FALSE),"")</f>
        <v>5.2900000000000003E-2</v>
      </c>
      <c r="Q151" s="1749" t="str">
        <f ca="1">IFERROR(IF(VLOOKUP(表格1[[#This Row],[商品
代碼]],'銀行-TSS'!B:AM,38,FALSE)="#N/A Field Not Applicable","",VLOOKUP(表格1[[#This Row],[商品
代碼]],'銀行-TSS'!B:AM,38,FALSE)),"")</f>
        <v>2037/7/19</v>
      </c>
      <c r="R151" s="1749" t="str">
        <f ca="1">IFERROR(VLOOKUP(表格1[[#This Row],[商品
代碼]],'銀行-TSS'!B:AH,33,FALSE),"")</f>
        <v>美元(USD)</v>
      </c>
      <c r="S151" s="1754">
        <f ca="1">IFERROR(VLOOKUP(B151,'銀行-TSS'!B:N,13,FALSE),"")</f>
        <v>200000</v>
      </c>
      <c r="T151" s="1754" t="str">
        <f ca="1">VLOOKUP(表格1[[#This Row],[商品
代碼]],'銀行-TSS'!B:AI,34,FALSE)</f>
        <v>自由選清單</v>
      </c>
      <c r="U151" s="1755" t="str">
        <f ca="1">IFERROR(VLOOKUP(B151,'銀行-TSS'!B:Q,16,FALSE),"")</f>
        <v>通訊</v>
      </c>
      <c r="V151" s="1755" t="str">
        <f ca="1">IFERROR(VLOOKUP(表格1[[#This Row],[商品
代碼]],'銀行-TSS'!B:AG,32,FALSE),"")</f>
        <v>固定</v>
      </c>
      <c r="W151" s="1756" t="str">
        <f ca="1">IFERROR(IFERROR(VLOOKUP(表格1[[#This Row],[商品
代碼]],'3_是否下架'!A:B,2,FALSE),VLOOKUP(表格1[[#This Row],[商品
代碼]],'銀行-TSS'!B:AK,36,FALSE)),"")</f>
        <v>有</v>
      </c>
      <c r="Y151" s="400"/>
      <c r="Z151" s="400"/>
      <c r="AA151" s="401"/>
    </row>
    <row r="152" spans="2:27" s="399" customFormat="1" ht="24.75" customHeight="1">
      <c r="B152" s="1745" t="s">
        <v>643</v>
      </c>
      <c r="C152" s="1745" t="str">
        <f ca="1">IFERROR(VLOOKUP(表格1[[#This Row],[商品
代碼]],'銀行-TSS'!B:V,21,FALSE),"")</f>
        <v>(NPI)非專投</v>
      </c>
      <c r="D152" s="1746" t="str">
        <f>IFERROR(VLOOKUP(表格1[[#This Row],[商品
代碼]],bond!B:F,5,FALSE),"")</f>
        <v>US59562VAR87</v>
      </c>
      <c r="E152" s="1746" t="str">
        <f ca="1">IFERROR(VLOOKUP(B152,'銀行-TSS'!B:D,3,FALSE),"")</f>
        <v>波克夏海瑟威能源公司美元配息債券 6.5% 2037/9/15</v>
      </c>
      <c r="F152" s="1745" t="str">
        <f ca="1">IFERROR(VLOOKUP(B152,'銀行-TSS'!B:E,4,FALSE),"")</f>
        <v>A3 / A- / WD</v>
      </c>
      <c r="G152" s="1747">
        <f ca="1">IFERROR(VLOOKUP(B152,'銀行-TSS'!B:G,6,FALSE),"")</f>
        <v>13.2</v>
      </c>
      <c r="H152" s="1748">
        <f ca="1">IFERROR(VLOOKUP(B152,'銀行-TSS'!B:H,7,FALSE),"")</f>
        <v>6.5000000000000002E-2</v>
      </c>
      <c r="I152" s="1745" t="str">
        <f ca="1">IFERROR(IF(表格1[[#This Row],[配息頻率]]=0,"",CHOOSE(表格1[[#This Row],[配息頻率]],MONTH(J152),IF(MONTH(J152)&lt;=6,CONCATENATE(MONTH(J152)," / ",MONTH(J152)+6),CONCATENATE(MONTH(J152)-6," / ",MONTH(J152))),0,"2 / 4 / 8 / 11")),"")</f>
        <v>3 / 9</v>
      </c>
      <c r="J152" s="1749" t="str">
        <f ca="1">IFERROR(VLOOKUP(B152,'銀行-TSS'!B:P,15,FALSE),"")</f>
        <v>2024/9/15</v>
      </c>
      <c r="K152" s="1750">
        <f ca="1">IFERROR(VLOOKUP(表格1[[#This Row],[商品
代碼]],'銀行-TSS'!B:I,8,FALSE),"")</f>
        <v>2</v>
      </c>
      <c r="L152" s="1747">
        <f ca="1">IFERROR(VLOOKUP(B152,'銀行-TSS'!B:K,10,FALSE),"")</f>
        <v>112.67</v>
      </c>
      <c r="M152" s="1745" t="str">
        <f ca="1">IF(表格1[[#This Row],[含息申購
參考價]]&gt;100,"溢價",IF(表格1[[#This Row],[含息申購
參考價]]&lt;100,"折價","平價"))</f>
        <v>溢價</v>
      </c>
      <c r="N152" s="1751">
        <f ca="1">IFERROR(VLOOKUP(B152,'銀行-TSS'!B:M,12,FALSE),"")</f>
        <v>5.3499999999999999E-2</v>
      </c>
      <c r="O152" s="1752">
        <f ca="1">IFERROR(VLOOKUP(表格1[[#This Row],[商品
代碼]],'銀行-TSS'!B:AJ,35,FALSE),"")</f>
        <v>0</v>
      </c>
      <c r="P152" s="1753" t="str">
        <f ca="1">IFERROR(VLOOKUP(表格1[[#This Row],[商品
代碼]],'銀行-TSS'!B:AE,30,FALSE),"")</f>
        <v xml:space="preserve"> </v>
      </c>
      <c r="Q152" s="1749" t="str">
        <f ca="1">IFERROR(IF(VLOOKUP(表格1[[#This Row],[商品
代碼]],'銀行-TSS'!B:AM,38,FALSE)="#N/A Field Not Applicable","",VLOOKUP(表格1[[#This Row],[商品
代碼]],'銀行-TSS'!B:AM,38,FALSE)),"")</f>
        <v/>
      </c>
      <c r="R152" s="1749" t="str">
        <f ca="1">IFERROR(VLOOKUP(表格1[[#This Row],[商品
代碼]],'銀行-TSS'!B:AH,33,FALSE),"")</f>
        <v>美元(USD)</v>
      </c>
      <c r="S152" s="1754">
        <f ca="1">IFERROR(VLOOKUP(B152,'銀行-TSS'!B:N,13,FALSE),"")</f>
        <v>10000</v>
      </c>
      <c r="T152" s="1754" t="str">
        <f ca="1">VLOOKUP(表格1[[#This Row],[商品
代碼]],'銀行-TSS'!B:AI,34,FALSE)</f>
        <v>自由選清單</v>
      </c>
      <c r="U152" s="1755" t="str">
        <f ca="1">IFERROR(VLOOKUP(B152,'銀行-TSS'!B:Q,16,FALSE),"")</f>
        <v>公用事業</v>
      </c>
      <c r="V152" s="1755" t="str">
        <f ca="1">IFERROR(VLOOKUP(表格1[[#This Row],[商品
代碼]],'銀行-TSS'!B:AG,32,FALSE),"")</f>
        <v>固定</v>
      </c>
      <c r="W152" s="1756" t="str">
        <f>IFERROR(IFERROR(VLOOKUP(表格1[[#This Row],[商品
代碼]],'3_是否下架'!A:B,2,FALSE),VLOOKUP(表格1[[#This Row],[商品
代碼]],'銀行-TSS'!B:AK,36,FALSE)),"")</f>
        <v>已下架</v>
      </c>
      <c r="Y152" s="400"/>
      <c r="Z152" s="400"/>
      <c r="AA152" s="401"/>
    </row>
    <row r="153" spans="2:27" s="399" customFormat="1" ht="24.75" customHeight="1">
      <c r="B153" s="1745" t="s">
        <v>735</v>
      </c>
      <c r="C153" s="1745" t="str">
        <f ca="1">IFERROR(VLOOKUP(表格1[[#This Row],[商品
代碼]],'銀行-TSS'!B:V,21,FALSE),"")</f>
        <v>高資產</v>
      </c>
      <c r="D153" s="1746" t="str">
        <f>IFERROR(VLOOKUP(表格1[[#This Row],[商品
代碼]],bond!B:F,5,FALSE),"")</f>
        <v>XS0316524130</v>
      </c>
      <c r="E153" s="1746" t="str">
        <f ca="1">IFERROR(VLOOKUP(B153,'銀行-TSS'!B:D,3,FALSE),"")</f>
        <v>俄羅斯天然氣集團美元配息債券 7.288% 2037/8/16</v>
      </c>
      <c r="F153" s="1745" t="str">
        <f ca="1">IFERROR(VLOOKUP(B153,'銀行-TSS'!B:E,4,FALSE),"")</f>
        <v>WR / NR / WD</v>
      </c>
      <c r="G153" s="1747">
        <f ca="1">IFERROR(VLOOKUP(B153,'銀行-TSS'!B:G,6,FALSE),"")</f>
        <v>13.12</v>
      </c>
      <c r="H153" s="1748">
        <f ca="1">IFERROR(VLOOKUP(B153,'銀行-TSS'!B:H,7,FALSE),"")</f>
        <v>7.288E-2</v>
      </c>
      <c r="I153" s="1745" t="str">
        <f ca="1">IFERROR(IF(表格1[[#This Row],[配息頻率]]=0,"",CHOOSE(表格1[[#This Row],[配息頻率]],MONTH(J153),IF(MONTH(J153)&lt;=6,CONCATENATE(MONTH(J153)," / ",MONTH(J153)+6),CONCATENATE(MONTH(J153)-6," / ",MONTH(J153))),0,"2 / 4 / 8 / 11")),"")</f>
        <v>2 / 8</v>
      </c>
      <c r="J153" s="1749" t="str">
        <f ca="1">IFERROR(VLOOKUP(B153,'銀行-TSS'!B:P,15,FALSE),"")</f>
        <v>2024/8/16</v>
      </c>
      <c r="K153" s="1750">
        <f ca="1">IFERROR(VLOOKUP(表格1[[#This Row],[商品
代碼]],'銀行-TSS'!B:I,8,FALSE),"")</f>
        <v>2</v>
      </c>
      <c r="L153" s="1747">
        <f ca="1">IFERROR(VLOOKUP(B153,'銀行-TSS'!B:K,10,FALSE),"")</f>
        <v>86.27</v>
      </c>
      <c r="M153" s="1745" t="str">
        <f ca="1">IF(表格1[[#This Row],[含息申購
參考價]]&gt;100,"溢價",IF(表格1[[#This Row],[含息申購
參考價]]&lt;100,"折價","平價"))</f>
        <v>折價</v>
      </c>
      <c r="N153" s="1751">
        <f ca="1">IFERROR(VLOOKUP(B153,'銀行-TSS'!B:M,12,FALSE),"")</f>
        <v>9.5100000000000004E-2</v>
      </c>
      <c r="O153" s="1752">
        <f ca="1">IFERROR(VLOOKUP(表格1[[#This Row],[商品
代碼]],'銀行-TSS'!B:AJ,35,FALSE),"")</f>
        <v>0</v>
      </c>
      <c r="P153" s="1753" t="str">
        <f ca="1">IFERROR(VLOOKUP(表格1[[#This Row],[商品
代碼]],'銀行-TSS'!B:AE,30,FALSE),"")</f>
        <v xml:space="preserve"> </v>
      </c>
      <c r="Q153" s="1749" t="str">
        <f ca="1">IFERROR(IF(VLOOKUP(表格1[[#This Row],[商品
代碼]],'銀行-TSS'!B:AM,38,FALSE)="#N/A Field Not Applicable","",VLOOKUP(表格1[[#This Row],[商品
代碼]],'銀行-TSS'!B:AM,38,FALSE)),"")</f>
        <v/>
      </c>
      <c r="R153" s="1749" t="str">
        <f ca="1">IFERROR(VLOOKUP(表格1[[#This Row],[商品
代碼]],'銀行-TSS'!B:AH,33,FALSE),"")</f>
        <v>美元(USD)</v>
      </c>
      <c r="S153" s="1754">
        <f ca="1">IFERROR(VLOOKUP(B153,'銀行-TSS'!B:N,13,FALSE),"")</f>
        <v>100000</v>
      </c>
      <c r="T153" s="1754" t="str">
        <f ca="1">VLOOKUP(表格1[[#This Row],[商品
代碼]],'銀行-TSS'!B:AI,34,FALSE)</f>
        <v>自由選清單</v>
      </c>
      <c r="U153" s="1755" t="str">
        <f ca="1">IFERROR(VLOOKUP(B153,'銀行-TSS'!B:Q,16,FALSE),"")</f>
        <v>能源</v>
      </c>
      <c r="V153" s="1755" t="str">
        <f ca="1">IFERROR(VLOOKUP(表格1[[#This Row],[商品
代碼]],'銀行-TSS'!B:AG,32,FALSE),"")</f>
        <v>固定</v>
      </c>
      <c r="W153" s="1756" t="str">
        <f>IFERROR(IFERROR(VLOOKUP(表格1[[#This Row],[商品
代碼]],'3_是否下架'!A:B,2,FALSE),VLOOKUP(表格1[[#This Row],[商品
代碼]],'銀行-TSS'!B:AK,36,FALSE)),"")</f>
        <v>已下架</v>
      </c>
      <c r="Y153" s="400"/>
      <c r="Z153" s="400"/>
      <c r="AA153" s="401"/>
    </row>
    <row r="154" spans="2:27" s="399" customFormat="1" ht="24.75" customHeight="1">
      <c r="B154" s="1745" t="s">
        <v>650</v>
      </c>
      <c r="C154" s="1745" t="str">
        <f ca="1">IFERROR(VLOOKUP(表格1[[#This Row],[商品
代碼]],'銀行-TSS'!B:V,21,FALSE),"")</f>
        <v>(NPI)非專投</v>
      </c>
      <c r="D154" s="1746" t="str">
        <f>IFERROR(VLOOKUP(表格1[[#This Row],[商品
代碼]],bond!B:F,5,FALSE),"")</f>
        <v>US92343VDU52</v>
      </c>
      <c r="E154" s="1746" t="str">
        <f ca="1">IFERROR(VLOOKUP(B154,'銀行-TSS'!B:D,3,FALSE),"")</f>
        <v>威瑞森電信公司美元配息債券 5.25% 2037/3/16</v>
      </c>
      <c r="F154" s="1745" t="str">
        <f ca="1">IFERROR(VLOOKUP(B154,'銀行-TSS'!B:E,4,FALSE),"")</f>
        <v>Baa1 / BBB+ / A-</v>
      </c>
      <c r="G154" s="1747">
        <f ca="1">IFERROR(VLOOKUP(B154,'銀行-TSS'!B:G,6,FALSE),"")</f>
        <v>12.7</v>
      </c>
      <c r="H154" s="1748">
        <f ca="1">IFERROR(VLOOKUP(B154,'銀行-TSS'!B:H,7,FALSE),"")</f>
        <v>5.2499999999999998E-2</v>
      </c>
      <c r="I154" s="1745" t="str">
        <f ca="1">IFERROR(IF(表格1[[#This Row],[配息頻率]]=0,"",CHOOSE(表格1[[#This Row],[配息頻率]],MONTH(J154),IF(MONTH(J154)&lt;=6,CONCATENATE(MONTH(J154)," / ",MONTH(J154)+6),CONCATENATE(MONTH(J154)-6," / ",MONTH(J154))),0,"2 / 4 / 8 / 11")),"")</f>
        <v>3 / 9</v>
      </c>
      <c r="J154" s="1749" t="str">
        <f ca="1">IFERROR(VLOOKUP(B154,'銀行-TSS'!B:P,15,FALSE),"")</f>
        <v>2024/9/16</v>
      </c>
      <c r="K154" s="1750">
        <f ca="1">IFERROR(VLOOKUP(表格1[[#This Row],[商品
代碼]],'銀行-TSS'!B:I,8,FALSE),"")</f>
        <v>2</v>
      </c>
      <c r="L154" s="1747">
        <f ca="1">IFERROR(VLOOKUP(B154,'銀行-TSS'!B:K,10,FALSE),"")</f>
        <v>103.59</v>
      </c>
      <c r="M154" s="1745" t="str">
        <f ca="1">IF(表格1[[#This Row],[含息申購
參考價]]&gt;100,"溢價",IF(表格1[[#This Row],[含息申購
參考價]]&lt;100,"折價","平價"))</f>
        <v>溢價</v>
      </c>
      <c r="N154" s="1751">
        <f ca="1">IFERROR(VLOOKUP(B154,'銀行-TSS'!B:M,12,FALSE),"")</f>
        <v>5.0299999999999997E-2</v>
      </c>
      <c r="O154" s="1752">
        <f ca="1">IFERROR(VLOOKUP(表格1[[#This Row],[商品
代碼]],'銀行-TSS'!B:AJ,35,FALSE),"")</f>
        <v>0</v>
      </c>
      <c r="P154" s="1751" t="str">
        <f ca="1">IFERROR(VLOOKUP(表格1[[#This Row],[商品
代碼]],'銀行-TSS'!B:AE,30,FALSE),"")</f>
        <v xml:space="preserve"> </v>
      </c>
      <c r="Q154" s="1749" t="str">
        <f ca="1">IFERROR(IF(VLOOKUP(表格1[[#This Row],[商品
代碼]],'銀行-TSS'!B:AM,38,FALSE)="#N/A Field Not Applicable","",VLOOKUP(表格1[[#This Row],[商品
代碼]],'銀行-TSS'!B:AM,38,FALSE)),"")</f>
        <v/>
      </c>
      <c r="R154" s="1749" t="str">
        <f ca="1">IFERROR(VLOOKUP(表格1[[#This Row],[商品
代碼]],'銀行-TSS'!B:AH,33,FALSE),"")</f>
        <v>美元(USD)</v>
      </c>
      <c r="S154" s="1754">
        <f ca="1">IFERROR(VLOOKUP(B154,'銀行-TSS'!B:N,13,FALSE),"")</f>
        <v>2000</v>
      </c>
      <c r="T154" s="1754" t="str">
        <f ca="1">VLOOKUP(表格1[[#This Row],[商品
代碼]],'銀行-TSS'!B:AI,34,FALSE)</f>
        <v>自由選清單</v>
      </c>
      <c r="U154" s="1745" t="str">
        <f ca="1">IFERROR(VLOOKUP(B154,'銀行-TSS'!B:Q,16,FALSE),"")</f>
        <v>通訊</v>
      </c>
      <c r="V154" s="1755" t="str">
        <f ca="1">IFERROR(VLOOKUP(表格1[[#This Row],[商品
代碼]],'銀行-TSS'!B:AG,32,FALSE),"")</f>
        <v>固定</v>
      </c>
      <c r="W154" s="1757" t="str">
        <f ca="1">IFERROR(IFERROR(VLOOKUP(表格1[[#This Row],[商品
代碼]],'3_是否下架'!A:B,2,FALSE),VLOOKUP(表格1[[#This Row],[商品
代碼]],'銀行-TSS'!B:AK,36,FALSE)),"")</f>
        <v>有</v>
      </c>
      <c r="Y154" s="400"/>
      <c r="Z154" s="400"/>
      <c r="AA154" s="401"/>
    </row>
    <row r="155" spans="2:27" s="399" customFormat="1" ht="24.75" customHeight="1">
      <c r="B155" s="1745" t="s">
        <v>2229</v>
      </c>
      <c r="C155" s="1745" t="str">
        <f ca="1">IFERROR(VLOOKUP(表格1[[#This Row],[商品
代碼]],'銀行-TSS'!B:V,21,FALSE),"")</f>
        <v>(NPI)非專投</v>
      </c>
      <c r="D155" s="1746" t="str">
        <f>IFERROR(VLOOKUP(表格1[[#This Row],[商品
代碼]],bond!B:F,5,FALSE),"")</f>
        <v>US88579EAC93</v>
      </c>
      <c r="E155" s="1746" t="str">
        <f ca="1">IFERROR(VLOOKUP(B155,'銀行-TSS'!B:D,3,FALSE),"")</f>
        <v>3M公司美元配息債券 5.7% 2037/3/15</v>
      </c>
      <c r="F155" s="1745" t="str">
        <f ca="1">IFERROR(VLOOKUP(B155,'銀行-TSS'!B:E,4,FALSE),"")</f>
        <v>A3 / BBB+ / A-</v>
      </c>
      <c r="G155" s="1747">
        <f ca="1">IFERROR(VLOOKUP(B155,'銀行-TSS'!B:G,6,FALSE),"")</f>
        <v>12.7</v>
      </c>
      <c r="H155" s="1748">
        <f ca="1">IFERROR(VLOOKUP(B155,'銀行-TSS'!B:H,7,FALSE),"")</f>
        <v>5.7000000000000002E-2</v>
      </c>
      <c r="I155" s="1745" t="str">
        <f ca="1">IFERROR(IF(表格1[[#This Row],[配息頻率]]=0,"",CHOOSE(表格1[[#This Row],[配息頻率]],MONTH(J155),IF(MONTH(J155)&lt;=6,CONCATENATE(MONTH(J155)," / ",MONTH(J155)+6),CONCATENATE(MONTH(J155)-6," / ",MONTH(J155))),0,"2 / 4 / 8 / 11")),"")</f>
        <v>3 / 9</v>
      </c>
      <c r="J155" s="1749" t="str">
        <f ca="1">IFERROR(VLOOKUP(B155,'銀行-TSS'!B:P,15,FALSE),"")</f>
        <v>2024/9/15</v>
      </c>
      <c r="K155" s="1750">
        <f ca="1">IFERROR(VLOOKUP(表格1[[#This Row],[商品
代碼]],'銀行-TSS'!B:I,8,FALSE),"")</f>
        <v>2</v>
      </c>
      <c r="L155" s="1747">
        <f ca="1">IFERROR(VLOOKUP(B155,'銀行-TSS'!B:K,10,FALSE),"")</f>
        <v>108.43</v>
      </c>
      <c r="M155" s="1745" t="str">
        <f ca="1">IF(表格1[[#This Row],[含息申購
參考價]]&gt;100,"溢價",IF(表格1[[#This Row],[含息申購
參考價]]&lt;100,"折價","平價"))</f>
        <v>溢價</v>
      </c>
      <c r="N155" s="1751">
        <f ca="1">IFERROR(VLOOKUP(B155,'銀行-TSS'!B:M,12,FALSE),"")</f>
        <v>4.9799999999999997E-2</v>
      </c>
      <c r="O155" s="1752">
        <f ca="1">IFERROR(VLOOKUP(表格1[[#This Row],[商品
代碼]],'銀行-TSS'!B:AJ,35,FALSE),"")</f>
        <v>0</v>
      </c>
      <c r="P155" s="1751" t="str">
        <f ca="1">IFERROR(VLOOKUP(表格1[[#This Row],[商品
代碼]],'銀行-TSS'!B:AE,30,FALSE),"")</f>
        <v xml:space="preserve"> </v>
      </c>
      <c r="Q155" s="1749" t="str">
        <f ca="1">IFERROR(IF(VLOOKUP(表格1[[#This Row],[商品
代碼]],'銀行-TSS'!B:AM,38,FALSE)="#N/A Field Not Applicable","",VLOOKUP(表格1[[#This Row],[商品
代碼]],'銀行-TSS'!B:AM,38,FALSE)),"")</f>
        <v/>
      </c>
      <c r="R155" s="1749" t="str">
        <f ca="1">IFERROR(VLOOKUP(表格1[[#This Row],[商品
代碼]],'銀行-TSS'!B:AH,33,FALSE),"")</f>
        <v>美元(USD)</v>
      </c>
      <c r="S155" s="1754">
        <f ca="1">IFERROR(VLOOKUP(B155,'銀行-TSS'!B:N,13,FALSE),"")</f>
        <v>10000</v>
      </c>
      <c r="T155" s="1754" t="str">
        <f ca="1">VLOOKUP(表格1[[#This Row],[商品
代碼]],'銀行-TSS'!B:AI,34,FALSE)</f>
        <v>自由選清單</v>
      </c>
      <c r="U155" s="1745" t="str">
        <f ca="1">IFERROR(VLOOKUP(B155,'銀行-TSS'!B:Q,16,FALSE),"")</f>
        <v>工業</v>
      </c>
      <c r="V155" s="1755" t="str">
        <f ca="1">IFERROR(VLOOKUP(表格1[[#This Row],[商品
代碼]],'銀行-TSS'!B:AG,32,FALSE),"")</f>
        <v>固定</v>
      </c>
      <c r="W155" s="1757" t="str">
        <f ca="1">IFERROR(IFERROR(VLOOKUP(表格1[[#This Row],[商品
代碼]],'3_是否下架'!A:B,2,FALSE),VLOOKUP(表格1[[#This Row],[商品
代碼]],'銀行-TSS'!B:AK,36,FALSE)),"")</f>
        <v>有</v>
      </c>
      <c r="Y155" s="400"/>
      <c r="Z155" s="400"/>
      <c r="AA155" s="401"/>
    </row>
    <row r="156" spans="2:27" s="399" customFormat="1" ht="24.75" customHeight="1">
      <c r="B156" s="1745" t="s">
        <v>706</v>
      </c>
      <c r="C156" s="1745" t="str">
        <f ca="1">IFERROR(VLOOKUP(表格1[[#This Row],[商品
代碼]],'銀行-TSS'!B:V,21,FALSE),"")</f>
        <v>(NPI)非專投</v>
      </c>
      <c r="D156" s="1746" t="str">
        <f>IFERROR(VLOOKUP(表格1[[#This Row],[商品
代碼]],bond!B:F,5,FALSE),"")</f>
        <v>US717081EC37</v>
      </c>
      <c r="E156" s="1746" t="str">
        <f ca="1">IFERROR(VLOOKUP(B156,'銀行-TSS'!B:D,3,FALSE),"")</f>
        <v>輝瑞大藥廠美元配息債券 4% 2036/12/15</v>
      </c>
      <c r="F156" s="1745" t="str">
        <f ca="1">IFERROR(VLOOKUP(B156,'銀行-TSS'!B:E,4,FALSE),"")</f>
        <v>A2 / A / WD</v>
      </c>
      <c r="G156" s="1747">
        <f ca="1">IFERROR(VLOOKUP(B156,'銀行-TSS'!B:G,6,FALSE),"")</f>
        <v>12.45</v>
      </c>
      <c r="H156" s="1748">
        <f ca="1">IFERROR(VLOOKUP(B156,'銀行-TSS'!B:H,7,FALSE),"")</f>
        <v>0.04</v>
      </c>
      <c r="I156" s="1745" t="str">
        <f ca="1">IFERROR(IF(表格1[[#This Row],[配息頻率]]=0,"",CHOOSE(表格1[[#This Row],[配息頻率]],MONTH(J156),IF(MONTH(J156)&lt;=6,CONCATENATE(MONTH(J156)," / ",MONTH(J156)+6),CONCATENATE(MONTH(J156)-6," / ",MONTH(J156))),0,"2 / 4 / 8 / 11")),"")</f>
        <v>6 / 12</v>
      </c>
      <c r="J156" s="1749" t="str">
        <f ca="1">IFERROR(VLOOKUP(B156,'銀行-TSS'!B:P,15,FALSE),"")</f>
        <v>2024/12/15</v>
      </c>
      <c r="K156" s="1750">
        <f ca="1">IFERROR(VLOOKUP(表格1[[#This Row],[商品
代碼]],'銀行-TSS'!B:I,8,FALSE),"")</f>
        <v>2</v>
      </c>
      <c r="L156" s="1747">
        <f ca="1">IFERROR(VLOOKUP(B156,'銀行-TSS'!B:K,10,FALSE),"")</f>
        <v>92.93</v>
      </c>
      <c r="M156" s="1745" t="str">
        <f ca="1">IF(表格1[[#This Row],[含息申購
參考價]]&gt;100,"溢價",IF(表格1[[#This Row],[含息申購
參考價]]&lt;100,"折價","平價"))</f>
        <v>折價</v>
      </c>
      <c r="N156" s="1751">
        <f ca="1">IFERROR(VLOOKUP(B156,'銀行-TSS'!B:M,12,FALSE),"")</f>
        <v>4.7800000000000002E-2</v>
      </c>
      <c r="O156" s="1752">
        <f ca="1">IFERROR(VLOOKUP(表格1[[#This Row],[商品
代碼]],'銀行-TSS'!B:AJ,35,FALSE),"")</f>
        <v>0</v>
      </c>
      <c r="P156" s="1753" t="str">
        <f ca="1">IFERROR(VLOOKUP(表格1[[#This Row],[商品
代碼]],'銀行-TSS'!B:AE,30,FALSE),"")</f>
        <v xml:space="preserve"> </v>
      </c>
      <c r="Q156" s="1749" t="str">
        <f ca="1">IFERROR(IF(VLOOKUP(表格1[[#This Row],[商品
代碼]],'銀行-TSS'!B:AM,38,FALSE)="#N/A Field Not Applicable","",VLOOKUP(表格1[[#This Row],[商品
代碼]],'銀行-TSS'!B:AM,38,FALSE)),"")</f>
        <v/>
      </c>
      <c r="R156" s="1749" t="str">
        <f ca="1">IFERROR(VLOOKUP(表格1[[#This Row],[商品
代碼]],'銀行-TSS'!B:AH,33,FALSE),"")</f>
        <v>美元(USD)</v>
      </c>
      <c r="S156" s="1754">
        <f ca="1">IFERROR(VLOOKUP(B156,'銀行-TSS'!B:N,13,FALSE),"")</f>
        <v>10000</v>
      </c>
      <c r="T156" s="1754" t="str">
        <f ca="1">VLOOKUP(表格1[[#This Row],[商品
代碼]],'銀行-TSS'!B:AI,34,FALSE)</f>
        <v>自由選清單</v>
      </c>
      <c r="U156" s="1755" t="str">
        <f ca="1">IFERROR(VLOOKUP(B156,'銀行-TSS'!B:Q,16,FALSE),"")</f>
        <v>醫療保健</v>
      </c>
      <c r="V156" s="1755" t="str">
        <f ca="1">IFERROR(VLOOKUP(表格1[[#This Row],[商品
代碼]],'銀行-TSS'!B:AG,32,FALSE),"")</f>
        <v>固定</v>
      </c>
      <c r="W156" s="1756" t="str">
        <f ca="1">IFERROR(IFERROR(VLOOKUP(表格1[[#This Row],[商品
代碼]],'3_是否下架'!A:B,2,FALSE),VLOOKUP(表格1[[#This Row],[商品
代碼]],'銀行-TSS'!B:AK,36,FALSE)),"")</f>
        <v>有</v>
      </c>
      <c r="Y156" s="400"/>
      <c r="Z156" s="400"/>
      <c r="AA156" s="401"/>
    </row>
    <row r="157" spans="2:27" s="399" customFormat="1" ht="24.75" customHeight="1">
      <c r="B157" s="1745" t="s">
        <v>1046</v>
      </c>
      <c r="C157" s="1745" t="str">
        <f ca="1">IFERROR(VLOOKUP(表格1[[#This Row],[商品
代碼]],'銀行-TSS'!B:V,21,FALSE),"")</f>
        <v>(NPI)非專投</v>
      </c>
      <c r="D157" s="1746" t="str">
        <f>IFERROR(VLOOKUP(表格1[[#This Row],[商品
代碼]],bond!B:F,5,FALSE),"")</f>
        <v>US002824BG43</v>
      </c>
      <c r="E157" s="1746" t="str">
        <f ca="1">IFERROR(VLOOKUP(B157,'銀行-TSS'!B:D,3,FALSE),"")</f>
        <v>亞培公司美元配息債券 4.75% 2036/11/30</v>
      </c>
      <c r="F157" s="1745" t="str">
        <f ca="1">IFERROR(VLOOKUP(B157,'銀行-TSS'!B:E,4,FALSE),"")</f>
        <v>Aa3 / AA- / WD</v>
      </c>
      <c r="G157" s="1747">
        <f ca="1">IFERROR(VLOOKUP(B157,'銀行-TSS'!B:G,6,FALSE),"")</f>
        <v>12.41</v>
      </c>
      <c r="H157" s="1748">
        <f ca="1">IFERROR(VLOOKUP(B157,'銀行-TSS'!B:H,7,FALSE),"")</f>
        <v>4.7500000000000001E-2</v>
      </c>
      <c r="I157" s="1745" t="str">
        <f ca="1">IFERROR(IF(表格1[[#This Row],[配息頻率]]=0,"",CHOOSE(表格1[[#This Row],[配息頻率]],MONTH(J157),IF(MONTH(J157)&lt;=6,CONCATENATE(MONTH(J157)," / ",MONTH(J157)+6),CONCATENATE(MONTH(J157)-6," / ",MONTH(J157))),0,"2 / 4 / 8 / 11")),"")</f>
        <v>5 / 11</v>
      </c>
      <c r="J157" s="1749" t="str">
        <f ca="1">IFERROR(VLOOKUP(B157,'銀行-TSS'!B:P,15,FALSE),"")</f>
        <v>2024/11/30</v>
      </c>
      <c r="K157" s="1750">
        <f ca="1">IFERROR(VLOOKUP(表格1[[#This Row],[商品
代碼]],'銀行-TSS'!B:I,8,FALSE),"")</f>
        <v>2</v>
      </c>
      <c r="L157" s="1747">
        <f ca="1">IFERROR(VLOOKUP(B157,'銀行-TSS'!B:K,10,FALSE),"")</f>
        <v>99.98</v>
      </c>
      <c r="M157" s="1745" t="str">
        <f ca="1">IF(表格1[[#This Row],[含息申購
參考價]]&gt;100,"溢價",IF(表格1[[#This Row],[含息申購
參考價]]&lt;100,"折價","平價"))</f>
        <v>折價</v>
      </c>
      <c r="N157" s="1751">
        <f ca="1">IFERROR(VLOOKUP(B157,'銀行-TSS'!B:M,12,FALSE),"")</f>
        <v>4.8000000000000001E-2</v>
      </c>
      <c r="O157" s="1752">
        <f ca="1">IFERROR(VLOOKUP(表格1[[#This Row],[商品
代碼]],'銀行-TSS'!B:AJ,35,FALSE),"")</f>
        <v>0</v>
      </c>
      <c r="P157" s="1753">
        <f ca="1">IFERROR(VLOOKUP(表格1[[#This Row],[商品
代碼]],'銀行-TSS'!B:AE,30,FALSE),"")</f>
        <v>4.8000000000000001E-2</v>
      </c>
      <c r="Q157" s="1749" t="str">
        <f ca="1">IFERROR(IF(VLOOKUP(表格1[[#This Row],[商品
代碼]],'銀行-TSS'!B:AM,38,FALSE)="#N/A Field Not Applicable","",VLOOKUP(表格1[[#This Row],[商品
代碼]],'銀行-TSS'!B:AM,38,FALSE)),"")</f>
        <v>2036/5/30</v>
      </c>
      <c r="R157" s="1749" t="str">
        <f ca="1">IFERROR(VLOOKUP(表格1[[#This Row],[商品
代碼]],'銀行-TSS'!B:AH,33,FALSE),"")</f>
        <v>美元(USD)</v>
      </c>
      <c r="S157" s="1754">
        <f ca="1">IFERROR(VLOOKUP(B157,'銀行-TSS'!B:N,13,FALSE),"")</f>
        <v>10000</v>
      </c>
      <c r="T157" s="1754" t="str">
        <f ca="1">VLOOKUP(表格1[[#This Row],[商品
代碼]],'銀行-TSS'!B:AI,34,FALSE)</f>
        <v>自由選清單</v>
      </c>
      <c r="U157" s="1755" t="str">
        <f ca="1">IFERROR(VLOOKUP(B157,'銀行-TSS'!B:Q,16,FALSE),"")</f>
        <v>醫療保健</v>
      </c>
      <c r="V157" s="1755" t="str">
        <f ca="1">IFERROR(VLOOKUP(表格1[[#This Row],[商品
代碼]],'銀行-TSS'!B:AG,32,FALSE),"")</f>
        <v>固定</v>
      </c>
      <c r="W157" s="1756" t="str">
        <f ca="1">IFERROR(IFERROR(VLOOKUP(表格1[[#This Row],[商品
代碼]],'3_是否下架'!A:B,2,FALSE),VLOOKUP(表格1[[#This Row],[商品
代碼]],'銀行-TSS'!B:AK,36,FALSE)),"")</f>
        <v>有</v>
      </c>
      <c r="Y157" s="400"/>
      <c r="Z157" s="400"/>
      <c r="AA157" s="401"/>
    </row>
    <row r="158" spans="2:27" s="399" customFormat="1" ht="24.75" customHeight="1">
      <c r="B158" s="1745" t="s">
        <v>2085</v>
      </c>
      <c r="C158" s="1745" t="str">
        <f ca="1">IFERROR(VLOOKUP(表格1[[#This Row],[商品
代碼]],'銀行-TSS'!B:V,21,FALSE),"")</f>
        <v>(PI)專投</v>
      </c>
      <c r="D158" s="1746" t="str">
        <f>IFERROR(VLOOKUP(表格1[[#This Row],[商品
代碼]],bond!B:F,5,FALSE),"")</f>
        <v>US674599DF90</v>
      </c>
      <c r="E158" s="1746" t="str">
        <f ca="1">IFERROR(VLOOKUP(B158,'銀行-TSS'!B:D,3,FALSE),"")</f>
        <v>西方石油公司美元配息債券 6.45% 2036/9/15</v>
      </c>
      <c r="F158" s="1745" t="str">
        <f ca="1">IFERROR(VLOOKUP(B158,'銀行-TSS'!B:E,4,FALSE),"")</f>
        <v>Baa3 / BB+ / BBB-</v>
      </c>
      <c r="G158" s="1747">
        <f ca="1">IFERROR(VLOOKUP(B158,'銀行-TSS'!B:G,6,FALSE),"")</f>
        <v>12.21</v>
      </c>
      <c r="H158" s="1748">
        <f ca="1">IFERROR(VLOOKUP(B158,'銀行-TSS'!B:H,7,FALSE),"")</f>
        <v>6.4500000000000002E-2</v>
      </c>
      <c r="I158" s="1745" t="str">
        <f ca="1">IFERROR(IF(表格1[[#This Row],[配息頻率]]=0,"",CHOOSE(表格1[[#This Row],[配息頻率]],MONTH(J158),IF(MONTH(J158)&lt;=6,CONCATENATE(MONTH(J158)," / ",MONTH(J158)+6),CONCATENATE(MONTH(J158)-6," / ",MONTH(J158))),0,"2 / 4 / 8 / 11")),"")</f>
        <v>3 / 9</v>
      </c>
      <c r="J158" s="1749" t="str">
        <f ca="1">IFERROR(VLOOKUP(B158,'銀行-TSS'!B:P,15,FALSE),"")</f>
        <v>2024/9/15</v>
      </c>
      <c r="K158" s="1750">
        <f ca="1">IFERROR(VLOOKUP(表格1[[#This Row],[商品
代碼]],'銀行-TSS'!B:I,8,FALSE),"")</f>
        <v>2</v>
      </c>
      <c r="L158" s="1747">
        <f ca="1">IFERROR(VLOOKUP(B158,'銀行-TSS'!B:K,10,FALSE),"")</f>
        <v>108.82</v>
      </c>
      <c r="M158" s="1745" t="str">
        <f ca="1">IF(表格1[[#This Row],[含息申購
參考價]]&gt;100,"溢價",IF(表格1[[#This Row],[含息申購
參考價]]&lt;100,"折價","平價"))</f>
        <v>溢價</v>
      </c>
      <c r="N158" s="1751">
        <f ca="1">IFERROR(VLOOKUP(B158,'銀行-TSS'!B:M,12,FALSE),"")</f>
        <v>5.6599999999999998E-2</v>
      </c>
      <c r="O158" s="1752">
        <f ca="1">IFERROR(VLOOKUP(表格1[[#This Row],[商品
代碼]],'銀行-TSS'!B:AJ,35,FALSE),"")</f>
        <v>0</v>
      </c>
      <c r="P158" s="1753" t="str">
        <f ca="1">IFERROR(VLOOKUP(表格1[[#This Row],[商品
代碼]],'銀行-TSS'!B:AE,30,FALSE),"")</f>
        <v xml:space="preserve"> </v>
      </c>
      <c r="Q158" s="1749" t="str">
        <f ca="1">IFERROR(IF(VLOOKUP(表格1[[#This Row],[商品
代碼]],'銀行-TSS'!B:AM,38,FALSE)="#N/A Field Not Applicable","",VLOOKUP(表格1[[#This Row],[商品
代碼]],'銀行-TSS'!B:AM,38,FALSE)),"")</f>
        <v/>
      </c>
      <c r="R158" s="1749" t="str">
        <f ca="1">IFERROR(VLOOKUP(表格1[[#This Row],[商品
代碼]],'銀行-TSS'!B:AH,33,FALSE),"")</f>
        <v>美元(USD)</v>
      </c>
      <c r="S158" s="1754">
        <f ca="1">IFERROR(VLOOKUP(B158,'銀行-TSS'!B:N,13,FALSE),"")</f>
        <v>10000</v>
      </c>
      <c r="T158" s="1754" t="str">
        <f ca="1">VLOOKUP(表格1[[#This Row],[商品
代碼]],'銀行-TSS'!B:AI,34,FALSE)</f>
        <v>自由選清單</v>
      </c>
      <c r="U158" s="1755" t="str">
        <f ca="1">IFERROR(VLOOKUP(B158,'銀行-TSS'!B:Q,16,FALSE),"")</f>
        <v>能源</v>
      </c>
      <c r="V158" s="1755" t="str">
        <f ca="1">IFERROR(VLOOKUP(表格1[[#This Row],[商品
代碼]],'銀行-TSS'!B:AG,32,FALSE),"")</f>
        <v>固定</v>
      </c>
      <c r="W158" s="1756" t="str">
        <f ca="1">IFERROR(IFERROR(VLOOKUP(表格1[[#This Row],[商品
代碼]],'3_是否下架'!A:B,2,FALSE),VLOOKUP(表格1[[#This Row],[商品
代碼]],'銀行-TSS'!B:AK,36,FALSE)),"")</f>
        <v>有</v>
      </c>
      <c r="Y158" s="400"/>
      <c r="Z158" s="400"/>
      <c r="AA158" s="401"/>
    </row>
    <row r="159" spans="2:27" s="399" customFormat="1" ht="24.75" customHeight="1">
      <c r="B159" s="1745" t="s">
        <v>616</v>
      </c>
      <c r="C159" s="1745" t="str">
        <f ca="1">IFERROR(VLOOKUP(表格1[[#This Row],[商品
代碼]],'銀行-TSS'!B:V,21,FALSE),"")</f>
        <v>(NPI)非專投</v>
      </c>
      <c r="D159" s="1746" t="str">
        <f>IFERROR(VLOOKUP(表格1[[#This Row],[商品
代碼]],bond!B:F,5,FALSE),"")</f>
        <v>US594918BS26</v>
      </c>
      <c r="E159" s="1746" t="str">
        <f ca="1">IFERROR(VLOOKUP(B159,'銀行-TSS'!B:D,3,FALSE),"")</f>
        <v>微軟美元配息債券 3.45% 2036/8/8</v>
      </c>
      <c r="F159" s="1745" t="str">
        <f ca="1">IFERROR(VLOOKUP(B159,'銀行-TSS'!B:E,4,FALSE),"")</f>
        <v>Aaa / AAA / WD</v>
      </c>
      <c r="G159" s="1747">
        <f ca="1">IFERROR(VLOOKUP(B159,'銀行-TSS'!B:G,6,FALSE),"")</f>
        <v>12.1</v>
      </c>
      <c r="H159" s="1748">
        <f ca="1">IFERROR(VLOOKUP(B159,'銀行-TSS'!B:H,7,FALSE),"")</f>
        <v>3.4500000000000003E-2</v>
      </c>
      <c r="I159" s="1745" t="str">
        <f ca="1">IFERROR(IF(表格1[[#This Row],[配息頻率]]=0,"",CHOOSE(表格1[[#This Row],[配息頻率]],MONTH(J159),IF(MONTH(J159)&lt;=6,CONCATENATE(MONTH(J159)," / ",MONTH(J159)+6),CONCATENATE(MONTH(J159)-6," / ",MONTH(J159))),0,"2 / 4 / 8 / 11")),"")</f>
        <v>2 / 8</v>
      </c>
      <c r="J159" s="1749" t="str">
        <f ca="1">IFERROR(VLOOKUP(B159,'銀行-TSS'!B:P,15,FALSE),"")</f>
        <v>2024/8/8</v>
      </c>
      <c r="K159" s="1750">
        <f ca="1">IFERROR(VLOOKUP(表格1[[#This Row],[商品
代碼]],'銀行-TSS'!B:I,8,FALSE),"")</f>
        <v>2</v>
      </c>
      <c r="L159" s="1747">
        <f ca="1">IFERROR(VLOOKUP(B159,'銀行-TSS'!B:K,10,FALSE),"")</f>
        <v>91.72</v>
      </c>
      <c r="M159" s="1745" t="str">
        <f ca="1">IF(表格1[[#This Row],[含息申購
參考價]]&gt;100,"溢價",IF(表格1[[#This Row],[含息申購
參考價]]&lt;100,"折價","平價"))</f>
        <v>折價</v>
      </c>
      <c r="N159" s="1751">
        <f ca="1">IFERROR(VLOOKUP(B159,'銀行-TSS'!B:M,12,FALSE),"")</f>
        <v>4.4900000000000002E-2</v>
      </c>
      <c r="O159" s="1752">
        <f ca="1">IFERROR(VLOOKUP(表格1[[#This Row],[商品
代碼]],'銀行-TSS'!B:AJ,35,FALSE),"")</f>
        <v>0</v>
      </c>
      <c r="P159" s="1753">
        <f ca="1">IFERROR(VLOOKUP(表格1[[#This Row],[商品
代碼]],'銀行-TSS'!B:AE,30,FALSE),"")</f>
        <v>4.53E-2</v>
      </c>
      <c r="Q159" s="1749" t="str">
        <f ca="1">IFERROR(IF(VLOOKUP(表格1[[#This Row],[商品
代碼]],'銀行-TSS'!B:AM,38,FALSE)="#N/A Field Not Applicable","",VLOOKUP(表格1[[#This Row],[商品
代碼]],'銀行-TSS'!B:AM,38,FALSE)),"")</f>
        <v>2036/2/8</v>
      </c>
      <c r="R159" s="1749" t="str">
        <f ca="1">IFERROR(VLOOKUP(表格1[[#This Row],[商品
代碼]],'銀行-TSS'!B:AH,33,FALSE),"")</f>
        <v>美元(USD)</v>
      </c>
      <c r="S159" s="1754">
        <f ca="1">IFERROR(VLOOKUP(B159,'銀行-TSS'!B:N,13,FALSE),"")</f>
        <v>10000</v>
      </c>
      <c r="T159" s="1754" t="str">
        <f ca="1">VLOOKUP(表格1[[#This Row],[商品
代碼]],'銀行-TSS'!B:AI,34,FALSE)</f>
        <v>自由選清單</v>
      </c>
      <c r="U159" s="1755" t="str">
        <f ca="1">IFERROR(VLOOKUP(B159,'銀行-TSS'!B:Q,16,FALSE),"")</f>
        <v>科技</v>
      </c>
      <c r="V159" s="1755" t="str">
        <f ca="1">IFERROR(VLOOKUP(表格1[[#This Row],[商品
代碼]],'銀行-TSS'!B:AG,32,FALSE),"")</f>
        <v>固定</v>
      </c>
      <c r="W159" s="1756" t="str">
        <f ca="1">IFERROR(IFERROR(VLOOKUP(表格1[[#This Row],[商品
代碼]],'3_是否下架'!A:B,2,FALSE),VLOOKUP(表格1[[#This Row],[商品
代碼]],'銀行-TSS'!B:AK,36,FALSE)),"")</f>
        <v>有</v>
      </c>
      <c r="Y159" s="400"/>
      <c r="Z159" s="400"/>
      <c r="AA159" s="401"/>
    </row>
    <row r="160" spans="2:27" s="399" customFormat="1" ht="24.75" customHeight="1">
      <c r="B160" s="1745" t="s">
        <v>682</v>
      </c>
      <c r="C160" s="1745" t="str">
        <f ca="1">IFERROR(VLOOKUP(表格1[[#This Row],[商品
代碼]],'銀行-TSS'!B:V,21,FALSE),"")</f>
        <v>高資產</v>
      </c>
      <c r="D160" s="1746" t="str">
        <f>IFERROR(VLOOKUP(表格1[[#This Row],[商品
代碼]],bond!B:F,5,FALSE),"")</f>
        <v>US29078EAA38</v>
      </c>
      <c r="E160" s="1746" t="str">
        <f ca="1">IFERROR(VLOOKUP(B160,'銀行-TSS'!B:D,3,FALSE),"")</f>
        <v>音巴克公司美元配息債券 7.995% 2036/6/1</v>
      </c>
      <c r="F160" s="1745" t="str">
        <f ca="1">IFERROR(VLOOKUP(B160,'銀行-TSS'!B:E,4,FALSE),"")</f>
        <v>Caa3 / CC / C</v>
      </c>
      <c r="G160" s="1747">
        <f ca="1">IFERROR(VLOOKUP(B160,'銀行-TSS'!B:G,6,FALSE),"")</f>
        <v>11.92</v>
      </c>
      <c r="H160" s="1748">
        <f ca="1">IFERROR(VLOOKUP(B160,'銀行-TSS'!B:H,7,FALSE),"")</f>
        <v>7.9950000000000007E-2</v>
      </c>
      <c r="I160" s="1745" t="str">
        <f ca="1">IFERROR(IF(表格1[[#This Row],[配息頻率]]=0,"",CHOOSE(表格1[[#This Row],[配息頻率]],MONTH(J160),IF(MONTH(J160)&lt;=6,CONCATENATE(MONTH(J160)," / ",MONTH(J160)+6),CONCATENATE(MONTH(J160)-6," / ",MONTH(J160))),0,"2 / 4 / 8 / 11")),"")</f>
        <v>6 / 12</v>
      </c>
      <c r="J160" s="1749" t="str">
        <f ca="1">IFERROR(VLOOKUP(B160,'銀行-TSS'!B:P,15,FALSE),"")</f>
        <v>2024/12/1</v>
      </c>
      <c r="K160" s="1750">
        <f ca="1">IFERROR(VLOOKUP(表格1[[#This Row],[商品
代碼]],'銀行-TSS'!B:I,8,FALSE),"")</f>
        <v>2</v>
      </c>
      <c r="L160" s="1747">
        <f ca="1">IFERROR(VLOOKUP(B160,'銀行-TSS'!B:K,10,FALSE),"")</f>
        <v>17.240000000000002</v>
      </c>
      <c r="M160" s="1745" t="str">
        <f ca="1">IF(表格1[[#This Row],[含息申購
參考價]]&gt;100,"溢價",IF(表格1[[#This Row],[含息申購
參考價]]&lt;100,"折價","平價"))</f>
        <v>折價</v>
      </c>
      <c r="N160" s="1751">
        <f ca="1">IFERROR(VLOOKUP(B160,'銀行-TSS'!B:M,12,FALSE),"")</f>
        <v>0.49419999999999997</v>
      </c>
      <c r="O160" s="1752">
        <f ca="1">IFERROR(VLOOKUP(表格1[[#This Row],[商品
代碼]],'銀行-TSS'!B:AJ,35,FALSE),"")</f>
        <v>0</v>
      </c>
      <c r="P160" s="1753" t="str">
        <f ca="1">IFERROR(VLOOKUP(表格1[[#This Row],[商品
代碼]],'銀行-TSS'!B:AE,30,FALSE),"")</f>
        <v xml:space="preserve"> </v>
      </c>
      <c r="Q160" s="1749" t="str">
        <f ca="1">IFERROR(IF(VLOOKUP(表格1[[#This Row],[商品
代碼]],'銀行-TSS'!B:AM,38,FALSE)="#N/A Field Not Applicable","",VLOOKUP(表格1[[#This Row],[商品
代碼]],'銀行-TSS'!B:AM,38,FALSE)),"")</f>
        <v/>
      </c>
      <c r="R160" s="1749" t="str">
        <f ca="1">IFERROR(VLOOKUP(表格1[[#This Row],[商品
代碼]],'銀行-TSS'!B:AH,33,FALSE),"")</f>
        <v>美元(USD)</v>
      </c>
      <c r="S160" s="1754">
        <f ca="1">IFERROR(VLOOKUP(B160,'銀行-TSS'!B:N,13,FALSE),"")</f>
        <v>10000</v>
      </c>
      <c r="T160" s="1754" t="str">
        <f ca="1">VLOOKUP(表格1[[#This Row],[商品
代碼]],'銀行-TSS'!B:AI,34,FALSE)</f>
        <v>自由選清單</v>
      </c>
      <c r="U160" s="1755" t="str">
        <f ca="1">IFERROR(VLOOKUP(B160,'銀行-TSS'!B:Q,16,FALSE),"")</f>
        <v>通訊</v>
      </c>
      <c r="V160" s="1755" t="str">
        <f ca="1">IFERROR(VLOOKUP(表格1[[#This Row],[商品
代碼]],'銀行-TSS'!B:AG,32,FALSE),"")</f>
        <v>固定</v>
      </c>
      <c r="W160" s="1756" t="str">
        <f>IFERROR(IFERROR(VLOOKUP(表格1[[#This Row],[商品
代碼]],'3_是否下架'!A:B,2,FALSE),VLOOKUP(表格1[[#This Row],[商品
代碼]],'銀行-TSS'!B:AK,36,FALSE)),"")</f>
        <v>已下架</v>
      </c>
      <c r="Y160" s="400"/>
      <c r="Z160" s="400"/>
      <c r="AA160" s="401"/>
    </row>
    <row r="161" spans="2:27" s="399" customFormat="1" ht="24.75" customHeight="1">
      <c r="B161" s="1745" t="s">
        <v>954</v>
      </c>
      <c r="C161" s="1745" t="str">
        <f ca="1">IFERROR(VLOOKUP(表格1[[#This Row],[商品
代碼]],'銀行-TSS'!B:V,21,FALSE),"")</f>
        <v>(NPI)非專投</v>
      </c>
      <c r="D161" s="1746" t="str">
        <f>IFERROR(VLOOKUP(表格1[[#This Row],[商品
代碼]],bond!B:F,5,FALSE),"")</f>
        <v>US00287YAV11</v>
      </c>
      <c r="E161" s="1746" t="str">
        <f ca="1">IFERROR(VLOOKUP(B161,'銀行-TSS'!B:D,3,FALSE),"")</f>
        <v>艾伯維藥品有限公司美元配息債券  4.3% 2036/5/14</v>
      </c>
      <c r="F161" s="1745" t="str">
        <f ca="1">IFERROR(VLOOKUP(B161,'銀行-TSS'!B:E,4,FALSE),"")</f>
        <v>A3 / A- / -</v>
      </c>
      <c r="G161" s="1747">
        <f ca="1">IFERROR(VLOOKUP(B161,'銀行-TSS'!B:G,6,FALSE),"")</f>
        <v>11.87</v>
      </c>
      <c r="H161" s="1748">
        <f ca="1">IFERROR(VLOOKUP(B161,'銀行-TSS'!B:H,7,FALSE),"")</f>
        <v>4.2999999999999997E-2</v>
      </c>
      <c r="I161" s="1745" t="str">
        <f ca="1">IFERROR(IF(表格1[[#This Row],[配息頻率]]=0,"",CHOOSE(表格1[[#This Row],[配息頻率]],MONTH(J161),IF(MONTH(J161)&lt;=6,CONCATENATE(MONTH(J161)," / ",MONTH(J161)+6),CONCATENATE(MONTH(J161)-6," / ",MONTH(J161))),0,"2 / 4 / 8 / 11")),"")</f>
        <v>5 / 11</v>
      </c>
      <c r="J161" s="1749" t="str">
        <f ca="1">IFERROR(VLOOKUP(B161,'銀行-TSS'!B:P,15,FALSE),"")</f>
        <v>2024/11/14</v>
      </c>
      <c r="K161" s="1750">
        <f ca="1">IFERROR(VLOOKUP(表格1[[#This Row],[商品
代碼]],'銀行-TSS'!B:I,8,FALSE),"")</f>
        <v>2</v>
      </c>
      <c r="L161" s="1747">
        <f ca="1">IFERROR(VLOOKUP(B161,'銀行-TSS'!B:K,10,FALSE),"")</f>
        <v>95.69</v>
      </c>
      <c r="M161" s="1745" t="str">
        <f ca="1">IF(表格1[[#This Row],[含息申購
參考價]]&gt;100,"溢價",IF(表格1[[#This Row],[含息申購
參考價]]&lt;100,"折價","平價"))</f>
        <v>折價</v>
      </c>
      <c r="N161" s="1751">
        <f ca="1">IFERROR(VLOOKUP(B161,'銀行-TSS'!B:M,12,FALSE),"")</f>
        <v>4.8399999999999999E-2</v>
      </c>
      <c r="O161" s="1752">
        <f ca="1">IFERROR(VLOOKUP(表格1[[#This Row],[商品
代碼]],'銀行-TSS'!B:AJ,35,FALSE),"")</f>
        <v>0</v>
      </c>
      <c r="P161" s="1753">
        <f ca="1">IFERROR(VLOOKUP(表格1[[#This Row],[商品
代碼]],'銀行-TSS'!B:AE,30,FALSE),"")</f>
        <v>4.8599999999999997E-2</v>
      </c>
      <c r="Q161" s="1749" t="str">
        <f ca="1">IFERROR(IF(VLOOKUP(表格1[[#This Row],[商品
代碼]],'銀行-TSS'!B:AM,38,FALSE)="#N/A Field Not Applicable","",VLOOKUP(表格1[[#This Row],[商品
代碼]],'銀行-TSS'!B:AM,38,FALSE)),"")</f>
        <v>2035/11/14</v>
      </c>
      <c r="R161" s="1749" t="str">
        <f ca="1">IFERROR(VLOOKUP(表格1[[#This Row],[商品
代碼]],'銀行-TSS'!B:AH,33,FALSE),"")</f>
        <v>美元(USD)</v>
      </c>
      <c r="S161" s="1754">
        <f ca="1">IFERROR(VLOOKUP(B161,'銀行-TSS'!B:N,13,FALSE),"")</f>
        <v>10000</v>
      </c>
      <c r="T161" s="1754" t="str">
        <f ca="1">VLOOKUP(表格1[[#This Row],[商品
代碼]],'銀行-TSS'!B:AI,34,FALSE)</f>
        <v>自由選清單</v>
      </c>
      <c r="U161" s="1755" t="str">
        <f ca="1">IFERROR(VLOOKUP(B161,'銀行-TSS'!B:Q,16,FALSE),"")</f>
        <v>醫療保健</v>
      </c>
      <c r="V161" s="1755" t="str">
        <f ca="1">IFERROR(VLOOKUP(表格1[[#This Row],[商品
代碼]],'銀行-TSS'!B:AG,32,FALSE),"")</f>
        <v>固定</v>
      </c>
      <c r="W161" s="1756" t="str">
        <f ca="1">IFERROR(IFERROR(VLOOKUP(表格1[[#This Row],[商品
代碼]],'3_是否下架'!A:B,2,FALSE),VLOOKUP(表格1[[#This Row],[商品
代碼]],'銀行-TSS'!B:AK,36,FALSE)),"")</f>
        <v>有</v>
      </c>
      <c r="Y161" s="400"/>
      <c r="Z161" s="400"/>
      <c r="AA161" s="401"/>
    </row>
    <row r="162" spans="2:27" s="399" customFormat="1" ht="24.75" customHeight="1">
      <c r="B162" s="1745" t="s">
        <v>575</v>
      </c>
      <c r="C162" s="1745" t="str">
        <f ca="1">IFERROR(VLOOKUP(表格1[[#This Row],[商品
代碼]],'銀行-TSS'!B:V,21,FALSE),"")</f>
        <v>(PI)專投</v>
      </c>
      <c r="D162" s="1746" t="str">
        <f>IFERROR(VLOOKUP(表格1[[#This Row],[商品
代碼]],bond!B:F,5,FALSE),"")</f>
        <v>US404280AG49</v>
      </c>
      <c r="E162" s="1746" t="str">
        <f ca="1">IFERROR(VLOOKUP(B162,'銀行-TSS'!B:D,3,FALSE),"")</f>
        <v>匯豐控股公司美元配息債券 6.5% 2036/5/2</v>
      </c>
      <c r="F162" s="1745" t="str">
        <f ca="1">IFERROR(VLOOKUP(B162,'銀行-TSS'!B:E,4,FALSE),"")</f>
        <v>Baa1 / BBB / A-</v>
      </c>
      <c r="G162" s="1747">
        <f ca="1">IFERROR(VLOOKUP(B162,'銀行-TSS'!B:G,6,FALSE),"")</f>
        <v>11.83</v>
      </c>
      <c r="H162" s="1748">
        <f ca="1">IFERROR(VLOOKUP(B162,'銀行-TSS'!B:H,7,FALSE),"")</f>
        <v>6.5000000000000002E-2</v>
      </c>
      <c r="I162" s="1745" t="str">
        <f ca="1">IFERROR(IF(表格1[[#This Row],[配息頻率]]=0,"",CHOOSE(表格1[[#This Row],[配息頻率]],MONTH(J162),IF(MONTH(J162)&lt;=6,CONCATENATE(MONTH(J162)," / ",MONTH(J162)+6),CONCATENATE(MONTH(J162)-6," / ",MONTH(J162))),0,"2 / 4 / 8 / 11")),"")</f>
        <v>5 / 11</v>
      </c>
      <c r="J162" s="1749" t="str">
        <f ca="1">IFERROR(VLOOKUP(B162,'銀行-TSS'!B:P,15,FALSE),"")</f>
        <v>2024/11/2</v>
      </c>
      <c r="K162" s="1750">
        <f ca="1">IFERROR(VLOOKUP(表格1[[#This Row],[商品
代碼]],'銀行-TSS'!B:I,8,FALSE),"")</f>
        <v>2</v>
      </c>
      <c r="L162" s="1747">
        <f ca="1">IFERROR(VLOOKUP(B162,'銀行-TSS'!B:K,10,FALSE),"")</f>
        <v>109.68</v>
      </c>
      <c r="M162" s="1745" t="str">
        <f ca="1">IF(表格1[[#This Row],[含息申購
參考價]]&gt;100,"溢價",IF(表格1[[#This Row],[含息申購
參考價]]&lt;100,"折價","平價"))</f>
        <v>溢價</v>
      </c>
      <c r="N162" s="1751">
        <f ca="1">IFERROR(VLOOKUP(B162,'銀行-TSS'!B:M,12,FALSE),"")</f>
        <v>5.5E-2</v>
      </c>
      <c r="O162" s="1752">
        <f ca="1">IFERROR(VLOOKUP(表格1[[#This Row],[商品
代碼]],'銀行-TSS'!B:AJ,35,FALSE),"")</f>
        <v>0</v>
      </c>
      <c r="P162" s="1753" t="str">
        <f ca="1">IFERROR(VLOOKUP(表格1[[#This Row],[商品
代碼]],'銀行-TSS'!B:AE,30,FALSE),"")</f>
        <v xml:space="preserve"> </v>
      </c>
      <c r="Q162" s="1749" t="str">
        <f ca="1">IFERROR(IF(VLOOKUP(表格1[[#This Row],[商品
代碼]],'銀行-TSS'!B:AM,38,FALSE)="#N/A Field Not Applicable","",VLOOKUP(表格1[[#This Row],[商品
代碼]],'銀行-TSS'!B:AM,38,FALSE)),"")</f>
        <v/>
      </c>
      <c r="R162" s="1749" t="str">
        <f ca="1">IFERROR(VLOOKUP(表格1[[#This Row],[商品
代碼]],'銀行-TSS'!B:AH,33,FALSE),"")</f>
        <v>美元(USD)</v>
      </c>
      <c r="S162" s="1754">
        <f ca="1">IFERROR(VLOOKUP(B162,'銀行-TSS'!B:N,13,FALSE),"")</f>
        <v>100000</v>
      </c>
      <c r="T162" s="1754" t="str">
        <f ca="1">VLOOKUP(表格1[[#This Row],[商品
代碼]],'銀行-TSS'!B:AI,34,FALSE)</f>
        <v>自由選清單</v>
      </c>
      <c r="U162" s="1755" t="str">
        <f ca="1">IFERROR(VLOOKUP(B162,'銀行-TSS'!B:Q,16,FALSE),"")</f>
        <v>金融</v>
      </c>
      <c r="V162" s="1755" t="str">
        <f ca="1">IFERROR(VLOOKUP(表格1[[#This Row],[商品
代碼]],'銀行-TSS'!B:AG,32,FALSE),"")</f>
        <v>固定</v>
      </c>
      <c r="W162" s="1756" t="str">
        <f ca="1">IFERROR(IFERROR(VLOOKUP(表格1[[#This Row],[商品
代碼]],'3_是否下架'!A:B,2,FALSE),VLOOKUP(表格1[[#This Row],[商品
代碼]],'銀行-TSS'!B:AK,36,FALSE)),"")</f>
        <v>有</v>
      </c>
      <c r="Y162" s="400"/>
      <c r="Z162" s="400"/>
      <c r="AA162" s="401"/>
    </row>
    <row r="163" spans="2:27" s="399" customFormat="1" ht="24.75" customHeight="1">
      <c r="B163" s="1745" t="s">
        <v>714</v>
      </c>
      <c r="C163" s="1745" t="str">
        <f ca="1">IFERROR(VLOOKUP(表格1[[#This Row],[商品
代碼]],'銀行-TSS'!B:V,21,FALSE),"")</f>
        <v>(PI)專投</v>
      </c>
      <c r="D163" s="1746" t="str">
        <f>IFERROR(VLOOKUP(表格1[[#This Row],[商品
代碼]],bond!B:F,5,FALSE),"")</f>
        <v>US925524AX89</v>
      </c>
      <c r="E163" s="1746" t="str">
        <f ca="1">IFERROR(VLOOKUP(B163,'銀行-TSS'!B:D,3,FALSE),"")</f>
        <v>派拉蒙全球公司美元配息債券6.875%  2036/4/30</v>
      </c>
      <c r="F163" s="1745" t="str">
        <f ca="1">IFERROR(VLOOKUP(B163,'銀行-TSS'!B:E,4,FALSE),"")</f>
        <v>Baa3 / BB+ / BBB-</v>
      </c>
      <c r="G163" s="1747">
        <f ca="1">IFERROR(VLOOKUP(B163,'銀行-TSS'!B:G,6,FALSE),"")</f>
        <v>11.83</v>
      </c>
      <c r="H163" s="1748">
        <f ca="1">IFERROR(VLOOKUP(B163,'銀行-TSS'!B:H,7,FALSE),"")</f>
        <v>6.8750000000000006E-2</v>
      </c>
      <c r="I163" s="1745" t="str">
        <f ca="1">IFERROR(IF(表格1[[#This Row],[配息頻率]]=0,"",CHOOSE(表格1[[#This Row],[配息頻率]],MONTH(J163),IF(MONTH(J163)&lt;=6,CONCATENATE(MONTH(J163)," / ",MONTH(J163)+6),CONCATENATE(MONTH(J163)-6," / ",MONTH(J163))),0,"2 / 4 / 8 / 11")),"")</f>
        <v>4 / 10</v>
      </c>
      <c r="J163" s="1749" t="str">
        <f ca="1">IFERROR(VLOOKUP(B163,'銀行-TSS'!B:P,15,FALSE),"")</f>
        <v>2024/10/30</v>
      </c>
      <c r="K163" s="1750">
        <f ca="1">IFERROR(VLOOKUP(表格1[[#This Row],[商品
代碼]],'銀行-TSS'!B:I,8,FALSE),"")</f>
        <v>2</v>
      </c>
      <c r="L163" s="1747">
        <f ca="1">IFERROR(VLOOKUP(B163,'銀行-TSS'!B:K,10,FALSE),"")</f>
        <v>98.94</v>
      </c>
      <c r="M163" s="1745" t="str">
        <f ca="1">IF(表格1[[#This Row],[含息申購
參考價]]&gt;100,"溢價",IF(表格1[[#This Row],[含息申購
參考價]]&lt;100,"折價","平價"))</f>
        <v>折價</v>
      </c>
      <c r="N163" s="1751">
        <f ca="1">IFERROR(VLOOKUP(B163,'銀行-TSS'!B:M,12,FALSE),"")</f>
        <v>7.1599999999999997E-2</v>
      </c>
      <c r="O163" s="1752">
        <f ca="1">IFERROR(VLOOKUP(表格1[[#This Row],[商品
代碼]],'銀行-TSS'!B:AJ,35,FALSE),"")</f>
        <v>0</v>
      </c>
      <c r="P163" s="1753" t="str">
        <f ca="1">IFERROR(VLOOKUP(表格1[[#This Row],[商品
代碼]],'銀行-TSS'!B:AE,30,FALSE),"")</f>
        <v xml:space="preserve"> </v>
      </c>
      <c r="Q163" s="1749" t="str">
        <f ca="1">IFERROR(IF(VLOOKUP(表格1[[#This Row],[商品
代碼]],'銀行-TSS'!B:AM,38,FALSE)="#N/A Field Not Applicable","",VLOOKUP(表格1[[#This Row],[商品
代碼]],'銀行-TSS'!B:AM,38,FALSE)),"")</f>
        <v/>
      </c>
      <c r="R163" s="1749" t="str">
        <f ca="1">IFERROR(VLOOKUP(表格1[[#This Row],[商品
代碼]],'銀行-TSS'!B:AH,33,FALSE),"")</f>
        <v>美元(USD)</v>
      </c>
      <c r="S163" s="1754">
        <f ca="1">IFERROR(VLOOKUP(B163,'銀行-TSS'!B:N,13,FALSE),"")</f>
        <v>10000</v>
      </c>
      <c r="T163" s="1754" t="str">
        <f ca="1">VLOOKUP(表格1[[#This Row],[商品
代碼]],'銀行-TSS'!B:AI,34,FALSE)</f>
        <v>自由選清單</v>
      </c>
      <c r="U163" s="1755" t="str">
        <f ca="1">IFERROR(VLOOKUP(B163,'銀行-TSS'!B:Q,16,FALSE),"")</f>
        <v>通訊</v>
      </c>
      <c r="V163" s="1755" t="str">
        <f ca="1">IFERROR(VLOOKUP(表格1[[#This Row],[商品
代碼]],'銀行-TSS'!B:AG,32,FALSE),"")</f>
        <v>固定</v>
      </c>
      <c r="W163" s="1756" t="str">
        <f ca="1">IFERROR(IFERROR(VLOOKUP(表格1[[#This Row],[商品
代碼]],'3_是否下架'!A:B,2,FALSE),VLOOKUP(表格1[[#This Row],[商品
代碼]],'銀行-TSS'!B:AK,36,FALSE)),"")</f>
        <v>有</v>
      </c>
      <c r="Y163" s="400"/>
      <c r="Z163" s="400"/>
      <c r="AA163" s="401"/>
    </row>
    <row r="164" spans="2:27" s="399" customFormat="1" ht="24.75" customHeight="1">
      <c r="B164" s="1745" t="s">
        <v>1800</v>
      </c>
      <c r="C164" s="1745" t="str">
        <f ca="1">IFERROR(VLOOKUP(表格1[[#This Row],[商品
代碼]],'銀行-TSS'!B:V,21,FALSE),"")</f>
        <v>(NPI)非專投</v>
      </c>
      <c r="D164" s="1746" t="str">
        <f>IFERROR(VLOOKUP(表格1[[#This Row],[商品
代碼]],bond!B:F,5,FALSE),"")</f>
        <v>US91324PAR38</v>
      </c>
      <c r="E164" s="1746" t="str">
        <f ca="1">IFERROR(VLOOKUP(B164,'銀行-TSS'!B:D,3,FALSE),"")</f>
        <v>聯合健康集團美元配息債券 5.8% 2036/3/15</v>
      </c>
      <c r="F164" s="1745" t="str">
        <f ca="1">IFERROR(VLOOKUP(B164,'銀行-TSS'!B:E,4,FALSE),"")</f>
        <v>A2 / A+ / A</v>
      </c>
      <c r="G164" s="1747">
        <f ca="1">IFERROR(VLOOKUP(B164,'銀行-TSS'!B:G,6,FALSE),"")</f>
        <v>11.7</v>
      </c>
      <c r="H164" s="1748">
        <f ca="1">IFERROR(VLOOKUP(B164,'銀行-TSS'!B:H,7,FALSE),"")</f>
        <v>5.7999999999999996E-2</v>
      </c>
      <c r="I164" s="1745" t="str">
        <f ca="1">IFERROR(IF(表格1[[#This Row],[配息頻率]]=0,"",CHOOSE(表格1[[#This Row],[配息頻率]],MONTH(J164),IF(MONTH(J164)&lt;=6,CONCATENATE(MONTH(J164)," / ",MONTH(J164)+6),CONCATENATE(MONTH(J164)-6," / ",MONTH(J164))),0,"2 / 4 / 8 / 11")),"")</f>
        <v>3 / 9</v>
      </c>
      <c r="J164" s="1749" t="str">
        <f ca="1">IFERROR(VLOOKUP(B164,'銀行-TSS'!B:P,15,FALSE),"")</f>
        <v>2024/9/15</v>
      </c>
      <c r="K164" s="1750">
        <f ca="1">IFERROR(VLOOKUP(表格1[[#This Row],[商品
代碼]],'銀行-TSS'!B:I,8,FALSE),"")</f>
        <v>2</v>
      </c>
      <c r="L164" s="1747">
        <f ca="1">IFERROR(VLOOKUP(B164,'銀行-TSS'!B:K,10,FALSE),"")</f>
        <v>109.03</v>
      </c>
      <c r="M164" s="1745" t="str">
        <f ca="1">IF(表格1[[#This Row],[含息申購
參考價]]&gt;100,"溢價",IF(表格1[[#This Row],[含息申購
參考價]]&lt;100,"折價","平價"))</f>
        <v>溢價</v>
      </c>
      <c r="N164" s="1751">
        <f ca="1">IFERROR(VLOOKUP(B164,'銀行-TSS'!B:M,12,FALSE),"")</f>
        <v>4.9700000000000001E-2</v>
      </c>
      <c r="O164" s="1752">
        <f ca="1">IFERROR(VLOOKUP(表格1[[#This Row],[商品
代碼]],'銀行-TSS'!B:AJ,35,FALSE),"")</f>
        <v>0</v>
      </c>
      <c r="P164" s="1753" t="str">
        <f ca="1">IFERROR(VLOOKUP(表格1[[#This Row],[商品
代碼]],'銀行-TSS'!B:AE,30,FALSE),"")</f>
        <v xml:space="preserve"> </v>
      </c>
      <c r="Q164" s="1749" t="str">
        <f ca="1">IFERROR(IF(VLOOKUP(表格1[[#This Row],[商品
代碼]],'銀行-TSS'!B:AM,38,FALSE)="#N/A Field Not Applicable","",VLOOKUP(表格1[[#This Row],[商品
代碼]],'銀行-TSS'!B:AM,38,FALSE)),"")</f>
        <v/>
      </c>
      <c r="R164" s="1749" t="str">
        <f ca="1">IFERROR(VLOOKUP(表格1[[#This Row],[商品
代碼]],'銀行-TSS'!B:AH,33,FALSE),"")</f>
        <v>美元(USD)</v>
      </c>
      <c r="S164" s="1754">
        <f ca="1">IFERROR(VLOOKUP(B164,'銀行-TSS'!B:N,13,FALSE),"")</f>
        <v>10000</v>
      </c>
      <c r="T164" s="1754" t="str">
        <f ca="1">VLOOKUP(表格1[[#This Row],[商品
代碼]],'銀行-TSS'!B:AI,34,FALSE)</f>
        <v>自由選清單</v>
      </c>
      <c r="U164" s="1755" t="str">
        <f ca="1">IFERROR(VLOOKUP(B164,'銀行-TSS'!B:Q,16,FALSE),"")</f>
        <v>醫療保健</v>
      </c>
      <c r="V164" s="1755" t="str">
        <f ca="1">IFERROR(VLOOKUP(表格1[[#This Row],[商品
代碼]],'銀行-TSS'!B:AG,32,FALSE),"")</f>
        <v>固定</v>
      </c>
      <c r="W164" s="1756" t="str">
        <f ca="1">IFERROR(IFERROR(VLOOKUP(表格1[[#This Row],[商品
代碼]],'3_是否下架'!A:B,2,FALSE),VLOOKUP(表格1[[#This Row],[商品
代碼]],'銀行-TSS'!B:AK,36,FALSE)),"")</f>
        <v>有</v>
      </c>
      <c r="Y164" s="400"/>
      <c r="Z164" s="400"/>
      <c r="AA164" s="401"/>
    </row>
    <row r="165" spans="2:27" s="399" customFormat="1" ht="24.75" customHeight="1">
      <c r="B165" s="1745" t="s">
        <v>1803</v>
      </c>
      <c r="C165" s="1745" t="str">
        <f ca="1">IFERROR(VLOOKUP(表格1[[#This Row],[商品
代碼]],'銀行-TSS'!B:V,21,FALSE),"")</f>
        <v>(NPI)非專投</v>
      </c>
      <c r="D165" s="1746" t="str">
        <f>IFERROR(VLOOKUP(表格1[[#This Row],[商品
代碼]],bond!B:F,5,FALSE),"")</f>
        <v>US912810FT08</v>
      </c>
      <c r="E165" s="1746" t="str">
        <f ca="1">IFERROR(VLOOKUP(B165,'銀行-TSS'!B:D,3,FALSE),"")</f>
        <v>美國政府債券 4.5% 2036/2/15</v>
      </c>
      <c r="F165" s="1745" t="str">
        <f ca="1">IFERROR(VLOOKUP(B165,'銀行-TSS'!B:E,4,FALSE),"")</f>
        <v>Aaa / - / AA+u</v>
      </c>
      <c r="G165" s="1747">
        <f ca="1">IFERROR(VLOOKUP(B165,'銀行-TSS'!B:G,6,FALSE),"")</f>
        <v>11.62</v>
      </c>
      <c r="H165" s="1748">
        <f ca="1">IFERROR(VLOOKUP(B165,'銀行-TSS'!B:H,7,FALSE),"")</f>
        <v>4.4999999999999998E-2</v>
      </c>
      <c r="I165" s="1745" t="str">
        <f ca="1">IFERROR(IF(表格1[[#This Row],[配息頻率]]=0,"",CHOOSE(表格1[[#This Row],[配息頻率]],MONTH(J165),IF(MONTH(J165)&lt;=6,CONCATENATE(MONTH(J165)," / ",MONTH(J165)+6),CONCATENATE(MONTH(J165)-6," / ",MONTH(J165))),0,"2 / 4 / 8 / 11")),"")</f>
        <v>2 / 8</v>
      </c>
      <c r="J165" s="1749" t="str">
        <f ca="1">IFERROR(VLOOKUP(B165,'銀行-TSS'!B:P,15,FALSE),"")</f>
        <v>2024/8/15</v>
      </c>
      <c r="K165" s="1750">
        <f ca="1">IFERROR(VLOOKUP(表格1[[#This Row],[商品
代碼]],'銀行-TSS'!B:I,8,FALSE),"")</f>
        <v>2</v>
      </c>
      <c r="L165" s="1747">
        <f ca="1">IFERROR(VLOOKUP(B165,'銀行-TSS'!B:K,10,FALSE),"")</f>
        <v>105.7</v>
      </c>
      <c r="M165" s="1745" t="str">
        <f ca="1">IF(表格1[[#This Row],[含息申購
參考價]]&gt;100,"溢價",IF(表格1[[#This Row],[含息申購
參考價]]&lt;100,"折價","平價"))</f>
        <v>溢價</v>
      </c>
      <c r="N165" s="1751">
        <f ca="1">IFERROR(VLOOKUP(B165,'銀行-TSS'!B:M,12,FALSE),"")</f>
        <v>4.07E-2</v>
      </c>
      <c r="O165" s="1752">
        <f ca="1">IFERROR(VLOOKUP(表格1[[#This Row],[商品
代碼]],'銀行-TSS'!B:AJ,35,FALSE),"")</f>
        <v>0</v>
      </c>
      <c r="P165" s="1753" t="str">
        <f ca="1">IFERROR(VLOOKUP(表格1[[#This Row],[商品
代碼]],'銀行-TSS'!B:AE,30,FALSE),"")</f>
        <v xml:space="preserve"> </v>
      </c>
      <c r="Q165" s="1749" t="str">
        <f ca="1">IFERROR(IF(VLOOKUP(表格1[[#This Row],[商品
代碼]],'銀行-TSS'!B:AM,38,FALSE)="#N/A Field Not Applicable","",VLOOKUP(表格1[[#This Row],[商品
代碼]],'銀行-TSS'!B:AM,38,FALSE)),"")</f>
        <v/>
      </c>
      <c r="R165" s="1749" t="str">
        <f ca="1">IFERROR(VLOOKUP(表格1[[#This Row],[商品
代碼]],'銀行-TSS'!B:AH,33,FALSE),"")</f>
        <v>美元(USD)</v>
      </c>
      <c r="S165" s="1754">
        <f ca="1">IFERROR(VLOOKUP(B165,'銀行-TSS'!B:N,13,FALSE),"")</f>
        <v>10000</v>
      </c>
      <c r="T165" s="1754" t="str">
        <f ca="1">VLOOKUP(表格1[[#This Row],[商品
代碼]],'銀行-TSS'!B:AI,34,FALSE)</f>
        <v>自由選清單</v>
      </c>
      <c r="U165" s="1755" t="str">
        <f ca="1">IFERROR(VLOOKUP(B165,'銀行-TSS'!B:Q,16,FALSE),"")</f>
        <v>政府</v>
      </c>
      <c r="V165" s="1755" t="str">
        <f ca="1">IFERROR(VLOOKUP(表格1[[#This Row],[商品
代碼]],'銀行-TSS'!B:AG,32,FALSE),"")</f>
        <v>固定</v>
      </c>
      <c r="W165" s="1756" t="str">
        <f ca="1">IFERROR(IFERROR(VLOOKUP(表格1[[#This Row],[商品
代碼]],'3_是否下架'!A:B,2,FALSE),VLOOKUP(表格1[[#This Row],[商品
代碼]],'銀行-TSS'!B:AK,36,FALSE)),"")</f>
        <v>有</v>
      </c>
      <c r="Y165" s="400"/>
      <c r="Z165" s="400"/>
      <c r="AA165" s="401"/>
    </row>
    <row r="166" spans="2:27" s="399" customFormat="1" ht="24.75" customHeight="1">
      <c r="B166" s="1745" t="s">
        <v>2183</v>
      </c>
      <c r="C166" s="1745" t="str">
        <f ca="1">IFERROR(VLOOKUP(表格1[[#This Row],[商品
代碼]],'銀行-TSS'!B:V,21,FALSE),"")</f>
        <v>(NPI)非專投</v>
      </c>
      <c r="D166" s="1746" t="str">
        <f>IFERROR(VLOOKUP(表格1[[#This Row],[商品
代碼]],bond!B:F,5,FALSE),"")</f>
        <v>US92826CAE21</v>
      </c>
      <c r="E166" s="1746" t="str">
        <f ca="1">IFERROR(VLOOKUP(B166,'銀行-TSS'!B:D,3,FALSE),"")</f>
        <v>威士卡公司美元配息債券 4.15% 2035/12/14</v>
      </c>
      <c r="F166" s="1745" t="str">
        <f ca="1">IFERROR(VLOOKUP(B166,'銀行-TSS'!B:E,4,FALSE),"")</f>
        <v>Aa3 / AA- / -</v>
      </c>
      <c r="G166" s="1747">
        <f ca="1">IFERROR(VLOOKUP(B166,'銀行-TSS'!B:G,6,FALSE),"")</f>
        <v>11.45</v>
      </c>
      <c r="H166" s="1748">
        <f ca="1">IFERROR(VLOOKUP(B166,'銀行-TSS'!B:H,7,FALSE),"")</f>
        <v>4.1500000000000002E-2</v>
      </c>
      <c r="I166" s="1745" t="str">
        <f ca="1">IFERROR(IF(表格1[[#This Row],[配息頻率]]=0,"",CHOOSE(表格1[[#This Row],[配息頻率]],MONTH(J166),IF(MONTH(J166)&lt;=6,CONCATENATE(MONTH(J166)," / ",MONTH(J166)+6),CONCATENATE(MONTH(J166)-6," / ",MONTH(J166))),0,"2 / 4 / 8 / 11")),"")</f>
        <v>6 / 12</v>
      </c>
      <c r="J166" s="1749" t="str">
        <f ca="1">IFERROR(VLOOKUP(B166,'銀行-TSS'!B:P,15,FALSE),"")</f>
        <v>2024/12/14</v>
      </c>
      <c r="K166" s="1750">
        <f ca="1">IFERROR(VLOOKUP(表格1[[#This Row],[商品
代碼]],'銀行-TSS'!B:I,8,FALSE),"")</f>
        <v>2</v>
      </c>
      <c r="L166" s="1747">
        <f ca="1">IFERROR(VLOOKUP(B166,'銀行-TSS'!B:K,10,FALSE),"")</f>
        <v>96.12</v>
      </c>
      <c r="M166" s="1745" t="str">
        <f ca="1">IF(表格1[[#This Row],[含息申購
參考價]]&gt;100,"溢價",IF(表格1[[#This Row],[含息申購
參考價]]&lt;100,"折價","平價"))</f>
        <v>折價</v>
      </c>
      <c r="N166" s="1751">
        <f ca="1">IFERROR(VLOOKUP(B166,'銀行-TSS'!B:M,12,FALSE),"")</f>
        <v>4.6100000000000002E-2</v>
      </c>
      <c r="O166" s="1752">
        <f ca="1">IFERROR(VLOOKUP(表格1[[#This Row],[商品
代碼]],'銀行-TSS'!B:AJ,35,FALSE),"")</f>
        <v>0</v>
      </c>
      <c r="P166" s="1753">
        <f ca="1">IFERROR(VLOOKUP(表格1[[#This Row],[商品
代碼]],'銀行-TSS'!B:AE,30,FALSE),"")</f>
        <v>4.6300000000000001E-2</v>
      </c>
      <c r="Q166" s="1749" t="str">
        <f ca="1">IFERROR(IF(VLOOKUP(表格1[[#This Row],[商品
代碼]],'銀行-TSS'!B:AM,38,FALSE)="#N/A Field Not Applicable","",VLOOKUP(表格1[[#This Row],[商品
代碼]],'銀行-TSS'!B:AM,38,FALSE)),"")</f>
        <v>2035/6/14</v>
      </c>
      <c r="R166" s="1749" t="str">
        <f ca="1">IFERROR(VLOOKUP(表格1[[#This Row],[商品
代碼]],'銀行-TSS'!B:AH,33,FALSE),"")</f>
        <v>美元(USD)</v>
      </c>
      <c r="S166" s="1754">
        <f ca="1">IFERROR(VLOOKUP(B166,'銀行-TSS'!B:N,13,FALSE),"")</f>
        <v>10000</v>
      </c>
      <c r="T166" s="1754" t="str">
        <f ca="1">VLOOKUP(表格1[[#This Row],[商品
代碼]],'銀行-TSS'!B:AI,34,FALSE)</f>
        <v>自由選清單</v>
      </c>
      <c r="U166" s="1755" t="str">
        <f ca="1">IFERROR(VLOOKUP(B166,'銀行-TSS'!B:Q,16,FALSE),"")</f>
        <v>金融</v>
      </c>
      <c r="V166" s="1755" t="str">
        <f ca="1">IFERROR(VLOOKUP(表格1[[#This Row],[商品
代碼]],'銀行-TSS'!B:AG,32,FALSE),"")</f>
        <v>固定</v>
      </c>
      <c r="W166" s="1756" t="str">
        <f ca="1">IFERROR(IFERROR(VLOOKUP(表格1[[#This Row],[商品
代碼]],'3_是否下架'!A:B,2,FALSE),VLOOKUP(表格1[[#This Row],[商品
代碼]],'銀行-TSS'!B:AK,36,FALSE)),"")</f>
        <v>有</v>
      </c>
      <c r="Y166" s="400"/>
      <c r="Z166" s="400"/>
      <c r="AA166" s="401"/>
    </row>
    <row r="167" spans="2:27" s="399" customFormat="1" ht="24.75" customHeight="1">
      <c r="B167" s="1745" t="s">
        <v>697</v>
      </c>
      <c r="C167" s="1745" t="str">
        <f ca="1">IFERROR(VLOOKUP(表格1[[#This Row],[商品
代碼]],'銀行-TSS'!B:V,21,FALSE),"")</f>
        <v>(PI)專投</v>
      </c>
      <c r="D167" s="1746" t="str">
        <f>IFERROR(VLOOKUP(表格1[[#This Row],[商品
代碼]],bond!B:F,5,FALSE),"")</f>
        <v>USY20721AE96</v>
      </c>
      <c r="E167" s="1746" t="str">
        <f ca="1">IFERROR(VLOOKUP(B167,'銀行-TSS'!B:D,3,FALSE),"")</f>
        <v>印尼政府美元配息債券 8.5% 2035/10/12</v>
      </c>
      <c r="F167" s="1745" t="str">
        <f ca="1">IFERROR(VLOOKUP(B167,'銀行-TSS'!B:E,4,FALSE),"")</f>
        <v>Baa2 / BBB / BBB</v>
      </c>
      <c r="G167" s="1747">
        <f ca="1">IFERROR(VLOOKUP(B167,'銀行-TSS'!B:G,6,FALSE),"")</f>
        <v>11.28</v>
      </c>
      <c r="H167" s="1748">
        <f ca="1">IFERROR(VLOOKUP(B167,'銀行-TSS'!B:H,7,FALSE),"")</f>
        <v>8.5000000000000006E-2</v>
      </c>
      <c r="I167" s="1745" t="str">
        <f ca="1">IFERROR(IF(表格1[[#This Row],[配息頻率]]=0,"",CHOOSE(表格1[[#This Row],[配息頻率]],MONTH(J167),IF(MONTH(J167)&lt;=6,CONCATENATE(MONTH(J167)," / ",MONTH(J167)+6),CONCATENATE(MONTH(J167)-6," / ",MONTH(J167))),0,"2 / 4 / 8 / 11")),"")</f>
        <v>4 / 10</v>
      </c>
      <c r="J167" s="1749" t="str">
        <f ca="1">IFERROR(VLOOKUP(B167,'銀行-TSS'!B:P,15,FALSE),"")</f>
        <v>2024/10/12</v>
      </c>
      <c r="K167" s="1750">
        <f ca="1">IFERROR(VLOOKUP(表格1[[#This Row],[商品
代碼]],'銀行-TSS'!B:I,8,FALSE),"")</f>
        <v>2</v>
      </c>
      <c r="L167" s="1747">
        <f ca="1">IFERROR(VLOOKUP(B167,'銀行-TSS'!B:K,10,FALSE),"")</f>
        <v>132.18</v>
      </c>
      <c r="M167" s="1745" t="str">
        <f ca="1">IF(表格1[[#This Row],[含息申購
參考價]]&gt;100,"溢價",IF(表格1[[#This Row],[含息申購
參考價]]&lt;100,"折價","平價"))</f>
        <v>溢價</v>
      </c>
      <c r="N167" s="1751">
        <f ca="1">IFERROR(VLOOKUP(B167,'銀行-TSS'!B:M,12,FALSE),"")</f>
        <v>4.9599999999999998E-2</v>
      </c>
      <c r="O167" s="1752">
        <f ca="1">IFERROR(VLOOKUP(表格1[[#This Row],[商品
代碼]],'銀行-TSS'!B:AJ,35,FALSE),"")</f>
        <v>0</v>
      </c>
      <c r="P167" s="1753" t="str">
        <f ca="1">IFERROR(VLOOKUP(表格1[[#This Row],[商品
代碼]],'銀行-TSS'!B:AE,30,FALSE),"")</f>
        <v xml:space="preserve"> </v>
      </c>
      <c r="Q167" s="1749" t="str">
        <f ca="1">IFERROR(IF(VLOOKUP(表格1[[#This Row],[商品
代碼]],'銀行-TSS'!B:AM,38,FALSE)="#N/A Field Not Applicable","",VLOOKUP(表格1[[#This Row],[商品
代碼]],'銀行-TSS'!B:AM,38,FALSE)),"")</f>
        <v/>
      </c>
      <c r="R167" s="1749" t="str">
        <f ca="1">IFERROR(VLOOKUP(表格1[[#This Row],[商品
代碼]],'銀行-TSS'!B:AH,33,FALSE),"")</f>
        <v>美元(USD)</v>
      </c>
      <c r="S167" s="1754">
        <f ca="1">IFERROR(VLOOKUP(B167,'銀行-TSS'!B:N,13,FALSE),"")</f>
        <v>100000</v>
      </c>
      <c r="T167" s="1754" t="str">
        <f ca="1">VLOOKUP(表格1[[#This Row],[商品
代碼]],'銀行-TSS'!B:AI,34,FALSE)</f>
        <v>自由選清單</v>
      </c>
      <c r="U167" s="1755" t="str">
        <f ca="1">IFERROR(VLOOKUP(B167,'銀行-TSS'!B:Q,16,FALSE),"")</f>
        <v>政府</v>
      </c>
      <c r="V167" s="1755" t="str">
        <f ca="1">IFERROR(VLOOKUP(表格1[[#This Row],[商品
代碼]],'銀行-TSS'!B:AG,32,FALSE),"")</f>
        <v>固定</v>
      </c>
      <c r="W167" s="1756" t="str">
        <f ca="1">IFERROR(IFERROR(VLOOKUP(表格1[[#This Row],[商品
代碼]],'3_是否下架'!A:B,2,FALSE),VLOOKUP(表格1[[#This Row],[商品
代碼]],'銀行-TSS'!B:AK,36,FALSE)),"")</f>
        <v>有</v>
      </c>
      <c r="Y167" s="400"/>
      <c r="Z167" s="400"/>
      <c r="AA167" s="401"/>
    </row>
    <row r="168" spans="2:27" s="399" customFormat="1" ht="24.75" customHeight="1">
      <c r="B168" s="1745" t="s">
        <v>657</v>
      </c>
      <c r="C168" s="1745" t="str">
        <f ca="1">IFERROR(VLOOKUP(表格1[[#This Row],[商品
代碼]],'銀行-TSS'!B:V,21,FALSE),"")</f>
        <v>(NPI)非專投</v>
      </c>
      <c r="D168" s="1746" t="str">
        <f>IFERROR(VLOOKUP(表格1[[#This Row],[商品
代碼]],bond!B:F,5,FALSE),"")</f>
        <v>XS1238805102</v>
      </c>
      <c r="E168" s="1746" t="str">
        <f ca="1">IFERROR(VLOOKUP(B168,'銀行-TSS'!B:D,3,FALSE),"")</f>
        <v>國際復興開發銀行南非幣零息債券 0% 2035/5/29</v>
      </c>
      <c r="F168" s="1745" t="str">
        <f ca="1">IFERROR(VLOOKUP(B168,'銀行-TSS'!B:E,4,FALSE),"")</f>
        <v>Aaa / - / -</v>
      </c>
      <c r="G168" s="1747">
        <f ca="1">IFERROR(VLOOKUP(B168,'銀行-TSS'!B:G,6,FALSE),"")</f>
        <v>10.9</v>
      </c>
      <c r="H168" s="1748">
        <f ca="1">IFERROR(VLOOKUP(B168,'銀行-TSS'!B:H,7,FALSE),"")</f>
        <v>0</v>
      </c>
      <c r="I168" s="1745" t="str">
        <f ca="1">IFERROR(IF(表格1[[#This Row],[配息頻率]]=0,"",CHOOSE(表格1[[#This Row],[配息頻率]],MONTH(J168),IF(MONTH(J168)&lt;=6,CONCATENATE(MONTH(J168)," / ",MONTH(J168)+6),CONCATENATE(MONTH(J168)-6," / ",MONTH(J168))),0,"2 / 4 / 8 / 11")),"")</f>
        <v/>
      </c>
      <c r="J168" s="1749" t="str">
        <f ca="1">IFERROR(VLOOKUP(B168,'銀行-TSS'!B:P,15,FALSE),"")</f>
        <v>#N/A Field Not Applicable</v>
      </c>
      <c r="K168" s="1750">
        <f ca="1">IFERROR(VLOOKUP(表格1[[#This Row],[商品
代碼]],'銀行-TSS'!B:I,8,FALSE),"")</f>
        <v>0</v>
      </c>
      <c r="L168" s="1747">
        <f ca="1">IFERROR(VLOOKUP(B168,'銀行-TSS'!B:K,10,FALSE),"")</f>
        <v>37.659999999999997</v>
      </c>
      <c r="M168" s="1745" t="str">
        <f ca="1">IF(表格1[[#This Row],[含息申購
參考價]]&gt;100,"溢價",IF(表格1[[#This Row],[含息申購
參考價]]&lt;100,"折價","平價"))</f>
        <v>折價</v>
      </c>
      <c r="N168" s="1751">
        <f ca="1">IFERROR(VLOOKUP(B168,'銀行-TSS'!B:M,12,FALSE),"")</f>
        <v>9.3700000000000006E-2</v>
      </c>
      <c r="O168" s="1752">
        <f ca="1">IFERROR(VLOOKUP(表格1[[#This Row],[商品
代碼]],'銀行-TSS'!B:AJ,35,FALSE),"")</f>
        <v>1</v>
      </c>
      <c r="P168" s="1753" t="str">
        <f ca="1">IFERROR(VLOOKUP(表格1[[#This Row],[商品
代碼]],'銀行-TSS'!B:AE,30,FALSE),"")</f>
        <v xml:space="preserve"> </v>
      </c>
      <c r="Q168" s="1749" t="str">
        <f ca="1">IFERROR(IF(VLOOKUP(表格1[[#This Row],[商品
代碼]],'銀行-TSS'!B:AM,38,FALSE)="#N/A Field Not Applicable","",VLOOKUP(表格1[[#This Row],[商品
代碼]],'銀行-TSS'!B:AM,38,FALSE)),"")</f>
        <v/>
      </c>
      <c r="R168" s="1749" t="str">
        <f ca="1">IFERROR(VLOOKUP(表格1[[#This Row],[商品
代碼]],'銀行-TSS'!B:AH,33,FALSE),"")</f>
        <v>南非幣(ZAR)</v>
      </c>
      <c r="S168" s="1754">
        <f ca="1">IFERROR(VLOOKUP(B168,'銀行-TSS'!B:N,13,FALSE),"")</f>
        <v>100000</v>
      </c>
      <c r="T168" s="1754" t="str">
        <f ca="1">VLOOKUP(表格1[[#This Row],[商品
代碼]],'銀行-TSS'!B:AI,34,FALSE)</f>
        <v/>
      </c>
      <c r="U168" s="1755" t="str">
        <f ca="1">IFERROR(VLOOKUP(B168,'銀行-TSS'!B:Q,16,FALSE),"")</f>
        <v>政府</v>
      </c>
      <c r="V168" s="1755" t="str">
        <f ca="1">IFERROR(VLOOKUP(表格1[[#This Row],[商品
代碼]],'銀行-TSS'!B:AG,32,FALSE),"")</f>
        <v>零息</v>
      </c>
      <c r="W168" s="1756" t="str">
        <f ca="1">IFERROR(IFERROR(VLOOKUP(表格1[[#This Row],[商品
代碼]],'3_是否下架'!A:B,2,FALSE),VLOOKUP(表格1[[#This Row],[商品
代碼]],'銀行-TSS'!B:AK,36,FALSE)),"")</f>
        <v>有</v>
      </c>
      <c r="Y168" s="400"/>
      <c r="Z168" s="400"/>
      <c r="AA168" s="401"/>
    </row>
    <row r="169" spans="2:27" s="399" customFormat="1" ht="24.75" customHeight="1">
      <c r="B169" s="1745" t="s">
        <v>1184</v>
      </c>
      <c r="C169" s="1745" t="str">
        <f ca="1">IFERROR(VLOOKUP(表格1[[#This Row],[商品
代碼]],'銀行-TSS'!B:V,21,FALSE),"")</f>
        <v>(NPI)非專投</v>
      </c>
      <c r="D169" s="1746" t="str">
        <f>IFERROR(VLOOKUP(表格1[[#This Row],[商品
代碼]],bond!B:F,5,FALSE),"")</f>
        <v>US747525AJ27</v>
      </c>
      <c r="E169" s="1746" t="str">
        <f ca="1">IFERROR(VLOOKUP(B169,'銀行-TSS'!B:D,3,FALSE),"")</f>
        <v>高通公司美元配息債券 4.65% 2035/5/20</v>
      </c>
      <c r="F169" s="1745" t="str">
        <f ca="1">IFERROR(VLOOKUP(B169,'銀行-TSS'!B:E,4,FALSE),"")</f>
        <v>A2 / A / -</v>
      </c>
      <c r="G169" s="1747">
        <f ca="1">IFERROR(VLOOKUP(B169,'銀行-TSS'!B:G,6,FALSE),"")</f>
        <v>10.88</v>
      </c>
      <c r="H169" s="1748">
        <f ca="1">IFERROR(VLOOKUP(B169,'銀行-TSS'!B:H,7,FALSE),"")</f>
        <v>4.6500000000000007E-2</v>
      </c>
      <c r="I169" s="1745" t="str">
        <f ca="1">IFERROR(IF(表格1[[#This Row],[配息頻率]]=0,"",CHOOSE(表格1[[#This Row],[配息頻率]],MONTH(J169),IF(MONTH(J169)&lt;=6,CONCATENATE(MONTH(J169)," / ",MONTH(J169)+6),CONCATENATE(MONTH(J169)-6," / ",MONTH(J169))),0,"2 / 4 / 8 / 11")),"")</f>
        <v>5 / 11</v>
      </c>
      <c r="J169" s="1749" t="str">
        <f ca="1">IFERROR(VLOOKUP(B169,'銀行-TSS'!B:P,15,FALSE),"")</f>
        <v>2024/11/20</v>
      </c>
      <c r="K169" s="1750">
        <f ca="1">IFERROR(VLOOKUP(表格1[[#This Row],[商品
代碼]],'銀行-TSS'!B:I,8,FALSE),"")</f>
        <v>2</v>
      </c>
      <c r="L169" s="1747">
        <f ca="1">IFERROR(VLOOKUP(B169,'銀行-TSS'!B:K,10,FALSE),"")</f>
        <v>100.52</v>
      </c>
      <c r="M169" s="1745" t="str">
        <f ca="1">IF(表格1[[#This Row],[含息申購
參考價]]&gt;100,"溢價",IF(表格1[[#This Row],[含息申購
參考價]]&lt;100,"折價","平價"))</f>
        <v>溢價</v>
      </c>
      <c r="N169" s="1751">
        <f ca="1">IFERROR(VLOOKUP(B169,'銀行-TSS'!B:M,12,FALSE),"")</f>
        <v>4.65E-2</v>
      </c>
      <c r="O169" s="1752">
        <f ca="1">IFERROR(VLOOKUP(表格1[[#This Row],[商品
代碼]],'銀行-TSS'!B:AJ,35,FALSE),"")</f>
        <v>0</v>
      </c>
      <c r="P169" s="1753">
        <f ca="1">IFERROR(VLOOKUP(表格1[[#This Row],[商品
代碼]],'銀行-TSS'!B:AE,30,FALSE),"")</f>
        <v>4.65E-2</v>
      </c>
      <c r="Q169" s="1749" t="str">
        <f ca="1">IFERROR(IF(VLOOKUP(表格1[[#This Row],[商品
代碼]],'銀行-TSS'!B:AM,38,FALSE)="#N/A Field Not Applicable","",VLOOKUP(表格1[[#This Row],[商品
代碼]],'銀行-TSS'!B:AM,38,FALSE)),"")</f>
        <v>2034/11/20</v>
      </c>
      <c r="R169" s="1749" t="str">
        <f ca="1">IFERROR(VLOOKUP(表格1[[#This Row],[商品
代碼]],'銀行-TSS'!B:AH,33,FALSE),"")</f>
        <v>美元(USD)</v>
      </c>
      <c r="S169" s="1754">
        <f ca="1">IFERROR(VLOOKUP(B169,'銀行-TSS'!B:N,13,FALSE),"")</f>
        <v>10000</v>
      </c>
      <c r="T169" s="1754" t="str">
        <f ca="1">VLOOKUP(表格1[[#This Row],[商品
代碼]],'銀行-TSS'!B:AI,34,FALSE)</f>
        <v>自由選清單</v>
      </c>
      <c r="U169" s="1755" t="str">
        <f ca="1">IFERROR(VLOOKUP(B169,'銀行-TSS'!B:Q,16,FALSE),"")</f>
        <v>科技</v>
      </c>
      <c r="V169" s="1755" t="str">
        <f ca="1">IFERROR(VLOOKUP(表格1[[#This Row],[商品
代碼]],'銀行-TSS'!B:AG,32,FALSE),"")</f>
        <v>固定</v>
      </c>
      <c r="W169" s="1756" t="str">
        <f ca="1">IFERROR(IFERROR(VLOOKUP(表格1[[#This Row],[商品
代碼]],'3_是否下架'!A:B,2,FALSE),VLOOKUP(表格1[[#This Row],[商品
代碼]],'銀行-TSS'!B:AK,36,FALSE)),"")</f>
        <v>有</v>
      </c>
      <c r="Y169" s="400"/>
      <c r="Z169" s="400"/>
      <c r="AA169" s="401"/>
    </row>
    <row r="170" spans="2:27" s="399" customFormat="1" ht="24.75" customHeight="1">
      <c r="B170" s="1745" t="s">
        <v>580</v>
      </c>
      <c r="C170" s="1745" t="str">
        <f ca="1">IFERROR(VLOOKUP(表格1[[#This Row],[商品
代碼]],'銀行-TSS'!B:V,21,FALSE),"")</f>
        <v>(NPI)非專投</v>
      </c>
      <c r="D170" s="1746" t="str">
        <f>IFERROR(VLOOKUP(表格1[[#This Row],[商品
代碼]],bond!B:F,5,FALSE),"")</f>
        <v>US822582BE14</v>
      </c>
      <c r="E170" s="1746" t="str">
        <f ca="1">IFERROR(VLOOKUP(B170,'銀行-TSS'!B:D,3,FALSE),"")</f>
        <v>殼牌國際金融公司美元配息債券  4.125% 2035/5/11</v>
      </c>
      <c r="F170" s="1745" t="str">
        <f ca="1">IFERROR(VLOOKUP(B170,'銀行-TSS'!B:E,4,FALSE),"")</f>
        <v>Aa2 / A+ / AA-u</v>
      </c>
      <c r="G170" s="1747">
        <f ca="1">IFERROR(VLOOKUP(B170,'銀行-TSS'!B:G,6,FALSE),"")</f>
        <v>10.86</v>
      </c>
      <c r="H170" s="1748">
        <f ca="1">IFERROR(VLOOKUP(B170,'銀行-TSS'!B:H,7,FALSE),"")</f>
        <v>4.1250000000000002E-2</v>
      </c>
      <c r="I170" s="1745" t="str">
        <f ca="1">IFERROR(IF(表格1[[#This Row],[配息頻率]]=0,"",CHOOSE(表格1[[#This Row],[配息頻率]],MONTH(J170),IF(MONTH(J170)&lt;=6,CONCATENATE(MONTH(J170)," / ",MONTH(J170)+6),CONCATENATE(MONTH(J170)-6," / ",MONTH(J170))),0,"2 / 4 / 8 / 11")),"")</f>
        <v>5 / 11</v>
      </c>
      <c r="J170" s="1749" t="str">
        <f ca="1">IFERROR(VLOOKUP(B170,'銀行-TSS'!B:P,15,FALSE),"")</f>
        <v>2024/11/11</v>
      </c>
      <c r="K170" s="1750">
        <f ca="1">IFERROR(VLOOKUP(表格1[[#This Row],[商品
代碼]],'銀行-TSS'!B:I,8,FALSE),"")</f>
        <v>2</v>
      </c>
      <c r="L170" s="1747">
        <f ca="1">IFERROR(VLOOKUP(B170,'銀行-TSS'!B:K,10,FALSE),"")</f>
        <v>95.57</v>
      </c>
      <c r="M170" s="1745" t="str">
        <f ca="1">IF(表格1[[#This Row],[含息申購
參考價]]&gt;100,"溢價",IF(表格1[[#This Row],[含息申購
參考價]]&lt;100,"折價","平價"))</f>
        <v>折價</v>
      </c>
      <c r="N170" s="1751">
        <f ca="1">IFERROR(VLOOKUP(B170,'銀行-TSS'!B:M,12,FALSE),"")</f>
        <v>4.7199999999999999E-2</v>
      </c>
      <c r="O170" s="1752">
        <f ca="1">IFERROR(VLOOKUP(表格1[[#This Row],[商品
代碼]],'銀行-TSS'!B:AJ,35,FALSE),"")</f>
        <v>0</v>
      </c>
      <c r="P170" s="1753" t="str">
        <f ca="1">IFERROR(VLOOKUP(表格1[[#This Row],[商品
代碼]],'銀行-TSS'!B:AE,30,FALSE),"")</f>
        <v xml:space="preserve"> </v>
      </c>
      <c r="Q170" s="1749" t="str">
        <f ca="1">IFERROR(IF(VLOOKUP(表格1[[#This Row],[商品
代碼]],'銀行-TSS'!B:AM,38,FALSE)="#N/A Field Not Applicable","",VLOOKUP(表格1[[#This Row],[商品
代碼]],'銀行-TSS'!B:AM,38,FALSE)),"")</f>
        <v/>
      </c>
      <c r="R170" s="1749" t="str">
        <f ca="1">IFERROR(VLOOKUP(表格1[[#This Row],[商品
代碼]],'銀行-TSS'!B:AH,33,FALSE),"")</f>
        <v>美元(USD)</v>
      </c>
      <c r="S170" s="1754">
        <f ca="1">IFERROR(VLOOKUP(B170,'銀行-TSS'!B:N,13,FALSE),"")</f>
        <v>10000</v>
      </c>
      <c r="T170" s="1754" t="str">
        <f ca="1">VLOOKUP(表格1[[#This Row],[商品
代碼]],'銀行-TSS'!B:AI,34,FALSE)</f>
        <v>自由選清單</v>
      </c>
      <c r="U170" s="1755" t="str">
        <f ca="1">IFERROR(VLOOKUP(B170,'銀行-TSS'!B:Q,16,FALSE),"")</f>
        <v>能源</v>
      </c>
      <c r="V170" s="1755" t="str">
        <f ca="1">IFERROR(VLOOKUP(表格1[[#This Row],[商品
代碼]],'銀行-TSS'!B:AG,32,FALSE),"")</f>
        <v>固定</v>
      </c>
      <c r="W170" s="1756" t="str">
        <f ca="1">IFERROR(IFERROR(VLOOKUP(表格1[[#This Row],[商品
代碼]],'3_是否下架'!A:B,2,FALSE),VLOOKUP(表格1[[#This Row],[商品
代碼]],'銀行-TSS'!B:AK,36,FALSE)),"")</f>
        <v>有</v>
      </c>
      <c r="Y170" s="400"/>
      <c r="Z170" s="400"/>
      <c r="AA170" s="401"/>
    </row>
    <row r="171" spans="2:27" s="399" customFormat="1" ht="24.75" customHeight="1">
      <c r="B171" s="1745" t="s">
        <v>587</v>
      </c>
      <c r="C171" s="1745" t="str">
        <f ca="1">IFERROR(VLOOKUP(表格1[[#This Row],[商品
代碼]],'銀行-TSS'!B:V,21,FALSE),"")</f>
        <v>(NPI)非專投</v>
      </c>
      <c r="D171" s="1746" t="str">
        <f>IFERROR(VLOOKUP(表格1[[#This Row],[商品
代碼]],bond!B:F,5,FALSE),"")</f>
        <v>US02364WAJ45</v>
      </c>
      <c r="E171" s="1746" t="str">
        <f ca="1">IFERROR(VLOOKUP(B171,'銀行-TSS'!B:D,3,FALSE),"")</f>
        <v>美洲電信公司美元配息債券 6.375% 2035/3/1</v>
      </c>
      <c r="F171" s="1745" t="str">
        <f ca="1">IFERROR(VLOOKUP(B171,'銀行-TSS'!B:E,4,FALSE),"")</f>
        <v>Baa1 / A- / A-</v>
      </c>
      <c r="G171" s="1747">
        <f ca="1">IFERROR(VLOOKUP(B171,'銀行-TSS'!B:G,6,FALSE),"")</f>
        <v>10.66</v>
      </c>
      <c r="H171" s="1748">
        <f ca="1">IFERROR(VLOOKUP(B171,'銀行-TSS'!B:H,7,FALSE),"")</f>
        <v>6.3750000000000001E-2</v>
      </c>
      <c r="I171" s="1745" t="str">
        <f ca="1">IFERROR(IF(表格1[[#This Row],[配息頻率]]=0,"",CHOOSE(表格1[[#This Row],[配息頻率]],MONTH(J171),IF(MONTH(J171)&lt;=6,CONCATENATE(MONTH(J171)," / ",MONTH(J171)+6),CONCATENATE(MONTH(J171)-6," / ",MONTH(J171))),0,"2 / 4 / 8 / 11")),"")</f>
        <v>3 / 9</v>
      </c>
      <c r="J171" s="1749" t="str">
        <f ca="1">IFERROR(VLOOKUP(B171,'銀行-TSS'!B:P,15,FALSE),"")</f>
        <v>2024/9/1</v>
      </c>
      <c r="K171" s="1750">
        <f ca="1">IFERROR(VLOOKUP(表格1[[#This Row],[商品
代碼]],'銀行-TSS'!B:I,8,FALSE),"")</f>
        <v>2</v>
      </c>
      <c r="L171" s="1747">
        <f ca="1">IFERROR(VLOOKUP(B171,'銀行-TSS'!B:K,10,FALSE),"")</f>
        <v>112.65</v>
      </c>
      <c r="M171" s="1745" t="str">
        <f ca="1">IF(表格1[[#This Row],[含息申購
參考價]]&gt;100,"溢價",IF(表格1[[#This Row],[含息申購
參考價]]&lt;100,"折價","平價"))</f>
        <v>溢價</v>
      </c>
      <c r="N171" s="1751">
        <f ca="1">IFERROR(VLOOKUP(B171,'銀行-TSS'!B:M,12,FALSE),"")</f>
        <v>5.0799999999999998E-2</v>
      </c>
      <c r="O171" s="1752">
        <f ca="1">IFERROR(VLOOKUP(表格1[[#This Row],[商品
代碼]],'銀行-TSS'!B:AJ,35,FALSE),"")</f>
        <v>0</v>
      </c>
      <c r="P171" s="1753" t="str">
        <f ca="1">IFERROR(VLOOKUP(表格1[[#This Row],[商品
代碼]],'銀行-TSS'!B:AE,30,FALSE),"")</f>
        <v xml:space="preserve"> </v>
      </c>
      <c r="Q171" s="1749" t="str">
        <f ca="1">IFERROR(IF(VLOOKUP(表格1[[#This Row],[商品
代碼]],'銀行-TSS'!B:AM,38,FALSE)="#N/A Field Not Applicable","",VLOOKUP(表格1[[#This Row],[商品
代碼]],'銀行-TSS'!B:AM,38,FALSE)),"")</f>
        <v/>
      </c>
      <c r="R171" s="1749" t="str">
        <f ca="1">IFERROR(VLOOKUP(表格1[[#This Row],[商品
代碼]],'銀行-TSS'!B:AH,33,FALSE),"")</f>
        <v>美元(USD)</v>
      </c>
      <c r="S171" s="1754">
        <f ca="1">IFERROR(VLOOKUP(B171,'銀行-TSS'!B:N,13,FALSE),"")</f>
        <v>10000</v>
      </c>
      <c r="T171" s="1754" t="str">
        <f ca="1">VLOOKUP(表格1[[#This Row],[商品
代碼]],'銀行-TSS'!B:AI,34,FALSE)</f>
        <v>自由選清單</v>
      </c>
      <c r="U171" s="1755" t="str">
        <f ca="1">IFERROR(VLOOKUP(B171,'銀行-TSS'!B:Q,16,FALSE),"")</f>
        <v>通訊</v>
      </c>
      <c r="V171" s="1755" t="str">
        <f ca="1">IFERROR(VLOOKUP(表格1[[#This Row],[商品
代碼]],'銀行-TSS'!B:AG,32,FALSE),"")</f>
        <v>固定</v>
      </c>
      <c r="W171" s="1756" t="str">
        <f>IFERROR(IFERROR(VLOOKUP(表格1[[#This Row],[商品
代碼]],'3_是否下架'!A:B,2,FALSE),VLOOKUP(表格1[[#This Row],[商品
代碼]],'銀行-TSS'!B:AK,36,FALSE)),"")</f>
        <v>已下架</v>
      </c>
      <c r="Y171" s="400"/>
      <c r="Z171" s="400"/>
      <c r="AA171" s="401"/>
    </row>
    <row r="172" spans="2:27" s="399" customFormat="1" ht="24.75" customHeight="1">
      <c r="B172" s="1745" t="s">
        <v>933</v>
      </c>
      <c r="C172" s="1745" t="str">
        <f ca="1">IFERROR(VLOOKUP(表格1[[#This Row],[商品
代碼]],'銀行-TSS'!B:V,21,FALSE),"")</f>
        <v>(PI)專投</v>
      </c>
      <c r="D172" s="1746" t="str">
        <f>IFERROR(VLOOKUP(表格1[[#This Row],[商品
代碼]],bond!B:F,5,FALSE),"")</f>
        <v>US68389XAV73</v>
      </c>
      <c r="E172" s="1746" t="str">
        <f ca="1">IFERROR(VLOOKUP(B172,'銀行-TSS'!B:D,3,FALSE),"")</f>
        <v>甲骨文公司美元配息債券 4.3% 2034/7/8</v>
      </c>
      <c r="F172" s="1745" t="str">
        <f ca="1">IFERROR(VLOOKUP(B172,'銀行-TSS'!B:E,4,FALSE),"")</f>
        <v>Baa2 / BBB / BBB</v>
      </c>
      <c r="G172" s="1747">
        <f ca="1">IFERROR(VLOOKUP(B172,'銀行-TSS'!B:G,6,FALSE),"")</f>
        <v>10.02</v>
      </c>
      <c r="H172" s="1748">
        <f ca="1">IFERROR(VLOOKUP(B172,'銀行-TSS'!B:H,7,FALSE),"")</f>
        <v>4.2999999999999997E-2</v>
      </c>
      <c r="I172" s="1745" t="str">
        <f ca="1">IFERROR(IF(表格1[[#This Row],[配息頻率]]=0,"",CHOOSE(表格1[[#This Row],[配息頻率]],MONTH(J172),IF(MONTH(J172)&lt;=6,CONCATENATE(MONTH(J172)," / ",MONTH(J172)+6),CONCATENATE(MONTH(J172)-6," / ",MONTH(J172))),0,"2 / 4 / 8 / 11")),"")</f>
        <v>1 / 7</v>
      </c>
      <c r="J172" s="1749" t="str">
        <f ca="1">IFERROR(VLOOKUP(B172,'銀行-TSS'!B:P,15,FALSE),"")</f>
        <v>2024/7/8</v>
      </c>
      <c r="K172" s="1750">
        <f ca="1">IFERROR(VLOOKUP(表格1[[#This Row],[商品
代碼]],'銀行-TSS'!B:I,8,FALSE),"")</f>
        <v>2</v>
      </c>
      <c r="L172" s="1747">
        <f ca="1">IFERROR(VLOOKUP(B172,'銀行-TSS'!B:K,10,FALSE),"")</f>
        <v>96.21</v>
      </c>
      <c r="M172" s="1745" t="str">
        <f ca="1">IF(表格1[[#This Row],[含息申購
參考價]]&gt;100,"溢價",IF(表格1[[#This Row],[含息申購
參考價]]&lt;100,"折價","平價"))</f>
        <v>折價</v>
      </c>
      <c r="N172" s="1751">
        <f ca="1">IFERROR(VLOOKUP(B172,'銀行-TSS'!B:M,12,FALSE),"")</f>
        <v>5.0500000000000003E-2</v>
      </c>
      <c r="O172" s="1752">
        <f ca="1">IFERROR(VLOOKUP(表格1[[#This Row],[商品
代碼]],'銀行-TSS'!B:AJ,35,FALSE),"")</f>
        <v>0</v>
      </c>
      <c r="P172" s="1753">
        <f ca="1">IFERROR(VLOOKUP(表格1[[#This Row],[商品
代碼]],'銀行-TSS'!B:AE,30,FALSE),"")</f>
        <v>5.0900000000000001E-2</v>
      </c>
      <c r="Q172" s="1749" t="str">
        <f ca="1">IFERROR(IF(VLOOKUP(表格1[[#This Row],[商品
代碼]],'銀行-TSS'!B:AM,38,FALSE)="#N/A Field Not Applicable","",VLOOKUP(表格1[[#This Row],[商品
代碼]],'銀行-TSS'!B:AM,38,FALSE)),"")</f>
        <v>2034/1/8</v>
      </c>
      <c r="R172" s="1749" t="str">
        <f ca="1">IFERROR(VLOOKUP(表格1[[#This Row],[商品
代碼]],'銀行-TSS'!B:AH,33,FALSE),"")</f>
        <v>美元(USD)</v>
      </c>
      <c r="S172" s="1754">
        <f ca="1">IFERROR(VLOOKUP(B172,'銀行-TSS'!B:N,13,FALSE),"")</f>
        <v>10000</v>
      </c>
      <c r="T172" s="1754" t="str">
        <f ca="1">VLOOKUP(表格1[[#This Row],[商品
代碼]],'銀行-TSS'!B:AI,34,FALSE)</f>
        <v>自由選清單</v>
      </c>
      <c r="U172" s="1755" t="str">
        <f ca="1">IFERROR(VLOOKUP(B172,'銀行-TSS'!B:Q,16,FALSE),"")</f>
        <v>科技</v>
      </c>
      <c r="V172" s="1755" t="str">
        <f ca="1">IFERROR(VLOOKUP(表格1[[#This Row],[商品
代碼]],'銀行-TSS'!B:AG,32,FALSE),"")</f>
        <v>固定</v>
      </c>
      <c r="W172" s="1756" t="str">
        <f ca="1">IFERROR(IFERROR(VLOOKUP(表格1[[#This Row],[商品
代碼]],'3_是否下架'!A:B,2,FALSE),VLOOKUP(表格1[[#This Row],[商品
代碼]],'銀行-TSS'!B:AK,36,FALSE)),"")</f>
        <v>有</v>
      </c>
      <c r="Y172" s="400"/>
      <c r="Z172" s="400"/>
      <c r="AA172" s="401"/>
    </row>
    <row r="173" spans="2:27" s="399" customFormat="1" ht="24.75" customHeight="1">
      <c r="B173" s="1745" t="s">
        <v>662</v>
      </c>
      <c r="C173" s="1745" t="str">
        <f ca="1">IFERROR(VLOOKUP(表格1[[#This Row],[商品
代碼]],'銀行-TSS'!B:V,21,FALSE),"")</f>
        <v>(NPI)非專投</v>
      </c>
      <c r="D173" s="1746" t="str">
        <f>IFERROR(VLOOKUP(表格1[[#This Row],[商品
代碼]],bond!B:F,5,FALSE),"")</f>
        <v>US478160BJ28</v>
      </c>
      <c r="E173" s="1746" t="str">
        <f ca="1">IFERROR(VLOOKUP(B173,'銀行-TSS'!B:D,3,FALSE),"")</f>
        <v>嬌生公司美元配息債券 4.375% 2033/12/5</v>
      </c>
      <c r="F173" s="1745" t="str">
        <f ca="1">IFERROR(VLOOKUP(B173,'銀行-TSS'!B:E,4,FALSE),"")</f>
        <v>Aaa / AAA / WD</v>
      </c>
      <c r="G173" s="1747">
        <f ca="1">IFERROR(VLOOKUP(B173,'銀行-TSS'!B:G,6,FALSE),"")</f>
        <v>9.43</v>
      </c>
      <c r="H173" s="1748">
        <f ca="1">IFERROR(VLOOKUP(B173,'銀行-TSS'!B:H,7,FALSE),"")</f>
        <v>4.3749999999999997E-2</v>
      </c>
      <c r="I173" s="1745" t="str">
        <f ca="1">IFERROR(IF(表格1[[#This Row],[配息頻率]]=0,"",CHOOSE(表格1[[#This Row],[配息頻率]],MONTH(J173),IF(MONTH(J173)&lt;=6,CONCATENATE(MONTH(J173)," / ",MONTH(J173)+6),CONCATENATE(MONTH(J173)-6," / ",MONTH(J173))),0,"2 / 4 / 8 / 11")),"")</f>
        <v>6 / 12</v>
      </c>
      <c r="J173" s="1749" t="str">
        <f ca="1">IFERROR(VLOOKUP(B173,'銀行-TSS'!B:P,15,FALSE),"")</f>
        <v>2024/12/5</v>
      </c>
      <c r="K173" s="1750">
        <f ca="1">IFERROR(VLOOKUP(表格1[[#This Row],[商品
代碼]],'銀行-TSS'!B:I,8,FALSE),"")</f>
        <v>2</v>
      </c>
      <c r="L173" s="1747">
        <f ca="1">IFERROR(VLOOKUP(B173,'銀行-TSS'!B:K,10,FALSE),"")</f>
        <v>101.51</v>
      </c>
      <c r="M173" s="1745" t="str">
        <f ca="1">IF(表格1[[#This Row],[含息申購
參考價]]&gt;100,"溢價",IF(表格1[[#This Row],[含息申購
參考價]]&lt;100,"折價","平價"))</f>
        <v>溢價</v>
      </c>
      <c r="N173" s="1751">
        <f ca="1">IFERROR(VLOOKUP(B173,'銀行-TSS'!B:M,12,FALSE),"")</f>
        <v>4.2200000000000001E-2</v>
      </c>
      <c r="O173" s="1752">
        <f ca="1">IFERROR(VLOOKUP(表格1[[#This Row],[商品
代碼]],'銀行-TSS'!B:AJ,35,FALSE),"")</f>
        <v>0</v>
      </c>
      <c r="P173" s="1753">
        <f ca="1">IFERROR(VLOOKUP(表格1[[#This Row],[商品
代碼]],'銀行-TSS'!B:AE,30,FALSE),"")</f>
        <v>4.2099999999999999E-2</v>
      </c>
      <c r="Q173" s="1749" t="str">
        <f ca="1">IFERROR(IF(VLOOKUP(表格1[[#This Row],[商品
代碼]],'銀行-TSS'!B:AM,38,FALSE)="#N/A Field Not Applicable","",VLOOKUP(表格1[[#This Row],[商品
代碼]],'銀行-TSS'!B:AM,38,FALSE)),"")</f>
        <v>2033/6/5</v>
      </c>
      <c r="R173" s="1749" t="str">
        <f ca="1">IFERROR(VLOOKUP(表格1[[#This Row],[商品
代碼]],'銀行-TSS'!B:AH,33,FALSE),"")</f>
        <v>美元(USD)</v>
      </c>
      <c r="S173" s="1754">
        <f ca="1">IFERROR(VLOOKUP(B173,'銀行-TSS'!B:N,13,FALSE),"")</f>
        <v>10000</v>
      </c>
      <c r="T173" s="1754" t="str">
        <f ca="1">VLOOKUP(表格1[[#This Row],[商品
代碼]],'銀行-TSS'!B:AI,34,FALSE)</f>
        <v>自由選清單</v>
      </c>
      <c r="U173" s="1755" t="str">
        <f ca="1">IFERROR(VLOOKUP(B173,'銀行-TSS'!B:Q,16,FALSE),"")</f>
        <v>醫療保健</v>
      </c>
      <c r="V173" s="1755" t="str">
        <f ca="1">IFERROR(VLOOKUP(表格1[[#This Row],[商品
代碼]],'銀行-TSS'!B:AG,32,FALSE),"")</f>
        <v>固定</v>
      </c>
      <c r="W173" s="1756" t="str">
        <f ca="1">IFERROR(IFERROR(VLOOKUP(表格1[[#This Row],[商品
代碼]],'3_是否下架'!A:B,2,FALSE),VLOOKUP(表格1[[#This Row],[商品
代碼]],'銀行-TSS'!B:AK,36,FALSE)),"")</f>
        <v>有</v>
      </c>
      <c r="Y173" s="400"/>
      <c r="Z173" s="400"/>
      <c r="AA173" s="401"/>
    </row>
    <row r="174" spans="2:27" s="399" customFormat="1" ht="24.75" customHeight="1">
      <c r="B174" s="1745" t="s">
        <v>1303</v>
      </c>
      <c r="C174" s="1745" t="str">
        <f ca="1">IFERROR(VLOOKUP(表格1[[#This Row],[商品
代碼]],'銀行-TSS'!B:V,21,FALSE),"")</f>
        <v>(NPI)非專投</v>
      </c>
      <c r="D174" s="1746" t="str">
        <f>IFERROR(VLOOKUP(表格1[[#This Row],[商品
代碼]],bond!B:F,5,FALSE),"")</f>
        <v>XS2577135127</v>
      </c>
      <c r="E174" s="1746" t="str">
        <f ca="1">IFERROR(VLOOKUP(B174,'銀行-TSS'!B:D,3,FALSE),"")</f>
        <v>沙烏地阿拉伯政府美元配息債券 4.875% 2033/7/18</v>
      </c>
      <c r="F174" s="1745" t="str">
        <f ca="1">IFERROR(VLOOKUP(B174,'銀行-TSS'!B:E,4,FALSE),"")</f>
        <v>A1 / - / A+</v>
      </c>
      <c r="G174" s="1747">
        <f ca="1">IFERROR(VLOOKUP(B174,'銀行-TSS'!B:G,6,FALSE),"")</f>
        <v>9.0399999999999991</v>
      </c>
      <c r="H174" s="1748">
        <f ca="1">IFERROR(VLOOKUP(B174,'銀行-TSS'!B:H,7,FALSE),"")</f>
        <v>4.8750000000000002E-2</v>
      </c>
      <c r="I174" s="1745" t="str">
        <f ca="1">IFERROR(IF(表格1[[#This Row],[配息頻率]]=0,"",CHOOSE(表格1[[#This Row],[配息頻率]],MONTH(J174),IF(MONTH(J174)&lt;=6,CONCATENATE(MONTH(J174)," / ",MONTH(J174)+6),CONCATENATE(MONTH(J174)-6," / ",MONTH(J174))),0,"2 / 4 / 8 / 11")),"")</f>
        <v>1 / 7</v>
      </c>
      <c r="J174" s="1749" t="str">
        <f ca="1">IFERROR(VLOOKUP(B174,'銀行-TSS'!B:P,15,FALSE),"")</f>
        <v>2024/7/18</v>
      </c>
      <c r="K174" s="1750">
        <f ca="1">IFERROR(VLOOKUP(表格1[[#This Row],[商品
代碼]],'銀行-TSS'!B:I,8,FALSE),"")</f>
        <v>2</v>
      </c>
      <c r="L174" s="1747">
        <f ca="1">IFERROR(VLOOKUP(B174,'銀行-TSS'!B:K,10,FALSE),"")</f>
        <v>102.26</v>
      </c>
      <c r="M174" s="1745" t="str">
        <f ca="1">IF(表格1[[#This Row],[含息申購
參考價]]&gt;100,"溢價",IF(表格1[[#This Row],[含息申購
參考價]]&lt;100,"折價","平價"))</f>
        <v>溢價</v>
      </c>
      <c r="N174" s="1751">
        <f ca="1">IFERROR(VLOOKUP(B174,'銀行-TSS'!B:M,12,FALSE),"")</f>
        <v>4.87E-2</v>
      </c>
      <c r="O174" s="1752">
        <f ca="1">IFERROR(VLOOKUP(表格1[[#This Row],[商品
代碼]],'銀行-TSS'!B:AJ,35,FALSE),"")</f>
        <v>0</v>
      </c>
      <c r="P174" s="1753" t="str">
        <f ca="1">IFERROR(VLOOKUP(表格1[[#This Row],[商品
代碼]],'銀行-TSS'!B:AE,30,FALSE),"")</f>
        <v xml:space="preserve"> </v>
      </c>
      <c r="Q174" s="1749" t="str">
        <f ca="1">IFERROR(IF(VLOOKUP(表格1[[#This Row],[商品
代碼]],'銀行-TSS'!B:AM,38,FALSE)="#N/A Field Not Applicable","",VLOOKUP(表格1[[#This Row],[商品
代碼]],'銀行-TSS'!B:AM,38,FALSE)),"")</f>
        <v/>
      </c>
      <c r="R174" s="1749" t="str">
        <f ca="1">IFERROR(VLOOKUP(表格1[[#This Row],[商品
代碼]],'銀行-TSS'!B:AH,33,FALSE),"")</f>
        <v>美元(USD)</v>
      </c>
      <c r="S174" s="1754">
        <f ca="1">IFERROR(VLOOKUP(B174,'銀行-TSS'!B:N,13,FALSE),"")</f>
        <v>200000</v>
      </c>
      <c r="T174" s="1754" t="str">
        <f ca="1">VLOOKUP(表格1[[#This Row],[商品
代碼]],'銀行-TSS'!B:AI,34,FALSE)</f>
        <v>自由選清單</v>
      </c>
      <c r="U174" s="1755" t="str">
        <f ca="1">IFERROR(VLOOKUP(B174,'銀行-TSS'!B:Q,16,FALSE),"")</f>
        <v>政府</v>
      </c>
      <c r="V174" s="1755" t="str">
        <f ca="1">IFERROR(VLOOKUP(表格1[[#This Row],[商品
代碼]],'銀行-TSS'!B:AG,32,FALSE),"")</f>
        <v>固定</v>
      </c>
      <c r="W174" s="1756" t="str">
        <f ca="1">IFERROR(IFERROR(VLOOKUP(表格1[[#This Row],[商品
代碼]],'3_是否下架'!A:B,2,FALSE),VLOOKUP(表格1[[#This Row],[商品
代碼]],'銀行-TSS'!B:AK,36,FALSE)),"")</f>
        <v>有</v>
      </c>
      <c r="Y174" s="400"/>
      <c r="Z174" s="400"/>
      <c r="AA174" s="401"/>
    </row>
    <row r="175" spans="2:27" s="399" customFormat="1" ht="24.75" customHeight="1">
      <c r="B175" s="1745" t="s">
        <v>3498</v>
      </c>
      <c r="C175" s="1745" t="str">
        <f ca="1">IFERROR(VLOOKUP(表格1[[#This Row],[商品
代碼]],'銀行-TSS'!B:V,21,FALSE),"")</f>
        <v>(NPI)非專投</v>
      </c>
      <c r="D175" s="1746" t="str">
        <f>IFERROR(VLOOKUP(表格1[[#This Row],[商品
代碼]],bond!B:F,5,FALSE),"")</f>
        <v>US892331AR09</v>
      </c>
      <c r="E175" s="1746" t="str">
        <f ca="1">IFERROR(VLOOKUP(B175,'銀行-TSS'!B:D,3,FALSE),"")</f>
        <v>豐田汽車公司美元配息債券 5.123% 2033/7/13</v>
      </c>
      <c r="F175" s="1745" t="str">
        <f ca="1">IFERROR(VLOOKUP(B175,'銀行-TSS'!B:E,4,FALSE),"")</f>
        <v>A1 / A+ / -</v>
      </c>
      <c r="G175" s="1747">
        <f ca="1">IFERROR(VLOOKUP(B175,'銀行-TSS'!B:G,6,FALSE),"")</f>
        <v>9.0299999999999994</v>
      </c>
      <c r="H175" s="1748">
        <f ca="1">IFERROR(VLOOKUP(B175,'銀行-TSS'!B:H,7,FALSE),"")</f>
        <v>5.1230000000000005E-2</v>
      </c>
      <c r="I175" s="1745" t="str">
        <f ca="1">IFERROR(IF(表格1[[#This Row],[配息頻率]]=0,"",CHOOSE(表格1[[#This Row],[配息頻率]],MONTH(J175),IF(MONTH(J175)&lt;=6,CONCATENATE(MONTH(J175)," / ",MONTH(J175)+6),CONCATENATE(MONTH(J175)-6," / ",MONTH(J175))),0,"2 / 4 / 8 / 11")),"")</f>
        <v>1 / 7</v>
      </c>
      <c r="J175" s="1749" t="str">
        <f ca="1">IFERROR(VLOOKUP(B175,'銀行-TSS'!B:P,15,FALSE),"")</f>
        <v>2024/7/13</v>
      </c>
      <c r="K175" s="1750">
        <f ca="1">IFERROR(VLOOKUP(表格1[[#This Row],[商品
代碼]],'銀行-TSS'!B:I,8,FALSE),"")</f>
        <v>2</v>
      </c>
      <c r="L175" s="1747">
        <f ca="1">IFERROR(VLOOKUP(B175,'銀行-TSS'!B:K,10,FALSE),"")</f>
        <v>109.18</v>
      </c>
      <c r="M175" s="1745" t="str">
        <f ca="1">IF(表格1[[#This Row],[含息申購
參考價]]&gt;100,"溢價",IF(表格1[[#This Row],[含息申購
參考價]]&lt;100,"折價","平價"))</f>
        <v>溢價</v>
      </c>
      <c r="N175" s="1751">
        <f ca="1">IFERROR(VLOOKUP(B175,'銀行-TSS'!B:M,12,FALSE),"")</f>
        <v>4.2099999999999999E-2</v>
      </c>
      <c r="O175" s="1752">
        <f ca="1">IFERROR(VLOOKUP(表格1[[#This Row],[商品
代碼]],'銀行-TSS'!B:AJ,35,FALSE),"")</f>
        <v>0</v>
      </c>
      <c r="P175" s="1753">
        <f ca="1">IFERROR(VLOOKUP(表格1[[#This Row],[商品
代碼]],'銀行-TSS'!B:AE,30,FALSE),"")</f>
        <v>4.19E-2</v>
      </c>
      <c r="Q175" s="1749" t="str">
        <f ca="1">IFERROR(IF(VLOOKUP(表格1[[#This Row],[商品
代碼]],'銀行-TSS'!B:AM,38,FALSE)="#N/A Field Not Applicable","",VLOOKUP(表格1[[#This Row],[商品
代碼]],'銀行-TSS'!B:AM,38,FALSE)),"")</f>
        <v>2033/4/13</v>
      </c>
      <c r="R175" s="1749" t="str">
        <f ca="1">IFERROR(VLOOKUP(表格1[[#This Row],[商品
代碼]],'銀行-TSS'!B:AH,33,FALSE),"")</f>
        <v>美元(USD)</v>
      </c>
      <c r="S175" s="1754">
        <f ca="1">IFERROR(VLOOKUP(B175,'銀行-TSS'!B:N,13,FALSE),"")</f>
        <v>10000</v>
      </c>
      <c r="T175" s="1754" t="str">
        <f ca="1">VLOOKUP(表格1[[#This Row],[商品
代碼]],'銀行-TSS'!B:AI,34,FALSE)</f>
        <v>自由選清單</v>
      </c>
      <c r="U175" s="1755" t="str">
        <f ca="1">IFERROR(VLOOKUP(B175,'銀行-TSS'!B:Q,16,FALSE),"")</f>
        <v>非核心消費</v>
      </c>
      <c r="V175" s="1755" t="str">
        <f ca="1">IFERROR(VLOOKUP(表格1[[#This Row],[商品
代碼]],'銀行-TSS'!B:AG,32,FALSE),"")</f>
        <v>固定</v>
      </c>
      <c r="W175" s="1756" t="str">
        <f ca="1">IFERROR(IFERROR(VLOOKUP(表格1[[#This Row],[商品
代碼]],'3_是否下架'!A:B,2,FALSE),VLOOKUP(表格1[[#This Row],[商品
代碼]],'銀行-TSS'!B:AK,36,FALSE)),"")</f>
        <v>有</v>
      </c>
      <c r="Y175" s="400"/>
      <c r="Z175" s="400"/>
      <c r="AA175" s="401"/>
    </row>
    <row r="176" spans="2:27" s="399" customFormat="1" ht="24.75" customHeight="1">
      <c r="B176" s="1745" t="s">
        <v>2220</v>
      </c>
      <c r="C176" s="1745" t="str">
        <f ca="1">IFERROR(VLOOKUP(表格1[[#This Row],[商品
代碼]],'銀行-TSS'!B:V,21,FALSE),"")</f>
        <v>(NPI)非專投</v>
      </c>
      <c r="D176" s="1746" t="str">
        <f>IFERROR(VLOOKUP(表格1[[#This Row],[商品
代碼]],bond!B:F,5,FALSE),"")</f>
        <v>US29736RAT77</v>
      </c>
      <c r="E176" s="1746" t="str">
        <f ca="1">IFERROR(VLOOKUP(B176,'銀行-TSS'!B:D,3,FALSE),"")</f>
        <v>雅詩蘭黛公司美元配息債券 4.65% 2033/5/15</v>
      </c>
      <c r="F176" s="1745" t="str">
        <f ca="1">IFERROR(VLOOKUP(B176,'銀行-TSS'!B:E,4,FALSE),"")</f>
        <v>A1 / A / -</v>
      </c>
      <c r="G176" s="1747">
        <f ca="1">IFERROR(VLOOKUP(B176,'銀行-TSS'!B:G,6,FALSE),"")</f>
        <v>8.8699999999999992</v>
      </c>
      <c r="H176" s="1748">
        <f ca="1">IFERROR(VLOOKUP(B176,'銀行-TSS'!B:H,7,FALSE),"")</f>
        <v>4.6500000000000007E-2</v>
      </c>
      <c r="I176" s="1745" t="str">
        <f ca="1">IFERROR(IF(表格1[[#This Row],[配息頻率]]=0,"",CHOOSE(表格1[[#This Row],[配息頻率]],MONTH(J176),IF(MONTH(J176)&lt;=6,CONCATENATE(MONTH(J176)," / ",MONTH(J176)+6),CONCATENATE(MONTH(J176)-6," / ",MONTH(J176))),0,"2 / 4 / 8 / 11")),"")</f>
        <v>5 / 11</v>
      </c>
      <c r="J176" s="1749" t="str">
        <f ca="1">IFERROR(VLOOKUP(B176,'銀行-TSS'!B:P,15,FALSE),"")</f>
        <v>2024/11/15</v>
      </c>
      <c r="K176" s="1750">
        <f ca="1">IFERROR(VLOOKUP(表格1[[#This Row],[商品
代碼]],'銀行-TSS'!B:I,8,FALSE),"")</f>
        <v>2</v>
      </c>
      <c r="L176" s="1747">
        <f ca="1">IFERROR(VLOOKUP(B176,'銀行-TSS'!B:K,10,FALSE),"")</f>
        <v>99.78</v>
      </c>
      <c r="M176" s="1745" t="str">
        <f ca="1">IF(表格1[[#This Row],[含息申購
參考價]]&gt;100,"溢價",IF(表格1[[#This Row],[含息申購
參考價]]&lt;100,"折價","平價"))</f>
        <v>折價</v>
      </c>
      <c r="N176" s="1751">
        <f ca="1">IFERROR(VLOOKUP(B176,'銀行-TSS'!B:M,12,FALSE),"")</f>
        <v>4.7699999999999999E-2</v>
      </c>
      <c r="O176" s="1752">
        <f ca="1">IFERROR(VLOOKUP(表格1[[#This Row],[商品
代碼]],'銀行-TSS'!B:AJ,35,FALSE),"")</f>
        <v>0</v>
      </c>
      <c r="P176" s="1753">
        <f ca="1">IFERROR(VLOOKUP(表格1[[#This Row],[商品
代碼]],'銀行-TSS'!B:AE,30,FALSE),"")</f>
        <v>4.7699999999999999E-2</v>
      </c>
      <c r="Q176" s="1749" t="str">
        <f ca="1">IFERROR(IF(VLOOKUP(表格1[[#This Row],[商品
代碼]],'銀行-TSS'!B:AM,38,FALSE)="#N/A Field Not Applicable","",VLOOKUP(表格1[[#This Row],[商品
代碼]],'銀行-TSS'!B:AM,38,FALSE)),"")</f>
        <v>2033/2/15</v>
      </c>
      <c r="R176" s="1749" t="str">
        <f ca="1">IFERROR(VLOOKUP(表格1[[#This Row],[商品
代碼]],'銀行-TSS'!B:AH,33,FALSE),"")</f>
        <v>美元(USD)</v>
      </c>
      <c r="S176" s="1754">
        <f ca="1">IFERROR(VLOOKUP(B176,'銀行-TSS'!B:N,13,FALSE),"")</f>
        <v>10000</v>
      </c>
      <c r="T176" s="1754" t="str">
        <f ca="1">VLOOKUP(表格1[[#This Row],[商品
代碼]],'銀行-TSS'!B:AI,34,FALSE)</f>
        <v>自由選清單</v>
      </c>
      <c r="U176" s="1755" t="str">
        <f ca="1">IFERROR(VLOOKUP(B176,'銀行-TSS'!B:Q,16,FALSE),"")</f>
        <v>核心消費</v>
      </c>
      <c r="V176" s="1755" t="str">
        <f ca="1">IFERROR(VLOOKUP(表格1[[#This Row],[商品
代碼]],'銀行-TSS'!B:AG,32,FALSE),"")</f>
        <v>固定</v>
      </c>
      <c r="W176" s="1756" t="str">
        <f ca="1">IFERROR(IFERROR(VLOOKUP(表格1[[#This Row],[商品
代碼]],'3_是否下架'!A:B,2,FALSE),VLOOKUP(表格1[[#This Row],[商品
代碼]],'銀行-TSS'!B:AK,36,FALSE)),"")</f>
        <v>有</v>
      </c>
      <c r="Y176" s="400"/>
      <c r="Z176" s="400"/>
      <c r="AA176" s="401"/>
    </row>
    <row r="177" spans="2:27" s="399" customFormat="1" ht="24.75" customHeight="1">
      <c r="B177" s="1745" t="s">
        <v>2199</v>
      </c>
      <c r="C177" s="1745" t="str">
        <f ca="1">IFERROR(VLOOKUP(表格1[[#This Row],[商品
代碼]],'銀行-TSS'!B:V,21,FALSE),"")</f>
        <v>(NPI)非專投</v>
      </c>
      <c r="D177" s="1746" t="str">
        <f>IFERROR(VLOOKUP(表格1[[#This Row],[商品
代碼]],bond!B:F,5,FALSE),"")</f>
        <v>US037833EV87</v>
      </c>
      <c r="E177" s="1746" t="str">
        <f ca="1">IFERROR(VLOOKUP(B177,'銀行-TSS'!B:D,3,FALSE),"")</f>
        <v>蘋果公司美元配息債券 4.3% 2033/5/10</v>
      </c>
      <c r="F177" s="1745" t="str">
        <f ca="1">IFERROR(VLOOKUP(B177,'銀行-TSS'!B:E,4,FALSE),"")</f>
        <v>Aaa / AA+ / -</v>
      </c>
      <c r="G177" s="1747">
        <f ca="1">IFERROR(VLOOKUP(B177,'銀行-TSS'!B:G,6,FALSE),"")</f>
        <v>8.85</v>
      </c>
      <c r="H177" s="1748">
        <f ca="1">IFERROR(VLOOKUP(B177,'銀行-TSS'!B:H,7,FALSE),"")</f>
        <v>4.2999999999999997E-2</v>
      </c>
      <c r="I177" s="1745" t="str">
        <f ca="1">IFERROR(IF(表格1[[#This Row],[配息頻率]]=0,"",CHOOSE(表格1[[#This Row],[配息頻率]],MONTH(J177),IF(MONTH(J177)&lt;=6,CONCATENATE(MONTH(J177)," / ",MONTH(J177)+6),CONCATENATE(MONTH(J177)-6," / ",MONTH(J177))),0,"2 / 4 / 8 / 11")),"")</f>
        <v>5 / 11</v>
      </c>
      <c r="J177" s="1749" t="str">
        <f ca="1">IFERROR(VLOOKUP(B177,'銀行-TSS'!B:P,15,FALSE),"")</f>
        <v>2024/11/10</v>
      </c>
      <c r="K177" s="1750">
        <f ca="1">IFERROR(VLOOKUP(表格1[[#This Row],[商品
代碼]],'銀行-TSS'!B:I,8,FALSE),"")</f>
        <v>2</v>
      </c>
      <c r="L177" s="1747">
        <f ca="1">IFERROR(VLOOKUP(B177,'銀行-TSS'!B:K,10,FALSE),"")</f>
        <v>101.8</v>
      </c>
      <c r="M177" s="1745" t="str">
        <f ca="1">IF(表格1[[#This Row],[含息申購
參考價]]&gt;100,"溢價",IF(表格1[[#This Row],[含息申購
參考價]]&lt;100,"折價","平價"))</f>
        <v>溢價</v>
      </c>
      <c r="N177" s="1751">
        <f ca="1">IFERROR(VLOOKUP(B177,'銀行-TSS'!B:M,12,FALSE),"")</f>
        <v>4.1399999999999999E-2</v>
      </c>
      <c r="O177" s="1752">
        <f ca="1">IFERROR(VLOOKUP(表格1[[#This Row],[商品
代碼]],'銀行-TSS'!B:AJ,35,FALSE),"")</f>
        <v>0</v>
      </c>
      <c r="P177" s="1753">
        <f ca="1">IFERROR(VLOOKUP(表格1[[#This Row],[商品
代碼]],'銀行-TSS'!B:AE,30,FALSE),"")</f>
        <v>4.1399999999999999E-2</v>
      </c>
      <c r="Q177" s="1749" t="str">
        <f ca="1">IFERROR(IF(VLOOKUP(表格1[[#This Row],[商品
代碼]],'銀行-TSS'!B:AM,38,FALSE)="#N/A Field Not Applicable","",VLOOKUP(表格1[[#This Row],[商品
代碼]],'銀行-TSS'!B:AM,38,FALSE)),"")</f>
        <v>2033/2/10</v>
      </c>
      <c r="R177" s="1749" t="str">
        <f ca="1">IFERROR(VLOOKUP(表格1[[#This Row],[商品
代碼]],'銀行-TSS'!B:AH,33,FALSE),"")</f>
        <v>美元(USD)</v>
      </c>
      <c r="S177" s="1754">
        <f ca="1">IFERROR(VLOOKUP(B177,'銀行-TSS'!B:N,13,FALSE),"")</f>
        <v>10000</v>
      </c>
      <c r="T177" s="1754" t="str">
        <f ca="1">VLOOKUP(表格1[[#This Row],[商品
代碼]],'銀行-TSS'!B:AI,34,FALSE)</f>
        <v>自由選清單</v>
      </c>
      <c r="U177" s="1755" t="str">
        <f ca="1">IFERROR(VLOOKUP(B177,'銀行-TSS'!B:Q,16,FALSE),"")</f>
        <v>科技</v>
      </c>
      <c r="V177" s="1755" t="str">
        <f ca="1">IFERROR(VLOOKUP(表格1[[#This Row],[商品
代碼]],'銀行-TSS'!B:AG,32,FALSE),"")</f>
        <v>固定</v>
      </c>
      <c r="W177" s="1756" t="str">
        <f ca="1">IFERROR(IFERROR(VLOOKUP(表格1[[#This Row],[商品
代碼]],'3_是否下架'!A:B,2,FALSE),VLOOKUP(表格1[[#This Row],[商品
代碼]],'銀行-TSS'!B:AK,36,FALSE)),"")</f>
        <v>有</v>
      </c>
      <c r="Y177" s="400"/>
      <c r="Z177" s="400"/>
      <c r="AA177" s="401"/>
    </row>
    <row r="178" spans="2:27" s="399" customFormat="1" ht="24.75" customHeight="1">
      <c r="B178" s="1745" t="s">
        <v>632</v>
      </c>
      <c r="C178" s="1745" t="str">
        <f ca="1">IFERROR(VLOOKUP(表格1[[#This Row],[商品
代碼]],'銀行-TSS'!B:V,21,FALSE),"")</f>
        <v>(PI)專投</v>
      </c>
      <c r="D178" s="1746" t="str">
        <f>IFERROR(VLOOKUP(表格1[[#This Row],[商品
代碼]],bond!B:F,5,FALSE),"")</f>
        <v>US38141GCU67</v>
      </c>
      <c r="E178" s="1746" t="str">
        <f ca="1">IFERROR(VLOOKUP(B178,'銀行-TSS'!B:D,3,FALSE),"")</f>
        <v>高盛集團美元配息債券 6.125% 2033/2/15</v>
      </c>
      <c r="F178" s="1745" t="str">
        <f ca="1">IFERROR(VLOOKUP(B178,'銀行-TSS'!B:E,4,FALSE),"")</f>
        <v>A2 / BBB+ / A</v>
      </c>
      <c r="G178" s="1747">
        <f ca="1">IFERROR(VLOOKUP(B178,'銀行-TSS'!B:G,6,FALSE),"")</f>
        <v>8.6199999999999992</v>
      </c>
      <c r="H178" s="1748">
        <f ca="1">IFERROR(VLOOKUP(B178,'銀行-TSS'!B:H,7,FALSE),"")</f>
        <v>6.1249999999999999E-2</v>
      </c>
      <c r="I178" s="1745" t="str">
        <f ca="1">IFERROR(IF(表格1[[#This Row],[配息頻率]]=0,"",CHOOSE(表格1[[#This Row],[配息頻率]],MONTH(J178),IF(MONTH(J178)&lt;=6,CONCATENATE(MONTH(J178)," / ",MONTH(J178)+6),CONCATENATE(MONTH(J178)-6," / ",MONTH(J178))),0,"2 / 4 / 8 / 11")),"")</f>
        <v>2 / 8</v>
      </c>
      <c r="J178" s="1749" t="str">
        <f ca="1">IFERROR(VLOOKUP(B178,'銀行-TSS'!B:P,15,FALSE),"")</f>
        <v>2024/8/15</v>
      </c>
      <c r="K178" s="1750">
        <f ca="1">IFERROR(VLOOKUP(表格1[[#This Row],[商品
代碼]],'銀行-TSS'!B:I,8,FALSE),"")</f>
        <v>2</v>
      </c>
      <c r="L178" s="1747">
        <f ca="1">IFERROR(VLOOKUP(B178,'銀行-TSS'!B:K,10,FALSE),"")</f>
        <v>111.41</v>
      </c>
      <c r="M178" s="1745" t="str">
        <f ca="1">IF(表格1[[#This Row],[含息申購
參考價]]&gt;100,"溢價",IF(表格1[[#This Row],[含息申購
參考價]]&lt;100,"折價","平價"))</f>
        <v>溢價</v>
      </c>
      <c r="N178" s="1751">
        <f ca="1">IFERROR(VLOOKUP(B178,'銀行-TSS'!B:M,12,FALSE),"")</f>
        <v>4.82E-2</v>
      </c>
      <c r="O178" s="1752">
        <f ca="1">IFERROR(VLOOKUP(表格1[[#This Row],[商品
代碼]],'銀行-TSS'!B:AJ,35,FALSE),"")</f>
        <v>0</v>
      </c>
      <c r="P178" s="1753" t="str">
        <f ca="1">IFERROR(VLOOKUP(表格1[[#This Row],[商品
代碼]],'銀行-TSS'!B:AE,30,FALSE),"")</f>
        <v xml:space="preserve"> </v>
      </c>
      <c r="Q178" s="1749" t="str">
        <f ca="1">IFERROR(IF(VLOOKUP(表格1[[#This Row],[商品
代碼]],'銀行-TSS'!B:AM,38,FALSE)="#N/A Field Not Applicable","",VLOOKUP(表格1[[#This Row],[商品
代碼]],'銀行-TSS'!B:AM,38,FALSE)),"")</f>
        <v/>
      </c>
      <c r="R178" s="1749" t="str">
        <f ca="1">IFERROR(VLOOKUP(表格1[[#This Row],[商品
代碼]],'銀行-TSS'!B:AH,33,FALSE),"")</f>
        <v>美元(USD)</v>
      </c>
      <c r="S178" s="1754">
        <f ca="1">IFERROR(VLOOKUP(B178,'銀行-TSS'!B:N,13,FALSE),"")</f>
        <v>10000</v>
      </c>
      <c r="T178" s="1754" t="str">
        <f ca="1">VLOOKUP(表格1[[#This Row],[商品
代碼]],'銀行-TSS'!B:AI,34,FALSE)</f>
        <v>自由選清單</v>
      </c>
      <c r="U178" s="1755" t="str">
        <f ca="1">IFERROR(VLOOKUP(B178,'銀行-TSS'!B:Q,16,FALSE),"")</f>
        <v>金融</v>
      </c>
      <c r="V178" s="1755" t="str">
        <f ca="1">IFERROR(VLOOKUP(表格1[[#This Row],[商品
代碼]],'銀行-TSS'!B:AG,32,FALSE),"")</f>
        <v>固定</v>
      </c>
      <c r="W178" s="1756" t="str">
        <f ca="1">IFERROR(IFERROR(VLOOKUP(表格1[[#This Row],[商品
代碼]],'3_是否下架'!A:B,2,FALSE),VLOOKUP(表格1[[#This Row],[商品
代碼]],'銀行-TSS'!B:AK,36,FALSE)),"")</f>
        <v>有</v>
      </c>
      <c r="Y178" s="400"/>
      <c r="Z178" s="400"/>
      <c r="AA178" s="401"/>
    </row>
    <row r="179" spans="2:27" s="399" customFormat="1" ht="24.75" customHeight="1">
      <c r="B179" s="1745" t="s">
        <v>1254</v>
      </c>
      <c r="C179" s="1745" t="str">
        <f ca="1">IFERROR(VLOOKUP(表格1[[#This Row],[商品
代碼]],'銀行-TSS'!B:V,21,FALSE),"")</f>
        <v>(NPI)非專投</v>
      </c>
      <c r="D179" s="1746" t="str">
        <f>IFERROR(VLOOKUP(表格1[[#This Row],[商品
代碼]],bond!B:F,5,FALSE),"")</f>
        <v>US438516CK03</v>
      </c>
      <c r="E179" s="1746" t="str">
        <f ca="1">IFERROR(VLOOKUP(B179,'銀行-TSS'!B:D,3,FALSE),"")</f>
        <v>漢威聯合國際公司美元配息債券 5% 2033/2/15</v>
      </c>
      <c r="F179" s="1745" t="str">
        <f ca="1">IFERROR(VLOOKUP(B179,'銀行-TSS'!B:E,4,FALSE),"")</f>
        <v>A2 / A / A</v>
      </c>
      <c r="G179" s="1747">
        <f ca="1">IFERROR(VLOOKUP(B179,'銀行-TSS'!B:G,6,FALSE),"")</f>
        <v>8.6199999999999992</v>
      </c>
      <c r="H179" s="1748">
        <f ca="1">IFERROR(VLOOKUP(B179,'銀行-TSS'!B:H,7,FALSE),"")</f>
        <v>0.05</v>
      </c>
      <c r="I179" s="1745" t="str">
        <f ca="1">IFERROR(IF(表格1[[#This Row],[配息頻率]]=0,"",CHOOSE(表格1[[#This Row],[配息頻率]],MONTH(J179),IF(MONTH(J179)&lt;=6,CONCATENATE(MONTH(J179)," / ",MONTH(J179)+6),CONCATENATE(MONTH(J179)-6," / ",MONTH(J179))),0,"2 / 4 / 8 / 11")),"")</f>
        <v>2 / 8</v>
      </c>
      <c r="J179" s="1749" t="str">
        <f ca="1">IFERROR(VLOOKUP(B179,'銀行-TSS'!B:P,15,FALSE),"")</f>
        <v>2024/8/15</v>
      </c>
      <c r="K179" s="1750">
        <f ca="1">IFERROR(VLOOKUP(表格1[[#This Row],[商品
代碼]],'銀行-TSS'!B:I,8,FALSE),"")</f>
        <v>2</v>
      </c>
      <c r="L179" s="1747">
        <f ca="1">IFERROR(VLOOKUP(B179,'銀行-TSS'!B:K,10,FALSE),"")</f>
        <v>103.93</v>
      </c>
      <c r="M179" s="1745" t="str">
        <f ca="1">IF(表格1[[#This Row],[含息申購
參考價]]&gt;100,"溢價",IF(表格1[[#This Row],[含息申購
參考價]]&lt;100,"折價","平價"))</f>
        <v>溢價</v>
      </c>
      <c r="N179" s="1751">
        <f ca="1">IFERROR(VLOOKUP(B179,'銀行-TSS'!B:M,12,FALSE),"")</f>
        <v>4.7100000000000003E-2</v>
      </c>
      <c r="O179" s="1752">
        <f ca="1">IFERROR(VLOOKUP(表格1[[#This Row],[商品
代碼]],'銀行-TSS'!B:AJ,35,FALSE),"")</f>
        <v>0</v>
      </c>
      <c r="P179" s="1753">
        <f ca="1">IFERROR(VLOOKUP(表格1[[#This Row],[商品
代碼]],'銀行-TSS'!B:AE,30,FALSE),"")</f>
        <v>4.7E-2</v>
      </c>
      <c r="Q179" s="1749" t="str">
        <f ca="1">IFERROR(IF(VLOOKUP(表格1[[#This Row],[商品
代碼]],'銀行-TSS'!B:AM,38,FALSE)="#N/A Field Not Applicable","",VLOOKUP(表格1[[#This Row],[商品
代碼]],'銀行-TSS'!B:AM,38,FALSE)),"")</f>
        <v>2032/11/15</v>
      </c>
      <c r="R179" s="1749" t="str">
        <f ca="1">IFERROR(VLOOKUP(表格1[[#This Row],[商品
代碼]],'銀行-TSS'!B:AH,33,FALSE),"")</f>
        <v>美元(USD)</v>
      </c>
      <c r="S179" s="1754">
        <f ca="1">IFERROR(VLOOKUP(B179,'銀行-TSS'!B:N,13,FALSE),"")</f>
        <v>10000</v>
      </c>
      <c r="T179" s="1754" t="str">
        <f ca="1">VLOOKUP(表格1[[#This Row],[商品
代碼]],'銀行-TSS'!B:AI,34,FALSE)</f>
        <v>自由選清單</v>
      </c>
      <c r="U179" s="1755" t="str">
        <f ca="1">IFERROR(VLOOKUP(B179,'銀行-TSS'!B:Q,16,FALSE),"")</f>
        <v>工業</v>
      </c>
      <c r="V179" s="1755" t="str">
        <f ca="1">IFERROR(VLOOKUP(表格1[[#This Row],[商品
代碼]],'銀行-TSS'!B:AG,32,FALSE),"")</f>
        <v>固定</v>
      </c>
      <c r="W179" s="1756" t="str">
        <f ca="1">IFERROR(IFERROR(VLOOKUP(表格1[[#This Row],[商品
代碼]],'3_是否下架'!A:B,2,FALSE),VLOOKUP(表格1[[#This Row],[商品
代碼]],'銀行-TSS'!B:AK,36,FALSE)),"")</f>
        <v>有</v>
      </c>
      <c r="Y179" s="400"/>
      <c r="Z179" s="400"/>
      <c r="AA179" s="401"/>
    </row>
    <row r="180" spans="2:27" s="399" customFormat="1" ht="24.75" customHeight="1">
      <c r="B180" s="1745" t="s">
        <v>2082</v>
      </c>
      <c r="C180" s="1745" t="str">
        <f ca="1">IFERROR(VLOOKUP(表格1[[#This Row],[商品
代碼]],'銀行-TSS'!B:V,21,FALSE),"")</f>
        <v>(NPI)非專投</v>
      </c>
      <c r="D180" s="1746" t="str">
        <f>IFERROR(VLOOKUP(表格1[[#This Row],[商品
代碼]],bond!B:F,5,FALSE),"")</f>
        <v>US742718GA10</v>
      </c>
      <c r="E180" s="1746" t="str">
        <f ca="1">IFERROR(VLOOKUP(B180,'銀行-TSS'!B:D,3,FALSE),"")</f>
        <v>寶僑公司美元配息債券 4.05% 2033/1/26</v>
      </c>
      <c r="F180" s="1745" t="str">
        <f ca="1">IFERROR(VLOOKUP(B180,'銀行-TSS'!B:E,4,FALSE),"")</f>
        <v>Aa3 / AA- / -</v>
      </c>
      <c r="G180" s="1747">
        <f ca="1">IFERROR(VLOOKUP(B180,'銀行-TSS'!B:G,6,FALSE),"")</f>
        <v>8.57</v>
      </c>
      <c r="H180" s="1748">
        <f ca="1">IFERROR(VLOOKUP(B180,'銀行-TSS'!B:H,7,FALSE),"")</f>
        <v>4.0500000000000001E-2</v>
      </c>
      <c r="I180" s="1745" t="str">
        <f ca="1">IFERROR(IF(表格1[[#This Row],[配息頻率]]=0,"",CHOOSE(表格1[[#This Row],[配息頻率]],MONTH(J180),IF(MONTH(J180)&lt;=6,CONCATENATE(MONTH(J180)," / ",MONTH(J180)+6),CONCATENATE(MONTH(J180)-6," / ",MONTH(J180))),0,"2 / 4 / 8 / 11")),"")</f>
        <v>1 / 7</v>
      </c>
      <c r="J180" s="1749" t="str">
        <f ca="1">IFERROR(VLOOKUP(B180,'銀行-TSS'!B:P,15,FALSE),"")</f>
        <v>2024/7/26</v>
      </c>
      <c r="K180" s="1750">
        <f ca="1">IFERROR(VLOOKUP(表格1[[#This Row],[商品
代碼]],'銀行-TSS'!B:I,8,FALSE),"")</f>
        <v>2</v>
      </c>
      <c r="L180" s="1747">
        <f ca="1">IFERROR(VLOOKUP(B180,'銀行-TSS'!B:K,10,FALSE),"")</f>
        <v>99.71</v>
      </c>
      <c r="M180" s="1745" t="str">
        <f ca="1">IF(表格1[[#This Row],[含息申購
參考價]]&gt;100,"溢價",IF(表格1[[#This Row],[含息申購
參考價]]&lt;100,"折價","平價"))</f>
        <v>折價</v>
      </c>
      <c r="N180" s="1751">
        <f ca="1">IFERROR(VLOOKUP(B180,'銀行-TSS'!B:M,12,FALSE),"")</f>
        <v>4.3400000000000001E-2</v>
      </c>
      <c r="O180" s="1752">
        <f ca="1">IFERROR(VLOOKUP(表格1[[#This Row],[商品
代碼]],'銀行-TSS'!B:AJ,35,FALSE),"")</f>
        <v>0</v>
      </c>
      <c r="P180" s="1753" t="str">
        <f ca="1">IFERROR(VLOOKUP(表格1[[#This Row],[商品
代碼]],'銀行-TSS'!B:AE,30,FALSE),"")</f>
        <v xml:space="preserve"> </v>
      </c>
      <c r="Q180" s="1749" t="str">
        <f ca="1">IFERROR(IF(VLOOKUP(表格1[[#This Row],[商品
代碼]],'銀行-TSS'!B:AM,38,FALSE)="#N/A Field Not Applicable","",VLOOKUP(表格1[[#This Row],[商品
代碼]],'銀行-TSS'!B:AM,38,FALSE)),"")</f>
        <v/>
      </c>
      <c r="R180" s="1749" t="str">
        <f ca="1">IFERROR(VLOOKUP(表格1[[#This Row],[商品
代碼]],'銀行-TSS'!B:AH,33,FALSE),"")</f>
        <v>美元(USD)</v>
      </c>
      <c r="S180" s="1754">
        <f ca="1">IFERROR(VLOOKUP(B180,'銀行-TSS'!B:N,13,FALSE),"")</f>
        <v>2000</v>
      </c>
      <c r="T180" s="1754" t="str">
        <f ca="1">VLOOKUP(表格1[[#This Row],[商品
代碼]],'銀行-TSS'!B:AI,34,FALSE)</f>
        <v>自由選清單</v>
      </c>
      <c r="U180" s="1755" t="str">
        <f ca="1">IFERROR(VLOOKUP(B180,'銀行-TSS'!B:Q,16,FALSE),"")</f>
        <v>核心消費</v>
      </c>
      <c r="V180" s="1755" t="str">
        <f ca="1">IFERROR(VLOOKUP(表格1[[#This Row],[商品
代碼]],'銀行-TSS'!B:AG,32,FALSE),"")</f>
        <v>固定</v>
      </c>
      <c r="W180" s="1756" t="str">
        <f ca="1">IFERROR(IFERROR(VLOOKUP(表格1[[#This Row],[商品
代碼]],'3_是否下架'!A:B,2,FALSE),VLOOKUP(表格1[[#This Row],[商品
代碼]],'銀行-TSS'!B:AK,36,FALSE)),"")</f>
        <v>有</v>
      </c>
      <c r="Y180" s="400"/>
      <c r="Z180" s="400"/>
      <c r="AA180" s="401"/>
    </row>
    <row r="181" spans="2:27" s="399" customFormat="1" ht="24.75" customHeight="1">
      <c r="B181" s="1745" t="s">
        <v>3956</v>
      </c>
      <c r="C181" s="1745" t="str">
        <f ca="1">IFERROR(VLOOKUP(表格1[[#This Row],[商品
代碼]],'銀行-TSS'!B:V,21,FALSE),"")</f>
        <v>(NPI)非專投</v>
      </c>
      <c r="D181" s="1746" t="str">
        <f>IFERROR(VLOOKUP(表格1[[#This Row],[商品
代碼]],bond!B:F,5,FALSE),"")</f>
        <v>US023135CR56</v>
      </c>
      <c r="E181" s="1746" t="str">
        <f ca="1">IFERROR(VLOOKUP(B181,'銀行-TSS'!B:D,3,FALSE),"")</f>
        <v>亞馬遜公司美元配息債券 4.7% 2032/12/1</v>
      </c>
      <c r="F181" s="1745" t="str">
        <f ca="1">IFERROR(VLOOKUP(B181,'銀行-TSS'!B:E,4,FALSE),"")</f>
        <v>A1 / AA / AA-</v>
      </c>
      <c r="G181" s="1747">
        <f ca="1">IFERROR(VLOOKUP(B181,'銀行-TSS'!B:G,6,FALSE),"")</f>
        <v>8.42</v>
      </c>
      <c r="H181" s="1748">
        <f ca="1">IFERROR(VLOOKUP(B181,'銀行-TSS'!B:H,7,FALSE),"")</f>
        <v>4.7E-2</v>
      </c>
      <c r="I181" s="1745" t="str">
        <f ca="1">IFERROR(IF(表格1[[#This Row],[配息頻率]]=0,"",CHOOSE(表格1[[#This Row],[配息頻率]],MONTH(J181),IF(MONTH(J181)&lt;=6,CONCATENATE(MONTH(J181)," / ",MONTH(J181)+6),CONCATENATE(MONTH(J181)-6," / ",MONTH(J181))),0,"2 / 4 / 8 / 11")),"")</f>
        <v>6 / 12</v>
      </c>
      <c r="J181" s="1749" t="str">
        <f ca="1">IFERROR(VLOOKUP(B181,'銀行-TSS'!B:P,15,FALSE),"")</f>
        <v>2024/12/1</v>
      </c>
      <c r="K181" s="1750">
        <f ca="1">IFERROR(VLOOKUP(表格1[[#This Row],[商品
代碼]],'銀行-TSS'!B:I,8,FALSE),"")</f>
        <v>2</v>
      </c>
      <c r="L181" s="1747">
        <f ca="1">IFERROR(VLOOKUP(B181,'銀行-TSS'!B:K,10,FALSE),"")</f>
        <v>101.47</v>
      </c>
      <c r="M181" s="1745" t="str">
        <f ca="1">IF(表格1[[#This Row],[含息申購
參考價]]&gt;100,"溢價",IF(表格1[[#This Row],[含息申購
參考價]]&lt;100,"折價","平價"))</f>
        <v>溢價</v>
      </c>
      <c r="N181" s="1751">
        <f ca="1">IFERROR(VLOOKUP(B181,'銀行-TSS'!B:M,12,FALSE),"")</f>
        <v>4.5499999999999999E-2</v>
      </c>
      <c r="O181" s="1752">
        <f ca="1">IFERROR(VLOOKUP(表格1[[#This Row],[商品
代碼]],'銀行-TSS'!B:AJ,35,FALSE),"")</f>
        <v>0</v>
      </c>
      <c r="P181" s="1753">
        <f ca="1">IFERROR(VLOOKUP(表格1[[#This Row],[商品
代碼]],'銀行-TSS'!B:AE,30,FALSE),"")</f>
        <v>4.5400000000000003E-2</v>
      </c>
      <c r="Q181" s="1749" t="str">
        <f ca="1">IFERROR(IF(VLOOKUP(表格1[[#This Row],[商品
代碼]],'銀行-TSS'!B:AM,38,FALSE)="#N/A Field Not Applicable","",VLOOKUP(表格1[[#This Row],[商品
代碼]],'銀行-TSS'!B:AM,38,FALSE)),"")</f>
        <v>2032/9/1</v>
      </c>
      <c r="R181" s="1749" t="str">
        <f ca="1">IFERROR(VLOOKUP(表格1[[#This Row],[商品
代碼]],'銀行-TSS'!B:AH,33,FALSE),"")</f>
        <v>美元(USD)</v>
      </c>
      <c r="S181" s="1754">
        <f ca="1">IFERROR(VLOOKUP(B181,'銀行-TSS'!B:N,13,FALSE),"")</f>
        <v>10000</v>
      </c>
      <c r="T181" s="1754" t="str">
        <f ca="1">VLOOKUP(表格1[[#This Row],[商品
代碼]],'銀行-TSS'!B:AI,34,FALSE)</f>
        <v>自由選清單</v>
      </c>
      <c r="U181" s="1755" t="str">
        <f ca="1">IFERROR(VLOOKUP(B181,'銀行-TSS'!B:Q,16,FALSE),"")</f>
        <v>非核心消費</v>
      </c>
      <c r="V181" s="1755" t="str">
        <f ca="1">IFERROR(VLOOKUP(表格1[[#This Row],[商品
代碼]],'銀行-TSS'!B:AG,32,FALSE),"")</f>
        <v>固定</v>
      </c>
      <c r="W181" s="1756" t="str">
        <f ca="1">IFERROR(IFERROR(VLOOKUP(表格1[[#This Row],[商品
代碼]],'3_是否下架'!A:B,2,FALSE),VLOOKUP(表格1[[#This Row],[商品
代碼]],'銀行-TSS'!B:AK,36,FALSE)),"")</f>
        <v>有</v>
      </c>
      <c r="Y181" s="400"/>
      <c r="Z181" s="400"/>
      <c r="AA181" s="401"/>
    </row>
    <row r="182" spans="2:27" s="399" customFormat="1" ht="24.75" customHeight="1">
      <c r="B182" s="1745" t="s">
        <v>962</v>
      </c>
      <c r="C182" s="1745" t="str">
        <f ca="1">IFERROR(VLOOKUP(表格1[[#This Row],[商品
代碼]],'銀行-TSS'!B:V,21,FALSE),"")</f>
        <v>(NPI)非專投</v>
      </c>
      <c r="D182" s="1746" t="str">
        <f>IFERROR(VLOOKUP(表格1[[#This Row],[商品
代碼]],bond!B:F,5,FALSE),"")</f>
        <v>XS1697550512</v>
      </c>
      <c r="E182" s="1746" t="str">
        <f ca="1">IFERROR(VLOOKUP(B182,'銀行-TSS'!B:D,3,FALSE),"")</f>
        <v>歐洲投資銀行南非幣零息債券 0% 2032/10/18</v>
      </c>
      <c r="F182" s="1745" t="str">
        <f ca="1">IFERROR(VLOOKUP(B182,'銀行-TSS'!B:E,4,FALSE),"")</f>
        <v>Aaa / AAA / AAA</v>
      </c>
      <c r="G182" s="1747">
        <f ca="1">IFERROR(VLOOKUP(B182,'銀行-TSS'!B:G,6,FALSE),"")</f>
        <v>8.2899999999999991</v>
      </c>
      <c r="H182" s="1748">
        <f ca="1">IFERROR(VLOOKUP(B182,'銀行-TSS'!B:H,7,FALSE),"")</f>
        <v>0</v>
      </c>
      <c r="I182" s="1745" t="str">
        <f ca="1">IFERROR(IF(表格1[[#This Row],[配息頻率]]=0,"",CHOOSE(表格1[[#This Row],[配息頻率]],MONTH(J182),IF(MONTH(J182)&lt;=6,CONCATENATE(MONTH(J182)," / ",MONTH(J182)+6),CONCATENATE(MONTH(J182)-6," / ",MONTH(J182))),0,"2 / 4 / 8 / 11")),"")</f>
        <v/>
      </c>
      <c r="J182" s="1749" t="str">
        <f ca="1">IFERROR(VLOOKUP(B182,'銀行-TSS'!B:P,15,FALSE),"")</f>
        <v>#N/A Field Not Applicable</v>
      </c>
      <c r="K182" s="1750">
        <f ca="1">IFERROR(VLOOKUP(表格1[[#This Row],[商品
代碼]],'銀行-TSS'!B:I,8,FALSE),"")</f>
        <v>0</v>
      </c>
      <c r="L182" s="1747">
        <f ca="1">IFERROR(VLOOKUP(B182,'銀行-TSS'!B:K,10,FALSE),"")</f>
        <v>49.89</v>
      </c>
      <c r="M182" s="1745" t="str">
        <f ca="1">IF(表格1[[#This Row],[含息申購
參考價]]&gt;100,"溢價",IF(表格1[[#This Row],[含息申購
參考價]]&lt;100,"折價","平價"))</f>
        <v>折價</v>
      </c>
      <c r="N182" s="1751">
        <f ca="1">IFERROR(VLOOKUP(B182,'銀行-TSS'!B:M,12,FALSE),"")</f>
        <v>8.7499999999999994E-2</v>
      </c>
      <c r="O182" s="1752">
        <f ca="1">IFERROR(VLOOKUP(表格1[[#This Row],[商品
代碼]],'銀行-TSS'!B:AJ,35,FALSE),"")</f>
        <v>1</v>
      </c>
      <c r="P182" s="1753" t="str">
        <f ca="1">IFERROR(VLOOKUP(表格1[[#This Row],[商品
代碼]],'銀行-TSS'!B:AE,30,FALSE),"")</f>
        <v xml:space="preserve"> </v>
      </c>
      <c r="Q182" s="1749" t="str">
        <f ca="1">IFERROR(IF(VLOOKUP(表格1[[#This Row],[商品
代碼]],'銀行-TSS'!B:AM,38,FALSE)="#N/A Field Not Applicable","",VLOOKUP(表格1[[#This Row],[商品
代碼]],'銀行-TSS'!B:AM,38,FALSE)),"")</f>
        <v/>
      </c>
      <c r="R182" s="1749" t="str">
        <f ca="1">IFERROR(VLOOKUP(表格1[[#This Row],[商品
代碼]],'銀行-TSS'!B:AH,33,FALSE),"")</f>
        <v>南非幣(ZAR)</v>
      </c>
      <c r="S182" s="1754">
        <f ca="1">IFERROR(VLOOKUP(B182,'銀行-TSS'!B:N,13,FALSE),"")</f>
        <v>10000</v>
      </c>
      <c r="T182" s="1754" t="str">
        <f ca="1">VLOOKUP(表格1[[#This Row],[商品
代碼]],'銀行-TSS'!B:AI,34,FALSE)</f>
        <v/>
      </c>
      <c r="U182" s="1755" t="str">
        <f ca="1">IFERROR(VLOOKUP(B182,'銀行-TSS'!B:Q,16,FALSE),"")</f>
        <v>政府</v>
      </c>
      <c r="V182" s="1755" t="str">
        <f ca="1">IFERROR(VLOOKUP(表格1[[#This Row],[商品
代碼]],'銀行-TSS'!B:AG,32,FALSE),"")</f>
        <v>零息</v>
      </c>
      <c r="W182" s="1756" t="str">
        <f ca="1">IFERROR(IFERROR(VLOOKUP(表格1[[#This Row],[商品
代碼]],'3_是否下架'!A:B,2,FALSE),VLOOKUP(表格1[[#This Row],[商品
代碼]],'銀行-TSS'!B:AK,36,FALSE)),"")</f>
        <v>需查詢</v>
      </c>
      <c r="Y182" s="400"/>
      <c r="Z182" s="400"/>
      <c r="AA182" s="401"/>
    </row>
    <row r="183" spans="2:27" s="399" customFormat="1" ht="24.75" customHeight="1">
      <c r="B183" s="1745" t="s">
        <v>1220</v>
      </c>
      <c r="C183" s="1745" t="str">
        <f ca="1">IFERROR(VLOOKUP(表格1[[#This Row],[商品
代碼]],'銀行-TSS'!B:V,21,FALSE),"")</f>
        <v>(NPI)非專投</v>
      </c>
      <c r="D183" s="1746" t="str">
        <f>IFERROR(VLOOKUP(表格1[[#This Row],[商品
代碼]],bond!B:F,5,FALSE),"")</f>
        <v>US30303M8H84</v>
      </c>
      <c r="E183" s="1746" t="str">
        <f ca="1">IFERROR(VLOOKUP(B183,'銀行-TSS'!B:D,3,FALSE),"")</f>
        <v>META平台公司美元配息債券 3.85% 2032/8/15</v>
      </c>
      <c r="F183" s="1745" t="str">
        <f ca="1">IFERROR(VLOOKUP(B183,'銀行-TSS'!B:E,4,FALSE),"")</f>
        <v>Aa3 / AA- / -</v>
      </c>
      <c r="G183" s="1747">
        <f ca="1">IFERROR(VLOOKUP(B183,'銀行-TSS'!B:G,6,FALSE),"")</f>
        <v>8.1199999999999992</v>
      </c>
      <c r="H183" s="1748">
        <f ca="1">IFERROR(VLOOKUP(B183,'銀行-TSS'!B:H,7,FALSE),"")</f>
        <v>3.85E-2</v>
      </c>
      <c r="I183" s="1745" t="str">
        <f ca="1">IFERROR(IF(表格1[[#This Row],[配息頻率]]=0,"",CHOOSE(表格1[[#This Row],[配息頻率]],MONTH(J183),IF(MONTH(J183)&lt;=6,CONCATENATE(MONTH(J183)," / ",MONTH(J183)+6),CONCATENATE(MONTH(J183)-6," / ",MONTH(J183))),0,"2 / 4 / 8 / 11")),"")</f>
        <v>2 / 8</v>
      </c>
      <c r="J183" s="1749" t="str">
        <f ca="1">IFERROR(VLOOKUP(B183,'銀行-TSS'!B:P,15,FALSE),"")</f>
        <v>2024/8/15</v>
      </c>
      <c r="K183" s="1750">
        <f ca="1">IFERROR(VLOOKUP(表格1[[#This Row],[商品
代碼]],'銀行-TSS'!B:I,8,FALSE),"")</f>
        <v>2</v>
      </c>
      <c r="L183" s="1747">
        <f ca="1">IFERROR(VLOOKUP(B183,'銀行-TSS'!B:K,10,FALSE),"")</f>
        <v>96.96</v>
      </c>
      <c r="M183" s="1745" t="str">
        <f ca="1">IF(表格1[[#This Row],[含息申購
參考價]]&gt;100,"溢價",IF(表格1[[#This Row],[含息申購
參考價]]&lt;100,"折價","平價"))</f>
        <v>折價</v>
      </c>
      <c r="N183" s="1751">
        <f ca="1">IFERROR(VLOOKUP(B183,'銀行-TSS'!B:M,12,FALSE),"")</f>
        <v>4.5199999999999997E-2</v>
      </c>
      <c r="O183" s="1752">
        <f ca="1">IFERROR(VLOOKUP(表格1[[#This Row],[商品
代碼]],'銀行-TSS'!B:AJ,35,FALSE),"")</f>
        <v>0</v>
      </c>
      <c r="P183" s="1753">
        <f ca="1">IFERROR(VLOOKUP(表格1[[#This Row],[商品
代碼]],'銀行-TSS'!B:AE,30,FALSE),"")</f>
        <v>4.5400000000000003E-2</v>
      </c>
      <c r="Q183" s="1749" t="str">
        <f ca="1">IFERROR(IF(VLOOKUP(表格1[[#This Row],[商品
代碼]],'銀行-TSS'!B:AM,38,FALSE)="#N/A Field Not Applicable","",VLOOKUP(表格1[[#This Row],[商品
代碼]],'銀行-TSS'!B:AM,38,FALSE)),"")</f>
        <v>2032/5/15</v>
      </c>
      <c r="R183" s="1749" t="str">
        <f ca="1">IFERROR(VLOOKUP(表格1[[#This Row],[商品
代碼]],'銀行-TSS'!B:AH,33,FALSE),"")</f>
        <v>美元(USD)</v>
      </c>
      <c r="S183" s="1754">
        <f ca="1">IFERROR(VLOOKUP(B183,'銀行-TSS'!B:N,13,FALSE),"")</f>
        <v>10000</v>
      </c>
      <c r="T183" s="1754" t="str">
        <f ca="1">VLOOKUP(表格1[[#This Row],[商品
代碼]],'銀行-TSS'!B:AI,34,FALSE)</f>
        <v>自由選清單</v>
      </c>
      <c r="U183" s="1755" t="str">
        <f ca="1">IFERROR(VLOOKUP(B183,'銀行-TSS'!B:Q,16,FALSE),"")</f>
        <v>通訊</v>
      </c>
      <c r="V183" s="1755" t="str">
        <f ca="1">IFERROR(VLOOKUP(表格1[[#This Row],[商品
代碼]],'銀行-TSS'!B:AG,32,FALSE),"")</f>
        <v>固定</v>
      </c>
      <c r="W183" s="1756" t="str">
        <f ca="1">IFERROR(IFERROR(VLOOKUP(表格1[[#This Row],[商品
代碼]],'3_是否下架'!A:B,2,FALSE),VLOOKUP(表格1[[#This Row],[商品
代碼]],'銀行-TSS'!B:AK,36,FALSE)),"")</f>
        <v>有</v>
      </c>
      <c r="Y183" s="400"/>
      <c r="Z183" s="400"/>
      <c r="AA183" s="401"/>
    </row>
    <row r="184" spans="2:27" s="399" customFormat="1" ht="24.75" customHeight="1">
      <c r="B184" s="1745" t="s">
        <v>1226</v>
      </c>
      <c r="C184" s="1745" t="str">
        <f ca="1">IFERROR(VLOOKUP(表格1[[#This Row],[商品
代碼]],'銀行-TSS'!B:V,21,FALSE),"")</f>
        <v>(NPI)非專投</v>
      </c>
      <c r="D184" s="1746" t="str">
        <f>IFERROR(VLOOKUP(表格1[[#This Row],[商品
代碼]],bond!B:F,5,FALSE),"")</f>
        <v>US194162AP89</v>
      </c>
      <c r="E184" s="1746" t="str">
        <f ca="1">IFERROR(VLOOKUP(B184,'銀行-TSS'!B:D,3,FALSE),"")</f>
        <v>高露潔-棕欖公司美元配息債券 3.25% 2032/8/15</v>
      </c>
      <c r="F184" s="1745" t="str">
        <f ca="1">IFERROR(VLOOKUP(B184,'銀行-TSS'!B:E,4,FALSE),"")</f>
        <v>Aa3 / A+ / -</v>
      </c>
      <c r="G184" s="1747">
        <f ca="1">IFERROR(VLOOKUP(B184,'銀行-TSS'!B:G,6,FALSE),"")</f>
        <v>8.1199999999999992</v>
      </c>
      <c r="H184" s="1748">
        <f ca="1">IFERROR(VLOOKUP(B184,'銀行-TSS'!B:H,7,FALSE),"")</f>
        <v>3.2500000000000001E-2</v>
      </c>
      <c r="I184" s="1745" t="str">
        <f ca="1">IFERROR(IF(表格1[[#This Row],[配息頻率]]=0,"",CHOOSE(表格1[[#This Row],[配息頻率]],MONTH(J184),IF(MONTH(J184)&lt;=6,CONCATENATE(MONTH(J184)," / ",MONTH(J184)+6),CONCATENATE(MONTH(J184)-6," / ",MONTH(J184))),0,"2 / 4 / 8 / 11")),"")</f>
        <v>2 / 8</v>
      </c>
      <c r="J184" s="1749" t="str">
        <f ca="1">IFERROR(VLOOKUP(B184,'銀行-TSS'!B:P,15,FALSE),"")</f>
        <v>2024/8/15</v>
      </c>
      <c r="K184" s="1750">
        <f ca="1">IFERROR(VLOOKUP(表格1[[#This Row],[商品
代碼]],'銀行-TSS'!B:I,8,FALSE),"")</f>
        <v>2</v>
      </c>
      <c r="L184" s="1747">
        <f ca="1">IFERROR(VLOOKUP(B184,'銀行-TSS'!B:K,10,FALSE),"")</f>
        <v>93.26</v>
      </c>
      <c r="M184" s="1745" t="str">
        <f ca="1">IF(表格1[[#This Row],[含息申購
參考價]]&gt;100,"溢價",IF(表格1[[#This Row],[含息申購
參考價]]&lt;100,"折價","平價"))</f>
        <v>折價</v>
      </c>
      <c r="N184" s="1751">
        <f ca="1">IFERROR(VLOOKUP(B184,'銀行-TSS'!B:M,12,FALSE),"")</f>
        <v>4.4299999999999999E-2</v>
      </c>
      <c r="O184" s="1752">
        <f ca="1">IFERROR(VLOOKUP(表格1[[#This Row],[商品
代碼]],'銀行-TSS'!B:AJ,35,FALSE),"")</f>
        <v>0</v>
      </c>
      <c r="P184" s="1753">
        <f ca="1">IFERROR(VLOOKUP(表格1[[#This Row],[商品
代碼]],'銀行-TSS'!B:AE,30,FALSE),"")</f>
        <v>4.4600000000000001E-2</v>
      </c>
      <c r="Q184" s="1749" t="str">
        <f ca="1">IFERROR(IF(VLOOKUP(表格1[[#This Row],[商品
代碼]],'銀行-TSS'!B:AM,38,FALSE)="#N/A Field Not Applicable","",VLOOKUP(表格1[[#This Row],[商品
代碼]],'銀行-TSS'!B:AM,38,FALSE)),"")</f>
        <v>2032/5/15</v>
      </c>
      <c r="R184" s="1749" t="str">
        <f ca="1">IFERROR(VLOOKUP(表格1[[#This Row],[商品
代碼]],'銀行-TSS'!B:AH,33,FALSE),"")</f>
        <v>美元(USD)</v>
      </c>
      <c r="S184" s="1754">
        <f ca="1">IFERROR(VLOOKUP(B184,'銀行-TSS'!B:N,13,FALSE),"")</f>
        <v>10000</v>
      </c>
      <c r="T184" s="1754" t="str">
        <f ca="1">VLOOKUP(表格1[[#This Row],[商品
代碼]],'銀行-TSS'!B:AI,34,FALSE)</f>
        <v>自由選清單</v>
      </c>
      <c r="U184" s="1755" t="str">
        <f ca="1">IFERROR(VLOOKUP(B184,'銀行-TSS'!B:Q,16,FALSE),"")</f>
        <v>核心消費</v>
      </c>
      <c r="V184" s="1755" t="str">
        <f ca="1">IFERROR(VLOOKUP(表格1[[#This Row],[商品
代碼]],'銀行-TSS'!B:AG,32,FALSE),"")</f>
        <v>固定</v>
      </c>
      <c r="W184" s="1756" t="str">
        <f ca="1">IFERROR(IFERROR(VLOOKUP(表格1[[#This Row],[商品
代碼]],'3_是否下架'!A:B,2,FALSE),VLOOKUP(表格1[[#This Row],[商品
代碼]],'銀行-TSS'!B:AK,36,FALSE)),"")</f>
        <v>有</v>
      </c>
      <c r="Y184" s="400"/>
      <c r="Z184" s="400"/>
      <c r="AA184" s="401"/>
    </row>
    <row r="185" spans="2:27" s="399" customFormat="1" ht="24.75" customHeight="1">
      <c r="B185" s="1745" t="s">
        <v>1218</v>
      </c>
      <c r="C185" s="1745" t="str">
        <f ca="1">IFERROR(VLOOKUP(表格1[[#This Row],[商品
代碼]],'銀行-TSS'!B:V,21,FALSE),"")</f>
        <v>(NPI)非專投</v>
      </c>
      <c r="D185" s="1746" t="str">
        <f>IFERROR(VLOOKUP(表格1[[#This Row],[商品
代碼]],bond!B:F,5,FALSE),"")</f>
        <v>US037833EP10</v>
      </c>
      <c r="E185" s="1746" t="str">
        <f ca="1">IFERROR(VLOOKUP(B185,'銀行-TSS'!B:D,3,FALSE),"")</f>
        <v>蘋果公司美元配息債券 3.35% 2032/8/8</v>
      </c>
      <c r="F185" s="1745" t="str">
        <f ca="1">IFERROR(VLOOKUP(B185,'銀行-TSS'!B:E,4,FALSE),"")</f>
        <v>Aaa / AA+ / -</v>
      </c>
      <c r="G185" s="1747">
        <f ca="1">IFERROR(VLOOKUP(B185,'銀行-TSS'!B:G,6,FALSE),"")</f>
        <v>8.1</v>
      </c>
      <c r="H185" s="1748">
        <f ca="1">IFERROR(VLOOKUP(B185,'銀行-TSS'!B:H,7,FALSE),"")</f>
        <v>3.3500000000000002E-2</v>
      </c>
      <c r="I185" s="1745" t="str">
        <f ca="1">IFERROR(IF(表格1[[#This Row],[配息頻率]]=0,"",CHOOSE(表格1[[#This Row],[配息頻率]],MONTH(J185),IF(MONTH(J185)&lt;=6,CONCATENATE(MONTH(J185)," / ",MONTH(J185)+6),CONCATENATE(MONTH(J185)-6," / ",MONTH(J185))),0,"2 / 4 / 8 / 11")),"")</f>
        <v>2 / 8</v>
      </c>
      <c r="J185" s="1749" t="str">
        <f ca="1">IFERROR(VLOOKUP(B185,'銀行-TSS'!B:P,15,FALSE),"")</f>
        <v>2024/8/8</v>
      </c>
      <c r="K185" s="1750">
        <f ca="1">IFERROR(VLOOKUP(表格1[[#This Row],[商品
代碼]],'銀行-TSS'!B:I,8,FALSE),"")</f>
        <v>2</v>
      </c>
      <c r="L185" s="1747">
        <f ca="1">IFERROR(VLOOKUP(B185,'銀行-TSS'!B:K,10,FALSE),"")</f>
        <v>94.58</v>
      </c>
      <c r="M185" s="1745" t="str">
        <f ca="1">IF(表格1[[#This Row],[含息申購
參考價]]&gt;100,"溢價",IF(表格1[[#This Row],[含息申購
參考價]]&lt;100,"折價","平價"))</f>
        <v>折價</v>
      </c>
      <c r="N185" s="1751">
        <f ca="1">IFERROR(VLOOKUP(B185,'銀行-TSS'!B:M,12,FALSE),"")</f>
        <v>4.3499999999999997E-2</v>
      </c>
      <c r="O185" s="1752">
        <f ca="1">IFERROR(VLOOKUP(表格1[[#This Row],[商品
代碼]],'銀行-TSS'!B:AJ,35,FALSE),"")</f>
        <v>0</v>
      </c>
      <c r="P185" s="1753">
        <f ca="1">IFERROR(VLOOKUP(表格1[[#This Row],[商品
代碼]],'銀行-TSS'!B:AE,30,FALSE),"")</f>
        <v>4.3799999999999999E-2</v>
      </c>
      <c r="Q185" s="1749" t="str">
        <f ca="1">IFERROR(IF(VLOOKUP(表格1[[#This Row],[商品
代碼]],'銀行-TSS'!B:AM,38,FALSE)="#N/A Field Not Applicable","",VLOOKUP(表格1[[#This Row],[商品
代碼]],'銀行-TSS'!B:AM,38,FALSE)),"")</f>
        <v>2032/5/8</v>
      </c>
      <c r="R185" s="1749" t="str">
        <f ca="1">IFERROR(VLOOKUP(表格1[[#This Row],[商品
代碼]],'銀行-TSS'!B:AH,33,FALSE),"")</f>
        <v>美元(USD)</v>
      </c>
      <c r="S185" s="1754">
        <f ca="1">IFERROR(VLOOKUP(B185,'銀行-TSS'!B:N,13,FALSE),"")</f>
        <v>10000</v>
      </c>
      <c r="T185" s="1754" t="str">
        <f ca="1">VLOOKUP(表格1[[#This Row],[商品
代碼]],'銀行-TSS'!B:AI,34,FALSE)</f>
        <v>自由選清單</v>
      </c>
      <c r="U185" s="1755" t="str">
        <f ca="1">IFERROR(VLOOKUP(B185,'銀行-TSS'!B:Q,16,FALSE),"")</f>
        <v>科技</v>
      </c>
      <c r="V185" s="1755" t="str">
        <f ca="1">IFERROR(VLOOKUP(表格1[[#This Row],[商品
代碼]],'銀行-TSS'!B:AG,32,FALSE),"")</f>
        <v>固定</v>
      </c>
      <c r="W185" s="1756" t="str">
        <f ca="1">IFERROR(IFERROR(VLOOKUP(表格1[[#This Row],[商品
代碼]],'3_是否下架'!A:B,2,FALSE),VLOOKUP(表格1[[#This Row],[商品
代碼]],'銀行-TSS'!B:AK,36,FALSE)),"")</f>
        <v>有</v>
      </c>
      <c r="Y185" s="400"/>
      <c r="Z185" s="400"/>
      <c r="AA185" s="401"/>
    </row>
    <row r="186" spans="2:27" s="399" customFormat="1" ht="24.75" customHeight="1">
      <c r="B186" s="1745" t="s">
        <v>1145</v>
      </c>
      <c r="C186" s="1745" t="str">
        <f ca="1">IFERROR(VLOOKUP(表格1[[#This Row],[商品
代碼]],'銀行-TSS'!B:V,21,FALSE),"")</f>
        <v>(PI)專投</v>
      </c>
      <c r="D186" s="1746" t="str">
        <f>IFERROR(VLOOKUP(表格1[[#This Row],[商品
代碼]],bond!B:F,5,FALSE),"")</f>
        <v>XS2399787899</v>
      </c>
      <c r="E186" s="1746" t="str">
        <f ca="1">IFERROR(VLOOKUP(B186,'銀行-TSS'!B:D,3,FALSE),"")</f>
        <v>印多福公司美元配息債券 3.541% 2032/4/27</v>
      </c>
      <c r="F186" s="1745" t="str">
        <f ca="1">IFERROR(VLOOKUP(B186,'銀行-TSS'!B:E,4,FALSE),"")</f>
        <v>Baa3 / - / BBB-</v>
      </c>
      <c r="G186" s="1747">
        <f ca="1">IFERROR(VLOOKUP(B186,'銀行-TSS'!B:G,6,FALSE),"")</f>
        <v>7.82</v>
      </c>
      <c r="H186" s="1748">
        <f ca="1">IFERROR(VLOOKUP(B186,'銀行-TSS'!B:H,7,FALSE),"")</f>
        <v>3.5409999999999997E-2</v>
      </c>
      <c r="I186" s="1745" t="str">
        <f ca="1">IFERROR(IF(表格1[[#This Row],[配息頻率]]=0,"",CHOOSE(表格1[[#This Row],[配息頻率]],MONTH(J186),IF(MONTH(J186)&lt;=6,CONCATENATE(MONTH(J186)," / ",MONTH(J186)+6),CONCATENATE(MONTH(J186)-6," / ",MONTH(J186))),0,"2 / 4 / 8 / 11")),"")</f>
        <v>4 / 10</v>
      </c>
      <c r="J186" s="1749" t="str">
        <f ca="1">IFERROR(VLOOKUP(B186,'銀行-TSS'!B:P,15,FALSE),"")</f>
        <v>2024/10/27</v>
      </c>
      <c r="K186" s="1750">
        <f ca="1">IFERROR(VLOOKUP(表格1[[#This Row],[商品
代碼]],'銀行-TSS'!B:I,8,FALSE),"")</f>
        <v>2</v>
      </c>
      <c r="L186" s="1747">
        <f ca="1">IFERROR(VLOOKUP(B186,'銀行-TSS'!B:K,10,FALSE),"")</f>
        <v>89.61</v>
      </c>
      <c r="M186" s="1745" t="str">
        <f ca="1">IF(表格1[[#This Row],[含息申購
參考價]]&gt;100,"溢價",IF(表格1[[#This Row],[含息申購
參考價]]&lt;100,"折價","平價"))</f>
        <v>折價</v>
      </c>
      <c r="N186" s="1751">
        <f ca="1">IFERROR(VLOOKUP(B186,'銀行-TSS'!B:M,12,FALSE),"")</f>
        <v>5.28E-2</v>
      </c>
      <c r="O186" s="1752">
        <f ca="1">IFERROR(VLOOKUP(表格1[[#This Row],[商品
代碼]],'銀行-TSS'!B:AJ,35,FALSE),"")</f>
        <v>0</v>
      </c>
      <c r="P186" s="1753">
        <f ca="1">IFERROR(VLOOKUP(表格1[[#This Row],[商品
代碼]],'銀行-TSS'!B:AE,30,FALSE),"")</f>
        <v>5.3900000000000003E-2</v>
      </c>
      <c r="Q186" s="1749" t="str">
        <f ca="1">IFERROR(IF(VLOOKUP(表格1[[#This Row],[商品
代碼]],'銀行-TSS'!B:AM,38,FALSE)="#N/A Field Not Applicable","",VLOOKUP(表格1[[#This Row],[商品
代碼]],'銀行-TSS'!B:AM,38,FALSE)),"")</f>
        <v>2031/10/27</v>
      </c>
      <c r="R186" s="1749" t="str">
        <f ca="1">IFERROR(VLOOKUP(表格1[[#This Row],[商品
代碼]],'銀行-TSS'!B:AH,33,FALSE),"")</f>
        <v>美元(USD)</v>
      </c>
      <c r="S186" s="1754">
        <f ca="1">IFERROR(VLOOKUP(B186,'銀行-TSS'!B:N,13,FALSE),"")</f>
        <v>200000</v>
      </c>
      <c r="T186" s="1754" t="str">
        <f ca="1">VLOOKUP(表格1[[#This Row],[商品
代碼]],'銀行-TSS'!B:AI,34,FALSE)</f>
        <v>自由選清單</v>
      </c>
      <c r="U186" s="1755" t="str">
        <f ca="1">IFERROR(VLOOKUP(B186,'銀行-TSS'!B:Q,16,FALSE),"")</f>
        <v>核心消費</v>
      </c>
      <c r="V186" s="1755" t="str">
        <f ca="1">IFERROR(VLOOKUP(表格1[[#This Row],[商品
代碼]],'銀行-TSS'!B:AG,32,FALSE),"")</f>
        <v>固定</v>
      </c>
      <c r="W186" s="1756" t="str">
        <f ca="1">IFERROR(IFERROR(VLOOKUP(表格1[[#This Row],[商品
代碼]],'3_是否下架'!A:B,2,FALSE),VLOOKUP(表格1[[#This Row],[商品
代碼]],'銀行-TSS'!B:AK,36,FALSE)),"")</f>
        <v>有</v>
      </c>
      <c r="Y186" s="400"/>
      <c r="Z186" s="400"/>
      <c r="AA186" s="401"/>
    </row>
    <row r="187" spans="2:27" s="399" customFormat="1" ht="24.75" customHeight="1">
      <c r="B187" s="1745" t="s">
        <v>3950</v>
      </c>
      <c r="C187" s="1745" t="str">
        <f ca="1">IFERROR(VLOOKUP(表格1[[#This Row],[商品
代碼]],'銀行-TSS'!B:V,21,FALSE),"")</f>
        <v>(NPI)非專投</v>
      </c>
      <c r="D187" s="1746" t="str">
        <f>IFERROR(VLOOKUP(表格1[[#This Row],[商品
代碼]],bond!B:F,5,FALSE),"")</f>
        <v>US023135CH74</v>
      </c>
      <c r="E187" s="1746" t="str">
        <f ca="1">IFERROR(VLOOKUP(B187,'銀行-TSS'!B:D,3,FALSE),"")</f>
        <v>亞馬遜公司美元配息債券 3.6% 2032/4/13</v>
      </c>
      <c r="F187" s="1745" t="str">
        <f ca="1">IFERROR(VLOOKUP(B187,'銀行-TSS'!B:E,4,FALSE),"")</f>
        <v>A1 / AA / AA-</v>
      </c>
      <c r="G187" s="1747">
        <f ca="1">IFERROR(VLOOKUP(B187,'銀行-TSS'!B:G,6,FALSE),"")</f>
        <v>7.78</v>
      </c>
      <c r="H187" s="1748">
        <f ca="1">IFERROR(VLOOKUP(B187,'銀行-TSS'!B:H,7,FALSE),"")</f>
        <v>3.6000000000000004E-2</v>
      </c>
      <c r="I187" s="1745" t="str">
        <f ca="1">IFERROR(IF(表格1[[#This Row],[配息頻率]]=0,"",CHOOSE(表格1[[#This Row],[配息頻率]],MONTH(J187),IF(MONTH(J187)&lt;=6,CONCATENATE(MONTH(J187)," / ",MONTH(J187)+6),CONCATENATE(MONTH(J187)-6," / ",MONTH(J187))),0,"2 / 4 / 8 / 11")),"")</f>
        <v>4 / 10</v>
      </c>
      <c r="J187" s="1749" t="str">
        <f ca="1">IFERROR(VLOOKUP(B187,'銀行-TSS'!B:P,15,FALSE),"")</f>
        <v>2024/10/13</v>
      </c>
      <c r="K187" s="1750">
        <f ca="1">IFERROR(VLOOKUP(表格1[[#This Row],[商品
代碼]],'銀行-TSS'!B:I,8,FALSE),"")</f>
        <v>2</v>
      </c>
      <c r="L187" s="1747">
        <f ca="1">IFERROR(VLOOKUP(B187,'銀行-TSS'!B:K,10,FALSE),"")</f>
        <v>94.65</v>
      </c>
      <c r="M187" s="1745" t="str">
        <f ca="1">IF(表格1[[#This Row],[含息申購
參考價]]&gt;100,"溢價",IF(表格1[[#This Row],[含息申購
參考價]]&lt;100,"折價","平價"))</f>
        <v>折價</v>
      </c>
      <c r="N187" s="1751">
        <f ca="1">IFERROR(VLOOKUP(B187,'銀行-TSS'!B:M,12,FALSE),"")</f>
        <v>4.5400000000000003E-2</v>
      </c>
      <c r="O187" s="1752">
        <f ca="1">IFERROR(VLOOKUP(表格1[[#This Row],[商品
代碼]],'銀行-TSS'!B:AJ,35,FALSE),"")</f>
        <v>0</v>
      </c>
      <c r="P187" s="1753">
        <f ca="1">IFERROR(VLOOKUP(表格1[[#This Row],[商品
代碼]],'銀行-TSS'!B:AE,30,FALSE),"")</f>
        <v>4.5699999999999998E-2</v>
      </c>
      <c r="Q187" s="1749" t="str">
        <f ca="1">IFERROR(IF(VLOOKUP(表格1[[#This Row],[商品
代碼]],'銀行-TSS'!B:AM,38,FALSE)="#N/A Field Not Applicable","",VLOOKUP(表格1[[#This Row],[商品
代碼]],'銀行-TSS'!B:AM,38,FALSE)),"")</f>
        <v>2032/1/13</v>
      </c>
      <c r="R187" s="1749" t="str">
        <f ca="1">IFERROR(VLOOKUP(表格1[[#This Row],[商品
代碼]],'銀行-TSS'!B:AH,33,FALSE),"")</f>
        <v>美元(USD)</v>
      </c>
      <c r="S187" s="1754">
        <f ca="1">IFERROR(VLOOKUP(B187,'銀行-TSS'!B:N,13,FALSE),"")</f>
        <v>10000</v>
      </c>
      <c r="T187" s="1754" t="str">
        <f ca="1">VLOOKUP(表格1[[#This Row],[商品
代碼]],'銀行-TSS'!B:AI,34,FALSE)</f>
        <v>自由選清單</v>
      </c>
      <c r="U187" s="1755" t="str">
        <f ca="1">IFERROR(VLOOKUP(B187,'銀行-TSS'!B:Q,16,FALSE),"")</f>
        <v>非核心消費</v>
      </c>
      <c r="V187" s="1755" t="str">
        <f ca="1">IFERROR(VLOOKUP(表格1[[#This Row],[商品
代碼]],'銀行-TSS'!B:AG,32,FALSE),"")</f>
        <v>固定</v>
      </c>
      <c r="W187" s="1756" t="str">
        <f ca="1">IFERROR(IFERROR(VLOOKUP(表格1[[#This Row],[商品
代碼]],'3_是否下架'!A:B,2,FALSE),VLOOKUP(表格1[[#This Row],[商品
代碼]],'銀行-TSS'!B:AK,36,FALSE)),"")</f>
        <v>有</v>
      </c>
      <c r="Y187" s="400"/>
      <c r="Z187" s="400"/>
      <c r="AA187" s="401"/>
    </row>
    <row r="188" spans="2:27" s="399" customFormat="1" ht="24.75" customHeight="1">
      <c r="B188" s="1745" t="s">
        <v>1182</v>
      </c>
      <c r="C188" s="1745" t="str">
        <f ca="1">IFERROR(VLOOKUP(表格1[[#This Row],[商品
代碼]],'銀行-TSS'!B:V,21,FALSE),"")</f>
        <v>(NPI)非專投</v>
      </c>
      <c r="D188" s="1746" t="str">
        <f>IFERROR(VLOOKUP(表格1[[#This Row],[商品
代碼]],bond!B:F,5,FALSE),"")</f>
        <v>USU09513JL42</v>
      </c>
      <c r="E188" s="1746" t="str">
        <f ca="1">IFERROR(VLOOKUP(B188,'銀行-TSS'!B:D,3,FALSE),"")</f>
        <v>寶馬美國資本有限責任公司美元配息債券 3.7% 2032/4/1</v>
      </c>
      <c r="F188" s="1745" t="str">
        <f ca="1">IFERROR(VLOOKUP(B188,'銀行-TSS'!B:E,4,FALSE),"")</f>
        <v>A2 / A / -</v>
      </c>
      <c r="G188" s="1747">
        <f ca="1">IFERROR(VLOOKUP(B188,'銀行-TSS'!B:G,6,FALSE),"")</f>
        <v>7.75</v>
      </c>
      <c r="H188" s="1748">
        <f ca="1">IFERROR(VLOOKUP(B188,'銀行-TSS'!B:H,7,FALSE),"")</f>
        <v>3.7000000000000005E-2</v>
      </c>
      <c r="I188" s="1745" t="str">
        <f ca="1">IFERROR(IF(表格1[[#This Row],[配息頻率]]=0,"",CHOOSE(表格1[[#This Row],[配息頻率]],MONTH(J188),IF(MONTH(J188)&lt;=6,CONCATENATE(MONTH(J188)," / ",MONTH(J188)+6),CONCATENATE(MONTH(J188)-6," / ",MONTH(J188))),0,"2 / 4 / 8 / 11")),"")</f>
        <v>4 / 10</v>
      </c>
      <c r="J188" s="1749" t="str">
        <f ca="1">IFERROR(VLOOKUP(B188,'銀行-TSS'!B:P,15,FALSE),"")</f>
        <v>2024/10/1</v>
      </c>
      <c r="K188" s="1750">
        <f ca="1">IFERROR(VLOOKUP(表格1[[#This Row],[商品
代碼]],'銀行-TSS'!B:I,8,FALSE),"")</f>
        <v>2</v>
      </c>
      <c r="L188" s="1747">
        <f ca="1">IFERROR(VLOOKUP(B188,'銀行-TSS'!B:K,10,FALSE),"")</f>
        <v>94.14</v>
      </c>
      <c r="M188" s="1745" t="str">
        <f ca="1">IF(表格1[[#This Row],[含息申購
參考價]]&gt;100,"溢價",IF(表格1[[#This Row],[含息申購
參考價]]&lt;100,"折價","平價"))</f>
        <v>折價</v>
      </c>
      <c r="N188" s="1751">
        <f ca="1">IFERROR(VLOOKUP(B188,'銀行-TSS'!B:M,12,FALSE),"")</f>
        <v>4.7600000000000003E-2</v>
      </c>
      <c r="O188" s="1752">
        <f ca="1">IFERROR(VLOOKUP(表格1[[#This Row],[商品
代碼]],'銀行-TSS'!B:AJ,35,FALSE),"")</f>
        <v>0</v>
      </c>
      <c r="P188" s="1753">
        <f ca="1">IFERROR(VLOOKUP(表格1[[#This Row],[商品
代碼]],'銀行-TSS'!B:AE,30,FALSE),"")</f>
        <v>4.7899999999999998E-2</v>
      </c>
      <c r="Q188" s="1749" t="str">
        <f ca="1">IFERROR(IF(VLOOKUP(表格1[[#This Row],[商品
代碼]],'銀行-TSS'!B:AM,38,FALSE)="#N/A Field Not Applicable","",VLOOKUP(表格1[[#This Row],[商品
代碼]],'銀行-TSS'!B:AM,38,FALSE)),"")</f>
        <v>2032/1/1</v>
      </c>
      <c r="R188" s="1749" t="str">
        <f ca="1">IFERROR(VLOOKUP(表格1[[#This Row],[商品
代碼]],'銀行-TSS'!B:AH,33,FALSE),"")</f>
        <v>美元(USD)</v>
      </c>
      <c r="S188" s="1754">
        <f ca="1">IFERROR(VLOOKUP(B188,'銀行-TSS'!B:N,13,FALSE),"")</f>
        <v>10000</v>
      </c>
      <c r="T188" s="1754" t="str">
        <f ca="1">VLOOKUP(表格1[[#This Row],[商品
代碼]],'銀行-TSS'!B:AI,34,FALSE)</f>
        <v>自由選清單</v>
      </c>
      <c r="U188" s="1755" t="str">
        <f ca="1">IFERROR(VLOOKUP(B188,'銀行-TSS'!B:Q,16,FALSE),"")</f>
        <v>非核心消費</v>
      </c>
      <c r="V188" s="1755" t="str">
        <f ca="1">IFERROR(VLOOKUP(表格1[[#This Row],[商品
代碼]],'銀行-TSS'!B:AG,32,FALSE),"")</f>
        <v>固定</v>
      </c>
      <c r="W188" s="1756" t="str">
        <f ca="1">IFERROR(IFERROR(VLOOKUP(表格1[[#This Row],[商品
代碼]],'3_是否下架'!A:B,2,FALSE),VLOOKUP(表格1[[#This Row],[商品
代碼]],'銀行-TSS'!B:AK,36,FALSE)),"")</f>
        <v>需查詢</v>
      </c>
      <c r="Y188" s="400"/>
      <c r="Z188" s="400"/>
      <c r="AA188" s="401"/>
    </row>
    <row r="189" spans="2:27" s="399" customFormat="1" ht="24.75" customHeight="1">
      <c r="B189" s="1745" t="s">
        <v>2179</v>
      </c>
      <c r="C189" s="1745" t="str">
        <f ca="1">IFERROR(VLOOKUP(表格1[[#This Row],[商品
代碼]],'銀行-TSS'!B:V,21,FALSE),"")</f>
        <v>高資產</v>
      </c>
      <c r="D189" s="1746" t="str">
        <f>IFERROR(VLOOKUP(表格1[[#This Row],[商品
代碼]],bond!B:F,5,FALSE),"")</f>
        <v>ZAG000107004</v>
      </c>
      <c r="E189" s="1746" t="str">
        <f ca="1">IFERROR(VLOOKUP(B189,'銀行-TSS'!B:D,3,FALSE),"")</f>
        <v>南非政府公債南非幣配息債券 8.25% 2032/03/31</v>
      </c>
      <c r="F189" s="1745" t="str">
        <f ca="1">IFERROR(VLOOKUP(B189,'銀行-TSS'!B:E,4,FALSE),"")</f>
        <v>Ba2 / BB / BB-</v>
      </c>
      <c r="G189" s="1747">
        <f ca="1">IFERROR(VLOOKUP(B189,'銀行-TSS'!B:G,6,FALSE),"")</f>
        <v>7.74</v>
      </c>
      <c r="H189" s="1748">
        <f ca="1">IFERROR(VLOOKUP(B189,'銀行-TSS'!B:H,7,FALSE),"")</f>
        <v>8.2500000000000004E-2</v>
      </c>
      <c r="I189" s="1745" t="str">
        <f ca="1">IFERROR(IF(表格1[[#This Row],[配息頻率]]=0,"",CHOOSE(表格1[[#This Row],[配息頻率]],MONTH(J189),IF(MONTH(J189)&lt;=6,CONCATENATE(MONTH(J189)," / ",MONTH(J189)+6),CONCATENATE(MONTH(J189)-6," / ",MONTH(J189))),0,"2 / 4 / 8 / 11")),"")</f>
        <v>3 / 9</v>
      </c>
      <c r="J189" s="1749" t="str">
        <f ca="1">IFERROR(VLOOKUP(B189,'銀行-TSS'!B:P,15,FALSE),"")</f>
        <v>2024/9/30</v>
      </c>
      <c r="K189" s="1750">
        <f ca="1">IFERROR(VLOOKUP(表格1[[#This Row],[商品
代碼]],'銀行-TSS'!B:I,8,FALSE),"")</f>
        <v>2</v>
      </c>
      <c r="L189" s="1747">
        <f ca="1">IFERROR(VLOOKUP(B189,'銀行-TSS'!B:K,10,FALSE),"")</f>
        <v>92.17</v>
      </c>
      <c r="M189" s="1745" t="str">
        <f ca="1">IF(表格1[[#This Row],[含息申購
參考價]]&gt;100,"溢價",IF(表格1[[#This Row],[含息申購
參考價]]&lt;100,"折價","平價"))</f>
        <v>折價</v>
      </c>
      <c r="N189" s="1751">
        <f ca="1">IFERROR(VLOOKUP(B189,'銀行-TSS'!B:M,12,FALSE),"")</f>
        <v>0.1014</v>
      </c>
      <c r="O189" s="1752">
        <f ca="1">IFERROR(VLOOKUP(表格1[[#This Row],[商品
代碼]],'銀行-TSS'!B:AJ,35,FALSE),"")</f>
        <v>1</v>
      </c>
      <c r="P189" s="1753" t="str">
        <f ca="1">IFERROR(VLOOKUP(表格1[[#This Row],[商品
代碼]],'銀行-TSS'!B:AE,30,FALSE),"")</f>
        <v xml:space="preserve"> </v>
      </c>
      <c r="Q189" s="1749" t="str">
        <f ca="1">IFERROR(IF(VLOOKUP(表格1[[#This Row],[商品
代碼]],'銀行-TSS'!B:AM,38,FALSE)="#N/A Field Not Applicable","",VLOOKUP(表格1[[#This Row],[商品
代碼]],'銀行-TSS'!B:AM,38,FALSE)),"")</f>
        <v/>
      </c>
      <c r="R189" s="1749" t="str">
        <f ca="1">IFERROR(VLOOKUP(表格1[[#This Row],[商品
代碼]],'銀行-TSS'!B:AH,33,FALSE),"")</f>
        <v>南非幣(ZAR)</v>
      </c>
      <c r="S189" s="1754">
        <f ca="1">IFERROR(VLOOKUP(B189,'銀行-TSS'!B:N,13,FALSE),"")</f>
        <v>100000</v>
      </c>
      <c r="T189" s="1754" t="str">
        <f ca="1">VLOOKUP(表格1[[#This Row],[商品
代碼]],'銀行-TSS'!B:AI,34,FALSE)</f>
        <v/>
      </c>
      <c r="U189" s="1755" t="str">
        <f ca="1">IFERROR(VLOOKUP(B189,'銀行-TSS'!B:Q,16,FALSE),"")</f>
        <v>政府</v>
      </c>
      <c r="V189" s="1755" t="str">
        <f ca="1">IFERROR(VLOOKUP(表格1[[#This Row],[商品
代碼]],'銀行-TSS'!B:AG,32,FALSE),"")</f>
        <v>固定</v>
      </c>
      <c r="W189" s="1756" t="str">
        <f ca="1">IFERROR(IFERROR(VLOOKUP(表格1[[#This Row],[商品
代碼]],'3_是否下架'!A:B,2,FALSE),VLOOKUP(表格1[[#This Row],[商品
代碼]],'銀行-TSS'!B:AK,36,FALSE)),"")</f>
        <v>有</v>
      </c>
      <c r="Y189" s="400"/>
      <c r="Z189" s="400"/>
      <c r="AA189" s="401"/>
    </row>
    <row r="190" spans="2:27" s="399" customFormat="1" ht="24.75" customHeight="1">
      <c r="B190" s="1745" t="s">
        <v>3832</v>
      </c>
      <c r="C190" s="1745" t="str">
        <f ca="1">IFERROR(VLOOKUP(表格1[[#This Row],[商品
代碼]],'銀行-TSS'!B:V,21,FALSE),"")</f>
        <v>(NPI)非專投</v>
      </c>
      <c r="D190" s="1746" t="str">
        <f>IFERROR(VLOOKUP(表格1[[#This Row],[商品
代碼]],bond!B:F,5,FALSE),"")</f>
        <v>US438127AC63</v>
      </c>
      <c r="E190" s="1746" t="str">
        <f ca="1">IFERROR(VLOOKUP(B190,'銀行-TSS'!B:D,3,FALSE),"")</f>
        <v>本田汽車公司美元配息債券 2.967% 2032/03/10</v>
      </c>
      <c r="F190" s="1745" t="str">
        <f ca="1">IFERROR(VLOOKUP(B190,'銀行-TSS'!B:E,4,FALSE),"")</f>
        <v>A3 / A- / -</v>
      </c>
      <c r="G190" s="1747">
        <f ca="1">IFERROR(VLOOKUP(B190,'銀行-TSS'!B:G,6,FALSE),"")</f>
        <v>7.69</v>
      </c>
      <c r="H190" s="1748">
        <f ca="1">IFERROR(VLOOKUP(B190,'銀行-TSS'!B:H,7,FALSE),"")</f>
        <v>2.9670000000000002E-2</v>
      </c>
      <c r="I190" s="1745" t="str">
        <f ca="1">IFERROR(IF(表格1[[#This Row],[配息頻率]]=0,"",CHOOSE(表格1[[#This Row],[配息頻率]],MONTH(J190),IF(MONTH(J190)&lt;=6,CONCATENATE(MONTH(J190)," / ",MONTH(J190)+6),CONCATENATE(MONTH(J190)-6," / ",MONTH(J190))),0,"2 / 4 / 8 / 11")),"")</f>
        <v>3 / 9</v>
      </c>
      <c r="J190" s="1749" t="str">
        <f ca="1">IFERROR(VLOOKUP(B190,'銀行-TSS'!B:P,15,FALSE),"")</f>
        <v>2024/9/10</v>
      </c>
      <c r="K190" s="1750">
        <f ca="1">IFERROR(VLOOKUP(表格1[[#This Row],[商品
代碼]],'銀行-TSS'!B:I,8,FALSE),"")</f>
        <v>2</v>
      </c>
      <c r="L190" s="1747">
        <f ca="1">IFERROR(VLOOKUP(B190,'銀行-TSS'!B:K,10,FALSE),"")</f>
        <v>91.3</v>
      </c>
      <c r="M190" s="1745" t="str">
        <f ca="1">IF(表格1[[#This Row],[含息申購
參考價]]&gt;100,"溢價",IF(表格1[[#This Row],[含息申購
參考價]]&lt;100,"折價","平價"))</f>
        <v>折價</v>
      </c>
      <c r="N190" s="1751">
        <f ca="1">IFERROR(VLOOKUP(B190,'銀行-TSS'!B:M,12,FALSE),"")</f>
        <v>4.4600000000000001E-2</v>
      </c>
      <c r="O190" s="1752">
        <f ca="1">IFERROR(VLOOKUP(表格1[[#This Row],[商品
代碼]],'銀行-TSS'!B:AJ,35,FALSE),"")</f>
        <v>0</v>
      </c>
      <c r="P190" s="1753">
        <f ca="1">IFERROR(VLOOKUP(表格1[[#This Row],[商品
代碼]],'銀行-TSS'!B:AE,30,FALSE),"")</f>
        <v>4.4999999999999998E-2</v>
      </c>
      <c r="Q190" s="1749" t="str">
        <f ca="1">IFERROR(IF(VLOOKUP(表格1[[#This Row],[商品
代碼]],'銀行-TSS'!B:AM,38,FALSE)="#N/A Field Not Applicable","",VLOOKUP(表格1[[#This Row],[商品
代碼]],'銀行-TSS'!B:AM,38,FALSE)),"")</f>
        <v>2031/12/10</v>
      </c>
      <c r="R190" s="1749" t="str">
        <f ca="1">IFERROR(VLOOKUP(表格1[[#This Row],[商品
代碼]],'銀行-TSS'!B:AH,33,FALSE),"")</f>
        <v>美元(USD)</v>
      </c>
      <c r="S190" s="1754">
        <f ca="1">IFERROR(VLOOKUP(B190,'銀行-TSS'!B:N,13,FALSE),"")</f>
        <v>10000</v>
      </c>
      <c r="T190" s="1754" t="str">
        <f ca="1">VLOOKUP(表格1[[#This Row],[商品
代碼]],'銀行-TSS'!B:AI,34,FALSE)</f>
        <v>自由選清單</v>
      </c>
      <c r="U190" s="1755" t="str">
        <f ca="1">IFERROR(VLOOKUP(B190,'銀行-TSS'!B:Q,16,FALSE),"")</f>
        <v>非核心消費</v>
      </c>
      <c r="V190" s="1755" t="str">
        <f ca="1">IFERROR(VLOOKUP(表格1[[#This Row],[商品
代碼]],'銀行-TSS'!B:AG,32,FALSE),"")</f>
        <v>固定</v>
      </c>
      <c r="W190" s="1756" t="str">
        <f ca="1">IFERROR(IFERROR(VLOOKUP(表格1[[#This Row],[商品
代碼]],'3_是否下架'!A:B,2,FALSE),VLOOKUP(表格1[[#This Row],[商品
代碼]],'銀行-TSS'!B:AK,36,FALSE)),"")</f>
        <v>有</v>
      </c>
      <c r="Y190" s="400"/>
      <c r="Z190" s="400"/>
      <c r="AA190" s="401"/>
    </row>
    <row r="191" spans="2:27" s="399" customFormat="1" ht="24.75" customHeight="1">
      <c r="B191" s="1745" t="s">
        <v>1171</v>
      </c>
      <c r="C191" s="1745" t="str">
        <f ca="1">IFERROR(VLOOKUP(表格1[[#This Row],[商品
代碼]],'銀行-TSS'!B:V,21,FALSE),"")</f>
        <v>(PI)專投</v>
      </c>
      <c r="D191" s="1746" t="str">
        <f>IFERROR(VLOOKUP(表格1[[#This Row],[商品
代碼]],bond!B:F,5,FALSE),"")</f>
        <v>USU8801TAE74</v>
      </c>
      <c r="E191" s="1746" t="str">
        <f ca="1">IFERROR(VLOOKUP(B191,'銀行-TSS'!B:D,3,FALSE),"")</f>
        <v>丹普席伊麗國際公司美元配息債券 3.875% 2031/10/15</v>
      </c>
      <c r="F191" s="1745" t="str">
        <f ca="1">IFERROR(VLOOKUP(B191,'銀行-TSS'!B:E,4,FALSE),"")</f>
        <v>Ba2 *- / BB / BB+ *-</v>
      </c>
      <c r="G191" s="1747">
        <f ca="1">IFERROR(VLOOKUP(B191,'銀行-TSS'!B:G,6,FALSE),"")</f>
        <v>7.29</v>
      </c>
      <c r="H191" s="1748">
        <f ca="1">IFERROR(VLOOKUP(B191,'銀行-TSS'!B:H,7,FALSE),"")</f>
        <v>3.875E-2</v>
      </c>
      <c r="I191" s="1745" t="str">
        <f ca="1">IFERROR(IF(表格1[[#This Row],[配息頻率]]=0,"",CHOOSE(表格1[[#This Row],[配息頻率]],MONTH(J191),IF(MONTH(J191)&lt;=6,CONCATENATE(MONTH(J191)," / ",MONTH(J191)+6),CONCATENATE(MONTH(J191)-6," / ",MONTH(J191))),0,"2 / 4 / 8 / 11")),"")</f>
        <v>4 / 10</v>
      </c>
      <c r="J191" s="1749" t="str">
        <f ca="1">IFERROR(VLOOKUP(B191,'銀行-TSS'!B:P,15,FALSE),"")</f>
        <v>2024/10/15</v>
      </c>
      <c r="K191" s="1750">
        <f ca="1">IFERROR(VLOOKUP(表格1[[#This Row],[商品
代碼]],'銀行-TSS'!B:I,8,FALSE),"")</f>
        <v>2</v>
      </c>
      <c r="L191" s="1747">
        <f ca="1">IFERROR(VLOOKUP(B191,'銀行-TSS'!B:K,10,FALSE),"")</f>
        <v>87.98</v>
      </c>
      <c r="M191" s="1745" t="str">
        <f ca="1">IF(表格1[[#This Row],[含息申購
參考價]]&gt;100,"溢價",IF(表格1[[#This Row],[含息申購
參考價]]&lt;100,"折價","平價"))</f>
        <v>折價</v>
      </c>
      <c r="N191" s="1751">
        <f ca="1">IFERROR(VLOOKUP(B191,'銀行-TSS'!B:M,12,FALSE),"")</f>
        <v>6.08E-2</v>
      </c>
      <c r="O191" s="1752">
        <f ca="1">IFERROR(VLOOKUP(表格1[[#This Row],[商品
代碼]],'銀行-TSS'!B:AJ,35,FALSE),"")</f>
        <v>0</v>
      </c>
      <c r="P191" s="1753">
        <f ca="1">IFERROR(VLOOKUP(表格1[[#This Row],[商品
代碼]],'銀行-TSS'!B:AE,30,FALSE),"")</f>
        <v>0.1116</v>
      </c>
      <c r="Q191" s="1749" t="str">
        <f ca="1">IFERROR(IF(VLOOKUP(表格1[[#This Row],[商品
代碼]],'銀行-TSS'!B:AM,38,FALSE)="#N/A Field Not Applicable","",VLOOKUP(表格1[[#This Row],[商品
代碼]],'銀行-TSS'!B:AM,38,FALSE)),"")</f>
        <v>2026/10/15</v>
      </c>
      <c r="R191" s="1749" t="str">
        <f ca="1">IFERROR(VLOOKUP(表格1[[#This Row],[商品
代碼]],'銀行-TSS'!B:AH,33,FALSE),"")</f>
        <v>美元(USD)</v>
      </c>
      <c r="S191" s="1754">
        <f ca="1">IFERROR(VLOOKUP(B191,'銀行-TSS'!B:N,13,FALSE),"")</f>
        <v>10000</v>
      </c>
      <c r="T191" s="1754" t="str">
        <f ca="1">VLOOKUP(表格1[[#This Row],[商品
代碼]],'銀行-TSS'!B:AI,34,FALSE)</f>
        <v>自由選清單</v>
      </c>
      <c r="U191" s="1755" t="str">
        <f ca="1">IFERROR(VLOOKUP(B191,'銀行-TSS'!B:Q,16,FALSE),"")</f>
        <v>非核心消費</v>
      </c>
      <c r="V191" s="1755" t="str">
        <f ca="1">IFERROR(VLOOKUP(表格1[[#This Row],[商品
代碼]],'銀行-TSS'!B:AG,32,FALSE),"")</f>
        <v>固定</v>
      </c>
      <c r="W191" s="1756" t="str">
        <f ca="1">IFERROR(IFERROR(VLOOKUP(表格1[[#This Row],[商品
代碼]],'3_是否下架'!A:B,2,FALSE),VLOOKUP(表格1[[#This Row],[商品
代碼]],'銀行-TSS'!B:AK,36,FALSE)),"")</f>
        <v>需查詢</v>
      </c>
      <c r="Y191" s="400"/>
      <c r="Z191" s="400"/>
      <c r="AA191" s="401"/>
    </row>
    <row r="192" spans="2:27" s="399" customFormat="1" ht="24.75" customHeight="1">
      <c r="B192" s="1745" t="s">
        <v>744</v>
      </c>
      <c r="C192" s="1745" t="str">
        <f ca="1">IFERROR(VLOOKUP(表格1[[#This Row],[商品
代碼]],'銀行-TSS'!B:V,21,FALSE),"")</f>
        <v>(PI)專投</v>
      </c>
      <c r="D192" s="1746" t="str">
        <f>IFERROR(VLOOKUP(表格1[[#This Row],[商品
代碼]],bond!B:F,5,FALSE),"")</f>
        <v>US345370CA64</v>
      </c>
      <c r="E192" s="1746" t="str">
        <f ca="1">IFERROR(VLOOKUP(B192,'銀行-TSS'!B:D,3,FALSE),"")</f>
        <v>福特汽車公司美元配息債券 7.45% 2031/7/16</v>
      </c>
      <c r="F192" s="1745" t="str">
        <f ca="1">IFERROR(VLOOKUP(B192,'銀行-TSS'!B:E,4,FALSE),"")</f>
        <v>Ba1 / BBB- / BBB-</v>
      </c>
      <c r="G192" s="1747">
        <f ca="1">IFERROR(VLOOKUP(B192,'銀行-TSS'!B:G,6,FALSE),"")</f>
        <v>7.04</v>
      </c>
      <c r="H192" s="1748">
        <f ca="1">IFERROR(VLOOKUP(B192,'銀行-TSS'!B:H,7,FALSE),"")</f>
        <v>7.4499999999999997E-2</v>
      </c>
      <c r="I192" s="1745" t="str">
        <f ca="1">IFERROR(IF(表格1[[#This Row],[配息頻率]]=0,"",CHOOSE(表格1[[#This Row],[配息頻率]],MONTH(J192),IF(MONTH(J192)&lt;=6,CONCATENATE(MONTH(J192)," / ",MONTH(J192)+6),CONCATENATE(MONTH(J192)-6," / ",MONTH(J192))),0,"2 / 4 / 8 / 11")),"")</f>
        <v>1 / 7</v>
      </c>
      <c r="J192" s="1749" t="str">
        <f ca="1">IFERROR(VLOOKUP(B192,'銀行-TSS'!B:P,15,FALSE),"")</f>
        <v>2024/7/16</v>
      </c>
      <c r="K192" s="1750">
        <f ca="1">IFERROR(VLOOKUP(表格1[[#This Row],[商品
代碼]],'銀行-TSS'!B:I,8,FALSE),"")</f>
        <v>2</v>
      </c>
      <c r="L192" s="1747">
        <f ca="1">IFERROR(VLOOKUP(B192,'銀行-TSS'!B:K,10,FALSE),"")</f>
        <v>113.76</v>
      </c>
      <c r="M192" s="1745" t="str">
        <f ca="1">IF(表格1[[#This Row],[含息申購
參考價]]&gt;100,"溢價",IF(表格1[[#This Row],[含息申購
參考價]]&lt;100,"折價","平價"))</f>
        <v>溢價</v>
      </c>
      <c r="N192" s="1751">
        <f ca="1">IFERROR(VLOOKUP(B192,'銀行-TSS'!B:M,12,FALSE),"")</f>
        <v>5.6500000000000002E-2</v>
      </c>
      <c r="O192" s="1752">
        <f ca="1">IFERROR(VLOOKUP(表格1[[#This Row],[商品
代碼]],'銀行-TSS'!B:AJ,35,FALSE),"")</f>
        <v>0</v>
      </c>
      <c r="P192" s="1753" t="str">
        <f ca="1">IFERROR(VLOOKUP(表格1[[#This Row],[商品
代碼]],'銀行-TSS'!B:AE,30,FALSE),"")</f>
        <v xml:space="preserve"> </v>
      </c>
      <c r="Q192" s="1749" t="str">
        <f ca="1">IFERROR(IF(VLOOKUP(表格1[[#This Row],[商品
代碼]],'銀行-TSS'!B:AM,38,FALSE)="#N/A Field Not Applicable","",VLOOKUP(表格1[[#This Row],[商品
代碼]],'銀行-TSS'!B:AM,38,FALSE)),"")</f>
        <v/>
      </c>
      <c r="R192" s="1749" t="str">
        <f ca="1">IFERROR(VLOOKUP(表格1[[#This Row],[商品
代碼]],'銀行-TSS'!B:AH,33,FALSE),"")</f>
        <v>美元(USD)</v>
      </c>
      <c r="S192" s="1754">
        <f ca="1">IFERROR(VLOOKUP(B192,'銀行-TSS'!B:N,13,FALSE),"")</f>
        <v>10000</v>
      </c>
      <c r="T192" s="1754" t="str">
        <f ca="1">VLOOKUP(表格1[[#This Row],[商品
代碼]],'銀行-TSS'!B:AI,34,FALSE)</f>
        <v>自由選清單</v>
      </c>
      <c r="U192" s="1755" t="str">
        <f ca="1">IFERROR(VLOOKUP(B192,'銀行-TSS'!B:Q,16,FALSE),"")</f>
        <v>非核心消費</v>
      </c>
      <c r="V192" s="1755" t="str">
        <f ca="1">IFERROR(VLOOKUP(表格1[[#This Row],[商品
代碼]],'銀行-TSS'!B:AG,32,FALSE),"")</f>
        <v>固定</v>
      </c>
      <c r="W192" s="1756" t="str">
        <f ca="1">IFERROR(IFERROR(VLOOKUP(表格1[[#This Row],[商品
代碼]],'3_是否下架'!A:B,2,FALSE),VLOOKUP(表格1[[#This Row],[商品
代碼]],'銀行-TSS'!B:AK,36,FALSE)),"")</f>
        <v>有</v>
      </c>
      <c r="Y192" s="400"/>
      <c r="Z192" s="400"/>
      <c r="AA192" s="401"/>
    </row>
    <row r="193" spans="2:27" s="399" customFormat="1" ht="24.75" customHeight="1">
      <c r="B193" s="1745" t="s">
        <v>1098</v>
      </c>
      <c r="C193" s="1745" t="str">
        <f ca="1">IFERROR(VLOOKUP(表格1[[#This Row],[商品
代碼]],'銀行-TSS'!B:V,21,FALSE),"")</f>
        <v>(PI)專投</v>
      </c>
      <c r="D193" s="1746" t="str">
        <f>IFERROR(VLOOKUP(表格1[[#This Row],[商品
代碼]],bond!B:F,5,FALSE),"")</f>
        <v>XS2361253607</v>
      </c>
      <c r="E193" s="1746" t="str">
        <f ca="1">IFERROR(VLOOKUP(B193,'銀行-TSS'!B:D,3,FALSE),"")</f>
        <v>軟銀集團公司美元配息債券  5.25% 2031/7/6</v>
      </c>
      <c r="F193" s="1745" t="str">
        <f ca="1">IFERROR(VLOOKUP(B193,'銀行-TSS'!B:E,4,FALSE),"")</f>
        <v>- / BB+ / -</v>
      </c>
      <c r="G193" s="1747">
        <f ca="1">IFERROR(VLOOKUP(B193,'銀行-TSS'!B:G,6,FALSE),"")</f>
        <v>7.01</v>
      </c>
      <c r="H193" s="1748">
        <f ca="1">IFERROR(VLOOKUP(B193,'銀行-TSS'!B:H,7,FALSE),"")</f>
        <v>5.2499999999999998E-2</v>
      </c>
      <c r="I193" s="1745" t="str">
        <f ca="1">IFERROR(IF(表格1[[#This Row],[配息頻率]]=0,"",CHOOSE(表格1[[#This Row],[配息頻率]],MONTH(J193),IF(MONTH(J193)&lt;=6,CONCATENATE(MONTH(J193)," / ",MONTH(J193)+6),CONCATENATE(MONTH(J193)-6," / ",MONTH(J193))),0,"2 / 4 / 8 / 11")),"")</f>
        <v>1 / 7</v>
      </c>
      <c r="J193" s="1749" t="str">
        <f ca="1">IFERROR(VLOOKUP(B193,'銀行-TSS'!B:P,15,FALSE),"")</f>
        <v>2024/7/6</v>
      </c>
      <c r="K193" s="1750">
        <f ca="1">IFERROR(VLOOKUP(表格1[[#This Row],[商品
代碼]],'銀行-TSS'!B:I,8,FALSE),"")</f>
        <v>2</v>
      </c>
      <c r="L193" s="1747">
        <f ca="1">IFERROR(VLOOKUP(B193,'銀行-TSS'!B:K,10,FALSE),"")</f>
        <v>97.3</v>
      </c>
      <c r="M193" s="1745" t="str">
        <f ca="1">IF(表格1[[#This Row],[含息申購
參考價]]&gt;100,"溢價",IF(表格1[[#This Row],[含息申購
參考價]]&lt;100,"折價","平價"))</f>
        <v>折價</v>
      </c>
      <c r="N193" s="1751">
        <f ca="1">IFERROR(VLOOKUP(B193,'銀行-TSS'!B:M,12,FALSE),"")</f>
        <v>6.1899999999999997E-2</v>
      </c>
      <c r="O193" s="1752">
        <f ca="1">IFERROR(VLOOKUP(表格1[[#This Row],[商品
代碼]],'銀行-TSS'!B:AJ,35,FALSE),"")</f>
        <v>0</v>
      </c>
      <c r="P193" s="1753">
        <f ca="1">IFERROR(VLOOKUP(表格1[[#This Row],[商品
代碼]],'銀行-TSS'!B:AE,30,FALSE),"")</f>
        <v>6.2199999999999998E-2</v>
      </c>
      <c r="Q193" s="1749" t="str">
        <f ca="1">IFERROR(IF(VLOOKUP(表格1[[#This Row],[商品
代碼]],'銀行-TSS'!B:AM,38,FALSE)="#N/A Field Not Applicable","",VLOOKUP(表格1[[#This Row],[商品
代碼]],'銀行-TSS'!B:AM,38,FALSE)),"")</f>
        <v>2031/4/7</v>
      </c>
      <c r="R193" s="1749" t="str">
        <f ca="1">IFERROR(VLOOKUP(表格1[[#This Row],[商品
代碼]],'銀行-TSS'!B:AH,33,FALSE),"")</f>
        <v>美元(USD)</v>
      </c>
      <c r="S193" s="1754">
        <f ca="1">IFERROR(VLOOKUP(B193,'銀行-TSS'!B:N,13,FALSE),"")</f>
        <v>200000</v>
      </c>
      <c r="T193" s="1754" t="str">
        <f ca="1">VLOOKUP(表格1[[#This Row],[商品
代碼]],'銀行-TSS'!B:AI,34,FALSE)</f>
        <v>自由選清單</v>
      </c>
      <c r="U193" s="1755" t="str">
        <f ca="1">IFERROR(VLOOKUP(B193,'銀行-TSS'!B:Q,16,FALSE),"")</f>
        <v>通訊</v>
      </c>
      <c r="V193" s="1755" t="str">
        <f ca="1">IFERROR(VLOOKUP(表格1[[#This Row],[商品
代碼]],'銀行-TSS'!B:AG,32,FALSE),"")</f>
        <v>固定</v>
      </c>
      <c r="W193" s="1756" t="str">
        <f ca="1">IFERROR(IFERROR(VLOOKUP(表格1[[#This Row],[商品
代碼]],'3_是否下架'!A:B,2,FALSE),VLOOKUP(表格1[[#This Row],[商品
代碼]],'銀行-TSS'!B:AK,36,FALSE)),"")</f>
        <v>有</v>
      </c>
      <c r="Y193" s="400"/>
      <c r="Z193" s="400"/>
      <c r="AA193" s="401"/>
    </row>
    <row r="194" spans="2:27" s="399" customFormat="1" ht="24.75" customHeight="1">
      <c r="B194" s="1745" t="s">
        <v>1110</v>
      </c>
      <c r="C194" s="1745" t="str">
        <f ca="1">IFERROR(VLOOKUP(表格1[[#This Row],[商品
代碼]],'銀行-TSS'!B:V,21,FALSE),"")</f>
        <v>高資產</v>
      </c>
      <c r="D194" s="1746" t="str">
        <f>IFERROR(VLOOKUP(表格1[[#This Row],[商品
代碼]],bond!B:F,5,FALSE),"")</f>
        <v>US900123DC14</v>
      </c>
      <c r="E194" s="1746" t="str">
        <f ca="1">IFERROR(VLOOKUP(B194,'銀行-TSS'!B:D,3,FALSE),"")</f>
        <v>土耳其政府國際債券美元配息債券 5.875% 2031/6/26</v>
      </c>
      <c r="F194" s="1745" t="str">
        <f ca="1">IFERROR(VLOOKUP(B194,'銀行-TSS'!B:E,4,FALSE),"")</f>
        <v>B3 / - / B+</v>
      </c>
      <c r="G194" s="1747">
        <f ca="1">IFERROR(VLOOKUP(B194,'銀行-TSS'!B:G,6,FALSE),"")</f>
        <v>6.98</v>
      </c>
      <c r="H194" s="1748">
        <f ca="1">IFERROR(VLOOKUP(B194,'銀行-TSS'!B:H,7,FALSE),"")</f>
        <v>5.8749999999999997E-2</v>
      </c>
      <c r="I194" s="1745" t="str">
        <f ca="1">IFERROR(IF(表格1[[#This Row],[配息頻率]]=0,"",CHOOSE(表格1[[#This Row],[配息頻率]],MONTH(J194),IF(MONTH(J194)&lt;=6,CONCATENATE(MONTH(J194)," / ",MONTH(J194)+6),CONCATENATE(MONTH(J194)-6," / ",MONTH(J194))),0,"2 / 4 / 8 / 11")),"")</f>
        <v>6 / 12</v>
      </c>
      <c r="J194" s="1749" t="str">
        <f ca="1">IFERROR(VLOOKUP(B194,'銀行-TSS'!B:P,15,FALSE),"")</f>
        <v>2024/12/26</v>
      </c>
      <c r="K194" s="1750">
        <f ca="1">IFERROR(VLOOKUP(表格1[[#This Row],[商品
代碼]],'銀行-TSS'!B:I,8,FALSE),"")</f>
        <v>2</v>
      </c>
      <c r="L194" s="1747">
        <f ca="1">IFERROR(VLOOKUP(B194,'銀行-TSS'!B:K,10,FALSE),"")</f>
        <v>95.67</v>
      </c>
      <c r="M194" s="1745" t="str">
        <f ca="1">IF(表格1[[#This Row],[含息申購
參考價]]&gt;100,"溢價",IF(表格1[[#This Row],[含息申購
參考價]]&lt;100,"折價","平價"))</f>
        <v>折價</v>
      </c>
      <c r="N194" s="1751">
        <f ca="1">IFERROR(VLOOKUP(B194,'銀行-TSS'!B:M,12,FALSE),"")</f>
        <v>6.6799999999999998E-2</v>
      </c>
      <c r="O194" s="1752">
        <f ca="1">IFERROR(VLOOKUP(表格1[[#This Row],[商品
代碼]],'銀行-TSS'!B:AJ,35,FALSE),"")</f>
        <v>0</v>
      </c>
      <c r="P194" s="1753" t="str">
        <f ca="1">IFERROR(VLOOKUP(表格1[[#This Row],[商品
代碼]],'銀行-TSS'!B:AE,30,FALSE),"")</f>
        <v xml:space="preserve"> </v>
      </c>
      <c r="Q194" s="1749" t="str">
        <f ca="1">IFERROR(IF(VLOOKUP(表格1[[#This Row],[商品
代碼]],'銀行-TSS'!B:AM,38,FALSE)="#N/A Field Not Applicable","",VLOOKUP(表格1[[#This Row],[商品
代碼]],'銀行-TSS'!B:AM,38,FALSE)),"")</f>
        <v/>
      </c>
      <c r="R194" s="1749" t="str">
        <f ca="1">IFERROR(VLOOKUP(表格1[[#This Row],[商品
代碼]],'銀行-TSS'!B:AH,33,FALSE),"")</f>
        <v>美元(USD)</v>
      </c>
      <c r="S194" s="1754">
        <f ca="1">IFERROR(VLOOKUP(B194,'銀行-TSS'!B:N,13,FALSE),"")</f>
        <v>200000</v>
      </c>
      <c r="T194" s="1754" t="str">
        <f ca="1">VLOOKUP(表格1[[#This Row],[商品
代碼]],'銀行-TSS'!B:AI,34,FALSE)</f>
        <v>自由選清單</v>
      </c>
      <c r="U194" s="1755" t="str">
        <f ca="1">IFERROR(VLOOKUP(B194,'銀行-TSS'!B:Q,16,FALSE),"")</f>
        <v>政府</v>
      </c>
      <c r="V194" s="1755" t="str">
        <f ca="1">IFERROR(VLOOKUP(表格1[[#This Row],[商品
代碼]],'銀行-TSS'!B:AG,32,FALSE),"")</f>
        <v>固定</v>
      </c>
      <c r="W194" s="1756" t="str">
        <f ca="1">IFERROR(IFERROR(VLOOKUP(表格1[[#This Row],[商品
代碼]],'3_是否下架'!A:B,2,FALSE),VLOOKUP(表格1[[#This Row],[商品
代碼]],'銀行-TSS'!B:AK,36,FALSE)),"")</f>
        <v>有</v>
      </c>
      <c r="Y194" s="400"/>
      <c r="Z194" s="400"/>
      <c r="AA194" s="401"/>
    </row>
    <row r="195" spans="2:27" s="399" customFormat="1" ht="24.75" customHeight="1">
      <c r="B195" s="1745" t="s">
        <v>1104</v>
      </c>
      <c r="C195" s="1745" t="str">
        <f ca="1">IFERROR(VLOOKUP(表格1[[#This Row],[商品
代碼]],'銀行-TSS'!B:V,21,FALSE),"")</f>
        <v>(PI)專投</v>
      </c>
      <c r="D195" s="1746" t="str">
        <f>IFERROR(VLOOKUP(表格1[[#This Row],[商品
代碼]],bond!B:F,5,FALSE),"")</f>
        <v>US345397B694</v>
      </c>
      <c r="E195" s="1746" t="str">
        <f ca="1">IFERROR(VLOOKUP(B195,'銀行-TSS'!B:D,3,FALSE),"")</f>
        <v>福特汽車信用有限責任公司美元配息債券  3.625% 2031/6/17</v>
      </c>
      <c r="F195" s="1745" t="str">
        <f ca="1">IFERROR(VLOOKUP(B195,'銀行-TSS'!B:E,4,FALSE),"")</f>
        <v>Ba1 / BBB- / BBB-</v>
      </c>
      <c r="G195" s="1747">
        <f ca="1">IFERROR(VLOOKUP(B195,'銀行-TSS'!B:G,6,FALSE),"")</f>
        <v>6.96</v>
      </c>
      <c r="H195" s="1748">
        <f ca="1">IFERROR(VLOOKUP(B195,'銀行-TSS'!B:H,7,FALSE),"")</f>
        <v>3.6249999999999998E-2</v>
      </c>
      <c r="I195" s="1745" t="str">
        <f ca="1">IFERROR(IF(表格1[[#This Row],[配息頻率]]=0,"",CHOOSE(表格1[[#This Row],[配息頻率]],MONTH(J195),IF(MONTH(J195)&lt;=6,CONCATENATE(MONTH(J195)," / ",MONTH(J195)+6),CONCATENATE(MONTH(J195)-6," / ",MONTH(J195))),0,"2 / 4 / 8 / 11")),"")</f>
        <v>6 / 12</v>
      </c>
      <c r="J195" s="1749" t="str">
        <f ca="1">IFERROR(VLOOKUP(B195,'銀行-TSS'!B:P,15,FALSE),"")</f>
        <v>2024/12/17</v>
      </c>
      <c r="K195" s="1750">
        <f ca="1">IFERROR(VLOOKUP(表格1[[#This Row],[商品
代碼]],'銀行-TSS'!B:I,8,FALSE),"")</f>
        <v>2</v>
      </c>
      <c r="L195" s="1747">
        <f ca="1">IFERROR(VLOOKUP(B195,'銀行-TSS'!B:K,10,FALSE),"")</f>
        <v>89.42</v>
      </c>
      <c r="M195" s="1745" t="str">
        <f ca="1">IF(表格1[[#This Row],[含息申購
參考價]]&gt;100,"溢價",IF(表格1[[#This Row],[含息申購
參考價]]&lt;100,"折價","平價"))</f>
        <v>折價</v>
      </c>
      <c r="N195" s="1751">
        <f ca="1">IFERROR(VLOOKUP(B195,'銀行-TSS'!B:M,12,FALSE),"")</f>
        <v>5.5E-2</v>
      </c>
      <c r="O195" s="1752">
        <f ca="1">IFERROR(VLOOKUP(表格1[[#This Row],[商品
代碼]],'銀行-TSS'!B:AJ,35,FALSE),"")</f>
        <v>0</v>
      </c>
      <c r="P195" s="1753">
        <f ca="1">IFERROR(VLOOKUP(表格1[[#This Row],[商品
代碼]],'銀行-TSS'!B:AE,30,FALSE),"")</f>
        <v>5.5599999999999997E-2</v>
      </c>
      <c r="Q195" s="1749" t="str">
        <f ca="1">IFERROR(IF(VLOOKUP(表格1[[#This Row],[商品
代碼]],'銀行-TSS'!B:AM,38,FALSE)="#N/A Field Not Applicable","",VLOOKUP(表格1[[#This Row],[商品
代碼]],'銀行-TSS'!B:AM,38,FALSE)),"")</f>
        <v>2031/3/17</v>
      </c>
      <c r="R195" s="1749" t="str">
        <f ca="1">IFERROR(VLOOKUP(表格1[[#This Row],[商品
代碼]],'銀行-TSS'!B:AH,33,FALSE),"")</f>
        <v>美元(USD)</v>
      </c>
      <c r="S195" s="1754">
        <f ca="1">IFERROR(VLOOKUP(B195,'銀行-TSS'!B:N,13,FALSE),"")</f>
        <v>200000</v>
      </c>
      <c r="T195" s="1754" t="str">
        <f ca="1">VLOOKUP(表格1[[#This Row],[商品
代碼]],'銀行-TSS'!B:AI,34,FALSE)</f>
        <v>自由選清單</v>
      </c>
      <c r="U195" s="1755" t="str">
        <f ca="1">IFERROR(VLOOKUP(B195,'銀行-TSS'!B:Q,16,FALSE),"")</f>
        <v>非核心消費</v>
      </c>
      <c r="V195" s="1755" t="str">
        <f ca="1">IFERROR(VLOOKUP(表格1[[#This Row],[商品
代碼]],'銀行-TSS'!B:AG,32,FALSE),"")</f>
        <v>固定</v>
      </c>
      <c r="W195" s="1756" t="str">
        <f ca="1">IFERROR(IFERROR(VLOOKUP(表格1[[#This Row],[商品
代碼]],'3_是否下架'!A:B,2,FALSE),VLOOKUP(表格1[[#This Row],[商品
代碼]],'銀行-TSS'!B:AK,36,FALSE)),"")</f>
        <v>有</v>
      </c>
      <c r="Y195" s="400"/>
      <c r="Z195" s="400"/>
      <c r="AA195" s="401"/>
    </row>
    <row r="196" spans="2:27" s="399" customFormat="1" ht="24.75" customHeight="1">
      <c r="B196" s="1745" t="s">
        <v>1113</v>
      </c>
      <c r="C196" s="1745" t="str">
        <f ca="1">IFERROR(VLOOKUP(表格1[[#This Row],[商品
代碼]],'銀行-TSS'!B:V,21,FALSE),"")</f>
        <v>高資產</v>
      </c>
      <c r="D196" s="1746" t="str">
        <f>IFERROR(VLOOKUP(表格1[[#This Row],[商品
代碼]],bond!B:F,5,FALSE),"")</f>
        <v>US382550BJ95</v>
      </c>
      <c r="E196" s="1746" t="str">
        <f ca="1">IFERROR(VLOOKUP(B196,'銀行-TSS'!B:D,3,FALSE),"")</f>
        <v>固特異美元配息債券  5.25% 2031/4/30</v>
      </c>
      <c r="F196" s="1745" t="str">
        <f ca="1">IFERROR(VLOOKUP(B196,'銀行-TSS'!B:E,4,FALSE),"")</f>
        <v>B2 / B+ / BB-</v>
      </c>
      <c r="G196" s="1747">
        <f ca="1">IFERROR(VLOOKUP(B196,'銀行-TSS'!B:G,6,FALSE),"")</f>
        <v>6.83</v>
      </c>
      <c r="H196" s="1748">
        <f ca="1">IFERROR(VLOOKUP(B196,'銀行-TSS'!B:H,7,FALSE),"")</f>
        <v>5.2499999999999998E-2</v>
      </c>
      <c r="I196" s="1745" t="str">
        <f ca="1">IFERROR(IF(表格1[[#This Row],[配息頻率]]=0,"",CHOOSE(表格1[[#This Row],[配息頻率]],MONTH(J196),IF(MONTH(J196)&lt;=6,CONCATENATE(MONTH(J196)," / ",MONTH(J196)+6),CONCATENATE(MONTH(J196)-6," / ",MONTH(J196))),0,"2 / 4 / 8 / 11")),"")</f>
        <v>4 / 10</v>
      </c>
      <c r="J196" s="1749" t="str">
        <f ca="1">IFERROR(VLOOKUP(B196,'銀行-TSS'!B:P,15,FALSE),"")</f>
        <v>2024/10/30</v>
      </c>
      <c r="K196" s="1750">
        <f ca="1">IFERROR(VLOOKUP(表格1[[#This Row],[商品
代碼]],'銀行-TSS'!B:I,8,FALSE),"")</f>
        <v>2</v>
      </c>
      <c r="L196" s="1747">
        <f ca="1">IFERROR(VLOOKUP(B196,'銀行-TSS'!B:K,10,FALSE),"")</f>
        <v>95.68</v>
      </c>
      <c r="M196" s="1745" t="str">
        <f ca="1">IF(表格1[[#This Row],[含息申購
參考價]]&gt;100,"溢價",IF(表格1[[#This Row],[含息申購
參考價]]&lt;100,"折價","平價"))</f>
        <v>折價</v>
      </c>
      <c r="N196" s="1751">
        <f ca="1">IFERROR(VLOOKUP(B196,'銀行-TSS'!B:M,12,FALSE),"")</f>
        <v>6.2E-2</v>
      </c>
      <c r="O196" s="1752">
        <f ca="1">IFERROR(VLOOKUP(表格1[[#This Row],[商品
代碼]],'銀行-TSS'!B:AJ,35,FALSE),"")</f>
        <v>0</v>
      </c>
      <c r="P196" s="1753">
        <f ca="1">IFERROR(VLOOKUP(表格1[[#This Row],[商品
代碼]],'銀行-TSS'!B:AE,30,FALSE),"")</f>
        <v>6.2300000000000001E-2</v>
      </c>
      <c r="Q196" s="1749" t="str">
        <f ca="1">IFERROR(IF(VLOOKUP(表格1[[#This Row],[商品
代碼]],'銀行-TSS'!B:AM,38,FALSE)="#N/A Field Not Applicable","",VLOOKUP(表格1[[#This Row],[商品
代碼]],'銀行-TSS'!B:AM,38,FALSE)),"")</f>
        <v>2031/1/30</v>
      </c>
      <c r="R196" s="1749" t="str">
        <f ca="1">IFERROR(VLOOKUP(表格1[[#This Row],[商品
代碼]],'銀行-TSS'!B:AH,33,FALSE),"")</f>
        <v>美元(USD)</v>
      </c>
      <c r="S196" s="1754">
        <f ca="1">IFERROR(VLOOKUP(B196,'銀行-TSS'!B:N,13,FALSE),"")</f>
        <v>10000</v>
      </c>
      <c r="T196" s="1754" t="str">
        <f ca="1">VLOOKUP(表格1[[#This Row],[商品
代碼]],'銀行-TSS'!B:AI,34,FALSE)</f>
        <v>自由選清單</v>
      </c>
      <c r="U196" s="1755" t="str">
        <f ca="1">IFERROR(VLOOKUP(B196,'銀行-TSS'!B:Q,16,FALSE),"")</f>
        <v>非核心消費</v>
      </c>
      <c r="V196" s="1755" t="str">
        <f ca="1">IFERROR(VLOOKUP(表格1[[#This Row],[商品
代碼]],'銀行-TSS'!B:AG,32,FALSE),"")</f>
        <v>固定</v>
      </c>
      <c r="W196" s="1756" t="str">
        <f ca="1">IFERROR(IFERROR(VLOOKUP(表格1[[#This Row],[商品
代碼]],'3_是否下架'!A:B,2,FALSE),VLOOKUP(表格1[[#This Row],[商品
代碼]],'銀行-TSS'!B:AK,36,FALSE)),"")</f>
        <v>有</v>
      </c>
      <c r="Y196" s="400"/>
      <c r="Z196" s="400"/>
      <c r="AA196" s="401"/>
    </row>
    <row r="197" spans="2:27" s="399" customFormat="1" ht="24.75" customHeight="1">
      <c r="B197" s="1745" t="s">
        <v>1161</v>
      </c>
      <c r="C197" s="1745" t="str">
        <f ca="1">IFERROR(VLOOKUP(表格1[[#This Row],[商品
代碼]],'銀行-TSS'!B:V,21,FALSE),"")</f>
        <v>高資產</v>
      </c>
      <c r="D197" s="1746" t="str">
        <f>IFERROR(VLOOKUP(表格1[[#This Row],[商品
代碼]],bond!B:F,5,FALSE),"")</f>
        <v>US988498AN16</v>
      </c>
      <c r="E197" s="1746" t="str">
        <f ca="1">IFERROR(VLOOKUP(B197,'銀行-TSS'!B:D,3,FALSE),"")</f>
        <v>百勝餐飲美元配息債券 3.625% 2031/3/15</v>
      </c>
      <c r="F197" s="1745" t="str">
        <f ca="1">IFERROR(VLOOKUP(B197,'銀行-TSS'!B:E,4,FALSE),"")</f>
        <v>Ba3 / BB / -</v>
      </c>
      <c r="G197" s="1747">
        <f ca="1">IFERROR(VLOOKUP(B197,'銀行-TSS'!B:G,6,FALSE),"")</f>
        <v>6.7</v>
      </c>
      <c r="H197" s="1748">
        <f ca="1">IFERROR(VLOOKUP(B197,'銀行-TSS'!B:H,7,FALSE),"")</f>
        <v>3.6249999999999998E-2</v>
      </c>
      <c r="I197" s="1745" t="str">
        <f ca="1">IFERROR(IF(表格1[[#This Row],[配息頻率]]=0,"",CHOOSE(表格1[[#This Row],[配息頻率]],MONTH(J197),IF(MONTH(J197)&lt;=6,CONCATENATE(MONTH(J197)," / ",MONTH(J197)+6),CONCATENATE(MONTH(J197)-6," / ",MONTH(J197))),0,"2 / 4 / 8 / 11")),"")</f>
        <v>3 / 9</v>
      </c>
      <c r="J197" s="1749" t="str">
        <f ca="1">IFERROR(VLOOKUP(B197,'銀行-TSS'!B:P,15,FALSE),"")</f>
        <v>2024/9/15</v>
      </c>
      <c r="K197" s="1750">
        <f ca="1">IFERROR(VLOOKUP(表格1[[#This Row],[商品
代碼]],'銀行-TSS'!B:I,8,FALSE),"")</f>
        <v>2</v>
      </c>
      <c r="L197" s="1747">
        <f ca="1">IFERROR(VLOOKUP(B197,'銀行-TSS'!B:K,10,FALSE),"")</f>
        <v>91.92</v>
      </c>
      <c r="M197" s="1745" t="str">
        <f ca="1">IF(表格1[[#This Row],[含息申購
參考價]]&gt;100,"溢價",IF(表格1[[#This Row],[含息申購
參考價]]&lt;100,"折價","平價"))</f>
        <v>折價</v>
      </c>
      <c r="N197" s="1751">
        <f ca="1">IFERROR(VLOOKUP(B197,'銀行-TSS'!B:M,12,FALSE),"")</f>
        <v>5.2600000000000001E-2</v>
      </c>
      <c r="O197" s="1752">
        <f ca="1">IFERROR(VLOOKUP(表格1[[#This Row],[商品
代碼]],'銀行-TSS'!B:AJ,35,FALSE),"")</f>
        <v>0</v>
      </c>
      <c r="P197" s="1753">
        <f ca="1">IFERROR(VLOOKUP(表格1[[#This Row],[商品
代碼]],'銀行-TSS'!B:AE,30,FALSE),"")</f>
        <v>5.3199999999999997E-2</v>
      </c>
      <c r="Q197" s="1749" t="str">
        <f ca="1">IFERROR(IF(VLOOKUP(表格1[[#This Row],[商品
代碼]],'銀行-TSS'!B:AM,38,FALSE)="#N/A Field Not Applicable","",VLOOKUP(表格1[[#This Row],[商品
代碼]],'銀行-TSS'!B:AM,38,FALSE)),"")</f>
        <v>2030/12/15</v>
      </c>
      <c r="R197" s="1749" t="str">
        <f ca="1">IFERROR(VLOOKUP(表格1[[#This Row],[商品
代碼]],'銀行-TSS'!B:AH,33,FALSE),"")</f>
        <v>美元(USD)</v>
      </c>
      <c r="S197" s="1754">
        <f ca="1">IFERROR(VLOOKUP(B197,'銀行-TSS'!B:N,13,FALSE),"")</f>
        <v>10000</v>
      </c>
      <c r="T197" s="1754" t="str">
        <f ca="1">VLOOKUP(表格1[[#This Row],[商品
代碼]],'銀行-TSS'!B:AI,34,FALSE)</f>
        <v>自由選清單</v>
      </c>
      <c r="U197" s="1755" t="str">
        <f ca="1">IFERROR(VLOOKUP(B197,'銀行-TSS'!B:Q,16,FALSE),"")</f>
        <v>非核心消費</v>
      </c>
      <c r="V197" s="1755" t="str">
        <f ca="1">IFERROR(VLOOKUP(表格1[[#This Row],[商品
代碼]],'銀行-TSS'!B:AG,32,FALSE),"")</f>
        <v>固定</v>
      </c>
      <c r="W197" s="1756" t="str">
        <f ca="1">IFERROR(IFERROR(VLOOKUP(表格1[[#This Row],[商品
代碼]],'3_是否下架'!A:B,2,FALSE),VLOOKUP(表格1[[#This Row],[商品
代碼]],'銀行-TSS'!B:AK,36,FALSE)),"")</f>
        <v>有</v>
      </c>
      <c r="Y197" s="400"/>
      <c r="Z197" s="400"/>
      <c r="AA197" s="401"/>
    </row>
    <row r="198" spans="2:27" s="399" customFormat="1" ht="24.75" customHeight="1">
      <c r="B198" s="1745" t="s">
        <v>952</v>
      </c>
      <c r="C198" s="1745" t="str">
        <f ca="1">IFERROR(VLOOKUP(表格1[[#This Row],[商品
代碼]],'銀行-TSS'!B:V,21,FALSE),"")</f>
        <v>(NPI)非專投</v>
      </c>
      <c r="D198" s="1746" t="str">
        <f>IFERROR(VLOOKUP(表格1[[#This Row],[商品
代碼]],bond!B:F,5,FALSE),"")</f>
        <v>US233835AQ08</v>
      </c>
      <c r="E198" s="1746" t="str">
        <f ca="1">IFERROR(VLOOKUP(B198,'銀行-TSS'!B:D,3,FALSE),"")</f>
        <v>戴姆勒金融北美有限責任公司美元配息債券 8.5% 2031/1/18</v>
      </c>
      <c r="F198" s="1745" t="str">
        <f ca="1">IFERROR(VLOOKUP(B198,'銀行-TSS'!B:E,4,FALSE),"")</f>
        <v>A2 / A / A</v>
      </c>
      <c r="G198" s="1747">
        <f ca="1">IFERROR(VLOOKUP(B198,'銀行-TSS'!B:G,6,FALSE),"")</f>
        <v>6.55</v>
      </c>
      <c r="H198" s="1748">
        <f ca="1">IFERROR(VLOOKUP(B198,'銀行-TSS'!B:H,7,FALSE),"")</f>
        <v>8.5000000000000006E-2</v>
      </c>
      <c r="I198" s="1745" t="str">
        <f ca="1">IFERROR(IF(表格1[[#This Row],[配息頻率]]=0,"",CHOOSE(表格1[[#This Row],[配息頻率]],MONTH(J198),IF(MONTH(J198)&lt;=6,CONCATENATE(MONTH(J198)," / ",MONTH(J198)+6),CONCATENATE(MONTH(J198)-6," / ",MONTH(J198))),0,"2 / 4 / 8 / 11")),"")</f>
        <v>1 / 7</v>
      </c>
      <c r="J198" s="1749" t="str">
        <f ca="1">IFERROR(VLOOKUP(B198,'銀行-TSS'!B:P,15,FALSE),"")</f>
        <v>2024/7/18</v>
      </c>
      <c r="K198" s="1750">
        <f ca="1">IFERROR(VLOOKUP(表格1[[#This Row],[商品
代碼]],'銀行-TSS'!B:I,8,FALSE),"")</f>
        <v>2</v>
      </c>
      <c r="L198" s="1747">
        <f ca="1">IFERROR(VLOOKUP(B198,'銀行-TSS'!B:K,10,FALSE),"")</f>
        <v>125.56</v>
      </c>
      <c r="M198" s="1745" t="str">
        <f ca="1">IF(表格1[[#This Row],[含息申購
參考價]]&gt;100,"溢價",IF(表格1[[#This Row],[含息申購
參考價]]&lt;100,"折價","平價"))</f>
        <v>溢價</v>
      </c>
      <c r="N198" s="1751">
        <f ca="1">IFERROR(VLOOKUP(B198,'銀行-TSS'!B:M,12,FALSE),"")</f>
        <v>4.6199999999999998E-2</v>
      </c>
      <c r="O198" s="1752">
        <f ca="1">IFERROR(VLOOKUP(表格1[[#This Row],[商品
代碼]],'銀行-TSS'!B:AJ,35,FALSE),"")</f>
        <v>0</v>
      </c>
      <c r="P198" s="1753" t="str">
        <f ca="1">IFERROR(VLOOKUP(表格1[[#This Row],[商品
代碼]],'銀行-TSS'!B:AE,30,FALSE),"")</f>
        <v xml:space="preserve"> </v>
      </c>
      <c r="Q198" s="1749" t="str">
        <f ca="1">IFERROR(IF(VLOOKUP(表格1[[#This Row],[商品
代碼]],'銀行-TSS'!B:AM,38,FALSE)="#N/A Field Not Applicable","",VLOOKUP(表格1[[#This Row],[商品
代碼]],'銀行-TSS'!B:AM,38,FALSE)),"")</f>
        <v/>
      </c>
      <c r="R198" s="1749" t="str">
        <f ca="1">IFERROR(VLOOKUP(表格1[[#This Row],[商品
代碼]],'銀行-TSS'!B:AH,33,FALSE),"")</f>
        <v>美元(USD)</v>
      </c>
      <c r="S198" s="1754">
        <f ca="1">IFERROR(VLOOKUP(B198,'銀行-TSS'!B:N,13,FALSE),"")</f>
        <v>10000</v>
      </c>
      <c r="T198" s="1754" t="str">
        <f ca="1">VLOOKUP(表格1[[#This Row],[商品
代碼]],'銀行-TSS'!B:AI,34,FALSE)</f>
        <v>自由選清單</v>
      </c>
      <c r="U198" s="1755" t="str">
        <f ca="1">IFERROR(VLOOKUP(B198,'銀行-TSS'!B:Q,16,FALSE),"")</f>
        <v>非核心消費</v>
      </c>
      <c r="V198" s="1755" t="str">
        <f ca="1">IFERROR(VLOOKUP(表格1[[#This Row],[商品
代碼]],'銀行-TSS'!B:AG,32,FALSE),"")</f>
        <v>固定</v>
      </c>
      <c r="W198" s="1756" t="str">
        <f ca="1">IFERROR(IFERROR(VLOOKUP(表格1[[#This Row],[商品
代碼]],'3_是否下架'!A:B,2,FALSE),VLOOKUP(表格1[[#This Row],[商品
代碼]],'銀行-TSS'!B:AK,36,FALSE)),"")</f>
        <v>有</v>
      </c>
      <c r="Y198" s="400"/>
      <c r="Z198" s="400"/>
      <c r="AA198" s="401"/>
    </row>
    <row r="199" spans="2:27" s="399" customFormat="1" ht="24.75" customHeight="1">
      <c r="B199" s="1745" t="s">
        <v>1014</v>
      </c>
      <c r="C199" s="1745" t="str">
        <f ca="1">IFERROR(VLOOKUP(表格1[[#This Row],[商品
代碼]],'銀行-TSS'!B:V,21,FALSE),"")</f>
        <v>(NPI)非專投</v>
      </c>
      <c r="D199" s="1746" t="str">
        <f>IFERROR(VLOOKUP(表格1[[#This Row],[商品
代碼]],bond!B:F,5,FALSE),"")</f>
        <v>XS2216795638</v>
      </c>
      <c r="E199" s="1746" t="str">
        <f ca="1">IFERROR(VLOOKUP(B199,'銀行-TSS'!B:D,3,FALSE),"")</f>
        <v>花旗環球證券控股公司南非幣配息債券  7% 2030/12/23</v>
      </c>
      <c r="F199" s="1745" t="str">
        <f ca="1">IFERROR(VLOOKUP(B199,'銀行-TSS'!B:E,4,FALSE),"")</f>
        <v>A2 / - / -</v>
      </c>
      <c r="G199" s="1747">
        <f ca="1">IFERROR(VLOOKUP(B199,'銀行-TSS'!B:G,6,FALSE),"")</f>
        <v>6.47</v>
      </c>
      <c r="H199" s="1748">
        <f ca="1">IFERROR(VLOOKUP(B199,'銀行-TSS'!B:H,7,FALSE),"")</f>
        <v>7.0000000000000007E-2</v>
      </c>
      <c r="I199" s="1745">
        <f ca="1">IFERROR(IF(表格1[[#This Row],[配息頻率]]=0,"",CHOOSE(表格1[[#This Row],[配息頻率]],MONTH(J199),IF(MONTH(J199)&lt;=6,CONCATENATE(MONTH(J199)," / ",MONTH(J199)+6),CONCATENATE(MONTH(J199)-6," / ",MONTH(J199))),0,"2 / 4 / 8 / 11")),"")</f>
        <v>12</v>
      </c>
      <c r="J199" s="1749" t="str">
        <f ca="1">IFERROR(VLOOKUP(B199,'銀行-TSS'!B:P,15,FALSE),"")</f>
        <v>2024/12/23</v>
      </c>
      <c r="K199" s="1750">
        <f ca="1">IFERROR(VLOOKUP(表格1[[#This Row],[商品
代碼]],'銀行-TSS'!B:I,8,FALSE),"")</f>
        <v>1</v>
      </c>
      <c r="L199" s="1747">
        <f ca="1">IFERROR(VLOOKUP(B199,'銀行-TSS'!B:K,10,FALSE),"")</f>
        <v>0</v>
      </c>
      <c r="M199" s="1745" t="str">
        <f ca="1">IF(表格1[[#This Row],[含息申購
參考價]]&gt;100,"溢價",IF(表格1[[#This Row],[含息申購
參考價]]&lt;100,"折價","平價"))</f>
        <v>折價</v>
      </c>
      <c r="N199" s="1751">
        <f ca="1">IFERROR(VLOOKUP(B199,'銀行-TSS'!B:M,12,FALSE),"")</f>
        <v>0</v>
      </c>
      <c r="O199" s="1752">
        <f ca="1">IFERROR(VLOOKUP(表格1[[#This Row],[商品
代碼]],'銀行-TSS'!B:AJ,35,FALSE),"")</f>
        <v>1</v>
      </c>
      <c r="P199" s="1753">
        <f ca="1">IFERROR(VLOOKUP(表格1[[#This Row],[商品
代碼]],'銀行-TSS'!B:AE,30,FALSE),"")</f>
        <v>29.465699999999998</v>
      </c>
      <c r="Q199" s="1749" t="str">
        <f ca="1">IFERROR(IF(VLOOKUP(表格1[[#This Row],[商品
代碼]],'銀行-TSS'!B:AM,38,FALSE)="#N/A Field Not Applicable","",VLOOKUP(表格1[[#This Row],[商品
代碼]],'銀行-TSS'!B:AM,38,FALSE)),"")</f>
        <v>2024/12/23</v>
      </c>
      <c r="R199" s="1749" t="str">
        <f ca="1">IFERROR(VLOOKUP(表格1[[#This Row],[商品
代碼]],'銀行-TSS'!B:AH,33,FALSE),"")</f>
        <v>南非幣(ZAR)</v>
      </c>
      <c r="S199" s="1754">
        <f ca="1">IFERROR(VLOOKUP(B199,'銀行-TSS'!B:N,13,FALSE),"")</f>
        <v>100000</v>
      </c>
      <c r="T199" s="1754" t="str">
        <f ca="1">VLOOKUP(表格1[[#This Row],[商品
代碼]],'銀行-TSS'!B:AI,34,FALSE)</f>
        <v/>
      </c>
      <c r="U199" s="1755" t="str">
        <f ca="1">IFERROR(VLOOKUP(B199,'銀行-TSS'!B:Q,16,FALSE),"")</f>
        <v>金融</v>
      </c>
      <c r="V199" s="1755" t="str">
        <f ca="1">IFERROR(VLOOKUP(表格1[[#This Row],[商品
代碼]],'銀行-TSS'!B:AG,32,FALSE),"")</f>
        <v>固定</v>
      </c>
      <c r="W199" s="1756" t="str">
        <f>IFERROR(IFERROR(VLOOKUP(表格1[[#This Row],[商品
代碼]],'3_是否下架'!A:B,2,FALSE),VLOOKUP(表格1[[#This Row],[商品
代碼]],'銀行-TSS'!B:AK,36,FALSE)),"")</f>
        <v>已下架</v>
      </c>
      <c r="Y199" s="400"/>
      <c r="Z199" s="400"/>
      <c r="AA199" s="401"/>
    </row>
    <row r="200" spans="2:27" s="399" customFormat="1" ht="24.75" customHeight="1">
      <c r="B200" s="1745" t="s">
        <v>987</v>
      </c>
      <c r="C200" s="1745" t="str">
        <f ca="1">IFERROR(VLOOKUP(表格1[[#This Row],[商品
代碼]],'銀行-TSS'!B:V,21,FALSE),"")</f>
        <v>(NPI)非專投</v>
      </c>
      <c r="D200" s="1746" t="str">
        <f>IFERROR(VLOOKUP(表格1[[#This Row],[商品
代碼]],bond!B:F,5,FALSE),"")</f>
        <v>XS2236363227</v>
      </c>
      <c r="E200" s="1746" t="str">
        <f ca="1">IFERROR(VLOOKUP(B200,'銀行-TSS'!B:D,3,FALSE),"")</f>
        <v>富士康遠東有限公司美元配息債券 2.5% 2030/10/28</v>
      </c>
      <c r="F200" s="1745" t="str">
        <f ca="1">IFERROR(VLOOKUP(B200,'銀行-TSS'!B:E,4,FALSE),"")</f>
        <v>- / A- / -</v>
      </c>
      <c r="G200" s="1747">
        <f ca="1">IFERROR(VLOOKUP(B200,'銀行-TSS'!B:G,6,FALSE),"")</f>
        <v>6.32</v>
      </c>
      <c r="H200" s="1748">
        <f ca="1">IFERROR(VLOOKUP(B200,'銀行-TSS'!B:H,7,FALSE),"")</f>
        <v>2.5000000000000001E-2</v>
      </c>
      <c r="I200" s="1745" t="str">
        <f ca="1">IFERROR(IF(表格1[[#This Row],[配息頻率]]=0,"",CHOOSE(表格1[[#This Row],[配息頻率]],MONTH(J200),IF(MONTH(J200)&lt;=6,CONCATENATE(MONTH(J200)," / ",MONTH(J200)+6),CONCATENATE(MONTH(J200)-6," / ",MONTH(J200))),0,"2 / 4 / 8 / 11")),"")</f>
        <v>4 / 10</v>
      </c>
      <c r="J200" s="1749" t="str">
        <f ca="1">IFERROR(VLOOKUP(B200,'銀行-TSS'!B:P,15,FALSE),"")</f>
        <v>2024/10/28</v>
      </c>
      <c r="K200" s="1750">
        <f ca="1">IFERROR(VLOOKUP(表格1[[#This Row],[商品
代碼]],'銀行-TSS'!B:I,8,FALSE),"")</f>
        <v>2</v>
      </c>
      <c r="L200" s="1747">
        <f ca="1">IFERROR(VLOOKUP(B200,'銀行-TSS'!B:K,10,FALSE),"")</f>
        <v>88.23</v>
      </c>
      <c r="M200" s="1745" t="str">
        <f ca="1">IF(表格1[[#This Row],[含息申購
參考價]]&gt;100,"溢價",IF(表格1[[#This Row],[含息申購
參考價]]&lt;100,"折價","平價"))</f>
        <v>折價</v>
      </c>
      <c r="N200" s="1751">
        <f ca="1">IFERROR(VLOOKUP(B200,'銀行-TSS'!B:M,12,FALSE),"")</f>
        <v>4.7600000000000003E-2</v>
      </c>
      <c r="O200" s="1752">
        <f ca="1">IFERROR(VLOOKUP(表格1[[#This Row],[商品
代碼]],'銀行-TSS'!B:AJ,35,FALSE),"")</f>
        <v>0</v>
      </c>
      <c r="P200" s="1753" t="str">
        <f ca="1">IFERROR(VLOOKUP(表格1[[#This Row],[商品
代碼]],'銀行-TSS'!B:AE,30,FALSE),"")</f>
        <v xml:space="preserve"> </v>
      </c>
      <c r="Q200" s="1749" t="str">
        <f ca="1">IFERROR(IF(VLOOKUP(表格1[[#This Row],[商品
代碼]],'銀行-TSS'!B:AM,38,FALSE)="#N/A Field Not Applicable","",VLOOKUP(表格1[[#This Row],[商品
代碼]],'銀行-TSS'!B:AM,38,FALSE)),"")</f>
        <v/>
      </c>
      <c r="R200" s="1749" t="str">
        <f ca="1">IFERROR(VLOOKUP(表格1[[#This Row],[商品
代碼]],'銀行-TSS'!B:AH,33,FALSE),"")</f>
        <v>美元(USD)</v>
      </c>
      <c r="S200" s="1754">
        <f ca="1">IFERROR(VLOOKUP(B200,'銀行-TSS'!B:N,13,FALSE),"")</f>
        <v>200000</v>
      </c>
      <c r="T200" s="1754" t="str">
        <f ca="1">VLOOKUP(表格1[[#This Row],[商品
代碼]],'銀行-TSS'!B:AI,34,FALSE)</f>
        <v>自由選清單</v>
      </c>
      <c r="U200" s="1755" t="str">
        <f ca="1">IFERROR(VLOOKUP(B200,'銀行-TSS'!B:Q,16,FALSE),"")</f>
        <v>工業</v>
      </c>
      <c r="V200" s="1755" t="str">
        <f ca="1">IFERROR(VLOOKUP(表格1[[#This Row],[商品
代碼]],'銀行-TSS'!B:AG,32,FALSE),"")</f>
        <v>固定</v>
      </c>
      <c r="W200" s="1756" t="str">
        <f ca="1">IFERROR(IFERROR(VLOOKUP(表格1[[#This Row],[商品
代碼]],'3_是否下架'!A:B,2,FALSE),VLOOKUP(表格1[[#This Row],[商品
代碼]],'銀行-TSS'!B:AK,36,FALSE)),"")</f>
        <v>有</v>
      </c>
      <c r="Y200" s="400"/>
      <c r="Z200" s="400"/>
      <c r="AA200" s="401"/>
    </row>
    <row r="201" spans="2:27" s="399" customFormat="1" ht="24.75" customHeight="1">
      <c r="B201" s="1745" t="s">
        <v>3842</v>
      </c>
      <c r="C201" s="1745" t="str">
        <f ca="1">IFERROR(VLOOKUP(表格1[[#This Row],[商品
代碼]],'銀行-TSS'!B:V,21,FALSE),"")</f>
        <v>(NPI)非專投</v>
      </c>
      <c r="D201" s="1746" t="str">
        <f>IFERROR(VLOOKUP(表格1[[#This Row],[商品
代碼]],bond!B:F,5,FALSE),"")</f>
        <v>US02665WER88</v>
      </c>
      <c r="E201" s="1746" t="str">
        <f ca="1">IFERROR(VLOOKUP(B201,'銀行-TSS'!B:D,3,FALSE),"")</f>
        <v>美國本田金融公司美元配息債券  5.85% 2030/10/04</v>
      </c>
      <c r="F201" s="1745" t="str">
        <f ca="1">IFERROR(VLOOKUP(B201,'銀行-TSS'!B:E,4,FALSE),"")</f>
        <v>A3 / A- / -</v>
      </c>
      <c r="G201" s="1747">
        <f ca="1">IFERROR(VLOOKUP(B201,'銀行-TSS'!B:G,6,FALSE),"")</f>
        <v>6.26</v>
      </c>
      <c r="H201" s="1748">
        <f ca="1">IFERROR(VLOOKUP(B201,'銀行-TSS'!B:H,7,FALSE),"")</f>
        <v>5.8499999999999996E-2</v>
      </c>
      <c r="I201" s="1745" t="str">
        <f ca="1">IFERROR(IF(表格1[[#This Row],[配息頻率]]=0,"",CHOOSE(表格1[[#This Row],[配息頻率]],MONTH(J201),IF(MONTH(J201)&lt;=6,CONCATENATE(MONTH(J201)," / ",MONTH(J201)+6),CONCATENATE(MONTH(J201)-6," / ",MONTH(J201))),0,"2 / 4 / 8 / 11")),"")</f>
        <v>4 / 10</v>
      </c>
      <c r="J201" s="1749" t="str">
        <f ca="1">IFERROR(VLOOKUP(B201,'銀行-TSS'!B:P,15,FALSE),"")</f>
        <v>2024/10/4</v>
      </c>
      <c r="K201" s="1750">
        <f ca="1">IFERROR(VLOOKUP(表格1[[#This Row],[商品
代碼]],'銀行-TSS'!B:I,8,FALSE),"")</f>
        <v>2</v>
      </c>
      <c r="L201" s="1747">
        <f ca="1">IFERROR(VLOOKUP(B201,'銀行-TSS'!B:K,10,FALSE),"")</f>
        <v>107.82</v>
      </c>
      <c r="M201" s="1745" t="str">
        <f ca="1">IF(表格1[[#This Row],[含息申購
參考價]]&gt;100,"溢價",IF(表格1[[#This Row],[含息申購
參考價]]&lt;100,"折價","平價"))</f>
        <v>溢價</v>
      </c>
      <c r="N201" s="1751">
        <f ca="1">IFERROR(VLOOKUP(B201,'銀行-TSS'!B:M,12,FALSE),"")</f>
        <v>4.6600000000000003E-2</v>
      </c>
      <c r="O201" s="1752">
        <f ca="1">IFERROR(VLOOKUP(表格1[[#This Row],[商品
代碼]],'銀行-TSS'!B:AJ,35,FALSE),"")</f>
        <v>0</v>
      </c>
      <c r="P201" s="1753" t="str">
        <f ca="1">IFERROR(VLOOKUP(表格1[[#This Row],[商品
代碼]],'銀行-TSS'!B:AE,30,FALSE),"")</f>
        <v xml:space="preserve"> </v>
      </c>
      <c r="Q201" s="1749" t="str">
        <f ca="1">IFERROR(IF(VLOOKUP(表格1[[#This Row],[商品
代碼]],'銀行-TSS'!B:AM,38,FALSE)="#N/A Field Not Applicable","",VLOOKUP(表格1[[#This Row],[商品
代碼]],'銀行-TSS'!B:AM,38,FALSE)),"")</f>
        <v/>
      </c>
      <c r="R201" s="1749" t="str">
        <f ca="1">IFERROR(VLOOKUP(表格1[[#This Row],[商品
代碼]],'銀行-TSS'!B:AH,33,FALSE),"")</f>
        <v>美元(USD)</v>
      </c>
      <c r="S201" s="1754">
        <f ca="1">IFERROR(VLOOKUP(B201,'銀行-TSS'!B:N,13,FALSE),"")</f>
        <v>10000</v>
      </c>
      <c r="T201" s="1754" t="str">
        <f ca="1">VLOOKUP(表格1[[#This Row],[商品
代碼]],'銀行-TSS'!B:AI,34,FALSE)</f>
        <v>自由選清單</v>
      </c>
      <c r="U201" s="1755" t="str">
        <f ca="1">IFERROR(VLOOKUP(B201,'銀行-TSS'!B:Q,16,FALSE),"")</f>
        <v>非核心消費</v>
      </c>
      <c r="V201" s="1755" t="str">
        <f ca="1">IFERROR(VLOOKUP(表格1[[#This Row],[商品
代碼]],'銀行-TSS'!B:AG,32,FALSE),"")</f>
        <v>固定</v>
      </c>
      <c r="W201" s="1756" t="str">
        <f ca="1">IFERROR(IFERROR(VLOOKUP(表格1[[#This Row],[商品
代碼]],'3_是否下架'!A:B,2,FALSE),VLOOKUP(表格1[[#This Row],[商品
代碼]],'銀行-TSS'!B:AK,36,FALSE)),"")</f>
        <v>有</v>
      </c>
      <c r="Y201" s="400"/>
      <c r="Z201" s="400"/>
      <c r="AA201" s="401"/>
    </row>
    <row r="202" spans="2:27" s="399" customFormat="1" ht="24.75" customHeight="1">
      <c r="B202" s="1745" t="s">
        <v>1152</v>
      </c>
      <c r="C202" s="1745" t="str">
        <f ca="1">IFERROR(VLOOKUP(表格1[[#This Row],[商品
代碼]],'銀行-TSS'!B:V,21,FALSE),"")</f>
        <v>(PI)專投</v>
      </c>
      <c r="D202" s="1746" t="str">
        <f>IFERROR(VLOOKUP(表格1[[#This Row],[商品
代碼]],bond!B:F,5,FALSE),"")</f>
        <v>USJ57160DZ32</v>
      </c>
      <c r="E202" s="1746" t="str">
        <f ca="1">IFERROR(VLOOKUP(B202,'銀行-TSS'!B:D,3,FALSE),"")</f>
        <v>日產汽車公司美元配息債券  4.81% 2030/9/17</v>
      </c>
      <c r="F202" s="1745" t="str">
        <f ca="1">IFERROR(VLOOKUP(B202,'銀行-TSS'!B:E,4,FALSE),"")</f>
        <v>Baa3 / BB+ / BBB-</v>
      </c>
      <c r="G202" s="1747">
        <f ca="1">IFERROR(VLOOKUP(B202,'銀行-TSS'!B:G,6,FALSE),"")</f>
        <v>6.21</v>
      </c>
      <c r="H202" s="1748">
        <f ca="1">IFERROR(VLOOKUP(B202,'銀行-TSS'!B:H,7,FALSE),"")</f>
        <v>4.8099999999999997E-2</v>
      </c>
      <c r="I202" s="1745" t="str">
        <f ca="1">IFERROR(IF(表格1[[#This Row],[配息頻率]]=0,"",CHOOSE(表格1[[#This Row],[配息頻率]],MONTH(J202),IF(MONTH(J202)&lt;=6,CONCATENATE(MONTH(J202)," / ",MONTH(J202)+6),CONCATENATE(MONTH(J202)-6," / ",MONTH(J202))),0,"2 / 4 / 8 / 11")),"")</f>
        <v>3 / 9</v>
      </c>
      <c r="J202" s="1749" t="str">
        <f ca="1">IFERROR(VLOOKUP(B202,'銀行-TSS'!B:P,15,FALSE),"")</f>
        <v>2024/9/17</v>
      </c>
      <c r="K202" s="1750">
        <f ca="1">IFERROR(VLOOKUP(表格1[[#This Row],[商品
代碼]],'銀行-TSS'!B:I,8,FALSE),"")</f>
        <v>2</v>
      </c>
      <c r="L202" s="1747">
        <f ca="1">IFERROR(VLOOKUP(B202,'銀行-TSS'!B:K,10,FALSE),"")</f>
        <v>97.07</v>
      </c>
      <c r="M202" s="1745" t="str">
        <f ca="1">IF(表格1[[#This Row],[含息申購
參考價]]&gt;100,"溢價",IF(表格1[[#This Row],[含息申購
參考價]]&lt;100,"折價","平價"))</f>
        <v>折價</v>
      </c>
      <c r="N202" s="1751">
        <f ca="1">IFERROR(VLOOKUP(B202,'銀行-TSS'!B:M,12,FALSE),"")</f>
        <v>5.6399999999999999E-2</v>
      </c>
      <c r="O202" s="1752">
        <f ca="1">IFERROR(VLOOKUP(表格1[[#This Row],[商品
代碼]],'銀行-TSS'!B:AJ,35,FALSE),"")</f>
        <v>0</v>
      </c>
      <c r="P202" s="1753">
        <f ca="1">IFERROR(VLOOKUP(表格1[[#This Row],[商品
代碼]],'銀行-TSS'!B:AE,30,FALSE),"")</f>
        <v>5.6800000000000003E-2</v>
      </c>
      <c r="Q202" s="1749" t="str">
        <f ca="1">IFERROR(IF(VLOOKUP(表格1[[#This Row],[商品
代碼]],'銀行-TSS'!B:AM,38,FALSE)="#N/A Field Not Applicable","",VLOOKUP(表格1[[#This Row],[商品
代碼]],'銀行-TSS'!B:AM,38,FALSE)),"")</f>
        <v>2030/6/17</v>
      </c>
      <c r="R202" s="1749" t="str">
        <f ca="1">IFERROR(VLOOKUP(表格1[[#This Row],[商品
代碼]],'銀行-TSS'!B:AH,33,FALSE),"")</f>
        <v>美元(USD)</v>
      </c>
      <c r="S202" s="1754">
        <f ca="1">IFERROR(VLOOKUP(B202,'銀行-TSS'!B:N,13,FALSE),"")</f>
        <v>200000</v>
      </c>
      <c r="T202" s="1754" t="str">
        <f ca="1">VLOOKUP(表格1[[#This Row],[商品
代碼]],'銀行-TSS'!B:AI,34,FALSE)</f>
        <v>自由選清單</v>
      </c>
      <c r="U202" s="1755" t="str">
        <f ca="1">IFERROR(VLOOKUP(B202,'銀行-TSS'!B:Q,16,FALSE),"")</f>
        <v>非核心消費</v>
      </c>
      <c r="V202" s="1755" t="str">
        <f ca="1">IFERROR(VLOOKUP(表格1[[#This Row],[商品
代碼]],'銀行-TSS'!B:AG,32,FALSE),"")</f>
        <v>固定</v>
      </c>
      <c r="W202" s="1756" t="str">
        <f ca="1">IFERROR(IFERROR(VLOOKUP(表格1[[#This Row],[商品
代碼]],'3_是否下架'!A:B,2,FALSE),VLOOKUP(表格1[[#This Row],[商品
代碼]],'銀行-TSS'!B:AK,36,FALSE)),"")</f>
        <v>有</v>
      </c>
      <c r="Y202" s="400"/>
      <c r="Z202" s="400"/>
      <c r="AA202" s="401"/>
    </row>
    <row r="203" spans="2:27" s="399" customFormat="1" ht="24.75" customHeight="1">
      <c r="B203" s="1745" t="s">
        <v>2349</v>
      </c>
      <c r="C203" s="1745" t="str">
        <f ca="1">IFERROR(VLOOKUP(表格1[[#This Row],[商品
代碼]],'銀行-TSS'!B:V,21,FALSE),"")</f>
        <v>(NPI)非專投</v>
      </c>
      <c r="D203" s="1746" t="str">
        <f>IFERROR(VLOOKUP(表格1[[#This Row],[商品
代碼]],bond!B:F,5,FALSE),"")</f>
        <v>AU0000013740</v>
      </c>
      <c r="E203" s="1746" t="str">
        <f ca="1">IFERROR(VLOOKUP(B203,'銀行-TSS'!B:D,3,FALSE),"")</f>
        <v>澳洲政府公債澳幣配息債券 2.5% 2030/5/21</v>
      </c>
      <c r="F203" s="1745" t="str">
        <f ca="1">IFERROR(VLOOKUP(B203,'銀行-TSS'!B:E,4,FALSE),"")</f>
        <v>- / - / AAAu</v>
      </c>
      <c r="G203" s="1747">
        <f ca="1">IFERROR(VLOOKUP(B203,'銀行-TSS'!B:G,6,FALSE),"")</f>
        <v>5.88</v>
      </c>
      <c r="H203" s="1748">
        <f ca="1">IFERROR(VLOOKUP(B203,'銀行-TSS'!B:H,7,FALSE),"")</f>
        <v>2.5000000000000001E-2</v>
      </c>
      <c r="I203" s="1745" t="str">
        <f ca="1">IFERROR(IF(表格1[[#This Row],[配息頻率]]=0,"",CHOOSE(表格1[[#This Row],[配息頻率]],MONTH(J203),IF(MONTH(J203)&lt;=6,CONCATENATE(MONTH(J203)," / ",MONTH(J203)+6),CONCATENATE(MONTH(J203)-6," / ",MONTH(J203))),0,"2 / 4 / 8 / 11")),"")</f>
        <v>5 / 11</v>
      </c>
      <c r="J203" s="1749" t="str">
        <f ca="1">IFERROR(VLOOKUP(B203,'銀行-TSS'!B:P,15,FALSE),"")</f>
        <v>2024/11/21</v>
      </c>
      <c r="K203" s="1750">
        <f ca="1">IFERROR(VLOOKUP(表格1[[#This Row],[商品
代碼]],'銀行-TSS'!B:I,8,FALSE),"")</f>
        <v>2</v>
      </c>
      <c r="L203" s="1747">
        <f ca="1">IFERROR(VLOOKUP(B203,'銀行-TSS'!B:K,10,FALSE),"")</f>
        <v>94.2</v>
      </c>
      <c r="M203" s="1745" t="str">
        <f ca="1">IF(表格1[[#This Row],[含息申購
參考價]]&gt;100,"溢價",IF(表格1[[#This Row],[含息申購
參考價]]&lt;100,"折價","平價"))</f>
        <v>折價</v>
      </c>
      <c r="N203" s="1751">
        <f ca="1">IFERROR(VLOOKUP(B203,'銀行-TSS'!B:M,12,FALSE),"")</f>
        <v>3.6600000000000001E-2</v>
      </c>
      <c r="O203" s="1752">
        <f ca="1">IFERROR(VLOOKUP(表格1[[#This Row],[商品
代碼]],'銀行-TSS'!B:AJ,35,FALSE),"")</f>
        <v>1</v>
      </c>
      <c r="P203" s="1753" t="str">
        <f ca="1">IFERROR(VLOOKUP(表格1[[#This Row],[商品
代碼]],'銀行-TSS'!B:AE,30,FALSE),"")</f>
        <v xml:space="preserve"> </v>
      </c>
      <c r="Q203" s="1749" t="str">
        <f ca="1">IFERROR(IF(VLOOKUP(表格1[[#This Row],[商品
代碼]],'銀行-TSS'!B:AM,38,FALSE)="#N/A Field Not Applicable","",VLOOKUP(表格1[[#This Row],[商品
代碼]],'銀行-TSS'!B:AM,38,FALSE)),"")</f>
        <v/>
      </c>
      <c r="R203" s="1749" t="str">
        <f ca="1">IFERROR(VLOOKUP(表格1[[#This Row],[商品
代碼]],'銀行-TSS'!B:AH,33,FALSE),"")</f>
        <v>澳幣(AUD)</v>
      </c>
      <c r="S203" s="1754">
        <f ca="1">IFERROR(VLOOKUP(B203,'銀行-TSS'!B:N,13,FALSE),"")</f>
        <v>10000</v>
      </c>
      <c r="T203" s="1754" t="str">
        <f ca="1">VLOOKUP(表格1[[#This Row],[商品
代碼]],'銀行-TSS'!B:AI,34,FALSE)</f>
        <v/>
      </c>
      <c r="U203" s="1755" t="str">
        <f ca="1">IFERROR(VLOOKUP(B203,'銀行-TSS'!B:Q,16,FALSE),"")</f>
        <v>政府</v>
      </c>
      <c r="V203" s="1755" t="str">
        <f ca="1">IFERROR(VLOOKUP(表格1[[#This Row],[商品
代碼]],'銀行-TSS'!B:AG,32,FALSE),"")</f>
        <v>固定</v>
      </c>
      <c r="W203" s="1756" t="str">
        <f ca="1">IFERROR(IFERROR(VLOOKUP(表格1[[#This Row],[商品
代碼]],'3_是否下架'!A:B,2,FALSE),VLOOKUP(表格1[[#This Row],[商品
代碼]],'銀行-TSS'!B:AK,36,FALSE)),"")</f>
        <v>有</v>
      </c>
      <c r="Y203" s="400"/>
      <c r="Z203" s="400"/>
      <c r="AA203" s="401"/>
    </row>
    <row r="204" spans="2:27" s="399" customFormat="1" ht="24.75" customHeight="1">
      <c r="B204" s="1745" t="s">
        <v>2198</v>
      </c>
      <c r="C204" s="1745" t="str">
        <f ca="1">IFERROR(VLOOKUP(表格1[[#This Row],[商品
代碼]],'銀行-TSS'!B:V,21,FALSE),"")</f>
        <v>(NPI)非專投</v>
      </c>
      <c r="D204" s="1746" t="str">
        <f>IFERROR(VLOOKUP(表格1[[#This Row],[商品
代碼]],bond!B:F,5,FALSE),"")</f>
        <v>US037833EU05</v>
      </c>
      <c r="E204" s="1746" t="str">
        <f ca="1">IFERROR(VLOOKUP(B204,'銀行-TSS'!B:D,3,FALSE),"")</f>
        <v>蘋果公司美元配息債券 4.15% 2030/5/10</v>
      </c>
      <c r="F204" s="1745" t="str">
        <f ca="1">IFERROR(VLOOKUP(B204,'銀行-TSS'!B:E,4,FALSE),"")</f>
        <v>Aaa / AA+ / -</v>
      </c>
      <c r="G204" s="1747">
        <f ca="1">IFERROR(VLOOKUP(B204,'銀行-TSS'!B:G,6,FALSE),"")</f>
        <v>5.85</v>
      </c>
      <c r="H204" s="1748">
        <f ca="1">IFERROR(VLOOKUP(B204,'銀行-TSS'!B:H,7,FALSE),"")</f>
        <v>4.1500000000000002E-2</v>
      </c>
      <c r="I204" s="1745" t="str">
        <f ca="1">IFERROR(IF(表格1[[#This Row],[配息頻率]]=0,"",CHOOSE(表格1[[#This Row],[配息頻率]],MONTH(J204),IF(MONTH(J204)&lt;=6,CONCATENATE(MONTH(J204)," / ",MONTH(J204)+6),CONCATENATE(MONTH(J204)-6," / ",MONTH(J204))),0,"2 / 4 / 8 / 11")),"")</f>
        <v>5 / 11</v>
      </c>
      <c r="J204" s="1749" t="str">
        <f ca="1">IFERROR(VLOOKUP(B204,'銀行-TSS'!B:P,15,FALSE),"")</f>
        <v>2024/11/10</v>
      </c>
      <c r="K204" s="1750">
        <f ca="1">IFERROR(VLOOKUP(表格1[[#This Row],[商品
代碼]],'銀行-TSS'!B:I,8,FALSE),"")</f>
        <v>2</v>
      </c>
      <c r="L204" s="1747">
        <f ca="1">IFERROR(VLOOKUP(B204,'銀行-TSS'!B:K,10,FALSE),"")</f>
        <v>100.76</v>
      </c>
      <c r="M204" s="1745" t="str">
        <f ca="1">IF(表格1[[#This Row],[含息申購
參考價]]&gt;100,"溢價",IF(表格1[[#This Row],[含息申購
參考價]]&lt;100,"折價","平價"))</f>
        <v>溢價</v>
      </c>
      <c r="N204" s="1751">
        <f ca="1">IFERROR(VLOOKUP(B204,'銀行-TSS'!B:M,12,FALSE),"")</f>
        <v>4.1200000000000001E-2</v>
      </c>
      <c r="O204" s="1752">
        <f ca="1">IFERROR(VLOOKUP(表格1[[#This Row],[商品
代碼]],'銀行-TSS'!B:AJ,35,FALSE),"")</f>
        <v>0</v>
      </c>
      <c r="P204" s="1753">
        <f ca="1">IFERROR(VLOOKUP(表格1[[#This Row],[商品
代碼]],'銀行-TSS'!B:AE,30,FALSE),"")</f>
        <v>4.1200000000000001E-2</v>
      </c>
      <c r="Q204" s="1749" t="str">
        <f ca="1">IFERROR(IF(VLOOKUP(表格1[[#This Row],[商品
代碼]],'銀行-TSS'!B:AM,38,FALSE)="#N/A Field Not Applicable","",VLOOKUP(表格1[[#This Row],[商品
代碼]],'銀行-TSS'!B:AM,38,FALSE)),"")</f>
        <v>2030/3/10</v>
      </c>
      <c r="R204" s="1749" t="str">
        <f ca="1">IFERROR(VLOOKUP(表格1[[#This Row],[商品
代碼]],'銀行-TSS'!B:AH,33,FALSE),"")</f>
        <v>美元(USD)</v>
      </c>
      <c r="S204" s="1754">
        <f ca="1">IFERROR(VLOOKUP(B204,'銀行-TSS'!B:N,13,FALSE),"")</f>
        <v>10000</v>
      </c>
      <c r="T204" s="1754" t="str">
        <f ca="1">VLOOKUP(表格1[[#This Row],[商品
代碼]],'銀行-TSS'!B:AI,34,FALSE)</f>
        <v>自由選清單</v>
      </c>
      <c r="U204" s="1755" t="str">
        <f ca="1">IFERROR(VLOOKUP(B204,'銀行-TSS'!B:Q,16,FALSE),"")</f>
        <v>科技</v>
      </c>
      <c r="V204" s="1755" t="str">
        <f ca="1">IFERROR(VLOOKUP(表格1[[#This Row],[商品
代碼]],'銀行-TSS'!B:AG,32,FALSE),"")</f>
        <v>固定</v>
      </c>
      <c r="W204" s="1756" t="str">
        <f ca="1">IFERROR(IFERROR(VLOOKUP(表格1[[#This Row],[商品
代碼]],'3_是否下架'!A:B,2,FALSE),VLOOKUP(表格1[[#This Row],[商品
代碼]],'銀行-TSS'!B:AK,36,FALSE)),"")</f>
        <v>有</v>
      </c>
      <c r="Y204" s="400"/>
      <c r="Z204" s="400"/>
      <c r="AA204" s="401"/>
    </row>
    <row r="205" spans="2:27" s="399" customFormat="1" ht="24.75" customHeight="1">
      <c r="B205" s="1745" t="s">
        <v>950</v>
      </c>
      <c r="C205" s="1745" t="str">
        <f ca="1">IFERROR(VLOOKUP(表格1[[#This Row],[商品
代碼]],'銀行-TSS'!B:V,21,FALSE),"")</f>
        <v>(PI)專投</v>
      </c>
      <c r="D205" s="1746" t="str">
        <f>IFERROR(VLOOKUP(表格1[[#This Row],[商品
代碼]],bond!B:F,5,FALSE),"")</f>
        <v>US097023CY98</v>
      </c>
      <c r="E205" s="1746" t="str">
        <f ca="1">IFERROR(VLOOKUP(B205,'銀行-TSS'!B:D,3,FALSE),"")</f>
        <v>波音公司美元配息債券 5.15% 2030/5/1</v>
      </c>
      <c r="F205" s="1745" t="str">
        <f ca="1">IFERROR(VLOOKUP(B205,'銀行-TSS'!B:E,4,FALSE),"")</f>
        <v>Baa3 / BBB- / BBB-</v>
      </c>
      <c r="G205" s="1747">
        <f ca="1">IFERROR(VLOOKUP(B205,'銀行-TSS'!B:G,6,FALSE),"")</f>
        <v>5.83</v>
      </c>
      <c r="H205" s="1748">
        <f ca="1">IFERROR(VLOOKUP(B205,'銀行-TSS'!B:H,7,FALSE),"")</f>
        <v>5.1500000000000004E-2</v>
      </c>
      <c r="I205" s="1745" t="str">
        <f ca="1">IFERROR(IF(表格1[[#This Row],[配息頻率]]=0,"",CHOOSE(表格1[[#This Row],[配息頻率]],MONTH(J205),IF(MONTH(J205)&lt;=6,CONCATENATE(MONTH(J205)," / ",MONTH(J205)+6),CONCATENATE(MONTH(J205)-6," / ",MONTH(J205))),0,"2 / 4 / 8 / 11")),"")</f>
        <v>5 / 11</v>
      </c>
      <c r="J205" s="1749" t="str">
        <f ca="1">IFERROR(VLOOKUP(B205,'銀行-TSS'!B:P,15,FALSE),"")</f>
        <v>2024/11/1</v>
      </c>
      <c r="K205" s="1750">
        <f ca="1">IFERROR(VLOOKUP(表格1[[#This Row],[商品
代碼]],'銀行-TSS'!B:I,8,FALSE),"")</f>
        <v>2</v>
      </c>
      <c r="L205" s="1747">
        <f ca="1">IFERROR(VLOOKUP(B205,'銀行-TSS'!B:K,10,FALSE),"")</f>
        <v>99.45</v>
      </c>
      <c r="M205" s="1745" t="str">
        <f ca="1">IF(表格1[[#This Row],[含息申購
參考價]]&gt;100,"溢價",IF(表格1[[#This Row],[含息申購
參考價]]&lt;100,"折價","平價"))</f>
        <v>折價</v>
      </c>
      <c r="N205" s="1751">
        <f ca="1">IFERROR(VLOOKUP(B205,'銀行-TSS'!B:M,12,FALSE),"")</f>
        <v>5.4399999999999997E-2</v>
      </c>
      <c r="O205" s="1752">
        <f ca="1">IFERROR(VLOOKUP(表格1[[#This Row],[商品
代碼]],'銀行-TSS'!B:AJ,35,FALSE),"")</f>
        <v>0</v>
      </c>
      <c r="P205" s="1753">
        <f ca="1">IFERROR(VLOOKUP(表格1[[#This Row],[商品
代碼]],'銀行-TSS'!B:AE,30,FALSE),"")</f>
        <v>5.45E-2</v>
      </c>
      <c r="Q205" s="1749" t="str">
        <f ca="1">IFERROR(IF(VLOOKUP(表格1[[#This Row],[商品
代碼]],'銀行-TSS'!B:AM,38,FALSE)="#N/A Field Not Applicable","",VLOOKUP(表格1[[#This Row],[商品
代碼]],'銀行-TSS'!B:AM,38,FALSE)),"")</f>
        <v>2030/2/1</v>
      </c>
      <c r="R205" s="1749" t="str">
        <f ca="1">IFERROR(VLOOKUP(表格1[[#This Row],[商品
代碼]],'銀行-TSS'!B:AH,33,FALSE),"")</f>
        <v>美元(USD)</v>
      </c>
      <c r="S205" s="1754">
        <f ca="1">IFERROR(VLOOKUP(B205,'銀行-TSS'!B:N,13,FALSE),"")</f>
        <v>10000</v>
      </c>
      <c r="T205" s="1754" t="str">
        <f ca="1">VLOOKUP(表格1[[#This Row],[商品
代碼]],'銀行-TSS'!B:AI,34,FALSE)</f>
        <v>自由選清單</v>
      </c>
      <c r="U205" s="1755" t="str">
        <f ca="1">IFERROR(VLOOKUP(B205,'銀行-TSS'!B:Q,16,FALSE),"")</f>
        <v>工業</v>
      </c>
      <c r="V205" s="1755" t="str">
        <f ca="1">IFERROR(VLOOKUP(表格1[[#This Row],[商品
代碼]],'銀行-TSS'!B:AG,32,FALSE),"")</f>
        <v>固定</v>
      </c>
      <c r="W205" s="1756" t="str">
        <f ca="1">IFERROR(IFERROR(VLOOKUP(表格1[[#This Row],[商品
代碼]],'3_是否下架'!A:B,2,FALSE),VLOOKUP(表格1[[#This Row],[商品
代碼]],'銀行-TSS'!B:AK,36,FALSE)),"")</f>
        <v>有</v>
      </c>
      <c r="Y205" s="400"/>
      <c r="Z205" s="400"/>
      <c r="AA205" s="401"/>
    </row>
    <row r="206" spans="2:27" s="399" customFormat="1" ht="24.75" customHeight="1">
      <c r="B206" s="1745" t="s">
        <v>939</v>
      </c>
      <c r="C206" s="1745" t="str">
        <f ca="1">IFERROR(VLOOKUP(表格1[[#This Row],[商品
代碼]],'銀行-TSS'!B:V,21,FALSE),"")</f>
        <v>(NPI)非專投</v>
      </c>
      <c r="D206" s="1746" t="str">
        <f>IFERROR(VLOOKUP(表格1[[#This Row],[商品
代碼]],bond!B:F,5,FALSE),"")</f>
        <v>XS1808738212</v>
      </c>
      <c r="E206" s="1746" t="str">
        <f ca="1">IFERROR(VLOOKUP(B206,'銀行-TSS'!B:D,3,FALSE),"")</f>
        <v>阿布達比國家能源公司美元配息債券 4.875% 2030/4/23</v>
      </c>
      <c r="F206" s="1745" t="str">
        <f ca="1">IFERROR(VLOOKUP(B206,'銀行-TSS'!B:E,4,FALSE),"")</f>
        <v>Aa3 / - / AA</v>
      </c>
      <c r="G206" s="1747">
        <f ca="1">IFERROR(VLOOKUP(B206,'銀行-TSS'!B:G,6,FALSE),"")</f>
        <v>5.8</v>
      </c>
      <c r="H206" s="1748">
        <f ca="1">IFERROR(VLOOKUP(B206,'銀行-TSS'!B:H,7,FALSE),"")</f>
        <v>4.8750000000000002E-2</v>
      </c>
      <c r="I206" s="1745" t="str">
        <f ca="1">IFERROR(IF(表格1[[#This Row],[配息頻率]]=0,"",CHOOSE(表格1[[#This Row],[配息頻率]],MONTH(J206),IF(MONTH(J206)&lt;=6,CONCATENATE(MONTH(J206)," / ",MONTH(J206)+6),CONCATENATE(MONTH(J206)-6," / ",MONTH(J206))),0,"2 / 4 / 8 / 11")),"")</f>
        <v>4 / 10</v>
      </c>
      <c r="J206" s="1749" t="str">
        <f ca="1">IFERROR(VLOOKUP(B206,'銀行-TSS'!B:P,15,FALSE),"")</f>
        <v>2024/10/23</v>
      </c>
      <c r="K206" s="1750">
        <f ca="1">IFERROR(VLOOKUP(表格1[[#This Row],[商品
代碼]],'銀行-TSS'!B:I,8,FALSE),"")</f>
        <v>2</v>
      </c>
      <c r="L206" s="1747">
        <f ca="1">IFERROR(VLOOKUP(B206,'銀行-TSS'!B:K,10,FALSE),"")</f>
        <v>103.5</v>
      </c>
      <c r="M206" s="1745" t="str">
        <f ca="1">IF(表格1[[#This Row],[含息申購
參考價]]&gt;100,"溢價",IF(表格1[[#This Row],[含息申購
參考價]]&lt;100,"折價","平價"))</f>
        <v>溢價</v>
      </c>
      <c r="N206" s="1751">
        <f ca="1">IFERROR(VLOOKUP(B206,'銀行-TSS'!B:M,12,FALSE),"")</f>
        <v>4.3700000000000003E-2</v>
      </c>
      <c r="O206" s="1752">
        <f ca="1">IFERROR(VLOOKUP(表格1[[#This Row],[商品
代碼]],'銀行-TSS'!B:AJ,35,FALSE),"")</f>
        <v>0</v>
      </c>
      <c r="P206" s="1753" t="str">
        <f ca="1">IFERROR(VLOOKUP(表格1[[#This Row],[商品
代碼]],'銀行-TSS'!B:AE,30,FALSE),"")</f>
        <v xml:space="preserve"> </v>
      </c>
      <c r="Q206" s="1749" t="str">
        <f ca="1">IFERROR(IF(VLOOKUP(表格1[[#This Row],[商品
代碼]],'銀行-TSS'!B:AM,38,FALSE)="#N/A Field Not Applicable","",VLOOKUP(表格1[[#This Row],[商品
代碼]],'銀行-TSS'!B:AM,38,FALSE)),"")</f>
        <v/>
      </c>
      <c r="R206" s="1749" t="str">
        <f ca="1">IFERROR(VLOOKUP(表格1[[#This Row],[商品
代碼]],'銀行-TSS'!B:AH,33,FALSE),"")</f>
        <v>美元(USD)</v>
      </c>
      <c r="S206" s="1754">
        <f ca="1">IFERROR(VLOOKUP(B206,'銀行-TSS'!B:N,13,FALSE),"")</f>
        <v>200000</v>
      </c>
      <c r="T206" s="1754" t="str">
        <f ca="1">VLOOKUP(表格1[[#This Row],[商品
代碼]],'銀行-TSS'!B:AI,34,FALSE)</f>
        <v>自由選清單</v>
      </c>
      <c r="U206" s="1755" t="str">
        <f ca="1">IFERROR(VLOOKUP(B206,'銀行-TSS'!B:Q,16,FALSE),"")</f>
        <v>公用事業</v>
      </c>
      <c r="V206" s="1755" t="str">
        <f ca="1">IFERROR(VLOOKUP(表格1[[#This Row],[商品
代碼]],'銀行-TSS'!B:AG,32,FALSE),"")</f>
        <v>固定</v>
      </c>
      <c r="W206" s="1756" t="str">
        <f ca="1">IFERROR(IFERROR(VLOOKUP(表格1[[#This Row],[商品
代碼]],'3_是否下架'!A:B,2,FALSE),VLOOKUP(表格1[[#This Row],[商品
代碼]],'銀行-TSS'!B:AK,36,FALSE)),"")</f>
        <v>有</v>
      </c>
      <c r="Y206" s="400"/>
      <c r="Z206" s="400"/>
      <c r="AA206" s="401"/>
    </row>
    <row r="207" spans="2:27" s="399" customFormat="1" ht="24.75" customHeight="1">
      <c r="B207" s="1745" t="s">
        <v>4007</v>
      </c>
      <c r="C207" s="1745" t="str">
        <f ca="1">IFERROR(VLOOKUP(表格1[[#This Row],[商品
代碼]],'銀行-TSS'!B:V,21,FALSE),"")</f>
        <v>(NPI)非專投</v>
      </c>
      <c r="D207" s="1746" t="str">
        <f>IFERROR(VLOOKUP(表格1[[#This Row],[商品
代碼]],bond!B:F,5,FALSE),"")</f>
        <v>US88579YBN04</v>
      </c>
      <c r="E207" s="1746" t="str">
        <f ca="1">IFERROR(VLOOKUP(B207,'銀行-TSS'!B:D,3,FALSE),"")</f>
        <v>3M公司美元配息債券 3.05% 2030/4/15</v>
      </c>
      <c r="F207" s="1745" t="str">
        <f ca="1">IFERROR(VLOOKUP(B207,'銀行-TSS'!B:E,4,FALSE),"")</f>
        <v>A3 / BBB+ / A-</v>
      </c>
      <c r="G207" s="1747">
        <f ca="1">IFERROR(VLOOKUP(B207,'銀行-TSS'!B:G,6,FALSE),"")</f>
        <v>5.79</v>
      </c>
      <c r="H207" s="1748">
        <f ca="1">IFERROR(VLOOKUP(B207,'銀行-TSS'!B:H,7,FALSE),"")</f>
        <v>3.0499999999999999E-2</v>
      </c>
      <c r="I207" s="1745" t="str">
        <f ca="1">IFERROR(IF(表格1[[#This Row],[配息頻率]]=0,"",CHOOSE(表格1[[#This Row],[配息頻率]],MONTH(J207),IF(MONTH(J207)&lt;=6,CONCATENATE(MONTH(J207)," / ",MONTH(J207)+6),CONCATENATE(MONTH(J207)-6," / ",MONTH(J207))),0,"2 / 4 / 8 / 11")),"")</f>
        <v>4 / 10</v>
      </c>
      <c r="J207" s="1749" t="str">
        <f ca="1">IFERROR(VLOOKUP(B207,'銀行-TSS'!B:P,15,FALSE),"")</f>
        <v>2024/10/15</v>
      </c>
      <c r="K207" s="1750">
        <f ca="1">IFERROR(VLOOKUP(表格1[[#This Row],[商品
代碼]],'銀行-TSS'!B:I,8,FALSE),"")</f>
        <v>2</v>
      </c>
      <c r="L207" s="1747">
        <f ca="1">IFERROR(VLOOKUP(B207,'銀行-TSS'!B:K,10,FALSE),"")</f>
        <v>92.34</v>
      </c>
      <c r="M207" s="1745" t="str">
        <f ca="1">IF(表格1[[#This Row],[含息申購
參考價]]&gt;100,"溢價",IF(表格1[[#This Row],[含息申購
參考價]]&lt;100,"折價","平價"))</f>
        <v>折價</v>
      </c>
      <c r="N207" s="1751">
        <f ca="1">IFERROR(VLOOKUP(B207,'銀行-TSS'!B:M,12,FALSE),"")</f>
        <v>4.7100000000000003E-2</v>
      </c>
      <c r="O207" s="1752">
        <f ca="1">IFERROR(VLOOKUP(表格1[[#This Row],[商品
代碼]],'銀行-TSS'!B:AJ,35,FALSE),"")</f>
        <v>0</v>
      </c>
      <c r="P207" s="1753">
        <f ca="1">IFERROR(VLOOKUP(表格1[[#This Row],[商品
代碼]],'銀行-TSS'!B:AE,30,FALSE),"")</f>
        <v>4.7800000000000002E-2</v>
      </c>
      <c r="Q207" s="1749" t="str">
        <f ca="1">IFERROR(IF(VLOOKUP(表格1[[#This Row],[商品
代碼]],'銀行-TSS'!B:AM,38,FALSE)="#N/A Field Not Applicable","",VLOOKUP(表格1[[#This Row],[商品
代碼]],'銀行-TSS'!B:AM,38,FALSE)),"")</f>
        <v>2030/1/15</v>
      </c>
      <c r="R207" s="1749" t="str">
        <f ca="1">IFERROR(VLOOKUP(表格1[[#This Row],[商品
代碼]],'銀行-TSS'!B:AH,33,FALSE),"")</f>
        <v>美元(USD)</v>
      </c>
      <c r="S207" s="1754">
        <f ca="1">IFERROR(VLOOKUP(B207,'銀行-TSS'!B:N,13,FALSE),"")</f>
        <v>10000</v>
      </c>
      <c r="T207" s="1754" t="str">
        <f ca="1">VLOOKUP(表格1[[#This Row],[商品
代碼]],'銀行-TSS'!B:AI,34,FALSE)</f>
        <v>自由選清單</v>
      </c>
      <c r="U207" s="1755" t="str">
        <f ca="1">IFERROR(VLOOKUP(B207,'銀行-TSS'!B:Q,16,FALSE),"")</f>
        <v>工業</v>
      </c>
      <c r="V207" s="1755" t="str">
        <f ca="1">IFERROR(VLOOKUP(表格1[[#This Row],[商品
代碼]],'銀行-TSS'!B:AG,32,FALSE),"")</f>
        <v>固定</v>
      </c>
      <c r="W207" s="1756" t="str">
        <f ca="1">IFERROR(IFERROR(VLOOKUP(表格1[[#This Row],[商品
代碼]],'3_是否下架'!A:B,2,FALSE),VLOOKUP(表格1[[#This Row],[商品
代碼]],'銀行-TSS'!B:AK,36,FALSE)),"")</f>
        <v>有</v>
      </c>
      <c r="Y207" s="400"/>
      <c r="Z207" s="400"/>
      <c r="AA207" s="401"/>
    </row>
    <row r="208" spans="2:27" s="399" customFormat="1" ht="24.75" customHeight="1">
      <c r="B208" s="1745" t="s">
        <v>1119</v>
      </c>
      <c r="C208" s="1745" t="str">
        <f ca="1">IFERROR(VLOOKUP(表格1[[#This Row],[商品
代碼]],'銀行-TSS'!B:V,21,FALSE),"")</f>
        <v>(PI)專投</v>
      </c>
      <c r="D208" s="1746" t="str">
        <f>IFERROR(VLOOKUP(表格1[[#This Row],[商品
代碼]],bond!B:F,5,FALSE),"")</f>
        <v>US404280CF48</v>
      </c>
      <c r="E208" s="1746" t="str">
        <f ca="1">IFERROR(VLOOKUP(B208,'銀行-TSS'!B:D,3,FALSE),"")</f>
        <v>匯豐控股公司美元配息債券  4.95% 2030/3/31</v>
      </c>
      <c r="F208" s="1745" t="str">
        <f ca="1">IFERROR(VLOOKUP(B208,'銀行-TSS'!B:E,4,FALSE),"")</f>
        <v>A3 / A- / A+</v>
      </c>
      <c r="G208" s="1747">
        <f ca="1">IFERROR(VLOOKUP(B208,'銀行-TSS'!B:G,6,FALSE),"")</f>
        <v>5.74</v>
      </c>
      <c r="H208" s="1748">
        <f ca="1">IFERROR(VLOOKUP(B208,'銀行-TSS'!B:H,7,FALSE),"")</f>
        <v>4.9500000000000002E-2</v>
      </c>
      <c r="I208" s="1745" t="str">
        <f ca="1">IFERROR(IF(表格1[[#This Row],[配息頻率]]=0,"",CHOOSE(表格1[[#This Row],[配息頻率]],MONTH(J208),IF(MONTH(J208)&lt;=6,CONCATENATE(MONTH(J208)," / ",MONTH(J208)+6),CONCATENATE(MONTH(J208)-6," / ",MONTH(J208))),0,"2 / 4 / 8 / 11")),"")</f>
        <v>3 / 9</v>
      </c>
      <c r="J208" s="1749" t="str">
        <f ca="1">IFERROR(VLOOKUP(B208,'銀行-TSS'!B:P,15,FALSE),"")</f>
        <v>2024/9/30</v>
      </c>
      <c r="K208" s="1750">
        <f ca="1">IFERROR(VLOOKUP(表格1[[#This Row],[商品
代碼]],'銀行-TSS'!B:I,8,FALSE),"")</f>
        <v>2</v>
      </c>
      <c r="L208" s="1747">
        <f ca="1">IFERROR(VLOOKUP(B208,'銀行-TSS'!B:K,10,FALSE),"")</f>
        <v>102.02</v>
      </c>
      <c r="M208" s="1745" t="str">
        <f ca="1">IF(表格1[[#This Row],[含息申購
參考價]]&gt;100,"溢價",IF(表格1[[#This Row],[含息申購
參考價]]&lt;100,"折價","平價"))</f>
        <v>溢價</v>
      </c>
      <c r="N208" s="1751">
        <f ca="1">IFERROR(VLOOKUP(B208,'銀行-TSS'!B:M,12,FALSE),"")</f>
        <v>4.8000000000000001E-2</v>
      </c>
      <c r="O208" s="1752">
        <f ca="1">IFERROR(VLOOKUP(表格1[[#This Row],[商品
代碼]],'銀行-TSS'!B:AJ,35,FALSE),"")</f>
        <v>0</v>
      </c>
      <c r="P208" s="1753" t="str">
        <f ca="1">IFERROR(VLOOKUP(表格1[[#This Row],[商品
代碼]],'銀行-TSS'!B:AE,30,FALSE),"")</f>
        <v xml:space="preserve"> </v>
      </c>
      <c r="Q208" s="1749" t="str">
        <f ca="1">IFERROR(IF(VLOOKUP(表格1[[#This Row],[商品
代碼]],'銀行-TSS'!B:AM,38,FALSE)="#N/A Field Not Applicable","",VLOOKUP(表格1[[#This Row],[商品
代碼]],'銀行-TSS'!B:AM,38,FALSE)),"")</f>
        <v/>
      </c>
      <c r="R208" s="1749" t="str">
        <f ca="1">IFERROR(VLOOKUP(表格1[[#This Row],[商品
代碼]],'銀行-TSS'!B:AH,33,FALSE),"")</f>
        <v>美元(USD)</v>
      </c>
      <c r="S208" s="1754">
        <f ca="1">IFERROR(VLOOKUP(B208,'銀行-TSS'!B:N,13,FALSE),"")</f>
        <v>200000</v>
      </c>
      <c r="T208" s="1754" t="str">
        <f ca="1">VLOOKUP(表格1[[#This Row],[商品
代碼]],'銀行-TSS'!B:AI,34,FALSE)</f>
        <v>自由選清單</v>
      </c>
      <c r="U208" s="1755" t="str">
        <f ca="1">IFERROR(VLOOKUP(B208,'銀行-TSS'!B:Q,16,FALSE),"")</f>
        <v>金融</v>
      </c>
      <c r="V208" s="1755" t="str">
        <f ca="1">IFERROR(VLOOKUP(表格1[[#This Row],[商品
代碼]],'銀行-TSS'!B:AG,32,FALSE),"")</f>
        <v>固定</v>
      </c>
      <c r="W208" s="1756" t="str">
        <f ca="1">IFERROR(IFERROR(VLOOKUP(表格1[[#This Row],[商品
代碼]],'3_是否下架'!A:B,2,FALSE),VLOOKUP(表格1[[#This Row],[商品
代碼]],'銀行-TSS'!B:AK,36,FALSE)),"")</f>
        <v>有</v>
      </c>
      <c r="Y208" s="400"/>
      <c r="Z208" s="400"/>
      <c r="AA208" s="401"/>
    </row>
    <row r="209" spans="2:27" s="399" customFormat="1" ht="24.75" customHeight="1">
      <c r="B209" s="1745" t="s">
        <v>1049</v>
      </c>
      <c r="C209" s="1745" t="str">
        <f ca="1">IFERROR(VLOOKUP(表格1[[#This Row],[商品
代碼]],'銀行-TSS'!B:V,21,FALSE),"")</f>
        <v>(NPI)非專投</v>
      </c>
      <c r="D209" s="1746" t="str">
        <f>IFERROR(VLOOKUP(表格1[[#This Row],[商品
代碼]],bond!B:F,5,FALSE),"")</f>
        <v>US92343VFE92</v>
      </c>
      <c r="E209" s="1746" t="str">
        <f ca="1">IFERROR(VLOOKUP(B209,'銀行-TSS'!B:D,3,FALSE),"")</f>
        <v>威瑞森電信公司美元配息債券 3.15% 2030/3/22</v>
      </c>
      <c r="F209" s="1745" t="str">
        <f ca="1">IFERROR(VLOOKUP(B209,'銀行-TSS'!B:E,4,FALSE),"")</f>
        <v>Baa1 / BBB+ / A-</v>
      </c>
      <c r="G209" s="1747">
        <f ca="1">IFERROR(VLOOKUP(B209,'銀行-TSS'!B:G,6,FALSE),"")</f>
        <v>5.72</v>
      </c>
      <c r="H209" s="1748">
        <f ca="1">IFERROR(VLOOKUP(B209,'銀行-TSS'!B:H,7,FALSE),"")</f>
        <v>3.15E-2</v>
      </c>
      <c r="I209" s="1745" t="str">
        <f ca="1">IFERROR(IF(表格1[[#This Row],[配息頻率]]=0,"",CHOOSE(表格1[[#This Row],[配息頻率]],MONTH(J209),IF(MONTH(J209)&lt;=6,CONCATENATE(MONTH(J209)," / ",MONTH(J209)+6),CONCATENATE(MONTH(J209)-6," / ",MONTH(J209))),0,"2 / 4 / 8 / 11")),"")</f>
        <v>3 / 9</v>
      </c>
      <c r="J209" s="1749" t="str">
        <f ca="1">IFERROR(VLOOKUP(B209,'銀行-TSS'!B:P,15,FALSE),"")</f>
        <v>2024/9/22</v>
      </c>
      <c r="K209" s="1750">
        <f ca="1">IFERROR(VLOOKUP(表格1[[#This Row],[商品
代碼]],'銀行-TSS'!B:I,8,FALSE),"")</f>
        <v>2</v>
      </c>
      <c r="L209" s="1747">
        <f ca="1">IFERROR(VLOOKUP(B209,'銀行-TSS'!B:K,10,FALSE),"")</f>
        <v>93.21</v>
      </c>
      <c r="M209" s="1745" t="str">
        <f ca="1">IF(表格1[[#This Row],[含息申購
參考價]]&gt;100,"溢價",IF(表格1[[#This Row],[含息申購
參考價]]&lt;100,"折價","平價"))</f>
        <v>折價</v>
      </c>
      <c r="N209" s="1751">
        <f ca="1">IFERROR(VLOOKUP(B209,'銀行-TSS'!B:M,12,FALSE),"")</f>
        <v>4.6899999999999997E-2</v>
      </c>
      <c r="O209" s="1752">
        <f ca="1">IFERROR(VLOOKUP(表格1[[#This Row],[商品
代碼]],'銀行-TSS'!B:AJ,35,FALSE),"")</f>
        <v>0</v>
      </c>
      <c r="P209" s="1753">
        <f ca="1">IFERROR(VLOOKUP(表格1[[#This Row],[商品
代碼]],'銀行-TSS'!B:AE,30,FALSE),"")</f>
        <v>4.7600000000000003E-2</v>
      </c>
      <c r="Q209" s="1749" t="str">
        <f ca="1">IFERROR(IF(VLOOKUP(表格1[[#This Row],[商品
代碼]],'銀行-TSS'!B:AM,38,FALSE)="#N/A Field Not Applicable","",VLOOKUP(表格1[[#This Row],[商品
代碼]],'銀行-TSS'!B:AM,38,FALSE)),"")</f>
        <v>2029/12/22</v>
      </c>
      <c r="R209" s="1749" t="str">
        <f ca="1">IFERROR(VLOOKUP(表格1[[#This Row],[商品
代碼]],'銀行-TSS'!B:AH,33,FALSE),"")</f>
        <v>美元(USD)</v>
      </c>
      <c r="S209" s="1754">
        <f ca="1">IFERROR(VLOOKUP(B209,'銀行-TSS'!B:N,13,FALSE),"")</f>
        <v>10000</v>
      </c>
      <c r="T209" s="1754" t="str">
        <f ca="1">VLOOKUP(表格1[[#This Row],[商品
代碼]],'銀行-TSS'!B:AI,34,FALSE)</f>
        <v>自由選清單</v>
      </c>
      <c r="U209" s="1755" t="str">
        <f ca="1">IFERROR(VLOOKUP(B209,'銀行-TSS'!B:Q,16,FALSE),"")</f>
        <v>通訊</v>
      </c>
      <c r="V209" s="1755" t="str">
        <f ca="1">IFERROR(VLOOKUP(表格1[[#This Row],[商品
代碼]],'銀行-TSS'!B:AG,32,FALSE),"")</f>
        <v>固定</v>
      </c>
      <c r="W209" s="1756" t="str">
        <f ca="1">IFERROR(IFERROR(VLOOKUP(表格1[[#This Row],[商品
代碼]],'3_是否下架'!A:B,2,FALSE),VLOOKUP(表格1[[#This Row],[商品
代碼]],'銀行-TSS'!B:AK,36,FALSE)),"")</f>
        <v>有</v>
      </c>
      <c r="Y209" s="400"/>
      <c r="Z209" s="400"/>
      <c r="AA209" s="401"/>
    </row>
    <row r="210" spans="2:27" s="399" customFormat="1" ht="24.75" customHeight="1">
      <c r="B210" s="1745" t="s">
        <v>926</v>
      </c>
      <c r="C210" s="1745" t="str">
        <f ca="1">IFERROR(VLOOKUP(表格1[[#This Row],[商品
代碼]],'銀行-TSS'!B:V,21,FALSE),"")</f>
        <v>(PI)專投</v>
      </c>
      <c r="D210" s="1746" t="str">
        <f>IFERROR(VLOOKUP(表格1[[#This Row],[商品
代碼]],bond!B:F,5,FALSE),"")</f>
        <v>US278642AW32</v>
      </c>
      <c r="E210" s="1746" t="str">
        <f ca="1">IFERROR(VLOOKUP(B210,'銀行-TSS'!B:D,3,FALSE),"")</f>
        <v>eBay公司美元配息債券 2.7% 2030/3/11</v>
      </c>
      <c r="F210" s="1745" t="str">
        <f ca="1">IFERROR(VLOOKUP(B210,'銀行-TSS'!B:E,4,FALSE),"")</f>
        <v>Baa1 / BBB+ / WD</v>
      </c>
      <c r="G210" s="1747">
        <f ca="1">IFERROR(VLOOKUP(B210,'銀行-TSS'!B:G,6,FALSE),"")</f>
        <v>5.69</v>
      </c>
      <c r="H210" s="1748">
        <f ca="1">IFERROR(VLOOKUP(B210,'銀行-TSS'!B:H,7,FALSE),"")</f>
        <v>2.7000000000000003E-2</v>
      </c>
      <c r="I210" s="1745" t="str">
        <f ca="1">IFERROR(IF(表格1[[#This Row],[配息頻率]]=0,"",CHOOSE(表格1[[#This Row],[配息頻率]],MONTH(J210),IF(MONTH(J210)&lt;=6,CONCATENATE(MONTH(J210)," / ",MONTH(J210)+6),CONCATENATE(MONTH(J210)-6," / ",MONTH(J210))),0,"2 / 4 / 8 / 11")),"")</f>
        <v>3 / 9</v>
      </c>
      <c r="J210" s="1749" t="str">
        <f ca="1">IFERROR(VLOOKUP(B210,'銀行-TSS'!B:P,15,FALSE),"")</f>
        <v>2024/9/11</v>
      </c>
      <c r="K210" s="1750">
        <f ca="1">IFERROR(VLOOKUP(表格1[[#This Row],[商品
代碼]],'銀行-TSS'!B:I,8,FALSE),"")</f>
        <v>2</v>
      </c>
      <c r="L210" s="1747">
        <f ca="1">IFERROR(VLOOKUP(B210,'銀行-TSS'!B:K,10,FALSE),"")</f>
        <v>91.47</v>
      </c>
      <c r="M210" s="1745" t="str">
        <f ca="1">IF(表格1[[#This Row],[含息申購
參考價]]&gt;100,"溢價",IF(表格1[[#This Row],[含息申購
參考價]]&lt;100,"折價","平價"))</f>
        <v>折價</v>
      </c>
      <c r="N210" s="1751">
        <f ca="1">IFERROR(VLOOKUP(B210,'銀行-TSS'!B:M,12,FALSE),"")</f>
        <v>4.5900000000000003E-2</v>
      </c>
      <c r="O210" s="1752">
        <f ca="1">IFERROR(VLOOKUP(表格1[[#This Row],[商品
代碼]],'銀行-TSS'!B:AJ,35,FALSE),"")</f>
        <v>0</v>
      </c>
      <c r="P210" s="1753">
        <f ca="1">IFERROR(VLOOKUP(表格1[[#This Row],[商品
代碼]],'銀行-TSS'!B:AE,30,FALSE),"")</f>
        <v>4.6699999999999998E-2</v>
      </c>
      <c r="Q210" s="1749" t="str">
        <f ca="1">IFERROR(IF(VLOOKUP(表格1[[#This Row],[商品
代碼]],'銀行-TSS'!B:AM,38,FALSE)="#N/A Field Not Applicable","",VLOOKUP(表格1[[#This Row],[商品
代碼]],'銀行-TSS'!B:AM,38,FALSE)),"")</f>
        <v>2029/12/11</v>
      </c>
      <c r="R210" s="1749" t="str">
        <f ca="1">IFERROR(VLOOKUP(表格1[[#This Row],[商品
代碼]],'銀行-TSS'!B:AH,33,FALSE),"")</f>
        <v>美元(USD)</v>
      </c>
      <c r="S210" s="1754">
        <f ca="1">IFERROR(VLOOKUP(B210,'銀行-TSS'!B:N,13,FALSE),"")</f>
        <v>10000</v>
      </c>
      <c r="T210" s="1754" t="str">
        <f ca="1">VLOOKUP(表格1[[#This Row],[商品
代碼]],'銀行-TSS'!B:AI,34,FALSE)</f>
        <v>自由選清單</v>
      </c>
      <c r="U210" s="1755" t="str">
        <f ca="1">IFERROR(VLOOKUP(B210,'銀行-TSS'!B:Q,16,FALSE),"")</f>
        <v>非核心消費</v>
      </c>
      <c r="V210" s="1755" t="str">
        <f ca="1">IFERROR(VLOOKUP(表格1[[#This Row],[商品
代碼]],'銀行-TSS'!B:AG,32,FALSE),"")</f>
        <v>固定</v>
      </c>
      <c r="W210" s="1756" t="str">
        <f ca="1">IFERROR(IFERROR(VLOOKUP(表格1[[#This Row],[商品
代碼]],'3_是否下架'!A:B,2,FALSE),VLOOKUP(表格1[[#This Row],[商品
代碼]],'銀行-TSS'!B:AK,36,FALSE)),"")</f>
        <v>有</v>
      </c>
      <c r="Y210" s="400"/>
      <c r="Z210" s="400"/>
      <c r="AA210" s="401"/>
    </row>
    <row r="211" spans="2:27" s="399" customFormat="1" ht="24.75" customHeight="1">
      <c r="B211" s="1745" t="s">
        <v>918</v>
      </c>
      <c r="C211" s="1745" t="str">
        <f ca="1">IFERROR(VLOOKUP(表格1[[#This Row],[商品
代碼]],'銀行-TSS'!B:V,21,FALSE),"")</f>
        <v>(NPI)非專投</v>
      </c>
      <c r="D211" s="1746" t="str">
        <f>IFERROR(VLOOKUP(表格1[[#This Row],[商品
代碼]],bond!B:F,5,FALSE),"")</f>
        <v>AU0000078644</v>
      </c>
      <c r="E211" s="1746" t="str">
        <f ca="1">IFERROR(VLOOKUP(B211,'銀行-TSS'!B:D,3,FALSE),"")</f>
        <v>阿聯酋杜拜國家銀行澳幣配息債券 3.05% 2030/2/26</v>
      </c>
      <c r="F211" s="1745" t="str">
        <f ca="1">IFERROR(VLOOKUP(B211,'銀行-TSS'!B:E,4,FALSE),"")</f>
        <v>A2 / - / A+</v>
      </c>
      <c r="G211" s="1747">
        <f ca="1">IFERROR(VLOOKUP(B211,'銀行-TSS'!B:G,6,FALSE),"")</f>
        <v>5.65</v>
      </c>
      <c r="H211" s="1748">
        <f ca="1">IFERROR(VLOOKUP(B211,'銀行-TSS'!B:H,7,FALSE),"")</f>
        <v>3.0499999999999999E-2</v>
      </c>
      <c r="I211" s="1745" t="str">
        <f ca="1">IFERROR(IF(表格1[[#This Row],[配息頻率]]=0,"",CHOOSE(表格1[[#This Row],[配息頻率]],MONTH(J211),IF(MONTH(J211)&lt;=6,CONCATENATE(MONTH(J211)," / ",MONTH(J211)+6),CONCATENATE(MONTH(J211)-6," / ",MONTH(J211))),0,"2 / 4 / 8 / 11")),"")</f>
        <v>2 / 8</v>
      </c>
      <c r="J211" s="1749" t="str">
        <f ca="1">IFERROR(VLOOKUP(B211,'銀行-TSS'!B:P,15,FALSE),"")</f>
        <v>2024/8/26</v>
      </c>
      <c r="K211" s="1750">
        <f ca="1">IFERROR(VLOOKUP(表格1[[#This Row],[商品
代碼]],'銀行-TSS'!B:I,8,FALSE),"")</f>
        <v>2</v>
      </c>
      <c r="L211" s="1747">
        <f ca="1">IFERROR(VLOOKUP(B211,'銀行-TSS'!B:K,10,FALSE),"")</f>
        <v>92.68</v>
      </c>
      <c r="M211" s="1745" t="str">
        <f ca="1">IF(表格1[[#This Row],[含息申購
參考價]]&gt;100,"溢價",IF(表格1[[#This Row],[含息申購
參考價]]&lt;100,"折價","平價"))</f>
        <v>折價</v>
      </c>
      <c r="N211" s="1751">
        <f ca="1">IFERROR(VLOOKUP(B211,'銀行-TSS'!B:M,12,FALSE),"")</f>
        <v>4.7600000000000003E-2</v>
      </c>
      <c r="O211" s="1752">
        <f ca="1">IFERROR(VLOOKUP(表格1[[#This Row],[商品
代碼]],'銀行-TSS'!B:AJ,35,FALSE),"")</f>
        <v>1</v>
      </c>
      <c r="P211" s="1753" t="str">
        <f ca="1">IFERROR(VLOOKUP(表格1[[#This Row],[商品
代碼]],'銀行-TSS'!B:AE,30,FALSE),"")</f>
        <v xml:space="preserve"> </v>
      </c>
      <c r="Q211" s="1749" t="str">
        <f ca="1">IFERROR(IF(VLOOKUP(表格1[[#This Row],[商品
代碼]],'銀行-TSS'!B:AM,38,FALSE)="#N/A Field Not Applicable","",VLOOKUP(表格1[[#This Row],[商品
代碼]],'銀行-TSS'!B:AM,38,FALSE)),"")</f>
        <v/>
      </c>
      <c r="R211" s="1749" t="str">
        <f ca="1">IFERROR(VLOOKUP(表格1[[#This Row],[商品
代碼]],'銀行-TSS'!B:AH,33,FALSE),"")</f>
        <v>澳幣(AUD)</v>
      </c>
      <c r="S211" s="1754">
        <f ca="1">IFERROR(VLOOKUP(B211,'銀行-TSS'!B:N,13,FALSE),"")</f>
        <v>10000</v>
      </c>
      <c r="T211" s="1754" t="str">
        <f ca="1">VLOOKUP(表格1[[#This Row],[商品
代碼]],'銀行-TSS'!B:AI,34,FALSE)</f>
        <v/>
      </c>
      <c r="U211" s="1755" t="str">
        <f ca="1">IFERROR(VLOOKUP(B211,'銀行-TSS'!B:Q,16,FALSE),"")</f>
        <v>金融</v>
      </c>
      <c r="V211" s="1755" t="str">
        <f ca="1">IFERROR(VLOOKUP(表格1[[#This Row],[商品
代碼]],'銀行-TSS'!B:AG,32,FALSE),"")</f>
        <v>固定</v>
      </c>
      <c r="W211" s="1756" t="str">
        <f>IFERROR(IFERROR(VLOOKUP(表格1[[#This Row],[商品
代碼]],'3_是否下架'!A:B,2,FALSE),VLOOKUP(表格1[[#This Row],[商品
代碼]],'銀行-TSS'!B:AK,36,FALSE)),"")</f>
        <v>已下架</v>
      </c>
      <c r="Y211" s="400"/>
      <c r="Z211" s="400"/>
      <c r="AA211" s="401"/>
    </row>
    <row r="212" spans="2:27" s="399" customFormat="1" ht="24.75" customHeight="1">
      <c r="B212" s="1745" t="s">
        <v>1094</v>
      </c>
      <c r="C212" s="1745" t="str">
        <f ca="1">IFERROR(VLOOKUP(表格1[[#This Row],[商品
代碼]],'銀行-TSS'!B:V,21,FALSE),"")</f>
        <v>(PI)專投</v>
      </c>
      <c r="D212" s="1746" t="str">
        <f>IFERROR(VLOOKUP(表格1[[#This Row],[商品
代碼]],bond!B:F,5,FALSE),"")</f>
        <v>USP1905CJX94</v>
      </c>
      <c r="E212" s="1746" t="str">
        <f ca="1">IFERROR(VLOOKUP(B212,'銀行-TSS'!B:D,3,FALSE),"")</f>
        <v>巴西食品公司美元配息債券  4.875% 2030/1/24</v>
      </c>
      <c r="F212" s="1745" t="str">
        <f ca="1">IFERROR(VLOOKUP(B212,'銀行-TSS'!B:E,4,FALSE),"")</f>
        <v>Ba3 / - / BB+</v>
      </c>
      <c r="G212" s="1747">
        <f ca="1">IFERROR(VLOOKUP(B212,'銀行-TSS'!B:G,6,FALSE),"")</f>
        <v>5.56</v>
      </c>
      <c r="H212" s="1748">
        <f ca="1">IFERROR(VLOOKUP(B212,'銀行-TSS'!B:H,7,FALSE),"")</f>
        <v>4.8750000000000002E-2</v>
      </c>
      <c r="I212" s="1745" t="str">
        <f ca="1">IFERROR(IF(表格1[[#This Row],[配息頻率]]=0,"",CHOOSE(表格1[[#This Row],[配息頻率]],MONTH(J212),IF(MONTH(J212)&lt;=6,CONCATENATE(MONTH(J212)," / ",MONTH(J212)+6),CONCATENATE(MONTH(J212)-6," / ",MONTH(J212))),0,"2 / 4 / 8 / 11")),"")</f>
        <v>1 / 7</v>
      </c>
      <c r="J212" s="1749" t="str">
        <f ca="1">IFERROR(VLOOKUP(B212,'銀行-TSS'!B:P,15,FALSE),"")</f>
        <v>2024/7/24</v>
      </c>
      <c r="K212" s="1750">
        <f ca="1">IFERROR(VLOOKUP(表格1[[#This Row],[商品
代碼]],'銀行-TSS'!B:I,8,FALSE),"")</f>
        <v>2</v>
      </c>
      <c r="L212" s="1747">
        <f ca="1">IFERROR(VLOOKUP(B212,'銀行-TSS'!B:K,10,FALSE),"")</f>
        <v>96.29</v>
      </c>
      <c r="M212" s="1745" t="str">
        <f ca="1">IF(表格1[[#This Row],[含息申購
參考價]]&gt;100,"溢價",IF(表格1[[#This Row],[含息申購
參考價]]&lt;100,"折價","平價"))</f>
        <v>折價</v>
      </c>
      <c r="N212" s="1751">
        <f ca="1">IFERROR(VLOOKUP(B212,'銀行-TSS'!B:M,12,FALSE),"")</f>
        <v>6.13E-2</v>
      </c>
      <c r="O212" s="1752">
        <f ca="1">IFERROR(VLOOKUP(表格1[[#This Row],[商品
代碼]],'銀行-TSS'!B:AJ,35,FALSE),"")</f>
        <v>0</v>
      </c>
      <c r="P212" s="1753">
        <f ca="1">IFERROR(VLOOKUP(表格1[[#This Row],[商品
代碼]],'銀行-TSS'!B:AE,30,FALSE),"")</f>
        <v>6.1800000000000001E-2</v>
      </c>
      <c r="Q212" s="1749" t="str">
        <f ca="1">IFERROR(IF(VLOOKUP(表格1[[#This Row],[商品
代碼]],'銀行-TSS'!B:AM,38,FALSE)="#N/A Field Not Applicable","",VLOOKUP(表格1[[#This Row],[商品
代碼]],'銀行-TSS'!B:AM,38,FALSE)),"")</f>
        <v>2029/10/24</v>
      </c>
      <c r="R212" s="1749" t="str">
        <f ca="1">IFERROR(VLOOKUP(表格1[[#This Row],[商品
代碼]],'銀行-TSS'!B:AH,33,FALSE),"")</f>
        <v>美元(USD)</v>
      </c>
      <c r="S212" s="1754">
        <f ca="1">IFERROR(VLOOKUP(B212,'銀行-TSS'!B:N,13,FALSE),"")</f>
        <v>200000</v>
      </c>
      <c r="T212" s="1754" t="str">
        <f ca="1">VLOOKUP(表格1[[#This Row],[商品
代碼]],'銀行-TSS'!B:AI,34,FALSE)</f>
        <v>自由選清單</v>
      </c>
      <c r="U212" s="1755" t="str">
        <f ca="1">IFERROR(VLOOKUP(B212,'銀行-TSS'!B:Q,16,FALSE),"")</f>
        <v>核心消費</v>
      </c>
      <c r="V212" s="1755" t="str">
        <f ca="1">IFERROR(VLOOKUP(表格1[[#This Row],[商品
代碼]],'銀行-TSS'!B:AG,32,FALSE),"")</f>
        <v>固定</v>
      </c>
      <c r="W212" s="1756" t="str">
        <f ca="1">IFERROR(IFERROR(VLOOKUP(表格1[[#This Row],[商品
代碼]],'3_是否下架'!A:B,2,FALSE),VLOOKUP(表格1[[#This Row],[商品
代碼]],'銀行-TSS'!B:AK,36,FALSE)),"")</f>
        <v>有</v>
      </c>
      <c r="Y212" s="400"/>
      <c r="Z212" s="400"/>
      <c r="AA212" s="401"/>
    </row>
    <row r="213" spans="2:27" s="399" customFormat="1" ht="24.75" customHeight="1">
      <c r="B213" s="1745" t="s">
        <v>654</v>
      </c>
      <c r="C213" s="1745" t="str">
        <f ca="1">IFERROR(VLOOKUP(表格1[[#This Row],[商品
代碼]],'銀行-TSS'!B:V,21,FALSE),"")</f>
        <v>高資產</v>
      </c>
      <c r="D213" s="1746" t="str">
        <f>IFERROR(VLOOKUP(表格1[[#This Row],[商品
代碼]],bond!B:F,5,FALSE),"")</f>
        <v>US900123AL40</v>
      </c>
      <c r="E213" s="1746" t="str">
        <f ca="1">IFERROR(VLOOKUP(B213,'銀行-TSS'!B:D,3,FALSE),"")</f>
        <v>土耳其政府美元配息債券 11.875% 2030/1/15</v>
      </c>
      <c r="F213" s="1745" t="str">
        <f ca="1">IFERROR(VLOOKUP(B213,'銀行-TSS'!B:E,4,FALSE),"")</f>
        <v>B3 / NR / B+</v>
      </c>
      <c r="G213" s="1747">
        <f ca="1">IFERROR(VLOOKUP(B213,'銀行-TSS'!B:G,6,FALSE),"")</f>
        <v>5.54</v>
      </c>
      <c r="H213" s="1748">
        <f ca="1">IFERROR(VLOOKUP(B213,'銀行-TSS'!B:H,7,FALSE),"")</f>
        <v>0.11874999999999999</v>
      </c>
      <c r="I213" s="1745" t="str">
        <f ca="1">IFERROR(IF(表格1[[#This Row],[配息頻率]]=0,"",CHOOSE(表格1[[#This Row],[配息頻率]],MONTH(J213),IF(MONTH(J213)&lt;=6,CONCATENATE(MONTH(J213)," / ",MONTH(J213)+6),CONCATENATE(MONTH(J213)-6," / ",MONTH(J213))),0,"2 / 4 / 8 / 11")),"")</f>
        <v>1 / 7</v>
      </c>
      <c r="J213" s="1749" t="str">
        <f ca="1">IFERROR(VLOOKUP(B213,'銀行-TSS'!B:P,15,FALSE),"")</f>
        <v>2024/7/15</v>
      </c>
      <c r="K213" s="1750">
        <f ca="1">IFERROR(VLOOKUP(表格1[[#This Row],[商品
代碼]],'銀行-TSS'!B:I,8,FALSE),"")</f>
        <v>2</v>
      </c>
      <c r="L213" s="1747">
        <f ca="1">IFERROR(VLOOKUP(B213,'銀行-TSS'!B:K,10,FALSE),"")</f>
        <v>134.80000000000001</v>
      </c>
      <c r="M213" s="1745" t="str">
        <f ca="1">IF(表格1[[#This Row],[含息申購
參考價]]&gt;100,"溢價",IF(表格1[[#This Row],[含息申購
參考價]]&lt;100,"折價","平價"))</f>
        <v>溢價</v>
      </c>
      <c r="N213" s="1751">
        <f ca="1">IFERROR(VLOOKUP(B213,'銀行-TSS'!B:M,12,FALSE),"")</f>
        <v>5.6399999999999999E-2</v>
      </c>
      <c r="O213" s="1752">
        <f ca="1">IFERROR(VLOOKUP(表格1[[#This Row],[商品
代碼]],'銀行-TSS'!B:AJ,35,FALSE),"")</f>
        <v>0</v>
      </c>
      <c r="P213" s="1753" t="str">
        <f ca="1">IFERROR(VLOOKUP(表格1[[#This Row],[商品
代碼]],'銀行-TSS'!B:AE,30,FALSE),"")</f>
        <v xml:space="preserve"> </v>
      </c>
      <c r="Q213" s="1749" t="str">
        <f ca="1">IFERROR(IF(VLOOKUP(表格1[[#This Row],[商品
代碼]],'銀行-TSS'!B:AM,38,FALSE)="#N/A Field Not Applicable","",VLOOKUP(表格1[[#This Row],[商品
代碼]],'銀行-TSS'!B:AM,38,FALSE)),"")</f>
        <v/>
      </c>
      <c r="R213" s="1749" t="str">
        <f ca="1">IFERROR(VLOOKUP(表格1[[#This Row],[商品
代碼]],'銀行-TSS'!B:AH,33,FALSE),"")</f>
        <v>美元(USD)</v>
      </c>
      <c r="S213" s="1754">
        <f ca="1">IFERROR(VLOOKUP(B213,'銀行-TSS'!B:N,13,FALSE),"")</f>
        <v>10000</v>
      </c>
      <c r="T213" s="1754" t="str">
        <f ca="1">VLOOKUP(表格1[[#This Row],[商品
代碼]],'銀行-TSS'!B:AI,34,FALSE)</f>
        <v>自由選清單</v>
      </c>
      <c r="U213" s="1755" t="str">
        <f ca="1">IFERROR(VLOOKUP(B213,'銀行-TSS'!B:Q,16,FALSE),"")</f>
        <v>政府</v>
      </c>
      <c r="V213" s="1755" t="str">
        <f ca="1">IFERROR(VLOOKUP(表格1[[#This Row],[商品
代碼]],'銀行-TSS'!B:AG,32,FALSE),"")</f>
        <v>固定</v>
      </c>
      <c r="W213" s="1756" t="str">
        <f>IFERROR(IFERROR(VLOOKUP(表格1[[#This Row],[商品
代碼]],'3_是否下架'!A:B,2,FALSE),VLOOKUP(表格1[[#This Row],[商品
代碼]],'銀行-TSS'!B:AK,36,FALSE)),"")</f>
        <v>已下架</v>
      </c>
      <c r="Y213" s="400"/>
      <c r="Z213" s="400"/>
      <c r="AA213" s="401"/>
    </row>
    <row r="214" spans="2:27" s="399" customFormat="1" ht="24.75" customHeight="1">
      <c r="B214" s="1745" t="s">
        <v>2347</v>
      </c>
      <c r="C214" s="1745" t="str">
        <f ca="1">IFERROR(VLOOKUP(表格1[[#This Row],[商品
代碼]],'銀行-TSS'!B:V,21,FALSE),"")</f>
        <v>(NPI)非專投</v>
      </c>
      <c r="D214" s="1746" t="str">
        <f>IFERROR(VLOOKUP(表格1[[#This Row],[商品
代碼]],bond!B:F,5,FALSE),"")</f>
        <v>AU000XCLWAX7</v>
      </c>
      <c r="E214" s="1746" t="str">
        <f ca="1">IFERROR(VLOOKUP(B214,'銀行-TSS'!B:D,3,FALSE),"")</f>
        <v>澳洲政府公債澳幣配息債券 2.75% 2029/11/21</v>
      </c>
      <c r="F214" s="1745" t="str">
        <f ca="1">IFERROR(VLOOKUP(B214,'銀行-TSS'!B:E,4,FALSE),"")</f>
        <v>Aaau / - / AAAu</v>
      </c>
      <c r="G214" s="1747">
        <f ca="1">IFERROR(VLOOKUP(B214,'銀行-TSS'!B:G,6,FALSE),"")</f>
        <v>5.39</v>
      </c>
      <c r="H214" s="1748">
        <f ca="1">IFERROR(VLOOKUP(B214,'銀行-TSS'!B:H,7,FALSE),"")</f>
        <v>2.75E-2</v>
      </c>
      <c r="I214" s="1745" t="str">
        <f ca="1">IFERROR(IF(表格1[[#This Row],[配息頻率]]=0,"",CHOOSE(表格1[[#This Row],[配息頻率]],MONTH(J214),IF(MONTH(J214)&lt;=6,CONCATENATE(MONTH(J214)," / ",MONTH(J214)+6),CONCATENATE(MONTH(J214)-6," / ",MONTH(J214))),0,"2 / 4 / 8 / 11")),"")</f>
        <v>5 / 11</v>
      </c>
      <c r="J214" s="1749" t="str">
        <f ca="1">IFERROR(VLOOKUP(B214,'銀行-TSS'!B:P,15,FALSE),"")</f>
        <v>2024/11/21</v>
      </c>
      <c r="K214" s="1750">
        <f ca="1">IFERROR(VLOOKUP(表格1[[#This Row],[商品
代碼]],'銀行-TSS'!B:I,8,FALSE),"")</f>
        <v>2</v>
      </c>
      <c r="L214" s="1747">
        <f ca="1">IFERROR(VLOOKUP(B214,'銀行-TSS'!B:K,10,FALSE),"")</f>
        <v>96.24</v>
      </c>
      <c r="M214" s="1745" t="str">
        <f ca="1">IF(表格1[[#This Row],[含息申購
參考價]]&gt;100,"溢價",IF(表格1[[#This Row],[含息申購
參考價]]&lt;100,"折價","平價"))</f>
        <v>折價</v>
      </c>
      <c r="N214" s="1751">
        <f ca="1">IFERROR(VLOOKUP(B214,'銀行-TSS'!B:M,12,FALSE),"")</f>
        <v>3.5900000000000001E-2</v>
      </c>
      <c r="O214" s="1752">
        <f ca="1">IFERROR(VLOOKUP(表格1[[#This Row],[商品
代碼]],'銀行-TSS'!B:AJ,35,FALSE),"")</f>
        <v>1</v>
      </c>
      <c r="P214" s="1751" t="str">
        <f ca="1">IFERROR(VLOOKUP(表格1[[#This Row],[商品
代碼]],'銀行-TSS'!B:AE,30,FALSE),"")</f>
        <v xml:space="preserve"> </v>
      </c>
      <c r="Q214" s="1749" t="str">
        <f ca="1">IFERROR(IF(VLOOKUP(表格1[[#This Row],[商品
代碼]],'銀行-TSS'!B:AM,38,FALSE)="#N/A Field Not Applicable","",VLOOKUP(表格1[[#This Row],[商品
代碼]],'銀行-TSS'!B:AM,38,FALSE)),"")</f>
        <v/>
      </c>
      <c r="R214" s="1749" t="str">
        <f ca="1">IFERROR(VLOOKUP(表格1[[#This Row],[商品
代碼]],'銀行-TSS'!B:AH,33,FALSE),"")</f>
        <v>澳幣(AUD)</v>
      </c>
      <c r="S214" s="1754">
        <f ca="1">IFERROR(VLOOKUP(B214,'銀行-TSS'!B:N,13,FALSE),"")</f>
        <v>10000</v>
      </c>
      <c r="T214" s="1754" t="str">
        <f ca="1">VLOOKUP(表格1[[#This Row],[商品
代碼]],'銀行-TSS'!B:AI,34,FALSE)</f>
        <v/>
      </c>
      <c r="U214" s="1745" t="str">
        <f ca="1">IFERROR(VLOOKUP(B214,'銀行-TSS'!B:Q,16,FALSE),"")</f>
        <v>政府</v>
      </c>
      <c r="V214" s="1755" t="str">
        <f ca="1">IFERROR(VLOOKUP(表格1[[#This Row],[商品
代碼]],'銀行-TSS'!B:AG,32,FALSE),"")</f>
        <v>固定</v>
      </c>
      <c r="W214" s="1757" t="str">
        <f ca="1">IFERROR(IFERROR(VLOOKUP(表格1[[#This Row],[商品
代碼]],'3_是否下架'!A:B,2,FALSE),VLOOKUP(表格1[[#This Row],[商品
代碼]],'銀行-TSS'!B:AK,36,FALSE)),"")</f>
        <v>有</v>
      </c>
      <c r="Y214" s="400"/>
      <c r="Z214" s="400"/>
      <c r="AA214" s="401"/>
    </row>
    <row r="215" spans="2:27" s="399" customFormat="1" ht="24.75" customHeight="1">
      <c r="B215" s="1745" t="s">
        <v>844</v>
      </c>
      <c r="C215" s="1745" t="str">
        <f ca="1">IFERROR(VLOOKUP(表格1[[#This Row],[商品
代碼]],'銀行-TSS'!B:V,21,FALSE),"")</f>
        <v>(PI)專投</v>
      </c>
      <c r="D215" s="1746" t="str">
        <f>IFERROR(VLOOKUP(表格1[[#This Row],[商品
代碼]],bond!B:F,5,FALSE),"")</f>
        <v>XS1684385591</v>
      </c>
      <c r="E215" s="1746" t="str">
        <f ca="1">IFERROR(VLOOKUP(B215,'銀行-TSS'!B:D,3,FALSE),"")</f>
        <v>軟銀集團公司歐元配息債券 4% 2029/9/19</v>
      </c>
      <c r="F215" s="1745" t="str">
        <f ca="1">IFERROR(VLOOKUP(B215,'銀行-TSS'!B:E,4,FALSE),"")</f>
        <v>Ba3u / BB+ / -</v>
      </c>
      <c r="G215" s="1747">
        <f ca="1">IFERROR(VLOOKUP(B215,'銀行-TSS'!B:G,6,FALSE),"")</f>
        <v>5.21</v>
      </c>
      <c r="H215" s="1748">
        <f ca="1">IFERROR(VLOOKUP(B215,'銀行-TSS'!B:H,7,FALSE),"")</f>
        <v>0.04</v>
      </c>
      <c r="I215" s="1745" t="str">
        <f ca="1">IFERROR(IF(表格1[[#This Row],[配息頻率]]=0,"",CHOOSE(表格1[[#This Row],[配息頻率]],MONTH(J215),IF(MONTH(J215)&lt;=6,CONCATENATE(MONTH(J215)," / ",MONTH(J215)+6),CONCATENATE(MONTH(J215)-6," / ",MONTH(J215))),0,"2 / 4 / 8 / 11")),"")</f>
        <v>3 / 9</v>
      </c>
      <c r="J215" s="1749" t="str">
        <f ca="1">IFERROR(VLOOKUP(B215,'銀行-TSS'!B:P,15,FALSE),"")</f>
        <v>2024/9/19</v>
      </c>
      <c r="K215" s="1750">
        <f ca="1">IFERROR(VLOOKUP(表格1[[#This Row],[商品
代碼]],'銀行-TSS'!B:I,8,FALSE),"")</f>
        <v>2</v>
      </c>
      <c r="L215" s="1747">
        <f ca="1">IFERROR(VLOOKUP(B215,'銀行-TSS'!B:K,10,FALSE),"")</f>
        <v>99.65</v>
      </c>
      <c r="M215" s="1745" t="str">
        <f ca="1">IF(表格1[[#This Row],[含息申購
參考價]]&gt;100,"溢價",IF(表格1[[#This Row],[含息申購
參考價]]&lt;100,"折價","平價"))</f>
        <v>折價</v>
      </c>
      <c r="N215" s="1751">
        <f ca="1">IFERROR(VLOOKUP(B215,'銀行-TSS'!B:M,12,FALSE),"")</f>
        <v>4.3299999999999998E-2</v>
      </c>
      <c r="O215" s="1752">
        <f ca="1">IFERROR(VLOOKUP(表格1[[#This Row],[商品
代碼]],'銀行-TSS'!B:AJ,35,FALSE),"")</f>
        <v>1</v>
      </c>
      <c r="P215" s="1753">
        <f ca="1">IFERROR(VLOOKUP(表格1[[#This Row],[商品
代碼]],'銀行-TSS'!B:AE,30,FALSE),"")</f>
        <v>4.3400000000000001E-2</v>
      </c>
      <c r="Q215" s="1749" t="str">
        <f ca="1">IFERROR(IF(VLOOKUP(表格1[[#This Row],[商品
代碼]],'銀行-TSS'!B:AM,38,FALSE)="#N/A Field Not Applicable","",VLOOKUP(表格1[[#This Row],[商品
代碼]],'銀行-TSS'!B:AM,38,FALSE)),"")</f>
        <v>2029/6/21</v>
      </c>
      <c r="R215" s="1749" t="str">
        <f ca="1">IFERROR(VLOOKUP(表格1[[#This Row],[商品
代碼]],'銀行-TSS'!B:AH,33,FALSE),"")</f>
        <v>歐元(EUR)</v>
      </c>
      <c r="S215" s="1754">
        <f ca="1">IFERROR(VLOOKUP(B215,'銀行-TSS'!B:N,13,FALSE),"")</f>
        <v>100000</v>
      </c>
      <c r="T215" s="1754" t="str">
        <f ca="1">VLOOKUP(表格1[[#This Row],[商品
代碼]],'銀行-TSS'!B:AI,34,FALSE)</f>
        <v/>
      </c>
      <c r="U215" s="1755" t="str">
        <f ca="1">IFERROR(VLOOKUP(B215,'銀行-TSS'!B:Q,16,FALSE),"")</f>
        <v>通訊</v>
      </c>
      <c r="V215" s="1755" t="str">
        <f ca="1">IFERROR(VLOOKUP(表格1[[#This Row],[商品
代碼]],'銀行-TSS'!B:AG,32,FALSE),"")</f>
        <v>固定</v>
      </c>
      <c r="W215" s="1756" t="str">
        <f ca="1">IFERROR(IFERROR(VLOOKUP(表格1[[#This Row],[商品
代碼]],'3_是否下架'!A:B,2,FALSE),VLOOKUP(表格1[[#This Row],[商品
代碼]],'銀行-TSS'!B:AK,36,FALSE)),"")</f>
        <v>需查詢</v>
      </c>
      <c r="Y215" s="400"/>
      <c r="Z215" s="400"/>
      <c r="AA215" s="401"/>
    </row>
    <row r="216" spans="2:27" s="399" customFormat="1" ht="24.75" customHeight="1">
      <c r="B216" s="1745" t="s">
        <v>1216</v>
      </c>
      <c r="C216" s="1745" t="str">
        <f ca="1">IFERROR(VLOOKUP(表格1[[#This Row],[商品
代碼]],'銀行-TSS'!B:V,21,FALSE),"")</f>
        <v>(NPI)非專投</v>
      </c>
      <c r="D216" s="1746" t="str">
        <f>IFERROR(VLOOKUP(表格1[[#This Row],[商品
代碼]],bond!B:F,5,FALSE),"")</f>
        <v>US037833EN61</v>
      </c>
      <c r="E216" s="1746" t="str">
        <f ca="1">IFERROR(VLOOKUP(B216,'銀行-TSS'!B:D,3,FALSE),"")</f>
        <v>蘋果公司美元配息債券 3.25% 2029/8/8</v>
      </c>
      <c r="F216" s="1745" t="str">
        <f ca="1">IFERROR(VLOOKUP(B216,'銀行-TSS'!B:E,4,FALSE),"")</f>
        <v>Aaa / AA+ / -</v>
      </c>
      <c r="G216" s="1747">
        <f ca="1">IFERROR(VLOOKUP(B216,'銀行-TSS'!B:G,6,FALSE),"")</f>
        <v>5.0999999999999996</v>
      </c>
      <c r="H216" s="1748">
        <f ca="1">IFERROR(VLOOKUP(B216,'銀行-TSS'!B:H,7,FALSE),"")</f>
        <v>3.2500000000000001E-2</v>
      </c>
      <c r="I216" s="1745" t="str">
        <f ca="1">IFERROR(IF(表格1[[#This Row],[配息頻率]]=0,"",CHOOSE(表格1[[#This Row],[配息頻率]],MONTH(J216),IF(MONTH(J216)&lt;=6,CONCATENATE(MONTH(J216)," / ",MONTH(J216)+6),CONCATENATE(MONTH(J216)-6," / ",MONTH(J216))),0,"2 / 4 / 8 / 11")),"")</f>
        <v>2 / 8</v>
      </c>
      <c r="J216" s="1749" t="str">
        <f ca="1">IFERROR(VLOOKUP(B216,'銀行-TSS'!B:P,15,FALSE),"")</f>
        <v>2024/8/8</v>
      </c>
      <c r="K216" s="1750">
        <f ca="1">IFERROR(VLOOKUP(表格1[[#This Row],[商品
代碼]],'銀行-TSS'!B:I,8,FALSE),"")</f>
        <v>2</v>
      </c>
      <c r="L216" s="1747">
        <f ca="1">IFERROR(VLOOKUP(B216,'銀行-TSS'!B:K,10,FALSE),"")</f>
        <v>96.93</v>
      </c>
      <c r="M216" s="1745" t="str">
        <f ca="1">IF(表格1[[#This Row],[含息申購
參考價]]&gt;100,"溢價",IF(表格1[[#This Row],[含息申購
參考價]]&lt;100,"折價","平價"))</f>
        <v>折價</v>
      </c>
      <c r="N216" s="1751">
        <f ca="1">IFERROR(VLOOKUP(B216,'銀行-TSS'!B:M,12,FALSE),"")</f>
        <v>4.2099999999999999E-2</v>
      </c>
      <c r="O216" s="1752">
        <f ca="1">IFERROR(VLOOKUP(表格1[[#This Row],[商品
代碼]],'銀行-TSS'!B:AJ,35,FALSE),"")</f>
        <v>0</v>
      </c>
      <c r="P216" s="1753">
        <f ca="1">IFERROR(VLOOKUP(表格1[[#This Row],[商品
代碼]],'銀行-TSS'!B:AE,30,FALSE),"")</f>
        <v>4.24E-2</v>
      </c>
      <c r="Q216" s="1749" t="str">
        <f ca="1">IFERROR(IF(VLOOKUP(表格1[[#This Row],[商品
代碼]],'銀行-TSS'!B:AM,38,FALSE)="#N/A Field Not Applicable","",VLOOKUP(表格1[[#This Row],[商品
代碼]],'銀行-TSS'!B:AM,38,FALSE)),"")</f>
        <v>2029/6/8</v>
      </c>
      <c r="R216" s="1749" t="str">
        <f ca="1">IFERROR(VLOOKUP(表格1[[#This Row],[商品
代碼]],'銀行-TSS'!B:AH,33,FALSE),"")</f>
        <v>美元(USD)</v>
      </c>
      <c r="S216" s="1754">
        <f ca="1">IFERROR(VLOOKUP(B216,'銀行-TSS'!B:N,13,FALSE),"")</f>
        <v>10000</v>
      </c>
      <c r="T216" s="1754" t="str">
        <f ca="1">VLOOKUP(表格1[[#This Row],[商品
代碼]],'銀行-TSS'!B:AI,34,FALSE)</f>
        <v>自由選清單</v>
      </c>
      <c r="U216" s="1755" t="str">
        <f ca="1">IFERROR(VLOOKUP(B216,'銀行-TSS'!B:Q,16,FALSE),"")</f>
        <v>科技</v>
      </c>
      <c r="V216" s="1755" t="str">
        <f ca="1">IFERROR(VLOOKUP(表格1[[#This Row],[商品
代碼]],'銀行-TSS'!B:AG,32,FALSE),"")</f>
        <v>固定</v>
      </c>
      <c r="W216" s="1756" t="str">
        <f ca="1">IFERROR(IFERROR(VLOOKUP(表格1[[#This Row],[商品
代碼]],'3_是否下架'!A:B,2,FALSE),VLOOKUP(表格1[[#This Row],[商品
代碼]],'銀行-TSS'!B:AK,36,FALSE)),"")</f>
        <v>有</v>
      </c>
      <c r="Y216" s="400"/>
      <c r="Z216" s="400"/>
      <c r="AA216" s="401"/>
    </row>
    <row r="217" spans="2:27" s="399" customFormat="1" ht="24.75" customHeight="1">
      <c r="B217" s="1745" t="s">
        <v>1135</v>
      </c>
      <c r="C217" s="1745" t="str">
        <f ca="1">IFERROR(VLOOKUP(表格1[[#This Row],[商品
代碼]],'銀行-TSS'!B:V,21,FALSE),"")</f>
        <v>高資產</v>
      </c>
      <c r="D217" s="1746" t="str">
        <f>IFERROR(VLOOKUP(表格1[[#This Row],[商品
代碼]],bond!B:F,5,FALSE),"")</f>
        <v>XS1944412748</v>
      </c>
      <c r="E217" s="1746" t="str">
        <f ca="1">IFERROR(VLOOKUP(B217,'銀行-TSS'!B:D,3,FALSE),"")</f>
        <v>阿曼政府國際公債美元配息債券 6% 2029/8/1</v>
      </c>
      <c r="F217" s="1745" t="str">
        <f ca="1">IFERROR(VLOOKUP(B217,'銀行-TSS'!B:E,4,FALSE),"")</f>
        <v>Ba1 / - / BB+</v>
      </c>
      <c r="G217" s="1747">
        <f ca="1">IFERROR(VLOOKUP(B217,'銀行-TSS'!B:G,6,FALSE),"")</f>
        <v>5.08</v>
      </c>
      <c r="H217" s="1748">
        <f ca="1">IFERROR(VLOOKUP(B217,'銀行-TSS'!B:H,7,FALSE),"")</f>
        <v>0.06</v>
      </c>
      <c r="I217" s="1745" t="str">
        <f ca="1">IFERROR(IF(表格1[[#This Row],[配息頻率]]=0,"",CHOOSE(表格1[[#This Row],[配息頻率]],MONTH(J217),IF(MONTH(J217)&lt;=6,CONCATENATE(MONTH(J217)," / ",MONTH(J217)+6),CONCATENATE(MONTH(J217)-6," / ",MONTH(J217))),0,"2 / 4 / 8 / 11")),"")</f>
        <v>2 / 8</v>
      </c>
      <c r="J217" s="1749" t="str">
        <f ca="1">IFERROR(VLOOKUP(B217,'銀行-TSS'!B:P,15,FALSE),"")</f>
        <v>2024/8/1</v>
      </c>
      <c r="K217" s="1750">
        <f ca="1">IFERROR(VLOOKUP(表格1[[#This Row],[商品
代碼]],'銀行-TSS'!B:I,8,FALSE),"")</f>
        <v>2</v>
      </c>
      <c r="L217" s="1747">
        <f ca="1">IFERROR(VLOOKUP(B217,'銀行-TSS'!B:K,10,FALSE),"")</f>
        <v>106.85</v>
      </c>
      <c r="M217" s="1745" t="str">
        <f ca="1">IF(表格1[[#This Row],[含息申購
參考價]]&gt;100,"溢價",IF(表格1[[#This Row],[含息申購
參考價]]&lt;100,"折價","平價"))</f>
        <v>溢價</v>
      </c>
      <c r="N217" s="1751">
        <f ca="1">IFERROR(VLOOKUP(B217,'銀行-TSS'!B:M,12,FALSE),"")</f>
        <v>5.0200000000000002E-2</v>
      </c>
      <c r="O217" s="1752">
        <f ca="1">IFERROR(VLOOKUP(表格1[[#This Row],[商品
代碼]],'銀行-TSS'!B:AJ,35,FALSE),"")</f>
        <v>0</v>
      </c>
      <c r="P217" s="1753" t="str">
        <f ca="1">IFERROR(VLOOKUP(表格1[[#This Row],[商品
代碼]],'銀行-TSS'!B:AE,30,FALSE),"")</f>
        <v xml:space="preserve"> </v>
      </c>
      <c r="Q217" s="1749" t="str">
        <f ca="1">IFERROR(IF(VLOOKUP(表格1[[#This Row],[商品
代碼]],'銀行-TSS'!B:AM,38,FALSE)="#N/A Field Not Applicable","",VLOOKUP(表格1[[#This Row],[商品
代碼]],'銀行-TSS'!B:AM,38,FALSE)),"")</f>
        <v/>
      </c>
      <c r="R217" s="1749" t="str">
        <f ca="1">IFERROR(VLOOKUP(表格1[[#This Row],[商品
代碼]],'銀行-TSS'!B:AH,33,FALSE),"")</f>
        <v>美元(USD)</v>
      </c>
      <c r="S217" s="1754">
        <f ca="1">IFERROR(VLOOKUP(B217,'銀行-TSS'!B:N,13,FALSE),"")</f>
        <v>200000</v>
      </c>
      <c r="T217" s="1754" t="str">
        <f ca="1">VLOOKUP(表格1[[#This Row],[商品
代碼]],'銀行-TSS'!B:AI,34,FALSE)</f>
        <v>自由選清單</v>
      </c>
      <c r="U217" s="1755" t="str">
        <f ca="1">IFERROR(VLOOKUP(B217,'銀行-TSS'!B:Q,16,FALSE),"")</f>
        <v>政府</v>
      </c>
      <c r="V217" s="1755" t="str">
        <f ca="1">IFERROR(VLOOKUP(表格1[[#This Row],[商品
代碼]],'銀行-TSS'!B:AG,32,FALSE),"")</f>
        <v>固定</v>
      </c>
      <c r="W217" s="1756" t="str">
        <f ca="1">IFERROR(IFERROR(VLOOKUP(表格1[[#This Row],[商品
代碼]],'3_是否下架'!A:B,2,FALSE),VLOOKUP(表格1[[#This Row],[商品
代碼]],'銀行-TSS'!B:AK,36,FALSE)),"")</f>
        <v>有</v>
      </c>
      <c r="Y217" s="400"/>
      <c r="Z217" s="400"/>
      <c r="AA217" s="401"/>
    </row>
    <row r="218" spans="2:27" s="399" customFormat="1" ht="24.75" customHeight="1">
      <c r="B218" s="1745" t="s">
        <v>907</v>
      </c>
      <c r="C218" s="1745" t="str">
        <f ca="1">IFERROR(VLOOKUP(表格1[[#This Row],[商品
代碼]],'銀行-TSS'!B:V,21,FALSE),"")</f>
        <v>(NPI)非專投</v>
      </c>
      <c r="D218" s="1746" t="str">
        <f>IFERROR(VLOOKUP(表格1[[#This Row],[商品
代碼]],bond!B:F,5,FALSE),"")</f>
        <v>US437076BY77</v>
      </c>
      <c r="E218" s="1746" t="str">
        <f ca="1">IFERROR(VLOOKUP(B218,'銀行-TSS'!B:D,3,FALSE),"")</f>
        <v>家得寶公司美元配息債券 2.95% 2029/6/15</v>
      </c>
      <c r="F218" s="1745" t="str">
        <f ca="1">IFERROR(VLOOKUP(B218,'銀行-TSS'!B:E,4,FALSE),"")</f>
        <v>A2 / A / A</v>
      </c>
      <c r="G218" s="1747">
        <f ca="1">IFERROR(VLOOKUP(B218,'銀行-TSS'!B:G,6,FALSE),"")</f>
        <v>4.95</v>
      </c>
      <c r="H218" s="1748">
        <f ca="1">IFERROR(VLOOKUP(B218,'銀行-TSS'!B:H,7,FALSE),"")</f>
        <v>2.9500000000000002E-2</v>
      </c>
      <c r="I218" s="1745" t="str">
        <f ca="1">IFERROR(IF(表格1[[#This Row],[配息頻率]]=0,"",CHOOSE(表格1[[#This Row],[配息頻率]],MONTH(J218),IF(MONTH(J218)&lt;=6,CONCATENATE(MONTH(J218)," / ",MONTH(J218)+6),CONCATENATE(MONTH(J218)-6," / ",MONTH(J218))),0,"2 / 4 / 8 / 11")),"")</f>
        <v>6 / 12</v>
      </c>
      <c r="J218" s="1749" t="str">
        <f ca="1">IFERROR(VLOOKUP(B218,'銀行-TSS'!B:P,15,FALSE),"")</f>
        <v>2024/12/15</v>
      </c>
      <c r="K218" s="1750">
        <f ca="1">IFERROR(VLOOKUP(表格1[[#This Row],[商品
代碼]],'銀行-TSS'!B:I,8,FALSE),"")</f>
        <v>2</v>
      </c>
      <c r="L218" s="1747">
        <f ca="1">IFERROR(VLOOKUP(B218,'銀行-TSS'!B:K,10,FALSE),"")</f>
        <v>93.72</v>
      </c>
      <c r="M218" s="1745" t="str">
        <f ca="1">IF(表格1[[#This Row],[含息申購
參考價]]&gt;100,"溢價",IF(表格1[[#This Row],[含息申購
參考價]]&lt;100,"折價","平價"))</f>
        <v>折價</v>
      </c>
      <c r="N218" s="1751">
        <f ca="1">IFERROR(VLOOKUP(B218,'銀行-TSS'!B:M,12,FALSE),"")</f>
        <v>4.41E-2</v>
      </c>
      <c r="O218" s="1752">
        <f ca="1">IFERROR(VLOOKUP(表格1[[#This Row],[商品
代碼]],'銀行-TSS'!B:AJ,35,FALSE),"")</f>
        <v>0</v>
      </c>
      <c r="P218" s="1753">
        <f ca="1">IFERROR(VLOOKUP(表格1[[#This Row],[商品
代碼]],'銀行-TSS'!B:AE,30,FALSE),"")</f>
        <v>4.48E-2</v>
      </c>
      <c r="Q218" s="1749" t="str">
        <f ca="1">IFERROR(IF(VLOOKUP(表格1[[#This Row],[商品
代碼]],'銀行-TSS'!B:AM,38,FALSE)="#N/A Field Not Applicable","",VLOOKUP(表格1[[#This Row],[商品
代碼]],'銀行-TSS'!B:AM,38,FALSE)),"")</f>
        <v>2029/3/15</v>
      </c>
      <c r="R218" s="1749" t="str">
        <f ca="1">IFERROR(VLOOKUP(表格1[[#This Row],[商品
代碼]],'銀行-TSS'!B:AH,33,FALSE),"")</f>
        <v>美元(USD)</v>
      </c>
      <c r="S218" s="1754">
        <f ca="1">IFERROR(VLOOKUP(B218,'銀行-TSS'!B:N,13,FALSE),"")</f>
        <v>10000</v>
      </c>
      <c r="T218" s="1754" t="str">
        <f ca="1">VLOOKUP(表格1[[#This Row],[商品
代碼]],'銀行-TSS'!B:AI,34,FALSE)</f>
        <v>自由選清單</v>
      </c>
      <c r="U218" s="1755" t="str">
        <f ca="1">IFERROR(VLOOKUP(B218,'銀行-TSS'!B:Q,16,FALSE),"")</f>
        <v>非核心消費</v>
      </c>
      <c r="V218" s="1755" t="str">
        <f ca="1">IFERROR(VLOOKUP(表格1[[#This Row],[商品
代碼]],'銀行-TSS'!B:AG,32,FALSE),"")</f>
        <v>固定</v>
      </c>
      <c r="W218" s="1756" t="str">
        <f ca="1">IFERROR(IFERROR(VLOOKUP(表格1[[#This Row],[商品
代碼]],'3_是否下架'!A:B,2,FALSE),VLOOKUP(表格1[[#This Row],[商品
代碼]],'銀行-TSS'!B:AK,36,FALSE)),"")</f>
        <v>有</v>
      </c>
      <c r="Y218" s="400"/>
      <c r="Z218" s="400"/>
      <c r="AA218" s="401"/>
    </row>
    <row r="219" spans="2:27" s="399" customFormat="1" ht="24.75" customHeight="1">
      <c r="B219" s="1745" t="s">
        <v>1264</v>
      </c>
      <c r="C219" s="1745" t="str">
        <f ca="1">IFERROR(VLOOKUP(表格1[[#This Row],[商品
代碼]],'銀行-TSS'!B:V,21,FALSE),"")</f>
        <v>(NPI)非專投</v>
      </c>
      <c r="D219" s="1746" t="str">
        <f>IFERROR(VLOOKUP(表格1[[#This Row],[商品
代碼]],bond!B:F,5,FALSE),"")</f>
        <v>USU9273ADM46</v>
      </c>
      <c r="E219" s="1746" t="str">
        <f ca="1">IFERROR(VLOOKUP(B219,'銀行-TSS'!B:D,3,FALSE),"")</f>
        <v>福斯集團(美國)金融有限責任公司美元配息債券 4.6% 2029/6/8</v>
      </c>
      <c r="F219" s="1745" t="str">
        <f ca="1">IFERROR(VLOOKUP(B219,'銀行-TSS'!B:E,4,FALSE),"")</f>
        <v>A3 / BBB+ / A-</v>
      </c>
      <c r="G219" s="1747">
        <f ca="1">IFERROR(VLOOKUP(B219,'銀行-TSS'!B:G,6,FALSE),"")</f>
        <v>4.93</v>
      </c>
      <c r="H219" s="1748">
        <f ca="1">IFERROR(VLOOKUP(B219,'銀行-TSS'!B:H,7,FALSE),"")</f>
        <v>4.5999999999999999E-2</v>
      </c>
      <c r="I219" s="1745" t="str">
        <f ca="1">IFERROR(IF(表格1[[#This Row],[配息頻率]]=0,"",CHOOSE(表格1[[#This Row],[配息頻率]],MONTH(J219),IF(MONTH(J219)&lt;=6,CONCATENATE(MONTH(J219)," / ",MONTH(J219)+6),CONCATENATE(MONTH(J219)-6," / ",MONTH(J219))),0,"2 / 4 / 8 / 11")),"")</f>
        <v>6 / 12</v>
      </c>
      <c r="J219" s="1749" t="str">
        <f ca="1">IFERROR(VLOOKUP(B219,'銀行-TSS'!B:P,15,FALSE),"")</f>
        <v>2024/12/8</v>
      </c>
      <c r="K219" s="1750">
        <f ca="1">IFERROR(VLOOKUP(表格1[[#This Row],[商品
代碼]],'銀行-TSS'!B:I,8,FALSE),"")</f>
        <v>2</v>
      </c>
      <c r="L219" s="1747">
        <f ca="1">IFERROR(VLOOKUP(B219,'銀行-TSS'!B:K,10,FALSE),"")</f>
        <v>99.24</v>
      </c>
      <c r="M219" s="1745" t="str">
        <f ca="1">IF(表格1[[#This Row],[含息申購
參考價]]&gt;100,"溢價",IF(表格1[[#This Row],[含息申購
參考價]]&lt;100,"折價","平價"))</f>
        <v>折價</v>
      </c>
      <c r="N219" s="1751">
        <f ca="1">IFERROR(VLOOKUP(B219,'銀行-TSS'!B:M,12,FALSE),"")</f>
        <v>4.8500000000000001E-2</v>
      </c>
      <c r="O219" s="1752">
        <f ca="1">IFERROR(VLOOKUP(表格1[[#This Row],[商品
代碼]],'銀行-TSS'!B:AJ,35,FALSE),"")</f>
        <v>0</v>
      </c>
      <c r="P219" s="1753">
        <f ca="1">IFERROR(VLOOKUP(表格1[[#This Row],[商品
代碼]],'銀行-TSS'!B:AE,30,FALSE),"")</f>
        <v>4.8500000000000001E-2</v>
      </c>
      <c r="Q219" s="1749" t="str">
        <f ca="1">IFERROR(IF(VLOOKUP(表格1[[#This Row],[商品
代碼]],'銀行-TSS'!B:AM,38,FALSE)="#N/A Field Not Applicable","",VLOOKUP(表格1[[#This Row],[商品
代碼]],'銀行-TSS'!B:AM,38,FALSE)),"")</f>
        <v>2029/4/8</v>
      </c>
      <c r="R219" s="1749" t="str">
        <f ca="1">IFERROR(VLOOKUP(表格1[[#This Row],[商品
代碼]],'銀行-TSS'!B:AH,33,FALSE),"")</f>
        <v>美元(USD)</v>
      </c>
      <c r="S219" s="1754">
        <f ca="1">IFERROR(VLOOKUP(B219,'銀行-TSS'!B:N,13,FALSE),"")</f>
        <v>200000</v>
      </c>
      <c r="T219" s="1754" t="str">
        <f ca="1">VLOOKUP(表格1[[#This Row],[商品
代碼]],'銀行-TSS'!B:AI,34,FALSE)</f>
        <v>自由選清單</v>
      </c>
      <c r="U219" s="1755" t="str">
        <f ca="1">IFERROR(VLOOKUP(B219,'銀行-TSS'!B:Q,16,FALSE),"")</f>
        <v>非核心消費</v>
      </c>
      <c r="V219" s="1755" t="str">
        <f ca="1">IFERROR(VLOOKUP(表格1[[#This Row],[商品
代碼]],'銀行-TSS'!B:AG,32,FALSE),"")</f>
        <v>固定</v>
      </c>
      <c r="W219" s="1756" t="str">
        <f ca="1">IFERROR(IFERROR(VLOOKUP(表格1[[#This Row],[商品
代碼]],'3_是否下架'!A:B,2,FALSE),VLOOKUP(表格1[[#This Row],[商品
代碼]],'銀行-TSS'!B:AK,36,FALSE)),"")</f>
        <v>有</v>
      </c>
      <c r="Y219" s="400"/>
      <c r="Z219" s="400"/>
      <c r="AA219" s="401"/>
    </row>
    <row r="220" spans="2:27" s="399" customFormat="1" ht="24.75" customHeight="1">
      <c r="B220" s="1745" t="s">
        <v>821</v>
      </c>
      <c r="C220" s="1745" t="str">
        <f ca="1">IFERROR(VLOOKUP(表格1[[#This Row],[商品
代碼]],'銀行-TSS'!B:V,21,FALSE),"")</f>
        <v>(PI)專投</v>
      </c>
      <c r="D220" s="1746" t="str">
        <f>IFERROR(VLOOKUP(表格1[[#This Row],[商品
代碼]],bond!B:F,5,FALSE),"")</f>
        <v>USU1109MAB29</v>
      </c>
      <c r="E220" s="1746" t="str">
        <f ca="1">IFERROR(VLOOKUP(B220,'銀行-TSS'!B:D,3,FALSE),"")</f>
        <v>博通公司美元配息債券 4.75% 2029/4/15</v>
      </c>
      <c r="F220" s="1745" t="str">
        <f ca="1">IFERROR(VLOOKUP(B220,'銀行-TSS'!B:E,4,FALSE),"")</f>
        <v>Baa3 / BBB / BBB-</v>
      </c>
      <c r="G220" s="1747">
        <f ca="1">IFERROR(VLOOKUP(B220,'銀行-TSS'!B:G,6,FALSE),"")</f>
        <v>4.79</v>
      </c>
      <c r="H220" s="1748">
        <f ca="1">IFERROR(VLOOKUP(B220,'銀行-TSS'!B:H,7,FALSE),"")</f>
        <v>4.7500000000000001E-2</v>
      </c>
      <c r="I220" s="1745" t="str">
        <f ca="1">IFERROR(IF(表格1[[#This Row],[配息頻率]]=0,"",CHOOSE(表格1[[#This Row],[配息頻率]],MONTH(J220),IF(MONTH(J220)&lt;=6,CONCATENATE(MONTH(J220)," / ",MONTH(J220)+6),CONCATENATE(MONTH(J220)-6," / ",MONTH(J220))),0,"2 / 4 / 8 / 11")),"")</f>
        <v>4 / 10</v>
      </c>
      <c r="J220" s="1749" t="str">
        <f ca="1">IFERROR(VLOOKUP(B220,'銀行-TSS'!B:P,15,FALSE),"")</f>
        <v>2024/10/15</v>
      </c>
      <c r="K220" s="1750">
        <f ca="1">IFERROR(VLOOKUP(表格1[[#This Row],[商品
代碼]],'銀行-TSS'!B:I,8,FALSE),"")</f>
        <v>2</v>
      </c>
      <c r="L220" s="1747">
        <f ca="1">IFERROR(VLOOKUP(B220,'銀行-TSS'!B:K,10,FALSE),"")</f>
        <v>102.03</v>
      </c>
      <c r="M220" s="1745" t="str">
        <f ca="1">IF(表格1[[#This Row],[含息申購
參考價]]&gt;100,"溢價",IF(表格1[[#This Row],[含息申購
參考價]]&lt;100,"折價","平價"))</f>
        <v>溢價</v>
      </c>
      <c r="N220" s="1751">
        <f ca="1">IFERROR(VLOOKUP(B220,'銀行-TSS'!B:M,12,FALSE),"")</f>
        <v>4.5100000000000001E-2</v>
      </c>
      <c r="O220" s="1752">
        <f ca="1">IFERROR(VLOOKUP(表格1[[#This Row],[商品
代碼]],'銀行-TSS'!B:AJ,35,FALSE),"")</f>
        <v>0</v>
      </c>
      <c r="P220" s="1753">
        <f ca="1">IFERROR(VLOOKUP(表格1[[#This Row],[商品
代碼]],'銀行-TSS'!B:AE,30,FALSE),"")</f>
        <v>4.4999999999999998E-2</v>
      </c>
      <c r="Q220" s="1749" t="str">
        <f ca="1">IFERROR(IF(VLOOKUP(表格1[[#This Row],[商品
代碼]],'銀行-TSS'!B:AM,38,FALSE)="#N/A Field Not Applicable","",VLOOKUP(表格1[[#This Row],[商品
代碼]],'銀行-TSS'!B:AM,38,FALSE)),"")</f>
        <v>2029/1/15</v>
      </c>
      <c r="R220" s="1749" t="str">
        <f ca="1">IFERROR(VLOOKUP(表格1[[#This Row],[商品
代碼]],'銀行-TSS'!B:AH,33,FALSE),"")</f>
        <v>美元(USD)</v>
      </c>
      <c r="S220" s="1754">
        <f ca="1">IFERROR(VLOOKUP(B220,'銀行-TSS'!B:N,13,FALSE),"")</f>
        <v>10000</v>
      </c>
      <c r="T220" s="1754" t="str">
        <f ca="1">VLOOKUP(表格1[[#This Row],[商品
代碼]],'銀行-TSS'!B:AI,34,FALSE)</f>
        <v>自由選清單</v>
      </c>
      <c r="U220" s="1755" t="str">
        <f ca="1">IFERROR(VLOOKUP(B220,'銀行-TSS'!B:Q,16,FALSE),"")</f>
        <v>科技</v>
      </c>
      <c r="V220" s="1755" t="str">
        <f ca="1">IFERROR(VLOOKUP(表格1[[#This Row],[商品
代碼]],'銀行-TSS'!B:AG,32,FALSE),"")</f>
        <v>固定</v>
      </c>
      <c r="W220" s="1756" t="str">
        <f ca="1">IFERROR(IFERROR(VLOOKUP(表格1[[#This Row],[商品
代碼]],'3_是否下架'!A:B,2,FALSE),VLOOKUP(表格1[[#This Row],[商品
代碼]],'銀行-TSS'!B:AK,36,FALSE)),"")</f>
        <v>需查詢</v>
      </c>
      <c r="Y220" s="400"/>
      <c r="Z220" s="400"/>
      <c r="AA220" s="401"/>
    </row>
    <row r="221" spans="2:27" s="399" customFormat="1" ht="24.75" customHeight="1">
      <c r="B221" s="1745" t="s">
        <v>882</v>
      </c>
      <c r="C221" s="1745" t="str">
        <f ca="1">IFERROR(VLOOKUP(表格1[[#This Row],[商品
代碼]],'銀行-TSS'!B:V,21,FALSE),"")</f>
        <v>(NPI)非專投</v>
      </c>
      <c r="D221" s="1746" t="str">
        <f>IFERROR(VLOOKUP(表格1[[#This Row],[商品
代碼]],bond!B:F,5,FALSE),"")</f>
        <v>USY52758AD47</v>
      </c>
      <c r="E221" s="1746" t="str">
        <f ca="1">IFERROR(VLOOKUP(B221,'銀行-TSS'!B:D,3,FALSE),"")</f>
        <v>LG化學公司美元配息債券 3.625% 2029/4/15</v>
      </c>
      <c r="F221" s="1745" t="str">
        <f ca="1">IFERROR(VLOOKUP(B221,'銀行-TSS'!B:E,4,FALSE),"")</f>
        <v>A3 / BBB+ / -</v>
      </c>
      <c r="G221" s="1747">
        <f ca="1">IFERROR(VLOOKUP(B221,'銀行-TSS'!B:G,6,FALSE),"")</f>
        <v>4.79</v>
      </c>
      <c r="H221" s="1748">
        <f ca="1">IFERROR(VLOOKUP(B221,'銀行-TSS'!B:H,7,FALSE),"")</f>
        <v>3.6249999999999998E-2</v>
      </c>
      <c r="I221" s="1745" t="str">
        <f ca="1">IFERROR(IF(表格1[[#This Row],[配息頻率]]=0,"",CHOOSE(表格1[[#This Row],[配息頻率]],MONTH(J221),IF(MONTH(J221)&lt;=6,CONCATENATE(MONTH(J221)," / ",MONTH(J221)+6),CONCATENATE(MONTH(J221)-6," / ",MONTH(J221))),0,"2 / 4 / 8 / 11")),"")</f>
        <v>4 / 10</v>
      </c>
      <c r="J221" s="1749" t="str">
        <f ca="1">IFERROR(VLOOKUP(B221,'銀行-TSS'!B:P,15,FALSE),"")</f>
        <v>2024/10/15</v>
      </c>
      <c r="K221" s="1750">
        <f ca="1">IFERROR(VLOOKUP(表格1[[#This Row],[商品
代碼]],'銀行-TSS'!B:I,8,FALSE),"")</f>
        <v>2</v>
      </c>
      <c r="L221" s="1747">
        <f ca="1">IFERROR(VLOOKUP(B221,'銀行-TSS'!B:K,10,FALSE),"")</f>
        <v>96.97</v>
      </c>
      <c r="M221" s="1745" t="str">
        <f ca="1">IF(表格1[[#This Row],[含息申購
參考價]]&gt;100,"溢價",IF(表格1[[#This Row],[含息申購
參考價]]&lt;100,"折價","平價"))</f>
        <v>折價</v>
      </c>
      <c r="N221" s="1751">
        <f ca="1">IFERROR(VLOOKUP(B221,'銀行-TSS'!B:M,12,FALSE),"")</f>
        <v>4.5199999999999997E-2</v>
      </c>
      <c r="O221" s="1752">
        <f ca="1">IFERROR(VLOOKUP(表格1[[#This Row],[商品
代碼]],'銀行-TSS'!B:AJ,35,FALSE),"")</f>
        <v>0</v>
      </c>
      <c r="P221" s="1753" t="str">
        <f ca="1">IFERROR(VLOOKUP(表格1[[#This Row],[商品
代碼]],'銀行-TSS'!B:AE,30,FALSE),"")</f>
        <v xml:space="preserve"> </v>
      </c>
      <c r="Q221" s="1749" t="str">
        <f ca="1">IFERROR(IF(VLOOKUP(表格1[[#This Row],[商品
代碼]],'銀行-TSS'!B:AM,38,FALSE)="#N/A Field Not Applicable","",VLOOKUP(表格1[[#This Row],[商品
代碼]],'銀行-TSS'!B:AM,38,FALSE)),"")</f>
        <v/>
      </c>
      <c r="R221" s="1749" t="str">
        <f ca="1">IFERROR(VLOOKUP(表格1[[#This Row],[商品
代碼]],'銀行-TSS'!B:AH,33,FALSE),"")</f>
        <v>美元(USD)</v>
      </c>
      <c r="S221" s="1754">
        <f ca="1">IFERROR(VLOOKUP(B221,'銀行-TSS'!B:N,13,FALSE),"")</f>
        <v>200000</v>
      </c>
      <c r="T221" s="1754" t="str">
        <f ca="1">VLOOKUP(表格1[[#This Row],[商品
代碼]],'銀行-TSS'!B:AI,34,FALSE)</f>
        <v>自由選清單</v>
      </c>
      <c r="U221" s="1755" t="str">
        <f ca="1">IFERROR(VLOOKUP(B221,'銀行-TSS'!B:Q,16,FALSE),"")</f>
        <v>原物料</v>
      </c>
      <c r="V221" s="1755" t="str">
        <f ca="1">IFERROR(VLOOKUP(表格1[[#This Row],[商品
代碼]],'銀行-TSS'!B:AG,32,FALSE),"")</f>
        <v>固定</v>
      </c>
      <c r="W221" s="1756" t="str">
        <f ca="1">IFERROR(IFERROR(VLOOKUP(表格1[[#This Row],[商品
代碼]],'3_是否下架'!A:B,2,FALSE),VLOOKUP(表格1[[#This Row],[商品
代碼]],'銀行-TSS'!B:AK,36,FALSE)),"")</f>
        <v>需查詢</v>
      </c>
      <c r="Y221" s="400"/>
      <c r="Z221" s="400"/>
      <c r="AA221" s="401"/>
    </row>
    <row r="222" spans="2:27" s="399" customFormat="1" ht="24.75" customHeight="1">
      <c r="B222" s="1745" t="s">
        <v>753</v>
      </c>
      <c r="C222" s="1745" t="str">
        <f ca="1">IFERROR(VLOOKUP(表格1[[#This Row],[商品
代碼]],'銀行-TSS'!B:V,21,FALSE),"")</f>
        <v>(NPI)非專投</v>
      </c>
      <c r="D222" s="1746" t="str">
        <f>IFERROR(VLOOKUP(表格1[[#This Row],[商品
代碼]],bond!B:F,5,FALSE),"")</f>
        <v>US55608KAN54</v>
      </c>
      <c r="E222" s="1746" t="str">
        <f ca="1">IFERROR(VLOOKUP(B222,'銀行-TSS'!B:D,3,FALSE),"")</f>
        <v>麥格理集團美元配息債券 4.654% 2029/3/27</v>
      </c>
      <c r="F222" s="1745" t="str">
        <f ca="1">IFERROR(VLOOKUP(B222,'銀行-TSS'!B:E,4,FALSE),"")</f>
        <v>A1 / BBB+ / A</v>
      </c>
      <c r="G222" s="1747">
        <f ca="1">IFERROR(VLOOKUP(B222,'銀行-TSS'!B:G,6,FALSE),"")</f>
        <v>4.7300000000000004</v>
      </c>
      <c r="H222" s="1748">
        <f ca="1">IFERROR(VLOOKUP(B222,'銀行-TSS'!B:H,7,FALSE),"")</f>
        <v>4.6539999999999998E-2</v>
      </c>
      <c r="I222" s="1745" t="str">
        <f ca="1">IFERROR(IF(表格1[[#This Row],[配息頻率]]=0,"",CHOOSE(表格1[[#This Row],[配息頻率]],MONTH(J222),IF(MONTH(J222)&lt;=6,CONCATENATE(MONTH(J222)," / ",MONTH(J222)+6),CONCATENATE(MONTH(J222)-6," / ",MONTH(J222))),0,"2 / 4 / 8 / 11")),"")</f>
        <v>3 / 9</v>
      </c>
      <c r="J222" s="1749" t="str">
        <f ca="1">IFERROR(VLOOKUP(B222,'銀行-TSS'!B:P,15,FALSE),"")</f>
        <v>2024/9/27</v>
      </c>
      <c r="K222" s="1750">
        <f ca="1">IFERROR(VLOOKUP(表格1[[#This Row],[商品
代碼]],'銀行-TSS'!B:I,8,FALSE),"")</f>
        <v>2</v>
      </c>
      <c r="L222" s="1747">
        <f ca="1">IFERROR(VLOOKUP(B222,'銀行-TSS'!B:K,10,FALSE),"")</f>
        <v>102.35</v>
      </c>
      <c r="M222" s="1745" t="str">
        <f ca="1">IF(表格1[[#This Row],[含息申購
參考價]]&gt;100,"溢價",IF(表格1[[#This Row],[含息申購
參考價]]&lt;100,"折價","平價"))</f>
        <v>溢價</v>
      </c>
      <c r="N222" s="1751">
        <f ca="1">IFERROR(VLOOKUP(B222,'銀行-TSS'!B:M,12,FALSE),"")</f>
        <v>4.9000000000000002E-2</v>
      </c>
      <c r="O222" s="1752">
        <f ca="1">IFERROR(VLOOKUP(表格1[[#This Row],[商品
代碼]],'銀行-TSS'!B:AJ,35,FALSE),"")</f>
        <v>0</v>
      </c>
      <c r="P222" s="1753">
        <f ca="1">IFERROR(VLOOKUP(表格1[[#This Row],[商品
代碼]],'銀行-TSS'!B:AE,30,FALSE),"")</f>
        <v>4.3200000000000002E-2</v>
      </c>
      <c r="Q222" s="1749" t="str">
        <f ca="1">IFERROR(IF(VLOOKUP(表格1[[#This Row],[商品
代碼]],'銀行-TSS'!B:AM,38,FALSE)="#N/A Field Not Applicable","",VLOOKUP(表格1[[#This Row],[商品
代碼]],'銀行-TSS'!B:AM,38,FALSE)),"")</f>
        <v>2028/3/27</v>
      </c>
      <c r="R222" s="1749" t="str">
        <f ca="1">IFERROR(VLOOKUP(表格1[[#This Row],[商品
代碼]],'銀行-TSS'!B:AH,33,FALSE),"")</f>
        <v>美元(USD)</v>
      </c>
      <c r="S222" s="1754">
        <f ca="1">IFERROR(VLOOKUP(B222,'銀行-TSS'!B:N,13,FALSE),"")</f>
        <v>10000</v>
      </c>
      <c r="T222" s="1754" t="str">
        <f ca="1">VLOOKUP(表格1[[#This Row],[商品
代碼]],'銀行-TSS'!B:AI,34,FALSE)</f>
        <v>自由選清單</v>
      </c>
      <c r="U222" s="1755" t="str">
        <f ca="1">IFERROR(VLOOKUP(B222,'銀行-TSS'!B:Q,16,FALSE),"")</f>
        <v>金融</v>
      </c>
      <c r="V222" s="1755" t="str">
        <f ca="1">IFERROR(VLOOKUP(表格1[[#This Row],[商品
代碼]],'銀行-TSS'!B:AG,32,FALSE),"")</f>
        <v>變動</v>
      </c>
      <c r="W222" s="1756" t="str">
        <f ca="1">IFERROR(IFERROR(VLOOKUP(表格1[[#This Row],[商品
代碼]],'3_是否下架'!A:B,2,FALSE),VLOOKUP(表格1[[#This Row],[商品
代碼]],'銀行-TSS'!B:AK,36,FALSE)),"")</f>
        <v>需查詢</v>
      </c>
      <c r="Y222" s="400"/>
      <c r="Z222" s="400"/>
      <c r="AA222" s="401"/>
    </row>
    <row r="223" spans="2:27" s="399" customFormat="1" ht="24.75" customHeight="1">
      <c r="B223" s="1745" t="s">
        <v>799</v>
      </c>
      <c r="C223" s="1745" t="str">
        <f ca="1">IFERROR(VLOOKUP(表格1[[#This Row],[商品
代碼]],'銀行-TSS'!B:V,21,FALSE),"")</f>
        <v>(NPI)非專投</v>
      </c>
      <c r="D223" s="1746" t="str">
        <f>IFERROR(VLOOKUP(表格1[[#This Row],[商品
代碼]],bond!B:F,5,FALSE),"")</f>
        <v>XS1891687300</v>
      </c>
      <c r="E223" s="1746" t="str">
        <f ca="1">IFERROR(VLOOKUP(B223,'銀行-TSS'!B:D,3,FALSE),"")</f>
        <v>鴻海子公司美元配息債券 4.25% 2029/3/12</v>
      </c>
      <c r="F223" s="1745" t="str">
        <f ca="1">IFERROR(VLOOKUP(B223,'銀行-TSS'!B:E,4,FALSE),"")</f>
        <v>- / A- / -</v>
      </c>
      <c r="G223" s="1747">
        <f ca="1">IFERROR(VLOOKUP(B223,'銀行-TSS'!B:G,6,FALSE),"")</f>
        <v>4.6900000000000004</v>
      </c>
      <c r="H223" s="1748">
        <f ca="1">IFERROR(VLOOKUP(B223,'銀行-TSS'!B:H,7,FALSE),"")</f>
        <v>4.2500000000000003E-2</v>
      </c>
      <c r="I223" s="1745" t="str">
        <f ca="1">IFERROR(IF(表格1[[#This Row],[配息頻率]]=0,"",CHOOSE(表格1[[#This Row],[配息頻率]],MONTH(J223),IF(MONTH(J223)&lt;=6,CONCATENATE(MONTH(J223)," / ",MONTH(J223)+6),CONCATENATE(MONTH(J223)-6," / ",MONTH(J223))),0,"2 / 4 / 8 / 11")),"")</f>
        <v>3 / 9</v>
      </c>
      <c r="J223" s="1749" t="str">
        <f ca="1">IFERROR(VLOOKUP(B223,'銀行-TSS'!B:P,15,FALSE),"")</f>
        <v>2024/9/12</v>
      </c>
      <c r="K223" s="1750">
        <f ca="1">IFERROR(VLOOKUP(表格1[[#This Row],[商品
代碼]],'銀行-TSS'!B:I,8,FALSE),"")</f>
        <v>2</v>
      </c>
      <c r="L223" s="1747">
        <f ca="1">IFERROR(VLOOKUP(B223,'銀行-TSS'!B:K,10,FALSE),"")</f>
        <v>100.6</v>
      </c>
      <c r="M223" s="1745" t="str">
        <f ca="1">IF(表格1[[#This Row],[含息申購
參考價]]&gt;100,"溢價",IF(表格1[[#This Row],[含息申購
參考價]]&lt;100,"折價","平價"))</f>
        <v>溢價</v>
      </c>
      <c r="N223" s="1751">
        <f ca="1">IFERROR(VLOOKUP(B223,'銀行-TSS'!B:M,12,FALSE),"")</f>
        <v>4.4200000000000003E-2</v>
      </c>
      <c r="O223" s="1752">
        <f ca="1">IFERROR(VLOOKUP(表格1[[#This Row],[商品
代碼]],'銀行-TSS'!B:AJ,35,FALSE),"")</f>
        <v>0</v>
      </c>
      <c r="P223" s="1753" t="str">
        <f ca="1">IFERROR(VLOOKUP(表格1[[#This Row],[商品
代碼]],'銀行-TSS'!B:AE,30,FALSE),"")</f>
        <v xml:space="preserve"> </v>
      </c>
      <c r="Q223" s="1749" t="str">
        <f ca="1">IFERROR(IF(VLOOKUP(表格1[[#This Row],[商品
代碼]],'銀行-TSS'!B:AM,38,FALSE)="#N/A Field Not Applicable","",VLOOKUP(表格1[[#This Row],[商品
代碼]],'銀行-TSS'!B:AM,38,FALSE)),"")</f>
        <v/>
      </c>
      <c r="R223" s="1749" t="str">
        <f ca="1">IFERROR(VLOOKUP(表格1[[#This Row],[商品
代碼]],'銀行-TSS'!B:AH,33,FALSE),"")</f>
        <v>美元(USD)</v>
      </c>
      <c r="S223" s="1754">
        <f ca="1">IFERROR(VLOOKUP(B223,'銀行-TSS'!B:N,13,FALSE),"")</f>
        <v>200000</v>
      </c>
      <c r="T223" s="1754" t="str">
        <f ca="1">VLOOKUP(表格1[[#This Row],[商品
代碼]],'銀行-TSS'!B:AI,34,FALSE)</f>
        <v>自由選清單</v>
      </c>
      <c r="U223" s="1755" t="str">
        <f ca="1">IFERROR(VLOOKUP(B223,'銀行-TSS'!B:Q,16,FALSE),"")</f>
        <v>工業</v>
      </c>
      <c r="V223" s="1755" t="str">
        <f ca="1">IFERROR(VLOOKUP(表格1[[#This Row],[商品
代碼]],'銀行-TSS'!B:AG,32,FALSE),"")</f>
        <v>固定</v>
      </c>
      <c r="W223" s="1756" t="str">
        <f ca="1">IFERROR(IFERROR(VLOOKUP(表格1[[#This Row],[商品
代碼]],'3_是否下架'!A:B,2,FALSE),VLOOKUP(表格1[[#This Row],[商品
代碼]],'銀行-TSS'!B:AK,36,FALSE)),"")</f>
        <v>需查詢</v>
      </c>
      <c r="Y223" s="400"/>
      <c r="Z223" s="400"/>
      <c r="AA223" s="401"/>
    </row>
    <row r="224" spans="2:27" s="399" customFormat="1" ht="24.75" customHeight="1">
      <c r="B224" s="1745" t="s">
        <v>809</v>
      </c>
      <c r="C224" s="1745" t="str">
        <f ca="1">IFERROR(VLOOKUP(表格1[[#This Row],[商品
代碼]],'銀行-TSS'!B:V,21,FALSE),"")</f>
        <v>(PI)專投</v>
      </c>
      <c r="D224" s="1746" t="str">
        <f>IFERROR(VLOOKUP(表格1[[#This Row],[商品
代碼]],bond!B:F,5,FALSE),"")</f>
        <v>AU3CB0261402</v>
      </c>
      <c r="E224" s="1746" t="str">
        <f ca="1">IFERROR(VLOOKUP(B224,'銀行-TSS'!B:D,3,FALSE),"")</f>
        <v>麥當勞公司澳幣配息債券 3.8% 2029/3/8</v>
      </c>
      <c r="F224" s="1745" t="str">
        <f ca="1">IFERROR(VLOOKUP(B224,'銀行-TSS'!B:E,4,FALSE),"")</f>
        <v>Baa1 / BBB+ / WD</v>
      </c>
      <c r="G224" s="1747">
        <f ca="1">IFERROR(VLOOKUP(B224,'銀行-TSS'!B:G,6,FALSE),"")</f>
        <v>4.68</v>
      </c>
      <c r="H224" s="1748">
        <f ca="1">IFERROR(VLOOKUP(B224,'銀行-TSS'!B:H,7,FALSE),"")</f>
        <v>3.7999999999999999E-2</v>
      </c>
      <c r="I224" s="1745" t="str">
        <f ca="1">IFERROR(IF(表格1[[#This Row],[配息頻率]]=0,"",CHOOSE(表格1[[#This Row],[配息頻率]],MONTH(J224),IF(MONTH(J224)&lt;=6,CONCATENATE(MONTH(J224)," / ",MONTH(J224)+6),CONCATENATE(MONTH(J224)-6," / ",MONTH(J224))),0,"2 / 4 / 8 / 11")),"")</f>
        <v>3 / 9</v>
      </c>
      <c r="J224" s="1749" t="str">
        <f ca="1">IFERROR(VLOOKUP(B224,'銀行-TSS'!B:P,15,FALSE),"")</f>
        <v>2024/9/8</v>
      </c>
      <c r="K224" s="1750">
        <f ca="1">IFERROR(VLOOKUP(表格1[[#This Row],[商品
代碼]],'銀行-TSS'!B:I,8,FALSE),"")</f>
        <v>2</v>
      </c>
      <c r="L224" s="1747">
        <f ca="1">IFERROR(VLOOKUP(B224,'銀行-TSS'!B:K,10,FALSE),"")</f>
        <v>99.36</v>
      </c>
      <c r="M224" s="1745" t="str">
        <f ca="1">IF(表格1[[#This Row],[含息申購
參考價]]&gt;100,"溢價",IF(表格1[[#This Row],[含息申購
參考價]]&lt;100,"折價","平價"))</f>
        <v>折價</v>
      </c>
      <c r="N224" s="1751">
        <f ca="1">IFERROR(VLOOKUP(B224,'銀行-TSS'!B:M,12,FALSE),"")</f>
        <v>4.24E-2</v>
      </c>
      <c r="O224" s="1752">
        <f ca="1">IFERROR(VLOOKUP(表格1[[#This Row],[商品
代碼]],'銀行-TSS'!B:AJ,35,FALSE),"")</f>
        <v>1</v>
      </c>
      <c r="P224" s="1753">
        <f ca="1">IFERROR(VLOOKUP(表格1[[#This Row],[商品
代碼]],'銀行-TSS'!B:AE,30,FALSE),"")</f>
        <v>4.2599999999999999E-2</v>
      </c>
      <c r="Q224" s="1749" t="str">
        <f ca="1">IFERROR(IF(VLOOKUP(表格1[[#This Row],[商品
代碼]],'銀行-TSS'!B:AM,38,FALSE)="#N/A Field Not Applicable","",VLOOKUP(表格1[[#This Row],[商品
代碼]],'銀行-TSS'!B:AM,38,FALSE)),"")</f>
        <v>2028/12/8</v>
      </c>
      <c r="R224" s="1749" t="str">
        <f ca="1">IFERROR(VLOOKUP(表格1[[#This Row],[商品
代碼]],'銀行-TSS'!B:AH,33,FALSE),"")</f>
        <v>澳幣(AUD)</v>
      </c>
      <c r="S224" s="1754">
        <f ca="1">IFERROR(VLOOKUP(B224,'銀行-TSS'!B:N,13,FALSE),"")</f>
        <v>10000</v>
      </c>
      <c r="T224" s="1754" t="str">
        <f ca="1">VLOOKUP(表格1[[#This Row],[商品
代碼]],'銀行-TSS'!B:AI,34,FALSE)</f>
        <v/>
      </c>
      <c r="U224" s="1755" t="str">
        <f ca="1">IFERROR(VLOOKUP(B224,'銀行-TSS'!B:Q,16,FALSE),"")</f>
        <v>非核心消費</v>
      </c>
      <c r="V224" s="1755" t="str">
        <f ca="1">IFERROR(VLOOKUP(表格1[[#This Row],[商品
代碼]],'銀行-TSS'!B:AG,32,FALSE),"")</f>
        <v>固定</v>
      </c>
      <c r="W224" s="1756" t="str">
        <f ca="1">IFERROR(IFERROR(VLOOKUP(表格1[[#This Row],[商品
代碼]],'3_是否下架'!A:B,2,FALSE),VLOOKUP(表格1[[#This Row],[商品
代碼]],'銀行-TSS'!B:AK,36,FALSE)),"")</f>
        <v>需查詢</v>
      </c>
      <c r="Y224" s="400"/>
      <c r="Z224" s="400"/>
      <c r="AA224" s="401"/>
    </row>
    <row r="225" spans="2:27" s="399" customFormat="1" ht="24.75" customHeight="1">
      <c r="B225" s="1745" t="s">
        <v>815</v>
      </c>
      <c r="C225" s="1745" t="str">
        <f ca="1">IFERROR(VLOOKUP(表格1[[#This Row],[商品
代碼]],'銀行-TSS'!B:V,21,FALSE),"")</f>
        <v>(PI)專投</v>
      </c>
      <c r="D225" s="1746" t="str">
        <f>IFERROR(VLOOKUP(表格1[[#This Row],[商品
代碼]],bond!B:F,5,FALSE),"")</f>
        <v>US404119BW86</v>
      </c>
      <c r="E225" s="1746" t="str">
        <f ca="1">IFERROR(VLOOKUP(B225,'銀行-TSS'!B:D,3,FALSE),"")</f>
        <v>美國醫院公司美元配息債券 5.875% 2029/2/1</v>
      </c>
      <c r="F225" s="1745" t="str">
        <f ca="1">IFERROR(VLOOKUP(B225,'銀行-TSS'!B:E,4,FALSE),"")</f>
        <v>Baa3 / BBB- / WD</v>
      </c>
      <c r="G225" s="1747">
        <f ca="1">IFERROR(VLOOKUP(B225,'銀行-TSS'!B:G,6,FALSE),"")</f>
        <v>4.59</v>
      </c>
      <c r="H225" s="1748">
        <f ca="1">IFERROR(VLOOKUP(B225,'銀行-TSS'!B:H,7,FALSE),"")</f>
        <v>5.8749999999999997E-2</v>
      </c>
      <c r="I225" s="1745" t="str">
        <f ca="1">IFERROR(IF(表格1[[#This Row],[配息頻率]]=0,"",CHOOSE(表格1[[#This Row],[配息頻率]],MONTH(J225),IF(MONTH(J225)&lt;=6,CONCATENATE(MONTH(J225)," / ",MONTH(J225)+6),CONCATENATE(MONTH(J225)-6," / ",MONTH(J225))),0,"2 / 4 / 8 / 11")),"")</f>
        <v>2 / 8</v>
      </c>
      <c r="J225" s="1749" t="str">
        <f ca="1">IFERROR(VLOOKUP(B225,'銀行-TSS'!B:P,15,FALSE),"")</f>
        <v>2024/8/1</v>
      </c>
      <c r="K225" s="1750">
        <f ca="1">IFERROR(VLOOKUP(表格1[[#This Row],[商品
代碼]],'銀行-TSS'!B:I,8,FALSE),"")</f>
        <v>2</v>
      </c>
      <c r="L225" s="1747">
        <f ca="1">IFERROR(VLOOKUP(B225,'銀行-TSS'!B:K,10,FALSE),"")</f>
        <v>106.69</v>
      </c>
      <c r="M225" s="1745" t="str">
        <f ca="1">IF(表格1[[#This Row],[含息申購
參考價]]&gt;100,"溢價",IF(表格1[[#This Row],[含息申購
參考價]]&lt;100,"折價","平價"))</f>
        <v>溢價</v>
      </c>
      <c r="N225" s="1751">
        <f ca="1">IFERROR(VLOOKUP(B225,'銀行-TSS'!B:M,12,FALSE),"")</f>
        <v>4.8300000000000003E-2</v>
      </c>
      <c r="O225" s="1752">
        <f ca="1">IFERROR(VLOOKUP(表格1[[#This Row],[商品
代碼]],'銀行-TSS'!B:AJ,35,FALSE),"")</f>
        <v>0</v>
      </c>
      <c r="P225" s="1753">
        <f ca="1">IFERROR(VLOOKUP(表格1[[#This Row],[商品
代碼]],'銀行-TSS'!B:AE,30,FALSE),"")</f>
        <v>4.7199999999999999E-2</v>
      </c>
      <c r="Q225" s="1749" t="str">
        <f ca="1">IFERROR(IF(VLOOKUP(表格1[[#This Row],[商品
代碼]],'銀行-TSS'!B:AM,38,FALSE)="#N/A Field Not Applicable","",VLOOKUP(表格1[[#This Row],[商品
代碼]],'銀行-TSS'!B:AM,38,FALSE)),"")</f>
        <v>2028/8/1</v>
      </c>
      <c r="R225" s="1749" t="str">
        <f ca="1">IFERROR(VLOOKUP(表格1[[#This Row],[商品
代碼]],'銀行-TSS'!B:AH,33,FALSE),"")</f>
        <v>美元(USD)</v>
      </c>
      <c r="S225" s="1754">
        <f ca="1">IFERROR(VLOOKUP(B225,'銀行-TSS'!B:N,13,FALSE),"")</f>
        <v>10000</v>
      </c>
      <c r="T225" s="1754" t="str">
        <f ca="1">VLOOKUP(表格1[[#This Row],[商品
代碼]],'銀行-TSS'!B:AI,34,FALSE)</f>
        <v>自由選清單</v>
      </c>
      <c r="U225" s="1755" t="str">
        <f ca="1">IFERROR(VLOOKUP(B225,'銀行-TSS'!B:Q,16,FALSE),"")</f>
        <v>醫療保健</v>
      </c>
      <c r="V225" s="1755" t="str">
        <f ca="1">IFERROR(VLOOKUP(表格1[[#This Row],[商品
代碼]],'銀行-TSS'!B:AG,32,FALSE),"")</f>
        <v>固定</v>
      </c>
      <c r="W225" s="1756" t="str">
        <f ca="1">IFERROR(IFERROR(VLOOKUP(表格1[[#This Row],[商品
代碼]],'3_是否下架'!A:B,2,FALSE),VLOOKUP(表格1[[#This Row],[商品
代碼]],'銀行-TSS'!B:AK,36,FALSE)),"")</f>
        <v>有</v>
      </c>
      <c r="Y225" s="400"/>
      <c r="Z225" s="400"/>
      <c r="AA225" s="401"/>
    </row>
    <row r="226" spans="2:27" s="399" customFormat="1" ht="24.75" customHeight="1">
      <c r="B226" s="1745" t="s">
        <v>2088</v>
      </c>
      <c r="C226" s="1745" t="str">
        <f ca="1">IFERROR(VLOOKUP(表格1[[#This Row],[商品
代碼]],'銀行-TSS'!B:V,21,FALSE),"")</f>
        <v>(PI)專投</v>
      </c>
      <c r="D226" s="1746" t="str">
        <f>IFERROR(VLOOKUP(表格1[[#This Row],[商品
代碼]],bond!B:F,5,FALSE),"")</f>
        <v>US71568QAG29</v>
      </c>
      <c r="E226" s="1746" t="str">
        <f ca="1">IFERROR(VLOOKUP(B226,'銀行-TSS'!B:D,3,FALSE),"")</f>
        <v>印尼國家電力公司美元配息債券 5.375% 2029/1/25</v>
      </c>
      <c r="F226" s="1745" t="str">
        <f ca="1">IFERROR(VLOOKUP(B226,'銀行-TSS'!B:E,4,FALSE),"")</f>
        <v>Baa2 / BBB / BBB</v>
      </c>
      <c r="G226" s="1747">
        <f ca="1">IFERROR(VLOOKUP(B226,'銀行-TSS'!B:G,6,FALSE),"")</f>
        <v>4.57</v>
      </c>
      <c r="H226" s="1748">
        <f ca="1">IFERROR(VLOOKUP(B226,'銀行-TSS'!B:H,7,FALSE),"")</f>
        <v>5.3749999999999999E-2</v>
      </c>
      <c r="I226" s="1745" t="str">
        <f ca="1">IFERROR(IF(表格1[[#This Row],[配息頻率]]=0,"",CHOOSE(表格1[[#This Row],[配息頻率]],MONTH(J226),IF(MONTH(J226)&lt;=6,CONCATENATE(MONTH(J226)," / ",MONTH(J226)+6),CONCATENATE(MONTH(J226)-6," / ",MONTH(J226))),0,"2 / 4 / 8 / 11")),"")</f>
        <v>1 / 7</v>
      </c>
      <c r="J226" s="1749" t="str">
        <f ca="1">IFERROR(VLOOKUP(B226,'銀行-TSS'!B:P,15,FALSE),"")</f>
        <v>2024/7/25</v>
      </c>
      <c r="K226" s="1750">
        <f ca="1">IFERROR(VLOOKUP(表格1[[#This Row],[商品
代碼]],'銀行-TSS'!B:I,8,FALSE),"")</f>
        <v>2</v>
      </c>
      <c r="L226" s="1747">
        <f ca="1">IFERROR(VLOOKUP(B226,'銀行-TSS'!B:K,10,FALSE),"")</f>
        <v>103.95</v>
      </c>
      <c r="M226" s="1745" t="str">
        <f ca="1">IF(表格1[[#This Row],[含息申購
參考價]]&gt;100,"溢價",IF(表格1[[#This Row],[含息申購
參考價]]&lt;100,"折價","平價"))</f>
        <v>溢價</v>
      </c>
      <c r="N226" s="1751">
        <f ca="1">IFERROR(VLOOKUP(B226,'銀行-TSS'!B:M,12,FALSE),"")</f>
        <v>4.9799999999999997E-2</v>
      </c>
      <c r="O226" s="1752">
        <f ca="1">IFERROR(VLOOKUP(表格1[[#This Row],[商品
代碼]],'銀行-TSS'!B:AJ,35,FALSE),"")</f>
        <v>0</v>
      </c>
      <c r="P226" s="1753" t="str">
        <f ca="1">IFERROR(VLOOKUP(表格1[[#This Row],[商品
代碼]],'銀行-TSS'!B:AE,30,FALSE),"")</f>
        <v xml:space="preserve"> </v>
      </c>
      <c r="Q226" s="1749" t="str">
        <f ca="1">IFERROR(IF(VLOOKUP(表格1[[#This Row],[商品
代碼]],'銀行-TSS'!B:AM,38,FALSE)="#N/A Field Not Applicable","",VLOOKUP(表格1[[#This Row],[商品
代碼]],'銀行-TSS'!B:AM,38,FALSE)),"")</f>
        <v/>
      </c>
      <c r="R226" s="1749" t="str">
        <f ca="1">IFERROR(VLOOKUP(表格1[[#This Row],[商品
代碼]],'銀行-TSS'!B:AH,33,FALSE),"")</f>
        <v>美元(USD)</v>
      </c>
      <c r="S226" s="1754">
        <f ca="1">IFERROR(VLOOKUP(B226,'銀行-TSS'!B:N,13,FALSE),"")</f>
        <v>200000</v>
      </c>
      <c r="T226" s="1754" t="str">
        <f ca="1">VLOOKUP(表格1[[#This Row],[商品
代碼]],'銀行-TSS'!B:AI,34,FALSE)</f>
        <v>自由選清單</v>
      </c>
      <c r="U226" s="1755" t="str">
        <f ca="1">IFERROR(VLOOKUP(B226,'銀行-TSS'!B:Q,16,FALSE),"")</f>
        <v>公用事業</v>
      </c>
      <c r="V226" s="1755" t="str">
        <f ca="1">IFERROR(VLOOKUP(表格1[[#This Row],[商品
代碼]],'銀行-TSS'!B:AG,32,FALSE),"")</f>
        <v>固定</v>
      </c>
      <c r="W226" s="1756" t="str">
        <f ca="1">IFERROR(IFERROR(VLOOKUP(表格1[[#This Row],[商品
代碼]],'3_是否下架'!A:B,2,FALSE),VLOOKUP(表格1[[#This Row],[商品
代碼]],'銀行-TSS'!B:AK,36,FALSE)),"")</f>
        <v>有</v>
      </c>
      <c r="Y226" s="400"/>
      <c r="Z226" s="400"/>
      <c r="AA226" s="401"/>
    </row>
    <row r="227" spans="2:27" s="399" customFormat="1" ht="24.75" customHeight="1">
      <c r="B227" s="1745" t="s">
        <v>604</v>
      </c>
      <c r="C227" s="1745" t="str">
        <f ca="1">IFERROR(VLOOKUP(表格1[[#This Row],[商品
代碼]],'銀行-TSS'!B:V,21,FALSE),"")</f>
        <v>(NPI)非專投</v>
      </c>
      <c r="D227" s="1746" t="str">
        <f>IFERROR(VLOOKUP(表格1[[#This Row],[商品
代碼]],bond!B:F,5,FALSE),"")</f>
        <v>XS0082826255</v>
      </c>
      <c r="E227" s="1746" t="str">
        <f ca="1">IFERROR(VLOOKUP(B227,'銀行-TSS'!B:D,3,FALSE),"")</f>
        <v>歐洲復興開發銀行南非幣零息債券 0% 2028/12/29</v>
      </c>
      <c r="F227" s="1745" t="str">
        <f ca="1">IFERROR(VLOOKUP(B227,'銀行-TSS'!B:E,4,FALSE),"")</f>
        <v>Aaau / AAA / AAA</v>
      </c>
      <c r="G227" s="1747">
        <f ca="1">IFERROR(VLOOKUP(B227,'銀行-TSS'!B:G,6,FALSE),"")</f>
        <v>4.49</v>
      </c>
      <c r="H227" s="1748">
        <f ca="1">IFERROR(VLOOKUP(B227,'銀行-TSS'!B:H,7,FALSE),"")</f>
        <v>0</v>
      </c>
      <c r="I227" s="1745" t="str">
        <f ca="1">IFERROR(IF(表格1[[#This Row],[配息頻率]]=0,"",CHOOSE(表格1[[#This Row],[配息頻率]],MONTH(J227),IF(MONTH(J227)&lt;=6,CONCATENATE(MONTH(J227)," / ",MONTH(J227)+6),CONCATENATE(MONTH(J227)-6," / ",MONTH(J227))),0,"2 / 4 / 8 / 11")),"")</f>
        <v/>
      </c>
      <c r="J227" s="1749" t="str">
        <f ca="1">IFERROR(VLOOKUP(B227,'銀行-TSS'!B:P,15,FALSE),"")</f>
        <v>#N/A Field Not Applicable</v>
      </c>
      <c r="K227" s="1750">
        <f ca="1">IFERROR(VLOOKUP(表格1[[#This Row],[商品
代碼]],'銀行-TSS'!B:I,8,FALSE),"")</f>
        <v>0</v>
      </c>
      <c r="L227" s="1747">
        <f ca="1">IFERROR(VLOOKUP(B227,'銀行-TSS'!B:K,10,FALSE),"")</f>
        <v>72.069999999999993</v>
      </c>
      <c r="M227" s="1745" t="str">
        <f ca="1">IF(表格1[[#This Row],[含息申購
參考價]]&gt;100,"溢價",IF(表格1[[#This Row],[含息申購
參考價]]&lt;100,"折價","平價"))</f>
        <v>折價</v>
      </c>
      <c r="N227" s="1751">
        <f ca="1">IFERROR(VLOOKUP(B227,'銀行-TSS'!B:M,12,FALSE),"")</f>
        <v>7.5700000000000003E-2</v>
      </c>
      <c r="O227" s="1752">
        <f ca="1">IFERROR(VLOOKUP(表格1[[#This Row],[商品
代碼]],'銀行-TSS'!B:AJ,35,FALSE),"")</f>
        <v>1</v>
      </c>
      <c r="P227" s="1753" t="str">
        <f ca="1">IFERROR(VLOOKUP(表格1[[#This Row],[商品
代碼]],'銀行-TSS'!B:AE,30,FALSE),"")</f>
        <v xml:space="preserve"> </v>
      </c>
      <c r="Q227" s="1749" t="str">
        <f ca="1">IFERROR(IF(VLOOKUP(表格1[[#This Row],[商品
代碼]],'銀行-TSS'!B:AM,38,FALSE)="#N/A Field Not Applicable","",VLOOKUP(表格1[[#This Row],[商品
代碼]],'銀行-TSS'!B:AM,38,FALSE)),"")</f>
        <v/>
      </c>
      <c r="R227" s="1749" t="str">
        <f ca="1">IFERROR(VLOOKUP(表格1[[#This Row],[商品
代碼]],'銀行-TSS'!B:AH,33,FALSE),"")</f>
        <v>南非幣(ZAR)</v>
      </c>
      <c r="S227" s="1754">
        <f ca="1">IFERROR(VLOOKUP(B227,'銀行-TSS'!B:N,13,FALSE),"")</f>
        <v>100000</v>
      </c>
      <c r="T227" s="1754" t="str">
        <f ca="1">VLOOKUP(表格1[[#This Row],[商品
代碼]],'銀行-TSS'!B:AI,34,FALSE)</f>
        <v/>
      </c>
      <c r="U227" s="1755" t="str">
        <f ca="1">IFERROR(VLOOKUP(B227,'銀行-TSS'!B:Q,16,FALSE),"")</f>
        <v>政府</v>
      </c>
      <c r="V227" s="1755" t="str">
        <f ca="1">IFERROR(VLOOKUP(表格1[[#This Row],[商品
代碼]],'銀行-TSS'!B:AG,32,FALSE),"")</f>
        <v>零息</v>
      </c>
      <c r="W227" s="1756" t="str">
        <f>IFERROR(IFERROR(VLOOKUP(表格1[[#This Row],[商品
代碼]],'3_是否下架'!A:B,2,FALSE),VLOOKUP(表格1[[#This Row],[商品
代碼]],'銀行-TSS'!B:AK,36,FALSE)),"")</f>
        <v>已下架</v>
      </c>
      <c r="Y227" s="400"/>
      <c r="Z227" s="400"/>
      <c r="AA227" s="401"/>
    </row>
    <row r="228" spans="2:27" s="399" customFormat="1" ht="24.75" customHeight="1">
      <c r="B228" s="1745" t="s">
        <v>802</v>
      </c>
      <c r="C228" s="1745" t="str">
        <f ca="1">IFERROR(VLOOKUP(表格1[[#This Row],[商品
代碼]],'銀行-TSS'!B:V,21,FALSE),"")</f>
        <v>(PI)專投</v>
      </c>
      <c r="D228" s="1746" t="str">
        <f>IFERROR(VLOOKUP(表格1[[#This Row],[商品
代碼]],bond!B:F,5,FALSE),"")</f>
        <v>USU07265AF50</v>
      </c>
      <c r="E228" s="1746" t="str">
        <f ca="1">IFERROR(VLOOKUP(B228,'銀行-TSS'!B:D,3,FALSE),"")</f>
        <v>拜耳金融公司美元配息債券 4.375% 2028/12/15</v>
      </c>
      <c r="F228" s="1745" t="str">
        <f ca="1">IFERROR(VLOOKUP(B228,'銀行-TSS'!B:E,4,FALSE),"")</f>
        <v>Baa2 / BBB / BBB</v>
      </c>
      <c r="G228" s="1747">
        <f ca="1">IFERROR(VLOOKUP(B228,'銀行-TSS'!B:G,6,FALSE),"")</f>
        <v>4.45</v>
      </c>
      <c r="H228" s="1748">
        <f ca="1">IFERROR(VLOOKUP(B228,'銀行-TSS'!B:H,7,FALSE),"")</f>
        <v>4.3749999999999997E-2</v>
      </c>
      <c r="I228" s="1745" t="str">
        <f ca="1">IFERROR(IF(表格1[[#This Row],[配息頻率]]=0,"",CHOOSE(表格1[[#This Row],[配息頻率]],MONTH(J228),IF(MONTH(J228)&lt;=6,CONCATENATE(MONTH(J228)," / ",MONTH(J228)+6),CONCATENATE(MONTH(J228)-6," / ",MONTH(J228))),0,"2 / 4 / 8 / 11")),"")</f>
        <v>6 / 12</v>
      </c>
      <c r="J228" s="1749" t="str">
        <f ca="1">IFERROR(VLOOKUP(B228,'銀行-TSS'!B:P,15,FALSE),"")</f>
        <v>2024/12/15</v>
      </c>
      <c r="K228" s="1750">
        <f ca="1">IFERROR(VLOOKUP(表格1[[#This Row],[商品
代碼]],'銀行-TSS'!B:I,8,FALSE),"")</f>
        <v>2</v>
      </c>
      <c r="L228" s="1747">
        <f ca="1">IFERROR(VLOOKUP(B228,'銀行-TSS'!B:K,10,FALSE),"")</f>
        <v>96.98</v>
      </c>
      <c r="M228" s="1745" t="str">
        <f ca="1">IF(表格1[[#This Row],[含息申購
參考價]]&gt;100,"溢價",IF(表格1[[#This Row],[含息申購
參考價]]&lt;100,"折價","平價"))</f>
        <v>折價</v>
      </c>
      <c r="N228" s="1751">
        <f ca="1">IFERROR(VLOOKUP(B228,'銀行-TSS'!B:M,12,FALSE),"")</f>
        <v>5.1999999999999998E-2</v>
      </c>
      <c r="O228" s="1752">
        <f ca="1">IFERROR(VLOOKUP(表格1[[#This Row],[商品
代碼]],'銀行-TSS'!B:AJ,35,FALSE),"")</f>
        <v>0</v>
      </c>
      <c r="P228" s="1753">
        <f ca="1">IFERROR(VLOOKUP(表格1[[#This Row],[商品
代碼]],'銀行-TSS'!B:AE,30,FALSE),"")</f>
        <v>5.2400000000000002E-2</v>
      </c>
      <c r="Q228" s="1749" t="str">
        <f ca="1">IFERROR(IF(VLOOKUP(表格1[[#This Row],[商品
代碼]],'銀行-TSS'!B:AM,38,FALSE)="#N/A Field Not Applicable","",VLOOKUP(表格1[[#This Row],[商品
代碼]],'銀行-TSS'!B:AM,38,FALSE)),"")</f>
        <v>2028/9/15</v>
      </c>
      <c r="R228" s="1749" t="str">
        <f ca="1">IFERROR(VLOOKUP(表格1[[#This Row],[商品
代碼]],'銀行-TSS'!B:AH,33,FALSE),"")</f>
        <v>美元(USD)</v>
      </c>
      <c r="S228" s="1754">
        <f ca="1">IFERROR(VLOOKUP(B228,'銀行-TSS'!B:N,13,FALSE),"")</f>
        <v>200000</v>
      </c>
      <c r="T228" s="1754" t="str">
        <f ca="1">VLOOKUP(表格1[[#This Row],[商品
代碼]],'銀行-TSS'!B:AI,34,FALSE)</f>
        <v>自由選清單</v>
      </c>
      <c r="U228" s="1755" t="str">
        <f ca="1">IFERROR(VLOOKUP(B228,'銀行-TSS'!B:Q,16,FALSE),"")</f>
        <v>醫療保健</v>
      </c>
      <c r="V228" s="1755" t="str">
        <f ca="1">IFERROR(VLOOKUP(表格1[[#This Row],[商品
代碼]],'銀行-TSS'!B:AG,32,FALSE),"")</f>
        <v>固定</v>
      </c>
      <c r="W228" s="1756" t="str">
        <f ca="1">IFERROR(IFERROR(VLOOKUP(表格1[[#This Row],[商品
代碼]],'3_是否下架'!A:B,2,FALSE),VLOOKUP(表格1[[#This Row],[商品
代碼]],'銀行-TSS'!B:AK,36,FALSE)),"")</f>
        <v>有</v>
      </c>
      <c r="Y228" s="400"/>
      <c r="Z228" s="400"/>
      <c r="AA228" s="401"/>
    </row>
    <row r="229" spans="2:27" s="399" customFormat="1" ht="24.75" customHeight="1">
      <c r="B229" s="1745" t="s">
        <v>812</v>
      </c>
      <c r="C229" s="1745" t="str">
        <f ca="1">IFERROR(VLOOKUP(表格1[[#This Row],[商品
代碼]],'銀行-TSS'!B:V,21,FALSE),"")</f>
        <v>(PI)專投</v>
      </c>
      <c r="D229" s="1746" t="str">
        <f>IFERROR(VLOOKUP(表格1[[#This Row],[商品
代碼]],bond!B:F,5,FALSE),"")</f>
        <v>AU3CB0256915</v>
      </c>
      <c r="E229" s="1746" t="str">
        <f ca="1">IFERROR(VLOOKUP(B229,'銀行-TSS'!B:D,3,FALSE),"")</f>
        <v>AT&amp;T公司澳幣配息債券 4.6% 2028/9/19</v>
      </c>
      <c r="F229" s="1745" t="str">
        <f ca="1">IFERROR(VLOOKUP(B229,'銀行-TSS'!B:E,4,FALSE),"")</f>
        <v>Baa2 / BBB / BBB+</v>
      </c>
      <c r="G229" s="1747">
        <f ca="1">IFERROR(VLOOKUP(B229,'銀行-TSS'!B:G,6,FALSE),"")</f>
        <v>4.21</v>
      </c>
      <c r="H229" s="1748">
        <f ca="1">IFERROR(VLOOKUP(B229,'銀行-TSS'!B:H,7,FALSE),"")</f>
        <v>4.5999999999999999E-2</v>
      </c>
      <c r="I229" s="1745" t="str">
        <f ca="1">IFERROR(IF(表格1[[#This Row],[配息頻率]]=0,"",CHOOSE(表格1[[#This Row],[配息頻率]],MONTH(J229),IF(MONTH(J229)&lt;=6,CONCATENATE(MONTH(J229)," / ",MONTH(J229)+6),CONCATENATE(MONTH(J229)-6," / ",MONTH(J229))),0,"2 / 4 / 8 / 11")),"")</f>
        <v>3 / 9</v>
      </c>
      <c r="J229" s="1749" t="str">
        <f ca="1">IFERROR(VLOOKUP(B229,'銀行-TSS'!B:P,15,FALSE),"")</f>
        <v>2024/9/19</v>
      </c>
      <c r="K229" s="1750">
        <f ca="1">IFERROR(VLOOKUP(表格1[[#This Row],[商品
代碼]],'銀行-TSS'!B:I,8,FALSE),"")</f>
        <v>2</v>
      </c>
      <c r="L229" s="1747">
        <f ca="1">IFERROR(VLOOKUP(B229,'銀行-TSS'!B:K,10,FALSE),"")</f>
        <v>101.71</v>
      </c>
      <c r="M229" s="1745" t="str">
        <f ca="1">IF(表格1[[#This Row],[含息申購
參考價]]&gt;100,"溢價",IF(表格1[[#This Row],[含息申購
參考價]]&lt;100,"折價","平價"))</f>
        <v>溢價</v>
      </c>
      <c r="N229" s="1751">
        <f ca="1">IFERROR(VLOOKUP(B229,'銀行-TSS'!B:M,12,FALSE),"")</f>
        <v>4.4999999999999998E-2</v>
      </c>
      <c r="O229" s="1752">
        <f ca="1">IFERROR(VLOOKUP(表格1[[#This Row],[商品
代碼]],'銀行-TSS'!B:AJ,35,FALSE),"")</f>
        <v>1</v>
      </c>
      <c r="P229" s="1753" t="str">
        <f ca="1">IFERROR(VLOOKUP(表格1[[#This Row],[商品
代碼]],'銀行-TSS'!B:AE,30,FALSE),"")</f>
        <v xml:space="preserve"> </v>
      </c>
      <c r="Q229" s="1749" t="str">
        <f ca="1">IFERROR(IF(VLOOKUP(表格1[[#This Row],[商品
代碼]],'銀行-TSS'!B:AM,38,FALSE)="#N/A Field Not Applicable","",VLOOKUP(表格1[[#This Row],[商品
代碼]],'銀行-TSS'!B:AM,38,FALSE)),"")</f>
        <v/>
      </c>
      <c r="R229" s="1749" t="str">
        <f ca="1">IFERROR(VLOOKUP(表格1[[#This Row],[商品
代碼]],'銀行-TSS'!B:AH,33,FALSE),"")</f>
        <v>澳幣(AUD)</v>
      </c>
      <c r="S229" s="1754">
        <f ca="1">IFERROR(VLOOKUP(B229,'銀行-TSS'!B:N,13,FALSE),"")</f>
        <v>10000</v>
      </c>
      <c r="T229" s="1754" t="str">
        <f ca="1">VLOOKUP(表格1[[#This Row],[商品
代碼]],'銀行-TSS'!B:AI,34,FALSE)</f>
        <v/>
      </c>
      <c r="U229" s="1755" t="str">
        <f ca="1">IFERROR(VLOOKUP(B229,'銀行-TSS'!B:Q,16,FALSE),"")</f>
        <v>通訊</v>
      </c>
      <c r="V229" s="1755" t="str">
        <f ca="1">IFERROR(VLOOKUP(表格1[[#This Row],[商品
代碼]],'銀行-TSS'!B:AG,32,FALSE),"")</f>
        <v>固定</v>
      </c>
      <c r="W229" s="1756" t="str">
        <f ca="1">IFERROR(IFERROR(VLOOKUP(表格1[[#This Row],[商品
代碼]],'3_是否下架'!A:B,2,FALSE),VLOOKUP(表格1[[#This Row],[商品
代碼]],'銀行-TSS'!B:AK,36,FALSE)),"")</f>
        <v>需查詢</v>
      </c>
      <c r="Y229" s="400"/>
      <c r="Z229" s="400"/>
      <c r="AA229" s="401"/>
    </row>
    <row r="230" spans="2:27" s="399" customFormat="1" ht="24.75" customHeight="1">
      <c r="B230" s="1745" t="s">
        <v>1247</v>
      </c>
      <c r="C230" s="1745" t="str">
        <f ca="1">IFERROR(VLOOKUP(表格1[[#This Row],[商品
代碼]],'銀行-TSS'!B:V,21,FALSE),"")</f>
        <v>(PI)專投</v>
      </c>
      <c r="D230" s="1746" t="str">
        <f>IFERROR(VLOOKUP(表格1[[#This Row],[商品
代碼]],bond!B:F,5,FALSE),"")</f>
        <v>US60687YCL11</v>
      </c>
      <c r="E230" s="1746" t="str">
        <f ca="1">IFERROR(VLOOKUP(B230,'銀行-TSS'!B:D,3,FALSE),"")</f>
        <v>瑞穗金融集團美元配息債券 5.414% 2028/9/13</v>
      </c>
      <c r="F230" s="1745" t="str">
        <f ca="1">IFERROR(VLOOKUP(B230,'銀行-TSS'!B:E,4,FALSE),"")</f>
        <v>A1 / A- / -</v>
      </c>
      <c r="G230" s="1747">
        <f ca="1">IFERROR(VLOOKUP(B230,'銀行-TSS'!B:G,6,FALSE),"")</f>
        <v>4.2</v>
      </c>
      <c r="H230" s="1748">
        <f ca="1">IFERROR(VLOOKUP(B230,'銀行-TSS'!B:H,7,FALSE),"")</f>
        <v>5.4139999999999994E-2</v>
      </c>
      <c r="I230" s="1745" t="str">
        <f ca="1">IFERROR(IF(表格1[[#This Row],[配息頻率]]=0,"",CHOOSE(表格1[[#This Row],[配息頻率]],MONTH(J230),IF(MONTH(J230)&lt;=6,CONCATENATE(MONTH(J230)," / ",MONTH(J230)+6),CONCATENATE(MONTH(J230)-6," / ",MONTH(J230))),0,"2 / 4 / 8 / 11")),"")</f>
        <v>3 / 9</v>
      </c>
      <c r="J230" s="1749" t="str">
        <f ca="1">IFERROR(VLOOKUP(B230,'銀行-TSS'!B:P,15,FALSE),"")</f>
        <v>2024/9/13</v>
      </c>
      <c r="K230" s="1750">
        <f ca="1">IFERROR(VLOOKUP(表格1[[#This Row],[商品
代碼]],'銀行-TSS'!B:I,8,FALSE),"")</f>
        <v>2</v>
      </c>
      <c r="L230" s="1747">
        <f ca="1">IFERROR(VLOOKUP(B230,'銀行-TSS'!B:K,10,FALSE),"")</f>
        <v>103.85</v>
      </c>
      <c r="M230" s="1745" t="str">
        <f ca="1">IF(表格1[[#This Row],[含息申購
參考價]]&gt;100,"溢價",IF(表格1[[#This Row],[含息申購
參考價]]&lt;100,"折價","平價"))</f>
        <v>溢價</v>
      </c>
      <c r="N230" s="1751">
        <f ca="1">IFERROR(VLOOKUP(B230,'銀行-TSS'!B:M,12,FALSE),"")</f>
        <v>5.1999999999999998E-2</v>
      </c>
      <c r="O230" s="1752">
        <f ca="1">IFERROR(VLOOKUP(表格1[[#This Row],[商品
代碼]],'銀行-TSS'!B:AJ,35,FALSE),"")</f>
        <v>0</v>
      </c>
      <c r="P230" s="1753">
        <f ca="1">IFERROR(VLOOKUP(表格1[[#This Row],[商品
代碼]],'銀行-TSS'!B:AE,30,FALSE),"")</f>
        <v>4.6600000000000003E-2</v>
      </c>
      <c r="Q230" s="1749" t="str">
        <f ca="1">IFERROR(IF(VLOOKUP(表格1[[#This Row],[商品
代碼]],'銀行-TSS'!B:AM,38,FALSE)="#N/A Field Not Applicable","",VLOOKUP(表格1[[#This Row],[商品
代碼]],'銀行-TSS'!B:AM,38,FALSE)),"")</f>
        <v>2027/9/13</v>
      </c>
      <c r="R230" s="1749" t="str">
        <f ca="1">IFERROR(VLOOKUP(表格1[[#This Row],[商品
代碼]],'銀行-TSS'!B:AH,33,FALSE),"")</f>
        <v>美元(USD)</v>
      </c>
      <c r="S230" s="1754">
        <f ca="1">IFERROR(VLOOKUP(B230,'銀行-TSS'!B:N,13,FALSE),"")</f>
        <v>200000</v>
      </c>
      <c r="T230" s="1754" t="str">
        <f ca="1">VLOOKUP(表格1[[#This Row],[商品
代碼]],'銀行-TSS'!B:AI,34,FALSE)</f>
        <v>自由選清單</v>
      </c>
      <c r="U230" s="1755" t="str">
        <f ca="1">IFERROR(VLOOKUP(B230,'銀行-TSS'!B:Q,16,FALSE),"")</f>
        <v>金融</v>
      </c>
      <c r="V230" s="1755" t="str">
        <f ca="1">IFERROR(VLOOKUP(表格1[[#This Row],[商品
代碼]],'銀行-TSS'!B:AG,32,FALSE),"")</f>
        <v>變動</v>
      </c>
      <c r="W230" s="1756" t="str">
        <f ca="1">IFERROR(IFERROR(VLOOKUP(表格1[[#This Row],[商品
代碼]],'3_是否下架'!A:B,2,FALSE),VLOOKUP(表格1[[#This Row],[商品
代碼]],'銀行-TSS'!B:AK,36,FALSE)),"")</f>
        <v>有</v>
      </c>
      <c r="Y230" s="400"/>
      <c r="Z230" s="400"/>
      <c r="AA230" s="401"/>
    </row>
    <row r="231" spans="2:27" s="399" customFormat="1" ht="24.75" customHeight="1">
      <c r="B231" s="1745" t="s">
        <v>4002</v>
      </c>
      <c r="C231" s="1745" t="str">
        <f ca="1">IFERROR(VLOOKUP(表格1[[#This Row],[商品
代碼]],'銀行-TSS'!B:V,21,FALSE),"")</f>
        <v>(NPI)非專投</v>
      </c>
      <c r="D231" s="1746" t="str">
        <f>IFERROR(VLOOKUP(表格1[[#This Row],[商品
代碼]],bond!B:F,5,FALSE),"")</f>
        <v>US88579YBC49</v>
      </c>
      <c r="E231" s="1746" t="str">
        <f ca="1">IFERROR(VLOOKUP(B231,'銀行-TSS'!B:D,3,FALSE),"")</f>
        <v>3M公司美元配息債券 3.625% 2028/9/14</v>
      </c>
      <c r="F231" s="1745" t="str">
        <f ca="1">IFERROR(VLOOKUP(B231,'銀行-TSS'!B:E,4,FALSE),"")</f>
        <v>A3 / BBB+ / A-</v>
      </c>
      <c r="G231" s="1747">
        <f ca="1">IFERROR(VLOOKUP(B231,'銀行-TSS'!B:G,6,FALSE),"")</f>
        <v>4.2</v>
      </c>
      <c r="H231" s="1748">
        <f ca="1">IFERROR(VLOOKUP(B231,'銀行-TSS'!B:H,7,FALSE),"")</f>
        <v>3.6249999999999998E-2</v>
      </c>
      <c r="I231" s="1745" t="str">
        <f ca="1">IFERROR(IF(表格1[[#This Row],[配息頻率]]=0,"",CHOOSE(表格1[[#This Row],[配息頻率]],MONTH(J231),IF(MONTH(J231)&lt;=6,CONCATENATE(MONTH(J231)," / ",MONTH(J231)+6),CONCATENATE(MONTH(J231)-6," / ",MONTH(J231))),0,"2 / 4 / 8 / 11")),"")</f>
        <v>3 / 9</v>
      </c>
      <c r="J231" s="1749" t="str">
        <f ca="1">IFERROR(VLOOKUP(B231,'銀行-TSS'!B:P,15,FALSE),"")</f>
        <v>2024/9/14</v>
      </c>
      <c r="K231" s="1750">
        <f ca="1">IFERROR(VLOOKUP(表格1[[#This Row],[商品
代碼]],'銀行-TSS'!B:I,8,FALSE),"")</f>
        <v>2</v>
      </c>
      <c r="L231" s="1747">
        <f ca="1">IFERROR(VLOOKUP(B231,'銀行-TSS'!B:K,10,FALSE),"")</f>
        <v>97.62</v>
      </c>
      <c r="M231" s="1745" t="str">
        <f ca="1">IF(表格1[[#This Row],[含息申購
參考價]]&gt;100,"溢價",IF(表格1[[#This Row],[含息申購
參考價]]&lt;100,"折價","平價"))</f>
        <v>折價</v>
      </c>
      <c r="N231" s="1751">
        <f ca="1">IFERROR(VLOOKUP(B231,'銀行-TSS'!B:M,12,FALSE),"")</f>
        <v>4.5400000000000003E-2</v>
      </c>
      <c r="O231" s="1752">
        <f ca="1">IFERROR(VLOOKUP(表格1[[#This Row],[商品
代碼]],'銀行-TSS'!B:AJ,35,FALSE),"")</f>
        <v>0</v>
      </c>
      <c r="P231" s="1753">
        <f ca="1">IFERROR(VLOOKUP(表格1[[#This Row],[商品
代碼]],'銀行-TSS'!B:AE,30,FALSE),"")</f>
        <v>4.5999999999999999E-2</v>
      </c>
      <c r="Q231" s="1749" t="str">
        <f ca="1">IFERROR(IF(VLOOKUP(表格1[[#This Row],[商品
代碼]],'銀行-TSS'!B:AM,38,FALSE)="#N/A Field Not Applicable","",VLOOKUP(表格1[[#This Row],[商品
代碼]],'銀行-TSS'!B:AM,38,FALSE)),"")</f>
        <v>2028/6/14</v>
      </c>
      <c r="R231" s="1749" t="str">
        <f ca="1">IFERROR(VLOOKUP(表格1[[#This Row],[商品
代碼]],'銀行-TSS'!B:AH,33,FALSE),"")</f>
        <v>美元(USD)</v>
      </c>
      <c r="S231" s="1754">
        <f ca="1">IFERROR(VLOOKUP(B231,'銀行-TSS'!B:N,13,FALSE),"")</f>
        <v>10000</v>
      </c>
      <c r="T231" s="1754" t="str">
        <f ca="1">VLOOKUP(表格1[[#This Row],[商品
代碼]],'銀行-TSS'!B:AI,34,FALSE)</f>
        <v>自由選清單</v>
      </c>
      <c r="U231" s="1755" t="str">
        <f ca="1">IFERROR(VLOOKUP(B231,'銀行-TSS'!B:Q,16,FALSE),"")</f>
        <v>工業</v>
      </c>
      <c r="V231" s="1755" t="str">
        <f ca="1">IFERROR(VLOOKUP(表格1[[#This Row],[商品
代碼]],'銀行-TSS'!B:AG,32,FALSE),"")</f>
        <v>固定</v>
      </c>
      <c r="W231" s="1756" t="str">
        <f ca="1">IFERROR(IFERROR(VLOOKUP(表格1[[#This Row],[商品
代碼]],'3_是否下架'!A:B,2,FALSE),VLOOKUP(表格1[[#This Row],[商品
代碼]],'銀行-TSS'!B:AK,36,FALSE)),"")</f>
        <v>有</v>
      </c>
      <c r="Y231" s="400"/>
      <c r="Z231" s="400"/>
      <c r="AA231" s="401"/>
    </row>
    <row r="232" spans="2:27" s="399" customFormat="1" ht="24.75" customHeight="1">
      <c r="B232" s="1745" t="s">
        <v>805</v>
      </c>
      <c r="C232" s="1745" t="str">
        <f ca="1">IFERROR(VLOOKUP(表格1[[#This Row],[商品
代碼]],'銀行-TSS'!B:V,21,FALSE),"")</f>
        <v>(PI)專投</v>
      </c>
      <c r="D232" s="1746" t="str">
        <f>IFERROR(VLOOKUP(表格1[[#This Row],[商品
代碼]],bond!B:F,5,FALSE),"")</f>
        <v>US92857WBK53</v>
      </c>
      <c r="E232" s="1746" t="str">
        <f ca="1">IFERROR(VLOOKUP(B232,'銀行-TSS'!B:D,3,FALSE),"")</f>
        <v>伏得風集團美元配息債券 4.375% 2028/5/30</v>
      </c>
      <c r="F232" s="1745" t="str">
        <f ca="1">IFERROR(VLOOKUP(B232,'銀行-TSS'!B:E,4,FALSE),"")</f>
        <v>Baa2 / BBB / BBB</v>
      </c>
      <c r="G232" s="1747">
        <f ca="1">IFERROR(VLOOKUP(B232,'銀行-TSS'!B:G,6,FALSE),"")</f>
        <v>3.91</v>
      </c>
      <c r="H232" s="1748">
        <f ca="1">IFERROR(VLOOKUP(B232,'銀行-TSS'!B:H,7,FALSE),"")</f>
        <v>4.3749999999999997E-2</v>
      </c>
      <c r="I232" s="1745" t="str">
        <f ca="1">IFERROR(IF(表格1[[#This Row],[配息頻率]]=0,"",CHOOSE(表格1[[#This Row],[配息頻率]],MONTH(J232),IF(MONTH(J232)&lt;=6,CONCATENATE(MONTH(J232)," / ",MONTH(J232)+6),CONCATENATE(MONTH(J232)-6," / ",MONTH(J232))),0,"2 / 4 / 8 / 11")),"")</f>
        <v>5 / 11</v>
      </c>
      <c r="J232" s="1749" t="str">
        <f ca="1">IFERROR(VLOOKUP(B232,'銀行-TSS'!B:P,15,FALSE),"")</f>
        <v>2024/11/30</v>
      </c>
      <c r="K232" s="1750">
        <f ca="1">IFERROR(VLOOKUP(表格1[[#This Row],[商品
代碼]],'銀行-TSS'!B:I,8,FALSE),"")</f>
        <v>2</v>
      </c>
      <c r="L232" s="1747">
        <f ca="1">IFERROR(VLOOKUP(B232,'銀行-TSS'!B:K,10,FALSE),"")</f>
        <v>100.31</v>
      </c>
      <c r="M232" s="1745" t="str">
        <f ca="1">IF(表格1[[#This Row],[含息申購
參考價]]&gt;100,"溢價",IF(表格1[[#This Row],[含息申購
參考價]]&lt;100,"折價","平價"))</f>
        <v>溢價</v>
      </c>
      <c r="N232" s="1751">
        <f ca="1">IFERROR(VLOOKUP(B232,'銀行-TSS'!B:M,12,FALSE),"")</f>
        <v>4.3999999999999997E-2</v>
      </c>
      <c r="O232" s="1752">
        <f ca="1">IFERROR(VLOOKUP(表格1[[#This Row],[商品
代碼]],'銀行-TSS'!B:AJ,35,FALSE),"")</f>
        <v>0</v>
      </c>
      <c r="P232" s="1753" t="str">
        <f ca="1">IFERROR(VLOOKUP(表格1[[#This Row],[商品
代碼]],'銀行-TSS'!B:AE,30,FALSE),"")</f>
        <v xml:space="preserve"> </v>
      </c>
      <c r="Q232" s="1749" t="str">
        <f ca="1">IFERROR(IF(VLOOKUP(表格1[[#This Row],[商品
代碼]],'銀行-TSS'!B:AM,38,FALSE)="#N/A Field Not Applicable","",VLOOKUP(表格1[[#This Row],[商品
代碼]],'銀行-TSS'!B:AM,38,FALSE)),"")</f>
        <v/>
      </c>
      <c r="R232" s="1749" t="str">
        <f ca="1">IFERROR(VLOOKUP(表格1[[#This Row],[商品
代碼]],'銀行-TSS'!B:AH,33,FALSE),"")</f>
        <v>美元(USD)</v>
      </c>
      <c r="S232" s="1754">
        <f ca="1">IFERROR(VLOOKUP(B232,'銀行-TSS'!B:N,13,FALSE),"")</f>
        <v>10000</v>
      </c>
      <c r="T232" s="1754" t="str">
        <f ca="1">VLOOKUP(表格1[[#This Row],[商品
代碼]],'銀行-TSS'!B:AI,34,FALSE)</f>
        <v>自由選清單</v>
      </c>
      <c r="U232" s="1755" t="str">
        <f ca="1">IFERROR(VLOOKUP(B232,'銀行-TSS'!B:Q,16,FALSE),"")</f>
        <v>通訊</v>
      </c>
      <c r="V232" s="1755" t="str">
        <f ca="1">IFERROR(VLOOKUP(表格1[[#This Row],[商品
代碼]],'銀行-TSS'!B:AG,32,FALSE),"")</f>
        <v>固定</v>
      </c>
      <c r="W232" s="1756" t="str">
        <f ca="1">IFERROR(IFERROR(VLOOKUP(表格1[[#This Row],[商品
代碼]],'3_是否下架'!A:B,2,FALSE),VLOOKUP(表格1[[#This Row],[商品
代碼]],'銀行-TSS'!B:AK,36,FALSE)),"")</f>
        <v>需查詢</v>
      </c>
      <c r="Y232" s="400"/>
      <c r="Z232" s="400"/>
      <c r="AA232" s="401"/>
    </row>
    <row r="233" spans="2:27" s="399" customFormat="1" ht="24.75" customHeight="1">
      <c r="B233" s="1745" t="s">
        <v>2197</v>
      </c>
      <c r="C233" s="1745" t="str">
        <f ca="1">IFERROR(VLOOKUP(表格1[[#This Row],[商品
代碼]],'銀行-TSS'!B:V,21,FALSE),"")</f>
        <v>(NPI)非專投</v>
      </c>
      <c r="D233" s="1746" t="str">
        <f>IFERROR(VLOOKUP(表格1[[#This Row],[商品
代碼]],bond!B:F,5,FALSE),"")</f>
        <v>US037833ET32</v>
      </c>
      <c r="E233" s="1746" t="str">
        <f ca="1">IFERROR(VLOOKUP(B233,'銀行-TSS'!B:D,3,FALSE),"")</f>
        <v>蘋果公司美元配息債券 4% 2028/5/10</v>
      </c>
      <c r="F233" s="1745" t="str">
        <f ca="1">IFERROR(VLOOKUP(B233,'銀行-TSS'!B:E,4,FALSE),"")</f>
        <v>Aaa / AA+ / -</v>
      </c>
      <c r="G233" s="1747">
        <f ca="1">IFERROR(VLOOKUP(B233,'銀行-TSS'!B:G,6,FALSE),"")</f>
        <v>3.85</v>
      </c>
      <c r="H233" s="1748">
        <f ca="1">IFERROR(VLOOKUP(B233,'銀行-TSS'!B:H,7,FALSE),"")</f>
        <v>0.04</v>
      </c>
      <c r="I233" s="1745" t="str">
        <f ca="1">IFERROR(IF(表格1[[#This Row],[配息頻率]]=0,"",CHOOSE(表格1[[#This Row],[配息頻率]],MONTH(J233),IF(MONTH(J233)&lt;=6,CONCATENATE(MONTH(J233)," / ",MONTH(J233)+6),CONCATENATE(MONTH(J233)-6," / ",MONTH(J233))),0,"2 / 4 / 8 / 11")),"")</f>
        <v>5 / 11</v>
      </c>
      <c r="J233" s="1749" t="str">
        <f ca="1">IFERROR(VLOOKUP(B233,'銀行-TSS'!B:P,15,FALSE),"")</f>
        <v>2024/11/10</v>
      </c>
      <c r="K233" s="1750">
        <f ca="1">IFERROR(VLOOKUP(表格1[[#This Row],[商品
代碼]],'銀行-TSS'!B:I,8,FALSE),"")</f>
        <v>2</v>
      </c>
      <c r="L233" s="1747">
        <f ca="1">IFERROR(VLOOKUP(B233,'銀行-TSS'!B:K,10,FALSE),"")</f>
        <v>100.33</v>
      </c>
      <c r="M233" s="1745" t="str">
        <f ca="1">IF(表格1[[#This Row],[含息申購
參考價]]&gt;100,"溢價",IF(表格1[[#This Row],[含息申購
參考價]]&lt;100,"折價","平價"))</f>
        <v>溢價</v>
      </c>
      <c r="N233" s="1751">
        <f ca="1">IFERROR(VLOOKUP(B233,'銀行-TSS'!B:M,12,FALSE),"")</f>
        <v>4.07E-2</v>
      </c>
      <c r="O233" s="1752">
        <f ca="1">IFERROR(VLOOKUP(表格1[[#This Row],[商品
代碼]],'銀行-TSS'!B:AJ,35,FALSE),"")</f>
        <v>0</v>
      </c>
      <c r="P233" s="1753">
        <f ca="1">IFERROR(VLOOKUP(表格1[[#This Row],[商品
代碼]],'銀行-TSS'!B:AE,30,FALSE),"")</f>
        <v>4.07E-2</v>
      </c>
      <c r="Q233" s="1749" t="str">
        <f ca="1">IFERROR(IF(VLOOKUP(表格1[[#This Row],[商品
代碼]],'銀行-TSS'!B:AM,38,FALSE)="#N/A Field Not Applicable","",VLOOKUP(表格1[[#This Row],[商品
代碼]],'銀行-TSS'!B:AM,38,FALSE)),"")</f>
        <v>2028/4/10</v>
      </c>
      <c r="R233" s="1749" t="str">
        <f ca="1">IFERROR(VLOOKUP(表格1[[#This Row],[商品
代碼]],'銀行-TSS'!B:AH,33,FALSE),"")</f>
        <v>美元(USD)</v>
      </c>
      <c r="S233" s="1754">
        <f ca="1">IFERROR(VLOOKUP(B233,'銀行-TSS'!B:N,13,FALSE),"")</f>
        <v>10000</v>
      </c>
      <c r="T233" s="1754" t="str">
        <f ca="1">VLOOKUP(表格1[[#This Row],[商品
代碼]],'銀行-TSS'!B:AI,34,FALSE)</f>
        <v>自由選清單</v>
      </c>
      <c r="U233" s="1755" t="str">
        <f ca="1">IFERROR(VLOOKUP(B233,'銀行-TSS'!B:Q,16,FALSE),"")</f>
        <v>科技</v>
      </c>
      <c r="V233" s="1755" t="str">
        <f ca="1">IFERROR(VLOOKUP(表格1[[#This Row],[商品
代碼]],'銀行-TSS'!B:AG,32,FALSE),"")</f>
        <v>固定</v>
      </c>
      <c r="W233" s="1756" t="str">
        <f ca="1">IFERROR(IFERROR(VLOOKUP(表格1[[#This Row],[商品
代碼]],'3_是否下架'!A:B,2,FALSE),VLOOKUP(表格1[[#This Row],[商品
代碼]],'銀行-TSS'!B:AK,36,FALSE)),"")</f>
        <v>有</v>
      </c>
      <c r="Y233" s="400"/>
      <c r="Z233" s="400"/>
      <c r="AA233" s="401"/>
    </row>
    <row r="234" spans="2:27" s="399" customFormat="1" ht="24.75" customHeight="1">
      <c r="B234" s="1745" t="s">
        <v>763</v>
      </c>
      <c r="C234" s="1745" t="str">
        <f ca="1">IFERROR(VLOOKUP(表格1[[#This Row],[商品
代碼]],'銀行-TSS'!B:V,21,FALSE),"")</f>
        <v>(NPI)非專投</v>
      </c>
      <c r="D234" s="1746" t="str">
        <f>IFERROR(VLOOKUP(表格1[[#This Row],[商品
代碼]],bond!B:F,5,FALSE),"")</f>
        <v>US20030NCH26</v>
      </c>
      <c r="E234" s="1746" t="str">
        <f ca="1">IFERROR(VLOOKUP(B234,'銀行-TSS'!B:D,3,FALSE),"")</f>
        <v>康卡斯特公司美元配息債券 3.55% 2028/5/1</v>
      </c>
      <c r="F234" s="1745" t="str">
        <f ca="1">IFERROR(VLOOKUP(B234,'銀行-TSS'!B:E,4,FALSE),"")</f>
        <v>A3 / A- / A-</v>
      </c>
      <c r="G234" s="1747">
        <f ca="1">IFERROR(VLOOKUP(B234,'銀行-TSS'!B:G,6,FALSE),"")</f>
        <v>3.83</v>
      </c>
      <c r="H234" s="1748">
        <f ca="1">IFERROR(VLOOKUP(B234,'銀行-TSS'!B:H,7,FALSE),"")</f>
        <v>3.5499999999999997E-2</v>
      </c>
      <c r="I234" s="1745" t="str">
        <f ca="1">IFERROR(IF(表格1[[#This Row],[配息頻率]]=0,"",CHOOSE(表格1[[#This Row],[配息頻率]],MONTH(J234),IF(MONTH(J234)&lt;=6,CONCATENATE(MONTH(J234)," / ",MONTH(J234)+6),CONCATENATE(MONTH(J234)-6," / ",MONTH(J234))),0,"2 / 4 / 8 / 11")),"")</f>
        <v>5 / 11</v>
      </c>
      <c r="J234" s="1749" t="str">
        <f ca="1">IFERROR(VLOOKUP(B234,'銀行-TSS'!B:P,15,FALSE),"")</f>
        <v>2024/11/1</v>
      </c>
      <c r="K234" s="1750">
        <f ca="1">IFERROR(VLOOKUP(表格1[[#This Row],[商品
代碼]],'銀行-TSS'!B:I,8,FALSE),"")</f>
        <v>2</v>
      </c>
      <c r="L234" s="1747">
        <f ca="1">IFERROR(VLOOKUP(B234,'銀行-TSS'!B:K,10,FALSE),"")</f>
        <v>97.53</v>
      </c>
      <c r="M234" s="1745" t="str">
        <f ca="1">IF(表格1[[#This Row],[含息申購
參考價]]&gt;100,"溢價",IF(表格1[[#This Row],[含息申購
參考價]]&lt;100,"折價","平價"))</f>
        <v>折價</v>
      </c>
      <c r="N234" s="1751">
        <f ca="1">IFERROR(VLOOKUP(B234,'銀行-TSS'!B:M,12,FALSE),"")</f>
        <v>4.4299999999999999E-2</v>
      </c>
      <c r="O234" s="1752">
        <f ca="1">IFERROR(VLOOKUP(表格1[[#This Row],[商品
代碼]],'銀行-TSS'!B:AJ,35,FALSE),"")</f>
        <v>0</v>
      </c>
      <c r="P234" s="1753">
        <f ca="1">IFERROR(VLOOKUP(表格1[[#This Row],[商品
代碼]],'銀行-TSS'!B:AE,30,FALSE),"")</f>
        <v>4.4900000000000002E-2</v>
      </c>
      <c r="Q234" s="1749" t="str">
        <f ca="1">IFERROR(IF(VLOOKUP(表格1[[#This Row],[商品
代碼]],'銀行-TSS'!B:AM,38,FALSE)="#N/A Field Not Applicable","",VLOOKUP(表格1[[#This Row],[商品
代碼]],'銀行-TSS'!B:AM,38,FALSE)),"")</f>
        <v>2028/2/1</v>
      </c>
      <c r="R234" s="1749" t="str">
        <f ca="1">IFERROR(VLOOKUP(表格1[[#This Row],[商品
代碼]],'銀行-TSS'!B:AH,33,FALSE),"")</f>
        <v>美元(USD)</v>
      </c>
      <c r="S234" s="1754">
        <f ca="1">IFERROR(VLOOKUP(B234,'銀行-TSS'!B:N,13,FALSE),"")</f>
        <v>10000</v>
      </c>
      <c r="T234" s="1754" t="str">
        <f ca="1">VLOOKUP(表格1[[#This Row],[商品
代碼]],'銀行-TSS'!B:AI,34,FALSE)</f>
        <v>自由選清單</v>
      </c>
      <c r="U234" s="1755" t="str">
        <f ca="1">IFERROR(VLOOKUP(B234,'銀行-TSS'!B:Q,16,FALSE),"")</f>
        <v>通訊</v>
      </c>
      <c r="V234" s="1755" t="str">
        <f ca="1">IFERROR(VLOOKUP(表格1[[#This Row],[商品
代碼]],'銀行-TSS'!B:AG,32,FALSE),"")</f>
        <v>固定</v>
      </c>
      <c r="W234" s="1756" t="str">
        <f ca="1">IFERROR(IFERROR(VLOOKUP(表格1[[#This Row],[商品
代碼]],'3_是否下架'!A:B,2,FALSE),VLOOKUP(表格1[[#This Row],[商品
代碼]],'銀行-TSS'!B:AK,36,FALSE)),"")</f>
        <v>有</v>
      </c>
      <c r="Y234" s="400"/>
      <c r="Z234" s="400"/>
      <c r="AA234" s="401"/>
    </row>
    <row r="235" spans="2:27" s="399" customFormat="1" ht="24.75" customHeight="1">
      <c r="B235" s="1745" t="s">
        <v>1157</v>
      </c>
      <c r="C235" s="1745" t="str">
        <f ca="1">IFERROR(VLOOKUP(表格1[[#This Row],[商品
代碼]],'銀行-TSS'!B:V,21,FALSE),"")</f>
        <v>(PI)專投</v>
      </c>
      <c r="D235" s="1746" t="str">
        <f>IFERROR(VLOOKUP(表格1[[#This Row],[商品
代碼]],bond!B:F,5,FALSE),"")</f>
        <v>USP7088CAC03</v>
      </c>
      <c r="E235" s="1746" t="str">
        <f ca="1">IFERROR(VLOOKUP(B235,'銀行-TSS'!B:D,3,FALSE),"")</f>
        <v>大自然化妝品公司美元配息債券 4.125% 2028/5/3</v>
      </c>
      <c r="F235" s="1745" t="str">
        <f ca="1">IFERROR(VLOOKUP(B235,'銀行-TSS'!B:E,4,FALSE),"")</f>
        <v>Ba2 / BB / BB+</v>
      </c>
      <c r="G235" s="1747">
        <f ca="1">IFERROR(VLOOKUP(B235,'銀行-TSS'!B:G,6,FALSE),"")</f>
        <v>3.84</v>
      </c>
      <c r="H235" s="1748">
        <f ca="1">IFERROR(VLOOKUP(B235,'銀行-TSS'!B:H,7,FALSE),"")</f>
        <v>4.1250000000000002E-2</v>
      </c>
      <c r="I235" s="1745" t="str">
        <f ca="1">IFERROR(IF(表格1[[#This Row],[配息頻率]]=0,"",CHOOSE(表格1[[#This Row],[配息頻率]],MONTH(J235),IF(MONTH(J235)&lt;=6,CONCATENATE(MONTH(J235)," / ",MONTH(J235)+6),CONCATENATE(MONTH(J235)-6," / ",MONTH(J235))),0,"2 / 4 / 8 / 11")),"")</f>
        <v>5 / 11</v>
      </c>
      <c r="J235" s="1749" t="str">
        <f ca="1">IFERROR(VLOOKUP(B235,'銀行-TSS'!B:P,15,FALSE),"")</f>
        <v>2024/11/3</v>
      </c>
      <c r="K235" s="1750">
        <f ca="1">IFERROR(VLOOKUP(表格1[[#This Row],[商品
代碼]],'銀行-TSS'!B:I,8,FALSE),"")</f>
        <v>2</v>
      </c>
      <c r="L235" s="1747">
        <f ca="1">IFERROR(VLOOKUP(B235,'銀行-TSS'!B:K,10,FALSE),"")</f>
        <v>94.86</v>
      </c>
      <c r="M235" s="1745" t="str">
        <f ca="1">IF(表格1[[#This Row],[含息申購
參考價]]&gt;100,"溢價",IF(表格1[[#This Row],[含息申購
參考價]]&lt;100,"折價","平價"))</f>
        <v>折價</v>
      </c>
      <c r="N235" s="1751">
        <f ca="1">IFERROR(VLOOKUP(B235,'銀行-TSS'!B:M,12,FALSE),"")</f>
        <v>5.8400000000000001E-2</v>
      </c>
      <c r="O235" s="1752">
        <f ca="1">IFERROR(VLOOKUP(表格1[[#This Row],[商品
代碼]],'銀行-TSS'!B:AJ,35,FALSE),"")</f>
        <v>0</v>
      </c>
      <c r="P235" s="1753">
        <f ca="1">IFERROR(VLOOKUP(表格1[[#This Row],[商品
代碼]],'銀行-TSS'!B:AE,30,FALSE),"")</f>
        <v>5.91E-2</v>
      </c>
      <c r="Q235" s="1749" t="str">
        <f ca="1">IFERROR(IF(VLOOKUP(表格1[[#This Row],[商品
代碼]],'銀行-TSS'!B:AM,38,FALSE)="#N/A Field Not Applicable","",VLOOKUP(表格1[[#This Row],[商品
代碼]],'銀行-TSS'!B:AM,38,FALSE)),"")</f>
        <v>2028/3/3</v>
      </c>
      <c r="R235" s="1749" t="str">
        <f ca="1">IFERROR(VLOOKUP(表格1[[#This Row],[商品
代碼]],'銀行-TSS'!B:AH,33,FALSE),"")</f>
        <v>美元(USD)</v>
      </c>
      <c r="S235" s="1754">
        <f ca="1">IFERROR(VLOOKUP(B235,'銀行-TSS'!B:N,13,FALSE),"")</f>
        <v>200000</v>
      </c>
      <c r="T235" s="1754" t="str">
        <f ca="1">VLOOKUP(表格1[[#This Row],[商品
代碼]],'銀行-TSS'!B:AI,34,FALSE)</f>
        <v>自由選清單</v>
      </c>
      <c r="U235" s="1755" t="str">
        <f ca="1">IFERROR(VLOOKUP(B235,'銀行-TSS'!B:Q,16,FALSE),"")</f>
        <v>核心消費</v>
      </c>
      <c r="V235" s="1755" t="str">
        <f ca="1">IFERROR(VLOOKUP(表格1[[#This Row],[商品
代碼]],'銀行-TSS'!B:AG,32,FALSE),"")</f>
        <v>固定</v>
      </c>
      <c r="W235" s="1756" t="str">
        <f ca="1">IFERROR(IFERROR(VLOOKUP(表格1[[#This Row],[商品
代碼]],'3_是否下架'!A:B,2,FALSE),VLOOKUP(表格1[[#This Row],[商品
代碼]],'銀行-TSS'!B:AK,36,FALSE)),"")</f>
        <v>有</v>
      </c>
      <c r="Y235" s="400"/>
      <c r="Z235" s="400"/>
      <c r="AA235" s="401"/>
    </row>
    <row r="236" spans="2:27" s="399" customFormat="1" ht="24.75" customHeight="1">
      <c r="B236" s="1745" t="s">
        <v>750</v>
      </c>
      <c r="C236" s="1745" t="str">
        <f ca="1">IFERROR(VLOOKUP(表格1[[#This Row],[商品
代碼]],'銀行-TSS'!B:V,21,FALSE),"")</f>
        <v>(PI)專投</v>
      </c>
      <c r="D236" s="1746" t="str">
        <f>IFERROR(VLOOKUP(表格1[[#This Row],[商品
代碼]],bond!B:F,5,FALSE),"")</f>
        <v>XS1793255198</v>
      </c>
      <c r="E236" s="1746" t="str">
        <f ca="1">IFERROR(VLOOKUP(B236,'銀行-TSS'!B:D,3,FALSE),"")</f>
        <v>軟體銀行公司美元配息債券 6.25% 2028/4/15</v>
      </c>
      <c r="F236" s="1745" t="str">
        <f ca="1">IFERROR(VLOOKUP(B236,'銀行-TSS'!B:E,4,FALSE),"")</f>
        <v>Ba3u / BB+ / -</v>
      </c>
      <c r="G236" s="1747">
        <f ca="1">IFERROR(VLOOKUP(B236,'銀行-TSS'!B:G,6,FALSE),"")</f>
        <v>3.78</v>
      </c>
      <c r="H236" s="1748">
        <f ca="1">IFERROR(VLOOKUP(B236,'銀行-TSS'!B:H,7,FALSE),"")</f>
        <v>6.25E-2</v>
      </c>
      <c r="I236" s="1745" t="str">
        <f ca="1">IFERROR(IF(表格1[[#This Row],[配息頻率]]=0,"",CHOOSE(表格1[[#This Row],[配息頻率]],MONTH(J236),IF(MONTH(J236)&lt;=6,CONCATENATE(MONTH(J236)," / ",MONTH(J236)+6),CONCATENATE(MONTH(J236)-6," / ",MONTH(J236))),0,"2 / 4 / 8 / 11")),"")</f>
        <v>4 / 10</v>
      </c>
      <c r="J236" s="1749" t="str">
        <f ca="1">IFERROR(VLOOKUP(B236,'銀行-TSS'!B:P,15,FALSE),"")</f>
        <v>2024/10/15</v>
      </c>
      <c r="K236" s="1750">
        <f ca="1">IFERROR(VLOOKUP(表格1[[#This Row],[商品
代碼]],'銀行-TSS'!B:I,8,FALSE),"")</f>
        <v>2</v>
      </c>
      <c r="L236" s="1747">
        <f ca="1">IFERROR(VLOOKUP(B236,'銀行-TSS'!B:K,10,FALSE),"")</f>
        <v>102.32</v>
      </c>
      <c r="M236" s="1745" t="str">
        <f ca="1">IF(表格1[[#This Row],[含息申購
參考價]]&gt;100,"溢價",IF(表格1[[#This Row],[含息申購
參考價]]&lt;100,"折價","平價"))</f>
        <v>溢價</v>
      </c>
      <c r="N236" s="1751">
        <f ca="1">IFERROR(VLOOKUP(B236,'銀行-TSS'!B:M,12,FALSE),"")</f>
        <v>5.96E-2</v>
      </c>
      <c r="O236" s="1752">
        <f ca="1">IFERROR(VLOOKUP(表格1[[#This Row],[商品
代碼]],'銀行-TSS'!B:AJ,35,FALSE),"")</f>
        <v>0</v>
      </c>
      <c r="P236" s="1753">
        <f ca="1">IFERROR(VLOOKUP(表格1[[#This Row],[商品
代碼]],'銀行-TSS'!B:AE,30,FALSE),"")</f>
        <v>5.9400000000000001E-2</v>
      </c>
      <c r="Q236" s="1749" t="str">
        <f ca="1">IFERROR(IF(VLOOKUP(表格1[[#This Row],[商品
代碼]],'銀行-TSS'!B:AM,38,FALSE)="#N/A Field Not Applicable","",VLOOKUP(表格1[[#This Row],[商品
代碼]],'銀行-TSS'!B:AM,38,FALSE)),"")</f>
        <v>2028/1/16</v>
      </c>
      <c r="R236" s="1749" t="str">
        <f ca="1">IFERROR(VLOOKUP(表格1[[#This Row],[商品
代碼]],'銀行-TSS'!B:AH,33,FALSE),"")</f>
        <v>美元(USD)</v>
      </c>
      <c r="S236" s="1754">
        <f ca="1">IFERROR(VLOOKUP(B236,'銀行-TSS'!B:N,13,FALSE),"")</f>
        <v>200000</v>
      </c>
      <c r="T236" s="1754" t="str">
        <f ca="1">VLOOKUP(表格1[[#This Row],[商品
代碼]],'銀行-TSS'!B:AI,34,FALSE)</f>
        <v>自由選清單</v>
      </c>
      <c r="U236" s="1755" t="str">
        <f ca="1">IFERROR(VLOOKUP(B236,'銀行-TSS'!B:Q,16,FALSE),"")</f>
        <v>通訊</v>
      </c>
      <c r="V236" s="1755" t="str">
        <f ca="1">IFERROR(VLOOKUP(表格1[[#This Row],[商品
代碼]],'銀行-TSS'!B:AG,32,FALSE),"")</f>
        <v>固定</v>
      </c>
      <c r="W236" s="1756" t="str">
        <f ca="1">IFERROR(IFERROR(VLOOKUP(表格1[[#This Row],[商品
代碼]],'3_是否下架'!A:B,2,FALSE),VLOOKUP(表格1[[#This Row],[商品
代碼]],'銀行-TSS'!B:AK,36,FALSE)),"")</f>
        <v>無</v>
      </c>
      <c r="Y236" s="400"/>
      <c r="Z236" s="400"/>
      <c r="AA236" s="401"/>
    </row>
    <row r="237" spans="2:27" s="399" customFormat="1" ht="24.75" customHeight="1">
      <c r="B237" s="1745" t="s">
        <v>785</v>
      </c>
      <c r="C237" s="1745" t="str">
        <f ca="1">IFERROR(VLOOKUP(表格1[[#This Row],[商品
代碼]],'銀行-TSS'!B:V,21,FALSE),"")</f>
        <v>(PI)專投</v>
      </c>
      <c r="D237" s="1746" t="str">
        <f>IFERROR(VLOOKUP(表格1[[#This Row],[商品
代碼]],bond!B:F,5,FALSE),"")</f>
        <v>US035240AL43</v>
      </c>
      <c r="E237" s="1746" t="str">
        <f ca="1">IFERROR(VLOOKUP(B237,'銀行-TSS'!B:D,3,FALSE),"")</f>
        <v>安海斯-布希英博全球公司美元配息 4% 2028/4/13</v>
      </c>
      <c r="F237" s="1745" t="str">
        <f ca="1">IFERROR(VLOOKUP(B237,'銀行-TSS'!B:E,4,FALSE),"")</f>
        <v>A3 / A- / WD</v>
      </c>
      <c r="G237" s="1747">
        <f ca="1">IFERROR(VLOOKUP(B237,'銀行-TSS'!B:G,6,FALSE),"")</f>
        <v>3.78</v>
      </c>
      <c r="H237" s="1748">
        <f ca="1">IFERROR(VLOOKUP(B237,'銀行-TSS'!B:H,7,FALSE),"")</f>
        <v>0.04</v>
      </c>
      <c r="I237" s="1745" t="str">
        <f ca="1">IFERROR(IF(表格1[[#This Row],[配息頻率]]=0,"",CHOOSE(表格1[[#This Row],[配息頻率]],MONTH(J237),IF(MONTH(J237)&lt;=6,CONCATENATE(MONTH(J237)," / ",MONTH(J237)+6),CONCATENATE(MONTH(J237)-6," / ",MONTH(J237))),0,"2 / 4 / 8 / 11")),"")</f>
        <v>4 / 10</v>
      </c>
      <c r="J237" s="1749" t="str">
        <f ca="1">IFERROR(VLOOKUP(B237,'銀行-TSS'!B:P,15,FALSE),"")</f>
        <v>2024/10/13</v>
      </c>
      <c r="K237" s="1750">
        <f ca="1">IFERROR(VLOOKUP(表格1[[#This Row],[商品
代碼]],'銀行-TSS'!B:I,8,FALSE),"")</f>
        <v>2</v>
      </c>
      <c r="L237" s="1747">
        <f ca="1">IFERROR(VLOOKUP(B237,'銀行-TSS'!B:K,10,FALSE),"")</f>
        <v>100.13</v>
      </c>
      <c r="M237" s="1745" t="str">
        <f ca="1">IF(表格1[[#This Row],[含息申購
參考價]]&gt;100,"溢價",IF(表格1[[#This Row],[含息申購
參考價]]&lt;100,"折價","平價"))</f>
        <v>溢價</v>
      </c>
      <c r="N237" s="1751">
        <f ca="1">IFERROR(VLOOKUP(B237,'銀行-TSS'!B:M,12,FALSE),"")</f>
        <v>4.2200000000000001E-2</v>
      </c>
      <c r="O237" s="1752">
        <f ca="1">IFERROR(VLOOKUP(表格1[[#This Row],[商品
代碼]],'銀行-TSS'!B:AJ,35,FALSE),"")</f>
        <v>0</v>
      </c>
      <c r="P237" s="1753">
        <f ca="1">IFERROR(VLOOKUP(表格1[[#This Row],[商品
代碼]],'銀行-TSS'!B:AE,30,FALSE),"")</f>
        <v>4.2299999999999997E-2</v>
      </c>
      <c r="Q237" s="1749" t="str">
        <f ca="1">IFERROR(IF(VLOOKUP(表格1[[#This Row],[商品
代碼]],'銀行-TSS'!B:AM,38,FALSE)="#N/A Field Not Applicable","",VLOOKUP(表格1[[#This Row],[商品
代碼]],'銀行-TSS'!B:AM,38,FALSE)),"")</f>
        <v>2028/1/13</v>
      </c>
      <c r="R237" s="1749" t="str">
        <f ca="1">IFERROR(VLOOKUP(表格1[[#This Row],[商品
代碼]],'銀行-TSS'!B:AH,33,FALSE),"")</f>
        <v>美元(USD)</v>
      </c>
      <c r="S237" s="1754">
        <f ca="1">IFERROR(VLOOKUP(B237,'銀行-TSS'!B:N,13,FALSE),"")</f>
        <v>10000</v>
      </c>
      <c r="T237" s="1754" t="str">
        <f ca="1">VLOOKUP(表格1[[#This Row],[商品
代碼]],'銀行-TSS'!B:AI,34,FALSE)</f>
        <v>自由選清單</v>
      </c>
      <c r="U237" s="1755" t="str">
        <f ca="1">IFERROR(VLOOKUP(B237,'銀行-TSS'!B:Q,16,FALSE),"")</f>
        <v>核心消費</v>
      </c>
      <c r="V237" s="1755" t="str">
        <f ca="1">IFERROR(VLOOKUP(表格1[[#This Row],[商品
代碼]],'銀行-TSS'!B:AG,32,FALSE),"")</f>
        <v>固定</v>
      </c>
      <c r="W237" s="1756" t="str">
        <f ca="1">IFERROR(IFERROR(VLOOKUP(表格1[[#This Row],[商品
代碼]],'3_是否下架'!A:B,2,FALSE),VLOOKUP(表格1[[#This Row],[商品
代碼]],'銀行-TSS'!B:AK,36,FALSE)),"")</f>
        <v>有</v>
      </c>
      <c r="Y237" s="400"/>
      <c r="Z237" s="400"/>
      <c r="AA237" s="401"/>
    </row>
    <row r="238" spans="2:27" s="399" customFormat="1" ht="24.75" customHeight="1">
      <c r="B238" s="1745" t="s">
        <v>1116</v>
      </c>
      <c r="C238" s="1745" t="str">
        <f ca="1">IFERROR(VLOOKUP(表格1[[#This Row],[商品
代碼]],'銀行-TSS'!B:V,21,FALSE),"")</f>
        <v>高資產</v>
      </c>
      <c r="D238" s="1746" t="str">
        <f>IFERROR(VLOOKUP(表格1[[#This Row],[商品
代碼]],bond!B:F,5,FALSE),"")</f>
        <v>USV7780TAE39</v>
      </c>
      <c r="E238" s="1746" t="str">
        <f ca="1">IFERROR(VLOOKUP(B238,'銀行-TSS'!B:D,3,FALSE),"")</f>
        <v>皇家加勒比國際郵輪美元配息債券  5.5% 2028/4/1</v>
      </c>
      <c r="F238" s="1745" t="str">
        <f ca="1">IFERROR(VLOOKUP(B238,'銀行-TSS'!B:E,4,FALSE),"")</f>
        <v>Ba2 / BB+ / -</v>
      </c>
      <c r="G238" s="1747">
        <f ca="1">IFERROR(VLOOKUP(B238,'銀行-TSS'!B:G,6,FALSE),"")</f>
        <v>3.75</v>
      </c>
      <c r="H238" s="1748">
        <f ca="1">IFERROR(VLOOKUP(B238,'銀行-TSS'!B:H,7,FALSE),"")</f>
        <v>5.5E-2</v>
      </c>
      <c r="I238" s="1745" t="str">
        <f ca="1">IFERROR(IF(表格1[[#This Row],[配息頻率]]=0,"",CHOOSE(表格1[[#This Row],[配息頻率]],MONTH(J238),IF(MONTH(J238)&lt;=6,CONCATENATE(MONTH(J238)," / ",MONTH(J238)+6),CONCATENATE(MONTH(J238)-6," / ",MONTH(J238))),0,"2 / 4 / 8 / 11")),"")</f>
        <v>4 / 10</v>
      </c>
      <c r="J238" s="1749" t="str">
        <f ca="1">IFERROR(VLOOKUP(B238,'銀行-TSS'!B:P,15,FALSE),"")</f>
        <v>2024/10/1</v>
      </c>
      <c r="K238" s="1750">
        <f ca="1">IFERROR(VLOOKUP(表格1[[#This Row],[商品
代碼]],'銀行-TSS'!B:I,8,FALSE),"")</f>
        <v>2</v>
      </c>
      <c r="L238" s="1747">
        <f ca="1">IFERROR(VLOOKUP(B238,'銀行-TSS'!B:K,10,FALSE),"")</f>
        <v>102.57</v>
      </c>
      <c r="M238" s="1745" t="str">
        <f ca="1">IF(表格1[[#This Row],[含息申購
參考價]]&gt;100,"溢價",IF(表格1[[#This Row],[含息申購
參考價]]&lt;100,"折價","平價"))</f>
        <v>溢價</v>
      </c>
      <c r="N238" s="1751">
        <f ca="1">IFERROR(VLOOKUP(B238,'銀行-TSS'!B:M,12,FALSE),"")</f>
        <v>5.1499999999999997E-2</v>
      </c>
      <c r="O238" s="1752">
        <f ca="1">IFERROR(VLOOKUP(表格1[[#This Row],[商品
代碼]],'銀行-TSS'!B:AJ,35,FALSE),"")</f>
        <v>0</v>
      </c>
      <c r="P238" s="1753">
        <f ca="1">IFERROR(VLOOKUP(表格1[[#This Row],[商品
代碼]],'銀行-TSS'!B:AE,30,FALSE),"")</f>
        <v>5.0999999999999997E-2</v>
      </c>
      <c r="Q238" s="1749" t="str">
        <f ca="1">IFERROR(IF(VLOOKUP(表格1[[#This Row],[商品
代碼]],'銀行-TSS'!B:AM,38,FALSE)="#N/A Field Not Applicable","",VLOOKUP(表格1[[#This Row],[商品
代碼]],'銀行-TSS'!B:AM,38,FALSE)),"")</f>
        <v>2027/10/1</v>
      </c>
      <c r="R238" s="1749" t="str">
        <f ca="1">IFERROR(VLOOKUP(表格1[[#This Row],[商品
代碼]],'銀行-TSS'!B:AH,33,FALSE),"")</f>
        <v>美元(USD)</v>
      </c>
      <c r="S238" s="1754">
        <f ca="1">IFERROR(VLOOKUP(B238,'銀行-TSS'!B:N,13,FALSE),"")</f>
        <v>10000</v>
      </c>
      <c r="T238" s="1754" t="str">
        <f ca="1">VLOOKUP(表格1[[#This Row],[商品
代碼]],'銀行-TSS'!B:AI,34,FALSE)</f>
        <v>自由選清單</v>
      </c>
      <c r="U238" s="1755" t="str">
        <f ca="1">IFERROR(VLOOKUP(B238,'銀行-TSS'!B:Q,16,FALSE),"")</f>
        <v>非核心消費</v>
      </c>
      <c r="V238" s="1755" t="str">
        <f ca="1">IFERROR(VLOOKUP(表格1[[#This Row],[商品
代碼]],'銀行-TSS'!B:AG,32,FALSE),"")</f>
        <v>固定</v>
      </c>
      <c r="W238" s="1756" t="str">
        <f ca="1">IFERROR(IFERROR(VLOOKUP(表格1[[#This Row],[商品
代碼]],'3_是否下架'!A:B,2,FALSE),VLOOKUP(表格1[[#This Row],[商品
代碼]],'銀行-TSS'!B:AK,36,FALSE)),"")</f>
        <v>有</v>
      </c>
      <c r="Y238" s="400"/>
      <c r="Z238" s="400"/>
      <c r="AA238" s="401"/>
    </row>
    <row r="239" spans="2:27" s="399" customFormat="1" ht="24.75" customHeight="1">
      <c r="B239" s="1745" t="s">
        <v>830</v>
      </c>
      <c r="C239" s="1745" t="str">
        <f ca="1">IFERROR(VLOOKUP(表格1[[#This Row],[商品
代碼]],'銀行-TSS'!B:V,21,FALSE),"")</f>
        <v>高資產</v>
      </c>
      <c r="D239" s="1746" t="str">
        <f>IFERROR(VLOOKUP(表格1[[#This Row],[商品
代碼]],bond!B:F,5,FALSE),"")</f>
        <v>XS1568888777</v>
      </c>
      <c r="E239" s="1746" t="str">
        <f ca="1">IFERROR(VLOOKUP(B239,'銀行-TSS'!B:D,3,FALSE),"")</f>
        <v>墨西哥石油公司歐元配息債券 4.875% 2028/2/21</v>
      </c>
      <c r="F239" s="1745" t="str">
        <f ca="1">IFERROR(VLOOKUP(B239,'銀行-TSS'!B:E,4,FALSE),"")</f>
        <v>B3 / BBB / B+u</v>
      </c>
      <c r="G239" s="1747">
        <f ca="1">IFERROR(VLOOKUP(B239,'銀行-TSS'!B:G,6,FALSE),"")</f>
        <v>3.64</v>
      </c>
      <c r="H239" s="1748">
        <f ca="1">IFERROR(VLOOKUP(B239,'銀行-TSS'!B:H,7,FALSE),"")</f>
        <v>4.8750000000000002E-2</v>
      </c>
      <c r="I239" s="1745">
        <f ca="1">IFERROR(IF(表格1[[#This Row],[配息頻率]]=0,"",CHOOSE(表格1[[#This Row],[配息頻率]],MONTH(J239),IF(MONTH(J239)&lt;=6,CONCATENATE(MONTH(J239)," / ",MONTH(J239)+6),CONCATENATE(MONTH(J239)-6," / ",MONTH(J239))),0,"2 / 4 / 8 / 11")),"")</f>
        <v>2</v>
      </c>
      <c r="J239" s="1749" t="str">
        <f ca="1">IFERROR(VLOOKUP(B239,'銀行-TSS'!B:P,15,FALSE),"")</f>
        <v>2025/2/21</v>
      </c>
      <c r="K239" s="1750">
        <f ca="1">IFERROR(VLOOKUP(表格1[[#This Row],[商品
代碼]],'銀行-TSS'!B:I,8,FALSE),"")</f>
        <v>1</v>
      </c>
      <c r="L239" s="1747">
        <f ca="1">IFERROR(VLOOKUP(B239,'銀行-TSS'!B:K,10,FALSE),"")</f>
        <v>95.71</v>
      </c>
      <c r="M239" s="1745" t="str">
        <f ca="1">IF(表格1[[#This Row],[含息申購
參考價]]&gt;100,"溢價",IF(表格1[[#This Row],[含息申購
參考價]]&lt;100,"折價","平價"))</f>
        <v>折價</v>
      </c>
      <c r="N239" s="1751">
        <f ca="1">IFERROR(VLOOKUP(B239,'銀行-TSS'!B:M,12,FALSE),"")</f>
        <v>6.8000000000000005E-2</v>
      </c>
      <c r="O239" s="1752">
        <f ca="1">IFERROR(VLOOKUP(表格1[[#This Row],[商品
代碼]],'銀行-TSS'!B:AJ,35,FALSE),"")</f>
        <v>1</v>
      </c>
      <c r="P239" s="1753" t="str">
        <f ca="1">IFERROR(VLOOKUP(表格1[[#This Row],[商品
代碼]],'銀行-TSS'!B:AE,30,FALSE),"")</f>
        <v xml:space="preserve"> </v>
      </c>
      <c r="Q239" s="1749" t="str">
        <f ca="1">IFERROR(IF(VLOOKUP(表格1[[#This Row],[商品
代碼]],'銀行-TSS'!B:AM,38,FALSE)="#N/A Field Not Applicable","",VLOOKUP(表格1[[#This Row],[商品
代碼]],'銀行-TSS'!B:AM,38,FALSE)),"")</f>
        <v/>
      </c>
      <c r="R239" s="1749" t="str">
        <f ca="1">IFERROR(VLOOKUP(表格1[[#This Row],[商品
代碼]],'銀行-TSS'!B:AH,33,FALSE),"")</f>
        <v>歐元(EUR)</v>
      </c>
      <c r="S239" s="1754">
        <f ca="1">IFERROR(VLOOKUP(B239,'銀行-TSS'!B:N,13,FALSE),"")</f>
        <v>100000</v>
      </c>
      <c r="T239" s="1754" t="str">
        <f ca="1">VLOOKUP(表格1[[#This Row],[商品
代碼]],'銀行-TSS'!B:AI,34,FALSE)</f>
        <v/>
      </c>
      <c r="U239" s="1755" t="str">
        <f ca="1">IFERROR(VLOOKUP(B239,'銀行-TSS'!B:Q,16,FALSE),"")</f>
        <v>能源</v>
      </c>
      <c r="V239" s="1755" t="str">
        <f ca="1">IFERROR(VLOOKUP(表格1[[#This Row],[商品
代碼]],'銀行-TSS'!B:AG,32,FALSE),"")</f>
        <v>固定</v>
      </c>
      <c r="W239" s="1756" t="str">
        <f ca="1">IFERROR(IFERROR(VLOOKUP(表格1[[#This Row],[商品
代碼]],'3_是否下架'!A:B,2,FALSE),VLOOKUP(表格1[[#This Row],[商品
代碼]],'銀行-TSS'!B:AK,36,FALSE)),"")</f>
        <v>有</v>
      </c>
      <c r="Y239" s="400"/>
      <c r="Z239" s="400"/>
      <c r="AA239" s="401"/>
    </row>
    <row r="240" spans="2:27" s="399" customFormat="1" ht="24.75" customHeight="1">
      <c r="B240" s="1745" t="s">
        <v>894</v>
      </c>
      <c r="C240" s="1745" t="str">
        <f ca="1">IFERROR(VLOOKUP(表格1[[#This Row],[商品
代碼]],'銀行-TSS'!B:V,21,FALSE),"")</f>
        <v>(PI)專投</v>
      </c>
      <c r="D240" s="1746" t="str">
        <f>IFERROR(VLOOKUP(表格1[[#This Row],[商品
代碼]],bond!B:F,5,FALSE),"")</f>
        <v>US30212PAP09</v>
      </c>
      <c r="E240" s="1746" t="str">
        <f ca="1">IFERROR(VLOOKUP(B240,'銀行-TSS'!B:D,3,FALSE),"")</f>
        <v>智遊網集團公司美元配息債券 3.8% 2028/2/15</v>
      </c>
      <c r="F240" s="1745" t="str">
        <f ca="1">IFERROR(VLOOKUP(B240,'銀行-TSS'!B:E,4,FALSE),"")</f>
        <v>Baa2 / BBB / BBB-</v>
      </c>
      <c r="G240" s="1747">
        <f ca="1">IFERROR(VLOOKUP(B240,'銀行-TSS'!B:G,6,FALSE),"")</f>
        <v>3.62</v>
      </c>
      <c r="H240" s="1748">
        <f ca="1">IFERROR(VLOOKUP(B240,'銀行-TSS'!B:H,7,FALSE),"")</f>
        <v>3.7999999999999999E-2</v>
      </c>
      <c r="I240" s="1745" t="str">
        <f ca="1">IFERROR(IF(表格1[[#This Row],[配息頻率]]=0,"",CHOOSE(表格1[[#This Row],[配息頻率]],MONTH(J240),IF(MONTH(J240)&lt;=6,CONCATENATE(MONTH(J240)," / ",MONTH(J240)+6),CONCATENATE(MONTH(J240)-6," / ",MONTH(J240))),0,"2 / 4 / 8 / 11")),"")</f>
        <v>2 / 8</v>
      </c>
      <c r="J240" s="1749" t="str">
        <f ca="1">IFERROR(VLOOKUP(B240,'銀行-TSS'!B:P,15,FALSE),"")</f>
        <v>2024/8/15</v>
      </c>
      <c r="K240" s="1750">
        <f ca="1">IFERROR(VLOOKUP(表格1[[#This Row],[商品
代碼]],'銀行-TSS'!B:I,8,FALSE),"")</f>
        <v>2</v>
      </c>
      <c r="L240" s="1747">
        <f ca="1">IFERROR(VLOOKUP(B240,'銀行-TSS'!B:K,10,FALSE),"")</f>
        <v>99.13</v>
      </c>
      <c r="M240" s="1745" t="str">
        <f ca="1">IF(表格1[[#This Row],[含息申購
參考價]]&gt;100,"溢價",IF(表格1[[#This Row],[含息申購
參考價]]&lt;100,"折價","平價"))</f>
        <v>折價</v>
      </c>
      <c r="N240" s="1751">
        <f ca="1">IFERROR(VLOOKUP(B240,'銀行-TSS'!B:M,12,FALSE),"")</f>
        <v>4.4999999999999998E-2</v>
      </c>
      <c r="O240" s="1752">
        <f ca="1">IFERROR(VLOOKUP(表格1[[#This Row],[商品
代碼]],'銀行-TSS'!B:AJ,35,FALSE),"")</f>
        <v>0</v>
      </c>
      <c r="P240" s="1753">
        <f ca="1">IFERROR(VLOOKUP(表格1[[#This Row],[商品
代碼]],'銀行-TSS'!B:AE,30,FALSE),"")</f>
        <v>4.5499999999999999E-2</v>
      </c>
      <c r="Q240" s="1749" t="str">
        <f ca="1">IFERROR(IF(VLOOKUP(表格1[[#This Row],[商品
代碼]],'銀行-TSS'!B:AM,38,FALSE)="#N/A Field Not Applicable","",VLOOKUP(表格1[[#This Row],[商品
代碼]],'銀行-TSS'!B:AM,38,FALSE)),"")</f>
        <v>2027/11/15</v>
      </c>
      <c r="R240" s="1749" t="str">
        <f ca="1">IFERROR(VLOOKUP(表格1[[#This Row],[商品
代碼]],'銀行-TSS'!B:AH,33,FALSE),"")</f>
        <v>美元(USD)</v>
      </c>
      <c r="S240" s="1754">
        <f ca="1">IFERROR(VLOOKUP(B240,'銀行-TSS'!B:N,13,FALSE),"")</f>
        <v>10000</v>
      </c>
      <c r="T240" s="1754" t="str">
        <f ca="1">VLOOKUP(表格1[[#This Row],[商品
代碼]],'銀行-TSS'!B:AI,34,FALSE)</f>
        <v>自由選清單</v>
      </c>
      <c r="U240" s="1755" t="str">
        <f ca="1">IFERROR(VLOOKUP(B240,'銀行-TSS'!B:Q,16,FALSE),"")</f>
        <v>通訊</v>
      </c>
      <c r="V240" s="1755" t="str">
        <f ca="1">IFERROR(VLOOKUP(表格1[[#This Row],[商品
代碼]],'銀行-TSS'!B:AG,32,FALSE),"")</f>
        <v>固定</v>
      </c>
      <c r="W240" s="1756" t="str">
        <f>IFERROR(IFERROR(VLOOKUP(表格1[[#This Row],[商品
代碼]],'3_是否下架'!A:B,2,FALSE),VLOOKUP(表格1[[#This Row],[商品
代碼]],'銀行-TSS'!B:AK,36,FALSE)),"")</f>
        <v>已下架</v>
      </c>
      <c r="Y240" s="400"/>
      <c r="Z240" s="400"/>
      <c r="AA240" s="401"/>
    </row>
    <row r="241" spans="2:27" s="399" customFormat="1" ht="24.75" customHeight="1">
      <c r="B241" s="1745" t="s">
        <v>1192</v>
      </c>
      <c r="C241" s="1745" t="str">
        <f ca="1">IFERROR(VLOOKUP(表格1[[#This Row],[商品
代碼]],'銀行-TSS'!B:V,21,FALSE),"")</f>
        <v>(NPI)非專投</v>
      </c>
      <c r="D241" s="1746" t="str">
        <f>IFERROR(VLOOKUP(表格1[[#This Row],[商品
代碼]],bond!B:F,5,FALSE),"")</f>
        <v>US961214DW04</v>
      </c>
      <c r="E241" s="1746" t="str">
        <f ca="1">IFERROR(VLOOKUP(B241,'銀行-TSS'!B:D,3,FALSE),"")</f>
        <v>西太平洋銀行公司美元配息債券 3.4% 2028/1/25</v>
      </c>
      <c r="F241" s="1745" t="str">
        <f ca="1">IFERROR(VLOOKUP(B241,'銀行-TSS'!B:E,4,FALSE),"")</f>
        <v>Aa2 / AA- / AA-</v>
      </c>
      <c r="G241" s="1747">
        <f ca="1">IFERROR(VLOOKUP(B241,'銀行-TSS'!B:G,6,FALSE),"")</f>
        <v>3.56</v>
      </c>
      <c r="H241" s="1748">
        <f ca="1">IFERROR(VLOOKUP(B241,'銀行-TSS'!B:H,7,FALSE),"")</f>
        <v>3.4000000000000002E-2</v>
      </c>
      <c r="I241" s="1745" t="str">
        <f ca="1">IFERROR(IF(表格1[[#This Row],[配息頻率]]=0,"",CHOOSE(表格1[[#This Row],[配息頻率]],MONTH(J241),IF(MONTH(J241)&lt;=6,CONCATENATE(MONTH(J241)," / ",MONTH(J241)+6),CONCATENATE(MONTH(J241)-6," / ",MONTH(J241))),0,"2 / 4 / 8 / 11")),"")</f>
        <v>1 / 7</v>
      </c>
      <c r="J241" s="1749" t="str">
        <f ca="1">IFERROR(VLOOKUP(B241,'銀行-TSS'!B:P,15,FALSE),"")</f>
        <v>2024/7/25</v>
      </c>
      <c r="K241" s="1750">
        <f ca="1">IFERROR(VLOOKUP(表格1[[#This Row],[商品
代碼]],'銀行-TSS'!B:I,8,FALSE),"")</f>
        <v>2</v>
      </c>
      <c r="L241" s="1747">
        <f ca="1">IFERROR(VLOOKUP(B241,'銀行-TSS'!B:K,10,FALSE),"")</f>
        <v>98.63</v>
      </c>
      <c r="M241" s="1745" t="str">
        <f ca="1">IF(表格1[[#This Row],[含息申購
參考價]]&gt;100,"溢價",IF(表格1[[#This Row],[含息申購
參考價]]&lt;100,"折價","平價"))</f>
        <v>折價</v>
      </c>
      <c r="N241" s="1751">
        <f ca="1">IFERROR(VLOOKUP(B241,'銀行-TSS'!B:M,12,FALSE),"")</f>
        <v>4.2700000000000002E-2</v>
      </c>
      <c r="O241" s="1752">
        <f ca="1">IFERROR(VLOOKUP(表格1[[#This Row],[商品
代碼]],'銀行-TSS'!B:AJ,35,FALSE),"")</f>
        <v>0</v>
      </c>
      <c r="P241" s="1753" t="str">
        <f ca="1">IFERROR(VLOOKUP(表格1[[#This Row],[商品
代碼]],'銀行-TSS'!B:AE,30,FALSE),"")</f>
        <v xml:space="preserve"> </v>
      </c>
      <c r="Q241" s="1749" t="str">
        <f ca="1">IFERROR(IF(VLOOKUP(表格1[[#This Row],[商品
代碼]],'銀行-TSS'!B:AM,38,FALSE)="#N/A Field Not Applicable","",VLOOKUP(表格1[[#This Row],[商品
代碼]],'銀行-TSS'!B:AM,38,FALSE)),"")</f>
        <v/>
      </c>
      <c r="R241" s="1749" t="str">
        <f ca="1">IFERROR(VLOOKUP(表格1[[#This Row],[商品
代碼]],'銀行-TSS'!B:AH,33,FALSE),"")</f>
        <v>美元(USD)</v>
      </c>
      <c r="S241" s="1754">
        <f ca="1">IFERROR(VLOOKUP(B241,'銀行-TSS'!B:N,13,FALSE),"")</f>
        <v>10000</v>
      </c>
      <c r="T241" s="1754" t="str">
        <f ca="1">VLOOKUP(表格1[[#This Row],[商品
代碼]],'銀行-TSS'!B:AI,34,FALSE)</f>
        <v>自由選清單</v>
      </c>
      <c r="U241" s="1755" t="str">
        <f ca="1">IFERROR(VLOOKUP(B241,'銀行-TSS'!B:Q,16,FALSE),"")</f>
        <v>金融</v>
      </c>
      <c r="V241" s="1755" t="str">
        <f ca="1">IFERROR(VLOOKUP(表格1[[#This Row],[商品
代碼]],'銀行-TSS'!B:AG,32,FALSE),"")</f>
        <v>固定</v>
      </c>
      <c r="W241" s="1756" t="str">
        <f ca="1">IFERROR(IFERROR(VLOOKUP(表格1[[#This Row],[商品
代碼]],'3_是否下架'!A:B,2,FALSE),VLOOKUP(表格1[[#This Row],[商品
代碼]],'銀行-TSS'!B:AK,36,FALSE)),"")</f>
        <v>有</v>
      </c>
      <c r="Y241" s="400"/>
      <c r="Z241" s="400"/>
      <c r="AA241" s="401"/>
    </row>
    <row r="242" spans="2:27" s="399" customFormat="1" ht="24.75" customHeight="1">
      <c r="B242" s="1745" t="s">
        <v>794</v>
      </c>
      <c r="C242" s="1745" t="str">
        <f ca="1">IFERROR(VLOOKUP(表格1[[#This Row],[商品
代碼]],'銀行-TSS'!B:V,21,FALSE),"")</f>
        <v>(PI)專投</v>
      </c>
      <c r="D242" s="1746" t="str">
        <f>IFERROR(VLOOKUP(表格1[[#This Row],[商品
代碼]],bond!B:F,5,FALSE),"")</f>
        <v>US06738EAU91</v>
      </c>
      <c r="E242" s="1746" t="str">
        <f ca="1">IFERROR(VLOOKUP(B242,'銀行-TSS'!B:D,3,FALSE),"")</f>
        <v>巴克萊集團美元配息債券 4.337% 2028/1/10</v>
      </c>
      <c r="F242" s="1745" t="str">
        <f ca="1">IFERROR(VLOOKUP(B242,'銀行-TSS'!B:E,4,FALSE),"")</f>
        <v>Baa1 / BBB+ / A</v>
      </c>
      <c r="G242" s="1747">
        <f ca="1">IFERROR(VLOOKUP(B242,'銀行-TSS'!B:G,6,FALSE),"")</f>
        <v>3.52</v>
      </c>
      <c r="H242" s="1748">
        <f ca="1">IFERROR(VLOOKUP(B242,'銀行-TSS'!B:H,7,FALSE),"")</f>
        <v>4.3369999999999999E-2</v>
      </c>
      <c r="I242" s="1745" t="str">
        <f ca="1">IFERROR(IF(表格1[[#This Row],[配息頻率]]=0,"",CHOOSE(表格1[[#This Row],[配息頻率]],MONTH(J242),IF(MONTH(J242)&lt;=6,CONCATENATE(MONTH(J242)," / ",MONTH(J242)+6),CONCATENATE(MONTH(J242)-6," / ",MONTH(J242))),0,"2 / 4 / 8 / 11")),"")</f>
        <v>1 / 7</v>
      </c>
      <c r="J242" s="1749" t="str">
        <f ca="1">IFERROR(VLOOKUP(B242,'銀行-TSS'!B:P,15,FALSE),"")</f>
        <v>2024/7/10</v>
      </c>
      <c r="K242" s="1750">
        <f ca="1">IFERROR(VLOOKUP(表格1[[#This Row],[商品
代碼]],'銀行-TSS'!B:I,8,FALSE),"")</f>
        <v>2</v>
      </c>
      <c r="L242" s="1747">
        <f ca="1">IFERROR(VLOOKUP(B242,'銀行-TSS'!B:K,10,FALSE),"")</f>
        <v>100.3</v>
      </c>
      <c r="M242" s="1745" t="str">
        <f ca="1">IF(表格1[[#This Row],[含息申購
參考價]]&gt;100,"溢價",IF(表格1[[#This Row],[含息申購
參考價]]&lt;100,"折價","平價"))</f>
        <v>溢價</v>
      </c>
      <c r="N242" s="1751">
        <f ca="1">IFERROR(VLOOKUP(B242,'銀行-TSS'!B:M,12,FALSE),"")</f>
        <v>4.8899999999999999E-2</v>
      </c>
      <c r="O242" s="1752">
        <f ca="1">IFERROR(VLOOKUP(表格1[[#This Row],[商品
代碼]],'銀行-TSS'!B:AJ,35,FALSE),"")</f>
        <v>0</v>
      </c>
      <c r="P242" s="1753">
        <f ca="1">IFERROR(VLOOKUP(表格1[[#This Row],[商品
代碼]],'銀行-TSS'!B:AE,30,FALSE),"")</f>
        <v>5.0900000000000001E-2</v>
      </c>
      <c r="Q242" s="1749" t="str">
        <f ca="1">IFERROR(IF(VLOOKUP(表格1[[#This Row],[商品
代碼]],'銀行-TSS'!B:AM,38,FALSE)="#N/A Field Not Applicable","",VLOOKUP(表格1[[#This Row],[商品
代碼]],'銀行-TSS'!B:AM,38,FALSE)),"")</f>
        <v>2027/1/10</v>
      </c>
      <c r="R242" s="1749" t="str">
        <f ca="1">IFERROR(VLOOKUP(表格1[[#This Row],[商品
代碼]],'銀行-TSS'!B:AH,33,FALSE),"")</f>
        <v>美元(USD)</v>
      </c>
      <c r="S242" s="1754">
        <f ca="1">IFERROR(VLOOKUP(B242,'銀行-TSS'!B:N,13,FALSE),"")</f>
        <v>200000</v>
      </c>
      <c r="T242" s="1754" t="str">
        <f ca="1">VLOOKUP(表格1[[#This Row],[商品
代碼]],'銀行-TSS'!B:AI,34,FALSE)</f>
        <v>自由選清單</v>
      </c>
      <c r="U242" s="1755" t="str">
        <f ca="1">IFERROR(VLOOKUP(B242,'銀行-TSS'!B:Q,16,FALSE),"")</f>
        <v>金融</v>
      </c>
      <c r="V242" s="1755" t="str">
        <f ca="1">IFERROR(VLOOKUP(表格1[[#This Row],[商品
代碼]],'銀行-TSS'!B:AG,32,FALSE),"")</f>
        <v>固定</v>
      </c>
      <c r="W242" s="1756" t="str">
        <f ca="1">IFERROR(IFERROR(VLOOKUP(表格1[[#This Row],[商品
代碼]],'3_是否下架'!A:B,2,FALSE),VLOOKUP(表格1[[#This Row],[商品
代碼]],'銀行-TSS'!B:AK,36,FALSE)),"")</f>
        <v>有</v>
      </c>
      <c r="Y242" s="400"/>
      <c r="Z242" s="400"/>
      <c r="AA242" s="401"/>
    </row>
    <row r="243" spans="2:27" s="399" customFormat="1" ht="24.75" customHeight="1">
      <c r="B243" s="1745" t="s">
        <v>639</v>
      </c>
      <c r="C243" s="1745" t="str">
        <f ca="1">IFERROR(VLOOKUP(表格1[[#This Row],[商品
代碼]],'銀行-TSS'!B:V,21,FALSE),"")</f>
        <v>高資產</v>
      </c>
      <c r="D243" s="1746" t="str">
        <f>IFERROR(VLOOKUP(表格1[[#This Row],[商品
代碼]],bond!B:F,5,FALSE),"")</f>
        <v>XS0078962809</v>
      </c>
      <c r="E243" s="1746" t="str">
        <f ca="1">IFERROR(VLOOKUP(B243,'銀行-TSS'!B:D,3,FALSE),"")</f>
        <v>南非開發銀行南非幣零息債券 0% 2027/12/31</v>
      </c>
      <c r="F243" s="1745" t="str">
        <f ca="1">IFERROR(VLOOKUP(B243,'銀行-TSS'!B:E,4,FALSE),"")</f>
        <v>- / BB / -</v>
      </c>
      <c r="G243" s="1747">
        <f ca="1">IFERROR(VLOOKUP(B243,'銀行-TSS'!B:G,6,FALSE),"")</f>
        <v>3.49</v>
      </c>
      <c r="H243" s="1748">
        <f ca="1">IFERROR(VLOOKUP(B243,'銀行-TSS'!B:H,7,FALSE),"")</f>
        <v>0</v>
      </c>
      <c r="I243" s="1745" t="str">
        <f ca="1">IFERROR(IF(表格1[[#This Row],[配息頻率]]=0,"",CHOOSE(表格1[[#This Row],[配息頻率]],MONTH(J243),IF(MONTH(J243)&lt;=6,CONCATENATE(MONTH(J243)," / ",MONTH(J243)+6),CONCATENATE(MONTH(J243)-6," / ",MONTH(J243))),0,"2 / 4 / 8 / 11")),"")</f>
        <v/>
      </c>
      <c r="J243" s="1749" t="str">
        <f ca="1">IFERROR(VLOOKUP(B243,'銀行-TSS'!B:P,15,FALSE),"")</f>
        <v>#N/A Field Not Applicable</v>
      </c>
      <c r="K243" s="1750">
        <f ca="1">IFERROR(VLOOKUP(表格1[[#This Row],[商品
代碼]],'銀行-TSS'!B:I,8,FALSE),"")</f>
        <v>0</v>
      </c>
      <c r="L243" s="1747">
        <f ca="1">IFERROR(VLOOKUP(B243,'銀行-TSS'!B:K,10,FALSE),"")</f>
        <v>72</v>
      </c>
      <c r="M243" s="1745" t="str">
        <f ca="1">IF(表格1[[#This Row],[含息申購
參考價]]&gt;100,"溢價",IF(表格1[[#This Row],[含息申購
參考價]]&lt;100,"折價","平價"))</f>
        <v>折價</v>
      </c>
      <c r="N243" s="1751">
        <f ca="1">IFERROR(VLOOKUP(B243,'銀行-TSS'!B:M,12,FALSE),"")</f>
        <v>9.8699999999999996E-2</v>
      </c>
      <c r="O243" s="1752">
        <f ca="1">IFERROR(VLOOKUP(表格1[[#This Row],[商品
代碼]],'銀行-TSS'!B:AJ,35,FALSE),"")</f>
        <v>1</v>
      </c>
      <c r="P243" s="1753" t="str">
        <f ca="1">IFERROR(VLOOKUP(表格1[[#This Row],[商品
代碼]],'銀行-TSS'!B:AE,30,FALSE),"")</f>
        <v xml:space="preserve"> </v>
      </c>
      <c r="Q243" s="1749" t="str">
        <f ca="1">IFERROR(IF(VLOOKUP(表格1[[#This Row],[商品
代碼]],'銀行-TSS'!B:AM,38,FALSE)="#N/A Field Not Applicable","",VLOOKUP(表格1[[#This Row],[商品
代碼]],'銀行-TSS'!B:AM,38,FALSE)),"")</f>
        <v/>
      </c>
      <c r="R243" s="1749" t="str">
        <f ca="1">IFERROR(VLOOKUP(表格1[[#This Row],[商品
代碼]],'銀行-TSS'!B:AH,33,FALSE),"")</f>
        <v>南非幣(ZAR)</v>
      </c>
      <c r="S243" s="1754">
        <f ca="1">IFERROR(VLOOKUP(B243,'銀行-TSS'!B:N,13,FALSE),"")</f>
        <v>100000</v>
      </c>
      <c r="T243" s="1754" t="str">
        <f ca="1">VLOOKUP(表格1[[#This Row],[商品
代碼]],'銀行-TSS'!B:AI,34,FALSE)</f>
        <v/>
      </c>
      <c r="U243" s="1755" t="str">
        <f ca="1">IFERROR(VLOOKUP(B243,'銀行-TSS'!B:Q,16,FALSE),"")</f>
        <v>政府</v>
      </c>
      <c r="V243" s="1755" t="str">
        <f ca="1">IFERROR(VLOOKUP(表格1[[#This Row],[商品
代碼]],'銀行-TSS'!B:AG,32,FALSE),"")</f>
        <v>零息</v>
      </c>
      <c r="W243" s="1756" t="str">
        <f>IFERROR(IFERROR(VLOOKUP(表格1[[#This Row],[商品
代碼]],'3_是否下架'!A:B,2,FALSE),VLOOKUP(表格1[[#This Row],[商品
代碼]],'銀行-TSS'!B:AK,36,FALSE)),"")</f>
        <v>已下架</v>
      </c>
      <c r="Y243" s="400"/>
      <c r="Z243" s="400"/>
      <c r="AA243" s="401"/>
    </row>
    <row r="244" spans="2:27" s="399" customFormat="1" ht="24.75" customHeight="1">
      <c r="B244" s="1745" t="s">
        <v>1266</v>
      </c>
      <c r="C244" s="1745" t="str">
        <f ca="1">IFERROR(VLOOKUP(表格1[[#This Row],[商品
代碼]],'銀行-TSS'!B:V,21,FALSE),"")</f>
        <v>(NPI)非專投</v>
      </c>
      <c r="D244" s="1746" t="str">
        <f>IFERROR(VLOOKUP(表格1[[#This Row],[商品
代碼]],bond!B:F,5,FALSE),"")</f>
        <v>USU5876JAC90</v>
      </c>
      <c r="E244" s="1746" t="str">
        <f ca="1">IFERROR(VLOOKUP(B244,'銀行-TSS'!B:D,3,FALSE),"")</f>
        <v>梅賽德斯-賓士金融北美有限責任公司美元配息債券 5.25% 2027/11/29</v>
      </c>
      <c r="F244" s="1745" t="str">
        <f ca="1">IFERROR(VLOOKUP(B244,'銀行-TSS'!B:E,4,FALSE),"")</f>
        <v>A2 / A / A</v>
      </c>
      <c r="G244" s="1747">
        <f ca="1">IFERROR(VLOOKUP(B244,'銀行-TSS'!B:G,6,FALSE),"")</f>
        <v>3.41</v>
      </c>
      <c r="H244" s="1748">
        <f ca="1">IFERROR(VLOOKUP(B244,'銀行-TSS'!B:H,7,FALSE),"")</f>
        <v>5.2499999999999998E-2</v>
      </c>
      <c r="I244" s="1745" t="str">
        <f ca="1">IFERROR(IF(表格1[[#This Row],[配息頻率]]=0,"",CHOOSE(表格1[[#This Row],[配息頻率]],MONTH(J244),IF(MONTH(J244)&lt;=6,CONCATENATE(MONTH(J244)," / ",MONTH(J244)+6),CONCATENATE(MONTH(J244)-6," / ",MONTH(J244))),0,"2 / 4 / 8 / 11")),"")</f>
        <v>5 / 11</v>
      </c>
      <c r="J244" s="1749" t="str">
        <f ca="1">IFERROR(VLOOKUP(B244,'銀行-TSS'!B:P,15,FALSE),"")</f>
        <v>2024/11/29</v>
      </c>
      <c r="K244" s="1750">
        <f ca="1">IFERROR(VLOOKUP(表格1[[#This Row],[商品
代碼]],'銀行-TSS'!B:I,8,FALSE),"")</f>
        <v>2</v>
      </c>
      <c r="L244" s="1747">
        <f ca="1">IFERROR(VLOOKUP(B244,'銀行-TSS'!B:K,10,FALSE),"")</f>
        <v>103.08</v>
      </c>
      <c r="M244" s="1745" t="str">
        <f ca="1">IF(表格1[[#This Row],[含息申購
參考價]]&gt;100,"溢價",IF(表格1[[#This Row],[含息申購
參考價]]&lt;100,"折價","平價"))</f>
        <v>溢價</v>
      </c>
      <c r="N244" s="1751">
        <f ca="1">IFERROR(VLOOKUP(B244,'銀行-TSS'!B:M,12,FALSE),"")</f>
        <v>4.4200000000000003E-2</v>
      </c>
      <c r="O244" s="1752">
        <f ca="1">IFERROR(VLOOKUP(表格1[[#This Row],[商品
代碼]],'銀行-TSS'!B:AJ,35,FALSE),"")</f>
        <v>0</v>
      </c>
      <c r="P244" s="1753" t="str">
        <f ca="1">IFERROR(VLOOKUP(表格1[[#This Row],[商品
代碼]],'銀行-TSS'!B:AE,30,FALSE),"")</f>
        <v xml:space="preserve"> </v>
      </c>
      <c r="Q244" s="1749" t="str">
        <f ca="1">IFERROR(IF(VLOOKUP(表格1[[#This Row],[商品
代碼]],'銀行-TSS'!B:AM,38,FALSE)="#N/A Field Not Applicable","",VLOOKUP(表格1[[#This Row],[商品
代碼]],'銀行-TSS'!B:AM,38,FALSE)),"")</f>
        <v/>
      </c>
      <c r="R244" s="1749" t="str">
        <f ca="1">IFERROR(VLOOKUP(表格1[[#This Row],[商品
代碼]],'銀行-TSS'!B:AH,33,FALSE),"")</f>
        <v>美元(USD)</v>
      </c>
      <c r="S244" s="1754">
        <f ca="1">IFERROR(VLOOKUP(B244,'銀行-TSS'!B:N,13,FALSE),"")</f>
        <v>200000</v>
      </c>
      <c r="T244" s="1754" t="str">
        <f ca="1">VLOOKUP(表格1[[#This Row],[商品
代碼]],'銀行-TSS'!B:AI,34,FALSE)</f>
        <v>自由選清單</v>
      </c>
      <c r="U244" s="1755" t="str">
        <f ca="1">IFERROR(VLOOKUP(B244,'銀行-TSS'!B:Q,16,FALSE),"")</f>
        <v>非核心消費</v>
      </c>
      <c r="V244" s="1755" t="str">
        <f ca="1">IFERROR(VLOOKUP(表格1[[#This Row],[商品
代碼]],'銀行-TSS'!B:AG,32,FALSE),"")</f>
        <v>固定</v>
      </c>
      <c r="W244" s="1756" t="str">
        <f ca="1">IFERROR(IFERROR(VLOOKUP(表格1[[#This Row],[商品
代碼]],'3_是否下架'!A:B,2,FALSE),VLOOKUP(表格1[[#This Row],[商品
代碼]],'銀行-TSS'!B:AK,36,FALSE)),"")</f>
        <v>有</v>
      </c>
      <c r="Y244" s="400"/>
      <c r="Z244" s="400"/>
      <c r="AA244" s="401"/>
    </row>
    <row r="245" spans="2:27" s="399" customFormat="1" ht="24.75" customHeight="1">
      <c r="B245" s="1745" t="s">
        <v>2344</v>
      </c>
      <c r="C245" s="1745" t="str">
        <f ca="1">IFERROR(VLOOKUP(表格1[[#This Row],[商品
代碼]],'銀行-TSS'!B:V,21,FALSE),"")</f>
        <v>(NPI)非專投</v>
      </c>
      <c r="D245" s="1746" t="str">
        <f>IFERROR(VLOOKUP(表格1[[#This Row],[商品
代碼]],bond!B:F,5,FALSE),"")</f>
        <v>AU000XCLWAQ1</v>
      </c>
      <c r="E245" s="1746" t="str">
        <f ca="1">IFERROR(VLOOKUP(B245,'銀行-TSS'!B:D,3,FALSE),"")</f>
        <v>澳洲政府公債澳幣配息債券 2.75% 2027/11/21</v>
      </c>
      <c r="F245" s="1745" t="str">
        <f ca="1">IFERROR(VLOOKUP(B245,'銀行-TSS'!B:E,4,FALSE),"")</f>
        <v>Aaau / - / AAAu</v>
      </c>
      <c r="G245" s="1747">
        <f ca="1">IFERROR(VLOOKUP(B245,'銀行-TSS'!B:G,6,FALSE),"")</f>
        <v>3.38</v>
      </c>
      <c r="H245" s="1748">
        <f ca="1">IFERROR(VLOOKUP(B245,'銀行-TSS'!B:H,7,FALSE),"")</f>
        <v>2.75E-2</v>
      </c>
      <c r="I245" s="1745" t="str">
        <f ca="1">IFERROR(IF(表格1[[#This Row],[配息頻率]]=0,"",CHOOSE(表格1[[#This Row],[配息頻率]],MONTH(J245),IF(MONTH(J245)&lt;=6,CONCATENATE(MONTH(J245)," / ",MONTH(J245)+6),CONCATENATE(MONTH(J245)-6," / ",MONTH(J245))),0,"2 / 4 / 8 / 11")),"")</f>
        <v>5 / 11</v>
      </c>
      <c r="J245" s="1749" t="str">
        <f ca="1">IFERROR(VLOOKUP(B245,'銀行-TSS'!B:P,15,FALSE),"")</f>
        <v>2024/11/21</v>
      </c>
      <c r="K245" s="1750">
        <f ca="1">IFERROR(VLOOKUP(表格1[[#This Row],[商品
代碼]],'銀行-TSS'!B:I,8,FALSE),"")</f>
        <v>2</v>
      </c>
      <c r="L245" s="1747">
        <f ca="1">IFERROR(VLOOKUP(B245,'銀行-TSS'!B:K,10,FALSE),"")</f>
        <v>98</v>
      </c>
      <c r="M245" s="1745" t="str">
        <f ca="1">IF(表格1[[#This Row],[含息申購
參考價]]&gt;100,"溢價",IF(表格1[[#This Row],[含息申購
參考價]]&lt;100,"折價","平價"))</f>
        <v>折價</v>
      </c>
      <c r="N245" s="1751">
        <f ca="1">IFERROR(VLOOKUP(B245,'銀行-TSS'!B:M,12,FALSE),"")</f>
        <v>3.4799999999999998E-2</v>
      </c>
      <c r="O245" s="1752">
        <f ca="1">IFERROR(VLOOKUP(表格1[[#This Row],[商品
代碼]],'銀行-TSS'!B:AJ,35,FALSE),"")</f>
        <v>1</v>
      </c>
      <c r="P245" s="1753" t="str">
        <f ca="1">IFERROR(VLOOKUP(表格1[[#This Row],[商品
代碼]],'銀行-TSS'!B:AE,30,FALSE),"")</f>
        <v xml:space="preserve"> </v>
      </c>
      <c r="Q245" s="1749" t="str">
        <f ca="1">IFERROR(IF(VLOOKUP(表格1[[#This Row],[商品
代碼]],'銀行-TSS'!B:AM,38,FALSE)="#N/A Field Not Applicable","",VLOOKUP(表格1[[#This Row],[商品
代碼]],'銀行-TSS'!B:AM,38,FALSE)),"")</f>
        <v/>
      </c>
      <c r="R245" s="1749" t="str">
        <f ca="1">IFERROR(VLOOKUP(表格1[[#This Row],[商品
代碼]],'銀行-TSS'!B:AH,33,FALSE),"")</f>
        <v>澳幣(AUD)</v>
      </c>
      <c r="S245" s="1754">
        <f ca="1">IFERROR(VLOOKUP(B245,'銀行-TSS'!B:N,13,FALSE),"")</f>
        <v>10000</v>
      </c>
      <c r="T245" s="1754" t="str">
        <f ca="1">VLOOKUP(表格1[[#This Row],[商品
代碼]],'銀行-TSS'!B:AI,34,FALSE)</f>
        <v/>
      </c>
      <c r="U245" s="1755" t="str">
        <f ca="1">IFERROR(VLOOKUP(B245,'銀行-TSS'!B:Q,16,FALSE),"")</f>
        <v>政府</v>
      </c>
      <c r="V245" s="1755" t="str">
        <f ca="1">IFERROR(VLOOKUP(表格1[[#This Row],[商品
代碼]],'銀行-TSS'!B:AG,32,FALSE),"")</f>
        <v>固定</v>
      </c>
      <c r="W245" s="1756" t="str">
        <f ca="1">IFERROR(IFERROR(VLOOKUP(表格1[[#This Row],[商品
代碼]],'3_是否下架'!A:B,2,FALSE),VLOOKUP(表格1[[#This Row],[商品
代碼]],'銀行-TSS'!B:AK,36,FALSE)),"")</f>
        <v>有</v>
      </c>
      <c r="Y245" s="400"/>
      <c r="Z245" s="400"/>
      <c r="AA245" s="401"/>
    </row>
    <row r="246" spans="2:27" s="399" customFormat="1" ht="24.75" customHeight="1">
      <c r="B246" s="1745" t="s">
        <v>1251</v>
      </c>
      <c r="C246" s="1745" t="str">
        <f ca="1">IFERROR(VLOOKUP(表格1[[#This Row],[商品
代碼]],'銀行-TSS'!B:V,21,FALSE),"")</f>
        <v>(PI)專投</v>
      </c>
      <c r="D246" s="1746" t="str">
        <f>IFERROR(VLOOKUP(表格1[[#This Row],[商品
代碼]],bond!B:F,5,FALSE),"")</f>
        <v>US06051GGA13</v>
      </c>
      <c r="E246" s="1746" t="str">
        <f ca="1">IFERROR(VLOOKUP(B246,'銀行-TSS'!B:D,3,FALSE),"")</f>
        <v>美國銀行美元配息債券 3.248% 2027/10/21</v>
      </c>
      <c r="F246" s="1745" t="str">
        <f ca="1">IFERROR(VLOOKUP(B246,'銀行-TSS'!B:E,4,FALSE),"")</f>
        <v>A1 / A- / AA-</v>
      </c>
      <c r="G246" s="1747">
        <f ca="1">IFERROR(VLOOKUP(B246,'銀行-TSS'!B:G,6,FALSE),"")</f>
        <v>3.3</v>
      </c>
      <c r="H246" s="1748">
        <f ca="1">IFERROR(VLOOKUP(B246,'銀行-TSS'!B:H,7,FALSE),"")</f>
        <v>3.2480000000000002E-2</v>
      </c>
      <c r="I246" s="1745" t="str">
        <f ca="1">IFERROR(IF(表格1[[#This Row],[配息頻率]]=0,"",CHOOSE(表格1[[#This Row],[配息頻率]],MONTH(J246),IF(MONTH(J246)&lt;=6,CONCATENATE(MONTH(J246)," / ",MONTH(J246)+6),CONCATENATE(MONTH(J246)-6," / ",MONTH(J246))),0,"2 / 4 / 8 / 11")),"")</f>
        <v>4 / 10</v>
      </c>
      <c r="J246" s="1749" t="str">
        <f ca="1">IFERROR(VLOOKUP(B246,'銀行-TSS'!B:P,15,FALSE),"")</f>
        <v>2024/10/21</v>
      </c>
      <c r="K246" s="1750">
        <f ca="1">IFERROR(VLOOKUP(表格1[[#This Row],[商品
代碼]],'銀行-TSS'!B:I,8,FALSE),"")</f>
        <v>2</v>
      </c>
      <c r="L246" s="1747">
        <f ca="1">IFERROR(VLOOKUP(B246,'銀行-TSS'!B:K,10,FALSE),"")</f>
        <v>96.92</v>
      </c>
      <c r="M246" s="1745" t="str">
        <f ca="1">IF(表格1[[#This Row],[含息申購
參考價]]&gt;100,"溢價",IF(表格1[[#This Row],[含息申購
參考價]]&lt;100,"折價","平價"))</f>
        <v>折價</v>
      </c>
      <c r="N246" s="1751">
        <f ca="1">IFERROR(VLOOKUP(B246,'銀行-TSS'!B:M,12,FALSE),"")</f>
        <v>4.4699999999999997E-2</v>
      </c>
      <c r="O246" s="1752">
        <f ca="1">IFERROR(VLOOKUP(表格1[[#This Row],[商品
代碼]],'銀行-TSS'!B:AJ,35,FALSE),"")</f>
        <v>0</v>
      </c>
      <c r="P246" s="1753">
        <f ca="1">IFERROR(VLOOKUP(表格1[[#This Row],[商品
代碼]],'銀行-TSS'!B:AE,30,FALSE),"")</f>
        <v>4.9799999999999997E-2</v>
      </c>
      <c r="Q246" s="1749" t="str">
        <f ca="1">IFERROR(IF(VLOOKUP(表格1[[#This Row],[商品
代碼]],'銀行-TSS'!B:AM,38,FALSE)="#N/A Field Not Applicable","",VLOOKUP(表格1[[#This Row],[商品
代碼]],'銀行-TSS'!B:AM,38,FALSE)),"")</f>
        <v>2026/10/21</v>
      </c>
      <c r="R246" s="1749" t="str">
        <f ca="1">IFERROR(VLOOKUP(表格1[[#This Row],[商品
代碼]],'銀行-TSS'!B:AH,33,FALSE),"")</f>
        <v>美元(USD)</v>
      </c>
      <c r="S246" s="1754">
        <f ca="1">IFERROR(VLOOKUP(B246,'銀行-TSS'!B:N,13,FALSE),"")</f>
        <v>10000</v>
      </c>
      <c r="T246" s="1754" t="str">
        <f ca="1">VLOOKUP(表格1[[#This Row],[商品
代碼]],'銀行-TSS'!B:AI,34,FALSE)</f>
        <v>自由選清單</v>
      </c>
      <c r="U246" s="1755" t="str">
        <f ca="1">IFERROR(VLOOKUP(B246,'銀行-TSS'!B:Q,16,FALSE),"")</f>
        <v>金融</v>
      </c>
      <c r="V246" s="1755" t="str">
        <f ca="1">IFERROR(VLOOKUP(表格1[[#This Row],[商品
代碼]],'銀行-TSS'!B:AG,32,FALSE),"")</f>
        <v>固定</v>
      </c>
      <c r="W246" s="1756" t="str">
        <f ca="1">IFERROR(IFERROR(VLOOKUP(表格1[[#This Row],[商品
代碼]],'3_是否下架'!A:B,2,FALSE),VLOOKUP(表格1[[#This Row],[商品
代碼]],'銀行-TSS'!B:AK,36,FALSE)),"")</f>
        <v>有</v>
      </c>
      <c r="Y246" s="400"/>
      <c r="Z246" s="400"/>
      <c r="AA246" s="401"/>
    </row>
    <row r="247" spans="2:27" s="399" customFormat="1" ht="24.75" customHeight="1">
      <c r="B247" s="1745" t="s">
        <v>1245</v>
      </c>
      <c r="C247" s="1745" t="str">
        <f ca="1">IFERROR(VLOOKUP(表格1[[#This Row],[商品
代碼]],'銀行-TSS'!B:V,21,FALSE),"")</f>
        <v>(NPI)非專投</v>
      </c>
      <c r="D247" s="1746" t="str">
        <f>IFERROR(VLOOKUP(表格1[[#This Row],[商品
代碼]],bond!B:F,5,FALSE),"")</f>
        <v>US686330AQ49</v>
      </c>
      <c r="E247" s="1746" t="str">
        <f ca="1">IFERROR(VLOOKUP(B247,'銀行-TSS'!B:D,3,FALSE),"")</f>
        <v>歐力士公司美元配息債券 5% 2027/9/13</v>
      </c>
      <c r="F247" s="1745" t="str">
        <f ca="1">IFERROR(VLOOKUP(B247,'銀行-TSS'!B:E,4,FALSE),"")</f>
        <v>A3 / BBB+ / A-</v>
      </c>
      <c r="G247" s="1747">
        <f ca="1">IFERROR(VLOOKUP(B247,'銀行-TSS'!B:G,6,FALSE),"")</f>
        <v>3.2</v>
      </c>
      <c r="H247" s="1748">
        <f ca="1">IFERROR(VLOOKUP(B247,'銀行-TSS'!B:H,7,FALSE),"")</f>
        <v>0.05</v>
      </c>
      <c r="I247" s="1745" t="str">
        <f ca="1">IFERROR(IF(表格1[[#This Row],[配息頻率]]=0,"",CHOOSE(表格1[[#This Row],[配息頻率]],MONTH(J247),IF(MONTH(J247)&lt;=6,CONCATENATE(MONTH(J247)," / ",MONTH(J247)+6),CONCATENATE(MONTH(J247)-6," / ",MONTH(J247))),0,"2 / 4 / 8 / 11")),"")</f>
        <v>3 / 9</v>
      </c>
      <c r="J247" s="1749" t="str">
        <f ca="1">IFERROR(VLOOKUP(B247,'銀行-TSS'!B:P,15,FALSE),"")</f>
        <v>2024/9/13</v>
      </c>
      <c r="K247" s="1750">
        <f ca="1">IFERROR(VLOOKUP(表格1[[#This Row],[商品
代碼]],'銀行-TSS'!B:I,8,FALSE),"")</f>
        <v>2</v>
      </c>
      <c r="L247" s="1747">
        <f ca="1">IFERROR(VLOOKUP(B247,'銀行-TSS'!B:K,10,FALSE),"")</f>
        <v>102.93</v>
      </c>
      <c r="M247" s="1745" t="str">
        <f ca="1">IF(表格1[[#This Row],[含息申購
參考價]]&gt;100,"溢價",IF(表格1[[#This Row],[含息申購
參考價]]&lt;100,"折價","平價"))</f>
        <v>溢價</v>
      </c>
      <c r="N247" s="1751">
        <f ca="1">IFERROR(VLOOKUP(B247,'銀行-TSS'!B:M,12,FALSE),"")</f>
        <v>4.5199999999999997E-2</v>
      </c>
      <c r="O247" s="1752">
        <f ca="1">IFERROR(VLOOKUP(表格1[[#This Row],[商品
代碼]],'銀行-TSS'!B:AJ,35,FALSE),"")</f>
        <v>0</v>
      </c>
      <c r="P247" s="1753" t="str">
        <f ca="1">IFERROR(VLOOKUP(表格1[[#This Row],[商品
代碼]],'銀行-TSS'!B:AE,30,FALSE),"")</f>
        <v xml:space="preserve"> </v>
      </c>
      <c r="Q247" s="1749" t="str">
        <f ca="1">IFERROR(IF(VLOOKUP(表格1[[#This Row],[商品
代碼]],'銀行-TSS'!B:AM,38,FALSE)="#N/A Field Not Applicable","",VLOOKUP(表格1[[#This Row],[商品
代碼]],'銀行-TSS'!B:AM,38,FALSE)),"")</f>
        <v/>
      </c>
      <c r="R247" s="1749" t="str">
        <f ca="1">IFERROR(VLOOKUP(表格1[[#This Row],[商品
代碼]],'銀行-TSS'!B:AH,33,FALSE),"")</f>
        <v>美元(USD)</v>
      </c>
      <c r="S247" s="1754">
        <f ca="1">IFERROR(VLOOKUP(B247,'銀行-TSS'!B:N,13,FALSE),"")</f>
        <v>10000</v>
      </c>
      <c r="T247" s="1754" t="str">
        <f ca="1">VLOOKUP(表格1[[#This Row],[商品
代碼]],'銀行-TSS'!B:AI,34,FALSE)</f>
        <v>自由選清單</v>
      </c>
      <c r="U247" s="1755" t="str">
        <f ca="1">IFERROR(VLOOKUP(B247,'銀行-TSS'!B:Q,16,FALSE),"")</f>
        <v>金融</v>
      </c>
      <c r="V247" s="1755" t="str">
        <f ca="1">IFERROR(VLOOKUP(表格1[[#This Row],[商品
代碼]],'銀行-TSS'!B:AG,32,FALSE),"")</f>
        <v>固定</v>
      </c>
      <c r="W247" s="1756" t="str">
        <f ca="1">IFERROR(IFERROR(VLOOKUP(表格1[[#This Row],[商品
代碼]],'3_是否下架'!A:B,2,FALSE),VLOOKUP(表格1[[#This Row],[商品
代碼]],'銀行-TSS'!B:AK,36,FALSE)),"")</f>
        <v>有</v>
      </c>
      <c r="Y247" s="400"/>
      <c r="Z247" s="400"/>
      <c r="AA247" s="401"/>
    </row>
    <row r="248" spans="2:27" s="399" customFormat="1" ht="24.75" customHeight="1">
      <c r="B248" s="1745" t="s">
        <v>747</v>
      </c>
      <c r="C248" s="1745" t="str">
        <f ca="1">IFERROR(VLOOKUP(表格1[[#This Row],[商品
代碼]],'銀行-TSS'!B:V,21,FALSE),"")</f>
        <v>(NPI)非專投</v>
      </c>
      <c r="D248" s="1746" t="str">
        <f>IFERROR(VLOOKUP(表格1[[#This Row],[商品
代碼]],bond!B:F,5,FALSE),"")</f>
        <v>AU3CB0246239</v>
      </c>
      <c r="E248" s="1746" t="str">
        <f ca="1">IFERROR(VLOOKUP(B248,'銀行-TSS'!B:D,3,FALSE),"")</f>
        <v>威瑞森電信公司澳幣配息債券 4.5% 2027/8/17</v>
      </c>
      <c r="F248" s="1745" t="str">
        <f ca="1">IFERROR(VLOOKUP(B248,'銀行-TSS'!B:E,4,FALSE),"")</f>
        <v>Baa1 / BBB+ / A-</v>
      </c>
      <c r="G248" s="1747">
        <f ca="1">IFERROR(VLOOKUP(B248,'銀行-TSS'!B:G,6,FALSE),"")</f>
        <v>3.12</v>
      </c>
      <c r="H248" s="1748">
        <f ca="1">IFERROR(VLOOKUP(B248,'銀行-TSS'!B:H,7,FALSE),"")</f>
        <v>4.4999999999999998E-2</v>
      </c>
      <c r="I248" s="1745" t="str">
        <f ca="1">IFERROR(IF(表格1[[#This Row],[配息頻率]]=0,"",CHOOSE(表格1[[#This Row],[配息頻率]],MONTH(J248),IF(MONTH(J248)&lt;=6,CONCATENATE(MONTH(J248)," / ",MONTH(J248)+6),CONCATENATE(MONTH(J248)-6," / ",MONTH(J248))),0,"2 / 4 / 8 / 11")),"")</f>
        <v>2 / 8</v>
      </c>
      <c r="J248" s="1749" t="str">
        <f ca="1">IFERROR(VLOOKUP(B248,'銀行-TSS'!B:P,15,FALSE),"")</f>
        <v>2024/8/17</v>
      </c>
      <c r="K248" s="1750">
        <f ca="1">IFERROR(VLOOKUP(表格1[[#This Row],[商品
代碼]],'銀行-TSS'!B:I,8,FALSE),"")</f>
        <v>2</v>
      </c>
      <c r="L248" s="1747">
        <f ca="1">IFERROR(VLOOKUP(B248,'銀行-TSS'!B:K,10,FALSE),"")</f>
        <v>103.26</v>
      </c>
      <c r="M248" s="1745" t="str">
        <f ca="1">IF(表格1[[#This Row],[含息申購
參考價]]&gt;100,"溢價",IF(表格1[[#This Row],[含息申購
參考價]]&lt;100,"折價","平價"))</f>
        <v>溢價</v>
      </c>
      <c r="N248" s="1751">
        <f ca="1">IFERROR(VLOOKUP(B248,'銀行-TSS'!B:M,12,FALSE),"")</f>
        <v>3.9600000000000003E-2</v>
      </c>
      <c r="O248" s="1752">
        <f ca="1">IFERROR(VLOOKUP(表格1[[#This Row],[商品
代碼]],'銀行-TSS'!B:AJ,35,FALSE),"")</f>
        <v>1</v>
      </c>
      <c r="P248" s="1753" t="str">
        <f ca="1">IFERROR(VLOOKUP(表格1[[#This Row],[商品
代碼]],'銀行-TSS'!B:AE,30,FALSE),"")</f>
        <v xml:space="preserve"> </v>
      </c>
      <c r="Q248" s="1749" t="str">
        <f ca="1">IFERROR(IF(VLOOKUP(表格1[[#This Row],[商品
代碼]],'銀行-TSS'!B:AM,38,FALSE)="#N/A Field Not Applicable","",VLOOKUP(表格1[[#This Row],[商品
代碼]],'銀行-TSS'!B:AM,38,FALSE)),"")</f>
        <v/>
      </c>
      <c r="R248" s="1749" t="str">
        <f ca="1">IFERROR(VLOOKUP(表格1[[#This Row],[商品
代碼]],'銀行-TSS'!B:AH,33,FALSE),"")</f>
        <v>澳幣(AUD)</v>
      </c>
      <c r="S248" s="1754">
        <f ca="1">IFERROR(VLOOKUP(B248,'銀行-TSS'!B:N,13,FALSE),"")</f>
        <v>10000</v>
      </c>
      <c r="T248" s="1754" t="str">
        <f ca="1">VLOOKUP(表格1[[#This Row],[商品
代碼]],'銀行-TSS'!B:AI,34,FALSE)</f>
        <v/>
      </c>
      <c r="U248" s="1755" t="str">
        <f ca="1">IFERROR(VLOOKUP(B248,'銀行-TSS'!B:Q,16,FALSE),"")</f>
        <v>通訊</v>
      </c>
      <c r="V248" s="1755" t="str">
        <f ca="1">IFERROR(VLOOKUP(表格1[[#This Row],[商品
代碼]],'銀行-TSS'!B:AG,32,FALSE),"")</f>
        <v>固定</v>
      </c>
      <c r="W248" s="1756" t="str">
        <f>IFERROR(IFERROR(VLOOKUP(表格1[[#This Row],[商品
代碼]],'3_是否下架'!A:B,2,FALSE),VLOOKUP(表格1[[#This Row],[商品
代碼]],'銀行-TSS'!B:AK,36,FALSE)),"")</f>
        <v>已下架</v>
      </c>
      <c r="Y248" s="400"/>
      <c r="Z248" s="400"/>
      <c r="AA248" s="401"/>
    </row>
    <row r="249" spans="2:27" s="399" customFormat="1" ht="24.75" customHeight="1">
      <c r="B249" s="1745" t="s">
        <v>1101</v>
      </c>
      <c r="C249" s="1745" t="str">
        <f ca="1">IFERROR(VLOOKUP(表格1[[#This Row],[商品
代碼]],'銀行-TSS'!B:V,21,FALSE),"")</f>
        <v>(PI)專投</v>
      </c>
      <c r="D249" s="1746" t="str">
        <f>IFERROR(VLOOKUP(表格1[[#This Row],[商品
代碼]],bond!B:F,5,FALSE),"")</f>
        <v>US189754AC88</v>
      </c>
      <c r="E249" s="1746" t="str">
        <f ca="1">IFERROR(VLOOKUP(B249,'銀行-TSS'!B:D,3,FALSE),"")</f>
        <v>Tapestry公司美元配息債券 4.125% 2027/7/15</v>
      </c>
      <c r="F249" s="1745" t="str">
        <f ca="1">IFERROR(VLOOKUP(B249,'銀行-TSS'!B:E,4,FALSE),"")</f>
        <v>Baa2 *- / BBB / WD</v>
      </c>
      <c r="G249" s="1747">
        <f ca="1">IFERROR(VLOOKUP(B249,'銀行-TSS'!B:G,6,FALSE),"")</f>
        <v>3.03</v>
      </c>
      <c r="H249" s="1748">
        <f ca="1">IFERROR(VLOOKUP(B249,'銀行-TSS'!B:H,7,FALSE),"")</f>
        <v>4.1250000000000002E-2</v>
      </c>
      <c r="I249" s="1745" t="str">
        <f ca="1">IFERROR(IF(表格1[[#This Row],[配息頻率]]=0,"",CHOOSE(表格1[[#This Row],[配息頻率]],MONTH(J249),IF(MONTH(J249)&lt;=6,CONCATENATE(MONTH(J249)," / ",MONTH(J249)+6),CONCATENATE(MONTH(J249)-6," / ",MONTH(J249))),0,"2 / 4 / 8 / 11")),"")</f>
        <v>1 / 7</v>
      </c>
      <c r="J249" s="1749" t="str">
        <f ca="1">IFERROR(VLOOKUP(B249,'銀行-TSS'!B:P,15,FALSE),"")</f>
        <v>2024/7/15</v>
      </c>
      <c r="K249" s="1750">
        <f ca="1">IFERROR(VLOOKUP(表格1[[#This Row],[商品
代碼]],'銀行-TSS'!B:I,8,FALSE),"")</f>
        <v>2</v>
      </c>
      <c r="L249" s="1747">
        <f ca="1">IFERROR(VLOOKUP(B249,'銀行-TSS'!B:K,10,FALSE),"")</f>
        <v>99.48</v>
      </c>
      <c r="M249" s="1745" t="str">
        <f ca="1">IF(表格1[[#This Row],[含息申購
參考價]]&gt;100,"溢價",IF(表格1[[#This Row],[含息申購
參考價]]&lt;100,"折價","平價"))</f>
        <v>折價</v>
      </c>
      <c r="N249" s="1751">
        <f ca="1">IFERROR(VLOOKUP(B249,'銀行-TSS'!B:M,12,FALSE),"")</f>
        <v>0.05</v>
      </c>
      <c r="O249" s="1752">
        <f ca="1">IFERROR(VLOOKUP(表格1[[#This Row],[商品
代碼]],'銀行-TSS'!B:AJ,35,FALSE),"")</f>
        <v>0</v>
      </c>
      <c r="P249" s="1753">
        <f ca="1">IFERROR(VLOOKUP(表格1[[#This Row],[商品
代碼]],'銀行-TSS'!B:AE,30,FALSE),"")</f>
        <v>5.0700000000000002E-2</v>
      </c>
      <c r="Q249" s="1749" t="str">
        <f ca="1">IFERROR(IF(VLOOKUP(表格1[[#This Row],[商品
代碼]],'銀行-TSS'!B:AM,38,FALSE)="#N/A Field Not Applicable","",VLOOKUP(表格1[[#This Row],[商品
代碼]],'銀行-TSS'!B:AM,38,FALSE)),"")</f>
        <v>2027/4/15</v>
      </c>
      <c r="R249" s="1749" t="str">
        <f ca="1">IFERROR(VLOOKUP(表格1[[#This Row],[商品
代碼]],'銀行-TSS'!B:AH,33,FALSE),"")</f>
        <v>美元(USD)</v>
      </c>
      <c r="S249" s="1754">
        <f ca="1">IFERROR(VLOOKUP(B249,'銀行-TSS'!B:N,13,FALSE),"")</f>
        <v>10000</v>
      </c>
      <c r="T249" s="1754" t="str">
        <f ca="1">VLOOKUP(表格1[[#This Row],[商品
代碼]],'銀行-TSS'!B:AI,34,FALSE)</f>
        <v>自由選清單</v>
      </c>
      <c r="U249" s="1755" t="str">
        <f ca="1">IFERROR(VLOOKUP(B249,'銀行-TSS'!B:Q,16,FALSE),"")</f>
        <v>非核心消費</v>
      </c>
      <c r="V249" s="1755" t="str">
        <f ca="1">IFERROR(VLOOKUP(表格1[[#This Row],[商品
代碼]],'銀行-TSS'!B:AG,32,FALSE),"")</f>
        <v>固定</v>
      </c>
      <c r="W249" s="1756" t="str">
        <f ca="1">IFERROR(IFERROR(VLOOKUP(表格1[[#This Row],[商品
代碼]],'3_是否下架'!A:B,2,FALSE),VLOOKUP(表格1[[#This Row],[商品
代碼]],'銀行-TSS'!B:AK,36,FALSE)),"")</f>
        <v>有</v>
      </c>
      <c r="Y249" s="400"/>
      <c r="Z249" s="400"/>
      <c r="AA249" s="401"/>
    </row>
    <row r="250" spans="2:27" s="399" customFormat="1" ht="24.75" customHeight="1">
      <c r="B250" s="1745" t="s">
        <v>1206</v>
      </c>
      <c r="C250" s="1745" t="str">
        <f ca="1">IFERROR(VLOOKUP(表格1[[#This Row],[商品
代碼]],'銀行-TSS'!B:V,21,FALSE),"")</f>
        <v>(PI)專投</v>
      </c>
      <c r="D250" s="1746" t="str">
        <f>IFERROR(VLOOKUP(表格1[[#This Row],[商品
代碼]],bond!B:F,5,FALSE),"")</f>
        <v>US674599DZ54</v>
      </c>
      <c r="E250" s="1746" t="str">
        <f ca="1">IFERROR(VLOOKUP(B250,'銀行-TSS'!B:D,3,FALSE),"")</f>
        <v>西方石油公司美元配息債券 8.5% 2027/7/15</v>
      </c>
      <c r="F250" s="1745" t="str">
        <f ca="1">IFERROR(VLOOKUP(B250,'銀行-TSS'!B:E,4,FALSE),"")</f>
        <v>Baa3 / BB+ / BBB-</v>
      </c>
      <c r="G250" s="1747">
        <f ca="1">IFERROR(VLOOKUP(B250,'銀行-TSS'!B:G,6,FALSE),"")</f>
        <v>3.03</v>
      </c>
      <c r="H250" s="1748">
        <f ca="1">IFERROR(VLOOKUP(B250,'銀行-TSS'!B:H,7,FALSE),"")</f>
        <v>8.5000000000000006E-2</v>
      </c>
      <c r="I250" s="1745" t="str">
        <f ca="1">IFERROR(IF(表格1[[#This Row],[配息頻率]]=0,"",CHOOSE(表格1[[#This Row],[配息頻率]],MONTH(J250),IF(MONTH(J250)&lt;=6,CONCATENATE(MONTH(J250)," / ",MONTH(J250)+6),CONCATENATE(MONTH(J250)-6," / ",MONTH(J250))),0,"2 / 4 / 8 / 11")),"")</f>
        <v>1 / 7</v>
      </c>
      <c r="J250" s="1749" t="str">
        <f ca="1">IFERROR(VLOOKUP(B250,'銀行-TSS'!B:P,15,FALSE),"")</f>
        <v>2024/7/15</v>
      </c>
      <c r="K250" s="1750">
        <f ca="1">IFERROR(VLOOKUP(表格1[[#This Row],[商品
代碼]],'銀行-TSS'!B:I,8,FALSE),"")</f>
        <v>2</v>
      </c>
      <c r="L250" s="1747">
        <f ca="1">IFERROR(VLOOKUP(B250,'銀行-TSS'!B:K,10,FALSE),"")</f>
        <v>113.11</v>
      </c>
      <c r="M250" s="1745" t="str">
        <f ca="1">IF(表格1[[#This Row],[含息申購
參考價]]&gt;100,"溢價",IF(表格1[[#This Row],[含息申購
參考價]]&lt;100,"折價","平價"))</f>
        <v>溢價</v>
      </c>
      <c r="N250" s="1751">
        <f ca="1">IFERROR(VLOOKUP(B250,'銀行-TSS'!B:M,12,FALSE),"")</f>
        <v>5.1900000000000002E-2</v>
      </c>
      <c r="O250" s="1752">
        <f ca="1">IFERROR(VLOOKUP(表格1[[#This Row],[商品
代碼]],'銀行-TSS'!B:AJ,35,FALSE),"")</f>
        <v>0</v>
      </c>
      <c r="P250" s="1753">
        <f ca="1">IFERROR(VLOOKUP(表格1[[#This Row],[商品
代碼]],'銀行-TSS'!B:AE,30,FALSE),"")</f>
        <v>4.6300000000000001E-2</v>
      </c>
      <c r="Q250" s="1749" t="str">
        <f ca="1">IFERROR(IF(VLOOKUP(表格1[[#This Row],[商品
代碼]],'銀行-TSS'!B:AM,38,FALSE)="#N/A Field Not Applicable","",VLOOKUP(表格1[[#This Row],[商品
代碼]],'銀行-TSS'!B:AM,38,FALSE)),"")</f>
        <v>2027/1/15</v>
      </c>
      <c r="R250" s="1749" t="str">
        <f ca="1">IFERROR(VLOOKUP(表格1[[#This Row],[商品
代碼]],'銀行-TSS'!B:AH,33,FALSE),"")</f>
        <v>美元(USD)</v>
      </c>
      <c r="S250" s="1754">
        <f ca="1">IFERROR(VLOOKUP(B250,'銀行-TSS'!B:N,13,FALSE),"")</f>
        <v>10000</v>
      </c>
      <c r="T250" s="1754" t="str">
        <f ca="1">VLOOKUP(表格1[[#This Row],[商品
代碼]],'銀行-TSS'!B:AI,34,FALSE)</f>
        <v>自由選清單</v>
      </c>
      <c r="U250" s="1755" t="str">
        <f ca="1">IFERROR(VLOOKUP(B250,'銀行-TSS'!B:Q,16,FALSE),"")</f>
        <v>能源</v>
      </c>
      <c r="V250" s="1755" t="str">
        <f ca="1">IFERROR(VLOOKUP(表格1[[#This Row],[商品
代碼]],'銀行-TSS'!B:AG,32,FALSE),"")</f>
        <v>固定</v>
      </c>
      <c r="W250" s="1756" t="str">
        <f ca="1">IFERROR(IFERROR(VLOOKUP(表格1[[#This Row],[商品
代碼]],'3_是否下架'!A:B,2,FALSE),VLOOKUP(表格1[[#This Row],[商品
代碼]],'銀行-TSS'!B:AK,36,FALSE)),"")</f>
        <v>有</v>
      </c>
      <c r="Y250" s="400"/>
      <c r="Z250" s="400"/>
      <c r="AA250" s="401"/>
    </row>
    <row r="251" spans="2:27" s="399" customFormat="1" ht="24.75" customHeight="1">
      <c r="B251" s="1745" t="s">
        <v>2215</v>
      </c>
      <c r="C251" s="1745" t="str">
        <f ca="1">IFERROR(VLOOKUP(表格1[[#This Row],[商品
代碼]],'銀行-TSS'!B:V,21,FALSE),"")</f>
        <v>(PI)專投</v>
      </c>
      <c r="D251" s="1746" t="str">
        <f>IFERROR(VLOOKUP(表格1[[#This Row],[商品
代碼]],bond!B:F,5,FALSE),"")</f>
        <v>US65535HBF55</v>
      </c>
      <c r="E251" s="1746" t="str">
        <f ca="1">IFERROR(VLOOKUP(B251,'銀行-TSS'!B:D,3,FALSE),"")</f>
        <v>野村控股公司美元配息債券 5.386% 2027/7/6</v>
      </c>
      <c r="F251" s="1745" t="str">
        <f ca="1">IFERROR(VLOOKUP(B251,'銀行-TSS'!B:E,4,FALSE),"")</f>
        <v>Baa1 / BBB+ / -</v>
      </c>
      <c r="G251" s="1747">
        <f ca="1">IFERROR(VLOOKUP(B251,'銀行-TSS'!B:G,6,FALSE),"")</f>
        <v>3.01</v>
      </c>
      <c r="H251" s="1748">
        <f ca="1">IFERROR(VLOOKUP(B251,'銀行-TSS'!B:H,7,FALSE),"")</f>
        <v>5.3859999999999998E-2</v>
      </c>
      <c r="I251" s="1745" t="str">
        <f ca="1">IFERROR(IF(表格1[[#This Row],[配息頻率]]=0,"",CHOOSE(表格1[[#This Row],[配息頻率]],MONTH(J251),IF(MONTH(J251)&lt;=6,CONCATENATE(MONTH(J251)," / ",MONTH(J251)+6),CONCATENATE(MONTH(J251)-6," / ",MONTH(J251))),0,"2 / 4 / 8 / 11")),"")</f>
        <v>1 / 7</v>
      </c>
      <c r="J251" s="1749" t="str">
        <f ca="1">IFERROR(VLOOKUP(B251,'銀行-TSS'!B:P,15,FALSE),"")</f>
        <v>2024/7/6</v>
      </c>
      <c r="K251" s="1750">
        <f ca="1">IFERROR(VLOOKUP(表格1[[#This Row],[商品
代碼]],'銀行-TSS'!B:I,8,FALSE),"")</f>
        <v>2</v>
      </c>
      <c r="L251" s="1747">
        <f ca="1">IFERROR(VLOOKUP(B251,'銀行-TSS'!B:K,10,FALSE),"")</f>
        <v>103.86</v>
      </c>
      <c r="M251" s="1745" t="str">
        <f ca="1">IF(表格1[[#This Row],[含息申購
參考價]]&gt;100,"溢價",IF(表格1[[#This Row],[含息申購
參考價]]&lt;100,"折價","平價"))</f>
        <v>溢價</v>
      </c>
      <c r="N251" s="1751">
        <f ca="1">IFERROR(VLOOKUP(B251,'銀行-TSS'!B:M,12,FALSE),"")</f>
        <v>4.9399999999999999E-2</v>
      </c>
      <c r="O251" s="1752">
        <f ca="1">IFERROR(VLOOKUP(表格1[[#This Row],[商品
代碼]],'銀行-TSS'!B:AJ,35,FALSE),"")</f>
        <v>0</v>
      </c>
      <c r="P251" s="1753" t="str">
        <f ca="1">IFERROR(VLOOKUP(表格1[[#This Row],[商品
代碼]],'銀行-TSS'!B:AE,30,FALSE),"")</f>
        <v xml:space="preserve"> </v>
      </c>
      <c r="Q251" s="1749" t="str">
        <f ca="1">IFERROR(IF(VLOOKUP(表格1[[#This Row],[商品
代碼]],'銀行-TSS'!B:AM,38,FALSE)="#N/A Field Not Applicable","",VLOOKUP(表格1[[#This Row],[商品
代碼]],'銀行-TSS'!B:AM,38,FALSE)),"")</f>
        <v/>
      </c>
      <c r="R251" s="1749" t="str">
        <f ca="1">IFERROR(VLOOKUP(表格1[[#This Row],[商品
代碼]],'銀行-TSS'!B:AH,33,FALSE),"")</f>
        <v>美元(USD)</v>
      </c>
      <c r="S251" s="1754">
        <f ca="1">IFERROR(VLOOKUP(B251,'銀行-TSS'!B:N,13,FALSE),"")</f>
        <v>200000</v>
      </c>
      <c r="T251" s="1754" t="str">
        <f ca="1">VLOOKUP(表格1[[#This Row],[商品
代碼]],'銀行-TSS'!B:AI,34,FALSE)</f>
        <v>自由選清單</v>
      </c>
      <c r="U251" s="1755" t="str">
        <f ca="1">IFERROR(VLOOKUP(B251,'銀行-TSS'!B:Q,16,FALSE),"")</f>
        <v>金融</v>
      </c>
      <c r="V251" s="1755" t="str">
        <f ca="1">IFERROR(VLOOKUP(表格1[[#This Row],[商品
代碼]],'銀行-TSS'!B:AG,32,FALSE),"")</f>
        <v>固定</v>
      </c>
      <c r="W251" s="1756" t="str">
        <f ca="1">IFERROR(IFERROR(VLOOKUP(表格1[[#This Row],[商品
代碼]],'3_是否下架'!A:B,2,FALSE),VLOOKUP(表格1[[#This Row],[商品
代碼]],'銀行-TSS'!B:AK,36,FALSE)),"")</f>
        <v>有</v>
      </c>
      <c r="Y251" s="400"/>
      <c r="Z251" s="400"/>
      <c r="AA251" s="401"/>
    </row>
    <row r="252" spans="2:27" s="399" customFormat="1" ht="24.75" customHeight="1">
      <c r="B252" s="1745" t="s">
        <v>1234</v>
      </c>
      <c r="C252" s="1745" t="str">
        <f ca="1">IFERROR(VLOOKUP(表格1[[#This Row],[商品
代碼]],'銀行-TSS'!B:V,21,FALSE),"")</f>
        <v>(NPI)非專投</v>
      </c>
      <c r="D252" s="1746" t="str">
        <f>IFERROR(VLOOKUP(表格1[[#This Row],[商品
代碼]],bond!B:F,5,FALSE),"")</f>
        <v>US91282CEW73</v>
      </c>
      <c r="E252" s="1746" t="str">
        <f ca="1">IFERROR(VLOOKUP(B252,'銀行-TSS'!B:D,3,FALSE),"")</f>
        <v>美國政府公債 3.25% 2027/6/30</v>
      </c>
      <c r="F252" s="1745" t="str">
        <f ca="1">IFERROR(VLOOKUP(B252,'銀行-TSS'!B:E,4,FALSE),"")</f>
        <v>Aaa / - / AA+u</v>
      </c>
      <c r="G252" s="1747">
        <f ca="1">IFERROR(VLOOKUP(B252,'銀行-TSS'!B:G,6,FALSE),"")</f>
        <v>2.99</v>
      </c>
      <c r="H252" s="1748">
        <f ca="1">IFERROR(VLOOKUP(B252,'銀行-TSS'!B:H,7,FALSE),"")</f>
        <v>3.2500000000000001E-2</v>
      </c>
      <c r="I252" s="1745" t="str">
        <f ca="1">IFERROR(IF(表格1[[#This Row],[配息頻率]]=0,"",CHOOSE(表格1[[#This Row],[配息頻率]],MONTH(J252),IF(MONTH(J252)&lt;=6,CONCATENATE(MONTH(J252)," / ",MONTH(J252)+6),CONCATENATE(MONTH(J252)-6," / ",MONTH(J252))),0,"2 / 4 / 8 / 11")),"")</f>
        <v>6 / 12</v>
      </c>
      <c r="J252" s="1749" t="str">
        <f ca="1">IFERROR(VLOOKUP(B252,'銀行-TSS'!B:P,15,FALSE),"")</f>
        <v>2024/12/31</v>
      </c>
      <c r="K252" s="1750">
        <f ca="1">IFERROR(VLOOKUP(表格1[[#This Row],[商品
代碼]],'銀行-TSS'!B:I,8,FALSE),"")</f>
        <v>2</v>
      </c>
      <c r="L252" s="1747">
        <f ca="1">IFERROR(VLOOKUP(B252,'銀行-TSS'!B:K,10,FALSE),"")</f>
        <v>97.94</v>
      </c>
      <c r="M252" s="1745" t="str">
        <f ca="1">IF(表格1[[#This Row],[含息申購
參考價]]&gt;100,"溢價",IF(表格1[[#This Row],[含息申購
參考價]]&lt;100,"折價","平價"))</f>
        <v>折價</v>
      </c>
      <c r="N252" s="1751">
        <f ca="1">IFERROR(VLOOKUP(B252,'銀行-TSS'!B:M,12,FALSE),"")</f>
        <v>3.9899999999999998E-2</v>
      </c>
      <c r="O252" s="1752">
        <f ca="1">IFERROR(VLOOKUP(表格1[[#This Row],[商品
代碼]],'銀行-TSS'!B:AJ,35,FALSE),"")</f>
        <v>0</v>
      </c>
      <c r="P252" s="1753" t="str">
        <f ca="1">IFERROR(VLOOKUP(表格1[[#This Row],[商品
代碼]],'銀行-TSS'!B:AE,30,FALSE),"")</f>
        <v xml:space="preserve"> </v>
      </c>
      <c r="Q252" s="1749" t="str">
        <f ca="1">IFERROR(IF(VLOOKUP(表格1[[#This Row],[商品
代碼]],'銀行-TSS'!B:AM,38,FALSE)="#N/A Field Not Applicable","",VLOOKUP(表格1[[#This Row],[商品
代碼]],'銀行-TSS'!B:AM,38,FALSE)),"")</f>
        <v/>
      </c>
      <c r="R252" s="1749" t="str">
        <f ca="1">IFERROR(VLOOKUP(表格1[[#This Row],[商品
代碼]],'銀行-TSS'!B:AH,33,FALSE),"")</f>
        <v>美元(USD)</v>
      </c>
      <c r="S252" s="1754">
        <f ca="1">IFERROR(VLOOKUP(B252,'銀行-TSS'!B:N,13,FALSE),"")</f>
        <v>10000</v>
      </c>
      <c r="T252" s="1754" t="str">
        <f ca="1">VLOOKUP(表格1[[#This Row],[商品
代碼]],'銀行-TSS'!B:AI,34,FALSE)</f>
        <v>自由選清單</v>
      </c>
      <c r="U252" s="1755" t="str">
        <f ca="1">IFERROR(VLOOKUP(B252,'銀行-TSS'!B:Q,16,FALSE),"")</f>
        <v>政府</v>
      </c>
      <c r="V252" s="1755" t="str">
        <f ca="1">IFERROR(VLOOKUP(表格1[[#This Row],[商品
代碼]],'銀行-TSS'!B:AG,32,FALSE),"")</f>
        <v>固定</v>
      </c>
      <c r="W252" s="1756" t="str">
        <f ca="1">IFERROR(IFERROR(VLOOKUP(表格1[[#This Row],[商品
代碼]],'3_是否下架'!A:B,2,FALSE),VLOOKUP(表格1[[#This Row],[商品
代碼]],'銀行-TSS'!B:AK,36,FALSE)),"")</f>
        <v>有</v>
      </c>
      <c r="Y252" s="400"/>
      <c r="Z252" s="400"/>
      <c r="AA252" s="401"/>
    </row>
    <row r="253" spans="2:27" s="399" customFormat="1" ht="24.75" customHeight="1">
      <c r="B253" s="1745" t="s">
        <v>726</v>
      </c>
      <c r="C253" s="1745" t="str">
        <f ca="1">IFERROR(VLOOKUP(表格1[[#This Row],[商品
代碼]],'銀行-TSS'!B:V,21,FALSE),"")</f>
        <v>高資產</v>
      </c>
      <c r="D253" s="1746" t="str">
        <f>IFERROR(VLOOKUP(表格1[[#This Row],[商品
代碼]],bond!B:F,5,FALSE),"")</f>
        <v>RU000A0JXTS9</v>
      </c>
      <c r="E253" s="1746" t="str">
        <f ca="1">IFERROR(VLOOKUP(B253,'銀行-TSS'!B:D,3,FALSE),"")</f>
        <v>俄羅斯聯邦政府美元配息債券 4.25% 2027/6/23</v>
      </c>
      <c r="F253" s="1745" t="str">
        <f ca="1">IFERROR(VLOOKUP(B253,'銀行-TSS'!B:E,4,FALSE),"")</f>
        <v>- / - / WD</v>
      </c>
      <c r="G253" s="1747">
        <f ca="1">IFERROR(VLOOKUP(B253,'銀行-TSS'!B:G,6,FALSE),"")</f>
        <v>2.97</v>
      </c>
      <c r="H253" s="1748">
        <f ca="1">IFERROR(VLOOKUP(B253,'銀行-TSS'!B:H,7,FALSE),"")</f>
        <v>4.2500000000000003E-2</v>
      </c>
      <c r="I253" s="1745" t="str">
        <f ca="1">IFERROR(IF(表格1[[#This Row],[配息頻率]]=0,"",CHOOSE(表格1[[#This Row],[配息頻率]],MONTH(J253),IF(MONTH(J253)&lt;=6,CONCATENATE(MONTH(J253)," / ",MONTH(J253)+6),CONCATENATE(MONTH(J253)-6," / ",MONTH(J253))),0,"2 / 4 / 8 / 11")),"")</f>
        <v>6 / 12</v>
      </c>
      <c r="J253" s="1749" t="str">
        <f ca="1">IFERROR(VLOOKUP(B253,'銀行-TSS'!B:P,15,FALSE),"")</f>
        <v>2024/12/23</v>
      </c>
      <c r="K253" s="1750">
        <f ca="1">IFERROR(VLOOKUP(表格1[[#This Row],[商品
代碼]],'銀行-TSS'!B:I,8,FALSE),"")</f>
        <v>2</v>
      </c>
      <c r="L253" s="1747">
        <f ca="1">IFERROR(VLOOKUP(B253,'銀行-TSS'!B:K,10,FALSE),"")</f>
        <v>78.17</v>
      </c>
      <c r="M253" s="1745" t="str">
        <f ca="1">IF(表格1[[#This Row],[含息申購
參考價]]&gt;100,"溢價",IF(表格1[[#This Row],[含息申購
參考價]]&lt;100,"折價","平價"))</f>
        <v>折價</v>
      </c>
      <c r="N253" s="1751">
        <f ca="1">IFERROR(VLOOKUP(B253,'銀行-TSS'!B:M,12,FALSE),"")</f>
        <v>0.12479999999999999</v>
      </c>
      <c r="O253" s="1752">
        <f ca="1">IFERROR(VLOOKUP(表格1[[#This Row],[商品
代碼]],'銀行-TSS'!B:AJ,35,FALSE),"")</f>
        <v>0</v>
      </c>
      <c r="P253" s="1751" t="str">
        <f ca="1">IFERROR(VLOOKUP(表格1[[#This Row],[商品
代碼]],'銀行-TSS'!B:AE,30,FALSE),"")</f>
        <v xml:space="preserve"> </v>
      </c>
      <c r="Q253" s="1749" t="str">
        <f ca="1">IFERROR(IF(VLOOKUP(表格1[[#This Row],[商品
代碼]],'銀行-TSS'!B:AM,38,FALSE)="#N/A Field Not Applicable","",VLOOKUP(表格1[[#This Row],[商品
代碼]],'銀行-TSS'!B:AM,38,FALSE)),"")</f>
        <v/>
      </c>
      <c r="R253" s="1749" t="str">
        <f ca="1">IFERROR(VLOOKUP(表格1[[#This Row],[商品
代碼]],'銀行-TSS'!B:AH,33,FALSE),"")</f>
        <v>美元(USD)</v>
      </c>
      <c r="S253" s="1754">
        <f ca="1">IFERROR(VLOOKUP(B253,'銀行-TSS'!B:N,13,FALSE),"")</f>
        <v>200000</v>
      </c>
      <c r="T253" s="1754" t="str">
        <f ca="1">VLOOKUP(表格1[[#This Row],[商品
代碼]],'銀行-TSS'!B:AI,34,FALSE)</f>
        <v>自由選清單</v>
      </c>
      <c r="U253" s="1745" t="str">
        <f ca="1">IFERROR(VLOOKUP(B253,'銀行-TSS'!B:Q,16,FALSE),"")</f>
        <v>政府</v>
      </c>
      <c r="V253" s="1755" t="str">
        <f ca="1">IFERROR(VLOOKUP(表格1[[#This Row],[商品
代碼]],'銀行-TSS'!B:AG,32,FALSE),"")</f>
        <v>不含息交易</v>
      </c>
      <c r="W253" s="1757" t="str">
        <f>IFERROR(IFERROR(VLOOKUP(表格1[[#This Row],[商品
代碼]],'3_是否下架'!A:B,2,FALSE),VLOOKUP(表格1[[#This Row],[商品
代碼]],'銀行-TSS'!B:AK,36,FALSE)),"")</f>
        <v>已下架</v>
      </c>
      <c r="Y253" s="400"/>
      <c r="Z253" s="400"/>
      <c r="AA253" s="401"/>
    </row>
    <row r="254" spans="2:27" s="399" customFormat="1" ht="24.75" customHeight="1">
      <c r="B254" s="1745" t="s">
        <v>1212</v>
      </c>
      <c r="C254" s="1745" t="str">
        <f ca="1">IFERROR(VLOOKUP(表格1[[#This Row],[商品
代碼]],'銀行-TSS'!B:V,21,FALSE),"")</f>
        <v>(PI)專投</v>
      </c>
      <c r="D254" s="1746" t="str">
        <f>IFERROR(VLOOKUP(表格1[[#This Row],[商品
代碼]],bond!B:F,5,FALSE),"")</f>
        <v>US83368TBM99</v>
      </c>
      <c r="E254" s="1746" t="str">
        <f ca="1">IFERROR(VLOOKUP(B254,'銀行-TSS'!B:D,3,FALSE),"")</f>
        <v>法國興業銀行美元配息債券 4.677% 2027/6/15</v>
      </c>
      <c r="F254" s="1745" t="str">
        <f ca="1">IFERROR(VLOOKUP(B254,'銀行-TSS'!B:E,4,FALSE),"")</f>
        <v>A1 / A / A</v>
      </c>
      <c r="G254" s="1747">
        <f ca="1">IFERROR(VLOOKUP(B254,'銀行-TSS'!B:G,6,FALSE),"")</f>
        <v>2.95</v>
      </c>
      <c r="H254" s="1748">
        <f ca="1">IFERROR(VLOOKUP(B254,'銀行-TSS'!B:H,7,FALSE),"")</f>
        <v>4.6769999999999999E-2</v>
      </c>
      <c r="I254" s="1745" t="str">
        <f ca="1">IFERROR(IF(表格1[[#This Row],[配息頻率]]=0,"",CHOOSE(表格1[[#This Row],[配息頻率]],MONTH(J254),IF(MONTH(J254)&lt;=6,CONCATENATE(MONTH(J254)," / ",MONTH(J254)+6),CONCATENATE(MONTH(J254)-6," / ",MONTH(J254))),0,"2 / 4 / 8 / 11")),"")</f>
        <v>6 / 12</v>
      </c>
      <c r="J254" s="1749" t="str">
        <f ca="1">IFERROR(VLOOKUP(B254,'銀行-TSS'!B:P,15,FALSE),"")</f>
        <v>2024/12/15</v>
      </c>
      <c r="K254" s="1750">
        <f ca="1">IFERROR(VLOOKUP(表格1[[#This Row],[商品
代碼]],'銀行-TSS'!B:I,8,FALSE),"")</f>
        <v>2</v>
      </c>
      <c r="L254" s="1747">
        <f ca="1">IFERROR(VLOOKUP(B254,'銀行-TSS'!B:K,10,FALSE),"")</f>
        <v>100.59</v>
      </c>
      <c r="M254" s="1745" t="str">
        <f ca="1">IF(表格1[[#This Row],[含息申購
參考價]]&gt;100,"溢價",IF(表格1[[#This Row],[含息申購
參考價]]&lt;100,"折價","平價"))</f>
        <v>溢價</v>
      </c>
      <c r="N254" s="1751">
        <f ca="1">IFERROR(VLOOKUP(B254,'銀行-TSS'!B:M,12,FALSE),"")</f>
        <v>4.5400000000000003E-2</v>
      </c>
      <c r="O254" s="1752">
        <f ca="1">IFERROR(VLOOKUP(表格1[[#This Row],[商品
代碼]],'銀行-TSS'!B:AJ,35,FALSE),"")</f>
        <v>0</v>
      </c>
      <c r="P254" s="1753" t="str">
        <f ca="1">IFERROR(VLOOKUP(表格1[[#This Row],[商品
代碼]],'銀行-TSS'!B:AE,30,FALSE),"")</f>
        <v xml:space="preserve"> </v>
      </c>
      <c r="Q254" s="1749" t="str">
        <f ca="1">IFERROR(IF(VLOOKUP(表格1[[#This Row],[商品
代碼]],'銀行-TSS'!B:AM,38,FALSE)="#N/A Field Not Applicable","",VLOOKUP(表格1[[#This Row],[商品
代碼]],'銀行-TSS'!B:AM,38,FALSE)),"")</f>
        <v/>
      </c>
      <c r="R254" s="1749" t="str">
        <f ca="1">IFERROR(VLOOKUP(表格1[[#This Row],[商品
代碼]],'銀行-TSS'!B:AH,33,FALSE),"")</f>
        <v>美元(USD)</v>
      </c>
      <c r="S254" s="1754">
        <f ca="1">IFERROR(VLOOKUP(B254,'銀行-TSS'!B:N,13,FALSE),"")</f>
        <v>200000</v>
      </c>
      <c r="T254" s="1754" t="str">
        <f ca="1">VLOOKUP(表格1[[#This Row],[商品
代碼]],'銀行-TSS'!B:AI,34,FALSE)</f>
        <v>自由選清單</v>
      </c>
      <c r="U254" s="1755" t="str">
        <f ca="1">IFERROR(VLOOKUP(B254,'銀行-TSS'!B:Q,16,FALSE),"")</f>
        <v>金融</v>
      </c>
      <c r="V254" s="1755" t="str">
        <f ca="1">IFERROR(VLOOKUP(表格1[[#This Row],[商品
代碼]],'銀行-TSS'!B:AG,32,FALSE),"")</f>
        <v>固定</v>
      </c>
      <c r="W254" s="1756" t="str">
        <f ca="1">IFERROR(IFERROR(VLOOKUP(表格1[[#This Row],[商品
代碼]],'3_是否下架'!A:B,2,FALSE),VLOOKUP(表格1[[#This Row],[商品
代碼]],'銀行-TSS'!B:AK,36,FALSE)),"")</f>
        <v>有</v>
      </c>
      <c r="Y254" s="400"/>
      <c r="Z254" s="400"/>
      <c r="AA254" s="401"/>
    </row>
    <row r="255" spans="2:27" s="399" customFormat="1" ht="24.75" customHeight="1">
      <c r="B255" s="1745" t="s">
        <v>720</v>
      </c>
      <c r="C255" s="1745" t="str">
        <f ca="1">IFERROR(VLOOKUP(表格1[[#This Row],[商品
代碼]],'銀行-TSS'!B:V,21,FALSE),"")</f>
        <v>(NPI)非專投</v>
      </c>
      <c r="D255" s="1746" t="str">
        <f>IFERROR(VLOOKUP(表格1[[#This Row],[商品
代碼]],bond!B:F,5,FALSE),"")</f>
        <v>US747525AU71</v>
      </c>
      <c r="E255" s="1746" t="str">
        <f ca="1">IFERROR(VLOOKUP(B255,'銀行-TSS'!B:D,3,FALSE),"")</f>
        <v>高通公司美元配息債券 3.25% 2027/5/20</v>
      </c>
      <c r="F255" s="1745" t="str">
        <f ca="1">IFERROR(VLOOKUP(B255,'銀行-TSS'!B:E,4,FALSE),"")</f>
        <v>A2 / A / -</v>
      </c>
      <c r="G255" s="1747">
        <f ca="1">IFERROR(VLOOKUP(B255,'銀行-TSS'!B:G,6,FALSE),"")</f>
        <v>2.88</v>
      </c>
      <c r="H255" s="1748">
        <f ca="1">IFERROR(VLOOKUP(B255,'銀行-TSS'!B:H,7,FALSE),"")</f>
        <v>3.2500000000000001E-2</v>
      </c>
      <c r="I255" s="1745" t="str">
        <f ca="1">IFERROR(IF(表格1[[#This Row],[配息頻率]]=0,"",CHOOSE(表格1[[#This Row],[配息頻率]],MONTH(J255),IF(MONTH(J255)&lt;=6,CONCATENATE(MONTH(J255)," / ",MONTH(J255)+6),CONCATENATE(MONTH(J255)-6," / ",MONTH(J255))),0,"2 / 4 / 8 / 11")),"")</f>
        <v>5 / 11</v>
      </c>
      <c r="J255" s="1749" t="str">
        <f ca="1">IFERROR(VLOOKUP(B255,'銀行-TSS'!B:P,15,FALSE),"")</f>
        <v>2024/11/20</v>
      </c>
      <c r="K255" s="1750">
        <f ca="1">IFERROR(VLOOKUP(表格1[[#This Row],[商品
代碼]],'銀行-TSS'!B:I,8,FALSE),"")</f>
        <v>2</v>
      </c>
      <c r="L255" s="1747">
        <f ca="1">IFERROR(VLOOKUP(B255,'銀行-TSS'!B:K,10,FALSE),"")</f>
        <v>97.33</v>
      </c>
      <c r="M255" s="1745" t="str">
        <f ca="1">IF(表格1[[#This Row],[含息申購
參考價]]&gt;100,"溢價",IF(表格1[[#This Row],[含息申購
參考價]]&lt;100,"折價","平價"))</f>
        <v>折價</v>
      </c>
      <c r="N255" s="1751">
        <f ca="1">IFERROR(VLOOKUP(B255,'銀行-TSS'!B:M,12,FALSE),"")</f>
        <v>4.3900000000000002E-2</v>
      </c>
      <c r="O255" s="1752">
        <f ca="1">IFERROR(VLOOKUP(表格1[[#This Row],[商品
代碼]],'銀行-TSS'!B:AJ,35,FALSE),"")</f>
        <v>0</v>
      </c>
      <c r="P255" s="1753">
        <f ca="1">IFERROR(VLOOKUP(表格1[[#This Row],[商品
代碼]],'銀行-TSS'!B:AE,30,FALSE),"")</f>
        <v>4.4900000000000002E-2</v>
      </c>
      <c r="Q255" s="1749" t="str">
        <f ca="1">IFERROR(IF(VLOOKUP(表格1[[#This Row],[商品
代碼]],'銀行-TSS'!B:AM,38,FALSE)="#N/A Field Not Applicable","",VLOOKUP(表格1[[#This Row],[商品
代碼]],'銀行-TSS'!B:AM,38,FALSE)),"")</f>
        <v>2027/2/20</v>
      </c>
      <c r="R255" s="1749" t="str">
        <f ca="1">IFERROR(VLOOKUP(表格1[[#This Row],[商品
代碼]],'銀行-TSS'!B:AH,33,FALSE),"")</f>
        <v>美元(USD)</v>
      </c>
      <c r="S255" s="1754">
        <f ca="1">IFERROR(VLOOKUP(B255,'銀行-TSS'!B:N,13,FALSE),"")</f>
        <v>10000</v>
      </c>
      <c r="T255" s="1754" t="str">
        <f ca="1">VLOOKUP(表格1[[#This Row],[商品
代碼]],'銀行-TSS'!B:AI,34,FALSE)</f>
        <v>自由選清單</v>
      </c>
      <c r="U255" s="1755" t="str">
        <f ca="1">IFERROR(VLOOKUP(B255,'銀行-TSS'!B:Q,16,FALSE),"")</f>
        <v>科技</v>
      </c>
      <c r="V255" s="1755" t="str">
        <f ca="1">IFERROR(VLOOKUP(表格1[[#This Row],[商品
代碼]],'銀行-TSS'!B:AG,32,FALSE),"")</f>
        <v>固定</v>
      </c>
      <c r="W255" s="1756" t="str">
        <f ca="1">IFERROR(IFERROR(VLOOKUP(表格1[[#This Row],[商品
代碼]],'3_是否下架'!A:B,2,FALSE),VLOOKUP(表格1[[#This Row],[商品
代碼]],'銀行-TSS'!B:AK,36,FALSE)),"")</f>
        <v>有</v>
      </c>
      <c r="Y255" s="400"/>
      <c r="Z255" s="400"/>
      <c r="AA255" s="401"/>
    </row>
    <row r="256" spans="2:27" s="399" customFormat="1" ht="24.75" customHeight="1">
      <c r="B256" s="1745" t="s">
        <v>670</v>
      </c>
      <c r="C256" s="1745" t="str">
        <f ca="1">IFERROR(VLOOKUP(表格1[[#This Row],[商品
代碼]],'銀行-TSS'!B:V,21,FALSE),"")</f>
        <v>(PI)專投</v>
      </c>
      <c r="D256" s="1746" t="str">
        <f>IFERROR(VLOOKUP(表格1[[#This Row],[商品
代碼]],bond!B:F,5,FALSE),"")</f>
        <v>XS1615104244</v>
      </c>
      <c r="E256" s="1746" t="str">
        <f ca="1">IFERROR(VLOOKUP(B256,'銀行-TSS'!B:D,3,FALSE),"")</f>
        <v>法國興業銀行澳幣年配息債券 5% 2027/5/19</v>
      </c>
      <c r="F256" s="1745" t="str">
        <f ca="1">IFERROR(VLOOKUP(B256,'銀行-TSS'!B:E,4,FALSE),"")</f>
        <v>Baa3 / BBB- / BBB</v>
      </c>
      <c r="G256" s="1747">
        <f ca="1">IFERROR(VLOOKUP(B256,'銀行-TSS'!B:G,6,FALSE),"")</f>
        <v>2.87</v>
      </c>
      <c r="H256" s="1748">
        <f ca="1">IFERROR(VLOOKUP(B256,'銀行-TSS'!B:H,7,FALSE),"")</f>
        <v>0.05</v>
      </c>
      <c r="I256" s="1745">
        <f ca="1">IFERROR(IF(表格1[[#This Row],[配息頻率]]=0,"",CHOOSE(表格1[[#This Row],[配息頻率]],MONTH(J256),IF(MONTH(J256)&lt;=6,CONCATENATE(MONTH(J256)," / ",MONTH(J256)+6),CONCATENATE(MONTH(J256)-6," / ",MONTH(J256))),0,"2 / 4 / 8 / 11")),"")</f>
        <v>5</v>
      </c>
      <c r="J256" s="1749" t="str">
        <f ca="1">IFERROR(VLOOKUP(B256,'銀行-TSS'!B:P,15,FALSE),"")</f>
        <v>2025/5/19</v>
      </c>
      <c r="K256" s="1750">
        <f ca="1">IFERROR(VLOOKUP(表格1[[#This Row],[商品
代碼]],'銀行-TSS'!B:I,8,FALSE),"")</f>
        <v>1</v>
      </c>
      <c r="L256" s="1747">
        <f ca="1">IFERROR(VLOOKUP(B256,'銀行-TSS'!B:K,10,FALSE),"")</f>
        <v>100.7</v>
      </c>
      <c r="M256" s="1745" t="str">
        <f ca="1">IF(表格1[[#This Row],[含息申購
參考價]]&gt;100,"溢價",IF(表格1[[#This Row],[含息申購
參考價]]&lt;100,"折價","平價"))</f>
        <v>溢價</v>
      </c>
      <c r="N256" s="1751">
        <f ca="1">IFERROR(VLOOKUP(B256,'銀行-TSS'!B:M,12,FALSE),"")</f>
        <v>4.9599999999999998E-2</v>
      </c>
      <c r="O256" s="1752">
        <f ca="1">IFERROR(VLOOKUP(表格1[[#This Row],[商品
代碼]],'銀行-TSS'!B:AJ,35,FALSE),"")</f>
        <v>1</v>
      </c>
      <c r="P256" s="1753" t="str">
        <f ca="1">IFERROR(VLOOKUP(表格1[[#This Row],[商品
代碼]],'銀行-TSS'!B:AE,30,FALSE),"")</f>
        <v xml:space="preserve"> </v>
      </c>
      <c r="Q256" s="1749" t="str">
        <f ca="1">IFERROR(IF(VLOOKUP(表格1[[#This Row],[商品
代碼]],'銀行-TSS'!B:AM,38,FALSE)="#N/A Field Not Applicable","",VLOOKUP(表格1[[#This Row],[商品
代碼]],'銀行-TSS'!B:AM,38,FALSE)),"")</f>
        <v/>
      </c>
      <c r="R256" s="1749" t="str">
        <f ca="1">IFERROR(VLOOKUP(表格1[[#This Row],[商品
代碼]],'銀行-TSS'!B:AH,33,FALSE),"")</f>
        <v>澳幣(AUD)</v>
      </c>
      <c r="S256" s="1754">
        <f ca="1">IFERROR(VLOOKUP(B256,'銀行-TSS'!B:N,13,FALSE),"")</f>
        <v>200000</v>
      </c>
      <c r="T256" s="1754" t="str">
        <f ca="1">VLOOKUP(表格1[[#This Row],[商品
代碼]],'銀行-TSS'!B:AI,34,FALSE)</f>
        <v/>
      </c>
      <c r="U256" s="1755" t="str">
        <f ca="1">IFERROR(VLOOKUP(B256,'銀行-TSS'!B:Q,16,FALSE),"")</f>
        <v>金融</v>
      </c>
      <c r="V256" s="1755" t="str">
        <f ca="1">IFERROR(VLOOKUP(表格1[[#This Row],[商品
代碼]],'銀行-TSS'!B:AG,32,FALSE),"")</f>
        <v>固定</v>
      </c>
      <c r="W256" s="1756" t="str">
        <f ca="1">IFERROR(IFERROR(VLOOKUP(表格1[[#This Row],[商品
代碼]],'3_是否下架'!A:B,2,FALSE),VLOOKUP(表格1[[#This Row],[商品
代碼]],'銀行-TSS'!B:AK,36,FALSE)),"")</f>
        <v>需查詢</v>
      </c>
      <c r="Y256" s="400"/>
      <c r="Z256" s="400"/>
      <c r="AA256" s="401"/>
    </row>
    <row r="257" spans="2:27" s="399" customFormat="1" ht="24.75" customHeight="1">
      <c r="B257" s="1745" t="s">
        <v>685</v>
      </c>
      <c r="C257" s="1745" t="str">
        <f ca="1">IFERROR(VLOOKUP(表格1[[#This Row],[商品
代碼]],'銀行-TSS'!B:V,21,FALSE),"")</f>
        <v>(PI)專投</v>
      </c>
      <c r="D257" s="1746" t="str">
        <f>IFERROR(VLOOKUP(表格1[[#This Row],[商品
代碼]],bond!B:F,5,FALSE),"")</f>
        <v>XS1602313279</v>
      </c>
      <c r="E257" s="1746" t="str">
        <f ca="1">IFERROR(VLOOKUP(B257,'銀行-TSS'!B:D,3,FALSE),"")</f>
        <v>富國銀行澳幣配息債券 4% 2027/4/27</v>
      </c>
      <c r="F257" s="1745" t="str">
        <f ca="1">IFERROR(VLOOKUP(B257,'銀行-TSS'!B:E,4,FALSE),"")</f>
        <v>A1 / BBB+ / A+</v>
      </c>
      <c r="G257" s="1747">
        <f ca="1">IFERROR(VLOOKUP(B257,'銀行-TSS'!B:G,6,FALSE),"")</f>
        <v>2.81</v>
      </c>
      <c r="H257" s="1748">
        <f ca="1">IFERROR(VLOOKUP(B257,'銀行-TSS'!B:H,7,FALSE),"")</f>
        <v>0.04</v>
      </c>
      <c r="I257" s="1745" t="str">
        <f ca="1">IFERROR(IF(表格1[[#This Row],[配息頻率]]=0,"",CHOOSE(表格1[[#This Row],[配息頻率]],MONTH(J257),IF(MONTH(J257)&lt;=6,CONCATENATE(MONTH(J257)," / ",MONTH(J257)+6),CONCATENATE(MONTH(J257)-6," / ",MONTH(J257))),0,"2 / 4 / 8 / 11")),"")</f>
        <v>4 / 10</v>
      </c>
      <c r="J257" s="1749" t="str">
        <f ca="1">IFERROR(VLOOKUP(B257,'銀行-TSS'!B:P,15,FALSE),"")</f>
        <v>2024/10/27</v>
      </c>
      <c r="K257" s="1750">
        <f ca="1">IFERROR(VLOOKUP(表格1[[#This Row],[商品
代碼]],'銀行-TSS'!B:I,8,FALSE),"")</f>
        <v>2</v>
      </c>
      <c r="L257" s="1747">
        <f ca="1">IFERROR(VLOOKUP(B257,'銀行-TSS'!B:K,10,FALSE),"")</f>
        <v>100.38000000000001</v>
      </c>
      <c r="M257" s="1745" t="str">
        <f ca="1">IF(表格1[[#This Row],[含息申購
參考價]]&gt;100,"溢價",IF(表格1[[#This Row],[含息申購
參考價]]&lt;100,"折價","平價"))</f>
        <v>溢價</v>
      </c>
      <c r="N257" s="1751">
        <f ca="1">IFERROR(VLOOKUP(B257,'銀行-TSS'!B:M,12,FALSE),"")</f>
        <v>4.1300000000000003E-2</v>
      </c>
      <c r="O257" s="1752">
        <f ca="1">IFERROR(VLOOKUP(表格1[[#This Row],[商品
代碼]],'銀行-TSS'!B:AJ,35,FALSE),"")</f>
        <v>1</v>
      </c>
      <c r="P257" s="1753" t="str">
        <f ca="1">IFERROR(VLOOKUP(表格1[[#This Row],[商品
代碼]],'銀行-TSS'!B:AE,30,FALSE),"")</f>
        <v xml:space="preserve"> </v>
      </c>
      <c r="Q257" s="1749" t="str">
        <f ca="1">IFERROR(IF(VLOOKUP(表格1[[#This Row],[商品
代碼]],'銀行-TSS'!B:AM,38,FALSE)="#N/A Field Not Applicable","",VLOOKUP(表格1[[#This Row],[商品
代碼]],'銀行-TSS'!B:AM,38,FALSE)),"")</f>
        <v/>
      </c>
      <c r="R257" s="1749" t="str">
        <f ca="1">IFERROR(VLOOKUP(表格1[[#This Row],[商品
代碼]],'銀行-TSS'!B:AH,33,FALSE),"")</f>
        <v>澳幣(AUD)</v>
      </c>
      <c r="S257" s="1754">
        <f ca="1">IFERROR(VLOOKUP(B257,'銀行-TSS'!B:N,13,FALSE),"")</f>
        <v>10000</v>
      </c>
      <c r="T257" s="1754" t="str">
        <f ca="1">VLOOKUP(表格1[[#This Row],[商品
代碼]],'銀行-TSS'!B:AI,34,FALSE)</f>
        <v/>
      </c>
      <c r="U257" s="1755" t="str">
        <f ca="1">IFERROR(VLOOKUP(B257,'銀行-TSS'!B:Q,16,FALSE),"")</f>
        <v>金融</v>
      </c>
      <c r="V257" s="1755" t="str">
        <f ca="1">IFERROR(VLOOKUP(表格1[[#This Row],[商品
代碼]],'銀行-TSS'!B:AG,32,FALSE),"")</f>
        <v>固定</v>
      </c>
      <c r="W257" s="1756" t="str">
        <f ca="1">IFERROR(IFERROR(VLOOKUP(表格1[[#This Row],[商品
代碼]],'3_是否下架'!A:B,2,FALSE),VLOOKUP(表格1[[#This Row],[商品
代碼]],'銀行-TSS'!B:AK,36,FALSE)),"")</f>
        <v>需查詢</v>
      </c>
      <c r="Y257" s="400"/>
      <c r="Z257" s="400"/>
      <c r="AA257" s="401"/>
    </row>
    <row r="258" spans="2:27" s="399" customFormat="1" ht="24.75" customHeight="1">
      <c r="B258" s="1745" t="s">
        <v>759</v>
      </c>
      <c r="C258" s="1745" t="str">
        <f ca="1">IFERROR(VLOOKUP(表格1[[#This Row],[商品
代碼]],'銀行-TSS'!B:V,21,FALSE),"")</f>
        <v>(NPI)非專投</v>
      </c>
      <c r="D258" s="1746" t="str">
        <f>IFERROR(VLOOKUP(表格1[[#This Row],[商品
代碼]],bond!B:F,5,FALSE),"")</f>
        <v>NZLGFDT007C4</v>
      </c>
      <c r="E258" s="1746" t="str">
        <f ca="1">IFERROR(VLOOKUP(B258,'銀行-TSS'!B:D,3,FALSE),"")</f>
        <v>紐西蘭地方政府紐幣配息債券 4.5% 2027/4/15</v>
      </c>
      <c r="F258" s="1745" t="str">
        <f ca="1">IFERROR(VLOOKUP(B258,'銀行-TSS'!B:E,4,FALSE),"")</f>
        <v>- / AAA / AA+</v>
      </c>
      <c r="G258" s="1747">
        <f ca="1">IFERROR(VLOOKUP(B258,'銀行-TSS'!B:G,6,FALSE),"")</f>
        <v>2.78</v>
      </c>
      <c r="H258" s="1748">
        <f ca="1">IFERROR(VLOOKUP(B258,'銀行-TSS'!B:H,7,FALSE),"")</f>
        <v>4.4999999999999998E-2</v>
      </c>
      <c r="I258" s="1745" t="str">
        <f ca="1">IFERROR(IF(表格1[[#This Row],[配息頻率]]=0,"",CHOOSE(表格1[[#This Row],[配息頻率]],MONTH(J258),IF(MONTH(J258)&lt;=6,CONCATENATE(MONTH(J258)," / ",MONTH(J258)+6),CONCATENATE(MONTH(J258)-6," / ",MONTH(J258))),0,"2 / 4 / 8 / 11")),"")</f>
        <v>4 / 10</v>
      </c>
      <c r="J258" s="1749" t="str">
        <f ca="1">IFERROR(VLOOKUP(B258,'銀行-TSS'!B:P,15,FALSE),"")</f>
        <v>2024/10/15</v>
      </c>
      <c r="K258" s="1750">
        <f ca="1">IFERROR(VLOOKUP(表格1[[#This Row],[商品
代碼]],'銀行-TSS'!B:I,8,FALSE),"")</f>
        <v>2</v>
      </c>
      <c r="L258" s="1747">
        <f ca="1">IFERROR(VLOOKUP(B258,'銀行-TSS'!B:K,10,FALSE),"")</f>
        <v>101.96</v>
      </c>
      <c r="M258" s="1745" t="str">
        <f ca="1">IF(表格1[[#This Row],[含息申購
參考價]]&gt;100,"溢價",IF(表格1[[#This Row],[含息申購
參考價]]&lt;100,"折價","平價"))</f>
        <v>溢價</v>
      </c>
      <c r="N258" s="1751">
        <f ca="1">IFERROR(VLOOKUP(B258,'銀行-TSS'!B:M,12,FALSE),"")</f>
        <v>4.1200000000000001E-2</v>
      </c>
      <c r="O258" s="1752">
        <f ca="1">IFERROR(VLOOKUP(表格1[[#This Row],[商品
代碼]],'銀行-TSS'!B:AJ,35,FALSE),"")</f>
        <v>1</v>
      </c>
      <c r="P258" s="1751" t="str">
        <f ca="1">IFERROR(VLOOKUP(表格1[[#This Row],[商品
代碼]],'銀行-TSS'!B:AE,30,FALSE),"")</f>
        <v xml:space="preserve"> </v>
      </c>
      <c r="Q258" s="1749" t="str">
        <f ca="1">IFERROR(IF(VLOOKUP(表格1[[#This Row],[商品
代碼]],'銀行-TSS'!B:AM,38,FALSE)="#N/A Field Not Applicable","",VLOOKUP(表格1[[#This Row],[商品
代碼]],'銀行-TSS'!B:AM,38,FALSE)),"")</f>
        <v/>
      </c>
      <c r="R258" s="1749" t="str">
        <f ca="1">IFERROR(VLOOKUP(表格1[[#This Row],[商品
代碼]],'銀行-TSS'!B:AH,33,FALSE),"")</f>
        <v>紐幣(NZD)</v>
      </c>
      <c r="S258" s="1754">
        <f ca="1">IFERROR(VLOOKUP(B258,'銀行-TSS'!B:N,13,FALSE),"")</f>
        <v>10000</v>
      </c>
      <c r="T258" s="1754" t="str">
        <f ca="1">VLOOKUP(表格1[[#This Row],[商品
代碼]],'銀行-TSS'!B:AI,34,FALSE)</f>
        <v/>
      </c>
      <c r="U258" s="1745" t="str">
        <f ca="1">IFERROR(VLOOKUP(B258,'銀行-TSS'!B:Q,16,FALSE),"")</f>
        <v>政府</v>
      </c>
      <c r="V258" s="1755" t="str">
        <f ca="1">IFERROR(VLOOKUP(表格1[[#This Row],[商品
代碼]],'銀行-TSS'!B:AG,32,FALSE),"")</f>
        <v>固定</v>
      </c>
      <c r="W258" s="1757" t="str">
        <f ca="1">IFERROR(IFERROR(VLOOKUP(表格1[[#This Row],[商品
代碼]],'3_是否下架'!A:B,2,FALSE),VLOOKUP(表格1[[#This Row],[商品
代碼]],'銀行-TSS'!B:AK,36,FALSE)),"")</f>
        <v>有</v>
      </c>
      <c r="Y258" s="400"/>
      <c r="Z258" s="400"/>
      <c r="AA258" s="401"/>
    </row>
    <row r="259" spans="2:27" s="399" customFormat="1" ht="24.75" customHeight="1">
      <c r="B259" s="1745" t="s">
        <v>780</v>
      </c>
      <c r="C259" s="1745" t="str">
        <f ca="1">IFERROR(VLOOKUP(表格1[[#This Row],[商品
代碼]],'銀行-TSS'!B:V,21,FALSE),"")</f>
        <v>(NPI)非專投</v>
      </c>
      <c r="D259" s="1746" t="str">
        <f>IFERROR(VLOOKUP(表格1[[#This Row],[商品
代碼]],bond!B:F,5,FALSE),"")</f>
        <v>US038222AL98</v>
      </c>
      <c r="E259" s="1746" t="str">
        <f ca="1">IFERROR(VLOOKUP(B259,'銀行-TSS'!B:D,3,FALSE),"")</f>
        <v>應用材料公司美元配息債券 3.3% 2027/4/1</v>
      </c>
      <c r="F259" s="1745" t="str">
        <f ca="1">IFERROR(VLOOKUP(B259,'銀行-TSS'!B:E,4,FALSE),"")</f>
        <v>A2 / A / -</v>
      </c>
      <c r="G259" s="1747">
        <f ca="1">IFERROR(VLOOKUP(B259,'銀行-TSS'!B:G,6,FALSE),"")</f>
        <v>2.75</v>
      </c>
      <c r="H259" s="1748">
        <f ca="1">IFERROR(VLOOKUP(B259,'銀行-TSS'!B:H,7,FALSE),"")</f>
        <v>3.3000000000000002E-2</v>
      </c>
      <c r="I259" s="1745" t="str">
        <f ca="1">IFERROR(IF(表格1[[#This Row],[配息頻率]]=0,"",CHOOSE(表格1[[#This Row],[配息頻率]],MONTH(J259),IF(MONTH(J259)&lt;=6,CONCATENATE(MONTH(J259)," / ",MONTH(J259)+6),CONCATENATE(MONTH(J259)-6," / ",MONTH(J259))),0,"2 / 4 / 8 / 11")),"")</f>
        <v>4 / 10</v>
      </c>
      <c r="J259" s="1749" t="str">
        <f ca="1">IFERROR(VLOOKUP(B259,'銀行-TSS'!B:P,15,FALSE),"")</f>
        <v>2024/10/1</v>
      </c>
      <c r="K259" s="1750">
        <f ca="1">IFERROR(VLOOKUP(表格1[[#This Row],[商品
代碼]],'銀行-TSS'!B:I,8,FALSE),"")</f>
        <v>2</v>
      </c>
      <c r="L259" s="1747">
        <f ca="1">IFERROR(VLOOKUP(B259,'銀行-TSS'!B:K,10,FALSE),"")</f>
        <v>98.570000000000007</v>
      </c>
      <c r="M259" s="1745" t="str">
        <f ca="1">IF(表格1[[#This Row],[含息申購
參考價]]&gt;100,"溢價",IF(表格1[[#This Row],[含息申購
參考價]]&lt;100,"折價","平價"))</f>
        <v>折價</v>
      </c>
      <c r="N259" s="1751">
        <f ca="1">IFERROR(VLOOKUP(B259,'銀行-TSS'!B:M,12,FALSE),"")</f>
        <v>4.1799999999999997E-2</v>
      </c>
      <c r="O259" s="1752">
        <f ca="1">IFERROR(VLOOKUP(表格1[[#This Row],[商品
代碼]],'銀行-TSS'!B:AJ,35,FALSE),"")</f>
        <v>0</v>
      </c>
      <c r="P259" s="1753">
        <f ca="1">IFERROR(VLOOKUP(表格1[[#This Row],[商品
代碼]],'銀行-TSS'!B:AE,30,FALSE),"")</f>
        <v>4.2599999999999999E-2</v>
      </c>
      <c r="Q259" s="1749" t="str">
        <f ca="1">IFERROR(IF(VLOOKUP(表格1[[#This Row],[商品
代碼]],'銀行-TSS'!B:AM,38,FALSE)="#N/A Field Not Applicable","",VLOOKUP(表格1[[#This Row],[商品
代碼]],'銀行-TSS'!B:AM,38,FALSE)),"")</f>
        <v>2027/1/1</v>
      </c>
      <c r="R259" s="1749" t="str">
        <f ca="1">IFERROR(VLOOKUP(表格1[[#This Row],[商品
代碼]],'銀行-TSS'!B:AH,33,FALSE),"")</f>
        <v>美元(USD)</v>
      </c>
      <c r="S259" s="1754">
        <f ca="1">IFERROR(VLOOKUP(B259,'銀行-TSS'!B:N,13,FALSE),"")</f>
        <v>10000</v>
      </c>
      <c r="T259" s="1754" t="str">
        <f ca="1">VLOOKUP(表格1[[#This Row],[商品
代碼]],'銀行-TSS'!B:AI,34,FALSE)</f>
        <v>自由選清單</v>
      </c>
      <c r="U259" s="1755" t="str">
        <f ca="1">IFERROR(VLOOKUP(B259,'銀行-TSS'!B:Q,16,FALSE),"")</f>
        <v>科技</v>
      </c>
      <c r="V259" s="1755" t="str">
        <f ca="1">IFERROR(VLOOKUP(表格1[[#This Row],[商品
代碼]],'銀行-TSS'!B:AG,32,FALSE),"")</f>
        <v>固定</v>
      </c>
      <c r="W259" s="1756" t="str">
        <f ca="1">IFERROR(IFERROR(VLOOKUP(表格1[[#This Row],[商品
代碼]],'3_是否下架'!A:B,2,FALSE),VLOOKUP(表格1[[#This Row],[商品
代碼]],'銀行-TSS'!B:AK,36,FALSE)),"")</f>
        <v>有</v>
      </c>
      <c r="Y259" s="400"/>
      <c r="Z259" s="400"/>
      <c r="AA259" s="401"/>
    </row>
    <row r="260" spans="2:27" s="399" customFormat="1" ht="24.75" customHeight="1">
      <c r="B260" s="1745" t="s">
        <v>668</v>
      </c>
      <c r="C260" s="1745" t="str">
        <f ca="1">IFERROR(VLOOKUP(表格1[[#This Row],[商品
代碼]],'銀行-TSS'!B:V,21,FALSE),"")</f>
        <v>高資產</v>
      </c>
      <c r="D260" s="1746" t="str">
        <f>IFERROR(VLOOKUP(表格1[[#This Row],[商品
代碼]],bond!B:F,5,FALSE),"")</f>
        <v>US71654QCG55</v>
      </c>
      <c r="E260" s="1746" t="str">
        <f ca="1">IFERROR(VLOOKUP(B260,'銀行-TSS'!B:D,3,FALSE),"")</f>
        <v>墨西哥石油公司美元配息債券 6.5% 2027/3/13</v>
      </c>
      <c r="F260" s="1745" t="str">
        <f ca="1">IFERROR(VLOOKUP(B260,'銀行-TSS'!B:E,4,FALSE),"")</f>
        <v>B3 / BBB / B+u</v>
      </c>
      <c r="G260" s="1747">
        <f ca="1">IFERROR(VLOOKUP(B260,'銀行-TSS'!B:G,6,FALSE),"")</f>
        <v>2.69</v>
      </c>
      <c r="H260" s="1748">
        <f ca="1">IFERROR(VLOOKUP(B260,'銀行-TSS'!B:H,7,FALSE),"")</f>
        <v>6.5000000000000002E-2</v>
      </c>
      <c r="I260" s="1745" t="str">
        <f ca="1">IFERROR(IF(表格1[[#This Row],[配息頻率]]=0,"",CHOOSE(表格1[[#This Row],[配息頻率]],MONTH(J260),IF(MONTH(J260)&lt;=6,CONCATENATE(MONTH(J260)," / ",MONTH(J260)+6),CONCATENATE(MONTH(J260)-6," / ",MONTH(J260))),0,"2 / 4 / 8 / 11")),"")</f>
        <v>3 / 9</v>
      </c>
      <c r="J260" s="1749" t="str">
        <f ca="1">IFERROR(VLOOKUP(B260,'銀行-TSS'!B:P,15,FALSE),"")</f>
        <v>2024/9/13</v>
      </c>
      <c r="K260" s="1750">
        <f ca="1">IFERROR(VLOOKUP(表格1[[#This Row],[商品
代碼]],'銀行-TSS'!B:I,8,FALSE),"")</f>
        <v>2</v>
      </c>
      <c r="L260" s="1747">
        <f ca="1">IFERROR(VLOOKUP(B260,'銀行-TSS'!B:K,10,FALSE),"")</f>
        <v>99.47</v>
      </c>
      <c r="M260" s="1745" t="str">
        <f ca="1">IF(表格1[[#This Row],[含息申購
參考價]]&gt;100,"溢價",IF(表格1[[#This Row],[含息申購
參考價]]&lt;100,"折價","平價"))</f>
        <v>折價</v>
      </c>
      <c r="N260" s="1751">
        <f ca="1">IFERROR(VLOOKUP(B260,'銀行-TSS'!B:M,12,FALSE),"")</f>
        <v>7.5399999999999995E-2</v>
      </c>
      <c r="O260" s="1752">
        <f ca="1">IFERROR(VLOOKUP(表格1[[#This Row],[商品
代碼]],'銀行-TSS'!B:AJ,35,FALSE),"")</f>
        <v>0</v>
      </c>
      <c r="P260" s="1753" t="str">
        <f ca="1">IFERROR(VLOOKUP(表格1[[#This Row],[商品
代碼]],'銀行-TSS'!B:AE,30,FALSE),"")</f>
        <v xml:space="preserve"> </v>
      </c>
      <c r="Q260" s="1749" t="str">
        <f ca="1">IFERROR(IF(VLOOKUP(表格1[[#This Row],[商品
代碼]],'銀行-TSS'!B:AM,38,FALSE)="#N/A Field Not Applicable","",VLOOKUP(表格1[[#This Row],[商品
代碼]],'銀行-TSS'!B:AM,38,FALSE)),"")</f>
        <v/>
      </c>
      <c r="R260" s="1749" t="str">
        <f ca="1">IFERROR(VLOOKUP(表格1[[#This Row],[商品
代碼]],'銀行-TSS'!B:AH,33,FALSE),"")</f>
        <v>美元(USD)</v>
      </c>
      <c r="S260" s="1754">
        <f ca="1">IFERROR(VLOOKUP(B260,'銀行-TSS'!B:N,13,FALSE),"")</f>
        <v>10000</v>
      </c>
      <c r="T260" s="1754" t="str">
        <f ca="1">VLOOKUP(表格1[[#This Row],[商品
代碼]],'銀行-TSS'!B:AI,34,FALSE)</f>
        <v>自由選清單</v>
      </c>
      <c r="U260" s="1755" t="str">
        <f ca="1">IFERROR(VLOOKUP(B260,'銀行-TSS'!B:Q,16,FALSE),"")</f>
        <v>能源</v>
      </c>
      <c r="V260" s="1755" t="str">
        <f ca="1">IFERROR(VLOOKUP(表格1[[#This Row],[商品
代碼]],'銀行-TSS'!B:AG,32,FALSE),"")</f>
        <v>固定</v>
      </c>
      <c r="W260" s="1756" t="str">
        <f ca="1">IFERROR(IFERROR(VLOOKUP(表格1[[#This Row],[商品
代碼]],'3_是否下架'!A:B,2,FALSE),VLOOKUP(表格1[[#This Row],[商品
代碼]],'銀行-TSS'!B:AK,36,FALSE)),"")</f>
        <v>有</v>
      </c>
      <c r="Y260" s="400"/>
      <c r="Z260" s="400"/>
      <c r="AA260" s="401"/>
    </row>
    <row r="261" spans="2:27" s="399" customFormat="1" ht="24.75" customHeight="1">
      <c r="B261" s="1745" t="s">
        <v>1229</v>
      </c>
      <c r="C261" s="1745" t="str">
        <f ca="1">IFERROR(VLOOKUP(表格1[[#This Row],[商品
代碼]],'銀行-TSS'!B:V,21,FALSE),"")</f>
        <v>(NPI)非專投</v>
      </c>
      <c r="D261" s="1746" t="str">
        <f>IFERROR(VLOOKUP(表格1[[#This Row],[商品
代碼]],bond!B:F,5,FALSE),"")</f>
        <v>XS2454678009</v>
      </c>
      <c r="E261" s="1746" t="str">
        <f ca="1">IFERROR(VLOOKUP(B261,'銀行-TSS'!B:D,3,FALSE),"")</f>
        <v>卡達國家銀行金融有限公司人民幣配息債券 4% 2027/3/14</v>
      </c>
      <c r="F261" s="1745" t="str">
        <f ca="1">IFERROR(VLOOKUP(B261,'銀行-TSS'!B:E,4,FALSE),"")</f>
        <v>Aa3 / - / -</v>
      </c>
      <c r="G261" s="1747">
        <f ca="1">IFERROR(VLOOKUP(B261,'銀行-TSS'!B:G,6,FALSE),"")</f>
        <v>2.69</v>
      </c>
      <c r="H261" s="1748">
        <f ca="1">IFERROR(VLOOKUP(B261,'銀行-TSS'!B:H,7,FALSE),"")</f>
        <v>0.04</v>
      </c>
      <c r="I261" s="1745">
        <f ca="1">IFERROR(IF(表格1[[#This Row],[配息頻率]]=0,"",CHOOSE(表格1[[#This Row],[配息頻率]],MONTH(J261),IF(MONTH(J261)&lt;=6,CONCATENATE(MONTH(J261)," / ",MONTH(J261)+6),CONCATENATE(MONTH(J261)-6," / ",MONTH(J261))),0,"2 / 4 / 8 / 11")),"")</f>
        <v>3</v>
      </c>
      <c r="J261" s="1749" t="str">
        <f ca="1">IFERROR(VLOOKUP(B261,'銀行-TSS'!B:P,15,FALSE),"")</f>
        <v>2025/3/14</v>
      </c>
      <c r="K261" s="1750">
        <f ca="1">IFERROR(VLOOKUP(表格1[[#This Row],[商品
代碼]],'銀行-TSS'!B:I,8,FALSE),"")</f>
        <v>1</v>
      </c>
      <c r="L261" s="1747">
        <f ca="1">IFERROR(VLOOKUP(B261,'銀行-TSS'!B:K,10,FALSE),"")</f>
        <v>105.26</v>
      </c>
      <c r="M261" s="1745" t="str">
        <f ca="1">IF(表格1[[#This Row],[含息申購
參考價]]&gt;100,"溢價",IF(表格1[[#This Row],[含息申購
參考價]]&lt;100,"折價","平價"))</f>
        <v>溢價</v>
      </c>
      <c r="N261" s="1751">
        <f ca="1">IFERROR(VLOOKUP(B261,'銀行-TSS'!B:M,12,FALSE),"")</f>
        <v>2.4299999999999999E-2</v>
      </c>
      <c r="O261" s="1752">
        <f ca="1">IFERROR(VLOOKUP(表格1[[#This Row],[商品
代碼]],'銀行-TSS'!B:AJ,35,FALSE),"")</f>
        <v>1</v>
      </c>
      <c r="P261" s="1753" t="str">
        <f ca="1">IFERROR(VLOOKUP(表格1[[#This Row],[商品
代碼]],'銀行-TSS'!B:AE,30,FALSE),"")</f>
        <v xml:space="preserve"> </v>
      </c>
      <c r="Q261" s="1749" t="str">
        <f ca="1">IFERROR(IF(VLOOKUP(表格1[[#This Row],[商品
代碼]],'銀行-TSS'!B:AM,38,FALSE)="#N/A Field Not Applicable","",VLOOKUP(表格1[[#This Row],[商品
代碼]],'銀行-TSS'!B:AM,38,FALSE)),"")</f>
        <v/>
      </c>
      <c r="R261" s="1749" t="str">
        <f ca="1">IFERROR(VLOOKUP(表格1[[#This Row],[商品
代碼]],'銀行-TSS'!B:AH,33,FALSE),"")</f>
        <v>人民幣(CNY)</v>
      </c>
      <c r="S261" s="1754">
        <f ca="1">IFERROR(VLOOKUP(B261,'銀行-TSS'!B:N,13,FALSE),"")</f>
        <v>1000000</v>
      </c>
      <c r="T261" s="1754" t="str">
        <f ca="1">VLOOKUP(表格1[[#This Row],[商品
代碼]],'銀行-TSS'!B:AI,34,FALSE)</f>
        <v/>
      </c>
      <c r="U261" s="1755" t="str">
        <f ca="1">IFERROR(VLOOKUP(B261,'銀行-TSS'!B:Q,16,FALSE),"")</f>
        <v>金融</v>
      </c>
      <c r="V261" s="1755" t="str">
        <f ca="1">IFERROR(VLOOKUP(表格1[[#This Row],[商品
代碼]],'銀行-TSS'!B:AG,32,FALSE),"")</f>
        <v>固定</v>
      </c>
      <c r="W261" s="1756" t="str">
        <f>IFERROR(IFERROR(VLOOKUP(表格1[[#This Row],[商品
代碼]],'3_是否下架'!A:B,2,FALSE),VLOOKUP(表格1[[#This Row],[商品
代碼]],'銀行-TSS'!B:AK,36,FALSE)),"")</f>
        <v>已下架</v>
      </c>
      <c r="Y261" s="400"/>
      <c r="Z261" s="400"/>
      <c r="AA261" s="401"/>
    </row>
    <row r="262" spans="2:27" s="399" customFormat="1" ht="24.75" customHeight="1">
      <c r="B262" s="1745" t="s">
        <v>773</v>
      </c>
      <c r="C262" s="1745" t="str">
        <f ca="1">IFERROR(VLOOKUP(表格1[[#This Row],[商品
代碼]],'銀行-TSS'!B:V,21,FALSE),"")</f>
        <v>(PI)專投</v>
      </c>
      <c r="D262" s="1746" t="str">
        <f>IFERROR(VLOOKUP(表格1[[#This Row],[商品
代碼]],bond!B:F,5,FALSE),"")</f>
        <v>US00206RDQ20</v>
      </c>
      <c r="E262" s="1746" t="str">
        <f ca="1">IFERROR(VLOOKUP(B262,'銀行-TSS'!B:D,3,FALSE),"")</f>
        <v>AT&amp;T公司美元配息債券 4.25% 2027/3/1</v>
      </c>
      <c r="F262" s="1745" t="str">
        <f ca="1">IFERROR(VLOOKUP(B262,'銀行-TSS'!B:E,4,FALSE),"")</f>
        <v>Baa2 / BBB / BBB+</v>
      </c>
      <c r="G262" s="1747">
        <f ca="1">IFERROR(VLOOKUP(B262,'銀行-TSS'!B:G,6,FALSE),"")</f>
        <v>2.66</v>
      </c>
      <c r="H262" s="1748">
        <f ca="1">IFERROR(VLOOKUP(B262,'銀行-TSS'!B:H,7,FALSE),"")</f>
        <v>4.2500000000000003E-2</v>
      </c>
      <c r="I262" s="1745" t="str">
        <f ca="1">IFERROR(IF(表格1[[#This Row],[配息頻率]]=0,"",CHOOSE(表格1[[#This Row],[配息頻率]],MONTH(J262),IF(MONTH(J262)&lt;=6,CONCATENATE(MONTH(J262)," / ",MONTH(J262)+6),CONCATENATE(MONTH(J262)-6," / ",MONTH(J262))),0,"2 / 4 / 8 / 11")),"")</f>
        <v>3 / 9</v>
      </c>
      <c r="J262" s="1749" t="str">
        <f ca="1">IFERROR(VLOOKUP(B262,'銀行-TSS'!B:P,15,FALSE),"")</f>
        <v>2024/9/1</v>
      </c>
      <c r="K262" s="1750">
        <f ca="1">IFERROR(VLOOKUP(表格1[[#This Row],[商品
代碼]],'銀行-TSS'!B:I,8,FALSE),"")</f>
        <v>2</v>
      </c>
      <c r="L262" s="1747">
        <f ca="1">IFERROR(VLOOKUP(B262,'銀行-TSS'!B:K,10,FALSE),"")</f>
        <v>100.86</v>
      </c>
      <c r="M262" s="1745" t="str">
        <f ca="1">IF(表格1[[#This Row],[含息申購
參考價]]&gt;100,"溢價",IF(表格1[[#This Row],[含息申購
參考價]]&lt;100,"折價","平價"))</f>
        <v>溢價</v>
      </c>
      <c r="N262" s="1751">
        <f ca="1">IFERROR(VLOOKUP(B262,'銀行-TSS'!B:M,12,FALSE),"")</f>
        <v>4.48E-2</v>
      </c>
      <c r="O262" s="1752">
        <f ca="1">IFERROR(VLOOKUP(表格1[[#This Row],[商品
代碼]],'銀行-TSS'!B:AJ,35,FALSE),"")</f>
        <v>0</v>
      </c>
      <c r="P262" s="1753">
        <f ca="1">IFERROR(VLOOKUP(表格1[[#This Row],[商品
代碼]],'銀行-TSS'!B:AE,30,FALSE),"")</f>
        <v>4.4999999999999998E-2</v>
      </c>
      <c r="Q262" s="1749" t="str">
        <f ca="1">IFERROR(IF(VLOOKUP(表格1[[#This Row],[商品
代碼]],'銀行-TSS'!B:AM,38,FALSE)="#N/A Field Not Applicable","",VLOOKUP(表格1[[#This Row],[商品
代碼]],'銀行-TSS'!B:AM,38,FALSE)),"")</f>
        <v>2026/12/1</v>
      </c>
      <c r="R262" s="1749" t="str">
        <f ca="1">IFERROR(VLOOKUP(表格1[[#This Row],[商品
代碼]],'銀行-TSS'!B:AH,33,FALSE),"")</f>
        <v>美元(USD)</v>
      </c>
      <c r="S262" s="1754">
        <f ca="1">IFERROR(VLOOKUP(B262,'銀行-TSS'!B:N,13,FALSE),"")</f>
        <v>10000</v>
      </c>
      <c r="T262" s="1754" t="str">
        <f ca="1">VLOOKUP(表格1[[#This Row],[商品
代碼]],'銀行-TSS'!B:AI,34,FALSE)</f>
        <v>自由選清單</v>
      </c>
      <c r="U262" s="1755" t="str">
        <f ca="1">IFERROR(VLOOKUP(B262,'銀行-TSS'!B:Q,16,FALSE),"")</f>
        <v>通訊</v>
      </c>
      <c r="V262" s="1755" t="str">
        <f ca="1">IFERROR(VLOOKUP(表格1[[#This Row],[商品
代碼]],'銀行-TSS'!B:AG,32,FALSE),"")</f>
        <v>固定</v>
      </c>
      <c r="W262" s="1756" t="str">
        <f ca="1">IFERROR(IFERROR(VLOOKUP(表格1[[#This Row],[商品
代碼]],'3_是否下架'!A:B,2,FALSE),VLOOKUP(表格1[[#This Row],[商品
代碼]],'銀行-TSS'!B:AK,36,FALSE)),"")</f>
        <v>有</v>
      </c>
      <c r="Y262" s="400"/>
      <c r="Z262" s="400"/>
      <c r="AA262" s="401"/>
    </row>
    <row r="263" spans="2:27" s="399" customFormat="1" ht="24.75" customHeight="1">
      <c r="B263" s="1745" t="s">
        <v>1209</v>
      </c>
      <c r="C263" s="1745" t="str">
        <f ca="1">IFERROR(VLOOKUP(表格1[[#This Row],[商品
代碼]],'銀行-TSS'!B:V,21,FALSE),"")</f>
        <v>(NPI)非專投</v>
      </c>
      <c r="D263" s="1746" t="str">
        <f>IFERROR(VLOOKUP(表格1[[#This Row],[商品
代碼]],bond!B:F,5,FALSE),"")</f>
        <v>XS2114850949</v>
      </c>
      <c r="E263" s="1746" t="str">
        <f ca="1">IFERROR(VLOOKUP(B263,'銀行-TSS'!B:D,3,FALSE),"")</f>
        <v>卡達國家銀行金融有限公司美元配息債券 2.75% 2027/2/12</v>
      </c>
      <c r="F263" s="1745" t="str">
        <f ca="1">IFERROR(VLOOKUP(B263,'銀行-TSS'!B:E,4,FALSE),"")</f>
        <v>Aa3 / A+ / A+</v>
      </c>
      <c r="G263" s="1747">
        <f ca="1">IFERROR(VLOOKUP(B263,'銀行-TSS'!B:G,6,FALSE),"")</f>
        <v>2.61</v>
      </c>
      <c r="H263" s="1748">
        <f ca="1">IFERROR(VLOOKUP(B263,'銀行-TSS'!B:H,7,FALSE),"")</f>
        <v>2.75E-2</v>
      </c>
      <c r="I263" s="1745" t="str">
        <f ca="1">IFERROR(IF(表格1[[#This Row],[配息頻率]]=0,"",CHOOSE(表格1[[#This Row],[配息頻率]],MONTH(J263),IF(MONTH(J263)&lt;=6,CONCATENATE(MONTH(J263)," / ",MONTH(J263)+6),CONCATENATE(MONTH(J263)-6," / ",MONTH(J263))),0,"2 / 4 / 8 / 11")),"")</f>
        <v>2 / 8</v>
      </c>
      <c r="J263" s="1749" t="str">
        <f ca="1">IFERROR(VLOOKUP(B263,'銀行-TSS'!B:P,15,FALSE),"")</f>
        <v>2024/8/12</v>
      </c>
      <c r="K263" s="1750">
        <f ca="1">IFERROR(VLOOKUP(表格1[[#This Row],[商品
代碼]],'銀行-TSS'!B:I,8,FALSE),"")</f>
        <v>2</v>
      </c>
      <c r="L263" s="1747">
        <f ca="1">IFERROR(VLOOKUP(B263,'銀行-TSS'!B:K,10,FALSE),"")</f>
        <v>96.63</v>
      </c>
      <c r="M263" s="1745" t="str">
        <f ca="1">IF(表格1[[#This Row],[含息申購
參考價]]&gt;100,"溢價",IF(表格1[[#This Row],[含息申購
參考價]]&lt;100,"折價","平價"))</f>
        <v>折價</v>
      </c>
      <c r="N263" s="1751">
        <f ca="1">IFERROR(VLOOKUP(B263,'銀行-TSS'!B:M,12,FALSE),"")</f>
        <v>4.58E-2</v>
      </c>
      <c r="O263" s="1752">
        <f ca="1">IFERROR(VLOOKUP(表格1[[#This Row],[商品
代碼]],'銀行-TSS'!B:AJ,35,FALSE),"")</f>
        <v>0</v>
      </c>
      <c r="P263" s="1753" t="str">
        <f ca="1">IFERROR(VLOOKUP(表格1[[#This Row],[商品
代碼]],'銀行-TSS'!B:AE,30,FALSE),"")</f>
        <v xml:space="preserve"> </v>
      </c>
      <c r="Q263" s="1749" t="str">
        <f ca="1">IFERROR(IF(VLOOKUP(表格1[[#This Row],[商品
代碼]],'銀行-TSS'!B:AM,38,FALSE)="#N/A Field Not Applicable","",VLOOKUP(表格1[[#This Row],[商品
代碼]],'銀行-TSS'!B:AM,38,FALSE)),"")</f>
        <v/>
      </c>
      <c r="R263" s="1749" t="str">
        <f ca="1">IFERROR(VLOOKUP(表格1[[#This Row],[商品
代碼]],'銀行-TSS'!B:AH,33,FALSE),"")</f>
        <v>美元(USD)</v>
      </c>
      <c r="S263" s="1754">
        <f ca="1">IFERROR(VLOOKUP(B263,'銀行-TSS'!B:N,13,FALSE),"")</f>
        <v>200000</v>
      </c>
      <c r="T263" s="1754" t="str">
        <f ca="1">VLOOKUP(表格1[[#This Row],[商品
代碼]],'銀行-TSS'!B:AI,34,FALSE)</f>
        <v>自由選清單</v>
      </c>
      <c r="U263" s="1755" t="str">
        <f ca="1">IFERROR(VLOOKUP(B263,'銀行-TSS'!B:Q,16,FALSE),"")</f>
        <v>金融</v>
      </c>
      <c r="V263" s="1755" t="str">
        <f ca="1">IFERROR(VLOOKUP(表格1[[#This Row],[商品
代碼]],'銀行-TSS'!B:AG,32,FALSE),"")</f>
        <v>固定</v>
      </c>
      <c r="W263" s="1756" t="str">
        <f ca="1">IFERROR(IFERROR(VLOOKUP(表格1[[#This Row],[商品
代碼]],'3_是否下架'!A:B,2,FALSE),VLOOKUP(表格1[[#This Row],[商品
代碼]],'銀行-TSS'!B:AK,36,FALSE)),"")</f>
        <v>有</v>
      </c>
      <c r="Y263" s="400"/>
      <c r="Z263" s="400"/>
      <c r="AA263" s="401"/>
    </row>
    <row r="264" spans="2:27" s="399" customFormat="1" ht="24.75" customHeight="1">
      <c r="B264" s="1745" t="s">
        <v>563</v>
      </c>
      <c r="C264" s="1745" t="str">
        <f ca="1">IFERROR(VLOOKUP(表格1[[#This Row],[商品
代碼]],'銀行-TSS'!B:V,21,FALSE),"")</f>
        <v>(NPI)非專投</v>
      </c>
      <c r="D264" s="1746" t="str">
        <f>IFERROR(VLOOKUP(表格1[[#This Row],[商品
代碼]],bond!B:F,5,FALSE),"")</f>
        <v>HK0000098928</v>
      </c>
      <c r="E264" s="1746" t="str">
        <f ca="1">IFERROR(VLOOKUP(B264,'銀行-TSS'!B:D,3,FALSE),"")</f>
        <v>國家開發銀行人民幣配息債券 4.2% 2027/1/19</v>
      </c>
      <c r="F264" s="1745" t="str">
        <f ca="1">IFERROR(VLOOKUP(B264,'銀行-TSS'!B:E,4,FALSE),"")</f>
        <v>NR / A+u / -</v>
      </c>
      <c r="G264" s="1747">
        <f ca="1">IFERROR(VLOOKUP(B264,'銀行-TSS'!B:G,6,FALSE),"")</f>
        <v>2.54</v>
      </c>
      <c r="H264" s="1748">
        <f ca="1">IFERROR(VLOOKUP(B264,'銀行-TSS'!B:H,7,FALSE),"")</f>
        <v>4.2000000000000003E-2</v>
      </c>
      <c r="I264" s="1745" t="str">
        <f ca="1">IFERROR(IF(表格1[[#This Row],[配息頻率]]=0,"",CHOOSE(表格1[[#This Row],[配息頻率]],MONTH(J264),IF(MONTH(J264)&lt;=6,CONCATENATE(MONTH(J264)," / ",MONTH(J264)+6),CONCATENATE(MONTH(J264)-6," / ",MONTH(J264))),0,"2 / 4 / 8 / 11")),"")</f>
        <v>1 / 7</v>
      </c>
      <c r="J264" s="1749" t="str">
        <f ca="1">IFERROR(VLOOKUP(B264,'銀行-TSS'!B:P,15,FALSE),"")</f>
        <v>2024/7/19</v>
      </c>
      <c r="K264" s="1750">
        <f ca="1">IFERROR(VLOOKUP(表格1[[#This Row],[商品
代碼]],'銀行-TSS'!B:I,8,FALSE),"")</f>
        <v>2</v>
      </c>
      <c r="L264" s="1747">
        <f ca="1">IFERROR(VLOOKUP(B264,'銀行-TSS'!B:K,10,FALSE),"")</f>
        <v>109.18</v>
      </c>
      <c r="M264" s="1745" t="str">
        <f ca="1">IF(表格1[[#This Row],[含息申購
參考價]]&gt;100,"溢價",IF(表格1[[#This Row],[含息申購
參考價]]&lt;100,"折價","平價"))</f>
        <v>溢價</v>
      </c>
      <c r="N264" s="1751">
        <f ca="1">IFERROR(VLOOKUP(B264,'銀行-TSS'!B:M,12,FALSE),"")</f>
        <v>1.29E-2</v>
      </c>
      <c r="O264" s="1752">
        <f ca="1">IFERROR(VLOOKUP(表格1[[#This Row],[商品
代碼]],'銀行-TSS'!B:AJ,35,FALSE),"")</f>
        <v>1</v>
      </c>
      <c r="P264" s="1753" t="str">
        <f ca="1">IFERROR(VLOOKUP(表格1[[#This Row],[商品
代碼]],'銀行-TSS'!B:AE,30,FALSE),"")</f>
        <v xml:space="preserve"> </v>
      </c>
      <c r="Q264" s="1749" t="str">
        <f ca="1">IFERROR(IF(VLOOKUP(表格1[[#This Row],[商品
代碼]],'銀行-TSS'!B:AM,38,FALSE)="#N/A Field Not Applicable","",VLOOKUP(表格1[[#This Row],[商品
代碼]],'銀行-TSS'!B:AM,38,FALSE)),"")</f>
        <v/>
      </c>
      <c r="R264" s="1749" t="str">
        <f ca="1">IFERROR(VLOOKUP(表格1[[#This Row],[商品
代碼]],'銀行-TSS'!B:AH,33,FALSE),"")</f>
        <v>人民幣(CNY)</v>
      </c>
      <c r="S264" s="1754">
        <f ca="1">IFERROR(VLOOKUP(B264,'銀行-TSS'!B:N,13,FALSE),"")</f>
        <v>1000000</v>
      </c>
      <c r="T264" s="1754" t="str">
        <f ca="1">VLOOKUP(表格1[[#This Row],[商品
代碼]],'銀行-TSS'!B:AI,34,FALSE)</f>
        <v/>
      </c>
      <c r="U264" s="1755" t="str">
        <f ca="1">IFERROR(VLOOKUP(B264,'銀行-TSS'!B:Q,16,FALSE),"")</f>
        <v>政府</v>
      </c>
      <c r="V264" s="1755" t="str">
        <f ca="1">IFERROR(VLOOKUP(表格1[[#This Row],[商品
代碼]],'銀行-TSS'!B:AG,32,FALSE),"")</f>
        <v>固定</v>
      </c>
      <c r="W264" s="1756" t="str">
        <f>IFERROR(IFERROR(VLOOKUP(表格1[[#This Row],[商品
代碼]],'3_是否下架'!A:B,2,FALSE),VLOOKUP(表格1[[#This Row],[商品
代碼]],'銀行-TSS'!B:AK,36,FALSE)),"")</f>
        <v>已下架</v>
      </c>
      <c r="Y264" s="400"/>
      <c r="Z264" s="400"/>
      <c r="AA264" s="401"/>
    </row>
    <row r="265" spans="2:27" s="399" customFormat="1" ht="24.75" customHeight="1">
      <c r="B265" s="1745" t="s">
        <v>886</v>
      </c>
      <c r="C265" s="1745" t="str">
        <f ca="1">IFERROR(VLOOKUP(表格1[[#This Row],[商品
代碼]],'銀行-TSS'!B:V,21,FALSE),"")</f>
        <v>(PI)專投</v>
      </c>
      <c r="D265" s="1746" t="str">
        <f>IFERROR(VLOOKUP(表格1[[#This Row],[商品
代碼]],bond!B:F,5,FALSE),"")</f>
        <v>USN8438JAB46</v>
      </c>
      <c r="E265" s="1746" t="str">
        <f ca="1">IFERROR(VLOOKUP(B265,'銀行-TSS'!B:D,3,FALSE),"")</f>
        <v>Fibria海外金融有限公司美元配息債券 5.5% 2027/1/17</v>
      </c>
      <c r="F265" s="1745" t="str">
        <f ca="1">IFERROR(VLOOKUP(B265,'銀行-TSS'!B:E,4,FALSE),"")</f>
        <v>- / BBB- / BBB-</v>
      </c>
      <c r="G265" s="1747">
        <f ca="1">IFERROR(VLOOKUP(B265,'銀行-TSS'!B:G,6,FALSE),"")</f>
        <v>2.54</v>
      </c>
      <c r="H265" s="1748">
        <f ca="1">IFERROR(VLOOKUP(B265,'銀行-TSS'!B:H,7,FALSE),"")</f>
        <v>5.5E-2</v>
      </c>
      <c r="I265" s="1745" t="str">
        <f ca="1">IFERROR(IF(表格1[[#This Row],[配息頻率]]=0,"",CHOOSE(表格1[[#This Row],[配息頻率]],MONTH(J265),IF(MONTH(J265)&lt;=6,CONCATENATE(MONTH(J265)," / ",MONTH(J265)+6),CONCATENATE(MONTH(J265)-6," / ",MONTH(J265))),0,"2 / 4 / 8 / 11")),"")</f>
        <v>1 / 7</v>
      </c>
      <c r="J265" s="1749" t="str">
        <f ca="1">IFERROR(VLOOKUP(B265,'銀行-TSS'!B:P,15,FALSE),"")</f>
        <v>2024/7/17</v>
      </c>
      <c r="K265" s="1750">
        <f ca="1">IFERROR(VLOOKUP(表格1[[#This Row],[商品
代碼]],'銀行-TSS'!B:I,8,FALSE),"")</f>
        <v>2</v>
      </c>
      <c r="L265" s="1747">
        <f ca="1">IFERROR(VLOOKUP(B265,'銀行-TSS'!B:K,10,FALSE),"")</f>
        <v>104.87</v>
      </c>
      <c r="M265" s="1745" t="str">
        <f ca="1">IF(表格1[[#This Row],[含息申購
參考價]]&gt;100,"溢價",IF(表格1[[#This Row],[含息申購
參考價]]&lt;100,"折價","平價"))</f>
        <v>溢價</v>
      </c>
      <c r="N265" s="1751">
        <f ca="1">IFERROR(VLOOKUP(B265,'銀行-TSS'!B:M,12,FALSE),"")</f>
        <v>4.5100000000000001E-2</v>
      </c>
      <c r="O265" s="1752">
        <f ca="1">IFERROR(VLOOKUP(表格1[[#This Row],[商品
代碼]],'銀行-TSS'!B:AJ,35,FALSE),"")</f>
        <v>0</v>
      </c>
      <c r="P265" s="1753" t="str">
        <f ca="1">IFERROR(VLOOKUP(表格1[[#This Row],[商品
代碼]],'銀行-TSS'!B:AE,30,FALSE),"")</f>
        <v xml:space="preserve"> </v>
      </c>
      <c r="Q265" s="1749" t="str">
        <f ca="1">IFERROR(IF(VLOOKUP(表格1[[#This Row],[商品
代碼]],'銀行-TSS'!B:AM,38,FALSE)="#N/A Field Not Applicable","",VLOOKUP(表格1[[#This Row],[商品
代碼]],'銀行-TSS'!B:AM,38,FALSE)),"")</f>
        <v/>
      </c>
      <c r="R265" s="1749" t="str">
        <f ca="1">IFERROR(VLOOKUP(表格1[[#This Row],[商品
代碼]],'銀行-TSS'!B:AH,33,FALSE),"")</f>
        <v>美元(USD)</v>
      </c>
      <c r="S265" s="1754">
        <f ca="1">IFERROR(VLOOKUP(B265,'銀行-TSS'!B:N,13,FALSE),"")</f>
        <v>10000</v>
      </c>
      <c r="T265" s="1754" t="str">
        <f ca="1">VLOOKUP(表格1[[#This Row],[商品
代碼]],'銀行-TSS'!B:AI,34,FALSE)</f>
        <v>自由選清單</v>
      </c>
      <c r="U265" s="1755" t="str">
        <f ca="1">IFERROR(VLOOKUP(B265,'銀行-TSS'!B:Q,16,FALSE),"")</f>
        <v>原物料</v>
      </c>
      <c r="V265" s="1755" t="str">
        <f ca="1">IFERROR(VLOOKUP(表格1[[#This Row],[商品
代碼]],'銀行-TSS'!B:AG,32,FALSE),"")</f>
        <v>固定</v>
      </c>
      <c r="W265" s="1756" t="str">
        <f>IFERROR(IFERROR(VLOOKUP(表格1[[#This Row],[商品
代碼]],'3_是否下架'!A:B,2,FALSE),VLOOKUP(表格1[[#This Row],[商品
代碼]],'銀行-TSS'!B:AK,36,FALSE)),"")</f>
        <v>已下架</v>
      </c>
      <c r="Y265" s="400"/>
      <c r="Z265" s="400"/>
      <c r="AA265" s="401"/>
    </row>
    <row r="266" spans="2:27" s="399" customFormat="1" ht="24.75" customHeight="1">
      <c r="B266" s="1745" t="s">
        <v>724</v>
      </c>
      <c r="C266" s="1745" t="str">
        <f ca="1">IFERROR(VLOOKUP(表格1[[#This Row],[商品
代碼]],'銀行-TSS'!B:V,21,FALSE),"")</f>
        <v>(NPI)非專投</v>
      </c>
      <c r="D266" s="1746" t="str">
        <f>IFERROR(VLOOKUP(表格1[[#This Row],[商品
代碼]],bond!B:F,5,FALSE),"")</f>
        <v>XS1508675417</v>
      </c>
      <c r="E266" s="1746" t="str">
        <f ca="1">IFERROR(VLOOKUP(B266,'銀行-TSS'!B:D,3,FALSE),"")</f>
        <v>沙烏地阿拉伯政府美元配息債券 3.25% 2026/10/26</v>
      </c>
      <c r="F266" s="1745" t="str">
        <f ca="1">IFERROR(VLOOKUP(B266,'銀行-TSS'!B:E,4,FALSE),"")</f>
        <v>A1 / - / A+</v>
      </c>
      <c r="G266" s="1747">
        <f ca="1">IFERROR(VLOOKUP(B266,'銀行-TSS'!B:G,6,FALSE),"")</f>
        <v>2.31</v>
      </c>
      <c r="H266" s="1748">
        <f ca="1">IFERROR(VLOOKUP(B266,'銀行-TSS'!B:H,7,FALSE),"")</f>
        <v>3.2500000000000001E-2</v>
      </c>
      <c r="I266" s="1745" t="str">
        <f ca="1">IFERROR(IF(表格1[[#This Row],[配息頻率]]=0,"",CHOOSE(表格1[[#This Row],[配息頻率]],MONTH(J266),IF(MONTH(J266)&lt;=6,CONCATENATE(MONTH(J266)," / ",MONTH(J266)+6),CONCATENATE(MONTH(J266)-6," / ",MONTH(J266))),0,"2 / 4 / 8 / 11")),"")</f>
        <v>4 / 10</v>
      </c>
      <c r="J266" s="1749" t="str">
        <f ca="1">IFERROR(VLOOKUP(B266,'銀行-TSS'!B:P,15,FALSE),"")</f>
        <v>2024/10/26</v>
      </c>
      <c r="K266" s="1750">
        <f ca="1">IFERROR(VLOOKUP(表格1[[#This Row],[商品
代碼]],'銀行-TSS'!B:I,8,FALSE),"")</f>
        <v>2</v>
      </c>
      <c r="L266" s="1747">
        <f ca="1">IFERROR(VLOOKUP(B266,'銀行-TSS'!B:K,10,FALSE),"")</f>
        <v>98.17</v>
      </c>
      <c r="M266" s="1745" t="str">
        <f ca="1">IF(表格1[[#This Row],[含息申購
參考價]]&gt;100,"溢價",IF(表格1[[#This Row],[含息申購
參考價]]&lt;100,"折價","平價"))</f>
        <v>折價</v>
      </c>
      <c r="N266" s="1751">
        <f ca="1">IFERROR(VLOOKUP(B266,'銀行-TSS'!B:M,12,FALSE),"")</f>
        <v>4.36E-2</v>
      </c>
      <c r="O266" s="1752">
        <f ca="1">IFERROR(VLOOKUP(表格1[[#This Row],[商品
代碼]],'銀行-TSS'!B:AJ,35,FALSE),"")</f>
        <v>0</v>
      </c>
      <c r="P266" s="1753" t="str">
        <f ca="1">IFERROR(VLOOKUP(表格1[[#This Row],[商品
代碼]],'銀行-TSS'!B:AE,30,FALSE),"")</f>
        <v xml:space="preserve"> </v>
      </c>
      <c r="Q266" s="1749" t="str">
        <f ca="1">IFERROR(IF(VLOOKUP(表格1[[#This Row],[商品
代碼]],'銀行-TSS'!B:AM,38,FALSE)="#N/A Field Not Applicable","",VLOOKUP(表格1[[#This Row],[商品
代碼]],'銀行-TSS'!B:AM,38,FALSE)),"")</f>
        <v/>
      </c>
      <c r="R266" s="1749" t="str">
        <f ca="1">IFERROR(VLOOKUP(表格1[[#This Row],[商品
代碼]],'銀行-TSS'!B:AH,33,FALSE),"")</f>
        <v>美元(USD)</v>
      </c>
      <c r="S266" s="1754">
        <f ca="1">IFERROR(VLOOKUP(B266,'銀行-TSS'!B:N,13,FALSE),"")</f>
        <v>200000</v>
      </c>
      <c r="T266" s="1754" t="str">
        <f ca="1">VLOOKUP(表格1[[#This Row],[商品
代碼]],'銀行-TSS'!B:AI,34,FALSE)</f>
        <v>自由選清單</v>
      </c>
      <c r="U266" s="1755" t="str">
        <f ca="1">IFERROR(VLOOKUP(B266,'銀行-TSS'!B:Q,16,FALSE),"")</f>
        <v>政府</v>
      </c>
      <c r="V266" s="1755" t="str">
        <f ca="1">IFERROR(VLOOKUP(表格1[[#This Row],[商品
代碼]],'銀行-TSS'!B:AG,32,FALSE),"")</f>
        <v>固定</v>
      </c>
      <c r="W266" s="1756" t="str">
        <f ca="1">IFERROR(IFERROR(VLOOKUP(表格1[[#This Row],[商品
代碼]],'3_是否下架'!A:B,2,FALSE),VLOOKUP(表格1[[#This Row],[商品
代碼]],'銀行-TSS'!B:AK,36,FALSE)),"")</f>
        <v>有</v>
      </c>
      <c r="Y266" s="400"/>
      <c r="Z266" s="400"/>
      <c r="AA266" s="401"/>
    </row>
    <row r="267" spans="2:27" s="399" customFormat="1" ht="24.75" customHeight="1">
      <c r="B267" s="1745" t="s">
        <v>716</v>
      </c>
      <c r="C267" s="1745" t="str">
        <f ca="1">IFERROR(VLOOKUP(表格1[[#This Row],[商品
代碼]],'銀行-TSS'!B:V,21,FALSE),"")</f>
        <v>(NPI)非專投</v>
      </c>
      <c r="D267" s="1746" t="str">
        <f>IFERROR(VLOOKUP(表格1[[#This Row],[商品
代碼]],bond!B:F,5,FALSE),"")</f>
        <v>USY68851AK32</v>
      </c>
      <c r="E267" s="1746" t="str">
        <f ca="1">IFERROR(VLOOKUP(B267,'銀行-TSS'!B:D,3,FALSE),"")</f>
        <v>馬來西亞國家石油公司美元配息債券 7.625% 2026/10/15</v>
      </c>
      <c r="F267" s="1745" t="str">
        <f ca="1">IFERROR(VLOOKUP(B267,'銀行-TSS'!B:E,4,FALSE),"")</f>
        <v>A2 / A- / BBB+</v>
      </c>
      <c r="G267" s="1747">
        <f ca="1">IFERROR(VLOOKUP(B267,'銀行-TSS'!B:G,6,FALSE),"")</f>
        <v>2.29</v>
      </c>
      <c r="H267" s="1748">
        <f ca="1">IFERROR(VLOOKUP(B267,'銀行-TSS'!B:H,7,FALSE),"")</f>
        <v>7.6249999999999998E-2</v>
      </c>
      <c r="I267" s="1745" t="str">
        <f ca="1">IFERROR(IF(表格1[[#This Row],[配息頻率]]=0,"",CHOOSE(表格1[[#This Row],[配息頻率]],MONTH(J267),IF(MONTH(J267)&lt;=6,CONCATENATE(MONTH(J267)," / ",MONTH(J267)+6),CONCATENATE(MONTH(J267)-6," / ",MONTH(J267))),0,"2 / 4 / 8 / 11")),"")</f>
        <v>4 / 10</v>
      </c>
      <c r="J267" s="1749" t="str">
        <f ca="1">IFERROR(VLOOKUP(B267,'銀行-TSS'!B:P,15,FALSE),"")</f>
        <v>2024/10/15</v>
      </c>
      <c r="K267" s="1750">
        <f ca="1">IFERROR(VLOOKUP(表格1[[#This Row],[商品
代碼]],'銀行-TSS'!B:I,8,FALSE),"")</f>
        <v>2</v>
      </c>
      <c r="L267" s="1747">
        <f ca="1">IFERROR(VLOOKUP(B267,'銀行-TSS'!B:K,10,FALSE),"")</f>
        <v>108.17</v>
      </c>
      <c r="M267" s="1745" t="str">
        <f ca="1">IF(表格1[[#This Row],[含息申購
參考價]]&gt;100,"溢價",IF(表格1[[#This Row],[含息申購
參考價]]&lt;100,"折價","平價"))</f>
        <v>溢價</v>
      </c>
      <c r="N267" s="1751">
        <f ca="1">IFERROR(VLOOKUP(B267,'銀行-TSS'!B:M,12,FALSE),"")</f>
        <v>4.5699999999999998E-2</v>
      </c>
      <c r="O267" s="1752">
        <f ca="1">IFERROR(VLOOKUP(表格1[[#This Row],[商品
代碼]],'銀行-TSS'!B:AJ,35,FALSE),"")</f>
        <v>0</v>
      </c>
      <c r="P267" s="1753" t="str">
        <f ca="1">IFERROR(VLOOKUP(表格1[[#This Row],[商品
代碼]],'銀行-TSS'!B:AE,30,FALSE),"")</f>
        <v xml:space="preserve"> </v>
      </c>
      <c r="Q267" s="1749" t="str">
        <f ca="1">IFERROR(IF(VLOOKUP(表格1[[#This Row],[商品
代碼]],'銀行-TSS'!B:AM,38,FALSE)="#N/A Field Not Applicable","",VLOOKUP(表格1[[#This Row],[商品
代碼]],'銀行-TSS'!B:AM,38,FALSE)),"")</f>
        <v/>
      </c>
      <c r="R267" s="1749" t="str">
        <f ca="1">IFERROR(VLOOKUP(表格1[[#This Row],[商品
代碼]],'銀行-TSS'!B:AH,33,FALSE),"")</f>
        <v>美元(USD)</v>
      </c>
      <c r="S267" s="1754">
        <f ca="1">IFERROR(VLOOKUP(B267,'銀行-TSS'!B:N,13,FALSE),"")</f>
        <v>100000</v>
      </c>
      <c r="T267" s="1754" t="str">
        <f ca="1">VLOOKUP(表格1[[#This Row],[商品
代碼]],'銀行-TSS'!B:AI,34,FALSE)</f>
        <v>自由選清單</v>
      </c>
      <c r="U267" s="1755" t="str">
        <f ca="1">IFERROR(VLOOKUP(B267,'銀行-TSS'!B:Q,16,FALSE),"")</f>
        <v>能源</v>
      </c>
      <c r="V267" s="1755" t="str">
        <f ca="1">IFERROR(VLOOKUP(表格1[[#This Row],[商品
代碼]],'銀行-TSS'!B:AG,32,FALSE),"")</f>
        <v>固定</v>
      </c>
      <c r="W267" s="1756" t="str">
        <f ca="1">IFERROR(IFERROR(VLOOKUP(表格1[[#This Row],[商品
代碼]],'3_是否下架'!A:B,2,FALSE),VLOOKUP(表格1[[#This Row],[商品
代碼]],'銀行-TSS'!B:AK,36,FALSE)),"")</f>
        <v>有</v>
      </c>
      <c r="Y267" s="400"/>
      <c r="Z267" s="400"/>
      <c r="AA267" s="401"/>
    </row>
    <row r="268" spans="2:27" s="399" customFormat="1" ht="24.75" customHeight="1">
      <c r="B268" s="1745" t="s">
        <v>647</v>
      </c>
      <c r="C268" s="1745" t="str">
        <f ca="1">IFERROR(VLOOKUP(表格1[[#This Row],[商品
代碼]],'銀行-TSS'!B:V,21,FALSE),"")</f>
        <v>(NPI)非專投</v>
      </c>
      <c r="D268" s="1746" t="str">
        <f>IFERROR(VLOOKUP(表格1[[#This Row],[商品
代碼]],bond!B:F,5,FALSE),"")</f>
        <v>XS1490623516</v>
      </c>
      <c r="E268" s="1746" t="str">
        <f ca="1">IFERROR(VLOOKUP(B268,'銀行-TSS'!B:D,3,FALSE),"")</f>
        <v>富士康美元配息債券 3% 2026/9/23</v>
      </c>
      <c r="F268" s="1745" t="str">
        <f ca="1">IFERROR(VLOOKUP(B268,'銀行-TSS'!B:E,4,FALSE),"")</f>
        <v>- / A- / -</v>
      </c>
      <c r="G268" s="1747">
        <f ca="1">IFERROR(VLOOKUP(B268,'銀行-TSS'!B:G,6,FALSE),"")</f>
        <v>2.2200000000000002</v>
      </c>
      <c r="H268" s="1748">
        <f ca="1">IFERROR(VLOOKUP(B268,'銀行-TSS'!B:H,7,FALSE),"")</f>
        <v>0.03</v>
      </c>
      <c r="I268" s="1745" t="str">
        <f ca="1">IFERROR(IF(表格1[[#This Row],[配息頻率]]=0,"",CHOOSE(表格1[[#This Row],[配息頻率]],MONTH(J268),IF(MONTH(J268)&lt;=6,CONCATENATE(MONTH(J268)," / ",MONTH(J268)+6),CONCATENATE(MONTH(J268)-6," / ",MONTH(J268))),0,"2 / 4 / 8 / 11")),"")</f>
        <v>3 / 9</v>
      </c>
      <c r="J268" s="1749" t="str">
        <f ca="1">IFERROR(VLOOKUP(B268,'銀行-TSS'!B:P,15,FALSE),"")</f>
        <v>2024/9/23</v>
      </c>
      <c r="K268" s="1750">
        <f ca="1">IFERROR(VLOOKUP(表格1[[#This Row],[商品
代碼]],'銀行-TSS'!B:I,8,FALSE),"")</f>
        <v>2</v>
      </c>
      <c r="L268" s="1747">
        <f ca="1">IFERROR(VLOOKUP(B268,'銀行-TSS'!B:K,10,FALSE),"")</f>
        <v>97.929999999999993</v>
      </c>
      <c r="M268" s="1745" t="str">
        <f ca="1">IF(表格1[[#This Row],[含息申購
參考價]]&gt;100,"溢價",IF(表格1[[#This Row],[含息申購
參考價]]&lt;100,"折價","平價"))</f>
        <v>折價</v>
      </c>
      <c r="N268" s="1751">
        <f ca="1">IFERROR(VLOOKUP(B268,'銀行-TSS'!B:M,12,FALSE),"")</f>
        <v>4.3799999999999999E-2</v>
      </c>
      <c r="O268" s="1752">
        <f ca="1">IFERROR(VLOOKUP(表格1[[#This Row],[商品
代碼]],'銀行-TSS'!B:AJ,35,FALSE),"")</f>
        <v>0</v>
      </c>
      <c r="P268" s="1753" t="str">
        <f ca="1">IFERROR(VLOOKUP(表格1[[#This Row],[商品
代碼]],'銀行-TSS'!B:AE,30,FALSE),"")</f>
        <v xml:space="preserve"> </v>
      </c>
      <c r="Q268" s="1749" t="str">
        <f ca="1">IFERROR(IF(VLOOKUP(表格1[[#This Row],[商品
代碼]],'銀行-TSS'!B:AM,38,FALSE)="#N/A Field Not Applicable","",VLOOKUP(表格1[[#This Row],[商品
代碼]],'銀行-TSS'!B:AM,38,FALSE)),"")</f>
        <v/>
      </c>
      <c r="R268" s="1749" t="str">
        <f ca="1">IFERROR(VLOOKUP(表格1[[#This Row],[商品
代碼]],'銀行-TSS'!B:AH,33,FALSE),"")</f>
        <v>美元(USD)</v>
      </c>
      <c r="S268" s="1754">
        <f ca="1">IFERROR(VLOOKUP(B268,'銀行-TSS'!B:N,13,FALSE),"")</f>
        <v>200000</v>
      </c>
      <c r="T268" s="1754" t="str">
        <f ca="1">VLOOKUP(表格1[[#This Row],[商品
代碼]],'銀行-TSS'!B:AI,34,FALSE)</f>
        <v>自由選清單</v>
      </c>
      <c r="U268" s="1755" t="str">
        <f ca="1">IFERROR(VLOOKUP(B268,'銀行-TSS'!B:Q,16,FALSE),"")</f>
        <v>工業</v>
      </c>
      <c r="V268" s="1755" t="str">
        <f ca="1">IFERROR(VLOOKUP(表格1[[#This Row],[商品
代碼]],'銀行-TSS'!B:AG,32,FALSE),"")</f>
        <v>固定</v>
      </c>
      <c r="W268" s="1756" t="str">
        <f ca="1">IFERROR(IFERROR(VLOOKUP(表格1[[#This Row],[商品
代碼]],'3_是否下架'!A:B,2,FALSE),VLOOKUP(表格1[[#This Row],[商品
代碼]],'銀行-TSS'!B:AK,36,FALSE)),"")</f>
        <v>無</v>
      </c>
      <c r="Y268" s="400"/>
      <c r="Z268" s="400"/>
      <c r="AA268" s="401"/>
    </row>
    <row r="269" spans="2:27" s="399" customFormat="1" ht="24.75" customHeight="1">
      <c r="B269" s="1745" t="s">
        <v>674</v>
      </c>
      <c r="C269" s="1745" t="str">
        <f ca="1">IFERROR(VLOOKUP(表格1[[#This Row],[商品
代碼]],'銀行-TSS'!B:V,21,FALSE),"")</f>
        <v>(NPI)非專投</v>
      </c>
      <c r="D269" s="1746" t="str">
        <f>IFERROR(VLOOKUP(表格1[[#This Row],[商品
代碼]],bond!B:F,5,FALSE),"")</f>
        <v>US02079KAC18</v>
      </c>
      <c r="E269" s="1746" t="str">
        <f ca="1">IFERROR(VLOOKUP(B269,'銀行-TSS'!B:D,3,FALSE),"")</f>
        <v>Alphabet公司美元配息債券 1.998% 2026/8/15</v>
      </c>
      <c r="F269" s="1745" t="str">
        <f ca="1">IFERROR(VLOOKUP(B269,'銀行-TSS'!B:E,4,FALSE),"")</f>
        <v>Aa2 / AA+ / -</v>
      </c>
      <c r="G269" s="1747">
        <f ca="1">IFERROR(VLOOKUP(B269,'銀行-TSS'!B:G,6,FALSE),"")</f>
        <v>2.12</v>
      </c>
      <c r="H269" s="1748">
        <f ca="1">IFERROR(VLOOKUP(B269,'銀行-TSS'!B:H,7,FALSE),"")</f>
        <v>1.9980000000000001E-2</v>
      </c>
      <c r="I269" s="1745" t="str">
        <f ca="1">IFERROR(IF(表格1[[#This Row],[配息頻率]]=0,"",CHOOSE(表格1[[#This Row],[配息頻率]],MONTH(J269),IF(MONTH(J269)&lt;=6,CONCATENATE(MONTH(J269)," / ",MONTH(J269)+6),CONCATENATE(MONTH(J269)-6," / ",MONTH(J269))),0,"2 / 4 / 8 / 11")),"")</f>
        <v>2 / 8</v>
      </c>
      <c r="J269" s="1749" t="str">
        <f ca="1">IFERROR(VLOOKUP(B269,'銀行-TSS'!B:P,15,FALSE),"")</f>
        <v>2024/8/15</v>
      </c>
      <c r="K269" s="1750">
        <f ca="1">IFERROR(VLOOKUP(表格1[[#This Row],[商品
代碼]],'銀行-TSS'!B:I,8,FALSE),"")</f>
        <v>2</v>
      </c>
      <c r="L269" s="1747">
        <f ca="1">IFERROR(VLOOKUP(B269,'銀行-TSS'!B:K,10,FALSE),"")</f>
        <v>96.9</v>
      </c>
      <c r="M269" s="1745" t="str">
        <f ca="1">IF(表格1[[#This Row],[含息申購
參考價]]&gt;100,"溢價",IF(表格1[[#This Row],[含息申購
參考價]]&lt;100,"折價","平價"))</f>
        <v>折價</v>
      </c>
      <c r="N269" s="1751">
        <f ca="1">IFERROR(VLOOKUP(B269,'銀行-TSS'!B:M,12,FALSE),"")</f>
        <v>3.9100000000000003E-2</v>
      </c>
      <c r="O269" s="1752">
        <f ca="1">IFERROR(VLOOKUP(表格1[[#This Row],[商品
代碼]],'銀行-TSS'!B:AJ,35,FALSE),"")</f>
        <v>0</v>
      </c>
      <c r="P269" s="1753">
        <f ca="1">IFERROR(VLOOKUP(表格1[[#This Row],[商品
代碼]],'銀行-TSS'!B:AE,30,FALSE),"")</f>
        <v>4.1700000000000001E-2</v>
      </c>
      <c r="Q269" s="1749" t="str">
        <f ca="1">IFERROR(IF(VLOOKUP(表格1[[#This Row],[商品
代碼]],'銀行-TSS'!B:AM,38,FALSE)="#N/A Field Not Applicable","",VLOOKUP(表格1[[#This Row],[商品
代碼]],'銀行-TSS'!B:AM,38,FALSE)),"")</f>
        <v>2026/5/15</v>
      </c>
      <c r="R269" s="1749" t="str">
        <f ca="1">IFERROR(VLOOKUP(表格1[[#This Row],[商品
代碼]],'銀行-TSS'!B:AH,33,FALSE),"")</f>
        <v>美元(USD)</v>
      </c>
      <c r="S269" s="1754">
        <f ca="1">IFERROR(VLOOKUP(B269,'銀行-TSS'!B:N,13,FALSE),"")</f>
        <v>10000</v>
      </c>
      <c r="T269" s="1754" t="str">
        <f ca="1">VLOOKUP(表格1[[#This Row],[商品
代碼]],'銀行-TSS'!B:AI,34,FALSE)</f>
        <v>自由選清單</v>
      </c>
      <c r="U269" s="1755" t="str">
        <f ca="1">IFERROR(VLOOKUP(B269,'銀行-TSS'!B:Q,16,FALSE),"")</f>
        <v>通訊</v>
      </c>
      <c r="V269" s="1755" t="str">
        <f ca="1">IFERROR(VLOOKUP(表格1[[#This Row],[商品
代碼]],'銀行-TSS'!B:AG,32,FALSE),"")</f>
        <v>固定</v>
      </c>
      <c r="W269" s="1756" t="str">
        <f>IFERROR(IFERROR(VLOOKUP(表格1[[#This Row],[商品
代碼]],'3_是否下架'!A:B,2,FALSE),VLOOKUP(表格1[[#This Row],[商品
代碼]],'銀行-TSS'!B:AK,36,FALSE)),"")</f>
        <v>已下架</v>
      </c>
      <c r="Y269" s="400"/>
      <c r="Z269" s="400"/>
      <c r="AA269" s="401"/>
    </row>
    <row r="270" spans="2:27" s="399" customFormat="1" ht="24.75" customHeight="1">
      <c r="B270" s="1745" t="s">
        <v>619</v>
      </c>
      <c r="C270" s="1745" t="str">
        <f ca="1">IFERROR(VLOOKUP(表格1[[#This Row],[商品
代碼]],'銀行-TSS'!B:V,21,FALSE),"")</f>
        <v>(NPI)非專投</v>
      </c>
      <c r="D270" s="1746" t="str">
        <f>IFERROR(VLOOKUP(表格1[[#This Row],[商品
代碼]],bond!B:F,5,FALSE),"")</f>
        <v>US037833BZ29</v>
      </c>
      <c r="E270" s="1746" t="str">
        <f ca="1">IFERROR(VLOOKUP(B270,'銀行-TSS'!B:D,3,FALSE),"")</f>
        <v>蘋果公司美元配息債券 2.45% 2026/8/4</v>
      </c>
      <c r="F270" s="1745" t="str">
        <f ca="1">IFERROR(VLOOKUP(B270,'銀行-TSS'!B:E,4,FALSE),"")</f>
        <v>Aaa / AA+ / -</v>
      </c>
      <c r="G270" s="1747">
        <f ca="1">IFERROR(VLOOKUP(B270,'銀行-TSS'!B:G,6,FALSE),"")</f>
        <v>2.09</v>
      </c>
      <c r="H270" s="1748">
        <f ca="1">IFERROR(VLOOKUP(B270,'銀行-TSS'!B:H,7,FALSE),"")</f>
        <v>2.4500000000000001E-2</v>
      </c>
      <c r="I270" s="1745" t="str">
        <f ca="1">IFERROR(IF(表格1[[#This Row],[配息頻率]]=0,"",CHOOSE(表格1[[#This Row],[配息頻率]],MONTH(J270),IF(MONTH(J270)&lt;=6,CONCATENATE(MONTH(J270)," / ",MONTH(J270)+6),CONCATENATE(MONTH(J270)-6," / ",MONTH(J270))),0,"2 / 4 / 8 / 11")),"")</f>
        <v>2 / 8</v>
      </c>
      <c r="J270" s="1749" t="str">
        <f ca="1">IFERROR(VLOOKUP(B270,'銀行-TSS'!B:P,15,FALSE),"")</f>
        <v>2024/8/4</v>
      </c>
      <c r="K270" s="1750">
        <f ca="1">IFERROR(VLOOKUP(表格1[[#This Row],[商品
代碼]],'銀行-TSS'!B:I,8,FALSE),"")</f>
        <v>2</v>
      </c>
      <c r="L270" s="1747">
        <f ca="1">IFERROR(VLOOKUP(B270,'銀行-TSS'!B:K,10,FALSE),"")</f>
        <v>97.25</v>
      </c>
      <c r="M270" s="1745" t="str">
        <f ca="1">IF(表格1[[#This Row],[含息申購
參考價]]&gt;100,"溢價",IF(表格1[[#This Row],[含息申購
參考價]]&lt;100,"折價","平價"))</f>
        <v>折價</v>
      </c>
      <c r="N270" s="1751">
        <f ca="1">IFERROR(VLOOKUP(B270,'銀行-TSS'!B:M,12,FALSE),"")</f>
        <v>4.3499999999999997E-2</v>
      </c>
      <c r="O270" s="1752">
        <f ca="1">IFERROR(VLOOKUP(表格1[[#This Row],[商品
代碼]],'銀行-TSS'!B:AJ,35,FALSE),"")</f>
        <v>0</v>
      </c>
      <c r="P270" s="1753">
        <f ca="1">IFERROR(VLOOKUP(表格1[[#This Row],[商品
代碼]],'銀行-TSS'!B:AE,30,FALSE),"")</f>
        <v>4.6100000000000002E-2</v>
      </c>
      <c r="Q270" s="1749" t="str">
        <f ca="1">IFERROR(IF(VLOOKUP(表格1[[#This Row],[商品
代碼]],'銀行-TSS'!B:AM,38,FALSE)="#N/A Field Not Applicable","",VLOOKUP(表格1[[#This Row],[商品
代碼]],'銀行-TSS'!B:AM,38,FALSE)),"")</f>
        <v>2026/5/4</v>
      </c>
      <c r="R270" s="1749" t="str">
        <f ca="1">IFERROR(VLOOKUP(表格1[[#This Row],[商品
代碼]],'銀行-TSS'!B:AH,33,FALSE),"")</f>
        <v>美元(USD)</v>
      </c>
      <c r="S270" s="1754">
        <f ca="1">IFERROR(VLOOKUP(B270,'銀行-TSS'!B:N,13,FALSE),"")</f>
        <v>10000</v>
      </c>
      <c r="T270" s="1754" t="str">
        <f ca="1">VLOOKUP(表格1[[#This Row],[商品
代碼]],'銀行-TSS'!B:AI,34,FALSE)</f>
        <v>自由選清單</v>
      </c>
      <c r="U270" s="1755" t="str">
        <f ca="1">IFERROR(VLOOKUP(B270,'銀行-TSS'!B:Q,16,FALSE),"")</f>
        <v>科技</v>
      </c>
      <c r="V270" s="1755" t="str">
        <f ca="1">IFERROR(VLOOKUP(表格1[[#This Row],[商品
代碼]],'銀行-TSS'!B:AG,32,FALSE),"")</f>
        <v>固定</v>
      </c>
      <c r="W270" s="1756" t="str">
        <f ca="1">IFERROR(IFERROR(VLOOKUP(表格1[[#This Row],[商品
代碼]],'3_是否下架'!A:B,2,FALSE),VLOOKUP(表格1[[#This Row],[商品
代碼]],'銀行-TSS'!B:AK,36,FALSE)),"")</f>
        <v>有</v>
      </c>
      <c r="Y270" s="400"/>
      <c r="Z270" s="400"/>
      <c r="AA270" s="401"/>
    </row>
    <row r="271" spans="2:27" s="399" customFormat="1" ht="24.75" customHeight="1">
      <c r="B271" s="1745" t="s">
        <v>777</v>
      </c>
      <c r="C271" s="1745" t="str">
        <f ca="1">IFERROR(VLOOKUP(表格1[[#This Row],[商品
代碼]],'銀行-TSS'!B:V,21,FALSE),"")</f>
        <v>高資產</v>
      </c>
      <c r="D271" s="1746" t="str">
        <f>IFERROR(VLOOKUP(表格1[[#This Row],[商品
代碼]],bond!B:F,5,FALSE),"")</f>
        <v>US382550BF73</v>
      </c>
      <c r="E271" s="1746" t="str">
        <f ca="1">IFERROR(VLOOKUP(B271,'銀行-TSS'!B:D,3,FALSE),"")</f>
        <v>固特異輪胎橡膠公司美元配息債券 5% 2026/5/31</v>
      </c>
      <c r="F271" s="1745" t="str">
        <f ca="1">IFERROR(VLOOKUP(B271,'銀行-TSS'!B:E,4,FALSE),"")</f>
        <v>B2 / B+ / BB-</v>
      </c>
      <c r="G271" s="1747">
        <f ca="1">IFERROR(VLOOKUP(B271,'銀行-TSS'!B:G,6,FALSE),"")</f>
        <v>1.91</v>
      </c>
      <c r="H271" s="1748">
        <f ca="1">IFERROR(VLOOKUP(B271,'銀行-TSS'!B:H,7,FALSE),"")</f>
        <v>0.05</v>
      </c>
      <c r="I271" s="1745" t="str">
        <f ca="1">IFERROR(IF(表格1[[#This Row],[配息頻率]]=0,"",CHOOSE(表格1[[#This Row],[配息頻率]],MONTH(J271),IF(MONTH(J271)&lt;=6,CONCATENATE(MONTH(J271)," / ",MONTH(J271)+6),CONCATENATE(MONTH(J271)-6," / ",MONTH(J271))),0,"2 / 4 / 8 / 11")),"")</f>
        <v>5 / 11</v>
      </c>
      <c r="J271" s="1749" t="str">
        <f ca="1">IFERROR(VLOOKUP(B271,'銀行-TSS'!B:P,15,FALSE),"")</f>
        <v>2024/11/30</v>
      </c>
      <c r="K271" s="1750">
        <f ca="1">IFERROR(VLOOKUP(表格1[[#This Row],[商品
代碼]],'銀行-TSS'!B:I,8,FALSE),"")</f>
        <v>2</v>
      </c>
      <c r="L271" s="1747">
        <f ca="1">IFERROR(VLOOKUP(B271,'銀行-TSS'!B:K,10,FALSE),"")</f>
        <v>101.25</v>
      </c>
      <c r="M271" s="1745" t="str">
        <f ca="1">IF(表格1[[#This Row],[含息申購
參考價]]&gt;100,"溢價",IF(表格1[[#This Row],[含息申購
參考價]]&lt;100,"折價","平價"))</f>
        <v>溢價</v>
      </c>
      <c r="N271" s="1751">
        <f ca="1">IFERROR(VLOOKUP(B271,'銀行-TSS'!B:M,12,FALSE),"")</f>
        <v>4.5499999999999999E-2</v>
      </c>
      <c r="O271" s="1752">
        <f ca="1">IFERROR(VLOOKUP(表格1[[#This Row],[商品
代碼]],'銀行-TSS'!B:AJ,35,FALSE),"")</f>
        <v>0</v>
      </c>
      <c r="P271" s="1753">
        <f ca="1">IFERROR(VLOOKUP(表格1[[#This Row],[商品
代碼]],'銀行-TSS'!B:AE,30,FALSE),"")</f>
        <v>-4.99E-2</v>
      </c>
      <c r="Q271" s="1749" t="str">
        <f ca="1">IFERROR(IF(VLOOKUP(表格1[[#This Row],[商品
代碼]],'銀行-TSS'!B:AM,38,FALSE)="#N/A Field Not Applicable","",VLOOKUP(表格1[[#This Row],[商品
代碼]],'銀行-TSS'!B:AM,38,FALSE)),"")</f>
        <v>2024/8/1</v>
      </c>
      <c r="R271" s="1749" t="str">
        <f ca="1">IFERROR(VLOOKUP(表格1[[#This Row],[商品
代碼]],'銀行-TSS'!B:AH,33,FALSE),"")</f>
        <v>美元(USD)</v>
      </c>
      <c r="S271" s="1754">
        <f ca="1">IFERROR(VLOOKUP(B271,'銀行-TSS'!B:N,13,FALSE),"")</f>
        <v>10000</v>
      </c>
      <c r="T271" s="1754" t="str">
        <f ca="1">VLOOKUP(表格1[[#This Row],[商品
代碼]],'銀行-TSS'!B:AI,34,FALSE)</f>
        <v>自由選清單</v>
      </c>
      <c r="U271" s="1755" t="str">
        <f ca="1">IFERROR(VLOOKUP(B271,'銀行-TSS'!B:Q,16,FALSE),"")</f>
        <v>非核心消費</v>
      </c>
      <c r="V271" s="1755" t="str">
        <f ca="1">IFERROR(VLOOKUP(表格1[[#This Row],[商品
代碼]],'銀行-TSS'!B:AG,32,FALSE),"")</f>
        <v>固定</v>
      </c>
      <c r="W271" s="1756" t="str">
        <f>IFERROR(IFERROR(VLOOKUP(表格1[[#This Row],[商品
代碼]],'3_是否下架'!A:B,2,FALSE),VLOOKUP(表格1[[#This Row],[商品
代碼]],'銀行-TSS'!B:AK,36,FALSE)),"")</f>
        <v>已下架</v>
      </c>
      <c r="Y271" s="400"/>
      <c r="Z271" s="400"/>
      <c r="AA271" s="401"/>
    </row>
    <row r="272" spans="2:27" s="399" customFormat="1" ht="24.75" customHeight="1">
      <c r="B272" s="1745" t="s">
        <v>775</v>
      </c>
      <c r="C272" s="1745" t="str">
        <f ca="1">IFERROR(VLOOKUP(表格1[[#This Row],[商品
代碼]],'銀行-TSS'!B:V,21,FALSE),"")</f>
        <v>(PI)專投</v>
      </c>
      <c r="D272" s="1746" t="str">
        <f>IFERROR(VLOOKUP(表格1[[#This Row],[商品
代碼]],bond!B:F,5,FALSE),"")</f>
        <v>US06738EAP07</v>
      </c>
      <c r="E272" s="1746" t="str">
        <f ca="1">IFERROR(VLOOKUP(B272,'銀行-TSS'!B:D,3,FALSE),"")</f>
        <v>巴克萊集團美元配息債券 5.2% 2026/5/12</v>
      </c>
      <c r="F272" s="1745" t="str">
        <f ca="1">IFERROR(VLOOKUP(B272,'銀行-TSS'!B:E,4,FALSE),"")</f>
        <v>Baa1 / BBB- / BBB+</v>
      </c>
      <c r="G272" s="1747">
        <f ca="1">IFERROR(VLOOKUP(B272,'銀行-TSS'!B:G,6,FALSE),"")</f>
        <v>1.86</v>
      </c>
      <c r="H272" s="1748">
        <f ca="1">IFERROR(VLOOKUP(B272,'銀行-TSS'!B:H,7,FALSE),"")</f>
        <v>5.2000000000000005E-2</v>
      </c>
      <c r="I272" s="1745" t="str">
        <f ca="1">IFERROR(IF(表格1[[#This Row],[配息頻率]]=0,"",CHOOSE(表格1[[#This Row],[配息頻率]],MONTH(J272),IF(MONTH(J272)&lt;=6,CONCATENATE(MONTH(J272)," / ",MONTH(J272)+6),CONCATENATE(MONTH(J272)-6," / ",MONTH(J272))),0,"2 / 4 / 8 / 11")),"")</f>
        <v>5 / 11</v>
      </c>
      <c r="J272" s="1749" t="str">
        <f ca="1">IFERROR(VLOOKUP(B272,'銀行-TSS'!B:P,15,FALSE),"")</f>
        <v>2024/11/12</v>
      </c>
      <c r="K272" s="1750">
        <f ca="1">IFERROR(VLOOKUP(表格1[[#This Row],[商品
代碼]],'銀行-TSS'!B:I,8,FALSE),"")</f>
        <v>2</v>
      </c>
      <c r="L272" s="1747">
        <f ca="1">IFERROR(VLOOKUP(B272,'銀行-TSS'!B:K,10,FALSE),"")</f>
        <v>100.73</v>
      </c>
      <c r="M272" s="1745" t="str">
        <f ca="1">IF(表格1[[#This Row],[含息申購
參考價]]&gt;100,"溢價",IF(表格1[[#This Row],[含息申購
參考價]]&lt;100,"折價","平價"))</f>
        <v>溢價</v>
      </c>
      <c r="N272" s="1751">
        <f ca="1">IFERROR(VLOOKUP(B272,'銀行-TSS'!B:M,12,FALSE),"")</f>
        <v>5.1900000000000002E-2</v>
      </c>
      <c r="O272" s="1752">
        <f ca="1">IFERROR(VLOOKUP(表格1[[#This Row],[商品
代碼]],'銀行-TSS'!B:AJ,35,FALSE),"")</f>
        <v>0</v>
      </c>
      <c r="P272" s="1753" t="str">
        <f ca="1">IFERROR(VLOOKUP(表格1[[#This Row],[商品
代碼]],'銀行-TSS'!B:AE,30,FALSE),"")</f>
        <v xml:space="preserve"> </v>
      </c>
      <c r="Q272" s="1749" t="str">
        <f ca="1">IFERROR(IF(VLOOKUP(表格1[[#This Row],[商品
代碼]],'銀行-TSS'!B:AM,38,FALSE)="#N/A Field Not Applicable","",VLOOKUP(表格1[[#This Row],[商品
代碼]],'銀行-TSS'!B:AM,38,FALSE)),"")</f>
        <v/>
      </c>
      <c r="R272" s="1749" t="str">
        <f ca="1">IFERROR(VLOOKUP(表格1[[#This Row],[商品
代碼]],'銀行-TSS'!B:AH,33,FALSE),"")</f>
        <v>美元(USD)</v>
      </c>
      <c r="S272" s="1754">
        <f ca="1">IFERROR(VLOOKUP(B272,'銀行-TSS'!B:N,13,FALSE),"")</f>
        <v>200000</v>
      </c>
      <c r="T272" s="1754" t="str">
        <f ca="1">VLOOKUP(表格1[[#This Row],[商品
代碼]],'銀行-TSS'!B:AI,34,FALSE)</f>
        <v>自由選清單</v>
      </c>
      <c r="U272" s="1755" t="str">
        <f ca="1">IFERROR(VLOOKUP(B272,'銀行-TSS'!B:Q,16,FALSE),"")</f>
        <v>金融</v>
      </c>
      <c r="V272" s="1755" t="str">
        <f ca="1">IFERROR(VLOOKUP(表格1[[#This Row],[商品
代碼]],'銀行-TSS'!B:AG,32,FALSE),"")</f>
        <v>固定</v>
      </c>
      <c r="W272" s="1756" t="str">
        <f ca="1">IFERROR(IFERROR(VLOOKUP(表格1[[#This Row],[商品
代碼]],'3_是否下架'!A:B,2,FALSE),VLOOKUP(表格1[[#This Row],[商品
代碼]],'銀行-TSS'!B:AK,36,FALSE)),"")</f>
        <v>有</v>
      </c>
      <c r="Y272" s="400"/>
      <c r="Z272" s="400"/>
      <c r="AA272" s="401"/>
    </row>
    <row r="273" spans="2:27" s="399" customFormat="1" ht="24.75" customHeight="1">
      <c r="B273" s="1745" t="s">
        <v>789</v>
      </c>
      <c r="C273" s="1745" t="str">
        <f ca="1">IFERROR(VLOOKUP(表格1[[#This Row],[商品
代碼]],'銀行-TSS'!B:V,21,FALSE),"")</f>
        <v>(NPI)非專投</v>
      </c>
      <c r="D273" s="1746" t="str">
        <f>IFERROR(VLOOKUP(表格1[[#This Row],[商品
代碼]],bond!B:F,5,FALSE),"")</f>
        <v>US00287YAY59</v>
      </c>
      <c r="E273" s="1746" t="str">
        <f ca="1">IFERROR(VLOOKUP(B273,'銀行-TSS'!B:D,3,FALSE),"")</f>
        <v>艾伯維藥品有限公司美元配息債券 3.2% 2026/5/14</v>
      </c>
      <c r="F273" s="1745" t="str">
        <f ca="1">IFERROR(VLOOKUP(B273,'銀行-TSS'!B:E,4,FALSE),"")</f>
        <v>A3 / A- / -</v>
      </c>
      <c r="G273" s="1747">
        <f ca="1">IFERROR(VLOOKUP(B273,'銀行-TSS'!B:G,6,FALSE),"")</f>
        <v>1.86</v>
      </c>
      <c r="H273" s="1748">
        <f ca="1">IFERROR(VLOOKUP(B273,'銀行-TSS'!B:H,7,FALSE),"")</f>
        <v>3.2000000000000001E-2</v>
      </c>
      <c r="I273" s="1745" t="str">
        <f ca="1">IFERROR(IF(表格1[[#This Row],[配息頻率]]=0,"",CHOOSE(表格1[[#This Row],[配息頻率]],MONTH(J273),IF(MONTH(J273)&lt;=6,CONCATENATE(MONTH(J273)," / ",MONTH(J273)+6),CONCATENATE(MONTH(J273)-6," / ",MONTH(J273))),0,"2 / 4 / 8 / 11")),"")</f>
        <v>5 / 11</v>
      </c>
      <c r="J273" s="1749" t="str">
        <f ca="1">IFERROR(VLOOKUP(B273,'銀行-TSS'!B:P,15,FALSE),"")</f>
        <v>2024/11/14</v>
      </c>
      <c r="K273" s="1750">
        <f ca="1">IFERROR(VLOOKUP(表格1[[#This Row],[商品
代碼]],'銀行-TSS'!B:I,8,FALSE),"")</f>
        <v>2</v>
      </c>
      <c r="L273" s="1747">
        <f ca="1">IFERROR(VLOOKUP(B273,'銀行-TSS'!B:K,10,FALSE),"")</f>
        <v>98.17</v>
      </c>
      <c r="M273" s="1745" t="str">
        <f ca="1">IF(表格1[[#This Row],[含息申購
參考價]]&gt;100,"溢價",IF(表格1[[#This Row],[含息申購
參考價]]&lt;100,"折價","平價"))</f>
        <v>折價</v>
      </c>
      <c r="N273" s="1751">
        <f ca="1">IFERROR(VLOOKUP(B273,'銀行-TSS'!B:M,12,FALSE),"")</f>
        <v>4.4699999999999997E-2</v>
      </c>
      <c r="O273" s="1752">
        <f ca="1">IFERROR(VLOOKUP(表格1[[#This Row],[商品
代碼]],'銀行-TSS'!B:AJ,35,FALSE),"")</f>
        <v>0</v>
      </c>
      <c r="P273" s="1753">
        <f ca="1">IFERROR(VLOOKUP(表格1[[#This Row],[商品
代碼]],'銀行-TSS'!B:AE,30,FALSE),"")</f>
        <v>4.6699999999999998E-2</v>
      </c>
      <c r="Q273" s="1749" t="str">
        <f ca="1">IFERROR(IF(VLOOKUP(表格1[[#This Row],[商品
代碼]],'銀行-TSS'!B:AM,38,FALSE)="#N/A Field Not Applicable","",VLOOKUP(表格1[[#This Row],[商品
代碼]],'銀行-TSS'!B:AM,38,FALSE)),"")</f>
        <v>2026/2/14</v>
      </c>
      <c r="R273" s="1749" t="str">
        <f ca="1">IFERROR(VLOOKUP(表格1[[#This Row],[商品
代碼]],'銀行-TSS'!B:AH,33,FALSE),"")</f>
        <v>美元(USD)</v>
      </c>
      <c r="S273" s="1754">
        <f ca="1">IFERROR(VLOOKUP(B273,'銀行-TSS'!B:N,13,FALSE),"")</f>
        <v>10000</v>
      </c>
      <c r="T273" s="1754" t="str">
        <f ca="1">VLOOKUP(表格1[[#This Row],[商品
代碼]],'銀行-TSS'!B:AI,34,FALSE)</f>
        <v>自由選清單</v>
      </c>
      <c r="U273" s="1755" t="str">
        <f ca="1">IFERROR(VLOOKUP(B273,'銀行-TSS'!B:Q,16,FALSE),"")</f>
        <v>醫療保健</v>
      </c>
      <c r="V273" s="1755" t="str">
        <f ca="1">IFERROR(VLOOKUP(表格1[[#This Row],[商品
代碼]],'銀行-TSS'!B:AG,32,FALSE),"")</f>
        <v>固定</v>
      </c>
      <c r="W273" s="1756" t="str">
        <f ca="1">IFERROR(IFERROR(VLOOKUP(表格1[[#This Row],[商品
代碼]],'3_是否下架'!A:B,2,FALSE),VLOOKUP(表格1[[#This Row],[商品
代碼]],'銀行-TSS'!B:AK,36,FALSE)),"")</f>
        <v>有</v>
      </c>
      <c r="Y273" s="400"/>
      <c r="Z273" s="400"/>
      <c r="AA273" s="401"/>
    </row>
    <row r="274" spans="2:27" s="399" customFormat="1" ht="24.75" customHeight="1">
      <c r="B274" s="1745" t="s">
        <v>2196</v>
      </c>
      <c r="C274" s="1745" t="str">
        <f ca="1">IFERROR(VLOOKUP(表格1[[#This Row],[商品
代碼]],'銀行-TSS'!B:V,21,FALSE),"")</f>
        <v>(NPI)非專投</v>
      </c>
      <c r="D274" s="1746" t="str">
        <f>IFERROR(VLOOKUP(表格1[[#This Row],[商品
代碼]],bond!B:F,5,FALSE),"")</f>
        <v>US037833ES58</v>
      </c>
      <c r="E274" s="1746" t="str">
        <f ca="1">IFERROR(VLOOKUP(B274,'銀行-TSS'!B:D,3,FALSE),"")</f>
        <v>蘋果公司美元配息債券 4.421% 2026/5/8</v>
      </c>
      <c r="F274" s="1745" t="str">
        <f ca="1">IFERROR(VLOOKUP(B274,'銀行-TSS'!B:E,4,FALSE),"")</f>
        <v>Aaa / AA+ / -</v>
      </c>
      <c r="G274" s="1747">
        <f ca="1">IFERROR(VLOOKUP(B274,'銀行-TSS'!B:G,6,FALSE),"")</f>
        <v>1.85</v>
      </c>
      <c r="H274" s="1748">
        <f ca="1">IFERROR(VLOOKUP(B274,'銀行-TSS'!B:H,7,FALSE),"")</f>
        <v>4.4209999999999999E-2</v>
      </c>
      <c r="I274" s="1745" t="str">
        <f ca="1">IFERROR(IF(表格1[[#This Row],[配息頻率]]=0,"",CHOOSE(表格1[[#This Row],[配息頻率]],MONTH(J274),IF(MONTH(J274)&lt;=6,CONCATENATE(MONTH(J274)," / ",MONTH(J274)+6),CONCATENATE(MONTH(J274)-6," / ",MONTH(J274))),0,"2 / 4 / 8 / 11")),"")</f>
        <v>5 / 11</v>
      </c>
      <c r="J274" s="1749" t="str">
        <f ca="1">IFERROR(VLOOKUP(B274,'銀行-TSS'!B:P,15,FALSE),"")</f>
        <v>2024/11/8</v>
      </c>
      <c r="K274" s="1750">
        <f ca="1">IFERROR(VLOOKUP(表格1[[#This Row],[商品
代碼]],'銀行-TSS'!B:I,8,FALSE),"")</f>
        <v>2</v>
      </c>
      <c r="L274" s="1747">
        <f ca="1">IFERROR(VLOOKUP(B274,'銀行-TSS'!B:K,10,FALSE),"")</f>
        <v>101.14999999999999</v>
      </c>
      <c r="M274" s="1745" t="str">
        <f ca="1">IF(表格1[[#This Row],[含息申購
參考價]]&gt;100,"溢價",IF(表格1[[#This Row],[含息申購
參考價]]&lt;100,"折價","平價"))</f>
        <v>溢價</v>
      </c>
      <c r="N274" s="1751">
        <f ca="1">IFERROR(VLOOKUP(B274,'銀行-TSS'!B:M,12,FALSE),"")</f>
        <v>4.1399999999999999E-2</v>
      </c>
      <c r="O274" s="1752">
        <f ca="1">IFERROR(VLOOKUP(表格1[[#This Row],[商品
代碼]],'銀行-TSS'!B:AJ,35,FALSE),"")</f>
        <v>0</v>
      </c>
      <c r="P274" s="1753">
        <f ca="1">IFERROR(VLOOKUP(表格1[[#This Row],[商品
代碼]],'銀行-TSS'!B:AE,30,FALSE),"")</f>
        <v>-0.13070000000000001</v>
      </c>
      <c r="Q274" s="1749" t="str">
        <f ca="1">IFERROR(IF(VLOOKUP(表格1[[#This Row],[商品
代碼]],'銀行-TSS'!B:AM,38,FALSE)="#N/A Field Not Applicable","",VLOOKUP(表格1[[#This Row],[商品
代碼]],'銀行-TSS'!B:AM,38,FALSE)),"")</f>
        <v>2024/7/12</v>
      </c>
      <c r="R274" s="1749" t="str">
        <f ca="1">IFERROR(VLOOKUP(表格1[[#This Row],[商品
代碼]],'銀行-TSS'!B:AH,33,FALSE),"")</f>
        <v>美元(USD)</v>
      </c>
      <c r="S274" s="1754">
        <f ca="1">IFERROR(VLOOKUP(B274,'銀行-TSS'!B:N,13,FALSE),"")</f>
        <v>10000</v>
      </c>
      <c r="T274" s="1754" t="str">
        <f ca="1">VLOOKUP(表格1[[#This Row],[商品
代碼]],'銀行-TSS'!B:AI,34,FALSE)</f>
        <v>自由選清單</v>
      </c>
      <c r="U274" s="1755" t="str">
        <f ca="1">IFERROR(VLOOKUP(B274,'銀行-TSS'!B:Q,16,FALSE),"")</f>
        <v>科技</v>
      </c>
      <c r="V274" s="1755" t="str">
        <f ca="1">IFERROR(VLOOKUP(表格1[[#This Row],[商品
代碼]],'銀行-TSS'!B:AG,32,FALSE),"")</f>
        <v>固定</v>
      </c>
      <c r="W274" s="1756" t="str">
        <f ca="1">IFERROR(IFERROR(VLOOKUP(表格1[[#This Row],[商品
代碼]],'3_是否下架'!A:B,2,FALSE),VLOOKUP(表格1[[#This Row],[商品
代碼]],'銀行-TSS'!B:AK,36,FALSE)),"")</f>
        <v>有</v>
      </c>
      <c r="Y274" s="400"/>
      <c r="Z274" s="400"/>
      <c r="AA274" s="401"/>
    </row>
    <row r="275" spans="2:27" s="399" customFormat="1" ht="24.75" customHeight="1">
      <c r="B275" s="1745" t="s">
        <v>1202</v>
      </c>
      <c r="C275" s="1745" t="str">
        <f ca="1">IFERROR(VLOOKUP(表格1[[#This Row],[商品
代碼]],'銀行-TSS'!B:V,21,FALSE),"")</f>
        <v>(PI)專投</v>
      </c>
      <c r="D275" s="1746" t="str">
        <f>IFERROR(VLOOKUP(表格1[[#This Row],[商品
代碼]],bond!B:F,5,FALSE),"")</f>
        <v>US172967KN09</v>
      </c>
      <c r="E275" s="1746" t="str">
        <f ca="1">IFERROR(VLOOKUP(B275,'銀行-TSS'!B:D,3,FALSE),"")</f>
        <v>花旗集團美元配息債券 3.4% 2026/5/1</v>
      </c>
      <c r="F275" s="1745" t="str">
        <f ca="1">IFERROR(VLOOKUP(B275,'銀行-TSS'!B:E,4,FALSE),"")</f>
        <v>A3 / BBB+ / A</v>
      </c>
      <c r="G275" s="1747">
        <f ca="1">IFERROR(VLOOKUP(B275,'銀行-TSS'!B:G,6,FALSE),"")</f>
        <v>1.83</v>
      </c>
      <c r="H275" s="1748">
        <f ca="1">IFERROR(VLOOKUP(B275,'銀行-TSS'!B:H,7,FALSE),"")</f>
        <v>3.4000000000000002E-2</v>
      </c>
      <c r="I275" s="1745" t="str">
        <f ca="1">IFERROR(IF(表格1[[#This Row],[配息頻率]]=0,"",CHOOSE(表格1[[#This Row],[配息頻率]],MONTH(J275),IF(MONTH(J275)&lt;=6,CONCATENATE(MONTH(J275)," / ",MONTH(J275)+6),CONCATENATE(MONTH(J275)-6," / ",MONTH(J275))),0,"2 / 4 / 8 / 11")),"")</f>
        <v>5 / 11</v>
      </c>
      <c r="J275" s="1749" t="str">
        <f ca="1">IFERROR(VLOOKUP(B275,'銀行-TSS'!B:P,15,FALSE),"")</f>
        <v>2024/11/1</v>
      </c>
      <c r="K275" s="1750">
        <f ca="1">IFERROR(VLOOKUP(表格1[[#This Row],[商品
代碼]],'銀行-TSS'!B:I,8,FALSE),"")</f>
        <v>2</v>
      </c>
      <c r="L275" s="1747">
        <f ca="1">IFERROR(VLOOKUP(B275,'銀行-TSS'!B:K,10,FALSE),"")</f>
        <v>98.36</v>
      </c>
      <c r="M275" s="1745" t="str">
        <f ca="1">IF(表格1[[#This Row],[含息申購
參考價]]&gt;100,"溢價",IF(表格1[[#This Row],[含息申購
參考價]]&lt;100,"折價","平價"))</f>
        <v>折價</v>
      </c>
      <c r="N275" s="1751">
        <f ca="1">IFERROR(VLOOKUP(B275,'銀行-TSS'!B:M,12,FALSE),"")</f>
        <v>4.6800000000000001E-2</v>
      </c>
      <c r="O275" s="1752">
        <f ca="1">IFERROR(VLOOKUP(表格1[[#This Row],[商品
代碼]],'銀行-TSS'!B:AJ,35,FALSE),"")</f>
        <v>0</v>
      </c>
      <c r="P275" s="1753" t="str">
        <f ca="1">IFERROR(VLOOKUP(表格1[[#This Row],[商品
代碼]],'銀行-TSS'!B:AE,30,FALSE),"")</f>
        <v xml:space="preserve"> </v>
      </c>
      <c r="Q275" s="1749" t="str">
        <f ca="1">IFERROR(IF(VLOOKUP(表格1[[#This Row],[商品
代碼]],'銀行-TSS'!B:AM,38,FALSE)="#N/A Field Not Applicable","",VLOOKUP(表格1[[#This Row],[商品
代碼]],'銀行-TSS'!B:AM,38,FALSE)),"")</f>
        <v/>
      </c>
      <c r="R275" s="1749" t="str">
        <f ca="1">IFERROR(VLOOKUP(表格1[[#This Row],[商品
代碼]],'銀行-TSS'!B:AH,33,FALSE),"")</f>
        <v>美元(USD)</v>
      </c>
      <c r="S275" s="1754">
        <f ca="1">IFERROR(VLOOKUP(B275,'銀行-TSS'!B:N,13,FALSE),"")</f>
        <v>10000</v>
      </c>
      <c r="T275" s="1754" t="str">
        <f ca="1">VLOOKUP(表格1[[#This Row],[商品
代碼]],'銀行-TSS'!B:AI,34,FALSE)</f>
        <v>自由選清單</v>
      </c>
      <c r="U275" s="1755" t="str">
        <f ca="1">IFERROR(VLOOKUP(B275,'銀行-TSS'!B:Q,16,FALSE),"")</f>
        <v>金融</v>
      </c>
      <c r="V275" s="1755" t="str">
        <f ca="1">IFERROR(VLOOKUP(表格1[[#This Row],[商品
代碼]],'銀行-TSS'!B:AG,32,FALSE),"")</f>
        <v>固定</v>
      </c>
      <c r="W275" s="1756" t="str">
        <f ca="1">IFERROR(IFERROR(VLOOKUP(表格1[[#This Row],[商品
代碼]],'3_是否下架'!A:B,2,FALSE),VLOOKUP(表格1[[#This Row],[商品
代碼]],'銀行-TSS'!B:AK,36,FALSE)),"")</f>
        <v>有</v>
      </c>
      <c r="Y275" s="400"/>
      <c r="Z275" s="400"/>
      <c r="AA275" s="401"/>
    </row>
    <row r="276" spans="2:27" s="399" customFormat="1" ht="24.75" customHeight="1">
      <c r="B276" s="1745" t="s">
        <v>796</v>
      </c>
      <c r="C276" s="1745" t="str">
        <f ca="1">IFERROR(VLOOKUP(表格1[[#This Row],[商品
代碼]],'銀行-TSS'!B:V,21,FALSE),"")</f>
        <v>(PI)專投</v>
      </c>
      <c r="D276" s="1746" t="str">
        <f>IFERROR(VLOOKUP(表格1[[#This Row],[商品
代碼]],bond!B:F,5,FALSE),"")</f>
        <v>US958102AM75</v>
      </c>
      <c r="E276" s="1746" t="str">
        <f ca="1">IFERROR(VLOOKUP(B276,'銀行-TSS'!B:D,3,FALSE),"")</f>
        <v>威騰電子公司美元配息債券 4.75% 2026/2/15</v>
      </c>
      <c r="F276" s="1745" t="str">
        <f ca="1">IFERROR(VLOOKUP(B276,'銀行-TSS'!B:E,4,FALSE),"")</f>
        <v>Ba2 *- / BB- *- / BB+ *-</v>
      </c>
      <c r="G276" s="1747">
        <f ca="1">IFERROR(VLOOKUP(B276,'銀行-TSS'!B:G,6,FALSE),"")</f>
        <v>1.62</v>
      </c>
      <c r="H276" s="1748">
        <f ca="1">IFERROR(VLOOKUP(B276,'銀行-TSS'!B:H,7,FALSE),"")</f>
        <v>4.7500000000000001E-2</v>
      </c>
      <c r="I276" s="1745" t="str">
        <f ca="1">IFERROR(IF(表格1[[#This Row],[配息頻率]]=0,"",CHOOSE(表格1[[#This Row],[配息頻率]],MONTH(J276),IF(MONTH(J276)&lt;=6,CONCATENATE(MONTH(J276)," / ",MONTH(J276)+6),CONCATENATE(MONTH(J276)-6," / ",MONTH(J276))),0,"2 / 4 / 8 / 11")),"")</f>
        <v>2 / 8</v>
      </c>
      <c r="J276" s="1749" t="str">
        <f ca="1">IFERROR(VLOOKUP(B276,'銀行-TSS'!B:P,15,FALSE),"")</f>
        <v>2024/8/15</v>
      </c>
      <c r="K276" s="1750">
        <f ca="1">IFERROR(VLOOKUP(表格1[[#This Row],[商品
代碼]],'銀行-TSS'!B:I,8,FALSE),"")</f>
        <v>2</v>
      </c>
      <c r="L276" s="1747">
        <f ca="1">IFERROR(VLOOKUP(B276,'銀行-TSS'!B:K,10,FALSE),"")</f>
        <v>102.1</v>
      </c>
      <c r="M276" s="1745" t="str">
        <f ca="1">IF(表格1[[#This Row],[含息申購
參考價]]&gt;100,"溢價",IF(表格1[[#This Row],[含息申購
參考價]]&lt;100,"折價","平價"))</f>
        <v>溢價</v>
      </c>
      <c r="N276" s="1751">
        <f ca="1">IFERROR(VLOOKUP(B276,'銀行-TSS'!B:M,12,FALSE),"")</f>
        <v>4.5600000000000002E-2</v>
      </c>
      <c r="O276" s="1752">
        <f ca="1">IFERROR(VLOOKUP(表格1[[#This Row],[商品
代碼]],'銀行-TSS'!B:AJ,35,FALSE),"")</f>
        <v>0</v>
      </c>
      <c r="P276" s="1753">
        <f ca="1">IFERROR(VLOOKUP(表格1[[#This Row],[商品
代碼]],'銀行-TSS'!B:AE,30,FALSE),"")</f>
        <v>4.53E-2</v>
      </c>
      <c r="Q276" s="1749" t="str">
        <f ca="1">IFERROR(IF(VLOOKUP(表格1[[#This Row],[商品
代碼]],'銀行-TSS'!B:AM,38,FALSE)="#N/A Field Not Applicable","",VLOOKUP(表格1[[#This Row],[商品
代碼]],'銀行-TSS'!B:AM,38,FALSE)),"")</f>
        <v>2025/11/15</v>
      </c>
      <c r="R276" s="1749" t="str">
        <f ca="1">IFERROR(VLOOKUP(表格1[[#This Row],[商品
代碼]],'銀行-TSS'!B:AH,33,FALSE),"")</f>
        <v>美元(USD)</v>
      </c>
      <c r="S276" s="1754">
        <f ca="1">IFERROR(VLOOKUP(B276,'銀行-TSS'!B:N,13,FALSE),"")</f>
        <v>10000</v>
      </c>
      <c r="T276" s="1754" t="str">
        <f ca="1">VLOOKUP(表格1[[#This Row],[商品
代碼]],'銀行-TSS'!B:AI,34,FALSE)</f>
        <v>自由選清單</v>
      </c>
      <c r="U276" s="1755" t="str">
        <f ca="1">IFERROR(VLOOKUP(B276,'銀行-TSS'!B:Q,16,FALSE),"")</f>
        <v>科技</v>
      </c>
      <c r="V276" s="1755" t="str">
        <f ca="1">IFERROR(VLOOKUP(表格1[[#This Row],[商品
代碼]],'銀行-TSS'!B:AG,32,FALSE),"")</f>
        <v>固定</v>
      </c>
      <c r="W276" s="1756" t="str">
        <f>IFERROR(IFERROR(VLOOKUP(表格1[[#This Row],[商品
代碼]],'3_是否下架'!A:B,2,FALSE),VLOOKUP(表格1[[#This Row],[商品
代碼]],'銀行-TSS'!B:AK,36,FALSE)),"")</f>
        <v>已下架</v>
      </c>
      <c r="Y276" s="400"/>
      <c r="Z276" s="400"/>
      <c r="AA276" s="401"/>
    </row>
    <row r="277" spans="2:27" s="399" customFormat="1" ht="24.75" customHeight="1">
      <c r="B277" s="1745" t="s">
        <v>636</v>
      </c>
      <c r="C277" s="1745" t="str">
        <f ca="1">IFERROR(VLOOKUP(表格1[[#This Row],[商品
代碼]],'銀行-TSS'!B:V,21,FALSE),"")</f>
        <v>(NPI)非專投</v>
      </c>
      <c r="D277" s="1746" t="str">
        <f>IFERROR(VLOOKUP(表格1[[#This Row],[商品
代碼]],bond!B:F,5,FALSE),"")</f>
        <v>XS0085517661</v>
      </c>
      <c r="E277" s="1746" t="str">
        <f ca="1">IFERROR(VLOOKUP(B277,'銀行-TSS'!B:D,3,FALSE),"")</f>
        <v>荷蘭市鎮銀行南非幣零息債券 0% 2025/12/31</v>
      </c>
      <c r="F277" s="1745" t="str">
        <f ca="1">IFERROR(VLOOKUP(B277,'銀行-TSS'!B:E,4,FALSE),"")</f>
        <v>Aaa / AAA / AAA</v>
      </c>
      <c r="G277" s="1747">
        <f ca="1">IFERROR(VLOOKUP(B277,'銀行-TSS'!B:G,6,FALSE),"")</f>
        <v>1.49</v>
      </c>
      <c r="H277" s="1748">
        <f ca="1">IFERROR(VLOOKUP(B277,'銀行-TSS'!B:H,7,FALSE),"")</f>
        <v>0</v>
      </c>
      <c r="I277" s="1745" t="str">
        <f ca="1">IFERROR(IF(表格1[[#This Row],[配息頻率]]=0,"",CHOOSE(表格1[[#This Row],[配息頻率]],MONTH(J277),IF(MONTH(J277)&lt;=6,CONCATENATE(MONTH(J277)," / ",MONTH(J277)+6),CONCATENATE(MONTH(J277)-6," / ",MONTH(J277))),0,"2 / 4 / 8 / 11")),"")</f>
        <v/>
      </c>
      <c r="J277" s="1749" t="str">
        <f ca="1">IFERROR(VLOOKUP(B277,'銀行-TSS'!B:P,15,FALSE),"")</f>
        <v>#N/A Field Not Applicable</v>
      </c>
      <c r="K277" s="1750">
        <f ca="1">IFERROR(VLOOKUP(表格1[[#This Row],[商品
代碼]],'銀行-TSS'!B:I,8,FALSE),"")</f>
        <v>0</v>
      </c>
      <c r="L277" s="1747">
        <f ca="1">IFERROR(VLOOKUP(B277,'銀行-TSS'!B:K,10,FALSE),"")</f>
        <v>90.58</v>
      </c>
      <c r="M277" s="1745" t="str">
        <f ca="1">IF(表格1[[#This Row],[含息申購
參考價]]&gt;100,"溢價",IF(表格1[[#This Row],[含息申購
參考價]]&lt;100,"折價","平價"))</f>
        <v>折價</v>
      </c>
      <c r="N277" s="1751">
        <f ca="1">IFERROR(VLOOKUP(B277,'銀行-TSS'!B:M,12,FALSE),"")</f>
        <v>6.8599999999999994E-2</v>
      </c>
      <c r="O277" s="1752">
        <f ca="1">IFERROR(VLOOKUP(表格1[[#This Row],[商品
代碼]],'銀行-TSS'!B:AJ,35,FALSE),"")</f>
        <v>1</v>
      </c>
      <c r="P277" s="1753" t="str">
        <f ca="1">IFERROR(VLOOKUP(表格1[[#This Row],[商品
代碼]],'銀行-TSS'!B:AE,30,FALSE),"")</f>
        <v xml:space="preserve"> </v>
      </c>
      <c r="Q277" s="1749" t="str">
        <f ca="1">IFERROR(IF(VLOOKUP(表格1[[#This Row],[商品
代碼]],'銀行-TSS'!B:AM,38,FALSE)="#N/A Field Not Applicable","",VLOOKUP(表格1[[#This Row],[商品
代碼]],'銀行-TSS'!B:AM,38,FALSE)),"")</f>
        <v/>
      </c>
      <c r="R277" s="1749" t="str">
        <f ca="1">IFERROR(VLOOKUP(表格1[[#This Row],[商品
代碼]],'銀行-TSS'!B:AH,33,FALSE),"")</f>
        <v>南非幣(ZAR)</v>
      </c>
      <c r="S277" s="1754">
        <f ca="1">IFERROR(VLOOKUP(B277,'銀行-TSS'!B:N,13,FALSE),"")</f>
        <v>100000</v>
      </c>
      <c r="T277" s="1754" t="str">
        <f ca="1">VLOOKUP(表格1[[#This Row],[商品
代碼]],'銀行-TSS'!B:AI,34,FALSE)</f>
        <v/>
      </c>
      <c r="U277" s="1755" t="str">
        <f ca="1">IFERROR(VLOOKUP(B277,'銀行-TSS'!B:Q,16,FALSE),"")</f>
        <v>政府</v>
      </c>
      <c r="V277" s="1755" t="str">
        <f ca="1">IFERROR(VLOOKUP(表格1[[#This Row],[商品
代碼]],'銀行-TSS'!B:AG,32,FALSE),"")</f>
        <v>零息</v>
      </c>
      <c r="W277" s="1756" t="str">
        <f>IFERROR(IFERROR(VLOOKUP(表格1[[#This Row],[商品
代碼]],'3_是否下架'!A:B,2,FALSE),VLOOKUP(表格1[[#This Row],[商品
代碼]],'銀行-TSS'!B:AK,36,FALSE)),"")</f>
        <v>已下架</v>
      </c>
      <c r="Y277" s="400"/>
      <c r="Z277" s="400"/>
      <c r="AA277" s="401"/>
    </row>
    <row r="278" spans="2:27" s="399" customFormat="1" ht="24.75" customHeight="1">
      <c r="B278" s="1745" t="s">
        <v>1243</v>
      </c>
      <c r="C278" s="1745" t="str">
        <f ca="1">IFERROR(VLOOKUP(表格1[[#This Row],[商品
代碼]],'銀行-TSS'!B:V,21,FALSE),"")</f>
        <v>(NPI)非專投</v>
      </c>
      <c r="D278" s="1746" t="str">
        <f>IFERROR(VLOOKUP(表格1[[#This Row],[商品
代碼]],bond!B:F,5,FALSE),"")</f>
        <v>US91282CFK27</v>
      </c>
      <c r="E278" s="1746" t="str">
        <f ca="1">IFERROR(VLOOKUP(B278,'銀行-TSS'!B:D,3,FALSE),"")</f>
        <v>美國政府公債 3.5% 2025/9/15</v>
      </c>
      <c r="F278" s="1745" t="str">
        <f ca="1">IFERROR(VLOOKUP(B278,'銀行-TSS'!B:E,4,FALSE),"")</f>
        <v>Aaa / - / AA+u</v>
      </c>
      <c r="G278" s="1747">
        <f ca="1">IFERROR(VLOOKUP(B278,'銀行-TSS'!B:G,6,FALSE),"")</f>
        <v>1.2</v>
      </c>
      <c r="H278" s="1748">
        <f ca="1">IFERROR(VLOOKUP(B278,'銀行-TSS'!B:H,7,FALSE),"")</f>
        <v>3.5000000000000003E-2</v>
      </c>
      <c r="I278" s="1745" t="str">
        <f ca="1">IFERROR(IF(表格1[[#This Row],[配息頻率]]=0,"",CHOOSE(表格1[[#This Row],[配息頻率]],MONTH(J278),IF(MONTH(J278)&lt;=6,CONCATENATE(MONTH(J278)," / ",MONTH(J278)+6),CONCATENATE(MONTH(J278)-6," / ",MONTH(J278))),0,"2 / 4 / 8 / 11")),"")</f>
        <v>3 / 9</v>
      </c>
      <c r="J278" s="1749" t="str">
        <f ca="1">IFERROR(VLOOKUP(B278,'銀行-TSS'!B:P,15,FALSE),"")</f>
        <v>2024/9/15</v>
      </c>
      <c r="K278" s="1750">
        <f ca="1">IFERROR(VLOOKUP(表格1[[#This Row],[商品
代碼]],'銀行-TSS'!B:I,8,FALSE),"")</f>
        <v>2</v>
      </c>
      <c r="L278" s="1747">
        <f ca="1">IFERROR(VLOOKUP(B278,'銀行-TSS'!B:K,10,FALSE),"")</f>
        <v>100.07</v>
      </c>
      <c r="M278" s="1745" t="str">
        <f ca="1">IF(表格1[[#This Row],[含息申購
參考價]]&gt;100,"溢價",IF(表格1[[#This Row],[含息申購
參考價]]&lt;100,"折價","平價"))</f>
        <v>溢價</v>
      </c>
      <c r="N278" s="1751">
        <f ca="1">IFERROR(VLOOKUP(B278,'銀行-TSS'!B:M,12,FALSE),"")</f>
        <v>4.3299999999999998E-2</v>
      </c>
      <c r="O278" s="1752">
        <f ca="1">IFERROR(VLOOKUP(表格1[[#This Row],[商品
代碼]],'銀行-TSS'!B:AJ,35,FALSE),"")</f>
        <v>0</v>
      </c>
      <c r="P278" s="1753" t="str">
        <f ca="1">IFERROR(VLOOKUP(表格1[[#This Row],[商品
代碼]],'銀行-TSS'!B:AE,30,FALSE),"")</f>
        <v xml:space="preserve"> </v>
      </c>
      <c r="Q278" s="1749" t="str">
        <f ca="1">IFERROR(IF(VLOOKUP(表格1[[#This Row],[商品
代碼]],'銀行-TSS'!B:AM,38,FALSE)="#N/A Field Not Applicable","",VLOOKUP(表格1[[#This Row],[商品
代碼]],'銀行-TSS'!B:AM,38,FALSE)),"")</f>
        <v/>
      </c>
      <c r="R278" s="1749" t="str">
        <f ca="1">IFERROR(VLOOKUP(表格1[[#This Row],[商品
代碼]],'銀行-TSS'!B:AH,33,FALSE),"")</f>
        <v>美元(USD)</v>
      </c>
      <c r="S278" s="1754">
        <f ca="1">IFERROR(VLOOKUP(B278,'銀行-TSS'!B:N,13,FALSE),"")</f>
        <v>10000</v>
      </c>
      <c r="T278" s="1754" t="str">
        <f ca="1">VLOOKUP(表格1[[#This Row],[商品
代碼]],'銀行-TSS'!B:AI,34,FALSE)</f>
        <v>自由選清單</v>
      </c>
      <c r="U278" s="1755" t="str">
        <f ca="1">IFERROR(VLOOKUP(B278,'銀行-TSS'!B:Q,16,FALSE),"")</f>
        <v>政府</v>
      </c>
      <c r="V278" s="1755" t="str">
        <f ca="1">IFERROR(VLOOKUP(表格1[[#This Row],[商品
代碼]],'銀行-TSS'!B:AG,32,FALSE),"")</f>
        <v>固定</v>
      </c>
      <c r="W278" s="1756" t="str">
        <f ca="1">IFERROR(IFERROR(VLOOKUP(表格1[[#This Row],[商品
代碼]],'3_是否下架'!A:B,2,FALSE),VLOOKUP(表格1[[#This Row],[商品
代碼]],'銀行-TSS'!B:AK,36,FALSE)),"")</f>
        <v>有</v>
      </c>
      <c r="Y278" s="400"/>
      <c r="Z278" s="400"/>
      <c r="AA278" s="401"/>
    </row>
    <row r="279" spans="2:27" s="399" customFormat="1" ht="24.75" customHeight="1">
      <c r="B279" s="1745" t="s">
        <v>594</v>
      </c>
      <c r="C279" s="1745" t="str">
        <f ca="1">IFERROR(VLOOKUP(表格1[[#This Row],[商品
代碼]],'銀行-TSS'!B:V,21,FALSE),"")</f>
        <v>(NPI)非專投</v>
      </c>
      <c r="D279" s="1746" t="str">
        <f>IFERROR(VLOOKUP(表格1[[#This Row],[商品
代碼]],bond!B:F,5,FALSE),"")</f>
        <v>XS1274823571</v>
      </c>
      <c r="E279" s="1746" t="str">
        <f ca="1">IFERROR(VLOOKUP(B279,'銀行-TSS'!B:D,3,FALSE),"")</f>
        <v>歐洲投資銀行南非幣配息債券 8.75% 2025/8/18</v>
      </c>
      <c r="F279" s="1745" t="str">
        <f ca="1">IFERROR(VLOOKUP(B279,'銀行-TSS'!B:E,4,FALSE),"")</f>
        <v>Aaa / AAA / AAA</v>
      </c>
      <c r="G279" s="1747">
        <f ca="1">IFERROR(VLOOKUP(B279,'銀行-TSS'!B:G,6,FALSE),"")</f>
        <v>1.1299999999999999</v>
      </c>
      <c r="H279" s="1748">
        <f ca="1">IFERROR(VLOOKUP(B279,'銀行-TSS'!B:H,7,FALSE),"")</f>
        <v>8.7499999999999994E-2</v>
      </c>
      <c r="I279" s="1745">
        <f ca="1">IFERROR(IF(表格1[[#This Row],[配息頻率]]=0,"",CHOOSE(表格1[[#This Row],[配息頻率]],MONTH(J279),IF(MONTH(J279)&lt;=6,CONCATENATE(MONTH(J279)," / ",MONTH(J279)+6),CONCATENATE(MONTH(J279)-6," / ",MONTH(J279))),0,"2 / 4 / 8 / 11")),"")</f>
        <v>8</v>
      </c>
      <c r="J279" s="1749" t="str">
        <f ca="1">IFERROR(VLOOKUP(B279,'銀行-TSS'!B:P,15,FALSE),"")</f>
        <v>2024/8/18</v>
      </c>
      <c r="K279" s="1750">
        <f ca="1">IFERROR(VLOOKUP(表格1[[#This Row],[商品
代碼]],'銀行-TSS'!B:I,8,FALSE),"")</f>
        <v>1</v>
      </c>
      <c r="L279" s="1747">
        <f ca="1">IFERROR(VLOOKUP(B279,'銀行-TSS'!B:K,10,FALSE),"")</f>
        <v>109.54</v>
      </c>
      <c r="M279" s="1745" t="str">
        <f ca="1">IF(表格1[[#This Row],[含息申購
參考價]]&gt;100,"溢價",IF(表格1[[#This Row],[含息申購
參考價]]&lt;100,"折價","平價"))</f>
        <v>溢價</v>
      </c>
      <c r="N279" s="1751">
        <f ca="1">IFERROR(VLOOKUP(B279,'銀行-TSS'!B:M,12,FALSE),"")</f>
        <v>6.9199999999999998E-2</v>
      </c>
      <c r="O279" s="1752">
        <f ca="1">IFERROR(VLOOKUP(表格1[[#This Row],[商品
代碼]],'銀行-TSS'!B:AJ,35,FALSE),"")</f>
        <v>1</v>
      </c>
      <c r="P279" s="1753" t="str">
        <f ca="1">IFERROR(VLOOKUP(表格1[[#This Row],[商品
代碼]],'銀行-TSS'!B:AE,30,FALSE),"")</f>
        <v xml:space="preserve"> </v>
      </c>
      <c r="Q279" s="1749" t="str">
        <f ca="1">IFERROR(IF(VLOOKUP(表格1[[#This Row],[商品
代碼]],'銀行-TSS'!B:AM,38,FALSE)="#N/A Field Not Applicable","",VLOOKUP(表格1[[#This Row],[商品
代碼]],'銀行-TSS'!B:AM,38,FALSE)),"")</f>
        <v/>
      </c>
      <c r="R279" s="1749" t="str">
        <f ca="1">IFERROR(VLOOKUP(表格1[[#This Row],[商品
代碼]],'銀行-TSS'!B:AH,33,FALSE),"")</f>
        <v>南非幣(ZAR)</v>
      </c>
      <c r="S279" s="1754">
        <f ca="1">IFERROR(VLOOKUP(B279,'銀行-TSS'!B:N,13,FALSE),"")</f>
        <v>100000</v>
      </c>
      <c r="T279" s="1754" t="str">
        <f ca="1">VLOOKUP(表格1[[#This Row],[商品
代碼]],'銀行-TSS'!B:AI,34,FALSE)</f>
        <v/>
      </c>
      <c r="U279" s="1755" t="str">
        <f ca="1">IFERROR(VLOOKUP(B279,'銀行-TSS'!B:Q,16,FALSE),"")</f>
        <v>政府</v>
      </c>
      <c r="V279" s="1755" t="str">
        <f ca="1">IFERROR(VLOOKUP(表格1[[#This Row],[商品
代碼]],'銀行-TSS'!B:AG,32,FALSE),"")</f>
        <v>固定</v>
      </c>
      <c r="W279" s="1756" t="str">
        <f ca="1">IFERROR(IFERROR(VLOOKUP(表格1[[#This Row],[商品
代碼]],'3_是否下架'!A:B,2,FALSE),VLOOKUP(表格1[[#This Row],[商品
代碼]],'銀行-TSS'!B:AK,36,FALSE)),"")</f>
        <v>有</v>
      </c>
      <c r="Y279" s="400"/>
      <c r="Z279" s="400"/>
      <c r="AA279" s="401"/>
    </row>
    <row r="280" spans="2:27" s="399" customFormat="1" ht="24.75" customHeight="1">
      <c r="B280" s="1745" t="s">
        <v>584</v>
      </c>
      <c r="C280" s="1745" t="str">
        <f ca="1">IFERROR(VLOOKUP(表格1[[#This Row],[商品
代碼]],'銀行-TSS'!B:V,21,FALSE),"")</f>
        <v>(PI)專投</v>
      </c>
      <c r="D280" s="1746" t="str">
        <f>IFERROR(VLOOKUP(表格1[[#This Row],[商品
代碼]],bond!B:F,5,FALSE),"")</f>
        <v>XS1266660122</v>
      </c>
      <c r="E280" s="1746" t="str">
        <f ca="1">IFERROR(VLOOKUP(B280,'銀行-TSS'!B:D,3,FALSE),"")</f>
        <v>軟銀集團公司美元配息債券 6% 2025/7/30</v>
      </c>
      <c r="F280" s="1745" t="str">
        <f ca="1">IFERROR(VLOOKUP(B280,'銀行-TSS'!B:E,4,FALSE),"")</f>
        <v>Ba3u / BB+ / -</v>
      </c>
      <c r="G280" s="1747">
        <f ca="1">IFERROR(VLOOKUP(B280,'銀行-TSS'!B:G,6,FALSE),"")</f>
        <v>1.07</v>
      </c>
      <c r="H280" s="1748">
        <f ca="1">IFERROR(VLOOKUP(B280,'銀行-TSS'!B:H,7,FALSE),"")</f>
        <v>0.06</v>
      </c>
      <c r="I280" s="1745" t="str">
        <f ca="1">IFERROR(IF(表格1[[#This Row],[配息頻率]]=0,"",CHOOSE(表格1[[#This Row],[配息頻率]],MONTH(J280),IF(MONTH(J280)&lt;=6,CONCATENATE(MONTH(J280)," / ",MONTH(J280)+6),CONCATENATE(MONTH(J280)-6," / ",MONTH(J280))),0,"2 / 4 / 8 / 11")),"")</f>
        <v>1 / 7</v>
      </c>
      <c r="J280" s="1749" t="str">
        <f ca="1">IFERROR(VLOOKUP(B280,'銀行-TSS'!B:P,15,FALSE),"")</f>
        <v>2024/7/30</v>
      </c>
      <c r="K280" s="1750">
        <f ca="1">IFERROR(VLOOKUP(表格1[[#This Row],[商品
代碼]],'銀行-TSS'!B:I,8,FALSE),"")</f>
        <v>2</v>
      </c>
      <c r="L280" s="1747">
        <f ca="1">IFERROR(VLOOKUP(B280,'銀行-TSS'!B:K,10,FALSE),"")</f>
        <v>103.23</v>
      </c>
      <c r="M280" s="1745" t="str">
        <f ca="1">IF(表格1[[#This Row],[含息申購
參考價]]&gt;100,"溢價",IF(表格1[[#This Row],[含息申購
參考價]]&lt;100,"折價","平價"))</f>
        <v>溢價</v>
      </c>
      <c r="N280" s="1751">
        <f ca="1">IFERROR(VLOOKUP(B280,'銀行-TSS'!B:M,12,FALSE),"")</f>
        <v>5.3400000000000003E-2</v>
      </c>
      <c r="O280" s="1752">
        <f ca="1">IFERROR(VLOOKUP(表格1[[#This Row],[商品
代碼]],'銀行-TSS'!B:AJ,35,FALSE),"")</f>
        <v>0</v>
      </c>
      <c r="P280" s="1753">
        <f ca="1">IFERROR(VLOOKUP(表格1[[#This Row],[商品
代碼]],'銀行-TSS'!B:AE,30,FALSE),"")</f>
        <v>5.1499999999999997E-2</v>
      </c>
      <c r="Q280" s="1749" t="str">
        <f ca="1">IFERROR(IF(VLOOKUP(表格1[[#This Row],[商品
代碼]],'銀行-TSS'!B:AM,38,FALSE)="#N/A Field Not Applicable","",VLOOKUP(表格1[[#This Row],[商品
代碼]],'銀行-TSS'!B:AM,38,FALSE)),"")</f>
        <v>2025/4/30</v>
      </c>
      <c r="R280" s="1749" t="str">
        <f ca="1">IFERROR(VLOOKUP(表格1[[#This Row],[商品
代碼]],'銀行-TSS'!B:AH,33,FALSE),"")</f>
        <v>美元(USD)</v>
      </c>
      <c r="S280" s="1754">
        <f ca="1">IFERROR(VLOOKUP(B280,'銀行-TSS'!B:N,13,FALSE),"")</f>
        <v>200000</v>
      </c>
      <c r="T280" s="1754" t="str">
        <f ca="1">VLOOKUP(表格1[[#This Row],[商品
代碼]],'銀行-TSS'!B:AI,34,FALSE)</f>
        <v>自由選清單</v>
      </c>
      <c r="U280" s="1755" t="str">
        <f ca="1">IFERROR(VLOOKUP(B280,'銀行-TSS'!B:Q,16,FALSE),"")</f>
        <v>通訊</v>
      </c>
      <c r="V280" s="1755" t="str">
        <f ca="1">IFERROR(VLOOKUP(表格1[[#This Row],[商品
代碼]],'銀行-TSS'!B:AG,32,FALSE),"")</f>
        <v>固定</v>
      </c>
      <c r="W280" s="1756" t="str">
        <f ca="1">IFERROR(IFERROR(VLOOKUP(表格1[[#This Row],[商品
代碼]],'3_是否下架'!A:B,2,FALSE),VLOOKUP(表格1[[#This Row],[商品
代碼]],'銀行-TSS'!B:AK,36,FALSE)),"")</f>
        <v>無</v>
      </c>
      <c r="Y280" s="400"/>
      <c r="Z280" s="400"/>
      <c r="AA280" s="401"/>
    </row>
    <row r="281" spans="2:27" s="399" customFormat="1" ht="24.75" customHeight="1">
      <c r="B281" s="1745" t="s">
        <v>609</v>
      </c>
      <c r="C281" s="1745" t="str">
        <f ca="1">IFERROR(VLOOKUP(表格1[[#This Row],[商品
代碼]],'銀行-TSS'!B:V,21,FALSE),"")</f>
        <v>(NPI)非專投</v>
      </c>
      <c r="D281" s="1746" t="str">
        <f>IFERROR(VLOOKUP(表格1[[#This Row],[商品
代碼]],bond!B:F,5,FALSE),"")</f>
        <v>US056752AG38</v>
      </c>
      <c r="E281" s="1746" t="str">
        <f ca="1">IFERROR(VLOOKUP(B281,'銀行-TSS'!B:D,3,FALSE),"")</f>
        <v>百度公司美元配息債券 4.125% 2025/6/30</v>
      </c>
      <c r="F281" s="1745" t="str">
        <f ca="1">IFERROR(VLOOKUP(B281,'銀行-TSS'!B:E,4,FALSE),"")</f>
        <v>A3 / - / A</v>
      </c>
      <c r="G281" s="1747">
        <f ca="1">IFERROR(VLOOKUP(B281,'銀行-TSS'!B:G,6,FALSE),"")</f>
        <v>0.99</v>
      </c>
      <c r="H281" s="1748">
        <f ca="1">IFERROR(VLOOKUP(B281,'銀行-TSS'!B:H,7,FALSE),"")</f>
        <v>4.1250000000000002E-2</v>
      </c>
      <c r="I281" s="1745" t="str">
        <f ca="1">IFERROR(IF(表格1[[#This Row],[配息頻率]]=0,"",CHOOSE(表格1[[#This Row],[配息頻率]],MONTH(J281),IF(MONTH(J281)&lt;=6,CONCATENATE(MONTH(J281)," / ",MONTH(J281)+6),CONCATENATE(MONTH(J281)-6," / ",MONTH(J281))),0,"2 / 4 / 8 / 11")),"")</f>
        <v>6 / 12</v>
      </c>
      <c r="J281" s="1749" t="str">
        <f ca="1">IFERROR(VLOOKUP(B281,'銀行-TSS'!B:P,15,FALSE),"")</f>
        <v>2024/12/30</v>
      </c>
      <c r="K281" s="1750">
        <f ca="1">IFERROR(VLOOKUP(表格1[[#This Row],[商品
代碼]],'銀行-TSS'!B:I,8,FALSE),"")</f>
        <v>2</v>
      </c>
      <c r="L281" s="1747">
        <f ca="1">IFERROR(VLOOKUP(B281,'銀行-TSS'!B:K,10,FALSE),"")</f>
        <v>100.07</v>
      </c>
      <c r="M281" s="1745" t="str">
        <f ca="1">IF(表格1[[#This Row],[含息申購
參考價]]&gt;100,"溢價",IF(表格1[[#This Row],[含息申購
參考價]]&lt;100,"折價","平價"))</f>
        <v>溢價</v>
      </c>
      <c r="N281" s="1751">
        <f ca="1">IFERROR(VLOOKUP(B281,'銀行-TSS'!B:M,12,FALSE),"")</f>
        <v>4.07E-2</v>
      </c>
      <c r="O281" s="1752">
        <f ca="1">IFERROR(VLOOKUP(表格1[[#This Row],[商品
代碼]],'銀行-TSS'!B:AJ,35,FALSE),"")</f>
        <v>0</v>
      </c>
      <c r="P281" s="1753" t="str">
        <f ca="1">IFERROR(VLOOKUP(表格1[[#This Row],[商品
代碼]],'銀行-TSS'!B:AE,30,FALSE),"")</f>
        <v xml:space="preserve"> </v>
      </c>
      <c r="Q281" s="1749" t="str">
        <f ca="1">IFERROR(IF(VLOOKUP(表格1[[#This Row],[商品
代碼]],'銀行-TSS'!B:AM,38,FALSE)="#N/A Field Not Applicable","",VLOOKUP(表格1[[#This Row],[商品
代碼]],'銀行-TSS'!B:AM,38,FALSE)),"")</f>
        <v/>
      </c>
      <c r="R281" s="1749" t="str">
        <f ca="1">IFERROR(VLOOKUP(表格1[[#This Row],[商品
代碼]],'銀行-TSS'!B:AH,33,FALSE),"")</f>
        <v>美元(USD)</v>
      </c>
      <c r="S281" s="1754">
        <f ca="1">IFERROR(VLOOKUP(B281,'銀行-TSS'!B:N,13,FALSE),"")</f>
        <v>200000</v>
      </c>
      <c r="T281" s="1754" t="str">
        <f ca="1">VLOOKUP(表格1[[#This Row],[商品
代碼]],'銀行-TSS'!B:AI,34,FALSE)</f>
        <v>自由選清單</v>
      </c>
      <c r="U281" s="1755" t="str">
        <f ca="1">IFERROR(VLOOKUP(B281,'銀行-TSS'!B:Q,16,FALSE),"")</f>
        <v>通訊</v>
      </c>
      <c r="V281" s="1755" t="str">
        <f ca="1">IFERROR(VLOOKUP(表格1[[#This Row],[商品
代碼]],'銀行-TSS'!B:AG,32,FALSE),"")</f>
        <v>固定</v>
      </c>
      <c r="W281" s="1756" t="str">
        <f>IFERROR(IFERROR(VLOOKUP(表格1[[#This Row],[商品
代碼]],'3_是否下架'!A:B,2,FALSE),VLOOKUP(表格1[[#This Row],[商品
代碼]],'銀行-TSS'!B:AK,36,FALSE)),"")</f>
        <v>已下架</v>
      </c>
      <c r="Y281" s="400"/>
      <c r="Z281" s="400"/>
      <c r="AA281" s="401"/>
    </row>
    <row r="282" spans="2:27" s="399" customFormat="1" ht="24.75" customHeight="1">
      <c r="B282" s="1745" t="s">
        <v>708</v>
      </c>
      <c r="C282" s="1745" t="str">
        <f ca="1">IFERROR(VLOOKUP(表格1[[#This Row],[商品
代碼]],'銀行-TSS'!B:V,21,FALSE),"")</f>
        <v>(PI)專投</v>
      </c>
      <c r="D282" s="1746" t="str">
        <f>IFERROR(VLOOKUP(表格1[[#This Row],[商品
代碼]],bond!B:F,5,FALSE),"")</f>
        <v>USY0889VAA80</v>
      </c>
      <c r="E282" s="1746" t="str">
        <f ca="1">IFERROR(VLOOKUP(B282,'銀行-TSS'!B:D,3,FALSE),"")</f>
        <v>印度巴帝電信美元配息債券 4.375% 2025/6/10</v>
      </c>
      <c r="F282" s="1745" t="str">
        <f ca="1">IFERROR(VLOOKUP(B282,'銀行-TSS'!B:E,4,FALSE),"")</f>
        <v>Baa3 / BBB- / BBB-</v>
      </c>
      <c r="G282" s="1747">
        <f ca="1">IFERROR(VLOOKUP(B282,'銀行-TSS'!B:G,6,FALSE),"")</f>
        <v>0.94</v>
      </c>
      <c r="H282" s="1748">
        <f ca="1">IFERROR(VLOOKUP(B282,'銀行-TSS'!B:H,7,FALSE),"")</f>
        <v>4.3749999999999997E-2</v>
      </c>
      <c r="I282" s="1745" t="str">
        <f ca="1">IFERROR(IF(表格1[[#This Row],[配息頻率]]=0,"",CHOOSE(表格1[[#This Row],[配息頻率]],MONTH(J282),IF(MONTH(J282)&lt;=6,CONCATENATE(MONTH(J282)," / ",MONTH(J282)+6),CONCATENATE(MONTH(J282)-6," / ",MONTH(J282))),0,"2 / 4 / 8 / 11")),"")</f>
        <v>6 / 12</v>
      </c>
      <c r="J282" s="1749" t="str">
        <f ca="1">IFERROR(VLOOKUP(B282,'銀行-TSS'!B:P,15,FALSE),"")</f>
        <v>2024/12/10</v>
      </c>
      <c r="K282" s="1750">
        <f ca="1">IFERROR(VLOOKUP(表格1[[#This Row],[商品
代碼]],'銀行-TSS'!B:I,8,FALSE),"")</f>
        <v>2</v>
      </c>
      <c r="L282" s="1747">
        <f ca="1">IFERROR(VLOOKUP(B282,'銀行-TSS'!B:K,10,FALSE),"")</f>
        <v>99.95</v>
      </c>
      <c r="M282" s="1745" t="str">
        <f ca="1">IF(表格1[[#This Row],[含息申購
參考價]]&gt;100,"溢價",IF(表格1[[#This Row],[含息申購
參考價]]&lt;100,"折價","平價"))</f>
        <v>折價</v>
      </c>
      <c r="N282" s="1751">
        <f ca="1">IFERROR(VLOOKUP(B282,'銀行-TSS'!B:M,12,FALSE),"")</f>
        <v>4.7199999999999999E-2</v>
      </c>
      <c r="O282" s="1752">
        <f ca="1">IFERROR(VLOOKUP(表格1[[#This Row],[商品
代碼]],'銀行-TSS'!B:AJ,35,FALSE),"")</f>
        <v>0</v>
      </c>
      <c r="P282" s="1753" t="str">
        <f ca="1">IFERROR(VLOOKUP(表格1[[#This Row],[商品
代碼]],'銀行-TSS'!B:AE,30,FALSE),"")</f>
        <v xml:space="preserve"> </v>
      </c>
      <c r="Q282" s="1749" t="str">
        <f ca="1">IFERROR(IF(VLOOKUP(表格1[[#This Row],[商品
代碼]],'銀行-TSS'!B:AM,38,FALSE)="#N/A Field Not Applicable","",VLOOKUP(表格1[[#This Row],[商品
代碼]],'銀行-TSS'!B:AM,38,FALSE)),"")</f>
        <v/>
      </c>
      <c r="R282" s="1749" t="str">
        <f ca="1">IFERROR(VLOOKUP(表格1[[#This Row],[商品
代碼]],'銀行-TSS'!B:AH,33,FALSE),"")</f>
        <v>美元(USD)</v>
      </c>
      <c r="S282" s="1754">
        <f ca="1">IFERROR(VLOOKUP(B282,'銀行-TSS'!B:N,13,FALSE),"")</f>
        <v>200000</v>
      </c>
      <c r="T282" s="1754" t="str">
        <f ca="1">VLOOKUP(表格1[[#This Row],[商品
代碼]],'銀行-TSS'!B:AI,34,FALSE)</f>
        <v>自由選清單</v>
      </c>
      <c r="U282" s="1755" t="str">
        <f ca="1">IFERROR(VLOOKUP(B282,'銀行-TSS'!B:Q,16,FALSE),"")</f>
        <v>通訊</v>
      </c>
      <c r="V282" s="1755" t="str">
        <f ca="1">IFERROR(VLOOKUP(表格1[[#This Row],[商品
代碼]],'銀行-TSS'!B:AG,32,FALSE),"")</f>
        <v>固定</v>
      </c>
      <c r="W282" s="1756" t="str">
        <f ca="1">IFERROR(IFERROR(VLOOKUP(表格1[[#This Row],[商品
代碼]],'3_是否下架'!A:B,2,FALSE),VLOOKUP(表格1[[#This Row],[商品
代碼]],'銀行-TSS'!B:AK,36,FALSE)),"")</f>
        <v>有</v>
      </c>
      <c r="Y282" s="400"/>
      <c r="Z282" s="400"/>
      <c r="AA282" s="401"/>
    </row>
    <row r="283" spans="2:27" s="399" customFormat="1" ht="24.75" customHeight="1">
      <c r="B283" s="1745" t="s">
        <v>569</v>
      </c>
      <c r="C283" s="1745" t="str">
        <f ca="1">IFERROR(VLOOKUP(表格1[[#This Row],[商品
代碼]],'銀行-TSS'!B:V,21,FALSE),"")</f>
        <v>(PI)專投</v>
      </c>
      <c r="D283" s="1746" t="str">
        <f>IFERROR(VLOOKUP(表格1[[#This Row],[商品
代碼]],bond!B:F,5,FALSE),"")</f>
        <v>XS1214406792</v>
      </c>
      <c r="E283" s="1746" t="str">
        <f ca="1">IFERROR(VLOOKUP(B283,'銀行-TSS'!B:D,3,FALSE),"")</f>
        <v>台塑集團投資(開曼)美元配息債券 3.375% 2025/4/22</v>
      </c>
      <c r="F283" s="1745" t="str">
        <f ca="1">IFERROR(VLOOKUP(B283,'銀行-TSS'!B:E,4,FALSE),"")</f>
        <v>- / BBB+ / -</v>
      </c>
      <c r="G283" s="1747">
        <f ca="1">IFERROR(VLOOKUP(B283,'銀行-TSS'!B:G,6,FALSE),"")</f>
        <v>0.8</v>
      </c>
      <c r="H283" s="1748">
        <f ca="1">IFERROR(VLOOKUP(B283,'銀行-TSS'!B:H,7,FALSE),"")</f>
        <v>3.3750000000000002E-2</v>
      </c>
      <c r="I283" s="1745" t="str">
        <f ca="1">IFERROR(IF(表格1[[#This Row],[配息頻率]]=0,"",CHOOSE(表格1[[#This Row],[配息頻率]],MONTH(J283),IF(MONTH(J283)&lt;=6,CONCATENATE(MONTH(J283)," / ",MONTH(J283)+6),CONCATENATE(MONTH(J283)-6," / ",MONTH(J283))),0,"2 / 4 / 8 / 11")),"")</f>
        <v>4 / 10</v>
      </c>
      <c r="J283" s="1749" t="str">
        <f ca="1">IFERROR(VLOOKUP(B283,'銀行-TSS'!B:P,15,FALSE),"")</f>
        <v>2024/10/22</v>
      </c>
      <c r="K283" s="1750">
        <f ca="1">IFERROR(VLOOKUP(表格1[[#This Row],[商品
代碼]],'銀行-TSS'!B:I,8,FALSE),"")</f>
        <v>2</v>
      </c>
      <c r="L283" s="1747">
        <f ca="1">IFERROR(VLOOKUP(B283,'銀行-TSS'!B:K,10,FALSE),"")</f>
        <v>100.07</v>
      </c>
      <c r="M283" s="1745" t="str">
        <f ca="1">IF(表格1[[#This Row],[含息申購
參考價]]&gt;100,"溢價",IF(表格1[[#This Row],[含息申購
參考價]]&lt;100,"折價","平價"))</f>
        <v>溢價</v>
      </c>
      <c r="N283" s="1751">
        <f ca="1">IFERROR(VLOOKUP(B283,'銀行-TSS'!B:M,12,FALSE),"")</f>
        <v>4.1399999999999999E-2</v>
      </c>
      <c r="O283" s="1752">
        <f ca="1">IFERROR(VLOOKUP(表格1[[#This Row],[商品
代碼]],'銀行-TSS'!B:AJ,35,FALSE),"")</f>
        <v>0</v>
      </c>
      <c r="P283" s="1753" t="str">
        <f ca="1">IFERROR(VLOOKUP(表格1[[#This Row],[商品
代碼]],'銀行-TSS'!B:AE,30,FALSE),"")</f>
        <v xml:space="preserve"> </v>
      </c>
      <c r="Q283" s="1749" t="str">
        <f ca="1">IFERROR(IF(VLOOKUP(表格1[[#This Row],[商品
代碼]],'銀行-TSS'!B:AM,38,FALSE)="#N/A Field Not Applicable","",VLOOKUP(表格1[[#This Row],[商品
代碼]],'銀行-TSS'!B:AM,38,FALSE)),"")</f>
        <v/>
      </c>
      <c r="R283" s="1749" t="str">
        <f ca="1">IFERROR(VLOOKUP(表格1[[#This Row],[商品
代碼]],'銀行-TSS'!B:AH,33,FALSE),"")</f>
        <v>美元(USD)</v>
      </c>
      <c r="S283" s="1754">
        <f ca="1">IFERROR(VLOOKUP(B283,'銀行-TSS'!B:N,13,FALSE),"")</f>
        <v>200000</v>
      </c>
      <c r="T283" s="1754" t="str">
        <f ca="1">VLOOKUP(表格1[[#This Row],[商品
代碼]],'銀行-TSS'!B:AI,34,FALSE)</f>
        <v>自由選清單</v>
      </c>
      <c r="U283" s="1755" t="str">
        <f ca="1">IFERROR(VLOOKUP(B283,'銀行-TSS'!B:Q,16,FALSE),"")</f>
        <v>原物料</v>
      </c>
      <c r="V283" s="1755" t="str">
        <f ca="1">IFERROR(VLOOKUP(表格1[[#This Row],[商品
代碼]],'銀行-TSS'!B:AG,32,FALSE),"")</f>
        <v>固定</v>
      </c>
      <c r="W283" s="1756" t="str">
        <f ca="1">IFERROR(IFERROR(VLOOKUP(表格1[[#This Row],[商品
代碼]],'3_是否下架'!A:B,2,FALSE),VLOOKUP(表格1[[#This Row],[商品
代碼]],'銀行-TSS'!B:AK,36,FALSE)),"")</f>
        <v>需查詢</v>
      </c>
      <c r="Y283" s="400"/>
      <c r="Z283" s="400"/>
      <c r="AA283" s="401"/>
    </row>
    <row r="284" spans="2:27" s="399" customFormat="1" ht="24.75" customHeight="1">
      <c r="B284" s="1745" t="s">
        <v>572</v>
      </c>
      <c r="C284" s="1745" t="str">
        <f ca="1">IFERROR(VLOOKUP(表格1[[#This Row],[商品
代碼]],'銀行-TSS'!B:V,21,FALSE),"")</f>
        <v>(PI)專投</v>
      </c>
      <c r="D284" s="1746" t="str">
        <f>IFERROR(VLOOKUP(表格1[[#This Row],[商品
代碼]],bond!B:F,5,FALSE),"")</f>
        <v>XS1219971774</v>
      </c>
      <c r="E284" s="1746" t="str">
        <f ca="1">IFERROR(VLOOKUP(B284,'銀行-TSS'!B:D,3,FALSE),"")</f>
        <v>渣打集團美元配息債券 3.2% 2025/4/17</v>
      </c>
      <c r="F284" s="1745" t="str">
        <f ca="1">IFERROR(VLOOKUP(B284,'銀行-TSS'!B:E,4,FALSE),"")</f>
        <v>A3 / BBB+ / A</v>
      </c>
      <c r="G284" s="1747">
        <f ca="1">IFERROR(VLOOKUP(B284,'銀行-TSS'!B:G,6,FALSE),"")</f>
        <v>0.79</v>
      </c>
      <c r="H284" s="1748">
        <f ca="1">IFERROR(VLOOKUP(B284,'銀行-TSS'!B:H,7,FALSE),"")</f>
        <v>3.2000000000000001E-2</v>
      </c>
      <c r="I284" s="1745" t="str">
        <f ca="1">IFERROR(IF(表格1[[#This Row],[配息頻率]]=0,"",CHOOSE(表格1[[#This Row],[配息頻率]],MONTH(J284),IF(MONTH(J284)&lt;=6,CONCATENATE(MONTH(J284)," / ",MONTH(J284)+6),CONCATENATE(MONTH(J284)-6," / ",MONTH(J284))),0,"2 / 4 / 8 / 11")),"")</f>
        <v>4 / 10</v>
      </c>
      <c r="J284" s="1749" t="str">
        <f ca="1">IFERROR(VLOOKUP(B284,'銀行-TSS'!B:P,15,FALSE),"")</f>
        <v>2024/10/17</v>
      </c>
      <c r="K284" s="1750">
        <f ca="1">IFERROR(VLOOKUP(表格1[[#This Row],[商品
代碼]],'銀行-TSS'!B:I,8,FALSE),"")</f>
        <v>2</v>
      </c>
      <c r="L284" s="1747">
        <f ca="1">IFERROR(VLOOKUP(B284,'銀行-TSS'!B:K,10,FALSE),"")</f>
        <v>99.84</v>
      </c>
      <c r="M284" s="1745" t="str">
        <f ca="1">IF(表格1[[#This Row],[含息申購
參考價]]&gt;100,"溢價",IF(表格1[[#This Row],[含息申購
參考價]]&lt;100,"折價","平價"))</f>
        <v>折價</v>
      </c>
      <c r="N284" s="1751">
        <f ca="1">IFERROR(VLOOKUP(B284,'銀行-TSS'!B:M,12,FALSE),"")</f>
        <v>4.2900000000000001E-2</v>
      </c>
      <c r="O284" s="1752">
        <f ca="1">IFERROR(VLOOKUP(表格1[[#This Row],[商品
代碼]],'銀行-TSS'!B:AJ,35,FALSE),"")</f>
        <v>0</v>
      </c>
      <c r="P284" s="1753" t="str">
        <f ca="1">IFERROR(VLOOKUP(表格1[[#This Row],[商品
代碼]],'銀行-TSS'!B:AE,30,FALSE),"")</f>
        <v xml:space="preserve"> </v>
      </c>
      <c r="Q284" s="1749" t="str">
        <f ca="1">IFERROR(IF(VLOOKUP(表格1[[#This Row],[商品
代碼]],'銀行-TSS'!B:AM,38,FALSE)="#N/A Field Not Applicable","",VLOOKUP(表格1[[#This Row],[商品
代碼]],'銀行-TSS'!B:AM,38,FALSE)),"")</f>
        <v/>
      </c>
      <c r="R284" s="1749" t="str">
        <f ca="1">IFERROR(VLOOKUP(表格1[[#This Row],[商品
代碼]],'銀行-TSS'!B:AH,33,FALSE),"")</f>
        <v>美元(USD)</v>
      </c>
      <c r="S284" s="1754">
        <f ca="1">IFERROR(VLOOKUP(B284,'銀行-TSS'!B:N,13,FALSE),"")</f>
        <v>200000</v>
      </c>
      <c r="T284" s="1754" t="str">
        <f ca="1">VLOOKUP(表格1[[#This Row],[商品
代碼]],'銀行-TSS'!B:AI,34,FALSE)</f>
        <v>自由選清單</v>
      </c>
      <c r="U284" s="1755" t="str">
        <f ca="1">IFERROR(VLOOKUP(B284,'銀行-TSS'!B:Q,16,FALSE),"")</f>
        <v>金融</v>
      </c>
      <c r="V284" s="1755" t="str">
        <f ca="1">IFERROR(VLOOKUP(表格1[[#This Row],[商品
代碼]],'銀行-TSS'!B:AG,32,FALSE),"")</f>
        <v>固定</v>
      </c>
      <c r="W284" s="1756" t="str">
        <f ca="1">IFERROR(IFERROR(VLOOKUP(表格1[[#This Row],[商品
代碼]],'3_是否下架'!A:B,2,FALSE),VLOOKUP(表格1[[#This Row],[商品
代碼]],'銀行-TSS'!B:AK,36,FALSE)),"")</f>
        <v>需查詢</v>
      </c>
      <c r="Y284" s="400"/>
      <c r="Z284" s="400"/>
      <c r="AA284" s="401"/>
    </row>
    <row r="285" spans="2:27" s="399" customFormat="1" ht="24.75" customHeight="1">
      <c r="B285" s="1745" t="s">
        <v>559</v>
      </c>
      <c r="C285" s="1745" t="str">
        <f ca="1">IFERROR(VLOOKUP(表格1[[#This Row],[商品
代碼]],'銀行-TSS'!B:V,21,FALSE),"")</f>
        <v>(PI)專投</v>
      </c>
      <c r="D285" s="1746" t="str">
        <f>IFERROR(VLOOKUP(表格1[[#This Row],[商品
代碼]],bond!B:F,5,FALSE),"")</f>
        <v>US06738EAE59</v>
      </c>
      <c r="E285" s="1746" t="str">
        <f ca="1">IFERROR(VLOOKUP(B285,'銀行-TSS'!B:D,3,FALSE),"")</f>
        <v>巴克萊集團美元配息債券 3.65% 2025/3/16</v>
      </c>
      <c r="F285" s="1745" t="str">
        <f ca="1">IFERROR(VLOOKUP(B285,'銀行-TSS'!B:E,4,FALSE),"")</f>
        <v>Baa1 / BBB+ / A</v>
      </c>
      <c r="G285" s="1747">
        <f ca="1">IFERROR(VLOOKUP(B285,'銀行-TSS'!B:G,6,FALSE),"")</f>
        <v>0.7</v>
      </c>
      <c r="H285" s="1748">
        <f ca="1">IFERROR(VLOOKUP(B285,'銀行-TSS'!B:H,7,FALSE),"")</f>
        <v>3.6499999999999998E-2</v>
      </c>
      <c r="I285" s="1745" t="str">
        <f ca="1">IFERROR(IF(表格1[[#This Row],[配息頻率]]=0,"",CHOOSE(表格1[[#This Row],[配息頻率]],MONTH(J285),IF(MONTH(J285)&lt;=6,CONCATENATE(MONTH(J285)," / ",MONTH(J285)+6),CONCATENATE(MONTH(J285)-6," / ",MONTH(J285))),0,"2 / 4 / 8 / 11")),"")</f>
        <v>3 / 9</v>
      </c>
      <c r="J285" s="1749" t="str">
        <f ca="1">IFERROR(VLOOKUP(B285,'銀行-TSS'!B:P,15,FALSE),"")</f>
        <v>2024/9/16</v>
      </c>
      <c r="K285" s="1750">
        <f ca="1">IFERROR(VLOOKUP(表格1[[#This Row],[商品
代碼]],'銀行-TSS'!B:I,8,FALSE),"")</f>
        <v>2</v>
      </c>
      <c r="L285" s="1747">
        <f ca="1">IFERROR(VLOOKUP(B285,'銀行-TSS'!B:K,10,FALSE),"")</f>
        <v>100.21</v>
      </c>
      <c r="M285" s="1745" t="str">
        <f ca="1">IF(表格1[[#This Row],[含息申購
參考價]]&gt;100,"溢價",IF(表格1[[#This Row],[含息申購
參考價]]&lt;100,"折價","平價"))</f>
        <v>溢價</v>
      </c>
      <c r="N285" s="1751">
        <f ca="1">IFERROR(VLOOKUP(B285,'銀行-TSS'!B:M,12,FALSE),"")</f>
        <v>4.9000000000000002E-2</v>
      </c>
      <c r="O285" s="1752">
        <f ca="1">IFERROR(VLOOKUP(表格1[[#This Row],[商品
代碼]],'銀行-TSS'!B:AJ,35,FALSE),"")</f>
        <v>0</v>
      </c>
      <c r="P285" s="1753" t="str">
        <f ca="1">IFERROR(VLOOKUP(表格1[[#This Row],[商品
代碼]],'銀行-TSS'!B:AE,30,FALSE),"")</f>
        <v xml:space="preserve"> </v>
      </c>
      <c r="Q285" s="1749" t="str">
        <f ca="1">IFERROR(IF(VLOOKUP(表格1[[#This Row],[商品
代碼]],'銀行-TSS'!B:AM,38,FALSE)="#N/A Field Not Applicable","",VLOOKUP(表格1[[#This Row],[商品
代碼]],'銀行-TSS'!B:AM,38,FALSE)),"")</f>
        <v/>
      </c>
      <c r="R285" s="1749" t="str">
        <f ca="1">IFERROR(VLOOKUP(表格1[[#This Row],[商品
代碼]],'銀行-TSS'!B:AH,33,FALSE),"")</f>
        <v>美元(USD)</v>
      </c>
      <c r="S285" s="1754">
        <f ca="1">IFERROR(VLOOKUP(B285,'銀行-TSS'!B:N,13,FALSE),"")</f>
        <v>200000</v>
      </c>
      <c r="T285" s="1754" t="str">
        <f ca="1">VLOOKUP(表格1[[#This Row],[商品
代碼]],'銀行-TSS'!B:AI,34,FALSE)</f>
        <v>自由選清單</v>
      </c>
      <c r="U285" s="1755" t="str">
        <f ca="1">IFERROR(VLOOKUP(B285,'銀行-TSS'!B:Q,16,FALSE),"")</f>
        <v>金融</v>
      </c>
      <c r="V285" s="1755" t="str">
        <f ca="1">IFERROR(VLOOKUP(表格1[[#This Row],[商品
代碼]],'銀行-TSS'!B:AG,32,FALSE),"")</f>
        <v>固定</v>
      </c>
      <c r="W285" s="1756" t="str">
        <f ca="1">IFERROR(IFERROR(VLOOKUP(表格1[[#This Row],[商品
代碼]],'3_是否下架'!A:B,2,FALSE),VLOOKUP(表格1[[#This Row],[商品
代碼]],'銀行-TSS'!B:AK,36,FALSE)),"")</f>
        <v>有</v>
      </c>
      <c r="Y285" s="400"/>
      <c r="Z285" s="400"/>
      <c r="AA285" s="401"/>
    </row>
    <row r="286" spans="2:27" s="399" customFormat="1" ht="24.75" customHeight="1">
      <c r="B286" s="1745" t="s">
        <v>756</v>
      </c>
      <c r="C286" s="1745" t="str">
        <f ca="1">IFERROR(VLOOKUP(表格1[[#This Row],[商品
代碼]],'銀行-TSS'!B:V,21,FALSE),"")</f>
        <v>(PI)專投</v>
      </c>
      <c r="D286" s="1746" t="str">
        <f>IFERROR(VLOOKUP(表格1[[#This Row],[商品
代碼]],bond!B:F,5,FALSE),"")</f>
        <v>CAG5533WBW69</v>
      </c>
      <c r="E286" s="1746" t="str">
        <f ca="1">IFERROR(VLOOKUP(B286,'銀行-TSS'!B:D,3,FALSE),"")</f>
        <v>駿懋銀行集團加幣配息債券 3.5% 2025/2/3</v>
      </c>
      <c r="F286" s="1745" t="str">
        <f ca="1">IFERROR(VLOOKUP(B286,'銀行-TSS'!B:E,4,FALSE),"")</f>
        <v>A3 / BBB+ / A</v>
      </c>
      <c r="G286" s="1747">
        <f ca="1">IFERROR(VLOOKUP(B286,'銀行-TSS'!B:G,6,FALSE),"")</f>
        <v>0.59</v>
      </c>
      <c r="H286" s="1748">
        <f ca="1">IFERROR(VLOOKUP(B286,'銀行-TSS'!B:H,7,FALSE),"")</f>
        <v>3.5000000000000003E-2</v>
      </c>
      <c r="I286" s="1745" t="str">
        <f ca="1">IFERROR(IF(表格1[[#This Row],[配息頻率]]=0,"",CHOOSE(表格1[[#This Row],[配息頻率]],MONTH(J286),IF(MONTH(J286)&lt;=6,CONCATENATE(MONTH(J286)," / ",MONTH(J286)+6),CONCATENATE(MONTH(J286)-6," / ",MONTH(J286))),0,"2 / 4 / 8 / 11")),"")</f>
        <v>2 / 8</v>
      </c>
      <c r="J286" s="1749" t="str">
        <f ca="1">IFERROR(VLOOKUP(B286,'銀行-TSS'!B:P,15,FALSE),"")</f>
        <v>2024/8/3</v>
      </c>
      <c r="K286" s="1750">
        <f ca="1">IFERROR(VLOOKUP(表格1[[#This Row],[商品
代碼]],'銀行-TSS'!B:I,8,FALSE),"")</f>
        <v>2</v>
      </c>
      <c r="L286" s="1747">
        <f ca="1">IFERROR(VLOOKUP(B286,'銀行-TSS'!B:K,10,FALSE),"")</f>
        <v>101.19</v>
      </c>
      <c r="M286" s="1745" t="str">
        <f ca="1">IF(表格1[[#This Row],[含息申購
參考價]]&gt;100,"溢價",IF(表格1[[#This Row],[含息申購
參考價]]&lt;100,"折價","平價"))</f>
        <v>溢價</v>
      </c>
      <c r="N286" s="1751">
        <f ca="1">IFERROR(VLOOKUP(B286,'銀行-TSS'!B:M,12,FALSE),"")</f>
        <v>3.9300000000000002E-2</v>
      </c>
      <c r="O286" s="1752">
        <f ca="1">IFERROR(VLOOKUP(表格1[[#This Row],[商品
代碼]],'銀行-TSS'!B:AJ,35,FALSE),"")</f>
        <v>1</v>
      </c>
      <c r="P286" s="1753" t="str">
        <f ca="1">IFERROR(VLOOKUP(表格1[[#This Row],[商品
代碼]],'銀行-TSS'!B:AE,30,FALSE),"")</f>
        <v xml:space="preserve"> </v>
      </c>
      <c r="Q286" s="1749" t="str">
        <f ca="1">IFERROR(IF(VLOOKUP(表格1[[#This Row],[商品
代碼]],'銀行-TSS'!B:AM,38,FALSE)="#N/A Field Not Applicable","",VLOOKUP(表格1[[#This Row],[商品
代碼]],'銀行-TSS'!B:AM,38,FALSE)),"")</f>
        <v/>
      </c>
      <c r="R286" s="1749" t="str">
        <f ca="1">IFERROR(VLOOKUP(表格1[[#This Row],[商品
代碼]],'銀行-TSS'!B:AH,33,FALSE),"")</f>
        <v>加幣(CAD)</v>
      </c>
      <c r="S286" s="1754">
        <f ca="1">IFERROR(VLOOKUP(B286,'銀行-TSS'!B:N,13,FALSE),"")</f>
        <v>200000</v>
      </c>
      <c r="T286" s="1754" t="str">
        <f ca="1">VLOOKUP(表格1[[#This Row],[商品
代碼]],'銀行-TSS'!B:AI,34,FALSE)</f>
        <v/>
      </c>
      <c r="U286" s="1755" t="str">
        <f ca="1">IFERROR(VLOOKUP(B286,'銀行-TSS'!B:Q,16,FALSE),"")</f>
        <v>金融</v>
      </c>
      <c r="V286" s="1755" t="str">
        <f ca="1">IFERROR(VLOOKUP(表格1[[#This Row],[商品
代碼]],'銀行-TSS'!B:AG,32,FALSE),"")</f>
        <v>固定</v>
      </c>
      <c r="W286" s="1756" t="str">
        <f ca="1">IFERROR(IFERROR(VLOOKUP(表格1[[#This Row],[商品
代碼]],'3_是否下架'!A:B,2,FALSE),VLOOKUP(表格1[[#This Row],[商品
代碼]],'銀行-TSS'!B:AK,36,FALSE)),"")</f>
        <v>有</v>
      </c>
      <c r="Y286" s="400"/>
      <c r="Z286" s="400"/>
      <c r="AA286" s="401"/>
    </row>
    <row r="287" spans="2:27" s="399" customFormat="1" ht="24.75" customHeight="1">
      <c r="B287" s="1745" t="s">
        <v>613</v>
      </c>
      <c r="C287" s="1745" t="str">
        <f ca="1">IFERROR(VLOOKUP(表格1[[#This Row],[商品
代碼]],'銀行-TSS'!B:V,21,FALSE),"")</f>
        <v>(PI)專投</v>
      </c>
      <c r="D287" s="1746" t="str">
        <f>IFERROR(VLOOKUP(表格1[[#This Row],[商品
代碼]],bond!B:F,5,FALSE),"")</f>
        <v>US81180WAL54</v>
      </c>
      <c r="E287" s="1746" t="str">
        <f ca="1">IFERROR(VLOOKUP(B287,'銀行-TSS'!B:D,3,FALSE),"")</f>
        <v>希捷硬碟美元配息債券 4.75% 2025/1/1</v>
      </c>
      <c r="F287" s="1745" t="str">
        <f ca="1">IFERROR(VLOOKUP(B287,'銀行-TSS'!B:E,4,FALSE),"")</f>
        <v>Ba3 / BB / BB+</v>
      </c>
      <c r="G287" s="1747">
        <f ca="1">IFERROR(VLOOKUP(B287,'銀行-TSS'!B:G,6,FALSE),"")</f>
        <v>0.5</v>
      </c>
      <c r="H287" s="1748">
        <f ca="1">IFERROR(VLOOKUP(B287,'銀行-TSS'!B:H,7,FALSE),"")</f>
        <v>4.7500000000000001E-2</v>
      </c>
      <c r="I287" s="1745" t="str">
        <f ca="1">IFERROR(IF(表格1[[#This Row],[配息頻率]]=0,"",CHOOSE(表格1[[#This Row],[配息頻率]],MONTH(J287),IF(MONTH(J287)&lt;=6,CONCATENATE(MONTH(J287)," / ",MONTH(J287)+6),CONCATENATE(MONTH(J287)-6," / ",MONTH(J287))),0,"2 / 4 / 8 / 11")),"")</f>
        <v>1 / 7</v>
      </c>
      <c r="J287" s="1749" t="str">
        <f ca="1">IFERROR(VLOOKUP(B287,'銀行-TSS'!B:P,15,FALSE),"")</f>
        <v>2025/1/1</v>
      </c>
      <c r="K287" s="1750">
        <f ca="1">IFERROR(VLOOKUP(表格1[[#This Row],[商品
代碼]],'銀行-TSS'!B:I,8,FALSE),"")</f>
        <v>2</v>
      </c>
      <c r="L287" s="1747">
        <f ca="1">IFERROR(VLOOKUP(B287,'銀行-TSS'!B:K,10,FALSE),"")</f>
        <v>101.77</v>
      </c>
      <c r="M287" s="1745" t="str">
        <f ca="1">IF(表格1[[#This Row],[含息申購
參考價]]&gt;100,"溢價",IF(表格1[[#This Row],[含息申購
參考價]]&lt;100,"折價","平價"))</f>
        <v>溢價</v>
      </c>
      <c r="N287" s="1751">
        <f ca="1">IFERROR(VLOOKUP(B287,'銀行-TSS'!B:M,12,FALSE),"")</f>
        <v>1.1900000000000001E-2</v>
      </c>
      <c r="O287" s="1752">
        <f ca="1">IFERROR(VLOOKUP(表格1[[#This Row],[商品
代碼]],'銀行-TSS'!B:AJ,35,FALSE),"")</f>
        <v>0</v>
      </c>
      <c r="P287" s="1753" t="str">
        <f ca="1">IFERROR(VLOOKUP(表格1[[#This Row],[商品
代碼]],'銀行-TSS'!B:AE,30,FALSE),"")</f>
        <v xml:space="preserve"> </v>
      </c>
      <c r="Q287" s="1749" t="str">
        <f ca="1">IFERROR(IF(VLOOKUP(表格1[[#This Row],[商品
代碼]],'銀行-TSS'!B:AM,38,FALSE)="#N/A Field Not Applicable","",VLOOKUP(表格1[[#This Row],[商品
代碼]],'銀行-TSS'!B:AM,38,FALSE)),"")</f>
        <v/>
      </c>
      <c r="R287" s="1749" t="str">
        <f ca="1">IFERROR(VLOOKUP(表格1[[#This Row],[商品
代碼]],'銀行-TSS'!B:AH,33,FALSE),"")</f>
        <v>美元(USD)</v>
      </c>
      <c r="S287" s="1754">
        <f ca="1">IFERROR(VLOOKUP(B287,'銀行-TSS'!B:N,13,FALSE),"")</f>
        <v>10000</v>
      </c>
      <c r="T287" s="1754" t="str">
        <f ca="1">VLOOKUP(表格1[[#This Row],[商品
代碼]],'銀行-TSS'!B:AI,34,FALSE)</f>
        <v>自由選清單</v>
      </c>
      <c r="U287" s="1755" t="str">
        <f ca="1">IFERROR(VLOOKUP(B287,'銀行-TSS'!B:Q,16,FALSE),"")</f>
        <v>科技</v>
      </c>
      <c r="V287" s="1755" t="str">
        <f ca="1">IFERROR(VLOOKUP(表格1[[#This Row],[商品
代碼]],'銀行-TSS'!B:AG,32,FALSE),"")</f>
        <v>固定</v>
      </c>
      <c r="W287" s="1756" t="str">
        <f>IFERROR(IFERROR(VLOOKUP(表格1[[#This Row],[商品
代碼]],'3_是否下架'!A:B,2,FALSE),VLOOKUP(表格1[[#This Row],[商品
代碼]],'銀行-TSS'!B:AK,36,FALSE)),"")</f>
        <v>已下架</v>
      </c>
      <c r="Y287" s="400"/>
      <c r="Z287" s="400"/>
      <c r="AA287" s="401"/>
    </row>
    <row r="288" spans="2:27" s="399" customFormat="1" ht="24.75" customHeight="1">
      <c r="B288" s="1745" t="s">
        <v>546</v>
      </c>
      <c r="C288" s="1745" t="str">
        <f ca="1">IFERROR(VLOOKUP(表格1[[#This Row],[商品
代碼]],'銀行-TSS'!B:V,21,FALSE),"")</f>
        <v>(NPI)非專投</v>
      </c>
      <c r="D288" s="1746" t="str">
        <f>IFERROR(VLOOKUP(表格1[[#This Row],[商品
代碼]],bond!B:F,5,FALSE),"")</f>
        <v>US01609WAQ50</v>
      </c>
      <c r="E288" s="1746" t="str">
        <f ca="1">IFERROR(VLOOKUP(B288,'銀行-TSS'!B:D,3,FALSE),"")</f>
        <v>阿里巴巴集團美元配息債券 3.6% 2024/11/28</v>
      </c>
      <c r="F288" s="1745" t="str">
        <f ca="1">IFERROR(VLOOKUP(B288,'銀行-TSS'!B:E,4,FALSE),"")</f>
        <v>A1 / A+ / A+</v>
      </c>
      <c r="G288" s="1747">
        <f ca="1">IFERROR(VLOOKUP(B288,'銀行-TSS'!B:G,6,FALSE),"")</f>
        <v>0.41</v>
      </c>
      <c r="H288" s="1748">
        <f ca="1">IFERROR(VLOOKUP(B288,'銀行-TSS'!B:H,7,FALSE),"")</f>
        <v>3.6000000000000004E-2</v>
      </c>
      <c r="I288" s="1745" t="str">
        <f ca="1">IFERROR(IF(表格1[[#This Row],[配息頻率]]=0,"",CHOOSE(表格1[[#This Row],[配息頻率]],MONTH(J288),IF(MONTH(J288)&lt;=6,CONCATENATE(MONTH(J288)," / ",MONTH(J288)+6),CONCATENATE(MONTH(J288)-6," / ",MONTH(J288))),0,"2 / 4 / 8 / 11")),"")</f>
        <v>5 / 11</v>
      </c>
      <c r="J288" s="1749" t="str">
        <f ca="1">IFERROR(VLOOKUP(B288,'銀行-TSS'!B:P,15,FALSE),"")</f>
        <v>2024/11/28</v>
      </c>
      <c r="K288" s="1750">
        <f ca="1">IFERROR(VLOOKUP(表格1[[#This Row],[商品
代碼]],'銀行-TSS'!B:I,8,FALSE),"")</f>
        <v>2</v>
      </c>
      <c r="L288" s="1747">
        <f ca="1">IFERROR(VLOOKUP(B288,'銀行-TSS'!B:K,10,FALSE),"")</f>
        <v>101.36</v>
      </c>
      <c r="M288" s="1745" t="str">
        <f ca="1">IF(表格1[[#This Row],[含息申購
參考價]]&gt;100,"溢價",IF(表格1[[#This Row],[含息申購
參考價]]&lt;100,"折價","平價"))</f>
        <v>溢價</v>
      </c>
      <c r="N288" s="1751">
        <f ca="1">IFERROR(VLOOKUP(B288,'銀行-TSS'!B:M,12,FALSE),"")</f>
        <v>1.0699999999999999E-2</v>
      </c>
      <c r="O288" s="1752">
        <f ca="1">IFERROR(VLOOKUP(表格1[[#This Row],[商品
代碼]],'銀行-TSS'!B:AJ,35,FALSE),"")</f>
        <v>0</v>
      </c>
      <c r="P288" s="1753">
        <f ca="1">IFERROR(VLOOKUP(表格1[[#This Row],[商品
代碼]],'銀行-TSS'!B:AE,30,FALSE),"")</f>
        <v>-2.92E-2</v>
      </c>
      <c r="Q288" s="1749" t="str">
        <f ca="1">IFERROR(IF(VLOOKUP(表格1[[#This Row],[商品
代碼]],'銀行-TSS'!B:AM,38,FALSE)="#N/A Field Not Applicable","",VLOOKUP(表格1[[#This Row],[商品
代碼]],'銀行-TSS'!B:AM,38,FALSE)),"")</f>
        <v>2024/8/28</v>
      </c>
      <c r="R288" s="1749" t="str">
        <f ca="1">IFERROR(VLOOKUP(表格1[[#This Row],[商品
代碼]],'銀行-TSS'!B:AH,33,FALSE),"")</f>
        <v>美元(USD)</v>
      </c>
      <c r="S288" s="1754">
        <f ca="1">IFERROR(VLOOKUP(B288,'銀行-TSS'!B:N,13,FALSE),"")</f>
        <v>200000</v>
      </c>
      <c r="T288" s="1754" t="str">
        <f ca="1">VLOOKUP(表格1[[#This Row],[商品
代碼]],'銀行-TSS'!B:AI,34,FALSE)</f>
        <v>自由選清單</v>
      </c>
      <c r="U288" s="1755" t="str">
        <f ca="1">IFERROR(VLOOKUP(B288,'銀行-TSS'!B:Q,16,FALSE),"")</f>
        <v>非核心消費</v>
      </c>
      <c r="V288" s="1755" t="str">
        <f ca="1">IFERROR(VLOOKUP(表格1[[#This Row],[商品
代碼]],'銀行-TSS'!B:AG,32,FALSE),"")</f>
        <v>固定</v>
      </c>
      <c r="W288" s="1756" t="str">
        <f>IFERROR(IFERROR(VLOOKUP(表格1[[#This Row],[商品
代碼]],'3_是否下架'!A:B,2,FALSE),VLOOKUP(表格1[[#This Row],[商品
代碼]],'銀行-TSS'!B:AK,36,FALSE)),"")</f>
        <v>已下架</v>
      </c>
      <c r="Y288" s="400"/>
      <c r="Z288" s="400"/>
      <c r="AA288" s="401"/>
    </row>
    <row r="289" spans="2:27" s="399" customFormat="1" ht="24.75" customHeight="1">
      <c r="B289" s="1745" t="s">
        <v>741</v>
      </c>
      <c r="C289" s="1745" t="str">
        <f ca="1">IFERROR(VLOOKUP(表格1[[#This Row],[商品
代碼]],'銀行-TSS'!B:V,21,FALSE),"")</f>
        <v>(NPI)非專投</v>
      </c>
      <c r="D289" s="1746" t="str">
        <f>IFERROR(VLOOKUP(表格1[[#This Row],[商品
代碼]],bond!B:F,5,FALSE),"")</f>
        <v>US025816BR90</v>
      </c>
      <c r="E289" s="1746" t="str">
        <f ca="1">IFERROR(VLOOKUP(B289,'銀行-TSS'!B:D,3,FALSE),"")</f>
        <v>美國運通美元配息債券 3% 2024/10/30</v>
      </c>
      <c r="F289" s="1745" t="str">
        <f ca="1">IFERROR(VLOOKUP(B289,'銀行-TSS'!B:E,4,FALSE),"")</f>
        <v>A2 / BBB+ / A</v>
      </c>
      <c r="G289" s="1747">
        <f ca="1">IFERROR(VLOOKUP(B289,'銀行-TSS'!B:G,6,FALSE),"")</f>
        <v>0.33</v>
      </c>
      <c r="H289" s="1748">
        <f ca="1">IFERROR(VLOOKUP(B289,'銀行-TSS'!B:H,7,FALSE),"")</f>
        <v>0.03</v>
      </c>
      <c r="I289" s="1745" t="str">
        <f ca="1">IFERROR(IF(表格1[[#This Row],[配息頻率]]=0,"",CHOOSE(表格1[[#This Row],[配息頻率]],MONTH(J289),IF(MONTH(J289)&lt;=6,CONCATENATE(MONTH(J289)," / ",MONTH(J289)+6),CONCATENATE(MONTH(J289)-6," / ",MONTH(J289))),0,"2 / 4 / 8 / 11")),"")</f>
        <v>4 / 10</v>
      </c>
      <c r="J289" s="1749" t="str">
        <f ca="1">IFERROR(VLOOKUP(B289,'銀行-TSS'!B:P,15,FALSE),"")</f>
        <v>2024/10/30</v>
      </c>
      <c r="K289" s="1750">
        <f ca="1">IFERROR(VLOOKUP(表格1[[#This Row],[商品
代碼]],'銀行-TSS'!B:I,8,FALSE),"")</f>
        <v>2</v>
      </c>
      <c r="L289" s="1747">
        <f ca="1">IFERROR(VLOOKUP(B289,'銀行-TSS'!B:K,10,FALSE),"")</f>
        <v>101.21000000000001</v>
      </c>
      <c r="M289" s="1745" t="str">
        <f ca="1">IF(表格1[[#This Row],[含息申購
參考價]]&gt;100,"溢價",IF(表格1[[#This Row],[含息申購
參考價]]&lt;100,"折價","平價"))</f>
        <v>溢價</v>
      </c>
      <c r="N289" s="1751">
        <f ca="1">IFERROR(VLOOKUP(B289,'銀行-TSS'!B:M,12,FALSE),"")</f>
        <v>8.8000000000000005E-3</v>
      </c>
      <c r="O289" s="1752">
        <f ca="1">IFERROR(VLOOKUP(表格1[[#This Row],[商品
代碼]],'銀行-TSS'!B:AJ,35,FALSE),"")</f>
        <v>0</v>
      </c>
      <c r="P289" s="1753">
        <f ca="1">IFERROR(VLOOKUP(表格1[[#This Row],[商品
代碼]],'銀行-TSS'!B:AE,30,FALSE),"")</f>
        <v>1.4E-3</v>
      </c>
      <c r="Q289" s="1749" t="str">
        <f ca="1">IFERROR(IF(VLOOKUP(表格1[[#This Row],[商品
代碼]],'銀行-TSS'!B:AM,38,FALSE)="#N/A Field Not Applicable","",VLOOKUP(表格1[[#This Row],[商品
代碼]],'銀行-TSS'!B:AM,38,FALSE)),"")</f>
        <v>2024/9/29</v>
      </c>
      <c r="R289" s="1749" t="str">
        <f ca="1">IFERROR(VLOOKUP(表格1[[#This Row],[商品
代碼]],'銀行-TSS'!B:AH,33,FALSE),"")</f>
        <v>美元(USD)</v>
      </c>
      <c r="S289" s="1754">
        <f ca="1">IFERROR(VLOOKUP(B289,'銀行-TSS'!B:N,13,FALSE),"")</f>
        <v>10000</v>
      </c>
      <c r="T289" s="1754" t="str">
        <f ca="1">VLOOKUP(表格1[[#This Row],[商品
代碼]],'銀行-TSS'!B:AI,34,FALSE)</f>
        <v>自由選清單</v>
      </c>
      <c r="U289" s="1755" t="str">
        <f ca="1">IFERROR(VLOOKUP(B289,'銀行-TSS'!B:Q,16,FALSE),"")</f>
        <v>金融</v>
      </c>
      <c r="V289" s="1755" t="str">
        <f ca="1">IFERROR(VLOOKUP(表格1[[#This Row],[商品
代碼]],'銀行-TSS'!B:AG,32,FALSE),"")</f>
        <v>固定</v>
      </c>
      <c r="W289" s="1756" t="str">
        <f>IFERROR(IFERROR(VLOOKUP(表格1[[#This Row],[商品
代碼]],'3_是否下架'!A:B,2,FALSE),VLOOKUP(表格1[[#This Row],[商品
代碼]],'銀行-TSS'!B:AK,36,FALSE)),"")</f>
        <v>已下架</v>
      </c>
      <c r="Y289" s="400"/>
      <c r="Z289" s="400"/>
      <c r="AA289" s="401"/>
    </row>
    <row r="290" spans="2:27" s="399" customFormat="1" ht="24.75" customHeight="1">
      <c r="B290" s="1745" t="s">
        <v>1240</v>
      </c>
      <c r="C290" s="1745" t="str">
        <f ca="1">IFERROR(VLOOKUP(表格1[[#This Row],[商品
代碼]],'銀行-TSS'!B:V,21,FALSE),"")</f>
        <v>(NPI)非專投</v>
      </c>
      <c r="D290" s="1746" t="str">
        <f>IFERROR(VLOOKUP(表格1[[#This Row],[商品
代碼]],bond!B:F,5,FALSE),"")</f>
        <v>US91282CFN65</v>
      </c>
      <c r="E290" s="1746" t="str">
        <f ca="1">IFERROR(VLOOKUP(B290,'銀行-TSS'!B:D,3,FALSE),"")</f>
        <v>美國政府公債 4.25% 2024/9/30</v>
      </c>
      <c r="F290" s="1745" t="str">
        <f ca="1">IFERROR(VLOOKUP(B290,'銀行-TSS'!B:E,4,FALSE),"")</f>
        <v>Aaa / - / AA+u</v>
      </c>
      <c r="G290" s="1747">
        <f ca="1">IFERROR(VLOOKUP(B290,'銀行-TSS'!B:G,6,FALSE),"")</f>
        <v>0.25</v>
      </c>
      <c r="H290" s="1748">
        <f ca="1">IFERROR(VLOOKUP(B290,'銀行-TSS'!B:H,7,FALSE),"")</f>
        <v>4.2500000000000003E-2</v>
      </c>
      <c r="I290" s="1745" t="str">
        <f ca="1">IFERROR(IF(表格1[[#This Row],[配息頻率]]=0,"",CHOOSE(表格1[[#This Row],[配息頻率]],MONTH(J290),IF(MONTH(J290)&lt;=6,CONCATENATE(MONTH(J290)," / ",MONTH(J290)+6),CONCATENATE(MONTH(J290)-6," / ",MONTH(J290))),0,"2 / 4 / 8 / 11")),"")</f>
        <v>3 / 9</v>
      </c>
      <c r="J290" s="1749" t="str">
        <f ca="1">IFERROR(VLOOKUP(B290,'銀行-TSS'!B:P,15,FALSE),"")</f>
        <v>2024/9/30</v>
      </c>
      <c r="K290" s="1750">
        <f ca="1">IFERROR(VLOOKUP(表格1[[#This Row],[商品
代碼]],'銀行-TSS'!B:I,8,FALSE),"")</f>
        <v>2</v>
      </c>
      <c r="L290" s="1747">
        <f ca="1">IFERROR(VLOOKUP(B290,'銀行-TSS'!B:K,10,FALSE),"")</f>
        <v>101.25</v>
      </c>
      <c r="M290" s="1745" t="str">
        <f ca="1">IF(表格1[[#This Row],[含息申購
參考價]]&gt;100,"溢價",IF(表格1[[#This Row],[含息申購
參考價]]&lt;100,"折價","平價"))</f>
        <v>溢價</v>
      </c>
      <c r="N290" s="1751">
        <f ca="1">IFERROR(VLOOKUP(B290,'銀行-TSS'!B:M,12,FALSE),"")</f>
        <v>3.5099999999999999E-2</v>
      </c>
      <c r="O290" s="1752">
        <f ca="1">IFERROR(VLOOKUP(表格1[[#This Row],[商品
代碼]],'銀行-TSS'!B:AJ,35,FALSE),"")</f>
        <v>0</v>
      </c>
      <c r="P290" s="1753" t="str">
        <f ca="1">IFERROR(VLOOKUP(表格1[[#This Row],[商品
代碼]],'銀行-TSS'!B:AE,30,FALSE),"")</f>
        <v xml:space="preserve"> </v>
      </c>
      <c r="Q290" s="1749" t="str">
        <f ca="1">IFERROR(IF(VLOOKUP(表格1[[#This Row],[商品
代碼]],'銀行-TSS'!B:AM,38,FALSE)="#N/A Field Not Applicable","",VLOOKUP(表格1[[#This Row],[商品
代碼]],'銀行-TSS'!B:AM,38,FALSE)),"")</f>
        <v/>
      </c>
      <c r="R290" s="1749" t="str">
        <f ca="1">IFERROR(VLOOKUP(表格1[[#This Row],[商品
代碼]],'銀行-TSS'!B:AH,33,FALSE),"")</f>
        <v>美元(USD)</v>
      </c>
      <c r="S290" s="1754">
        <f ca="1">IFERROR(VLOOKUP(B290,'銀行-TSS'!B:N,13,FALSE),"")</f>
        <v>10000</v>
      </c>
      <c r="T290" s="1754" t="str">
        <f ca="1">VLOOKUP(表格1[[#This Row],[商品
代碼]],'銀行-TSS'!B:AI,34,FALSE)</f>
        <v>自由選清單</v>
      </c>
      <c r="U290" s="1755" t="str">
        <f ca="1">IFERROR(VLOOKUP(B290,'銀行-TSS'!B:Q,16,FALSE),"")</f>
        <v>政府</v>
      </c>
      <c r="V290" s="1755" t="str">
        <f ca="1">IFERROR(VLOOKUP(表格1[[#This Row],[商品
代碼]],'銀行-TSS'!B:AG,32,FALSE),"")</f>
        <v>固定</v>
      </c>
      <c r="W290" s="1756" t="str">
        <f ca="1">IFERROR(IFERROR(VLOOKUP(表格1[[#This Row],[商品
代碼]],'3_是否下架'!A:B,2,FALSE),VLOOKUP(表格1[[#This Row],[商品
代碼]],'銀行-TSS'!B:AK,36,FALSE)),"")</f>
        <v>有</v>
      </c>
      <c r="Y290" s="400"/>
      <c r="Z290" s="400"/>
      <c r="AA290" s="401"/>
    </row>
    <row r="291" spans="2:27" s="399" customFormat="1" ht="24.75" customHeight="1">
      <c r="D291" s="1734"/>
      <c r="E291" s="1733"/>
      <c r="F291" s="1734"/>
      <c r="G291" s="1735"/>
      <c r="H291" s="1736"/>
      <c r="I291" s="1734"/>
      <c r="J291" s="1737"/>
      <c r="K291" s="1738"/>
      <c r="L291" s="1735"/>
      <c r="M291" s="1734"/>
      <c r="N291" s="1739"/>
      <c r="O291" s="1740"/>
      <c r="P291" s="1739"/>
      <c r="Q291" s="1741"/>
      <c r="R291" s="1741"/>
      <c r="S291" s="1742"/>
      <c r="T291" s="1742"/>
      <c r="U291" s="1743"/>
      <c r="V291" s="1743"/>
      <c r="W291" s="1744"/>
      <c r="Y291" s="400"/>
      <c r="Z291" s="400"/>
      <c r="AA291" s="401"/>
    </row>
    <row r="292" spans="2:27" s="399" customFormat="1" ht="24.75" customHeight="1">
      <c r="D292" s="1734"/>
      <c r="E292" s="1733"/>
      <c r="F292" s="1734"/>
      <c r="G292" s="1735"/>
      <c r="H292" s="1736"/>
      <c r="I292" s="1734"/>
      <c r="J292" s="1737"/>
      <c r="K292" s="1738"/>
      <c r="L292" s="1735"/>
      <c r="M292" s="1734"/>
      <c r="N292" s="1739"/>
      <c r="O292" s="1740"/>
      <c r="P292" s="1739"/>
      <c r="Q292" s="1741"/>
      <c r="R292" s="1741"/>
      <c r="S292" s="1742"/>
      <c r="T292" s="1742"/>
      <c r="U292" s="1743"/>
      <c r="V292" s="1743"/>
      <c r="W292" s="1744"/>
      <c r="Y292" s="400"/>
      <c r="Z292" s="400"/>
      <c r="AA292" s="401"/>
    </row>
    <row r="293" spans="2:27" s="399" customFormat="1" ht="24.75" customHeight="1">
      <c r="D293" s="1734"/>
      <c r="E293" s="1733"/>
      <c r="F293" s="1734"/>
      <c r="G293" s="1735"/>
      <c r="H293" s="1736"/>
      <c r="I293" s="1734"/>
      <c r="J293" s="1737"/>
      <c r="K293" s="1738"/>
      <c r="L293" s="1735"/>
      <c r="M293" s="1734"/>
      <c r="N293" s="1739"/>
      <c r="O293" s="1740"/>
      <c r="P293" s="1739"/>
      <c r="Q293" s="1741"/>
      <c r="R293" s="1741"/>
      <c r="S293" s="1742"/>
      <c r="T293" s="1742"/>
      <c r="U293" s="1743"/>
      <c r="V293" s="1743"/>
      <c r="W293" s="1744"/>
      <c r="Y293" s="400"/>
      <c r="Z293" s="400"/>
      <c r="AA293" s="401"/>
    </row>
    <row r="294" spans="2:27" s="399" customFormat="1" ht="24.75" customHeight="1">
      <c r="D294" s="1734"/>
      <c r="E294" s="1733"/>
      <c r="F294" s="1734"/>
      <c r="G294" s="1735"/>
      <c r="H294" s="1736"/>
      <c r="I294" s="1734"/>
      <c r="J294" s="1737"/>
      <c r="K294" s="1738"/>
      <c r="L294" s="1735"/>
      <c r="M294" s="1734"/>
      <c r="N294" s="1739"/>
      <c r="O294" s="1740"/>
      <c r="P294" s="1739"/>
      <c r="Q294" s="1741"/>
      <c r="R294" s="1741"/>
      <c r="S294" s="1742"/>
      <c r="T294" s="1742"/>
      <c r="U294" s="1743"/>
      <c r="V294" s="1743"/>
      <c r="W294" s="1744"/>
      <c r="Y294" s="400"/>
      <c r="Z294" s="400"/>
      <c r="AA294" s="401"/>
    </row>
    <row r="295" spans="2:27" ht="24.75" customHeight="1">
      <c r="B295" s="399"/>
    </row>
    <row r="296" spans="2:27" ht="24.75" customHeight="1">
      <c r="B296" s="399"/>
    </row>
    <row r="297" spans="2:27" ht="24.75" customHeight="1">
      <c r="B297" s="399"/>
    </row>
    <row r="298" spans="2:27" ht="24.75" customHeight="1">
      <c r="B298" s="399"/>
    </row>
    <row r="299" spans="2:27" ht="24.75" customHeight="1">
      <c r="B299" s="399"/>
    </row>
    <row r="300" spans="2:27" ht="24.75" customHeight="1">
      <c r="B300" s="399"/>
    </row>
    <row r="301" spans="2:27" ht="24.75" customHeight="1">
      <c r="B301" s="399"/>
    </row>
    <row r="302" spans="2:27" ht="24.75" customHeight="1">
      <c r="B302" s="399"/>
    </row>
    <row r="303" spans="2:27" ht="24.75" customHeight="1">
      <c r="B303" s="399"/>
    </row>
    <row r="304" spans="2:27" ht="24.75" customHeight="1">
      <c r="B304" s="399"/>
    </row>
    <row r="305" spans="2:2" ht="24.75" customHeight="1">
      <c r="B305" s="399"/>
    </row>
    <row r="306" spans="2:2" ht="24.75" customHeight="1">
      <c r="B306" s="399"/>
    </row>
    <row r="307" spans="2:2" ht="24.75" customHeight="1">
      <c r="B307" s="399"/>
    </row>
    <row r="308" spans="2:2" ht="24.75" customHeight="1">
      <c r="B308" s="399"/>
    </row>
    <row r="309" spans="2:2" ht="24.75" customHeight="1">
      <c r="B309" s="399"/>
    </row>
    <row r="310" spans="2:2" ht="24.75" customHeight="1">
      <c r="B310" s="399"/>
    </row>
    <row r="311" spans="2:2" ht="24.75" customHeight="1">
      <c r="B311" s="399"/>
    </row>
    <row r="312" spans="2:2" ht="24.75" customHeight="1">
      <c r="B312" s="399"/>
    </row>
    <row r="313" spans="2:2" ht="24.75" customHeight="1">
      <c r="B313" s="399"/>
    </row>
    <row r="314" spans="2:2" ht="24.75" customHeight="1">
      <c r="B314" s="399"/>
    </row>
    <row r="315" spans="2:2" ht="24.75" customHeight="1">
      <c r="B315" s="399"/>
    </row>
    <row r="316" spans="2:2" ht="24.75" customHeight="1">
      <c r="B316" s="399"/>
    </row>
    <row r="317" spans="2:2" ht="24.75" customHeight="1">
      <c r="B317" s="399"/>
    </row>
    <row r="318" spans="2:2" ht="24.75" customHeight="1">
      <c r="B318" s="399"/>
    </row>
    <row r="319" spans="2:2" ht="24.75" customHeight="1">
      <c r="B319" s="399"/>
    </row>
    <row r="320" spans="2:2" ht="24.75" customHeight="1">
      <c r="B320" s="399"/>
    </row>
    <row r="321" spans="2:2" ht="24.75" customHeight="1">
      <c r="B321" s="399"/>
    </row>
    <row r="322" spans="2:2" ht="24.75" customHeight="1">
      <c r="B322" s="399"/>
    </row>
    <row r="323" spans="2:2" ht="24.75" customHeight="1">
      <c r="B323" s="399"/>
    </row>
    <row r="324" spans="2:2" ht="24.75" customHeight="1">
      <c r="B324" s="399"/>
    </row>
    <row r="325" spans="2:2" ht="24.75" customHeight="1">
      <c r="B325" s="399"/>
    </row>
    <row r="326" spans="2:2" ht="24.75" customHeight="1">
      <c r="B326" s="399"/>
    </row>
    <row r="327" spans="2:2" ht="24.75" customHeight="1">
      <c r="B327" s="399"/>
    </row>
    <row r="328" spans="2:2" ht="24.75" customHeight="1">
      <c r="B328" s="399"/>
    </row>
    <row r="329" spans="2:2" ht="24.75" customHeight="1">
      <c r="B329" s="399"/>
    </row>
    <row r="330" spans="2:2" ht="24.75" customHeight="1">
      <c r="B330" s="399"/>
    </row>
    <row r="331" spans="2:2" ht="24.75" customHeight="1">
      <c r="B331" s="399"/>
    </row>
    <row r="332" spans="2:2" ht="24.75" customHeight="1">
      <c r="B332" s="399"/>
    </row>
    <row r="333" spans="2:2" ht="24.75" customHeight="1">
      <c r="B333" s="399"/>
    </row>
    <row r="334" spans="2:2" ht="24.75" customHeight="1">
      <c r="B334" s="399"/>
    </row>
    <row r="335" spans="2:2" ht="24.75" customHeight="1">
      <c r="B335" s="399"/>
    </row>
    <row r="336" spans="2:2" ht="24.75" customHeight="1">
      <c r="B336" s="399"/>
    </row>
    <row r="337" spans="2:2" ht="24.75" customHeight="1">
      <c r="B337" s="399"/>
    </row>
    <row r="338" spans="2:2" ht="24.75" customHeight="1">
      <c r="B338" s="399"/>
    </row>
    <row r="339" spans="2:2" ht="24.75" customHeight="1">
      <c r="B339" s="399"/>
    </row>
  </sheetData>
  <sheetProtection algorithmName="SHA-512" hashValue="XitBaa9ii7CbAf+FcUk2uYdoNWuIS6VM+bnsDvyv2D8GEl9JwOOrIuLqpi0kI02z07XMygFKuFQH6+nbE5Qx5g==" saltValue="gyR9XNy1ewmrZTujII9Dkw==" spinCount="100000" sheet="1" sort="0" autoFilter="0" pivotTables="0"/>
  <mergeCells count="4">
    <mergeCell ref="B9:W9"/>
    <mergeCell ref="B2:W2"/>
    <mergeCell ref="B11:U11"/>
    <mergeCell ref="B3:W3"/>
  </mergeCells>
  <phoneticPr fontId="53" type="noConversion"/>
  <conditionalFormatting sqref="W1 W4:W8 W10:W1048576">
    <cfRule type="cellIs" dxfId="863" priority="1" operator="equal">
      <formula>"需查詢"</formula>
    </cfRule>
    <cfRule type="cellIs" dxfId="862" priority="2" operator="equal">
      <formula>"無"</formula>
    </cfRule>
    <cfRule type="containsText" dxfId="861" priority="3" operator="containsText" text="已下架">
      <formula>NOT(ISERROR(SEARCH("已下架",W1)))</formula>
    </cfRule>
  </conditionalFormatting>
  <printOptions horizontalCentered="1"/>
  <pageMargins left="0.23622047244094491" right="0.23622047244094491" top="0.19685039370078741" bottom="0.23622047244094491" header="0.31496062992125984" footer="0.31496062992125984"/>
  <pageSetup paperSize="9" scale="42" fitToHeight="0" orientation="landscape"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0">
    <tabColor theme="1" tint="0.499984740745262"/>
  </sheetPr>
  <dimension ref="A3:O86"/>
  <sheetViews>
    <sheetView workbookViewId="0"/>
  </sheetViews>
  <sheetFormatPr defaultColWidth="9.0703125" defaultRowHeight="15.5"/>
  <cols>
    <col min="1" max="16384" width="9.0703125" style="55"/>
  </cols>
  <sheetData>
    <row r="3" spans="1:15" ht="18.5">
      <c r="A3" s="129" t="s">
        <v>1742</v>
      </c>
      <c r="B3" s="130"/>
      <c r="C3" s="130"/>
      <c r="D3" s="130"/>
      <c r="E3" s="130"/>
      <c r="F3" s="130"/>
      <c r="G3" s="130"/>
      <c r="H3" s="130"/>
      <c r="I3" s="130"/>
      <c r="J3" s="130"/>
      <c r="K3" s="130"/>
      <c r="L3" s="130"/>
      <c r="M3" s="130"/>
      <c r="N3" s="130"/>
      <c r="O3" s="130"/>
    </row>
    <row r="4" spans="1:15" ht="16">
      <c r="A4" s="131" t="s">
        <v>1744</v>
      </c>
      <c r="B4" s="94"/>
      <c r="C4" s="94"/>
      <c r="D4" s="94"/>
      <c r="E4" s="94"/>
      <c r="F4" s="94"/>
      <c r="G4" s="94"/>
      <c r="H4" s="94"/>
      <c r="I4" s="94"/>
      <c r="J4" s="94"/>
      <c r="K4" s="94"/>
      <c r="L4" s="94"/>
      <c r="M4" s="94"/>
      <c r="N4" s="94"/>
      <c r="O4" s="94"/>
    </row>
    <row r="5" spans="1:15" ht="16">
      <c r="A5" s="131" t="s">
        <v>523</v>
      </c>
      <c r="B5" s="94"/>
      <c r="C5" s="94"/>
      <c r="D5" s="94"/>
      <c r="E5" s="94"/>
      <c r="F5" s="94"/>
      <c r="G5" s="94"/>
      <c r="H5" s="94"/>
      <c r="I5" s="94"/>
      <c r="J5" s="94"/>
      <c r="K5" s="94"/>
      <c r="L5" s="94"/>
      <c r="M5" s="94"/>
      <c r="N5" s="94"/>
      <c r="O5" s="94"/>
    </row>
    <row r="6" spans="1:15" ht="16">
      <c r="A6" s="131" t="s">
        <v>1743</v>
      </c>
      <c r="B6" s="94"/>
      <c r="C6" s="94"/>
      <c r="D6" s="94"/>
      <c r="E6" s="94"/>
      <c r="F6" s="94"/>
      <c r="G6" s="94"/>
      <c r="H6" s="94"/>
      <c r="I6" s="94"/>
      <c r="J6" s="94"/>
      <c r="K6" s="94"/>
      <c r="L6" s="94"/>
      <c r="M6" s="94"/>
      <c r="N6" s="94"/>
      <c r="O6" s="94"/>
    </row>
    <row r="7" spans="1:15">
      <c r="A7" s="131"/>
      <c r="B7" s="94"/>
      <c r="C7" s="94"/>
      <c r="D7" s="94"/>
      <c r="E7" s="94"/>
      <c r="F7" s="94"/>
      <c r="G7" s="94"/>
      <c r="H7" s="94"/>
      <c r="I7" s="94"/>
      <c r="J7" s="94"/>
      <c r="K7" s="94"/>
      <c r="L7" s="94"/>
      <c r="M7" s="94"/>
      <c r="N7" s="94"/>
      <c r="O7" s="94"/>
    </row>
    <row r="8" spans="1:15">
      <c r="A8" s="131"/>
      <c r="B8" s="94"/>
      <c r="C8" s="94"/>
      <c r="D8" s="94"/>
      <c r="E8" s="94"/>
      <c r="F8" s="94"/>
      <c r="G8" s="94"/>
      <c r="H8" s="94"/>
      <c r="I8" s="94"/>
      <c r="J8" s="94"/>
      <c r="K8" s="94"/>
      <c r="L8" s="94"/>
      <c r="M8" s="94"/>
      <c r="N8" s="94"/>
      <c r="O8" s="94"/>
    </row>
    <row r="9" spans="1:15">
      <c r="A9" s="131"/>
      <c r="B9" s="94"/>
      <c r="C9" s="94"/>
      <c r="D9" s="94"/>
      <c r="E9" s="94"/>
      <c r="F9" s="94"/>
      <c r="G9" s="94"/>
      <c r="H9" s="94"/>
      <c r="I9" s="94"/>
      <c r="J9" s="94"/>
      <c r="K9" s="94"/>
      <c r="L9" s="94"/>
      <c r="M9" s="94"/>
      <c r="N9" s="94"/>
      <c r="O9" s="94"/>
    </row>
    <row r="10" spans="1:15">
      <c r="A10" s="131"/>
      <c r="B10" s="94"/>
      <c r="C10" s="94"/>
      <c r="D10" s="94"/>
      <c r="E10" s="94"/>
      <c r="F10" s="94"/>
      <c r="G10" s="94"/>
      <c r="H10" s="94"/>
      <c r="I10" s="94"/>
      <c r="J10" s="94"/>
      <c r="K10" s="94"/>
      <c r="L10" s="94"/>
      <c r="M10" s="94"/>
      <c r="N10" s="94"/>
      <c r="O10" s="94"/>
    </row>
    <row r="11" spans="1:15">
      <c r="A11" s="131"/>
      <c r="B11" s="94"/>
      <c r="C11" s="94"/>
      <c r="D11" s="94"/>
      <c r="E11" s="94"/>
      <c r="F11" s="94"/>
      <c r="G11" s="94"/>
      <c r="H11" s="94"/>
      <c r="I11" s="94"/>
      <c r="J11" s="94"/>
      <c r="K11" s="94"/>
      <c r="L11" s="94"/>
      <c r="M11" s="94"/>
      <c r="N11" s="94"/>
      <c r="O11" s="94"/>
    </row>
    <row r="12" spans="1:15" ht="18.5">
      <c r="A12" s="129" t="s">
        <v>1821</v>
      </c>
      <c r="B12" s="130"/>
      <c r="C12" s="130"/>
      <c r="D12" s="130"/>
      <c r="E12" s="130"/>
      <c r="F12" s="130"/>
      <c r="G12" s="130"/>
      <c r="H12" s="130"/>
      <c r="I12" s="130"/>
      <c r="J12" s="130"/>
      <c r="K12" s="130"/>
      <c r="L12" s="130"/>
      <c r="M12" s="130"/>
      <c r="N12" s="130"/>
      <c r="O12" s="130"/>
    </row>
    <row r="49" spans="1:15">
      <c r="A49" s="131"/>
      <c r="B49" s="94"/>
      <c r="C49" s="94"/>
      <c r="D49" s="94"/>
      <c r="E49" s="94"/>
      <c r="F49" s="94"/>
      <c r="G49" s="94"/>
      <c r="H49" s="94"/>
      <c r="I49" s="94"/>
      <c r="J49" s="94"/>
      <c r="K49" s="94"/>
      <c r="L49" s="94"/>
      <c r="M49" s="94"/>
      <c r="N49" s="94"/>
      <c r="O49" s="94"/>
    </row>
    <row r="50" spans="1:15">
      <c r="A50" s="131"/>
      <c r="B50" s="94"/>
      <c r="C50" s="94"/>
      <c r="D50" s="94"/>
      <c r="E50" s="94"/>
      <c r="F50" s="94"/>
      <c r="G50" s="94"/>
      <c r="H50" s="94"/>
      <c r="I50" s="94"/>
      <c r="J50" s="94"/>
      <c r="K50" s="94"/>
      <c r="L50" s="94"/>
      <c r="M50" s="94"/>
      <c r="N50" s="94"/>
      <c r="O50" s="94"/>
    </row>
    <row r="51" spans="1:15" ht="6.65" customHeight="1">
      <c r="A51" s="131"/>
      <c r="B51" s="94"/>
      <c r="C51" s="94"/>
      <c r="D51" s="94"/>
      <c r="E51" s="94"/>
      <c r="F51" s="94"/>
      <c r="G51" s="94"/>
      <c r="H51" s="94"/>
      <c r="I51" s="94"/>
      <c r="J51" s="94"/>
      <c r="K51" s="94"/>
      <c r="L51" s="94"/>
      <c r="M51" s="94"/>
      <c r="N51" s="94"/>
      <c r="O51" s="94"/>
    </row>
    <row r="52" spans="1:15" ht="18.5">
      <c r="A52" s="129" t="s">
        <v>1820</v>
      </c>
      <c r="B52" s="130"/>
      <c r="C52" s="130"/>
      <c r="D52" s="130"/>
      <c r="E52" s="130"/>
      <c r="F52" s="130"/>
      <c r="G52" s="130"/>
      <c r="H52" s="130"/>
      <c r="I52" s="130"/>
      <c r="J52" s="130"/>
      <c r="K52" s="130"/>
      <c r="L52" s="130"/>
      <c r="M52" s="130"/>
      <c r="N52" s="130"/>
      <c r="O52" s="130"/>
    </row>
    <row r="53" spans="1:15" ht="18.5">
      <c r="A53" s="129" t="s">
        <v>1779</v>
      </c>
      <c r="B53" s="130"/>
      <c r="C53" s="130"/>
      <c r="D53" s="130"/>
      <c r="E53" s="130"/>
      <c r="F53" s="130"/>
      <c r="G53" s="130"/>
      <c r="H53" s="130"/>
      <c r="I53" s="130"/>
      <c r="J53" s="130"/>
      <c r="K53" s="130"/>
      <c r="L53" s="130"/>
      <c r="M53" s="130"/>
      <c r="N53" s="130"/>
      <c r="O53" s="130"/>
    </row>
    <row r="85" spans="1:15" ht="18.5">
      <c r="A85" s="129" t="s">
        <v>1822</v>
      </c>
      <c r="B85" s="130"/>
      <c r="C85" s="130"/>
      <c r="D85" s="130"/>
      <c r="E85" s="130"/>
      <c r="F85" s="130"/>
      <c r="G85" s="130"/>
      <c r="H85" s="130"/>
      <c r="I85" s="130"/>
      <c r="J85" s="130"/>
      <c r="K85" s="130"/>
      <c r="L85" s="130"/>
      <c r="M85" s="130"/>
      <c r="N85" s="130"/>
      <c r="O85" s="130"/>
    </row>
    <row r="86" spans="1:15" ht="18">
      <c r="A86" s="131"/>
      <c r="B86" s="94"/>
      <c r="C86" s="132"/>
      <c r="D86" s="132"/>
      <c r="E86" s="132"/>
      <c r="F86" s="132"/>
      <c r="G86" s="132"/>
      <c r="H86" s="132"/>
      <c r="I86" s="132"/>
      <c r="J86" s="132"/>
      <c r="K86" s="132"/>
      <c r="L86" s="132"/>
      <c r="M86" s="132"/>
      <c r="N86" s="132"/>
      <c r="O86" s="132"/>
    </row>
  </sheetData>
  <sheetProtection password="C489" sheet="1" objects="1" scenarios="1" selectLockedCells="1" selectUnlockedCells="1"/>
  <phoneticPr fontId="53"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2">
    <tabColor rgb="FF297D6B"/>
    <pageSetUpPr fitToPage="1"/>
  </sheetPr>
  <dimension ref="A1:BR200"/>
  <sheetViews>
    <sheetView showRowColHeaders="0" topLeftCell="D1" zoomScale="55" zoomScaleNormal="55" workbookViewId="0">
      <selection activeCell="Z10" sqref="Z10"/>
    </sheetView>
  </sheetViews>
  <sheetFormatPr defaultColWidth="8.85546875" defaultRowHeight="15.5"/>
  <cols>
    <col min="1" max="3" width="0" style="55" hidden="1" customWidth="1"/>
    <col min="4" max="4" width="2.0703125" style="55" customWidth="1"/>
    <col min="5" max="5" width="2" style="55" customWidth="1"/>
    <col min="6" max="7" width="20.28515625" style="55" customWidth="1"/>
    <col min="8" max="8" width="16.85546875" style="55" customWidth="1"/>
    <col min="9" max="9" width="2.85546875" style="55" customWidth="1"/>
    <col min="10" max="10" width="5.85546875" style="55" hidden="1" customWidth="1"/>
    <col min="11" max="12" width="0" style="55" hidden="1" customWidth="1"/>
    <col min="13" max="13" width="4" style="55" customWidth="1"/>
    <col min="14" max="14" width="2.640625" style="55" customWidth="1"/>
    <col min="15" max="15" width="1.2109375" style="55" customWidth="1"/>
    <col min="16" max="16" width="17.640625" style="55" customWidth="1"/>
    <col min="17" max="17" width="8.28515625" style="55" customWidth="1"/>
    <col min="18" max="18" width="10.0703125" style="55" customWidth="1"/>
    <col min="19" max="19" width="10.2109375" style="55" customWidth="1"/>
    <col min="20" max="20" width="11.0703125" style="55" customWidth="1"/>
    <col min="21" max="21" width="17.0703125" style="55" customWidth="1"/>
    <col min="22" max="22" width="8.42578125" style="55" customWidth="1"/>
    <col min="23" max="23" width="4.0703125" style="55" customWidth="1"/>
    <col min="24" max="24" width="15.85546875" style="55" customWidth="1"/>
    <col min="25" max="25" width="15" style="55" customWidth="1"/>
    <col min="26" max="26" width="19.42578125" style="55" customWidth="1"/>
    <col min="27" max="42" width="4.640625" style="55" customWidth="1"/>
    <col min="43" max="46" width="4.640625" style="506" customWidth="1"/>
    <col min="47" max="52" width="4.640625" style="55" customWidth="1"/>
    <col min="53" max="53" width="1.85546875" style="55" customWidth="1"/>
    <col min="54" max="54" width="8.85546875" style="169"/>
    <col min="55" max="55" width="18.640625" style="169" bestFit="1" customWidth="1"/>
    <col min="56" max="59" width="8.85546875" style="169"/>
    <col min="60" max="60" width="8.85546875" style="169" customWidth="1"/>
    <col min="61" max="61" width="19.640625" style="55" hidden="1" customWidth="1"/>
    <col min="62" max="63" width="19.0703125" style="55" hidden="1" customWidth="1"/>
    <col min="64" max="64" width="18.42578125" style="55" hidden="1" customWidth="1"/>
    <col min="65" max="65" width="21" style="55" hidden="1" customWidth="1"/>
    <col min="66" max="66" width="14.0703125" style="55" hidden="1" customWidth="1"/>
    <col min="67" max="67" width="16.0703125" style="55" hidden="1" customWidth="1"/>
    <col min="68" max="68" width="16.0703125" style="55" customWidth="1"/>
    <col min="69" max="78" width="8.85546875" style="55"/>
    <col min="79" max="87" width="0" style="55" hidden="1" customWidth="1"/>
    <col min="88" max="140" width="8.85546875" style="55"/>
    <col min="141" max="141" width="8.85546875" style="55" customWidth="1"/>
    <col min="142" max="16384" width="8.85546875" style="55"/>
  </cols>
  <sheetData>
    <row r="1" spans="4:68" ht="88.5" customHeight="1">
      <c r="D1" s="505"/>
      <c r="E1" s="505"/>
      <c r="F1" s="505"/>
      <c r="G1" s="505"/>
      <c r="H1" s="505"/>
      <c r="I1" s="505"/>
      <c r="P1" s="723"/>
      <c r="Q1" s="723"/>
      <c r="R1" s="723"/>
      <c r="S1" s="723"/>
      <c r="T1" s="723"/>
      <c r="U1" s="723"/>
      <c r="V1" s="723"/>
      <c r="W1" s="723"/>
      <c r="X1" s="723"/>
      <c r="Y1" s="723"/>
      <c r="Z1" s="723"/>
      <c r="AA1" s="723"/>
      <c r="AB1" s="723"/>
      <c r="AC1" s="723"/>
      <c r="AD1" s="723"/>
      <c r="AE1" s="723"/>
      <c r="AF1" s="723"/>
      <c r="AG1" s="723"/>
      <c r="AH1" s="723"/>
      <c r="AI1" s="723"/>
      <c r="AJ1" s="723"/>
      <c r="AK1" s="723"/>
      <c r="AL1" s="723"/>
      <c r="AM1" s="723"/>
      <c r="AN1" s="723"/>
      <c r="AO1" s="723"/>
      <c r="AP1" s="723"/>
      <c r="AQ1" s="723"/>
      <c r="AR1" s="723"/>
      <c r="AS1" s="723"/>
      <c r="AT1" s="723"/>
      <c r="AU1" s="723"/>
      <c r="AV1" s="723"/>
      <c r="AW1" s="723"/>
      <c r="AX1" s="723"/>
      <c r="AY1" s="723"/>
      <c r="AZ1" s="723"/>
    </row>
    <row r="2" spans="4:68" ht="41.15" customHeight="1">
      <c r="D2" s="505"/>
      <c r="E2" s="505"/>
      <c r="F2" s="505"/>
      <c r="G2" s="505"/>
      <c r="H2" s="505"/>
      <c r="I2" s="505"/>
      <c r="J2" s="505"/>
      <c r="O2" s="724"/>
      <c r="P2" s="2098" t="str">
        <f>IF(MF=2,"海 外 債 券 投 資 商 品 庫 存 專 區 (精 算 版)","海 外 債 券 投 資 商 品 庫 存 專 區")</f>
        <v>海 外 債 券 投 資 商 品 庫 存 專 區</v>
      </c>
      <c r="Q2" s="2098"/>
      <c r="R2" s="2098"/>
      <c r="S2" s="2098"/>
      <c r="T2" s="2098"/>
      <c r="U2" s="2098"/>
      <c r="V2" s="2098"/>
      <c r="W2" s="2098"/>
      <c r="X2" s="2098"/>
      <c r="Y2" s="2098"/>
      <c r="Z2" s="2098"/>
      <c r="AA2" s="2098"/>
      <c r="AB2" s="2098"/>
      <c r="AC2" s="2098"/>
      <c r="AD2" s="2098"/>
      <c r="AE2" s="2098"/>
      <c r="AF2" s="2098"/>
      <c r="AG2" s="2098"/>
      <c r="AH2" s="2098"/>
      <c r="AI2" s="2098"/>
      <c r="AJ2" s="2098"/>
      <c r="AK2" s="2098"/>
      <c r="AL2" s="2098"/>
      <c r="AM2" s="2098"/>
      <c r="AN2" s="2098"/>
      <c r="AO2" s="2098"/>
      <c r="AP2" s="2098"/>
      <c r="AQ2" s="2098"/>
      <c r="AR2" s="2098"/>
      <c r="AS2" s="2098"/>
      <c r="AT2" s="2098"/>
      <c r="AU2" s="2098"/>
      <c r="AV2" s="2098"/>
      <c r="AW2" s="2098"/>
      <c r="AX2" s="2098"/>
      <c r="AY2" s="2098"/>
      <c r="AZ2" s="2098"/>
    </row>
    <row r="3" spans="4:68" ht="8.5" customHeight="1">
      <c r="D3" s="505"/>
      <c r="E3" s="505"/>
      <c r="F3" s="505"/>
      <c r="G3" s="505"/>
      <c r="H3" s="505"/>
      <c r="I3" s="505"/>
      <c r="J3" s="505"/>
      <c r="O3" s="724"/>
      <c r="P3" s="725"/>
      <c r="Q3" s="725"/>
      <c r="R3" s="725"/>
      <c r="S3" s="725"/>
      <c r="T3" s="725"/>
      <c r="U3" s="725"/>
      <c r="V3" s="725"/>
      <c r="W3" s="725"/>
      <c r="X3" s="725"/>
      <c r="Y3" s="725"/>
      <c r="Z3" s="725"/>
      <c r="AA3" s="725"/>
      <c r="AB3" s="725"/>
      <c r="AC3" s="725"/>
      <c r="AD3" s="725"/>
      <c r="AE3" s="725"/>
      <c r="AF3" s="725"/>
      <c r="AG3" s="725"/>
      <c r="AH3" s="725"/>
      <c r="AI3" s="725"/>
      <c r="AJ3" s="725"/>
      <c r="AK3" s="725"/>
      <c r="AL3" s="725"/>
      <c r="AM3" s="725"/>
      <c r="AN3" s="726"/>
      <c r="AO3" s="726"/>
      <c r="AP3" s="726"/>
      <c r="AQ3" s="726"/>
      <c r="AR3" s="726"/>
      <c r="AS3" s="726"/>
      <c r="AT3" s="726"/>
    </row>
    <row r="4" spans="4:68" ht="24" customHeight="1" thickBot="1">
      <c r="D4" s="505"/>
      <c r="E4" s="505"/>
      <c r="F4" s="505"/>
      <c r="G4" s="505"/>
      <c r="H4" s="505"/>
      <c r="I4" s="505"/>
      <c r="J4" s="505"/>
      <c r="N4" s="2087" t="s">
        <v>3762</v>
      </c>
      <c r="P4" s="2099" t="s">
        <v>2073</v>
      </c>
      <c r="Q4" s="2099"/>
      <c r="R4" s="2099"/>
      <c r="S4" s="2099"/>
      <c r="T4" s="2099"/>
      <c r="U4" s="2099"/>
      <c r="V4" s="2099"/>
      <c r="W4" s="2099"/>
      <c r="X4" s="2099"/>
      <c r="Y4" s="2099"/>
      <c r="Z4" s="2099"/>
      <c r="AA4" s="2099"/>
      <c r="AB4" s="2099"/>
      <c r="AC4" s="2099"/>
      <c r="AD4" s="2099"/>
      <c r="AE4" s="2099"/>
      <c r="AF4" s="2099"/>
      <c r="AG4" s="2099"/>
      <c r="AH4" s="2099"/>
      <c r="AI4" s="2099"/>
      <c r="AJ4" s="2099"/>
      <c r="AK4" s="2099"/>
      <c r="AL4" s="2099"/>
      <c r="AM4" s="2099"/>
      <c r="AN4" s="2099"/>
      <c r="AO4" s="2099"/>
      <c r="AP4" s="2099"/>
      <c r="AQ4" s="2099"/>
      <c r="AR4" s="2099"/>
      <c r="AS4" s="2099"/>
      <c r="AT4" s="2099"/>
      <c r="AU4" s="2100" t="s">
        <v>122</v>
      </c>
      <c r="AV4" s="2100"/>
      <c r="AW4" s="2100"/>
      <c r="AX4" s="2110">
        <f>投資商品現金流試算表!N4</f>
        <v>45474</v>
      </c>
      <c r="AY4" s="2110"/>
      <c r="AZ4" s="2110"/>
    </row>
    <row r="5" spans="4:68" ht="30.75" customHeight="1" thickBot="1">
      <c r="D5" s="505"/>
      <c r="E5" s="505"/>
      <c r="F5" s="505"/>
      <c r="G5" s="505"/>
      <c r="H5" s="505"/>
      <c r="I5" s="673"/>
      <c r="J5" s="505"/>
      <c r="N5" s="2088"/>
      <c r="P5" s="2101" t="s">
        <v>542</v>
      </c>
      <c r="Q5" s="2094" t="s">
        <v>2261</v>
      </c>
      <c r="R5" s="2094"/>
      <c r="S5" s="2094"/>
      <c r="T5" s="2094"/>
      <c r="U5" s="2094"/>
      <c r="V5" s="2113" t="s">
        <v>2262</v>
      </c>
      <c r="W5" s="2114"/>
      <c r="X5" s="2103" t="s">
        <v>2263</v>
      </c>
      <c r="Y5" s="2105" t="s">
        <v>1939</v>
      </c>
      <c r="Z5" s="2103" t="s">
        <v>2140</v>
      </c>
      <c r="AA5" s="2106" t="s">
        <v>2045</v>
      </c>
      <c r="AB5" s="2106"/>
      <c r="AC5" s="2106"/>
      <c r="AD5" s="2106"/>
      <c r="AE5" s="2105" t="s">
        <v>2225</v>
      </c>
      <c r="AF5" s="2105"/>
      <c r="AG5" s="2105"/>
      <c r="AH5" s="2105"/>
      <c r="AI5" s="2105"/>
      <c r="AJ5" s="2105"/>
      <c r="AK5" s="2105"/>
      <c r="AL5" s="2105"/>
      <c r="AM5" s="2105"/>
      <c r="AN5" s="2105"/>
      <c r="AO5" s="2105"/>
      <c r="AP5" s="2105"/>
      <c r="AQ5" s="2105" t="s">
        <v>2160</v>
      </c>
      <c r="AR5" s="2105"/>
      <c r="AS5" s="2105"/>
      <c r="AT5" s="2103" t="s">
        <v>2259</v>
      </c>
      <c r="AU5" s="2103"/>
      <c r="AV5" s="2103"/>
      <c r="AW5" s="2103"/>
      <c r="AX5" s="2103"/>
      <c r="AY5" s="2103"/>
      <c r="AZ5" s="2112"/>
      <c r="BI5" s="1705" t="s">
        <v>4450</v>
      </c>
      <c r="BJ5" s="1706">
        <f>12*('商品代碼-中繼頁'!A16-1)</f>
        <v>0</v>
      </c>
    </row>
    <row r="6" spans="4:68" ht="30.75" customHeight="1">
      <c r="D6" s="505"/>
      <c r="E6" s="505"/>
      <c r="F6" s="505"/>
      <c r="G6" s="505"/>
      <c r="H6" s="505"/>
      <c r="I6" s="674"/>
      <c r="J6" s="505"/>
      <c r="N6" s="2088"/>
      <c r="P6" s="2102"/>
      <c r="Q6" s="2094"/>
      <c r="R6" s="2094"/>
      <c r="S6" s="2094"/>
      <c r="T6" s="2094"/>
      <c r="U6" s="2094"/>
      <c r="V6" s="2113"/>
      <c r="W6" s="2114"/>
      <c r="X6" s="2104"/>
      <c r="Y6" s="2104"/>
      <c r="Z6" s="2104"/>
      <c r="AA6" s="2107" t="s">
        <v>2046</v>
      </c>
      <c r="AB6" s="2107"/>
      <c r="AC6" s="2107"/>
      <c r="AD6" s="2107"/>
      <c r="AE6" s="2111" t="s">
        <v>2156</v>
      </c>
      <c r="AF6" s="2111"/>
      <c r="AG6" s="2111"/>
      <c r="AH6" s="2111"/>
      <c r="AI6" s="2111" t="s">
        <v>2157</v>
      </c>
      <c r="AJ6" s="2111"/>
      <c r="AK6" s="2111"/>
      <c r="AL6" s="2111"/>
      <c r="AM6" s="2111" t="s">
        <v>2112</v>
      </c>
      <c r="AN6" s="2111"/>
      <c r="AO6" s="2111"/>
      <c r="AP6" s="2111"/>
      <c r="AQ6" s="2111"/>
      <c r="AR6" s="2111"/>
      <c r="AS6" s="2111"/>
      <c r="AT6" s="2108" t="s">
        <v>2265</v>
      </c>
      <c r="AU6" s="2108"/>
      <c r="AV6" s="2108" t="s">
        <v>2132</v>
      </c>
      <c r="AW6" s="2108"/>
      <c r="AX6" s="2108"/>
      <c r="AY6" s="2108" t="s">
        <v>2266</v>
      </c>
      <c r="AZ6" s="2109"/>
      <c r="BI6" s="1704" t="s">
        <v>2270</v>
      </c>
      <c r="BJ6" s="1704" t="s">
        <v>2271</v>
      </c>
      <c r="BK6" s="609" t="s">
        <v>2155</v>
      </c>
      <c r="BL6" s="609" t="s">
        <v>2167</v>
      </c>
      <c r="BM6" s="609" t="s">
        <v>4418</v>
      </c>
      <c r="BN6" s="609" t="s">
        <v>4419</v>
      </c>
      <c r="BO6" s="609" t="s">
        <v>4497</v>
      </c>
    </row>
    <row r="7" spans="4:68" ht="31" customHeight="1">
      <c r="D7" s="606"/>
      <c r="E7" s="606"/>
      <c r="F7" s="505"/>
      <c r="G7" s="505"/>
      <c r="H7" s="505"/>
      <c r="I7" s="675"/>
      <c r="J7" s="505"/>
      <c r="N7" s="1049" t="str">
        <f ca="1">IF(OR(P7="",換券單檔!AG2=0),"","★")</f>
        <v>★</v>
      </c>
      <c r="P7" s="1642" t="s">
        <v>4844</v>
      </c>
      <c r="Q7" s="1990" t="str">
        <f ca="1">IF(開關=TRUE,IFERROR(OFFSET(庫存管理_中繼頁!$Q7,$BJ$5,0),""),"")</f>
        <v>蘋果公司美元配息債券 4.85% 2053/5/10</v>
      </c>
      <c r="R7" s="1990"/>
      <c r="S7" s="1990"/>
      <c r="T7" s="1990"/>
      <c r="U7" s="1990"/>
      <c r="V7" s="2092" t="str">
        <f ca="1">IF(開關=TRUE,OFFSET(庫存管理_中繼頁!V7,$BJ$5,0),"")</f>
        <v>USD</v>
      </c>
      <c r="W7" s="2093"/>
      <c r="X7" s="647">
        <v>20240101</v>
      </c>
      <c r="Y7" s="597">
        <v>100000</v>
      </c>
      <c r="Z7" s="648">
        <v>98000</v>
      </c>
      <c r="AA7" s="2089">
        <f ca="1">IF(OR(P7="",X7=""),"",IFERROR(OFFSET(庫存管理_中繼頁!AA7,$BJ$5,0),""))</f>
        <v>96700.6</v>
      </c>
      <c r="AB7" s="2090"/>
      <c r="AC7" s="2090"/>
      <c r="AD7" s="2091"/>
      <c r="AE7" s="2040">
        <f ca="1">IF(OR(P7="",X7="",開關=FALSE),"",IFERROR(OFFSET(庫存管理_中繼頁!AE7,$BJ$5,0),""))</f>
        <v>2424.9999999999995</v>
      </c>
      <c r="AF7" s="2041"/>
      <c r="AG7" s="2041"/>
      <c r="AH7" s="2042"/>
      <c r="AI7" s="2095">
        <f ca="1">IF(OR(P7="",X7=""),"",IFERROR(OFFSET(庫存管理_中繼頁!AI7,$BJ$5,0),""))</f>
        <v>-1299.3999999999942</v>
      </c>
      <c r="AJ7" s="2096"/>
      <c r="AK7" s="2096"/>
      <c r="AL7" s="2097"/>
      <c r="AM7" s="2071">
        <f ca="1">IF(OR(P7="",X7=""),"",IFERROR(AE7+AI7,""))</f>
        <v>1125.6000000000054</v>
      </c>
      <c r="AN7" s="2041"/>
      <c r="AO7" s="2041"/>
      <c r="AP7" s="2072"/>
      <c r="AQ7" s="2078">
        <f ca="1">IF(OR(P7="",X7=""),"",OFFSET(庫存管理_中繼頁!AQ7,$BJ$5,0))</f>
        <v>1.148571428571434E-2</v>
      </c>
      <c r="AR7" s="2076"/>
      <c r="AS7" s="2079"/>
      <c r="AT7" s="2076">
        <f ca="1">IF(OR(P7="",X7=""),"",IFERROR(OFFSET(庫存管理_中繼頁!AT7,$BJ$5,0),0))</f>
        <v>0.29518072289156627</v>
      </c>
      <c r="AU7" s="2076"/>
      <c r="AV7" s="2073">
        <f ca="1">OFFSET(庫存管理_中繼頁!BO7,$BJ$5,0)</f>
        <v>-5.2092070936142765E-3</v>
      </c>
      <c r="AW7" s="2073"/>
      <c r="AX7" s="2073"/>
      <c r="AY7" s="2076">
        <f ca="1">IF(OR(P7="",X7=""),"",IFERROR(OFFSET(庫存管理_中繼頁!AY7,$BJ$5,0),""))</f>
        <v>0.289971515797952</v>
      </c>
      <c r="AZ7" s="2077"/>
      <c r="BA7" s="601"/>
      <c r="BB7" s="1784"/>
      <c r="BI7" s="610">
        <f>DATE(LEFT(X7,4),MID(X7,5,2),RIGHT(X7,2))</f>
        <v>45292</v>
      </c>
      <c r="BJ7" s="610">
        <f ca="1">IFERROR(DATEVALUE(VLOOKUP(P7,'銀行-TSS'!B:AL,37,FALSE)),VLOOKUP(P7,'銀行-TSS'!B:AL,37,FALSE))</f>
        <v>45056</v>
      </c>
      <c r="BK7" s="517">
        <f ca="1">VLOOKUP(P7,'銀行-TSS'!B:N,13,FALSE)</f>
        <v>10000</v>
      </c>
      <c r="BL7" s="621">
        <f ca="1">VLOOKUP(P7,'銀行-TSS'!B:O,14,FALSE)</f>
        <v>1000</v>
      </c>
      <c r="BM7" s="741" t="b">
        <f ca="1">IF(P7="",FALSE,AND(BI7&lt;=BJ7,LEN(X7)=8))</f>
        <v>0</v>
      </c>
      <c r="BN7" s="55" t="b">
        <f ca="1">OR($Y7&lt;$BK7,MOD($Y7,$BL7)&lt;&gt;0)</f>
        <v>0</v>
      </c>
      <c r="BO7" s="742" t="b">
        <v>1</v>
      </c>
      <c r="BP7" s="742"/>
    </row>
    <row r="8" spans="4:68" ht="31" customHeight="1">
      <c r="D8" s="606"/>
      <c r="E8" s="606"/>
      <c r="F8" s="505"/>
      <c r="G8" s="505"/>
      <c r="H8" s="505"/>
      <c r="I8" s="675"/>
      <c r="J8" s="505"/>
      <c r="N8" s="1049" t="str">
        <f ca="1">IF(OR(P8="",換券單檔!AG3=0),"","★")</f>
        <v/>
      </c>
      <c r="P8" s="1642" t="s">
        <v>4847</v>
      </c>
      <c r="Q8" s="1990" t="str">
        <f ca="1">IF(開關=TRUE,IFERROR(OFFSET(庫存管理_中繼頁!$Q8,$BJ$5,0),""),"")</f>
        <v>Alphabet公司美元配息債券 2.25% 2060/8/15</v>
      </c>
      <c r="R8" s="1990"/>
      <c r="S8" s="1990"/>
      <c r="T8" s="1990"/>
      <c r="U8" s="1990"/>
      <c r="V8" s="2092" t="str">
        <f ca="1">IF(開關=TRUE,OFFSET(庫存管理_中繼頁!V8,$BJ$5,0),"")</f>
        <v>USD</v>
      </c>
      <c r="W8" s="2093"/>
      <c r="X8" s="647">
        <v>20240101</v>
      </c>
      <c r="Y8" s="597">
        <v>100000</v>
      </c>
      <c r="Z8" s="648">
        <v>58000</v>
      </c>
      <c r="AA8" s="2089">
        <f ca="1">IF(OR(P8="",X8=""),"",IFERROR(OFFSET(庫存管理_中繼頁!AA8,$BJ$5,0),""))</f>
        <v>55316.3</v>
      </c>
      <c r="AB8" s="2090"/>
      <c r="AC8" s="2090"/>
      <c r="AD8" s="2091"/>
      <c r="AE8" s="2040">
        <f ca="1">IF(OR(P8="",X8="",開關=FALSE),"",IFERROR(OFFSET(庫存管理_中繼頁!AE8,$BJ$5,0),""))</f>
        <v>1125</v>
      </c>
      <c r="AF8" s="2041"/>
      <c r="AG8" s="2041"/>
      <c r="AH8" s="2042"/>
      <c r="AI8" s="2054">
        <f ca="1">IF(OR(P8="",X8=""),"",IFERROR(OFFSET(庫存管理_中繼頁!AI8,$BJ$5,0),""))</f>
        <v>-2683.6999999999971</v>
      </c>
      <c r="AJ8" s="2055"/>
      <c r="AK8" s="2055"/>
      <c r="AL8" s="2056"/>
      <c r="AM8" s="2071">
        <f ca="1">IF(OR(P8="",X8=""),"",IFERROR(AE8+AI8,""))</f>
        <v>-1558.6999999999971</v>
      </c>
      <c r="AN8" s="2041"/>
      <c r="AO8" s="2041"/>
      <c r="AP8" s="2072"/>
      <c r="AQ8" s="2078">
        <f ca="1">IF(OR(P8="",X8=""),"",OFFSET(庫存管理_中繼頁!AQ8,$BJ$5,0))</f>
        <v>-2.6874137931034433E-2</v>
      </c>
      <c r="AR8" s="2076"/>
      <c r="AS8" s="2079"/>
      <c r="AT8" s="2076">
        <f ca="1">IF(OR(P8="",X8=""),"",IFERROR(OFFSET(庫存管理_中繼頁!AT8,$BJ$5,0),0))</f>
        <v>0.1746987951807229</v>
      </c>
      <c r="AU8" s="2076"/>
      <c r="AV8" s="2073">
        <f ca="1">OFFSET(庫存管理_中繼頁!BO8,$BJ$5,0)</f>
        <v>-8.824422536351989E-3</v>
      </c>
      <c r="AW8" s="2073"/>
      <c r="AX8" s="2073"/>
      <c r="AY8" s="2076">
        <f ca="1">IF(OR(P8="",X8=""),"",IFERROR(OFFSET(庫存管理_中繼頁!AY8,$BJ$5,0),""))</f>
        <v>0.16587437264437091</v>
      </c>
      <c r="AZ8" s="2077"/>
      <c r="BA8" s="601"/>
      <c r="BB8" s="1784"/>
      <c r="BI8" s="610">
        <f>DATE(LEFT(X8,4),MID(X8,5,2),RIGHT(X8,2))</f>
        <v>45292</v>
      </c>
      <c r="BJ8" s="610">
        <f ca="1">IFERROR(DATEVALUE(VLOOKUP(P8,'銀行-TSS'!B:AL,37,FALSE)),VLOOKUP(P8,'銀行-TSS'!B:AL,37,FALSE))</f>
        <v>44048</v>
      </c>
      <c r="BK8" s="517">
        <f ca="1">VLOOKUP(P8,'銀行-TSS'!B:N,13,FALSE)</f>
        <v>10000</v>
      </c>
      <c r="BL8" s="621">
        <f ca="1">VLOOKUP(P8,'銀行-TSS'!B:O,14,FALSE)</f>
        <v>1000</v>
      </c>
      <c r="BM8" s="741" t="b">
        <f ca="1">IF(P8="",FALSE,AND(BI8&lt;=BJ8,LEN(X8)=8))</f>
        <v>0</v>
      </c>
      <c r="BN8" s="55" t="b">
        <f ca="1">OR($Y8&lt;$BK8,MOD($Y8,$BL8)&lt;&gt;0)</f>
        <v>0</v>
      </c>
      <c r="BO8" s="742" t="b">
        <f ca="1">IFERROR(OFFSET(庫存管理[[#This Row],[檢測]],$BJ$5,0),"")</f>
        <v>1</v>
      </c>
      <c r="BP8" s="742"/>
    </row>
    <row r="9" spans="4:68" ht="31" customHeight="1">
      <c r="D9" s="606"/>
      <c r="E9" s="606"/>
      <c r="F9" s="505"/>
      <c r="G9" s="505"/>
      <c r="H9" s="505"/>
      <c r="I9" s="675"/>
      <c r="J9" s="505"/>
      <c r="N9" s="1049" t="str">
        <f ca="1">IF(OR(P9="",換券單檔!AG4=0),"","★")</f>
        <v>★</v>
      </c>
      <c r="P9" s="1642" t="s">
        <v>4846</v>
      </c>
      <c r="Q9" s="1990" t="str">
        <f ca="1">IF(開關=TRUE,IFERROR(OFFSET(庫存管理_中繼頁!$Q9,$BJ$5,0),""),"")</f>
        <v>禮來公司美元配息債券 4.875% 2053/2/27</v>
      </c>
      <c r="R9" s="1990"/>
      <c r="S9" s="1990"/>
      <c r="T9" s="1990"/>
      <c r="U9" s="1990"/>
      <c r="V9" s="2092" t="str">
        <f ca="1">IF(開關=TRUE,OFFSET(庫存管理_中繼頁!V9,$BJ$5,0),"")</f>
        <v>USD</v>
      </c>
      <c r="W9" s="2093"/>
      <c r="X9" s="647">
        <v>20240101</v>
      </c>
      <c r="Y9" s="597">
        <v>100000</v>
      </c>
      <c r="Z9" s="648">
        <v>88000</v>
      </c>
      <c r="AA9" s="2089">
        <f ca="1">IF(OR(P9="",X9=""),"",IFERROR(OFFSET(庫存管理_中繼頁!AA9,$BJ$5,0),""))</f>
        <v>94562.7</v>
      </c>
      <c r="AB9" s="2090"/>
      <c r="AC9" s="2090"/>
      <c r="AD9" s="2091"/>
      <c r="AE9" s="2040">
        <f ca="1">IF(OR(P9="",X9="",開關=FALSE),"",IFERROR(OFFSET(庫存管理_中繼頁!AE9,$BJ$5,0),""))</f>
        <v>2437.5</v>
      </c>
      <c r="AF9" s="2041"/>
      <c r="AG9" s="2041"/>
      <c r="AH9" s="2042"/>
      <c r="AI9" s="2054">
        <f ca="1">IF(OR(P9="",X9=""),"",IFERROR(OFFSET(庫存管理_中繼頁!AI9,$BJ$5,0),""))</f>
        <v>6562.6999999999971</v>
      </c>
      <c r="AJ9" s="2055"/>
      <c r="AK9" s="2055"/>
      <c r="AL9" s="2056"/>
      <c r="AM9" s="2071">
        <f t="shared" ref="AM9:AM18" ca="1" si="0">IF(OR(P9="",X9=""),"",IFERROR(AE9+AI9,""))</f>
        <v>9000.1999999999971</v>
      </c>
      <c r="AN9" s="2041"/>
      <c r="AO9" s="2041"/>
      <c r="AP9" s="2072"/>
      <c r="AQ9" s="2078">
        <f ca="1">IF(OR(P9="",X9=""),"",OFFSET(庫存管理_中繼頁!AQ9,$BJ$5,0))</f>
        <v>0.10227499999999996</v>
      </c>
      <c r="AR9" s="2076"/>
      <c r="AS9" s="2079"/>
      <c r="AT9" s="2076">
        <f ca="1">IF(OR(P9="",X9=""),"",IFERROR(OFFSET(庫存管理_中繼頁!AT9,$BJ$5,0),0))</f>
        <v>0.26506024096385544</v>
      </c>
      <c r="AU9" s="2076"/>
      <c r="AV9" s="2073">
        <f ca="1">OFFSET(庫存管理_中繼頁!BO9,$BJ$5,0)</f>
        <v>1.8500455215351208E-2</v>
      </c>
      <c r="AW9" s="2073"/>
      <c r="AX9" s="2073"/>
      <c r="AY9" s="2076">
        <f ca="1">IF(OR(P9="",X9=""),"",IFERROR(OFFSET(庫存管理_中繼頁!AY9,$BJ$5,0),""))</f>
        <v>0.28356069617920665</v>
      </c>
      <c r="AZ9" s="2077"/>
      <c r="BA9" s="601"/>
      <c r="BB9" s="1784"/>
      <c r="BI9" s="610">
        <f t="shared" ref="BI9:BI18" si="1">DATE(LEFT(X9,4),MID(X9,5,2),RIGHT(X9,2))</f>
        <v>45292</v>
      </c>
      <c r="BJ9" s="610">
        <f ca="1">IFERROR(DATEVALUE(VLOOKUP(P9,'銀行-TSS'!B:AL,37,FALSE)),VLOOKUP(P9,'銀行-TSS'!B:AL,37,FALSE))</f>
        <v>44984</v>
      </c>
      <c r="BK9" s="517">
        <f ca="1">VLOOKUP(P9,'銀行-TSS'!B:N,13,FALSE)</f>
        <v>10000</v>
      </c>
      <c r="BL9" s="621">
        <f ca="1">VLOOKUP(P9,'銀行-TSS'!B:O,14,FALSE)</f>
        <v>1000</v>
      </c>
      <c r="BM9" s="741" t="b">
        <f t="shared" ref="BM9:BM18" ca="1" si="2">IF(P9="",FALSE,AND(BI9&lt;=BJ9,LEN(X9)=8))</f>
        <v>0</v>
      </c>
      <c r="BN9" s="55" t="b">
        <f t="shared" ref="BN9:BN18" ca="1" si="3">OR($Y9&lt;$BK9,MOD($Y9,$BL9)&lt;&gt;0)</f>
        <v>0</v>
      </c>
      <c r="BO9" s="742" t="b">
        <f ca="1">IFERROR(OFFSET(庫存管理[[#This Row],[檢測]],$BJ$5,0),"")</f>
        <v>1</v>
      </c>
      <c r="BP9" s="742"/>
    </row>
    <row r="10" spans="4:68" ht="31" customHeight="1">
      <c r="D10" s="606"/>
      <c r="E10" s="606"/>
      <c r="F10" s="2094" t="s">
        <v>2264</v>
      </c>
      <c r="G10" s="2094"/>
      <c r="H10" s="2094"/>
      <c r="I10" s="675"/>
      <c r="J10" s="505"/>
      <c r="N10" s="1049" t="str">
        <f ca="1">IF(OR(P10="",換券單檔!AG5=0),"","★")</f>
        <v>★</v>
      </c>
      <c r="P10" s="1642" t="s">
        <v>4845</v>
      </c>
      <c r="Q10" s="1990" t="str">
        <f ca="1">IF(開關=TRUE,IFERROR(OFFSET(庫存管理_中繼頁!$Q10,$BJ$5,0),""),"")</f>
        <v>META平台公司美元配息債券 4.45% 2052/8/15</v>
      </c>
      <c r="R10" s="1990"/>
      <c r="S10" s="1990"/>
      <c r="T10" s="1990"/>
      <c r="U10" s="1990"/>
      <c r="V10" s="2092" t="str">
        <f ca="1">IF(開關=TRUE,OFFSET(庫存管理_中繼頁!V10,$BJ$5,0),"")</f>
        <v>USD</v>
      </c>
      <c r="W10" s="2093"/>
      <c r="X10" s="647">
        <v>20240101</v>
      </c>
      <c r="Y10" s="597">
        <v>100000</v>
      </c>
      <c r="Z10" s="648">
        <v>88000</v>
      </c>
      <c r="AA10" s="2089">
        <f ca="1">IF(OR(P10="",X10=""),"",IFERROR(OFFSET(庫存管理_中繼頁!AA10,$BJ$5,0),""))</f>
        <v>86903.5</v>
      </c>
      <c r="AB10" s="2090"/>
      <c r="AC10" s="2090"/>
      <c r="AD10" s="2091"/>
      <c r="AE10" s="2040">
        <f ca="1">IF(OR(P10="",X10="",開關=FALSE),"",IFERROR(OFFSET(庫存管理_中繼頁!AE10,$BJ$5,0),""))</f>
        <v>2225.0000000000005</v>
      </c>
      <c r="AF10" s="2041"/>
      <c r="AG10" s="2041"/>
      <c r="AH10" s="2042"/>
      <c r="AI10" s="2054">
        <f ca="1">IF(OR(P10="",X10=""),"",IFERROR(OFFSET(庫存管理_中繼頁!AI10,$BJ$5,0),""))</f>
        <v>-1096.5</v>
      </c>
      <c r="AJ10" s="2055"/>
      <c r="AK10" s="2055"/>
      <c r="AL10" s="2056"/>
      <c r="AM10" s="2071">
        <f t="shared" ca="1" si="0"/>
        <v>1128.5000000000005</v>
      </c>
      <c r="AN10" s="2041"/>
      <c r="AO10" s="2041"/>
      <c r="AP10" s="2072"/>
      <c r="AQ10" s="2078">
        <f ca="1">IF(OR(P10="",X10=""),"",OFFSET(庫存管理_中繼頁!AQ10,$BJ$5,0))</f>
        <v>1.2823863636363642E-2</v>
      </c>
      <c r="AR10" s="2076"/>
      <c r="AS10" s="2079"/>
      <c r="AT10" s="2076">
        <f ca="1">IF(OR(P10="",X10=""),"",IFERROR(OFFSET(庫存管理_中繼頁!AT10,$BJ$5,0),0))</f>
        <v>0.26506024096385544</v>
      </c>
      <c r="AU10" s="2076"/>
      <c r="AV10" s="2073">
        <f ca="1">OFFSET(庫存管理_中繼頁!BO10,$BJ$5,0)</f>
        <v>-4.4668255853849703E-3</v>
      </c>
      <c r="AW10" s="2073"/>
      <c r="AX10" s="2073"/>
      <c r="AY10" s="2076">
        <f ca="1">IF(OR(P10="",X10=""),"",IFERROR(OFFSET(庫存管理_中繼頁!AY10,$BJ$5,0),""))</f>
        <v>0.26059341537847047</v>
      </c>
      <c r="AZ10" s="2077"/>
      <c r="BA10" s="601"/>
      <c r="BB10" s="1784"/>
      <c r="BE10" s="1692"/>
      <c r="BI10" s="610">
        <f t="shared" si="1"/>
        <v>45292</v>
      </c>
      <c r="BJ10" s="610">
        <f ca="1">IFERROR(DATEVALUE(VLOOKUP(P10,'銀行-TSS'!B:AL,37,FALSE)),VLOOKUP(P10,'銀行-TSS'!B:AL,37,FALSE))</f>
        <v>44782</v>
      </c>
      <c r="BK10" s="517">
        <f ca="1">VLOOKUP(P10,'銀行-TSS'!B:N,13,FALSE)</f>
        <v>10000</v>
      </c>
      <c r="BL10" s="621">
        <f ca="1">VLOOKUP(P10,'銀行-TSS'!B:O,14,FALSE)</f>
        <v>1000</v>
      </c>
      <c r="BM10" s="741" t="b">
        <f t="shared" ca="1" si="2"/>
        <v>0</v>
      </c>
      <c r="BN10" s="55" t="b">
        <f t="shared" ca="1" si="3"/>
        <v>0</v>
      </c>
      <c r="BO10" s="742" t="b">
        <f ca="1">IFERROR(OFFSET(庫存管理[[#This Row],[檢測]],$BJ$5,0),"")</f>
        <v>1</v>
      </c>
      <c r="BP10" s="742"/>
    </row>
    <row r="11" spans="4:68" ht="31" customHeight="1">
      <c r="D11" s="606"/>
      <c r="E11" s="606"/>
      <c r="F11" s="1424" t="s">
        <v>2267</v>
      </c>
      <c r="G11" s="653" t="s">
        <v>2268</v>
      </c>
      <c r="H11" s="683" t="s">
        <v>2269</v>
      </c>
      <c r="I11" s="675"/>
      <c r="J11" s="505"/>
      <c r="N11" s="1049" t="str">
        <f ca="1">IF(OR(P11="",換券單檔!AG6=0),"","★")</f>
        <v/>
      </c>
      <c r="P11" s="1642" t="s">
        <v>4839</v>
      </c>
      <c r="Q11" s="1990" t="str">
        <f ca="1">IF(開關=TRUE,IFERROR(OFFSET(庫存管理_中繼頁!$Q11,$BJ$5,0),""),"")</f>
        <v/>
      </c>
      <c r="R11" s="1990"/>
      <c r="S11" s="1990"/>
      <c r="T11" s="1990"/>
      <c r="U11" s="1990"/>
      <c r="V11" s="2092" t="str">
        <f ca="1">IF(開關=TRUE,OFFSET(庫存管理_中繼頁!V11,$BJ$5,0),"")</f>
        <v/>
      </c>
      <c r="W11" s="2093"/>
      <c r="X11" s="647"/>
      <c r="Y11" s="597"/>
      <c r="Z11" s="648"/>
      <c r="AA11" s="2089" t="str">
        <f ca="1">IF(OR(P11="",X11=""),"",IFERROR(OFFSET(庫存管理_中繼頁!AA11,$BJ$5,0),""))</f>
        <v/>
      </c>
      <c r="AB11" s="2090"/>
      <c r="AC11" s="2090"/>
      <c r="AD11" s="2091"/>
      <c r="AE11" s="2040" t="str">
        <f ca="1">IF(OR(P11="",X11="",開關=FALSE),"",IFERROR(OFFSET(庫存管理_中繼頁!AE11,$BJ$5,0),""))</f>
        <v/>
      </c>
      <c r="AF11" s="2041"/>
      <c r="AG11" s="2041"/>
      <c r="AH11" s="2042"/>
      <c r="AI11" s="2054" t="str">
        <f ca="1">IF(OR(P11="",X11=""),"",IFERROR(OFFSET(庫存管理_中繼頁!AI11,$BJ$5,0),""))</f>
        <v/>
      </c>
      <c r="AJ11" s="2055"/>
      <c r="AK11" s="2055"/>
      <c r="AL11" s="2056"/>
      <c r="AM11" s="2071" t="str">
        <f t="shared" si="0"/>
        <v/>
      </c>
      <c r="AN11" s="2041"/>
      <c r="AO11" s="2041"/>
      <c r="AP11" s="2072"/>
      <c r="AQ11" s="2078" t="str">
        <f ca="1">IF(OR(P11="",X11=""),"",OFFSET(庫存管理_中繼頁!AQ11,$BJ$5,0))</f>
        <v/>
      </c>
      <c r="AR11" s="2076"/>
      <c r="AS11" s="2079"/>
      <c r="AT11" s="2076" t="str">
        <f ca="1">IF(OR(P11="",X11=""),"",IFERROR(OFFSET(庫存管理_中繼頁!AT11,$BJ$5,0),0))</f>
        <v/>
      </c>
      <c r="AU11" s="2076"/>
      <c r="AV11" s="2073">
        <f ca="1">OFFSET(庫存管理_中繼頁!BO11,$BJ$5,0)</f>
        <v>0</v>
      </c>
      <c r="AW11" s="2073"/>
      <c r="AX11" s="2073"/>
      <c r="AY11" s="2076" t="str">
        <f ca="1">IF(OR(P11="",X11=""),"",IFERROR(OFFSET(庫存管理_中繼頁!AY11,$BJ$5,0),""))</f>
        <v/>
      </c>
      <c r="AZ11" s="2077"/>
      <c r="BA11" s="601"/>
      <c r="BB11" s="1784"/>
      <c r="BI11" s="610" t="e">
        <f>DATE(LEFT(X11,4),MID(X11,5,2),RIGHT(X11,2))</f>
        <v>#VALUE!</v>
      </c>
      <c r="BJ11" s="610" t="e">
        <f ca="1">IFERROR(DATEVALUE(VLOOKUP(P11,'銀行-TSS'!B:AL,37,FALSE)),VLOOKUP(P11,'銀行-TSS'!B:AL,37,FALSE))</f>
        <v>#N/A</v>
      </c>
      <c r="BK11" s="517" t="e">
        <f ca="1">VLOOKUP(P11,'銀行-TSS'!B:N,13,FALSE)</f>
        <v>#N/A</v>
      </c>
      <c r="BL11" s="621" t="e">
        <f ca="1">VLOOKUP(P11,'銀行-TSS'!B:O,14,FALSE)</f>
        <v>#N/A</v>
      </c>
      <c r="BM11" s="741" t="b">
        <f t="shared" si="2"/>
        <v>0</v>
      </c>
      <c r="BN11" s="55" t="e">
        <f t="shared" ca="1" si="3"/>
        <v>#N/A</v>
      </c>
      <c r="BO11" s="742" t="b">
        <f ca="1">IFERROR(OFFSET(庫存管理[[#This Row],[檢測]],$BJ$5,0),"")</f>
        <v>0</v>
      </c>
      <c r="BP11" s="742"/>
    </row>
    <row r="12" spans="4:68" ht="31" customHeight="1">
      <c r="D12" s="606"/>
      <c r="E12" s="606"/>
      <c r="F12" s="1425" t="s">
        <v>2272</v>
      </c>
      <c r="G12" s="679">
        <v>30</v>
      </c>
      <c r="H12" s="680">
        <f>'1_重設數據'!G2</f>
        <v>32.481000000000002</v>
      </c>
      <c r="I12" s="675"/>
      <c r="J12" s="505"/>
      <c r="N12" s="1049" t="str">
        <f ca="1">IF(OR(P12="",換券單檔!AG7=0),"","★")</f>
        <v/>
      </c>
      <c r="P12" s="1642" t="s">
        <v>4839</v>
      </c>
      <c r="Q12" s="1990" t="str">
        <f ca="1">IF(開關=TRUE,IFERROR(OFFSET(庫存管理_中繼頁!$Q12,$BJ$5,0),""),"")</f>
        <v/>
      </c>
      <c r="R12" s="1990"/>
      <c r="S12" s="1990"/>
      <c r="T12" s="1990"/>
      <c r="U12" s="1990"/>
      <c r="V12" s="2092" t="str">
        <f ca="1">IF(開關=TRUE,OFFSET(庫存管理_中繼頁!V12,$BJ$5,0),"")</f>
        <v/>
      </c>
      <c r="W12" s="2093"/>
      <c r="X12" s="647"/>
      <c r="Y12" s="597"/>
      <c r="Z12" s="648"/>
      <c r="AA12" s="2089" t="str">
        <f ca="1">IF(OR(P12="",X12=""),"",IFERROR(OFFSET(庫存管理_中繼頁!AA12,$BJ$5,0),""))</f>
        <v/>
      </c>
      <c r="AB12" s="2090"/>
      <c r="AC12" s="2090"/>
      <c r="AD12" s="2091"/>
      <c r="AE12" s="2040" t="str">
        <f ca="1">IF(OR(P12="",X12="",開關=FALSE),"",IFERROR(OFFSET(庫存管理_中繼頁!AE12,$BJ$5,0),""))</f>
        <v/>
      </c>
      <c r="AF12" s="2041"/>
      <c r="AG12" s="2041"/>
      <c r="AH12" s="2042"/>
      <c r="AI12" s="2054" t="str">
        <f ca="1">IF(OR(P12="",X12=""),"",IFERROR(OFFSET(庫存管理_中繼頁!AI12,$BJ$5,0),""))</f>
        <v/>
      </c>
      <c r="AJ12" s="2055"/>
      <c r="AK12" s="2055"/>
      <c r="AL12" s="2056"/>
      <c r="AM12" s="2071" t="str">
        <f t="shared" si="0"/>
        <v/>
      </c>
      <c r="AN12" s="2041"/>
      <c r="AO12" s="2041"/>
      <c r="AP12" s="2072"/>
      <c r="AQ12" s="2078" t="str">
        <f ca="1">IF(OR(P12="",X12=""),"",OFFSET(庫存管理_中繼頁!AQ12,$BJ$5,0))</f>
        <v/>
      </c>
      <c r="AR12" s="2076"/>
      <c r="AS12" s="2079"/>
      <c r="AT12" s="2076" t="str">
        <f ca="1">IF(OR(P12="",X12=""),"",IFERROR(OFFSET(庫存管理_中繼頁!AT12,$BJ$5,0),0))</f>
        <v/>
      </c>
      <c r="AU12" s="2076"/>
      <c r="AV12" s="2073">
        <f ca="1">OFFSET(庫存管理_中繼頁!BO12,$BJ$5,0)</f>
        <v>0</v>
      </c>
      <c r="AW12" s="2073"/>
      <c r="AX12" s="2073"/>
      <c r="AY12" s="2076" t="str">
        <f ca="1">IF(OR(P12="",X12=""),"",IFERROR(OFFSET(庫存管理_中繼頁!AY12,$BJ$5,0),""))</f>
        <v/>
      </c>
      <c r="AZ12" s="2077"/>
      <c r="BA12" s="601"/>
      <c r="BB12" s="1784"/>
      <c r="BI12" s="610" t="e">
        <f t="shared" si="1"/>
        <v>#VALUE!</v>
      </c>
      <c r="BJ12" s="610" t="e">
        <f ca="1">IFERROR(DATEVALUE(VLOOKUP(P12,'銀行-TSS'!B:AL,37,FALSE)),VLOOKUP(P12,'銀行-TSS'!B:AL,37,FALSE))</f>
        <v>#N/A</v>
      </c>
      <c r="BK12" s="517" t="e">
        <f ca="1">VLOOKUP(P12,'銀行-TSS'!B:N,13,FALSE)</f>
        <v>#N/A</v>
      </c>
      <c r="BL12" s="621" t="e">
        <f ca="1">VLOOKUP(P12,'銀行-TSS'!B:O,14,FALSE)</f>
        <v>#N/A</v>
      </c>
      <c r="BM12" s="741" t="b">
        <f t="shared" si="2"/>
        <v>0</v>
      </c>
      <c r="BN12" s="55" t="e">
        <f t="shared" ca="1" si="3"/>
        <v>#N/A</v>
      </c>
      <c r="BO12" s="742" t="b">
        <f ca="1">IFERROR(OFFSET(庫存管理[[#This Row],[檢測]],$BJ$5,0),"")</f>
        <v>0</v>
      </c>
      <c r="BP12" s="742"/>
    </row>
    <row r="13" spans="4:68" ht="31" customHeight="1">
      <c r="D13" s="606"/>
      <c r="E13" s="606"/>
      <c r="F13" s="1425" t="s">
        <v>2273</v>
      </c>
      <c r="G13" s="679">
        <v>4.1333000000000002</v>
      </c>
      <c r="H13" s="680">
        <f>'1_重設數據'!G3</f>
        <v>4.4691000000000001</v>
      </c>
      <c r="I13" s="675"/>
      <c r="J13" s="505"/>
      <c r="N13" s="1049" t="str">
        <f ca="1">IF(OR(P13="",換券單檔!AG8=0),"","★")</f>
        <v/>
      </c>
      <c r="P13" s="1642" t="s">
        <v>4839</v>
      </c>
      <c r="Q13" s="1990" t="str">
        <f ca="1">IF(開關=TRUE,IFERROR(OFFSET(庫存管理_中繼頁!$Q13,$BJ$5,0),""),"")</f>
        <v/>
      </c>
      <c r="R13" s="1990"/>
      <c r="S13" s="1990"/>
      <c r="T13" s="1990"/>
      <c r="U13" s="1990"/>
      <c r="V13" s="2092" t="str">
        <f ca="1">IF(開關=TRUE,OFFSET(庫存管理_中繼頁!V13,$BJ$5,0),"")</f>
        <v/>
      </c>
      <c r="W13" s="2093"/>
      <c r="X13" s="647"/>
      <c r="Y13" s="597"/>
      <c r="Z13" s="648"/>
      <c r="AA13" s="2089" t="str">
        <f ca="1">IF(OR(P13="",X13=""),"",IFERROR(OFFSET(庫存管理_中繼頁!AA13,$BJ$5,0),""))</f>
        <v/>
      </c>
      <c r="AB13" s="2090"/>
      <c r="AC13" s="2090"/>
      <c r="AD13" s="2091"/>
      <c r="AE13" s="2040" t="str">
        <f ca="1">IF(OR(P13="",X13="",開關=FALSE),"",IFERROR(OFFSET(庫存管理_中繼頁!AE13,$BJ$5,0),""))</f>
        <v/>
      </c>
      <c r="AF13" s="2041"/>
      <c r="AG13" s="2041"/>
      <c r="AH13" s="2042"/>
      <c r="AI13" s="2054" t="str">
        <f ca="1">IF(OR(P13="",X13=""),"",IFERROR(OFFSET(庫存管理_中繼頁!AI13,$BJ$5,0),""))</f>
        <v/>
      </c>
      <c r="AJ13" s="2055"/>
      <c r="AK13" s="2055"/>
      <c r="AL13" s="2056"/>
      <c r="AM13" s="2071" t="str">
        <f t="shared" si="0"/>
        <v/>
      </c>
      <c r="AN13" s="2041"/>
      <c r="AO13" s="2041"/>
      <c r="AP13" s="2072"/>
      <c r="AQ13" s="2078" t="str">
        <f ca="1">IF(OR(P13="",X13=""),"",OFFSET(庫存管理_中繼頁!AQ13,$BJ$5,0))</f>
        <v/>
      </c>
      <c r="AR13" s="2076"/>
      <c r="AS13" s="2079"/>
      <c r="AT13" s="2076" t="str">
        <f ca="1">IF(OR(P13="",X13=""),"",IFERROR(OFFSET(庫存管理_中繼頁!AT13,$BJ$5,0),0))</f>
        <v/>
      </c>
      <c r="AU13" s="2076"/>
      <c r="AV13" s="2073">
        <f ca="1">OFFSET(庫存管理_中繼頁!BO13,$BJ$5,0)</f>
        <v>0</v>
      </c>
      <c r="AW13" s="2073"/>
      <c r="AX13" s="2073"/>
      <c r="AY13" s="2076" t="str">
        <f ca="1">IF(OR(P13="",X13=""),"",IFERROR(OFFSET(庫存管理_中繼頁!AY13,$BJ$5,0),""))</f>
        <v/>
      </c>
      <c r="AZ13" s="2077"/>
      <c r="BA13" s="601"/>
      <c r="BB13" s="1784"/>
      <c r="BI13" s="610" t="e">
        <f t="shared" si="1"/>
        <v>#VALUE!</v>
      </c>
      <c r="BJ13" s="610" t="e">
        <f ca="1">IFERROR(DATEVALUE(VLOOKUP(P13,'銀行-TSS'!B:AL,37,FALSE)),VLOOKUP(P13,'銀行-TSS'!B:AL,37,FALSE))</f>
        <v>#N/A</v>
      </c>
      <c r="BK13" s="517" t="e">
        <f ca="1">VLOOKUP(P13,'銀行-TSS'!B:N,13,FALSE)</f>
        <v>#N/A</v>
      </c>
      <c r="BL13" s="621" t="e">
        <f ca="1">VLOOKUP(P13,'銀行-TSS'!B:O,14,FALSE)</f>
        <v>#N/A</v>
      </c>
      <c r="BM13" s="741" t="b">
        <f t="shared" si="2"/>
        <v>0</v>
      </c>
      <c r="BN13" s="55" t="e">
        <f t="shared" ca="1" si="3"/>
        <v>#N/A</v>
      </c>
      <c r="BO13" s="742" t="b">
        <f ca="1">IFERROR(OFFSET(庫存管理[[#This Row],[檢測]],$BJ$5,0),"")</f>
        <v>0</v>
      </c>
      <c r="BP13" s="742"/>
    </row>
    <row r="14" spans="4:68" ht="31" customHeight="1">
      <c r="D14" s="606"/>
      <c r="E14" s="606"/>
      <c r="F14" s="1425" t="s">
        <v>2274</v>
      </c>
      <c r="G14" s="679">
        <v>1.6482000000000001</v>
      </c>
      <c r="H14" s="680">
        <f>'1_重設數據'!G4</f>
        <v>1.7963</v>
      </c>
      <c r="I14" s="675"/>
      <c r="J14" s="505"/>
      <c r="N14" s="1049" t="str">
        <f ca="1">IF(OR(P14="",換券單檔!AG9=0),"","★")</f>
        <v/>
      </c>
      <c r="P14" s="1642" t="s">
        <v>4839</v>
      </c>
      <c r="Q14" s="1990" t="str">
        <f ca="1">IF(開關=TRUE,IFERROR(OFFSET(庫存管理_中繼頁!$Q14,$BJ$5,0),""),"")</f>
        <v/>
      </c>
      <c r="R14" s="1990"/>
      <c r="S14" s="1990"/>
      <c r="T14" s="1990"/>
      <c r="U14" s="1990"/>
      <c r="V14" s="2092" t="str">
        <f ca="1">IF(開關=TRUE,OFFSET(庫存管理_中繼頁!V14,$BJ$5,0),"")</f>
        <v/>
      </c>
      <c r="W14" s="2093"/>
      <c r="X14" s="647"/>
      <c r="Y14" s="597"/>
      <c r="Z14" s="648"/>
      <c r="AA14" s="2089" t="str">
        <f ca="1">IF(OR(P14="",X14=""),"",IFERROR(OFFSET(庫存管理_中繼頁!AA14,$BJ$5,0),""))</f>
        <v/>
      </c>
      <c r="AB14" s="2090"/>
      <c r="AC14" s="2090"/>
      <c r="AD14" s="2091"/>
      <c r="AE14" s="2040" t="str">
        <f ca="1">IF(OR(P14="",X14="",開關=FALSE),"",IFERROR(OFFSET(庫存管理_中繼頁!AE14,$BJ$5,0),""))</f>
        <v/>
      </c>
      <c r="AF14" s="2041"/>
      <c r="AG14" s="2041"/>
      <c r="AH14" s="2042"/>
      <c r="AI14" s="2054" t="str">
        <f ca="1">IF(OR(P14="",X14=""),"",IFERROR(OFFSET(庫存管理_中繼頁!AI14,$BJ$5,0),""))</f>
        <v/>
      </c>
      <c r="AJ14" s="2055"/>
      <c r="AK14" s="2055"/>
      <c r="AL14" s="2056"/>
      <c r="AM14" s="2071" t="str">
        <f t="shared" si="0"/>
        <v/>
      </c>
      <c r="AN14" s="2041"/>
      <c r="AO14" s="2041"/>
      <c r="AP14" s="2072"/>
      <c r="AQ14" s="2078" t="str">
        <f ca="1">IF(OR(P14="",X14=""),"",OFFSET(庫存管理_中繼頁!AQ14,$BJ$5,0))</f>
        <v/>
      </c>
      <c r="AR14" s="2076"/>
      <c r="AS14" s="2079"/>
      <c r="AT14" s="2076" t="str">
        <f ca="1">IF(OR(P14="",X14=""),"",IFERROR(OFFSET(庫存管理_中繼頁!AT14,$BJ$5,0),0))</f>
        <v/>
      </c>
      <c r="AU14" s="2076"/>
      <c r="AV14" s="2073">
        <f ca="1">OFFSET(庫存管理_中繼頁!BO14,$BJ$5,0)</f>
        <v>0</v>
      </c>
      <c r="AW14" s="2073"/>
      <c r="AX14" s="2073"/>
      <c r="AY14" s="2076" t="str">
        <f ca="1">IF(OR(P14="",X14=""),"",IFERROR(OFFSET(庫存管理_中繼頁!AY14,$BJ$5,0),""))</f>
        <v/>
      </c>
      <c r="AZ14" s="2077"/>
      <c r="BA14" s="601"/>
      <c r="BB14" s="1784"/>
      <c r="BI14" s="610" t="e">
        <f t="shared" si="1"/>
        <v>#VALUE!</v>
      </c>
      <c r="BJ14" s="610" t="e">
        <f ca="1">IFERROR(DATEVALUE(VLOOKUP(P14,'銀行-TSS'!B:AL,37,FALSE)),VLOOKUP(P14,'銀行-TSS'!B:AL,37,FALSE))</f>
        <v>#N/A</v>
      </c>
      <c r="BK14" s="517" t="e">
        <f ca="1">VLOOKUP(P14,'銀行-TSS'!B:N,13,FALSE)</f>
        <v>#N/A</v>
      </c>
      <c r="BL14" s="621" t="e">
        <f ca="1">VLOOKUP(P14,'銀行-TSS'!B:O,14,FALSE)</f>
        <v>#N/A</v>
      </c>
      <c r="BM14" s="741" t="b">
        <f t="shared" si="2"/>
        <v>0</v>
      </c>
      <c r="BN14" s="55" t="e">
        <f t="shared" ca="1" si="3"/>
        <v>#N/A</v>
      </c>
      <c r="BO14" s="742" t="b">
        <f ca="1">IFERROR(OFFSET(庫存管理[[#This Row],[檢測]],$BJ$5,0),"")</f>
        <v>0</v>
      </c>
      <c r="BP14" s="742"/>
    </row>
    <row r="15" spans="4:68" ht="31" customHeight="1">
      <c r="D15" s="606"/>
      <c r="E15" s="606"/>
      <c r="F15" s="1425" t="s">
        <v>2275</v>
      </c>
      <c r="G15" s="679">
        <v>20.780999999999999</v>
      </c>
      <c r="H15" s="680">
        <f>'1_重設數據'!G5</f>
        <v>21.670999999999999</v>
      </c>
      <c r="I15" s="505"/>
      <c r="J15" s="505"/>
      <c r="N15" s="1049" t="str">
        <f ca="1">IF(OR(P15="",換券單檔!AG10=0),"","★")</f>
        <v/>
      </c>
      <c r="P15" s="1642" t="s">
        <v>4839</v>
      </c>
      <c r="Q15" s="1990" t="str">
        <f ca="1">IF(開關=TRUE,IFERROR(OFFSET(庫存管理_中繼頁!$Q15,$BJ$5,0),""),"")</f>
        <v/>
      </c>
      <c r="R15" s="1990"/>
      <c r="S15" s="1990"/>
      <c r="T15" s="1990"/>
      <c r="U15" s="1990"/>
      <c r="V15" s="2092" t="str">
        <f ca="1">IF(開關=TRUE,OFFSET(庫存管理_中繼頁!V15,$BJ$5,0),"")</f>
        <v/>
      </c>
      <c r="W15" s="2093"/>
      <c r="X15" s="647"/>
      <c r="Y15" s="597"/>
      <c r="Z15" s="648"/>
      <c r="AA15" s="2089" t="str">
        <f ca="1">IF(OR(P15="",X15=""),"",IFERROR(OFFSET(庫存管理_中繼頁!AA15,$BJ$5,0),""))</f>
        <v/>
      </c>
      <c r="AB15" s="2090"/>
      <c r="AC15" s="2090"/>
      <c r="AD15" s="2091"/>
      <c r="AE15" s="2040" t="str">
        <f ca="1">IF(OR(P15="",X15="",開關=FALSE),"",IFERROR(OFFSET(庫存管理_中繼頁!AE15,$BJ$5,0),""))</f>
        <v/>
      </c>
      <c r="AF15" s="2041"/>
      <c r="AG15" s="2041"/>
      <c r="AH15" s="2042"/>
      <c r="AI15" s="2054" t="str">
        <f ca="1">IF(OR(P15="",X15=""),"",IFERROR(OFFSET(庫存管理_中繼頁!AI15,$BJ$5,0),""))</f>
        <v/>
      </c>
      <c r="AJ15" s="2055"/>
      <c r="AK15" s="2055"/>
      <c r="AL15" s="2056"/>
      <c r="AM15" s="2071" t="str">
        <f t="shared" si="0"/>
        <v/>
      </c>
      <c r="AN15" s="2041"/>
      <c r="AO15" s="2041"/>
      <c r="AP15" s="2072"/>
      <c r="AQ15" s="2078" t="str">
        <f ca="1">IF(OR(P15="",X15=""),"",OFFSET(庫存管理_中繼頁!AQ15,$BJ$5,0))</f>
        <v/>
      </c>
      <c r="AR15" s="2076"/>
      <c r="AS15" s="2079"/>
      <c r="AT15" s="2076" t="str">
        <f ca="1">IF(OR(P15="",X15=""),"",IFERROR(OFFSET(庫存管理_中繼頁!AT15,$BJ$5,0),0))</f>
        <v/>
      </c>
      <c r="AU15" s="2076"/>
      <c r="AV15" s="2073">
        <f ca="1">OFFSET(庫存管理_中繼頁!BO15,$BJ$5,0)</f>
        <v>0</v>
      </c>
      <c r="AW15" s="2073"/>
      <c r="AX15" s="2073"/>
      <c r="AY15" s="2076" t="str">
        <f ca="1">IF(OR(P15="",X15=""),"",IFERROR(OFFSET(庫存管理_中繼頁!AY15,$BJ$5,0),""))</f>
        <v/>
      </c>
      <c r="AZ15" s="2077"/>
      <c r="BA15" s="601"/>
      <c r="BB15" s="1784"/>
      <c r="BI15" s="610" t="e">
        <f t="shared" si="1"/>
        <v>#VALUE!</v>
      </c>
      <c r="BJ15" s="610" t="e">
        <f ca="1">IFERROR(DATEVALUE(VLOOKUP(P15,'銀行-TSS'!B:AL,37,FALSE)),VLOOKUP(P15,'銀行-TSS'!B:AL,37,FALSE))</f>
        <v>#N/A</v>
      </c>
      <c r="BK15" s="517" t="e">
        <f ca="1">VLOOKUP(P15,'銀行-TSS'!B:N,13,FALSE)</f>
        <v>#N/A</v>
      </c>
      <c r="BL15" s="621" t="e">
        <f ca="1">VLOOKUP(P15,'銀行-TSS'!B:O,14,FALSE)</f>
        <v>#N/A</v>
      </c>
      <c r="BM15" s="741" t="b">
        <f t="shared" si="2"/>
        <v>0</v>
      </c>
      <c r="BN15" s="55" t="e">
        <f t="shared" ca="1" si="3"/>
        <v>#N/A</v>
      </c>
      <c r="BO15" s="742" t="b">
        <f ca="1">IFERROR(OFFSET(庫存管理[[#This Row],[檢測]],$BJ$5,0),"")</f>
        <v>0</v>
      </c>
      <c r="BP15" s="742"/>
    </row>
    <row r="16" spans="4:68" ht="31" customHeight="1">
      <c r="D16" s="606"/>
      <c r="E16" s="606"/>
      <c r="F16" s="1425" t="s">
        <v>2276</v>
      </c>
      <c r="G16" s="679">
        <v>22.942900000000002</v>
      </c>
      <c r="H16" s="680">
        <f>'1_重設數據'!G6</f>
        <v>23.761500000000002</v>
      </c>
      <c r="I16" s="669"/>
      <c r="J16" s="505"/>
      <c r="N16" s="1049" t="str">
        <f ca="1">IF(OR(P16="",換券單檔!AG11=0),"","★")</f>
        <v/>
      </c>
      <c r="P16" s="1642" t="s">
        <v>4839</v>
      </c>
      <c r="Q16" s="1990" t="str">
        <f ca="1">IF(開關=TRUE,IFERROR(OFFSET(庫存管理_中繼頁!$Q16,$BJ$5,0),""),"")</f>
        <v/>
      </c>
      <c r="R16" s="1990"/>
      <c r="S16" s="1990"/>
      <c r="T16" s="1990"/>
      <c r="U16" s="1990"/>
      <c r="V16" s="2092" t="str">
        <f ca="1">IF(開關=TRUE,OFFSET(庫存管理_中繼頁!V16,$BJ$5,0),"")</f>
        <v/>
      </c>
      <c r="W16" s="2093"/>
      <c r="X16" s="647"/>
      <c r="Y16" s="597"/>
      <c r="Z16" s="648"/>
      <c r="AA16" s="2089" t="str">
        <f ca="1">IF(OR(P16="",X16=""),"",IFERROR(OFFSET(庫存管理_中繼頁!AA16,$BJ$5,0),""))</f>
        <v/>
      </c>
      <c r="AB16" s="2090"/>
      <c r="AC16" s="2090"/>
      <c r="AD16" s="2091"/>
      <c r="AE16" s="2040" t="str">
        <f ca="1">IF(OR(P16="",X16="",開關=FALSE),"",IFERROR(OFFSET(庫存管理_中繼頁!AE16,$BJ$5,0),""))</f>
        <v/>
      </c>
      <c r="AF16" s="2041"/>
      <c r="AG16" s="2041"/>
      <c r="AH16" s="2042"/>
      <c r="AI16" s="2054" t="str">
        <f ca="1">IF(OR(P16="",X16=""),"",IFERROR(OFFSET(庫存管理_中繼頁!AI16,$BJ$5,0),""))</f>
        <v/>
      </c>
      <c r="AJ16" s="2055"/>
      <c r="AK16" s="2055"/>
      <c r="AL16" s="2056"/>
      <c r="AM16" s="2071" t="str">
        <f t="shared" si="0"/>
        <v/>
      </c>
      <c r="AN16" s="2041"/>
      <c r="AO16" s="2041"/>
      <c r="AP16" s="2072"/>
      <c r="AQ16" s="2078" t="str">
        <f ca="1">IF(OR(P16="",X16=""),"",OFFSET(庫存管理_中繼頁!AQ16,$BJ$5,0))</f>
        <v/>
      </c>
      <c r="AR16" s="2076"/>
      <c r="AS16" s="2079"/>
      <c r="AT16" s="2076" t="str">
        <f ca="1">IF(OR(P16="",X16=""),"",IFERROR(OFFSET(庫存管理_中繼頁!AT16,$BJ$5,0),0))</f>
        <v/>
      </c>
      <c r="AU16" s="2076"/>
      <c r="AV16" s="2073">
        <f ca="1">OFFSET(庫存管理_中繼頁!BO16,$BJ$5,0)</f>
        <v>0</v>
      </c>
      <c r="AW16" s="2073"/>
      <c r="AX16" s="2073"/>
      <c r="AY16" s="2076" t="str">
        <f ca="1">IF(OR(P16="",X16=""),"",IFERROR(OFFSET(庫存管理_中繼頁!AY16,$BJ$5,0),""))</f>
        <v/>
      </c>
      <c r="AZ16" s="2077"/>
      <c r="BA16" s="601"/>
      <c r="BB16" s="1784"/>
      <c r="BI16" s="610" t="e">
        <f t="shared" si="1"/>
        <v>#VALUE!</v>
      </c>
      <c r="BJ16" s="610" t="e">
        <f ca="1">IFERROR(DATEVALUE(VLOOKUP(P16,'銀行-TSS'!B:AL,37,FALSE)),VLOOKUP(P16,'銀行-TSS'!B:AL,37,FALSE))</f>
        <v>#N/A</v>
      </c>
      <c r="BK16" s="517" t="e">
        <f ca="1">VLOOKUP(P16,'銀行-TSS'!B:N,13,FALSE)</f>
        <v>#N/A</v>
      </c>
      <c r="BL16" s="621" t="e">
        <f ca="1">VLOOKUP(P16,'銀行-TSS'!B:O,14,FALSE)</f>
        <v>#N/A</v>
      </c>
      <c r="BM16" s="741" t="b">
        <f t="shared" si="2"/>
        <v>0</v>
      </c>
      <c r="BN16" s="55" t="e">
        <f t="shared" ca="1" si="3"/>
        <v>#N/A</v>
      </c>
      <c r="BO16" s="742" t="b">
        <f ca="1">IFERROR(OFFSET(庫存管理[[#This Row],[檢測]],$BJ$5,0),"")</f>
        <v>0</v>
      </c>
      <c r="BP16" s="742"/>
    </row>
    <row r="17" spans="4:70" ht="31" customHeight="1">
      <c r="D17" s="606"/>
      <c r="E17" s="606"/>
      <c r="F17" s="1425" t="s">
        <v>2277</v>
      </c>
      <c r="G17" s="679">
        <v>19.486899999999999</v>
      </c>
      <c r="H17" s="680">
        <f>'1_重設數據'!G7</f>
        <v>19.813199999999998</v>
      </c>
      <c r="I17" s="669"/>
      <c r="J17" s="505"/>
      <c r="N17" s="1049" t="str">
        <f ca="1">IF(OR(P17="",換券單檔!AG12=0),"","★")</f>
        <v/>
      </c>
      <c r="P17" s="1642" t="s">
        <v>4839</v>
      </c>
      <c r="Q17" s="1990" t="str">
        <f ca="1">IF(開關=TRUE,IFERROR(OFFSET(庫存管理_中繼頁!$Q17,$BJ$5,0),""),"")</f>
        <v/>
      </c>
      <c r="R17" s="1990"/>
      <c r="S17" s="1990"/>
      <c r="T17" s="1990"/>
      <c r="U17" s="1990"/>
      <c r="V17" s="2092" t="str">
        <f ca="1">IF(開關=TRUE,OFFSET(庫存管理_中繼頁!V17,$BJ$5,0),"")</f>
        <v/>
      </c>
      <c r="W17" s="2093"/>
      <c r="X17" s="647"/>
      <c r="Y17" s="597"/>
      <c r="Z17" s="648"/>
      <c r="AA17" s="2089" t="str">
        <f ca="1">IF(OR(P17="",X17=""),"",IFERROR(OFFSET(庫存管理_中繼頁!AA17,$BJ$5,0),""))</f>
        <v/>
      </c>
      <c r="AB17" s="2090"/>
      <c r="AC17" s="2090"/>
      <c r="AD17" s="2091"/>
      <c r="AE17" s="2040" t="str">
        <f ca="1">IF(OR(P17="",X17="",開關=FALSE),"",IFERROR(OFFSET(庫存管理_中繼頁!AE17,$BJ$5,0),""))</f>
        <v/>
      </c>
      <c r="AF17" s="2041"/>
      <c r="AG17" s="2041"/>
      <c r="AH17" s="2042"/>
      <c r="AI17" s="2054" t="str">
        <f ca="1">IF(OR(P17="",X17=""),"",IFERROR(OFFSET(庫存管理_中繼頁!AI17,$BJ$5,0),""))</f>
        <v/>
      </c>
      <c r="AJ17" s="2055"/>
      <c r="AK17" s="2055"/>
      <c r="AL17" s="2056"/>
      <c r="AM17" s="2071" t="str">
        <f t="shared" si="0"/>
        <v/>
      </c>
      <c r="AN17" s="2041"/>
      <c r="AO17" s="2041"/>
      <c r="AP17" s="2072"/>
      <c r="AQ17" s="2078" t="str">
        <f ca="1">IF(OR(P17="",X17=""),"",OFFSET(庫存管理_中繼頁!AQ17,$BJ$5,0))</f>
        <v/>
      </c>
      <c r="AR17" s="2076"/>
      <c r="AS17" s="2079"/>
      <c r="AT17" s="2076" t="str">
        <f ca="1">IF(OR(P17="",X17=""),"",IFERROR(OFFSET(庫存管理_中繼頁!AT17,$BJ$5,0),0))</f>
        <v/>
      </c>
      <c r="AU17" s="2076"/>
      <c r="AV17" s="2073">
        <f ca="1">OFFSET(庫存管理_中繼頁!BO17,$BJ$5,0)</f>
        <v>0</v>
      </c>
      <c r="AW17" s="2073"/>
      <c r="AX17" s="2073"/>
      <c r="AY17" s="2076" t="str">
        <f ca="1">IF(OR(P17="",X17=""),"",IFERROR(OFFSET(庫存管理_中繼頁!AY17,$BJ$5,0),""))</f>
        <v/>
      </c>
      <c r="AZ17" s="2077"/>
      <c r="BA17" s="601"/>
      <c r="BB17" s="1784"/>
      <c r="BI17" s="610" t="e">
        <f t="shared" si="1"/>
        <v>#VALUE!</v>
      </c>
      <c r="BJ17" s="610" t="e">
        <f ca="1">IFERROR(DATEVALUE(VLOOKUP(P17,'銀行-TSS'!B:AL,37,FALSE)),VLOOKUP(P17,'銀行-TSS'!B:AL,37,FALSE))</f>
        <v>#N/A</v>
      </c>
      <c r="BK17" s="517" t="e">
        <f ca="1">VLOOKUP(P17,'銀行-TSS'!B:N,13,FALSE)</f>
        <v>#N/A</v>
      </c>
      <c r="BL17" s="621" t="e">
        <f ca="1">VLOOKUP(P17,'銀行-TSS'!B:O,14,FALSE)</f>
        <v>#N/A</v>
      </c>
      <c r="BM17" s="741" t="b">
        <f t="shared" si="2"/>
        <v>0</v>
      </c>
      <c r="BN17" s="55" t="e">
        <f t="shared" ca="1" si="3"/>
        <v>#N/A</v>
      </c>
      <c r="BO17" s="742" t="b">
        <f ca="1">IFERROR(OFFSET(庫存管理[[#This Row],[檢測]],$BJ$5,0),"")</f>
        <v>0</v>
      </c>
      <c r="BP17" s="742"/>
      <c r="BQ17" s="1717"/>
    </row>
    <row r="18" spans="4:70" ht="31" customHeight="1" thickBot="1">
      <c r="D18" s="606"/>
      <c r="E18" s="606"/>
      <c r="F18" s="1426" t="s">
        <v>2278</v>
      </c>
      <c r="G18" s="681">
        <v>33.7042</v>
      </c>
      <c r="H18" s="682">
        <f>'1_重設數據'!G8</f>
        <v>34.927900000000001</v>
      </c>
      <c r="I18" s="669"/>
      <c r="J18" s="505"/>
      <c r="N18" s="1049" t="str">
        <f ca="1">IF(OR(P18="",換券單檔!AG13=0),"","★")</f>
        <v/>
      </c>
      <c r="P18" s="1642" t="s">
        <v>4839</v>
      </c>
      <c r="Q18" s="2067" t="str">
        <f ca="1">IF(開關=TRUE,IFERROR(OFFSET(庫存管理_中繼頁!$Q18,$BJ$5,0),""),"")</f>
        <v/>
      </c>
      <c r="R18" s="2067"/>
      <c r="S18" s="2067"/>
      <c r="T18" s="2067"/>
      <c r="U18" s="2067"/>
      <c r="V18" s="2092" t="str">
        <f ca="1">IF(開關=TRUE,OFFSET(庫存管理_中繼頁!V18,$BJ$5,0),"")</f>
        <v/>
      </c>
      <c r="W18" s="2093"/>
      <c r="X18" s="647"/>
      <c r="Y18" s="597"/>
      <c r="Z18" s="648"/>
      <c r="AA18" s="2089" t="str">
        <f ca="1">IF(OR(P18="",X18=""),"",IFERROR(OFFSET(庫存管理_中繼頁!AA18,$BJ$5,0),""))</f>
        <v/>
      </c>
      <c r="AB18" s="2090"/>
      <c r="AC18" s="2090"/>
      <c r="AD18" s="2091"/>
      <c r="AE18" s="2040" t="str">
        <f ca="1">IF(OR(P18="",X18="",開關=FALSE),"",IFERROR(OFFSET(庫存管理_中繼頁!AE18,$BJ$5,0),""))</f>
        <v/>
      </c>
      <c r="AF18" s="2041"/>
      <c r="AG18" s="2041"/>
      <c r="AH18" s="2042"/>
      <c r="AI18" s="2054" t="str">
        <f ca="1">IF(OR(P18="",X18=""),"",IFERROR(OFFSET(庫存管理_中繼頁!AI18,$BJ$5,0),""))</f>
        <v/>
      </c>
      <c r="AJ18" s="2055"/>
      <c r="AK18" s="2055"/>
      <c r="AL18" s="2056"/>
      <c r="AM18" s="2071" t="str">
        <f t="shared" si="0"/>
        <v/>
      </c>
      <c r="AN18" s="2041"/>
      <c r="AO18" s="2041"/>
      <c r="AP18" s="2072"/>
      <c r="AQ18" s="2078" t="str">
        <f ca="1">IF(OR(P18="",X18=""),"",OFFSET(庫存管理_中繼頁!AQ18,$BJ$5,0))</f>
        <v/>
      </c>
      <c r="AR18" s="2076"/>
      <c r="AS18" s="2079"/>
      <c r="AT18" s="2076" t="str">
        <f ca="1">IF(OR(P18="",X18=""),"",IFERROR(OFFSET(庫存管理_中繼頁!AT18,$BJ$5,0),0))</f>
        <v/>
      </c>
      <c r="AU18" s="2076"/>
      <c r="AV18" s="2073">
        <f ca="1">OFFSET(庫存管理_中繼頁!BO18,$BJ$5,0)</f>
        <v>0</v>
      </c>
      <c r="AW18" s="2073"/>
      <c r="AX18" s="2073"/>
      <c r="AY18" s="2076" t="str">
        <f ca="1">IF(OR(P18="",X18=""),"",IFERROR(OFFSET(庫存管理_中繼頁!AY18,$BJ$5,0),""))</f>
        <v/>
      </c>
      <c r="AZ18" s="2077"/>
      <c r="BA18" s="601"/>
      <c r="BB18" s="1784"/>
      <c r="BI18" s="610" t="e">
        <f t="shared" si="1"/>
        <v>#VALUE!</v>
      </c>
      <c r="BJ18" s="610" t="e">
        <f ca="1">IFERROR(DATEVALUE(VLOOKUP(P18,'銀行-TSS'!B:AL,37,FALSE)),VLOOKUP(P18,'銀行-TSS'!B:AL,37,FALSE))</f>
        <v>#N/A</v>
      </c>
      <c r="BK18" s="517" t="e">
        <f ca="1">VLOOKUP(P18,'銀行-TSS'!B:N,13,FALSE)</f>
        <v>#N/A</v>
      </c>
      <c r="BL18" s="621" t="e">
        <f ca="1">VLOOKUP(P18,'銀行-TSS'!B:O,14,FALSE)</f>
        <v>#N/A</v>
      </c>
      <c r="BM18" s="741" t="b">
        <f t="shared" si="2"/>
        <v>0</v>
      </c>
      <c r="BN18" s="55" t="e">
        <f t="shared" ca="1" si="3"/>
        <v>#N/A</v>
      </c>
      <c r="BO18" s="742" t="b">
        <f ca="1">IFERROR(OFFSET(庫存管理[[#This Row],[檢測]],$BJ$5,0),"")</f>
        <v>0</v>
      </c>
      <c r="BP18" s="742"/>
    </row>
    <row r="19" spans="4:70" s="517" customFormat="1" ht="31.5" customHeight="1" thickTop="1">
      <c r="D19" s="607"/>
      <c r="E19" s="607"/>
      <c r="F19" s="670"/>
      <c r="G19" s="670"/>
      <c r="H19" s="670"/>
      <c r="I19" s="670"/>
      <c r="J19" s="607"/>
      <c r="P19" s="1768"/>
      <c r="Q19" s="2225" t="str">
        <f>IF(V22="小計",CONCATENATE("投資組合-(第"&amp;'商品代碼-中繼頁'!A16&amp;"頁小計)"),CONCATENATE("投資組合-總計(共"&amp;'Tssco-bond portfolio(2)'!I1,"筆)"))</f>
        <v>投資組合-(第1頁小計)</v>
      </c>
      <c r="R19" s="2225"/>
      <c r="S19" s="2225"/>
      <c r="T19" s="2225"/>
      <c r="U19" s="2225"/>
      <c r="V19" s="2074" t="str">
        <f ca="1">IFERROR(IF('Tssco-bond portfolio(2)'!BQ1&gt;1,"TWD",IF(績效圖!A1=1,"TWD",'Tssco-bond portfolio(2)'!BR2)),"")</f>
        <v>USD</v>
      </c>
      <c r="W19" s="2075"/>
      <c r="X19" s="692"/>
      <c r="Y19" s="695">
        <f ca="1">IF(V22="小計",Y22,IFERROR(IF(V19&lt;&gt;"TWD",TEXT('Tssco-bond portfolio(2)'!W1,"#,##0"),TEXT('Tssco-bond portfolio(2)'!BU1,"#,##0")),""))</f>
        <v>400000</v>
      </c>
      <c r="Z19" s="694" t="str">
        <f ca="1">IF(V22="小計",Z22,IFERROR(IF($V$19&lt;&gt;"TWD",TEXT('Tssco-bond portfolio(2)'!X1,"#,##0.00"),TEXT('Tssco-bond portfolio(2)'!BV1,"#,##0")),""))</f>
        <v>332,000.00</v>
      </c>
      <c r="AA19" s="2142" t="str">
        <f ca="1">IF(V22="小計",AA22,IFERROR(IF(V19&lt;&gt;"TWD",TEXT('Tssco-bond portfolio(2)'!Z1,"#,##0.00"),TEXT('Tssco-bond portfolio(2)'!BX1,"#,##0")),""))</f>
        <v>333,483.10</v>
      </c>
      <c r="AB19" s="2143"/>
      <c r="AC19" s="2143"/>
      <c r="AD19" s="2144"/>
      <c r="AE19" s="2148" t="str">
        <f ca="1">IF(V22="小計",AE22,IFERROR(IF(V19&lt;&gt;"TWD",IF(MF=2,TEXT('Tssco-bond portfolio(2)'!AT1,"#,##0.00"),TEXT('Tssco-bond portfolio(2)'!CO1,"#,##0.00")),TEXT('Tssco-bond portfolio(2)'!BZ1,"#,##0")),""))</f>
        <v>8,212.50</v>
      </c>
      <c r="AF19" s="2149"/>
      <c r="AG19" s="2149"/>
      <c r="AH19" s="2150"/>
      <c r="AI19" s="2151" t="str">
        <f ca="1">IF(V22="小計",AI22,IFERROR(IF(V19&lt;&gt;"TWD",TEXT('Tssco-bond portfolio(2)'!AB1,"#,##0.00"),AA19-Z19),""))</f>
        <v>1,483.10</v>
      </c>
      <c r="AJ19" s="2149"/>
      <c r="AK19" s="2149"/>
      <c r="AL19" s="2150"/>
      <c r="AM19" s="2151" t="str">
        <f ca="1">IF(V22="小計",AM22,IFERROR(IF(V19&lt;&gt;"TWD",TEXT('Tssco-bond portfolio(2)'!AV1,"#,##0.00"),AE19+AI19),""))</f>
        <v>9,695.60</v>
      </c>
      <c r="AN19" s="2149"/>
      <c r="AO19" s="2149"/>
      <c r="AP19" s="2152"/>
      <c r="AQ19" s="2080">
        <f ca="1">IF(V22="小計",AQ22,IF(V19&lt;&gt;"TWD",'Tssco-bond portfolio(2)'!AW1,'Tssco-bond portfolio(2)'!CF1))</f>
        <v>2.9203614457831328E-2</v>
      </c>
      <c r="AR19" s="2081"/>
      <c r="AS19" s="2082"/>
      <c r="AT19" s="696"/>
      <c r="AU19" s="696"/>
      <c r="AV19" s="696"/>
      <c r="AW19" s="690"/>
      <c r="AX19" s="690"/>
      <c r="AY19" s="690"/>
      <c r="AZ19" s="690"/>
      <c r="BC19" s="1720"/>
      <c r="BM19" s="750"/>
    </row>
    <row r="20" spans="4:70" ht="12.25" customHeight="1">
      <c r="D20" s="505"/>
      <c r="E20" s="505"/>
      <c r="F20" s="505"/>
      <c r="G20" s="505"/>
      <c r="H20" s="505"/>
      <c r="I20" s="505"/>
      <c r="J20" s="505"/>
      <c r="AJ20" s="508"/>
      <c r="AK20" s="508"/>
      <c r="AL20" s="508"/>
      <c r="AM20" s="508"/>
      <c r="AN20" s="506"/>
      <c r="AO20" s="506"/>
      <c r="AP20" s="506"/>
      <c r="AQ20" s="2068"/>
      <c r="AR20" s="2068"/>
      <c r="AS20" s="2068"/>
      <c r="AT20" s="2068"/>
      <c r="AU20" s="2069"/>
      <c r="AV20" s="2069"/>
      <c r="AW20" s="2069"/>
      <c r="AX20" s="2069"/>
      <c r="AY20" s="2069"/>
      <c r="AZ20" s="2069"/>
      <c r="BJ20" s="55" ph="1"/>
      <c r="BK20" s="55" ph="1"/>
      <c r="BL20" s="55" ph="1"/>
      <c r="BM20" s="744" ph="1"/>
      <c r="BN20" s="55" ph="1"/>
      <c r="BO20" s="55" ph="1"/>
    </row>
    <row r="21" spans="4:70" ht="28.5" hidden="1" customHeight="1">
      <c r="D21" s="505"/>
      <c r="E21" s="505"/>
      <c r="F21" s="505"/>
      <c r="G21" s="505"/>
      <c r="H21" s="505"/>
      <c r="I21" s="505"/>
      <c r="J21" s="505"/>
      <c r="P21" s="505"/>
      <c r="Q21" s="505"/>
      <c r="R21" s="505"/>
      <c r="S21" s="505"/>
      <c r="T21" s="505"/>
      <c r="U21" s="505"/>
      <c r="V21" s="505"/>
      <c r="W21" s="505"/>
      <c r="X21" s="505"/>
      <c r="Y21" s="505"/>
      <c r="Z21" s="505"/>
      <c r="AA21" s="505"/>
      <c r="AB21" s="505"/>
      <c r="AC21" s="505"/>
      <c r="AD21" s="505"/>
      <c r="AE21" s="505"/>
      <c r="AF21" s="505"/>
      <c r="AG21" s="505"/>
      <c r="AH21" s="505"/>
      <c r="AI21" s="505"/>
      <c r="AJ21" s="507"/>
      <c r="AK21" s="507"/>
      <c r="AL21" s="507"/>
      <c r="AM21" s="507"/>
      <c r="AN21" s="645"/>
      <c r="AO21" s="645"/>
      <c r="AP21" s="645"/>
      <c r="AQ21" s="645"/>
      <c r="AR21" s="645"/>
      <c r="AS21" s="645"/>
      <c r="AT21" s="645"/>
      <c r="BC21" s="1718"/>
      <c r="BJ21" s="55" ph="1"/>
      <c r="BK21" s="55" ph="1"/>
      <c r="BL21" s="55" ph="1"/>
      <c r="BM21" s="744" ph="1"/>
      <c r="BN21" s="55" ph="1"/>
      <c r="BO21" s="55" ph="1"/>
    </row>
    <row r="22" spans="4:70" ht="28.5" hidden="1" customHeight="1">
      <c r="D22" s="505"/>
      <c r="E22" s="505"/>
      <c r="F22" s="505"/>
      <c r="G22" s="505"/>
      <c r="H22" s="505"/>
      <c r="I22" s="505"/>
      <c r="J22" s="505"/>
      <c r="T22" s="55" t="s">
        <v>4463</v>
      </c>
      <c r="V22" s="2226" t="s">
        <v>4484</v>
      </c>
      <c r="W22" s="2226"/>
      <c r="Y22" s="1719">
        <f ca="1">IF(V19&lt;&gt;"TWD",SUMIFS(Y7:Y18,BO7:BO18,TRUE),TEXT(績效圖!Q2,"#,##0"))</f>
        <v>400000</v>
      </c>
      <c r="Z22" s="1045" t="str">
        <f ca="1">IF(V19&lt;&gt;"TWD",TEXT(SUMIFS(Z7:Z18,BO7:BO18,TRUE),"#,##0.00"),TEXT(績效圖!Q3,"#,##0"))</f>
        <v>332,000.00</v>
      </c>
      <c r="AA22" s="2084" t="str">
        <f ca="1">IF($V$19&lt;&gt;"TWD",TEXT(SUM(AA7:AD18),"#,##0.00"),TEXT(績效圖!Q4,"#,##0"))</f>
        <v>333,483.10</v>
      </c>
      <c r="AB22" s="2084"/>
      <c r="AC22" s="2084"/>
      <c r="AD22" s="2084"/>
      <c r="AE22" s="2084" t="str">
        <f ca="1">IF(V19&lt;&gt;"TWD",TEXT(SUM(AE7:AH18),"#,##0.00"),TEXT(績效圖!Q5,"#,##0"))</f>
        <v>8,212.50</v>
      </c>
      <c r="AF22" s="2084"/>
      <c r="AG22" s="2084"/>
      <c r="AH22" s="2084"/>
      <c r="AI22" s="2085" t="str">
        <f ca="1">IF(V19&lt;&gt;"TWD",TEXT(SUM(AI7:AL18),"#,##0.00"),AA22-Z22)</f>
        <v>1,483.10</v>
      </c>
      <c r="AJ22" s="2085"/>
      <c r="AK22" s="2085"/>
      <c r="AL22" s="2085"/>
      <c r="AM22" s="2086" t="str">
        <f ca="1">IF(V19&lt;&gt;"TWD",TEXT(SUM(AM7:AP18),"#,##0.00"),AE22+AI22)</f>
        <v>9,695.60</v>
      </c>
      <c r="AN22" s="2086"/>
      <c r="AO22" s="2086"/>
      <c r="AP22" s="2086"/>
      <c r="AQ22" s="2224">
        <f ca="1">IFERROR(AM22/Z22,0)</f>
        <v>2.9203614457831328E-2</v>
      </c>
      <c r="AR22" s="2224"/>
      <c r="AS22" s="2224"/>
      <c r="BJ22" s="55" ph="1"/>
      <c r="BK22" s="55" ph="1"/>
      <c r="BL22" s="55" ph="1"/>
      <c r="BM22" s="744" ph="1"/>
      <c r="BN22" s="55" ph="1"/>
      <c r="BO22" s="55" ph="1"/>
    </row>
    <row r="23" spans="4:70" ht="35.25" customHeight="1">
      <c r="D23" s="505"/>
      <c r="E23" s="505"/>
      <c r="F23" s="505"/>
      <c r="G23" s="505"/>
      <c r="H23" s="505"/>
      <c r="I23" s="505"/>
      <c r="J23" s="505"/>
      <c r="AJ23" s="508"/>
      <c r="AK23" s="508"/>
      <c r="AL23" s="508"/>
      <c r="AM23" s="508"/>
      <c r="AN23" s="506"/>
      <c r="AO23" s="506"/>
      <c r="AP23" s="506"/>
      <c r="BJ23" s="55" ph="1"/>
      <c r="BK23" s="55" ph="1"/>
      <c r="BL23" s="55" ph="1"/>
      <c r="BM23" s="744" ph="1"/>
      <c r="BN23" s="55" ph="1"/>
      <c r="BO23" s="55" ph="1"/>
    </row>
    <row r="24" spans="4:70" ht="33" customHeight="1" thickBot="1">
      <c r="D24" s="645"/>
      <c r="E24" s="2070"/>
      <c r="F24" s="2070"/>
      <c r="G24" s="2066"/>
      <c r="H24" s="2066"/>
      <c r="I24" s="2066"/>
      <c r="J24" s="670"/>
      <c r="P24" s="721"/>
      <c r="Q24" s="2083" t="str">
        <f ca="1">IF('商品代碼-中繼頁'!C16=0,"報酬率",IFERROR(CHOOSE(績效圖!A2,"價格報酬率(%)","利息報酬率(%)","綜合報酬率(%)",0,CONCATENATE("含息總報酬率("&amp;V19&amp;")%"),"綜合報酬率(%)","綜合報酬率(%)","綜合報酬率(%)","匯率報酬率(%)",0,"綜合報酬率(%)","綜合報酬率(%)",0,"綜合報酬率(%)",0,"綜合報酬率(%)","綜合報酬率(%)"),""))</f>
        <v>含息總報酬率(USD)%</v>
      </c>
      <c r="R24" s="2083"/>
      <c r="S24" s="2083"/>
      <c r="T24" s="2083"/>
      <c r="U24" s="2083"/>
      <c r="V24" s="721"/>
      <c r="W24" s="721"/>
      <c r="X24" s="721"/>
      <c r="Y24" s="2083" t="str">
        <f ca="1">IF('商品代碼-中繼頁'!C16=0,"配息現金流",IFERROR(IF('Tssco-bond portfolio(2)'!C16=1,"配息現金流(TWD)",CONCATENATE("配息現金流(",'Tssco-bond portfolio(2)'!BR2,")")),""))</f>
        <v>配息現金流(USD)</v>
      </c>
      <c r="Z24" s="2083"/>
      <c r="AA24" s="2083"/>
      <c r="AB24" s="2083"/>
      <c r="AC24" s="2083"/>
      <c r="AD24" s="2083"/>
      <c r="AE24" s="2083"/>
      <c r="AF24" s="2083"/>
      <c r="AG24" s="2083"/>
      <c r="AH24" s="2083"/>
      <c r="AI24" s="2083"/>
      <c r="AJ24" s="2083"/>
      <c r="AK24" s="2083"/>
      <c r="AL24" s="2083"/>
      <c r="AM24" s="2083"/>
      <c r="AN24" s="721"/>
      <c r="AO24" s="721"/>
      <c r="AP24" s="721"/>
      <c r="AQ24" s="2155" t="s">
        <v>4278</v>
      </c>
      <c r="AR24" s="2156"/>
      <c r="AS24" s="2156"/>
      <c r="AT24" s="2156"/>
      <c r="AU24" s="2157"/>
      <c r="AV24" s="2153" t="str">
        <f ca="1">IFERROR(IF(V19="TWD","台幣(TWD)",INDEX('2_Check_code'!J3:J9,MATCH(V19,'2_Check_code'!I3:I9,0),0)),"")</f>
        <v>美元(USD)</v>
      </c>
      <c r="AW24" s="2154"/>
      <c r="AX24" s="2154"/>
      <c r="AY24" s="2154"/>
      <c r="AZ24" s="2154"/>
      <c r="BA24" s="506"/>
      <c r="BI24" s="678"/>
      <c r="BJ24" s="678"/>
      <c r="BK24" s="55" ph="1"/>
      <c r="BL24" s="55" ph="1"/>
      <c r="BM24" s="744" ph="1"/>
      <c r="BN24" s="55" ph="1"/>
      <c r="BO24" s="55" ph="1"/>
    </row>
    <row r="25" spans="4:70" ht="15.75" customHeight="1">
      <c r="D25" s="645"/>
      <c r="E25" s="645"/>
      <c r="F25" s="505"/>
      <c r="G25" s="677"/>
      <c r="H25" s="670"/>
      <c r="I25" s="670"/>
      <c r="J25" s="670"/>
      <c r="P25" s="727"/>
      <c r="Q25" s="727"/>
      <c r="R25" s="727"/>
      <c r="S25" s="727"/>
      <c r="T25" s="665"/>
      <c r="U25" s="665"/>
      <c r="V25" s="662"/>
      <c r="W25" s="662"/>
      <c r="X25" s="662"/>
      <c r="Y25" s="661"/>
      <c r="Z25" s="1677"/>
      <c r="AA25" s="1677"/>
      <c r="AB25" s="1677"/>
      <c r="AC25" s="1677"/>
      <c r="AD25" s="1677"/>
      <c r="AE25" s="1677"/>
      <c r="AF25" s="1677"/>
      <c r="AG25" s="1677"/>
      <c r="AH25" s="1677"/>
      <c r="AI25" s="1677"/>
      <c r="AJ25" s="1677"/>
      <c r="AK25" s="1677"/>
      <c r="AL25" s="1677"/>
      <c r="AM25" s="1677"/>
      <c r="AN25" s="1677"/>
      <c r="AO25" s="1677"/>
      <c r="AP25" s="1677"/>
      <c r="AQ25" s="1677"/>
      <c r="AR25" s="1106"/>
      <c r="AS25" s="1106"/>
      <c r="AT25" s="590"/>
      <c r="BA25" s="506"/>
      <c r="BI25" s="678"/>
      <c r="BJ25" s="678"/>
      <c r="BK25" s="55" ph="1"/>
      <c r="BL25" s="55" ph="1"/>
      <c r="BM25" s="55" ph="1"/>
      <c r="BN25" s="55" ph="1"/>
      <c r="BO25" s="55" ph="1"/>
    </row>
    <row r="26" spans="4:70" ht="45" customHeight="1">
      <c r="D26" s="505"/>
      <c r="E26" s="505"/>
      <c r="F26" s="505"/>
      <c r="G26" s="671"/>
      <c r="H26" s="670"/>
      <c r="I26" s="670"/>
      <c r="J26" s="670"/>
      <c r="AQ26" s="2227" t="s">
        <v>2102</v>
      </c>
      <c r="AR26" s="2227"/>
      <c r="AS26" s="2227"/>
      <c r="AT26" s="2227"/>
      <c r="AU26" s="2227"/>
      <c r="AV26" s="2227"/>
      <c r="AW26" s="2227"/>
      <c r="AX26" s="2227"/>
      <c r="AY26" s="2227"/>
      <c r="AZ26" s="2227"/>
      <c r="BI26" s="745" ph="1"/>
      <c r="BJ26" s="55" ph="1"/>
      <c r="BK26" s="55" ph="1"/>
      <c r="BL26" s="55" ph="1"/>
      <c r="BM26" s="749" ph="1"/>
      <c r="BN26" s="55" ph="1"/>
    </row>
    <row r="27" spans="4:70" ht="45" customHeight="1">
      <c r="D27" s="505"/>
      <c r="E27" s="505"/>
      <c r="F27" s="672"/>
      <c r="G27" s="672"/>
      <c r="H27" s="505"/>
      <c r="I27" s="505"/>
      <c r="J27" s="505"/>
      <c r="U27" s="728"/>
      <c r="V27" s="728"/>
      <c r="W27" s="728"/>
      <c r="X27" s="512"/>
      <c r="Y27" s="513"/>
      <c r="Z27" s="478"/>
      <c r="AJ27" s="729"/>
      <c r="AK27" s="729"/>
      <c r="AL27" s="729"/>
      <c r="AM27" s="729"/>
      <c r="AN27" s="519"/>
      <c r="AO27" s="519"/>
      <c r="AP27" s="519"/>
      <c r="AQ27" s="2218" t="s">
        <v>2103</v>
      </c>
      <c r="AR27" s="2218"/>
      <c r="AS27" s="2218"/>
      <c r="AT27" s="2218"/>
      <c r="AU27" s="2218"/>
      <c r="AV27" s="2228" t="str">
        <f ca="1">IF('商品代碼-中繼頁'!$C$16=0,"",CONCATENATE(ROUND('Tssco-bond portfolio(2)'!M1,2),"年"))</f>
        <v>29.88年</v>
      </c>
      <c r="AW27" s="2228"/>
      <c r="AX27" s="2228"/>
      <c r="AY27" s="2228"/>
      <c r="AZ27" s="2228"/>
      <c r="BI27" s="745" ph="1"/>
      <c r="BJ27" s="55" ph="1"/>
      <c r="BK27" s="55" ph="1"/>
      <c r="BL27" s="55" ph="1"/>
      <c r="BM27" s="744" ph="1"/>
      <c r="BN27" s="742" ph="1"/>
      <c r="BO27" s="55" ph="1"/>
      <c r="BP27" s="55" ph="1"/>
      <c r="BR27" s="55" ph="1"/>
    </row>
    <row r="28" spans="4:70" ht="45" customHeight="1">
      <c r="D28" s="505"/>
      <c r="E28" s="505"/>
      <c r="F28" s="505"/>
      <c r="G28" s="505"/>
      <c r="H28" s="505"/>
      <c r="I28" s="505"/>
      <c r="J28" s="505"/>
      <c r="U28" s="730"/>
      <c r="V28" s="729"/>
      <c r="W28" s="729"/>
      <c r="X28" s="2135"/>
      <c r="Y28" s="1902"/>
      <c r="Z28" s="636"/>
      <c r="AJ28" s="731"/>
      <c r="AK28" s="731"/>
      <c r="AL28" s="731"/>
      <c r="AM28" s="731"/>
      <c r="AN28" s="522"/>
      <c r="AO28" s="522"/>
      <c r="AP28" s="522"/>
      <c r="AQ28" s="2219" t="s">
        <v>2104</v>
      </c>
      <c r="AR28" s="2219"/>
      <c r="AS28" s="2219"/>
      <c r="AT28" s="2219"/>
      <c r="AU28" s="2219"/>
      <c r="AV28" s="2229">
        <f ca="1">IF('商品代碼-中繼頁'!$C$16=0,"",'Tssco-bond portfolio(2)'!O1)</f>
        <v>4.296385542168675E-2</v>
      </c>
      <c r="AW28" s="2229"/>
      <c r="AX28" s="2229"/>
      <c r="AY28" s="2229"/>
      <c r="AZ28" s="2229"/>
      <c r="BI28" s="745" ph="1"/>
      <c r="BJ28" s="55" ph="1"/>
      <c r="BK28" s="55" ph="1"/>
      <c r="BL28" s="55" ph="1"/>
      <c r="BM28" s="749" ph="1"/>
      <c r="BN28" s="55" ph="1"/>
      <c r="BO28" s="55" ph="1"/>
      <c r="BP28" s="55" ph="1"/>
      <c r="BR28" s="55" ph="1"/>
    </row>
    <row r="29" spans="4:70" ht="45" customHeight="1">
      <c r="D29" s="505"/>
      <c r="E29" s="505"/>
      <c r="F29" s="505"/>
      <c r="G29" s="505"/>
      <c r="H29" s="505"/>
      <c r="I29" s="505"/>
      <c r="J29" s="505"/>
      <c r="U29" s="730"/>
      <c r="V29" s="729"/>
      <c r="W29" s="729"/>
      <c r="X29" s="2135"/>
      <c r="Y29" s="1902"/>
      <c r="Z29" s="636"/>
      <c r="AJ29" s="731"/>
      <c r="AK29" s="731"/>
      <c r="AL29" s="731"/>
      <c r="AM29" s="731"/>
      <c r="AN29" s="522"/>
      <c r="AO29" s="522"/>
      <c r="AP29" s="522"/>
      <c r="AQ29" s="2219" t="s">
        <v>2105</v>
      </c>
      <c r="AR29" s="2219"/>
      <c r="AS29" s="2219"/>
      <c r="AT29" s="2219"/>
      <c r="AU29" s="2219"/>
      <c r="AV29" s="2229">
        <f ca="1">IF('商品代碼-中繼頁'!$C$16=0,"",'Tssco-bond portfolio(2)'!P1)</f>
        <v>5.0237703878955903E-2</v>
      </c>
      <c r="AW29" s="2229"/>
      <c r="AX29" s="2229"/>
      <c r="AY29" s="2229"/>
      <c r="AZ29" s="2229"/>
      <c r="BI29" s="745" ph="1"/>
      <c r="BJ29" s="55" ph="1"/>
      <c r="BK29" s="55" ph="1"/>
      <c r="BL29" s="55" ph="1"/>
      <c r="BM29" s="749" ph="1"/>
      <c r="BN29" s="55" ph="1"/>
      <c r="BO29" s="55" ph="1"/>
      <c r="BP29" s="55" ph="1"/>
      <c r="BR29" s="55" ph="1"/>
    </row>
    <row r="30" spans="4:70" ht="45" customHeight="1">
      <c r="D30" s="505"/>
      <c r="E30" s="505"/>
      <c r="F30" s="505"/>
      <c r="G30" s="505"/>
      <c r="H30" s="505"/>
      <c r="I30" s="505"/>
      <c r="J30" s="505"/>
      <c r="U30" s="730"/>
      <c r="V30" s="729"/>
      <c r="W30" s="729"/>
      <c r="X30" s="1967"/>
      <c r="Y30" s="1902"/>
      <c r="Z30" s="636"/>
      <c r="AJ30" s="731"/>
      <c r="AK30" s="731"/>
      <c r="AL30" s="731"/>
      <c r="AM30" s="731"/>
      <c r="AN30" s="522"/>
      <c r="AO30" s="522"/>
      <c r="AP30" s="522"/>
      <c r="AQ30" s="2219" t="s">
        <v>2224</v>
      </c>
      <c r="AR30" s="2219"/>
      <c r="AS30" s="2219"/>
      <c r="AT30" s="2219"/>
      <c r="AU30" s="2219"/>
      <c r="AV30" s="2229">
        <f ca="1">IF('商品代碼-中繼頁'!$C$16=0,"",'Tssco-bond portfolio(2)'!CI1)</f>
        <v>5.2922917854043447E-2</v>
      </c>
      <c r="AW30" s="2229"/>
      <c r="AX30" s="2229"/>
      <c r="AY30" s="2229"/>
      <c r="AZ30" s="2229"/>
      <c r="BI30" s="745" ph="1"/>
      <c r="BJ30" s="55" ph="1"/>
      <c r="BK30" s="55" ph="1"/>
      <c r="BL30" s="55" ph="1"/>
      <c r="BM30" s="743" ph="1"/>
      <c r="BN30" s="55" ph="1"/>
      <c r="BO30" s="55" ph="1"/>
      <c r="BP30" s="55" ph="1"/>
      <c r="BR30" s="55" ph="1"/>
    </row>
    <row r="31" spans="4:70" ht="45" customHeight="1" thickBot="1">
      <c r="D31" s="505"/>
      <c r="E31" s="505"/>
      <c r="F31" s="505"/>
      <c r="G31" s="505"/>
      <c r="H31" s="505"/>
      <c r="I31" s="505"/>
      <c r="J31" s="505"/>
      <c r="U31" s="729"/>
      <c r="V31" s="729"/>
      <c r="W31" s="729"/>
      <c r="X31" s="637"/>
      <c r="Y31" s="636"/>
      <c r="Z31" s="636"/>
      <c r="AJ31" s="729"/>
      <c r="AK31" s="729"/>
      <c r="AL31" s="729"/>
      <c r="AM31" s="729"/>
      <c r="AN31" s="524"/>
      <c r="AO31" s="524"/>
      <c r="AP31" s="524"/>
      <c r="AQ31" s="2220" t="str">
        <f ca="1">IFERROR(IF('Tssco-bond portfolio(2)'!BQ1&gt;1,"庫存現值(TWD)",IF(績效圖!A1=1,"庫存現值(TWD)",CONCATENATE("庫存現值(",'Tssco-bond portfolio(2)'!BR2,")"))),"庫存現值")</f>
        <v>庫存現值(USD)</v>
      </c>
      <c r="AR31" s="2220"/>
      <c r="AS31" s="2220"/>
      <c r="AT31" s="2220"/>
      <c r="AU31" s="2220"/>
      <c r="AV31" s="2230" t="str">
        <f ca="1">IF('商品代碼-中繼頁'!$C$16=0,"",庫存管理_中繼頁!AA43)</f>
        <v>333,483.10</v>
      </c>
      <c r="AW31" s="2230"/>
      <c r="AX31" s="2230"/>
      <c r="AY31" s="2230"/>
      <c r="AZ31" s="2230"/>
      <c r="BI31" s="745" ph="1"/>
      <c r="BJ31" s="55" ph="1"/>
      <c r="BK31" s="55" ph="1"/>
      <c r="BL31" s="55" ph="1"/>
      <c r="BM31" s="742" ph="1"/>
      <c r="BN31" s="55" ph="1"/>
      <c r="BO31" s="55" ph="1"/>
      <c r="BP31" s="55" ph="1"/>
      <c r="BR31" s="55" ph="1"/>
    </row>
    <row r="32" spans="4:70" ht="45" customHeight="1">
      <c r="D32" s="505"/>
      <c r="E32" s="505"/>
      <c r="F32" s="505"/>
      <c r="G32" s="505"/>
      <c r="H32" s="505"/>
      <c r="I32" s="505"/>
      <c r="J32" s="505"/>
      <c r="U32" s="729"/>
      <c r="V32" s="729"/>
      <c r="W32" s="729"/>
      <c r="X32" s="637"/>
      <c r="Y32" s="636"/>
      <c r="Z32" s="636"/>
      <c r="AJ32" s="2145"/>
      <c r="AK32" s="1107"/>
      <c r="AL32" s="1107"/>
      <c r="AM32" s="1107"/>
      <c r="AN32" s="1678"/>
      <c r="AO32" s="1678"/>
      <c r="AP32" s="1678"/>
      <c r="AQ32" s="2221" t="s">
        <v>2190</v>
      </c>
      <c r="AR32" s="2221"/>
      <c r="AS32" s="2221"/>
      <c r="AT32" s="2221"/>
      <c r="AU32" s="2221"/>
      <c r="AV32" s="2216">
        <f ca="1">IF('商品代碼-中繼頁'!$C$16=0,"",'Tssco-bond portfolio(2)'!CC1)</f>
        <v>2.473644578313253E-2</v>
      </c>
      <c r="AW32" s="2216"/>
      <c r="AX32" s="2216"/>
      <c r="AY32" s="2216"/>
      <c r="AZ32" s="2216"/>
      <c r="BI32" s="745" ph="1"/>
      <c r="BJ32" s="55" ph="1"/>
      <c r="BK32" s="55" ph="1"/>
      <c r="BL32" s="55" ph="1"/>
      <c r="BM32" s="742" ph="1"/>
      <c r="BN32" s="55" ph="1"/>
      <c r="BO32" s="55" ph="1"/>
      <c r="BP32" s="55" ph="1"/>
      <c r="BR32" s="55" ph="1"/>
    </row>
    <row r="33" spans="1:67" ht="45" customHeight="1">
      <c r="D33" s="505"/>
      <c r="E33" s="505"/>
      <c r="F33" s="505"/>
      <c r="G33" s="505"/>
      <c r="H33" s="505"/>
      <c r="I33" s="505"/>
      <c r="J33" s="505"/>
      <c r="U33" s="729"/>
      <c r="V33" s="729"/>
      <c r="W33" s="729"/>
      <c r="X33" s="637"/>
      <c r="Y33" s="636"/>
      <c r="Z33" s="636"/>
      <c r="AJ33" s="2146"/>
      <c r="AK33" s="644"/>
      <c r="AL33" s="644"/>
      <c r="AM33" s="644"/>
      <c r="AN33" s="1678"/>
      <c r="AO33" s="1678"/>
      <c r="AP33" s="1678"/>
      <c r="AQ33" s="2221" t="s">
        <v>2279</v>
      </c>
      <c r="AR33" s="2221"/>
      <c r="AS33" s="2221"/>
      <c r="AT33" s="2221"/>
      <c r="AU33" s="2221"/>
      <c r="AV33" s="2216">
        <f ca="1">IF('商品代碼-中繼頁'!$C$16=0,"",'Tssco-bond portfolio(2)'!CD1)</f>
        <v>4.467168674698813E-3</v>
      </c>
      <c r="AW33" s="2216"/>
      <c r="AX33" s="2216"/>
      <c r="AY33" s="2216"/>
      <c r="AZ33" s="2216"/>
      <c r="BI33" s="55" ph="1"/>
      <c r="BJ33" s="55" ph="1"/>
      <c r="BK33" s="55" ph="1"/>
      <c r="BL33" s="55" ph="1"/>
      <c r="BM33" s="55" ph="1"/>
      <c r="BN33" s="55" ph="1"/>
    </row>
    <row r="34" spans="1:67" ht="45" customHeight="1">
      <c r="D34" s="505"/>
      <c r="E34" s="505"/>
      <c r="F34" s="505"/>
      <c r="G34" s="505"/>
      <c r="H34" s="505"/>
      <c r="I34" s="505"/>
      <c r="J34" s="505"/>
      <c r="U34" s="728"/>
      <c r="V34" s="733"/>
      <c r="W34" s="733"/>
      <c r="X34" s="2140"/>
      <c r="Y34" s="2141"/>
      <c r="Z34" s="643"/>
      <c r="AJ34" s="2146"/>
      <c r="AK34" s="644"/>
      <c r="AL34" s="644"/>
      <c r="AM34" s="644"/>
      <c r="AN34" s="1678"/>
      <c r="AO34" s="1678"/>
      <c r="AP34" s="1678"/>
      <c r="AQ34" s="2222" t="str">
        <f ca="1">IF(V19="TWD","匯率報酬率","總報酬率")</f>
        <v>總報酬率</v>
      </c>
      <c r="AR34" s="2222"/>
      <c r="AS34" s="2222"/>
      <c r="AT34" s="2222"/>
      <c r="AU34" s="2222"/>
      <c r="AV34" s="2217">
        <f ca="1">IF('商品代碼-中繼頁'!$C$16=0,"",IF(V19="TWD",AV35-AV32-AV33,'Tssco-bond portfolio(2)'!AW1))</f>
        <v>2.9203614457831348E-2</v>
      </c>
      <c r="AW34" s="2217"/>
      <c r="AX34" s="2217"/>
      <c r="AY34" s="2217"/>
      <c r="AZ34" s="2217"/>
      <c r="BI34" s="55" ph="1"/>
      <c r="BJ34" s="55" ph="1"/>
      <c r="BK34" s="55" ph="1"/>
      <c r="BL34" s="55" ph="1"/>
      <c r="BM34" s="55" ph="1"/>
      <c r="BN34" s="55" ph="1"/>
    </row>
    <row r="35" spans="1:67" ht="45" customHeight="1">
      <c r="D35" s="505"/>
      <c r="E35" s="505"/>
      <c r="F35" s="505"/>
      <c r="G35" s="505"/>
      <c r="H35" s="505"/>
      <c r="I35" s="505"/>
      <c r="J35" s="505" ph="1"/>
      <c r="U35" s="728"/>
      <c r="V35" s="733"/>
      <c r="W35" s="733"/>
      <c r="X35" s="1992"/>
      <c r="Y35" s="2141"/>
      <c r="Z35" s="643"/>
      <c r="AJ35" s="2146"/>
      <c r="AK35" s="644"/>
      <c r="AL35" s="644"/>
      <c r="AM35" s="644"/>
      <c r="AN35" s="1678"/>
      <c r="AO35" s="1678"/>
      <c r="AP35" s="1678"/>
      <c r="AQ35" s="2223" t="str">
        <f ca="1">IF('商品代碼-中繼頁'!$C$16=0,"",IF(V19="TWD","總報酬率",""))</f>
        <v/>
      </c>
      <c r="AR35" s="2223"/>
      <c r="AS35" s="2223"/>
      <c r="AT35" s="2223"/>
      <c r="AU35" s="2223"/>
      <c r="AV35" s="2216" t="str">
        <f ca="1">IF(V19="TWD",'Tssco-bond portfolio(2)'!CF1,"")</f>
        <v/>
      </c>
      <c r="AW35" s="2216"/>
      <c r="AX35" s="2216"/>
      <c r="AY35" s="2216"/>
      <c r="AZ35" s="2216"/>
      <c r="BI35" s="55" ph="1"/>
      <c r="BJ35" s="55" ph="1"/>
      <c r="BK35" s="55" ph="1"/>
      <c r="BL35" s="55" ph="1"/>
      <c r="BM35" s="55" ph="1"/>
      <c r="BN35" s="55" ph="1"/>
    </row>
    <row r="36" spans="1:67" ht="21.75" customHeight="1">
      <c r="D36" s="505"/>
      <c r="E36" s="505"/>
      <c r="F36" s="505"/>
      <c r="G36" s="505"/>
      <c r="H36" s="505"/>
      <c r="I36" s="505"/>
      <c r="J36" s="505"/>
      <c r="U36" s="733"/>
      <c r="V36" s="733"/>
      <c r="W36" s="733"/>
      <c r="X36" s="642"/>
      <c r="Y36" s="643"/>
      <c r="Z36" s="643"/>
      <c r="AJ36" s="644"/>
      <c r="AK36" s="644"/>
      <c r="AL36" s="644"/>
      <c r="AM36" s="644"/>
      <c r="AN36" s="732"/>
      <c r="AO36" s="732"/>
      <c r="AP36" s="732"/>
      <c r="AQ36" s="639"/>
      <c r="AR36" s="639"/>
      <c r="AS36" s="639"/>
      <c r="AT36" s="639"/>
      <c r="BJ36" s="55" ph="1"/>
      <c r="BK36" s="55" ph="1"/>
      <c r="BL36" s="55" ph="1"/>
      <c r="BM36" s="55" ph="1"/>
      <c r="BN36" s="55" ph="1"/>
      <c r="BO36" s="55" ph="1"/>
    </row>
    <row r="37" spans="1:67" ht="27.5">
      <c r="A37" s="526"/>
      <c r="B37" s="526"/>
      <c r="C37" s="526"/>
      <c r="D37" s="526"/>
      <c r="E37" s="526"/>
      <c r="F37" s="526"/>
      <c r="G37" s="526"/>
      <c r="H37" s="526"/>
      <c r="I37" s="526"/>
      <c r="J37" s="505"/>
      <c r="P37" s="526"/>
      <c r="Q37" s="526"/>
      <c r="R37" s="526"/>
      <c r="S37" s="526"/>
      <c r="T37" s="526"/>
      <c r="U37" s="526"/>
      <c r="V37" s="526"/>
      <c r="W37" s="526"/>
      <c r="X37" s="526"/>
      <c r="Y37" s="526"/>
      <c r="Z37" s="526"/>
      <c r="AA37" s="526"/>
      <c r="AB37" s="526"/>
      <c r="AC37" s="526"/>
      <c r="AD37" s="526"/>
      <c r="AE37" s="526"/>
      <c r="AF37" s="526"/>
      <c r="AG37" s="526"/>
      <c r="AH37" s="526"/>
      <c r="AI37" s="526"/>
      <c r="AJ37" s="526"/>
      <c r="AK37" s="526"/>
      <c r="AL37" s="526"/>
      <c r="AM37" s="526"/>
      <c r="AN37" s="526"/>
      <c r="AO37" s="526"/>
      <c r="AP37" s="526"/>
      <c r="AQ37" s="526"/>
      <c r="AR37" s="526"/>
      <c r="AS37" s="526"/>
      <c r="AT37" s="526"/>
      <c r="AU37" s="526"/>
      <c r="AV37" s="526"/>
      <c r="AW37" s="526"/>
      <c r="AX37" s="526"/>
      <c r="AY37" s="526"/>
      <c r="AZ37" s="526"/>
      <c r="BJ37" s="55" ph="1"/>
      <c r="BK37" s="55" ph="1"/>
      <c r="BL37" s="55" ph="1"/>
      <c r="BM37" s="55" ph="1"/>
      <c r="BN37" s="55" ph="1"/>
      <c r="BO37" s="55" ph="1"/>
    </row>
    <row r="38" spans="1:67" ht="15" hidden="1" customHeight="1">
      <c r="D38" s="505"/>
      <c r="E38" s="505"/>
      <c r="F38" s="505"/>
      <c r="G38" s="505"/>
      <c r="H38" s="505"/>
      <c r="I38" s="505"/>
      <c r="J38" s="505"/>
      <c r="BM38" s="55" ph="1"/>
      <c r="BN38" s="55" ph="1"/>
    </row>
    <row r="39" spans="1:67" ht="15" hidden="1" customHeight="1">
      <c r="D39" s="505"/>
      <c r="E39" s="505"/>
      <c r="F39" s="505"/>
      <c r="G39" s="505"/>
      <c r="H39" s="505"/>
      <c r="I39" s="505"/>
      <c r="J39" s="505"/>
      <c r="BM39" s="55" ph="1"/>
      <c r="BN39" s="55" ph="1"/>
    </row>
    <row r="40" spans="1:67" ht="41.15" customHeight="1">
      <c r="D40" s="505"/>
      <c r="E40" s="505"/>
      <c r="F40" s="505"/>
      <c r="G40" s="505"/>
      <c r="H40" s="505"/>
      <c r="I40" s="505"/>
      <c r="J40" s="505"/>
      <c r="P40" s="2026" t="s">
        <v>4485</v>
      </c>
      <c r="Q40" s="2026"/>
      <c r="R40" s="2026"/>
      <c r="S40" s="2026"/>
      <c r="T40" s="2026"/>
      <c r="U40" s="2026"/>
      <c r="V40" s="2026"/>
      <c r="W40" s="2026"/>
      <c r="X40" s="2026"/>
      <c r="Y40" s="2026"/>
      <c r="Z40" s="2026"/>
      <c r="AA40" s="2026"/>
      <c r="AB40" s="2026"/>
      <c r="AC40" s="2026"/>
      <c r="AD40" s="2026"/>
      <c r="AE40" s="2026"/>
      <c r="AF40" s="2026"/>
      <c r="AG40" s="2026"/>
      <c r="AH40" s="2026"/>
      <c r="AI40" s="2026"/>
      <c r="AJ40" s="2026"/>
      <c r="AK40" s="2026"/>
      <c r="AL40" s="2026"/>
      <c r="AM40" s="2026"/>
      <c r="AN40" s="2026"/>
      <c r="AO40" s="2026"/>
      <c r="AP40" s="2026"/>
      <c r="AQ40" s="2026"/>
      <c r="AR40" s="2026"/>
      <c r="AS40" s="2026"/>
      <c r="AT40" s="2026"/>
      <c r="AU40" s="2026"/>
      <c r="AV40" s="2026"/>
      <c r="AW40" s="2026"/>
      <c r="AX40" s="2026"/>
      <c r="AY40" s="2026"/>
      <c r="AZ40" s="2026"/>
      <c r="BM40" s="55" ph="1"/>
      <c r="BN40" s="55" ph="1"/>
    </row>
    <row r="41" spans="1:67" ht="23.25" customHeight="1" thickBot="1">
      <c r="D41" s="505"/>
      <c r="E41" s="505"/>
      <c r="F41" s="505"/>
      <c r="G41" s="505"/>
      <c r="H41" s="505"/>
      <c r="I41" s="505"/>
      <c r="J41" s="505"/>
      <c r="P41" s="2027" t="s">
        <v>2073</v>
      </c>
      <c r="Q41" s="2027"/>
      <c r="R41" s="2027"/>
      <c r="S41" s="2027"/>
      <c r="T41" s="2027"/>
      <c r="U41" s="2027"/>
      <c r="V41" s="2027"/>
      <c r="W41" s="2027"/>
      <c r="X41" s="2027"/>
      <c r="Y41" s="2027"/>
      <c r="Z41" s="2027"/>
      <c r="AA41" s="2027"/>
      <c r="AB41" s="2027"/>
      <c r="AC41" s="2027"/>
      <c r="AD41" s="2027"/>
      <c r="AE41" s="2027"/>
      <c r="AF41" s="2027"/>
      <c r="AG41" s="2027"/>
      <c r="AH41" s="2027"/>
      <c r="AI41" s="2027"/>
      <c r="AJ41" s="2027"/>
      <c r="AK41" s="2027"/>
      <c r="AL41" s="2027"/>
      <c r="AM41" s="2027"/>
      <c r="AN41" s="2027"/>
      <c r="AO41" s="2027"/>
      <c r="AP41" s="2027"/>
      <c r="AQ41" s="2027"/>
      <c r="AR41" s="2027"/>
      <c r="AS41" s="2027"/>
      <c r="AT41" s="2027"/>
      <c r="AU41" s="2064" t="s">
        <v>122</v>
      </c>
      <c r="AV41" s="2064"/>
      <c r="AW41" s="2064"/>
      <c r="AX41" s="2110">
        <f>AX4</f>
        <v>45474</v>
      </c>
      <c r="AY41" s="2110"/>
      <c r="AZ41" s="2110"/>
      <c r="BM41" s="55" ph="1"/>
      <c r="BN41" s="55" ph="1"/>
    </row>
    <row r="42" spans="1:67" ht="17.5" customHeight="1">
      <c r="D42" s="505"/>
      <c r="E42" s="505"/>
      <c r="F42" s="505"/>
      <c r="G42" s="505"/>
      <c r="H42" s="505"/>
      <c r="I42" s="505"/>
      <c r="J42" s="505"/>
      <c r="Z42" s="1051"/>
      <c r="AA42" s="1051"/>
      <c r="AB42" s="1051"/>
      <c r="AC42" s="1051"/>
      <c r="AD42" s="1051"/>
      <c r="AE42" s="1051"/>
      <c r="AV42" s="2147" t="str">
        <f ca="1">換券單檔!Q3</f>
        <v>第1頁</v>
      </c>
      <c r="AW42" s="2147"/>
      <c r="AX42" s="2139" t="str">
        <f ca="1">換券單檔!Q2</f>
        <v>， 共2頁</v>
      </c>
      <c r="AY42" s="2139"/>
      <c r="AZ42" s="2139"/>
      <c r="BM42" s="55" ph="1"/>
      <c r="BN42" s="55" ph="1"/>
    </row>
    <row r="43" spans="1:67" ht="36.75" customHeight="1">
      <c r="D43" s="505"/>
      <c r="E43" s="505"/>
      <c r="F43" s="505"/>
      <c r="G43" s="505"/>
      <c r="H43" s="505"/>
      <c r="I43" s="505"/>
      <c r="J43" s="505"/>
      <c r="P43" s="1030" t="str">
        <f ca="1">IFERROR(CONCATENATE("庫存債券標的("&amp;換券單檔!D13&amp;")"),"庫存債券標的")</f>
        <v>庫存債券標的(USD)</v>
      </c>
      <c r="Q43" s="1031"/>
      <c r="R43" s="2117" t="str">
        <f ca="1">IF(P44="","",IF('2_Check_code'!$C$77=FALSE,"請建立部位資料",""))</f>
        <v/>
      </c>
      <c r="S43" s="2117"/>
      <c r="T43" s="946"/>
      <c r="U43" s="1032" t="str">
        <f ca="1">IFERROR(CONCATENATE("轉換債券標的("&amp;換券單檔!G13&amp;")"),"轉換債券標的")</f>
        <v>轉換債券標的</v>
      </c>
      <c r="V43" s="1033"/>
      <c r="W43" s="1033"/>
      <c r="X43" s="1048" t="str">
        <f ca="1">IFERROR(IF(AND(U44&lt;&gt;"",換券單檔!D13&lt;&gt;換券單檔!G13),"轉換幣別不同",IF(換券單檔!G24="需查詢","流動性需查詢","")),"")</f>
        <v/>
      </c>
      <c r="Z43" s="1491" t="str">
        <f ca="1">IFERROR(CONCATENATE("轉換債券清單("&amp;換券單檔!D13&amp;")"),"轉換債券清單")</f>
        <v>轉換債券清單(USD)</v>
      </c>
      <c r="AA43" s="1491"/>
      <c r="AB43" s="1491"/>
      <c r="AC43" s="1051" t="str">
        <f>IF(換券單檔!O6=4,"",CONCATENATE(CHOOSE(換券單檔!O18," 現金流量"," 增值潛力"," 全面均衡"),"、 ",CHOOSE(model!A3,"非專投&amp;專投","非專投","專投")))</f>
        <v xml:space="preserve"> 現金流量、 非專投&amp;專投</v>
      </c>
      <c r="AD43" s="1680"/>
      <c r="AE43" s="1680"/>
      <c r="AF43" s="1680"/>
      <c r="AG43" s="1681"/>
      <c r="AH43" s="1681"/>
      <c r="AI43" s="1681"/>
      <c r="AJ43" s="1681"/>
      <c r="AK43" s="1681"/>
      <c r="AL43" s="1681"/>
      <c r="AM43" s="1681"/>
      <c r="AU43" s="948"/>
      <c r="AV43" s="2147"/>
      <c r="AW43" s="2147"/>
      <c r="AX43" s="2139"/>
      <c r="AY43" s="2139"/>
      <c r="AZ43" s="2139"/>
    </row>
    <row r="44" spans="1:67" ht="44.25" customHeight="1">
      <c r="D44" s="505"/>
      <c r="E44" s="505"/>
      <c r="F44" s="505"/>
      <c r="G44" s="505"/>
      <c r="H44" s="505"/>
      <c r="I44" s="505"/>
      <c r="J44" s="505"/>
      <c r="P44" s="1035" t="s">
        <v>2200</v>
      </c>
      <c r="Q44" s="2119" t="str">
        <f ca="1">IFERROR(IFERROR(IF(FIND("美國政府",換券單檔!D6)=1,換券單檔!D6),CONCATENATE(LEFT(換券單檔!D6,SEARCH(換券單檔!E13,換券單檔!D6,1)-1))),"")</f>
        <v>蘋果公司</v>
      </c>
      <c r="R44" s="2119"/>
      <c r="S44" s="2120"/>
      <c r="T44" s="981"/>
      <c r="U44" s="989"/>
      <c r="V44" s="2050" t="str">
        <f ca="1">IFERROR(IFERROR(IF(FIND("美國政府",換券單檔!G6)=1,換券單檔!G6),CONCATENATE(LEFT(換券單檔!G6,SEARCH(換券單檔!H13,換券單檔!G6,1)-1))),"")</f>
        <v/>
      </c>
      <c r="W44" s="2050"/>
      <c r="X44" s="2051"/>
      <c r="Z44" s="1429" t="s">
        <v>3549</v>
      </c>
      <c r="AA44" s="2032" t="s">
        <v>3736</v>
      </c>
      <c r="AB44" s="2032"/>
      <c r="AC44" s="2032"/>
      <c r="AD44" s="2032"/>
      <c r="AE44" s="2032"/>
      <c r="AF44" s="2032"/>
      <c r="AG44" s="2032"/>
      <c r="AH44" s="2032" t="s">
        <v>3550</v>
      </c>
      <c r="AI44" s="2032"/>
      <c r="AJ44" s="2032"/>
      <c r="AK44" s="2032" t="s">
        <v>1330</v>
      </c>
      <c r="AL44" s="2032"/>
      <c r="AM44" s="2032"/>
      <c r="AN44" s="2032"/>
      <c r="AO44" s="2032" t="s">
        <v>3523</v>
      </c>
      <c r="AP44" s="2032"/>
      <c r="AQ44" s="2032"/>
      <c r="AR44" s="2032" t="s">
        <v>3533</v>
      </c>
      <c r="AS44" s="2032"/>
      <c r="AT44" s="2032"/>
      <c r="AU44" s="2032" t="s">
        <v>3519</v>
      </c>
      <c r="AV44" s="2032"/>
      <c r="AW44" s="2032"/>
      <c r="AX44" s="2032" t="s">
        <v>4408</v>
      </c>
      <c r="AY44" s="2032"/>
      <c r="AZ44" s="2032"/>
    </row>
    <row r="45" spans="1:67" ht="44.15" customHeight="1">
      <c r="D45" s="505"/>
      <c r="E45" s="505"/>
      <c r="F45" s="505"/>
      <c r="G45" s="505"/>
      <c r="H45" s="505"/>
      <c r="I45" s="505"/>
      <c r="J45" s="505"/>
      <c r="P45" s="982" t="s">
        <v>208</v>
      </c>
      <c r="Q45" s="2046">
        <f ca="1">IFERROR(換券單檔!D7,"")</f>
        <v>4.8499999999999995E-2</v>
      </c>
      <c r="R45" s="2046"/>
      <c r="S45" s="2046"/>
      <c r="T45" s="981"/>
      <c r="U45" s="983" t="s">
        <v>208</v>
      </c>
      <c r="V45" s="2185" t="str">
        <f ca="1">IFERROR(換券單檔!G7,"")</f>
        <v/>
      </c>
      <c r="W45" s="2185"/>
      <c r="X45" s="2185"/>
      <c r="Y45" s="1578" t="str">
        <f ca="1">IF(Z45="","",換券單檔!O8&amp;".")</f>
        <v>1.</v>
      </c>
      <c r="Z45" s="1772" t="str">
        <f ca="1">IFERROR(IF(換券單檔!$O$6&lt;&gt;4,換券單檔!P8,IF(換券單檔!R8="","",換券單檔!R8)),"")</f>
        <v>XG540</v>
      </c>
      <c r="AA45" s="2030" t="str">
        <f ca="1">IFERROR(IF(AND(換券單檔!$O$6&lt;&gt;4,Q47&lt;&gt;"",換券單檔!P1=0),"無適合轉換債券標的",IFERROR(IF(FIND("美國政府",換券單檔!U8)=1,LEFT(換券單檔!U8,6)),CONCATENATE(LEFT(換券單檔!U8,SEARCH(換券單檔!$E$13,換券單檔!U8,1)-1)))),"")</f>
        <v>哥倫比亞國家石油公司</v>
      </c>
      <c r="AB45" s="2030"/>
      <c r="AC45" s="2030"/>
      <c r="AD45" s="2030"/>
      <c r="AE45" s="2030"/>
      <c r="AF45" s="2030"/>
      <c r="AG45" s="2030"/>
      <c r="AH45" s="2177">
        <f ca="1">IFERROR(VLOOKUP(Z45,'銀行-TSS'!B:H,7,FALSE),"")</f>
        <v>7.3749999999999996E-2</v>
      </c>
      <c r="AI45" s="2177"/>
      <c r="AJ45" s="2177"/>
      <c r="AK45" s="2118" t="str">
        <f ca="1">IFERROR(VLOOKUP(Z45,'銀行-TSS'!B:F,5,FALSE),"")</f>
        <v>2043/9/18</v>
      </c>
      <c r="AL45" s="2118"/>
      <c r="AM45" s="2118"/>
      <c r="AN45" s="2118"/>
      <c r="AO45" s="2176">
        <f ca="1">IFERROR(VLOOKUP(Z45,'銀行-TSS'!B:K,10,FALSE),"")</f>
        <v>95.21</v>
      </c>
      <c r="AP45" s="2176"/>
      <c r="AQ45" s="2176"/>
      <c r="AR45" s="2028">
        <f ca="1">IFERROR(VLOOKUP(Z45,'銀行-TSS'!B:M,12,FALSE),"")</f>
        <v>8.09E-2</v>
      </c>
      <c r="AS45" s="2028"/>
      <c r="AT45" s="2028"/>
      <c r="AU45" s="2030" t="str">
        <f ca="1">IFERROR(VLOOKUP(Z45,'銀行-TSS'!B:Q,16,FALSE),"")</f>
        <v>能源</v>
      </c>
      <c r="AV45" s="2030"/>
      <c r="AW45" s="2030"/>
      <c r="AX45" s="2171" t="str">
        <f ca="1">IFERROR(IF(Z45="","",IF(換券單檔!$O$6&lt;&gt;4,換券單檔!Q8,換券單檔!S8)),"")</f>
        <v>BB+</v>
      </c>
      <c r="AY45" s="2171"/>
      <c r="AZ45" s="2171"/>
    </row>
    <row r="46" spans="1:67" ht="44.15" customHeight="1">
      <c r="D46" s="505"/>
      <c r="E46" s="505"/>
      <c r="F46" s="505"/>
      <c r="G46" s="505"/>
      <c r="H46" s="505"/>
      <c r="I46" s="505"/>
      <c r="J46" s="505"/>
      <c r="P46" s="984" t="s">
        <v>3515</v>
      </c>
      <c r="Q46" s="2123" t="str">
        <f ca="1">IFERROR(換券單檔!D8,"")</f>
        <v>2053/5/10</v>
      </c>
      <c r="R46" s="2123"/>
      <c r="S46" s="2123"/>
      <c r="T46" s="981"/>
      <c r="U46" s="985" t="s">
        <v>3515</v>
      </c>
      <c r="V46" s="2121" t="str">
        <f ca="1">IFERROR(換券單檔!G8,"")</f>
        <v/>
      </c>
      <c r="W46" s="2121"/>
      <c r="X46" s="2121"/>
      <c r="Y46" s="1578" t="str">
        <f ca="1">IF(Z46="","",換券單檔!O9&amp;".")</f>
        <v>2.</v>
      </c>
      <c r="Z46" s="1773" t="str">
        <f ca="1">IFERROR(IF(換券單檔!$O$6&lt;&gt;4,換券單檔!P9,IF(換券單檔!R9="","",換券單檔!R9)),"")</f>
        <v>XG960</v>
      </c>
      <c r="AA46" s="1990" t="str">
        <f ca="1">IFERROR(IFERROR(IF(FIND("美國政府",換券單檔!U9)=1,LEFT(換券單檔!U9,6)),CONCATENATE(LEFT(換券單檔!U9,SEARCH(換券單檔!$E$13,換券單檔!U9,1)-1))),"")</f>
        <v>派拉蒙全球</v>
      </c>
      <c r="AB46" s="1990"/>
      <c r="AC46" s="1990"/>
      <c r="AD46" s="1990"/>
      <c r="AE46" s="1990"/>
      <c r="AF46" s="1990"/>
      <c r="AG46" s="1990"/>
      <c r="AH46" s="2178">
        <f ca="1">IFERROR(VLOOKUP(Z46,'銀行-TSS'!B:H,7,FALSE),"")</f>
        <v>4.3749999999999997E-2</v>
      </c>
      <c r="AI46" s="2178"/>
      <c r="AJ46" s="2178"/>
      <c r="AK46" s="1967" t="str">
        <f ca="1">IFERROR(VLOOKUP(Z46,'銀行-TSS'!B:F,5,FALSE),"")</f>
        <v>2043/3/15</v>
      </c>
      <c r="AL46" s="1967"/>
      <c r="AM46" s="1967"/>
      <c r="AN46" s="1967"/>
      <c r="AO46" s="2174">
        <f ca="1">IFERROR(VLOOKUP(Z46,'銀行-TSS'!B:K,10,FALSE),"")</f>
        <v>70.930000000000007</v>
      </c>
      <c r="AP46" s="2174"/>
      <c r="AQ46" s="2174"/>
      <c r="AR46" s="1993">
        <f ca="1">IFERROR(VLOOKUP(Z46,'銀行-TSS'!B:M,12,FALSE),"")</f>
        <v>7.3999999999999996E-2</v>
      </c>
      <c r="AS46" s="1993"/>
      <c r="AT46" s="1993"/>
      <c r="AU46" s="1990" t="str">
        <f ca="1">IFERROR(VLOOKUP(Z46,'銀行-TSS'!B:Q,16,FALSE),"")</f>
        <v>通訊</v>
      </c>
      <c r="AV46" s="1990"/>
      <c r="AW46" s="1990"/>
      <c r="AX46" s="2172" t="str">
        <f ca="1">IFERROR(IF(Z46="","",IF(換券單檔!$O$6&lt;&gt;4,換券單檔!Q9,換券單檔!S9)),"")</f>
        <v>BBB-</v>
      </c>
      <c r="AY46" s="2172"/>
      <c r="AZ46" s="2172"/>
    </row>
    <row r="47" spans="1:67" ht="44.25" customHeight="1">
      <c r="D47" s="1493"/>
      <c r="E47" s="505"/>
      <c r="F47" s="505"/>
      <c r="G47" s="505"/>
      <c r="H47" s="505"/>
      <c r="I47" s="505"/>
      <c r="J47" s="505"/>
      <c r="P47" s="1017" t="s">
        <v>3516</v>
      </c>
      <c r="Q47" s="2184">
        <f ca="1">IFERROR(IF(P44="","",換券單檔!D9),"")</f>
        <v>5.0274453752479784E-2</v>
      </c>
      <c r="R47" s="2184"/>
      <c r="S47" s="2184"/>
      <c r="T47" s="981"/>
      <c r="U47" s="986" t="s">
        <v>3716</v>
      </c>
      <c r="V47" s="2122" t="str">
        <f ca="1">IFERROR(換券單檔!G9,"")</f>
        <v/>
      </c>
      <c r="W47" s="2122"/>
      <c r="X47" s="2122"/>
      <c r="Y47" s="1578" t="str">
        <f ca="1">IF(Z47="","",換券單檔!O10&amp;".")</f>
        <v>3.</v>
      </c>
      <c r="Z47" s="1773" t="str">
        <f ca="1">IFERROR(IF(換券單檔!$O$6&lt;&gt;4,換券單檔!P10,IF(換券單檔!R10="","",換券單檔!R10)),"")</f>
        <v>XG480</v>
      </c>
      <c r="AA47" s="1990" t="str">
        <f ca="1">IFERROR(IFERROR(IF(FIND("美國政府",換券單檔!U10)=1,LEFT(換券單檔!U10,6)),CONCATENATE(LEFT(換券單檔!U10,SEARCH(換券單檔!$E$13,換券單檔!U10,1)-1))),"")</f>
        <v>Discovery傳播有限責任公司</v>
      </c>
      <c r="AB47" s="1990"/>
      <c r="AC47" s="1990"/>
      <c r="AD47" s="1990"/>
      <c r="AE47" s="1990"/>
      <c r="AF47" s="1990"/>
      <c r="AG47" s="1990"/>
      <c r="AH47" s="2178">
        <f ca="1">IFERROR(VLOOKUP(Z47,'銀行-TSS'!B:H,7,FALSE),"")</f>
        <v>4.6500000000000007E-2</v>
      </c>
      <c r="AI47" s="2178"/>
      <c r="AJ47" s="2178"/>
      <c r="AK47" s="1967" t="str">
        <f ca="1">IFERROR(VLOOKUP(Z47,'銀行-TSS'!B:F,5,FALSE),"")</f>
        <v>2050/5/15</v>
      </c>
      <c r="AL47" s="1967"/>
      <c r="AM47" s="1967"/>
      <c r="AN47" s="1967"/>
      <c r="AO47" s="2174">
        <f ca="1">IFERROR(VLOOKUP(Z47,'銀行-TSS'!B:K,10,FALSE),"")</f>
        <v>77.95</v>
      </c>
      <c r="AP47" s="2174"/>
      <c r="AQ47" s="2174"/>
      <c r="AR47" s="1993">
        <f ca="1">IFERROR(VLOOKUP(Z47,'銀行-TSS'!B:M,12,FALSE),"")</f>
        <v>6.4600000000000005E-2</v>
      </c>
      <c r="AS47" s="1993"/>
      <c r="AT47" s="1993"/>
      <c r="AU47" s="1990" t="str">
        <f ca="1">IFERROR(VLOOKUP(Z47,'銀行-TSS'!B:Q,16,FALSE),"")</f>
        <v>通訊</v>
      </c>
      <c r="AV47" s="1990"/>
      <c r="AW47" s="1990"/>
      <c r="AX47" s="2172" t="str">
        <f ca="1">IFERROR(IF(Z47="","",IF(換券單檔!$O$6&lt;&gt;4,換券單檔!Q10,換券單檔!S10)),"")</f>
        <v>BBB-</v>
      </c>
      <c r="AY47" s="2172"/>
      <c r="AZ47" s="2172"/>
    </row>
    <row r="48" spans="1:67" ht="44.25" customHeight="1">
      <c r="D48" s="1493"/>
      <c r="E48" s="505"/>
      <c r="F48" s="505"/>
      <c r="G48" s="505"/>
      <c r="H48" s="505"/>
      <c r="I48" s="505"/>
      <c r="J48" s="505"/>
      <c r="P48" s="984" t="s">
        <v>3517</v>
      </c>
      <c r="Q48" s="2045" t="str">
        <f ca="1">IFERROR(IF(OR(P44="",換券單檔!D10=0),"",TEXT(換券單檔!D10,"#,##0")),"")</f>
        <v>100,000</v>
      </c>
      <c r="R48" s="2045"/>
      <c r="S48" s="2045"/>
      <c r="T48" s="981"/>
      <c r="U48" s="985" t="s">
        <v>3715</v>
      </c>
      <c r="V48" s="2052" t="str">
        <f ca="1">IFERROR(IF(換券單檔!H10&gt;=0,TEXT(換券單檔!G10,"0,000"),"不足最低申購面額"),"")</f>
        <v/>
      </c>
      <c r="W48" s="2052"/>
      <c r="X48" s="2052"/>
      <c r="Y48" s="1578" t="str">
        <f ca="1">IF(Z48="","",換券單檔!O11&amp;".")</f>
        <v>4.</v>
      </c>
      <c r="Z48" s="1773" t="str">
        <f ca="1">IFERROR(IF(換券單檔!$O$6&lt;&gt;4,換券單檔!P11,IF(換券單檔!R11="","",換券單檔!R11)),"")</f>
        <v>XG760</v>
      </c>
      <c r="AA48" s="1990" t="str">
        <f ca="1">IFERROR(IFERROR(IF(FIND("美國政府",換券單檔!U11)=1,LEFT(換券單檔!U11,6)),CONCATENATE(LEFT(換券單檔!U11,SEARCH(換券單檔!$E$13,換券單檔!U11,1)-1))),"")</f>
        <v>波音公司</v>
      </c>
      <c r="AB48" s="1990"/>
      <c r="AC48" s="1990"/>
      <c r="AD48" s="1990"/>
      <c r="AE48" s="1990"/>
      <c r="AF48" s="1990"/>
      <c r="AG48" s="1990"/>
      <c r="AH48" s="2178">
        <f ca="1">IFERROR(VLOOKUP(Z48,'銀行-TSS'!B:H,7,FALSE),"")</f>
        <v>5.8049999999999997E-2</v>
      </c>
      <c r="AI48" s="2178"/>
      <c r="AJ48" s="2178"/>
      <c r="AK48" s="1967" t="str">
        <f ca="1">IFERROR(VLOOKUP(Z48,'銀行-TSS'!B:F,5,FALSE),"")</f>
        <v>2050/5/1</v>
      </c>
      <c r="AL48" s="1967"/>
      <c r="AM48" s="1967"/>
      <c r="AN48" s="1967"/>
      <c r="AO48" s="2174">
        <f ca="1">IFERROR(VLOOKUP(Z48,'銀行-TSS'!B:K,10,FALSE),"")</f>
        <v>95.6</v>
      </c>
      <c r="AP48" s="2174"/>
      <c r="AQ48" s="2174"/>
      <c r="AR48" s="1993">
        <f ca="1">IFERROR(VLOOKUP(Z48,'銀行-TSS'!B:M,12,FALSE),"")</f>
        <v>6.2300000000000001E-2</v>
      </c>
      <c r="AS48" s="1993"/>
      <c r="AT48" s="1993"/>
      <c r="AU48" s="1990" t="str">
        <f ca="1">IFERROR(VLOOKUP(Z48,'銀行-TSS'!B:Q,16,FALSE),"")</f>
        <v>工業</v>
      </c>
      <c r="AV48" s="1990"/>
      <c r="AW48" s="1990"/>
      <c r="AX48" s="2172" t="str">
        <f ca="1">IFERROR(IF(Z48="","",IF(換券單檔!$O$6&lt;&gt;4,換券單檔!Q11,換券單檔!S11)),"")</f>
        <v>BBB-</v>
      </c>
      <c r="AY48" s="2172"/>
      <c r="AZ48" s="2172"/>
    </row>
    <row r="49" spans="4:52" ht="44.25" customHeight="1">
      <c r="D49" s="1493"/>
      <c r="E49" s="505"/>
      <c r="F49" s="505"/>
      <c r="G49" s="505"/>
      <c r="H49" s="505"/>
      <c r="I49" s="505"/>
      <c r="J49" s="505"/>
      <c r="P49" s="1017" t="s">
        <v>3518</v>
      </c>
      <c r="Q49" s="2047" t="str">
        <f>IF(P44="","",IFERROR(TEXT(換券單檔!D11,"0.00"),""))</f>
        <v>96.70</v>
      </c>
      <c r="R49" s="2047"/>
      <c r="S49" s="2047"/>
      <c r="T49" s="981"/>
      <c r="U49" s="987" t="s">
        <v>3717</v>
      </c>
      <c r="V49" s="2053" t="str">
        <f ca="1">IFERROR(TEXT(換券單檔!G11,"0.00"),"")</f>
        <v/>
      </c>
      <c r="W49" s="2053"/>
      <c r="X49" s="2053"/>
      <c r="Y49" s="1578" t="str">
        <f ca="1">IF(Z49="","",換券單檔!O12&amp;".")</f>
        <v>5.</v>
      </c>
      <c r="Z49" s="1773" t="str">
        <f ca="1">IFERROR(IF(換券單檔!$O$6&lt;&gt;4,換券單檔!P12,IF(換券單檔!R12="","",換券單檔!R12)),"")</f>
        <v>XFY70</v>
      </c>
      <c r="AA49" s="1990" t="str">
        <f ca="1">IFERROR(IFERROR(IF(FIND("美國政府",換券單檔!U12)=1,LEFT(換券單檔!U12,6)),CONCATENATE(LEFT(換券單檔!U12,SEARCH(換券單檔!$E$13,換券單檔!U12,1)-1))),"")</f>
        <v>諾德斯特隆公司</v>
      </c>
      <c r="AB49" s="1990"/>
      <c r="AC49" s="1990"/>
      <c r="AD49" s="1990"/>
      <c r="AE49" s="1990"/>
      <c r="AF49" s="1990"/>
      <c r="AG49" s="1990"/>
      <c r="AH49" s="2178">
        <f ca="1">IFERROR(VLOOKUP(Z49,'銀行-TSS'!B:H,7,FALSE),"")</f>
        <v>0.05</v>
      </c>
      <c r="AI49" s="2178"/>
      <c r="AJ49" s="2178"/>
      <c r="AK49" s="1967" t="str">
        <f ca="1">IFERROR(VLOOKUP(Z49,'銀行-TSS'!B:F,5,FALSE),"")</f>
        <v>2044/1/15</v>
      </c>
      <c r="AL49" s="1967"/>
      <c r="AM49" s="1967"/>
      <c r="AN49" s="1967"/>
      <c r="AO49" s="2174">
        <f ca="1">IFERROR(VLOOKUP(Z49,'銀行-TSS'!B:K,10,FALSE),"")</f>
        <v>87.04</v>
      </c>
      <c r="AP49" s="2174"/>
      <c r="AQ49" s="2174"/>
      <c r="AR49" s="1993">
        <f ca="1">IFERROR(VLOOKUP(Z49,'銀行-TSS'!B:M,12,FALSE),"")</f>
        <v>6.3799999999999996E-2</v>
      </c>
      <c r="AS49" s="1993"/>
      <c r="AT49" s="1993"/>
      <c r="AU49" s="1990" t="str">
        <f ca="1">IFERROR(VLOOKUP(Z49,'銀行-TSS'!B:Q,16,FALSE),"")</f>
        <v>非核心消費</v>
      </c>
      <c r="AV49" s="1990"/>
      <c r="AW49" s="1990"/>
      <c r="AX49" s="2172" t="str">
        <f ca="1">IFERROR(IF(Z49="","",IF(換券單檔!$O$6&lt;&gt;4,換券單檔!Q12,換券單檔!S12)),"")</f>
        <v>BB+</v>
      </c>
      <c r="AY49" s="2172"/>
      <c r="AZ49" s="2172"/>
    </row>
    <row r="50" spans="4:52" ht="44.25" customHeight="1">
      <c r="D50" s="1493"/>
      <c r="E50" s="505"/>
      <c r="F50" s="505"/>
      <c r="G50" s="505"/>
      <c r="H50" s="505"/>
      <c r="I50" s="505"/>
      <c r="J50" s="505"/>
      <c r="P50" s="1423" t="s">
        <v>3519</v>
      </c>
      <c r="Q50" s="2048" t="str">
        <f ca="1">IFERROR(換券單檔!D12,"")</f>
        <v>科技</v>
      </c>
      <c r="R50" s="2048"/>
      <c r="S50" s="2048"/>
      <c r="T50" s="981"/>
      <c r="U50" s="988" t="s">
        <v>3519</v>
      </c>
      <c r="V50" s="2049" t="str">
        <f ca="1">IFERROR(換券單檔!G12,"")</f>
        <v/>
      </c>
      <c r="W50" s="2049"/>
      <c r="X50" s="2049"/>
      <c r="Y50" s="1578" t="str">
        <f ca="1">IF(Z50="","",換券單檔!O13&amp;".")</f>
        <v>6.</v>
      </c>
      <c r="Z50" s="1774" t="str">
        <f ca="1">IFERROR(IF(換券單檔!$O$6&lt;&gt;4,換券單檔!P13,IF(換券單檔!R13="","",換券單檔!R13)),"")</f>
        <v>XH250</v>
      </c>
      <c r="AA50" s="2167" t="str">
        <f ca="1">IFERROR(IFERROR(IF(FIND("美國政府",換券單檔!U13)=1,LEFT(換券單檔!U13,6)),CONCATENATE(LEFT(換券單檔!U13,SEARCH(換券單檔!$E$13,換券單檔!U13,1)-1))),"")</f>
        <v>暉致公司</v>
      </c>
      <c r="AB50" s="2167"/>
      <c r="AC50" s="2167"/>
      <c r="AD50" s="2167"/>
      <c r="AE50" s="2167"/>
      <c r="AF50" s="2167"/>
      <c r="AG50" s="2167"/>
      <c r="AH50" s="2165">
        <f ca="1">IFERROR(VLOOKUP(Z50,'銀行-TSS'!B:H,7,FALSE),"")</f>
        <v>0.04</v>
      </c>
      <c r="AI50" s="2165"/>
      <c r="AJ50" s="2165"/>
      <c r="AK50" s="2170" t="str">
        <f ca="1">IFERROR(VLOOKUP(Z50,'銀行-TSS'!B:F,5,FALSE),"")</f>
        <v>2050/6/22</v>
      </c>
      <c r="AL50" s="2170"/>
      <c r="AM50" s="2170"/>
      <c r="AN50" s="2170"/>
      <c r="AO50" s="2175">
        <f ca="1">IFERROR(VLOOKUP(Z50,'銀行-TSS'!B:K,10,FALSE),"")</f>
        <v>71.63</v>
      </c>
      <c r="AP50" s="2175"/>
      <c r="AQ50" s="2175"/>
      <c r="AR50" s="2037">
        <f ca="1">IFERROR(VLOOKUP(Z50,'銀行-TSS'!B:M,12,FALSE),"")</f>
        <v>6.2300000000000001E-2</v>
      </c>
      <c r="AS50" s="2037"/>
      <c r="AT50" s="2037"/>
      <c r="AU50" s="2167" t="str">
        <f ca="1">IFERROR(VLOOKUP(Z50,'銀行-TSS'!B:Q,16,FALSE),"")</f>
        <v>醫療保健</v>
      </c>
      <c r="AV50" s="2167"/>
      <c r="AW50" s="2167"/>
      <c r="AX50" s="2173" t="str">
        <f ca="1">IFERROR(IF(Z50="","",IF(換券單檔!$O$6&lt;&gt;4,換券單檔!Q13,換券單檔!S13)),"")</f>
        <v>BBB</v>
      </c>
      <c r="AY50" s="2173"/>
      <c r="AZ50" s="2173"/>
    </row>
    <row r="51" spans="4:52" ht="44.25" customHeight="1">
      <c r="D51" s="1493"/>
      <c r="E51" s="505"/>
      <c r="F51" s="505"/>
      <c r="G51" s="505"/>
      <c r="H51" s="505"/>
      <c r="I51" s="505"/>
      <c r="J51" s="505"/>
      <c r="P51" s="2137" t="s">
        <v>3781</v>
      </c>
      <c r="Q51" s="2137"/>
      <c r="R51" s="2137"/>
      <c r="S51" s="2137"/>
      <c r="T51" s="2137"/>
      <c r="U51" s="2137"/>
      <c r="V51" s="2137"/>
      <c r="W51" s="2137"/>
      <c r="X51" s="2137"/>
      <c r="Z51" s="2065" t="s">
        <v>4068</v>
      </c>
      <c r="AA51" s="2065"/>
      <c r="AB51" s="2065"/>
      <c r="AC51" s="2065"/>
      <c r="AD51" s="2065"/>
      <c r="AE51" s="2065"/>
      <c r="AF51" s="2065"/>
      <c r="AG51" s="2065"/>
      <c r="AH51" s="2065"/>
      <c r="AI51" s="2065"/>
      <c r="AJ51" s="2065"/>
      <c r="AK51" s="2065"/>
      <c r="AL51" s="2065"/>
      <c r="AM51" s="2065"/>
      <c r="AN51" s="2065"/>
      <c r="AO51" s="2065"/>
      <c r="AP51" s="2065"/>
      <c r="AQ51" s="2065"/>
      <c r="AR51" s="2065"/>
      <c r="AS51" s="2065"/>
      <c r="AT51" s="2065"/>
      <c r="AU51" s="2065"/>
      <c r="AV51" s="2065"/>
      <c r="AW51" s="2065"/>
      <c r="AX51" s="2065"/>
      <c r="AY51" s="2065"/>
      <c r="AZ51" s="2065"/>
    </row>
    <row r="52" spans="4:52" ht="44.25" customHeight="1">
      <c r="D52" s="1493"/>
      <c r="E52" s="505"/>
      <c r="F52" s="505"/>
      <c r="G52" s="505"/>
      <c r="H52" s="505"/>
      <c r="I52" s="505"/>
      <c r="J52" s="505"/>
      <c r="P52" s="294" t="s">
        <v>3542</v>
      </c>
      <c r="Q52" s="294"/>
      <c r="R52" s="294"/>
      <c r="S52" s="294"/>
      <c r="T52" s="294"/>
      <c r="U52" s="294"/>
      <c r="V52" s="1034"/>
      <c r="W52" s="2044" t="str">
        <f ca="1">CONCATENATE("幣別：",V19)</f>
        <v>幣別：USD</v>
      </c>
      <c r="X52" s="2044"/>
      <c r="Y52" s="981"/>
      <c r="Z52" s="1491" t="s">
        <v>4130</v>
      </c>
      <c r="AA52" s="1482"/>
      <c r="AB52" s="1482"/>
      <c r="AC52" s="1482"/>
      <c r="AD52" s="1482"/>
      <c r="AE52" s="1482"/>
      <c r="AF52" s="1482"/>
      <c r="AG52" s="1482"/>
      <c r="AH52" s="1482"/>
      <c r="AI52" s="1482"/>
      <c r="AJ52" s="1482"/>
      <c r="AK52" s="1482"/>
      <c r="AL52" s="1482"/>
      <c r="AM52" s="1482"/>
      <c r="AN52" s="1482"/>
      <c r="AO52" s="1482"/>
      <c r="AP52" s="1482"/>
      <c r="AQ52" s="1482"/>
      <c r="AR52" s="1482"/>
      <c r="AS52" s="1482"/>
      <c r="AT52" s="1482"/>
      <c r="AU52" s="1482"/>
      <c r="AV52" s="1482"/>
      <c r="AW52" s="1482"/>
      <c r="AX52" s="1482"/>
      <c r="AY52" s="1482"/>
      <c r="AZ52" s="1489"/>
    </row>
    <row r="53" spans="4:52" ht="12.75" customHeight="1">
      <c r="D53" s="505"/>
      <c r="E53" s="505"/>
      <c r="F53" s="505"/>
      <c r="G53" s="505"/>
      <c r="H53" s="505"/>
      <c r="I53" s="505"/>
      <c r="J53" s="505"/>
      <c r="O53" s="2004"/>
      <c r="P53" s="990"/>
      <c r="Q53" s="990"/>
      <c r="R53" s="990"/>
      <c r="S53" s="990"/>
      <c r="T53" s="990"/>
      <c r="U53" s="990"/>
      <c r="V53" s="990"/>
      <c r="W53" s="990"/>
      <c r="X53" s="990"/>
      <c r="Y53" s="981"/>
      <c r="Z53" s="1483"/>
      <c r="AA53" s="1483"/>
      <c r="AB53" s="1483"/>
      <c r="AC53" s="1483"/>
      <c r="AD53" s="1483"/>
      <c r="AE53" s="1483"/>
      <c r="AF53" s="1483"/>
      <c r="AG53" s="1483"/>
      <c r="AH53" s="1483"/>
      <c r="AI53" s="1483"/>
      <c r="AJ53" s="1483"/>
      <c r="AK53" s="1483"/>
      <c r="AL53" s="1483"/>
      <c r="AM53" s="1483"/>
      <c r="AN53" s="1483"/>
      <c r="AO53" s="1483"/>
      <c r="AP53" s="1483"/>
      <c r="AQ53" s="1484"/>
      <c r="AR53" s="1484"/>
      <c r="AS53" s="1484"/>
      <c r="AT53" s="1484"/>
      <c r="AU53" s="1483"/>
      <c r="AV53" s="1483"/>
      <c r="AW53" s="1483"/>
      <c r="AX53" s="1483"/>
      <c r="AY53" s="1483"/>
      <c r="AZ53" s="1483"/>
    </row>
    <row r="54" spans="4:52" ht="30" customHeight="1">
      <c r="D54" s="505"/>
      <c r="E54" s="1486"/>
      <c r="F54" s="505"/>
      <c r="G54" s="1490"/>
      <c r="H54" s="1490"/>
      <c r="I54" s="505"/>
      <c r="J54" s="505"/>
      <c r="O54" s="2004"/>
      <c r="P54" s="2138" t="s">
        <v>3543</v>
      </c>
      <c r="Q54" s="2015">
        <f ca="1">IFERROR(換券單檔!D29,0)</f>
        <v>4849.9999999999991</v>
      </c>
      <c r="R54" s="2015"/>
      <c r="S54" s="2015"/>
      <c r="T54" s="2015"/>
      <c r="U54" s="2015"/>
      <c r="V54" s="2015"/>
      <c r="W54" s="1408"/>
      <c r="X54" s="991" t="str">
        <f ca="1">IFERROR(IF($Q$47="","-",IF($V$19="TWD",TEXT(換券單檔!D29*換券單檔!$D$23,"#,##0"),TEXT(換券單檔!D29,"#,##0"))),"-")</f>
        <v>4,850</v>
      </c>
      <c r="Y54" s="857"/>
      <c r="Z54" s="1483"/>
      <c r="AA54" s="1483"/>
      <c r="AB54" s="1483"/>
      <c r="AC54" s="1483"/>
      <c r="AD54" s="1483"/>
      <c r="AE54" s="1483"/>
      <c r="AF54" s="1483"/>
      <c r="AG54" s="1483"/>
      <c r="AH54" s="1483"/>
      <c r="AI54" s="1483"/>
      <c r="AJ54" s="1483"/>
      <c r="AK54" s="1483"/>
      <c r="AL54" s="1483"/>
      <c r="AM54" s="1483"/>
      <c r="AN54" s="1483"/>
      <c r="AO54" s="1483"/>
      <c r="AP54" s="1483"/>
      <c r="AQ54" s="1484"/>
      <c r="AR54" s="1484"/>
      <c r="AS54" s="1484"/>
      <c r="AT54" s="1484"/>
      <c r="AU54" s="1483"/>
      <c r="AV54" s="1483"/>
      <c r="AW54" s="1483"/>
      <c r="AX54" s="1483"/>
      <c r="AY54" s="1483"/>
      <c r="AZ54" s="1483"/>
    </row>
    <row r="55" spans="4:52" ht="34.5" hidden="1" customHeight="1">
      <c r="D55" s="505"/>
      <c r="E55" s="1263"/>
      <c r="F55" s="505"/>
      <c r="G55" s="1262"/>
      <c r="H55" s="1316"/>
      <c r="I55" s="505"/>
      <c r="J55" s="505"/>
      <c r="O55" s="2004"/>
      <c r="P55" s="2017"/>
      <c r="Q55" s="2016">
        <f ca="1">IFERROR(換券單檔!E29,0)</f>
        <v>0</v>
      </c>
      <c r="R55" s="2016"/>
      <c r="S55" s="2016"/>
      <c r="T55" s="2016"/>
      <c r="U55" s="2016"/>
      <c r="V55" s="2016"/>
      <c r="W55" s="1406"/>
      <c r="X55" s="992"/>
      <c r="Z55" s="1483"/>
      <c r="AA55" s="1483"/>
      <c r="AB55" s="1483"/>
      <c r="AC55" s="1483"/>
      <c r="AD55" s="1483"/>
      <c r="AE55" s="1483"/>
      <c r="AF55" s="1483"/>
      <c r="AG55" s="1483"/>
      <c r="AH55" s="1483"/>
      <c r="AI55" s="1483"/>
      <c r="AJ55" s="1483"/>
      <c r="AK55" s="1483"/>
      <c r="AL55" s="1483"/>
      <c r="AM55" s="1483"/>
      <c r="AN55" s="1483"/>
      <c r="AO55" s="1483"/>
      <c r="AP55" s="1483"/>
      <c r="AQ55" s="1484"/>
      <c r="AR55" s="1484"/>
      <c r="AS55" s="1484"/>
      <c r="AT55" s="1484"/>
      <c r="AU55" s="1483"/>
      <c r="AV55" s="1483"/>
      <c r="AW55" s="1483"/>
      <c r="AX55" s="1483"/>
      <c r="AY55" s="1483"/>
      <c r="AZ55" s="1483"/>
    </row>
    <row r="56" spans="4:52" ht="34.5" hidden="1" customHeight="1">
      <c r="D56" s="505"/>
      <c r="E56" s="1264"/>
      <c r="F56" s="505"/>
      <c r="G56" s="1260"/>
      <c r="H56" s="1317"/>
      <c r="I56" s="505"/>
      <c r="J56" s="505"/>
      <c r="O56" s="2004"/>
      <c r="P56" s="2017"/>
      <c r="Q56" s="2016">
        <f ca="1">IFERROR(換券單檔!D29,0)</f>
        <v>4849.9999999999991</v>
      </c>
      <c r="R56" s="2016"/>
      <c r="S56" s="2016"/>
      <c r="T56" s="2016"/>
      <c r="U56" s="2016"/>
      <c r="V56" s="2016"/>
      <c r="W56" s="1406"/>
      <c r="X56" s="992"/>
      <c r="Z56" s="1483"/>
      <c r="AA56" s="1483"/>
      <c r="AB56" s="1483"/>
      <c r="AC56" s="1483"/>
      <c r="AD56" s="1483"/>
      <c r="AE56" s="1483"/>
      <c r="AF56" s="1483"/>
      <c r="AG56" s="1483"/>
      <c r="AH56" s="1483"/>
      <c r="AI56" s="1483"/>
      <c r="AJ56" s="1483"/>
      <c r="AK56" s="1483"/>
      <c r="AL56" s="1483"/>
      <c r="AM56" s="1483"/>
      <c r="AN56" s="1483"/>
      <c r="AO56" s="1483"/>
      <c r="AP56" s="1483"/>
      <c r="AQ56" s="1484"/>
      <c r="AR56" s="1484"/>
      <c r="AS56" s="1484"/>
      <c r="AT56" s="1484"/>
      <c r="AU56" s="1483"/>
      <c r="AV56" s="1483"/>
      <c r="AW56" s="1483"/>
      <c r="AX56" s="1483"/>
      <c r="AY56" s="1483"/>
      <c r="AZ56" s="1483"/>
    </row>
    <row r="57" spans="4:52" ht="30" customHeight="1">
      <c r="D57" s="505"/>
      <c r="E57" s="1265"/>
      <c r="F57" s="505"/>
      <c r="G57" s="505"/>
      <c r="H57" s="505"/>
      <c r="I57" s="505"/>
      <c r="J57" s="505"/>
      <c r="O57" s="2004"/>
      <c r="P57" s="2017"/>
      <c r="Q57" s="2014">
        <f ca="1">IFERROR(換券單檔!E29,0)</f>
        <v>0</v>
      </c>
      <c r="R57" s="2014"/>
      <c r="S57" s="2014"/>
      <c r="T57" s="2014"/>
      <c r="U57" s="2014"/>
      <c r="V57" s="2014"/>
      <c r="W57" s="1407"/>
      <c r="X57" s="993" t="str">
        <f ca="1">IFERROR(IF(OR($U$44="",$Q$47=""),"-",IF($V$19="TWD",TEXT(換券單檔!E29*換券單檔!$D$23,"#,##0"),TEXT(換券單檔!E29,"#,##0"))),"-")</f>
        <v>-</v>
      </c>
      <c r="Z57" s="1485"/>
      <c r="AA57" s="1483"/>
      <c r="AB57" s="1483"/>
      <c r="AC57" s="1483"/>
      <c r="AD57" s="1483"/>
      <c r="AE57" s="1483"/>
      <c r="AF57" s="1483"/>
      <c r="AG57" s="1483"/>
      <c r="AH57" s="1483"/>
      <c r="AI57" s="1483"/>
      <c r="AJ57" s="1483"/>
      <c r="AK57" s="1483"/>
      <c r="AL57" s="1483"/>
      <c r="AM57" s="1483"/>
      <c r="AN57" s="1483"/>
      <c r="AO57" s="1483"/>
      <c r="AP57" s="1483"/>
      <c r="AQ57" s="1484"/>
      <c r="AR57" s="1484"/>
      <c r="AS57" s="1484"/>
      <c r="AT57" s="1484"/>
      <c r="AU57" s="1483"/>
      <c r="AV57" s="1483"/>
      <c r="AW57" s="1483"/>
      <c r="AX57" s="1483"/>
      <c r="AY57" s="1483"/>
      <c r="AZ57" s="1483"/>
    </row>
    <row r="58" spans="4:52" ht="12.75" customHeight="1">
      <c r="D58" s="505"/>
      <c r="E58" s="505"/>
      <c r="F58" s="505"/>
      <c r="G58" s="505"/>
      <c r="H58" s="505"/>
      <c r="I58" s="505"/>
      <c r="J58" s="505"/>
      <c r="O58" s="2005"/>
      <c r="P58" s="967"/>
      <c r="Q58" s="966"/>
      <c r="R58" s="966"/>
      <c r="S58" s="966"/>
      <c r="T58" s="966"/>
      <c r="U58" s="966"/>
      <c r="V58" s="966"/>
      <c r="W58" s="966"/>
      <c r="X58" s="993"/>
      <c r="Z58" s="1483"/>
      <c r="AA58" s="1483"/>
      <c r="AB58" s="1483"/>
      <c r="AC58" s="1483"/>
      <c r="AD58" s="1483"/>
      <c r="AE58" s="1483"/>
      <c r="AF58" s="1483"/>
      <c r="AG58" s="1483"/>
      <c r="AH58" s="1483"/>
      <c r="AI58" s="1483"/>
      <c r="AJ58" s="1483"/>
      <c r="AK58" s="1483"/>
      <c r="AL58" s="1483"/>
      <c r="AM58" s="1483"/>
      <c r="AN58" s="1483"/>
      <c r="AO58" s="1483"/>
      <c r="AP58" s="1483"/>
      <c r="AQ58" s="1484"/>
      <c r="AR58" s="1484"/>
      <c r="AS58" s="1484"/>
      <c r="AT58" s="1484"/>
      <c r="AU58" s="1483"/>
      <c r="AV58" s="1483"/>
      <c r="AW58" s="1483"/>
      <c r="AX58" s="1483"/>
      <c r="AY58" s="1483"/>
      <c r="AZ58" s="1483"/>
    </row>
    <row r="59" spans="4:52" ht="12.75" customHeight="1">
      <c r="D59" s="505"/>
      <c r="E59" s="505"/>
      <c r="F59" s="505"/>
      <c r="G59" s="505"/>
      <c r="H59" s="505"/>
      <c r="I59" s="505"/>
      <c r="J59" s="505"/>
      <c r="O59" s="2004"/>
      <c r="P59" s="968"/>
      <c r="Q59" s="978"/>
      <c r="R59" s="978"/>
      <c r="S59" s="978"/>
      <c r="T59" s="978"/>
      <c r="U59" s="978"/>
      <c r="V59" s="978"/>
      <c r="W59" s="978"/>
      <c r="X59" s="994"/>
      <c r="Z59" s="1483"/>
      <c r="AA59" s="1483"/>
      <c r="AB59" s="1483"/>
      <c r="AC59" s="1483"/>
      <c r="AD59" s="1483"/>
      <c r="AE59" s="1483"/>
      <c r="AF59" s="1483"/>
      <c r="AG59" s="1483"/>
      <c r="AH59" s="1483"/>
      <c r="AI59" s="1483"/>
      <c r="AJ59" s="1483"/>
      <c r="AK59" s="1483"/>
      <c r="AL59" s="1483"/>
      <c r="AM59" s="1483"/>
      <c r="AN59" s="1483"/>
      <c r="AO59" s="1483"/>
      <c r="AP59" s="1483"/>
      <c r="AQ59" s="1484"/>
      <c r="AR59" s="1484"/>
      <c r="AS59" s="1484"/>
      <c r="AT59" s="1484"/>
      <c r="AU59" s="1483"/>
      <c r="AV59" s="1483"/>
      <c r="AW59" s="1483"/>
      <c r="AX59" s="1483"/>
      <c r="AY59" s="1483"/>
      <c r="AZ59" s="1483"/>
    </row>
    <row r="60" spans="4:52" ht="29.25" customHeight="1">
      <c r="D60" s="505"/>
      <c r="E60" s="505"/>
      <c r="F60" s="505"/>
      <c r="G60" s="505"/>
      <c r="H60" s="505"/>
      <c r="I60" s="505"/>
      <c r="J60" s="505"/>
      <c r="O60" s="2004"/>
      <c r="P60" s="2006" t="s">
        <v>3544</v>
      </c>
      <c r="Q60" s="2133">
        <f ca="1">IFERROR(換券單檔!D30,0)</f>
        <v>100000</v>
      </c>
      <c r="R60" s="2133"/>
      <c r="S60" s="2133"/>
      <c r="T60" s="2133"/>
      <c r="U60" s="2133"/>
      <c r="V60" s="2133"/>
      <c r="W60" s="1414"/>
      <c r="X60" s="995" t="str">
        <f ca="1">IFERROR(IF($Q$47="","-",IF($V$19="TWD",TEXT(換券單檔!D30*換券單檔!$D$23,"#,##0"),TEXT(換券單檔!D30,"#,##0"))),"-")</f>
        <v>100,000</v>
      </c>
      <c r="Z60" s="1483"/>
      <c r="AA60" s="1483"/>
      <c r="AB60" s="1483"/>
      <c r="AC60" s="1483"/>
      <c r="AD60" s="1483"/>
      <c r="AE60" s="1483"/>
      <c r="AF60" s="1483"/>
      <c r="AG60" s="1483"/>
      <c r="AH60" s="1483"/>
      <c r="AI60" s="1483"/>
      <c r="AJ60" s="1483"/>
      <c r="AK60" s="1483"/>
      <c r="AL60" s="1483"/>
      <c r="AM60" s="1483"/>
      <c r="AN60" s="1483"/>
      <c r="AO60" s="1483"/>
      <c r="AP60" s="1483"/>
      <c r="AQ60" s="1484"/>
      <c r="AR60" s="1484"/>
      <c r="AS60" s="1484"/>
      <c r="AT60" s="1484"/>
      <c r="AU60" s="1483"/>
      <c r="AV60" s="1483"/>
      <c r="AW60" s="1483"/>
      <c r="AX60" s="1483"/>
      <c r="AY60" s="1483"/>
      <c r="AZ60" s="1483"/>
    </row>
    <row r="61" spans="4:52" ht="34.5" hidden="1" customHeight="1">
      <c r="D61" s="505"/>
      <c r="E61" s="505"/>
      <c r="F61" s="505"/>
      <c r="G61" s="505"/>
      <c r="H61" s="505"/>
      <c r="I61" s="505"/>
      <c r="J61" s="505"/>
      <c r="O61" s="2004"/>
      <c r="P61" s="2007"/>
      <c r="Q61" s="2134">
        <f ca="1">IFERROR(換券單檔!E30,0)</f>
        <v>0</v>
      </c>
      <c r="R61" s="2134"/>
      <c r="S61" s="2134"/>
      <c r="T61" s="2134"/>
      <c r="U61" s="2134"/>
      <c r="V61" s="2134"/>
      <c r="W61" s="1415"/>
      <c r="X61" s="996"/>
      <c r="Z61" s="1483"/>
      <c r="AA61" s="1483"/>
      <c r="AB61" s="1483"/>
      <c r="AC61" s="1483"/>
      <c r="AD61" s="1483"/>
      <c r="AE61" s="1483"/>
      <c r="AF61" s="1483"/>
      <c r="AG61" s="1483"/>
      <c r="AH61" s="1483"/>
      <c r="AI61" s="1483"/>
      <c r="AJ61" s="1483"/>
      <c r="AK61" s="1483"/>
      <c r="AL61" s="1483"/>
      <c r="AM61" s="1483"/>
      <c r="AN61" s="1483"/>
      <c r="AO61" s="1483"/>
      <c r="AP61" s="1483"/>
      <c r="AQ61" s="1484"/>
      <c r="AR61" s="1484"/>
      <c r="AS61" s="1484"/>
      <c r="AT61" s="1484"/>
      <c r="AU61" s="1483"/>
      <c r="AV61" s="1483"/>
      <c r="AW61" s="1483"/>
      <c r="AX61" s="1483"/>
      <c r="AY61" s="1483"/>
      <c r="AZ61" s="1483"/>
    </row>
    <row r="62" spans="4:52" ht="34.5" hidden="1" customHeight="1">
      <c r="D62" s="505"/>
      <c r="E62" s="505"/>
      <c r="F62" s="505"/>
      <c r="G62" s="505"/>
      <c r="H62" s="505"/>
      <c r="I62" s="505"/>
      <c r="J62" s="505"/>
      <c r="O62" s="2004"/>
      <c r="P62" s="2007"/>
      <c r="Q62" s="2125">
        <f ca="1">IFERROR(換券單檔!D30,0)</f>
        <v>100000</v>
      </c>
      <c r="R62" s="2125"/>
      <c r="S62" s="2125"/>
      <c r="T62" s="2125"/>
      <c r="U62" s="2125"/>
      <c r="V62" s="2125"/>
      <c r="W62" s="1421"/>
      <c r="X62" s="997"/>
      <c r="Z62" s="1483"/>
      <c r="AA62" s="1483"/>
      <c r="AB62" s="1483"/>
      <c r="AC62" s="1483"/>
      <c r="AD62" s="1483"/>
      <c r="AE62" s="1483"/>
      <c r="AF62" s="1483"/>
      <c r="AG62" s="1483"/>
      <c r="AH62" s="1483"/>
      <c r="AI62" s="1483"/>
      <c r="AJ62" s="1483"/>
      <c r="AK62" s="1483"/>
      <c r="AL62" s="1483"/>
      <c r="AM62" s="1483"/>
      <c r="AN62" s="1483"/>
      <c r="AO62" s="1483"/>
      <c r="AP62" s="1483"/>
      <c r="AQ62" s="1484"/>
      <c r="AR62" s="1484"/>
      <c r="AS62" s="1484"/>
      <c r="AT62" s="1484"/>
      <c r="AU62" s="1483"/>
      <c r="AV62" s="1483"/>
      <c r="AW62" s="1483"/>
      <c r="AX62" s="1483"/>
      <c r="AY62" s="1483"/>
      <c r="AZ62" s="1483"/>
    </row>
    <row r="63" spans="4:52" ht="30" customHeight="1">
      <c r="D63" s="505"/>
      <c r="E63" s="505"/>
      <c r="F63" s="505"/>
      <c r="G63" s="505"/>
      <c r="H63" s="505"/>
      <c r="I63" s="505"/>
      <c r="J63" s="505"/>
      <c r="O63" s="2004"/>
      <c r="P63" s="2007"/>
      <c r="Q63" s="2126">
        <f ca="1">IFERROR(換券單檔!E30,0)</f>
        <v>0</v>
      </c>
      <c r="R63" s="2126"/>
      <c r="S63" s="2126"/>
      <c r="T63" s="2126"/>
      <c r="U63" s="2126"/>
      <c r="V63" s="2126"/>
      <c r="W63" s="1422"/>
      <c r="X63" s="998" t="str">
        <f ca="1">IFERROR(IF(OR($U$44="",$Q$47=""),"-",IF($V$19="TWD",TEXT(換券單檔!E30*換券單檔!$D$23,"#,##0"),TEXT(換券單檔!E30,"#,##0"))),"-")</f>
        <v>-</v>
      </c>
      <c r="Z63" s="1483"/>
      <c r="AA63" s="1483"/>
      <c r="AB63" s="1483"/>
      <c r="AC63" s="1483"/>
      <c r="AD63" s="1483"/>
      <c r="AE63" s="1483"/>
      <c r="AF63" s="1483"/>
      <c r="AG63" s="1483"/>
      <c r="AH63" s="1483"/>
      <c r="AI63" s="1483"/>
      <c r="AJ63" s="1483"/>
      <c r="AK63" s="1483"/>
      <c r="AL63" s="1483"/>
      <c r="AM63" s="1483"/>
      <c r="AN63" s="1483"/>
      <c r="AO63" s="1483"/>
      <c r="AP63" s="1483"/>
      <c r="AQ63" s="1484"/>
      <c r="AR63" s="1484"/>
      <c r="AS63" s="1484"/>
      <c r="AT63" s="1484"/>
      <c r="AU63" s="1483"/>
      <c r="AV63" s="1483"/>
      <c r="AW63" s="1483"/>
      <c r="AX63" s="1483"/>
      <c r="AY63" s="1483"/>
      <c r="AZ63" s="1483"/>
    </row>
    <row r="64" spans="4:52" ht="12.75" customHeight="1">
      <c r="D64" s="505"/>
      <c r="E64" s="505"/>
      <c r="F64" s="505"/>
      <c r="G64" s="505"/>
      <c r="H64" s="505"/>
      <c r="I64" s="505"/>
      <c r="J64" s="505"/>
      <c r="O64" s="2005"/>
      <c r="P64" s="970"/>
      <c r="Q64" s="971"/>
      <c r="R64" s="971"/>
      <c r="S64" s="971"/>
      <c r="T64" s="971"/>
      <c r="U64" s="971"/>
      <c r="V64" s="971"/>
      <c r="W64" s="971"/>
      <c r="X64" s="999"/>
      <c r="Z64" s="1483"/>
      <c r="AA64" s="1483"/>
      <c r="AB64" s="1483"/>
      <c r="AC64" s="1483"/>
      <c r="AD64" s="1483"/>
      <c r="AE64" s="1483"/>
      <c r="AF64" s="1483"/>
      <c r="AG64" s="1483"/>
      <c r="AH64" s="1483"/>
      <c r="AI64" s="1483"/>
      <c r="AJ64" s="1483"/>
      <c r="AK64" s="1483"/>
      <c r="AL64" s="1483"/>
      <c r="AM64" s="1483"/>
      <c r="AN64" s="1483"/>
      <c r="AO64" s="1483"/>
      <c r="AP64" s="1483"/>
      <c r="AQ64" s="1484"/>
      <c r="AR64" s="1484"/>
      <c r="AS64" s="1484"/>
      <c r="AT64" s="1484"/>
      <c r="AU64" s="1483"/>
      <c r="AV64" s="1483"/>
      <c r="AW64" s="1483"/>
      <c r="AX64" s="1483"/>
      <c r="AY64" s="1483"/>
      <c r="AZ64" s="1483"/>
    </row>
    <row r="65" spans="4:52" ht="12.75" customHeight="1">
      <c r="D65" s="505"/>
      <c r="E65" s="505"/>
      <c r="F65" s="505"/>
      <c r="G65" s="505"/>
      <c r="H65" s="505"/>
      <c r="I65" s="505"/>
      <c r="J65" s="505"/>
      <c r="O65" s="2004"/>
      <c r="P65" s="968"/>
      <c r="Q65" s="972"/>
      <c r="R65" s="972"/>
      <c r="S65" s="972"/>
      <c r="T65" s="972"/>
      <c r="U65" s="972"/>
      <c r="V65" s="972"/>
      <c r="W65" s="972"/>
      <c r="X65" s="1000"/>
      <c r="Z65" s="1483"/>
      <c r="AA65" s="1483"/>
      <c r="AB65" s="1483"/>
      <c r="AC65" s="1483"/>
      <c r="AD65" s="1483"/>
      <c r="AE65" s="1483"/>
      <c r="AF65" s="1483"/>
      <c r="AG65" s="1483"/>
      <c r="AH65" s="1483"/>
      <c r="AI65" s="1483"/>
      <c r="AJ65" s="1483"/>
      <c r="AK65" s="1483"/>
      <c r="AL65" s="1483"/>
      <c r="AM65" s="1483"/>
      <c r="AN65" s="1483"/>
      <c r="AO65" s="1483"/>
      <c r="AP65" s="1483"/>
      <c r="AQ65" s="1484"/>
      <c r="AR65" s="1484"/>
      <c r="AS65" s="1484"/>
      <c r="AT65" s="1484"/>
      <c r="AU65" s="1483"/>
      <c r="AV65" s="1483"/>
      <c r="AW65" s="1483"/>
      <c r="AX65" s="1483"/>
      <c r="AY65" s="1483"/>
      <c r="AZ65" s="1483"/>
    </row>
    <row r="66" spans="4:52" ht="30" customHeight="1">
      <c r="D66" s="505"/>
      <c r="E66" s="505"/>
      <c r="F66" s="505"/>
      <c r="G66" s="505"/>
      <c r="H66" s="505"/>
      <c r="I66" s="505"/>
      <c r="J66" s="505"/>
      <c r="O66" s="2004"/>
      <c r="P66" s="2007" t="s">
        <v>3545</v>
      </c>
      <c r="Q66" s="2124">
        <f ca="1">IFERROR(換券單檔!D31,0)</f>
        <v>5.0274453752479784E-2</v>
      </c>
      <c r="R66" s="2124"/>
      <c r="S66" s="2124"/>
      <c r="T66" s="2124"/>
      <c r="U66" s="2124"/>
      <c r="V66" s="2124"/>
      <c r="W66" s="1420"/>
      <c r="X66" s="1001">
        <f ca="1">IFERROR(IF($Q$47="","",換券單檔!D31),"")</f>
        <v>5.0274453752479784E-2</v>
      </c>
      <c r="Z66" s="1483"/>
      <c r="AA66" s="1483"/>
      <c r="AB66" s="1483"/>
      <c r="AC66" s="1483"/>
      <c r="AD66" s="1483"/>
      <c r="AE66" s="1483"/>
      <c r="AF66" s="1483"/>
      <c r="AG66" s="1483"/>
      <c r="AH66" s="1483"/>
      <c r="AI66" s="1483"/>
      <c r="AJ66" s="1483"/>
      <c r="AK66" s="1483"/>
      <c r="AL66" s="1483"/>
      <c r="AM66" s="1483"/>
      <c r="AN66" s="1483"/>
      <c r="AO66" s="1483"/>
      <c r="AP66" s="1483"/>
      <c r="AQ66" s="1484"/>
      <c r="AR66" s="1484"/>
      <c r="AS66" s="1484"/>
      <c r="AT66" s="1484"/>
      <c r="AU66" s="1483"/>
      <c r="AV66" s="1483"/>
      <c r="AW66" s="1483"/>
      <c r="AX66" s="1483"/>
      <c r="AY66" s="1483"/>
      <c r="AZ66" s="1483"/>
    </row>
    <row r="67" spans="4:52" ht="34.5" hidden="1" customHeight="1">
      <c r="D67" s="505"/>
      <c r="E67" s="505"/>
      <c r="F67" s="505"/>
      <c r="G67" s="505"/>
      <c r="H67" s="505"/>
      <c r="I67" s="505"/>
      <c r="J67" s="505"/>
      <c r="O67" s="2004"/>
      <c r="P67" s="2007"/>
      <c r="Q67" s="2132">
        <f ca="1">IFERROR(換券單檔!E31,0)</f>
        <v>0</v>
      </c>
      <c r="R67" s="2132"/>
      <c r="S67" s="2132"/>
      <c r="T67" s="2132"/>
      <c r="U67" s="2132"/>
      <c r="V67" s="2132"/>
      <c r="W67" s="1417"/>
      <c r="X67" s="1002"/>
      <c r="Z67" s="1483"/>
      <c r="AA67" s="1483"/>
      <c r="AB67" s="1483"/>
      <c r="AC67" s="1483"/>
      <c r="AD67" s="1483"/>
      <c r="AE67" s="1483"/>
      <c r="AF67" s="1483"/>
      <c r="AG67" s="1483"/>
      <c r="AH67" s="1483"/>
      <c r="AI67" s="1483"/>
      <c r="AJ67" s="1483"/>
      <c r="AK67" s="1483"/>
      <c r="AL67" s="1483"/>
      <c r="AM67" s="1483"/>
      <c r="AN67" s="1483"/>
      <c r="AO67" s="1483"/>
      <c r="AP67" s="1483"/>
      <c r="AQ67" s="1484"/>
      <c r="AR67" s="1484"/>
      <c r="AS67" s="1484"/>
      <c r="AT67" s="1484"/>
      <c r="AU67" s="1483"/>
      <c r="AV67" s="1483"/>
      <c r="AW67" s="1483"/>
      <c r="AX67" s="1483"/>
      <c r="AY67" s="1483"/>
      <c r="AZ67" s="1483"/>
    </row>
    <row r="68" spans="4:52" ht="34.5" hidden="1" customHeight="1">
      <c r="D68" s="505"/>
      <c r="E68" s="505"/>
      <c r="F68" s="505"/>
      <c r="G68" s="505"/>
      <c r="H68" s="505"/>
      <c r="I68" s="505"/>
      <c r="J68" s="505"/>
      <c r="O68" s="2004"/>
      <c r="P68" s="2007"/>
      <c r="Q68" s="2132">
        <f ca="1">IFERROR(換券單檔!D31,0)</f>
        <v>5.0274453752479784E-2</v>
      </c>
      <c r="R68" s="2132"/>
      <c r="S68" s="2132"/>
      <c r="T68" s="2132"/>
      <c r="U68" s="2132"/>
      <c r="V68" s="2132"/>
      <c r="W68" s="1417"/>
      <c r="X68" s="1002"/>
      <c r="Z68" s="1483"/>
      <c r="AA68" s="1483"/>
      <c r="AB68" s="1483"/>
      <c r="AC68" s="1483"/>
      <c r="AD68" s="1483"/>
      <c r="AE68" s="1483"/>
      <c r="AF68" s="1483"/>
      <c r="AG68" s="1483"/>
      <c r="AH68" s="1483"/>
      <c r="AI68" s="1483"/>
      <c r="AJ68" s="1483"/>
      <c r="AK68" s="1483"/>
      <c r="AL68" s="1483"/>
      <c r="AM68" s="1483"/>
      <c r="AN68" s="1483"/>
      <c r="AO68" s="1483"/>
      <c r="AP68" s="1483"/>
      <c r="AQ68" s="1484"/>
      <c r="AR68" s="1484"/>
      <c r="AS68" s="1484"/>
      <c r="AT68" s="1484"/>
      <c r="AU68" s="1483"/>
      <c r="AV68" s="1483"/>
      <c r="AW68" s="1483"/>
      <c r="AX68" s="1483"/>
      <c r="AY68" s="1483"/>
      <c r="AZ68" s="1483"/>
    </row>
    <row r="69" spans="4:52" ht="30" customHeight="1">
      <c r="D69" s="505"/>
      <c r="E69" s="505"/>
      <c r="F69" s="505"/>
      <c r="G69" s="505"/>
      <c r="H69" s="505"/>
      <c r="I69" s="505"/>
      <c r="J69" s="505"/>
      <c r="O69" s="2004"/>
      <c r="P69" s="2007"/>
      <c r="Q69" s="2136">
        <f ca="1">IFERROR(換券單檔!E31,0)</f>
        <v>0</v>
      </c>
      <c r="R69" s="2136"/>
      <c r="S69" s="2136"/>
      <c r="T69" s="2136"/>
      <c r="U69" s="2136"/>
      <c r="V69" s="2136"/>
      <c r="W69" s="1418"/>
      <c r="X69" s="1003" t="str">
        <f ca="1">IFERROR(IF(OR($U$44="",$Q$47=""),"",換券單檔!E31),"")</f>
        <v/>
      </c>
      <c r="Z69" s="1483"/>
      <c r="AA69" s="1483"/>
      <c r="AB69" s="1483"/>
      <c r="AC69" s="1483"/>
      <c r="AD69" s="1483"/>
      <c r="AE69" s="1483"/>
      <c r="AF69" s="1483"/>
      <c r="AG69" s="1483"/>
      <c r="AH69" s="1483"/>
      <c r="AI69" s="1483"/>
      <c r="AJ69" s="1483"/>
      <c r="AK69" s="1483"/>
      <c r="AL69" s="1483"/>
      <c r="AM69" s="1483"/>
      <c r="AN69" s="1483"/>
      <c r="AO69" s="1483"/>
      <c r="AP69" s="1483"/>
      <c r="AQ69" s="1484"/>
      <c r="AR69" s="1484"/>
      <c r="AS69" s="1484"/>
      <c r="AT69" s="1484"/>
      <c r="AU69" s="1483"/>
      <c r="AV69" s="1483"/>
      <c r="AW69" s="1483"/>
      <c r="AX69" s="1483"/>
      <c r="AY69" s="1483"/>
      <c r="AZ69" s="1483"/>
    </row>
    <row r="70" spans="4:52" ht="12.75" customHeight="1">
      <c r="D70" s="505"/>
      <c r="E70" s="505"/>
      <c r="F70" s="505"/>
      <c r="G70" s="505"/>
      <c r="H70" s="505"/>
      <c r="I70" s="505"/>
      <c r="J70" s="505"/>
      <c r="O70" s="2005"/>
      <c r="P70" s="970"/>
      <c r="Q70" s="973"/>
      <c r="R70" s="973"/>
      <c r="S70" s="973"/>
      <c r="T70" s="973"/>
      <c r="U70" s="973"/>
      <c r="V70" s="973"/>
      <c r="W70" s="973"/>
      <c r="X70" s="1004"/>
      <c r="Z70" s="1483"/>
      <c r="AA70" s="1483"/>
      <c r="AB70" s="1483"/>
      <c r="AC70" s="1483"/>
      <c r="AD70" s="1483"/>
      <c r="AE70" s="1483"/>
      <c r="AF70" s="1483"/>
      <c r="AG70" s="1483"/>
      <c r="AH70" s="1483"/>
      <c r="AI70" s="1483"/>
      <c r="AJ70" s="1483"/>
      <c r="AK70" s="1483"/>
      <c r="AL70" s="1483"/>
      <c r="AM70" s="1483"/>
      <c r="AN70" s="1483"/>
      <c r="AO70" s="1483"/>
      <c r="AP70" s="1483"/>
      <c r="AQ70" s="1484"/>
      <c r="AR70" s="1484"/>
      <c r="AS70" s="1484"/>
      <c r="AT70" s="1484"/>
      <c r="AU70" s="1483"/>
      <c r="AV70" s="1483"/>
      <c r="AW70" s="1483"/>
      <c r="AX70" s="1483"/>
      <c r="AY70" s="1483"/>
      <c r="AZ70" s="1483"/>
    </row>
    <row r="71" spans="4:52" ht="12.75" customHeight="1">
      <c r="D71" s="505"/>
      <c r="E71" s="505"/>
      <c r="F71" s="505"/>
      <c r="G71" s="505"/>
      <c r="H71" s="505"/>
      <c r="I71" s="505"/>
      <c r="J71" s="505"/>
      <c r="O71" s="2004"/>
      <c r="P71" s="968"/>
      <c r="Q71" s="974"/>
      <c r="R71" s="974"/>
      <c r="S71" s="974"/>
      <c r="T71" s="974"/>
      <c r="U71" s="974"/>
      <c r="V71" s="974"/>
      <c r="W71" s="974"/>
      <c r="X71" s="1005"/>
      <c r="Z71" s="1483"/>
      <c r="AA71" s="1483"/>
      <c r="AB71" s="1483"/>
      <c r="AC71" s="1483"/>
      <c r="AD71" s="1483"/>
      <c r="AE71" s="1483"/>
      <c r="AF71" s="1483"/>
      <c r="AG71" s="1483"/>
      <c r="AH71" s="1483"/>
      <c r="AI71" s="1483"/>
      <c r="AJ71" s="1483"/>
      <c r="AK71" s="1483"/>
      <c r="AL71" s="1483"/>
      <c r="AM71" s="1483"/>
      <c r="AN71" s="1483"/>
      <c r="AO71" s="1483"/>
      <c r="AP71" s="1483"/>
      <c r="AQ71" s="1484"/>
      <c r="AR71" s="1484"/>
      <c r="AS71" s="1484"/>
      <c r="AT71" s="1484"/>
      <c r="AU71" s="1483"/>
      <c r="AV71" s="1483"/>
      <c r="AW71" s="1483"/>
      <c r="AX71" s="1483"/>
      <c r="AY71" s="1483"/>
      <c r="AZ71" s="1483"/>
    </row>
    <row r="72" spans="4:52" ht="30" customHeight="1">
      <c r="D72" s="505"/>
      <c r="E72" s="505"/>
      <c r="F72" s="505"/>
      <c r="G72" s="505"/>
      <c r="H72" s="505"/>
      <c r="I72" s="505"/>
      <c r="J72" s="505"/>
      <c r="O72" s="2004"/>
      <c r="P72" s="2007" t="s">
        <v>3546</v>
      </c>
      <c r="Q72" s="2131">
        <f ca="1">IFERROR(換券單檔!D32,0)</f>
        <v>28.85</v>
      </c>
      <c r="R72" s="2131"/>
      <c r="S72" s="2131"/>
      <c r="T72" s="2131"/>
      <c r="U72" s="2131"/>
      <c r="V72" s="2131"/>
      <c r="W72" s="1413"/>
      <c r="X72" s="1006">
        <f ca="1">IFERROR(IF($Q$47="","-",換券單檔!D32),"-")</f>
        <v>28.85</v>
      </c>
      <c r="Z72" s="1483"/>
      <c r="AA72" s="1483"/>
      <c r="AB72" s="1483"/>
      <c r="AC72" s="1483"/>
      <c r="AD72" s="1483"/>
      <c r="AE72" s="1483"/>
      <c r="AF72" s="1483"/>
      <c r="AG72" s="1483"/>
      <c r="AH72" s="1483"/>
      <c r="AI72" s="1483"/>
      <c r="AJ72" s="1483"/>
      <c r="AK72" s="1483"/>
      <c r="AL72" s="1483"/>
      <c r="AM72" s="1483"/>
      <c r="AN72" s="1483"/>
      <c r="AO72" s="1483"/>
      <c r="AP72" s="1483"/>
      <c r="AQ72" s="1484"/>
      <c r="AR72" s="1484"/>
      <c r="AS72" s="1484"/>
      <c r="AT72" s="1484"/>
      <c r="AU72" s="1629" t="str">
        <f ca="1">LEFT(Q44,12)</f>
        <v>蘋果公司</v>
      </c>
      <c r="AV72" s="1483"/>
      <c r="AW72" s="1483"/>
      <c r="AX72" s="1483"/>
      <c r="AY72" s="1483"/>
      <c r="AZ72" s="1483"/>
    </row>
    <row r="73" spans="4:52" ht="34.5" hidden="1" customHeight="1">
      <c r="D73" s="505"/>
      <c r="E73" s="505"/>
      <c r="F73" s="505"/>
      <c r="G73" s="505"/>
      <c r="H73" s="505"/>
      <c r="I73" s="505"/>
      <c r="J73" s="505"/>
      <c r="O73" s="2004"/>
      <c r="P73" s="2007"/>
      <c r="Q73" s="2129">
        <f ca="1">IFERROR(換券單檔!E32,0)</f>
        <v>0</v>
      </c>
      <c r="R73" s="2129"/>
      <c r="S73" s="2129"/>
      <c r="T73" s="2129"/>
      <c r="U73" s="2129"/>
      <c r="V73" s="2129"/>
      <c r="W73" s="1411"/>
      <c r="X73" s="1007"/>
      <c r="Z73" s="1483"/>
      <c r="AA73" s="1483"/>
      <c r="AB73" s="1483"/>
      <c r="AC73" s="1483"/>
      <c r="AD73" s="1483"/>
      <c r="AE73" s="1483"/>
      <c r="AF73" s="1483"/>
      <c r="AG73" s="1483"/>
      <c r="AH73" s="1483"/>
      <c r="AI73" s="1483"/>
      <c r="AJ73" s="1483"/>
      <c r="AK73" s="1483"/>
      <c r="AL73" s="1483"/>
      <c r="AM73" s="1483"/>
      <c r="AN73" s="1483"/>
      <c r="AO73" s="1483"/>
      <c r="AP73" s="1483"/>
      <c r="AQ73" s="1484"/>
      <c r="AR73" s="1484"/>
      <c r="AS73" s="1484"/>
      <c r="AT73" s="1484"/>
      <c r="AU73" s="1629"/>
      <c r="AV73" s="1483"/>
      <c r="AW73" s="1483"/>
      <c r="AX73" s="1483"/>
      <c r="AY73" s="1483"/>
      <c r="AZ73" s="1483"/>
    </row>
    <row r="74" spans="4:52" ht="0.75" hidden="1" customHeight="1">
      <c r="D74" s="505"/>
      <c r="E74" s="505"/>
      <c r="F74" s="505"/>
      <c r="G74" s="505"/>
      <c r="H74" s="505"/>
      <c r="I74" s="505"/>
      <c r="J74" s="505"/>
      <c r="O74" s="2004"/>
      <c r="P74" s="2007"/>
      <c r="Q74" s="2129">
        <f ca="1">IFERROR(換券單檔!D32,0)</f>
        <v>28.85</v>
      </c>
      <c r="R74" s="2129"/>
      <c r="S74" s="2129"/>
      <c r="T74" s="2129"/>
      <c r="U74" s="2129"/>
      <c r="V74" s="2129"/>
      <c r="W74" s="1411"/>
      <c r="X74" s="1007"/>
      <c r="Z74" s="1483"/>
      <c r="AA74" s="1483"/>
      <c r="AB74" s="1483"/>
      <c r="AC74" s="1483"/>
      <c r="AD74" s="1483"/>
      <c r="AE74" s="1483"/>
      <c r="AF74" s="1483"/>
      <c r="AG74" s="1483"/>
      <c r="AH74" s="1483"/>
      <c r="AI74" s="1483"/>
      <c r="AJ74" s="1483"/>
      <c r="AK74" s="1483"/>
      <c r="AL74" s="1483"/>
      <c r="AM74" s="1483"/>
      <c r="AN74" s="1483"/>
      <c r="AO74" s="1483"/>
      <c r="AP74" s="1483"/>
      <c r="AQ74" s="1484"/>
      <c r="AR74" s="1484"/>
      <c r="AS74" s="1484"/>
      <c r="AT74" s="1484"/>
      <c r="AU74" s="1629"/>
      <c r="AV74" s="1483"/>
      <c r="AW74" s="1483"/>
      <c r="AX74" s="1483"/>
      <c r="AY74" s="1483"/>
      <c r="AZ74" s="1483"/>
    </row>
    <row r="75" spans="4:52" ht="30" customHeight="1">
      <c r="D75" s="505"/>
      <c r="E75" s="505"/>
      <c r="F75" s="505"/>
      <c r="G75" s="505"/>
      <c r="H75" s="505"/>
      <c r="I75" s="505"/>
      <c r="J75" s="505"/>
      <c r="O75" s="2004"/>
      <c r="P75" s="2007"/>
      <c r="Q75" s="2130">
        <f ca="1">IFERROR(換券單檔!E32,0)</f>
        <v>0</v>
      </c>
      <c r="R75" s="2130"/>
      <c r="S75" s="2130"/>
      <c r="T75" s="2130"/>
      <c r="U75" s="2130"/>
      <c r="V75" s="2130"/>
      <c r="W75" s="1412"/>
      <c r="X75" s="1008" t="str">
        <f ca="1">IFERROR(IF(OR($U$44="",$Q$47=""),"-",換券單檔!E32),"-")</f>
        <v>-</v>
      </c>
      <c r="Z75" s="1483"/>
      <c r="AA75" s="1483"/>
      <c r="AB75" s="1483"/>
      <c r="AC75" s="1483"/>
      <c r="AD75" s="1483"/>
      <c r="AE75" s="1483"/>
      <c r="AF75" s="1483"/>
      <c r="AG75" s="1483"/>
      <c r="AH75" s="1483"/>
      <c r="AI75" s="1483"/>
      <c r="AJ75" s="1483"/>
      <c r="AK75" s="1483"/>
      <c r="AL75" s="1483"/>
      <c r="AM75" s="1483"/>
      <c r="AN75" s="1483"/>
      <c r="AO75" s="1483"/>
      <c r="AP75" s="1483"/>
      <c r="AQ75" s="1484"/>
      <c r="AR75" s="1484"/>
      <c r="AS75" s="1484"/>
      <c r="AT75" s="1484"/>
      <c r="AU75" s="1629" t="str">
        <f ca="1">LEFT(V44,12)</f>
        <v/>
      </c>
      <c r="AV75" s="1483"/>
      <c r="AW75" s="1483"/>
      <c r="AX75" s="1483"/>
      <c r="AY75" s="1483"/>
      <c r="AZ75" s="1483"/>
    </row>
    <row r="76" spans="4:52" ht="12.75" customHeight="1">
      <c r="D76" s="505"/>
      <c r="E76" s="505"/>
      <c r="F76" s="505"/>
      <c r="G76" s="505"/>
      <c r="H76" s="505"/>
      <c r="I76" s="505"/>
      <c r="J76" s="505"/>
      <c r="O76" s="2005"/>
      <c r="P76" s="1410"/>
      <c r="Q76" s="975"/>
      <c r="R76" s="975"/>
      <c r="S76" s="975"/>
      <c r="T76" s="975"/>
      <c r="U76" s="975"/>
      <c r="V76" s="975"/>
      <c r="W76" s="975"/>
      <c r="X76" s="1009"/>
      <c r="Z76" s="1483"/>
      <c r="AA76" s="1483"/>
      <c r="AB76" s="1483"/>
      <c r="AC76" s="1483"/>
      <c r="AD76" s="1483"/>
      <c r="AE76" s="1483"/>
      <c r="AF76" s="1483"/>
      <c r="AG76" s="1483"/>
      <c r="AH76" s="1483"/>
      <c r="AI76" s="1483"/>
      <c r="AJ76" s="1483"/>
      <c r="AK76" s="1483"/>
      <c r="AL76" s="1483"/>
      <c r="AM76" s="1483"/>
      <c r="AN76" s="1483"/>
      <c r="AO76" s="1483"/>
      <c r="AP76" s="1483"/>
      <c r="AQ76" s="1484"/>
      <c r="AR76" s="1484"/>
      <c r="AS76" s="1484"/>
      <c r="AT76" s="1484"/>
      <c r="AU76" s="1629"/>
      <c r="AV76" s="1483"/>
      <c r="AW76" s="1483"/>
      <c r="AX76" s="1483"/>
      <c r="AY76" s="1483"/>
      <c r="AZ76" s="1483"/>
    </row>
    <row r="77" spans="4:52" ht="12.75" customHeight="1">
      <c r="D77" s="505"/>
      <c r="E77" s="505"/>
      <c r="F77" s="505"/>
      <c r="G77" s="505"/>
      <c r="H77" s="505"/>
      <c r="I77" s="505"/>
      <c r="J77" s="505"/>
      <c r="O77" s="2004"/>
      <c r="P77" s="968"/>
      <c r="Q77" s="969"/>
      <c r="R77" s="969"/>
      <c r="S77" s="969"/>
      <c r="T77" s="969"/>
      <c r="U77" s="969"/>
      <c r="V77" s="969"/>
      <c r="W77" s="969"/>
      <c r="X77" s="1010"/>
      <c r="Z77" s="1483"/>
      <c r="AA77" s="1483"/>
      <c r="AB77" s="1483"/>
      <c r="AC77" s="1483"/>
      <c r="AD77" s="1483"/>
      <c r="AE77" s="1483"/>
      <c r="AF77" s="1483"/>
      <c r="AG77" s="1483"/>
      <c r="AH77" s="1483"/>
      <c r="AI77" s="1483"/>
      <c r="AJ77" s="1483"/>
      <c r="AK77" s="1483"/>
      <c r="AL77" s="1483"/>
      <c r="AM77" s="1483"/>
      <c r="AN77" s="1483"/>
      <c r="AO77" s="1483"/>
      <c r="AP77" s="1483"/>
      <c r="AQ77" s="1484"/>
      <c r="AR77" s="1484"/>
      <c r="AS77" s="1484"/>
      <c r="AT77" s="1484"/>
      <c r="AU77" s="1483"/>
      <c r="AV77" s="1483"/>
      <c r="AW77" s="1483"/>
      <c r="AX77" s="1483"/>
      <c r="AY77" s="1483"/>
      <c r="AZ77" s="1483"/>
    </row>
    <row r="78" spans="4:52" ht="29.25" customHeight="1">
      <c r="D78" s="505"/>
      <c r="E78" s="505"/>
      <c r="F78" s="505"/>
      <c r="G78" s="505"/>
      <c r="H78" s="505"/>
      <c r="I78" s="505"/>
      <c r="J78" s="505"/>
      <c r="O78" s="2004"/>
      <c r="P78" s="2019" t="s">
        <v>3782</v>
      </c>
      <c r="Q78" s="2131">
        <f ca="1">IFERROR(換券單檔!D33,0)</f>
        <v>14896.14</v>
      </c>
      <c r="R78" s="2131"/>
      <c r="S78" s="2131"/>
      <c r="T78" s="2131"/>
      <c r="U78" s="2131"/>
      <c r="V78" s="2131"/>
      <c r="W78" s="1413"/>
      <c r="X78" s="1006" t="str">
        <f ca="1">IFERROR(IF($Q$47="","-",IF($V$19="TWD",TEXT(換券單檔!D33*換券單檔!$D$23,"#,##0"),TEXT(換券單檔!D33,"#,##0"))),"-")</f>
        <v>14,896</v>
      </c>
      <c r="Z78" s="1483"/>
      <c r="AA78" s="1483"/>
      <c r="AB78" s="1483"/>
      <c r="AC78" s="1483"/>
      <c r="AD78" s="1483"/>
      <c r="AE78" s="1483"/>
      <c r="AF78" s="1483"/>
      <c r="AG78" s="1483"/>
      <c r="AH78" s="1483"/>
      <c r="AI78" s="1483"/>
      <c r="AJ78" s="1483"/>
      <c r="AK78" s="1483"/>
      <c r="AL78" s="1483"/>
      <c r="AM78" s="1483"/>
      <c r="AN78" s="1483"/>
      <c r="AO78" s="1483"/>
      <c r="AP78" s="1483"/>
      <c r="AQ78" s="1484"/>
      <c r="AR78" s="1484"/>
      <c r="AS78" s="1484"/>
      <c r="AT78" s="1484"/>
      <c r="AU78" s="1483"/>
      <c r="AV78" s="1483"/>
      <c r="AW78" s="1483"/>
      <c r="AX78" s="1483"/>
      <c r="AY78" s="1483"/>
      <c r="AZ78" s="1483"/>
    </row>
    <row r="79" spans="4:52" ht="34.5" hidden="1" customHeight="1">
      <c r="D79" s="505"/>
      <c r="E79" s="505"/>
      <c r="F79" s="505"/>
      <c r="G79" s="505"/>
      <c r="H79" s="505"/>
      <c r="I79" s="505"/>
      <c r="J79" s="505"/>
      <c r="O79" s="2004"/>
      <c r="P79" s="2020"/>
      <c r="Q79" s="2129">
        <f ca="1">IFERROR(換券單檔!E33,0)</f>
        <v>0</v>
      </c>
      <c r="R79" s="2129"/>
      <c r="S79" s="2129"/>
      <c r="T79" s="2129"/>
      <c r="U79" s="2129"/>
      <c r="V79" s="2129"/>
      <c r="W79" s="1411"/>
      <c r="X79" s="1007"/>
      <c r="Z79" s="505"/>
      <c r="AA79" s="505"/>
      <c r="AB79" s="505"/>
      <c r="AC79" s="505"/>
      <c r="AD79" s="505"/>
      <c r="AE79" s="505"/>
      <c r="AF79" s="505"/>
      <c r="AG79" s="505"/>
      <c r="AH79" s="505"/>
      <c r="AI79" s="505"/>
      <c r="AJ79" s="505"/>
      <c r="AK79" s="505"/>
      <c r="AL79" s="505"/>
      <c r="AM79" s="505"/>
      <c r="AN79" s="505"/>
      <c r="AO79" s="505"/>
      <c r="AP79" s="505"/>
      <c r="AQ79" s="645"/>
      <c r="AR79" s="645"/>
      <c r="AS79" s="645"/>
      <c r="AT79" s="645"/>
      <c r="AU79" s="505"/>
      <c r="AV79" s="505"/>
      <c r="AW79" s="505"/>
      <c r="AX79" s="505"/>
      <c r="AY79" s="505"/>
      <c r="AZ79" s="505"/>
    </row>
    <row r="80" spans="4:52" ht="34.5" hidden="1" customHeight="1">
      <c r="D80" s="505"/>
      <c r="E80" s="505"/>
      <c r="F80" s="505"/>
      <c r="G80" s="505"/>
      <c r="H80" s="505"/>
      <c r="I80" s="505"/>
      <c r="J80" s="505"/>
      <c r="O80" s="2004"/>
      <c r="P80" s="2020"/>
      <c r="Q80" s="2129">
        <f ca="1">IFERROR(換券單檔!D33,0)</f>
        <v>14896.14</v>
      </c>
      <c r="R80" s="2129"/>
      <c r="S80" s="2129"/>
      <c r="T80" s="2129"/>
      <c r="U80" s="2129"/>
      <c r="V80" s="2129"/>
      <c r="W80" s="1411"/>
      <c r="X80" s="1007"/>
      <c r="Z80" s="505"/>
      <c r="AA80" s="505"/>
      <c r="AB80" s="505"/>
      <c r="AC80" s="505"/>
      <c r="AD80" s="505"/>
      <c r="AE80" s="505"/>
      <c r="AF80" s="505"/>
      <c r="AG80" s="505"/>
      <c r="AH80" s="505"/>
      <c r="AI80" s="505"/>
      <c r="AJ80" s="505"/>
      <c r="AK80" s="505"/>
      <c r="AL80" s="505"/>
      <c r="AM80" s="505"/>
      <c r="AN80" s="505"/>
      <c r="AO80" s="505"/>
      <c r="AP80" s="505"/>
      <c r="AQ80" s="645"/>
      <c r="AR80" s="645"/>
      <c r="AS80" s="645"/>
      <c r="AT80" s="645"/>
      <c r="AU80" s="505"/>
      <c r="AV80" s="505"/>
      <c r="AW80" s="505"/>
      <c r="AX80" s="505"/>
      <c r="AY80" s="505"/>
      <c r="AZ80" s="505"/>
    </row>
    <row r="81" spans="1:67" ht="29.25" customHeight="1">
      <c r="D81" s="505"/>
      <c r="E81" s="505"/>
      <c r="F81" s="505"/>
      <c r="G81" s="505"/>
      <c r="H81" s="505"/>
      <c r="I81" s="505"/>
      <c r="J81" s="505"/>
      <c r="O81" s="2004"/>
      <c r="P81" s="2020"/>
      <c r="Q81" s="2183">
        <f ca="1">IFERROR(換券單檔!E33,0)</f>
        <v>0</v>
      </c>
      <c r="R81" s="2183"/>
      <c r="S81" s="2183"/>
      <c r="T81" s="2183"/>
      <c r="U81" s="2183"/>
      <c r="V81" s="2183"/>
      <c r="W81" s="1416"/>
      <c r="X81" s="1008" t="str">
        <f ca="1">IFERROR(IF(OR(U44="",$Q$47=""),"-",IF($V$19="TWD",TEXT(換券單檔!E33*換券單檔!$D$23,"#,##0"),TEXT(換券單檔!E33,"#,##0"))),"-")</f>
        <v>-</v>
      </c>
      <c r="Z81" s="2181" t="str">
        <f>IF(換券單檔!D65=1,"利率情境預估","利率情境預估(含年領利息)")</f>
        <v>利率情境預估</v>
      </c>
      <c r="AA81" s="2181"/>
      <c r="AB81" s="2181"/>
      <c r="AC81" s="2181"/>
      <c r="AD81" s="2181"/>
      <c r="AE81" s="2181"/>
      <c r="AF81" s="2181"/>
      <c r="AG81" s="2181"/>
      <c r="AH81" s="2181"/>
      <c r="AI81" s="2181"/>
      <c r="AJ81" s="2181"/>
      <c r="AK81" s="2181"/>
      <c r="AL81" s="2181"/>
      <c r="AM81" s="2181"/>
      <c r="AN81" s="2181"/>
      <c r="AO81" s="2181"/>
      <c r="AP81" s="2181"/>
      <c r="AQ81" s="2181"/>
      <c r="AR81" s="2181"/>
      <c r="AS81" s="2181"/>
      <c r="AT81" s="2181"/>
      <c r="AU81" s="2181"/>
      <c r="AV81" s="2181"/>
      <c r="AW81" s="2181"/>
      <c r="AX81" s="2181"/>
      <c r="AY81" s="2181"/>
    </row>
    <row r="82" spans="1:67" ht="12.75" customHeight="1">
      <c r="D82" s="505"/>
      <c r="E82" s="505"/>
      <c r="F82" s="505"/>
      <c r="G82" s="505"/>
      <c r="H82" s="505"/>
      <c r="I82" s="505"/>
      <c r="J82" s="505"/>
      <c r="O82" s="2005"/>
      <c r="P82" s="970"/>
      <c r="Q82" s="976"/>
      <c r="R82" s="976"/>
      <c r="S82" s="976"/>
      <c r="T82" s="976"/>
      <c r="U82" s="976"/>
      <c r="V82" s="976"/>
      <c r="W82" s="976"/>
      <c r="X82" s="1011"/>
      <c r="Z82" s="2181"/>
      <c r="AA82" s="2181"/>
      <c r="AB82" s="2181"/>
      <c r="AC82" s="2181"/>
      <c r="AD82" s="2181"/>
      <c r="AE82" s="2181"/>
      <c r="AF82" s="2181"/>
      <c r="AG82" s="2181"/>
      <c r="AH82" s="2181"/>
      <c r="AI82" s="2181"/>
      <c r="AJ82" s="2181"/>
      <c r="AK82" s="2181"/>
      <c r="AL82" s="2181"/>
      <c r="AM82" s="2181"/>
      <c r="AN82" s="2181"/>
      <c r="AO82" s="2181"/>
      <c r="AP82" s="2181"/>
      <c r="AQ82" s="2181"/>
      <c r="AR82" s="2181"/>
      <c r="AS82" s="2181"/>
      <c r="AT82" s="2181"/>
      <c r="AU82" s="2181"/>
      <c r="AV82" s="2181"/>
      <c r="AW82" s="2181"/>
      <c r="AX82" s="2181"/>
      <c r="AY82" s="2181"/>
    </row>
    <row r="83" spans="1:67" ht="12.75" customHeight="1">
      <c r="D83" s="505"/>
      <c r="E83" s="505"/>
      <c r="F83" s="505"/>
      <c r="G83" s="505"/>
      <c r="H83" s="505"/>
      <c r="I83" s="505"/>
      <c r="J83" s="505"/>
      <c r="O83" s="2004"/>
      <c r="P83" s="968"/>
      <c r="Q83" s="977"/>
      <c r="R83" s="977"/>
      <c r="S83" s="977"/>
      <c r="T83" s="977"/>
      <c r="U83" s="977"/>
      <c r="V83" s="977"/>
      <c r="W83" s="977"/>
      <c r="X83" s="1012"/>
      <c r="Z83" s="2160" t="s">
        <v>4407</v>
      </c>
      <c r="AA83" s="2160"/>
      <c r="AB83" s="2057" t="str">
        <f>TEXT(換券單檔!C66,"0.00%")</f>
        <v>-2.00%</v>
      </c>
      <c r="AC83" s="2057"/>
      <c r="AD83" s="2057"/>
      <c r="AE83" s="2057"/>
      <c r="AF83" s="2057">
        <f>換券單檔!C67</f>
        <v>-1.4999999999999999E-2</v>
      </c>
      <c r="AG83" s="2057"/>
      <c r="AH83" s="2057"/>
      <c r="AI83" s="2057"/>
      <c r="AJ83" s="2057">
        <f>換券單檔!C68</f>
        <v>-0.01</v>
      </c>
      <c r="AK83" s="2057"/>
      <c r="AL83" s="2057"/>
      <c r="AM83" s="2057"/>
      <c r="AN83" s="2057">
        <f>換券單檔!C69</f>
        <v>-5.0000000000000001E-3</v>
      </c>
      <c r="AO83" s="2057"/>
      <c r="AP83" s="2057"/>
      <c r="AQ83" s="2057"/>
      <c r="AR83" s="2059" t="str">
        <f>換券單檔!C70</f>
        <v>+0.50%</v>
      </c>
      <c r="AS83" s="2059"/>
      <c r="AT83" s="2059"/>
      <c r="AU83" s="2059"/>
      <c r="AV83" s="2057" t="str">
        <f>換券單檔!C71</f>
        <v>+1.00%</v>
      </c>
      <c r="AW83" s="2057"/>
      <c r="AX83" s="2057"/>
      <c r="AY83" s="2057"/>
      <c r="AZ83" s="1256"/>
    </row>
    <row r="84" spans="1:67" ht="30" customHeight="1">
      <c r="D84" s="505"/>
      <c r="E84" s="505"/>
      <c r="F84" s="505"/>
      <c r="G84" s="505"/>
      <c r="H84" s="505"/>
      <c r="I84" s="505"/>
      <c r="J84" s="505"/>
      <c r="O84" s="2004"/>
      <c r="P84" s="2017" t="s">
        <v>3547</v>
      </c>
      <c r="Q84" s="2115">
        <f ca="1">IFERROR(換券單檔!D35,0)</f>
        <v>3</v>
      </c>
      <c r="R84" s="2115"/>
      <c r="S84" s="2115"/>
      <c r="T84" s="2115"/>
      <c r="U84" s="2115"/>
      <c r="V84" s="2116"/>
      <c r="W84" s="1428"/>
      <c r="X84" s="1013" t="str">
        <f ca="1">IF($Q$47="","",換券單檔!D37)</f>
        <v>3種產業</v>
      </c>
      <c r="Z84" s="2161"/>
      <c r="AA84" s="2161"/>
      <c r="AB84" s="2058"/>
      <c r="AC84" s="2058"/>
      <c r="AD84" s="2058"/>
      <c r="AE84" s="2058"/>
      <c r="AF84" s="2058"/>
      <c r="AG84" s="2058"/>
      <c r="AH84" s="2058"/>
      <c r="AI84" s="2058"/>
      <c r="AJ84" s="2058"/>
      <c r="AK84" s="2058"/>
      <c r="AL84" s="2058"/>
      <c r="AM84" s="2058"/>
      <c r="AN84" s="2058"/>
      <c r="AO84" s="2058"/>
      <c r="AP84" s="2058"/>
      <c r="AQ84" s="2058"/>
      <c r="AR84" s="2060"/>
      <c r="AS84" s="2060"/>
      <c r="AT84" s="2060"/>
      <c r="AU84" s="2060"/>
      <c r="AV84" s="2058"/>
      <c r="AW84" s="2058"/>
      <c r="AX84" s="2058"/>
      <c r="AY84" s="2058"/>
      <c r="AZ84" s="1257"/>
    </row>
    <row r="85" spans="1:67" ht="34.5" hidden="1" customHeight="1" thickBot="1">
      <c r="D85" s="505"/>
      <c r="E85" s="505"/>
      <c r="F85" s="505"/>
      <c r="G85" s="505"/>
      <c r="H85" s="505"/>
      <c r="I85" s="505"/>
      <c r="J85" s="505"/>
      <c r="O85" s="2004"/>
      <c r="P85" s="2017"/>
      <c r="Q85" s="2013">
        <f ca="1">IFERROR(換券單檔!E35,0)</f>
        <v>0</v>
      </c>
      <c r="R85" s="2013"/>
      <c r="S85" s="2013"/>
      <c r="T85" s="2013"/>
      <c r="U85" s="2013"/>
      <c r="V85" s="2127"/>
      <c r="W85" s="1428"/>
      <c r="X85" s="1014"/>
      <c r="Z85" s="1045"/>
      <c r="AA85" s="1045"/>
      <c r="AB85" s="1045"/>
      <c r="AC85" s="1045"/>
      <c r="AD85" s="1045"/>
      <c r="AE85" s="1045"/>
      <c r="AV85" s="1045"/>
      <c r="AW85" s="1045"/>
      <c r="AX85" s="1045"/>
      <c r="AY85" s="1045"/>
    </row>
    <row r="86" spans="1:67" ht="34.5" hidden="1" customHeight="1" thickTop="1">
      <c r="D86" s="505"/>
      <c r="E86" s="505"/>
      <c r="F86" s="505"/>
      <c r="G86" s="505"/>
      <c r="H86" s="505"/>
      <c r="I86" s="505"/>
      <c r="J86" s="505"/>
      <c r="O86" s="2004"/>
      <c r="P86" s="2017"/>
      <c r="Q86" s="2013">
        <f ca="1">IFERROR(換券單檔!D35,0)</f>
        <v>3</v>
      </c>
      <c r="R86" s="2013"/>
      <c r="S86" s="2013"/>
      <c r="T86" s="2013"/>
      <c r="U86" s="2013"/>
      <c r="V86" s="2128"/>
      <c r="W86" s="1427"/>
      <c r="X86" s="1015"/>
      <c r="Z86" s="1045"/>
      <c r="AA86" s="1045"/>
      <c r="AB86" s="1045"/>
      <c r="AC86" s="1045"/>
      <c r="AD86" s="1045"/>
      <c r="AE86" s="1045"/>
      <c r="AV86" s="1045"/>
      <c r="AW86" s="1045"/>
      <c r="AX86" s="1045"/>
      <c r="AY86" s="1045"/>
    </row>
    <row r="87" spans="1:67" ht="30" customHeight="1">
      <c r="D87" s="505"/>
      <c r="E87" s="505"/>
      <c r="F87" s="505"/>
      <c r="G87" s="505"/>
      <c r="H87" s="505"/>
      <c r="I87" s="505"/>
      <c r="J87" s="505"/>
      <c r="O87" s="2004"/>
      <c r="P87" s="2018"/>
      <c r="Q87" s="2043">
        <f ca="1">IFERROR(換券單檔!E35,0)</f>
        <v>0</v>
      </c>
      <c r="R87" s="2043"/>
      <c r="S87" s="2043"/>
      <c r="T87" s="2043"/>
      <c r="U87" s="2043"/>
      <c r="V87" s="2043"/>
      <c r="W87" s="1419"/>
      <c r="X87" s="1016" t="str">
        <f ca="1">IF($Q$47="","",換券單檔!E37)</f>
        <v>-</v>
      </c>
      <c r="Z87" s="2159" t="str">
        <f ca="1">IF(P44="","",CONCATENATE(P44," (",V19,")"))</f>
        <v>XH430 (USD)</v>
      </c>
      <c r="AA87" s="2159"/>
      <c r="AB87" s="2061" t="str">
        <f ca="1">IFERROR(IF($V$19="TWD",TEXT(換券單檔!D66,"#,##0"),TEXT(換券單檔!D66,"#,##0")),"")</f>
        <v>29,792</v>
      </c>
      <c r="AC87" s="2061"/>
      <c r="AD87" s="2061"/>
      <c r="AE87" s="2061"/>
      <c r="AF87" s="2061" t="str">
        <f ca="1">IFERROR(IF($V$19="TWD",TEXT(換券單檔!D67,"#,##0"),TEXT(換券單檔!D67,"#,##0")),"")</f>
        <v>22,344</v>
      </c>
      <c r="AG87" s="2061"/>
      <c r="AH87" s="2061"/>
      <c r="AI87" s="2061"/>
      <c r="AJ87" s="2061" t="str">
        <f ca="1">IFERROR(IF($V$19="TWD",TEXT(換券單檔!D68,"#,##0"),TEXT(換券單檔!D68,"#,##0")),"")</f>
        <v>14,896</v>
      </c>
      <c r="AK87" s="2061"/>
      <c r="AL87" s="2061"/>
      <c r="AM87" s="2061"/>
      <c r="AN87" s="2061" t="str">
        <f ca="1">IFERROR(IF($V$19="TWD",TEXT(換券單檔!D69,"#,##0"),TEXT(換券單檔!D69,"#,##0")),"")</f>
        <v>7,448</v>
      </c>
      <c r="AO87" s="2061"/>
      <c r="AP87" s="2061"/>
      <c r="AQ87" s="2061"/>
      <c r="AR87" s="2062" t="str">
        <f ca="1">IFERROR(IF($V$19="TWD",TEXT(換券單檔!D70,"#,##0"),TEXT(換券單檔!D70,"#,##0")),"")</f>
        <v>-7,448</v>
      </c>
      <c r="AS87" s="2062"/>
      <c r="AT87" s="2062"/>
      <c r="AU87" s="2062"/>
      <c r="AV87" s="2162" t="str">
        <f ca="1">IFERROR(IF($V$19="TWD",TEXT(換券單檔!D71,"#,##0"),TEXT(換券單檔!D71,"#,##0")),"")</f>
        <v>-14,896</v>
      </c>
      <c r="AW87" s="2162"/>
      <c r="AX87" s="2162"/>
      <c r="AY87" s="2162"/>
    </row>
    <row r="88" spans="1:67" ht="12.75" customHeight="1">
      <c r="D88" s="505"/>
      <c r="E88" s="505"/>
      <c r="F88" s="505"/>
      <c r="G88" s="505"/>
      <c r="H88" s="505"/>
      <c r="I88" s="505"/>
      <c r="J88" s="505"/>
      <c r="O88" s="2005"/>
      <c r="P88" s="961"/>
      <c r="Q88" s="962"/>
      <c r="R88" s="962"/>
      <c r="S88" s="962"/>
      <c r="T88" s="962"/>
      <c r="U88" s="962"/>
      <c r="V88" s="962"/>
      <c r="W88" s="962"/>
      <c r="X88" s="949"/>
      <c r="Z88" s="2159"/>
      <c r="AA88" s="2159"/>
      <c r="AB88" s="2061"/>
      <c r="AC88" s="2061"/>
      <c r="AD88" s="2061"/>
      <c r="AE88" s="2061"/>
      <c r="AF88" s="2061"/>
      <c r="AG88" s="2061"/>
      <c r="AH88" s="2061"/>
      <c r="AI88" s="2061"/>
      <c r="AJ88" s="2061"/>
      <c r="AK88" s="2061"/>
      <c r="AL88" s="2061"/>
      <c r="AM88" s="2061"/>
      <c r="AN88" s="2061"/>
      <c r="AO88" s="2061"/>
      <c r="AP88" s="2061"/>
      <c r="AQ88" s="2061"/>
      <c r="AR88" s="2062"/>
      <c r="AS88" s="2062"/>
      <c r="AT88" s="2062"/>
      <c r="AU88" s="2062"/>
      <c r="AV88" s="2162"/>
      <c r="AW88" s="2162"/>
      <c r="AX88" s="2162"/>
      <c r="AY88" s="2162"/>
    </row>
    <row r="89" spans="1:67" ht="42.75" customHeight="1">
      <c r="D89" s="505"/>
      <c r="E89" s="505"/>
      <c r="F89" s="1514"/>
      <c r="G89" s="1514"/>
      <c r="H89" s="505"/>
      <c r="I89" s="505"/>
      <c r="J89" s="505"/>
      <c r="P89" s="1430" t="s">
        <v>3548</v>
      </c>
      <c r="Q89" s="2010" t="str">
        <f ca="1">IFERROR(IF($Q$47="","",IF($V$19="TWD",TEXT(換券單檔!D21*換券單檔!$D$23,"#,##0"),TEXT(換券單檔!D21,"#,##0.00"))),0)</f>
        <v>96,700.60</v>
      </c>
      <c r="R89" s="2010"/>
      <c r="S89" s="2010"/>
      <c r="T89" s="980"/>
      <c r="U89" s="946"/>
      <c r="V89" s="946"/>
      <c r="W89" s="946"/>
      <c r="X89" s="946"/>
      <c r="Z89" s="2158" t="str">
        <f>IF(U44="","",CONCATENATE(U44," (",V19,")"))</f>
        <v/>
      </c>
      <c r="AA89" s="2158"/>
      <c r="AB89" s="2063" t="str">
        <f>IF(U44="","",IF($V$19="TWD",TEXT(換券單檔!E66,"#,##0"),TEXT(換券單檔!E66,"#,##0")))</f>
        <v/>
      </c>
      <c r="AC89" s="2063"/>
      <c r="AD89" s="2063"/>
      <c r="AE89" s="2063"/>
      <c r="AF89" s="2063" t="str">
        <f>IF(U44="","",IF($V$19="TWD",TEXT(換券單檔!E67,"#,##0"),TEXT(換券單檔!E67,"#,##0")))</f>
        <v/>
      </c>
      <c r="AG89" s="2063"/>
      <c r="AH89" s="2063"/>
      <c r="AI89" s="2063"/>
      <c r="AJ89" s="2063" t="str">
        <f>IF(U44="","",IF($V$19="TWD",TEXT(換券單檔!E68,"#,##0"),TEXT(換券單檔!E68,"#,##0")))</f>
        <v/>
      </c>
      <c r="AK89" s="2063"/>
      <c r="AL89" s="2063"/>
      <c r="AM89" s="2063"/>
      <c r="AN89" s="2063" t="str">
        <f>IF(U44="","",IF($V$19="TWD",TEXT(換券單檔!E69,"#,##0"),TEXT(換券單檔!E69,"#,##0")))</f>
        <v/>
      </c>
      <c r="AO89" s="2063"/>
      <c r="AP89" s="2063"/>
      <c r="AQ89" s="2063"/>
      <c r="AR89" s="2163" t="str">
        <f>IF(U44="","",IF($V$19="TWD",TEXT(換券單檔!E70,"#,##0"),TEXT(換券單檔!E70,"#,##0")))</f>
        <v/>
      </c>
      <c r="AS89" s="2163"/>
      <c r="AT89" s="2163"/>
      <c r="AU89" s="2163"/>
      <c r="AV89" s="2164" t="str">
        <f>IF(U44="","",IF($V$19="TWD",TEXT(換券單檔!E71,"#,##0"),TEXT(換券單檔!E71,"#,##0")))</f>
        <v/>
      </c>
      <c r="AW89" s="2164"/>
      <c r="AX89" s="2164"/>
      <c r="AY89" s="2164"/>
      <c r="AZ89" s="1261"/>
    </row>
    <row r="90" spans="1:67" ht="24" customHeight="1">
      <c r="D90" s="505"/>
      <c r="E90" s="505"/>
      <c r="F90" s="1522"/>
      <c r="G90" s="1522"/>
      <c r="H90" s="505"/>
      <c r="I90" s="505"/>
      <c r="J90" s="505"/>
      <c r="P90" s="2182" t="s">
        <v>3783</v>
      </c>
      <c r="Q90" s="2182"/>
      <c r="R90" s="2182"/>
      <c r="S90" s="2182"/>
      <c r="T90" s="2182"/>
      <c r="U90" s="2182"/>
      <c r="V90" s="2182"/>
      <c r="W90" s="2182"/>
      <c r="X90" s="2182"/>
      <c r="Y90" s="2182"/>
      <c r="Z90" s="2182"/>
      <c r="AA90" s="2182"/>
      <c r="AB90" s="2182"/>
      <c r="AC90" s="2182"/>
      <c r="AD90" s="2182"/>
      <c r="AE90" s="2182"/>
      <c r="AF90" s="2182"/>
      <c r="AG90" s="2182"/>
      <c r="AH90" s="2182"/>
      <c r="AI90" s="2182"/>
      <c r="AJ90" s="2182"/>
      <c r="AK90" s="2182"/>
      <c r="AL90" s="2182"/>
      <c r="AM90" s="2182"/>
      <c r="AN90" s="2182"/>
      <c r="AO90" s="2182"/>
      <c r="AP90" s="2182"/>
      <c r="AQ90" s="2182"/>
      <c r="AR90" s="2182"/>
      <c r="AS90" s="2182"/>
      <c r="AT90" s="2182"/>
      <c r="AU90" s="2182"/>
      <c r="AV90" s="2182"/>
      <c r="AW90" s="2182"/>
      <c r="AX90" s="2182"/>
      <c r="AY90" s="2182"/>
      <c r="AZ90" s="2182"/>
    </row>
    <row r="91" spans="1:67" ht="6" customHeight="1">
      <c r="D91" s="505"/>
      <c r="E91" s="505"/>
      <c r="F91" s="505"/>
      <c r="G91" s="505"/>
      <c r="H91" s="505"/>
      <c r="I91" s="505"/>
      <c r="J91" s="505"/>
      <c r="P91" s="1053"/>
      <c r="Q91" s="1053"/>
      <c r="R91" s="1053"/>
      <c r="S91" s="1053"/>
      <c r="T91" s="1053"/>
      <c r="U91" s="1053"/>
      <c r="V91" s="1053"/>
      <c r="W91" s="1053"/>
      <c r="X91" s="1053"/>
      <c r="Y91" s="1053"/>
      <c r="Z91" s="1053"/>
      <c r="AA91" s="1053"/>
      <c r="AB91" s="1053"/>
      <c r="AC91" s="1053"/>
      <c r="AD91" s="1053"/>
      <c r="AE91" s="1053"/>
      <c r="AF91" s="1053"/>
      <c r="AG91" s="1053"/>
      <c r="AH91" s="1053"/>
      <c r="AI91" s="1053"/>
      <c r="AJ91" s="1053"/>
      <c r="AK91" s="1053"/>
      <c r="AL91" s="1053"/>
      <c r="AM91" s="1053"/>
      <c r="AN91" s="1053"/>
      <c r="AO91" s="1053"/>
      <c r="AP91" s="1053"/>
      <c r="AQ91" s="1053"/>
      <c r="AR91" s="1053"/>
      <c r="AS91" s="1053"/>
      <c r="AT91" s="1053"/>
      <c r="AU91" s="1053"/>
      <c r="AV91" s="1053"/>
      <c r="AW91" s="1053"/>
      <c r="AX91" s="1053"/>
      <c r="AY91" s="1053"/>
      <c r="AZ91" s="1053"/>
    </row>
    <row r="92" spans="1:67" ht="27.5">
      <c r="A92" s="526"/>
      <c r="B92" s="526"/>
      <c r="C92" s="526"/>
      <c r="D92" s="526"/>
      <c r="E92" s="526"/>
      <c r="F92" s="526"/>
      <c r="G92" s="526"/>
      <c r="H92" s="526"/>
      <c r="I92" s="526"/>
      <c r="J92" s="505"/>
      <c r="P92" s="526"/>
      <c r="Q92" s="526"/>
      <c r="R92" s="526"/>
      <c r="S92" s="526"/>
      <c r="T92" s="526"/>
      <c r="U92" s="526"/>
      <c r="V92" s="526"/>
      <c r="W92" s="526"/>
      <c r="X92" s="526"/>
      <c r="Y92" s="526"/>
      <c r="Z92" s="526"/>
      <c r="AA92" s="526"/>
      <c r="AB92" s="526"/>
      <c r="AC92" s="526"/>
      <c r="AD92" s="526"/>
      <c r="AE92" s="526"/>
      <c r="AF92" s="526"/>
      <c r="AG92" s="526"/>
      <c r="AH92" s="526"/>
      <c r="AI92" s="526"/>
      <c r="AJ92" s="526"/>
      <c r="AK92" s="526"/>
      <c r="AL92" s="526"/>
      <c r="AM92" s="526"/>
      <c r="AN92" s="526"/>
      <c r="AO92" s="526"/>
      <c r="AP92" s="526"/>
      <c r="AQ92" s="526"/>
      <c r="AR92" s="526"/>
      <c r="AS92" s="526"/>
      <c r="AT92" s="526"/>
      <c r="AU92" s="526"/>
      <c r="AV92" s="526"/>
      <c r="AW92" s="526"/>
      <c r="AX92" s="526"/>
      <c r="AY92" s="526"/>
      <c r="AZ92" s="526"/>
      <c r="BJ92" s="55" ph="1"/>
      <c r="BK92" s="55" ph="1"/>
      <c r="BL92" s="55" ph="1"/>
      <c r="BM92" s="55" ph="1"/>
      <c r="BN92" s="55" ph="1"/>
      <c r="BO92" s="55" ph="1"/>
    </row>
    <row r="93" spans="1:67" ht="56.25" customHeight="1">
      <c r="D93" s="505"/>
      <c r="E93" s="505"/>
      <c r="F93" s="1502" t="str">
        <f>IF(AI94="","",CONCATENATE("剩餘可分配金額(",V15,")"))</f>
        <v/>
      </c>
      <c r="G93" s="505"/>
      <c r="H93" s="505"/>
      <c r="I93" s="505"/>
      <c r="J93" s="505"/>
      <c r="P93" s="2026" t="s">
        <v>4290</v>
      </c>
      <c r="Q93" s="2026"/>
      <c r="R93" s="2026"/>
      <c r="S93" s="2026"/>
      <c r="T93" s="2026"/>
      <c r="U93" s="2026"/>
      <c r="V93" s="2026"/>
      <c r="W93" s="2026"/>
      <c r="X93" s="2026"/>
      <c r="Y93" s="2026"/>
      <c r="Z93" s="2026"/>
      <c r="AA93" s="2026"/>
      <c r="AB93" s="2026"/>
      <c r="AC93" s="2026"/>
      <c r="AD93" s="2026"/>
      <c r="AE93" s="2026"/>
      <c r="AF93" s="2026"/>
      <c r="AG93" s="2026"/>
      <c r="AH93" s="2026"/>
      <c r="AI93" s="2026"/>
      <c r="AJ93" s="2026"/>
      <c r="AK93" s="2026"/>
      <c r="AL93" s="2026"/>
      <c r="AM93" s="2026"/>
      <c r="AN93" s="2026"/>
      <c r="AO93" s="2026"/>
      <c r="AP93" s="2026"/>
      <c r="AQ93" s="2026"/>
      <c r="AR93" s="2026"/>
      <c r="AS93" s="2026"/>
      <c r="AT93" s="2026"/>
      <c r="AU93" s="2026"/>
      <c r="AV93" s="2026"/>
      <c r="AW93" s="2026"/>
      <c r="AX93" s="2026"/>
      <c r="AY93" s="2026"/>
      <c r="AZ93" s="2026"/>
      <c r="BM93" s="55" ph="1"/>
      <c r="BN93" s="55" ph="1"/>
    </row>
    <row r="94" spans="1:67" ht="23.25" customHeight="1" thickBot="1">
      <c r="D94" s="505"/>
      <c r="E94" s="505"/>
      <c r="F94" s="505"/>
      <c r="G94" s="505"/>
      <c r="H94" s="505"/>
      <c r="I94" s="505"/>
      <c r="J94" s="505"/>
      <c r="P94" s="2027" t="s">
        <v>2073</v>
      </c>
      <c r="Q94" s="2027"/>
      <c r="R94" s="2027"/>
      <c r="S94" s="2027"/>
      <c r="T94" s="2027"/>
      <c r="U94" s="2027"/>
      <c r="V94" s="2027"/>
      <c r="W94" s="2027"/>
      <c r="X94" s="2027"/>
      <c r="Y94" s="2027"/>
      <c r="Z94" s="2027"/>
      <c r="AA94" s="2027"/>
      <c r="AB94" s="2027"/>
      <c r="AC94" s="2027"/>
      <c r="AD94" s="2027"/>
      <c r="AE94" s="2027"/>
      <c r="AF94" s="2027"/>
      <c r="AG94" s="2027"/>
      <c r="AH94" s="2027"/>
      <c r="AI94" s="2027"/>
      <c r="AJ94" s="2027"/>
      <c r="AK94" s="2027"/>
      <c r="AL94" s="2027"/>
      <c r="AM94" s="2027"/>
      <c r="AN94" s="2027"/>
      <c r="AO94" s="2027"/>
      <c r="AP94" s="2027"/>
      <c r="AQ94" s="2027"/>
      <c r="AR94" s="2027"/>
      <c r="AS94" s="2027"/>
      <c r="AT94" s="2027"/>
      <c r="AU94" s="2064" t="s">
        <v>122</v>
      </c>
      <c r="AV94" s="2064"/>
      <c r="AW94" s="2064"/>
      <c r="AX94" s="2110">
        <f>AX4</f>
        <v>45474</v>
      </c>
      <c r="AY94" s="2110"/>
      <c r="AZ94" s="2110"/>
      <c r="BM94" s="55" ph="1"/>
      <c r="BN94" s="55" ph="1"/>
    </row>
    <row r="95" spans="1:67" ht="12.75" customHeight="1">
      <c r="D95" s="505"/>
      <c r="E95" s="505"/>
      <c r="F95" s="505"/>
      <c r="G95" s="505"/>
      <c r="H95" s="505"/>
      <c r="I95" s="505"/>
      <c r="J95" s="505"/>
      <c r="Z95" s="1051"/>
      <c r="AA95" s="1051"/>
      <c r="AB95" s="1051"/>
      <c r="AC95" s="1051"/>
      <c r="AD95" s="1051"/>
      <c r="AE95" s="1051"/>
      <c r="AV95" s="1173"/>
      <c r="AW95" s="1173"/>
      <c r="AX95" s="1174"/>
      <c r="AY95" s="1174"/>
      <c r="AZ95" s="1174"/>
      <c r="BM95" s="55" ph="1"/>
      <c r="BN95" s="55" ph="1"/>
    </row>
    <row r="96" spans="1:67" ht="42" customHeight="1">
      <c r="D96" s="505"/>
      <c r="E96" s="1502"/>
      <c r="F96" s="505"/>
      <c r="G96" s="505"/>
      <c r="H96" s="1502"/>
      <c r="I96" s="505"/>
      <c r="J96" s="505"/>
      <c r="P96" s="1980" t="s">
        <v>4294</v>
      </c>
      <c r="Q96" s="1981"/>
      <c r="R96" s="1981"/>
      <c r="S96" s="1981"/>
      <c r="T96" s="1981"/>
      <c r="U96" s="1982"/>
      <c r="V96" s="1033"/>
      <c r="W96" s="1033"/>
      <c r="X96" s="1499" t="s">
        <v>4345</v>
      </c>
      <c r="Y96" s="1494"/>
      <c r="Z96" s="1494"/>
      <c r="AA96" s="1494"/>
      <c r="AB96" s="1494"/>
      <c r="AC96" s="1494"/>
      <c r="AD96" s="1494"/>
      <c r="AE96" s="1494"/>
      <c r="AF96" s="1494"/>
      <c r="AI96" s="1051" t="s">
        <v>4346</v>
      </c>
      <c r="AM96" s="1051"/>
      <c r="AT96" s="55"/>
    </row>
    <row r="97" spans="4:52" ht="43.4" customHeight="1">
      <c r="D97" s="505"/>
      <c r="E97" s="505"/>
      <c r="F97" s="505"/>
      <c r="G97" s="505"/>
      <c r="H97" s="505"/>
      <c r="I97" s="505"/>
      <c r="J97" s="505"/>
      <c r="P97" s="1523" t="s">
        <v>4309</v>
      </c>
      <c r="Q97" s="2021" t="s">
        <v>4343</v>
      </c>
      <c r="R97" s="2021"/>
      <c r="S97" s="2021"/>
      <c r="T97" s="2022" t="s">
        <v>4344</v>
      </c>
      <c r="U97" s="2023"/>
      <c r="V97" s="1129" t="str">
        <f ca="1">IFERROR(IFERROR(IF(FIND("美國政府",換券單檔!G61)=1,換券單檔!G61),CONCATENATE(LEFT(換券單檔!G61,SEARCH(換券單檔!H68,換券單檔!G61,1)-1))),"")</f>
        <v/>
      </c>
      <c r="W97" s="1129"/>
      <c r="X97" s="1429" t="s">
        <v>1314</v>
      </c>
      <c r="Y97" s="2032" t="s">
        <v>3736</v>
      </c>
      <c r="Z97" s="2032"/>
      <c r="AA97" s="2032" t="s">
        <v>4087</v>
      </c>
      <c r="AB97" s="2032"/>
      <c r="AC97" s="2032"/>
      <c r="AD97" s="2032" t="s">
        <v>4088</v>
      </c>
      <c r="AE97" s="2032"/>
      <c r="AF97" s="2032"/>
      <c r="AG97" s="1170"/>
      <c r="AH97" s="1170"/>
      <c r="AI97" s="2034" t="s">
        <v>1314</v>
      </c>
      <c r="AJ97" s="2034"/>
      <c r="AK97" s="2034"/>
      <c r="AL97" s="2032" t="s">
        <v>4108</v>
      </c>
      <c r="AM97" s="2032"/>
      <c r="AN97" s="2032"/>
      <c r="AO97" s="2032"/>
      <c r="AP97" s="2032"/>
      <c r="AQ97" s="2032" t="s">
        <v>4087</v>
      </c>
      <c r="AR97" s="2032"/>
      <c r="AS97" s="2032"/>
      <c r="AT97" s="2032" t="s">
        <v>4088</v>
      </c>
      <c r="AU97" s="2032"/>
      <c r="AV97" s="2032"/>
      <c r="AW97" s="2032" t="s">
        <v>3532</v>
      </c>
      <c r="AX97" s="2032"/>
      <c r="AY97" s="2032"/>
      <c r="AZ97" s="2032"/>
    </row>
    <row r="98" spans="4:52" ht="43.4" customHeight="1">
      <c r="D98" s="505"/>
      <c r="E98" s="1502"/>
      <c r="F98" s="505"/>
      <c r="G98" s="505"/>
      <c r="H98" s="1502"/>
      <c r="I98" s="505"/>
      <c r="J98" s="505"/>
      <c r="P98" s="1573" t="s">
        <v>208</v>
      </c>
      <c r="Q98" s="2001" t="str">
        <f ca="1">IFERROR(換券投組!$D$7,"")</f>
        <v/>
      </c>
      <c r="R98" s="2001"/>
      <c r="S98" s="2001"/>
      <c r="T98" s="2002" t="str">
        <f ca="1">IFERROR(換券投組!$G$7,"")</f>
        <v/>
      </c>
      <c r="U98" s="2003"/>
      <c r="V98" s="1129"/>
      <c r="W98" s="1129"/>
      <c r="X98" s="1495" t="str">
        <f ca="1">IF(換券投組!AE8="","",換券投組!AE8)</f>
        <v/>
      </c>
      <c r="Y98" s="2030" t="str">
        <f ca="1">IFERROR(IF(OR(AND('Tssco-bond portfolio(2)'!BQ1=1,'Tssco-bond portfolio(2)'!BR1&lt;&gt;1),'Tssco-bond portfolio(2)'!BQ4=0),"限美元計價標的轉換",IF(換券投組!AG8=1,"",IFERROR(IF(FIND("美國政府",換券投組!AF8)=1,LEFT(換券投組!AF8,6)),CONCATENATE(LEFT(換券投組!AF8,SEARCH("美元",換券投組!AF8,1)-1))))),"")</f>
        <v/>
      </c>
      <c r="Z98" s="2030"/>
      <c r="AA98" s="2029" t="str">
        <f ca="1">IF(換券投組!AG8=1,"",IFERROR(VLOOKUP(X98,'銀行-TSS'!B:H,7,FALSE),""))</f>
        <v/>
      </c>
      <c r="AB98" s="2029"/>
      <c r="AC98" s="2029"/>
      <c r="AD98" s="2030" t="str">
        <f ca="1">IF(換券投組!AG8=1,"",IFERROR(VLOOKUP(X98,'銀行-TSS'!B:F,5,FALSE),""))</f>
        <v/>
      </c>
      <c r="AE98" s="2030"/>
      <c r="AF98" s="2030"/>
      <c r="AG98" s="1131"/>
      <c r="AH98" s="1131"/>
      <c r="AI98" s="2035"/>
      <c r="AJ98" s="2035"/>
      <c r="AK98" s="2035"/>
      <c r="AL98" s="2030" t="str">
        <f ca="1">IFERROR(IFERROR(IF(FIND("美國政府",換券投組!AE64)=1,LEFT(換券投組!AE64,6)),CONCATENATE(LEFT(換券投組!AE64,SEARCH("美元",換券投組!AE64,1)-1))),"")</f>
        <v/>
      </c>
      <c r="AM98" s="2030"/>
      <c r="AN98" s="2030"/>
      <c r="AO98" s="2030"/>
      <c r="AP98" s="2030"/>
      <c r="AQ98" s="2028" t="str">
        <f ca="1">IFERROR(VLOOKUP(AI98,'銀行-TSS'!B:H,7,FALSE),"")</f>
        <v/>
      </c>
      <c r="AR98" s="2028"/>
      <c r="AS98" s="2028"/>
      <c r="AT98" s="2028" t="str">
        <f ca="1">IFERROR(VLOOKUP(AI98,'銀行-TSS'!B:F,5,FALSE),"")</f>
        <v/>
      </c>
      <c r="AU98" s="2028"/>
      <c r="AV98" s="2028"/>
      <c r="AW98" s="2033" t="str">
        <f>IF(AI98="","",IF(換券投組!$AG$62=1,換券投組!AG64,換券投組!AF64))</f>
        <v/>
      </c>
      <c r="AX98" s="2033"/>
      <c r="AY98" s="2033"/>
      <c r="AZ98" s="2033"/>
    </row>
    <row r="99" spans="4:52" ht="43.4" customHeight="1">
      <c r="D99" s="505"/>
      <c r="E99" s="505"/>
      <c r="F99" s="505"/>
      <c r="G99" s="505"/>
      <c r="H99" s="505"/>
      <c r="I99" s="505"/>
      <c r="J99" s="505"/>
      <c r="P99" s="1576" t="s">
        <v>4347</v>
      </c>
      <c r="Q99" s="1984" t="str">
        <f ca="1">IFERROR(換券投組!$D$9,"")</f>
        <v/>
      </c>
      <c r="R99" s="1984"/>
      <c r="S99" s="1984"/>
      <c r="T99" s="1985" t="str">
        <f ca="1">IF($T$98="","",IFERROR(換券投組!$G$9,""))</f>
        <v/>
      </c>
      <c r="U99" s="1986"/>
      <c r="V99" s="1129"/>
      <c r="W99" s="1129"/>
      <c r="X99" s="1496" t="str">
        <f ca="1">IF(換券投組!AE9="","",換券投組!AE9)</f>
        <v/>
      </c>
      <c r="Y99" s="1990" t="str">
        <f ca="1">IF(換券投組!AG9=1,"",IFERROR(IFERROR(IF(FIND("美國政府",換券投組!AF9)=1,LEFT(換券投組!AF9,6)),CONCATENATE(LEFT(換券投組!AF9,SEARCH("美元",換券投組!AF9,1)-1))),""))</f>
        <v/>
      </c>
      <c r="Z99" s="1990"/>
      <c r="AA99" s="1991" t="str">
        <f ca="1">IF(換券投組!AG9=1,"",IFERROR(VLOOKUP(X99,'銀行-TSS'!B:H,7,FALSE),""))</f>
        <v/>
      </c>
      <c r="AB99" s="1991"/>
      <c r="AC99" s="1991"/>
      <c r="AD99" s="1990" t="str">
        <f ca="1">IF(換券投組!AG9=1,"",IFERROR(VLOOKUP(X99,'銀行-TSS'!B:F,5,FALSE),""))</f>
        <v/>
      </c>
      <c r="AE99" s="1990"/>
      <c r="AF99" s="1990"/>
      <c r="AG99" s="1131"/>
      <c r="AH99" s="1131"/>
      <c r="AI99" s="2038"/>
      <c r="AJ99" s="2038"/>
      <c r="AK99" s="2038"/>
      <c r="AL99" s="1990" t="str">
        <f ca="1">IFERROR(IFERROR(IF(FIND("美國政府",換券投組!AE65)=1,LEFT(換券投組!AE65,6)),CONCATENATE(LEFT(換券投組!AE65,SEARCH("美元",換券投組!AE65,1)-1))),"")</f>
        <v/>
      </c>
      <c r="AM99" s="1990"/>
      <c r="AN99" s="1990"/>
      <c r="AO99" s="1990"/>
      <c r="AP99" s="1990"/>
      <c r="AQ99" s="1993" t="str">
        <f ca="1">IFERROR(VLOOKUP(AI99,'銀行-TSS'!B:H,7,FALSE),"")</f>
        <v/>
      </c>
      <c r="AR99" s="1993"/>
      <c r="AS99" s="1993"/>
      <c r="AT99" s="1993" t="str">
        <f ca="1">IFERROR(VLOOKUP(AI99,'銀行-TSS'!B:F,5,FALSE),"")</f>
        <v/>
      </c>
      <c r="AU99" s="1993"/>
      <c r="AV99" s="1993"/>
      <c r="AW99" s="2031" t="str">
        <f>IF(AI99="","",IF(換券投組!$AG$62=1,換券投組!AG65,換券投組!AF65))</f>
        <v/>
      </c>
      <c r="AX99" s="2031"/>
      <c r="AY99" s="2031"/>
      <c r="AZ99" s="2031"/>
    </row>
    <row r="100" spans="4:52" ht="43.4" customHeight="1">
      <c r="D100" s="505"/>
      <c r="E100" s="1502"/>
      <c r="F100" s="505"/>
      <c r="G100" s="505"/>
      <c r="H100" s="1502"/>
      <c r="I100" s="505"/>
      <c r="J100" s="505"/>
      <c r="P100" s="1574" t="s">
        <v>3532</v>
      </c>
      <c r="Q100" s="1998" t="str">
        <f ca="1">IF($Q$98="","",IFERROR(TEXT(換券投組!$D$10,"#,##0"),""))</f>
        <v/>
      </c>
      <c r="R100" s="1998"/>
      <c r="S100" s="1998"/>
      <c r="T100" s="1999" t="str">
        <f ca="1">IF($T$98="","",IFERROR(TEXT(換券投組!$G$10,"#,##0"),""))</f>
        <v/>
      </c>
      <c r="U100" s="2000"/>
      <c r="V100" s="1129"/>
      <c r="W100" s="1129"/>
      <c r="X100" s="1496" t="str">
        <f ca="1">IF(換券投組!AE10="","",換券投組!AE10)</f>
        <v/>
      </c>
      <c r="Y100" s="1990" t="str">
        <f ca="1">IF(換券投組!AG10=1,"",IFERROR(IFERROR(IF(FIND("美國政府",換券投組!AF10)=1,LEFT(換券投組!AF10,6)),CONCATENATE(LEFT(換券投組!AF10,SEARCH("美元",換券投組!AF10,1)-1))),""))</f>
        <v/>
      </c>
      <c r="Z100" s="1990"/>
      <c r="AA100" s="1991" t="str">
        <f ca="1">IF(換券投組!AG10=1,"",IFERROR(VLOOKUP(X100,'銀行-TSS'!B:H,7,FALSE),""))</f>
        <v/>
      </c>
      <c r="AB100" s="1991"/>
      <c r="AC100" s="1991"/>
      <c r="AD100" s="1990" t="str">
        <f ca="1">IF(換券投組!AG10=1,"",IFERROR(VLOOKUP(X100,'銀行-TSS'!B:F,5,FALSE),""))</f>
        <v/>
      </c>
      <c r="AE100" s="1990"/>
      <c r="AF100" s="1990"/>
      <c r="AG100" s="1131"/>
      <c r="AH100" s="1131"/>
      <c r="AI100" s="2038"/>
      <c r="AJ100" s="2038"/>
      <c r="AK100" s="2038"/>
      <c r="AL100" s="1990" t="str">
        <f ca="1">IFERROR(IFERROR(IF(FIND("美國政府",換券投組!AE66)=1,LEFT(換券投組!AE66,6)),CONCATENATE(LEFT(換券投組!AE66,SEARCH("美元",換券投組!AE66,1)-1))),"")</f>
        <v/>
      </c>
      <c r="AM100" s="1990"/>
      <c r="AN100" s="1990"/>
      <c r="AO100" s="1990"/>
      <c r="AP100" s="1990"/>
      <c r="AQ100" s="1993" t="str">
        <f ca="1">IFERROR(VLOOKUP(AI100,'銀行-TSS'!B:H,7,FALSE),"")</f>
        <v/>
      </c>
      <c r="AR100" s="1993"/>
      <c r="AS100" s="1993"/>
      <c r="AT100" s="1993" t="str">
        <f ca="1">IFERROR(VLOOKUP(AI100,'銀行-TSS'!B:F,5,FALSE),"")</f>
        <v/>
      </c>
      <c r="AU100" s="1993"/>
      <c r="AV100" s="1993"/>
      <c r="AW100" s="2031" t="str">
        <f>IF(AI100="","",IF(換券投組!$AG$62=1,換券投組!AG66,換券投組!AF66))</f>
        <v/>
      </c>
      <c r="AX100" s="2031"/>
      <c r="AY100" s="2031"/>
      <c r="AZ100" s="2031"/>
    </row>
    <row r="101" spans="4:52" ht="43.4" customHeight="1">
      <c r="D101" s="505"/>
      <c r="E101" s="505"/>
      <c r="F101" s="505"/>
      <c r="G101" s="505"/>
      <c r="H101" s="505"/>
      <c r="I101" s="505"/>
      <c r="J101" s="505"/>
      <c r="P101" s="1576" t="s">
        <v>4348</v>
      </c>
      <c r="Q101" s="1987" t="str">
        <f ca="1">IFERROR(TEXT(換券投組!$D$11,"0.00"),"")</f>
        <v/>
      </c>
      <c r="R101" s="1987"/>
      <c r="S101" s="1987"/>
      <c r="T101" s="2024" t="str">
        <f ca="1">IF($T$98="","",IFERROR(TEXT(換券投組!$G$11,"0.00"),""))</f>
        <v/>
      </c>
      <c r="U101" s="2025"/>
      <c r="V101" s="1129"/>
      <c r="W101" s="1129"/>
      <c r="X101" s="1496" t="str">
        <f ca="1">IF(換券投組!AE11="","",換券投組!AE11)</f>
        <v/>
      </c>
      <c r="Y101" s="1990" t="str">
        <f ca="1">IF(換券投組!AG11=1,"",IFERROR(IFERROR(IF(FIND("美國政府",換券投組!AF11)=1,LEFT(換券投組!AF11,6)),CONCATENATE(LEFT(換券投組!AF11,SEARCH("美元",換券投組!AF11,1)-1))),""))</f>
        <v/>
      </c>
      <c r="Z101" s="1990"/>
      <c r="AA101" s="1991" t="str">
        <f ca="1">IF(換券投組!AG11=1,"",IFERROR(VLOOKUP(X101,'銀行-TSS'!B:H,7,FALSE),""))</f>
        <v/>
      </c>
      <c r="AB101" s="1991"/>
      <c r="AC101" s="1991"/>
      <c r="AD101" s="1990" t="str">
        <f ca="1">IF(換券投組!AG11=1,"",IFERROR(VLOOKUP(X101,'銀行-TSS'!B:F,5,FALSE),""))</f>
        <v/>
      </c>
      <c r="AE101" s="1990"/>
      <c r="AF101" s="1990"/>
      <c r="AG101" s="1131"/>
      <c r="AH101" s="1131"/>
      <c r="AI101" s="2038"/>
      <c r="AJ101" s="2038"/>
      <c r="AK101" s="2038"/>
      <c r="AL101" s="1990" t="str">
        <f ca="1">IFERROR(IFERROR(IF(FIND("美國政府",換券投組!AE67)=1,LEFT(換券投組!AE67,6)),CONCATENATE(LEFT(換券投組!AE67,SEARCH("美元",換券投組!AE67,1)-1))),"")</f>
        <v/>
      </c>
      <c r="AM101" s="1990"/>
      <c r="AN101" s="1990"/>
      <c r="AO101" s="1990"/>
      <c r="AP101" s="1990"/>
      <c r="AQ101" s="1993" t="str">
        <f ca="1">IFERROR(VLOOKUP(AI101,'銀行-TSS'!B:H,7,FALSE),"")</f>
        <v/>
      </c>
      <c r="AR101" s="1993"/>
      <c r="AS101" s="1993"/>
      <c r="AT101" s="1993" t="str">
        <f ca="1">IFERROR(VLOOKUP(AI101,'銀行-TSS'!B:F,5,FALSE),"")</f>
        <v/>
      </c>
      <c r="AU101" s="1993"/>
      <c r="AV101" s="1993"/>
      <c r="AW101" s="2031" t="str">
        <f>IF(AI101="","",IF(換券投組!$AG$62=1,換券投組!AG67,換券投組!AF67))</f>
        <v/>
      </c>
      <c r="AX101" s="2031"/>
      <c r="AY101" s="2031"/>
      <c r="AZ101" s="2031"/>
    </row>
    <row r="102" spans="4:52" ht="43.4" customHeight="1">
      <c r="D102" s="505"/>
      <c r="E102" s="1502"/>
      <c r="F102" s="505"/>
      <c r="G102" s="505"/>
      <c r="H102" s="1502"/>
      <c r="I102" s="505"/>
      <c r="J102" s="505"/>
      <c r="P102" s="1574" t="s">
        <v>4170</v>
      </c>
      <c r="Q102" s="1987" t="str">
        <f ca="1">IFERROR(TEXT(換券投組!$D$14,"0.00"),"")</f>
        <v/>
      </c>
      <c r="R102" s="1987"/>
      <c r="S102" s="1987"/>
      <c r="T102" s="1988" t="str">
        <f ca="1">IFERROR(TEXT(換券投組!$G$14,"0.00"),"")</f>
        <v/>
      </c>
      <c r="U102" s="1989"/>
      <c r="V102" s="1129"/>
      <c r="W102" s="1129"/>
      <c r="X102" s="1496" t="str">
        <f ca="1">IF(換券投組!AE12="","",換券投組!AE12)</f>
        <v/>
      </c>
      <c r="Y102" s="1990" t="str">
        <f ca="1">IF(換券投組!AG12=1,"",IFERROR(IFERROR(IF(FIND("美國政府",換券投組!AF12)=1,LEFT(換券投組!AF12,6)),CONCATENATE(LEFT(換券投組!AF12,SEARCH("美元",換券投組!AF12,1)-1))),""))</f>
        <v/>
      </c>
      <c r="Z102" s="1990"/>
      <c r="AA102" s="1991" t="str">
        <f ca="1">IF(換券投組!AG12=1,"",IFERROR(VLOOKUP(X102,'銀行-TSS'!B:H,7,FALSE),""))</f>
        <v/>
      </c>
      <c r="AB102" s="1991"/>
      <c r="AC102" s="1991"/>
      <c r="AD102" s="1990" t="str">
        <f ca="1">IF(換券投組!AG12=1,"",IFERROR(VLOOKUP(X102,'銀行-TSS'!B:F,5,FALSE),""))</f>
        <v/>
      </c>
      <c r="AE102" s="1990"/>
      <c r="AF102" s="1990"/>
      <c r="AG102" s="1131"/>
      <c r="AH102" s="1131"/>
      <c r="AI102" s="2038"/>
      <c r="AJ102" s="2038"/>
      <c r="AK102" s="2038"/>
      <c r="AL102" s="1990" t="str">
        <f ca="1">IFERROR(IFERROR(IF(FIND("美國政府",換券投組!AE68)=1,LEFT(換券投組!AE68,6)),CONCATENATE(LEFT(換券投組!AE68,SEARCH("美元",換券投組!AE68,1)-1))),"")</f>
        <v/>
      </c>
      <c r="AM102" s="1990"/>
      <c r="AN102" s="1990"/>
      <c r="AO102" s="1990"/>
      <c r="AP102" s="1990"/>
      <c r="AQ102" s="1993" t="str">
        <f ca="1">IFERROR(VLOOKUP(AI102,'銀行-TSS'!B:H,7,FALSE),"")</f>
        <v/>
      </c>
      <c r="AR102" s="1993"/>
      <c r="AS102" s="1993"/>
      <c r="AT102" s="1993" t="str">
        <f ca="1">IFERROR(VLOOKUP(AI102,'銀行-TSS'!B:F,5,FALSE),"")</f>
        <v/>
      </c>
      <c r="AU102" s="1993"/>
      <c r="AV102" s="1993"/>
      <c r="AW102" s="2031" t="str">
        <f>IF(AI102="","",IF(換券投組!$AG$62=1,換券投組!AG68,換券投組!AF68))</f>
        <v/>
      </c>
      <c r="AX102" s="2031"/>
      <c r="AY102" s="2031"/>
      <c r="AZ102" s="2031"/>
    </row>
    <row r="103" spans="4:52" ht="42.75" customHeight="1">
      <c r="D103" s="505"/>
      <c r="E103" s="505"/>
      <c r="F103" s="505"/>
      <c r="G103" s="505"/>
      <c r="H103" s="505"/>
      <c r="I103" s="505"/>
      <c r="J103" s="505"/>
      <c r="P103" s="1575" t="s">
        <v>4171</v>
      </c>
      <c r="Q103" s="1994" t="str">
        <f ca="1">IF(Q100="","",換券投組!$D$15)</f>
        <v/>
      </c>
      <c r="R103" s="1995"/>
      <c r="S103" s="1995"/>
      <c r="T103" s="1996" t="str">
        <f ca="1">IF(OR(Q100="",T100=""),"",換券投組!$G$15)</f>
        <v/>
      </c>
      <c r="U103" s="1997"/>
      <c r="V103" s="1129"/>
      <c r="W103" s="1129"/>
      <c r="X103" s="1497" t="str">
        <f ca="1">IF(換券投組!AE13="","",換券投組!AE13)</f>
        <v/>
      </c>
      <c r="Y103" s="2167" t="str">
        <f ca="1">IF(換券投組!AG13=1,"",IFERROR(IFERROR(IF(FIND("美國政府",換券投組!AF13)=1,LEFT(換券投組!AF13,6)),CONCATENATE(LEFT(換券投組!AF13,SEARCH("美元",換券投組!AF13,1)-1))),""))</f>
        <v/>
      </c>
      <c r="Z103" s="2167"/>
      <c r="AA103" s="2168" t="str">
        <f ca="1">IF(換券投組!AG13=1,"",IFERROR(VLOOKUP(X103,'銀行-TSS'!B:H,7,FALSE),""))</f>
        <v/>
      </c>
      <c r="AB103" s="2168"/>
      <c r="AC103" s="2168"/>
      <c r="AD103" s="2167" t="str">
        <f ca="1">IF(換券投組!AG13=1,"",IFERROR(VLOOKUP(X103,'銀行-TSS'!B:F,5,FALSE),""))</f>
        <v/>
      </c>
      <c r="AE103" s="2167"/>
      <c r="AF103" s="2167"/>
      <c r="AG103" s="1131"/>
      <c r="AH103" s="1131"/>
      <c r="AI103" s="2036"/>
      <c r="AJ103" s="2036"/>
      <c r="AK103" s="2036"/>
      <c r="AL103" s="2167" t="str">
        <f ca="1">IFERROR(IFERROR(IF(FIND("美國政府",換券投組!AE69)=1,LEFT(換券投組!AE69,6)),CONCATENATE(LEFT(換券投組!AE69,SEARCH("美元",換券投組!AE69,1)-1))),"")</f>
        <v/>
      </c>
      <c r="AM103" s="2167"/>
      <c r="AN103" s="2167"/>
      <c r="AO103" s="2167"/>
      <c r="AP103" s="2167"/>
      <c r="AQ103" s="2037" t="str">
        <f ca="1">IFERROR(VLOOKUP(AI103,'銀行-TSS'!B:H,7,FALSE),"")</f>
        <v/>
      </c>
      <c r="AR103" s="2037"/>
      <c r="AS103" s="2037"/>
      <c r="AT103" s="2037" t="str">
        <f ca="1">IFERROR(VLOOKUP(AI103,'銀行-TSS'!B:F,5,FALSE),"")</f>
        <v/>
      </c>
      <c r="AU103" s="2037"/>
      <c r="AV103" s="2037"/>
      <c r="AW103" s="2169" t="str">
        <f>IF(AI103="","",IF(換券投組!$AG$62=1,換券投組!AG69,換券投組!AF69))</f>
        <v/>
      </c>
      <c r="AX103" s="2169"/>
      <c r="AY103" s="2169"/>
      <c r="AZ103" s="2169"/>
    </row>
    <row r="104" spans="4:52" ht="25.5" customHeight="1">
      <c r="D104" s="505"/>
      <c r="E104" s="1502"/>
      <c r="F104" s="505"/>
      <c r="G104" s="505"/>
      <c r="H104" s="1502"/>
      <c r="I104" s="505"/>
      <c r="J104" s="505"/>
      <c r="P104" s="1017"/>
      <c r="Q104" s="1017"/>
      <c r="R104" s="1017"/>
      <c r="S104" s="1017"/>
      <c r="T104" s="981"/>
      <c r="U104" s="986"/>
      <c r="V104" s="1017"/>
      <c r="W104" s="1017"/>
      <c r="X104" s="1498"/>
      <c r="Z104" s="642"/>
      <c r="AA104" s="1409"/>
      <c r="AB104" s="1409"/>
      <c r="AC104" s="1409"/>
      <c r="AD104" s="1409"/>
      <c r="AE104" s="1409"/>
      <c r="AF104" s="1409"/>
      <c r="AG104" s="1409"/>
      <c r="AH104" s="1409"/>
      <c r="AI104" s="1501" t="str">
        <f ca="1">IF(Change投!AS2&gt;0,"※ 紅色字體商品代碼的流動性需查詢","")</f>
        <v/>
      </c>
      <c r="AJ104" s="1500"/>
      <c r="AK104" s="1500"/>
      <c r="AL104" s="1500"/>
      <c r="AM104" s="1500"/>
      <c r="AN104" s="1500"/>
      <c r="AO104" s="1500"/>
      <c r="AP104" s="1500"/>
      <c r="AQ104" s="1500"/>
      <c r="AR104" s="2194" t="s">
        <v>4373</v>
      </c>
      <c r="AS104" s="2194"/>
      <c r="AT104" s="2194"/>
      <c r="AU104" s="2194"/>
      <c r="AV104" s="2194"/>
      <c r="AW104" s="2195" t="str">
        <f ca="1">IF(Q100="","",IF(換券投組!AG62=1,換券投組!AI62,多檔換券Max!N14))</f>
        <v/>
      </c>
      <c r="AX104" s="2195"/>
      <c r="AY104" s="2195"/>
      <c r="AZ104" s="2195"/>
    </row>
    <row r="105" spans="4:52" ht="7.5" customHeight="1">
      <c r="D105" s="505"/>
      <c r="E105" s="505"/>
      <c r="F105" s="505"/>
      <c r="G105" s="505"/>
      <c r="H105" s="505"/>
      <c r="I105" s="505"/>
      <c r="J105" s="505"/>
      <c r="P105" s="1052"/>
      <c r="Q105" s="1052"/>
      <c r="R105" s="1052"/>
      <c r="S105" s="1052"/>
      <c r="T105" s="1052"/>
      <c r="U105" s="1052"/>
      <c r="V105" s="1052"/>
      <c r="W105" s="1052"/>
      <c r="X105" s="1052"/>
      <c r="Z105" s="930"/>
      <c r="AA105" s="914"/>
      <c r="AB105" s="914"/>
      <c r="AC105" s="914"/>
      <c r="AD105" s="914"/>
      <c r="AE105" s="914"/>
      <c r="AF105" s="914"/>
      <c r="AG105" s="914"/>
      <c r="AH105" s="914"/>
      <c r="AI105" s="914"/>
      <c r="AJ105" s="931"/>
      <c r="AK105" s="931"/>
      <c r="AL105" s="931"/>
      <c r="AM105" s="931"/>
      <c r="AN105" s="914"/>
      <c r="AO105" s="914"/>
      <c r="AP105" s="914"/>
      <c r="AT105" s="932"/>
      <c r="AU105" s="932"/>
    </row>
    <row r="106" spans="4:52" ht="36" customHeight="1">
      <c r="D106" s="505"/>
      <c r="E106" s="505"/>
      <c r="F106" s="505"/>
      <c r="G106" s="505"/>
      <c r="H106" s="505"/>
      <c r="I106" s="505"/>
      <c r="J106" s="505"/>
      <c r="P106" s="294" t="s">
        <v>4291</v>
      </c>
      <c r="Q106" s="294"/>
      <c r="R106" s="294"/>
      <c r="S106" s="294"/>
      <c r="T106" s="294"/>
      <c r="U106" s="1169" t="str">
        <f ca="1">CONCATENATE("幣別：",V19)</f>
        <v>幣別：USD</v>
      </c>
      <c r="V106" s="1034"/>
      <c r="W106" s="1034"/>
      <c r="X106" s="1491" t="str">
        <f>IFERROR(CONCATENATE("轉換債券清單("&amp;P97&amp;")"),"轉換債券清單")</f>
        <v>轉換債券清單(USD)</v>
      </c>
      <c r="Y106" s="1679"/>
      <c r="Z106" s="1683" t="str">
        <f>IF(換券投組!O6=4,"",CONCATENATE(CHOOSE(換券投組!P18," 現金流量"," 增值潛力"," 全面均衡"),"、 ",CHOOSE(model!A8,"非專投&amp;專投","非專投","專投")))</f>
        <v xml:space="preserve"> 現金流量、 非專投&amp;專投</v>
      </c>
      <c r="AA106" s="1681"/>
      <c r="AB106" s="1681"/>
      <c r="AC106" s="1681"/>
      <c r="AD106" s="1681"/>
      <c r="AE106" s="1681"/>
      <c r="AF106" s="1681"/>
      <c r="AQ106" s="55"/>
      <c r="AR106" s="55"/>
      <c r="AS106" s="55"/>
      <c r="AT106" s="55"/>
      <c r="AV106" s="2180" t="str">
        <f ca="1">換券投組!Q3</f>
        <v>第1頁</v>
      </c>
      <c r="AW106" s="2180"/>
      <c r="AX106" s="2179" t="str">
        <f ca="1">換券投組!Q2</f>
        <v>， 共1頁</v>
      </c>
      <c r="AY106" s="2179"/>
      <c r="AZ106" s="2179"/>
    </row>
    <row r="107" spans="4:52" ht="12.65" customHeight="1">
      <c r="D107" s="505"/>
      <c r="E107" s="505"/>
      <c r="F107" s="505"/>
      <c r="G107" s="505"/>
      <c r="H107" s="505"/>
      <c r="I107" s="505"/>
      <c r="J107" s="505"/>
      <c r="O107" s="2004"/>
      <c r="P107" s="990"/>
      <c r="Q107" s="990"/>
      <c r="R107" s="990"/>
      <c r="S107" s="990"/>
      <c r="T107" s="990"/>
      <c r="U107" s="990"/>
      <c r="V107" s="1137"/>
      <c r="W107" s="1137"/>
      <c r="X107" s="2190" t="s">
        <v>1314</v>
      </c>
      <c r="Y107" s="2186" t="s">
        <v>3736</v>
      </c>
      <c r="Z107" s="2186"/>
      <c r="AA107" s="2186"/>
      <c r="AB107" s="2186"/>
      <c r="AC107" s="2186"/>
      <c r="AD107" s="2186" t="s">
        <v>3550</v>
      </c>
      <c r="AE107" s="2186"/>
      <c r="AF107" s="2186"/>
      <c r="AG107" s="2186" t="s">
        <v>1330</v>
      </c>
      <c r="AH107" s="2186"/>
      <c r="AI107" s="2186"/>
      <c r="AJ107" s="2186"/>
      <c r="AK107" s="2186" t="s">
        <v>3523</v>
      </c>
      <c r="AL107" s="2186"/>
      <c r="AM107" s="2186"/>
      <c r="AN107" s="2186"/>
      <c r="AO107" s="2186" t="s">
        <v>3533</v>
      </c>
      <c r="AP107" s="2186"/>
      <c r="AQ107" s="2186"/>
      <c r="AR107" s="2186" t="s">
        <v>3519</v>
      </c>
      <c r="AS107" s="2186"/>
      <c r="AT107" s="2186"/>
      <c r="AU107" s="2186"/>
      <c r="AV107" s="2186"/>
      <c r="AW107" s="2186" t="s">
        <v>4413</v>
      </c>
      <c r="AX107" s="2186"/>
      <c r="AY107" s="2186"/>
      <c r="AZ107" s="2186"/>
    </row>
    <row r="108" spans="4:52" ht="30" customHeight="1">
      <c r="D108" s="505"/>
      <c r="E108" s="505"/>
      <c r="F108" s="505"/>
      <c r="G108" s="505"/>
      <c r="H108" s="505"/>
      <c r="I108" s="505"/>
      <c r="J108" s="505"/>
      <c r="O108" s="2004"/>
      <c r="P108" s="2138" t="s">
        <v>211</v>
      </c>
      <c r="Q108" s="2015">
        <f ca="1">IFERROR(換券投組!D29,0)</f>
        <v>0</v>
      </c>
      <c r="R108" s="2015"/>
      <c r="S108" s="2015"/>
      <c r="T108" s="2015"/>
      <c r="U108" s="991" t="str">
        <f ca="1">IF($Q$100="","-",IFERROR(IF($V$19="TWD",TEXT(換券投組!D29*換券投組!$D$23,"#,##0"),TEXT(換券投組!D29,"#,##0")),"-"))</f>
        <v>-</v>
      </c>
      <c r="V108" s="1132"/>
      <c r="W108" s="1132"/>
      <c r="X108" s="2191"/>
      <c r="Y108" s="2187"/>
      <c r="Z108" s="2187"/>
      <c r="AA108" s="2187"/>
      <c r="AB108" s="2187"/>
      <c r="AC108" s="2187"/>
      <c r="AD108" s="2187"/>
      <c r="AE108" s="2187"/>
      <c r="AF108" s="2187"/>
      <c r="AG108" s="2187"/>
      <c r="AH108" s="2187"/>
      <c r="AI108" s="2187"/>
      <c r="AJ108" s="2187"/>
      <c r="AK108" s="2187"/>
      <c r="AL108" s="2187"/>
      <c r="AM108" s="2187"/>
      <c r="AN108" s="2187"/>
      <c r="AO108" s="2187"/>
      <c r="AP108" s="2187"/>
      <c r="AQ108" s="2187"/>
      <c r="AR108" s="2187"/>
      <c r="AS108" s="2187"/>
      <c r="AT108" s="2187"/>
      <c r="AU108" s="2187"/>
      <c r="AV108" s="2187"/>
      <c r="AW108" s="2187"/>
      <c r="AX108" s="2187"/>
      <c r="AY108" s="2187"/>
      <c r="AZ108" s="2187"/>
    </row>
    <row r="109" spans="4:52" ht="34.5" hidden="1" customHeight="1">
      <c r="D109" s="505"/>
      <c r="E109" s="505"/>
      <c r="F109" s="505"/>
      <c r="G109" s="505"/>
      <c r="H109" s="505"/>
      <c r="I109" s="505"/>
      <c r="J109" s="505"/>
      <c r="O109" s="2004"/>
      <c r="P109" s="2017"/>
      <c r="Q109" s="2016">
        <f>IFERROR(換券投組!E29,0)</f>
        <v>0</v>
      </c>
      <c r="R109" s="2016"/>
      <c r="S109" s="2016"/>
      <c r="T109" s="2016"/>
      <c r="U109" s="992"/>
      <c r="V109" s="1133"/>
      <c r="W109" s="1133"/>
      <c r="X109" s="1775"/>
      <c r="Y109" s="179"/>
      <c r="Z109" s="179"/>
      <c r="AA109" s="179"/>
      <c r="AB109" s="179"/>
      <c r="AC109" s="179"/>
      <c r="AD109" s="179"/>
      <c r="AE109" s="179"/>
      <c r="AF109" s="179"/>
      <c r="AG109" s="179"/>
      <c r="AH109" s="179"/>
      <c r="AI109" s="179"/>
      <c r="AJ109" s="179"/>
      <c r="AK109" s="179"/>
      <c r="AL109" s="179"/>
      <c r="AM109" s="179"/>
      <c r="AN109" s="179"/>
      <c r="AO109" s="179"/>
      <c r="AP109" s="179"/>
      <c r="AQ109" s="179"/>
      <c r="AR109" s="179"/>
      <c r="AS109" s="179"/>
      <c r="AT109" s="179"/>
      <c r="AU109" s="179"/>
      <c r="AV109" s="179"/>
      <c r="AW109" s="179"/>
      <c r="AX109" s="179"/>
      <c r="AY109" s="179"/>
      <c r="AZ109" s="179"/>
    </row>
    <row r="110" spans="4:52" ht="34.5" hidden="1" customHeight="1">
      <c r="D110" s="505"/>
      <c r="E110" s="505"/>
      <c r="F110" s="505"/>
      <c r="G110" s="505"/>
      <c r="H110" s="505"/>
      <c r="I110" s="505"/>
      <c r="J110" s="505"/>
      <c r="O110" s="2004"/>
      <c r="P110" s="2017"/>
      <c r="Q110" s="2016">
        <f ca="1">IFERROR(換券投組!D29,0)</f>
        <v>0</v>
      </c>
      <c r="R110" s="2016"/>
      <c r="S110" s="2016"/>
      <c r="T110" s="2016"/>
      <c r="U110" s="992"/>
      <c r="V110" s="1133"/>
      <c r="W110" s="1133"/>
      <c r="X110" s="1775"/>
      <c r="Y110" s="179"/>
      <c r="Z110" s="179"/>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c r="AV110" s="179"/>
      <c r="AW110" s="179"/>
      <c r="AX110" s="179"/>
      <c r="AY110" s="179"/>
      <c r="AZ110" s="179"/>
    </row>
    <row r="111" spans="4:52" ht="30" customHeight="1">
      <c r="D111" s="505"/>
      <c r="E111" s="505"/>
      <c r="F111" s="505"/>
      <c r="G111" s="505"/>
      <c r="H111" s="505"/>
      <c r="I111" s="505"/>
      <c r="J111" s="505"/>
      <c r="O111" s="2004"/>
      <c r="P111" s="2017"/>
      <c r="Q111" s="2014">
        <f>IFERROR(換券投組!E29,0)</f>
        <v>0</v>
      </c>
      <c r="R111" s="2014"/>
      <c r="S111" s="2014"/>
      <c r="T111" s="2014"/>
      <c r="U111" s="993" t="str">
        <f ca="1">IF(OR($Q$100="",$T$100=""),"-",IFERROR(IF($V$19="TWD",TEXT(換券投組!E29*換券投組!$D$23,"#,##0"),TEXT(換券投組!E29,"#,##0")),"-"))</f>
        <v>-</v>
      </c>
      <c r="V111" s="1134"/>
      <c r="W111" s="1308" t="str">
        <f ca="1">IF(X111="","",換券投組!O8&amp;".")</f>
        <v/>
      </c>
      <c r="X111" s="1776" t="str">
        <f ca="1">IFERROR(IF(換券投組!$O$6&lt;&gt;4,換券投組!P8,IF(換券投組!R8="","",換券投組!R8)),"")</f>
        <v/>
      </c>
      <c r="Y111" s="1967" t="str">
        <f ca="1">IFERROR(IF(AND(換券投組!$O$6&lt;&gt;4,換券投組!P1=0),"無適合轉換債券標的",IFERROR(IF(FIND("美國政府",換券投組!U8)=1,LEFT(換券投組!U8,6)),CONCATENATE(LEFT(換券投組!U8,SEARCH(換券投組!$E$13,換券投組!U8,1)-1)))),"")</f>
        <v>無適合轉換債券標的</v>
      </c>
      <c r="Z111" s="1967"/>
      <c r="AA111" s="1967"/>
      <c r="AB111" s="1967"/>
      <c r="AC111" s="1967"/>
      <c r="AD111" s="2166" t="str">
        <f ca="1">IFERROR(VLOOKUP(X111,'銀行-TSS'!B:H,7,FALSE),"")</f>
        <v/>
      </c>
      <c r="AE111" s="2166"/>
      <c r="AF111" s="2166"/>
      <c r="AG111" s="1967" t="str">
        <f ca="1">IFERROR(VLOOKUP(X111,'銀行-TSS'!B:F,5,FALSE),"")</f>
        <v/>
      </c>
      <c r="AH111" s="1967"/>
      <c r="AI111" s="1967"/>
      <c r="AJ111" s="1967"/>
      <c r="AK111" s="2189" t="str">
        <f ca="1">IFERROR(VLOOKUP(X111,'銀行-TSS'!B:K,10,FALSE),"")</f>
        <v/>
      </c>
      <c r="AL111" s="2189"/>
      <c r="AM111" s="2189"/>
      <c r="AN111" s="2189"/>
      <c r="AO111" s="2166" t="str">
        <f ca="1">IFERROR(VLOOKUP(X111,'銀行-TSS'!B:M,12,FALSE),"")</f>
        <v/>
      </c>
      <c r="AP111" s="2166"/>
      <c r="AQ111" s="2166"/>
      <c r="AR111" s="1967" t="str">
        <f ca="1">IFERROR(VLOOKUP(X111,'銀行-TSS'!B:Q,16,FALSE),"")</f>
        <v/>
      </c>
      <c r="AS111" s="1967"/>
      <c r="AT111" s="1967"/>
      <c r="AU111" s="1967"/>
      <c r="AV111" s="1967"/>
      <c r="AW111" s="1967" t="str">
        <f ca="1">IFERROR(IF(X111="","",IF(換券投組!$O$6&lt;&gt;4,換券投組!Q8,換券投組!S8)),"")</f>
        <v/>
      </c>
      <c r="AX111" s="1967"/>
      <c r="AY111" s="1967"/>
      <c r="AZ111" s="1967"/>
    </row>
    <row r="112" spans="4:52" ht="15.65" customHeight="1">
      <c r="D112" s="505"/>
      <c r="E112" s="505"/>
      <c r="F112" s="505"/>
      <c r="G112" s="505"/>
      <c r="H112" s="505"/>
      <c r="I112" s="505"/>
      <c r="J112" s="505"/>
      <c r="O112" s="2005"/>
      <c r="P112" s="967"/>
      <c r="Q112" s="966"/>
      <c r="R112" s="966"/>
      <c r="S112" s="966"/>
      <c r="T112" s="966"/>
      <c r="U112" s="993"/>
      <c r="V112" s="966"/>
      <c r="W112" s="2188" t="str">
        <f ca="1">IF(X112="","",換券投組!O9&amp;".")</f>
        <v/>
      </c>
      <c r="X112" s="2039" t="str">
        <f ca="1">IFERROR(IF(換券投組!$O$6&lt;&gt;4,換券投組!P9,IF(換券投組!R9="","",換券投組!R9)),"")</f>
        <v/>
      </c>
      <c r="Y112" s="1967" t="str">
        <f ca="1">IFERROR(IFERROR(IF(FIND("美國政府",換券投組!U9)=1,LEFT(換券投組!U9,6)),CONCATENATE(LEFT(換券投組!U9,SEARCH(換券投組!$E$13,換券投組!U9,1)-1))),"")</f>
        <v/>
      </c>
      <c r="Z112" s="1967"/>
      <c r="AA112" s="1967"/>
      <c r="AB112" s="1967"/>
      <c r="AC112" s="1967"/>
      <c r="AD112" s="2166" t="str">
        <f ca="1">IFERROR(VLOOKUP(X112,'銀行-TSS'!B:H,7,FALSE),"")</f>
        <v/>
      </c>
      <c r="AE112" s="2166"/>
      <c r="AF112" s="2166"/>
      <c r="AG112" s="1967" t="str">
        <f ca="1">IFERROR(VLOOKUP(X112,'銀行-TSS'!B:F,5,FALSE),"")</f>
        <v/>
      </c>
      <c r="AH112" s="1967"/>
      <c r="AI112" s="1967"/>
      <c r="AJ112" s="1967"/>
      <c r="AK112" s="2189" t="str">
        <f ca="1">IFERROR(VLOOKUP(X112,'銀行-TSS'!B:K,10,FALSE),"")</f>
        <v/>
      </c>
      <c r="AL112" s="2189"/>
      <c r="AM112" s="2189"/>
      <c r="AN112" s="2189"/>
      <c r="AO112" s="2166" t="str">
        <f ca="1">IFERROR(VLOOKUP(X112,'銀行-TSS'!B:M,12,FALSE),"")</f>
        <v/>
      </c>
      <c r="AP112" s="2166"/>
      <c r="AQ112" s="2166"/>
      <c r="AR112" s="1967" t="str">
        <f ca="1">IFERROR(VLOOKUP(X112,'銀行-TSS'!B:Q,16,FALSE),"")</f>
        <v/>
      </c>
      <c r="AS112" s="1967"/>
      <c r="AT112" s="1967"/>
      <c r="AU112" s="1967"/>
      <c r="AV112" s="1967"/>
      <c r="AW112" s="1967" t="str">
        <f ca="1">IFERROR(IF(X112="","",IF(換券投組!$O$6&lt;&gt;4,換券投組!Q9,換券投組!S9)),"")</f>
        <v/>
      </c>
      <c r="AX112" s="1967"/>
      <c r="AY112" s="1967"/>
      <c r="AZ112" s="1967"/>
    </row>
    <row r="113" spans="4:52" ht="15.65" customHeight="1">
      <c r="D113" s="505"/>
      <c r="E113" s="505"/>
      <c r="F113" s="505"/>
      <c r="G113" s="505"/>
      <c r="H113" s="505"/>
      <c r="I113" s="505"/>
      <c r="J113" s="505"/>
      <c r="O113" s="2004"/>
      <c r="P113" s="968"/>
      <c r="Q113" s="978"/>
      <c r="R113" s="978"/>
      <c r="S113" s="978"/>
      <c r="T113" s="978"/>
      <c r="U113" s="994"/>
      <c r="V113" s="966"/>
      <c r="W113" s="2188"/>
      <c r="X113" s="2039" t="str">
        <f ca="1">IFERROR(IF(換券投組!$O$6&lt;&gt;4,換券投組!P10,IF(換券投組!R10="","",換券投組!R10)),"")</f>
        <v/>
      </c>
      <c r="Y113" s="1967"/>
      <c r="Z113" s="1967"/>
      <c r="AA113" s="1967"/>
      <c r="AB113" s="1967"/>
      <c r="AC113" s="1967"/>
      <c r="AD113" s="2166"/>
      <c r="AE113" s="2166"/>
      <c r="AF113" s="2166"/>
      <c r="AG113" s="1967"/>
      <c r="AH113" s="1967"/>
      <c r="AI113" s="1967"/>
      <c r="AJ113" s="1967"/>
      <c r="AK113" s="2189"/>
      <c r="AL113" s="2189"/>
      <c r="AM113" s="2189"/>
      <c r="AN113" s="2189"/>
      <c r="AO113" s="2166"/>
      <c r="AP113" s="2166"/>
      <c r="AQ113" s="2166"/>
      <c r="AR113" s="1967"/>
      <c r="AS113" s="1967"/>
      <c r="AT113" s="1967"/>
      <c r="AU113" s="1967"/>
      <c r="AV113" s="1967"/>
      <c r="AW113" s="1967"/>
      <c r="AX113" s="1967"/>
      <c r="AY113" s="1967"/>
      <c r="AZ113" s="1967"/>
    </row>
    <row r="114" spans="4:52" ht="30.65" customHeight="1">
      <c r="D114" s="505"/>
      <c r="E114" s="505"/>
      <c r="F114" s="505"/>
      <c r="G114" s="505"/>
      <c r="H114" s="505"/>
      <c r="I114" s="505"/>
      <c r="J114" s="505"/>
      <c r="O114" s="2004"/>
      <c r="P114" s="2006" t="s">
        <v>3544</v>
      </c>
      <c r="Q114" s="2015">
        <f ca="1">IFERROR(換券投組!D30,0)</f>
        <v>0</v>
      </c>
      <c r="R114" s="2015"/>
      <c r="S114" s="2015"/>
      <c r="T114" s="2015"/>
      <c r="U114" s="995" t="str">
        <f ca="1">IF($Q$100="","-",IFERROR(IF($V$19="TWD",TEXT(換券投組!D30*換券投組!$D$23,"#,##0"),TEXT(換券投組!D30,"#,##0")),"-"))</f>
        <v>-</v>
      </c>
      <c r="V114" s="1135"/>
      <c r="W114" s="1308" t="str">
        <f ca="1">IF(X114="","",換券投組!O10&amp;".")</f>
        <v/>
      </c>
      <c r="X114" s="1776" t="str">
        <f ca="1">IFERROR(IF(換券投組!$O$6&lt;&gt;4,換券投組!P10,IF(換券投組!R10="","",換券投組!R10)),"")</f>
        <v/>
      </c>
      <c r="Y114" s="1967" t="str">
        <f ca="1">IFERROR(IFERROR(IF(FIND("美國政府",換券投組!U10)=1,LEFT(換券投組!U10,6)),CONCATENATE(LEFT(換券投組!U10,SEARCH(換券投組!$E$13,換券投組!U10,1)-1))),"")</f>
        <v/>
      </c>
      <c r="Z114" s="1967"/>
      <c r="AA114" s="1967"/>
      <c r="AB114" s="1967"/>
      <c r="AC114" s="1967"/>
      <c r="AD114" s="2166" t="str">
        <f ca="1">IFERROR(VLOOKUP(X114,'銀行-TSS'!B:H,7,FALSE),"")</f>
        <v/>
      </c>
      <c r="AE114" s="2166"/>
      <c r="AF114" s="2166"/>
      <c r="AG114" s="1967" t="str">
        <f ca="1">IFERROR(VLOOKUP(X114,'銀行-TSS'!B:F,5,FALSE),"")</f>
        <v/>
      </c>
      <c r="AH114" s="1967"/>
      <c r="AI114" s="1967"/>
      <c r="AJ114" s="1967"/>
      <c r="AK114" s="2189" t="str">
        <f ca="1">IFERROR(VLOOKUP(X114,'銀行-TSS'!B:K,10,FALSE),"")</f>
        <v/>
      </c>
      <c r="AL114" s="2189"/>
      <c r="AM114" s="2189"/>
      <c r="AN114" s="2189"/>
      <c r="AO114" s="2166" t="str">
        <f ca="1">IFERROR(VLOOKUP(X114,'銀行-TSS'!B:M,12,FALSE),"")</f>
        <v/>
      </c>
      <c r="AP114" s="2166"/>
      <c r="AQ114" s="2166"/>
      <c r="AR114" s="1967" t="str">
        <f ca="1">IFERROR(VLOOKUP(X114,'銀行-TSS'!B:Q,16,FALSE),"")</f>
        <v/>
      </c>
      <c r="AS114" s="1967"/>
      <c r="AT114" s="1967"/>
      <c r="AU114" s="1967"/>
      <c r="AV114" s="1967"/>
      <c r="AW114" s="1967" t="str">
        <f ca="1">IFERROR(IF(X114="","",IF(換券投組!$O$6&lt;&gt;4,換券投組!Q10,換券投組!S10)),"")</f>
        <v/>
      </c>
      <c r="AX114" s="1967"/>
      <c r="AY114" s="1967"/>
      <c r="AZ114" s="1967"/>
    </row>
    <row r="115" spans="4:52" ht="34.5" hidden="1" customHeight="1">
      <c r="D115" s="505"/>
      <c r="E115" s="505"/>
      <c r="F115" s="505"/>
      <c r="G115" s="505"/>
      <c r="H115" s="505"/>
      <c r="I115" s="505"/>
      <c r="J115" s="505"/>
      <c r="O115" s="2004"/>
      <c r="P115" s="2007"/>
      <c r="Q115" s="2016">
        <f>IFERROR(換券投組!E30,0)</f>
        <v>0</v>
      </c>
      <c r="R115" s="2016"/>
      <c r="S115" s="2016"/>
      <c r="T115" s="2016"/>
      <c r="U115" s="996"/>
      <c r="V115" s="1138"/>
      <c r="W115" s="1202"/>
      <c r="X115" s="1776"/>
      <c r="Y115" s="938"/>
      <c r="Z115" s="938"/>
      <c r="AA115" s="938"/>
      <c r="AB115" s="938"/>
      <c r="AC115" s="938"/>
      <c r="AD115" s="1201"/>
      <c r="AE115" s="1201"/>
      <c r="AF115" s="1201"/>
      <c r="AG115" s="938"/>
      <c r="AH115" s="938"/>
      <c r="AI115" s="938"/>
      <c r="AJ115" s="938"/>
      <c r="AK115" s="1203"/>
      <c r="AL115" s="1203"/>
      <c r="AM115" s="1203"/>
      <c r="AN115" s="1203"/>
      <c r="AO115" s="1201"/>
      <c r="AP115" s="1201"/>
      <c r="AQ115" s="1204"/>
      <c r="AR115" s="1171"/>
      <c r="AS115" s="1171"/>
      <c r="AT115" s="1171"/>
      <c r="AU115" s="938"/>
      <c r="AV115" s="938"/>
      <c r="AW115" s="938"/>
      <c r="AX115" s="938"/>
      <c r="AY115" s="938"/>
      <c r="AZ115" s="938"/>
    </row>
    <row r="116" spans="4:52" ht="34.5" hidden="1" customHeight="1">
      <c r="D116" s="505"/>
      <c r="E116" s="505"/>
      <c r="F116" s="505"/>
      <c r="G116" s="505"/>
      <c r="H116" s="505"/>
      <c r="I116" s="505"/>
      <c r="J116" s="505"/>
      <c r="O116" s="2004"/>
      <c r="P116" s="2007"/>
      <c r="Q116" s="2016">
        <f ca="1">IFERROR(換券投組!D30,0)</f>
        <v>0</v>
      </c>
      <c r="R116" s="2016"/>
      <c r="S116" s="2016"/>
      <c r="T116" s="2016"/>
      <c r="U116" s="997"/>
      <c r="V116" s="1138"/>
      <c r="W116" s="1202"/>
      <c r="X116" s="1776"/>
      <c r="Y116" s="938"/>
      <c r="Z116" s="938"/>
      <c r="AA116" s="938"/>
      <c r="AB116" s="938"/>
      <c r="AC116" s="938"/>
      <c r="AD116" s="1201"/>
      <c r="AE116" s="1201"/>
      <c r="AF116" s="1201"/>
      <c r="AG116" s="938"/>
      <c r="AH116" s="938"/>
      <c r="AI116" s="938"/>
      <c r="AJ116" s="938"/>
      <c r="AK116" s="1203"/>
      <c r="AL116" s="1203"/>
      <c r="AM116" s="1203"/>
      <c r="AN116" s="1203"/>
      <c r="AO116" s="1201"/>
      <c r="AP116" s="1201"/>
      <c r="AQ116" s="1204"/>
      <c r="AR116" s="1171"/>
      <c r="AS116" s="1171"/>
      <c r="AT116" s="1171"/>
      <c r="AU116" s="938"/>
      <c r="AV116" s="938"/>
      <c r="AW116" s="938"/>
      <c r="AX116" s="938"/>
      <c r="AY116" s="938"/>
      <c r="AZ116" s="938"/>
    </row>
    <row r="117" spans="4:52" ht="30" customHeight="1">
      <c r="D117" s="505"/>
      <c r="E117" s="505"/>
      <c r="F117" s="505"/>
      <c r="G117" s="505"/>
      <c r="H117" s="505"/>
      <c r="I117" s="505"/>
      <c r="J117" s="505"/>
      <c r="O117" s="2004"/>
      <c r="P117" s="2007"/>
      <c r="Q117" s="2014">
        <f>IFERROR(換券投組!E30,0)</f>
        <v>0</v>
      </c>
      <c r="R117" s="2014"/>
      <c r="S117" s="2014"/>
      <c r="T117" s="2014"/>
      <c r="U117" s="998" t="str">
        <f ca="1">IF(OR($Q$100="",$T$100=""),"-",IFERROR(IF($V$19="TWD",TEXT(換券投組!E30*換券投組!$D$23,"#,##0"),TEXT(換券投組!E30,"#,##0")),"-"))</f>
        <v>-</v>
      </c>
      <c r="V117" s="1139"/>
      <c r="W117" s="1308" t="str">
        <f ca="1">IF(X117="","",換券投組!O11&amp;".")</f>
        <v/>
      </c>
      <c r="X117" s="1776" t="str">
        <f ca="1">IFERROR(IF(換券投組!$O$6&lt;&gt;4,換券投組!P11,IF(換券投組!R11="","",換券投組!R11)),"")</f>
        <v/>
      </c>
      <c r="Y117" s="1967" t="str">
        <f ca="1">IFERROR(IFERROR(IF(FIND("美國政府",換券投組!U11)=1,LEFT(換券投組!U11,6)),CONCATENATE(LEFT(換券投組!U11,SEARCH(換券投組!$E$13,換券投組!U11,1)-1))),"")</f>
        <v/>
      </c>
      <c r="Z117" s="1967"/>
      <c r="AA117" s="1967"/>
      <c r="AB117" s="1967"/>
      <c r="AC117" s="1967"/>
      <c r="AD117" s="2166" t="str">
        <f ca="1">IFERROR(VLOOKUP(X117,'銀行-TSS'!B:H,7,FALSE),"")</f>
        <v/>
      </c>
      <c r="AE117" s="2166"/>
      <c r="AF117" s="2166"/>
      <c r="AG117" s="1967" t="str">
        <f ca="1">IFERROR(VLOOKUP(X117,'銀行-TSS'!B:F,5,FALSE),"")</f>
        <v/>
      </c>
      <c r="AH117" s="1967"/>
      <c r="AI117" s="1967"/>
      <c r="AJ117" s="1967"/>
      <c r="AK117" s="2189" t="str">
        <f ca="1">IFERROR(VLOOKUP(X117,'銀行-TSS'!B:K,10,FALSE),"")</f>
        <v/>
      </c>
      <c r="AL117" s="2189"/>
      <c r="AM117" s="2189"/>
      <c r="AN117" s="2189"/>
      <c r="AO117" s="2166" t="str">
        <f ca="1">IFERROR(VLOOKUP(X117,'銀行-TSS'!B:M,12,FALSE),"")</f>
        <v/>
      </c>
      <c r="AP117" s="2166"/>
      <c r="AQ117" s="2166"/>
      <c r="AR117" s="2172" t="str">
        <f ca="1">IFERROR(VLOOKUP(X117,'銀行-TSS'!B:Q,16,FALSE),"")</f>
        <v/>
      </c>
      <c r="AS117" s="2172"/>
      <c r="AT117" s="2172"/>
      <c r="AU117" s="2172"/>
      <c r="AV117" s="2172"/>
      <c r="AW117" s="1967" t="str">
        <f ca="1">IFERROR(IF(X117="","",IF(換券投組!$O$6&lt;&gt;4,換券投組!Q11,換券投組!S11)),"")</f>
        <v/>
      </c>
      <c r="AX117" s="1967"/>
      <c r="AY117" s="1967"/>
      <c r="AZ117" s="1967"/>
    </row>
    <row r="118" spans="4:52" ht="15.65" customHeight="1">
      <c r="D118" s="505"/>
      <c r="E118" s="505"/>
      <c r="F118" s="505"/>
      <c r="G118" s="505"/>
      <c r="H118" s="505"/>
      <c r="I118" s="505"/>
      <c r="J118" s="505"/>
      <c r="O118" s="2005"/>
      <c r="P118" s="970"/>
      <c r="Q118" s="971"/>
      <c r="R118" s="971"/>
      <c r="S118" s="971"/>
      <c r="T118" s="971"/>
      <c r="U118" s="999"/>
      <c r="V118" s="1140"/>
      <c r="W118" s="2188" t="str">
        <f ca="1">IF(X118="","",換券投組!O12&amp;".")</f>
        <v/>
      </c>
      <c r="X118" s="2039" t="str">
        <f ca="1">IFERROR(IF(換券投組!$O$6&lt;&gt;4,換券投組!P12,IF(換券投組!R12="","",換券投組!R12)),"")</f>
        <v/>
      </c>
      <c r="Y118" s="1967" t="str">
        <f ca="1">IFERROR(IFERROR(IF(FIND("美國政府",換券投組!U12)=1,LEFT(換券投組!U12,6)),CONCATENATE(LEFT(換券投組!U12,SEARCH(換券投組!$E$13,換券投組!U12,1)-1))),"")</f>
        <v/>
      </c>
      <c r="Z118" s="1967"/>
      <c r="AA118" s="1967"/>
      <c r="AB118" s="1967"/>
      <c r="AC118" s="1967"/>
      <c r="AD118" s="2166" t="str">
        <f ca="1">IFERROR(VLOOKUP(X118,'銀行-TSS'!B:H,7,FALSE),"")</f>
        <v/>
      </c>
      <c r="AE118" s="2166"/>
      <c r="AF118" s="2166"/>
      <c r="AG118" s="1967" t="str">
        <f ca="1">IFERROR(VLOOKUP(X118,'銀行-TSS'!B:F,5,FALSE),"")</f>
        <v/>
      </c>
      <c r="AH118" s="1967"/>
      <c r="AI118" s="1967"/>
      <c r="AJ118" s="1967"/>
      <c r="AK118" s="2189" t="str">
        <f ca="1">IFERROR(VLOOKUP(X118,'銀行-TSS'!B:K,10,FALSE),"")</f>
        <v/>
      </c>
      <c r="AL118" s="2189"/>
      <c r="AM118" s="2189"/>
      <c r="AN118" s="2189"/>
      <c r="AO118" s="2166" t="str">
        <f ca="1">IFERROR(VLOOKUP(X118,'銀行-TSS'!B:M,12,FALSE),"")</f>
        <v/>
      </c>
      <c r="AP118" s="2166"/>
      <c r="AQ118" s="2166"/>
      <c r="AR118" s="2172" t="str">
        <f ca="1">IFERROR(VLOOKUP(X118,'銀行-TSS'!B:Q,16,FALSE),"")</f>
        <v/>
      </c>
      <c r="AS118" s="2172"/>
      <c r="AT118" s="2172"/>
      <c r="AU118" s="2172"/>
      <c r="AV118" s="2172"/>
      <c r="AW118" s="1967" t="str">
        <f ca="1">IFERROR(IF(X118="","",IF(換券投組!$O$6&lt;&gt;4,換券投組!Q12,換券投組!S12)),"")</f>
        <v/>
      </c>
      <c r="AX118" s="1967"/>
      <c r="AY118" s="1967"/>
      <c r="AZ118" s="1967"/>
    </row>
    <row r="119" spans="4:52" ht="15.65" customHeight="1">
      <c r="D119" s="505"/>
      <c r="E119" s="505"/>
      <c r="F119" s="505"/>
      <c r="G119" s="505"/>
      <c r="H119" s="505"/>
      <c r="I119" s="505"/>
      <c r="J119" s="505"/>
      <c r="O119" s="2004"/>
      <c r="P119" s="968"/>
      <c r="Q119" s="972"/>
      <c r="R119" s="972"/>
      <c r="S119" s="972"/>
      <c r="T119" s="972"/>
      <c r="U119" s="1000"/>
      <c r="V119" s="1140"/>
      <c r="W119" s="2188"/>
      <c r="X119" s="2039">
        <f>IFERROR(IF(換券投組!$O$6&lt;&gt;4,換券投組!P16,IF(換券投組!R16="","",換券投組!R16)),"")</f>
        <v>0</v>
      </c>
      <c r="Y119" s="1967"/>
      <c r="Z119" s="1967"/>
      <c r="AA119" s="1967"/>
      <c r="AB119" s="1967"/>
      <c r="AC119" s="1967"/>
      <c r="AD119" s="2166"/>
      <c r="AE119" s="2166"/>
      <c r="AF119" s="2166"/>
      <c r="AG119" s="1967"/>
      <c r="AH119" s="1967"/>
      <c r="AI119" s="1967"/>
      <c r="AJ119" s="1967"/>
      <c r="AK119" s="2189"/>
      <c r="AL119" s="2189"/>
      <c r="AM119" s="2189"/>
      <c r="AN119" s="2189"/>
      <c r="AO119" s="2166"/>
      <c r="AP119" s="2166"/>
      <c r="AQ119" s="2166"/>
      <c r="AR119" s="2172"/>
      <c r="AS119" s="2172"/>
      <c r="AT119" s="2172"/>
      <c r="AU119" s="2172"/>
      <c r="AV119" s="2172"/>
      <c r="AW119" s="1967"/>
      <c r="AX119" s="1967"/>
      <c r="AY119" s="1967"/>
      <c r="AZ119" s="1967"/>
    </row>
    <row r="120" spans="4:52" ht="30" customHeight="1">
      <c r="D120" s="505"/>
      <c r="E120" s="505"/>
      <c r="F120" s="505"/>
      <c r="G120" s="505"/>
      <c r="H120" s="505"/>
      <c r="I120" s="505"/>
      <c r="J120" s="505"/>
      <c r="O120" s="2004"/>
      <c r="P120" s="2007" t="s">
        <v>3545</v>
      </c>
      <c r="Q120" s="2015">
        <f ca="1">IFERROR(換券投組!D31,0)</f>
        <v>0</v>
      </c>
      <c r="R120" s="2015"/>
      <c r="S120" s="2015"/>
      <c r="T120" s="2015"/>
      <c r="U120" s="1001" t="str">
        <f ca="1">IF($Q$100="","",IFERROR(換券投組!D31,0))</f>
        <v/>
      </c>
      <c r="V120" s="1141"/>
      <c r="W120" s="1308" t="str">
        <f ca="1">IF(X120="","",換券投組!O13&amp;".")</f>
        <v/>
      </c>
      <c r="X120" s="1777" t="str">
        <f ca="1">IFERROR(IF(換券投組!$O$6&lt;&gt;4,換券投組!P13,IF(換券投組!R13="","",換券投組!R13)),"")</f>
        <v/>
      </c>
      <c r="Y120" s="2170" t="str">
        <f ca="1">IFERROR(IFERROR(IF(FIND("美國政府",換券投組!U13)=1,LEFT(換券投組!U13,6)),CONCATENATE(LEFT(換券投組!U13,SEARCH(換券投組!$E$13,換券投組!U13,1)-1))),"")</f>
        <v/>
      </c>
      <c r="Z120" s="2170"/>
      <c r="AA120" s="2170"/>
      <c r="AB120" s="2170"/>
      <c r="AC120" s="2170"/>
      <c r="AD120" s="2165" t="str">
        <f ca="1">IFERROR(VLOOKUP(X120,'銀行-TSS'!B:H,7,FALSE),"")</f>
        <v/>
      </c>
      <c r="AE120" s="2165"/>
      <c r="AF120" s="2165"/>
      <c r="AG120" s="2170" t="str">
        <f ca="1">IFERROR(VLOOKUP(X120,'銀行-TSS'!B:F,5,FALSE),"")</f>
        <v/>
      </c>
      <c r="AH120" s="2170"/>
      <c r="AI120" s="2170"/>
      <c r="AJ120" s="2170"/>
      <c r="AK120" s="2199" t="str">
        <f ca="1">IFERROR(VLOOKUP(X120,'銀行-TSS'!B:K,10,FALSE),"")</f>
        <v/>
      </c>
      <c r="AL120" s="2199"/>
      <c r="AM120" s="2199"/>
      <c r="AN120" s="2199"/>
      <c r="AO120" s="2165" t="str">
        <f ca="1">IFERROR(VLOOKUP(X120,'銀行-TSS'!B:M,12,FALSE),"")</f>
        <v/>
      </c>
      <c r="AP120" s="2165"/>
      <c r="AQ120" s="2165"/>
      <c r="AR120" s="2173" t="str">
        <f ca="1">IFERROR(VLOOKUP(X120,'銀行-TSS'!B:Q,16,FALSE),"")</f>
        <v/>
      </c>
      <c r="AS120" s="2173"/>
      <c r="AT120" s="2173"/>
      <c r="AU120" s="2173"/>
      <c r="AV120" s="2173"/>
      <c r="AW120" s="2170" t="str">
        <f ca="1">IFERROR(IF(X120="","",IF(換券投組!$O$6&lt;&gt;4,換券投組!Q13,換券投組!S13)),"")</f>
        <v/>
      </c>
      <c r="AX120" s="2170"/>
      <c r="AY120" s="2170"/>
      <c r="AZ120" s="2170"/>
    </row>
    <row r="121" spans="4:52" ht="34.5" hidden="1" customHeight="1">
      <c r="D121" s="505"/>
      <c r="E121" s="505"/>
      <c r="F121" s="505"/>
      <c r="G121" s="505"/>
      <c r="H121" s="505"/>
      <c r="I121" s="505"/>
      <c r="J121" s="505"/>
      <c r="O121" s="2004"/>
      <c r="P121" s="2007"/>
      <c r="Q121" s="2016">
        <f ca="1">IFERROR(換券投組!E31,0)</f>
        <v>0</v>
      </c>
      <c r="R121" s="2016"/>
      <c r="S121" s="2016"/>
      <c r="T121" s="2016"/>
      <c r="U121" s="1002"/>
      <c r="V121" s="1142"/>
      <c r="W121" s="1142"/>
      <c r="X121" s="179"/>
      <c r="Y121" s="179"/>
      <c r="Z121" s="179"/>
      <c r="AA121" s="179"/>
      <c r="AB121" s="179"/>
      <c r="AC121" s="179"/>
      <c r="AD121" s="179"/>
      <c r="AE121" s="179"/>
      <c r="AF121" s="179"/>
      <c r="AG121" s="179"/>
      <c r="AH121" s="179"/>
      <c r="AI121" s="179"/>
      <c r="AJ121" s="179"/>
      <c r="AK121" s="179"/>
      <c r="AL121" s="179"/>
      <c r="AM121" s="179"/>
      <c r="AN121" s="179"/>
      <c r="AO121" s="179"/>
      <c r="AP121" s="179"/>
      <c r="AQ121" s="1130"/>
      <c r="AR121" s="1130"/>
      <c r="AS121" s="1130"/>
      <c r="AT121" s="1130"/>
      <c r="AU121" s="179"/>
      <c r="AV121" s="179"/>
      <c r="AW121" s="179"/>
      <c r="AX121" s="179"/>
      <c r="AY121" s="179"/>
      <c r="AZ121" s="179"/>
    </row>
    <row r="122" spans="4:52" ht="34.5" hidden="1" customHeight="1">
      <c r="D122" s="505"/>
      <c r="E122" s="505"/>
      <c r="F122" s="505"/>
      <c r="G122" s="505"/>
      <c r="H122" s="505"/>
      <c r="I122" s="505"/>
      <c r="J122" s="505"/>
      <c r="O122" s="2004"/>
      <c r="P122" s="2007"/>
      <c r="Q122" s="2016">
        <f ca="1">IFERROR(換券投組!D31,0)</f>
        <v>0</v>
      </c>
      <c r="R122" s="2016"/>
      <c r="S122" s="2016"/>
      <c r="T122" s="2016"/>
      <c r="U122" s="1002"/>
      <c r="V122" s="1142"/>
      <c r="W122" s="1142"/>
      <c r="X122" s="179"/>
      <c r="Y122" s="179"/>
      <c r="Z122" s="179"/>
      <c r="AA122" s="179"/>
      <c r="AB122" s="179"/>
      <c r="AC122" s="179"/>
      <c r="AD122" s="179"/>
      <c r="AE122" s="179"/>
      <c r="AF122" s="179"/>
      <c r="AG122" s="179"/>
      <c r="AH122" s="179"/>
      <c r="AI122" s="179"/>
      <c r="AJ122" s="179"/>
      <c r="AK122" s="179"/>
      <c r="AL122" s="179"/>
      <c r="AM122" s="179"/>
      <c r="AN122" s="179"/>
      <c r="AO122" s="179"/>
      <c r="AP122" s="179"/>
      <c r="AQ122" s="1130"/>
      <c r="AR122" s="1130"/>
      <c r="AS122" s="1130"/>
      <c r="AT122" s="1130"/>
      <c r="AU122" s="179"/>
      <c r="AV122" s="179"/>
      <c r="AW122" s="179"/>
      <c r="AX122" s="179"/>
      <c r="AY122" s="179"/>
      <c r="AZ122" s="179"/>
    </row>
    <row r="123" spans="4:52" ht="30" customHeight="1">
      <c r="D123" s="505"/>
      <c r="E123" s="505"/>
      <c r="F123" s="505"/>
      <c r="G123" s="505"/>
      <c r="H123" s="505"/>
      <c r="I123" s="505"/>
      <c r="J123" s="505"/>
      <c r="O123" s="2004"/>
      <c r="P123" s="2007"/>
      <c r="Q123" s="2014">
        <f ca="1">IFERROR(換券投組!E31,0)</f>
        <v>0</v>
      </c>
      <c r="R123" s="2014"/>
      <c r="S123" s="2014"/>
      <c r="T123" s="2014"/>
      <c r="U123" s="1003" t="str">
        <f ca="1">IF(OR($Q$100="",$T$100=""),"",IFERROR(換券投組!E31,0))</f>
        <v/>
      </c>
      <c r="V123" s="1143"/>
      <c r="W123" s="1143"/>
    </row>
    <row r="124" spans="4:52" ht="15.65" customHeight="1">
      <c r="D124" s="505"/>
      <c r="E124" s="505"/>
      <c r="F124" s="505"/>
      <c r="G124" s="505"/>
      <c r="H124" s="505"/>
      <c r="I124" s="505"/>
      <c r="J124" s="505"/>
      <c r="O124" s="2005"/>
      <c r="P124" s="970"/>
      <c r="Q124" s="973"/>
      <c r="R124" s="973"/>
      <c r="S124" s="973"/>
      <c r="T124" s="973"/>
      <c r="U124" s="1004"/>
      <c r="V124" s="1144"/>
      <c r="W124" s="1144"/>
      <c r="X124" s="2181" t="s">
        <v>4138</v>
      </c>
      <c r="Y124" s="2181"/>
      <c r="Z124" s="2181"/>
      <c r="AA124" s="2181"/>
      <c r="AB124" s="2181"/>
      <c r="AC124" s="2181"/>
      <c r="AD124" s="2181"/>
      <c r="AE124" s="2181"/>
      <c r="AF124" s="2181"/>
      <c r="AG124" s="2181"/>
      <c r="AH124" s="2181"/>
      <c r="AI124" s="2181"/>
      <c r="AJ124" s="2181"/>
      <c r="AK124" s="2181"/>
      <c r="AL124" s="2181"/>
      <c r="AM124" s="2181"/>
      <c r="AN124" s="2181"/>
      <c r="AO124" s="2181"/>
      <c r="AP124" s="2181"/>
      <c r="AQ124" s="2181"/>
      <c r="AR124" s="2181"/>
      <c r="AS124" s="2181"/>
      <c r="AT124" s="2181"/>
      <c r="AU124" s="2181"/>
      <c r="AV124" s="2181"/>
      <c r="AW124" s="2181"/>
      <c r="AX124" s="2181"/>
      <c r="AY124" s="2181"/>
      <c r="AZ124" s="2181"/>
    </row>
    <row r="125" spans="4:52" ht="15.65" customHeight="1">
      <c r="D125" s="505"/>
      <c r="E125" s="505"/>
      <c r="F125" s="505"/>
      <c r="G125" s="505"/>
      <c r="H125" s="505"/>
      <c r="I125" s="505"/>
      <c r="J125" s="505"/>
      <c r="O125" s="2004"/>
      <c r="P125" s="968"/>
      <c r="Q125" s="974"/>
      <c r="R125" s="974"/>
      <c r="S125" s="974"/>
      <c r="T125" s="974"/>
      <c r="U125" s="1005"/>
      <c r="V125" s="1144"/>
      <c r="W125" s="1144"/>
      <c r="X125" s="2181"/>
      <c r="Y125" s="2181"/>
      <c r="Z125" s="2181"/>
      <c r="AA125" s="2181"/>
      <c r="AB125" s="2181"/>
      <c r="AC125" s="2181"/>
      <c r="AD125" s="2181"/>
      <c r="AE125" s="2181"/>
      <c r="AF125" s="2181"/>
      <c r="AG125" s="2181"/>
      <c r="AH125" s="2181"/>
      <c r="AI125" s="2181"/>
      <c r="AJ125" s="2181"/>
      <c r="AK125" s="2181"/>
      <c r="AL125" s="2181"/>
      <c r="AM125" s="2181"/>
      <c r="AN125" s="2181"/>
      <c r="AO125" s="2181"/>
      <c r="AP125" s="2181"/>
      <c r="AQ125" s="2181"/>
      <c r="AR125" s="2181"/>
      <c r="AS125" s="2181"/>
      <c r="AT125" s="2181"/>
      <c r="AU125" s="2181"/>
      <c r="AV125" s="2181"/>
      <c r="AW125" s="2181"/>
      <c r="AX125" s="2181"/>
      <c r="AY125" s="2181"/>
      <c r="AZ125" s="2181"/>
    </row>
    <row r="126" spans="4:52" ht="29.15" customHeight="1">
      <c r="D126" s="505"/>
      <c r="E126" s="505"/>
      <c r="F126" s="505"/>
      <c r="G126" s="505"/>
      <c r="H126" s="505"/>
      <c r="I126" s="505"/>
      <c r="J126" s="505"/>
      <c r="O126" s="2004"/>
      <c r="P126" s="2007" t="s">
        <v>3546</v>
      </c>
      <c r="Q126" s="2015">
        <f ca="1">IFERROR(換券投組!D32,0)</f>
        <v>0</v>
      </c>
      <c r="R126" s="2015"/>
      <c r="S126" s="2015"/>
      <c r="T126" s="2015"/>
      <c r="U126" s="1006" t="str">
        <f ca="1">IF($Q$100="","-",IFERROR(換券投組!D32,"-"))</f>
        <v>-</v>
      </c>
      <c r="V126" s="1132"/>
      <c r="W126" s="1132"/>
      <c r="X126" s="1277"/>
      <c r="Y126" s="1242"/>
      <c r="Z126" s="1105"/>
      <c r="AA126" s="1242"/>
      <c r="AB126" s="1242"/>
      <c r="AC126" s="1242"/>
      <c r="AD126" s="1242"/>
      <c r="AE126" s="1242"/>
      <c r="AF126" s="1242"/>
      <c r="AG126" s="1242"/>
      <c r="AH126" s="1242"/>
      <c r="AI126" s="1242"/>
      <c r="AJ126" s="1242"/>
      <c r="AK126" s="1278"/>
      <c r="AL126" s="1278"/>
      <c r="AM126" s="1278"/>
      <c r="AN126" s="1278"/>
      <c r="AO126" s="1278"/>
      <c r="AP126" s="1278"/>
      <c r="AQ126" s="1278"/>
      <c r="AR126" s="1278"/>
      <c r="AS126" s="1278"/>
      <c r="AT126" s="1278"/>
      <c r="AU126" s="1278"/>
      <c r="AV126" s="1278"/>
      <c r="AW126" s="1279"/>
      <c r="AX126" s="1279"/>
      <c r="AY126" s="1279"/>
      <c r="AZ126" s="1279"/>
    </row>
    <row r="127" spans="4:52" ht="30.65" hidden="1" customHeight="1">
      <c r="D127" s="505"/>
      <c r="E127" s="505"/>
      <c r="F127" s="505"/>
      <c r="G127" s="505"/>
      <c r="H127" s="505"/>
      <c r="I127" s="505"/>
      <c r="J127" s="505"/>
      <c r="O127" s="2004"/>
      <c r="P127" s="2007"/>
      <c r="Q127" s="2016">
        <f ca="1">IFERROR(換券投組!E32,0)</f>
        <v>0</v>
      </c>
      <c r="R127" s="2016"/>
      <c r="S127" s="2016"/>
      <c r="T127" s="2016"/>
      <c r="U127" s="1007"/>
      <c r="V127" s="1133"/>
      <c r="W127" s="1133"/>
      <c r="X127" s="179"/>
      <c r="Y127" s="179"/>
      <c r="Z127" s="179"/>
      <c r="AA127" s="179"/>
      <c r="AB127" s="179"/>
      <c r="AC127" s="179"/>
      <c r="AD127" s="179"/>
      <c r="AF127" s="179"/>
      <c r="AG127" s="179"/>
      <c r="AH127" s="179"/>
      <c r="AI127" s="179"/>
      <c r="AJ127" s="1280"/>
      <c r="AK127" s="1281"/>
      <c r="AL127" s="1281"/>
      <c r="AM127" s="1281"/>
      <c r="AN127" s="1281"/>
      <c r="AO127" s="1281"/>
      <c r="AP127" s="1281"/>
      <c r="AQ127" s="1281"/>
      <c r="AR127" s="1281"/>
      <c r="AS127" s="1281"/>
      <c r="AT127" s="1281"/>
      <c r="AU127" s="1281"/>
      <c r="AV127" s="1281"/>
      <c r="AW127" s="1280"/>
      <c r="AX127" s="1280"/>
      <c r="AY127" s="1280"/>
      <c r="AZ127" s="1280"/>
    </row>
    <row r="128" spans="4:52" ht="30.65" hidden="1" customHeight="1">
      <c r="D128" s="505"/>
      <c r="E128" s="505"/>
      <c r="F128" s="505"/>
      <c r="G128" s="505"/>
      <c r="H128" s="505"/>
      <c r="I128" s="505"/>
      <c r="J128" s="505"/>
      <c r="O128" s="2004"/>
      <c r="P128" s="2007"/>
      <c r="Q128" s="2016">
        <f ca="1">IFERROR(換券投組!D32,0)</f>
        <v>0</v>
      </c>
      <c r="R128" s="2016"/>
      <c r="S128" s="2016"/>
      <c r="T128" s="2016"/>
      <c r="U128" s="1007"/>
      <c r="V128" s="1133"/>
      <c r="W128" s="1133"/>
      <c r="X128" s="179"/>
      <c r="Y128" s="179"/>
      <c r="Z128" s="179"/>
      <c r="AA128" s="179"/>
      <c r="AB128" s="179"/>
      <c r="AC128" s="179"/>
      <c r="AD128" s="179"/>
      <c r="AF128" s="179"/>
      <c r="AG128" s="179"/>
      <c r="AH128" s="179"/>
      <c r="AI128" s="179"/>
      <c r="AJ128" s="1280"/>
      <c r="AK128" s="1281"/>
      <c r="AL128" s="1281"/>
      <c r="AM128" s="1281"/>
      <c r="AN128" s="1281"/>
      <c r="AO128" s="1281"/>
      <c r="AP128" s="1281"/>
      <c r="AQ128" s="1281"/>
      <c r="AR128" s="1281"/>
      <c r="AS128" s="1281"/>
      <c r="AT128" s="1281"/>
      <c r="AU128" s="1281"/>
      <c r="AV128" s="1281"/>
      <c r="AW128" s="1280"/>
      <c r="AX128" s="1280"/>
      <c r="AY128" s="1280"/>
      <c r="AZ128" s="1280"/>
    </row>
    <row r="129" spans="4:53" ht="29.15" customHeight="1">
      <c r="D129" s="505"/>
      <c r="E129" s="505"/>
      <c r="F129" s="505"/>
      <c r="G129" s="505"/>
      <c r="H129" s="505"/>
      <c r="I129" s="505"/>
      <c r="J129" s="505"/>
      <c r="O129" s="2004"/>
      <c r="P129" s="2007"/>
      <c r="Q129" s="2014">
        <f ca="1">IFERROR(換券投組!E32,0)</f>
        <v>0</v>
      </c>
      <c r="R129" s="2014"/>
      <c r="S129" s="2014"/>
      <c r="T129" s="2014"/>
      <c r="U129" s="1008" t="str">
        <f ca="1">IF(OR($Q$100="",$T$100=""),"-",IFERROR(換券投組!E32,"-"))</f>
        <v>-</v>
      </c>
      <c r="V129" s="1134"/>
      <c r="W129" s="1134"/>
      <c r="X129" s="642"/>
      <c r="Y129" s="1405"/>
      <c r="Z129" s="1405"/>
      <c r="AA129" s="1171"/>
      <c r="AB129" s="1171"/>
      <c r="AC129" s="1171"/>
      <c r="AD129" s="1171"/>
      <c r="AE129" s="1171"/>
      <c r="AF129" s="1171"/>
      <c r="AG129" s="1171"/>
      <c r="AH129" s="1171"/>
      <c r="AI129" s="1171"/>
      <c r="AJ129" s="1171"/>
      <c r="AK129" s="1272"/>
      <c r="AL129" s="1272"/>
      <c r="AM129" s="1272"/>
      <c r="AN129" s="1272"/>
      <c r="AO129" s="1272"/>
      <c r="AP129" s="1272"/>
      <c r="AQ129" s="1272"/>
      <c r="AR129" s="1272"/>
      <c r="AS129" s="1272"/>
      <c r="AT129" s="1272"/>
      <c r="AU129" s="1272"/>
      <c r="AV129" s="1272"/>
      <c r="AW129" s="1273"/>
      <c r="AX129" s="1273"/>
      <c r="AY129" s="1273"/>
      <c r="AZ129" s="1273"/>
      <c r="BA129" s="1251"/>
    </row>
    <row r="130" spans="4:53" ht="16.5" customHeight="1">
      <c r="D130" s="505"/>
      <c r="E130" s="505"/>
      <c r="F130" s="505"/>
      <c r="G130" s="505"/>
      <c r="H130" s="505"/>
      <c r="I130" s="505"/>
      <c r="J130" s="505"/>
      <c r="O130" s="2005"/>
      <c r="P130" s="1410"/>
      <c r="Q130" s="975"/>
      <c r="R130" s="975"/>
      <c r="S130" s="975"/>
      <c r="T130" s="975"/>
      <c r="U130" s="1009"/>
      <c r="V130" s="966"/>
      <c r="W130" s="966"/>
      <c r="X130" s="512"/>
      <c r="Y130" s="1276"/>
      <c r="Z130" s="1276"/>
      <c r="AA130" s="1171"/>
      <c r="AB130" s="1171"/>
      <c r="AC130" s="1171"/>
      <c r="AD130" s="1171"/>
      <c r="AE130" s="1171"/>
      <c r="AF130" s="1171"/>
      <c r="AG130" s="1171"/>
      <c r="AH130" s="1171"/>
      <c r="AI130" s="1171"/>
      <c r="AJ130" s="1171"/>
      <c r="AK130" s="1272"/>
      <c r="AL130" s="1272"/>
      <c r="AM130" s="1272"/>
      <c r="AN130" s="1272"/>
      <c r="AO130" s="1272"/>
      <c r="AP130" s="1272"/>
      <c r="AQ130" s="1272"/>
      <c r="AR130" s="1272"/>
      <c r="AS130" s="1272"/>
      <c r="AT130" s="1272"/>
      <c r="AU130" s="1272"/>
      <c r="AV130" s="1272"/>
      <c r="AW130" s="1273"/>
      <c r="AX130" s="1273"/>
      <c r="AY130" s="1273"/>
      <c r="AZ130" s="1273"/>
      <c r="BA130" s="1251"/>
    </row>
    <row r="131" spans="4:53" ht="16.5" customHeight="1">
      <c r="D131" s="505"/>
      <c r="E131" s="505"/>
      <c r="F131" s="505"/>
      <c r="G131" s="505"/>
      <c r="H131" s="505"/>
      <c r="I131" s="505"/>
      <c r="J131" s="505"/>
      <c r="O131" s="2004"/>
      <c r="P131" s="968"/>
      <c r="Q131" s="969"/>
      <c r="R131" s="969"/>
      <c r="S131" s="969"/>
      <c r="T131" s="969"/>
      <c r="U131" s="1010"/>
      <c r="V131" s="966"/>
      <c r="W131" s="966"/>
      <c r="X131" s="512"/>
      <c r="Y131" s="1276"/>
      <c r="Z131" s="1276"/>
      <c r="AA131" s="1171"/>
      <c r="AB131" s="1171"/>
      <c r="AC131" s="1171"/>
      <c r="AD131" s="1171"/>
      <c r="AE131" s="1171"/>
      <c r="AF131" s="1171"/>
      <c r="AG131" s="1171"/>
      <c r="AH131" s="1171"/>
      <c r="AI131" s="1171"/>
      <c r="AJ131" s="1171"/>
      <c r="AK131" s="1272"/>
      <c r="AL131" s="1272"/>
      <c r="AM131" s="1272"/>
      <c r="AN131" s="1272"/>
      <c r="AO131" s="1272"/>
      <c r="AP131" s="1272"/>
      <c r="AQ131" s="1272"/>
      <c r="AR131" s="1272"/>
      <c r="AS131" s="1272"/>
      <c r="AT131" s="1272"/>
      <c r="AU131" s="1272"/>
      <c r="AV131" s="1272"/>
      <c r="AW131" s="1273"/>
      <c r="AX131" s="1273"/>
      <c r="AY131" s="1273"/>
      <c r="AZ131" s="1273"/>
      <c r="BA131" s="1251"/>
    </row>
    <row r="132" spans="4:53" ht="30.65" customHeight="1">
      <c r="D132" s="505"/>
      <c r="E132" s="505"/>
      <c r="F132" s="505"/>
      <c r="G132" s="505"/>
      <c r="H132" s="505"/>
      <c r="I132" s="505"/>
      <c r="J132" s="505"/>
      <c r="O132" s="2004"/>
      <c r="P132" s="2019" t="s">
        <v>3782</v>
      </c>
      <c r="Q132" s="2015">
        <f ca="1">IFERROR(換券投組!D33,0)</f>
        <v>0</v>
      </c>
      <c r="R132" s="2015"/>
      <c r="S132" s="2015"/>
      <c r="T132" s="2015"/>
      <c r="U132" s="1006" t="str">
        <f ca="1">IF($Q$100="","-",IFERROR(IF($V$19="TWD",TEXT(換券投組!D33*換券投組!$D$23,"#,##0"),TEXT(換券投組!D33,"#,##0")),"-"))</f>
        <v>-</v>
      </c>
      <c r="V132" s="1132"/>
      <c r="W132" s="1132"/>
      <c r="X132" s="642"/>
      <c r="Y132" s="1405"/>
      <c r="Z132" s="1405"/>
      <c r="AA132" s="1171"/>
      <c r="AB132" s="1171"/>
      <c r="AC132" s="1171"/>
      <c r="AD132" s="1171"/>
      <c r="AE132" s="1171"/>
      <c r="AF132" s="1171"/>
      <c r="AG132" s="1171"/>
      <c r="AH132" s="1171"/>
      <c r="AI132" s="1171"/>
      <c r="AJ132" s="1171"/>
      <c r="AK132" s="1272"/>
      <c r="AL132" s="1272"/>
      <c r="AM132" s="1272"/>
      <c r="AN132" s="1272"/>
      <c r="AO132" s="1272"/>
      <c r="AP132" s="1272"/>
      <c r="AQ132" s="1272"/>
      <c r="AR132" s="1272"/>
      <c r="AS132" s="1272"/>
      <c r="AT132" s="1272"/>
      <c r="AU132" s="1272"/>
      <c r="AV132" s="1272"/>
      <c r="AW132" s="1273"/>
      <c r="AX132" s="1273"/>
      <c r="AY132" s="1273"/>
      <c r="AZ132" s="1273"/>
      <c r="BA132" s="1251"/>
    </row>
    <row r="133" spans="4:53" ht="34.5" hidden="1" customHeight="1">
      <c r="D133" s="505"/>
      <c r="E133" s="505"/>
      <c r="F133" s="505"/>
      <c r="G133" s="505"/>
      <c r="H133" s="505"/>
      <c r="I133" s="505"/>
      <c r="J133" s="505"/>
      <c r="O133" s="2004"/>
      <c r="P133" s="2020"/>
      <c r="Q133" s="2016">
        <f>IFERROR(換券投組!E33,0)</f>
        <v>0</v>
      </c>
      <c r="R133" s="2016"/>
      <c r="S133" s="2016"/>
      <c r="T133" s="2016"/>
      <c r="U133" s="1007"/>
      <c r="V133" s="1133"/>
      <c r="W133" s="1133"/>
      <c r="X133" s="642"/>
      <c r="Y133" s="1405"/>
      <c r="Z133" s="1405"/>
      <c r="AA133" s="1282"/>
      <c r="AB133" s="1282"/>
      <c r="AC133" s="1282"/>
      <c r="AD133" s="1282"/>
      <c r="AE133" s="1045"/>
      <c r="AF133" s="1282"/>
      <c r="AG133" s="1282"/>
      <c r="AH133" s="1282"/>
      <c r="AI133" s="1282"/>
      <c r="AJ133" s="1283"/>
      <c r="AK133" s="1284"/>
      <c r="AL133" s="1284"/>
      <c r="AM133" s="1284"/>
      <c r="AN133" s="1284"/>
      <c r="AO133" s="1284"/>
      <c r="AP133" s="1284"/>
      <c r="AQ133" s="1284"/>
      <c r="AR133" s="1284"/>
      <c r="AS133" s="1284"/>
      <c r="AT133" s="1284"/>
      <c r="AU133" s="1284"/>
      <c r="AV133" s="1284"/>
      <c r="AW133" s="1254"/>
      <c r="AX133" s="1254"/>
      <c r="AY133" s="1254"/>
      <c r="AZ133" s="1254"/>
      <c r="BA133" s="1251"/>
    </row>
    <row r="134" spans="4:53" ht="34.5" hidden="1" customHeight="1">
      <c r="D134" s="505"/>
      <c r="E134" s="505"/>
      <c r="F134" s="505"/>
      <c r="G134" s="505"/>
      <c r="H134" s="505"/>
      <c r="I134" s="505"/>
      <c r="J134" s="505"/>
      <c r="O134" s="2004"/>
      <c r="P134" s="2020"/>
      <c r="Q134" s="2016">
        <f ca="1">IFERROR(換券投組!D33,0)</f>
        <v>0</v>
      </c>
      <c r="R134" s="2016"/>
      <c r="S134" s="2016"/>
      <c r="T134" s="2016"/>
      <c r="U134" s="1007"/>
      <c r="V134" s="1133"/>
      <c r="W134" s="1133"/>
      <c r="X134" s="642"/>
      <c r="Y134" s="1405"/>
      <c r="Z134" s="1405"/>
      <c r="AA134" s="1282"/>
      <c r="AB134" s="1282"/>
      <c r="AC134" s="1282"/>
      <c r="AD134" s="1282"/>
      <c r="AE134" s="1045"/>
      <c r="AF134" s="1282"/>
      <c r="AG134" s="1282"/>
      <c r="AH134" s="1282"/>
      <c r="AI134" s="1282"/>
      <c r="AJ134" s="1283"/>
      <c r="AK134" s="1284"/>
      <c r="AL134" s="1284"/>
      <c r="AM134" s="1284"/>
      <c r="AN134" s="1284"/>
      <c r="AO134" s="1284"/>
      <c r="AP134" s="1284"/>
      <c r="AQ134" s="1284"/>
      <c r="AR134" s="1284"/>
      <c r="AS134" s="1284"/>
      <c r="AT134" s="1284"/>
      <c r="AU134" s="1284"/>
      <c r="AV134" s="1284"/>
      <c r="AW134" s="1254"/>
      <c r="AX134" s="1254"/>
      <c r="AY134" s="1254"/>
      <c r="AZ134" s="1254"/>
      <c r="BA134" s="1251"/>
    </row>
    <row r="135" spans="4:53" ht="30.65" customHeight="1">
      <c r="D135" s="505"/>
      <c r="E135" s="505"/>
      <c r="F135" s="505"/>
      <c r="G135" s="505"/>
      <c r="H135" s="505"/>
      <c r="I135" s="505"/>
      <c r="J135" s="505"/>
      <c r="O135" s="2004"/>
      <c r="P135" s="2020"/>
      <c r="Q135" s="2014">
        <f>IFERROR(換券投組!E33,0)</f>
        <v>0</v>
      </c>
      <c r="R135" s="2014"/>
      <c r="S135" s="2014"/>
      <c r="T135" s="2014"/>
      <c r="U135" s="1008" t="str">
        <f ca="1">IF(OR($Q$100="",$T$100=""),"-",IFERROR(IF($V$19="TWD",TEXT(換券投組!E33*換券投組!$D$23,"#,##0"),TEXT(換券投組!E33,"#,##0")),"-"))</f>
        <v>-</v>
      </c>
      <c r="V135" s="1145"/>
      <c r="W135" s="1145"/>
      <c r="X135" s="642"/>
      <c r="Y135" s="1405"/>
      <c r="Z135" s="1405"/>
      <c r="AA135" s="1171"/>
      <c r="AB135" s="1171"/>
      <c r="AC135" s="1171"/>
      <c r="AD135" s="1171"/>
      <c r="AE135" s="1171"/>
      <c r="AF135" s="1171"/>
      <c r="AG135" s="1171"/>
      <c r="AH135" s="1171"/>
      <c r="AI135" s="1171"/>
      <c r="AJ135" s="1171"/>
      <c r="AK135" s="1272"/>
      <c r="AL135" s="1272"/>
      <c r="AM135" s="1272"/>
      <c r="AN135" s="1272"/>
      <c r="AO135" s="1272"/>
      <c r="AP135" s="1272"/>
      <c r="AQ135" s="1272"/>
      <c r="AR135" s="1272"/>
      <c r="AS135" s="1272"/>
      <c r="AT135" s="1272"/>
      <c r="AU135" s="1272"/>
      <c r="AV135" s="1272"/>
      <c r="AW135" s="1273"/>
      <c r="AX135" s="1273"/>
      <c r="AY135" s="1273"/>
      <c r="AZ135" s="1273"/>
      <c r="BA135" s="1252"/>
    </row>
    <row r="136" spans="4:53" ht="15.65" customHeight="1">
      <c r="D136" s="505"/>
      <c r="E136" s="505"/>
      <c r="F136" s="505"/>
      <c r="G136" s="505"/>
      <c r="H136" s="505"/>
      <c r="I136" s="505"/>
      <c r="J136" s="505"/>
      <c r="O136" s="2005"/>
      <c r="P136" s="970"/>
      <c r="Q136" s="976"/>
      <c r="R136" s="976"/>
      <c r="S136" s="976"/>
      <c r="T136" s="976"/>
      <c r="U136" s="1011"/>
      <c r="V136" s="1146"/>
      <c r="W136" s="1146"/>
      <c r="X136" s="512"/>
      <c r="Y136" s="1276"/>
      <c r="Z136" s="1276"/>
      <c r="AA136" s="1171"/>
      <c r="AB136" s="1171"/>
      <c r="AC136" s="1171"/>
      <c r="AD136" s="1171"/>
      <c r="AE136" s="1171"/>
      <c r="AF136" s="1171"/>
      <c r="AG136" s="1171"/>
      <c r="AH136" s="1171"/>
      <c r="AI136" s="1171"/>
      <c r="AJ136" s="1171"/>
      <c r="AK136" s="1272"/>
      <c r="AL136" s="1272"/>
      <c r="AM136" s="1272"/>
      <c r="AN136" s="1272"/>
      <c r="AO136" s="1272"/>
      <c r="AP136" s="1272"/>
      <c r="AQ136" s="1272"/>
      <c r="AR136" s="1272"/>
      <c r="AS136" s="1272"/>
      <c r="AT136" s="1272"/>
      <c r="AU136" s="1272"/>
      <c r="AV136" s="1272"/>
      <c r="AW136" s="1273"/>
      <c r="AX136" s="1273"/>
      <c r="AY136" s="1273"/>
      <c r="AZ136" s="1273"/>
      <c r="BA136" s="1251"/>
    </row>
    <row r="137" spans="4:53" ht="15.65" customHeight="1">
      <c r="D137" s="505"/>
      <c r="E137" s="505"/>
      <c r="F137" s="505"/>
      <c r="G137" s="505"/>
      <c r="H137" s="505"/>
      <c r="I137" s="505"/>
      <c r="J137" s="505"/>
      <c r="O137" s="2004"/>
      <c r="P137" s="968"/>
      <c r="Q137" s="977"/>
      <c r="R137" s="977"/>
      <c r="S137" s="977"/>
      <c r="T137" s="977"/>
      <c r="U137" s="1012"/>
      <c r="V137" s="1146"/>
      <c r="W137" s="1146"/>
      <c r="X137" s="512"/>
      <c r="Y137" s="1276"/>
      <c r="Z137" s="1276"/>
      <c r="AA137" s="1171"/>
      <c r="AB137" s="1171"/>
      <c r="AC137" s="1171"/>
      <c r="AD137" s="1171"/>
      <c r="AE137" s="1171"/>
      <c r="AF137" s="1171"/>
      <c r="AG137" s="1171"/>
      <c r="AH137" s="1171"/>
      <c r="AI137" s="1171"/>
      <c r="AJ137" s="1171"/>
      <c r="AK137" s="1272"/>
      <c r="AL137" s="1272"/>
      <c r="AM137" s="1272"/>
      <c r="AN137" s="1272"/>
      <c r="AO137" s="1272"/>
      <c r="AP137" s="1272"/>
      <c r="AQ137" s="1272"/>
      <c r="AR137" s="1272"/>
      <c r="AS137" s="1272"/>
      <c r="AT137" s="1272"/>
      <c r="AU137" s="1272"/>
      <c r="AV137" s="1272"/>
      <c r="AW137" s="1273"/>
      <c r="AX137" s="1273"/>
      <c r="AY137" s="1273"/>
      <c r="AZ137" s="1273"/>
      <c r="BA137" s="1251"/>
    </row>
    <row r="138" spans="4:53" ht="30" customHeight="1">
      <c r="D138" s="505"/>
      <c r="E138" s="505"/>
      <c r="F138" s="505"/>
      <c r="G138" s="505"/>
      <c r="H138" s="505"/>
      <c r="I138" s="505"/>
      <c r="J138" s="505"/>
      <c r="O138" s="2004"/>
      <c r="P138" s="2017" t="s">
        <v>3538</v>
      </c>
      <c r="Q138" s="2015">
        <f ca="1">IFERROR(換券投組!D35,0)</f>
        <v>0</v>
      </c>
      <c r="R138" s="2015"/>
      <c r="S138" s="2015"/>
      <c r="T138" s="2015"/>
      <c r="U138" s="1013" t="str">
        <f ca="1">IF($Q$100="","",IFERROR(換券投組!D37,""))</f>
        <v/>
      </c>
      <c r="V138" s="1136"/>
      <c r="W138" s="1136"/>
      <c r="X138" s="642"/>
      <c r="Y138" s="1405"/>
      <c r="Z138" s="1405"/>
      <c r="AA138" s="1274"/>
      <c r="AB138" s="1274"/>
      <c r="AC138" s="1274"/>
      <c r="AD138" s="1274"/>
      <c r="AE138" s="1274"/>
      <c r="AF138" s="1274"/>
      <c r="AG138" s="1274"/>
      <c r="AH138" s="1274"/>
      <c r="AI138" s="1274"/>
      <c r="AJ138" s="1274"/>
      <c r="AK138" s="1272"/>
      <c r="AL138" s="1272"/>
      <c r="AM138" s="1272"/>
      <c r="AN138" s="1272"/>
      <c r="AO138" s="1272"/>
      <c r="AP138" s="1272"/>
      <c r="AQ138" s="1272"/>
      <c r="AR138" s="1272"/>
      <c r="AS138" s="1272"/>
      <c r="AT138" s="1272"/>
      <c r="AU138" s="1272"/>
      <c r="AV138" s="1272"/>
      <c r="AW138" s="1273"/>
      <c r="AX138" s="1273"/>
      <c r="AY138" s="1273"/>
      <c r="AZ138" s="1273"/>
      <c r="BA138" s="1251"/>
    </row>
    <row r="139" spans="4:53" ht="34.5" hidden="1" customHeight="1" thickBot="1">
      <c r="D139" s="505"/>
      <c r="E139" s="505"/>
      <c r="F139" s="505"/>
      <c r="G139" s="505"/>
      <c r="H139" s="505"/>
      <c r="I139" s="505"/>
      <c r="J139" s="505"/>
      <c r="O139" s="2004"/>
      <c r="P139" s="2017"/>
      <c r="Q139" s="2016">
        <f ca="1">IFERROR(換券投組!E35,0)</f>
        <v>0</v>
      </c>
      <c r="R139" s="2016"/>
      <c r="S139" s="2016"/>
      <c r="T139" s="2016"/>
      <c r="U139" s="1014"/>
      <c r="V139" s="1136"/>
      <c r="W139" s="1136"/>
      <c r="X139" s="642"/>
      <c r="Y139" s="1405"/>
      <c r="Z139" s="1405"/>
      <c r="AA139" s="1282"/>
      <c r="AB139" s="1282"/>
      <c r="AC139" s="1282"/>
      <c r="AD139" s="1282"/>
      <c r="AE139" s="1045"/>
      <c r="AF139" s="1282"/>
      <c r="AG139" s="1282"/>
      <c r="AH139" s="1282"/>
      <c r="AI139" s="1282"/>
      <c r="AJ139" s="1283"/>
      <c r="AK139" s="1284"/>
      <c r="AL139" s="1284"/>
      <c r="AM139" s="1284"/>
      <c r="AN139" s="1284"/>
      <c r="AO139" s="1284"/>
      <c r="AP139" s="1284"/>
      <c r="AQ139" s="1284"/>
      <c r="AR139" s="1284"/>
      <c r="AS139" s="1284"/>
      <c r="AT139" s="1284"/>
      <c r="AU139" s="1284"/>
      <c r="AV139" s="1284"/>
      <c r="AW139" s="1254"/>
      <c r="AX139" s="1254"/>
      <c r="AY139" s="1254"/>
      <c r="AZ139" s="1254"/>
      <c r="BA139" s="1251"/>
    </row>
    <row r="140" spans="4:53" ht="34.5" hidden="1" customHeight="1" thickTop="1">
      <c r="D140" s="505"/>
      <c r="E140" s="505"/>
      <c r="F140" s="505"/>
      <c r="G140" s="505"/>
      <c r="H140" s="505"/>
      <c r="I140" s="505"/>
      <c r="J140" s="505"/>
      <c r="O140" s="2004"/>
      <c r="P140" s="2017"/>
      <c r="Q140" s="2016">
        <f ca="1">IFERROR(換券投組!D35,0)</f>
        <v>0</v>
      </c>
      <c r="R140" s="2016"/>
      <c r="S140" s="2016"/>
      <c r="T140" s="2016"/>
      <c r="U140" s="1015"/>
      <c r="V140" s="1136"/>
      <c r="W140" s="1136"/>
      <c r="X140" s="642"/>
      <c r="Y140" s="1405"/>
      <c r="Z140" s="1405"/>
      <c r="AA140" s="1282"/>
      <c r="AB140" s="1282"/>
      <c r="AC140" s="1282"/>
      <c r="AD140" s="1282"/>
      <c r="AE140" s="1045"/>
      <c r="AF140" s="1282"/>
      <c r="AG140" s="1282"/>
      <c r="AH140" s="1282"/>
      <c r="AI140" s="1282"/>
      <c r="AJ140" s="1283"/>
      <c r="AK140" s="1284"/>
      <c r="AL140" s="1284"/>
      <c r="AM140" s="1284"/>
      <c r="AN140" s="1284"/>
      <c r="AO140" s="1284"/>
      <c r="AP140" s="1284"/>
      <c r="AQ140" s="1284"/>
      <c r="AR140" s="1284"/>
      <c r="AS140" s="1284"/>
      <c r="AT140" s="1284"/>
      <c r="AU140" s="1284"/>
      <c r="AV140" s="1284"/>
      <c r="AW140" s="1254"/>
      <c r="AX140" s="1254"/>
      <c r="AY140" s="1254"/>
      <c r="AZ140" s="1254"/>
      <c r="BA140" s="1251"/>
    </row>
    <row r="141" spans="4:53" ht="27" customHeight="1">
      <c r="D141" s="505"/>
      <c r="E141" s="505"/>
      <c r="F141" s="505"/>
      <c r="G141" s="505"/>
      <c r="H141" s="505"/>
      <c r="I141" s="505"/>
      <c r="J141" s="505"/>
      <c r="O141" s="2004"/>
      <c r="P141" s="2018"/>
      <c r="Q141" s="2014">
        <f ca="1">IFERROR(換券投組!E35,0)</f>
        <v>0</v>
      </c>
      <c r="R141" s="2014"/>
      <c r="S141" s="2014"/>
      <c r="T141" s="2014"/>
      <c r="U141" s="1016" t="str">
        <f ca="1">IF(OR($Q$100="",$T$100=""),"-",IFERROR(IF(T98="","-",換券投組!E37),""))</f>
        <v>-</v>
      </c>
      <c r="V141" s="1136"/>
      <c r="W141" s="1136"/>
      <c r="X141" s="642"/>
      <c r="Y141" s="1405"/>
      <c r="Z141" s="1405"/>
      <c r="AA141" s="1275"/>
      <c r="AB141" s="1275"/>
      <c r="AC141" s="1275"/>
      <c r="AD141" s="1275"/>
      <c r="AE141" s="1275"/>
      <c r="AF141" s="1267"/>
      <c r="AG141" s="1267"/>
      <c r="AH141" s="1267"/>
      <c r="AI141" s="1267"/>
      <c r="AJ141" s="1267"/>
      <c r="AK141" s="1268"/>
      <c r="AL141" s="1268"/>
      <c r="AM141" s="1268"/>
      <c r="AN141" s="1268"/>
      <c r="AO141" s="1268"/>
      <c r="AP141" s="1268"/>
      <c r="AQ141" s="1268"/>
      <c r="AR141" s="1268"/>
      <c r="AS141" s="1268"/>
      <c r="AT141" s="1268"/>
      <c r="AU141" s="1268"/>
      <c r="AV141" s="1268"/>
      <c r="AW141" s="1269"/>
      <c r="AX141" s="1269"/>
      <c r="AY141" s="1269"/>
      <c r="AZ141" s="1269"/>
      <c r="BA141" s="1253"/>
    </row>
    <row r="142" spans="4:53" ht="15" customHeight="1">
      <c r="D142" s="505"/>
      <c r="E142" s="505"/>
      <c r="F142" s="505"/>
      <c r="G142" s="505"/>
      <c r="H142" s="505"/>
      <c r="I142" s="505"/>
      <c r="J142" s="505"/>
      <c r="O142" s="2005"/>
      <c r="P142" s="961"/>
      <c r="Q142" s="962"/>
      <c r="R142" s="962"/>
      <c r="S142" s="962"/>
      <c r="T142" s="962"/>
      <c r="U142" s="949"/>
      <c r="V142" s="1147"/>
      <c r="W142" s="1147"/>
      <c r="X142" s="512"/>
      <c r="Y142" s="1276"/>
      <c r="Z142" s="1276"/>
      <c r="AA142" s="1275"/>
      <c r="AB142" s="1275"/>
      <c r="AC142" s="1275"/>
      <c r="AD142" s="1275"/>
      <c r="AE142" s="1275"/>
      <c r="AF142" s="1267"/>
      <c r="AG142" s="1267"/>
      <c r="AH142" s="1267"/>
      <c r="AI142" s="1267"/>
      <c r="AJ142" s="1267"/>
      <c r="AK142" s="1268"/>
      <c r="AL142" s="1268"/>
      <c r="AM142" s="1268"/>
      <c r="AN142" s="1268"/>
      <c r="AO142" s="1268"/>
      <c r="AP142" s="1268"/>
      <c r="AQ142" s="1268"/>
      <c r="AR142" s="1268"/>
      <c r="AS142" s="1268"/>
      <c r="AT142" s="1268"/>
      <c r="AU142" s="1268"/>
      <c r="AV142" s="1268"/>
      <c r="AW142" s="1269"/>
      <c r="AX142" s="1269"/>
      <c r="AY142" s="1269"/>
      <c r="AZ142" s="1269"/>
      <c r="BA142" s="1251"/>
    </row>
    <row r="143" spans="4:53" ht="15" customHeight="1">
      <c r="D143" s="505"/>
      <c r="E143" s="505"/>
      <c r="F143" s="505"/>
      <c r="G143" s="505"/>
      <c r="H143" s="505"/>
      <c r="I143" s="505"/>
      <c r="J143" s="505"/>
      <c r="O143" s="1301"/>
      <c r="P143" s="2008" t="s">
        <v>3548</v>
      </c>
      <c r="Q143" s="2010" t="str">
        <f ca="1">IF($Q$100="","-",IF($V$19="TWD",TEXT(換券投組!$D$21*換券投組!$D$23,"#,##0"),TEXT(換券投組!$D$21,"#,##0.00")))</f>
        <v>-</v>
      </c>
      <c r="R143" s="2010"/>
      <c r="S143" s="2010"/>
      <c r="T143" s="2012"/>
      <c r="U143" s="2012"/>
      <c r="V143" s="1147"/>
      <c r="W143" s="1147"/>
      <c r="X143" s="512"/>
      <c r="Y143" s="1276"/>
      <c r="Z143" s="1276"/>
      <c r="AA143" s="1275"/>
      <c r="AB143" s="1275"/>
      <c r="AC143" s="1275"/>
      <c r="AD143" s="1275"/>
      <c r="AE143" s="1275"/>
      <c r="AF143" s="1267"/>
      <c r="AG143" s="1267"/>
      <c r="AH143" s="1267"/>
      <c r="AI143" s="1267"/>
      <c r="AJ143" s="1267"/>
      <c r="AK143" s="1268"/>
      <c r="AL143" s="1268"/>
      <c r="AM143" s="1268"/>
      <c r="AN143" s="1268"/>
      <c r="AO143" s="1268"/>
      <c r="AP143" s="1268"/>
      <c r="AQ143" s="1268"/>
      <c r="AR143" s="1268"/>
      <c r="AS143" s="1268"/>
      <c r="AT143" s="1268"/>
      <c r="AU143" s="1268"/>
      <c r="AV143" s="1268"/>
      <c r="AW143" s="1269"/>
      <c r="AX143" s="1269"/>
      <c r="AY143" s="1269"/>
      <c r="AZ143" s="1269"/>
      <c r="BA143" s="1251"/>
    </row>
    <row r="144" spans="4:53" ht="30" customHeight="1">
      <c r="D144" s="505"/>
      <c r="E144" s="505"/>
      <c r="F144" s="505"/>
      <c r="G144" s="505"/>
      <c r="H144" s="505"/>
      <c r="I144" s="505"/>
      <c r="J144" s="505"/>
      <c r="P144" s="2009"/>
      <c r="Q144" s="2011"/>
      <c r="R144" s="2011"/>
      <c r="S144" s="2011"/>
      <c r="T144" s="2013"/>
      <c r="U144" s="2013"/>
      <c r="V144" s="946"/>
      <c r="W144" s="946"/>
      <c r="X144" s="1285"/>
      <c r="Y144" s="1405"/>
      <c r="Z144" s="1405"/>
      <c r="AA144" s="1286"/>
      <c r="AB144" s="1286"/>
      <c r="AC144" s="1286"/>
      <c r="AD144" s="1286"/>
      <c r="AE144" s="1286"/>
      <c r="AF144" s="1287"/>
      <c r="AG144" s="1287"/>
      <c r="AH144" s="1287"/>
      <c r="AI144" s="1287"/>
      <c r="AJ144" s="1287"/>
      <c r="AK144" s="1288"/>
      <c r="AL144" s="1288"/>
      <c r="AM144" s="1288"/>
      <c r="AN144" s="1288"/>
      <c r="AO144" s="1288"/>
      <c r="AP144" s="1288"/>
      <c r="AQ144" s="1288"/>
      <c r="AR144" s="1288"/>
      <c r="AS144" s="1288"/>
      <c r="AT144" s="1288"/>
      <c r="AU144" s="1288"/>
      <c r="AV144" s="1288"/>
      <c r="AW144" s="1289"/>
      <c r="AX144" s="1289"/>
      <c r="AY144" s="1289"/>
      <c r="AZ144" s="1289"/>
      <c r="BA144" s="1251"/>
    </row>
    <row r="145" spans="4:67" ht="24" customHeight="1">
      <c r="D145" s="505"/>
      <c r="E145" s="505"/>
      <c r="F145" s="505"/>
      <c r="G145" s="505"/>
      <c r="H145" s="505"/>
      <c r="I145" s="505"/>
      <c r="J145" s="505"/>
      <c r="P145" s="2182" t="s">
        <v>3783</v>
      </c>
      <c r="Q145" s="2182"/>
      <c r="R145" s="2182"/>
      <c r="S145" s="2182"/>
      <c r="T145" s="2182"/>
      <c r="U145" s="2182"/>
      <c r="V145" s="2182"/>
      <c r="W145" s="2182"/>
      <c r="X145" s="2182"/>
      <c r="Y145" s="2182"/>
      <c r="Z145" s="2182"/>
      <c r="AA145" s="2182"/>
      <c r="AB145" s="2182"/>
      <c r="AC145" s="2182"/>
      <c r="AD145" s="2182"/>
      <c r="AE145" s="2182"/>
      <c r="AF145" s="2182"/>
      <c r="AG145" s="2182"/>
      <c r="AH145" s="2182"/>
      <c r="AI145" s="2182"/>
      <c r="AJ145" s="2182"/>
      <c r="AK145" s="2182"/>
      <c r="AL145" s="2182"/>
      <c r="AM145" s="2182"/>
      <c r="AN145" s="2182"/>
      <c r="AO145" s="2182"/>
      <c r="AP145" s="2182"/>
      <c r="AQ145" s="2182"/>
      <c r="AR145" s="2182"/>
      <c r="AS145" s="2182"/>
      <c r="AT145" s="2182"/>
      <c r="AU145" s="2182"/>
      <c r="AV145" s="2182"/>
      <c r="AW145" s="2182"/>
      <c r="AX145" s="2182"/>
      <c r="AY145" s="2182"/>
      <c r="AZ145" s="2182"/>
    </row>
    <row r="146" spans="4:67" ht="6" customHeight="1">
      <c r="D146" s="505"/>
      <c r="E146" s="505"/>
      <c r="F146" s="505"/>
      <c r="G146" s="505"/>
      <c r="H146" s="505"/>
      <c r="I146" s="505"/>
      <c r="J146" s="505"/>
      <c r="P146" s="1053"/>
      <c r="Q146" s="1053"/>
      <c r="R146" s="1053"/>
      <c r="S146" s="1053"/>
      <c r="T146" s="1053"/>
      <c r="U146" s="1053"/>
      <c r="V146" s="1053"/>
      <c r="W146" s="1053"/>
      <c r="X146" s="1053"/>
      <c r="Y146" s="1053"/>
      <c r="Z146" s="1053"/>
      <c r="AA146" s="1053"/>
      <c r="AB146" s="1053"/>
      <c r="AC146" s="1053"/>
      <c r="AD146" s="1053"/>
      <c r="AE146" s="1053"/>
      <c r="AF146" s="1053"/>
      <c r="AG146" s="1053"/>
      <c r="AH146" s="1053"/>
      <c r="AI146" s="1053"/>
      <c r="AJ146" s="1053"/>
      <c r="AK146" s="1053"/>
      <c r="AL146" s="1053"/>
      <c r="AM146" s="1053"/>
      <c r="AN146" s="1053"/>
      <c r="AO146" s="1053"/>
      <c r="AP146" s="1053"/>
      <c r="AQ146" s="1053"/>
      <c r="AR146" s="1053"/>
      <c r="AS146" s="1053"/>
      <c r="AT146" s="1053"/>
      <c r="AU146" s="1053"/>
      <c r="AV146" s="1053"/>
      <c r="AW146" s="1053"/>
      <c r="AX146" s="1053"/>
      <c r="AY146" s="1053"/>
      <c r="AZ146" s="1053"/>
    </row>
    <row r="147" spans="4:67" ht="27.5">
      <c r="D147" s="505"/>
      <c r="E147" s="505"/>
      <c r="F147" s="505"/>
      <c r="G147" s="505"/>
      <c r="H147" s="505"/>
      <c r="I147" s="505"/>
      <c r="J147" s="505"/>
      <c r="P147" s="526"/>
      <c r="Q147" s="526"/>
      <c r="R147" s="526"/>
      <c r="S147" s="526"/>
      <c r="T147" s="526"/>
      <c r="U147" s="526"/>
      <c r="V147" s="526"/>
      <c r="W147" s="526"/>
      <c r="X147" s="526"/>
      <c r="Y147" s="526"/>
      <c r="Z147" s="526"/>
      <c r="AA147" s="526"/>
      <c r="AB147" s="526"/>
      <c r="AC147" s="526"/>
      <c r="AD147" s="526"/>
      <c r="AE147" s="526"/>
      <c r="AF147" s="526"/>
      <c r="AG147" s="526"/>
      <c r="AH147" s="526"/>
      <c r="AI147" s="526"/>
      <c r="AJ147" s="526"/>
      <c r="AK147" s="526"/>
      <c r="AL147" s="526"/>
      <c r="AM147" s="526"/>
      <c r="AN147" s="526"/>
      <c r="AO147" s="526"/>
      <c r="AP147" s="526"/>
      <c r="AQ147" s="526"/>
      <c r="AR147" s="526"/>
      <c r="AS147" s="526"/>
      <c r="AT147" s="526"/>
      <c r="AU147" s="526"/>
      <c r="AV147" s="526"/>
      <c r="AW147" s="526"/>
      <c r="AX147" s="526"/>
      <c r="AY147" s="526"/>
      <c r="AZ147" s="526"/>
      <c r="BJ147" s="55" ph="1"/>
      <c r="BK147" s="55" ph="1"/>
      <c r="BL147" s="55" ph="1"/>
      <c r="BM147" s="55" ph="1"/>
      <c r="BN147" s="55" ph="1"/>
      <c r="BO147" s="55" ph="1"/>
    </row>
    <row r="148" spans="4:67" ht="56.25" customHeight="1">
      <c r="D148" s="505"/>
      <c r="E148" s="505"/>
      <c r="F148" s="505"/>
      <c r="G148" s="505"/>
      <c r="H148" s="505"/>
      <c r="I148" s="505"/>
      <c r="J148" s="505"/>
      <c r="P148" s="2026" t="s">
        <v>4289</v>
      </c>
      <c r="Q148" s="2026"/>
      <c r="R148" s="2026"/>
      <c r="S148" s="2026"/>
      <c r="T148" s="2026"/>
      <c r="U148" s="2026"/>
      <c r="V148" s="2026"/>
      <c r="W148" s="2026"/>
      <c r="X148" s="2026"/>
      <c r="Y148" s="2026"/>
      <c r="Z148" s="2026"/>
      <c r="AA148" s="2026"/>
      <c r="AB148" s="2026"/>
      <c r="AC148" s="2026"/>
      <c r="AD148" s="2026"/>
      <c r="AE148" s="2026"/>
      <c r="AF148" s="2026"/>
      <c r="AG148" s="2026"/>
      <c r="AH148" s="2026"/>
      <c r="AI148" s="2026"/>
      <c r="AJ148" s="2026"/>
      <c r="AK148" s="2026"/>
      <c r="AL148" s="2026"/>
      <c r="AM148" s="2026"/>
      <c r="AN148" s="2026"/>
      <c r="AO148" s="2026"/>
      <c r="AP148" s="2026"/>
      <c r="AQ148" s="2026"/>
      <c r="AR148" s="2026"/>
      <c r="AS148" s="2026"/>
      <c r="AT148" s="2026"/>
      <c r="AU148" s="2026"/>
      <c r="AV148" s="2026"/>
      <c r="AW148" s="2026"/>
      <c r="AX148" s="2026"/>
      <c r="AY148" s="2026"/>
      <c r="AZ148" s="2026"/>
      <c r="BM148" s="55" ph="1"/>
      <c r="BN148" s="55" ph="1"/>
    </row>
    <row r="149" spans="4:67" ht="23.25" customHeight="1" thickBot="1">
      <c r="D149" s="505"/>
      <c r="E149" s="505"/>
      <c r="F149" s="505"/>
      <c r="G149" s="505"/>
      <c r="H149" s="505"/>
      <c r="I149" s="505"/>
      <c r="J149" s="505"/>
      <c r="P149" s="2027" t="s">
        <v>2073</v>
      </c>
      <c r="Q149" s="2027"/>
      <c r="R149" s="2027"/>
      <c r="S149" s="2027"/>
      <c r="T149" s="2027"/>
      <c r="U149" s="2027"/>
      <c r="V149" s="2027"/>
      <c r="W149" s="2027"/>
      <c r="X149" s="2027"/>
      <c r="Y149" s="2027"/>
      <c r="Z149" s="2027"/>
      <c r="AA149" s="2027"/>
      <c r="AB149" s="2027"/>
      <c r="AC149" s="2027"/>
      <c r="AD149" s="2027"/>
      <c r="AE149" s="2027"/>
      <c r="AF149" s="2027"/>
      <c r="AG149" s="2027"/>
      <c r="AH149" s="2027"/>
      <c r="AI149" s="2027"/>
      <c r="AJ149" s="2027"/>
      <c r="AK149" s="2027"/>
      <c r="AL149" s="2027"/>
      <c r="AM149" s="2027"/>
      <c r="AN149" s="2027"/>
      <c r="AO149" s="2027"/>
      <c r="AP149" s="2027"/>
      <c r="AQ149" s="2027"/>
      <c r="AR149" s="2027"/>
      <c r="AS149" s="2027"/>
      <c r="AT149" s="2027"/>
      <c r="AU149" s="2064" t="s">
        <v>122</v>
      </c>
      <c r="AV149" s="2064"/>
      <c r="AW149" s="2064"/>
      <c r="AX149" s="2110">
        <f>AX4</f>
        <v>45474</v>
      </c>
      <c r="AY149" s="2110"/>
      <c r="AZ149" s="2110"/>
      <c r="BM149" s="55" ph="1"/>
      <c r="BN149" s="55" ph="1"/>
    </row>
    <row r="150" spans="4:67" ht="31" customHeight="1">
      <c r="D150" s="505"/>
      <c r="E150" s="505"/>
      <c r="F150" s="505"/>
      <c r="G150" s="505"/>
      <c r="H150" s="505"/>
      <c r="I150" s="505"/>
      <c r="J150" s="505"/>
      <c r="Z150" s="1051"/>
      <c r="AA150" s="1051"/>
      <c r="AB150" s="1051"/>
      <c r="AC150" s="1051"/>
      <c r="AD150" s="1051"/>
      <c r="AE150" s="1051"/>
      <c r="AV150" s="1173"/>
      <c r="AW150" s="1173"/>
      <c r="AX150" s="1174"/>
      <c r="AY150" s="1174"/>
      <c r="AZ150" s="1174"/>
      <c r="BM150" s="55" ph="1"/>
      <c r="BN150" s="55" ph="1"/>
    </row>
    <row r="151" spans="4:67" ht="31" customHeight="1">
      <c r="D151" s="505"/>
      <c r="E151" s="505"/>
      <c r="F151" s="505"/>
      <c r="G151" s="505"/>
      <c r="H151" s="505"/>
      <c r="I151" s="505"/>
      <c r="J151" s="505"/>
      <c r="P151" s="1030"/>
      <c r="Q151" s="1976" t="s">
        <v>4292</v>
      </c>
      <c r="R151" s="1977"/>
      <c r="S151" s="1977"/>
      <c r="T151" s="1978" t="s">
        <v>4293</v>
      </c>
      <c r="U151" s="1979"/>
      <c r="V151" s="1033"/>
      <c r="W151" s="1033"/>
      <c r="X151" s="1255" t="s">
        <v>4186</v>
      </c>
      <c r="Y151" s="1257"/>
      <c r="Z151" s="1255"/>
      <c r="AA151" s="1255"/>
      <c r="AB151" s="1255"/>
      <c r="AC151" s="1255"/>
      <c r="AD151" s="1302"/>
      <c r="AE151" s="1255"/>
      <c r="AF151" s="1255"/>
      <c r="AG151" s="1257"/>
      <c r="AH151" s="1257"/>
      <c r="AI151" s="1303" t="str">
        <f>IF(Change投!AS58&gt;0,"※ 紅色字體之標的流動性需查詢","")</f>
        <v/>
      </c>
      <c r="AJ151" s="1257"/>
      <c r="AK151" s="1257"/>
      <c r="AL151" s="1257"/>
      <c r="AM151" s="1257"/>
      <c r="AN151" s="1257"/>
      <c r="AO151" s="1257"/>
      <c r="AP151" s="1257"/>
      <c r="AQ151" s="1304"/>
      <c r="AR151" s="1304"/>
      <c r="AS151" s="1304"/>
      <c r="AT151" s="2200"/>
      <c r="AU151" s="2200"/>
      <c r="AV151" s="2200"/>
      <c r="AW151" s="1313" t="str">
        <f ca="1">CONCATENATE("幣別：",V19)</f>
        <v>幣別：USD</v>
      </c>
      <c r="AX151" s="1313"/>
      <c r="AY151" s="1313"/>
      <c r="AZ151" s="1313"/>
    </row>
    <row r="152" spans="4:67" ht="42.75" customHeight="1">
      <c r="D152" s="505"/>
      <c r="E152" s="505"/>
      <c r="F152" s="505"/>
      <c r="G152" s="505"/>
      <c r="H152" s="505"/>
      <c r="I152" s="505"/>
      <c r="J152" s="505"/>
      <c r="P152" s="1521" t="str">
        <f ca="1">AV24</f>
        <v>美元(USD)</v>
      </c>
      <c r="Q152" s="2192" t="s">
        <v>4349</v>
      </c>
      <c r="R152" s="2119"/>
      <c r="S152" s="2119"/>
      <c r="T152" s="2193" t="s">
        <v>4350</v>
      </c>
      <c r="U152" s="2023"/>
      <c r="V152" s="1129" t="str">
        <f>IFERROR(IFERROR(IF(FIND("美國政府",換券單檔!G116)=1,換券單檔!G116),CONCATENATE(LEFT(換券單檔!G116,SEARCH(換券單檔!H123,換券單檔!G116,1)-1))),"")</f>
        <v/>
      </c>
      <c r="W152" s="1129"/>
    </row>
    <row r="153" spans="4:67" ht="42.75" customHeight="1">
      <c r="D153" s="505"/>
      <c r="E153" s="505"/>
      <c r="F153" s="505"/>
      <c r="G153" s="505"/>
      <c r="H153" s="505"/>
      <c r="I153" s="505"/>
      <c r="J153" s="505"/>
      <c r="P153" s="1573" t="s">
        <v>208</v>
      </c>
      <c r="Q153" s="2001">
        <f ca="1">IF('商品代碼-中繼頁'!$C$16=0,"",IFERROR('Tssco-bond portfolio(2)'!O1,""))</f>
        <v>4.296385542168675E-2</v>
      </c>
      <c r="R153" s="2001"/>
      <c r="S153" s="2001"/>
      <c r="T153" s="2002" t="str">
        <f ca="1">IFERROR(IF(T98="","",Change投!X1),"")</f>
        <v/>
      </c>
      <c r="U153" s="2003"/>
      <c r="V153" s="1129"/>
      <c r="W153" s="1129"/>
      <c r="X153" s="642"/>
      <c r="Y153" s="1990"/>
      <c r="Z153" s="1990"/>
      <c r="AA153" s="1991"/>
      <c r="AB153" s="1991"/>
      <c r="AC153" s="1991"/>
      <c r="AD153" s="1990"/>
      <c r="AE153" s="1990"/>
      <c r="AF153" s="1990"/>
      <c r="AG153" s="1131"/>
      <c r="AH153" s="1131"/>
      <c r="AI153" s="1992"/>
      <c r="AJ153" s="1992"/>
      <c r="AK153" s="1992"/>
      <c r="AL153" s="1990"/>
      <c r="AM153" s="1990"/>
      <c r="AN153" s="1990"/>
      <c r="AO153" s="1990"/>
      <c r="AP153" s="1990"/>
      <c r="AQ153" s="1993"/>
      <c r="AR153" s="1993"/>
      <c r="AS153" s="1993"/>
      <c r="AT153" s="1993"/>
      <c r="AU153" s="1993"/>
      <c r="AV153" s="1993"/>
      <c r="AW153" s="1983"/>
      <c r="AX153" s="1983"/>
      <c r="AY153" s="1983"/>
      <c r="AZ153" s="1983"/>
    </row>
    <row r="154" spans="4:67" ht="42.75" customHeight="1">
      <c r="D154" s="505"/>
      <c r="E154" s="505"/>
      <c r="F154" s="505"/>
      <c r="G154" s="505"/>
      <c r="H154" s="505"/>
      <c r="I154" s="505"/>
      <c r="J154" s="505"/>
      <c r="P154" s="1576" t="s">
        <v>3531</v>
      </c>
      <c r="Q154" s="1984" t="str">
        <f ca="1">IF('商品代碼-中繼頁'!$C$16=0,"",IFERROR(IF(V19&lt;&gt;"TWD",TEXT('Tssco-bond portfolio(2)'!C32,"#,##0"),TEXT('Tssco-bond portfolio(2)'!C32,"#,##0")),""))</f>
        <v>16,425</v>
      </c>
      <c r="R154" s="1984"/>
      <c r="S154" s="1984"/>
      <c r="T154" s="1985" t="str">
        <f ca="1">IF($T$98="","",IFERROR(IF(V19&lt;&gt;"TWD",TEXT(Change投!C32,"#,##0"),TEXT(Change投!C32,"#,##0")),""))</f>
        <v/>
      </c>
      <c r="U154" s="1986"/>
      <c r="V154" s="1129"/>
      <c r="W154" s="1129"/>
      <c r="X154" s="642"/>
      <c r="Y154" s="1990"/>
      <c r="Z154" s="1990"/>
      <c r="AA154" s="1991"/>
      <c r="AB154" s="1991"/>
      <c r="AC154" s="1991"/>
      <c r="AD154" s="1990"/>
      <c r="AE154" s="1990"/>
      <c r="AF154" s="1990"/>
      <c r="AG154" s="1131"/>
      <c r="AH154" s="1131"/>
      <c r="AI154" s="1992"/>
      <c r="AJ154" s="1992"/>
      <c r="AK154" s="1992"/>
      <c r="AL154" s="1990"/>
      <c r="AM154" s="1990"/>
      <c r="AN154" s="1990"/>
      <c r="AO154" s="1990"/>
      <c r="AP154" s="1990"/>
      <c r="AQ154" s="1993"/>
      <c r="AR154" s="1993"/>
      <c r="AS154" s="1993"/>
      <c r="AT154" s="1993"/>
      <c r="AU154" s="1993"/>
      <c r="AV154" s="1993"/>
      <c r="AW154" s="1983"/>
      <c r="AX154" s="1983"/>
      <c r="AY154" s="1983"/>
      <c r="AZ154" s="1983"/>
    </row>
    <row r="155" spans="4:67" ht="42.75" customHeight="1">
      <c r="D155" s="505"/>
      <c r="E155" s="505"/>
      <c r="F155" s="505"/>
      <c r="G155" s="505"/>
      <c r="H155" s="505"/>
      <c r="I155" s="505"/>
      <c r="J155" s="505"/>
      <c r="P155" s="1574" t="s">
        <v>3532</v>
      </c>
      <c r="Q155" s="1998" t="str">
        <f ca="1">IF('商品代碼-中繼頁'!$C$16=0,"",IFERROR(IF(V19&lt;&gt;"TWD",TEXT('Tssco-bond portfolio(2)'!W1,"#,##0"),TEXT('Tssco-bond portfolio(2)'!BU1,"#,##0")),""))</f>
        <v>400,000</v>
      </c>
      <c r="R155" s="1998"/>
      <c r="S155" s="1998"/>
      <c r="T155" s="1999" t="str">
        <f ca="1">IF($T$98="","",IFERROR(IF(V19&lt;&gt;"TWD",TEXT(Change投!AC1,"#,##0"),TEXT(Change投!AK1,"#,##0")),""))</f>
        <v/>
      </c>
      <c r="U155" s="2000"/>
      <c r="V155" s="1129"/>
      <c r="W155" s="1129"/>
      <c r="X155" s="642"/>
      <c r="Y155" s="1990"/>
      <c r="Z155" s="1990"/>
      <c r="AA155" s="1991"/>
      <c r="AB155" s="1991"/>
      <c r="AC155" s="1991"/>
      <c r="AD155" s="1990"/>
      <c r="AE155" s="1990"/>
      <c r="AF155" s="1990"/>
      <c r="AG155" s="1131"/>
      <c r="AH155" s="1131"/>
      <c r="AI155" s="1992"/>
      <c r="AJ155" s="1992"/>
      <c r="AK155" s="1992"/>
      <c r="AL155" s="1990"/>
      <c r="AM155" s="1990"/>
      <c r="AN155" s="1990"/>
      <c r="AO155" s="1990"/>
      <c r="AP155" s="1990"/>
      <c r="AQ155" s="1993"/>
      <c r="AR155" s="1993"/>
      <c r="AS155" s="1993"/>
      <c r="AT155" s="1993"/>
      <c r="AU155" s="1993"/>
      <c r="AV155" s="1993"/>
      <c r="AW155" s="1983"/>
      <c r="AX155" s="1983"/>
      <c r="AY155" s="1983"/>
      <c r="AZ155" s="1983"/>
    </row>
    <row r="156" spans="4:67" ht="42.75" customHeight="1">
      <c r="D156" s="505"/>
      <c r="E156" s="505"/>
      <c r="F156" s="505"/>
      <c r="G156" s="505"/>
      <c r="H156" s="505"/>
      <c r="I156" s="505"/>
      <c r="J156" s="505"/>
      <c r="P156" s="1576" t="s">
        <v>4372</v>
      </c>
      <c r="Q156" s="1984">
        <f ca="1">IF('商品代碼-中繼頁'!$C$16=0,"",IFERROR('Tssco-bond portfolio(2)'!CI1,""))</f>
        <v>5.2922917854043447E-2</v>
      </c>
      <c r="R156" s="1984"/>
      <c r="S156" s="1984"/>
      <c r="T156" s="1985" t="str">
        <f ca="1">IF($T$98="","",IFERROR(Change投!M1,""))</f>
        <v/>
      </c>
      <c r="U156" s="1986"/>
      <c r="V156" s="1129"/>
      <c r="W156" s="1129"/>
      <c r="X156" s="642"/>
      <c r="Y156" s="1990"/>
      <c r="Z156" s="1990"/>
      <c r="AA156" s="1991"/>
      <c r="AB156" s="1991"/>
      <c r="AC156" s="1991"/>
      <c r="AD156" s="1990"/>
      <c r="AE156" s="1990"/>
      <c r="AF156" s="1990"/>
      <c r="AG156" s="1131"/>
      <c r="AH156" s="1131"/>
      <c r="AI156" s="1992"/>
      <c r="AJ156" s="1992"/>
      <c r="AK156" s="1992"/>
      <c r="AL156" s="1990"/>
      <c r="AM156" s="1990"/>
      <c r="AN156" s="1990"/>
      <c r="AO156" s="1990"/>
      <c r="AP156" s="1990"/>
      <c r="AQ156" s="1993"/>
      <c r="AR156" s="1993"/>
      <c r="AS156" s="1993"/>
      <c r="AT156" s="1993"/>
      <c r="AU156" s="1993"/>
      <c r="AV156" s="1993"/>
      <c r="AW156" s="1983"/>
      <c r="AX156" s="1983"/>
      <c r="AY156" s="1983"/>
      <c r="AZ156" s="1983"/>
    </row>
    <row r="157" spans="4:67" ht="42.75" customHeight="1">
      <c r="D157" s="505"/>
      <c r="E157" s="505"/>
      <c r="F157" s="505"/>
      <c r="G157" s="505"/>
      <c r="H157" s="505"/>
      <c r="I157" s="505"/>
      <c r="J157" s="505"/>
      <c r="P157" s="1574" t="s">
        <v>4170</v>
      </c>
      <c r="Q157" s="1987" t="str">
        <f ca="1">IF('商品代碼-中繼頁'!$C$16=0,"",IFERROR(TEXT('Tssco-bond portfolio(2)'!M1,"0.00"),""))</f>
        <v>29.88</v>
      </c>
      <c r="R157" s="1987"/>
      <c r="S157" s="1987"/>
      <c r="T157" s="1988" t="str">
        <f ca="1">IFERROR(IF($T$98="","",TEXT(Change投!V1,"0.00")),"")</f>
        <v/>
      </c>
      <c r="U157" s="1989"/>
      <c r="V157" s="1129"/>
      <c r="W157" s="1129"/>
      <c r="X157" s="642"/>
      <c r="Y157" s="1990"/>
      <c r="Z157" s="1990"/>
      <c r="AA157" s="1991"/>
      <c r="AB157" s="1991"/>
      <c r="AC157" s="1991"/>
      <c r="AD157" s="1990"/>
      <c r="AE157" s="1990"/>
      <c r="AF157" s="1990"/>
      <c r="AG157" s="1131"/>
      <c r="AH157" s="1131"/>
      <c r="AI157" s="1992"/>
      <c r="AJ157" s="1992"/>
      <c r="AK157" s="1992"/>
      <c r="AL157" s="1990"/>
      <c r="AM157" s="1990"/>
      <c r="AN157" s="1990"/>
      <c r="AO157" s="1990"/>
      <c r="AP157" s="1990"/>
      <c r="AQ157" s="1993"/>
      <c r="AR157" s="1993"/>
      <c r="AS157" s="1993"/>
      <c r="AT157" s="1993"/>
      <c r="AU157" s="1993"/>
      <c r="AV157" s="1993"/>
      <c r="AW157" s="1983"/>
      <c r="AX157" s="1983"/>
      <c r="AY157" s="1983"/>
      <c r="AZ157" s="1983"/>
    </row>
    <row r="158" spans="4:67" ht="42.75" customHeight="1">
      <c r="D158" s="505"/>
      <c r="E158" s="505"/>
      <c r="F158" s="505"/>
      <c r="G158" s="505"/>
      <c r="H158" s="505"/>
      <c r="I158" s="505"/>
      <c r="J158" s="505"/>
      <c r="P158" s="1575" t="s">
        <v>4171</v>
      </c>
      <c r="Q158" s="1994" t="str">
        <f ca="1">IF('商品代碼-中繼頁'!$C$16=0,"",IFERROR(TEXT('Tssco-bond portfolio(2)'!DL1,"0.00"),""))</f>
        <v>15.84</v>
      </c>
      <c r="R158" s="1995"/>
      <c r="S158" s="1995"/>
      <c r="T158" s="1996" t="str">
        <f ca="1">IFERROR(IF($T$98="","",TEXT(Change投!AM1,"0.00")),"")</f>
        <v/>
      </c>
      <c r="U158" s="1997"/>
      <c r="V158" s="1129"/>
      <c r="W158" s="1129"/>
      <c r="X158" s="642"/>
      <c r="Y158" s="1990"/>
      <c r="Z158" s="1990"/>
      <c r="AA158" s="1991"/>
      <c r="AB158" s="1991"/>
      <c r="AC158" s="1991"/>
      <c r="AD158" s="1990"/>
      <c r="AE158" s="1990"/>
      <c r="AF158" s="1990"/>
      <c r="AG158" s="1131"/>
      <c r="AH158" s="1131"/>
      <c r="AI158" s="1992"/>
      <c r="AJ158" s="1992"/>
      <c r="AK158" s="1992"/>
      <c r="AL158" s="1990"/>
      <c r="AM158" s="1990"/>
      <c r="AN158" s="1990"/>
      <c r="AO158" s="1990"/>
      <c r="AP158" s="1990"/>
      <c r="AQ158" s="1993"/>
      <c r="AR158" s="1993"/>
      <c r="AS158" s="1993"/>
      <c r="AT158" s="1993"/>
      <c r="AU158" s="1993"/>
      <c r="AV158" s="1993"/>
      <c r="AW158" s="1983"/>
      <c r="AX158" s="1983"/>
      <c r="AY158" s="1983"/>
      <c r="AZ158" s="1983"/>
    </row>
    <row r="159" spans="4:67" ht="42.75" customHeight="1">
      <c r="D159" s="505"/>
      <c r="E159" s="505"/>
      <c r="F159" s="505"/>
      <c r="G159" s="505"/>
      <c r="H159" s="505"/>
      <c r="I159" s="505"/>
      <c r="J159" s="505"/>
      <c r="P159" s="1974"/>
      <c r="Q159" s="1975"/>
      <c r="R159" s="1975"/>
      <c r="S159" s="1975"/>
      <c r="T159" s="1975"/>
      <c r="U159" s="1975"/>
      <c r="V159" s="1017"/>
      <c r="W159" s="1017"/>
      <c r="X159" s="1017"/>
      <c r="Z159" s="642"/>
      <c r="AA159" s="1409"/>
      <c r="AB159" s="1409"/>
      <c r="AC159" s="1409"/>
      <c r="AD159" s="1409"/>
      <c r="AE159" s="1409"/>
      <c r="AF159" s="1409"/>
      <c r="AG159" s="1409"/>
      <c r="AH159" s="1409"/>
      <c r="AI159" s="1409"/>
      <c r="AJ159" s="1571"/>
      <c r="AK159" s="1571"/>
      <c r="AL159" s="1571"/>
      <c r="AM159" s="1571"/>
      <c r="AN159" s="637"/>
      <c r="AO159" s="637"/>
      <c r="AP159" s="637"/>
      <c r="AQ159" s="1572"/>
      <c r="AR159" s="1572"/>
      <c r="AS159" s="1572"/>
      <c r="AT159" s="1570"/>
      <c r="AU159" s="1570"/>
      <c r="AV159" s="1409"/>
      <c r="AW159" s="1409"/>
      <c r="AX159" s="1409"/>
      <c r="AY159" s="1409"/>
      <c r="AZ159" s="963"/>
    </row>
    <row r="160" spans="4:67" ht="42.75" customHeight="1" thickBot="1">
      <c r="D160" s="505"/>
      <c r="E160" s="505"/>
      <c r="F160" s="505"/>
      <c r="G160" s="505"/>
      <c r="H160" s="505"/>
      <c r="I160" s="505"/>
      <c r="J160" s="505"/>
      <c r="P160" s="1651" t="str">
        <f ca="1">CONCATENATE("現金流量表(",V19,")")</f>
        <v>現金流量表(USD)</v>
      </c>
      <c r="Q160" s="1769"/>
      <c r="R160" s="1595"/>
      <c r="S160" s="1595"/>
      <c r="T160" s="1595"/>
      <c r="U160" s="1973" t="str">
        <f ca="1">IF('商品代碼-中繼頁'!$C$16=0,"",CONCATENATE("投入本金 "&amp;TEXT(庫存現金流!E4,"#,##0")))</f>
        <v>投入本金 332,000</v>
      </c>
      <c r="V160" s="1973"/>
      <c r="W160" s="1973"/>
      <c r="X160" s="1973"/>
      <c r="Z160" s="1491" t="s">
        <v>4130</v>
      </c>
      <c r="AA160" s="1529"/>
      <c r="AB160" s="1529"/>
      <c r="AC160" s="1529"/>
      <c r="AD160" s="1529"/>
      <c r="AE160" s="1529"/>
      <c r="AF160" s="1529"/>
      <c r="AG160" s="1529"/>
      <c r="AH160" s="1529"/>
      <c r="AI160" s="1529"/>
      <c r="AJ160" s="1529"/>
      <c r="AK160" s="1529"/>
      <c r="AL160" s="1529"/>
      <c r="AM160" s="1529"/>
      <c r="AN160" s="1529"/>
      <c r="AO160" s="1529"/>
      <c r="AP160" s="1529"/>
      <c r="AQ160" s="1529"/>
      <c r="AR160" s="1529"/>
      <c r="AS160" s="1529"/>
      <c r="AT160" s="1529"/>
      <c r="AU160" s="1529"/>
      <c r="AV160" s="1529"/>
      <c r="AW160" s="1529"/>
      <c r="AX160" s="1529"/>
      <c r="AY160" s="1529"/>
      <c r="AZ160" s="1529"/>
      <c r="BA160" s="1306"/>
    </row>
    <row r="161" spans="4:67" ht="42.75" customHeight="1">
      <c r="D161" s="505"/>
      <c r="E161" s="505"/>
      <c r="F161" s="505"/>
      <c r="G161" s="505"/>
      <c r="H161" s="505"/>
      <c r="I161" s="505"/>
      <c r="J161" s="505"/>
      <c r="P161" s="1593" t="s">
        <v>12</v>
      </c>
      <c r="Q161" s="2208" t="s">
        <v>3719</v>
      </c>
      <c r="R161" s="2208"/>
      <c r="S161" s="2208" t="s">
        <v>3551</v>
      </c>
      <c r="T161" s="2208"/>
      <c r="U161" s="2207" t="s">
        <v>3711</v>
      </c>
      <c r="V161" s="2207"/>
      <c r="W161" s="1770"/>
      <c r="X161" s="1771" t="s">
        <v>4123</v>
      </c>
      <c r="Z161" s="1530"/>
      <c r="AA161" s="1531"/>
      <c r="AB161" s="1531"/>
      <c r="AC161" s="1532"/>
      <c r="AD161" s="1532"/>
      <c r="AE161" s="1532"/>
      <c r="AF161" s="1532"/>
      <c r="AG161" s="1532"/>
      <c r="AH161" s="1532"/>
      <c r="AI161" s="1532"/>
      <c r="AJ161" s="1532"/>
      <c r="AK161" s="1532"/>
      <c r="AL161" s="1532"/>
      <c r="AM161" s="1532"/>
      <c r="AN161" s="1532"/>
      <c r="AO161" s="1530"/>
      <c r="AP161" s="1533"/>
      <c r="AQ161" s="1533"/>
      <c r="AR161" s="1533"/>
      <c r="AS161" s="1534"/>
      <c r="AT161" s="1534"/>
      <c r="AU161" s="1534"/>
      <c r="AV161" s="1534"/>
      <c r="AW161" s="1534"/>
      <c r="AX161" s="1534"/>
      <c r="AY161" s="1534"/>
      <c r="AZ161" s="1534"/>
    </row>
    <row r="162" spans="4:67" ht="42.75" customHeight="1">
      <c r="D162" s="505"/>
      <c r="E162" s="505"/>
      <c r="F162" s="505"/>
      <c r="G162" s="505"/>
      <c r="H162" s="505"/>
      <c r="I162" s="505"/>
      <c r="J162" s="505"/>
      <c r="P162" s="1046">
        <f ca="1">庫存現金流!B12</f>
        <v>2024</v>
      </c>
      <c r="Q162" s="2210" t="str">
        <f ca="1">IFERROR(IF($V$19="TWD",TEXT(庫存現金流!$D12,"#,##0"),TEXT(庫存現金流!$D12,"#,##0")),"")</f>
        <v>8,213</v>
      </c>
      <c r="R162" s="2210"/>
      <c r="S162" s="2211" t="str">
        <f ca="1">IFERROR(IF(庫存現金流!$E12=0,"",TEXT(庫存現金流!$E12,"#,##0")),"")</f>
        <v/>
      </c>
      <c r="T162" s="2211"/>
      <c r="U162" s="2206" t="str">
        <f ca="1">IFERROR(IF($V$19="TWD",TEXT(庫存現金流!$F12,"#,##0"),TEXT(庫存現金流!$F12,"#,##0")),"")</f>
        <v>8,213</v>
      </c>
      <c r="V162" s="2206"/>
      <c r="X162" s="1589">
        <f ca="1">IFERROR(庫存現金流!G12,"")</f>
        <v>2.473644578313253E-2</v>
      </c>
      <c r="Z162" s="1530"/>
      <c r="AA162" s="1535"/>
      <c r="AB162" s="1535"/>
      <c r="AC162" s="1536"/>
      <c r="AD162" s="1536"/>
      <c r="AE162" s="1536"/>
      <c r="AF162" s="1536"/>
      <c r="AG162" s="1536"/>
      <c r="AH162" s="1536"/>
      <c r="AI162" s="1536"/>
      <c r="AJ162" s="1536"/>
      <c r="AK162" s="1536"/>
      <c r="AL162" s="1536"/>
      <c r="AM162" s="1536"/>
      <c r="AN162" s="1536"/>
      <c r="AO162" s="1530"/>
      <c r="AP162" s="1537"/>
      <c r="AQ162" s="1537"/>
      <c r="AR162" s="1537"/>
      <c r="AS162" s="1534"/>
      <c r="AT162" s="1534"/>
      <c r="AU162" s="1534"/>
      <c r="AV162" s="1534"/>
      <c r="AW162" s="1534"/>
      <c r="AX162" s="1534"/>
      <c r="AY162" s="1534"/>
      <c r="AZ162" s="1534"/>
    </row>
    <row r="163" spans="4:67" ht="42.75" customHeight="1">
      <c r="D163" s="505"/>
      <c r="E163" s="505"/>
      <c r="F163" s="505"/>
      <c r="G163" s="505"/>
      <c r="H163" s="505"/>
      <c r="I163" s="505"/>
      <c r="J163" s="505"/>
      <c r="P163" s="642">
        <f ca="1">庫存現金流!B13</f>
        <v>2025</v>
      </c>
      <c r="Q163" s="2212" t="str">
        <f ca="1">IFERROR(IF($V$19="TWD",TEXT(庫存現金流!$D13,"#,##0"),TEXT(庫存現金流!$D13,"#,##0")),"")</f>
        <v>16,425</v>
      </c>
      <c r="R163" s="2212"/>
      <c r="S163" s="2206" t="str">
        <f ca="1">IFERROR(IF(庫存現金流!$E13=0,"",TEXT(庫存現金流!$E13,"#,##0")),"")</f>
        <v/>
      </c>
      <c r="T163" s="2206"/>
      <c r="U163" s="2206" t="str">
        <f ca="1">IFERROR(IF($V$19="TWD",TEXT(庫存現金流!$F13,"#,##0"),TEXT(庫存現金流!$F13,"#,##0")),"")</f>
        <v>24,638</v>
      </c>
      <c r="V163" s="2206"/>
      <c r="X163" s="1589">
        <f ca="1">IFERROR(庫存現金流!G13,"")</f>
        <v>7.4209337349397594E-2</v>
      </c>
      <c r="Z163" s="1537"/>
      <c r="AA163" s="1535"/>
      <c r="AB163" s="1535"/>
      <c r="AC163" s="1536"/>
      <c r="AD163" s="1536"/>
      <c r="AE163" s="1536"/>
      <c r="AF163" s="1536"/>
      <c r="AG163" s="1536"/>
      <c r="AH163" s="1536"/>
      <c r="AI163" s="1536"/>
      <c r="AJ163" s="1536"/>
      <c r="AK163" s="1536"/>
      <c r="AL163" s="1536"/>
      <c r="AM163" s="1536"/>
      <c r="AN163" s="1536"/>
      <c r="AO163" s="1530"/>
      <c r="AP163" s="1537"/>
      <c r="AQ163" s="1537"/>
      <c r="AR163" s="1537"/>
      <c r="AS163" s="1530"/>
      <c r="AT163" s="1530"/>
      <c r="AU163" s="1530"/>
      <c r="AV163" s="1530"/>
      <c r="AW163" s="1530"/>
      <c r="AX163" s="1530"/>
      <c r="AY163" s="1530"/>
      <c r="AZ163" s="1530"/>
    </row>
    <row r="164" spans="4:67" ht="42.75" customHeight="1">
      <c r="D164" s="505"/>
      <c r="E164" s="505"/>
      <c r="F164" s="505"/>
      <c r="G164" s="505"/>
      <c r="H164" s="505"/>
      <c r="I164" s="505"/>
      <c r="J164" s="505"/>
      <c r="P164" s="642">
        <f ca="1">庫存現金流!B14</f>
        <v>2026</v>
      </c>
      <c r="Q164" s="2212" t="str">
        <f ca="1">IFERROR(IF($V$19="TWD",TEXT(庫存現金流!$D14,"#,##0"),TEXT(庫存現金流!$D14,"#,##0")),"")</f>
        <v>16,425</v>
      </c>
      <c r="R164" s="2212"/>
      <c r="S164" s="2206" t="str">
        <f ca="1">IFERROR(IF(庫存現金流!$E14=0,"",TEXT(庫存現金流!$E14,"#,##0")),"")</f>
        <v/>
      </c>
      <c r="T164" s="2206"/>
      <c r="U164" s="2206" t="str">
        <f ca="1">IFERROR(IF($V$19="TWD",TEXT(庫存現金流!$F14,"#,##0"),TEXT(庫存現金流!$F14,"#,##0")),"")</f>
        <v>41,063</v>
      </c>
      <c r="V164" s="2206"/>
      <c r="X164" s="1589">
        <f ca="1">IFERROR(庫存現金流!G14,"")</f>
        <v>0.12368222891566265</v>
      </c>
      <c r="Z164" s="1537"/>
      <c r="AA164" s="1535"/>
      <c r="AB164" s="1535"/>
      <c r="AC164" s="1536"/>
      <c r="AD164" s="1536"/>
      <c r="AE164" s="1536"/>
      <c r="AF164" s="1536"/>
      <c r="AG164" s="1536"/>
      <c r="AH164" s="1536"/>
      <c r="AI164" s="1536"/>
      <c r="AJ164" s="1536"/>
      <c r="AK164" s="1536"/>
      <c r="AL164" s="1536"/>
      <c r="AM164" s="1536"/>
      <c r="AN164" s="1536"/>
      <c r="AO164" s="1530"/>
      <c r="AP164" s="1537"/>
      <c r="AQ164" s="1537"/>
      <c r="AR164" s="1537"/>
      <c r="AS164" s="1530"/>
      <c r="AT164" s="1530"/>
      <c r="AU164" s="1530"/>
      <c r="AV164" s="1530"/>
      <c r="AW164" s="1530"/>
      <c r="AX164" s="1530"/>
      <c r="AY164" s="1530"/>
      <c r="AZ164" s="1530"/>
    </row>
    <row r="165" spans="4:67" ht="42.75" customHeight="1">
      <c r="D165" s="505"/>
      <c r="E165" s="505"/>
      <c r="F165" s="505"/>
      <c r="G165" s="505"/>
      <c r="H165" s="505"/>
      <c r="I165" s="505"/>
      <c r="J165" s="505"/>
      <c r="P165" s="642">
        <f ca="1">庫存現金流!B15</f>
        <v>2027</v>
      </c>
      <c r="Q165" s="2212" t="str">
        <f ca="1">IFERROR(IF($V$19="TWD",TEXT(庫存現金流!$D15,"#,##0"),TEXT(庫存現金流!$D15,"#,##0")),"")</f>
        <v>16,425</v>
      </c>
      <c r="R165" s="2212"/>
      <c r="S165" s="2206" t="str">
        <f ca="1">IFERROR(IF(庫存現金流!$E15=0,"",TEXT(庫存現金流!$E15,"#,##0")),"")</f>
        <v/>
      </c>
      <c r="T165" s="2206"/>
      <c r="U165" s="2206" t="str">
        <f ca="1">IFERROR(IF($V$19="TWD",TEXT(庫存現金流!$F15,"#,##0"),TEXT(庫存現金流!$F15,"#,##0")),"")</f>
        <v>57,488</v>
      </c>
      <c r="V165" s="2206"/>
      <c r="X165" s="1589">
        <f ca="1">IFERROR(庫存現金流!G15,"")</f>
        <v>0.17315512048192772</v>
      </c>
      <c r="Z165" s="1537"/>
      <c r="AA165" s="1535"/>
      <c r="AB165" s="1535"/>
      <c r="AC165" s="1536"/>
      <c r="AD165" s="1536"/>
      <c r="AE165" s="1536"/>
      <c r="AF165" s="1536"/>
      <c r="AG165" s="1536"/>
      <c r="AH165" s="1536"/>
      <c r="AI165" s="1536"/>
      <c r="AJ165" s="1536"/>
      <c r="AK165" s="1536"/>
      <c r="AL165" s="1536"/>
      <c r="AM165" s="1536"/>
      <c r="AN165" s="1536"/>
      <c r="AO165" s="1530"/>
      <c r="AP165" s="1537"/>
      <c r="AQ165" s="1537"/>
      <c r="AR165" s="1537"/>
      <c r="AS165" s="1538"/>
      <c r="AT165" s="1538"/>
      <c r="AU165" s="1538"/>
      <c r="AV165" s="1538"/>
      <c r="AW165" s="1538"/>
      <c r="AX165" s="1538"/>
      <c r="AY165" s="1538"/>
      <c r="AZ165" s="1538"/>
    </row>
    <row r="166" spans="4:67" ht="42.75" customHeight="1">
      <c r="D166" s="505"/>
      <c r="E166" s="505"/>
      <c r="F166" s="505"/>
      <c r="G166" s="505"/>
      <c r="H166" s="505"/>
      <c r="I166" s="505"/>
      <c r="J166" s="505"/>
      <c r="P166" s="642">
        <f ca="1">庫存現金流!B16</f>
        <v>2028</v>
      </c>
      <c r="Q166" s="2212" t="str">
        <f ca="1">IFERROR(IF($V$19="TWD",TEXT(庫存現金流!$D16,"#,##0"),TEXT(庫存現金流!$D16,"#,##0")),"")</f>
        <v>16,425</v>
      </c>
      <c r="R166" s="2212"/>
      <c r="S166" s="2206" t="str">
        <f ca="1">IFERROR(IF(庫存現金流!$E16=0,"",TEXT(庫存現金流!$E16,"#,##0")),"")</f>
        <v/>
      </c>
      <c r="T166" s="2206"/>
      <c r="U166" s="2206" t="str">
        <f ca="1">IFERROR(IF($V$19="TWD",TEXT(庫存現金流!$F16,"#,##0"),TEXT(庫存現金流!$F16,"#,##0")),"")</f>
        <v>73,913</v>
      </c>
      <c r="V166" s="2206"/>
      <c r="X166" s="1589">
        <f ca="1">IFERROR(庫存現金流!G16,"")</f>
        <v>0.22262801204819277</v>
      </c>
      <c r="Z166" s="1537"/>
      <c r="AA166" s="1535"/>
      <c r="AB166" s="1535"/>
      <c r="AC166" s="1536"/>
      <c r="AD166" s="1536"/>
      <c r="AE166" s="1536"/>
      <c r="AF166" s="1536"/>
      <c r="AG166" s="1536"/>
      <c r="AH166" s="1536"/>
      <c r="AI166" s="1536"/>
      <c r="AJ166" s="1536"/>
      <c r="AK166" s="1536"/>
      <c r="AL166" s="1536"/>
      <c r="AM166" s="1536"/>
      <c r="AN166" s="1536"/>
      <c r="AO166" s="1530"/>
      <c r="AP166" s="1537"/>
      <c r="AQ166" s="1537"/>
      <c r="AR166" s="1537"/>
      <c r="AS166" s="1538"/>
      <c r="AT166" s="1538"/>
      <c r="AU166" s="1538"/>
      <c r="AV166" s="1538"/>
      <c r="AW166" s="1538"/>
      <c r="AX166" s="1538"/>
      <c r="AY166" s="1538"/>
      <c r="AZ166" s="1538"/>
    </row>
    <row r="167" spans="4:67" ht="42.75" customHeight="1">
      <c r="D167" s="505"/>
      <c r="E167" s="505"/>
      <c r="F167" s="505"/>
      <c r="G167" s="505"/>
      <c r="H167" s="505"/>
      <c r="I167" s="505"/>
      <c r="J167" s="505"/>
      <c r="P167" s="642">
        <f ca="1">庫存現金流!B17</f>
        <v>2029</v>
      </c>
      <c r="Q167" s="2212" t="str">
        <f ca="1">IFERROR(IF($V$19="TWD",TEXT(庫存現金流!$D17,"#,##0"),TEXT(庫存現金流!$D17,"#,##0")),"")</f>
        <v>16,425</v>
      </c>
      <c r="R167" s="2212"/>
      <c r="S167" s="2206" t="str">
        <f ca="1">IFERROR(IF(庫存現金流!$E17=0,"",TEXT(庫存現金流!$E17,"#,##0")),"")</f>
        <v/>
      </c>
      <c r="T167" s="2206"/>
      <c r="U167" s="2206" t="str">
        <f ca="1">IFERROR(IF($V$19="TWD",TEXT(庫存現金流!$F17,"#,##0"),TEXT(庫存現金流!$F17,"#,##0")),"")</f>
        <v>90,338</v>
      </c>
      <c r="V167" s="2206"/>
      <c r="X167" s="1589">
        <f ca="1">IFERROR(庫存現金流!G17,"")</f>
        <v>0.27210090361445782</v>
      </c>
      <c r="Z167" s="1537"/>
      <c r="AA167" s="1539"/>
      <c r="AB167" s="1539"/>
      <c r="AC167" s="1536"/>
      <c r="AD167" s="1536"/>
      <c r="AE167" s="1536"/>
      <c r="AF167" s="1536"/>
      <c r="AG167" s="1536"/>
      <c r="AH167" s="1536"/>
      <c r="AI167" s="1536"/>
      <c r="AJ167" s="1536"/>
      <c r="AK167" s="1536"/>
      <c r="AL167" s="1536"/>
      <c r="AM167" s="1536"/>
      <c r="AN167" s="1536"/>
      <c r="AO167" s="1530"/>
      <c r="AP167" s="1537"/>
      <c r="AQ167" s="1537"/>
      <c r="AR167" s="1537"/>
      <c r="AS167" s="1538"/>
      <c r="AT167" s="1538"/>
      <c r="AU167" s="1538"/>
      <c r="AV167" s="1538"/>
      <c r="AW167" s="1538"/>
      <c r="AX167" s="1538"/>
      <c r="AY167" s="1538"/>
      <c r="AZ167" s="1538"/>
    </row>
    <row r="168" spans="4:67" ht="42.75" customHeight="1">
      <c r="D168" s="505"/>
      <c r="E168" s="505"/>
      <c r="F168" s="505"/>
      <c r="G168" s="505"/>
      <c r="H168" s="505"/>
      <c r="I168" s="505"/>
      <c r="J168" s="505"/>
      <c r="P168" s="642" t="str">
        <f ca="1">庫存現金流!B18</f>
        <v>2030~2034</v>
      </c>
      <c r="Q168" s="2212" t="str">
        <f ca="1">IFERROR(IF($V$19="TWD",TEXT(庫存現金流!$D18,"#,##0"),TEXT(庫存現金流!$D18,"#,##0")),"")</f>
        <v>82,125</v>
      </c>
      <c r="R168" s="2212"/>
      <c r="S168" s="2206" t="str">
        <f ca="1">IFERROR(IF(庫存現金流!$E18=0,"",TEXT(庫存現金流!$E18,"#,##0")),"")</f>
        <v/>
      </c>
      <c r="T168" s="2206"/>
      <c r="U168" s="2206" t="str">
        <f ca="1">IFERROR(IF($V$19="TWD",TEXT(庫存現金流!$F18,"#,##0"),TEXT(庫存現金流!$F18,"#,##0")),"")</f>
        <v>172,463</v>
      </c>
      <c r="V168" s="2206"/>
      <c r="X168" s="1589">
        <f ca="1">IFERROR(庫存現金流!G18,"")</f>
        <v>0.51946536144578315</v>
      </c>
      <c r="Z168" s="1540"/>
      <c r="AA168" s="1541"/>
      <c r="AB168" s="1541"/>
      <c r="AC168" s="1542"/>
      <c r="AD168" s="1542"/>
      <c r="AE168" s="1542"/>
      <c r="AF168" s="1542"/>
      <c r="AG168" s="1542"/>
      <c r="AH168" s="1542"/>
      <c r="AI168" s="1542"/>
      <c r="AJ168" s="1542"/>
      <c r="AK168" s="1542"/>
      <c r="AL168" s="1542"/>
      <c r="AM168" s="1542"/>
      <c r="AN168" s="1542"/>
      <c r="AO168" s="1530"/>
      <c r="AP168" s="1540"/>
      <c r="AQ168" s="1540"/>
      <c r="AR168" s="1540"/>
      <c r="AS168" s="1538"/>
      <c r="AT168" s="1538"/>
      <c r="AU168" s="1538"/>
      <c r="AV168" s="1538"/>
      <c r="AW168" s="1538"/>
      <c r="AX168" s="1538"/>
      <c r="AY168" s="1538"/>
      <c r="AZ168" s="1538"/>
    </row>
    <row r="169" spans="4:67" ht="42.75" customHeight="1">
      <c r="D169" s="505"/>
      <c r="E169" s="505"/>
      <c r="F169" s="505"/>
      <c r="G169" s="505"/>
      <c r="H169" s="505"/>
      <c r="I169" s="505"/>
      <c r="J169" s="505"/>
      <c r="P169" s="642" t="str">
        <f ca="1">庫存現金流!B19</f>
        <v>2035~2039</v>
      </c>
      <c r="Q169" s="2212" t="str">
        <f ca="1">IFERROR(IF($V$19="TWD",TEXT(庫存現金流!$D19,"#,##0"),TEXT(庫存現金流!$D19,"#,##0")),"")</f>
        <v>82,125</v>
      </c>
      <c r="R169" s="2212"/>
      <c r="S169" s="2206" t="str">
        <f ca="1">IFERROR(IF(庫存現金流!$E19=0,"",TEXT(庫存現金流!$E19,"#,##0")),"")</f>
        <v/>
      </c>
      <c r="T169" s="2206"/>
      <c r="U169" s="2206" t="str">
        <f ca="1">IFERROR(IF($V$19="TWD",TEXT(庫存現金流!$F19,"#,##0"),TEXT(庫存現金流!$F19,"#,##0")),"")</f>
        <v>254,588</v>
      </c>
      <c r="V169" s="2206"/>
      <c r="X169" s="1589">
        <f ca="1">IFERROR(庫存現金流!G19,"")</f>
        <v>0.76682981927710847</v>
      </c>
      <c r="Z169" s="1540"/>
      <c r="AA169" s="1541"/>
      <c r="AB169" s="1541"/>
      <c r="AC169" s="1542"/>
      <c r="AD169" s="1542"/>
      <c r="AE169" s="1542"/>
      <c r="AF169" s="1542"/>
      <c r="AG169" s="1542"/>
      <c r="AH169" s="1542"/>
      <c r="AI169" s="1542"/>
      <c r="AJ169" s="1542"/>
      <c r="AK169" s="1542"/>
      <c r="AL169" s="1542"/>
      <c r="AM169" s="1542"/>
      <c r="AN169" s="1542"/>
      <c r="AO169" s="1530"/>
      <c r="AP169" s="1540"/>
      <c r="AQ169" s="1540"/>
      <c r="AR169" s="1540"/>
      <c r="AS169" s="1535"/>
      <c r="AT169" s="1535"/>
      <c r="AU169" s="1538"/>
      <c r="AV169" s="1538"/>
      <c r="AW169" s="1538"/>
      <c r="AX169" s="1538"/>
      <c r="AY169" s="1538"/>
      <c r="AZ169" s="1538"/>
    </row>
    <row r="170" spans="4:67" ht="42.75" customHeight="1">
      <c r="D170" s="505"/>
      <c r="E170" s="505"/>
      <c r="F170" s="505"/>
      <c r="G170" s="505"/>
      <c r="H170" s="505"/>
      <c r="I170" s="505"/>
      <c r="J170" s="505"/>
      <c r="P170" s="642" t="str">
        <f ca="1">庫存現金流!B20</f>
        <v>2040~2044</v>
      </c>
      <c r="Q170" s="2212" t="str">
        <f ca="1">IFERROR(IF($V$19="TWD",TEXT(庫存現金流!$D20,"#,##0"),TEXT(庫存現金流!$D20,"#,##0")),"")</f>
        <v>82,125</v>
      </c>
      <c r="R170" s="2212"/>
      <c r="S170" s="2206" t="str">
        <f ca="1">IFERROR(IF(庫存現金流!$E20=0,"",TEXT(庫存現金流!$E20,"#,##0")),"")</f>
        <v/>
      </c>
      <c r="T170" s="2206"/>
      <c r="U170" s="2206" t="str">
        <f ca="1">IFERROR(IF($V$19="TWD",TEXT(庫存現金流!$F20,"#,##0"),TEXT(庫存現金流!$F20,"#,##0")),"")</f>
        <v>336,713</v>
      </c>
      <c r="V170" s="2206"/>
      <c r="X170" s="1589">
        <f ca="1">IFERROR(庫存現金流!G20,"")</f>
        <v>1.0141942771084338</v>
      </c>
      <c r="Z170" s="1255" t="str">
        <f>IF(換券投組!D86=1,"利率情境預估","利率情境預估(含年領利息)")</f>
        <v>利率情境預估</v>
      </c>
      <c r="AB170" s="1255"/>
      <c r="AC170" s="1255"/>
      <c r="AD170" s="1255"/>
      <c r="AE170" s="1270"/>
      <c r="AF170" s="1270"/>
      <c r="AG170" s="1270"/>
      <c r="AH170" s="1270"/>
      <c r="AI170" s="1270"/>
      <c r="AJ170" s="1270"/>
      <c r="AK170" s="1270"/>
      <c r="AL170" s="1270"/>
      <c r="AM170" s="1270"/>
      <c r="AN170" s="1270"/>
      <c r="AO170" s="1257"/>
      <c r="AP170" s="1271"/>
      <c r="AQ170" s="1271"/>
      <c r="AR170" s="1271"/>
      <c r="AS170" s="1305"/>
      <c r="AT170" s="1305"/>
      <c r="AU170" s="1305"/>
      <c r="AV170" s="1305"/>
      <c r="AW170" s="1314"/>
      <c r="AX170" s="1314"/>
      <c r="AY170" s="1314"/>
      <c r="AZ170" s="1314"/>
    </row>
    <row r="171" spans="4:67" ht="42.75" customHeight="1">
      <c r="D171" s="505"/>
      <c r="E171" s="505"/>
      <c r="F171" s="505"/>
      <c r="G171" s="505"/>
      <c r="H171" s="505"/>
      <c r="I171" s="505"/>
      <c r="J171" s="505"/>
      <c r="P171" s="642" t="str">
        <f ca="1">庫存現金流!B21</f>
        <v>2045~2049</v>
      </c>
      <c r="Q171" s="2212" t="str">
        <f ca="1">IFERROR(IF($V$19="TWD",TEXT(庫存現金流!$D21,"#,##0"),TEXT(庫存現金流!$D21,"#,##0")),"")</f>
        <v>82,125</v>
      </c>
      <c r="R171" s="2212"/>
      <c r="S171" s="2206" t="str">
        <f ca="1">IFERROR(IF(庫存現金流!$E21=0,"",TEXT(庫存現金流!$E21,"#,##0")),"")</f>
        <v/>
      </c>
      <c r="T171" s="2206"/>
      <c r="U171" s="2206" t="str">
        <f ca="1">IFERROR(IF($V$19="TWD",TEXT(庫存現金流!$F21,"#,##0"),TEXT(庫存現金流!$F21,"#,##0")),"")</f>
        <v>418,838</v>
      </c>
      <c r="V171" s="2206"/>
      <c r="X171" s="1589">
        <f ca="1">IFERROR(庫存現金流!G21,"")</f>
        <v>1.261558734939759</v>
      </c>
      <c r="Z171" s="2209" t="s">
        <v>4407</v>
      </c>
      <c r="AA171" s="2209"/>
      <c r="AB171" s="2204" t="str">
        <f>TEXT(換券投組!C87,"0.00%")</f>
        <v>-2.00%</v>
      </c>
      <c r="AC171" s="2204"/>
      <c r="AD171" s="2204"/>
      <c r="AE171" s="2204"/>
      <c r="AF171" s="2201">
        <f>換券投組!C88</f>
        <v>-1.4999999999999999E-2</v>
      </c>
      <c r="AG171" s="2201"/>
      <c r="AH171" s="2201"/>
      <c r="AI171" s="2201"/>
      <c r="AJ171" s="2201">
        <f>換券投組!C89</f>
        <v>-0.01</v>
      </c>
      <c r="AK171" s="2201"/>
      <c r="AL171" s="2201"/>
      <c r="AM171" s="2201"/>
      <c r="AN171" s="2198">
        <f>換券投組!C90</f>
        <v>-5.0000000000000001E-3</v>
      </c>
      <c r="AO171" s="2198"/>
      <c r="AP171" s="2198"/>
      <c r="AQ171" s="2198"/>
      <c r="AR171" s="2198" t="str">
        <f>換券投組!C91</f>
        <v>+0.50%</v>
      </c>
      <c r="AS171" s="2198"/>
      <c r="AT171" s="2198"/>
      <c r="AU171" s="2198"/>
      <c r="AV171" s="2201" t="str">
        <f>換券投組!C92</f>
        <v>+1.00%</v>
      </c>
      <c r="AW171" s="2201"/>
      <c r="AX171" s="2201"/>
      <c r="AY171" s="2201"/>
      <c r="AZ171" s="1315"/>
    </row>
    <row r="172" spans="4:67" ht="42.75" customHeight="1">
      <c r="D172" s="505"/>
      <c r="E172" s="505"/>
      <c r="F172" s="505"/>
      <c r="G172" s="505"/>
      <c r="H172" s="505"/>
      <c r="I172" s="505"/>
      <c r="J172" s="505"/>
      <c r="P172" s="642" t="str">
        <f ca="1">庫存現金流!B22</f>
        <v>2050~2054</v>
      </c>
      <c r="Q172" s="2212" t="str">
        <f ca="1">IFERROR(IF($V$19="TWD",TEXT(庫存現金流!$D22,"#,##0"),TEXT(庫存現金流!$D22,"#,##0")),"")</f>
        <v>58,638</v>
      </c>
      <c r="R172" s="2212"/>
      <c r="S172" s="2206" t="str">
        <f ca="1">IFERROR(IF(庫存現金流!$E22=0,"",TEXT(庫存現金流!$E22,"#,##0")),"")</f>
        <v>300,000</v>
      </c>
      <c r="T172" s="2206"/>
      <c r="U172" s="2206" t="str">
        <f ca="1">IFERROR(IF($V$19="TWD",TEXT(庫存現金流!$F22,"#,##0"),TEXT(庫存現金流!$F22,"#,##0")),"")</f>
        <v>777,475</v>
      </c>
      <c r="V172" s="2206"/>
      <c r="X172" s="1589">
        <f ca="1">IFERROR(庫存現金流!G22,"")</f>
        <v>2.341792168674699</v>
      </c>
      <c r="Z172" s="2215" t="str">
        <f ca="1">IF('商品代碼-中繼頁'!$C$16=0,"",CONCATENATE(換券投組!D77," (",V19,")"))</f>
        <v>原庫存組合 (USD)</v>
      </c>
      <c r="AA172" s="2215"/>
      <c r="AB172" s="2196" t="str">
        <f ca="1">IF($V$19="TWD",TEXT(換券投組!D87,"#,##0"),TEXT(換券投組!D87,"#,##0"))</f>
        <v>105,775</v>
      </c>
      <c r="AC172" s="2196"/>
      <c r="AD172" s="2196"/>
      <c r="AE172" s="2196"/>
      <c r="AF172" s="2205" t="str">
        <f ca="1">IF($V$19="TWD",TEXT(換券投組!D88,"#,##0"),TEXT(換券投組!D88,"#,##0"))</f>
        <v>79,331</v>
      </c>
      <c r="AG172" s="2205"/>
      <c r="AH172" s="2205"/>
      <c r="AI172" s="2205"/>
      <c r="AJ172" s="2205" t="str">
        <f ca="1">IF($V$19="TWD",TEXT(換券投組!D89,"#,##0"),TEXT(換券投組!D89,"#,##0"))</f>
        <v>52,887</v>
      </c>
      <c r="AK172" s="2205"/>
      <c r="AL172" s="2205"/>
      <c r="AM172" s="2205"/>
      <c r="AN172" s="2196" t="str">
        <f ca="1">IF($V$19="TWD",TEXT(換券投組!D90,"#,##0"),TEXT(換券投組!D90,"#,##0"))</f>
        <v>26,444</v>
      </c>
      <c r="AO172" s="2196"/>
      <c r="AP172" s="2196"/>
      <c r="AQ172" s="2196"/>
      <c r="AR172" s="2202" t="str">
        <f ca="1">IF($V$19="TWD",TEXT(換券投組!D91,"#,##0"),TEXT(換券投組!D91,"#,##0"))</f>
        <v>-26,444</v>
      </c>
      <c r="AS172" s="2202"/>
      <c r="AT172" s="2202"/>
      <c r="AU172" s="2202"/>
      <c r="AV172" s="2202" t="str">
        <f ca="1">IF($V$19="TWD",TEXT(換券投組!D92,"#,##0"),TEXT(換券投組!D92,"#,##0"))</f>
        <v>-52,887</v>
      </c>
      <c r="AW172" s="2202"/>
      <c r="AX172" s="2202"/>
      <c r="AY172" s="2202"/>
      <c r="AZ172" s="1591"/>
    </row>
    <row r="173" spans="4:67" ht="42.75" customHeight="1">
      <c r="D173" s="505"/>
      <c r="E173" s="505"/>
      <c r="F173" s="505"/>
      <c r="G173" s="505"/>
      <c r="H173" s="505"/>
      <c r="I173" s="505"/>
      <c r="J173" s="505"/>
      <c r="P173" s="1047" t="str">
        <f ca="1">庫存現金流!B23</f>
        <v>2055~2060</v>
      </c>
      <c r="Q173" s="2213" t="str">
        <f ca="1">IFERROR(IF($V$19="TWD",TEXT(庫存現金流!$D23,"#,##0"),TEXT(庫存現金流!$D23,"#,##0")),"")</f>
        <v>13,500</v>
      </c>
      <c r="R173" s="2213"/>
      <c r="S173" s="2214" t="str">
        <f ca="1">IFERROR(IF(庫存現金流!$E23=0,"",TEXT(庫存現金流!$E23,"#,##0")),"")</f>
        <v>100,000</v>
      </c>
      <c r="T173" s="2214"/>
      <c r="U173" s="2214" t="str">
        <f ca="1">IFERROR(IF($V$19="TWD",TEXT(庫存現金流!$F23,"#,##0"),TEXT(庫存現金流!$F23,"#,##0")),"")</f>
        <v>890,975</v>
      </c>
      <c r="V173" s="2214"/>
      <c r="W173" s="1257"/>
      <c r="X173" s="1590">
        <f ca="1">IFERROR(庫存現金流!G23,"")</f>
        <v>2.6836596385542171</v>
      </c>
      <c r="Z173" s="2203" t="str">
        <f ca="1">IF(OR($T$100="",'商品代碼-中繼頁'!$C$16=0),"",CONCATENATE(換券投組!E77," (",V19,")"))</f>
        <v/>
      </c>
      <c r="AA173" s="2203"/>
      <c r="AB173" s="2197" t="str">
        <f ca="1">IF($V$19="TWD",TEXT(換券投組!E87,"#,##0"),TEXT(換券投組!E87,"#,##0"))</f>
        <v/>
      </c>
      <c r="AC173" s="2197"/>
      <c r="AD173" s="2197"/>
      <c r="AE173" s="2197"/>
      <c r="AF173" s="2197" t="str">
        <f ca="1">IF($V$19="TWD",TEXT(換券投組!E88,"#,##0"),TEXT(換券投組!E88,"#,##0"))</f>
        <v/>
      </c>
      <c r="AG173" s="2197"/>
      <c r="AH173" s="2197"/>
      <c r="AI173" s="2197"/>
      <c r="AJ173" s="2197" t="str">
        <f ca="1">IF($V$19="TWD",TEXT(換券投組!E89,"#,##0"),TEXT(換券投組!E89,"#,##0"))</f>
        <v/>
      </c>
      <c r="AK173" s="2197"/>
      <c r="AL173" s="2197"/>
      <c r="AM173" s="2197"/>
      <c r="AN173" s="2197" t="str">
        <f ca="1">IF($V$19="TWD",TEXT(換券投組!E90,"#,##0"),TEXT(換券投組!E90,"#,##0"))</f>
        <v/>
      </c>
      <c r="AO173" s="2197"/>
      <c r="AP173" s="2197"/>
      <c r="AQ173" s="2197"/>
      <c r="AR173" s="2197" t="str">
        <f ca="1">IF($V$19="TWD",TEXT(換券投組!E91,"#,##0"),TEXT(換券投組!E91,"#,##0"))</f>
        <v/>
      </c>
      <c r="AS173" s="2197"/>
      <c r="AT173" s="2197"/>
      <c r="AU173" s="2197"/>
      <c r="AV173" s="2197" t="str">
        <f ca="1">IF($V$19="TWD",TEXT(換券投組!E92,"#,##0"),TEXT(換券投組!E92,"#,##0"))</f>
        <v/>
      </c>
      <c r="AW173" s="2197"/>
      <c r="AX173" s="2197"/>
      <c r="AY173" s="2197"/>
      <c r="AZ173" s="1592"/>
    </row>
    <row r="174" spans="4:67" ht="30" customHeight="1">
      <c r="D174" s="505"/>
      <c r="E174" s="505"/>
      <c r="F174" s="505"/>
      <c r="G174" s="505"/>
      <c r="H174" s="505"/>
      <c r="I174" s="505"/>
      <c r="J174" s="505"/>
      <c r="P174" s="512"/>
      <c r="Q174" s="1132"/>
      <c r="R174" s="1132"/>
      <c r="S174" s="1132"/>
      <c r="T174" s="1132"/>
      <c r="U174" s="1307"/>
      <c r="V174" s="1141"/>
      <c r="W174" s="1308"/>
      <c r="X174" s="637"/>
      <c r="Y174" s="938"/>
      <c r="Z174" s="938"/>
      <c r="AA174" s="938"/>
      <c r="AB174" s="938"/>
      <c r="AC174" s="938"/>
      <c r="AD174" s="1131"/>
      <c r="AE174" s="1131"/>
      <c r="AF174" s="1131"/>
      <c r="AG174" s="938"/>
      <c r="AH174" s="938"/>
      <c r="AI174" s="938"/>
      <c r="AJ174" s="938"/>
      <c r="AK174" s="1203"/>
      <c r="AL174" s="1203"/>
      <c r="AM174" s="1203"/>
      <c r="AN174" s="1203"/>
      <c r="AO174" s="1131"/>
      <c r="AP174" s="1131"/>
      <c r="AQ174" s="1131"/>
      <c r="AR174" s="1171"/>
      <c r="AS174" s="1171"/>
      <c r="AT174" s="1171"/>
      <c r="AU174" s="1171"/>
      <c r="AV174" s="1171"/>
      <c r="AW174" s="938"/>
      <c r="AX174" s="938"/>
      <c r="AY174" s="938"/>
      <c r="AZ174" s="938"/>
    </row>
    <row r="175" spans="4:67" ht="27.5">
      <c r="D175" s="505"/>
      <c r="E175" s="505"/>
      <c r="F175" s="505"/>
      <c r="G175" s="505"/>
      <c r="H175" s="505"/>
      <c r="I175" s="505"/>
      <c r="J175" s="505"/>
      <c r="O175" s="526"/>
      <c r="P175" s="526"/>
      <c r="Q175" s="526"/>
      <c r="R175" s="526"/>
      <c r="S175" s="526"/>
      <c r="T175" s="526"/>
      <c r="U175" s="526"/>
      <c r="V175" s="526"/>
      <c r="W175" s="526"/>
      <c r="X175" s="526"/>
      <c r="Y175" s="526"/>
      <c r="Z175" s="526"/>
      <c r="AA175" s="526"/>
      <c r="AB175" s="526"/>
      <c r="AC175" s="526"/>
      <c r="AD175" s="526"/>
      <c r="AE175" s="526"/>
      <c r="AF175" s="526"/>
      <c r="AG175" s="526"/>
      <c r="AH175" s="526"/>
      <c r="AI175" s="526"/>
      <c r="AJ175" s="526"/>
      <c r="AK175" s="526"/>
      <c r="AL175" s="526"/>
      <c r="AM175" s="526"/>
      <c r="AN175" s="526"/>
      <c r="AO175" s="526"/>
      <c r="AP175" s="526"/>
      <c r="AQ175" s="526"/>
      <c r="AR175" s="526"/>
      <c r="AS175" s="526"/>
      <c r="AT175" s="526"/>
      <c r="AU175" s="526"/>
      <c r="AV175" s="526"/>
      <c r="AW175" s="526"/>
      <c r="AX175" s="526"/>
      <c r="AY175" s="526"/>
      <c r="AZ175" s="526"/>
      <c r="BJ175" s="55" ph="1"/>
      <c r="BK175" s="55" ph="1"/>
      <c r="BL175" s="55" ph="1"/>
      <c r="BM175" s="55" ph="1"/>
      <c r="BN175" s="55" ph="1"/>
      <c r="BO175" s="55" ph="1"/>
    </row>
    <row r="178" spans="18:18">
      <c r="R178" s="741"/>
    </row>
    <row r="200" spans="62:67" ht="27.5">
      <c r="BJ200" s="55" ph="1"/>
      <c r="BK200" s="55" ph="1"/>
      <c r="BL200" s="55" ph="1"/>
      <c r="BM200" s="55" ph="1"/>
      <c r="BN200" s="55" ph="1"/>
      <c r="BO200" s="55" ph="1"/>
    </row>
  </sheetData>
  <sheetProtection algorithmName="SHA-512" hashValue="3QAoy9UfThsBE+LFHruTPAEQj8nEmHUbC42PItvAlkCeXEI/roCQ60Yu4n1JC/XGPQnTi9E9YUzwdMdRQE5SBQ==" saltValue="q6xcblDhgs8CCc4rMBTa0w==" spinCount="100000" sheet="1" formatCells="0"/>
  <dataConsolidate link="1"/>
  <mergeCells count="625">
    <mergeCell ref="AQ22:AS22"/>
    <mergeCell ref="Q19:U19"/>
    <mergeCell ref="V22:W22"/>
    <mergeCell ref="AQ26:AZ26"/>
    <mergeCell ref="AV27:AZ27"/>
    <mergeCell ref="AV28:AZ28"/>
    <mergeCell ref="AV29:AZ29"/>
    <mergeCell ref="AV30:AZ30"/>
    <mergeCell ref="AV31:AZ31"/>
    <mergeCell ref="AV32:AZ32"/>
    <mergeCell ref="AV33:AZ33"/>
    <mergeCell ref="AV34:AZ34"/>
    <mergeCell ref="AV35:AZ35"/>
    <mergeCell ref="AQ27:AU27"/>
    <mergeCell ref="AQ28:AU28"/>
    <mergeCell ref="AQ29:AU29"/>
    <mergeCell ref="AQ30:AU30"/>
    <mergeCell ref="AQ31:AU31"/>
    <mergeCell ref="AQ32:AU32"/>
    <mergeCell ref="AQ33:AU33"/>
    <mergeCell ref="AQ34:AU34"/>
    <mergeCell ref="AQ35:AU35"/>
    <mergeCell ref="Q173:R173"/>
    <mergeCell ref="U173:V173"/>
    <mergeCell ref="Z172:AA172"/>
    <mergeCell ref="AR171:AU171"/>
    <mergeCell ref="U164:V164"/>
    <mergeCell ref="U169:V169"/>
    <mergeCell ref="U168:V168"/>
    <mergeCell ref="U167:V167"/>
    <mergeCell ref="U172:V172"/>
    <mergeCell ref="U171:V171"/>
    <mergeCell ref="U170:V170"/>
    <mergeCell ref="AJ172:AM172"/>
    <mergeCell ref="S172:T172"/>
    <mergeCell ref="S171:T171"/>
    <mergeCell ref="S170:T170"/>
    <mergeCell ref="S173:T173"/>
    <mergeCell ref="Q170:R170"/>
    <mergeCell ref="Q171:R171"/>
    <mergeCell ref="U166:V166"/>
    <mergeCell ref="Q172:R172"/>
    <mergeCell ref="Q167:R167"/>
    <mergeCell ref="Q168:R168"/>
    <mergeCell ref="Q169:R169"/>
    <mergeCell ref="Q164:R164"/>
    <mergeCell ref="S168:T168"/>
    <mergeCell ref="S167:T167"/>
    <mergeCell ref="U162:V162"/>
    <mergeCell ref="U161:V161"/>
    <mergeCell ref="S166:T166"/>
    <mergeCell ref="S165:T165"/>
    <mergeCell ref="Q161:R161"/>
    <mergeCell ref="Z171:AA171"/>
    <mergeCell ref="U165:V165"/>
    <mergeCell ref="Q162:R162"/>
    <mergeCell ref="S162:T162"/>
    <mergeCell ref="S161:T161"/>
    <mergeCell ref="Q163:R163"/>
    <mergeCell ref="S163:T163"/>
    <mergeCell ref="U163:V163"/>
    <mergeCell ref="Q165:R165"/>
    <mergeCell ref="Q166:R166"/>
    <mergeCell ref="S164:T164"/>
    <mergeCell ref="Z173:AA173"/>
    <mergeCell ref="AB172:AE172"/>
    <mergeCell ref="AB173:AE173"/>
    <mergeCell ref="AB171:AE171"/>
    <mergeCell ref="AF171:AI171"/>
    <mergeCell ref="AF172:AI172"/>
    <mergeCell ref="AF173:AI173"/>
    <mergeCell ref="AJ171:AM171"/>
    <mergeCell ref="S169:T169"/>
    <mergeCell ref="AJ173:AM173"/>
    <mergeCell ref="AN172:AQ172"/>
    <mergeCell ref="AN173:AQ173"/>
    <mergeCell ref="AR120:AV120"/>
    <mergeCell ref="AD153:AF153"/>
    <mergeCell ref="AN171:AQ171"/>
    <mergeCell ref="AK120:AN120"/>
    <mergeCell ref="AT151:AV151"/>
    <mergeCell ref="AI153:AK153"/>
    <mergeCell ref="AL153:AP153"/>
    <mergeCell ref="AQ153:AS153"/>
    <mergeCell ref="AV171:AY171"/>
    <mergeCell ref="AR172:AU172"/>
    <mergeCell ref="AV172:AY172"/>
    <mergeCell ref="AV173:AY173"/>
    <mergeCell ref="AR173:AU173"/>
    <mergeCell ref="AT153:AV153"/>
    <mergeCell ref="AL154:AP154"/>
    <mergeCell ref="AQ154:AS154"/>
    <mergeCell ref="AT154:AV154"/>
    <mergeCell ref="AQ158:AS158"/>
    <mergeCell ref="AT158:AV158"/>
    <mergeCell ref="AD120:AF120"/>
    <mergeCell ref="P149:AT149"/>
    <mergeCell ref="AW120:AZ120"/>
    <mergeCell ref="Y120:AC120"/>
    <mergeCell ref="AR114:AV114"/>
    <mergeCell ref="AR117:AV117"/>
    <mergeCell ref="AR118:AV119"/>
    <mergeCell ref="AG111:AJ111"/>
    <mergeCell ref="AG112:AJ113"/>
    <mergeCell ref="AR111:AV111"/>
    <mergeCell ref="AR104:AV104"/>
    <mergeCell ref="AW104:AZ104"/>
    <mergeCell ref="AO111:AQ111"/>
    <mergeCell ref="AO112:AQ113"/>
    <mergeCell ref="AO114:AQ114"/>
    <mergeCell ref="AO107:AQ108"/>
    <mergeCell ref="AK117:AN117"/>
    <mergeCell ref="AK118:AN119"/>
    <mergeCell ref="AG107:AJ108"/>
    <mergeCell ref="AK107:AN108"/>
    <mergeCell ref="AG114:AJ114"/>
    <mergeCell ref="AW111:AZ111"/>
    <mergeCell ref="AW112:AZ113"/>
    <mergeCell ref="AW114:AZ114"/>
    <mergeCell ref="AW117:AZ117"/>
    <mergeCell ref="AW118:AZ119"/>
    <mergeCell ref="Y117:AC117"/>
    <mergeCell ref="Q152:S152"/>
    <mergeCell ref="T152:U152"/>
    <mergeCell ref="Q138:T138"/>
    <mergeCell ref="Q139:T139"/>
    <mergeCell ref="Q140:T140"/>
    <mergeCell ref="Q141:T141"/>
    <mergeCell ref="P145:AZ145"/>
    <mergeCell ref="P148:AZ148"/>
    <mergeCell ref="X124:AZ125"/>
    <mergeCell ref="Q134:T134"/>
    <mergeCell ref="Q135:T135"/>
    <mergeCell ref="AU149:AW149"/>
    <mergeCell ref="AX149:AZ149"/>
    <mergeCell ref="AA45:AG45"/>
    <mergeCell ref="AA46:AG46"/>
    <mergeCell ref="AR107:AV108"/>
    <mergeCell ref="Q116:T116"/>
    <mergeCell ref="Q117:T117"/>
    <mergeCell ref="W112:W113"/>
    <mergeCell ref="W118:W119"/>
    <mergeCell ref="X118:X119"/>
    <mergeCell ref="AW107:AZ108"/>
    <mergeCell ref="AU94:AW94"/>
    <mergeCell ref="AX94:AZ94"/>
    <mergeCell ref="AG117:AJ117"/>
    <mergeCell ref="AG118:AJ119"/>
    <mergeCell ref="AK111:AN111"/>
    <mergeCell ref="AK112:AN113"/>
    <mergeCell ref="AK114:AN114"/>
    <mergeCell ref="AR112:AV113"/>
    <mergeCell ref="AD118:AF119"/>
    <mergeCell ref="AL103:AP103"/>
    <mergeCell ref="Y107:AC108"/>
    <mergeCell ref="AD107:AF108"/>
    <mergeCell ref="AD112:AF113"/>
    <mergeCell ref="AD117:AF117"/>
    <mergeCell ref="X107:X108"/>
    <mergeCell ref="AK49:AN49"/>
    <mergeCell ref="AK50:AN50"/>
    <mergeCell ref="AH44:AJ44"/>
    <mergeCell ref="AH45:AJ45"/>
    <mergeCell ref="AH46:AJ46"/>
    <mergeCell ref="AA48:AG48"/>
    <mergeCell ref="AH50:AJ50"/>
    <mergeCell ref="AX106:AZ106"/>
    <mergeCell ref="AV106:AW106"/>
    <mergeCell ref="Z81:AY82"/>
    <mergeCell ref="AX44:AZ44"/>
    <mergeCell ref="AA49:AG49"/>
    <mergeCell ref="AA50:AG50"/>
    <mergeCell ref="AH48:AJ48"/>
    <mergeCell ref="AH49:AJ49"/>
    <mergeCell ref="P90:AZ90"/>
    <mergeCell ref="Y97:Z97"/>
    <mergeCell ref="P54:P57"/>
    <mergeCell ref="Q89:S89"/>
    <mergeCell ref="Q81:V81"/>
    <mergeCell ref="Q47:S47"/>
    <mergeCell ref="AH47:AJ47"/>
    <mergeCell ref="AA47:AG47"/>
    <mergeCell ref="V45:X45"/>
    <mergeCell ref="AU44:AW44"/>
    <mergeCell ref="AU45:AW45"/>
    <mergeCell ref="AU46:AW46"/>
    <mergeCell ref="AU47:AW47"/>
    <mergeCell ref="AO45:AQ45"/>
    <mergeCell ref="AO46:AQ46"/>
    <mergeCell ref="AR44:AT44"/>
    <mergeCell ref="AO44:AQ44"/>
    <mergeCell ref="AO47:AQ47"/>
    <mergeCell ref="Y118:AC119"/>
    <mergeCell ref="AG120:AJ120"/>
    <mergeCell ref="AD111:AF111"/>
    <mergeCell ref="AD114:AF114"/>
    <mergeCell ref="AX45:AZ45"/>
    <mergeCell ref="AX46:AZ46"/>
    <mergeCell ref="AX47:AZ47"/>
    <mergeCell ref="AX48:AZ48"/>
    <mergeCell ref="AX49:AZ49"/>
    <mergeCell ref="AX50:AZ50"/>
    <mergeCell ref="AO48:AQ48"/>
    <mergeCell ref="AO49:AQ49"/>
    <mergeCell ref="AO50:AQ50"/>
    <mergeCell ref="AR45:AT45"/>
    <mergeCell ref="AR46:AT46"/>
    <mergeCell ref="AU50:AW50"/>
    <mergeCell ref="AR47:AT47"/>
    <mergeCell ref="AR48:AT48"/>
    <mergeCell ref="AR49:AT49"/>
    <mergeCell ref="AR50:AT50"/>
    <mergeCell ref="AU48:AW48"/>
    <mergeCell ref="AU49:AW49"/>
    <mergeCell ref="AK48:AN48"/>
    <mergeCell ref="AV83:AY84"/>
    <mergeCell ref="Z89:AA89"/>
    <mergeCell ref="Z87:AA88"/>
    <mergeCell ref="Z83:AA84"/>
    <mergeCell ref="AV87:AY88"/>
    <mergeCell ref="AN89:AQ89"/>
    <mergeCell ref="AR89:AU89"/>
    <mergeCell ref="AV89:AY89"/>
    <mergeCell ref="AO120:AQ120"/>
    <mergeCell ref="AO117:AQ117"/>
    <mergeCell ref="AO118:AQ119"/>
    <mergeCell ref="AI99:AK99"/>
    <mergeCell ref="AI100:AK100"/>
    <mergeCell ref="Y102:Z102"/>
    <mergeCell ref="Y103:Z103"/>
    <mergeCell ref="AD101:AF101"/>
    <mergeCell ref="AD102:AF102"/>
    <mergeCell ref="AD103:AF103"/>
    <mergeCell ref="AI102:AK102"/>
    <mergeCell ref="AA101:AC101"/>
    <mergeCell ref="AA102:AC102"/>
    <mergeCell ref="AA103:AC103"/>
    <mergeCell ref="AA100:AC100"/>
    <mergeCell ref="AD100:AF100"/>
    <mergeCell ref="AW103:AZ103"/>
    <mergeCell ref="AX42:AZ43"/>
    <mergeCell ref="AX41:AZ41"/>
    <mergeCell ref="X34:X35"/>
    <mergeCell ref="Y34:Y35"/>
    <mergeCell ref="V15:W15"/>
    <mergeCell ref="V16:W16"/>
    <mergeCell ref="V17:W17"/>
    <mergeCell ref="V18:W18"/>
    <mergeCell ref="AA19:AD19"/>
    <mergeCell ref="AJ32:AJ35"/>
    <mergeCell ref="AV42:AW43"/>
    <mergeCell ref="P40:AZ40"/>
    <mergeCell ref="AA15:AD15"/>
    <mergeCell ref="AA16:AD16"/>
    <mergeCell ref="AA17:AD17"/>
    <mergeCell ref="AA18:AD18"/>
    <mergeCell ref="AE19:AH19"/>
    <mergeCell ref="AM16:AP16"/>
    <mergeCell ref="AI18:AL18"/>
    <mergeCell ref="AI19:AL19"/>
    <mergeCell ref="AM19:AP19"/>
    <mergeCell ref="AM15:AP15"/>
    <mergeCell ref="AV24:AZ24"/>
    <mergeCell ref="AQ24:AU24"/>
    <mergeCell ref="O53:O58"/>
    <mergeCell ref="O107:O112"/>
    <mergeCell ref="P108:P111"/>
    <mergeCell ref="AY12:AZ12"/>
    <mergeCell ref="AY13:AZ13"/>
    <mergeCell ref="AY14:AZ14"/>
    <mergeCell ref="AY15:AZ15"/>
    <mergeCell ref="AY16:AZ16"/>
    <mergeCell ref="AT12:AU12"/>
    <mergeCell ref="AT13:AU13"/>
    <mergeCell ref="AT14:AU14"/>
    <mergeCell ref="AT15:AU15"/>
    <mergeCell ref="AT16:AU16"/>
    <mergeCell ref="AV12:AX12"/>
    <mergeCell ref="AV13:AX13"/>
    <mergeCell ref="AV14:AX14"/>
    <mergeCell ref="AV15:AX15"/>
    <mergeCell ref="AV16:AX16"/>
    <mergeCell ref="AE12:AH12"/>
    <mergeCell ref="AI12:AL12"/>
    <mergeCell ref="AI13:AL13"/>
    <mergeCell ref="AI14:AL14"/>
    <mergeCell ref="AA13:AD13"/>
    <mergeCell ref="AA14:AD14"/>
    <mergeCell ref="AE10:AH10"/>
    <mergeCell ref="Q74:V74"/>
    <mergeCell ref="Q60:V60"/>
    <mergeCell ref="Q61:V61"/>
    <mergeCell ref="V10:W10"/>
    <mergeCell ref="V11:W11"/>
    <mergeCell ref="V12:W12"/>
    <mergeCell ref="V13:W13"/>
    <mergeCell ref="V14:W14"/>
    <mergeCell ref="X28:X30"/>
    <mergeCell ref="Y28:Y30"/>
    <mergeCell ref="Q68:V68"/>
    <mergeCell ref="Q69:V69"/>
    <mergeCell ref="Q72:V72"/>
    <mergeCell ref="Q73:V73"/>
    <mergeCell ref="Q55:V55"/>
    <mergeCell ref="Q56:V56"/>
    <mergeCell ref="Q57:V57"/>
    <mergeCell ref="Q12:U12"/>
    <mergeCell ref="Q16:U16"/>
    <mergeCell ref="Q13:U13"/>
    <mergeCell ref="Q14:U14"/>
    <mergeCell ref="Q15:U15"/>
    <mergeCell ref="P51:X51"/>
    <mergeCell ref="O65:O70"/>
    <mergeCell ref="Q66:V66"/>
    <mergeCell ref="O59:O64"/>
    <mergeCell ref="Q62:V62"/>
    <mergeCell ref="Q63:V63"/>
    <mergeCell ref="Q85:V85"/>
    <mergeCell ref="Q86:V86"/>
    <mergeCell ref="O83:O88"/>
    <mergeCell ref="Q80:V80"/>
    <mergeCell ref="Q75:V75"/>
    <mergeCell ref="Q78:V78"/>
    <mergeCell ref="Q79:V79"/>
    <mergeCell ref="O71:O76"/>
    <mergeCell ref="O77:O82"/>
    <mergeCell ref="Q67:V67"/>
    <mergeCell ref="P60:P63"/>
    <mergeCell ref="P66:P69"/>
    <mergeCell ref="P72:P75"/>
    <mergeCell ref="P78:P81"/>
    <mergeCell ref="P84:P87"/>
    <mergeCell ref="AQ11:AS11"/>
    <mergeCell ref="AQ12:AS12"/>
    <mergeCell ref="AQ13:AS13"/>
    <mergeCell ref="AQ14:AS14"/>
    <mergeCell ref="AQ15:AS15"/>
    <mergeCell ref="AQ16:AS16"/>
    <mergeCell ref="AQ17:AS17"/>
    <mergeCell ref="Q84:V84"/>
    <mergeCell ref="AI15:AL15"/>
    <mergeCell ref="P41:AT41"/>
    <mergeCell ref="R43:S43"/>
    <mergeCell ref="AM12:AP12"/>
    <mergeCell ref="AM13:AP13"/>
    <mergeCell ref="AM14:AP14"/>
    <mergeCell ref="AA12:AD12"/>
    <mergeCell ref="AK44:AN44"/>
    <mergeCell ref="AK45:AN45"/>
    <mergeCell ref="Q44:S44"/>
    <mergeCell ref="AK46:AN46"/>
    <mergeCell ref="AK47:AN47"/>
    <mergeCell ref="V46:X46"/>
    <mergeCell ref="V47:X47"/>
    <mergeCell ref="Q46:S46"/>
    <mergeCell ref="Q54:V54"/>
    <mergeCell ref="P2:AZ2"/>
    <mergeCell ref="P4:AT4"/>
    <mergeCell ref="AU4:AW4"/>
    <mergeCell ref="P5:P6"/>
    <mergeCell ref="Q5:U6"/>
    <mergeCell ref="X5:X6"/>
    <mergeCell ref="Y5:Y6"/>
    <mergeCell ref="Z5:Z6"/>
    <mergeCell ref="AA5:AD5"/>
    <mergeCell ref="AA6:AD6"/>
    <mergeCell ref="AY6:AZ6"/>
    <mergeCell ref="AX4:AZ4"/>
    <mergeCell ref="AI6:AL6"/>
    <mergeCell ref="AT6:AU6"/>
    <mergeCell ref="AE5:AP5"/>
    <mergeCell ref="AE6:AH6"/>
    <mergeCell ref="AM6:AP6"/>
    <mergeCell ref="AT5:AZ5"/>
    <mergeCell ref="AQ5:AS6"/>
    <mergeCell ref="AV6:AX6"/>
    <mergeCell ref="V5:W6"/>
    <mergeCell ref="F10:H10"/>
    <mergeCell ref="Q8:U8"/>
    <mergeCell ref="Q7:U7"/>
    <mergeCell ref="AA7:AD7"/>
    <mergeCell ref="AA8:AD8"/>
    <mergeCell ref="AY7:AZ7"/>
    <mergeCell ref="AY8:AZ8"/>
    <mergeCell ref="AE7:AH7"/>
    <mergeCell ref="AE8:AH8"/>
    <mergeCell ref="AI7:AL7"/>
    <mergeCell ref="AI8:AL8"/>
    <mergeCell ref="AT8:AU8"/>
    <mergeCell ref="AT7:AU7"/>
    <mergeCell ref="AM7:AP7"/>
    <mergeCell ref="AM8:AP8"/>
    <mergeCell ref="AQ7:AS7"/>
    <mergeCell ref="AQ8:AS8"/>
    <mergeCell ref="AV7:AX7"/>
    <mergeCell ref="AV8:AX8"/>
    <mergeCell ref="V7:W7"/>
    <mergeCell ref="V8:W8"/>
    <mergeCell ref="AQ9:AS9"/>
    <mergeCell ref="AQ10:AS10"/>
    <mergeCell ref="AE9:AH9"/>
    <mergeCell ref="N4:N6"/>
    <mergeCell ref="Q10:U10"/>
    <mergeCell ref="Q11:U11"/>
    <mergeCell ref="Q9:U9"/>
    <mergeCell ref="AA9:AD9"/>
    <mergeCell ref="AA10:AD10"/>
    <mergeCell ref="AA11:AD11"/>
    <mergeCell ref="AY9:AZ9"/>
    <mergeCell ref="AY10:AZ10"/>
    <mergeCell ref="AY11:AZ11"/>
    <mergeCell ref="AT10:AU10"/>
    <mergeCell ref="AT11:AU11"/>
    <mergeCell ref="AE11:AH11"/>
    <mergeCell ref="AT9:AU9"/>
    <mergeCell ref="AI9:AL9"/>
    <mergeCell ref="AI10:AL10"/>
    <mergeCell ref="AI11:AL11"/>
    <mergeCell ref="AM9:AP9"/>
    <mergeCell ref="AM10:AP10"/>
    <mergeCell ref="AM11:AP11"/>
    <mergeCell ref="V9:W9"/>
    <mergeCell ref="AV9:AX9"/>
    <mergeCell ref="AV10:AX10"/>
    <mergeCell ref="AV11:AX11"/>
    <mergeCell ref="G24:I24"/>
    <mergeCell ref="Q18:U18"/>
    <mergeCell ref="AQ20:AZ20"/>
    <mergeCell ref="E24:F24"/>
    <mergeCell ref="AM17:AP17"/>
    <mergeCell ref="AM18:AP18"/>
    <mergeCell ref="AE17:AH17"/>
    <mergeCell ref="AV18:AX18"/>
    <mergeCell ref="V19:W19"/>
    <mergeCell ref="AV17:AX17"/>
    <mergeCell ref="AY17:AZ17"/>
    <mergeCell ref="AY18:AZ18"/>
    <mergeCell ref="AT18:AU18"/>
    <mergeCell ref="AQ18:AS18"/>
    <mergeCell ref="AT17:AU17"/>
    <mergeCell ref="Q17:U17"/>
    <mergeCell ref="AQ19:AS19"/>
    <mergeCell ref="AE18:AH18"/>
    <mergeCell ref="Y24:AM24"/>
    <mergeCell ref="Q24:U24"/>
    <mergeCell ref="AA22:AD22"/>
    <mergeCell ref="AE22:AH22"/>
    <mergeCell ref="AI22:AL22"/>
    <mergeCell ref="AM22:AP22"/>
    <mergeCell ref="AI17:AL17"/>
    <mergeCell ref="AI16:AL16"/>
    <mergeCell ref="AL99:AP99"/>
    <mergeCell ref="AQ98:AS98"/>
    <mergeCell ref="AD98:AF98"/>
    <mergeCell ref="AD99:AF99"/>
    <mergeCell ref="AB83:AE84"/>
    <mergeCell ref="AF83:AI84"/>
    <mergeCell ref="AJ83:AM84"/>
    <mergeCell ref="AN83:AQ84"/>
    <mergeCell ref="AR83:AU84"/>
    <mergeCell ref="AF87:AI88"/>
    <mergeCell ref="AJ87:AM88"/>
    <mergeCell ref="AN87:AQ88"/>
    <mergeCell ref="AR87:AU88"/>
    <mergeCell ref="AB87:AE88"/>
    <mergeCell ref="AB89:AE89"/>
    <mergeCell ref="AF89:AI89"/>
    <mergeCell ref="AJ89:AM89"/>
    <mergeCell ref="AU41:AW41"/>
    <mergeCell ref="AL98:AP98"/>
    <mergeCell ref="Z51:AZ51"/>
    <mergeCell ref="AQ97:AS97"/>
    <mergeCell ref="AL97:AP97"/>
    <mergeCell ref="X112:X113"/>
    <mergeCell ref="Q114:T114"/>
    <mergeCell ref="Y111:AC111"/>
    <mergeCell ref="Y112:AC113"/>
    <mergeCell ref="Y114:AC114"/>
    <mergeCell ref="Q111:T111"/>
    <mergeCell ref="T103:U103"/>
    <mergeCell ref="Q103:S103"/>
    <mergeCell ref="AE13:AH13"/>
    <mergeCell ref="AE14:AH14"/>
    <mergeCell ref="AE15:AH15"/>
    <mergeCell ref="AE16:AH16"/>
    <mergeCell ref="Q87:V87"/>
    <mergeCell ref="AA97:AC97"/>
    <mergeCell ref="W52:X52"/>
    <mergeCell ref="Q48:S48"/>
    <mergeCell ref="Q45:S45"/>
    <mergeCell ref="Q49:S49"/>
    <mergeCell ref="Q50:S50"/>
    <mergeCell ref="V50:X50"/>
    <mergeCell ref="V44:X44"/>
    <mergeCell ref="V48:X48"/>
    <mergeCell ref="V49:X49"/>
    <mergeCell ref="AA44:AG44"/>
    <mergeCell ref="AI103:AK103"/>
    <mergeCell ref="AQ100:AS100"/>
    <mergeCell ref="AQ101:AS101"/>
    <mergeCell ref="AQ102:AS102"/>
    <mergeCell ref="AQ103:AS103"/>
    <mergeCell ref="AT100:AV100"/>
    <mergeCell ref="AT101:AV101"/>
    <mergeCell ref="AT102:AV102"/>
    <mergeCell ref="AT103:AV103"/>
    <mergeCell ref="AI101:AK101"/>
    <mergeCell ref="AW102:AZ102"/>
    <mergeCell ref="AL100:AP100"/>
    <mergeCell ref="AL101:AP101"/>
    <mergeCell ref="AL102:AP102"/>
    <mergeCell ref="Y101:Z101"/>
    <mergeCell ref="AW97:AZ97"/>
    <mergeCell ref="AW98:AZ98"/>
    <mergeCell ref="AW99:AZ99"/>
    <mergeCell ref="AW100:AZ100"/>
    <mergeCell ref="AW101:AZ101"/>
    <mergeCell ref="AD97:AF97"/>
    <mergeCell ref="AI97:AK97"/>
    <mergeCell ref="AT97:AV97"/>
    <mergeCell ref="Y99:Z99"/>
    <mergeCell ref="Y100:Z100"/>
    <mergeCell ref="AI98:AK98"/>
    <mergeCell ref="P93:AZ93"/>
    <mergeCell ref="P94:AT94"/>
    <mergeCell ref="AT98:AV98"/>
    <mergeCell ref="AQ99:AS99"/>
    <mergeCell ref="AT99:AV99"/>
    <mergeCell ref="AA98:AC98"/>
    <mergeCell ref="AA99:AC99"/>
    <mergeCell ref="Q98:S98"/>
    <mergeCell ref="Y98:Z98"/>
    <mergeCell ref="Q99:S99"/>
    <mergeCell ref="Q115:T115"/>
    <mergeCell ref="Q132:T132"/>
    <mergeCell ref="Q133:T133"/>
    <mergeCell ref="Q120:T120"/>
    <mergeCell ref="Q129:T129"/>
    <mergeCell ref="Q121:T121"/>
    <mergeCell ref="Q122:T122"/>
    <mergeCell ref="Q97:S97"/>
    <mergeCell ref="T97:U97"/>
    <mergeCell ref="T98:U98"/>
    <mergeCell ref="T99:U99"/>
    <mergeCell ref="T100:U100"/>
    <mergeCell ref="T101:U101"/>
    <mergeCell ref="Q101:S101"/>
    <mergeCell ref="Q100:S100"/>
    <mergeCell ref="Q102:S102"/>
    <mergeCell ref="T102:U102"/>
    <mergeCell ref="Q108:T108"/>
    <mergeCell ref="Q109:T109"/>
    <mergeCell ref="Q110:T110"/>
    <mergeCell ref="T154:U154"/>
    <mergeCell ref="Y154:Z154"/>
    <mergeCell ref="AA154:AC154"/>
    <mergeCell ref="AD154:AF154"/>
    <mergeCell ref="AI154:AK154"/>
    <mergeCell ref="Q153:S153"/>
    <mergeCell ref="T153:U153"/>
    <mergeCell ref="O113:O118"/>
    <mergeCell ref="P114:P117"/>
    <mergeCell ref="O119:O124"/>
    <mergeCell ref="P120:P123"/>
    <mergeCell ref="P143:P144"/>
    <mergeCell ref="Q143:S144"/>
    <mergeCell ref="T143:U144"/>
    <mergeCell ref="Q123:T123"/>
    <mergeCell ref="Q126:T126"/>
    <mergeCell ref="Q127:T127"/>
    <mergeCell ref="O137:O142"/>
    <mergeCell ref="P138:P141"/>
    <mergeCell ref="O125:O130"/>
    <mergeCell ref="P126:P129"/>
    <mergeCell ref="O131:O136"/>
    <mergeCell ref="P132:P135"/>
    <mergeCell ref="Q128:T128"/>
    <mergeCell ref="AW158:AZ158"/>
    <mergeCell ref="Q158:S158"/>
    <mergeCell ref="T158:U158"/>
    <mergeCell ref="Y158:Z158"/>
    <mergeCell ref="AA158:AC158"/>
    <mergeCell ref="AD158:AF158"/>
    <mergeCell ref="AI158:AK158"/>
    <mergeCell ref="AL158:AP158"/>
    <mergeCell ref="Y153:Z153"/>
    <mergeCell ref="AA153:AC153"/>
    <mergeCell ref="AW153:AZ153"/>
    <mergeCell ref="AW154:AZ154"/>
    <mergeCell ref="AW155:AZ155"/>
    <mergeCell ref="AW156:AZ156"/>
    <mergeCell ref="Q155:S155"/>
    <mergeCell ref="T155:U155"/>
    <mergeCell ref="Y155:Z155"/>
    <mergeCell ref="AA155:AC155"/>
    <mergeCell ref="AD155:AF155"/>
    <mergeCell ref="AI155:AK155"/>
    <mergeCell ref="AL155:AP155"/>
    <mergeCell ref="AQ155:AS155"/>
    <mergeCell ref="AT155:AV155"/>
    <mergeCell ref="Q154:S154"/>
    <mergeCell ref="U160:X160"/>
    <mergeCell ref="P159:U159"/>
    <mergeCell ref="Q151:S151"/>
    <mergeCell ref="T151:U151"/>
    <mergeCell ref="P96:U96"/>
    <mergeCell ref="AW157:AZ157"/>
    <mergeCell ref="Q156:S156"/>
    <mergeCell ref="T156:U156"/>
    <mergeCell ref="Q157:S157"/>
    <mergeCell ref="T157:U157"/>
    <mergeCell ref="Y157:Z157"/>
    <mergeCell ref="AA157:AC157"/>
    <mergeCell ref="AD157:AF157"/>
    <mergeCell ref="AI157:AK157"/>
    <mergeCell ref="AL157:AP157"/>
    <mergeCell ref="AQ157:AS157"/>
    <mergeCell ref="AT157:AV157"/>
    <mergeCell ref="Y156:Z156"/>
    <mergeCell ref="AA156:AC156"/>
    <mergeCell ref="AD156:AF156"/>
    <mergeCell ref="AI156:AK156"/>
    <mergeCell ref="AL156:AP156"/>
    <mergeCell ref="AQ156:AS156"/>
    <mergeCell ref="AT156:AV156"/>
  </mergeCells>
  <phoneticPr fontId="55" type="noConversion"/>
  <conditionalFormatting sqref="P7:P18">
    <cfRule type="notContainsBlanks" dxfId="814" priority="265">
      <formula>LEN(TRIM(P7))&gt;0</formula>
    </cfRule>
  </conditionalFormatting>
  <conditionalFormatting sqref="AQ34:AU34">
    <cfRule type="expression" dxfId="813" priority="409">
      <formula>$AQ$34="總報酬率"</formula>
    </cfRule>
  </conditionalFormatting>
  <conditionalFormatting sqref="P148:AZ148">
    <cfRule type="expression" dxfId="812" priority="76">
      <formula>MF=2</formula>
    </cfRule>
  </conditionalFormatting>
  <conditionalFormatting sqref="Q7:U7">
    <cfRule type="expression" dxfId="811" priority="264">
      <formula>$N$7&lt;&gt;""</formula>
    </cfRule>
  </conditionalFormatting>
  <conditionalFormatting sqref="AV34:AZ34">
    <cfRule type="expression" dxfId="810" priority="18">
      <formula>$AQ$34="總報酬率"</formula>
    </cfRule>
    <cfRule type="cellIs" dxfId="809" priority="412" operator="lessThan">
      <formula>0</formula>
    </cfRule>
  </conditionalFormatting>
  <conditionalFormatting sqref="AV32:AV33">
    <cfRule type="cellIs" dxfId="808" priority="406" operator="lessThan">
      <formula>0</formula>
    </cfRule>
  </conditionalFormatting>
  <conditionalFormatting sqref="AV35">
    <cfRule type="cellIs" dxfId="807" priority="407" operator="lessThan">
      <formula>0</formula>
    </cfRule>
  </conditionalFormatting>
  <conditionalFormatting sqref="V48:X48">
    <cfRule type="expression" dxfId="806" priority="183">
      <formula>$V$48="不足最低申購面額"</formula>
    </cfRule>
  </conditionalFormatting>
  <conditionalFormatting sqref="Z45:AZ45">
    <cfRule type="expression" dxfId="805" priority="114">
      <formula>AND($U$44&lt;&gt;"",$Z$45=$U$44)</formula>
    </cfRule>
    <cfRule type="expression" dxfId="804" priority="115">
      <formula>$AA$45="無適合轉換債券標的"</formula>
    </cfRule>
  </conditionalFormatting>
  <conditionalFormatting sqref="Z46:AZ46">
    <cfRule type="expression" dxfId="803" priority="113">
      <formula>AND($U$44&lt;&gt;"",$Z$46=$U$44)</formula>
    </cfRule>
  </conditionalFormatting>
  <conditionalFormatting sqref="Z47:AZ47">
    <cfRule type="expression" dxfId="802" priority="112">
      <formula>AND($U$44&lt;&gt;"",$Z$47=$U$44)</formula>
    </cfRule>
  </conditionalFormatting>
  <conditionalFormatting sqref="Z48:AZ48">
    <cfRule type="expression" dxfId="801" priority="269">
      <formula>AND($U$44&lt;&gt;"",$Z$48=$U$44)</formula>
    </cfRule>
  </conditionalFormatting>
  <conditionalFormatting sqref="Z49:AZ49">
    <cfRule type="expression" dxfId="800" priority="110">
      <formula>AND($U$44&lt;&gt;"",$Z$49=$U$44)</formula>
    </cfRule>
  </conditionalFormatting>
  <conditionalFormatting sqref="Z50:AZ50">
    <cfRule type="expression" dxfId="799" priority="109">
      <formula>AND($U$44&lt;&gt;"",$Z$50=$U$44)</formula>
    </cfRule>
  </conditionalFormatting>
  <conditionalFormatting sqref="AI19">
    <cfRule type="expression" dxfId="798" priority="694">
      <formula>FIND("-",$AI$19)</formula>
    </cfRule>
  </conditionalFormatting>
  <conditionalFormatting sqref="AM19">
    <cfRule type="expression" dxfId="797" priority="695">
      <formula>FIND("-",$AM$19)</formula>
    </cfRule>
  </conditionalFormatting>
  <conditionalFormatting sqref="AQ7:AQ18 AN20:AT20">
    <cfRule type="cellIs" dxfId="796" priority="415" operator="lessThan">
      <formula>0</formula>
    </cfRule>
  </conditionalFormatting>
  <conditionalFormatting sqref="AR87">
    <cfRule type="expression" dxfId="795" priority="188">
      <formula>FIND("-",$AR$87)</formula>
    </cfRule>
  </conditionalFormatting>
  <conditionalFormatting sqref="AR89:AU89">
    <cfRule type="expression" dxfId="794" priority="186">
      <formula>FIND("-",$AR$89)</formula>
    </cfRule>
  </conditionalFormatting>
  <conditionalFormatting sqref="AV87">
    <cfRule type="expression" dxfId="793" priority="187">
      <formula>FIND("-",$AV$87)</formula>
    </cfRule>
  </conditionalFormatting>
  <conditionalFormatting sqref="AV89:AY89">
    <cfRule type="expression" dxfId="792" priority="185">
      <formula>FIND("-",$AV$89)</formula>
    </cfRule>
  </conditionalFormatting>
  <conditionalFormatting sqref="AZ19">
    <cfRule type="cellIs" dxfId="791" priority="414" operator="lessThan">
      <formula>0</formula>
    </cfRule>
  </conditionalFormatting>
  <conditionalFormatting sqref="X14">
    <cfRule type="expression" dxfId="790" priority="703">
      <formula>$BM$14</formula>
    </cfRule>
  </conditionalFormatting>
  <conditionalFormatting sqref="X15">
    <cfRule type="expression" dxfId="789" priority="704">
      <formula>$BM$15</formula>
    </cfRule>
  </conditionalFormatting>
  <conditionalFormatting sqref="X16">
    <cfRule type="expression" dxfId="788" priority="705">
      <formula>$BM$16</formula>
    </cfRule>
  </conditionalFormatting>
  <conditionalFormatting sqref="X17">
    <cfRule type="expression" dxfId="787" priority="706">
      <formula>$BM$17</formula>
    </cfRule>
  </conditionalFormatting>
  <conditionalFormatting sqref="X18">
    <cfRule type="expression" dxfId="786" priority="707">
      <formula>$BM$18</formula>
    </cfRule>
  </conditionalFormatting>
  <conditionalFormatting sqref="Y14">
    <cfRule type="expression" dxfId="785" priority="715">
      <formula>$BN$14</formula>
    </cfRule>
  </conditionalFormatting>
  <conditionalFormatting sqref="Y15">
    <cfRule type="expression" dxfId="784" priority="716">
      <formula>$BN$15</formula>
    </cfRule>
  </conditionalFormatting>
  <conditionalFormatting sqref="Y16">
    <cfRule type="expression" dxfId="783" priority="717">
      <formula>$BN$16</formula>
    </cfRule>
  </conditionalFormatting>
  <conditionalFormatting sqref="Y17">
    <cfRule type="expression" dxfId="782" priority="718">
      <formula>$BN$17</formula>
    </cfRule>
  </conditionalFormatting>
  <conditionalFormatting sqref="Y18">
    <cfRule type="expression" dxfId="781" priority="719">
      <formula>$BN$18</formula>
    </cfRule>
  </conditionalFormatting>
  <conditionalFormatting sqref="AR172">
    <cfRule type="expression" dxfId="780" priority="720">
      <formula>FIND("-",$AR$172)</formula>
    </cfRule>
  </conditionalFormatting>
  <conditionalFormatting sqref="AR173">
    <cfRule type="expression" dxfId="779" priority="722">
      <formula>FIND("-",$AR$173)</formula>
    </cfRule>
  </conditionalFormatting>
  <conditionalFormatting sqref="AV172">
    <cfRule type="expression" dxfId="778" priority="723">
      <formula>FIND("-",$AV$172)</formula>
    </cfRule>
  </conditionalFormatting>
  <conditionalFormatting sqref="AV173">
    <cfRule type="expression" dxfId="777" priority="725">
      <formula>FIND("-",$AV$173)</formula>
    </cfRule>
  </conditionalFormatting>
  <conditionalFormatting sqref="X111:AZ111">
    <cfRule type="expression" dxfId="776" priority="44">
      <formula>$Y$111="無適合轉換債券標的"</formula>
    </cfRule>
  </conditionalFormatting>
  <conditionalFormatting sqref="X7">
    <cfRule type="expression" dxfId="775" priority="31">
      <formula>$BM$7</formula>
    </cfRule>
  </conditionalFormatting>
  <conditionalFormatting sqref="Y7">
    <cfRule type="expression" dxfId="774" priority="32">
      <formula>$BN$7</formula>
    </cfRule>
  </conditionalFormatting>
  <conditionalFormatting sqref="X8">
    <cfRule type="expression" dxfId="773" priority="29">
      <formula>$BM$8</formula>
    </cfRule>
  </conditionalFormatting>
  <conditionalFormatting sqref="Y8">
    <cfRule type="expression" dxfId="772" priority="30">
      <formula>$BN$8</formula>
    </cfRule>
  </conditionalFormatting>
  <conditionalFormatting sqref="X9">
    <cfRule type="expression" dxfId="771" priority="27">
      <formula>$BM$9</formula>
    </cfRule>
  </conditionalFormatting>
  <conditionalFormatting sqref="Y9">
    <cfRule type="expression" dxfId="770" priority="28">
      <formula>$BN$9</formula>
    </cfRule>
  </conditionalFormatting>
  <conditionalFormatting sqref="X10">
    <cfRule type="expression" dxfId="769" priority="25">
      <formula>$BM$10</formula>
    </cfRule>
  </conditionalFormatting>
  <conditionalFormatting sqref="Y10">
    <cfRule type="expression" dxfId="768" priority="26">
      <formula>$BN$10</formula>
    </cfRule>
  </conditionalFormatting>
  <conditionalFormatting sqref="X11">
    <cfRule type="expression" dxfId="767" priority="23">
      <formula>$BM$11</formula>
    </cfRule>
  </conditionalFormatting>
  <conditionalFormatting sqref="Y11">
    <cfRule type="expression" dxfId="766" priority="24">
      <formula>$BN$11</formula>
    </cfRule>
  </conditionalFormatting>
  <conditionalFormatting sqref="X12">
    <cfRule type="expression" dxfId="765" priority="21">
      <formula>$BM$12</formula>
    </cfRule>
  </conditionalFormatting>
  <conditionalFormatting sqref="Y12">
    <cfRule type="expression" dxfId="764" priority="22">
      <formula>$BN$12</formula>
    </cfRule>
  </conditionalFormatting>
  <conditionalFormatting sqref="X13">
    <cfRule type="expression" dxfId="763" priority="19">
      <formula>$BM$13</formula>
    </cfRule>
  </conditionalFormatting>
  <conditionalFormatting sqref="Y13">
    <cfRule type="expression" dxfId="762" priority="20">
      <formula>$BN$13</formula>
    </cfRule>
  </conditionalFormatting>
  <conditionalFormatting sqref="AQ35:AU35">
    <cfRule type="expression" dxfId="761" priority="822">
      <formula>$AV$35&lt;&gt;""</formula>
    </cfRule>
  </conditionalFormatting>
  <conditionalFormatting sqref="AV35:AZ35">
    <cfRule type="expression" dxfId="760" priority="410">
      <formula>$AQ$35&lt;&gt;""</formula>
    </cfRule>
  </conditionalFormatting>
  <conditionalFormatting sqref="Q8:U8">
    <cfRule type="expression" dxfId="759" priority="14">
      <formula>$N$8&lt;&gt;""</formula>
    </cfRule>
  </conditionalFormatting>
  <conditionalFormatting sqref="Q9:U16">
    <cfRule type="expression" dxfId="758" priority="13">
      <formula>$N$9&lt;&gt;""</formula>
    </cfRule>
  </conditionalFormatting>
  <conditionalFormatting sqref="Q17:U17">
    <cfRule type="expression" dxfId="757" priority="5">
      <formula>$N$17&lt;&gt;""</formula>
    </cfRule>
  </conditionalFormatting>
  <conditionalFormatting sqref="Q18:U18">
    <cfRule type="expression" dxfId="756" priority="4">
      <formula>$N$18&lt;&gt;""</formula>
    </cfRule>
  </conditionalFormatting>
  <conditionalFormatting sqref="Q19:AS19">
    <cfRule type="expression" dxfId="755" priority="2">
      <formula>$V$22="總計"</formula>
    </cfRule>
  </conditionalFormatting>
  <conditionalFormatting sqref="X98:AF98">
    <cfRule type="expression" dxfId="754" priority="1">
      <formula>$Y$98="限美元計價標的轉換"</formula>
    </cfRule>
  </conditionalFormatting>
  <dataValidations count="5">
    <dataValidation errorStyle="information" allowBlank="1" showInputMessage="1" showErrorMessage="1" errorTitle="無適合轉換債券清單" error="無適合轉換債券，請自行輸入轉換債券標的" sqref="P44 P152 P97" xr:uid="{00000000-0002-0000-0500-000000000000}"/>
    <dataValidation allowBlank="1" showDropDown="1" showInputMessage="1" showErrorMessage="1" sqref="T152 T97" xr:uid="{00000000-0002-0000-0500-000001000000}"/>
    <dataValidation type="custom" operator="greaterThanOrEqual" allowBlank="1" showInputMessage="1" showErrorMessage="1" errorTitle="確認買進日期" error="請輸入「YYYYMMDD」日期格式，且買進日期應晚於發行日_x000a__x000a_" sqref="X7:X18" xr:uid="{00000000-0002-0000-0500-000002000000}">
      <formula1>AND(BI7&gt;=BJ7,LEN(X7)=8)</formula1>
    </dataValidation>
    <dataValidation type="custom" operator="greaterThanOrEqual" allowBlank="1" showInputMessage="1" showErrorMessage="1" errorTitle="投資面額待確認" error="不符合最低申購面額或最低增額要求，請重新輸入！_x000a_" sqref="Y18 Y15:Y16 Y7:Y13" xr:uid="{00000000-0002-0000-0500-000003000000}">
      <formula1>AND(Y7&gt;=BK7,MOD(Y7,BL7)=0)</formula1>
    </dataValidation>
    <dataValidation type="custom" operator="greaterThanOrEqual" allowBlank="1" showInputMessage="1" showErrorMessage="1" errorTitle="投資面額待確認" error="不符合最低申購面額或最低增額要求，請重新輸入！_x000a__x000a_" sqref="Y17 Y14" xr:uid="{00000000-0002-0000-0500-000004000000}">
      <formula1>AND(Y14&gt;=BK14,MOD(Y14,BL14)=0)</formula1>
    </dataValidation>
  </dataValidations>
  <printOptions horizontalCentered="1"/>
  <pageMargins left="3.937007874015748E-2" right="3.937007874015748E-2" top="0.39370078740157483" bottom="0.39370078740157483" header="0.31496062992125984" footer="0.31496062992125984"/>
  <pageSetup paperSize="9" scale="45" fitToHeight="0" orientation="landscape" r:id="rId1"/>
  <rowBreaks count="3" manualBreakCount="3">
    <brk id="39" min="14" max="52" man="1"/>
    <brk id="92" min="14" max="52" man="1"/>
    <brk id="147" min="14" max="52" man="1"/>
  </rowBreaks>
  <ignoredErrors>
    <ignoredError sqref="Q55:Q56 Q61:Q62 Q67:Q68 Q73:Q74 Q79:Q80 Q85:Q86" formula="1"/>
    <ignoredError sqref="X98:X102 X103" unlockedFormula="1"/>
    <ignoredError sqref="BI7 AW7:AX7" evalError="1"/>
  </ignoredErrors>
  <drawing r:id="rId2"/>
  <extLst>
    <ext xmlns:x14="http://schemas.microsoft.com/office/spreadsheetml/2009/9/main" uri="{78C0D931-6437-407d-A8EE-F0AAD7539E65}">
      <x14:conditionalFormattings>
        <x14:conditionalFormatting xmlns:xm="http://schemas.microsoft.com/office/excel/2006/main">
          <x14:cfRule type="dataBar" priority="413" id="{2DBA5BD7-4B2D-4EB3-BEEB-9EFE4BAA1BC6}">
            <x14:dataBar minLength="0" maxLength="100" showValue="0" gradient="0">
              <x14:cfvo type="formula">
                <xm:f>庫存管理_中繼頁!$BO$2</xm:f>
              </x14:cfvo>
              <x14:cfvo type="formula">
                <xm:f>庫存管理_中繼頁!$BO$1</xm:f>
              </x14:cfvo>
              <x14:fillColor rgb="FF297D6B"/>
              <x14:negativeFillColor rgb="FFFF7575"/>
              <x14:axisColor rgb="FF000000"/>
            </x14:dataBar>
          </x14:cfRule>
          <xm:sqref>AV7:AV18</xm:sqref>
        </x14:conditionalFormatting>
        <x14:conditionalFormatting xmlns:xm="http://schemas.microsoft.com/office/excel/2006/main">
          <x14:cfRule type="expression" priority="39" id="{DCE7D439-6F5C-4F64-89A1-9864D12EE30A}">
            <xm:f>AND($X$111&lt;&gt;"",FIND($X$111,換券投組!$AE$62)&gt;=1)</xm:f>
            <x14:dxf>
              <fill>
                <patternFill>
                  <bgColor rgb="FFEEF5F4"/>
                </patternFill>
              </fill>
            </x14:dxf>
          </x14:cfRule>
          <xm:sqref>X111:AZ111</xm:sqref>
        </x14:conditionalFormatting>
        <x14:conditionalFormatting xmlns:xm="http://schemas.microsoft.com/office/excel/2006/main">
          <x14:cfRule type="expression" priority="294" id="{9D2BC8E6-6268-4731-AB62-45AF3E8AD1EE}">
            <xm:f>換券單檔!$D$29=換券單檔!$E$29</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295" id="{453FCA93-698E-49D0-AE46-D7B40901397A}">
            <xm:f>換券單檔!$D$29&lt;換券單檔!$E$29</xm:f>
            <x14:dxf>
              <fill>
                <patternFill>
                  <bgColor rgb="FF297D6B"/>
                </patternFill>
              </fill>
            </x14:dxf>
          </x14:cfRule>
          <x14:cfRule type="expression" priority="296" id="{CAF91807-7F54-43A4-9E29-3D6DF3EDC580}">
            <xm:f>換券單檔!$D$29&gt;換券單檔!$E$29</xm:f>
            <x14:dxf>
              <fill>
                <patternFill>
                  <bgColor rgb="FFBFBFBF"/>
                </patternFill>
              </fill>
            </x14:dxf>
          </x14:cfRule>
          <xm:sqref>O53:O58</xm:sqref>
        </x14:conditionalFormatting>
        <x14:conditionalFormatting xmlns:xm="http://schemas.microsoft.com/office/excel/2006/main">
          <x14:cfRule type="expression" priority="291" id="{7797F499-A08F-45FE-A52C-922A4BEA7571}">
            <xm:f>換券單檔!$D$30=換券單檔!$E$30</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292" id="{3AEF6141-51E9-41FE-8A8B-35C023060522}">
            <xm:f>換券單檔!$D$30&lt;換券單檔!$E$30</xm:f>
            <x14:dxf>
              <fill>
                <patternFill>
                  <bgColor rgb="FF297D6B"/>
                </patternFill>
              </fill>
            </x14:dxf>
          </x14:cfRule>
          <x14:cfRule type="expression" priority="293" id="{F38B2359-4192-4B1E-BE9B-656FACB5D7EE}">
            <xm:f>換券單檔!$D$30&gt;換券單檔!$E$30</xm:f>
            <x14:dxf>
              <fill>
                <patternFill>
                  <bgColor rgb="FFBFBFBF"/>
                </patternFill>
              </fill>
            </x14:dxf>
          </x14:cfRule>
          <xm:sqref>O59:O64</xm:sqref>
        </x14:conditionalFormatting>
        <x14:conditionalFormatting xmlns:xm="http://schemas.microsoft.com/office/excel/2006/main">
          <x14:cfRule type="expression" priority="288" id="{A117B712-1CB8-4FA1-9874-E554082F2918}">
            <xm:f>換券單檔!$D$31=換券單檔!$E$31</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289" id="{C4836226-00A2-4589-B234-D80E1E17AAA5}">
            <xm:f>換券單檔!$D$31&lt;換券單檔!$E$31</xm:f>
            <x14:dxf>
              <fill>
                <patternFill>
                  <bgColor rgb="FF297D6B"/>
                </patternFill>
              </fill>
            </x14:dxf>
          </x14:cfRule>
          <x14:cfRule type="expression" priority="290" id="{0E10C68F-B91A-41FE-BF4E-EB1186B9C9D8}">
            <xm:f>換券單檔!$D$31&gt;換券單檔!$E$31</xm:f>
            <x14:dxf>
              <fill>
                <patternFill>
                  <bgColor rgb="FFBFBFBF"/>
                </patternFill>
              </fill>
            </x14:dxf>
          </x14:cfRule>
          <xm:sqref>O65:O70</xm:sqref>
        </x14:conditionalFormatting>
        <x14:conditionalFormatting xmlns:xm="http://schemas.microsoft.com/office/excel/2006/main">
          <x14:cfRule type="expression" priority="285" id="{C9C66D66-5F74-44CF-BB94-C9BB5499F840}">
            <xm:f>換券單檔!$D$32=換券單檔!$E$32</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286" id="{832F5377-C2FE-4130-BA8F-60E1981C52A9}">
            <xm:f>換券單檔!$D$32&lt;換券單檔!$E$32</xm:f>
            <x14:dxf>
              <fill>
                <patternFill>
                  <bgColor rgb="FF297D6B"/>
                </patternFill>
              </fill>
            </x14:dxf>
          </x14:cfRule>
          <x14:cfRule type="expression" priority="287" id="{882FAE7D-B483-465A-B99F-E8D68C7CE511}">
            <xm:f>換券單檔!$D$32&gt;換券單檔!$E$32</xm:f>
            <x14:dxf>
              <fill>
                <patternFill>
                  <bgColor rgb="FFBFBFBF"/>
                </patternFill>
              </fill>
            </x14:dxf>
          </x14:cfRule>
          <xm:sqref>O71:O76</xm:sqref>
        </x14:conditionalFormatting>
        <x14:conditionalFormatting xmlns:xm="http://schemas.microsoft.com/office/excel/2006/main">
          <x14:cfRule type="expression" priority="282" id="{09D47E8F-367D-4266-ADC5-4C234C5A78F8}">
            <xm:f>換券單檔!$D$33=換券單檔!$E$33</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283" id="{AF984511-03B7-4EB1-A025-CAAEEBE3AF2C}">
            <xm:f>換券單檔!$D$33&lt;換券單檔!$E$33</xm:f>
            <x14:dxf>
              <fill>
                <patternFill>
                  <bgColor rgb="FF297D6B"/>
                </patternFill>
              </fill>
            </x14:dxf>
          </x14:cfRule>
          <x14:cfRule type="expression" priority="284" id="{8656CF1C-408B-4CFF-952B-C09D78FED550}">
            <xm:f>換券單檔!$D$33&gt;換券單檔!$E$33</xm:f>
            <x14:dxf>
              <fill>
                <patternFill>
                  <bgColor rgb="FFBFBFBF"/>
                </patternFill>
              </fill>
            </x14:dxf>
          </x14:cfRule>
          <xm:sqref>O77:O82</xm:sqref>
        </x14:conditionalFormatting>
        <x14:conditionalFormatting xmlns:xm="http://schemas.microsoft.com/office/excel/2006/main">
          <x14:cfRule type="expression" priority="279" id="{30DD9705-61E8-47BE-B072-8E03123735EA}">
            <xm:f>換券單檔!$D$35=換券單檔!$E$35</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280" id="{CA507D6E-7E21-405C-8AA5-93C2B1740D30}">
            <xm:f>換券單檔!$D$35&lt;換券單檔!$E$35</xm:f>
            <x14:dxf>
              <fill>
                <patternFill>
                  <bgColor rgb="FF297D6B"/>
                </patternFill>
              </fill>
            </x14:dxf>
          </x14:cfRule>
          <x14:cfRule type="expression" priority="281" id="{43C3CEA3-487A-478B-9497-5C4543C7568A}">
            <xm:f>換券單檔!$D$35&gt;換券單檔!$E$35</xm:f>
            <x14:dxf>
              <fill>
                <patternFill>
                  <bgColor rgb="FFBFBFBF"/>
                </patternFill>
              </fill>
            </x14:dxf>
          </x14:cfRule>
          <xm:sqref>O83:O88</xm:sqref>
        </x14:conditionalFormatting>
        <x14:conditionalFormatting xmlns:xm="http://schemas.microsoft.com/office/excel/2006/main">
          <x14:cfRule type="expression" priority="168" id="{F0BD7B11-25DB-4AC8-AD7F-63FE3B89F538}">
            <xm:f>換券投組!$D$29=換券投組!$E$29</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169" id="{3C5100F3-9BBD-4740-AC75-1BB876DD0B6E}">
            <xm:f>換券投組!$D$29&lt;換券投組!$E$29</xm:f>
            <x14:dxf>
              <fill>
                <patternFill>
                  <bgColor rgb="FF297D6B"/>
                </patternFill>
              </fill>
            </x14:dxf>
          </x14:cfRule>
          <x14:cfRule type="expression" priority="170" id="{EFBFAFE6-9F76-4FBE-B883-C050CA533FAF}">
            <xm:f>換券投組!$D$29&gt;換券投組!$E$29</xm:f>
            <x14:dxf>
              <fill>
                <patternFill>
                  <bgColor rgb="FFBFBFBF"/>
                </patternFill>
              </fill>
            </x14:dxf>
          </x14:cfRule>
          <xm:sqref>O107:O112</xm:sqref>
        </x14:conditionalFormatting>
        <x14:conditionalFormatting xmlns:xm="http://schemas.microsoft.com/office/excel/2006/main">
          <x14:cfRule type="expression" priority="165" id="{C51308BB-F01B-4D8A-88AF-5C011946D6D8}">
            <xm:f>換券投組!$D$30=換券投組!$E$30</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166" id="{D1802C3B-1A49-48F4-8FBD-150FDB18DF58}">
            <xm:f>換券投組!$D$30&lt;換券投組!$E$30</xm:f>
            <x14:dxf>
              <fill>
                <patternFill>
                  <bgColor rgb="FF297D6B"/>
                </patternFill>
              </fill>
            </x14:dxf>
          </x14:cfRule>
          <x14:cfRule type="expression" priority="167" id="{FC865015-7AFB-4DA2-9153-78C5F421416A}">
            <xm:f>換券投組!$D$30&gt;換券投組!$E$30</xm:f>
            <x14:dxf>
              <fill>
                <patternFill>
                  <bgColor rgb="FFBFBFBF"/>
                </patternFill>
              </fill>
            </x14:dxf>
          </x14:cfRule>
          <xm:sqref>O113:O118</xm:sqref>
        </x14:conditionalFormatting>
        <x14:conditionalFormatting xmlns:xm="http://schemas.microsoft.com/office/excel/2006/main">
          <x14:cfRule type="expression" priority="162" id="{83230265-C325-4CD7-88F0-90C4EE00456D}">
            <xm:f>換券投組!$D$31=換券投組!$E$31</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163" id="{9A1D980F-16B7-437B-A54C-054DAD3D3A24}">
            <xm:f>換券投組!$D$31&lt;換券投組!$E$31</xm:f>
            <x14:dxf>
              <fill>
                <patternFill>
                  <bgColor rgb="FF297D6B"/>
                </patternFill>
              </fill>
            </x14:dxf>
          </x14:cfRule>
          <x14:cfRule type="expression" priority="164" id="{5D1D8C6C-CE81-4ACF-9D4D-A2C7128E1A23}">
            <xm:f>換券投組!$D$31&gt;換券投組!$E$31</xm:f>
            <x14:dxf>
              <fill>
                <patternFill>
                  <bgColor rgb="FFBFBFBF"/>
                </patternFill>
              </fill>
            </x14:dxf>
          </x14:cfRule>
          <xm:sqref>O119:O124</xm:sqref>
        </x14:conditionalFormatting>
        <x14:conditionalFormatting xmlns:xm="http://schemas.microsoft.com/office/excel/2006/main">
          <x14:cfRule type="expression" priority="159" id="{5D8F830D-F570-44DA-AC8E-890B1A81BB17}">
            <xm:f>換券投組!$D$32=換券投組!$E$32</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160" id="{0C502EE7-540E-40AB-822C-8CF4185ADC82}">
            <xm:f>換券投組!$D$32&lt;換券投組!$E$32</xm:f>
            <x14:dxf>
              <fill>
                <patternFill>
                  <bgColor rgb="FF297D6B"/>
                </patternFill>
              </fill>
            </x14:dxf>
          </x14:cfRule>
          <x14:cfRule type="expression" priority="161" id="{4879E888-1010-4167-91A4-379F2D1B36F9}">
            <xm:f>換券投組!$D$32&gt;換券投組!$E$32</xm:f>
            <x14:dxf>
              <fill>
                <patternFill>
                  <bgColor rgb="FFBFBFBF"/>
                </patternFill>
              </fill>
            </x14:dxf>
          </x14:cfRule>
          <xm:sqref>O125:O130</xm:sqref>
        </x14:conditionalFormatting>
        <x14:conditionalFormatting xmlns:xm="http://schemas.microsoft.com/office/excel/2006/main">
          <x14:cfRule type="expression" priority="156" id="{DD6AFE78-13EC-4A8B-B48B-15A13F3B1C78}">
            <xm:f>換券投組!$D$33=換券投組!$E$33</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157" id="{35D9F476-6DB1-4A0D-94B3-42C51F996B6E}">
            <xm:f>換券投組!$D$33&lt;換券投組!$E$33</xm:f>
            <x14:dxf>
              <fill>
                <patternFill>
                  <bgColor rgb="FF297D6B"/>
                </patternFill>
              </fill>
            </x14:dxf>
          </x14:cfRule>
          <x14:cfRule type="expression" priority="158" id="{51813BBA-03B3-4B63-B15E-A43790020670}">
            <xm:f>換券投組!$D$33&gt;換券投組!$E$33</xm:f>
            <x14:dxf>
              <fill>
                <patternFill>
                  <bgColor rgb="FFBFBFBF"/>
                </patternFill>
              </fill>
            </x14:dxf>
          </x14:cfRule>
          <xm:sqref>O131:O136</xm:sqref>
        </x14:conditionalFormatting>
        <x14:conditionalFormatting xmlns:xm="http://schemas.microsoft.com/office/excel/2006/main">
          <x14:cfRule type="expression" priority="273" id="{2251DA3C-C99D-4DB5-BDB9-DFC7CAA9AE5F}">
            <xm:f>'2_Check_code'!$C$77=FALSE</xm:f>
            <x14:dxf>
              <font>
                <b/>
                <i val="0"/>
                <color rgb="FFFF0000"/>
              </font>
            </x14:dxf>
          </x14:cfRule>
          <xm:sqref>P44</xm:sqref>
        </x14:conditionalFormatting>
        <x14:conditionalFormatting xmlns:xm="http://schemas.microsoft.com/office/excel/2006/main">
          <x14:cfRule type="expression" priority="151" id="{3D5D6CAC-25EB-43A6-9BA8-CF090D73B3B9}">
            <xm:f>'2_Check_code'!$C$77=FALSE</xm:f>
            <x14:dxf>
              <font>
                <b/>
                <i val="0"/>
                <color rgb="FFFF0000"/>
              </font>
            </x14:dxf>
          </x14:cfRule>
          <xm:sqref>P97</xm:sqref>
        </x14:conditionalFormatting>
        <x14:conditionalFormatting xmlns:xm="http://schemas.microsoft.com/office/excel/2006/main">
          <x14:cfRule type="expression" priority="77" id="{2B913ED9-9ECB-4DDF-B9D5-D9DE152557D2}">
            <xm:f>'2_Check_code'!$C$77=FALSE</xm:f>
            <x14:dxf>
              <font>
                <b/>
                <i val="0"/>
                <color rgb="FFFF0000"/>
              </font>
            </x14:dxf>
          </x14:cfRule>
          <xm:sqref>P152</xm:sqref>
        </x14:conditionalFormatting>
        <x14:conditionalFormatting xmlns:xm="http://schemas.microsoft.com/office/excel/2006/main">
          <x14:cfRule type="dataBar" priority="691" id="{5EBDC9EF-08DF-4F51-837E-9C8A92E296DE}">
            <x14:dataBar minLength="0" maxLength="100" showValue="0" border="1">
              <x14:cfvo type="autoMin"/>
              <x14:cfvo type="formula">
                <xm:f>換券單檔!$F$29</xm:f>
              </x14:cfvo>
              <x14:fillColor theme="0" tint="-0.249977111117893"/>
              <x14:borderColor theme="0"/>
              <x14:negativeFillColor rgb="FFFF0000"/>
              <x14:axisColor rgb="FF000000"/>
            </x14:dataBar>
          </x14:cfRule>
          <xm:sqref>Q54:Q55</xm:sqref>
        </x14:conditionalFormatting>
        <x14:conditionalFormatting xmlns:xm="http://schemas.microsoft.com/office/excel/2006/main">
          <x14:cfRule type="dataBar" priority="692" id="{A1E870D1-0AED-4F20-9F1E-4B4863304348}">
            <x14:dataBar minLength="0" maxLength="100" showValue="0" border="1" gradient="0">
              <x14:cfvo type="autoMin"/>
              <x14:cfvo type="formula">
                <xm:f>換券單檔!$F$29</xm:f>
              </x14:cfvo>
              <x14:fillColor rgb="FF297D6B"/>
              <x14:borderColor theme="0"/>
              <x14:negativeFillColor rgb="FFFF0000"/>
              <x14:axisColor rgb="FF000000"/>
            </x14:dataBar>
          </x14:cfRule>
          <xm:sqref>Q56:Q59</xm:sqref>
        </x14:conditionalFormatting>
        <x14:conditionalFormatting xmlns:xm="http://schemas.microsoft.com/office/excel/2006/main">
          <x14:cfRule type="dataBar" priority="651" id="{0226769C-2853-4F2B-A3C6-B171EBEBEE09}">
            <x14:dataBar minLength="0" maxLength="100" showValue="0" border="1">
              <x14:cfvo type="autoMin"/>
              <x14:cfvo type="formula">
                <xm:f>換券單檔!$F$30</xm:f>
              </x14:cfvo>
              <x14:fillColor theme="0" tint="-0.249977111117893"/>
              <x14:borderColor theme="0"/>
              <x14:negativeFillColor rgb="FFFF0000"/>
              <x14:axisColor rgb="FF000000"/>
            </x14:dataBar>
          </x14:cfRule>
          <xm:sqref>Q60:Q61</xm:sqref>
        </x14:conditionalFormatting>
        <x14:conditionalFormatting xmlns:xm="http://schemas.microsoft.com/office/excel/2006/main">
          <x14:cfRule type="dataBar" priority="675" id="{200EC332-F7EB-46E1-82DF-BC417BDA058B}">
            <x14:dataBar minLength="0" maxLength="100" showValue="0" border="1" gradient="0">
              <x14:cfvo type="autoMin"/>
              <x14:cfvo type="formula">
                <xm:f>換券單檔!$F$30</xm:f>
              </x14:cfvo>
              <x14:fillColor rgb="FF297D6B"/>
              <x14:borderColor theme="0"/>
              <x14:negativeFillColor rgb="FFFF0000"/>
              <x14:axisColor rgb="FF000000"/>
            </x14:dataBar>
          </x14:cfRule>
          <xm:sqref>Q62:Q65</xm:sqref>
        </x14:conditionalFormatting>
        <x14:conditionalFormatting xmlns:xm="http://schemas.microsoft.com/office/excel/2006/main">
          <x14:cfRule type="dataBar" priority="657" id="{456F7E8C-6EBE-4590-B83C-FD12E4872E91}">
            <x14:dataBar minLength="0" maxLength="100" showValue="0" border="1">
              <x14:cfvo type="autoMin"/>
              <x14:cfvo type="formula">
                <xm:f>換券單檔!$F$31</xm:f>
              </x14:cfvo>
              <x14:fillColor theme="0" tint="-0.249977111117893"/>
              <x14:borderColor theme="0"/>
              <x14:negativeFillColor rgb="FFFF0000"/>
              <x14:axisColor rgb="FF000000"/>
            </x14:dataBar>
          </x14:cfRule>
          <xm:sqref>Q66:Q67</xm:sqref>
        </x14:conditionalFormatting>
        <x14:conditionalFormatting xmlns:xm="http://schemas.microsoft.com/office/excel/2006/main">
          <x14:cfRule type="dataBar" priority="679" id="{3B766FE3-7FD8-46ED-975A-03BF57261AE5}">
            <x14:dataBar minLength="0" maxLength="100" showValue="0" border="1" gradient="0">
              <x14:cfvo type="autoMin"/>
              <x14:cfvo type="formula">
                <xm:f>換券單檔!$F$31</xm:f>
              </x14:cfvo>
              <x14:fillColor rgb="FF297D6B"/>
              <x14:borderColor theme="0"/>
              <x14:negativeFillColor rgb="FFFF0000"/>
              <x14:axisColor rgb="FF000000"/>
            </x14:dataBar>
          </x14:cfRule>
          <xm:sqref>Q68:Q71</xm:sqref>
        </x14:conditionalFormatting>
        <x14:conditionalFormatting xmlns:xm="http://schemas.microsoft.com/office/excel/2006/main">
          <x14:cfRule type="dataBar" priority="663" id="{35B2D452-1755-4930-9D28-2B2543B2954D}">
            <x14:dataBar minLength="0" maxLength="100" showValue="0" border="1">
              <x14:cfvo type="autoMin"/>
              <x14:cfvo type="formula">
                <xm:f>換券單檔!$F$32</xm:f>
              </x14:cfvo>
              <x14:fillColor theme="0" tint="-0.249977111117893"/>
              <x14:borderColor theme="0"/>
              <x14:negativeFillColor rgb="FFFF0000"/>
              <x14:axisColor rgb="FF000000"/>
            </x14:dataBar>
          </x14:cfRule>
          <xm:sqref>Q72:Q73</xm:sqref>
        </x14:conditionalFormatting>
        <x14:conditionalFormatting xmlns:xm="http://schemas.microsoft.com/office/excel/2006/main">
          <x14:cfRule type="dataBar" priority="683" id="{BABA6C37-EC30-4C90-AD98-C77D885DB718}">
            <x14:dataBar minLength="0" maxLength="100" showValue="0" border="1" gradient="0">
              <x14:cfvo type="autoMin"/>
              <x14:cfvo type="formula">
                <xm:f>換券單檔!$F$32</xm:f>
              </x14:cfvo>
              <x14:fillColor rgb="FF297D6B"/>
              <x14:borderColor theme="0"/>
              <x14:negativeFillColor rgb="FFFF0000"/>
              <x14:axisColor rgb="FF000000"/>
            </x14:dataBar>
          </x14:cfRule>
          <xm:sqref>Q74:Q77</xm:sqref>
        </x14:conditionalFormatting>
        <x14:conditionalFormatting xmlns:xm="http://schemas.microsoft.com/office/excel/2006/main">
          <x14:cfRule type="dataBar" priority="669" id="{E10FB6FC-E4D8-4945-8CFD-87EBC39CDAD6}">
            <x14:dataBar minLength="0" maxLength="100" showValue="0" border="1">
              <x14:cfvo type="autoMin"/>
              <x14:cfvo type="formula">
                <xm:f>換券單檔!$F$33</xm:f>
              </x14:cfvo>
              <x14:fillColor theme="0" tint="-0.249977111117893"/>
              <x14:borderColor theme="0"/>
              <x14:negativeFillColor rgb="FFFF0000"/>
              <x14:axisColor rgb="FF000000"/>
            </x14:dataBar>
          </x14:cfRule>
          <xm:sqref>Q78:Q79</xm:sqref>
        </x14:conditionalFormatting>
        <x14:conditionalFormatting xmlns:xm="http://schemas.microsoft.com/office/excel/2006/main">
          <x14:cfRule type="dataBar" priority="687" id="{07CC2238-937D-4E09-B074-05374BBDA50B}">
            <x14:dataBar minLength="0" maxLength="100" showValue="0" gradient="0">
              <x14:cfvo type="autoMin"/>
              <x14:cfvo type="formula">
                <xm:f>換券單檔!$F$33</xm:f>
              </x14:cfvo>
              <x14:fillColor rgb="FF297D6B"/>
              <x14:negativeFillColor rgb="FFFF0000"/>
              <x14:axisColor rgb="FF000000"/>
            </x14:dataBar>
          </x14:cfRule>
          <xm:sqref>Q80:Q83</xm:sqref>
        </x14:conditionalFormatting>
        <x14:conditionalFormatting xmlns:xm="http://schemas.microsoft.com/office/excel/2006/main">
          <x14:cfRule type="dataBar" priority="688" id="{21D12335-E67E-4E6B-8B46-14668C2A3374}">
            <x14:dataBar minLength="0" maxLength="100" showValue="0" border="1">
              <x14:cfvo type="autoMin"/>
              <x14:cfvo type="formula">
                <xm:f>換券單檔!$F$35</xm:f>
              </x14:cfvo>
              <x14:fillColor theme="0" tint="-0.249977111117893"/>
              <x14:borderColor theme="0"/>
              <x14:negativeFillColor rgb="FFFF0000"/>
              <x14:axisColor rgb="FF000000"/>
            </x14:dataBar>
          </x14:cfRule>
          <xm:sqref>Q84:Q85</xm:sqref>
        </x14:conditionalFormatting>
        <x14:conditionalFormatting xmlns:xm="http://schemas.microsoft.com/office/excel/2006/main">
          <x14:cfRule type="dataBar" priority="690" id="{0ACA5FE0-9D3F-4214-8CCB-59D40A0FF278}">
            <x14:dataBar minLength="0" maxLength="100" showValue="0" border="1" gradient="0">
              <x14:cfvo type="autoMin"/>
              <x14:cfvo type="formula">
                <xm:f>換券單檔!$F$35</xm:f>
              </x14:cfvo>
              <x14:fillColor rgb="FF297D6B"/>
              <x14:borderColor theme="0"/>
              <x14:negativeFillColor rgb="FFFF0000"/>
              <x14:axisColor rgb="FF000000"/>
            </x14:dataBar>
          </x14:cfRule>
          <xm:sqref>Q86:Q88</xm:sqref>
        </x14:conditionalFormatting>
        <x14:conditionalFormatting xmlns:xm="http://schemas.microsoft.com/office/excel/2006/main">
          <x14:cfRule type="dataBar" priority="181" id="{CF100971-56BC-4CB0-921E-B28DF26BD5BA}">
            <x14:dataBar minLength="0" maxLength="100" showValue="0" border="1">
              <x14:cfvo type="autoMin"/>
              <x14:cfvo type="formula">
                <xm:f>換券投組!$F$29</xm:f>
              </x14:cfvo>
              <x14:fillColor theme="0" tint="-0.249977111117893"/>
              <x14:borderColor theme="0"/>
              <x14:negativeFillColor rgb="FFFF0000"/>
              <x14:axisColor rgb="FF000000"/>
            </x14:dataBar>
          </x14:cfRule>
          <xm:sqref>Q108:Q109</xm:sqref>
        </x14:conditionalFormatting>
        <x14:conditionalFormatting xmlns:xm="http://schemas.microsoft.com/office/excel/2006/main">
          <x14:cfRule type="dataBar" priority="182" id="{FCCDF9E7-3801-4D09-B473-3ED7826A7BB8}">
            <x14:dataBar minLength="0" maxLength="100" showValue="0" border="1" gradient="0">
              <x14:cfvo type="autoMin"/>
              <x14:cfvo type="formula">
                <xm:f>換券投組!$F$29</xm:f>
              </x14:cfvo>
              <x14:fillColor rgb="FF297D6B"/>
              <x14:borderColor theme="0"/>
              <x14:negativeFillColor rgb="FFFF0000"/>
              <x14:axisColor rgb="FF000000"/>
            </x14:dataBar>
          </x14:cfRule>
          <xm:sqref>Q110:Q113</xm:sqref>
        </x14:conditionalFormatting>
        <x14:conditionalFormatting xmlns:xm="http://schemas.microsoft.com/office/excel/2006/main">
          <x14:cfRule type="dataBar" priority="124" id="{3B646434-4AF3-478C-92F3-E66E6AD3881E}">
            <x14:dataBar minLength="0" maxLength="100" showValue="0" border="1">
              <x14:cfvo type="autoMin"/>
              <x14:cfvo type="formula">
                <xm:f>換券投組!$F$30</xm:f>
              </x14:cfvo>
              <x14:fillColor theme="0" tint="-0.249977111117893"/>
              <x14:borderColor theme="0"/>
              <x14:negativeFillColor rgb="FFFF0000"/>
              <x14:axisColor rgb="FF000000"/>
            </x14:dataBar>
          </x14:cfRule>
          <xm:sqref>Q114:Q115</xm:sqref>
        </x14:conditionalFormatting>
        <x14:conditionalFormatting xmlns:xm="http://schemas.microsoft.com/office/excel/2006/main">
          <x14:cfRule type="dataBar" priority="125" id="{3ACC4E60-C67D-4F35-9BD7-0DF3F0D969D2}">
            <x14:dataBar minLength="0" maxLength="100" showValue="0" border="1" gradient="0">
              <x14:cfvo type="autoMin"/>
              <x14:cfvo type="formula">
                <xm:f>換券投組!$F$30</xm:f>
              </x14:cfvo>
              <x14:fillColor rgb="FF297D6B"/>
              <x14:borderColor theme="0"/>
              <x14:negativeFillColor rgb="FFFF0000"/>
              <x14:axisColor rgb="FF000000"/>
            </x14:dataBar>
          </x14:cfRule>
          <xm:sqref>Q116:Q117</xm:sqref>
        </x14:conditionalFormatting>
        <x14:conditionalFormatting xmlns:xm="http://schemas.microsoft.com/office/excel/2006/main">
          <x14:cfRule type="dataBar" priority="175" id="{C1EEF337-EA66-40F4-9317-2B75A92B2C88}">
            <x14:dataBar minLength="0" maxLength="100" showValue="0" border="1" gradient="0">
              <x14:cfvo type="autoMin"/>
              <x14:cfvo type="formula">
                <xm:f>換券單檔!$F$30</xm:f>
              </x14:cfvo>
              <x14:fillColor rgb="FF297D6B"/>
              <x14:borderColor theme="0"/>
              <x14:negativeFillColor rgb="FFFF0000"/>
              <x14:axisColor rgb="FF000000"/>
            </x14:dataBar>
          </x14:cfRule>
          <xm:sqref>Q118:Q119</xm:sqref>
        </x14:conditionalFormatting>
        <x14:conditionalFormatting xmlns:xm="http://schemas.microsoft.com/office/excel/2006/main">
          <x14:cfRule type="dataBar" priority="122" id="{54C41EB2-F31D-425A-A8CB-0F8C6E6ADE81}">
            <x14:dataBar minLength="0" maxLength="100" showValue="0" border="1">
              <x14:cfvo type="autoMin"/>
              <x14:cfvo type="formula">
                <xm:f>換券投組!$F$31</xm:f>
              </x14:cfvo>
              <x14:fillColor theme="0" tint="-0.249977111117893"/>
              <x14:borderColor theme="0"/>
              <x14:negativeFillColor rgb="FFFF0000"/>
              <x14:axisColor rgb="FF000000"/>
            </x14:dataBar>
          </x14:cfRule>
          <xm:sqref>Q120:Q121</xm:sqref>
        </x14:conditionalFormatting>
        <x14:conditionalFormatting xmlns:xm="http://schemas.microsoft.com/office/excel/2006/main">
          <x14:cfRule type="dataBar" priority="123" id="{0119EF80-F7BA-4CE1-9A10-95E130F5A0FD}">
            <x14:dataBar minLength="0" maxLength="100" showValue="0" border="1" gradient="0">
              <x14:cfvo type="autoMin"/>
              <x14:cfvo type="formula">
                <xm:f>換券投組!$F$31</xm:f>
              </x14:cfvo>
              <x14:fillColor rgb="FF297D6B"/>
              <x14:borderColor theme="0"/>
              <x14:negativeFillColor rgb="FFFF0000"/>
              <x14:axisColor rgb="FF000000"/>
            </x14:dataBar>
          </x14:cfRule>
          <xm:sqref>Q122:Q123</xm:sqref>
        </x14:conditionalFormatting>
        <x14:conditionalFormatting xmlns:xm="http://schemas.microsoft.com/office/excel/2006/main">
          <x14:cfRule type="dataBar" priority="176" id="{B3F6D457-03FA-4122-A514-BB2582C869BC}">
            <x14:dataBar minLength="0" maxLength="100" showValue="0" border="1" gradient="0">
              <x14:cfvo type="autoMin"/>
              <x14:cfvo type="formula">
                <xm:f>換券單檔!$F$31</xm:f>
              </x14:cfvo>
              <x14:fillColor rgb="FF297D6B"/>
              <x14:borderColor theme="0"/>
              <x14:negativeFillColor rgb="FFFF0000"/>
              <x14:axisColor rgb="FF000000"/>
            </x14:dataBar>
          </x14:cfRule>
          <xm:sqref>Q124:Q125</xm:sqref>
        </x14:conditionalFormatting>
        <x14:conditionalFormatting xmlns:xm="http://schemas.microsoft.com/office/excel/2006/main">
          <x14:cfRule type="dataBar" priority="120" id="{36306F83-D8D4-4126-AC0E-B6C6286F72F3}">
            <x14:dataBar minLength="0" maxLength="100" showValue="0" border="1">
              <x14:cfvo type="autoMin"/>
              <x14:cfvo type="formula">
                <xm:f>換券投組!$F$32</xm:f>
              </x14:cfvo>
              <x14:fillColor theme="0" tint="-0.249977111117893"/>
              <x14:borderColor theme="0"/>
              <x14:negativeFillColor rgb="FFFF0000"/>
              <x14:axisColor rgb="FF000000"/>
            </x14:dataBar>
          </x14:cfRule>
          <xm:sqref>Q126:Q127</xm:sqref>
        </x14:conditionalFormatting>
        <x14:conditionalFormatting xmlns:xm="http://schemas.microsoft.com/office/excel/2006/main">
          <x14:cfRule type="dataBar" priority="121" id="{3B532835-5F14-4DD2-AD2B-1BC767C43C43}">
            <x14:dataBar minLength="0" maxLength="100" showValue="0" border="1" gradient="0">
              <x14:cfvo type="autoMin"/>
              <x14:cfvo type="formula">
                <xm:f>換券投組!$F$32</xm:f>
              </x14:cfvo>
              <x14:fillColor rgb="FF297D6B"/>
              <x14:borderColor theme="0"/>
              <x14:negativeFillColor rgb="FFFF0000"/>
              <x14:axisColor rgb="FF000000"/>
            </x14:dataBar>
          </x14:cfRule>
          <xm:sqref>Q128:Q129</xm:sqref>
        </x14:conditionalFormatting>
        <x14:conditionalFormatting xmlns:xm="http://schemas.microsoft.com/office/excel/2006/main">
          <x14:cfRule type="dataBar" priority="177" id="{4525BB10-498C-4B27-A9B1-648D9894A1DB}">
            <x14:dataBar minLength="0" maxLength="100" showValue="0" border="1" gradient="0">
              <x14:cfvo type="autoMin"/>
              <x14:cfvo type="formula">
                <xm:f>換券單檔!$F$32</xm:f>
              </x14:cfvo>
              <x14:fillColor rgb="FF297D6B"/>
              <x14:borderColor theme="0"/>
              <x14:negativeFillColor rgb="FFFF0000"/>
              <x14:axisColor rgb="FF000000"/>
            </x14:dataBar>
          </x14:cfRule>
          <xm:sqref>Q130:Q131</xm:sqref>
        </x14:conditionalFormatting>
        <x14:conditionalFormatting xmlns:xm="http://schemas.microsoft.com/office/excel/2006/main">
          <x14:cfRule type="dataBar" priority="118" id="{BB43FD30-1DE8-41D4-B868-E8BF980AD009}">
            <x14:dataBar minLength="0" maxLength="100" showValue="0" border="1">
              <x14:cfvo type="autoMin"/>
              <x14:cfvo type="formula">
                <xm:f>換券投組!$F$33</xm:f>
              </x14:cfvo>
              <x14:fillColor theme="0" tint="-0.249977111117893"/>
              <x14:borderColor theme="0"/>
              <x14:negativeFillColor rgb="FFFF0000"/>
              <x14:axisColor rgb="FF000000"/>
            </x14:dataBar>
          </x14:cfRule>
          <xm:sqref>Q132:Q133</xm:sqref>
        </x14:conditionalFormatting>
        <x14:conditionalFormatting xmlns:xm="http://schemas.microsoft.com/office/excel/2006/main">
          <x14:cfRule type="dataBar" priority="119" id="{6E32C825-9E7D-42F2-8D62-F7B452EF829C}">
            <x14:dataBar minLength="0" maxLength="100" showValue="0" border="1" gradient="0">
              <x14:cfvo type="autoMin"/>
              <x14:cfvo type="formula">
                <xm:f>換券投組!$F$33</xm:f>
              </x14:cfvo>
              <x14:fillColor rgb="FF297D6B"/>
              <x14:borderColor theme="0"/>
              <x14:negativeFillColor rgb="FFFF0000"/>
              <x14:axisColor rgb="FF000000"/>
            </x14:dataBar>
          </x14:cfRule>
          <xm:sqref>Q134:Q135</xm:sqref>
        </x14:conditionalFormatting>
        <x14:conditionalFormatting xmlns:xm="http://schemas.microsoft.com/office/excel/2006/main">
          <x14:cfRule type="dataBar" priority="178" id="{46420D57-6496-4E9C-B035-BC21BADE7C23}">
            <x14:dataBar minLength="0" maxLength="100" showValue="0" gradient="0">
              <x14:cfvo type="autoMin"/>
              <x14:cfvo type="formula">
                <xm:f>換券單檔!$F$33</xm:f>
              </x14:cfvo>
              <x14:fillColor rgb="FF297D6B"/>
              <x14:negativeFillColor rgb="FFFF0000"/>
              <x14:axisColor rgb="FF000000"/>
            </x14:dataBar>
          </x14:cfRule>
          <xm:sqref>Q136:Q137</xm:sqref>
        </x14:conditionalFormatting>
        <x14:conditionalFormatting xmlns:xm="http://schemas.microsoft.com/office/excel/2006/main">
          <x14:cfRule type="dataBar" priority="116" id="{75CF4D94-ADA0-4535-95D6-83F4F8C3471F}">
            <x14:dataBar minLength="0" maxLength="100" showValue="0" border="1">
              <x14:cfvo type="autoMin"/>
              <x14:cfvo type="formula">
                <xm:f>換券投組!$F$35</xm:f>
              </x14:cfvo>
              <x14:fillColor theme="0" tint="-0.249977111117893"/>
              <x14:borderColor theme="0"/>
              <x14:negativeFillColor rgb="FFFF0000"/>
              <x14:axisColor rgb="FF000000"/>
            </x14:dataBar>
          </x14:cfRule>
          <xm:sqref>Q138:Q139</xm:sqref>
        </x14:conditionalFormatting>
        <x14:conditionalFormatting xmlns:xm="http://schemas.microsoft.com/office/excel/2006/main">
          <x14:cfRule type="dataBar" priority="117" id="{DB041CBF-EAA2-441A-9616-C06B5428C3B0}">
            <x14:dataBar minLength="0" maxLength="100" showValue="0" border="1" gradient="0">
              <x14:cfvo type="autoMin"/>
              <x14:cfvo type="formula">
                <xm:f>換券投組!$F$35</xm:f>
              </x14:cfvo>
              <x14:fillColor rgb="FF297D6B"/>
              <x14:borderColor theme="0"/>
              <x14:negativeFillColor rgb="FFFF0000"/>
              <x14:axisColor rgb="FF000000"/>
            </x14:dataBar>
          </x14:cfRule>
          <xm:sqref>Q140:Q141</xm:sqref>
        </x14:conditionalFormatting>
        <x14:conditionalFormatting xmlns:xm="http://schemas.microsoft.com/office/excel/2006/main">
          <x14:cfRule type="dataBar" priority="180" id="{D43FBDD1-CE15-47A5-8EBA-449F3BE4B6D9}">
            <x14:dataBar minLength="0" maxLength="100" showValue="0" border="1" gradient="0">
              <x14:cfvo type="autoMin"/>
              <x14:cfvo type="formula">
                <xm:f>換券單檔!$F$35</xm:f>
              </x14:cfvo>
              <x14:fillColor rgb="FF297D6B"/>
              <x14:borderColor theme="0"/>
              <x14:negativeFillColor rgb="FFFF0000"/>
              <x14:axisColor rgb="FF000000"/>
            </x14:dataBar>
          </x14:cfRule>
          <xm:sqref>Q142</xm:sqref>
        </x14:conditionalFormatting>
        <x14:conditionalFormatting xmlns:xm="http://schemas.microsoft.com/office/excel/2006/main">
          <x14:cfRule type="dataBar" priority="72" id="{E34C2C33-DF0F-4A55-858C-CBA11C779BB3}">
            <x14:dataBar minLength="0" maxLength="100" showValue="0" border="1">
              <x14:cfvo type="autoMin"/>
              <x14:cfvo type="formula">
                <xm:f>換券投組!$F$31</xm:f>
              </x14:cfvo>
              <x14:fillColor theme="0" tint="-0.249977111117893"/>
              <x14:borderColor theme="0"/>
              <x14:negativeFillColor rgb="FFFF0000"/>
              <x14:axisColor rgb="FF000000"/>
            </x14:dataBar>
          </x14:cfRule>
          <xm:sqref>Q174</xm:sqref>
        </x14:conditionalFormatting>
        <x14:conditionalFormatting xmlns:xm="http://schemas.microsoft.com/office/excel/2006/main">
          <x14:cfRule type="expression" priority="108" id="{1171A7B9-1B66-4084-BF58-A3BB5574937C}">
            <xm:f>Change投!$AS$7="需查詢"</xm:f>
            <x14:dxf>
              <font>
                <b/>
                <i val="0"/>
                <color rgb="FFFF0000"/>
              </font>
            </x14:dxf>
          </x14:cfRule>
          <xm:sqref>AI98 AL98:AZ98</xm:sqref>
        </x14:conditionalFormatting>
        <x14:conditionalFormatting xmlns:xm="http://schemas.microsoft.com/office/excel/2006/main">
          <x14:cfRule type="expression" priority="107" id="{7FB34567-ADC4-48DE-92C1-AFFE79CDC1AD}">
            <xm:f>Change投!$AS$8="需查詢"</xm:f>
            <x14:dxf>
              <font>
                <b/>
                <i val="0"/>
                <color rgb="FFFF0000"/>
              </font>
            </x14:dxf>
          </x14:cfRule>
          <xm:sqref>AI99 AL99:AZ99</xm:sqref>
        </x14:conditionalFormatting>
        <x14:conditionalFormatting xmlns:xm="http://schemas.microsoft.com/office/excel/2006/main">
          <x14:cfRule type="expression" priority="106" id="{596313D2-1D3A-4BB2-B5C9-C4FBF73DBBC9}">
            <xm:f>Change投!$AS$9="需查詢"</xm:f>
            <x14:dxf>
              <font>
                <b/>
                <i val="0"/>
                <color rgb="FFFF0000"/>
              </font>
            </x14:dxf>
          </x14:cfRule>
          <xm:sqref>AI100 AL100:AZ100</xm:sqref>
        </x14:conditionalFormatting>
        <x14:conditionalFormatting xmlns:xm="http://schemas.microsoft.com/office/excel/2006/main">
          <x14:cfRule type="expression" priority="105" id="{2CA5B5F7-DC35-4982-94C0-751616A0A4DB}">
            <xm:f>Change投!$AS$10="需查詢"</xm:f>
            <x14:dxf>
              <font>
                <b/>
                <i val="0"/>
                <color rgb="FFFF0000"/>
              </font>
            </x14:dxf>
          </x14:cfRule>
          <xm:sqref>AI101 AL101:AZ101</xm:sqref>
        </x14:conditionalFormatting>
        <x14:conditionalFormatting xmlns:xm="http://schemas.microsoft.com/office/excel/2006/main">
          <x14:cfRule type="expression" priority="104" id="{755A5987-47C3-4492-A7ED-16381C755842}">
            <xm:f>Change投!$AS$11="需查詢"</xm:f>
            <x14:dxf>
              <font>
                <b/>
                <i val="0"/>
                <color rgb="FFFF0000"/>
              </font>
            </x14:dxf>
          </x14:cfRule>
          <xm:sqref>AI102 AL102:AZ102</xm:sqref>
        </x14:conditionalFormatting>
        <x14:conditionalFormatting xmlns:xm="http://schemas.microsoft.com/office/excel/2006/main">
          <x14:cfRule type="expression" priority="103" id="{5633BCF8-8652-4E4F-B333-AF9CF9461503}">
            <xm:f>Change投!$AS$12="需查詢"</xm:f>
            <x14:dxf>
              <font>
                <b/>
                <i val="0"/>
                <color rgb="FFFF0000"/>
              </font>
            </x14:dxf>
          </x14:cfRule>
          <xm:sqref>AI103 AL103:AZ103</xm:sqref>
        </x14:conditionalFormatting>
        <x14:conditionalFormatting xmlns:xm="http://schemas.microsoft.com/office/excel/2006/main">
          <x14:cfRule type="expression" priority="65" id="{57BBF98D-3694-458A-BCF9-956ADAFB7D1D}">
            <xm:f>Change投!$AS$7="需查詢"</xm:f>
            <x14:dxf>
              <font>
                <b/>
                <i val="0"/>
                <color rgb="FFFF0000"/>
              </font>
            </x14:dxf>
          </x14:cfRule>
          <xm:sqref>AI153:AZ153</xm:sqref>
        </x14:conditionalFormatting>
        <x14:conditionalFormatting xmlns:xm="http://schemas.microsoft.com/office/excel/2006/main">
          <x14:cfRule type="expression" priority="64" id="{FEF7C67A-C8A8-43E2-BF73-5DE652821D61}">
            <xm:f>Change投!$AS$8="需查詢"</xm:f>
            <x14:dxf>
              <font>
                <b/>
                <i val="0"/>
                <color rgb="FFFF0000"/>
              </font>
            </x14:dxf>
          </x14:cfRule>
          <xm:sqref>AI154:AZ154</xm:sqref>
        </x14:conditionalFormatting>
        <x14:conditionalFormatting xmlns:xm="http://schemas.microsoft.com/office/excel/2006/main">
          <x14:cfRule type="expression" priority="63" id="{67765FD3-DAD2-48CD-BF24-E4EA8A056A8F}">
            <xm:f>Change投!$AS$9="需查詢"</xm:f>
            <x14:dxf>
              <font>
                <b/>
                <i val="0"/>
                <color rgb="FFFF0000"/>
              </font>
            </x14:dxf>
          </x14:cfRule>
          <xm:sqref>AI155:AZ155</xm:sqref>
        </x14:conditionalFormatting>
        <x14:conditionalFormatting xmlns:xm="http://schemas.microsoft.com/office/excel/2006/main">
          <x14:cfRule type="expression" priority="62" id="{E1A57F03-968D-41F9-B669-3266180845E5}">
            <xm:f>Change投!$AS$10="需查詢"</xm:f>
            <x14:dxf>
              <font>
                <b/>
                <i val="0"/>
                <color rgb="FFFF0000"/>
              </font>
            </x14:dxf>
          </x14:cfRule>
          <xm:sqref>AI156:AZ156</xm:sqref>
        </x14:conditionalFormatting>
        <x14:conditionalFormatting xmlns:xm="http://schemas.microsoft.com/office/excel/2006/main">
          <x14:cfRule type="expression" priority="61" id="{0A941369-2EE2-42BC-9E91-480E21D9EF9B}">
            <xm:f>Change投!$AS$11="需查詢"</xm:f>
            <x14:dxf>
              <font>
                <b/>
                <i val="0"/>
                <color rgb="FFFF0000"/>
              </font>
            </x14:dxf>
          </x14:cfRule>
          <xm:sqref>AI157:AZ157</xm:sqref>
        </x14:conditionalFormatting>
        <x14:conditionalFormatting xmlns:xm="http://schemas.microsoft.com/office/excel/2006/main">
          <x14:cfRule type="expression" priority="60" id="{89274E2A-9734-4292-8643-3FD52AC238BC}">
            <xm:f>Change投!$AS$12="需查詢"</xm:f>
            <x14:dxf>
              <font>
                <b/>
                <i val="0"/>
                <color rgb="FFFF0000"/>
              </font>
            </x14:dxf>
          </x14:cfRule>
          <xm:sqref>AI158:AZ158</xm:sqref>
        </x14:conditionalFormatting>
        <x14:conditionalFormatting xmlns:xm="http://schemas.microsoft.com/office/excel/2006/main">
          <x14:cfRule type="expression" priority="153" id="{6706A8C5-5D31-4B41-8185-A78546D9FA26}">
            <xm:f>換券投組!$D$35=換券投組!$E$35</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154" id="{4BD16A09-4735-4709-8A00-404E882ADC46}">
            <xm:f>換券投組!$D$35&lt;換券投組!$E$35</xm:f>
            <x14:dxf>
              <fill>
                <patternFill>
                  <bgColor rgb="FF297D6B"/>
                </patternFill>
              </fill>
            </x14:dxf>
          </x14:cfRule>
          <x14:cfRule type="expression" priority="155" id="{52747097-9195-4F78-A64D-09E4768F2813}">
            <xm:f>換券投組!$D$35&gt;換券投組!$E$35</xm:f>
            <x14:dxf>
              <fill>
                <patternFill>
                  <bgColor rgb="FFBFBFBF"/>
                </patternFill>
              </fill>
            </x14:dxf>
          </x14:cfRule>
          <xm:sqref>O137:O142</xm:sqref>
        </x14:conditionalFormatting>
        <x14:conditionalFormatting xmlns:xm="http://schemas.microsoft.com/office/excel/2006/main">
          <x14:cfRule type="expression" priority="46" id="{152F5F06-3BF4-4449-8675-B63BF1956C7C}">
            <xm:f>換券單檔!$D$13&lt;&gt;換券單檔!$G$13</xm:f>
            <x14:dxf>
              <font>
                <b/>
                <i val="0"/>
                <color rgb="FFFF0000"/>
              </font>
            </x14:dxf>
          </x14:cfRule>
          <xm:sqref>U44</xm:sqref>
        </x14:conditionalFormatting>
        <x14:conditionalFormatting xmlns:xm="http://schemas.microsoft.com/office/excel/2006/main">
          <x14:cfRule type="expression" priority="45" id="{EDBFFAAD-961F-4412-972D-A966341E1662}">
            <xm:f>Change投!$AS$12="需查詢"</xm:f>
            <x14:dxf>
              <font>
                <b/>
                <i val="0"/>
                <color rgb="FFFF0000"/>
              </font>
            </x14:dxf>
          </x14:cfRule>
          <xm:sqref>AW104:AZ104</xm:sqref>
        </x14:conditionalFormatting>
        <x14:conditionalFormatting xmlns:xm="http://schemas.microsoft.com/office/excel/2006/main">
          <x14:cfRule type="expression" priority="38" id="{4AE4F909-1026-4E7A-87E3-EF4F42926C2C}">
            <xm:f>AND($X$112&lt;&gt;"",FIND($X$112,換券投組!$AE$62)&gt;=1)</xm:f>
            <x14:dxf>
              <fill>
                <patternFill>
                  <bgColor rgb="FFEEF5F4"/>
                </patternFill>
              </fill>
            </x14:dxf>
          </x14:cfRule>
          <xm:sqref>X112:AZ113</xm:sqref>
        </x14:conditionalFormatting>
        <x14:conditionalFormatting xmlns:xm="http://schemas.microsoft.com/office/excel/2006/main">
          <x14:cfRule type="expression" priority="37" id="{5DA250B7-7C54-49E0-AF8A-E452A4AD698E}">
            <xm:f>AND($X$114&lt;&gt;"",FIND($X$114,換券投組!$AE$62)&gt;=1)</xm:f>
            <x14:dxf>
              <fill>
                <patternFill>
                  <bgColor rgb="FFEEF5F4"/>
                </patternFill>
              </fill>
            </x14:dxf>
          </x14:cfRule>
          <xm:sqref>X114:AZ114</xm:sqref>
        </x14:conditionalFormatting>
        <x14:conditionalFormatting xmlns:xm="http://schemas.microsoft.com/office/excel/2006/main">
          <x14:cfRule type="expression" priority="36" id="{4D049FA0-7E58-4CC6-BF99-8ADCC2B40DA2}">
            <xm:f>AND($X$117&lt;&gt;"",FIND($X$117,換券投組!$AE$62)&gt;=1)</xm:f>
            <x14:dxf>
              <fill>
                <patternFill>
                  <bgColor rgb="FFEEF5F4"/>
                </patternFill>
              </fill>
            </x14:dxf>
          </x14:cfRule>
          <xm:sqref>X117:AZ117</xm:sqref>
        </x14:conditionalFormatting>
        <x14:conditionalFormatting xmlns:xm="http://schemas.microsoft.com/office/excel/2006/main">
          <x14:cfRule type="expression" priority="35" id="{0E3AEF20-845F-4837-9BB9-E253EC7C9978}">
            <xm:f>AND($X$118&lt;&gt;"",FIND($X$118,換券投組!$AE$62)&gt;=1)</xm:f>
            <x14:dxf>
              <fill>
                <patternFill>
                  <bgColor rgb="FFEEF5F4"/>
                </patternFill>
              </fill>
            </x14:dxf>
          </x14:cfRule>
          <xm:sqref>X118:AZ119</xm:sqref>
        </x14:conditionalFormatting>
        <x14:conditionalFormatting xmlns:xm="http://schemas.microsoft.com/office/excel/2006/main">
          <x14:cfRule type="expression" priority="34" id="{8DCF22E8-FEE0-4679-B522-F4D45A8C632C}">
            <xm:f>AND($X$120&lt;&gt;"",FIND($X$120,換券投組!$AE$62)&gt;=1)</xm:f>
            <x14:dxf>
              <fill>
                <patternFill>
                  <bgColor rgb="FFEEF5F4"/>
                </patternFill>
              </fill>
            </x14:dxf>
          </x14:cfRule>
          <xm:sqref>X120:AZ120</xm:sqref>
        </x14:conditionalFormatting>
        <x14:conditionalFormatting xmlns:xm="http://schemas.microsoft.com/office/excel/2006/main">
          <x14:cfRule type="expression" priority="829" id="{E1596FF8-E8B1-4A2C-BD7F-EC0F46F71192}">
            <xm:f>OR(換券投組!#REF!&lt;&gt;換券投組!$E$13,換券投組!$AG$8=1)</xm:f>
            <x14:dxf>
              <font>
                <b/>
                <i val="0"/>
                <color rgb="FFFF0000"/>
              </font>
            </x14:dxf>
          </x14:cfRule>
          <xm:sqref>X98:AF98</xm:sqref>
        </x14:conditionalFormatting>
        <x14:conditionalFormatting xmlns:xm="http://schemas.microsoft.com/office/excel/2006/main">
          <x14:cfRule type="expression" priority="830" id="{DC88FF84-E3AA-4D89-849F-0FE4EB99AE29}">
            <xm:f>OR(換券投組!#REF!&lt;&gt;換券投組!$E$13,換券投組!$AG$9=1)</xm:f>
            <x14:dxf>
              <font>
                <b/>
                <i val="0"/>
                <color rgb="FFFF0000"/>
              </font>
            </x14:dxf>
          </x14:cfRule>
          <xm:sqref>X99:AF99</xm:sqref>
        </x14:conditionalFormatting>
        <x14:conditionalFormatting xmlns:xm="http://schemas.microsoft.com/office/excel/2006/main">
          <x14:cfRule type="expression" priority="831" id="{335123DB-F3A4-472B-A999-EB909EA918E9}">
            <xm:f>OR(換券投組!#REF!&lt;&gt;換券投組!$E$13,換券投組!$AG$10=1)</xm:f>
            <x14:dxf>
              <font>
                <b/>
                <i val="0"/>
                <color rgb="FFFF0000"/>
              </font>
            </x14:dxf>
          </x14:cfRule>
          <xm:sqref>X100:AF100</xm:sqref>
        </x14:conditionalFormatting>
        <x14:conditionalFormatting xmlns:xm="http://schemas.microsoft.com/office/excel/2006/main">
          <x14:cfRule type="expression" priority="832" id="{AAC113E6-8539-41CB-8CFC-CDEA54727E7B}">
            <xm:f>OR(換券投組!#REF!&lt;&gt;換券投組!$E$13,,換券投組!$AG$11=1)</xm:f>
            <x14:dxf>
              <font>
                <b/>
                <i val="0"/>
                <color rgb="FFFF0000"/>
              </font>
            </x14:dxf>
          </x14:cfRule>
          <xm:sqref>X101:AF101</xm:sqref>
        </x14:conditionalFormatting>
        <x14:conditionalFormatting xmlns:xm="http://schemas.microsoft.com/office/excel/2006/main">
          <x14:cfRule type="expression" priority="833" id="{B28DB54F-0BBC-4486-91FA-B8B4CA10BB81}">
            <xm:f>OR(換券投組!#REF!&lt;&gt;換券投組!$E$13,換券投組!$AG$12=1)</xm:f>
            <x14:dxf>
              <font>
                <b/>
                <i val="0"/>
                <color rgb="FFFF0000"/>
              </font>
            </x14:dxf>
          </x14:cfRule>
          <xm:sqref>X102:AF102</xm:sqref>
        </x14:conditionalFormatting>
        <x14:conditionalFormatting xmlns:xm="http://schemas.microsoft.com/office/excel/2006/main">
          <x14:cfRule type="expression" priority="834" id="{C4AED49B-51AB-4C03-A80B-9DA56193CDC6}">
            <xm:f>OR(換券投組!#REF!&lt;&gt;換券投組!$E$13,換券投組!$AG$13=1)</xm:f>
            <x14:dxf>
              <font>
                <b/>
                <i val="0"/>
                <color rgb="FFFF0000"/>
              </font>
            </x14:dxf>
          </x14:cfRule>
          <xm:sqref>X103:AF103</xm:sqref>
        </x14:conditionalFormatting>
      </x14:conditionalFormattings>
    </ext>
    <ext xmlns:x14="http://schemas.microsoft.com/office/spreadsheetml/2009/9/main" uri="{CCE6A557-97BC-4b89-ADB6-D9C93CAAB3DF}">
      <x14:dataValidations xmlns:xm="http://schemas.microsoft.com/office/excel/2006/main" count="8">
        <x14:dataValidation type="custom" allowBlank="1" showInputMessage="1" showErrorMessage="1" errorTitle="非合適標的" error="轉換幣別不一致或非正確商品代碼，請重新輸入，謝謝！" xr:uid="{00000000-0002-0000-0500-000005000000}">
          <x14:formula1>
            <xm:f>換券投組!$D$13=換券投組!$AC$65</xm:f>
          </x14:formula1>
          <xm:sqref>AI99:AK99</xm:sqref>
        </x14:dataValidation>
        <x14:dataValidation type="custom" allowBlank="1" showInputMessage="1" showErrorMessage="1" errorTitle="非合適標的" error="轉換幣別不一致或非正確商品代碼，請重新輸入，謝謝！" xr:uid="{00000000-0002-0000-0500-000006000000}">
          <x14:formula1>
            <xm:f>換券投組!$D$13=換券投組!$AC$64</xm:f>
          </x14:formula1>
          <xm:sqref>AI98:AK98</xm:sqref>
        </x14:dataValidation>
        <x14:dataValidation type="custom" allowBlank="1" showInputMessage="1" showErrorMessage="1" errorTitle="非合適標的" error="轉換幣別不一致或非正確商品代碼，請重新輸入，謝謝！" xr:uid="{00000000-0002-0000-0500-000007000000}">
          <x14:formula1>
            <xm:f>換券投組!$D$13=換券投組!$AC$66</xm:f>
          </x14:formula1>
          <xm:sqref>AI100:AK100</xm:sqref>
        </x14:dataValidation>
        <x14:dataValidation type="custom" allowBlank="1" showInputMessage="1" showErrorMessage="1" errorTitle="非合適標的" error="轉換幣別不一致或非正確商品代碼，請重新輸入，謝謝！" xr:uid="{00000000-0002-0000-0500-000008000000}">
          <x14:formula1>
            <xm:f>換券投組!$D$13=換券投組!$AC$67</xm:f>
          </x14:formula1>
          <xm:sqref>AI101:AK101</xm:sqref>
        </x14:dataValidation>
        <x14:dataValidation type="custom" allowBlank="1" showInputMessage="1" showErrorMessage="1" errorTitle="非合適標的" error="轉換幣別不一致或非正確商品代碼，請重新輸入，謝謝！" xr:uid="{00000000-0002-0000-0500-000009000000}">
          <x14:formula1>
            <xm:f>換券投組!$D$13=換券投組!$AC$68</xm:f>
          </x14:formula1>
          <xm:sqref>AI102:AK102</xm:sqref>
        </x14:dataValidation>
        <x14:dataValidation type="custom" allowBlank="1" showInputMessage="1" showErrorMessage="1" errorTitle="商品代碼待確認" error="請填入正確商品代碼(不適用浮動利率及不含息交易債券)" xr:uid="{00000000-0002-0000-0500-00000A000000}">
          <x14:formula1>
            <xm:f>'2_Check_code'!C62</xm:f>
          </x14:formula1>
          <xm:sqref>P7:P18</xm:sqref>
        </x14:dataValidation>
        <x14:dataValidation type="custom" allowBlank="1" showDropDown="1" showInputMessage="1" showErrorMessage="1" errorTitle="非合適標的" error="轉換幣別不一致或非正確商品代碼，請重新輸入，謝謝！" xr:uid="{00000000-0002-0000-0500-00000B000000}">
          <x14:formula1>
            <xm:f>換券單檔!D13=換券單檔!G13</xm:f>
          </x14:formula1>
          <xm:sqref>U44</xm:sqref>
        </x14:dataValidation>
        <x14:dataValidation type="custom" allowBlank="1" showInputMessage="1" showErrorMessage="1" errorTitle="非合適標的" error="轉換幣別不一致或非正確商品代碼，請重新輸入，謝謝！" xr:uid="{00000000-0002-0000-0500-00000C000000}">
          <x14:formula1>
            <xm:f>換券投組!D13=換券投組!$AC$69</xm:f>
          </x14:formula1>
          <xm:sqref>AI103:AK103</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23">
    <tabColor theme="5"/>
  </sheetPr>
  <dimension ref="A1:P298"/>
  <sheetViews>
    <sheetView workbookViewId="0">
      <selection activeCell="R12" sqref="R12"/>
    </sheetView>
  </sheetViews>
  <sheetFormatPr defaultColWidth="9.0703125" defaultRowHeight="15.5"/>
  <cols>
    <col min="1" max="1" width="19.42578125" style="383" customWidth="1"/>
    <col min="2" max="5" width="9.0703125" style="195"/>
    <col min="6" max="6" width="19.2109375" style="179" customWidth="1"/>
    <col min="7" max="7" width="18.2109375" style="195" customWidth="1"/>
    <col min="8" max="9" width="9.0703125" style="195"/>
    <col min="10" max="10" width="14.42578125" style="195" customWidth="1"/>
    <col min="11" max="11" width="17.85546875" style="195" customWidth="1"/>
    <col min="12" max="16384" width="9.0703125" style="195"/>
  </cols>
  <sheetData>
    <row r="1" spans="1:16" ht="16" thickBot="1">
      <c r="F1" s="751" t="s">
        <v>3820</v>
      </c>
      <c r="G1" s="195" t="s">
        <v>4524</v>
      </c>
    </row>
    <row r="2" spans="1:16" ht="21" thickBot="1">
      <c r="A2" s="383" t="s">
        <v>1340</v>
      </c>
      <c r="C2" s="195" t="s">
        <v>1270</v>
      </c>
      <c r="F2" s="196" t="s">
        <v>518</v>
      </c>
      <c r="G2" s="196" t="s">
        <v>2144</v>
      </c>
      <c r="I2" s="196" t="s">
        <v>1815</v>
      </c>
    </row>
    <row r="3" spans="1:16" ht="16" thickBot="1">
      <c r="A3" s="383" t="str">
        <f>投資商品現金流試算表!B8</f>
        <v>XH020</v>
      </c>
      <c r="B3" s="199" t="str">
        <f>IFERROR(VLOOKUP(A3,bond!B:B,1,FALSE),"")</f>
        <v>XH020</v>
      </c>
      <c r="C3" s="195" t="str">
        <f>IF(A3=B3,"TRUE","FALSE")</f>
        <v>TRUE</v>
      </c>
      <c r="F3" s="197" t="s">
        <v>542</v>
      </c>
      <c r="G3" s="197" t="s">
        <v>542</v>
      </c>
      <c r="I3" s="198" t="s">
        <v>0</v>
      </c>
      <c r="J3" s="198" t="s">
        <v>4279</v>
      </c>
      <c r="K3" s="198">
        <v>1</v>
      </c>
      <c r="L3" s="198" t="s">
        <v>2172</v>
      </c>
      <c r="M3" s="414"/>
      <c r="N3" s="94"/>
      <c r="O3" s="94"/>
      <c r="P3" s="94"/>
    </row>
    <row r="4" spans="1:16" ht="16" thickBot="1">
      <c r="F4" s="752" t="s">
        <v>546</v>
      </c>
      <c r="G4" s="752" t="s">
        <v>546</v>
      </c>
      <c r="I4" s="198" t="s">
        <v>529</v>
      </c>
      <c r="J4" s="198" t="s">
        <v>4280</v>
      </c>
      <c r="K4" s="198">
        <v>2</v>
      </c>
      <c r="L4" s="198" t="s">
        <v>2173</v>
      </c>
      <c r="M4" s="414"/>
      <c r="N4" s="94"/>
      <c r="O4" s="94"/>
      <c r="P4" s="94"/>
    </row>
    <row r="5" spans="1:16" ht="16" thickBot="1">
      <c r="F5" s="753" t="s">
        <v>551</v>
      </c>
      <c r="G5" s="752" t="s">
        <v>551</v>
      </c>
      <c r="I5" s="198" t="s">
        <v>530</v>
      </c>
      <c r="J5" s="198" t="s">
        <v>4281</v>
      </c>
      <c r="K5" s="198">
        <v>3</v>
      </c>
      <c r="L5" s="198" t="s">
        <v>2174</v>
      </c>
      <c r="M5" s="414"/>
      <c r="N5" s="94"/>
      <c r="O5" s="94"/>
      <c r="P5" s="94"/>
    </row>
    <row r="6" spans="1:16" ht="16" thickBot="1">
      <c r="A6" s="383" t="s">
        <v>1339</v>
      </c>
      <c r="C6" s="195" t="s">
        <v>1270</v>
      </c>
      <c r="F6" s="753" t="s">
        <v>553</v>
      </c>
      <c r="G6" s="752" t="s">
        <v>553</v>
      </c>
      <c r="I6" s="198" t="s">
        <v>534</v>
      </c>
      <c r="J6" s="198" t="s">
        <v>4282</v>
      </c>
      <c r="K6" s="198">
        <v>4</v>
      </c>
      <c r="L6" s="198" t="s">
        <v>2175</v>
      </c>
      <c r="M6" s="414"/>
      <c r="N6" s="94"/>
      <c r="O6" s="94"/>
      <c r="P6" s="94"/>
    </row>
    <row r="7" spans="1:16" ht="16" thickBot="1">
      <c r="A7" s="383" t="str">
        <f>自由選!B8</f>
        <v>XG300</v>
      </c>
      <c r="B7" s="199" t="str">
        <f>IFERROR(VLOOKUP(A7,'2_Check_code'!F:F,1,FALSE),"")</f>
        <v>XG300</v>
      </c>
      <c r="C7" s="195" t="str">
        <f>IF(A7=B7,"TRUE","FALSE")</f>
        <v>TRUE</v>
      </c>
      <c r="F7" s="753" t="s">
        <v>555</v>
      </c>
      <c r="G7" s="752" t="s">
        <v>555</v>
      </c>
      <c r="I7" s="198" t="s">
        <v>533</v>
      </c>
      <c r="J7" s="198" t="s">
        <v>4283</v>
      </c>
      <c r="K7" s="198">
        <v>5</v>
      </c>
      <c r="L7" s="198" t="s">
        <v>2176</v>
      </c>
      <c r="M7" s="414"/>
      <c r="N7" s="94"/>
      <c r="O7" s="94"/>
      <c r="P7" s="94"/>
    </row>
    <row r="8" spans="1:16" ht="16" thickBot="1">
      <c r="A8" s="383" t="str">
        <f>自由選!B9</f>
        <v>XH340</v>
      </c>
      <c r="B8" s="199" t="str">
        <f>IFERROR(VLOOKUP(A8,'2_Check_code'!F:F,1,FALSE),"")</f>
        <v>XH340</v>
      </c>
      <c r="C8" s="195" t="str">
        <f t="shared" ref="C8:C18" si="0">IF(A8=B8,"TRUE","FALSE")</f>
        <v>TRUE</v>
      </c>
      <c r="F8" s="753" t="s">
        <v>558</v>
      </c>
      <c r="G8" s="752" t="s">
        <v>558</v>
      </c>
      <c r="I8" s="198" t="s">
        <v>531</v>
      </c>
      <c r="J8" s="198" t="s">
        <v>4284</v>
      </c>
      <c r="K8" s="198">
        <v>6</v>
      </c>
      <c r="L8" s="198" t="s">
        <v>2177</v>
      </c>
      <c r="M8" s="414"/>
      <c r="N8" s="94"/>
      <c r="O8" s="94"/>
      <c r="P8" s="94"/>
    </row>
    <row r="9" spans="1:16">
      <c r="A9" s="383" t="str">
        <f>自由選!B10</f>
        <v>XFZ40</v>
      </c>
      <c r="B9" s="199" t="str">
        <f>IFERROR(VLOOKUP(A9,'2_Check_code'!F:F,1,FALSE),"")</f>
        <v>XFZ40</v>
      </c>
      <c r="C9" s="195" t="str">
        <f t="shared" si="0"/>
        <v>TRUE</v>
      </c>
      <c r="F9" s="753" t="s">
        <v>559</v>
      </c>
      <c r="G9" s="752" t="s">
        <v>559</v>
      </c>
      <c r="I9" s="198" t="s">
        <v>532</v>
      </c>
      <c r="J9" s="198" t="s">
        <v>4285</v>
      </c>
      <c r="K9" s="198">
        <v>7</v>
      </c>
      <c r="L9" s="198" t="s">
        <v>2178</v>
      </c>
      <c r="M9" s="414"/>
      <c r="N9" s="94"/>
      <c r="O9" s="94"/>
      <c r="P9" s="94"/>
    </row>
    <row r="10" spans="1:16">
      <c r="A10" s="383" t="str">
        <f>自由選!B11</f>
        <v>XFD40</v>
      </c>
      <c r="B10" s="199" t="str">
        <f>IFERROR(VLOOKUP(A10,'2_Check_code'!F:F,1,FALSE),"")</f>
        <v>XFD40</v>
      </c>
      <c r="C10" s="195" t="str">
        <f t="shared" si="0"/>
        <v>TRUE</v>
      </c>
      <c r="F10" s="753" t="s">
        <v>562</v>
      </c>
      <c r="G10" s="752" t="s">
        <v>562</v>
      </c>
    </row>
    <row r="11" spans="1:16" ht="16">
      <c r="A11" s="383" t="str">
        <f>自由選!B12</f>
        <v>XFM20</v>
      </c>
      <c r="B11" s="199" t="str">
        <f>IFERROR(VLOOKUP(A11,'2_Check_code'!F:F,1,FALSE),"")</f>
        <v>XFM20</v>
      </c>
      <c r="C11" s="195" t="str">
        <f t="shared" si="0"/>
        <v>TRUE</v>
      </c>
      <c r="F11" s="753" t="s">
        <v>568</v>
      </c>
      <c r="G11" s="752" t="s">
        <v>563</v>
      </c>
      <c r="I11" s="704" t="s">
        <v>2237</v>
      </c>
      <c r="J11" s="781"/>
      <c r="K11" s="781"/>
    </row>
    <row r="12" spans="1:16">
      <c r="A12" s="383" t="str">
        <f>自由選!B13</f>
        <v>XH500</v>
      </c>
      <c r="B12" s="199" t="str">
        <f>IFERROR(VLOOKUP(A12,'2_Check_code'!F:F,1,FALSE),"")</f>
        <v>XH500</v>
      </c>
      <c r="C12" s="195" t="str">
        <f t="shared" si="0"/>
        <v>TRUE</v>
      </c>
      <c r="F12" s="753" t="s">
        <v>569</v>
      </c>
      <c r="G12" s="752" t="s">
        <v>568</v>
      </c>
    </row>
    <row r="13" spans="1:16" ht="16">
      <c r="A13" s="383" t="str">
        <f>自由選!B14</f>
        <v>XH640</v>
      </c>
      <c r="B13" s="199" t="str">
        <f>IFERROR(VLOOKUP(A13,'2_Check_code'!F:F,1,FALSE),"")</f>
        <v>XH640</v>
      </c>
      <c r="C13" s="195" t="str">
        <f t="shared" si="0"/>
        <v>TRUE</v>
      </c>
      <c r="F13" s="753" t="s">
        <v>572</v>
      </c>
      <c r="G13" s="752" t="s">
        <v>569</v>
      </c>
      <c r="I13" s="704" t="s">
        <v>2357</v>
      </c>
      <c r="J13" s="704"/>
      <c r="K13" s="704"/>
      <c r="L13" s="781"/>
      <c r="M13" s="781"/>
      <c r="N13" s="781"/>
      <c r="O13" s="781"/>
      <c r="P13" s="781"/>
    </row>
    <row r="14" spans="1:16" ht="16">
      <c r="A14" s="383" t="str">
        <f>自由選!B15</f>
        <v>XH510</v>
      </c>
      <c r="B14" s="199" t="str">
        <f>IFERROR(VLOOKUP(A14,'2_Check_code'!F:F,1,FALSE),"")</f>
        <v>XH510</v>
      </c>
      <c r="C14" s="195" t="str">
        <f t="shared" si="0"/>
        <v>TRUE</v>
      </c>
      <c r="F14" s="753" t="s">
        <v>575</v>
      </c>
      <c r="G14" s="752" t="s">
        <v>572</v>
      </c>
      <c r="I14" s="781" t="s">
        <v>2358</v>
      </c>
      <c r="J14" s="704"/>
      <c r="K14" s="704"/>
      <c r="L14" s="781"/>
      <c r="M14" s="781"/>
      <c r="N14" s="781"/>
      <c r="O14" s="781"/>
      <c r="P14" s="781"/>
    </row>
    <row r="15" spans="1:16">
      <c r="A15" s="383" t="str">
        <f>自由選!B16</f>
        <v>XFN30</v>
      </c>
      <c r="B15" s="199" t="str">
        <f>IFERROR(VLOOKUP(A15,'2_Check_code'!F:F,1,FALSE),"")</f>
        <v>XFN30</v>
      </c>
      <c r="C15" s="195" t="str">
        <f t="shared" si="0"/>
        <v>TRUE</v>
      </c>
      <c r="F15" s="753" t="s">
        <v>580</v>
      </c>
      <c r="G15" s="752" t="s">
        <v>575</v>
      </c>
      <c r="I15" s="781" t="s">
        <v>2359</v>
      </c>
      <c r="J15" s="781"/>
      <c r="K15" s="781"/>
      <c r="L15" s="781"/>
      <c r="M15" s="781"/>
      <c r="N15" s="781"/>
      <c r="O15" s="781"/>
      <c r="P15" s="781"/>
    </row>
    <row r="16" spans="1:16">
      <c r="A16" s="383" t="str">
        <f>自由選!B17</f>
        <v>XG320</v>
      </c>
      <c r="B16" s="199" t="str">
        <f>IFERROR(VLOOKUP(A16,'2_Check_code'!F:F,1,FALSE),"")</f>
        <v>XG320</v>
      </c>
      <c r="C16" s="195" t="str">
        <f t="shared" si="0"/>
        <v>TRUE</v>
      </c>
      <c r="F16" s="753" t="s">
        <v>584</v>
      </c>
      <c r="G16" s="752" t="s">
        <v>580</v>
      </c>
      <c r="I16" s="781" t="s">
        <v>2360</v>
      </c>
      <c r="J16" s="781"/>
      <c r="K16" s="781"/>
      <c r="L16" s="781"/>
      <c r="M16" s="781"/>
      <c r="N16" s="781"/>
      <c r="O16" s="781"/>
      <c r="P16" s="781"/>
    </row>
    <row r="17" spans="1:10">
      <c r="A17" s="383" t="str">
        <f>自由選!B18</f>
        <v>XH520</v>
      </c>
      <c r="B17" s="199" t="str">
        <f>IFERROR(VLOOKUP(A17,'2_Check_code'!F:F,1,FALSE),"")</f>
        <v>XH520</v>
      </c>
      <c r="C17" s="195" t="str">
        <f t="shared" si="0"/>
        <v>TRUE</v>
      </c>
      <c r="F17" s="753" t="s">
        <v>587</v>
      </c>
      <c r="G17" s="752" t="s">
        <v>584</v>
      </c>
    </row>
    <row r="18" spans="1:10">
      <c r="A18" s="383" t="str">
        <f>自由選!B19</f>
        <v>XG500</v>
      </c>
      <c r="B18" s="199" t="str">
        <f>IFERROR(VLOOKUP(A18,'2_Check_code'!F:F,1,FALSE),"")</f>
        <v>XG500</v>
      </c>
      <c r="C18" s="195" t="str">
        <f t="shared" si="0"/>
        <v>TRUE</v>
      </c>
      <c r="F18" s="753" t="s">
        <v>590</v>
      </c>
      <c r="G18" s="752" t="s">
        <v>587</v>
      </c>
    </row>
    <row r="19" spans="1:10">
      <c r="F19" s="753" t="s">
        <v>598</v>
      </c>
      <c r="G19" s="752" t="s">
        <v>590</v>
      </c>
    </row>
    <row r="20" spans="1:10">
      <c r="F20" s="753" t="s">
        <v>601</v>
      </c>
      <c r="G20" s="752" t="s">
        <v>594</v>
      </c>
    </row>
    <row r="21" spans="1:10">
      <c r="F21" s="753" t="s">
        <v>609</v>
      </c>
      <c r="G21" s="752" t="s">
        <v>598</v>
      </c>
    </row>
    <row r="22" spans="1:10">
      <c r="F22" s="753" t="s">
        <v>613</v>
      </c>
      <c r="G22" s="752" t="s">
        <v>601</v>
      </c>
    </row>
    <row r="23" spans="1:10">
      <c r="F23" s="753" t="s">
        <v>616</v>
      </c>
      <c r="G23" s="752" t="s">
        <v>604</v>
      </c>
    </row>
    <row r="24" spans="1:10">
      <c r="F24" s="753" t="s">
        <v>619</v>
      </c>
      <c r="G24" s="752" t="s">
        <v>609</v>
      </c>
    </row>
    <row r="25" spans="1:10">
      <c r="F25" s="753" t="s">
        <v>623</v>
      </c>
      <c r="G25" s="752" t="s">
        <v>613</v>
      </c>
    </row>
    <row r="26" spans="1:10">
      <c r="F26" s="753" t="s">
        <v>626</v>
      </c>
      <c r="G26" s="752" t="s">
        <v>616</v>
      </c>
    </row>
    <row r="27" spans="1:10">
      <c r="A27" s="383" t="s">
        <v>2280</v>
      </c>
      <c r="C27" s="195" t="s">
        <v>1270</v>
      </c>
      <c r="F27" s="753" t="s">
        <v>630</v>
      </c>
      <c r="G27" s="752" t="s">
        <v>619</v>
      </c>
    </row>
    <row r="28" spans="1:10">
      <c r="A28" s="383" t="str">
        <f>'庫存管理(Pro)'!B7</f>
        <v>XFV30</v>
      </c>
      <c r="B28" s="199" t="str">
        <f>IFERROR(VLOOKUP(A28,'2_Check_code'!G:G,1,FALSE),"")</f>
        <v>XFV30</v>
      </c>
      <c r="C28" s="195" t="b">
        <f>IF(A28=B28,TRUE,FALSE)</f>
        <v>1</v>
      </c>
      <c r="D28" s="195">
        <v>7</v>
      </c>
      <c r="F28" s="753" t="s">
        <v>632</v>
      </c>
      <c r="G28" s="752" t="s">
        <v>623</v>
      </c>
    </row>
    <row r="29" spans="1:10">
      <c r="A29" s="383" t="str">
        <f>'庫存管理(Pro)'!B8</f>
        <v>XG500</v>
      </c>
      <c r="B29" s="199" t="str">
        <f>IFERROR(VLOOKUP(A29,'2_Check_code'!G:G,1,FALSE),"")</f>
        <v>XG500</v>
      </c>
      <c r="C29" s="195" t="b">
        <f t="shared" ref="C29:C39" si="1">IF(A29=B29,TRUE,FALSE)</f>
        <v>1</v>
      </c>
      <c r="D29" s="195">
        <v>8</v>
      </c>
      <c r="F29" s="753" t="s">
        <v>643</v>
      </c>
      <c r="G29" s="752" t="s">
        <v>626</v>
      </c>
    </row>
    <row r="30" spans="1:10" ht="16">
      <c r="A30" s="383" t="str">
        <f>'庫存管理(Pro)'!B9</f>
        <v>XG440</v>
      </c>
      <c r="B30" s="199" t="str">
        <f>IFERROR(VLOOKUP(A30,'2_Check_code'!G:G,1,FALSE),"")</f>
        <v>XG440</v>
      </c>
      <c r="C30" s="195" t="b">
        <f t="shared" si="1"/>
        <v>1</v>
      </c>
      <c r="D30" s="195">
        <v>9</v>
      </c>
      <c r="F30" s="753" t="s">
        <v>647</v>
      </c>
      <c r="G30" s="752" t="s">
        <v>630</v>
      </c>
      <c r="I30" s="704" t="s">
        <v>3508</v>
      </c>
      <c r="J30" s="704"/>
    </row>
    <row r="31" spans="1:10" ht="16">
      <c r="A31" s="383" t="str">
        <f>'庫存管理(Pro)'!B10</f>
        <v>XH240</v>
      </c>
      <c r="B31" s="199" t="str">
        <f>IFERROR(VLOOKUP(A31,'2_Check_code'!G:G,1,FALSE),"")</f>
        <v>XH240</v>
      </c>
      <c r="C31" s="195" t="b">
        <f t="shared" si="1"/>
        <v>1</v>
      </c>
      <c r="D31" s="195">
        <v>10</v>
      </c>
      <c r="F31" s="753" t="s">
        <v>650</v>
      </c>
      <c r="G31" s="752" t="s">
        <v>632</v>
      </c>
      <c r="I31" s="781" t="s">
        <v>2358</v>
      </c>
      <c r="J31" s="704"/>
    </row>
    <row r="32" spans="1:10">
      <c r="A32" s="383" t="str">
        <f>'庫存管理(Pro)'!B11</f>
        <v>XG490</v>
      </c>
      <c r="B32" s="199" t="str">
        <f>IFERROR(VLOOKUP(A32,'2_Check_code'!G:G,1,FALSE),"")</f>
        <v>XG490</v>
      </c>
      <c r="C32" s="195" t="b">
        <f t="shared" si="1"/>
        <v>1</v>
      </c>
      <c r="D32" s="195">
        <v>11</v>
      </c>
      <c r="F32" s="753" t="s">
        <v>654</v>
      </c>
      <c r="G32" s="752" t="s">
        <v>636</v>
      </c>
      <c r="I32" s="195">
        <v>2</v>
      </c>
      <c r="J32" s="195" t="s">
        <v>3509</v>
      </c>
    </row>
    <row r="33" spans="1:10">
      <c r="A33" s="383">
        <f>'庫存管理(Pro)'!B12</f>
        <v>0</v>
      </c>
      <c r="B33" s="199" t="str">
        <f>IFERROR(VLOOKUP(A33,'2_Check_code'!G:G,1,FALSE),"")</f>
        <v/>
      </c>
      <c r="C33" s="195" t="b">
        <f t="shared" si="1"/>
        <v>0</v>
      </c>
      <c r="D33" s="195">
        <v>12</v>
      </c>
      <c r="F33" s="753" t="s">
        <v>662</v>
      </c>
      <c r="G33" s="752" t="s">
        <v>639</v>
      </c>
      <c r="I33" s="195">
        <v>3</v>
      </c>
      <c r="J33" s="195" t="s">
        <v>3510</v>
      </c>
    </row>
    <row r="34" spans="1:10">
      <c r="A34" s="383">
        <f>'庫存管理(Pro)'!B13</f>
        <v>0</v>
      </c>
      <c r="B34" s="199" t="str">
        <f>IFERROR(VLOOKUP(A34,'2_Check_code'!G:G,1,FALSE),"")</f>
        <v/>
      </c>
      <c r="C34" s="195" t="b">
        <f t="shared" si="1"/>
        <v>0</v>
      </c>
      <c r="D34" s="195">
        <v>13</v>
      </c>
      <c r="F34" s="753" t="s">
        <v>665</v>
      </c>
      <c r="G34" s="752" t="s">
        <v>643</v>
      </c>
      <c r="I34" s="195">
        <v>4</v>
      </c>
      <c r="J34" s="195" t="s">
        <v>3512</v>
      </c>
    </row>
    <row r="35" spans="1:10">
      <c r="A35" s="383">
        <f>'庫存管理(Pro)'!B14</f>
        <v>0</v>
      </c>
      <c r="B35" s="199" t="str">
        <f>IFERROR(VLOOKUP(A35,'2_Check_code'!G:G,1,FALSE),"")</f>
        <v/>
      </c>
      <c r="C35" s="195" t="b">
        <f t="shared" si="1"/>
        <v>0</v>
      </c>
      <c r="D35" s="195">
        <v>14</v>
      </c>
      <c r="F35" s="753" t="s">
        <v>668</v>
      </c>
      <c r="G35" s="752" t="s">
        <v>647</v>
      </c>
      <c r="I35" s="195">
        <v>5</v>
      </c>
      <c r="J35" s="195" t="s">
        <v>3511</v>
      </c>
    </row>
    <row r="36" spans="1:10">
      <c r="A36" s="383">
        <f>'庫存管理(Pro)'!B15</f>
        <v>0</v>
      </c>
      <c r="B36" s="199" t="str">
        <f>IFERROR(VLOOKUP(A36,'2_Check_code'!G:G,1,FALSE),"")</f>
        <v/>
      </c>
      <c r="C36" s="195" t="b">
        <f t="shared" si="1"/>
        <v>0</v>
      </c>
      <c r="D36" s="195">
        <v>15</v>
      </c>
      <c r="F36" s="753" t="s">
        <v>674</v>
      </c>
      <c r="G36" s="752" t="s">
        <v>650</v>
      </c>
      <c r="I36" s="195">
        <v>6</v>
      </c>
      <c r="J36" s="195" t="s">
        <v>3878</v>
      </c>
    </row>
    <row r="37" spans="1:10">
      <c r="A37" s="383">
        <f>'庫存管理(Pro)'!B16</f>
        <v>0</v>
      </c>
      <c r="B37" s="199" t="str">
        <f>IFERROR(VLOOKUP(A37,'2_Check_code'!G:G,1,FALSE),"")</f>
        <v/>
      </c>
      <c r="C37" s="195" t="b">
        <f t="shared" si="1"/>
        <v>0</v>
      </c>
      <c r="D37" s="195">
        <v>16</v>
      </c>
      <c r="F37" s="753" t="s">
        <v>678</v>
      </c>
      <c r="G37" s="752" t="s">
        <v>654</v>
      </c>
      <c r="J37" s="195" t="s">
        <v>3879</v>
      </c>
    </row>
    <row r="38" spans="1:10">
      <c r="A38" s="383">
        <f>'庫存管理(Pro)'!B17</f>
        <v>0</v>
      </c>
      <c r="B38" s="199" t="str">
        <f>IFERROR(VLOOKUP(A38,'2_Check_code'!G:G,1,FALSE),"")</f>
        <v/>
      </c>
      <c r="C38" s="195" t="b">
        <f t="shared" si="1"/>
        <v>0</v>
      </c>
      <c r="D38" s="195">
        <v>17</v>
      </c>
      <c r="F38" s="753" t="s">
        <v>682</v>
      </c>
      <c r="G38" s="752" t="s">
        <v>657</v>
      </c>
    </row>
    <row r="39" spans="1:10">
      <c r="A39" s="383">
        <f>'庫存管理(Pro)'!B18</f>
        <v>0</v>
      </c>
      <c r="B39" s="199" t="str">
        <f>IFERROR(VLOOKUP(A39,'2_Check_code'!G:G,1,FALSE),"")</f>
        <v/>
      </c>
      <c r="C39" s="195" t="b">
        <f t="shared" si="1"/>
        <v>0</v>
      </c>
      <c r="D39" s="195">
        <v>18</v>
      </c>
      <c r="F39" s="753" t="s">
        <v>689</v>
      </c>
      <c r="G39" s="752" t="s">
        <v>662</v>
      </c>
    </row>
    <row r="40" spans="1:10">
      <c r="A40" s="383">
        <f>'庫存管理(Pro)'!B19</f>
        <v>0</v>
      </c>
      <c r="B40" s="199" t="str">
        <f>IFERROR(VLOOKUP(A40,'2_Check_code'!G:G,1,FALSE),"")</f>
        <v/>
      </c>
      <c r="C40" s="195" t="b">
        <f t="shared" ref="C40:C57" si="2">IF(A40=B40,TRUE,FALSE)</f>
        <v>0</v>
      </c>
      <c r="D40" s="195">
        <v>19</v>
      </c>
      <c r="F40" s="753" t="s">
        <v>693</v>
      </c>
      <c r="G40" s="752" t="s">
        <v>665</v>
      </c>
    </row>
    <row r="41" spans="1:10">
      <c r="A41" s="383">
        <f>'庫存管理(Pro)'!B20</f>
        <v>0</v>
      </c>
      <c r="B41" s="199" t="str">
        <f>IFERROR(VLOOKUP(A41,'2_Check_code'!G:G,1,FALSE),"")</f>
        <v/>
      </c>
      <c r="C41" s="195" t="b">
        <f t="shared" si="2"/>
        <v>0</v>
      </c>
      <c r="D41" s="195">
        <v>20</v>
      </c>
      <c r="F41" s="753" t="s">
        <v>697</v>
      </c>
      <c r="G41" s="752" t="s">
        <v>668</v>
      </c>
    </row>
    <row r="42" spans="1:10">
      <c r="A42" s="383">
        <f>'庫存管理(Pro)'!B21</f>
        <v>0</v>
      </c>
      <c r="B42" s="199" t="str">
        <f>IFERROR(VLOOKUP(A42,'2_Check_code'!G:G,1,FALSE),"")</f>
        <v/>
      </c>
      <c r="C42" s="195" t="b">
        <f t="shared" si="2"/>
        <v>0</v>
      </c>
      <c r="D42" s="195">
        <v>21</v>
      </c>
      <c r="F42" s="753" t="s">
        <v>700</v>
      </c>
      <c r="G42" s="752" t="s">
        <v>670</v>
      </c>
    </row>
    <row r="43" spans="1:10">
      <c r="A43" s="383">
        <f>'庫存管理(Pro)'!B22</f>
        <v>0</v>
      </c>
      <c r="B43" s="199" t="str">
        <f>IFERROR(VLOOKUP(A43,'2_Check_code'!G:G,1,FALSE),"")</f>
        <v/>
      </c>
      <c r="C43" s="195" t="b">
        <f t="shared" si="2"/>
        <v>0</v>
      </c>
      <c r="D43" s="195">
        <v>22</v>
      </c>
      <c r="F43" s="753" t="s">
        <v>703</v>
      </c>
      <c r="G43" s="752" t="s">
        <v>674</v>
      </c>
    </row>
    <row r="44" spans="1:10">
      <c r="A44" s="383">
        <f>'庫存管理(Pro)'!B23</f>
        <v>0</v>
      </c>
      <c r="B44" s="199" t="str">
        <f>IFERROR(VLOOKUP(A44,'2_Check_code'!G:G,1,FALSE),"")</f>
        <v/>
      </c>
      <c r="C44" s="195" t="b">
        <f t="shared" si="2"/>
        <v>0</v>
      </c>
      <c r="D44" s="195">
        <v>23</v>
      </c>
      <c r="F44" s="753" t="s">
        <v>706</v>
      </c>
      <c r="G44" s="752" t="s">
        <v>678</v>
      </c>
    </row>
    <row r="45" spans="1:10">
      <c r="A45" s="383">
        <f>'庫存管理(Pro)'!B24</f>
        <v>0</v>
      </c>
      <c r="B45" s="199" t="str">
        <f>IFERROR(VLOOKUP(A45,'2_Check_code'!G:G,1,FALSE),"")</f>
        <v/>
      </c>
      <c r="C45" s="195" t="b">
        <f t="shared" si="2"/>
        <v>0</v>
      </c>
      <c r="D45" s="195">
        <v>24</v>
      </c>
      <c r="F45" s="753" t="s">
        <v>708</v>
      </c>
      <c r="G45" s="752" t="s">
        <v>682</v>
      </c>
    </row>
    <row r="46" spans="1:10">
      <c r="A46" s="383">
        <f>'庫存管理(Pro)'!B25</f>
        <v>0</v>
      </c>
      <c r="B46" s="199" t="str">
        <f>IFERROR(VLOOKUP(A46,'2_Check_code'!G:G,1,FALSE),"")</f>
        <v/>
      </c>
      <c r="C46" s="195" t="b">
        <f t="shared" si="2"/>
        <v>0</v>
      </c>
      <c r="D46" s="195">
        <v>25</v>
      </c>
      <c r="F46" s="753" t="s">
        <v>712</v>
      </c>
      <c r="G46" s="752" t="s">
        <v>685</v>
      </c>
    </row>
    <row r="47" spans="1:10">
      <c r="A47" s="383">
        <f>'庫存管理(Pro)'!B26</f>
        <v>0</v>
      </c>
      <c r="B47" s="199" t="str">
        <f>IFERROR(VLOOKUP(A47,'2_Check_code'!G:G,1,FALSE),"")</f>
        <v/>
      </c>
      <c r="C47" s="195" t="b">
        <f t="shared" si="2"/>
        <v>0</v>
      </c>
      <c r="D47" s="195">
        <v>26</v>
      </c>
      <c r="F47" s="753" t="s">
        <v>714</v>
      </c>
      <c r="G47" s="752" t="s">
        <v>689</v>
      </c>
    </row>
    <row r="48" spans="1:10">
      <c r="A48" s="383">
        <f>'庫存管理(Pro)'!B27</f>
        <v>0</v>
      </c>
      <c r="B48" s="199" t="str">
        <f>IFERROR(VLOOKUP(A48,'2_Check_code'!G:G,1,FALSE),"")</f>
        <v/>
      </c>
      <c r="C48" s="195" t="b">
        <f t="shared" si="2"/>
        <v>0</v>
      </c>
      <c r="D48" s="195">
        <v>27</v>
      </c>
      <c r="F48" s="753" t="s">
        <v>716</v>
      </c>
      <c r="G48" s="752" t="s">
        <v>693</v>
      </c>
    </row>
    <row r="49" spans="1:7">
      <c r="A49" s="383">
        <f>'庫存管理(Pro)'!B28</f>
        <v>0</v>
      </c>
      <c r="B49" s="199" t="str">
        <f>IFERROR(VLOOKUP(A49,'2_Check_code'!G:G,1,FALSE),"")</f>
        <v/>
      </c>
      <c r="C49" s="195" t="b">
        <f t="shared" si="2"/>
        <v>0</v>
      </c>
      <c r="D49" s="195">
        <v>28</v>
      </c>
      <c r="F49" s="753" t="s">
        <v>720</v>
      </c>
      <c r="G49" s="752" t="s">
        <v>697</v>
      </c>
    </row>
    <row r="50" spans="1:7">
      <c r="A50" s="383">
        <f>'庫存管理(Pro)'!B29</f>
        <v>0</v>
      </c>
      <c r="B50" s="199" t="str">
        <f>IFERROR(VLOOKUP(A50,'2_Check_code'!G:G,1,FALSE),"")</f>
        <v/>
      </c>
      <c r="C50" s="195" t="b">
        <f t="shared" si="2"/>
        <v>0</v>
      </c>
      <c r="D50" s="195">
        <v>29</v>
      </c>
      <c r="F50" s="753" t="s">
        <v>724</v>
      </c>
      <c r="G50" s="752" t="s">
        <v>700</v>
      </c>
    </row>
    <row r="51" spans="1:7">
      <c r="A51" s="383">
        <f>'庫存管理(Pro)'!B30</f>
        <v>0</v>
      </c>
      <c r="B51" s="199" t="str">
        <f>IFERROR(VLOOKUP(A51,'2_Check_code'!G:G,1,FALSE),"")</f>
        <v/>
      </c>
      <c r="C51" s="195" t="b">
        <f t="shared" si="2"/>
        <v>0</v>
      </c>
      <c r="D51" s="195">
        <v>30</v>
      </c>
      <c r="F51" s="753" t="s">
        <v>731</v>
      </c>
      <c r="G51" s="752" t="s">
        <v>703</v>
      </c>
    </row>
    <row r="52" spans="1:7">
      <c r="A52" s="383">
        <f>'庫存管理(Pro)'!B31</f>
        <v>0</v>
      </c>
      <c r="B52" s="199" t="str">
        <f>IFERROR(VLOOKUP(A52,'2_Check_code'!G:G,1,FALSE),"")</f>
        <v/>
      </c>
      <c r="C52" s="195" t="b">
        <f t="shared" si="2"/>
        <v>0</v>
      </c>
      <c r="D52" s="195">
        <v>31</v>
      </c>
      <c r="F52" s="753" t="s">
        <v>735</v>
      </c>
      <c r="G52" s="752" t="s">
        <v>706</v>
      </c>
    </row>
    <row r="53" spans="1:7">
      <c r="A53" s="383">
        <f>'庫存管理(Pro)'!B32</f>
        <v>0</v>
      </c>
      <c r="B53" s="199" t="str">
        <f>IFERROR(VLOOKUP(A53,'2_Check_code'!G:G,1,FALSE),"")</f>
        <v/>
      </c>
      <c r="C53" s="195" t="b">
        <f t="shared" si="2"/>
        <v>0</v>
      </c>
      <c r="D53" s="195">
        <v>32</v>
      </c>
      <c r="F53" s="753" t="s">
        <v>741</v>
      </c>
      <c r="G53" s="752" t="s">
        <v>708</v>
      </c>
    </row>
    <row r="54" spans="1:7">
      <c r="A54" s="383">
        <f>'庫存管理(Pro)'!B33</f>
        <v>0</v>
      </c>
      <c r="B54" s="199" t="str">
        <f>IFERROR(VLOOKUP(A54,'2_Check_code'!G:G,1,FALSE),"")</f>
        <v/>
      </c>
      <c r="C54" s="195" t="b">
        <f t="shared" si="2"/>
        <v>0</v>
      </c>
      <c r="D54" s="195">
        <v>33</v>
      </c>
      <c r="F54" s="753" t="s">
        <v>744</v>
      </c>
      <c r="G54" s="752" t="s">
        <v>712</v>
      </c>
    </row>
    <row r="55" spans="1:7">
      <c r="A55" s="383">
        <f>'庫存管理(Pro)'!B34</f>
        <v>0</v>
      </c>
      <c r="B55" s="199" t="str">
        <f>IFERROR(VLOOKUP(A55,'2_Check_code'!G:G,1,FALSE),"")</f>
        <v/>
      </c>
      <c r="C55" s="195" t="b">
        <f t="shared" si="2"/>
        <v>0</v>
      </c>
      <c r="D55" s="195">
        <v>34</v>
      </c>
      <c r="F55" s="753" t="s">
        <v>750</v>
      </c>
      <c r="G55" s="752" t="s">
        <v>714</v>
      </c>
    </row>
    <row r="56" spans="1:7">
      <c r="A56" s="383">
        <f>'庫存管理(Pro)'!B35</f>
        <v>0</v>
      </c>
      <c r="B56" s="199" t="str">
        <f>IFERROR(VLOOKUP(A56,'2_Check_code'!G:G,1,FALSE),"")</f>
        <v/>
      </c>
      <c r="C56" s="195" t="b">
        <f t="shared" si="2"/>
        <v>0</v>
      </c>
      <c r="D56" s="195">
        <v>35</v>
      </c>
      <c r="F56" s="753" t="s">
        <v>753</v>
      </c>
      <c r="G56" s="752" t="s">
        <v>716</v>
      </c>
    </row>
    <row r="57" spans="1:7">
      <c r="A57" s="383">
        <f>'庫存管理(Pro)'!B36</f>
        <v>0</v>
      </c>
      <c r="B57" s="199" t="str">
        <f>IFERROR(VLOOKUP(A57,'2_Check_code'!G:G,1,FALSE),"")</f>
        <v/>
      </c>
      <c r="C57" s="195" t="b">
        <f t="shared" si="2"/>
        <v>0</v>
      </c>
      <c r="D57" s="195">
        <v>36</v>
      </c>
      <c r="F57" s="753" t="s">
        <v>763</v>
      </c>
      <c r="G57" s="752" t="s">
        <v>720</v>
      </c>
    </row>
    <row r="58" spans="1:7">
      <c r="F58" s="753" t="s">
        <v>769</v>
      </c>
      <c r="G58" s="752" t="s">
        <v>724</v>
      </c>
    </row>
    <row r="59" spans="1:7">
      <c r="F59" s="753" t="s">
        <v>770</v>
      </c>
      <c r="G59" s="752" t="s">
        <v>731</v>
      </c>
    </row>
    <row r="60" spans="1:7">
      <c r="F60" s="753" t="s">
        <v>773</v>
      </c>
      <c r="G60" s="752" t="s">
        <v>735</v>
      </c>
    </row>
    <row r="61" spans="1:7">
      <c r="A61" s="383" t="s">
        <v>2144</v>
      </c>
      <c r="C61" s="195" t="s">
        <v>1270</v>
      </c>
      <c r="F61" s="753" t="s">
        <v>775</v>
      </c>
      <c r="G61" s="752" t="s">
        <v>741</v>
      </c>
    </row>
    <row r="62" spans="1:7">
      <c r="A62" s="383" t="str">
        <f>庫存管理!P7</f>
        <v>XH430</v>
      </c>
      <c r="B62" s="199" t="str">
        <f>IFERROR(VLOOKUP(A62,'2_Check_code'!G:G,1,FALSE),"")</f>
        <v>XH430</v>
      </c>
      <c r="C62" s="195" t="b">
        <f>IF(A62=B62,TRUE,FALSE)</f>
        <v>1</v>
      </c>
      <c r="D62" s="195">
        <v>1</v>
      </c>
      <c r="F62" s="753" t="s">
        <v>777</v>
      </c>
      <c r="G62" s="752" t="s">
        <v>744</v>
      </c>
    </row>
    <row r="63" spans="1:7">
      <c r="A63" s="383" t="str">
        <f>庫存管理!P8</f>
        <v>XG300</v>
      </c>
      <c r="B63" s="199" t="str">
        <f>IFERROR(VLOOKUP(A63,'2_Check_code'!G:G,1,FALSE),"")</f>
        <v>XG300</v>
      </c>
      <c r="C63" s="195" t="b">
        <f t="shared" ref="C63:C73" si="3">IF(A63=B63,TRUE,FALSE)</f>
        <v>1</v>
      </c>
      <c r="D63" s="195">
        <v>2</v>
      </c>
      <c r="F63" s="753" t="s">
        <v>780</v>
      </c>
      <c r="G63" s="752" t="s">
        <v>747</v>
      </c>
    </row>
    <row r="64" spans="1:7">
      <c r="A64" s="383" t="str">
        <f>庫存管理!P9</f>
        <v>XH750</v>
      </c>
      <c r="B64" s="199" t="str">
        <f>IFERROR(VLOOKUP(A64,'2_Check_code'!G:G,1,FALSE),"")</f>
        <v>XH750</v>
      </c>
      <c r="C64" s="195" t="b">
        <f t="shared" si="3"/>
        <v>1</v>
      </c>
      <c r="D64" s="195">
        <v>3</v>
      </c>
      <c r="F64" s="753" t="s">
        <v>785</v>
      </c>
      <c r="G64" s="752" t="s">
        <v>750</v>
      </c>
    </row>
    <row r="65" spans="1:7">
      <c r="A65" s="383" t="str">
        <f>庫存管理!P10</f>
        <v>XH040</v>
      </c>
      <c r="B65" s="199" t="str">
        <f>IFERROR(VLOOKUP(A65,'2_Check_code'!G:G,1,FALSE),"")</f>
        <v>XH040</v>
      </c>
      <c r="C65" s="195" t="b">
        <f t="shared" si="3"/>
        <v>1</v>
      </c>
      <c r="D65" s="195">
        <v>4</v>
      </c>
      <c r="F65" s="753" t="s">
        <v>789</v>
      </c>
      <c r="G65" s="752" t="s">
        <v>753</v>
      </c>
    </row>
    <row r="66" spans="1:7">
      <c r="A66" s="383" t="str">
        <f>庫存管理!P11</f>
        <v/>
      </c>
      <c r="B66" s="199" t="str">
        <f>IFERROR(VLOOKUP(A66,'2_Check_code'!G:G,1,FALSE),"")</f>
        <v/>
      </c>
      <c r="C66" s="195" t="b">
        <f t="shared" si="3"/>
        <v>1</v>
      </c>
      <c r="D66" s="195">
        <v>5</v>
      </c>
      <c r="F66" s="753" t="s">
        <v>793</v>
      </c>
      <c r="G66" s="752" t="s">
        <v>756</v>
      </c>
    </row>
    <row r="67" spans="1:7">
      <c r="A67" s="383" t="str">
        <f>庫存管理!P12</f>
        <v/>
      </c>
      <c r="B67" s="199" t="str">
        <f>IFERROR(VLOOKUP(A67,'2_Check_code'!G:G,1,FALSE),"")</f>
        <v/>
      </c>
      <c r="C67" s="195" t="b">
        <f t="shared" si="3"/>
        <v>1</v>
      </c>
      <c r="D67" s="195">
        <v>6</v>
      </c>
      <c r="F67" s="753" t="s">
        <v>794</v>
      </c>
      <c r="G67" s="752" t="s">
        <v>759</v>
      </c>
    </row>
    <row r="68" spans="1:7">
      <c r="A68" s="383" t="str">
        <f>庫存管理!P13</f>
        <v/>
      </c>
      <c r="B68" s="199" t="str">
        <f>IFERROR(VLOOKUP(A68,'2_Check_code'!G:G,1,FALSE),"")</f>
        <v/>
      </c>
      <c r="C68" s="195" t="b">
        <f t="shared" si="3"/>
        <v>1</v>
      </c>
      <c r="D68" s="195">
        <v>7</v>
      </c>
      <c r="F68" s="753" t="s">
        <v>796</v>
      </c>
      <c r="G68" s="752" t="s">
        <v>763</v>
      </c>
    </row>
    <row r="69" spans="1:7">
      <c r="A69" s="383" t="str">
        <f>庫存管理!P14</f>
        <v/>
      </c>
      <c r="B69" s="199" t="str">
        <f>IFERROR(VLOOKUP(A69,'2_Check_code'!G:G,1,FALSE),"")</f>
        <v/>
      </c>
      <c r="C69" s="195" t="b">
        <f t="shared" si="3"/>
        <v>1</v>
      </c>
      <c r="D69" s="195">
        <v>8</v>
      </c>
      <c r="F69" s="753" t="s">
        <v>799</v>
      </c>
      <c r="G69" s="752" t="s">
        <v>769</v>
      </c>
    </row>
    <row r="70" spans="1:7">
      <c r="A70" s="383" t="str">
        <f>庫存管理!P15</f>
        <v/>
      </c>
      <c r="B70" s="199" t="str">
        <f>IFERROR(VLOOKUP(A70,'2_Check_code'!G:G,1,FALSE),"")</f>
        <v/>
      </c>
      <c r="C70" s="195" t="b">
        <f t="shared" si="3"/>
        <v>1</v>
      </c>
      <c r="D70" s="195">
        <v>9</v>
      </c>
      <c r="F70" s="753" t="s">
        <v>802</v>
      </c>
      <c r="G70" s="752" t="s">
        <v>770</v>
      </c>
    </row>
    <row r="71" spans="1:7">
      <c r="A71" s="383" t="str">
        <f>庫存管理!P16</f>
        <v/>
      </c>
      <c r="B71" s="199" t="str">
        <f>IFERROR(VLOOKUP(A71,'2_Check_code'!G:G,1,FALSE),"")</f>
        <v/>
      </c>
      <c r="C71" s="195" t="b">
        <f t="shared" si="3"/>
        <v>1</v>
      </c>
      <c r="D71" s="195">
        <v>10</v>
      </c>
      <c r="F71" s="753" t="s">
        <v>805</v>
      </c>
      <c r="G71" s="752" t="s">
        <v>773</v>
      </c>
    </row>
    <row r="72" spans="1:7">
      <c r="A72" s="383" t="str">
        <f>庫存管理!P17</f>
        <v/>
      </c>
      <c r="B72" s="199" t="str">
        <f>IFERROR(VLOOKUP(A72,'2_Check_code'!G:G,1,FALSE),"")</f>
        <v/>
      </c>
      <c r="C72" s="195" t="b">
        <f t="shared" si="3"/>
        <v>1</v>
      </c>
      <c r="D72" s="195">
        <v>11</v>
      </c>
      <c r="F72" s="753" t="s">
        <v>807</v>
      </c>
      <c r="G72" s="752" t="s">
        <v>775</v>
      </c>
    </row>
    <row r="73" spans="1:7">
      <c r="A73" s="383" t="str">
        <f>庫存管理!P18</f>
        <v/>
      </c>
      <c r="B73" s="199" t="str">
        <f>IFERROR(VLOOKUP(A73,'2_Check_code'!G:G,1,FALSE),"")</f>
        <v/>
      </c>
      <c r="C73" s="195" t="b">
        <f t="shared" si="3"/>
        <v>1</v>
      </c>
      <c r="D73" s="195">
        <v>12</v>
      </c>
      <c r="F73" s="753" t="s">
        <v>815</v>
      </c>
      <c r="G73" s="752" t="s">
        <v>777</v>
      </c>
    </row>
    <row r="74" spans="1:7">
      <c r="F74" s="753" t="s">
        <v>818</v>
      </c>
      <c r="G74" s="752" t="s">
        <v>780</v>
      </c>
    </row>
    <row r="75" spans="1:7">
      <c r="F75" s="753" t="s">
        <v>821</v>
      </c>
      <c r="G75" s="752" t="s">
        <v>785</v>
      </c>
    </row>
    <row r="76" spans="1:7">
      <c r="A76" s="383" t="s">
        <v>3743</v>
      </c>
      <c r="C76" s="195" t="s">
        <v>1270</v>
      </c>
      <c r="F76" s="753" t="s">
        <v>824</v>
      </c>
      <c r="G76" s="752" t="s">
        <v>789</v>
      </c>
    </row>
    <row r="77" spans="1:7">
      <c r="A77" s="383" t="str">
        <f>庫存管理!P44</f>
        <v>XH430</v>
      </c>
      <c r="B77" s="199" t="str">
        <f ca="1">IFERROR(VLOOKUP(A77,庫存管理_中繼頁!P7:P42,1,FALSE),"")</f>
        <v>XH430</v>
      </c>
      <c r="C77" s="195" t="b">
        <f ca="1">IF(A77=B77,TRUE,FALSE)</f>
        <v>1</v>
      </c>
      <c r="F77" s="753" t="s">
        <v>827</v>
      </c>
      <c r="G77" s="752" t="s">
        <v>793</v>
      </c>
    </row>
    <row r="78" spans="1:7">
      <c r="F78" s="753" t="s">
        <v>833</v>
      </c>
      <c r="G78" s="752" t="s">
        <v>794</v>
      </c>
    </row>
    <row r="79" spans="1:7">
      <c r="F79" s="753" t="s">
        <v>837</v>
      </c>
      <c r="G79" s="752" t="s">
        <v>796</v>
      </c>
    </row>
    <row r="80" spans="1:7">
      <c r="F80" s="753" t="s">
        <v>847</v>
      </c>
      <c r="G80" s="752" t="s">
        <v>799</v>
      </c>
    </row>
    <row r="81" spans="1:7">
      <c r="A81" s="383" t="s">
        <v>4276</v>
      </c>
      <c r="C81" s="195" t="s">
        <v>1270</v>
      </c>
      <c r="F81" s="753" t="s">
        <v>850</v>
      </c>
      <c r="G81" s="752" t="s">
        <v>802</v>
      </c>
    </row>
    <row r="82" spans="1:7">
      <c r="A82" s="383">
        <f>庫存管理!AI98</f>
        <v>0</v>
      </c>
      <c r="F82" s="753" t="s">
        <v>853</v>
      </c>
      <c r="G82" s="752" t="s">
        <v>805</v>
      </c>
    </row>
    <row r="83" spans="1:7">
      <c r="A83" s="383">
        <f>庫存管理!AI99</f>
        <v>0</v>
      </c>
      <c r="F83" s="753" t="s">
        <v>857</v>
      </c>
      <c r="G83" s="752" t="s">
        <v>807</v>
      </c>
    </row>
    <row r="84" spans="1:7">
      <c r="A84" s="383">
        <f>庫存管理!AI100</f>
        <v>0</v>
      </c>
      <c r="F84" s="753" t="s">
        <v>860</v>
      </c>
      <c r="G84" s="752" t="s">
        <v>809</v>
      </c>
    </row>
    <row r="85" spans="1:7">
      <c r="A85" s="383">
        <f>庫存管理!AI101</f>
        <v>0</v>
      </c>
      <c r="F85" s="753" t="s">
        <v>864</v>
      </c>
      <c r="G85" s="752" t="s">
        <v>812</v>
      </c>
    </row>
    <row r="86" spans="1:7">
      <c r="A86" s="383">
        <f>庫存管理!AI102</f>
        <v>0</v>
      </c>
      <c r="F86" s="753" t="s">
        <v>869</v>
      </c>
      <c r="G86" s="752" t="s">
        <v>815</v>
      </c>
    </row>
    <row r="87" spans="1:7">
      <c r="A87" s="383">
        <f>庫存管理!AI103</f>
        <v>0</v>
      </c>
      <c r="F87" s="753" t="s">
        <v>871</v>
      </c>
      <c r="G87" s="752" t="s">
        <v>818</v>
      </c>
    </row>
    <row r="88" spans="1:7">
      <c r="F88" s="753" t="s">
        <v>874</v>
      </c>
      <c r="G88" s="752" t="s">
        <v>821</v>
      </c>
    </row>
    <row r="89" spans="1:7">
      <c r="F89" s="753" t="s">
        <v>877</v>
      </c>
      <c r="G89" s="752" t="s">
        <v>824</v>
      </c>
    </row>
    <row r="90" spans="1:7">
      <c r="F90" s="753" t="s">
        <v>879</v>
      </c>
      <c r="G90" s="752" t="s">
        <v>827</v>
      </c>
    </row>
    <row r="91" spans="1:7">
      <c r="F91" s="753" t="s">
        <v>882</v>
      </c>
      <c r="G91" s="752" t="s">
        <v>830</v>
      </c>
    </row>
    <row r="92" spans="1:7">
      <c r="F92" s="753" t="s">
        <v>886</v>
      </c>
      <c r="G92" s="752" t="s">
        <v>833</v>
      </c>
    </row>
    <row r="93" spans="1:7">
      <c r="F93" s="753" t="s">
        <v>889</v>
      </c>
      <c r="G93" s="752" t="s">
        <v>837</v>
      </c>
    </row>
    <row r="94" spans="1:7">
      <c r="F94" s="753" t="s">
        <v>891</v>
      </c>
      <c r="G94" s="752" t="s">
        <v>840</v>
      </c>
    </row>
    <row r="95" spans="1:7">
      <c r="F95" s="753" t="s">
        <v>894</v>
      </c>
      <c r="G95" s="752" t="s">
        <v>844</v>
      </c>
    </row>
    <row r="96" spans="1:7">
      <c r="F96" s="753" t="s">
        <v>897</v>
      </c>
      <c r="G96" s="752" t="s">
        <v>847</v>
      </c>
    </row>
    <row r="97" spans="6:7">
      <c r="F97" s="753" t="s">
        <v>900</v>
      </c>
      <c r="G97" s="752" t="s">
        <v>850</v>
      </c>
    </row>
    <row r="98" spans="6:7">
      <c r="F98" s="753" t="s">
        <v>904</v>
      </c>
      <c r="G98" s="752" t="s">
        <v>853</v>
      </c>
    </row>
    <row r="99" spans="6:7">
      <c r="F99" s="753" t="s">
        <v>907</v>
      </c>
      <c r="G99" s="752" t="s">
        <v>857</v>
      </c>
    </row>
    <row r="100" spans="6:7">
      <c r="F100" s="753" t="s">
        <v>911</v>
      </c>
      <c r="G100" s="752" t="s">
        <v>860</v>
      </c>
    </row>
    <row r="101" spans="6:7">
      <c r="F101" s="753" t="s">
        <v>914</v>
      </c>
      <c r="G101" s="752" t="s">
        <v>864</v>
      </c>
    </row>
    <row r="102" spans="6:7">
      <c r="F102" s="753" t="s">
        <v>922</v>
      </c>
      <c r="G102" s="752" t="s">
        <v>869</v>
      </c>
    </row>
    <row r="103" spans="6:7">
      <c r="F103" s="753" t="s">
        <v>926</v>
      </c>
      <c r="G103" s="752" t="s">
        <v>871</v>
      </c>
    </row>
    <row r="104" spans="6:7">
      <c r="F104" s="753" t="s">
        <v>929</v>
      </c>
      <c r="G104" s="752" t="s">
        <v>874</v>
      </c>
    </row>
    <row r="105" spans="6:7">
      <c r="F105" s="753" t="s">
        <v>933</v>
      </c>
      <c r="G105" s="752" t="s">
        <v>877</v>
      </c>
    </row>
    <row r="106" spans="6:7">
      <c r="F106" s="753" t="s">
        <v>936</v>
      </c>
      <c r="G106" s="752" t="s">
        <v>879</v>
      </c>
    </row>
    <row r="107" spans="6:7">
      <c r="F107" s="753" t="s">
        <v>939</v>
      </c>
      <c r="G107" s="752" t="s">
        <v>882</v>
      </c>
    </row>
    <row r="108" spans="6:7">
      <c r="F108" s="753" t="s">
        <v>942</v>
      </c>
      <c r="G108" s="752" t="s">
        <v>886</v>
      </c>
    </row>
    <row r="109" spans="6:7">
      <c r="F109" s="753" t="s">
        <v>945</v>
      </c>
      <c r="G109" s="752" t="s">
        <v>889</v>
      </c>
    </row>
    <row r="110" spans="6:7">
      <c r="F110" s="753" t="s">
        <v>948</v>
      </c>
      <c r="G110" s="752" t="s">
        <v>891</v>
      </c>
    </row>
    <row r="111" spans="6:7">
      <c r="F111" s="753" t="s">
        <v>950</v>
      </c>
      <c r="G111" s="752" t="s">
        <v>894</v>
      </c>
    </row>
    <row r="112" spans="6:7">
      <c r="F112" s="753" t="s">
        <v>952</v>
      </c>
      <c r="G112" s="752" t="s">
        <v>897</v>
      </c>
    </row>
    <row r="113" spans="6:7">
      <c r="F113" s="753" t="s">
        <v>954</v>
      </c>
      <c r="G113" s="752" t="s">
        <v>900</v>
      </c>
    </row>
    <row r="114" spans="6:7">
      <c r="F114" s="753" t="s">
        <v>956</v>
      </c>
      <c r="G114" s="752" t="s">
        <v>904</v>
      </c>
    </row>
    <row r="115" spans="6:7">
      <c r="F115" s="753" t="s">
        <v>959</v>
      </c>
      <c r="G115" s="752" t="s">
        <v>907</v>
      </c>
    </row>
    <row r="116" spans="6:7">
      <c r="F116" s="753" t="s">
        <v>965</v>
      </c>
      <c r="G116" s="752" t="s">
        <v>911</v>
      </c>
    </row>
    <row r="117" spans="6:7">
      <c r="F117" s="753" t="s">
        <v>968</v>
      </c>
      <c r="G117" s="752" t="s">
        <v>914</v>
      </c>
    </row>
    <row r="118" spans="6:7">
      <c r="F118" s="753" t="s">
        <v>971</v>
      </c>
      <c r="G118" s="752" t="s">
        <v>918</v>
      </c>
    </row>
    <row r="119" spans="6:7">
      <c r="F119" s="753" t="s">
        <v>974</v>
      </c>
      <c r="G119" s="752" t="s">
        <v>922</v>
      </c>
    </row>
    <row r="120" spans="6:7">
      <c r="F120" s="753" t="s">
        <v>977</v>
      </c>
      <c r="G120" s="752" t="s">
        <v>926</v>
      </c>
    </row>
    <row r="121" spans="6:7">
      <c r="F121" s="753" t="s">
        <v>979</v>
      </c>
      <c r="G121" s="752" t="s">
        <v>929</v>
      </c>
    </row>
    <row r="122" spans="6:7">
      <c r="F122" s="753" t="s">
        <v>981</v>
      </c>
      <c r="G122" s="752" t="s">
        <v>933</v>
      </c>
    </row>
    <row r="123" spans="6:7">
      <c r="F123" s="753" t="s">
        <v>983</v>
      </c>
      <c r="G123" s="752" t="s">
        <v>936</v>
      </c>
    </row>
    <row r="124" spans="6:7">
      <c r="F124" s="753" t="s">
        <v>987</v>
      </c>
      <c r="G124" s="752" t="s">
        <v>939</v>
      </c>
    </row>
    <row r="125" spans="6:7">
      <c r="F125" s="753" t="s">
        <v>990</v>
      </c>
      <c r="G125" s="752" t="s">
        <v>942</v>
      </c>
    </row>
    <row r="126" spans="6:7">
      <c r="F126" s="753" t="s">
        <v>993</v>
      </c>
      <c r="G126" s="752" t="s">
        <v>945</v>
      </c>
    </row>
    <row r="127" spans="6:7">
      <c r="F127" s="753" t="s">
        <v>995</v>
      </c>
      <c r="G127" s="752" t="s">
        <v>948</v>
      </c>
    </row>
    <row r="128" spans="6:7">
      <c r="F128" s="753" t="s">
        <v>999</v>
      </c>
      <c r="G128" s="752" t="s">
        <v>950</v>
      </c>
    </row>
    <row r="129" spans="6:7">
      <c r="F129" s="753" t="s">
        <v>1003</v>
      </c>
      <c r="G129" s="752" t="s">
        <v>952</v>
      </c>
    </row>
    <row r="130" spans="6:7">
      <c r="F130" s="753" t="s">
        <v>1006</v>
      </c>
      <c r="G130" s="752" t="s">
        <v>954</v>
      </c>
    </row>
    <row r="131" spans="6:7">
      <c r="F131" s="753" t="s">
        <v>1009</v>
      </c>
      <c r="G131" s="752" t="s">
        <v>956</v>
      </c>
    </row>
    <row r="132" spans="6:7">
      <c r="F132" s="753" t="s">
        <v>1018</v>
      </c>
      <c r="G132" s="752" t="s">
        <v>959</v>
      </c>
    </row>
    <row r="133" spans="6:7">
      <c r="F133" s="753" t="s">
        <v>1022</v>
      </c>
      <c r="G133" s="752" t="s">
        <v>962</v>
      </c>
    </row>
    <row r="134" spans="6:7">
      <c r="F134" s="753" t="s">
        <v>1024</v>
      </c>
      <c r="G134" s="752" t="s">
        <v>965</v>
      </c>
    </row>
    <row r="135" spans="6:7">
      <c r="F135" s="753" t="s">
        <v>1027</v>
      </c>
      <c r="G135" s="752" t="s">
        <v>968</v>
      </c>
    </row>
    <row r="136" spans="6:7">
      <c r="F136" s="753" t="s">
        <v>1030</v>
      </c>
      <c r="G136" s="752" t="s">
        <v>971</v>
      </c>
    </row>
    <row r="137" spans="6:7">
      <c r="F137" s="753" t="s">
        <v>1033</v>
      </c>
      <c r="G137" s="752" t="s">
        <v>974</v>
      </c>
    </row>
    <row r="138" spans="6:7">
      <c r="F138" s="754" t="s">
        <v>1036</v>
      </c>
      <c r="G138" s="752" t="s">
        <v>977</v>
      </c>
    </row>
    <row r="139" spans="6:7">
      <c r="F139" s="754" t="s">
        <v>1039</v>
      </c>
      <c r="G139" s="752" t="s">
        <v>979</v>
      </c>
    </row>
    <row r="140" spans="6:7">
      <c r="F140" s="754" t="s">
        <v>1043</v>
      </c>
      <c r="G140" s="752" t="s">
        <v>981</v>
      </c>
    </row>
    <row r="141" spans="6:7">
      <c r="F141" s="754" t="s">
        <v>1046</v>
      </c>
      <c r="G141" s="752" t="s">
        <v>983</v>
      </c>
    </row>
    <row r="142" spans="6:7">
      <c r="F142" s="754" t="s">
        <v>1049</v>
      </c>
      <c r="G142" s="752" t="s">
        <v>987</v>
      </c>
    </row>
    <row r="143" spans="6:7">
      <c r="F143" s="754" t="s">
        <v>1052</v>
      </c>
      <c r="G143" s="752" t="s">
        <v>990</v>
      </c>
    </row>
    <row r="144" spans="6:7">
      <c r="F144" s="754" t="s">
        <v>1053</v>
      </c>
      <c r="G144" s="752" t="s">
        <v>993</v>
      </c>
    </row>
    <row r="145" spans="6:7">
      <c r="F145" s="754" t="s">
        <v>1055</v>
      </c>
      <c r="G145" s="752" t="s">
        <v>995</v>
      </c>
    </row>
    <row r="146" spans="6:7">
      <c r="F146" s="754" t="s">
        <v>1057</v>
      </c>
      <c r="G146" s="752" t="s">
        <v>999</v>
      </c>
    </row>
    <row r="147" spans="6:7">
      <c r="F147" s="754" t="s">
        <v>1059</v>
      </c>
      <c r="G147" s="752" t="s">
        <v>1003</v>
      </c>
    </row>
    <row r="148" spans="6:7">
      <c r="F148" s="754" t="s">
        <v>1061</v>
      </c>
      <c r="G148" s="752" t="s">
        <v>1006</v>
      </c>
    </row>
    <row r="149" spans="6:7">
      <c r="F149" s="754" t="s">
        <v>1064</v>
      </c>
      <c r="G149" s="752" t="s">
        <v>1009</v>
      </c>
    </row>
    <row r="150" spans="6:7">
      <c r="F150" s="754" t="s">
        <v>1067</v>
      </c>
      <c r="G150" s="752" t="s">
        <v>1014</v>
      </c>
    </row>
    <row r="151" spans="6:7">
      <c r="F151" s="754" t="s">
        <v>1070</v>
      </c>
      <c r="G151" s="752" t="s">
        <v>1018</v>
      </c>
    </row>
    <row r="152" spans="6:7">
      <c r="F152" s="754" t="s">
        <v>1072</v>
      </c>
      <c r="G152" s="752" t="s">
        <v>1022</v>
      </c>
    </row>
    <row r="153" spans="6:7">
      <c r="F153" s="754" t="s">
        <v>1075</v>
      </c>
      <c r="G153" s="752" t="s">
        <v>1024</v>
      </c>
    </row>
    <row r="154" spans="6:7">
      <c r="F154" s="754" t="s">
        <v>1078</v>
      </c>
      <c r="G154" s="752" t="s">
        <v>1027</v>
      </c>
    </row>
    <row r="155" spans="6:7">
      <c r="F155" s="754" t="s">
        <v>1081</v>
      </c>
      <c r="G155" s="752" t="s">
        <v>1030</v>
      </c>
    </row>
    <row r="156" spans="6:7">
      <c r="F156" s="754" t="s">
        <v>1085</v>
      </c>
      <c r="G156" s="752" t="s">
        <v>1033</v>
      </c>
    </row>
    <row r="157" spans="6:7">
      <c r="F157" s="754" t="s">
        <v>1088</v>
      </c>
      <c r="G157" s="752" t="s">
        <v>1036</v>
      </c>
    </row>
    <row r="158" spans="6:7">
      <c r="F158" s="754" t="s">
        <v>1091</v>
      </c>
      <c r="G158" s="752" t="s">
        <v>1039</v>
      </c>
    </row>
    <row r="159" spans="6:7">
      <c r="F159" s="754" t="s">
        <v>1094</v>
      </c>
      <c r="G159" s="752" t="s">
        <v>1043</v>
      </c>
    </row>
    <row r="160" spans="6:7">
      <c r="F160" s="754" t="s">
        <v>1098</v>
      </c>
      <c r="G160" s="752" t="s">
        <v>1046</v>
      </c>
    </row>
    <row r="161" spans="6:7">
      <c r="F161" s="754" t="s">
        <v>1101</v>
      </c>
      <c r="G161" s="752" t="s">
        <v>1049</v>
      </c>
    </row>
    <row r="162" spans="6:7">
      <c r="F162" s="754" t="s">
        <v>1104</v>
      </c>
      <c r="G162" s="752" t="s">
        <v>1052</v>
      </c>
    </row>
    <row r="163" spans="6:7">
      <c r="F163" s="754" t="s">
        <v>1107</v>
      </c>
      <c r="G163" s="752" t="s">
        <v>1053</v>
      </c>
    </row>
    <row r="164" spans="6:7">
      <c r="F164" s="754" t="s">
        <v>1110</v>
      </c>
      <c r="G164" s="752" t="s">
        <v>1055</v>
      </c>
    </row>
    <row r="165" spans="6:7">
      <c r="F165" s="754" t="s">
        <v>1113</v>
      </c>
      <c r="G165" s="752" t="s">
        <v>1057</v>
      </c>
    </row>
    <row r="166" spans="6:7">
      <c r="F166" s="754" t="s">
        <v>1116</v>
      </c>
      <c r="G166" s="752" t="s">
        <v>1059</v>
      </c>
    </row>
    <row r="167" spans="6:7">
      <c r="F167" s="754" t="s">
        <v>1119</v>
      </c>
      <c r="G167" s="752" t="s">
        <v>1061</v>
      </c>
    </row>
    <row r="168" spans="6:7">
      <c r="F168" s="754" t="s">
        <v>1122</v>
      </c>
      <c r="G168" s="752" t="s">
        <v>1064</v>
      </c>
    </row>
    <row r="169" spans="6:7">
      <c r="F169" s="754" t="s">
        <v>1125</v>
      </c>
      <c r="G169" s="752" t="s">
        <v>1067</v>
      </c>
    </row>
    <row r="170" spans="6:7">
      <c r="F170" s="754" t="s">
        <v>1128</v>
      </c>
      <c r="G170" s="752" t="s">
        <v>1070</v>
      </c>
    </row>
    <row r="171" spans="6:7">
      <c r="F171" s="754" t="s">
        <v>1135</v>
      </c>
      <c r="G171" s="752" t="s">
        <v>1072</v>
      </c>
    </row>
    <row r="172" spans="6:7">
      <c r="F172" s="754" t="s">
        <v>1138</v>
      </c>
      <c r="G172" s="752" t="s">
        <v>1075</v>
      </c>
    </row>
    <row r="173" spans="6:7">
      <c r="F173" s="754" t="s">
        <v>1141</v>
      </c>
      <c r="G173" s="752" t="s">
        <v>1078</v>
      </c>
    </row>
    <row r="174" spans="6:7">
      <c r="F174" s="754" t="s">
        <v>1144</v>
      </c>
      <c r="G174" s="752" t="s">
        <v>1081</v>
      </c>
    </row>
    <row r="175" spans="6:7">
      <c r="F175" s="754" t="s">
        <v>1145</v>
      </c>
      <c r="G175" s="752" t="s">
        <v>1085</v>
      </c>
    </row>
    <row r="176" spans="6:7">
      <c r="F176" s="754" t="s">
        <v>1149</v>
      </c>
      <c r="G176" s="752" t="s">
        <v>1088</v>
      </c>
    </row>
    <row r="177" spans="6:7">
      <c r="F177" s="754" t="s">
        <v>1152</v>
      </c>
      <c r="G177" s="752" t="s">
        <v>1091</v>
      </c>
    </row>
    <row r="178" spans="6:7">
      <c r="F178" s="754" t="s">
        <v>1155</v>
      </c>
      <c r="G178" s="752" t="s">
        <v>1094</v>
      </c>
    </row>
    <row r="179" spans="6:7">
      <c r="F179" s="754" t="s">
        <v>1157</v>
      </c>
      <c r="G179" s="752" t="s">
        <v>1098</v>
      </c>
    </row>
    <row r="180" spans="6:7">
      <c r="F180" s="754" t="s">
        <v>1161</v>
      </c>
      <c r="G180" s="752" t="s">
        <v>1101</v>
      </c>
    </row>
    <row r="181" spans="6:7">
      <c r="F181" s="754" t="s">
        <v>1165</v>
      </c>
      <c r="G181" s="752" t="s">
        <v>1104</v>
      </c>
    </row>
    <row r="182" spans="6:7">
      <c r="F182" s="754" t="s">
        <v>1167</v>
      </c>
      <c r="G182" s="752" t="s">
        <v>1107</v>
      </c>
    </row>
    <row r="183" spans="6:7">
      <c r="F183" s="754" t="s">
        <v>1171</v>
      </c>
      <c r="G183" s="752" t="s">
        <v>1110</v>
      </c>
    </row>
    <row r="184" spans="6:7">
      <c r="F184" s="754" t="s">
        <v>1174</v>
      </c>
      <c r="G184" s="752" t="s">
        <v>1113</v>
      </c>
    </row>
    <row r="185" spans="6:7">
      <c r="F185" s="754" t="s">
        <v>1176</v>
      </c>
      <c r="G185" s="752" t="s">
        <v>1116</v>
      </c>
    </row>
    <row r="186" spans="6:7">
      <c r="F186" s="754" t="s">
        <v>1179</v>
      </c>
      <c r="G186" s="752" t="s">
        <v>1119</v>
      </c>
    </row>
    <row r="187" spans="6:7">
      <c r="F187" s="754" t="s">
        <v>1182</v>
      </c>
      <c r="G187" s="752" t="s">
        <v>1122</v>
      </c>
    </row>
    <row r="188" spans="6:7">
      <c r="F188" s="754" t="s">
        <v>1184</v>
      </c>
      <c r="G188" s="752" t="s">
        <v>1125</v>
      </c>
    </row>
    <row r="189" spans="6:7">
      <c r="F189" s="754" t="s">
        <v>1186</v>
      </c>
      <c r="G189" s="752" t="s">
        <v>1128</v>
      </c>
    </row>
    <row r="190" spans="6:7">
      <c r="F190" s="754" t="s">
        <v>1189</v>
      </c>
      <c r="G190" s="752" t="s">
        <v>1131</v>
      </c>
    </row>
    <row r="191" spans="6:7">
      <c r="F191" s="754" t="s">
        <v>1192</v>
      </c>
      <c r="G191" s="752" t="s">
        <v>1135</v>
      </c>
    </row>
    <row r="192" spans="6:7">
      <c r="F192" s="754" t="s">
        <v>1195</v>
      </c>
      <c r="G192" s="752" t="s">
        <v>1138</v>
      </c>
    </row>
    <row r="193" spans="6:7">
      <c r="F193" s="754" t="s">
        <v>1199</v>
      </c>
      <c r="G193" s="752" t="s">
        <v>1141</v>
      </c>
    </row>
    <row r="194" spans="6:7">
      <c r="F194" s="754" t="s">
        <v>1202</v>
      </c>
      <c r="G194" s="752" t="s">
        <v>1144</v>
      </c>
    </row>
    <row r="195" spans="6:7">
      <c r="F195" s="754" t="s">
        <v>1204</v>
      </c>
      <c r="G195" s="752" t="s">
        <v>1145</v>
      </c>
    </row>
    <row r="196" spans="6:7">
      <c r="F196" s="754" t="s">
        <v>1206</v>
      </c>
      <c r="G196" s="752" t="s">
        <v>1149</v>
      </c>
    </row>
    <row r="197" spans="6:7">
      <c r="F197" s="754" t="s">
        <v>1209</v>
      </c>
      <c r="G197" s="752" t="s">
        <v>1152</v>
      </c>
    </row>
    <row r="198" spans="6:7">
      <c r="F198" s="754" t="s">
        <v>1212</v>
      </c>
      <c r="G198" s="752" t="s">
        <v>1155</v>
      </c>
    </row>
    <row r="199" spans="6:7">
      <c r="F199" s="754" t="s">
        <v>1216</v>
      </c>
      <c r="G199" s="752" t="s">
        <v>1157</v>
      </c>
    </row>
    <row r="200" spans="6:7">
      <c r="F200" s="754" t="s">
        <v>1218</v>
      </c>
      <c r="G200" s="752" t="s">
        <v>1161</v>
      </c>
    </row>
    <row r="201" spans="6:7">
      <c r="F201" s="754" t="s">
        <v>1220</v>
      </c>
      <c r="G201" s="752" t="s">
        <v>1165</v>
      </c>
    </row>
    <row r="202" spans="6:7">
      <c r="F202" s="754" t="s">
        <v>1223</v>
      </c>
      <c r="G202" s="752" t="s">
        <v>1167</v>
      </c>
    </row>
    <row r="203" spans="6:7">
      <c r="F203" s="754" t="s">
        <v>1226</v>
      </c>
      <c r="G203" s="752" t="s">
        <v>1171</v>
      </c>
    </row>
    <row r="204" spans="6:7">
      <c r="F204" s="754" t="s">
        <v>1234</v>
      </c>
      <c r="G204" s="752" t="s">
        <v>1174</v>
      </c>
    </row>
    <row r="205" spans="6:7">
      <c r="F205" s="754" t="s">
        <v>1237</v>
      </c>
      <c r="G205" s="752" t="s">
        <v>1176</v>
      </c>
    </row>
    <row r="206" spans="6:7">
      <c r="F206" s="754" t="s">
        <v>1240</v>
      </c>
      <c r="G206" s="752" t="s">
        <v>1179</v>
      </c>
    </row>
    <row r="207" spans="6:7">
      <c r="F207" s="754" t="s">
        <v>1243</v>
      </c>
      <c r="G207" s="752" t="s">
        <v>1182</v>
      </c>
    </row>
    <row r="208" spans="6:7">
      <c r="F208" s="754" t="s">
        <v>1245</v>
      </c>
      <c r="G208" s="752" t="s">
        <v>1184</v>
      </c>
    </row>
    <row r="209" spans="6:7">
      <c r="F209" s="754" t="s">
        <v>1247</v>
      </c>
      <c r="G209" s="752" t="s">
        <v>1186</v>
      </c>
    </row>
    <row r="210" spans="6:7">
      <c r="F210" s="754" t="s">
        <v>1251</v>
      </c>
      <c r="G210" s="752" t="s">
        <v>1189</v>
      </c>
    </row>
    <row r="211" spans="6:7">
      <c r="F211" s="754" t="s">
        <v>1254</v>
      </c>
      <c r="G211" s="752" t="s">
        <v>1192</v>
      </c>
    </row>
    <row r="212" spans="6:7">
      <c r="F212" s="754" t="s">
        <v>1258</v>
      </c>
      <c r="G212" s="752" t="s">
        <v>1195</v>
      </c>
    </row>
    <row r="213" spans="6:7">
      <c r="F213" s="754" t="s">
        <v>1261</v>
      </c>
      <c r="G213" s="752" t="s">
        <v>1199</v>
      </c>
    </row>
    <row r="214" spans="6:7">
      <c r="F214" s="754" t="s">
        <v>1264</v>
      </c>
      <c r="G214" s="752" t="s">
        <v>1202</v>
      </c>
    </row>
    <row r="215" spans="6:7">
      <c r="F215" s="754" t="s">
        <v>1266</v>
      </c>
      <c r="G215" s="752" t="s">
        <v>1204</v>
      </c>
    </row>
    <row r="216" spans="6:7">
      <c r="F216" s="754" t="s">
        <v>1267</v>
      </c>
      <c r="G216" s="752" t="s">
        <v>1206</v>
      </c>
    </row>
    <row r="217" spans="6:7">
      <c r="F217" s="754" t="s">
        <v>1292</v>
      </c>
      <c r="G217" s="752" t="s">
        <v>1209</v>
      </c>
    </row>
    <row r="218" spans="6:7">
      <c r="F218" s="754" t="s">
        <v>1296</v>
      </c>
      <c r="G218" s="752" t="s">
        <v>1212</v>
      </c>
    </row>
    <row r="219" spans="6:7">
      <c r="F219" s="754" t="s">
        <v>1299</v>
      </c>
      <c r="G219" s="752" t="s">
        <v>1216</v>
      </c>
    </row>
    <row r="220" spans="6:7">
      <c r="F220" s="754" t="s">
        <v>1303</v>
      </c>
      <c r="G220" s="752" t="s">
        <v>1218</v>
      </c>
    </row>
    <row r="221" spans="6:7">
      <c r="F221" s="754" t="s">
        <v>1800</v>
      </c>
      <c r="G221" s="752" t="s">
        <v>1220</v>
      </c>
    </row>
    <row r="222" spans="6:7">
      <c r="F222" s="754" t="s">
        <v>1801</v>
      </c>
      <c r="G222" s="752" t="s">
        <v>1223</v>
      </c>
    </row>
    <row r="223" spans="6:7">
      <c r="F223" s="754" t="s">
        <v>1802</v>
      </c>
      <c r="G223" s="752" t="s">
        <v>1226</v>
      </c>
    </row>
    <row r="224" spans="6:7">
      <c r="F224" s="754" t="s">
        <v>1803</v>
      </c>
      <c r="G224" s="752" t="s">
        <v>1229</v>
      </c>
    </row>
    <row r="225" spans="6:11">
      <c r="F225" s="754" t="s">
        <v>2078</v>
      </c>
      <c r="G225" s="752" t="s">
        <v>1234</v>
      </c>
    </row>
    <row r="226" spans="6:11">
      <c r="F226" s="754" t="s">
        <v>2082</v>
      </c>
      <c r="G226" s="752" t="s">
        <v>1237</v>
      </c>
    </row>
    <row r="227" spans="6:11">
      <c r="F227" s="754" t="s">
        <v>2085</v>
      </c>
      <c r="G227" s="752" t="s">
        <v>1240</v>
      </c>
    </row>
    <row r="228" spans="6:11">
      <c r="F228" s="754" t="s">
        <v>2088</v>
      </c>
      <c r="G228" s="752" t="s">
        <v>1243</v>
      </c>
      <c r="K228" s="200"/>
    </row>
    <row r="229" spans="6:11">
      <c r="F229" s="754" t="s">
        <v>2183</v>
      </c>
      <c r="G229" s="752" t="s">
        <v>1245</v>
      </c>
    </row>
    <row r="230" spans="6:11">
      <c r="F230" s="754" t="s">
        <v>2196</v>
      </c>
      <c r="G230" s="752" t="s">
        <v>1247</v>
      </c>
    </row>
    <row r="231" spans="6:11">
      <c r="F231" s="754" t="s">
        <v>2197</v>
      </c>
      <c r="G231" s="752" t="s">
        <v>1251</v>
      </c>
    </row>
    <row r="232" spans="6:11">
      <c r="F232" s="754" t="s">
        <v>2198</v>
      </c>
      <c r="G232" s="752" t="s">
        <v>1254</v>
      </c>
    </row>
    <row r="233" spans="6:11">
      <c r="F233" s="754" t="s">
        <v>2199</v>
      </c>
      <c r="G233" s="752" t="s">
        <v>1258</v>
      </c>
    </row>
    <row r="234" spans="6:11">
      <c r="F234" s="754" t="s">
        <v>2200</v>
      </c>
      <c r="G234" s="752" t="s">
        <v>1261</v>
      </c>
    </row>
    <row r="235" spans="6:11">
      <c r="F235" s="754" t="s">
        <v>2215</v>
      </c>
      <c r="G235" s="752" t="s">
        <v>1264</v>
      </c>
    </row>
    <row r="236" spans="6:11">
      <c r="F236" s="754" t="s">
        <v>2220</v>
      </c>
      <c r="G236" s="752" t="s">
        <v>1266</v>
      </c>
    </row>
    <row r="237" spans="6:11">
      <c r="F237" s="754" t="s">
        <v>2226</v>
      </c>
      <c r="G237" s="752" t="s">
        <v>1267</v>
      </c>
    </row>
    <row r="238" spans="6:11">
      <c r="F238" s="754" t="s">
        <v>2229</v>
      </c>
      <c r="G238" s="752" t="s">
        <v>1292</v>
      </c>
    </row>
    <row r="239" spans="6:11">
      <c r="F239" s="754" t="s">
        <v>2232</v>
      </c>
      <c r="G239" s="752" t="s">
        <v>1296</v>
      </c>
    </row>
    <row r="240" spans="6:11">
      <c r="F240" s="754" t="s">
        <v>2340</v>
      </c>
      <c r="G240" s="752" t="s">
        <v>1299</v>
      </c>
    </row>
    <row r="241" spans="6:7">
      <c r="F241" s="755" t="s">
        <v>2342</v>
      </c>
      <c r="G241" s="752" t="s">
        <v>1303</v>
      </c>
    </row>
    <row r="242" spans="6:7">
      <c r="F242" s="755" t="s">
        <v>2354</v>
      </c>
      <c r="G242" s="752" t="s">
        <v>1800</v>
      </c>
    </row>
    <row r="243" spans="6:7">
      <c r="F243" s="755" t="s">
        <v>2361</v>
      </c>
      <c r="G243" s="752" t="s">
        <v>1801</v>
      </c>
    </row>
    <row r="244" spans="6:7">
      <c r="F244" s="755" t="s">
        <v>2363</v>
      </c>
      <c r="G244" s="752" t="s">
        <v>1802</v>
      </c>
    </row>
    <row r="245" spans="6:7">
      <c r="F245" s="755" t="s">
        <v>2365</v>
      </c>
      <c r="G245" s="752" t="s">
        <v>1803</v>
      </c>
    </row>
    <row r="246" spans="6:7">
      <c r="F246" s="755" t="s">
        <v>2380</v>
      </c>
      <c r="G246" s="752" t="s">
        <v>2078</v>
      </c>
    </row>
    <row r="247" spans="6:7">
      <c r="F247" s="755" t="s">
        <v>2383</v>
      </c>
      <c r="G247" s="752" t="s">
        <v>2082</v>
      </c>
    </row>
    <row r="248" spans="6:7">
      <c r="F248" s="755" t="s">
        <v>2386</v>
      </c>
      <c r="G248" s="752" t="s">
        <v>2085</v>
      </c>
    </row>
    <row r="249" spans="6:7">
      <c r="F249" s="755" t="s">
        <v>2389</v>
      </c>
      <c r="G249" s="752" t="s">
        <v>2088</v>
      </c>
    </row>
    <row r="250" spans="6:7">
      <c r="F250" s="755" t="s">
        <v>3489</v>
      </c>
      <c r="G250" s="752" t="s">
        <v>2179</v>
      </c>
    </row>
    <row r="251" spans="6:7">
      <c r="F251" s="755" t="s">
        <v>3498</v>
      </c>
      <c r="G251" s="752" t="s">
        <v>2183</v>
      </c>
    </row>
    <row r="252" spans="6:7">
      <c r="F252" s="755" t="s">
        <v>3832</v>
      </c>
      <c r="G252" s="752" t="s">
        <v>2196</v>
      </c>
    </row>
    <row r="253" spans="6:7">
      <c r="F253" s="755" t="s">
        <v>3842</v>
      </c>
      <c r="G253" s="752" t="s">
        <v>2197</v>
      </c>
    </row>
    <row r="254" spans="6:7">
      <c r="F254" s="755" t="s">
        <v>3849</v>
      </c>
      <c r="G254" s="752" t="s">
        <v>2198</v>
      </c>
    </row>
    <row r="255" spans="6:7">
      <c r="F255" s="755" t="s">
        <v>3921</v>
      </c>
      <c r="G255" s="752" t="s">
        <v>2199</v>
      </c>
    </row>
    <row r="256" spans="6:7">
      <c r="F256" s="755" t="s">
        <v>3950</v>
      </c>
      <c r="G256" s="752" t="s">
        <v>2200</v>
      </c>
    </row>
    <row r="257" spans="6:7">
      <c r="F257" s="755" t="s">
        <v>3956</v>
      </c>
      <c r="G257" s="752" t="s">
        <v>2215</v>
      </c>
    </row>
    <row r="258" spans="6:7">
      <c r="F258" s="755" t="s">
        <v>3963</v>
      </c>
      <c r="G258" s="752" t="s">
        <v>2220</v>
      </c>
    </row>
    <row r="259" spans="6:7">
      <c r="F259" s="755" t="s">
        <v>3991</v>
      </c>
      <c r="G259" s="752" t="s">
        <v>2226</v>
      </c>
    </row>
    <row r="260" spans="6:7">
      <c r="F260" s="755" t="s">
        <v>4002</v>
      </c>
      <c r="G260" s="752" t="s">
        <v>2229</v>
      </c>
    </row>
    <row r="261" spans="6:7">
      <c r="F261" s="755" t="s">
        <v>4007</v>
      </c>
      <c r="G261" s="752" t="s">
        <v>2232</v>
      </c>
    </row>
    <row r="262" spans="6:7">
      <c r="F262" s="755" t="s">
        <v>4039</v>
      </c>
      <c r="G262" s="752" t="s">
        <v>2340</v>
      </c>
    </row>
    <row r="263" spans="6:7">
      <c r="F263" s="755" t="s">
        <v>4043</v>
      </c>
      <c r="G263" s="752" t="s">
        <v>2342</v>
      </c>
    </row>
    <row r="264" spans="6:7">
      <c r="F264" s="755" t="s">
        <v>4141</v>
      </c>
      <c r="G264" s="752" t="s">
        <v>2344</v>
      </c>
    </row>
    <row r="265" spans="6:7">
      <c r="F265" s="755" t="s">
        <v>4146</v>
      </c>
      <c r="G265" s="752" t="s">
        <v>2347</v>
      </c>
    </row>
    <row r="266" spans="6:7">
      <c r="F266" s="755" t="s">
        <v>4151</v>
      </c>
      <c r="G266" s="752" t="s">
        <v>2349</v>
      </c>
    </row>
    <row r="267" spans="6:7">
      <c r="F267" s="755" t="s">
        <v>4158</v>
      </c>
      <c r="G267" s="752" t="s">
        <v>2354</v>
      </c>
    </row>
    <row r="268" spans="6:7">
      <c r="F268" s="755" t="s">
        <v>4163</v>
      </c>
      <c r="G268" s="752" t="s">
        <v>2361</v>
      </c>
    </row>
    <row r="269" spans="6:7">
      <c r="F269" s="755" t="s">
        <v>4329</v>
      </c>
      <c r="G269" s="752" t="s">
        <v>2363</v>
      </c>
    </row>
    <row r="270" spans="6:7">
      <c r="F270" s="342" t="s">
        <v>4357</v>
      </c>
      <c r="G270" s="752" t="s">
        <v>2365</v>
      </c>
    </row>
    <row r="271" spans="6:7">
      <c r="F271" s="342" t="s">
        <v>4509</v>
      </c>
      <c r="G271" s="752" t="s">
        <v>2380</v>
      </c>
    </row>
    <row r="272" spans="6:7">
      <c r="F272" s="342" t="s">
        <v>4518</v>
      </c>
      <c r="G272" s="752" t="s">
        <v>2383</v>
      </c>
    </row>
    <row r="273" spans="7:7">
      <c r="G273" s="752" t="s">
        <v>2386</v>
      </c>
    </row>
    <row r="274" spans="7:7">
      <c r="G274" s="752" t="s">
        <v>2389</v>
      </c>
    </row>
    <row r="275" spans="7:7">
      <c r="G275" s="752" t="s">
        <v>3489</v>
      </c>
    </row>
    <row r="276" spans="7:7">
      <c r="G276" s="752" t="s">
        <v>3498</v>
      </c>
    </row>
    <row r="277" spans="7:7">
      <c r="G277" s="752" t="s">
        <v>3832</v>
      </c>
    </row>
    <row r="278" spans="7:7">
      <c r="G278" s="752" t="s">
        <v>3842</v>
      </c>
    </row>
    <row r="279" spans="7:7">
      <c r="G279" s="752" t="s">
        <v>3849</v>
      </c>
    </row>
    <row r="280" spans="7:7">
      <c r="G280" s="752" t="s">
        <v>3921</v>
      </c>
    </row>
    <row r="281" spans="7:7">
      <c r="G281" s="752" t="s">
        <v>3950</v>
      </c>
    </row>
    <row r="282" spans="7:7">
      <c r="G282" s="752" t="s">
        <v>3956</v>
      </c>
    </row>
    <row r="283" spans="7:7">
      <c r="G283" s="752" t="s">
        <v>3963</v>
      </c>
    </row>
    <row r="284" spans="7:7">
      <c r="G284" s="752" t="s">
        <v>3991</v>
      </c>
    </row>
    <row r="285" spans="7:7">
      <c r="G285" s="752" t="s">
        <v>4002</v>
      </c>
    </row>
    <row r="286" spans="7:7">
      <c r="G286" s="752" t="s">
        <v>4007</v>
      </c>
    </row>
    <row r="287" spans="7:7">
      <c r="G287" s="752" t="s">
        <v>4039</v>
      </c>
    </row>
    <row r="288" spans="7:7">
      <c r="G288" s="752" t="s">
        <v>4043</v>
      </c>
    </row>
    <row r="289" spans="7:7">
      <c r="G289" s="752" t="s">
        <v>4141</v>
      </c>
    </row>
    <row r="290" spans="7:7">
      <c r="G290" s="752" t="s">
        <v>4146</v>
      </c>
    </row>
    <row r="291" spans="7:7">
      <c r="G291" s="342" t="s">
        <v>4151</v>
      </c>
    </row>
    <row r="292" spans="7:7">
      <c r="G292" s="342" t="s">
        <v>4158</v>
      </c>
    </row>
    <row r="293" spans="7:7">
      <c r="G293" s="342" t="s">
        <v>4163</v>
      </c>
    </row>
    <row r="294" spans="7:7">
      <c r="G294" s="752" t="s">
        <v>4329</v>
      </c>
    </row>
    <row r="295" spans="7:7">
      <c r="G295" s="342" t="s">
        <v>4357</v>
      </c>
    </row>
    <row r="296" spans="7:7">
      <c r="G296" s="342" t="s">
        <v>4509</v>
      </c>
    </row>
    <row r="297" spans="7:7">
      <c r="G297" s="342" t="s">
        <v>4518</v>
      </c>
    </row>
    <row r="298" spans="7:7">
      <c r="G298" s="1577" t="s">
        <v>726</v>
      </c>
    </row>
  </sheetData>
  <phoneticPr fontId="53"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27">
    <tabColor theme="6"/>
    <pageSetUpPr fitToPage="1"/>
  </sheetPr>
  <dimension ref="A1:AX290"/>
  <sheetViews>
    <sheetView topLeftCell="AB261" workbookViewId="0">
      <selection activeCell="B4" sqref="B4:AV290"/>
    </sheetView>
  </sheetViews>
  <sheetFormatPr defaultColWidth="9.0703125" defaultRowHeight="15.5"/>
  <cols>
    <col min="1" max="1" width="16.42578125" style="185" customWidth="1"/>
    <col min="2" max="2" width="8.640625" style="327" customWidth="1"/>
    <col min="3" max="3" width="45.640625" style="328" customWidth="1"/>
    <col min="4" max="4" width="26.2109375" style="329" customWidth="1"/>
    <col min="5" max="5" width="9.42578125" style="328" customWidth="1"/>
    <col min="6" max="6" width="14.640625" style="328" bestFit="1" customWidth="1"/>
    <col min="7" max="7" width="12.640625" style="328" customWidth="1"/>
    <col min="8" max="8" width="10" style="330" customWidth="1"/>
    <col min="9" max="10" width="7.42578125" style="328" customWidth="1"/>
    <col min="11" max="11" width="8" style="328" customWidth="1"/>
    <col min="12" max="12" width="7.28515625" style="328" customWidth="1"/>
    <col min="13" max="13" width="7.28515625" style="331" customWidth="1"/>
    <col min="14" max="14" width="5.640625" style="328" customWidth="1"/>
    <col min="15" max="15" width="7.28515625" style="328" customWidth="1"/>
    <col min="16" max="16" width="7.42578125" style="328" customWidth="1"/>
    <col min="17" max="17" width="7.640625" style="328" customWidth="1"/>
    <col min="18" max="18" width="13" style="327" customWidth="1"/>
    <col min="19" max="19" width="9" style="327" customWidth="1"/>
    <col min="20" max="20" width="8.2109375" style="327" customWidth="1"/>
    <col min="21" max="21" width="8.42578125" style="332" customWidth="1"/>
    <col min="22" max="22" width="8.0703125" style="327" customWidth="1"/>
    <col min="23" max="23" width="8.42578125" style="327" customWidth="1"/>
    <col min="24" max="24" width="9.42578125" style="332" customWidth="1"/>
    <col min="25" max="25" width="8" style="194" customWidth="1"/>
    <col min="26" max="26" width="8" style="185" customWidth="1"/>
    <col min="27" max="27" width="26.640625" style="185" customWidth="1"/>
    <col min="28" max="28" width="10" style="243" customWidth="1"/>
    <col min="29" max="29" width="19" style="185" customWidth="1"/>
    <col min="30" max="31" width="8" style="185" customWidth="1"/>
    <col min="32" max="32" width="11.42578125" style="185" customWidth="1"/>
    <col min="33" max="33" width="8" style="185" customWidth="1"/>
    <col min="34" max="34" width="8.42578125" style="185" customWidth="1"/>
    <col min="35" max="35" width="7.640625" style="185" customWidth="1"/>
    <col min="36" max="36" width="11.640625" style="185" customWidth="1"/>
    <col min="37" max="39" width="12.28515625" style="185" customWidth="1"/>
    <col min="40" max="41" width="12.28515625" style="243" customWidth="1"/>
    <col min="42" max="45" width="12.28515625" style="185" customWidth="1"/>
    <col min="46" max="46" width="12.28515625" style="1066" customWidth="1"/>
    <col min="47" max="47" width="12.28515625" style="185" customWidth="1"/>
    <col min="48" max="48" width="10.640625" style="189" customWidth="1"/>
    <col min="49" max="49" width="8.640625" style="185" customWidth="1"/>
    <col min="50" max="50" width="8.640625" style="779" customWidth="1"/>
    <col min="51" max="75" width="8.640625" style="185" customWidth="1"/>
    <col min="76" max="76" width="2.640625" style="185" customWidth="1"/>
    <col min="77" max="82" width="8.640625" style="185" customWidth="1"/>
    <col min="83" max="196" width="9" style="185" customWidth="1"/>
    <col min="197" max="16384" width="9.0703125" style="185"/>
  </cols>
  <sheetData>
    <row r="1" spans="1:49" ht="16" thickBot="1">
      <c r="Y1" s="186"/>
      <c r="Z1" s="179"/>
      <c r="AA1" s="328"/>
      <c r="AF1" s="187"/>
      <c r="AG1" s="394"/>
      <c r="AH1" s="187"/>
      <c r="AI1" s="394"/>
      <c r="AJ1" s="327"/>
      <c r="AK1" s="328"/>
      <c r="AL1" s="327"/>
      <c r="AM1" s="328"/>
      <c r="AN1" s="330"/>
      <c r="AO1" s="330"/>
      <c r="AP1" s="328"/>
      <c r="AQ1" s="328"/>
      <c r="AR1" s="328"/>
      <c r="AS1" s="328"/>
      <c r="AT1" s="1065"/>
      <c r="AU1" s="328"/>
      <c r="AV1" s="187"/>
    </row>
    <row r="2" spans="1:49" ht="16" thickBot="1">
      <c r="B2" s="2231" t="s">
        <v>1768</v>
      </c>
      <c r="C2" s="2232"/>
      <c r="D2" s="2232"/>
      <c r="E2" s="2232"/>
      <c r="F2" s="2232"/>
      <c r="G2" s="2232"/>
      <c r="H2" s="2232"/>
      <c r="I2" s="2232"/>
      <c r="J2" s="2232"/>
      <c r="K2" s="2232"/>
      <c r="L2" s="2232"/>
      <c r="M2" s="2232"/>
      <c r="N2" s="2232"/>
      <c r="O2" s="2232"/>
      <c r="P2" s="2232"/>
      <c r="Q2" s="2232"/>
      <c r="R2" s="2232"/>
      <c r="S2" s="2232"/>
      <c r="T2" s="2232"/>
      <c r="U2" s="2232"/>
      <c r="V2" s="2232"/>
      <c r="W2" s="2232"/>
      <c r="X2" s="2233"/>
      <c r="Y2" s="186"/>
      <c r="Z2" s="179"/>
      <c r="AA2" s="171" t="s">
        <v>1342</v>
      </c>
      <c r="AF2" s="188"/>
      <c r="AG2" s="188"/>
      <c r="AH2" s="188"/>
      <c r="AI2" s="188"/>
      <c r="AJ2" s="171" t="s">
        <v>267</v>
      </c>
      <c r="AK2" s="247" t="s">
        <v>1343</v>
      </c>
      <c r="AL2" s="171" t="s">
        <v>541</v>
      </c>
      <c r="AM2" s="171" t="s">
        <v>1748</v>
      </c>
      <c r="AN2" s="418" t="s">
        <v>2049</v>
      </c>
      <c r="AO2" s="418" t="s">
        <v>2050</v>
      </c>
      <c r="AP2" s="171" t="s">
        <v>1941</v>
      </c>
      <c r="AQ2" s="418" t="s">
        <v>2076</v>
      </c>
      <c r="AR2" s="418"/>
      <c r="AS2" s="418" t="s">
        <v>2397</v>
      </c>
      <c r="AT2" s="795" t="s">
        <v>2399</v>
      </c>
      <c r="AU2" s="795" t="s">
        <v>3475</v>
      </c>
    </row>
    <row r="3" spans="1:49" ht="39.5" thickBot="1">
      <c r="B3" s="1096" t="s">
        <v>2094</v>
      </c>
      <c r="C3" s="333" t="s">
        <v>1751</v>
      </c>
      <c r="D3" s="334" t="s">
        <v>1752</v>
      </c>
      <c r="E3" s="335" t="s">
        <v>1753</v>
      </c>
      <c r="F3" s="336" t="s">
        <v>199</v>
      </c>
      <c r="G3" s="337" t="s">
        <v>1754</v>
      </c>
      <c r="H3" s="338" t="s">
        <v>1755</v>
      </c>
      <c r="I3" s="333" t="s">
        <v>1756</v>
      </c>
      <c r="J3" s="333" t="s">
        <v>1757</v>
      </c>
      <c r="K3" s="335" t="s">
        <v>1758</v>
      </c>
      <c r="L3" s="333" t="s">
        <v>1759</v>
      </c>
      <c r="M3" s="333" t="s">
        <v>1760</v>
      </c>
      <c r="N3" s="339" t="s">
        <v>268</v>
      </c>
      <c r="O3" s="333" t="s">
        <v>1761</v>
      </c>
      <c r="P3" s="333" t="s">
        <v>1762</v>
      </c>
      <c r="Q3" s="340" t="s">
        <v>1763</v>
      </c>
      <c r="R3" s="340" t="s">
        <v>1775</v>
      </c>
      <c r="S3" s="340" t="s">
        <v>1764</v>
      </c>
      <c r="T3" s="341" t="s">
        <v>1765</v>
      </c>
      <c r="U3" s="343" t="s">
        <v>1766</v>
      </c>
      <c r="V3" s="343" t="s">
        <v>1769</v>
      </c>
      <c r="W3" s="343" t="s">
        <v>1770</v>
      </c>
      <c r="X3" s="343" t="s">
        <v>1771</v>
      </c>
      <c r="Y3" s="190" t="s">
        <v>266</v>
      </c>
      <c r="Z3" s="190" t="s">
        <v>543</v>
      </c>
      <c r="AA3" s="183" t="s">
        <v>174</v>
      </c>
      <c r="AB3" s="245" t="s">
        <v>544</v>
      </c>
      <c r="AC3" s="190" t="s">
        <v>1823</v>
      </c>
      <c r="AD3" s="190"/>
      <c r="AE3" s="190" t="s">
        <v>1824</v>
      </c>
      <c r="AF3" s="190" t="s">
        <v>545</v>
      </c>
      <c r="AG3" s="190" t="s">
        <v>78</v>
      </c>
      <c r="AH3" s="190" t="s">
        <v>204</v>
      </c>
      <c r="AI3" s="190" t="s">
        <v>1825</v>
      </c>
      <c r="AJ3" s="246" t="s">
        <v>1306</v>
      </c>
      <c r="AK3" s="246" t="s">
        <v>1344</v>
      </c>
      <c r="AL3" s="182" t="s">
        <v>539</v>
      </c>
      <c r="AM3" s="182" t="s">
        <v>1747</v>
      </c>
      <c r="AN3" s="419" t="s">
        <v>2051</v>
      </c>
      <c r="AO3" s="419" t="s">
        <v>2052</v>
      </c>
      <c r="AP3" s="182" t="s">
        <v>1942</v>
      </c>
      <c r="AQ3" s="419" t="s">
        <v>2077</v>
      </c>
      <c r="AR3" s="419" t="s">
        <v>2287</v>
      </c>
      <c r="AS3" s="419" t="s">
        <v>2398</v>
      </c>
      <c r="AT3" s="796" t="s">
        <v>2400</v>
      </c>
      <c r="AU3" s="796" t="s">
        <v>3474</v>
      </c>
    </row>
    <row r="4" spans="1:49" ht="17">
      <c r="A4" s="395"/>
      <c r="B4" s="342" t="s">
        <v>546</v>
      </c>
      <c r="C4" s="213" t="s">
        <v>547</v>
      </c>
      <c r="D4" s="228" t="s">
        <v>548</v>
      </c>
      <c r="E4" s="229">
        <v>0.41</v>
      </c>
      <c r="F4" s="230" t="s">
        <v>549</v>
      </c>
      <c r="G4" s="231" t="s">
        <v>0</v>
      </c>
      <c r="H4" s="232" t="s">
        <v>4505</v>
      </c>
      <c r="I4" s="233">
        <v>98.75</v>
      </c>
      <c r="J4" s="234">
        <v>99.52000000000001</v>
      </c>
      <c r="K4" s="235">
        <v>0.34</v>
      </c>
      <c r="L4" s="236">
        <v>99.09</v>
      </c>
      <c r="M4" s="234">
        <v>99.86</v>
      </c>
      <c r="N4" s="237">
        <v>1.5</v>
      </c>
      <c r="O4" s="233">
        <v>101.36</v>
      </c>
      <c r="P4" s="238">
        <v>4.7899999999999998E-2</v>
      </c>
      <c r="Q4" s="239">
        <v>1.0699999999999999E-2</v>
      </c>
      <c r="R4" s="239" t="s">
        <v>550</v>
      </c>
      <c r="S4" s="240" t="s">
        <v>1745</v>
      </c>
      <c r="T4" s="240"/>
      <c r="U4" s="240">
        <v>-2.92E-2</v>
      </c>
      <c r="V4" s="241">
        <v>0.15479999999999999</v>
      </c>
      <c r="W4" s="241"/>
      <c r="X4" s="240"/>
      <c r="Y4" s="402">
        <v>3.6000000000000004E-2</v>
      </c>
      <c r="Z4" s="403">
        <v>2</v>
      </c>
      <c r="AA4" s="404" t="s">
        <v>1428</v>
      </c>
      <c r="AB4" s="405" t="s">
        <v>2409</v>
      </c>
      <c r="AC4" s="406">
        <v>101.02000000000001</v>
      </c>
      <c r="AD4" s="406">
        <v>1</v>
      </c>
      <c r="AE4" s="402" t="s">
        <v>2410</v>
      </c>
      <c r="AF4" s="402" t="s">
        <v>2744</v>
      </c>
      <c r="AG4" s="402" t="s">
        <v>2409</v>
      </c>
      <c r="AH4" s="402" t="s">
        <v>170</v>
      </c>
      <c r="AI4" s="402" t="s">
        <v>177</v>
      </c>
      <c r="AJ4" s="407" t="s">
        <v>3897</v>
      </c>
      <c r="AK4" s="407" t="s">
        <v>2411</v>
      </c>
      <c r="AL4" s="407" t="s">
        <v>2412</v>
      </c>
      <c r="AM4" s="407" t="s">
        <v>2413</v>
      </c>
      <c r="AN4" s="420" t="s">
        <v>2414</v>
      </c>
      <c r="AO4" s="420" t="s">
        <v>2415</v>
      </c>
      <c r="AP4" s="407" t="s">
        <v>1943</v>
      </c>
      <c r="AQ4" s="407" t="s">
        <v>2416</v>
      </c>
      <c r="AR4" s="407" t="s">
        <v>2417</v>
      </c>
      <c r="AS4" s="407" t="s">
        <v>2418</v>
      </c>
      <c r="AT4" s="798" t="s">
        <v>2419</v>
      </c>
      <c r="AU4" s="407" t="s">
        <v>3476</v>
      </c>
      <c r="AV4" s="408">
        <v>45474</v>
      </c>
      <c r="AW4" s="191"/>
    </row>
    <row r="5" spans="1:49" ht="17">
      <c r="A5" s="395"/>
      <c r="B5" s="342" t="s">
        <v>559</v>
      </c>
      <c r="C5" s="213" t="s">
        <v>560</v>
      </c>
      <c r="D5" s="228" t="s">
        <v>2163</v>
      </c>
      <c r="E5" s="229">
        <v>0.7</v>
      </c>
      <c r="F5" s="230" t="s">
        <v>561</v>
      </c>
      <c r="G5" s="231" t="s">
        <v>0</v>
      </c>
      <c r="H5" s="232" t="s">
        <v>4505</v>
      </c>
      <c r="I5" s="233">
        <v>98.06</v>
      </c>
      <c r="J5" s="234">
        <v>98.84</v>
      </c>
      <c r="K5" s="235">
        <v>1.0747</v>
      </c>
      <c r="L5" s="236">
        <v>99.13</v>
      </c>
      <c r="M5" s="234">
        <v>99.91</v>
      </c>
      <c r="N5" s="237">
        <v>0.3</v>
      </c>
      <c r="O5" s="233">
        <v>100.21</v>
      </c>
      <c r="P5" s="238">
        <v>5.3400000000000003E-2</v>
      </c>
      <c r="Q5" s="239">
        <v>4.9000000000000002E-2</v>
      </c>
      <c r="R5" s="239" t="s">
        <v>550</v>
      </c>
      <c r="S5" s="240" t="s">
        <v>1745</v>
      </c>
      <c r="T5" s="240"/>
      <c r="U5" s="240" t="s">
        <v>1767</v>
      </c>
      <c r="V5" s="241">
        <v>0.67820000000000003</v>
      </c>
      <c r="W5" s="241"/>
      <c r="X5" s="240"/>
      <c r="Y5" s="402">
        <v>3.6499999999999998E-2</v>
      </c>
      <c r="Z5" s="403">
        <v>2</v>
      </c>
      <c r="AA5" s="404" t="s">
        <v>1399</v>
      </c>
      <c r="AB5" s="405" t="s">
        <v>2429</v>
      </c>
      <c r="AC5" s="406">
        <v>99.14</v>
      </c>
      <c r="AD5" s="406">
        <v>2</v>
      </c>
      <c r="AE5" s="402" t="s">
        <v>2410</v>
      </c>
      <c r="AF5" s="402" t="s">
        <v>2430</v>
      </c>
      <c r="AG5" s="402" t="s">
        <v>4020</v>
      </c>
      <c r="AH5" s="402" t="s">
        <v>162</v>
      </c>
      <c r="AI5" s="402" t="s">
        <v>42</v>
      </c>
      <c r="AJ5" s="407" t="s">
        <v>2431</v>
      </c>
      <c r="AK5" s="407" t="s">
        <v>2419</v>
      </c>
      <c r="AL5" s="407" t="s">
        <v>2412</v>
      </c>
      <c r="AM5" s="407" t="s">
        <v>2419</v>
      </c>
      <c r="AN5" s="420" t="s">
        <v>2422</v>
      </c>
      <c r="AO5" s="420" t="s">
        <v>2415</v>
      </c>
      <c r="AP5" s="407" t="s">
        <v>1945</v>
      </c>
      <c r="AQ5" s="407" t="s">
        <v>2432</v>
      </c>
      <c r="AR5" s="407" t="s">
        <v>2432</v>
      </c>
      <c r="AS5" s="407" t="s">
        <v>2433</v>
      </c>
      <c r="AT5" s="798" t="s">
        <v>2419</v>
      </c>
      <c r="AU5" s="407" t="s">
        <v>3476</v>
      </c>
      <c r="AV5" s="408"/>
      <c r="AW5" s="191"/>
    </row>
    <row r="6" spans="1:49" ht="17.149999999999999" customHeight="1">
      <c r="A6" s="395"/>
      <c r="B6" s="342" t="s">
        <v>563</v>
      </c>
      <c r="C6" s="213" t="s">
        <v>564</v>
      </c>
      <c r="D6" s="214" t="s">
        <v>565</v>
      </c>
      <c r="E6" s="215">
        <v>2.54</v>
      </c>
      <c r="F6" s="216" t="s">
        <v>566</v>
      </c>
      <c r="G6" s="217" t="s">
        <v>529</v>
      </c>
      <c r="H6" s="218" t="s">
        <v>4525</v>
      </c>
      <c r="I6" s="219">
        <v>103.6</v>
      </c>
      <c r="J6" s="220">
        <v>104.76</v>
      </c>
      <c r="K6" s="221">
        <v>1.9216</v>
      </c>
      <c r="L6" s="222">
        <v>105.52</v>
      </c>
      <c r="M6" s="220">
        <v>106.68</v>
      </c>
      <c r="N6" s="223">
        <v>2.5</v>
      </c>
      <c r="O6" s="219">
        <v>109.18</v>
      </c>
      <c r="P6" s="224">
        <v>2.2599999999999999E-2</v>
      </c>
      <c r="Q6" s="225">
        <v>1.29E-2</v>
      </c>
      <c r="R6" s="225" t="s">
        <v>567</v>
      </c>
      <c r="S6" s="226" t="s">
        <v>1746</v>
      </c>
      <c r="T6" s="226"/>
      <c r="U6" s="226" t="s">
        <v>1767</v>
      </c>
      <c r="V6" s="227">
        <v>2.3774999999999999</v>
      </c>
      <c r="W6" s="227"/>
      <c r="X6" s="226"/>
      <c r="Y6" s="409">
        <v>4.2000000000000003E-2</v>
      </c>
      <c r="Z6" s="410">
        <v>2</v>
      </c>
      <c r="AA6" s="192" t="s">
        <v>2435</v>
      </c>
      <c r="AB6" s="411" t="s">
        <v>2436</v>
      </c>
      <c r="AC6" s="412">
        <v>107.26</v>
      </c>
      <c r="AD6" s="412">
        <v>6</v>
      </c>
      <c r="AE6" s="409" t="s">
        <v>2410</v>
      </c>
      <c r="AF6" s="409" t="s">
        <v>2437</v>
      </c>
      <c r="AG6" s="409" t="s">
        <v>3870</v>
      </c>
      <c r="AH6" s="409" t="s">
        <v>163</v>
      </c>
      <c r="AI6" s="409" t="s">
        <v>2438</v>
      </c>
      <c r="AJ6" s="242" t="s">
        <v>3985</v>
      </c>
      <c r="AK6" s="242" t="s">
        <v>2419</v>
      </c>
      <c r="AL6" s="242" t="s">
        <v>2412</v>
      </c>
      <c r="AM6" s="242" t="s">
        <v>2419</v>
      </c>
      <c r="AN6" s="421" t="s">
        <v>2414</v>
      </c>
      <c r="AO6" s="421" t="s">
        <v>2439</v>
      </c>
      <c r="AP6" s="242" t="s">
        <v>2440</v>
      </c>
      <c r="AQ6" s="242" t="s">
        <v>2441</v>
      </c>
      <c r="AR6" s="242" t="s">
        <v>2441</v>
      </c>
      <c r="AS6" s="242" t="s">
        <v>2442</v>
      </c>
      <c r="AT6" s="797" t="s">
        <v>2419</v>
      </c>
      <c r="AU6" s="242" t="s">
        <v>3477</v>
      </c>
      <c r="AV6" s="193"/>
      <c r="AW6" s="191"/>
    </row>
    <row r="7" spans="1:49" ht="17">
      <c r="A7" s="395"/>
      <c r="B7" s="342" t="s">
        <v>569</v>
      </c>
      <c r="C7" s="213" t="s">
        <v>570</v>
      </c>
      <c r="D7" s="228" t="s">
        <v>571</v>
      </c>
      <c r="E7" s="229">
        <v>0.8</v>
      </c>
      <c r="F7" s="230" t="s">
        <v>1</v>
      </c>
      <c r="G7" s="231" t="s">
        <v>0</v>
      </c>
      <c r="H7" s="232" t="s">
        <v>4508</v>
      </c>
      <c r="I7" s="233">
        <v>97.67</v>
      </c>
      <c r="J7" s="234">
        <v>99.15</v>
      </c>
      <c r="K7" s="235">
        <v>0.66559999999999997</v>
      </c>
      <c r="L7" s="236">
        <v>98.34</v>
      </c>
      <c r="M7" s="234">
        <v>99.82</v>
      </c>
      <c r="N7" s="237">
        <v>0.25</v>
      </c>
      <c r="O7" s="233">
        <v>100.07</v>
      </c>
      <c r="P7" s="238">
        <v>4.4600000000000001E-2</v>
      </c>
      <c r="Q7" s="239">
        <v>4.1399999999999999E-2</v>
      </c>
      <c r="R7" s="239" t="s">
        <v>550</v>
      </c>
      <c r="S7" s="240" t="s">
        <v>1746</v>
      </c>
      <c r="T7" s="240"/>
      <c r="U7" s="240" t="s">
        <v>1767</v>
      </c>
      <c r="V7" s="241">
        <v>0.7752</v>
      </c>
      <c r="W7" s="241"/>
      <c r="X7" s="240"/>
      <c r="Y7" s="402">
        <v>3.3750000000000002E-2</v>
      </c>
      <c r="Z7" s="403">
        <v>2</v>
      </c>
      <c r="AA7" s="404" t="s">
        <v>1434</v>
      </c>
      <c r="AB7" s="405" t="s">
        <v>2445</v>
      </c>
      <c r="AC7" s="406">
        <v>99.4</v>
      </c>
      <c r="AD7" s="406">
        <v>2</v>
      </c>
      <c r="AE7" s="402" t="s">
        <v>2410</v>
      </c>
      <c r="AF7" s="402" t="s">
        <v>2446</v>
      </c>
      <c r="AG7" s="402" t="s">
        <v>4100</v>
      </c>
      <c r="AH7" s="402" t="s">
        <v>169</v>
      </c>
      <c r="AI7" s="402" t="s">
        <v>44</v>
      </c>
      <c r="AJ7" s="407" t="s">
        <v>2419</v>
      </c>
      <c r="AK7" s="407" t="s">
        <v>2419</v>
      </c>
      <c r="AL7" s="407" t="s">
        <v>2412</v>
      </c>
      <c r="AM7" s="407" t="s">
        <v>2419</v>
      </c>
      <c r="AN7" s="420" t="s">
        <v>2414</v>
      </c>
      <c r="AO7" s="420" t="s">
        <v>2415</v>
      </c>
      <c r="AP7" s="407" t="s">
        <v>1943</v>
      </c>
      <c r="AQ7" s="407" t="s">
        <v>2447</v>
      </c>
      <c r="AR7" s="407" t="s">
        <v>2447</v>
      </c>
      <c r="AS7" s="407" t="s">
        <v>2448</v>
      </c>
      <c r="AT7" s="798" t="s">
        <v>2419</v>
      </c>
      <c r="AU7" s="407" t="s">
        <v>3476</v>
      </c>
      <c r="AV7" s="408"/>
      <c r="AW7" s="191"/>
    </row>
    <row r="8" spans="1:49" ht="17.149999999999999" customHeight="1">
      <c r="A8" s="395"/>
      <c r="B8" s="342" t="s">
        <v>572</v>
      </c>
      <c r="C8" s="213" t="s">
        <v>573</v>
      </c>
      <c r="D8" s="214" t="s">
        <v>574</v>
      </c>
      <c r="E8" s="215">
        <v>0.79</v>
      </c>
      <c r="F8" s="216" t="s">
        <v>288</v>
      </c>
      <c r="G8" s="217" t="s">
        <v>0</v>
      </c>
      <c r="H8" s="218" t="s">
        <v>4508</v>
      </c>
      <c r="I8" s="219">
        <v>97.6</v>
      </c>
      <c r="J8" s="220">
        <v>98.910000000000011</v>
      </c>
      <c r="K8" s="221">
        <v>0.67559999999999998</v>
      </c>
      <c r="L8" s="222">
        <v>98.28</v>
      </c>
      <c r="M8" s="220">
        <v>99.59</v>
      </c>
      <c r="N8" s="223">
        <v>0.25</v>
      </c>
      <c r="O8" s="219">
        <v>99.84</v>
      </c>
      <c r="P8" s="224">
        <v>4.6199999999999998E-2</v>
      </c>
      <c r="Q8" s="225">
        <v>4.2900000000000001E-2</v>
      </c>
      <c r="R8" s="225" t="s">
        <v>550</v>
      </c>
      <c r="S8" s="226" t="s">
        <v>1746</v>
      </c>
      <c r="T8" s="226"/>
      <c r="U8" s="226" t="s">
        <v>1767</v>
      </c>
      <c r="V8" s="227">
        <v>0.76200000000000001</v>
      </c>
      <c r="W8" s="227"/>
      <c r="X8" s="226"/>
      <c r="Y8" s="409">
        <v>3.2000000000000001E-2</v>
      </c>
      <c r="Z8" s="410">
        <v>2</v>
      </c>
      <c r="AA8" s="192" t="s">
        <v>3875</v>
      </c>
      <c r="AB8" s="411" t="s">
        <v>2449</v>
      </c>
      <c r="AC8" s="412">
        <v>99.160000000000011</v>
      </c>
      <c r="AD8" s="412">
        <v>2</v>
      </c>
      <c r="AE8" s="409" t="s">
        <v>2410</v>
      </c>
      <c r="AF8" s="409" t="s">
        <v>2450</v>
      </c>
      <c r="AG8" s="409" t="s">
        <v>4069</v>
      </c>
      <c r="AH8" s="409" t="s">
        <v>162</v>
      </c>
      <c r="AI8" s="409" t="s">
        <v>41</v>
      </c>
      <c r="AJ8" s="242" t="s">
        <v>3936</v>
      </c>
      <c r="AK8" s="242" t="s">
        <v>2419</v>
      </c>
      <c r="AL8" s="242" t="s">
        <v>2412</v>
      </c>
      <c r="AM8" s="242" t="s">
        <v>2419</v>
      </c>
      <c r="AN8" s="421" t="s">
        <v>2422</v>
      </c>
      <c r="AO8" s="421" t="s">
        <v>2415</v>
      </c>
      <c r="AP8" s="242" t="s">
        <v>1943</v>
      </c>
      <c r="AQ8" s="242" t="s">
        <v>2451</v>
      </c>
      <c r="AR8" s="242" t="s">
        <v>2451</v>
      </c>
      <c r="AS8" s="242" t="s">
        <v>2452</v>
      </c>
      <c r="AT8" s="797" t="s">
        <v>2419</v>
      </c>
      <c r="AU8" s="242" t="s">
        <v>3476</v>
      </c>
      <c r="AV8" s="193"/>
      <c r="AW8" s="191"/>
    </row>
    <row r="9" spans="1:49" ht="17">
      <c r="A9" s="395"/>
      <c r="B9" s="342" t="s">
        <v>575</v>
      </c>
      <c r="C9" s="213" t="s">
        <v>576</v>
      </c>
      <c r="D9" s="228" t="s">
        <v>577</v>
      </c>
      <c r="E9" s="229">
        <v>11.83</v>
      </c>
      <c r="F9" s="230" t="s">
        <v>271</v>
      </c>
      <c r="G9" s="231" t="s">
        <v>0</v>
      </c>
      <c r="H9" s="232" t="s">
        <v>4505</v>
      </c>
      <c r="I9" s="233">
        <v>103.98</v>
      </c>
      <c r="J9" s="234">
        <v>105.60000000000001</v>
      </c>
      <c r="K9" s="235">
        <v>1.0832999999999999</v>
      </c>
      <c r="L9" s="236">
        <v>105.06</v>
      </c>
      <c r="M9" s="234">
        <v>106.68</v>
      </c>
      <c r="N9" s="237">
        <v>3</v>
      </c>
      <c r="O9" s="233">
        <v>109.68</v>
      </c>
      <c r="P9" s="238">
        <v>5.8400000000000001E-2</v>
      </c>
      <c r="Q9" s="239">
        <v>5.5E-2</v>
      </c>
      <c r="R9" s="239" t="s">
        <v>578</v>
      </c>
      <c r="S9" s="240" t="s">
        <v>1745</v>
      </c>
      <c r="T9" s="240"/>
      <c r="U9" s="240" t="s">
        <v>1767</v>
      </c>
      <c r="V9" s="241">
        <v>8.2279</v>
      </c>
      <c r="W9" s="241"/>
      <c r="X9" s="240"/>
      <c r="Y9" s="402">
        <v>6.5000000000000002E-2</v>
      </c>
      <c r="Z9" s="403">
        <v>2</v>
      </c>
      <c r="AA9" s="404" t="s">
        <v>1859</v>
      </c>
      <c r="AB9" s="405" t="s">
        <v>2453</v>
      </c>
      <c r="AC9" s="406">
        <v>108.60000000000001</v>
      </c>
      <c r="AD9" s="406">
        <v>24</v>
      </c>
      <c r="AE9" s="402" t="s">
        <v>2410</v>
      </c>
      <c r="AF9" s="402" t="s">
        <v>2454</v>
      </c>
      <c r="AG9" s="402" t="s">
        <v>4196</v>
      </c>
      <c r="AH9" s="402" t="s">
        <v>162</v>
      </c>
      <c r="AI9" s="402" t="s">
        <v>45</v>
      </c>
      <c r="AJ9" s="407" t="s">
        <v>2455</v>
      </c>
      <c r="AK9" s="407" t="s">
        <v>2419</v>
      </c>
      <c r="AL9" s="407" t="s">
        <v>2412</v>
      </c>
      <c r="AM9" s="407" t="s">
        <v>2419</v>
      </c>
      <c r="AN9" s="420" t="s">
        <v>2422</v>
      </c>
      <c r="AO9" s="420" t="s">
        <v>2423</v>
      </c>
      <c r="AP9" s="407" t="s">
        <v>1943</v>
      </c>
      <c r="AQ9" s="407" t="s">
        <v>2456</v>
      </c>
      <c r="AR9" s="407" t="s">
        <v>2456</v>
      </c>
      <c r="AS9" s="407" t="s">
        <v>2457</v>
      </c>
      <c r="AT9" s="798" t="s">
        <v>2419</v>
      </c>
      <c r="AU9" s="407" t="s">
        <v>3476</v>
      </c>
      <c r="AV9" s="408"/>
      <c r="AW9" s="191"/>
    </row>
    <row r="10" spans="1:49" ht="17.149999999999999" customHeight="1">
      <c r="A10" s="395"/>
      <c r="B10" s="342" t="s">
        <v>580</v>
      </c>
      <c r="C10" s="213" t="s">
        <v>581</v>
      </c>
      <c r="D10" s="214" t="s">
        <v>582</v>
      </c>
      <c r="E10" s="215">
        <v>10.86</v>
      </c>
      <c r="F10" s="216" t="s">
        <v>583</v>
      </c>
      <c r="G10" s="217" t="s">
        <v>0</v>
      </c>
      <c r="H10" s="218" t="s">
        <v>4505</v>
      </c>
      <c r="I10" s="219">
        <v>91.31</v>
      </c>
      <c r="J10" s="220">
        <v>92.490000000000009</v>
      </c>
      <c r="K10" s="221">
        <v>0.58440000000000003</v>
      </c>
      <c r="L10" s="222">
        <v>91.89</v>
      </c>
      <c r="M10" s="220">
        <v>93.07</v>
      </c>
      <c r="N10" s="223">
        <v>2.5</v>
      </c>
      <c r="O10" s="219">
        <v>95.57</v>
      </c>
      <c r="P10" s="224">
        <v>5.0299999999999997E-2</v>
      </c>
      <c r="Q10" s="225">
        <v>4.7199999999999999E-2</v>
      </c>
      <c r="R10" s="225" t="s">
        <v>557</v>
      </c>
      <c r="S10" s="226" t="s">
        <v>1745</v>
      </c>
      <c r="T10" s="226"/>
      <c r="U10" s="226" t="s">
        <v>1767</v>
      </c>
      <c r="V10" s="227">
        <v>8.5144000000000002</v>
      </c>
      <c r="W10" s="227"/>
      <c r="X10" s="226"/>
      <c r="Y10" s="409">
        <v>4.1250000000000002E-2</v>
      </c>
      <c r="Z10" s="410">
        <v>2</v>
      </c>
      <c r="AA10" s="192" t="s">
        <v>1379</v>
      </c>
      <c r="AB10" s="411" t="s">
        <v>2458</v>
      </c>
      <c r="AC10" s="412">
        <v>94.990000000000009</v>
      </c>
      <c r="AD10" s="412">
        <v>22</v>
      </c>
      <c r="AE10" s="409" t="s">
        <v>2410</v>
      </c>
      <c r="AF10" s="409" t="s">
        <v>2459</v>
      </c>
      <c r="AG10" s="409" t="s">
        <v>4326</v>
      </c>
      <c r="AH10" s="409" t="s">
        <v>172</v>
      </c>
      <c r="AI10" s="409" t="s">
        <v>108</v>
      </c>
      <c r="AJ10" s="242" t="s">
        <v>3461</v>
      </c>
      <c r="AK10" s="242" t="s">
        <v>2419</v>
      </c>
      <c r="AL10" s="242" t="s">
        <v>2412</v>
      </c>
      <c r="AM10" s="242" t="s">
        <v>2419</v>
      </c>
      <c r="AN10" s="421" t="s">
        <v>2414</v>
      </c>
      <c r="AO10" s="421" t="s">
        <v>2415</v>
      </c>
      <c r="AP10" s="242" t="s">
        <v>1945</v>
      </c>
      <c r="AQ10" s="242" t="s">
        <v>2460</v>
      </c>
      <c r="AR10" s="242" t="s">
        <v>2460</v>
      </c>
      <c r="AS10" s="242" t="s">
        <v>2461</v>
      </c>
      <c r="AT10" s="797" t="s">
        <v>2419</v>
      </c>
      <c r="AU10" s="242" t="s">
        <v>3476</v>
      </c>
      <c r="AV10" s="193"/>
      <c r="AW10" s="191"/>
    </row>
    <row r="11" spans="1:49" ht="17">
      <c r="A11" s="395"/>
      <c r="B11" s="342" t="s">
        <v>584</v>
      </c>
      <c r="C11" s="213" t="s">
        <v>585</v>
      </c>
      <c r="D11" s="228" t="s">
        <v>4367</v>
      </c>
      <c r="E11" s="229">
        <v>1.07</v>
      </c>
      <c r="F11" s="230" t="s">
        <v>586</v>
      </c>
      <c r="G11" s="231" t="s">
        <v>0</v>
      </c>
      <c r="H11" s="232" t="s">
        <v>4508</v>
      </c>
      <c r="I11" s="233">
        <v>98.75</v>
      </c>
      <c r="J11" s="234">
        <v>100.18</v>
      </c>
      <c r="K11" s="235">
        <v>2.5499999999999998</v>
      </c>
      <c r="L11" s="236">
        <v>101.3</v>
      </c>
      <c r="M11" s="234">
        <v>102.73</v>
      </c>
      <c r="N11" s="237">
        <v>0.5</v>
      </c>
      <c r="O11" s="233">
        <v>103.23</v>
      </c>
      <c r="P11" s="238">
        <v>5.8200000000000002E-2</v>
      </c>
      <c r="Q11" s="239">
        <v>5.3400000000000003E-2</v>
      </c>
      <c r="R11" s="239" t="s">
        <v>550</v>
      </c>
      <c r="S11" s="240" t="s">
        <v>1776</v>
      </c>
      <c r="T11" s="240"/>
      <c r="U11" s="240">
        <v>5.1499999999999997E-2</v>
      </c>
      <c r="V11" s="241">
        <v>0.77359999999999995</v>
      </c>
      <c r="W11" s="241"/>
      <c r="X11" s="240"/>
      <c r="Y11" s="402">
        <v>0.06</v>
      </c>
      <c r="Z11" s="403">
        <v>2</v>
      </c>
      <c r="AA11" s="404" t="s">
        <v>1436</v>
      </c>
      <c r="AB11" s="405" t="s">
        <v>2462</v>
      </c>
      <c r="AC11" s="406">
        <v>100.68</v>
      </c>
      <c r="AD11" s="406">
        <v>3</v>
      </c>
      <c r="AE11" s="402" t="s">
        <v>2410</v>
      </c>
      <c r="AF11" s="402" t="s">
        <v>2463</v>
      </c>
      <c r="AG11" s="402" t="s">
        <v>3887</v>
      </c>
      <c r="AH11" s="402" t="s">
        <v>164</v>
      </c>
      <c r="AI11" s="402" t="s">
        <v>47</v>
      </c>
      <c r="AJ11" s="407" t="s">
        <v>2464</v>
      </c>
      <c r="AK11" s="407" t="s">
        <v>2465</v>
      </c>
      <c r="AL11" s="407" t="s">
        <v>2412</v>
      </c>
      <c r="AM11" s="407" t="s">
        <v>2413</v>
      </c>
      <c r="AN11" s="420" t="s">
        <v>2414</v>
      </c>
      <c r="AO11" s="420" t="s">
        <v>2415</v>
      </c>
      <c r="AP11" s="407" t="s">
        <v>1946</v>
      </c>
      <c r="AQ11" s="407" t="s">
        <v>2466</v>
      </c>
      <c r="AR11" s="407" t="s">
        <v>2466</v>
      </c>
      <c r="AS11" s="407" t="s">
        <v>2467</v>
      </c>
      <c r="AT11" s="798" t="s">
        <v>2419</v>
      </c>
      <c r="AU11" s="407" t="s">
        <v>3476</v>
      </c>
      <c r="AV11" s="408"/>
      <c r="AW11" s="191"/>
    </row>
    <row r="12" spans="1:49" ht="17.149999999999999" customHeight="1">
      <c r="A12" s="395"/>
      <c r="B12" s="342" t="s">
        <v>587</v>
      </c>
      <c r="C12" s="213" t="s">
        <v>588</v>
      </c>
      <c r="D12" s="214" t="s">
        <v>589</v>
      </c>
      <c r="E12" s="215">
        <v>10.66</v>
      </c>
      <c r="F12" s="216" t="s">
        <v>124</v>
      </c>
      <c r="G12" s="217" t="s">
        <v>0</v>
      </c>
      <c r="H12" s="218" t="s">
        <v>4505</v>
      </c>
      <c r="I12" s="219">
        <v>106.3</v>
      </c>
      <c r="J12" s="220">
        <v>108.01</v>
      </c>
      <c r="K12" s="221">
        <v>2.1427</v>
      </c>
      <c r="L12" s="222">
        <v>108.44</v>
      </c>
      <c r="M12" s="220">
        <v>110.15</v>
      </c>
      <c r="N12" s="223">
        <v>2.5</v>
      </c>
      <c r="O12" s="219">
        <v>112.65</v>
      </c>
      <c r="P12" s="224">
        <v>5.3800000000000001E-2</v>
      </c>
      <c r="Q12" s="225">
        <v>5.0799999999999998E-2</v>
      </c>
      <c r="R12" s="225" t="s">
        <v>557</v>
      </c>
      <c r="S12" s="226" t="s">
        <v>1746</v>
      </c>
      <c r="T12" s="226"/>
      <c r="U12" s="226" t="s">
        <v>1767</v>
      </c>
      <c r="V12" s="227">
        <v>7.6726000000000001</v>
      </c>
      <c r="W12" s="227"/>
      <c r="X12" s="226"/>
      <c r="Y12" s="409">
        <v>6.3750000000000001E-2</v>
      </c>
      <c r="Z12" s="410">
        <v>2</v>
      </c>
      <c r="AA12" s="192" t="s">
        <v>1374</v>
      </c>
      <c r="AB12" s="411" t="s">
        <v>2468</v>
      </c>
      <c r="AC12" s="412">
        <v>110.51</v>
      </c>
      <c r="AD12" s="412">
        <v>22</v>
      </c>
      <c r="AE12" s="409" t="s">
        <v>2410</v>
      </c>
      <c r="AF12" s="409" t="s">
        <v>2469</v>
      </c>
      <c r="AG12" s="409" t="s">
        <v>3972</v>
      </c>
      <c r="AH12" s="409" t="s">
        <v>164</v>
      </c>
      <c r="AI12" s="409" t="s">
        <v>130</v>
      </c>
      <c r="AJ12" s="242" t="s">
        <v>3944</v>
      </c>
      <c r="AK12" s="242" t="s">
        <v>2419</v>
      </c>
      <c r="AL12" s="242" t="s">
        <v>2412</v>
      </c>
      <c r="AM12" s="242" t="s">
        <v>2419</v>
      </c>
      <c r="AN12" s="421" t="s">
        <v>2414</v>
      </c>
      <c r="AO12" s="421" t="s">
        <v>2415</v>
      </c>
      <c r="AP12" s="242" t="s">
        <v>1943</v>
      </c>
      <c r="AQ12" s="242" t="s">
        <v>2470</v>
      </c>
      <c r="AR12" s="242" t="s">
        <v>2470</v>
      </c>
      <c r="AS12" s="242" t="s">
        <v>2471</v>
      </c>
      <c r="AT12" s="797" t="s">
        <v>2419</v>
      </c>
      <c r="AU12" s="242" t="s">
        <v>3476</v>
      </c>
      <c r="AV12" s="193"/>
      <c r="AW12" s="191"/>
    </row>
    <row r="13" spans="1:49" ht="17">
      <c r="A13" s="395"/>
      <c r="B13" s="342" t="s">
        <v>590</v>
      </c>
      <c r="C13" s="213" t="s">
        <v>591</v>
      </c>
      <c r="D13" s="228" t="s">
        <v>592</v>
      </c>
      <c r="E13" s="229">
        <v>17.829999999999998</v>
      </c>
      <c r="F13" s="230" t="s">
        <v>593</v>
      </c>
      <c r="G13" s="231" t="s">
        <v>0</v>
      </c>
      <c r="H13" s="232" t="s">
        <v>4505</v>
      </c>
      <c r="I13" s="233">
        <v>99.21</v>
      </c>
      <c r="J13" s="234">
        <v>101.14</v>
      </c>
      <c r="K13" s="235">
        <v>0.98329999999999995</v>
      </c>
      <c r="L13" s="236">
        <v>100.19</v>
      </c>
      <c r="M13" s="234">
        <v>102.12</v>
      </c>
      <c r="N13" s="237">
        <v>3</v>
      </c>
      <c r="O13" s="233">
        <v>105.12</v>
      </c>
      <c r="P13" s="238">
        <v>5.8900000000000001E-2</v>
      </c>
      <c r="Q13" s="239">
        <v>5.6300000000000003E-2</v>
      </c>
      <c r="R13" s="239" t="s">
        <v>550</v>
      </c>
      <c r="S13" s="240" t="s">
        <v>1746</v>
      </c>
      <c r="T13" s="240"/>
      <c r="U13" s="240" t="s">
        <v>1767</v>
      </c>
      <c r="V13" s="241">
        <v>10.833500000000001</v>
      </c>
      <c r="W13" s="241"/>
      <c r="X13" s="240"/>
      <c r="Y13" s="402">
        <v>0.06</v>
      </c>
      <c r="Z13" s="403">
        <v>2</v>
      </c>
      <c r="AA13" s="404" t="s">
        <v>1418</v>
      </c>
      <c r="AB13" s="405" t="s">
        <v>2472</v>
      </c>
      <c r="AC13" s="406">
        <v>104.14</v>
      </c>
      <c r="AD13" s="406">
        <v>36</v>
      </c>
      <c r="AE13" s="402" t="s">
        <v>2410</v>
      </c>
      <c r="AF13" s="402" t="s">
        <v>2473</v>
      </c>
      <c r="AG13" s="402" t="s">
        <v>4197</v>
      </c>
      <c r="AH13" s="402" t="s">
        <v>172</v>
      </c>
      <c r="AI13" s="402" t="s">
        <v>140</v>
      </c>
      <c r="AJ13" s="407" t="s">
        <v>3779</v>
      </c>
      <c r="AK13" s="407" t="s">
        <v>2419</v>
      </c>
      <c r="AL13" s="407" t="s">
        <v>2412</v>
      </c>
      <c r="AM13" s="407" t="s">
        <v>2419</v>
      </c>
      <c r="AN13" s="420" t="s">
        <v>2414</v>
      </c>
      <c r="AO13" s="420" t="s">
        <v>2415</v>
      </c>
      <c r="AP13" s="407" t="s">
        <v>1943</v>
      </c>
      <c r="AQ13" s="407" t="s">
        <v>2474</v>
      </c>
      <c r="AR13" s="407" t="s">
        <v>2474</v>
      </c>
      <c r="AS13" s="407" t="s">
        <v>2475</v>
      </c>
      <c r="AT13" s="798" t="s">
        <v>2419</v>
      </c>
      <c r="AU13" s="407" t="s">
        <v>3476</v>
      </c>
      <c r="AV13" s="408"/>
      <c r="AW13" s="191"/>
    </row>
    <row r="14" spans="1:49" ht="17.149999999999999" customHeight="1">
      <c r="A14" s="395"/>
      <c r="B14" s="342" t="s">
        <v>594</v>
      </c>
      <c r="C14" s="213" t="s">
        <v>595</v>
      </c>
      <c r="D14" s="214" t="s">
        <v>596</v>
      </c>
      <c r="E14" s="215">
        <v>1.1299999999999999</v>
      </c>
      <c r="F14" s="216" t="s">
        <v>309</v>
      </c>
      <c r="G14" s="217" t="s">
        <v>530</v>
      </c>
      <c r="H14" s="218" t="s">
        <v>4508</v>
      </c>
      <c r="I14" s="219">
        <v>100.03</v>
      </c>
      <c r="J14" s="220">
        <v>101.39</v>
      </c>
      <c r="K14" s="221">
        <v>7.6502999999999997</v>
      </c>
      <c r="L14" s="222">
        <v>107.68</v>
      </c>
      <c r="M14" s="220">
        <v>109.04</v>
      </c>
      <c r="N14" s="223">
        <v>0.5</v>
      </c>
      <c r="O14" s="219">
        <v>109.54</v>
      </c>
      <c r="P14" s="224">
        <v>7.3899999999999993E-2</v>
      </c>
      <c r="Q14" s="225">
        <v>6.9199999999999998E-2</v>
      </c>
      <c r="R14" s="225" t="s">
        <v>597</v>
      </c>
      <c r="S14" s="226" t="s">
        <v>1745</v>
      </c>
      <c r="T14" s="226"/>
      <c r="U14" s="226" t="s">
        <v>1767</v>
      </c>
      <c r="V14" s="227">
        <v>0.97170000000000001</v>
      </c>
      <c r="W14" s="227"/>
      <c r="X14" s="226"/>
      <c r="Y14" s="409">
        <v>8.7499999999999994E-2</v>
      </c>
      <c r="Z14" s="410">
        <v>1</v>
      </c>
      <c r="AA14" s="192" t="s">
        <v>2476</v>
      </c>
      <c r="AB14" s="411" t="s">
        <v>2477</v>
      </c>
      <c r="AC14" s="412">
        <v>101.89</v>
      </c>
      <c r="AD14" s="412">
        <v>2</v>
      </c>
      <c r="AE14" s="409" t="s">
        <v>2478</v>
      </c>
      <c r="AF14" s="409" t="s">
        <v>2479</v>
      </c>
      <c r="AG14" s="409" t="s">
        <v>2480</v>
      </c>
      <c r="AH14" s="409" t="s">
        <v>163</v>
      </c>
      <c r="AI14" s="409" t="s">
        <v>2481</v>
      </c>
      <c r="AJ14" s="242" t="s">
        <v>2482</v>
      </c>
      <c r="AK14" s="242" t="s">
        <v>2419</v>
      </c>
      <c r="AL14" s="242" t="s">
        <v>2412</v>
      </c>
      <c r="AM14" s="242" t="s">
        <v>2419</v>
      </c>
      <c r="AN14" s="421" t="s">
        <v>2414</v>
      </c>
      <c r="AO14" s="421" t="s">
        <v>2415</v>
      </c>
      <c r="AP14" s="242" t="s">
        <v>1948</v>
      </c>
      <c r="AQ14" s="242" t="s">
        <v>2483</v>
      </c>
      <c r="AR14" s="242" t="s">
        <v>2483</v>
      </c>
      <c r="AS14" s="242" t="s">
        <v>2484</v>
      </c>
      <c r="AT14" s="797" t="s">
        <v>2419</v>
      </c>
      <c r="AU14" s="242" t="s">
        <v>3476</v>
      </c>
      <c r="AV14" s="193"/>
      <c r="AW14" s="191"/>
    </row>
    <row r="15" spans="1:49" ht="17">
      <c r="A15" s="395"/>
      <c r="B15" s="342" t="s">
        <v>598</v>
      </c>
      <c r="C15" s="213" t="s">
        <v>599</v>
      </c>
      <c r="D15" s="228" t="s">
        <v>4375</v>
      </c>
      <c r="E15" s="229">
        <v>19.760000000000002</v>
      </c>
      <c r="F15" s="230" t="s">
        <v>600</v>
      </c>
      <c r="G15" s="231" t="s">
        <v>0</v>
      </c>
      <c r="H15" s="232" t="s">
        <v>4508</v>
      </c>
      <c r="I15" s="233">
        <v>95.99</v>
      </c>
      <c r="J15" s="234">
        <v>97.990000000000009</v>
      </c>
      <c r="K15" s="235">
        <v>1.2986</v>
      </c>
      <c r="L15" s="236">
        <v>97.29</v>
      </c>
      <c r="M15" s="234">
        <v>99.29</v>
      </c>
      <c r="N15" s="237">
        <v>3</v>
      </c>
      <c r="O15" s="233">
        <v>102.29</v>
      </c>
      <c r="P15" s="238">
        <v>5.67E-2</v>
      </c>
      <c r="Q15" s="239">
        <v>5.4199999999999998E-2</v>
      </c>
      <c r="R15" s="239" t="s">
        <v>550</v>
      </c>
      <c r="S15" s="240" t="s">
        <v>1776</v>
      </c>
      <c r="T15" s="240"/>
      <c r="U15" s="240" t="s">
        <v>1767</v>
      </c>
      <c r="V15" s="241">
        <v>11.747</v>
      </c>
      <c r="W15" s="241"/>
      <c r="X15" s="240"/>
      <c r="Y15" s="402">
        <v>5.5E-2</v>
      </c>
      <c r="Z15" s="403">
        <v>2</v>
      </c>
      <c r="AA15" s="404" t="s">
        <v>1437</v>
      </c>
      <c r="AB15" s="405" t="s">
        <v>2485</v>
      </c>
      <c r="AC15" s="406">
        <v>100.99000000000001</v>
      </c>
      <c r="AD15" s="406">
        <v>40</v>
      </c>
      <c r="AE15" s="402" t="s">
        <v>2410</v>
      </c>
      <c r="AF15" s="402" t="s">
        <v>2486</v>
      </c>
      <c r="AG15" s="402" t="s">
        <v>4037</v>
      </c>
      <c r="AH15" s="402" t="s">
        <v>168</v>
      </c>
      <c r="AI15" s="402" t="s">
        <v>134</v>
      </c>
      <c r="AJ15" s="407" t="s">
        <v>3906</v>
      </c>
      <c r="AK15" s="407" t="s">
        <v>2419</v>
      </c>
      <c r="AL15" s="407" t="s">
        <v>2412</v>
      </c>
      <c r="AM15" s="407" t="s">
        <v>2419</v>
      </c>
      <c r="AN15" s="420" t="s">
        <v>2414</v>
      </c>
      <c r="AO15" s="420" t="s">
        <v>2415</v>
      </c>
      <c r="AP15" s="407" t="s">
        <v>1943</v>
      </c>
      <c r="AQ15" s="407" t="s">
        <v>2487</v>
      </c>
      <c r="AR15" s="407" t="s">
        <v>2487</v>
      </c>
      <c r="AS15" s="407" t="s">
        <v>2488</v>
      </c>
      <c r="AT15" s="798" t="s">
        <v>2419</v>
      </c>
      <c r="AU15" s="407" t="s">
        <v>3476</v>
      </c>
      <c r="AV15" s="408"/>
      <c r="AW15" s="191"/>
    </row>
    <row r="16" spans="1:49" ht="17.149999999999999" customHeight="1">
      <c r="A16" s="395"/>
      <c r="B16" s="342" t="s">
        <v>601</v>
      </c>
      <c r="C16" s="213" t="s">
        <v>602</v>
      </c>
      <c r="D16" s="214" t="s">
        <v>3907</v>
      </c>
      <c r="E16" s="215">
        <v>21.2</v>
      </c>
      <c r="F16" s="216" t="s">
        <v>603</v>
      </c>
      <c r="G16" s="217" t="s">
        <v>0</v>
      </c>
      <c r="H16" s="218" t="s">
        <v>4508</v>
      </c>
      <c r="I16" s="219">
        <v>80.22</v>
      </c>
      <c r="J16" s="220">
        <v>84.16</v>
      </c>
      <c r="K16" s="221">
        <v>1.6875</v>
      </c>
      <c r="L16" s="222">
        <v>81.91</v>
      </c>
      <c r="M16" s="220">
        <v>85.85</v>
      </c>
      <c r="N16" s="223">
        <v>4</v>
      </c>
      <c r="O16" s="219">
        <v>89.85</v>
      </c>
      <c r="P16" s="224">
        <v>7.0800000000000002E-2</v>
      </c>
      <c r="Q16" s="225">
        <v>6.6799999999999998E-2</v>
      </c>
      <c r="R16" s="225" t="s">
        <v>550</v>
      </c>
      <c r="S16" s="226" t="s">
        <v>1746</v>
      </c>
      <c r="T16" s="226"/>
      <c r="U16" s="226" t="s">
        <v>1767</v>
      </c>
      <c r="V16" s="227">
        <v>11.256500000000001</v>
      </c>
      <c r="W16" s="227"/>
      <c r="X16" s="226"/>
      <c r="Y16" s="409">
        <v>5.6250000000000001E-2</v>
      </c>
      <c r="Z16" s="410">
        <v>2</v>
      </c>
      <c r="AA16" s="192" t="s">
        <v>1438</v>
      </c>
      <c r="AB16" s="411" t="s">
        <v>2489</v>
      </c>
      <c r="AC16" s="412">
        <v>88.16</v>
      </c>
      <c r="AD16" s="412">
        <v>43</v>
      </c>
      <c r="AE16" s="409" t="s">
        <v>2410</v>
      </c>
      <c r="AF16" s="409" t="s">
        <v>2491</v>
      </c>
      <c r="AG16" s="409" t="s">
        <v>4021</v>
      </c>
      <c r="AH16" s="409" t="s">
        <v>162</v>
      </c>
      <c r="AI16" s="409" t="s">
        <v>178</v>
      </c>
      <c r="AJ16" s="242" t="s">
        <v>4396</v>
      </c>
      <c r="AK16" s="242" t="s">
        <v>2419</v>
      </c>
      <c r="AL16" s="242" t="s">
        <v>2412</v>
      </c>
      <c r="AM16" s="242" t="s">
        <v>2419</v>
      </c>
      <c r="AN16" s="421" t="s">
        <v>2422</v>
      </c>
      <c r="AO16" s="421" t="s">
        <v>2423</v>
      </c>
      <c r="AP16" s="242" t="s">
        <v>1943</v>
      </c>
      <c r="AQ16" s="242" t="s">
        <v>2492</v>
      </c>
      <c r="AR16" s="242" t="s">
        <v>2492</v>
      </c>
      <c r="AS16" s="242" t="s">
        <v>2493</v>
      </c>
      <c r="AT16" s="797" t="s">
        <v>2419</v>
      </c>
      <c r="AU16" s="242" t="s">
        <v>3476</v>
      </c>
      <c r="AV16" s="193"/>
      <c r="AW16" s="191"/>
    </row>
    <row r="17" spans="1:49" ht="17">
      <c r="A17" s="395"/>
      <c r="B17" s="342" t="s">
        <v>604</v>
      </c>
      <c r="C17" s="213" t="s">
        <v>605</v>
      </c>
      <c r="D17" s="228" t="s">
        <v>606</v>
      </c>
      <c r="E17" s="229">
        <v>4.49</v>
      </c>
      <c r="F17" s="230" t="s">
        <v>607</v>
      </c>
      <c r="G17" s="231" t="s">
        <v>530</v>
      </c>
      <c r="H17" s="232" t="s">
        <v>4508</v>
      </c>
      <c r="I17" s="233">
        <v>67.760000000000005</v>
      </c>
      <c r="J17" s="234">
        <v>70.070000000000007</v>
      </c>
      <c r="K17" s="235">
        <v>0</v>
      </c>
      <c r="L17" s="236">
        <v>67.760000000000005</v>
      </c>
      <c r="M17" s="234">
        <v>70.069999999999993</v>
      </c>
      <c r="N17" s="237">
        <v>2</v>
      </c>
      <c r="O17" s="233">
        <v>72.069999999999993</v>
      </c>
      <c r="P17" s="238">
        <v>8.2500000000000004E-2</v>
      </c>
      <c r="Q17" s="239">
        <v>7.5700000000000003E-2</v>
      </c>
      <c r="R17" s="239" t="s">
        <v>608</v>
      </c>
      <c r="S17" s="240" t="s">
        <v>1776</v>
      </c>
      <c r="T17" s="240"/>
      <c r="U17" s="240" t="s">
        <v>1767</v>
      </c>
      <c r="V17" s="241">
        <v>4.3151999999999999</v>
      </c>
      <c r="W17" s="241"/>
      <c r="X17" s="240"/>
      <c r="Y17" s="402">
        <v>0</v>
      </c>
      <c r="Z17" s="403">
        <v>0</v>
      </c>
      <c r="AA17" s="404" t="s">
        <v>1439</v>
      </c>
      <c r="AB17" s="405" t="s">
        <v>2494</v>
      </c>
      <c r="AC17" s="406">
        <v>72.070000000000007</v>
      </c>
      <c r="AD17" s="406">
        <v>0</v>
      </c>
      <c r="AE17" s="402" t="s">
        <v>2495</v>
      </c>
      <c r="AF17" s="402" t="s">
        <v>2419</v>
      </c>
      <c r="AG17" s="402" t="s">
        <v>2419</v>
      </c>
      <c r="AH17" s="402" t="s">
        <v>163</v>
      </c>
      <c r="AI17" s="402" t="s">
        <v>85</v>
      </c>
      <c r="AJ17" s="407" t="s">
        <v>2419</v>
      </c>
      <c r="AK17" s="407" t="s">
        <v>2419</v>
      </c>
      <c r="AL17" s="407" t="s">
        <v>2496</v>
      </c>
      <c r="AM17" s="407" t="s">
        <v>2419</v>
      </c>
      <c r="AN17" s="420" t="s">
        <v>2414</v>
      </c>
      <c r="AO17" s="420" t="s">
        <v>2415</v>
      </c>
      <c r="AP17" s="407" t="s">
        <v>1943</v>
      </c>
      <c r="AQ17" s="407" t="s">
        <v>2497</v>
      </c>
      <c r="AR17" s="407" t="s">
        <v>2419</v>
      </c>
      <c r="AS17" s="407" t="s">
        <v>2419</v>
      </c>
      <c r="AT17" s="798" t="s">
        <v>2419</v>
      </c>
      <c r="AU17" s="407" t="s">
        <v>3476</v>
      </c>
      <c r="AV17" s="408"/>
      <c r="AW17" s="191"/>
    </row>
    <row r="18" spans="1:49" ht="17.149999999999999" customHeight="1">
      <c r="A18" s="395"/>
      <c r="B18" s="342" t="s">
        <v>609</v>
      </c>
      <c r="C18" s="213" t="s">
        <v>610</v>
      </c>
      <c r="D18" s="214" t="s">
        <v>611</v>
      </c>
      <c r="E18" s="215">
        <v>0.99</v>
      </c>
      <c r="F18" s="216" t="s">
        <v>612</v>
      </c>
      <c r="G18" s="217" t="s">
        <v>0</v>
      </c>
      <c r="H18" s="218" t="s">
        <v>4505</v>
      </c>
      <c r="I18" s="219">
        <v>98.07</v>
      </c>
      <c r="J18" s="220">
        <v>99.050000000000011</v>
      </c>
      <c r="K18" s="221">
        <v>2.29E-2</v>
      </c>
      <c r="L18" s="222">
        <v>98.09</v>
      </c>
      <c r="M18" s="220">
        <v>99.07</v>
      </c>
      <c r="N18" s="223">
        <v>1</v>
      </c>
      <c r="O18" s="219">
        <v>100.07</v>
      </c>
      <c r="P18" s="224">
        <v>5.1200000000000002E-2</v>
      </c>
      <c r="Q18" s="225">
        <v>4.07E-2</v>
      </c>
      <c r="R18" s="225" t="s">
        <v>550</v>
      </c>
      <c r="S18" s="226" t="s">
        <v>1776</v>
      </c>
      <c r="T18" s="226"/>
      <c r="U18" s="226" t="s">
        <v>1767</v>
      </c>
      <c r="V18" s="227">
        <v>0.96120000000000005</v>
      </c>
      <c r="W18" s="227"/>
      <c r="X18" s="226"/>
      <c r="Y18" s="409">
        <v>4.1250000000000002E-2</v>
      </c>
      <c r="Z18" s="410">
        <v>2</v>
      </c>
      <c r="AA18" s="192" t="s">
        <v>3876</v>
      </c>
      <c r="AB18" s="411" t="s">
        <v>2498</v>
      </c>
      <c r="AC18" s="412">
        <v>100.05000000000001</v>
      </c>
      <c r="AD18" s="412">
        <v>2</v>
      </c>
      <c r="AE18" s="409" t="s">
        <v>2410</v>
      </c>
      <c r="AF18" s="409" t="s">
        <v>3824</v>
      </c>
      <c r="AG18" s="409" t="s">
        <v>4526</v>
      </c>
      <c r="AH18" s="409" t="s">
        <v>164</v>
      </c>
      <c r="AI18" s="409" t="s">
        <v>196</v>
      </c>
      <c r="AJ18" s="242" t="s">
        <v>3746</v>
      </c>
      <c r="AK18" s="242" t="s">
        <v>2419</v>
      </c>
      <c r="AL18" s="242" t="s">
        <v>2412</v>
      </c>
      <c r="AM18" s="242" t="s">
        <v>2419</v>
      </c>
      <c r="AN18" s="421" t="s">
        <v>2414</v>
      </c>
      <c r="AO18" s="421" t="s">
        <v>2415</v>
      </c>
      <c r="AP18" s="242" t="s">
        <v>1946</v>
      </c>
      <c r="AQ18" s="242" t="s">
        <v>2499</v>
      </c>
      <c r="AR18" s="242" t="s">
        <v>2499</v>
      </c>
      <c r="AS18" s="242" t="s">
        <v>2500</v>
      </c>
      <c r="AT18" s="797" t="s">
        <v>2419</v>
      </c>
      <c r="AU18" s="242" t="s">
        <v>3476</v>
      </c>
      <c r="AV18" s="193"/>
      <c r="AW18" s="191"/>
    </row>
    <row r="19" spans="1:49" ht="17">
      <c r="A19" s="395"/>
      <c r="B19" s="342" t="s">
        <v>613</v>
      </c>
      <c r="C19" s="213" t="s">
        <v>614</v>
      </c>
      <c r="D19" s="228" t="s">
        <v>2164</v>
      </c>
      <c r="E19" s="229">
        <v>0.5</v>
      </c>
      <c r="F19" s="230" t="s">
        <v>615</v>
      </c>
      <c r="G19" s="231" t="s">
        <v>0</v>
      </c>
      <c r="H19" s="232" t="s">
        <v>4505</v>
      </c>
      <c r="I19" s="233">
        <v>98.65</v>
      </c>
      <c r="J19" s="234">
        <v>99.76</v>
      </c>
      <c r="K19" s="235">
        <v>1.32E-2</v>
      </c>
      <c r="L19" s="236">
        <v>98.66</v>
      </c>
      <c r="M19" s="234">
        <v>99.77</v>
      </c>
      <c r="N19" s="237">
        <v>2</v>
      </c>
      <c r="O19" s="233">
        <v>101.77</v>
      </c>
      <c r="P19" s="238">
        <v>5.2400000000000002E-2</v>
      </c>
      <c r="Q19" s="239">
        <v>1.1900000000000001E-2</v>
      </c>
      <c r="R19" s="239" t="s">
        <v>557</v>
      </c>
      <c r="S19" s="240" t="s">
        <v>1745</v>
      </c>
      <c r="T19" s="240"/>
      <c r="U19" s="240" t="s">
        <v>1767</v>
      </c>
      <c r="V19" s="241">
        <v>0.48780000000000001</v>
      </c>
      <c r="W19" s="241"/>
      <c r="X19" s="240"/>
      <c r="Y19" s="402">
        <v>4.7500000000000001E-2</v>
      </c>
      <c r="Z19" s="403">
        <v>2</v>
      </c>
      <c r="AA19" s="404" t="s">
        <v>1441</v>
      </c>
      <c r="AB19" s="405" t="s">
        <v>2501</v>
      </c>
      <c r="AC19" s="406">
        <v>101.76</v>
      </c>
      <c r="AD19" s="406">
        <v>1</v>
      </c>
      <c r="AE19" s="402" t="s">
        <v>2410</v>
      </c>
      <c r="AF19" s="402" t="s">
        <v>3825</v>
      </c>
      <c r="AG19" s="402" t="s">
        <v>2501</v>
      </c>
      <c r="AH19" s="402" t="s">
        <v>165</v>
      </c>
      <c r="AI19" s="402" t="s">
        <v>184</v>
      </c>
      <c r="AJ19" s="407" t="s">
        <v>3772</v>
      </c>
      <c r="AK19" s="407" t="s">
        <v>2419</v>
      </c>
      <c r="AL19" s="407" t="s">
        <v>2412</v>
      </c>
      <c r="AM19" s="407" t="s">
        <v>2419</v>
      </c>
      <c r="AN19" s="420" t="s">
        <v>2414</v>
      </c>
      <c r="AO19" s="420" t="s">
        <v>2415</v>
      </c>
      <c r="AP19" s="407" t="s">
        <v>1945</v>
      </c>
      <c r="AQ19" s="407" t="s">
        <v>2502</v>
      </c>
      <c r="AR19" s="407" t="s">
        <v>2502</v>
      </c>
      <c r="AS19" s="407" t="s">
        <v>2503</v>
      </c>
      <c r="AT19" s="798" t="s">
        <v>2419</v>
      </c>
      <c r="AU19" s="407" t="s">
        <v>3476</v>
      </c>
      <c r="AV19" s="408"/>
      <c r="AW19" s="191"/>
    </row>
    <row r="20" spans="1:49" ht="17.149999999999999" customHeight="1">
      <c r="A20" s="395"/>
      <c r="B20" s="342" t="s">
        <v>616</v>
      </c>
      <c r="C20" s="213" t="s">
        <v>617</v>
      </c>
      <c r="D20" s="214" t="s">
        <v>664</v>
      </c>
      <c r="E20" s="215">
        <v>12.1</v>
      </c>
      <c r="F20" s="216" t="s">
        <v>618</v>
      </c>
      <c r="G20" s="217" t="s">
        <v>0</v>
      </c>
      <c r="H20" s="218" t="s">
        <v>4505</v>
      </c>
      <c r="I20" s="219">
        <v>86.35</v>
      </c>
      <c r="J20" s="220">
        <v>87.84</v>
      </c>
      <c r="K20" s="221">
        <v>1.38</v>
      </c>
      <c r="L20" s="222">
        <v>87.73</v>
      </c>
      <c r="M20" s="220">
        <v>89.22</v>
      </c>
      <c r="N20" s="223">
        <v>2.5</v>
      </c>
      <c r="O20" s="219">
        <v>91.72</v>
      </c>
      <c r="P20" s="224">
        <v>4.7899999999999998E-2</v>
      </c>
      <c r="Q20" s="225">
        <v>4.4900000000000002E-2</v>
      </c>
      <c r="R20" s="225" t="s">
        <v>557</v>
      </c>
      <c r="S20" s="226" t="s">
        <v>1745</v>
      </c>
      <c r="T20" s="226"/>
      <c r="U20" s="226">
        <v>4.53E-2</v>
      </c>
      <c r="V20" s="227">
        <v>9.4621999999999993</v>
      </c>
      <c r="W20" s="227"/>
      <c r="X20" s="226"/>
      <c r="Y20" s="409">
        <v>3.4500000000000003E-2</v>
      </c>
      <c r="Z20" s="410">
        <v>2</v>
      </c>
      <c r="AA20" s="192" t="s">
        <v>1843</v>
      </c>
      <c r="AB20" s="411" t="s">
        <v>2504</v>
      </c>
      <c r="AC20" s="412">
        <v>90.34</v>
      </c>
      <c r="AD20" s="412">
        <v>25</v>
      </c>
      <c r="AE20" s="409" t="s">
        <v>2410</v>
      </c>
      <c r="AF20" s="409" t="s">
        <v>2505</v>
      </c>
      <c r="AG20" s="409" t="s">
        <v>3908</v>
      </c>
      <c r="AH20" s="409" t="s">
        <v>165</v>
      </c>
      <c r="AI20" s="409" t="s">
        <v>48</v>
      </c>
      <c r="AJ20" s="242" t="s">
        <v>2506</v>
      </c>
      <c r="AK20" s="242" t="s">
        <v>2507</v>
      </c>
      <c r="AL20" s="242" t="s">
        <v>2412</v>
      </c>
      <c r="AM20" s="242" t="s">
        <v>2413</v>
      </c>
      <c r="AN20" s="421" t="s">
        <v>2414</v>
      </c>
      <c r="AO20" s="421" t="s">
        <v>2415</v>
      </c>
      <c r="AP20" s="242" t="s">
        <v>1945</v>
      </c>
      <c r="AQ20" s="242" t="s">
        <v>2508</v>
      </c>
      <c r="AR20" s="242" t="s">
        <v>2508</v>
      </c>
      <c r="AS20" s="242" t="s">
        <v>2509</v>
      </c>
      <c r="AT20" s="797" t="s">
        <v>2419</v>
      </c>
      <c r="AU20" s="242" t="s">
        <v>3476</v>
      </c>
      <c r="AV20" s="193"/>
      <c r="AW20" s="191"/>
    </row>
    <row r="21" spans="1:49" ht="17">
      <c r="A21" s="395"/>
      <c r="B21" s="342" t="s">
        <v>619</v>
      </c>
      <c r="C21" s="213" t="s">
        <v>620</v>
      </c>
      <c r="D21" s="228" t="s">
        <v>621</v>
      </c>
      <c r="E21" s="229">
        <v>2.09</v>
      </c>
      <c r="F21" s="230" t="s">
        <v>622</v>
      </c>
      <c r="G21" s="231" t="s">
        <v>0</v>
      </c>
      <c r="H21" s="232" t="s">
        <v>4505</v>
      </c>
      <c r="I21" s="233">
        <v>94.39</v>
      </c>
      <c r="J21" s="234">
        <v>95.440000000000012</v>
      </c>
      <c r="K21" s="235">
        <v>1.0072000000000001</v>
      </c>
      <c r="L21" s="236">
        <v>95.4</v>
      </c>
      <c r="M21" s="234">
        <v>96.45</v>
      </c>
      <c r="N21" s="237">
        <v>0.8</v>
      </c>
      <c r="O21" s="233">
        <v>97.25</v>
      </c>
      <c r="P21" s="238">
        <v>4.7699999999999999E-2</v>
      </c>
      <c r="Q21" s="239">
        <v>4.3499999999999997E-2</v>
      </c>
      <c r="R21" s="239" t="s">
        <v>557</v>
      </c>
      <c r="S21" s="240" t="s">
        <v>1745</v>
      </c>
      <c r="T21" s="240"/>
      <c r="U21" s="240">
        <v>4.6100000000000002E-2</v>
      </c>
      <c r="V21" s="241">
        <v>1.9805999999999999</v>
      </c>
      <c r="W21" s="241"/>
      <c r="X21" s="240"/>
      <c r="Y21" s="402">
        <v>2.4500000000000001E-2</v>
      </c>
      <c r="Z21" s="403">
        <v>2</v>
      </c>
      <c r="AA21" s="404" t="s">
        <v>1357</v>
      </c>
      <c r="AB21" s="405" t="s">
        <v>2510</v>
      </c>
      <c r="AC21" s="406">
        <v>96.240000000000009</v>
      </c>
      <c r="AD21" s="406">
        <v>5</v>
      </c>
      <c r="AE21" s="402" t="s">
        <v>2410</v>
      </c>
      <c r="AF21" s="402" t="s">
        <v>2511</v>
      </c>
      <c r="AG21" s="402" t="s">
        <v>3894</v>
      </c>
      <c r="AH21" s="402" t="s">
        <v>165</v>
      </c>
      <c r="AI21" s="402" t="s">
        <v>49</v>
      </c>
      <c r="AJ21" s="407" t="s">
        <v>2512</v>
      </c>
      <c r="AK21" s="407" t="s">
        <v>2513</v>
      </c>
      <c r="AL21" s="407" t="s">
        <v>2412</v>
      </c>
      <c r="AM21" s="407" t="s">
        <v>2413</v>
      </c>
      <c r="AN21" s="420" t="s">
        <v>2414</v>
      </c>
      <c r="AO21" s="420" t="s">
        <v>2415</v>
      </c>
      <c r="AP21" s="407" t="s">
        <v>1945</v>
      </c>
      <c r="AQ21" s="407" t="s">
        <v>2514</v>
      </c>
      <c r="AR21" s="407" t="s">
        <v>2514</v>
      </c>
      <c r="AS21" s="407" t="s">
        <v>2515</v>
      </c>
      <c r="AT21" s="798" t="s">
        <v>2419</v>
      </c>
      <c r="AU21" s="407" t="s">
        <v>3476</v>
      </c>
      <c r="AV21" s="408"/>
      <c r="AW21" s="191"/>
    </row>
    <row r="22" spans="1:49" ht="17.149999999999999" customHeight="1">
      <c r="A22" s="395"/>
      <c r="B22" s="342" t="s">
        <v>623</v>
      </c>
      <c r="C22" s="213" t="s">
        <v>624</v>
      </c>
      <c r="D22" s="214" t="s">
        <v>621</v>
      </c>
      <c r="E22" s="215">
        <v>18.84</v>
      </c>
      <c r="F22" s="216" t="s">
        <v>625</v>
      </c>
      <c r="G22" s="217" t="s">
        <v>0</v>
      </c>
      <c r="H22" s="218" t="s">
        <v>4505</v>
      </c>
      <c r="I22" s="219">
        <v>82.79</v>
      </c>
      <c r="J22" s="220">
        <v>84.410000000000011</v>
      </c>
      <c r="K22" s="221">
        <v>0.62029999999999996</v>
      </c>
      <c r="L22" s="222">
        <v>83.41</v>
      </c>
      <c r="M22" s="220">
        <v>85.03</v>
      </c>
      <c r="N22" s="223">
        <v>3</v>
      </c>
      <c r="O22" s="219">
        <v>88.03</v>
      </c>
      <c r="P22" s="224">
        <v>5.1499999999999997E-2</v>
      </c>
      <c r="Q22" s="225">
        <v>4.8800000000000003E-2</v>
      </c>
      <c r="R22" s="225" t="s">
        <v>557</v>
      </c>
      <c r="S22" s="226" t="s">
        <v>1745</v>
      </c>
      <c r="T22" s="226"/>
      <c r="U22" s="226" t="s">
        <v>1767</v>
      </c>
      <c r="V22" s="227">
        <v>12.655799999999999</v>
      </c>
      <c r="W22" s="227"/>
      <c r="X22" s="226"/>
      <c r="Y22" s="409">
        <v>3.85E-2</v>
      </c>
      <c r="Z22" s="410">
        <v>2</v>
      </c>
      <c r="AA22" s="192" t="s">
        <v>1357</v>
      </c>
      <c r="AB22" s="411" t="s">
        <v>2516</v>
      </c>
      <c r="AC22" s="412">
        <v>87.410000000000011</v>
      </c>
      <c r="AD22" s="412">
        <v>38</v>
      </c>
      <c r="AE22" s="409" t="s">
        <v>2410</v>
      </c>
      <c r="AF22" s="409" t="s">
        <v>2518</v>
      </c>
      <c r="AG22" s="409" t="s">
        <v>4198</v>
      </c>
      <c r="AH22" s="409" t="s">
        <v>165</v>
      </c>
      <c r="AI22" s="409" t="s">
        <v>49</v>
      </c>
      <c r="AJ22" s="242" t="s">
        <v>2512</v>
      </c>
      <c r="AK22" s="242" t="s">
        <v>2419</v>
      </c>
      <c r="AL22" s="242" t="s">
        <v>2412</v>
      </c>
      <c r="AM22" s="242" t="s">
        <v>2419</v>
      </c>
      <c r="AN22" s="421" t="s">
        <v>2414</v>
      </c>
      <c r="AO22" s="421" t="s">
        <v>2415</v>
      </c>
      <c r="AP22" s="242" t="s">
        <v>1945</v>
      </c>
      <c r="AQ22" s="242" t="s">
        <v>2519</v>
      </c>
      <c r="AR22" s="242" t="s">
        <v>2519</v>
      </c>
      <c r="AS22" s="242" t="s">
        <v>2520</v>
      </c>
      <c r="AT22" s="797" t="s">
        <v>2419</v>
      </c>
      <c r="AU22" s="242" t="s">
        <v>3476</v>
      </c>
      <c r="AV22" s="193"/>
      <c r="AW22" s="191"/>
    </row>
    <row r="23" spans="1:49" ht="17">
      <c r="A23" s="395"/>
      <c r="B23" s="342" t="s">
        <v>626</v>
      </c>
      <c r="C23" s="213" t="s">
        <v>627</v>
      </c>
      <c r="D23" s="228" t="s">
        <v>628</v>
      </c>
      <c r="E23" s="229">
        <v>19.95</v>
      </c>
      <c r="F23" s="230" t="s">
        <v>629</v>
      </c>
      <c r="G23" s="231" t="s">
        <v>0</v>
      </c>
      <c r="H23" s="232" t="s">
        <v>4505</v>
      </c>
      <c r="I23" s="233">
        <v>85.51</v>
      </c>
      <c r="J23" s="234">
        <v>87.83</v>
      </c>
      <c r="K23" s="235">
        <v>0.22670000000000001</v>
      </c>
      <c r="L23" s="236">
        <v>85.74</v>
      </c>
      <c r="M23" s="234">
        <v>88.06</v>
      </c>
      <c r="N23" s="237">
        <v>3</v>
      </c>
      <c r="O23" s="233">
        <v>91.06</v>
      </c>
      <c r="P23" s="238">
        <v>5.8400000000000001E-2</v>
      </c>
      <c r="Q23" s="239">
        <v>5.57E-2</v>
      </c>
      <c r="R23" s="239" t="s">
        <v>557</v>
      </c>
      <c r="S23" s="240" t="s">
        <v>1746</v>
      </c>
      <c r="T23" s="240"/>
      <c r="U23" s="240">
        <v>5.5800000000000002E-2</v>
      </c>
      <c r="V23" s="241">
        <v>12.202299999999999</v>
      </c>
      <c r="W23" s="241"/>
      <c r="X23" s="240"/>
      <c r="Y23" s="402">
        <v>4.8000000000000001E-2</v>
      </c>
      <c r="Z23" s="403">
        <v>2</v>
      </c>
      <c r="AA23" s="404" t="s">
        <v>1410</v>
      </c>
      <c r="AB23" s="405" t="s">
        <v>2521</v>
      </c>
      <c r="AC23" s="406">
        <v>90.83</v>
      </c>
      <c r="AD23" s="406">
        <v>40</v>
      </c>
      <c r="AE23" s="402" t="s">
        <v>2410</v>
      </c>
      <c r="AF23" s="402" t="s">
        <v>3747</v>
      </c>
      <c r="AG23" s="402" t="s">
        <v>4476</v>
      </c>
      <c r="AH23" s="402" t="s">
        <v>164</v>
      </c>
      <c r="AI23" s="402" t="s">
        <v>50</v>
      </c>
      <c r="AJ23" s="407" t="s">
        <v>2522</v>
      </c>
      <c r="AK23" s="407" t="s">
        <v>2523</v>
      </c>
      <c r="AL23" s="407" t="s">
        <v>2412</v>
      </c>
      <c r="AM23" s="407" t="s">
        <v>2413</v>
      </c>
      <c r="AN23" s="420" t="s">
        <v>2414</v>
      </c>
      <c r="AO23" s="420" t="s">
        <v>2415</v>
      </c>
      <c r="AP23" s="407" t="s">
        <v>1945</v>
      </c>
      <c r="AQ23" s="407" t="s">
        <v>2524</v>
      </c>
      <c r="AR23" s="407" t="s">
        <v>2524</v>
      </c>
      <c r="AS23" s="407" t="s">
        <v>2525</v>
      </c>
      <c r="AT23" s="798" t="s">
        <v>2419</v>
      </c>
      <c r="AU23" s="407" t="s">
        <v>3476</v>
      </c>
      <c r="AV23" s="408"/>
      <c r="AW23" s="191"/>
    </row>
    <row r="24" spans="1:49" ht="17.149999999999999" customHeight="1">
      <c r="A24" s="395"/>
      <c r="B24" s="342" t="s">
        <v>630</v>
      </c>
      <c r="C24" s="213" t="s">
        <v>631</v>
      </c>
      <c r="D24" s="214" t="s">
        <v>628</v>
      </c>
      <c r="E24" s="215">
        <v>21.29</v>
      </c>
      <c r="F24" s="216" t="s">
        <v>2</v>
      </c>
      <c r="G24" s="217" t="s">
        <v>0</v>
      </c>
      <c r="H24" s="218" t="s">
        <v>4505</v>
      </c>
      <c r="I24" s="219">
        <v>104.13</v>
      </c>
      <c r="J24" s="220">
        <v>105.93</v>
      </c>
      <c r="K24" s="221">
        <v>1.3582000000000001</v>
      </c>
      <c r="L24" s="222">
        <v>105.49</v>
      </c>
      <c r="M24" s="220">
        <v>107.29</v>
      </c>
      <c r="N24" s="223">
        <v>3</v>
      </c>
      <c r="O24" s="219">
        <v>110.29</v>
      </c>
      <c r="P24" s="224">
        <v>5.8599999999999999E-2</v>
      </c>
      <c r="Q24" s="225">
        <v>5.62E-2</v>
      </c>
      <c r="R24" s="225" t="s">
        <v>557</v>
      </c>
      <c r="S24" s="226" t="s">
        <v>1745</v>
      </c>
      <c r="T24" s="226"/>
      <c r="U24" s="226">
        <v>5.62E-2</v>
      </c>
      <c r="V24" s="227">
        <v>11.6347</v>
      </c>
      <c r="W24" s="227"/>
      <c r="X24" s="226"/>
      <c r="Y24" s="409">
        <v>6.3500000000000001E-2</v>
      </c>
      <c r="Z24" s="410">
        <v>2</v>
      </c>
      <c r="AA24" s="192" t="s">
        <v>1395</v>
      </c>
      <c r="AB24" s="411" t="s">
        <v>2526</v>
      </c>
      <c r="AC24" s="412">
        <v>108.93</v>
      </c>
      <c r="AD24" s="412">
        <v>43</v>
      </c>
      <c r="AE24" s="409" t="s">
        <v>2410</v>
      </c>
      <c r="AF24" s="409" t="s">
        <v>2527</v>
      </c>
      <c r="AG24" s="409" t="s">
        <v>4070</v>
      </c>
      <c r="AH24" s="409" t="s">
        <v>165</v>
      </c>
      <c r="AI24" s="409" t="s">
        <v>51</v>
      </c>
      <c r="AJ24" s="242" t="s">
        <v>2528</v>
      </c>
      <c r="AK24" s="242" t="s">
        <v>2529</v>
      </c>
      <c r="AL24" s="242" t="s">
        <v>2412</v>
      </c>
      <c r="AM24" s="242" t="s">
        <v>2413</v>
      </c>
      <c r="AN24" s="421" t="s">
        <v>2414</v>
      </c>
      <c r="AO24" s="421" t="s">
        <v>2415</v>
      </c>
      <c r="AP24" s="242" t="s">
        <v>1945</v>
      </c>
      <c r="AQ24" s="242" t="s">
        <v>2530</v>
      </c>
      <c r="AR24" s="242" t="s">
        <v>2531</v>
      </c>
      <c r="AS24" s="242" t="s">
        <v>2532</v>
      </c>
      <c r="AT24" s="797" t="s">
        <v>2419</v>
      </c>
      <c r="AU24" s="242" t="s">
        <v>3478</v>
      </c>
      <c r="AV24" s="193"/>
      <c r="AW24" s="191"/>
    </row>
    <row r="25" spans="1:49" ht="17">
      <c r="A25" s="395"/>
      <c r="B25" s="342" t="s">
        <v>632</v>
      </c>
      <c r="C25" s="213" t="s">
        <v>633</v>
      </c>
      <c r="D25" s="228" t="s">
        <v>634</v>
      </c>
      <c r="E25" s="229">
        <v>8.6199999999999992</v>
      </c>
      <c r="F25" s="230" t="s">
        <v>635</v>
      </c>
      <c r="G25" s="231" t="s">
        <v>0</v>
      </c>
      <c r="H25" s="232" t="s">
        <v>4505</v>
      </c>
      <c r="I25" s="233">
        <v>105.13</v>
      </c>
      <c r="J25" s="234">
        <v>106.58</v>
      </c>
      <c r="K25" s="235">
        <v>2.3309000000000002</v>
      </c>
      <c r="L25" s="236">
        <v>107.46</v>
      </c>
      <c r="M25" s="234">
        <v>108.91</v>
      </c>
      <c r="N25" s="237">
        <v>2.5</v>
      </c>
      <c r="O25" s="233">
        <v>111.41</v>
      </c>
      <c r="P25" s="238">
        <v>5.1700000000000003E-2</v>
      </c>
      <c r="Q25" s="239">
        <v>4.82E-2</v>
      </c>
      <c r="R25" s="239" t="s">
        <v>557</v>
      </c>
      <c r="S25" s="240" t="s">
        <v>1745</v>
      </c>
      <c r="T25" s="240"/>
      <c r="U25" s="240" t="s">
        <v>1767</v>
      </c>
      <c r="V25" s="241">
        <v>6.5862999999999996</v>
      </c>
      <c r="W25" s="241"/>
      <c r="X25" s="240"/>
      <c r="Y25" s="402">
        <v>6.1249999999999999E-2</v>
      </c>
      <c r="Z25" s="403">
        <v>2</v>
      </c>
      <c r="AA25" s="404" t="s">
        <v>1396</v>
      </c>
      <c r="AB25" s="405" t="s">
        <v>2533</v>
      </c>
      <c r="AC25" s="406">
        <v>109.08</v>
      </c>
      <c r="AD25" s="406">
        <v>18</v>
      </c>
      <c r="AE25" s="402" t="s">
        <v>2410</v>
      </c>
      <c r="AF25" s="402" t="s">
        <v>2534</v>
      </c>
      <c r="AG25" s="402" t="s">
        <v>3909</v>
      </c>
      <c r="AH25" s="402" t="s">
        <v>162</v>
      </c>
      <c r="AI25" s="402" t="s">
        <v>52</v>
      </c>
      <c r="AJ25" s="407" t="s">
        <v>2535</v>
      </c>
      <c r="AK25" s="407" t="s">
        <v>2419</v>
      </c>
      <c r="AL25" s="407" t="s">
        <v>2412</v>
      </c>
      <c r="AM25" s="407" t="s">
        <v>2419</v>
      </c>
      <c r="AN25" s="420" t="s">
        <v>2422</v>
      </c>
      <c r="AO25" s="420" t="s">
        <v>2415</v>
      </c>
      <c r="AP25" s="407" t="s">
        <v>1945</v>
      </c>
      <c r="AQ25" s="407" t="s">
        <v>2536</v>
      </c>
      <c r="AR25" s="407" t="s">
        <v>2536</v>
      </c>
      <c r="AS25" s="407" t="s">
        <v>2537</v>
      </c>
      <c r="AT25" s="798" t="s">
        <v>2419</v>
      </c>
      <c r="AU25" s="407" t="s">
        <v>3476</v>
      </c>
      <c r="AV25" s="408"/>
      <c r="AW25" s="191"/>
    </row>
    <row r="26" spans="1:49" ht="17.149999999999999" customHeight="1">
      <c r="A26" s="395"/>
      <c r="B26" s="342" t="s">
        <v>636</v>
      </c>
      <c r="C26" s="213" t="s">
        <v>637</v>
      </c>
      <c r="D26" s="214" t="s">
        <v>596</v>
      </c>
      <c r="E26" s="215">
        <v>1.49</v>
      </c>
      <c r="F26" s="216" t="s">
        <v>638</v>
      </c>
      <c r="G26" s="217" t="s">
        <v>530</v>
      </c>
      <c r="H26" s="218" t="s">
        <v>4508</v>
      </c>
      <c r="I26" s="219">
        <v>87.45</v>
      </c>
      <c r="J26" s="220">
        <v>89.58</v>
      </c>
      <c r="K26" s="221">
        <v>0</v>
      </c>
      <c r="L26" s="222">
        <v>87.45</v>
      </c>
      <c r="M26" s="220">
        <v>89.58</v>
      </c>
      <c r="N26" s="223">
        <v>1</v>
      </c>
      <c r="O26" s="219">
        <v>90.58</v>
      </c>
      <c r="P26" s="224">
        <v>7.6600000000000001E-2</v>
      </c>
      <c r="Q26" s="225">
        <v>6.8599999999999994E-2</v>
      </c>
      <c r="R26" s="225" t="s">
        <v>597</v>
      </c>
      <c r="S26" s="226" t="s">
        <v>1776</v>
      </c>
      <c r="T26" s="226"/>
      <c r="U26" s="226" t="s">
        <v>1767</v>
      </c>
      <c r="V26" s="227">
        <v>1.3824000000000001</v>
      </c>
      <c r="W26" s="227"/>
      <c r="X26" s="226"/>
      <c r="Y26" s="409">
        <v>0</v>
      </c>
      <c r="Z26" s="410">
        <v>0</v>
      </c>
      <c r="AA26" s="192" t="s">
        <v>2538</v>
      </c>
      <c r="AB26" s="411" t="s">
        <v>2539</v>
      </c>
      <c r="AC26" s="412">
        <v>90.58</v>
      </c>
      <c r="AD26" s="412">
        <v>0</v>
      </c>
      <c r="AE26" s="409" t="s">
        <v>2495</v>
      </c>
      <c r="AF26" s="409" t="s">
        <v>2419</v>
      </c>
      <c r="AG26" s="409" t="s">
        <v>2419</v>
      </c>
      <c r="AH26" s="409" t="s">
        <v>163</v>
      </c>
      <c r="AI26" s="409" t="s">
        <v>2540</v>
      </c>
      <c r="AJ26" s="242" t="s">
        <v>4397</v>
      </c>
      <c r="AK26" s="242" t="s">
        <v>2419</v>
      </c>
      <c r="AL26" s="242" t="s">
        <v>2496</v>
      </c>
      <c r="AM26" s="242" t="s">
        <v>2419</v>
      </c>
      <c r="AN26" s="421" t="s">
        <v>2414</v>
      </c>
      <c r="AO26" s="421" t="s">
        <v>2415</v>
      </c>
      <c r="AP26" s="242" t="s">
        <v>1943</v>
      </c>
      <c r="AQ26" s="242" t="s">
        <v>2541</v>
      </c>
      <c r="AR26" s="242" t="s">
        <v>2419</v>
      </c>
      <c r="AS26" s="242" t="s">
        <v>2419</v>
      </c>
      <c r="AT26" s="797" t="s">
        <v>2419</v>
      </c>
      <c r="AU26" s="242" t="s">
        <v>3476</v>
      </c>
      <c r="AV26" s="193"/>
      <c r="AW26" s="191"/>
    </row>
    <row r="27" spans="1:49" ht="17">
      <c r="A27" s="395"/>
      <c r="B27" s="342" t="s">
        <v>639</v>
      </c>
      <c r="C27" s="213" t="s">
        <v>640</v>
      </c>
      <c r="D27" s="228" t="s">
        <v>641</v>
      </c>
      <c r="E27" s="229">
        <v>3.49</v>
      </c>
      <c r="F27" s="230" t="s">
        <v>642</v>
      </c>
      <c r="G27" s="231" t="s">
        <v>530</v>
      </c>
      <c r="H27" s="232" t="s">
        <v>4508</v>
      </c>
      <c r="I27" s="233">
        <v>66.16</v>
      </c>
      <c r="J27" s="234">
        <v>69.5</v>
      </c>
      <c r="K27" s="235">
        <v>0</v>
      </c>
      <c r="L27" s="236">
        <v>66.16</v>
      </c>
      <c r="M27" s="234">
        <v>69.5</v>
      </c>
      <c r="N27" s="237">
        <v>2.5</v>
      </c>
      <c r="O27" s="233">
        <v>72</v>
      </c>
      <c r="P27" s="238">
        <v>0.10979999999999999</v>
      </c>
      <c r="Q27" s="239">
        <v>9.8699999999999996E-2</v>
      </c>
      <c r="R27" s="239" t="s">
        <v>597</v>
      </c>
      <c r="S27" s="240" t="s">
        <v>1745</v>
      </c>
      <c r="T27" s="240"/>
      <c r="U27" s="240" t="s">
        <v>1767</v>
      </c>
      <c r="V27" s="241">
        <v>3.3146</v>
      </c>
      <c r="W27" s="241"/>
      <c r="X27" s="240"/>
      <c r="Y27" s="402">
        <v>0</v>
      </c>
      <c r="Z27" s="403">
        <v>0</v>
      </c>
      <c r="AA27" s="404" t="s">
        <v>2542</v>
      </c>
      <c r="AB27" s="405" t="s">
        <v>2543</v>
      </c>
      <c r="AC27" s="406">
        <v>72</v>
      </c>
      <c r="AD27" s="406">
        <v>0</v>
      </c>
      <c r="AE27" s="402" t="s">
        <v>2495</v>
      </c>
      <c r="AF27" s="402" t="s">
        <v>2419</v>
      </c>
      <c r="AG27" s="402" t="s">
        <v>2419</v>
      </c>
      <c r="AH27" s="402" t="s">
        <v>163</v>
      </c>
      <c r="AI27" s="402" t="s">
        <v>2544</v>
      </c>
      <c r="AJ27" s="407" t="s">
        <v>2545</v>
      </c>
      <c r="AK27" s="407" t="s">
        <v>2419</v>
      </c>
      <c r="AL27" s="407" t="s">
        <v>2496</v>
      </c>
      <c r="AM27" s="407" t="s">
        <v>2419</v>
      </c>
      <c r="AN27" s="420" t="s">
        <v>2414</v>
      </c>
      <c r="AO27" s="420" t="s">
        <v>2415</v>
      </c>
      <c r="AP27" s="407" t="s">
        <v>1943</v>
      </c>
      <c r="AQ27" s="407" t="s">
        <v>2546</v>
      </c>
      <c r="AR27" s="407" t="s">
        <v>2419</v>
      </c>
      <c r="AS27" s="407" t="s">
        <v>2419</v>
      </c>
      <c r="AT27" s="798" t="s">
        <v>2419</v>
      </c>
      <c r="AU27" s="407" t="s">
        <v>3476</v>
      </c>
      <c r="AV27" s="408"/>
      <c r="AW27" s="191"/>
    </row>
    <row r="28" spans="1:49" ht="17.149999999999999" customHeight="1">
      <c r="A28" s="395"/>
      <c r="B28" s="342" t="s">
        <v>643</v>
      </c>
      <c r="C28" s="213" t="s">
        <v>644</v>
      </c>
      <c r="D28" s="214" t="s">
        <v>645</v>
      </c>
      <c r="E28" s="215">
        <v>13.2</v>
      </c>
      <c r="F28" s="216" t="s">
        <v>646</v>
      </c>
      <c r="G28" s="217" t="s">
        <v>0</v>
      </c>
      <c r="H28" s="218" t="s">
        <v>4505</v>
      </c>
      <c r="I28" s="219">
        <v>105.85</v>
      </c>
      <c r="J28" s="220">
        <v>108.24000000000001</v>
      </c>
      <c r="K28" s="221">
        <v>1.9319</v>
      </c>
      <c r="L28" s="222">
        <v>107.78</v>
      </c>
      <c r="M28" s="220">
        <v>110.17</v>
      </c>
      <c r="N28" s="223">
        <v>2.5</v>
      </c>
      <c r="O28" s="219">
        <v>112.67</v>
      </c>
      <c r="P28" s="224">
        <v>5.6099999999999997E-2</v>
      </c>
      <c r="Q28" s="225">
        <v>5.3499999999999999E-2</v>
      </c>
      <c r="R28" s="225" t="s">
        <v>557</v>
      </c>
      <c r="S28" s="226" t="s">
        <v>1776</v>
      </c>
      <c r="T28" s="226"/>
      <c r="U28" s="226" t="s">
        <v>1767</v>
      </c>
      <c r="V28" s="227">
        <v>8.8469999999999995</v>
      </c>
      <c r="W28" s="227"/>
      <c r="X28" s="226"/>
      <c r="Y28" s="409">
        <v>6.5000000000000002E-2</v>
      </c>
      <c r="Z28" s="410">
        <v>2</v>
      </c>
      <c r="AA28" s="192" t="s">
        <v>1388</v>
      </c>
      <c r="AB28" s="411" t="s">
        <v>2547</v>
      </c>
      <c r="AC28" s="412">
        <v>110.74000000000001</v>
      </c>
      <c r="AD28" s="412">
        <v>27</v>
      </c>
      <c r="AE28" s="409" t="s">
        <v>2410</v>
      </c>
      <c r="AF28" s="409" t="s">
        <v>2491</v>
      </c>
      <c r="AG28" s="409" t="s">
        <v>4021</v>
      </c>
      <c r="AH28" s="409" t="s">
        <v>168</v>
      </c>
      <c r="AI28" s="409" t="s">
        <v>233</v>
      </c>
      <c r="AJ28" s="242" t="s">
        <v>3871</v>
      </c>
      <c r="AK28" s="242" t="s">
        <v>2419</v>
      </c>
      <c r="AL28" s="242" t="s">
        <v>2412</v>
      </c>
      <c r="AM28" s="242" t="s">
        <v>2419</v>
      </c>
      <c r="AN28" s="421" t="s">
        <v>2414</v>
      </c>
      <c r="AO28" s="421" t="s">
        <v>2415</v>
      </c>
      <c r="AP28" s="242" t="s">
        <v>1945</v>
      </c>
      <c r="AQ28" s="242" t="s">
        <v>2548</v>
      </c>
      <c r="AR28" s="242" t="s">
        <v>2549</v>
      </c>
      <c r="AS28" s="242" t="s">
        <v>2550</v>
      </c>
      <c r="AT28" s="797" t="s">
        <v>2419</v>
      </c>
      <c r="AU28" s="242" t="s">
        <v>3476</v>
      </c>
      <c r="AV28" s="193"/>
      <c r="AW28" s="191"/>
    </row>
    <row r="29" spans="1:49" ht="17">
      <c r="A29" s="395"/>
      <c r="B29" s="342" t="s">
        <v>647</v>
      </c>
      <c r="C29" s="213" t="s">
        <v>648</v>
      </c>
      <c r="D29" s="228" t="s">
        <v>649</v>
      </c>
      <c r="E29" s="229">
        <v>2.2200000000000002</v>
      </c>
      <c r="F29" s="230" t="s">
        <v>89</v>
      </c>
      <c r="G29" s="231" t="s">
        <v>0</v>
      </c>
      <c r="H29" s="232" t="s">
        <v>4508</v>
      </c>
      <c r="I29" s="233">
        <v>94.12</v>
      </c>
      <c r="J29" s="234">
        <v>96</v>
      </c>
      <c r="K29" s="235">
        <v>0.83330000000000004</v>
      </c>
      <c r="L29" s="236">
        <v>94.95</v>
      </c>
      <c r="M29" s="234">
        <v>96.83</v>
      </c>
      <c r="N29" s="237">
        <v>1.1000000000000001</v>
      </c>
      <c r="O29" s="233">
        <v>97.929999999999993</v>
      </c>
      <c r="P29" s="238">
        <v>4.9200000000000001E-2</v>
      </c>
      <c r="Q29" s="239">
        <v>4.3799999999999999E-2</v>
      </c>
      <c r="R29" s="239" t="s">
        <v>550</v>
      </c>
      <c r="S29" s="240" t="s">
        <v>1776</v>
      </c>
      <c r="T29" s="240"/>
      <c r="U29" s="240" t="s">
        <v>1767</v>
      </c>
      <c r="V29" s="241">
        <v>2.0952000000000002</v>
      </c>
      <c r="W29" s="241"/>
      <c r="X29" s="240"/>
      <c r="Y29" s="402">
        <v>0.03</v>
      </c>
      <c r="Z29" s="403">
        <v>2</v>
      </c>
      <c r="AA29" s="404" t="s">
        <v>1353</v>
      </c>
      <c r="AB29" s="405" t="s">
        <v>2551</v>
      </c>
      <c r="AC29" s="406">
        <v>97.1</v>
      </c>
      <c r="AD29" s="406">
        <v>5</v>
      </c>
      <c r="AE29" s="402" t="s">
        <v>2410</v>
      </c>
      <c r="AF29" s="402" t="s">
        <v>2552</v>
      </c>
      <c r="AG29" s="402" t="s">
        <v>4028</v>
      </c>
      <c r="AH29" s="402" t="s">
        <v>171</v>
      </c>
      <c r="AI29" s="402" t="s">
        <v>102</v>
      </c>
      <c r="AJ29" s="407" t="s">
        <v>2553</v>
      </c>
      <c r="AK29" s="407" t="s">
        <v>2419</v>
      </c>
      <c r="AL29" s="407" t="s">
        <v>2412</v>
      </c>
      <c r="AM29" s="407" t="s">
        <v>2419</v>
      </c>
      <c r="AN29" s="420" t="s">
        <v>2414</v>
      </c>
      <c r="AO29" s="420" t="s">
        <v>2415</v>
      </c>
      <c r="AP29" s="407" t="s">
        <v>1943</v>
      </c>
      <c r="AQ29" s="407" t="s">
        <v>2554</v>
      </c>
      <c r="AR29" s="407" t="s">
        <v>2554</v>
      </c>
      <c r="AS29" s="407" t="s">
        <v>2555</v>
      </c>
      <c r="AT29" s="798" t="s">
        <v>2419</v>
      </c>
      <c r="AU29" s="407" t="s">
        <v>3476</v>
      </c>
      <c r="AV29" s="408"/>
      <c r="AW29" s="191"/>
    </row>
    <row r="30" spans="1:49" ht="17.149999999999999" customHeight="1">
      <c r="A30" s="395"/>
      <c r="B30" s="342" t="s">
        <v>650</v>
      </c>
      <c r="C30" s="213" t="s">
        <v>651</v>
      </c>
      <c r="D30" s="214" t="s">
        <v>652</v>
      </c>
      <c r="E30" s="215">
        <v>12.7</v>
      </c>
      <c r="F30" s="216" t="s">
        <v>653</v>
      </c>
      <c r="G30" s="217" t="s">
        <v>0</v>
      </c>
      <c r="H30" s="218" t="s">
        <v>4505</v>
      </c>
      <c r="I30" s="219">
        <v>97.88</v>
      </c>
      <c r="J30" s="220">
        <v>99.54</v>
      </c>
      <c r="K30" s="221">
        <v>1.5458000000000001</v>
      </c>
      <c r="L30" s="222">
        <v>99.43</v>
      </c>
      <c r="M30" s="220">
        <v>101.09</v>
      </c>
      <c r="N30" s="223">
        <v>2.5</v>
      </c>
      <c r="O30" s="219">
        <v>103.59</v>
      </c>
      <c r="P30" s="224">
        <v>5.2999999999999999E-2</v>
      </c>
      <c r="Q30" s="225">
        <v>5.0299999999999997E-2</v>
      </c>
      <c r="R30" s="225" t="s">
        <v>868</v>
      </c>
      <c r="S30" s="226" t="s">
        <v>1745</v>
      </c>
      <c r="T30" s="226"/>
      <c r="U30" s="226" t="s">
        <v>1767</v>
      </c>
      <c r="V30" s="227">
        <v>9.0589999999999993</v>
      </c>
      <c r="W30" s="227"/>
      <c r="X30" s="226"/>
      <c r="Y30" s="409">
        <v>5.2499999999999998E-2</v>
      </c>
      <c r="Z30" s="410">
        <v>2</v>
      </c>
      <c r="AA30" s="192" t="s">
        <v>1361</v>
      </c>
      <c r="AB30" s="411" t="s">
        <v>2556</v>
      </c>
      <c r="AC30" s="412">
        <v>102.04</v>
      </c>
      <c r="AD30" s="412">
        <v>26</v>
      </c>
      <c r="AE30" s="409" t="s">
        <v>2410</v>
      </c>
      <c r="AF30" s="409" t="s">
        <v>2430</v>
      </c>
      <c r="AG30" s="409" t="s">
        <v>4020</v>
      </c>
      <c r="AH30" s="409" t="s">
        <v>164</v>
      </c>
      <c r="AI30" s="409" t="s">
        <v>53</v>
      </c>
      <c r="AJ30" s="242" t="s">
        <v>2557</v>
      </c>
      <c r="AK30" s="242" t="s">
        <v>2419</v>
      </c>
      <c r="AL30" s="242" t="s">
        <v>2412</v>
      </c>
      <c r="AM30" s="242" t="s">
        <v>2419</v>
      </c>
      <c r="AN30" s="421" t="s">
        <v>2414</v>
      </c>
      <c r="AO30" s="421" t="s">
        <v>2415</v>
      </c>
      <c r="AP30" s="242" t="s">
        <v>1945</v>
      </c>
      <c r="AQ30" s="242" t="s">
        <v>2558</v>
      </c>
      <c r="AR30" s="242" t="s">
        <v>2558</v>
      </c>
      <c r="AS30" s="242" t="s">
        <v>2559</v>
      </c>
      <c r="AT30" s="797" t="s">
        <v>2419</v>
      </c>
      <c r="AU30" s="242" t="s">
        <v>3476</v>
      </c>
      <c r="AV30" s="193"/>
      <c r="AW30" s="191"/>
    </row>
    <row r="31" spans="1:49" ht="17">
      <c r="A31" s="395"/>
      <c r="B31" s="342" t="s">
        <v>654</v>
      </c>
      <c r="C31" s="213" t="s">
        <v>655</v>
      </c>
      <c r="D31" s="228" t="s">
        <v>4011</v>
      </c>
      <c r="E31" s="229">
        <v>5.54</v>
      </c>
      <c r="F31" s="230" t="s">
        <v>656</v>
      </c>
      <c r="G31" s="231" t="s">
        <v>0</v>
      </c>
      <c r="H31" s="232" t="s">
        <v>4505</v>
      </c>
      <c r="I31" s="233">
        <v>124.27</v>
      </c>
      <c r="J31" s="234">
        <v>126.29</v>
      </c>
      <c r="K31" s="235">
        <v>5.5087000000000002</v>
      </c>
      <c r="L31" s="236">
        <v>129.78</v>
      </c>
      <c r="M31" s="234">
        <v>131.80000000000001</v>
      </c>
      <c r="N31" s="237">
        <v>3</v>
      </c>
      <c r="O31" s="233">
        <v>134.80000000000001</v>
      </c>
      <c r="P31" s="238">
        <v>6.1899999999999997E-2</v>
      </c>
      <c r="Q31" s="239">
        <v>5.6399999999999999E-2</v>
      </c>
      <c r="R31" s="239" t="s">
        <v>557</v>
      </c>
      <c r="S31" s="240" t="s">
        <v>1745</v>
      </c>
      <c r="T31" s="240"/>
      <c r="U31" s="240" t="s">
        <v>1767</v>
      </c>
      <c r="V31" s="241">
        <v>4.0728</v>
      </c>
      <c r="W31" s="241"/>
      <c r="X31" s="240"/>
      <c r="Y31" s="402">
        <v>0.11874999999999999</v>
      </c>
      <c r="Z31" s="403">
        <v>2</v>
      </c>
      <c r="AA31" s="404" t="s">
        <v>1442</v>
      </c>
      <c r="AB31" s="405" t="s">
        <v>2560</v>
      </c>
      <c r="AC31" s="406">
        <v>129.29000000000002</v>
      </c>
      <c r="AD31" s="406">
        <v>12</v>
      </c>
      <c r="AE31" s="402" t="s">
        <v>2410</v>
      </c>
      <c r="AF31" s="402" t="s">
        <v>2561</v>
      </c>
      <c r="AG31" s="402" t="s">
        <v>3862</v>
      </c>
      <c r="AH31" s="402" t="s">
        <v>163</v>
      </c>
      <c r="AI31" s="402" t="s">
        <v>228</v>
      </c>
      <c r="AJ31" s="407" t="s">
        <v>2562</v>
      </c>
      <c r="AK31" s="407" t="s">
        <v>2419</v>
      </c>
      <c r="AL31" s="407" t="s">
        <v>2412</v>
      </c>
      <c r="AM31" s="407" t="s">
        <v>2419</v>
      </c>
      <c r="AN31" s="420" t="s">
        <v>2414</v>
      </c>
      <c r="AO31" s="420" t="s">
        <v>2415</v>
      </c>
      <c r="AP31" s="407" t="s">
        <v>1943</v>
      </c>
      <c r="AQ31" s="407" t="s">
        <v>2563</v>
      </c>
      <c r="AR31" s="407" t="s">
        <v>2563</v>
      </c>
      <c r="AS31" s="407" t="s">
        <v>2564</v>
      </c>
      <c r="AT31" s="798" t="s">
        <v>2419</v>
      </c>
      <c r="AU31" s="407" t="s">
        <v>3476</v>
      </c>
      <c r="AV31" s="408"/>
      <c r="AW31" s="191"/>
    </row>
    <row r="32" spans="1:49" ht="17.149999999999999" customHeight="1">
      <c r="A32" s="395"/>
      <c r="B32" s="342" t="s">
        <v>657</v>
      </c>
      <c r="C32" s="213" t="s">
        <v>658</v>
      </c>
      <c r="D32" s="214" t="s">
        <v>659</v>
      </c>
      <c r="E32" s="215">
        <v>10.9</v>
      </c>
      <c r="F32" s="216" t="s">
        <v>660</v>
      </c>
      <c r="G32" s="217" t="s">
        <v>530</v>
      </c>
      <c r="H32" s="218" t="s">
        <v>4508</v>
      </c>
      <c r="I32" s="219">
        <v>34.119999999999997</v>
      </c>
      <c r="J32" s="220">
        <v>36.159999999999997</v>
      </c>
      <c r="K32" s="221">
        <v>0</v>
      </c>
      <c r="L32" s="222">
        <v>34.119999999999997</v>
      </c>
      <c r="M32" s="220">
        <v>36.159999999999997</v>
      </c>
      <c r="N32" s="223">
        <v>1.5</v>
      </c>
      <c r="O32" s="219">
        <v>37.659999999999997</v>
      </c>
      <c r="P32" s="224">
        <v>9.7799999999999998E-2</v>
      </c>
      <c r="Q32" s="225">
        <v>9.3700000000000006E-2</v>
      </c>
      <c r="R32" s="225" t="s">
        <v>661</v>
      </c>
      <c r="S32" s="226" t="s">
        <v>1745</v>
      </c>
      <c r="T32" s="226"/>
      <c r="U32" s="226" t="s">
        <v>1767</v>
      </c>
      <c r="V32" s="227">
        <v>10.407400000000001</v>
      </c>
      <c r="W32" s="227"/>
      <c r="X32" s="226"/>
      <c r="Y32" s="409">
        <v>0</v>
      </c>
      <c r="Z32" s="410">
        <v>0</v>
      </c>
      <c r="AA32" s="192" t="s">
        <v>1443</v>
      </c>
      <c r="AB32" s="411" t="s">
        <v>2565</v>
      </c>
      <c r="AC32" s="412">
        <v>37.659999999999997</v>
      </c>
      <c r="AD32" s="412">
        <v>0</v>
      </c>
      <c r="AE32" s="409" t="s">
        <v>2495</v>
      </c>
      <c r="AF32" s="409" t="s">
        <v>2419</v>
      </c>
      <c r="AG32" s="409" t="s">
        <v>2419</v>
      </c>
      <c r="AH32" s="409" t="s">
        <v>163</v>
      </c>
      <c r="AI32" s="409" t="s">
        <v>84</v>
      </c>
      <c r="AJ32" s="242" t="s">
        <v>3910</v>
      </c>
      <c r="AK32" s="242" t="s">
        <v>2419</v>
      </c>
      <c r="AL32" s="242" t="s">
        <v>2496</v>
      </c>
      <c r="AM32" s="242" t="s">
        <v>2419</v>
      </c>
      <c r="AN32" s="421" t="s">
        <v>2414</v>
      </c>
      <c r="AO32" s="421" t="s">
        <v>2415</v>
      </c>
      <c r="AP32" s="242" t="s">
        <v>1948</v>
      </c>
      <c r="AQ32" s="242" t="s">
        <v>2566</v>
      </c>
      <c r="AR32" s="242" t="s">
        <v>2419</v>
      </c>
      <c r="AS32" s="242" t="s">
        <v>2419</v>
      </c>
      <c r="AT32" s="797" t="s">
        <v>2419</v>
      </c>
      <c r="AU32" s="242" t="s">
        <v>3476</v>
      </c>
      <c r="AV32" s="193"/>
      <c r="AW32" s="191"/>
    </row>
    <row r="33" spans="1:49" ht="17">
      <c r="A33" s="395"/>
      <c r="B33" s="342" t="s">
        <v>662</v>
      </c>
      <c r="C33" s="213" t="s">
        <v>663</v>
      </c>
      <c r="D33" s="228" t="s">
        <v>664</v>
      </c>
      <c r="E33" s="229">
        <v>9.43</v>
      </c>
      <c r="F33" s="230" t="s">
        <v>283</v>
      </c>
      <c r="G33" s="231" t="s">
        <v>0</v>
      </c>
      <c r="H33" s="232" t="s">
        <v>4505</v>
      </c>
      <c r="I33" s="233">
        <v>97.19</v>
      </c>
      <c r="J33" s="234">
        <v>98.68</v>
      </c>
      <c r="K33" s="235">
        <v>0.3281</v>
      </c>
      <c r="L33" s="236">
        <v>97.52</v>
      </c>
      <c r="M33" s="234">
        <v>99.01</v>
      </c>
      <c r="N33" s="237">
        <v>2.5</v>
      </c>
      <c r="O33" s="233">
        <v>101.51</v>
      </c>
      <c r="P33" s="238">
        <v>4.5499999999999999E-2</v>
      </c>
      <c r="Q33" s="239">
        <v>4.2200000000000001E-2</v>
      </c>
      <c r="R33" s="239" t="s">
        <v>557</v>
      </c>
      <c r="S33" s="240" t="s">
        <v>1745</v>
      </c>
      <c r="T33" s="240"/>
      <c r="U33" s="240">
        <v>4.2099999999999999E-2</v>
      </c>
      <c r="V33" s="241">
        <v>7.6245000000000003</v>
      </c>
      <c r="W33" s="241"/>
      <c r="X33" s="240"/>
      <c r="Y33" s="402">
        <v>4.3749999999999997E-2</v>
      </c>
      <c r="Z33" s="403">
        <v>2</v>
      </c>
      <c r="AA33" s="404" t="s">
        <v>1370</v>
      </c>
      <c r="AB33" s="405" t="s">
        <v>2567</v>
      </c>
      <c r="AC33" s="406">
        <v>101.18</v>
      </c>
      <c r="AD33" s="406">
        <v>19</v>
      </c>
      <c r="AE33" s="402" t="s">
        <v>2410</v>
      </c>
      <c r="AF33" s="402" t="s">
        <v>3507</v>
      </c>
      <c r="AG33" s="402" t="s">
        <v>4437</v>
      </c>
      <c r="AH33" s="402" t="s">
        <v>167</v>
      </c>
      <c r="AI33" s="402" t="s">
        <v>96</v>
      </c>
      <c r="AJ33" s="407" t="s">
        <v>2568</v>
      </c>
      <c r="AK33" s="407" t="s">
        <v>2569</v>
      </c>
      <c r="AL33" s="407" t="s">
        <v>2412</v>
      </c>
      <c r="AM33" s="407" t="s">
        <v>2413</v>
      </c>
      <c r="AN33" s="420" t="s">
        <v>2414</v>
      </c>
      <c r="AO33" s="420" t="s">
        <v>2415</v>
      </c>
      <c r="AP33" s="407" t="s">
        <v>1945</v>
      </c>
      <c r="AQ33" s="407" t="s">
        <v>2570</v>
      </c>
      <c r="AR33" s="407" t="s">
        <v>2570</v>
      </c>
      <c r="AS33" s="407" t="s">
        <v>2571</v>
      </c>
      <c r="AT33" s="798" t="s">
        <v>2419</v>
      </c>
      <c r="AU33" s="407" t="s">
        <v>3476</v>
      </c>
      <c r="AV33" s="408"/>
      <c r="AW33" s="191"/>
    </row>
    <row r="34" spans="1:49" ht="17.149999999999999" customHeight="1">
      <c r="A34" s="395"/>
      <c r="B34" s="342" t="s">
        <v>665</v>
      </c>
      <c r="C34" s="213" t="s">
        <v>666</v>
      </c>
      <c r="D34" s="214" t="s">
        <v>765</v>
      </c>
      <c r="E34" s="215">
        <v>21.07</v>
      </c>
      <c r="F34" s="216" t="s">
        <v>667</v>
      </c>
      <c r="G34" s="217" t="s">
        <v>0</v>
      </c>
      <c r="H34" s="218" t="s">
        <v>4505</v>
      </c>
      <c r="I34" s="219">
        <v>90.41</v>
      </c>
      <c r="J34" s="220">
        <v>92.160000000000011</v>
      </c>
      <c r="K34" s="221">
        <v>2.0825</v>
      </c>
      <c r="L34" s="222">
        <v>92.49</v>
      </c>
      <c r="M34" s="220">
        <v>94.24</v>
      </c>
      <c r="N34" s="223">
        <v>3</v>
      </c>
      <c r="O34" s="219">
        <v>97.24</v>
      </c>
      <c r="P34" s="224">
        <v>5.5300000000000002E-2</v>
      </c>
      <c r="Q34" s="225">
        <v>5.28E-2</v>
      </c>
      <c r="R34" s="225" t="s">
        <v>557</v>
      </c>
      <c r="S34" s="226" t="s">
        <v>1745</v>
      </c>
      <c r="T34" s="226"/>
      <c r="U34" s="226">
        <v>5.2900000000000003E-2</v>
      </c>
      <c r="V34" s="227">
        <v>12.4467</v>
      </c>
      <c r="W34" s="227"/>
      <c r="X34" s="226"/>
      <c r="Y34" s="409">
        <v>4.9000000000000002E-2</v>
      </c>
      <c r="Z34" s="410">
        <v>2</v>
      </c>
      <c r="AA34" s="192" t="s">
        <v>1358</v>
      </c>
      <c r="AB34" s="411" t="s">
        <v>2572</v>
      </c>
      <c r="AC34" s="412">
        <v>95.160000000000011</v>
      </c>
      <c r="AD34" s="412">
        <v>43</v>
      </c>
      <c r="AE34" s="409" t="s">
        <v>2410</v>
      </c>
      <c r="AF34" s="409" t="s">
        <v>2573</v>
      </c>
      <c r="AG34" s="409" t="s">
        <v>3885</v>
      </c>
      <c r="AH34" s="409" t="s">
        <v>165</v>
      </c>
      <c r="AI34" s="409" t="s">
        <v>54</v>
      </c>
      <c r="AJ34" s="242" t="s">
        <v>3778</v>
      </c>
      <c r="AK34" s="242" t="s">
        <v>2574</v>
      </c>
      <c r="AL34" s="242" t="s">
        <v>2412</v>
      </c>
      <c r="AM34" s="242" t="s">
        <v>2413</v>
      </c>
      <c r="AN34" s="421" t="s">
        <v>2414</v>
      </c>
      <c r="AO34" s="421" t="s">
        <v>2415</v>
      </c>
      <c r="AP34" s="242" t="s">
        <v>1945</v>
      </c>
      <c r="AQ34" s="242" t="s">
        <v>2575</v>
      </c>
      <c r="AR34" s="242" t="s">
        <v>2575</v>
      </c>
      <c r="AS34" s="242" t="s">
        <v>2576</v>
      </c>
      <c r="AT34" s="797" t="s">
        <v>2419</v>
      </c>
      <c r="AU34" s="242" t="s">
        <v>3476</v>
      </c>
      <c r="AV34" s="193"/>
      <c r="AW34" s="191"/>
    </row>
    <row r="35" spans="1:49" ht="17">
      <c r="A35" s="395"/>
      <c r="B35" s="342" t="s">
        <v>668</v>
      </c>
      <c r="C35" s="213" t="s">
        <v>669</v>
      </c>
      <c r="D35" s="228" t="s">
        <v>3911</v>
      </c>
      <c r="E35" s="229">
        <v>2.69</v>
      </c>
      <c r="F35" s="230" t="s">
        <v>276</v>
      </c>
      <c r="G35" s="231" t="s">
        <v>0</v>
      </c>
      <c r="H35" s="232" t="s">
        <v>4505</v>
      </c>
      <c r="I35" s="233">
        <v>94.77</v>
      </c>
      <c r="J35" s="234">
        <v>96.300000000000011</v>
      </c>
      <c r="K35" s="235">
        <v>1.9681</v>
      </c>
      <c r="L35" s="236">
        <v>96.74</v>
      </c>
      <c r="M35" s="234">
        <v>98.27</v>
      </c>
      <c r="N35" s="237">
        <v>1.2</v>
      </c>
      <c r="O35" s="233">
        <v>99.47</v>
      </c>
      <c r="P35" s="238">
        <v>8.0500000000000002E-2</v>
      </c>
      <c r="Q35" s="239">
        <v>7.5399999999999995E-2</v>
      </c>
      <c r="R35" s="239" t="s">
        <v>557</v>
      </c>
      <c r="S35" s="240" t="s">
        <v>1745</v>
      </c>
      <c r="T35" s="240"/>
      <c r="U35" s="240" t="s">
        <v>1767</v>
      </c>
      <c r="V35" s="241">
        <v>2.37</v>
      </c>
      <c r="W35" s="241"/>
      <c r="X35" s="240"/>
      <c r="Y35" s="402">
        <v>6.5000000000000002E-2</v>
      </c>
      <c r="Z35" s="403">
        <v>2</v>
      </c>
      <c r="AA35" s="404" t="s">
        <v>1444</v>
      </c>
      <c r="AB35" s="405" t="s">
        <v>2577</v>
      </c>
      <c r="AC35" s="406">
        <v>97.500000000000014</v>
      </c>
      <c r="AD35" s="406">
        <v>6</v>
      </c>
      <c r="AE35" s="402" t="s">
        <v>2410</v>
      </c>
      <c r="AF35" s="402" t="s">
        <v>2578</v>
      </c>
      <c r="AG35" s="402" t="s">
        <v>4012</v>
      </c>
      <c r="AH35" s="402" t="s">
        <v>172</v>
      </c>
      <c r="AI35" s="402" t="s">
        <v>55</v>
      </c>
      <c r="AJ35" s="407" t="s">
        <v>2579</v>
      </c>
      <c r="AK35" s="407" t="s">
        <v>2419</v>
      </c>
      <c r="AL35" s="407" t="s">
        <v>2412</v>
      </c>
      <c r="AM35" s="407" t="s">
        <v>2419</v>
      </c>
      <c r="AN35" s="420" t="s">
        <v>2414</v>
      </c>
      <c r="AO35" s="420" t="s">
        <v>2415</v>
      </c>
      <c r="AP35" s="407" t="s">
        <v>1943</v>
      </c>
      <c r="AQ35" s="407" t="s">
        <v>2580</v>
      </c>
      <c r="AR35" s="407" t="s">
        <v>2581</v>
      </c>
      <c r="AS35" s="407" t="s">
        <v>2582</v>
      </c>
      <c r="AT35" s="798" t="s">
        <v>2419</v>
      </c>
      <c r="AU35" s="407" t="s">
        <v>3476</v>
      </c>
      <c r="AV35" s="408"/>
      <c r="AW35" s="191"/>
    </row>
    <row r="36" spans="1:49" ht="17.149999999999999" customHeight="1">
      <c r="A36" s="395"/>
      <c r="B36" s="342" t="s">
        <v>670</v>
      </c>
      <c r="C36" s="213" t="s">
        <v>671</v>
      </c>
      <c r="D36" s="214" t="s">
        <v>552</v>
      </c>
      <c r="E36" s="215">
        <v>2.87</v>
      </c>
      <c r="F36" s="216" t="s">
        <v>672</v>
      </c>
      <c r="G36" s="217" t="s">
        <v>534</v>
      </c>
      <c r="H36" s="218" t="s">
        <v>4508</v>
      </c>
      <c r="I36" s="219">
        <v>96.49</v>
      </c>
      <c r="J36" s="220">
        <v>98.88000000000001</v>
      </c>
      <c r="K36" s="221">
        <v>0.61639999999999995</v>
      </c>
      <c r="L36" s="222">
        <v>97.11</v>
      </c>
      <c r="M36" s="220">
        <v>99.5</v>
      </c>
      <c r="N36" s="223">
        <v>1.2</v>
      </c>
      <c r="O36" s="219">
        <v>100.7</v>
      </c>
      <c r="P36" s="224">
        <v>5.4300000000000001E-2</v>
      </c>
      <c r="Q36" s="225">
        <v>4.9599999999999998E-2</v>
      </c>
      <c r="R36" s="225" t="s">
        <v>673</v>
      </c>
      <c r="S36" s="226" t="s">
        <v>1746</v>
      </c>
      <c r="T36" s="226"/>
      <c r="U36" s="226" t="s">
        <v>1767</v>
      </c>
      <c r="V36" s="227">
        <v>2.6614</v>
      </c>
      <c r="W36" s="227"/>
      <c r="X36" s="226"/>
      <c r="Y36" s="409">
        <v>0.05</v>
      </c>
      <c r="Z36" s="410">
        <v>1</v>
      </c>
      <c r="AA36" s="192" t="s">
        <v>3892</v>
      </c>
      <c r="AB36" s="411" t="s">
        <v>2583</v>
      </c>
      <c r="AC36" s="412">
        <v>100.08000000000001</v>
      </c>
      <c r="AD36" s="412">
        <v>3</v>
      </c>
      <c r="AE36" s="409" t="s">
        <v>2478</v>
      </c>
      <c r="AF36" s="409" t="s">
        <v>2584</v>
      </c>
      <c r="AG36" s="409" t="s">
        <v>4354</v>
      </c>
      <c r="AH36" s="409" t="s">
        <v>162</v>
      </c>
      <c r="AI36" s="409" t="s">
        <v>40</v>
      </c>
      <c r="AJ36" s="242" t="s">
        <v>2421</v>
      </c>
      <c r="AK36" s="242" t="s">
        <v>2419</v>
      </c>
      <c r="AL36" s="242" t="s">
        <v>2412</v>
      </c>
      <c r="AM36" s="242" t="s">
        <v>2419</v>
      </c>
      <c r="AN36" s="421" t="s">
        <v>2422</v>
      </c>
      <c r="AO36" s="421" t="s">
        <v>2423</v>
      </c>
      <c r="AP36" s="242" t="s">
        <v>1948</v>
      </c>
      <c r="AQ36" s="242" t="s">
        <v>2585</v>
      </c>
      <c r="AR36" s="242" t="s">
        <v>2585</v>
      </c>
      <c r="AS36" s="242" t="s">
        <v>2586</v>
      </c>
      <c r="AT36" s="797" t="s">
        <v>2419</v>
      </c>
      <c r="AU36" s="242" t="s">
        <v>3476</v>
      </c>
      <c r="AV36" s="193"/>
      <c r="AW36" s="191"/>
    </row>
    <row r="37" spans="1:49" ht="17">
      <c r="A37" s="395"/>
      <c r="B37" s="342" t="s">
        <v>674</v>
      </c>
      <c r="C37" s="213" t="s">
        <v>675</v>
      </c>
      <c r="D37" s="228" t="s">
        <v>676</v>
      </c>
      <c r="E37" s="229">
        <v>2.12</v>
      </c>
      <c r="F37" s="230" t="s">
        <v>677</v>
      </c>
      <c r="G37" s="231" t="s">
        <v>0</v>
      </c>
      <c r="H37" s="232" t="s">
        <v>4505</v>
      </c>
      <c r="I37" s="233">
        <v>93.69</v>
      </c>
      <c r="J37" s="234">
        <v>94.64</v>
      </c>
      <c r="K37" s="235">
        <v>0.76039999999999996</v>
      </c>
      <c r="L37" s="236">
        <v>94.45</v>
      </c>
      <c r="M37" s="234">
        <v>95.4</v>
      </c>
      <c r="N37" s="237">
        <v>1.5</v>
      </c>
      <c r="O37" s="233">
        <v>96.9</v>
      </c>
      <c r="P37" s="238">
        <v>4.6800000000000001E-2</v>
      </c>
      <c r="Q37" s="239">
        <v>3.9100000000000003E-2</v>
      </c>
      <c r="R37" s="239" t="s">
        <v>557</v>
      </c>
      <c r="S37" s="240" t="s">
        <v>1745</v>
      </c>
      <c r="T37" s="240"/>
      <c r="U37" s="240">
        <v>4.1700000000000001E-2</v>
      </c>
      <c r="V37" s="241">
        <v>2.0238</v>
      </c>
      <c r="W37" s="241"/>
      <c r="X37" s="240"/>
      <c r="Y37" s="402">
        <v>1.9980000000000001E-2</v>
      </c>
      <c r="Z37" s="403">
        <v>2</v>
      </c>
      <c r="AA37" s="404" t="s">
        <v>1445</v>
      </c>
      <c r="AB37" s="405" t="s">
        <v>2587</v>
      </c>
      <c r="AC37" s="406">
        <v>96.14</v>
      </c>
      <c r="AD37" s="406">
        <v>5</v>
      </c>
      <c r="AE37" s="402" t="s">
        <v>2410</v>
      </c>
      <c r="AF37" s="402" t="s">
        <v>2534</v>
      </c>
      <c r="AG37" s="402" t="s">
        <v>3909</v>
      </c>
      <c r="AH37" s="402" t="s">
        <v>164</v>
      </c>
      <c r="AI37" s="402" t="s">
        <v>186</v>
      </c>
      <c r="AJ37" s="407" t="s">
        <v>2588</v>
      </c>
      <c r="AK37" s="407" t="s">
        <v>2589</v>
      </c>
      <c r="AL37" s="407" t="s">
        <v>2412</v>
      </c>
      <c r="AM37" s="407" t="s">
        <v>2413</v>
      </c>
      <c r="AN37" s="420" t="s">
        <v>2414</v>
      </c>
      <c r="AO37" s="420" t="s">
        <v>2415</v>
      </c>
      <c r="AP37" s="407" t="s">
        <v>1945</v>
      </c>
      <c r="AQ37" s="407" t="s">
        <v>2590</v>
      </c>
      <c r="AR37" s="407" t="s">
        <v>2590</v>
      </c>
      <c r="AS37" s="407" t="s">
        <v>2591</v>
      </c>
      <c r="AT37" s="798" t="s">
        <v>2419</v>
      </c>
      <c r="AU37" s="407" t="s">
        <v>3476</v>
      </c>
      <c r="AV37" s="408"/>
      <c r="AW37" s="191"/>
    </row>
    <row r="38" spans="1:49" ht="17.149999999999999" customHeight="1">
      <c r="A38" s="395"/>
      <c r="B38" s="342" t="s">
        <v>678</v>
      </c>
      <c r="C38" s="213" t="s">
        <v>679</v>
      </c>
      <c r="D38" s="214" t="s">
        <v>680</v>
      </c>
      <c r="E38" s="215">
        <v>20.43</v>
      </c>
      <c r="F38" s="216" t="s">
        <v>681</v>
      </c>
      <c r="G38" s="217" t="s">
        <v>0</v>
      </c>
      <c r="H38" s="218" t="s">
        <v>4505</v>
      </c>
      <c r="I38" s="219">
        <v>95.94</v>
      </c>
      <c r="J38" s="220">
        <v>97.54</v>
      </c>
      <c r="K38" s="221">
        <v>0.37130000000000002</v>
      </c>
      <c r="L38" s="222">
        <v>96.31</v>
      </c>
      <c r="M38" s="220">
        <v>97.91</v>
      </c>
      <c r="N38" s="223">
        <v>3</v>
      </c>
      <c r="O38" s="219">
        <v>100.91</v>
      </c>
      <c r="P38" s="224">
        <v>5.1499999999999997E-2</v>
      </c>
      <c r="Q38" s="225">
        <v>4.9099999999999998E-2</v>
      </c>
      <c r="R38" s="225" t="s">
        <v>868</v>
      </c>
      <c r="S38" s="226" t="s">
        <v>1745</v>
      </c>
      <c r="T38" s="226"/>
      <c r="U38" s="226">
        <v>4.9099999999999998E-2</v>
      </c>
      <c r="V38" s="227">
        <v>12.6425</v>
      </c>
      <c r="W38" s="227"/>
      <c r="X38" s="226"/>
      <c r="Y38" s="409">
        <v>4.9500000000000002E-2</v>
      </c>
      <c r="Z38" s="410">
        <v>2</v>
      </c>
      <c r="AA38" s="192" t="s">
        <v>1372</v>
      </c>
      <c r="AB38" s="411" t="s">
        <v>2592</v>
      </c>
      <c r="AC38" s="412">
        <v>100.54</v>
      </c>
      <c r="AD38" s="412">
        <v>41</v>
      </c>
      <c r="AE38" s="409" t="s">
        <v>2410</v>
      </c>
      <c r="AF38" s="409" t="s">
        <v>3507</v>
      </c>
      <c r="AG38" s="409" t="s">
        <v>4437</v>
      </c>
      <c r="AH38" s="409" t="s">
        <v>170</v>
      </c>
      <c r="AI38" s="409" t="s">
        <v>56</v>
      </c>
      <c r="AJ38" s="242" t="s">
        <v>2593</v>
      </c>
      <c r="AK38" s="242" t="s">
        <v>2594</v>
      </c>
      <c r="AL38" s="242" t="s">
        <v>2412</v>
      </c>
      <c r="AM38" s="242" t="s">
        <v>2413</v>
      </c>
      <c r="AN38" s="421" t="s">
        <v>2414</v>
      </c>
      <c r="AO38" s="421" t="s">
        <v>2415</v>
      </c>
      <c r="AP38" s="242" t="s">
        <v>1945</v>
      </c>
      <c r="AQ38" s="242" t="s">
        <v>2595</v>
      </c>
      <c r="AR38" s="242" t="s">
        <v>2595</v>
      </c>
      <c r="AS38" s="242" t="s">
        <v>2596</v>
      </c>
      <c r="AT38" s="797" t="s">
        <v>2419</v>
      </c>
      <c r="AU38" s="242" t="s">
        <v>3476</v>
      </c>
      <c r="AV38" s="193"/>
      <c r="AW38" s="191"/>
    </row>
    <row r="39" spans="1:49" ht="17">
      <c r="A39" s="395"/>
      <c r="B39" s="342" t="s">
        <v>682</v>
      </c>
      <c r="C39" s="213" t="s">
        <v>683</v>
      </c>
      <c r="D39" s="228" t="s">
        <v>4471</v>
      </c>
      <c r="E39" s="229">
        <v>11.92</v>
      </c>
      <c r="F39" s="230" t="s">
        <v>684</v>
      </c>
      <c r="G39" s="231" t="s">
        <v>0</v>
      </c>
      <c r="H39" s="232" t="s">
        <v>4505</v>
      </c>
      <c r="I39" s="233">
        <v>11.05</v>
      </c>
      <c r="J39" s="234">
        <v>13.549999999999999</v>
      </c>
      <c r="K39" s="235">
        <v>0.6885</v>
      </c>
      <c r="L39" s="236">
        <v>11.74</v>
      </c>
      <c r="M39" s="234">
        <v>14.24</v>
      </c>
      <c r="N39" s="237">
        <v>3</v>
      </c>
      <c r="O39" s="233">
        <v>17.240000000000002</v>
      </c>
      <c r="P39" s="238">
        <v>0.59460000000000002</v>
      </c>
      <c r="Q39" s="239">
        <v>0.49419999999999997</v>
      </c>
      <c r="R39" s="239" t="s">
        <v>557</v>
      </c>
      <c r="S39" s="240" t="s">
        <v>1745</v>
      </c>
      <c r="T39" s="240"/>
      <c r="U39" s="240" t="s">
        <v>1767</v>
      </c>
      <c r="V39" s="241">
        <v>1.8764000000000001</v>
      </c>
      <c r="W39" s="241"/>
      <c r="X39" s="240"/>
      <c r="Y39" s="402">
        <v>7.9950000000000007E-2</v>
      </c>
      <c r="Z39" s="403">
        <v>2</v>
      </c>
      <c r="AA39" s="404" t="s">
        <v>1446</v>
      </c>
      <c r="AB39" s="405" t="s">
        <v>2597</v>
      </c>
      <c r="AC39" s="406">
        <v>16.549999999999997</v>
      </c>
      <c r="AD39" s="406">
        <v>24</v>
      </c>
      <c r="AE39" s="402" t="s">
        <v>2410</v>
      </c>
      <c r="AF39" s="402" t="s">
        <v>3465</v>
      </c>
      <c r="AG39" s="402" t="s">
        <v>4420</v>
      </c>
      <c r="AH39" s="402" t="s">
        <v>164</v>
      </c>
      <c r="AI39" s="402" t="s">
        <v>2598</v>
      </c>
      <c r="AJ39" s="407" t="s">
        <v>3912</v>
      </c>
      <c r="AK39" s="407" t="s">
        <v>2419</v>
      </c>
      <c r="AL39" s="407" t="s">
        <v>2412</v>
      </c>
      <c r="AM39" s="407" t="s">
        <v>2419</v>
      </c>
      <c r="AN39" s="420" t="s">
        <v>2414</v>
      </c>
      <c r="AO39" s="420" t="s">
        <v>2415</v>
      </c>
      <c r="AP39" s="407" t="s">
        <v>1945</v>
      </c>
      <c r="AQ39" s="407" t="s">
        <v>2599</v>
      </c>
      <c r="AR39" s="407" t="s">
        <v>2600</v>
      </c>
      <c r="AS39" s="407" t="s">
        <v>2601</v>
      </c>
      <c r="AT39" s="798" t="s">
        <v>2419</v>
      </c>
      <c r="AU39" s="407" t="s">
        <v>3476</v>
      </c>
      <c r="AV39" s="408"/>
      <c r="AW39" s="191"/>
    </row>
    <row r="40" spans="1:49" ht="17.149999999999999" customHeight="1">
      <c r="A40" s="395"/>
      <c r="B40" s="342" t="s">
        <v>685</v>
      </c>
      <c r="C40" s="213" t="s">
        <v>686</v>
      </c>
      <c r="D40" s="214" t="s">
        <v>687</v>
      </c>
      <c r="E40" s="215">
        <v>2.81</v>
      </c>
      <c r="F40" s="216" t="s">
        <v>688</v>
      </c>
      <c r="G40" s="217" t="s">
        <v>534</v>
      </c>
      <c r="H40" s="218" t="s">
        <v>4508</v>
      </c>
      <c r="I40" s="219">
        <v>96.16</v>
      </c>
      <c r="J40" s="220">
        <v>98.45</v>
      </c>
      <c r="K40" s="221">
        <v>0.73199999999999998</v>
      </c>
      <c r="L40" s="222">
        <v>96.89</v>
      </c>
      <c r="M40" s="220">
        <v>99.18</v>
      </c>
      <c r="N40" s="223">
        <v>1.2</v>
      </c>
      <c r="O40" s="219">
        <v>100.38000000000001</v>
      </c>
      <c r="P40" s="224">
        <v>4.5900000000000003E-2</v>
      </c>
      <c r="Q40" s="225">
        <v>4.1300000000000003E-2</v>
      </c>
      <c r="R40" s="225" t="s">
        <v>557</v>
      </c>
      <c r="S40" s="226" t="s">
        <v>1746</v>
      </c>
      <c r="T40" s="226"/>
      <c r="U40" s="226" t="s">
        <v>1767</v>
      </c>
      <c r="V40" s="227">
        <v>2.6109</v>
      </c>
      <c r="W40" s="227"/>
      <c r="X40" s="226"/>
      <c r="Y40" s="409">
        <v>0.04</v>
      </c>
      <c r="Z40" s="410">
        <v>2</v>
      </c>
      <c r="AA40" s="192" t="s">
        <v>1402</v>
      </c>
      <c r="AB40" s="411" t="s">
        <v>2602</v>
      </c>
      <c r="AC40" s="412">
        <v>99.65</v>
      </c>
      <c r="AD40" s="412">
        <v>6</v>
      </c>
      <c r="AE40" s="409" t="s">
        <v>2410</v>
      </c>
      <c r="AF40" s="409" t="s">
        <v>2603</v>
      </c>
      <c r="AG40" s="409" t="s">
        <v>4124</v>
      </c>
      <c r="AH40" s="409" t="s">
        <v>162</v>
      </c>
      <c r="AI40" s="409" t="s">
        <v>57</v>
      </c>
      <c r="AJ40" s="242" t="s">
        <v>2604</v>
      </c>
      <c r="AK40" s="242" t="s">
        <v>2419</v>
      </c>
      <c r="AL40" s="242" t="s">
        <v>2412</v>
      </c>
      <c r="AM40" s="242" t="s">
        <v>2419</v>
      </c>
      <c r="AN40" s="421" t="s">
        <v>2422</v>
      </c>
      <c r="AO40" s="421" t="s">
        <v>2415</v>
      </c>
      <c r="AP40" s="242" t="s">
        <v>1948</v>
      </c>
      <c r="AQ40" s="242" t="s">
        <v>2605</v>
      </c>
      <c r="AR40" s="242" t="s">
        <v>2605</v>
      </c>
      <c r="AS40" s="242" t="s">
        <v>2606</v>
      </c>
      <c r="AT40" s="797">
        <v>14</v>
      </c>
      <c r="AU40" s="242" t="s">
        <v>3479</v>
      </c>
      <c r="AV40" s="193"/>
      <c r="AW40" s="191"/>
    </row>
    <row r="41" spans="1:49" ht="17">
      <c r="A41" s="395"/>
      <c r="B41" s="342" t="s">
        <v>689</v>
      </c>
      <c r="C41" s="213" t="s">
        <v>690</v>
      </c>
      <c r="D41" s="228" t="s">
        <v>691</v>
      </c>
      <c r="E41" s="229">
        <v>13.87</v>
      </c>
      <c r="F41" s="230" t="s">
        <v>692</v>
      </c>
      <c r="G41" s="231" t="s">
        <v>0</v>
      </c>
      <c r="H41" s="232" t="s">
        <v>4505</v>
      </c>
      <c r="I41" s="233">
        <v>109.6</v>
      </c>
      <c r="J41" s="234">
        <v>111.2</v>
      </c>
      <c r="K41" s="235">
        <v>0.83560000000000001</v>
      </c>
      <c r="L41" s="236">
        <v>110.44</v>
      </c>
      <c r="M41" s="234">
        <v>112.04</v>
      </c>
      <c r="N41" s="237">
        <v>2.5</v>
      </c>
      <c r="O41" s="233">
        <v>114.54</v>
      </c>
      <c r="P41" s="238">
        <v>5.2499999999999998E-2</v>
      </c>
      <c r="Q41" s="239">
        <v>5.0200000000000002E-2</v>
      </c>
      <c r="R41" s="239" t="s">
        <v>557</v>
      </c>
      <c r="S41" s="240" t="s">
        <v>1745</v>
      </c>
      <c r="T41" s="240"/>
      <c r="U41" s="240" t="s">
        <v>1767</v>
      </c>
      <c r="V41" s="241">
        <v>9.3504000000000005</v>
      </c>
      <c r="W41" s="241"/>
      <c r="X41" s="240"/>
      <c r="Y41" s="402">
        <v>6.4000000000000001E-2</v>
      </c>
      <c r="Z41" s="403">
        <v>2</v>
      </c>
      <c r="AA41" s="404" t="s">
        <v>1408</v>
      </c>
      <c r="AB41" s="405" t="s">
        <v>2607</v>
      </c>
      <c r="AC41" s="406">
        <v>113.7</v>
      </c>
      <c r="AD41" s="406">
        <v>28</v>
      </c>
      <c r="AE41" s="402" t="s">
        <v>2410</v>
      </c>
      <c r="AF41" s="402" t="s">
        <v>2609</v>
      </c>
      <c r="AG41" s="402" t="s">
        <v>4341</v>
      </c>
      <c r="AH41" s="402" t="s">
        <v>162</v>
      </c>
      <c r="AI41" s="402" t="s">
        <v>58</v>
      </c>
      <c r="AJ41" s="407" t="s">
        <v>2610</v>
      </c>
      <c r="AK41" s="407" t="s">
        <v>2419</v>
      </c>
      <c r="AL41" s="407" t="s">
        <v>2412</v>
      </c>
      <c r="AM41" s="407" t="s">
        <v>2419</v>
      </c>
      <c r="AN41" s="420" t="s">
        <v>2422</v>
      </c>
      <c r="AO41" s="420" t="s">
        <v>2415</v>
      </c>
      <c r="AP41" s="407" t="s">
        <v>1945</v>
      </c>
      <c r="AQ41" s="407" t="s">
        <v>2611</v>
      </c>
      <c r="AR41" s="407" t="s">
        <v>2611</v>
      </c>
      <c r="AS41" s="407" t="s">
        <v>2612</v>
      </c>
      <c r="AT41" s="798" t="s">
        <v>2419</v>
      </c>
      <c r="AU41" s="407" t="s">
        <v>3476</v>
      </c>
      <c r="AV41" s="408"/>
      <c r="AW41" s="191"/>
    </row>
    <row r="42" spans="1:49" ht="17.149999999999999" customHeight="1">
      <c r="A42" s="395"/>
      <c r="B42" s="342" t="s">
        <v>693</v>
      </c>
      <c r="C42" s="213" t="s">
        <v>694</v>
      </c>
      <c r="D42" s="214" t="s">
        <v>695</v>
      </c>
      <c r="E42" s="215">
        <v>21.66</v>
      </c>
      <c r="F42" s="216" t="s">
        <v>696</v>
      </c>
      <c r="G42" s="217" t="s">
        <v>0</v>
      </c>
      <c r="H42" s="218" t="s">
        <v>4505</v>
      </c>
      <c r="I42" s="219">
        <v>81.75</v>
      </c>
      <c r="J42" s="220">
        <v>83.18</v>
      </c>
      <c r="K42" s="221">
        <v>1.3828</v>
      </c>
      <c r="L42" s="222">
        <v>83.13</v>
      </c>
      <c r="M42" s="220">
        <v>84.56</v>
      </c>
      <c r="N42" s="223">
        <v>3</v>
      </c>
      <c r="O42" s="219">
        <v>87.56</v>
      </c>
      <c r="P42" s="224">
        <v>5.45E-2</v>
      </c>
      <c r="Q42" s="225">
        <v>5.1799999999999999E-2</v>
      </c>
      <c r="R42" s="225" t="s">
        <v>557</v>
      </c>
      <c r="S42" s="226" t="s">
        <v>1745</v>
      </c>
      <c r="T42" s="226"/>
      <c r="U42" s="226">
        <v>5.1999999999999998E-2</v>
      </c>
      <c r="V42" s="227">
        <v>13.2376</v>
      </c>
      <c r="W42" s="227"/>
      <c r="X42" s="226"/>
      <c r="Y42" s="409">
        <v>4.1139999999999996E-2</v>
      </c>
      <c r="Z42" s="410">
        <v>2</v>
      </c>
      <c r="AA42" s="192" t="s">
        <v>2613</v>
      </c>
      <c r="AB42" s="411" t="s">
        <v>2614</v>
      </c>
      <c r="AC42" s="412">
        <v>86.18</v>
      </c>
      <c r="AD42" s="412">
        <v>44</v>
      </c>
      <c r="AE42" s="409" t="s">
        <v>2410</v>
      </c>
      <c r="AF42" s="409" t="s">
        <v>2469</v>
      </c>
      <c r="AG42" s="409" t="s">
        <v>3972</v>
      </c>
      <c r="AH42" s="409" t="s">
        <v>172</v>
      </c>
      <c r="AI42" s="409" t="s">
        <v>153</v>
      </c>
      <c r="AJ42" s="242" t="s">
        <v>3748</v>
      </c>
      <c r="AK42" s="242" t="s">
        <v>2615</v>
      </c>
      <c r="AL42" s="242" t="s">
        <v>2412</v>
      </c>
      <c r="AM42" s="242" t="s">
        <v>2413</v>
      </c>
      <c r="AN42" s="421" t="s">
        <v>2414</v>
      </c>
      <c r="AO42" s="421" t="s">
        <v>2415</v>
      </c>
      <c r="AP42" s="242" t="s">
        <v>1945</v>
      </c>
      <c r="AQ42" s="242" t="s">
        <v>2616</v>
      </c>
      <c r="AR42" s="242" t="s">
        <v>2616</v>
      </c>
      <c r="AS42" s="242" t="s">
        <v>2617</v>
      </c>
      <c r="AT42" s="797" t="s">
        <v>2419</v>
      </c>
      <c r="AU42" s="797" t="s">
        <v>3476</v>
      </c>
      <c r="AV42" s="193"/>
      <c r="AW42" s="191"/>
    </row>
    <row r="43" spans="1:49" ht="17">
      <c r="A43" s="395"/>
      <c r="B43" s="342" t="s">
        <v>697</v>
      </c>
      <c r="C43" s="213" t="s">
        <v>698</v>
      </c>
      <c r="D43" s="228" t="s">
        <v>592</v>
      </c>
      <c r="E43" s="229">
        <v>11.28</v>
      </c>
      <c r="F43" s="230" t="s">
        <v>699</v>
      </c>
      <c r="G43" s="231" t="s">
        <v>0</v>
      </c>
      <c r="H43" s="232" t="s">
        <v>4505</v>
      </c>
      <c r="I43" s="233">
        <v>125.72</v>
      </c>
      <c r="J43" s="234">
        <v>127.29</v>
      </c>
      <c r="K43" s="235">
        <v>1.8889</v>
      </c>
      <c r="L43" s="236">
        <v>127.61</v>
      </c>
      <c r="M43" s="234">
        <v>129.18</v>
      </c>
      <c r="N43" s="237">
        <v>3</v>
      </c>
      <c r="O43" s="233">
        <v>132.18</v>
      </c>
      <c r="P43" s="238">
        <v>5.2600000000000001E-2</v>
      </c>
      <c r="Q43" s="239">
        <v>4.9599999999999998E-2</v>
      </c>
      <c r="R43" s="239" t="s">
        <v>578</v>
      </c>
      <c r="S43" s="240" t="s">
        <v>1745</v>
      </c>
      <c r="T43" s="240"/>
      <c r="U43" s="240" t="s">
        <v>1767</v>
      </c>
      <c r="V43" s="241">
        <v>7.6413000000000002</v>
      </c>
      <c r="W43" s="241"/>
      <c r="X43" s="240"/>
      <c r="Y43" s="402">
        <v>8.5000000000000006E-2</v>
      </c>
      <c r="Z43" s="403">
        <v>2</v>
      </c>
      <c r="AA43" s="404" t="s">
        <v>1398</v>
      </c>
      <c r="AB43" s="405" t="s">
        <v>2618</v>
      </c>
      <c r="AC43" s="406">
        <v>130.29000000000002</v>
      </c>
      <c r="AD43" s="406">
        <v>23</v>
      </c>
      <c r="AE43" s="402" t="s">
        <v>2410</v>
      </c>
      <c r="AF43" s="402" t="s">
        <v>2619</v>
      </c>
      <c r="AG43" s="402" t="s">
        <v>4071</v>
      </c>
      <c r="AH43" s="402" t="s">
        <v>163</v>
      </c>
      <c r="AI43" s="402" t="s">
        <v>141</v>
      </c>
      <c r="AJ43" s="407" t="s">
        <v>2562</v>
      </c>
      <c r="AK43" s="407" t="s">
        <v>2419</v>
      </c>
      <c r="AL43" s="407" t="s">
        <v>2412</v>
      </c>
      <c r="AM43" s="407" t="s">
        <v>2419</v>
      </c>
      <c r="AN43" s="420" t="s">
        <v>2414</v>
      </c>
      <c r="AO43" s="420" t="s">
        <v>2415</v>
      </c>
      <c r="AP43" s="407" t="s">
        <v>1943</v>
      </c>
      <c r="AQ43" s="407" t="s">
        <v>2620</v>
      </c>
      <c r="AR43" s="407" t="s">
        <v>2620</v>
      </c>
      <c r="AS43" s="407" t="s">
        <v>2621</v>
      </c>
      <c r="AT43" s="798" t="s">
        <v>2419</v>
      </c>
      <c r="AU43" s="407" t="s">
        <v>3476</v>
      </c>
      <c r="AV43" s="408"/>
      <c r="AW43" s="191"/>
    </row>
    <row r="44" spans="1:49" ht="17.149999999999999" customHeight="1">
      <c r="A44" s="395"/>
      <c r="B44" s="342" t="s">
        <v>700</v>
      </c>
      <c r="C44" s="213" t="s">
        <v>701</v>
      </c>
      <c r="D44" s="214" t="s">
        <v>702</v>
      </c>
      <c r="E44" s="215">
        <v>17.62</v>
      </c>
      <c r="F44" s="216" t="s">
        <v>287</v>
      </c>
      <c r="G44" s="217" t="s">
        <v>0</v>
      </c>
      <c r="H44" s="218" t="s">
        <v>4505</v>
      </c>
      <c r="I44" s="219">
        <v>88.65</v>
      </c>
      <c r="J44" s="220">
        <v>93.03</v>
      </c>
      <c r="K44" s="221">
        <v>2.2042000000000002</v>
      </c>
      <c r="L44" s="222">
        <v>90.85</v>
      </c>
      <c r="M44" s="220">
        <v>95.23</v>
      </c>
      <c r="N44" s="223">
        <v>3</v>
      </c>
      <c r="O44" s="219">
        <v>98.23</v>
      </c>
      <c r="P44" s="224">
        <v>6.4199999999999993E-2</v>
      </c>
      <c r="Q44" s="225">
        <v>6.1199999999999997E-2</v>
      </c>
      <c r="R44" s="225" t="s">
        <v>550</v>
      </c>
      <c r="S44" s="226" t="s">
        <v>1746</v>
      </c>
      <c r="T44" s="226"/>
      <c r="U44" s="226" t="s">
        <v>1767</v>
      </c>
      <c r="V44" s="227">
        <v>10.426399999999999</v>
      </c>
      <c r="W44" s="227"/>
      <c r="X44" s="226"/>
      <c r="Y44" s="409">
        <v>5.7500000000000002E-2</v>
      </c>
      <c r="Z44" s="410">
        <v>2</v>
      </c>
      <c r="AA44" s="192" t="s">
        <v>1447</v>
      </c>
      <c r="AB44" s="411" t="s">
        <v>2622</v>
      </c>
      <c r="AC44" s="412">
        <v>96.03</v>
      </c>
      <c r="AD44" s="412">
        <v>36</v>
      </c>
      <c r="AE44" s="409" t="s">
        <v>2410</v>
      </c>
      <c r="AF44" s="409" t="s">
        <v>2623</v>
      </c>
      <c r="AG44" s="409" t="s">
        <v>3913</v>
      </c>
      <c r="AH44" s="409" t="s">
        <v>168</v>
      </c>
      <c r="AI44" s="409" t="s">
        <v>187</v>
      </c>
      <c r="AJ44" s="242" t="s">
        <v>3930</v>
      </c>
      <c r="AK44" s="242" t="s">
        <v>2419</v>
      </c>
      <c r="AL44" s="242" t="s">
        <v>2412</v>
      </c>
      <c r="AM44" s="242" t="s">
        <v>2419</v>
      </c>
      <c r="AN44" s="421" t="s">
        <v>2414</v>
      </c>
      <c r="AO44" s="421" t="s">
        <v>2415</v>
      </c>
      <c r="AP44" s="242" t="s">
        <v>1943</v>
      </c>
      <c r="AQ44" s="242" t="s">
        <v>2624</v>
      </c>
      <c r="AR44" s="242" t="s">
        <v>2624</v>
      </c>
      <c r="AS44" s="242" t="s">
        <v>2625</v>
      </c>
      <c r="AT44" s="797" t="s">
        <v>2419</v>
      </c>
      <c r="AU44" s="242" t="s">
        <v>3476</v>
      </c>
      <c r="AV44" s="193"/>
      <c r="AW44" s="191"/>
    </row>
    <row r="45" spans="1:49" ht="17">
      <c r="A45" s="395"/>
      <c r="B45" s="342" t="s">
        <v>703</v>
      </c>
      <c r="C45" s="213" t="s">
        <v>704</v>
      </c>
      <c r="D45" s="228" t="s">
        <v>628</v>
      </c>
      <c r="E45" s="229">
        <v>20.95</v>
      </c>
      <c r="F45" s="230" t="s">
        <v>705</v>
      </c>
      <c r="G45" s="231" t="s">
        <v>0</v>
      </c>
      <c r="H45" s="232" t="s">
        <v>4505</v>
      </c>
      <c r="I45" s="233">
        <v>82.03</v>
      </c>
      <c r="J45" s="234">
        <v>83.73</v>
      </c>
      <c r="K45" s="235">
        <v>0.2054</v>
      </c>
      <c r="L45" s="236">
        <v>82.24</v>
      </c>
      <c r="M45" s="234">
        <v>83.94</v>
      </c>
      <c r="N45" s="237">
        <v>3</v>
      </c>
      <c r="O45" s="233">
        <v>86.94</v>
      </c>
      <c r="P45" s="238">
        <v>5.6899999999999999E-2</v>
      </c>
      <c r="Q45" s="239">
        <v>5.4199999999999998E-2</v>
      </c>
      <c r="R45" s="239" t="s">
        <v>557</v>
      </c>
      <c r="S45" s="240" t="s">
        <v>1745</v>
      </c>
      <c r="T45" s="240"/>
      <c r="U45" s="240">
        <v>5.4300000000000001E-2</v>
      </c>
      <c r="V45" s="241">
        <v>12.8805</v>
      </c>
      <c r="W45" s="241"/>
      <c r="X45" s="240"/>
      <c r="Y45" s="402">
        <v>4.3499999999999997E-2</v>
      </c>
      <c r="Z45" s="403">
        <v>2</v>
      </c>
      <c r="AA45" s="404" t="s">
        <v>1410</v>
      </c>
      <c r="AB45" s="405" t="s">
        <v>2626</v>
      </c>
      <c r="AC45" s="406">
        <v>86.73</v>
      </c>
      <c r="AD45" s="406">
        <v>42</v>
      </c>
      <c r="AE45" s="402" t="s">
        <v>2410</v>
      </c>
      <c r="AF45" s="402" t="s">
        <v>3747</v>
      </c>
      <c r="AG45" s="402" t="s">
        <v>4476</v>
      </c>
      <c r="AH45" s="402" t="s">
        <v>164</v>
      </c>
      <c r="AI45" s="402" t="s">
        <v>50</v>
      </c>
      <c r="AJ45" s="407" t="s">
        <v>2522</v>
      </c>
      <c r="AK45" s="407" t="s">
        <v>2627</v>
      </c>
      <c r="AL45" s="407" t="s">
        <v>2412</v>
      </c>
      <c r="AM45" s="407" t="s">
        <v>2413</v>
      </c>
      <c r="AN45" s="420" t="s">
        <v>2414</v>
      </c>
      <c r="AO45" s="420" t="s">
        <v>2415</v>
      </c>
      <c r="AP45" s="407" t="s">
        <v>1945</v>
      </c>
      <c r="AQ45" s="407" t="s">
        <v>2628</v>
      </c>
      <c r="AR45" s="407" t="s">
        <v>2629</v>
      </c>
      <c r="AS45" s="407" t="s">
        <v>2630</v>
      </c>
      <c r="AT45" s="798" t="s">
        <v>2419</v>
      </c>
      <c r="AU45" s="407" t="s">
        <v>3476</v>
      </c>
      <c r="AV45" s="408"/>
      <c r="AW45" s="191"/>
    </row>
    <row r="46" spans="1:49" ht="17.149999999999999" customHeight="1">
      <c r="A46" s="395"/>
      <c r="B46" s="342" t="s">
        <v>706</v>
      </c>
      <c r="C46" s="213" t="s">
        <v>707</v>
      </c>
      <c r="D46" s="214" t="s">
        <v>4355</v>
      </c>
      <c r="E46" s="215">
        <v>12.45</v>
      </c>
      <c r="F46" s="216" t="s">
        <v>91</v>
      </c>
      <c r="G46" s="217" t="s">
        <v>0</v>
      </c>
      <c r="H46" s="218" t="s">
        <v>4505</v>
      </c>
      <c r="I46" s="219">
        <v>88.8</v>
      </c>
      <c r="J46" s="220">
        <v>90.240000000000009</v>
      </c>
      <c r="K46" s="221">
        <v>0.18890000000000001</v>
      </c>
      <c r="L46" s="222">
        <v>88.99</v>
      </c>
      <c r="M46" s="220">
        <v>90.43</v>
      </c>
      <c r="N46" s="223">
        <v>2.5</v>
      </c>
      <c r="O46" s="219">
        <v>92.93</v>
      </c>
      <c r="P46" s="224">
        <v>5.0700000000000002E-2</v>
      </c>
      <c r="Q46" s="225">
        <v>4.7800000000000002E-2</v>
      </c>
      <c r="R46" s="225" t="s">
        <v>557</v>
      </c>
      <c r="S46" s="226" t="s">
        <v>1745</v>
      </c>
      <c r="T46" s="226"/>
      <c r="U46" s="226" t="s">
        <v>1767</v>
      </c>
      <c r="V46" s="227">
        <v>9.5267999999999997</v>
      </c>
      <c r="W46" s="227"/>
      <c r="X46" s="226"/>
      <c r="Y46" s="409">
        <v>0.04</v>
      </c>
      <c r="Z46" s="410">
        <v>2</v>
      </c>
      <c r="AA46" s="192" t="s">
        <v>1375</v>
      </c>
      <c r="AB46" s="411" t="s">
        <v>2631</v>
      </c>
      <c r="AC46" s="412">
        <v>92.740000000000009</v>
      </c>
      <c r="AD46" s="412">
        <v>25</v>
      </c>
      <c r="AE46" s="409" t="s">
        <v>2410</v>
      </c>
      <c r="AF46" s="409" t="s">
        <v>3747</v>
      </c>
      <c r="AG46" s="409" t="s">
        <v>4476</v>
      </c>
      <c r="AH46" s="409" t="s">
        <v>167</v>
      </c>
      <c r="AI46" s="409" t="s">
        <v>103</v>
      </c>
      <c r="AJ46" s="242" t="s">
        <v>2632</v>
      </c>
      <c r="AK46" s="242" t="s">
        <v>2419</v>
      </c>
      <c r="AL46" s="242" t="s">
        <v>2412</v>
      </c>
      <c r="AM46" s="242" t="s">
        <v>2419</v>
      </c>
      <c r="AN46" s="421" t="s">
        <v>2414</v>
      </c>
      <c r="AO46" s="421" t="s">
        <v>2415</v>
      </c>
      <c r="AP46" s="242" t="s">
        <v>1945</v>
      </c>
      <c r="AQ46" s="242" t="s">
        <v>2633</v>
      </c>
      <c r="AR46" s="242" t="s">
        <v>2633</v>
      </c>
      <c r="AS46" s="242" t="s">
        <v>2634</v>
      </c>
      <c r="AT46" s="797" t="s">
        <v>2419</v>
      </c>
      <c r="AU46" s="242" t="s">
        <v>3476</v>
      </c>
      <c r="AV46" s="193"/>
      <c r="AW46" s="191"/>
    </row>
    <row r="47" spans="1:49" ht="17">
      <c r="A47" s="395"/>
      <c r="B47" s="342" t="s">
        <v>708</v>
      </c>
      <c r="C47" s="213" t="s">
        <v>709</v>
      </c>
      <c r="D47" s="228" t="s">
        <v>710</v>
      </c>
      <c r="E47" s="229">
        <v>0.94</v>
      </c>
      <c r="F47" s="230" t="s">
        <v>711</v>
      </c>
      <c r="G47" s="231" t="s">
        <v>0</v>
      </c>
      <c r="H47" s="232" t="s">
        <v>4505</v>
      </c>
      <c r="I47" s="233">
        <v>98.45</v>
      </c>
      <c r="J47" s="234">
        <v>99.28</v>
      </c>
      <c r="K47" s="235">
        <v>0.26740000000000003</v>
      </c>
      <c r="L47" s="236">
        <v>98.72</v>
      </c>
      <c r="M47" s="234">
        <v>99.55</v>
      </c>
      <c r="N47" s="237">
        <v>0.4</v>
      </c>
      <c r="O47" s="233">
        <v>99.95</v>
      </c>
      <c r="P47" s="238">
        <v>5.1700000000000003E-2</v>
      </c>
      <c r="Q47" s="239">
        <v>4.7199999999999999E-2</v>
      </c>
      <c r="R47" s="239" t="s">
        <v>550</v>
      </c>
      <c r="S47" s="240" t="s">
        <v>1745</v>
      </c>
      <c r="T47" s="240"/>
      <c r="U47" s="240" t="s">
        <v>1767</v>
      </c>
      <c r="V47" s="241">
        <v>0.90490000000000004</v>
      </c>
      <c r="W47" s="241"/>
      <c r="X47" s="240"/>
      <c r="Y47" s="402">
        <v>4.3749999999999997E-2</v>
      </c>
      <c r="Z47" s="403">
        <v>2</v>
      </c>
      <c r="AA47" s="404" t="s">
        <v>1448</v>
      </c>
      <c r="AB47" s="405" t="s">
        <v>2635</v>
      </c>
      <c r="AC47" s="406">
        <v>99.68</v>
      </c>
      <c r="AD47" s="406">
        <v>2</v>
      </c>
      <c r="AE47" s="402" t="s">
        <v>2410</v>
      </c>
      <c r="AF47" s="402" t="s">
        <v>3732</v>
      </c>
      <c r="AG47" s="402" t="s">
        <v>4438</v>
      </c>
      <c r="AH47" s="402" t="s">
        <v>164</v>
      </c>
      <c r="AI47" s="402" t="s">
        <v>234</v>
      </c>
      <c r="AJ47" s="407" t="s">
        <v>3883</v>
      </c>
      <c r="AK47" s="407" t="s">
        <v>2419</v>
      </c>
      <c r="AL47" s="407" t="s">
        <v>2412</v>
      </c>
      <c r="AM47" s="407" t="s">
        <v>2419</v>
      </c>
      <c r="AN47" s="420" t="s">
        <v>2414</v>
      </c>
      <c r="AO47" s="420" t="s">
        <v>2415</v>
      </c>
      <c r="AP47" s="407" t="s">
        <v>1943</v>
      </c>
      <c r="AQ47" s="407" t="s">
        <v>2636</v>
      </c>
      <c r="AR47" s="407" t="s">
        <v>2636</v>
      </c>
      <c r="AS47" s="407" t="s">
        <v>2637</v>
      </c>
      <c r="AT47" s="798" t="s">
        <v>2419</v>
      </c>
      <c r="AU47" s="407" t="s">
        <v>3476</v>
      </c>
      <c r="AV47" s="408"/>
      <c r="AW47" s="191"/>
    </row>
    <row r="48" spans="1:49" ht="17.149999999999999" customHeight="1">
      <c r="A48" s="395"/>
      <c r="B48" s="342" t="s">
        <v>712</v>
      </c>
      <c r="C48" s="213" t="s">
        <v>713</v>
      </c>
      <c r="D48" s="214" t="s">
        <v>652</v>
      </c>
      <c r="E48" s="215">
        <v>22.12</v>
      </c>
      <c r="F48" s="216" t="s">
        <v>281</v>
      </c>
      <c r="G48" s="217" t="s">
        <v>0</v>
      </c>
      <c r="H48" s="218" t="s">
        <v>4505</v>
      </c>
      <c r="I48" s="219">
        <v>80.02</v>
      </c>
      <c r="J48" s="220">
        <v>81.790000000000006</v>
      </c>
      <c r="K48" s="221">
        <v>1.5698000000000001</v>
      </c>
      <c r="L48" s="222">
        <v>81.59</v>
      </c>
      <c r="M48" s="220">
        <v>83.36</v>
      </c>
      <c r="N48" s="223">
        <v>3</v>
      </c>
      <c r="O48" s="219">
        <v>86.36</v>
      </c>
      <c r="P48" s="224">
        <v>5.57E-2</v>
      </c>
      <c r="Q48" s="225">
        <v>5.2999999999999999E-2</v>
      </c>
      <c r="R48" s="225" t="s">
        <v>557</v>
      </c>
      <c r="S48" s="226" t="s">
        <v>1745</v>
      </c>
      <c r="T48" s="226"/>
      <c r="U48" s="226" t="s">
        <v>1767</v>
      </c>
      <c r="V48" s="227">
        <v>13.2621</v>
      </c>
      <c r="W48" s="227"/>
      <c r="X48" s="226"/>
      <c r="Y48" s="409">
        <v>4.1250000000000002E-2</v>
      </c>
      <c r="Z48" s="410">
        <v>2</v>
      </c>
      <c r="AA48" s="192" t="s">
        <v>1361</v>
      </c>
      <c r="AB48" s="411" t="s">
        <v>2638</v>
      </c>
      <c r="AC48" s="412">
        <v>84.79</v>
      </c>
      <c r="AD48" s="412">
        <v>45</v>
      </c>
      <c r="AE48" s="409" t="s">
        <v>2410</v>
      </c>
      <c r="AF48" s="409" t="s">
        <v>2534</v>
      </c>
      <c r="AG48" s="409" t="s">
        <v>3909</v>
      </c>
      <c r="AH48" s="409" t="s">
        <v>164</v>
      </c>
      <c r="AI48" s="409" t="s">
        <v>53</v>
      </c>
      <c r="AJ48" s="242" t="s">
        <v>2557</v>
      </c>
      <c r="AK48" s="242" t="s">
        <v>2419</v>
      </c>
      <c r="AL48" s="242" t="s">
        <v>2412</v>
      </c>
      <c r="AM48" s="242" t="s">
        <v>2419</v>
      </c>
      <c r="AN48" s="421" t="s">
        <v>2414</v>
      </c>
      <c r="AO48" s="421" t="s">
        <v>2415</v>
      </c>
      <c r="AP48" s="242" t="s">
        <v>1945</v>
      </c>
      <c r="AQ48" s="242" t="s">
        <v>2639</v>
      </c>
      <c r="AR48" s="242" t="s">
        <v>2639</v>
      </c>
      <c r="AS48" s="242" t="s">
        <v>2591</v>
      </c>
      <c r="AT48" s="797" t="s">
        <v>2419</v>
      </c>
      <c r="AU48" s="242" t="s">
        <v>3476</v>
      </c>
      <c r="AV48" s="193"/>
      <c r="AW48" s="191"/>
    </row>
    <row r="49" spans="1:49" ht="17">
      <c r="A49" s="395"/>
      <c r="B49" s="342" t="s">
        <v>714</v>
      </c>
      <c r="C49" s="213" t="s">
        <v>1286</v>
      </c>
      <c r="D49" s="228" t="s">
        <v>1083</v>
      </c>
      <c r="E49" s="229">
        <v>11.83</v>
      </c>
      <c r="F49" s="230" t="s">
        <v>715</v>
      </c>
      <c r="G49" s="231" t="s">
        <v>0</v>
      </c>
      <c r="H49" s="232" t="s">
        <v>4505</v>
      </c>
      <c r="I49" s="233">
        <v>92.61</v>
      </c>
      <c r="J49" s="234">
        <v>94.76</v>
      </c>
      <c r="K49" s="235">
        <v>1.1839999999999999</v>
      </c>
      <c r="L49" s="236">
        <v>93.79</v>
      </c>
      <c r="M49" s="234">
        <v>95.94</v>
      </c>
      <c r="N49" s="237">
        <v>3</v>
      </c>
      <c r="O49" s="233">
        <v>98.94</v>
      </c>
      <c r="P49" s="238">
        <v>7.5499999999999998E-2</v>
      </c>
      <c r="Q49" s="239">
        <v>7.1599999999999997E-2</v>
      </c>
      <c r="R49" s="239" t="s">
        <v>557</v>
      </c>
      <c r="S49" s="240" t="s">
        <v>1745</v>
      </c>
      <c r="T49" s="240"/>
      <c r="U49" s="240" t="s">
        <v>1767</v>
      </c>
      <c r="V49" s="241">
        <v>7.7984</v>
      </c>
      <c r="W49" s="241"/>
      <c r="X49" s="240"/>
      <c r="Y49" s="402">
        <v>6.8750000000000006E-2</v>
      </c>
      <c r="Z49" s="403">
        <v>2</v>
      </c>
      <c r="AA49" s="404" t="s">
        <v>1424</v>
      </c>
      <c r="AB49" s="405" t="s">
        <v>2640</v>
      </c>
      <c r="AC49" s="406">
        <v>97.76</v>
      </c>
      <c r="AD49" s="406">
        <v>24</v>
      </c>
      <c r="AE49" s="402" t="s">
        <v>2410</v>
      </c>
      <c r="AF49" s="402" t="s">
        <v>2434</v>
      </c>
      <c r="AG49" s="402" t="s">
        <v>2670</v>
      </c>
      <c r="AH49" s="402" t="s">
        <v>164</v>
      </c>
      <c r="AI49" s="402" t="s">
        <v>225</v>
      </c>
      <c r="AJ49" s="407" t="s">
        <v>2641</v>
      </c>
      <c r="AK49" s="407" t="s">
        <v>2419</v>
      </c>
      <c r="AL49" s="407" t="s">
        <v>2412</v>
      </c>
      <c r="AM49" s="407" t="s">
        <v>2419</v>
      </c>
      <c r="AN49" s="420" t="s">
        <v>2414</v>
      </c>
      <c r="AO49" s="420" t="s">
        <v>2415</v>
      </c>
      <c r="AP49" s="407" t="s">
        <v>1944</v>
      </c>
      <c r="AQ49" s="407" t="s">
        <v>2642</v>
      </c>
      <c r="AR49" s="407" t="s">
        <v>2621</v>
      </c>
      <c r="AS49" s="407" t="s">
        <v>2643</v>
      </c>
      <c r="AT49" s="798" t="s">
        <v>2419</v>
      </c>
      <c r="AU49" s="407" t="s">
        <v>3476</v>
      </c>
      <c r="AV49" s="408"/>
      <c r="AW49" s="191"/>
    </row>
    <row r="50" spans="1:49" ht="17.149999999999999" customHeight="1">
      <c r="A50" s="395"/>
      <c r="B50" s="342" t="s">
        <v>716</v>
      </c>
      <c r="C50" s="213" t="s">
        <v>717</v>
      </c>
      <c r="D50" s="214" t="s">
        <v>718</v>
      </c>
      <c r="E50" s="215">
        <v>2.29</v>
      </c>
      <c r="F50" s="216" t="s">
        <v>719</v>
      </c>
      <c r="G50" s="217" t="s">
        <v>0</v>
      </c>
      <c r="H50" s="218" t="s">
        <v>4505</v>
      </c>
      <c r="I50" s="219">
        <v>104.24</v>
      </c>
      <c r="J50" s="220">
        <v>105.54</v>
      </c>
      <c r="K50" s="221">
        <v>1.6309</v>
      </c>
      <c r="L50" s="222">
        <v>105.87</v>
      </c>
      <c r="M50" s="220">
        <v>107.17</v>
      </c>
      <c r="N50" s="223">
        <v>1</v>
      </c>
      <c r="O50" s="219">
        <v>108.17</v>
      </c>
      <c r="P50" s="224">
        <v>5.0200000000000002E-2</v>
      </c>
      <c r="Q50" s="225">
        <v>4.5699999999999998E-2</v>
      </c>
      <c r="R50" s="225" t="s">
        <v>578</v>
      </c>
      <c r="S50" s="226" t="s">
        <v>1745</v>
      </c>
      <c r="T50" s="226"/>
      <c r="U50" s="226" t="s">
        <v>1767</v>
      </c>
      <c r="V50" s="227">
        <v>2.0640999999999998</v>
      </c>
      <c r="W50" s="227"/>
      <c r="X50" s="226"/>
      <c r="Y50" s="409">
        <v>7.6249999999999998E-2</v>
      </c>
      <c r="Z50" s="410">
        <v>2</v>
      </c>
      <c r="AA50" s="192" t="s">
        <v>1449</v>
      </c>
      <c r="AB50" s="411" t="s">
        <v>2644</v>
      </c>
      <c r="AC50" s="412">
        <v>106.54</v>
      </c>
      <c r="AD50" s="412">
        <v>5</v>
      </c>
      <c r="AE50" s="409" t="s">
        <v>2410</v>
      </c>
      <c r="AF50" s="409" t="s">
        <v>2527</v>
      </c>
      <c r="AG50" s="409" t="s">
        <v>4070</v>
      </c>
      <c r="AH50" s="409" t="s">
        <v>172</v>
      </c>
      <c r="AI50" s="409" t="s">
        <v>104</v>
      </c>
      <c r="AJ50" s="242" t="s">
        <v>3973</v>
      </c>
      <c r="AK50" s="242" t="s">
        <v>2419</v>
      </c>
      <c r="AL50" s="242" t="s">
        <v>2412</v>
      </c>
      <c r="AM50" s="242" t="s">
        <v>2419</v>
      </c>
      <c r="AN50" s="421" t="s">
        <v>2414</v>
      </c>
      <c r="AO50" s="421" t="s">
        <v>2415</v>
      </c>
      <c r="AP50" s="242" t="s">
        <v>1943</v>
      </c>
      <c r="AQ50" s="242" t="s">
        <v>2645</v>
      </c>
      <c r="AR50" s="242" t="s">
        <v>2645</v>
      </c>
      <c r="AS50" s="242" t="s">
        <v>2646</v>
      </c>
      <c r="AT50" s="797" t="s">
        <v>2419</v>
      </c>
      <c r="AU50" s="242" t="s">
        <v>3476</v>
      </c>
      <c r="AV50" s="193"/>
      <c r="AW50" s="191"/>
    </row>
    <row r="51" spans="1:49" ht="17">
      <c r="A51" s="395"/>
      <c r="B51" s="342" t="s">
        <v>720</v>
      </c>
      <c r="C51" s="213" t="s">
        <v>721</v>
      </c>
      <c r="D51" s="228" t="s">
        <v>722</v>
      </c>
      <c r="E51" s="229">
        <v>2.88</v>
      </c>
      <c r="F51" s="230" t="s">
        <v>723</v>
      </c>
      <c r="G51" s="231" t="s">
        <v>0</v>
      </c>
      <c r="H51" s="232" t="s">
        <v>4505</v>
      </c>
      <c r="I51" s="233">
        <v>94.97</v>
      </c>
      <c r="J51" s="234">
        <v>95.95</v>
      </c>
      <c r="K51" s="235">
        <v>0.37919999999999998</v>
      </c>
      <c r="L51" s="236">
        <v>95.35</v>
      </c>
      <c r="M51" s="234">
        <v>96.33</v>
      </c>
      <c r="N51" s="237">
        <v>1</v>
      </c>
      <c r="O51" s="233">
        <v>97.33</v>
      </c>
      <c r="P51" s="238">
        <v>4.7699999999999999E-2</v>
      </c>
      <c r="Q51" s="239">
        <v>4.3900000000000002E-2</v>
      </c>
      <c r="R51" s="239" t="s">
        <v>557</v>
      </c>
      <c r="S51" s="240" t="s">
        <v>1745</v>
      </c>
      <c r="T51" s="240"/>
      <c r="U51" s="240">
        <v>4.4900000000000002E-2</v>
      </c>
      <c r="V51" s="241">
        <v>2.7</v>
      </c>
      <c r="W51" s="241"/>
      <c r="X51" s="240"/>
      <c r="Y51" s="402">
        <v>3.2500000000000001E-2</v>
      </c>
      <c r="Z51" s="403">
        <v>2</v>
      </c>
      <c r="AA51" s="404" t="s">
        <v>1368</v>
      </c>
      <c r="AB51" s="405" t="s">
        <v>2647</v>
      </c>
      <c r="AC51" s="406">
        <v>96.95</v>
      </c>
      <c r="AD51" s="406">
        <v>6</v>
      </c>
      <c r="AE51" s="402" t="s">
        <v>2410</v>
      </c>
      <c r="AF51" s="402" t="s">
        <v>2648</v>
      </c>
      <c r="AG51" s="402" t="s">
        <v>4356</v>
      </c>
      <c r="AH51" s="402" t="s">
        <v>165</v>
      </c>
      <c r="AI51" s="402" t="s">
        <v>97</v>
      </c>
      <c r="AJ51" s="407" t="s">
        <v>2649</v>
      </c>
      <c r="AK51" s="407" t="s">
        <v>2650</v>
      </c>
      <c r="AL51" s="407" t="s">
        <v>2412</v>
      </c>
      <c r="AM51" s="407" t="s">
        <v>2413</v>
      </c>
      <c r="AN51" s="420" t="s">
        <v>2414</v>
      </c>
      <c r="AO51" s="420" t="s">
        <v>2415</v>
      </c>
      <c r="AP51" s="407" t="s">
        <v>1945</v>
      </c>
      <c r="AQ51" s="407" t="s">
        <v>2651</v>
      </c>
      <c r="AR51" s="407" t="s">
        <v>2651</v>
      </c>
      <c r="AS51" s="407" t="s">
        <v>2652</v>
      </c>
      <c r="AT51" s="798" t="s">
        <v>2419</v>
      </c>
      <c r="AU51" s="407" t="s">
        <v>3476</v>
      </c>
      <c r="AV51" s="408"/>
      <c r="AW51" s="191"/>
    </row>
    <row r="52" spans="1:49" ht="17.149999999999999" customHeight="1">
      <c r="A52" s="395"/>
      <c r="B52" s="342" t="s">
        <v>724</v>
      </c>
      <c r="C52" s="213" t="s">
        <v>725</v>
      </c>
      <c r="D52" s="214" t="s">
        <v>1777</v>
      </c>
      <c r="E52" s="215">
        <v>2.31</v>
      </c>
      <c r="F52" s="216" t="s">
        <v>284</v>
      </c>
      <c r="G52" s="217" t="s">
        <v>0</v>
      </c>
      <c r="H52" s="218" t="s">
        <v>4508</v>
      </c>
      <c r="I52" s="219">
        <v>95</v>
      </c>
      <c r="J52" s="220">
        <v>96.570000000000007</v>
      </c>
      <c r="K52" s="221">
        <v>0.60489999999999999</v>
      </c>
      <c r="L52" s="222">
        <v>95.6</v>
      </c>
      <c r="M52" s="220">
        <v>97.17</v>
      </c>
      <c r="N52" s="223">
        <v>1</v>
      </c>
      <c r="O52" s="219">
        <v>98.17</v>
      </c>
      <c r="P52" s="224">
        <v>4.8300000000000003E-2</v>
      </c>
      <c r="Q52" s="225">
        <v>4.36E-2</v>
      </c>
      <c r="R52" s="225" t="s">
        <v>550</v>
      </c>
      <c r="S52" s="226" t="s">
        <v>1745</v>
      </c>
      <c r="T52" s="226"/>
      <c r="U52" s="226" t="s">
        <v>1767</v>
      </c>
      <c r="V52" s="227">
        <v>2.1804000000000001</v>
      </c>
      <c r="W52" s="227"/>
      <c r="X52" s="226"/>
      <c r="Y52" s="409">
        <v>3.2500000000000001E-2</v>
      </c>
      <c r="Z52" s="410">
        <v>2</v>
      </c>
      <c r="AA52" s="192" t="s">
        <v>1355</v>
      </c>
      <c r="AB52" s="411" t="s">
        <v>2653</v>
      </c>
      <c r="AC52" s="412">
        <v>97.570000000000007</v>
      </c>
      <c r="AD52" s="412">
        <v>5</v>
      </c>
      <c r="AE52" s="409" t="s">
        <v>2410</v>
      </c>
      <c r="AF52" s="409" t="s">
        <v>2654</v>
      </c>
      <c r="AG52" s="409" t="s">
        <v>4125</v>
      </c>
      <c r="AH52" s="409" t="s">
        <v>163</v>
      </c>
      <c r="AI52" s="409" t="s">
        <v>60</v>
      </c>
      <c r="AJ52" s="242" t="s">
        <v>2562</v>
      </c>
      <c r="AK52" s="242" t="s">
        <v>2419</v>
      </c>
      <c r="AL52" s="242" t="s">
        <v>2412</v>
      </c>
      <c r="AM52" s="242" t="s">
        <v>2419</v>
      </c>
      <c r="AN52" s="421" t="s">
        <v>2414</v>
      </c>
      <c r="AO52" s="421" t="s">
        <v>2415</v>
      </c>
      <c r="AP52" s="242" t="s">
        <v>1943</v>
      </c>
      <c r="AQ52" s="242" t="s">
        <v>2655</v>
      </c>
      <c r="AR52" s="242" t="s">
        <v>2655</v>
      </c>
      <c r="AS52" s="242" t="s">
        <v>2656</v>
      </c>
      <c r="AT52" s="797" t="s">
        <v>2419</v>
      </c>
      <c r="AU52" s="242" t="s">
        <v>3476</v>
      </c>
      <c r="AV52" s="193"/>
      <c r="AW52" s="191"/>
    </row>
    <row r="53" spans="1:49" ht="17">
      <c r="A53" s="395"/>
      <c r="B53" s="342" t="s">
        <v>726</v>
      </c>
      <c r="C53" s="213" t="s">
        <v>727</v>
      </c>
      <c r="D53" s="228" t="s">
        <v>728</v>
      </c>
      <c r="E53" s="229">
        <v>2.97</v>
      </c>
      <c r="F53" s="230" t="s">
        <v>729</v>
      </c>
      <c r="G53" s="231" t="s">
        <v>0</v>
      </c>
      <c r="H53" s="232" t="s">
        <v>4508</v>
      </c>
      <c r="I53" s="233">
        <v>72.14</v>
      </c>
      <c r="J53" s="234">
        <v>75.67</v>
      </c>
      <c r="K53" s="235">
        <v>0</v>
      </c>
      <c r="L53" s="236">
        <v>72.14</v>
      </c>
      <c r="M53" s="234">
        <v>75.67</v>
      </c>
      <c r="N53" s="237">
        <v>2.5</v>
      </c>
      <c r="O53" s="233">
        <v>78.17</v>
      </c>
      <c r="P53" s="238">
        <v>0.13700000000000001</v>
      </c>
      <c r="Q53" s="239">
        <v>0.12479999999999999</v>
      </c>
      <c r="R53" s="239" t="s">
        <v>730</v>
      </c>
      <c r="S53" s="240" t="s">
        <v>1746</v>
      </c>
      <c r="T53" s="240"/>
      <c r="U53" s="240" t="s">
        <v>1767</v>
      </c>
      <c r="V53" s="241">
        <v>2.6739000000000002</v>
      </c>
      <c r="W53" s="241"/>
      <c r="X53" s="240"/>
      <c r="Y53" s="402">
        <v>4.2500000000000003E-2</v>
      </c>
      <c r="Z53" s="403">
        <v>2</v>
      </c>
      <c r="AA53" s="404" t="s">
        <v>1450</v>
      </c>
      <c r="AB53" s="405" t="s">
        <v>2657</v>
      </c>
      <c r="AC53" s="406">
        <v>78.17</v>
      </c>
      <c r="AD53" s="406">
        <v>6</v>
      </c>
      <c r="AE53" s="402" t="s">
        <v>2410</v>
      </c>
      <c r="AF53" s="402" t="s">
        <v>3788</v>
      </c>
      <c r="AG53" s="402" t="s">
        <v>3771</v>
      </c>
      <c r="AH53" s="402" t="s">
        <v>163</v>
      </c>
      <c r="AI53" s="402" t="s">
        <v>235</v>
      </c>
      <c r="AJ53" s="407" t="s">
        <v>2562</v>
      </c>
      <c r="AK53" s="407" t="s">
        <v>2419</v>
      </c>
      <c r="AL53" s="407" t="s">
        <v>2659</v>
      </c>
      <c r="AM53" s="407" t="s">
        <v>2419</v>
      </c>
      <c r="AN53" s="420" t="s">
        <v>2414</v>
      </c>
      <c r="AO53" s="420" t="s">
        <v>2415</v>
      </c>
      <c r="AP53" s="407" t="s">
        <v>1943</v>
      </c>
      <c r="AQ53" s="407" t="s">
        <v>2660</v>
      </c>
      <c r="AR53" s="407" t="s">
        <v>2660</v>
      </c>
      <c r="AS53" s="407" t="s">
        <v>2661</v>
      </c>
      <c r="AT53" s="798" t="s">
        <v>2419</v>
      </c>
      <c r="AU53" s="407" t="s">
        <v>3476</v>
      </c>
      <c r="AV53" s="408"/>
      <c r="AW53" s="191"/>
    </row>
    <row r="54" spans="1:49" ht="17.149999999999999" customHeight="1">
      <c r="A54" s="395"/>
      <c r="B54" s="342" t="s">
        <v>731</v>
      </c>
      <c r="C54" s="213" t="s">
        <v>732</v>
      </c>
      <c r="D54" s="214" t="s">
        <v>702</v>
      </c>
      <c r="E54" s="215">
        <v>15.53</v>
      </c>
      <c r="F54" s="216" t="s">
        <v>733</v>
      </c>
      <c r="G54" s="217" t="s">
        <v>0</v>
      </c>
      <c r="H54" s="218" t="s">
        <v>4505</v>
      </c>
      <c r="I54" s="219">
        <v>96.37</v>
      </c>
      <c r="J54" s="220">
        <v>97.81</v>
      </c>
      <c r="K54" s="221">
        <v>2.8738000000000001</v>
      </c>
      <c r="L54" s="222">
        <v>99.24</v>
      </c>
      <c r="M54" s="220">
        <v>100.68</v>
      </c>
      <c r="N54" s="223">
        <v>3</v>
      </c>
      <c r="O54" s="219">
        <v>103.68</v>
      </c>
      <c r="P54" s="224">
        <v>6.2700000000000006E-2</v>
      </c>
      <c r="Q54" s="225">
        <v>5.9700000000000003E-2</v>
      </c>
      <c r="R54" s="225" t="s">
        <v>734</v>
      </c>
      <c r="S54" s="226" t="s">
        <v>1745</v>
      </c>
      <c r="T54" s="226"/>
      <c r="U54" s="226" t="s">
        <v>1767</v>
      </c>
      <c r="V54" s="227">
        <v>9.6557999999999993</v>
      </c>
      <c r="W54" s="227"/>
      <c r="X54" s="226"/>
      <c r="Y54" s="409">
        <v>6.0499999999999998E-2</v>
      </c>
      <c r="Z54" s="410">
        <v>2</v>
      </c>
      <c r="AA54" s="192" t="s">
        <v>1451</v>
      </c>
      <c r="AB54" s="411" t="s">
        <v>2662</v>
      </c>
      <c r="AC54" s="412">
        <v>100.81</v>
      </c>
      <c r="AD54" s="412">
        <v>32</v>
      </c>
      <c r="AE54" s="409" t="s">
        <v>2410</v>
      </c>
      <c r="AF54" s="409" t="s">
        <v>2663</v>
      </c>
      <c r="AG54" s="409" t="s">
        <v>3855</v>
      </c>
      <c r="AH54" s="409" t="s">
        <v>163</v>
      </c>
      <c r="AI54" s="409" t="s">
        <v>189</v>
      </c>
      <c r="AJ54" s="242" t="s">
        <v>2562</v>
      </c>
      <c r="AK54" s="242" t="s">
        <v>2419</v>
      </c>
      <c r="AL54" s="242" t="s">
        <v>2412</v>
      </c>
      <c r="AM54" s="242" t="s">
        <v>2419</v>
      </c>
      <c r="AN54" s="421" t="s">
        <v>2414</v>
      </c>
      <c r="AO54" s="421" t="s">
        <v>2415</v>
      </c>
      <c r="AP54" s="242" t="s">
        <v>1943</v>
      </c>
      <c r="AQ54" s="242" t="s">
        <v>2664</v>
      </c>
      <c r="AR54" s="242" t="s">
        <v>2664</v>
      </c>
      <c r="AS54" s="242" t="s">
        <v>2665</v>
      </c>
      <c r="AT54" s="797" t="s">
        <v>2419</v>
      </c>
      <c r="AU54" s="242" t="s">
        <v>3476</v>
      </c>
      <c r="AV54" s="193"/>
      <c r="AW54" s="191"/>
    </row>
    <row r="55" spans="1:49" ht="17">
      <c r="A55" s="395"/>
      <c r="B55" s="342" t="s">
        <v>735</v>
      </c>
      <c r="C55" s="213" t="s">
        <v>736</v>
      </c>
      <c r="D55" s="228" t="s">
        <v>737</v>
      </c>
      <c r="E55" s="229">
        <v>13.12</v>
      </c>
      <c r="F55" s="230" t="s">
        <v>738</v>
      </c>
      <c r="G55" s="231" t="s">
        <v>0</v>
      </c>
      <c r="H55" s="232" t="s">
        <v>4508</v>
      </c>
      <c r="I55" s="233">
        <v>75.44</v>
      </c>
      <c r="J55" s="234">
        <v>80.5</v>
      </c>
      <c r="K55" s="235">
        <v>2.7734999999999999</v>
      </c>
      <c r="L55" s="236">
        <v>78.209999999999994</v>
      </c>
      <c r="M55" s="234">
        <v>83.27</v>
      </c>
      <c r="N55" s="237">
        <v>3</v>
      </c>
      <c r="O55" s="233">
        <v>86.27</v>
      </c>
      <c r="P55" s="238">
        <v>9.98E-2</v>
      </c>
      <c r="Q55" s="239">
        <v>9.5100000000000004E-2</v>
      </c>
      <c r="R55" s="239" t="s">
        <v>578</v>
      </c>
      <c r="S55" s="240" t="s">
        <v>1746</v>
      </c>
      <c r="T55" s="240"/>
      <c r="U55" s="240" t="s">
        <v>1767</v>
      </c>
      <c r="V55" s="241">
        <v>7.5000999999999998</v>
      </c>
      <c r="W55" s="241"/>
      <c r="X55" s="240"/>
      <c r="Y55" s="402">
        <v>7.288E-2</v>
      </c>
      <c r="Z55" s="403">
        <v>2</v>
      </c>
      <c r="AA55" s="404" t="s">
        <v>1452</v>
      </c>
      <c r="AB55" s="405" t="s">
        <v>2666</v>
      </c>
      <c r="AC55" s="406">
        <v>83.5</v>
      </c>
      <c r="AD55" s="406">
        <v>27</v>
      </c>
      <c r="AE55" s="402" t="s">
        <v>2410</v>
      </c>
      <c r="AF55" s="402" t="s">
        <v>2667</v>
      </c>
      <c r="AG55" s="402" t="s">
        <v>3914</v>
      </c>
      <c r="AH55" s="402" t="s">
        <v>172</v>
      </c>
      <c r="AI55" s="402" t="s">
        <v>144</v>
      </c>
      <c r="AJ55" s="407" t="s">
        <v>2419</v>
      </c>
      <c r="AK55" s="407" t="s">
        <v>2419</v>
      </c>
      <c r="AL55" s="407" t="s">
        <v>2412</v>
      </c>
      <c r="AM55" s="407" t="s">
        <v>2419</v>
      </c>
      <c r="AN55" s="420" t="s">
        <v>2414</v>
      </c>
      <c r="AO55" s="420" t="s">
        <v>2415</v>
      </c>
      <c r="AP55" s="407" t="s">
        <v>1943</v>
      </c>
      <c r="AQ55" s="407" t="s">
        <v>2668</v>
      </c>
      <c r="AR55" s="407" t="s">
        <v>2668</v>
      </c>
      <c r="AS55" s="407" t="s">
        <v>2669</v>
      </c>
      <c r="AT55" s="798" t="s">
        <v>2419</v>
      </c>
      <c r="AU55" s="407" t="s">
        <v>3476</v>
      </c>
      <c r="AV55" s="408"/>
      <c r="AW55" s="191"/>
    </row>
    <row r="56" spans="1:49" ht="17.149999999999999" customHeight="1">
      <c r="A56" s="395"/>
      <c r="B56" s="342" t="s">
        <v>741</v>
      </c>
      <c r="C56" s="213" t="s">
        <v>742</v>
      </c>
      <c r="D56" s="214" t="s">
        <v>634</v>
      </c>
      <c r="E56" s="215">
        <v>0.33</v>
      </c>
      <c r="F56" s="216" t="s">
        <v>743</v>
      </c>
      <c r="G56" s="217" t="s">
        <v>0</v>
      </c>
      <c r="H56" s="218" t="s">
        <v>4505</v>
      </c>
      <c r="I56" s="219">
        <v>98.74</v>
      </c>
      <c r="J56" s="220">
        <v>99.490000000000009</v>
      </c>
      <c r="K56" s="221">
        <v>0.51670000000000005</v>
      </c>
      <c r="L56" s="222">
        <v>99.26</v>
      </c>
      <c r="M56" s="220">
        <v>100.01</v>
      </c>
      <c r="N56" s="223">
        <v>1.2</v>
      </c>
      <c r="O56" s="219">
        <v>101.21000000000001</v>
      </c>
      <c r="P56" s="224">
        <v>4.5600000000000002E-2</v>
      </c>
      <c r="Q56" s="225">
        <v>8.8000000000000005E-3</v>
      </c>
      <c r="R56" s="225" t="s">
        <v>557</v>
      </c>
      <c r="S56" s="226" t="s">
        <v>1745</v>
      </c>
      <c r="T56" s="226"/>
      <c r="U56" s="226">
        <v>1.4E-3</v>
      </c>
      <c r="V56" s="227">
        <v>0.32429999999999998</v>
      </c>
      <c r="W56" s="227"/>
      <c r="X56" s="226"/>
      <c r="Y56" s="409">
        <v>0.03</v>
      </c>
      <c r="Z56" s="410">
        <v>2</v>
      </c>
      <c r="AA56" s="192" t="s">
        <v>1360</v>
      </c>
      <c r="AB56" s="411" t="s">
        <v>2670</v>
      </c>
      <c r="AC56" s="412">
        <v>100.69000000000001</v>
      </c>
      <c r="AD56" s="412">
        <v>1</v>
      </c>
      <c r="AE56" s="409" t="s">
        <v>2410</v>
      </c>
      <c r="AF56" s="409" t="s">
        <v>2434</v>
      </c>
      <c r="AG56" s="409" t="s">
        <v>2670</v>
      </c>
      <c r="AH56" s="409" t="s">
        <v>162</v>
      </c>
      <c r="AI56" s="409" t="s">
        <v>191</v>
      </c>
      <c r="AJ56" s="242" t="s">
        <v>2671</v>
      </c>
      <c r="AK56" s="242" t="s">
        <v>2672</v>
      </c>
      <c r="AL56" s="242" t="s">
        <v>2412</v>
      </c>
      <c r="AM56" s="242" t="s">
        <v>2413</v>
      </c>
      <c r="AN56" s="421" t="s">
        <v>2413</v>
      </c>
      <c r="AO56" s="421" t="s">
        <v>2415</v>
      </c>
      <c r="AP56" s="242" t="s">
        <v>1944</v>
      </c>
      <c r="AQ56" s="242" t="s">
        <v>2673</v>
      </c>
      <c r="AR56" s="242" t="s">
        <v>2673</v>
      </c>
      <c r="AS56" s="242" t="s">
        <v>2674</v>
      </c>
      <c r="AT56" s="797" t="s">
        <v>2419</v>
      </c>
      <c r="AU56" s="242" t="s">
        <v>3476</v>
      </c>
      <c r="AV56" s="193"/>
      <c r="AW56" s="191"/>
    </row>
    <row r="57" spans="1:49" ht="17">
      <c r="A57" s="395"/>
      <c r="B57" s="342" t="s">
        <v>744</v>
      </c>
      <c r="C57" s="213" t="s">
        <v>745</v>
      </c>
      <c r="D57" s="228" t="s">
        <v>2392</v>
      </c>
      <c r="E57" s="229">
        <v>7.04</v>
      </c>
      <c r="F57" s="230" t="s">
        <v>746</v>
      </c>
      <c r="G57" s="231" t="s">
        <v>0</v>
      </c>
      <c r="H57" s="232" t="s">
        <v>4505</v>
      </c>
      <c r="I57" s="233">
        <v>106.78</v>
      </c>
      <c r="J57" s="234">
        <v>108.32</v>
      </c>
      <c r="K57" s="235">
        <v>3.4352999999999998</v>
      </c>
      <c r="L57" s="236">
        <v>110.22</v>
      </c>
      <c r="M57" s="234">
        <v>111.76</v>
      </c>
      <c r="N57" s="237">
        <v>2</v>
      </c>
      <c r="O57" s="233">
        <v>113.76</v>
      </c>
      <c r="P57" s="238">
        <v>5.9799999999999999E-2</v>
      </c>
      <c r="Q57" s="239">
        <v>5.6500000000000002E-2</v>
      </c>
      <c r="R57" s="239" t="s">
        <v>557</v>
      </c>
      <c r="S57" s="240" t="s">
        <v>1745</v>
      </c>
      <c r="T57" s="240"/>
      <c r="U57" s="240" t="s">
        <v>1767</v>
      </c>
      <c r="V57" s="241">
        <v>5.3428000000000004</v>
      </c>
      <c r="W57" s="241"/>
      <c r="X57" s="240"/>
      <c r="Y57" s="402">
        <v>7.4499999999999997E-2</v>
      </c>
      <c r="Z57" s="403">
        <v>2</v>
      </c>
      <c r="AA57" s="404" t="s">
        <v>1453</v>
      </c>
      <c r="AB57" s="405" t="s">
        <v>2675</v>
      </c>
      <c r="AC57" s="406">
        <v>110.32</v>
      </c>
      <c r="AD57" s="406">
        <v>15</v>
      </c>
      <c r="AE57" s="402" t="s">
        <v>2410</v>
      </c>
      <c r="AF57" s="402" t="s">
        <v>2676</v>
      </c>
      <c r="AG57" s="402" t="s">
        <v>3863</v>
      </c>
      <c r="AH57" s="402" t="s">
        <v>170</v>
      </c>
      <c r="AI57" s="402" t="s">
        <v>143</v>
      </c>
      <c r="AJ57" s="407" t="s">
        <v>2677</v>
      </c>
      <c r="AK57" s="407" t="s">
        <v>2419</v>
      </c>
      <c r="AL57" s="407" t="s">
        <v>2412</v>
      </c>
      <c r="AM57" s="407" t="s">
        <v>2419</v>
      </c>
      <c r="AN57" s="420" t="s">
        <v>2414</v>
      </c>
      <c r="AO57" s="420" t="s">
        <v>2415</v>
      </c>
      <c r="AP57" s="407" t="s">
        <v>1945</v>
      </c>
      <c r="AQ57" s="407" t="s">
        <v>2678</v>
      </c>
      <c r="AR57" s="407" t="s">
        <v>2678</v>
      </c>
      <c r="AS57" s="407" t="s">
        <v>2679</v>
      </c>
      <c r="AT57" s="798" t="s">
        <v>2419</v>
      </c>
      <c r="AU57" s="407" t="s">
        <v>3476</v>
      </c>
      <c r="AV57" s="408"/>
      <c r="AW57" s="191"/>
    </row>
    <row r="58" spans="1:49" ht="17">
      <c r="A58" s="395"/>
      <c r="B58" s="342" t="s">
        <v>747</v>
      </c>
      <c r="C58" s="213" t="s">
        <v>748</v>
      </c>
      <c r="D58" s="228" t="s">
        <v>652</v>
      </c>
      <c r="E58" s="229">
        <v>3.12</v>
      </c>
      <c r="F58" s="230" t="s">
        <v>516</v>
      </c>
      <c r="G58" s="231" t="s">
        <v>534</v>
      </c>
      <c r="H58" s="232" t="s">
        <v>4508</v>
      </c>
      <c r="I58" s="233">
        <v>97.1</v>
      </c>
      <c r="J58" s="234">
        <v>99.570000000000007</v>
      </c>
      <c r="K58" s="235">
        <v>1.694</v>
      </c>
      <c r="L58" s="236">
        <v>98.79</v>
      </c>
      <c r="M58" s="234">
        <v>101.26</v>
      </c>
      <c r="N58" s="237">
        <v>2</v>
      </c>
      <c r="O58" s="233">
        <v>103.26</v>
      </c>
      <c r="P58" s="238">
        <v>4.65E-2</v>
      </c>
      <c r="Q58" s="239">
        <v>3.9600000000000003E-2</v>
      </c>
      <c r="R58" s="239" t="s">
        <v>749</v>
      </c>
      <c r="S58" s="240" t="s">
        <v>1776</v>
      </c>
      <c r="T58" s="240"/>
      <c r="U58" s="240" t="s">
        <v>1767</v>
      </c>
      <c r="V58" s="241">
        <v>2.8348</v>
      </c>
      <c r="W58" s="241"/>
      <c r="X58" s="240"/>
      <c r="Y58" s="402">
        <v>4.4999999999999998E-2</v>
      </c>
      <c r="Z58" s="403">
        <v>2</v>
      </c>
      <c r="AA58" s="404" t="s">
        <v>1361</v>
      </c>
      <c r="AB58" s="405" t="s">
        <v>2680</v>
      </c>
      <c r="AC58" s="406">
        <v>101.57000000000001</v>
      </c>
      <c r="AD58" s="406">
        <v>7</v>
      </c>
      <c r="AE58" s="402" t="s">
        <v>2410</v>
      </c>
      <c r="AF58" s="402" t="s">
        <v>2681</v>
      </c>
      <c r="AG58" s="402" t="s">
        <v>3915</v>
      </c>
      <c r="AH58" s="402" t="s">
        <v>164</v>
      </c>
      <c r="AI58" s="402" t="s">
        <v>53</v>
      </c>
      <c r="AJ58" s="407" t="s">
        <v>2557</v>
      </c>
      <c r="AK58" s="407" t="s">
        <v>2419</v>
      </c>
      <c r="AL58" s="407" t="s">
        <v>2412</v>
      </c>
      <c r="AM58" s="407" t="s">
        <v>2419</v>
      </c>
      <c r="AN58" s="420" t="s">
        <v>2414</v>
      </c>
      <c r="AO58" s="420" t="s">
        <v>2415</v>
      </c>
      <c r="AP58" s="407" t="s">
        <v>1948</v>
      </c>
      <c r="AQ58" s="407" t="s">
        <v>2682</v>
      </c>
      <c r="AR58" s="407" t="s">
        <v>2682</v>
      </c>
      <c r="AS58" s="407" t="s">
        <v>2683</v>
      </c>
      <c r="AT58" s="798">
        <v>7</v>
      </c>
      <c r="AU58" s="407" t="s">
        <v>3479</v>
      </c>
      <c r="AV58" s="408"/>
      <c r="AW58" s="191"/>
    </row>
    <row r="59" spans="1:49" ht="17.149999999999999" customHeight="1">
      <c r="A59" s="395"/>
      <c r="B59" s="342" t="s">
        <v>750</v>
      </c>
      <c r="C59" s="213" t="s">
        <v>751</v>
      </c>
      <c r="D59" s="214" t="s">
        <v>4367</v>
      </c>
      <c r="E59" s="215">
        <v>3.78</v>
      </c>
      <c r="F59" s="216" t="s">
        <v>752</v>
      </c>
      <c r="G59" s="217" t="s">
        <v>0</v>
      </c>
      <c r="H59" s="218" t="s">
        <v>4508</v>
      </c>
      <c r="I59" s="219">
        <v>97.73</v>
      </c>
      <c r="J59" s="220">
        <v>99.47</v>
      </c>
      <c r="K59" s="221">
        <v>1.3542000000000001</v>
      </c>
      <c r="L59" s="222">
        <v>99.08</v>
      </c>
      <c r="M59" s="220">
        <v>100.82</v>
      </c>
      <c r="N59" s="223">
        <v>1.5</v>
      </c>
      <c r="O59" s="219">
        <v>102.32</v>
      </c>
      <c r="P59" s="224">
        <v>6.4100000000000004E-2</v>
      </c>
      <c r="Q59" s="225">
        <v>5.96E-2</v>
      </c>
      <c r="R59" s="225" t="s">
        <v>550</v>
      </c>
      <c r="S59" s="226" t="s">
        <v>1776</v>
      </c>
      <c r="T59" s="226"/>
      <c r="U59" s="226">
        <v>5.9400000000000001E-2</v>
      </c>
      <c r="V59" s="227">
        <v>3.2786</v>
      </c>
      <c r="W59" s="227"/>
      <c r="X59" s="226"/>
      <c r="Y59" s="409">
        <v>6.25E-2</v>
      </c>
      <c r="Z59" s="410">
        <v>2</v>
      </c>
      <c r="AA59" s="192" t="s">
        <v>1436</v>
      </c>
      <c r="AB59" s="411" t="s">
        <v>2684</v>
      </c>
      <c r="AC59" s="412">
        <v>100.97</v>
      </c>
      <c r="AD59" s="412">
        <v>8</v>
      </c>
      <c r="AE59" s="409" t="s">
        <v>2410</v>
      </c>
      <c r="AF59" s="409" t="s">
        <v>2527</v>
      </c>
      <c r="AG59" s="409" t="s">
        <v>4070</v>
      </c>
      <c r="AH59" s="409" t="s">
        <v>164</v>
      </c>
      <c r="AI59" s="409" t="s">
        <v>47</v>
      </c>
      <c r="AJ59" s="242" t="s">
        <v>2464</v>
      </c>
      <c r="AK59" s="242" t="s">
        <v>2685</v>
      </c>
      <c r="AL59" s="242" t="s">
        <v>2412</v>
      </c>
      <c r="AM59" s="242" t="s">
        <v>2413</v>
      </c>
      <c r="AN59" s="421" t="s">
        <v>2414</v>
      </c>
      <c r="AO59" s="421" t="s">
        <v>2415</v>
      </c>
      <c r="AP59" s="242" t="s">
        <v>1943</v>
      </c>
      <c r="AQ59" s="242" t="s">
        <v>2686</v>
      </c>
      <c r="AR59" s="242" t="s">
        <v>2686</v>
      </c>
      <c r="AS59" s="242" t="s">
        <v>2687</v>
      </c>
      <c r="AT59" s="797" t="s">
        <v>2419</v>
      </c>
      <c r="AU59" s="242" t="s">
        <v>3476</v>
      </c>
      <c r="AV59" s="193"/>
      <c r="AW59" s="191"/>
    </row>
    <row r="60" spans="1:49" ht="17">
      <c r="A60" s="395"/>
      <c r="B60" s="342" t="s">
        <v>753</v>
      </c>
      <c r="C60" s="213" t="s">
        <v>754</v>
      </c>
      <c r="D60" s="228" t="s">
        <v>3987</v>
      </c>
      <c r="E60" s="229">
        <v>4.7300000000000004</v>
      </c>
      <c r="F60" s="230" t="s">
        <v>755</v>
      </c>
      <c r="G60" s="231" t="s">
        <v>0</v>
      </c>
      <c r="H60" s="232" t="s">
        <v>4505</v>
      </c>
      <c r="I60" s="233">
        <v>97.04</v>
      </c>
      <c r="J60" s="234">
        <v>99.12</v>
      </c>
      <c r="K60" s="235">
        <v>1.2281</v>
      </c>
      <c r="L60" s="236">
        <v>98.27</v>
      </c>
      <c r="M60" s="234">
        <v>100.35</v>
      </c>
      <c r="N60" s="237">
        <v>2</v>
      </c>
      <c r="O60" s="233">
        <v>102.35</v>
      </c>
      <c r="P60" s="238">
        <v>5.3800000000000001E-2</v>
      </c>
      <c r="Q60" s="239">
        <v>4.9000000000000002E-2</v>
      </c>
      <c r="R60" s="239" t="s">
        <v>557</v>
      </c>
      <c r="S60" s="240" t="s">
        <v>1746</v>
      </c>
      <c r="T60" s="240"/>
      <c r="U60" s="240">
        <v>4.3200000000000002E-2</v>
      </c>
      <c r="V60" s="241">
        <v>3.3496000000000001</v>
      </c>
      <c r="W60" s="241"/>
      <c r="X60" s="240"/>
      <c r="Y60" s="402">
        <v>4.6539999999999998E-2</v>
      </c>
      <c r="Z60" s="403">
        <v>2</v>
      </c>
      <c r="AA60" s="404" t="s">
        <v>2688</v>
      </c>
      <c r="AB60" s="405" t="s">
        <v>2689</v>
      </c>
      <c r="AC60" s="406">
        <v>101.12</v>
      </c>
      <c r="AD60" s="406">
        <v>10</v>
      </c>
      <c r="AE60" s="402" t="s">
        <v>2410</v>
      </c>
      <c r="AF60" s="402" t="s">
        <v>2690</v>
      </c>
      <c r="AG60" s="402" t="s">
        <v>4031</v>
      </c>
      <c r="AH60" s="402" t="s">
        <v>162</v>
      </c>
      <c r="AI60" s="402" t="s">
        <v>190</v>
      </c>
      <c r="AJ60" s="407" t="s">
        <v>2691</v>
      </c>
      <c r="AK60" s="407" t="s">
        <v>2692</v>
      </c>
      <c r="AL60" s="407" t="s">
        <v>2693</v>
      </c>
      <c r="AM60" s="407" t="s">
        <v>2422</v>
      </c>
      <c r="AN60" s="420" t="s">
        <v>2414</v>
      </c>
      <c r="AO60" s="420" t="s">
        <v>2415</v>
      </c>
      <c r="AP60" s="407" t="s">
        <v>1943</v>
      </c>
      <c r="AQ60" s="407" t="s">
        <v>2694</v>
      </c>
      <c r="AR60" s="407" t="s">
        <v>2694</v>
      </c>
      <c r="AS60" s="407" t="s">
        <v>2695</v>
      </c>
      <c r="AT60" s="798" t="s">
        <v>2419</v>
      </c>
      <c r="AU60" s="798" t="s">
        <v>3480</v>
      </c>
      <c r="AV60" s="408"/>
      <c r="AW60" s="191"/>
    </row>
    <row r="61" spans="1:49" ht="17.149999999999999" customHeight="1">
      <c r="A61" s="395"/>
      <c r="B61" s="342" t="s">
        <v>756</v>
      </c>
      <c r="C61" s="213" t="s">
        <v>757</v>
      </c>
      <c r="D61" s="214" t="s">
        <v>574</v>
      </c>
      <c r="E61" s="215">
        <v>0.59</v>
      </c>
      <c r="F61" s="216" t="s">
        <v>758</v>
      </c>
      <c r="G61" s="217" t="s">
        <v>533</v>
      </c>
      <c r="H61" s="218" t="s">
        <v>4505</v>
      </c>
      <c r="I61" s="219">
        <v>98.67</v>
      </c>
      <c r="J61" s="220">
        <v>99.550000000000011</v>
      </c>
      <c r="K61" s="221">
        <v>1.4383999999999999</v>
      </c>
      <c r="L61" s="222">
        <v>100.11</v>
      </c>
      <c r="M61" s="220">
        <v>100.99</v>
      </c>
      <c r="N61" s="223">
        <v>0.2</v>
      </c>
      <c r="O61" s="219">
        <v>101.19</v>
      </c>
      <c r="P61" s="224">
        <v>4.2799999999999998E-2</v>
      </c>
      <c r="Q61" s="225">
        <v>3.9300000000000002E-2</v>
      </c>
      <c r="R61" s="225" t="s">
        <v>550</v>
      </c>
      <c r="S61" s="226" t="s">
        <v>1745</v>
      </c>
      <c r="T61" s="226"/>
      <c r="U61" s="226" t="s">
        <v>1767</v>
      </c>
      <c r="V61" s="227">
        <v>0.55369999999999997</v>
      </c>
      <c r="W61" s="227"/>
      <c r="X61" s="226"/>
      <c r="Y61" s="409">
        <v>3.5000000000000003E-2</v>
      </c>
      <c r="Z61" s="410">
        <v>2</v>
      </c>
      <c r="AA61" s="192" t="s">
        <v>2696</v>
      </c>
      <c r="AB61" s="411" t="s">
        <v>2697</v>
      </c>
      <c r="AC61" s="412">
        <v>99.750000000000014</v>
      </c>
      <c r="AD61" s="412">
        <v>2</v>
      </c>
      <c r="AE61" s="409" t="s">
        <v>2410</v>
      </c>
      <c r="AF61" s="409" t="s">
        <v>2698</v>
      </c>
      <c r="AG61" s="409" t="s">
        <v>3895</v>
      </c>
      <c r="AH61" s="409" t="s">
        <v>162</v>
      </c>
      <c r="AI61" s="409" t="s">
        <v>61</v>
      </c>
      <c r="AJ61" s="242" t="s">
        <v>3979</v>
      </c>
      <c r="AK61" s="242" t="s">
        <v>2419</v>
      </c>
      <c r="AL61" s="242" t="s">
        <v>2412</v>
      </c>
      <c r="AM61" s="242" t="s">
        <v>2419</v>
      </c>
      <c r="AN61" s="421" t="s">
        <v>2422</v>
      </c>
      <c r="AO61" s="421" t="s">
        <v>2415</v>
      </c>
      <c r="AP61" s="242" t="s">
        <v>1948</v>
      </c>
      <c r="AQ61" s="242" t="s">
        <v>2699</v>
      </c>
      <c r="AR61" s="242" t="s">
        <v>2699</v>
      </c>
      <c r="AS61" s="242" t="s">
        <v>2700</v>
      </c>
      <c r="AT61" s="797" t="s">
        <v>2419</v>
      </c>
      <c r="AU61" s="242" t="s">
        <v>3481</v>
      </c>
      <c r="AV61" s="193"/>
      <c r="AW61" s="191"/>
    </row>
    <row r="62" spans="1:49" ht="17">
      <c r="A62" s="395"/>
      <c r="B62" s="342" t="s">
        <v>759</v>
      </c>
      <c r="C62" s="213" t="s">
        <v>760</v>
      </c>
      <c r="D62" s="228" t="s">
        <v>761</v>
      </c>
      <c r="E62" s="229">
        <v>2.78</v>
      </c>
      <c r="F62" s="230" t="s">
        <v>762</v>
      </c>
      <c r="G62" s="231" t="s">
        <v>531</v>
      </c>
      <c r="H62" s="232" t="s">
        <v>4508</v>
      </c>
      <c r="I62" s="233">
        <v>98.34</v>
      </c>
      <c r="J62" s="234">
        <v>99.99</v>
      </c>
      <c r="K62" s="235">
        <v>0.97130000000000005</v>
      </c>
      <c r="L62" s="236">
        <v>99.31</v>
      </c>
      <c r="M62" s="234">
        <v>100.96</v>
      </c>
      <c r="N62" s="237">
        <v>1</v>
      </c>
      <c r="O62" s="233">
        <v>101.96</v>
      </c>
      <c r="P62" s="238">
        <v>4.4999999999999998E-2</v>
      </c>
      <c r="Q62" s="239">
        <v>4.1200000000000001E-2</v>
      </c>
      <c r="R62" s="239" t="s">
        <v>557</v>
      </c>
      <c r="S62" s="240" t="s">
        <v>1745</v>
      </c>
      <c r="T62" s="240"/>
      <c r="U62" s="240" t="s">
        <v>1767</v>
      </c>
      <c r="V62" s="241">
        <v>2.5653000000000001</v>
      </c>
      <c r="W62" s="241"/>
      <c r="X62" s="240"/>
      <c r="Y62" s="402">
        <v>4.4999999999999998E-2</v>
      </c>
      <c r="Z62" s="403">
        <v>2</v>
      </c>
      <c r="AA62" s="404" t="s">
        <v>2701</v>
      </c>
      <c r="AB62" s="405" t="s">
        <v>2702</v>
      </c>
      <c r="AC62" s="406">
        <v>100.99</v>
      </c>
      <c r="AD62" s="406">
        <v>6</v>
      </c>
      <c r="AE62" s="402" t="s">
        <v>2410</v>
      </c>
      <c r="AF62" s="402" t="s">
        <v>2527</v>
      </c>
      <c r="AG62" s="402" t="s">
        <v>4070</v>
      </c>
      <c r="AH62" s="402" t="s">
        <v>163</v>
      </c>
      <c r="AI62" s="402" t="s">
        <v>2703</v>
      </c>
      <c r="AJ62" s="407" t="s">
        <v>3888</v>
      </c>
      <c r="AK62" s="407" t="s">
        <v>2419</v>
      </c>
      <c r="AL62" s="407" t="s">
        <v>2412</v>
      </c>
      <c r="AM62" s="407" t="s">
        <v>2419</v>
      </c>
      <c r="AN62" s="420" t="s">
        <v>2414</v>
      </c>
      <c r="AO62" s="420" t="s">
        <v>2415</v>
      </c>
      <c r="AP62" s="407" t="s">
        <v>1948</v>
      </c>
      <c r="AQ62" s="407" t="s">
        <v>2432</v>
      </c>
      <c r="AR62" s="407" t="s">
        <v>2704</v>
      </c>
      <c r="AS62" s="407" t="s">
        <v>2705</v>
      </c>
      <c r="AT62" s="798">
        <v>9</v>
      </c>
      <c r="AU62" s="407" t="s">
        <v>3482</v>
      </c>
      <c r="AV62" s="408"/>
      <c r="AW62" s="191"/>
    </row>
    <row r="63" spans="1:49" ht="17.149999999999999" customHeight="1">
      <c r="A63" s="395"/>
      <c r="B63" s="342" t="s">
        <v>763</v>
      </c>
      <c r="C63" s="213" t="s">
        <v>764</v>
      </c>
      <c r="D63" s="214" t="s">
        <v>765</v>
      </c>
      <c r="E63" s="215">
        <v>3.83</v>
      </c>
      <c r="F63" s="216" t="s">
        <v>766</v>
      </c>
      <c r="G63" s="217" t="s">
        <v>0</v>
      </c>
      <c r="H63" s="218" t="s">
        <v>4505</v>
      </c>
      <c r="I63" s="219">
        <v>94.31</v>
      </c>
      <c r="J63" s="220">
        <v>95.33</v>
      </c>
      <c r="K63" s="221">
        <v>0.60150000000000003</v>
      </c>
      <c r="L63" s="222">
        <v>94.91</v>
      </c>
      <c r="M63" s="220">
        <v>95.93</v>
      </c>
      <c r="N63" s="223">
        <v>1.6</v>
      </c>
      <c r="O63" s="219">
        <v>97.53</v>
      </c>
      <c r="P63" s="224">
        <v>4.9000000000000002E-2</v>
      </c>
      <c r="Q63" s="225">
        <v>4.4299999999999999E-2</v>
      </c>
      <c r="R63" s="225" t="s">
        <v>557</v>
      </c>
      <c r="S63" s="226" t="s">
        <v>1745</v>
      </c>
      <c r="T63" s="226"/>
      <c r="U63" s="226">
        <v>4.4900000000000002E-2</v>
      </c>
      <c r="V63" s="227">
        <v>3.5055000000000001</v>
      </c>
      <c r="W63" s="227"/>
      <c r="X63" s="226"/>
      <c r="Y63" s="409">
        <v>3.5499999999999997E-2</v>
      </c>
      <c r="Z63" s="410">
        <v>2</v>
      </c>
      <c r="AA63" s="192" t="s">
        <v>1363</v>
      </c>
      <c r="AB63" s="411" t="s">
        <v>2706</v>
      </c>
      <c r="AC63" s="412">
        <v>96.929999999999993</v>
      </c>
      <c r="AD63" s="412">
        <v>8</v>
      </c>
      <c r="AE63" s="409" t="s">
        <v>2410</v>
      </c>
      <c r="AF63" s="409" t="s">
        <v>2707</v>
      </c>
      <c r="AG63" s="409" t="s">
        <v>4139</v>
      </c>
      <c r="AH63" s="409" t="s">
        <v>164</v>
      </c>
      <c r="AI63" s="409" t="s">
        <v>107</v>
      </c>
      <c r="AJ63" s="242" t="s">
        <v>2708</v>
      </c>
      <c r="AK63" s="242" t="s">
        <v>2709</v>
      </c>
      <c r="AL63" s="242" t="s">
        <v>2412</v>
      </c>
      <c r="AM63" s="242" t="s">
        <v>2413</v>
      </c>
      <c r="AN63" s="421" t="s">
        <v>2414</v>
      </c>
      <c r="AO63" s="421" t="s">
        <v>2415</v>
      </c>
      <c r="AP63" s="242" t="s">
        <v>1945</v>
      </c>
      <c r="AQ63" s="242" t="s">
        <v>2710</v>
      </c>
      <c r="AR63" s="242" t="s">
        <v>2710</v>
      </c>
      <c r="AS63" s="242" t="s">
        <v>2711</v>
      </c>
      <c r="AT63" s="797" t="s">
        <v>2419</v>
      </c>
      <c r="AU63" s="242" t="s">
        <v>3476</v>
      </c>
      <c r="AV63" s="193"/>
      <c r="AW63" s="191"/>
    </row>
    <row r="64" spans="1:49" ht="17">
      <c r="A64" s="395"/>
      <c r="B64" s="342" t="s">
        <v>770</v>
      </c>
      <c r="C64" s="213" t="s">
        <v>771</v>
      </c>
      <c r="D64" s="228" t="s">
        <v>548</v>
      </c>
      <c r="E64" s="229">
        <v>13.55</v>
      </c>
      <c r="F64" s="230" t="s">
        <v>772</v>
      </c>
      <c r="G64" s="231" t="s">
        <v>0</v>
      </c>
      <c r="H64" s="232" t="s">
        <v>4505</v>
      </c>
      <c r="I64" s="233">
        <v>83.2</v>
      </c>
      <c r="J64" s="234">
        <v>84.78</v>
      </c>
      <c r="K64" s="235">
        <v>1.7771999999999999</v>
      </c>
      <c r="L64" s="236">
        <v>84.98</v>
      </c>
      <c r="M64" s="234">
        <v>86.56</v>
      </c>
      <c r="N64" s="237">
        <v>2.5</v>
      </c>
      <c r="O64" s="233">
        <v>89.06</v>
      </c>
      <c r="P64" s="238">
        <v>5.5399999999999998E-2</v>
      </c>
      <c r="Q64" s="239">
        <v>5.2499999999999998E-2</v>
      </c>
      <c r="R64" s="239" t="s">
        <v>550</v>
      </c>
      <c r="S64" s="240" t="s">
        <v>1745</v>
      </c>
      <c r="T64" s="240"/>
      <c r="U64" s="240">
        <v>5.2900000000000003E-2</v>
      </c>
      <c r="V64" s="241">
        <v>9.8633000000000006</v>
      </c>
      <c r="W64" s="241"/>
      <c r="X64" s="240"/>
      <c r="Y64" s="402">
        <v>3.925E-2</v>
      </c>
      <c r="Z64" s="403">
        <v>2</v>
      </c>
      <c r="AA64" s="404" t="s">
        <v>1860</v>
      </c>
      <c r="AB64" s="405" t="s">
        <v>2713</v>
      </c>
      <c r="AC64" s="406">
        <v>87.28</v>
      </c>
      <c r="AD64" s="406">
        <v>28</v>
      </c>
      <c r="AE64" s="402" t="s">
        <v>2410</v>
      </c>
      <c r="AF64" s="402" t="s">
        <v>2437</v>
      </c>
      <c r="AG64" s="402" t="s">
        <v>3870</v>
      </c>
      <c r="AH64" s="402" t="s">
        <v>164</v>
      </c>
      <c r="AI64" s="402" t="s">
        <v>180</v>
      </c>
      <c r="AJ64" s="407" t="s">
        <v>3084</v>
      </c>
      <c r="AK64" s="407" t="s">
        <v>2714</v>
      </c>
      <c r="AL64" s="407" t="s">
        <v>2412</v>
      </c>
      <c r="AM64" s="407" t="s">
        <v>2413</v>
      </c>
      <c r="AN64" s="420" t="s">
        <v>2414</v>
      </c>
      <c r="AO64" s="420" t="s">
        <v>2415</v>
      </c>
      <c r="AP64" s="407" t="s">
        <v>1943</v>
      </c>
      <c r="AQ64" s="407" t="s">
        <v>2715</v>
      </c>
      <c r="AR64" s="407" t="s">
        <v>2715</v>
      </c>
      <c r="AS64" s="407" t="s">
        <v>2716</v>
      </c>
      <c r="AT64" s="798" t="s">
        <v>2419</v>
      </c>
      <c r="AU64" s="798" t="s">
        <v>3476</v>
      </c>
      <c r="AV64" s="408"/>
      <c r="AW64" s="191"/>
    </row>
    <row r="65" spans="1:49" ht="17.149999999999999" customHeight="1">
      <c r="A65" s="395"/>
      <c r="B65" s="342" t="s">
        <v>773</v>
      </c>
      <c r="C65" s="213" t="s">
        <v>774</v>
      </c>
      <c r="D65" s="214" t="s">
        <v>628</v>
      </c>
      <c r="E65" s="215">
        <v>2.66</v>
      </c>
      <c r="F65" s="216" t="s">
        <v>125</v>
      </c>
      <c r="G65" s="217" t="s">
        <v>0</v>
      </c>
      <c r="H65" s="218" t="s">
        <v>4505</v>
      </c>
      <c r="I65" s="219">
        <v>97.21</v>
      </c>
      <c r="J65" s="220">
        <v>98.23</v>
      </c>
      <c r="K65" s="221">
        <v>1.4285000000000001</v>
      </c>
      <c r="L65" s="222">
        <v>98.64</v>
      </c>
      <c r="M65" s="220">
        <v>99.66</v>
      </c>
      <c r="N65" s="223">
        <v>1.2</v>
      </c>
      <c r="O65" s="219">
        <v>100.86</v>
      </c>
      <c r="P65" s="224">
        <v>4.9700000000000001E-2</v>
      </c>
      <c r="Q65" s="225">
        <v>4.48E-2</v>
      </c>
      <c r="R65" s="225" t="s">
        <v>557</v>
      </c>
      <c r="S65" s="226" t="s">
        <v>1745</v>
      </c>
      <c r="T65" s="226"/>
      <c r="U65" s="226">
        <v>4.4999999999999998E-2</v>
      </c>
      <c r="V65" s="227">
        <v>2.4512999999999998</v>
      </c>
      <c r="W65" s="227"/>
      <c r="X65" s="226"/>
      <c r="Y65" s="409">
        <v>4.2500000000000003E-2</v>
      </c>
      <c r="Z65" s="410">
        <v>2</v>
      </c>
      <c r="AA65" s="192" t="s">
        <v>1410</v>
      </c>
      <c r="AB65" s="411" t="s">
        <v>2717</v>
      </c>
      <c r="AC65" s="412">
        <v>99.43</v>
      </c>
      <c r="AD65" s="412">
        <v>6</v>
      </c>
      <c r="AE65" s="409" t="s">
        <v>2410</v>
      </c>
      <c r="AF65" s="409" t="s">
        <v>2469</v>
      </c>
      <c r="AG65" s="409" t="s">
        <v>3972</v>
      </c>
      <c r="AH65" s="409" t="s">
        <v>164</v>
      </c>
      <c r="AI65" s="409" t="s">
        <v>50</v>
      </c>
      <c r="AJ65" s="242" t="s">
        <v>2522</v>
      </c>
      <c r="AK65" s="242" t="s">
        <v>2718</v>
      </c>
      <c r="AL65" s="242" t="s">
        <v>2412</v>
      </c>
      <c r="AM65" s="242" t="s">
        <v>2413</v>
      </c>
      <c r="AN65" s="421" t="s">
        <v>2414</v>
      </c>
      <c r="AO65" s="421" t="s">
        <v>2415</v>
      </c>
      <c r="AP65" s="242" t="s">
        <v>1945</v>
      </c>
      <c r="AQ65" s="242" t="s">
        <v>2719</v>
      </c>
      <c r="AR65" s="242" t="s">
        <v>2719</v>
      </c>
      <c r="AS65" s="242" t="s">
        <v>2720</v>
      </c>
      <c r="AT65" s="797" t="s">
        <v>2419</v>
      </c>
      <c r="AU65" s="242" t="s">
        <v>3476</v>
      </c>
      <c r="AV65" s="193"/>
      <c r="AW65" s="191"/>
    </row>
    <row r="66" spans="1:49" ht="17">
      <c r="A66" s="395"/>
      <c r="B66" s="342" t="s">
        <v>775</v>
      </c>
      <c r="C66" s="213" t="s">
        <v>776</v>
      </c>
      <c r="D66" s="228" t="s">
        <v>556</v>
      </c>
      <c r="E66" s="229">
        <v>1.86</v>
      </c>
      <c r="F66" s="230" t="s">
        <v>88</v>
      </c>
      <c r="G66" s="231" t="s">
        <v>0</v>
      </c>
      <c r="H66" s="232" t="s">
        <v>4505</v>
      </c>
      <c r="I66" s="233">
        <v>98.35</v>
      </c>
      <c r="J66" s="234">
        <v>99.21</v>
      </c>
      <c r="K66" s="235">
        <v>0.72219999999999995</v>
      </c>
      <c r="L66" s="236">
        <v>99.07</v>
      </c>
      <c r="M66" s="234">
        <v>99.93</v>
      </c>
      <c r="N66" s="237">
        <v>0.8</v>
      </c>
      <c r="O66" s="233">
        <v>100.73</v>
      </c>
      <c r="P66" s="238">
        <v>5.6500000000000002E-2</v>
      </c>
      <c r="Q66" s="239">
        <v>5.1900000000000002E-2</v>
      </c>
      <c r="R66" s="239" t="s">
        <v>550</v>
      </c>
      <c r="S66" s="240" t="s">
        <v>1745</v>
      </c>
      <c r="T66" s="240"/>
      <c r="U66" s="240" t="s">
        <v>1767</v>
      </c>
      <c r="V66" s="241">
        <v>1.7378</v>
      </c>
      <c r="W66" s="241"/>
      <c r="X66" s="240"/>
      <c r="Y66" s="402">
        <v>5.2000000000000005E-2</v>
      </c>
      <c r="Z66" s="403">
        <v>2</v>
      </c>
      <c r="AA66" s="404" t="s">
        <v>1399</v>
      </c>
      <c r="AB66" s="405" t="s">
        <v>2721</v>
      </c>
      <c r="AC66" s="406">
        <v>100.00999999999999</v>
      </c>
      <c r="AD66" s="406">
        <v>4</v>
      </c>
      <c r="AE66" s="402" t="s">
        <v>2410</v>
      </c>
      <c r="AF66" s="402" t="s">
        <v>2722</v>
      </c>
      <c r="AG66" s="402" t="s">
        <v>4327</v>
      </c>
      <c r="AH66" s="402" t="s">
        <v>162</v>
      </c>
      <c r="AI66" s="402" t="s">
        <v>42</v>
      </c>
      <c r="AJ66" s="407" t="s">
        <v>2431</v>
      </c>
      <c r="AK66" s="407" t="s">
        <v>2419</v>
      </c>
      <c r="AL66" s="407" t="s">
        <v>2412</v>
      </c>
      <c r="AM66" s="407" t="s">
        <v>2419</v>
      </c>
      <c r="AN66" s="420" t="s">
        <v>2422</v>
      </c>
      <c r="AO66" s="420" t="s">
        <v>2423</v>
      </c>
      <c r="AP66" s="407" t="s">
        <v>1945</v>
      </c>
      <c r="AQ66" s="407" t="s">
        <v>2723</v>
      </c>
      <c r="AR66" s="407" t="s">
        <v>2723</v>
      </c>
      <c r="AS66" s="407" t="s">
        <v>2724</v>
      </c>
      <c r="AT66" s="798" t="s">
        <v>2419</v>
      </c>
      <c r="AU66" s="407" t="s">
        <v>3476</v>
      </c>
      <c r="AV66" s="408"/>
      <c r="AW66" s="191"/>
    </row>
    <row r="67" spans="1:49" ht="17.149999999999999" customHeight="1">
      <c r="A67" s="395"/>
      <c r="B67" s="342" t="s">
        <v>777</v>
      </c>
      <c r="C67" s="213" t="s">
        <v>778</v>
      </c>
      <c r="D67" s="214" t="s">
        <v>3466</v>
      </c>
      <c r="E67" s="215">
        <v>1.91</v>
      </c>
      <c r="F67" s="216" t="s">
        <v>779</v>
      </c>
      <c r="G67" s="217" t="s">
        <v>0</v>
      </c>
      <c r="H67" s="218" t="s">
        <v>4505</v>
      </c>
      <c r="I67" s="219">
        <v>97.59</v>
      </c>
      <c r="J67" s="220">
        <v>98.81</v>
      </c>
      <c r="K67" s="221">
        <v>0.44440000000000002</v>
      </c>
      <c r="L67" s="222">
        <v>98.03</v>
      </c>
      <c r="M67" s="220">
        <v>99.25</v>
      </c>
      <c r="N67" s="223">
        <v>2</v>
      </c>
      <c r="O67" s="219">
        <v>101.25</v>
      </c>
      <c r="P67" s="224">
        <v>5.6599999999999998E-2</v>
      </c>
      <c r="Q67" s="225">
        <v>4.5499999999999999E-2</v>
      </c>
      <c r="R67" s="225" t="s">
        <v>557</v>
      </c>
      <c r="S67" s="226" t="s">
        <v>1745</v>
      </c>
      <c r="T67" s="226"/>
      <c r="U67" s="226">
        <v>-4.99E-2</v>
      </c>
      <c r="V67" s="227">
        <v>1.7917000000000001</v>
      </c>
      <c r="W67" s="227"/>
      <c r="X67" s="226"/>
      <c r="Y67" s="409">
        <v>0.05</v>
      </c>
      <c r="Z67" s="410">
        <v>2</v>
      </c>
      <c r="AA67" s="192" t="s">
        <v>1455</v>
      </c>
      <c r="AB67" s="411" t="s">
        <v>2725</v>
      </c>
      <c r="AC67" s="412">
        <v>100.81</v>
      </c>
      <c r="AD67" s="412">
        <v>4</v>
      </c>
      <c r="AE67" s="409" t="s">
        <v>2410</v>
      </c>
      <c r="AF67" s="409" t="s">
        <v>3464</v>
      </c>
      <c r="AG67" s="409" t="s">
        <v>4406</v>
      </c>
      <c r="AH67" s="409" t="s">
        <v>170</v>
      </c>
      <c r="AI67" s="409" t="s">
        <v>229</v>
      </c>
      <c r="AJ67" s="242" t="s">
        <v>2726</v>
      </c>
      <c r="AK67" s="242" t="s">
        <v>3890</v>
      </c>
      <c r="AL67" s="242" t="s">
        <v>2412</v>
      </c>
      <c r="AM67" s="242" t="s">
        <v>2413</v>
      </c>
      <c r="AN67" s="421" t="s">
        <v>2414</v>
      </c>
      <c r="AO67" s="421" t="s">
        <v>2415</v>
      </c>
      <c r="AP67" s="242" t="s">
        <v>1945</v>
      </c>
      <c r="AQ67" s="242" t="s">
        <v>2727</v>
      </c>
      <c r="AR67" s="242" t="s">
        <v>2727</v>
      </c>
      <c r="AS67" s="242" t="s">
        <v>2728</v>
      </c>
      <c r="AT67" s="797" t="s">
        <v>2419</v>
      </c>
      <c r="AU67" s="242" t="s">
        <v>3476</v>
      </c>
      <c r="AV67" s="193"/>
      <c r="AW67" s="191"/>
    </row>
    <row r="68" spans="1:49" ht="17">
      <c r="A68" s="395"/>
      <c r="B68" s="342" t="s">
        <v>780</v>
      </c>
      <c r="C68" s="213" t="s">
        <v>781</v>
      </c>
      <c r="D68" s="214" t="s">
        <v>722</v>
      </c>
      <c r="E68" s="215">
        <v>2.75</v>
      </c>
      <c r="F68" s="216" t="s">
        <v>782</v>
      </c>
      <c r="G68" s="217" t="s">
        <v>0</v>
      </c>
      <c r="H68" s="218" t="s">
        <v>4505</v>
      </c>
      <c r="I68" s="219">
        <v>95.51</v>
      </c>
      <c r="J68" s="220">
        <v>96.54</v>
      </c>
      <c r="K68" s="221">
        <v>0.83420000000000005</v>
      </c>
      <c r="L68" s="222">
        <v>96.34</v>
      </c>
      <c r="M68" s="220">
        <v>97.37</v>
      </c>
      <c r="N68" s="223">
        <v>1.2</v>
      </c>
      <c r="O68" s="219">
        <v>98.570000000000007</v>
      </c>
      <c r="P68" s="224">
        <v>4.65E-2</v>
      </c>
      <c r="Q68" s="225">
        <v>4.1799999999999997E-2</v>
      </c>
      <c r="R68" s="225" t="s">
        <v>557</v>
      </c>
      <c r="S68" s="226" t="s">
        <v>1745</v>
      </c>
      <c r="T68" s="226"/>
      <c r="U68" s="226">
        <v>4.2599999999999999E-2</v>
      </c>
      <c r="V68" s="227">
        <v>2.5676999999999999</v>
      </c>
      <c r="W68" s="227"/>
      <c r="X68" s="226"/>
      <c r="Y68" s="409">
        <v>3.3000000000000002E-2</v>
      </c>
      <c r="Z68" s="410">
        <v>2</v>
      </c>
      <c r="AA68" s="192" t="s">
        <v>1456</v>
      </c>
      <c r="AB68" s="411" t="s">
        <v>2729</v>
      </c>
      <c r="AC68" s="412">
        <v>97.740000000000009</v>
      </c>
      <c r="AD68" s="412">
        <v>6</v>
      </c>
      <c r="AE68" s="409" t="s">
        <v>2410</v>
      </c>
      <c r="AF68" s="409" t="s">
        <v>2730</v>
      </c>
      <c r="AG68" s="409" t="s">
        <v>4032</v>
      </c>
      <c r="AH68" s="409" t="s">
        <v>165</v>
      </c>
      <c r="AI68" s="409" t="s">
        <v>195</v>
      </c>
      <c r="AJ68" s="242" t="s">
        <v>4016</v>
      </c>
      <c r="AK68" s="242" t="s">
        <v>2731</v>
      </c>
      <c r="AL68" s="242" t="s">
        <v>2412</v>
      </c>
      <c r="AM68" s="242" t="s">
        <v>2413</v>
      </c>
      <c r="AN68" s="421" t="s">
        <v>2414</v>
      </c>
      <c r="AO68" s="421" t="s">
        <v>2415</v>
      </c>
      <c r="AP68" s="242" t="s">
        <v>1945</v>
      </c>
      <c r="AQ68" s="242" t="s">
        <v>2732</v>
      </c>
      <c r="AR68" s="242" t="s">
        <v>2732</v>
      </c>
      <c r="AS68" s="242" t="s">
        <v>2733</v>
      </c>
      <c r="AT68" s="797" t="s">
        <v>2419</v>
      </c>
      <c r="AU68" s="242" t="s">
        <v>3476</v>
      </c>
      <c r="AV68" s="193"/>
      <c r="AW68" s="191"/>
    </row>
    <row r="69" spans="1:49" ht="17.149999999999999" customHeight="1">
      <c r="A69" s="395"/>
      <c r="B69" s="342" t="s">
        <v>785</v>
      </c>
      <c r="C69" s="213" t="s">
        <v>786</v>
      </c>
      <c r="D69" s="228" t="s">
        <v>645</v>
      </c>
      <c r="E69" s="229">
        <v>3.78</v>
      </c>
      <c r="F69" s="230" t="s">
        <v>788</v>
      </c>
      <c r="G69" s="231" t="s">
        <v>0</v>
      </c>
      <c r="H69" s="232" t="s">
        <v>4505</v>
      </c>
      <c r="I69" s="233">
        <v>96.73</v>
      </c>
      <c r="J69" s="234">
        <v>97.65</v>
      </c>
      <c r="K69" s="235">
        <v>0.87780000000000002</v>
      </c>
      <c r="L69" s="236">
        <v>97.61</v>
      </c>
      <c r="M69" s="234">
        <v>98.53</v>
      </c>
      <c r="N69" s="237">
        <v>1.6</v>
      </c>
      <c r="O69" s="233">
        <v>100.13</v>
      </c>
      <c r="P69" s="238">
        <v>4.6800000000000001E-2</v>
      </c>
      <c r="Q69" s="239">
        <v>4.2200000000000001E-2</v>
      </c>
      <c r="R69" s="239" t="s">
        <v>557</v>
      </c>
      <c r="S69" s="240" t="s">
        <v>1745</v>
      </c>
      <c r="T69" s="240"/>
      <c r="U69" s="240">
        <v>4.2299999999999997E-2</v>
      </c>
      <c r="V69" s="241">
        <v>3.4356</v>
      </c>
      <c r="W69" s="241"/>
      <c r="X69" s="240"/>
      <c r="Y69" s="402">
        <v>0.04</v>
      </c>
      <c r="Z69" s="403">
        <v>2</v>
      </c>
      <c r="AA69" s="404" t="s">
        <v>1422</v>
      </c>
      <c r="AB69" s="405" t="s">
        <v>2734</v>
      </c>
      <c r="AC69" s="406">
        <v>99.25</v>
      </c>
      <c r="AD69" s="406">
        <v>8</v>
      </c>
      <c r="AE69" s="402" t="s">
        <v>2410</v>
      </c>
      <c r="AF69" s="402" t="s">
        <v>2735</v>
      </c>
      <c r="AG69" s="402" t="s">
        <v>4072</v>
      </c>
      <c r="AH69" s="402" t="s">
        <v>166</v>
      </c>
      <c r="AI69" s="402" t="s">
        <v>100</v>
      </c>
      <c r="AJ69" s="407" t="s">
        <v>3864</v>
      </c>
      <c r="AK69" s="407" t="s">
        <v>2736</v>
      </c>
      <c r="AL69" s="407" t="s">
        <v>2412</v>
      </c>
      <c r="AM69" s="407" t="s">
        <v>2413</v>
      </c>
      <c r="AN69" s="420" t="s">
        <v>2414</v>
      </c>
      <c r="AO69" s="420" t="s">
        <v>2415</v>
      </c>
      <c r="AP69" s="407" t="s">
        <v>1945</v>
      </c>
      <c r="AQ69" s="407" t="s">
        <v>2737</v>
      </c>
      <c r="AR69" s="407" t="s">
        <v>2737</v>
      </c>
      <c r="AS69" s="407" t="s">
        <v>2738</v>
      </c>
      <c r="AT69" s="798" t="s">
        <v>2419</v>
      </c>
      <c r="AU69" s="407" t="s">
        <v>3476</v>
      </c>
      <c r="AV69" s="408"/>
      <c r="AW69" s="191"/>
    </row>
    <row r="70" spans="1:49" ht="17">
      <c r="A70" s="395"/>
      <c r="B70" s="342" t="s">
        <v>789</v>
      </c>
      <c r="C70" s="213" t="s">
        <v>790</v>
      </c>
      <c r="D70" s="214" t="s">
        <v>1169</v>
      </c>
      <c r="E70" s="215">
        <v>1.86</v>
      </c>
      <c r="F70" s="216" t="s">
        <v>792</v>
      </c>
      <c r="G70" s="217" t="s">
        <v>0</v>
      </c>
      <c r="H70" s="218" t="s">
        <v>4505</v>
      </c>
      <c r="I70" s="219">
        <v>96.11</v>
      </c>
      <c r="J70" s="220">
        <v>96.940000000000012</v>
      </c>
      <c r="K70" s="221">
        <v>0.42670000000000002</v>
      </c>
      <c r="L70" s="222">
        <v>96.54</v>
      </c>
      <c r="M70" s="220">
        <v>97.37</v>
      </c>
      <c r="N70" s="223">
        <v>0.8</v>
      </c>
      <c r="O70" s="219">
        <v>98.17</v>
      </c>
      <c r="P70" s="224">
        <v>4.9299999999999997E-2</v>
      </c>
      <c r="Q70" s="225">
        <v>4.4699999999999997E-2</v>
      </c>
      <c r="R70" s="225" t="s">
        <v>557</v>
      </c>
      <c r="S70" s="226" t="s">
        <v>1745</v>
      </c>
      <c r="T70" s="226"/>
      <c r="U70" s="226">
        <v>4.6699999999999998E-2</v>
      </c>
      <c r="V70" s="227">
        <v>1.7762</v>
      </c>
      <c r="W70" s="227"/>
      <c r="X70" s="226"/>
      <c r="Y70" s="409">
        <v>3.2000000000000001E-2</v>
      </c>
      <c r="Z70" s="410">
        <v>2</v>
      </c>
      <c r="AA70" s="192" t="s">
        <v>1421</v>
      </c>
      <c r="AB70" s="411" t="s">
        <v>2739</v>
      </c>
      <c r="AC70" s="412">
        <v>97.740000000000009</v>
      </c>
      <c r="AD70" s="412">
        <v>4</v>
      </c>
      <c r="AE70" s="409" t="s">
        <v>2410</v>
      </c>
      <c r="AF70" s="409" t="s">
        <v>2740</v>
      </c>
      <c r="AG70" s="409" t="s">
        <v>4340</v>
      </c>
      <c r="AH70" s="409" t="s">
        <v>167</v>
      </c>
      <c r="AI70" s="409" t="s">
        <v>83</v>
      </c>
      <c r="AJ70" s="242" t="s">
        <v>2741</v>
      </c>
      <c r="AK70" s="242" t="s">
        <v>2742</v>
      </c>
      <c r="AL70" s="242" t="s">
        <v>2412</v>
      </c>
      <c r="AM70" s="242" t="s">
        <v>2413</v>
      </c>
      <c r="AN70" s="421" t="s">
        <v>2414</v>
      </c>
      <c r="AO70" s="421" t="s">
        <v>2415</v>
      </c>
      <c r="AP70" s="242" t="s">
        <v>1945</v>
      </c>
      <c r="AQ70" s="242" t="s">
        <v>2723</v>
      </c>
      <c r="AR70" s="242" t="s">
        <v>2723</v>
      </c>
      <c r="AS70" s="242" t="s">
        <v>2743</v>
      </c>
      <c r="AT70" s="797" t="s">
        <v>2419</v>
      </c>
      <c r="AU70" s="242" t="s">
        <v>3476</v>
      </c>
      <c r="AV70" s="193"/>
      <c r="AW70" s="191"/>
    </row>
    <row r="71" spans="1:49" ht="17.149999999999999" customHeight="1">
      <c r="A71" s="395"/>
      <c r="B71" s="342" t="s">
        <v>794</v>
      </c>
      <c r="C71" s="213" t="s">
        <v>795</v>
      </c>
      <c r="D71" s="228" t="s">
        <v>2163</v>
      </c>
      <c r="E71" s="229">
        <v>3.52</v>
      </c>
      <c r="F71" s="230" t="s">
        <v>270</v>
      </c>
      <c r="G71" s="231" t="s">
        <v>0</v>
      </c>
      <c r="H71" s="232" t="s">
        <v>4505</v>
      </c>
      <c r="I71" s="233">
        <v>95.29</v>
      </c>
      <c r="J71" s="234">
        <v>96.73</v>
      </c>
      <c r="K71" s="235">
        <v>2.0720999999999998</v>
      </c>
      <c r="L71" s="236">
        <v>97.36</v>
      </c>
      <c r="M71" s="234">
        <v>98.8</v>
      </c>
      <c r="N71" s="237">
        <v>1.5</v>
      </c>
      <c r="O71" s="233">
        <v>100.3</v>
      </c>
      <c r="P71" s="238">
        <v>5.3699999999999998E-2</v>
      </c>
      <c r="Q71" s="239">
        <v>4.8899999999999999E-2</v>
      </c>
      <c r="R71" s="239" t="s">
        <v>550</v>
      </c>
      <c r="S71" s="240" t="s">
        <v>1745</v>
      </c>
      <c r="T71" s="240"/>
      <c r="U71" s="240">
        <v>5.0900000000000001E-2</v>
      </c>
      <c r="V71" s="241">
        <v>3.1496</v>
      </c>
      <c r="W71" s="241"/>
      <c r="X71" s="240"/>
      <c r="Y71" s="402">
        <v>4.3369999999999999E-2</v>
      </c>
      <c r="Z71" s="403">
        <v>2</v>
      </c>
      <c r="AA71" s="404" t="s">
        <v>1399</v>
      </c>
      <c r="AB71" s="405" t="s">
        <v>2745</v>
      </c>
      <c r="AC71" s="406">
        <v>98.23</v>
      </c>
      <c r="AD71" s="406">
        <v>8</v>
      </c>
      <c r="AE71" s="402" t="s">
        <v>2410</v>
      </c>
      <c r="AF71" s="402" t="s">
        <v>2746</v>
      </c>
      <c r="AG71" s="402" t="s">
        <v>3854</v>
      </c>
      <c r="AH71" s="402" t="s">
        <v>162</v>
      </c>
      <c r="AI71" s="402" t="s">
        <v>42</v>
      </c>
      <c r="AJ71" s="407" t="s">
        <v>2431</v>
      </c>
      <c r="AK71" s="407" t="s">
        <v>2747</v>
      </c>
      <c r="AL71" s="407" t="s">
        <v>2412</v>
      </c>
      <c r="AM71" s="407" t="s">
        <v>2422</v>
      </c>
      <c r="AN71" s="420" t="s">
        <v>2422</v>
      </c>
      <c r="AO71" s="420" t="s">
        <v>2415</v>
      </c>
      <c r="AP71" s="407" t="s">
        <v>1945</v>
      </c>
      <c r="AQ71" s="407" t="s">
        <v>2748</v>
      </c>
      <c r="AR71" s="407" t="s">
        <v>2748</v>
      </c>
      <c r="AS71" s="407" t="s">
        <v>2749</v>
      </c>
      <c r="AT71" s="798" t="s">
        <v>2419</v>
      </c>
      <c r="AU71" s="407" t="s">
        <v>3476</v>
      </c>
      <c r="AV71" s="408"/>
      <c r="AW71" s="191"/>
    </row>
    <row r="72" spans="1:49" ht="17">
      <c r="A72" s="395"/>
      <c r="B72" s="342" t="s">
        <v>796</v>
      </c>
      <c r="C72" s="213" t="s">
        <v>797</v>
      </c>
      <c r="D72" s="214" t="s">
        <v>2407</v>
      </c>
      <c r="E72" s="215">
        <v>1.62</v>
      </c>
      <c r="F72" s="216" t="s">
        <v>798</v>
      </c>
      <c r="G72" s="217" t="s">
        <v>0</v>
      </c>
      <c r="H72" s="218" t="s">
        <v>4505</v>
      </c>
      <c r="I72" s="219">
        <v>97.44</v>
      </c>
      <c r="J72" s="220">
        <v>98.29</v>
      </c>
      <c r="K72" s="221">
        <v>1.8076000000000001</v>
      </c>
      <c r="L72" s="222">
        <v>99.25</v>
      </c>
      <c r="M72" s="220">
        <v>100.1</v>
      </c>
      <c r="N72" s="223">
        <v>2</v>
      </c>
      <c r="O72" s="219">
        <v>102.1</v>
      </c>
      <c r="P72" s="224">
        <v>5.8700000000000002E-2</v>
      </c>
      <c r="Q72" s="225">
        <v>4.5600000000000002E-2</v>
      </c>
      <c r="R72" s="225" t="s">
        <v>557</v>
      </c>
      <c r="S72" s="226" t="s">
        <v>1745</v>
      </c>
      <c r="T72" s="226"/>
      <c r="U72" s="226">
        <v>4.53E-2</v>
      </c>
      <c r="V72" s="227">
        <v>1.5101</v>
      </c>
      <c r="W72" s="227"/>
      <c r="X72" s="226"/>
      <c r="Y72" s="409">
        <v>4.7500000000000001E-2</v>
      </c>
      <c r="Z72" s="410">
        <v>2</v>
      </c>
      <c r="AA72" s="192" t="s">
        <v>1458</v>
      </c>
      <c r="AB72" s="411" t="s">
        <v>2750</v>
      </c>
      <c r="AC72" s="412">
        <v>100.29</v>
      </c>
      <c r="AD72" s="412">
        <v>4</v>
      </c>
      <c r="AE72" s="409" t="s">
        <v>2410</v>
      </c>
      <c r="AF72" s="409" t="s">
        <v>2534</v>
      </c>
      <c r="AG72" s="409" t="s">
        <v>3909</v>
      </c>
      <c r="AH72" s="409" t="s">
        <v>165</v>
      </c>
      <c r="AI72" s="409" t="s">
        <v>194</v>
      </c>
      <c r="AJ72" s="242" t="s">
        <v>2751</v>
      </c>
      <c r="AK72" s="242" t="s">
        <v>2752</v>
      </c>
      <c r="AL72" s="242" t="s">
        <v>2412</v>
      </c>
      <c r="AM72" s="242" t="s">
        <v>2413</v>
      </c>
      <c r="AN72" s="421" t="s">
        <v>2414</v>
      </c>
      <c r="AO72" s="421" t="s">
        <v>2415</v>
      </c>
      <c r="AP72" s="242" t="s">
        <v>1945</v>
      </c>
      <c r="AQ72" s="242" t="s">
        <v>2753</v>
      </c>
      <c r="AR72" s="242" t="s">
        <v>2753</v>
      </c>
      <c r="AS72" s="242" t="s">
        <v>2754</v>
      </c>
      <c r="AT72" s="797" t="s">
        <v>2419</v>
      </c>
      <c r="AU72" s="242" t="s">
        <v>3476</v>
      </c>
      <c r="AV72" s="193"/>
      <c r="AW72" s="191"/>
    </row>
    <row r="73" spans="1:49" ht="17.149999999999999" customHeight="1">
      <c r="A73" s="395"/>
      <c r="B73" s="342" t="s">
        <v>799</v>
      </c>
      <c r="C73" s="213" t="s">
        <v>800</v>
      </c>
      <c r="D73" s="228" t="s">
        <v>649</v>
      </c>
      <c r="E73" s="229">
        <v>4.6900000000000004</v>
      </c>
      <c r="F73" s="230" t="s">
        <v>801</v>
      </c>
      <c r="G73" s="231" t="s">
        <v>0</v>
      </c>
      <c r="H73" s="232" t="s">
        <v>4508</v>
      </c>
      <c r="I73" s="233">
        <v>95.53</v>
      </c>
      <c r="J73" s="234">
        <v>97.29</v>
      </c>
      <c r="K73" s="235">
        <v>1.3104</v>
      </c>
      <c r="L73" s="236">
        <v>96.84</v>
      </c>
      <c r="M73" s="234">
        <v>98.6</v>
      </c>
      <c r="N73" s="237">
        <v>2</v>
      </c>
      <c r="O73" s="233">
        <v>100.6</v>
      </c>
      <c r="P73" s="238">
        <v>4.9000000000000002E-2</v>
      </c>
      <c r="Q73" s="239">
        <v>4.4200000000000003E-2</v>
      </c>
      <c r="R73" s="239" t="s">
        <v>550</v>
      </c>
      <c r="S73" s="240" t="s">
        <v>1746</v>
      </c>
      <c r="T73" s="240"/>
      <c r="U73" s="240" t="s">
        <v>1767</v>
      </c>
      <c r="V73" s="241">
        <v>4.1418999999999997</v>
      </c>
      <c r="W73" s="241"/>
      <c r="X73" s="240"/>
      <c r="Y73" s="402">
        <v>4.2500000000000003E-2</v>
      </c>
      <c r="Z73" s="403">
        <v>2</v>
      </c>
      <c r="AA73" s="404" t="s">
        <v>1459</v>
      </c>
      <c r="AB73" s="405" t="s">
        <v>2755</v>
      </c>
      <c r="AC73" s="406">
        <v>99.29</v>
      </c>
      <c r="AD73" s="406">
        <v>10</v>
      </c>
      <c r="AE73" s="402" t="s">
        <v>2410</v>
      </c>
      <c r="AF73" s="402" t="s">
        <v>2756</v>
      </c>
      <c r="AG73" s="402" t="s">
        <v>3990</v>
      </c>
      <c r="AH73" s="402" t="s">
        <v>171</v>
      </c>
      <c r="AI73" s="402" t="s">
        <v>102</v>
      </c>
      <c r="AJ73" s="407" t="s">
        <v>3974</v>
      </c>
      <c r="AK73" s="407" t="s">
        <v>2419</v>
      </c>
      <c r="AL73" s="407" t="s">
        <v>2412</v>
      </c>
      <c r="AM73" s="407" t="s">
        <v>2419</v>
      </c>
      <c r="AN73" s="420" t="s">
        <v>2414</v>
      </c>
      <c r="AO73" s="420" t="s">
        <v>2415</v>
      </c>
      <c r="AP73" s="407" t="s">
        <v>1943</v>
      </c>
      <c r="AQ73" s="407" t="s">
        <v>2757</v>
      </c>
      <c r="AR73" s="407" t="s">
        <v>2757</v>
      </c>
      <c r="AS73" s="407" t="s">
        <v>2758</v>
      </c>
      <c r="AT73" s="798" t="s">
        <v>2419</v>
      </c>
      <c r="AU73" s="407" t="s">
        <v>3476</v>
      </c>
      <c r="AV73" s="408"/>
      <c r="AW73" s="191"/>
    </row>
    <row r="74" spans="1:49" ht="17">
      <c r="A74" s="395"/>
      <c r="B74" s="342" t="s">
        <v>802</v>
      </c>
      <c r="C74" s="213" t="s">
        <v>803</v>
      </c>
      <c r="D74" s="214" t="s">
        <v>592</v>
      </c>
      <c r="E74" s="215">
        <v>4.45</v>
      </c>
      <c r="F74" s="216" t="s">
        <v>804</v>
      </c>
      <c r="G74" s="217" t="s">
        <v>0</v>
      </c>
      <c r="H74" s="218" t="s">
        <v>4505</v>
      </c>
      <c r="I74" s="219">
        <v>94.03</v>
      </c>
      <c r="J74" s="220">
        <v>95.27000000000001</v>
      </c>
      <c r="K74" s="221">
        <v>0.20660000000000001</v>
      </c>
      <c r="L74" s="222">
        <v>94.24</v>
      </c>
      <c r="M74" s="220">
        <v>95.48</v>
      </c>
      <c r="N74" s="223">
        <v>1.5</v>
      </c>
      <c r="O74" s="219">
        <v>96.98</v>
      </c>
      <c r="P74" s="224">
        <v>5.5899999999999998E-2</v>
      </c>
      <c r="Q74" s="225">
        <v>5.1999999999999998E-2</v>
      </c>
      <c r="R74" s="225" t="s">
        <v>550</v>
      </c>
      <c r="S74" s="226" t="s">
        <v>1745</v>
      </c>
      <c r="T74" s="226"/>
      <c r="U74" s="226">
        <v>5.2400000000000002E-2</v>
      </c>
      <c r="V74" s="227">
        <v>3.9676999999999998</v>
      </c>
      <c r="W74" s="227"/>
      <c r="X74" s="226"/>
      <c r="Y74" s="409">
        <v>4.3749999999999997E-2</v>
      </c>
      <c r="Z74" s="410">
        <v>2</v>
      </c>
      <c r="AA74" s="192" t="s">
        <v>1416</v>
      </c>
      <c r="AB74" s="411" t="s">
        <v>2759</v>
      </c>
      <c r="AC74" s="412">
        <v>96.77000000000001</v>
      </c>
      <c r="AD74" s="412">
        <v>9</v>
      </c>
      <c r="AE74" s="409" t="s">
        <v>2410</v>
      </c>
      <c r="AF74" s="409" t="s">
        <v>3747</v>
      </c>
      <c r="AG74" s="409" t="s">
        <v>4476</v>
      </c>
      <c r="AH74" s="409" t="s">
        <v>167</v>
      </c>
      <c r="AI74" s="409" t="s">
        <v>150</v>
      </c>
      <c r="AJ74" s="242" t="s">
        <v>2760</v>
      </c>
      <c r="AK74" s="242" t="s">
        <v>2761</v>
      </c>
      <c r="AL74" s="242" t="s">
        <v>2412</v>
      </c>
      <c r="AM74" s="242" t="s">
        <v>2413</v>
      </c>
      <c r="AN74" s="421" t="s">
        <v>2414</v>
      </c>
      <c r="AO74" s="421" t="s">
        <v>2415</v>
      </c>
      <c r="AP74" s="242" t="s">
        <v>1945</v>
      </c>
      <c r="AQ74" s="242" t="s">
        <v>2762</v>
      </c>
      <c r="AR74" s="242" t="s">
        <v>2762</v>
      </c>
      <c r="AS74" s="242" t="s">
        <v>2763</v>
      </c>
      <c r="AT74" s="797" t="s">
        <v>2419</v>
      </c>
      <c r="AU74" s="242" t="s">
        <v>3476</v>
      </c>
      <c r="AV74" s="193"/>
      <c r="AW74" s="191"/>
    </row>
    <row r="75" spans="1:49" ht="17.149999999999999" customHeight="1">
      <c r="A75" s="395"/>
      <c r="B75" s="342" t="s">
        <v>805</v>
      </c>
      <c r="C75" s="213" t="s">
        <v>806</v>
      </c>
      <c r="D75" s="228" t="s">
        <v>592</v>
      </c>
      <c r="E75" s="229">
        <v>3.91</v>
      </c>
      <c r="F75" s="230" t="s">
        <v>274</v>
      </c>
      <c r="G75" s="231" t="s">
        <v>0</v>
      </c>
      <c r="H75" s="232" t="s">
        <v>4505</v>
      </c>
      <c r="I75" s="233">
        <v>97.2</v>
      </c>
      <c r="J75" s="234">
        <v>98.42</v>
      </c>
      <c r="K75" s="235">
        <v>0.38890000000000002</v>
      </c>
      <c r="L75" s="236">
        <v>97.59</v>
      </c>
      <c r="M75" s="234">
        <v>98.81</v>
      </c>
      <c r="N75" s="237">
        <v>1.5</v>
      </c>
      <c r="O75" s="233">
        <v>100.31</v>
      </c>
      <c r="P75" s="238">
        <v>4.82E-2</v>
      </c>
      <c r="Q75" s="239">
        <v>4.3999999999999997E-2</v>
      </c>
      <c r="R75" s="239" t="s">
        <v>557</v>
      </c>
      <c r="S75" s="240" t="s">
        <v>1746</v>
      </c>
      <c r="T75" s="240"/>
      <c r="U75" s="240" t="s">
        <v>1767</v>
      </c>
      <c r="V75" s="241">
        <v>3.5390000000000001</v>
      </c>
      <c r="W75" s="241"/>
      <c r="X75" s="240"/>
      <c r="Y75" s="402">
        <v>4.3749999999999997E-2</v>
      </c>
      <c r="Z75" s="403">
        <v>2</v>
      </c>
      <c r="AA75" s="404" t="s">
        <v>1414</v>
      </c>
      <c r="AB75" s="405" t="s">
        <v>2764</v>
      </c>
      <c r="AC75" s="406">
        <v>99.92</v>
      </c>
      <c r="AD75" s="406">
        <v>8</v>
      </c>
      <c r="AE75" s="402" t="s">
        <v>2410</v>
      </c>
      <c r="AF75" s="402" t="s">
        <v>2426</v>
      </c>
      <c r="AG75" s="402" t="s">
        <v>4406</v>
      </c>
      <c r="AH75" s="402" t="s">
        <v>164</v>
      </c>
      <c r="AI75" s="402" t="s">
        <v>151</v>
      </c>
      <c r="AJ75" s="407" t="s">
        <v>3898</v>
      </c>
      <c r="AK75" s="407" t="s">
        <v>2419</v>
      </c>
      <c r="AL75" s="407" t="s">
        <v>2412</v>
      </c>
      <c r="AM75" s="407" t="s">
        <v>2419</v>
      </c>
      <c r="AN75" s="420" t="s">
        <v>2414</v>
      </c>
      <c r="AO75" s="420" t="s">
        <v>2415</v>
      </c>
      <c r="AP75" s="407" t="s">
        <v>1944</v>
      </c>
      <c r="AQ75" s="407" t="s">
        <v>2427</v>
      </c>
      <c r="AR75" s="407" t="s">
        <v>2427</v>
      </c>
      <c r="AS75" s="407" t="s">
        <v>2428</v>
      </c>
      <c r="AT75" s="798" t="s">
        <v>2419</v>
      </c>
      <c r="AU75" s="407" t="s">
        <v>3476</v>
      </c>
      <c r="AV75" s="408"/>
      <c r="AW75" s="191"/>
    </row>
    <row r="76" spans="1:49" ht="17">
      <c r="A76" s="395"/>
      <c r="B76" s="342" t="s">
        <v>807</v>
      </c>
      <c r="C76" s="213" t="s">
        <v>808</v>
      </c>
      <c r="D76" s="214" t="s">
        <v>1777</v>
      </c>
      <c r="E76" s="215">
        <v>14.78</v>
      </c>
      <c r="F76" s="216" t="s">
        <v>3</v>
      </c>
      <c r="G76" s="217" t="s">
        <v>0</v>
      </c>
      <c r="H76" s="218" t="s">
        <v>4508</v>
      </c>
      <c r="I76" s="219">
        <v>85.55</v>
      </c>
      <c r="J76" s="220">
        <v>88.23</v>
      </c>
      <c r="K76" s="221">
        <v>0.90900000000000003</v>
      </c>
      <c r="L76" s="222">
        <v>86.46</v>
      </c>
      <c r="M76" s="220">
        <v>89.14</v>
      </c>
      <c r="N76" s="223">
        <v>2.5</v>
      </c>
      <c r="O76" s="219">
        <v>91.64</v>
      </c>
      <c r="P76" s="224">
        <v>5.4199999999999998E-2</v>
      </c>
      <c r="Q76" s="225">
        <v>5.1499999999999997E-2</v>
      </c>
      <c r="R76" s="225" t="s">
        <v>550</v>
      </c>
      <c r="S76" s="226" t="s">
        <v>1745</v>
      </c>
      <c r="T76" s="226"/>
      <c r="U76" s="226" t="s">
        <v>1767</v>
      </c>
      <c r="V76" s="227">
        <v>10.4665</v>
      </c>
      <c r="W76" s="227"/>
      <c r="X76" s="226"/>
      <c r="Y76" s="409">
        <v>4.2500000000000003E-2</v>
      </c>
      <c r="Z76" s="410">
        <v>2</v>
      </c>
      <c r="AA76" s="192" t="s">
        <v>1352</v>
      </c>
      <c r="AB76" s="411" t="s">
        <v>2765</v>
      </c>
      <c r="AC76" s="412">
        <v>90.73</v>
      </c>
      <c r="AD76" s="412">
        <v>30</v>
      </c>
      <c r="AE76" s="409" t="s">
        <v>2410</v>
      </c>
      <c r="AF76" s="409" t="s">
        <v>2766</v>
      </c>
      <c r="AG76" s="409" t="s">
        <v>4073</v>
      </c>
      <c r="AH76" s="409" t="s">
        <v>172</v>
      </c>
      <c r="AI76" s="409" t="s">
        <v>63</v>
      </c>
      <c r="AJ76" s="242" t="s">
        <v>2767</v>
      </c>
      <c r="AK76" s="242" t="s">
        <v>2419</v>
      </c>
      <c r="AL76" s="242" t="s">
        <v>2412</v>
      </c>
      <c r="AM76" s="242" t="s">
        <v>2419</v>
      </c>
      <c r="AN76" s="421" t="s">
        <v>2414</v>
      </c>
      <c r="AO76" s="421" t="s">
        <v>2415</v>
      </c>
      <c r="AP76" s="242" t="s">
        <v>1943</v>
      </c>
      <c r="AQ76" s="242" t="s">
        <v>2768</v>
      </c>
      <c r="AR76" s="242" t="s">
        <v>2768</v>
      </c>
      <c r="AS76" s="242" t="s">
        <v>2769</v>
      </c>
      <c r="AT76" s="797" t="s">
        <v>2419</v>
      </c>
      <c r="AU76" s="242" t="s">
        <v>3476</v>
      </c>
      <c r="AV76" s="193"/>
      <c r="AW76" s="191"/>
    </row>
    <row r="77" spans="1:49" ht="17.149999999999999" customHeight="1">
      <c r="A77" s="395"/>
      <c r="B77" s="342" t="s">
        <v>809</v>
      </c>
      <c r="C77" s="213" t="s">
        <v>810</v>
      </c>
      <c r="D77" s="228" t="s">
        <v>787</v>
      </c>
      <c r="E77" s="229">
        <v>4.68</v>
      </c>
      <c r="F77" s="230" t="s">
        <v>811</v>
      </c>
      <c r="G77" s="231" t="s">
        <v>534</v>
      </c>
      <c r="H77" s="232" t="s">
        <v>4508</v>
      </c>
      <c r="I77" s="233">
        <v>93.57</v>
      </c>
      <c r="J77" s="234">
        <v>96.15</v>
      </c>
      <c r="K77" s="235">
        <v>1.208</v>
      </c>
      <c r="L77" s="236">
        <v>94.78</v>
      </c>
      <c r="M77" s="234">
        <v>97.36</v>
      </c>
      <c r="N77" s="237">
        <v>2</v>
      </c>
      <c r="O77" s="233">
        <v>99.36</v>
      </c>
      <c r="P77" s="238">
        <v>4.7300000000000002E-2</v>
      </c>
      <c r="Q77" s="239">
        <v>4.24E-2</v>
      </c>
      <c r="R77" s="239" t="s">
        <v>749</v>
      </c>
      <c r="S77" s="240" t="s">
        <v>1746</v>
      </c>
      <c r="T77" s="240"/>
      <c r="U77" s="240">
        <v>4.2599999999999999E-2</v>
      </c>
      <c r="V77" s="241">
        <v>4.1738999999999997</v>
      </c>
      <c r="W77" s="241"/>
      <c r="X77" s="240"/>
      <c r="Y77" s="402">
        <v>3.7999999999999999E-2</v>
      </c>
      <c r="Z77" s="403">
        <v>2</v>
      </c>
      <c r="AA77" s="404" t="s">
        <v>1400</v>
      </c>
      <c r="AB77" s="405" t="s">
        <v>2770</v>
      </c>
      <c r="AC77" s="406">
        <v>98.15</v>
      </c>
      <c r="AD77" s="406">
        <v>10</v>
      </c>
      <c r="AE77" s="402" t="s">
        <v>2410</v>
      </c>
      <c r="AF77" s="402" t="s">
        <v>2772</v>
      </c>
      <c r="AG77" s="402" t="s">
        <v>3986</v>
      </c>
      <c r="AH77" s="402" t="s">
        <v>170</v>
      </c>
      <c r="AI77" s="402" t="s">
        <v>64</v>
      </c>
      <c r="AJ77" s="407" t="s">
        <v>2773</v>
      </c>
      <c r="AK77" s="407" t="s">
        <v>2774</v>
      </c>
      <c r="AL77" s="407" t="s">
        <v>2412</v>
      </c>
      <c r="AM77" s="407" t="s">
        <v>2413</v>
      </c>
      <c r="AN77" s="420" t="s">
        <v>2414</v>
      </c>
      <c r="AO77" s="420" t="s">
        <v>2415</v>
      </c>
      <c r="AP77" s="407" t="s">
        <v>1948</v>
      </c>
      <c r="AQ77" s="407" t="s">
        <v>2775</v>
      </c>
      <c r="AR77" s="407" t="s">
        <v>2775</v>
      </c>
      <c r="AS77" s="407" t="s">
        <v>2776</v>
      </c>
      <c r="AT77" s="798">
        <v>7</v>
      </c>
      <c r="AU77" s="407" t="s">
        <v>3479</v>
      </c>
      <c r="AV77" s="408"/>
      <c r="AW77" s="191"/>
    </row>
    <row r="78" spans="1:49" ht="17">
      <c r="A78" s="395"/>
      <c r="B78" s="342" t="s">
        <v>812</v>
      </c>
      <c r="C78" s="213" t="s">
        <v>813</v>
      </c>
      <c r="D78" s="214" t="s">
        <v>628</v>
      </c>
      <c r="E78" s="215">
        <v>4.21</v>
      </c>
      <c r="F78" s="216" t="s">
        <v>814</v>
      </c>
      <c r="G78" s="217" t="s">
        <v>534</v>
      </c>
      <c r="H78" s="218" t="s">
        <v>4508</v>
      </c>
      <c r="I78" s="219">
        <v>96.46</v>
      </c>
      <c r="J78" s="220">
        <v>98.88000000000001</v>
      </c>
      <c r="K78" s="221">
        <v>1.325</v>
      </c>
      <c r="L78" s="222">
        <v>97.79</v>
      </c>
      <c r="M78" s="220">
        <v>100.21</v>
      </c>
      <c r="N78" s="223">
        <v>1.5</v>
      </c>
      <c r="O78" s="219">
        <v>101.71</v>
      </c>
      <c r="P78" s="224">
        <v>4.9000000000000002E-2</v>
      </c>
      <c r="Q78" s="225">
        <v>4.4999999999999998E-2</v>
      </c>
      <c r="R78" s="225" t="s">
        <v>749</v>
      </c>
      <c r="S78" s="226" t="s">
        <v>1746</v>
      </c>
      <c r="T78" s="226"/>
      <c r="U78" s="226" t="s">
        <v>1767</v>
      </c>
      <c r="V78" s="227">
        <v>3.7324999999999999</v>
      </c>
      <c r="W78" s="227"/>
      <c r="X78" s="226"/>
      <c r="Y78" s="409">
        <v>4.5999999999999999E-2</v>
      </c>
      <c r="Z78" s="410">
        <v>2</v>
      </c>
      <c r="AA78" s="192" t="s">
        <v>1410</v>
      </c>
      <c r="AB78" s="411" t="s">
        <v>2777</v>
      </c>
      <c r="AC78" s="412">
        <v>100.38000000000001</v>
      </c>
      <c r="AD78" s="412">
        <v>9</v>
      </c>
      <c r="AE78" s="409" t="s">
        <v>2410</v>
      </c>
      <c r="AF78" s="409" t="s">
        <v>2778</v>
      </c>
      <c r="AG78" s="409" t="s">
        <v>4022</v>
      </c>
      <c r="AH78" s="409" t="s">
        <v>164</v>
      </c>
      <c r="AI78" s="409" t="s">
        <v>50</v>
      </c>
      <c r="AJ78" s="242" t="s">
        <v>2522</v>
      </c>
      <c r="AK78" s="242" t="s">
        <v>2419</v>
      </c>
      <c r="AL78" s="242" t="s">
        <v>2412</v>
      </c>
      <c r="AM78" s="242" t="s">
        <v>2419</v>
      </c>
      <c r="AN78" s="421" t="s">
        <v>2414</v>
      </c>
      <c r="AO78" s="421" t="s">
        <v>2415</v>
      </c>
      <c r="AP78" s="242" t="s">
        <v>1948</v>
      </c>
      <c r="AQ78" s="242" t="s">
        <v>2779</v>
      </c>
      <c r="AR78" s="242" t="s">
        <v>2779</v>
      </c>
      <c r="AS78" s="242" t="s">
        <v>2780</v>
      </c>
      <c r="AT78" s="797">
        <v>7</v>
      </c>
      <c r="AU78" s="242" t="s">
        <v>3479</v>
      </c>
      <c r="AV78" s="193"/>
      <c r="AW78" s="191"/>
    </row>
    <row r="79" spans="1:49" ht="17.149999999999999" customHeight="1">
      <c r="A79" s="395"/>
      <c r="B79" s="342" t="s">
        <v>815</v>
      </c>
      <c r="C79" s="213" t="s">
        <v>816</v>
      </c>
      <c r="D79" s="228" t="s">
        <v>1287</v>
      </c>
      <c r="E79" s="229">
        <v>4.59</v>
      </c>
      <c r="F79" s="230" t="s">
        <v>817</v>
      </c>
      <c r="G79" s="231" t="s">
        <v>0</v>
      </c>
      <c r="H79" s="232" t="s">
        <v>4505</v>
      </c>
      <c r="I79" s="233">
        <v>101.02</v>
      </c>
      <c r="J79" s="234">
        <v>102.23</v>
      </c>
      <c r="K79" s="235">
        <v>2.4641999999999999</v>
      </c>
      <c r="L79" s="236">
        <v>103.48</v>
      </c>
      <c r="M79" s="234">
        <v>104.69</v>
      </c>
      <c r="N79" s="237">
        <v>2</v>
      </c>
      <c r="O79" s="233">
        <v>106.69</v>
      </c>
      <c r="P79" s="238">
        <v>5.3199999999999997E-2</v>
      </c>
      <c r="Q79" s="239">
        <v>4.8300000000000003E-2</v>
      </c>
      <c r="R79" s="239" t="s">
        <v>557</v>
      </c>
      <c r="S79" s="240" t="s">
        <v>1745</v>
      </c>
      <c r="T79" s="240"/>
      <c r="U79" s="240">
        <v>4.7199999999999999E-2</v>
      </c>
      <c r="V79" s="241">
        <v>3.5190999999999999</v>
      </c>
      <c r="W79" s="241"/>
      <c r="X79" s="240"/>
      <c r="Y79" s="402">
        <v>5.8749999999999997E-2</v>
      </c>
      <c r="Z79" s="403">
        <v>2</v>
      </c>
      <c r="AA79" s="404" t="s">
        <v>1460</v>
      </c>
      <c r="AB79" s="405" t="s">
        <v>2781</v>
      </c>
      <c r="AC79" s="406">
        <v>104.23</v>
      </c>
      <c r="AD79" s="406">
        <v>10</v>
      </c>
      <c r="AE79" s="402" t="s">
        <v>2410</v>
      </c>
      <c r="AF79" s="402" t="s">
        <v>2782</v>
      </c>
      <c r="AG79" s="402" t="s">
        <v>3890</v>
      </c>
      <c r="AH79" s="402" t="s">
        <v>167</v>
      </c>
      <c r="AI79" s="402" t="s">
        <v>149</v>
      </c>
      <c r="AJ79" s="407" t="s">
        <v>2783</v>
      </c>
      <c r="AK79" s="407" t="s">
        <v>2784</v>
      </c>
      <c r="AL79" s="407" t="s">
        <v>2412</v>
      </c>
      <c r="AM79" s="407" t="s">
        <v>2413</v>
      </c>
      <c r="AN79" s="420" t="s">
        <v>2414</v>
      </c>
      <c r="AO79" s="420" t="s">
        <v>2415</v>
      </c>
      <c r="AP79" s="407" t="s">
        <v>1945</v>
      </c>
      <c r="AQ79" s="407" t="s">
        <v>2785</v>
      </c>
      <c r="AR79" s="407" t="s">
        <v>2785</v>
      </c>
      <c r="AS79" s="407" t="s">
        <v>2786</v>
      </c>
      <c r="AT79" s="798" t="s">
        <v>2419</v>
      </c>
      <c r="AU79" s="407" t="s">
        <v>3476</v>
      </c>
      <c r="AV79" s="408"/>
      <c r="AW79" s="191"/>
    </row>
    <row r="80" spans="1:49" ht="17">
      <c r="A80" s="395"/>
      <c r="B80" s="342" t="s">
        <v>818</v>
      </c>
      <c r="C80" s="213" t="s">
        <v>819</v>
      </c>
      <c r="D80" s="214" t="s">
        <v>4376</v>
      </c>
      <c r="E80" s="215">
        <v>24.37</v>
      </c>
      <c r="F80" s="216" t="s">
        <v>820</v>
      </c>
      <c r="G80" s="217" t="s">
        <v>0</v>
      </c>
      <c r="H80" s="218" t="s">
        <v>4505</v>
      </c>
      <c r="I80" s="219">
        <v>102.44</v>
      </c>
      <c r="J80" s="220">
        <v>104.29</v>
      </c>
      <c r="K80" s="221">
        <v>0.70750000000000002</v>
      </c>
      <c r="L80" s="222">
        <v>103.15</v>
      </c>
      <c r="M80" s="220">
        <v>105</v>
      </c>
      <c r="N80" s="223">
        <v>3.5</v>
      </c>
      <c r="O80" s="219">
        <v>108.5</v>
      </c>
      <c r="P80" s="224">
        <v>5.11E-2</v>
      </c>
      <c r="Q80" s="225">
        <v>4.87E-2</v>
      </c>
      <c r="R80" s="225" t="s">
        <v>557</v>
      </c>
      <c r="S80" s="226" t="s">
        <v>1745</v>
      </c>
      <c r="T80" s="226"/>
      <c r="U80" s="226">
        <v>4.8599999999999997E-2</v>
      </c>
      <c r="V80" s="227">
        <v>13.5124</v>
      </c>
      <c r="W80" s="227"/>
      <c r="X80" s="226"/>
      <c r="Y80" s="409">
        <v>5.4189999999999995E-2</v>
      </c>
      <c r="Z80" s="410">
        <v>2</v>
      </c>
      <c r="AA80" s="192" t="s">
        <v>1461</v>
      </c>
      <c r="AB80" s="411" t="s">
        <v>2787</v>
      </c>
      <c r="AC80" s="412">
        <v>107.79</v>
      </c>
      <c r="AD80" s="412">
        <v>49</v>
      </c>
      <c r="AE80" s="409" t="s">
        <v>2410</v>
      </c>
      <c r="AF80" s="409" t="s">
        <v>2609</v>
      </c>
      <c r="AG80" s="409" t="s">
        <v>4341</v>
      </c>
      <c r="AH80" s="409" t="s">
        <v>169</v>
      </c>
      <c r="AI80" s="409" t="s">
        <v>236</v>
      </c>
      <c r="AJ80" s="242" t="s">
        <v>2788</v>
      </c>
      <c r="AK80" s="242" t="s">
        <v>2789</v>
      </c>
      <c r="AL80" s="242" t="s">
        <v>2412</v>
      </c>
      <c r="AM80" s="242" t="s">
        <v>2413</v>
      </c>
      <c r="AN80" s="421" t="s">
        <v>2414</v>
      </c>
      <c r="AO80" s="421" t="s">
        <v>2415</v>
      </c>
      <c r="AP80" s="242" t="s">
        <v>1945</v>
      </c>
      <c r="AQ80" s="242" t="s">
        <v>2790</v>
      </c>
      <c r="AR80" s="242" t="s">
        <v>2790</v>
      </c>
      <c r="AS80" s="242" t="s">
        <v>2791</v>
      </c>
      <c r="AT80" s="797" t="s">
        <v>2419</v>
      </c>
      <c r="AU80" s="797" t="s">
        <v>3476</v>
      </c>
      <c r="AV80" s="193"/>
      <c r="AW80" s="191"/>
    </row>
    <row r="81" spans="1:49" ht="17.149999999999999" customHeight="1">
      <c r="A81" s="395"/>
      <c r="B81" s="342" t="s">
        <v>821</v>
      </c>
      <c r="C81" s="213" t="s">
        <v>822</v>
      </c>
      <c r="D81" s="228" t="s">
        <v>997</v>
      </c>
      <c r="E81" s="229">
        <v>4.79</v>
      </c>
      <c r="F81" s="230" t="s">
        <v>823</v>
      </c>
      <c r="G81" s="231" t="s">
        <v>0</v>
      </c>
      <c r="H81" s="232" t="s">
        <v>4505</v>
      </c>
      <c r="I81" s="233">
        <v>98.27</v>
      </c>
      <c r="J81" s="234">
        <v>99.01</v>
      </c>
      <c r="K81" s="235">
        <v>1.016</v>
      </c>
      <c r="L81" s="236">
        <v>99.29</v>
      </c>
      <c r="M81" s="234">
        <v>100.03</v>
      </c>
      <c r="N81" s="237">
        <v>2</v>
      </c>
      <c r="O81" s="233">
        <v>102.03</v>
      </c>
      <c r="P81" s="238">
        <v>4.9799999999999997E-2</v>
      </c>
      <c r="Q81" s="239">
        <v>4.5100000000000001E-2</v>
      </c>
      <c r="R81" s="239" t="s">
        <v>557</v>
      </c>
      <c r="S81" s="240" t="s">
        <v>1746</v>
      </c>
      <c r="T81" s="240"/>
      <c r="U81" s="240">
        <v>4.4999999999999998E-2</v>
      </c>
      <c r="V81" s="241">
        <v>4.1940999999999997</v>
      </c>
      <c r="W81" s="241"/>
      <c r="X81" s="240"/>
      <c r="Y81" s="402">
        <v>4.7500000000000001E-2</v>
      </c>
      <c r="Z81" s="403">
        <v>2</v>
      </c>
      <c r="AA81" s="404" t="s">
        <v>1462</v>
      </c>
      <c r="AB81" s="405" t="s">
        <v>2792</v>
      </c>
      <c r="AC81" s="406">
        <v>101.01</v>
      </c>
      <c r="AD81" s="406">
        <v>10</v>
      </c>
      <c r="AE81" s="402" t="s">
        <v>2410</v>
      </c>
      <c r="AF81" s="402" t="s">
        <v>2527</v>
      </c>
      <c r="AG81" s="402" t="s">
        <v>4070</v>
      </c>
      <c r="AH81" s="402" t="s">
        <v>165</v>
      </c>
      <c r="AI81" s="402" t="s">
        <v>109</v>
      </c>
      <c r="AJ81" s="407" t="s">
        <v>2793</v>
      </c>
      <c r="AK81" s="407" t="s">
        <v>2794</v>
      </c>
      <c r="AL81" s="407" t="s">
        <v>2412</v>
      </c>
      <c r="AM81" s="407" t="s">
        <v>2413</v>
      </c>
      <c r="AN81" s="420" t="s">
        <v>2414</v>
      </c>
      <c r="AO81" s="420" t="s">
        <v>2415</v>
      </c>
      <c r="AP81" s="407" t="s">
        <v>1945</v>
      </c>
      <c r="AQ81" s="407" t="s">
        <v>2795</v>
      </c>
      <c r="AR81" s="407" t="s">
        <v>2795</v>
      </c>
      <c r="AS81" s="407" t="s">
        <v>2796</v>
      </c>
      <c r="AT81" s="798" t="s">
        <v>2419</v>
      </c>
      <c r="AU81" s="798" t="s">
        <v>3476</v>
      </c>
      <c r="AV81" s="408"/>
      <c r="AW81" s="191"/>
    </row>
    <row r="82" spans="1:49" ht="17">
      <c r="A82" s="395"/>
      <c r="B82" s="342" t="s">
        <v>824</v>
      </c>
      <c r="C82" s="213" t="s">
        <v>825</v>
      </c>
      <c r="D82" s="214" t="s">
        <v>2163</v>
      </c>
      <c r="E82" s="215">
        <v>21.13</v>
      </c>
      <c r="F82" s="216" t="s">
        <v>826</v>
      </c>
      <c r="G82" s="217" t="s">
        <v>0</v>
      </c>
      <c r="H82" s="218" t="s">
        <v>4505</v>
      </c>
      <c r="I82" s="219">
        <v>93.8</v>
      </c>
      <c r="J82" s="220">
        <v>95.820000000000007</v>
      </c>
      <c r="K82" s="221">
        <v>1.9688000000000001</v>
      </c>
      <c r="L82" s="222">
        <v>95.77</v>
      </c>
      <c r="M82" s="220">
        <v>97.79</v>
      </c>
      <c r="N82" s="223">
        <v>3</v>
      </c>
      <c r="O82" s="219">
        <v>100.79</v>
      </c>
      <c r="P82" s="224">
        <v>5.5899999999999998E-2</v>
      </c>
      <c r="Q82" s="225">
        <v>5.3400000000000003E-2</v>
      </c>
      <c r="R82" s="225" t="s">
        <v>550</v>
      </c>
      <c r="S82" s="226" t="s">
        <v>1745</v>
      </c>
      <c r="T82" s="226"/>
      <c r="U82" s="226" t="s">
        <v>1767</v>
      </c>
      <c r="V82" s="227">
        <v>12.2403</v>
      </c>
      <c r="W82" s="227"/>
      <c r="X82" s="226"/>
      <c r="Y82" s="409">
        <v>5.2499999999999998E-2</v>
      </c>
      <c r="Z82" s="410">
        <v>2</v>
      </c>
      <c r="AA82" s="192" t="s">
        <v>1399</v>
      </c>
      <c r="AB82" s="411" t="s">
        <v>2797</v>
      </c>
      <c r="AC82" s="412">
        <v>98.820000000000007</v>
      </c>
      <c r="AD82" s="412">
        <v>43</v>
      </c>
      <c r="AE82" s="409" t="s">
        <v>2410</v>
      </c>
      <c r="AF82" s="409" t="s">
        <v>2681</v>
      </c>
      <c r="AG82" s="409" t="s">
        <v>3915</v>
      </c>
      <c r="AH82" s="409" t="s">
        <v>162</v>
      </c>
      <c r="AI82" s="409" t="s">
        <v>42</v>
      </c>
      <c r="AJ82" s="242" t="s">
        <v>2431</v>
      </c>
      <c r="AK82" s="242" t="s">
        <v>2419</v>
      </c>
      <c r="AL82" s="242" t="s">
        <v>2412</v>
      </c>
      <c r="AM82" s="242" t="s">
        <v>2419</v>
      </c>
      <c r="AN82" s="421" t="s">
        <v>2422</v>
      </c>
      <c r="AO82" s="421" t="s">
        <v>2415</v>
      </c>
      <c r="AP82" s="242" t="s">
        <v>1945</v>
      </c>
      <c r="AQ82" s="242" t="s">
        <v>2798</v>
      </c>
      <c r="AR82" s="242" t="s">
        <v>2798</v>
      </c>
      <c r="AS82" s="242" t="s">
        <v>2799</v>
      </c>
      <c r="AT82" s="797" t="s">
        <v>2419</v>
      </c>
      <c r="AU82" s="242" t="s">
        <v>3476</v>
      </c>
      <c r="AV82" s="193"/>
      <c r="AW82" s="191"/>
    </row>
    <row r="83" spans="1:49" ht="17.149999999999999" customHeight="1">
      <c r="A83" s="395"/>
      <c r="B83" s="342" t="s">
        <v>827</v>
      </c>
      <c r="C83" s="213" t="s">
        <v>828</v>
      </c>
      <c r="D83" s="228" t="s">
        <v>4472</v>
      </c>
      <c r="E83" s="229">
        <v>13.92</v>
      </c>
      <c r="F83" s="230" t="s">
        <v>829</v>
      </c>
      <c r="G83" s="231" t="s">
        <v>0</v>
      </c>
      <c r="H83" s="232" t="s">
        <v>4505</v>
      </c>
      <c r="I83" s="233">
        <v>96.74</v>
      </c>
      <c r="J83" s="234">
        <v>98.69</v>
      </c>
      <c r="K83" s="235">
        <v>0.60050000000000003</v>
      </c>
      <c r="L83" s="236">
        <v>97.34</v>
      </c>
      <c r="M83" s="234">
        <v>99.29</v>
      </c>
      <c r="N83" s="237">
        <v>3</v>
      </c>
      <c r="O83" s="233">
        <v>102.29</v>
      </c>
      <c r="P83" s="238">
        <v>7.8799999999999995E-2</v>
      </c>
      <c r="Q83" s="239">
        <v>7.5200000000000003E-2</v>
      </c>
      <c r="R83" s="239" t="s">
        <v>557</v>
      </c>
      <c r="S83" s="240" t="s">
        <v>1746</v>
      </c>
      <c r="T83" s="240"/>
      <c r="U83" s="240" t="s">
        <v>1767</v>
      </c>
      <c r="V83" s="241">
        <v>8.4009999999999998</v>
      </c>
      <c r="W83" s="241"/>
      <c r="X83" s="240"/>
      <c r="Y83" s="402">
        <v>7.7210000000000001E-2</v>
      </c>
      <c r="Z83" s="403">
        <v>2</v>
      </c>
      <c r="AA83" s="404" t="s">
        <v>1463</v>
      </c>
      <c r="AB83" s="405" t="s">
        <v>2800</v>
      </c>
      <c r="AC83" s="406">
        <v>101.69</v>
      </c>
      <c r="AD83" s="406">
        <v>28</v>
      </c>
      <c r="AE83" s="402" t="s">
        <v>2410</v>
      </c>
      <c r="AF83" s="402" t="s">
        <v>3471</v>
      </c>
      <c r="AG83" s="402" t="s">
        <v>4436</v>
      </c>
      <c r="AH83" s="402" t="s">
        <v>164</v>
      </c>
      <c r="AI83" s="402" t="s">
        <v>237</v>
      </c>
      <c r="AJ83" s="407" t="s">
        <v>3513</v>
      </c>
      <c r="AK83" s="407" t="s">
        <v>2419</v>
      </c>
      <c r="AL83" s="407" t="s">
        <v>2412</v>
      </c>
      <c r="AM83" s="407" t="s">
        <v>2419</v>
      </c>
      <c r="AN83" s="420" t="s">
        <v>2414</v>
      </c>
      <c r="AO83" s="420" t="s">
        <v>2415</v>
      </c>
      <c r="AP83" s="407" t="s">
        <v>1945</v>
      </c>
      <c r="AQ83" s="407" t="s">
        <v>2801</v>
      </c>
      <c r="AR83" s="407" t="s">
        <v>2801</v>
      </c>
      <c r="AS83" s="407" t="s">
        <v>2802</v>
      </c>
      <c r="AT83" s="798" t="s">
        <v>2419</v>
      </c>
      <c r="AU83" s="407" t="s">
        <v>3476</v>
      </c>
      <c r="AV83" s="408"/>
      <c r="AW83" s="191"/>
    </row>
    <row r="84" spans="1:49" ht="17">
      <c r="A84" s="395"/>
      <c r="B84" s="342" t="s">
        <v>830</v>
      </c>
      <c r="C84" s="213" t="s">
        <v>831</v>
      </c>
      <c r="D84" s="214" t="s">
        <v>3911</v>
      </c>
      <c r="E84" s="215">
        <v>3.64</v>
      </c>
      <c r="F84" s="216" t="s">
        <v>832</v>
      </c>
      <c r="G84" s="217" t="s">
        <v>532</v>
      </c>
      <c r="H84" s="218" t="s">
        <v>4508</v>
      </c>
      <c r="I84" s="219">
        <v>90.34</v>
      </c>
      <c r="J84" s="220">
        <v>92.440000000000012</v>
      </c>
      <c r="K84" s="221">
        <v>1.7715000000000001</v>
      </c>
      <c r="L84" s="222">
        <v>92.11</v>
      </c>
      <c r="M84" s="220">
        <v>94.21</v>
      </c>
      <c r="N84" s="223">
        <v>1.5</v>
      </c>
      <c r="O84" s="219">
        <v>95.71</v>
      </c>
      <c r="P84" s="224">
        <v>7.2999999999999995E-2</v>
      </c>
      <c r="Q84" s="225">
        <v>6.8000000000000005E-2</v>
      </c>
      <c r="R84" s="225" t="s">
        <v>578</v>
      </c>
      <c r="S84" s="226" t="s">
        <v>1745</v>
      </c>
      <c r="T84" s="226"/>
      <c r="U84" s="226" t="s">
        <v>1767</v>
      </c>
      <c r="V84" s="227">
        <v>3.1238999999999999</v>
      </c>
      <c r="W84" s="227"/>
      <c r="X84" s="226"/>
      <c r="Y84" s="409">
        <v>4.8750000000000002E-2</v>
      </c>
      <c r="Z84" s="410">
        <v>1</v>
      </c>
      <c r="AA84" s="192" t="s">
        <v>1444</v>
      </c>
      <c r="AB84" s="411" t="s">
        <v>2803</v>
      </c>
      <c r="AC84" s="412">
        <v>93.940000000000012</v>
      </c>
      <c r="AD84" s="412">
        <v>4</v>
      </c>
      <c r="AE84" s="409" t="s">
        <v>2478</v>
      </c>
      <c r="AF84" s="409" t="s">
        <v>2804</v>
      </c>
      <c r="AG84" s="409" t="s">
        <v>3933</v>
      </c>
      <c r="AH84" s="409" t="s">
        <v>172</v>
      </c>
      <c r="AI84" s="409" t="s">
        <v>55</v>
      </c>
      <c r="AJ84" s="242" t="s">
        <v>2579</v>
      </c>
      <c r="AK84" s="242" t="s">
        <v>2419</v>
      </c>
      <c r="AL84" s="242" t="s">
        <v>2412</v>
      </c>
      <c r="AM84" s="242" t="s">
        <v>2419</v>
      </c>
      <c r="AN84" s="421" t="s">
        <v>2414</v>
      </c>
      <c r="AO84" s="421" t="s">
        <v>2415</v>
      </c>
      <c r="AP84" s="242" t="s">
        <v>1948</v>
      </c>
      <c r="AQ84" s="242" t="s">
        <v>2805</v>
      </c>
      <c r="AR84" s="242" t="s">
        <v>2805</v>
      </c>
      <c r="AS84" s="242" t="s">
        <v>2806</v>
      </c>
      <c r="AT84" s="797" t="s">
        <v>2419</v>
      </c>
      <c r="AU84" s="242" t="s">
        <v>3476</v>
      </c>
      <c r="AV84" s="193"/>
      <c r="AW84" s="191"/>
    </row>
    <row r="85" spans="1:49" ht="17.149999999999999" customHeight="1">
      <c r="A85" s="395"/>
      <c r="B85" s="342" t="s">
        <v>833</v>
      </c>
      <c r="C85" s="213" t="s">
        <v>834</v>
      </c>
      <c r="D85" s="228" t="s">
        <v>835</v>
      </c>
      <c r="E85" s="229">
        <v>22.03</v>
      </c>
      <c r="F85" s="230" t="s">
        <v>836</v>
      </c>
      <c r="G85" s="231" t="s">
        <v>0</v>
      </c>
      <c r="H85" s="232" t="s">
        <v>4505</v>
      </c>
      <c r="I85" s="233">
        <v>82.22</v>
      </c>
      <c r="J85" s="234">
        <v>84.79</v>
      </c>
      <c r="K85" s="235">
        <v>2.2267000000000001</v>
      </c>
      <c r="L85" s="236">
        <v>84.45</v>
      </c>
      <c r="M85" s="234">
        <v>87.02</v>
      </c>
      <c r="N85" s="237">
        <v>3</v>
      </c>
      <c r="O85" s="233">
        <v>90.02</v>
      </c>
      <c r="P85" s="238">
        <v>6.0600000000000001E-2</v>
      </c>
      <c r="Q85" s="239">
        <v>5.79E-2</v>
      </c>
      <c r="R85" s="239" t="s">
        <v>557</v>
      </c>
      <c r="S85" s="240" t="s">
        <v>1746</v>
      </c>
      <c r="T85" s="240"/>
      <c r="U85" s="240">
        <v>5.8000000000000003E-2</v>
      </c>
      <c r="V85" s="241">
        <v>12.2967</v>
      </c>
      <c r="W85" s="241"/>
      <c r="X85" s="240"/>
      <c r="Y85" s="402">
        <v>4.8000000000000001E-2</v>
      </c>
      <c r="Z85" s="403">
        <v>2</v>
      </c>
      <c r="AA85" s="404" t="s">
        <v>1464</v>
      </c>
      <c r="AB85" s="405" t="s">
        <v>2807</v>
      </c>
      <c r="AC85" s="406">
        <v>87.79</v>
      </c>
      <c r="AD85" s="406">
        <v>45</v>
      </c>
      <c r="AE85" s="402" t="s">
        <v>2410</v>
      </c>
      <c r="AF85" s="402" t="s">
        <v>2561</v>
      </c>
      <c r="AG85" s="402" t="s">
        <v>3862</v>
      </c>
      <c r="AH85" s="402" t="s">
        <v>167</v>
      </c>
      <c r="AI85" s="402" t="s">
        <v>197</v>
      </c>
      <c r="AJ85" s="407" t="s">
        <v>3937</v>
      </c>
      <c r="AK85" s="407" t="s">
        <v>2808</v>
      </c>
      <c r="AL85" s="407" t="s">
        <v>2412</v>
      </c>
      <c r="AM85" s="407" t="s">
        <v>2413</v>
      </c>
      <c r="AN85" s="420" t="s">
        <v>2414</v>
      </c>
      <c r="AO85" s="420" t="s">
        <v>2415</v>
      </c>
      <c r="AP85" s="407" t="s">
        <v>1945</v>
      </c>
      <c r="AQ85" s="407" t="s">
        <v>2809</v>
      </c>
      <c r="AR85" s="407" t="s">
        <v>2809</v>
      </c>
      <c r="AS85" s="407" t="s">
        <v>2810</v>
      </c>
      <c r="AT85" s="798" t="s">
        <v>2419</v>
      </c>
      <c r="AU85" s="407" t="s">
        <v>3476</v>
      </c>
      <c r="AV85" s="408"/>
      <c r="AW85" s="191"/>
    </row>
    <row r="86" spans="1:49" ht="17">
      <c r="A86" s="395"/>
      <c r="B86" s="342" t="s">
        <v>837</v>
      </c>
      <c r="C86" s="213" t="s">
        <v>838</v>
      </c>
      <c r="D86" s="214" t="s">
        <v>592</v>
      </c>
      <c r="E86" s="215">
        <v>25.04</v>
      </c>
      <c r="F86" s="216" t="s">
        <v>839</v>
      </c>
      <c r="G86" s="217" t="s">
        <v>0</v>
      </c>
      <c r="H86" s="218" t="s">
        <v>4505</v>
      </c>
      <c r="I86" s="219">
        <v>80.59</v>
      </c>
      <c r="J86" s="220">
        <v>82.67</v>
      </c>
      <c r="K86" s="221">
        <v>2.2343999999999999</v>
      </c>
      <c r="L86" s="222">
        <v>82.82</v>
      </c>
      <c r="M86" s="220">
        <v>84.9</v>
      </c>
      <c r="N86" s="223">
        <v>3.5</v>
      </c>
      <c r="O86" s="219">
        <v>88.4</v>
      </c>
      <c r="P86" s="224">
        <v>6.25E-2</v>
      </c>
      <c r="Q86" s="225">
        <v>5.9400000000000001E-2</v>
      </c>
      <c r="R86" s="225" t="s">
        <v>550</v>
      </c>
      <c r="S86" s="226" t="s">
        <v>1746</v>
      </c>
      <c r="T86" s="226"/>
      <c r="U86" s="226" t="s">
        <v>1767</v>
      </c>
      <c r="V86" s="227">
        <v>12.9787</v>
      </c>
      <c r="W86" s="227"/>
      <c r="X86" s="226"/>
      <c r="Y86" s="409">
        <v>4.8750000000000002E-2</v>
      </c>
      <c r="Z86" s="410">
        <v>2</v>
      </c>
      <c r="AA86" s="192" t="s">
        <v>1413</v>
      </c>
      <c r="AB86" s="411" t="s">
        <v>2811</v>
      </c>
      <c r="AC86" s="412">
        <v>86.17</v>
      </c>
      <c r="AD86" s="412">
        <v>51</v>
      </c>
      <c r="AE86" s="409" t="s">
        <v>2410</v>
      </c>
      <c r="AF86" s="409" t="s">
        <v>2420</v>
      </c>
      <c r="AG86" s="409" t="s">
        <v>3866</v>
      </c>
      <c r="AH86" s="409" t="s">
        <v>168</v>
      </c>
      <c r="AI86" s="409" t="s">
        <v>65</v>
      </c>
      <c r="AJ86" s="242" t="s">
        <v>2812</v>
      </c>
      <c r="AK86" s="242" t="s">
        <v>2419</v>
      </c>
      <c r="AL86" s="242" t="s">
        <v>2412</v>
      </c>
      <c r="AM86" s="242" t="s">
        <v>2419</v>
      </c>
      <c r="AN86" s="421" t="s">
        <v>2414</v>
      </c>
      <c r="AO86" s="421" t="s">
        <v>2415</v>
      </c>
      <c r="AP86" s="242" t="s">
        <v>1943</v>
      </c>
      <c r="AQ86" s="242" t="s">
        <v>2813</v>
      </c>
      <c r="AR86" s="242" t="s">
        <v>2813</v>
      </c>
      <c r="AS86" s="242" t="s">
        <v>2814</v>
      </c>
      <c r="AT86" s="797" t="s">
        <v>2419</v>
      </c>
      <c r="AU86" s="242" t="s">
        <v>3476</v>
      </c>
      <c r="AV86" s="193"/>
      <c r="AW86" s="191"/>
    </row>
    <row r="87" spans="1:49" ht="17.149999999999999" customHeight="1">
      <c r="A87" s="395"/>
      <c r="B87" s="342" t="s">
        <v>840</v>
      </c>
      <c r="C87" s="213" t="s">
        <v>841</v>
      </c>
      <c r="D87" s="228" t="s">
        <v>3896</v>
      </c>
      <c r="E87" s="229">
        <v>14.37</v>
      </c>
      <c r="F87" s="230" t="s">
        <v>842</v>
      </c>
      <c r="G87" s="231" t="s">
        <v>532</v>
      </c>
      <c r="H87" s="232" t="s">
        <v>4508</v>
      </c>
      <c r="I87" s="233">
        <v>99.43</v>
      </c>
      <c r="J87" s="234">
        <v>102.05000000000001</v>
      </c>
      <c r="K87" s="235">
        <v>2.5922000000000001</v>
      </c>
      <c r="L87" s="236">
        <v>102.02</v>
      </c>
      <c r="M87" s="234">
        <v>104.64</v>
      </c>
      <c r="N87" s="237">
        <v>3</v>
      </c>
      <c r="O87" s="233">
        <v>107.64</v>
      </c>
      <c r="P87" s="238">
        <v>3.9300000000000002E-2</v>
      </c>
      <c r="Q87" s="239">
        <v>3.6700000000000003E-2</v>
      </c>
      <c r="R87" s="239" t="s">
        <v>843</v>
      </c>
      <c r="S87" s="240" t="s">
        <v>1746</v>
      </c>
      <c r="T87" s="240"/>
      <c r="U87" s="240" t="s">
        <v>1767</v>
      </c>
      <c r="V87" s="241">
        <v>10.4902</v>
      </c>
      <c r="W87" s="241"/>
      <c r="X87" s="240"/>
      <c r="Y87" s="402">
        <v>4.1250000000000002E-2</v>
      </c>
      <c r="Z87" s="403">
        <v>1</v>
      </c>
      <c r="AA87" s="404" t="s">
        <v>1390</v>
      </c>
      <c r="AB87" s="405" t="s">
        <v>2815</v>
      </c>
      <c r="AC87" s="406">
        <v>105.05000000000001</v>
      </c>
      <c r="AD87" s="406">
        <v>15</v>
      </c>
      <c r="AE87" s="402" t="s">
        <v>2478</v>
      </c>
      <c r="AF87" s="402" t="s">
        <v>2816</v>
      </c>
      <c r="AG87" s="402" t="s">
        <v>2817</v>
      </c>
      <c r="AH87" s="402" t="s">
        <v>170</v>
      </c>
      <c r="AI87" s="402" t="s">
        <v>331</v>
      </c>
      <c r="AJ87" s="407" t="s">
        <v>3938</v>
      </c>
      <c r="AK87" s="407" t="s">
        <v>2419</v>
      </c>
      <c r="AL87" s="407" t="s">
        <v>2412</v>
      </c>
      <c r="AM87" s="407" t="s">
        <v>2419</v>
      </c>
      <c r="AN87" s="420" t="s">
        <v>2414</v>
      </c>
      <c r="AO87" s="420" t="s">
        <v>2415</v>
      </c>
      <c r="AP87" s="407" t="s">
        <v>1948</v>
      </c>
      <c r="AQ87" s="407" t="s">
        <v>2818</v>
      </c>
      <c r="AR87" s="407" t="s">
        <v>2818</v>
      </c>
      <c r="AS87" s="407" t="s">
        <v>2819</v>
      </c>
      <c r="AT87" s="798" t="s">
        <v>2419</v>
      </c>
      <c r="AU87" s="407" t="s">
        <v>3476</v>
      </c>
      <c r="AV87" s="408"/>
      <c r="AW87" s="191"/>
    </row>
    <row r="88" spans="1:49" ht="17">
      <c r="A88" s="395"/>
      <c r="B88" s="342" t="s">
        <v>844</v>
      </c>
      <c r="C88" s="213" t="s">
        <v>845</v>
      </c>
      <c r="D88" s="214" t="s">
        <v>4367</v>
      </c>
      <c r="E88" s="215">
        <v>5.21</v>
      </c>
      <c r="F88" s="216" t="s">
        <v>846</v>
      </c>
      <c r="G88" s="217" t="s">
        <v>532</v>
      </c>
      <c r="H88" s="218" t="s">
        <v>4508</v>
      </c>
      <c r="I88" s="219">
        <v>93.65</v>
      </c>
      <c r="J88" s="220">
        <v>96.490000000000009</v>
      </c>
      <c r="K88" s="221">
        <v>1.1556</v>
      </c>
      <c r="L88" s="222">
        <v>94.81</v>
      </c>
      <c r="M88" s="220">
        <v>97.65</v>
      </c>
      <c r="N88" s="223">
        <v>2</v>
      </c>
      <c r="O88" s="219">
        <v>99.65</v>
      </c>
      <c r="P88" s="224">
        <v>4.7699999999999999E-2</v>
      </c>
      <c r="Q88" s="225">
        <v>4.3299999999999998E-2</v>
      </c>
      <c r="R88" s="225" t="s">
        <v>578</v>
      </c>
      <c r="S88" s="226" t="s">
        <v>1746</v>
      </c>
      <c r="T88" s="226"/>
      <c r="U88" s="226">
        <v>4.3400000000000001E-2</v>
      </c>
      <c r="V88" s="227">
        <v>4.4715999999999996</v>
      </c>
      <c r="W88" s="227"/>
      <c r="X88" s="226"/>
      <c r="Y88" s="409">
        <v>0.04</v>
      </c>
      <c r="Z88" s="410">
        <v>2</v>
      </c>
      <c r="AA88" s="192" t="s">
        <v>1436</v>
      </c>
      <c r="AB88" s="411" t="s">
        <v>2820</v>
      </c>
      <c r="AC88" s="412">
        <v>98.490000000000009</v>
      </c>
      <c r="AD88" s="412">
        <v>11</v>
      </c>
      <c r="AE88" s="409" t="s">
        <v>2410</v>
      </c>
      <c r="AF88" s="409" t="s">
        <v>2778</v>
      </c>
      <c r="AG88" s="409" t="s">
        <v>4022</v>
      </c>
      <c r="AH88" s="409" t="s">
        <v>164</v>
      </c>
      <c r="AI88" s="409" t="s">
        <v>47</v>
      </c>
      <c r="AJ88" s="242" t="s">
        <v>2464</v>
      </c>
      <c r="AK88" s="242" t="s">
        <v>2821</v>
      </c>
      <c r="AL88" s="242" t="s">
        <v>2412</v>
      </c>
      <c r="AM88" s="242" t="s">
        <v>2413</v>
      </c>
      <c r="AN88" s="421" t="s">
        <v>2414</v>
      </c>
      <c r="AO88" s="421" t="s">
        <v>2415</v>
      </c>
      <c r="AP88" s="242" t="s">
        <v>1943</v>
      </c>
      <c r="AQ88" s="242" t="s">
        <v>2822</v>
      </c>
      <c r="AR88" s="242" t="s">
        <v>2822</v>
      </c>
      <c r="AS88" s="242" t="s">
        <v>2823</v>
      </c>
      <c r="AT88" s="797" t="s">
        <v>2419</v>
      </c>
      <c r="AU88" s="242" t="s">
        <v>3476</v>
      </c>
      <c r="AV88" s="193"/>
      <c r="AW88" s="191"/>
    </row>
    <row r="89" spans="1:49" ht="17.149999999999999" customHeight="1">
      <c r="A89" s="395"/>
      <c r="B89" s="342" t="s">
        <v>847</v>
      </c>
      <c r="C89" s="213" t="s">
        <v>848</v>
      </c>
      <c r="D89" s="228" t="s">
        <v>855</v>
      </c>
      <c r="E89" s="229">
        <v>22.89</v>
      </c>
      <c r="F89" s="230" t="s">
        <v>849</v>
      </c>
      <c r="G89" s="231" t="s">
        <v>0</v>
      </c>
      <c r="H89" s="232" t="s">
        <v>4505</v>
      </c>
      <c r="I89" s="233">
        <v>83.32</v>
      </c>
      <c r="J89" s="234">
        <v>84.92</v>
      </c>
      <c r="K89" s="235">
        <v>0.48820000000000002</v>
      </c>
      <c r="L89" s="236">
        <v>83.81</v>
      </c>
      <c r="M89" s="234">
        <v>85.41</v>
      </c>
      <c r="N89" s="237">
        <v>3.5</v>
      </c>
      <c r="O89" s="233">
        <v>88.91</v>
      </c>
      <c r="P89" s="238">
        <v>5.9700000000000003E-2</v>
      </c>
      <c r="Q89" s="239">
        <v>5.6599999999999998E-2</v>
      </c>
      <c r="R89" s="239" t="s">
        <v>550</v>
      </c>
      <c r="S89" s="240" t="s">
        <v>1745</v>
      </c>
      <c r="T89" s="240"/>
      <c r="U89" s="240" t="s">
        <v>1767</v>
      </c>
      <c r="V89" s="241">
        <v>12.996700000000001</v>
      </c>
      <c r="W89" s="241"/>
      <c r="X89" s="240"/>
      <c r="Y89" s="402">
        <v>4.7500000000000001E-2</v>
      </c>
      <c r="Z89" s="403">
        <v>2</v>
      </c>
      <c r="AA89" s="404" t="s">
        <v>1465</v>
      </c>
      <c r="AB89" s="405" t="s">
        <v>2824</v>
      </c>
      <c r="AC89" s="406">
        <v>88.42</v>
      </c>
      <c r="AD89" s="406">
        <v>46</v>
      </c>
      <c r="AE89" s="402" t="s">
        <v>2410</v>
      </c>
      <c r="AF89" s="402" t="s">
        <v>2825</v>
      </c>
      <c r="AG89" s="402" t="s">
        <v>4368</v>
      </c>
      <c r="AH89" s="402" t="s">
        <v>168</v>
      </c>
      <c r="AI89" s="402" t="s">
        <v>238</v>
      </c>
      <c r="AJ89" s="407" t="s">
        <v>3945</v>
      </c>
      <c r="AK89" s="407" t="s">
        <v>2419</v>
      </c>
      <c r="AL89" s="407" t="s">
        <v>2412</v>
      </c>
      <c r="AM89" s="407" t="s">
        <v>2419</v>
      </c>
      <c r="AN89" s="420" t="s">
        <v>2414</v>
      </c>
      <c r="AO89" s="420" t="s">
        <v>2415</v>
      </c>
      <c r="AP89" s="407" t="s">
        <v>1943</v>
      </c>
      <c r="AQ89" s="407" t="s">
        <v>2826</v>
      </c>
      <c r="AR89" s="407" t="s">
        <v>2826</v>
      </c>
      <c r="AS89" s="407" t="s">
        <v>2827</v>
      </c>
      <c r="AT89" s="798" t="s">
        <v>2419</v>
      </c>
      <c r="AU89" s="407" t="s">
        <v>3476</v>
      </c>
      <c r="AV89" s="408"/>
      <c r="AW89" s="191"/>
    </row>
    <row r="90" spans="1:49" ht="17">
      <c r="A90" s="395"/>
      <c r="B90" s="342" t="s">
        <v>850</v>
      </c>
      <c r="C90" s="213" t="s">
        <v>851</v>
      </c>
      <c r="D90" s="214" t="s">
        <v>552</v>
      </c>
      <c r="E90" s="215">
        <v>23.54</v>
      </c>
      <c r="F90" s="216" t="s">
        <v>852</v>
      </c>
      <c r="G90" s="217" t="s">
        <v>0</v>
      </c>
      <c r="H90" s="218" t="s">
        <v>4505</v>
      </c>
      <c r="I90" s="219">
        <v>83.35</v>
      </c>
      <c r="J90" s="220">
        <v>85.95</v>
      </c>
      <c r="K90" s="221">
        <v>2.5514000000000001</v>
      </c>
      <c r="L90" s="222">
        <v>85.9</v>
      </c>
      <c r="M90" s="220">
        <v>88.5</v>
      </c>
      <c r="N90" s="223">
        <v>3.5</v>
      </c>
      <c r="O90" s="219">
        <v>92</v>
      </c>
      <c r="P90" s="224">
        <v>6.6900000000000001E-2</v>
      </c>
      <c r="Q90" s="225">
        <v>6.3700000000000007E-2</v>
      </c>
      <c r="R90" s="225" t="s">
        <v>550</v>
      </c>
      <c r="S90" s="226" t="s">
        <v>1746</v>
      </c>
      <c r="T90" s="226"/>
      <c r="U90" s="226">
        <v>6.3799999999999996E-2</v>
      </c>
      <c r="V90" s="227">
        <v>11.930199999999999</v>
      </c>
      <c r="W90" s="227"/>
      <c r="X90" s="226"/>
      <c r="Y90" s="409">
        <v>5.5E-2</v>
      </c>
      <c r="Z90" s="410">
        <v>2</v>
      </c>
      <c r="AA90" s="192" t="s">
        <v>1466</v>
      </c>
      <c r="AB90" s="411" t="s">
        <v>2828</v>
      </c>
      <c r="AC90" s="412">
        <v>89.45</v>
      </c>
      <c r="AD90" s="412">
        <v>48</v>
      </c>
      <c r="AE90" s="409" t="s">
        <v>2410</v>
      </c>
      <c r="AF90" s="409" t="s">
        <v>2561</v>
      </c>
      <c r="AG90" s="409" t="s">
        <v>3862</v>
      </c>
      <c r="AH90" s="409" t="s">
        <v>169</v>
      </c>
      <c r="AI90" s="409" t="s">
        <v>239</v>
      </c>
      <c r="AJ90" s="242" t="s">
        <v>3899</v>
      </c>
      <c r="AK90" s="242" t="s">
        <v>2829</v>
      </c>
      <c r="AL90" s="242" t="s">
        <v>2412</v>
      </c>
      <c r="AM90" s="242" t="s">
        <v>2413</v>
      </c>
      <c r="AN90" s="421" t="s">
        <v>2414</v>
      </c>
      <c r="AO90" s="421" t="s">
        <v>2415</v>
      </c>
      <c r="AP90" s="242" t="s">
        <v>1943</v>
      </c>
      <c r="AQ90" s="242" t="s">
        <v>2830</v>
      </c>
      <c r="AR90" s="242" t="s">
        <v>2830</v>
      </c>
      <c r="AS90" s="242" t="s">
        <v>2831</v>
      </c>
      <c r="AT90" s="797" t="s">
        <v>2419</v>
      </c>
      <c r="AU90" s="242" t="s">
        <v>3476</v>
      </c>
      <c r="AV90" s="193"/>
      <c r="AW90" s="191"/>
    </row>
    <row r="91" spans="1:49" ht="17.149999999999999" customHeight="1">
      <c r="A91" s="395"/>
      <c r="B91" s="342" t="s">
        <v>853</v>
      </c>
      <c r="C91" s="213" t="s">
        <v>854</v>
      </c>
      <c r="D91" s="228" t="s">
        <v>855</v>
      </c>
      <c r="E91" s="229">
        <v>15.57</v>
      </c>
      <c r="F91" s="230" t="s">
        <v>856</v>
      </c>
      <c r="G91" s="231" t="s">
        <v>0</v>
      </c>
      <c r="H91" s="232" t="s">
        <v>4505</v>
      </c>
      <c r="I91" s="233">
        <v>96.78</v>
      </c>
      <c r="J91" s="234">
        <v>99.600000000000009</v>
      </c>
      <c r="K91" s="235">
        <v>2.4110999999999998</v>
      </c>
      <c r="L91" s="236">
        <v>99.19</v>
      </c>
      <c r="M91" s="234">
        <v>102.01</v>
      </c>
      <c r="N91" s="237">
        <v>3</v>
      </c>
      <c r="O91" s="233">
        <v>105.01</v>
      </c>
      <c r="P91" s="238">
        <v>5.6399999999999999E-2</v>
      </c>
      <c r="Q91" s="239">
        <v>5.3499999999999999E-2</v>
      </c>
      <c r="R91" s="239" t="s">
        <v>557</v>
      </c>
      <c r="S91" s="240" t="s">
        <v>1776</v>
      </c>
      <c r="T91" s="240"/>
      <c r="U91" s="240" t="s">
        <v>1767</v>
      </c>
      <c r="V91" s="241">
        <v>10.0481</v>
      </c>
      <c r="W91" s="241"/>
      <c r="X91" s="240"/>
      <c r="Y91" s="402">
        <v>5.5999999999999994E-2</v>
      </c>
      <c r="Z91" s="403">
        <v>2</v>
      </c>
      <c r="AA91" s="404" t="s">
        <v>2832</v>
      </c>
      <c r="AB91" s="405" t="s">
        <v>2833</v>
      </c>
      <c r="AC91" s="406">
        <v>102.60000000000001</v>
      </c>
      <c r="AD91" s="406">
        <v>32</v>
      </c>
      <c r="AE91" s="402" t="s">
        <v>2410</v>
      </c>
      <c r="AF91" s="402" t="s">
        <v>2834</v>
      </c>
      <c r="AG91" s="402" t="s">
        <v>3886</v>
      </c>
      <c r="AH91" s="402" t="s">
        <v>168</v>
      </c>
      <c r="AI91" s="402" t="s">
        <v>66</v>
      </c>
      <c r="AJ91" s="407" t="s">
        <v>3856</v>
      </c>
      <c r="AK91" s="407" t="s">
        <v>2419</v>
      </c>
      <c r="AL91" s="407" t="s">
        <v>2412</v>
      </c>
      <c r="AM91" s="407" t="s">
        <v>2419</v>
      </c>
      <c r="AN91" s="420" t="s">
        <v>2414</v>
      </c>
      <c r="AO91" s="420" t="s">
        <v>2415</v>
      </c>
      <c r="AP91" s="407" t="s">
        <v>1943</v>
      </c>
      <c r="AQ91" s="407" t="s">
        <v>2835</v>
      </c>
      <c r="AR91" s="407" t="s">
        <v>2835</v>
      </c>
      <c r="AS91" s="407" t="s">
        <v>2836</v>
      </c>
      <c r="AT91" s="798" t="s">
        <v>2419</v>
      </c>
      <c r="AU91" s="407" t="s">
        <v>3476</v>
      </c>
      <c r="AV91" s="408"/>
      <c r="AW91" s="191"/>
    </row>
    <row r="92" spans="1:49" ht="17">
      <c r="A92" s="395"/>
      <c r="B92" s="342" t="s">
        <v>857</v>
      </c>
      <c r="C92" s="213" t="s">
        <v>858</v>
      </c>
      <c r="D92" s="214" t="s">
        <v>787</v>
      </c>
      <c r="E92" s="215">
        <v>21.44</v>
      </c>
      <c r="F92" s="216" t="s">
        <v>859</v>
      </c>
      <c r="G92" s="217" t="s">
        <v>0</v>
      </c>
      <c r="H92" s="218" t="s">
        <v>4505</v>
      </c>
      <c r="I92" s="219">
        <v>89</v>
      </c>
      <c r="J92" s="220">
        <v>90.54</v>
      </c>
      <c r="K92" s="221">
        <v>0.3115</v>
      </c>
      <c r="L92" s="222">
        <v>89.31</v>
      </c>
      <c r="M92" s="220">
        <v>90.85</v>
      </c>
      <c r="N92" s="223">
        <v>3</v>
      </c>
      <c r="O92" s="219">
        <v>93.85</v>
      </c>
      <c r="P92" s="224">
        <v>5.6399999999999999E-2</v>
      </c>
      <c r="Q92" s="225">
        <v>5.3900000000000003E-2</v>
      </c>
      <c r="R92" s="225" t="s">
        <v>557</v>
      </c>
      <c r="S92" s="226" t="s">
        <v>1745</v>
      </c>
      <c r="T92" s="226"/>
      <c r="U92" s="226">
        <v>5.3900000000000003E-2</v>
      </c>
      <c r="V92" s="227">
        <v>12.735799999999999</v>
      </c>
      <c r="W92" s="227"/>
      <c r="X92" s="226"/>
      <c r="Y92" s="409">
        <v>4.8750000000000002E-2</v>
      </c>
      <c r="Z92" s="410">
        <v>2</v>
      </c>
      <c r="AA92" s="192" t="s">
        <v>1400</v>
      </c>
      <c r="AB92" s="411" t="s">
        <v>2837</v>
      </c>
      <c r="AC92" s="412">
        <v>93.54</v>
      </c>
      <c r="AD92" s="412">
        <v>43</v>
      </c>
      <c r="AE92" s="409" t="s">
        <v>2410</v>
      </c>
      <c r="AF92" s="409" t="s">
        <v>3733</v>
      </c>
      <c r="AG92" s="409" t="s">
        <v>4439</v>
      </c>
      <c r="AH92" s="409" t="s">
        <v>170</v>
      </c>
      <c r="AI92" s="409" t="s">
        <v>64</v>
      </c>
      <c r="AJ92" s="242" t="s">
        <v>2773</v>
      </c>
      <c r="AK92" s="242" t="s">
        <v>2838</v>
      </c>
      <c r="AL92" s="242" t="s">
        <v>2412</v>
      </c>
      <c r="AM92" s="242" t="s">
        <v>2413</v>
      </c>
      <c r="AN92" s="421" t="s">
        <v>2414</v>
      </c>
      <c r="AO92" s="421" t="s">
        <v>2415</v>
      </c>
      <c r="AP92" s="242" t="s">
        <v>1945</v>
      </c>
      <c r="AQ92" s="242" t="s">
        <v>2839</v>
      </c>
      <c r="AR92" s="242" t="s">
        <v>2839</v>
      </c>
      <c r="AS92" s="242" t="s">
        <v>2840</v>
      </c>
      <c r="AT92" s="797" t="s">
        <v>2419</v>
      </c>
      <c r="AU92" s="242" t="s">
        <v>3476</v>
      </c>
      <c r="AV92" s="193"/>
      <c r="AW92" s="191"/>
    </row>
    <row r="93" spans="1:49" ht="17.149999999999999" customHeight="1">
      <c r="A93" s="395"/>
      <c r="B93" s="342" t="s">
        <v>860</v>
      </c>
      <c r="C93" s="213" t="s">
        <v>861</v>
      </c>
      <c r="D93" s="228" t="s">
        <v>862</v>
      </c>
      <c r="E93" s="229">
        <v>23.73</v>
      </c>
      <c r="F93" s="230" t="s">
        <v>863</v>
      </c>
      <c r="G93" s="231" t="s">
        <v>0</v>
      </c>
      <c r="H93" s="232" t="s">
        <v>4505</v>
      </c>
      <c r="I93" s="233">
        <v>85.31</v>
      </c>
      <c r="J93" s="234">
        <v>86.79</v>
      </c>
      <c r="K93" s="235">
        <v>1.3607</v>
      </c>
      <c r="L93" s="236">
        <v>86.67</v>
      </c>
      <c r="M93" s="234">
        <v>88.15</v>
      </c>
      <c r="N93" s="237">
        <v>3.5</v>
      </c>
      <c r="O93" s="233">
        <v>91.65</v>
      </c>
      <c r="P93" s="238">
        <v>6.1100000000000002E-2</v>
      </c>
      <c r="Q93" s="239">
        <v>5.8099999999999999E-2</v>
      </c>
      <c r="R93" s="239" t="s">
        <v>557</v>
      </c>
      <c r="S93" s="240" t="s">
        <v>1745</v>
      </c>
      <c r="T93" s="240"/>
      <c r="U93" s="240">
        <v>5.8200000000000002E-2</v>
      </c>
      <c r="V93" s="241">
        <v>12.8414</v>
      </c>
      <c r="W93" s="241"/>
      <c r="X93" s="240"/>
      <c r="Y93" s="402">
        <v>5.0499999999999996E-2</v>
      </c>
      <c r="Z93" s="403">
        <v>2</v>
      </c>
      <c r="AA93" s="404" t="s">
        <v>1412</v>
      </c>
      <c r="AB93" s="405" t="s">
        <v>2841</v>
      </c>
      <c r="AC93" s="406">
        <v>90.29</v>
      </c>
      <c r="AD93" s="406">
        <v>48</v>
      </c>
      <c r="AE93" s="402" t="s">
        <v>2410</v>
      </c>
      <c r="AF93" s="402" t="s">
        <v>2842</v>
      </c>
      <c r="AG93" s="402" t="s">
        <v>4029</v>
      </c>
      <c r="AH93" s="402" t="s">
        <v>167</v>
      </c>
      <c r="AI93" s="402" t="s">
        <v>67</v>
      </c>
      <c r="AJ93" s="407" t="s">
        <v>3916</v>
      </c>
      <c r="AK93" s="407" t="s">
        <v>2843</v>
      </c>
      <c r="AL93" s="407" t="s">
        <v>2412</v>
      </c>
      <c r="AM93" s="407" t="s">
        <v>2413</v>
      </c>
      <c r="AN93" s="420" t="s">
        <v>2414</v>
      </c>
      <c r="AO93" s="420" t="s">
        <v>2415</v>
      </c>
      <c r="AP93" s="407" t="s">
        <v>1945</v>
      </c>
      <c r="AQ93" s="407" t="s">
        <v>2844</v>
      </c>
      <c r="AR93" s="407" t="s">
        <v>2844</v>
      </c>
      <c r="AS93" s="407" t="s">
        <v>2845</v>
      </c>
      <c r="AT93" s="798" t="s">
        <v>2419</v>
      </c>
      <c r="AU93" s="407" t="s">
        <v>3476</v>
      </c>
      <c r="AV93" s="408"/>
      <c r="AW93" s="191"/>
    </row>
    <row r="94" spans="1:49" ht="17">
      <c r="A94" s="395"/>
      <c r="B94" s="342" t="s">
        <v>864</v>
      </c>
      <c r="C94" s="213" t="s">
        <v>865</v>
      </c>
      <c r="D94" s="214" t="s">
        <v>866</v>
      </c>
      <c r="E94" s="215">
        <v>25.23</v>
      </c>
      <c r="F94" s="216" t="s">
        <v>867</v>
      </c>
      <c r="G94" s="217" t="s">
        <v>0</v>
      </c>
      <c r="H94" s="218" t="s">
        <v>4505</v>
      </c>
      <c r="I94" s="219">
        <v>67.03</v>
      </c>
      <c r="J94" s="220">
        <v>69.010000000000005</v>
      </c>
      <c r="K94" s="221">
        <v>0.80310000000000004</v>
      </c>
      <c r="L94" s="222">
        <v>67.83</v>
      </c>
      <c r="M94" s="220">
        <v>69.81</v>
      </c>
      <c r="N94" s="223">
        <v>1</v>
      </c>
      <c r="O94" s="219">
        <v>70.81</v>
      </c>
      <c r="P94" s="224">
        <v>5.16E-2</v>
      </c>
      <c r="Q94" s="225">
        <v>5.0700000000000002E-2</v>
      </c>
      <c r="R94" s="225" t="s">
        <v>868</v>
      </c>
      <c r="S94" s="226" t="s">
        <v>1745</v>
      </c>
      <c r="T94" s="226"/>
      <c r="U94" s="226">
        <v>5.0999999999999997E-2</v>
      </c>
      <c r="V94" s="227">
        <v>15.648999999999999</v>
      </c>
      <c r="W94" s="227"/>
      <c r="X94" s="226"/>
      <c r="Y94" s="409">
        <v>2.9500000000000002E-2</v>
      </c>
      <c r="Z94" s="410">
        <v>2</v>
      </c>
      <c r="AA94" s="192" t="s">
        <v>1351</v>
      </c>
      <c r="AB94" s="411" t="s">
        <v>2846</v>
      </c>
      <c r="AC94" s="412">
        <v>70.010000000000005</v>
      </c>
      <c r="AD94" s="412">
        <v>51</v>
      </c>
      <c r="AE94" s="409" t="s">
        <v>2410</v>
      </c>
      <c r="AF94" s="409" t="s">
        <v>2847</v>
      </c>
      <c r="AG94" s="409" t="s">
        <v>4030</v>
      </c>
      <c r="AH94" s="409" t="s">
        <v>166</v>
      </c>
      <c r="AI94" s="409" t="s">
        <v>68</v>
      </c>
      <c r="AJ94" s="242" t="s">
        <v>2419</v>
      </c>
      <c r="AK94" s="242" t="s">
        <v>2848</v>
      </c>
      <c r="AL94" s="242" t="s">
        <v>2412</v>
      </c>
      <c r="AM94" s="242" t="s">
        <v>2413</v>
      </c>
      <c r="AN94" s="421" t="s">
        <v>2414</v>
      </c>
      <c r="AO94" s="421" t="s">
        <v>2415</v>
      </c>
      <c r="AP94" s="242" t="s">
        <v>1945</v>
      </c>
      <c r="AQ94" s="242" t="s">
        <v>2849</v>
      </c>
      <c r="AR94" s="242" t="s">
        <v>2849</v>
      </c>
      <c r="AS94" s="242" t="s">
        <v>2850</v>
      </c>
      <c r="AT94" s="797" t="s">
        <v>2419</v>
      </c>
      <c r="AU94" s="242" t="s">
        <v>3476</v>
      </c>
      <c r="AV94" s="193"/>
      <c r="AW94" s="191"/>
    </row>
    <row r="95" spans="1:49" ht="17.149999999999999" customHeight="1">
      <c r="A95" s="395"/>
      <c r="B95" s="342" t="s">
        <v>869</v>
      </c>
      <c r="C95" s="213" t="s">
        <v>870</v>
      </c>
      <c r="D95" s="228" t="s">
        <v>722</v>
      </c>
      <c r="E95" s="229">
        <v>25.17</v>
      </c>
      <c r="F95" s="230" t="s">
        <v>285</v>
      </c>
      <c r="G95" s="231" t="s">
        <v>0</v>
      </c>
      <c r="H95" s="232" t="s">
        <v>4505</v>
      </c>
      <c r="I95" s="233">
        <v>71.03</v>
      </c>
      <c r="J95" s="234">
        <v>72.89</v>
      </c>
      <c r="K95" s="235">
        <v>1.1428</v>
      </c>
      <c r="L95" s="236">
        <v>72.17</v>
      </c>
      <c r="M95" s="234">
        <v>74.03</v>
      </c>
      <c r="N95" s="237">
        <v>3.5</v>
      </c>
      <c r="O95" s="233">
        <v>77.53</v>
      </c>
      <c r="P95" s="238">
        <v>5.3800000000000001E-2</v>
      </c>
      <c r="Q95" s="239">
        <v>5.0700000000000002E-2</v>
      </c>
      <c r="R95" s="239" t="s">
        <v>557</v>
      </c>
      <c r="S95" s="240" t="s">
        <v>1745</v>
      </c>
      <c r="T95" s="240"/>
      <c r="U95" s="240">
        <v>5.0900000000000001E-2</v>
      </c>
      <c r="V95" s="241">
        <v>14.9969</v>
      </c>
      <c r="W95" s="241"/>
      <c r="X95" s="240"/>
      <c r="Y95" s="402">
        <v>3.4000000000000002E-2</v>
      </c>
      <c r="Z95" s="403">
        <v>2</v>
      </c>
      <c r="AA95" s="404" t="s">
        <v>1382</v>
      </c>
      <c r="AB95" s="405" t="s">
        <v>2851</v>
      </c>
      <c r="AC95" s="406">
        <v>76.39</v>
      </c>
      <c r="AD95" s="406">
        <v>51</v>
      </c>
      <c r="AE95" s="402" t="s">
        <v>2410</v>
      </c>
      <c r="AF95" s="402" t="s">
        <v>2469</v>
      </c>
      <c r="AG95" s="402" t="s">
        <v>3972</v>
      </c>
      <c r="AH95" s="402" t="s">
        <v>171</v>
      </c>
      <c r="AI95" s="402" t="s">
        <v>138</v>
      </c>
      <c r="AJ95" s="407" t="s">
        <v>3967</v>
      </c>
      <c r="AK95" s="407" t="s">
        <v>2852</v>
      </c>
      <c r="AL95" s="407" t="s">
        <v>2412</v>
      </c>
      <c r="AM95" s="407" t="s">
        <v>2413</v>
      </c>
      <c r="AN95" s="420" t="s">
        <v>2414</v>
      </c>
      <c r="AO95" s="420" t="s">
        <v>2415</v>
      </c>
      <c r="AP95" s="407" t="s">
        <v>1945</v>
      </c>
      <c r="AQ95" s="407" t="s">
        <v>2853</v>
      </c>
      <c r="AR95" s="407" t="s">
        <v>2853</v>
      </c>
      <c r="AS95" s="407" t="s">
        <v>2854</v>
      </c>
      <c r="AT95" s="798" t="s">
        <v>2419</v>
      </c>
      <c r="AU95" s="407" t="s">
        <v>3476</v>
      </c>
      <c r="AV95" s="408"/>
      <c r="AW95" s="191"/>
    </row>
    <row r="96" spans="1:49" ht="17">
      <c r="A96" s="395"/>
      <c r="B96" s="342" t="s">
        <v>871</v>
      </c>
      <c r="C96" s="213" t="s">
        <v>872</v>
      </c>
      <c r="D96" s="214" t="s">
        <v>1169</v>
      </c>
      <c r="E96" s="215">
        <v>20.87</v>
      </c>
      <c r="F96" s="216" t="s">
        <v>873</v>
      </c>
      <c r="G96" s="217" t="s">
        <v>0</v>
      </c>
      <c r="H96" s="218" t="s">
        <v>4505</v>
      </c>
      <c r="I96" s="219">
        <v>89.47</v>
      </c>
      <c r="J96" s="220">
        <v>91.03</v>
      </c>
      <c r="K96" s="221">
        <v>0.62670000000000003</v>
      </c>
      <c r="L96" s="222">
        <v>90.1</v>
      </c>
      <c r="M96" s="220">
        <v>91.66</v>
      </c>
      <c r="N96" s="223">
        <v>3</v>
      </c>
      <c r="O96" s="219">
        <v>94.66</v>
      </c>
      <c r="P96" s="224">
        <v>5.4199999999999998E-2</v>
      </c>
      <c r="Q96" s="225">
        <v>5.1700000000000003E-2</v>
      </c>
      <c r="R96" s="225" t="s">
        <v>557</v>
      </c>
      <c r="S96" s="226" t="s">
        <v>1745</v>
      </c>
      <c r="T96" s="226"/>
      <c r="U96" s="226">
        <v>5.1799999999999999E-2</v>
      </c>
      <c r="V96" s="227">
        <v>12.7453</v>
      </c>
      <c r="W96" s="227"/>
      <c r="X96" s="226"/>
      <c r="Y96" s="409">
        <v>4.7E-2</v>
      </c>
      <c r="Z96" s="410">
        <v>2</v>
      </c>
      <c r="AA96" s="192" t="s">
        <v>1421</v>
      </c>
      <c r="AB96" s="411" t="s">
        <v>2855</v>
      </c>
      <c r="AC96" s="412">
        <v>94.03</v>
      </c>
      <c r="AD96" s="412">
        <v>42</v>
      </c>
      <c r="AE96" s="409" t="s">
        <v>2410</v>
      </c>
      <c r="AF96" s="409" t="s">
        <v>2740</v>
      </c>
      <c r="AG96" s="409" t="s">
        <v>4340</v>
      </c>
      <c r="AH96" s="409" t="s">
        <v>167</v>
      </c>
      <c r="AI96" s="409" t="s">
        <v>83</v>
      </c>
      <c r="AJ96" s="242" t="s">
        <v>2741</v>
      </c>
      <c r="AK96" s="242" t="s">
        <v>2856</v>
      </c>
      <c r="AL96" s="242" t="s">
        <v>2412</v>
      </c>
      <c r="AM96" s="242" t="s">
        <v>2413</v>
      </c>
      <c r="AN96" s="421" t="s">
        <v>2414</v>
      </c>
      <c r="AO96" s="421" t="s">
        <v>2415</v>
      </c>
      <c r="AP96" s="242" t="s">
        <v>1945</v>
      </c>
      <c r="AQ96" s="242" t="s">
        <v>2857</v>
      </c>
      <c r="AR96" s="242" t="s">
        <v>2857</v>
      </c>
      <c r="AS96" s="242" t="s">
        <v>2858</v>
      </c>
      <c r="AT96" s="797" t="s">
        <v>2419</v>
      </c>
      <c r="AU96" s="242" t="s">
        <v>3476</v>
      </c>
      <c r="AV96" s="193"/>
      <c r="AW96" s="191"/>
    </row>
    <row r="97" spans="1:49" ht="17.149999999999999" customHeight="1">
      <c r="A97" s="395"/>
      <c r="B97" s="342" t="s">
        <v>874</v>
      </c>
      <c r="C97" s="213" t="s">
        <v>875</v>
      </c>
      <c r="D97" s="228" t="s">
        <v>2235</v>
      </c>
      <c r="E97" s="229">
        <v>21.37</v>
      </c>
      <c r="F97" s="230" t="s">
        <v>876</v>
      </c>
      <c r="G97" s="231" t="s">
        <v>0</v>
      </c>
      <c r="H97" s="232" t="s">
        <v>4505</v>
      </c>
      <c r="I97" s="233">
        <v>89.69</v>
      </c>
      <c r="J97" s="234">
        <v>91.12</v>
      </c>
      <c r="K97" s="235">
        <v>0.65280000000000005</v>
      </c>
      <c r="L97" s="236">
        <v>90.34</v>
      </c>
      <c r="M97" s="234">
        <v>91.77</v>
      </c>
      <c r="N97" s="237">
        <v>3</v>
      </c>
      <c r="O97" s="233">
        <v>94.77</v>
      </c>
      <c r="P97" s="238">
        <v>5.7299999999999997E-2</v>
      </c>
      <c r="Q97" s="239">
        <v>5.4699999999999999E-2</v>
      </c>
      <c r="R97" s="239" t="s">
        <v>557</v>
      </c>
      <c r="S97" s="240" t="s">
        <v>1746</v>
      </c>
      <c r="T97" s="240"/>
      <c r="U97" s="240">
        <v>5.4800000000000001E-2</v>
      </c>
      <c r="V97" s="241">
        <v>12.560600000000001</v>
      </c>
      <c r="W97" s="241"/>
      <c r="X97" s="240"/>
      <c r="Y97" s="402">
        <v>0.05</v>
      </c>
      <c r="Z97" s="403">
        <v>2</v>
      </c>
      <c r="AA97" s="404" t="s">
        <v>1467</v>
      </c>
      <c r="AB97" s="405" t="s">
        <v>2859</v>
      </c>
      <c r="AC97" s="406">
        <v>94.12</v>
      </c>
      <c r="AD97" s="406">
        <v>43</v>
      </c>
      <c r="AE97" s="402" t="s">
        <v>2410</v>
      </c>
      <c r="AF97" s="402" t="s">
        <v>2609</v>
      </c>
      <c r="AG97" s="402" t="s">
        <v>4341</v>
      </c>
      <c r="AH97" s="402" t="s">
        <v>172</v>
      </c>
      <c r="AI97" s="402" t="s">
        <v>240</v>
      </c>
      <c r="AJ97" s="407" t="s">
        <v>3857</v>
      </c>
      <c r="AK97" s="407" t="s">
        <v>2860</v>
      </c>
      <c r="AL97" s="407" t="s">
        <v>2412</v>
      </c>
      <c r="AM97" s="407" t="s">
        <v>2413</v>
      </c>
      <c r="AN97" s="420" t="s">
        <v>2414</v>
      </c>
      <c r="AO97" s="420" t="s">
        <v>2415</v>
      </c>
      <c r="AP97" s="407" t="s">
        <v>1945</v>
      </c>
      <c r="AQ97" s="407" t="s">
        <v>2861</v>
      </c>
      <c r="AR97" s="407" t="s">
        <v>2861</v>
      </c>
      <c r="AS97" s="407" t="s">
        <v>2862</v>
      </c>
      <c r="AT97" s="798" t="s">
        <v>2419</v>
      </c>
      <c r="AU97" s="407" t="s">
        <v>3476</v>
      </c>
      <c r="AV97" s="408"/>
      <c r="AW97" s="191"/>
    </row>
    <row r="98" spans="1:49" ht="17">
      <c r="A98" s="395"/>
      <c r="B98" s="342" t="s">
        <v>877</v>
      </c>
      <c r="C98" s="213" t="s">
        <v>878</v>
      </c>
      <c r="D98" s="214" t="s">
        <v>2171</v>
      </c>
      <c r="E98" s="215">
        <v>25.17</v>
      </c>
      <c r="F98" s="216" t="s">
        <v>221</v>
      </c>
      <c r="G98" s="217" t="s">
        <v>0</v>
      </c>
      <c r="H98" s="218" t="s">
        <v>4505</v>
      </c>
      <c r="I98" s="219">
        <v>62.64</v>
      </c>
      <c r="J98" s="220">
        <v>64.14</v>
      </c>
      <c r="K98" s="221">
        <v>0.92430000000000001</v>
      </c>
      <c r="L98" s="222">
        <v>63.56</v>
      </c>
      <c r="M98" s="220">
        <v>65.06</v>
      </c>
      <c r="N98" s="223">
        <v>3.5</v>
      </c>
      <c r="O98" s="219">
        <v>68.56</v>
      </c>
      <c r="P98" s="224">
        <v>5.3600000000000002E-2</v>
      </c>
      <c r="Q98" s="225">
        <v>5.0299999999999997E-2</v>
      </c>
      <c r="R98" s="225" t="s">
        <v>557</v>
      </c>
      <c r="S98" s="226" t="s">
        <v>1745</v>
      </c>
      <c r="T98" s="226"/>
      <c r="U98" s="226">
        <v>5.0599999999999999E-2</v>
      </c>
      <c r="V98" s="227">
        <v>15.770099999999999</v>
      </c>
      <c r="W98" s="227"/>
      <c r="X98" s="226"/>
      <c r="Y98" s="409">
        <v>2.75E-2</v>
      </c>
      <c r="Z98" s="410">
        <v>2</v>
      </c>
      <c r="AA98" s="192" t="s">
        <v>1356</v>
      </c>
      <c r="AB98" s="411" t="s">
        <v>2851</v>
      </c>
      <c r="AC98" s="412">
        <v>67.64</v>
      </c>
      <c r="AD98" s="412">
        <v>51</v>
      </c>
      <c r="AE98" s="409" t="s">
        <v>2410</v>
      </c>
      <c r="AF98" s="409" t="s">
        <v>2469</v>
      </c>
      <c r="AG98" s="409" t="s">
        <v>3972</v>
      </c>
      <c r="AH98" s="409" t="s">
        <v>164</v>
      </c>
      <c r="AI98" s="409" t="s">
        <v>98</v>
      </c>
      <c r="AJ98" s="242" t="s">
        <v>2863</v>
      </c>
      <c r="AK98" s="242" t="s">
        <v>2852</v>
      </c>
      <c r="AL98" s="242" t="s">
        <v>2412</v>
      </c>
      <c r="AM98" s="242" t="s">
        <v>2413</v>
      </c>
      <c r="AN98" s="421" t="s">
        <v>2414</v>
      </c>
      <c r="AO98" s="421" t="s">
        <v>2415</v>
      </c>
      <c r="AP98" s="242" t="s">
        <v>1945</v>
      </c>
      <c r="AQ98" s="242" t="s">
        <v>2864</v>
      </c>
      <c r="AR98" s="242" t="s">
        <v>2864</v>
      </c>
      <c r="AS98" s="242" t="s">
        <v>2854</v>
      </c>
      <c r="AT98" s="797" t="s">
        <v>2419</v>
      </c>
      <c r="AU98" s="242" t="s">
        <v>3476</v>
      </c>
      <c r="AV98" s="193"/>
      <c r="AW98" s="191"/>
    </row>
    <row r="99" spans="1:49" ht="17.149999999999999" customHeight="1">
      <c r="A99" s="395"/>
      <c r="B99" s="342" t="s">
        <v>879</v>
      </c>
      <c r="C99" s="213" t="s">
        <v>880</v>
      </c>
      <c r="D99" s="228" t="s">
        <v>592</v>
      </c>
      <c r="E99" s="229">
        <v>21.91</v>
      </c>
      <c r="F99" s="230" t="s">
        <v>881</v>
      </c>
      <c r="G99" s="231" t="s">
        <v>0</v>
      </c>
      <c r="H99" s="232" t="s">
        <v>4505</v>
      </c>
      <c r="I99" s="233">
        <v>80.95</v>
      </c>
      <c r="J99" s="234">
        <v>82.26</v>
      </c>
      <c r="K99" s="235">
        <v>0.37669999999999998</v>
      </c>
      <c r="L99" s="236">
        <v>81.33</v>
      </c>
      <c r="M99" s="234">
        <v>82.64</v>
      </c>
      <c r="N99" s="237">
        <v>3</v>
      </c>
      <c r="O99" s="233">
        <v>85.64</v>
      </c>
      <c r="P99" s="238">
        <v>5.8200000000000002E-2</v>
      </c>
      <c r="Q99" s="239">
        <v>5.5399999999999998E-2</v>
      </c>
      <c r="R99" s="239" t="s">
        <v>557</v>
      </c>
      <c r="S99" s="240" t="s">
        <v>1745</v>
      </c>
      <c r="T99" s="240"/>
      <c r="U99" s="240">
        <v>5.5599999999999997E-2</v>
      </c>
      <c r="V99" s="241">
        <v>13.0779</v>
      </c>
      <c r="W99" s="241"/>
      <c r="X99" s="240"/>
      <c r="Y99" s="402">
        <v>4.3749999999999997E-2</v>
      </c>
      <c r="Z99" s="403">
        <v>2</v>
      </c>
      <c r="AA99" s="404" t="s">
        <v>1405</v>
      </c>
      <c r="AB99" s="405" t="s">
        <v>2865</v>
      </c>
      <c r="AC99" s="406">
        <v>85.26</v>
      </c>
      <c r="AD99" s="406">
        <v>44</v>
      </c>
      <c r="AE99" s="402" t="s">
        <v>2410</v>
      </c>
      <c r="AF99" s="402" t="s">
        <v>3465</v>
      </c>
      <c r="AG99" s="402" t="s">
        <v>4420</v>
      </c>
      <c r="AH99" s="402" t="s">
        <v>166</v>
      </c>
      <c r="AI99" s="402" t="s">
        <v>147</v>
      </c>
      <c r="AJ99" s="407" t="s">
        <v>3975</v>
      </c>
      <c r="AK99" s="407" t="s">
        <v>2866</v>
      </c>
      <c r="AL99" s="407" t="s">
        <v>2412</v>
      </c>
      <c r="AM99" s="407" t="s">
        <v>2413</v>
      </c>
      <c r="AN99" s="420" t="s">
        <v>2414</v>
      </c>
      <c r="AO99" s="420" t="s">
        <v>2415</v>
      </c>
      <c r="AP99" s="407" t="s">
        <v>1945</v>
      </c>
      <c r="AQ99" s="407" t="s">
        <v>2867</v>
      </c>
      <c r="AR99" s="407" t="s">
        <v>2868</v>
      </c>
      <c r="AS99" s="407" t="s">
        <v>2869</v>
      </c>
      <c r="AT99" s="798" t="s">
        <v>2419</v>
      </c>
      <c r="AU99" s="407" t="s">
        <v>3476</v>
      </c>
      <c r="AV99" s="408"/>
      <c r="AW99" s="191"/>
    </row>
    <row r="100" spans="1:49" ht="17">
      <c r="A100" s="395"/>
      <c r="B100" s="342" t="s">
        <v>882</v>
      </c>
      <c r="C100" s="213" t="s">
        <v>883</v>
      </c>
      <c r="D100" s="214" t="s">
        <v>884</v>
      </c>
      <c r="E100" s="215">
        <v>4.79</v>
      </c>
      <c r="F100" s="216" t="s">
        <v>885</v>
      </c>
      <c r="G100" s="217" t="s">
        <v>0</v>
      </c>
      <c r="H100" s="218" t="s">
        <v>4505</v>
      </c>
      <c r="I100" s="219">
        <v>92.29</v>
      </c>
      <c r="J100" s="220">
        <v>94.190000000000012</v>
      </c>
      <c r="K100" s="221">
        <v>0.77529999999999999</v>
      </c>
      <c r="L100" s="222">
        <v>93.07</v>
      </c>
      <c r="M100" s="220">
        <v>94.97</v>
      </c>
      <c r="N100" s="223">
        <v>2</v>
      </c>
      <c r="O100" s="219">
        <v>96.97</v>
      </c>
      <c r="P100" s="224">
        <v>0.05</v>
      </c>
      <c r="Q100" s="225">
        <v>4.5199999999999997E-2</v>
      </c>
      <c r="R100" s="225" t="s">
        <v>550</v>
      </c>
      <c r="S100" s="226" t="s">
        <v>1746</v>
      </c>
      <c r="T100" s="226"/>
      <c r="U100" s="226" t="s">
        <v>1767</v>
      </c>
      <c r="V100" s="227">
        <v>4.2846000000000002</v>
      </c>
      <c r="W100" s="227"/>
      <c r="X100" s="226"/>
      <c r="Y100" s="409">
        <v>3.6249999999999998E-2</v>
      </c>
      <c r="Z100" s="410">
        <v>2</v>
      </c>
      <c r="AA100" s="192" t="s">
        <v>1468</v>
      </c>
      <c r="AB100" s="411" t="s">
        <v>2792</v>
      </c>
      <c r="AC100" s="412">
        <v>96.190000000000012</v>
      </c>
      <c r="AD100" s="412">
        <v>10</v>
      </c>
      <c r="AE100" s="409" t="s">
        <v>2410</v>
      </c>
      <c r="AF100" s="409" t="s">
        <v>2527</v>
      </c>
      <c r="AG100" s="409" t="s">
        <v>4070</v>
      </c>
      <c r="AH100" s="409" t="s">
        <v>169</v>
      </c>
      <c r="AI100" s="409" t="s">
        <v>241</v>
      </c>
      <c r="AJ100" s="242" t="s">
        <v>3976</v>
      </c>
      <c r="AK100" s="242" t="s">
        <v>2419</v>
      </c>
      <c r="AL100" s="242" t="s">
        <v>2412</v>
      </c>
      <c r="AM100" s="242" t="s">
        <v>2419</v>
      </c>
      <c r="AN100" s="421" t="s">
        <v>2414</v>
      </c>
      <c r="AO100" s="421" t="s">
        <v>2415</v>
      </c>
      <c r="AP100" s="242" t="s">
        <v>1943</v>
      </c>
      <c r="AQ100" s="242" t="s">
        <v>2870</v>
      </c>
      <c r="AR100" s="242" t="s">
        <v>2870</v>
      </c>
      <c r="AS100" s="242" t="s">
        <v>2796</v>
      </c>
      <c r="AT100" s="797" t="s">
        <v>2419</v>
      </c>
      <c r="AU100" s="242" t="s">
        <v>3476</v>
      </c>
      <c r="AV100" s="193"/>
      <c r="AW100" s="191"/>
    </row>
    <row r="101" spans="1:49" ht="17.149999999999999" customHeight="1">
      <c r="A101" s="395"/>
      <c r="B101" s="342" t="s">
        <v>886</v>
      </c>
      <c r="C101" s="213" t="s">
        <v>887</v>
      </c>
      <c r="D101" s="228" t="s">
        <v>2353</v>
      </c>
      <c r="E101" s="229">
        <v>2.54</v>
      </c>
      <c r="F101" s="230" t="s">
        <v>2352</v>
      </c>
      <c r="G101" s="231" t="s">
        <v>0</v>
      </c>
      <c r="H101" s="232" t="s">
        <v>4505</v>
      </c>
      <c r="I101" s="233">
        <v>98.86</v>
      </c>
      <c r="J101" s="234">
        <v>100.35000000000001</v>
      </c>
      <c r="K101" s="235">
        <v>2.5207999999999999</v>
      </c>
      <c r="L101" s="236">
        <v>101.38</v>
      </c>
      <c r="M101" s="234">
        <v>102.87</v>
      </c>
      <c r="N101" s="237">
        <v>2</v>
      </c>
      <c r="O101" s="233">
        <v>104.87</v>
      </c>
      <c r="P101" s="238">
        <v>5.3499999999999999E-2</v>
      </c>
      <c r="Q101" s="239">
        <v>4.5100000000000001E-2</v>
      </c>
      <c r="R101" s="239" t="s">
        <v>557</v>
      </c>
      <c r="S101" s="240" t="s">
        <v>1745</v>
      </c>
      <c r="T101" s="240"/>
      <c r="U101" s="240" t="s">
        <v>1767</v>
      </c>
      <c r="V101" s="241">
        <v>2.2898000000000001</v>
      </c>
      <c r="W101" s="241"/>
      <c r="X101" s="240"/>
      <c r="Y101" s="402">
        <v>5.5E-2</v>
      </c>
      <c r="Z101" s="403">
        <v>2</v>
      </c>
      <c r="AA101" s="404" t="s">
        <v>2871</v>
      </c>
      <c r="AB101" s="405" t="s">
        <v>2872</v>
      </c>
      <c r="AC101" s="406">
        <v>102.35000000000001</v>
      </c>
      <c r="AD101" s="406">
        <v>6</v>
      </c>
      <c r="AE101" s="402" t="s">
        <v>2410</v>
      </c>
      <c r="AF101" s="402" t="s">
        <v>2420</v>
      </c>
      <c r="AG101" s="402" t="s">
        <v>3866</v>
      </c>
      <c r="AH101" s="402" t="s">
        <v>169</v>
      </c>
      <c r="AI101" s="402" t="s">
        <v>888</v>
      </c>
      <c r="AJ101" s="407" t="s">
        <v>2562</v>
      </c>
      <c r="AK101" s="407" t="s">
        <v>2419</v>
      </c>
      <c r="AL101" s="407" t="s">
        <v>2412</v>
      </c>
      <c r="AM101" s="407" t="s">
        <v>2419</v>
      </c>
      <c r="AN101" s="420" t="s">
        <v>2414</v>
      </c>
      <c r="AO101" s="420" t="s">
        <v>2415</v>
      </c>
      <c r="AP101" s="407" t="s">
        <v>1943</v>
      </c>
      <c r="AQ101" s="407" t="s">
        <v>2873</v>
      </c>
      <c r="AR101" s="407" t="s">
        <v>2873</v>
      </c>
      <c r="AS101" s="407" t="s">
        <v>2874</v>
      </c>
      <c r="AT101" s="798" t="s">
        <v>2419</v>
      </c>
      <c r="AU101" s="407" t="s">
        <v>3476</v>
      </c>
      <c r="AV101" s="408"/>
      <c r="AW101" s="191"/>
    </row>
    <row r="102" spans="1:49" ht="17">
      <c r="A102" s="395"/>
      <c r="B102" s="342" t="s">
        <v>889</v>
      </c>
      <c r="C102" s="213" t="s">
        <v>890</v>
      </c>
      <c r="D102" s="214" t="s">
        <v>628</v>
      </c>
      <c r="E102" s="215">
        <v>17.2</v>
      </c>
      <c r="F102" s="216" t="s">
        <v>129</v>
      </c>
      <c r="G102" s="217" t="s">
        <v>0</v>
      </c>
      <c r="H102" s="218" t="s">
        <v>4505</v>
      </c>
      <c r="I102" s="219">
        <v>101.28</v>
      </c>
      <c r="J102" s="220">
        <v>102.79</v>
      </c>
      <c r="K102" s="221">
        <v>1.7833000000000001</v>
      </c>
      <c r="L102" s="222">
        <v>103.06</v>
      </c>
      <c r="M102" s="220">
        <v>104.57</v>
      </c>
      <c r="N102" s="223">
        <v>3</v>
      </c>
      <c r="O102" s="219">
        <v>107.57</v>
      </c>
      <c r="P102" s="224">
        <v>5.74E-2</v>
      </c>
      <c r="Q102" s="225">
        <v>5.4800000000000001E-2</v>
      </c>
      <c r="R102" s="225" t="s">
        <v>557</v>
      </c>
      <c r="S102" s="226" t="s">
        <v>1745</v>
      </c>
      <c r="T102" s="226"/>
      <c r="U102" s="226" t="s">
        <v>1767</v>
      </c>
      <c r="V102" s="227">
        <v>10.600199999999999</v>
      </c>
      <c r="W102" s="227"/>
      <c r="X102" s="226"/>
      <c r="Y102" s="409">
        <v>0.06</v>
      </c>
      <c r="Z102" s="410">
        <v>2</v>
      </c>
      <c r="AA102" s="192" t="s">
        <v>1417</v>
      </c>
      <c r="AB102" s="411" t="s">
        <v>2875</v>
      </c>
      <c r="AC102" s="412">
        <v>105.79</v>
      </c>
      <c r="AD102" s="412">
        <v>35</v>
      </c>
      <c r="AE102" s="409" t="s">
        <v>2410</v>
      </c>
      <c r="AF102" s="409" t="s">
        <v>2491</v>
      </c>
      <c r="AG102" s="409" t="s">
        <v>4021</v>
      </c>
      <c r="AH102" s="409" t="s">
        <v>165</v>
      </c>
      <c r="AI102" s="409" t="s">
        <v>142</v>
      </c>
      <c r="AJ102" s="242" t="s">
        <v>3939</v>
      </c>
      <c r="AK102" s="242" t="s">
        <v>2419</v>
      </c>
      <c r="AL102" s="242" t="s">
        <v>2412</v>
      </c>
      <c r="AM102" s="242" t="s">
        <v>2419</v>
      </c>
      <c r="AN102" s="421" t="s">
        <v>2414</v>
      </c>
      <c r="AO102" s="421" t="s">
        <v>2415</v>
      </c>
      <c r="AP102" s="242" t="s">
        <v>1945</v>
      </c>
      <c r="AQ102" s="242" t="s">
        <v>2876</v>
      </c>
      <c r="AR102" s="242" t="s">
        <v>2876</v>
      </c>
      <c r="AS102" s="242" t="s">
        <v>2877</v>
      </c>
      <c r="AT102" s="797" t="s">
        <v>2419</v>
      </c>
      <c r="AU102" s="242" t="s">
        <v>3476</v>
      </c>
      <c r="AV102" s="193"/>
      <c r="AW102" s="191"/>
    </row>
    <row r="103" spans="1:49" ht="17.149999999999999" customHeight="1">
      <c r="A103" s="395"/>
      <c r="B103" s="342" t="s">
        <v>891</v>
      </c>
      <c r="C103" s="213" t="s">
        <v>892</v>
      </c>
      <c r="D103" s="228" t="s">
        <v>702</v>
      </c>
      <c r="E103" s="229">
        <v>19.87</v>
      </c>
      <c r="F103" s="230" t="s">
        <v>893</v>
      </c>
      <c r="G103" s="231" t="s">
        <v>0</v>
      </c>
      <c r="H103" s="232" t="s">
        <v>4505</v>
      </c>
      <c r="I103" s="233">
        <v>84.96</v>
      </c>
      <c r="J103" s="234">
        <v>86.710000000000008</v>
      </c>
      <c r="K103" s="235">
        <v>0.66579999999999995</v>
      </c>
      <c r="L103" s="236">
        <v>85.63</v>
      </c>
      <c r="M103" s="234">
        <v>87.38</v>
      </c>
      <c r="N103" s="237">
        <v>3</v>
      </c>
      <c r="O103" s="233">
        <v>90.38</v>
      </c>
      <c r="P103" s="238">
        <v>6.2799999999999995E-2</v>
      </c>
      <c r="Q103" s="239">
        <v>5.9900000000000002E-2</v>
      </c>
      <c r="R103" s="239" t="s">
        <v>557</v>
      </c>
      <c r="S103" s="240" t="s">
        <v>1746</v>
      </c>
      <c r="T103" s="240"/>
      <c r="U103" s="240">
        <v>6.0100000000000001E-2</v>
      </c>
      <c r="V103" s="241">
        <v>11.7331</v>
      </c>
      <c r="W103" s="241"/>
      <c r="X103" s="240"/>
      <c r="Y103" s="402">
        <v>5.0999999999999997E-2</v>
      </c>
      <c r="Z103" s="403">
        <v>2</v>
      </c>
      <c r="AA103" s="404" t="s">
        <v>1470</v>
      </c>
      <c r="AB103" s="405" t="s">
        <v>2878</v>
      </c>
      <c r="AC103" s="406">
        <v>89.710000000000008</v>
      </c>
      <c r="AD103" s="406">
        <v>40</v>
      </c>
      <c r="AE103" s="402" t="s">
        <v>2410</v>
      </c>
      <c r="AF103" s="402" t="s">
        <v>2609</v>
      </c>
      <c r="AG103" s="402" t="s">
        <v>4341</v>
      </c>
      <c r="AH103" s="402" t="s">
        <v>170</v>
      </c>
      <c r="AI103" s="402" t="s">
        <v>243</v>
      </c>
      <c r="AJ103" s="407" t="s">
        <v>3867</v>
      </c>
      <c r="AK103" s="407" t="s">
        <v>2879</v>
      </c>
      <c r="AL103" s="407" t="s">
        <v>2412</v>
      </c>
      <c r="AM103" s="407" t="s">
        <v>2413</v>
      </c>
      <c r="AN103" s="420" t="s">
        <v>2414</v>
      </c>
      <c r="AO103" s="420" t="s">
        <v>2415</v>
      </c>
      <c r="AP103" s="407" t="s">
        <v>1945</v>
      </c>
      <c r="AQ103" s="407" t="s">
        <v>2880</v>
      </c>
      <c r="AR103" s="407" t="s">
        <v>2880</v>
      </c>
      <c r="AS103" s="407" t="s">
        <v>2881</v>
      </c>
      <c r="AT103" s="798" t="s">
        <v>2419</v>
      </c>
      <c r="AU103" s="407" t="s">
        <v>3476</v>
      </c>
      <c r="AV103" s="408"/>
      <c r="AW103" s="191"/>
    </row>
    <row r="104" spans="1:49" ht="17">
      <c r="A104" s="395"/>
      <c r="B104" s="342" t="s">
        <v>894</v>
      </c>
      <c r="C104" s="213" t="s">
        <v>895</v>
      </c>
      <c r="D104" s="214" t="s">
        <v>702</v>
      </c>
      <c r="E104" s="215">
        <v>3.62</v>
      </c>
      <c r="F104" s="216" t="s">
        <v>896</v>
      </c>
      <c r="G104" s="217" t="s">
        <v>0</v>
      </c>
      <c r="H104" s="218" t="s">
        <v>4505</v>
      </c>
      <c r="I104" s="219">
        <v>94.5</v>
      </c>
      <c r="J104" s="220">
        <v>95.68</v>
      </c>
      <c r="K104" s="221">
        <v>1.4460999999999999</v>
      </c>
      <c r="L104" s="222">
        <v>95.95</v>
      </c>
      <c r="M104" s="220">
        <v>97.13</v>
      </c>
      <c r="N104" s="223">
        <v>2</v>
      </c>
      <c r="O104" s="219">
        <v>99.13</v>
      </c>
      <c r="P104" s="224">
        <v>5.1200000000000002E-2</v>
      </c>
      <c r="Q104" s="225">
        <v>4.4999999999999998E-2</v>
      </c>
      <c r="R104" s="225" t="s">
        <v>557</v>
      </c>
      <c r="S104" s="226" t="s">
        <v>1745</v>
      </c>
      <c r="T104" s="226"/>
      <c r="U104" s="226">
        <v>4.5499999999999999E-2</v>
      </c>
      <c r="V104" s="227">
        <v>3.2814000000000001</v>
      </c>
      <c r="W104" s="227"/>
      <c r="X104" s="226"/>
      <c r="Y104" s="409">
        <v>3.7999999999999999E-2</v>
      </c>
      <c r="Z104" s="410">
        <v>2</v>
      </c>
      <c r="AA104" s="192" t="s">
        <v>1471</v>
      </c>
      <c r="AB104" s="411" t="s">
        <v>2882</v>
      </c>
      <c r="AC104" s="412">
        <v>97.68</v>
      </c>
      <c r="AD104" s="412">
        <v>8</v>
      </c>
      <c r="AE104" s="409" t="s">
        <v>2410</v>
      </c>
      <c r="AF104" s="409" t="s">
        <v>2534</v>
      </c>
      <c r="AG104" s="409" t="s">
        <v>3909</v>
      </c>
      <c r="AH104" s="409" t="s">
        <v>164</v>
      </c>
      <c r="AI104" s="409" t="s">
        <v>182</v>
      </c>
      <c r="AJ104" s="242" t="s">
        <v>2883</v>
      </c>
      <c r="AK104" s="242" t="s">
        <v>2884</v>
      </c>
      <c r="AL104" s="242" t="s">
        <v>2412</v>
      </c>
      <c r="AM104" s="242" t="s">
        <v>2413</v>
      </c>
      <c r="AN104" s="421" t="s">
        <v>2414</v>
      </c>
      <c r="AO104" s="421" t="s">
        <v>2415</v>
      </c>
      <c r="AP104" s="242" t="s">
        <v>1945</v>
      </c>
      <c r="AQ104" s="242" t="s">
        <v>2885</v>
      </c>
      <c r="AR104" s="242" t="s">
        <v>2886</v>
      </c>
      <c r="AS104" s="242" t="s">
        <v>2887</v>
      </c>
      <c r="AT104" s="797" t="s">
        <v>2419</v>
      </c>
      <c r="AU104" s="242" t="s">
        <v>3476</v>
      </c>
      <c r="AV104" s="193"/>
      <c r="AW104" s="191"/>
    </row>
    <row r="105" spans="1:49" ht="17.149999999999999" customHeight="1">
      <c r="A105" s="395"/>
      <c r="B105" s="342" t="s">
        <v>897</v>
      </c>
      <c r="C105" s="213" t="s">
        <v>898</v>
      </c>
      <c r="D105" s="228" t="s">
        <v>3896</v>
      </c>
      <c r="E105" s="229">
        <v>25.15</v>
      </c>
      <c r="F105" s="230" t="s">
        <v>899</v>
      </c>
      <c r="G105" s="231" t="s">
        <v>0</v>
      </c>
      <c r="H105" s="232" t="s">
        <v>4505</v>
      </c>
      <c r="I105" s="233">
        <v>66.92</v>
      </c>
      <c r="J105" s="234">
        <v>68.62</v>
      </c>
      <c r="K105" s="235">
        <v>1.1375</v>
      </c>
      <c r="L105" s="236">
        <v>68.06</v>
      </c>
      <c r="M105" s="234">
        <v>69.760000000000005</v>
      </c>
      <c r="N105" s="237">
        <v>1</v>
      </c>
      <c r="O105" s="233">
        <v>70.760000000000005</v>
      </c>
      <c r="P105" s="238">
        <v>5.5899999999999998E-2</v>
      </c>
      <c r="Q105" s="239">
        <v>5.4899999999999997E-2</v>
      </c>
      <c r="R105" s="239" t="s">
        <v>868</v>
      </c>
      <c r="S105" s="240" t="s">
        <v>1745</v>
      </c>
      <c r="T105" s="240"/>
      <c r="U105" s="240">
        <v>5.5199999999999999E-2</v>
      </c>
      <c r="V105" s="241">
        <v>14.863300000000001</v>
      </c>
      <c r="W105" s="241"/>
      <c r="X105" s="240"/>
      <c r="Y105" s="402">
        <v>3.2500000000000001E-2</v>
      </c>
      <c r="Z105" s="403">
        <v>2</v>
      </c>
      <c r="AA105" s="404" t="s">
        <v>1364</v>
      </c>
      <c r="AB105" s="405" t="s">
        <v>2888</v>
      </c>
      <c r="AC105" s="406">
        <v>69.62</v>
      </c>
      <c r="AD105" s="406">
        <v>51</v>
      </c>
      <c r="AE105" s="402" t="s">
        <v>2410</v>
      </c>
      <c r="AF105" s="402" t="s">
        <v>2889</v>
      </c>
      <c r="AG105" s="402" t="s">
        <v>3946</v>
      </c>
      <c r="AH105" s="402" t="s">
        <v>171</v>
      </c>
      <c r="AI105" s="402" t="s">
        <v>113</v>
      </c>
      <c r="AJ105" s="407" t="s">
        <v>2890</v>
      </c>
      <c r="AK105" s="407" t="s">
        <v>2891</v>
      </c>
      <c r="AL105" s="407" t="s">
        <v>2412</v>
      </c>
      <c r="AM105" s="407" t="s">
        <v>2413</v>
      </c>
      <c r="AN105" s="420" t="s">
        <v>2414</v>
      </c>
      <c r="AO105" s="420" t="s">
        <v>2415</v>
      </c>
      <c r="AP105" s="407" t="s">
        <v>1945</v>
      </c>
      <c r="AQ105" s="407" t="s">
        <v>2892</v>
      </c>
      <c r="AR105" s="407" t="s">
        <v>2892</v>
      </c>
      <c r="AS105" s="407" t="s">
        <v>2893</v>
      </c>
      <c r="AT105" s="798" t="s">
        <v>2419</v>
      </c>
      <c r="AU105" s="407" t="s">
        <v>3476</v>
      </c>
      <c r="AV105" s="408"/>
      <c r="AW105" s="191"/>
    </row>
    <row r="106" spans="1:49" ht="17">
      <c r="A106" s="395"/>
      <c r="B106" s="342" t="s">
        <v>900</v>
      </c>
      <c r="C106" s="213" t="s">
        <v>901</v>
      </c>
      <c r="D106" s="214" t="s">
        <v>902</v>
      </c>
      <c r="E106" s="215">
        <v>25.29</v>
      </c>
      <c r="F106" s="216" t="s">
        <v>903</v>
      </c>
      <c r="G106" s="217" t="s">
        <v>0</v>
      </c>
      <c r="H106" s="218" t="s">
        <v>4505</v>
      </c>
      <c r="I106" s="219">
        <v>65.58</v>
      </c>
      <c r="J106" s="220">
        <v>67.14</v>
      </c>
      <c r="K106" s="221">
        <v>0.6149</v>
      </c>
      <c r="L106" s="222">
        <v>66.19</v>
      </c>
      <c r="M106" s="220">
        <v>67.75</v>
      </c>
      <c r="N106" s="223">
        <v>1</v>
      </c>
      <c r="O106" s="219">
        <v>68.75</v>
      </c>
      <c r="P106" s="224">
        <v>5.2299999999999999E-2</v>
      </c>
      <c r="Q106" s="225">
        <v>5.1400000000000001E-2</v>
      </c>
      <c r="R106" s="225" t="s">
        <v>868</v>
      </c>
      <c r="S106" s="226" t="s">
        <v>1745</v>
      </c>
      <c r="T106" s="226"/>
      <c r="U106" s="226">
        <v>5.1700000000000003E-2</v>
      </c>
      <c r="V106" s="227">
        <v>15.7402</v>
      </c>
      <c r="W106" s="227"/>
      <c r="X106" s="226"/>
      <c r="Y106" s="409">
        <v>2.8750000000000001E-2</v>
      </c>
      <c r="Z106" s="410">
        <v>2</v>
      </c>
      <c r="AA106" s="192" t="s">
        <v>2894</v>
      </c>
      <c r="AB106" s="411" t="s">
        <v>2895</v>
      </c>
      <c r="AC106" s="412">
        <v>68.14</v>
      </c>
      <c r="AD106" s="412">
        <v>51</v>
      </c>
      <c r="AE106" s="409" t="s">
        <v>2410</v>
      </c>
      <c r="AF106" s="409" t="s">
        <v>2527</v>
      </c>
      <c r="AG106" s="409" t="s">
        <v>4070</v>
      </c>
      <c r="AH106" s="409" t="s">
        <v>166</v>
      </c>
      <c r="AI106" s="409" t="s">
        <v>137</v>
      </c>
      <c r="AJ106" s="242" t="s">
        <v>3858</v>
      </c>
      <c r="AK106" s="242" t="s">
        <v>2896</v>
      </c>
      <c r="AL106" s="242" t="s">
        <v>2412</v>
      </c>
      <c r="AM106" s="242" t="s">
        <v>2413</v>
      </c>
      <c r="AN106" s="421" t="s">
        <v>2414</v>
      </c>
      <c r="AO106" s="421" t="s">
        <v>2415</v>
      </c>
      <c r="AP106" s="242" t="s">
        <v>1945</v>
      </c>
      <c r="AQ106" s="242" t="s">
        <v>2897</v>
      </c>
      <c r="AR106" s="242" t="s">
        <v>2897</v>
      </c>
      <c r="AS106" s="242" t="s">
        <v>2898</v>
      </c>
      <c r="AT106" s="797" t="s">
        <v>2419</v>
      </c>
      <c r="AU106" s="242" t="s">
        <v>3476</v>
      </c>
      <c r="AV106" s="193"/>
      <c r="AW106" s="191"/>
    </row>
    <row r="107" spans="1:49" ht="17.149999999999999" customHeight="1">
      <c r="A107" s="395"/>
      <c r="B107" s="342" t="s">
        <v>904</v>
      </c>
      <c r="C107" s="213" t="s">
        <v>905</v>
      </c>
      <c r="D107" s="228" t="s">
        <v>884</v>
      </c>
      <c r="E107" s="229">
        <v>22.66</v>
      </c>
      <c r="F107" s="230" t="s">
        <v>906</v>
      </c>
      <c r="G107" s="231" t="s">
        <v>0</v>
      </c>
      <c r="H107" s="232" t="s">
        <v>4505</v>
      </c>
      <c r="I107" s="233">
        <v>80.41</v>
      </c>
      <c r="J107" s="234">
        <v>82</v>
      </c>
      <c r="K107" s="235">
        <v>1.3949</v>
      </c>
      <c r="L107" s="236">
        <v>81.8</v>
      </c>
      <c r="M107" s="234">
        <v>83.39</v>
      </c>
      <c r="N107" s="237">
        <v>3</v>
      </c>
      <c r="O107" s="233">
        <v>86.39</v>
      </c>
      <c r="P107" s="238">
        <v>5.5599999999999997E-2</v>
      </c>
      <c r="Q107" s="239">
        <v>5.2900000000000003E-2</v>
      </c>
      <c r="R107" s="239" t="s">
        <v>557</v>
      </c>
      <c r="S107" s="240" t="s">
        <v>1745</v>
      </c>
      <c r="T107" s="240"/>
      <c r="U107" s="240">
        <v>5.3100000000000001E-2</v>
      </c>
      <c r="V107" s="241">
        <v>13.4552</v>
      </c>
      <c r="W107" s="241"/>
      <c r="X107" s="240"/>
      <c r="Y107" s="402">
        <v>4.1500000000000002E-2</v>
      </c>
      <c r="Z107" s="403">
        <v>2</v>
      </c>
      <c r="AA107" s="404" t="s">
        <v>1378</v>
      </c>
      <c r="AB107" s="405" t="s">
        <v>2899</v>
      </c>
      <c r="AC107" s="406">
        <v>85</v>
      </c>
      <c r="AD107" s="406">
        <v>46</v>
      </c>
      <c r="AE107" s="402" t="s">
        <v>2410</v>
      </c>
      <c r="AF107" s="402" t="s">
        <v>2469</v>
      </c>
      <c r="AG107" s="402" t="s">
        <v>3972</v>
      </c>
      <c r="AH107" s="402" t="s">
        <v>167</v>
      </c>
      <c r="AI107" s="402" t="s">
        <v>111</v>
      </c>
      <c r="AJ107" s="407" t="s">
        <v>2900</v>
      </c>
      <c r="AK107" s="407" t="s">
        <v>2901</v>
      </c>
      <c r="AL107" s="407" t="s">
        <v>2412</v>
      </c>
      <c r="AM107" s="407" t="s">
        <v>2413</v>
      </c>
      <c r="AN107" s="420" t="s">
        <v>2414</v>
      </c>
      <c r="AO107" s="420" t="s">
        <v>2415</v>
      </c>
      <c r="AP107" s="407" t="s">
        <v>1945</v>
      </c>
      <c r="AQ107" s="407" t="s">
        <v>2902</v>
      </c>
      <c r="AR107" s="407" t="s">
        <v>2902</v>
      </c>
      <c r="AS107" s="407" t="s">
        <v>2903</v>
      </c>
      <c r="AT107" s="798" t="s">
        <v>2419</v>
      </c>
      <c r="AU107" s="407" t="s">
        <v>3476</v>
      </c>
      <c r="AV107" s="408"/>
      <c r="AW107" s="191"/>
    </row>
    <row r="108" spans="1:49" ht="17">
      <c r="A108" s="395"/>
      <c r="B108" s="342" t="s">
        <v>907</v>
      </c>
      <c r="C108" s="213" t="s">
        <v>908</v>
      </c>
      <c r="D108" s="214" t="s">
        <v>909</v>
      </c>
      <c r="E108" s="215">
        <v>4.95</v>
      </c>
      <c r="F108" s="216" t="s">
        <v>910</v>
      </c>
      <c r="G108" s="217" t="s">
        <v>0</v>
      </c>
      <c r="H108" s="218" t="s">
        <v>4505</v>
      </c>
      <c r="I108" s="219">
        <v>90.87</v>
      </c>
      <c r="J108" s="220">
        <v>91.98</v>
      </c>
      <c r="K108" s="221">
        <v>0.13930000000000001</v>
      </c>
      <c r="L108" s="222">
        <v>91.01</v>
      </c>
      <c r="M108" s="220">
        <v>92.12</v>
      </c>
      <c r="N108" s="223">
        <v>1.6</v>
      </c>
      <c r="O108" s="219">
        <v>93.72</v>
      </c>
      <c r="P108" s="224">
        <v>4.7899999999999998E-2</v>
      </c>
      <c r="Q108" s="225">
        <v>4.41E-2</v>
      </c>
      <c r="R108" s="225" t="s">
        <v>557</v>
      </c>
      <c r="S108" s="226" t="s">
        <v>1745</v>
      </c>
      <c r="T108" s="226"/>
      <c r="U108" s="226">
        <v>4.48E-2</v>
      </c>
      <c r="V108" s="227">
        <v>4.5175999999999998</v>
      </c>
      <c r="W108" s="227"/>
      <c r="X108" s="226"/>
      <c r="Y108" s="409">
        <v>2.9500000000000002E-2</v>
      </c>
      <c r="Z108" s="410">
        <v>2</v>
      </c>
      <c r="AA108" s="192" t="s">
        <v>2904</v>
      </c>
      <c r="AB108" s="411" t="s">
        <v>2905</v>
      </c>
      <c r="AC108" s="412">
        <v>93.58</v>
      </c>
      <c r="AD108" s="412">
        <v>10</v>
      </c>
      <c r="AE108" s="409" t="s">
        <v>2410</v>
      </c>
      <c r="AF108" s="409" t="s">
        <v>3747</v>
      </c>
      <c r="AG108" s="409" t="s">
        <v>4476</v>
      </c>
      <c r="AH108" s="409" t="s">
        <v>170</v>
      </c>
      <c r="AI108" s="409" t="s">
        <v>110</v>
      </c>
      <c r="AJ108" s="242" t="s">
        <v>2906</v>
      </c>
      <c r="AK108" s="242" t="s">
        <v>2907</v>
      </c>
      <c r="AL108" s="242" t="s">
        <v>2412</v>
      </c>
      <c r="AM108" s="242" t="s">
        <v>2413</v>
      </c>
      <c r="AN108" s="421" t="s">
        <v>2414</v>
      </c>
      <c r="AO108" s="421" t="s">
        <v>2415</v>
      </c>
      <c r="AP108" s="242" t="s">
        <v>1945</v>
      </c>
      <c r="AQ108" s="242" t="s">
        <v>2908</v>
      </c>
      <c r="AR108" s="242" t="s">
        <v>2908</v>
      </c>
      <c r="AS108" s="242" t="s">
        <v>2909</v>
      </c>
      <c r="AT108" s="797" t="s">
        <v>2419</v>
      </c>
      <c r="AU108" s="242" t="s">
        <v>3476</v>
      </c>
      <c r="AV108" s="193"/>
      <c r="AW108" s="191"/>
    </row>
    <row r="109" spans="1:49" ht="17.149999999999999" customHeight="1">
      <c r="A109" s="395"/>
      <c r="B109" s="342" t="s">
        <v>911</v>
      </c>
      <c r="C109" s="213" t="s">
        <v>912</v>
      </c>
      <c r="D109" s="228" t="s">
        <v>4074</v>
      </c>
      <c r="E109" s="229">
        <v>19.54</v>
      </c>
      <c r="F109" s="230" t="s">
        <v>913</v>
      </c>
      <c r="G109" s="231" t="s">
        <v>0</v>
      </c>
      <c r="H109" s="232" t="s">
        <v>4505</v>
      </c>
      <c r="I109" s="233">
        <v>78.569999999999993</v>
      </c>
      <c r="J109" s="234">
        <v>81.72</v>
      </c>
      <c r="K109" s="235">
        <v>2.3193999999999999</v>
      </c>
      <c r="L109" s="236">
        <v>80.89</v>
      </c>
      <c r="M109" s="234">
        <v>84.04</v>
      </c>
      <c r="N109" s="237">
        <v>3</v>
      </c>
      <c r="O109" s="233">
        <v>87.04</v>
      </c>
      <c r="P109" s="238">
        <v>6.6900000000000001E-2</v>
      </c>
      <c r="Q109" s="239">
        <v>6.3799999999999996E-2</v>
      </c>
      <c r="R109" s="239" t="s">
        <v>557</v>
      </c>
      <c r="S109" s="240" t="s">
        <v>1745</v>
      </c>
      <c r="T109" s="240"/>
      <c r="U109" s="240">
        <v>6.4000000000000001E-2</v>
      </c>
      <c r="V109" s="241">
        <v>11.227600000000001</v>
      </c>
      <c r="W109" s="241"/>
      <c r="X109" s="240"/>
      <c r="Y109" s="402">
        <v>0.05</v>
      </c>
      <c r="Z109" s="403">
        <v>2</v>
      </c>
      <c r="AA109" s="404" t="s">
        <v>1472</v>
      </c>
      <c r="AB109" s="405" t="s">
        <v>2910</v>
      </c>
      <c r="AC109" s="406">
        <v>84.72</v>
      </c>
      <c r="AD109" s="406">
        <v>40</v>
      </c>
      <c r="AE109" s="402" t="s">
        <v>2410</v>
      </c>
      <c r="AF109" s="402" t="s">
        <v>2561</v>
      </c>
      <c r="AG109" s="402" t="s">
        <v>3862</v>
      </c>
      <c r="AH109" s="402" t="s">
        <v>170</v>
      </c>
      <c r="AI109" s="402" t="s">
        <v>244</v>
      </c>
      <c r="AJ109" s="407" t="s">
        <v>3826</v>
      </c>
      <c r="AK109" s="407" t="s">
        <v>2911</v>
      </c>
      <c r="AL109" s="407" t="s">
        <v>2412</v>
      </c>
      <c r="AM109" s="407" t="s">
        <v>2413</v>
      </c>
      <c r="AN109" s="420" t="s">
        <v>2414</v>
      </c>
      <c r="AO109" s="420" t="s">
        <v>2415</v>
      </c>
      <c r="AP109" s="407" t="s">
        <v>1945</v>
      </c>
      <c r="AQ109" s="407" t="s">
        <v>2912</v>
      </c>
      <c r="AR109" s="407" t="s">
        <v>2913</v>
      </c>
      <c r="AS109" s="407" t="s">
        <v>2914</v>
      </c>
      <c r="AT109" s="798" t="s">
        <v>2419</v>
      </c>
      <c r="AU109" s="407" t="s">
        <v>3476</v>
      </c>
      <c r="AV109" s="408"/>
      <c r="AW109" s="191"/>
    </row>
    <row r="110" spans="1:49" ht="17">
      <c r="A110" s="395"/>
      <c r="B110" s="342" t="s">
        <v>914</v>
      </c>
      <c r="C110" s="213" t="s">
        <v>915</v>
      </c>
      <c r="D110" s="214" t="s">
        <v>916</v>
      </c>
      <c r="E110" s="215">
        <v>25.08</v>
      </c>
      <c r="F110" s="216" t="s">
        <v>917</v>
      </c>
      <c r="G110" s="217" t="s">
        <v>0</v>
      </c>
      <c r="H110" s="218" t="s">
        <v>4505</v>
      </c>
      <c r="I110" s="219">
        <v>82.49</v>
      </c>
      <c r="J110" s="220">
        <v>85.23</v>
      </c>
      <c r="K110" s="221">
        <v>1.9843999999999999</v>
      </c>
      <c r="L110" s="222">
        <v>84.47</v>
      </c>
      <c r="M110" s="220">
        <v>87.21</v>
      </c>
      <c r="N110" s="223">
        <v>3.5</v>
      </c>
      <c r="O110" s="219">
        <v>90.71</v>
      </c>
      <c r="P110" s="224">
        <v>5.8299999999999998E-2</v>
      </c>
      <c r="Q110" s="225">
        <v>5.5399999999999998E-2</v>
      </c>
      <c r="R110" s="225" t="s">
        <v>550</v>
      </c>
      <c r="S110" s="226" t="s">
        <v>1745</v>
      </c>
      <c r="T110" s="226"/>
      <c r="U110" s="226" t="s">
        <v>1767</v>
      </c>
      <c r="V110" s="227">
        <v>13.4587</v>
      </c>
      <c r="W110" s="227"/>
      <c r="X110" s="226"/>
      <c r="Y110" s="409">
        <v>4.7E-2</v>
      </c>
      <c r="Z110" s="410">
        <v>2</v>
      </c>
      <c r="AA110" s="192" t="s">
        <v>1418</v>
      </c>
      <c r="AB110" s="411" t="s">
        <v>2915</v>
      </c>
      <c r="AC110" s="412">
        <v>88.73</v>
      </c>
      <c r="AD110" s="412">
        <v>51</v>
      </c>
      <c r="AE110" s="409" t="s">
        <v>2410</v>
      </c>
      <c r="AF110" s="409" t="s">
        <v>2463</v>
      </c>
      <c r="AG110" s="409" t="s">
        <v>3887</v>
      </c>
      <c r="AH110" s="409" t="s">
        <v>172</v>
      </c>
      <c r="AI110" s="409" t="s">
        <v>140</v>
      </c>
      <c r="AJ110" s="242" t="s">
        <v>3779</v>
      </c>
      <c r="AK110" s="242" t="s">
        <v>2419</v>
      </c>
      <c r="AL110" s="242" t="s">
        <v>2412</v>
      </c>
      <c r="AM110" s="242" t="s">
        <v>2419</v>
      </c>
      <c r="AN110" s="421" t="s">
        <v>2414</v>
      </c>
      <c r="AO110" s="421" t="s">
        <v>2415</v>
      </c>
      <c r="AP110" s="242" t="s">
        <v>1946</v>
      </c>
      <c r="AQ110" s="242" t="s">
        <v>2916</v>
      </c>
      <c r="AR110" s="242" t="s">
        <v>2916</v>
      </c>
      <c r="AS110" s="242" t="s">
        <v>2917</v>
      </c>
      <c r="AT110" s="797" t="s">
        <v>2419</v>
      </c>
      <c r="AU110" s="242" t="s">
        <v>3476</v>
      </c>
      <c r="AV110" s="193"/>
      <c r="AW110" s="191"/>
    </row>
    <row r="111" spans="1:49" ht="17.149999999999999" customHeight="1">
      <c r="A111" s="395"/>
      <c r="B111" s="342" t="s">
        <v>918</v>
      </c>
      <c r="C111" s="213" t="s">
        <v>919</v>
      </c>
      <c r="D111" s="228" t="s">
        <v>920</v>
      </c>
      <c r="E111" s="229">
        <v>5.65</v>
      </c>
      <c r="F111" s="230" t="s">
        <v>921</v>
      </c>
      <c r="G111" s="231" t="s">
        <v>534</v>
      </c>
      <c r="H111" s="232" t="s">
        <v>4508</v>
      </c>
      <c r="I111" s="233">
        <v>86.69</v>
      </c>
      <c r="J111" s="234">
        <v>89.61</v>
      </c>
      <c r="K111" s="235">
        <v>1.073</v>
      </c>
      <c r="L111" s="236">
        <v>87.76</v>
      </c>
      <c r="M111" s="234">
        <v>90.68</v>
      </c>
      <c r="N111" s="237">
        <v>2</v>
      </c>
      <c r="O111" s="233">
        <v>92.68</v>
      </c>
      <c r="P111" s="238">
        <v>5.1999999999999998E-2</v>
      </c>
      <c r="Q111" s="239">
        <v>4.7600000000000003E-2</v>
      </c>
      <c r="R111" s="239" t="s">
        <v>749</v>
      </c>
      <c r="S111" s="240" t="s">
        <v>1776</v>
      </c>
      <c r="T111" s="240"/>
      <c r="U111" s="240" t="s">
        <v>1767</v>
      </c>
      <c r="V111" s="241">
        <v>5.0106000000000002</v>
      </c>
      <c r="W111" s="241"/>
      <c r="X111" s="240"/>
      <c r="Y111" s="402">
        <v>3.0499999999999999E-2</v>
      </c>
      <c r="Z111" s="403">
        <v>2</v>
      </c>
      <c r="AA111" s="404" t="s">
        <v>1365</v>
      </c>
      <c r="AB111" s="405" t="s">
        <v>2918</v>
      </c>
      <c r="AC111" s="406">
        <v>91.61</v>
      </c>
      <c r="AD111" s="406">
        <v>12</v>
      </c>
      <c r="AE111" s="402" t="s">
        <v>2410</v>
      </c>
      <c r="AF111" s="402" t="s">
        <v>2889</v>
      </c>
      <c r="AG111" s="402" t="s">
        <v>3946</v>
      </c>
      <c r="AH111" s="402" t="s">
        <v>162</v>
      </c>
      <c r="AI111" s="402" t="s">
        <v>82</v>
      </c>
      <c r="AJ111" s="407" t="s">
        <v>3789</v>
      </c>
      <c r="AK111" s="407" t="s">
        <v>2419</v>
      </c>
      <c r="AL111" s="407" t="s">
        <v>2412</v>
      </c>
      <c r="AM111" s="407" t="s">
        <v>2419</v>
      </c>
      <c r="AN111" s="420" t="s">
        <v>2414</v>
      </c>
      <c r="AO111" s="420" t="s">
        <v>2415</v>
      </c>
      <c r="AP111" s="407" t="s">
        <v>1948</v>
      </c>
      <c r="AQ111" s="407" t="s">
        <v>2893</v>
      </c>
      <c r="AR111" s="407" t="s">
        <v>2893</v>
      </c>
      <c r="AS111" s="407" t="s">
        <v>2919</v>
      </c>
      <c r="AT111" s="798">
        <v>7</v>
      </c>
      <c r="AU111" s="407" t="s">
        <v>3479</v>
      </c>
      <c r="AV111" s="408"/>
      <c r="AW111" s="191"/>
    </row>
    <row r="112" spans="1:49" ht="17">
      <c r="A112" s="395"/>
      <c r="B112" s="342" t="s">
        <v>922</v>
      </c>
      <c r="C112" s="213" t="s">
        <v>923</v>
      </c>
      <c r="D112" s="214" t="s">
        <v>924</v>
      </c>
      <c r="E112" s="215">
        <v>24.45</v>
      </c>
      <c r="F112" s="216" t="s">
        <v>925</v>
      </c>
      <c r="G112" s="217" t="s">
        <v>0</v>
      </c>
      <c r="H112" s="218" t="s">
        <v>4505</v>
      </c>
      <c r="I112" s="219">
        <v>86.9</v>
      </c>
      <c r="J112" s="220">
        <v>88.48</v>
      </c>
      <c r="K112" s="221">
        <v>0.23139999999999999</v>
      </c>
      <c r="L112" s="222">
        <v>87.13</v>
      </c>
      <c r="M112" s="220">
        <v>88.71</v>
      </c>
      <c r="N112" s="223">
        <v>3.5</v>
      </c>
      <c r="O112" s="219">
        <v>92.21</v>
      </c>
      <c r="P112" s="224">
        <v>5.79E-2</v>
      </c>
      <c r="Q112" s="225">
        <v>5.5E-2</v>
      </c>
      <c r="R112" s="225" t="s">
        <v>557</v>
      </c>
      <c r="S112" s="226" t="s">
        <v>1745</v>
      </c>
      <c r="T112" s="226"/>
      <c r="U112" s="226">
        <v>5.5100000000000003E-2</v>
      </c>
      <c r="V112" s="227">
        <v>13.513400000000001</v>
      </c>
      <c r="W112" s="227"/>
      <c r="X112" s="226"/>
      <c r="Y112" s="409">
        <v>4.9000000000000002E-2</v>
      </c>
      <c r="Z112" s="410">
        <v>2</v>
      </c>
      <c r="AA112" s="192" t="s">
        <v>1385</v>
      </c>
      <c r="AB112" s="411" t="s">
        <v>2920</v>
      </c>
      <c r="AC112" s="412">
        <v>91.98</v>
      </c>
      <c r="AD112" s="412">
        <v>49</v>
      </c>
      <c r="AE112" s="409" t="s">
        <v>2410</v>
      </c>
      <c r="AF112" s="409" t="s">
        <v>3747</v>
      </c>
      <c r="AG112" s="409" t="s">
        <v>4476</v>
      </c>
      <c r="AH112" s="409" t="s">
        <v>167</v>
      </c>
      <c r="AI112" s="409" t="s">
        <v>197</v>
      </c>
      <c r="AJ112" s="242" t="s">
        <v>3940</v>
      </c>
      <c r="AK112" s="242" t="s">
        <v>2921</v>
      </c>
      <c r="AL112" s="242" t="s">
        <v>2412</v>
      </c>
      <c r="AM112" s="242" t="s">
        <v>2413</v>
      </c>
      <c r="AN112" s="421" t="s">
        <v>2414</v>
      </c>
      <c r="AO112" s="421" t="s">
        <v>2415</v>
      </c>
      <c r="AP112" s="242" t="s">
        <v>1945</v>
      </c>
      <c r="AQ112" s="242" t="s">
        <v>2922</v>
      </c>
      <c r="AR112" s="242" t="s">
        <v>2923</v>
      </c>
      <c r="AS112" s="242" t="s">
        <v>2909</v>
      </c>
      <c r="AT112" s="797" t="s">
        <v>2419</v>
      </c>
      <c r="AU112" s="242" t="s">
        <v>3476</v>
      </c>
      <c r="AV112" s="193"/>
      <c r="AW112" s="191"/>
    </row>
    <row r="113" spans="1:49" ht="17.149999999999999" customHeight="1">
      <c r="A113" s="395"/>
      <c r="B113" s="342" t="s">
        <v>926</v>
      </c>
      <c r="C113" s="213" t="s">
        <v>927</v>
      </c>
      <c r="D113" s="228" t="s">
        <v>787</v>
      </c>
      <c r="E113" s="229">
        <v>5.69</v>
      </c>
      <c r="F113" s="230" t="s">
        <v>928</v>
      </c>
      <c r="G113" s="231" t="s">
        <v>0</v>
      </c>
      <c r="H113" s="232" t="s">
        <v>4505</v>
      </c>
      <c r="I113" s="233">
        <v>87.37</v>
      </c>
      <c r="J113" s="234">
        <v>88.64</v>
      </c>
      <c r="K113" s="235">
        <v>0.83250000000000002</v>
      </c>
      <c r="L113" s="236">
        <v>88.2</v>
      </c>
      <c r="M113" s="234">
        <v>89.47</v>
      </c>
      <c r="N113" s="237">
        <v>2</v>
      </c>
      <c r="O113" s="233">
        <v>91.47</v>
      </c>
      <c r="P113" s="238">
        <v>5.0200000000000002E-2</v>
      </c>
      <c r="Q113" s="239">
        <v>4.5900000000000003E-2</v>
      </c>
      <c r="R113" s="239" t="s">
        <v>557</v>
      </c>
      <c r="S113" s="240" t="s">
        <v>1745</v>
      </c>
      <c r="T113" s="240"/>
      <c r="U113" s="240">
        <v>4.6699999999999998E-2</v>
      </c>
      <c r="V113" s="241">
        <v>5.1140999999999996</v>
      </c>
      <c r="W113" s="241"/>
      <c r="X113" s="240"/>
      <c r="Y113" s="402">
        <v>2.7000000000000003E-2</v>
      </c>
      <c r="Z113" s="403">
        <v>2</v>
      </c>
      <c r="AA113" s="404" t="s">
        <v>1473</v>
      </c>
      <c r="AB113" s="405" t="s">
        <v>2924</v>
      </c>
      <c r="AC113" s="406">
        <v>90.64</v>
      </c>
      <c r="AD113" s="406">
        <v>12</v>
      </c>
      <c r="AE113" s="402" t="s">
        <v>2410</v>
      </c>
      <c r="AF113" s="402" t="s">
        <v>2925</v>
      </c>
      <c r="AG113" s="402" t="s">
        <v>3988</v>
      </c>
      <c r="AH113" s="402" t="s">
        <v>170</v>
      </c>
      <c r="AI113" s="402" t="s">
        <v>193</v>
      </c>
      <c r="AJ113" s="407" t="s">
        <v>3900</v>
      </c>
      <c r="AK113" s="407" t="s">
        <v>2926</v>
      </c>
      <c r="AL113" s="407" t="s">
        <v>2412</v>
      </c>
      <c r="AM113" s="407" t="s">
        <v>2413</v>
      </c>
      <c r="AN113" s="420" t="s">
        <v>2414</v>
      </c>
      <c r="AO113" s="420" t="s">
        <v>2415</v>
      </c>
      <c r="AP113" s="407" t="s">
        <v>1945</v>
      </c>
      <c r="AQ113" s="407" t="s">
        <v>2927</v>
      </c>
      <c r="AR113" s="407" t="s">
        <v>2927</v>
      </c>
      <c r="AS113" s="407" t="s">
        <v>2928</v>
      </c>
      <c r="AT113" s="798" t="s">
        <v>2419</v>
      </c>
      <c r="AU113" s="407" t="s">
        <v>3476</v>
      </c>
      <c r="AV113" s="408"/>
      <c r="AW113" s="191"/>
    </row>
    <row r="114" spans="1:49" ht="17">
      <c r="A114" s="395"/>
      <c r="B114" s="342" t="s">
        <v>929</v>
      </c>
      <c r="C114" s="213" t="s">
        <v>930</v>
      </c>
      <c r="D114" s="214" t="s">
        <v>931</v>
      </c>
      <c r="E114" s="215">
        <v>21.45</v>
      </c>
      <c r="F114" s="216" t="s">
        <v>932</v>
      </c>
      <c r="G114" s="217" t="s">
        <v>0</v>
      </c>
      <c r="H114" s="218" t="s">
        <v>4505</v>
      </c>
      <c r="I114" s="219">
        <v>85.62</v>
      </c>
      <c r="J114" s="220">
        <v>87.31</v>
      </c>
      <c r="K114" s="221">
        <v>0.215</v>
      </c>
      <c r="L114" s="222">
        <v>85.84</v>
      </c>
      <c r="M114" s="220">
        <v>87.53</v>
      </c>
      <c r="N114" s="223">
        <v>1</v>
      </c>
      <c r="O114" s="219">
        <v>88.53</v>
      </c>
      <c r="P114" s="224">
        <v>5.2999999999999999E-2</v>
      </c>
      <c r="Q114" s="225">
        <v>5.21E-2</v>
      </c>
      <c r="R114" s="225" t="s">
        <v>868</v>
      </c>
      <c r="S114" s="226" t="s">
        <v>1745</v>
      </c>
      <c r="T114" s="226"/>
      <c r="U114" s="226">
        <v>5.2200000000000003E-2</v>
      </c>
      <c r="V114" s="227">
        <v>13.272399999999999</v>
      </c>
      <c r="W114" s="227"/>
      <c r="X114" s="226"/>
      <c r="Y114" s="409">
        <v>4.2999999999999997E-2</v>
      </c>
      <c r="Z114" s="410">
        <v>2</v>
      </c>
      <c r="AA114" s="192" t="s">
        <v>1387</v>
      </c>
      <c r="AB114" s="411" t="s">
        <v>2929</v>
      </c>
      <c r="AC114" s="412">
        <v>88.31</v>
      </c>
      <c r="AD114" s="412">
        <v>43</v>
      </c>
      <c r="AE114" s="409" t="s">
        <v>2410</v>
      </c>
      <c r="AF114" s="409" t="s">
        <v>3749</v>
      </c>
      <c r="AG114" s="409" t="s">
        <v>4473</v>
      </c>
      <c r="AH114" s="409" t="s">
        <v>162</v>
      </c>
      <c r="AI114" s="409" t="s">
        <v>133</v>
      </c>
      <c r="AJ114" s="242" t="s">
        <v>2930</v>
      </c>
      <c r="AK114" s="242" t="s">
        <v>2931</v>
      </c>
      <c r="AL114" s="242" t="s">
        <v>2412</v>
      </c>
      <c r="AM114" s="242" t="s">
        <v>2413</v>
      </c>
      <c r="AN114" s="421" t="s">
        <v>2413</v>
      </c>
      <c r="AO114" s="421" t="s">
        <v>2415</v>
      </c>
      <c r="AP114" s="242" t="s">
        <v>1945</v>
      </c>
      <c r="AQ114" s="242" t="s">
        <v>2932</v>
      </c>
      <c r="AR114" s="242" t="s">
        <v>2932</v>
      </c>
      <c r="AS114" s="242" t="s">
        <v>2933</v>
      </c>
      <c r="AT114" s="797" t="s">
        <v>2419</v>
      </c>
      <c r="AU114" s="797" t="s">
        <v>3476</v>
      </c>
      <c r="AV114" s="193"/>
      <c r="AW114" s="191"/>
    </row>
    <row r="115" spans="1:49" ht="17.149999999999999" customHeight="1">
      <c r="A115" s="395"/>
      <c r="B115" s="342" t="s">
        <v>933</v>
      </c>
      <c r="C115" s="213" t="s">
        <v>934</v>
      </c>
      <c r="D115" s="228" t="s">
        <v>592</v>
      </c>
      <c r="E115" s="229">
        <v>10.02</v>
      </c>
      <c r="F115" s="230" t="s">
        <v>935</v>
      </c>
      <c r="G115" s="231" t="s">
        <v>0</v>
      </c>
      <c r="H115" s="232" t="s">
        <v>4505</v>
      </c>
      <c r="I115" s="233">
        <v>90.11</v>
      </c>
      <c r="J115" s="234">
        <v>91.63</v>
      </c>
      <c r="K115" s="235">
        <v>2.0783</v>
      </c>
      <c r="L115" s="236">
        <v>92.19</v>
      </c>
      <c r="M115" s="234">
        <v>93.71</v>
      </c>
      <c r="N115" s="237">
        <v>2.5</v>
      </c>
      <c r="O115" s="233">
        <v>96.21</v>
      </c>
      <c r="P115" s="238">
        <v>5.3900000000000003E-2</v>
      </c>
      <c r="Q115" s="239">
        <v>5.0500000000000003E-2</v>
      </c>
      <c r="R115" s="239" t="s">
        <v>557</v>
      </c>
      <c r="S115" s="240" t="s">
        <v>1745</v>
      </c>
      <c r="T115" s="240"/>
      <c r="U115" s="240">
        <v>5.0900000000000001E-2</v>
      </c>
      <c r="V115" s="241">
        <v>7.7744999999999997</v>
      </c>
      <c r="W115" s="241"/>
      <c r="X115" s="240"/>
      <c r="Y115" s="402">
        <v>4.2999999999999997E-2</v>
      </c>
      <c r="Z115" s="403">
        <v>2</v>
      </c>
      <c r="AA115" s="404" t="s">
        <v>1420</v>
      </c>
      <c r="AB115" s="405" t="s">
        <v>2934</v>
      </c>
      <c r="AC115" s="406">
        <v>94.13</v>
      </c>
      <c r="AD115" s="406">
        <v>21</v>
      </c>
      <c r="AE115" s="402" t="s">
        <v>2410</v>
      </c>
      <c r="AF115" s="402" t="s">
        <v>2935</v>
      </c>
      <c r="AG115" s="402" t="s">
        <v>3830</v>
      </c>
      <c r="AH115" s="402" t="s">
        <v>165</v>
      </c>
      <c r="AI115" s="402" t="s">
        <v>86</v>
      </c>
      <c r="AJ115" s="407" t="s">
        <v>2936</v>
      </c>
      <c r="AK115" s="407" t="s">
        <v>2937</v>
      </c>
      <c r="AL115" s="407" t="s">
        <v>2412</v>
      </c>
      <c r="AM115" s="407" t="s">
        <v>2413</v>
      </c>
      <c r="AN115" s="420" t="s">
        <v>2414</v>
      </c>
      <c r="AO115" s="420" t="s">
        <v>2415</v>
      </c>
      <c r="AP115" s="407" t="s">
        <v>1945</v>
      </c>
      <c r="AQ115" s="407" t="s">
        <v>2938</v>
      </c>
      <c r="AR115" s="407" t="s">
        <v>2938</v>
      </c>
      <c r="AS115" s="407" t="s">
        <v>2939</v>
      </c>
      <c r="AT115" s="798" t="s">
        <v>2419</v>
      </c>
      <c r="AU115" s="407" t="s">
        <v>3476</v>
      </c>
      <c r="AV115" s="408"/>
      <c r="AW115" s="191"/>
    </row>
    <row r="116" spans="1:49" ht="17">
      <c r="A116" s="395"/>
      <c r="B116" s="342" t="s">
        <v>936</v>
      </c>
      <c r="C116" s="213" t="s">
        <v>937</v>
      </c>
      <c r="D116" s="214" t="s">
        <v>4331</v>
      </c>
      <c r="E116" s="215">
        <v>18.45</v>
      </c>
      <c r="F116" s="216" t="s">
        <v>938</v>
      </c>
      <c r="G116" s="217" t="s">
        <v>0</v>
      </c>
      <c r="H116" s="218" t="s">
        <v>4505</v>
      </c>
      <c r="I116" s="219">
        <v>83.37</v>
      </c>
      <c r="J116" s="220">
        <v>84.81</v>
      </c>
      <c r="K116" s="221">
        <v>0.19220000000000001</v>
      </c>
      <c r="L116" s="222">
        <v>83.56</v>
      </c>
      <c r="M116" s="220">
        <v>85</v>
      </c>
      <c r="N116" s="223">
        <v>3</v>
      </c>
      <c r="O116" s="219">
        <v>88</v>
      </c>
      <c r="P116" s="224">
        <v>5.3800000000000001E-2</v>
      </c>
      <c r="Q116" s="225">
        <v>5.0999999999999997E-2</v>
      </c>
      <c r="R116" s="225" t="s">
        <v>557</v>
      </c>
      <c r="S116" s="226" t="s">
        <v>1745</v>
      </c>
      <c r="T116" s="226"/>
      <c r="U116" s="226" t="s">
        <v>1767</v>
      </c>
      <c r="V116" s="227">
        <v>12.3126</v>
      </c>
      <c r="W116" s="227"/>
      <c r="X116" s="226"/>
      <c r="Y116" s="409">
        <v>4.07E-2</v>
      </c>
      <c r="Z116" s="410">
        <v>2</v>
      </c>
      <c r="AA116" s="192" t="s">
        <v>1474</v>
      </c>
      <c r="AB116" s="411" t="s">
        <v>2940</v>
      </c>
      <c r="AC116" s="412">
        <v>87.81</v>
      </c>
      <c r="AD116" s="412">
        <v>37</v>
      </c>
      <c r="AE116" s="409" t="s">
        <v>2410</v>
      </c>
      <c r="AF116" s="409" t="s">
        <v>3747</v>
      </c>
      <c r="AG116" s="409" t="s">
        <v>4476</v>
      </c>
      <c r="AH116" s="409" t="s">
        <v>171</v>
      </c>
      <c r="AI116" s="409" t="s">
        <v>223</v>
      </c>
      <c r="AJ116" s="242" t="s">
        <v>3977</v>
      </c>
      <c r="AK116" s="242" t="s">
        <v>2419</v>
      </c>
      <c r="AL116" s="242" t="s">
        <v>2412</v>
      </c>
      <c r="AM116" s="242" t="s">
        <v>2419</v>
      </c>
      <c r="AN116" s="421" t="s">
        <v>2414</v>
      </c>
      <c r="AO116" s="421" t="s">
        <v>2415</v>
      </c>
      <c r="AP116" s="242" t="s">
        <v>1945</v>
      </c>
      <c r="AQ116" s="242" t="s">
        <v>2941</v>
      </c>
      <c r="AR116" s="242" t="s">
        <v>2942</v>
      </c>
      <c r="AS116" s="242" t="s">
        <v>2629</v>
      </c>
      <c r="AT116" s="797" t="s">
        <v>2419</v>
      </c>
      <c r="AU116" s="242" t="s">
        <v>3476</v>
      </c>
      <c r="AV116" s="193"/>
      <c r="AW116" s="191"/>
    </row>
    <row r="117" spans="1:49" ht="17.149999999999999" customHeight="1">
      <c r="A117" s="395"/>
      <c r="B117" s="342" t="s">
        <v>939</v>
      </c>
      <c r="C117" s="213" t="s">
        <v>940</v>
      </c>
      <c r="D117" s="228" t="s">
        <v>4474</v>
      </c>
      <c r="E117" s="229">
        <v>5.8</v>
      </c>
      <c r="F117" s="230" t="s">
        <v>941</v>
      </c>
      <c r="G117" s="231" t="s">
        <v>0</v>
      </c>
      <c r="H117" s="232" t="s">
        <v>4508</v>
      </c>
      <c r="I117" s="233">
        <v>99.01</v>
      </c>
      <c r="J117" s="234">
        <v>100.55</v>
      </c>
      <c r="K117" s="235">
        <v>0.94789999999999996</v>
      </c>
      <c r="L117" s="236">
        <v>99.96</v>
      </c>
      <c r="M117" s="234">
        <v>101.5</v>
      </c>
      <c r="N117" s="237">
        <v>2</v>
      </c>
      <c r="O117" s="233">
        <v>103.5</v>
      </c>
      <c r="P117" s="238">
        <v>4.7600000000000003E-2</v>
      </c>
      <c r="Q117" s="239">
        <v>4.3700000000000003E-2</v>
      </c>
      <c r="R117" s="239" t="s">
        <v>550</v>
      </c>
      <c r="S117" s="240" t="s">
        <v>1745</v>
      </c>
      <c r="T117" s="240"/>
      <c r="U117" s="240" t="s">
        <v>1767</v>
      </c>
      <c r="V117" s="241">
        <v>4.9672000000000001</v>
      </c>
      <c r="W117" s="241"/>
      <c r="X117" s="240"/>
      <c r="Y117" s="402">
        <v>4.8750000000000002E-2</v>
      </c>
      <c r="Z117" s="403">
        <v>2</v>
      </c>
      <c r="AA117" s="404" t="s">
        <v>1475</v>
      </c>
      <c r="AB117" s="405" t="s">
        <v>2943</v>
      </c>
      <c r="AC117" s="406">
        <v>102.55</v>
      </c>
      <c r="AD117" s="406">
        <v>12</v>
      </c>
      <c r="AE117" s="402" t="s">
        <v>2410</v>
      </c>
      <c r="AF117" s="402" t="s">
        <v>2944</v>
      </c>
      <c r="AG117" s="402" t="s">
        <v>4126</v>
      </c>
      <c r="AH117" s="402" t="s">
        <v>168</v>
      </c>
      <c r="AI117" s="402" t="s">
        <v>94</v>
      </c>
      <c r="AJ117" s="407" t="s">
        <v>3889</v>
      </c>
      <c r="AK117" s="407" t="s">
        <v>2419</v>
      </c>
      <c r="AL117" s="407" t="s">
        <v>2412</v>
      </c>
      <c r="AM117" s="407" t="s">
        <v>2419</v>
      </c>
      <c r="AN117" s="420" t="s">
        <v>2414</v>
      </c>
      <c r="AO117" s="420" t="s">
        <v>2415</v>
      </c>
      <c r="AP117" s="407" t="s">
        <v>1943</v>
      </c>
      <c r="AQ117" s="407" t="s">
        <v>2945</v>
      </c>
      <c r="AR117" s="407" t="s">
        <v>2945</v>
      </c>
      <c r="AS117" s="407" t="s">
        <v>2946</v>
      </c>
      <c r="AT117" s="798" t="s">
        <v>2419</v>
      </c>
      <c r="AU117" s="407" t="s">
        <v>3476</v>
      </c>
      <c r="AV117" s="408"/>
      <c r="AW117" s="191"/>
    </row>
    <row r="118" spans="1:49" ht="17">
      <c r="A118" s="395"/>
      <c r="B118" s="342" t="s">
        <v>942</v>
      </c>
      <c r="C118" s="213" t="s">
        <v>943</v>
      </c>
      <c r="D118" s="214" t="s">
        <v>621</v>
      </c>
      <c r="E118" s="215">
        <v>25.86</v>
      </c>
      <c r="F118" s="216" t="s">
        <v>944</v>
      </c>
      <c r="G118" s="217" t="s">
        <v>0</v>
      </c>
      <c r="H118" s="218" t="s">
        <v>4505</v>
      </c>
      <c r="I118" s="219">
        <v>62.91</v>
      </c>
      <c r="J118" s="220">
        <v>64.47</v>
      </c>
      <c r="K118" s="221">
        <v>0.37540000000000001</v>
      </c>
      <c r="L118" s="222">
        <v>63.29</v>
      </c>
      <c r="M118" s="220">
        <v>64.849999999999994</v>
      </c>
      <c r="N118" s="223">
        <v>1</v>
      </c>
      <c r="O118" s="219">
        <v>65.849999999999994</v>
      </c>
      <c r="P118" s="224">
        <v>5.1499999999999997E-2</v>
      </c>
      <c r="Q118" s="225">
        <v>5.0599999999999999E-2</v>
      </c>
      <c r="R118" s="225" t="s">
        <v>868</v>
      </c>
      <c r="S118" s="226" t="s">
        <v>1745</v>
      </c>
      <c r="T118" s="226"/>
      <c r="U118" s="226">
        <v>5.0900000000000001E-2</v>
      </c>
      <c r="V118" s="227">
        <v>16.338699999999999</v>
      </c>
      <c r="W118" s="227"/>
      <c r="X118" s="226"/>
      <c r="Y118" s="409">
        <v>2.6499999999999999E-2</v>
      </c>
      <c r="Z118" s="410">
        <v>2</v>
      </c>
      <c r="AA118" s="192" t="s">
        <v>1357</v>
      </c>
      <c r="AB118" s="411" t="s">
        <v>2947</v>
      </c>
      <c r="AC118" s="412">
        <v>65.47</v>
      </c>
      <c r="AD118" s="412">
        <v>52</v>
      </c>
      <c r="AE118" s="409" t="s">
        <v>2410</v>
      </c>
      <c r="AF118" s="409" t="s">
        <v>2459</v>
      </c>
      <c r="AG118" s="409" t="s">
        <v>4326</v>
      </c>
      <c r="AH118" s="409" t="s">
        <v>165</v>
      </c>
      <c r="AI118" s="409" t="s">
        <v>49</v>
      </c>
      <c r="AJ118" s="242" t="s">
        <v>2512</v>
      </c>
      <c r="AK118" s="242" t="s">
        <v>2948</v>
      </c>
      <c r="AL118" s="242" t="s">
        <v>2412</v>
      </c>
      <c r="AM118" s="242" t="s">
        <v>2413</v>
      </c>
      <c r="AN118" s="421" t="s">
        <v>2414</v>
      </c>
      <c r="AO118" s="421" t="s">
        <v>2415</v>
      </c>
      <c r="AP118" s="242" t="s">
        <v>1945</v>
      </c>
      <c r="AQ118" s="242" t="s">
        <v>2949</v>
      </c>
      <c r="AR118" s="242" t="s">
        <v>2949</v>
      </c>
      <c r="AS118" s="242" t="s">
        <v>2950</v>
      </c>
      <c r="AT118" s="797" t="s">
        <v>2419</v>
      </c>
      <c r="AU118" s="242" t="s">
        <v>3476</v>
      </c>
      <c r="AV118" s="193"/>
      <c r="AW118" s="191"/>
    </row>
    <row r="119" spans="1:49" ht="17.149999999999999" customHeight="1">
      <c r="A119" s="395"/>
      <c r="B119" s="342" t="s">
        <v>945</v>
      </c>
      <c r="C119" s="213" t="s">
        <v>946</v>
      </c>
      <c r="D119" s="228" t="s">
        <v>765</v>
      </c>
      <c r="E119" s="229">
        <v>26.54</v>
      </c>
      <c r="F119" s="230" t="s">
        <v>947</v>
      </c>
      <c r="G119" s="231" t="s">
        <v>0</v>
      </c>
      <c r="H119" s="232" t="s">
        <v>4505</v>
      </c>
      <c r="I119" s="233">
        <v>60.92</v>
      </c>
      <c r="J119" s="234">
        <v>62.339999999999996</v>
      </c>
      <c r="K119" s="235">
        <v>1.2988999999999999</v>
      </c>
      <c r="L119" s="236">
        <v>62.22</v>
      </c>
      <c r="M119" s="234">
        <v>63.64</v>
      </c>
      <c r="N119" s="237">
        <v>1</v>
      </c>
      <c r="O119" s="233">
        <v>64.64</v>
      </c>
      <c r="P119" s="238">
        <v>5.5199999999999999E-2</v>
      </c>
      <c r="Q119" s="239">
        <v>5.4199999999999998E-2</v>
      </c>
      <c r="R119" s="239" t="s">
        <v>868</v>
      </c>
      <c r="S119" s="240" t="s">
        <v>1745</v>
      </c>
      <c r="T119" s="240"/>
      <c r="U119" s="240">
        <v>5.45E-2</v>
      </c>
      <c r="V119" s="241">
        <v>15.7608</v>
      </c>
      <c r="W119" s="241"/>
      <c r="X119" s="240"/>
      <c r="Y119" s="402">
        <v>2.7999999999999997E-2</v>
      </c>
      <c r="Z119" s="403">
        <v>2</v>
      </c>
      <c r="AA119" s="404" t="s">
        <v>1363</v>
      </c>
      <c r="AB119" s="405" t="s">
        <v>2951</v>
      </c>
      <c r="AC119" s="406">
        <v>63.339999999999996</v>
      </c>
      <c r="AD119" s="406">
        <v>54</v>
      </c>
      <c r="AE119" s="402" t="s">
        <v>2410</v>
      </c>
      <c r="AF119" s="402" t="s">
        <v>2561</v>
      </c>
      <c r="AG119" s="402" t="s">
        <v>3862</v>
      </c>
      <c r="AH119" s="402" t="s">
        <v>164</v>
      </c>
      <c r="AI119" s="402" t="s">
        <v>107</v>
      </c>
      <c r="AJ119" s="407" t="s">
        <v>2708</v>
      </c>
      <c r="AK119" s="407" t="s">
        <v>2952</v>
      </c>
      <c r="AL119" s="407" t="s">
        <v>2412</v>
      </c>
      <c r="AM119" s="407" t="s">
        <v>2413</v>
      </c>
      <c r="AN119" s="420" t="s">
        <v>2414</v>
      </c>
      <c r="AO119" s="420" t="s">
        <v>2415</v>
      </c>
      <c r="AP119" s="407" t="s">
        <v>1945</v>
      </c>
      <c r="AQ119" s="407" t="s">
        <v>2953</v>
      </c>
      <c r="AR119" s="407" t="s">
        <v>2953</v>
      </c>
      <c r="AS119" s="407" t="s">
        <v>2954</v>
      </c>
      <c r="AT119" s="798" t="s">
        <v>2419</v>
      </c>
      <c r="AU119" s="407" t="s">
        <v>3476</v>
      </c>
      <c r="AV119" s="408"/>
      <c r="AW119" s="191"/>
    </row>
    <row r="120" spans="1:49" ht="17">
      <c r="A120" s="395"/>
      <c r="B120" s="342" t="s">
        <v>948</v>
      </c>
      <c r="C120" s="213" t="s">
        <v>949</v>
      </c>
      <c r="D120" s="214" t="s">
        <v>1777</v>
      </c>
      <c r="E120" s="215">
        <v>22.31</v>
      </c>
      <c r="F120" s="216" t="s">
        <v>272</v>
      </c>
      <c r="G120" s="217" t="s">
        <v>0</v>
      </c>
      <c r="H120" s="218" t="s">
        <v>4508</v>
      </c>
      <c r="I120" s="219">
        <v>83.54</v>
      </c>
      <c r="J120" s="220">
        <v>85.300000000000011</v>
      </c>
      <c r="K120" s="221">
        <v>0.83750000000000002</v>
      </c>
      <c r="L120" s="222">
        <v>84.38</v>
      </c>
      <c r="M120" s="220">
        <v>86.14</v>
      </c>
      <c r="N120" s="223">
        <v>3</v>
      </c>
      <c r="O120" s="219">
        <v>89.14</v>
      </c>
      <c r="P120" s="224">
        <v>5.67E-2</v>
      </c>
      <c r="Q120" s="225">
        <v>5.4100000000000002E-2</v>
      </c>
      <c r="R120" s="225" t="s">
        <v>550</v>
      </c>
      <c r="S120" s="226" t="s">
        <v>1745</v>
      </c>
      <c r="T120" s="226"/>
      <c r="U120" s="226" t="s">
        <v>1767</v>
      </c>
      <c r="V120" s="227">
        <v>13.1318</v>
      </c>
      <c r="W120" s="227"/>
      <c r="X120" s="226"/>
      <c r="Y120" s="409">
        <v>4.4999999999999998E-2</v>
      </c>
      <c r="Z120" s="410">
        <v>2</v>
      </c>
      <c r="AA120" s="192" t="s">
        <v>1355</v>
      </c>
      <c r="AB120" s="411" t="s">
        <v>2955</v>
      </c>
      <c r="AC120" s="412">
        <v>88.300000000000011</v>
      </c>
      <c r="AD120" s="412">
        <v>45</v>
      </c>
      <c r="AE120" s="409" t="s">
        <v>2410</v>
      </c>
      <c r="AF120" s="409" t="s">
        <v>2654</v>
      </c>
      <c r="AG120" s="409" t="s">
        <v>4125</v>
      </c>
      <c r="AH120" s="409" t="s">
        <v>163</v>
      </c>
      <c r="AI120" s="409" t="s">
        <v>60</v>
      </c>
      <c r="AJ120" s="242" t="s">
        <v>2562</v>
      </c>
      <c r="AK120" s="242" t="s">
        <v>2419</v>
      </c>
      <c r="AL120" s="242" t="s">
        <v>2412</v>
      </c>
      <c r="AM120" s="242" t="s">
        <v>2419</v>
      </c>
      <c r="AN120" s="421" t="s">
        <v>2414</v>
      </c>
      <c r="AO120" s="421" t="s">
        <v>2415</v>
      </c>
      <c r="AP120" s="242" t="s">
        <v>1943</v>
      </c>
      <c r="AQ120" s="242" t="s">
        <v>2655</v>
      </c>
      <c r="AR120" s="242" t="s">
        <v>2655</v>
      </c>
      <c r="AS120" s="242" t="s">
        <v>2656</v>
      </c>
      <c r="AT120" s="797" t="s">
        <v>2419</v>
      </c>
      <c r="AU120" s="242" t="s">
        <v>3476</v>
      </c>
      <c r="AV120" s="193"/>
      <c r="AW120" s="191"/>
    </row>
    <row r="121" spans="1:49" ht="17.149999999999999" customHeight="1">
      <c r="A121" s="395"/>
      <c r="B121" s="342" t="s">
        <v>950</v>
      </c>
      <c r="C121" s="213" t="s">
        <v>951</v>
      </c>
      <c r="D121" s="228" t="s">
        <v>710</v>
      </c>
      <c r="E121" s="229">
        <v>5.83</v>
      </c>
      <c r="F121" s="230" t="s">
        <v>275</v>
      </c>
      <c r="G121" s="231" t="s">
        <v>0</v>
      </c>
      <c r="H121" s="232" t="s">
        <v>4505</v>
      </c>
      <c r="I121" s="233">
        <v>95.2</v>
      </c>
      <c r="J121" s="234">
        <v>96.58</v>
      </c>
      <c r="K121" s="235">
        <v>0.87260000000000004</v>
      </c>
      <c r="L121" s="236">
        <v>96.07</v>
      </c>
      <c r="M121" s="234">
        <v>97.45</v>
      </c>
      <c r="N121" s="237">
        <v>2</v>
      </c>
      <c r="O121" s="233">
        <v>99.45</v>
      </c>
      <c r="P121" s="238">
        <v>5.8500000000000003E-2</v>
      </c>
      <c r="Q121" s="239">
        <v>5.4399999999999997E-2</v>
      </c>
      <c r="R121" s="239" t="s">
        <v>557</v>
      </c>
      <c r="S121" s="240" t="s">
        <v>1745</v>
      </c>
      <c r="T121" s="240"/>
      <c r="U121" s="240">
        <v>5.45E-2</v>
      </c>
      <c r="V121" s="241">
        <v>4.9138000000000002</v>
      </c>
      <c r="W121" s="241"/>
      <c r="X121" s="240"/>
      <c r="Y121" s="402">
        <v>5.1500000000000004E-2</v>
      </c>
      <c r="Z121" s="403">
        <v>2</v>
      </c>
      <c r="AA121" s="404" t="s">
        <v>1419</v>
      </c>
      <c r="AB121" s="405" t="s">
        <v>2956</v>
      </c>
      <c r="AC121" s="406">
        <v>98.58</v>
      </c>
      <c r="AD121" s="406">
        <v>12</v>
      </c>
      <c r="AE121" s="402" t="s">
        <v>2410</v>
      </c>
      <c r="AF121" s="402" t="s">
        <v>2707</v>
      </c>
      <c r="AG121" s="402" t="s">
        <v>4139</v>
      </c>
      <c r="AH121" s="402" t="s">
        <v>171</v>
      </c>
      <c r="AI121" s="402" t="s">
        <v>69</v>
      </c>
      <c r="AJ121" s="407" t="s">
        <v>2957</v>
      </c>
      <c r="AK121" s="407" t="s">
        <v>2958</v>
      </c>
      <c r="AL121" s="407" t="s">
        <v>2412</v>
      </c>
      <c r="AM121" s="407" t="s">
        <v>2413</v>
      </c>
      <c r="AN121" s="420" t="s">
        <v>2414</v>
      </c>
      <c r="AO121" s="420" t="s">
        <v>2415</v>
      </c>
      <c r="AP121" s="407" t="s">
        <v>1945</v>
      </c>
      <c r="AQ121" s="407" t="s">
        <v>2959</v>
      </c>
      <c r="AR121" s="407" t="s">
        <v>2959</v>
      </c>
      <c r="AS121" s="407" t="s">
        <v>2960</v>
      </c>
      <c r="AT121" s="798" t="s">
        <v>2419</v>
      </c>
      <c r="AU121" s="407" t="s">
        <v>3476</v>
      </c>
      <c r="AV121" s="408"/>
      <c r="AW121" s="191"/>
    </row>
    <row r="122" spans="1:49" ht="17">
      <c r="A122" s="395"/>
      <c r="B122" s="342" t="s">
        <v>952</v>
      </c>
      <c r="C122" s="213" t="s">
        <v>953</v>
      </c>
      <c r="D122" s="214" t="s">
        <v>909</v>
      </c>
      <c r="E122" s="215">
        <v>6.55</v>
      </c>
      <c r="F122" s="216" t="s">
        <v>265</v>
      </c>
      <c r="G122" s="217" t="s">
        <v>0</v>
      </c>
      <c r="H122" s="218" t="s">
        <v>4505</v>
      </c>
      <c r="I122" s="219">
        <v>118.24</v>
      </c>
      <c r="J122" s="220">
        <v>119.69000000000001</v>
      </c>
      <c r="K122" s="221">
        <v>3.8721999999999999</v>
      </c>
      <c r="L122" s="222">
        <v>122.11</v>
      </c>
      <c r="M122" s="220">
        <v>123.56</v>
      </c>
      <c r="N122" s="223">
        <v>2</v>
      </c>
      <c r="O122" s="219">
        <v>125.56</v>
      </c>
      <c r="P122" s="224">
        <v>4.9399999999999999E-2</v>
      </c>
      <c r="Q122" s="225">
        <v>4.6199999999999998E-2</v>
      </c>
      <c r="R122" s="225" t="s">
        <v>557</v>
      </c>
      <c r="S122" s="226" t="s">
        <v>1745</v>
      </c>
      <c r="T122" s="226"/>
      <c r="U122" s="226" t="s">
        <v>1767</v>
      </c>
      <c r="V122" s="227">
        <v>5.0064000000000002</v>
      </c>
      <c r="W122" s="227"/>
      <c r="X122" s="226"/>
      <c r="Y122" s="409">
        <v>8.5000000000000006E-2</v>
      </c>
      <c r="Z122" s="410">
        <v>2</v>
      </c>
      <c r="AA122" s="192" t="s">
        <v>1346</v>
      </c>
      <c r="AB122" s="411" t="s">
        <v>2961</v>
      </c>
      <c r="AC122" s="412">
        <v>121.69000000000001</v>
      </c>
      <c r="AD122" s="412">
        <v>14</v>
      </c>
      <c r="AE122" s="409" t="s">
        <v>2410</v>
      </c>
      <c r="AF122" s="409" t="s">
        <v>2963</v>
      </c>
      <c r="AG122" s="409" t="s">
        <v>3872</v>
      </c>
      <c r="AH122" s="409" t="s">
        <v>170</v>
      </c>
      <c r="AI122" s="409" t="s">
        <v>224</v>
      </c>
      <c r="AJ122" s="242" t="s">
        <v>2964</v>
      </c>
      <c r="AK122" s="242" t="s">
        <v>2419</v>
      </c>
      <c r="AL122" s="242" t="s">
        <v>2412</v>
      </c>
      <c r="AM122" s="242" t="s">
        <v>2419</v>
      </c>
      <c r="AN122" s="421" t="s">
        <v>2414</v>
      </c>
      <c r="AO122" s="421" t="s">
        <v>2415</v>
      </c>
      <c r="AP122" s="242" t="s">
        <v>1945</v>
      </c>
      <c r="AQ122" s="242" t="s">
        <v>2965</v>
      </c>
      <c r="AR122" s="242" t="s">
        <v>2965</v>
      </c>
      <c r="AS122" s="242" t="s">
        <v>2966</v>
      </c>
      <c r="AT122" s="797" t="s">
        <v>2419</v>
      </c>
      <c r="AU122" s="242" t="s">
        <v>3476</v>
      </c>
      <c r="AV122" s="193"/>
      <c r="AW122" s="191"/>
    </row>
    <row r="123" spans="1:49" ht="17.149999999999999" customHeight="1">
      <c r="A123" s="395"/>
      <c r="B123" s="342" t="s">
        <v>954</v>
      </c>
      <c r="C123" s="213" t="s">
        <v>955</v>
      </c>
      <c r="D123" s="228" t="s">
        <v>1169</v>
      </c>
      <c r="E123" s="229">
        <v>11.87</v>
      </c>
      <c r="F123" s="230" t="s">
        <v>92</v>
      </c>
      <c r="G123" s="231" t="s">
        <v>0</v>
      </c>
      <c r="H123" s="232" t="s">
        <v>4505</v>
      </c>
      <c r="I123" s="233">
        <v>91.18</v>
      </c>
      <c r="J123" s="234">
        <v>92.62</v>
      </c>
      <c r="K123" s="235">
        <v>0.57330000000000003</v>
      </c>
      <c r="L123" s="236">
        <v>91.75</v>
      </c>
      <c r="M123" s="234">
        <v>93.19</v>
      </c>
      <c r="N123" s="237">
        <v>2.5</v>
      </c>
      <c r="O123" s="233">
        <v>95.69</v>
      </c>
      <c r="P123" s="238">
        <v>5.1400000000000001E-2</v>
      </c>
      <c r="Q123" s="239">
        <v>4.8399999999999999E-2</v>
      </c>
      <c r="R123" s="239" t="s">
        <v>557</v>
      </c>
      <c r="S123" s="240" t="s">
        <v>1745</v>
      </c>
      <c r="T123" s="240"/>
      <c r="U123" s="240">
        <v>4.8599999999999997E-2</v>
      </c>
      <c r="V123" s="241">
        <v>9.0341000000000005</v>
      </c>
      <c r="W123" s="241"/>
      <c r="X123" s="240"/>
      <c r="Y123" s="402">
        <v>4.2999999999999997E-2</v>
      </c>
      <c r="Z123" s="403">
        <v>2</v>
      </c>
      <c r="AA123" s="404" t="s">
        <v>1421</v>
      </c>
      <c r="AB123" s="405" t="s">
        <v>2967</v>
      </c>
      <c r="AC123" s="406">
        <v>95.12</v>
      </c>
      <c r="AD123" s="406">
        <v>24</v>
      </c>
      <c r="AE123" s="402" t="s">
        <v>2410</v>
      </c>
      <c r="AF123" s="402" t="s">
        <v>2740</v>
      </c>
      <c r="AG123" s="402" t="s">
        <v>4340</v>
      </c>
      <c r="AH123" s="402" t="s">
        <v>167</v>
      </c>
      <c r="AI123" s="402" t="s">
        <v>83</v>
      </c>
      <c r="AJ123" s="407" t="s">
        <v>2741</v>
      </c>
      <c r="AK123" s="407" t="s">
        <v>2968</v>
      </c>
      <c r="AL123" s="407" t="s">
        <v>2412</v>
      </c>
      <c r="AM123" s="407" t="s">
        <v>2413</v>
      </c>
      <c r="AN123" s="420" t="s">
        <v>2414</v>
      </c>
      <c r="AO123" s="420" t="s">
        <v>2415</v>
      </c>
      <c r="AP123" s="407" t="s">
        <v>1945</v>
      </c>
      <c r="AQ123" s="407" t="s">
        <v>2723</v>
      </c>
      <c r="AR123" s="407" t="s">
        <v>2723</v>
      </c>
      <c r="AS123" s="407" t="s">
        <v>2743</v>
      </c>
      <c r="AT123" s="798" t="s">
        <v>2419</v>
      </c>
      <c r="AU123" s="407" t="s">
        <v>3476</v>
      </c>
      <c r="AV123" s="408"/>
      <c r="AW123" s="191"/>
    </row>
    <row r="124" spans="1:49" ht="17">
      <c r="A124" s="395"/>
      <c r="B124" s="342" t="s">
        <v>956</v>
      </c>
      <c r="C124" s="213" t="s">
        <v>957</v>
      </c>
      <c r="D124" s="214" t="s">
        <v>621</v>
      </c>
      <c r="E124" s="215">
        <v>19.84</v>
      </c>
      <c r="F124" s="216" t="s">
        <v>958</v>
      </c>
      <c r="G124" s="217" t="s">
        <v>0</v>
      </c>
      <c r="H124" s="218" t="s">
        <v>4505</v>
      </c>
      <c r="I124" s="219">
        <v>91.33</v>
      </c>
      <c r="J124" s="220">
        <v>93.07</v>
      </c>
      <c r="K124" s="221">
        <v>0.69220000000000004</v>
      </c>
      <c r="L124" s="222">
        <v>92.02</v>
      </c>
      <c r="M124" s="220">
        <v>93.76</v>
      </c>
      <c r="N124" s="223">
        <v>3</v>
      </c>
      <c r="O124" s="219">
        <v>96.76</v>
      </c>
      <c r="P124" s="224">
        <v>0.05</v>
      </c>
      <c r="Q124" s="225">
        <v>4.7600000000000003E-2</v>
      </c>
      <c r="R124" s="225" t="s">
        <v>557</v>
      </c>
      <c r="S124" s="226" t="s">
        <v>1745</v>
      </c>
      <c r="T124" s="226"/>
      <c r="U124" s="226" t="s">
        <v>1767</v>
      </c>
      <c r="V124" s="227">
        <v>12.7517</v>
      </c>
      <c r="W124" s="227"/>
      <c r="X124" s="226"/>
      <c r="Y124" s="409">
        <v>4.4500000000000005E-2</v>
      </c>
      <c r="Z124" s="410">
        <v>2</v>
      </c>
      <c r="AA124" s="192" t="s">
        <v>1357</v>
      </c>
      <c r="AB124" s="411" t="s">
        <v>2969</v>
      </c>
      <c r="AC124" s="412">
        <v>96.07</v>
      </c>
      <c r="AD124" s="412">
        <v>40</v>
      </c>
      <c r="AE124" s="409" t="s">
        <v>2410</v>
      </c>
      <c r="AF124" s="409" t="s">
        <v>2971</v>
      </c>
      <c r="AG124" s="409" t="s">
        <v>4199</v>
      </c>
      <c r="AH124" s="409" t="s">
        <v>165</v>
      </c>
      <c r="AI124" s="409" t="s">
        <v>49</v>
      </c>
      <c r="AJ124" s="242" t="s">
        <v>2512</v>
      </c>
      <c r="AK124" s="242" t="s">
        <v>2419</v>
      </c>
      <c r="AL124" s="242" t="s">
        <v>2412</v>
      </c>
      <c r="AM124" s="242" t="s">
        <v>2419</v>
      </c>
      <c r="AN124" s="421" t="s">
        <v>2414</v>
      </c>
      <c r="AO124" s="421" t="s">
        <v>2415</v>
      </c>
      <c r="AP124" s="242" t="s">
        <v>1945</v>
      </c>
      <c r="AQ124" s="242" t="s">
        <v>2972</v>
      </c>
      <c r="AR124" s="242" t="s">
        <v>2972</v>
      </c>
      <c r="AS124" s="242" t="s">
        <v>2973</v>
      </c>
      <c r="AT124" s="797" t="s">
        <v>2419</v>
      </c>
      <c r="AU124" s="242" t="s">
        <v>3476</v>
      </c>
      <c r="AV124" s="193"/>
      <c r="AW124" s="191"/>
    </row>
    <row r="125" spans="1:49" ht="17.149999999999999" customHeight="1">
      <c r="A125" s="395"/>
      <c r="B125" s="342" t="s">
        <v>959</v>
      </c>
      <c r="C125" s="213" t="s">
        <v>960</v>
      </c>
      <c r="D125" s="228" t="s">
        <v>884</v>
      </c>
      <c r="E125" s="229">
        <v>21.66</v>
      </c>
      <c r="F125" s="230" t="s">
        <v>961</v>
      </c>
      <c r="G125" s="231" t="s">
        <v>0</v>
      </c>
      <c r="H125" s="232" t="s">
        <v>4505</v>
      </c>
      <c r="I125" s="233">
        <v>88.2</v>
      </c>
      <c r="J125" s="234">
        <v>89.800000000000011</v>
      </c>
      <c r="K125" s="235">
        <v>1.5965</v>
      </c>
      <c r="L125" s="236">
        <v>89.8</v>
      </c>
      <c r="M125" s="234">
        <v>91.4</v>
      </c>
      <c r="N125" s="237">
        <v>3</v>
      </c>
      <c r="O125" s="233">
        <v>94.4</v>
      </c>
      <c r="P125" s="238">
        <v>5.57E-2</v>
      </c>
      <c r="Q125" s="239">
        <v>5.3100000000000001E-2</v>
      </c>
      <c r="R125" s="239" t="s">
        <v>557</v>
      </c>
      <c r="S125" s="240" t="s">
        <v>1745</v>
      </c>
      <c r="T125" s="240"/>
      <c r="U125" s="240">
        <v>5.3199999999999997E-2</v>
      </c>
      <c r="V125" s="241">
        <v>12.7578</v>
      </c>
      <c r="W125" s="241"/>
      <c r="X125" s="240"/>
      <c r="Y125" s="402">
        <v>4.7500000000000001E-2</v>
      </c>
      <c r="Z125" s="403">
        <v>2</v>
      </c>
      <c r="AA125" s="404" t="s">
        <v>1378</v>
      </c>
      <c r="AB125" s="405" t="s">
        <v>2614</v>
      </c>
      <c r="AC125" s="406">
        <v>92.800000000000011</v>
      </c>
      <c r="AD125" s="406">
        <v>44</v>
      </c>
      <c r="AE125" s="402" t="s">
        <v>2410</v>
      </c>
      <c r="AF125" s="402" t="s">
        <v>2469</v>
      </c>
      <c r="AG125" s="402" t="s">
        <v>3972</v>
      </c>
      <c r="AH125" s="402" t="s">
        <v>167</v>
      </c>
      <c r="AI125" s="402" t="s">
        <v>111</v>
      </c>
      <c r="AJ125" s="407" t="s">
        <v>2900</v>
      </c>
      <c r="AK125" s="407" t="s">
        <v>2615</v>
      </c>
      <c r="AL125" s="407" t="s">
        <v>2412</v>
      </c>
      <c r="AM125" s="407" t="s">
        <v>2413</v>
      </c>
      <c r="AN125" s="420" t="s">
        <v>2414</v>
      </c>
      <c r="AO125" s="420" t="s">
        <v>2415</v>
      </c>
      <c r="AP125" s="407" t="s">
        <v>1945</v>
      </c>
      <c r="AQ125" s="407" t="s">
        <v>2974</v>
      </c>
      <c r="AR125" s="407" t="s">
        <v>2974</v>
      </c>
      <c r="AS125" s="407" t="s">
        <v>2975</v>
      </c>
      <c r="AT125" s="798" t="s">
        <v>2419</v>
      </c>
      <c r="AU125" s="407" t="s">
        <v>3476</v>
      </c>
      <c r="AV125" s="408"/>
      <c r="AW125" s="191"/>
    </row>
    <row r="126" spans="1:49" ht="17">
      <c r="A126" s="395"/>
      <c r="B126" s="342" t="s">
        <v>962</v>
      </c>
      <c r="C126" s="213" t="s">
        <v>963</v>
      </c>
      <c r="D126" s="214" t="s">
        <v>596</v>
      </c>
      <c r="E126" s="215">
        <v>8.2899999999999991</v>
      </c>
      <c r="F126" s="216" t="s">
        <v>964</v>
      </c>
      <c r="G126" s="217" t="s">
        <v>530</v>
      </c>
      <c r="H126" s="218" t="s">
        <v>4508</v>
      </c>
      <c r="I126" s="219">
        <v>46.35</v>
      </c>
      <c r="J126" s="220">
        <v>48.29</v>
      </c>
      <c r="K126" s="221">
        <v>0</v>
      </c>
      <c r="L126" s="222">
        <v>46.35</v>
      </c>
      <c r="M126" s="220">
        <v>48.29</v>
      </c>
      <c r="N126" s="223">
        <v>1.6</v>
      </c>
      <c r="O126" s="219">
        <v>49.89</v>
      </c>
      <c r="P126" s="224">
        <v>9.1800000000000007E-2</v>
      </c>
      <c r="Q126" s="225">
        <v>8.7499999999999994E-2</v>
      </c>
      <c r="R126" s="225" t="s">
        <v>749</v>
      </c>
      <c r="S126" s="226" t="s">
        <v>1746</v>
      </c>
      <c r="T126" s="226"/>
      <c r="U126" s="226" t="s">
        <v>1767</v>
      </c>
      <c r="V126" s="227">
        <v>7.9372999999999996</v>
      </c>
      <c r="W126" s="227"/>
      <c r="X126" s="226"/>
      <c r="Y126" s="409">
        <v>0</v>
      </c>
      <c r="Z126" s="410">
        <v>0</v>
      </c>
      <c r="AA126" s="192" t="s">
        <v>2476</v>
      </c>
      <c r="AB126" s="411" t="s">
        <v>2976</v>
      </c>
      <c r="AC126" s="412">
        <v>49.89</v>
      </c>
      <c r="AD126" s="412">
        <v>0</v>
      </c>
      <c r="AE126" s="409" t="s">
        <v>2495</v>
      </c>
      <c r="AF126" s="409" t="s">
        <v>2419</v>
      </c>
      <c r="AG126" s="409" t="s">
        <v>2419</v>
      </c>
      <c r="AH126" s="409" t="s">
        <v>163</v>
      </c>
      <c r="AI126" s="409" t="s">
        <v>2481</v>
      </c>
      <c r="AJ126" s="242" t="s">
        <v>2482</v>
      </c>
      <c r="AK126" s="242" t="s">
        <v>2419</v>
      </c>
      <c r="AL126" s="242" t="s">
        <v>2496</v>
      </c>
      <c r="AM126" s="242" t="s">
        <v>2419</v>
      </c>
      <c r="AN126" s="421" t="s">
        <v>2414</v>
      </c>
      <c r="AO126" s="421" t="s">
        <v>2415</v>
      </c>
      <c r="AP126" s="242" t="s">
        <v>1948</v>
      </c>
      <c r="AQ126" s="242" t="s">
        <v>2977</v>
      </c>
      <c r="AR126" s="242" t="s">
        <v>2419</v>
      </c>
      <c r="AS126" s="242" t="s">
        <v>2419</v>
      </c>
      <c r="AT126" s="797" t="s">
        <v>2419</v>
      </c>
      <c r="AU126" s="242" t="s">
        <v>3476</v>
      </c>
      <c r="AV126" s="193"/>
      <c r="AW126" s="191"/>
    </row>
    <row r="127" spans="1:49" ht="17.149999999999999" customHeight="1">
      <c r="A127" s="395"/>
      <c r="B127" s="342" t="s">
        <v>965</v>
      </c>
      <c r="C127" s="213" t="s">
        <v>966</v>
      </c>
      <c r="D127" s="228" t="s">
        <v>2171</v>
      </c>
      <c r="E127" s="229">
        <v>26.53</v>
      </c>
      <c r="F127" s="230" t="s">
        <v>967</v>
      </c>
      <c r="G127" s="231" t="s">
        <v>0</v>
      </c>
      <c r="H127" s="232" t="s">
        <v>4505</v>
      </c>
      <c r="I127" s="233">
        <v>73.78</v>
      </c>
      <c r="J127" s="234">
        <v>75.210000000000008</v>
      </c>
      <c r="K127" s="235">
        <v>1.69</v>
      </c>
      <c r="L127" s="236">
        <v>75.47</v>
      </c>
      <c r="M127" s="234">
        <v>76.900000000000006</v>
      </c>
      <c r="N127" s="237">
        <v>3.5</v>
      </c>
      <c r="O127" s="233">
        <v>80.400000000000006</v>
      </c>
      <c r="P127" s="238">
        <v>5.3600000000000002E-2</v>
      </c>
      <c r="Q127" s="239">
        <v>5.0700000000000002E-2</v>
      </c>
      <c r="R127" s="239" t="s">
        <v>557</v>
      </c>
      <c r="S127" s="240" t="s">
        <v>1746</v>
      </c>
      <c r="T127" s="240"/>
      <c r="U127" s="240">
        <v>5.0799999999999998E-2</v>
      </c>
      <c r="V127" s="241">
        <v>15.1081</v>
      </c>
      <c r="W127" s="241"/>
      <c r="X127" s="240"/>
      <c r="Y127" s="402">
        <v>3.6000000000000004E-2</v>
      </c>
      <c r="Z127" s="403">
        <v>2</v>
      </c>
      <c r="AA127" s="404" t="s">
        <v>1356</v>
      </c>
      <c r="AB127" s="405" t="s">
        <v>2978</v>
      </c>
      <c r="AC127" s="406">
        <v>78.710000000000008</v>
      </c>
      <c r="AD127" s="406">
        <v>54</v>
      </c>
      <c r="AE127" s="402" t="s">
        <v>2410</v>
      </c>
      <c r="AF127" s="402" t="s">
        <v>2980</v>
      </c>
      <c r="AG127" s="402" t="s">
        <v>3865</v>
      </c>
      <c r="AH127" s="402" t="s">
        <v>164</v>
      </c>
      <c r="AI127" s="402" t="s">
        <v>98</v>
      </c>
      <c r="AJ127" s="407" t="s">
        <v>2863</v>
      </c>
      <c r="AK127" s="407" t="s">
        <v>2981</v>
      </c>
      <c r="AL127" s="407" t="s">
        <v>2412</v>
      </c>
      <c r="AM127" s="407" t="s">
        <v>2413</v>
      </c>
      <c r="AN127" s="420" t="s">
        <v>2414</v>
      </c>
      <c r="AO127" s="420" t="s">
        <v>2415</v>
      </c>
      <c r="AP127" s="407" t="s">
        <v>1945</v>
      </c>
      <c r="AQ127" s="407" t="s">
        <v>2982</v>
      </c>
      <c r="AR127" s="407" t="s">
        <v>2982</v>
      </c>
      <c r="AS127" s="407" t="s">
        <v>2983</v>
      </c>
      <c r="AT127" s="798" t="s">
        <v>2419</v>
      </c>
      <c r="AU127" s="407" t="s">
        <v>3476</v>
      </c>
      <c r="AV127" s="408"/>
      <c r="AW127" s="191"/>
    </row>
    <row r="128" spans="1:49" ht="17">
      <c r="A128" s="395"/>
      <c r="B128" s="342" t="s">
        <v>968</v>
      </c>
      <c r="C128" s="213" t="s">
        <v>969</v>
      </c>
      <c r="D128" s="214" t="s">
        <v>862</v>
      </c>
      <c r="E128" s="215">
        <v>21.75</v>
      </c>
      <c r="F128" s="216" t="s">
        <v>970</v>
      </c>
      <c r="G128" s="217" t="s">
        <v>0</v>
      </c>
      <c r="H128" s="218" t="s">
        <v>4505</v>
      </c>
      <c r="I128" s="219">
        <v>82.58</v>
      </c>
      <c r="J128" s="220">
        <v>84.28</v>
      </c>
      <c r="K128" s="221">
        <v>1.1500999999999999</v>
      </c>
      <c r="L128" s="222">
        <v>83.73</v>
      </c>
      <c r="M128" s="220">
        <v>85.43</v>
      </c>
      <c r="N128" s="223">
        <v>3</v>
      </c>
      <c r="O128" s="219">
        <v>88.43</v>
      </c>
      <c r="P128" s="224">
        <v>5.8299999999999998E-2</v>
      </c>
      <c r="Q128" s="225">
        <v>5.57E-2</v>
      </c>
      <c r="R128" s="225" t="s">
        <v>557</v>
      </c>
      <c r="S128" s="226" t="s">
        <v>1745</v>
      </c>
      <c r="T128" s="226"/>
      <c r="U128" s="226">
        <v>5.5800000000000002E-2</v>
      </c>
      <c r="V128" s="227">
        <v>12.776999999999999</v>
      </c>
      <c r="W128" s="227"/>
      <c r="X128" s="226"/>
      <c r="Y128" s="409">
        <v>4.5499999999999999E-2</v>
      </c>
      <c r="Z128" s="410">
        <v>2</v>
      </c>
      <c r="AA128" s="192" t="s">
        <v>2984</v>
      </c>
      <c r="AB128" s="411" t="s">
        <v>2985</v>
      </c>
      <c r="AC128" s="412">
        <v>87.28</v>
      </c>
      <c r="AD128" s="412">
        <v>44</v>
      </c>
      <c r="AE128" s="409" t="s">
        <v>2410</v>
      </c>
      <c r="AF128" s="409" t="s">
        <v>2730</v>
      </c>
      <c r="AG128" s="409" t="s">
        <v>4032</v>
      </c>
      <c r="AH128" s="409" t="s">
        <v>171</v>
      </c>
      <c r="AI128" s="409" t="s">
        <v>70</v>
      </c>
      <c r="AJ128" s="242" t="s">
        <v>3901</v>
      </c>
      <c r="AK128" s="242" t="s">
        <v>2986</v>
      </c>
      <c r="AL128" s="242" t="s">
        <v>2412</v>
      </c>
      <c r="AM128" s="242" t="s">
        <v>2413</v>
      </c>
      <c r="AN128" s="421" t="s">
        <v>2414</v>
      </c>
      <c r="AO128" s="421" t="s">
        <v>2415</v>
      </c>
      <c r="AP128" s="242" t="s">
        <v>1945</v>
      </c>
      <c r="AQ128" s="242" t="s">
        <v>2987</v>
      </c>
      <c r="AR128" s="242" t="s">
        <v>2987</v>
      </c>
      <c r="AS128" s="242" t="s">
        <v>2988</v>
      </c>
      <c r="AT128" s="797" t="s">
        <v>2419</v>
      </c>
      <c r="AU128" s="242" t="s">
        <v>3476</v>
      </c>
      <c r="AV128" s="193"/>
      <c r="AW128" s="191"/>
    </row>
    <row r="129" spans="1:49" ht="17.149999999999999" customHeight="1">
      <c r="A129" s="395"/>
      <c r="B129" s="342" t="s">
        <v>971</v>
      </c>
      <c r="C129" s="213" t="s">
        <v>972</v>
      </c>
      <c r="D129" s="228" t="s">
        <v>628</v>
      </c>
      <c r="E129" s="229">
        <v>27.58</v>
      </c>
      <c r="F129" s="230" t="s">
        <v>973</v>
      </c>
      <c r="G129" s="231" t="s">
        <v>0</v>
      </c>
      <c r="H129" s="232" t="s">
        <v>4505</v>
      </c>
      <c r="I129" s="233">
        <v>65.69</v>
      </c>
      <c r="J129" s="234">
        <v>67.38000000000001</v>
      </c>
      <c r="K129" s="235">
        <v>1.3842000000000001</v>
      </c>
      <c r="L129" s="236">
        <v>67.069999999999993</v>
      </c>
      <c r="M129" s="234">
        <v>68.760000000000005</v>
      </c>
      <c r="N129" s="237">
        <v>3.5</v>
      </c>
      <c r="O129" s="233">
        <v>72.260000000000005</v>
      </c>
      <c r="P129" s="238">
        <v>5.6500000000000002E-2</v>
      </c>
      <c r="Q129" s="239">
        <v>5.33E-2</v>
      </c>
      <c r="R129" s="239" t="s">
        <v>557</v>
      </c>
      <c r="S129" s="240" t="s">
        <v>1745</v>
      </c>
      <c r="T129" s="240"/>
      <c r="U129" s="240">
        <v>5.3499999999999999E-2</v>
      </c>
      <c r="V129" s="241">
        <v>15.3986</v>
      </c>
      <c r="W129" s="241"/>
      <c r="X129" s="240"/>
      <c r="Y129" s="402">
        <v>3.3000000000000002E-2</v>
      </c>
      <c r="Z129" s="403">
        <v>2</v>
      </c>
      <c r="AA129" s="404" t="s">
        <v>1410</v>
      </c>
      <c r="AB129" s="405" t="s">
        <v>2989</v>
      </c>
      <c r="AC129" s="406">
        <v>70.88000000000001</v>
      </c>
      <c r="AD129" s="406">
        <v>56</v>
      </c>
      <c r="AE129" s="402" t="s">
        <v>2410</v>
      </c>
      <c r="AF129" s="402" t="s">
        <v>2782</v>
      </c>
      <c r="AG129" s="402" t="s">
        <v>3890</v>
      </c>
      <c r="AH129" s="402" t="s">
        <v>164</v>
      </c>
      <c r="AI129" s="402" t="s">
        <v>50</v>
      </c>
      <c r="AJ129" s="407" t="s">
        <v>2522</v>
      </c>
      <c r="AK129" s="407" t="s">
        <v>2990</v>
      </c>
      <c r="AL129" s="407" t="s">
        <v>2412</v>
      </c>
      <c r="AM129" s="407" t="s">
        <v>2413</v>
      </c>
      <c r="AN129" s="420" t="s">
        <v>2414</v>
      </c>
      <c r="AO129" s="420" t="s">
        <v>2415</v>
      </c>
      <c r="AP129" s="407" t="s">
        <v>1945</v>
      </c>
      <c r="AQ129" s="407" t="s">
        <v>2991</v>
      </c>
      <c r="AR129" s="407" t="s">
        <v>2991</v>
      </c>
      <c r="AS129" s="407" t="s">
        <v>2992</v>
      </c>
      <c r="AT129" s="798" t="s">
        <v>2419</v>
      </c>
      <c r="AU129" s="407" t="s">
        <v>3476</v>
      </c>
      <c r="AV129" s="408"/>
      <c r="AW129" s="191"/>
    </row>
    <row r="130" spans="1:49" ht="17">
      <c r="A130" s="395"/>
      <c r="B130" s="342" t="s">
        <v>974</v>
      </c>
      <c r="C130" s="213" t="s">
        <v>975</v>
      </c>
      <c r="D130" s="214" t="s">
        <v>3896</v>
      </c>
      <c r="E130" s="215">
        <v>24.2</v>
      </c>
      <c r="F130" s="216" t="s">
        <v>976</v>
      </c>
      <c r="G130" s="217" t="s">
        <v>0</v>
      </c>
      <c r="H130" s="218" t="s">
        <v>4505</v>
      </c>
      <c r="I130" s="219">
        <v>78.44</v>
      </c>
      <c r="J130" s="220">
        <v>80.37</v>
      </c>
      <c r="K130" s="221">
        <v>1.2</v>
      </c>
      <c r="L130" s="222">
        <v>79.64</v>
      </c>
      <c r="M130" s="220">
        <v>81.569999999999993</v>
      </c>
      <c r="N130" s="223">
        <v>3.5</v>
      </c>
      <c r="O130" s="219">
        <v>85.07</v>
      </c>
      <c r="P130" s="224">
        <v>5.4699999999999999E-2</v>
      </c>
      <c r="Q130" s="225">
        <v>5.1799999999999999E-2</v>
      </c>
      <c r="R130" s="225" t="s">
        <v>557</v>
      </c>
      <c r="S130" s="226" t="s">
        <v>1745</v>
      </c>
      <c r="T130" s="226"/>
      <c r="U130" s="226">
        <v>5.1900000000000002E-2</v>
      </c>
      <c r="V130" s="227">
        <v>14.1205</v>
      </c>
      <c r="W130" s="227"/>
      <c r="X130" s="226"/>
      <c r="Y130" s="409">
        <v>0.04</v>
      </c>
      <c r="Z130" s="410">
        <v>2</v>
      </c>
      <c r="AA130" s="192" t="s">
        <v>1364</v>
      </c>
      <c r="AB130" s="411" t="s">
        <v>2993</v>
      </c>
      <c r="AC130" s="412">
        <v>83.87</v>
      </c>
      <c r="AD130" s="412">
        <v>49</v>
      </c>
      <c r="AE130" s="409" t="s">
        <v>2410</v>
      </c>
      <c r="AF130" s="409" t="s">
        <v>2712</v>
      </c>
      <c r="AG130" s="409" t="s">
        <v>4017</v>
      </c>
      <c r="AH130" s="409" t="s">
        <v>171</v>
      </c>
      <c r="AI130" s="409" t="s">
        <v>113</v>
      </c>
      <c r="AJ130" s="242" t="s">
        <v>2890</v>
      </c>
      <c r="AK130" s="242" t="s">
        <v>2994</v>
      </c>
      <c r="AL130" s="242" t="s">
        <v>2412</v>
      </c>
      <c r="AM130" s="242" t="s">
        <v>2413</v>
      </c>
      <c r="AN130" s="421" t="s">
        <v>2414</v>
      </c>
      <c r="AO130" s="421" t="s">
        <v>2415</v>
      </c>
      <c r="AP130" s="242" t="s">
        <v>1945</v>
      </c>
      <c r="AQ130" s="242" t="s">
        <v>2995</v>
      </c>
      <c r="AR130" s="242" t="s">
        <v>2995</v>
      </c>
      <c r="AS130" s="242" t="s">
        <v>2996</v>
      </c>
      <c r="AT130" s="797" t="s">
        <v>2419</v>
      </c>
      <c r="AU130" s="242" t="s">
        <v>3476</v>
      </c>
      <c r="AV130" s="193"/>
      <c r="AW130" s="191"/>
    </row>
    <row r="131" spans="1:49" ht="17.149999999999999" customHeight="1">
      <c r="A131" s="395"/>
      <c r="B131" s="342" t="s">
        <v>977</v>
      </c>
      <c r="C131" s="213" t="s">
        <v>978</v>
      </c>
      <c r="D131" s="228" t="s">
        <v>2171</v>
      </c>
      <c r="E131" s="229">
        <v>22.08</v>
      </c>
      <c r="F131" s="230" t="s">
        <v>126</v>
      </c>
      <c r="G131" s="231" t="s">
        <v>0</v>
      </c>
      <c r="H131" s="232" t="s">
        <v>4505</v>
      </c>
      <c r="I131" s="233">
        <v>67.180000000000007</v>
      </c>
      <c r="J131" s="234">
        <v>68.87</v>
      </c>
      <c r="K131" s="235">
        <v>1.2666999999999999</v>
      </c>
      <c r="L131" s="236">
        <v>68.45</v>
      </c>
      <c r="M131" s="234">
        <v>70.14</v>
      </c>
      <c r="N131" s="237">
        <v>3</v>
      </c>
      <c r="O131" s="233">
        <v>73.14</v>
      </c>
      <c r="P131" s="238">
        <v>5.4399999999999997E-2</v>
      </c>
      <c r="Q131" s="239">
        <v>5.1499999999999997E-2</v>
      </c>
      <c r="R131" s="239" t="s">
        <v>557</v>
      </c>
      <c r="S131" s="240" t="s">
        <v>1745</v>
      </c>
      <c r="T131" s="240"/>
      <c r="U131" s="240" t="s">
        <v>1767</v>
      </c>
      <c r="V131" s="241">
        <v>14.3055</v>
      </c>
      <c r="W131" s="241"/>
      <c r="X131" s="240"/>
      <c r="Y131" s="402">
        <v>0.03</v>
      </c>
      <c r="Z131" s="403">
        <v>2</v>
      </c>
      <c r="AA131" s="404" t="s">
        <v>1381</v>
      </c>
      <c r="AB131" s="405" t="s">
        <v>2997</v>
      </c>
      <c r="AC131" s="406">
        <v>71.87</v>
      </c>
      <c r="AD131" s="406">
        <v>45</v>
      </c>
      <c r="AE131" s="402" t="s">
        <v>2410</v>
      </c>
      <c r="AF131" s="402" t="s">
        <v>2463</v>
      </c>
      <c r="AG131" s="402" t="s">
        <v>3887</v>
      </c>
      <c r="AH131" s="402" t="s">
        <v>164</v>
      </c>
      <c r="AI131" s="402" t="s">
        <v>98</v>
      </c>
      <c r="AJ131" s="407" t="s">
        <v>4018</v>
      </c>
      <c r="AK131" s="407" t="s">
        <v>2419</v>
      </c>
      <c r="AL131" s="407" t="s">
        <v>2412</v>
      </c>
      <c r="AM131" s="407" t="s">
        <v>2419</v>
      </c>
      <c r="AN131" s="420" t="s">
        <v>2414</v>
      </c>
      <c r="AO131" s="420" t="s">
        <v>2415</v>
      </c>
      <c r="AP131" s="407" t="s">
        <v>1944</v>
      </c>
      <c r="AQ131" s="407" t="s">
        <v>2998</v>
      </c>
      <c r="AR131" s="407" t="s">
        <v>2998</v>
      </c>
      <c r="AS131" s="407" t="s">
        <v>2999</v>
      </c>
      <c r="AT131" s="798" t="s">
        <v>2419</v>
      </c>
      <c r="AU131" s="407" t="s">
        <v>3476</v>
      </c>
      <c r="AV131" s="408"/>
      <c r="AW131" s="191"/>
    </row>
    <row r="132" spans="1:49" ht="17">
      <c r="A132" s="395"/>
      <c r="B132" s="342" t="s">
        <v>979</v>
      </c>
      <c r="C132" s="213" t="s">
        <v>980</v>
      </c>
      <c r="D132" s="214" t="s">
        <v>4033</v>
      </c>
      <c r="E132" s="215">
        <v>25.65</v>
      </c>
      <c r="F132" s="216" t="s">
        <v>226</v>
      </c>
      <c r="G132" s="217" t="s">
        <v>0</v>
      </c>
      <c r="H132" s="218" t="s">
        <v>4505</v>
      </c>
      <c r="I132" s="219">
        <v>64.39</v>
      </c>
      <c r="J132" s="220">
        <v>65.69</v>
      </c>
      <c r="K132" s="221">
        <v>1.0667</v>
      </c>
      <c r="L132" s="222">
        <v>65.459999999999994</v>
      </c>
      <c r="M132" s="220">
        <v>66.760000000000005</v>
      </c>
      <c r="N132" s="223">
        <v>3.5</v>
      </c>
      <c r="O132" s="219">
        <v>70.260000000000005</v>
      </c>
      <c r="P132" s="224">
        <v>5.5199999999999999E-2</v>
      </c>
      <c r="Q132" s="225">
        <v>5.1900000000000002E-2</v>
      </c>
      <c r="R132" s="225" t="s">
        <v>557</v>
      </c>
      <c r="S132" s="226" t="s">
        <v>1745</v>
      </c>
      <c r="T132" s="226"/>
      <c r="U132" s="226">
        <v>5.21E-2</v>
      </c>
      <c r="V132" s="227">
        <v>15.459300000000001</v>
      </c>
      <c r="W132" s="227"/>
      <c r="X132" s="226"/>
      <c r="Y132" s="409">
        <v>0.03</v>
      </c>
      <c r="Z132" s="410">
        <v>2</v>
      </c>
      <c r="AA132" s="192" t="s">
        <v>1384</v>
      </c>
      <c r="AB132" s="411" t="s">
        <v>3000</v>
      </c>
      <c r="AC132" s="412">
        <v>69.19</v>
      </c>
      <c r="AD132" s="412">
        <v>52</v>
      </c>
      <c r="AE132" s="409" t="s">
        <v>2410</v>
      </c>
      <c r="AF132" s="409" t="s">
        <v>3001</v>
      </c>
      <c r="AG132" s="409" t="s">
        <v>3947</v>
      </c>
      <c r="AH132" s="409" t="s">
        <v>172</v>
      </c>
      <c r="AI132" s="409" t="s">
        <v>188</v>
      </c>
      <c r="AJ132" s="242" t="s">
        <v>3917</v>
      </c>
      <c r="AK132" s="242" t="s">
        <v>3002</v>
      </c>
      <c r="AL132" s="242" t="s">
        <v>2412</v>
      </c>
      <c r="AM132" s="242" t="s">
        <v>2413</v>
      </c>
      <c r="AN132" s="421" t="s">
        <v>2414</v>
      </c>
      <c r="AO132" s="421" t="s">
        <v>2415</v>
      </c>
      <c r="AP132" s="242" t="s">
        <v>1945</v>
      </c>
      <c r="AQ132" s="242" t="s">
        <v>3003</v>
      </c>
      <c r="AR132" s="242" t="s">
        <v>3003</v>
      </c>
      <c r="AS132" s="242" t="s">
        <v>3004</v>
      </c>
      <c r="AT132" s="797" t="s">
        <v>2419</v>
      </c>
      <c r="AU132" s="242" t="s">
        <v>3476</v>
      </c>
      <c r="AV132" s="193"/>
      <c r="AW132" s="191"/>
    </row>
    <row r="133" spans="1:49" ht="17.149999999999999" customHeight="1">
      <c r="A133" s="395"/>
      <c r="B133" s="342" t="s">
        <v>981</v>
      </c>
      <c r="C133" s="213" t="s">
        <v>982</v>
      </c>
      <c r="D133" s="228" t="s">
        <v>592</v>
      </c>
      <c r="E133" s="229">
        <v>25.75</v>
      </c>
      <c r="F133" s="230" t="s">
        <v>222</v>
      </c>
      <c r="G133" s="231" t="s">
        <v>0</v>
      </c>
      <c r="H133" s="232" t="s">
        <v>4505</v>
      </c>
      <c r="I133" s="233">
        <v>69.06</v>
      </c>
      <c r="J133" s="234">
        <v>70.47</v>
      </c>
      <c r="K133" s="235">
        <v>0.91</v>
      </c>
      <c r="L133" s="236">
        <v>69.97</v>
      </c>
      <c r="M133" s="234">
        <v>71.38</v>
      </c>
      <c r="N133" s="237">
        <v>3.5</v>
      </c>
      <c r="O133" s="233">
        <v>74.88</v>
      </c>
      <c r="P133" s="238">
        <v>5.8299999999999998E-2</v>
      </c>
      <c r="Q133" s="239">
        <v>5.5E-2</v>
      </c>
      <c r="R133" s="239" t="s">
        <v>557</v>
      </c>
      <c r="S133" s="240" t="s">
        <v>1745</v>
      </c>
      <c r="T133" s="240"/>
      <c r="U133" s="240">
        <v>5.5199999999999999E-2</v>
      </c>
      <c r="V133" s="241">
        <v>14.6212</v>
      </c>
      <c r="W133" s="241"/>
      <c r="X133" s="240"/>
      <c r="Y133" s="402">
        <v>3.6000000000000004E-2</v>
      </c>
      <c r="Z133" s="403">
        <v>2</v>
      </c>
      <c r="AA133" s="404" t="s">
        <v>1420</v>
      </c>
      <c r="AB133" s="405" t="s">
        <v>3005</v>
      </c>
      <c r="AC133" s="406">
        <v>73.97</v>
      </c>
      <c r="AD133" s="406">
        <v>52</v>
      </c>
      <c r="AE133" s="402" t="s">
        <v>2410</v>
      </c>
      <c r="AF133" s="402" t="s">
        <v>2730</v>
      </c>
      <c r="AG133" s="402" t="s">
        <v>4032</v>
      </c>
      <c r="AH133" s="402" t="s">
        <v>165</v>
      </c>
      <c r="AI133" s="402" t="s">
        <v>86</v>
      </c>
      <c r="AJ133" s="407" t="s">
        <v>2936</v>
      </c>
      <c r="AK133" s="407" t="s">
        <v>3006</v>
      </c>
      <c r="AL133" s="407" t="s">
        <v>2412</v>
      </c>
      <c r="AM133" s="407" t="s">
        <v>2413</v>
      </c>
      <c r="AN133" s="420" t="s">
        <v>2414</v>
      </c>
      <c r="AO133" s="420" t="s">
        <v>2415</v>
      </c>
      <c r="AP133" s="407" t="s">
        <v>1945</v>
      </c>
      <c r="AQ133" s="407" t="s">
        <v>3007</v>
      </c>
      <c r="AR133" s="407" t="s">
        <v>3007</v>
      </c>
      <c r="AS133" s="407" t="s">
        <v>3008</v>
      </c>
      <c r="AT133" s="798" t="s">
        <v>2419</v>
      </c>
      <c r="AU133" s="407" t="s">
        <v>3476</v>
      </c>
      <c r="AV133" s="408"/>
      <c r="AW133" s="191"/>
    </row>
    <row r="134" spans="1:49" ht="17">
      <c r="A134" s="395"/>
      <c r="B134" s="342" t="s">
        <v>983</v>
      </c>
      <c r="C134" s="213" t="s">
        <v>984</v>
      </c>
      <c r="D134" s="214" t="s">
        <v>985</v>
      </c>
      <c r="E134" s="215">
        <v>25.95</v>
      </c>
      <c r="F134" s="216" t="s">
        <v>986</v>
      </c>
      <c r="G134" s="217" t="s">
        <v>0</v>
      </c>
      <c r="H134" s="218" t="s">
        <v>4505</v>
      </c>
      <c r="I134" s="219">
        <v>63.77</v>
      </c>
      <c r="J134" s="220">
        <v>65.38000000000001</v>
      </c>
      <c r="K134" s="221">
        <v>0.1464</v>
      </c>
      <c r="L134" s="222">
        <v>63.92</v>
      </c>
      <c r="M134" s="220">
        <v>65.53</v>
      </c>
      <c r="N134" s="223">
        <v>3.5</v>
      </c>
      <c r="O134" s="219">
        <v>69.03</v>
      </c>
      <c r="P134" s="224">
        <v>5.6599999999999998E-2</v>
      </c>
      <c r="Q134" s="225">
        <v>5.33E-2</v>
      </c>
      <c r="R134" s="225" t="s">
        <v>557</v>
      </c>
      <c r="S134" s="226" t="s">
        <v>1745</v>
      </c>
      <c r="T134" s="226"/>
      <c r="U134" s="226">
        <v>5.3499999999999999E-2</v>
      </c>
      <c r="V134" s="227">
        <v>15.494</v>
      </c>
      <c r="W134" s="227"/>
      <c r="X134" s="226"/>
      <c r="Y134" s="409">
        <v>3.1E-2</v>
      </c>
      <c r="Z134" s="410">
        <v>2</v>
      </c>
      <c r="AA134" s="192" t="s">
        <v>1476</v>
      </c>
      <c r="AB134" s="411" t="s">
        <v>3009</v>
      </c>
      <c r="AC134" s="412">
        <v>68.88000000000001</v>
      </c>
      <c r="AD134" s="412">
        <v>52</v>
      </c>
      <c r="AE134" s="409" t="s">
        <v>2410</v>
      </c>
      <c r="AF134" s="409" t="s">
        <v>3747</v>
      </c>
      <c r="AG134" s="409" t="s">
        <v>4476</v>
      </c>
      <c r="AH134" s="409" t="s">
        <v>162</v>
      </c>
      <c r="AI134" s="409" t="s">
        <v>245</v>
      </c>
      <c r="AJ134" s="242" t="s">
        <v>3010</v>
      </c>
      <c r="AK134" s="242" t="s">
        <v>3011</v>
      </c>
      <c r="AL134" s="242" t="s">
        <v>2412</v>
      </c>
      <c r="AM134" s="242" t="s">
        <v>2413</v>
      </c>
      <c r="AN134" s="421" t="s">
        <v>2414</v>
      </c>
      <c r="AO134" s="421" t="s">
        <v>2415</v>
      </c>
      <c r="AP134" s="242" t="s">
        <v>1945</v>
      </c>
      <c r="AQ134" s="242" t="s">
        <v>3012</v>
      </c>
      <c r="AR134" s="242" t="s">
        <v>3012</v>
      </c>
      <c r="AS134" s="242" t="s">
        <v>3013</v>
      </c>
      <c r="AT134" s="797" t="s">
        <v>2419</v>
      </c>
      <c r="AU134" s="242" t="s">
        <v>3476</v>
      </c>
      <c r="AV134" s="193"/>
      <c r="AW134" s="191"/>
    </row>
    <row r="135" spans="1:49" ht="17.149999999999999" customHeight="1">
      <c r="A135" s="395"/>
      <c r="B135" s="342" t="s">
        <v>987</v>
      </c>
      <c r="C135" s="213" t="s">
        <v>988</v>
      </c>
      <c r="D135" s="228" t="s">
        <v>649</v>
      </c>
      <c r="E135" s="229">
        <v>6.32</v>
      </c>
      <c r="F135" s="230" t="s">
        <v>989</v>
      </c>
      <c r="G135" s="231" t="s">
        <v>0</v>
      </c>
      <c r="H135" s="232" t="s">
        <v>4508</v>
      </c>
      <c r="I135" s="233">
        <v>84.87</v>
      </c>
      <c r="J135" s="234">
        <v>86.28</v>
      </c>
      <c r="K135" s="235">
        <v>0.45140000000000002</v>
      </c>
      <c r="L135" s="236">
        <v>85.32</v>
      </c>
      <c r="M135" s="234">
        <v>86.73</v>
      </c>
      <c r="N135" s="237">
        <v>1.5</v>
      </c>
      <c r="O135" s="233">
        <v>88.23</v>
      </c>
      <c r="P135" s="238">
        <v>5.0599999999999999E-2</v>
      </c>
      <c r="Q135" s="239">
        <v>4.7600000000000003E-2</v>
      </c>
      <c r="R135" s="239" t="s">
        <v>550</v>
      </c>
      <c r="S135" s="240" t="s">
        <v>1745</v>
      </c>
      <c r="T135" s="240"/>
      <c r="U135" s="240" t="s">
        <v>1767</v>
      </c>
      <c r="V135" s="241">
        <v>5.6727999999999996</v>
      </c>
      <c r="W135" s="241"/>
      <c r="X135" s="240"/>
      <c r="Y135" s="402">
        <v>2.5000000000000001E-2</v>
      </c>
      <c r="Z135" s="403">
        <v>2</v>
      </c>
      <c r="AA135" s="404" t="s">
        <v>1353</v>
      </c>
      <c r="AB135" s="405" t="s">
        <v>3014</v>
      </c>
      <c r="AC135" s="406">
        <v>87.78</v>
      </c>
      <c r="AD135" s="406">
        <v>13</v>
      </c>
      <c r="AE135" s="402" t="s">
        <v>2410</v>
      </c>
      <c r="AF135" s="402" t="s">
        <v>3015</v>
      </c>
      <c r="AG135" s="402" t="s">
        <v>4140</v>
      </c>
      <c r="AH135" s="402" t="s">
        <v>171</v>
      </c>
      <c r="AI135" s="402" t="s">
        <v>102</v>
      </c>
      <c r="AJ135" s="407" t="s">
        <v>2553</v>
      </c>
      <c r="AK135" s="407" t="s">
        <v>2419</v>
      </c>
      <c r="AL135" s="407" t="s">
        <v>2412</v>
      </c>
      <c r="AM135" s="407" t="s">
        <v>2419</v>
      </c>
      <c r="AN135" s="420" t="s">
        <v>2414</v>
      </c>
      <c r="AO135" s="420" t="s">
        <v>2415</v>
      </c>
      <c r="AP135" s="407" t="s">
        <v>1943</v>
      </c>
      <c r="AQ135" s="407" t="s">
        <v>3016</v>
      </c>
      <c r="AR135" s="407" t="s">
        <v>3016</v>
      </c>
      <c r="AS135" s="407" t="s">
        <v>3017</v>
      </c>
      <c r="AT135" s="798" t="s">
        <v>2419</v>
      </c>
      <c r="AU135" s="407" t="s">
        <v>3476</v>
      </c>
      <c r="AV135" s="408"/>
      <c r="AW135" s="191"/>
    </row>
    <row r="136" spans="1:49" ht="17">
      <c r="A136" s="395"/>
      <c r="B136" s="342" t="s">
        <v>990</v>
      </c>
      <c r="C136" s="213" t="s">
        <v>991</v>
      </c>
      <c r="D136" s="214" t="s">
        <v>664</v>
      </c>
      <c r="E136" s="215">
        <v>21.66</v>
      </c>
      <c r="F136" s="216" t="s">
        <v>992</v>
      </c>
      <c r="G136" s="217" t="s">
        <v>0</v>
      </c>
      <c r="H136" s="218" t="s">
        <v>4505</v>
      </c>
      <c r="I136" s="219">
        <v>79.55</v>
      </c>
      <c r="J136" s="220">
        <v>81.05</v>
      </c>
      <c r="K136" s="221">
        <v>1.2436</v>
      </c>
      <c r="L136" s="222">
        <v>80.790000000000006</v>
      </c>
      <c r="M136" s="220">
        <v>82.29</v>
      </c>
      <c r="N136" s="223">
        <v>3</v>
      </c>
      <c r="O136" s="219">
        <v>85.29</v>
      </c>
      <c r="P136" s="224">
        <v>5.16E-2</v>
      </c>
      <c r="Q136" s="225">
        <v>4.9000000000000002E-2</v>
      </c>
      <c r="R136" s="225" t="s">
        <v>557</v>
      </c>
      <c r="S136" s="226" t="s">
        <v>1745</v>
      </c>
      <c r="T136" s="226"/>
      <c r="U136" s="226">
        <v>4.9200000000000001E-2</v>
      </c>
      <c r="V136" s="227">
        <v>13.7463</v>
      </c>
      <c r="W136" s="227"/>
      <c r="X136" s="226"/>
      <c r="Y136" s="409">
        <v>3.7000000000000005E-2</v>
      </c>
      <c r="Z136" s="410">
        <v>2</v>
      </c>
      <c r="AA136" s="192" t="s">
        <v>1370</v>
      </c>
      <c r="AB136" s="411" t="s">
        <v>2614</v>
      </c>
      <c r="AC136" s="412">
        <v>84.05</v>
      </c>
      <c r="AD136" s="412">
        <v>44</v>
      </c>
      <c r="AE136" s="409" t="s">
        <v>2410</v>
      </c>
      <c r="AF136" s="409" t="s">
        <v>2469</v>
      </c>
      <c r="AG136" s="409" t="s">
        <v>3972</v>
      </c>
      <c r="AH136" s="409" t="s">
        <v>167</v>
      </c>
      <c r="AI136" s="409" t="s">
        <v>96</v>
      </c>
      <c r="AJ136" s="242" t="s">
        <v>2568</v>
      </c>
      <c r="AK136" s="242" t="s">
        <v>2615</v>
      </c>
      <c r="AL136" s="242" t="s">
        <v>2412</v>
      </c>
      <c r="AM136" s="242" t="s">
        <v>2413</v>
      </c>
      <c r="AN136" s="421" t="s">
        <v>2414</v>
      </c>
      <c r="AO136" s="421" t="s">
        <v>2415</v>
      </c>
      <c r="AP136" s="242" t="s">
        <v>1945</v>
      </c>
      <c r="AQ136" s="242" t="s">
        <v>2975</v>
      </c>
      <c r="AR136" s="242" t="s">
        <v>2975</v>
      </c>
      <c r="AS136" s="242" t="s">
        <v>2617</v>
      </c>
      <c r="AT136" s="797" t="s">
        <v>2419</v>
      </c>
      <c r="AU136" s="242" t="s">
        <v>3476</v>
      </c>
      <c r="AV136" s="193"/>
      <c r="AW136" s="191"/>
    </row>
    <row r="137" spans="1:49" ht="17.149999999999999" customHeight="1">
      <c r="A137" s="395"/>
      <c r="B137" s="342" t="s">
        <v>993</v>
      </c>
      <c r="C137" s="213" t="s">
        <v>994</v>
      </c>
      <c r="D137" s="228" t="s">
        <v>909</v>
      </c>
      <c r="E137" s="229">
        <v>25.79</v>
      </c>
      <c r="F137" s="230" t="s">
        <v>220</v>
      </c>
      <c r="G137" s="231" t="s">
        <v>0</v>
      </c>
      <c r="H137" s="232" t="s">
        <v>4505</v>
      </c>
      <c r="I137" s="233">
        <v>70.349999999999994</v>
      </c>
      <c r="J137" s="234">
        <v>71.740000000000009</v>
      </c>
      <c r="K137" s="235">
        <v>0.71650000000000003</v>
      </c>
      <c r="L137" s="236">
        <v>71.069999999999993</v>
      </c>
      <c r="M137" s="234">
        <v>72.459999999999994</v>
      </c>
      <c r="N137" s="237">
        <v>3.5</v>
      </c>
      <c r="O137" s="233">
        <v>75.959999999999994</v>
      </c>
      <c r="P137" s="238">
        <v>5.3900000000000003E-2</v>
      </c>
      <c r="Q137" s="239">
        <v>5.0799999999999998E-2</v>
      </c>
      <c r="R137" s="239" t="s">
        <v>868</v>
      </c>
      <c r="S137" s="240" t="s">
        <v>1745</v>
      </c>
      <c r="T137" s="240"/>
      <c r="U137" s="240">
        <v>5.0999999999999997E-2</v>
      </c>
      <c r="V137" s="241">
        <v>15.3073</v>
      </c>
      <c r="W137" s="241"/>
      <c r="X137" s="240"/>
      <c r="Y137" s="402">
        <v>3.3500000000000002E-2</v>
      </c>
      <c r="Z137" s="403">
        <v>2</v>
      </c>
      <c r="AA137" s="404" t="s">
        <v>2904</v>
      </c>
      <c r="AB137" s="405" t="s">
        <v>3018</v>
      </c>
      <c r="AC137" s="406">
        <v>75.240000000000009</v>
      </c>
      <c r="AD137" s="406">
        <v>52</v>
      </c>
      <c r="AE137" s="402" t="s">
        <v>2410</v>
      </c>
      <c r="AF137" s="402" t="s">
        <v>2527</v>
      </c>
      <c r="AG137" s="402" t="s">
        <v>4070</v>
      </c>
      <c r="AH137" s="402" t="s">
        <v>170</v>
      </c>
      <c r="AI137" s="402" t="s">
        <v>110</v>
      </c>
      <c r="AJ137" s="407" t="s">
        <v>2906</v>
      </c>
      <c r="AK137" s="407" t="s">
        <v>2895</v>
      </c>
      <c r="AL137" s="407" t="s">
        <v>2412</v>
      </c>
      <c r="AM137" s="407" t="s">
        <v>2413</v>
      </c>
      <c r="AN137" s="420" t="s">
        <v>2414</v>
      </c>
      <c r="AO137" s="420" t="s">
        <v>2415</v>
      </c>
      <c r="AP137" s="407" t="s">
        <v>1945</v>
      </c>
      <c r="AQ137" s="407" t="s">
        <v>3019</v>
      </c>
      <c r="AR137" s="407" t="s">
        <v>3019</v>
      </c>
      <c r="AS137" s="407" t="s">
        <v>3020</v>
      </c>
      <c r="AT137" s="798" t="s">
        <v>2419</v>
      </c>
      <c r="AU137" s="407" t="s">
        <v>3476</v>
      </c>
      <c r="AV137" s="408"/>
      <c r="AW137" s="191"/>
    </row>
    <row r="138" spans="1:49" ht="17">
      <c r="A138" s="395"/>
      <c r="B138" s="342" t="s">
        <v>995</v>
      </c>
      <c r="C138" s="213" t="s">
        <v>996</v>
      </c>
      <c r="D138" s="214" t="s">
        <v>592</v>
      </c>
      <c r="E138" s="215">
        <v>21.75</v>
      </c>
      <c r="F138" s="216" t="s">
        <v>998</v>
      </c>
      <c r="G138" s="217" t="s">
        <v>0</v>
      </c>
      <c r="H138" s="218" t="s">
        <v>4505</v>
      </c>
      <c r="I138" s="219">
        <v>103.69</v>
      </c>
      <c r="J138" s="220">
        <v>105.55000000000001</v>
      </c>
      <c r="K138" s="221">
        <v>1.7062999999999999</v>
      </c>
      <c r="L138" s="222">
        <v>105.4</v>
      </c>
      <c r="M138" s="220">
        <v>107.26</v>
      </c>
      <c r="N138" s="223">
        <v>3</v>
      </c>
      <c r="O138" s="219">
        <v>110.26</v>
      </c>
      <c r="P138" s="224">
        <v>6.2799999999999995E-2</v>
      </c>
      <c r="Q138" s="225">
        <v>6.0400000000000002E-2</v>
      </c>
      <c r="R138" s="225" t="s">
        <v>557</v>
      </c>
      <c r="S138" s="226" t="s">
        <v>1745</v>
      </c>
      <c r="T138" s="226"/>
      <c r="U138" s="226">
        <v>6.0299999999999999E-2</v>
      </c>
      <c r="V138" s="227">
        <v>11.3269</v>
      </c>
      <c r="W138" s="227"/>
      <c r="X138" s="226"/>
      <c r="Y138" s="409">
        <v>6.7500000000000004E-2</v>
      </c>
      <c r="Z138" s="410">
        <v>2</v>
      </c>
      <c r="AA138" s="192" t="s">
        <v>3021</v>
      </c>
      <c r="AB138" s="411" t="s">
        <v>2985</v>
      </c>
      <c r="AC138" s="412">
        <v>108.55000000000001</v>
      </c>
      <c r="AD138" s="412">
        <v>44</v>
      </c>
      <c r="AE138" s="409" t="s">
        <v>2410</v>
      </c>
      <c r="AF138" s="409" t="s">
        <v>2730</v>
      </c>
      <c r="AG138" s="409" t="s">
        <v>4032</v>
      </c>
      <c r="AH138" s="409" t="s">
        <v>170</v>
      </c>
      <c r="AI138" s="409" t="s">
        <v>71</v>
      </c>
      <c r="AJ138" s="242" t="s">
        <v>3891</v>
      </c>
      <c r="AK138" s="242" t="s">
        <v>2986</v>
      </c>
      <c r="AL138" s="242" t="s">
        <v>2412</v>
      </c>
      <c r="AM138" s="242" t="s">
        <v>2413</v>
      </c>
      <c r="AN138" s="421" t="s">
        <v>2414</v>
      </c>
      <c r="AO138" s="421" t="s">
        <v>2415</v>
      </c>
      <c r="AP138" s="242" t="s">
        <v>1945</v>
      </c>
      <c r="AQ138" s="242" t="s">
        <v>3022</v>
      </c>
      <c r="AR138" s="242" t="s">
        <v>3022</v>
      </c>
      <c r="AS138" s="242" t="s">
        <v>2988</v>
      </c>
      <c r="AT138" s="797" t="s">
        <v>2419</v>
      </c>
      <c r="AU138" s="242" t="s">
        <v>3483</v>
      </c>
      <c r="AV138" s="193"/>
      <c r="AW138" s="191"/>
    </row>
    <row r="139" spans="1:49" ht="17.149999999999999" customHeight="1">
      <c r="A139" s="395"/>
      <c r="B139" s="342" t="s">
        <v>999</v>
      </c>
      <c r="C139" s="213" t="s">
        <v>1000</v>
      </c>
      <c r="D139" s="228" t="s">
        <v>1001</v>
      </c>
      <c r="E139" s="229">
        <v>25.54</v>
      </c>
      <c r="F139" s="230" t="s">
        <v>1002</v>
      </c>
      <c r="G139" s="231" t="s">
        <v>0</v>
      </c>
      <c r="H139" s="232" t="s">
        <v>4505</v>
      </c>
      <c r="I139" s="233">
        <v>76.25</v>
      </c>
      <c r="J139" s="234">
        <v>77.98</v>
      </c>
      <c r="K139" s="235">
        <v>1.8324</v>
      </c>
      <c r="L139" s="236">
        <v>78.08</v>
      </c>
      <c r="M139" s="234">
        <v>79.81</v>
      </c>
      <c r="N139" s="237">
        <v>3.5</v>
      </c>
      <c r="O139" s="233">
        <v>83.31</v>
      </c>
      <c r="P139" s="238">
        <v>5.5800000000000002E-2</v>
      </c>
      <c r="Q139" s="239">
        <v>5.28E-2</v>
      </c>
      <c r="R139" s="239" t="s">
        <v>557</v>
      </c>
      <c r="S139" s="240" t="s">
        <v>1745</v>
      </c>
      <c r="T139" s="240"/>
      <c r="U139" s="240">
        <v>5.2900000000000003E-2</v>
      </c>
      <c r="V139" s="241">
        <v>14.325699999999999</v>
      </c>
      <c r="W139" s="241"/>
      <c r="X139" s="240"/>
      <c r="Y139" s="402">
        <v>3.95E-2</v>
      </c>
      <c r="Z139" s="403">
        <v>2</v>
      </c>
      <c r="AA139" s="404" t="s">
        <v>1477</v>
      </c>
      <c r="AB139" s="405" t="s">
        <v>3023</v>
      </c>
      <c r="AC139" s="406">
        <v>81.48</v>
      </c>
      <c r="AD139" s="406">
        <v>52</v>
      </c>
      <c r="AE139" s="402" t="s">
        <v>2410</v>
      </c>
      <c r="AF139" s="402" t="s">
        <v>2561</v>
      </c>
      <c r="AG139" s="402" t="s">
        <v>3862</v>
      </c>
      <c r="AH139" s="402" t="s">
        <v>166</v>
      </c>
      <c r="AI139" s="402" t="s">
        <v>246</v>
      </c>
      <c r="AJ139" s="407" t="s">
        <v>3968</v>
      </c>
      <c r="AK139" s="407" t="s">
        <v>3024</v>
      </c>
      <c r="AL139" s="407" t="s">
        <v>2412</v>
      </c>
      <c r="AM139" s="407" t="s">
        <v>2413</v>
      </c>
      <c r="AN139" s="420" t="s">
        <v>2414</v>
      </c>
      <c r="AO139" s="420" t="s">
        <v>2415</v>
      </c>
      <c r="AP139" s="407" t="s">
        <v>1945</v>
      </c>
      <c r="AQ139" s="407" t="s">
        <v>3025</v>
      </c>
      <c r="AR139" s="407" t="s">
        <v>3025</v>
      </c>
      <c r="AS139" s="407" t="s">
        <v>2954</v>
      </c>
      <c r="AT139" s="798" t="s">
        <v>2419</v>
      </c>
      <c r="AU139" s="407" t="s">
        <v>3476</v>
      </c>
      <c r="AV139" s="408"/>
      <c r="AW139" s="191"/>
    </row>
    <row r="140" spans="1:49" ht="17">
      <c r="A140" s="395"/>
      <c r="B140" s="342" t="s">
        <v>1003</v>
      </c>
      <c r="C140" s="213" t="s">
        <v>1004</v>
      </c>
      <c r="D140" s="214" t="s">
        <v>3750</v>
      </c>
      <c r="E140" s="215">
        <v>25.79</v>
      </c>
      <c r="F140" s="216" t="s">
        <v>1005</v>
      </c>
      <c r="G140" s="217" t="s">
        <v>0</v>
      </c>
      <c r="H140" s="218" t="s">
        <v>4505</v>
      </c>
      <c r="I140" s="219">
        <v>68</v>
      </c>
      <c r="J140" s="220">
        <v>69.740000000000009</v>
      </c>
      <c r="K140" s="221">
        <v>0.87690000000000001</v>
      </c>
      <c r="L140" s="222">
        <v>68.88</v>
      </c>
      <c r="M140" s="220">
        <v>70.62</v>
      </c>
      <c r="N140" s="223">
        <v>3.5</v>
      </c>
      <c r="O140" s="219">
        <v>74.12</v>
      </c>
      <c r="P140" s="224">
        <v>6.54E-2</v>
      </c>
      <c r="Q140" s="225">
        <v>6.1899999999999997E-2</v>
      </c>
      <c r="R140" s="225" t="s">
        <v>557</v>
      </c>
      <c r="S140" s="226" t="s">
        <v>1745</v>
      </c>
      <c r="T140" s="226"/>
      <c r="U140" s="226">
        <v>6.2100000000000002E-2</v>
      </c>
      <c r="V140" s="227">
        <v>13.5687</v>
      </c>
      <c r="W140" s="227"/>
      <c r="X140" s="226"/>
      <c r="Y140" s="409">
        <v>4.0999999999999995E-2</v>
      </c>
      <c r="Z140" s="410">
        <v>2</v>
      </c>
      <c r="AA140" s="192" t="s">
        <v>1478</v>
      </c>
      <c r="AB140" s="411" t="s">
        <v>3018</v>
      </c>
      <c r="AC140" s="412">
        <v>73.240000000000009</v>
      </c>
      <c r="AD140" s="412">
        <v>52</v>
      </c>
      <c r="AE140" s="409" t="s">
        <v>2410</v>
      </c>
      <c r="AF140" s="409" t="s">
        <v>2527</v>
      </c>
      <c r="AG140" s="409" t="s">
        <v>4070</v>
      </c>
      <c r="AH140" s="409" t="s">
        <v>166</v>
      </c>
      <c r="AI140" s="409" t="s">
        <v>179</v>
      </c>
      <c r="AJ140" s="242" t="s">
        <v>3941</v>
      </c>
      <c r="AK140" s="242" t="s">
        <v>2895</v>
      </c>
      <c r="AL140" s="242" t="s">
        <v>2412</v>
      </c>
      <c r="AM140" s="242" t="s">
        <v>2413</v>
      </c>
      <c r="AN140" s="421" t="s">
        <v>2414</v>
      </c>
      <c r="AO140" s="421" t="s">
        <v>2415</v>
      </c>
      <c r="AP140" s="242" t="s">
        <v>1945</v>
      </c>
      <c r="AQ140" s="242" t="s">
        <v>2898</v>
      </c>
      <c r="AR140" s="242" t="s">
        <v>2898</v>
      </c>
      <c r="AS140" s="242" t="s">
        <v>3020</v>
      </c>
      <c r="AT140" s="797" t="s">
        <v>2419</v>
      </c>
      <c r="AU140" s="242" t="s">
        <v>3476</v>
      </c>
      <c r="AV140" s="193"/>
      <c r="AW140" s="191"/>
    </row>
    <row r="141" spans="1:49" ht="17.149999999999999" customHeight="1">
      <c r="A141" s="395"/>
      <c r="B141" s="342" t="s">
        <v>1006</v>
      </c>
      <c r="C141" s="213" t="s">
        <v>1007</v>
      </c>
      <c r="D141" s="228" t="s">
        <v>628</v>
      </c>
      <c r="E141" s="229">
        <v>26.91</v>
      </c>
      <c r="F141" s="230" t="s">
        <v>1008</v>
      </c>
      <c r="G141" s="231" t="s">
        <v>0</v>
      </c>
      <c r="H141" s="232" t="s">
        <v>4505</v>
      </c>
      <c r="I141" s="233">
        <v>69.849999999999994</v>
      </c>
      <c r="J141" s="234">
        <v>71.25</v>
      </c>
      <c r="K141" s="235">
        <v>0.31430000000000002</v>
      </c>
      <c r="L141" s="236">
        <v>70.16</v>
      </c>
      <c r="M141" s="234">
        <v>71.56</v>
      </c>
      <c r="N141" s="237">
        <v>3.5</v>
      </c>
      <c r="O141" s="233">
        <v>75.06</v>
      </c>
      <c r="P141" s="238">
        <v>5.7700000000000001E-2</v>
      </c>
      <c r="Q141" s="239">
        <v>5.45E-2</v>
      </c>
      <c r="R141" s="239" t="s">
        <v>557</v>
      </c>
      <c r="S141" s="240" t="s">
        <v>1745</v>
      </c>
      <c r="T141" s="240"/>
      <c r="U141" s="240">
        <v>5.4699999999999999E-2</v>
      </c>
      <c r="V141" s="241">
        <v>15.046900000000001</v>
      </c>
      <c r="W141" s="241"/>
      <c r="X141" s="240"/>
      <c r="Y141" s="402">
        <v>3.6499999999999998E-2</v>
      </c>
      <c r="Z141" s="403">
        <v>2</v>
      </c>
      <c r="AA141" s="404" t="s">
        <v>1410</v>
      </c>
      <c r="AB141" s="405" t="s">
        <v>3026</v>
      </c>
      <c r="AC141" s="406">
        <v>74.75</v>
      </c>
      <c r="AD141" s="406">
        <v>54</v>
      </c>
      <c r="AE141" s="402" t="s">
        <v>2410</v>
      </c>
      <c r="AF141" s="402" t="s">
        <v>3465</v>
      </c>
      <c r="AG141" s="402" t="s">
        <v>4420</v>
      </c>
      <c r="AH141" s="402" t="s">
        <v>164</v>
      </c>
      <c r="AI141" s="402" t="s">
        <v>50</v>
      </c>
      <c r="AJ141" s="407" t="s">
        <v>2522</v>
      </c>
      <c r="AK141" s="407" t="s">
        <v>3027</v>
      </c>
      <c r="AL141" s="407" t="s">
        <v>2412</v>
      </c>
      <c r="AM141" s="407" t="s">
        <v>2413</v>
      </c>
      <c r="AN141" s="420" t="s">
        <v>2414</v>
      </c>
      <c r="AO141" s="420" t="s">
        <v>2415</v>
      </c>
      <c r="AP141" s="407" t="s">
        <v>1945</v>
      </c>
      <c r="AQ141" s="407" t="s">
        <v>2953</v>
      </c>
      <c r="AR141" s="407" t="s">
        <v>2953</v>
      </c>
      <c r="AS141" s="407" t="s">
        <v>3028</v>
      </c>
      <c r="AT141" s="798" t="s">
        <v>2419</v>
      </c>
      <c r="AU141" s="407" t="s">
        <v>3476</v>
      </c>
      <c r="AV141" s="408"/>
      <c r="AW141" s="191"/>
    </row>
    <row r="142" spans="1:49" ht="17">
      <c r="A142" s="395"/>
      <c r="B142" s="342" t="s">
        <v>1009</v>
      </c>
      <c r="C142" s="213" t="s">
        <v>1010</v>
      </c>
      <c r="D142" s="214" t="s">
        <v>664</v>
      </c>
      <c r="E142" s="215">
        <v>22.1</v>
      </c>
      <c r="F142" s="216" t="s">
        <v>90</v>
      </c>
      <c r="G142" s="217" t="s">
        <v>0</v>
      </c>
      <c r="H142" s="218" t="s">
        <v>4505</v>
      </c>
      <c r="I142" s="219">
        <v>81.06</v>
      </c>
      <c r="J142" s="220">
        <v>82.710000000000008</v>
      </c>
      <c r="K142" s="221">
        <v>1.48</v>
      </c>
      <c r="L142" s="222">
        <v>82.54</v>
      </c>
      <c r="M142" s="220">
        <v>84.19</v>
      </c>
      <c r="N142" s="223">
        <v>3</v>
      </c>
      <c r="O142" s="219">
        <v>87.19</v>
      </c>
      <c r="P142" s="224">
        <v>0.05</v>
      </c>
      <c r="Q142" s="225">
        <v>4.7500000000000001E-2</v>
      </c>
      <c r="R142" s="225" t="s">
        <v>557</v>
      </c>
      <c r="S142" s="226" t="s">
        <v>1745</v>
      </c>
      <c r="T142" s="226"/>
      <c r="U142" s="226">
        <v>4.7699999999999999E-2</v>
      </c>
      <c r="V142" s="227">
        <v>13.9755</v>
      </c>
      <c r="W142" s="227"/>
      <c r="X142" s="226"/>
      <c r="Y142" s="409">
        <v>3.7000000000000005E-2</v>
      </c>
      <c r="Z142" s="410">
        <v>2</v>
      </c>
      <c r="AA142" s="192" t="s">
        <v>1843</v>
      </c>
      <c r="AB142" s="411" t="s">
        <v>3029</v>
      </c>
      <c r="AC142" s="412">
        <v>85.710000000000008</v>
      </c>
      <c r="AD142" s="412">
        <v>45</v>
      </c>
      <c r="AE142" s="409" t="s">
        <v>2410</v>
      </c>
      <c r="AF142" s="409" t="s">
        <v>2505</v>
      </c>
      <c r="AG142" s="409" t="s">
        <v>3908</v>
      </c>
      <c r="AH142" s="409" t="s">
        <v>165</v>
      </c>
      <c r="AI142" s="409" t="s">
        <v>48</v>
      </c>
      <c r="AJ142" s="242" t="s">
        <v>2506</v>
      </c>
      <c r="AK142" s="242" t="s">
        <v>3030</v>
      </c>
      <c r="AL142" s="242" t="s">
        <v>2412</v>
      </c>
      <c r="AM142" s="242" t="s">
        <v>2413</v>
      </c>
      <c r="AN142" s="421" t="s">
        <v>2414</v>
      </c>
      <c r="AO142" s="421" t="s">
        <v>2415</v>
      </c>
      <c r="AP142" s="242" t="s">
        <v>1945</v>
      </c>
      <c r="AQ142" s="242" t="s">
        <v>2508</v>
      </c>
      <c r="AR142" s="242" t="s">
        <v>2508</v>
      </c>
      <c r="AS142" s="242" t="s">
        <v>2509</v>
      </c>
      <c r="AT142" s="797" t="s">
        <v>2419</v>
      </c>
      <c r="AU142" s="242" t="s">
        <v>3476</v>
      </c>
      <c r="AV142" s="193"/>
      <c r="AW142" s="191"/>
    </row>
    <row r="143" spans="1:49" ht="17.149999999999999" customHeight="1">
      <c r="A143" s="395"/>
      <c r="B143" s="342" t="s">
        <v>1014</v>
      </c>
      <c r="C143" s="213" t="s">
        <v>1015</v>
      </c>
      <c r="D143" s="228" t="s">
        <v>1016</v>
      </c>
      <c r="E143" s="229">
        <v>6.47</v>
      </c>
      <c r="F143" s="230" t="s">
        <v>1017</v>
      </c>
      <c r="G143" s="231" t="s">
        <v>530</v>
      </c>
      <c r="H143" s="232" t="s">
        <v>4525</v>
      </c>
      <c r="I143" s="233">
        <v>75.62</v>
      </c>
      <c r="J143" s="234"/>
      <c r="K143" s="235">
        <v>3.7139000000000002</v>
      </c>
      <c r="L143" s="236">
        <v>79.33</v>
      </c>
      <c r="M143" s="234"/>
      <c r="N143" s="237">
        <v>3.5</v>
      </c>
      <c r="O143" s="233"/>
      <c r="P143" s="238"/>
      <c r="Q143" s="239"/>
      <c r="R143" s="239" t="s">
        <v>661</v>
      </c>
      <c r="S143" s="240" t="s">
        <v>1776</v>
      </c>
      <c r="T143" s="240"/>
      <c r="U143" s="240">
        <v>29.465699999999998</v>
      </c>
      <c r="V143" s="241">
        <v>4.0027999999999997</v>
      </c>
      <c r="W143" s="241"/>
      <c r="X143" s="240"/>
      <c r="Y143" s="402">
        <v>7.0000000000000007E-2</v>
      </c>
      <c r="Z143" s="403">
        <v>1</v>
      </c>
      <c r="AA143" s="404" t="s">
        <v>3032</v>
      </c>
      <c r="AB143" s="405" t="s">
        <v>3033</v>
      </c>
      <c r="AC143" s="406">
        <v>3.5</v>
      </c>
      <c r="AD143" s="406">
        <v>7</v>
      </c>
      <c r="AE143" s="402" t="s">
        <v>2478</v>
      </c>
      <c r="AF143" s="402" t="s">
        <v>2658</v>
      </c>
      <c r="AG143" s="402" t="s">
        <v>3771</v>
      </c>
      <c r="AH143" s="402" t="s">
        <v>162</v>
      </c>
      <c r="AI143" s="402" t="s">
        <v>72</v>
      </c>
      <c r="AJ143" s="407" t="s">
        <v>3902</v>
      </c>
      <c r="AK143" s="407" t="s">
        <v>3771</v>
      </c>
      <c r="AL143" s="407" t="s">
        <v>2412</v>
      </c>
      <c r="AM143" s="407" t="s">
        <v>2422</v>
      </c>
      <c r="AN143" s="420" t="s">
        <v>3034</v>
      </c>
      <c r="AO143" s="420" t="s">
        <v>2415</v>
      </c>
      <c r="AP143" s="407" t="s">
        <v>1943</v>
      </c>
      <c r="AQ143" s="407" t="s">
        <v>3035</v>
      </c>
      <c r="AR143" s="407" t="s">
        <v>3035</v>
      </c>
      <c r="AS143" s="407" t="s">
        <v>3036</v>
      </c>
      <c r="AT143" s="798" t="s">
        <v>2419</v>
      </c>
      <c r="AU143" s="407" t="s">
        <v>3476</v>
      </c>
      <c r="AV143" s="408"/>
      <c r="AW143" s="191"/>
    </row>
    <row r="144" spans="1:49" ht="17">
      <c r="A144" s="395"/>
      <c r="B144" s="342" t="s">
        <v>1018</v>
      </c>
      <c r="C144" s="213" t="s">
        <v>1019</v>
      </c>
      <c r="D144" s="214" t="s">
        <v>1020</v>
      </c>
      <c r="E144" s="215">
        <v>25.73</v>
      </c>
      <c r="F144" s="216" t="s">
        <v>1021</v>
      </c>
      <c r="G144" s="217" t="s">
        <v>0</v>
      </c>
      <c r="H144" s="218" t="s">
        <v>4505</v>
      </c>
      <c r="I144" s="219">
        <v>71.11</v>
      </c>
      <c r="J144" s="220">
        <v>72.72</v>
      </c>
      <c r="K144" s="221">
        <v>0.89059999999999995</v>
      </c>
      <c r="L144" s="222">
        <v>72</v>
      </c>
      <c r="M144" s="220">
        <v>73.61</v>
      </c>
      <c r="N144" s="223">
        <v>3.5</v>
      </c>
      <c r="O144" s="219">
        <v>77.11</v>
      </c>
      <c r="P144" s="224">
        <v>5.3400000000000003E-2</v>
      </c>
      <c r="Q144" s="225">
        <v>5.0299999999999997E-2</v>
      </c>
      <c r="R144" s="225" t="s">
        <v>557</v>
      </c>
      <c r="S144" s="226" t="s">
        <v>1745</v>
      </c>
      <c r="T144" s="226"/>
      <c r="U144" s="226">
        <v>5.0500000000000003E-2</v>
      </c>
      <c r="V144" s="227">
        <v>15.2905</v>
      </c>
      <c r="W144" s="227"/>
      <c r="X144" s="226"/>
      <c r="Y144" s="409">
        <v>3.3750000000000002E-2</v>
      </c>
      <c r="Z144" s="410">
        <v>2</v>
      </c>
      <c r="AA144" s="192" t="s">
        <v>3037</v>
      </c>
      <c r="AB144" s="411" t="s">
        <v>3038</v>
      </c>
      <c r="AC144" s="412">
        <v>76.22</v>
      </c>
      <c r="AD144" s="412">
        <v>52</v>
      </c>
      <c r="AE144" s="409" t="s">
        <v>2410</v>
      </c>
      <c r="AF144" s="409" t="s">
        <v>2690</v>
      </c>
      <c r="AG144" s="409" t="s">
        <v>4031</v>
      </c>
      <c r="AH144" s="409" t="s">
        <v>170</v>
      </c>
      <c r="AI144" s="409" t="s">
        <v>136</v>
      </c>
      <c r="AJ144" s="242" t="s">
        <v>3039</v>
      </c>
      <c r="AK144" s="242" t="s">
        <v>3040</v>
      </c>
      <c r="AL144" s="242" t="s">
        <v>2412</v>
      </c>
      <c r="AM144" s="242" t="s">
        <v>2413</v>
      </c>
      <c r="AN144" s="421" t="s">
        <v>2414</v>
      </c>
      <c r="AO144" s="421" t="s">
        <v>2415</v>
      </c>
      <c r="AP144" s="242" t="s">
        <v>1945</v>
      </c>
      <c r="AQ144" s="242" t="s">
        <v>3041</v>
      </c>
      <c r="AR144" s="242" t="s">
        <v>3041</v>
      </c>
      <c r="AS144" s="242" t="s">
        <v>3042</v>
      </c>
      <c r="AT144" s="797" t="s">
        <v>2419</v>
      </c>
      <c r="AU144" s="242" t="s">
        <v>3476</v>
      </c>
      <c r="AV144" s="193"/>
      <c r="AW144" s="191"/>
    </row>
    <row r="145" spans="1:49" ht="17.149999999999999" customHeight="1">
      <c r="A145" s="395"/>
      <c r="B145" s="342" t="s">
        <v>1022</v>
      </c>
      <c r="C145" s="213" t="s">
        <v>1023</v>
      </c>
      <c r="D145" s="228" t="s">
        <v>1777</v>
      </c>
      <c r="E145" s="229">
        <v>26.39</v>
      </c>
      <c r="F145" s="230" t="s">
        <v>198</v>
      </c>
      <c r="G145" s="231" t="s">
        <v>0</v>
      </c>
      <c r="H145" s="232" t="s">
        <v>4508</v>
      </c>
      <c r="I145" s="233">
        <v>65.86</v>
      </c>
      <c r="J145" s="234">
        <v>67.7</v>
      </c>
      <c r="K145" s="235">
        <v>0.35210000000000002</v>
      </c>
      <c r="L145" s="236">
        <v>66.209999999999994</v>
      </c>
      <c r="M145" s="234">
        <v>68.05</v>
      </c>
      <c r="N145" s="237">
        <v>3.5</v>
      </c>
      <c r="O145" s="233">
        <v>71.55</v>
      </c>
      <c r="P145" s="238">
        <v>5.6099999999999997E-2</v>
      </c>
      <c r="Q145" s="239">
        <v>5.2900000000000003E-2</v>
      </c>
      <c r="R145" s="239" t="s">
        <v>550</v>
      </c>
      <c r="S145" s="240" t="s">
        <v>1745</v>
      </c>
      <c r="T145" s="240"/>
      <c r="U145" s="240">
        <v>5.3100000000000001E-2</v>
      </c>
      <c r="V145" s="241">
        <v>15.4412</v>
      </c>
      <c r="W145" s="241"/>
      <c r="X145" s="240"/>
      <c r="Y145" s="402">
        <v>3.2500000000000001E-2</v>
      </c>
      <c r="Z145" s="403">
        <v>2</v>
      </c>
      <c r="AA145" s="404" t="s">
        <v>1352</v>
      </c>
      <c r="AB145" s="405" t="s">
        <v>3043</v>
      </c>
      <c r="AC145" s="406">
        <v>71.2</v>
      </c>
      <c r="AD145" s="406">
        <v>53</v>
      </c>
      <c r="AE145" s="402" t="s">
        <v>2410</v>
      </c>
      <c r="AF145" s="402" t="s">
        <v>3044</v>
      </c>
      <c r="AG145" s="402" t="s">
        <v>4369</v>
      </c>
      <c r="AH145" s="402" t="s">
        <v>172</v>
      </c>
      <c r="AI145" s="402" t="s">
        <v>63</v>
      </c>
      <c r="AJ145" s="407" t="s">
        <v>2767</v>
      </c>
      <c r="AK145" s="407" t="s">
        <v>3045</v>
      </c>
      <c r="AL145" s="407" t="s">
        <v>2412</v>
      </c>
      <c r="AM145" s="407" t="s">
        <v>2413</v>
      </c>
      <c r="AN145" s="420" t="s">
        <v>2414</v>
      </c>
      <c r="AO145" s="420" t="s">
        <v>2415</v>
      </c>
      <c r="AP145" s="407" t="s">
        <v>1943</v>
      </c>
      <c r="AQ145" s="407" t="s">
        <v>3046</v>
      </c>
      <c r="AR145" s="407" t="s">
        <v>3046</v>
      </c>
      <c r="AS145" s="407" t="s">
        <v>3047</v>
      </c>
      <c r="AT145" s="798" t="s">
        <v>2419</v>
      </c>
      <c r="AU145" s="407" t="s">
        <v>3476</v>
      </c>
      <c r="AV145" s="408"/>
      <c r="AW145" s="191"/>
    </row>
    <row r="146" spans="1:49" ht="17.149999999999999" customHeight="1">
      <c r="A146" s="395"/>
      <c r="B146" s="342" t="s">
        <v>1024</v>
      </c>
      <c r="C146" s="213" t="s">
        <v>1025</v>
      </c>
      <c r="D146" s="228" t="s">
        <v>676</v>
      </c>
      <c r="E146" s="229">
        <v>36.119999999999997</v>
      </c>
      <c r="F146" s="230" t="s">
        <v>1026</v>
      </c>
      <c r="G146" s="231" t="s">
        <v>0</v>
      </c>
      <c r="H146" s="232" t="s">
        <v>4505</v>
      </c>
      <c r="I146" s="233">
        <v>54.46</v>
      </c>
      <c r="J146" s="234">
        <v>55.96</v>
      </c>
      <c r="K146" s="235">
        <v>0.85629999999999995</v>
      </c>
      <c r="L146" s="236">
        <v>55.32</v>
      </c>
      <c r="M146" s="234">
        <v>56.82</v>
      </c>
      <c r="N146" s="237">
        <v>3.5</v>
      </c>
      <c r="O146" s="233">
        <v>60.32</v>
      </c>
      <c r="P146" s="238">
        <v>4.8399999999999999E-2</v>
      </c>
      <c r="Q146" s="239">
        <v>4.5499999999999999E-2</v>
      </c>
      <c r="R146" s="239" t="s">
        <v>557</v>
      </c>
      <c r="S146" s="240" t="s">
        <v>1745</v>
      </c>
      <c r="T146" s="240"/>
      <c r="U146" s="240">
        <v>4.5600000000000002E-2</v>
      </c>
      <c r="V146" s="241">
        <v>19.9892</v>
      </c>
      <c r="W146" s="241"/>
      <c r="X146" s="240"/>
      <c r="Y146" s="402">
        <v>2.2499999999999999E-2</v>
      </c>
      <c r="Z146" s="403">
        <v>2</v>
      </c>
      <c r="AA146" s="404" t="s">
        <v>1445</v>
      </c>
      <c r="AB146" s="405" t="s">
        <v>3048</v>
      </c>
      <c r="AC146" s="406">
        <v>59.46</v>
      </c>
      <c r="AD146" s="406">
        <v>73</v>
      </c>
      <c r="AE146" s="402" t="s">
        <v>2410</v>
      </c>
      <c r="AF146" s="402" t="s">
        <v>2534</v>
      </c>
      <c r="AG146" s="402" t="s">
        <v>3909</v>
      </c>
      <c r="AH146" s="402" t="s">
        <v>164</v>
      </c>
      <c r="AI146" s="402" t="s">
        <v>186</v>
      </c>
      <c r="AJ146" s="407" t="s">
        <v>2588</v>
      </c>
      <c r="AK146" s="407" t="s">
        <v>3049</v>
      </c>
      <c r="AL146" s="407" t="s">
        <v>2412</v>
      </c>
      <c r="AM146" s="407" t="s">
        <v>2413</v>
      </c>
      <c r="AN146" s="420" t="s">
        <v>2414</v>
      </c>
      <c r="AO146" s="420" t="s">
        <v>2415</v>
      </c>
      <c r="AP146" s="407" t="s">
        <v>1945</v>
      </c>
      <c r="AQ146" s="407" t="s">
        <v>3050</v>
      </c>
      <c r="AR146" s="407" t="s">
        <v>3050</v>
      </c>
      <c r="AS146" s="407" t="s">
        <v>3051</v>
      </c>
      <c r="AT146" s="798" t="s">
        <v>2419</v>
      </c>
      <c r="AU146" s="407" t="s">
        <v>3476</v>
      </c>
      <c r="AV146" s="408"/>
      <c r="AW146" s="191"/>
    </row>
    <row r="147" spans="1:49" ht="17">
      <c r="A147" s="395"/>
      <c r="B147" s="342" t="s">
        <v>1027</v>
      </c>
      <c r="C147" s="213" t="s">
        <v>1028</v>
      </c>
      <c r="D147" s="214" t="s">
        <v>787</v>
      </c>
      <c r="E147" s="215">
        <v>20.95</v>
      </c>
      <c r="F147" s="216" t="s">
        <v>1029</v>
      </c>
      <c r="G147" s="217" t="s">
        <v>0</v>
      </c>
      <c r="H147" s="218" t="s">
        <v>4505</v>
      </c>
      <c r="I147" s="219">
        <v>81.3</v>
      </c>
      <c r="J147" s="220">
        <v>83.210000000000008</v>
      </c>
      <c r="K147" s="221">
        <v>0.2031</v>
      </c>
      <c r="L147" s="222">
        <v>81.5</v>
      </c>
      <c r="M147" s="220">
        <v>83.41</v>
      </c>
      <c r="N147" s="223">
        <v>3</v>
      </c>
      <c r="O147" s="219">
        <v>86.41</v>
      </c>
      <c r="P147" s="224">
        <v>5.6800000000000003E-2</v>
      </c>
      <c r="Q147" s="225">
        <v>5.4100000000000002E-2</v>
      </c>
      <c r="R147" s="225" t="s">
        <v>557</v>
      </c>
      <c r="S147" s="226" t="s">
        <v>1746</v>
      </c>
      <c r="T147" s="226"/>
      <c r="U147" s="226">
        <v>5.4199999999999998E-2</v>
      </c>
      <c r="V147" s="227">
        <v>12.9217</v>
      </c>
      <c r="W147" s="227"/>
      <c r="X147" s="226"/>
      <c r="Y147" s="409">
        <v>4.2999999999999997E-2</v>
      </c>
      <c r="Z147" s="410">
        <v>2</v>
      </c>
      <c r="AA147" s="192" t="s">
        <v>1592</v>
      </c>
      <c r="AB147" s="411" t="s">
        <v>2626</v>
      </c>
      <c r="AC147" s="412">
        <v>86.210000000000008</v>
      </c>
      <c r="AD147" s="412">
        <v>42</v>
      </c>
      <c r="AE147" s="409" t="s">
        <v>2410</v>
      </c>
      <c r="AF147" s="409" t="s">
        <v>3747</v>
      </c>
      <c r="AG147" s="409" t="s">
        <v>4476</v>
      </c>
      <c r="AH147" s="409" t="s">
        <v>170</v>
      </c>
      <c r="AI147" s="409" t="s">
        <v>106</v>
      </c>
      <c r="AJ147" s="242" t="s">
        <v>3827</v>
      </c>
      <c r="AK147" s="242" t="s">
        <v>2627</v>
      </c>
      <c r="AL147" s="242" t="s">
        <v>2412</v>
      </c>
      <c r="AM147" s="242" t="s">
        <v>2413</v>
      </c>
      <c r="AN147" s="421" t="s">
        <v>2414</v>
      </c>
      <c r="AO147" s="421" t="s">
        <v>2415</v>
      </c>
      <c r="AP147" s="242" t="s">
        <v>1945</v>
      </c>
      <c r="AQ147" s="242" t="s">
        <v>2636</v>
      </c>
      <c r="AR147" s="242" t="s">
        <v>2636</v>
      </c>
      <c r="AS147" s="242" t="s">
        <v>3052</v>
      </c>
      <c r="AT147" s="797" t="s">
        <v>2419</v>
      </c>
      <c r="AU147" s="242" t="s">
        <v>3476</v>
      </c>
      <c r="AV147" s="193"/>
      <c r="AW147" s="191"/>
    </row>
    <row r="148" spans="1:49" ht="17.149999999999999" customHeight="1">
      <c r="A148" s="395"/>
      <c r="B148" s="342" t="s">
        <v>1030</v>
      </c>
      <c r="C148" s="213" t="s">
        <v>1031</v>
      </c>
      <c r="D148" s="228" t="s">
        <v>997</v>
      </c>
      <c r="E148" s="229">
        <v>16.62</v>
      </c>
      <c r="F148" s="230" t="s">
        <v>1032</v>
      </c>
      <c r="G148" s="231" t="s">
        <v>0</v>
      </c>
      <c r="H148" s="232" t="s">
        <v>4505</v>
      </c>
      <c r="I148" s="233">
        <v>75.849999999999994</v>
      </c>
      <c r="J148" s="234">
        <v>77.59</v>
      </c>
      <c r="K148" s="235">
        <v>1.3319000000000001</v>
      </c>
      <c r="L148" s="236">
        <v>77.180000000000007</v>
      </c>
      <c r="M148" s="234">
        <v>78.92</v>
      </c>
      <c r="N148" s="237">
        <v>3</v>
      </c>
      <c r="O148" s="233">
        <v>81.92</v>
      </c>
      <c r="P148" s="238">
        <v>5.5899999999999998E-2</v>
      </c>
      <c r="Q148" s="239">
        <v>5.2699999999999997E-2</v>
      </c>
      <c r="R148" s="239" t="s">
        <v>557</v>
      </c>
      <c r="S148" s="240" t="s">
        <v>1745</v>
      </c>
      <c r="T148" s="240"/>
      <c r="U148" s="240">
        <v>5.3100000000000001E-2</v>
      </c>
      <c r="V148" s="241">
        <v>11.625</v>
      </c>
      <c r="W148" s="241"/>
      <c r="X148" s="240"/>
      <c r="Y148" s="402">
        <v>3.5000000000000003E-2</v>
      </c>
      <c r="Z148" s="403">
        <v>2</v>
      </c>
      <c r="AA148" s="404" t="s">
        <v>1462</v>
      </c>
      <c r="AB148" s="405" t="s">
        <v>3053</v>
      </c>
      <c r="AC148" s="406">
        <v>80.59</v>
      </c>
      <c r="AD148" s="406">
        <v>34</v>
      </c>
      <c r="AE148" s="402" t="s">
        <v>2410</v>
      </c>
      <c r="AF148" s="402" t="s">
        <v>2534</v>
      </c>
      <c r="AG148" s="402" t="s">
        <v>3909</v>
      </c>
      <c r="AH148" s="402" t="s">
        <v>165</v>
      </c>
      <c r="AI148" s="402" t="s">
        <v>109</v>
      </c>
      <c r="AJ148" s="407" t="s">
        <v>2793</v>
      </c>
      <c r="AK148" s="407" t="s">
        <v>3054</v>
      </c>
      <c r="AL148" s="407" t="s">
        <v>2412</v>
      </c>
      <c r="AM148" s="407" t="s">
        <v>2413</v>
      </c>
      <c r="AN148" s="420" t="s">
        <v>2414</v>
      </c>
      <c r="AO148" s="420" t="s">
        <v>2415</v>
      </c>
      <c r="AP148" s="407" t="s">
        <v>1945</v>
      </c>
      <c r="AQ148" s="407" t="s">
        <v>3055</v>
      </c>
      <c r="AR148" s="407" t="s">
        <v>3055</v>
      </c>
      <c r="AS148" s="407" t="s">
        <v>3056</v>
      </c>
      <c r="AT148" s="798" t="s">
        <v>2419</v>
      </c>
      <c r="AU148" s="407" t="s">
        <v>3476</v>
      </c>
      <c r="AV148" s="408"/>
      <c r="AW148" s="191"/>
    </row>
    <row r="149" spans="1:49" ht="17">
      <c r="A149" s="395"/>
      <c r="B149" s="342" t="s">
        <v>1033</v>
      </c>
      <c r="C149" s="213" t="s">
        <v>1034</v>
      </c>
      <c r="D149" s="214" t="s">
        <v>552</v>
      </c>
      <c r="E149" s="215">
        <v>18.190000000000001</v>
      </c>
      <c r="F149" s="216" t="s">
        <v>1035</v>
      </c>
      <c r="G149" s="217" t="s">
        <v>0</v>
      </c>
      <c r="H149" s="218" t="s">
        <v>4505</v>
      </c>
      <c r="I149" s="219">
        <v>96.59</v>
      </c>
      <c r="J149" s="220">
        <v>98.64</v>
      </c>
      <c r="K149" s="221">
        <v>1.7343999999999999</v>
      </c>
      <c r="L149" s="222">
        <v>98.32</v>
      </c>
      <c r="M149" s="220">
        <v>100.37</v>
      </c>
      <c r="N149" s="223">
        <v>3</v>
      </c>
      <c r="O149" s="219">
        <v>103.37</v>
      </c>
      <c r="P149" s="224">
        <v>5.7500000000000002E-2</v>
      </c>
      <c r="Q149" s="225">
        <v>5.4800000000000001E-2</v>
      </c>
      <c r="R149" s="225" t="s">
        <v>557</v>
      </c>
      <c r="S149" s="226" t="s">
        <v>1745</v>
      </c>
      <c r="T149" s="226"/>
      <c r="U149" s="226" t="s">
        <v>1767</v>
      </c>
      <c r="V149" s="227">
        <v>11.076000000000001</v>
      </c>
      <c r="W149" s="227"/>
      <c r="X149" s="226"/>
      <c r="Y149" s="409">
        <v>5.6250000000000001E-2</v>
      </c>
      <c r="Z149" s="410">
        <v>2</v>
      </c>
      <c r="AA149" s="192" t="s">
        <v>1479</v>
      </c>
      <c r="AB149" s="411" t="s">
        <v>3057</v>
      </c>
      <c r="AC149" s="412">
        <v>101.64</v>
      </c>
      <c r="AD149" s="412">
        <v>37</v>
      </c>
      <c r="AE149" s="409" t="s">
        <v>2410</v>
      </c>
      <c r="AF149" s="409" t="s">
        <v>2925</v>
      </c>
      <c r="AG149" s="409" t="s">
        <v>3988</v>
      </c>
      <c r="AH149" s="409" t="s">
        <v>169</v>
      </c>
      <c r="AI149" s="409" t="s">
        <v>99</v>
      </c>
      <c r="AJ149" s="242" t="s">
        <v>3486</v>
      </c>
      <c r="AK149" s="242" t="s">
        <v>2419</v>
      </c>
      <c r="AL149" s="242" t="s">
        <v>2412</v>
      </c>
      <c r="AM149" s="242" t="s">
        <v>2419</v>
      </c>
      <c r="AN149" s="421" t="s">
        <v>2414</v>
      </c>
      <c r="AO149" s="421" t="s">
        <v>2415</v>
      </c>
      <c r="AP149" s="242" t="s">
        <v>1943</v>
      </c>
      <c r="AQ149" s="242" t="s">
        <v>3058</v>
      </c>
      <c r="AR149" s="242" t="s">
        <v>3058</v>
      </c>
      <c r="AS149" s="242" t="s">
        <v>3059</v>
      </c>
      <c r="AT149" s="797" t="s">
        <v>2419</v>
      </c>
      <c r="AU149" s="242" t="s">
        <v>3476</v>
      </c>
      <c r="AV149" s="193"/>
      <c r="AW149" s="191"/>
    </row>
    <row r="150" spans="1:49" ht="17.149999999999999" customHeight="1">
      <c r="A150" s="395"/>
      <c r="B150" s="342" t="s">
        <v>1036</v>
      </c>
      <c r="C150" s="213" t="s">
        <v>1037</v>
      </c>
      <c r="D150" s="228" t="s">
        <v>2258</v>
      </c>
      <c r="E150" s="229">
        <v>26.37</v>
      </c>
      <c r="F150" s="230" t="s">
        <v>1038</v>
      </c>
      <c r="G150" s="231" t="s">
        <v>0</v>
      </c>
      <c r="H150" s="232" t="s">
        <v>4505</v>
      </c>
      <c r="I150" s="233">
        <v>54.05</v>
      </c>
      <c r="J150" s="234">
        <v>55.239999999999995</v>
      </c>
      <c r="K150" s="235">
        <v>0.21199999999999999</v>
      </c>
      <c r="L150" s="236">
        <v>54.26</v>
      </c>
      <c r="M150" s="234">
        <v>55.45</v>
      </c>
      <c r="N150" s="237">
        <v>2</v>
      </c>
      <c r="O150" s="233">
        <v>57.45</v>
      </c>
      <c r="P150" s="238">
        <v>4.5600000000000002E-2</v>
      </c>
      <c r="Q150" s="239">
        <v>4.3700000000000003E-2</v>
      </c>
      <c r="R150" s="239" t="s">
        <v>1778</v>
      </c>
      <c r="S150" s="240" t="s">
        <v>1745</v>
      </c>
      <c r="T150" s="240"/>
      <c r="U150" s="240" t="s">
        <v>1767</v>
      </c>
      <c r="V150" s="241">
        <v>18.971</v>
      </c>
      <c r="W150" s="241"/>
      <c r="X150" s="240"/>
      <c r="Y150" s="402">
        <v>1.6250000000000001E-2</v>
      </c>
      <c r="Z150" s="403">
        <v>2</v>
      </c>
      <c r="AA150" s="404" t="s">
        <v>1345</v>
      </c>
      <c r="AB150" s="405" t="s">
        <v>3060</v>
      </c>
      <c r="AC150" s="406">
        <v>57.239999999999995</v>
      </c>
      <c r="AD150" s="406">
        <v>53</v>
      </c>
      <c r="AE150" s="402" t="s">
        <v>2410</v>
      </c>
      <c r="AF150" s="402" t="s">
        <v>2609</v>
      </c>
      <c r="AG150" s="402" t="s">
        <v>4341</v>
      </c>
      <c r="AH150" s="402" t="s">
        <v>163</v>
      </c>
      <c r="AI150" s="402" t="s">
        <v>50</v>
      </c>
      <c r="AJ150" s="407" t="s">
        <v>2562</v>
      </c>
      <c r="AK150" s="407" t="s">
        <v>2419</v>
      </c>
      <c r="AL150" s="407" t="s">
        <v>2412</v>
      </c>
      <c r="AM150" s="407" t="s">
        <v>2419</v>
      </c>
      <c r="AN150" s="420" t="s">
        <v>2419</v>
      </c>
      <c r="AO150" s="420" t="s">
        <v>2439</v>
      </c>
      <c r="AP150" s="407" t="s">
        <v>1948</v>
      </c>
      <c r="AQ150" s="407" t="s">
        <v>3061</v>
      </c>
      <c r="AR150" s="407" t="s">
        <v>3062</v>
      </c>
      <c r="AS150" s="407" t="s">
        <v>3063</v>
      </c>
      <c r="AT150" s="798" t="s">
        <v>2419</v>
      </c>
      <c r="AU150" s="407" t="s">
        <v>3476</v>
      </c>
      <c r="AV150" s="408"/>
      <c r="AW150" s="191"/>
    </row>
    <row r="151" spans="1:49" ht="17">
      <c r="A151" s="395"/>
      <c r="B151" s="342" t="s">
        <v>1039</v>
      </c>
      <c r="C151" s="213" t="s">
        <v>1040</v>
      </c>
      <c r="D151" s="214" t="s">
        <v>931</v>
      </c>
      <c r="E151" s="215">
        <v>14.23</v>
      </c>
      <c r="F151" s="216" t="s">
        <v>1041</v>
      </c>
      <c r="G151" s="217" t="s">
        <v>0</v>
      </c>
      <c r="H151" s="218" t="s">
        <v>4505</v>
      </c>
      <c r="I151" s="219">
        <v>85.8</v>
      </c>
      <c r="J151" s="220">
        <v>87.410000000000011</v>
      </c>
      <c r="K151" s="221">
        <v>1.0617000000000001</v>
      </c>
      <c r="L151" s="222">
        <v>86.86</v>
      </c>
      <c r="M151" s="220">
        <v>88.47</v>
      </c>
      <c r="N151" s="223">
        <v>2</v>
      </c>
      <c r="O151" s="219">
        <v>90.47</v>
      </c>
      <c r="P151" s="224">
        <v>5.16E-2</v>
      </c>
      <c r="Q151" s="225">
        <v>4.9399999999999999E-2</v>
      </c>
      <c r="R151" s="225" t="s">
        <v>1042</v>
      </c>
      <c r="S151" s="226" t="s">
        <v>1745</v>
      </c>
      <c r="T151" s="226"/>
      <c r="U151" s="226">
        <v>4.9700000000000001E-2</v>
      </c>
      <c r="V151" s="227">
        <v>10.4087</v>
      </c>
      <c r="W151" s="227"/>
      <c r="X151" s="226"/>
      <c r="Y151" s="409">
        <v>3.9E-2</v>
      </c>
      <c r="Z151" s="410">
        <v>2</v>
      </c>
      <c r="AA151" s="192" t="s">
        <v>1480</v>
      </c>
      <c r="AB151" s="411" t="s">
        <v>3064</v>
      </c>
      <c r="AC151" s="412">
        <v>89.410000000000011</v>
      </c>
      <c r="AD151" s="412">
        <v>29</v>
      </c>
      <c r="AE151" s="409" t="s">
        <v>2410</v>
      </c>
      <c r="AF151" s="409" t="s">
        <v>2847</v>
      </c>
      <c r="AG151" s="409" t="s">
        <v>4030</v>
      </c>
      <c r="AH151" s="409" t="s">
        <v>166</v>
      </c>
      <c r="AI151" s="409" t="s">
        <v>248</v>
      </c>
      <c r="AJ151" s="242" t="s">
        <v>3065</v>
      </c>
      <c r="AK151" s="242" t="s">
        <v>3066</v>
      </c>
      <c r="AL151" s="242" t="s">
        <v>2412</v>
      </c>
      <c r="AM151" s="242" t="s">
        <v>2413</v>
      </c>
      <c r="AN151" s="421" t="s">
        <v>2414</v>
      </c>
      <c r="AO151" s="421" t="s">
        <v>2415</v>
      </c>
      <c r="AP151" s="242" t="s">
        <v>1945</v>
      </c>
      <c r="AQ151" s="242" t="s">
        <v>3067</v>
      </c>
      <c r="AR151" s="242" t="s">
        <v>3067</v>
      </c>
      <c r="AS151" s="242" t="s">
        <v>3068</v>
      </c>
      <c r="AT151" s="797" t="s">
        <v>2419</v>
      </c>
      <c r="AU151" s="242" t="s">
        <v>3476</v>
      </c>
      <c r="AV151" s="193"/>
      <c r="AW151" s="191"/>
    </row>
    <row r="152" spans="1:49" ht="17.149999999999999" customHeight="1">
      <c r="A152" s="395"/>
      <c r="B152" s="342" t="s">
        <v>1043</v>
      </c>
      <c r="C152" s="213" t="s">
        <v>1044</v>
      </c>
      <c r="D152" s="228" t="s">
        <v>902</v>
      </c>
      <c r="E152" s="229">
        <v>14.68</v>
      </c>
      <c r="F152" s="230" t="s">
        <v>1045</v>
      </c>
      <c r="G152" s="231" t="s">
        <v>0</v>
      </c>
      <c r="H152" s="232" t="s">
        <v>4505</v>
      </c>
      <c r="I152" s="233">
        <v>85.46</v>
      </c>
      <c r="J152" s="234">
        <v>86.960000000000008</v>
      </c>
      <c r="K152" s="235">
        <v>1.2458</v>
      </c>
      <c r="L152" s="236">
        <v>86.71</v>
      </c>
      <c r="M152" s="234">
        <v>88.21</v>
      </c>
      <c r="N152" s="237">
        <v>2</v>
      </c>
      <c r="O152" s="233">
        <v>90.21</v>
      </c>
      <c r="P152" s="238">
        <v>5.1799999999999999E-2</v>
      </c>
      <c r="Q152" s="239">
        <v>4.9700000000000001E-2</v>
      </c>
      <c r="R152" s="239" t="s">
        <v>557</v>
      </c>
      <c r="S152" s="240" t="s">
        <v>1745</v>
      </c>
      <c r="T152" s="240"/>
      <c r="U152" s="240">
        <v>0.05</v>
      </c>
      <c r="V152" s="241">
        <v>10.6127</v>
      </c>
      <c r="W152" s="241"/>
      <c r="X152" s="240"/>
      <c r="Y152" s="402">
        <v>3.9E-2</v>
      </c>
      <c r="Z152" s="403">
        <v>2</v>
      </c>
      <c r="AA152" s="404" t="s">
        <v>1481</v>
      </c>
      <c r="AB152" s="405" t="s">
        <v>3069</v>
      </c>
      <c r="AC152" s="406">
        <v>88.960000000000008</v>
      </c>
      <c r="AD152" s="406">
        <v>30</v>
      </c>
      <c r="AE152" s="402" t="s">
        <v>2410</v>
      </c>
      <c r="AF152" s="402" t="s">
        <v>3070</v>
      </c>
      <c r="AG152" s="402" t="s">
        <v>3983</v>
      </c>
      <c r="AH152" s="402" t="s">
        <v>167</v>
      </c>
      <c r="AI152" s="402" t="s">
        <v>155</v>
      </c>
      <c r="AJ152" s="407" t="s">
        <v>3472</v>
      </c>
      <c r="AK152" s="407" t="s">
        <v>3071</v>
      </c>
      <c r="AL152" s="407" t="s">
        <v>2412</v>
      </c>
      <c r="AM152" s="407" t="s">
        <v>2413</v>
      </c>
      <c r="AN152" s="420" t="s">
        <v>2414</v>
      </c>
      <c r="AO152" s="420" t="s">
        <v>2415</v>
      </c>
      <c r="AP152" s="407" t="s">
        <v>1945</v>
      </c>
      <c r="AQ152" s="407" t="s">
        <v>3072</v>
      </c>
      <c r="AR152" s="407" t="s">
        <v>3072</v>
      </c>
      <c r="AS152" s="407" t="s">
        <v>3073</v>
      </c>
      <c r="AT152" s="798" t="s">
        <v>2419</v>
      </c>
      <c r="AU152" s="407" t="s">
        <v>3476</v>
      </c>
      <c r="AV152" s="408"/>
      <c r="AW152" s="191"/>
    </row>
    <row r="153" spans="1:49" ht="17">
      <c r="A153" s="395"/>
      <c r="B153" s="342" t="s">
        <v>1046</v>
      </c>
      <c r="C153" s="213" t="s">
        <v>1047</v>
      </c>
      <c r="D153" s="214" t="s">
        <v>2194</v>
      </c>
      <c r="E153" s="215">
        <v>12.41</v>
      </c>
      <c r="F153" s="216" t="s">
        <v>1048</v>
      </c>
      <c r="G153" s="217" t="s">
        <v>0</v>
      </c>
      <c r="H153" s="218" t="s">
        <v>4505</v>
      </c>
      <c r="I153" s="219">
        <v>95.96</v>
      </c>
      <c r="J153" s="220">
        <v>97.56</v>
      </c>
      <c r="K153" s="221">
        <v>0.42220000000000002</v>
      </c>
      <c r="L153" s="222">
        <v>96.38</v>
      </c>
      <c r="M153" s="220">
        <v>97.98</v>
      </c>
      <c r="N153" s="223">
        <v>2</v>
      </c>
      <c r="O153" s="219">
        <v>99.98</v>
      </c>
      <c r="P153" s="224">
        <v>5.0200000000000002E-2</v>
      </c>
      <c r="Q153" s="225">
        <v>4.8000000000000001E-2</v>
      </c>
      <c r="R153" s="225" t="s">
        <v>557</v>
      </c>
      <c r="S153" s="226" t="s">
        <v>1745</v>
      </c>
      <c r="T153" s="226"/>
      <c r="U153" s="226">
        <v>4.8000000000000001E-2</v>
      </c>
      <c r="V153" s="227">
        <v>9.2169000000000008</v>
      </c>
      <c r="W153" s="227"/>
      <c r="X153" s="226"/>
      <c r="Y153" s="409">
        <v>4.7500000000000001E-2</v>
      </c>
      <c r="Z153" s="410">
        <v>2</v>
      </c>
      <c r="AA153" s="192" t="s">
        <v>1482</v>
      </c>
      <c r="AB153" s="411" t="s">
        <v>3074</v>
      </c>
      <c r="AC153" s="412">
        <v>99.56</v>
      </c>
      <c r="AD153" s="412">
        <v>25</v>
      </c>
      <c r="AE153" s="409" t="s">
        <v>2410</v>
      </c>
      <c r="AF153" s="409" t="s">
        <v>2426</v>
      </c>
      <c r="AG153" s="409" t="s">
        <v>4406</v>
      </c>
      <c r="AH153" s="409" t="s">
        <v>167</v>
      </c>
      <c r="AI153" s="409" t="s">
        <v>249</v>
      </c>
      <c r="AJ153" s="242" t="s">
        <v>2419</v>
      </c>
      <c r="AK153" s="242" t="s">
        <v>3075</v>
      </c>
      <c r="AL153" s="242" t="s">
        <v>2412</v>
      </c>
      <c r="AM153" s="242" t="s">
        <v>2413</v>
      </c>
      <c r="AN153" s="421" t="s">
        <v>2414</v>
      </c>
      <c r="AO153" s="421" t="s">
        <v>2415</v>
      </c>
      <c r="AP153" s="242" t="s">
        <v>1944</v>
      </c>
      <c r="AQ153" s="242" t="s">
        <v>3076</v>
      </c>
      <c r="AR153" s="242" t="s">
        <v>3076</v>
      </c>
      <c r="AS153" s="242" t="s">
        <v>3077</v>
      </c>
      <c r="AT153" s="797" t="s">
        <v>2419</v>
      </c>
      <c r="AU153" s="242" t="s">
        <v>3476</v>
      </c>
      <c r="AV153" s="193"/>
      <c r="AW153" s="191"/>
    </row>
    <row r="154" spans="1:49" ht="17.149999999999999" customHeight="1">
      <c r="A154" s="395"/>
      <c r="B154" s="342" t="s">
        <v>1049</v>
      </c>
      <c r="C154" s="213" t="s">
        <v>1050</v>
      </c>
      <c r="D154" s="228" t="s">
        <v>652</v>
      </c>
      <c r="E154" s="229">
        <v>5.72</v>
      </c>
      <c r="F154" s="230" t="s">
        <v>1051</v>
      </c>
      <c r="G154" s="231" t="s">
        <v>0</v>
      </c>
      <c r="H154" s="232" t="s">
        <v>4505</v>
      </c>
      <c r="I154" s="233">
        <v>89.62</v>
      </c>
      <c r="J154" s="234">
        <v>90.83</v>
      </c>
      <c r="K154" s="235">
        <v>0.875</v>
      </c>
      <c r="L154" s="236">
        <v>90.5</v>
      </c>
      <c r="M154" s="234">
        <v>91.71</v>
      </c>
      <c r="N154" s="237">
        <v>1.5</v>
      </c>
      <c r="O154" s="233">
        <v>93.21</v>
      </c>
      <c r="P154" s="238">
        <v>5.0099999999999999E-2</v>
      </c>
      <c r="Q154" s="239">
        <v>4.6899999999999997E-2</v>
      </c>
      <c r="R154" s="239" t="s">
        <v>557</v>
      </c>
      <c r="S154" s="240" t="s">
        <v>1745</v>
      </c>
      <c r="T154" s="240"/>
      <c r="U154" s="240">
        <v>4.7600000000000003E-2</v>
      </c>
      <c r="V154" s="241">
        <v>5.0799000000000003</v>
      </c>
      <c r="W154" s="241"/>
      <c r="X154" s="240"/>
      <c r="Y154" s="402">
        <v>3.15E-2</v>
      </c>
      <c r="Z154" s="403">
        <v>2</v>
      </c>
      <c r="AA154" s="404" t="s">
        <v>1361</v>
      </c>
      <c r="AB154" s="405" t="s">
        <v>3078</v>
      </c>
      <c r="AC154" s="406">
        <v>92.33</v>
      </c>
      <c r="AD154" s="406">
        <v>12</v>
      </c>
      <c r="AE154" s="402" t="s">
        <v>2410</v>
      </c>
      <c r="AF154" s="402" t="s">
        <v>3079</v>
      </c>
      <c r="AG154" s="402" t="s">
        <v>4026</v>
      </c>
      <c r="AH154" s="402" t="s">
        <v>164</v>
      </c>
      <c r="AI154" s="402" t="s">
        <v>53</v>
      </c>
      <c r="AJ154" s="407" t="s">
        <v>2557</v>
      </c>
      <c r="AK154" s="407" t="s">
        <v>3080</v>
      </c>
      <c r="AL154" s="407" t="s">
        <v>2412</v>
      </c>
      <c r="AM154" s="407" t="s">
        <v>2413</v>
      </c>
      <c r="AN154" s="420" t="s">
        <v>2414</v>
      </c>
      <c r="AO154" s="420" t="s">
        <v>2415</v>
      </c>
      <c r="AP154" s="407" t="s">
        <v>1945</v>
      </c>
      <c r="AQ154" s="407" t="s">
        <v>3081</v>
      </c>
      <c r="AR154" s="407" t="s">
        <v>3081</v>
      </c>
      <c r="AS154" s="407" t="s">
        <v>3082</v>
      </c>
      <c r="AT154" s="798" t="s">
        <v>2419</v>
      </c>
      <c r="AU154" s="407" t="s">
        <v>3476</v>
      </c>
      <c r="AV154" s="408"/>
      <c r="AW154" s="191"/>
    </row>
    <row r="155" spans="1:49" ht="17">
      <c r="A155" s="395"/>
      <c r="B155" s="342" t="s">
        <v>1052</v>
      </c>
      <c r="C155" s="213" t="s">
        <v>1288</v>
      </c>
      <c r="D155" s="214" t="s">
        <v>548</v>
      </c>
      <c r="E155" s="215">
        <v>25.92</v>
      </c>
      <c r="F155" s="216" t="s">
        <v>269</v>
      </c>
      <c r="G155" s="217" t="s">
        <v>0</v>
      </c>
      <c r="H155" s="218" t="s">
        <v>4505</v>
      </c>
      <c r="I155" s="219">
        <v>64.55</v>
      </c>
      <c r="J155" s="220">
        <v>66.23</v>
      </c>
      <c r="K155" s="221">
        <v>0.26100000000000001</v>
      </c>
      <c r="L155" s="222">
        <v>64.81</v>
      </c>
      <c r="M155" s="220">
        <v>66.489999999999995</v>
      </c>
      <c r="N155" s="223">
        <v>3.5</v>
      </c>
      <c r="O155" s="219">
        <v>69.989999999999995</v>
      </c>
      <c r="P155" s="224">
        <v>5.7700000000000001E-2</v>
      </c>
      <c r="Q155" s="225">
        <v>5.4300000000000001E-2</v>
      </c>
      <c r="R155" s="225" t="s">
        <v>550</v>
      </c>
      <c r="S155" s="226" t="s">
        <v>1745</v>
      </c>
      <c r="T155" s="226"/>
      <c r="U155" s="226">
        <v>5.4600000000000003E-2</v>
      </c>
      <c r="V155" s="227">
        <v>15.210599999999999</v>
      </c>
      <c r="W155" s="227"/>
      <c r="X155" s="226"/>
      <c r="Y155" s="409">
        <v>3.2400000000000005E-2</v>
      </c>
      <c r="Z155" s="410">
        <v>2</v>
      </c>
      <c r="AA155" s="192" t="s">
        <v>1860</v>
      </c>
      <c r="AB155" s="411" t="s">
        <v>3083</v>
      </c>
      <c r="AC155" s="412">
        <v>69.73</v>
      </c>
      <c r="AD155" s="412">
        <v>52</v>
      </c>
      <c r="AE155" s="409" t="s">
        <v>2410</v>
      </c>
      <c r="AF155" s="409" t="s">
        <v>3473</v>
      </c>
      <c r="AG155" s="409" t="s">
        <v>4421</v>
      </c>
      <c r="AH155" s="409" t="s">
        <v>164</v>
      </c>
      <c r="AI155" s="409" t="s">
        <v>180</v>
      </c>
      <c r="AJ155" s="242" t="s">
        <v>3084</v>
      </c>
      <c r="AK155" s="242" t="s">
        <v>3085</v>
      </c>
      <c r="AL155" s="242" t="s">
        <v>2412</v>
      </c>
      <c r="AM155" s="242" t="s">
        <v>2413</v>
      </c>
      <c r="AN155" s="421" t="s">
        <v>2414</v>
      </c>
      <c r="AO155" s="421" t="s">
        <v>2415</v>
      </c>
      <c r="AP155" s="242" t="s">
        <v>1943</v>
      </c>
      <c r="AQ155" s="242" t="s">
        <v>3012</v>
      </c>
      <c r="AR155" s="242" t="s">
        <v>3012</v>
      </c>
      <c r="AS155" s="242" t="s">
        <v>3086</v>
      </c>
      <c r="AT155" s="797" t="s">
        <v>2419</v>
      </c>
      <c r="AU155" s="242" t="s">
        <v>3476</v>
      </c>
      <c r="AV155" s="193"/>
      <c r="AW155" s="191"/>
    </row>
    <row r="156" spans="1:49" ht="17.149999999999999" customHeight="1">
      <c r="A156" s="395"/>
      <c r="B156" s="342" t="s">
        <v>1053</v>
      </c>
      <c r="C156" s="213" t="s">
        <v>1289</v>
      </c>
      <c r="D156" s="228" t="s">
        <v>765</v>
      </c>
      <c r="E156" s="229">
        <v>25.75</v>
      </c>
      <c r="F156" s="230" t="s">
        <v>1054</v>
      </c>
      <c r="G156" s="231" t="s">
        <v>0</v>
      </c>
      <c r="H156" s="232" t="s">
        <v>4505</v>
      </c>
      <c r="I156" s="233">
        <v>77.37</v>
      </c>
      <c r="J156" s="234">
        <v>78.930000000000007</v>
      </c>
      <c r="K156" s="235">
        <v>0.99850000000000005</v>
      </c>
      <c r="L156" s="236">
        <v>78.37</v>
      </c>
      <c r="M156" s="234">
        <v>79.930000000000007</v>
      </c>
      <c r="N156" s="237">
        <v>3.5</v>
      </c>
      <c r="O156" s="233">
        <v>83.43</v>
      </c>
      <c r="P156" s="238">
        <v>5.4899999999999997E-2</v>
      </c>
      <c r="Q156" s="239">
        <v>5.1900000000000002E-2</v>
      </c>
      <c r="R156" s="239" t="s">
        <v>557</v>
      </c>
      <c r="S156" s="240" t="s">
        <v>1745</v>
      </c>
      <c r="T156" s="240"/>
      <c r="U156" s="240">
        <v>5.21E-2</v>
      </c>
      <c r="V156" s="241">
        <v>14.6214</v>
      </c>
      <c r="W156" s="241"/>
      <c r="X156" s="240"/>
      <c r="Y156" s="402">
        <v>3.95E-2</v>
      </c>
      <c r="Z156" s="403">
        <v>2</v>
      </c>
      <c r="AA156" s="404" t="s">
        <v>1483</v>
      </c>
      <c r="AB156" s="405" t="s">
        <v>3005</v>
      </c>
      <c r="AC156" s="406">
        <v>82.43</v>
      </c>
      <c r="AD156" s="406">
        <v>52</v>
      </c>
      <c r="AE156" s="402" t="s">
        <v>2410</v>
      </c>
      <c r="AF156" s="402" t="s">
        <v>2730</v>
      </c>
      <c r="AG156" s="402" t="s">
        <v>4032</v>
      </c>
      <c r="AH156" s="402" t="s">
        <v>168</v>
      </c>
      <c r="AI156" s="402" t="s">
        <v>250</v>
      </c>
      <c r="AJ156" s="407" t="s">
        <v>3980</v>
      </c>
      <c r="AK156" s="407" t="s">
        <v>3006</v>
      </c>
      <c r="AL156" s="407" t="s">
        <v>2412</v>
      </c>
      <c r="AM156" s="407" t="s">
        <v>2413</v>
      </c>
      <c r="AN156" s="420" t="s">
        <v>2414</v>
      </c>
      <c r="AO156" s="420" t="s">
        <v>2415</v>
      </c>
      <c r="AP156" s="407" t="s">
        <v>1945</v>
      </c>
      <c r="AQ156" s="407" t="s">
        <v>3087</v>
      </c>
      <c r="AR156" s="407" t="s">
        <v>3087</v>
      </c>
      <c r="AS156" s="407" t="s">
        <v>3008</v>
      </c>
      <c r="AT156" s="798" t="s">
        <v>2419</v>
      </c>
      <c r="AU156" s="407" t="s">
        <v>3476</v>
      </c>
      <c r="AV156" s="408"/>
      <c r="AW156" s="191"/>
    </row>
    <row r="157" spans="1:49" ht="17">
      <c r="A157" s="395"/>
      <c r="B157" s="342" t="s">
        <v>1055</v>
      </c>
      <c r="C157" s="213" t="s">
        <v>1290</v>
      </c>
      <c r="D157" s="214" t="s">
        <v>691</v>
      </c>
      <c r="E157" s="215">
        <v>17.8</v>
      </c>
      <c r="F157" s="216" t="s">
        <v>1056</v>
      </c>
      <c r="G157" s="217" t="s">
        <v>0</v>
      </c>
      <c r="H157" s="218" t="s">
        <v>4505</v>
      </c>
      <c r="I157" s="219">
        <v>73.33</v>
      </c>
      <c r="J157" s="220">
        <v>75.09</v>
      </c>
      <c r="K157" s="221">
        <v>0.6139</v>
      </c>
      <c r="L157" s="222">
        <v>73.94</v>
      </c>
      <c r="M157" s="220">
        <v>75.7</v>
      </c>
      <c r="N157" s="223">
        <v>2.5</v>
      </c>
      <c r="O157" s="219">
        <v>78.2</v>
      </c>
      <c r="P157" s="224">
        <v>5.4899999999999997E-2</v>
      </c>
      <c r="Q157" s="225">
        <v>5.2400000000000002E-2</v>
      </c>
      <c r="R157" s="225" t="s">
        <v>557</v>
      </c>
      <c r="S157" s="226" t="s">
        <v>1745</v>
      </c>
      <c r="T157" s="226"/>
      <c r="U157" s="226">
        <v>5.1700000000000003E-2</v>
      </c>
      <c r="V157" s="227">
        <v>12.0928</v>
      </c>
      <c r="W157" s="227"/>
      <c r="X157" s="226"/>
      <c r="Y157" s="409">
        <v>3.1570000000000001E-2</v>
      </c>
      <c r="Z157" s="410">
        <v>2</v>
      </c>
      <c r="AA157" s="192" t="s">
        <v>1408</v>
      </c>
      <c r="AB157" s="411" t="s">
        <v>3088</v>
      </c>
      <c r="AC157" s="412">
        <v>77.59</v>
      </c>
      <c r="AD157" s="412">
        <v>36</v>
      </c>
      <c r="AE157" s="409" t="s">
        <v>2410</v>
      </c>
      <c r="AF157" s="409" t="s">
        <v>2446</v>
      </c>
      <c r="AG157" s="409" t="s">
        <v>4100</v>
      </c>
      <c r="AH157" s="409" t="s">
        <v>162</v>
      </c>
      <c r="AI157" s="409" t="s">
        <v>58</v>
      </c>
      <c r="AJ157" s="242" t="s">
        <v>2610</v>
      </c>
      <c r="AK157" s="242" t="s">
        <v>3089</v>
      </c>
      <c r="AL157" s="242" t="s">
        <v>2693</v>
      </c>
      <c r="AM157" s="242" t="s">
        <v>2422</v>
      </c>
      <c r="AN157" s="421" t="s">
        <v>2422</v>
      </c>
      <c r="AO157" s="421" t="s">
        <v>2415</v>
      </c>
      <c r="AP157" s="242" t="s">
        <v>1945</v>
      </c>
      <c r="AQ157" s="242" t="s">
        <v>3090</v>
      </c>
      <c r="AR157" s="242" t="s">
        <v>3090</v>
      </c>
      <c r="AS157" s="242" t="s">
        <v>3091</v>
      </c>
      <c r="AT157" s="797" t="s">
        <v>2419</v>
      </c>
      <c r="AU157" s="242" t="s">
        <v>3480</v>
      </c>
      <c r="AV157" s="193"/>
      <c r="AW157" s="191"/>
    </row>
    <row r="158" spans="1:49" ht="17.149999999999999" customHeight="1">
      <c r="A158" s="395"/>
      <c r="B158" s="342" t="s">
        <v>1057</v>
      </c>
      <c r="C158" s="213" t="s">
        <v>1291</v>
      </c>
      <c r="D158" s="228" t="s">
        <v>634</v>
      </c>
      <c r="E158" s="229">
        <v>17.8</v>
      </c>
      <c r="F158" s="230" t="s">
        <v>1058</v>
      </c>
      <c r="G158" s="231" t="s">
        <v>0</v>
      </c>
      <c r="H158" s="232" t="s">
        <v>4505</v>
      </c>
      <c r="I158" s="233">
        <v>73.010000000000005</v>
      </c>
      <c r="J158" s="234">
        <v>74.67</v>
      </c>
      <c r="K158" s="235">
        <v>0.62419999999999998</v>
      </c>
      <c r="L158" s="236">
        <v>73.63</v>
      </c>
      <c r="M158" s="234">
        <v>75.290000000000006</v>
      </c>
      <c r="N158" s="237">
        <v>2.5</v>
      </c>
      <c r="O158" s="233">
        <v>77.790000000000006</v>
      </c>
      <c r="P158" s="238">
        <v>5.6000000000000001E-2</v>
      </c>
      <c r="Q158" s="239">
        <v>5.3400000000000003E-2</v>
      </c>
      <c r="R158" s="239" t="s">
        <v>557</v>
      </c>
      <c r="S158" s="240" t="s">
        <v>1745</v>
      </c>
      <c r="T158" s="240"/>
      <c r="U158" s="240">
        <v>5.2699999999999997E-2</v>
      </c>
      <c r="V158" s="241">
        <v>12.0146</v>
      </c>
      <c r="W158" s="241"/>
      <c r="X158" s="240"/>
      <c r="Y158" s="402">
        <v>3.2099999999999997E-2</v>
      </c>
      <c r="Z158" s="403">
        <v>2</v>
      </c>
      <c r="AA158" s="404" t="s">
        <v>1396</v>
      </c>
      <c r="AB158" s="405" t="s">
        <v>3088</v>
      </c>
      <c r="AC158" s="406">
        <v>77.17</v>
      </c>
      <c r="AD158" s="406">
        <v>36</v>
      </c>
      <c r="AE158" s="402" t="s">
        <v>2410</v>
      </c>
      <c r="AF158" s="402" t="s">
        <v>2446</v>
      </c>
      <c r="AG158" s="402" t="s">
        <v>4100</v>
      </c>
      <c r="AH158" s="402" t="s">
        <v>162</v>
      </c>
      <c r="AI158" s="402" t="s">
        <v>52</v>
      </c>
      <c r="AJ158" s="407" t="s">
        <v>2535</v>
      </c>
      <c r="AK158" s="407" t="s">
        <v>3089</v>
      </c>
      <c r="AL158" s="407" t="s">
        <v>2693</v>
      </c>
      <c r="AM158" s="407" t="s">
        <v>2413</v>
      </c>
      <c r="AN158" s="420" t="s">
        <v>2422</v>
      </c>
      <c r="AO158" s="420" t="s">
        <v>2415</v>
      </c>
      <c r="AP158" s="407" t="s">
        <v>1945</v>
      </c>
      <c r="AQ158" s="407" t="s">
        <v>3090</v>
      </c>
      <c r="AR158" s="407" t="s">
        <v>3090</v>
      </c>
      <c r="AS158" s="407" t="s">
        <v>3091</v>
      </c>
      <c r="AT158" s="798" t="s">
        <v>2419</v>
      </c>
      <c r="AU158" s="407" t="s">
        <v>3480</v>
      </c>
      <c r="AV158" s="408"/>
      <c r="AW158" s="191"/>
    </row>
    <row r="159" spans="1:49" ht="17">
      <c r="A159" s="395"/>
      <c r="B159" s="342" t="s">
        <v>1059</v>
      </c>
      <c r="C159" s="213" t="s">
        <v>1060</v>
      </c>
      <c r="D159" s="214" t="s">
        <v>652</v>
      </c>
      <c r="E159" s="215">
        <v>25.72</v>
      </c>
      <c r="F159" s="216" t="s">
        <v>282</v>
      </c>
      <c r="G159" s="217" t="s">
        <v>0</v>
      </c>
      <c r="H159" s="218" t="s">
        <v>4505</v>
      </c>
      <c r="I159" s="219">
        <v>77.16</v>
      </c>
      <c r="J159" s="220">
        <v>78.83</v>
      </c>
      <c r="K159" s="221">
        <v>1.1111</v>
      </c>
      <c r="L159" s="222">
        <v>78.27</v>
      </c>
      <c r="M159" s="220">
        <v>79.94</v>
      </c>
      <c r="N159" s="223">
        <v>3.5</v>
      </c>
      <c r="O159" s="219">
        <v>83.44</v>
      </c>
      <c r="P159" s="224">
        <v>5.5599999999999997E-2</v>
      </c>
      <c r="Q159" s="225">
        <v>5.2600000000000001E-2</v>
      </c>
      <c r="R159" s="225" t="s">
        <v>557</v>
      </c>
      <c r="S159" s="226" t="s">
        <v>1745</v>
      </c>
      <c r="T159" s="226"/>
      <c r="U159" s="226">
        <v>5.2699999999999997E-2</v>
      </c>
      <c r="V159" s="227">
        <v>14.474399999999999</v>
      </c>
      <c r="W159" s="227"/>
      <c r="X159" s="226"/>
      <c r="Y159" s="409">
        <v>0.04</v>
      </c>
      <c r="Z159" s="410">
        <v>2</v>
      </c>
      <c r="AA159" s="192" t="s">
        <v>1361</v>
      </c>
      <c r="AB159" s="411" t="s">
        <v>3092</v>
      </c>
      <c r="AC159" s="412">
        <v>82.33</v>
      </c>
      <c r="AD159" s="412">
        <v>52</v>
      </c>
      <c r="AE159" s="409" t="s">
        <v>2410</v>
      </c>
      <c r="AF159" s="409" t="s">
        <v>3079</v>
      </c>
      <c r="AG159" s="409" t="s">
        <v>4026</v>
      </c>
      <c r="AH159" s="409" t="s">
        <v>164</v>
      </c>
      <c r="AI159" s="409" t="s">
        <v>53</v>
      </c>
      <c r="AJ159" s="242" t="s">
        <v>2557</v>
      </c>
      <c r="AK159" s="242" t="s">
        <v>3093</v>
      </c>
      <c r="AL159" s="242" t="s">
        <v>2412</v>
      </c>
      <c r="AM159" s="242" t="s">
        <v>2413</v>
      </c>
      <c r="AN159" s="421" t="s">
        <v>2414</v>
      </c>
      <c r="AO159" s="421" t="s">
        <v>2415</v>
      </c>
      <c r="AP159" s="242" t="s">
        <v>1945</v>
      </c>
      <c r="AQ159" s="242" t="s">
        <v>3081</v>
      </c>
      <c r="AR159" s="242" t="s">
        <v>3081</v>
      </c>
      <c r="AS159" s="242" t="s">
        <v>3082</v>
      </c>
      <c r="AT159" s="797" t="s">
        <v>2419</v>
      </c>
      <c r="AU159" s="242" t="s">
        <v>3476</v>
      </c>
      <c r="AV159" s="193"/>
      <c r="AW159" s="191"/>
    </row>
    <row r="160" spans="1:49" ht="17.149999999999999" customHeight="1">
      <c r="A160" s="395"/>
      <c r="B160" s="342" t="s">
        <v>1061</v>
      </c>
      <c r="C160" s="213" t="s">
        <v>1062</v>
      </c>
      <c r="D160" s="228" t="s">
        <v>924</v>
      </c>
      <c r="E160" s="229">
        <v>26.7</v>
      </c>
      <c r="F160" s="230" t="s">
        <v>1063</v>
      </c>
      <c r="G160" s="231" t="s">
        <v>0</v>
      </c>
      <c r="H160" s="232" t="s">
        <v>4505</v>
      </c>
      <c r="I160" s="233">
        <v>67.13</v>
      </c>
      <c r="J160" s="234">
        <v>68.75</v>
      </c>
      <c r="K160" s="235">
        <v>1.0105999999999999</v>
      </c>
      <c r="L160" s="236">
        <v>68.14</v>
      </c>
      <c r="M160" s="234">
        <v>69.760000000000005</v>
      </c>
      <c r="N160" s="237">
        <v>3.5</v>
      </c>
      <c r="O160" s="233">
        <v>73.260000000000005</v>
      </c>
      <c r="P160" s="238">
        <v>5.6899999999999999E-2</v>
      </c>
      <c r="Q160" s="239">
        <v>5.3699999999999998E-2</v>
      </c>
      <c r="R160" s="239" t="s">
        <v>557</v>
      </c>
      <c r="S160" s="240" t="s">
        <v>1745</v>
      </c>
      <c r="T160" s="240"/>
      <c r="U160" s="240">
        <v>5.3900000000000003E-2</v>
      </c>
      <c r="V160" s="241">
        <v>15.154999999999999</v>
      </c>
      <c r="W160" s="241"/>
      <c r="X160" s="240"/>
      <c r="Y160" s="402">
        <v>3.4000000000000002E-2</v>
      </c>
      <c r="Z160" s="403">
        <v>2</v>
      </c>
      <c r="AA160" s="404" t="s">
        <v>1385</v>
      </c>
      <c r="AB160" s="405" t="s">
        <v>3094</v>
      </c>
      <c r="AC160" s="406">
        <v>72.25</v>
      </c>
      <c r="AD160" s="406">
        <v>54</v>
      </c>
      <c r="AE160" s="402" t="s">
        <v>2410</v>
      </c>
      <c r="AF160" s="402" t="s">
        <v>2491</v>
      </c>
      <c r="AG160" s="402" t="s">
        <v>4021</v>
      </c>
      <c r="AH160" s="402" t="s">
        <v>167</v>
      </c>
      <c r="AI160" s="402" t="s">
        <v>197</v>
      </c>
      <c r="AJ160" s="407" t="s">
        <v>3940</v>
      </c>
      <c r="AK160" s="407" t="s">
        <v>3095</v>
      </c>
      <c r="AL160" s="407" t="s">
        <v>2412</v>
      </c>
      <c r="AM160" s="407" t="s">
        <v>2413</v>
      </c>
      <c r="AN160" s="420" t="s">
        <v>2414</v>
      </c>
      <c r="AO160" s="420" t="s">
        <v>2415</v>
      </c>
      <c r="AP160" s="407" t="s">
        <v>1945</v>
      </c>
      <c r="AQ160" s="407" t="s">
        <v>3096</v>
      </c>
      <c r="AR160" s="407" t="s">
        <v>3096</v>
      </c>
      <c r="AS160" s="407" t="s">
        <v>3097</v>
      </c>
      <c r="AT160" s="798" t="s">
        <v>2419</v>
      </c>
      <c r="AU160" s="407" t="s">
        <v>3476</v>
      </c>
      <c r="AV160" s="408"/>
      <c r="AW160" s="191"/>
    </row>
    <row r="161" spans="1:49" ht="17">
      <c r="A161" s="395"/>
      <c r="B161" s="342" t="s">
        <v>1064</v>
      </c>
      <c r="C161" s="213" t="s">
        <v>1065</v>
      </c>
      <c r="D161" s="214" t="s">
        <v>652</v>
      </c>
      <c r="E161" s="215">
        <v>26.62</v>
      </c>
      <c r="F161" s="216" t="s">
        <v>1066</v>
      </c>
      <c r="G161" s="217" t="s">
        <v>0</v>
      </c>
      <c r="H161" s="218" t="s">
        <v>4505</v>
      </c>
      <c r="I161" s="219">
        <v>63.76</v>
      </c>
      <c r="J161" s="220">
        <v>65.38000000000001</v>
      </c>
      <c r="K161" s="221">
        <v>1.1226</v>
      </c>
      <c r="L161" s="222">
        <v>64.88</v>
      </c>
      <c r="M161" s="220">
        <v>66.5</v>
      </c>
      <c r="N161" s="223">
        <v>3.5</v>
      </c>
      <c r="O161" s="219">
        <v>70</v>
      </c>
      <c r="P161" s="224">
        <v>5.4199999999999998E-2</v>
      </c>
      <c r="Q161" s="225">
        <v>5.0999999999999997E-2</v>
      </c>
      <c r="R161" s="225" t="s">
        <v>557</v>
      </c>
      <c r="S161" s="226" t="s">
        <v>1745</v>
      </c>
      <c r="T161" s="226"/>
      <c r="U161" s="226">
        <v>5.1200000000000002E-2</v>
      </c>
      <c r="V161" s="227">
        <v>15.8666</v>
      </c>
      <c r="W161" s="227"/>
      <c r="X161" s="226"/>
      <c r="Y161" s="409">
        <v>2.9500000000000002E-2</v>
      </c>
      <c r="Z161" s="410">
        <v>2</v>
      </c>
      <c r="AA161" s="192" t="s">
        <v>1484</v>
      </c>
      <c r="AB161" s="411" t="s">
        <v>3098</v>
      </c>
      <c r="AC161" s="412">
        <v>68.88000000000001</v>
      </c>
      <c r="AD161" s="412">
        <v>54</v>
      </c>
      <c r="AE161" s="409" t="s">
        <v>2410</v>
      </c>
      <c r="AF161" s="409" t="s">
        <v>2534</v>
      </c>
      <c r="AG161" s="409" t="s">
        <v>3909</v>
      </c>
      <c r="AH161" s="409" t="s">
        <v>165</v>
      </c>
      <c r="AI161" s="409" t="s">
        <v>251</v>
      </c>
      <c r="AJ161" s="242" t="s">
        <v>3099</v>
      </c>
      <c r="AK161" s="242" t="s">
        <v>3100</v>
      </c>
      <c r="AL161" s="242" t="s">
        <v>2412</v>
      </c>
      <c r="AM161" s="242" t="s">
        <v>2413</v>
      </c>
      <c r="AN161" s="421" t="s">
        <v>2414</v>
      </c>
      <c r="AO161" s="421" t="s">
        <v>2415</v>
      </c>
      <c r="AP161" s="242" t="s">
        <v>1945</v>
      </c>
      <c r="AQ161" s="242" t="s">
        <v>3101</v>
      </c>
      <c r="AR161" s="242" t="s">
        <v>3101</v>
      </c>
      <c r="AS161" s="242" t="s">
        <v>3056</v>
      </c>
      <c r="AT161" s="797" t="s">
        <v>2419</v>
      </c>
      <c r="AU161" s="242" t="s">
        <v>3476</v>
      </c>
      <c r="AV161" s="193"/>
      <c r="AW161" s="191"/>
    </row>
    <row r="162" spans="1:49" ht="17.149999999999999" customHeight="1">
      <c r="A162" s="395"/>
      <c r="B162" s="342" t="s">
        <v>1067</v>
      </c>
      <c r="C162" s="213" t="s">
        <v>1068</v>
      </c>
      <c r="D162" s="228" t="s">
        <v>2285</v>
      </c>
      <c r="E162" s="229">
        <v>26.09</v>
      </c>
      <c r="F162" s="230" t="s">
        <v>1069</v>
      </c>
      <c r="G162" s="231" t="s">
        <v>0</v>
      </c>
      <c r="H162" s="232" t="s">
        <v>4505</v>
      </c>
      <c r="I162" s="233">
        <v>55.6</v>
      </c>
      <c r="J162" s="234">
        <v>57.37</v>
      </c>
      <c r="K162" s="235">
        <v>0.86180000000000001</v>
      </c>
      <c r="L162" s="236">
        <v>56.46</v>
      </c>
      <c r="M162" s="234">
        <v>58.23</v>
      </c>
      <c r="N162" s="237">
        <v>3.5</v>
      </c>
      <c r="O162" s="233">
        <v>61.73</v>
      </c>
      <c r="P162" s="238">
        <v>5.0999999999999997E-2</v>
      </c>
      <c r="Q162" s="239">
        <v>4.7600000000000003E-2</v>
      </c>
      <c r="R162" s="239" t="s">
        <v>557</v>
      </c>
      <c r="S162" s="240" t="s">
        <v>1745</v>
      </c>
      <c r="T162" s="240"/>
      <c r="U162" s="240">
        <v>4.8000000000000001E-2</v>
      </c>
      <c r="V162" s="241">
        <v>17.215599999999998</v>
      </c>
      <c r="W162" s="241"/>
      <c r="X162" s="240"/>
      <c r="Y162" s="402">
        <v>2.1250000000000002E-2</v>
      </c>
      <c r="Z162" s="403">
        <v>2</v>
      </c>
      <c r="AA162" s="404" t="s">
        <v>1485</v>
      </c>
      <c r="AB162" s="405" t="s">
        <v>3102</v>
      </c>
      <c r="AC162" s="406">
        <v>60.87</v>
      </c>
      <c r="AD162" s="406">
        <v>53</v>
      </c>
      <c r="AE162" s="402" t="s">
        <v>2410</v>
      </c>
      <c r="AF162" s="402" t="s">
        <v>3103</v>
      </c>
      <c r="AG162" s="402" t="s">
        <v>3903</v>
      </c>
      <c r="AH162" s="402" t="s">
        <v>167</v>
      </c>
      <c r="AI162" s="402" t="s">
        <v>139</v>
      </c>
      <c r="AJ162" s="407" t="s">
        <v>3931</v>
      </c>
      <c r="AK162" s="407" t="s">
        <v>3104</v>
      </c>
      <c r="AL162" s="407" t="s">
        <v>2412</v>
      </c>
      <c r="AM162" s="407" t="s">
        <v>2413</v>
      </c>
      <c r="AN162" s="420" t="s">
        <v>2414</v>
      </c>
      <c r="AO162" s="420" t="s">
        <v>2415</v>
      </c>
      <c r="AP162" s="407" t="s">
        <v>1945</v>
      </c>
      <c r="AQ162" s="407" t="s">
        <v>3105</v>
      </c>
      <c r="AR162" s="407" t="s">
        <v>3105</v>
      </c>
      <c r="AS162" s="407" t="s">
        <v>3106</v>
      </c>
      <c r="AT162" s="798" t="s">
        <v>2419</v>
      </c>
      <c r="AU162" s="407" t="s">
        <v>3476</v>
      </c>
      <c r="AV162" s="408"/>
      <c r="AW162" s="191"/>
    </row>
    <row r="163" spans="1:49" ht="17">
      <c r="A163" s="395"/>
      <c r="B163" s="342" t="s">
        <v>1070</v>
      </c>
      <c r="C163" s="213" t="s">
        <v>1071</v>
      </c>
      <c r="D163" s="214" t="s">
        <v>784</v>
      </c>
      <c r="E163" s="215">
        <v>25.83</v>
      </c>
      <c r="F163" s="216" t="s">
        <v>273</v>
      </c>
      <c r="G163" s="217" t="s">
        <v>0</v>
      </c>
      <c r="H163" s="218" t="s">
        <v>4505</v>
      </c>
      <c r="I163" s="219">
        <v>63.8</v>
      </c>
      <c r="J163" s="220">
        <v>65.34</v>
      </c>
      <c r="K163" s="221">
        <v>0.53380000000000005</v>
      </c>
      <c r="L163" s="222">
        <v>64.33</v>
      </c>
      <c r="M163" s="220">
        <v>65.87</v>
      </c>
      <c r="N163" s="223">
        <v>3.5</v>
      </c>
      <c r="O163" s="219">
        <v>69.37</v>
      </c>
      <c r="P163" s="224">
        <v>5.74E-2</v>
      </c>
      <c r="Q163" s="225">
        <v>5.3999999999999999E-2</v>
      </c>
      <c r="R163" s="225" t="s">
        <v>557</v>
      </c>
      <c r="S163" s="226" t="s">
        <v>1745</v>
      </c>
      <c r="T163" s="226"/>
      <c r="U163" s="226">
        <v>5.4300000000000001E-2</v>
      </c>
      <c r="V163" s="227">
        <v>15.257999999999999</v>
      </c>
      <c r="W163" s="227"/>
      <c r="X163" s="226"/>
      <c r="Y163" s="409">
        <v>3.15E-2</v>
      </c>
      <c r="Z163" s="410">
        <v>2</v>
      </c>
      <c r="AA163" s="192" t="s">
        <v>1426</v>
      </c>
      <c r="AB163" s="411" t="s">
        <v>3107</v>
      </c>
      <c r="AC163" s="412">
        <v>68.84</v>
      </c>
      <c r="AD163" s="412">
        <v>52</v>
      </c>
      <c r="AE163" s="409" t="s">
        <v>2410</v>
      </c>
      <c r="AF163" s="409" t="s">
        <v>2707</v>
      </c>
      <c r="AG163" s="409" t="s">
        <v>4139</v>
      </c>
      <c r="AH163" s="409" t="s">
        <v>167</v>
      </c>
      <c r="AI163" s="409" t="s">
        <v>114</v>
      </c>
      <c r="AJ163" s="242" t="s">
        <v>3829</v>
      </c>
      <c r="AK163" s="242" t="s">
        <v>3108</v>
      </c>
      <c r="AL163" s="242" t="s">
        <v>2412</v>
      </c>
      <c r="AM163" s="242" t="s">
        <v>2413</v>
      </c>
      <c r="AN163" s="421" t="s">
        <v>2414</v>
      </c>
      <c r="AO163" s="421" t="s">
        <v>2415</v>
      </c>
      <c r="AP163" s="242" t="s">
        <v>1945</v>
      </c>
      <c r="AQ163" s="242" t="s">
        <v>3109</v>
      </c>
      <c r="AR163" s="242" t="s">
        <v>3109</v>
      </c>
      <c r="AS163" s="242" t="s">
        <v>2960</v>
      </c>
      <c r="AT163" s="797" t="s">
        <v>2419</v>
      </c>
      <c r="AU163" s="242" t="s">
        <v>3476</v>
      </c>
      <c r="AV163" s="193"/>
      <c r="AW163" s="191"/>
    </row>
    <row r="164" spans="1:49" ht="17.149999999999999" customHeight="1">
      <c r="A164" s="395"/>
      <c r="B164" s="342" t="s">
        <v>1072</v>
      </c>
      <c r="C164" s="213" t="s">
        <v>1073</v>
      </c>
      <c r="D164" s="228" t="s">
        <v>710</v>
      </c>
      <c r="E164" s="229">
        <v>25.87</v>
      </c>
      <c r="F164" s="230" t="s">
        <v>1074</v>
      </c>
      <c r="G164" s="231" t="s">
        <v>0</v>
      </c>
      <c r="H164" s="232" t="s">
        <v>4505</v>
      </c>
      <c r="I164" s="233">
        <v>72.069999999999993</v>
      </c>
      <c r="J164" s="234">
        <v>73.84</v>
      </c>
      <c r="K164" s="235">
        <v>0.60709999999999997</v>
      </c>
      <c r="L164" s="236">
        <v>72.680000000000007</v>
      </c>
      <c r="M164" s="234">
        <v>74.45</v>
      </c>
      <c r="N164" s="237">
        <v>3.5</v>
      </c>
      <c r="O164" s="233">
        <v>77.95</v>
      </c>
      <c r="P164" s="238">
        <v>6.8099999999999994E-2</v>
      </c>
      <c r="Q164" s="239">
        <v>6.4600000000000005E-2</v>
      </c>
      <c r="R164" s="239" t="s">
        <v>557</v>
      </c>
      <c r="S164" s="240" t="s">
        <v>1745</v>
      </c>
      <c r="T164" s="240"/>
      <c r="U164" s="240">
        <v>6.4799999999999996E-2</v>
      </c>
      <c r="V164" s="241">
        <v>13.0832</v>
      </c>
      <c r="W164" s="241"/>
      <c r="X164" s="240"/>
      <c r="Y164" s="402">
        <v>4.6500000000000007E-2</v>
      </c>
      <c r="Z164" s="403">
        <v>2</v>
      </c>
      <c r="AA164" s="404" t="s">
        <v>1486</v>
      </c>
      <c r="AB164" s="405" t="s">
        <v>3110</v>
      </c>
      <c r="AC164" s="406">
        <v>77.34</v>
      </c>
      <c r="AD164" s="406">
        <v>52</v>
      </c>
      <c r="AE164" s="402" t="s">
        <v>2410</v>
      </c>
      <c r="AF164" s="402" t="s">
        <v>2609</v>
      </c>
      <c r="AG164" s="402" t="s">
        <v>4341</v>
      </c>
      <c r="AH164" s="402" t="s">
        <v>164</v>
      </c>
      <c r="AI164" s="402" t="s">
        <v>227</v>
      </c>
      <c r="AJ164" s="407" t="s">
        <v>3111</v>
      </c>
      <c r="AK164" s="407" t="s">
        <v>3112</v>
      </c>
      <c r="AL164" s="407" t="s">
        <v>2412</v>
      </c>
      <c r="AM164" s="407" t="s">
        <v>2413</v>
      </c>
      <c r="AN164" s="420" t="s">
        <v>2414</v>
      </c>
      <c r="AO164" s="420" t="s">
        <v>2415</v>
      </c>
      <c r="AP164" s="407" t="s">
        <v>1945</v>
      </c>
      <c r="AQ164" s="407" t="s">
        <v>3113</v>
      </c>
      <c r="AR164" s="407" t="s">
        <v>3113</v>
      </c>
      <c r="AS164" s="407" t="s">
        <v>3062</v>
      </c>
      <c r="AT164" s="798" t="s">
        <v>2419</v>
      </c>
      <c r="AU164" s="407" t="s">
        <v>3476</v>
      </c>
      <c r="AV164" s="408"/>
      <c r="AW164" s="191"/>
    </row>
    <row r="165" spans="1:49" ht="17">
      <c r="A165" s="395"/>
      <c r="B165" s="342" t="s">
        <v>1075</v>
      </c>
      <c r="C165" s="213" t="s">
        <v>1076</v>
      </c>
      <c r="D165" s="214" t="s">
        <v>1287</v>
      </c>
      <c r="E165" s="215">
        <v>27.03</v>
      </c>
      <c r="F165" s="216" t="s">
        <v>1077</v>
      </c>
      <c r="G165" s="217" t="s">
        <v>0</v>
      </c>
      <c r="H165" s="218" t="s">
        <v>4505</v>
      </c>
      <c r="I165" s="219">
        <v>66.05</v>
      </c>
      <c r="J165" s="220">
        <v>67.570000000000007</v>
      </c>
      <c r="K165" s="221">
        <v>1.6235999999999999</v>
      </c>
      <c r="L165" s="222">
        <v>67.67</v>
      </c>
      <c r="M165" s="220">
        <v>69.19</v>
      </c>
      <c r="N165" s="223">
        <v>3.5</v>
      </c>
      <c r="O165" s="219">
        <v>72.69</v>
      </c>
      <c r="P165" s="224">
        <v>5.9200000000000003E-2</v>
      </c>
      <c r="Q165" s="225">
        <v>5.5899999999999998E-2</v>
      </c>
      <c r="R165" s="225" t="s">
        <v>557</v>
      </c>
      <c r="S165" s="226" t="s">
        <v>1745</v>
      </c>
      <c r="T165" s="226"/>
      <c r="U165" s="226">
        <v>5.6099999999999997E-2</v>
      </c>
      <c r="V165" s="227">
        <v>14.7934</v>
      </c>
      <c r="W165" s="227"/>
      <c r="X165" s="226"/>
      <c r="Y165" s="409">
        <v>3.5000000000000003E-2</v>
      </c>
      <c r="Z165" s="410">
        <v>2</v>
      </c>
      <c r="AA165" s="192" t="s">
        <v>1460</v>
      </c>
      <c r="AB165" s="411" t="s">
        <v>3114</v>
      </c>
      <c r="AC165" s="412">
        <v>71.070000000000007</v>
      </c>
      <c r="AD165" s="412">
        <v>55</v>
      </c>
      <c r="AE165" s="409" t="s">
        <v>2410</v>
      </c>
      <c r="AF165" s="409" t="s">
        <v>2561</v>
      </c>
      <c r="AG165" s="409" t="s">
        <v>3862</v>
      </c>
      <c r="AH165" s="409" t="s">
        <v>167</v>
      </c>
      <c r="AI165" s="409" t="s">
        <v>149</v>
      </c>
      <c r="AJ165" s="242" t="s">
        <v>2783</v>
      </c>
      <c r="AK165" s="242" t="s">
        <v>2951</v>
      </c>
      <c r="AL165" s="242" t="s">
        <v>2412</v>
      </c>
      <c r="AM165" s="242" t="s">
        <v>2413</v>
      </c>
      <c r="AN165" s="421" t="s">
        <v>2414</v>
      </c>
      <c r="AO165" s="421" t="s">
        <v>2415</v>
      </c>
      <c r="AP165" s="242" t="s">
        <v>1945</v>
      </c>
      <c r="AQ165" s="242" t="s">
        <v>3115</v>
      </c>
      <c r="AR165" s="242" t="s">
        <v>3115</v>
      </c>
      <c r="AS165" s="242" t="s">
        <v>3116</v>
      </c>
      <c r="AT165" s="797" t="s">
        <v>2419</v>
      </c>
      <c r="AU165" s="242" t="s">
        <v>3476</v>
      </c>
      <c r="AV165" s="193"/>
      <c r="AW165" s="191"/>
    </row>
    <row r="166" spans="1:49" ht="17.149999999999999" customHeight="1">
      <c r="A166" s="395"/>
      <c r="B166" s="342" t="s">
        <v>1078</v>
      </c>
      <c r="C166" s="213" t="s">
        <v>1079</v>
      </c>
      <c r="D166" s="228" t="s">
        <v>592</v>
      </c>
      <c r="E166" s="229">
        <v>26.95</v>
      </c>
      <c r="F166" s="230" t="s">
        <v>1080</v>
      </c>
      <c r="G166" s="231" t="s">
        <v>0</v>
      </c>
      <c r="H166" s="232" t="s">
        <v>4505</v>
      </c>
      <c r="I166" s="233">
        <v>72.55</v>
      </c>
      <c r="J166" s="234">
        <v>74.239999999999995</v>
      </c>
      <c r="K166" s="235">
        <v>0.1948</v>
      </c>
      <c r="L166" s="236">
        <v>72.739999999999995</v>
      </c>
      <c r="M166" s="234">
        <v>74.430000000000007</v>
      </c>
      <c r="N166" s="237">
        <v>3.5</v>
      </c>
      <c r="O166" s="233">
        <v>77.930000000000007</v>
      </c>
      <c r="P166" s="238">
        <v>6.08E-2</v>
      </c>
      <c r="Q166" s="239">
        <v>5.7599999999999998E-2</v>
      </c>
      <c r="R166" s="239" t="s">
        <v>557</v>
      </c>
      <c r="S166" s="240" t="s">
        <v>1745</v>
      </c>
      <c r="T166" s="240"/>
      <c r="U166" s="240">
        <v>5.7799999999999997E-2</v>
      </c>
      <c r="V166" s="241">
        <v>14.351100000000001</v>
      </c>
      <c r="W166" s="241"/>
      <c r="X166" s="240"/>
      <c r="Y166" s="402">
        <v>4.1250000000000002E-2</v>
      </c>
      <c r="Z166" s="403">
        <v>2</v>
      </c>
      <c r="AA166" s="404" t="s">
        <v>1487</v>
      </c>
      <c r="AB166" s="405" t="s">
        <v>3117</v>
      </c>
      <c r="AC166" s="406">
        <v>77.739999999999995</v>
      </c>
      <c r="AD166" s="406">
        <v>54</v>
      </c>
      <c r="AE166" s="402" t="s">
        <v>2410</v>
      </c>
      <c r="AF166" s="402" t="s">
        <v>3747</v>
      </c>
      <c r="AG166" s="402" t="s">
        <v>4476</v>
      </c>
      <c r="AH166" s="402" t="s">
        <v>162</v>
      </c>
      <c r="AI166" s="402" t="s">
        <v>252</v>
      </c>
      <c r="AJ166" s="407" t="s">
        <v>2419</v>
      </c>
      <c r="AK166" s="407" t="s">
        <v>3118</v>
      </c>
      <c r="AL166" s="407" t="s">
        <v>2412</v>
      </c>
      <c r="AM166" s="407" t="s">
        <v>2413</v>
      </c>
      <c r="AN166" s="420" t="s">
        <v>2414</v>
      </c>
      <c r="AO166" s="420" t="s">
        <v>2415</v>
      </c>
      <c r="AP166" s="407" t="s">
        <v>1945</v>
      </c>
      <c r="AQ166" s="407" t="s">
        <v>3119</v>
      </c>
      <c r="AR166" s="407" t="s">
        <v>3119</v>
      </c>
      <c r="AS166" s="407" t="s">
        <v>3120</v>
      </c>
      <c r="AT166" s="798" t="s">
        <v>2419</v>
      </c>
      <c r="AU166" s="407" t="s">
        <v>3476</v>
      </c>
      <c r="AV166" s="408"/>
      <c r="AW166" s="191"/>
    </row>
    <row r="167" spans="1:49" ht="17">
      <c r="A167" s="395"/>
      <c r="B167" s="342" t="s">
        <v>1081</v>
      </c>
      <c r="C167" s="213" t="s">
        <v>1082</v>
      </c>
      <c r="D167" s="214" t="s">
        <v>4342</v>
      </c>
      <c r="E167" s="215">
        <v>18.7</v>
      </c>
      <c r="F167" s="216" t="s">
        <v>1084</v>
      </c>
      <c r="G167" s="217" t="s">
        <v>0</v>
      </c>
      <c r="H167" s="218" t="s">
        <v>4505</v>
      </c>
      <c r="I167" s="219">
        <v>93.49</v>
      </c>
      <c r="J167" s="220">
        <v>95.02</v>
      </c>
      <c r="K167" s="221">
        <v>1.6198999999999999</v>
      </c>
      <c r="L167" s="222">
        <v>95.11</v>
      </c>
      <c r="M167" s="220">
        <v>96.64</v>
      </c>
      <c r="N167" s="223">
        <v>3</v>
      </c>
      <c r="O167" s="219">
        <v>99.64</v>
      </c>
      <c r="P167" s="224">
        <v>5.8900000000000001E-2</v>
      </c>
      <c r="Q167" s="225">
        <v>5.62E-2</v>
      </c>
      <c r="R167" s="225" t="s">
        <v>557</v>
      </c>
      <c r="S167" s="226" t="s">
        <v>1745</v>
      </c>
      <c r="T167" s="226"/>
      <c r="U167" s="226">
        <v>5.62E-2</v>
      </c>
      <c r="V167" s="227">
        <v>11.282500000000001</v>
      </c>
      <c r="W167" s="227"/>
      <c r="X167" s="226"/>
      <c r="Y167" s="409">
        <v>5.45E-2</v>
      </c>
      <c r="Z167" s="410">
        <v>2</v>
      </c>
      <c r="AA167" s="192" t="s">
        <v>1488</v>
      </c>
      <c r="AB167" s="411" t="s">
        <v>3121</v>
      </c>
      <c r="AC167" s="412">
        <v>98.02</v>
      </c>
      <c r="AD167" s="412">
        <v>38</v>
      </c>
      <c r="AE167" s="409" t="s">
        <v>2410</v>
      </c>
      <c r="AF167" s="409" t="s">
        <v>2491</v>
      </c>
      <c r="AG167" s="409" t="s">
        <v>4021</v>
      </c>
      <c r="AH167" s="409" t="s">
        <v>169</v>
      </c>
      <c r="AI167" s="409" t="s">
        <v>148</v>
      </c>
      <c r="AJ167" s="242" t="s">
        <v>3981</v>
      </c>
      <c r="AK167" s="242" t="s">
        <v>3122</v>
      </c>
      <c r="AL167" s="242" t="s">
        <v>2412</v>
      </c>
      <c r="AM167" s="242" t="s">
        <v>2413</v>
      </c>
      <c r="AN167" s="421" t="s">
        <v>2414</v>
      </c>
      <c r="AO167" s="421" t="s">
        <v>2415</v>
      </c>
      <c r="AP167" s="242" t="s">
        <v>1945</v>
      </c>
      <c r="AQ167" s="242" t="s">
        <v>3123</v>
      </c>
      <c r="AR167" s="242" t="s">
        <v>3124</v>
      </c>
      <c r="AS167" s="242" t="s">
        <v>3125</v>
      </c>
      <c r="AT167" s="797" t="s">
        <v>2419</v>
      </c>
      <c r="AU167" s="242" t="s">
        <v>3476</v>
      </c>
      <c r="AV167" s="193"/>
      <c r="AW167" s="191"/>
    </row>
    <row r="168" spans="1:49" ht="17.149999999999999" customHeight="1">
      <c r="A168" s="395"/>
      <c r="B168" s="342" t="s">
        <v>1085</v>
      </c>
      <c r="C168" s="213" t="s">
        <v>1086</v>
      </c>
      <c r="D168" s="228" t="s">
        <v>2392</v>
      </c>
      <c r="E168" s="229">
        <v>18.54</v>
      </c>
      <c r="F168" s="230" t="s">
        <v>1087</v>
      </c>
      <c r="G168" s="231" t="s">
        <v>0</v>
      </c>
      <c r="H168" s="232" t="s">
        <v>4505</v>
      </c>
      <c r="I168" s="233">
        <v>80.05</v>
      </c>
      <c r="J168" s="234">
        <v>81.600000000000009</v>
      </c>
      <c r="K168" s="235">
        <v>2.2035</v>
      </c>
      <c r="L168" s="236">
        <v>82.25</v>
      </c>
      <c r="M168" s="234">
        <v>83.8</v>
      </c>
      <c r="N168" s="237">
        <v>3</v>
      </c>
      <c r="O168" s="233">
        <v>86.8</v>
      </c>
      <c r="P168" s="238">
        <v>6.4699999999999994E-2</v>
      </c>
      <c r="Q168" s="239">
        <v>6.1499999999999999E-2</v>
      </c>
      <c r="R168" s="239" t="s">
        <v>557</v>
      </c>
      <c r="S168" s="240" t="s">
        <v>1745</v>
      </c>
      <c r="T168" s="240"/>
      <c r="U168" s="240" t="s">
        <v>1767</v>
      </c>
      <c r="V168" s="241">
        <v>11.183</v>
      </c>
      <c r="W168" s="241"/>
      <c r="X168" s="240"/>
      <c r="Y168" s="402">
        <v>4.7500000000000001E-2</v>
      </c>
      <c r="Z168" s="403">
        <v>2</v>
      </c>
      <c r="AA168" s="404" t="s">
        <v>1453</v>
      </c>
      <c r="AB168" s="405" t="s">
        <v>3126</v>
      </c>
      <c r="AC168" s="406">
        <v>84.600000000000009</v>
      </c>
      <c r="AD168" s="406">
        <v>38</v>
      </c>
      <c r="AE168" s="402" t="s">
        <v>2410</v>
      </c>
      <c r="AF168" s="402" t="s">
        <v>2561</v>
      </c>
      <c r="AG168" s="402" t="s">
        <v>3862</v>
      </c>
      <c r="AH168" s="402" t="s">
        <v>170</v>
      </c>
      <c r="AI168" s="402" t="s">
        <v>143</v>
      </c>
      <c r="AJ168" s="407" t="s">
        <v>2677</v>
      </c>
      <c r="AK168" s="407" t="s">
        <v>2419</v>
      </c>
      <c r="AL168" s="407" t="s">
        <v>2412</v>
      </c>
      <c r="AM168" s="407" t="s">
        <v>2419</v>
      </c>
      <c r="AN168" s="420" t="s">
        <v>2414</v>
      </c>
      <c r="AO168" s="420" t="s">
        <v>2415</v>
      </c>
      <c r="AP168" s="407" t="s">
        <v>1945</v>
      </c>
      <c r="AQ168" s="407" t="s">
        <v>3127</v>
      </c>
      <c r="AR168" s="407" t="s">
        <v>3127</v>
      </c>
      <c r="AS168" s="407" t="s">
        <v>3128</v>
      </c>
      <c r="AT168" s="798" t="s">
        <v>2419</v>
      </c>
      <c r="AU168" s="407" t="s">
        <v>3476</v>
      </c>
      <c r="AV168" s="408"/>
      <c r="AW168" s="191"/>
    </row>
    <row r="169" spans="1:49" ht="17">
      <c r="A169" s="395"/>
      <c r="B169" s="342" t="s">
        <v>1088</v>
      </c>
      <c r="C169" s="213" t="s">
        <v>1089</v>
      </c>
      <c r="D169" s="214" t="s">
        <v>1083</v>
      </c>
      <c r="E169" s="215">
        <v>21.79</v>
      </c>
      <c r="F169" s="216" t="s">
        <v>1090</v>
      </c>
      <c r="G169" s="217" t="s">
        <v>0</v>
      </c>
      <c r="H169" s="218" t="s">
        <v>4505</v>
      </c>
      <c r="I169" s="219">
        <v>77.08</v>
      </c>
      <c r="J169" s="220">
        <v>79.300000000000011</v>
      </c>
      <c r="K169" s="221">
        <v>0.94110000000000005</v>
      </c>
      <c r="L169" s="222">
        <v>78.02</v>
      </c>
      <c r="M169" s="220">
        <v>80.239999999999995</v>
      </c>
      <c r="N169" s="223">
        <v>3</v>
      </c>
      <c r="O169" s="219">
        <v>83.24</v>
      </c>
      <c r="P169" s="224">
        <v>6.13E-2</v>
      </c>
      <c r="Q169" s="225">
        <v>5.8500000000000003E-2</v>
      </c>
      <c r="R169" s="225" t="s">
        <v>557</v>
      </c>
      <c r="S169" s="226" t="s">
        <v>1745</v>
      </c>
      <c r="T169" s="226"/>
      <c r="U169" s="226">
        <v>5.8700000000000002E-2</v>
      </c>
      <c r="V169" s="227">
        <v>12.7112</v>
      </c>
      <c r="W169" s="227"/>
      <c r="X169" s="226"/>
      <c r="Y169" s="409">
        <v>4.4000000000000004E-2</v>
      </c>
      <c r="Z169" s="410">
        <v>2</v>
      </c>
      <c r="AA169" s="192" t="s">
        <v>1489</v>
      </c>
      <c r="AB169" s="411" t="s">
        <v>3129</v>
      </c>
      <c r="AC169" s="412">
        <v>82.300000000000011</v>
      </c>
      <c r="AD169" s="412">
        <v>44</v>
      </c>
      <c r="AE169" s="409" t="s">
        <v>2410</v>
      </c>
      <c r="AF169" s="409" t="s">
        <v>2527</v>
      </c>
      <c r="AG169" s="409" t="s">
        <v>4070</v>
      </c>
      <c r="AH169" s="409" t="s">
        <v>172</v>
      </c>
      <c r="AI169" s="409" t="s">
        <v>253</v>
      </c>
      <c r="AJ169" s="242" t="s">
        <v>3130</v>
      </c>
      <c r="AK169" s="242" t="s">
        <v>2526</v>
      </c>
      <c r="AL169" s="242" t="s">
        <v>2412</v>
      </c>
      <c r="AM169" s="242" t="s">
        <v>2413</v>
      </c>
      <c r="AN169" s="421" t="s">
        <v>2414</v>
      </c>
      <c r="AO169" s="421" t="s">
        <v>2415</v>
      </c>
      <c r="AP169" s="242" t="s">
        <v>1945</v>
      </c>
      <c r="AQ169" s="242" t="s">
        <v>3131</v>
      </c>
      <c r="AR169" s="242" t="s">
        <v>3131</v>
      </c>
      <c r="AS169" s="242" t="s">
        <v>2531</v>
      </c>
      <c r="AT169" s="797" t="s">
        <v>2419</v>
      </c>
      <c r="AU169" s="242" t="s">
        <v>3476</v>
      </c>
      <c r="AV169" s="193"/>
      <c r="AW169" s="191"/>
    </row>
    <row r="170" spans="1:49" ht="17.149999999999999" customHeight="1">
      <c r="A170" s="395"/>
      <c r="B170" s="342" t="s">
        <v>1091</v>
      </c>
      <c r="C170" s="213" t="s">
        <v>1092</v>
      </c>
      <c r="D170" s="228" t="s">
        <v>4370</v>
      </c>
      <c r="E170" s="229">
        <v>19.21</v>
      </c>
      <c r="F170" s="230" t="s">
        <v>1093</v>
      </c>
      <c r="G170" s="231" t="s">
        <v>0</v>
      </c>
      <c r="H170" s="232" t="s">
        <v>4505</v>
      </c>
      <c r="I170" s="233">
        <v>87.53</v>
      </c>
      <c r="J170" s="234">
        <v>90.08</v>
      </c>
      <c r="K170" s="235">
        <v>2.1305999999999998</v>
      </c>
      <c r="L170" s="236">
        <v>89.66</v>
      </c>
      <c r="M170" s="234">
        <v>92.21</v>
      </c>
      <c r="N170" s="237">
        <v>3</v>
      </c>
      <c r="O170" s="233">
        <v>95.21</v>
      </c>
      <c r="P170" s="238">
        <v>8.4199999999999997E-2</v>
      </c>
      <c r="Q170" s="239">
        <v>8.09E-2</v>
      </c>
      <c r="R170" s="239" t="s">
        <v>557</v>
      </c>
      <c r="S170" s="240" t="s">
        <v>1745</v>
      </c>
      <c r="T170" s="240"/>
      <c r="U170" s="240" t="s">
        <v>1767</v>
      </c>
      <c r="V170" s="241">
        <v>9.4692000000000007</v>
      </c>
      <c r="W170" s="241"/>
      <c r="X170" s="240"/>
      <c r="Y170" s="402">
        <v>7.3749999999999996E-2</v>
      </c>
      <c r="Z170" s="403">
        <v>2</v>
      </c>
      <c r="AA170" s="404" t="s">
        <v>1490</v>
      </c>
      <c r="AB170" s="405" t="s">
        <v>3132</v>
      </c>
      <c r="AC170" s="406">
        <v>93.08</v>
      </c>
      <c r="AD170" s="406">
        <v>39</v>
      </c>
      <c r="AE170" s="402" t="s">
        <v>2410</v>
      </c>
      <c r="AF170" s="402" t="s">
        <v>3133</v>
      </c>
      <c r="AG170" s="402" t="s">
        <v>4023</v>
      </c>
      <c r="AH170" s="402" t="s">
        <v>172</v>
      </c>
      <c r="AI170" s="402" t="s">
        <v>3134</v>
      </c>
      <c r="AJ170" s="407" t="s">
        <v>3873</v>
      </c>
      <c r="AK170" s="407" t="s">
        <v>2419</v>
      </c>
      <c r="AL170" s="407" t="s">
        <v>2412</v>
      </c>
      <c r="AM170" s="407" t="s">
        <v>2419</v>
      </c>
      <c r="AN170" s="420" t="s">
        <v>2414</v>
      </c>
      <c r="AO170" s="420" t="s">
        <v>2415</v>
      </c>
      <c r="AP170" s="407" t="s">
        <v>1943</v>
      </c>
      <c r="AQ170" s="407" t="s">
        <v>3135</v>
      </c>
      <c r="AR170" s="407" t="s">
        <v>3135</v>
      </c>
      <c r="AS170" s="407" t="s">
        <v>3136</v>
      </c>
      <c r="AT170" s="798" t="s">
        <v>2419</v>
      </c>
      <c r="AU170" s="407" t="s">
        <v>3476</v>
      </c>
      <c r="AV170" s="408"/>
      <c r="AW170" s="191"/>
    </row>
    <row r="171" spans="1:49" ht="17">
      <c r="A171" s="395"/>
      <c r="B171" s="342" t="s">
        <v>1094</v>
      </c>
      <c r="C171" s="213" t="s">
        <v>1095</v>
      </c>
      <c r="D171" s="214" t="s">
        <v>4200</v>
      </c>
      <c r="E171" s="215">
        <v>5.56</v>
      </c>
      <c r="F171" s="216" t="s">
        <v>1096</v>
      </c>
      <c r="G171" s="217" t="s">
        <v>0</v>
      </c>
      <c r="H171" s="218" t="s">
        <v>4505</v>
      </c>
      <c r="I171" s="219">
        <v>90.9</v>
      </c>
      <c r="J171" s="220">
        <v>92.65</v>
      </c>
      <c r="K171" s="221">
        <v>2.1396000000000002</v>
      </c>
      <c r="L171" s="222">
        <v>93.04</v>
      </c>
      <c r="M171" s="220">
        <v>94.79</v>
      </c>
      <c r="N171" s="223">
        <v>1.5</v>
      </c>
      <c r="O171" s="219">
        <v>96.29</v>
      </c>
      <c r="P171" s="224">
        <v>6.4699999999999994E-2</v>
      </c>
      <c r="Q171" s="225">
        <v>6.13E-2</v>
      </c>
      <c r="R171" s="225" t="s">
        <v>550</v>
      </c>
      <c r="S171" s="226" t="s">
        <v>1745</v>
      </c>
      <c r="T171" s="226"/>
      <c r="U171" s="226">
        <v>6.1800000000000001E-2</v>
      </c>
      <c r="V171" s="227">
        <v>4.6497000000000002</v>
      </c>
      <c r="W171" s="227"/>
      <c r="X171" s="226"/>
      <c r="Y171" s="409">
        <v>4.8750000000000002E-2</v>
      </c>
      <c r="Z171" s="410">
        <v>2</v>
      </c>
      <c r="AA171" s="192" t="s">
        <v>1491</v>
      </c>
      <c r="AB171" s="411" t="s">
        <v>3137</v>
      </c>
      <c r="AC171" s="412">
        <v>94.15</v>
      </c>
      <c r="AD171" s="412">
        <v>12</v>
      </c>
      <c r="AE171" s="409" t="s">
        <v>2410</v>
      </c>
      <c r="AF171" s="409" t="s">
        <v>3138</v>
      </c>
      <c r="AG171" s="409" t="s">
        <v>3880</v>
      </c>
      <c r="AH171" s="409" t="s">
        <v>166</v>
      </c>
      <c r="AI171" s="409" t="s">
        <v>1097</v>
      </c>
      <c r="AJ171" s="242" t="s">
        <v>3860</v>
      </c>
      <c r="AK171" s="242" t="s">
        <v>3139</v>
      </c>
      <c r="AL171" s="242" t="s">
        <v>2412</v>
      </c>
      <c r="AM171" s="242" t="s">
        <v>2413</v>
      </c>
      <c r="AN171" s="421" t="s">
        <v>2414</v>
      </c>
      <c r="AO171" s="421" t="s">
        <v>2415</v>
      </c>
      <c r="AP171" s="242" t="s">
        <v>1943</v>
      </c>
      <c r="AQ171" s="242" t="s">
        <v>2849</v>
      </c>
      <c r="AR171" s="242" t="s">
        <v>2849</v>
      </c>
      <c r="AS171" s="242" t="s">
        <v>3140</v>
      </c>
      <c r="AT171" s="797" t="s">
        <v>2419</v>
      </c>
      <c r="AU171" s="242" t="s">
        <v>3476</v>
      </c>
      <c r="AV171" s="193"/>
      <c r="AW171" s="191"/>
    </row>
    <row r="172" spans="1:49" ht="17.149999999999999" customHeight="1">
      <c r="A172" s="395"/>
      <c r="B172" s="342" t="s">
        <v>1098</v>
      </c>
      <c r="C172" s="213" t="s">
        <v>1099</v>
      </c>
      <c r="D172" s="228" t="s">
        <v>4371</v>
      </c>
      <c r="E172" s="229">
        <v>7.01</v>
      </c>
      <c r="F172" s="230" t="s">
        <v>1100</v>
      </c>
      <c r="G172" s="231" t="s">
        <v>0</v>
      </c>
      <c r="H172" s="232" t="s">
        <v>4508</v>
      </c>
      <c r="I172" s="233">
        <v>90.49</v>
      </c>
      <c r="J172" s="234">
        <v>92.22</v>
      </c>
      <c r="K172" s="235">
        <v>2.5813000000000001</v>
      </c>
      <c r="L172" s="236">
        <v>93.07</v>
      </c>
      <c r="M172" s="234">
        <v>94.8</v>
      </c>
      <c r="N172" s="237">
        <v>2.5</v>
      </c>
      <c r="O172" s="233">
        <v>97.3</v>
      </c>
      <c r="P172" s="238">
        <v>6.6600000000000006E-2</v>
      </c>
      <c r="Q172" s="239">
        <v>6.1899999999999997E-2</v>
      </c>
      <c r="R172" s="239" t="s">
        <v>550</v>
      </c>
      <c r="S172" s="240" t="s">
        <v>1745</v>
      </c>
      <c r="T172" s="240"/>
      <c r="U172" s="240">
        <v>6.2199999999999998E-2</v>
      </c>
      <c r="V172" s="241">
        <v>5.5636999999999999</v>
      </c>
      <c r="W172" s="241"/>
      <c r="X172" s="240"/>
      <c r="Y172" s="402">
        <v>5.2499999999999998E-2</v>
      </c>
      <c r="Z172" s="403">
        <v>2</v>
      </c>
      <c r="AA172" s="404" t="s">
        <v>1436</v>
      </c>
      <c r="AB172" s="405" t="s">
        <v>3141</v>
      </c>
      <c r="AC172" s="406">
        <v>94.72</v>
      </c>
      <c r="AD172" s="406">
        <v>15</v>
      </c>
      <c r="AE172" s="402" t="s">
        <v>2410</v>
      </c>
      <c r="AF172" s="402" t="s">
        <v>3142</v>
      </c>
      <c r="AG172" s="402" t="s">
        <v>3831</v>
      </c>
      <c r="AH172" s="402" t="s">
        <v>164</v>
      </c>
      <c r="AI172" s="402" t="s">
        <v>47</v>
      </c>
      <c r="AJ172" s="407" t="s">
        <v>2464</v>
      </c>
      <c r="AK172" s="407" t="s">
        <v>3143</v>
      </c>
      <c r="AL172" s="407" t="s">
        <v>2412</v>
      </c>
      <c r="AM172" s="407" t="s">
        <v>2413</v>
      </c>
      <c r="AN172" s="420" t="s">
        <v>2414</v>
      </c>
      <c r="AO172" s="420" t="s">
        <v>2415</v>
      </c>
      <c r="AP172" s="407" t="s">
        <v>1943</v>
      </c>
      <c r="AQ172" s="407" t="s">
        <v>3144</v>
      </c>
      <c r="AR172" s="407" t="s">
        <v>3144</v>
      </c>
      <c r="AS172" s="407" t="s">
        <v>3145</v>
      </c>
      <c r="AT172" s="798" t="s">
        <v>2419</v>
      </c>
      <c r="AU172" s="407" t="s">
        <v>3476</v>
      </c>
      <c r="AV172" s="408"/>
      <c r="AW172" s="191"/>
    </row>
    <row r="173" spans="1:49" ht="17">
      <c r="A173" s="395"/>
      <c r="B173" s="342" t="s">
        <v>1101</v>
      </c>
      <c r="C173" s="213" t="s">
        <v>1102</v>
      </c>
      <c r="D173" s="214" t="s">
        <v>2286</v>
      </c>
      <c r="E173" s="215">
        <v>3.03</v>
      </c>
      <c r="F173" s="216" t="s">
        <v>1103</v>
      </c>
      <c r="G173" s="217" t="s">
        <v>0</v>
      </c>
      <c r="H173" s="218" t="s">
        <v>4505</v>
      </c>
      <c r="I173" s="219">
        <v>95.17</v>
      </c>
      <c r="J173" s="220">
        <v>96.37</v>
      </c>
      <c r="K173" s="221">
        <v>1.9135</v>
      </c>
      <c r="L173" s="222">
        <v>97.08</v>
      </c>
      <c r="M173" s="220">
        <v>98.28</v>
      </c>
      <c r="N173" s="223">
        <v>1.2</v>
      </c>
      <c r="O173" s="219">
        <v>99.48</v>
      </c>
      <c r="P173" s="224">
        <v>5.4399999999999997E-2</v>
      </c>
      <c r="Q173" s="225">
        <v>0.05</v>
      </c>
      <c r="R173" s="225" t="s">
        <v>557</v>
      </c>
      <c r="S173" s="226" t="s">
        <v>1745</v>
      </c>
      <c r="T173" s="226"/>
      <c r="U173" s="226">
        <v>5.0700000000000002E-2</v>
      </c>
      <c r="V173" s="227">
        <v>2.7524000000000002</v>
      </c>
      <c r="W173" s="227"/>
      <c r="X173" s="226"/>
      <c r="Y173" s="409">
        <v>4.1250000000000002E-2</v>
      </c>
      <c r="Z173" s="410">
        <v>2</v>
      </c>
      <c r="AA173" s="192" t="s">
        <v>1492</v>
      </c>
      <c r="AB173" s="411" t="s">
        <v>3146</v>
      </c>
      <c r="AC173" s="412">
        <v>97.570000000000007</v>
      </c>
      <c r="AD173" s="412">
        <v>7</v>
      </c>
      <c r="AE173" s="409" t="s">
        <v>2410</v>
      </c>
      <c r="AF173" s="409" t="s">
        <v>2561</v>
      </c>
      <c r="AG173" s="409" t="s">
        <v>3862</v>
      </c>
      <c r="AH173" s="409" t="s">
        <v>170</v>
      </c>
      <c r="AI173" s="409" t="s">
        <v>181</v>
      </c>
      <c r="AJ173" s="242" t="s">
        <v>3751</v>
      </c>
      <c r="AK173" s="242" t="s">
        <v>2702</v>
      </c>
      <c r="AL173" s="242" t="s">
        <v>2412</v>
      </c>
      <c r="AM173" s="242" t="s">
        <v>2413</v>
      </c>
      <c r="AN173" s="421" t="s">
        <v>2414</v>
      </c>
      <c r="AO173" s="421" t="s">
        <v>2415</v>
      </c>
      <c r="AP173" s="242" t="s">
        <v>1945</v>
      </c>
      <c r="AQ173" s="242" t="s">
        <v>3147</v>
      </c>
      <c r="AR173" s="242" t="s">
        <v>3147</v>
      </c>
      <c r="AS173" s="242" t="s">
        <v>2831</v>
      </c>
      <c r="AT173" s="797" t="s">
        <v>2419</v>
      </c>
      <c r="AU173" s="242" t="s">
        <v>3476</v>
      </c>
      <c r="AV173" s="193"/>
      <c r="AW173" s="191"/>
    </row>
    <row r="174" spans="1:49" ht="17.149999999999999" customHeight="1">
      <c r="A174" s="395"/>
      <c r="B174" s="342" t="s">
        <v>1104</v>
      </c>
      <c r="C174" s="213" t="s">
        <v>1105</v>
      </c>
      <c r="D174" s="228" t="s">
        <v>2392</v>
      </c>
      <c r="E174" s="229">
        <v>6.96</v>
      </c>
      <c r="F174" s="230" t="s">
        <v>1106</v>
      </c>
      <c r="G174" s="231" t="s">
        <v>0</v>
      </c>
      <c r="H174" s="232" t="s">
        <v>4505</v>
      </c>
      <c r="I174" s="233">
        <v>85.45</v>
      </c>
      <c r="J174" s="234">
        <v>86.77000000000001</v>
      </c>
      <c r="K174" s="235">
        <v>0.151</v>
      </c>
      <c r="L174" s="236">
        <v>85.6</v>
      </c>
      <c r="M174" s="234">
        <v>86.92</v>
      </c>
      <c r="N174" s="237">
        <v>2.5</v>
      </c>
      <c r="O174" s="233">
        <v>89.42</v>
      </c>
      <c r="P174" s="238">
        <v>5.9799999999999999E-2</v>
      </c>
      <c r="Q174" s="239">
        <v>5.5E-2</v>
      </c>
      <c r="R174" s="239" t="s">
        <v>550</v>
      </c>
      <c r="S174" s="240" t="s">
        <v>1745</v>
      </c>
      <c r="T174" s="240"/>
      <c r="U174" s="240">
        <v>5.5599999999999997E-2</v>
      </c>
      <c r="V174" s="241">
        <v>5.9612999999999996</v>
      </c>
      <c r="W174" s="241"/>
      <c r="X174" s="240"/>
      <c r="Y174" s="402">
        <v>3.6249999999999998E-2</v>
      </c>
      <c r="Z174" s="403">
        <v>2</v>
      </c>
      <c r="AA174" s="404" t="s">
        <v>1493</v>
      </c>
      <c r="AB174" s="405" t="s">
        <v>3148</v>
      </c>
      <c r="AC174" s="406">
        <v>89.27000000000001</v>
      </c>
      <c r="AD174" s="406">
        <v>14</v>
      </c>
      <c r="AE174" s="402" t="s">
        <v>2410</v>
      </c>
      <c r="AF174" s="402" t="s">
        <v>3761</v>
      </c>
      <c r="AG174" s="402" t="s">
        <v>4477</v>
      </c>
      <c r="AH174" s="402" t="s">
        <v>170</v>
      </c>
      <c r="AI174" s="402" t="s">
        <v>143</v>
      </c>
      <c r="AJ174" s="407" t="s">
        <v>3948</v>
      </c>
      <c r="AK174" s="407" t="s">
        <v>3149</v>
      </c>
      <c r="AL174" s="407" t="s">
        <v>2412</v>
      </c>
      <c r="AM174" s="407" t="s">
        <v>2413</v>
      </c>
      <c r="AN174" s="420" t="s">
        <v>2414</v>
      </c>
      <c r="AO174" s="420" t="s">
        <v>2415</v>
      </c>
      <c r="AP174" s="407" t="s">
        <v>1945</v>
      </c>
      <c r="AQ174" s="407" t="s">
        <v>3150</v>
      </c>
      <c r="AR174" s="407" t="s">
        <v>3150</v>
      </c>
      <c r="AS174" s="407" t="s">
        <v>3151</v>
      </c>
      <c r="AT174" s="798" t="s">
        <v>2419</v>
      </c>
      <c r="AU174" s="407" t="s">
        <v>3476</v>
      </c>
      <c r="AV174" s="408"/>
      <c r="AW174" s="191"/>
    </row>
    <row r="175" spans="1:49" ht="17">
      <c r="A175" s="395"/>
      <c r="B175" s="342" t="s">
        <v>1107</v>
      </c>
      <c r="C175" s="213" t="s">
        <v>1108</v>
      </c>
      <c r="D175" s="214" t="s">
        <v>1159</v>
      </c>
      <c r="E175" s="215">
        <v>20.57</v>
      </c>
      <c r="F175" s="216" t="s">
        <v>1109</v>
      </c>
      <c r="G175" s="217" t="s">
        <v>0</v>
      </c>
      <c r="H175" s="218" t="s">
        <v>4505</v>
      </c>
      <c r="I175" s="219">
        <v>76.37</v>
      </c>
      <c r="J175" s="220">
        <v>78.12</v>
      </c>
      <c r="K175" s="221">
        <v>2.1528</v>
      </c>
      <c r="L175" s="222">
        <v>78.52</v>
      </c>
      <c r="M175" s="220">
        <v>80.27</v>
      </c>
      <c r="N175" s="223">
        <v>3</v>
      </c>
      <c r="O175" s="219">
        <v>83.27</v>
      </c>
      <c r="P175" s="224">
        <v>7.0300000000000001E-2</v>
      </c>
      <c r="Q175" s="225">
        <v>6.7000000000000004E-2</v>
      </c>
      <c r="R175" s="225" t="s">
        <v>550</v>
      </c>
      <c r="S175" s="226" t="s">
        <v>1745</v>
      </c>
      <c r="T175" s="226"/>
      <c r="U175" s="226" t="s">
        <v>1767</v>
      </c>
      <c r="V175" s="227">
        <v>11.356199999999999</v>
      </c>
      <c r="W175" s="227"/>
      <c r="X175" s="226"/>
      <c r="Y175" s="409">
        <v>0.05</v>
      </c>
      <c r="Z175" s="410">
        <v>2</v>
      </c>
      <c r="AA175" s="192" t="s">
        <v>1494</v>
      </c>
      <c r="AB175" s="411" t="s">
        <v>3152</v>
      </c>
      <c r="AC175" s="412">
        <v>81.12</v>
      </c>
      <c r="AD175" s="412">
        <v>42</v>
      </c>
      <c r="AE175" s="409" t="s">
        <v>2410</v>
      </c>
      <c r="AF175" s="409" t="s">
        <v>2834</v>
      </c>
      <c r="AG175" s="409" t="s">
        <v>3886</v>
      </c>
      <c r="AH175" s="409" t="s">
        <v>163</v>
      </c>
      <c r="AI175" s="409" t="s">
        <v>255</v>
      </c>
      <c r="AJ175" s="242" t="s">
        <v>2562</v>
      </c>
      <c r="AK175" s="242" t="s">
        <v>2419</v>
      </c>
      <c r="AL175" s="242" t="s">
        <v>2412</v>
      </c>
      <c r="AM175" s="242" t="s">
        <v>2419</v>
      </c>
      <c r="AN175" s="421" t="s">
        <v>2414</v>
      </c>
      <c r="AO175" s="421" t="s">
        <v>2415</v>
      </c>
      <c r="AP175" s="242" t="s">
        <v>1943</v>
      </c>
      <c r="AQ175" s="242" t="s">
        <v>3153</v>
      </c>
      <c r="AR175" s="242" t="s">
        <v>3153</v>
      </c>
      <c r="AS175" s="242" t="s">
        <v>3154</v>
      </c>
      <c r="AT175" s="797" t="s">
        <v>2419</v>
      </c>
      <c r="AU175" s="242" t="s">
        <v>3476</v>
      </c>
      <c r="AV175" s="193"/>
      <c r="AW175" s="191"/>
    </row>
    <row r="176" spans="1:49" ht="17.149999999999999" customHeight="1">
      <c r="A176" s="395"/>
      <c r="B176" s="342" t="s">
        <v>1110</v>
      </c>
      <c r="C176" s="213" t="s">
        <v>1111</v>
      </c>
      <c r="D176" s="228" t="s">
        <v>4013</v>
      </c>
      <c r="E176" s="229">
        <v>6.98</v>
      </c>
      <c r="F176" s="230" t="s">
        <v>1112</v>
      </c>
      <c r="G176" s="231" t="s">
        <v>0</v>
      </c>
      <c r="H176" s="232" t="s">
        <v>4505</v>
      </c>
      <c r="I176" s="233">
        <v>91.35</v>
      </c>
      <c r="J176" s="234">
        <v>93.070000000000007</v>
      </c>
      <c r="K176" s="235">
        <v>9.7900000000000001E-2</v>
      </c>
      <c r="L176" s="236">
        <v>91.45</v>
      </c>
      <c r="M176" s="234">
        <v>93.17</v>
      </c>
      <c r="N176" s="237">
        <v>2.5</v>
      </c>
      <c r="O176" s="233">
        <v>95.67</v>
      </c>
      <c r="P176" s="238">
        <v>7.1499999999999994E-2</v>
      </c>
      <c r="Q176" s="239">
        <v>6.6799999999999998E-2</v>
      </c>
      <c r="R176" s="239" t="s">
        <v>550</v>
      </c>
      <c r="S176" s="240" t="s">
        <v>1745</v>
      </c>
      <c r="T176" s="240"/>
      <c r="U176" s="240" t="s">
        <v>1767</v>
      </c>
      <c r="V176" s="241">
        <v>5.5795000000000003</v>
      </c>
      <c r="W176" s="241"/>
      <c r="X176" s="240"/>
      <c r="Y176" s="402">
        <v>5.8749999999999997E-2</v>
      </c>
      <c r="Z176" s="403">
        <v>2</v>
      </c>
      <c r="AA176" s="404" t="s">
        <v>1442</v>
      </c>
      <c r="AB176" s="405" t="s">
        <v>3155</v>
      </c>
      <c r="AC176" s="406">
        <v>95.570000000000007</v>
      </c>
      <c r="AD176" s="406">
        <v>14</v>
      </c>
      <c r="AE176" s="402" t="s">
        <v>2410</v>
      </c>
      <c r="AF176" s="402" t="s">
        <v>3790</v>
      </c>
      <c r="AG176" s="402" t="s">
        <v>4499</v>
      </c>
      <c r="AH176" s="402" t="s">
        <v>163</v>
      </c>
      <c r="AI176" s="402" t="s">
        <v>228</v>
      </c>
      <c r="AJ176" s="407" t="s">
        <v>2562</v>
      </c>
      <c r="AK176" s="407" t="s">
        <v>2419</v>
      </c>
      <c r="AL176" s="407" t="s">
        <v>2412</v>
      </c>
      <c r="AM176" s="407" t="s">
        <v>2419</v>
      </c>
      <c r="AN176" s="420" t="s">
        <v>2414</v>
      </c>
      <c r="AO176" s="420" t="s">
        <v>2415</v>
      </c>
      <c r="AP176" s="407" t="s">
        <v>1943</v>
      </c>
      <c r="AQ176" s="407" t="s">
        <v>3156</v>
      </c>
      <c r="AR176" s="407" t="s">
        <v>3156</v>
      </c>
      <c r="AS176" s="407" t="s">
        <v>3157</v>
      </c>
      <c r="AT176" s="798" t="s">
        <v>2419</v>
      </c>
      <c r="AU176" s="407" t="s">
        <v>3476</v>
      </c>
      <c r="AV176" s="408"/>
      <c r="AW176" s="191"/>
    </row>
    <row r="177" spans="1:49" ht="17">
      <c r="A177" s="395"/>
      <c r="B177" s="342" t="s">
        <v>1113</v>
      </c>
      <c r="C177" s="213" t="s">
        <v>1114</v>
      </c>
      <c r="D177" s="214" t="s">
        <v>3466</v>
      </c>
      <c r="E177" s="215">
        <v>6.83</v>
      </c>
      <c r="F177" s="216" t="s">
        <v>1115</v>
      </c>
      <c r="G177" s="217" t="s">
        <v>0</v>
      </c>
      <c r="H177" s="218" t="s">
        <v>4505</v>
      </c>
      <c r="I177" s="219">
        <v>90.61</v>
      </c>
      <c r="J177" s="220">
        <v>92.28</v>
      </c>
      <c r="K177" s="221">
        <v>0.9042</v>
      </c>
      <c r="L177" s="222">
        <v>91.51</v>
      </c>
      <c r="M177" s="220">
        <v>93.18</v>
      </c>
      <c r="N177" s="223">
        <v>2.5</v>
      </c>
      <c r="O177" s="219">
        <v>95.68</v>
      </c>
      <c r="P177" s="224">
        <v>6.6699999999999995E-2</v>
      </c>
      <c r="Q177" s="225">
        <v>6.2E-2</v>
      </c>
      <c r="R177" s="225" t="s">
        <v>557</v>
      </c>
      <c r="S177" s="226" t="s">
        <v>1745</v>
      </c>
      <c r="T177" s="226"/>
      <c r="U177" s="226">
        <v>6.2300000000000001E-2</v>
      </c>
      <c r="V177" s="227">
        <v>5.5446999999999997</v>
      </c>
      <c r="W177" s="227"/>
      <c r="X177" s="226"/>
      <c r="Y177" s="409">
        <v>5.2499999999999998E-2</v>
      </c>
      <c r="Z177" s="410">
        <v>2</v>
      </c>
      <c r="AA177" s="192" t="s">
        <v>1455</v>
      </c>
      <c r="AB177" s="411" t="s">
        <v>3158</v>
      </c>
      <c r="AC177" s="412">
        <v>94.78</v>
      </c>
      <c r="AD177" s="412">
        <v>14</v>
      </c>
      <c r="AE177" s="409" t="s">
        <v>2410</v>
      </c>
      <c r="AF177" s="409" t="s">
        <v>2434</v>
      </c>
      <c r="AG177" s="409" t="s">
        <v>2670</v>
      </c>
      <c r="AH177" s="409" t="s">
        <v>170</v>
      </c>
      <c r="AI177" s="409" t="s">
        <v>229</v>
      </c>
      <c r="AJ177" s="242" t="s">
        <v>2726</v>
      </c>
      <c r="AK177" s="242" t="s">
        <v>3159</v>
      </c>
      <c r="AL177" s="242" t="s">
        <v>2412</v>
      </c>
      <c r="AM177" s="242" t="s">
        <v>2413</v>
      </c>
      <c r="AN177" s="421" t="s">
        <v>2414</v>
      </c>
      <c r="AO177" s="421" t="s">
        <v>2415</v>
      </c>
      <c r="AP177" s="242" t="s">
        <v>1944</v>
      </c>
      <c r="AQ177" s="242" t="s">
        <v>3160</v>
      </c>
      <c r="AR177" s="242" t="s">
        <v>3160</v>
      </c>
      <c r="AS177" s="242" t="s">
        <v>3161</v>
      </c>
      <c r="AT177" s="797" t="s">
        <v>2419</v>
      </c>
      <c r="AU177" s="242" t="s">
        <v>3476</v>
      </c>
      <c r="AV177" s="193"/>
      <c r="AW177" s="191"/>
    </row>
    <row r="178" spans="1:49" ht="17.149999999999999" customHeight="1">
      <c r="A178" s="395"/>
      <c r="B178" s="342" t="s">
        <v>1116</v>
      </c>
      <c r="C178" s="213" t="s">
        <v>1117</v>
      </c>
      <c r="D178" s="228" t="s">
        <v>3969</v>
      </c>
      <c r="E178" s="229">
        <v>3.75</v>
      </c>
      <c r="F178" s="230" t="s">
        <v>1118</v>
      </c>
      <c r="G178" s="231" t="s">
        <v>0</v>
      </c>
      <c r="H178" s="232" t="s">
        <v>4505</v>
      </c>
      <c r="I178" s="233">
        <v>97.41</v>
      </c>
      <c r="J178" s="234">
        <v>99.58</v>
      </c>
      <c r="K178" s="235">
        <v>1.3903000000000001</v>
      </c>
      <c r="L178" s="236">
        <v>98.8</v>
      </c>
      <c r="M178" s="234">
        <v>100.97</v>
      </c>
      <c r="N178" s="237">
        <v>1.6</v>
      </c>
      <c r="O178" s="233">
        <v>102.57</v>
      </c>
      <c r="P178" s="238">
        <v>5.62E-2</v>
      </c>
      <c r="Q178" s="239">
        <v>5.1499999999999997E-2</v>
      </c>
      <c r="R178" s="239" t="s">
        <v>557</v>
      </c>
      <c r="S178" s="240" t="s">
        <v>1745</v>
      </c>
      <c r="T178" s="240"/>
      <c r="U178" s="240">
        <v>5.0999999999999997E-2</v>
      </c>
      <c r="V178" s="241">
        <v>3.2999000000000001</v>
      </c>
      <c r="W178" s="241"/>
      <c r="X178" s="240"/>
      <c r="Y178" s="402">
        <v>5.5E-2</v>
      </c>
      <c r="Z178" s="403">
        <v>2</v>
      </c>
      <c r="AA178" s="404" t="s">
        <v>3162</v>
      </c>
      <c r="AB178" s="405" t="s">
        <v>3163</v>
      </c>
      <c r="AC178" s="406">
        <v>101.17999999999999</v>
      </c>
      <c r="AD178" s="406">
        <v>8</v>
      </c>
      <c r="AE178" s="402" t="s">
        <v>2410</v>
      </c>
      <c r="AF178" s="402" t="s">
        <v>2730</v>
      </c>
      <c r="AG178" s="402" t="s">
        <v>4032</v>
      </c>
      <c r="AH178" s="402" t="s">
        <v>170</v>
      </c>
      <c r="AI178" s="402" t="s">
        <v>256</v>
      </c>
      <c r="AJ178" s="407" t="s">
        <v>2419</v>
      </c>
      <c r="AK178" s="407" t="s">
        <v>3164</v>
      </c>
      <c r="AL178" s="407" t="s">
        <v>2412</v>
      </c>
      <c r="AM178" s="407" t="s">
        <v>2413</v>
      </c>
      <c r="AN178" s="420" t="s">
        <v>2414</v>
      </c>
      <c r="AO178" s="420" t="s">
        <v>2415</v>
      </c>
      <c r="AP178" s="407" t="s">
        <v>1943</v>
      </c>
      <c r="AQ178" s="407" t="s">
        <v>3165</v>
      </c>
      <c r="AR178" s="407" t="s">
        <v>3165</v>
      </c>
      <c r="AS178" s="407" t="s">
        <v>3166</v>
      </c>
      <c r="AT178" s="798" t="s">
        <v>2419</v>
      </c>
      <c r="AU178" s="407" t="s">
        <v>3476</v>
      </c>
      <c r="AV178" s="408"/>
      <c r="AW178" s="191"/>
    </row>
    <row r="179" spans="1:49" ht="17">
      <c r="A179" s="395"/>
      <c r="B179" s="342" t="s">
        <v>1119</v>
      </c>
      <c r="C179" s="213" t="s">
        <v>1120</v>
      </c>
      <c r="D179" s="214" t="s">
        <v>1121</v>
      </c>
      <c r="E179" s="215">
        <v>5.74</v>
      </c>
      <c r="F179" s="216" t="s">
        <v>128</v>
      </c>
      <c r="G179" s="217" t="s">
        <v>0</v>
      </c>
      <c r="H179" s="218" t="s">
        <v>4505</v>
      </c>
      <c r="I179" s="219">
        <v>97.44</v>
      </c>
      <c r="J179" s="220">
        <v>98.75</v>
      </c>
      <c r="K179" s="221">
        <v>1.2649999999999999</v>
      </c>
      <c r="L179" s="222">
        <v>98.71</v>
      </c>
      <c r="M179" s="220">
        <v>100.02</v>
      </c>
      <c r="N179" s="223">
        <v>2</v>
      </c>
      <c r="O179" s="219">
        <v>102.02</v>
      </c>
      <c r="P179" s="224">
        <v>5.1999999999999998E-2</v>
      </c>
      <c r="Q179" s="225">
        <v>4.8000000000000001E-2</v>
      </c>
      <c r="R179" s="225" t="s">
        <v>550</v>
      </c>
      <c r="S179" s="226" t="s">
        <v>1745</v>
      </c>
      <c r="T179" s="226"/>
      <c r="U179" s="226" t="s">
        <v>1767</v>
      </c>
      <c r="V179" s="227">
        <v>4.8821000000000003</v>
      </c>
      <c r="W179" s="227"/>
      <c r="X179" s="226"/>
      <c r="Y179" s="409">
        <v>4.9500000000000002E-2</v>
      </c>
      <c r="Z179" s="410">
        <v>2</v>
      </c>
      <c r="AA179" s="192" t="s">
        <v>1859</v>
      </c>
      <c r="AB179" s="411" t="s">
        <v>3167</v>
      </c>
      <c r="AC179" s="412">
        <v>100.75</v>
      </c>
      <c r="AD179" s="412">
        <v>12</v>
      </c>
      <c r="AE179" s="409" t="s">
        <v>2410</v>
      </c>
      <c r="AF179" s="409" t="s">
        <v>3168</v>
      </c>
      <c r="AG179" s="409" t="s">
        <v>3306</v>
      </c>
      <c r="AH179" s="409" t="s">
        <v>162</v>
      </c>
      <c r="AI179" s="409" t="s">
        <v>45</v>
      </c>
      <c r="AJ179" s="242" t="s">
        <v>2455</v>
      </c>
      <c r="AK179" s="242" t="s">
        <v>2419</v>
      </c>
      <c r="AL179" s="242" t="s">
        <v>2412</v>
      </c>
      <c r="AM179" s="242" t="s">
        <v>2419</v>
      </c>
      <c r="AN179" s="421" t="s">
        <v>2422</v>
      </c>
      <c r="AO179" s="421" t="s">
        <v>2415</v>
      </c>
      <c r="AP179" s="242" t="s">
        <v>1945</v>
      </c>
      <c r="AQ179" s="242" t="s">
        <v>3087</v>
      </c>
      <c r="AR179" s="242" t="s">
        <v>3087</v>
      </c>
      <c r="AS179" s="242" t="s">
        <v>3169</v>
      </c>
      <c r="AT179" s="797" t="s">
        <v>2419</v>
      </c>
      <c r="AU179" s="242" t="s">
        <v>3476</v>
      </c>
      <c r="AV179" s="193"/>
      <c r="AW179" s="191"/>
    </row>
    <row r="180" spans="1:49" ht="17.149999999999999" customHeight="1">
      <c r="A180" s="395"/>
      <c r="B180" s="342" t="s">
        <v>1122</v>
      </c>
      <c r="C180" s="213" t="s">
        <v>1123</v>
      </c>
      <c r="D180" s="228" t="s">
        <v>1124</v>
      </c>
      <c r="E180" s="229">
        <v>25.24</v>
      </c>
      <c r="F180" s="230" t="s">
        <v>77</v>
      </c>
      <c r="G180" s="231" t="s">
        <v>0</v>
      </c>
      <c r="H180" s="232" t="s">
        <v>4508</v>
      </c>
      <c r="I180" s="233">
        <v>68.489999999999995</v>
      </c>
      <c r="J180" s="234">
        <v>70.300000000000011</v>
      </c>
      <c r="K180" s="235">
        <v>0.80730000000000002</v>
      </c>
      <c r="L180" s="236">
        <v>69.3</v>
      </c>
      <c r="M180" s="234">
        <v>71.11</v>
      </c>
      <c r="N180" s="237">
        <v>3.5</v>
      </c>
      <c r="O180" s="233">
        <v>74.61</v>
      </c>
      <c r="P180" s="238">
        <v>5.2600000000000001E-2</v>
      </c>
      <c r="Q180" s="239">
        <v>4.9500000000000002E-2</v>
      </c>
      <c r="R180" s="239" t="s">
        <v>550</v>
      </c>
      <c r="S180" s="240" t="s">
        <v>1745</v>
      </c>
      <c r="T180" s="240"/>
      <c r="U180" s="240" t="s">
        <v>1767</v>
      </c>
      <c r="V180" s="241">
        <v>15.460599999999999</v>
      </c>
      <c r="W180" s="241"/>
      <c r="X180" s="240"/>
      <c r="Y180" s="402">
        <v>3.125E-2</v>
      </c>
      <c r="Z180" s="403">
        <v>2</v>
      </c>
      <c r="AA180" s="404" t="s">
        <v>1383</v>
      </c>
      <c r="AB180" s="405" t="s">
        <v>3170</v>
      </c>
      <c r="AC180" s="406">
        <v>73.800000000000011</v>
      </c>
      <c r="AD180" s="406">
        <v>51</v>
      </c>
      <c r="AE180" s="402" t="s">
        <v>2410</v>
      </c>
      <c r="AF180" s="402" t="s">
        <v>3171</v>
      </c>
      <c r="AG180" s="402" t="s">
        <v>3306</v>
      </c>
      <c r="AH180" s="402" t="s">
        <v>163</v>
      </c>
      <c r="AI180" s="402" t="s">
        <v>81</v>
      </c>
      <c r="AJ180" s="407" t="s">
        <v>2562</v>
      </c>
      <c r="AK180" s="407" t="s">
        <v>2419</v>
      </c>
      <c r="AL180" s="407" t="s">
        <v>2412</v>
      </c>
      <c r="AM180" s="407" t="s">
        <v>2419</v>
      </c>
      <c r="AN180" s="420" t="s">
        <v>2414</v>
      </c>
      <c r="AO180" s="420" t="s">
        <v>2415</v>
      </c>
      <c r="AP180" s="407" t="s">
        <v>1943</v>
      </c>
      <c r="AQ180" s="407" t="s">
        <v>3172</v>
      </c>
      <c r="AR180" s="407" t="s">
        <v>3172</v>
      </c>
      <c r="AS180" s="407" t="s">
        <v>3019</v>
      </c>
      <c r="AT180" s="798" t="s">
        <v>2419</v>
      </c>
      <c r="AU180" s="407" t="s">
        <v>3476</v>
      </c>
      <c r="AV180" s="408"/>
      <c r="AW180" s="191"/>
    </row>
    <row r="181" spans="1:49" ht="17">
      <c r="A181" s="395"/>
      <c r="B181" s="342" t="s">
        <v>1125</v>
      </c>
      <c r="C181" s="213" t="s">
        <v>1126</v>
      </c>
      <c r="D181" s="214" t="s">
        <v>722</v>
      </c>
      <c r="E181" s="215">
        <v>20.88</v>
      </c>
      <c r="F181" s="216" t="s">
        <v>1127</v>
      </c>
      <c r="G181" s="217" t="s">
        <v>0</v>
      </c>
      <c r="H181" s="218" t="s">
        <v>4505</v>
      </c>
      <c r="I181" s="219">
        <v>91.57</v>
      </c>
      <c r="J181" s="220">
        <v>93.17</v>
      </c>
      <c r="K181" s="221">
        <v>0.56000000000000005</v>
      </c>
      <c r="L181" s="222">
        <v>92.13</v>
      </c>
      <c r="M181" s="220">
        <v>93.73</v>
      </c>
      <c r="N181" s="223">
        <v>3</v>
      </c>
      <c r="O181" s="219">
        <v>96.73</v>
      </c>
      <c r="P181" s="224">
        <v>5.3499999999999999E-2</v>
      </c>
      <c r="Q181" s="225">
        <v>5.0999999999999997E-2</v>
      </c>
      <c r="R181" s="225" t="s">
        <v>557</v>
      </c>
      <c r="S181" s="226" t="s">
        <v>1745</v>
      </c>
      <c r="T181" s="226"/>
      <c r="U181" s="226">
        <v>5.0999999999999997E-2</v>
      </c>
      <c r="V181" s="227">
        <v>12.7455</v>
      </c>
      <c r="W181" s="227"/>
      <c r="X181" s="226"/>
      <c r="Y181" s="409">
        <v>4.8000000000000001E-2</v>
      </c>
      <c r="Z181" s="410">
        <v>2</v>
      </c>
      <c r="AA181" s="192" t="s">
        <v>1368</v>
      </c>
      <c r="AB181" s="411" t="s">
        <v>3173</v>
      </c>
      <c r="AC181" s="412">
        <v>96.17</v>
      </c>
      <c r="AD181" s="412">
        <v>42</v>
      </c>
      <c r="AE181" s="409" t="s">
        <v>2410</v>
      </c>
      <c r="AF181" s="409" t="s">
        <v>2648</v>
      </c>
      <c r="AG181" s="409" t="s">
        <v>4356</v>
      </c>
      <c r="AH181" s="409" t="s">
        <v>165</v>
      </c>
      <c r="AI181" s="409" t="s">
        <v>97</v>
      </c>
      <c r="AJ181" s="242" t="s">
        <v>2649</v>
      </c>
      <c r="AK181" s="242" t="s">
        <v>3174</v>
      </c>
      <c r="AL181" s="242" t="s">
        <v>2412</v>
      </c>
      <c r="AM181" s="242" t="s">
        <v>2413</v>
      </c>
      <c r="AN181" s="421" t="s">
        <v>2414</v>
      </c>
      <c r="AO181" s="421" t="s">
        <v>2415</v>
      </c>
      <c r="AP181" s="242" t="s">
        <v>1945</v>
      </c>
      <c r="AQ181" s="242" t="s">
        <v>3175</v>
      </c>
      <c r="AR181" s="242" t="s">
        <v>3175</v>
      </c>
      <c r="AS181" s="242" t="s">
        <v>3176</v>
      </c>
      <c r="AT181" s="797" t="s">
        <v>2419</v>
      </c>
      <c r="AU181" s="242" t="s">
        <v>3476</v>
      </c>
      <c r="AV181" s="193"/>
      <c r="AW181" s="191"/>
    </row>
    <row r="182" spans="1:49" ht="17.149999999999999" customHeight="1">
      <c r="A182" s="395"/>
      <c r="B182" s="342" t="s">
        <v>1128</v>
      </c>
      <c r="C182" s="213" t="s">
        <v>1129</v>
      </c>
      <c r="D182" s="228" t="s">
        <v>628</v>
      </c>
      <c r="E182" s="229">
        <v>16.62</v>
      </c>
      <c r="F182" s="230" t="s">
        <v>1130</v>
      </c>
      <c r="G182" s="231" t="s">
        <v>0</v>
      </c>
      <c r="H182" s="232" t="s">
        <v>4505</v>
      </c>
      <c r="I182" s="233">
        <v>70.989999999999995</v>
      </c>
      <c r="J182" s="234">
        <v>72.180000000000007</v>
      </c>
      <c r="K182" s="235">
        <v>1.1416999999999999</v>
      </c>
      <c r="L182" s="236">
        <v>72.13</v>
      </c>
      <c r="M182" s="234">
        <v>73.319999999999993</v>
      </c>
      <c r="N182" s="237">
        <v>3</v>
      </c>
      <c r="O182" s="233">
        <v>76.319999999999993</v>
      </c>
      <c r="P182" s="238">
        <v>5.5899999999999998E-2</v>
      </c>
      <c r="Q182" s="239">
        <v>5.2600000000000001E-2</v>
      </c>
      <c r="R182" s="239" t="s">
        <v>557</v>
      </c>
      <c r="S182" s="240" t="s">
        <v>1745</v>
      </c>
      <c r="T182" s="240"/>
      <c r="U182" s="240">
        <v>5.3100000000000001E-2</v>
      </c>
      <c r="V182" s="241">
        <v>11.988899999999999</v>
      </c>
      <c r="W182" s="241"/>
      <c r="X182" s="240"/>
      <c r="Y182" s="402">
        <v>0.03</v>
      </c>
      <c r="Z182" s="403">
        <v>2</v>
      </c>
      <c r="AA182" s="404" t="s">
        <v>1496</v>
      </c>
      <c r="AB182" s="405" t="s">
        <v>3053</v>
      </c>
      <c r="AC182" s="406">
        <v>75.180000000000007</v>
      </c>
      <c r="AD182" s="406">
        <v>34</v>
      </c>
      <c r="AE182" s="402" t="s">
        <v>2410</v>
      </c>
      <c r="AF182" s="402" t="s">
        <v>2534</v>
      </c>
      <c r="AG182" s="402" t="s">
        <v>3909</v>
      </c>
      <c r="AH182" s="402" t="s">
        <v>164</v>
      </c>
      <c r="AI182" s="402" t="s">
        <v>146</v>
      </c>
      <c r="AJ182" s="407" t="s">
        <v>3942</v>
      </c>
      <c r="AK182" s="407" t="s">
        <v>3054</v>
      </c>
      <c r="AL182" s="407" t="s">
        <v>2412</v>
      </c>
      <c r="AM182" s="407" t="s">
        <v>2413</v>
      </c>
      <c r="AN182" s="420" t="s">
        <v>2414</v>
      </c>
      <c r="AO182" s="420" t="s">
        <v>2415</v>
      </c>
      <c r="AP182" s="407" t="s">
        <v>1945</v>
      </c>
      <c r="AQ182" s="407" t="s">
        <v>3177</v>
      </c>
      <c r="AR182" s="407" t="s">
        <v>3051</v>
      </c>
      <c r="AS182" s="407" t="s">
        <v>3056</v>
      </c>
      <c r="AT182" s="798" t="s">
        <v>2419</v>
      </c>
      <c r="AU182" s="407" t="s">
        <v>3476</v>
      </c>
      <c r="AV182" s="408"/>
      <c r="AW182" s="191"/>
    </row>
    <row r="183" spans="1:49" ht="17">
      <c r="A183" s="395"/>
      <c r="B183" s="342" t="s">
        <v>1131</v>
      </c>
      <c r="C183" s="213" t="s">
        <v>1132</v>
      </c>
      <c r="D183" s="214" t="s">
        <v>652</v>
      </c>
      <c r="E183" s="215">
        <v>15.34</v>
      </c>
      <c r="F183" s="216" t="s">
        <v>1133</v>
      </c>
      <c r="G183" s="217" t="s">
        <v>534</v>
      </c>
      <c r="H183" s="218" t="s">
        <v>4508</v>
      </c>
      <c r="I183" s="219">
        <v>68.11</v>
      </c>
      <c r="J183" s="220">
        <v>72.59</v>
      </c>
      <c r="K183" s="221">
        <v>0.57099999999999995</v>
      </c>
      <c r="L183" s="222">
        <v>68.680000000000007</v>
      </c>
      <c r="M183" s="220">
        <v>73.16</v>
      </c>
      <c r="N183" s="223">
        <v>2.5</v>
      </c>
      <c r="O183" s="219">
        <v>75.66</v>
      </c>
      <c r="P183" s="224">
        <v>6.3200000000000006E-2</v>
      </c>
      <c r="Q183" s="225">
        <v>6.0100000000000001E-2</v>
      </c>
      <c r="R183" s="225" t="s">
        <v>1134</v>
      </c>
      <c r="S183" s="226" t="s">
        <v>1776</v>
      </c>
      <c r="T183" s="226"/>
      <c r="U183" s="226" t="s">
        <v>1767</v>
      </c>
      <c r="V183" s="227">
        <v>10.8348</v>
      </c>
      <c r="W183" s="227"/>
      <c r="X183" s="226"/>
      <c r="Y183" s="409">
        <v>3.5000000000000003E-2</v>
      </c>
      <c r="Z183" s="410">
        <v>2</v>
      </c>
      <c r="AA183" s="192" t="s">
        <v>1361</v>
      </c>
      <c r="AB183" s="411" t="s">
        <v>3178</v>
      </c>
      <c r="AC183" s="412">
        <v>75.09</v>
      </c>
      <c r="AD183" s="412">
        <v>31</v>
      </c>
      <c r="AE183" s="409" t="s">
        <v>2410</v>
      </c>
      <c r="AF183" s="409" t="s">
        <v>2518</v>
      </c>
      <c r="AG183" s="409" t="s">
        <v>4198</v>
      </c>
      <c r="AH183" s="409" t="s">
        <v>164</v>
      </c>
      <c r="AI183" s="409" t="s">
        <v>53</v>
      </c>
      <c r="AJ183" s="242" t="s">
        <v>2557</v>
      </c>
      <c r="AK183" s="242" t="s">
        <v>2419</v>
      </c>
      <c r="AL183" s="242" t="s">
        <v>2412</v>
      </c>
      <c r="AM183" s="242" t="s">
        <v>2419</v>
      </c>
      <c r="AN183" s="421" t="s">
        <v>2414</v>
      </c>
      <c r="AO183" s="421" t="s">
        <v>2415</v>
      </c>
      <c r="AP183" s="242" t="s">
        <v>1948</v>
      </c>
      <c r="AQ183" s="242" t="s">
        <v>3179</v>
      </c>
      <c r="AR183" s="242" t="s">
        <v>3180</v>
      </c>
      <c r="AS183" s="242" t="s">
        <v>2959</v>
      </c>
      <c r="AT183" s="797">
        <v>7</v>
      </c>
      <c r="AU183" s="242" t="s">
        <v>3479</v>
      </c>
      <c r="AV183" s="193"/>
      <c r="AW183" s="191"/>
    </row>
    <row r="184" spans="1:49" ht="17.149999999999999" customHeight="1">
      <c r="A184" s="395"/>
      <c r="B184" s="342" t="s">
        <v>1135</v>
      </c>
      <c r="C184" s="213" t="s">
        <v>1136</v>
      </c>
      <c r="D184" s="228" t="s">
        <v>3734</v>
      </c>
      <c r="E184" s="229">
        <v>5.08</v>
      </c>
      <c r="F184" s="230" t="s">
        <v>1137</v>
      </c>
      <c r="G184" s="231" t="s">
        <v>0</v>
      </c>
      <c r="H184" s="232" t="s">
        <v>4508</v>
      </c>
      <c r="I184" s="233">
        <v>99.85</v>
      </c>
      <c r="J184" s="234">
        <v>102.32000000000001</v>
      </c>
      <c r="K184" s="235">
        <v>2.5333000000000001</v>
      </c>
      <c r="L184" s="236">
        <v>102.38</v>
      </c>
      <c r="M184" s="234">
        <v>104.85</v>
      </c>
      <c r="N184" s="237">
        <v>2</v>
      </c>
      <c r="O184" s="233">
        <v>106.85</v>
      </c>
      <c r="P184" s="238">
        <v>5.4699999999999999E-2</v>
      </c>
      <c r="Q184" s="239">
        <v>5.0200000000000002E-2</v>
      </c>
      <c r="R184" s="239" t="s">
        <v>550</v>
      </c>
      <c r="S184" s="240" t="s">
        <v>1745</v>
      </c>
      <c r="T184" s="240"/>
      <c r="U184" s="240" t="s">
        <v>1767</v>
      </c>
      <c r="V184" s="241">
        <v>4.2404000000000002</v>
      </c>
      <c r="W184" s="241"/>
      <c r="X184" s="240"/>
      <c r="Y184" s="402">
        <v>0.06</v>
      </c>
      <c r="Z184" s="403">
        <v>2</v>
      </c>
      <c r="AA184" s="404" t="s">
        <v>1497</v>
      </c>
      <c r="AB184" s="405" t="s">
        <v>3181</v>
      </c>
      <c r="AC184" s="406">
        <v>104.32000000000001</v>
      </c>
      <c r="AD184" s="406">
        <v>11</v>
      </c>
      <c r="AE184" s="402" t="s">
        <v>2410</v>
      </c>
      <c r="AF184" s="402" t="s">
        <v>2782</v>
      </c>
      <c r="AG184" s="402" t="s">
        <v>3890</v>
      </c>
      <c r="AH184" s="402" t="s">
        <v>163</v>
      </c>
      <c r="AI184" s="402" t="s">
        <v>183</v>
      </c>
      <c r="AJ184" s="407" t="s">
        <v>4398</v>
      </c>
      <c r="AK184" s="407" t="s">
        <v>2419</v>
      </c>
      <c r="AL184" s="407" t="s">
        <v>2412</v>
      </c>
      <c r="AM184" s="407" t="s">
        <v>2419</v>
      </c>
      <c r="AN184" s="420" t="s">
        <v>2414</v>
      </c>
      <c r="AO184" s="420" t="s">
        <v>2415</v>
      </c>
      <c r="AP184" s="407" t="s">
        <v>1943</v>
      </c>
      <c r="AQ184" s="407" t="s">
        <v>2786</v>
      </c>
      <c r="AR184" s="407" t="s">
        <v>2786</v>
      </c>
      <c r="AS184" s="407" t="s">
        <v>3182</v>
      </c>
      <c r="AT184" s="798" t="s">
        <v>2419</v>
      </c>
      <c r="AU184" s="407" t="s">
        <v>3476</v>
      </c>
      <c r="AV184" s="408"/>
      <c r="AW184" s="191"/>
    </row>
    <row r="185" spans="1:49" ht="17">
      <c r="A185" s="395"/>
      <c r="B185" s="342" t="s">
        <v>1138</v>
      </c>
      <c r="C185" s="213" t="s">
        <v>1139</v>
      </c>
      <c r="D185" s="214" t="s">
        <v>3787</v>
      </c>
      <c r="E185" s="215">
        <v>16.57</v>
      </c>
      <c r="F185" s="216" t="s">
        <v>1140</v>
      </c>
      <c r="G185" s="217" t="s">
        <v>0</v>
      </c>
      <c r="H185" s="218" t="s">
        <v>4505</v>
      </c>
      <c r="I185" s="219">
        <v>95.38</v>
      </c>
      <c r="J185" s="220">
        <v>97.350000000000009</v>
      </c>
      <c r="K185" s="221">
        <v>2.9062999999999999</v>
      </c>
      <c r="L185" s="222">
        <v>98.29</v>
      </c>
      <c r="M185" s="220">
        <v>100.26</v>
      </c>
      <c r="N185" s="223">
        <v>3</v>
      </c>
      <c r="O185" s="219">
        <v>103.26</v>
      </c>
      <c r="P185" s="224">
        <v>7.0199999999999999E-2</v>
      </c>
      <c r="Q185" s="225">
        <v>6.7100000000000007E-2</v>
      </c>
      <c r="R185" s="225" t="s">
        <v>557</v>
      </c>
      <c r="S185" s="226" t="s">
        <v>1745</v>
      </c>
      <c r="T185" s="226"/>
      <c r="U185" s="226" t="s">
        <v>1767</v>
      </c>
      <c r="V185" s="227">
        <v>9.5225000000000009</v>
      </c>
      <c r="W185" s="227"/>
      <c r="X185" s="226"/>
      <c r="Y185" s="409">
        <v>6.7500000000000004E-2</v>
      </c>
      <c r="Z185" s="410">
        <v>2</v>
      </c>
      <c r="AA185" s="192" t="s">
        <v>1433</v>
      </c>
      <c r="AB185" s="411" t="s">
        <v>3183</v>
      </c>
      <c r="AC185" s="412">
        <v>100.35000000000001</v>
      </c>
      <c r="AD185" s="412">
        <v>34</v>
      </c>
      <c r="AE185" s="409" t="s">
        <v>2410</v>
      </c>
      <c r="AF185" s="409" t="s">
        <v>2834</v>
      </c>
      <c r="AG185" s="409" t="s">
        <v>3886</v>
      </c>
      <c r="AH185" s="409" t="s">
        <v>172</v>
      </c>
      <c r="AI185" s="409" t="s">
        <v>101</v>
      </c>
      <c r="AJ185" s="242" t="s">
        <v>2444</v>
      </c>
      <c r="AK185" s="242" t="s">
        <v>2419</v>
      </c>
      <c r="AL185" s="242" t="s">
        <v>2412</v>
      </c>
      <c r="AM185" s="242" t="s">
        <v>2419</v>
      </c>
      <c r="AN185" s="421" t="s">
        <v>2414</v>
      </c>
      <c r="AO185" s="421" t="s">
        <v>2415</v>
      </c>
      <c r="AP185" s="242" t="s">
        <v>1943</v>
      </c>
      <c r="AQ185" s="242" t="s">
        <v>3184</v>
      </c>
      <c r="AR185" s="242" t="s">
        <v>3184</v>
      </c>
      <c r="AS185" s="242" t="s">
        <v>3185</v>
      </c>
      <c r="AT185" s="797" t="s">
        <v>2419</v>
      </c>
      <c r="AU185" s="242" t="s">
        <v>3476</v>
      </c>
      <c r="AV185" s="193"/>
      <c r="AW185" s="191"/>
    </row>
    <row r="186" spans="1:49" ht="17.149999999999999" customHeight="1">
      <c r="A186" s="395"/>
      <c r="B186" s="342" t="s">
        <v>1141</v>
      </c>
      <c r="C186" s="213" t="s">
        <v>1142</v>
      </c>
      <c r="D186" s="228" t="s">
        <v>3911</v>
      </c>
      <c r="E186" s="229">
        <v>23.22</v>
      </c>
      <c r="F186" s="230" t="s">
        <v>1143</v>
      </c>
      <c r="G186" s="231" t="s">
        <v>0</v>
      </c>
      <c r="H186" s="232" t="s">
        <v>4505</v>
      </c>
      <c r="I186" s="233">
        <v>65.34</v>
      </c>
      <c r="J186" s="234">
        <v>67.16</v>
      </c>
      <c r="K186" s="235">
        <v>1.8937999999999999</v>
      </c>
      <c r="L186" s="236">
        <v>67.23</v>
      </c>
      <c r="M186" s="234">
        <v>69.05</v>
      </c>
      <c r="N186" s="237">
        <v>3.5</v>
      </c>
      <c r="O186" s="233">
        <v>72.55</v>
      </c>
      <c r="P186" s="238">
        <v>0.1057</v>
      </c>
      <c r="Q186" s="239">
        <v>0.1003</v>
      </c>
      <c r="R186" s="239" t="s">
        <v>557</v>
      </c>
      <c r="S186" s="240" t="s">
        <v>1745</v>
      </c>
      <c r="T186" s="240"/>
      <c r="U186" s="240" t="s">
        <v>1767</v>
      </c>
      <c r="V186" s="241">
        <v>9.0693999999999999</v>
      </c>
      <c r="W186" s="241"/>
      <c r="X186" s="240"/>
      <c r="Y186" s="402">
        <v>6.7500000000000004E-2</v>
      </c>
      <c r="Z186" s="403">
        <v>2</v>
      </c>
      <c r="AA186" s="404" t="s">
        <v>1444</v>
      </c>
      <c r="AB186" s="405" t="s">
        <v>3186</v>
      </c>
      <c r="AC186" s="406">
        <v>70.66</v>
      </c>
      <c r="AD186" s="406">
        <v>47</v>
      </c>
      <c r="AE186" s="402" t="s">
        <v>2410</v>
      </c>
      <c r="AF186" s="402" t="s">
        <v>3187</v>
      </c>
      <c r="AG186" s="402" t="s">
        <v>4025</v>
      </c>
      <c r="AH186" s="402" t="s">
        <v>172</v>
      </c>
      <c r="AI186" s="402" t="s">
        <v>55</v>
      </c>
      <c r="AJ186" s="407" t="s">
        <v>2579</v>
      </c>
      <c r="AK186" s="407" t="s">
        <v>2419</v>
      </c>
      <c r="AL186" s="407" t="s">
        <v>2412</v>
      </c>
      <c r="AM186" s="407" t="s">
        <v>2419</v>
      </c>
      <c r="AN186" s="420" t="s">
        <v>2414</v>
      </c>
      <c r="AO186" s="420" t="s">
        <v>2415</v>
      </c>
      <c r="AP186" s="407" t="s">
        <v>1943</v>
      </c>
      <c r="AQ186" s="407" t="s">
        <v>3188</v>
      </c>
      <c r="AR186" s="407" t="s">
        <v>3189</v>
      </c>
      <c r="AS186" s="407" t="s">
        <v>3190</v>
      </c>
      <c r="AT186" s="798" t="s">
        <v>2419</v>
      </c>
      <c r="AU186" s="798" t="s">
        <v>3476</v>
      </c>
      <c r="AV186" s="408"/>
      <c r="AW186" s="191"/>
    </row>
    <row r="187" spans="1:49" ht="17">
      <c r="A187" s="395"/>
      <c r="B187" s="342" t="s">
        <v>1144</v>
      </c>
      <c r="C187" s="213" t="s">
        <v>3467</v>
      </c>
      <c r="D187" s="214" t="s">
        <v>4527</v>
      </c>
      <c r="E187" s="215">
        <v>26.2</v>
      </c>
      <c r="F187" s="216" t="s">
        <v>3468</v>
      </c>
      <c r="G187" s="217" t="s">
        <v>0</v>
      </c>
      <c r="H187" s="218" t="s">
        <v>4505</v>
      </c>
      <c r="I187" s="219">
        <v>61.66</v>
      </c>
      <c r="J187" s="220">
        <v>63.5</v>
      </c>
      <c r="K187" s="221">
        <v>0.74309999999999998</v>
      </c>
      <c r="L187" s="222">
        <v>62.4</v>
      </c>
      <c r="M187" s="220">
        <v>64.239999999999995</v>
      </c>
      <c r="N187" s="223">
        <v>3</v>
      </c>
      <c r="O187" s="219">
        <v>67.239999999999995</v>
      </c>
      <c r="P187" s="224">
        <v>5.0200000000000002E-2</v>
      </c>
      <c r="Q187" s="225">
        <v>4.7500000000000001E-2</v>
      </c>
      <c r="R187" s="225" t="s">
        <v>557</v>
      </c>
      <c r="S187" s="226" t="s">
        <v>1746</v>
      </c>
      <c r="T187" s="226"/>
      <c r="U187" s="226">
        <v>4.7800000000000002E-2</v>
      </c>
      <c r="V187" s="227">
        <v>16.7669</v>
      </c>
      <c r="W187" s="227"/>
      <c r="X187" s="226"/>
      <c r="Y187" s="409">
        <v>2.5000000000000001E-2</v>
      </c>
      <c r="Z187" s="410">
        <v>2</v>
      </c>
      <c r="AA187" s="192" t="s">
        <v>1843</v>
      </c>
      <c r="AB187" s="411" t="s">
        <v>3095</v>
      </c>
      <c r="AC187" s="412">
        <v>66.5</v>
      </c>
      <c r="AD187" s="412">
        <v>53</v>
      </c>
      <c r="AE187" s="409" t="s">
        <v>2410</v>
      </c>
      <c r="AF187" s="409" t="s">
        <v>2491</v>
      </c>
      <c r="AG187" s="409" t="s">
        <v>4021</v>
      </c>
      <c r="AH187" s="409" t="s">
        <v>165</v>
      </c>
      <c r="AI187" s="409" t="s">
        <v>48</v>
      </c>
      <c r="AJ187" s="242" t="s">
        <v>2506</v>
      </c>
      <c r="AK187" s="242" t="s">
        <v>3191</v>
      </c>
      <c r="AL187" s="242" t="s">
        <v>2412</v>
      </c>
      <c r="AM187" s="242" t="s">
        <v>2413</v>
      </c>
      <c r="AN187" s="421" t="s">
        <v>2414</v>
      </c>
      <c r="AO187" s="421" t="s">
        <v>2415</v>
      </c>
      <c r="AP187" s="242" t="s">
        <v>1945</v>
      </c>
      <c r="AQ187" s="242" t="s">
        <v>2970</v>
      </c>
      <c r="AR187" s="242" t="s">
        <v>2490</v>
      </c>
      <c r="AS187" s="242" t="s">
        <v>2491</v>
      </c>
      <c r="AT187" s="797" t="s">
        <v>2419</v>
      </c>
      <c r="AU187" s="242" t="s">
        <v>3476</v>
      </c>
      <c r="AV187" s="193"/>
      <c r="AW187" s="191"/>
    </row>
    <row r="188" spans="1:49" ht="17.149999999999999" customHeight="1">
      <c r="A188" s="395"/>
      <c r="B188" s="342" t="s">
        <v>1145</v>
      </c>
      <c r="C188" s="213" t="s">
        <v>1146</v>
      </c>
      <c r="D188" s="228" t="s">
        <v>1147</v>
      </c>
      <c r="E188" s="229">
        <v>7.82</v>
      </c>
      <c r="F188" s="230" t="s">
        <v>1148</v>
      </c>
      <c r="G188" s="231" t="s">
        <v>0</v>
      </c>
      <c r="H188" s="232" t="s">
        <v>4508</v>
      </c>
      <c r="I188" s="233">
        <v>85.5</v>
      </c>
      <c r="J188" s="234">
        <v>86.960000000000008</v>
      </c>
      <c r="K188" s="235">
        <v>0.6492</v>
      </c>
      <c r="L188" s="236">
        <v>86.15</v>
      </c>
      <c r="M188" s="234">
        <v>87.61</v>
      </c>
      <c r="N188" s="237">
        <v>2</v>
      </c>
      <c r="O188" s="233">
        <v>89.61</v>
      </c>
      <c r="P188" s="238">
        <v>5.62E-2</v>
      </c>
      <c r="Q188" s="239">
        <v>5.28E-2</v>
      </c>
      <c r="R188" s="239" t="s">
        <v>550</v>
      </c>
      <c r="S188" s="240" t="s">
        <v>1745</v>
      </c>
      <c r="T188" s="240"/>
      <c r="U188" s="240">
        <v>5.3900000000000003E-2</v>
      </c>
      <c r="V188" s="241">
        <v>6.5868000000000002</v>
      </c>
      <c r="W188" s="241"/>
      <c r="X188" s="240"/>
      <c r="Y188" s="402">
        <v>3.5409999999999997E-2</v>
      </c>
      <c r="Z188" s="403">
        <v>2</v>
      </c>
      <c r="AA188" s="404" t="s">
        <v>1499</v>
      </c>
      <c r="AB188" s="405" t="s">
        <v>3193</v>
      </c>
      <c r="AC188" s="406">
        <v>88.960000000000008</v>
      </c>
      <c r="AD188" s="406">
        <v>16</v>
      </c>
      <c r="AE188" s="402" t="s">
        <v>2410</v>
      </c>
      <c r="AF188" s="402" t="s">
        <v>2603</v>
      </c>
      <c r="AG188" s="402" t="s">
        <v>4124</v>
      </c>
      <c r="AH188" s="402" t="s">
        <v>166</v>
      </c>
      <c r="AI188" s="402" t="s">
        <v>259</v>
      </c>
      <c r="AJ188" s="407" t="s">
        <v>3828</v>
      </c>
      <c r="AK188" s="407" t="s">
        <v>3194</v>
      </c>
      <c r="AL188" s="407" t="s">
        <v>2412</v>
      </c>
      <c r="AM188" s="407" t="s">
        <v>2413</v>
      </c>
      <c r="AN188" s="420" t="s">
        <v>2414</v>
      </c>
      <c r="AO188" s="420" t="s">
        <v>2415</v>
      </c>
      <c r="AP188" s="407" t="s">
        <v>1943</v>
      </c>
      <c r="AQ188" s="407" t="s">
        <v>3195</v>
      </c>
      <c r="AR188" s="407" t="s">
        <v>3195</v>
      </c>
      <c r="AS188" s="407" t="s">
        <v>3196</v>
      </c>
      <c r="AT188" s="798" t="s">
        <v>2419</v>
      </c>
      <c r="AU188" s="407" t="s">
        <v>3476</v>
      </c>
      <c r="AV188" s="408"/>
      <c r="AW188" s="191"/>
    </row>
    <row r="189" spans="1:49" ht="17">
      <c r="A189" s="395"/>
      <c r="B189" s="342" t="s">
        <v>1149</v>
      </c>
      <c r="C189" s="213" t="s">
        <v>1150</v>
      </c>
      <c r="D189" s="214" t="s">
        <v>710</v>
      </c>
      <c r="E189" s="215">
        <v>17.079999999999998</v>
      </c>
      <c r="F189" s="216" t="s">
        <v>1151</v>
      </c>
      <c r="G189" s="217" t="s">
        <v>0</v>
      </c>
      <c r="H189" s="218" t="s">
        <v>4505</v>
      </c>
      <c r="I189" s="219">
        <v>77.260000000000005</v>
      </c>
      <c r="J189" s="220">
        <v>78.990000000000009</v>
      </c>
      <c r="K189" s="221">
        <v>2.0832999999999999</v>
      </c>
      <c r="L189" s="222">
        <v>79.34</v>
      </c>
      <c r="M189" s="220">
        <v>81.069999999999993</v>
      </c>
      <c r="N189" s="223">
        <v>3</v>
      </c>
      <c r="O189" s="219">
        <v>84.07</v>
      </c>
      <c r="P189" s="224">
        <v>7.1499999999999994E-2</v>
      </c>
      <c r="Q189" s="225">
        <v>6.8000000000000005E-2</v>
      </c>
      <c r="R189" s="225" t="s">
        <v>550</v>
      </c>
      <c r="S189" s="226" t="s">
        <v>1776</v>
      </c>
      <c r="T189" s="226"/>
      <c r="U189" s="226">
        <v>6.83E-2</v>
      </c>
      <c r="V189" s="227">
        <v>10.2904</v>
      </c>
      <c r="W189" s="227"/>
      <c r="X189" s="226"/>
      <c r="Y189" s="409">
        <v>0.05</v>
      </c>
      <c r="Z189" s="410">
        <v>2</v>
      </c>
      <c r="AA189" s="192" t="s">
        <v>1500</v>
      </c>
      <c r="AB189" s="411" t="s">
        <v>3197</v>
      </c>
      <c r="AC189" s="412">
        <v>81.990000000000009</v>
      </c>
      <c r="AD189" s="412">
        <v>35</v>
      </c>
      <c r="AE189" s="409" t="s">
        <v>2410</v>
      </c>
      <c r="AF189" s="409" t="s">
        <v>3198</v>
      </c>
      <c r="AG189" s="409" t="s">
        <v>3893</v>
      </c>
      <c r="AH189" s="409" t="s">
        <v>171</v>
      </c>
      <c r="AI189" s="409" t="s">
        <v>260</v>
      </c>
      <c r="AJ189" s="242" t="s">
        <v>4014</v>
      </c>
      <c r="AK189" s="242" t="s">
        <v>3199</v>
      </c>
      <c r="AL189" s="242" t="s">
        <v>2412</v>
      </c>
      <c r="AM189" s="242" t="s">
        <v>2413</v>
      </c>
      <c r="AN189" s="421" t="s">
        <v>2414</v>
      </c>
      <c r="AO189" s="421" t="s">
        <v>2415</v>
      </c>
      <c r="AP189" s="242" t="s">
        <v>1943</v>
      </c>
      <c r="AQ189" s="242" t="s">
        <v>3200</v>
      </c>
      <c r="AR189" s="242" t="s">
        <v>3200</v>
      </c>
      <c r="AS189" s="242" t="s">
        <v>3201</v>
      </c>
      <c r="AT189" s="797" t="s">
        <v>2419</v>
      </c>
      <c r="AU189" s="242" t="s">
        <v>3476</v>
      </c>
      <c r="AV189" s="193"/>
      <c r="AW189" s="191"/>
    </row>
    <row r="190" spans="1:49" ht="17.149999999999999" customHeight="1">
      <c r="A190" s="395"/>
      <c r="B190" s="342" t="s">
        <v>1152</v>
      </c>
      <c r="C190" s="213" t="s">
        <v>1153</v>
      </c>
      <c r="D190" s="228" t="s">
        <v>1083</v>
      </c>
      <c r="E190" s="229">
        <v>6.21</v>
      </c>
      <c r="F190" s="230" t="s">
        <v>1154</v>
      </c>
      <c r="G190" s="231" t="s">
        <v>0</v>
      </c>
      <c r="H190" s="232" t="s">
        <v>4505</v>
      </c>
      <c r="I190" s="233">
        <v>92.13</v>
      </c>
      <c r="J190" s="234">
        <v>93.67</v>
      </c>
      <c r="K190" s="235">
        <v>1.4029</v>
      </c>
      <c r="L190" s="236">
        <v>93.53</v>
      </c>
      <c r="M190" s="234">
        <v>95.07</v>
      </c>
      <c r="N190" s="237">
        <v>2</v>
      </c>
      <c r="O190" s="233">
        <v>97.07</v>
      </c>
      <c r="P190" s="238">
        <v>6.0499999999999998E-2</v>
      </c>
      <c r="Q190" s="239">
        <v>5.6399999999999999E-2</v>
      </c>
      <c r="R190" s="239" t="s">
        <v>550</v>
      </c>
      <c r="S190" s="240" t="s">
        <v>1745</v>
      </c>
      <c r="T190" s="240"/>
      <c r="U190" s="240">
        <v>5.6800000000000003E-2</v>
      </c>
      <c r="V190" s="241">
        <v>5.1802000000000001</v>
      </c>
      <c r="W190" s="241"/>
      <c r="X190" s="240"/>
      <c r="Y190" s="402">
        <v>4.8099999999999997E-2</v>
      </c>
      <c r="Z190" s="403">
        <v>2</v>
      </c>
      <c r="AA190" s="404" t="s">
        <v>3202</v>
      </c>
      <c r="AB190" s="405" t="s">
        <v>3203</v>
      </c>
      <c r="AC190" s="406">
        <v>95.67</v>
      </c>
      <c r="AD190" s="406">
        <v>13</v>
      </c>
      <c r="AE190" s="402" t="s">
        <v>2410</v>
      </c>
      <c r="AF190" s="402" t="s">
        <v>2443</v>
      </c>
      <c r="AG190" s="402" t="s">
        <v>4024</v>
      </c>
      <c r="AH190" s="402" t="s">
        <v>170</v>
      </c>
      <c r="AI190" s="402" t="s">
        <v>156</v>
      </c>
      <c r="AJ190" s="407" t="s">
        <v>3469</v>
      </c>
      <c r="AK190" s="407" t="s">
        <v>3204</v>
      </c>
      <c r="AL190" s="407" t="s">
        <v>2412</v>
      </c>
      <c r="AM190" s="407" t="s">
        <v>2413</v>
      </c>
      <c r="AN190" s="420" t="s">
        <v>2414</v>
      </c>
      <c r="AO190" s="420" t="s">
        <v>2415</v>
      </c>
      <c r="AP190" s="407" t="s">
        <v>1943</v>
      </c>
      <c r="AQ190" s="407" t="s">
        <v>3205</v>
      </c>
      <c r="AR190" s="407" t="s">
        <v>3205</v>
      </c>
      <c r="AS190" s="407" t="s">
        <v>3206</v>
      </c>
      <c r="AT190" s="798" t="s">
        <v>2419</v>
      </c>
      <c r="AU190" s="407" t="s">
        <v>3476</v>
      </c>
      <c r="AV190" s="408"/>
      <c r="AW190" s="191"/>
    </row>
    <row r="191" spans="1:49" ht="17">
      <c r="A191" s="395"/>
      <c r="B191" s="342" t="s">
        <v>1155</v>
      </c>
      <c r="C191" s="213" t="s">
        <v>1156</v>
      </c>
      <c r="D191" s="214" t="s">
        <v>710</v>
      </c>
      <c r="E191" s="215">
        <v>25.83</v>
      </c>
      <c r="F191" s="216" t="s">
        <v>280</v>
      </c>
      <c r="G191" s="217" t="s">
        <v>0</v>
      </c>
      <c r="H191" s="218" t="s">
        <v>4505</v>
      </c>
      <c r="I191" s="219">
        <v>89.43</v>
      </c>
      <c r="J191" s="220">
        <v>91.12</v>
      </c>
      <c r="K191" s="221">
        <v>0.98360000000000003</v>
      </c>
      <c r="L191" s="222">
        <v>90.41</v>
      </c>
      <c r="M191" s="220">
        <v>92.1</v>
      </c>
      <c r="N191" s="223">
        <v>3.5</v>
      </c>
      <c r="O191" s="219">
        <v>95.6</v>
      </c>
      <c r="P191" s="224">
        <v>6.5199999999999994E-2</v>
      </c>
      <c r="Q191" s="225">
        <v>6.2300000000000001E-2</v>
      </c>
      <c r="R191" s="225" t="s">
        <v>557</v>
      </c>
      <c r="S191" s="226" t="s">
        <v>1745</v>
      </c>
      <c r="T191" s="226"/>
      <c r="U191" s="226">
        <v>6.2300000000000001E-2</v>
      </c>
      <c r="V191" s="227">
        <v>12.670400000000001</v>
      </c>
      <c r="W191" s="227"/>
      <c r="X191" s="226"/>
      <c r="Y191" s="409">
        <v>5.8049999999999997E-2</v>
      </c>
      <c r="Z191" s="410">
        <v>2</v>
      </c>
      <c r="AA191" s="192" t="s">
        <v>1419</v>
      </c>
      <c r="AB191" s="411" t="s">
        <v>3107</v>
      </c>
      <c r="AC191" s="412">
        <v>94.62</v>
      </c>
      <c r="AD191" s="412">
        <v>52</v>
      </c>
      <c r="AE191" s="409" t="s">
        <v>2410</v>
      </c>
      <c r="AF191" s="409" t="s">
        <v>2707</v>
      </c>
      <c r="AG191" s="409" t="s">
        <v>4139</v>
      </c>
      <c r="AH191" s="409" t="s">
        <v>171</v>
      </c>
      <c r="AI191" s="409" t="s">
        <v>69</v>
      </c>
      <c r="AJ191" s="242" t="s">
        <v>2957</v>
      </c>
      <c r="AK191" s="242" t="s">
        <v>3108</v>
      </c>
      <c r="AL191" s="242" t="s">
        <v>2412</v>
      </c>
      <c r="AM191" s="242" t="s">
        <v>2413</v>
      </c>
      <c r="AN191" s="421" t="s">
        <v>2414</v>
      </c>
      <c r="AO191" s="421" t="s">
        <v>2415</v>
      </c>
      <c r="AP191" s="242" t="s">
        <v>1945</v>
      </c>
      <c r="AQ191" s="242" t="s">
        <v>2959</v>
      </c>
      <c r="AR191" s="242" t="s">
        <v>2959</v>
      </c>
      <c r="AS191" s="242" t="s">
        <v>2960</v>
      </c>
      <c r="AT191" s="797" t="s">
        <v>2419</v>
      </c>
      <c r="AU191" s="242" t="s">
        <v>3476</v>
      </c>
      <c r="AV191" s="193"/>
      <c r="AW191" s="191"/>
    </row>
    <row r="192" spans="1:49" ht="17.149999999999999" customHeight="1">
      <c r="A192" s="395"/>
      <c r="B192" s="342" t="s">
        <v>1157</v>
      </c>
      <c r="C192" s="213" t="s">
        <v>1158</v>
      </c>
      <c r="D192" s="228" t="s">
        <v>4034</v>
      </c>
      <c r="E192" s="229">
        <v>3.84</v>
      </c>
      <c r="F192" s="230" t="s">
        <v>1160</v>
      </c>
      <c r="G192" s="231" t="s">
        <v>0</v>
      </c>
      <c r="H192" s="232" t="s">
        <v>4505</v>
      </c>
      <c r="I192" s="233">
        <v>90.53</v>
      </c>
      <c r="J192" s="234">
        <v>92.68</v>
      </c>
      <c r="K192" s="235">
        <v>0.67600000000000005</v>
      </c>
      <c r="L192" s="236">
        <v>91.21</v>
      </c>
      <c r="M192" s="234">
        <v>93.36</v>
      </c>
      <c r="N192" s="237">
        <v>1.5</v>
      </c>
      <c r="O192" s="233">
        <v>94.86</v>
      </c>
      <c r="P192" s="238">
        <v>6.3E-2</v>
      </c>
      <c r="Q192" s="239">
        <v>5.8400000000000001E-2</v>
      </c>
      <c r="R192" s="239" t="s">
        <v>550</v>
      </c>
      <c r="S192" s="240" t="s">
        <v>1745</v>
      </c>
      <c r="T192" s="240"/>
      <c r="U192" s="240">
        <v>5.91E-2</v>
      </c>
      <c r="V192" s="241">
        <v>3.4407000000000001</v>
      </c>
      <c r="W192" s="241"/>
      <c r="X192" s="240"/>
      <c r="Y192" s="402">
        <v>4.1250000000000002E-2</v>
      </c>
      <c r="Z192" s="403">
        <v>2</v>
      </c>
      <c r="AA192" s="404" t="s">
        <v>4399</v>
      </c>
      <c r="AB192" s="405" t="s">
        <v>3207</v>
      </c>
      <c r="AC192" s="406">
        <v>94.18</v>
      </c>
      <c r="AD192" s="406">
        <v>8</v>
      </c>
      <c r="AE192" s="402" t="s">
        <v>2410</v>
      </c>
      <c r="AF192" s="402" t="s">
        <v>2473</v>
      </c>
      <c r="AG192" s="402" t="s">
        <v>4197</v>
      </c>
      <c r="AH192" s="402" t="s">
        <v>166</v>
      </c>
      <c r="AI192" s="402" t="s">
        <v>261</v>
      </c>
      <c r="AJ192" s="407" t="s">
        <v>2562</v>
      </c>
      <c r="AK192" s="407" t="s">
        <v>3208</v>
      </c>
      <c r="AL192" s="407" t="s">
        <v>2412</v>
      </c>
      <c r="AM192" s="407" t="s">
        <v>2413</v>
      </c>
      <c r="AN192" s="420" t="s">
        <v>2414</v>
      </c>
      <c r="AO192" s="420" t="s">
        <v>2415</v>
      </c>
      <c r="AP192" s="407" t="s">
        <v>1943</v>
      </c>
      <c r="AQ192" s="407" t="s">
        <v>3209</v>
      </c>
      <c r="AR192" s="407" t="s">
        <v>3209</v>
      </c>
      <c r="AS192" s="407" t="s">
        <v>3210</v>
      </c>
      <c r="AT192" s="798" t="s">
        <v>2419</v>
      </c>
      <c r="AU192" s="407" t="s">
        <v>3476</v>
      </c>
      <c r="AV192" s="408"/>
      <c r="AW192" s="191"/>
    </row>
    <row r="193" spans="1:49" ht="17">
      <c r="A193" s="395"/>
      <c r="B193" s="342" t="s">
        <v>1161</v>
      </c>
      <c r="C193" s="213" t="s">
        <v>1162</v>
      </c>
      <c r="D193" s="214" t="s">
        <v>1163</v>
      </c>
      <c r="E193" s="215">
        <v>6.7</v>
      </c>
      <c r="F193" s="216" t="s">
        <v>1164</v>
      </c>
      <c r="G193" s="217" t="s">
        <v>0</v>
      </c>
      <c r="H193" s="218" t="s">
        <v>4505</v>
      </c>
      <c r="I193" s="219">
        <v>87.62</v>
      </c>
      <c r="J193" s="220">
        <v>88.84</v>
      </c>
      <c r="K193" s="221">
        <v>1.0773999999999999</v>
      </c>
      <c r="L193" s="222">
        <v>88.7</v>
      </c>
      <c r="M193" s="220">
        <v>89.92</v>
      </c>
      <c r="N193" s="223">
        <v>2</v>
      </c>
      <c r="O193" s="219">
        <v>91.92</v>
      </c>
      <c r="P193" s="224">
        <v>5.6500000000000002E-2</v>
      </c>
      <c r="Q193" s="225">
        <v>5.2600000000000001E-2</v>
      </c>
      <c r="R193" s="225" t="s">
        <v>557</v>
      </c>
      <c r="S193" s="226" t="s">
        <v>1745</v>
      </c>
      <c r="T193" s="226"/>
      <c r="U193" s="226">
        <v>5.3199999999999997E-2</v>
      </c>
      <c r="V193" s="227">
        <v>5.7336</v>
      </c>
      <c r="W193" s="227"/>
      <c r="X193" s="226"/>
      <c r="Y193" s="409">
        <v>3.6249999999999998E-2</v>
      </c>
      <c r="Z193" s="410">
        <v>2</v>
      </c>
      <c r="AA193" s="192" t="s">
        <v>1502</v>
      </c>
      <c r="AB193" s="411" t="s">
        <v>3211</v>
      </c>
      <c r="AC193" s="412">
        <v>90.84</v>
      </c>
      <c r="AD193" s="412">
        <v>14</v>
      </c>
      <c r="AE193" s="409" t="s">
        <v>2410</v>
      </c>
      <c r="AF193" s="409" t="s">
        <v>2491</v>
      </c>
      <c r="AG193" s="409" t="s">
        <v>4021</v>
      </c>
      <c r="AH193" s="409" t="s">
        <v>170</v>
      </c>
      <c r="AI193" s="409" t="s">
        <v>262</v>
      </c>
      <c r="AJ193" s="242" t="s">
        <v>3212</v>
      </c>
      <c r="AK193" s="242" t="s">
        <v>3213</v>
      </c>
      <c r="AL193" s="242" t="s">
        <v>2412</v>
      </c>
      <c r="AM193" s="242" t="s">
        <v>2413</v>
      </c>
      <c r="AN193" s="421" t="s">
        <v>2414</v>
      </c>
      <c r="AO193" s="421" t="s">
        <v>2415</v>
      </c>
      <c r="AP193" s="242" t="s">
        <v>1945</v>
      </c>
      <c r="AQ193" s="242" t="s">
        <v>3214</v>
      </c>
      <c r="AR193" s="242" t="s">
        <v>3214</v>
      </c>
      <c r="AS193" s="242" t="s">
        <v>3192</v>
      </c>
      <c r="AT193" s="797" t="s">
        <v>2419</v>
      </c>
      <c r="AU193" s="242" t="s">
        <v>3476</v>
      </c>
      <c r="AV193" s="193"/>
      <c r="AW193" s="191"/>
    </row>
    <row r="194" spans="1:49" ht="17.149999999999999" customHeight="1">
      <c r="A194" s="395"/>
      <c r="B194" s="342" t="s">
        <v>1165</v>
      </c>
      <c r="C194" s="213" t="s">
        <v>1166</v>
      </c>
      <c r="D194" s="228" t="s">
        <v>765</v>
      </c>
      <c r="E194" s="229">
        <v>25.91</v>
      </c>
      <c r="F194" s="230" t="s">
        <v>286</v>
      </c>
      <c r="G194" s="231" t="s">
        <v>0</v>
      </c>
      <c r="H194" s="232" t="s">
        <v>4505</v>
      </c>
      <c r="I194" s="233">
        <v>66.849999999999994</v>
      </c>
      <c r="J194" s="234">
        <v>68.47</v>
      </c>
      <c r="K194" s="235">
        <v>0.27989999999999998</v>
      </c>
      <c r="L194" s="236">
        <v>67.13</v>
      </c>
      <c r="M194" s="234">
        <v>68.75</v>
      </c>
      <c r="N194" s="237">
        <v>3.5</v>
      </c>
      <c r="O194" s="233">
        <v>72.25</v>
      </c>
      <c r="P194" s="238">
        <v>5.5599999999999997E-2</v>
      </c>
      <c r="Q194" s="239">
        <v>5.2400000000000002E-2</v>
      </c>
      <c r="R194" s="239" t="s">
        <v>557</v>
      </c>
      <c r="S194" s="240" t="s">
        <v>1745</v>
      </c>
      <c r="T194" s="240"/>
      <c r="U194" s="240">
        <v>5.2600000000000001E-2</v>
      </c>
      <c r="V194" s="241">
        <v>15.3908</v>
      </c>
      <c r="W194" s="241"/>
      <c r="X194" s="240"/>
      <c r="Y194" s="402">
        <v>3.2500000000000001E-2</v>
      </c>
      <c r="Z194" s="403">
        <v>2</v>
      </c>
      <c r="AA194" s="404" t="s">
        <v>1386</v>
      </c>
      <c r="AB194" s="405" t="s">
        <v>3215</v>
      </c>
      <c r="AC194" s="406">
        <v>71.97</v>
      </c>
      <c r="AD194" s="406">
        <v>52</v>
      </c>
      <c r="AE194" s="402" t="s">
        <v>2410</v>
      </c>
      <c r="AF194" s="402" t="s">
        <v>3465</v>
      </c>
      <c r="AG194" s="402" t="s">
        <v>4420</v>
      </c>
      <c r="AH194" s="402" t="s">
        <v>162</v>
      </c>
      <c r="AI194" s="402" t="s">
        <v>3216</v>
      </c>
      <c r="AJ194" s="407" t="s">
        <v>3861</v>
      </c>
      <c r="AK194" s="407" t="s">
        <v>3217</v>
      </c>
      <c r="AL194" s="407" t="s">
        <v>2412</v>
      </c>
      <c r="AM194" s="407" t="s">
        <v>2413</v>
      </c>
      <c r="AN194" s="420" t="s">
        <v>3034</v>
      </c>
      <c r="AO194" s="420" t="s">
        <v>2415</v>
      </c>
      <c r="AP194" s="407" t="s">
        <v>1945</v>
      </c>
      <c r="AQ194" s="407" t="s">
        <v>3113</v>
      </c>
      <c r="AR194" s="407" t="s">
        <v>3113</v>
      </c>
      <c r="AS194" s="407" t="s">
        <v>3028</v>
      </c>
      <c r="AT194" s="798" t="s">
        <v>2419</v>
      </c>
      <c r="AU194" s="407" t="s">
        <v>3476</v>
      </c>
      <c r="AV194" s="408"/>
      <c r="AW194" s="191"/>
    </row>
    <row r="195" spans="1:49" ht="17">
      <c r="A195" s="395"/>
      <c r="B195" s="342" t="s">
        <v>1167</v>
      </c>
      <c r="C195" s="213" t="s">
        <v>1168</v>
      </c>
      <c r="D195" s="214" t="s">
        <v>765</v>
      </c>
      <c r="E195" s="215">
        <v>25.87</v>
      </c>
      <c r="F195" s="216" t="s">
        <v>1170</v>
      </c>
      <c r="G195" s="217" t="s">
        <v>0</v>
      </c>
      <c r="H195" s="218" t="s">
        <v>4505</v>
      </c>
      <c r="I195" s="219">
        <v>62.73</v>
      </c>
      <c r="J195" s="220">
        <v>64.37</v>
      </c>
      <c r="K195" s="221">
        <v>0.3851</v>
      </c>
      <c r="L195" s="222">
        <v>63.12</v>
      </c>
      <c r="M195" s="220">
        <v>64.760000000000005</v>
      </c>
      <c r="N195" s="223">
        <v>3.5</v>
      </c>
      <c r="O195" s="219">
        <v>68.260000000000005</v>
      </c>
      <c r="P195" s="224">
        <v>5.5599999999999997E-2</v>
      </c>
      <c r="Q195" s="225">
        <v>5.2299999999999999E-2</v>
      </c>
      <c r="R195" s="225" t="s">
        <v>578</v>
      </c>
      <c r="S195" s="226" t="s">
        <v>1745</v>
      </c>
      <c r="T195" s="226"/>
      <c r="U195" s="226">
        <v>5.2600000000000001E-2</v>
      </c>
      <c r="V195" s="227">
        <v>15.682600000000001</v>
      </c>
      <c r="W195" s="227"/>
      <c r="X195" s="226"/>
      <c r="Y195" s="409">
        <v>2.9500000000000002E-2</v>
      </c>
      <c r="Z195" s="410">
        <v>2</v>
      </c>
      <c r="AA195" s="192" t="s">
        <v>1503</v>
      </c>
      <c r="AB195" s="411" t="s">
        <v>3110</v>
      </c>
      <c r="AC195" s="412">
        <v>67.87</v>
      </c>
      <c r="AD195" s="412">
        <v>52</v>
      </c>
      <c r="AE195" s="409" t="s">
        <v>2410</v>
      </c>
      <c r="AF195" s="409" t="s">
        <v>2609</v>
      </c>
      <c r="AG195" s="409" t="s">
        <v>4341</v>
      </c>
      <c r="AH195" s="409" t="s">
        <v>165</v>
      </c>
      <c r="AI195" s="409" t="s">
        <v>154</v>
      </c>
      <c r="AJ195" s="242" t="s">
        <v>3874</v>
      </c>
      <c r="AK195" s="242" t="s">
        <v>3112</v>
      </c>
      <c r="AL195" s="242" t="s">
        <v>2412</v>
      </c>
      <c r="AM195" s="242" t="s">
        <v>2413</v>
      </c>
      <c r="AN195" s="421" t="s">
        <v>2414</v>
      </c>
      <c r="AO195" s="421" t="s">
        <v>2415</v>
      </c>
      <c r="AP195" s="242" t="s">
        <v>1945</v>
      </c>
      <c r="AQ195" s="242" t="s">
        <v>3218</v>
      </c>
      <c r="AR195" s="242" t="s">
        <v>3218</v>
      </c>
      <c r="AS195" s="242" t="s">
        <v>3062</v>
      </c>
      <c r="AT195" s="797" t="s">
        <v>2419</v>
      </c>
      <c r="AU195" s="242" t="s">
        <v>3476</v>
      </c>
      <c r="AV195" s="193"/>
      <c r="AW195" s="191"/>
    </row>
    <row r="196" spans="1:49" ht="17.149999999999999" customHeight="1">
      <c r="A196" s="395"/>
      <c r="B196" s="342" t="s">
        <v>1171</v>
      </c>
      <c r="C196" s="213" t="s">
        <v>1172</v>
      </c>
      <c r="D196" s="228" t="s">
        <v>2308</v>
      </c>
      <c r="E196" s="229">
        <v>7.29</v>
      </c>
      <c r="F196" s="230" t="s">
        <v>1173</v>
      </c>
      <c r="G196" s="231" t="s">
        <v>0</v>
      </c>
      <c r="H196" s="232" t="s">
        <v>4505</v>
      </c>
      <c r="I196" s="233">
        <v>82.51</v>
      </c>
      <c r="J196" s="234">
        <v>85.15</v>
      </c>
      <c r="K196" s="235">
        <v>0.82879999999999998</v>
      </c>
      <c r="L196" s="236">
        <v>83.34</v>
      </c>
      <c r="M196" s="234">
        <v>85.98</v>
      </c>
      <c r="N196" s="237">
        <v>2</v>
      </c>
      <c r="O196" s="233">
        <v>87.98</v>
      </c>
      <c r="P196" s="238">
        <v>6.4600000000000005E-2</v>
      </c>
      <c r="Q196" s="239">
        <v>6.08E-2</v>
      </c>
      <c r="R196" s="239" t="s">
        <v>557</v>
      </c>
      <c r="S196" s="240" t="s">
        <v>1746</v>
      </c>
      <c r="T196" s="240"/>
      <c r="U196" s="240">
        <v>0.1116</v>
      </c>
      <c r="V196" s="241">
        <v>6.0759999999999996</v>
      </c>
      <c r="W196" s="241"/>
      <c r="X196" s="240"/>
      <c r="Y196" s="402">
        <v>3.875E-2</v>
      </c>
      <c r="Z196" s="403">
        <v>2</v>
      </c>
      <c r="AA196" s="404" t="s">
        <v>1504</v>
      </c>
      <c r="AB196" s="405" t="s">
        <v>3219</v>
      </c>
      <c r="AC196" s="406">
        <v>87.15</v>
      </c>
      <c r="AD196" s="406">
        <v>15</v>
      </c>
      <c r="AE196" s="402" t="s">
        <v>2410</v>
      </c>
      <c r="AF196" s="402" t="s">
        <v>2527</v>
      </c>
      <c r="AG196" s="402" t="s">
        <v>4070</v>
      </c>
      <c r="AH196" s="402" t="s">
        <v>170</v>
      </c>
      <c r="AI196" s="402" t="s">
        <v>264</v>
      </c>
      <c r="AJ196" s="407" t="s">
        <v>3773</v>
      </c>
      <c r="AK196" s="407" t="s">
        <v>2644</v>
      </c>
      <c r="AL196" s="407" t="s">
        <v>2412</v>
      </c>
      <c r="AM196" s="407" t="s">
        <v>2413</v>
      </c>
      <c r="AN196" s="420" t="s">
        <v>2414</v>
      </c>
      <c r="AO196" s="420" t="s">
        <v>2415</v>
      </c>
      <c r="AP196" s="407" t="s">
        <v>1945</v>
      </c>
      <c r="AQ196" s="407" t="s">
        <v>3220</v>
      </c>
      <c r="AR196" s="407" t="s">
        <v>3220</v>
      </c>
      <c r="AS196" s="407" t="s">
        <v>3221</v>
      </c>
      <c r="AT196" s="798" t="s">
        <v>2419</v>
      </c>
      <c r="AU196" s="407" t="s">
        <v>3476</v>
      </c>
      <c r="AV196" s="408"/>
      <c r="AW196" s="191"/>
    </row>
    <row r="197" spans="1:49" ht="17">
      <c r="A197" s="395"/>
      <c r="B197" s="342" t="s">
        <v>1174</v>
      </c>
      <c r="C197" s="213" t="s">
        <v>1175</v>
      </c>
      <c r="D197" s="214" t="s">
        <v>680</v>
      </c>
      <c r="E197" s="215">
        <v>23.14</v>
      </c>
      <c r="F197" s="216" t="s">
        <v>279</v>
      </c>
      <c r="G197" s="217" t="s">
        <v>0</v>
      </c>
      <c r="H197" s="218" t="s">
        <v>4505</v>
      </c>
      <c r="I197" s="219">
        <v>82.59</v>
      </c>
      <c r="J197" s="220">
        <v>84.190000000000012</v>
      </c>
      <c r="K197" s="221">
        <v>1.4624999999999999</v>
      </c>
      <c r="L197" s="222">
        <v>84.05</v>
      </c>
      <c r="M197" s="220">
        <v>85.65</v>
      </c>
      <c r="N197" s="223">
        <v>3.5</v>
      </c>
      <c r="O197" s="219">
        <v>89.15</v>
      </c>
      <c r="P197" s="224">
        <v>5.2400000000000002E-2</v>
      </c>
      <c r="Q197" s="225">
        <v>4.9500000000000002E-2</v>
      </c>
      <c r="R197" s="225" t="s">
        <v>557</v>
      </c>
      <c r="S197" s="226" t="s">
        <v>1745</v>
      </c>
      <c r="T197" s="226"/>
      <c r="U197" s="226">
        <v>4.9599999999999998E-2</v>
      </c>
      <c r="V197" s="227">
        <v>13.8955</v>
      </c>
      <c r="W197" s="227"/>
      <c r="X197" s="226"/>
      <c r="Y197" s="409">
        <v>4.0500000000000001E-2</v>
      </c>
      <c r="Z197" s="410">
        <v>2</v>
      </c>
      <c r="AA197" s="192" t="s">
        <v>1372</v>
      </c>
      <c r="AB197" s="411" t="s">
        <v>3222</v>
      </c>
      <c r="AC197" s="412">
        <v>87.690000000000012</v>
      </c>
      <c r="AD197" s="412">
        <v>47</v>
      </c>
      <c r="AE197" s="409" t="s">
        <v>2410</v>
      </c>
      <c r="AF197" s="409" t="s">
        <v>3223</v>
      </c>
      <c r="AG197" s="409" t="s">
        <v>3935</v>
      </c>
      <c r="AH197" s="409" t="s">
        <v>170</v>
      </c>
      <c r="AI197" s="409" t="s">
        <v>56</v>
      </c>
      <c r="AJ197" s="242" t="s">
        <v>2593</v>
      </c>
      <c r="AK197" s="242" t="s">
        <v>3224</v>
      </c>
      <c r="AL197" s="242" t="s">
        <v>2412</v>
      </c>
      <c r="AM197" s="242" t="s">
        <v>2413</v>
      </c>
      <c r="AN197" s="421" t="s">
        <v>2414</v>
      </c>
      <c r="AO197" s="421" t="s">
        <v>2415</v>
      </c>
      <c r="AP197" s="242" t="s">
        <v>1945</v>
      </c>
      <c r="AQ197" s="242" t="s">
        <v>3225</v>
      </c>
      <c r="AR197" s="242" t="s">
        <v>3226</v>
      </c>
      <c r="AS197" s="242" t="s">
        <v>3227</v>
      </c>
      <c r="AT197" s="797" t="s">
        <v>2419</v>
      </c>
      <c r="AU197" s="242" t="s">
        <v>3476</v>
      </c>
      <c r="AV197" s="193"/>
      <c r="AW197" s="191"/>
    </row>
    <row r="198" spans="1:49" ht="17.149999999999999" customHeight="1">
      <c r="A198" s="395"/>
      <c r="B198" s="342" t="s">
        <v>1176</v>
      </c>
      <c r="C198" s="213" t="s">
        <v>1177</v>
      </c>
      <c r="D198" s="228" t="s">
        <v>2378</v>
      </c>
      <c r="E198" s="229">
        <v>25.64</v>
      </c>
      <c r="F198" s="230" t="s">
        <v>1178</v>
      </c>
      <c r="G198" s="231" t="s">
        <v>0</v>
      </c>
      <c r="H198" s="232" t="s">
        <v>4505</v>
      </c>
      <c r="I198" s="233">
        <v>69.5</v>
      </c>
      <c r="J198" s="234">
        <v>71.100000000000009</v>
      </c>
      <c r="K198" s="235">
        <v>1.2281</v>
      </c>
      <c r="L198" s="236">
        <v>70.73</v>
      </c>
      <c r="M198" s="234">
        <v>72.33</v>
      </c>
      <c r="N198" s="237">
        <v>3</v>
      </c>
      <c r="O198" s="233">
        <v>75.33</v>
      </c>
      <c r="P198" s="238">
        <v>5.4899999999999997E-2</v>
      </c>
      <c r="Q198" s="239">
        <v>5.2200000000000003E-2</v>
      </c>
      <c r="R198" s="239" t="s">
        <v>557</v>
      </c>
      <c r="S198" s="240" t="s">
        <v>1745</v>
      </c>
      <c r="T198" s="240"/>
      <c r="U198" s="240">
        <v>5.2400000000000002E-2</v>
      </c>
      <c r="V198" s="241">
        <v>15.036300000000001</v>
      </c>
      <c r="W198" s="241"/>
      <c r="X198" s="240"/>
      <c r="Y198" s="402">
        <v>3.3750000000000002E-2</v>
      </c>
      <c r="Z198" s="403">
        <v>2</v>
      </c>
      <c r="AA198" s="404" t="s">
        <v>1423</v>
      </c>
      <c r="AB198" s="405" t="s">
        <v>3228</v>
      </c>
      <c r="AC198" s="406">
        <v>74.100000000000009</v>
      </c>
      <c r="AD198" s="406">
        <v>52</v>
      </c>
      <c r="AE198" s="402" t="s">
        <v>2410</v>
      </c>
      <c r="AF198" s="402" t="s">
        <v>2804</v>
      </c>
      <c r="AG198" s="402" t="s">
        <v>3932</v>
      </c>
      <c r="AH198" s="402" t="s">
        <v>167</v>
      </c>
      <c r="AI198" s="402" t="s">
        <v>3229</v>
      </c>
      <c r="AJ198" s="407" t="s">
        <v>3774</v>
      </c>
      <c r="AK198" s="407" t="s">
        <v>3230</v>
      </c>
      <c r="AL198" s="407" t="s">
        <v>2412</v>
      </c>
      <c r="AM198" s="407" t="s">
        <v>2413</v>
      </c>
      <c r="AN198" s="420" t="s">
        <v>2414</v>
      </c>
      <c r="AO198" s="420" t="s">
        <v>2415</v>
      </c>
      <c r="AP198" s="407" t="s">
        <v>1945</v>
      </c>
      <c r="AQ198" s="407" t="s">
        <v>3231</v>
      </c>
      <c r="AR198" s="407" t="s">
        <v>3231</v>
      </c>
      <c r="AS198" s="407" t="s">
        <v>3232</v>
      </c>
      <c r="AT198" s="798" t="s">
        <v>2419</v>
      </c>
      <c r="AU198" s="407" t="s">
        <v>3476</v>
      </c>
      <c r="AV198" s="408"/>
      <c r="AW198" s="191"/>
    </row>
    <row r="199" spans="1:49" ht="17">
      <c r="A199" s="395"/>
      <c r="B199" s="342" t="s">
        <v>1179</v>
      </c>
      <c r="C199" s="213" t="s">
        <v>1180</v>
      </c>
      <c r="D199" s="214" t="s">
        <v>695</v>
      </c>
      <c r="E199" s="215">
        <v>15.76</v>
      </c>
      <c r="F199" s="216" t="s">
        <v>1181</v>
      </c>
      <c r="G199" s="217" t="s">
        <v>0</v>
      </c>
      <c r="H199" s="218" t="s">
        <v>4505</v>
      </c>
      <c r="I199" s="219">
        <v>80.67</v>
      </c>
      <c r="J199" s="220">
        <v>82.22</v>
      </c>
      <c r="K199" s="221">
        <v>0.86599999999999999</v>
      </c>
      <c r="L199" s="222">
        <v>81.540000000000006</v>
      </c>
      <c r="M199" s="220">
        <v>83.09</v>
      </c>
      <c r="N199" s="223">
        <v>2</v>
      </c>
      <c r="O199" s="219">
        <v>85.09</v>
      </c>
      <c r="P199" s="224">
        <v>5.2999999999999999E-2</v>
      </c>
      <c r="Q199" s="225">
        <v>5.0900000000000001E-2</v>
      </c>
      <c r="R199" s="225" t="s">
        <v>557</v>
      </c>
      <c r="S199" s="226" t="s">
        <v>1745</v>
      </c>
      <c r="T199" s="226"/>
      <c r="U199" s="226">
        <v>5.1299999999999998E-2</v>
      </c>
      <c r="V199" s="227">
        <v>11.2758</v>
      </c>
      <c r="W199" s="227"/>
      <c r="X199" s="226"/>
      <c r="Y199" s="409">
        <v>3.6249999999999998E-2</v>
      </c>
      <c r="Z199" s="410">
        <v>2</v>
      </c>
      <c r="AA199" s="192" t="s">
        <v>1377</v>
      </c>
      <c r="AB199" s="411" t="s">
        <v>3233</v>
      </c>
      <c r="AC199" s="412">
        <v>84.22</v>
      </c>
      <c r="AD199" s="412">
        <v>32</v>
      </c>
      <c r="AE199" s="409" t="s">
        <v>2410</v>
      </c>
      <c r="AF199" s="409" t="s">
        <v>3234</v>
      </c>
      <c r="AG199" s="409" t="s">
        <v>4038</v>
      </c>
      <c r="AH199" s="409" t="s">
        <v>172</v>
      </c>
      <c r="AI199" s="409" t="s">
        <v>3235</v>
      </c>
      <c r="AJ199" s="242" t="s">
        <v>522</v>
      </c>
      <c r="AK199" s="242" t="s">
        <v>3236</v>
      </c>
      <c r="AL199" s="242" t="s">
        <v>2412</v>
      </c>
      <c r="AM199" s="242" t="s">
        <v>2413</v>
      </c>
      <c r="AN199" s="421" t="s">
        <v>2414</v>
      </c>
      <c r="AO199" s="421" t="s">
        <v>2415</v>
      </c>
      <c r="AP199" s="242" t="s">
        <v>1945</v>
      </c>
      <c r="AQ199" s="242" t="s">
        <v>3237</v>
      </c>
      <c r="AR199" s="242" t="s">
        <v>3237</v>
      </c>
      <c r="AS199" s="242" t="s">
        <v>3238</v>
      </c>
      <c r="AT199" s="797" t="s">
        <v>2419</v>
      </c>
      <c r="AU199" s="242" t="s">
        <v>3476</v>
      </c>
      <c r="AV199" s="193"/>
      <c r="AW199" s="191"/>
    </row>
    <row r="200" spans="1:49" ht="17.149999999999999" customHeight="1">
      <c r="A200" s="395"/>
      <c r="B200" s="342" t="s">
        <v>1182</v>
      </c>
      <c r="C200" s="213" t="s">
        <v>1183</v>
      </c>
      <c r="D200" s="228" t="s">
        <v>722</v>
      </c>
      <c r="E200" s="229">
        <v>7.75</v>
      </c>
      <c r="F200" s="230" t="s">
        <v>277</v>
      </c>
      <c r="G200" s="231" t="s">
        <v>0</v>
      </c>
      <c r="H200" s="232" t="s">
        <v>4505</v>
      </c>
      <c r="I200" s="233">
        <v>89.76</v>
      </c>
      <c r="J200" s="234">
        <v>91.2</v>
      </c>
      <c r="K200" s="235">
        <v>0.93530000000000002</v>
      </c>
      <c r="L200" s="236">
        <v>90.7</v>
      </c>
      <c r="M200" s="234">
        <v>92.14</v>
      </c>
      <c r="N200" s="237">
        <v>2</v>
      </c>
      <c r="O200" s="233">
        <v>94.14</v>
      </c>
      <c r="P200" s="238">
        <v>5.0900000000000001E-2</v>
      </c>
      <c r="Q200" s="239">
        <v>4.7600000000000003E-2</v>
      </c>
      <c r="R200" s="239" t="s">
        <v>557</v>
      </c>
      <c r="S200" s="240" t="s">
        <v>1746</v>
      </c>
      <c r="T200" s="240"/>
      <c r="U200" s="240">
        <v>4.7899999999999998E-2</v>
      </c>
      <c r="V200" s="241">
        <v>6.5254000000000003</v>
      </c>
      <c r="W200" s="241"/>
      <c r="X200" s="240"/>
      <c r="Y200" s="402">
        <v>3.7000000000000005E-2</v>
      </c>
      <c r="Z200" s="403">
        <v>2</v>
      </c>
      <c r="AA200" s="404" t="s">
        <v>1349</v>
      </c>
      <c r="AB200" s="405" t="s">
        <v>3239</v>
      </c>
      <c r="AC200" s="406">
        <v>93.2</v>
      </c>
      <c r="AD200" s="406">
        <v>16</v>
      </c>
      <c r="AE200" s="402" t="s">
        <v>2410</v>
      </c>
      <c r="AF200" s="402" t="s">
        <v>2730</v>
      </c>
      <c r="AG200" s="402" t="s">
        <v>4032</v>
      </c>
      <c r="AH200" s="402" t="s">
        <v>170</v>
      </c>
      <c r="AI200" s="402" t="s">
        <v>135</v>
      </c>
      <c r="AJ200" s="407" t="s">
        <v>3240</v>
      </c>
      <c r="AK200" s="407" t="s">
        <v>3241</v>
      </c>
      <c r="AL200" s="407" t="s">
        <v>2412</v>
      </c>
      <c r="AM200" s="407" t="s">
        <v>2413</v>
      </c>
      <c r="AN200" s="420" t="s">
        <v>2414</v>
      </c>
      <c r="AO200" s="420" t="s">
        <v>2415</v>
      </c>
      <c r="AP200" s="407" t="s">
        <v>1945</v>
      </c>
      <c r="AQ200" s="407" t="s">
        <v>3242</v>
      </c>
      <c r="AR200" s="407" t="s">
        <v>3242</v>
      </c>
      <c r="AS200" s="407" t="s">
        <v>3243</v>
      </c>
      <c r="AT200" s="798" t="s">
        <v>2419</v>
      </c>
      <c r="AU200" s="407" t="s">
        <v>3476</v>
      </c>
      <c r="AV200" s="408"/>
      <c r="AW200" s="191"/>
    </row>
    <row r="201" spans="1:49" ht="17">
      <c r="A201" s="395"/>
      <c r="B201" s="342" t="s">
        <v>1184</v>
      </c>
      <c r="C201" s="213" t="s">
        <v>1185</v>
      </c>
      <c r="D201" s="214" t="s">
        <v>722</v>
      </c>
      <c r="E201" s="215">
        <v>10.88</v>
      </c>
      <c r="F201" s="216" t="s">
        <v>87</v>
      </c>
      <c r="G201" s="217" t="s">
        <v>0</v>
      </c>
      <c r="H201" s="218" t="s">
        <v>4505</v>
      </c>
      <c r="I201" s="219">
        <v>96.52</v>
      </c>
      <c r="J201" s="220">
        <v>97.98</v>
      </c>
      <c r="K201" s="221">
        <v>0.54249999999999998</v>
      </c>
      <c r="L201" s="222">
        <v>97.06</v>
      </c>
      <c r="M201" s="220">
        <v>98.52</v>
      </c>
      <c r="N201" s="223">
        <v>2</v>
      </c>
      <c r="O201" s="219">
        <v>100.52</v>
      </c>
      <c r="P201" s="224">
        <v>4.8899999999999999E-2</v>
      </c>
      <c r="Q201" s="225">
        <v>4.65E-2</v>
      </c>
      <c r="R201" s="225" t="s">
        <v>557</v>
      </c>
      <c r="S201" s="226" t="s">
        <v>1745</v>
      </c>
      <c r="T201" s="226"/>
      <c r="U201" s="226">
        <v>4.65E-2</v>
      </c>
      <c r="V201" s="227">
        <v>8.3945000000000007</v>
      </c>
      <c r="W201" s="227"/>
      <c r="X201" s="226"/>
      <c r="Y201" s="409">
        <v>4.6500000000000007E-2</v>
      </c>
      <c r="Z201" s="410">
        <v>2</v>
      </c>
      <c r="AA201" s="192" t="s">
        <v>1368</v>
      </c>
      <c r="AB201" s="411" t="s">
        <v>3244</v>
      </c>
      <c r="AC201" s="412">
        <v>99.98</v>
      </c>
      <c r="AD201" s="412">
        <v>22</v>
      </c>
      <c r="AE201" s="409" t="s">
        <v>2410</v>
      </c>
      <c r="AF201" s="409" t="s">
        <v>2648</v>
      </c>
      <c r="AG201" s="409" t="s">
        <v>4356</v>
      </c>
      <c r="AH201" s="409" t="s">
        <v>165</v>
      </c>
      <c r="AI201" s="409" t="s">
        <v>97</v>
      </c>
      <c r="AJ201" s="242" t="s">
        <v>2649</v>
      </c>
      <c r="AK201" s="242" t="s">
        <v>3245</v>
      </c>
      <c r="AL201" s="242" t="s">
        <v>2412</v>
      </c>
      <c r="AM201" s="242" t="s">
        <v>2413</v>
      </c>
      <c r="AN201" s="421" t="s">
        <v>2414</v>
      </c>
      <c r="AO201" s="421" t="s">
        <v>2415</v>
      </c>
      <c r="AP201" s="242" t="s">
        <v>1945</v>
      </c>
      <c r="AQ201" s="242" t="s">
        <v>3175</v>
      </c>
      <c r="AR201" s="242" t="s">
        <v>3175</v>
      </c>
      <c r="AS201" s="242" t="s">
        <v>3176</v>
      </c>
      <c r="AT201" s="797" t="s">
        <v>2419</v>
      </c>
      <c r="AU201" s="242" t="s">
        <v>3476</v>
      </c>
      <c r="AV201" s="193"/>
      <c r="AW201" s="191"/>
    </row>
    <row r="202" spans="1:49" ht="17.149999999999999" customHeight="1">
      <c r="A202" s="395"/>
      <c r="B202" s="342" t="s">
        <v>1186</v>
      </c>
      <c r="C202" s="213" t="s">
        <v>1187</v>
      </c>
      <c r="D202" s="228" t="s">
        <v>765</v>
      </c>
      <c r="E202" s="229">
        <v>15.75</v>
      </c>
      <c r="F202" s="230" t="s">
        <v>1188</v>
      </c>
      <c r="G202" s="231" t="s">
        <v>0</v>
      </c>
      <c r="H202" s="232" t="s">
        <v>4505</v>
      </c>
      <c r="I202" s="233">
        <v>80.540000000000006</v>
      </c>
      <c r="J202" s="234">
        <v>81.88</v>
      </c>
      <c r="K202" s="235">
        <v>0.94789999999999996</v>
      </c>
      <c r="L202" s="236">
        <v>81.489999999999995</v>
      </c>
      <c r="M202" s="234">
        <v>82.83</v>
      </c>
      <c r="N202" s="237">
        <v>2</v>
      </c>
      <c r="O202" s="233">
        <v>84.83</v>
      </c>
      <c r="P202" s="238">
        <v>5.4800000000000001E-2</v>
      </c>
      <c r="Q202" s="239">
        <v>5.2699999999999997E-2</v>
      </c>
      <c r="R202" s="239" t="s">
        <v>557</v>
      </c>
      <c r="S202" s="240" t="s">
        <v>1745</v>
      </c>
      <c r="T202" s="240"/>
      <c r="U202" s="240">
        <v>5.2999999999999999E-2</v>
      </c>
      <c r="V202" s="241">
        <v>11.1547</v>
      </c>
      <c r="W202" s="241"/>
      <c r="X202" s="240"/>
      <c r="Y202" s="402">
        <v>3.7499999999999999E-2</v>
      </c>
      <c r="Z202" s="403">
        <v>2</v>
      </c>
      <c r="AA202" s="404" t="s">
        <v>1363</v>
      </c>
      <c r="AB202" s="405" t="s">
        <v>3246</v>
      </c>
      <c r="AC202" s="406">
        <v>83.88</v>
      </c>
      <c r="AD202" s="406">
        <v>32</v>
      </c>
      <c r="AE202" s="402" t="s">
        <v>2410</v>
      </c>
      <c r="AF202" s="402" t="s">
        <v>2730</v>
      </c>
      <c r="AG202" s="402" t="s">
        <v>4032</v>
      </c>
      <c r="AH202" s="402" t="s">
        <v>164</v>
      </c>
      <c r="AI202" s="402" t="s">
        <v>107</v>
      </c>
      <c r="AJ202" s="407" t="s">
        <v>2708</v>
      </c>
      <c r="AK202" s="407" t="s">
        <v>3247</v>
      </c>
      <c r="AL202" s="407" t="s">
        <v>2412</v>
      </c>
      <c r="AM202" s="407" t="s">
        <v>2413</v>
      </c>
      <c r="AN202" s="420" t="s">
        <v>2414</v>
      </c>
      <c r="AO202" s="420" t="s">
        <v>2415</v>
      </c>
      <c r="AP202" s="407" t="s">
        <v>1945</v>
      </c>
      <c r="AQ202" s="407" t="s">
        <v>3041</v>
      </c>
      <c r="AR202" s="407" t="s">
        <v>3041</v>
      </c>
      <c r="AS202" s="407" t="s">
        <v>3008</v>
      </c>
      <c r="AT202" s="798" t="s">
        <v>2419</v>
      </c>
      <c r="AU202" s="407" t="s">
        <v>3476</v>
      </c>
      <c r="AV202" s="408"/>
      <c r="AW202" s="191"/>
    </row>
    <row r="203" spans="1:49" ht="17">
      <c r="A203" s="395"/>
      <c r="B203" s="342" t="s">
        <v>1189</v>
      </c>
      <c r="C203" s="213" t="s">
        <v>1190</v>
      </c>
      <c r="D203" s="214" t="s">
        <v>2171</v>
      </c>
      <c r="E203" s="215">
        <v>15.86</v>
      </c>
      <c r="F203" s="216" t="s">
        <v>1191</v>
      </c>
      <c r="G203" s="217" t="s">
        <v>0</v>
      </c>
      <c r="H203" s="218" t="s">
        <v>4505</v>
      </c>
      <c r="I203" s="219">
        <v>79.040000000000006</v>
      </c>
      <c r="J203" s="220">
        <v>80.490000000000009</v>
      </c>
      <c r="K203" s="221">
        <v>0.47639999999999999</v>
      </c>
      <c r="L203" s="222">
        <v>79.52</v>
      </c>
      <c r="M203" s="220">
        <v>80.97</v>
      </c>
      <c r="N203" s="223">
        <v>2</v>
      </c>
      <c r="O203" s="219">
        <v>82.97</v>
      </c>
      <c r="P203" s="224">
        <v>5.3400000000000003E-2</v>
      </c>
      <c r="Q203" s="225">
        <v>5.1299999999999998E-2</v>
      </c>
      <c r="R203" s="225" t="s">
        <v>868</v>
      </c>
      <c r="S203" s="226" t="s">
        <v>1745</v>
      </c>
      <c r="T203" s="226"/>
      <c r="U203" s="226">
        <v>5.16E-2</v>
      </c>
      <c r="V203" s="227">
        <v>11.464399999999999</v>
      </c>
      <c r="W203" s="227"/>
      <c r="X203" s="226"/>
      <c r="Y203" s="409">
        <v>3.5000000000000003E-2</v>
      </c>
      <c r="Z203" s="410">
        <v>2</v>
      </c>
      <c r="AA203" s="192" t="s">
        <v>1356</v>
      </c>
      <c r="AB203" s="411" t="s">
        <v>3248</v>
      </c>
      <c r="AC203" s="412">
        <v>82.490000000000009</v>
      </c>
      <c r="AD203" s="412">
        <v>32</v>
      </c>
      <c r="AE203" s="409" t="s">
        <v>2410</v>
      </c>
      <c r="AF203" s="409" t="s">
        <v>3249</v>
      </c>
      <c r="AG203" s="409" t="s">
        <v>4328</v>
      </c>
      <c r="AH203" s="409" t="s">
        <v>164</v>
      </c>
      <c r="AI203" s="409" t="s">
        <v>98</v>
      </c>
      <c r="AJ203" s="242" t="s">
        <v>2863</v>
      </c>
      <c r="AK203" s="242" t="s">
        <v>3250</v>
      </c>
      <c r="AL203" s="242" t="s">
        <v>2412</v>
      </c>
      <c r="AM203" s="242" t="s">
        <v>2413</v>
      </c>
      <c r="AN203" s="421" t="s">
        <v>2414</v>
      </c>
      <c r="AO203" s="421" t="s">
        <v>2415</v>
      </c>
      <c r="AP203" s="242" t="s">
        <v>1945</v>
      </c>
      <c r="AQ203" s="242" t="s">
        <v>2982</v>
      </c>
      <c r="AR203" s="242" t="s">
        <v>2982</v>
      </c>
      <c r="AS203" s="242" t="s">
        <v>3251</v>
      </c>
      <c r="AT203" s="797" t="s">
        <v>2419</v>
      </c>
      <c r="AU203" s="242" t="s">
        <v>3476</v>
      </c>
      <c r="AV203" s="193"/>
      <c r="AW203" s="191"/>
    </row>
    <row r="204" spans="1:49" ht="17.149999999999999" customHeight="1">
      <c r="A204" s="395"/>
      <c r="B204" s="342" t="s">
        <v>1192</v>
      </c>
      <c r="C204" s="213" t="s">
        <v>1193</v>
      </c>
      <c r="D204" s="228" t="s">
        <v>4400</v>
      </c>
      <c r="E204" s="229">
        <v>3.56</v>
      </c>
      <c r="F204" s="230" t="s">
        <v>1194</v>
      </c>
      <c r="G204" s="231" t="s">
        <v>0</v>
      </c>
      <c r="H204" s="232" t="s">
        <v>4505</v>
      </c>
      <c r="I204" s="233">
        <v>94.53</v>
      </c>
      <c r="J204" s="234">
        <v>95.65</v>
      </c>
      <c r="K204" s="235">
        <v>1.4827999999999999</v>
      </c>
      <c r="L204" s="236">
        <v>96.01</v>
      </c>
      <c r="M204" s="234">
        <v>97.13</v>
      </c>
      <c r="N204" s="237">
        <v>1.5</v>
      </c>
      <c r="O204" s="233">
        <v>98.63</v>
      </c>
      <c r="P204" s="238">
        <v>4.7399999999999998E-2</v>
      </c>
      <c r="Q204" s="239">
        <v>4.2700000000000002E-2</v>
      </c>
      <c r="R204" s="239" t="s">
        <v>557</v>
      </c>
      <c r="S204" s="240" t="s">
        <v>1745</v>
      </c>
      <c r="T204" s="240"/>
      <c r="U204" s="240" t="s">
        <v>1767</v>
      </c>
      <c r="V204" s="241">
        <v>3.2559</v>
      </c>
      <c r="W204" s="241"/>
      <c r="X204" s="240"/>
      <c r="Y204" s="402">
        <v>3.4000000000000002E-2</v>
      </c>
      <c r="Z204" s="403">
        <v>2</v>
      </c>
      <c r="AA204" s="404" t="s">
        <v>1505</v>
      </c>
      <c r="AB204" s="405" t="s">
        <v>3252</v>
      </c>
      <c r="AC204" s="406">
        <v>97.15</v>
      </c>
      <c r="AD204" s="406">
        <v>8</v>
      </c>
      <c r="AE204" s="402" t="s">
        <v>2410</v>
      </c>
      <c r="AF204" s="402" t="s">
        <v>3253</v>
      </c>
      <c r="AG204" s="402" t="s">
        <v>3882</v>
      </c>
      <c r="AH204" s="402" t="s">
        <v>162</v>
      </c>
      <c r="AI204" s="402" t="s">
        <v>80</v>
      </c>
      <c r="AJ204" s="407" t="s">
        <v>3791</v>
      </c>
      <c r="AK204" s="407" t="s">
        <v>2419</v>
      </c>
      <c r="AL204" s="407" t="s">
        <v>2412</v>
      </c>
      <c r="AM204" s="407" t="s">
        <v>2419</v>
      </c>
      <c r="AN204" s="420" t="s">
        <v>2414</v>
      </c>
      <c r="AO204" s="420" t="s">
        <v>2415</v>
      </c>
      <c r="AP204" s="407" t="s">
        <v>1945</v>
      </c>
      <c r="AQ204" s="407" t="s">
        <v>3254</v>
      </c>
      <c r="AR204" s="407" t="s">
        <v>3254</v>
      </c>
      <c r="AS204" s="407" t="s">
        <v>3255</v>
      </c>
      <c r="AT204" s="798" t="s">
        <v>2419</v>
      </c>
      <c r="AU204" s="407" t="s">
        <v>3476</v>
      </c>
      <c r="AV204" s="408"/>
      <c r="AW204" s="191"/>
    </row>
    <row r="205" spans="1:49" ht="17">
      <c r="A205" s="395"/>
      <c r="B205" s="342" t="s">
        <v>1195</v>
      </c>
      <c r="C205" s="213" t="s">
        <v>1196</v>
      </c>
      <c r="D205" s="214" t="s">
        <v>1197</v>
      </c>
      <c r="E205" s="215">
        <v>18.61</v>
      </c>
      <c r="F205" s="216" t="s">
        <v>1198</v>
      </c>
      <c r="G205" s="217" t="s">
        <v>0</v>
      </c>
      <c r="H205" s="218" t="s">
        <v>4505</v>
      </c>
      <c r="I205" s="219">
        <v>91.78</v>
      </c>
      <c r="J205" s="220">
        <v>93.570000000000007</v>
      </c>
      <c r="K205" s="221">
        <v>1.7625</v>
      </c>
      <c r="L205" s="222">
        <v>93.54</v>
      </c>
      <c r="M205" s="220">
        <v>95.33</v>
      </c>
      <c r="N205" s="223">
        <v>2.5</v>
      </c>
      <c r="O205" s="219">
        <v>97.83</v>
      </c>
      <c r="P205" s="224">
        <v>5.04E-2</v>
      </c>
      <c r="Q205" s="225">
        <v>4.82E-2</v>
      </c>
      <c r="R205" s="225" t="s">
        <v>868</v>
      </c>
      <c r="S205" s="226" t="s">
        <v>1745</v>
      </c>
      <c r="T205" s="226"/>
      <c r="U205" s="226" t="s">
        <v>1767</v>
      </c>
      <c r="V205" s="227">
        <v>12.057</v>
      </c>
      <c r="W205" s="227"/>
      <c r="X205" s="226"/>
      <c r="Y205" s="409">
        <v>4.4999999999999998E-2</v>
      </c>
      <c r="Z205" s="410">
        <v>2</v>
      </c>
      <c r="AA205" s="192" t="s">
        <v>1506</v>
      </c>
      <c r="AB205" s="411" t="s">
        <v>3256</v>
      </c>
      <c r="AC205" s="412">
        <v>96.070000000000007</v>
      </c>
      <c r="AD205" s="412">
        <v>38</v>
      </c>
      <c r="AE205" s="409" t="s">
        <v>2410</v>
      </c>
      <c r="AF205" s="409" t="s">
        <v>3257</v>
      </c>
      <c r="AG205" s="409" t="s">
        <v>3918</v>
      </c>
      <c r="AH205" s="409" t="s">
        <v>162</v>
      </c>
      <c r="AI205" s="409" t="s">
        <v>131</v>
      </c>
      <c r="AJ205" s="242" t="s">
        <v>3258</v>
      </c>
      <c r="AK205" s="242" t="s">
        <v>2419</v>
      </c>
      <c r="AL205" s="242" t="s">
        <v>2412</v>
      </c>
      <c r="AM205" s="242" t="s">
        <v>2419</v>
      </c>
      <c r="AN205" s="421" t="s">
        <v>2414</v>
      </c>
      <c r="AO205" s="421" t="s">
        <v>2415</v>
      </c>
      <c r="AP205" s="242" t="s">
        <v>1945</v>
      </c>
      <c r="AQ205" s="242" t="s">
        <v>3259</v>
      </c>
      <c r="AR205" s="242" t="s">
        <v>3259</v>
      </c>
      <c r="AS205" s="242" t="s">
        <v>3260</v>
      </c>
      <c r="AT205" s="797" t="s">
        <v>2419</v>
      </c>
      <c r="AU205" s="242" t="s">
        <v>3476</v>
      </c>
      <c r="AV205" s="193"/>
      <c r="AW205" s="191"/>
    </row>
    <row r="206" spans="1:49" ht="17.149999999999999" customHeight="1">
      <c r="A206" s="395"/>
      <c r="B206" s="342" t="s">
        <v>1199</v>
      </c>
      <c r="C206" s="213" t="s">
        <v>1200</v>
      </c>
      <c r="D206" s="228" t="s">
        <v>1020</v>
      </c>
      <c r="E206" s="229">
        <v>14.62</v>
      </c>
      <c r="F206" s="230" t="s">
        <v>1201</v>
      </c>
      <c r="G206" s="231" t="s">
        <v>0</v>
      </c>
      <c r="H206" s="232" t="s">
        <v>4505</v>
      </c>
      <c r="I206" s="233">
        <v>105.43</v>
      </c>
      <c r="J206" s="234">
        <v>106.81</v>
      </c>
      <c r="K206" s="235">
        <v>2.2452999999999999</v>
      </c>
      <c r="L206" s="236">
        <v>107.68</v>
      </c>
      <c r="M206" s="234">
        <v>109.06</v>
      </c>
      <c r="N206" s="237">
        <v>2</v>
      </c>
      <c r="O206" s="233">
        <v>111.06</v>
      </c>
      <c r="P206" s="238">
        <v>5.2299999999999999E-2</v>
      </c>
      <c r="Q206" s="239">
        <v>5.04E-2</v>
      </c>
      <c r="R206" s="239" t="s">
        <v>557</v>
      </c>
      <c r="S206" s="240" t="s">
        <v>1745</v>
      </c>
      <c r="T206" s="240"/>
      <c r="U206" s="240" t="s">
        <v>1767</v>
      </c>
      <c r="V206" s="241">
        <v>9.7140000000000004</v>
      </c>
      <c r="W206" s="241"/>
      <c r="X206" s="240"/>
      <c r="Y206" s="402">
        <v>5.9000000000000004E-2</v>
      </c>
      <c r="Z206" s="403">
        <v>2</v>
      </c>
      <c r="AA206" s="404" t="s">
        <v>3877</v>
      </c>
      <c r="AB206" s="405" t="s">
        <v>3261</v>
      </c>
      <c r="AC206" s="406">
        <v>108.81</v>
      </c>
      <c r="AD206" s="406">
        <v>30</v>
      </c>
      <c r="AE206" s="402" t="s">
        <v>2410</v>
      </c>
      <c r="AF206" s="402" t="s">
        <v>2534</v>
      </c>
      <c r="AG206" s="402" t="s">
        <v>3909</v>
      </c>
      <c r="AH206" s="402" t="s">
        <v>165</v>
      </c>
      <c r="AI206" s="402" t="s">
        <v>132</v>
      </c>
      <c r="AJ206" s="407" t="s">
        <v>3868</v>
      </c>
      <c r="AK206" s="407" t="s">
        <v>2419</v>
      </c>
      <c r="AL206" s="407" t="s">
        <v>2412</v>
      </c>
      <c r="AM206" s="407" t="s">
        <v>2419</v>
      </c>
      <c r="AN206" s="420" t="s">
        <v>2414</v>
      </c>
      <c r="AO206" s="420" t="s">
        <v>2415</v>
      </c>
      <c r="AP206" s="407" t="s">
        <v>1945</v>
      </c>
      <c r="AQ206" s="407" t="s">
        <v>3262</v>
      </c>
      <c r="AR206" s="407" t="s">
        <v>3262</v>
      </c>
      <c r="AS206" s="407" t="s">
        <v>3263</v>
      </c>
      <c r="AT206" s="798" t="s">
        <v>2419</v>
      </c>
      <c r="AU206" s="407" t="s">
        <v>3476</v>
      </c>
      <c r="AV206" s="408"/>
      <c r="AW206" s="191"/>
    </row>
    <row r="207" spans="1:49" ht="17">
      <c r="A207" s="395"/>
      <c r="B207" s="342" t="s">
        <v>1202</v>
      </c>
      <c r="C207" s="213" t="s">
        <v>1203</v>
      </c>
      <c r="D207" s="214" t="s">
        <v>574</v>
      </c>
      <c r="E207" s="215">
        <v>1.83</v>
      </c>
      <c r="F207" s="216" t="s">
        <v>127</v>
      </c>
      <c r="G207" s="217" t="s">
        <v>0</v>
      </c>
      <c r="H207" s="218" t="s">
        <v>4505</v>
      </c>
      <c r="I207" s="219">
        <v>96.12</v>
      </c>
      <c r="J207" s="220">
        <v>96.98</v>
      </c>
      <c r="K207" s="221">
        <v>0.57609999999999995</v>
      </c>
      <c r="L207" s="222">
        <v>96.7</v>
      </c>
      <c r="M207" s="220">
        <v>97.56</v>
      </c>
      <c r="N207" s="223">
        <v>0.8</v>
      </c>
      <c r="O207" s="219">
        <v>98.36</v>
      </c>
      <c r="P207" s="224">
        <v>5.1499999999999997E-2</v>
      </c>
      <c r="Q207" s="225">
        <v>4.6800000000000001E-2</v>
      </c>
      <c r="R207" s="225" t="s">
        <v>557</v>
      </c>
      <c r="S207" s="226" t="s">
        <v>1745</v>
      </c>
      <c r="T207" s="226"/>
      <c r="U207" s="226" t="s">
        <v>1767</v>
      </c>
      <c r="V207" s="227">
        <v>1.7363</v>
      </c>
      <c r="W207" s="227"/>
      <c r="X207" s="226"/>
      <c r="Y207" s="409">
        <v>3.4000000000000002E-2</v>
      </c>
      <c r="Z207" s="410">
        <v>2</v>
      </c>
      <c r="AA207" s="192" t="s">
        <v>1393</v>
      </c>
      <c r="AB207" s="411" t="s">
        <v>3264</v>
      </c>
      <c r="AC207" s="412">
        <v>97.78</v>
      </c>
      <c r="AD207" s="412">
        <v>4</v>
      </c>
      <c r="AE207" s="409" t="s">
        <v>2410</v>
      </c>
      <c r="AF207" s="409" t="s">
        <v>2707</v>
      </c>
      <c r="AG207" s="409" t="s">
        <v>4139</v>
      </c>
      <c r="AH207" s="409" t="s">
        <v>162</v>
      </c>
      <c r="AI207" s="409" t="s">
        <v>72</v>
      </c>
      <c r="AJ207" s="242" t="s">
        <v>3265</v>
      </c>
      <c r="AK207" s="242" t="s">
        <v>2419</v>
      </c>
      <c r="AL207" s="242" t="s">
        <v>2412</v>
      </c>
      <c r="AM207" s="242" t="s">
        <v>2419</v>
      </c>
      <c r="AN207" s="421" t="s">
        <v>2422</v>
      </c>
      <c r="AO207" s="421" t="s">
        <v>2415</v>
      </c>
      <c r="AP207" s="242" t="s">
        <v>1945</v>
      </c>
      <c r="AQ207" s="242" t="s">
        <v>3266</v>
      </c>
      <c r="AR207" s="242" t="s">
        <v>3266</v>
      </c>
      <c r="AS207" s="242" t="s">
        <v>3267</v>
      </c>
      <c r="AT207" s="797" t="s">
        <v>2419</v>
      </c>
      <c r="AU207" s="242" t="s">
        <v>3476</v>
      </c>
      <c r="AV207" s="193"/>
      <c r="AW207" s="191"/>
    </row>
    <row r="208" spans="1:49" ht="17.149999999999999" customHeight="1">
      <c r="A208" s="395"/>
      <c r="B208" s="342" t="s">
        <v>1204</v>
      </c>
      <c r="C208" s="213" t="s">
        <v>1205</v>
      </c>
      <c r="D208" s="228" t="s">
        <v>1083</v>
      </c>
      <c r="E208" s="229">
        <v>18.7</v>
      </c>
      <c r="F208" s="230" t="s">
        <v>278</v>
      </c>
      <c r="G208" s="231" t="s">
        <v>0</v>
      </c>
      <c r="H208" s="232" t="s">
        <v>4505</v>
      </c>
      <c r="I208" s="233">
        <v>65.58</v>
      </c>
      <c r="J208" s="234">
        <v>67.13000000000001</v>
      </c>
      <c r="K208" s="235">
        <v>1.3003</v>
      </c>
      <c r="L208" s="236">
        <v>66.88</v>
      </c>
      <c r="M208" s="234">
        <v>68.430000000000007</v>
      </c>
      <c r="N208" s="237">
        <v>2.5</v>
      </c>
      <c r="O208" s="233">
        <v>70.930000000000007</v>
      </c>
      <c r="P208" s="238">
        <v>7.7299999999999994E-2</v>
      </c>
      <c r="Q208" s="239">
        <v>7.3999999999999996E-2</v>
      </c>
      <c r="R208" s="239" t="s">
        <v>557</v>
      </c>
      <c r="S208" s="240" t="s">
        <v>1745</v>
      </c>
      <c r="T208" s="240"/>
      <c r="U208" s="240" t="s">
        <v>1767</v>
      </c>
      <c r="V208" s="241">
        <v>10.9193</v>
      </c>
      <c r="W208" s="241"/>
      <c r="X208" s="240"/>
      <c r="Y208" s="402">
        <v>4.3749999999999997E-2</v>
      </c>
      <c r="Z208" s="403">
        <v>2</v>
      </c>
      <c r="AA208" s="404" t="s">
        <v>1424</v>
      </c>
      <c r="AB208" s="405" t="s">
        <v>3121</v>
      </c>
      <c r="AC208" s="406">
        <v>69.63000000000001</v>
      </c>
      <c r="AD208" s="406">
        <v>38</v>
      </c>
      <c r="AE208" s="402" t="s">
        <v>2410</v>
      </c>
      <c r="AF208" s="402" t="s">
        <v>2491</v>
      </c>
      <c r="AG208" s="402" t="s">
        <v>4021</v>
      </c>
      <c r="AH208" s="402" t="s">
        <v>164</v>
      </c>
      <c r="AI208" s="402" t="s">
        <v>225</v>
      </c>
      <c r="AJ208" s="407" t="s">
        <v>2641</v>
      </c>
      <c r="AK208" s="407" t="s">
        <v>2419</v>
      </c>
      <c r="AL208" s="407" t="s">
        <v>2412</v>
      </c>
      <c r="AM208" s="407" t="s">
        <v>2419</v>
      </c>
      <c r="AN208" s="420" t="s">
        <v>2414</v>
      </c>
      <c r="AO208" s="420" t="s">
        <v>2415</v>
      </c>
      <c r="AP208" s="407" t="s">
        <v>1945</v>
      </c>
      <c r="AQ208" s="407" t="s">
        <v>3268</v>
      </c>
      <c r="AR208" s="407" t="s">
        <v>3269</v>
      </c>
      <c r="AS208" s="407" t="s">
        <v>3124</v>
      </c>
      <c r="AT208" s="798" t="s">
        <v>2419</v>
      </c>
      <c r="AU208" s="407" t="s">
        <v>3476</v>
      </c>
      <c r="AV208" s="408"/>
      <c r="AW208" s="191"/>
    </row>
    <row r="209" spans="1:49" ht="17">
      <c r="A209" s="395"/>
      <c r="B209" s="342" t="s">
        <v>1206</v>
      </c>
      <c r="C209" s="213" t="s">
        <v>1207</v>
      </c>
      <c r="D209" s="214" t="s">
        <v>1083</v>
      </c>
      <c r="E209" s="215">
        <v>3.03</v>
      </c>
      <c r="F209" s="216" t="s">
        <v>1208</v>
      </c>
      <c r="G209" s="217" t="s">
        <v>0</v>
      </c>
      <c r="H209" s="218" t="s">
        <v>4505</v>
      </c>
      <c r="I209" s="219">
        <v>106.44</v>
      </c>
      <c r="J209" s="220">
        <v>107.67</v>
      </c>
      <c r="K209" s="221">
        <v>3.9430999999999998</v>
      </c>
      <c r="L209" s="222">
        <v>110.38</v>
      </c>
      <c r="M209" s="220">
        <v>111.61</v>
      </c>
      <c r="N209" s="223">
        <v>1.5</v>
      </c>
      <c r="O209" s="219">
        <v>113.11</v>
      </c>
      <c r="P209" s="224">
        <v>5.7099999999999998E-2</v>
      </c>
      <c r="Q209" s="225">
        <v>5.1900000000000002E-2</v>
      </c>
      <c r="R209" s="225" t="s">
        <v>557</v>
      </c>
      <c r="S209" s="226" t="s">
        <v>1745</v>
      </c>
      <c r="T209" s="226"/>
      <c r="U209" s="226">
        <v>4.6300000000000001E-2</v>
      </c>
      <c r="V209" s="227">
        <v>2.2052</v>
      </c>
      <c r="W209" s="227"/>
      <c r="X209" s="226"/>
      <c r="Y209" s="409">
        <v>8.5000000000000006E-2</v>
      </c>
      <c r="Z209" s="410">
        <v>2</v>
      </c>
      <c r="AA209" s="192" t="s">
        <v>1489</v>
      </c>
      <c r="AB209" s="411" t="s">
        <v>3146</v>
      </c>
      <c r="AC209" s="412">
        <v>109.17</v>
      </c>
      <c r="AD209" s="412">
        <v>7</v>
      </c>
      <c r="AE209" s="409" t="s">
        <v>2410</v>
      </c>
      <c r="AF209" s="409" t="s">
        <v>2561</v>
      </c>
      <c r="AG209" s="409" t="s">
        <v>3862</v>
      </c>
      <c r="AH209" s="409" t="s">
        <v>172</v>
      </c>
      <c r="AI209" s="409" t="s">
        <v>253</v>
      </c>
      <c r="AJ209" s="242" t="s">
        <v>3130</v>
      </c>
      <c r="AK209" s="242" t="s">
        <v>3270</v>
      </c>
      <c r="AL209" s="242" t="s">
        <v>2412</v>
      </c>
      <c r="AM209" s="242" t="s">
        <v>2413</v>
      </c>
      <c r="AN209" s="421" t="s">
        <v>2414</v>
      </c>
      <c r="AO209" s="421" t="s">
        <v>2415</v>
      </c>
      <c r="AP209" s="242" t="s">
        <v>1945</v>
      </c>
      <c r="AQ209" s="242" t="s">
        <v>3271</v>
      </c>
      <c r="AR209" s="242" t="s">
        <v>3271</v>
      </c>
      <c r="AS209" s="242" t="s">
        <v>3272</v>
      </c>
      <c r="AT209" s="797" t="s">
        <v>2419</v>
      </c>
      <c r="AU209" s="242" t="s">
        <v>3476</v>
      </c>
      <c r="AV209" s="193"/>
      <c r="AW209" s="191"/>
    </row>
    <row r="210" spans="1:49" ht="17.149999999999999" customHeight="1">
      <c r="A210" s="395"/>
      <c r="B210" s="342" t="s">
        <v>1209</v>
      </c>
      <c r="C210" s="213" t="s">
        <v>1210</v>
      </c>
      <c r="D210" s="228" t="s">
        <v>4035</v>
      </c>
      <c r="E210" s="229">
        <v>2.61</v>
      </c>
      <c r="F210" s="230" t="s">
        <v>1211</v>
      </c>
      <c r="G210" s="231" t="s">
        <v>0</v>
      </c>
      <c r="H210" s="232" t="s">
        <v>4508</v>
      </c>
      <c r="I210" s="233">
        <v>93.32</v>
      </c>
      <c r="J210" s="234">
        <v>94.550000000000011</v>
      </c>
      <c r="K210" s="235">
        <v>1.0770999999999999</v>
      </c>
      <c r="L210" s="236">
        <v>94.4</v>
      </c>
      <c r="M210" s="234">
        <v>95.63</v>
      </c>
      <c r="N210" s="237">
        <v>1</v>
      </c>
      <c r="O210" s="233">
        <v>96.63</v>
      </c>
      <c r="P210" s="238">
        <v>0.05</v>
      </c>
      <c r="Q210" s="239">
        <v>4.58E-2</v>
      </c>
      <c r="R210" s="239" t="s">
        <v>550</v>
      </c>
      <c r="S210" s="240" t="s">
        <v>1745</v>
      </c>
      <c r="T210" s="240"/>
      <c r="U210" s="240" t="s">
        <v>1767</v>
      </c>
      <c r="V210" s="241">
        <v>2.4441000000000002</v>
      </c>
      <c r="W210" s="241"/>
      <c r="X210" s="240"/>
      <c r="Y210" s="402">
        <v>2.75E-2</v>
      </c>
      <c r="Z210" s="403">
        <v>2</v>
      </c>
      <c r="AA210" s="404" t="s">
        <v>1389</v>
      </c>
      <c r="AB210" s="405" t="s">
        <v>3273</v>
      </c>
      <c r="AC210" s="406">
        <v>95.550000000000011</v>
      </c>
      <c r="AD210" s="406">
        <v>6</v>
      </c>
      <c r="AE210" s="402" t="s">
        <v>2410</v>
      </c>
      <c r="AF210" s="402" t="s">
        <v>3274</v>
      </c>
      <c r="AG210" s="402" t="s">
        <v>3919</v>
      </c>
      <c r="AH210" s="402" t="s">
        <v>162</v>
      </c>
      <c r="AI210" s="402" t="s">
        <v>1013</v>
      </c>
      <c r="AJ210" s="407" t="s">
        <v>3031</v>
      </c>
      <c r="AK210" s="407" t="s">
        <v>2419</v>
      </c>
      <c r="AL210" s="407" t="s">
        <v>2412</v>
      </c>
      <c r="AM210" s="407" t="s">
        <v>2419</v>
      </c>
      <c r="AN210" s="420" t="s">
        <v>2414</v>
      </c>
      <c r="AO210" s="420" t="s">
        <v>2415</v>
      </c>
      <c r="AP210" s="407" t="s">
        <v>1943</v>
      </c>
      <c r="AQ210" s="407" t="s">
        <v>3275</v>
      </c>
      <c r="AR210" s="407" t="s">
        <v>3275</v>
      </c>
      <c r="AS210" s="407" t="s">
        <v>3276</v>
      </c>
      <c r="AT210" s="798" t="s">
        <v>2419</v>
      </c>
      <c r="AU210" s="407" t="s">
        <v>3476</v>
      </c>
      <c r="AV210" s="408"/>
      <c r="AW210" s="191"/>
    </row>
    <row r="211" spans="1:49" ht="17">
      <c r="A211" s="395"/>
      <c r="B211" s="342" t="s">
        <v>1212</v>
      </c>
      <c r="C211" s="213" t="s">
        <v>1213</v>
      </c>
      <c r="D211" s="214" t="s">
        <v>1214</v>
      </c>
      <c r="E211" s="215">
        <v>2.95</v>
      </c>
      <c r="F211" s="216" t="s">
        <v>1215</v>
      </c>
      <c r="G211" s="217" t="s">
        <v>0</v>
      </c>
      <c r="H211" s="218" t="s">
        <v>4505</v>
      </c>
      <c r="I211" s="219">
        <v>97.74</v>
      </c>
      <c r="J211" s="220">
        <v>99.17</v>
      </c>
      <c r="K211" s="221">
        <v>0.22090000000000001</v>
      </c>
      <c r="L211" s="222">
        <v>97.96</v>
      </c>
      <c r="M211" s="220">
        <v>99.39</v>
      </c>
      <c r="N211" s="223">
        <v>1.2</v>
      </c>
      <c r="O211" s="219">
        <v>100.59</v>
      </c>
      <c r="P211" s="224">
        <v>4.9799999999999997E-2</v>
      </c>
      <c r="Q211" s="225">
        <v>4.5400000000000003E-2</v>
      </c>
      <c r="R211" s="225" t="s">
        <v>550</v>
      </c>
      <c r="S211" s="226" t="s">
        <v>1745</v>
      </c>
      <c r="T211" s="226"/>
      <c r="U211" s="226" t="s">
        <v>1767</v>
      </c>
      <c r="V211" s="227">
        <v>2.7187999999999999</v>
      </c>
      <c r="W211" s="227"/>
      <c r="X211" s="226"/>
      <c r="Y211" s="409">
        <v>4.6769999999999999E-2</v>
      </c>
      <c r="Z211" s="410">
        <v>2</v>
      </c>
      <c r="AA211" s="192" t="s">
        <v>3892</v>
      </c>
      <c r="AB211" s="411" t="s">
        <v>3277</v>
      </c>
      <c r="AC211" s="412">
        <v>100.37</v>
      </c>
      <c r="AD211" s="412">
        <v>6</v>
      </c>
      <c r="AE211" s="409" t="s">
        <v>2410</v>
      </c>
      <c r="AF211" s="409" t="s">
        <v>3747</v>
      </c>
      <c r="AG211" s="409" t="s">
        <v>4476</v>
      </c>
      <c r="AH211" s="409" t="s">
        <v>162</v>
      </c>
      <c r="AI211" s="409" t="s">
        <v>40</v>
      </c>
      <c r="AJ211" s="242" t="s">
        <v>2421</v>
      </c>
      <c r="AK211" s="242" t="s">
        <v>2419</v>
      </c>
      <c r="AL211" s="242" t="s">
        <v>2412</v>
      </c>
      <c r="AM211" s="242" t="s">
        <v>2419</v>
      </c>
      <c r="AN211" s="421" t="s">
        <v>2413</v>
      </c>
      <c r="AO211" s="421" t="s">
        <v>3462</v>
      </c>
      <c r="AP211" s="242" t="s">
        <v>1943</v>
      </c>
      <c r="AQ211" s="242" t="s">
        <v>3278</v>
      </c>
      <c r="AR211" s="242" t="s">
        <v>3278</v>
      </c>
      <c r="AS211" s="242" t="s">
        <v>3279</v>
      </c>
      <c r="AT211" s="797" t="s">
        <v>2419</v>
      </c>
      <c r="AU211" s="242" t="s">
        <v>3476</v>
      </c>
      <c r="AV211" s="193"/>
      <c r="AW211" s="191"/>
    </row>
    <row r="212" spans="1:49" ht="17.149999999999999" customHeight="1">
      <c r="A212" s="395"/>
      <c r="B212" s="342" t="s">
        <v>1216</v>
      </c>
      <c r="C212" s="213" t="s">
        <v>1217</v>
      </c>
      <c r="D212" s="228" t="s">
        <v>621</v>
      </c>
      <c r="E212" s="229">
        <v>5.0999999999999996</v>
      </c>
      <c r="F212" s="230" t="s">
        <v>289</v>
      </c>
      <c r="G212" s="231" t="s">
        <v>0</v>
      </c>
      <c r="H212" s="232" t="s">
        <v>4505</v>
      </c>
      <c r="I212" s="233">
        <v>92.97</v>
      </c>
      <c r="J212" s="234">
        <v>94.13000000000001</v>
      </c>
      <c r="K212" s="235">
        <v>1.3</v>
      </c>
      <c r="L212" s="236">
        <v>94.27</v>
      </c>
      <c r="M212" s="234">
        <v>95.43</v>
      </c>
      <c r="N212" s="237">
        <v>1.5</v>
      </c>
      <c r="O212" s="233">
        <v>96.93</v>
      </c>
      <c r="P212" s="238">
        <v>4.5499999999999999E-2</v>
      </c>
      <c r="Q212" s="239">
        <v>4.2099999999999999E-2</v>
      </c>
      <c r="R212" s="239" t="s">
        <v>557</v>
      </c>
      <c r="S212" s="240" t="s">
        <v>1745</v>
      </c>
      <c r="T212" s="240"/>
      <c r="U212" s="240">
        <v>4.24E-2</v>
      </c>
      <c r="V212" s="241">
        <v>4.5629</v>
      </c>
      <c r="W212" s="241"/>
      <c r="X212" s="240"/>
      <c r="Y212" s="402">
        <v>3.2500000000000001E-2</v>
      </c>
      <c r="Z212" s="403">
        <v>2</v>
      </c>
      <c r="AA212" s="404" t="s">
        <v>1357</v>
      </c>
      <c r="AB212" s="405" t="s">
        <v>3280</v>
      </c>
      <c r="AC212" s="406">
        <v>95.63000000000001</v>
      </c>
      <c r="AD212" s="406">
        <v>11</v>
      </c>
      <c r="AE212" s="402" t="s">
        <v>2410</v>
      </c>
      <c r="AF212" s="402" t="s">
        <v>2505</v>
      </c>
      <c r="AG212" s="402" t="s">
        <v>3908</v>
      </c>
      <c r="AH212" s="402" t="s">
        <v>165</v>
      </c>
      <c r="AI212" s="402" t="s">
        <v>49</v>
      </c>
      <c r="AJ212" s="407" t="s">
        <v>2512</v>
      </c>
      <c r="AK212" s="407" t="s">
        <v>3281</v>
      </c>
      <c r="AL212" s="407" t="s">
        <v>2412</v>
      </c>
      <c r="AM212" s="407" t="s">
        <v>2413</v>
      </c>
      <c r="AN212" s="420" t="s">
        <v>2414</v>
      </c>
      <c r="AO212" s="420" t="s">
        <v>2415</v>
      </c>
      <c r="AP212" s="407" t="s">
        <v>1945</v>
      </c>
      <c r="AQ212" s="407" t="s">
        <v>3282</v>
      </c>
      <c r="AR212" s="407" t="s">
        <v>3282</v>
      </c>
      <c r="AS212" s="407" t="s">
        <v>3283</v>
      </c>
      <c r="AT212" s="798" t="s">
        <v>2419</v>
      </c>
      <c r="AU212" s="407" t="s">
        <v>3476</v>
      </c>
      <c r="AV212" s="408"/>
      <c r="AW212" s="191"/>
    </row>
    <row r="213" spans="1:49" ht="17">
      <c r="A213" s="395"/>
      <c r="B213" s="342" t="s">
        <v>1218</v>
      </c>
      <c r="C213" s="213" t="s">
        <v>1219</v>
      </c>
      <c r="D213" s="214" t="s">
        <v>621</v>
      </c>
      <c r="E213" s="215">
        <v>8.1</v>
      </c>
      <c r="F213" s="216" t="s">
        <v>290</v>
      </c>
      <c r="G213" s="217" t="s">
        <v>0</v>
      </c>
      <c r="H213" s="218" t="s">
        <v>4505</v>
      </c>
      <c r="I213" s="219">
        <v>90.03</v>
      </c>
      <c r="J213" s="220">
        <v>91.24</v>
      </c>
      <c r="K213" s="221">
        <v>1.34</v>
      </c>
      <c r="L213" s="222">
        <v>91.37</v>
      </c>
      <c r="M213" s="220">
        <v>92.58</v>
      </c>
      <c r="N213" s="223">
        <v>2</v>
      </c>
      <c r="O213" s="219">
        <v>94.58</v>
      </c>
      <c r="P213" s="224">
        <v>4.6600000000000003E-2</v>
      </c>
      <c r="Q213" s="225">
        <v>4.3499999999999997E-2</v>
      </c>
      <c r="R213" s="225" t="s">
        <v>557</v>
      </c>
      <c r="S213" s="226" t="s">
        <v>1745</v>
      </c>
      <c r="T213" s="226"/>
      <c r="U213" s="226">
        <v>4.3799999999999999E-2</v>
      </c>
      <c r="V213" s="227">
        <v>6.8532999999999999</v>
      </c>
      <c r="W213" s="227"/>
      <c r="X213" s="226"/>
      <c r="Y213" s="409">
        <v>3.3500000000000002E-2</v>
      </c>
      <c r="Z213" s="410">
        <v>2</v>
      </c>
      <c r="AA213" s="192" t="s">
        <v>1357</v>
      </c>
      <c r="AB213" s="411" t="s">
        <v>3284</v>
      </c>
      <c r="AC213" s="412">
        <v>93.24</v>
      </c>
      <c r="AD213" s="412">
        <v>17</v>
      </c>
      <c r="AE213" s="409" t="s">
        <v>2410</v>
      </c>
      <c r="AF213" s="409" t="s">
        <v>2505</v>
      </c>
      <c r="AG213" s="409" t="s">
        <v>3908</v>
      </c>
      <c r="AH213" s="409" t="s">
        <v>165</v>
      </c>
      <c r="AI213" s="409" t="s">
        <v>49</v>
      </c>
      <c r="AJ213" s="242" t="s">
        <v>2512</v>
      </c>
      <c r="AK213" s="242" t="s">
        <v>3285</v>
      </c>
      <c r="AL213" s="242" t="s">
        <v>2412</v>
      </c>
      <c r="AM213" s="242" t="s">
        <v>2413</v>
      </c>
      <c r="AN213" s="421" t="s">
        <v>2414</v>
      </c>
      <c r="AO213" s="421" t="s">
        <v>2415</v>
      </c>
      <c r="AP213" s="242" t="s">
        <v>1945</v>
      </c>
      <c r="AQ213" s="242" t="s">
        <v>3282</v>
      </c>
      <c r="AR213" s="242" t="s">
        <v>3282</v>
      </c>
      <c r="AS213" s="242" t="s">
        <v>3283</v>
      </c>
      <c r="AT213" s="797" t="s">
        <v>2419</v>
      </c>
      <c r="AU213" s="242" t="s">
        <v>3476</v>
      </c>
      <c r="AV213" s="193"/>
      <c r="AW213" s="191"/>
    </row>
    <row r="214" spans="1:49" ht="17.149999999999999" customHeight="1">
      <c r="A214" s="395"/>
      <c r="B214" s="342" t="s">
        <v>1220</v>
      </c>
      <c r="C214" s="213" t="s">
        <v>1221</v>
      </c>
      <c r="D214" s="228" t="s">
        <v>931</v>
      </c>
      <c r="E214" s="229">
        <v>8.1199999999999992</v>
      </c>
      <c r="F214" s="230" t="s">
        <v>1222</v>
      </c>
      <c r="G214" s="231" t="s">
        <v>0</v>
      </c>
      <c r="H214" s="232" t="s">
        <v>4505</v>
      </c>
      <c r="I214" s="233">
        <v>92.32</v>
      </c>
      <c r="J214" s="234">
        <v>93.490000000000009</v>
      </c>
      <c r="K214" s="235">
        <v>1.4651000000000001</v>
      </c>
      <c r="L214" s="236">
        <v>93.79</v>
      </c>
      <c r="M214" s="234">
        <v>94.96</v>
      </c>
      <c r="N214" s="237">
        <v>2</v>
      </c>
      <c r="O214" s="233">
        <v>96.96</v>
      </c>
      <c r="P214" s="238">
        <v>4.8300000000000003E-2</v>
      </c>
      <c r="Q214" s="239">
        <v>4.5199999999999997E-2</v>
      </c>
      <c r="R214" s="239" t="s">
        <v>557</v>
      </c>
      <c r="S214" s="240" t="s">
        <v>1745</v>
      </c>
      <c r="T214" s="240"/>
      <c r="U214" s="240">
        <v>4.5400000000000003E-2</v>
      </c>
      <c r="V214" s="241">
        <v>6.7439</v>
      </c>
      <c r="W214" s="241"/>
      <c r="X214" s="240"/>
      <c r="Y214" s="402">
        <v>3.85E-2</v>
      </c>
      <c r="Z214" s="403">
        <v>2</v>
      </c>
      <c r="AA214" s="404" t="s">
        <v>3286</v>
      </c>
      <c r="AB214" s="405" t="s">
        <v>3287</v>
      </c>
      <c r="AC214" s="406">
        <v>95.490000000000009</v>
      </c>
      <c r="AD214" s="406">
        <v>17</v>
      </c>
      <c r="AE214" s="402" t="s">
        <v>2410</v>
      </c>
      <c r="AF214" s="402" t="s">
        <v>2534</v>
      </c>
      <c r="AG214" s="402" t="s">
        <v>3909</v>
      </c>
      <c r="AH214" s="402" t="s">
        <v>164</v>
      </c>
      <c r="AI214" s="402" t="s">
        <v>3288</v>
      </c>
      <c r="AJ214" s="407" t="s">
        <v>3289</v>
      </c>
      <c r="AK214" s="407" t="s">
        <v>3290</v>
      </c>
      <c r="AL214" s="407" t="s">
        <v>2412</v>
      </c>
      <c r="AM214" s="407" t="s">
        <v>2413</v>
      </c>
      <c r="AN214" s="420" t="s">
        <v>2414</v>
      </c>
      <c r="AO214" s="420" t="s">
        <v>2415</v>
      </c>
      <c r="AP214" s="407" t="s">
        <v>1945</v>
      </c>
      <c r="AQ214" s="407" t="s">
        <v>3291</v>
      </c>
      <c r="AR214" s="407" t="s">
        <v>3292</v>
      </c>
      <c r="AS214" s="407" t="s">
        <v>3293</v>
      </c>
      <c r="AT214" s="798" t="s">
        <v>2419</v>
      </c>
      <c r="AU214" s="407" t="s">
        <v>3476</v>
      </c>
      <c r="AV214" s="408"/>
      <c r="AW214" s="191"/>
    </row>
    <row r="215" spans="1:49" ht="17">
      <c r="A215" s="395"/>
      <c r="B215" s="342" t="s">
        <v>1223</v>
      </c>
      <c r="C215" s="213" t="s">
        <v>1224</v>
      </c>
      <c r="D215" s="214" t="s">
        <v>931</v>
      </c>
      <c r="E215" s="215">
        <v>28.12</v>
      </c>
      <c r="F215" s="216" t="s">
        <v>1225</v>
      </c>
      <c r="G215" s="217" t="s">
        <v>0</v>
      </c>
      <c r="H215" s="218" t="s">
        <v>4505</v>
      </c>
      <c r="I215" s="219">
        <v>85.21</v>
      </c>
      <c r="J215" s="220">
        <v>86.7</v>
      </c>
      <c r="K215" s="221">
        <v>1.6935</v>
      </c>
      <c r="L215" s="222">
        <v>86.9</v>
      </c>
      <c r="M215" s="220">
        <v>88.39</v>
      </c>
      <c r="N215" s="223">
        <v>3.5</v>
      </c>
      <c r="O215" s="219">
        <v>91.89</v>
      </c>
      <c r="P215" s="224">
        <v>5.3699999999999998E-2</v>
      </c>
      <c r="Q215" s="225">
        <v>5.11E-2</v>
      </c>
      <c r="R215" s="225" t="s">
        <v>557</v>
      </c>
      <c r="S215" s="226" t="s">
        <v>1745</v>
      </c>
      <c r="T215" s="226"/>
      <c r="U215" s="226">
        <v>5.1200000000000002E-2</v>
      </c>
      <c r="V215" s="227">
        <v>14.818899999999999</v>
      </c>
      <c r="W215" s="227"/>
      <c r="X215" s="226"/>
      <c r="Y215" s="409">
        <v>4.4500000000000005E-2</v>
      </c>
      <c r="Z215" s="410">
        <v>2</v>
      </c>
      <c r="AA215" s="192" t="s">
        <v>3286</v>
      </c>
      <c r="AB215" s="411" t="s">
        <v>3294</v>
      </c>
      <c r="AC215" s="412">
        <v>90.2</v>
      </c>
      <c r="AD215" s="412">
        <v>57</v>
      </c>
      <c r="AE215" s="409" t="s">
        <v>2410</v>
      </c>
      <c r="AF215" s="409" t="s">
        <v>2534</v>
      </c>
      <c r="AG215" s="409" t="s">
        <v>3909</v>
      </c>
      <c r="AH215" s="409" t="s">
        <v>164</v>
      </c>
      <c r="AI215" s="409" t="s">
        <v>3288</v>
      </c>
      <c r="AJ215" s="242" t="s">
        <v>3289</v>
      </c>
      <c r="AK215" s="242" t="s">
        <v>3295</v>
      </c>
      <c r="AL215" s="242" t="s">
        <v>2412</v>
      </c>
      <c r="AM215" s="242" t="s">
        <v>2413</v>
      </c>
      <c r="AN215" s="421" t="s">
        <v>2414</v>
      </c>
      <c r="AO215" s="421" t="s">
        <v>2415</v>
      </c>
      <c r="AP215" s="242" t="s">
        <v>1945</v>
      </c>
      <c r="AQ215" s="242" t="s">
        <v>3291</v>
      </c>
      <c r="AR215" s="242" t="s">
        <v>3292</v>
      </c>
      <c r="AS215" s="242" t="s">
        <v>3293</v>
      </c>
      <c r="AT215" s="797" t="s">
        <v>2419</v>
      </c>
      <c r="AU215" s="242" t="s">
        <v>3476</v>
      </c>
      <c r="AV215" s="193"/>
      <c r="AW215" s="191"/>
    </row>
    <row r="216" spans="1:49" ht="17.149999999999999" customHeight="1">
      <c r="A216" s="395"/>
      <c r="B216" s="342" t="s">
        <v>1226</v>
      </c>
      <c r="C216" s="213" t="s">
        <v>1227</v>
      </c>
      <c r="D216" s="228" t="s">
        <v>1012</v>
      </c>
      <c r="E216" s="229">
        <v>8.1199999999999992</v>
      </c>
      <c r="F216" s="230" t="s">
        <v>1228</v>
      </c>
      <c r="G216" s="231" t="s">
        <v>0</v>
      </c>
      <c r="H216" s="232" t="s">
        <v>4505</v>
      </c>
      <c r="I216" s="233">
        <v>88.67</v>
      </c>
      <c r="J216" s="234">
        <v>90.02000000000001</v>
      </c>
      <c r="K216" s="235">
        <v>1.2367999999999999</v>
      </c>
      <c r="L216" s="236">
        <v>89.91</v>
      </c>
      <c r="M216" s="234">
        <v>91.26</v>
      </c>
      <c r="N216" s="237">
        <v>2</v>
      </c>
      <c r="O216" s="233">
        <v>93.26</v>
      </c>
      <c r="P216" s="238">
        <v>4.7399999999999998E-2</v>
      </c>
      <c r="Q216" s="239">
        <v>4.4299999999999999E-2</v>
      </c>
      <c r="R216" s="239" t="s">
        <v>557</v>
      </c>
      <c r="S216" s="240" t="s">
        <v>1745</v>
      </c>
      <c r="T216" s="240"/>
      <c r="U216" s="240">
        <v>4.4600000000000001E-2</v>
      </c>
      <c r="V216" s="241">
        <v>6.8879999999999999</v>
      </c>
      <c r="W216" s="241"/>
      <c r="X216" s="240"/>
      <c r="Y216" s="402">
        <v>3.2500000000000001E-2</v>
      </c>
      <c r="Z216" s="403">
        <v>2</v>
      </c>
      <c r="AA216" s="404" t="s">
        <v>1508</v>
      </c>
      <c r="AB216" s="405" t="s">
        <v>3287</v>
      </c>
      <c r="AC216" s="406">
        <v>92.02000000000001</v>
      </c>
      <c r="AD216" s="406">
        <v>17</v>
      </c>
      <c r="AE216" s="402" t="s">
        <v>2410</v>
      </c>
      <c r="AF216" s="402" t="s">
        <v>2534</v>
      </c>
      <c r="AG216" s="402" t="s">
        <v>3909</v>
      </c>
      <c r="AH216" s="402" t="s">
        <v>166</v>
      </c>
      <c r="AI216" s="402" t="s">
        <v>3296</v>
      </c>
      <c r="AJ216" s="407" t="s">
        <v>3904</v>
      </c>
      <c r="AK216" s="407" t="s">
        <v>3290</v>
      </c>
      <c r="AL216" s="407" t="s">
        <v>2412</v>
      </c>
      <c r="AM216" s="407" t="s">
        <v>2413</v>
      </c>
      <c r="AN216" s="420" t="s">
        <v>2414</v>
      </c>
      <c r="AO216" s="420" t="s">
        <v>2415</v>
      </c>
      <c r="AP216" s="407" t="s">
        <v>1945</v>
      </c>
      <c r="AQ216" s="407" t="s">
        <v>3292</v>
      </c>
      <c r="AR216" s="407" t="s">
        <v>3292</v>
      </c>
      <c r="AS216" s="407" t="s">
        <v>3293</v>
      </c>
      <c r="AT216" s="798" t="s">
        <v>2419</v>
      </c>
      <c r="AU216" s="407" t="s">
        <v>3476</v>
      </c>
      <c r="AV216" s="408"/>
      <c r="AW216" s="191"/>
    </row>
    <row r="217" spans="1:49" ht="17">
      <c r="A217" s="395"/>
      <c r="B217" s="342" t="s">
        <v>1229</v>
      </c>
      <c r="C217" s="213" t="s">
        <v>1230</v>
      </c>
      <c r="D217" s="214" t="s">
        <v>1231</v>
      </c>
      <c r="E217" s="215">
        <v>2.69</v>
      </c>
      <c r="F217" s="216" t="s">
        <v>1232</v>
      </c>
      <c r="G217" s="217" t="s">
        <v>529</v>
      </c>
      <c r="H217" s="218" t="s">
        <v>4508</v>
      </c>
      <c r="I217" s="219">
        <v>101.07</v>
      </c>
      <c r="J217" s="220">
        <v>103.04</v>
      </c>
      <c r="K217" s="221">
        <v>1.2163999999999999</v>
      </c>
      <c r="L217" s="222">
        <v>102.29</v>
      </c>
      <c r="M217" s="220">
        <v>104.26</v>
      </c>
      <c r="N217" s="223">
        <v>1</v>
      </c>
      <c r="O217" s="219">
        <v>105.26</v>
      </c>
      <c r="P217" s="224">
        <v>2.81E-2</v>
      </c>
      <c r="Q217" s="225">
        <v>2.4299999999999999E-2</v>
      </c>
      <c r="R217" s="225" t="s">
        <v>1233</v>
      </c>
      <c r="S217" s="226" t="s">
        <v>1746</v>
      </c>
      <c r="T217" s="226"/>
      <c r="U217" s="226" t="s">
        <v>1767</v>
      </c>
      <c r="V217" s="227">
        <v>2.5495999999999999</v>
      </c>
      <c r="W217" s="227"/>
      <c r="X217" s="226"/>
      <c r="Y217" s="409">
        <v>0.04</v>
      </c>
      <c r="Z217" s="410">
        <v>1</v>
      </c>
      <c r="AA217" s="192" t="s">
        <v>1389</v>
      </c>
      <c r="AB217" s="411" t="s">
        <v>3297</v>
      </c>
      <c r="AC217" s="412">
        <v>104.04</v>
      </c>
      <c r="AD217" s="412">
        <v>3</v>
      </c>
      <c r="AE217" s="409" t="s">
        <v>2478</v>
      </c>
      <c r="AF217" s="409" t="s">
        <v>2712</v>
      </c>
      <c r="AG217" s="409" t="s">
        <v>4019</v>
      </c>
      <c r="AH217" s="409" t="s">
        <v>162</v>
      </c>
      <c r="AI217" s="409" t="s">
        <v>1013</v>
      </c>
      <c r="AJ217" s="242" t="s">
        <v>3031</v>
      </c>
      <c r="AK217" s="242" t="s">
        <v>2419</v>
      </c>
      <c r="AL217" s="242" t="s">
        <v>2412</v>
      </c>
      <c r="AM217" s="242" t="s">
        <v>2419</v>
      </c>
      <c r="AN217" s="421" t="s">
        <v>2414</v>
      </c>
      <c r="AO217" s="421" t="s">
        <v>2415</v>
      </c>
      <c r="AP217" s="242" t="s">
        <v>2440</v>
      </c>
      <c r="AQ217" s="242" t="s">
        <v>3299</v>
      </c>
      <c r="AR217" s="242" t="s">
        <v>3299</v>
      </c>
      <c r="AS217" s="242" t="s">
        <v>3298</v>
      </c>
      <c r="AT217" s="797" t="s">
        <v>2419</v>
      </c>
      <c r="AU217" s="242" t="s">
        <v>3477</v>
      </c>
      <c r="AV217" s="193"/>
      <c r="AW217" s="191"/>
    </row>
    <row r="218" spans="1:49" ht="17.149999999999999" customHeight="1">
      <c r="A218" s="395"/>
      <c r="B218" s="342" t="s">
        <v>1234</v>
      </c>
      <c r="C218" s="213" t="s">
        <v>1235</v>
      </c>
      <c r="D218" s="228" t="s">
        <v>2258</v>
      </c>
      <c r="E218" s="229">
        <v>2.99</v>
      </c>
      <c r="F218" s="230" t="s">
        <v>1236</v>
      </c>
      <c r="G218" s="231" t="s">
        <v>0</v>
      </c>
      <c r="H218" s="232" t="s">
        <v>4505</v>
      </c>
      <c r="I218" s="233">
        <v>96.04</v>
      </c>
      <c r="J218" s="234">
        <v>96.92</v>
      </c>
      <c r="K218" s="235">
        <v>1.77E-2</v>
      </c>
      <c r="L218" s="236">
        <v>96.06</v>
      </c>
      <c r="M218" s="234">
        <v>96.94</v>
      </c>
      <c r="N218" s="237">
        <v>1</v>
      </c>
      <c r="O218" s="233">
        <v>97.94</v>
      </c>
      <c r="P218" s="238">
        <v>4.36E-2</v>
      </c>
      <c r="Q218" s="239">
        <v>3.9899999999999998E-2</v>
      </c>
      <c r="R218" s="239" t="s">
        <v>1778</v>
      </c>
      <c r="S218" s="240" t="s">
        <v>1745</v>
      </c>
      <c r="T218" s="240"/>
      <c r="U218" s="240" t="s">
        <v>1767</v>
      </c>
      <c r="V218" s="241">
        <v>2.8149999999999999</v>
      </c>
      <c r="W218" s="241"/>
      <c r="X218" s="240"/>
      <c r="Y218" s="402">
        <v>3.2500000000000001E-2</v>
      </c>
      <c r="Z218" s="403">
        <v>2</v>
      </c>
      <c r="AA218" s="404" t="s">
        <v>1345</v>
      </c>
      <c r="AB218" s="405" t="s">
        <v>3300</v>
      </c>
      <c r="AC218" s="406">
        <v>97.92</v>
      </c>
      <c r="AD218" s="406">
        <v>6</v>
      </c>
      <c r="AE218" s="402" t="s">
        <v>2410</v>
      </c>
      <c r="AF218" s="402" t="s">
        <v>3824</v>
      </c>
      <c r="AG218" s="402" t="s">
        <v>4528</v>
      </c>
      <c r="AH218" s="402" t="s">
        <v>163</v>
      </c>
      <c r="AI218" s="402" t="s">
        <v>50</v>
      </c>
      <c r="AJ218" s="407" t="s">
        <v>2562</v>
      </c>
      <c r="AK218" s="407" t="s">
        <v>2419</v>
      </c>
      <c r="AL218" s="407" t="s">
        <v>2412</v>
      </c>
      <c r="AM218" s="407" t="s">
        <v>2419</v>
      </c>
      <c r="AN218" s="420" t="s">
        <v>2419</v>
      </c>
      <c r="AO218" s="420" t="s">
        <v>2439</v>
      </c>
      <c r="AP218" s="407" t="s">
        <v>1948</v>
      </c>
      <c r="AQ218" s="407" t="s">
        <v>3301</v>
      </c>
      <c r="AR218" s="407" t="s">
        <v>3301</v>
      </c>
      <c r="AS218" s="407" t="s">
        <v>3302</v>
      </c>
      <c r="AT218" s="798" t="s">
        <v>2419</v>
      </c>
      <c r="AU218" s="407" t="s">
        <v>3476</v>
      </c>
      <c r="AV218" s="408"/>
      <c r="AW218" s="191"/>
    </row>
    <row r="219" spans="1:49" ht="17">
      <c r="A219" s="395"/>
      <c r="B219" s="342" t="s">
        <v>1237</v>
      </c>
      <c r="C219" s="213" t="s">
        <v>1238</v>
      </c>
      <c r="D219" s="214" t="s">
        <v>2258</v>
      </c>
      <c r="E219" s="215">
        <v>18.12</v>
      </c>
      <c r="F219" s="216" t="s">
        <v>1239</v>
      </c>
      <c r="G219" s="217" t="s">
        <v>0</v>
      </c>
      <c r="H219" s="218" t="s">
        <v>4505</v>
      </c>
      <c r="I219" s="219">
        <v>83.65</v>
      </c>
      <c r="J219" s="220">
        <v>84.97</v>
      </c>
      <c r="K219" s="221">
        <v>1.2795000000000001</v>
      </c>
      <c r="L219" s="222">
        <v>84.93</v>
      </c>
      <c r="M219" s="220">
        <v>86.25</v>
      </c>
      <c r="N219" s="223">
        <v>2</v>
      </c>
      <c r="O219" s="219">
        <v>88.25</v>
      </c>
      <c r="P219" s="224">
        <v>4.6100000000000002E-2</v>
      </c>
      <c r="Q219" s="225">
        <v>4.4299999999999999E-2</v>
      </c>
      <c r="R219" s="225" t="s">
        <v>1778</v>
      </c>
      <c r="S219" s="226" t="s">
        <v>1745</v>
      </c>
      <c r="T219" s="226"/>
      <c r="U219" s="226" t="s">
        <v>1767</v>
      </c>
      <c r="V219" s="227">
        <v>12.7896</v>
      </c>
      <c r="W219" s="227"/>
      <c r="X219" s="226"/>
      <c r="Y219" s="409">
        <v>3.3750000000000002E-2</v>
      </c>
      <c r="Z219" s="410">
        <v>2</v>
      </c>
      <c r="AA219" s="192" t="s">
        <v>1345</v>
      </c>
      <c r="AB219" s="411" t="s">
        <v>3303</v>
      </c>
      <c r="AC219" s="412">
        <v>86.97</v>
      </c>
      <c r="AD219" s="412">
        <v>37</v>
      </c>
      <c r="AE219" s="409" t="s">
        <v>2410</v>
      </c>
      <c r="AF219" s="409" t="s">
        <v>2534</v>
      </c>
      <c r="AG219" s="409" t="s">
        <v>3909</v>
      </c>
      <c r="AH219" s="409" t="s">
        <v>163</v>
      </c>
      <c r="AI219" s="409" t="s">
        <v>50</v>
      </c>
      <c r="AJ219" s="242" t="s">
        <v>2562</v>
      </c>
      <c r="AK219" s="242" t="s">
        <v>2419</v>
      </c>
      <c r="AL219" s="242" t="s">
        <v>2412</v>
      </c>
      <c r="AM219" s="242" t="s">
        <v>2419</v>
      </c>
      <c r="AN219" s="421" t="s">
        <v>2419</v>
      </c>
      <c r="AO219" s="421" t="s">
        <v>2439</v>
      </c>
      <c r="AP219" s="242" t="s">
        <v>1948</v>
      </c>
      <c r="AQ219" s="242" t="s">
        <v>3304</v>
      </c>
      <c r="AR219" s="242" t="s">
        <v>3305</v>
      </c>
      <c r="AS219" s="242" t="s">
        <v>3293</v>
      </c>
      <c r="AT219" s="797" t="s">
        <v>2419</v>
      </c>
      <c r="AU219" s="242" t="s">
        <v>3476</v>
      </c>
      <c r="AV219" s="193"/>
      <c r="AW219" s="191"/>
    </row>
    <row r="220" spans="1:49" ht="17.149999999999999" customHeight="1">
      <c r="A220" s="395"/>
      <c r="B220" s="342" t="s">
        <v>1240</v>
      </c>
      <c r="C220" s="213" t="s">
        <v>1241</v>
      </c>
      <c r="D220" s="228" t="s">
        <v>2258</v>
      </c>
      <c r="E220" s="229">
        <v>0.25</v>
      </c>
      <c r="F220" s="230" t="s">
        <v>1242</v>
      </c>
      <c r="G220" s="231" t="s">
        <v>0</v>
      </c>
      <c r="H220" s="232" t="s">
        <v>4505</v>
      </c>
      <c r="I220" s="233">
        <v>99.37</v>
      </c>
      <c r="J220" s="234">
        <v>100.07000000000001</v>
      </c>
      <c r="K220" s="235">
        <v>1.0799000000000001</v>
      </c>
      <c r="L220" s="236">
        <v>100.45</v>
      </c>
      <c r="M220" s="234">
        <v>101.15</v>
      </c>
      <c r="N220" s="237">
        <v>0.1</v>
      </c>
      <c r="O220" s="233">
        <v>101.25</v>
      </c>
      <c r="P220" s="238">
        <v>3.9199999999999999E-2</v>
      </c>
      <c r="Q220" s="239">
        <v>3.5099999999999999E-2</v>
      </c>
      <c r="R220" s="239" t="s">
        <v>1778</v>
      </c>
      <c r="S220" s="240" t="s">
        <v>1745</v>
      </c>
      <c r="T220" s="240"/>
      <c r="U220" s="240" t="s">
        <v>1767</v>
      </c>
      <c r="V220" s="241">
        <v>0.24329999999999999</v>
      </c>
      <c r="W220" s="241"/>
      <c r="X220" s="240"/>
      <c r="Y220" s="402">
        <v>4.2500000000000003E-2</v>
      </c>
      <c r="Z220" s="403">
        <v>2</v>
      </c>
      <c r="AA220" s="404" t="s">
        <v>1345</v>
      </c>
      <c r="AB220" s="405" t="s">
        <v>3306</v>
      </c>
      <c r="AC220" s="406">
        <v>100.17</v>
      </c>
      <c r="AD220" s="406">
        <v>1</v>
      </c>
      <c r="AE220" s="402" t="s">
        <v>2410</v>
      </c>
      <c r="AF220" s="402" t="s">
        <v>3168</v>
      </c>
      <c r="AG220" s="402" t="s">
        <v>3306</v>
      </c>
      <c r="AH220" s="402" t="s">
        <v>163</v>
      </c>
      <c r="AI220" s="402" t="s">
        <v>50</v>
      </c>
      <c r="AJ220" s="407" t="s">
        <v>2419</v>
      </c>
      <c r="AK220" s="407" t="s">
        <v>2419</v>
      </c>
      <c r="AL220" s="407" t="s">
        <v>2412</v>
      </c>
      <c r="AM220" s="407" t="s">
        <v>2419</v>
      </c>
      <c r="AN220" s="420" t="s">
        <v>2419</v>
      </c>
      <c r="AO220" s="420" t="s">
        <v>2439</v>
      </c>
      <c r="AP220" s="407" t="s">
        <v>1948</v>
      </c>
      <c r="AQ220" s="407" t="s">
        <v>3307</v>
      </c>
      <c r="AR220" s="407" t="s">
        <v>3307</v>
      </c>
      <c r="AS220" s="407" t="s">
        <v>3308</v>
      </c>
      <c r="AT220" s="798" t="s">
        <v>2419</v>
      </c>
      <c r="AU220" s="407" t="s">
        <v>3476</v>
      </c>
      <c r="AV220" s="408"/>
      <c r="AW220" s="191"/>
    </row>
    <row r="221" spans="1:49" ht="17">
      <c r="A221" s="395"/>
      <c r="B221" s="342" t="s">
        <v>1243</v>
      </c>
      <c r="C221" s="213" t="s">
        <v>1244</v>
      </c>
      <c r="D221" s="214" t="s">
        <v>2258</v>
      </c>
      <c r="E221" s="215">
        <v>1.2</v>
      </c>
      <c r="F221" s="216" t="s">
        <v>291</v>
      </c>
      <c r="G221" s="217" t="s">
        <v>0</v>
      </c>
      <c r="H221" s="218" t="s">
        <v>4505</v>
      </c>
      <c r="I221" s="219">
        <v>97.81</v>
      </c>
      <c r="J221" s="220">
        <v>98.53</v>
      </c>
      <c r="K221" s="221">
        <v>1.0367</v>
      </c>
      <c r="L221" s="222">
        <v>98.85</v>
      </c>
      <c r="M221" s="220">
        <v>99.57</v>
      </c>
      <c r="N221" s="223">
        <v>0.5</v>
      </c>
      <c r="O221" s="219">
        <v>100.07</v>
      </c>
      <c r="P221" s="224">
        <v>4.7699999999999999E-2</v>
      </c>
      <c r="Q221" s="225">
        <v>4.3299999999999998E-2</v>
      </c>
      <c r="R221" s="225" t="s">
        <v>1778</v>
      </c>
      <c r="S221" s="226" t="s">
        <v>1745</v>
      </c>
      <c r="T221" s="226"/>
      <c r="U221" s="226" t="s">
        <v>1767</v>
      </c>
      <c r="V221" s="227">
        <v>1.1508</v>
      </c>
      <c r="W221" s="227"/>
      <c r="X221" s="226"/>
      <c r="Y221" s="409">
        <v>3.5000000000000003E-2</v>
      </c>
      <c r="Z221" s="410">
        <v>2</v>
      </c>
      <c r="AA221" s="192" t="s">
        <v>1345</v>
      </c>
      <c r="AB221" s="411" t="s">
        <v>3309</v>
      </c>
      <c r="AC221" s="412">
        <v>99.03</v>
      </c>
      <c r="AD221" s="412">
        <v>3</v>
      </c>
      <c r="AE221" s="409" t="s">
        <v>2410</v>
      </c>
      <c r="AF221" s="409" t="s">
        <v>2491</v>
      </c>
      <c r="AG221" s="409" t="s">
        <v>4021</v>
      </c>
      <c r="AH221" s="409" t="s">
        <v>163</v>
      </c>
      <c r="AI221" s="409" t="s">
        <v>50</v>
      </c>
      <c r="AJ221" s="242" t="s">
        <v>2562</v>
      </c>
      <c r="AK221" s="242" t="s">
        <v>2419</v>
      </c>
      <c r="AL221" s="242" t="s">
        <v>2412</v>
      </c>
      <c r="AM221" s="242" t="s">
        <v>2419</v>
      </c>
      <c r="AN221" s="421" t="s">
        <v>2419</v>
      </c>
      <c r="AO221" s="421" t="s">
        <v>2439</v>
      </c>
      <c r="AP221" s="242" t="s">
        <v>1948</v>
      </c>
      <c r="AQ221" s="242" t="s">
        <v>3310</v>
      </c>
      <c r="AR221" s="242" t="s">
        <v>3310</v>
      </c>
      <c r="AS221" s="242" t="s">
        <v>3311</v>
      </c>
      <c r="AT221" s="797" t="s">
        <v>2419</v>
      </c>
      <c r="AU221" s="242" t="s">
        <v>3476</v>
      </c>
      <c r="AV221" s="193"/>
      <c r="AW221" s="191"/>
    </row>
    <row r="222" spans="1:49" ht="17.149999999999999" customHeight="1">
      <c r="A222" s="395"/>
      <c r="B222" s="342" t="s">
        <v>1245</v>
      </c>
      <c r="C222" s="213" t="s">
        <v>1246</v>
      </c>
      <c r="D222" s="228" t="s">
        <v>3896</v>
      </c>
      <c r="E222" s="229">
        <v>3.2</v>
      </c>
      <c r="F222" s="230" t="s">
        <v>292</v>
      </c>
      <c r="G222" s="231" t="s">
        <v>0</v>
      </c>
      <c r="H222" s="232" t="s">
        <v>4505</v>
      </c>
      <c r="I222" s="233">
        <v>98.95</v>
      </c>
      <c r="J222" s="234">
        <v>100.42</v>
      </c>
      <c r="K222" s="235">
        <v>1.5139</v>
      </c>
      <c r="L222" s="236">
        <v>100.46</v>
      </c>
      <c r="M222" s="234">
        <v>101.93</v>
      </c>
      <c r="N222" s="237">
        <v>1</v>
      </c>
      <c r="O222" s="233">
        <v>102.93</v>
      </c>
      <c r="P222" s="238">
        <v>4.8500000000000001E-2</v>
      </c>
      <c r="Q222" s="239">
        <v>4.5199999999999997E-2</v>
      </c>
      <c r="R222" s="239" t="s">
        <v>557</v>
      </c>
      <c r="S222" s="240" t="s">
        <v>1745</v>
      </c>
      <c r="T222" s="240"/>
      <c r="U222" s="240" t="s">
        <v>1767</v>
      </c>
      <c r="V222" s="241">
        <v>2.8818000000000001</v>
      </c>
      <c r="W222" s="241"/>
      <c r="X222" s="240"/>
      <c r="Y222" s="402">
        <v>0.05</v>
      </c>
      <c r="Z222" s="403">
        <v>2</v>
      </c>
      <c r="AA222" s="404" t="s">
        <v>1359</v>
      </c>
      <c r="AB222" s="405" t="s">
        <v>3312</v>
      </c>
      <c r="AC222" s="406">
        <v>101.42</v>
      </c>
      <c r="AD222" s="406">
        <v>7</v>
      </c>
      <c r="AE222" s="402" t="s">
        <v>2410</v>
      </c>
      <c r="AF222" s="402" t="s">
        <v>2578</v>
      </c>
      <c r="AG222" s="402" t="s">
        <v>4012</v>
      </c>
      <c r="AH222" s="402" t="s">
        <v>162</v>
      </c>
      <c r="AI222" s="402" t="s">
        <v>3313</v>
      </c>
      <c r="AJ222" s="407" t="s">
        <v>3982</v>
      </c>
      <c r="AK222" s="407" t="s">
        <v>2419</v>
      </c>
      <c r="AL222" s="407" t="s">
        <v>2412</v>
      </c>
      <c r="AM222" s="407" t="s">
        <v>2419</v>
      </c>
      <c r="AN222" s="420" t="s">
        <v>3034</v>
      </c>
      <c r="AO222" s="420" t="s">
        <v>2415</v>
      </c>
      <c r="AP222" s="407" t="s">
        <v>1945</v>
      </c>
      <c r="AQ222" s="407" t="s">
        <v>3314</v>
      </c>
      <c r="AR222" s="407" t="s">
        <v>3314</v>
      </c>
      <c r="AS222" s="407" t="s">
        <v>3315</v>
      </c>
      <c r="AT222" s="798" t="s">
        <v>2419</v>
      </c>
      <c r="AU222" s="407" t="s">
        <v>3476</v>
      </c>
      <c r="AV222" s="408"/>
      <c r="AW222" s="191"/>
    </row>
    <row r="223" spans="1:49" ht="17">
      <c r="A223" s="395"/>
      <c r="B223" s="342" t="s">
        <v>1247</v>
      </c>
      <c r="C223" s="213" t="s">
        <v>1248</v>
      </c>
      <c r="D223" s="214" t="s">
        <v>1249</v>
      </c>
      <c r="E223" s="215">
        <v>4.2</v>
      </c>
      <c r="F223" s="216" t="s">
        <v>1250</v>
      </c>
      <c r="G223" s="217" t="s">
        <v>0</v>
      </c>
      <c r="H223" s="218" t="s">
        <v>4505</v>
      </c>
      <c r="I223" s="219">
        <v>99.69</v>
      </c>
      <c r="J223" s="220">
        <v>100.71000000000001</v>
      </c>
      <c r="K223" s="221">
        <v>1.6392</v>
      </c>
      <c r="L223" s="222">
        <v>101.33</v>
      </c>
      <c r="M223" s="220">
        <v>102.35</v>
      </c>
      <c r="N223" s="223">
        <v>1.5</v>
      </c>
      <c r="O223" s="219">
        <v>103.85</v>
      </c>
      <c r="P223" s="224">
        <v>5.6000000000000001E-2</v>
      </c>
      <c r="Q223" s="225">
        <v>5.1999999999999998E-2</v>
      </c>
      <c r="R223" s="225" t="s">
        <v>550</v>
      </c>
      <c r="S223" s="226" t="s">
        <v>1745</v>
      </c>
      <c r="T223" s="226"/>
      <c r="U223" s="226">
        <v>4.6600000000000003E-2</v>
      </c>
      <c r="V223" s="227">
        <v>2.8628999999999998</v>
      </c>
      <c r="W223" s="227"/>
      <c r="X223" s="226"/>
      <c r="Y223" s="409">
        <v>5.4139999999999994E-2</v>
      </c>
      <c r="Z223" s="410">
        <v>2</v>
      </c>
      <c r="AA223" s="192" t="s">
        <v>1509</v>
      </c>
      <c r="AB223" s="411" t="s">
        <v>3316</v>
      </c>
      <c r="AC223" s="412">
        <v>102.21000000000001</v>
      </c>
      <c r="AD223" s="412">
        <v>9</v>
      </c>
      <c r="AE223" s="409" t="s">
        <v>2410</v>
      </c>
      <c r="AF223" s="409" t="s">
        <v>2578</v>
      </c>
      <c r="AG223" s="409" t="s">
        <v>4012</v>
      </c>
      <c r="AH223" s="409" t="s">
        <v>162</v>
      </c>
      <c r="AI223" s="409" t="s">
        <v>192</v>
      </c>
      <c r="AJ223" s="242" t="s">
        <v>3869</v>
      </c>
      <c r="AK223" s="242" t="s">
        <v>3312</v>
      </c>
      <c r="AL223" s="242" t="s">
        <v>2693</v>
      </c>
      <c r="AM223" s="242" t="s">
        <v>2422</v>
      </c>
      <c r="AN223" s="421" t="s">
        <v>2422</v>
      </c>
      <c r="AO223" s="421" t="s">
        <v>2415</v>
      </c>
      <c r="AP223" s="242" t="s">
        <v>1945</v>
      </c>
      <c r="AQ223" s="242" t="s">
        <v>3314</v>
      </c>
      <c r="AR223" s="242" t="s">
        <v>3314</v>
      </c>
      <c r="AS223" s="242" t="s">
        <v>3315</v>
      </c>
      <c r="AT223" s="797" t="s">
        <v>2419</v>
      </c>
      <c r="AU223" s="242" t="s">
        <v>3484</v>
      </c>
      <c r="AV223" s="193"/>
      <c r="AW223" s="191"/>
    </row>
    <row r="224" spans="1:49" ht="17.149999999999999" customHeight="1">
      <c r="A224" s="395"/>
      <c r="B224" s="342" t="s">
        <v>1251</v>
      </c>
      <c r="C224" s="213" t="s">
        <v>1252</v>
      </c>
      <c r="D224" s="228" t="s">
        <v>691</v>
      </c>
      <c r="E224" s="229">
        <v>3.3</v>
      </c>
      <c r="F224" s="230" t="s">
        <v>1253</v>
      </c>
      <c r="G224" s="231" t="s">
        <v>0</v>
      </c>
      <c r="H224" s="232" t="s">
        <v>4505</v>
      </c>
      <c r="I224" s="233">
        <v>94.08</v>
      </c>
      <c r="J224" s="234">
        <v>95.08</v>
      </c>
      <c r="K224" s="235">
        <v>0.64059999999999995</v>
      </c>
      <c r="L224" s="236">
        <v>94.72</v>
      </c>
      <c r="M224" s="234">
        <v>95.72</v>
      </c>
      <c r="N224" s="237">
        <v>1.2</v>
      </c>
      <c r="O224" s="233">
        <v>96.92</v>
      </c>
      <c r="P224" s="238">
        <v>4.8800000000000003E-2</v>
      </c>
      <c r="Q224" s="239">
        <v>4.4699999999999997E-2</v>
      </c>
      <c r="R224" s="239" t="s">
        <v>557</v>
      </c>
      <c r="S224" s="240" t="s">
        <v>1745</v>
      </c>
      <c r="T224" s="240"/>
      <c r="U224" s="240">
        <v>4.9799999999999997E-2</v>
      </c>
      <c r="V224" s="241">
        <v>3.0607000000000002</v>
      </c>
      <c r="W224" s="241"/>
      <c r="X224" s="240"/>
      <c r="Y224" s="402">
        <v>3.2480000000000002E-2</v>
      </c>
      <c r="Z224" s="403">
        <v>2</v>
      </c>
      <c r="AA224" s="404" t="s">
        <v>1392</v>
      </c>
      <c r="AB224" s="405" t="s">
        <v>3317</v>
      </c>
      <c r="AC224" s="406">
        <v>96.28</v>
      </c>
      <c r="AD224" s="406">
        <v>7</v>
      </c>
      <c r="AE224" s="402" t="s">
        <v>2410</v>
      </c>
      <c r="AF224" s="402" t="s">
        <v>3318</v>
      </c>
      <c r="AG224" s="402" t="s">
        <v>4101</v>
      </c>
      <c r="AH224" s="402" t="s">
        <v>162</v>
      </c>
      <c r="AI224" s="402" t="s">
        <v>79</v>
      </c>
      <c r="AJ224" s="407" t="s">
        <v>3792</v>
      </c>
      <c r="AK224" s="407" t="s">
        <v>3319</v>
      </c>
      <c r="AL224" s="407" t="s">
        <v>2412</v>
      </c>
      <c r="AM224" s="407" t="s">
        <v>2422</v>
      </c>
      <c r="AN224" s="420" t="s">
        <v>2422</v>
      </c>
      <c r="AO224" s="420" t="s">
        <v>2415</v>
      </c>
      <c r="AP224" s="407" t="s">
        <v>1945</v>
      </c>
      <c r="AQ224" s="407" t="s">
        <v>3320</v>
      </c>
      <c r="AR224" s="407" t="s">
        <v>3320</v>
      </c>
      <c r="AS224" s="407" t="s">
        <v>3321</v>
      </c>
      <c r="AT224" s="798" t="s">
        <v>2419</v>
      </c>
      <c r="AU224" s="407" t="s">
        <v>3476</v>
      </c>
      <c r="AV224" s="408"/>
      <c r="AW224" s="191"/>
    </row>
    <row r="225" spans="1:49" ht="17">
      <c r="A225" s="395"/>
      <c r="B225" s="342" t="s">
        <v>1254</v>
      </c>
      <c r="C225" s="213" t="s">
        <v>1255</v>
      </c>
      <c r="D225" s="214" t="s">
        <v>909</v>
      </c>
      <c r="E225" s="215">
        <v>8.6199999999999992</v>
      </c>
      <c r="F225" s="216" t="s">
        <v>1256</v>
      </c>
      <c r="G225" s="217" t="s">
        <v>0</v>
      </c>
      <c r="H225" s="218" t="s">
        <v>4505</v>
      </c>
      <c r="I225" s="219">
        <v>99.23</v>
      </c>
      <c r="J225" s="220">
        <v>100.53</v>
      </c>
      <c r="K225" s="221">
        <v>1.9028</v>
      </c>
      <c r="L225" s="222">
        <v>101.13</v>
      </c>
      <c r="M225" s="220">
        <v>102.43</v>
      </c>
      <c r="N225" s="223">
        <v>1.5</v>
      </c>
      <c r="O225" s="219">
        <v>103.93</v>
      </c>
      <c r="P225" s="224">
        <v>4.9200000000000001E-2</v>
      </c>
      <c r="Q225" s="225">
        <v>4.7100000000000003E-2</v>
      </c>
      <c r="R225" s="225" t="s">
        <v>557</v>
      </c>
      <c r="S225" s="226" t="s">
        <v>1745</v>
      </c>
      <c r="T225" s="226"/>
      <c r="U225" s="226">
        <v>4.7E-2</v>
      </c>
      <c r="V225" s="227">
        <v>6.6574</v>
      </c>
      <c r="W225" s="227"/>
      <c r="X225" s="226"/>
      <c r="Y225" s="409">
        <v>0.05</v>
      </c>
      <c r="Z225" s="410">
        <v>2</v>
      </c>
      <c r="AA225" s="192" t="s">
        <v>1510</v>
      </c>
      <c r="AB225" s="411" t="s">
        <v>2533</v>
      </c>
      <c r="AC225" s="412">
        <v>102.03</v>
      </c>
      <c r="AD225" s="412">
        <v>18</v>
      </c>
      <c r="AE225" s="409" t="s">
        <v>2410</v>
      </c>
      <c r="AF225" s="409" t="s">
        <v>2534</v>
      </c>
      <c r="AG225" s="409" t="s">
        <v>3909</v>
      </c>
      <c r="AH225" s="409" t="s">
        <v>171</v>
      </c>
      <c r="AI225" s="409" t="s">
        <v>1257</v>
      </c>
      <c r="AJ225" s="242" t="s">
        <v>3322</v>
      </c>
      <c r="AK225" s="242" t="s">
        <v>3323</v>
      </c>
      <c r="AL225" s="242" t="s">
        <v>2412</v>
      </c>
      <c r="AM225" s="242" t="s">
        <v>2413</v>
      </c>
      <c r="AN225" s="421" t="s">
        <v>2414</v>
      </c>
      <c r="AO225" s="421" t="s">
        <v>2415</v>
      </c>
      <c r="AP225" s="242" t="s">
        <v>1945</v>
      </c>
      <c r="AQ225" s="242" t="s">
        <v>3324</v>
      </c>
      <c r="AR225" s="242" t="s">
        <v>3324</v>
      </c>
      <c r="AS225" s="242" t="s">
        <v>3293</v>
      </c>
      <c r="AT225" s="797" t="s">
        <v>2419</v>
      </c>
      <c r="AU225" s="242" t="s">
        <v>3476</v>
      </c>
      <c r="AV225" s="193"/>
      <c r="AW225" s="191"/>
    </row>
    <row r="226" spans="1:49" ht="17.149999999999999" customHeight="1">
      <c r="A226" s="395"/>
      <c r="B226" s="342" t="s">
        <v>1258</v>
      </c>
      <c r="C226" s="213" t="s">
        <v>1259</v>
      </c>
      <c r="D226" s="228" t="s">
        <v>634</v>
      </c>
      <c r="E226" s="229">
        <v>18.420000000000002</v>
      </c>
      <c r="F226" s="230" t="s">
        <v>1260</v>
      </c>
      <c r="G226" s="231" t="s">
        <v>0</v>
      </c>
      <c r="H226" s="232" t="s">
        <v>4505</v>
      </c>
      <c r="I226" s="233">
        <v>82.47</v>
      </c>
      <c r="J226" s="234">
        <v>84.02000000000001</v>
      </c>
      <c r="K226" s="235">
        <v>0.32629999999999998</v>
      </c>
      <c r="L226" s="236">
        <v>82.8</v>
      </c>
      <c r="M226" s="234">
        <v>84.35</v>
      </c>
      <c r="N226" s="237">
        <v>2.5</v>
      </c>
      <c r="O226" s="233">
        <v>86.85</v>
      </c>
      <c r="P226" s="238">
        <v>5.4300000000000001E-2</v>
      </c>
      <c r="Q226" s="239">
        <v>5.1999999999999998E-2</v>
      </c>
      <c r="R226" s="239" t="s">
        <v>557</v>
      </c>
      <c r="S226" s="240" t="s">
        <v>1745</v>
      </c>
      <c r="T226" s="240"/>
      <c r="U226" s="240" t="s">
        <v>1767</v>
      </c>
      <c r="V226" s="241">
        <v>12.253</v>
      </c>
      <c r="W226" s="241"/>
      <c r="X226" s="240"/>
      <c r="Y226" s="402">
        <v>4.0500000000000001E-2</v>
      </c>
      <c r="Z226" s="403">
        <v>2</v>
      </c>
      <c r="AA226" s="404" t="s">
        <v>1360</v>
      </c>
      <c r="AB226" s="405" t="s">
        <v>3325</v>
      </c>
      <c r="AC226" s="406">
        <v>86.52000000000001</v>
      </c>
      <c r="AD226" s="406">
        <v>37</v>
      </c>
      <c r="AE226" s="402" t="s">
        <v>2410</v>
      </c>
      <c r="AF226" s="402" t="s">
        <v>3473</v>
      </c>
      <c r="AG226" s="402" t="s">
        <v>4421</v>
      </c>
      <c r="AH226" s="402" t="s">
        <v>162</v>
      </c>
      <c r="AI226" s="402" t="s">
        <v>191</v>
      </c>
      <c r="AJ226" s="407" t="s">
        <v>2671</v>
      </c>
      <c r="AK226" s="407" t="s">
        <v>2419</v>
      </c>
      <c r="AL226" s="407" t="s">
        <v>2412</v>
      </c>
      <c r="AM226" s="407" t="s">
        <v>2419</v>
      </c>
      <c r="AN226" s="420" t="s">
        <v>2413</v>
      </c>
      <c r="AO226" s="420" t="s">
        <v>2415</v>
      </c>
      <c r="AP226" s="407" t="s">
        <v>1945</v>
      </c>
      <c r="AQ226" s="407" t="s">
        <v>3326</v>
      </c>
      <c r="AR226" s="407" t="s">
        <v>3327</v>
      </c>
      <c r="AS226" s="407" t="s">
        <v>3328</v>
      </c>
      <c r="AT226" s="798" t="s">
        <v>2419</v>
      </c>
      <c r="AU226" s="407" t="s">
        <v>3476</v>
      </c>
      <c r="AV226" s="408"/>
      <c r="AW226" s="191"/>
    </row>
    <row r="227" spans="1:49" ht="17">
      <c r="A227" s="395"/>
      <c r="B227" s="342" t="s">
        <v>1261</v>
      </c>
      <c r="C227" s="213" t="s">
        <v>1262</v>
      </c>
      <c r="D227" s="214" t="s">
        <v>3934</v>
      </c>
      <c r="E227" s="215">
        <v>19.87</v>
      </c>
      <c r="F227" s="216" t="s">
        <v>1263</v>
      </c>
      <c r="G227" s="217" t="s">
        <v>0</v>
      </c>
      <c r="H227" s="218" t="s">
        <v>4505</v>
      </c>
      <c r="I227" s="219">
        <v>86.5</v>
      </c>
      <c r="J227" s="220">
        <v>88.2</v>
      </c>
      <c r="K227" s="221">
        <v>0.60060000000000002</v>
      </c>
      <c r="L227" s="222">
        <v>87.1</v>
      </c>
      <c r="M227" s="220">
        <v>88.8</v>
      </c>
      <c r="N227" s="223">
        <v>2.5</v>
      </c>
      <c r="O227" s="219">
        <v>91.3</v>
      </c>
      <c r="P227" s="224">
        <v>5.5899999999999998E-2</v>
      </c>
      <c r="Q227" s="225">
        <v>5.3699999999999998E-2</v>
      </c>
      <c r="R227" s="225" t="s">
        <v>557</v>
      </c>
      <c r="S227" s="226" t="s">
        <v>1745</v>
      </c>
      <c r="T227" s="226"/>
      <c r="U227" s="226" t="s">
        <v>1767</v>
      </c>
      <c r="V227" s="227">
        <v>12.357900000000001</v>
      </c>
      <c r="W227" s="227"/>
      <c r="X227" s="226"/>
      <c r="Y227" s="409">
        <v>4.5999999999999999E-2</v>
      </c>
      <c r="Z227" s="410">
        <v>2</v>
      </c>
      <c r="AA227" s="192" t="s">
        <v>1427</v>
      </c>
      <c r="AB227" s="411" t="s">
        <v>2878</v>
      </c>
      <c r="AC227" s="412">
        <v>90.7</v>
      </c>
      <c r="AD227" s="412">
        <v>40</v>
      </c>
      <c r="AE227" s="409" t="s">
        <v>2410</v>
      </c>
      <c r="AF227" s="409" t="s">
        <v>2609</v>
      </c>
      <c r="AG227" s="409" t="s">
        <v>4341</v>
      </c>
      <c r="AH227" s="409" t="s">
        <v>162</v>
      </c>
      <c r="AI227" s="409" t="s">
        <v>152</v>
      </c>
      <c r="AJ227" s="242" t="s">
        <v>2419</v>
      </c>
      <c r="AK227" s="242" t="s">
        <v>2419</v>
      </c>
      <c r="AL227" s="242" t="s">
        <v>2412</v>
      </c>
      <c r="AM227" s="242" t="s">
        <v>2419</v>
      </c>
      <c r="AN227" s="421" t="s">
        <v>2414</v>
      </c>
      <c r="AO227" s="421" t="s">
        <v>2415</v>
      </c>
      <c r="AP227" s="242" t="s">
        <v>1945</v>
      </c>
      <c r="AQ227" s="242" t="s">
        <v>3329</v>
      </c>
      <c r="AR227" s="242" t="s">
        <v>3329</v>
      </c>
      <c r="AS227" s="242" t="s">
        <v>2881</v>
      </c>
      <c r="AT227" s="797" t="s">
        <v>2419</v>
      </c>
      <c r="AU227" s="242" t="s">
        <v>3476</v>
      </c>
      <c r="AV227" s="193"/>
      <c r="AW227" s="191"/>
    </row>
    <row r="228" spans="1:49" ht="17.149999999999999" customHeight="1">
      <c r="A228" s="395"/>
      <c r="B228" s="342" t="s">
        <v>1264</v>
      </c>
      <c r="C228" s="213" t="s">
        <v>1333</v>
      </c>
      <c r="D228" s="228" t="s">
        <v>3896</v>
      </c>
      <c r="E228" s="229">
        <v>4.93</v>
      </c>
      <c r="F228" s="230" t="s">
        <v>1265</v>
      </c>
      <c r="G228" s="231" t="s">
        <v>0</v>
      </c>
      <c r="H228" s="232" t="s">
        <v>4505</v>
      </c>
      <c r="I228" s="233">
        <v>96.3</v>
      </c>
      <c r="J228" s="234">
        <v>97.43</v>
      </c>
      <c r="K228" s="235">
        <v>0.30669999999999997</v>
      </c>
      <c r="L228" s="236">
        <v>96.61</v>
      </c>
      <c r="M228" s="234">
        <v>97.74</v>
      </c>
      <c r="N228" s="237">
        <v>1.5</v>
      </c>
      <c r="O228" s="233">
        <v>99.24</v>
      </c>
      <c r="P228" s="238">
        <v>5.1999999999999998E-2</v>
      </c>
      <c r="Q228" s="239">
        <v>4.8500000000000001E-2</v>
      </c>
      <c r="R228" s="239" t="s">
        <v>550</v>
      </c>
      <c r="S228" s="240" t="s">
        <v>1745</v>
      </c>
      <c r="T228" s="240"/>
      <c r="U228" s="240">
        <v>4.8500000000000001E-2</v>
      </c>
      <c r="V228" s="241">
        <v>4.3391000000000002</v>
      </c>
      <c r="W228" s="241"/>
      <c r="X228" s="240"/>
      <c r="Y228" s="402">
        <v>4.5999999999999999E-2</v>
      </c>
      <c r="Z228" s="403">
        <v>2</v>
      </c>
      <c r="AA228" s="404" t="s">
        <v>1350</v>
      </c>
      <c r="AB228" s="405" t="s">
        <v>3281</v>
      </c>
      <c r="AC228" s="406">
        <v>98.93</v>
      </c>
      <c r="AD228" s="406">
        <v>10</v>
      </c>
      <c r="AE228" s="402" t="s">
        <v>2410</v>
      </c>
      <c r="AF228" s="402" t="s">
        <v>3714</v>
      </c>
      <c r="AG228" s="402" t="s">
        <v>4440</v>
      </c>
      <c r="AH228" s="402" t="s">
        <v>170</v>
      </c>
      <c r="AI228" s="402" t="s">
        <v>331</v>
      </c>
      <c r="AJ228" s="407" t="s">
        <v>3330</v>
      </c>
      <c r="AK228" s="407" t="s">
        <v>3331</v>
      </c>
      <c r="AL228" s="407" t="s">
        <v>2412</v>
      </c>
      <c r="AM228" s="407" t="s">
        <v>2413</v>
      </c>
      <c r="AN228" s="420" t="s">
        <v>2414</v>
      </c>
      <c r="AO228" s="420" t="s">
        <v>2415</v>
      </c>
      <c r="AP228" s="407" t="s">
        <v>1945</v>
      </c>
      <c r="AQ228" s="407" t="s">
        <v>3332</v>
      </c>
      <c r="AR228" s="407" t="s">
        <v>3332</v>
      </c>
      <c r="AS228" s="407" t="s">
        <v>3333</v>
      </c>
      <c r="AT228" s="798" t="s">
        <v>2419</v>
      </c>
      <c r="AU228" s="407" t="s">
        <v>3476</v>
      </c>
      <c r="AV228" s="408"/>
      <c r="AW228" s="191"/>
    </row>
    <row r="229" spans="1:49" ht="17">
      <c r="A229" s="395"/>
      <c r="B229" s="342" t="s">
        <v>1266</v>
      </c>
      <c r="C229" s="213" t="s">
        <v>2048</v>
      </c>
      <c r="D229" s="214" t="s">
        <v>909</v>
      </c>
      <c r="E229" s="215">
        <v>3.41</v>
      </c>
      <c r="F229" s="216" t="s">
        <v>524</v>
      </c>
      <c r="G229" s="217" t="s">
        <v>0</v>
      </c>
      <c r="H229" s="218" t="s">
        <v>4505</v>
      </c>
      <c r="I229" s="219">
        <v>100.11</v>
      </c>
      <c r="J229" s="220">
        <v>101.10000000000001</v>
      </c>
      <c r="K229" s="221">
        <v>0.48130000000000001</v>
      </c>
      <c r="L229" s="222">
        <v>100.59</v>
      </c>
      <c r="M229" s="220">
        <v>101.58</v>
      </c>
      <c r="N229" s="223">
        <v>1.5</v>
      </c>
      <c r="O229" s="219">
        <v>103.08</v>
      </c>
      <c r="P229" s="224">
        <v>4.8899999999999999E-2</v>
      </c>
      <c r="Q229" s="225">
        <v>4.4200000000000003E-2</v>
      </c>
      <c r="R229" s="225" t="s">
        <v>550</v>
      </c>
      <c r="S229" s="226" t="s">
        <v>1745</v>
      </c>
      <c r="T229" s="226"/>
      <c r="U229" s="226" t="s">
        <v>1767</v>
      </c>
      <c r="V229" s="227">
        <v>3.0798000000000001</v>
      </c>
      <c r="W229" s="227"/>
      <c r="X229" s="226"/>
      <c r="Y229" s="409">
        <v>5.2499999999999998E-2</v>
      </c>
      <c r="Z229" s="410">
        <v>2</v>
      </c>
      <c r="AA229" s="192" t="s">
        <v>1346</v>
      </c>
      <c r="AB229" s="411" t="s">
        <v>3334</v>
      </c>
      <c r="AC229" s="412">
        <v>102.60000000000001</v>
      </c>
      <c r="AD229" s="412">
        <v>7</v>
      </c>
      <c r="AE229" s="409" t="s">
        <v>2410</v>
      </c>
      <c r="AF229" s="409" t="s">
        <v>3463</v>
      </c>
      <c r="AG229" s="409" t="s">
        <v>4377</v>
      </c>
      <c r="AH229" s="409" t="s">
        <v>170</v>
      </c>
      <c r="AI229" s="409" t="s">
        <v>224</v>
      </c>
      <c r="AJ229" s="242" t="s">
        <v>2964</v>
      </c>
      <c r="AK229" s="242" t="s">
        <v>2419</v>
      </c>
      <c r="AL229" s="242" t="s">
        <v>2412</v>
      </c>
      <c r="AM229" s="242" t="s">
        <v>2419</v>
      </c>
      <c r="AN229" s="421" t="s">
        <v>2414</v>
      </c>
      <c r="AO229" s="421" t="s">
        <v>2415</v>
      </c>
      <c r="AP229" s="242" t="s">
        <v>1945</v>
      </c>
      <c r="AQ229" s="242" t="s">
        <v>3336</v>
      </c>
      <c r="AR229" s="242" t="s">
        <v>3336</v>
      </c>
      <c r="AS229" s="242" t="s">
        <v>3335</v>
      </c>
      <c r="AT229" s="797" t="s">
        <v>2419</v>
      </c>
      <c r="AU229" s="242" t="s">
        <v>3476</v>
      </c>
      <c r="AV229" s="193"/>
      <c r="AW229" s="191"/>
    </row>
    <row r="230" spans="1:49" ht="17.149999999999999" customHeight="1">
      <c r="A230" s="395"/>
      <c r="B230" s="342" t="s">
        <v>1267</v>
      </c>
      <c r="C230" s="213" t="s">
        <v>1268</v>
      </c>
      <c r="D230" s="228" t="s">
        <v>909</v>
      </c>
      <c r="E230" s="229">
        <v>27.54</v>
      </c>
      <c r="F230" s="230" t="s">
        <v>1269</v>
      </c>
      <c r="G230" s="231" t="s">
        <v>0</v>
      </c>
      <c r="H230" s="232" t="s">
        <v>4505</v>
      </c>
      <c r="I230" s="233">
        <v>63.75</v>
      </c>
      <c r="J230" s="234">
        <v>65.25</v>
      </c>
      <c r="K230" s="235">
        <v>1.3685</v>
      </c>
      <c r="L230" s="236">
        <v>65.12</v>
      </c>
      <c r="M230" s="234">
        <v>66.62</v>
      </c>
      <c r="N230" s="237">
        <v>3.5</v>
      </c>
      <c r="O230" s="233">
        <v>70.12</v>
      </c>
      <c r="P230" s="238">
        <v>5.3800000000000001E-2</v>
      </c>
      <c r="Q230" s="239">
        <v>5.0700000000000002E-2</v>
      </c>
      <c r="R230" s="239" t="s">
        <v>557</v>
      </c>
      <c r="S230" s="240" t="s">
        <v>1745</v>
      </c>
      <c r="T230" s="240"/>
      <c r="U230" s="240">
        <v>5.0900000000000001E-2</v>
      </c>
      <c r="V230" s="241">
        <v>16.0761</v>
      </c>
      <c r="W230" s="241"/>
      <c r="X230" s="240"/>
      <c r="Y230" s="402">
        <v>2.9500000000000002E-2</v>
      </c>
      <c r="Z230" s="403">
        <v>2</v>
      </c>
      <c r="AA230" s="404" t="s">
        <v>1511</v>
      </c>
      <c r="AB230" s="405" t="s">
        <v>3337</v>
      </c>
      <c r="AC230" s="406">
        <v>68.75</v>
      </c>
      <c r="AD230" s="406">
        <v>56</v>
      </c>
      <c r="AE230" s="402" t="s">
        <v>2410</v>
      </c>
      <c r="AF230" s="402" t="s">
        <v>2561</v>
      </c>
      <c r="AG230" s="402" t="s">
        <v>3862</v>
      </c>
      <c r="AH230" s="402" t="s">
        <v>166</v>
      </c>
      <c r="AI230" s="402" t="s">
        <v>3338</v>
      </c>
      <c r="AJ230" s="407" t="s">
        <v>3984</v>
      </c>
      <c r="AK230" s="407" t="s">
        <v>3114</v>
      </c>
      <c r="AL230" s="407" t="s">
        <v>2412</v>
      </c>
      <c r="AM230" s="407" t="s">
        <v>2413</v>
      </c>
      <c r="AN230" s="420" t="s">
        <v>2414</v>
      </c>
      <c r="AO230" s="420" t="s">
        <v>2415</v>
      </c>
      <c r="AP230" s="407" t="s">
        <v>1945</v>
      </c>
      <c r="AQ230" s="407" t="s">
        <v>3339</v>
      </c>
      <c r="AR230" s="407" t="s">
        <v>3339</v>
      </c>
      <c r="AS230" s="407" t="s">
        <v>3340</v>
      </c>
      <c r="AT230" s="798" t="s">
        <v>2419</v>
      </c>
      <c r="AU230" s="407" t="s">
        <v>3476</v>
      </c>
      <c r="AV230" s="408"/>
      <c r="AW230" s="191"/>
    </row>
    <row r="231" spans="1:49" ht="17">
      <c r="A231" s="395"/>
      <c r="B231" s="342" t="s">
        <v>1292</v>
      </c>
      <c r="C231" s="213" t="s">
        <v>1293</v>
      </c>
      <c r="D231" s="214" t="s">
        <v>552</v>
      </c>
      <c r="E231" s="215">
        <v>25.97</v>
      </c>
      <c r="F231" s="216" t="s">
        <v>1294</v>
      </c>
      <c r="G231" s="217" t="s">
        <v>0</v>
      </c>
      <c r="H231" s="218" t="s">
        <v>4505</v>
      </c>
      <c r="I231" s="219">
        <v>66.62</v>
      </c>
      <c r="J231" s="220">
        <v>68.02</v>
      </c>
      <c r="K231" s="221">
        <v>0.1111</v>
      </c>
      <c r="L231" s="222">
        <v>66.73</v>
      </c>
      <c r="M231" s="220">
        <v>68.13</v>
      </c>
      <c r="N231" s="223">
        <v>3.5</v>
      </c>
      <c r="O231" s="219">
        <v>71.63</v>
      </c>
      <c r="P231" s="224">
        <v>6.59E-2</v>
      </c>
      <c r="Q231" s="225">
        <v>6.2300000000000001E-2</v>
      </c>
      <c r="R231" s="225" t="s">
        <v>557</v>
      </c>
      <c r="S231" s="226" t="s">
        <v>1745</v>
      </c>
      <c r="T231" s="226"/>
      <c r="U231" s="226">
        <v>6.25E-2</v>
      </c>
      <c r="V231" s="227">
        <v>13.8291</v>
      </c>
      <c r="W231" s="227"/>
      <c r="X231" s="226"/>
      <c r="Y231" s="409">
        <v>0.04</v>
      </c>
      <c r="Z231" s="410">
        <v>2</v>
      </c>
      <c r="AA231" s="192" t="s">
        <v>1512</v>
      </c>
      <c r="AB231" s="411" t="s">
        <v>3341</v>
      </c>
      <c r="AC231" s="412">
        <v>71.52</v>
      </c>
      <c r="AD231" s="412">
        <v>52</v>
      </c>
      <c r="AE231" s="409" t="s">
        <v>2410</v>
      </c>
      <c r="AF231" s="409" t="s">
        <v>3780</v>
      </c>
      <c r="AG231" s="409" t="s">
        <v>4495</v>
      </c>
      <c r="AH231" s="409" t="s">
        <v>167</v>
      </c>
      <c r="AI231" s="409" t="s">
        <v>1295</v>
      </c>
      <c r="AJ231" s="242" t="s">
        <v>3920</v>
      </c>
      <c r="AK231" s="242" t="s">
        <v>3342</v>
      </c>
      <c r="AL231" s="242" t="s">
        <v>2412</v>
      </c>
      <c r="AM231" s="242" t="s">
        <v>2413</v>
      </c>
      <c r="AN231" s="421" t="s">
        <v>2414</v>
      </c>
      <c r="AO231" s="421" t="s">
        <v>2415</v>
      </c>
      <c r="AP231" s="242" t="s">
        <v>1945</v>
      </c>
      <c r="AQ231" s="242" t="s">
        <v>3343</v>
      </c>
      <c r="AR231" s="242" t="s">
        <v>3344</v>
      </c>
      <c r="AS231" s="242" t="s">
        <v>3345</v>
      </c>
      <c r="AT231" s="797" t="s">
        <v>2419</v>
      </c>
      <c r="AU231" s="242" t="s">
        <v>3476</v>
      </c>
      <c r="AV231" s="193"/>
      <c r="AW231" s="191"/>
    </row>
    <row r="232" spans="1:49" ht="17.149999999999999" customHeight="1">
      <c r="A232" s="395"/>
      <c r="B232" s="342" t="s">
        <v>1296</v>
      </c>
      <c r="C232" s="213" t="s">
        <v>1297</v>
      </c>
      <c r="D232" s="228" t="s">
        <v>4355</v>
      </c>
      <c r="E232" s="229">
        <v>19.87</v>
      </c>
      <c r="F232" s="230" t="s">
        <v>1298</v>
      </c>
      <c r="G232" s="231" t="s">
        <v>0</v>
      </c>
      <c r="H232" s="232" t="s">
        <v>4505</v>
      </c>
      <c r="I232" s="233">
        <v>87.96</v>
      </c>
      <c r="J232" s="234">
        <v>89.490000000000009</v>
      </c>
      <c r="K232" s="235">
        <v>0.57440000000000002</v>
      </c>
      <c r="L232" s="236">
        <v>88.53</v>
      </c>
      <c r="M232" s="234">
        <v>90.06</v>
      </c>
      <c r="N232" s="237">
        <v>2.5</v>
      </c>
      <c r="O232" s="233">
        <v>92.56</v>
      </c>
      <c r="P232" s="238">
        <v>5.2600000000000001E-2</v>
      </c>
      <c r="Q232" s="239">
        <v>5.04E-2</v>
      </c>
      <c r="R232" s="239" t="s">
        <v>557</v>
      </c>
      <c r="S232" s="240" t="s">
        <v>1745</v>
      </c>
      <c r="T232" s="240"/>
      <c r="U232" s="240" t="s">
        <v>1767</v>
      </c>
      <c r="V232" s="241">
        <v>12.652799999999999</v>
      </c>
      <c r="W232" s="241"/>
      <c r="X232" s="240"/>
      <c r="Y232" s="402">
        <v>4.4000000000000004E-2</v>
      </c>
      <c r="Z232" s="403">
        <v>2</v>
      </c>
      <c r="AA232" s="404" t="s">
        <v>1375</v>
      </c>
      <c r="AB232" s="405" t="s">
        <v>2878</v>
      </c>
      <c r="AC232" s="406">
        <v>91.990000000000009</v>
      </c>
      <c r="AD232" s="406">
        <v>40</v>
      </c>
      <c r="AE232" s="402" t="s">
        <v>2410</v>
      </c>
      <c r="AF232" s="402" t="s">
        <v>2609</v>
      </c>
      <c r="AG232" s="402" t="s">
        <v>4341</v>
      </c>
      <c r="AH232" s="402" t="s">
        <v>167</v>
      </c>
      <c r="AI232" s="402" t="s">
        <v>103</v>
      </c>
      <c r="AJ232" s="407" t="s">
        <v>2632</v>
      </c>
      <c r="AK232" s="407" t="s">
        <v>2419</v>
      </c>
      <c r="AL232" s="407" t="s">
        <v>2412</v>
      </c>
      <c r="AM232" s="407" t="s">
        <v>2419</v>
      </c>
      <c r="AN232" s="420" t="s">
        <v>2414</v>
      </c>
      <c r="AO232" s="420" t="s">
        <v>2415</v>
      </c>
      <c r="AP232" s="407" t="s">
        <v>1945</v>
      </c>
      <c r="AQ232" s="407" t="s">
        <v>3329</v>
      </c>
      <c r="AR232" s="407" t="s">
        <v>3329</v>
      </c>
      <c r="AS232" s="407" t="s">
        <v>2881</v>
      </c>
      <c r="AT232" s="798" t="s">
        <v>2419</v>
      </c>
      <c r="AU232" s="407" t="s">
        <v>3476</v>
      </c>
      <c r="AV232" s="408"/>
      <c r="AW232" s="191"/>
    </row>
    <row r="233" spans="1:49" ht="17">
      <c r="A233" s="395"/>
      <c r="B233" s="342" t="s">
        <v>1299</v>
      </c>
      <c r="C233" s="213" t="s">
        <v>1300</v>
      </c>
      <c r="D233" s="214" t="s">
        <v>765</v>
      </c>
      <c r="E233" s="215">
        <v>20.66</v>
      </c>
      <c r="F233" s="216" t="s">
        <v>1301</v>
      </c>
      <c r="G233" s="217" t="s">
        <v>0</v>
      </c>
      <c r="H233" s="218" t="s">
        <v>4505</v>
      </c>
      <c r="I233" s="219">
        <v>79.599999999999994</v>
      </c>
      <c r="J233" s="220">
        <v>80.940000000000012</v>
      </c>
      <c r="K233" s="221">
        <v>1.3613</v>
      </c>
      <c r="L233" s="222">
        <v>80.959999999999994</v>
      </c>
      <c r="M233" s="220">
        <v>82.3</v>
      </c>
      <c r="N233" s="223">
        <v>2.5</v>
      </c>
      <c r="O233" s="219">
        <v>84.8</v>
      </c>
      <c r="P233" s="224">
        <v>5.62E-2</v>
      </c>
      <c r="Q233" s="225">
        <v>5.3900000000000003E-2</v>
      </c>
      <c r="R233" s="225" t="s">
        <v>557</v>
      </c>
      <c r="S233" s="226" t="s">
        <v>1745</v>
      </c>
      <c r="T233" s="226"/>
      <c r="U233" s="226" t="s">
        <v>1767</v>
      </c>
      <c r="V233" s="227">
        <v>12.843400000000001</v>
      </c>
      <c r="W233" s="227"/>
      <c r="X233" s="226"/>
      <c r="Y233" s="409">
        <v>4.0500000000000001E-2</v>
      </c>
      <c r="Z233" s="410">
        <v>2</v>
      </c>
      <c r="AA233" s="192" t="s">
        <v>1513</v>
      </c>
      <c r="AB233" s="411" t="s">
        <v>3346</v>
      </c>
      <c r="AC233" s="412">
        <v>83.440000000000012</v>
      </c>
      <c r="AD233" s="412">
        <v>42</v>
      </c>
      <c r="AE233" s="409" t="s">
        <v>2410</v>
      </c>
      <c r="AF233" s="409" t="s">
        <v>2469</v>
      </c>
      <c r="AG233" s="409" t="s">
        <v>3972</v>
      </c>
      <c r="AH233" s="409" t="s">
        <v>162</v>
      </c>
      <c r="AI233" s="409" t="s">
        <v>1302</v>
      </c>
      <c r="AJ233" s="242" t="s">
        <v>3978</v>
      </c>
      <c r="AK233" s="242" t="s">
        <v>2419</v>
      </c>
      <c r="AL233" s="242" t="s">
        <v>2412</v>
      </c>
      <c r="AM233" s="242" t="s">
        <v>2419</v>
      </c>
      <c r="AN233" s="421" t="s">
        <v>2414</v>
      </c>
      <c r="AO233" s="421" t="s">
        <v>2415</v>
      </c>
      <c r="AP233" s="242" t="s">
        <v>1945</v>
      </c>
      <c r="AQ233" s="242" t="s">
        <v>3347</v>
      </c>
      <c r="AR233" s="242" t="s">
        <v>3347</v>
      </c>
      <c r="AS233" s="242" t="s">
        <v>3348</v>
      </c>
      <c r="AT233" s="797" t="s">
        <v>2419</v>
      </c>
      <c r="AU233" s="242" t="s">
        <v>3476</v>
      </c>
      <c r="AV233" s="193"/>
      <c r="AW233" s="191"/>
    </row>
    <row r="234" spans="1:49" ht="17.149999999999999" customHeight="1">
      <c r="A234" s="395"/>
      <c r="B234" s="342" t="s">
        <v>1303</v>
      </c>
      <c r="C234" s="213" t="s">
        <v>1304</v>
      </c>
      <c r="D234" s="228" t="s">
        <v>1777</v>
      </c>
      <c r="E234" s="229">
        <v>9.0399999999999991</v>
      </c>
      <c r="F234" s="230" t="s">
        <v>1305</v>
      </c>
      <c r="G234" s="231" t="s">
        <v>0</v>
      </c>
      <c r="H234" s="232" t="s">
        <v>4508</v>
      </c>
      <c r="I234" s="233">
        <v>96.5</v>
      </c>
      <c r="J234" s="234">
        <v>98.03</v>
      </c>
      <c r="K234" s="235">
        <v>2.2343999999999999</v>
      </c>
      <c r="L234" s="236">
        <v>98.73</v>
      </c>
      <c r="M234" s="234">
        <v>100.26</v>
      </c>
      <c r="N234" s="237">
        <v>2</v>
      </c>
      <c r="O234" s="233">
        <v>102.26</v>
      </c>
      <c r="P234" s="238">
        <v>5.1499999999999997E-2</v>
      </c>
      <c r="Q234" s="239">
        <v>4.87E-2</v>
      </c>
      <c r="R234" s="239" t="s">
        <v>550</v>
      </c>
      <c r="S234" s="240" t="s">
        <v>1745</v>
      </c>
      <c r="T234" s="240"/>
      <c r="U234" s="240" t="s">
        <v>1767</v>
      </c>
      <c r="V234" s="241">
        <v>7.0598999999999998</v>
      </c>
      <c r="W234" s="241"/>
      <c r="X234" s="240"/>
      <c r="Y234" s="402">
        <v>4.8750000000000002E-2</v>
      </c>
      <c r="Z234" s="403">
        <v>2</v>
      </c>
      <c r="AA234" s="404" t="s">
        <v>1355</v>
      </c>
      <c r="AB234" s="405" t="s">
        <v>3349</v>
      </c>
      <c r="AC234" s="406">
        <v>100.03</v>
      </c>
      <c r="AD234" s="406">
        <v>19</v>
      </c>
      <c r="AE234" s="402" t="s">
        <v>2410</v>
      </c>
      <c r="AF234" s="402" t="s">
        <v>2963</v>
      </c>
      <c r="AG234" s="402" t="s">
        <v>3872</v>
      </c>
      <c r="AH234" s="402" t="s">
        <v>163</v>
      </c>
      <c r="AI234" s="402" t="s">
        <v>60</v>
      </c>
      <c r="AJ234" s="407" t="s">
        <v>2562</v>
      </c>
      <c r="AK234" s="407" t="s">
        <v>2419</v>
      </c>
      <c r="AL234" s="407" t="s">
        <v>2412</v>
      </c>
      <c r="AM234" s="407" t="s">
        <v>2419</v>
      </c>
      <c r="AN234" s="420" t="s">
        <v>2414</v>
      </c>
      <c r="AO234" s="420" t="s">
        <v>2415</v>
      </c>
      <c r="AP234" s="407" t="s">
        <v>1943</v>
      </c>
      <c r="AQ234" s="407" t="s">
        <v>3350</v>
      </c>
      <c r="AR234" s="407" t="s">
        <v>3350</v>
      </c>
      <c r="AS234" s="407" t="s">
        <v>2962</v>
      </c>
      <c r="AT234" s="798" t="s">
        <v>2419</v>
      </c>
      <c r="AU234" s="407" t="s">
        <v>3476</v>
      </c>
      <c r="AV234" s="408"/>
      <c r="AW234" s="191"/>
    </row>
    <row r="235" spans="1:49" ht="17">
      <c r="A235" s="395"/>
      <c r="B235" s="342" t="s">
        <v>1800</v>
      </c>
      <c r="C235" s="213" t="s">
        <v>1804</v>
      </c>
      <c r="D235" s="214" t="s">
        <v>2236</v>
      </c>
      <c r="E235" s="215">
        <v>11.7</v>
      </c>
      <c r="F235" s="216" t="s">
        <v>1805</v>
      </c>
      <c r="G235" s="217" t="s">
        <v>0</v>
      </c>
      <c r="H235" s="218" t="s">
        <v>4505</v>
      </c>
      <c r="I235" s="219">
        <v>103.74</v>
      </c>
      <c r="J235" s="220">
        <v>105.31</v>
      </c>
      <c r="K235" s="221">
        <v>1.7239</v>
      </c>
      <c r="L235" s="222">
        <v>105.46</v>
      </c>
      <c r="M235" s="220">
        <v>107.03</v>
      </c>
      <c r="N235" s="223">
        <v>2</v>
      </c>
      <c r="O235" s="219">
        <v>109.03</v>
      </c>
      <c r="P235" s="224">
        <v>5.1900000000000002E-2</v>
      </c>
      <c r="Q235" s="225">
        <v>4.9700000000000001E-2</v>
      </c>
      <c r="R235" s="225" t="s">
        <v>557</v>
      </c>
      <c r="S235" s="226" t="s">
        <v>1745</v>
      </c>
      <c r="T235" s="226"/>
      <c r="U235" s="226" t="s">
        <v>1767</v>
      </c>
      <c r="V235" s="227">
        <v>8.3977000000000004</v>
      </c>
      <c r="W235" s="227"/>
      <c r="X235" s="226"/>
      <c r="Y235" s="409">
        <v>5.7999999999999996E-2</v>
      </c>
      <c r="Z235" s="410">
        <v>2</v>
      </c>
      <c r="AA235" s="192" t="s">
        <v>3351</v>
      </c>
      <c r="AB235" s="411" t="s">
        <v>3352</v>
      </c>
      <c r="AC235" s="412">
        <v>107.31</v>
      </c>
      <c r="AD235" s="412">
        <v>24</v>
      </c>
      <c r="AE235" s="409" t="s">
        <v>2410</v>
      </c>
      <c r="AF235" s="409" t="s">
        <v>2491</v>
      </c>
      <c r="AG235" s="409" t="s">
        <v>4021</v>
      </c>
      <c r="AH235" s="409" t="s">
        <v>167</v>
      </c>
      <c r="AI235" s="409" t="s">
        <v>1332</v>
      </c>
      <c r="AJ235" s="242" t="s">
        <v>3353</v>
      </c>
      <c r="AK235" s="242" t="s">
        <v>2419</v>
      </c>
      <c r="AL235" s="242" t="s">
        <v>2412</v>
      </c>
      <c r="AM235" s="242" t="s">
        <v>2419</v>
      </c>
      <c r="AN235" s="421" t="s">
        <v>2414</v>
      </c>
      <c r="AO235" s="421" t="s">
        <v>2415</v>
      </c>
      <c r="AP235" s="242" t="s">
        <v>1945</v>
      </c>
      <c r="AQ235" s="242" t="s">
        <v>3354</v>
      </c>
      <c r="AR235" s="242" t="s">
        <v>3354</v>
      </c>
      <c r="AS235" s="242" t="s">
        <v>3355</v>
      </c>
      <c r="AT235" s="797" t="s">
        <v>2419</v>
      </c>
      <c r="AU235" s="242" t="s">
        <v>3476</v>
      </c>
      <c r="AV235" s="193"/>
      <c r="AW235" s="191"/>
    </row>
    <row r="236" spans="1:49" ht="17">
      <c r="A236" s="395"/>
      <c r="B236" s="342" t="s">
        <v>1801</v>
      </c>
      <c r="C236" s="213" t="s">
        <v>1806</v>
      </c>
      <c r="D236" s="228" t="s">
        <v>2236</v>
      </c>
      <c r="E236" s="229">
        <v>17.7</v>
      </c>
      <c r="F236" s="230" t="s">
        <v>1807</v>
      </c>
      <c r="G236" s="231" t="s">
        <v>0</v>
      </c>
      <c r="H236" s="232" t="s">
        <v>4505</v>
      </c>
      <c r="I236" s="233">
        <v>86.87</v>
      </c>
      <c r="J236" s="234">
        <v>88.54</v>
      </c>
      <c r="K236" s="235">
        <v>1.3003</v>
      </c>
      <c r="L236" s="236">
        <v>88.17</v>
      </c>
      <c r="M236" s="234">
        <v>89.84</v>
      </c>
      <c r="N236" s="237">
        <v>2.5</v>
      </c>
      <c r="O236" s="233">
        <v>92.34</v>
      </c>
      <c r="P236" s="238">
        <v>5.3900000000000003E-2</v>
      </c>
      <c r="Q236" s="239">
        <v>5.1499999999999997E-2</v>
      </c>
      <c r="R236" s="239" t="s">
        <v>557</v>
      </c>
      <c r="S236" s="240" t="s">
        <v>1745</v>
      </c>
      <c r="T236" s="240"/>
      <c r="U236" s="240">
        <v>5.1700000000000003E-2</v>
      </c>
      <c r="V236" s="241">
        <v>11.663399999999999</v>
      </c>
      <c r="W236" s="241"/>
      <c r="X236" s="240"/>
      <c r="Y236" s="402">
        <v>4.3749999999999997E-2</v>
      </c>
      <c r="Z236" s="403">
        <v>2</v>
      </c>
      <c r="AA236" s="404" t="s">
        <v>3351</v>
      </c>
      <c r="AB236" s="405" t="s">
        <v>3356</v>
      </c>
      <c r="AC236" s="406">
        <v>91.04</v>
      </c>
      <c r="AD236" s="406">
        <v>36</v>
      </c>
      <c r="AE236" s="402" t="s">
        <v>2410</v>
      </c>
      <c r="AF236" s="402" t="s">
        <v>2491</v>
      </c>
      <c r="AG236" s="402" t="s">
        <v>4021</v>
      </c>
      <c r="AH236" s="402" t="s">
        <v>167</v>
      </c>
      <c r="AI236" s="402" t="s">
        <v>1332</v>
      </c>
      <c r="AJ236" s="407" t="s">
        <v>3353</v>
      </c>
      <c r="AK236" s="407" t="s">
        <v>2875</v>
      </c>
      <c r="AL236" s="407" t="s">
        <v>2412</v>
      </c>
      <c r="AM236" s="407" t="s">
        <v>2413</v>
      </c>
      <c r="AN236" s="420" t="s">
        <v>2414</v>
      </c>
      <c r="AO236" s="420" t="s">
        <v>2415</v>
      </c>
      <c r="AP236" s="407" t="s">
        <v>1945</v>
      </c>
      <c r="AQ236" s="407" t="s">
        <v>3357</v>
      </c>
      <c r="AR236" s="407" t="s">
        <v>3357</v>
      </c>
      <c r="AS236" s="407" t="s">
        <v>3358</v>
      </c>
      <c r="AT236" s="798" t="s">
        <v>2419</v>
      </c>
      <c r="AU236" s="407" t="s">
        <v>3476</v>
      </c>
      <c r="AV236" s="408"/>
      <c r="AW236" s="191"/>
    </row>
    <row r="237" spans="1:49" ht="17">
      <c r="A237" s="1620"/>
      <c r="B237" s="342" t="s">
        <v>1802</v>
      </c>
      <c r="C237" s="213" t="s">
        <v>1808</v>
      </c>
      <c r="D237" s="214" t="s">
        <v>1020</v>
      </c>
      <c r="E237" s="215">
        <v>21.33</v>
      </c>
      <c r="F237" s="216" t="s">
        <v>1809</v>
      </c>
      <c r="G237" s="217" t="s">
        <v>0</v>
      </c>
      <c r="H237" s="218" t="s">
        <v>4505</v>
      </c>
      <c r="I237" s="219">
        <v>79.239999999999995</v>
      </c>
      <c r="J237" s="220">
        <v>80.900000000000006</v>
      </c>
      <c r="K237" s="221">
        <v>0.65659999999999996</v>
      </c>
      <c r="L237" s="222">
        <v>79.900000000000006</v>
      </c>
      <c r="M237" s="220">
        <v>81.56</v>
      </c>
      <c r="N237" s="223">
        <v>3</v>
      </c>
      <c r="O237" s="219">
        <v>84.56</v>
      </c>
      <c r="P237" s="224">
        <v>5.3900000000000003E-2</v>
      </c>
      <c r="Q237" s="225">
        <v>5.1200000000000002E-2</v>
      </c>
      <c r="R237" s="225" t="s">
        <v>557</v>
      </c>
      <c r="S237" s="226" t="s">
        <v>1745</v>
      </c>
      <c r="T237" s="226"/>
      <c r="U237" s="226">
        <v>5.1400000000000001E-2</v>
      </c>
      <c r="V237" s="227">
        <v>13.453099999999999</v>
      </c>
      <c r="W237" s="227"/>
      <c r="X237" s="226"/>
      <c r="Y237" s="409">
        <v>3.875E-2</v>
      </c>
      <c r="Z237" s="410">
        <v>2</v>
      </c>
      <c r="AA237" s="192" t="s">
        <v>3037</v>
      </c>
      <c r="AB237" s="411" t="s">
        <v>3359</v>
      </c>
      <c r="AC237" s="412">
        <v>83.9</v>
      </c>
      <c r="AD237" s="412">
        <v>43</v>
      </c>
      <c r="AE237" s="409" t="s">
        <v>2410</v>
      </c>
      <c r="AF237" s="409" t="s">
        <v>2707</v>
      </c>
      <c r="AG237" s="409" t="s">
        <v>4139</v>
      </c>
      <c r="AH237" s="409" t="s">
        <v>170</v>
      </c>
      <c r="AI237" s="409" t="s">
        <v>136</v>
      </c>
      <c r="AJ237" s="242" t="s">
        <v>3039</v>
      </c>
      <c r="AK237" s="242" t="s">
        <v>3360</v>
      </c>
      <c r="AL237" s="242" t="s">
        <v>2412</v>
      </c>
      <c r="AM237" s="242" t="s">
        <v>2413</v>
      </c>
      <c r="AN237" s="421" t="s">
        <v>2414</v>
      </c>
      <c r="AO237" s="421" t="s">
        <v>2415</v>
      </c>
      <c r="AP237" s="242" t="s">
        <v>1945</v>
      </c>
      <c r="AQ237" s="242" t="s">
        <v>3361</v>
      </c>
      <c r="AR237" s="242" t="s">
        <v>3361</v>
      </c>
      <c r="AS237" s="242" t="s">
        <v>3362</v>
      </c>
      <c r="AT237" s="797" t="s">
        <v>2419</v>
      </c>
      <c r="AU237" s="242" t="s">
        <v>3476</v>
      </c>
      <c r="AV237" s="193"/>
      <c r="AW237" s="191"/>
    </row>
    <row r="238" spans="1:49" ht="17">
      <c r="A238" s="1620"/>
      <c r="B238" s="342" t="s">
        <v>1803</v>
      </c>
      <c r="C238" s="213" t="s">
        <v>1810</v>
      </c>
      <c r="D238" s="228" t="s">
        <v>2258</v>
      </c>
      <c r="E238" s="229">
        <v>11.62</v>
      </c>
      <c r="F238" s="230" t="s">
        <v>1811</v>
      </c>
      <c r="G238" s="231" t="s">
        <v>0</v>
      </c>
      <c r="H238" s="232" t="s">
        <v>4505</v>
      </c>
      <c r="I238" s="233">
        <v>101.01</v>
      </c>
      <c r="J238" s="234">
        <v>102.49000000000001</v>
      </c>
      <c r="K238" s="235">
        <v>1.706</v>
      </c>
      <c r="L238" s="236">
        <v>102.72</v>
      </c>
      <c r="M238" s="234">
        <v>104.2</v>
      </c>
      <c r="N238" s="237">
        <v>1.5</v>
      </c>
      <c r="O238" s="233">
        <v>105.7</v>
      </c>
      <c r="P238" s="238">
        <v>4.2299999999999997E-2</v>
      </c>
      <c r="Q238" s="239">
        <v>4.07E-2</v>
      </c>
      <c r="R238" s="239" t="s">
        <v>1778</v>
      </c>
      <c r="S238" s="240" t="s">
        <v>1745</v>
      </c>
      <c r="T238" s="240"/>
      <c r="U238" s="240" t="s">
        <v>1767</v>
      </c>
      <c r="V238" s="241">
        <v>8.8780000000000001</v>
      </c>
      <c r="W238" s="241"/>
      <c r="X238" s="240"/>
      <c r="Y238" s="402">
        <v>4.4999999999999998E-2</v>
      </c>
      <c r="Z238" s="403">
        <v>2</v>
      </c>
      <c r="AA238" s="404" t="s">
        <v>1345</v>
      </c>
      <c r="AB238" s="405" t="s">
        <v>3363</v>
      </c>
      <c r="AC238" s="406">
        <v>103.99000000000001</v>
      </c>
      <c r="AD238" s="406">
        <v>24</v>
      </c>
      <c r="AE238" s="402" t="s">
        <v>2410</v>
      </c>
      <c r="AF238" s="402" t="s">
        <v>2534</v>
      </c>
      <c r="AG238" s="402" t="s">
        <v>3909</v>
      </c>
      <c r="AH238" s="402" t="s">
        <v>163</v>
      </c>
      <c r="AI238" s="402" t="s">
        <v>50</v>
      </c>
      <c r="AJ238" s="407" t="s">
        <v>2562</v>
      </c>
      <c r="AK238" s="407" t="s">
        <v>2419</v>
      </c>
      <c r="AL238" s="407" t="s">
        <v>2412</v>
      </c>
      <c r="AM238" s="407" t="s">
        <v>2419</v>
      </c>
      <c r="AN238" s="420" t="s">
        <v>2419</v>
      </c>
      <c r="AO238" s="420" t="s">
        <v>2439</v>
      </c>
      <c r="AP238" s="407" t="s">
        <v>1948</v>
      </c>
      <c r="AQ238" s="407" t="s">
        <v>3364</v>
      </c>
      <c r="AR238" s="407" t="s">
        <v>3364</v>
      </c>
      <c r="AS238" s="407" t="s">
        <v>3365</v>
      </c>
      <c r="AT238" s="798" t="s">
        <v>2419</v>
      </c>
      <c r="AU238" s="407" t="s">
        <v>3476</v>
      </c>
      <c r="AV238" s="408"/>
      <c r="AW238" s="191"/>
    </row>
    <row r="239" spans="1:49" ht="17">
      <c r="A239" s="1620"/>
      <c r="B239" s="342" t="s">
        <v>2078</v>
      </c>
      <c r="C239" s="213" t="s">
        <v>2079</v>
      </c>
      <c r="D239" s="214" t="s">
        <v>1012</v>
      </c>
      <c r="E239" s="215">
        <v>22.39</v>
      </c>
      <c r="F239" s="216" t="s">
        <v>2080</v>
      </c>
      <c r="G239" s="217" t="s">
        <v>0</v>
      </c>
      <c r="H239" s="218" t="s">
        <v>4505</v>
      </c>
      <c r="I239" s="219">
        <v>78.349999999999994</v>
      </c>
      <c r="J239" s="220">
        <v>80.37</v>
      </c>
      <c r="K239" s="221">
        <v>0.43280000000000002</v>
      </c>
      <c r="L239" s="222">
        <v>78.78</v>
      </c>
      <c r="M239" s="220">
        <v>80.8</v>
      </c>
      <c r="N239" s="223">
        <v>3</v>
      </c>
      <c r="O239" s="219">
        <v>83.8</v>
      </c>
      <c r="P239" s="224">
        <v>5.3100000000000001E-2</v>
      </c>
      <c r="Q239" s="225">
        <v>5.0500000000000003E-2</v>
      </c>
      <c r="R239" s="225" t="s">
        <v>557</v>
      </c>
      <c r="S239" s="226" t="s">
        <v>1745</v>
      </c>
      <c r="T239" s="226"/>
      <c r="U239" s="226">
        <v>5.0700000000000002E-2</v>
      </c>
      <c r="V239" s="227">
        <v>13.9498</v>
      </c>
      <c r="W239" s="227"/>
      <c r="X239" s="226"/>
      <c r="Y239" s="409">
        <v>3.7999999999999999E-2</v>
      </c>
      <c r="Z239" s="410">
        <v>2</v>
      </c>
      <c r="AA239" s="192" t="s">
        <v>2081</v>
      </c>
      <c r="AB239" s="411" t="s">
        <v>3366</v>
      </c>
      <c r="AC239" s="412">
        <v>83.37</v>
      </c>
      <c r="AD239" s="412">
        <v>45</v>
      </c>
      <c r="AE239" s="409" t="s">
        <v>2410</v>
      </c>
      <c r="AF239" s="409" t="s">
        <v>3367</v>
      </c>
      <c r="AG239" s="409" t="s">
        <v>4364</v>
      </c>
      <c r="AH239" s="409" t="s">
        <v>162</v>
      </c>
      <c r="AI239" s="409" t="s">
        <v>3368</v>
      </c>
      <c r="AJ239" s="242" t="s">
        <v>3487</v>
      </c>
      <c r="AK239" s="242" t="s">
        <v>3369</v>
      </c>
      <c r="AL239" s="242" t="s">
        <v>2412</v>
      </c>
      <c r="AM239" s="242" t="s">
        <v>2413</v>
      </c>
      <c r="AN239" s="421" t="s">
        <v>2413</v>
      </c>
      <c r="AO239" s="421" t="s">
        <v>2415</v>
      </c>
      <c r="AP239" s="242" t="s">
        <v>1945</v>
      </c>
      <c r="AQ239" s="242" t="s">
        <v>2633</v>
      </c>
      <c r="AR239" s="242" t="s">
        <v>2633</v>
      </c>
      <c r="AS239" s="242" t="s">
        <v>3370</v>
      </c>
      <c r="AT239" s="797" t="s">
        <v>2419</v>
      </c>
      <c r="AU239" s="242" t="s">
        <v>3476</v>
      </c>
      <c r="AV239" s="193"/>
      <c r="AW239" s="191"/>
    </row>
    <row r="240" spans="1:49" ht="17">
      <c r="A240" s="1620"/>
      <c r="B240" s="342" t="s">
        <v>2082</v>
      </c>
      <c r="C240" s="213" t="s">
        <v>2083</v>
      </c>
      <c r="D240" s="228" t="s">
        <v>931</v>
      </c>
      <c r="E240" s="229">
        <v>8.57</v>
      </c>
      <c r="F240" s="230" t="s">
        <v>2084</v>
      </c>
      <c r="G240" s="231" t="s">
        <v>0</v>
      </c>
      <c r="H240" s="232" t="s">
        <v>4505</v>
      </c>
      <c r="I240" s="233">
        <v>95.12</v>
      </c>
      <c r="J240" s="234">
        <v>96.45</v>
      </c>
      <c r="K240" s="235">
        <v>1.7549999999999999</v>
      </c>
      <c r="L240" s="236">
        <v>96.88</v>
      </c>
      <c r="M240" s="234">
        <v>98.21</v>
      </c>
      <c r="N240" s="237">
        <v>1.5</v>
      </c>
      <c r="O240" s="233">
        <v>99.71</v>
      </c>
      <c r="P240" s="238">
        <v>4.5499999999999999E-2</v>
      </c>
      <c r="Q240" s="239">
        <v>4.3400000000000001E-2</v>
      </c>
      <c r="R240" s="239" t="s">
        <v>868</v>
      </c>
      <c r="S240" s="240" t="s">
        <v>1745</v>
      </c>
      <c r="T240" s="240"/>
      <c r="U240" s="240" t="s">
        <v>1767</v>
      </c>
      <c r="V240" s="241">
        <v>7.0119999999999996</v>
      </c>
      <c r="W240" s="241"/>
      <c r="X240" s="240"/>
      <c r="Y240" s="402">
        <v>4.0500000000000001E-2</v>
      </c>
      <c r="Z240" s="403">
        <v>2</v>
      </c>
      <c r="AA240" s="404" t="s">
        <v>1609</v>
      </c>
      <c r="AB240" s="405" t="s">
        <v>3371</v>
      </c>
      <c r="AC240" s="406">
        <v>97.95</v>
      </c>
      <c r="AD240" s="406">
        <v>18</v>
      </c>
      <c r="AE240" s="402" t="s">
        <v>2410</v>
      </c>
      <c r="AF240" s="402" t="s">
        <v>2424</v>
      </c>
      <c r="AG240" s="402" t="s">
        <v>3884</v>
      </c>
      <c r="AH240" s="402" t="s">
        <v>166</v>
      </c>
      <c r="AI240" s="402" t="s">
        <v>1610</v>
      </c>
      <c r="AJ240" s="407" t="s">
        <v>3943</v>
      </c>
      <c r="AK240" s="407" t="s">
        <v>2419</v>
      </c>
      <c r="AL240" s="407" t="s">
        <v>2412</v>
      </c>
      <c r="AM240" s="407" t="s">
        <v>2419</v>
      </c>
      <c r="AN240" s="420" t="s">
        <v>2414</v>
      </c>
      <c r="AO240" s="420" t="s">
        <v>2415</v>
      </c>
      <c r="AP240" s="407" t="s">
        <v>1945</v>
      </c>
      <c r="AQ240" s="407" t="s">
        <v>3372</v>
      </c>
      <c r="AR240" s="407" t="s">
        <v>3372</v>
      </c>
      <c r="AS240" s="407" t="s">
        <v>2425</v>
      </c>
      <c r="AT240" s="798" t="s">
        <v>2419</v>
      </c>
      <c r="AU240" s="407" t="s">
        <v>3476</v>
      </c>
      <c r="AV240" s="408"/>
      <c r="AW240" s="191"/>
    </row>
    <row r="241" spans="1:49" ht="17">
      <c r="A241" s="1620"/>
      <c r="B241" s="342" t="s">
        <v>2085</v>
      </c>
      <c r="C241" s="213" t="s">
        <v>2086</v>
      </c>
      <c r="D241" s="214" t="s">
        <v>1083</v>
      </c>
      <c r="E241" s="215">
        <v>12.21</v>
      </c>
      <c r="F241" s="216" t="s">
        <v>2087</v>
      </c>
      <c r="G241" s="217" t="s">
        <v>0</v>
      </c>
      <c r="H241" s="218" t="s">
        <v>4505</v>
      </c>
      <c r="I241" s="219">
        <v>103.38</v>
      </c>
      <c r="J241" s="220">
        <v>104.9</v>
      </c>
      <c r="K241" s="221">
        <v>1.9171</v>
      </c>
      <c r="L241" s="222">
        <v>105.3</v>
      </c>
      <c r="M241" s="220">
        <v>106.82</v>
      </c>
      <c r="N241" s="223">
        <v>2</v>
      </c>
      <c r="O241" s="219">
        <v>108.82</v>
      </c>
      <c r="P241" s="224">
        <v>5.8799999999999998E-2</v>
      </c>
      <c r="Q241" s="225">
        <v>5.6599999999999998E-2</v>
      </c>
      <c r="R241" s="225" t="s">
        <v>557</v>
      </c>
      <c r="S241" s="226" t="s">
        <v>1745</v>
      </c>
      <c r="T241" s="226"/>
      <c r="U241" s="226" t="s">
        <v>1767</v>
      </c>
      <c r="V241" s="227">
        <v>8.3361000000000001</v>
      </c>
      <c r="W241" s="227"/>
      <c r="X241" s="226"/>
      <c r="Y241" s="409">
        <v>6.4500000000000002E-2</v>
      </c>
      <c r="Z241" s="410">
        <v>2</v>
      </c>
      <c r="AA241" s="192" t="s">
        <v>1489</v>
      </c>
      <c r="AB241" s="411" t="s">
        <v>3373</v>
      </c>
      <c r="AC241" s="412">
        <v>106.9</v>
      </c>
      <c r="AD241" s="412">
        <v>25</v>
      </c>
      <c r="AE241" s="409" t="s">
        <v>2410</v>
      </c>
      <c r="AF241" s="409" t="s">
        <v>2491</v>
      </c>
      <c r="AG241" s="409" t="s">
        <v>4021</v>
      </c>
      <c r="AH241" s="409" t="s">
        <v>172</v>
      </c>
      <c r="AI241" s="409" t="s">
        <v>253</v>
      </c>
      <c r="AJ241" s="242" t="s">
        <v>3130</v>
      </c>
      <c r="AK241" s="242" t="s">
        <v>2419</v>
      </c>
      <c r="AL241" s="242" t="s">
        <v>2412</v>
      </c>
      <c r="AM241" s="242" t="s">
        <v>2419</v>
      </c>
      <c r="AN241" s="421" t="s">
        <v>2414</v>
      </c>
      <c r="AO241" s="421" t="s">
        <v>2415</v>
      </c>
      <c r="AP241" s="242" t="s">
        <v>1945</v>
      </c>
      <c r="AQ241" s="242" t="s">
        <v>3374</v>
      </c>
      <c r="AR241" s="242" t="s">
        <v>3375</v>
      </c>
      <c r="AS241" s="242" t="s">
        <v>3376</v>
      </c>
      <c r="AT241" s="797" t="s">
        <v>2419</v>
      </c>
      <c r="AU241" s="242" t="s">
        <v>3476</v>
      </c>
      <c r="AV241" s="193"/>
      <c r="AW241" s="191"/>
    </row>
    <row r="242" spans="1:49" ht="17">
      <c r="A242" s="1620"/>
      <c r="B242" s="342" t="s">
        <v>2088</v>
      </c>
      <c r="C242" s="213" t="s">
        <v>2089</v>
      </c>
      <c r="D242" s="228" t="s">
        <v>592</v>
      </c>
      <c r="E242" s="229">
        <v>4.57</v>
      </c>
      <c r="F242" s="230" t="s">
        <v>2090</v>
      </c>
      <c r="G242" s="231" t="s">
        <v>0</v>
      </c>
      <c r="H242" s="232" t="s">
        <v>4505</v>
      </c>
      <c r="I242" s="233">
        <v>98.86</v>
      </c>
      <c r="J242" s="234">
        <v>100.11</v>
      </c>
      <c r="K242" s="235">
        <v>2.3441000000000001</v>
      </c>
      <c r="L242" s="236">
        <v>101.2</v>
      </c>
      <c r="M242" s="234">
        <v>102.45</v>
      </c>
      <c r="N242" s="237">
        <v>1.5</v>
      </c>
      <c r="O242" s="233">
        <v>103.95</v>
      </c>
      <c r="P242" s="238">
        <v>5.3499999999999999E-2</v>
      </c>
      <c r="Q242" s="239">
        <v>4.9799999999999997E-2</v>
      </c>
      <c r="R242" s="239" t="s">
        <v>550</v>
      </c>
      <c r="S242" s="240" t="s">
        <v>1745</v>
      </c>
      <c r="T242" s="240"/>
      <c r="U242" s="240" t="s">
        <v>1767</v>
      </c>
      <c r="V242" s="241">
        <v>3.9127999999999998</v>
      </c>
      <c r="W242" s="241"/>
      <c r="X242" s="240"/>
      <c r="Y242" s="402">
        <v>5.3749999999999999E-2</v>
      </c>
      <c r="Z242" s="403">
        <v>2</v>
      </c>
      <c r="AA242" s="404" t="s">
        <v>1413</v>
      </c>
      <c r="AB242" s="405" t="s">
        <v>3377</v>
      </c>
      <c r="AC242" s="406">
        <v>101.61</v>
      </c>
      <c r="AD242" s="406">
        <v>10</v>
      </c>
      <c r="AE242" s="402" t="s">
        <v>2410</v>
      </c>
      <c r="AF242" s="402" t="s">
        <v>3253</v>
      </c>
      <c r="AG242" s="402" t="s">
        <v>3882</v>
      </c>
      <c r="AH242" s="402" t="s">
        <v>168</v>
      </c>
      <c r="AI242" s="402" t="s">
        <v>65</v>
      </c>
      <c r="AJ242" s="407" t="s">
        <v>2812</v>
      </c>
      <c r="AK242" s="407" t="s">
        <v>2419</v>
      </c>
      <c r="AL242" s="407" t="s">
        <v>2412</v>
      </c>
      <c r="AM242" s="407" t="s">
        <v>2419</v>
      </c>
      <c r="AN242" s="420" t="s">
        <v>2414</v>
      </c>
      <c r="AO242" s="420" t="s">
        <v>2415</v>
      </c>
      <c r="AP242" s="407" t="s">
        <v>1943</v>
      </c>
      <c r="AQ242" s="407" t="s">
        <v>3378</v>
      </c>
      <c r="AR242" s="407" t="s">
        <v>3378</v>
      </c>
      <c r="AS242" s="407" t="s">
        <v>3379</v>
      </c>
      <c r="AT242" s="798" t="s">
        <v>2419</v>
      </c>
      <c r="AU242" s="407" t="s">
        <v>3476</v>
      </c>
      <c r="AV242" s="408"/>
      <c r="AW242" s="191"/>
    </row>
    <row r="243" spans="1:49" ht="17">
      <c r="A243" s="1620"/>
      <c r="B243" s="342" t="s">
        <v>2179</v>
      </c>
      <c r="C243" s="213" t="s">
        <v>2180</v>
      </c>
      <c r="D243" s="214" t="s">
        <v>2181</v>
      </c>
      <c r="E243" s="215">
        <v>7.74</v>
      </c>
      <c r="F243" s="216" t="s">
        <v>2182</v>
      </c>
      <c r="G243" s="217" t="s">
        <v>530</v>
      </c>
      <c r="H243" s="218" t="s">
        <v>4525</v>
      </c>
      <c r="I243" s="219">
        <v>86.73</v>
      </c>
      <c r="J243" s="220">
        <v>88.02000000000001</v>
      </c>
      <c r="K243" s="221">
        <v>2.1473</v>
      </c>
      <c r="L243" s="222">
        <v>88.88</v>
      </c>
      <c r="M243" s="220">
        <v>90.17</v>
      </c>
      <c r="N243" s="223">
        <v>2</v>
      </c>
      <c r="O243" s="219">
        <v>92.17</v>
      </c>
      <c r="P243" s="224">
        <v>0.1055</v>
      </c>
      <c r="Q243" s="225">
        <v>0.1014</v>
      </c>
      <c r="R243" s="225" t="s">
        <v>661</v>
      </c>
      <c r="S243" s="226" t="s">
        <v>1745</v>
      </c>
      <c r="T243" s="226"/>
      <c r="U243" s="226" t="s">
        <v>1767</v>
      </c>
      <c r="V243" s="227">
        <v>5.3282999999999996</v>
      </c>
      <c r="W243" s="227"/>
      <c r="X243" s="226"/>
      <c r="Y243" s="409">
        <v>8.2500000000000004E-2</v>
      </c>
      <c r="Z243" s="410">
        <v>2</v>
      </c>
      <c r="AA243" s="192" t="s">
        <v>1679</v>
      </c>
      <c r="AB243" s="411" t="s">
        <v>3380</v>
      </c>
      <c r="AC243" s="412">
        <v>90.02000000000001</v>
      </c>
      <c r="AD243" s="412">
        <v>16</v>
      </c>
      <c r="AE243" s="409" t="s">
        <v>2410</v>
      </c>
      <c r="AF243" s="409" t="s">
        <v>3168</v>
      </c>
      <c r="AG243" s="409" t="s">
        <v>3306</v>
      </c>
      <c r="AH243" s="409" t="s">
        <v>163</v>
      </c>
      <c r="AI243" s="409" t="s">
        <v>1680</v>
      </c>
      <c r="AJ243" s="242" t="s">
        <v>2562</v>
      </c>
      <c r="AK243" s="242" t="s">
        <v>2419</v>
      </c>
      <c r="AL243" s="242" t="s">
        <v>2412</v>
      </c>
      <c r="AM243" s="242" t="s">
        <v>2419</v>
      </c>
      <c r="AN243" s="421" t="s">
        <v>2414</v>
      </c>
      <c r="AO243" s="421" t="s">
        <v>2415</v>
      </c>
      <c r="AP243" s="242" t="s">
        <v>2440</v>
      </c>
      <c r="AQ243" s="242" t="s">
        <v>3381</v>
      </c>
      <c r="AR243" s="242" t="s">
        <v>3382</v>
      </c>
      <c r="AS243" s="242" t="s">
        <v>3383</v>
      </c>
      <c r="AT243" s="797">
        <v>10</v>
      </c>
      <c r="AU243" s="242" t="s">
        <v>3485</v>
      </c>
      <c r="AV243" s="193"/>
      <c r="AW243" s="191"/>
    </row>
    <row r="244" spans="1:49" ht="17">
      <c r="A244" s="1620"/>
      <c r="B244" s="342" t="s">
        <v>2183</v>
      </c>
      <c r="C244" s="213" t="s">
        <v>2184</v>
      </c>
      <c r="D244" s="228" t="s">
        <v>931</v>
      </c>
      <c r="E244" s="229">
        <v>11.45</v>
      </c>
      <c r="F244" s="230" t="s">
        <v>2185</v>
      </c>
      <c r="G244" s="231" t="s">
        <v>0</v>
      </c>
      <c r="H244" s="232" t="s">
        <v>4505</v>
      </c>
      <c r="I244" s="233">
        <v>92.52</v>
      </c>
      <c r="J244" s="234">
        <v>93.91</v>
      </c>
      <c r="K244" s="235">
        <v>0.20749999999999999</v>
      </c>
      <c r="L244" s="236">
        <v>92.73</v>
      </c>
      <c r="M244" s="234">
        <v>94.12</v>
      </c>
      <c r="N244" s="237">
        <v>2</v>
      </c>
      <c r="O244" s="233">
        <v>96.12</v>
      </c>
      <c r="P244" s="238">
        <v>4.8500000000000001E-2</v>
      </c>
      <c r="Q244" s="239">
        <v>4.6100000000000002E-2</v>
      </c>
      <c r="R244" s="239" t="s">
        <v>557</v>
      </c>
      <c r="S244" s="240" t="s">
        <v>1745</v>
      </c>
      <c r="T244" s="240"/>
      <c r="U244" s="240">
        <v>4.6300000000000001E-2</v>
      </c>
      <c r="V244" s="241">
        <v>8.9179999999999993</v>
      </c>
      <c r="W244" s="241"/>
      <c r="X244" s="240"/>
      <c r="Y244" s="402">
        <v>4.1500000000000002E-2</v>
      </c>
      <c r="Z244" s="403">
        <v>2</v>
      </c>
      <c r="AA244" s="404" t="s">
        <v>1387</v>
      </c>
      <c r="AB244" s="405" t="s">
        <v>3384</v>
      </c>
      <c r="AC244" s="406">
        <v>95.91</v>
      </c>
      <c r="AD244" s="406">
        <v>23</v>
      </c>
      <c r="AE244" s="402" t="s">
        <v>2410</v>
      </c>
      <c r="AF244" s="402" t="s">
        <v>3749</v>
      </c>
      <c r="AG244" s="402" t="s">
        <v>4473</v>
      </c>
      <c r="AH244" s="402" t="s">
        <v>162</v>
      </c>
      <c r="AI244" s="402" t="s">
        <v>133</v>
      </c>
      <c r="AJ244" s="407" t="s">
        <v>2930</v>
      </c>
      <c r="AK244" s="407" t="s">
        <v>3385</v>
      </c>
      <c r="AL244" s="407" t="s">
        <v>2412</v>
      </c>
      <c r="AM244" s="407" t="s">
        <v>2413</v>
      </c>
      <c r="AN244" s="420" t="s">
        <v>2413</v>
      </c>
      <c r="AO244" s="420" t="s">
        <v>2415</v>
      </c>
      <c r="AP244" s="407" t="s">
        <v>1945</v>
      </c>
      <c r="AQ244" s="407" t="s">
        <v>2932</v>
      </c>
      <c r="AR244" s="407" t="s">
        <v>2932</v>
      </c>
      <c r="AS244" s="407" t="s">
        <v>2933</v>
      </c>
      <c r="AT244" s="798" t="s">
        <v>2419</v>
      </c>
      <c r="AU244" s="407" t="s">
        <v>3476</v>
      </c>
      <c r="AV244" s="408"/>
      <c r="AW244" s="191"/>
    </row>
    <row r="245" spans="1:49" ht="17">
      <c r="A245" s="1620"/>
      <c r="B245" s="342" t="s">
        <v>2196</v>
      </c>
      <c r="C245" s="213" t="s">
        <v>2201</v>
      </c>
      <c r="D245" s="214" t="s">
        <v>621</v>
      </c>
      <c r="E245" s="215">
        <v>1.85</v>
      </c>
      <c r="F245" s="216" t="s">
        <v>2202</v>
      </c>
      <c r="G245" s="217" t="s">
        <v>0</v>
      </c>
      <c r="H245" s="218" t="s">
        <v>4505</v>
      </c>
      <c r="I245" s="219">
        <v>98.91</v>
      </c>
      <c r="J245" s="220">
        <v>99.690000000000012</v>
      </c>
      <c r="K245" s="221">
        <v>0.66320000000000001</v>
      </c>
      <c r="L245" s="222">
        <v>99.57</v>
      </c>
      <c r="M245" s="220">
        <v>100.35</v>
      </c>
      <c r="N245" s="223">
        <v>0.8</v>
      </c>
      <c r="O245" s="219">
        <v>101.14999999999999</v>
      </c>
      <c r="P245" s="224">
        <v>4.5900000000000003E-2</v>
      </c>
      <c r="Q245" s="225">
        <v>4.1399999999999999E-2</v>
      </c>
      <c r="R245" s="225" t="s">
        <v>557</v>
      </c>
      <c r="S245" s="226" t="s">
        <v>1745</v>
      </c>
      <c r="T245" s="226"/>
      <c r="U245" s="226">
        <v>-0.13070000000000001</v>
      </c>
      <c r="V245" s="227">
        <v>1.7468999999999999</v>
      </c>
      <c r="W245" s="227"/>
      <c r="X245" s="226"/>
      <c r="Y245" s="409">
        <v>4.4209999999999999E-2</v>
      </c>
      <c r="Z245" s="410">
        <v>2</v>
      </c>
      <c r="AA245" s="192" t="s">
        <v>1357</v>
      </c>
      <c r="AB245" s="411" t="s">
        <v>3386</v>
      </c>
      <c r="AC245" s="412">
        <v>100.49000000000001</v>
      </c>
      <c r="AD245" s="412">
        <v>4</v>
      </c>
      <c r="AE245" s="409" t="s">
        <v>2410</v>
      </c>
      <c r="AF245" s="409" t="s">
        <v>3388</v>
      </c>
      <c r="AG245" s="409" t="s">
        <v>4275</v>
      </c>
      <c r="AH245" s="409" t="s">
        <v>165</v>
      </c>
      <c r="AI245" s="409" t="s">
        <v>49</v>
      </c>
      <c r="AJ245" s="242" t="s">
        <v>2512</v>
      </c>
      <c r="AK245" s="242" t="s">
        <v>4848</v>
      </c>
      <c r="AL245" s="242" t="s">
        <v>2412</v>
      </c>
      <c r="AM245" s="242" t="s">
        <v>2413</v>
      </c>
      <c r="AN245" s="421" t="s">
        <v>2414</v>
      </c>
      <c r="AO245" s="421" t="s">
        <v>2415</v>
      </c>
      <c r="AP245" s="242" t="s">
        <v>1945</v>
      </c>
      <c r="AQ245" s="242" t="s">
        <v>3389</v>
      </c>
      <c r="AR245" s="242" t="s">
        <v>3389</v>
      </c>
      <c r="AS245" s="242" t="s">
        <v>3387</v>
      </c>
      <c r="AT245" s="797" t="s">
        <v>2419</v>
      </c>
      <c r="AU245" s="242" t="s">
        <v>3476</v>
      </c>
      <c r="AV245" s="193"/>
      <c r="AW245" s="191"/>
    </row>
    <row r="246" spans="1:49" ht="17">
      <c r="A246" s="1620"/>
      <c r="B246" s="342" t="s">
        <v>2197</v>
      </c>
      <c r="C246" s="213" t="s">
        <v>2203</v>
      </c>
      <c r="D246" s="228" t="s">
        <v>621</v>
      </c>
      <c r="E246" s="229">
        <v>3.85</v>
      </c>
      <c r="F246" s="230" t="s">
        <v>2204</v>
      </c>
      <c r="G246" s="231" t="s">
        <v>0</v>
      </c>
      <c r="H246" s="232" t="s">
        <v>4505</v>
      </c>
      <c r="I246" s="233">
        <v>97.23</v>
      </c>
      <c r="J246" s="234">
        <v>98.25</v>
      </c>
      <c r="K246" s="235">
        <v>0.57779999999999998</v>
      </c>
      <c r="L246" s="236">
        <v>97.81</v>
      </c>
      <c r="M246" s="234">
        <v>98.83</v>
      </c>
      <c r="N246" s="237">
        <v>1.5</v>
      </c>
      <c r="O246" s="233">
        <v>100.33</v>
      </c>
      <c r="P246" s="238">
        <v>4.4999999999999998E-2</v>
      </c>
      <c r="Q246" s="239">
        <v>4.07E-2</v>
      </c>
      <c r="R246" s="239" t="s">
        <v>557</v>
      </c>
      <c r="S246" s="240" t="s">
        <v>1745</v>
      </c>
      <c r="T246" s="240"/>
      <c r="U246" s="240">
        <v>4.07E-2</v>
      </c>
      <c r="V246" s="241">
        <v>3.5129000000000001</v>
      </c>
      <c r="W246" s="241"/>
      <c r="X246" s="240"/>
      <c r="Y246" s="402">
        <v>0.04</v>
      </c>
      <c r="Z246" s="403">
        <v>2</v>
      </c>
      <c r="AA246" s="404" t="s">
        <v>1357</v>
      </c>
      <c r="AB246" s="405" t="s">
        <v>3390</v>
      </c>
      <c r="AC246" s="406">
        <v>99.75</v>
      </c>
      <c r="AD246" s="406">
        <v>8</v>
      </c>
      <c r="AE246" s="402" t="s">
        <v>2410</v>
      </c>
      <c r="AF246" s="402" t="s">
        <v>3392</v>
      </c>
      <c r="AG246" s="402" t="s">
        <v>4306</v>
      </c>
      <c r="AH246" s="402" t="s">
        <v>165</v>
      </c>
      <c r="AI246" s="402" t="s">
        <v>49</v>
      </c>
      <c r="AJ246" s="407" t="s">
        <v>2512</v>
      </c>
      <c r="AK246" s="407" t="s">
        <v>3393</v>
      </c>
      <c r="AL246" s="407" t="s">
        <v>2412</v>
      </c>
      <c r="AM246" s="407" t="s">
        <v>2413</v>
      </c>
      <c r="AN246" s="420" t="s">
        <v>2414</v>
      </c>
      <c r="AO246" s="420" t="s">
        <v>2415</v>
      </c>
      <c r="AP246" s="407" t="s">
        <v>1945</v>
      </c>
      <c r="AQ246" s="407" t="s">
        <v>3389</v>
      </c>
      <c r="AR246" s="407" t="s">
        <v>3389</v>
      </c>
      <c r="AS246" s="407" t="s">
        <v>3391</v>
      </c>
      <c r="AT246" s="798" t="s">
        <v>2419</v>
      </c>
      <c r="AU246" s="407" t="s">
        <v>3476</v>
      </c>
      <c r="AV246" s="408"/>
      <c r="AW246" s="191"/>
    </row>
    <row r="247" spans="1:49" ht="17">
      <c r="A247" s="1620"/>
      <c r="B247" s="342" t="s">
        <v>2198</v>
      </c>
      <c r="C247" s="213" t="s">
        <v>2205</v>
      </c>
      <c r="D247" s="214" t="s">
        <v>621</v>
      </c>
      <c r="E247" s="215">
        <v>5.85</v>
      </c>
      <c r="F247" s="216" t="s">
        <v>2206</v>
      </c>
      <c r="G247" s="217" t="s">
        <v>0</v>
      </c>
      <c r="H247" s="218" t="s">
        <v>4505</v>
      </c>
      <c r="I247" s="219">
        <v>97.42</v>
      </c>
      <c r="J247" s="220">
        <v>98.660000000000011</v>
      </c>
      <c r="K247" s="221">
        <v>0.59940000000000004</v>
      </c>
      <c r="L247" s="222">
        <v>98.02</v>
      </c>
      <c r="M247" s="220">
        <v>99.26</v>
      </c>
      <c r="N247" s="223">
        <v>1.5</v>
      </c>
      <c r="O247" s="219">
        <v>100.76</v>
      </c>
      <c r="P247" s="224">
        <v>4.41E-2</v>
      </c>
      <c r="Q247" s="225">
        <v>4.1200000000000001E-2</v>
      </c>
      <c r="R247" s="225" t="s">
        <v>557</v>
      </c>
      <c r="S247" s="226" t="s">
        <v>1745</v>
      </c>
      <c r="T247" s="226"/>
      <c r="U247" s="226">
        <v>4.1200000000000001E-2</v>
      </c>
      <c r="V247" s="227">
        <v>5.1138000000000003</v>
      </c>
      <c r="W247" s="227"/>
      <c r="X247" s="226"/>
      <c r="Y247" s="409">
        <v>4.1500000000000002E-2</v>
      </c>
      <c r="Z247" s="410">
        <v>2</v>
      </c>
      <c r="AA247" s="192" t="s">
        <v>1357</v>
      </c>
      <c r="AB247" s="411" t="s">
        <v>3394</v>
      </c>
      <c r="AC247" s="412">
        <v>100.16000000000001</v>
      </c>
      <c r="AD247" s="412">
        <v>12</v>
      </c>
      <c r="AE247" s="409" t="s">
        <v>2410</v>
      </c>
      <c r="AF247" s="409" t="s">
        <v>3392</v>
      </c>
      <c r="AG247" s="409" t="s">
        <v>4306</v>
      </c>
      <c r="AH247" s="409" t="s">
        <v>165</v>
      </c>
      <c r="AI247" s="409" t="s">
        <v>49</v>
      </c>
      <c r="AJ247" s="242" t="s">
        <v>2512</v>
      </c>
      <c r="AK247" s="242" t="s">
        <v>3395</v>
      </c>
      <c r="AL247" s="242" t="s">
        <v>2412</v>
      </c>
      <c r="AM247" s="242" t="s">
        <v>2413</v>
      </c>
      <c r="AN247" s="421" t="s">
        <v>2414</v>
      </c>
      <c r="AO247" s="421" t="s">
        <v>2415</v>
      </c>
      <c r="AP247" s="242" t="s">
        <v>1945</v>
      </c>
      <c r="AQ247" s="242" t="s">
        <v>3389</v>
      </c>
      <c r="AR247" s="242" t="s">
        <v>3389</v>
      </c>
      <c r="AS247" s="242" t="s">
        <v>3391</v>
      </c>
      <c r="AT247" s="797" t="s">
        <v>2419</v>
      </c>
      <c r="AU247" s="242" t="s">
        <v>3476</v>
      </c>
      <c r="AV247" s="193"/>
      <c r="AW247" s="191"/>
    </row>
    <row r="248" spans="1:49" ht="17">
      <c r="A248" s="1620"/>
      <c r="B248" s="342" t="s">
        <v>2199</v>
      </c>
      <c r="C248" s="213" t="s">
        <v>2207</v>
      </c>
      <c r="D248" s="228" t="s">
        <v>621</v>
      </c>
      <c r="E248" s="229">
        <v>8.85</v>
      </c>
      <c r="F248" s="230" t="s">
        <v>2208</v>
      </c>
      <c r="G248" s="231" t="s">
        <v>0</v>
      </c>
      <c r="H248" s="232" t="s">
        <v>4505</v>
      </c>
      <c r="I248" s="233">
        <v>97.82</v>
      </c>
      <c r="J248" s="234">
        <v>99.18</v>
      </c>
      <c r="K248" s="235">
        <v>0.62109999999999999</v>
      </c>
      <c r="L248" s="236">
        <v>98.44</v>
      </c>
      <c r="M248" s="234">
        <v>99.8</v>
      </c>
      <c r="N248" s="237">
        <v>2</v>
      </c>
      <c r="O248" s="233">
        <v>101.8</v>
      </c>
      <c r="P248" s="238">
        <v>4.41E-2</v>
      </c>
      <c r="Q248" s="239">
        <v>4.1399999999999999E-2</v>
      </c>
      <c r="R248" s="239" t="s">
        <v>557</v>
      </c>
      <c r="S248" s="240" t="s">
        <v>1745</v>
      </c>
      <c r="T248" s="240"/>
      <c r="U248" s="240">
        <v>4.1399999999999999E-2</v>
      </c>
      <c r="V248" s="241">
        <v>7.2535999999999996</v>
      </c>
      <c r="W248" s="241"/>
      <c r="X248" s="240"/>
      <c r="Y248" s="402">
        <v>4.2999999999999997E-2</v>
      </c>
      <c r="Z248" s="403">
        <v>2</v>
      </c>
      <c r="AA248" s="404" t="s">
        <v>1357</v>
      </c>
      <c r="AB248" s="405" t="s">
        <v>3396</v>
      </c>
      <c r="AC248" s="406">
        <v>101.18</v>
      </c>
      <c r="AD248" s="406">
        <v>18</v>
      </c>
      <c r="AE248" s="402" t="s">
        <v>2410</v>
      </c>
      <c r="AF248" s="402" t="s">
        <v>3392</v>
      </c>
      <c r="AG248" s="402" t="s">
        <v>4306</v>
      </c>
      <c r="AH248" s="402" t="s">
        <v>165</v>
      </c>
      <c r="AI248" s="402" t="s">
        <v>49</v>
      </c>
      <c r="AJ248" s="407" t="s">
        <v>2512</v>
      </c>
      <c r="AK248" s="407" t="s">
        <v>3397</v>
      </c>
      <c r="AL248" s="407" t="s">
        <v>2412</v>
      </c>
      <c r="AM248" s="407" t="s">
        <v>2413</v>
      </c>
      <c r="AN248" s="420" t="s">
        <v>2414</v>
      </c>
      <c r="AO248" s="420" t="s">
        <v>2415</v>
      </c>
      <c r="AP248" s="407" t="s">
        <v>1945</v>
      </c>
      <c r="AQ248" s="407" t="s">
        <v>3389</v>
      </c>
      <c r="AR248" s="407" t="s">
        <v>3389</v>
      </c>
      <c r="AS248" s="407" t="s">
        <v>3391</v>
      </c>
      <c r="AT248" s="798" t="s">
        <v>2419</v>
      </c>
      <c r="AU248" s="407" t="s">
        <v>3476</v>
      </c>
      <c r="AV248" s="408"/>
      <c r="AW248" s="191"/>
    </row>
    <row r="249" spans="1:49" ht="17">
      <c r="A249" s="1620"/>
      <c r="B249" s="342" t="s">
        <v>2200</v>
      </c>
      <c r="C249" s="213" t="s">
        <v>2209</v>
      </c>
      <c r="D249" s="214" t="s">
        <v>621</v>
      </c>
      <c r="E249" s="215">
        <v>28.85</v>
      </c>
      <c r="F249" s="216" t="s">
        <v>2210</v>
      </c>
      <c r="G249" s="217" t="s">
        <v>0</v>
      </c>
      <c r="H249" s="218" t="s">
        <v>4505</v>
      </c>
      <c r="I249" s="219">
        <v>96</v>
      </c>
      <c r="J249" s="220">
        <v>97.67</v>
      </c>
      <c r="K249" s="221">
        <v>0.7006</v>
      </c>
      <c r="L249" s="222">
        <v>96.7</v>
      </c>
      <c r="M249" s="220">
        <v>98.37</v>
      </c>
      <c r="N249" s="223">
        <v>3.5</v>
      </c>
      <c r="O249" s="219">
        <v>101.87</v>
      </c>
      <c r="P249" s="224">
        <v>0.05</v>
      </c>
      <c r="Q249" s="225">
        <v>4.7699999999999999E-2</v>
      </c>
      <c r="R249" s="225" t="s">
        <v>557</v>
      </c>
      <c r="S249" s="226" t="s">
        <v>1745</v>
      </c>
      <c r="T249" s="226"/>
      <c r="U249" s="226">
        <v>4.7699999999999999E-2</v>
      </c>
      <c r="V249" s="227">
        <v>15.2515</v>
      </c>
      <c r="W249" s="227"/>
      <c r="X249" s="226"/>
      <c r="Y249" s="409">
        <v>4.8499999999999995E-2</v>
      </c>
      <c r="Z249" s="410">
        <v>2</v>
      </c>
      <c r="AA249" s="192" t="s">
        <v>1357</v>
      </c>
      <c r="AB249" s="411" t="s">
        <v>3398</v>
      </c>
      <c r="AC249" s="412">
        <v>101.17</v>
      </c>
      <c r="AD249" s="412">
        <v>58</v>
      </c>
      <c r="AE249" s="409" t="s">
        <v>2410</v>
      </c>
      <c r="AF249" s="409" t="s">
        <v>3392</v>
      </c>
      <c r="AG249" s="409" t="s">
        <v>4306</v>
      </c>
      <c r="AH249" s="409" t="s">
        <v>165</v>
      </c>
      <c r="AI249" s="409" t="s">
        <v>49</v>
      </c>
      <c r="AJ249" s="242" t="s">
        <v>2512</v>
      </c>
      <c r="AK249" s="242" t="s">
        <v>3399</v>
      </c>
      <c r="AL249" s="242" t="s">
        <v>2412</v>
      </c>
      <c r="AM249" s="242" t="s">
        <v>2413</v>
      </c>
      <c r="AN249" s="421" t="s">
        <v>2414</v>
      </c>
      <c r="AO249" s="421" t="s">
        <v>2415</v>
      </c>
      <c r="AP249" s="242" t="s">
        <v>1945</v>
      </c>
      <c r="AQ249" s="242" t="s">
        <v>3389</v>
      </c>
      <c r="AR249" s="242" t="s">
        <v>3389</v>
      </c>
      <c r="AS249" s="242" t="s">
        <v>3391</v>
      </c>
      <c r="AT249" s="797" t="s">
        <v>2419</v>
      </c>
      <c r="AU249" s="242" t="s">
        <v>3476</v>
      </c>
      <c r="AV249" s="193"/>
      <c r="AW249" s="191"/>
    </row>
    <row r="250" spans="1:49" ht="17">
      <c r="A250" s="1620"/>
      <c r="B250" s="342" t="s">
        <v>2215</v>
      </c>
      <c r="C250" s="213" t="s">
        <v>2216</v>
      </c>
      <c r="D250" s="228" t="s">
        <v>791</v>
      </c>
      <c r="E250" s="229">
        <v>3.01</v>
      </c>
      <c r="F250" s="230" t="s">
        <v>2217</v>
      </c>
      <c r="G250" s="231" t="s">
        <v>0</v>
      </c>
      <c r="H250" s="232" t="s">
        <v>4505</v>
      </c>
      <c r="I250" s="233">
        <v>99.3</v>
      </c>
      <c r="J250" s="234">
        <v>100.23</v>
      </c>
      <c r="K250" s="235">
        <v>2.6332</v>
      </c>
      <c r="L250" s="236">
        <v>101.93</v>
      </c>
      <c r="M250" s="234">
        <v>102.86</v>
      </c>
      <c r="N250" s="237">
        <v>1</v>
      </c>
      <c r="O250" s="233">
        <v>103.86</v>
      </c>
      <c r="P250" s="238">
        <v>5.2999999999999999E-2</v>
      </c>
      <c r="Q250" s="239">
        <v>4.9399999999999999E-2</v>
      </c>
      <c r="R250" s="239" t="s">
        <v>550</v>
      </c>
      <c r="S250" s="240" t="s">
        <v>1745</v>
      </c>
      <c r="T250" s="240"/>
      <c r="U250" s="240" t="s">
        <v>1767</v>
      </c>
      <c r="V250" s="241">
        <v>2.6785999999999999</v>
      </c>
      <c r="W250" s="241"/>
      <c r="X250" s="240"/>
      <c r="Y250" s="402">
        <v>5.3859999999999998E-2</v>
      </c>
      <c r="Z250" s="403">
        <v>2</v>
      </c>
      <c r="AA250" s="404" t="s">
        <v>2218</v>
      </c>
      <c r="AB250" s="405" t="s">
        <v>3400</v>
      </c>
      <c r="AC250" s="406">
        <v>101.23</v>
      </c>
      <c r="AD250" s="406">
        <v>7</v>
      </c>
      <c r="AE250" s="402" t="s">
        <v>2410</v>
      </c>
      <c r="AF250" s="402" t="s">
        <v>3142</v>
      </c>
      <c r="AG250" s="402" t="s">
        <v>3831</v>
      </c>
      <c r="AH250" s="402" t="s">
        <v>162</v>
      </c>
      <c r="AI250" s="402" t="s">
        <v>2219</v>
      </c>
      <c r="AJ250" s="407" t="s">
        <v>3905</v>
      </c>
      <c r="AK250" s="407" t="s">
        <v>2419</v>
      </c>
      <c r="AL250" s="407" t="s">
        <v>2412</v>
      </c>
      <c r="AM250" s="407" t="s">
        <v>2419</v>
      </c>
      <c r="AN250" s="420" t="s">
        <v>2422</v>
      </c>
      <c r="AO250" s="420" t="s">
        <v>2415</v>
      </c>
      <c r="AP250" s="407" t="s">
        <v>1945</v>
      </c>
      <c r="AQ250" s="407" t="s">
        <v>3401</v>
      </c>
      <c r="AR250" s="407" t="s">
        <v>3401</v>
      </c>
      <c r="AS250" s="407" t="s">
        <v>3402</v>
      </c>
      <c r="AT250" s="798" t="s">
        <v>2419</v>
      </c>
      <c r="AU250" s="407" t="s">
        <v>3476</v>
      </c>
      <c r="AV250" s="408"/>
      <c r="AW250" s="191"/>
    </row>
    <row r="251" spans="1:49" ht="17">
      <c r="A251" s="1620"/>
      <c r="B251" s="342" t="s">
        <v>2220</v>
      </c>
      <c r="C251" s="213" t="s">
        <v>2221</v>
      </c>
      <c r="D251" s="214" t="s">
        <v>3470</v>
      </c>
      <c r="E251" s="215">
        <v>8.8699999999999992</v>
      </c>
      <c r="F251" s="216" t="s">
        <v>2222</v>
      </c>
      <c r="G251" s="217" t="s">
        <v>0</v>
      </c>
      <c r="H251" s="218" t="s">
        <v>4505</v>
      </c>
      <c r="I251" s="219">
        <v>95.8</v>
      </c>
      <c r="J251" s="220">
        <v>97.17</v>
      </c>
      <c r="K251" s="221">
        <v>0.60709999999999997</v>
      </c>
      <c r="L251" s="222">
        <v>96.41</v>
      </c>
      <c r="M251" s="220">
        <v>97.78</v>
      </c>
      <c r="N251" s="223">
        <v>2</v>
      </c>
      <c r="O251" s="219">
        <v>99.78</v>
      </c>
      <c r="P251" s="224">
        <v>5.0500000000000003E-2</v>
      </c>
      <c r="Q251" s="225">
        <v>4.7699999999999999E-2</v>
      </c>
      <c r="R251" s="225" t="s">
        <v>557</v>
      </c>
      <c r="S251" s="226" t="s">
        <v>1745</v>
      </c>
      <c r="T251" s="226"/>
      <c r="U251" s="226">
        <v>4.7699999999999999E-2</v>
      </c>
      <c r="V251" s="227">
        <v>7.1268000000000002</v>
      </c>
      <c r="W251" s="227"/>
      <c r="X251" s="226"/>
      <c r="Y251" s="409">
        <v>4.6500000000000007E-2</v>
      </c>
      <c r="Z251" s="410">
        <v>2</v>
      </c>
      <c r="AA251" s="192" t="s">
        <v>2223</v>
      </c>
      <c r="AB251" s="411" t="s">
        <v>3403</v>
      </c>
      <c r="AC251" s="412">
        <v>99.17</v>
      </c>
      <c r="AD251" s="412">
        <v>18</v>
      </c>
      <c r="AE251" s="409" t="s">
        <v>2410</v>
      </c>
      <c r="AF251" s="409" t="s">
        <v>2609</v>
      </c>
      <c r="AG251" s="409" t="s">
        <v>4341</v>
      </c>
      <c r="AH251" s="409" t="s">
        <v>166</v>
      </c>
      <c r="AI251" s="409" t="s">
        <v>3404</v>
      </c>
      <c r="AJ251" s="242" t="s">
        <v>3405</v>
      </c>
      <c r="AK251" s="242" t="s">
        <v>2533</v>
      </c>
      <c r="AL251" s="242" t="s">
        <v>2412</v>
      </c>
      <c r="AM251" s="242" t="s">
        <v>2413</v>
      </c>
      <c r="AN251" s="421" t="s">
        <v>2414</v>
      </c>
      <c r="AO251" s="421" t="s">
        <v>2415</v>
      </c>
      <c r="AP251" s="242" t="s">
        <v>1945</v>
      </c>
      <c r="AQ251" s="242" t="s">
        <v>3406</v>
      </c>
      <c r="AR251" s="242" t="s">
        <v>3406</v>
      </c>
      <c r="AS251" s="242" t="s">
        <v>2608</v>
      </c>
      <c r="AT251" s="797" t="s">
        <v>2419</v>
      </c>
      <c r="AU251" s="242" t="s">
        <v>3476</v>
      </c>
      <c r="AV251" s="193"/>
      <c r="AW251" s="191"/>
    </row>
    <row r="252" spans="1:49" ht="17">
      <c r="A252" s="1620"/>
      <c r="B252" s="342" t="s">
        <v>2226</v>
      </c>
      <c r="C252" s="213" t="s">
        <v>2227</v>
      </c>
      <c r="D252" s="228" t="s">
        <v>1197</v>
      </c>
      <c r="E252" s="229">
        <v>24.12</v>
      </c>
      <c r="F252" s="230" t="s">
        <v>2228</v>
      </c>
      <c r="G252" s="231" t="s">
        <v>0</v>
      </c>
      <c r="H252" s="232" t="s">
        <v>4505</v>
      </c>
      <c r="I252" s="233">
        <v>83.28</v>
      </c>
      <c r="J252" s="234">
        <v>84.83</v>
      </c>
      <c r="K252" s="235">
        <v>1.5983000000000001</v>
      </c>
      <c r="L252" s="236">
        <v>84.88</v>
      </c>
      <c r="M252" s="234">
        <v>86.43</v>
      </c>
      <c r="N252" s="237">
        <v>3.5</v>
      </c>
      <c r="O252" s="233">
        <v>89.93</v>
      </c>
      <c r="P252" s="238">
        <v>5.3199999999999997E-2</v>
      </c>
      <c r="Q252" s="239">
        <v>5.04E-2</v>
      </c>
      <c r="R252" s="239" t="s">
        <v>557</v>
      </c>
      <c r="S252" s="240" t="s">
        <v>1745</v>
      </c>
      <c r="T252" s="240"/>
      <c r="U252" s="240">
        <v>5.0500000000000003E-2</v>
      </c>
      <c r="V252" s="241">
        <v>14.009600000000001</v>
      </c>
      <c r="W252" s="241"/>
      <c r="X252" s="240"/>
      <c r="Y252" s="402">
        <v>4.2000000000000003E-2</v>
      </c>
      <c r="Z252" s="403">
        <v>2</v>
      </c>
      <c r="AA252" s="404" t="s">
        <v>1367</v>
      </c>
      <c r="AB252" s="405" t="s">
        <v>3407</v>
      </c>
      <c r="AC252" s="406">
        <v>88.33</v>
      </c>
      <c r="AD252" s="406">
        <v>49</v>
      </c>
      <c r="AE252" s="402" t="s">
        <v>2410</v>
      </c>
      <c r="AF252" s="402" t="s">
        <v>2534</v>
      </c>
      <c r="AG252" s="402" t="s">
        <v>3909</v>
      </c>
      <c r="AH252" s="402" t="s">
        <v>162</v>
      </c>
      <c r="AI252" s="402" t="s">
        <v>131</v>
      </c>
      <c r="AJ252" s="407" t="s">
        <v>3488</v>
      </c>
      <c r="AK252" s="407" t="s">
        <v>3408</v>
      </c>
      <c r="AL252" s="407" t="s">
        <v>2412</v>
      </c>
      <c r="AM252" s="407" t="s">
        <v>2413</v>
      </c>
      <c r="AN252" s="420" t="s">
        <v>2414</v>
      </c>
      <c r="AO252" s="420" t="s">
        <v>2415</v>
      </c>
      <c r="AP252" s="407" t="s">
        <v>1945</v>
      </c>
      <c r="AQ252" s="407" t="s">
        <v>2754</v>
      </c>
      <c r="AR252" s="407" t="s">
        <v>2754</v>
      </c>
      <c r="AS252" s="407" t="s">
        <v>3409</v>
      </c>
      <c r="AT252" s="798" t="s">
        <v>2419</v>
      </c>
      <c r="AU252" s="407" t="s">
        <v>3476</v>
      </c>
      <c r="AV252" s="408"/>
      <c r="AW252" s="191"/>
    </row>
    <row r="253" spans="1:49" ht="17">
      <c r="A253" s="1620"/>
      <c r="B253" s="342" t="s">
        <v>2229</v>
      </c>
      <c r="C253" s="213" t="s">
        <v>2230</v>
      </c>
      <c r="D253" s="214" t="s">
        <v>3896</v>
      </c>
      <c r="E253" s="215">
        <v>12.7</v>
      </c>
      <c r="F253" s="216" t="s">
        <v>2231</v>
      </c>
      <c r="G253" s="217" t="s">
        <v>0</v>
      </c>
      <c r="H253" s="218" t="s">
        <v>4505</v>
      </c>
      <c r="I253" s="219">
        <v>102.86</v>
      </c>
      <c r="J253" s="220">
        <v>104.74000000000001</v>
      </c>
      <c r="K253" s="221">
        <v>1.6941999999999999</v>
      </c>
      <c r="L253" s="222">
        <v>104.55</v>
      </c>
      <c r="M253" s="220">
        <v>106.43</v>
      </c>
      <c r="N253" s="223">
        <v>2</v>
      </c>
      <c r="O253" s="219">
        <v>108.43</v>
      </c>
      <c r="P253" s="224">
        <v>5.1799999999999999E-2</v>
      </c>
      <c r="Q253" s="225">
        <v>4.9799999999999997E-2</v>
      </c>
      <c r="R253" s="225" t="s">
        <v>557</v>
      </c>
      <c r="S253" s="226" t="s">
        <v>1745</v>
      </c>
      <c r="T253" s="226"/>
      <c r="U253" s="226" t="s">
        <v>1767</v>
      </c>
      <c r="V253" s="227">
        <v>8.9278999999999993</v>
      </c>
      <c r="W253" s="227"/>
      <c r="X253" s="226"/>
      <c r="Y253" s="409">
        <v>5.7000000000000002E-2</v>
      </c>
      <c r="Z253" s="410">
        <v>2</v>
      </c>
      <c r="AA253" s="192" t="s">
        <v>1364</v>
      </c>
      <c r="AB253" s="411" t="s">
        <v>3410</v>
      </c>
      <c r="AC253" s="412">
        <v>106.74000000000001</v>
      </c>
      <c r="AD253" s="412">
        <v>26</v>
      </c>
      <c r="AE253" s="409" t="s">
        <v>2410</v>
      </c>
      <c r="AF253" s="409" t="s">
        <v>2491</v>
      </c>
      <c r="AG253" s="409" t="s">
        <v>4021</v>
      </c>
      <c r="AH253" s="409" t="s">
        <v>171</v>
      </c>
      <c r="AI253" s="409" t="s">
        <v>113</v>
      </c>
      <c r="AJ253" s="242" t="s">
        <v>2890</v>
      </c>
      <c r="AK253" s="242" t="s">
        <v>2419</v>
      </c>
      <c r="AL253" s="242" t="s">
        <v>2412</v>
      </c>
      <c r="AM253" s="242" t="s">
        <v>2419</v>
      </c>
      <c r="AN253" s="421" t="s">
        <v>2414</v>
      </c>
      <c r="AO253" s="421" t="s">
        <v>2415</v>
      </c>
      <c r="AP253" s="242" t="s">
        <v>1945</v>
      </c>
      <c r="AQ253" s="242" t="s">
        <v>3411</v>
      </c>
      <c r="AR253" s="242" t="s">
        <v>3411</v>
      </c>
      <c r="AS253" s="242" t="s">
        <v>3412</v>
      </c>
      <c r="AT253" s="797" t="s">
        <v>2419</v>
      </c>
      <c r="AU253" s="242" t="s">
        <v>3476</v>
      </c>
      <c r="AV253" s="193"/>
      <c r="AW253" s="191"/>
    </row>
    <row r="254" spans="1:49" ht="17">
      <c r="A254" s="1620"/>
      <c r="B254" s="342" t="s">
        <v>2232</v>
      </c>
      <c r="C254" s="213" t="s">
        <v>2233</v>
      </c>
      <c r="D254" s="228" t="s">
        <v>2194</v>
      </c>
      <c r="E254" s="229">
        <v>14.75</v>
      </c>
      <c r="F254" s="230" t="s">
        <v>2234</v>
      </c>
      <c r="G254" s="231" t="s">
        <v>0</v>
      </c>
      <c r="H254" s="232" t="s">
        <v>4505</v>
      </c>
      <c r="I254" s="233">
        <v>107.68</v>
      </c>
      <c r="J254" s="234">
        <v>109.45</v>
      </c>
      <c r="K254" s="235">
        <v>1.5166999999999999</v>
      </c>
      <c r="L254" s="236">
        <v>109.2</v>
      </c>
      <c r="M254" s="234">
        <v>110.97</v>
      </c>
      <c r="N254" s="237">
        <v>2</v>
      </c>
      <c r="O254" s="233">
        <v>112.97</v>
      </c>
      <c r="P254" s="238">
        <v>5.0799999999999998E-2</v>
      </c>
      <c r="Q254" s="239">
        <v>4.9000000000000002E-2</v>
      </c>
      <c r="R254" s="239" t="s">
        <v>557</v>
      </c>
      <c r="S254" s="240" t="s">
        <v>1746</v>
      </c>
      <c r="T254" s="240"/>
      <c r="U254" s="240" t="s">
        <v>1767</v>
      </c>
      <c r="V254" s="241">
        <v>9.8422000000000001</v>
      </c>
      <c r="W254" s="241"/>
      <c r="X254" s="240"/>
      <c r="Y254" s="402">
        <v>0.06</v>
      </c>
      <c r="Z254" s="403">
        <v>2</v>
      </c>
      <c r="AA254" s="404" t="s">
        <v>1482</v>
      </c>
      <c r="AB254" s="405" t="s">
        <v>3413</v>
      </c>
      <c r="AC254" s="406">
        <v>111.45</v>
      </c>
      <c r="AD254" s="406">
        <v>30</v>
      </c>
      <c r="AE254" s="402" t="s">
        <v>2410</v>
      </c>
      <c r="AF254" s="402" t="s">
        <v>2730</v>
      </c>
      <c r="AG254" s="402" t="s">
        <v>4032</v>
      </c>
      <c r="AH254" s="402" t="s">
        <v>167</v>
      </c>
      <c r="AI254" s="402" t="s">
        <v>249</v>
      </c>
      <c r="AJ254" s="407" t="s">
        <v>3859</v>
      </c>
      <c r="AK254" s="407" t="s">
        <v>2419</v>
      </c>
      <c r="AL254" s="407" t="s">
        <v>2412</v>
      </c>
      <c r="AM254" s="407" t="s">
        <v>2419</v>
      </c>
      <c r="AN254" s="420" t="s">
        <v>2414</v>
      </c>
      <c r="AO254" s="420" t="s">
        <v>2415</v>
      </c>
      <c r="AP254" s="407" t="s">
        <v>1945</v>
      </c>
      <c r="AQ254" s="407" t="s">
        <v>3414</v>
      </c>
      <c r="AR254" s="407" t="s">
        <v>3414</v>
      </c>
      <c r="AS254" s="407" t="s">
        <v>3415</v>
      </c>
      <c r="AT254" s="798" t="s">
        <v>2419</v>
      </c>
      <c r="AU254" s="407" t="s">
        <v>3476</v>
      </c>
      <c r="AV254" s="408"/>
      <c r="AW254" s="191"/>
    </row>
    <row r="255" spans="1:49" ht="17">
      <c r="A255" s="1620"/>
      <c r="B255" s="342" t="s">
        <v>2340</v>
      </c>
      <c r="C255" s="213" t="s">
        <v>2341</v>
      </c>
      <c r="D255" s="214" t="s">
        <v>574</v>
      </c>
      <c r="E255" s="215">
        <v>17.579999999999998</v>
      </c>
      <c r="F255" s="216" t="s">
        <v>2335</v>
      </c>
      <c r="G255" s="217" t="s">
        <v>0</v>
      </c>
      <c r="H255" s="218" t="s">
        <v>4505</v>
      </c>
      <c r="I255" s="219">
        <v>101.78</v>
      </c>
      <c r="J255" s="220">
        <v>103.46</v>
      </c>
      <c r="K255" s="221">
        <v>2.4805999999999999</v>
      </c>
      <c r="L255" s="222">
        <v>104.26</v>
      </c>
      <c r="M255" s="220">
        <v>105.94</v>
      </c>
      <c r="N255" s="223">
        <v>2.5</v>
      </c>
      <c r="O255" s="219">
        <v>108.44</v>
      </c>
      <c r="P255" s="224">
        <v>5.5599999999999997E-2</v>
      </c>
      <c r="Q255" s="225">
        <v>5.3499999999999999E-2</v>
      </c>
      <c r="R255" s="225" t="s">
        <v>557</v>
      </c>
      <c r="S255" s="226" t="s">
        <v>1745</v>
      </c>
      <c r="T255" s="226"/>
      <c r="U255" s="226" t="s">
        <v>1767</v>
      </c>
      <c r="V255" s="227">
        <v>10.7684</v>
      </c>
      <c r="W255" s="227"/>
      <c r="X255" s="226"/>
      <c r="Y255" s="409">
        <v>5.8749999999999997E-2</v>
      </c>
      <c r="Z255" s="410">
        <v>2</v>
      </c>
      <c r="AA255" s="192" t="s">
        <v>1393</v>
      </c>
      <c r="AB255" s="411" t="s">
        <v>3416</v>
      </c>
      <c r="AC255" s="412">
        <v>105.96</v>
      </c>
      <c r="AD255" s="412">
        <v>36</v>
      </c>
      <c r="AE255" s="409" t="s">
        <v>2410</v>
      </c>
      <c r="AF255" s="409" t="s">
        <v>2463</v>
      </c>
      <c r="AG255" s="409" t="s">
        <v>3887</v>
      </c>
      <c r="AH255" s="409" t="s">
        <v>162</v>
      </c>
      <c r="AI255" s="409" t="s">
        <v>72</v>
      </c>
      <c r="AJ255" s="242" t="s">
        <v>3265</v>
      </c>
      <c r="AK255" s="242" t="s">
        <v>2419</v>
      </c>
      <c r="AL255" s="242" t="s">
        <v>2412</v>
      </c>
      <c r="AM255" s="242" t="s">
        <v>2419</v>
      </c>
      <c r="AN255" s="421" t="s">
        <v>2422</v>
      </c>
      <c r="AO255" s="421" t="s">
        <v>2415</v>
      </c>
      <c r="AP255" s="242" t="s">
        <v>1944</v>
      </c>
      <c r="AQ255" s="242" t="s">
        <v>3417</v>
      </c>
      <c r="AR255" s="242" t="s">
        <v>3417</v>
      </c>
      <c r="AS255" s="242" t="s">
        <v>3418</v>
      </c>
      <c r="AT255" s="797" t="s">
        <v>2419</v>
      </c>
      <c r="AU255" s="242" t="s">
        <v>3476</v>
      </c>
      <c r="AV255" s="193"/>
      <c r="AW255" s="191"/>
    </row>
    <row r="256" spans="1:49" ht="17">
      <c r="A256" s="1620"/>
      <c r="B256" s="342" t="s">
        <v>2342</v>
      </c>
      <c r="C256" s="213" t="s">
        <v>2343</v>
      </c>
      <c r="D256" s="228" t="s">
        <v>574</v>
      </c>
      <c r="E256" s="229">
        <v>24.06</v>
      </c>
      <c r="F256" s="230" t="s">
        <v>2336</v>
      </c>
      <c r="G256" s="231" t="s">
        <v>0</v>
      </c>
      <c r="H256" s="232" t="s">
        <v>4505</v>
      </c>
      <c r="I256" s="233">
        <v>86.22</v>
      </c>
      <c r="J256" s="234">
        <v>87.910000000000011</v>
      </c>
      <c r="K256" s="235">
        <v>2.0537999999999998</v>
      </c>
      <c r="L256" s="236">
        <v>88.27</v>
      </c>
      <c r="M256" s="234">
        <v>89.96</v>
      </c>
      <c r="N256" s="237">
        <v>3.5</v>
      </c>
      <c r="O256" s="233">
        <v>93.46</v>
      </c>
      <c r="P256" s="238">
        <v>5.57E-2</v>
      </c>
      <c r="Q256" s="239">
        <v>5.28E-2</v>
      </c>
      <c r="R256" s="239" t="s">
        <v>557</v>
      </c>
      <c r="S256" s="240" t="s">
        <v>1745</v>
      </c>
      <c r="T256" s="240"/>
      <c r="U256" s="240">
        <v>5.2900000000000003E-2</v>
      </c>
      <c r="V256" s="241">
        <v>13.444699999999999</v>
      </c>
      <c r="W256" s="241"/>
      <c r="X256" s="240"/>
      <c r="Y256" s="402">
        <v>4.6500000000000007E-2</v>
      </c>
      <c r="Z256" s="403">
        <v>2</v>
      </c>
      <c r="AA256" s="404" t="s">
        <v>1393</v>
      </c>
      <c r="AB256" s="405" t="s">
        <v>3419</v>
      </c>
      <c r="AC256" s="406">
        <v>91.410000000000011</v>
      </c>
      <c r="AD256" s="406">
        <v>49</v>
      </c>
      <c r="AE256" s="402" t="s">
        <v>2410</v>
      </c>
      <c r="AF256" s="402" t="s">
        <v>3420</v>
      </c>
      <c r="AG256" s="402" t="s">
        <v>3881</v>
      </c>
      <c r="AH256" s="402" t="s">
        <v>162</v>
      </c>
      <c r="AI256" s="402" t="s">
        <v>72</v>
      </c>
      <c r="AJ256" s="407" t="s">
        <v>3265</v>
      </c>
      <c r="AK256" s="407" t="s">
        <v>3421</v>
      </c>
      <c r="AL256" s="407" t="s">
        <v>2412</v>
      </c>
      <c r="AM256" s="407" t="s">
        <v>2413</v>
      </c>
      <c r="AN256" s="420" t="s">
        <v>2422</v>
      </c>
      <c r="AO256" s="420" t="s">
        <v>2415</v>
      </c>
      <c r="AP256" s="407" t="s">
        <v>1945</v>
      </c>
      <c r="AQ256" s="407" t="s">
        <v>3422</v>
      </c>
      <c r="AR256" s="407" t="s">
        <v>3422</v>
      </c>
      <c r="AS256" s="407" t="s">
        <v>3423</v>
      </c>
      <c r="AT256" s="798" t="s">
        <v>2419</v>
      </c>
      <c r="AU256" s="407" t="s">
        <v>3476</v>
      </c>
      <c r="AV256" s="408"/>
      <c r="AW256" s="191"/>
    </row>
    <row r="257" spans="1:49" ht="17">
      <c r="A257" s="1620"/>
      <c r="B257" s="342" t="s">
        <v>2344</v>
      </c>
      <c r="C257" s="213" t="s">
        <v>2345</v>
      </c>
      <c r="D257" s="214" t="s">
        <v>2346</v>
      </c>
      <c r="E257" s="215">
        <v>3.38</v>
      </c>
      <c r="F257" s="216" t="s">
        <v>2337</v>
      </c>
      <c r="G257" s="217" t="s">
        <v>534</v>
      </c>
      <c r="H257" s="218" t="s">
        <v>4508</v>
      </c>
      <c r="I257" s="219">
        <v>95.09</v>
      </c>
      <c r="J257" s="220">
        <v>96.18</v>
      </c>
      <c r="K257" s="221">
        <v>0.32100000000000001</v>
      </c>
      <c r="L257" s="222">
        <v>95.41</v>
      </c>
      <c r="M257" s="220">
        <v>96.5</v>
      </c>
      <c r="N257" s="223">
        <v>1.5</v>
      </c>
      <c r="O257" s="219">
        <v>98</v>
      </c>
      <c r="P257" s="224">
        <v>3.9699999999999999E-2</v>
      </c>
      <c r="Q257" s="225">
        <v>3.4799999999999998E-2</v>
      </c>
      <c r="R257" s="225" t="s">
        <v>557</v>
      </c>
      <c r="S257" s="226" t="s">
        <v>1745</v>
      </c>
      <c r="T257" s="226"/>
      <c r="U257" s="226" t="s">
        <v>1767</v>
      </c>
      <c r="V257" s="227">
        <v>3.1804999999999999</v>
      </c>
      <c r="W257" s="227"/>
      <c r="X257" s="226"/>
      <c r="Y257" s="409">
        <v>2.75E-2</v>
      </c>
      <c r="Z257" s="410">
        <v>2</v>
      </c>
      <c r="AA257" s="192" t="s">
        <v>2315</v>
      </c>
      <c r="AB257" s="411" t="s">
        <v>3424</v>
      </c>
      <c r="AC257" s="412">
        <v>97.68</v>
      </c>
      <c r="AD257" s="412">
        <v>7</v>
      </c>
      <c r="AE257" s="409" t="s">
        <v>2410</v>
      </c>
      <c r="AF257" s="409" t="s">
        <v>3367</v>
      </c>
      <c r="AG257" s="409" t="s">
        <v>4364</v>
      </c>
      <c r="AH257" s="409" t="s">
        <v>163</v>
      </c>
      <c r="AI257" s="409" t="s">
        <v>2316</v>
      </c>
      <c r="AJ257" s="242" t="s">
        <v>2562</v>
      </c>
      <c r="AK257" s="242" t="s">
        <v>2419</v>
      </c>
      <c r="AL257" s="242" t="s">
        <v>2412</v>
      </c>
      <c r="AM257" s="242" t="s">
        <v>2419</v>
      </c>
      <c r="AN257" s="421" t="s">
        <v>2414</v>
      </c>
      <c r="AO257" s="421" t="s">
        <v>2415</v>
      </c>
      <c r="AP257" s="242" t="s">
        <v>1948</v>
      </c>
      <c r="AQ257" s="242" t="s">
        <v>3425</v>
      </c>
      <c r="AR257" s="242" t="s">
        <v>3426</v>
      </c>
      <c r="AS257" s="242" t="s">
        <v>3427</v>
      </c>
      <c r="AT257" s="797">
        <v>7</v>
      </c>
      <c r="AU257" s="242" t="s">
        <v>3479</v>
      </c>
      <c r="AV257" s="193"/>
      <c r="AW257" s="191"/>
    </row>
    <row r="258" spans="1:49" ht="17">
      <c r="A258" s="1620"/>
      <c r="B258" s="342" t="s">
        <v>2347</v>
      </c>
      <c r="C258" s="213" t="s">
        <v>2348</v>
      </c>
      <c r="D258" s="228" t="s">
        <v>2346</v>
      </c>
      <c r="E258" s="229">
        <v>5.39</v>
      </c>
      <c r="F258" s="230" t="s">
        <v>2338</v>
      </c>
      <c r="G258" s="231" t="s">
        <v>534</v>
      </c>
      <c r="H258" s="232" t="s">
        <v>4508</v>
      </c>
      <c r="I258" s="233">
        <v>92.67</v>
      </c>
      <c r="J258" s="234">
        <v>93.92</v>
      </c>
      <c r="K258" s="235">
        <v>0.32100000000000001</v>
      </c>
      <c r="L258" s="236">
        <v>92.99</v>
      </c>
      <c r="M258" s="234">
        <v>94.24</v>
      </c>
      <c r="N258" s="237">
        <v>2</v>
      </c>
      <c r="O258" s="233">
        <v>96.24</v>
      </c>
      <c r="P258" s="238">
        <v>4.02E-2</v>
      </c>
      <c r="Q258" s="239">
        <v>3.5900000000000001E-2</v>
      </c>
      <c r="R258" s="239" t="s">
        <v>557</v>
      </c>
      <c r="S258" s="240" t="s">
        <v>1745</v>
      </c>
      <c r="T258" s="240"/>
      <c r="U258" s="240" t="s">
        <v>1767</v>
      </c>
      <c r="V258" s="241">
        <v>4.9169</v>
      </c>
      <c r="W258" s="241"/>
      <c r="X258" s="240"/>
      <c r="Y258" s="402">
        <v>2.75E-2</v>
      </c>
      <c r="Z258" s="403">
        <v>2</v>
      </c>
      <c r="AA258" s="404" t="s">
        <v>2315</v>
      </c>
      <c r="AB258" s="405" t="s">
        <v>3428</v>
      </c>
      <c r="AC258" s="406">
        <v>95.92</v>
      </c>
      <c r="AD258" s="406">
        <v>11</v>
      </c>
      <c r="AE258" s="402" t="s">
        <v>2410</v>
      </c>
      <c r="AF258" s="402" t="s">
        <v>3367</v>
      </c>
      <c r="AG258" s="402" t="s">
        <v>4364</v>
      </c>
      <c r="AH258" s="402" t="s">
        <v>163</v>
      </c>
      <c r="AI258" s="402" t="s">
        <v>2316</v>
      </c>
      <c r="AJ258" s="407" t="s">
        <v>2562</v>
      </c>
      <c r="AK258" s="407" t="s">
        <v>2419</v>
      </c>
      <c r="AL258" s="407" t="s">
        <v>2412</v>
      </c>
      <c r="AM258" s="407" t="s">
        <v>2419</v>
      </c>
      <c r="AN258" s="420" t="s">
        <v>2414</v>
      </c>
      <c r="AO258" s="420" t="s">
        <v>2415</v>
      </c>
      <c r="AP258" s="407" t="s">
        <v>1948</v>
      </c>
      <c r="AQ258" s="407" t="s">
        <v>3254</v>
      </c>
      <c r="AR258" s="407" t="s">
        <v>3429</v>
      </c>
      <c r="AS258" s="407" t="s">
        <v>3430</v>
      </c>
      <c r="AT258" s="798">
        <v>7</v>
      </c>
      <c r="AU258" s="407" t="s">
        <v>3479</v>
      </c>
      <c r="AV258" s="408"/>
      <c r="AW258" s="191"/>
    </row>
    <row r="259" spans="1:49" ht="17">
      <c r="A259" s="1620"/>
      <c r="B259" s="342" t="s">
        <v>2349</v>
      </c>
      <c r="C259" s="213" t="s">
        <v>2350</v>
      </c>
      <c r="D259" s="214" t="s">
        <v>2351</v>
      </c>
      <c r="E259" s="215">
        <v>5.88</v>
      </c>
      <c r="F259" s="216" t="s">
        <v>2339</v>
      </c>
      <c r="G259" s="217" t="s">
        <v>534</v>
      </c>
      <c r="H259" s="218" t="s">
        <v>4508</v>
      </c>
      <c r="I259" s="219">
        <v>89.65</v>
      </c>
      <c r="J259" s="220">
        <v>91.91</v>
      </c>
      <c r="K259" s="221">
        <v>0.29199999999999998</v>
      </c>
      <c r="L259" s="222">
        <v>89.94</v>
      </c>
      <c r="M259" s="220">
        <v>92.2</v>
      </c>
      <c r="N259" s="223">
        <v>2</v>
      </c>
      <c r="O259" s="219">
        <v>94.2</v>
      </c>
      <c r="P259" s="224">
        <v>4.0599999999999997E-2</v>
      </c>
      <c r="Q259" s="225">
        <v>3.6600000000000001E-2</v>
      </c>
      <c r="R259" s="225" t="s">
        <v>557</v>
      </c>
      <c r="S259" s="226" t="s">
        <v>1745</v>
      </c>
      <c r="T259" s="226"/>
      <c r="U259" s="226" t="s">
        <v>1767</v>
      </c>
      <c r="V259" s="227">
        <v>5.3672000000000004</v>
      </c>
      <c r="W259" s="227"/>
      <c r="X259" s="226"/>
      <c r="Y259" s="409">
        <v>2.5000000000000001E-2</v>
      </c>
      <c r="Z259" s="410">
        <v>2</v>
      </c>
      <c r="AA259" s="192" t="s">
        <v>2315</v>
      </c>
      <c r="AB259" s="411" t="s">
        <v>3431</v>
      </c>
      <c r="AC259" s="412">
        <v>93.91</v>
      </c>
      <c r="AD259" s="412">
        <v>12</v>
      </c>
      <c r="AE259" s="409" t="s">
        <v>2410</v>
      </c>
      <c r="AF259" s="409" t="s">
        <v>3367</v>
      </c>
      <c r="AG259" s="409" t="s">
        <v>4364</v>
      </c>
      <c r="AH259" s="409" t="s">
        <v>163</v>
      </c>
      <c r="AI259" s="409" t="s">
        <v>2316</v>
      </c>
      <c r="AJ259" s="242" t="s">
        <v>2562</v>
      </c>
      <c r="AK259" s="242" t="s">
        <v>2419</v>
      </c>
      <c r="AL259" s="242" t="s">
        <v>2412</v>
      </c>
      <c r="AM259" s="242" t="s">
        <v>2419</v>
      </c>
      <c r="AN259" s="421" t="s">
        <v>2414</v>
      </c>
      <c r="AO259" s="421" t="s">
        <v>2415</v>
      </c>
      <c r="AP259" s="242" t="s">
        <v>1948</v>
      </c>
      <c r="AQ259" s="242" t="s">
        <v>3432</v>
      </c>
      <c r="AR259" s="242" t="s">
        <v>3430</v>
      </c>
      <c r="AS259" s="242" t="s">
        <v>3433</v>
      </c>
      <c r="AT259" s="797">
        <v>7</v>
      </c>
      <c r="AU259" s="242" t="s">
        <v>3479</v>
      </c>
      <c r="AV259" s="193"/>
      <c r="AW259" s="191"/>
    </row>
    <row r="260" spans="1:49" ht="17">
      <c r="A260" s="1620"/>
      <c r="B260" s="342" t="s">
        <v>2354</v>
      </c>
      <c r="C260" s="213" t="s">
        <v>2355</v>
      </c>
      <c r="D260" s="228" t="s">
        <v>710</v>
      </c>
      <c r="E260" s="229">
        <v>15.92</v>
      </c>
      <c r="F260" s="230" t="s">
        <v>2356</v>
      </c>
      <c r="G260" s="231" t="s">
        <v>0</v>
      </c>
      <c r="H260" s="232" t="s">
        <v>4505</v>
      </c>
      <c r="I260" s="233">
        <v>94.63</v>
      </c>
      <c r="J260" s="234">
        <v>96.26</v>
      </c>
      <c r="K260" s="235">
        <v>0.54679999999999995</v>
      </c>
      <c r="L260" s="236">
        <v>95.18</v>
      </c>
      <c r="M260" s="234">
        <v>96.81</v>
      </c>
      <c r="N260" s="237">
        <v>2</v>
      </c>
      <c r="O260" s="233">
        <v>98.81</v>
      </c>
      <c r="P260" s="238">
        <v>6.7400000000000002E-2</v>
      </c>
      <c r="Q260" s="239">
        <v>6.5299999999999997E-2</v>
      </c>
      <c r="R260" s="239" t="s">
        <v>557</v>
      </c>
      <c r="S260" s="240" t="s">
        <v>1745</v>
      </c>
      <c r="T260" s="240"/>
      <c r="U260" s="240" t="s">
        <v>1767</v>
      </c>
      <c r="V260" s="241">
        <v>9.7555999999999994</v>
      </c>
      <c r="W260" s="241"/>
      <c r="X260" s="240"/>
      <c r="Y260" s="402">
        <v>6.3500000000000001E-2</v>
      </c>
      <c r="Z260" s="403">
        <v>2</v>
      </c>
      <c r="AA260" s="404" t="s">
        <v>1486</v>
      </c>
      <c r="AB260" s="405" t="s">
        <v>3434</v>
      </c>
      <c r="AC260" s="406">
        <v>98.26</v>
      </c>
      <c r="AD260" s="406">
        <v>32</v>
      </c>
      <c r="AE260" s="402" t="s">
        <v>2410</v>
      </c>
      <c r="AF260" s="402" t="s">
        <v>3465</v>
      </c>
      <c r="AG260" s="402" t="s">
        <v>4420</v>
      </c>
      <c r="AH260" s="402" t="s">
        <v>164</v>
      </c>
      <c r="AI260" s="402" t="s">
        <v>227</v>
      </c>
      <c r="AJ260" s="407" t="s">
        <v>3111</v>
      </c>
      <c r="AK260" s="407" t="s">
        <v>2419</v>
      </c>
      <c r="AL260" s="407" t="s">
        <v>2412</v>
      </c>
      <c r="AM260" s="407" t="s">
        <v>2419</v>
      </c>
      <c r="AN260" s="420" t="s">
        <v>2414</v>
      </c>
      <c r="AO260" s="420" t="s">
        <v>2415</v>
      </c>
      <c r="AP260" s="407" t="s">
        <v>1945</v>
      </c>
      <c r="AQ260" s="407" t="s">
        <v>3435</v>
      </c>
      <c r="AR260" s="407" t="s">
        <v>3435</v>
      </c>
      <c r="AS260" s="407" t="s">
        <v>3436</v>
      </c>
      <c r="AT260" s="798" t="s">
        <v>2419</v>
      </c>
      <c r="AU260" s="407" t="s">
        <v>3476</v>
      </c>
      <c r="AV260" s="408"/>
      <c r="AW260" s="191"/>
    </row>
    <row r="261" spans="1:49" ht="17">
      <c r="A261" s="1620"/>
      <c r="B261" s="342" t="s">
        <v>2361</v>
      </c>
      <c r="C261" s="213" t="s">
        <v>2367</v>
      </c>
      <c r="D261" s="214" t="s">
        <v>592</v>
      </c>
      <c r="E261" s="215">
        <v>16.66</v>
      </c>
      <c r="F261" s="216" t="s">
        <v>2362</v>
      </c>
      <c r="G261" s="217" t="s">
        <v>0</v>
      </c>
      <c r="H261" s="218" t="s">
        <v>4505</v>
      </c>
      <c r="I261" s="219">
        <v>103.59</v>
      </c>
      <c r="J261" s="220">
        <v>104.9</v>
      </c>
      <c r="K261" s="221">
        <v>2.1846999999999999</v>
      </c>
      <c r="L261" s="222">
        <v>105.77</v>
      </c>
      <c r="M261" s="220">
        <v>107.08</v>
      </c>
      <c r="N261" s="223">
        <v>2.5</v>
      </c>
      <c r="O261" s="219">
        <v>109.58</v>
      </c>
      <c r="P261" s="224">
        <v>6.0299999999999999E-2</v>
      </c>
      <c r="Q261" s="225">
        <v>5.8000000000000003E-2</v>
      </c>
      <c r="R261" s="225" t="s">
        <v>557</v>
      </c>
      <c r="S261" s="226" t="s">
        <v>1745</v>
      </c>
      <c r="T261" s="226"/>
      <c r="U261" s="226">
        <v>5.79E-2</v>
      </c>
      <c r="V261" s="227">
        <v>9.8988999999999994</v>
      </c>
      <c r="W261" s="227"/>
      <c r="X261" s="226"/>
      <c r="Y261" s="409">
        <v>6.5000000000000002E-2</v>
      </c>
      <c r="Z261" s="410">
        <v>2</v>
      </c>
      <c r="AA261" s="192" t="s">
        <v>2368</v>
      </c>
      <c r="AB261" s="411" t="s">
        <v>3437</v>
      </c>
      <c r="AC261" s="412">
        <v>107.4</v>
      </c>
      <c r="AD261" s="412">
        <v>34</v>
      </c>
      <c r="AE261" s="409" t="s">
        <v>2410</v>
      </c>
      <c r="AF261" s="409" t="s">
        <v>2469</v>
      </c>
      <c r="AG261" s="409" t="s">
        <v>3972</v>
      </c>
      <c r="AH261" s="409" t="s">
        <v>172</v>
      </c>
      <c r="AI261" s="409" t="s">
        <v>2369</v>
      </c>
      <c r="AJ261" s="242" t="s">
        <v>3438</v>
      </c>
      <c r="AK261" s="242" t="s">
        <v>3439</v>
      </c>
      <c r="AL261" s="242" t="s">
        <v>2412</v>
      </c>
      <c r="AM261" s="242" t="s">
        <v>2413</v>
      </c>
      <c r="AN261" s="421" t="s">
        <v>2414</v>
      </c>
      <c r="AO261" s="421" t="s">
        <v>2415</v>
      </c>
      <c r="AP261" s="242" t="s">
        <v>1945</v>
      </c>
      <c r="AQ261" s="242" t="s">
        <v>3440</v>
      </c>
      <c r="AR261" s="242" t="s">
        <v>3441</v>
      </c>
      <c r="AS261" s="242" t="s">
        <v>3442</v>
      </c>
      <c r="AT261" s="797" t="s">
        <v>2419</v>
      </c>
      <c r="AU261" s="242" t="s">
        <v>3476</v>
      </c>
      <c r="AV261" s="193"/>
      <c r="AW261" s="191"/>
    </row>
    <row r="262" spans="1:49" ht="17">
      <c r="A262" s="1620"/>
      <c r="B262" s="342" t="s">
        <v>2363</v>
      </c>
      <c r="C262" s="213" t="s">
        <v>2370</v>
      </c>
      <c r="D262" s="228" t="s">
        <v>855</v>
      </c>
      <c r="E262" s="229">
        <v>28.89</v>
      </c>
      <c r="F262" s="230" t="s">
        <v>2364</v>
      </c>
      <c r="G262" s="231" t="s">
        <v>0</v>
      </c>
      <c r="H262" s="232" t="s">
        <v>4505</v>
      </c>
      <c r="I262" s="233">
        <v>105.71</v>
      </c>
      <c r="J262" s="234">
        <v>107.81</v>
      </c>
      <c r="K262" s="235">
        <v>0.74750000000000005</v>
      </c>
      <c r="L262" s="236">
        <v>106.46</v>
      </c>
      <c r="M262" s="234">
        <v>108.56</v>
      </c>
      <c r="N262" s="237">
        <v>3.5</v>
      </c>
      <c r="O262" s="233">
        <v>112.06</v>
      </c>
      <c r="P262" s="238">
        <v>6.3100000000000003E-2</v>
      </c>
      <c r="Q262" s="239">
        <v>6.0600000000000001E-2</v>
      </c>
      <c r="R262" s="239" t="s">
        <v>550</v>
      </c>
      <c r="S262" s="240" t="s">
        <v>1745</v>
      </c>
      <c r="T262" s="240"/>
      <c r="U262" s="240">
        <v>6.0600000000000001E-2</v>
      </c>
      <c r="V262" s="241">
        <v>12.886699999999999</v>
      </c>
      <c r="W262" s="241"/>
      <c r="X262" s="240"/>
      <c r="Y262" s="402">
        <v>6.9000000000000006E-2</v>
      </c>
      <c r="Z262" s="403">
        <v>2</v>
      </c>
      <c r="AA262" s="404" t="s">
        <v>2832</v>
      </c>
      <c r="AB262" s="405" t="s">
        <v>3443</v>
      </c>
      <c r="AC262" s="406">
        <v>111.31</v>
      </c>
      <c r="AD262" s="406">
        <v>58</v>
      </c>
      <c r="AE262" s="402" t="s">
        <v>2410</v>
      </c>
      <c r="AF262" s="402" t="s">
        <v>3444</v>
      </c>
      <c r="AG262" s="402" t="s">
        <v>4365</v>
      </c>
      <c r="AH262" s="402" t="s">
        <v>168</v>
      </c>
      <c r="AI262" s="402" t="s">
        <v>66</v>
      </c>
      <c r="AJ262" s="407" t="s">
        <v>3856</v>
      </c>
      <c r="AK262" s="407" t="s">
        <v>3445</v>
      </c>
      <c r="AL262" s="407" t="s">
        <v>2412</v>
      </c>
      <c r="AM262" s="407" t="s">
        <v>2413</v>
      </c>
      <c r="AN262" s="420" t="s">
        <v>2414</v>
      </c>
      <c r="AO262" s="420" t="s">
        <v>2415</v>
      </c>
      <c r="AP262" s="407" t="s">
        <v>1943</v>
      </c>
      <c r="AQ262" s="407" t="s">
        <v>3446</v>
      </c>
      <c r="AR262" s="407" t="s">
        <v>3446</v>
      </c>
      <c r="AS262" s="407" t="s">
        <v>2408</v>
      </c>
      <c r="AT262" s="798" t="s">
        <v>2419</v>
      </c>
      <c r="AU262" s="407" t="s">
        <v>3476</v>
      </c>
      <c r="AV262" s="408"/>
      <c r="AW262" s="191"/>
    </row>
    <row r="263" spans="1:49" ht="17">
      <c r="A263" s="1620"/>
      <c r="B263" s="342" t="s">
        <v>2365</v>
      </c>
      <c r="C263" s="213" t="s">
        <v>2371</v>
      </c>
      <c r="D263" s="214" t="s">
        <v>702</v>
      </c>
      <c r="E263" s="215">
        <v>28.84</v>
      </c>
      <c r="F263" s="216" t="s">
        <v>2366</v>
      </c>
      <c r="G263" s="217" t="s">
        <v>0</v>
      </c>
      <c r="H263" s="218" t="s">
        <v>4505</v>
      </c>
      <c r="I263" s="219">
        <v>93.68</v>
      </c>
      <c r="J263" s="220">
        <v>95.13000000000001</v>
      </c>
      <c r="K263" s="221">
        <v>1.0210999999999999</v>
      </c>
      <c r="L263" s="222">
        <v>94.7</v>
      </c>
      <c r="M263" s="220">
        <v>96.15</v>
      </c>
      <c r="N263" s="223">
        <v>3.5</v>
      </c>
      <c r="O263" s="219">
        <v>99.65</v>
      </c>
      <c r="P263" s="224">
        <v>6.7199999999999996E-2</v>
      </c>
      <c r="Q263" s="225">
        <v>6.4399999999999999E-2</v>
      </c>
      <c r="R263" s="225" t="s">
        <v>550</v>
      </c>
      <c r="S263" s="226" t="s">
        <v>1745</v>
      </c>
      <c r="T263" s="226"/>
      <c r="U263" s="226">
        <v>6.4399999999999999E-2</v>
      </c>
      <c r="V263" s="227">
        <v>12.755800000000001</v>
      </c>
      <c r="W263" s="227"/>
      <c r="X263" s="226"/>
      <c r="Y263" s="409">
        <v>6.3380000000000006E-2</v>
      </c>
      <c r="Z263" s="410">
        <v>2</v>
      </c>
      <c r="AA263" s="192" t="s">
        <v>1451</v>
      </c>
      <c r="AB263" s="411" t="s">
        <v>3447</v>
      </c>
      <c r="AC263" s="412">
        <v>98.63000000000001</v>
      </c>
      <c r="AD263" s="412">
        <v>58</v>
      </c>
      <c r="AE263" s="409" t="s">
        <v>2410</v>
      </c>
      <c r="AF263" s="409" t="s">
        <v>2518</v>
      </c>
      <c r="AG263" s="409" t="s">
        <v>4198</v>
      </c>
      <c r="AH263" s="409" t="s">
        <v>163</v>
      </c>
      <c r="AI263" s="409" t="s">
        <v>189</v>
      </c>
      <c r="AJ263" s="242" t="s">
        <v>2562</v>
      </c>
      <c r="AK263" s="242" t="s">
        <v>3448</v>
      </c>
      <c r="AL263" s="242" t="s">
        <v>2412</v>
      </c>
      <c r="AM263" s="242" t="s">
        <v>2413</v>
      </c>
      <c r="AN263" s="421" t="s">
        <v>2414</v>
      </c>
      <c r="AO263" s="421" t="s">
        <v>2415</v>
      </c>
      <c r="AP263" s="242" t="s">
        <v>1943</v>
      </c>
      <c r="AQ263" s="242" t="s">
        <v>3449</v>
      </c>
      <c r="AR263" s="242" t="s">
        <v>3449</v>
      </c>
      <c r="AS263" s="242" t="s">
        <v>2517</v>
      </c>
      <c r="AT263" s="797" t="s">
        <v>2419</v>
      </c>
      <c r="AU263" s="242" t="s">
        <v>3476</v>
      </c>
      <c r="AV263" s="193"/>
      <c r="AW263" s="191"/>
    </row>
    <row r="264" spans="1:49" ht="17">
      <c r="A264" s="1620"/>
      <c r="B264" s="342" t="s">
        <v>2380</v>
      </c>
      <c r="C264" s="213" t="s">
        <v>2381</v>
      </c>
      <c r="D264" s="228" t="s">
        <v>691</v>
      </c>
      <c r="E264" s="229">
        <v>16.29</v>
      </c>
      <c r="F264" s="230" t="s">
        <v>2382</v>
      </c>
      <c r="G264" s="231" t="s">
        <v>0</v>
      </c>
      <c r="H264" s="232" t="s">
        <v>4505</v>
      </c>
      <c r="I264" s="233">
        <v>99.58</v>
      </c>
      <c r="J264" s="234">
        <v>101.30000000000001</v>
      </c>
      <c r="K264" s="235">
        <v>1.1763999999999999</v>
      </c>
      <c r="L264" s="236">
        <v>100.76</v>
      </c>
      <c r="M264" s="234">
        <v>102.48</v>
      </c>
      <c r="N264" s="237">
        <v>2.5</v>
      </c>
      <c r="O264" s="233">
        <v>104.98</v>
      </c>
      <c r="P264" s="238">
        <v>5.3800000000000001E-2</v>
      </c>
      <c r="Q264" s="239">
        <v>5.1499999999999997E-2</v>
      </c>
      <c r="R264" s="239" t="s">
        <v>557</v>
      </c>
      <c r="S264" s="240" t="s">
        <v>1745</v>
      </c>
      <c r="T264" s="240"/>
      <c r="U264" s="240" t="s">
        <v>1767</v>
      </c>
      <c r="V264" s="241">
        <v>10.6053</v>
      </c>
      <c r="W264" s="241"/>
      <c r="X264" s="240"/>
      <c r="Y264" s="402">
        <v>5.5E-2</v>
      </c>
      <c r="Z264" s="403">
        <v>2</v>
      </c>
      <c r="AA264" s="404" t="s">
        <v>1408</v>
      </c>
      <c r="AB264" s="405" t="s">
        <v>3450</v>
      </c>
      <c r="AC264" s="406">
        <v>103.80000000000001</v>
      </c>
      <c r="AD264" s="406">
        <v>33</v>
      </c>
      <c r="AE264" s="402" t="s">
        <v>2410</v>
      </c>
      <c r="AF264" s="402" t="s">
        <v>2527</v>
      </c>
      <c r="AG264" s="402" t="s">
        <v>4070</v>
      </c>
      <c r="AH264" s="402" t="s">
        <v>162</v>
      </c>
      <c r="AI264" s="402" t="s">
        <v>58</v>
      </c>
      <c r="AJ264" s="407" t="s">
        <v>2610</v>
      </c>
      <c r="AK264" s="407" t="s">
        <v>2419</v>
      </c>
      <c r="AL264" s="407" t="s">
        <v>2412</v>
      </c>
      <c r="AM264" s="407" t="s">
        <v>2419</v>
      </c>
      <c r="AN264" s="420" t="s">
        <v>2422</v>
      </c>
      <c r="AO264" s="420" t="s">
        <v>2415</v>
      </c>
      <c r="AP264" s="407" t="s">
        <v>1945</v>
      </c>
      <c r="AQ264" s="407" t="s">
        <v>3451</v>
      </c>
      <c r="AR264" s="407" t="s">
        <v>3451</v>
      </c>
      <c r="AS264" s="407" t="s">
        <v>3452</v>
      </c>
      <c r="AT264" s="798" t="s">
        <v>2419</v>
      </c>
      <c r="AU264" s="407" t="s">
        <v>3476</v>
      </c>
      <c r="AV264" s="408"/>
      <c r="AW264" s="191"/>
    </row>
    <row r="265" spans="1:49" ht="17">
      <c r="A265" s="1620"/>
      <c r="B265" s="342" t="s">
        <v>2383</v>
      </c>
      <c r="C265" s="213" t="s">
        <v>2384</v>
      </c>
      <c r="D265" s="214" t="s">
        <v>691</v>
      </c>
      <c r="E265" s="215">
        <v>19.579999999999998</v>
      </c>
      <c r="F265" s="216" t="s">
        <v>2385</v>
      </c>
      <c r="G265" s="217" t="s">
        <v>0</v>
      </c>
      <c r="H265" s="218" t="s">
        <v>4505</v>
      </c>
      <c r="I265" s="219">
        <v>92.03</v>
      </c>
      <c r="J265" s="220">
        <v>93.98</v>
      </c>
      <c r="K265" s="221">
        <v>2.0343</v>
      </c>
      <c r="L265" s="222">
        <v>94.06</v>
      </c>
      <c r="M265" s="220">
        <v>96.01</v>
      </c>
      <c r="N265" s="223">
        <v>3</v>
      </c>
      <c r="O265" s="219">
        <v>99.01</v>
      </c>
      <c r="P265" s="224">
        <v>5.3499999999999999E-2</v>
      </c>
      <c r="Q265" s="225">
        <v>5.0999999999999997E-2</v>
      </c>
      <c r="R265" s="225" t="s">
        <v>557</v>
      </c>
      <c r="S265" s="226" t="s">
        <v>1745</v>
      </c>
      <c r="T265" s="226"/>
      <c r="U265" s="226" t="s">
        <v>1767</v>
      </c>
      <c r="V265" s="227">
        <v>12.064</v>
      </c>
      <c r="W265" s="227"/>
      <c r="X265" s="226"/>
      <c r="Y265" s="409">
        <v>4.8499999999999995E-2</v>
      </c>
      <c r="Z265" s="410">
        <v>2</v>
      </c>
      <c r="AA265" s="192" t="s">
        <v>1408</v>
      </c>
      <c r="AB265" s="411" t="s">
        <v>3453</v>
      </c>
      <c r="AC265" s="412">
        <v>96.98</v>
      </c>
      <c r="AD265" s="412">
        <v>40</v>
      </c>
      <c r="AE265" s="409" t="s">
        <v>2410</v>
      </c>
      <c r="AF265" s="409" t="s">
        <v>2782</v>
      </c>
      <c r="AG265" s="409" t="s">
        <v>3890</v>
      </c>
      <c r="AH265" s="409" t="s">
        <v>162</v>
      </c>
      <c r="AI265" s="409" t="s">
        <v>58</v>
      </c>
      <c r="AJ265" s="242" t="s">
        <v>2610</v>
      </c>
      <c r="AK265" s="242" t="s">
        <v>2419</v>
      </c>
      <c r="AL265" s="242" t="s">
        <v>2412</v>
      </c>
      <c r="AM265" s="242" t="s">
        <v>2419</v>
      </c>
      <c r="AN265" s="421" t="s">
        <v>2422</v>
      </c>
      <c r="AO265" s="421" t="s">
        <v>2415</v>
      </c>
      <c r="AP265" s="242" t="s">
        <v>1945</v>
      </c>
      <c r="AQ265" s="242" t="s">
        <v>3454</v>
      </c>
      <c r="AR265" s="242" t="s">
        <v>3454</v>
      </c>
      <c r="AS265" s="242" t="s">
        <v>3153</v>
      </c>
      <c r="AT265" s="797" t="s">
        <v>2419</v>
      </c>
      <c r="AU265" s="242" t="s">
        <v>3476</v>
      </c>
      <c r="AV265" s="193"/>
      <c r="AW265" s="191"/>
    </row>
    <row r="266" spans="1:49" ht="17">
      <c r="A266" s="1620"/>
      <c r="B266" s="342" t="s">
        <v>2386</v>
      </c>
      <c r="C266" s="213" t="s">
        <v>2387</v>
      </c>
      <c r="D266" s="228" t="s">
        <v>574</v>
      </c>
      <c r="E266" s="229">
        <v>15.03</v>
      </c>
      <c r="F266" s="230" t="s">
        <v>2388</v>
      </c>
      <c r="G266" s="231" t="s">
        <v>0</v>
      </c>
      <c r="H266" s="232" t="s">
        <v>4505</v>
      </c>
      <c r="I266" s="233">
        <v>123.91</v>
      </c>
      <c r="J266" s="234">
        <v>125.60000000000001</v>
      </c>
      <c r="K266" s="235">
        <v>3.7690999999999999</v>
      </c>
      <c r="L266" s="236">
        <v>127.68</v>
      </c>
      <c r="M266" s="234">
        <v>129.37</v>
      </c>
      <c r="N266" s="237">
        <v>2</v>
      </c>
      <c r="O266" s="233">
        <v>131.37</v>
      </c>
      <c r="P266" s="238">
        <v>5.5899999999999998E-2</v>
      </c>
      <c r="Q266" s="239">
        <v>5.4199999999999998E-2</v>
      </c>
      <c r="R266" s="239" t="s">
        <v>557</v>
      </c>
      <c r="S266" s="240" t="s">
        <v>1745</v>
      </c>
      <c r="T266" s="240"/>
      <c r="U266" s="240" t="s">
        <v>1767</v>
      </c>
      <c r="V266" s="241">
        <v>9.0993999999999993</v>
      </c>
      <c r="W266" s="241"/>
      <c r="X266" s="240"/>
      <c r="Y266" s="402">
        <v>8.1250000000000003E-2</v>
      </c>
      <c r="Z266" s="403">
        <v>2</v>
      </c>
      <c r="AA266" s="404" t="s">
        <v>1393</v>
      </c>
      <c r="AB266" s="405" t="s">
        <v>3455</v>
      </c>
      <c r="AC266" s="406">
        <v>127.60000000000001</v>
      </c>
      <c r="AD266" s="406">
        <v>31</v>
      </c>
      <c r="AE266" s="402" t="s">
        <v>2410</v>
      </c>
      <c r="AF266" s="402" t="s">
        <v>2561</v>
      </c>
      <c r="AG266" s="402" t="s">
        <v>3862</v>
      </c>
      <c r="AH266" s="402" t="s">
        <v>162</v>
      </c>
      <c r="AI266" s="402" t="s">
        <v>72</v>
      </c>
      <c r="AJ266" s="407" t="s">
        <v>3265</v>
      </c>
      <c r="AK266" s="407" t="s">
        <v>2419</v>
      </c>
      <c r="AL266" s="407" t="s">
        <v>2412</v>
      </c>
      <c r="AM266" s="407" t="s">
        <v>2419</v>
      </c>
      <c r="AN266" s="420" t="s">
        <v>2422</v>
      </c>
      <c r="AO266" s="420" t="s">
        <v>2415</v>
      </c>
      <c r="AP266" s="407" t="s">
        <v>1945</v>
      </c>
      <c r="AQ266" s="407" t="s">
        <v>3456</v>
      </c>
      <c r="AR266" s="407" t="s">
        <v>3456</v>
      </c>
      <c r="AS266" s="407" t="s">
        <v>3457</v>
      </c>
      <c r="AT266" s="798" t="s">
        <v>2419</v>
      </c>
      <c r="AU266" s="407" t="s">
        <v>3476</v>
      </c>
      <c r="AV266" s="408"/>
      <c r="AW266" s="191"/>
    </row>
    <row r="267" spans="1:49" ht="17">
      <c r="A267" s="1620"/>
      <c r="B267" s="342" t="s">
        <v>2389</v>
      </c>
      <c r="C267" s="213" t="s">
        <v>2390</v>
      </c>
      <c r="D267" s="214" t="s">
        <v>664</v>
      </c>
      <c r="E267" s="215">
        <v>14.03</v>
      </c>
      <c r="F267" s="216" t="s">
        <v>2391</v>
      </c>
      <c r="G267" s="217" t="s">
        <v>0</v>
      </c>
      <c r="H267" s="218" t="s">
        <v>4505</v>
      </c>
      <c r="I267" s="219">
        <v>107.11</v>
      </c>
      <c r="J267" s="220">
        <v>108.78</v>
      </c>
      <c r="K267" s="221">
        <v>2.7138</v>
      </c>
      <c r="L267" s="222">
        <v>109.82</v>
      </c>
      <c r="M267" s="220">
        <v>111.49</v>
      </c>
      <c r="N267" s="223">
        <v>2</v>
      </c>
      <c r="O267" s="219">
        <v>113.49</v>
      </c>
      <c r="P267" s="224">
        <v>4.9700000000000001E-2</v>
      </c>
      <c r="Q267" s="225">
        <v>4.7899999999999998E-2</v>
      </c>
      <c r="R267" s="225" t="s">
        <v>557</v>
      </c>
      <c r="S267" s="226" t="s">
        <v>1745</v>
      </c>
      <c r="T267" s="226"/>
      <c r="U267" s="226" t="s">
        <v>1767</v>
      </c>
      <c r="V267" s="227">
        <v>9.4859000000000009</v>
      </c>
      <c r="W267" s="227"/>
      <c r="X267" s="226"/>
      <c r="Y267" s="409">
        <v>5.8499999999999996E-2</v>
      </c>
      <c r="Z267" s="410">
        <v>2</v>
      </c>
      <c r="AA267" s="192" t="s">
        <v>1370</v>
      </c>
      <c r="AB267" s="411" t="s">
        <v>3458</v>
      </c>
      <c r="AC267" s="412">
        <v>110.78</v>
      </c>
      <c r="AD267" s="412">
        <v>29</v>
      </c>
      <c r="AE267" s="409" t="s">
        <v>2410</v>
      </c>
      <c r="AF267" s="409" t="s">
        <v>2561</v>
      </c>
      <c r="AG267" s="409" t="s">
        <v>3862</v>
      </c>
      <c r="AH267" s="409" t="s">
        <v>167</v>
      </c>
      <c r="AI267" s="409" t="s">
        <v>96</v>
      </c>
      <c r="AJ267" s="242" t="s">
        <v>2568</v>
      </c>
      <c r="AK267" s="242" t="s">
        <v>2419</v>
      </c>
      <c r="AL267" s="242" t="s">
        <v>2412</v>
      </c>
      <c r="AM267" s="242" t="s">
        <v>2419</v>
      </c>
      <c r="AN267" s="421" t="s">
        <v>2414</v>
      </c>
      <c r="AO267" s="421" t="s">
        <v>2415</v>
      </c>
      <c r="AP267" s="242" t="s">
        <v>1945</v>
      </c>
      <c r="AQ267" s="242" t="s">
        <v>3459</v>
      </c>
      <c r="AR267" s="242" t="s">
        <v>3459</v>
      </c>
      <c r="AS267" s="242" t="s">
        <v>3460</v>
      </c>
      <c r="AT267" s="797" t="s">
        <v>2419</v>
      </c>
      <c r="AU267" s="242" t="s">
        <v>3476</v>
      </c>
      <c r="AV267" s="193"/>
      <c r="AW267" s="191"/>
    </row>
    <row r="268" spans="1:49" ht="17">
      <c r="A268" s="1620"/>
      <c r="B268" s="342" t="s">
        <v>3489</v>
      </c>
      <c r="C268" s="213" t="s">
        <v>3490</v>
      </c>
      <c r="D268" s="228" t="s">
        <v>3491</v>
      </c>
      <c r="E268" s="229">
        <v>29.19</v>
      </c>
      <c r="F268" s="230" t="s">
        <v>3492</v>
      </c>
      <c r="G268" s="231" t="s">
        <v>0</v>
      </c>
      <c r="H268" s="232" t="s">
        <v>4505</v>
      </c>
      <c r="I268" s="233">
        <v>98.07</v>
      </c>
      <c r="J268" s="234">
        <v>99.910000000000011</v>
      </c>
      <c r="K268" s="235">
        <v>1.7417</v>
      </c>
      <c r="L268" s="236">
        <v>99.81</v>
      </c>
      <c r="M268" s="234">
        <v>101.65</v>
      </c>
      <c r="N268" s="237">
        <v>3.5</v>
      </c>
      <c r="O268" s="233">
        <v>105.15</v>
      </c>
      <c r="P268" s="238">
        <v>5.5100000000000003E-2</v>
      </c>
      <c r="Q268" s="239">
        <v>5.2699999999999997E-2</v>
      </c>
      <c r="R268" s="239" t="s">
        <v>557</v>
      </c>
      <c r="S268" s="240" t="s">
        <v>1745</v>
      </c>
      <c r="T268" s="240"/>
      <c r="U268" s="240">
        <v>5.2699999999999997E-2</v>
      </c>
      <c r="V268" s="241">
        <v>14.174099999999999</v>
      </c>
      <c r="W268" s="241"/>
      <c r="X268" s="240"/>
      <c r="Y268" s="402">
        <v>5.5E-2</v>
      </c>
      <c r="Z268" s="403">
        <v>2</v>
      </c>
      <c r="AA268" s="404" t="s">
        <v>3493</v>
      </c>
      <c r="AB268" s="405" t="s">
        <v>3494</v>
      </c>
      <c r="AC268" s="406">
        <v>103.41000000000001</v>
      </c>
      <c r="AD268" s="406">
        <v>59</v>
      </c>
      <c r="AE268" s="402" t="s">
        <v>2410</v>
      </c>
      <c r="AF268" s="402" t="s">
        <v>2772</v>
      </c>
      <c r="AG268" s="402" t="s">
        <v>3986</v>
      </c>
      <c r="AH268" s="402" t="s">
        <v>169</v>
      </c>
      <c r="AI268" s="402" t="s">
        <v>3495</v>
      </c>
      <c r="AJ268" s="407" t="s">
        <v>3496</v>
      </c>
      <c r="AK268" s="407" t="s">
        <v>3497</v>
      </c>
      <c r="AL268" s="407" t="s">
        <v>2412</v>
      </c>
      <c r="AM268" s="407" t="s">
        <v>2413</v>
      </c>
      <c r="AN268" s="420" t="s">
        <v>2414</v>
      </c>
      <c r="AO268" s="420" t="s">
        <v>2415</v>
      </c>
      <c r="AP268" s="407" t="s">
        <v>1945</v>
      </c>
      <c r="AQ268" s="407" t="s">
        <v>2771</v>
      </c>
      <c r="AR268" s="407" t="s">
        <v>2771</v>
      </c>
      <c r="AS268" s="407" t="s">
        <v>2772</v>
      </c>
      <c r="AT268" s="798" t="s">
        <v>2419</v>
      </c>
      <c r="AU268" s="407" t="s">
        <v>3476</v>
      </c>
      <c r="AV268" s="408"/>
      <c r="AW268" s="191"/>
    </row>
    <row r="269" spans="1:49" ht="17">
      <c r="A269" s="1620"/>
      <c r="B269" s="342" t="s">
        <v>3498</v>
      </c>
      <c r="C269" s="213" t="s">
        <v>3499</v>
      </c>
      <c r="D269" s="214" t="s">
        <v>3500</v>
      </c>
      <c r="E269" s="215">
        <v>9.0299999999999994</v>
      </c>
      <c r="F269" s="216" t="s">
        <v>3501</v>
      </c>
      <c r="G269" s="217" t="s">
        <v>0</v>
      </c>
      <c r="H269" s="218" t="s">
        <v>4505</v>
      </c>
      <c r="I269" s="219">
        <v>103.3</v>
      </c>
      <c r="J269" s="220">
        <v>104.77000000000001</v>
      </c>
      <c r="K269" s="221">
        <v>2.4049999999999998</v>
      </c>
      <c r="L269" s="222">
        <v>105.71</v>
      </c>
      <c r="M269" s="220">
        <v>107.18</v>
      </c>
      <c r="N269" s="223">
        <v>2</v>
      </c>
      <c r="O269" s="219">
        <v>109.18</v>
      </c>
      <c r="P269" s="224">
        <v>4.4699999999999997E-2</v>
      </c>
      <c r="Q269" s="225">
        <v>4.2099999999999999E-2</v>
      </c>
      <c r="R269" s="225" t="s">
        <v>557</v>
      </c>
      <c r="S269" s="226" t="s">
        <v>1745</v>
      </c>
      <c r="T269" s="226"/>
      <c r="U269" s="226">
        <v>4.19E-2</v>
      </c>
      <c r="V269" s="227">
        <v>6.9105999999999996</v>
      </c>
      <c r="W269" s="227"/>
      <c r="X269" s="226"/>
      <c r="Y269" s="409">
        <v>5.1230000000000005E-2</v>
      </c>
      <c r="Z269" s="410">
        <v>2</v>
      </c>
      <c r="AA269" s="192" t="s">
        <v>3502</v>
      </c>
      <c r="AB269" s="411" t="s">
        <v>3503</v>
      </c>
      <c r="AC269" s="412">
        <v>106.77000000000001</v>
      </c>
      <c r="AD269" s="412">
        <v>19</v>
      </c>
      <c r="AE269" s="409" t="s">
        <v>2410</v>
      </c>
      <c r="AF269" s="409" t="s">
        <v>2980</v>
      </c>
      <c r="AG269" s="409" t="s">
        <v>3865</v>
      </c>
      <c r="AH269" s="409" t="s">
        <v>170</v>
      </c>
      <c r="AI269" s="409" t="s">
        <v>3504</v>
      </c>
      <c r="AJ269" s="242" t="s">
        <v>3505</v>
      </c>
      <c r="AK269" s="242" t="s">
        <v>3506</v>
      </c>
      <c r="AL269" s="242" t="s">
        <v>2412</v>
      </c>
      <c r="AM269" s="242" t="s">
        <v>2413</v>
      </c>
      <c r="AN269" s="421" t="s">
        <v>2414</v>
      </c>
      <c r="AO269" s="421" t="s">
        <v>2415</v>
      </c>
      <c r="AP269" s="242" t="s">
        <v>1945</v>
      </c>
      <c r="AQ269" s="242" t="s">
        <v>2979</v>
      </c>
      <c r="AR269" s="242" t="s">
        <v>2979</v>
      </c>
      <c r="AS269" s="242" t="s">
        <v>2980</v>
      </c>
      <c r="AT269" s="797" t="s">
        <v>2419</v>
      </c>
      <c r="AU269" s="242" t="s">
        <v>3476</v>
      </c>
      <c r="AV269" s="193"/>
      <c r="AW269" s="191"/>
    </row>
    <row r="270" spans="1:49" ht="17">
      <c r="A270" s="1620"/>
      <c r="B270" s="342" t="s">
        <v>3832</v>
      </c>
      <c r="C270" s="213" t="s">
        <v>3833</v>
      </c>
      <c r="D270" s="228" t="s">
        <v>1169</v>
      </c>
      <c r="E270" s="229">
        <v>7.69</v>
      </c>
      <c r="F270" s="230" t="s">
        <v>3834</v>
      </c>
      <c r="G270" s="231" t="s">
        <v>0</v>
      </c>
      <c r="H270" s="232" t="s">
        <v>4505</v>
      </c>
      <c r="I270" s="233">
        <v>86.91</v>
      </c>
      <c r="J270" s="234">
        <v>88.38000000000001</v>
      </c>
      <c r="K270" s="235">
        <v>0.92310000000000003</v>
      </c>
      <c r="L270" s="236">
        <v>87.83</v>
      </c>
      <c r="M270" s="234">
        <v>89.3</v>
      </c>
      <c r="N270" s="237">
        <v>2</v>
      </c>
      <c r="O270" s="233">
        <v>91.3</v>
      </c>
      <c r="P270" s="238">
        <v>4.7899999999999998E-2</v>
      </c>
      <c r="Q270" s="239">
        <v>4.4600000000000001E-2</v>
      </c>
      <c r="R270" s="239" t="s">
        <v>557</v>
      </c>
      <c r="S270" s="240" t="s">
        <v>1745</v>
      </c>
      <c r="T270" s="240"/>
      <c r="U270" s="240">
        <v>4.4999999999999998E-2</v>
      </c>
      <c r="V270" s="241">
        <v>6.6494999999999997</v>
      </c>
      <c r="W270" s="241"/>
      <c r="X270" s="240"/>
      <c r="Y270" s="402">
        <v>2.9670000000000002E-2</v>
      </c>
      <c r="Z270" s="403">
        <v>2</v>
      </c>
      <c r="AA270" s="404" t="s">
        <v>3816</v>
      </c>
      <c r="AB270" s="405" t="s">
        <v>3835</v>
      </c>
      <c r="AC270" s="406">
        <v>90.38000000000001</v>
      </c>
      <c r="AD270" s="406">
        <v>16</v>
      </c>
      <c r="AE270" s="402" t="s">
        <v>2410</v>
      </c>
      <c r="AF270" s="402" t="s">
        <v>3836</v>
      </c>
      <c r="AG270" s="402" t="s">
        <v>3989</v>
      </c>
      <c r="AH270" s="402" t="s">
        <v>170</v>
      </c>
      <c r="AI270" s="402" t="s">
        <v>3837</v>
      </c>
      <c r="AJ270" s="407" t="s">
        <v>3838</v>
      </c>
      <c r="AK270" s="407" t="s">
        <v>3839</v>
      </c>
      <c r="AL270" s="407" t="s">
        <v>2412</v>
      </c>
      <c r="AM270" s="407" t="s">
        <v>2413</v>
      </c>
      <c r="AN270" s="420" t="s">
        <v>2414</v>
      </c>
      <c r="AO270" s="420" t="s">
        <v>2415</v>
      </c>
      <c r="AP270" s="407" t="s">
        <v>1945</v>
      </c>
      <c r="AQ270" s="407" t="s">
        <v>3840</v>
      </c>
      <c r="AR270" s="407" t="s">
        <v>3840</v>
      </c>
      <c r="AS270" s="407" t="s">
        <v>3841</v>
      </c>
      <c r="AT270" s="798" t="s">
        <v>2419</v>
      </c>
      <c r="AU270" s="407" t="s">
        <v>3476</v>
      </c>
      <c r="AV270" s="408"/>
      <c r="AW270" s="191"/>
    </row>
    <row r="271" spans="1:49" ht="17">
      <c r="A271" s="1620"/>
      <c r="B271" s="342" t="s">
        <v>3842</v>
      </c>
      <c r="C271" s="213" t="s">
        <v>3843</v>
      </c>
      <c r="D271" s="214" t="s">
        <v>1169</v>
      </c>
      <c r="E271" s="215">
        <v>6.26</v>
      </c>
      <c r="F271" s="216" t="s">
        <v>3844</v>
      </c>
      <c r="G271" s="217" t="s">
        <v>0</v>
      </c>
      <c r="H271" s="218" t="s">
        <v>4505</v>
      </c>
      <c r="I271" s="219">
        <v>103.58</v>
      </c>
      <c r="J271" s="220">
        <v>104.89</v>
      </c>
      <c r="K271" s="221">
        <v>1.43</v>
      </c>
      <c r="L271" s="222">
        <v>105.01</v>
      </c>
      <c r="M271" s="220">
        <v>106.32</v>
      </c>
      <c r="N271" s="223">
        <v>1.5</v>
      </c>
      <c r="O271" s="219">
        <v>107.82</v>
      </c>
      <c r="P271" s="224">
        <v>4.9299999999999997E-2</v>
      </c>
      <c r="Q271" s="225">
        <v>4.6600000000000003E-2</v>
      </c>
      <c r="R271" s="225" t="s">
        <v>557</v>
      </c>
      <c r="S271" s="226" t="s">
        <v>1745</v>
      </c>
      <c r="T271" s="226"/>
      <c r="U271" s="226" t="s">
        <v>1767</v>
      </c>
      <c r="V271" s="227">
        <v>5.1597</v>
      </c>
      <c r="W271" s="227"/>
      <c r="X271" s="226"/>
      <c r="Y271" s="409">
        <v>5.8499999999999996E-2</v>
      </c>
      <c r="Z271" s="410">
        <v>2</v>
      </c>
      <c r="AA271" s="192" t="s">
        <v>3818</v>
      </c>
      <c r="AB271" s="411" t="s">
        <v>3845</v>
      </c>
      <c r="AC271" s="412">
        <v>106.39</v>
      </c>
      <c r="AD271" s="412">
        <v>13</v>
      </c>
      <c r="AE271" s="409" t="s">
        <v>2410</v>
      </c>
      <c r="AF271" s="409" t="s">
        <v>3847</v>
      </c>
      <c r="AG271" s="409" t="s">
        <v>4036</v>
      </c>
      <c r="AH271" s="409" t="s">
        <v>170</v>
      </c>
      <c r="AI271" s="409" t="s">
        <v>3837</v>
      </c>
      <c r="AJ271" s="242" t="s">
        <v>3848</v>
      </c>
      <c r="AK271" s="242" t="s">
        <v>2419</v>
      </c>
      <c r="AL271" s="242" t="s">
        <v>2412</v>
      </c>
      <c r="AM271" s="242" t="s">
        <v>2419</v>
      </c>
      <c r="AN271" s="421" t="s">
        <v>2414</v>
      </c>
      <c r="AO271" s="421" t="s">
        <v>2415</v>
      </c>
      <c r="AP271" s="242" t="s">
        <v>1945</v>
      </c>
      <c r="AQ271" s="242" t="s">
        <v>3846</v>
      </c>
      <c r="AR271" s="242" t="s">
        <v>3846</v>
      </c>
      <c r="AS271" s="242" t="s">
        <v>3847</v>
      </c>
      <c r="AT271" s="797" t="s">
        <v>2419</v>
      </c>
      <c r="AU271" s="242" t="s">
        <v>3476</v>
      </c>
      <c r="AV271" s="193"/>
      <c r="AW271" s="191"/>
    </row>
    <row r="272" spans="1:49" ht="17">
      <c r="A272" s="1620"/>
      <c r="B272" s="342" t="s">
        <v>3849</v>
      </c>
      <c r="C272" s="213" t="s">
        <v>3850</v>
      </c>
      <c r="D272" s="228" t="s">
        <v>687</v>
      </c>
      <c r="E272" s="229">
        <v>20.83</v>
      </c>
      <c r="F272" s="230" t="s">
        <v>3851</v>
      </c>
      <c r="G272" s="231" t="s">
        <v>0</v>
      </c>
      <c r="H272" s="232" t="s">
        <v>4505</v>
      </c>
      <c r="I272" s="233">
        <v>78.290000000000006</v>
      </c>
      <c r="J272" s="234">
        <v>79.800000000000011</v>
      </c>
      <c r="K272" s="235">
        <v>0.66080000000000005</v>
      </c>
      <c r="L272" s="236">
        <v>78.95</v>
      </c>
      <c r="M272" s="234">
        <v>80.459999999999994</v>
      </c>
      <c r="N272" s="237">
        <v>3.5</v>
      </c>
      <c r="O272" s="233">
        <v>83.96</v>
      </c>
      <c r="P272" s="238">
        <v>5.5500000000000001E-2</v>
      </c>
      <c r="Q272" s="239">
        <v>5.2200000000000003E-2</v>
      </c>
      <c r="R272" s="239" t="s">
        <v>557</v>
      </c>
      <c r="S272" s="240" t="s">
        <v>1745</v>
      </c>
      <c r="T272" s="240"/>
      <c r="U272" s="240" t="s">
        <v>1767</v>
      </c>
      <c r="V272" s="241">
        <v>13.1707</v>
      </c>
      <c r="W272" s="241"/>
      <c r="X272" s="240"/>
      <c r="Y272" s="402">
        <v>3.9E-2</v>
      </c>
      <c r="Z272" s="403">
        <v>2</v>
      </c>
      <c r="AA272" s="404" t="s">
        <v>1402</v>
      </c>
      <c r="AB272" s="405" t="s">
        <v>3360</v>
      </c>
      <c r="AC272" s="406">
        <v>83.300000000000011</v>
      </c>
      <c r="AD272" s="406">
        <v>42</v>
      </c>
      <c r="AE272" s="402" t="s">
        <v>2410</v>
      </c>
      <c r="AF272" s="402" t="s">
        <v>2707</v>
      </c>
      <c r="AG272" s="402" t="s">
        <v>4139</v>
      </c>
      <c r="AH272" s="402" t="s">
        <v>162</v>
      </c>
      <c r="AI272" s="402" t="s">
        <v>57</v>
      </c>
      <c r="AJ272" s="407" t="s">
        <v>2604</v>
      </c>
      <c r="AK272" s="407" t="s">
        <v>2419</v>
      </c>
      <c r="AL272" s="407" t="s">
        <v>2412</v>
      </c>
      <c r="AM272" s="407" t="s">
        <v>2419</v>
      </c>
      <c r="AN272" s="420" t="s">
        <v>2422</v>
      </c>
      <c r="AO272" s="420" t="s">
        <v>2415</v>
      </c>
      <c r="AP272" s="407" t="s">
        <v>1945</v>
      </c>
      <c r="AQ272" s="407" t="s">
        <v>3852</v>
      </c>
      <c r="AR272" s="407" t="s">
        <v>3852</v>
      </c>
      <c r="AS272" s="407" t="s">
        <v>3853</v>
      </c>
      <c r="AT272" s="798" t="s">
        <v>2419</v>
      </c>
      <c r="AU272" s="407" t="s">
        <v>3476</v>
      </c>
      <c r="AV272" s="408"/>
      <c r="AW272" s="191"/>
    </row>
    <row r="273" spans="1:49" ht="17">
      <c r="A273" s="1620"/>
      <c r="B273" s="342" t="s">
        <v>3921</v>
      </c>
      <c r="C273" s="213" t="s">
        <v>3970</v>
      </c>
      <c r="D273" s="214" t="s">
        <v>3500</v>
      </c>
      <c r="E273" s="215">
        <v>28.66</v>
      </c>
      <c r="F273" s="216" t="s">
        <v>3922</v>
      </c>
      <c r="G273" s="217" t="s">
        <v>0</v>
      </c>
      <c r="H273" s="218" t="s">
        <v>4505</v>
      </c>
      <c r="I273" s="219">
        <v>92.87</v>
      </c>
      <c r="J273" s="220">
        <v>94.51</v>
      </c>
      <c r="K273" s="221">
        <v>1.6927000000000001</v>
      </c>
      <c r="L273" s="222">
        <v>94.56</v>
      </c>
      <c r="M273" s="220">
        <v>96.2</v>
      </c>
      <c r="N273" s="223">
        <v>3.5</v>
      </c>
      <c r="O273" s="219">
        <v>99.7</v>
      </c>
      <c r="P273" s="224">
        <v>5.2499999999999998E-2</v>
      </c>
      <c r="Q273" s="225">
        <v>5.0099999999999999E-2</v>
      </c>
      <c r="R273" s="225" t="s">
        <v>557</v>
      </c>
      <c r="S273" s="226" t="s">
        <v>1745</v>
      </c>
      <c r="T273" s="226"/>
      <c r="U273" s="226">
        <v>5.0099999999999999E-2</v>
      </c>
      <c r="V273" s="227">
        <v>14.7681</v>
      </c>
      <c r="W273" s="227"/>
      <c r="X273" s="226"/>
      <c r="Y273" s="409">
        <v>4.8750000000000002E-2</v>
      </c>
      <c r="Z273" s="410">
        <v>2</v>
      </c>
      <c r="AA273" s="192" t="s">
        <v>3923</v>
      </c>
      <c r="AB273" s="411" t="s">
        <v>3924</v>
      </c>
      <c r="AC273" s="412">
        <v>98.01</v>
      </c>
      <c r="AD273" s="412">
        <v>58</v>
      </c>
      <c r="AE273" s="409" t="s">
        <v>2410</v>
      </c>
      <c r="AF273" s="409" t="s">
        <v>3926</v>
      </c>
      <c r="AG273" s="409" t="s">
        <v>3971</v>
      </c>
      <c r="AH273" s="409" t="s">
        <v>167</v>
      </c>
      <c r="AI273" s="409" t="s">
        <v>3927</v>
      </c>
      <c r="AJ273" s="242" t="s">
        <v>4015</v>
      </c>
      <c r="AK273" s="242" t="s">
        <v>3928</v>
      </c>
      <c r="AL273" s="242" t="s">
        <v>2412</v>
      </c>
      <c r="AM273" s="242" t="s">
        <v>2413</v>
      </c>
      <c r="AN273" s="421" t="s">
        <v>2414</v>
      </c>
      <c r="AO273" s="421" t="s">
        <v>2415</v>
      </c>
      <c r="AP273" s="242" t="s">
        <v>1945</v>
      </c>
      <c r="AQ273" s="242" t="s">
        <v>3929</v>
      </c>
      <c r="AR273" s="242" t="s">
        <v>3929</v>
      </c>
      <c r="AS273" s="242" t="s">
        <v>3925</v>
      </c>
      <c r="AT273" s="797" t="s">
        <v>2419</v>
      </c>
      <c r="AU273" s="242" t="s">
        <v>3476</v>
      </c>
      <c r="AV273" s="193"/>
      <c r="AW273" s="191"/>
    </row>
    <row r="274" spans="1:49" ht="17">
      <c r="A274" s="1620"/>
      <c r="B274" s="342" t="s">
        <v>3950</v>
      </c>
      <c r="C274" s="213" t="s">
        <v>3949</v>
      </c>
      <c r="D274" s="228" t="s">
        <v>680</v>
      </c>
      <c r="E274" s="229">
        <v>7.78</v>
      </c>
      <c r="F274" s="230" t="s">
        <v>3951</v>
      </c>
      <c r="G274" s="231" t="s">
        <v>0</v>
      </c>
      <c r="H274" s="232" t="s">
        <v>4505</v>
      </c>
      <c r="I274" s="233">
        <v>91.17</v>
      </c>
      <c r="J274" s="234">
        <v>92.36</v>
      </c>
      <c r="K274" s="235">
        <v>0.79</v>
      </c>
      <c r="L274" s="236">
        <v>91.96</v>
      </c>
      <c r="M274" s="234">
        <v>93.15</v>
      </c>
      <c r="N274" s="237">
        <v>1.5</v>
      </c>
      <c r="O274" s="233">
        <v>94.65</v>
      </c>
      <c r="P274" s="238">
        <v>4.7899999999999998E-2</v>
      </c>
      <c r="Q274" s="239">
        <v>4.5400000000000003E-2</v>
      </c>
      <c r="R274" s="239" t="s">
        <v>557</v>
      </c>
      <c r="S274" s="240" t="s">
        <v>1745</v>
      </c>
      <c r="T274" s="240"/>
      <c r="U274" s="240">
        <v>4.5699999999999998E-2</v>
      </c>
      <c r="V274" s="241">
        <v>6.5997000000000003</v>
      </c>
      <c r="W274" s="241"/>
      <c r="X274" s="240"/>
      <c r="Y274" s="402">
        <v>3.6000000000000004E-2</v>
      </c>
      <c r="Z274" s="403">
        <v>2</v>
      </c>
      <c r="AA274" s="404" t="s">
        <v>1372</v>
      </c>
      <c r="AB274" s="405" t="s">
        <v>3952</v>
      </c>
      <c r="AC274" s="406">
        <v>93.86</v>
      </c>
      <c r="AD274" s="406">
        <v>16</v>
      </c>
      <c r="AE274" s="402" t="s">
        <v>2410</v>
      </c>
      <c r="AF274" s="402" t="s">
        <v>2735</v>
      </c>
      <c r="AG274" s="402" t="s">
        <v>4072</v>
      </c>
      <c r="AH274" s="402" t="s">
        <v>170</v>
      </c>
      <c r="AI274" s="402" t="s">
        <v>56</v>
      </c>
      <c r="AJ274" s="407" t="s">
        <v>2419</v>
      </c>
      <c r="AK274" s="407" t="s">
        <v>3953</v>
      </c>
      <c r="AL274" s="407" t="s">
        <v>2412</v>
      </c>
      <c r="AM274" s="407" t="s">
        <v>2413</v>
      </c>
      <c r="AN274" s="420" t="s">
        <v>2414</v>
      </c>
      <c r="AO274" s="420" t="s">
        <v>2415</v>
      </c>
      <c r="AP274" s="407" t="s">
        <v>1945</v>
      </c>
      <c r="AQ274" s="407" t="s">
        <v>3954</v>
      </c>
      <c r="AR274" s="407" t="s">
        <v>3954</v>
      </c>
      <c r="AS274" s="407" t="s">
        <v>3955</v>
      </c>
      <c r="AT274" s="798" t="s">
        <v>2419</v>
      </c>
      <c r="AU274" s="407" t="s">
        <v>3476</v>
      </c>
      <c r="AV274" s="408"/>
      <c r="AW274" s="191"/>
    </row>
    <row r="275" spans="1:49" ht="17">
      <c r="A275" s="1620"/>
      <c r="B275" s="342" t="s">
        <v>3956</v>
      </c>
      <c r="C275" s="213" t="s">
        <v>3957</v>
      </c>
      <c r="D275" s="214" t="s">
        <v>680</v>
      </c>
      <c r="E275" s="215">
        <v>8.42</v>
      </c>
      <c r="F275" s="216" t="s">
        <v>3958</v>
      </c>
      <c r="G275" s="217" t="s">
        <v>0</v>
      </c>
      <c r="H275" s="218" t="s">
        <v>4505</v>
      </c>
      <c r="I275" s="219">
        <v>98.31</v>
      </c>
      <c r="J275" s="220">
        <v>99.570000000000007</v>
      </c>
      <c r="K275" s="221">
        <v>0.4047</v>
      </c>
      <c r="L275" s="222">
        <v>98.71</v>
      </c>
      <c r="M275" s="220">
        <v>99.97</v>
      </c>
      <c r="N275" s="223">
        <v>1.5</v>
      </c>
      <c r="O275" s="219">
        <v>101.47</v>
      </c>
      <c r="P275" s="224">
        <v>4.7600000000000003E-2</v>
      </c>
      <c r="Q275" s="225">
        <v>4.5499999999999999E-2</v>
      </c>
      <c r="R275" s="225" t="s">
        <v>557</v>
      </c>
      <c r="S275" s="226" t="s">
        <v>1745</v>
      </c>
      <c r="T275" s="226"/>
      <c r="U275" s="226">
        <v>4.5400000000000003E-2</v>
      </c>
      <c r="V275" s="227">
        <v>6.8571</v>
      </c>
      <c r="W275" s="227"/>
      <c r="X275" s="226"/>
      <c r="Y275" s="409">
        <v>4.7E-2</v>
      </c>
      <c r="Z275" s="410">
        <v>2</v>
      </c>
      <c r="AA275" s="192" t="s">
        <v>1372</v>
      </c>
      <c r="AB275" s="411" t="s">
        <v>3959</v>
      </c>
      <c r="AC275" s="412">
        <v>101.07000000000001</v>
      </c>
      <c r="AD275" s="412">
        <v>17</v>
      </c>
      <c r="AE275" s="409" t="s">
        <v>2410</v>
      </c>
      <c r="AF275" s="409" t="s">
        <v>3465</v>
      </c>
      <c r="AG275" s="409" t="s">
        <v>4420</v>
      </c>
      <c r="AH275" s="409" t="s">
        <v>170</v>
      </c>
      <c r="AI275" s="409" t="s">
        <v>56</v>
      </c>
      <c r="AJ275" s="242" t="s">
        <v>2593</v>
      </c>
      <c r="AK275" s="242" t="s">
        <v>3960</v>
      </c>
      <c r="AL275" s="242" t="s">
        <v>2412</v>
      </c>
      <c r="AM275" s="242" t="s">
        <v>2413</v>
      </c>
      <c r="AN275" s="421" t="s">
        <v>2414</v>
      </c>
      <c r="AO275" s="421" t="s">
        <v>2415</v>
      </c>
      <c r="AP275" s="242" t="s">
        <v>1945</v>
      </c>
      <c r="AQ275" s="242" t="s">
        <v>3961</v>
      </c>
      <c r="AR275" s="242" t="s">
        <v>3961</v>
      </c>
      <c r="AS275" s="242" t="s">
        <v>3962</v>
      </c>
      <c r="AT275" s="797" t="s">
        <v>2419</v>
      </c>
      <c r="AU275" s="242" t="s">
        <v>3476</v>
      </c>
      <c r="AV275" s="193"/>
      <c r="AW275" s="191"/>
    </row>
    <row r="276" spans="1:49" ht="17">
      <c r="A276" s="1620"/>
      <c r="B276" s="342" t="s">
        <v>3963</v>
      </c>
      <c r="C276" s="213" t="s">
        <v>3964</v>
      </c>
      <c r="D276" s="228" t="s">
        <v>1777</v>
      </c>
      <c r="E276" s="229">
        <v>29.54</v>
      </c>
      <c r="F276" s="230" t="s">
        <v>3965</v>
      </c>
      <c r="G276" s="231" t="s">
        <v>0</v>
      </c>
      <c r="H276" s="232" t="s">
        <v>4508</v>
      </c>
      <c r="I276" s="233">
        <v>95.87</v>
      </c>
      <c r="J276" s="234">
        <v>97.37</v>
      </c>
      <c r="K276" s="235">
        <v>2.6674000000000002</v>
      </c>
      <c r="L276" s="236">
        <v>98.54</v>
      </c>
      <c r="M276" s="234">
        <v>100.04</v>
      </c>
      <c r="N276" s="237">
        <v>3.5</v>
      </c>
      <c r="O276" s="233">
        <v>103.54</v>
      </c>
      <c r="P276" s="238">
        <v>5.9400000000000001E-2</v>
      </c>
      <c r="Q276" s="239">
        <v>5.6899999999999999E-2</v>
      </c>
      <c r="R276" s="239" t="s">
        <v>550</v>
      </c>
      <c r="S276" s="240" t="s">
        <v>1745</v>
      </c>
      <c r="T276" s="240"/>
      <c r="U276" s="240" t="s">
        <v>1767</v>
      </c>
      <c r="V276" s="241">
        <v>13.6435</v>
      </c>
      <c r="W276" s="241"/>
      <c r="X276" s="240"/>
      <c r="Y276" s="402">
        <v>5.7500000000000002E-2</v>
      </c>
      <c r="Z276" s="403">
        <v>2</v>
      </c>
      <c r="AA276" s="404" t="s">
        <v>1355</v>
      </c>
      <c r="AB276" s="405" t="s">
        <v>3966</v>
      </c>
      <c r="AC276" s="406">
        <v>100.87</v>
      </c>
      <c r="AD276" s="406">
        <v>60</v>
      </c>
      <c r="AE276" s="402" t="s">
        <v>2410</v>
      </c>
      <c r="AF276" s="402" t="s">
        <v>2676</v>
      </c>
      <c r="AG276" s="402" t="s">
        <v>3863</v>
      </c>
      <c r="AH276" s="402" t="s">
        <v>163</v>
      </c>
      <c r="AI276" s="402" t="s">
        <v>60</v>
      </c>
      <c r="AJ276" s="407" t="s">
        <v>2562</v>
      </c>
      <c r="AK276" s="407" t="s">
        <v>2419</v>
      </c>
      <c r="AL276" s="407" t="s">
        <v>2412</v>
      </c>
      <c r="AM276" s="407" t="s">
        <v>2419</v>
      </c>
      <c r="AN276" s="420" t="s">
        <v>2414</v>
      </c>
      <c r="AO276" s="420" t="s">
        <v>2415</v>
      </c>
      <c r="AP276" s="407" t="s">
        <v>1943</v>
      </c>
      <c r="AQ276" s="407" t="s">
        <v>2676</v>
      </c>
      <c r="AR276" s="407" t="s">
        <v>2676</v>
      </c>
      <c r="AS276" s="407" t="s">
        <v>3863</v>
      </c>
      <c r="AT276" s="798" t="s">
        <v>2419</v>
      </c>
      <c r="AU276" s="407" t="s">
        <v>3476</v>
      </c>
      <c r="AV276" s="408"/>
      <c r="AW276" s="191"/>
    </row>
    <row r="277" spans="1:49" ht="17">
      <c r="A277" s="1620"/>
      <c r="B277" s="342" t="s">
        <v>3991</v>
      </c>
      <c r="C277" s="213" t="s">
        <v>3992</v>
      </c>
      <c r="D277" s="214" t="s">
        <v>3993</v>
      </c>
      <c r="E277" s="215">
        <v>19.75</v>
      </c>
      <c r="F277" s="216" t="s">
        <v>3994</v>
      </c>
      <c r="G277" s="217" t="s">
        <v>0</v>
      </c>
      <c r="H277" s="218" t="s">
        <v>4505</v>
      </c>
      <c r="I277" s="219">
        <v>91.47</v>
      </c>
      <c r="J277" s="220">
        <v>93.070000000000007</v>
      </c>
      <c r="K277" s="221">
        <v>1.2385999999999999</v>
      </c>
      <c r="L277" s="222">
        <v>92.71</v>
      </c>
      <c r="M277" s="220">
        <v>94.31</v>
      </c>
      <c r="N277" s="223">
        <v>3</v>
      </c>
      <c r="O277" s="219">
        <v>97.31</v>
      </c>
      <c r="P277" s="224">
        <v>5.4800000000000001E-2</v>
      </c>
      <c r="Q277" s="225">
        <v>5.2200000000000003E-2</v>
      </c>
      <c r="R277" s="225" t="s">
        <v>557</v>
      </c>
      <c r="S277" s="226" t="s">
        <v>1745</v>
      </c>
      <c r="T277" s="226"/>
      <c r="U277" s="226">
        <v>5.2299999999999999E-2</v>
      </c>
      <c r="V277" s="227">
        <v>12.144299999999999</v>
      </c>
      <c r="W277" s="227"/>
      <c r="X277" s="226"/>
      <c r="Y277" s="409">
        <v>4.9000000000000002E-2</v>
      </c>
      <c r="Z277" s="410">
        <v>2</v>
      </c>
      <c r="AA277" s="192" t="s">
        <v>3995</v>
      </c>
      <c r="AB277" s="411" t="s">
        <v>3996</v>
      </c>
      <c r="AC277" s="412">
        <v>96.070000000000007</v>
      </c>
      <c r="AD277" s="412">
        <v>40</v>
      </c>
      <c r="AE277" s="409" t="s">
        <v>2410</v>
      </c>
      <c r="AF277" s="409" t="s">
        <v>2730</v>
      </c>
      <c r="AG277" s="409" t="s">
        <v>4032</v>
      </c>
      <c r="AH277" s="409" t="s">
        <v>171</v>
      </c>
      <c r="AI277" s="409" t="s">
        <v>3997</v>
      </c>
      <c r="AJ277" s="242" t="s">
        <v>3998</v>
      </c>
      <c r="AK277" s="242" t="s">
        <v>3999</v>
      </c>
      <c r="AL277" s="242" t="s">
        <v>2412</v>
      </c>
      <c r="AM277" s="242" t="s">
        <v>2413</v>
      </c>
      <c r="AN277" s="421" t="s">
        <v>2414</v>
      </c>
      <c r="AO277" s="421" t="s">
        <v>2415</v>
      </c>
      <c r="AP277" s="242" t="s">
        <v>1945</v>
      </c>
      <c r="AQ277" s="242" t="s">
        <v>4000</v>
      </c>
      <c r="AR277" s="242" t="s">
        <v>4000</v>
      </c>
      <c r="AS277" s="242" t="s">
        <v>4001</v>
      </c>
      <c r="AT277" s="797" t="s">
        <v>2419</v>
      </c>
      <c r="AU277" s="242" t="s">
        <v>3476</v>
      </c>
      <c r="AV277" s="193"/>
      <c r="AW277" s="191"/>
    </row>
    <row r="278" spans="1:49" ht="17">
      <c r="A278" s="1620"/>
      <c r="B278" s="342" t="s">
        <v>4002</v>
      </c>
      <c r="C278" s="213" t="s">
        <v>4003</v>
      </c>
      <c r="D278" s="228" t="s">
        <v>3896</v>
      </c>
      <c r="E278" s="229">
        <v>4.2</v>
      </c>
      <c r="F278" s="230" t="s">
        <v>4004</v>
      </c>
      <c r="G278" s="231" t="s">
        <v>0</v>
      </c>
      <c r="H278" s="232" t="s">
        <v>4505</v>
      </c>
      <c r="I278" s="233">
        <v>93.88</v>
      </c>
      <c r="J278" s="234">
        <v>95.03</v>
      </c>
      <c r="K278" s="235">
        <v>1.0874999999999999</v>
      </c>
      <c r="L278" s="236">
        <v>94.97</v>
      </c>
      <c r="M278" s="234">
        <v>96.12</v>
      </c>
      <c r="N278" s="237">
        <v>1.5</v>
      </c>
      <c r="O278" s="233">
        <v>97.62</v>
      </c>
      <c r="P278" s="238">
        <v>4.9500000000000002E-2</v>
      </c>
      <c r="Q278" s="239">
        <v>4.5400000000000003E-2</v>
      </c>
      <c r="R278" s="239" t="s">
        <v>557</v>
      </c>
      <c r="S278" s="240" t="s">
        <v>1745</v>
      </c>
      <c r="T278" s="240"/>
      <c r="U278" s="240">
        <v>4.5999999999999999E-2</v>
      </c>
      <c r="V278" s="241">
        <v>3.7919</v>
      </c>
      <c r="W278" s="241"/>
      <c r="X278" s="240"/>
      <c r="Y278" s="402">
        <v>3.6249999999999998E-2</v>
      </c>
      <c r="Z278" s="403">
        <v>2</v>
      </c>
      <c r="AA278" s="404" t="s">
        <v>1364</v>
      </c>
      <c r="AB278" s="405" t="s">
        <v>4005</v>
      </c>
      <c r="AC278" s="406">
        <v>96.53</v>
      </c>
      <c r="AD278" s="406">
        <v>9</v>
      </c>
      <c r="AE278" s="402" t="s">
        <v>2410</v>
      </c>
      <c r="AF278" s="402" t="s">
        <v>2712</v>
      </c>
      <c r="AG278" s="402" t="s">
        <v>4017</v>
      </c>
      <c r="AH278" s="402" t="s">
        <v>171</v>
      </c>
      <c r="AI278" s="402" t="s">
        <v>113</v>
      </c>
      <c r="AJ278" s="407" t="s">
        <v>2890</v>
      </c>
      <c r="AK278" s="407" t="s">
        <v>4006</v>
      </c>
      <c r="AL278" s="407" t="s">
        <v>2412</v>
      </c>
      <c r="AM278" s="407" t="s">
        <v>2413</v>
      </c>
      <c r="AN278" s="420" t="s">
        <v>2414</v>
      </c>
      <c r="AO278" s="420" t="s">
        <v>2415</v>
      </c>
      <c r="AP278" s="407" t="s">
        <v>1945</v>
      </c>
      <c r="AQ278" s="407" t="s">
        <v>2995</v>
      </c>
      <c r="AR278" s="407" t="s">
        <v>2995</v>
      </c>
      <c r="AS278" s="407" t="s">
        <v>2996</v>
      </c>
      <c r="AT278" s="798" t="s">
        <v>2419</v>
      </c>
      <c r="AU278" s="407" t="s">
        <v>3476</v>
      </c>
      <c r="AV278" s="408"/>
      <c r="AW278" s="191"/>
    </row>
    <row r="279" spans="1:49" ht="17">
      <c r="A279" s="1620"/>
      <c r="B279" s="342" t="s">
        <v>4007</v>
      </c>
      <c r="C279" s="213" t="s">
        <v>4008</v>
      </c>
      <c r="D279" s="214" t="s">
        <v>3896</v>
      </c>
      <c r="E279" s="215">
        <v>5.79</v>
      </c>
      <c r="F279" s="216" t="s">
        <v>4009</v>
      </c>
      <c r="G279" s="217" t="s">
        <v>0</v>
      </c>
      <c r="H279" s="218" t="s">
        <v>4505</v>
      </c>
      <c r="I279" s="219">
        <v>88.78</v>
      </c>
      <c r="J279" s="220">
        <v>90.190000000000012</v>
      </c>
      <c r="K279" s="221">
        <v>0.65239999999999998</v>
      </c>
      <c r="L279" s="222">
        <v>89.43</v>
      </c>
      <c r="M279" s="220">
        <v>90.84</v>
      </c>
      <c r="N279" s="223">
        <v>1.5</v>
      </c>
      <c r="O279" s="219">
        <v>92.34</v>
      </c>
      <c r="P279" s="224">
        <v>5.0200000000000002E-2</v>
      </c>
      <c r="Q279" s="225">
        <v>4.7100000000000003E-2</v>
      </c>
      <c r="R279" s="225" t="s">
        <v>557</v>
      </c>
      <c r="S279" s="226" t="s">
        <v>1745</v>
      </c>
      <c r="T279" s="226"/>
      <c r="U279" s="226">
        <v>4.7800000000000002E-2</v>
      </c>
      <c r="V279" s="227">
        <v>5.1563999999999997</v>
      </c>
      <c r="W279" s="227"/>
      <c r="X279" s="226"/>
      <c r="Y279" s="409">
        <v>3.0499999999999999E-2</v>
      </c>
      <c r="Z279" s="410">
        <v>2</v>
      </c>
      <c r="AA279" s="192" t="s">
        <v>1364</v>
      </c>
      <c r="AB279" s="411" t="s">
        <v>4010</v>
      </c>
      <c r="AC279" s="412">
        <v>91.690000000000012</v>
      </c>
      <c r="AD279" s="412">
        <v>12</v>
      </c>
      <c r="AE279" s="409" t="s">
        <v>2410</v>
      </c>
      <c r="AF279" s="409" t="s">
        <v>2527</v>
      </c>
      <c r="AG279" s="409" t="s">
        <v>4070</v>
      </c>
      <c r="AH279" s="409" t="s">
        <v>171</v>
      </c>
      <c r="AI279" s="409" t="s">
        <v>113</v>
      </c>
      <c r="AJ279" s="242" t="s">
        <v>2890</v>
      </c>
      <c r="AK279" s="242" t="s">
        <v>2560</v>
      </c>
      <c r="AL279" s="242" t="s">
        <v>2412</v>
      </c>
      <c r="AM279" s="242" t="s">
        <v>2413</v>
      </c>
      <c r="AN279" s="421" t="s">
        <v>2414</v>
      </c>
      <c r="AO279" s="421" t="s">
        <v>2415</v>
      </c>
      <c r="AP279" s="242" t="s">
        <v>1945</v>
      </c>
      <c r="AQ279" s="242" t="s">
        <v>3041</v>
      </c>
      <c r="AR279" s="242" t="s">
        <v>3041</v>
      </c>
      <c r="AS279" s="242" t="s">
        <v>3020</v>
      </c>
      <c r="AT279" s="797" t="s">
        <v>2419</v>
      </c>
      <c r="AU279" s="242" t="s">
        <v>3476</v>
      </c>
      <c r="AV279" s="193"/>
      <c r="AW279" s="191"/>
    </row>
    <row r="280" spans="1:49" ht="17">
      <c r="A280" s="1620"/>
      <c r="B280" s="342" t="s">
        <v>4039</v>
      </c>
      <c r="C280" s="213" t="s">
        <v>4127</v>
      </c>
      <c r="D280" s="228" t="s">
        <v>722</v>
      </c>
      <c r="E280" s="229">
        <v>22.75</v>
      </c>
      <c r="F280" s="230" t="s">
        <v>4040</v>
      </c>
      <c r="G280" s="231" t="s">
        <v>0</v>
      </c>
      <c r="H280" s="232" t="s">
        <v>4505</v>
      </c>
      <c r="I280" s="233">
        <v>86.39</v>
      </c>
      <c r="J280" s="234">
        <v>88.02000000000001</v>
      </c>
      <c r="K280" s="235">
        <v>1.0995999999999999</v>
      </c>
      <c r="L280" s="236">
        <v>87.49</v>
      </c>
      <c r="M280" s="234">
        <v>89.12</v>
      </c>
      <c r="N280" s="237">
        <v>3.5</v>
      </c>
      <c r="O280" s="233">
        <v>92.62</v>
      </c>
      <c r="P280" s="238">
        <v>5.2600000000000001E-2</v>
      </c>
      <c r="Q280" s="239">
        <v>4.9799999999999997E-2</v>
      </c>
      <c r="R280" s="239" t="s">
        <v>557</v>
      </c>
      <c r="S280" s="240" t="s">
        <v>1745</v>
      </c>
      <c r="T280" s="240"/>
      <c r="U280" s="240">
        <v>4.9799999999999997E-2</v>
      </c>
      <c r="V280" s="241">
        <v>13.610300000000001</v>
      </c>
      <c r="W280" s="241"/>
      <c r="X280" s="240"/>
      <c r="Y280" s="402">
        <v>4.3499999999999997E-2</v>
      </c>
      <c r="Z280" s="403">
        <v>2</v>
      </c>
      <c r="AA280" s="404" t="s">
        <v>1456</v>
      </c>
      <c r="AB280" s="405" t="s">
        <v>4041</v>
      </c>
      <c r="AC280" s="406">
        <v>91.52000000000001</v>
      </c>
      <c r="AD280" s="406">
        <v>46</v>
      </c>
      <c r="AE280" s="402" t="s">
        <v>2410</v>
      </c>
      <c r="AF280" s="402" t="s">
        <v>2730</v>
      </c>
      <c r="AG280" s="402" t="s">
        <v>4032</v>
      </c>
      <c r="AH280" s="402" t="s">
        <v>165</v>
      </c>
      <c r="AI280" s="402" t="s">
        <v>195</v>
      </c>
      <c r="AJ280" s="407" t="s">
        <v>4016</v>
      </c>
      <c r="AK280" s="407" t="s">
        <v>4042</v>
      </c>
      <c r="AL280" s="407" t="s">
        <v>2412</v>
      </c>
      <c r="AM280" s="407" t="s">
        <v>2413</v>
      </c>
      <c r="AN280" s="420" t="s">
        <v>2414</v>
      </c>
      <c r="AO280" s="420" t="s">
        <v>2415</v>
      </c>
      <c r="AP280" s="407" t="s">
        <v>1945</v>
      </c>
      <c r="AQ280" s="407" t="s">
        <v>2732</v>
      </c>
      <c r="AR280" s="407" t="s">
        <v>2732</v>
      </c>
      <c r="AS280" s="407" t="s">
        <v>2733</v>
      </c>
      <c r="AT280" s="798" t="s">
        <v>2419</v>
      </c>
      <c r="AU280" s="407" t="s">
        <v>3476</v>
      </c>
      <c r="AV280" s="408"/>
      <c r="AW280" s="191"/>
    </row>
    <row r="281" spans="1:49" ht="17">
      <c r="A281" s="1620"/>
      <c r="B281" s="342" t="s">
        <v>4043</v>
      </c>
      <c r="C281" s="213" t="s">
        <v>4128</v>
      </c>
      <c r="D281" s="214" t="s">
        <v>765</v>
      </c>
      <c r="E281" s="215">
        <v>17.97</v>
      </c>
      <c r="F281" s="216" t="s">
        <v>4044</v>
      </c>
      <c r="G281" s="217" t="s">
        <v>0</v>
      </c>
      <c r="H281" s="218" t="s">
        <v>4505</v>
      </c>
      <c r="I281" s="219">
        <v>80.87</v>
      </c>
      <c r="J281" s="220">
        <v>82.36</v>
      </c>
      <c r="K281" s="221">
        <v>0.1333</v>
      </c>
      <c r="L281" s="222">
        <v>81</v>
      </c>
      <c r="M281" s="220">
        <v>82.49</v>
      </c>
      <c r="N281" s="223">
        <v>3</v>
      </c>
      <c r="O281" s="219">
        <v>85.49</v>
      </c>
      <c r="P281" s="224">
        <v>5.57E-2</v>
      </c>
      <c r="Q281" s="225">
        <v>5.2699999999999997E-2</v>
      </c>
      <c r="R281" s="225" t="s">
        <v>557</v>
      </c>
      <c r="S281" s="226" t="s">
        <v>1745</v>
      </c>
      <c r="T281" s="226"/>
      <c r="U281" s="226" t="s">
        <v>1767</v>
      </c>
      <c r="V281" s="227">
        <v>12.084300000000001</v>
      </c>
      <c r="W281" s="227"/>
      <c r="X281" s="226"/>
      <c r="Y281" s="409">
        <v>0.04</v>
      </c>
      <c r="Z281" s="410">
        <v>2</v>
      </c>
      <c r="AA281" s="192" t="s">
        <v>1503</v>
      </c>
      <c r="AB281" s="411" t="s">
        <v>4045</v>
      </c>
      <c r="AC281" s="412">
        <v>85.36</v>
      </c>
      <c r="AD281" s="412">
        <v>36</v>
      </c>
      <c r="AE281" s="409" t="s">
        <v>2410</v>
      </c>
      <c r="AF281" s="409" t="s">
        <v>4046</v>
      </c>
      <c r="AG281" s="409" t="s">
        <v>4482</v>
      </c>
      <c r="AH281" s="409" t="s">
        <v>165</v>
      </c>
      <c r="AI281" s="409" t="s">
        <v>154</v>
      </c>
      <c r="AJ281" s="242" t="s">
        <v>3874</v>
      </c>
      <c r="AK281" s="242" t="s">
        <v>2419</v>
      </c>
      <c r="AL281" s="242" t="s">
        <v>2412</v>
      </c>
      <c r="AM281" s="242" t="s">
        <v>2419</v>
      </c>
      <c r="AN281" s="421" t="s">
        <v>2414</v>
      </c>
      <c r="AO281" s="421" t="s">
        <v>2415</v>
      </c>
      <c r="AP281" s="242" t="s">
        <v>1945</v>
      </c>
      <c r="AQ281" s="242" t="s">
        <v>4047</v>
      </c>
      <c r="AR281" s="242" t="s">
        <v>4047</v>
      </c>
      <c r="AS281" s="242" t="s">
        <v>4048</v>
      </c>
      <c r="AT281" s="797" t="s">
        <v>2419</v>
      </c>
      <c r="AU281" s="242" t="s">
        <v>3476</v>
      </c>
      <c r="AV281" s="193"/>
      <c r="AW281" s="191"/>
    </row>
    <row r="282" spans="1:49" ht="17">
      <c r="A282" s="1620"/>
      <c r="B282" s="342" t="s">
        <v>4141</v>
      </c>
      <c r="C282" s="213" t="s">
        <v>4142</v>
      </c>
      <c r="D282" s="228" t="s">
        <v>2258</v>
      </c>
      <c r="E282" s="229">
        <v>8.3699999999999992</v>
      </c>
      <c r="F282" s="230" t="s">
        <v>4143</v>
      </c>
      <c r="G282" s="231" t="s">
        <v>0</v>
      </c>
      <c r="H282" s="232" t="s">
        <v>4505</v>
      </c>
      <c r="I282" s="233">
        <v>97.64</v>
      </c>
      <c r="J282" s="234">
        <v>98.710000000000008</v>
      </c>
      <c r="K282" s="235">
        <v>0.53800000000000003</v>
      </c>
      <c r="L282" s="236">
        <v>98.18</v>
      </c>
      <c r="M282" s="234">
        <v>99.25</v>
      </c>
      <c r="N282" s="237">
        <v>1.2</v>
      </c>
      <c r="O282" s="233">
        <v>100.45</v>
      </c>
      <c r="P282" s="238">
        <v>4.3099999999999999E-2</v>
      </c>
      <c r="Q282" s="239">
        <v>4.1399999999999999E-2</v>
      </c>
      <c r="R282" s="239" t="s">
        <v>557</v>
      </c>
      <c r="S282" s="240" t="s">
        <v>1745</v>
      </c>
      <c r="T282" s="240"/>
      <c r="U282" s="240" t="s">
        <v>1767</v>
      </c>
      <c r="V282" s="241">
        <v>6.9684999999999997</v>
      </c>
      <c r="W282" s="241"/>
      <c r="X282" s="240"/>
      <c r="Y282" s="402">
        <v>4.1250000000000002E-2</v>
      </c>
      <c r="Z282" s="403">
        <v>2</v>
      </c>
      <c r="AA282" s="404" t="s">
        <v>1345</v>
      </c>
      <c r="AB282" s="405" t="s">
        <v>3323</v>
      </c>
      <c r="AC282" s="406">
        <v>99.910000000000011</v>
      </c>
      <c r="AD282" s="406">
        <v>17</v>
      </c>
      <c r="AE282" s="402" t="s">
        <v>2410</v>
      </c>
      <c r="AF282" s="402" t="s">
        <v>2609</v>
      </c>
      <c r="AG282" s="402" t="s">
        <v>4341</v>
      </c>
      <c r="AH282" s="402" t="s">
        <v>163</v>
      </c>
      <c r="AI282" s="402" t="s">
        <v>50</v>
      </c>
      <c r="AJ282" s="407" t="s">
        <v>2562</v>
      </c>
      <c r="AK282" s="407" t="s">
        <v>2419</v>
      </c>
      <c r="AL282" s="407" t="s">
        <v>2412</v>
      </c>
      <c r="AM282" s="407" t="s">
        <v>2419</v>
      </c>
      <c r="AN282" s="420" t="s">
        <v>2419</v>
      </c>
      <c r="AO282" s="420" t="s">
        <v>2439</v>
      </c>
      <c r="AP282" s="407" t="s">
        <v>1948</v>
      </c>
      <c r="AQ282" s="407" t="s">
        <v>4144</v>
      </c>
      <c r="AR282" s="407" t="s">
        <v>4144</v>
      </c>
      <c r="AS282" s="407" t="s">
        <v>4145</v>
      </c>
      <c r="AT282" s="798" t="s">
        <v>2419</v>
      </c>
      <c r="AU282" s="407" t="s">
        <v>3476</v>
      </c>
      <c r="AV282" s="408"/>
      <c r="AW282" s="191"/>
    </row>
    <row r="283" spans="1:49" ht="17">
      <c r="A283" s="1620"/>
      <c r="B283" s="342" t="s">
        <v>4146</v>
      </c>
      <c r="C283" s="213" t="s">
        <v>4147</v>
      </c>
      <c r="D283" s="214" t="s">
        <v>2258</v>
      </c>
      <c r="E283" s="215">
        <v>13.87</v>
      </c>
      <c r="F283" s="216" t="s">
        <v>4148</v>
      </c>
      <c r="G283" s="217" t="s">
        <v>0</v>
      </c>
      <c r="H283" s="218" t="s">
        <v>4505</v>
      </c>
      <c r="I283" s="219">
        <v>100.05</v>
      </c>
      <c r="J283" s="220">
        <v>101.5</v>
      </c>
      <c r="K283" s="221">
        <v>0.58699999999999997</v>
      </c>
      <c r="L283" s="222">
        <v>100.64</v>
      </c>
      <c r="M283" s="220">
        <v>102.09</v>
      </c>
      <c r="N283" s="223">
        <v>1.5</v>
      </c>
      <c r="O283" s="219">
        <v>103.59</v>
      </c>
      <c r="P283" s="224">
        <v>4.3499999999999997E-2</v>
      </c>
      <c r="Q283" s="225">
        <v>4.2099999999999999E-2</v>
      </c>
      <c r="R283" s="225" t="s">
        <v>557</v>
      </c>
      <c r="S283" s="226" t="s">
        <v>1745</v>
      </c>
      <c r="T283" s="226"/>
      <c r="U283" s="226" t="s">
        <v>1767</v>
      </c>
      <c r="V283" s="227">
        <v>10.2193</v>
      </c>
      <c r="W283" s="227"/>
      <c r="X283" s="226"/>
      <c r="Y283" s="409">
        <v>4.4999999999999998E-2</v>
      </c>
      <c r="Z283" s="410">
        <v>2</v>
      </c>
      <c r="AA283" s="192" t="s">
        <v>1345</v>
      </c>
      <c r="AB283" s="411" t="s">
        <v>2607</v>
      </c>
      <c r="AC283" s="412">
        <v>103</v>
      </c>
      <c r="AD283" s="412">
        <v>28</v>
      </c>
      <c r="AE283" s="409" t="s">
        <v>2410</v>
      </c>
      <c r="AF283" s="409" t="s">
        <v>2609</v>
      </c>
      <c r="AG283" s="409" t="s">
        <v>4341</v>
      </c>
      <c r="AH283" s="409" t="s">
        <v>163</v>
      </c>
      <c r="AI283" s="409" t="s">
        <v>50</v>
      </c>
      <c r="AJ283" s="242" t="s">
        <v>2562</v>
      </c>
      <c r="AK283" s="242" t="s">
        <v>2419</v>
      </c>
      <c r="AL283" s="242" t="s">
        <v>2412</v>
      </c>
      <c r="AM283" s="242" t="s">
        <v>2419</v>
      </c>
      <c r="AN283" s="421" t="s">
        <v>2419</v>
      </c>
      <c r="AO283" s="421" t="s">
        <v>2439</v>
      </c>
      <c r="AP283" s="242" t="s">
        <v>1948</v>
      </c>
      <c r="AQ283" s="242" t="s">
        <v>4149</v>
      </c>
      <c r="AR283" s="242" t="s">
        <v>4150</v>
      </c>
      <c r="AS283" s="242" t="s">
        <v>2612</v>
      </c>
      <c r="AT283" s="797" t="s">
        <v>2419</v>
      </c>
      <c r="AU283" s="242" t="s">
        <v>3476</v>
      </c>
      <c r="AV283" s="193"/>
      <c r="AW283" s="191"/>
    </row>
    <row r="284" spans="1:49" ht="17">
      <c r="A284" s="1620"/>
      <c r="B284" s="342" t="s">
        <v>4151</v>
      </c>
      <c r="C284" s="213" t="s">
        <v>4152</v>
      </c>
      <c r="D284" s="228" t="s">
        <v>2258</v>
      </c>
      <c r="E284" s="229">
        <v>15.62</v>
      </c>
      <c r="F284" s="230" t="s">
        <v>4153</v>
      </c>
      <c r="G284" s="231" t="s">
        <v>0</v>
      </c>
      <c r="H284" s="232" t="s">
        <v>4505</v>
      </c>
      <c r="I284" s="233">
        <v>100.65</v>
      </c>
      <c r="J284" s="234">
        <v>102.13000000000001</v>
      </c>
      <c r="K284" s="235">
        <v>1.7534000000000001</v>
      </c>
      <c r="L284" s="236">
        <v>102.4</v>
      </c>
      <c r="M284" s="234">
        <v>103.88</v>
      </c>
      <c r="N284" s="237">
        <v>2</v>
      </c>
      <c r="O284" s="233">
        <v>105.88</v>
      </c>
      <c r="P284" s="238">
        <v>4.4299999999999999E-2</v>
      </c>
      <c r="Q284" s="239">
        <v>4.2599999999999999E-2</v>
      </c>
      <c r="R284" s="239" t="s">
        <v>557</v>
      </c>
      <c r="S284" s="240" t="s">
        <v>1745</v>
      </c>
      <c r="T284" s="240"/>
      <c r="U284" s="240" t="s">
        <v>1767</v>
      </c>
      <c r="V284" s="241">
        <v>10.926500000000001</v>
      </c>
      <c r="W284" s="241"/>
      <c r="X284" s="240"/>
      <c r="Y284" s="402">
        <v>4.6249999999999999E-2</v>
      </c>
      <c r="Z284" s="403">
        <v>2</v>
      </c>
      <c r="AA284" s="404" t="s">
        <v>1345</v>
      </c>
      <c r="AB284" s="405" t="s">
        <v>4154</v>
      </c>
      <c r="AC284" s="406">
        <v>104.13000000000001</v>
      </c>
      <c r="AD284" s="406">
        <v>32</v>
      </c>
      <c r="AE284" s="402" t="s">
        <v>2410</v>
      </c>
      <c r="AF284" s="402" t="s">
        <v>2534</v>
      </c>
      <c r="AG284" s="402" t="s">
        <v>3909</v>
      </c>
      <c r="AH284" s="402" t="s">
        <v>163</v>
      </c>
      <c r="AI284" s="402" t="s">
        <v>50</v>
      </c>
      <c r="AJ284" s="407" t="s">
        <v>2562</v>
      </c>
      <c r="AK284" s="407" t="s">
        <v>2419</v>
      </c>
      <c r="AL284" s="407" t="s">
        <v>2412</v>
      </c>
      <c r="AM284" s="407" t="s">
        <v>2419</v>
      </c>
      <c r="AN284" s="420" t="s">
        <v>2419</v>
      </c>
      <c r="AO284" s="420" t="s">
        <v>2439</v>
      </c>
      <c r="AP284" s="407" t="s">
        <v>1948</v>
      </c>
      <c r="AQ284" s="407" t="s">
        <v>4155</v>
      </c>
      <c r="AR284" s="407" t="s">
        <v>4156</v>
      </c>
      <c r="AS284" s="407" t="s">
        <v>4157</v>
      </c>
      <c r="AT284" s="798" t="s">
        <v>2419</v>
      </c>
      <c r="AU284" s="407" t="s">
        <v>3476</v>
      </c>
      <c r="AV284" s="408"/>
      <c r="AW284" s="191"/>
    </row>
    <row r="285" spans="1:49" ht="17">
      <c r="A285" s="1620"/>
      <c r="B285" s="342" t="s">
        <v>4158</v>
      </c>
      <c r="C285" s="213" t="s">
        <v>4159</v>
      </c>
      <c r="D285" s="214" t="s">
        <v>765</v>
      </c>
      <c r="E285" s="215">
        <v>17.25</v>
      </c>
      <c r="F285" s="216" t="s">
        <v>4160</v>
      </c>
      <c r="G285" s="217" t="s">
        <v>0</v>
      </c>
      <c r="H285" s="218" t="s">
        <v>4505</v>
      </c>
      <c r="I285" s="219">
        <v>90.04</v>
      </c>
      <c r="J285" s="220">
        <v>91.64</v>
      </c>
      <c r="K285" s="221">
        <v>1.2133</v>
      </c>
      <c r="L285" s="222">
        <v>91.25</v>
      </c>
      <c r="M285" s="220">
        <v>92.85</v>
      </c>
      <c r="N285" s="223">
        <v>2.5</v>
      </c>
      <c r="O285" s="219">
        <v>95.35</v>
      </c>
      <c r="P285" s="224">
        <v>5.5599999999999997E-2</v>
      </c>
      <c r="Q285" s="225">
        <v>5.3199999999999997E-2</v>
      </c>
      <c r="R285" s="225" t="s">
        <v>557</v>
      </c>
      <c r="S285" s="226" t="s">
        <v>1745</v>
      </c>
      <c r="T285" s="226"/>
      <c r="U285" s="226" t="s">
        <v>1767</v>
      </c>
      <c r="V285" s="227">
        <v>11.2102</v>
      </c>
      <c r="W285" s="227"/>
      <c r="X285" s="226"/>
      <c r="Y285" s="409">
        <v>4.8000000000000001E-2</v>
      </c>
      <c r="Z285" s="410">
        <v>2</v>
      </c>
      <c r="AA285" s="192" t="s">
        <v>1358</v>
      </c>
      <c r="AB285" s="411" t="s">
        <v>4161</v>
      </c>
      <c r="AC285" s="412">
        <v>94.14</v>
      </c>
      <c r="AD285" s="412">
        <v>35</v>
      </c>
      <c r="AE285" s="409" t="s">
        <v>2410</v>
      </c>
      <c r="AF285" s="409" t="s">
        <v>2730</v>
      </c>
      <c r="AG285" s="409" t="s">
        <v>4032</v>
      </c>
      <c r="AH285" s="409" t="s">
        <v>165</v>
      </c>
      <c r="AI285" s="409" t="s">
        <v>54</v>
      </c>
      <c r="AJ285" s="242" t="s">
        <v>3778</v>
      </c>
      <c r="AK285" s="242" t="s">
        <v>2419</v>
      </c>
      <c r="AL285" s="242" t="s">
        <v>2412</v>
      </c>
      <c r="AM285" s="242" t="s">
        <v>2419</v>
      </c>
      <c r="AN285" s="421" t="s">
        <v>2414</v>
      </c>
      <c r="AO285" s="421" t="s">
        <v>2415</v>
      </c>
      <c r="AP285" s="242" t="s">
        <v>1945</v>
      </c>
      <c r="AQ285" s="242" t="s">
        <v>2876</v>
      </c>
      <c r="AR285" s="242" t="s">
        <v>2876</v>
      </c>
      <c r="AS285" s="242" t="s">
        <v>4162</v>
      </c>
      <c r="AT285" s="797" t="s">
        <v>2419</v>
      </c>
      <c r="AU285" s="242" t="s">
        <v>3476</v>
      </c>
      <c r="AV285" s="193"/>
      <c r="AW285" s="191"/>
    </row>
    <row r="286" spans="1:49" ht="17">
      <c r="A286" s="1620"/>
      <c r="B286" s="342" t="s">
        <v>4163</v>
      </c>
      <c r="C286" s="213" t="s">
        <v>4164</v>
      </c>
      <c r="D286" s="228" t="s">
        <v>765</v>
      </c>
      <c r="E286" s="229">
        <v>22.86</v>
      </c>
      <c r="F286" s="230" t="s">
        <v>4165</v>
      </c>
      <c r="G286" s="231" t="s">
        <v>0</v>
      </c>
      <c r="H286" s="232" t="s">
        <v>4505</v>
      </c>
      <c r="I286" s="233">
        <v>78.459999999999994</v>
      </c>
      <c r="J286" s="234">
        <v>80.160000000000011</v>
      </c>
      <c r="K286" s="235">
        <v>0.58079999999999998</v>
      </c>
      <c r="L286" s="236">
        <v>79.040000000000006</v>
      </c>
      <c r="M286" s="234">
        <v>80.739999999999995</v>
      </c>
      <c r="N286" s="237">
        <v>3.5</v>
      </c>
      <c r="O286" s="233">
        <v>84.24</v>
      </c>
      <c r="P286" s="238">
        <v>5.6599999999999998E-2</v>
      </c>
      <c r="Q286" s="239">
        <v>5.3499999999999999E-2</v>
      </c>
      <c r="R286" s="239" t="s">
        <v>557</v>
      </c>
      <c r="S286" s="240" t="s">
        <v>1745</v>
      </c>
      <c r="T286" s="240"/>
      <c r="U286" s="240">
        <v>5.3600000000000002E-2</v>
      </c>
      <c r="V286" s="241">
        <v>13.629300000000001</v>
      </c>
      <c r="W286" s="241"/>
      <c r="X286" s="240"/>
      <c r="Y286" s="402">
        <v>4.0999999999999995E-2</v>
      </c>
      <c r="Z286" s="403">
        <v>2</v>
      </c>
      <c r="AA286" s="404" t="s">
        <v>1358</v>
      </c>
      <c r="AB286" s="405" t="s">
        <v>4166</v>
      </c>
      <c r="AC286" s="406">
        <v>83.660000000000011</v>
      </c>
      <c r="AD286" s="406">
        <v>46</v>
      </c>
      <c r="AE286" s="402" t="s">
        <v>2410</v>
      </c>
      <c r="AF286" s="402" t="s">
        <v>2459</v>
      </c>
      <c r="AG286" s="402" t="s">
        <v>4326</v>
      </c>
      <c r="AH286" s="402" t="s">
        <v>165</v>
      </c>
      <c r="AI286" s="402" t="s">
        <v>54</v>
      </c>
      <c r="AJ286" s="407" t="s">
        <v>3778</v>
      </c>
      <c r="AK286" s="407" t="s">
        <v>4167</v>
      </c>
      <c r="AL286" s="407" t="s">
        <v>2412</v>
      </c>
      <c r="AM286" s="407" t="s">
        <v>2413</v>
      </c>
      <c r="AN286" s="420" t="s">
        <v>2414</v>
      </c>
      <c r="AO286" s="420" t="s">
        <v>2415</v>
      </c>
      <c r="AP286" s="407" t="s">
        <v>1945</v>
      </c>
      <c r="AQ286" s="407" t="s">
        <v>4168</v>
      </c>
      <c r="AR286" s="407" t="s">
        <v>4168</v>
      </c>
      <c r="AS286" s="407" t="s">
        <v>4169</v>
      </c>
      <c r="AT286" s="798" t="s">
        <v>2419</v>
      </c>
      <c r="AU286" s="407" t="s">
        <v>3476</v>
      </c>
      <c r="AV286" s="408"/>
      <c r="AW286" s="191"/>
    </row>
    <row r="287" spans="1:49" ht="17">
      <c r="A287" s="1620"/>
      <c r="B287" s="342" t="s">
        <v>4329</v>
      </c>
      <c r="C287" s="213" t="s">
        <v>4330</v>
      </c>
      <c r="D287" s="214" t="s">
        <v>4331</v>
      </c>
      <c r="E287" s="215">
        <v>24.7</v>
      </c>
      <c r="F287" s="216" t="s">
        <v>4332</v>
      </c>
      <c r="G287" s="217" t="s">
        <v>0</v>
      </c>
      <c r="H287" s="218" t="s">
        <v>4505</v>
      </c>
      <c r="I287" s="219">
        <v>92.51</v>
      </c>
      <c r="J287" s="220">
        <v>94.33</v>
      </c>
      <c r="K287" s="221">
        <v>1.4861</v>
      </c>
      <c r="L287" s="222">
        <v>94</v>
      </c>
      <c r="M287" s="220">
        <v>95.82</v>
      </c>
      <c r="N287" s="223">
        <v>3.5</v>
      </c>
      <c r="O287" s="219">
        <v>99.32</v>
      </c>
      <c r="P287" s="224">
        <v>5.4199999999999998E-2</v>
      </c>
      <c r="Q287" s="225">
        <v>5.16E-2</v>
      </c>
      <c r="R287" s="225" t="s">
        <v>557</v>
      </c>
      <c r="S287" s="226" t="s">
        <v>1745</v>
      </c>
      <c r="T287" s="226"/>
      <c r="U287" s="226">
        <v>5.16E-2</v>
      </c>
      <c r="V287" s="227">
        <v>13.625400000000001</v>
      </c>
      <c r="W287" s="227"/>
      <c r="X287" s="226"/>
      <c r="Y287" s="409">
        <v>0.05</v>
      </c>
      <c r="Z287" s="410">
        <v>2</v>
      </c>
      <c r="AA287" s="192" t="s">
        <v>4333</v>
      </c>
      <c r="AB287" s="411" t="s">
        <v>4334</v>
      </c>
      <c r="AC287" s="412">
        <v>97.83</v>
      </c>
      <c r="AD287" s="412">
        <v>50</v>
      </c>
      <c r="AE287" s="409" t="s">
        <v>2410</v>
      </c>
      <c r="AF287" s="409" t="s">
        <v>2491</v>
      </c>
      <c r="AG287" s="409" t="s">
        <v>4021</v>
      </c>
      <c r="AH287" s="409" t="s">
        <v>165</v>
      </c>
      <c r="AI287" s="409" t="s">
        <v>4335</v>
      </c>
      <c r="AJ287" s="242" t="s">
        <v>4336</v>
      </c>
      <c r="AK287" s="242" t="s">
        <v>4337</v>
      </c>
      <c r="AL287" s="242" t="s">
        <v>2412</v>
      </c>
      <c r="AM287" s="242" t="s">
        <v>2413</v>
      </c>
      <c r="AN287" s="421" t="s">
        <v>2414</v>
      </c>
      <c r="AO287" s="421" t="s">
        <v>2415</v>
      </c>
      <c r="AP287" s="242" t="s">
        <v>1945</v>
      </c>
      <c r="AQ287" s="242" t="s">
        <v>4338</v>
      </c>
      <c r="AR287" s="242" t="s">
        <v>4338</v>
      </c>
      <c r="AS287" s="242" t="s">
        <v>3375</v>
      </c>
      <c r="AT287" s="797" t="s">
        <v>2419</v>
      </c>
      <c r="AU287" s="242" t="s">
        <v>3476</v>
      </c>
      <c r="AV287" s="193"/>
      <c r="AW287" s="191"/>
    </row>
    <row r="288" spans="1:49" ht="17">
      <c r="A288" s="1620"/>
      <c r="B288" s="342" t="s">
        <v>4357</v>
      </c>
      <c r="C288" s="213" t="s">
        <v>4358</v>
      </c>
      <c r="D288" s="228" t="s">
        <v>710</v>
      </c>
      <c r="E288" s="229">
        <v>24.83</v>
      </c>
      <c r="F288" s="230" t="s">
        <v>4359</v>
      </c>
      <c r="G288" s="231" t="s">
        <v>0</v>
      </c>
      <c r="H288" s="232" t="s">
        <v>4505</v>
      </c>
      <c r="I288" s="233">
        <v>66.37</v>
      </c>
      <c r="J288" s="234">
        <v>68</v>
      </c>
      <c r="K288" s="235">
        <v>0.66080000000000005</v>
      </c>
      <c r="L288" s="236">
        <v>67.03</v>
      </c>
      <c r="M288" s="234">
        <v>68.66</v>
      </c>
      <c r="N288" s="237">
        <v>3.5</v>
      </c>
      <c r="O288" s="233">
        <v>72.16</v>
      </c>
      <c r="P288" s="238">
        <v>6.5199999999999994E-2</v>
      </c>
      <c r="Q288" s="239">
        <v>6.1499999999999999E-2</v>
      </c>
      <c r="R288" s="239" t="s">
        <v>557</v>
      </c>
      <c r="S288" s="240" t="s">
        <v>1745</v>
      </c>
      <c r="T288" s="240"/>
      <c r="U288" s="240">
        <v>6.1800000000000001E-2</v>
      </c>
      <c r="V288" s="241">
        <v>13.6366</v>
      </c>
      <c r="W288" s="241"/>
      <c r="X288" s="240"/>
      <c r="Y288" s="402">
        <v>3.9E-2</v>
      </c>
      <c r="Z288" s="403">
        <v>2</v>
      </c>
      <c r="AA288" s="404" t="s">
        <v>1419</v>
      </c>
      <c r="AB288" s="405" t="s">
        <v>4360</v>
      </c>
      <c r="AC288" s="406">
        <v>71.5</v>
      </c>
      <c r="AD288" s="406">
        <v>50</v>
      </c>
      <c r="AE288" s="402" t="s">
        <v>2410</v>
      </c>
      <c r="AF288" s="402" t="s">
        <v>2707</v>
      </c>
      <c r="AG288" s="402" t="s">
        <v>4139</v>
      </c>
      <c r="AH288" s="402" t="s">
        <v>171</v>
      </c>
      <c r="AI288" s="402" t="s">
        <v>69</v>
      </c>
      <c r="AJ288" s="407" t="s">
        <v>2957</v>
      </c>
      <c r="AK288" s="407" t="s">
        <v>4361</v>
      </c>
      <c r="AL288" s="407" t="s">
        <v>2412</v>
      </c>
      <c r="AM288" s="407" t="s">
        <v>2413</v>
      </c>
      <c r="AN288" s="420" t="s">
        <v>2414</v>
      </c>
      <c r="AO288" s="420" t="s">
        <v>2415</v>
      </c>
      <c r="AP288" s="407" t="s">
        <v>1945</v>
      </c>
      <c r="AQ288" s="407" t="s">
        <v>4362</v>
      </c>
      <c r="AR288" s="407" t="s">
        <v>4362</v>
      </c>
      <c r="AS288" s="407" t="s">
        <v>4363</v>
      </c>
      <c r="AT288" s="798" t="s">
        <v>2419</v>
      </c>
      <c r="AU288" s="407" t="s">
        <v>3476</v>
      </c>
      <c r="AV288" s="408"/>
      <c r="AW288" s="191"/>
    </row>
    <row r="289" spans="1:49" ht="17">
      <c r="A289" s="1620"/>
      <c r="B289" s="342" t="s">
        <v>4509</v>
      </c>
      <c r="C289" s="213" t="s">
        <v>4510</v>
      </c>
      <c r="D289" s="214" t="s">
        <v>4511</v>
      </c>
      <c r="E289" s="215">
        <v>16.34</v>
      </c>
      <c r="F289" s="216" t="s">
        <v>4512</v>
      </c>
      <c r="G289" s="217" t="s">
        <v>0</v>
      </c>
      <c r="H289" s="218" t="s">
        <v>4505</v>
      </c>
      <c r="I289" s="219">
        <v>95.97</v>
      </c>
      <c r="J289" s="220">
        <v>97.690000000000012</v>
      </c>
      <c r="K289" s="221">
        <v>0.86670000000000003</v>
      </c>
      <c r="L289" s="222">
        <v>96.84</v>
      </c>
      <c r="M289" s="220">
        <v>98.56</v>
      </c>
      <c r="N289" s="223">
        <v>2.5</v>
      </c>
      <c r="O289" s="219">
        <v>101.06</v>
      </c>
      <c r="P289" s="224">
        <v>5.4100000000000002E-2</v>
      </c>
      <c r="Q289" s="225">
        <v>5.1799999999999999E-2</v>
      </c>
      <c r="R289" s="225" t="s">
        <v>557</v>
      </c>
      <c r="S289" s="226" t="s">
        <v>1745</v>
      </c>
      <c r="T289" s="226"/>
      <c r="U289" s="226" t="s">
        <v>1767</v>
      </c>
      <c r="V289" s="227">
        <v>10.767200000000001</v>
      </c>
      <c r="W289" s="227"/>
      <c r="X289" s="226"/>
      <c r="Y289" s="409">
        <v>5.2000000000000005E-2</v>
      </c>
      <c r="Z289" s="410">
        <v>2</v>
      </c>
      <c r="AA289" s="192" t="s">
        <v>4513</v>
      </c>
      <c r="AB289" s="411" t="s">
        <v>4514</v>
      </c>
      <c r="AC289" s="412">
        <v>100.19000000000001</v>
      </c>
      <c r="AD289" s="412">
        <v>33</v>
      </c>
      <c r="AE289" s="409" t="s">
        <v>2410</v>
      </c>
      <c r="AF289" s="409" t="s">
        <v>2454</v>
      </c>
      <c r="AG289" s="409" t="s">
        <v>4196</v>
      </c>
      <c r="AH289" s="409" t="s">
        <v>169</v>
      </c>
      <c r="AI289" s="409" t="s">
        <v>1617</v>
      </c>
      <c r="AJ289" s="242" t="s">
        <v>4515</v>
      </c>
      <c r="AK289" s="242" t="s">
        <v>2419</v>
      </c>
      <c r="AL289" s="242" t="s">
        <v>2412</v>
      </c>
      <c r="AM289" s="242" t="s">
        <v>2419</v>
      </c>
      <c r="AN289" s="421" t="s">
        <v>2414</v>
      </c>
      <c r="AO289" s="421" t="s">
        <v>2415</v>
      </c>
      <c r="AP289" s="242" t="s">
        <v>1945</v>
      </c>
      <c r="AQ289" s="242" t="s">
        <v>4516</v>
      </c>
      <c r="AR289" s="242" t="s">
        <v>4516</v>
      </c>
      <c r="AS289" s="242" t="s">
        <v>4517</v>
      </c>
      <c r="AT289" s="797" t="s">
        <v>2419</v>
      </c>
      <c r="AU289" s="242" t="s">
        <v>3476</v>
      </c>
      <c r="AV289" s="193"/>
      <c r="AW289" s="191"/>
    </row>
    <row r="290" spans="1:49" ht="17">
      <c r="A290" s="1620"/>
      <c r="B290" s="342" t="s">
        <v>4518</v>
      </c>
      <c r="C290" s="213" t="s">
        <v>4519</v>
      </c>
      <c r="D290" s="228" t="s">
        <v>2235</v>
      </c>
      <c r="E290" s="229">
        <v>14.2</v>
      </c>
      <c r="F290" s="230" t="s">
        <v>4520</v>
      </c>
      <c r="G290" s="231" t="s">
        <v>0</v>
      </c>
      <c r="H290" s="232" t="s">
        <v>4505</v>
      </c>
      <c r="I290" s="233">
        <v>108.95</v>
      </c>
      <c r="J290" s="234">
        <v>110.67</v>
      </c>
      <c r="K290" s="235">
        <v>1.9914000000000001</v>
      </c>
      <c r="L290" s="236">
        <v>110.94</v>
      </c>
      <c r="M290" s="234">
        <v>112.66</v>
      </c>
      <c r="N290" s="237">
        <v>2</v>
      </c>
      <c r="O290" s="233">
        <v>114.66</v>
      </c>
      <c r="P290" s="238">
        <v>5.6000000000000001E-2</v>
      </c>
      <c r="Q290" s="239">
        <v>5.4100000000000002E-2</v>
      </c>
      <c r="R290" s="239" t="s">
        <v>557</v>
      </c>
      <c r="S290" s="240" t="s">
        <v>1745</v>
      </c>
      <c r="T290" s="240"/>
      <c r="U290" s="240" t="s">
        <v>1767</v>
      </c>
      <c r="V290" s="241">
        <v>9.2203999999999997</v>
      </c>
      <c r="W290" s="241"/>
      <c r="X290" s="240"/>
      <c r="Y290" s="402">
        <v>6.7000000000000004E-2</v>
      </c>
      <c r="Z290" s="403">
        <v>2</v>
      </c>
      <c r="AA290" s="404" t="s">
        <v>1467</v>
      </c>
      <c r="AB290" s="405" t="s">
        <v>4521</v>
      </c>
      <c r="AC290" s="406">
        <v>112.67</v>
      </c>
      <c r="AD290" s="406">
        <v>29</v>
      </c>
      <c r="AE290" s="402" t="s">
        <v>2410</v>
      </c>
      <c r="AF290" s="402" t="s">
        <v>2491</v>
      </c>
      <c r="AG290" s="402" t="s">
        <v>4021</v>
      </c>
      <c r="AH290" s="402" t="s">
        <v>172</v>
      </c>
      <c r="AI290" s="402" t="s">
        <v>240</v>
      </c>
      <c r="AJ290" s="407" t="s">
        <v>3857</v>
      </c>
      <c r="AK290" s="407" t="s">
        <v>2419</v>
      </c>
      <c r="AL290" s="407" t="s">
        <v>2412</v>
      </c>
      <c r="AM290" s="407" t="s">
        <v>2419</v>
      </c>
      <c r="AN290" s="420" t="s">
        <v>2414</v>
      </c>
      <c r="AO290" s="420" t="s">
        <v>2415</v>
      </c>
      <c r="AP290" s="407" t="s">
        <v>1945</v>
      </c>
      <c r="AQ290" s="407" t="s">
        <v>4522</v>
      </c>
      <c r="AR290" s="407" t="s">
        <v>4522</v>
      </c>
      <c r="AS290" s="407" t="s">
        <v>4523</v>
      </c>
      <c r="AT290" s="798" t="s">
        <v>2419</v>
      </c>
      <c r="AU290" s="407" t="s">
        <v>3476</v>
      </c>
      <c r="AV290" s="408"/>
      <c r="AW290" s="191"/>
    </row>
  </sheetData>
  <sheetProtection formatCells="0" formatColumns="0" formatRows="0" selectLockedCells="1"/>
  <autoFilter ref="A3:AX291" xr:uid="{00000000-0009-0000-0000-000007000000}"/>
  <mergeCells count="1">
    <mergeCell ref="B2:X2"/>
  </mergeCells>
  <phoneticPr fontId="53" type="noConversion"/>
  <conditionalFormatting sqref="T4:T290">
    <cfRule type="cellIs" dxfId="688" priority="1" stopIfTrue="1" operator="greaterThan">
      <formula>0.005</formula>
    </cfRule>
    <cfRule type="cellIs" dxfId="687" priority="2" stopIfTrue="1" operator="greaterThan">
      <formula>0.005</formula>
    </cfRule>
  </conditionalFormatting>
  <pageMargins left="0.25" right="0.25" top="0.75" bottom="0.75" header="0.3" footer="0.3"/>
  <pageSetup paperSize="9" scale="23"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2">
    <tabColor theme="6"/>
  </sheetPr>
  <dimension ref="A1:Z251"/>
  <sheetViews>
    <sheetView workbookViewId="0">
      <selection activeCell="F14" sqref="F14"/>
    </sheetView>
  </sheetViews>
  <sheetFormatPr defaultColWidth="8.85546875" defaultRowHeight="15" customHeight="1"/>
  <cols>
    <col min="1" max="2" width="8.85546875" style="272"/>
    <col min="3" max="3" width="12.640625" style="272" customWidth="1"/>
    <col min="4" max="5" width="8.85546875" style="272"/>
    <col min="6" max="6" width="7.42578125" style="272" bestFit="1" customWidth="1"/>
    <col min="7" max="7" width="8.85546875" style="272"/>
    <col min="8" max="8" width="8.85546875" style="272" hidden="1" customWidth="1"/>
    <col min="9" max="11" width="8.85546875" style="272"/>
    <col min="12" max="13" width="6.85546875" bestFit="1" customWidth="1"/>
    <col min="14" max="14" width="43.85546875" customWidth="1"/>
    <col min="15" max="15" width="21.42578125" customWidth="1"/>
    <col min="16" max="16" width="8.85546875" customWidth="1"/>
    <col min="17" max="17" width="8.85546875" style="272" customWidth="1"/>
    <col min="18" max="18" width="8.85546875" style="555" customWidth="1"/>
    <col min="19" max="19" width="8.85546875" style="272" customWidth="1"/>
    <col min="20" max="20" width="8.85546875" style="272"/>
    <col min="21" max="21" width="50.42578125" style="272" bestFit="1" customWidth="1"/>
    <col min="22" max="24" width="8.85546875" style="272"/>
    <col min="25" max="25" width="15.42578125" style="272" bestFit="1" customWidth="1"/>
    <col min="26" max="26" width="11.2109375" style="272" bestFit="1" customWidth="1"/>
    <col min="27" max="16384" width="8.85546875" style="272"/>
  </cols>
  <sheetData>
    <row r="1" spans="1:26" ht="15" customHeight="1">
      <c r="A1" s="494" t="s">
        <v>1720</v>
      </c>
      <c r="B1" s="268" t="s">
        <v>1738</v>
      </c>
      <c r="C1" s="492" t="s">
        <v>1739</v>
      </c>
      <c r="F1" s="494" t="s">
        <v>2159</v>
      </c>
      <c r="G1" s="268" t="s">
        <v>2000</v>
      </c>
      <c r="H1" s="268"/>
      <c r="I1" s="492" t="s">
        <v>1739</v>
      </c>
      <c r="L1" s="268" t="s">
        <v>2094</v>
      </c>
      <c r="M1" s="268" t="s">
        <v>2095</v>
      </c>
      <c r="N1" s="557" t="s">
        <v>538</v>
      </c>
      <c r="O1" s="557" t="s">
        <v>2096</v>
      </c>
      <c r="P1" s="557"/>
      <c r="R1" s="268" t="s">
        <v>2094</v>
      </c>
      <c r="S1" s="268" t="s">
        <v>2136</v>
      </c>
      <c r="T1" s="272" t="s">
        <v>1942</v>
      </c>
      <c r="U1" s="557" t="s">
        <v>538</v>
      </c>
      <c r="Y1" s="171"/>
      <c r="Z1" s="777">
        <v>45170</v>
      </c>
    </row>
    <row r="2" spans="1:26" ht="15" customHeight="1">
      <c r="A2" s="277" t="s">
        <v>1721</v>
      </c>
      <c r="B2" s="272">
        <v>5.5862100000000003</v>
      </c>
      <c r="C2" s="272">
        <f>_xll.BDP(A2&amp;" Index",$C$1)</f>
        <v>5.5862100000000003</v>
      </c>
      <c r="F2" s="277" t="s">
        <v>0</v>
      </c>
      <c r="G2" s="272">
        <v>32.481000000000002</v>
      </c>
      <c r="H2" s="277" t="s">
        <v>2007</v>
      </c>
      <c r="I2" s="272">
        <f>_xll.BDP(H2&amp;" Curncy",$I$1)</f>
        <v>32.481000000000002</v>
      </c>
      <c r="L2" s="555" t="s">
        <v>785</v>
      </c>
      <c r="M2" s="555" t="s">
        <v>2092</v>
      </c>
      <c r="N2" s="272" t="str">
        <f>VLOOKUP(L2,bond!B:C,2,FALSE)</f>
        <v>安海斯-布希英博全球公司美元配息 4% 2028/4/13</v>
      </c>
      <c r="O2" s="555" t="str">
        <f ca="1">VLOOKUP(L2,'銀行-TSS'!B:E,4,FALSE)</f>
        <v>A3 / A- / WD</v>
      </c>
      <c r="P2" s="555"/>
      <c r="S2" s="555"/>
      <c r="Y2" s="799" t="s">
        <v>2403</v>
      </c>
      <c r="Z2" s="800" t="s">
        <v>2404</v>
      </c>
    </row>
    <row r="3" spans="1:26" ht="15" customHeight="1">
      <c r="A3" s="277" t="s">
        <v>1724</v>
      </c>
      <c r="B3" s="272">
        <v>4.3887600000000004</v>
      </c>
      <c r="C3" s="272">
        <f>_xll.BDP(A3&amp;" Index",$C$1)</f>
        <v>4.3887600000000004</v>
      </c>
      <c r="F3" s="277" t="s">
        <v>2001</v>
      </c>
      <c r="G3" s="272">
        <v>4.4691000000000001</v>
      </c>
      <c r="H3" s="277" t="s">
        <v>2008</v>
      </c>
      <c r="I3" s="272">
        <f>_xll.BDP(H3&amp;" Curncy",$I$1)</f>
        <v>4.4691000000000001</v>
      </c>
      <c r="L3" s="555" t="s">
        <v>1053</v>
      </c>
      <c r="M3" s="555" t="s">
        <v>2092</v>
      </c>
      <c r="N3" s="272" t="str">
        <f>VLOOKUP(L3,bond!B:C,2,FALSE)</f>
        <v>紐約聯合愛迪生公司美元配息債券 3.95% 2050/4/1</v>
      </c>
      <c r="O3" s="555" t="str">
        <f ca="1">VLOOKUP(L3,'銀行-TSS'!B:E,4,FALSE)</f>
        <v>A3 / A- / A-</v>
      </c>
      <c r="P3" s="555"/>
      <c r="S3" s="555"/>
      <c r="Y3" s="801" t="s">
        <v>811</v>
      </c>
      <c r="Z3">
        <f>_xll.BDP(Y3&amp;" corp", "INT_ACC", "SETTLE_DT",Z1)</f>
        <v>-7.1999999999999995E-2</v>
      </c>
    </row>
    <row r="4" spans="1:26" ht="15" customHeight="1">
      <c r="A4" s="277" t="s">
        <v>1725</v>
      </c>
      <c r="B4" s="272">
        <v>5.34</v>
      </c>
      <c r="C4" s="272">
        <f>_xll.BDP(A4&amp;" Index",$C$1)</f>
        <v>5.34</v>
      </c>
      <c r="F4" s="277" t="s">
        <v>2002</v>
      </c>
      <c r="G4" s="272">
        <v>1.7963</v>
      </c>
      <c r="H4" s="277" t="s">
        <v>2009</v>
      </c>
      <c r="I4" s="272">
        <f>_xll.BDP(H4&amp;" Curncy",$I$1)</f>
        <v>1.7963</v>
      </c>
      <c r="L4" s="555" t="s">
        <v>1212</v>
      </c>
      <c r="M4" s="555" t="s">
        <v>2092</v>
      </c>
      <c r="N4" s="272" t="str">
        <f>VLOOKUP(L4,bond!B:C,2,FALSE)</f>
        <v>法國興業銀行美元配息債券 4.677% 2027/6/15</v>
      </c>
      <c r="O4" s="555" t="str">
        <f ca="1">VLOOKUP(L4,'銀行-TSS'!B:E,4,FALSE)</f>
        <v>A1 / A / A</v>
      </c>
      <c r="P4" s="555"/>
      <c r="S4" s="555"/>
    </row>
    <row r="5" spans="1:26" ht="15" customHeight="1">
      <c r="A5" s="277" t="s">
        <v>1726</v>
      </c>
      <c r="B5" s="272">
        <v>5.09</v>
      </c>
      <c r="C5" s="272">
        <f>_xll.BDP(A5&amp;" Index",$C$1)</f>
        <v>5.09</v>
      </c>
      <c r="F5" s="277" t="s">
        <v>2003</v>
      </c>
      <c r="G5" s="272">
        <v>21.670999999999999</v>
      </c>
      <c r="H5" s="277" t="s">
        <v>2010</v>
      </c>
      <c r="I5" s="272">
        <f>_xll.BDP(H5&amp;" Curncy",$I$1)</f>
        <v>21.670999999999999</v>
      </c>
      <c r="L5" s="555" t="s">
        <v>668</v>
      </c>
      <c r="M5" s="555" t="s">
        <v>2093</v>
      </c>
      <c r="N5" s="272" t="str">
        <f>VLOOKUP(L5,bond!B:C,2,FALSE)</f>
        <v>墨西哥石油公司美元配息債券 6.5% 2027/3/13</v>
      </c>
      <c r="O5" s="555" t="str">
        <f ca="1">VLOOKUP(L5,'銀行-TSS'!B:E,4,FALSE)</f>
        <v>B3 / BBB / B+u</v>
      </c>
      <c r="P5" s="555"/>
      <c r="S5" s="555"/>
    </row>
    <row r="6" spans="1:26" ht="15" customHeight="1">
      <c r="F6" s="277" t="s">
        <v>2004</v>
      </c>
      <c r="G6" s="272">
        <v>23.761500000000002</v>
      </c>
      <c r="H6" s="277" t="s">
        <v>2011</v>
      </c>
      <c r="I6" s="272">
        <f>_xll.BDP(H6&amp;" Curncy",$I$1)</f>
        <v>23.761500000000002</v>
      </c>
      <c r="L6" s="555" t="s">
        <v>830</v>
      </c>
      <c r="M6" s="555" t="s">
        <v>2093</v>
      </c>
      <c r="N6" s="272" t="str">
        <f>VLOOKUP(L6,bond!B:C,2,FALSE)</f>
        <v>墨西哥石油公司歐元配息債券 4.875% 2028/2/21</v>
      </c>
      <c r="O6" s="555" t="str">
        <f ca="1">VLOOKUP(L6,'銀行-TSS'!B:E,4,FALSE)</f>
        <v>B3 / BBB / B+u</v>
      </c>
      <c r="P6" s="555"/>
      <c r="S6" s="555"/>
    </row>
    <row r="7" spans="1:26" ht="15" customHeight="1">
      <c r="F7" s="277" t="s">
        <v>2005</v>
      </c>
      <c r="G7" s="272">
        <v>19.813199999999998</v>
      </c>
      <c r="H7" s="277" t="s">
        <v>2012</v>
      </c>
      <c r="I7" s="272">
        <f>_xll.BDP(H7&amp;" Curncy",$I$1)</f>
        <v>19.813199999999998</v>
      </c>
      <c r="L7" s="555" t="s">
        <v>1138</v>
      </c>
      <c r="M7" s="555" t="s">
        <v>2093</v>
      </c>
      <c r="N7" s="272" t="str">
        <f>VLOOKUP(L7,bond!B:C,2,FALSE)</f>
        <v>巴西石油全球金融私人有限公司美元配息債券 6.75% 2041/1/27</v>
      </c>
      <c r="O7" s="555" t="str">
        <f ca="1">VLOOKUP(L7,'銀行-TSS'!B:E,4,FALSE)</f>
        <v>Ba1 / BB / BB</v>
      </c>
      <c r="P7" s="555"/>
      <c r="S7" s="555"/>
    </row>
    <row r="8" spans="1:26" ht="15" customHeight="1">
      <c r="F8" s="277" t="s">
        <v>2006</v>
      </c>
      <c r="G8" s="272">
        <v>34.927900000000001</v>
      </c>
      <c r="H8" s="277" t="s">
        <v>2013</v>
      </c>
      <c r="I8" s="272">
        <f>_xll.BDP(H8&amp;" Curncy",$I$1)</f>
        <v>34.927900000000001</v>
      </c>
      <c r="L8" s="555" t="s">
        <v>1141</v>
      </c>
      <c r="M8" s="555" t="s">
        <v>2093</v>
      </c>
      <c r="N8" s="272" t="str">
        <f>VLOOKUP(L8,bond!B:C,2,FALSE)</f>
        <v>墨西哥石油公司美元配息債券 6.75% 2047/9/21</v>
      </c>
      <c r="O8" s="555" t="str">
        <f ca="1">VLOOKUP(L8,'銀行-TSS'!B:E,4,FALSE)</f>
        <v>B3 / BBB / B+u</v>
      </c>
      <c r="P8" s="555"/>
      <c r="S8" s="555"/>
    </row>
    <row r="9" spans="1:26" ht="15" customHeight="1">
      <c r="F9" s="491"/>
      <c r="L9" s="555" t="s">
        <v>1161</v>
      </c>
      <c r="M9" s="555" t="s">
        <v>2093</v>
      </c>
      <c r="N9" s="272" t="str">
        <f>VLOOKUP(L9,bond!B:C,2,FALSE)</f>
        <v>百勝餐飲美元配息債券 3.625% 2031/3/15</v>
      </c>
      <c r="O9" s="555" t="str">
        <f ca="1">VLOOKUP(L9,'銀行-TSS'!B:E,4,FALSE)</f>
        <v>Ba3 / BB / -</v>
      </c>
      <c r="P9" s="555"/>
      <c r="S9" s="555"/>
    </row>
    <row r="10" spans="1:26" ht="15" customHeight="1">
      <c r="L10" s="555" t="s">
        <v>1107</v>
      </c>
      <c r="M10" s="555" t="s">
        <v>2093</v>
      </c>
      <c r="N10" s="272" t="str">
        <f>VLOOKUP(L10,bond!B:C,2,FALSE)</f>
        <v>巴西政府公債美元配息債券 5% 2045/1/27</v>
      </c>
      <c r="O10" s="555" t="str">
        <f ca="1">VLOOKUP(L10,'銀行-TSS'!B:E,4,FALSE)</f>
        <v>Ba2 / BB / BB</v>
      </c>
      <c r="P10" s="555"/>
      <c r="S10" s="555"/>
    </row>
    <row r="11" spans="1:26" ht="15" customHeight="1">
      <c r="L11" s="555" t="s">
        <v>1110</v>
      </c>
      <c r="M11" s="555" t="s">
        <v>2093</v>
      </c>
      <c r="N11" s="272" t="str">
        <f>VLOOKUP(L11,bond!B:C,2,FALSE)</f>
        <v>土耳其政府國際債券美元配息債券 5.875% 2031/6/26</v>
      </c>
      <c r="O11" s="555" t="str">
        <f ca="1">VLOOKUP(L11,'銀行-TSS'!B:E,4,FALSE)</f>
        <v>B3 / - / B+</v>
      </c>
      <c r="P11" s="555"/>
      <c r="S11" s="555"/>
    </row>
    <row r="12" spans="1:26" ht="15" customHeight="1">
      <c r="L12" s="555" t="s">
        <v>1113</v>
      </c>
      <c r="M12" s="555" t="s">
        <v>2093</v>
      </c>
      <c r="N12" s="272" t="str">
        <f>VLOOKUP(L12,bond!B:C,2,FALSE)</f>
        <v>固特異美元配息債券  5.25% 2031/4/30</v>
      </c>
      <c r="O12" s="555" t="str">
        <f ca="1">VLOOKUP(L12,'銀行-TSS'!B:E,4,FALSE)</f>
        <v>B2 / B+ / BB-</v>
      </c>
      <c r="P12" s="555"/>
      <c r="S12" s="555"/>
    </row>
    <row r="13" spans="1:26" ht="15" customHeight="1">
      <c r="L13" s="555" t="s">
        <v>1116</v>
      </c>
      <c r="M13" s="555" t="s">
        <v>2093</v>
      </c>
      <c r="N13" s="272" t="str">
        <f>VLOOKUP(L13,bond!B:C,2,FALSE)</f>
        <v>皇家加勒比國際郵輪美元配息債券  5.5% 2028/4/1</v>
      </c>
      <c r="O13" s="555" t="str">
        <f ca="1">VLOOKUP(L13,'銀行-TSS'!B:E,4,FALSE)</f>
        <v>Ba2 / BB+ / -</v>
      </c>
      <c r="P13" s="555"/>
      <c r="S13" s="555"/>
    </row>
    <row r="14" spans="1:26" ht="15" customHeight="1">
      <c r="L14" s="555" t="s">
        <v>1135</v>
      </c>
      <c r="M14" s="555" t="s">
        <v>2093</v>
      </c>
      <c r="N14" s="272" t="str">
        <f>VLOOKUP(L14,bond!B:C,2,FALSE)</f>
        <v>阿曼政府國際公債美元配息債券 6% 2029/8/1</v>
      </c>
      <c r="O14" s="555" t="str">
        <f ca="1">VLOOKUP(L14,'銀行-TSS'!B:E,4,FALSE)</f>
        <v>Ba1 / - / BB+</v>
      </c>
      <c r="P14" s="555"/>
      <c r="S14" s="555"/>
    </row>
    <row r="15" spans="1:26" ht="15" customHeight="1">
      <c r="L15" s="272"/>
      <c r="M15" s="272"/>
      <c r="N15" s="272"/>
      <c r="O15" s="272"/>
      <c r="P15" s="272"/>
      <c r="S15" s="555"/>
    </row>
    <row r="16" spans="1:26" ht="15" customHeight="1">
      <c r="L16" s="272"/>
      <c r="M16" s="272"/>
      <c r="N16" s="272"/>
      <c r="O16" s="272"/>
      <c r="P16" s="272"/>
      <c r="S16" s="555"/>
    </row>
    <row r="17" spans="18:19" s="272" customFormat="1" ht="15" customHeight="1">
      <c r="R17" s="555"/>
      <c r="S17" s="555"/>
    </row>
    <row r="18" spans="18:19" s="272" customFormat="1" ht="15" customHeight="1">
      <c r="R18" s="555"/>
      <c r="S18" s="555"/>
    </row>
    <row r="19" spans="18:19" s="272" customFormat="1" ht="15" customHeight="1">
      <c r="R19" s="555"/>
      <c r="S19" s="555"/>
    </row>
    <row r="20" spans="18:19" s="272" customFormat="1" ht="15" customHeight="1">
      <c r="R20" s="555"/>
      <c r="S20" s="555"/>
    </row>
    <row r="21" spans="18:19" s="272" customFormat="1" ht="15" customHeight="1">
      <c r="R21" s="555"/>
      <c r="S21" s="555"/>
    </row>
    <row r="22" spans="18:19" s="272" customFormat="1" ht="15" customHeight="1">
      <c r="R22" s="555"/>
      <c r="S22" s="555"/>
    </row>
    <row r="23" spans="18:19" s="272" customFormat="1" ht="15" customHeight="1">
      <c r="R23" s="555"/>
      <c r="S23" s="555"/>
    </row>
    <row r="24" spans="18:19" s="272" customFormat="1" ht="15" customHeight="1">
      <c r="R24" s="555"/>
    </row>
    <row r="25" spans="18:19" s="272" customFormat="1" ht="15" customHeight="1">
      <c r="R25" s="555"/>
    </row>
    <row r="26" spans="18:19" s="272" customFormat="1" ht="15" customHeight="1">
      <c r="R26" s="555"/>
    </row>
    <row r="27" spans="18:19" s="272" customFormat="1" ht="15" customHeight="1">
      <c r="R27" s="555"/>
    </row>
    <row r="28" spans="18:19" s="272" customFormat="1" ht="15" customHeight="1">
      <c r="R28" s="555"/>
    </row>
    <row r="29" spans="18:19" s="272" customFormat="1" ht="15" customHeight="1">
      <c r="R29" s="555"/>
    </row>
    <row r="30" spans="18:19" s="272" customFormat="1" ht="15" customHeight="1">
      <c r="R30" s="555"/>
    </row>
    <row r="31" spans="18:19" s="272" customFormat="1" ht="15" customHeight="1">
      <c r="R31" s="555"/>
    </row>
    <row r="32" spans="18:19" s="272" customFormat="1" ht="15" customHeight="1">
      <c r="R32" s="555"/>
    </row>
    <row r="33" spans="18:18" s="272" customFormat="1" ht="15" customHeight="1">
      <c r="R33" s="555"/>
    </row>
    <row r="34" spans="18:18" s="272" customFormat="1" ht="15" customHeight="1">
      <c r="R34" s="555"/>
    </row>
    <row r="35" spans="18:18" s="272" customFormat="1" ht="15" customHeight="1">
      <c r="R35" s="555"/>
    </row>
    <row r="36" spans="18:18" s="272" customFormat="1" ht="15" customHeight="1">
      <c r="R36" s="555"/>
    </row>
    <row r="37" spans="18:18" s="272" customFormat="1" ht="15" customHeight="1">
      <c r="R37" s="555"/>
    </row>
    <row r="38" spans="18:18" s="272" customFormat="1" ht="15" customHeight="1">
      <c r="R38" s="555"/>
    </row>
    <row r="39" spans="18:18" s="272" customFormat="1" ht="15" customHeight="1">
      <c r="R39" s="555"/>
    </row>
    <row r="40" spans="18:18" s="272" customFormat="1" ht="15" customHeight="1">
      <c r="R40" s="555"/>
    </row>
    <row r="41" spans="18:18" s="272" customFormat="1" ht="15" customHeight="1">
      <c r="R41" s="555"/>
    </row>
    <row r="42" spans="18:18" s="272" customFormat="1" ht="15" customHeight="1">
      <c r="R42" s="555"/>
    </row>
    <row r="43" spans="18:18" s="272" customFormat="1" ht="15" customHeight="1">
      <c r="R43" s="555"/>
    </row>
    <row r="44" spans="18:18" s="272" customFormat="1" ht="15" customHeight="1">
      <c r="R44" s="555"/>
    </row>
    <row r="45" spans="18:18" s="272" customFormat="1" ht="15" customHeight="1">
      <c r="R45" s="555"/>
    </row>
    <row r="46" spans="18:18" s="272" customFormat="1" ht="15" customHeight="1">
      <c r="R46" s="555"/>
    </row>
    <row r="47" spans="18:18" s="272" customFormat="1" ht="15" customHeight="1">
      <c r="R47" s="555"/>
    </row>
    <row r="48" spans="18:18" s="272" customFormat="1" ht="15" customHeight="1">
      <c r="R48" s="555"/>
    </row>
    <row r="49" spans="18:18" s="272" customFormat="1" ht="15" customHeight="1">
      <c r="R49" s="555"/>
    </row>
    <row r="50" spans="18:18" s="272" customFormat="1" ht="15" customHeight="1">
      <c r="R50" s="555"/>
    </row>
    <row r="51" spans="18:18" s="272" customFormat="1" ht="15" customHeight="1">
      <c r="R51" s="555"/>
    </row>
    <row r="52" spans="18:18" s="272" customFormat="1" ht="15" customHeight="1">
      <c r="R52" s="555"/>
    </row>
    <row r="53" spans="18:18" s="272" customFormat="1" ht="15" customHeight="1">
      <c r="R53" s="555"/>
    </row>
    <row r="54" spans="18:18" s="272" customFormat="1" ht="15" customHeight="1">
      <c r="R54" s="555"/>
    </row>
    <row r="55" spans="18:18" s="272" customFormat="1" ht="15" customHeight="1">
      <c r="R55" s="555"/>
    </row>
    <row r="56" spans="18:18" s="272" customFormat="1" ht="15" customHeight="1">
      <c r="R56" s="555"/>
    </row>
    <row r="57" spans="18:18" s="272" customFormat="1" ht="15" customHeight="1">
      <c r="R57" s="555"/>
    </row>
    <row r="58" spans="18:18" s="272" customFormat="1" ht="15" customHeight="1">
      <c r="R58" s="555"/>
    </row>
    <row r="59" spans="18:18" s="272" customFormat="1" ht="15" customHeight="1">
      <c r="R59" s="555"/>
    </row>
    <row r="60" spans="18:18" s="272" customFormat="1" ht="15" customHeight="1">
      <c r="R60" s="555"/>
    </row>
    <row r="61" spans="18:18" s="272" customFormat="1" ht="15" customHeight="1">
      <c r="R61" s="555"/>
    </row>
    <row r="62" spans="18:18" s="272" customFormat="1" ht="15" customHeight="1">
      <c r="R62" s="555"/>
    </row>
    <row r="63" spans="18:18" s="272" customFormat="1" ht="15" customHeight="1">
      <c r="R63" s="555"/>
    </row>
    <row r="64" spans="18:18" s="272" customFormat="1" ht="15" customHeight="1">
      <c r="R64" s="555"/>
    </row>
    <row r="65" spans="18:18" s="272" customFormat="1" ht="15" customHeight="1">
      <c r="R65" s="555"/>
    </row>
    <row r="66" spans="18:18" s="272" customFormat="1" ht="15" customHeight="1">
      <c r="R66" s="555"/>
    </row>
    <row r="67" spans="18:18" s="272" customFormat="1" ht="15" customHeight="1">
      <c r="R67" s="555"/>
    </row>
    <row r="68" spans="18:18" s="272" customFormat="1" ht="15" customHeight="1">
      <c r="R68" s="555"/>
    </row>
    <row r="69" spans="18:18" s="272" customFormat="1" ht="15" customHeight="1">
      <c r="R69" s="555"/>
    </row>
    <row r="70" spans="18:18" s="272" customFormat="1" ht="15" customHeight="1">
      <c r="R70" s="555"/>
    </row>
    <row r="71" spans="18:18" s="272" customFormat="1" ht="15" customHeight="1">
      <c r="R71" s="555"/>
    </row>
    <row r="72" spans="18:18" s="272" customFormat="1" ht="15" customHeight="1">
      <c r="R72" s="555"/>
    </row>
    <row r="73" spans="18:18" s="272" customFormat="1" ht="15" customHeight="1">
      <c r="R73" s="555"/>
    </row>
    <row r="74" spans="18:18" s="272" customFormat="1" ht="15" customHeight="1">
      <c r="R74" s="555"/>
    </row>
    <row r="75" spans="18:18" s="272" customFormat="1" ht="15" customHeight="1">
      <c r="R75" s="555"/>
    </row>
    <row r="76" spans="18:18" s="272" customFormat="1" ht="15" customHeight="1">
      <c r="R76" s="555"/>
    </row>
    <row r="77" spans="18:18" s="272" customFormat="1" ht="15" customHeight="1">
      <c r="R77" s="555"/>
    </row>
    <row r="78" spans="18:18" s="272" customFormat="1" ht="15" customHeight="1">
      <c r="R78" s="555"/>
    </row>
    <row r="79" spans="18:18" s="272" customFormat="1" ht="15" customHeight="1">
      <c r="R79" s="555"/>
    </row>
    <row r="80" spans="18:18" s="272" customFormat="1" ht="15" customHeight="1">
      <c r="R80" s="555"/>
    </row>
    <row r="81" spans="18:18" s="272" customFormat="1" ht="15" customHeight="1">
      <c r="R81" s="555"/>
    </row>
    <row r="82" spans="18:18" s="272" customFormat="1" ht="15" customHeight="1">
      <c r="R82" s="555"/>
    </row>
    <row r="83" spans="18:18" s="272" customFormat="1" ht="15" customHeight="1">
      <c r="R83" s="555"/>
    </row>
    <row r="84" spans="18:18" s="272" customFormat="1" ht="15" customHeight="1">
      <c r="R84" s="555"/>
    </row>
    <row r="85" spans="18:18" s="272" customFormat="1" ht="15" customHeight="1">
      <c r="R85" s="555"/>
    </row>
    <row r="86" spans="18:18" s="272" customFormat="1" ht="15" customHeight="1">
      <c r="R86" s="555"/>
    </row>
    <row r="87" spans="18:18" s="272" customFormat="1" ht="15" customHeight="1">
      <c r="R87" s="555"/>
    </row>
    <row r="88" spans="18:18" s="272" customFormat="1" ht="15" customHeight="1">
      <c r="R88" s="555"/>
    </row>
    <row r="89" spans="18:18" s="272" customFormat="1" ht="15" customHeight="1">
      <c r="R89" s="555"/>
    </row>
    <row r="90" spans="18:18" s="272" customFormat="1" ht="15" customHeight="1">
      <c r="R90" s="555"/>
    </row>
    <row r="91" spans="18:18" s="272" customFormat="1" ht="15" customHeight="1">
      <c r="R91" s="555"/>
    </row>
    <row r="92" spans="18:18" s="272" customFormat="1" ht="15" customHeight="1">
      <c r="R92" s="555"/>
    </row>
    <row r="93" spans="18:18" s="272" customFormat="1" ht="15" customHeight="1">
      <c r="R93" s="555"/>
    </row>
    <row r="94" spans="18:18" s="272" customFormat="1" ht="15" customHeight="1">
      <c r="R94" s="555"/>
    </row>
    <row r="95" spans="18:18" s="272" customFormat="1" ht="15" customHeight="1">
      <c r="R95" s="555"/>
    </row>
    <row r="96" spans="18:18" s="272" customFormat="1" ht="15" customHeight="1">
      <c r="R96" s="555"/>
    </row>
    <row r="97" spans="18:18" s="272" customFormat="1" ht="15" customHeight="1">
      <c r="R97" s="555"/>
    </row>
    <row r="98" spans="18:18" s="272" customFormat="1" ht="15" customHeight="1">
      <c r="R98" s="555"/>
    </row>
    <row r="99" spans="18:18" s="272" customFormat="1" ht="15" customHeight="1">
      <c r="R99" s="555"/>
    </row>
    <row r="100" spans="18:18" s="272" customFormat="1" ht="15" customHeight="1">
      <c r="R100" s="555"/>
    </row>
    <row r="101" spans="18:18" s="272" customFormat="1" ht="15" customHeight="1">
      <c r="R101" s="555"/>
    </row>
    <row r="102" spans="18:18" s="272" customFormat="1" ht="15" customHeight="1">
      <c r="R102" s="555"/>
    </row>
    <row r="103" spans="18:18" s="272" customFormat="1" ht="15" customHeight="1">
      <c r="R103" s="555"/>
    </row>
    <row r="104" spans="18:18" s="272" customFormat="1" ht="15" customHeight="1">
      <c r="R104" s="555"/>
    </row>
    <row r="105" spans="18:18" s="272" customFormat="1" ht="15" customHeight="1">
      <c r="R105" s="555"/>
    </row>
    <row r="106" spans="18:18" s="272" customFormat="1" ht="15" customHeight="1">
      <c r="R106" s="555"/>
    </row>
    <row r="107" spans="18:18" s="272" customFormat="1" ht="15" customHeight="1">
      <c r="R107" s="555"/>
    </row>
    <row r="108" spans="18:18" s="272" customFormat="1" ht="15" customHeight="1">
      <c r="R108" s="555"/>
    </row>
    <row r="109" spans="18:18" s="272" customFormat="1" ht="15" customHeight="1">
      <c r="R109" s="555"/>
    </row>
    <row r="110" spans="18:18" s="272" customFormat="1" ht="15" customHeight="1">
      <c r="R110" s="555"/>
    </row>
    <row r="111" spans="18:18" s="272" customFormat="1" ht="15" customHeight="1">
      <c r="R111" s="555"/>
    </row>
    <row r="112" spans="18:18" s="272" customFormat="1" ht="15" customHeight="1">
      <c r="R112" s="555"/>
    </row>
    <row r="113" spans="18:18" s="272" customFormat="1" ht="15" customHeight="1">
      <c r="R113" s="555"/>
    </row>
    <row r="114" spans="18:18" s="272" customFormat="1" ht="15" customHeight="1">
      <c r="R114" s="555"/>
    </row>
    <row r="115" spans="18:18" s="272" customFormat="1" ht="15" customHeight="1">
      <c r="R115" s="555"/>
    </row>
    <row r="116" spans="18:18" s="272" customFormat="1" ht="15" customHeight="1">
      <c r="R116" s="555"/>
    </row>
    <row r="117" spans="18:18" s="272" customFormat="1" ht="15" customHeight="1">
      <c r="R117" s="555"/>
    </row>
    <row r="118" spans="18:18" s="272" customFormat="1" ht="15" customHeight="1">
      <c r="R118" s="555"/>
    </row>
    <row r="119" spans="18:18" s="272" customFormat="1" ht="15" customHeight="1">
      <c r="R119" s="555"/>
    </row>
    <row r="120" spans="18:18" s="272" customFormat="1" ht="15" customHeight="1">
      <c r="R120" s="555"/>
    </row>
    <row r="121" spans="18:18" s="272" customFormat="1" ht="15" customHeight="1">
      <c r="R121" s="555"/>
    </row>
    <row r="122" spans="18:18" s="272" customFormat="1" ht="15" customHeight="1">
      <c r="R122" s="555"/>
    </row>
    <row r="123" spans="18:18" s="272" customFormat="1" ht="15" customHeight="1">
      <c r="R123" s="555"/>
    </row>
    <row r="124" spans="18:18" s="272" customFormat="1" ht="15" customHeight="1">
      <c r="R124" s="555"/>
    </row>
    <row r="125" spans="18:18" s="272" customFormat="1" ht="15" customHeight="1">
      <c r="R125" s="555"/>
    </row>
    <row r="126" spans="18:18" s="272" customFormat="1" ht="15" customHeight="1">
      <c r="R126" s="555"/>
    </row>
    <row r="127" spans="18:18" s="272" customFormat="1" ht="15" customHeight="1">
      <c r="R127" s="555"/>
    </row>
    <row r="128" spans="18:18" s="272" customFormat="1" ht="15" customHeight="1">
      <c r="R128" s="555"/>
    </row>
    <row r="129" spans="18:18" s="272" customFormat="1" ht="15" customHeight="1">
      <c r="R129" s="555"/>
    </row>
    <row r="130" spans="18:18" s="272" customFormat="1" ht="15" customHeight="1">
      <c r="R130" s="555"/>
    </row>
    <row r="131" spans="18:18" s="272" customFormat="1" ht="15" customHeight="1">
      <c r="R131" s="555"/>
    </row>
    <row r="132" spans="18:18" s="272" customFormat="1" ht="15" customHeight="1">
      <c r="R132" s="555"/>
    </row>
    <row r="133" spans="18:18" s="272" customFormat="1" ht="15" customHeight="1">
      <c r="R133" s="555"/>
    </row>
    <row r="134" spans="18:18" s="272" customFormat="1" ht="15" customHeight="1">
      <c r="R134" s="555"/>
    </row>
    <row r="135" spans="18:18" s="272" customFormat="1" ht="15" customHeight="1">
      <c r="R135" s="555"/>
    </row>
    <row r="136" spans="18:18" s="272" customFormat="1" ht="15" customHeight="1">
      <c r="R136" s="555"/>
    </row>
    <row r="137" spans="18:18" s="272" customFormat="1" ht="15" customHeight="1">
      <c r="R137" s="555"/>
    </row>
    <row r="138" spans="18:18" s="272" customFormat="1" ht="15" customHeight="1">
      <c r="R138" s="555"/>
    </row>
    <row r="139" spans="18:18" s="272" customFormat="1" ht="15" customHeight="1">
      <c r="R139" s="555"/>
    </row>
    <row r="140" spans="18:18" s="272" customFormat="1" ht="15" customHeight="1">
      <c r="R140" s="555"/>
    </row>
    <row r="141" spans="18:18" s="272" customFormat="1" ht="15" customHeight="1">
      <c r="R141" s="555"/>
    </row>
    <row r="142" spans="18:18" s="272" customFormat="1" ht="15" customHeight="1">
      <c r="R142" s="555"/>
    </row>
    <row r="143" spans="18:18" s="272" customFormat="1" ht="15" customHeight="1">
      <c r="R143" s="555"/>
    </row>
    <row r="144" spans="18:18" s="272" customFormat="1" ht="15" customHeight="1">
      <c r="R144" s="555"/>
    </row>
    <row r="145" spans="18:18" s="272" customFormat="1" ht="15" customHeight="1">
      <c r="R145" s="555"/>
    </row>
    <row r="146" spans="18:18" s="272" customFormat="1" ht="15" customHeight="1">
      <c r="R146" s="555"/>
    </row>
    <row r="147" spans="18:18" s="272" customFormat="1" ht="15" customHeight="1">
      <c r="R147" s="555"/>
    </row>
    <row r="148" spans="18:18" s="272" customFormat="1" ht="15" customHeight="1">
      <c r="R148" s="555"/>
    </row>
    <row r="149" spans="18:18" s="272" customFormat="1" ht="15" customHeight="1">
      <c r="R149" s="555"/>
    </row>
    <row r="150" spans="18:18" s="272" customFormat="1" ht="15" customHeight="1">
      <c r="R150" s="555"/>
    </row>
    <row r="151" spans="18:18" s="272" customFormat="1" ht="15" customHeight="1">
      <c r="R151" s="555"/>
    </row>
    <row r="152" spans="18:18" s="272" customFormat="1" ht="15" customHeight="1">
      <c r="R152" s="555"/>
    </row>
    <row r="153" spans="18:18" s="272" customFormat="1" ht="15" customHeight="1">
      <c r="R153" s="555"/>
    </row>
    <row r="154" spans="18:18" s="272" customFormat="1" ht="15" customHeight="1">
      <c r="R154" s="555"/>
    </row>
    <row r="155" spans="18:18" s="272" customFormat="1" ht="15" customHeight="1">
      <c r="R155" s="555"/>
    </row>
    <row r="156" spans="18:18" s="272" customFormat="1" ht="15" customHeight="1">
      <c r="R156" s="555"/>
    </row>
    <row r="157" spans="18:18" s="272" customFormat="1" ht="15" customHeight="1">
      <c r="R157" s="555"/>
    </row>
    <row r="158" spans="18:18" s="272" customFormat="1" ht="15" customHeight="1">
      <c r="R158" s="555"/>
    </row>
    <row r="159" spans="18:18" s="272" customFormat="1" ht="15" customHeight="1">
      <c r="R159" s="555"/>
    </row>
    <row r="160" spans="18:18" s="272" customFormat="1" ht="15" customHeight="1">
      <c r="R160" s="555"/>
    </row>
    <row r="161" spans="18:18" s="272" customFormat="1" ht="15" customHeight="1">
      <c r="R161" s="555"/>
    </row>
    <row r="162" spans="18:18" s="272" customFormat="1" ht="15" customHeight="1">
      <c r="R162" s="555"/>
    </row>
    <row r="163" spans="18:18" s="272" customFormat="1" ht="15" customHeight="1">
      <c r="R163" s="555"/>
    </row>
    <row r="164" spans="18:18" s="272" customFormat="1" ht="15" customHeight="1">
      <c r="R164" s="555"/>
    </row>
    <row r="165" spans="18:18" s="272" customFormat="1" ht="15" customHeight="1">
      <c r="R165" s="555"/>
    </row>
    <row r="166" spans="18:18" s="272" customFormat="1" ht="15" customHeight="1">
      <c r="R166" s="555"/>
    </row>
    <row r="167" spans="18:18" s="272" customFormat="1" ht="15" customHeight="1">
      <c r="R167" s="555"/>
    </row>
    <row r="168" spans="18:18" s="272" customFormat="1" ht="15" customHeight="1">
      <c r="R168" s="555"/>
    </row>
    <row r="169" spans="18:18" s="272" customFormat="1" ht="15" customHeight="1">
      <c r="R169" s="555"/>
    </row>
    <row r="170" spans="18:18" s="272" customFormat="1" ht="15" customHeight="1">
      <c r="R170" s="555"/>
    </row>
    <row r="171" spans="18:18" s="272" customFormat="1" ht="15" customHeight="1">
      <c r="R171" s="555"/>
    </row>
    <row r="172" spans="18:18" s="272" customFormat="1" ht="15" customHeight="1">
      <c r="R172" s="555"/>
    </row>
    <row r="173" spans="18:18" s="272" customFormat="1" ht="15" customHeight="1">
      <c r="R173" s="555"/>
    </row>
    <row r="174" spans="18:18" s="272" customFormat="1" ht="15" customHeight="1">
      <c r="R174" s="555"/>
    </row>
    <row r="175" spans="18:18" s="272" customFormat="1" ht="15" customHeight="1">
      <c r="R175" s="555"/>
    </row>
    <row r="176" spans="18:18" s="272" customFormat="1" ht="15" customHeight="1">
      <c r="R176" s="555"/>
    </row>
    <row r="177" spans="18:18" s="272" customFormat="1" ht="15" customHeight="1">
      <c r="R177" s="555"/>
    </row>
    <row r="178" spans="18:18" s="272" customFormat="1" ht="15" customHeight="1">
      <c r="R178" s="555"/>
    </row>
    <row r="179" spans="18:18" s="272" customFormat="1" ht="15" customHeight="1">
      <c r="R179" s="555"/>
    </row>
    <row r="180" spans="18:18" s="272" customFormat="1" ht="15" customHeight="1">
      <c r="R180" s="555"/>
    </row>
    <row r="181" spans="18:18" s="272" customFormat="1" ht="15" customHeight="1">
      <c r="R181" s="555"/>
    </row>
    <row r="182" spans="18:18" s="272" customFormat="1" ht="15" customHeight="1">
      <c r="R182" s="555"/>
    </row>
    <row r="183" spans="18:18" s="272" customFormat="1" ht="15" customHeight="1">
      <c r="R183" s="555"/>
    </row>
    <row r="184" spans="18:18" s="272" customFormat="1" ht="15" customHeight="1">
      <c r="R184" s="555"/>
    </row>
    <row r="185" spans="18:18" s="272" customFormat="1" ht="15" customHeight="1">
      <c r="R185" s="555"/>
    </row>
    <row r="186" spans="18:18" s="272" customFormat="1" ht="15" customHeight="1">
      <c r="R186" s="555"/>
    </row>
    <row r="187" spans="18:18" s="272" customFormat="1" ht="15" customHeight="1">
      <c r="R187" s="555"/>
    </row>
    <row r="188" spans="18:18" s="272" customFormat="1" ht="15" customHeight="1">
      <c r="R188" s="555"/>
    </row>
    <row r="189" spans="18:18" s="272" customFormat="1" ht="15" customHeight="1">
      <c r="R189" s="555"/>
    </row>
    <row r="190" spans="18:18" s="272" customFormat="1" ht="15" customHeight="1">
      <c r="R190" s="555"/>
    </row>
    <row r="191" spans="18:18" s="272" customFormat="1" ht="15" customHeight="1">
      <c r="R191" s="555"/>
    </row>
    <row r="192" spans="18:18" s="272" customFormat="1" ht="15" customHeight="1">
      <c r="R192" s="555"/>
    </row>
    <row r="193" spans="18:18" s="272" customFormat="1" ht="15" customHeight="1">
      <c r="R193" s="555"/>
    </row>
    <row r="194" spans="18:18" s="272" customFormat="1" ht="15" customHeight="1">
      <c r="R194" s="555"/>
    </row>
    <row r="195" spans="18:18" s="272" customFormat="1" ht="15" customHeight="1">
      <c r="R195" s="555"/>
    </row>
    <row r="196" spans="18:18" s="272" customFormat="1" ht="15" customHeight="1">
      <c r="R196" s="555"/>
    </row>
    <row r="197" spans="18:18" s="272" customFormat="1" ht="15" customHeight="1">
      <c r="R197" s="555"/>
    </row>
    <row r="198" spans="18:18" s="272" customFormat="1" ht="15" customHeight="1">
      <c r="R198" s="555"/>
    </row>
    <row r="199" spans="18:18" s="272" customFormat="1" ht="15" customHeight="1">
      <c r="R199" s="555"/>
    </row>
    <row r="200" spans="18:18" s="272" customFormat="1" ht="15" customHeight="1">
      <c r="R200" s="555"/>
    </row>
    <row r="201" spans="18:18" s="272" customFormat="1" ht="15" customHeight="1">
      <c r="R201" s="555"/>
    </row>
    <row r="202" spans="18:18" s="272" customFormat="1" ht="15" customHeight="1">
      <c r="R202" s="555"/>
    </row>
    <row r="203" spans="18:18" s="272" customFormat="1" ht="15" customHeight="1">
      <c r="R203" s="555"/>
    </row>
    <row r="204" spans="18:18" s="272" customFormat="1" ht="15" customHeight="1">
      <c r="R204" s="555"/>
    </row>
    <row r="205" spans="18:18" s="272" customFormat="1" ht="15" customHeight="1">
      <c r="R205" s="555"/>
    </row>
    <row r="206" spans="18:18" s="272" customFormat="1" ht="15" customHeight="1">
      <c r="R206" s="555"/>
    </row>
    <row r="207" spans="18:18" s="272" customFormat="1" ht="15" customHeight="1">
      <c r="R207" s="555"/>
    </row>
    <row r="208" spans="18:18" s="272" customFormat="1" ht="15" customHeight="1">
      <c r="R208" s="555"/>
    </row>
    <row r="209" spans="18:18" s="272" customFormat="1" ht="15" customHeight="1">
      <c r="R209" s="555"/>
    </row>
    <row r="210" spans="18:18" s="272" customFormat="1" ht="15" customHeight="1">
      <c r="R210" s="555"/>
    </row>
    <row r="211" spans="18:18" s="272" customFormat="1" ht="15" customHeight="1">
      <c r="R211" s="555"/>
    </row>
    <row r="212" spans="18:18" s="272" customFormat="1" ht="15" customHeight="1">
      <c r="R212" s="555"/>
    </row>
    <row r="213" spans="18:18" s="272" customFormat="1" ht="15" customHeight="1">
      <c r="R213" s="555"/>
    </row>
    <row r="214" spans="18:18" s="272" customFormat="1" ht="15" customHeight="1">
      <c r="R214" s="555"/>
    </row>
    <row r="215" spans="18:18" s="272" customFormat="1" ht="15" customHeight="1">
      <c r="R215" s="555"/>
    </row>
    <row r="216" spans="18:18" s="272" customFormat="1" ht="15" customHeight="1">
      <c r="R216" s="555"/>
    </row>
    <row r="217" spans="18:18" s="272" customFormat="1" ht="15" customHeight="1">
      <c r="R217" s="555"/>
    </row>
    <row r="218" spans="18:18" s="272" customFormat="1" ht="15" customHeight="1">
      <c r="R218" s="555"/>
    </row>
    <row r="219" spans="18:18" s="272" customFormat="1" ht="15" customHeight="1">
      <c r="R219" s="555"/>
    </row>
    <row r="220" spans="18:18" s="272" customFormat="1" ht="15" customHeight="1">
      <c r="R220" s="555"/>
    </row>
    <row r="221" spans="18:18" s="272" customFormat="1" ht="15" customHeight="1">
      <c r="R221" s="555"/>
    </row>
    <row r="222" spans="18:18" s="272" customFormat="1" ht="15" customHeight="1">
      <c r="R222" s="555"/>
    </row>
    <row r="223" spans="18:18" s="272" customFormat="1" ht="15" customHeight="1">
      <c r="R223" s="555"/>
    </row>
    <row r="224" spans="18:18" s="272" customFormat="1" ht="15" customHeight="1">
      <c r="R224" s="555"/>
    </row>
    <row r="225" spans="18:18" s="272" customFormat="1" ht="15" customHeight="1">
      <c r="R225" s="555"/>
    </row>
    <row r="226" spans="18:18" s="272" customFormat="1" ht="15" customHeight="1">
      <c r="R226" s="555"/>
    </row>
    <row r="227" spans="18:18" s="272" customFormat="1" ht="15" customHeight="1">
      <c r="R227" s="555"/>
    </row>
    <row r="228" spans="18:18" s="272" customFormat="1" ht="15" customHeight="1">
      <c r="R228" s="555"/>
    </row>
    <row r="229" spans="18:18" s="272" customFormat="1" ht="15" customHeight="1">
      <c r="R229" s="555"/>
    </row>
    <row r="230" spans="18:18" s="272" customFormat="1" ht="15" customHeight="1">
      <c r="R230" s="555"/>
    </row>
    <row r="231" spans="18:18" s="272" customFormat="1" ht="15" customHeight="1">
      <c r="R231" s="555"/>
    </row>
    <row r="232" spans="18:18" s="272" customFormat="1" ht="15" customHeight="1">
      <c r="R232" s="555"/>
    </row>
    <row r="233" spans="18:18" s="272" customFormat="1" ht="15" customHeight="1">
      <c r="R233" s="555"/>
    </row>
    <row r="234" spans="18:18" s="272" customFormat="1" ht="15" customHeight="1">
      <c r="R234" s="555"/>
    </row>
    <row r="235" spans="18:18" s="272" customFormat="1" ht="15" customHeight="1">
      <c r="R235" s="555"/>
    </row>
    <row r="236" spans="18:18" s="272" customFormat="1" ht="15" customHeight="1">
      <c r="R236" s="555"/>
    </row>
    <row r="237" spans="18:18" s="272" customFormat="1" ht="15" customHeight="1">
      <c r="R237" s="555"/>
    </row>
    <row r="238" spans="18:18" s="272" customFormat="1" ht="15" customHeight="1">
      <c r="R238" s="555"/>
    </row>
    <row r="239" spans="18:18" s="272" customFormat="1" ht="15" customHeight="1">
      <c r="R239" s="555"/>
    </row>
    <row r="240" spans="18:18" s="272" customFormat="1" ht="15" customHeight="1">
      <c r="R240" s="555"/>
    </row>
    <row r="241" spans="18:18" s="272" customFormat="1" ht="15" customHeight="1">
      <c r="R241" s="555"/>
    </row>
    <row r="242" spans="18:18" s="272" customFormat="1" ht="15" customHeight="1">
      <c r="R242" s="555"/>
    </row>
    <row r="243" spans="18:18" s="272" customFormat="1" ht="15" customHeight="1">
      <c r="R243" s="555"/>
    </row>
    <row r="244" spans="18:18" s="272" customFormat="1" ht="15" customHeight="1">
      <c r="R244" s="555"/>
    </row>
    <row r="245" spans="18:18" s="272" customFormat="1" ht="15" customHeight="1">
      <c r="R245" s="555"/>
    </row>
    <row r="246" spans="18:18" s="272" customFormat="1" ht="15" customHeight="1">
      <c r="R246" s="555"/>
    </row>
    <row r="247" spans="18:18" s="272" customFormat="1" ht="15" customHeight="1">
      <c r="R247" s="555"/>
    </row>
    <row r="248" spans="18:18" s="272" customFormat="1" ht="15" customHeight="1">
      <c r="R248" s="555"/>
    </row>
    <row r="249" spans="18:18" s="272" customFormat="1" ht="15" customHeight="1">
      <c r="R249" s="555"/>
    </row>
    <row r="250" spans="18:18" s="272" customFormat="1" ht="15" customHeight="1">
      <c r="R250" s="555"/>
    </row>
    <row r="251" spans="18:18" s="272" customFormat="1" ht="15" customHeight="1">
      <c r="R251" s="555"/>
    </row>
  </sheetData>
  <phoneticPr fontId="53" type="noConversion"/>
  <conditionalFormatting sqref="M2:M14">
    <cfRule type="cellIs" dxfId="686" priority="1" operator="equal">
      <formula>"高資產客戶"</formula>
    </cfRule>
    <cfRule type="cellIs" dxfId="685" priority="2" operator="equal">
      <formula>"已下架"</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32">
    <tabColor theme="6" tint="0.79998168889431442"/>
    <pageSetUpPr fitToPage="1"/>
  </sheetPr>
  <dimension ref="A1:EF200"/>
  <sheetViews>
    <sheetView topLeftCell="D1" workbookViewId="0"/>
  </sheetViews>
  <sheetFormatPr defaultColWidth="8.85546875" defaultRowHeight="15.5"/>
  <cols>
    <col min="1" max="3" width="0" style="55" hidden="1" customWidth="1"/>
    <col min="4" max="4" width="2.0703125" style="55" customWidth="1"/>
    <col min="5" max="5" width="2" style="55" customWidth="1"/>
    <col min="6" max="7" width="20.28515625" style="55" customWidth="1"/>
    <col min="8" max="8" width="16.85546875" style="55" customWidth="1"/>
    <col min="9" max="9" width="2.85546875" style="55" customWidth="1"/>
    <col min="10" max="10" width="5.85546875" style="55" hidden="1" customWidth="1"/>
    <col min="11" max="12" width="0" style="55" hidden="1" customWidth="1"/>
    <col min="13" max="13" width="4" style="55" customWidth="1"/>
    <col min="14" max="14" width="2.640625" style="55" customWidth="1"/>
    <col min="15" max="15" width="1.2109375" style="55" customWidth="1"/>
    <col min="16" max="16" width="17.0703125" style="55" customWidth="1"/>
    <col min="17" max="17" width="7.0703125" style="55" customWidth="1"/>
    <col min="18" max="18" width="10.0703125" style="55" customWidth="1"/>
    <col min="19" max="19" width="10.2109375" style="55" customWidth="1"/>
    <col min="20" max="20" width="11.0703125" style="55" customWidth="1"/>
    <col min="21" max="21" width="17.0703125" style="55" customWidth="1"/>
    <col min="22" max="22" width="8.42578125" style="55" customWidth="1"/>
    <col min="23" max="23" width="4.0703125" style="55" customWidth="1"/>
    <col min="24" max="24" width="15.85546875" style="55" customWidth="1"/>
    <col min="25" max="25" width="15" style="55" customWidth="1"/>
    <col min="26" max="26" width="18.640625" style="55" customWidth="1"/>
    <col min="27" max="42" width="4.640625" style="55" customWidth="1"/>
    <col min="43" max="46" width="4.640625" style="506" customWidth="1"/>
    <col min="47" max="52" width="4.640625" style="55" customWidth="1"/>
    <col min="53" max="53" width="1.85546875" style="55" customWidth="1"/>
    <col min="54" max="55" width="8.85546875" style="169"/>
    <col min="56" max="59" width="0" style="169" hidden="1" customWidth="1"/>
    <col min="60" max="63" width="8.85546875" style="55" hidden="1" customWidth="1"/>
    <col min="64" max="64" width="0" style="55" hidden="1" customWidth="1"/>
    <col min="65" max="66" width="12.2109375" style="505" bestFit="1" customWidth="1"/>
    <col min="67" max="73" width="8.85546875" style="55"/>
    <col min="74" max="82" width="0" style="55" hidden="1" customWidth="1"/>
    <col min="83" max="135" width="8.85546875" style="55"/>
    <col min="136" max="136" width="8.85546875" style="55" customWidth="1"/>
    <col min="137" max="16384" width="8.85546875" style="55"/>
  </cols>
  <sheetData>
    <row r="1" spans="4:66" ht="31.75" customHeight="1">
      <c r="D1" s="505"/>
      <c r="E1" s="505"/>
      <c r="F1" s="505"/>
      <c r="G1" s="505"/>
      <c r="H1" s="505"/>
      <c r="I1" s="505"/>
      <c r="J1" s="505"/>
      <c r="P1" s="723"/>
      <c r="Q1" s="723"/>
      <c r="R1" s="723"/>
      <c r="S1" s="723"/>
      <c r="T1" s="723"/>
      <c r="U1" s="723"/>
      <c r="V1" s="723"/>
      <c r="W1" s="723"/>
      <c r="X1" s="723"/>
      <c r="Y1" s="723"/>
      <c r="Z1" s="723"/>
      <c r="AA1" s="723"/>
      <c r="AB1" s="723"/>
      <c r="AC1" s="723"/>
      <c r="AD1" s="723"/>
      <c r="AE1" s="723"/>
      <c r="AF1" s="723"/>
      <c r="AG1" s="723"/>
      <c r="AH1" s="723"/>
      <c r="AI1" s="723"/>
      <c r="AJ1" s="723"/>
      <c r="AK1" s="723"/>
      <c r="AL1" s="723"/>
      <c r="AM1" s="723"/>
      <c r="AN1" s="723"/>
      <c r="AO1" s="723"/>
      <c r="AP1" s="723"/>
      <c r="AQ1" s="723"/>
      <c r="AR1" s="723"/>
      <c r="AS1" s="723"/>
      <c r="AT1" s="723"/>
      <c r="AU1" s="723"/>
      <c r="AV1" s="723"/>
      <c r="AW1" s="723"/>
      <c r="AX1" s="723"/>
      <c r="AY1" s="723"/>
      <c r="AZ1" s="723"/>
    </row>
    <row r="2" spans="4:66" ht="41.15" customHeight="1">
      <c r="D2" s="505"/>
      <c r="E2" s="505"/>
      <c r="F2" s="505"/>
      <c r="G2" s="505"/>
      <c r="H2" s="505"/>
      <c r="I2" s="505"/>
      <c r="J2" s="505"/>
      <c r="O2" s="724"/>
      <c r="P2" s="2098" t="str">
        <f>IF(MF=2,"海 外 債 券 投 資 商 品 庫 存 專 區 (精 算 版)","海 外 債 券 投 資 商 品 庫 存 專 區")</f>
        <v>海 外 債 券 投 資 商 品 庫 存 專 區</v>
      </c>
      <c r="Q2" s="2098"/>
      <c r="R2" s="2098"/>
      <c r="S2" s="2098"/>
      <c r="T2" s="2098"/>
      <c r="U2" s="2098"/>
      <c r="V2" s="2098"/>
      <c r="W2" s="2098"/>
      <c r="X2" s="2098"/>
      <c r="Y2" s="2098"/>
      <c r="Z2" s="2098"/>
      <c r="AA2" s="2098"/>
      <c r="AB2" s="2098"/>
      <c r="AC2" s="2098"/>
      <c r="AD2" s="2098"/>
      <c r="AE2" s="2098"/>
      <c r="AF2" s="2098"/>
      <c r="AG2" s="2098"/>
      <c r="AH2" s="2098"/>
      <c r="AI2" s="2098"/>
      <c r="AJ2" s="2098"/>
      <c r="AK2" s="2098"/>
      <c r="AL2" s="2098"/>
      <c r="AM2" s="2098"/>
      <c r="AN2" s="2098"/>
      <c r="AO2" s="2098"/>
      <c r="AP2" s="2098"/>
      <c r="AQ2" s="2098"/>
      <c r="AR2" s="2098"/>
      <c r="AS2" s="2098"/>
      <c r="AT2" s="2098"/>
      <c r="AU2" s="2098"/>
      <c r="AV2" s="2098"/>
      <c r="AW2" s="2098"/>
      <c r="AX2" s="2098"/>
      <c r="AY2" s="2098"/>
      <c r="AZ2" s="2098"/>
    </row>
    <row r="3" spans="4:66" ht="8.5" customHeight="1">
      <c r="D3" s="505"/>
      <c r="E3" s="505"/>
      <c r="F3" s="505"/>
      <c r="G3" s="505"/>
      <c r="H3" s="505"/>
      <c r="I3" s="505"/>
      <c r="J3" s="505"/>
      <c r="O3" s="724"/>
      <c r="P3" s="725"/>
      <c r="Q3" s="725"/>
      <c r="R3" s="725"/>
      <c r="S3" s="725"/>
      <c r="T3" s="725"/>
      <c r="U3" s="725"/>
      <c r="V3" s="725"/>
      <c r="W3" s="725"/>
      <c r="X3" s="725"/>
      <c r="Y3" s="725"/>
      <c r="Z3" s="725"/>
      <c r="AA3" s="725"/>
      <c r="AB3" s="725"/>
      <c r="AC3" s="725"/>
      <c r="AD3" s="725"/>
      <c r="AE3" s="725"/>
      <c r="AF3" s="725"/>
      <c r="AG3" s="725"/>
      <c r="AH3" s="725"/>
      <c r="AI3" s="725"/>
      <c r="AJ3" s="725"/>
      <c r="AK3" s="725"/>
      <c r="AL3" s="725"/>
      <c r="AM3" s="725"/>
      <c r="AN3" s="726"/>
      <c r="AO3" s="726"/>
      <c r="AP3" s="726"/>
      <c r="AQ3" s="726"/>
      <c r="AR3" s="726"/>
      <c r="AS3" s="726"/>
      <c r="AT3" s="726"/>
    </row>
    <row r="4" spans="4:66" ht="24" customHeight="1">
      <c r="D4" s="505"/>
      <c r="E4" s="505"/>
      <c r="F4" s="505"/>
      <c r="G4" s="505"/>
      <c r="H4" s="505"/>
      <c r="I4" s="505"/>
      <c r="J4" s="505"/>
      <c r="N4" s="2087" t="s">
        <v>3762</v>
      </c>
      <c r="P4" s="2099" t="s">
        <v>2073</v>
      </c>
      <c r="Q4" s="2099"/>
      <c r="R4" s="2099"/>
      <c r="S4" s="2099"/>
      <c r="T4" s="2099"/>
      <c r="U4" s="2099"/>
      <c r="V4" s="2099"/>
      <c r="W4" s="2099"/>
      <c r="X4" s="2099"/>
      <c r="Y4" s="2099"/>
      <c r="Z4" s="2099"/>
      <c r="AA4" s="2099"/>
      <c r="AB4" s="2099"/>
      <c r="AC4" s="2099"/>
      <c r="AD4" s="2099"/>
      <c r="AE4" s="2099"/>
      <c r="AF4" s="2099"/>
      <c r="AG4" s="2099"/>
      <c r="AH4" s="2099"/>
      <c r="AI4" s="2099"/>
      <c r="AJ4" s="2099"/>
      <c r="AK4" s="2099"/>
      <c r="AL4" s="2099"/>
      <c r="AM4" s="2099"/>
      <c r="AN4" s="2099"/>
      <c r="AO4" s="2099"/>
      <c r="AP4" s="2099"/>
      <c r="AQ4" s="2099"/>
      <c r="AR4" s="2099"/>
      <c r="AS4" s="2099"/>
      <c r="AT4" s="2099"/>
      <c r="AU4" s="2100" t="s">
        <v>122</v>
      </c>
      <c r="AV4" s="2100"/>
      <c r="AW4" s="2100"/>
      <c r="AX4" s="2110">
        <f>投資商品現金流試算表!N4</f>
        <v>45474</v>
      </c>
      <c r="AY4" s="2110"/>
      <c r="AZ4" s="2110"/>
    </row>
    <row r="5" spans="4:66" ht="30.75" customHeight="1">
      <c r="D5" s="505"/>
      <c r="E5" s="505"/>
      <c r="F5" s="2094"/>
      <c r="G5" s="2094"/>
      <c r="H5" s="2094"/>
      <c r="I5" s="673"/>
      <c r="J5" s="505"/>
      <c r="N5" s="2088"/>
      <c r="P5" s="2101" t="s">
        <v>542</v>
      </c>
      <c r="Q5" s="2094" t="s">
        <v>2261</v>
      </c>
      <c r="R5" s="2094"/>
      <c r="S5" s="2094"/>
      <c r="T5" s="2094"/>
      <c r="U5" s="2094"/>
      <c r="V5" s="2113" t="s">
        <v>2262</v>
      </c>
      <c r="W5" s="2114"/>
      <c r="X5" s="2103" t="s">
        <v>2263</v>
      </c>
      <c r="Y5" s="2105" t="s">
        <v>1939</v>
      </c>
      <c r="Z5" s="2103" t="s">
        <v>2140</v>
      </c>
      <c r="AA5" s="2106" t="s">
        <v>2045</v>
      </c>
      <c r="AB5" s="2106"/>
      <c r="AC5" s="2106"/>
      <c r="AD5" s="2106"/>
      <c r="AE5" s="2105" t="s">
        <v>2225</v>
      </c>
      <c r="AF5" s="2105"/>
      <c r="AG5" s="2105"/>
      <c r="AH5" s="2105"/>
      <c r="AI5" s="2105"/>
      <c r="AJ5" s="2105"/>
      <c r="AK5" s="2105"/>
      <c r="AL5" s="2105"/>
      <c r="AM5" s="2105"/>
      <c r="AN5" s="2105"/>
      <c r="AO5" s="2105"/>
      <c r="AP5" s="2105"/>
      <c r="AQ5" s="2105" t="s">
        <v>2160</v>
      </c>
      <c r="AR5" s="2105"/>
      <c r="AS5" s="2105"/>
      <c r="AT5" s="2103" t="s">
        <v>2259</v>
      </c>
      <c r="AU5" s="2103"/>
      <c r="AV5" s="2103"/>
      <c r="AW5" s="2103"/>
      <c r="AX5" s="2103"/>
      <c r="AY5" s="2103"/>
      <c r="AZ5" s="2112"/>
    </row>
    <row r="6" spans="4:66" ht="30.75" customHeight="1">
      <c r="D6" s="505"/>
      <c r="E6" s="505"/>
      <c r="F6" s="1424"/>
      <c r="G6" s="653"/>
      <c r="H6" s="683"/>
      <c r="I6" s="674"/>
      <c r="J6" s="505"/>
      <c r="N6" s="2088"/>
      <c r="P6" s="2102"/>
      <c r="Q6" s="2094"/>
      <c r="R6" s="2094"/>
      <c r="S6" s="2094"/>
      <c r="T6" s="2094"/>
      <c r="U6" s="2094"/>
      <c r="V6" s="2113"/>
      <c r="W6" s="2114"/>
      <c r="X6" s="2104"/>
      <c r="Y6" s="2104"/>
      <c r="Z6" s="2104"/>
      <c r="AA6" s="2107" t="s">
        <v>2046</v>
      </c>
      <c r="AB6" s="2107"/>
      <c r="AC6" s="2107"/>
      <c r="AD6" s="2107"/>
      <c r="AE6" s="2111" t="s">
        <v>2156</v>
      </c>
      <c r="AF6" s="2111"/>
      <c r="AG6" s="2111"/>
      <c r="AH6" s="2111"/>
      <c r="AI6" s="2111" t="s">
        <v>2157</v>
      </c>
      <c r="AJ6" s="2111"/>
      <c r="AK6" s="2111"/>
      <c r="AL6" s="2111"/>
      <c r="AM6" s="2111" t="s">
        <v>2112</v>
      </c>
      <c r="AN6" s="2111"/>
      <c r="AO6" s="2111"/>
      <c r="AP6" s="2111"/>
      <c r="AQ6" s="2111"/>
      <c r="AR6" s="2111"/>
      <c r="AS6" s="2111"/>
      <c r="AT6" s="2108" t="s">
        <v>2265</v>
      </c>
      <c r="AU6" s="2108"/>
      <c r="AV6" s="2108" t="s">
        <v>2132</v>
      </c>
      <c r="AW6" s="2108"/>
      <c r="AX6" s="2108"/>
      <c r="AY6" s="2108" t="s">
        <v>2266</v>
      </c>
      <c r="AZ6" s="2109"/>
      <c r="BM6" s="609" t="s">
        <v>4418</v>
      </c>
      <c r="BN6" s="609" t="s">
        <v>4419</v>
      </c>
    </row>
    <row r="7" spans="4:66" ht="31" customHeight="1">
      <c r="D7" s="606"/>
      <c r="E7" s="606"/>
      <c r="F7" s="1425"/>
      <c r="G7" s="679"/>
      <c r="H7" s="680"/>
      <c r="I7" s="675"/>
      <c r="J7" s="505"/>
      <c r="N7" s="1049" t="str">
        <f ca="1">IF(OR(P7="",換券單檔!AG2=0),"","★")</f>
        <v>★</v>
      </c>
      <c r="P7" s="598" t="str">
        <f>IF(庫存管理!P7="","",庫存管理!P7)</f>
        <v>XH430</v>
      </c>
      <c r="Q7" s="1990" t="str">
        <f ca="1">IF(開關=TRUE,IFERROR(VLOOKUP(P7,bond!B:C,2,FALSE),""),"")</f>
        <v>蘋果公司美元配息債券 4.85% 2053/5/10</v>
      </c>
      <c r="R7" s="1990"/>
      <c r="S7" s="1990"/>
      <c r="T7" s="1990"/>
      <c r="U7" s="1990"/>
      <c r="V7" s="2092" t="str">
        <f ca="1">IF(開關=TRUE,庫存管理[[#This Row],[幣別]],"")</f>
        <v>USD</v>
      </c>
      <c r="W7" s="2093"/>
      <c r="X7" s="647">
        <f>IF(P7="","",庫存管理!X7)</f>
        <v>20240101</v>
      </c>
      <c r="Y7" s="597">
        <f>IF(P7="","",庫存管理!Y7)</f>
        <v>100000</v>
      </c>
      <c r="Z7" s="648">
        <f>IF(P7="","",庫存管理!Z7)</f>
        <v>98000</v>
      </c>
      <c r="AA7" s="2089">
        <f ca="1">IF(OR(P7="",X7=""),"",IFERROR(庫存管理[[#This Row],[部位現值(含前手息)]],""))</f>
        <v>96700.6</v>
      </c>
      <c r="AB7" s="2090"/>
      <c r="AC7" s="2090"/>
      <c r="AD7" s="2091"/>
      <c r="AE7" s="2040">
        <f ca="1">IF(OR(P7="",X7="",開關=FALSE),"",IF(MF=2,IFERROR(庫存管理[[#This Row],[累計配息]],""),IFERROR(庫存管理[[#This Row],[已實現配息(原幣)]],"")))</f>
        <v>2424.9999999999995</v>
      </c>
      <c r="AF7" s="2041"/>
      <c r="AG7" s="2041"/>
      <c r="AH7" s="2042"/>
      <c r="AI7" s="2095">
        <f ca="1">IF(OR(P7="",X7=""),"",IFERROR(庫存管理[[#This Row],[資本利損]],""))</f>
        <v>-1299.3999999999942</v>
      </c>
      <c r="AJ7" s="2096"/>
      <c r="AK7" s="2096"/>
      <c r="AL7" s="2097"/>
      <c r="AM7" s="2071">
        <f ca="1">IF(OR(P7="",X7=""),"",IFERROR(庫存管理[[#This Row],[合計收益]],""))</f>
        <v>1125.6000000000054</v>
      </c>
      <c r="AN7" s="2041"/>
      <c r="AO7" s="2041"/>
      <c r="AP7" s="2072"/>
      <c r="AQ7" s="2078">
        <f ca="1">IF(OR(P7="",X7=""),"",庫存管理[[#This Row],[總報酬]])</f>
        <v>1.148571428571434E-2</v>
      </c>
      <c r="AR7" s="2076"/>
      <c r="AS7" s="2079"/>
      <c r="AT7" s="2076">
        <f ca="1">IF(OR(P7="",X7=""),"",IFERROR(庫存管理[[#This Row],[投入佔比]],0))</f>
        <v>0.29518072289156627</v>
      </c>
      <c r="AU7" s="2076"/>
      <c r="AV7" s="2073">
        <f t="shared" ref="AV7:AV18" ca="1" si="0">IF(OR(P7="",X7=""),0,ROUND(AY7,3)-ROUND(AT7,3))</f>
        <v>-5.0000000000000044E-3</v>
      </c>
      <c r="AW7" s="2073"/>
      <c r="AX7" s="2073"/>
      <c r="AY7" s="2076">
        <f ca="1">IF(OR(P7="",X7=""),"",IFERROR(庫存管理[[#This Row],[現值佔比]],""))</f>
        <v>0.289971515797952</v>
      </c>
      <c r="AZ7" s="2077"/>
      <c r="BA7" s="601"/>
      <c r="BM7" s="505" t="b">
        <f ca="1">庫存管理!BM7</f>
        <v>0</v>
      </c>
      <c r="BN7" s="505" t="b">
        <f ca="1">庫存管理!BN7</f>
        <v>0</v>
      </c>
    </row>
    <row r="8" spans="4:66" ht="31" customHeight="1">
      <c r="D8" s="606"/>
      <c r="E8" s="606"/>
      <c r="F8" s="1425"/>
      <c r="G8" s="679"/>
      <c r="H8" s="680"/>
      <c r="I8" s="675"/>
      <c r="J8" s="505"/>
      <c r="N8" s="1049" t="str">
        <f ca="1">IF(OR(P8="",換券單檔!AG3=0),"","★")</f>
        <v/>
      </c>
      <c r="P8" s="598" t="str">
        <f>IF(庫存管理!P8="","",庫存管理!P8)</f>
        <v>XG300</v>
      </c>
      <c r="Q8" s="1990" t="str">
        <f ca="1">IF(開關=TRUE,IFERROR(VLOOKUP(P8,bond!B:C,2,FALSE),""),"")</f>
        <v>Alphabet公司美元配息債券 2.25% 2060/8/15</v>
      </c>
      <c r="R8" s="1990"/>
      <c r="S8" s="1990"/>
      <c r="T8" s="1990"/>
      <c r="U8" s="1990"/>
      <c r="V8" s="2092" t="str">
        <f ca="1">IF(開關=TRUE,庫存管理[[#This Row],[幣別]],"")</f>
        <v>USD</v>
      </c>
      <c r="W8" s="2093"/>
      <c r="X8" s="647">
        <f>IF(P8="","",庫存管理!X8)</f>
        <v>20240101</v>
      </c>
      <c r="Y8" s="597">
        <f>IF(P8="","",庫存管理!Y8)</f>
        <v>100000</v>
      </c>
      <c r="Z8" s="648">
        <f>IF(P8="","",庫存管理!Z8)</f>
        <v>58000</v>
      </c>
      <c r="AA8" s="2089">
        <f ca="1">IF(OR(P8="",X8=""),"",IFERROR(庫存管理[[#This Row],[部位現值(含前手息)]],""))</f>
        <v>55316.3</v>
      </c>
      <c r="AB8" s="2090"/>
      <c r="AC8" s="2090"/>
      <c r="AD8" s="2091"/>
      <c r="AE8" s="2040">
        <f ca="1">IF(OR(P8="",X8="",開關=FALSE),"",IF(MF=2,IFERROR(庫存管理[[#This Row],[累計配息]],""),IFERROR(庫存管理[[#This Row],[已實現配息(原幣)]],"")))</f>
        <v>1125</v>
      </c>
      <c r="AF8" s="2041"/>
      <c r="AG8" s="2041"/>
      <c r="AH8" s="2042"/>
      <c r="AI8" s="2054">
        <f ca="1">IF(OR(P8="",X8=""),"",IFERROR(庫存管理[[#This Row],[資本利損]],""))</f>
        <v>-2683.6999999999971</v>
      </c>
      <c r="AJ8" s="2055"/>
      <c r="AK8" s="2055"/>
      <c r="AL8" s="2056"/>
      <c r="AM8" s="2071">
        <f ca="1">IF(OR(P8="",X8=""),"",IFERROR(庫存管理[[#This Row],[合計收益]],""))</f>
        <v>-1558.6999999999971</v>
      </c>
      <c r="AN8" s="2041"/>
      <c r="AO8" s="2041"/>
      <c r="AP8" s="2072"/>
      <c r="AQ8" s="2078">
        <f ca="1">IF(OR(P8="",X8=""),"",庫存管理[[#This Row],[總報酬]])</f>
        <v>-2.6874137931034433E-2</v>
      </c>
      <c r="AR8" s="2076"/>
      <c r="AS8" s="2079"/>
      <c r="AT8" s="2076">
        <f ca="1">IF(OR(P8="",X8=""),"",IFERROR(庫存管理[[#This Row],[投入佔比]],0))</f>
        <v>0.1746987951807229</v>
      </c>
      <c r="AU8" s="2076"/>
      <c r="AV8" s="2073">
        <f t="shared" ca="1" si="0"/>
        <v>-8.9999999999999802E-3</v>
      </c>
      <c r="AW8" s="2073"/>
      <c r="AX8" s="2073"/>
      <c r="AY8" s="2076">
        <f ca="1">IF(OR(P8="",X8=""),"",IFERROR(庫存管理[[#This Row],[現值佔比]],""))</f>
        <v>0.16587437264437091</v>
      </c>
      <c r="AZ8" s="2077"/>
      <c r="BA8" s="601"/>
      <c r="BM8" s="505" t="b">
        <f ca="1">庫存管理!BM8</f>
        <v>0</v>
      </c>
      <c r="BN8" s="505" t="b">
        <f ca="1">庫存管理!BN8</f>
        <v>0</v>
      </c>
    </row>
    <row r="9" spans="4:66" ht="31" customHeight="1">
      <c r="D9" s="606"/>
      <c r="E9" s="606"/>
      <c r="F9" s="1425"/>
      <c r="G9" s="679"/>
      <c r="H9" s="680"/>
      <c r="I9" s="675"/>
      <c r="J9" s="505"/>
      <c r="N9" s="1049" t="str">
        <f ca="1">IF(OR(P9="",換券單檔!AG4=0),"","★")</f>
        <v>★</v>
      </c>
      <c r="P9" s="598" t="str">
        <f>IF(庫存管理!P9="","",庫存管理!P9)</f>
        <v>XH750</v>
      </c>
      <c r="Q9" s="1990" t="str">
        <f ca="1">IF(開關=TRUE,IFERROR(VLOOKUP(P9,bond!B:C,2,FALSE),""),"")</f>
        <v>禮來公司美元配息債券 4.875% 2053/2/27</v>
      </c>
      <c r="R9" s="1990"/>
      <c r="S9" s="1990"/>
      <c r="T9" s="1990"/>
      <c r="U9" s="1990"/>
      <c r="V9" s="2092" t="str">
        <f ca="1">IF(開關=TRUE,庫存管理[[#This Row],[幣別]],"")</f>
        <v>USD</v>
      </c>
      <c r="W9" s="2093"/>
      <c r="X9" s="647">
        <f>IF(P9="","",庫存管理!X9)</f>
        <v>20240101</v>
      </c>
      <c r="Y9" s="597">
        <f>IF(P9="","",庫存管理!Y9)</f>
        <v>100000</v>
      </c>
      <c r="Z9" s="648">
        <f>IF(P9="","",庫存管理!Z9)</f>
        <v>88000</v>
      </c>
      <c r="AA9" s="2089">
        <f ca="1">IF(OR(P9="",X9=""),"",IFERROR(庫存管理[[#This Row],[部位現值(含前手息)]],""))</f>
        <v>94562.7</v>
      </c>
      <c r="AB9" s="2090"/>
      <c r="AC9" s="2090"/>
      <c r="AD9" s="2091"/>
      <c r="AE9" s="2040">
        <f ca="1">IF(OR(P9="",X9="",開關=FALSE),"",IF(MF=2,IFERROR(庫存管理[[#This Row],[累計配息]],""),IFERROR(庫存管理[[#This Row],[已實現配息(原幣)]],"")))</f>
        <v>2437.5</v>
      </c>
      <c r="AF9" s="2041"/>
      <c r="AG9" s="2041"/>
      <c r="AH9" s="2042"/>
      <c r="AI9" s="2054">
        <f ca="1">IF(OR(P9="",X9=""),"",IFERROR(庫存管理[[#This Row],[資本利損]],""))</f>
        <v>6562.6999999999971</v>
      </c>
      <c r="AJ9" s="2055"/>
      <c r="AK9" s="2055"/>
      <c r="AL9" s="2056"/>
      <c r="AM9" s="2071">
        <f ca="1">IF(OR(P9="",X9=""),"",IFERROR(庫存管理[[#This Row],[合計收益]],""))</f>
        <v>9000.1999999999971</v>
      </c>
      <c r="AN9" s="2041"/>
      <c r="AO9" s="2041"/>
      <c r="AP9" s="2072"/>
      <c r="AQ9" s="2078">
        <f ca="1">IF(OR(P9="",X9=""),"",庫存管理[[#This Row],[總報酬]])</f>
        <v>0.10227499999999996</v>
      </c>
      <c r="AR9" s="2076"/>
      <c r="AS9" s="2079"/>
      <c r="AT9" s="2076">
        <f ca="1">IF(OR(P9="",X9=""),"",IFERROR(庫存管理[[#This Row],[投入佔比]],0))</f>
        <v>0.26506024096385544</v>
      </c>
      <c r="AU9" s="2076"/>
      <c r="AV9" s="2073">
        <f t="shared" ca="1" si="0"/>
        <v>1.8999999999999961E-2</v>
      </c>
      <c r="AW9" s="2073"/>
      <c r="AX9" s="2073"/>
      <c r="AY9" s="2076">
        <f ca="1">IF(OR(P9="",X9=""),"",IFERROR(庫存管理[[#This Row],[現值佔比]],""))</f>
        <v>0.28356069617920665</v>
      </c>
      <c r="AZ9" s="2077"/>
      <c r="BA9" s="601"/>
      <c r="BM9" s="505" t="b">
        <f ca="1">庫存管理!BM9</f>
        <v>0</v>
      </c>
      <c r="BN9" s="505" t="b">
        <f ca="1">庫存管理!BN9</f>
        <v>0</v>
      </c>
    </row>
    <row r="10" spans="4:66" ht="31" customHeight="1">
      <c r="D10" s="606"/>
      <c r="E10" s="606"/>
      <c r="F10" s="1425"/>
      <c r="G10" s="679"/>
      <c r="H10" s="680"/>
      <c r="I10" s="675"/>
      <c r="J10" s="505"/>
      <c r="N10" s="1049" t="str">
        <f ca="1">IF(OR(P10="",換券單檔!AG5=0),"","★")</f>
        <v>★</v>
      </c>
      <c r="P10" s="598" t="str">
        <f>IF(庫存管理!P10="","",庫存管理!P10)</f>
        <v>XH040</v>
      </c>
      <c r="Q10" s="1990" t="str">
        <f ca="1">IF(開關=TRUE,IFERROR(VLOOKUP(P10,bond!B:C,2,FALSE),""),"")</f>
        <v>META平台公司美元配息債券 4.45% 2052/8/15</v>
      </c>
      <c r="R10" s="1990"/>
      <c r="S10" s="1990"/>
      <c r="T10" s="1990"/>
      <c r="U10" s="1990"/>
      <c r="V10" s="2092" t="str">
        <f ca="1">IF(開關=TRUE,庫存管理[[#This Row],[幣別]],"")</f>
        <v>USD</v>
      </c>
      <c r="W10" s="2093"/>
      <c r="X10" s="647">
        <f>IF(P10="","",庫存管理!X10)</f>
        <v>20240101</v>
      </c>
      <c r="Y10" s="597">
        <f>IF(P10="","",庫存管理!Y10)</f>
        <v>100000</v>
      </c>
      <c r="Z10" s="648">
        <f>IF(P10="","",庫存管理!Z10)</f>
        <v>88000</v>
      </c>
      <c r="AA10" s="2089">
        <f ca="1">IF(OR(P10="",X10=""),"",IFERROR(庫存管理[[#This Row],[部位現值(含前手息)]],""))</f>
        <v>86903.5</v>
      </c>
      <c r="AB10" s="2090"/>
      <c r="AC10" s="2090"/>
      <c r="AD10" s="2091"/>
      <c r="AE10" s="2040">
        <f ca="1">IF(OR(P10="",X10="",開關=FALSE),"",IF(MF=2,IFERROR(庫存管理[[#This Row],[累計配息]],""),IFERROR(庫存管理[[#This Row],[已實現配息(原幣)]],"")))</f>
        <v>2225.0000000000005</v>
      </c>
      <c r="AF10" s="2041"/>
      <c r="AG10" s="2041"/>
      <c r="AH10" s="2042"/>
      <c r="AI10" s="2054">
        <f ca="1">IF(OR(P10="",X10=""),"",IFERROR(庫存管理[[#This Row],[資本利損]],""))</f>
        <v>-1096.5</v>
      </c>
      <c r="AJ10" s="2055"/>
      <c r="AK10" s="2055"/>
      <c r="AL10" s="2056"/>
      <c r="AM10" s="2071">
        <f ca="1">IF(OR(P10="",X10=""),"",IFERROR(庫存管理[[#This Row],[合計收益]],""))</f>
        <v>1128.5000000000005</v>
      </c>
      <c r="AN10" s="2041"/>
      <c r="AO10" s="2041"/>
      <c r="AP10" s="2072"/>
      <c r="AQ10" s="2078">
        <f ca="1">IF(OR(P10="",X10=""),"",庫存管理[[#This Row],[總報酬]])</f>
        <v>1.2823863636363642E-2</v>
      </c>
      <c r="AR10" s="2076"/>
      <c r="AS10" s="2079"/>
      <c r="AT10" s="2076">
        <f ca="1">IF(OR(P10="",X10=""),"",IFERROR(庫存管理[[#This Row],[投入佔比]],0))</f>
        <v>0.26506024096385544</v>
      </c>
      <c r="AU10" s="2076"/>
      <c r="AV10" s="2073">
        <f t="shared" ca="1" si="0"/>
        <v>-4.0000000000000036E-3</v>
      </c>
      <c r="AW10" s="2073"/>
      <c r="AX10" s="2073"/>
      <c r="AY10" s="2076">
        <f ca="1">IF(OR(P10="",X10=""),"",IFERROR(庫存管理[[#This Row],[現值佔比]],""))</f>
        <v>0.26059341537847047</v>
      </c>
      <c r="AZ10" s="2077"/>
      <c r="BA10" s="601"/>
      <c r="BM10" s="505" t="b">
        <f ca="1">庫存管理!BM10</f>
        <v>0</v>
      </c>
      <c r="BN10" s="505" t="b">
        <f ca="1">庫存管理!BN10</f>
        <v>0</v>
      </c>
    </row>
    <row r="11" spans="4:66" ht="31" customHeight="1">
      <c r="D11" s="606"/>
      <c r="E11" s="606"/>
      <c r="F11" s="1425"/>
      <c r="G11" s="679"/>
      <c r="H11" s="680"/>
      <c r="I11" s="675"/>
      <c r="J11" s="505"/>
      <c r="N11" s="1049" t="str">
        <f ca="1">IF(OR(P11="",換券單檔!AG6=0),"","★")</f>
        <v/>
      </c>
      <c r="P11" s="598" t="str">
        <f>IF(庫存管理!P11="","",庫存管理!P11)</f>
        <v/>
      </c>
      <c r="Q11" s="1990" t="str">
        <f ca="1">IF(開關=TRUE,IFERROR(VLOOKUP(P11,bond!B:C,2,FALSE),""),"")</f>
        <v/>
      </c>
      <c r="R11" s="1990"/>
      <c r="S11" s="1990"/>
      <c r="T11" s="1990"/>
      <c r="U11" s="1990"/>
      <c r="V11" s="2092" t="str">
        <f ca="1">IF(開關=TRUE,庫存管理[[#This Row],[幣別]],"")</f>
        <v/>
      </c>
      <c r="W11" s="2093"/>
      <c r="X11" s="647" t="str">
        <f>IF(P11="","",庫存管理!X11)</f>
        <v/>
      </c>
      <c r="Y11" s="597" t="str">
        <f>IF(P11="","",庫存管理!Y11)</f>
        <v/>
      </c>
      <c r="Z11" s="648" t="str">
        <f>IF(P11="","",庫存管理!Z11)</f>
        <v/>
      </c>
      <c r="AA11" s="2089" t="str">
        <f>IF(OR(P11="",X11=""),"",IFERROR(庫存管理[[#This Row],[部位現值(含前手息)]],""))</f>
        <v/>
      </c>
      <c r="AB11" s="2090"/>
      <c r="AC11" s="2090"/>
      <c r="AD11" s="2091"/>
      <c r="AE11" s="2040" t="str">
        <f ca="1">IF(OR(P11="",X11="",開關=FALSE),"",IF(MF=2,IFERROR(庫存管理[[#This Row],[累計配息]],""),IFERROR(庫存管理[[#This Row],[已實現配息(原幣)]],"")))</f>
        <v/>
      </c>
      <c r="AF11" s="2041"/>
      <c r="AG11" s="2041"/>
      <c r="AH11" s="2042"/>
      <c r="AI11" s="2054" t="str">
        <f>IF(OR(P11="",X11=""),"",IFERROR(庫存管理[[#This Row],[資本利損]],""))</f>
        <v/>
      </c>
      <c r="AJ11" s="2055"/>
      <c r="AK11" s="2055"/>
      <c r="AL11" s="2056"/>
      <c r="AM11" s="2071" t="str">
        <f>IF(OR(P11="",X11=""),"",IFERROR(庫存管理[[#This Row],[合計收益]],""))</f>
        <v/>
      </c>
      <c r="AN11" s="2041"/>
      <c r="AO11" s="2041"/>
      <c r="AP11" s="2072"/>
      <c r="AQ11" s="2078" t="str">
        <f>IF(OR(P11="",X11=""),"",庫存管理[[#This Row],[總報酬]])</f>
        <v/>
      </c>
      <c r="AR11" s="2076"/>
      <c r="AS11" s="2079"/>
      <c r="AT11" s="2076" t="str">
        <f>IF(OR(P11="",X11=""),"",IFERROR(庫存管理[[#This Row],[投入佔比]],0))</f>
        <v/>
      </c>
      <c r="AU11" s="2076"/>
      <c r="AV11" s="2073">
        <f t="shared" si="0"/>
        <v>0</v>
      </c>
      <c r="AW11" s="2073"/>
      <c r="AX11" s="2073"/>
      <c r="AY11" s="2076" t="str">
        <f>IF(OR(P11="",X11=""),"",IFERROR(庫存管理[[#This Row],[現值佔比]],""))</f>
        <v/>
      </c>
      <c r="AZ11" s="2077"/>
      <c r="BA11" s="601"/>
      <c r="BM11" s="505" t="b">
        <f>庫存管理!BM11</f>
        <v>0</v>
      </c>
      <c r="BN11" s="505" t="e">
        <f ca="1">庫存管理!BN11</f>
        <v>#N/A</v>
      </c>
    </row>
    <row r="12" spans="4:66" ht="31" customHeight="1">
      <c r="D12" s="606"/>
      <c r="E12" s="606"/>
      <c r="F12" s="1425"/>
      <c r="G12" s="679"/>
      <c r="H12" s="680"/>
      <c r="I12" s="675"/>
      <c r="J12" s="505"/>
      <c r="N12" s="1049" t="str">
        <f ca="1">IF(OR(P12="",換券單檔!AG7=0),"","★")</f>
        <v/>
      </c>
      <c r="P12" s="598" t="str">
        <f>IF(庫存管理!P12="","",庫存管理!P12)</f>
        <v/>
      </c>
      <c r="Q12" s="1990" t="str">
        <f ca="1">IF(開關=TRUE,IFERROR(VLOOKUP(P12,bond!B:C,2,FALSE),""),"")</f>
        <v/>
      </c>
      <c r="R12" s="1990"/>
      <c r="S12" s="1990"/>
      <c r="T12" s="1990"/>
      <c r="U12" s="1990"/>
      <c r="V12" s="2092" t="str">
        <f ca="1">IF(開關=TRUE,庫存管理[[#This Row],[幣別]],"")</f>
        <v/>
      </c>
      <c r="W12" s="2093"/>
      <c r="X12" s="647" t="str">
        <f>IF(P12="","",庫存管理!X12)</f>
        <v/>
      </c>
      <c r="Y12" s="597" t="str">
        <f>IF(P12="","",庫存管理!Y12)</f>
        <v/>
      </c>
      <c r="Z12" s="648" t="str">
        <f>IF(P12="","",庫存管理!Z12)</f>
        <v/>
      </c>
      <c r="AA12" s="2089" t="str">
        <f>IF(OR(P12="",X12=""),"",IFERROR(庫存管理[[#This Row],[部位現值(含前手息)]],""))</f>
        <v/>
      </c>
      <c r="AB12" s="2090"/>
      <c r="AC12" s="2090"/>
      <c r="AD12" s="2091"/>
      <c r="AE12" s="2040" t="str">
        <f ca="1">IF(OR(P12="",X12="",開關=FALSE),"",IF(MF=2,IFERROR(庫存管理[[#This Row],[累計配息]],""),IFERROR(庫存管理[[#This Row],[已實現配息(原幣)]],"")))</f>
        <v/>
      </c>
      <c r="AF12" s="2041"/>
      <c r="AG12" s="2041"/>
      <c r="AH12" s="2042"/>
      <c r="AI12" s="2054" t="str">
        <f>IF(OR(P12="",X12=""),"",IFERROR(庫存管理[[#This Row],[資本利損]],""))</f>
        <v/>
      </c>
      <c r="AJ12" s="2055"/>
      <c r="AK12" s="2055"/>
      <c r="AL12" s="2056"/>
      <c r="AM12" s="2071" t="str">
        <f>IF(OR(P12="",X12=""),"",IFERROR(庫存管理[[#This Row],[合計收益]],""))</f>
        <v/>
      </c>
      <c r="AN12" s="2041"/>
      <c r="AO12" s="2041"/>
      <c r="AP12" s="2072"/>
      <c r="AQ12" s="2078" t="str">
        <f>IF(OR(P12="",X12=""),"",庫存管理[[#This Row],[總報酬]])</f>
        <v/>
      </c>
      <c r="AR12" s="2076"/>
      <c r="AS12" s="2079"/>
      <c r="AT12" s="2076" t="str">
        <f>IF(OR(P12="",X12=""),"",IFERROR(庫存管理[[#This Row],[投入佔比]],0))</f>
        <v/>
      </c>
      <c r="AU12" s="2076"/>
      <c r="AV12" s="2073">
        <f t="shared" si="0"/>
        <v>0</v>
      </c>
      <c r="AW12" s="2073"/>
      <c r="AX12" s="2073"/>
      <c r="AY12" s="2076" t="str">
        <f>IF(OR(P12="",X12=""),"",IFERROR(庫存管理[[#This Row],[現值佔比]],""))</f>
        <v/>
      </c>
      <c r="AZ12" s="2077"/>
      <c r="BA12" s="601"/>
      <c r="BM12" s="505" t="b">
        <f>庫存管理!BM12</f>
        <v>0</v>
      </c>
      <c r="BN12" s="505" t="e">
        <f ca="1">庫存管理!BN12</f>
        <v>#N/A</v>
      </c>
    </row>
    <row r="13" spans="4:66" ht="31" customHeight="1">
      <c r="D13" s="606"/>
      <c r="E13" s="606"/>
      <c r="F13" s="1426"/>
      <c r="G13" s="681"/>
      <c r="H13" s="682"/>
      <c r="I13" s="675"/>
      <c r="J13" s="505"/>
      <c r="N13" s="1049" t="str">
        <f ca="1">IF(OR(P13="",換券單檔!AG8=0),"","★")</f>
        <v/>
      </c>
      <c r="P13" s="598" t="str">
        <f>IF(庫存管理!P13="","",庫存管理!P13)</f>
        <v/>
      </c>
      <c r="Q13" s="1990" t="str">
        <f ca="1">IF(開關=TRUE,IFERROR(VLOOKUP(P13,bond!B:C,2,FALSE),""),"")</f>
        <v/>
      </c>
      <c r="R13" s="1990"/>
      <c r="S13" s="1990"/>
      <c r="T13" s="1990"/>
      <c r="U13" s="1990"/>
      <c r="V13" s="2092" t="str">
        <f ca="1">IF(開關=TRUE,庫存管理[[#This Row],[幣別]],"")</f>
        <v/>
      </c>
      <c r="W13" s="2093"/>
      <c r="X13" s="647" t="str">
        <f>IF(P13="","",庫存管理!X13)</f>
        <v/>
      </c>
      <c r="Y13" s="597" t="str">
        <f>IF(P13="","",庫存管理!Y13)</f>
        <v/>
      </c>
      <c r="Z13" s="648" t="str">
        <f>IF(P13="","",庫存管理!Z13)</f>
        <v/>
      </c>
      <c r="AA13" s="2089" t="str">
        <f>IF(OR(P13="",X13=""),"",IFERROR(庫存管理[[#This Row],[部位現值(含前手息)]],""))</f>
        <v/>
      </c>
      <c r="AB13" s="2090"/>
      <c r="AC13" s="2090"/>
      <c r="AD13" s="2091"/>
      <c r="AE13" s="2040" t="str">
        <f ca="1">IF(OR(P13="",X13="",開關=FALSE),"",IF(MF=2,IFERROR(庫存管理[[#This Row],[累計配息]],""),IFERROR(庫存管理[[#This Row],[已實現配息(原幣)]],"")))</f>
        <v/>
      </c>
      <c r="AF13" s="2041"/>
      <c r="AG13" s="2041"/>
      <c r="AH13" s="2042"/>
      <c r="AI13" s="2054" t="str">
        <f>IF(OR(P13="",X13=""),"",IFERROR(庫存管理[[#This Row],[資本利損]],""))</f>
        <v/>
      </c>
      <c r="AJ13" s="2055"/>
      <c r="AK13" s="2055"/>
      <c r="AL13" s="2056"/>
      <c r="AM13" s="2071" t="str">
        <f>IF(OR(P13="",X13=""),"",IFERROR(庫存管理[[#This Row],[合計收益]],""))</f>
        <v/>
      </c>
      <c r="AN13" s="2041"/>
      <c r="AO13" s="2041"/>
      <c r="AP13" s="2072"/>
      <c r="AQ13" s="2078" t="str">
        <f>IF(OR(P13="",X13=""),"",庫存管理[[#This Row],[總報酬]])</f>
        <v/>
      </c>
      <c r="AR13" s="2076"/>
      <c r="AS13" s="2079"/>
      <c r="AT13" s="2076" t="str">
        <f>IF(OR(P13="",X13=""),"",IFERROR(庫存管理[[#This Row],[投入佔比]],0))</f>
        <v/>
      </c>
      <c r="AU13" s="2076"/>
      <c r="AV13" s="2073">
        <f t="shared" si="0"/>
        <v>0</v>
      </c>
      <c r="AW13" s="2073"/>
      <c r="AX13" s="2073"/>
      <c r="AY13" s="2076" t="str">
        <f>IF(OR(P13="",X13=""),"",IFERROR(庫存管理[[#This Row],[現值佔比]],""))</f>
        <v/>
      </c>
      <c r="AZ13" s="2077"/>
      <c r="BA13" s="601"/>
      <c r="BM13" s="505" t="b">
        <f>庫存管理!BM13</f>
        <v>0</v>
      </c>
      <c r="BN13" s="505" t="e">
        <f ca="1">庫存管理!BN13</f>
        <v>#N/A</v>
      </c>
    </row>
    <row r="14" spans="4:66" ht="31" customHeight="1">
      <c r="D14" s="606"/>
      <c r="E14" s="606"/>
      <c r="F14" s="669"/>
      <c r="G14" s="669"/>
      <c r="H14" s="669"/>
      <c r="I14" s="675"/>
      <c r="J14" s="505"/>
      <c r="N14" s="1049" t="str">
        <f ca="1">IF(OR(P14="",換券單檔!AG9=0),"","★")</f>
        <v/>
      </c>
      <c r="P14" s="598" t="str">
        <f>IF(庫存管理!P14="","",庫存管理!P14)</f>
        <v/>
      </c>
      <c r="Q14" s="1990" t="str">
        <f ca="1">IF(開關=TRUE,IFERROR(VLOOKUP(P14,bond!B:C,2,FALSE),""),"")</f>
        <v/>
      </c>
      <c r="R14" s="1990"/>
      <c r="S14" s="1990"/>
      <c r="T14" s="1990"/>
      <c r="U14" s="1990"/>
      <c r="V14" s="2092" t="str">
        <f ca="1">IF(開關=TRUE,庫存管理[[#This Row],[幣別]],"")</f>
        <v/>
      </c>
      <c r="W14" s="2093"/>
      <c r="X14" s="647" t="str">
        <f>IF(P14="","",庫存管理!X14)</f>
        <v/>
      </c>
      <c r="Y14" s="597" t="str">
        <f>IF(P14="","",庫存管理!Y14)</f>
        <v/>
      </c>
      <c r="Z14" s="648" t="str">
        <f>IF(P14="","",庫存管理!Z14)</f>
        <v/>
      </c>
      <c r="AA14" s="2089" t="str">
        <f>IF(OR(P14="",X14=""),"",IFERROR(庫存管理[[#This Row],[部位現值(含前手息)]],""))</f>
        <v/>
      </c>
      <c r="AB14" s="2090"/>
      <c r="AC14" s="2090"/>
      <c r="AD14" s="2091"/>
      <c r="AE14" s="2040" t="str">
        <f ca="1">IF(OR(P14="",X14="",開關=FALSE),"",IF(MF=2,IFERROR(庫存管理[[#This Row],[累計配息]],""),IFERROR(庫存管理[[#This Row],[已實現配息(原幣)]],"")))</f>
        <v/>
      </c>
      <c r="AF14" s="2041"/>
      <c r="AG14" s="2041"/>
      <c r="AH14" s="2042"/>
      <c r="AI14" s="2054" t="str">
        <f>IF(OR(P14="",X14=""),"",IFERROR(庫存管理[[#This Row],[資本利損]],""))</f>
        <v/>
      </c>
      <c r="AJ14" s="2055"/>
      <c r="AK14" s="2055"/>
      <c r="AL14" s="2056"/>
      <c r="AM14" s="2071" t="str">
        <f>IF(OR(P14="",X14=""),"",IFERROR(庫存管理[[#This Row],[合計收益]],""))</f>
        <v/>
      </c>
      <c r="AN14" s="2041"/>
      <c r="AO14" s="2041"/>
      <c r="AP14" s="2072"/>
      <c r="AQ14" s="2078" t="str">
        <f>IF(OR(P14="",X14=""),"",庫存管理[[#This Row],[總報酬]])</f>
        <v/>
      </c>
      <c r="AR14" s="2076"/>
      <c r="AS14" s="2079"/>
      <c r="AT14" s="2076" t="str">
        <f>IF(OR(P14="",X14=""),"",IFERROR(庫存管理[[#This Row],[投入佔比]],0))</f>
        <v/>
      </c>
      <c r="AU14" s="2076"/>
      <c r="AV14" s="2073">
        <f t="shared" si="0"/>
        <v>0</v>
      </c>
      <c r="AW14" s="2073"/>
      <c r="AX14" s="2073"/>
      <c r="AY14" s="2076" t="str">
        <f>IF(OR(P14="",X14=""),"",IFERROR(庫存管理[[#This Row],[現值佔比]],""))</f>
        <v/>
      </c>
      <c r="AZ14" s="2077"/>
      <c r="BA14" s="601"/>
      <c r="BM14" s="505" t="b">
        <f>庫存管理!BM14</f>
        <v>0</v>
      </c>
      <c r="BN14" s="505" t="e">
        <f ca="1">庫存管理!BN14</f>
        <v>#N/A</v>
      </c>
    </row>
    <row r="15" spans="4:66" ht="31" customHeight="1">
      <c r="D15" s="606"/>
      <c r="E15" s="606"/>
      <c r="F15" s="669"/>
      <c r="G15" s="669"/>
      <c r="H15" s="669"/>
      <c r="I15" s="505"/>
      <c r="J15" s="505"/>
      <c r="N15" s="1049" t="str">
        <f ca="1">IF(OR(P15="",換券單檔!AG10=0),"","★")</f>
        <v/>
      </c>
      <c r="P15" s="598" t="str">
        <f>IF(庫存管理!P15="","",庫存管理!P15)</f>
        <v/>
      </c>
      <c r="Q15" s="1990" t="str">
        <f ca="1">IF(開關=TRUE,IFERROR(VLOOKUP(P15,bond!B:C,2,FALSE),""),"")</f>
        <v/>
      </c>
      <c r="R15" s="1990"/>
      <c r="S15" s="1990"/>
      <c r="T15" s="1990"/>
      <c r="U15" s="1990"/>
      <c r="V15" s="2092" t="str">
        <f ca="1">IF(開關=TRUE,庫存管理[[#This Row],[幣別]],"")</f>
        <v/>
      </c>
      <c r="W15" s="2093"/>
      <c r="X15" s="647" t="str">
        <f>IF(P15="","",庫存管理!X15)</f>
        <v/>
      </c>
      <c r="Y15" s="597" t="str">
        <f>IF(P15="","",庫存管理!Y15)</f>
        <v/>
      </c>
      <c r="Z15" s="648" t="str">
        <f>IF(P15="","",庫存管理!Z15)</f>
        <v/>
      </c>
      <c r="AA15" s="2089" t="str">
        <f>IF(OR(P15="",X15=""),"",IFERROR(庫存管理[[#This Row],[部位現值(含前手息)]],""))</f>
        <v/>
      </c>
      <c r="AB15" s="2090"/>
      <c r="AC15" s="2090"/>
      <c r="AD15" s="2091"/>
      <c r="AE15" s="2040" t="str">
        <f ca="1">IF(OR(P15="",X15="",開關=FALSE),"",IF(MF=2,IFERROR(庫存管理[[#This Row],[累計配息]],""),IFERROR(庫存管理[[#This Row],[已實現配息(原幣)]],"")))</f>
        <v/>
      </c>
      <c r="AF15" s="2041"/>
      <c r="AG15" s="2041"/>
      <c r="AH15" s="2042"/>
      <c r="AI15" s="2054" t="str">
        <f>IF(OR(P15="",X15=""),"",IFERROR(庫存管理[[#This Row],[資本利損]],""))</f>
        <v/>
      </c>
      <c r="AJ15" s="2055"/>
      <c r="AK15" s="2055"/>
      <c r="AL15" s="2056"/>
      <c r="AM15" s="2071" t="str">
        <f>IF(OR(P15="",X15=""),"",IFERROR(庫存管理[[#This Row],[合計收益]],""))</f>
        <v/>
      </c>
      <c r="AN15" s="2041"/>
      <c r="AO15" s="2041"/>
      <c r="AP15" s="2072"/>
      <c r="AQ15" s="2078" t="str">
        <f>IF(OR(P15="",X15=""),"",庫存管理[[#This Row],[總報酬]])</f>
        <v/>
      </c>
      <c r="AR15" s="2076"/>
      <c r="AS15" s="2079"/>
      <c r="AT15" s="2076" t="str">
        <f>IF(OR(P15="",X15=""),"",IFERROR(庫存管理[[#This Row],[投入佔比]],0))</f>
        <v/>
      </c>
      <c r="AU15" s="2076"/>
      <c r="AV15" s="2073">
        <f t="shared" si="0"/>
        <v>0</v>
      </c>
      <c r="AW15" s="2073"/>
      <c r="AX15" s="2073"/>
      <c r="AY15" s="2076" t="str">
        <f>IF(OR(P15="",X15=""),"",IFERROR(庫存管理[[#This Row],[現值佔比]],""))</f>
        <v/>
      </c>
      <c r="AZ15" s="2077"/>
      <c r="BA15" s="601"/>
      <c r="BM15" s="505" t="b">
        <f>庫存管理!BM15</f>
        <v>0</v>
      </c>
      <c r="BN15" s="505" t="e">
        <f ca="1">庫存管理!BN15</f>
        <v>#N/A</v>
      </c>
    </row>
    <row r="16" spans="4:66" ht="31" customHeight="1">
      <c r="D16" s="606"/>
      <c r="E16" s="606"/>
      <c r="F16" s="669"/>
      <c r="G16" s="669"/>
      <c r="H16" s="669"/>
      <c r="I16" s="669"/>
      <c r="J16" s="505"/>
      <c r="N16" s="1049" t="str">
        <f ca="1">IF(OR(P16="",換券單檔!AG11=0),"","★")</f>
        <v/>
      </c>
      <c r="P16" s="598" t="str">
        <f>IF(庫存管理!P16="","",庫存管理!P16)</f>
        <v/>
      </c>
      <c r="Q16" s="1990" t="str">
        <f ca="1">IF(開關=TRUE,IFERROR(VLOOKUP(P16,bond!B:C,2,FALSE),""),"")</f>
        <v/>
      </c>
      <c r="R16" s="1990"/>
      <c r="S16" s="1990"/>
      <c r="T16" s="1990"/>
      <c r="U16" s="1990"/>
      <c r="V16" s="2092" t="str">
        <f ca="1">IF(開關=TRUE,庫存管理[[#This Row],[幣別]],"")</f>
        <v/>
      </c>
      <c r="W16" s="2093"/>
      <c r="X16" s="647" t="str">
        <f>IF(P16="","",庫存管理!X16)</f>
        <v/>
      </c>
      <c r="Y16" s="597" t="str">
        <f>IF(P16="","",庫存管理!Y16)</f>
        <v/>
      </c>
      <c r="Z16" s="648" t="str">
        <f>IF(P16="","",庫存管理!Z16)</f>
        <v/>
      </c>
      <c r="AA16" s="2089" t="str">
        <f>IF(OR(P16="",X16=""),"",IFERROR(庫存管理[[#This Row],[部位現值(含前手息)]],""))</f>
        <v/>
      </c>
      <c r="AB16" s="2090"/>
      <c r="AC16" s="2090"/>
      <c r="AD16" s="2091"/>
      <c r="AE16" s="2040" t="str">
        <f ca="1">IF(OR(P16="",X16="",開關=FALSE),"",IF(MF=2,IFERROR(庫存管理[[#This Row],[累計配息]],""),IFERROR(庫存管理[[#This Row],[已實現配息(原幣)]],"")))</f>
        <v/>
      </c>
      <c r="AF16" s="2041"/>
      <c r="AG16" s="2041"/>
      <c r="AH16" s="2042"/>
      <c r="AI16" s="2054" t="str">
        <f>IF(OR(P16="",X16=""),"",IFERROR(庫存管理[[#This Row],[資本利損]],""))</f>
        <v/>
      </c>
      <c r="AJ16" s="2055"/>
      <c r="AK16" s="2055"/>
      <c r="AL16" s="2056"/>
      <c r="AM16" s="2071" t="str">
        <f>IF(OR(P16="",X16=""),"",IFERROR(庫存管理[[#This Row],[合計收益]],""))</f>
        <v/>
      </c>
      <c r="AN16" s="2041"/>
      <c r="AO16" s="2041"/>
      <c r="AP16" s="2072"/>
      <c r="AQ16" s="2078" t="str">
        <f>IF(OR(P16="",X16=""),"",庫存管理[[#This Row],[總報酬]])</f>
        <v/>
      </c>
      <c r="AR16" s="2076"/>
      <c r="AS16" s="2079"/>
      <c r="AT16" s="2076" t="str">
        <f>IF(OR(P16="",X16=""),"",IFERROR(庫存管理[[#This Row],[投入佔比]],0))</f>
        <v/>
      </c>
      <c r="AU16" s="2076"/>
      <c r="AV16" s="2073">
        <f t="shared" si="0"/>
        <v>0</v>
      </c>
      <c r="AW16" s="2073"/>
      <c r="AX16" s="2073"/>
      <c r="AY16" s="2076" t="str">
        <f>IF(OR(P16="",X16=""),"",IFERROR(庫存管理[[#This Row],[現值佔比]],""))</f>
        <v/>
      </c>
      <c r="AZ16" s="2077"/>
      <c r="BA16" s="601"/>
      <c r="BM16" s="505" t="b">
        <f>庫存管理!BM16</f>
        <v>0</v>
      </c>
      <c r="BN16" s="505" t="e">
        <f ca="1">庫存管理!BN16</f>
        <v>#N/A</v>
      </c>
    </row>
    <row r="17" spans="4:66" ht="31" customHeight="1">
      <c r="D17" s="606"/>
      <c r="E17" s="606"/>
      <c r="F17" s="669"/>
      <c r="G17" s="669"/>
      <c r="H17" s="669"/>
      <c r="I17" s="669"/>
      <c r="J17" s="505"/>
      <c r="N17" s="1049" t="str">
        <f ca="1">IF(OR(P17="",換券單檔!AG12=0),"","★")</f>
        <v/>
      </c>
      <c r="P17" s="598" t="str">
        <f>IF(庫存管理!P17="","",庫存管理!P17)</f>
        <v/>
      </c>
      <c r="Q17" s="1990" t="str">
        <f ca="1">IF(開關=TRUE,IFERROR(VLOOKUP(P17,bond!B:C,2,FALSE),""),"")</f>
        <v/>
      </c>
      <c r="R17" s="1990"/>
      <c r="S17" s="1990"/>
      <c r="T17" s="1990"/>
      <c r="U17" s="1990"/>
      <c r="V17" s="2092" t="str">
        <f ca="1">IF(開關=TRUE,庫存管理[[#This Row],[幣別]],"")</f>
        <v/>
      </c>
      <c r="W17" s="2093"/>
      <c r="X17" s="647" t="str">
        <f>IF(P17="","",庫存管理!X17)</f>
        <v/>
      </c>
      <c r="Y17" s="597" t="str">
        <f>IF(P17="","",庫存管理!Y17)</f>
        <v/>
      </c>
      <c r="Z17" s="648" t="str">
        <f>IF(P17="","",庫存管理!Z17)</f>
        <v/>
      </c>
      <c r="AA17" s="2089" t="str">
        <f>IF(OR(P17="",X17=""),"",IFERROR(庫存管理[[#This Row],[部位現值(含前手息)]],""))</f>
        <v/>
      </c>
      <c r="AB17" s="2090"/>
      <c r="AC17" s="2090"/>
      <c r="AD17" s="2091"/>
      <c r="AE17" s="2040" t="str">
        <f ca="1">IF(OR(P17="",X17="",開關=FALSE),"",IF(MF=2,IFERROR(庫存管理[[#This Row],[累計配息]],""),IFERROR(庫存管理[[#This Row],[已實現配息(原幣)]],"")))</f>
        <v/>
      </c>
      <c r="AF17" s="2041"/>
      <c r="AG17" s="2041"/>
      <c r="AH17" s="2042"/>
      <c r="AI17" s="2054" t="str">
        <f>IF(OR(P17="",X17=""),"",IFERROR(庫存管理[[#This Row],[資本利損]],""))</f>
        <v/>
      </c>
      <c r="AJ17" s="2055"/>
      <c r="AK17" s="2055"/>
      <c r="AL17" s="2056"/>
      <c r="AM17" s="2071" t="str">
        <f>IF(OR(P17="",X17=""),"",IFERROR(庫存管理[[#This Row],[合計收益]],""))</f>
        <v/>
      </c>
      <c r="AN17" s="2041"/>
      <c r="AO17" s="2041"/>
      <c r="AP17" s="2072"/>
      <c r="AQ17" s="2078" t="str">
        <f>IF(OR(P17="",X17=""),"",庫存管理[[#This Row],[總報酬]])</f>
        <v/>
      </c>
      <c r="AR17" s="2076"/>
      <c r="AS17" s="2079"/>
      <c r="AT17" s="2076" t="str">
        <f>IF(OR(P17="",X17=""),"",IFERROR(庫存管理[[#This Row],[投入佔比]],0))</f>
        <v/>
      </c>
      <c r="AU17" s="2076"/>
      <c r="AV17" s="2073">
        <f t="shared" si="0"/>
        <v>0</v>
      </c>
      <c r="AW17" s="2073"/>
      <c r="AX17" s="2073"/>
      <c r="AY17" s="2076" t="str">
        <f>IF(OR(P17="",X17=""),"",IFERROR(庫存管理[[#This Row],[現值佔比]],""))</f>
        <v/>
      </c>
      <c r="AZ17" s="2077"/>
      <c r="BA17" s="601"/>
      <c r="BJ17" s="2241"/>
      <c r="BK17" s="2241"/>
      <c r="BL17" s="2241"/>
      <c r="BM17" s="505" t="b">
        <f>庫存管理!BM17</f>
        <v>0</v>
      </c>
      <c r="BN17" s="505" t="e">
        <f ca="1">庫存管理!BN17</f>
        <v>#N/A</v>
      </c>
    </row>
    <row r="18" spans="4:66" ht="31" customHeight="1" thickBot="1">
      <c r="D18" s="606"/>
      <c r="E18" s="606"/>
      <c r="F18" s="669"/>
      <c r="G18" s="669"/>
      <c r="H18" s="669"/>
      <c r="I18" s="669"/>
      <c r="J18" s="505"/>
      <c r="N18" s="1049" t="str">
        <f ca="1">IF(OR(P18="",換券單檔!AG13=0),"","★")</f>
        <v/>
      </c>
      <c r="P18" s="598" t="str">
        <f>IF(庫存管理!P18="","",庫存管理!P18)</f>
        <v/>
      </c>
      <c r="Q18" s="1990" t="str">
        <f ca="1">IF(開關=TRUE,IFERROR(VLOOKUP(P18,bond!B:C,2,FALSE),""),"")</f>
        <v/>
      </c>
      <c r="R18" s="1990"/>
      <c r="S18" s="1990"/>
      <c r="T18" s="1990"/>
      <c r="U18" s="1990"/>
      <c r="V18" s="2092" t="str">
        <f ca="1">IF(開關=TRUE,庫存管理[[#This Row],[幣別]],"")</f>
        <v/>
      </c>
      <c r="W18" s="2093"/>
      <c r="X18" s="647" t="str">
        <f>IF(P18="","",庫存管理!X18)</f>
        <v/>
      </c>
      <c r="Y18" s="597" t="str">
        <f>IF(P18="","",庫存管理!Y18)</f>
        <v/>
      </c>
      <c r="Z18" s="648" t="str">
        <f>IF(P18="","",庫存管理!Z18)</f>
        <v/>
      </c>
      <c r="AA18" s="2089" t="str">
        <f>IF(OR(P18="",X18=""),"",IFERROR(庫存管理[[#This Row],[部位現值(含前手息)]],""))</f>
        <v/>
      </c>
      <c r="AB18" s="2090"/>
      <c r="AC18" s="2090"/>
      <c r="AD18" s="2091"/>
      <c r="AE18" s="2040" t="str">
        <f ca="1">IF(OR(P18="",X18="",開關=FALSE),"",IF(MF=2,IFERROR(庫存管理[[#This Row],[累計配息]],""),IFERROR(庫存管理[[#This Row],[已實現配息(原幣)]],"")))</f>
        <v/>
      </c>
      <c r="AF18" s="2041"/>
      <c r="AG18" s="2041"/>
      <c r="AH18" s="2042"/>
      <c r="AI18" s="2054" t="str">
        <f>IF(OR(P18="",X18=""),"",IFERROR(庫存管理[[#This Row],[資本利損]],""))</f>
        <v/>
      </c>
      <c r="AJ18" s="2055"/>
      <c r="AK18" s="2055"/>
      <c r="AL18" s="2056"/>
      <c r="AM18" s="2071" t="str">
        <f>IF(OR(P18="",X18=""),"",IFERROR(庫存管理[[#This Row],[合計收益]],""))</f>
        <v/>
      </c>
      <c r="AN18" s="2041"/>
      <c r="AO18" s="2041"/>
      <c r="AP18" s="2072"/>
      <c r="AQ18" s="2078" t="str">
        <f>IF(OR(P18="",X18=""),"",庫存管理[[#This Row],[總報酬]])</f>
        <v/>
      </c>
      <c r="AR18" s="2076"/>
      <c r="AS18" s="2079"/>
      <c r="AT18" s="2076" t="str">
        <f>IF(OR(P18="",X18=""),"",IFERROR(庫存管理[[#This Row],[投入佔比]],0))</f>
        <v/>
      </c>
      <c r="AU18" s="2076"/>
      <c r="AV18" s="2073">
        <f t="shared" si="0"/>
        <v>0</v>
      </c>
      <c r="AW18" s="2073"/>
      <c r="AX18" s="2073"/>
      <c r="AY18" s="2076" t="str">
        <f>IF(OR(P18="",X18=""),"",IFERROR(庫存管理[[#This Row],[現值佔比]],""))</f>
        <v/>
      </c>
      <c r="AZ18" s="2077"/>
      <c r="BA18" s="601"/>
      <c r="BM18" s="505" t="b">
        <f>庫存管理!BM18</f>
        <v>0</v>
      </c>
      <c r="BN18" s="505" t="e">
        <f ca="1">庫存管理!BN18</f>
        <v>#N/A</v>
      </c>
    </row>
    <row r="19" spans="4:66" s="517" customFormat="1" ht="31.5" customHeight="1" thickTop="1">
      <c r="D19" s="607"/>
      <c r="E19" s="607"/>
      <c r="F19" s="670"/>
      <c r="G19" s="670"/>
      <c r="H19" s="670"/>
      <c r="I19" s="670"/>
      <c r="J19" s="607"/>
      <c r="P19" s="2235" t="str">
        <f>庫存管理!Q19</f>
        <v>投資組合-(第1頁小計)</v>
      </c>
      <c r="Q19" s="2235"/>
      <c r="R19" s="2235"/>
      <c r="S19" s="2235"/>
      <c r="T19" s="2235"/>
      <c r="U19" s="2236"/>
      <c r="V19" s="2237" t="str">
        <f ca="1">IFERROR(IF('Tssco-bond portfolio(2)'!BQ1&gt;1,"TWD",IF(績效圖!A1=1,"TWD",'Tssco-bond portfolio(2)'!BR2)),"")</f>
        <v>USD</v>
      </c>
      <c r="W19" s="2238"/>
      <c r="X19" s="692"/>
      <c r="Y19" s="693">
        <f ca="1">庫存管理!Y19</f>
        <v>400000</v>
      </c>
      <c r="Z19" s="694" t="str">
        <f ca="1">庫存管理!Z19</f>
        <v>332,000.00</v>
      </c>
      <c r="AA19" s="2142" t="str">
        <f ca="1">庫存管理!AA19</f>
        <v>333,483.10</v>
      </c>
      <c r="AB19" s="2143"/>
      <c r="AC19" s="2143"/>
      <c r="AD19" s="2144"/>
      <c r="AE19" s="2148" t="str">
        <f ca="1">庫存管理!AE19</f>
        <v>8,212.50</v>
      </c>
      <c r="AF19" s="2149"/>
      <c r="AG19" s="2149"/>
      <c r="AH19" s="2150"/>
      <c r="AI19" s="2151" t="str">
        <f ca="1">庫存管理!AI19</f>
        <v>1,483.10</v>
      </c>
      <c r="AJ19" s="2149"/>
      <c r="AK19" s="2149"/>
      <c r="AL19" s="2150"/>
      <c r="AM19" s="2151" t="str">
        <f ca="1">庫存管理!AM19</f>
        <v>9,695.60</v>
      </c>
      <c r="AN19" s="2149"/>
      <c r="AO19" s="2149"/>
      <c r="AP19" s="2152"/>
      <c r="AQ19" s="2080">
        <f ca="1">庫存管理!AQ19</f>
        <v>2.9203614457831328E-2</v>
      </c>
      <c r="AR19" s="2081"/>
      <c r="AS19" s="2082"/>
      <c r="AT19" s="696"/>
      <c r="AU19" s="696"/>
      <c r="AV19" s="696"/>
      <c r="AW19" s="690"/>
      <c r="AX19" s="690"/>
      <c r="AY19" s="690"/>
      <c r="AZ19" s="690"/>
      <c r="BM19" s="607"/>
      <c r="BN19" s="607"/>
    </row>
    <row r="20" spans="4:66" ht="12.25" customHeight="1">
      <c r="D20" s="505"/>
      <c r="E20" s="505"/>
      <c r="F20" s="505"/>
      <c r="G20" s="505"/>
      <c r="H20" s="505"/>
      <c r="I20" s="505"/>
      <c r="J20" s="505"/>
      <c r="AJ20" s="508"/>
      <c r="AK20" s="508"/>
      <c r="AL20" s="508"/>
      <c r="AM20" s="508"/>
      <c r="AN20" s="506"/>
      <c r="AO20" s="506"/>
      <c r="AP20" s="506"/>
      <c r="AQ20" s="2068"/>
      <c r="AR20" s="2068"/>
      <c r="AS20" s="2068"/>
      <c r="AT20" s="2068"/>
      <c r="AU20" s="2069"/>
      <c r="AV20" s="2069"/>
      <c r="AW20" s="2069"/>
      <c r="AX20" s="2069"/>
      <c r="AY20" s="2069"/>
      <c r="AZ20" s="2069"/>
      <c r="BH20" s="55" ph="1"/>
      <c r="BI20" s="55" ph="1"/>
      <c r="BJ20" s="55" ph="1"/>
    </row>
    <row r="21" spans="4:66" ht="28.5" hidden="1" customHeight="1">
      <c r="D21" s="505"/>
      <c r="E21" s="505"/>
      <c r="F21" s="505"/>
      <c r="G21" s="505"/>
      <c r="H21" s="505"/>
      <c r="I21" s="505"/>
      <c r="J21" s="505"/>
      <c r="P21" s="505"/>
      <c r="Q21" s="505"/>
      <c r="R21" s="505"/>
      <c r="S21" s="505"/>
      <c r="T21" s="505"/>
      <c r="U21" s="505"/>
      <c r="V21" s="505"/>
      <c r="W21" s="505"/>
      <c r="X21" s="505"/>
      <c r="Y21" s="505"/>
      <c r="Z21" s="505"/>
      <c r="AA21" s="505"/>
      <c r="AB21" s="505"/>
      <c r="AC21" s="505"/>
      <c r="AD21" s="505"/>
      <c r="AE21" s="505"/>
      <c r="AF21" s="505"/>
      <c r="AG21" s="505"/>
      <c r="AH21" s="505"/>
      <c r="AI21" s="505"/>
      <c r="AJ21" s="507"/>
      <c r="AK21" s="507"/>
      <c r="AL21" s="507"/>
      <c r="AM21" s="507"/>
      <c r="AN21" s="645"/>
      <c r="AO21" s="645"/>
      <c r="AP21" s="645"/>
      <c r="AQ21" s="645"/>
      <c r="AR21" s="645"/>
      <c r="AS21" s="645"/>
      <c r="AT21" s="645"/>
      <c r="BH21" s="55" ph="1"/>
      <c r="BI21" s="55" ph="1"/>
      <c r="BJ21" s="55" ph="1"/>
    </row>
    <row r="22" spans="4:66" ht="28.5" hidden="1" customHeight="1">
      <c r="D22" s="505"/>
      <c r="E22" s="505"/>
      <c r="F22" s="505"/>
      <c r="G22" s="505"/>
      <c r="H22" s="505"/>
      <c r="I22" s="505"/>
      <c r="J22" s="505"/>
      <c r="AJ22" s="508"/>
      <c r="AK22" s="508"/>
      <c r="AL22" s="508"/>
      <c r="AM22" s="508"/>
      <c r="AN22" s="506"/>
      <c r="AO22" s="506"/>
      <c r="AP22" s="506"/>
      <c r="BH22" s="55" ph="1"/>
      <c r="BI22" s="55" ph="1"/>
      <c r="BJ22" s="55" ph="1"/>
    </row>
    <row r="23" spans="4:66" ht="35.25" customHeight="1">
      <c r="D23" s="505"/>
      <c r="E23" s="505"/>
      <c r="F23" s="505"/>
      <c r="G23" s="505"/>
      <c r="H23" s="505"/>
      <c r="I23" s="505"/>
      <c r="J23" s="505"/>
      <c r="AJ23" s="508"/>
      <c r="AK23" s="508"/>
      <c r="AL23" s="508"/>
      <c r="AM23" s="508"/>
      <c r="AN23" s="506"/>
      <c r="AO23" s="506"/>
      <c r="AP23" s="506"/>
      <c r="BH23" s="55" ph="1"/>
      <c r="BI23" s="55" ph="1"/>
      <c r="BJ23" s="55" ph="1"/>
    </row>
    <row r="24" spans="4:66" ht="33" customHeight="1" thickBot="1">
      <c r="D24" s="645"/>
      <c r="E24" s="2070"/>
      <c r="F24" s="2070"/>
      <c r="G24" s="2066"/>
      <c r="H24" s="2066"/>
      <c r="I24" s="2066"/>
      <c r="J24" s="670"/>
      <c r="P24" s="721"/>
      <c r="Q24" s="2083" t="str">
        <f ca="1">庫存管理!Q24</f>
        <v>含息總報酬率(USD)%</v>
      </c>
      <c r="R24" s="2083"/>
      <c r="S24" s="2083"/>
      <c r="T24" s="2083"/>
      <c r="U24" s="2083"/>
      <c r="V24" s="721"/>
      <c r="W24" s="721"/>
      <c r="X24" s="721"/>
      <c r="Y24" s="2083" t="str">
        <f ca="1">庫存管理!Y24</f>
        <v>配息現金流(USD)</v>
      </c>
      <c r="Z24" s="2083"/>
      <c r="AA24" s="2083"/>
      <c r="AB24" s="2083"/>
      <c r="AC24" s="2083"/>
      <c r="AD24" s="2083"/>
      <c r="AE24" s="2083"/>
      <c r="AF24" s="2083"/>
      <c r="AG24" s="2083"/>
      <c r="AH24" s="2083"/>
      <c r="AI24" s="2083"/>
      <c r="AJ24" s="2083"/>
      <c r="AK24" s="2083"/>
      <c r="AL24" s="2083"/>
      <c r="AM24" s="2083"/>
      <c r="AN24" s="721"/>
      <c r="AO24" s="721"/>
      <c r="AP24" s="721"/>
      <c r="AQ24" s="2155" t="s">
        <v>1728</v>
      </c>
      <c r="AR24" s="2156"/>
      <c r="AS24" s="2156"/>
      <c r="AT24" s="2156"/>
      <c r="AU24" s="2157"/>
      <c r="AV24" s="2239" t="str">
        <f ca="1">庫存管理!AV24</f>
        <v>美元(USD)</v>
      </c>
      <c r="AW24" s="2240"/>
      <c r="AX24" s="2240"/>
      <c r="AY24" s="2240"/>
      <c r="AZ24" s="2240"/>
      <c r="BA24" s="506"/>
      <c r="BH24" s="55" ph="1"/>
      <c r="BI24" s="55" ph="1"/>
      <c r="BJ24" s="55" ph="1"/>
    </row>
    <row r="25" spans="4:66" ht="15.75" customHeight="1">
      <c r="D25" s="645"/>
      <c r="E25" s="645"/>
      <c r="F25" s="505"/>
      <c r="G25" s="677"/>
      <c r="H25" s="670"/>
      <c r="I25" s="670"/>
      <c r="J25" s="670"/>
      <c r="P25" s="727"/>
      <c r="Q25" s="727"/>
      <c r="R25" s="727"/>
      <c r="S25" s="727"/>
      <c r="T25" s="665"/>
      <c r="U25" s="665"/>
      <c r="V25" s="662"/>
      <c r="W25" s="662"/>
      <c r="X25" s="662"/>
      <c r="Y25" s="661"/>
      <c r="Z25" s="1677"/>
      <c r="AA25" s="1677"/>
      <c r="AB25" s="1677"/>
      <c r="AC25" s="1677"/>
      <c r="AD25" s="1677"/>
      <c r="AE25" s="1677"/>
      <c r="AF25" s="1677"/>
      <c r="AG25" s="1677"/>
      <c r="AH25" s="1677"/>
      <c r="AI25" s="1677"/>
      <c r="AJ25" s="1677"/>
      <c r="AK25" s="1677"/>
      <c r="AL25" s="1677"/>
      <c r="AM25" s="1677"/>
      <c r="AN25" s="1677"/>
      <c r="AO25" s="1677"/>
      <c r="AP25" s="1677"/>
      <c r="AQ25" s="1677"/>
      <c r="AR25" s="1106"/>
      <c r="AS25" s="1106"/>
      <c r="AT25" s="590"/>
      <c r="BA25" s="506"/>
      <c r="BH25" s="55" ph="1"/>
      <c r="BI25" s="55" ph="1"/>
      <c r="BJ25" s="55" ph="1"/>
    </row>
    <row r="26" spans="4:66" ht="45" customHeight="1">
      <c r="D26" s="505"/>
      <c r="E26" s="505"/>
      <c r="F26" s="505"/>
      <c r="G26" s="671"/>
      <c r="H26" s="670"/>
      <c r="I26" s="670"/>
      <c r="J26" s="670"/>
      <c r="AQ26" s="2227" t="s">
        <v>2102</v>
      </c>
      <c r="AR26" s="2227"/>
      <c r="AS26" s="2227"/>
      <c r="AT26" s="2227"/>
      <c r="AU26" s="2227"/>
      <c r="AV26" s="2227"/>
      <c r="AW26" s="2227"/>
      <c r="AX26" s="2227"/>
      <c r="AY26" s="2227"/>
      <c r="AZ26" s="2227"/>
      <c r="BH26" s="55" ph="1"/>
      <c r="BI26" s="55" ph="1"/>
    </row>
    <row r="27" spans="4:66" ht="45" customHeight="1">
      <c r="D27" s="505"/>
      <c r="E27" s="505"/>
      <c r="F27" s="672"/>
      <c r="G27" s="672"/>
      <c r="H27" s="505"/>
      <c r="I27" s="505"/>
      <c r="J27" s="505"/>
      <c r="U27" s="728"/>
      <c r="V27" s="728"/>
      <c r="W27" s="728"/>
      <c r="X27" s="512"/>
      <c r="Y27" s="513"/>
      <c r="Z27" s="478"/>
      <c r="AJ27" s="729"/>
      <c r="AK27" s="729"/>
      <c r="AL27" s="729"/>
      <c r="AM27" s="729"/>
      <c r="AN27" s="519"/>
      <c r="AO27" s="519"/>
      <c r="AP27" s="519"/>
      <c r="AQ27" s="2218" t="s">
        <v>2103</v>
      </c>
      <c r="AR27" s="2218"/>
      <c r="AS27" s="2218"/>
      <c r="AT27" s="2218"/>
      <c r="AU27" s="2218"/>
      <c r="AV27" s="2228" t="str">
        <f ca="1">庫存管理!AV27</f>
        <v>29.88年</v>
      </c>
      <c r="AW27" s="2228"/>
      <c r="AX27" s="2228"/>
      <c r="AY27" s="2228"/>
      <c r="AZ27" s="2228"/>
      <c r="BH27" s="55" ph="1"/>
      <c r="BI27" s="55" ph="1"/>
      <c r="BJ27" s="55" ph="1"/>
      <c r="BK27" s="55" ph="1"/>
    </row>
    <row r="28" spans="4:66" ht="45" customHeight="1">
      <c r="D28" s="505"/>
      <c r="E28" s="505"/>
      <c r="F28" s="505"/>
      <c r="G28" s="505"/>
      <c r="H28" s="505"/>
      <c r="I28" s="505"/>
      <c r="J28" s="505"/>
      <c r="U28" s="730"/>
      <c r="V28" s="729"/>
      <c r="W28" s="729"/>
      <c r="X28" s="2135"/>
      <c r="Y28" s="1902"/>
      <c r="Z28" s="636"/>
      <c r="AJ28" s="731"/>
      <c r="AK28" s="731"/>
      <c r="AL28" s="731"/>
      <c r="AM28" s="731"/>
      <c r="AN28" s="522"/>
      <c r="AO28" s="522"/>
      <c r="AP28" s="522"/>
      <c r="AQ28" s="2219" t="s">
        <v>2104</v>
      </c>
      <c r="AR28" s="2219"/>
      <c r="AS28" s="2219"/>
      <c r="AT28" s="2219"/>
      <c r="AU28" s="2219"/>
      <c r="AV28" s="2229">
        <f ca="1">庫存管理!AV28</f>
        <v>4.296385542168675E-2</v>
      </c>
      <c r="AW28" s="2229"/>
      <c r="AX28" s="2229"/>
      <c r="AY28" s="2229"/>
      <c r="AZ28" s="2229"/>
      <c r="BH28" s="55" ph="1"/>
      <c r="BI28" s="55" ph="1"/>
      <c r="BJ28" s="55" ph="1"/>
      <c r="BK28" s="55" ph="1"/>
    </row>
    <row r="29" spans="4:66" ht="45" customHeight="1">
      <c r="D29" s="505"/>
      <c r="E29" s="505"/>
      <c r="F29" s="505"/>
      <c r="G29" s="505"/>
      <c r="H29" s="505"/>
      <c r="I29" s="505"/>
      <c r="J29" s="505"/>
      <c r="U29" s="730"/>
      <c r="V29" s="729"/>
      <c r="W29" s="729"/>
      <c r="X29" s="2135"/>
      <c r="Y29" s="1902"/>
      <c r="Z29" s="636"/>
      <c r="AJ29" s="731"/>
      <c r="AK29" s="731"/>
      <c r="AL29" s="731"/>
      <c r="AM29" s="731"/>
      <c r="AN29" s="522"/>
      <c r="AO29" s="522"/>
      <c r="AP29" s="522"/>
      <c r="AQ29" s="2219" t="s">
        <v>2105</v>
      </c>
      <c r="AR29" s="2219"/>
      <c r="AS29" s="2219"/>
      <c r="AT29" s="2219"/>
      <c r="AU29" s="2219"/>
      <c r="AV29" s="2229">
        <f ca="1">庫存管理!AV29</f>
        <v>5.0237703878955903E-2</v>
      </c>
      <c r="AW29" s="2229"/>
      <c r="AX29" s="2229"/>
      <c r="AY29" s="2229"/>
      <c r="AZ29" s="2229"/>
      <c r="BH29" s="55" ph="1"/>
      <c r="BI29" s="55" ph="1"/>
      <c r="BJ29" s="55" ph="1"/>
      <c r="BK29" s="55" ph="1"/>
    </row>
    <row r="30" spans="4:66" ht="45" customHeight="1">
      <c r="D30" s="505"/>
      <c r="E30" s="505"/>
      <c r="F30" s="505"/>
      <c r="G30" s="505"/>
      <c r="H30" s="505"/>
      <c r="I30" s="505"/>
      <c r="J30" s="505"/>
      <c r="U30" s="730"/>
      <c r="V30" s="729"/>
      <c r="W30" s="729"/>
      <c r="X30" s="1967"/>
      <c r="Y30" s="1902"/>
      <c r="Z30" s="636"/>
      <c r="AJ30" s="731"/>
      <c r="AK30" s="731"/>
      <c r="AL30" s="731"/>
      <c r="AM30" s="731"/>
      <c r="AN30" s="522"/>
      <c r="AO30" s="522"/>
      <c r="AP30" s="522"/>
      <c r="AQ30" s="2219" t="s">
        <v>2224</v>
      </c>
      <c r="AR30" s="2219"/>
      <c r="AS30" s="2219"/>
      <c r="AT30" s="2219"/>
      <c r="AU30" s="2219"/>
      <c r="AV30" s="2229">
        <f ca="1">庫存管理!AV30</f>
        <v>5.2922917854043447E-2</v>
      </c>
      <c r="AW30" s="2229"/>
      <c r="AX30" s="2229"/>
      <c r="AY30" s="2229"/>
      <c r="AZ30" s="2229"/>
      <c r="BH30" s="55" ph="1"/>
      <c r="BI30" s="55" ph="1"/>
      <c r="BJ30" s="55" ph="1"/>
      <c r="BK30" s="55" ph="1"/>
    </row>
    <row r="31" spans="4:66" ht="45" customHeight="1" thickBot="1">
      <c r="D31" s="505"/>
      <c r="E31" s="505"/>
      <c r="F31" s="505"/>
      <c r="G31" s="505"/>
      <c r="H31" s="505"/>
      <c r="I31" s="505"/>
      <c r="J31" s="505"/>
      <c r="U31" s="729"/>
      <c r="V31" s="729"/>
      <c r="W31" s="729"/>
      <c r="X31" s="637"/>
      <c r="Y31" s="636"/>
      <c r="Z31" s="636"/>
      <c r="AJ31" s="729"/>
      <c r="AK31" s="729"/>
      <c r="AL31" s="729"/>
      <c r="AM31" s="729"/>
      <c r="AN31" s="524"/>
      <c r="AO31" s="524"/>
      <c r="AP31" s="524"/>
      <c r="AQ31" s="2220" t="str">
        <f ca="1">IFERROR(IF('Tssco-bond portfolio(2)'!BQ1&gt;1,"庫存現值(TWD)",IF(績效圖!A1=1,"庫存現值(TWD)",CONCATENATE("庫存現值(",'Tssco-bond portfolio(2)'!BR2,")"))),"庫存現值")</f>
        <v>庫存現值(USD)</v>
      </c>
      <c r="AR31" s="2220"/>
      <c r="AS31" s="2220"/>
      <c r="AT31" s="2220"/>
      <c r="AU31" s="2220"/>
      <c r="AV31" s="2230" t="str">
        <f ca="1">庫存管理!AV31</f>
        <v>333,483.10</v>
      </c>
      <c r="AW31" s="2230"/>
      <c r="AX31" s="2230"/>
      <c r="AY31" s="2230"/>
      <c r="AZ31" s="2230"/>
      <c r="BH31" s="55" ph="1"/>
      <c r="BI31" s="55" ph="1"/>
      <c r="BJ31" s="55" ph="1"/>
      <c r="BK31" s="55" ph="1"/>
    </row>
    <row r="32" spans="4:66" ht="45" customHeight="1">
      <c r="D32" s="505"/>
      <c r="E32" s="505"/>
      <c r="F32" s="505"/>
      <c r="G32" s="505"/>
      <c r="H32" s="505"/>
      <c r="I32" s="505"/>
      <c r="J32" s="505"/>
      <c r="U32" s="729"/>
      <c r="V32" s="729"/>
      <c r="W32" s="729"/>
      <c r="X32" s="637"/>
      <c r="Y32" s="636"/>
      <c r="Z32" s="636"/>
      <c r="AJ32" s="2145"/>
      <c r="AK32" s="1107"/>
      <c r="AL32" s="1107"/>
      <c r="AM32" s="1107"/>
      <c r="AN32" s="1678"/>
      <c r="AO32" s="1678"/>
      <c r="AP32" s="1678"/>
      <c r="AQ32" s="2221" t="s">
        <v>2190</v>
      </c>
      <c r="AR32" s="2221"/>
      <c r="AS32" s="2221"/>
      <c r="AT32" s="2221"/>
      <c r="AU32" s="2221"/>
      <c r="AV32" s="2216">
        <f ca="1">庫存管理!AV32</f>
        <v>2.473644578313253E-2</v>
      </c>
      <c r="AW32" s="2216"/>
      <c r="AX32" s="2216"/>
      <c r="AY32" s="2216"/>
      <c r="AZ32" s="2216"/>
      <c r="BH32" s="55" ph="1"/>
      <c r="BI32" s="55" ph="1"/>
      <c r="BJ32" s="55" ph="1"/>
      <c r="BK32" s="55" ph="1"/>
    </row>
    <row r="33" spans="4:62" ht="45" customHeight="1">
      <c r="D33" s="505"/>
      <c r="E33" s="505"/>
      <c r="F33" s="505"/>
      <c r="G33" s="505"/>
      <c r="H33" s="505"/>
      <c r="I33" s="505"/>
      <c r="J33" s="505"/>
      <c r="U33" s="729"/>
      <c r="V33" s="729"/>
      <c r="W33" s="729"/>
      <c r="X33" s="637"/>
      <c r="Y33" s="636"/>
      <c r="Z33" s="636"/>
      <c r="AJ33" s="2146"/>
      <c r="AK33" s="644"/>
      <c r="AL33" s="644"/>
      <c r="AM33" s="644"/>
      <c r="AN33" s="1678"/>
      <c r="AO33" s="1678"/>
      <c r="AP33" s="1678"/>
      <c r="AQ33" s="2221" t="s">
        <v>2279</v>
      </c>
      <c r="AR33" s="2221"/>
      <c r="AS33" s="2221"/>
      <c r="AT33" s="2221"/>
      <c r="AU33" s="2221"/>
      <c r="AV33" s="2216">
        <f ca="1">庫存管理!AV33</f>
        <v>4.467168674698813E-3</v>
      </c>
      <c r="AW33" s="2216"/>
      <c r="AX33" s="2216"/>
      <c r="AY33" s="2216"/>
      <c r="AZ33" s="2216"/>
      <c r="BH33" s="55" ph="1"/>
      <c r="BI33" s="55" ph="1"/>
    </row>
    <row r="34" spans="4:62" ht="45" customHeight="1">
      <c r="D34" s="505"/>
      <c r="E34" s="505"/>
      <c r="F34" s="505"/>
      <c r="G34" s="505"/>
      <c r="H34" s="505"/>
      <c r="I34" s="505"/>
      <c r="J34" s="505"/>
      <c r="U34" s="728"/>
      <c r="V34" s="733"/>
      <c r="W34" s="733"/>
      <c r="X34" s="2140"/>
      <c r="Y34" s="2141"/>
      <c r="Z34" s="643"/>
      <c r="AJ34" s="2146"/>
      <c r="AK34" s="644"/>
      <c r="AL34" s="644"/>
      <c r="AM34" s="644"/>
      <c r="AN34" s="1678"/>
      <c r="AO34" s="1678"/>
      <c r="AP34" s="1678"/>
      <c r="AQ34" s="2222" t="str">
        <f ca="1">庫存管理!AQ34</f>
        <v>總報酬率</v>
      </c>
      <c r="AR34" s="2222"/>
      <c r="AS34" s="2222"/>
      <c r="AT34" s="2222"/>
      <c r="AU34" s="2222"/>
      <c r="AV34" s="2217">
        <f ca="1">庫存管理!AV34</f>
        <v>2.9203614457831348E-2</v>
      </c>
      <c r="AW34" s="2217"/>
      <c r="AX34" s="2217"/>
      <c r="AY34" s="2217"/>
      <c r="AZ34" s="2217"/>
      <c r="BH34" s="55" ph="1"/>
      <c r="BI34" s="55" ph="1"/>
    </row>
    <row r="35" spans="4:62" ht="45" customHeight="1">
      <c r="D35" s="505"/>
      <c r="E35" s="505"/>
      <c r="F35" s="505"/>
      <c r="G35" s="505"/>
      <c r="H35" s="505"/>
      <c r="I35" s="505"/>
      <c r="J35" s="505" ph="1"/>
      <c r="U35" s="728"/>
      <c r="V35" s="733"/>
      <c r="W35" s="733"/>
      <c r="X35" s="1992"/>
      <c r="Y35" s="2141"/>
      <c r="Z35" s="643"/>
      <c r="AJ35" s="2146"/>
      <c r="AK35" s="644"/>
      <c r="AL35" s="644"/>
      <c r="AM35" s="644"/>
      <c r="AN35" s="1678"/>
      <c r="AO35" s="1678"/>
      <c r="AP35" s="1678"/>
      <c r="AQ35" s="2223" t="str">
        <f ca="1">庫存管理!AQ35</f>
        <v/>
      </c>
      <c r="AR35" s="2223"/>
      <c r="AS35" s="2223"/>
      <c r="AT35" s="2223"/>
      <c r="AU35" s="2223"/>
      <c r="AV35" s="2216" t="str">
        <f ca="1">庫存管理!AV35</f>
        <v/>
      </c>
      <c r="AW35" s="2216"/>
      <c r="AX35" s="2216"/>
      <c r="AY35" s="2216"/>
      <c r="AZ35" s="2216"/>
      <c r="BH35" s="55" ph="1"/>
      <c r="BI35" s="55" ph="1"/>
    </row>
    <row r="36" spans="4:62" ht="21.75" customHeight="1">
      <c r="D36" s="505"/>
      <c r="E36" s="505"/>
      <c r="F36" s="505"/>
      <c r="G36" s="505"/>
      <c r="H36" s="505"/>
      <c r="I36" s="505"/>
      <c r="J36" s="505"/>
      <c r="U36" s="733"/>
      <c r="V36" s="733"/>
      <c r="W36" s="733"/>
      <c r="X36" s="642"/>
      <c r="Y36" s="643"/>
      <c r="Z36" s="643"/>
      <c r="AJ36" s="644"/>
      <c r="AK36" s="644"/>
      <c r="AL36" s="644"/>
      <c r="AM36" s="644"/>
      <c r="AN36" s="732"/>
      <c r="AO36" s="732"/>
      <c r="AP36" s="732"/>
      <c r="AQ36" s="639"/>
      <c r="AR36" s="639"/>
      <c r="AS36" s="639"/>
      <c r="AT36" s="639"/>
      <c r="BH36" s="55" ph="1"/>
      <c r="BI36" s="55" ph="1"/>
      <c r="BJ36" s="55" ph="1"/>
    </row>
    <row r="37" spans="4:62" ht="27.5">
      <c r="D37" s="505"/>
      <c r="E37" s="505"/>
      <c r="F37" s="505"/>
      <c r="G37" s="505"/>
      <c r="H37" s="505"/>
      <c r="I37" s="505"/>
      <c r="J37" s="505"/>
      <c r="P37" s="526"/>
      <c r="Q37" s="526"/>
      <c r="R37" s="526"/>
      <c r="S37" s="526"/>
      <c r="T37" s="526"/>
      <c r="U37" s="526"/>
      <c r="V37" s="526"/>
      <c r="W37" s="526"/>
      <c r="X37" s="526"/>
      <c r="Y37" s="526"/>
      <c r="Z37" s="526"/>
      <c r="AA37" s="526"/>
      <c r="AB37" s="526"/>
      <c r="AC37" s="526"/>
      <c r="AD37" s="526"/>
      <c r="AE37" s="526"/>
      <c r="AF37" s="526"/>
      <c r="AG37" s="526"/>
      <c r="AH37" s="526"/>
      <c r="AI37" s="526"/>
      <c r="AJ37" s="526"/>
      <c r="AK37" s="526"/>
      <c r="AL37" s="526"/>
      <c r="AM37" s="526"/>
      <c r="AN37" s="526"/>
      <c r="AO37" s="526"/>
      <c r="AP37" s="526"/>
      <c r="AQ37" s="526"/>
      <c r="AR37" s="526"/>
      <c r="AS37" s="526"/>
      <c r="AT37" s="526"/>
      <c r="AU37" s="526"/>
      <c r="AV37" s="526"/>
      <c r="AW37" s="526"/>
      <c r="AX37" s="526"/>
      <c r="AY37" s="526"/>
      <c r="AZ37" s="526"/>
      <c r="BH37" s="55" ph="1"/>
      <c r="BI37" s="55" ph="1"/>
      <c r="BJ37" s="55" ph="1"/>
    </row>
    <row r="38" spans="4:62" ht="15" hidden="1" customHeight="1">
      <c r="D38" s="505"/>
      <c r="E38" s="505"/>
      <c r="F38" s="505"/>
      <c r="G38" s="505"/>
      <c r="H38" s="505"/>
      <c r="I38" s="505"/>
      <c r="J38" s="505"/>
      <c r="BH38" s="55" ph="1"/>
      <c r="BI38" s="55" ph="1"/>
    </row>
    <row r="39" spans="4:62" ht="15" hidden="1" customHeight="1">
      <c r="D39" s="505"/>
      <c r="E39" s="505"/>
      <c r="F39" s="505"/>
      <c r="G39" s="505"/>
      <c r="H39" s="505"/>
      <c r="I39" s="505"/>
      <c r="J39" s="505"/>
      <c r="BH39" s="55" ph="1"/>
      <c r="BI39" s="55" ph="1"/>
    </row>
    <row r="40" spans="4:62" ht="49.5" customHeight="1">
      <c r="D40" s="505"/>
      <c r="E40" s="505"/>
      <c r="F40" s="1502" t="str">
        <f>IF(AI41="","",CONCATENATE("剩餘可分配金額(",V15,")"))</f>
        <v/>
      </c>
      <c r="G40" s="505"/>
      <c r="H40" s="505"/>
      <c r="I40" s="505"/>
      <c r="J40" s="505"/>
      <c r="P40" s="2026" t="s">
        <v>4290</v>
      </c>
      <c r="Q40" s="2026"/>
      <c r="R40" s="2026"/>
      <c r="S40" s="2026"/>
      <c r="T40" s="2026"/>
      <c r="U40" s="2026"/>
      <c r="V40" s="2026"/>
      <c r="W40" s="2026"/>
      <c r="X40" s="2026"/>
      <c r="Y40" s="2026"/>
      <c r="Z40" s="2026"/>
      <c r="AA40" s="2026"/>
      <c r="AB40" s="2026"/>
      <c r="AC40" s="2026"/>
      <c r="AD40" s="2026"/>
      <c r="AE40" s="2026"/>
      <c r="AF40" s="2026"/>
      <c r="AG40" s="2026"/>
      <c r="AH40" s="2026"/>
      <c r="AI40" s="2026"/>
      <c r="AJ40" s="2026"/>
      <c r="AK40" s="2026"/>
      <c r="AL40" s="2026"/>
      <c r="AM40" s="2026"/>
      <c r="AN40" s="2026"/>
      <c r="AO40" s="2026"/>
      <c r="AP40" s="2026"/>
      <c r="AQ40" s="2026"/>
      <c r="AR40" s="2026"/>
      <c r="AS40" s="2026"/>
      <c r="AT40" s="2026"/>
      <c r="AU40" s="2026"/>
      <c r="AV40" s="2026"/>
      <c r="AW40" s="2026"/>
      <c r="AX40" s="2026"/>
      <c r="AY40" s="2026"/>
      <c r="AZ40" s="2026"/>
      <c r="BH40" s="55" ph="1"/>
      <c r="BI40" s="55" ph="1"/>
    </row>
    <row r="41" spans="4:62" ht="23.15" customHeight="1" thickBot="1">
      <c r="D41" s="505"/>
      <c r="E41" s="505"/>
      <c r="F41" s="505"/>
      <c r="G41" s="505"/>
      <c r="H41" s="505"/>
      <c r="I41" s="505"/>
      <c r="J41" s="505"/>
      <c r="P41" s="2027" t="s">
        <v>2073</v>
      </c>
      <c r="Q41" s="2027"/>
      <c r="R41" s="2027"/>
      <c r="S41" s="2027"/>
      <c r="T41" s="2027"/>
      <c r="U41" s="2027"/>
      <c r="V41" s="2027"/>
      <c r="W41" s="2027"/>
      <c r="X41" s="2027"/>
      <c r="Y41" s="2027"/>
      <c r="Z41" s="2027"/>
      <c r="AA41" s="2027"/>
      <c r="AB41" s="2027"/>
      <c r="AC41" s="2027"/>
      <c r="AD41" s="2027"/>
      <c r="AE41" s="2027"/>
      <c r="AF41" s="2027"/>
      <c r="AG41" s="2027"/>
      <c r="AH41" s="2027"/>
      <c r="AI41" s="2027"/>
      <c r="AJ41" s="2027"/>
      <c r="AK41" s="2027"/>
      <c r="AL41" s="2027"/>
      <c r="AM41" s="2027"/>
      <c r="AN41" s="2027"/>
      <c r="AO41" s="2027"/>
      <c r="AP41" s="2027"/>
      <c r="AQ41" s="2027"/>
      <c r="AR41" s="2027"/>
      <c r="AS41" s="2027"/>
      <c r="AT41" s="2027"/>
      <c r="AU41" s="2064" t="s">
        <v>122</v>
      </c>
      <c r="AV41" s="2064"/>
      <c r="AW41" s="2064"/>
      <c r="AX41" s="2110">
        <f>AX4</f>
        <v>45474</v>
      </c>
      <c r="AY41" s="2110"/>
      <c r="AZ41" s="2110"/>
      <c r="BH41" s="55" ph="1"/>
      <c r="BI41" s="55" ph="1"/>
    </row>
    <row r="42" spans="4:62" ht="10" customHeight="1">
      <c r="D42" s="505"/>
      <c r="E42" s="505"/>
      <c r="F42" s="505"/>
      <c r="G42" s="505"/>
      <c r="H42" s="505"/>
      <c r="I42" s="505"/>
      <c r="J42" s="505"/>
      <c r="Z42" s="1051"/>
      <c r="AA42" s="1051"/>
      <c r="AB42" s="1051"/>
      <c r="AC42" s="1051"/>
      <c r="AD42" s="1051"/>
      <c r="AE42" s="1051"/>
      <c r="AV42" s="1173"/>
      <c r="AW42" s="1173"/>
      <c r="AX42" s="1174"/>
      <c r="AY42" s="1174"/>
      <c r="AZ42" s="1174"/>
      <c r="BH42" s="55" ph="1"/>
      <c r="BI42" s="55" ph="1"/>
    </row>
    <row r="43" spans="4:62" ht="42" customHeight="1">
      <c r="D43" s="505"/>
      <c r="E43" s="1502"/>
      <c r="F43" s="505"/>
      <c r="G43" s="505"/>
      <c r="H43" s="1502"/>
      <c r="I43" s="505"/>
      <c r="J43" s="505"/>
      <c r="P43" s="1980" t="s">
        <v>4294</v>
      </c>
      <c r="Q43" s="1981"/>
      <c r="R43" s="1981"/>
      <c r="S43" s="1981"/>
      <c r="T43" s="1981"/>
      <c r="U43" s="1982"/>
      <c r="V43" s="1033"/>
      <c r="W43" s="1033"/>
      <c r="X43" s="1499" t="s">
        <v>4345</v>
      </c>
      <c r="Y43" s="1494"/>
      <c r="Z43" s="1494"/>
      <c r="AA43" s="1494"/>
      <c r="AB43" s="1494"/>
      <c r="AC43" s="1494"/>
      <c r="AD43" s="1494"/>
      <c r="AE43" s="1494"/>
      <c r="AF43" s="1494"/>
      <c r="AI43" s="1051" t="s">
        <v>4346</v>
      </c>
      <c r="AM43" s="1051"/>
      <c r="AT43" s="55"/>
    </row>
    <row r="44" spans="4:62" ht="43.4" customHeight="1">
      <c r="D44" s="505"/>
      <c r="E44" s="505"/>
      <c r="F44" s="505"/>
      <c r="G44" s="505"/>
      <c r="H44" s="505"/>
      <c r="I44" s="505"/>
      <c r="J44" s="505"/>
      <c r="P44" s="1523" t="str">
        <f>庫存管理!P97</f>
        <v>USD</v>
      </c>
      <c r="Q44" s="2021" t="s">
        <v>4343</v>
      </c>
      <c r="R44" s="2021"/>
      <c r="S44" s="2021"/>
      <c r="T44" s="2022" t="s">
        <v>4344</v>
      </c>
      <c r="U44" s="2023"/>
      <c r="V44" s="1129" t="str">
        <f ca="1">IFERROR(IFERROR(IF(FIND("美國政府",換券單檔!G61)=1,換券單檔!G61),CONCATENATE(LEFT(換券單檔!G61,SEARCH(換券單檔!H68,換券單檔!G61,1)-1))),"")</f>
        <v/>
      </c>
      <c r="W44" s="1129"/>
      <c r="X44" s="1429" t="s">
        <v>1314</v>
      </c>
      <c r="Y44" s="2032" t="s">
        <v>3736</v>
      </c>
      <c r="Z44" s="2032"/>
      <c r="AA44" s="2032" t="s">
        <v>3550</v>
      </c>
      <c r="AB44" s="2032"/>
      <c r="AC44" s="2032"/>
      <c r="AD44" s="2032" t="s">
        <v>1330</v>
      </c>
      <c r="AE44" s="2032"/>
      <c r="AF44" s="2032"/>
      <c r="AG44" s="1170"/>
      <c r="AH44" s="1170"/>
      <c r="AI44" s="2034" t="s">
        <v>1314</v>
      </c>
      <c r="AJ44" s="2034"/>
      <c r="AK44" s="2034"/>
      <c r="AL44" s="2032" t="s">
        <v>3736</v>
      </c>
      <c r="AM44" s="2032"/>
      <c r="AN44" s="2032"/>
      <c r="AO44" s="2032"/>
      <c r="AP44" s="2032"/>
      <c r="AQ44" s="2032" t="s">
        <v>3550</v>
      </c>
      <c r="AR44" s="2032"/>
      <c r="AS44" s="2032"/>
      <c r="AT44" s="2032" t="s">
        <v>1330</v>
      </c>
      <c r="AU44" s="2032"/>
      <c r="AV44" s="2032"/>
      <c r="AW44" s="2032" t="s">
        <v>3532</v>
      </c>
      <c r="AX44" s="2032"/>
      <c r="AY44" s="2032"/>
      <c r="AZ44" s="2032"/>
    </row>
    <row r="45" spans="4:62" ht="43.4" customHeight="1">
      <c r="D45" s="505"/>
      <c r="E45" s="1502"/>
      <c r="F45" s="505"/>
      <c r="G45" s="505"/>
      <c r="H45" s="1502"/>
      <c r="I45" s="505"/>
      <c r="J45" s="505"/>
      <c r="P45" s="1573" t="s">
        <v>208</v>
      </c>
      <c r="Q45" s="2001" t="str">
        <f ca="1">庫存管理!Q98</f>
        <v/>
      </c>
      <c r="R45" s="2001"/>
      <c r="S45" s="2001"/>
      <c r="T45" s="2002" t="str">
        <f ca="1">庫存管理!T98</f>
        <v/>
      </c>
      <c r="U45" s="2003"/>
      <c r="V45" s="1129"/>
      <c r="W45" s="1129"/>
      <c r="X45" s="1495" t="str">
        <f ca="1">IF(換券投組!AE8="","",換券投組!AE8)</f>
        <v/>
      </c>
      <c r="Y45" s="2030" t="str">
        <f ca="1">IF(換券投組!AG8=1,"",IFERROR(IFERROR(IF(FIND("美國政府",換券投組!AF8)=1,LEFT(換券投組!AF8,6)),CONCATENATE(LEFT(換券投組!AF8,SEARCH("美元",換券投組!AF8,1)-1))),""))</f>
        <v/>
      </c>
      <c r="Z45" s="2030"/>
      <c r="AA45" s="2029" t="str">
        <f ca="1">IF(換券投組!AG8=1,"",IFERROR(VLOOKUP(X45,'銀行-TSS'!B:H,7,FALSE),""))</f>
        <v/>
      </c>
      <c r="AB45" s="2029"/>
      <c r="AC45" s="2029"/>
      <c r="AD45" s="2030" t="str">
        <f ca="1">IF(換券投組!AG8=1,"",IFERROR(VLOOKUP(X45,'銀行-TSS'!B:F,5,FALSE),""))</f>
        <v/>
      </c>
      <c r="AE45" s="2030"/>
      <c r="AF45" s="2030"/>
      <c r="AG45" s="1131"/>
      <c r="AH45" s="1131"/>
      <c r="AI45" s="2035" t="str">
        <f>IF(庫存管理!AI98="","",庫存管理!AI98)</f>
        <v/>
      </c>
      <c r="AJ45" s="2035"/>
      <c r="AK45" s="2035"/>
      <c r="AL45" s="2030" t="str">
        <f ca="1">IFERROR(IFERROR(IF(FIND("美國政府",換券投組!AE64)=1,LEFT(換券投組!AE64,6)),CONCATENATE(LEFT(換券投組!AE64,SEARCH("美元",換券投組!AE64,1)-1))),"")</f>
        <v/>
      </c>
      <c r="AM45" s="2030"/>
      <c r="AN45" s="2030"/>
      <c r="AO45" s="2030"/>
      <c r="AP45" s="2030"/>
      <c r="AQ45" s="2028" t="str">
        <f ca="1">IFERROR(VLOOKUP(AI45,'銀行-TSS'!B:H,7,FALSE),"")</f>
        <v/>
      </c>
      <c r="AR45" s="2028"/>
      <c r="AS45" s="2028"/>
      <c r="AT45" s="2028" t="str">
        <f ca="1">IFERROR(VLOOKUP(AI45,'銀行-TSS'!B:F,5,FALSE),"")</f>
        <v/>
      </c>
      <c r="AU45" s="2028"/>
      <c r="AV45" s="2028"/>
      <c r="AW45" s="2033" t="str">
        <f>IF(AI45="","",IF(換券投組!$AG$62=1,換券投組!AG64,換券投組!AF64))</f>
        <v/>
      </c>
      <c r="AX45" s="2033"/>
      <c r="AY45" s="2033"/>
      <c r="AZ45" s="2033"/>
    </row>
    <row r="46" spans="4:62" ht="43.4" customHeight="1">
      <c r="D46" s="505"/>
      <c r="E46" s="505"/>
      <c r="F46" s="505"/>
      <c r="G46" s="505"/>
      <c r="H46" s="505"/>
      <c r="I46" s="505"/>
      <c r="J46" s="505"/>
      <c r="P46" s="1576" t="s">
        <v>4347</v>
      </c>
      <c r="Q46" s="1984" t="str">
        <f ca="1">庫存管理!Q99</f>
        <v/>
      </c>
      <c r="R46" s="1984"/>
      <c r="S46" s="1984"/>
      <c r="T46" s="1985" t="str">
        <f ca="1">庫存管理!T99</f>
        <v/>
      </c>
      <c r="U46" s="1986"/>
      <c r="V46" s="1129"/>
      <c r="W46" s="1129"/>
      <c r="X46" s="1496" t="str">
        <f ca="1">IF(換券投組!AE9="","",換券投組!AE9)</f>
        <v/>
      </c>
      <c r="Y46" s="1990" t="str">
        <f ca="1">IF(換券投組!AG9=1,"",IFERROR(IFERROR(IF(FIND("美國政府",換券投組!AF9)=1,LEFT(換券投組!AF9,6)),CONCATENATE(LEFT(換券投組!AF9,SEARCH("美元",換券投組!AF9,1)-1))),""))</f>
        <v/>
      </c>
      <c r="Z46" s="1990"/>
      <c r="AA46" s="1991" t="str">
        <f ca="1">IF(換券投組!AG9=1,"",IFERROR(VLOOKUP(X46,'銀行-TSS'!B:H,7,FALSE),""))</f>
        <v/>
      </c>
      <c r="AB46" s="1991"/>
      <c r="AC46" s="1991"/>
      <c r="AD46" s="1990" t="str">
        <f ca="1">IF(換券投組!AG9=1,"",IFERROR(VLOOKUP(X46,'銀行-TSS'!B:F,5,FALSE),""))</f>
        <v/>
      </c>
      <c r="AE46" s="1990"/>
      <c r="AF46" s="1990"/>
      <c r="AG46" s="1131"/>
      <c r="AH46" s="1131"/>
      <c r="AI46" s="2038" t="str">
        <f>IF(庫存管理!AI99="","",庫存管理!AI99)</f>
        <v/>
      </c>
      <c r="AJ46" s="2038"/>
      <c r="AK46" s="2038"/>
      <c r="AL46" s="1990" t="str">
        <f ca="1">IFERROR(IFERROR(IF(FIND("美國政府",換券投組!AE65)=1,LEFT(換券投組!AE65,6)),CONCATENATE(LEFT(換券投組!AE65,SEARCH("美元",換券投組!AE65,1)-1))),"")</f>
        <v/>
      </c>
      <c r="AM46" s="1990"/>
      <c r="AN46" s="1990"/>
      <c r="AO46" s="1990"/>
      <c r="AP46" s="1990"/>
      <c r="AQ46" s="1993" t="str">
        <f ca="1">IFERROR(VLOOKUP(AI46,'銀行-TSS'!B:H,7,FALSE),"")</f>
        <v/>
      </c>
      <c r="AR46" s="1993"/>
      <c r="AS46" s="1993"/>
      <c r="AT46" s="1993" t="str">
        <f ca="1">IFERROR(VLOOKUP(AI46,'銀行-TSS'!B:F,5,FALSE),"")</f>
        <v/>
      </c>
      <c r="AU46" s="1993"/>
      <c r="AV46" s="1993"/>
      <c r="AW46" s="2031" t="str">
        <f>IF(AI46="","",IF(換券投組!$AG$62=1,換券投組!AG65,換券投組!AF65))</f>
        <v/>
      </c>
      <c r="AX46" s="2031"/>
      <c r="AY46" s="2031"/>
      <c r="AZ46" s="2031"/>
    </row>
    <row r="47" spans="4:62" ht="43.4" customHeight="1">
      <c r="D47" s="505"/>
      <c r="E47" s="1502"/>
      <c r="F47" s="505"/>
      <c r="G47" s="505"/>
      <c r="H47" s="1502"/>
      <c r="I47" s="505"/>
      <c r="J47" s="505"/>
      <c r="P47" s="1574" t="s">
        <v>3532</v>
      </c>
      <c r="Q47" s="1998" t="str">
        <f ca="1">庫存管理!Q100</f>
        <v/>
      </c>
      <c r="R47" s="1998"/>
      <c r="S47" s="1998"/>
      <c r="T47" s="1999" t="str">
        <f ca="1">庫存管理!T100</f>
        <v/>
      </c>
      <c r="U47" s="2000"/>
      <c r="V47" s="1129"/>
      <c r="W47" s="1129"/>
      <c r="X47" s="1496" t="str">
        <f ca="1">IF(換券投組!AE10="","",換券投組!AE10)</f>
        <v/>
      </c>
      <c r="Y47" s="1990" t="str">
        <f ca="1">IF(換券投組!AG10=1,"",IFERROR(IFERROR(IF(FIND("美國政府",換券投組!AF10)=1,LEFT(換券投組!AF10,6)),CONCATENATE(LEFT(換券投組!AF10,SEARCH("美元",換券投組!AF10,1)-1))),""))</f>
        <v/>
      </c>
      <c r="Z47" s="1990"/>
      <c r="AA47" s="1991" t="str">
        <f ca="1">IF(換券投組!AG10=1,"",IFERROR(VLOOKUP(X47,'銀行-TSS'!B:H,7,FALSE),""))</f>
        <v/>
      </c>
      <c r="AB47" s="1991"/>
      <c r="AC47" s="1991"/>
      <c r="AD47" s="1990" t="str">
        <f ca="1">IF(換券投組!AG10=1,"",IFERROR(VLOOKUP(X47,'銀行-TSS'!B:F,5,FALSE),""))</f>
        <v/>
      </c>
      <c r="AE47" s="1990"/>
      <c r="AF47" s="1990"/>
      <c r="AG47" s="1131"/>
      <c r="AH47" s="1131"/>
      <c r="AI47" s="2038" t="str">
        <f>IF(庫存管理!AI100="","",庫存管理!AI100)</f>
        <v/>
      </c>
      <c r="AJ47" s="2038"/>
      <c r="AK47" s="2038"/>
      <c r="AL47" s="1990" t="str">
        <f ca="1">IFERROR(IFERROR(IF(FIND("美國政府",換券投組!AE66)=1,LEFT(換券投組!AE66,6)),CONCATENATE(LEFT(換券投組!AE66,SEARCH("美元",換券投組!AE66,1)-1))),"")</f>
        <v/>
      </c>
      <c r="AM47" s="1990"/>
      <c r="AN47" s="1990"/>
      <c r="AO47" s="1990"/>
      <c r="AP47" s="1990"/>
      <c r="AQ47" s="1993" t="str">
        <f ca="1">IFERROR(VLOOKUP(AI47,'銀行-TSS'!B:H,7,FALSE),"")</f>
        <v/>
      </c>
      <c r="AR47" s="1993"/>
      <c r="AS47" s="1993"/>
      <c r="AT47" s="1993" t="str">
        <f ca="1">IFERROR(VLOOKUP(AI47,'銀行-TSS'!B:F,5,FALSE),"")</f>
        <v/>
      </c>
      <c r="AU47" s="1993"/>
      <c r="AV47" s="1993"/>
      <c r="AW47" s="2031" t="str">
        <f>IF(AI47="","",IF(換券投組!$AG$62=1,換券投組!AG66,換券投組!AF66))</f>
        <v/>
      </c>
      <c r="AX47" s="2031"/>
      <c r="AY47" s="2031"/>
      <c r="AZ47" s="2031"/>
    </row>
    <row r="48" spans="4:62" ht="43.4" customHeight="1">
      <c r="D48" s="505"/>
      <c r="E48" s="505"/>
      <c r="F48" s="505"/>
      <c r="G48" s="505"/>
      <c r="H48" s="505"/>
      <c r="I48" s="505"/>
      <c r="J48" s="505"/>
      <c r="P48" s="1576" t="s">
        <v>4348</v>
      </c>
      <c r="Q48" s="1987" t="str">
        <f ca="1">庫存管理!Q101</f>
        <v/>
      </c>
      <c r="R48" s="1987"/>
      <c r="S48" s="1987"/>
      <c r="T48" s="2024" t="str">
        <f ca="1">庫存管理!T101</f>
        <v/>
      </c>
      <c r="U48" s="2025"/>
      <c r="V48" s="1129"/>
      <c r="W48" s="1129"/>
      <c r="X48" s="1496" t="str">
        <f ca="1">IF(換券投組!AE11="","",換券投組!AE11)</f>
        <v/>
      </c>
      <c r="Y48" s="1990" t="str">
        <f ca="1">IF(換券投組!AG11=1,"",IFERROR(IFERROR(IF(FIND("美國政府",換券投組!AF11)=1,LEFT(換券投組!AF11,6)),CONCATENATE(LEFT(換券投組!AF11,SEARCH("美元",換券投組!AF11,1)-1))),""))</f>
        <v/>
      </c>
      <c r="Z48" s="1990"/>
      <c r="AA48" s="1991" t="str">
        <f ca="1">IF(換券投組!AG11=1,"",IFERROR(VLOOKUP(X48,'銀行-TSS'!B:H,7,FALSE),""))</f>
        <v/>
      </c>
      <c r="AB48" s="1991"/>
      <c r="AC48" s="1991"/>
      <c r="AD48" s="1990" t="str">
        <f ca="1">IF(換券投組!AG11=1,"",IFERROR(VLOOKUP(X48,'銀行-TSS'!B:F,5,FALSE),""))</f>
        <v/>
      </c>
      <c r="AE48" s="1990"/>
      <c r="AF48" s="1990"/>
      <c r="AG48" s="1131"/>
      <c r="AH48" s="1131"/>
      <c r="AI48" s="2038" t="str">
        <f>IF(庫存管理!AI101="","",庫存管理!AI101)</f>
        <v/>
      </c>
      <c r="AJ48" s="2038"/>
      <c r="AK48" s="2038"/>
      <c r="AL48" s="1990" t="str">
        <f ca="1">IFERROR(IFERROR(IF(FIND("美國政府",換券投組!AE67)=1,LEFT(換券投組!AE67,6)),CONCATENATE(LEFT(換券投組!AE67,SEARCH("美元",換券投組!AE67,1)-1))),"")</f>
        <v/>
      </c>
      <c r="AM48" s="1990"/>
      <c r="AN48" s="1990"/>
      <c r="AO48" s="1990"/>
      <c r="AP48" s="1990"/>
      <c r="AQ48" s="1993" t="str">
        <f ca="1">IFERROR(VLOOKUP(AI48,'銀行-TSS'!B:H,7,FALSE),"")</f>
        <v/>
      </c>
      <c r="AR48" s="1993"/>
      <c r="AS48" s="1993"/>
      <c r="AT48" s="1993" t="str">
        <f ca="1">IFERROR(VLOOKUP(AI48,'銀行-TSS'!B:F,5,FALSE),"")</f>
        <v/>
      </c>
      <c r="AU48" s="1993"/>
      <c r="AV48" s="1993"/>
      <c r="AW48" s="2031" t="str">
        <f>IF(AI48="","",IF(換券投組!$AG$62=1,換券投組!AG67,換券投組!AF67))</f>
        <v/>
      </c>
      <c r="AX48" s="2031"/>
      <c r="AY48" s="2031"/>
      <c r="AZ48" s="2031"/>
    </row>
    <row r="49" spans="4:52" ht="43.4" customHeight="1">
      <c r="D49" s="505"/>
      <c r="E49" s="1502"/>
      <c r="F49" s="505"/>
      <c r="G49" s="505"/>
      <c r="H49" s="1502"/>
      <c r="I49" s="505"/>
      <c r="J49" s="505"/>
      <c r="P49" s="1574" t="s">
        <v>207</v>
      </c>
      <c r="Q49" s="1987" t="str">
        <f ca="1">庫存管理!Q102</f>
        <v/>
      </c>
      <c r="R49" s="1987"/>
      <c r="S49" s="1987"/>
      <c r="T49" s="1988" t="str">
        <f ca="1">庫存管理!T102</f>
        <v/>
      </c>
      <c r="U49" s="1989"/>
      <c r="V49" s="1129"/>
      <c r="W49" s="1129"/>
      <c r="X49" s="1496" t="str">
        <f ca="1">IF(換券投組!AE12="","",換券投組!AE12)</f>
        <v/>
      </c>
      <c r="Y49" s="1990" t="str">
        <f ca="1">IF(換券投組!AG12=1,"",IFERROR(IFERROR(IF(FIND("美國政府",換券投組!AF12)=1,LEFT(換券投組!AF12,6)),CONCATENATE(LEFT(換券投組!AF12,SEARCH("美元",換券投組!AF12,1)-1))),""))</f>
        <v/>
      </c>
      <c r="Z49" s="1990"/>
      <c r="AA49" s="1991" t="str">
        <f ca="1">IF(換券投組!AG12=1,"",IFERROR(VLOOKUP(X49,'銀行-TSS'!B:H,7,FALSE),""))</f>
        <v/>
      </c>
      <c r="AB49" s="1991"/>
      <c r="AC49" s="1991"/>
      <c r="AD49" s="1990" t="str">
        <f ca="1">IF(換券投組!AG12=1,"",IFERROR(VLOOKUP(X49,'銀行-TSS'!B:F,5,FALSE),""))</f>
        <v/>
      </c>
      <c r="AE49" s="1990"/>
      <c r="AF49" s="1990"/>
      <c r="AG49" s="1131"/>
      <c r="AH49" s="1131"/>
      <c r="AI49" s="2038" t="str">
        <f>IF(庫存管理!AI102="","",庫存管理!AI102)</f>
        <v/>
      </c>
      <c r="AJ49" s="2038"/>
      <c r="AK49" s="2038"/>
      <c r="AL49" s="1990" t="str">
        <f ca="1">IFERROR(IFERROR(IF(FIND("美國政府",換券投組!AE68)=1,LEFT(換券投組!AE68,6)),CONCATENATE(LEFT(換券投組!AE68,SEARCH("美元",換券投組!AE68,1)-1))),"")</f>
        <v/>
      </c>
      <c r="AM49" s="1990"/>
      <c r="AN49" s="1990"/>
      <c r="AO49" s="1990"/>
      <c r="AP49" s="1990"/>
      <c r="AQ49" s="1993" t="str">
        <f ca="1">IFERROR(VLOOKUP(AI49,'銀行-TSS'!B:H,7,FALSE),"")</f>
        <v/>
      </c>
      <c r="AR49" s="1993"/>
      <c r="AS49" s="1993"/>
      <c r="AT49" s="1993" t="str">
        <f ca="1">IFERROR(VLOOKUP(AI49,'銀行-TSS'!B:F,5,FALSE),"")</f>
        <v/>
      </c>
      <c r="AU49" s="1993"/>
      <c r="AV49" s="1993"/>
      <c r="AW49" s="2031" t="str">
        <f>IF(AI49="","",IF(換券投組!$AG$62=1,換券投組!AG68,換券投組!AF68))</f>
        <v/>
      </c>
      <c r="AX49" s="2031"/>
      <c r="AY49" s="2031"/>
      <c r="AZ49" s="2031"/>
    </row>
    <row r="50" spans="4:52" ht="42.75" customHeight="1">
      <c r="D50" s="505"/>
      <c r="E50" s="505"/>
      <c r="F50" s="505"/>
      <c r="G50" s="505"/>
      <c r="H50" s="505"/>
      <c r="I50" s="505"/>
      <c r="J50" s="505"/>
      <c r="P50" s="1575" t="s">
        <v>4171</v>
      </c>
      <c r="Q50" s="1994" t="str">
        <f ca="1">庫存管理!Q103</f>
        <v/>
      </c>
      <c r="R50" s="1995"/>
      <c r="S50" s="1995"/>
      <c r="T50" s="1996" t="str">
        <f ca="1">庫存管理!T103</f>
        <v/>
      </c>
      <c r="U50" s="1997"/>
      <c r="V50" s="1129"/>
      <c r="W50" s="1129"/>
      <c r="X50" s="1497" t="str">
        <f ca="1">IF(換券投組!AE13="","",換券投組!AE13)</f>
        <v/>
      </c>
      <c r="Y50" s="2167" t="str">
        <f ca="1">IF(換券投組!AG13=1,"",IFERROR(IFERROR(IF(FIND("美國政府",換券投組!AF13)=1,LEFT(換券投組!AF13,6)),CONCATENATE(LEFT(換券投組!AF13,SEARCH("美元",換券投組!AF13,1)-1))),""))</f>
        <v/>
      </c>
      <c r="Z50" s="2167"/>
      <c r="AA50" s="2168" t="str">
        <f ca="1">IF(換券投組!AG13=1,"",IFERROR(VLOOKUP(X50,'銀行-TSS'!B:H,7,FALSE),""))</f>
        <v/>
      </c>
      <c r="AB50" s="2168"/>
      <c r="AC50" s="2168"/>
      <c r="AD50" s="2167" t="str">
        <f ca="1">IF(換券投組!AG13=1,"",IFERROR(VLOOKUP(X50,'銀行-TSS'!B:F,5,FALSE),""))</f>
        <v/>
      </c>
      <c r="AE50" s="2167"/>
      <c r="AF50" s="2167"/>
      <c r="AG50" s="1131"/>
      <c r="AH50" s="1131"/>
      <c r="AI50" s="2036" t="str">
        <f>IF(庫存管理!AI103="","",庫存管理!AI103)</f>
        <v/>
      </c>
      <c r="AJ50" s="2036"/>
      <c r="AK50" s="2036"/>
      <c r="AL50" s="2167" t="str">
        <f ca="1">IFERROR(IFERROR(IF(FIND("美國政府",換券投組!AE69)=1,LEFT(換券投組!AE69,6)),CONCATENATE(LEFT(換券投組!AE69,SEARCH("美元",換券投組!AE69,1)-1))),"")</f>
        <v/>
      </c>
      <c r="AM50" s="2167"/>
      <c r="AN50" s="2167"/>
      <c r="AO50" s="2167"/>
      <c r="AP50" s="2167"/>
      <c r="AQ50" s="2037" t="str">
        <f ca="1">IFERROR(VLOOKUP(AI50,'銀行-TSS'!B:H,7,FALSE),"")</f>
        <v/>
      </c>
      <c r="AR50" s="2037"/>
      <c r="AS50" s="2037"/>
      <c r="AT50" s="2037" t="str">
        <f ca="1">IFERROR(VLOOKUP(AI50,'銀行-TSS'!B:F,5,FALSE),"")</f>
        <v/>
      </c>
      <c r="AU50" s="2037"/>
      <c r="AV50" s="2037"/>
      <c r="AW50" s="2169" t="str">
        <f>IF(AI50="","",IF(換券投組!$AG$62=1,換券投組!AG69,換券投組!AF69))</f>
        <v/>
      </c>
      <c r="AX50" s="2169"/>
      <c r="AY50" s="2169"/>
      <c r="AZ50" s="2169"/>
    </row>
    <row r="51" spans="4:52" ht="25.5" customHeight="1">
      <c r="D51" s="505"/>
      <c r="E51" s="1502"/>
      <c r="F51" s="505"/>
      <c r="G51" s="505"/>
      <c r="H51" s="1502"/>
      <c r="I51" s="505"/>
      <c r="J51" s="505"/>
      <c r="P51" s="1017"/>
      <c r="Q51" s="1017"/>
      <c r="R51" s="1017"/>
      <c r="S51" s="1017"/>
      <c r="T51" s="981"/>
      <c r="U51" s="986"/>
      <c r="V51" s="1017"/>
      <c r="W51" s="1017"/>
      <c r="X51" s="1498"/>
      <c r="Z51" s="642"/>
      <c r="AA51" s="1409"/>
      <c r="AB51" s="1409"/>
      <c r="AC51" s="1409"/>
      <c r="AD51" s="1409"/>
      <c r="AE51" s="1409"/>
      <c r="AF51" s="1409"/>
      <c r="AG51" s="1409"/>
      <c r="AH51" s="1409"/>
      <c r="AI51" s="1501" t="str">
        <f ca="1">IF(Change投!AS2&gt;0,"※ 紅色字體商品代碼的流動性需查詢","")</f>
        <v/>
      </c>
      <c r="AJ51" s="1500"/>
      <c r="AK51" s="1500"/>
      <c r="AL51" s="1500"/>
      <c r="AM51" s="1500"/>
      <c r="AN51" s="1500"/>
      <c r="AO51" s="1500"/>
      <c r="AP51" s="1500"/>
      <c r="AQ51" s="1500"/>
      <c r="AR51" s="2194" t="s">
        <v>4373</v>
      </c>
      <c r="AS51" s="2194"/>
      <c r="AT51" s="2194"/>
      <c r="AU51" s="2194"/>
      <c r="AV51" s="2194"/>
      <c r="AW51" s="2195" t="str">
        <f ca="1">IF(Q47="","",IF(換券投組!AG62=1,換券投組!AI62,多檔換券Max!N14))</f>
        <v/>
      </c>
      <c r="AX51" s="2195"/>
      <c r="AY51" s="2195"/>
      <c r="AZ51" s="2195"/>
    </row>
    <row r="52" spans="4:52" ht="7.5" customHeight="1">
      <c r="D52" s="505"/>
      <c r="E52" s="505"/>
      <c r="F52" s="505"/>
      <c r="G52" s="505"/>
      <c r="H52" s="505"/>
      <c r="I52" s="505"/>
      <c r="J52" s="505"/>
      <c r="P52" s="1052"/>
      <c r="Q52" s="1052"/>
      <c r="R52" s="1052"/>
      <c r="S52" s="1052"/>
      <c r="T52" s="1052"/>
      <c r="U52" s="1052"/>
      <c r="V52" s="1052"/>
      <c r="W52" s="1052"/>
      <c r="X52" s="1052"/>
      <c r="Z52" s="930"/>
      <c r="AA52" s="914"/>
      <c r="AB52" s="914"/>
      <c r="AC52" s="914"/>
      <c r="AD52" s="914"/>
      <c r="AE52" s="914"/>
      <c r="AF52" s="914"/>
      <c r="AG52" s="914"/>
      <c r="AH52" s="914"/>
      <c r="AI52" s="914"/>
      <c r="AJ52" s="931"/>
      <c r="AK52" s="931"/>
      <c r="AL52" s="931"/>
      <c r="AM52" s="931"/>
      <c r="AN52" s="914"/>
      <c r="AO52" s="914"/>
      <c r="AP52" s="914"/>
      <c r="AT52" s="932"/>
      <c r="AU52" s="932"/>
    </row>
    <row r="53" spans="4:52" ht="36" customHeight="1">
      <c r="D53" s="505"/>
      <c r="E53" s="505"/>
      <c r="F53" s="505"/>
      <c r="G53" s="505"/>
      <c r="H53" s="505"/>
      <c r="I53" s="505"/>
      <c r="J53" s="505"/>
      <c r="P53" s="294" t="s">
        <v>4291</v>
      </c>
      <c r="Q53" s="294"/>
      <c r="R53" s="294"/>
      <c r="S53" s="294"/>
      <c r="T53" s="294"/>
      <c r="U53" s="1169" t="str">
        <f ca="1">CONCATENATE("幣別：",V19)</f>
        <v>幣別：USD</v>
      </c>
      <c r="V53" s="1034"/>
      <c r="W53" s="1034"/>
      <c r="X53" s="1491" t="str">
        <f>IFERROR(CONCATENATE("轉換債券清單("&amp;P44&amp;")"),"轉換債券清單")</f>
        <v>轉換債券清單(USD)</v>
      </c>
      <c r="Y53" s="1679"/>
      <c r="Z53" s="1683" t="str">
        <f>IF(換券投組!O6=4,"",CONCATENATE(CHOOSE(換券投組!P18," 現金流量"," 增值潛力"," 全面均衡"),"、 ",CHOOSE(model!A8,"非專投&amp;專投","非專投","專投")))</f>
        <v xml:space="preserve"> 現金流量、 非專投&amp;專投</v>
      </c>
      <c r="AA53" s="1681"/>
      <c r="AB53" s="1681"/>
      <c r="AC53" s="1681"/>
      <c r="AD53" s="1681"/>
      <c r="AE53" s="1681"/>
      <c r="AF53" s="1681"/>
      <c r="AQ53" s="55"/>
      <c r="AR53" s="55"/>
      <c r="AS53" s="55"/>
      <c r="AT53" s="55"/>
      <c r="AV53" s="2180" t="str">
        <f ca="1">換券投組!Q3</f>
        <v>第1頁</v>
      </c>
      <c r="AW53" s="2180"/>
      <c r="AX53" s="2179" t="str">
        <f ca="1">換券投組!Q2</f>
        <v>， 共1頁</v>
      </c>
      <c r="AY53" s="2179"/>
      <c r="AZ53" s="2179"/>
    </row>
    <row r="54" spans="4:52" ht="12.65" customHeight="1">
      <c r="D54" s="505"/>
      <c r="E54" s="505"/>
      <c r="F54" s="505"/>
      <c r="G54" s="505"/>
      <c r="H54" s="505"/>
      <c r="I54" s="505"/>
      <c r="J54" s="505"/>
      <c r="O54" s="2004"/>
      <c r="P54" s="990"/>
      <c r="Q54" s="990"/>
      <c r="R54" s="990"/>
      <c r="S54" s="990"/>
      <c r="T54" s="990"/>
      <c r="U54" s="990"/>
      <c r="V54" s="1137"/>
      <c r="W54" s="1137"/>
      <c r="X54" s="2190" t="s">
        <v>1314</v>
      </c>
      <c r="Y54" s="2186" t="s">
        <v>3736</v>
      </c>
      <c r="Z54" s="2186"/>
      <c r="AA54" s="2186"/>
      <c r="AB54" s="2186"/>
      <c r="AC54" s="2186"/>
      <c r="AD54" s="2186" t="s">
        <v>3550</v>
      </c>
      <c r="AE54" s="2186"/>
      <c r="AF54" s="2186"/>
      <c r="AG54" s="2186" t="s">
        <v>1330</v>
      </c>
      <c r="AH54" s="2186"/>
      <c r="AI54" s="2186"/>
      <c r="AJ54" s="2186"/>
      <c r="AK54" s="2186" t="s">
        <v>3523</v>
      </c>
      <c r="AL54" s="2186"/>
      <c r="AM54" s="2186"/>
      <c r="AN54" s="2186"/>
      <c r="AO54" s="2186" t="s">
        <v>3533</v>
      </c>
      <c r="AP54" s="2186"/>
      <c r="AQ54" s="2186"/>
      <c r="AR54" s="2186" t="s">
        <v>3519</v>
      </c>
      <c r="AS54" s="2186"/>
      <c r="AT54" s="2186"/>
      <c r="AU54" s="2186"/>
      <c r="AV54" s="2186"/>
      <c r="AW54" s="2186" t="s">
        <v>4413</v>
      </c>
      <c r="AX54" s="2186"/>
      <c r="AY54" s="2186"/>
      <c r="AZ54" s="2186"/>
    </row>
    <row r="55" spans="4:52" ht="30" customHeight="1">
      <c r="D55" s="505"/>
      <c r="E55" s="505"/>
      <c r="F55" s="505"/>
      <c r="G55" s="505"/>
      <c r="H55" s="505"/>
      <c r="I55" s="505"/>
      <c r="J55" s="505"/>
      <c r="O55" s="2004"/>
      <c r="P55" s="2138" t="s">
        <v>211</v>
      </c>
      <c r="Q55" s="2015">
        <f ca="1">IFERROR(換券投組!D29,0)</f>
        <v>0</v>
      </c>
      <c r="R55" s="2015"/>
      <c r="S55" s="2015"/>
      <c r="T55" s="2015"/>
      <c r="U55" s="991" t="str">
        <f ca="1">庫存管理!U108</f>
        <v>-</v>
      </c>
      <c r="V55" s="1132"/>
      <c r="W55" s="1132"/>
      <c r="X55" s="2191"/>
      <c r="Y55" s="2187"/>
      <c r="Z55" s="2187"/>
      <c r="AA55" s="2187"/>
      <c r="AB55" s="2187"/>
      <c r="AC55" s="2187"/>
      <c r="AD55" s="2187"/>
      <c r="AE55" s="2187"/>
      <c r="AF55" s="2187"/>
      <c r="AG55" s="2187"/>
      <c r="AH55" s="2187"/>
      <c r="AI55" s="2187"/>
      <c r="AJ55" s="2187"/>
      <c r="AK55" s="2187"/>
      <c r="AL55" s="2187"/>
      <c r="AM55" s="2187"/>
      <c r="AN55" s="2187"/>
      <c r="AO55" s="2187"/>
      <c r="AP55" s="2187"/>
      <c r="AQ55" s="2187"/>
      <c r="AR55" s="2187"/>
      <c r="AS55" s="2187"/>
      <c r="AT55" s="2187"/>
      <c r="AU55" s="2187"/>
      <c r="AV55" s="2187"/>
      <c r="AW55" s="2187"/>
      <c r="AX55" s="2187"/>
      <c r="AY55" s="2187"/>
      <c r="AZ55" s="2187"/>
    </row>
    <row r="56" spans="4:52" ht="34.5" hidden="1" customHeight="1">
      <c r="D56" s="505"/>
      <c r="E56" s="505"/>
      <c r="F56" s="505"/>
      <c r="G56" s="505"/>
      <c r="H56" s="505"/>
      <c r="I56" s="505"/>
      <c r="J56" s="505"/>
      <c r="O56" s="2004"/>
      <c r="P56" s="2017"/>
      <c r="Q56" s="2016">
        <f>IFERROR(換券投組!E29,0)</f>
        <v>0</v>
      </c>
      <c r="R56" s="2016"/>
      <c r="S56" s="2016"/>
      <c r="T56" s="2016"/>
      <c r="U56" s="992"/>
      <c r="V56" s="1133"/>
      <c r="W56" s="1133"/>
      <c r="X56" s="179"/>
      <c r="Y56" s="179"/>
      <c r="Z56" s="179"/>
      <c r="AA56" s="179"/>
      <c r="AB56" s="179"/>
      <c r="AC56" s="179"/>
      <c r="AD56" s="179"/>
      <c r="AE56" s="179"/>
      <c r="AF56" s="179"/>
      <c r="AG56" s="179"/>
      <c r="AH56" s="179"/>
      <c r="AI56" s="179"/>
      <c r="AJ56" s="179"/>
      <c r="AK56" s="179"/>
      <c r="AL56" s="179"/>
      <c r="AM56" s="179"/>
      <c r="AN56" s="179"/>
      <c r="AO56" s="179"/>
      <c r="AP56" s="179"/>
      <c r="AQ56" s="179"/>
      <c r="AR56" s="179"/>
      <c r="AS56" s="179"/>
      <c r="AT56" s="179"/>
      <c r="AU56" s="179"/>
      <c r="AV56" s="179"/>
      <c r="AW56" s="179"/>
      <c r="AX56" s="179"/>
      <c r="AY56" s="179"/>
      <c r="AZ56" s="179"/>
    </row>
    <row r="57" spans="4:52" ht="34.5" hidden="1" customHeight="1">
      <c r="D57" s="505"/>
      <c r="E57" s="505"/>
      <c r="F57" s="505"/>
      <c r="G57" s="505"/>
      <c r="H57" s="505"/>
      <c r="I57" s="505"/>
      <c r="J57" s="505"/>
      <c r="O57" s="2004"/>
      <c r="P57" s="2017"/>
      <c r="Q57" s="2016">
        <f ca="1">IFERROR(換券投組!D29,0)</f>
        <v>0</v>
      </c>
      <c r="R57" s="2016"/>
      <c r="S57" s="2016"/>
      <c r="T57" s="2016"/>
      <c r="U57" s="992"/>
      <c r="V57" s="1133"/>
      <c r="W57" s="1133"/>
      <c r="X57" s="179"/>
      <c r="Y57" s="179"/>
      <c r="Z57" s="179"/>
      <c r="AA57" s="179"/>
      <c r="AB57" s="179"/>
      <c r="AC57" s="179"/>
      <c r="AD57" s="179"/>
      <c r="AE57" s="179"/>
      <c r="AF57" s="179"/>
      <c r="AG57" s="179"/>
      <c r="AH57" s="179"/>
      <c r="AI57" s="179"/>
      <c r="AJ57" s="179"/>
      <c r="AK57" s="179"/>
      <c r="AL57" s="179"/>
      <c r="AM57" s="179"/>
      <c r="AN57" s="179"/>
      <c r="AO57" s="179"/>
      <c r="AP57" s="179"/>
      <c r="AQ57" s="179"/>
      <c r="AR57" s="179"/>
      <c r="AS57" s="179"/>
      <c r="AT57" s="179"/>
      <c r="AU57" s="179"/>
      <c r="AV57" s="179"/>
      <c r="AW57" s="179"/>
      <c r="AX57" s="179"/>
      <c r="AY57" s="179"/>
      <c r="AZ57" s="179"/>
    </row>
    <row r="58" spans="4:52" ht="30" customHeight="1">
      <c r="D58" s="505"/>
      <c r="E58" s="505"/>
      <c r="F58" s="505"/>
      <c r="G58" s="505"/>
      <c r="H58" s="505"/>
      <c r="I58" s="505"/>
      <c r="J58" s="505"/>
      <c r="O58" s="2004"/>
      <c r="P58" s="2017"/>
      <c r="Q58" s="2014">
        <f>IFERROR(換券投組!E29,0)</f>
        <v>0</v>
      </c>
      <c r="R58" s="2014"/>
      <c r="S58" s="2014"/>
      <c r="T58" s="2014"/>
      <c r="U58" s="993" t="str">
        <f ca="1">庫存管理!U111</f>
        <v>-</v>
      </c>
      <c r="V58" s="1134"/>
      <c r="W58" s="1308" t="str">
        <f ca="1">IF(X58="","",換券投組!O8&amp;".")</f>
        <v/>
      </c>
      <c r="X58" s="637" t="str">
        <f ca="1">IFERROR(IF(換券投組!$O$6&lt;&gt;4,換券投組!P8,IF(換券投組!R8="","",換券投組!R8)),"")</f>
        <v/>
      </c>
      <c r="Y58" s="1967" t="str">
        <f ca="1">IFERROR(IF(AND(換券投組!$O$6&lt;&gt;4,換券投組!P1=0),"無適合轉換債券標的",IFERROR(IF(FIND("美國政府",換券投組!U8)=1,LEFT(換券投組!U8,6)),CONCATENATE(LEFT(換券投組!U8,SEARCH(換券投組!$E$13,換券投組!U8,1)-1)))),"")</f>
        <v>無適合轉換債券標的</v>
      </c>
      <c r="Z58" s="1967"/>
      <c r="AA58" s="1967"/>
      <c r="AB58" s="1967"/>
      <c r="AC58" s="1967"/>
      <c r="AD58" s="2166" t="str">
        <f ca="1">IFERROR(VLOOKUP(X58,'銀行-TSS'!B:H,7,FALSE),"")</f>
        <v/>
      </c>
      <c r="AE58" s="2166"/>
      <c r="AF58" s="2166"/>
      <c r="AG58" s="1967" t="str">
        <f ca="1">IFERROR(VLOOKUP(X58,'銀行-TSS'!B:F,5,FALSE),"")</f>
        <v/>
      </c>
      <c r="AH58" s="1967"/>
      <c r="AI58" s="1967"/>
      <c r="AJ58" s="1967"/>
      <c r="AK58" s="2189" t="str">
        <f ca="1">IFERROR(VLOOKUP(X58,'銀行-TSS'!B:K,10,FALSE),"")</f>
        <v/>
      </c>
      <c r="AL58" s="2189"/>
      <c r="AM58" s="2189"/>
      <c r="AN58" s="2189"/>
      <c r="AO58" s="2166" t="str">
        <f ca="1">IFERROR(VLOOKUP(X58,'銀行-TSS'!B:M,12,FALSE),"")</f>
        <v/>
      </c>
      <c r="AP58" s="2166"/>
      <c r="AQ58" s="2166"/>
      <c r="AR58" s="1967" t="str">
        <f ca="1">IFERROR(VLOOKUP(X58,'銀行-TSS'!B:Q,16,FALSE),"")</f>
        <v/>
      </c>
      <c r="AS58" s="1967"/>
      <c r="AT58" s="1967"/>
      <c r="AU58" s="1967"/>
      <c r="AV58" s="1967"/>
      <c r="AW58" s="1967" t="str">
        <f ca="1">IFERROR(IF(X58="","",IF(換券投組!$O$6&lt;&gt;4,換券投組!Q8,換券投組!S8)),"")</f>
        <v/>
      </c>
      <c r="AX58" s="1967"/>
      <c r="AY58" s="1967"/>
      <c r="AZ58" s="1967"/>
    </row>
    <row r="59" spans="4:52" ht="15.65" customHeight="1">
      <c r="D59" s="505"/>
      <c r="E59" s="505"/>
      <c r="F59" s="505"/>
      <c r="G59" s="505"/>
      <c r="H59" s="505"/>
      <c r="I59" s="505"/>
      <c r="J59" s="505"/>
      <c r="O59" s="2005"/>
      <c r="P59" s="967"/>
      <c r="Q59" s="966"/>
      <c r="R59" s="966"/>
      <c r="S59" s="966"/>
      <c r="T59" s="966"/>
      <c r="U59" s="993"/>
      <c r="V59" s="966"/>
      <c r="W59" s="2188" t="str">
        <f ca="1">IF(X59="","",換券投組!O9&amp;".")</f>
        <v/>
      </c>
      <c r="X59" s="1967" t="str">
        <f ca="1">IFERROR(IF(換券投組!$O$6&lt;&gt;4,換券投組!P9,IF(換券投組!R9="","",換券投組!R9)),"")</f>
        <v/>
      </c>
      <c r="Y59" s="1967" t="str">
        <f ca="1">IFERROR(IFERROR(IF(FIND("美國政府",換券投組!U9)=1,LEFT(換券投組!U9,6)),CONCATENATE(LEFT(換券投組!U9,SEARCH(換券投組!$E$13,換券投組!U9,1)-1))),"")</f>
        <v/>
      </c>
      <c r="Z59" s="1967"/>
      <c r="AA59" s="1967"/>
      <c r="AB59" s="1967"/>
      <c r="AC59" s="1967"/>
      <c r="AD59" s="2166" t="str">
        <f ca="1">IFERROR(VLOOKUP(X59,'銀行-TSS'!B:H,7,FALSE),"")</f>
        <v/>
      </c>
      <c r="AE59" s="2166"/>
      <c r="AF59" s="2166"/>
      <c r="AG59" s="1967" t="str">
        <f ca="1">IFERROR(VLOOKUP(X59,'銀行-TSS'!B:F,5,FALSE),"")</f>
        <v/>
      </c>
      <c r="AH59" s="1967"/>
      <c r="AI59" s="1967"/>
      <c r="AJ59" s="1967"/>
      <c r="AK59" s="2189" t="str">
        <f ca="1">IFERROR(VLOOKUP(X59,'銀行-TSS'!B:K,10,FALSE),"")</f>
        <v/>
      </c>
      <c r="AL59" s="2189"/>
      <c r="AM59" s="2189"/>
      <c r="AN59" s="2189"/>
      <c r="AO59" s="2166" t="str">
        <f ca="1">IFERROR(VLOOKUP(X59,'銀行-TSS'!B:M,12,FALSE),"")</f>
        <v/>
      </c>
      <c r="AP59" s="2166"/>
      <c r="AQ59" s="2166"/>
      <c r="AR59" s="1967" t="str">
        <f ca="1">IFERROR(VLOOKUP(X59,'銀行-TSS'!B:Q,16,FALSE),"")</f>
        <v/>
      </c>
      <c r="AS59" s="1967"/>
      <c r="AT59" s="1967"/>
      <c r="AU59" s="1967"/>
      <c r="AV59" s="1967"/>
      <c r="AW59" s="1967" t="str">
        <f ca="1">IFERROR(IF(X59="","",IF(換券投組!$O$6&lt;&gt;4,換券投組!Q9,換券投組!S9)),"")</f>
        <v/>
      </c>
      <c r="AX59" s="1967"/>
      <c r="AY59" s="1967"/>
      <c r="AZ59" s="1967"/>
    </row>
    <row r="60" spans="4:52" ht="15.65" customHeight="1">
      <c r="D60" s="505"/>
      <c r="E60" s="505"/>
      <c r="F60" s="505"/>
      <c r="G60" s="505"/>
      <c r="H60" s="505"/>
      <c r="I60" s="505"/>
      <c r="J60" s="505"/>
      <c r="O60" s="2004"/>
      <c r="P60" s="968"/>
      <c r="Q60" s="978"/>
      <c r="R60" s="978"/>
      <c r="S60" s="978"/>
      <c r="T60" s="978"/>
      <c r="U60" s="994"/>
      <c r="V60" s="966"/>
      <c r="W60" s="2188"/>
      <c r="X60" s="1967" t="str">
        <f ca="1">IFERROR(IF(換券投組!$O$6&lt;&gt;4,換券投組!P10,IF(換券投組!R10="","",換券投組!R10)),"")</f>
        <v/>
      </c>
      <c r="Y60" s="1967"/>
      <c r="Z60" s="1967"/>
      <c r="AA60" s="1967"/>
      <c r="AB60" s="1967"/>
      <c r="AC60" s="1967"/>
      <c r="AD60" s="2166"/>
      <c r="AE60" s="2166"/>
      <c r="AF60" s="2166"/>
      <c r="AG60" s="1967"/>
      <c r="AH60" s="1967"/>
      <c r="AI60" s="1967"/>
      <c r="AJ60" s="1967"/>
      <c r="AK60" s="2189"/>
      <c r="AL60" s="2189"/>
      <c r="AM60" s="2189"/>
      <c r="AN60" s="2189"/>
      <c r="AO60" s="2166"/>
      <c r="AP60" s="2166"/>
      <c r="AQ60" s="2166"/>
      <c r="AR60" s="1967"/>
      <c r="AS60" s="1967"/>
      <c r="AT60" s="1967"/>
      <c r="AU60" s="1967"/>
      <c r="AV60" s="1967"/>
      <c r="AW60" s="1967"/>
      <c r="AX60" s="1967"/>
      <c r="AY60" s="1967"/>
      <c r="AZ60" s="1967"/>
    </row>
    <row r="61" spans="4:52" ht="30.65" customHeight="1">
      <c r="D61" s="505"/>
      <c r="E61" s="505"/>
      <c r="F61" s="505"/>
      <c r="G61" s="505"/>
      <c r="H61" s="505"/>
      <c r="I61" s="505"/>
      <c r="J61" s="505"/>
      <c r="O61" s="2004"/>
      <c r="P61" s="2006" t="s">
        <v>3544</v>
      </c>
      <c r="Q61" s="2015">
        <f ca="1">IFERROR(換券投組!D30,0)</f>
        <v>0</v>
      </c>
      <c r="R61" s="2015"/>
      <c r="S61" s="2015"/>
      <c r="T61" s="2015"/>
      <c r="U61" s="995" t="str">
        <f ca="1">庫存管理!U114</f>
        <v>-</v>
      </c>
      <c r="V61" s="1135"/>
      <c r="W61" s="1308" t="str">
        <f ca="1">IF(X61="","",換券投組!O10&amp;".")</f>
        <v/>
      </c>
      <c r="X61" s="637" t="str">
        <f ca="1">IFERROR(IF(換券投組!$O$6&lt;&gt;4,換券投組!P10,IF(換券投組!R10="","",換券投組!R10)),"")</f>
        <v/>
      </c>
      <c r="Y61" s="1967" t="str">
        <f ca="1">IFERROR(IFERROR(IF(FIND("美國政府",換券投組!U10)=1,LEFT(換券投組!U10,6)),CONCATENATE(LEFT(換券投組!U10,SEARCH(換券投組!$E$13,換券投組!U10,1)-1))),"")</f>
        <v/>
      </c>
      <c r="Z61" s="1967"/>
      <c r="AA61" s="1967"/>
      <c r="AB61" s="1967"/>
      <c r="AC61" s="1967"/>
      <c r="AD61" s="2166" t="str">
        <f ca="1">IFERROR(VLOOKUP(X61,'銀行-TSS'!B:H,7,FALSE),"")</f>
        <v/>
      </c>
      <c r="AE61" s="2166"/>
      <c r="AF61" s="2166"/>
      <c r="AG61" s="1967" t="str">
        <f ca="1">IFERROR(VLOOKUP(X61,'銀行-TSS'!B:F,5,FALSE),"")</f>
        <v/>
      </c>
      <c r="AH61" s="1967"/>
      <c r="AI61" s="1967"/>
      <c r="AJ61" s="1967"/>
      <c r="AK61" s="2189" t="str">
        <f ca="1">IFERROR(VLOOKUP(X61,'銀行-TSS'!B:K,10,FALSE),"")</f>
        <v/>
      </c>
      <c r="AL61" s="2189"/>
      <c r="AM61" s="2189"/>
      <c r="AN61" s="2189"/>
      <c r="AO61" s="2166" t="str">
        <f ca="1">IFERROR(VLOOKUP(X61,'銀行-TSS'!B:M,12,FALSE),"")</f>
        <v/>
      </c>
      <c r="AP61" s="2166"/>
      <c r="AQ61" s="2166"/>
      <c r="AR61" s="1967" t="str">
        <f ca="1">IFERROR(VLOOKUP(X61,'銀行-TSS'!B:Q,16,FALSE),"")</f>
        <v/>
      </c>
      <c r="AS61" s="1967"/>
      <c r="AT61" s="1967"/>
      <c r="AU61" s="1967"/>
      <c r="AV61" s="1967"/>
      <c r="AW61" s="1967" t="str">
        <f ca="1">IFERROR(IF(X61="","",IF(換券投組!$O$6&lt;&gt;4,換券投組!Q10,換券投組!S10)),"")</f>
        <v/>
      </c>
      <c r="AX61" s="1967"/>
      <c r="AY61" s="1967"/>
      <c r="AZ61" s="1967"/>
    </row>
    <row r="62" spans="4:52" ht="34.5" hidden="1" customHeight="1">
      <c r="D62" s="505"/>
      <c r="E62" s="505"/>
      <c r="F62" s="505"/>
      <c r="G62" s="505"/>
      <c r="H62" s="505"/>
      <c r="I62" s="505"/>
      <c r="J62" s="505"/>
      <c r="O62" s="2004"/>
      <c r="P62" s="2007"/>
      <c r="Q62" s="2016">
        <f>IFERROR(換券投組!E30,0)</f>
        <v>0</v>
      </c>
      <c r="R62" s="2016"/>
      <c r="S62" s="2016"/>
      <c r="T62" s="2016"/>
      <c r="U62" s="996"/>
      <c r="V62" s="1138"/>
      <c r="W62" s="1202"/>
      <c r="X62" s="637"/>
      <c r="Y62" s="938"/>
      <c r="Z62" s="938"/>
      <c r="AA62" s="938"/>
      <c r="AB62" s="938"/>
      <c r="AC62" s="938"/>
      <c r="AD62" s="1201"/>
      <c r="AE62" s="1201"/>
      <c r="AF62" s="1201"/>
      <c r="AG62" s="938"/>
      <c r="AH62" s="938"/>
      <c r="AI62" s="938"/>
      <c r="AJ62" s="938"/>
      <c r="AK62" s="1203"/>
      <c r="AL62" s="1203"/>
      <c r="AM62" s="1203"/>
      <c r="AN62" s="1203"/>
      <c r="AO62" s="1201"/>
      <c r="AP62" s="1201"/>
      <c r="AQ62" s="1204"/>
      <c r="AR62" s="1171"/>
      <c r="AS62" s="1171"/>
      <c r="AT62" s="1171"/>
      <c r="AU62" s="938"/>
      <c r="AV62" s="938"/>
      <c r="AW62" s="938"/>
      <c r="AX62" s="938"/>
      <c r="AY62" s="938"/>
      <c r="AZ62" s="938"/>
    </row>
    <row r="63" spans="4:52" ht="34.5" hidden="1" customHeight="1">
      <c r="D63" s="505"/>
      <c r="E63" s="505"/>
      <c r="F63" s="505"/>
      <c r="G63" s="505"/>
      <c r="H63" s="505"/>
      <c r="I63" s="505"/>
      <c r="J63" s="505"/>
      <c r="O63" s="2004"/>
      <c r="P63" s="2007"/>
      <c r="Q63" s="2016">
        <f ca="1">IFERROR(換券投組!D30,0)</f>
        <v>0</v>
      </c>
      <c r="R63" s="2016"/>
      <c r="S63" s="2016"/>
      <c r="T63" s="2016"/>
      <c r="U63" s="997"/>
      <c r="V63" s="1138"/>
      <c r="W63" s="1202"/>
      <c r="X63" s="637"/>
      <c r="Y63" s="938"/>
      <c r="Z63" s="938"/>
      <c r="AA63" s="938"/>
      <c r="AB63" s="938"/>
      <c r="AC63" s="938"/>
      <c r="AD63" s="1201"/>
      <c r="AE63" s="1201"/>
      <c r="AF63" s="1201"/>
      <c r="AG63" s="938"/>
      <c r="AH63" s="938"/>
      <c r="AI63" s="938"/>
      <c r="AJ63" s="938"/>
      <c r="AK63" s="1203"/>
      <c r="AL63" s="1203"/>
      <c r="AM63" s="1203"/>
      <c r="AN63" s="1203"/>
      <c r="AO63" s="1201"/>
      <c r="AP63" s="1201"/>
      <c r="AQ63" s="1204"/>
      <c r="AR63" s="1171"/>
      <c r="AS63" s="1171"/>
      <c r="AT63" s="1171"/>
      <c r="AU63" s="938"/>
      <c r="AV63" s="938"/>
      <c r="AW63" s="938"/>
      <c r="AX63" s="938"/>
      <c r="AY63" s="938"/>
      <c r="AZ63" s="938"/>
    </row>
    <row r="64" spans="4:52" ht="30" customHeight="1">
      <c r="D64" s="505"/>
      <c r="E64" s="505"/>
      <c r="F64" s="505"/>
      <c r="G64" s="505"/>
      <c r="H64" s="505"/>
      <c r="I64" s="505"/>
      <c r="J64" s="505"/>
      <c r="O64" s="2004"/>
      <c r="P64" s="2007"/>
      <c r="Q64" s="2014">
        <f>IFERROR(換券投組!E30,0)</f>
        <v>0</v>
      </c>
      <c r="R64" s="2014"/>
      <c r="S64" s="2014"/>
      <c r="T64" s="2014"/>
      <c r="U64" s="998" t="str">
        <f ca="1">庫存管理!U117</f>
        <v>-</v>
      </c>
      <c r="V64" s="1139"/>
      <c r="W64" s="1308" t="str">
        <f ca="1">IF(X64="","",換券投組!O11&amp;".")</f>
        <v/>
      </c>
      <c r="X64" s="637" t="str">
        <f ca="1">IFERROR(IF(換券投組!$O$6&lt;&gt;4,換券投組!P11,IF(換券投組!R11="","",換券投組!R11)),"")</f>
        <v/>
      </c>
      <c r="Y64" s="1967" t="str">
        <f ca="1">IFERROR(IFERROR(IF(FIND("美國政府",換券投組!U11)=1,LEFT(換券投組!U11,6)),CONCATENATE(LEFT(換券投組!U11,SEARCH(換券投組!$E$13,換券投組!U11,1)-1))),"")</f>
        <v/>
      </c>
      <c r="Z64" s="1967"/>
      <c r="AA64" s="1967"/>
      <c r="AB64" s="1967"/>
      <c r="AC64" s="1967"/>
      <c r="AD64" s="2166" t="str">
        <f ca="1">IFERROR(VLOOKUP(X64,'銀行-TSS'!B:H,7,FALSE),"")</f>
        <v/>
      </c>
      <c r="AE64" s="2166"/>
      <c r="AF64" s="2166"/>
      <c r="AG64" s="1967" t="str">
        <f ca="1">IFERROR(VLOOKUP(X64,'銀行-TSS'!B:F,5,FALSE),"")</f>
        <v/>
      </c>
      <c r="AH64" s="1967"/>
      <c r="AI64" s="1967"/>
      <c r="AJ64" s="1967"/>
      <c r="AK64" s="2189" t="str">
        <f ca="1">IFERROR(VLOOKUP(X64,'銀行-TSS'!B:K,10,FALSE),"")</f>
        <v/>
      </c>
      <c r="AL64" s="2189"/>
      <c r="AM64" s="2189"/>
      <c r="AN64" s="2189"/>
      <c r="AO64" s="2166" t="str">
        <f ca="1">IFERROR(VLOOKUP(X64,'銀行-TSS'!B:M,12,FALSE),"")</f>
        <v/>
      </c>
      <c r="AP64" s="2166"/>
      <c r="AQ64" s="2166"/>
      <c r="AR64" s="2172" t="str">
        <f ca="1">IFERROR(VLOOKUP(X64,'銀行-TSS'!B:Q,16,FALSE),"")</f>
        <v/>
      </c>
      <c r="AS64" s="2172"/>
      <c r="AT64" s="2172"/>
      <c r="AU64" s="2172"/>
      <c r="AV64" s="2172"/>
      <c r="AW64" s="1967" t="str">
        <f ca="1">IFERROR(IF(X64="","",IF(換券投組!$O$6&lt;&gt;4,換券投組!Q11,換券投組!S11)),"")</f>
        <v/>
      </c>
      <c r="AX64" s="1967"/>
      <c r="AY64" s="1967"/>
      <c r="AZ64" s="1967"/>
    </row>
    <row r="65" spans="1:136" ht="15.65" customHeight="1">
      <c r="D65" s="505"/>
      <c r="E65" s="505"/>
      <c r="F65" s="505"/>
      <c r="G65" s="505"/>
      <c r="H65" s="505"/>
      <c r="I65" s="505"/>
      <c r="J65" s="505"/>
      <c r="O65" s="2005"/>
      <c r="P65" s="970"/>
      <c r="Q65" s="971"/>
      <c r="R65" s="971"/>
      <c r="S65" s="971"/>
      <c r="T65" s="971"/>
      <c r="U65" s="999"/>
      <c r="V65" s="1140"/>
      <c r="W65" s="2188" t="str">
        <f ca="1">IF(X65="","",換券投組!O12&amp;".")</f>
        <v/>
      </c>
      <c r="X65" s="1967" t="str">
        <f ca="1">IFERROR(IF(換券投組!$O$6&lt;&gt;4,換券投組!P12,IF(換券投組!R12="","",換券投組!R12)),"")</f>
        <v/>
      </c>
      <c r="Y65" s="1967" t="str">
        <f ca="1">IFERROR(IFERROR(IF(FIND("美國政府",換券投組!U12)=1,LEFT(換券投組!U12,6)),CONCATENATE(LEFT(換券投組!U12,SEARCH(換券投組!$E$13,換券投組!U12,1)-1))),"")</f>
        <v/>
      </c>
      <c r="Z65" s="1967"/>
      <c r="AA65" s="1967"/>
      <c r="AB65" s="1967"/>
      <c r="AC65" s="1967"/>
      <c r="AD65" s="2166" t="str">
        <f ca="1">IFERROR(VLOOKUP(X65,'銀行-TSS'!B:H,7,FALSE),"")</f>
        <v/>
      </c>
      <c r="AE65" s="2166"/>
      <c r="AF65" s="2166"/>
      <c r="AG65" s="1967" t="str">
        <f ca="1">IFERROR(VLOOKUP(X65,'銀行-TSS'!B:F,5,FALSE),"")</f>
        <v/>
      </c>
      <c r="AH65" s="1967"/>
      <c r="AI65" s="1967"/>
      <c r="AJ65" s="1967"/>
      <c r="AK65" s="2189" t="str">
        <f ca="1">IFERROR(VLOOKUP(X65,'銀行-TSS'!B:K,10,FALSE),"")</f>
        <v/>
      </c>
      <c r="AL65" s="2189"/>
      <c r="AM65" s="2189"/>
      <c r="AN65" s="2189"/>
      <c r="AO65" s="2166" t="str">
        <f ca="1">IFERROR(VLOOKUP(X65,'銀行-TSS'!B:M,12,FALSE),"")</f>
        <v/>
      </c>
      <c r="AP65" s="2166"/>
      <c r="AQ65" s="2166"/>
      <c r="AR65" s="2172" t="str">
        <f ca="1">IFERROR(VLOOKUP(X65,'銀行-TSS'!B:Q,16,FALSE),"")</f>
        <v/>
      </c>
      <c r="AS65" s="2172"/>
      <c r="AT65" s="2172"/>
      <c r="AU65" s="2172"/>
      <c r="AV65" s="2172"/>
      <c r="AW65" s="1967" t="str">
        <f ca="1">IFERROR(IF(X65="","",IF(換券投組!$O$6&lt;&gt;4,換券投組!Q12,換券投組!S12)),"")</f>
        <v/>
      </c>
      <c r="AX65" s="1967"/>
      <c r="AY65" s="1967"/>
      <c r="AZ65" s="1967"/>
    </row>
    <row r="66" spans="1:136" ht="15.65" customHeight="1">
      <c r="D66" s="505"/>
      <c r="E66" s="505"/>
      <c r="F66" s="505"/>
      <c r="G66" s="505"/>
      <c r="H66" s="505"/>
      <c r="I66" s="505"/>
      <c r="J66" s="505"/>
      <c r="O66" s="2004"/>
      <c r="P66" s="968"/>
      <c r="Q66" s="972"/>
      <c r="R66" s="972"/>
      <c r="S66" s="972"/>
      <c r="T66" s="972"/>
      <c r="U66" s="1000"/>
      <c r="V66" s="1140"/>
      <c r="W66" s="2188"/>
      <c r="X66" s="1967">
        <f>IFERROR(IF(換券投組!$O$6&lt;&gt;4,換券投組!P16,IF(換券投組!R16="","",換券投組!R16)),"")</f>
        <v>0</v>
      </c>
      <c r="Y66" s="1967"/>
      <c r="Z66" s="1967"/>
      <c r="AA66" s="1967"/>
      <c r="AB66" s="1967"/>
      <c r="AC66" s="1967"/>
      <c r="AD66" s="2166"/>
      <c r="AE66" s="2166"/>
      <c r="AF66" s="2166"/>
      <c r="AG66" s="1967"/>
      <c r="AH66" s="1967"/>
      <c r="AI66" s="1967"/>
      <c r="AJ66" s="1967"/>
      <c r="AK66" s="2189"/>
      <c r="AL66" s="2189"/>
      <c r="AM66" s="2189"/>
      <c r="AN66" s="2189"/>
      <c r="AO66" s="2166"/>
      <c r="AP66" s="2166"/>
      <c r="AQ66" s="2166"/>
      <c r="AR66" s="2172"/>
      <c r="AS66" s="2172"/>
      <c r="AT66" s="2172"/>
      <c r="AU66" s="2172"/>
      <c r="AV66" s="2172"/>
      <c r="AW66" s="1967"/>
      <c r="AX66" s="1967"/>
      <c r="AY66" s="1967"/>
      <c r="AZ66" s="1967"/>
    </row>
    <row r="67" spans="1:136" ht="30" customHeight="1">
      <c r="D67" s="505"/>
      <c r="E67" s="505"/>
      <c r="F67" s="505"/>
      <c r="G67" s="505"/>
      <c r="H67" s="505"/>
      <c r="I67" s="505"/>
      <c r="J67" s="505"/>
      <c r="O67" s="2004"/>
      <c r="P67" s="2007" t="s">
        <v>3545</v>
      </c>
      <c r="Q67" s="2015">
        <f ca="1">IFERROR(換券投組!D31,0)</f>
        <v>0</v>
      </c>
      <c r="R67" s="2015"/>
      <c r="S67" s="2015"/>
      <c r="T67" s="2015"/>
      <c r="U67" s="1001" t="str">
        <f ca="1">庫存管理!U120</f>
        <v/>
      </c>
      <c r="V67" s="1141"/>
      <c r="W67" s="1308" t="str">
        <f ca="1">IF(X67="","",換券投組!O13&amp;".")</f>
        <v/>
      </c>
      <c r="X67" s="1759" t="str">
        <f ca="1">IFERROR(IF(換券投組!$O$6&lt;&gt;4,換券投組!P13,IF(換券投組!R13="","",換券投組!R13)),"")</f>
        <v/>
      </c>
      <c r="Y67" s="2170" t="str">
        <f ca="1">IFERROR(IFERROR(IF(FIND("美國政府",換券投組!U13)=1,LEFT(換券投組!U13,6)),CONCATENATE(LEFT(換券投組!U13,SEARCH(換券投組!$E$13,換券投組!U13,1)-1))),"")</f>
        <v/>
      </c>
      <c r="Z67" s="2170"/>
      <c r="AA67" s="2170"/>
      <c r="AB67" s="2170"/>
      <c r="AC67" s="2170"/>
      <c r="AD67" s="2165" t="str">
        <f ca="1">IFERROR(VLOOKUP(X67,'銀行-TSS'!B:H,7,FALSE),"")</f>
        <v/>
      </c>
      <c r="AE67" s="2165"/>
      <c r="AF67" s="2165"/>
      <c r="AG67" s="2170" t="str">
        <f ca="1">IFERROR(VLOOKUP(X67,'銀行-TSS'!B:F,5,FALSE),"")</f>
        <v/>
      </c>
      <c r="AH67" s="2170"/>
      <c r="AI67" s="2170"/>
      <c r="AJ67" s="2170"/>
      <c r="AK67" s="2199" t="str">
        <f ca="1">IFERROR(VLOOKUP(X67,'銀行-TSS'!B:K,10,FALSE),"")</f>
        <v/>
      </c>
      <c r="AL67" s="2199"/>
      <c r="AM67" s="2199"/>
      <c r="AN67" s="2199"/>
      <c r="AO67" s="2165" t="str">
        <f ca="1">IFERROR(VLOOKUP(X67,'銀行-TSS'!B:M,12,FALSE),"")</f>
        <v/>
      </c>
      <c r="AP67" s="2165"/>
      <c r="AQ67" s="2165"/>
      <c r="AR67" s="2173" t="str">
        <f ca="1">IFERROR(VLOOKUP(X67,'銀行-TSS'!B:Q,16,FALSE),"")</f>
        <v/>
      </c>
      <c r="AS67" s="2173"/>
      <c r="AT67" s="2173"/>
      <c r="AU67" s="2173"/>
      <c r="AV67" s="2173"/>
      <c r="AW67" s="2170" t="str">
        <f ca="1">IFERROR(IF(X67="","",IF(換券投組!$O$6&lt;&gt;4,換券投組!Q13,換券投組!S13)),"")</f>
        <v/>
      </c>
      <c r="AX67" s="2170"/>
      <c r="AY67" s="2170"/>
      <c r="AZ67" s="2170"/>
    </row>
    <row r="68" spans="1:136" ht="34.5" hidden="1" customHeight="1">
      <c r="D68" s="505"/>
      <c r="E68" s="505"/>
      <c r="F68" s="505"/>
      <c r="G68" s="505"/>
      <c r="H68" s="505"/>
      <c r="I68" s="505"/>
      <c r="J68" s="505"/>
      <c r="O68" s="2004"/>
      <c r="P68" s="2007"/>
      <c r="Q68" s="2016">
        <f ca="1">IFERROR(換券投組!E31,0)</f>
        <v>0</v>
      </c>
      <c r="R68" s="2016"/>
      <c r="S68" s="2016"/>
      <c r="T68" s="2016"/>
      <c r="U68" s="1002"/>
      <c r="V68" s="1142"/>
      <c r="W68" s="1142"/>
      <c r="X68" s="179"/>
      <c r="Y68" s="179"/>
      <c r="Z68" s="179"/>
      <c r="AA68" s="179"/>
      <c r="AB68" s="179"/>
      <c r="AC68" s="179"/>
      <c r="AD68" s="179"/>
      <c r="AE68" s="179"/>
      <c r="AF68" s="179"/>
      <c r="AG68" s="179"/>
      <c r="AH68" s="179"/>
      <c r="AI68" s="179"/>
      <c r="AJ68" s="179"/>
      <c r="AK68" s="179"/>
      <c r="AL68" s="179"/>
      <c r="AM68" s="179"/>
      <c r="AN68" s="179"/>
      <c r="AO68" s="179"/>
      <c r="AP68" s="179"/>
      <c r="AQ68" s="1130"/>
      <c r="AR68" s="1130"/>
      <c r="AS68" s="1130"/>
      <c r="AT68" s="1130"/>
      <c r="AU68" s="179"/>
      <c r="AV68" s="179"/>
      <c r="AW68" s="179"/>
      <c r="AX68" s="179"/>
      <c r="AY68" s="179"/>
      <c r="AZ68" s="179"/>
    </row>
    <row r="69" spans="1:136" ht="34.5" hidden="1" customHeight="1">
      <c r="D69" s="505"/>
      <c r="E69" s="505"/>
      <c r="F69" s="505"/>
      <c r="G69" s="505"/>
      <c r="H69" s="505"/>
      <c r="I69" s="505"/>
      <c r="J69" s="505"/>
      <c r="O69" s="2004"/>
      <c r="P69" s="2007"/>
      <c r="Q69" s="2016">
        <f ca="1">IFERROR(換券投組!D31,0)</f>
        <v>0</v>
      </c>
      <c r="R69" s="2016"/>
      <c r="S69" s="2016"/>
      <c r="T69" s="2016"/>
      <c r="U69" s="1002"/>
      <c r="V69" s="1142"/>
      <c r="W69" s="1142"/>
      <c r="X69" s="179"/>
      <c r="Y69" s="179"/>
      <c r="Z69" s="179"/>
      <c r="AA69" s="179"/>
      <c r="AB69" s="179"/>
      <c r="AC69" s="179"/>
      <c r="AD69" s="179"/>
      <c r="AE69" s="179"/>
      <c r="AF69" s="179"/>
      <c r="AG69" s="179"/>
      <c r="AH69" s="179"/>
      <c r="AI69" s="179"/>
      <c r="AJ69" s="179"/>
      <c r="AK69" s="179"/>
      <c r="AL69" s="179"/>
      <c r="AM69" s="179"/>
      <c r="AN69" s="179"/>
      <c r="AO69" s="179"/>
      <c r="AP69" s="179"/>
      <c r="AQ69" s="1130"/>
      <c r="AR69" s="1130"/>
      <c r="AS69" s="1130"/>
      <c r="AT69" s="1130"/>
      <c r="AU69" s="179"/>
      <c r="AV69" s="179"/>
      <c r="AW69" s="179"/>
      <c r="AX69" s="179"/>
      <c r="AY69" s="179"/>
      <c r="AZ69" s="179"/>
    </row>
    <row r="70" spans="1:136" ht="30" customHeight="1">
      <c r="D70" s="505"/>
      <c r="E70" s="505"/>
      <c r="F70" s="505"/>
      <c r="G70" s="505"/>
      <c r="H70" s="505"/>
      <c r="I70" s="505"/>
      <c r="J70" s="505"/>
      <c r="O70" s="2004"/>
      <c r="P70" s="2007"/>
      <c r="Q70" s="2014">
        <f ca="1">IFERROR(換券投組!E31,0)</f>
        <v>0</v>
      </c>
      <c r="R70" s="2014"/>
      <c r="S70" s="2014"/>
      <c r="T70" s="2014"/>
      <c r="U70" s="1003" t="str">
        <f ca="1">庫存管理!U123</f>
        <v/>
      </c>
      <c r="V70" s="1143"/>
      <c r="W70" s="1143"/>
    </row>
    <row r="71" spans="1:136" ht="15.65" customHeight="1">
      <c r="D71" s="505"/>
      <c r="E71" s="505"/>
      <c r="F71" s="505"/>
      <c r="G71" s="505"/>
      <c r="H71" s="505"/>
      <c r="I71" s="505"/>
      <c r="J71" s="505"/>
      <c r="O71" s="2005"/>
      <c r="P71" s="970"/>
      <c r="Q71" s="973"/>
      <c r="R71" s="973"/>
      <c r="S71" s="973"/>
      <c r="T71" s="973"/>
      <c r="U71" s="1004"/>
      <c r="V71" s="1144"/>
      <c r="W71" s="1144"/>
      <c r="X71" s="2181" t="s">
        <v>4138</v>
      </c>
      <c r="Y71" s="2181"/>
      <c r="Z71" s="2181"/>
      <c r="AA71" s="2181"/>
      <c r="AB71" s="2181"/>
      <c r="AC71" s="2181"/>
      <c r="AD71" s="2181"/>
      <c r="AE71" s="2181"/>
      <c r="AF71" s="2181"/>
      <c r="AG71" s="2181"/>
      <c r="AH71" s="2181"/>
      <c r="AI71" s="2181"/>
      <c r="AJ71" s="2181"/>
      <c r="AK71" s="2181"/>
      <c r="AL71" s="2181"/>
      <c r="AM71" s="2181"/>
      <c r="AN71" s="2181"/>
      <c r="AO71" s="2181"/>
      <c r="AP71" s="2181"/>
      <c r="AQ71" s="2181"/>
      <c r="AR71" s="2181"/>
      <c r="AS71" s="2181"/>
      <c r="AT71" s="2181"/>
      <c r="AU71" s="2181"/>
      <c r="AV71" s="2181"/>
      <c r="AW71" s="2181"/>
      <c r="AX71" s="2181"/>
      <c r="AY71" s="2181"/>
      <c r="AZ71" s="2181"/>
    </row>
    <row r="72" spans="1:136" ht="15.65" customHeight="1">
      <c r="D72" s="505"/>
      <c r="E72" s="505"/>
      <c r="F72" s="505"/>
      <c r="G72" s="505"/>
      <c r="H72" s="505"/>
      <c r="I72" s="505"/>
      <c r="J72" s="505"/>
      <c r="O72" s="2004"/>
      <c r="P72" s="968"/>
      <c r="Q72" s="974"/>
      <c r="R72" s="974"/>
      <c r="S72" s="974"/>
      <c r="T72" s="974"/>
      <c r="U72" s="1005"/>
      <c r="V72" s="1144"/>
      <c r="W72" s="1144"/>
      <c r="X72" s="2181"/>
      <c r="Y72" s="2181"/>
      <c r="Z72" s="2181"/>
      <c r="AA72" s="2181"/>
      <c r="AB72" s="2181"/>
      <c r="AC72" s="2181"/>
      <c r="AD72" s="2181"/>
      <c r="AE72" s="2181"/>
      <c r="AF72" s="2181"/>
      <c r="AG72" s="2181"/>
      <c r="AH72" s="2181"/>
      <c r="AI72" s="2181"/>
      <c r="AJ72" s="2181"/>
      <c r="AK72" s="2181"/>
      <c r="AL72" s="2181"/>
      <c r="AM72" s="2181"/>
      <c r="AN72" s="2181"/>
      <c r="AO72" s="2181"/>
      <c r="AP72" s="2181"/>
      <c r="AQ72" s="2181"/>
      <c r="AR72" s="2181"/>
      <c r="AS72" s="2181"/>
      <c r="AT72" s="2181"/>
      <c r="AU72" s="2181"/>
      <c r="AV72" s="2181"/>
      <c r="AW72" s="2181"/>
      <c r="AX72" s="2181"/>
      <c r="AY72" s="2181"/>
      <c r="AZ72" s="2181"/>
    </row>
    <row r="73" spans="1:136" ht="29.15" customHeight="1">
      <c r="D73" s="505"/>
      <c r="E73" s="505"/>
      <c r="F73" s="505"/>
      <c r="G73" s="505"/>
      <c r="H73" s="505"/>
      <c r="I73" s="505"/>
      <c r="J73" s="505"/>
      <c r="O73" s="2004"/>
      <c r="P73" s="2007" t="s">
        <v>3546</v>
      </c>
      <c r="Q73" s="2015">
        <f ca="1">IFERROR(換券投組!D32,0)</f>
        <v>0</v>
      </c>
      <c r="R73" s="2015"/>
      <c r="S73" s="2015"/>
      <c r="T73" s="2015"/>
      <c r="U73" s="1006" t="str">
        <f ca="1">庫存管理!U126</f>
        <v>-</v>
      </c>
      <c r="V73" s="1132"/>
      <c r="W73" s="1132"/>
      <c r="X73" s="1277"/>
      <c r="Y73" s="1242"/>
      <c r="Z73" s="1105"/>
      <c r="AA73" s="1242"/>
      <c r="AB73" s="1242"/>
      <c r="AC73" s="1242"/>
      <c r="AD73" s="1242"/>
      <c r="AE73" s="1242"/>
      <c r="AF73" s="1242"/>
      <c r="AG73" s="1242"/>
      <c r="AH73" s="1242"/>
      <c r="AI73" s="1242"/>
      <c r="AJ73" s="1242"/>
      <c r="AK73" s="1278"/>
      <c r="AL73" s="1278"/>
      <c r="AM73" s="1278"/>
      <c r="AN73" s="1278"/>
      <c r="AO73" s="1278"/>
      <c r="AP73" s="1278"/>
      <c r="AQ73" s="1278"/>
      <c r="AR73" s="1278"/>
      <c r="AS73" s="1278"/>
      <c r="AT73" s="1278"/>
      <c r="AU73" s="1278"/>
      <c r="AV73" s="1278"/>
      <c r="AW73" s="1279"/>
      <c r="AX73" s="1279"/>
      <c r="AY73" s="1279"/>
      <c r="AZ73" s="1279"/>
    </row>
    <row r="74" spans="1:136" ht="30.65" hidden="1" customHeight="1">
      <c r="D74" s="505"/>
      <c r="E74" s="505"/>
      <c r="F74" s="505"/>
      <c r="G74" s="505"/>
      <c r="H74" s="505"/>
      <c r="I74" s="505"/>
      <c r="J74" s="505"/>
      <c r="O74" s="2004"/>
      <c r="P74" s="2007"/>
      <c r="Q74" s="2016">
        <f ca="1">IFERROR(換券投組!E32,0)</f>
        <v>0</v>
      </c>
      <c r="R74" s="2016"/>
      <c r="S74" s="2016"/>
      <c r="T74" s="2016"/>
      <c r="U74" s="1007"/>
      <c r="V74" s="1133"/>
      <c r="W74" s="1133"/>
      <c r="X74" s="179"/>
      <c r="Y74" s="179"/>
      <c r="Z74" s="179"/>
      <c r="AA74" s="179"/>
      <c r="AB74" s="179"/>
      <c r="AC74" s="179"/>
      <c r="AD74" s="179"/>
      <c r="AF74" s="179"/>
      <c r="AG74" s="179"/>
      <c r="AH74" s="179"/>
      <c r="AI74" s="179"/>
      <c r="AJ74" s="1280"/>
      <c r="AK74" s="1281"/>
      <c r="AL74" s="1281"/>
      <c r="AM74" s="1281"/>
      <c r="AN74" s="1281"/>
      <c r="AO74" s="1281"/>
      <c r="AP74" s="1281"/>
      <c r="AQ74" s="1281"/>
      <c r="AR74" s="1281"/>
      <c r="AS74" s="1281"/>
      <c r="AT74" s="1281"/>
      <c r="AU74" s="1281"/>
      <c r="AV74" s="1281"/>
      <c r="AW74" s="1280"/>
      <c r="AX74" s="1280"/>
      <c r="AY74" s="1280"/>
      <c r="AZ74" s="1280"/>
    </row>
    <row r="75" spans="1:136" ht="30.65" hidden="1" customHeight="1">
      <c r="D75" s="505"/>
      <c r="E75" s="505"/>
      <c r="F75" s="505"/>
      <c r="G75" s="505"/>
      <c r="H75" s="505"/>
      <c r="I75" s="505"/>
      <c r="J75" s="505"/>
      <c r="O75" s="2004"/>
      <c r="P75" s="2007"/>
      <c r="Q75" s="2016">
        <f ca="1">IFERROR(換券投組!D32,0)</f>
        <v>0</v>
      </c>
      <c r="R75" s="2016"/>
      <c r="S75" s="2016"/>
      <c r="T75" s="2016"/>
      <c r="U75" s="1007"/>
      <c r="V75" s="1133"/>
      <c r="W75" s="1133"/>
      <c r="X75" s="179"/>
      <c r="Y75" s="179"/>
      <c r="Z75" s="179"/>
      <c r="AA75" s="179"/>
      <c r="AB75" s="179"/>
      <c r="AC75" s="179"/>
      <c r="AD75" s="179"/>
      <c r="AF75" s="179"/>
      <c r="AG75" s="179"/>
      <c r="AH75" s="179"/>
      <c r="AI75" s="179"/>
      <c r="AJ75" s="1280"/>
      <c r="AK75" s="1281"/>
      <c r="AL75" s="1281"/>
      <c r="AM75" s="1281"/>
      <c r="AN75" s="1281"/>
      <c r="AO75" s="1281"/>
      <c r="AP75" s="1281"/>
      <c r="AQ75" s="1281"/>
      <c r="AR75" s="1281"/>
      <c r="AS75" s="1281"/>
      <c r="AT75" s="1281"/>
      <c r="AU75" s="1281"/>
      <c r="AV75" s="1281"/>
      <c r="AW75" s="1280"/>
      <c r="AX75" s="1280"/>
      <c r="AY75" s="1280"/>
      <c r="AZ75" s="1280"/>
    </row>
    <row r="76" spans="1:136" s="169" customFormat="1" ht="29.15" customHeight="1">
      <c r="A76" s="55"/>
      <c r="B76" s="55"/>
      <c r="C76" s="55"/>
      <c r="D76" s="505"/>
      <c r="E76" s="505"/>
      <c r="F76" s="505"/>
      <c r="G76" s="505"/>
      <c r="H76" s="505"/>
      <c r="I76" s="505"/>
      <c r="J76" s="505"/>
      <c r="K76" s="55"/>
      <c r="L76" s="55"/>
      <c r="M76" s="55"/>
      <c r="N76" s="55"/>
      <c r="O76" s="2004"/>
      <c r="P76" s="2007"/>
      <c r="Q76" s="2014">
        <f ca="1">IFERROR(換券投組!E32,0)</f>
        <v>0</v>
      </c>
      <c r="R76" s="2014"/>
      <c r="S76" s="2014"/>
      <c r="T76" s="2014"/>
      <c r="U76" s="1008" t="str">
        <f ca="1">庫存管理!U129</f>
        <v>-</v>
      </c>
      <c r="V76" s="1134"/>
      <c r="W76" s="1134"/>
      <c r="X76" s="642"/>
      <c r="Y76" s="1405"/>
      <c r="Z76" s="1405"/>
      <c r="AA76" s="1171"/>
      <c r="AB76" s="1171"/>
      <c r="AC76" s="1171"/>
      <c r="AD76" s="1171"/>
      <c r="AE76" s="1171"/>
      <c r="AF76" s="1171"/>
      <c r="AG76" s="1171"/>
      <c r="AH76" s="1171"/>
      <c r="AI76" s="1171"/>
      <c r="AJ76" s="1171"/>
      <c r="AK76" s="1272"/>
      <c r="AL76" s="1272"/>
      <c r="AM76" s="1272"/>
      <c r="AN76" s="1272"/>
      <c r="AO76" s="1272"/>
      <c r="AP76" s="1272"/>
      <c r="AQ76" s="1272"/>
      <c r="AR76" s="1272"/>
      <c r="AS76" s="1272"/>
      <c r="AT76" s="1272"/>
      <c r="AU76" s="1272"/>
      <c r="AV76" s="1272"/>
      <c r="AW76" s="1273"/>
      <c r="AX76" s="1273"/>
      <c r="AY76" s="1273"/>
      <c r="AZ76" s="1273"/>
      <c r="BA76" s="1251"/>
      <c r="BH76" s="55"/>
      <c r="BI76" s="55"/>
      <c r="BJ76" s="55"/>
      <c r="BK76" s="55"/>
      <c r="BL76" s="55"/>
      <c r="BM76" s="505"/>
      <c r="BN76" s="505"/>
      <c r="BO76" s="55"/>
      <c r="BP76" s="55"/>
      <c r="BQ76" s="55"/>
      <c r="BR76" s="55"/>
      <c r="BS76" s="55"/>
      <c r="BT76" s="55"/>
      <c r="BU76" s="55"/>
      <c r="BV76" s="55"/>
      <c r="BW76" s="55"/>
      <c r="BX76" s="55"/>
      <c r="BY76" s="55"/>
      <c r="BZ76" s="55"/>
      <c r="CA76" s="55"/>
      <c r="CB76" s="55"/>
      <c r="CC76" s="55"/>
      <c r="CD76" s="55"/>
      <c r="CE76" s="55"/>
      <c r="CF76" s="55"/>
      <c r="CG76" s="55"/>
      <c r="CH76" s="55"/>
      <c r="CI76" s="55"/>
      <c r="CJ76" s="55"/>
      <c r="CK76" s="55"/>
      <c r="CL76" s="55"/>
      <c r="CM76" s="55"/>
      <c r="CN76" s="55"/>
      <c r="CO76" s="55"/>
      <c r="CP76" s="55"/>
      <c r="CQ76" s="55"/>
      <c r="CR76" s="55"/>
      <c r="CS76" s="55"/>
      <c r="CT76" s="55"/>
      <c r="CU76" s="55"/>
      <c r="CV76" s="55"/>
      <c r="CW76" s="55"/>
      <c r="CX76" s="55"/>
      <c r="CY76" s="55"/>
      <c r="CZ76" s="55"/>
      <c r="DA76" s="55"/>
      <c r="DB76" s="55"/>
      <c r="DC76" s="55"/>
      <c r="DD76" s="55"/>
      <c r="DE76" s="55"/>
      <c r="DF76" s="55"/>
      <c r="DG76" s="55"/>
      <c r="DH76" s="55"/>
      <c r="DI76" s="55"/>
      <c r="DJ76" s="55"/>
      <c r="DK76" s="55"/>
      <c r="DL76" s="55"/>
      <c r="DM76" s="55"/>
      <c r="DN76" s="55"/>
      <c r="DO76" s="55"/>
      <c r="DP76" s="55"/>
      <c r="DQ76" s="55"/>
      <c r="DR76" s="55"/>
      <c r="DS76" s="55"/>
      <c r="DT76" s="55"/>
      <c r="DU76" s="55"/>
      <c r="DV76" s="55"/>
      <c r="DW76" s="55"/>
      <c r="DX76" s="55"/>
      <c r="DY76" s="55"/>
      <c r="DZ76" s="55"/>
      <c r="EA76" s="55"/>
      <c r="EB76" s="55"/>
      <c r="EC76" s="55"/>
      <c r="ED76" s="55"/>
      <c r="EE76" s="55"/>
      <c r="EF76" s="55"/>
    </row>
    <row r="77" spans="1:136" s="169" customFormat="1" ht="16.5" customHeight="1">
      <c r="A77" s="55"/>
      <c r="B77" s="55"/>
      <c r="C77" s="55"/>
      <c r="D77" s="505"/>
      <c r="E77" s="505"/>
      <c r="F77" s="505"/>
      <c r="G77" s="505"/>
      <c r="H77" s="505"/>
      <c r="I77" s="505"/>
      <c r="J77" s="505"/>
      <c r="K77" s="55"/>
      <c r="L77" s="55"/>
      <c r="M77" s="55"/>
      <c r="N77" s="55"/>
      <c r="O77" s="2005"/>
      <c r="P77" s="1410"/>
      <c r="Q77" s="975"/>
      <c r="R77" s="975"/>
      <c r="S77" s="975"/>
      <c r="T77" s="975"/>
      <c r="U77" s="1009"/>
      <c r="V77" s="966"/>
      <c r="W77" s="966"/>
      <c r="X77" s="512"/>
      <c r="Y77" s="1276"/>
      <c r="Z77" s="1276"/>
      <c r="AA77" s="1171"/>
      <c r="AB77" s="1171"/>
      <c r="AC77" s="1171"/>
      <c r="AD77" s="1171"/>
      <c r="AE77" s="1171"/>
      <c r="AF77" s="1171"/>
      <c r="AG77" s="1171"/>
      <c r="AH77" s="1171"/>
      <c r="AI77" s="1171"/>
      <c r="AJ77" s="1171"/>
      <c r="AK77" s="1272"/>
      <c r="AL77" s="1272"/>
      <c r="AM77" s="1272"/>
      <c r="AN77" s="1272"/>
      <c r="AO77" s="1272"/>
      <c r="AP77" s="1272"/>
      <c r="AQ77" s="1272"/>
      <c r="AR77" s="1272"/>
      <c r="AS77" s="1272"/>
      <c r="AT77" s="1272"/>
      <c r="AU77" s="1272"/>
      <c r="AV77" s="1272"/>
      <c r="AW77" s="1273"/>
      <c r="AX77" s="1273"/>
      <c r="AY77" s="1273"/>
      <c r="AZ77" s="1273"/>
      <c r="BA77" s="1251"/>
      <c r="BH77" s="55"/>
      <c r="BI77" s="55"/>
      <c r="BJ77" s="55"/>
      <c r="BK77" s="55"/>
      <c r="BL77" s="55"/>
      <c r="BM77" s="505"/>
      <c r="BN77" s="505"/>
      <c r="BO77" s="55"/>
      <c r="BP77" s="55"/>
      <c r="BQ77" s="55"/>
      <c r="BR77" s="55"/>
      <c r="BS77" s="55"/>
      <c r="BT77" s="55"/>
      <c r="BU77" s="55"/>
      <c r="BV77" s="55"/>
      <c r="BW77" s="55"/>
      <c r="BX77" s="55"/>
      <c r="BY77" s="55"/>
      <c r="BZ77" s="55"/>
      <c r="CA77" s="55"/>
      <c r="CB77" s="55"/>
      <c r="CC77" s="55"/>
      <c r="CD77" s="55"/>
      <c r="CE77" s="55"/>
      <c r="CF77" s="55"/>
      <c r="CG77" s="55"/>
      <c r="CH77" s="55"/>
      <c r="CI77" s="55"/>
      <c r="CJ77" s="55"/>
      <c r="CK77" s="55"/>
      <c r="CL77" s="55"/>
      <c r="CM77" s="55"/>
      <c r="CN77" s="55"/>
      <c r="CO77" s="55"/>
      <c r="CP77" s="55"/>
      <c r="CQ77" s="55"/>
      <c r="CR77" s="55"/>
      <c r="CS77" s="55"/>
      <c r="CT77" s="55"/>
      <c r="CU77" s="55"/>
      <c r="CV77" s="55"/>
      <c r="CW77" s="55"/>
      <c r="CX77" s="55"/>
      <c r="CY77" s="55"/>
      <c r="CZ77" s="55"/>
      <c r="DA77" s="55"/>
      <c r="DB77" s="55"/>
      <c r="DC77" s="55"/>
      <c r="DD77" s="55"/>
      <c r="DE77" s="55"/>
      <c r="DF77" s="55"/>
      <c r="DG77" s="55"/>
      <c r="DH77" s="55"/>
      <c r="DI77" s="55"/>
      <c r="DJ77" s="55"/>
      <c r="DK77" s="55"/>
      <c r="DL77" s="55"/>
      <c r="DM77" s="55"/>
      <c r="DN77" s="55"/>
      <c r="DO77" s="55"/>
      <c r="DP77" s="55"/>
      <c r="DQ77" s="55"/>
      <c r="DR77" s="55"/>
      <c r="DS77" s="55"/>
      <c r="DT77" s="55"/>
      <c r="DU77" s="55"/>
      <c r="DV77" s="55"/>
      <c r="DW77" s="55"/>
      <c r="DX77" s="55"/>
      <c r="DY77" s="55"/>
      <c r="DZ77" s="55"/>
      <c r="EA77" s="55"/>
      <c r="EB77" s="55"/>
      <c r="EC77" s="55"/>
      <c r="ED77" s="55"/>
      <c r="EE77" s="55"/>
      <c r="EF77" s="55"/>
    </row>
    <row r="78" spans="1:136" s="169" customFormat="1" ht="16.5" customHeight="1">
      <c r="A78" s="55"/>
      <c r="B78" s="55"/>
      <c r="C78" s="55"/>
      <c r="D78" s="505"/>
      <c r="E78" s="505"/>
      <c r="F78" s="505"/>
      <c r="G78" s="505"/>
      <c r="H78" s="505"/>
      <c r="I78" s="505"/>
      <c r="J78" s="505"/>
      <c r="K78" s="55"/>
      <c r="L78" s="55"/>
      <c r="M78" s="55"/>
      <c r="N78" s="55"/>
      <c r="O78" s="2004"/>
      <c r="P78" s="968"/>
      <c r="Q78" s="969"/>
      <c r="R78" s="969"/>
      <c r="S78" s="969"/>
      <c r="T78" s="969"/>
      <c r="U78" s="1010"/>
      <c r="V78" s="966"/>
      <c r="W78" s="966"/>
      <c r="X78" s="512"/>
      <c r="Y78" s="1276"/>
      <c r="Z78" s="1276"/>
      <c r="AA78" s="1171"/>
      <c r="AB78" s="1171"/>
      <c r="AC78" s="1171"/>
      <c r="AD78" s="1171"/>
      <c r="AE78" s="1171"/>
      <c r="AF78" s="1171"/>
      <c r="AG78" s="1171"/>
      <c r="AH78" s="1171"/>
      <c r="AI78" s="1171"/>
      <c r="AJ78" s="1171"/>
      <c r="AK78" s="1272"/>
      <c r="AL78" s="1272"/>
      <c r="AM78" s="1272"/>
      <c r="AN78" s="1272"/>
      <c r="AO78" s="1272"/>
      <c r="AP78" s="1272"/>
      <c r="AQ78" s="1272"/>
      <c r="AR78" s="1272"/>
      <c r="AS78" s="1272"/>
      <c r="AT78" s="1272"/>
      <c r="AU78" s="1272"/>
      <c r="AV78" s="1272"/>
      <c r="AW78" s="1273"/>
      <c r="AX78" s="1273"/>
      <c r="AY78" s="1273"/>
      <c r="AZ78" s="1273"/>
      <c r="BA78" s="1251"/>
      <c r="BH78" s="55"/>
      <c r="BI78" s="55"/>
      <c r="BJ78" s="55"/>
      <c r="BK78" s="55"/>
      <c r="BL78" s="55"/>
      <c r="BM78" s="505"/>
      <c r="BN78" s="505"/>
      <c r="BO78" s="55"/>
      <c r="BP78" s="55"/>
      <c r="BQ78" s="55"/>
      <c r="BR78" s="55"/>
      <c r="BS78" s="55"/>
      <c r="BT78" s="55"/>
      <c r="BU78" s="55"/>
      <c r="BV78" s="55"/>
      <c r="BW78" s="55"/>
      <c r="BX78" s="55"/>
      <c r="BY78" s="55"/>
      <c r="BZ78" s="55"/>
      <c r="CA78" s="55"/>
      <c r="CB78" s="55"/>
      <c r="CC78" s="55"/>
      <c r="CD78" s="55"/>
      <c r="CE78" s="55"/>
      <c r="CF78" s="55"/>
      <c r="CG78" s="55"/>
      <c r="CH78" s="55"/>
      <c r="CI78" s="55"/>
      <c r="CJ78" s="55"/>
      <c r="CK78" s="55"/>
      <c r="CL78" s="55"/>
      <c r="CM78" s="55"/>
      <c r="CN78" s="55"/>
      <c r="CO78" s="55"/>
      <c r="CP78" s="55"/>
      <c r="CQ78" s="55"/>
      <c r="CR78" s="55"/>
      <c r="CS78" s="55"/>
      <c r="CT78" s="55"/>
      <c r="CU78" s="55"/>
      <c r="CV78" s="55"/>
      <c r="CW78" s="55"/>
      <c r="CX78" s="55"/>
      <c r="CY78" s="55"/>
      <c r="CZ78" s="55"/>
      <c r="DA78" s="55"/>
      <c r="DB78" s="55"/>
      <c r="DC78" s="55"/>
      <c r="DD78" s="55"/>
      <c r="DE78" s="55"/>
      <c r="DF78" s="55"/>
      <c r="DG78" s="55"/>
      <c r="DH78" s="55"/>
      <c r="DI78" s="55"/>
      <c r="DJ78" s="55"/>
      <c r="DK78" s="55"/>
      <c r="DL78" s="55"/>
      <c r="DM78" s="55"/>
      <c r="DN78" s="55"/>
      <c r="DO78" s="55"/>
      <c r="DP78" s="55"/>
      <c r="DQ78" s="55"/>
      <c r="DR78" s="55"/>
      <c r="DS78" s="55"/>
      <c r="DT78" s="55"/>
      <c r="DU78" s="55"/>
      <c r="DV78" s="55"/>
      <c r="DW78" s="55"/>
      <c r="DX78" s="55"/>
      <c r="DY78" s="55"/>
      <c r="DZ78" s="55"/>
      <c r="EA78" s="55"/>
      <c r="EB78" s="55"/>
      <c r="EC78" s="55"/>
      <c r="ED78" s="55"/>
      <c r="EE78" s="55"/>
      <c r="EF78" s="55"/>
    </row>
    <row r="79" spans="1:136" s="169" customFormat="1" ht="30.65" customHeight="1">
      <c r="A79" s="55"/>
      <c r="B79" s="55"/>
      <c r="C79" s="55"/>
      <c r="D79" s="505"/>
      <c r="E79" s="505"/>
      <c r="F79" s="505"/>
      <c r="G79" s="505"/>
      <c r="H79" s="505"/>
      <c r="I79" s="505"/>
      <c r="J79" s="505"/>
      <c r="K79" s="55"/>
      <c r="L79" s="55"/>
      <c r="M79" s="55"/>
      <c r="N79" s="55"/>
      <c r="O79" s="2004"/>
      <c r="P79" s="2019" t="s">
        <v>3782</v>
      </c>
      <c r="Q79" s="2015">
        <f ca="1">IFERROR(換券投組!D33,0)</f>
        <v>0</v>
      </c>
      <c r="R79" s="2015"/>
      <c r="S79" s="2015"/>
      <c r="T79" s="2015"/>
      <c r="U79" s="1006" t="str">
        <f ca="1">庫存管理!U132</f>
        <v>-</v>
      </c>
      <c r="V79" s="1132"/>
      <c r="W79" s="1132"/>
      <c r="X79" s="642"/>
      <c r="Y79" s="1405"/>
      <c r="Z79" s="1405"/>
      <c r="AA79" s="1171"/>
      <c r="AB79" s="1171"/>
      <c r="AC79" s="1171"/>
      <c r="AD79" s="1171"/>
      <c r="AE79" s="1171"/>
      <c r="AF79" s="1171"/>
      <c r="AG79" s="1171"/>
      <c r="AH79" s="1171"/>
      <c r="AI79" s="1171"/>
      <c r="AJ79" s="1171"/>
      <c r="AK79" s="1272"/>
      <c r="AL79" s="1272"/>
      <c r="AM79" s="1272"/>
      <c r="AN79" s="1272"/>
      <c r="AO79" s="1272"/>
      <c r="AP79" s="1272"/>
      <c r="AQ79" s="1272"/>
      <c r="AR79" s="1272"/>
      <c r="AS79" s="1272"/>
      <c r="AT79" s="1272"/>
      <c r="AU79" s="1272"/>
      <c r="AV79" s="1272"/>
      <c r="AW79" s="1273"/>
      <c r="AX79" s="1273"/>
      <c r="AY79" s="1273"/>
      <c r="AZ79" s="1273"/>
      <c r="BA79" s="1251"/>
      <c r="BH79" s="55"/>
      <c r="BI79" s="55"/>
      <c r="BJ79" s="55"/>
      <c r="BK79" s="55"/>
      <c r="BL79" s="55"/>
      <c r="BM79" s="505"/>
      <c r="BN79" s="505"/>
      <c r="BO79" s="55"/>
      <c r="BP79" s="55"/>
      <c r="BQ79" s="55"/>
      <c r="BR79" s="55"/>
      <c r="BS79" s="55"/>
      <c r="BT79" s="55"/>
      <c r="BU79" s="55"/>
      <c r="BV79" s="55"/>
      <c r="BW79" s="55"/>
      <c r="BX79" s="55"/>
      <c r="BY79" s="55"/>
      <c r="BZ79" s="55"/>
      <c r="CA79" s="55"/>
      <c r="CB79" s="55"/>
      <c r="CC79" s="55"/>
      <c r="CD79" s="55"/>
      <c r="CE79" s="55"/>
      <c r="CF79" s="55"/>
      <c r="CG79" s="55"/>
      <c r="CH79" s="55"/>
      <c r="CI79" s="55"/>
      <c r="CJ79" s="55"/>
      <c r="CK79" s="55"/>
      <c r="CL79" s="55"/>
      <c r="CM79" s="55"/>
      <c r="CN79" s="55"/>
      <c r="CO79" s="55"/>
      <c r="CP79" s="55"/>
      <c r="CQ79" s="55"/>
      <c r="CR79" s="55"/>
      <c r="CS79" s="55"/>
      <c r="CT79" s="55"/>
      <c r="CU79" s="55"/>
      <c r="CV79" s="55"/>
      <c r="CW79" s="55"/>
      <c r="CX79" s="55"/>
      <c r="CY79" s="55"/>
      <c r="CZ79" s="55"/>
      <c r="DA79" s="55"/>
      <c r="DB79" s="55"/>
      <c r="DC79" s="55"/>
      <c r="DD79" s="55"/>
      <c r="DE79" s="55"/>
      <c r="DF79" s="55"/>
      <c r="DG79" s="55"/>
      <c r="DH79" s="55"/>
      <c r="DI79" s="55"/>
      <c r="DJ79" s="55"/>
      <c r="DK79" s="55"/>
      <c r="DL79" s="55"/>
      <c r="DM79" s="55"/>
      <c r="DN79" s="55"/>
      <c r="DO79" s="55"/>
      <c r="DP79" s="55"/>
      <c r="DQ79" s="55"/>
      <c r="DR79" s="55"/>
      <c r="DS79" s="55"/>
      <c r="DT79" s="55"/>
      <c r="DU79" s="55"/>
      <c r="DV79" s="55"/>
      <c r="DW79" s="55"/>
      <c r="DX79" s="55"/>
      <c r="DY79" s="55"/>
      <c r="DZ79" s="55"/>
      <c r="EA79" s="55"/>
      <c r="EB79" s="55"/>
      <c r="EC79" s="55"/>
      <c r="ED79" s="55"/>
      <c r="EE79" s="55"/>
      <c r="EF79" s="55"/>
    </row>
    <row r="80" spans="1:136" s="169" customFormat="1" ht="34.5" hidden="1" customHeight="1">
      <c r="A80" s="55"/>
      <c r="B80" s="55"/>
      <c r="C80" s="55"/>
      <c r="D80" s="505"/>
      <c r="E80" s="505"/>
      <c r="F80" s="505"/>
      <c r="G80" s="505"/>
      <c r="H80" s="505"/>
      <c r="I80" s="505"/>
      <c r="J80" s="505"/>
      <c r="K80" s="55"/>
      <c r="L80" s="55"/>
      <c r="M80" s="55"/>
      <c r="N80" s="55"/>
      <c r="O80" s="2004"/>
      <c r="P80" s="2020"/>
      <c r="Q80" s="2016">
        <f>IFERROR(換券投組!E33,0)</f>
        <v>0</v>
      </c>
      <c r="R80" s="2016"/>
      <c r="S80" s="2016"/>
      <c r="T80" s="2016"/>
      <c r="U80" s="1007"/>
      <c r="V80" s="1133"/>
      <c r="W80" s="1133"/>
      <c r="X80" s="642"/>
      <c r="Y80" s="1405"/>
      <c r="Z80" s="1405"/>
      <c r="AA80" s="1282"/>
      <c r="AB80" s="1282"/>
      <c r="AC80" s="1282"/>
      <c r="AD80" s="1282"/>
      <c r="AE80" s="1045"/>
      <c r="AF80" s="1282"/>
      <c r="AG80" s="1282"/>
      <c r="AH80" s="1282"/>
      <c r="AI80" s="1282"/>
      <c r="AJ80" s="1283"/>
      <c r="AK80" s="1284"/>
      <c r="AL80" s="1284"/>
      <c r="AM80" s="1284"/>
      <c r="AN80" s="1284"/>
      <c r="AO80" s="1284"/>
      <c r="AP80" s="1284"/>
      <c r="AQ80" s="1284"/>
      <c r="AR80" s="1284"/>
      <c r="AS80" s="1284"/>
      <c r="AT80" s="1284"/>
      <c r="AU80" s="1284"/>
      <c r="AV80" s="1284"/>
      <c r="AW80" s="1254"/>
      <c r="AX80" s="1254"/>
      <c r="AY80" s="1254"/>
      <c r="AZ80" s="1254"/>
      <c r="BA80" s="1251"/>
      <c r="BH80" s="55"/>
      <c r="BI80" s="55"/>
      <c r="BJ80" s="55"/>
      <c r="BK80" s="55"/>
      <c r="BL80" s="55"/>
      <c r="BM80" s="505"/>
      <c r="BN80" s="505"/>
      <c r="BO80" s="55"/>
      <c r="BP80" s="55"/>
      <c r="BQ80" s="55"/>
      <c r="BR80" s="55"/>
      <c r="BS80" s="55"/>
      <c r="BT80" s="55"/>
      <c r="BU80" s="55"/>
      <c r="BV80" s="55"/>
      <c r="BW80" s="55"/>
      <c r="BX80" s="55"/>
      <c r="BY80" s="55"/>
      <c r="BZ80" s="55"/>
      <c r="CA80" s="55"/>
      <c r="CB80" s="55"/>
      <c r="CC80" s="55"/>
      <c r="CD80" s="55"/>
      <c r="CE80" s="55"/>
      <c r="CF80" s="55"/>
      <c r="CG80" s="55"/>
      <c r="CH80" s="55"/>
      <c r="CI80" s="55"/>
      <c r="CJ80" s="55"/>
      <c r="CK80" s="55"/>
      <c r="CL80" s="55"/>
      <c r="CM80" s="55"/>
      <c r="CN80" s="55"/>
      <c r="CO80" s="55"/>
      <c r="CP80" s="55"/>
      <c r="CQ80" s="55"/>
      <c r="CR80" s="55"/>
      <c r="CS80" s="55"/>
      <c r="CT80" s="55"/>
      <c r="CU80" s="55"/>
      <c r="CV80" s="55"/>
      <c r="CW80" s="55"/>
      <c r="CX80" s="55"/>
      <c r="CY80" s="55"/>
      <c r="CZ80" s="55"/>
      <c r="DA80" s="55"/>
      <c r="DB80" s="55"/>
      <c r="DC80" s="55"/>
      <c r="DD80" s="55"/>
      <c r="DE80" s="55"/>
      <c r="DF80" s="55"/>
      <c r="DG80" s="55"/>
      <c r="DH80" s="55"/>
      <c r="DI80" s="55"/>
      <c r="DJ80" s="55"/>
      <c r="DK80" s="55"/>
      <c r="DL80" s="55"/>
      <c r="DM80" s="55"/>
      <c r="DN80" s="55"/>
      <c r="DO80" s="55"/>
      <c r="DP80" s="55"/>
      <c r="DQ80" s="55"/>
      <c r="DR80" s="55"/>
      <c r="DS80" s="55"/>
      <c r="DT80" s="55"/>
      <c r="DU80" s="55"/>
      <c r="DV80" s="55"/>
      <c r="DW80" s="55"/>
      <c r="DX80" s="55"/>
      <c r="DY80" s="55"/>
      <c r="DZ80" s="55"/>
      <c r="EA80" s="55"/>
      <c r="EB80" s="55"/>
      <c r="EC80" s="55"/>
      <c r="ED80" s="55"/>
      <c r="EE80" s="55"/>
      <c r="EF80" s="55"/>
    </row>
    <row r="81" spans="1:136" s="169" customFormat="1" ht="34.5" hidden="1" customHeight="1">
      <c r="A81" s="55"/>
      <c r="B81" s="55"/>
      <c r="C81" s="55"/>
      <c r="D81" s="505"/>
      <c r="E81" s="505"/>
      <c r="F81" s="505"/>
      <c r="G81" s="505"/>
      <c r="H81" s="505"/>
      <c r="I81" s="505"/>
      <c r="J81" s="505"/>
      <c r="K81" s="55"/>
      <c r="L81" s="55"/>
      <c r="M81" s="55"/>
      <c r="N81" s="55"/>
      <c r="O81" s="2004"/>
      <c r="P81" s="2020"/>
      <c r="Q81" s="2016">
        <f ca="1">IFERROR(換券投組!D33,0)</f>
        <v>0</v>
      </c>
      <c r="R81" s="2016"/>
      <c r="S81" s="2016"/>
      <c r="T81" s="2016"/>
      <c r="U81" s="1007"/>
      <c r="V81" s="1133"/>
      <c r="W81" s="1133"/>
      <c r="X81" s="642"/>
      <c r="Y81" s="1405"/>
      <c r="Z81" s="1405"/>
      <c r="AA81" s="1282"/>
      <c r="AB81" s="1282"/>
      <c r="AC81" s="1282"/>
      <c r="AD81" s="1282"/>
      <c r="AE81" s="1045"/>
      <c r="AF81" s="1282"/>
      <c r="AG81" s="1282"/>
      <c r="AH81" s="1282"/>
      <c r="AI81" s="1282"/>
      <c r="AJ81" s="1283"/>
      <c r="AK81" s="1284"/>
      <c r="AL81" s="1284"/>
      <c r="AM81" s="1284"/>
      <c r="AN81" s="1284"/>
      <c r="AO81" s="1284"/>
      <c r="AP81" s="1284"/>
      <c r="AQ81" s="1284"/>
      <c r="AR81" s="1284"/>
      <c r="AS81" s="1284"/>
      <c r="AT81" s="1284"/>
      <c r="AU81" s="1284"/>
      <c r="AV81" s="1284"/>
      <c r="AW81" s="1254"/>
      <c r="AX81" s="1254"/>
      <c r="AY81" s="1254"/>
      <c r="AZ81" s="1254"/>
      <c r="BA81" s="1251"/>
      <c r="BH81" s="55"/>
      <c r="BI81" s="55"/>
      <c r="BJ81" s="55"/>
      <c r="BK81" s="55"/>
      <c r="BL81" s="55"/>
      <c r="BM81" s="505"/>
      <c r="BN81" s="505"/>
      <c r="BO81" s="55"/>
      <c r="BP81" s="55"/>
      <c r="BQ81" s="55"/>
      <c r="BR81" s="55"/>
      <c r="BS81" s="55"/>
      <c r="BT81" s="55"/>
      <c r="BU81" s="55"/>
      <c r="BV81" s="55"/>
      <c r="BW81" s="55"/>
      <c r="BX81" s="55"/>
      <c r="BY81" s="55"/>
      <c r="BZ81" s="55"/>
      <c r="CA81" s="55"/>
      <c r="CB81" s="55"/>
      <c r="CC81" s="55"/>
      <c r="CD81" s="55"/>
      <c r="CE81" s="55"/>
      <c r="CF81" s="55"/>
      <c r="CG81" s="55"/>
      <c r="CH81" s="55"/>
      <c r="CI81" s="55"/>
      <c r="CJ81" s="55"/>
      <c r="CK81" s="55"/>
      <c r="CL81" s="55"/>
      <c r="CM81" s="55"/>
      <c r="CN81" s="55"/>
      <c r="CO81" s="55"/>
      <c r="CP81" s="55"/>
      <c r="CQ81" s="55"/>
      <c r="CR81" s="55"/>
      <c r="CS81" s="55"/>
      <c r="CT81" s="55"/>
      <c r="CU81" s="55"/>
      <c r="CV81" s="55"/>
      <c r="CW81" s="55"/>
      <c r="CX81" s="55"/>
      <c r="CY81" s="55"/>
      <c r="CZ81" s="55"/>
      <c r="DA81" s="55"/>
      <c r="DB81" s="55"/>
      <c r="DC81" s="55"/>
      <c r="DD81" s="55"/>
      <c r="DE81" s="55"/>
      <c r="DF81" s="55"/>
      <c r="DG81" s="55"/>
      <c r="DH81" s="55"/>
      <c r="DI81" s="55"/>
      <c r="DJ81" s="55"/>
      <c r="DK81" s="55"/>
      <c r="DL81" s="55"/>
      <c r="DM81" s="55"/>
      <c r="DN81" s="55"/>
      <c r="DO81" s="55"/>
      <c r="DP81" s="55"/>
      <c r="DQ81" s="55"/>
      <c r="DR81" s="55"/>
      <c r="DS81" s="55"/>
      <c r="DT81" s="55"/>
      <c r="DU81" s="55"/>
      <c r="DV81" s="55"/>
      <c r="DW81" s="55"/>
      <c r="DX81" s="55"/>
      <c r="DY81" s="55"/>
      <c r="DZ81" s="55"/>
      <c r="EA81" s="55"/>
      <c r="EB81" s="55"/>
      <c r="EC81" s="55"/>
      <c r="ED81" s="55"/>
      <c r="EE81" s="55"/>
      <c r="EF81" s="55"/>
    </row>
    <row r="82" spans="1:136" s="169" customFormat="1" ht="30.65" customHeight="1">
      <c r="A82" s="55"/>
      <c r="B82" s="55"/>
      <c r="C82" s="55"/>
      <c r="D82" s="505"/>
      <c r="E82" s="505"/>
      <c r="F82" s="505"/>
      <c r="G82" s="505"/>
      <c r="H82" s="505"/>
      <c r="I82" s="505"/>
      <c r="J82" s="505"/>
      <c r="K82" s="55"/>
      <c r="L82" s="55"/>
      <c r="M82" s="55"/>
      <c r="N82" s="55"/>
      <c r="O82" s="2004"/>
      <c r="P82" s="2020"/>
      <c r="Q82" s="2014">
        <f>IFERROR(換券投組!E33,0)</f>
        <v>0</v>
      </c>
      <c r="R82" s="2014"/>
      <c r="S82" s="2014"/>
      <c r="T82" s="2014"/>
      <c r="U82" s="1008" t="str">
        <f ca="1">庫存管理!U135</f>
        <v>-</v>
      </c>
      <c r="V82" s="1145"/>
      <c r="W82" s="1145"/>
      <c r="X82" s="642"/>
      <c r="Y82" s="1405"/>
      <c r="Z82" s="1405"/>
      <c r="AA82" s="1171"/>
      <c r="AB82" s="1171"/>
      <c r="AC82" s="1171"/>
      <c r="AD82" s="1171"/>
      <c r="AE82" s="1171"/>
      <c r="AF82" s="1171"/>
      <c r="AG82" s="1171"/>
      <c r="AH82" s="1171"/>
      <c r="AI82" s="1171"/>
      <c r="AJ82" s="1171"/>
      <c r="AK82" s="1272"/>
      <c r="AL82" s="1272"/>
      <c r="AM82" s="1272"/>
      <c r="AN82" s="1272"/>
      <c r="AO82" s="1272"/>
      <c r="AP82" s="1272"/>
      <c r="AQ82" s="1272"/>
      <c r="AR82" s="1272"/>
      <c r="AS82" s="1272"/>
      <c r="AT82" s="1272"/>
      <c r="AU82" s="1272"/>
      <c r="AV82" s="1272"/>
      <c r="AW82" s="1273"/>
      <c r="AX82" s="1273"/>
      <c r="AY82" s="1273"/>
      <c r="AZ82" s="1273"/>
      <c r="BA82" s="1252"/>
      <c r="BH82" s="55"/>
      <c r="BI82" s="55"/>
      <c r="BJ82" s="55"/>
      <c r="BK82" s="55"/>
      <c r="BL82" s="55"/>
      <c r="BM82" s="505"/>
      <c r="BN82" s="505"/>
      <c r="BO82" s="55"/>
      <c r="BP82" s="55"/>
      <c r="BQ82" s="55"/>
      <c r="BR82" s="55"/>
      <c r="BS82" s="55"/>
      <c r="BT82" s="55"/>
      <c r="BU82" s="55"/>
      <c r="BV82" s="55"/>
      <c r="BW82" s="55"/>
      <c r="BX82" s="55"/>
      <c r="BY82" s="55"/>
      <c r="BZ82" s="55"/>
      <c r="CA82" s="55"/>
      <c r="CB82" s="55"/>
      <c r="CC82" s="55"/>
      <c r="CD82" s="55"/>
      <c r="CE82" s="55"/>
      <c r="CF82" s="55"/>
      <c r="CG82" s="55"/>
      <c r="CH82" s="55"/>
      <c r="CI82" s="55"/>
      <c r="CJ82" s="55"/>
      <c r="CK82" s="55"/>
      <c r="CL82" s="55"/>
      <c r="CM82" s="55"/>
      <c r="CN82" s="55"/>
      <c r="CO82" s="55"/>
      <c r="CP82" s="55"/>
      <c r="CQ82" s="55"/>
      <c r="CR82" s="55"/>
      <c r="CS82" s="55"/>
      <c r="CT82" s="55"/>
      <c r="CU82" s="55"/>
      <c r="CV82" s="55"/>
      <c r="CW82" s="55"/>
      <c r="CX82" s="55"/>
      <c r="CY82" s="55"/>
      <c r="CZ82" s="55"/>
      <c r="DA82" s="55"/>
      <c r="DB82" s="55"/>
      <c r="DC82" s="55"/>
      <c r="DD82" s="55"/>
      <c r="DE82" s="55"/>
      <c r="DF82" s="55"/>
      <c r="DG82" s="55"/>
      <c r="DH82" s="55"/>
      <c r="DI82" s="55"/>
      <c r="DJ82" s="55"/>
      <c r="DK82" s="55"/>
      <c r="DL82" s="55"/>
      <c r="DM82" s="55"/>
      <c r="DN82" s="55"/>
      <c r="DO82" s="55"/>
      <c r="DP82" s="55"/>
      <c r="DQ82" s="55"/>
      <c r="DR82" s="55"/>
      <c r="DS82" s="55"/>
      <c r="DT82" s="55"/>
      <c r="DU82" s="55"/>
      <c r="DV82" s="55"/>
      <c r="DW82" s="55"/>
      <c r="DX82" s="55"/>
      <c r="DY82" s="55"/>
      <c r="DZ82" s="55"/>
      <c r="EA82" s="55"/>
      <c r="EB82" s="55"/>
      <c r="EC82" s="55"/>
      <c r="ED82" s="55"/>
      <c r="EE82" s="55"/>
      <c r="EF82" s="55"/>
    </row>
    <row r="83" spans="1:136" s="169" customFormat="1" ht="15.65" customHeight="1">
      <c r="A83" s="55"/>
      <c r="B83" s="55"/>
      <c r="C83" s="55"/>
      <c r="D83" s="505"/>
      <c r="E83" s="505"/>
      <c r="F83" s="505"/>
      <c r="G83" s="505"/>
      <c r="H83" s="505"/>
      <c r="I83" s="505"/>
      <c r="J83" s="505"/>
      <c r="K83" s="55"/>
      <c r="L83" s="55"/>
      <c r="M83" s="55"/>
      <c r="N83" s="55"/>
      <c r="O83" s="2005"/>
      <c r="P83" s="970"/>
      <c r="Q83" s="976"/>
      <c r="R83" s="976"/>
      <c r="S83" s="976"/>
      <c r="T83" s="976"/>
      <c r="U83" s="1011"/>
      <c r="V83" s="1146"/>
      <c r="W83" s="1146"/>
      <c r="X83" s="512"/>
      <c r="Y83" s="1276"/>
      <c r="Z83" s="1276"/>
      <c r="AA83" s="1171"/>
      <c r="AB83" s="1171"/>
      <c r="AC83" s="1171"/>
      <c r="AD83" s="1171"/>
      <c r="AE83" s="1171"/>
      <c r="AF83" s="1171"/>
      <c r="AG83" s="1171"/>
      <c r="AH83" s="1171"/>
      <c r="AI83" s="1171"/>
      <c r="AJ83" s="1171"/>
      <c r="AK83" s="1272"/>
      <c r="AL83" s="1272"/>
      <c r="AM83" s="1272"/>
      <c r="AN83" s="1272"/>
      <c r="AO83" s="1272"/>
      <c r="AP83" s="1272"/>
      <c r="AQ83" s="1272"/>
      <c r="AR83" s="1272"/>
      <c r="AS83" s="1272"/>
      <c r="AT83" s="1272"/>
      <c r="AU83" s="1272"/>
      <c r="AV83" s="1272"/>
      <c r="AW83" s="1273"/>
      <c r="AX83" s="1273"/>
      <c r="AY83" s="1273"/>
      <c r="AZ83" s="1273"/>
      <c r="BA83" s="1251"/>
      <c r="BH83" s="55"/>
      <c r="BI83" s="55"/>
      <c r="BJ83" s="55"/>
      <c r="BK83" s="55"/>
      <c r="BL83" s="55"/>
      <c r="BM83" s="505"/>
      <c r="BN83" s="505"/>
      <c r="BO83" s="55"/>
      <c r="BP83" s="55"/>
      <c r="BQ83" s="55"/>
      <c r="BR83" s="55"/>
      <c r="BS83" s="55"/>
      <c r="BT83" s="55"/>
      <c r="BU83" s="55"/>
      <c r="BV83" s="55"/>
      <c r="BW83" s="55"/>
      <c r="BX83" s="55"/>
      <c r="BY83" s="55"/>
      <c r="BZ83" s="55"/>
      <c r="CA83" s="55"/>
      <c r="CB83" s="55"/>
      <c r="CC83" s="55"/>
      <c r="CD83" s="55"/>
      <c r="CE83" s="55"/>
      <c r="CF83" s="55"/>
      <c r="CG83" s="55"/>
      <c r="CH83" s="55"/>
      <c r="CI83" s="55"/>
      <c r="CJ83" s="55"/>
      <c r="CK83" s="55"/>
      <c r="CL83" s="55"/>
      <c r="CM83" s="55"/>
      <c r="CN83" s="55"/>
      <c r="CO83" s="55"/>
      <c r="CP83" s="55"/>
      <c r="CQ83" s="55"/>
      <c r="CR83" s="55"/>
      <c r="CS83" s="55"/>
      <c r="CT83" s="55"/>
      <c r="CU83" s="55"/>
      <c r="CV83" s="55"/>
      <c r="CW83" s="55"/>
      <c r="CX83" s="55"/>
      <c r="CY83" s="55"/>
      <c r="CZ83" s="55"/>
      <c r="DA83" s="55"/>
      <c r="DB83" s="55"/>
      <c r="DC83" s="55"/>
      <c r="DD83" s="55"/>
      <c r="DE83" s="55"/>
      <c r="DF83" s="55"/>
      <c r="DG83" s="55"/>
      <c r="DH83" s="55"/>
      <c r="DI83" s="55"/>
      <c r="DJ83" s="55"/>
      <c r="DK83" s="55"/>
      <c r="DL83" s="55"/>
      <c r="DM83" s="55"/>
      <c r="DN83" s="55"/>
      <c r="DO83" s="55"/>
      <c r="DP83" s="55"/>
      <c r="DQ83" s="55"/>
      <c r="DR83" s="55"/>
      <c r="DS83" s="55"/>
      <c r="DT83" s="55"/>
      <c r="DU83" s="55"/>
      <c r="DV83" s="55"/>
      <c r="DW83" s="55"/>
      <c r="DX83" s="55"/>
      <c r="DY83" s="55"/>
      <c r="DZ83" s="55"/>
      <c r="EA83" s="55"/>
      <c r="EB83" s="55"/>
      <c r="EC83" s="55"/>
      <c r="ED83" s="55"/>
      <c r="EE83" s="55"/>
      <c r="EF83" s="55"/>
    </row>
    <row r="84" spans="1:136" s="169" customFormat="1" ht="15.65" customHeight="1">
      <c r="A84" s="55"/>
      <c r="B84" s="55"/>
      <c r="C84" s="55"/>
      <c r="D84" s="505"/>
      <c r="E84" s="505"/>
      <c r="F84" s="505"/>
      <c r="G84" s="505"/>
      <c r="H84" s="505"/>
      <c r="I84" s="505"/>
      <c r="J84" s="505"/>
      <c r="K84" s="55"/>
      <c r="L84" s="55"/>
      <c r="M84" s="55"/>
      <c r="N84" s="55"/>
      <c r="O84" s="2004"/>
      <c r="P84" s="968"/>
      <c r="Q84" s="977"/>
      <c r="R84" s="977"/>
      <c r="S84" s="977"/>
      <c r="T84" s="977"/>
      <c r="U84" s="1012"/>
      <c r="V84" s="1146"/>
      <c r="W84" s="1146"/>
      <c r="X84" s="512"/>
      <c r="Y84" s="1276"/>
      <c r="Z84" s="1276"/>
      <c r="AA84" s="1171"/>
      <c r="AB84" s="1171"/>
      <c r="AC84" s="1171"/>
      <c r="AD84" s="1171"/>
      <c r="AE84" s="1171"/>
      <c r="AF84" s="1171"/>
      <c r="AG84" s="1171"/>
      <c r="AH84" s="1171"/>
      <c r="AI84" s="1171"/>
      <c r="AJ84" s="1171"/>
      <c r="AK84" s="1272"/>
      <c r="AL84" s="1272"/>
      <c r="AM84" s="1272"/>
      <c r="AN84" s="1272"/>
      <c r="AO84" s="1272"/>
      <c r="AP84" s="1272"/>
      <c r="AQ84" s="1272"/>
      <c r="AR84" s="1272"/>
      <c r="AS84" s="1272"/>
      <c r="AT84" s="1272"/>
      <c r="AU84" s="1272"/>
      <c r="AV84" s="1272"/>
      <c r="AW84" s="1273"/>
      <c r="AX84" s="1273"/>
      <c r="AY84" s="1273"/>
      <c r="AZ84" s="1273"/>
      <c r="BA84" s="1251"/>
      <c r="BH84" s="55"/>
      <c r="BI84" s="55"/>
      <c r="BJ84" s="55"/>
      <c r="BK84" s="55"/>
      <c r="BL84" s="55"/>
      <c r="BM84" s="505"/>
      <c r="BN84" s="505"/>
      <c r="BO84" s="55"/>
      <c r="BP84" s="55"/>
      <c r="BQ84" s="55"/>
      <c r="BR84" s="55"/>
      <c r="BS84" s="55"/>
      <c r="BT84" s="55"/>
      <c r="BU84" s="55"/>
      <c r="BV84" s="55"/>
      <c r="BW84" s="55"/>
      <c r="BX84" s="55"/>
      <c r="BY84" s="55"/>
      <c r="BZ84" s="55"/>
      <c r="CA84" s="55"/>
      <c r="CB84" s="55"/>
      <c r="CC84" s="55"/>
      <c r="CD84" s="55"/>
      <c r="CE84" s="55"/>
      <c r="CF84" s="55"/>
      <c r="CG84" s="55"/>
      <c r="CH84" s="55"/>
      <c r="CI84" s="55"/>
      <c r="CJ84" s="55"/>
      <c r="CK84" s="55"/>
      <c r="CL84" s="55"/>
      <c r="CM84" s="55"/>
      <c r="CN84" s="55"/>
      <c r="CO84" s="55"/>
      <c r="CP84" s="55"/>
      <c r="CQ84" s="55"/>
      <c r="CR84" s="55"/>
      <c r="CS84" s="55"/>
      <c r="CT84" s="55"/>
      <c r="CU84" s="55"/>
      <c r="CV84" s="55"/>
      <c r="CW84" s="55"/>
      <c r="CX84" s="55"/>
      <c r="CY84" s="55"/>
      <c r="CZ84" s="55"/>
      <c r="DA84" s="55"/>
      <c r="DB84" s="55"/>
      <c r="DC84" s="55"/>
      <c r="DD84" s="55"/>
      <c r="DE84" s="55"/>
      <c r="DF84" s="55"/>
      <c r="DG84" s="55"/>
      <c r="DH84" s="55"/>
      <c r="DI84" s="55"/>
      <c r="DJ84" s="55"/>
      <c r="DK84" s="55"/>
      <c r="DL84" s="55"/>
      <c r="DM84" s="55"/>
      <c r="DN84" s="55"/>
      <c r="DO84" s="55"/>
      <c r="DP84" s="55"/>
      <c r="DQ84" s="55"/>
      <c r="DR84" s="55"/>
      <c r="DS84" s="55"/>
      <c r="DT84" s="55"/>
      <c r="DU84" s="55"/>
      <c r="DV84" s="55"/>
      <c r="DW84" s="55"/>
      <c r="DX84" s="55"/>
      <c r="DY84" s="55"/>
      <c r="DZ84" s="55"/>
      <c r="EA84" s="55"/>
      <c r="EB84" s="55"/>
      <c r="EC84" s="55"/>
      <c r="ED84" s="55"/>
      <c r="EE84" s="55"/>
      <c r="EF84" s="55"/>
    </row>
    <row r="85" spans="1:136" s="169" customFormat="1" ht="30" customHeight="1">
      <c r="A85" s="55"/>
      <c r="B85" s="55"/>
      <c r="C85" s="55"/>
      <c r="D85" s="505"/>
      <c r="E85" s="505"/>
      <c r="F85" s="505"/>
      <c r="G85" s="505"/>
      <c r="H85" s="505"/>
      <c r="I85" s="505"/>
      <c r="J85" s="505"/>
      <c r="K85" s="55"/>
      <c r="L85" s="55"/>
      <c r="M85" s="55"/>
      <c r="N85" s="55"/>
      <c r="O85" s="2004"/>
      <c r="P85" s="2017" t="s">
        <v>3538</v>
      </c>
      <c r="Q85" s="2015">
        <f ca="1">IFERROR(換券投組!D35,0)</f>
        <v>0</v>
      </c>
      <c r="R85" s="2015"/>
      <c r="S85" s="2015"/>
      <c r="T85" s="2015"/>
      <c r="U85" s="1013" t="str">
        <f ca="1">庫存管理!U138</f>
        <v/>
      </c>
      <c r="V85" s="1136"/>
      <c r="W85" s="1136"/>
      <c r="X85" s="642"/>
      <c r="Y85" s="1405"/>
      <c r="Z85" s="1405"/>
      <c r="AA85" s="1274"/>
      <c r="AB85" s="1274"/>
      <c r="AC85" s="1274"/>
      <c r="AD85" s="1274"/>
      <c r="AE85" s="1274"/>
      <c r="AF85" s="1274"/>
      <c r="AG85" s="1274"/>
      <c r="AH85" s="1274"/>
      <c r="AI85" s="1274"/>
      <c r="AJ85" s="1274"/>
      <c r="AK85" s="1272"/>
      <c r="AL85" s="1272"/>
      <c r="AM85" s="1272"/>
      <c r="AN85" s="1272"/>
      <c r="AO85" s="1272"/>
      <c r="AP85" s="1272"/>
      <c r="AQ85" s="1272"/>
      <c r="AR85" s="1272"/>
      <c r="AS85" s="1272"/>
      <c r="AT85" s="1272"/>
      <c r="AU85" s="1272"/>
      <c r="AV85" s="1272"/>
      <c r="AW85" s="1273"/>
      <c r="AX85" s="1273"/>
      <c r="AY85" s="1273"/>
      <c r="AZ85" s="1273"/>
      <c r="BA85" s="1251"/>
      <c r="BH85" s="55"/>
      <c r="BI85" s="55"/>
      <c r="BJ85" s="55"/>
      <c r="BK85" s="55"/>
      <c r="BL85" s="55"/>
      <c r="BM85" s="505"/>
      <c r="BN85" s="505"/>
      <c r="BO85" s="55"/>
      <c r="BP85" s="55"/>
      <c r="BQ85" s="55"/>
      <c r="BR85" s="55"/>
      <c r="BS85" s="55"/>
      <c r="BT85" s="55"/>
      <c r="BU85" s="55"/>
      <c r="BV85" s="55"/>
      <c r="BW85" s="55"/>
      <c r="BX85" s="55"/>
      <c r="BY85" s="55"/>
      <c r="BZ85" s="55"/>
      <c r="CA85" s="55"/>
      <c r="CB85" s="55"/>
      <c r="CC85" s="55"/>
      <c r="CD85" s="55"/>
      <c r="CE85" s="55"/>
      <c r="CF85" s="55"/>
      <c r="CG85" s="55"/>
      <c r="CH85" s="55"/>
      <c r="CI85" s="55"/>
      <c r="CJ85" s="55"/>
      <c r="CK85" s="55"/>
      <c r="CL85" s="55"/>
      <c r="CM85" s="55"/>
      <c r="CN85" s="55"/>
      <c r="CO85" s="55"/>
      <c r="CP85" s="55"/>
      <c r="CQ85" s="55"/>
      <c r="CR85" s="55"/>
      <c r="CS85" s="55"/>
      <c r="CT85" s="55"/>
      <c r="CU85" s="55"/>
      <c r="CV85" s="55"/>
      <c r="CW85" s="55"/>
      <c r="CX85" s="55"/>
      <c r="CY85" s="55"/>
      <c r="CZ85" s="55"/>
      <c r="DA85" s="55"/>
      <c r="DB85" s="55"/>
      <c r="DC85" s="55"/>
      <c r="DD85" s="55"/>
      <c r="DE85" s="55"/>
      <c r="DF85" s="55"/>
      <c r="DG85" s="55"/>
      <c r="DH85" s="55"/>
      <c r="DI85" s="55"/>
      <c r="DJ85" s="55"/>
      <c r="DK85" s="55"/>
      <c r="DL85" s="55"/>
      <c r="DM85" s="55"/>
      <c r="DN85" s="55"/>
      <c r="DO85" s="55"/>
      <c r="DP85" s="55"/>
      <c r="DQ85" s="55"/>
      <c r="DR85" s="55"/>
      <c r="DS85" s="55"/>
      <c r="DT85" s="55"/>
      <c r="DU85" s="55"/>
      <c r="DV85" s="55"/>
      <c r="DW85" s="55"/>
      <c r="DX85" s="55"/>
      <c r="DY85" s="55"/>
      <c r="DZ85" s="55"/>
      <c r="EA85" s="55"/>
      <c r="EB85" s="55"/>
      <c r="EC85" s="55"/>
      <c r="ED85" s="55"/>
      <c r="EE85" s="55"/>
      <c r="EF85" s="55"/>
    </row>
    <row r="86" spans="1:136" s="169" customFormat="1" ht="34.5" hidden="1" customHeight="1" thickBot="1">
      <c r="A86" s="55"/>
      <c r="B86" s="55"/>
      <c r="C86" s="55"/>
      <c r="D86" s="505"/>
      <c r="E86" s="505"/>
      <c r="F86" s="505"/>
      <c r="G86" s="505"/>
      <c r="H86" s="505"/>
      <c r="I86" s="505"/>
      <c r="J86" s="505"/>
      <c r="K86" s="55"/>
      <c r="L86" s="55"/>
      <c r="M86" s="55"/>
      <c r="N86" s="55"/>
      <c r="O86" s="2004"/>
      <c r="P86" s="2017"/>
      <c r="Q86" s="2016">
        <f ca="1">IFERROR(換券投組!E35,0)</f>
        <v>0</v>
      </c>
      <c r="R86" s="2016"/>
      <c r="S86" s="2016"/>
      <c r="T86" s="2016"/>
      <c r="U86" s="1014"/>
      <c r="V86" s="1136"/>
      <c r="W86" s="1136"/>
      <c r="X86" s="642"/>
      <c r="Y86" s="1405"/>
      <c r="Z86" s="1405"/>
      <c r="AA86" s="1282"/>
      <c r="AB86" s="1282"/>
      <c r="AC86" s="1282"/>
      <c r="AD86" s="1282"/>
      <c r="AE86" s="1045"/>
      <c r="AF86" s="1282"/>
      <c r="AG86" s="1282"/>
      <c r="AH86" s="1282"/>
      <c r="AI86" s="1282"/>
      <c r="AJ86" s="1283"/>
      <c r="AK86" s="1284"/>
      <c r="AL86" s="1284"/>
      <c r="AM86" s="1284"/>
      <c r="AN86" s="1284"/>
      <c r="AO86" s="1284"/>
      <c r="AP86" s="1284"/>
      <c r="AQ86" s="1284"/>
      <c r="AR86" s="1284"/>
      <c r="AS86" s="1284"/>
      <c r="AT86" s="1284"/>
      <c r="AU86" s="1284"/>
      <c r="AV86" s="1284"/>
      <c r="AW86" s="1254"/>
      <c r="AX86" s="1254"/>
      <c r="AY86" s="1254"/>
      <c r="AZ86" s="1254"/>
      <c r="BA86" s="1251"/>
      <c r="BH86" s="55"/>
      <c r="BI86" s="55"/>
      <c r="BJ86" s="55"/>
      <c r="BK86" s="55"/>
      <c r="BL86" s="55"/>
      <c r="BM86" s="505"/>
      <c r="BN86" s="505"/>
      <c r="BO86" s="55"/>
      <c r="BP86" s="55"/>
      <c r="BQ86" s="55"/>
      <c r="BR86" s="55"/>
      <c r="BS86" s="55"/>
      <c r="BT86" s="55"/>
      <c r="BU86" s="55"/>
      <c r="BV86" s="55"/>
      <c r="BW86" s="55"/>
      <c r="BX86" s="55"/>
      <c r="BY86" s="55"/>
      <c r="BZ86" s="55"/>
      <c r="CA86" s="55"/>
      <c r="CB86" s="55"/>
      <c r="CC86" s="55"/>
      <c r="CD86" s="55"/>
      <c r="CE86" s="55"/>
      <c r="CF86" s="55"/>
      <c r="CG86" s="55"/>
      <c r="CH86" s="55"/>
      <c r="CI86" s="55"/>
      <c r="CJ86" s="55"/>
      <c r="CK86" s="55"/>
      <c r="CL86" s="55"/>
      <c r="CM86" s="55"/>
      <c r="CN86" s="55"/>
      <c r="CO86" s="55"/>
      <c r="CP86" s="55"/>
      <c r="CQ86" s="55"/>
      <c r="CR86" s="55"/>
      <c r="CS86" s="55"/>
      <c r="CT86" s="55"/>
      <c r="CU86" s="55"/>
      <c r="CV86" s="55"/>
      <c r="CW86" s="55"/>
      <c r="CX86" s="55"/>
      <c r="CY86" s="55"/>
      <c r="CZ86" s="55"/>
      <c r="DA86" s="55"/>
      <c r="DB86" s="55"/>
      <c r="DC86" s="55"/>
      <c r="DD86" s="55"/>
      <c r="DE86" s="55"/>
      <c r="DF86" s="55"/>
      <c r="DG86" s="55"/>
      <c r="DH86" s="55"/>
      <c r="DI86" s="55"/>
      <c r="DJ86" s="55"/>
      <c r="DK86" s="55"/>
      <c r="DL86" s="55"/>
      <c r="DM86" s="55"/>
      <c r="DN86" s="55"/>
      <c r="DO86" s="55"/>
      <c r="DP86" s="55"/>
      <c r="DQ86" s="55"/>
      <c r="DR86" s="55"/>
      <c r="DS86" s="55"/>
      <c r="DT86" s="55"/>
      <c r="DU86" s="55"/>
      <c r="DV86" s="55"/>
      <c r="DW86" s="55"/>
      <c r="DX86" s="55"/>
      <c r="DY86" s="55"/>
      <c r="DZ86" s="55"/>
      <c r="EA86" s="55"/>
      <c r="EB86" s="55"/>
      <c r="EC86" s="55"/>
      <c r="ED86" s="55"/>
      <c r="EE86" s="55"/>
      <c r="EF86" s="55"/>
    </row>
    <row r="87" spans="1:136" s="169" customFormat="1" ht="34.5" hidden="1" customHeight="1" thickTop="1">
      <c r="A87" s="55"/>
      <c r="B87" s="55"/>
      <c r="C87" s="55"/>
      <c r="D87" s="505"/>
      <c r="E87" s="505"/>
      <c r="F87" s="505"/>
      <c r="G87" s="505"/>
      <c r="H87" s="505"/>
      <c r="I87" s="505"/>
      <c r="J87" s="505"/>
      <c r="K87" s="55"/>
      <c r="L87" s="55"/>
      <c r="M87" s="55"/>
      <c r="N87" s="55"/>
      <c r="O87" s="2004"/>
      <c r="P87" s="2017"/>
      <c r="Q87" s="2016">
        <f ca="1">IFERROR(換券投組!D35,0)</f>
        <v>0</v>
      </c>
      <c r="R87" s="2016"/>
      <c r="S87" s="2016"/>
      <c r="T87" s="2016"/>
      <c r="U87" s="1015"/>
      <c r="V87" s="1136"/>
      <c r="W87" s="1136"/>
      <c r="X87" s="642"/>
      <c r="Y87" s="1405"/>
      <c r="Z87" s="1405"/>
      <c r="AA87" s="1282"/>
      <c r="AB87" s="1282"/>
      <c r="AC87" s="1282"/>
      <c r="AD87" s="1282"/>
      <c r="AE87" s="1045"/>
      <c r="AF87" s="1282"/>
      <c r="AG87" s="1282"/>
      <c r="AH87" s="1282"/>
      <c r="AI87" s="1282"/>
      <c r="AJ87" s="1283"/>
      <c r="AK87" s="1284"/>
      <c r="AL87" s="1284"/>
      <c r="AM87" s="1284"/>
      <c r="AN87" s="1284"/>
      <c r="AO87" s="1284"/>
      <c r="AP87" s="1284"/>
      <c r="AQ87" s="1284"/>
      <c r="AR87" s="1284"/>
      <c r="AS87" s="1284"/>
      <c r="AT87" s="1284"/>
      <c r="AU87" s="1284"/>
      <c r="AV87" s="1284"/>
      <c r="AW87" s="1254"/>
      <c r="AX87" s="1254"/>
      <c r="AY87" s="1254"/>
      <c r="AZ87" s="1254"/>
      <c r="BA87" s="1251"/>
      <c r="BH87" s="55"/>
      <c r="BI87" s="55"/>
      <c r="BJ87" s="55"/>
      <c r="BK87" s="55"/>
      <c r="BL87" s="55"/>
      <c r="BM87" s="505"/>
      <c r="BN87" s="505"/>
      <c r="BO87" s="55"/>
      <c r="BP87" s="55"/>
      <c r="BQ87" s="55"/>
      <c r="BR87" s="55"/>
      <c r="BS87" s="55"/>
      <c r="BT87" s="55"/>
      <c r="BU87" s="55"/>
      <c r="BV87" s="55"/>
      <c r="BW87" s="55"/>
      <c r="BX87" s="55"/>
      <c r="BY87" s="55"/>
      <c r="BZ87" s="55"/>
      <c r="CA87" s="55"/>
      <c r="CB87" s="55"/>
      <c r="CC87" s="55"/>
      <c r="CD87" s="55"/>
      <c r="CE87" s="55"/>
      <c r="CF87" s="55"/>
      <c r="CG87" s="55"/>
      <c r="CH87" s="55"/>
      <c r="CI87" s="55"/>
      <c r="CJ87" s="55"/>
      <c r="CK87" s="55"/>
      <c r="CL87" s="55"/>
      <c r="CM87" s="55"/>
      <c r="CN87" s="55"/>
      <c r="CO87" s="55"/>
      <c r="CP87" s="55"/>
      <c r="CQ87" s="55"/>
      <c r="CR87" s="55"/>
      <c r="CS87" s="55"/>
      <c r="CT87" s="55"/>
      <c r="CU87" s="55"/>
      <c r="CV87" s="55"/>
      <c r="CW87" s="55"/>
      <c r="CX87" s="55"/>
      <c r="CY87" s="55"/>
      <c r="CZ87" s="55"/>
      <c r="DA87" s="55"/>
      <c r="DB87" s="55"/>
      <c r="DC87" s="55"/>
      <c r="DD87" s="55"/>
      <c r="DE87" s="55"/>
      <c r="DF87" s="55"/>
      <c r="DG87" s="55"/>
      <c r="DH87" s="55"/>
      <c r="DI87" s="55"/>
      <c r="DJ87" s="55"/>
      <c r="DK87" s="55"/>
      <c r="DL87" s="55"/>
      <c r="DM87" s="55"/>
      <c r="DN87" s="55"/>
      <c r="DO87" s="55"/>
      <c r="DP87" s="55"/>
      <c r="DQ87" s="55"/>
      <c r="DR87" s="55"/>
      <c r="DS87" s="55"/>
      <c r="DT87" s="55"/>
      <c r="DU87" s="55"/>
      <c r="DV87" s="55"/>
      <c r="DW87" s="55"/>
      <c r="DX87" s="55"/>
      <c r="DY87" s="55"/>
      <c r="DZ87" s="55"/>
      <c r="EA87" s="55"/>
      <c r="EB87" s="55"/>
      <c r="EC87" s="55"/>
      <c r="ED87" s="55"/>
      <c r="EE87" s="55"/>
      <c r="EF87" s="55"/>
    </row>
    <row r="88" spans="1:136" s="169" customFormat="1" ht="27" customHeight="1">
      <c r="A88" s="55"/>
      <c r="B88" s="55"/>
      <c r="C88" s="55"/>
      <c r="D88" s="505"/>
      <c r="E88" s="505"/>
      <c r="F88" s="505"/>
      <c r="G88" s="505"/>
      <c r="H88" s="505"/>
      <c r="I88" s="505"/>
      <c r="J88" s="505"/>
      <c r="K88" s="55"/>
      <c r="L88" s="55"/>
      <c r="M88" s="55"/>
      <c r="N88" s="55"/>
      <c r="O88" s="2004"/>
      <c r="P88" s="2018"/>
      <c r="Q88" s="2014">
        <f ca="1">IFERROR(換券投組!E35,0)</f>
        <v>0</v>
      </c>
      <c r="R88" s="2014"/>
      <c r="S88" s="2014"/>
      <c r="T88" s="2014"/>
      <c r="U88" s="1016" t="str">
        <f ca="1">庫存管理!U141</f>
        <v>-</v>
      </c>
      <c r="V88" s="1136"/>
      <c r="W88" s="1136"/>
      <c r="X88" s="642"/>
      <c r="Y88" s="1405"/>
      <c r="Z88" s="1405"/>
      <c r="AA88" s="1275"/>
      <c r="AB88" s="1275"/>
      <c r="AC88" s="1275"/>
      <c r="AD88" s="1275"/>
      <c r="AE88" s="1275"/>
      <c r="AF88" s="1267"/>
      <c r="AG88" s="1267"/>
      <c r="AH88" s="1267"/>
      <c r="AI88" s="1267"/>
      <c r="AJ88" s="1267"/>
      <c r="AK88" s="1268"/>
      <c r="AL88" s="1268"/>
      <c r="AM88" s="1268"/>
      <c r="AN88" s="1268"/>
      <c r="AO88" s="1268"/>
      <c r="AP88" s="1268"/>
      <c r="AQ88" s="1268"/>
      <c r="AR88" s="1268"/>
      <c r="AS88" s="1268"/>
      <c r="AT88" s="1268"/>
      <c r="AU88" s="1268"/>
      <c r="AV88" s="1268"/>
      <c r="AW88" s="1269"/>
      <c r="AX88" s="1269"/>
      <c r="AY88" s="1269"/>
      <c r="AZ88" s="1269"/>
      <c r="BA88" s="1253"/>
      <c r="BH88" s="55"/>
      <c r="BI88" s="55"/>
      <c r="BJ88" s="55"/>
      <c r="BK88" s="55"/>
      <c r="BL88" s="55"/>
      <c r="BM88" s="505"/>
      <c r="BN88" s="505"/>
      <c r="BO88" s="55"/>
      <c r="BP88" s="55"/>
      <c r="BQ88" s="55"/>
      <c r="BR88" s="55"/>
      <c r="BS88" s="55"/>
      <c r="BT88" s="55"/>
      <c r="BU88" s="55"/>
      <c r="BV88" s="55"/>
      <c r="BW88" s="55"/>
      <c r="BX88" s="55"/>
      <c r="BY88" s="55"/>
      <c r="BZ88" s="55"/>
      <c r="CA88" s="55"/>
      <c r="CB88" s="55"/>
      <c r="CC88" s="55"/>
      <c r="CD88" s="55"/>
      <c r="CE88" s="55"/>
      <c r="CF88" s="55"/>
      <c r="CG88" s="55"/>
      <c r="CH88" s="55"/>
      <c r="CI88" s="55"/>
      <c r="CJ88" s="55"/>
      <c r="CK88" s="55"/>
      <c r="CL88" s="55"/>
      <c r="CM88" s="55"/>
      <c r="CN88" s="55"/>
      <c r="CO88" s="55"/>
      <c r="CP88" s="55"/>
      <c r="CQ88" s="55"/>
      <c r="CR88" s="55"/>
      <c r="CS88" s="55"/>
      <c r="CT88" s="55"/>
      <c r="CU88" s="55"/>
      <c r="CV88" s="55"/>
      <c r="CW88" s="55"/>
      <c r="CX88" s="55"/>
      <c r="CY88" s="55"/>
      <c r="CZ88" s="55"/>
      <c r="DA88" s="55"/>
      <c r="DB88" s="55"/>
      <c r="DC88" s="55"/>
      <c r="DD88" s="55"/>
      <c r="DE88" s="55"/>
      <c r="DF88" s="55"/>
      <c r="DG88" s="55"/>
      <c r="DH88" s="55"/>
      <c r="DI88" s="55"/>
      <c r="DJ88" s="55"/>
      <c r="DK88" s="55"/>
      <c r="DL88" s="55"/>
      <c r="DM88" s="55"/>
      <c r="DN88" s="55"/>
      <c r="DO88" s="55"/>
      <c r="DP88" s="55"/>
      <c r="DQ88" s="55"/>
      <c r="DR88" s="55"/>
      <c r="DS88" s="55"/>
      <c r="DT88" s="55"/>
      <c r="DU88" s="55"/>
      <c r="DV88" s="55"/>
      <c r="DW88" s="55"/>
      <c r="DX88" s="55"/>
      <c r="DY88" s="55"/>
      <c r="DZ88" s="55"/>
      <c r="EA88" s="55"/>
      <c r="EB88" s="55"/>
      <c r="EC88" s="55"/>
      <c r="ED88" s="55"/>
      <c r="EE88" s="55"/>
      <c r="EF88" s="55"/>
    </row>
    <row r="89" spans="1:136" s="169" customFormat="1" ht="15" customHeight="1">
      <c r="A89" s="55"/>
      <c r="B89" s="55"/>
      <c r="C89" s="55"/>
      <c r="D89" s="505"/>
      <c r="E89" s="505"/>
      <c r="F89" s="505"/>
      <c r="G89" s="505"/>
      <c r="H89" s="505"/>
      <c r="I89" s="505"/>
      <c r="J89" s="505"/>
      <c r="K89" s="55"/>
      <c r="L89" s="55"/>
      <c r="M89" s="55"/>
      <c r="N89" s="55"/>
      <c r="O89" s="2005"/>
      <c r="P89" s="961"/>
      <c r="Q89" s="962"/>
      <c r="R89" s="962"/>
      <c r="S89" s="962"/>
      <c r="T89" s="962"/>
      <c r="U89" s="949"/>
      <c r="V89" s="1147"/>
      <c r="W89" s="1147"/>
      <c r="X89" s="512"/>
      <c r="Y89" s="1276"/>
      <c r="Z89" s="1276"/>
      <c r="AA89" s="1275"/>
      <c r="AB89" s="1275"/>
      <c r="AC89" s="1275"/>
      <c r="AD89" s="1275"/>
      <c r="AE89" s="1275"/>
      <c r="AF89" s="1267"/>
      <c r="AG89" s="1267"/>
      <c r="AH89" s="1267"/>
      <c r="AI89" s="1267"/>
      <c r="AJ89" s="1267"/>
      <c r="AK89" s="1268"/>
      <c r="AL89" s="1268"/>
      <c r="AM89" s="1268"/>
      <c r="AN89" s="1268"/>
      <c r="AO89" s="1268"/>
      <c r="AP89" s="1268"/>
      <c r="AQ89" s="1268"/>
      <c r="AR89" s="1268"/>
      <c r="AS89" s="1268"/>
      <c r="AT89" s="1268"/>
      <c r="AU89" s="1268"/>
      <c r="AV89" s="1268"/>
      <c r="AW89" s="1269"/>
      <c r="AX89" s="1269"/>
      <c r="AY89" s="1269"/>
      <c r="AZ89" s="1269"/>
      <c r="BA89" s="1251"/>
      <c r="BH89" s="55"/>
      <c r="BI89" s="55"/>
      <c r="BJ89" s="55"/>
      <c r="BK89" s="55"/>
      <c r="BL89" s="55"/>
      <c r="BM89" s="505"/>
      <c r="BN89" s="505"/>
      <c r="BO89" s="55"/>
      <c r="BP89" s="55"/>
      <c r="BQ89" s="55"/>
      <c r="BR89" s="55"/>
      <c r="BS89" s="55"/>
      <c r="BT89" s="55"/>
      <c r="BU89" s="55"/>
      <c r="BV89" s="55"/>
      <c r="BW89" s="55"/>
      <c r="BX89" s="55"/>
      <c r="BY89" s="55"/>
      <c r="BZ89" s="55"/>
      <c r="CA89" s="55"/>
      <c r="CB89" s="55"/>
      <c r="CC89" s="55"/>
      <c r="CD89" s="55"/>
      <c r="CE89" s="55"/>
      <c r="CF89" s="55"/>
      <c r="CG89" s="55"/>
      <c r="CH89" s="55"/>
      <c r="CI89" s="55"/>
      <c r="CJ89" s="55"/>
      <c r="CK89" s="55"/>
      <c r="CL89" s="55"/>
      <c r="CM89" s="55"/>
      <c r="CN89" s="55"/>
      <c r="CO89" s="55"/>
      <c r="CP89" s="55"/>
      <c r="CQ89" s="55"/>
      <c r="CR89" s="55"/>
      <c r="CS89" s="55"/>
      <c r="CT89" s="55"/>
      <c r="CU89" s="55"/>
      <c r="CV89" s="55"/>
      <c r="CW89" s="55"/>
      <c r="CX89" s="55"/>
      <c r="CY89" s="55"/>
      <c r="CZ89" s="55"/>
      <c r="DA89" s="55"/>
      <c r="DB89" s="55"/>
      <c r="DC89" s="55"/>
      <c r="DD89" s="55"/>
      <c r="DE89" s="55"/>
      <c r="DF89" s="55"/>
      <c r="DG89" s="55"/>
      <c r="DH89" s="55"/>
      <c r="DI89" s="55"/>
      <c r="DJ89" s="55"/>
      <c r="DK89" s="55"/>
      <c r="DL89" s="55"/>
      <c r="DM89" s="55"/>
      <c r="DN89" s="55"/>
      <c r="DO89" s="55"/>
      <c r="DP89" s="55"/>
      <c r="DQ89" s="55"/>
      <c r="DR89" s="55"/>
      <c r="DS89" s="55"/>
      <c r="DT89" s="55"/>
      <c r="DU89" s="55"/>
      <c r="DV89" s="55"/>
      <c r="DW89" s="55"/>
      <c r="DX89" s="55"/>
      <c r="DY89" s="55"/>
      <c r="DZ89" s="55"/>
      <c r="EA89" s="55"/>
      <c r="EB89" s="55"/>
      <c r="EC89" s="55"/>
      <c r="ED89" s="55"/>
      <c r="EE89" s="55"/>
      <c r="EF89" s="55"/>
    </row>
    <row r="90" spans="1:136" s="169" customFormat="1" ht="15" customHeight="1">
      <c r="A90" s="55"/>
      <c r="B90" s="55"/>
      <c r="C90" s="55"/>
      <c r="D90" s="505"/>
      <c r="E90" s="505"/>
      <c r="F90" s="505"/>
      <c r="G90" s="505"/>
      <c r="H90" s="505"/>
      <c r="I90" s="505"/>
      <c r="J90" s="505"/>
      <c r="K90" s="55"/>
      <c r="L90" s="55"/>
      <c r="M90" s="55"/>
      <c r="N90" s="55"/>
      <c r="O90" s="1301"/>
      <c r="P90" s="2008" t="s">
        <v>3548</v>
      </c>
      <c r="Q90" s="2010" t="str">
        <f ca="1">庫存管理!Q143</f>
        <v>-</v>
      </c>
      <c r="R90" s="2010"/>
      <c r="S90" s="2010"/>
      <c r="T90" s="2012"/>
      <c r="U90" s="2012"/>
      <c r="V90" s="1147"/>
      <c r="W90" s="1147"/>
      <c r="X90" s="512"/>
      <c r="Y90" s="1276"/>
      <c r="Z90" s="1276"/>
      <c r="AA90" s="1275"/>
      <c r="AB90" s="1275"/>
      <c r="AC90" s="1275"/>
      <c r="AD90" s="1275"/>
      <c r="AE90" s="1275"/>
      <c r="AF90" s="1267"/>
      <c r="AG90" s="1267"/>
      <c r="AH90" s="1267"/>
      <c r="AI90" s="1267"/>
      <c r="AJ90" s="1267"/>
      <c r="AK90" s="1268"/>
      <c r="AL90" s="1268"/>
      <c r="AM90" s="1268"/>
      <c r="AN90" s="1268"/>
      <c r="AO90" s="1268"/>
      <c r="AP90" s="1268"/>
      <c r="AQ90" s="1268"/>
      <c r="AR90" s="1268"/>
      <c r="AS90" s="1268"/>
      <c r="AT90" s="1268"/>
      <c r="AU90" s="1268"/>
      <c r="AV90" s="1268"/>
      <c r="AW90" s="1269"/>
      <c r="AX90" s="1269"/>
      <c r="AY90" s="1269"/>
      <c r="AZ90" s="1269"/>
      <c r="BA90" s="1251"/>
      <c r="BH90" s="55"/>
      <c r="BI90" s="55"/>
      <c r="BJ90" s="55"/>
      <c r="BK90" s="55"/>
      <c r="BL90" s="55"/>
      <c r="BM90" s="505"/>
      <c r="BN90" s="505"/>
      <c r="BO90" s="55"/>
      <c r="BP90" s="55"/>
      <c r="BQ90" s="55"/>
      <c r="BR90" s="55"/>
      <c r="BS90" s="55"/>
      <c r="BT90" s="55"/>
      <c r="BU90" s="55"/>
      <c r="BV90" s="55"/>
      <c r="BW90" s="55"/>
      <c r="BX90" s="55"/>
      <c r="BY90" s="55"/>
      <c r="BZ90" s="55"/>
      <c r="CA90" s="55"/>
      <c r="CB90" s="55"/>
      <c r="CC90" s="55"/>
      <c r="CD90" s="55"/>
      <c r="CE90" s="55"/>
      <c r="CF90" s="55"/>
      <c r="CG90" s="55"/>
      <c r="CH90" s="55"/>
      <c r="CI90" s="55"/>
      <c r="CJ90" s="55"/>
      <c r="CK90" s="55"/>
      <c r="CL90" s="55"/>
      <c r="CM90" s="55"/>
      <c r="CN90" s="55"/>
      <c r="CO90" s="55"/>
      <c r="CP90" s="55"/>
      <c r="CQ90" s="55"/>
      <c r="CR90" s="55"/>
      <c r="CS90" s="55"/>
      <c r="CT90" s="55"/>
      <c r="CU90" s="55"/>
      <c r="CV90" s="55"/>
      <c r="CW90" s="55"/>
      <c r="CX90" s="55"/>
      <c r="CY90" s="55"/>
      <c r="CZ90" s="55"/>
      <c r="DA90" s="55"/>
      <c r="DB90" s="55"/>
      <c r="DC90" s="55"/>
      <c r="DD90" s="55"/>
      <c r="DE90" s="55"/>
      <c r="DF90" s="55"/>
      <c r="DG90" s="55"/>
      <c r="DH90" s="55"/>
      <c r="DI90" s="55"/>
      <c r="DJ90" s="55"/>
      <c r="DK90" s="55"/>
      <c r="DL90" s="55"/>
      <c r="DM90" s="55"/>
      <c r="DN90" s="55"/>
      <c r="DO90" s="55"/>
      <c r="DP90" s="55"/>
      <c r="DQ90" s="55"/>
      <c r="DR90" s="55"/>
      <c r="DS90" s="55"/>
      <c r="DT90" s="55"/>
      <c r="DU90" s="55"/>
      <c r="DV90" s="55"/>
      <c r="DW90" s="55"/>
      <c r="DX90" s="55"/>
      <c r="DY90" s="55"/>
      <c r="DZ90" s="55"/>
      <c r="EA90" s="55"/>
      <c r="EB90" s="55"/>
      <c r="EC90" s="55"/>
      <c r="ED90" s="55"/>
      <c r="EE90" s="55"/>
      <c r="EF90" s="55"/>
    </row>
    <row r="91" spans="1:136" s="169" customFormat="1" ht="30" customHeight="1">
      <c r="A91" s="55"/>
      <c r="B91" s="55"/>
      <c r="C91" s="55"/>
      <c r="D91" s="505"/>
      <c r="E91" s="505"/>
      <c r="F91" s="505"/>
      <c r="G91" s="505"/>
      <c r="H91" s="505"/>
      <c r="I91" s="505"/>
      <c r="J91" s="505"/>
      <c r="K91" s="55"/>
      <c r="L91" s="55"/>
      <c r="M91" s="55"/>
      <c r="N91" s="55"/>
      <c r="O91" s="55"/>
      <c r="P91" s="2009"/>
      <c r="Q91" s="2011"/>
      <c r="R91" s="2011"/>
      <c r="S91" s="2011"/>
      <c r="T91" s="2013"/>
      <c r="U91" s="2013"/>
      <c r="V91" s="946"/>
      <c r="W91" s="946"/>
      <c r="X91" s="1285"/>
      <c r="Y91" s="1405"/>
      <c r="Z91" s="1405"/>
      <c r="AA91" s="1286"/>
      <c r="AB91" s="1286"/>
      <c r="AC91" s="1286"/>
      <c r="AD91" s="1286"/>
      <c r="AE91" s="1286"/>
      <c r="AF91" s="1287"/>
      <c r="AG91" s="1287"/>
      <c r="AH91" s="1287"/>
      <c r="AI91" s="1287"/>
      <c r="AJ91" s="1287"/>
      <c r="AK91" s="1288"/>
      <c r="AL91" s="1288"/>
      <c r="AM91" s="1288"/>
      <c r="AN91" s="1288"/>
      <c r="AO91" s="1288"/>
      <c r="AP91" s="1288"/>
      <c r="AQ91" s="1288"/>
      <c r="AR91" s="1288"/>
      <c r="AS91" s="1288"/>
      <c r="AT91" s="1288"/>
      <c r="AU91" s="1288"/>
      <c r="AV91" s="1288"/>
      <c r="AW91" s="1289"/>
      <c r="AX91" s="1289"/>
      <c r="AY91" s="1289"/>
      <c r="AZ91" s="1289"/>
      <c r="BA91" s="1251"/>
      <c r="BH91" s="55"/>
      <c r="BI91" s="55"/>
      <c r="BJ91" s="55"/>
      <c r="BK91" s="55"/>
      <c r="BL91" s="55"/>
      <c r="BM91" s="505"/>
      <c r="BN91" s="505"/>
      <c r="BO91" s="55"/>
      <c r="BP91" s="55"/>
      <c r="BQ91" s="55"/>
      <c r="BR91" s="55"/>
      <c r="BS91" s="55"/>
      <c r="BT91" s="55"/>
      <c r="BU91" s="55"/>
      <c r="BV91" s="55"/>
      <c r="BW91" s="55"/>
      <c r="BX91" s="55"/>
      <c r="BY91" s="55"/>
      <c r="BZ91" s="55"/>
      <c r="CA91" s="55"/>
      <c r="CB91" s="55"/>
      <c r="CC91" s="55"/>
      <c r="CD91" s="55"/>
      <c r="CE91" s="55"/>
      <c r="CF91" s="55"/>
      <c r="CG91" s="55"/>
      <c r="CH91" s="55"/>
      <c r="CI91" s="55"/>
      <c r="CJ91" s="55"/>
      <c r="CK91" s="55"/>
      <c r="CL91" s="55"/>
      <c r="CM91" s="55"/>
      <c r="CN91" s="55"/>
      <c r="CO91" s="55"/>
      <c r="CP91" s="55"/>
      <c r="CQ91" s="55"/>
      <c r="CR91" s="55"/>
      <c r="CS91" s="55"/>
      <c r="CT91" s="55"/>
      <c r="CU91" s="55"/>
      <c r="CV91" s="55"/>
      <c r="CW91" s="55"/>
      <c r="CX91" s="55"/>
      <c r="CY91" s="55"/>
      <c r="CZ91" s="55"/>
      <c r="DA91" s="55"/>
      <c r="DB91" s="55"/>
      <c r="DC91" s="55"/>
      <c r="DD91" s="55"/>
      <c r="DE91" s="55"/>
      <c r="DF91" s="55"/>
      <c r="DG91" s="55"/>
      <c r="DH91" s="55"/>
      <c r="DI91" s="55"/>
      <c r="DJ91" s="55"/>
      <c r="DK91" s="55"/>
      <c r="DL91" s="55"/>
      <c r="DM91" s="55"/>
      <c r="DN91" s="55"/>
      <c r="DO91" s="55"/>
      <c r="DP91" s="55"/>
      <c r="DQ91" s="55"/>
      <c r="DR91" s="55"/>
      <c r="DS91" s="55"/>
      <c r="DT91" s="55"/>
      <c r="DU91" s="55"/>
      <c r="DV91" s="55"/>
      <c r="DW91" s="55"/>
      <c r="DX91" s="55"/>
      <c r="DY91" s="55"/>
      <c r="DZ91" s="55"/>
      <c r="EA91" s="55"/>
      <c r="EB91" s="55"/>
      <c r="EC91" s="55"/>
      <c r="ED91" s="55"/>
      <c r="EE91" s="55"/>
      <c r="EF91" s="55"/>
    </row>
    <row r="92" spans="1:136" ht="24" customHeight="1">
      <c r="D92" s="505"/>
      <c r="E92" s="505"/>
      <c r="F92" s="505"/>
      <c r="G92" s="505"/>
      <c r="H92" s="505"/>
      <c r="I92" s="505"/>
      <c r="J92" s="505"/>
      <c r="P92" s="2182" t="s">
        <v>3783</v>
      </c>
      <c r="Q92" s="2182"/>
      <c r="R92" s="2182"/>
      <c r="S92" s="2182"/>
      <c r="T92" s="2182"/>
      <c r="U92" s="2182"/>
      <c r="V92" s="2182"/>
      <c r="W92" s="2182"/>
      <c r="X92" s="2182"/>
      <c r="Y92" s="2182"/>
      <c r="Z92" s="2182"/>
      <c r="AA92" s="2182"/>
      <c r="AB92" s="2182"/>
      <c r="AC92" s="2182"/>
      <c r="AD92" s="2182"/>
      <c r="AE92" s="2182"/>
      <c r="AF92" s="2182"/>
      <c r="AG92" s="2182"/>
      <c r="AH92" s="2182"/>
      <c r="AI92" s="2182"/>
      <c r="AJ92" s="2182"/>
      <c r="AK92" s="2182"/>
      <c r="AL92" s="2182"/>
      <c r="AM92" s="2182"/>
      <c r="AN92" s="2182"/>
      <c r="AO92" s="2182"/>
      <c r="AP92" s="2182"/>
      <c r="AQ92" s="2182"/>
      <c r="AR92" s="2182"/>
      <c r="AS92" s="2182"/>
      <c r="AT92" s="2182"/>
      <c r="AU92" s="2182"/>
      <c r="AV92" s="2182"/>
      <c r="AW92" s="2182"/>
      <c r="AX92" s="2182"/>
      <c r="AY92" s="2182"/>
      <c r="AZ92" s="2182"/>
    </row>
    <row r="93" spans="1:136" ht="6" customHeight="1">
      <c r="D93" s="505"/>
      <c r="E93" s="505"/>
      <c r="F93" s="505"/>
      <c r="G93" s="505"/>
      <c r="H93" s="505"/>
      <c r="I93" s="505"/>
      <c r="J93" s="505"/>
      <c r="P93" s="1053"/>
      <c r="Q93" s="1053"/>
      <c r="R93" s="1053"/>
      <c r="S93" s="1053"/>
      <c r="T93" s="1053"/>
      <c r="U93" s="1053"/>
      <c r="V93" s="1053"/>
      <c r="W93" s="1053"/>
      <c r="X93" s="1053"/>
      <c r="Y93" s="1053"/>
      <c r="Z93" s="1053"/>
      <c r="AA93" s="1053"/>
      <c r="AB93" s="1053"/>
      <c r="AC93" s="1053"/>
      <c r="AD93" s="1053"/>
      <c r="AE93" s="1053"/>
      <c r="AF93" s="1053"/>
      <c r="AG93" s="1053"/>
      <c r="AH93" s="1053"/>
      <c r="AI93" s="1053"/>
      <c r="AJ93" s="1053"/>
      <c r="AK93" s="1053"/>
      <c r="AL93" s="1053"/>
      <c r="AM93" s="1053"/>
      <c r="AN93" s="1053"/>
      <c r="AO93" s="1053"/>
      <c r="AP93" s="1053"/>
      <c r="AQ93" s="1053"/>
      <c r="AR93" s="1053"/>
      <c r="AS93" s="1053"/>
      <c r="AT93" s="1053"/>
      <c r="AU93" s="1053"/>
      <c r="AV93" s="1053"/>
      <c r="AW93" s="1053"/>
      <c r="AX93" s="1053"/>
      <c r="AY93" s="1053"/>
      <c r="AZ93" s="1053"/>
    </row>
    <row r="94" spans="1:136" ht="27.5">
      <c r="D94" s="505"/>
      <c r="E94" s="505"/>
      <c r="F94" s="505"/>
      <c r="G94" s="505"/>
      <c r="H94" s="505"/>
      <c r="I94" s="505"/>
      <c r="J94" s="505"/>
      <c r="P94" s="526"/>
      <c r="Q94" s="526"/>
      <c r="R94" s="526"/>
      <c r="S94" s="526"/>
      <c r="T94" s="526"/>
      <c r="U94" s="526"/>
      <c r="V94" s="526"/>
      <c r="W94" s="526"/>
      <c r="X94" s="526"/>
      <c r="Y94" s="526"/>
      <c r="Z94" s="526"/>
      <c r="AA94" s="526"/>
      <c r="AB94" s="526"/>
      <c r="AC94" s="526"/>
      <c r="AD94" s="526"/>
      <c r="AE94" s="526"/>
      <c r="AF94" s="526"/>
      <c r="AG94" s="526"/>
      <c r="AH94" s="526"/>
      <c r="AI94" s="526"/>
      <c r="AJ94" s="526"/>
      <c r="AK94" s="526"/>
      <c r="AL94" s="526"/>
      <c r="AM94" s="526"/>
      <c r="AN94" s="526"/>
      <c r="AO94" s="526"/>
      <c r="AP94" s="526"/>
      <c r="AQ94" s="526"/>
      <c r="AR94" s="526"/>
      <c r="AS94" s="526"/>
      <c r="AT94" s="526"/>
      <c r="AU94" s="526"/>
      <c r="AV94" s="526"/>
      <c r="AW94" s="526"/>
      <c r="AX94" s="526"/>
      <c r="AY94" s="526"/>
      <c r="AZ94" s="526"/>
      <c r="BH94" s="55" ph="1"/>
      <c r="BI94" s="55" ph="1"/>
      <c r="BJ94" s="55" ph="1"/>
    </row>
    <row r="95" spans="1:136" ht="56.25" customHeight="1">
      <c r="D95" s="505"/>
      <c r="E95" s="505"/>
      <c r="F95" s="505"/>
      <c r="G95" s="505"/>
      <c r="H95" s="505"/>
      <c r="I95" s="505"/>
      <c r="J95" s="505"/>
      <c r="P95" s="2026" t="s">
        <v>4289</v>
      </c>
      <c r="Q95" s="2026"/>
      <c r="R95" s="2026"/>
      <c r="S95" s="2026"/>
      <c r="T95" s="2026"/>
      <c r="U95" s="2026"/>
      <c r="V95" s="2026"/>
      <c r="W95" s="2026"/>
      <c r="X95" s="2026"/>
      <c r="Y95" s="2026"/>
      <c r="Z95" s="2026"/>
      <c r="AA95" s="2026"/>
      <c r="AB95" s="2026"/>
      <c r="AC95" s="2026"/>
      <c r="AD95" s="2026"/>
      <c r="AE95" s="2026"/>
      <c r="AF95" s="2026"/>
      <c r="AG95" s="2026"/>
      <c r="AH95" s="2026"/>
      <c r="AI95" s="2026"/>
      <c r="AJ95" s="2026"/>
      <c r="AK95" s="2026"/>
      <c r="AL95" s="2026"/>
      <c r="AM95" s="2026"/>
      <c r="AN95" s="2026"/>
      <c r="AO95" s="2026"/>
      <c r="AP95" s="2026"/>
      <c r="AQ95" s="2026"/>
      <c r="AR95" s="2026"/>
      <c r="AS95" s="2026"/>
      <c r="AT95" s="2026"/>
      <c r="AU95" s="2026"/>
      <c r="AV95" s="2026"/>
      <c r="AW95" s="2026"/>
      <c r="AX95" s="2026"/>
      <c r="AY95" s="2026"/>
      <c r="AZ95" s="2026"/>
      <c r="BH95" s="55" ph="1"/>
      <c r="BI95" s="55" ph="1"/>
    </row>
    <row r="96" spans="1:136" ht="23.25" customHeight="1" thickBot="1">
      <c r="D96" s="505"/>
      <c r="E96" s="505"/>
      <c r="F96" s="505"/>
      <c r="G96" s="505"/>
      <c r="H96" s="505"/>
      <c r="I96" s="505"/>
      <c r="J96" s="505"/>
      <c r="P96" s="2027" t="s">
        <v>2073</v>
      </c>
      <c r="Q96" s="2027"/>
      <c r="R96" s="2027"/>
      <c r="S96" s="2027"/>
      <c r="T96" s="2027"/>
      <c r="U96" s="2027"/>
      <c r="V96" s="2027"/>
      <c r="W96" s="2027"/>
      <c r="X96" s="2027"/>
      <c r="Y96" s="2027"/>
      <c r="Z96" s="2027"/>
      <c r="AA96" s="2027"/>
      <c r="AB96" s="2027"/>
      <c r="AC96" s="2027"/>
      <c r="AD96" s="2027"/>
      <c r="AE96" s="2027"/>
      <c r="AF96" s="2027"/>
      <c r="AG96" s="2027"/>
      <c r="AH96" s="2027"/>
      <c r="AI96" s="2027"/>
      <c r="AJ96" s="2027"/>
      <c r="AK96" s="2027"/>
      <c r="AL96" s="2027"/>
      <c r="AM96" s="2027"/>
      <c r="AN96" s="2027"/>
      <c r="AO96" s="2027"/>
      <c r="AP96" s="2027"/>
      <c r="AQ96" s="2027"/>
      <c r="AR96" s="2027"/>
      <c r="AS96" s="2027"/>
      <c r="AT96" s="2027"/>
      <c r="AU96" s="2064" t="s">
        <v>122</v>
      </c>
      <c r="AV96" s="2064"/>
      <c r="AW96" s="2064"/>
      <c r="AX96" s="2110">
        <f>AX4</f>
        <v>45474</v>
      </c>
      <c r="AY96" s="2110"/>
      <c r="AZ96" s="2110"/>
      <c r="BH96" s="55" ph="1"/>
      <c r="BI96" s="55" ph="1"/>
    </row>
    <row r="97" spans="4:61" ht="31" customHeight="1">
      <c r="D97" s="505"/>
      <c r="E97" s="505"/>
      <c r="F97" s="505"/>
      <c r="G97" s="505"/>
      <c r="H97" s="505"/>
      <c r="I97" s="505"/>
      <c r="J97" s="505"/>
      <c r="Z97" s="1051"/>
      <c r="AA97" s="1051"/>
      <c r="AB97" s="1051"/>
      <c r="AC97" s="1051"/>
      <c r="AD97" s="1051"/>
      <c r="AE97" s="1051"/>
      <c r="AV97" s="1173"/>
      <c r="AW97" s="1173"/>
      <c r="AX97" s="1174"/>
      <c r="AY97" s="1174"/>
      <c r="AZ97" s="1174"/>
      <c r="BH97" s="55" ph="1"/>
      <c r="BI97" s="55" ph="1"/>
    </row>
    <row r="98" spans="4:61" ht="31" customHeight="1">
      <c r="D98" s="505"/>
      <c r="E98" s="505"/>
      <c r="F98" s="505"/>
      <c r="G98" s="505"/>
      <c r="H98" s="505"/>
      <c r="I98" s="505"/>
      <c r="J98" s="505"/>
      <c r="P98" s="1030"/>
      <c r="Q98" s="1976" t="s">
        <v>4292</v>
      </c>
      <c r="R98" s="1977"/>
      <c r="S98" s="1977"/>
      <c r="T98" s="1978" t="s">
        <v>4293</v>
      </c>
      <c r="U98" s="1979"/>
      <c r="V98" s="1033"/>
      <c r="W98" s="1033"/>
      <c r="X98" s="1255" t="s">
        <v>4186</v>
      </c>
      <c r="Y98" s="1257"/>
      <c r="Z98" s="1255"/>
      <c r="AA98" s="1255"/>
      <c r="AB98" s="1255"/>
      <c r="AC98" s="1255"/>
      <c r="AD98" s="1302"/>
      <c r="AE98" s="1255"/>
      <c r="AF98" s="1255"/>
      <c r="AG98" s="1257"/>
      <c r="AH98" s="1257"/>
      <c r="AI98" s="1303" t="str">
        <f>IF(Change投!AS58&gt;0,"※ 紅色字體之標的流動性需查詢","")</f>
        <v/>
      </c>
      <c r="AJ98" s="1257"/>
      <c r="AK98" s="1257"/>
      <c r="AL98" s="1257"/>
      <c r="AM98" s="1257"/>
      <c r="AN98" s="1257"/>
      <c r="AO98" s="1257"/>
      <c r="AP98" s="1257"/>
      <c r="AQ98" s="1304"/>
      <c r="AR98" s="1304"/>
      <c r="AS98" s="1304"/>
      <c r="AT98" s="2200"/>
      <c r="AU98" s="2200"/>
      <c r="AV98" s="2200"/>
      <c r="AW98" s="1313" t="str">
        <f ca="1">CONCATENATE("幣別：",V19)</f>
        <v>幣別：USD</v>
      </c>
      <c r="AX98" s="1313"/>
      <c r="AY98" s="1313"/>
      <c r="AZ98" s="1313"/>
    </row>
    <row r="99" spans="4:61" ht="42.75" customHeight="1">
      <c r="D99" s="505"/>
      <c r="E99" s="505"/>
      <c r="F99" s="505"/>
      <c r="G99" s="505"/>
      <c r="H99" s="505"/>
      <c r="I99" s="505"/>
      <c r="J99" s="505"/>
      <c r="P99" s="1521" t="str">
        <f ca="1">AV24</f>
        <v>美元(USD)</v>
      </c>
      <c r="Q99" s="2192" t="s">
        <v>4349</v>
      </c>
      <c r="R99" s="2119"/>
      <c r="S99" s="2119"/>
      <c r="T99" s="2193" t="s">
        <v>4350</v>
      </c>
      <c r="U99" s="2023"/>
      <c r="V99" s="1129" t="str">
        <f>IFERROR(IFERROR(IF(FIND("美國政府",換券單檔!G116)=1,換券單檔!G116),CONCATENATE(LEFT(換券單檔!G116,SEARCH(換券單檔!H123,換券單檔!G116,1)-1))),"")</f>
        <v/>
      </c>
      <c r="W99" s="1129"/>
    </row>
    <row r="100" spans="4:61" ht="42.75" customHeight="1">
      <c r="D100" s="505"/>
      <c r="E100" s="505"/>
      <c r="F100" s="505"/>
      <c r="G100" s="505"/>
      <c r="H100" s="505"/>
      <c r="I100" s="505"/>
      <c r="J100" s="505"/>
      <c r="P100" s="1573" t="s">
        <v>208</v>
      </c>
      <c r="Q100" s="2001">
        <f ca="1">庫存管理!Q153</f>
        <v>4.296385542168675E-2</v>
      </c>
      <c r="R100" s="2001"/>
      <c r="S100" s="2001"/>
      <c r="T100" s="2002" t="str">
        <f ca="1">庫存管理!T153</f>
        <v/>
      </c>
      <c r="U100" s="2003"/>
      <c r="V100" s="1129"/>
      <c r="W100" s="1129"/>
      <c r="X100" s="642"/>
      <c r="Y100" s="1990"/>
      <c r="Z100" s="1990"/>
      <c r="AA100" s="1991"/>
      <c r="AB100" s="1991"/>
      <c r="AC100" s="1991"/>
      <c r="AD100" s="1990"/>
      <c r="AE100" s="1990"/>
      <c r="AF100" s="1990"/>
      <c r="AG100" s="1131"/>
      <c r="AH100" s="1131"/>
      <c r="AI100" s="1992"/>
      <c r="AJ100" s="1992"/>
      <c r="AK100" s="1992"/>
      <c r="AL100" s="1990"/>
      <c r="AM100" s="1990"/>
      <c r="AN100" s="1990"/>
      <c r="AO100" s="1990"/>
      <c r="AP100" s="1990"/>
      <c r="AQ100" s="1993"/>
      <c r="AR100" s="1993"/>
      <c r="AS100" s="1993"/>
      <c r="AT100" s="1993"/>
      <c r="AU100" s="1993"/>
      <c r="AV100" s="1993"/>
      <c r="AW100" s="1983"/>
      <c r="AX100" s="1983"/>
      <c r="AY100" s="1983"/>
      <c r="AZ100" s="1983"/>
    </row>
    <row r="101" spans="4:61" ht="42.75" customHeight="1">
      <c r="D101" s="505"/>
      <c r="E101" s="505"/>
      <c r="F101" s="505"/>
      <c r="G101" s="505"/>
      <c r="H101" s="505"/>
      <c r="I101" s="505"/>
      <c r="J101" s="505"/>
      <c r="P101" s="1576" t="s">
        <v>3531</v>
      </c>
      <c r="Q101" s="1984" t="str">
        <f ca="1">庫存管理!Q154</f>
        <v>16,425</v>
      </c>
      <c r="R101" s="1984"/>
      <c r="S101" s="1984"/>
      <c r="T101" s="1985" t="str">
        <f ca="1">庫存管理!T154</f>
        <v/>
      </c>
      <c r="U101" s="1986"/>
      <c r="V101" s="1129"/>
      <c r="W101" s="1129"/>
      <c r="X101" s="642"/>
      <c r="Y101" s="1990"/>
      <c r="Z101" s="1990"/>
      <c r="AA101" s="1991"/>
      <c r="AB101" s="1991"/>
      <c r="AC101" s="1991"/>
      <c r="AD101" s="1990"/>
      <c r="AE101" s="1990"/>
      <c r="AF101" s="1990"/>
      <c r="AG101" s="1131"/>
      <c r="AH101" s="1131"/>
      <c r="AI101" s="1992"/>
      <c r="AJ101" s="1992"/>
      <c r="AK101" s="1992"/>
      <c r="AL101" s="1990"/>
      <c r="AM101" s="1990"/>
      <c r="AN101" s="1990"/>
      <c r="AO101" s="1990"/>
      <c r="AP101" s="1990"/>
      <c r="AQ101" s="1993"/>
      <c r="AR101" s="1993"/>
      <c r="AS101" s="1993"/>
      <c r="AT101" s="1993"/>
      <c r="AU101" s="1993"/>
      <c r="AV101" s="1993"/>
      <c r="AW101" s="1983"/>
      <c r="AX101" s="1983"/>
      <c r="AY101" s="1983"/>
      <c r="AZ101" s="1983"/>
    </row>
    <row r="102" spans="4:61" ht="42.75" customHeight="1">
      <c r="D102" s="505"/>
      <c r="E102" s="505"/>
      <c r="F102" s="505"/>
      <c r="G102" s="505"/>
      <c r="H102" s="505"/>
      <c r="I102" s="505"/>
      <c r="J102" s="505"/>
      <c r="P102" s="1574" t="s">
        <v>3532</v>
      </c>
      <c r="Q102" s="1998" t="str">
        <f ca="1">庫存管理!Q155</f>
        <v>400,000</v>
      </c>
      <c r="R102" s="1998"/>
      <c r="S102" s="1998"/>
      <c r="T102" s="1999" t="str">
        <f ca="1">庫存管理!T155</f>
        <v/>
      </c>
      <c r="U102" s="2000"/>
      <c r="V102" s="1129"/>
      <c r="W102" s="1129"/>
      <c r="X102" s="642"/>
      <c r="Y102" s="1990"/>
      <c r="Z102" s="1990"/>
      <c r="AA102" s="1991"/>
      <c r="AB102" s="1991"/>
      <c r="AC102" s="1991"/>
      <c r="AD102" s="1990"/>
      <c r="AE102" s="1990"/>
      <c r="AF102" s="1990"/>
      <c r="AG102" s="1131"/>
      <c r="AH102" s="1131"/>
      <c r="AI102" s="1992"/>
      <c r="AJ102" s="1992"/>
      <c r="AK102" s="1992"/>
      <c r="AL102" s="1990"/>
      <c r="AM102" s="1990"/>
      <c r="AN102" s="1990"/>
      <c r="AO102" s="1990"/>
      <c r="AP102" s="1990"/>
      <c r="AQ102" s="1993"/>
      <c r="AR102" s="1993"/>
      <c r="AS102" s="1993"/>
      <c r="AT102" s="1993"/>
      <c r="AU102" s="1993"/>
      <c r="AV102" s="1993"/>
      <c r="AW102" s="1983"/>
      <c r="AX102" s="1983"/>
      <c r="AY102" s="1983"/>
      <c r="AZ102" s="1983"/>
    </row>
    <row r="103" spans="4:61" ht="42.75" customHeight="1">
      <c r="D103" s="505"/>
      <c r="E103" s="505"/>
      <c r="F103" s="505"/>
      <c r="G103" s="505"/>
      <c r="H103" s="505"/>
      <c r="I103" s="505"/>
      <c r="J103" s="505"/>
      <c r="P103" s="1576" t="s">
        <v>4372</v>
      </c>
      <c r="Q103" s="1984">
        <f ca="1">庫存管理!Q156</f>
        <v>5.2922917854043447E-2</v>
      </c>
      <c r="R103" s="1984"/>
      <c r="S103" s="1984"/>
      <c r="T103" s="1985" t="str">
        <f ca="1">庫存管理!T156</f>
        <v/>
      </c>
      <c r="U103" s="1986"/>
      <c r="V103" s="1129"/>
      <c r="W103" s="1129"/>
      <c r="X103" s="642"/>
      <c r="Y103" s="1990"/>
      <c r="Z103" s="1990"/>
      <c r="AA103" s="1991"/>
      <c r="AB103" s="1991"/>
      <c r="AC103" s="1991"/>
      <c r="AD103" s="1990"/>
      <c r="AE103" s="1990"/>
      <c r="AF103" s="1990"/>
      <c r="AG103" s="1131"/>
      <c r="AH103" s="1131"/>
      <c r="AI103" s="1992"/>
      <c r="AJ103" s="1992"/>
      <c r="AK103" s="1992"/>
      <c r="AL103" s="1990"/>
      <c r="AM103" s="1990"/>
      <c r="AN103" s="1990"/>
      <c r="AO103" s="1990"/>
      <c r="AP103" s="1990"/>
      <c r="AQ103" s="1993"/>
      <c r="AR103" s="1993"/>
      <c r="AS103" s="1993"/>
      <c r="AT103" s="1993"/>
      <c r="AU103" s="1993"/>
      <c r="AV103" s="1993"/>
      <c r="AW103" s="1983"/>
      <c r="AX103" s="1983"/>
      <c r="AY103" s="1983"/>
      <c r="AZ103" s="1983"/>
    </row>
    <row r="104" spans="4:61" ht="42.75" customHeight="1">
      <c r="D104" s="505"/>
      <c r="E104" s="505"/>
      <c r="F104" s="505"/>
      <c r="G104" s="505"/>
      <c r="H104" s="505"/>
      <c r="I104" s="505"/>
      <c r="J104" s="505"/>
      <c r="P104" s="1574" t="s">
        <v>207</v>
      </c>
      <c r="Q104" s="1987" t="str">
        <f ca="1">庫存管理!Q157</f>
        <v>29.88</v>
      </c>
      <c r="R104" s="1987"/>
      <c r="S104" s="1987"/>
      <c r="T104" s="1988" t="str">
        <f ca="1">庫存管理!T157</f>
        <v/>
      </c>
      <c r="U104" s="1989"/>
      <c r="V104" s="1129"/>
      <c r="W104" s="1129"/>
      <c r="X104" s="642"/>
      <c r="Y104" s="1990"/>
      <c r="Z104" s="1990"/>
      <c r="AA104" s="1991"/>
      <c r="AB104" s="1991"/>
      <c r="AC104" s="1991"/>
      <c r="AD104" s="1990"/>
      <c r="AE104" s="1990"/>
      <c r="AF104" s="1990"/>
      <c r="AG104" s="1131"/>
      <c r="AH104" s="1131"/>
      <c r="AI104" s="1992"/>
      <c r="AJ104" s="1992"/>
      <c r="AK104" s="1992"/>
      <c r="AL104" s="1990"/>
      <c r="AM104" s="1990"/>
      <c r="AN104" s="1990"/>
      <c r="AO104" s="1990"/>
      <c r="AP104" s="1990"/>
      <c r="AQ104" s="1993"/>
      <c r="AR104" s="1993"/>
      <c r="AS104" s="1993"/>
      <c r="AT104" s="1993"/>
      <c r="AU104" s="1993"/>
      <c r="AV104" s="1993"/>
      <c r="AW104" s="1983"/>
      <c r="AX104" s="1983"/>
      <c r="AY104" s="1983"/>
      <c r="AZ104" s="1983"/>
    </row>
    <row r="105" spans="4:61" ht="42.75" customHeight="1">
      <c r="D105" s="505"/>
      <c r="E105" s="505"/>
      <c r="F105" s="505"/>
      <c r="G105" s="505"/>
      <c r="H105" s="505"/>
      <c r="I105" s="505"/>
      <c r="J105" s="505"/>
      <c r="P105" s="1575" t="s">
        <v>4171</v>
      </c>
      <c r="Q105" s="1994" t="str">
        <f ca="1">庫存管理!Q158</f>
        <v>15.84</v>
      </c>
      <c r="R105" s="1995"/>
      <c r="S105" s="1995"/>
      <c r="T105" s="1996" t="str">
        <f ca="1">庫存管理!T158</f>
        <v/>
      </c>
      <c r="U105" s="1997"/>
      <c r="V105" s="1129"/>
      <c r="W105" s="1129"/>
      <c r="X105" s="642"/>
      <c r="Y105" s="1990"/>
      <c r="Z105" s="1990"/>
      <c r="AA105" s="1991"/>
      <c r="AB105" s="1991"/>
      <c r="AC105" s="1991"/>
      <c r="AD105" s="1990"/>
      <c r="AE105" s="1990"/>
      <c r="AF105" s="1990"/>
      <c r="AG105" s="1131"/>
      <c r="AH105" s="1131"/>
      <c r="AI105" s="1992"/>
      <c r="AJ105" s="1992"/>
      <c r="AK105" s="1992"/>
      <c r="AL105" s="1990"/>
      <c r="AM105" s="1990"/>
      <c r="AN105" s="1990"/>
      <c r="AO105" s="1990"/>
      <c r="AP105" s="1990"/>
      <c r="AQ105" s="1993"/>
      <c r="AR105" s="1993"/>
      <c r="AS105" s="1993"/>
      <c r="AT105" s="1993"/>
      <c r="AU105" s="1993"/>
      <c r="AV105" s="1993"/>
      <c r="AW105" s="1983"/>
      <c r="AX105" s="1983"/>
      <c r="AY105" s="1983"/>
      <c r="AZ105" s="1983"/>
    </row>
    <row r="106" spans="4:61" ht="42.75" customHeight="1">
      <c r="D106" s="505"/>
      <c r="E106" s="505"/>
      <c r="F106" s="505"/>
      <c r="G106" s="505"/>
      <c r="H106" s="505"/>
      <c r="I106" s="505"/>
      <c r="J106" s="505"/>
      <c r="P106" s="1974"/>
      <c r="Q106" s="1975"/>
      <c r="R106" s="1975"/>
      <c r="S106" s="1975"/>
      <c r="T106" s="1975"/>
      <c r="U106" s="1975"/>
      <c r="V106" s="1017"/>
      <c r="W106" s="1017"/>
      <c r="X106" s="1017"/>
      <c r="Z106" s="642"/>
      <c r="AA106" s="1409"/>
      <c r="AB106" s="1409"/>
      <c r="AC106" s="1409"/>
      <c r="AD106" s="1409"/>
      <c r="AE106" s="1409"/>
      <c r="AF106" s="1409"/>
      <c r="AG106" s="1409"/>
      <c r="AH106" s="1409"/>
      <c r="AI106" s="1409"/>
      <c r="AJ106" s="1571"/>
      <c r="AK106" s="1571"/>
      <c r="AL106" s="1571"/>
      <c r="AM106" s="1571"/>
      <c r="AN106" s="637"/>
      <c r="AO106" s="637"/>
      <c r="AP106" s="637"/>
      <c r="AQ106" s="1572"/>
      <c r="AR106" s="1572"/>
      <c r="AS106" s="1572"/>
      <c r="AT106" s="1570"/>
      <c r="AU106" s="1570"/>
      <c r="AV106" s="1409"/>
      <c r="AW106" s="1409"/>
      <c r="AX106" s="1409"/>
      <c r="AY106" s="1409"/>
      <c r="AZ106" s="963"/>
    </row>
    <row r="107" spans="4:61" ht="42.75" customHeight="1" thickBot="1">
      <c r="D107" s="505"/>
      <c r="E107" s="505"/>
      <c r="F107" s="505"/>
      <c r="G107" s="505"/>
      <c r="H107" s="505"/>
      <c r="I107" s="505"/>
      <c r="J107" s="505"/>
      <c r="P107" s="1651" t="str">
        <f ca="1">庫存管理!P160</f>
        <v>現金流量表(USD)</v>
      </c>
      <c r="Q107" s="1651"/>
      <c r="R107" s="1595"/>
      <c r="S107" s="1595"/>
      <c r="T107" s="1595"/>
      <c r="U107" s="2234" t="str">
        <f ca="1">庫存管理!U160</f>
        <v>投入本金 332,000</v>
      </c>
      <c r="V107" s="2234"/>
      <c r="W107" s="2234"/>
      <c r="X107" s="2234"/>
      <c r="Z107" s="1491" t="s">
        <v>4130</v>
      </c>
      <c r="AA107" s="1529"/>
      <c r="AB107" s="1529"/>
      <c r="AC107" s="1529"/>
      <c r="AD107" s="1529"/>
      <c r="AE107" s="1529"/>
      <c r="AF107" s="1529"/>
      <c r="AG107" s="1529"/>
      <c r="AH107" s="1529"/>
      <c r="AI107" s="1529"/>
      <c r="AJ107" s="1529"/>
      <c r="AK107" s="1529"/>
      <c r="AL107" s="1529"/>
      <c r="AM107" s="1529"/>
      <c r="AN107" s="1529"/>
      <c r="AO107" s="1529"/>
      <c r="AP107" s="1529"/>
      <c r="AQ107" s="1529"/>
      <c r="AR107" s="1529"/>
      <c r="AS107" s="1529"/>
      <c r="AT107" s="1529"/>
      <c r="AU107" s="1529"/>
      <c r="AV107" s="1529"/>
      <c r="AW107" s="1529"/>
      <c r="AX107" s="1529"/>
      <c r="AY107" s="1529"/>
      <c r="AZ107" s="1529"/>
      <c r="BA107" s="1306"/>
    </row>
    <row r="108" spans="4:61" ht="42.75" customHeight="1">
      <c r="D108" s="505"/>
      <c r="E108" s="505"/>
      <c r="F108" s="505"/>
      <c r="G108" s="505"/>
      <c r="H108" s="505"/>
      <c r="I108" s="505"/>
      <c r="J108" s="505"/>
      <c r="P108" s="1593" t="s">
        <v>12</v>
      </c>
      <c r="Q108" s="2208" t="s">
        <v>3719</v>
      </c>
      <c r="R108" s="2208"/>
      <c r="S108" s="2208" t="s">
        <v>3551</v>
      </c>
      <c r="T108" s="2208"/>
      <c r="U108" s="2208" t="s">
        <v>3711</v>
      </c>
      <c r="V108" s="2208"/>
      <c r="W108" s="1257"/>
      <c r="X108" s="1594" t="s">
        <v>4123</v>
      </c>
      <c r="Z108" s="1530"/>
      <c r="AA108" s="1531"/>
      <c r="AB108" s="1531"/>
      <c r="AC108" s="1532"/>
      <c r="AD108" s="1532"/>
      <c r="AE108" s="1532"/>
      <c r="AF108" s="1532"/>
      <c r="AG108" s="1532"/>
      <c r="AH108" s="1532"/>
      <c r="AI108" s="1532"/>
      <c r="AJ108" s="1532"/>
      <c r="AK108" s="1532"/>
      <c r="AL108" s="1532"/>
      <c r="AM108" s="1532"/>
      <c r="AN108" s="1532"/>
      <c r="AO108" s="1530"/>
      <c r="AP108" s="1533"/>
      <c r="AQ108" s="1533"/>
      <c r="AR108" s="1533"/>
      <c r="AS108" s="1534"/>
      <c r="AT108" s="1534"/>
      <c r="AU108" s="1534"/>
      <c r="AV108" s="1534"/>
      <c r="AW108" s="1534"/>
      <c r="AX108" s="1534"/>
      <c r="AY108" s="1534"/>
      <c r="AZ108" s="1534"/>
    </row>
    <row r="109" spans="4:61" ht="42.75" customHeight="1">
      <c r="D109" s="505"/>
      <c r="E109" s="505"/>
      <c r="F109" s="505"/>
      <c r="G109" s="505"/>
      <c r="H109" s="505"/>
      <c r="I109" s="505"/>
      <c r="J109" s="505"/>
      <c r="P109" s="1046">
        <f ca="1">庫存現金流!B12</f>
        <v>2024</v>
      </c>
      <c r="Q109" s="2210" t="str">
        <f ca="1">IFERROR(IF($V$19="TWD",TEXT(庫存現金流!$D12,"#,##0"),TEXT(庫存現金流!$D12,"#,##0")),"")</f>
        <v>8,213</v>
      </c>
      <c r="R109" s="2210"/>
      <c r="S109" s="2211" t="str">
        <f ca="1">IFERROR(IF(庫存現金流!$E12=0,"",TEXT(庫存現金流!$E12,"#,##0")),"")</f>
        <v/>
      </c>
      <c r="T109" s="2211"/>
      <c r="U109" s="2206" t="str">
        <f ca="1">IFERROR(IF($V$19="TWD",TEXT(庫存現金流!$F12,"#,##0"),TEXT(庫存現金流!$F12,"#,##0")),"")</f>
        <v>8,213</v>
      </c>
      <c r="V109" s="2206"/>
      <c r="X109" s="1589">
        <f ca="1">IFERROR(庫存現金流!G12,"")</f>
        <v>2.473644578313253E-2</v>
      </c>
      <c r="Z109" s="1530"/>
      <c r="AA109" s="1535"/>
      <c r="AB109" s="1535"/>
      <c r="AC109" s="1536"/>
      <c r="AD109" s="1536"/>
      <c r="AE109" s="1536"/>
      <c r="AF109" s="1536"/>
      <c r="AG109" s="1536"/>
      <c r="AH109" s="1536"/>
      <c r="AI109" s="1536"/>
      <c r="AJ109" s="1536"/>
      <c r="AK109" s="1536"/>
      <c r="AL109" s="1536"/>
      <c r="AM109" s="1536"/>
      <c r="AN109" s="1536"/>
      <c r="AO109" s="1530"/>
      <c r="AP109" s="1537"/>
      <c r="AQ109" s="1537"/>
      <c r="AR109" s="1537"/>
      <c r="AS109" s="1534"/>
      <c r="AT109" s="1534"/>
      <c r="AU109" s="1534"/>
      <c r="AV109" s="1534"/>
      <c r="AW109" s="1534"/>
      <c r="AX109" s="1534"/>
      <c r="AY109" s="1534"/>
      <c r="AZ109" s="1534"/>
    </row>
    <row r="110" spans="4:61" ht="42.75" customHeight="1">
      <c r="D110" s="505"/>
      <c r="E110" s="505"/>
      <c r="F110" s="505"/>
      <c r="G110" s="505"/>
      <c r="H110" s="505"/>
      <c r="I110" s="505"/>
      <c r="J110" s="505"/>
      <c r="P110" s="642">
        <f ca="1">庫存現金流!B13</f>
        <v>2025</v>
      </c>
      <c r="Q110" s="2212" t="str">
        <f ca="1">IFERROR(IF($V$19="TWD",TEXT(庫存現金流!$D13,"#,##0"),TEXT(庫存現金流!$D13,"#,##0")),"")</f>
        <v>16,425</v>
      </c>
      <c r="R110" s="2212"/>
      <c r="S110" s="2206" t="str">
        <f ca="1">IFERROR(IF(庫存現金流!$E13=0,"",TEXT(庫存現金流!$E13,"#,##0")),"")</f>
        <v/>
      </c>
      <c r="T110" s="2206"/>
      <c r="U110" s="2206" t="str">
        <f ca="1">IFERROR(IF($V$19="TWD",TEXT(庫存現金流!$F13,"#,##0"),TEXT(庫存現金流!$F13,"#,##0")),"")</f>
        <v>24,638</v>
      </c>
      <c r="V110" s="2206"/>
      <c r="X110" s="1589">
        <f ca="1">IFERROR(庫存現金流!G13,"")</f>
        <v>7.4209337349397594E-2</v>
      </c>
      <c r="Z110" s="1537"/>
      <c r="AA110" s="1535"/>
      <c r="AB110" s="1535"/>
      <c r="AC110" s="1536"/>
      <c r="AD110" s="1536"/>
      <c r="AE110" s="1536"/>
      <c r="AF110" s="1536"/>
      <c r="AG110" s="1536"/>
      <c r="AH110" s="1536"/>
      <c r="AI110" s="1536"/>
      <c r="AJ110" s="1536"/>
      <c r="AK110" s="1536"/>
      <c r="AL110" s="1536"/>
      <c r="AM110" s="1536"/>
      <c r="AN110" s="1536"/>
      <c r="AO110" s="1530"/>
      <c r="AP110" s="1537"/>
      <c r="AQ110" s="1537"/>
      <c r="AR110" s="1537"/>
      <c r="AS110" s="1530"/>
      <c r="AT110" s="1530"/>
      <c r="AU110" s="1530"/>
      <c r="AV110" s="1530"/>
      <c r="AW110" s="1530"/>
      <c r="AX110" s="1530"/>
      <c r="AY110" s="1530"/>
      <c r="AZ110" s="1530"/>
    </row>
    <row r="111" spans="4:61" ht="42.75" customHeight="1">
      <c r="D111" s="505"/>
      <c r="E111" s="505"/>
      <c r="F111" s="505"/>
      <c r="G111" s="505"/>
      <c r="H111" s="505"/>
      <c r="I111" s="505"/>
      <c r="J111" s="505"/>
      <c r="P111" s="642">
        <f ca="1">庫存現金流!B14</f>
        <v>2026</v>
      </c>
      <c r="Q111" s="2212" t="str">
        <f ca="1">IFERROR(IF($V$19="TWD",TEXT(庫存現金流!$D14,"#,##0"),TEXT(庫存現金流!$D14,"#,##0")),"")</f>
        <v>16,425</v>
      </c>
      <c r="R111" s="2212"/>
      <c r="S111" s="2206" t="str">
        <f ca="1">IFERROR(IF(庫存現金流!$E14=0,"",TEXT(庫存現金流!$E14,"#,##0")),"")</f>
        <v/>
      </c>
      <c r="T111" s="2206"/>
      <c r="U111" s="2206" t="str">
        <f ca="1">IFERROR(IF($V$19="TWD",TEXT(庫存現金流!$F14,"#,##0"),TEXT(庫存現金流!$F14,"#,##0")),"")</f>
        <v>41,063</v>
      </c>
      <c r="V111" s="2206"/>
      <c r="X111" s="1589">
        <f ca="1">IFERROR(庫存現金流!G14,"")</f>
        <v>0.12368222891566265</v>
      </c>
      <c r="Z111" s="1537"/>
      <c r="AA111" s="1535"/>
      <c r="AB111" s="1535"/>
      <c r="AC111" s="1536"/>
      <c r="AD111" s="1536"/>
      <c r="AE111" s="1536"/>
      <c r="AF111" s="1536"/>
      <c r="AG111" s="1536"/>
      <c r="AH111" s="1536"/>
      <c r="AI111" s="1536"/>
      <c r="AJ111" s="1536"/>
      <c r="AK111" s="1536"/>
      <c r="AL111" s="1536"/>
      <c r="AM111" s="1536"/>
      <c r="AN111" s="1536"/>
      <c r="AO111" s="1530"/>
      <c r="AP111" s="1537"/>
      <c r="AQ111" s="1537"/>
      <c r="AR111" s="1537"/>
      <c r="AS111" s="1530"/>
      <c r="AT111" s="1530"/>
      <c r="AU111" s="1530"/>
      <c r="AV111" s="1530"/>
      <c r="AW111" s="1530"/>
      <c r="AX111" s="1530"/>
      <c r="AY111" s="1530"/>
      <c r="AZ111" s="1530"/>
    </row>
    <row r="112" spans="4:61" ht="42.75" customHeight="1">
      <c r="D112" s="505"/>
      <c r="E112" s="505"/>
      <c r="F112" s="505"/>
      <c r="G112" s="505"/>
      <c r="H112" s="505"/>
      <c r="I112" s="505"/>
      <c r="J112" s="505"/>
      <c r="P112" s="642">
        <f ca="1">庫存現金流!B15</f>
        <v>2027</v>
      </c>
      <c r="Q112" s="2212" t="str">
        <f ca="1">IFERROR(IF($V$19="TWD",TEXT(庫存現金流!$D15,"#,##0"),TEXT(庫存現金流!$D15,"#,##0")),"")</f>
        <v>16,425</v>
      </c>
      <c r="R112" s="2212"/>
      <c r="S112" s="2206" t="str">
        <f ca="1">IFERROR(IF(庫存現金流!$E15=0,"",TEXT(庫存現金流!$E15,"#,##0")),"")</f>
        <v/>
      </c>
      <c r="T112" s="2206"/>
      <c r="U112" s="2206" t="str">
        <f ca="1">IFERROR(IF($V$19="TWD",TEXT(庫存現金流!$F15,"#,##0"),TEXT(庫存現金流!$F15,"#,##0")),"")</f>
        <v>57,488</v>
      </c>
      <c r="V112" s="2206"/>
      <c r="X112" s="1589">
        <f ca="1">IFERROR(庫存現金流!G15,"")</f>
        <v>0.17315512048192772</v>
      </c>
      <c r="Z112" s="1537"/>
      <c r="AA112" s="1535"/>
      <c r="AB112" s="1535"/>
      <c r="AC112" s="1536"/>
      <c r="AD112" s="1536"/>
      <c r="AE112" s="1536"/>
      <c r="AF112" s="1536"/>
      <c r="AG112" s="1536"/>
      <c r="AH112" s="1536"/>
      <c r="AI112" s="1536"/>
      <c r="AJ112" s="1536"/>
      <c r="AK112" s="1536"/>
      <c r="AL112" s="1536"/>
      <c r="AM112" s="1536"/>
      <c r="AN112" s="1536"/>
      <c r="AO112" s="1530"/>
      <c r="AP112" s="1537"/>
      <c r="AQ112" s="1537"/>
      <c r="AR112" s="1537"/>
      <c r="AS112" s="1538"/>
      <c r="AT112" s="1538"/>
      <c r="AU112" s="1538"/>
      <c r="AV112" s="1538"/>
      <c r="AW112" s="1538"/>
      <c r="AX112" s="1538"/>
      <c r="AY112" s="1538"/>
      <c r="AZ112" s="1538"/>
    </row>
    <row r="113" spans="4:62" ht="42.75" customHeight="1">
      <c r="D113" s="505"/>
      <c r="E113" s="505"/>
      <c r="F113" s="505"/>
      <c r="G113" s="505"/>
      <c r="H113" s="505"/>
      <c r="I113" s="505"/>
      <c r="J113" s="505"/>
      <c r="P113" s="642">
        <f ca="1">庫存現金流!B16</f>
        <v>2028</v>
      </c>
      <c r="Q113" s="2212" t="str">
        <f ca="1">IFERROR(IF($V$19="TWD",TEXT(庫存現金流!$D16,"#,##0"),TEXT(庫存現金流!$D16,"#,##0")),"")</f>
        <v>16,425</v>
      </c>
      <c r="R113" s="2212"/>
      <c r="S113" s="2206" t="str">
        <f ca="1">IFERROR(IF(庫存現金流!$E16=0,"",TEXT(庫存現金流!$E16,"#,##0")),"")</f>
        <v/>
      </c>
      <c r="T113" s="2206"/>
      <c r="U113" s="2206" t="str">
        <f ca="1">IFERROR(IF($V$19="TWD",TEXT(庫存現金流!$F16,"#,##0"),TEXT(庫存現金流!$F16,"#,##0")),"")</f>
        <v>73,913</v>
      </c>
      <c r="V113" s="2206"/>
      <c r="X113" s="1589">
        <f ca="1">IFERROR(庫存現金流!G16,"")</f>
        <v>0.22262801204819277</v>
      </c>
      <c r="Z113" s="1537"/>
      <c r="AA113" s="1535"/>
      <c r="AB113" s="1535"/>
      <c r="AC113" s="1536"/>
      <c r="AD113" s="1536"/>
      <c r="AE113" s="1536"/>
      <c r="AF113" s="1536"/>
      <c r="AG113" s="1536"/>
      <c r="AH113" s="1536"/>
      <c r="AI113" s="1536"/>
      <c r="AJ113" s="1536"/>
      <c r="AK113" s="1536"/>
      <c r="AL113" s="1536"/>
      <c r="AM113" s="1536"/>
      <c r="AN113" s="1536"/>
      <c r="AO113" s="1530"/>
      <c r="AP113" s="1537"/>
      <c r="AQ113" s="1537"/>
      <c r="AR113" s="1537"/>
      <c r="AS113" s="1538"/>
      <c r="AT113" s="1538"/>
      <c r="AU113" s="1538"/>
      <c r="AV113" s="1538"/>
      <c r="AW113" s="1538"/>
      <c r="AX113" s="1538"/>
      <c r="AY113" s="1538"/>
      <c r="AZ113" s="1538"/>
    </row>
    <row r="114" spans="4:62" ht="42.75" customHeight="1">
      <c r="D114" s="505"/>
      <c r="E114" s="505"/>
      <c r="F114" s="505"/>
      <c r="G114" s="505"/>
      <c r="H114" s="505"/>
      <c r="I114" s="505"/>
      <c r="J114" s="505"/>
      <c r="P114" s="642">
        <f ca="1">庫存現金流!B17</f>
        <v>2029</v>
      </c>
      <c r="Q114" s="2212" t="str">
        <f ca="1">IFERROR(IF($V$19="TWD",TEXT(庫存現金流!$D17,"#,##0"),TEXT(庫存現金流!$D17,"#,##0")),"")</f>
        <v>16,425</v>
      </c>
      <c r="R114" s="2212"/>
      <c r="S114" s="2206" t="str">
        <f ca="1">IFERROR(IF(庫存現金流!$E17=0,"",TEXT(庫存現金流!$E17,"#,##0")),"")</f>
        <v/>
      </c>
      <c r="T114" s="2206"/>
      <c r="U114" s="2206" t="str">
        <f ca="1">IFERROR(IF($V$19="TWD",TEXT(庫存現金流!$F17,"#,##0"),TEXT(庫存現金流!$F17,"#,##0")),"")</f>
        <v>90,338</v>
      </c>
      <c r="V114" s="2206"/>
      <c r="X114" s="1589">
        <f ca="1">IFERROR(庫存現金流!G17,"")</f>
        <v>0.27210090361445782</v>
      </c>
      <c r="Z114" s="1537"/>
      <c r="AA114" s="1539"/>
      <c r="AB114" s="1539"/>
      <c r="AC114" s="1536"/>
      <c r="AD114" s="1536"/>
      <c r="AE114" s="1536"/>
      <c r="AF114" s="1536"/>
      <c r="AG114" s="1536"/>
      <c r="AH114" s="1536"/>
      <c r="AI114" s="1536"/>
      <c r="AJ114" s="1536"/>
      <c r="AK114" s="1536"/>
      <c r="AL114" s="1536"/>
      <c r="AM114" s="1536"/>
      <c r="AN114" s="1536"/>
      <c r="AO114" s="1530"/>
      <c r="AP114" s="1537"/>
      <c r="AQ114" s="1537"/>
      <c r="AR114" s="1537"/>
      <c r="AS114" s="1538"/>
      <c r="AT114" s="1538"/>
      <c r="AU114" s="1538"/>
      <c r="AV114" s="1538"/>
      <c r="AW114" s="1538"/>
      <c r="AX114" s="1538"/>
      <c r="AY114" s="1538"/>
      <c r="AZ114" s="1538"/>
    </row>
    <row r="115" spans="4:62" ht="42.75" customHeight="1">
      <c r="D115" s="505"/>
      <c r="E115" s="505"/>
      <c r="F115" s="505"/>
      <c r="G115" s="505"/>
      <c r="H115" s="505"/>
      <c r="I115" s="505"/>
      <c r="J115" s="505"/>
      <c r="P115" s="642" t="str">
        <f ca="1">庫存現金流!B18</f>
        <v>2030~2034</v>
      </c>
      <c r="Q115" s="2212" t="str">
        <f ca="1">IFERROR(IF($V$19="TWD",TEXT(庫存現金流!$D18,"#,##0"),TEXT(庫存現金流!$D18,"#,##0")),"")</f>
        <v>82,125</v>
      </c>
      <c r="R115" s="2212"/>
      <c r="S115" s="2206" t="str">
        <f ca="1">IFERROR(IF(庫存現金流!$E18=0,"",TEXT(庫存現金流!$E18,"#,##0")),"")</f>
        <v/>
      </c>
      <c r="T115" s="2206"/>
      <c r="U115" s="2206" t="str">
        <f ca="1">IFERROR(IF($V$19="TWD",TEXT(庫存現金流!$F18,"#,##0"),TEXT(庫存現金流!$F18,"#,##0")),"")</f>
        <v>172,463</v>
      </c>
      <c r="V115" s="2206"/>
      <c r="X115" s="1589">
        <f ca="1">IFERROR(庫存現金流!G18,"")</f>
        <v>0.51946536144578315</v>
      </c>
      <c r="Z115" s="1540"/>
      <c r="AA115" s="1541"/>
      <c r="AB115" s="1541"/>
      <c r="AC115" s="1542"/>
      <c r="AD115" s="1542"/>
      <c r="AE115" s="1542"/>
      <c r="AF115" s="1542"/>
      <c r="AG115" s="1542"/>
      <c r="AH115" s="1542"/>
      <c r="AI115" s="1542"/>
      <c r="AJ115" s="1542"/>
      <c r="AK115" s="1542"/>
      <c r="AL115" s="1542"/>
      <c r="AM115" s="1542"/>
      <c r="AN115" s="1542"/>
      <c r="AO115" s="1530"/>
      <c r="AP115" s="1540"/>
      <c r="AQ115" s="1540"/>
      <c r="AR115" s="1540"/>
      <c r="AS115" s="1538"/>
      <c r="AT115" s="1538"/>
      <c r="AU115" s="1538"/>
      <c r="AV115" s="1538"/>
      <c r="AW115" s="1538"/>
      <c r="AX115" s="1538"/>
      <c r="AY115" s="1538"/>
      <c r="AZ115" s="1538"/>
    </row>
    <row r="116" spans="4:62" ht="42.75" customHeight="1">
      <c r="D116" s="505"/>
      <c r="E116" s="505"/>
      <c r="F116" s="505"/>
      <c r="G116" s="505"/>
      <c r="H116" s="505"/>
      <c r="I116" s="505"/>
      <c r="J116" s="505"/>
      <c r="P116" s="642" t="str">
        <f ca="1">庫存現金流!B19</f>
        <v>2035~2039</v>
      </c>
      <c r="Q116" s="2212" t="str">
        <f ca="1">IFERROR(IF($V$19="TWD",TEXT(庫存現金流!$D19,"#,##0"),TEXT(庫存現金流!$D19,"#,##0")),"")</f>
        <v>82,125</v>
      </c>
      <c r="R116" s="2212"/>
      <c r="S116" s="2206" t="str">
        <f ca="1">IFERROR(IF(庫存現金流!$E19=0,"",TEXT(庫存現金流!$E19,"#,##0")),"")</f>
        <v/>
      </c>
      <c r="T116" s="2206"/>
      <c r="U116" s="2206" t="str">
        <f ca="1">IFERROR(IF($V$19="TWD",TEXT(庫存現金流!$F19,"#,##0"),TEXT(庫存現金流!$F19,"#,##0")),"")</f>
        <v>254,588</v>
      </c>
      <c r="V116" s="2206"/>
      <c r="X116" s="1589">
        <f ca="1">IFERROR(庫存現金流!G19,"")</f>
        <v>0.76682981927710847</v>
      </c>
      <c r="Z116" s="1540"/>
      <c r="AA116" s="1541"/>
      <c r="AB116" s="1541"/>
      <c r="AC116" s="1542"/>
      <c r="AD116" s="1542"/>
      <c r="AE116" s="1542"/>
      <c r="AF116" s="1542"/>
      <c r="AG116" s="1542"/>
      <c r="AH116" s="1542"/>
      <c r="AI116" s="1542"/>
      <c r="AJ116" s="1542"/>
      <c r="AK116" s="1542"/>
      <c r="AL116" s="1542"/>
      <c r="AM116" s="1542"/>
      <c r="AN116" s="1542"/>
      <c r="AO116" s="1530"/>
      <c r="AP116" s="1540"/>
      <c r="AQ116" s="1540"/>
      <c r="AR116" s="1540"/>
      <c r="AS116" s="1535"/>
      <c r="AT116" s="1535"/>
      <c r="AU116" s="1538"/>
      <c r="AV116" s="1538"/>
      <c r="AW116" s="1538"/>
      <c r="AX116" s="1538"/>
      <c r="AY116" s="1538"/>
      <c r="AZ116" s="1538"/>
    </row>
    <row r="117" spans="4:62" ht="42.75" customHeight="1">
      <c r="D117" s="505"/>
      <c r="E117" s="505"/>
      <c r="F117" s="505"/>
      <c r="G117" s="505"/>
      <c r="H117" s="505"/>
      <c r="I117" s="505"/>
      <c r="J117" s="505"/>
      <c r="P117" s="642" t="str">
        <f ca="1">庫存現金流!B20</f>
        <v>2040~2044</v>
      </c>
      <c r="Q117" s="2212" t="str">
        <f ca="1">IFERROR(IF($V$19="TWD",TEXT(庫存現金流!$D20,"#,##0"),TEXT(庫存現金流!$D20,"#,##0")),"")</f>
        <v>82,125</v>
      </c>
      <c r="R117" s="2212"/>
      <c r="S117" s="2206" t="str">
        <f ca="1">IFERROR(IF(庫存現金流!$E20=0,"",TEXT(庫存現金流!$E20,"#,##0")),"")</f>
        <v/>
      </c>
      <c r="T117" s="2206"/>
      <c r="U117" s="2206" t="str">
        <f ca="1">IFERROR(IF($V$19="TWD",TEXT(庫存現金流!$F20,"#,##0"),TEXT(庫存現金流!$F20,"#,##0")),"")</f>
        <v>336,713</v>
      </c>
      <c r="V117" s="2206"/>
      <c r="X117" s="1589">
        <f ca="1">IFERROR(庫存現金流!G20,"")</f>
        <v>1.0141942771084338</v>
      </c>
      <c r="Z117" s="1255" t="str">
        <f>IF(換券投組!D86=1,"利率情境預估","利率情境預估(含年領利息)")</f>
        <v>利率情境預估</v>
      </c>
      <c r="AB117" s="1255"/>
      <c r="AC117" s="1255"/>
      <c r="AD117" s="1255"/>
      <c r="AE117" s="1270"/>
      <c r="AF117" s="1270"/>
      <c r="AG117" s="1270"/>
      <c r="AH117" s="1270"/>
      <c r="AI117" s="1270"/>
      <c r="AJ117" s="1270"/>
      <c r="AK117" s="1270"/>
      <c r="AL117" s="1270"/>
      <c r="AM117" s="1270"/>
      <c r="AN117" s="1270"/>
      <c r="AO117" s="1257"/>
      <c r="AP117" s="1271"/>
      <c r="AQ117" s="1271"/>
      <c r="AR117" s="1271"/>
      <c r="AS117" s="1305"/>
      <c r="AT117" s="1305"/>
      <c r="AU117" s="1305"/>
      <c r="AV117" s="1305"/>
      <c r="AW117" s="1314"/>
      <c r="AX117" s="1314"/>
      <c r="AY117" s="1314"/>
      <c r="AZ117" s="1314"/>
    </row>
    <row r="118" spans="4:62" ht="42.75" customHeight="1">
      <c r="D118" s="505"/>
      <c r="E118" s="505"/>
      <c r="F118" s="505"/>
      <c r="G118" s="505"/>
      <c r="H118" s="505"/>
      <c r="I118" s="505"/>
      <c r="J118" s="505"/>
      <c r="P118" s="642" t="str">
        <f ca="1">庫存現金流!B21</f>
        <v>2045~2049</v>
      </c>
      <c r="Q118" s="2212" t="str">
        <f ca="1">IFERROR(IF($V$19="TWD",TEXT(庫存現金流!$D21,"#,##0"),TEXT(庫存現金流!$D21,"#,##0")),"")</f>
        <v>82,125</v>
      </c>
      <c r="R118" s="2212"/>
      <c r="S118" s="2206" t="str">
        <f ca="1">IFERROR(IF(庫存現金流!$E21=0,"",TEXT(庫存現金流!$E21,"#,##0")),"")</f>
        <v/>
      </c>
      <c r="T118" s="2206"/>
      <c r="U118" s="2206" t="str">
        <f ca="1">IFERROR(IF($V$19="TWD",TEXT(庫存現金流!$F21,"#,##0"),TEXT(庫存現金流!$F21,"#,##0")),"")</f>
        <v>418,838</v>
      </c>
      <c r="V118" s="2206"/>
      <c r="X118" s="1589">
        <f ca="1">IFERROR(庫存現金流!G21,"")</f>
        <v>1.261558734939759</v>
      </c>
      <c r="Z118" s="2209" t="s">
        <v>4407</v>
      </c>
      <c r="AA118" s="2209"/>
      <c r="AB118" s="2204" t="str">
        <f>TEXT(換券投組!C87,"0.00%")</f>
        <v>-2.00%</v>
      </c>
      <c r="AC118" s="2204"/>
      <c r="AD118" s="2204"/>
      <c r="AE118" s="2204"/>
      <c r="AF118" s="2201">
        <f>換券投組!C88</f>
        <v>-1.4999999999999999E-2</v>
      </c>
      <c r="AG118" s="2201"/>
      <c r="AH118" s="2201"/>
      <c r="AI118" s="2201"/>
      <c r="AJ118" s="2201">
        <f>換券投組!C89</f>
        <v>-0.01</v>
      </c>
      <c r="AK118" s="2201"/>
      <c r="AL118" s="2201"/>
      <c r="AM118" s="2201"/>
      <c r="AN118" s="2198">
        <f>換券投組!C90</f>
        <v>-5.0000000000000001E-3</v>
      </c>
      <c r="AO118" s="2198"/>
      <c r="AP118" s="2198"/>
      <c r="AQ118" s="2198"/>
      <c r="AR118" s="2198" t="str">
        <f>換券投組!C91</f>
        <v>+0.50%</v>
      </c>
      <c r="AS118" s="2198"/>
      <c r="AT118" s="2198"/>
      <c r="AU118" s="2198"/>
      <c r="AV118" s="2201" t="str">
        <f>換券投組!C92</f>
        <v>+1.00%</v>
      </c>
      <c r="AW118" s="2201"/>
      <c r="AX118" s="2201"/>
      <c r="AY118" s="2201"/>
      <c r="AZ118" s="1315"/>
    </row>
    <row r="119" spans="4:62" ht="42.75" customHeight="1">
      <c r="D119" s="505"/>
      <c r="E119" s="505"/>
      <c r="F119" s="505"/>
      <c r="G119" s="505"/>
      <c r="H119" s="505"/>
      <c r="I119" s="505"/>
      <c r="J119" s="505"/>
      <c r="P119" s="642" t="str">
        <f ca="1">庫存現金流!B22</f>
        <v>2050~2054</v>
      </c>
      <c r="Q119" s="2212" t="str">
        <f ca="1">IFERROR(IF($V$19="TWD",TEXT(庫存現金流!$D22,"#,##0"),TEXT(庫存現金流!$D22,"#,##0")),"")</f>
        <v>58,638</v>
      </c>
      <c r="R119" s="2212"/>
      <c r="S119" s="2206" t="str">
        <f ca="1">IFERROR(IF(庫存現金流!$E22=0,"",TEXT(庫存現金流!$E22,"#,##0")),"")</f>
        <v>300,000</v>
      </c>
      <c r="T119" s="2206"/>
      <c r="U119" s="2206" t="str">
        <f ca="1">IFERROR(IF($V$19="TWD",TEXT(庫存現金流!$F22,"#,##0"),TEXT(庫存現金流!$F22,"#,##0")),"")</f>
        <v>777,475</v>
      </c>
      <c r="V119" s="2206"/>
      <c r="X119" s="1589">
        <f ca="1">IFERROR(庫存現金流!G22,"")</f>
        <v>2.341792168674699</v>
      </c>
      <c r="Z119" s="2215" t="str">
        <f ca="1">庫存管理!Z172</f>
        <v>原庫存組合 (USD)</v>
      </c>
      <c r="AA119" s="2215"/>
      <c r="AB119" s="2196" t="str">
        <f ca="1">IF($V$19="TWD",TEXT(換券投組!D87,"#,##0"),TEXT(換券投組!D87,"#,##0"))</f>
        <v>105,775</v>
      </c>
      <c r="AC119" s="2196"/>
      <c r="AD119" s="2196"/>
      <c r="AE119" s="2196"/>
      <c r="AF119" s="2205" t="str">
        <f ca="1">IF($V$19="TWD",TEXT(換券投組!D88,"#,##0"),TEXT(換券投組!D88,"#,##0"))</f>
        <v>79,331</v>
      </c>
      <c r="AG119" s="2205"/>
      <c r="AH119" s="2205"/>
      <c r="AI119" s="2205"/>
      <c r="AJ119" s="2205" t="str">
        <f ca="1">IF($V$19="TWD",TEXT(換券投組!D89,"#,##0"),TEXT(換券投組!D89,"#,##0"))</f>
        <v>52,887</v>
      </c>
      <c r="AK119" s="2205"/>
      <c r="AL119" s="2205"/>
      <c r="AM119" s="2205"/>
      <c r="AN119" s="2196" t="str">
        <f ca="1">IF($V$19="TWD",TEXT(換券投組!D90,"#,##0"),TEXT(換券投組!D90,"#,##0"))</f>
        <v>26,444</v>
      </c>
      <c r="AO119" s="2196"/>
      <c r="AP119" s="2196"/>
      <c r="AQ119" s="2196"/>
      <c r="AR119" s="2202" t="str">
        <f ca="1">IF($V$19="TWD",TEXT(換券投組!D91,"#,##0"),TEXT(換券投組!D91,"#,##0"))</f>
        <v>-26,444</v>
      </c>
      <c r="AS119" s="2202"/>
      <c r="AT119" s="2202"/>
      <c r="AU119" s="2202"/>
      <c r="AV119" s="2202" t="str">
        <f ca="1">IF($V$19="TWD",TEXT(換券投組!D92,"#,##0"),TEXT(換券投組!D92,"#,##0"))</f>
        <v>-52,887</v>
      </c>
      <c r="AW119" s="2202"/>
      <c r="AX119" s="2202"/>
      <c r="AY119" s="2202"/>
      <c r="AZ119" s="1591"/>
    </row>
    <row r="120" spans="4:62" ht="42.75" customHeight="1">
      <c r="D120" s="505"/>
      <c r="E120" s="505"/>
      <c r="F120" s="505"/>
      <c r="G120" s="505"/>
      <c r="H120" s="505"/>
      <c r="I120" s="505"/>
      <c r="J120" s="505"/>
      <c r="P120" s="1047" t="str">
        <f ca="1">庫存現金流!B23</f>
        <v>2055~2060</v>
      </c>
      <c r="Q120" s="2213" t="str">
        <f ca="1">IFERROR(IF($V$19="TWD",TEXT(庫存現金流!$D23,"#,##0"),TEXT(庫存現金流!$D23,"#,##0")),"")</f>
        <v>13,500</v>
      </c>
      <c r="R120" s="2213"/>
      <c r="S120" s="2214" t="str">
        <f ca="1">IFERROR(IF(庫存現金流!$E23=0,"",TEXT(庫存現金流!$E23,"#,##0")),"")</f>
        <v>100,000</v>
      </c>
      <c r="T120" s="2214"/>
      <c r="U120" s="2214" t="str">
        <f ca="1">IFERROR(IF($V$19="TWD",TEXT(庫存現金流!$F23,"#,##0"),TEXT(庫存現金流!$F23,"#,##0")),"")</f>
        <v>890,975</v>
      </c>
      <c r="V120" s="2214"/>
      <c r="W120" s="1257"/>
      <c r="X120" s="1590">
        <f ca="1">IFERROR(庫存現金流!G23,"")</f>
        <v>2.6836596385542171</v>
      </c>
      <c r="Z120" s="2203" t="str">
        <f ca="1">庫存管理!Z173</f>
        <v/>
      </c>
      <c r="AA120" s="2203"/>
      <c r="AB120" s="2197" t="str">
        <f ca="1">IF($V$19="TWD",TEXT(換券投組!E87,"#,##0"),TEXT(換券投組!E87,"#,##0"))</f>
        <v/>
      </c>
      <c r="AC120" s="2197"/>
      <c r="AD120" s="2197"/>
      <c r="AE120" s="2197"/>
      <c r="AF120" s="2197" t="str">
        <f ca="1">IF($V$19="TWD",TEXT(換券投組!E88,"#,##0"),TEXT(換券投組!E88,"#,##0"))</f>
        <v/>
      </c>
      <c r="AG120" s="2197"/>
      <c r="AH120" s="2197"/>
      <c r="AI120" s="2197"/>
      <c r="AJ120" s="2197" t="str">
        <f ca="1">IF($V$19="TWD",TEXT(換券投組!E89,"#,##0"),TEXT(換券投組!E89,"#,##0"))</f>
        <v/>
      </c>
      <c r="AK120" s="2197"/>
      <c r="AL120" s="2197"/>
      <c r="AM120" s="2197"/>
      <c r="AN120" s="2197" t="str">
        <f ca="1">IF($V$19="TWD",TEXT(換券投組!E90,"#,##0"),TEXT(換券投組!E90,"#,##0"))</f>
        <v/>
      </c>
      <c r="AO120" s="2197"/>
      <c r="AP120" s="2197"/>
      <c r="AQ120" s="2197"/>
      <c r="AR120" s="2197" t="str">
        <f ca="1">IF($V$19="TWD",TEXT(換券投組!E91,"#,##0"),TEXT(換券投組!E91,"#,##0"))</f>
        <v/>
      </c>
      <c r="AS120" s="2197"/>
      <c r="AT120" s="2197"/>
      <c r="AU120" s="2197"/>
      <c r="AV120" s="2197" t="str">
        <f ca="1">IF($V$19="TWD",TEXT(換券投組!E92,"#,##0"),TEXT(換券投組!E92,"#,##0"))</f>
        <v/>
      </c>
      <c r="AW120" s="2197"/>
      <c r="AX120" s="2197"/>
      <c r="AY120" s="2197"/>
      <c r="AZ120" s="1592"/>
    </row>
    <row r="121" spans="4:62" ht="30" customHeight="1">
      <c r="D121" s="505"/>
      <c r="E121" s="505"/>
      <c r="F121" s="505"/>
      <c r="G121" s="505"/>
      <c r="H121" s="505"/>
      <c r="I121" s="505"/>
      <c r="J121" s="505"/>
      <c r="P121" s="512"/>
      <c r="Q121" s="1132"/>
      <c r="R121" s="1132"/>
      <c r="S121" s="1132"/>
      <c r="T121" s="1132"/>
      <c r="U121" s="1307"/>
      <c r="V121" s="1141"/>
      <c r="W121" s="1308"/>
      <c r="X121" s="637"/>
      <c r="Y121" s="938"/>
      <c r="Z121" s="938"/>
      <c r="AA121" s="938"/>
      <c r="AB121" s="938"/>
      <c r="AC121" s="938"/>
      <c r="AD121" s="1131"/>
      <c r="AE121" s="1131"/>
      <c r="AF121" s="1131"/>
      <c r="AG121" s="938"/>
      <c r="AH121" s="938"/>
      <c r="AI121" s="938"/>
      <c r="AJ121" s="938"/>
      <c r="AK121" s="1203"/>
      <c r="AL121" s="1203"/>
      <c r="AM121" s="1203"/>
      <c r="AN121" s="1203"/>
      <c r="AO121" s="1131"/>
      <c r="AP121" s="1131"/>
      <c r="AQ121" s="1131"/>
      <c r="AR121" s="1171"/>
      <c r="AS121" s="1171"/>
      <c r="AT121" s="1171"/>
      <c r="AU121" s="1171"/>
      <c r="AV121" s="1171"/>
      <c r="AW121" s="938"/>
      <c r="AX121" s="938"/>
      <c r="AY121" s="938"/>
      <c r="AZ121" s="938"/>
    </row>
    <row r="122" spans="4:62" ht="27.5">
      <c r="D122" s="505"/>
      <c r="E122" s="505"/>
      <c r="F122" s="505"/>
      <c r="G122" s="505"/>
      <c r="H122" s="505"/>
      <c r="I122" s="505"/>
      <c r="J122" s="505"/>
      <c r="O122" s="526"/>
      <c r="P122" s="526"/>
      <c r="Q122" s="526"/>
      <c r="R122" s="526"/>
      <c r="S122" s="526"/>
      <c r="T122" s="526"/>
      <c r="U122" s="526"/>
      <c r="V122" s="526"/>
      <c r="W122" s="526"/>
      <c r="X122" s="526"/>
      <c r="Y122" s="526"/>
      <c r="Z122" s="526"/>
      <c r="AA122" s="526"/>
      <c r="AB122" s="526"/>
      <c r="AC122" s="526"/>
      <c r="AD122" s="526"/>
      <c r="AE122" s="526"/>
      <c r="AF122" s="526"/>
      <c r="AG122" s="526"/>
      <c r="AH122" s="526"/>
      <c r="AI122" s="526"/>
      <c r="AJ122" s="526"/>
      <c r="AK122" s="526"/>
      <c r="AL122" s="526"/>
      <c r="AM122" s="526"/>
      <c r="AN122" s="526"/>
      <c r="AO122" s="526"/>
      <c r="AP122" s="526"/>
      <c r="AQ122" s="526"/>
      <c r="AR122" s="526"/>
      <c r="AS122" s="526"/>
      <c r="AT122" s="526"/>
      <c r="AU122" s="526"/>
      <c r="AV122" s="526"/>
      <c r="AW122" s="526"/>
      <c r="AX122" s="526"/>
      <c r="AY122" s="526"/>
      <c r="AZ122" s="526"/>
      <c r="BH122" s="55" ph="1"/>
      <c r="BI122" s="55" ph="1"/>
      <c r="BJ122" s="55" ph="1"/>
    </row>
    <row r="147" spans="60:62" ht="27.5">
      <c r="BH147" s="55" ph="1"/>
      <c r="BI147" s="55" ph="1"/>
      <c r="BJ147" s="55" ph="1"/>
    </row>
    <row r="148" spans="60:62" ht="27.5">
      <c r="BH148" s="55" ph="1"/>
      <c r="BI148" s="55" ph="1"/>
    </row>
    <row r="149" spans="60:62" ht="27.5">
      <c r="BH149" s="55" ph="1"/>
      <c r="BI149" s="55" ph="1"/>
    </row>
    <row r="150" spans="60:62" ht="27.5">
      <c r="BH150" s="55" ph="1"/>
      <c r="BI150" s="55" ph="1"/>
    </row>
    <row r="175" spans="60:62" ht="27.5">
      <c r="BH175" s="55" ph="1"/>
      <c r="BI175" s="55" ph="1"/>
      <c r="BJ175" s="55" ph="1"/>
    </row>
    <row r="200" spans="60:62" ht="27.5">
      <c r="BH200" s="55" ph="1"/>
      <c r="BI200" s="55" ph="1"/>
      <c r="BJ200" s="55" ph="1"/>
    </row>
  </sheetData>
  <sheetProtection formatCells="0"/>
  <dataConsolidate link="1"/>
  <mergeCells count="487">
    <mergeCell ref="P2:AZ2"/>
    <mergeCell ref="N4:N6"/>
    <mergeCell ref="P4:AT4"/>
    <mergeCell ref="AU4:AW4"/>
    <mergeCell ref="AX4:AZ4"/>
    <mergeCell ref="F5:H5"/>
    <mergeCell ref="P5:P6"/>
    <mergeCell ref="Q5:U6"/>
    <mergeCell ref="V5:W6"/>
    <mergeCell ref="X5:X6"/>
    <mergeCell ref="AT6:AU6"/>
    <mergeCell ref="AV6:AX6"/>
    <mergeCell ref="AY6:AZ6"/>
    <mergeCell ref="AT5:AZ5"/>
    <mergeCell ref="Y5:Y6"/>
    <mergeCell ref="Z5:Z6"/>
    <mergeCell ref="AA5:AD5"/>
    <mergeCell ref="AE5:AP5"/>
    <mergeCell ref="AQ5:AS6"/>
    <mergeCell ref="AA6:AD6"/>
    <mergeCell ref="AE6:AH6"/>
    <mergeCell ref="AI6:AL6"/>
    <mergeCell ref="AM6:AP6"/>
    <mergeCell ref="AT7:AU7"/>
    <mergeCell ref="AV7:AX7"/>
    <mergeCell ref="AY7:AZ7"/>
    <mergeCell ref="Q8:U8"/>
    <mergeCell ref="V8:W8"/>
    <mergeCell ref="AA8:AD8"/>
    <mergeCell ref="AE8:AH8"/>
    <mergeCell ref="AI8:AL8"/>
    <mergeCell ref="AM8:AP8"/>
    <mergeCell ref="AQ8:AS8"/>
    <mergeCell ref="AT8:AU8"/>
    <mergeCell ref="AV8:AX8"/>
    <mergeCell ref="AY8:AZ8"/>
    <mergeCell ref="Q7:U7"/>
    <mergeCell ref="V7:W7"/>
    <mergeCell ref="AA7:AD7"/>
    <mergeCell ref="AE7:AH7"/>
    <mergeCell ref="AI7:AL7"/>
    <mergeCell ref="AM7:AP7"/>
    <mergeCell ref="AQ7:AS7"/>
    <mergeCell ref="Q10:U10"/>
    <mergeCell ref="V10:W10"/>
    <mergeCell ref="AA10:AD10"/>
    <mergeCell ref="AE10:AH10"/>
    <mergeCell ref="AI10:AL10"/>
    <mergeCell ref="AM10:AP10"/>
    <mergeCell ref="AQ10:AS10"/>
    <mergeCell ref="AT10:AU10"/>
    <mergeCell ref="AV10:AX10"/>
    <mergeCell ref="AA11:AD11"/>
    <mergeCell ref="AE11:AH11"/>
    <mergeCell ref="AI11:AL11"/>
    <mergeCell ref="AM11:AP11"/>
    <mergeCell ref="AQ11:AS11"/>
    <mergeCell ref="AT11:AU11"/>
    <mergeCell ref="AV11:AX11"/>
    <mergeCell ref="AY9:AZ9"/>
    <mergeCell ref="AY10:AZ10"/>
    <mergeCell ref="AA9:AD9"/>
    <mergeCell ref="AE9:AH9"/>
    <mergeCell ref="AI9:AL9"/>
    <mergeCell ref="AM9:AP9"/>
    <mergeCell ref="AQ9:AS9"/>
    <mergeCell ref="AT9:AU9"/>
    <mergeCell ref="AV9:AX9"/>
    <mergeCell ref="AY11:AZ11"/>
    <mergeCell ref="Q9:U9"/>
    <mergeCell ref="V9:W9"/>
    <mergeCell ref="AY12:AZ12"/>
    <mergeCell ref="Q13:U13"/>
    <mergeCell ref="V13:W13"/>
    <mergeCell ref="AA13:AD13"/>
    <mergeCell ref="AE13:AH13"/>
    <mergeCell ref="AI13:AL13"/>
    <mergeCell ref="AM13:AP13"/>
    <mergeCell ref="AQ13:AS13"/>
    <mergeCell ref="AT13:AU13"/>
    <mergeCell ref="AV13:AX13"/>
    <mergeCell ref="AY13:AZ13"/>
    <mergeCell ref="Q12:U12"/>
    <mergeCell ref="V12:W12"/>
    <mergeCell ref="AA12:AD12"/>
    <mergeCell ref="AE12:AH12"/>
    <mergeCell ref="AI12:AL12"/>
    <mergeCell ref="AM12:AP12"/>
    <mergeCell ref="AQ12:AS12"/>
    <mergeCell ref="AT12:AU12"/>
    <mergeCell ref="AV12:AX12"/>
    <mergeCell ref="Q11:U11"/>
    <mergeCell ref="V11:W11"/>
    <mergeCell ref="AY14:AZ14"/>
    <mergeCell ref="Q15:U15"/>
    <mergeCell ref="V15:W15"/>
    <mergeCell ref="AA15:AD15"/>
    <mergeCell ref="AE15:AH15"/>
    <mergeCell ref="AI15:AL15"/>
    <mergeCell ref="AM15:AP15"/>
    <mergeCell ref="AQ15:AS15"/>
    <mergeCell ref="AT15:AU15"/>
    <mergeCell ref="AV15:AX15"/>
    <mergeCell ref="AY15:AZ15"/>
    <mergeCell ref="Q14:U14"/>
    <mergeCell ref="V14:W14"/>
    <mergeCell ref="AA14:AD14"/>
    <mergeCell ref="AE14:AH14"/>
    <mergeCell ref="AI14:AL14"/>
    <mergeCell ref="AM14:AP14"/>
    <mergeCell ref="AQ14:AS14"/>
    <mergeCell ref="AT14:AU14"/>
    <mergeCell ref="AV14:AX14"/>
    <mergeCell ref="AY16:AZ16"/>
    <mergeCell ref="Q17:U17"/>
    <mergeCell ref="V17:W17"/>
    <mergeCell ref="AA17:AD17"/>
    <mergeCell ref="AE17:AH17"/>
    <mergeCell ref="AI17:AL17"/>
    <mergeCell ref="AM17:AP17"/>
    <mergeCell ref="AQ17:AS17"/>
    <mergeCell ref="AT17:AU17"/>
    <mergeCell ref="AV17:AX17"/>
    <mergeCell ref="AY17:AZ17"/>
    <mergeCell ref="Q16:U16"/>
    <mergeCell ref="V16:W16"/>
    <mergeCell ref="AA16:AD16"/>
    <mergeCell ref="AE16:AH16"/>
    <mergeCell ref="AI16:AL16"/>
    <mergeCell ref="AM16:AP16"/>
    <mergeCell ref="AQ16:AS16"/>
    <mergeCell ref="AT16:AU16"/>
    <mergeCell ref="AV16:AX16"/>
    <mergeCell ref="BJ17:BL17"/>
    <mergeCell ref="Q18:U18"/>
    <mergeCell ref="V18:W18"/>
    <mergeCell ref="AA18:AD18"/>
    <mergeCell ref="AE18:AH18"/>
    <mergeCell ref="AI18:AL18"/>
    <mergeCell ref="AM18:AP18"/>
    <mergeCell ref="AQ18:AS18"/>
    <mergeCell ref="AT18:AU18"/>
    <mergeCell ref="AV18:AX18"/>
    <mergeCell ref="AY18:AZ18"/>
    <mergeCell ref="P19:U19"/>
    <mergeCell ref="V19:W19"/>
    <mergeCell ref="AA19:AD19"/>
    <mergeCell ref="AE19:AH19"/>
    <mergeCell ref="AI19:AL19"/>
    <mergeCell ref="AM19:AP19"/>
    <mergeCell ref="AQ19:AS19"/>
    <mergeCell ref="AQ20:AZ20"/>
    <mergeCell ref="E24:F24"/>
    <mergeCell ref="G24:I24"/>
    <mergeCell ref="Q24:U24"/>
    <mergeCell ref="Y24:AM24"/>
    <mergeCell ref="AQ24:AU24"/>
    <mergeCell ref="AV24:AZ24"/>
    <mergeCell ref="AJ32:AJ35"/>
    <mergeCell ref="X34:X35"/>
    <mergeCell ref="Y34:Y35"/>
    <mergeCell ref="AQ35:AU35"/>
    <mergeCell ref="X28:X30"/>
    <mergeCell ref="Y28:Y30"/>
    <mergeCell ref="AQ26:AZ26"/>
    <mergeCell ref="AQ27:AU27"/>
    <mergeCell ref="AV27:AZ27"/>
    <mergeCell ref="AQ28:AU28"/>
    <mergeCell ref="AV28:AZ28"/>
    <mergeCell ref="AQ29:AU29"/>
    <mergeCell ref="AV29:AZ29"/>
    <mergeCell ref="AQ30:AU30"/>
    <mergeCell ref="AV35:AZ35"/>
    <mergeCell ref="AV30:AZ30"/>
    <mergeCell ref="AQ31:AU31"/>
    <mergeCell ref="AV31:AZ31"/>
    <mergeCell ref="AQ32:AU32"/>
    <mergeCell ref="AV32:AZ32"/>
    <mergeCell ref="AQ33:AU33"/>
    <mergeCell ref="AV33:AZ33"/>
    <mergeCell ref="AQ34:AU34"/>
    <mergeCell ref="AV34:AZ34"/>
    <mergeCell ref="P43:U43"/>
    <mergeCell ref="Q44:S44"/>
    <mergeCell ref="T44:U44"/>
    <mergeCell ref="Y44:Z44"/>
    <mergeCell ref="AA44:AC44"/>
    <mergeCell ref="AD44:AF44"/>
    <mergeCell ref="P40:AZ40"/>
    <mergeCell ref="P41:AT41"/>
    <mergeCell ref="AU41:AW41"/>
    <mergeCell ref="AX41:AZ41"/>
    <mergeCell ref="AI44:AK44"/>
    <mergeCell ref="AL44:AP44"/>
    <mergeCell ref="AQ44:AS44"/>
    <mergeCell ref="AT44:AV44"/>
    <mergeCell ref="AW44:AZ44"/>
    <mergeCell ref="AW45:AZ45"/>
    <mergeCell ref="Q46:S46"/>
    <mergeCell ref="T46:U46"/>
    <mergeCell ref="Y46:Z46"/>
    <mergeCell ref="AA46:AC46"/>
    <mergeCell ref="AD46:AF46"/>
    <mergeCell ref="AI46:AK46"/>
    <mergeCell ref="AL46:AP46"/>
    <mergeCell ref="AQ46:AS46"/>
    <mergeCell ref="AT46:AV46"/>
    <mergeCell ref="AW46:AZ46"/>
    <mergeCell ref="Q45:S45"/>
    <mergeCell ref="T45:U45"/>
    <mergeCell ref="Y45:Z45"/>
    <mergeCell ref="AA45:AC45"/>
    <mergeCell ref="AD45:AF45"/>
    <mergeCell ref="AI45:AK45"/>
    <mergeCell ref="AL45:AP45"/>
    <mergeCell ref="AQ45:AS45"/>
    <mergeCell ref="AT45:AV45"/>
    <mergeCell ref="Q47:S47"/>
    <mergeCell ref="T47:U47"/>
    <mergeCell ref="Y47:Z47"/>
    <mergeCell ref="AA47:AC47"/>
    <mergeCell ref="AD47:AF47"/>
    <mergeCell ref="AW48:AZ48"/>
    <mergeCell ref="Q49:S49"/>
    <mergeCell ref="T49:U49"/>
    <mergeCell ref="Y49:Z49"/>
    <mergeCell ref="AA49:AC49"/>
    <mergeCell ref="AD49:AF49"/>
    <mergeCell ref="AI47:AK47"/>
    <mergeCell ref="AL47:AP47"/>
    <mergeCell ref="AQ47:AS47"/>
    <mergeCell ref="AT47:AV47"/>
    <mergeCell ref="AW47:AZ47"/>
    <mergeCell ref="Q48:S48"/>
    <mergeCell ref="T48:U48"/>
    <mergeCell ref="Y48:Z48"/>
    <mergeCell ref="AA48:AC48"/>
    <mergeCell ref="AD48:AF48"/>
    <mergeCell ref="Q50:S50"/>
    <mergeCell ref="T50:U50"/>
    <mergeCell ref="Y50:Z50"/>
    <mergeCell ref="AA50:AC50"/>
    <mergeCell ref="AD50:AF50"/>
    <mergeCell ref="AI48:AK48"/>
    <mergeCell ref="AL48:AP48"/>
    <mergeCell ref="AQ48:AS48"/>
    <mergeCell ref="AT48:AV48"/>
    <mergeCell ref="AI50:AK50"/>
    <mergeCell ref="AL50:AP50"/>
    <mergeCell ref="AQ50:AS50"/>
    <mergeCell ref="AT50:AV50"/>
    <mergeCell ref="AW50:AZ50"/>
    <mergeCell ref="AR51:AV51"/>
    <mergeCell ref="AW51:AZ51"/>
    <mergeCell ref="AI49:AK49"/>
    <mergeCell ref="AL49:AP49"/>
    <mergeCell ref="AQ49:AS49"/>
    <mergeCell ref="AT49:AV49"/>
    <mergeCell ref="AW49:AZ49"/>
    <mergeCell ref="AV53:AW53"/>
    <mergeCell ref="AX53:AZ53"/>
    <mergeCell ref="O54:O59"/>
    <mergeCell ref="X54:X55"/>
    <mergeCell ref="Y54:AC55"/>
    <mergeCell ref="AD54:AF55"/>
    <mergeCell ref="AG54:AJ55"/>
    <mergeCell ref="AK54:AN55"/>
    <mergeCell ref="AO54:AQ55"/>
    <mergeCell ref="AR54:AV55"/>
    <mergeCell ref="AW54:AZ55"/>
    <mergeCell ref="P55:P58"/>
    <mergeCell ref="Q55:T55"/>
    <mergeCell ref="Q56:T56"/>
    <mergeCell ref="Q57:T57"/>
    <mergeCell ref="Q58:T58"/>
    <mergeCell ref="Y58:AC58"/>
    <mergeCell ref="AD58:AF58"/>
    <mergeCell ref="AG58:AJ58"/>
    <mergeCell ref="AK58:AN58"/>
    <mergeCell ref="AO58:AQ58"/>
    <mergeCell ref="AR58:AV58"/>
    <mergeCell ref="AW58:AZ58"/>
    <mergeCell ref="W59:W60"/>
    <mergeCell ref="X59:X60"/>
    <mergeCell ref="Y59:AC60"/>
    <mergeCell ref="AD59:AF60"/>
    <mergeCell ref="AG59:AJ60"/>
    <mergeCell ref="AK59:AN60"/>
    <mergeCell ref="AO59:AQ60"/>
    <mergeCell ref="AR59:AV60"/>
    <mergeCell ref="AW59:AZ60"/>
    <mergeCell ref="O60:O65"/>
    <mergeCell ref="P61:P64"/>
    <mergeCell ref="Q61:T61"/>
    <mergeCell ref="Y61:AC61"/>
    <mergeCell ref="AD61:AF61"/>
    <mergeCell ref="AG61:AJ61"/>
    <mergeCell ref="AK61:AN61"/>
    <mergeCell ref="AO61:AQ61"/>
    <mergeCell ref="AR61:AV61"/>
    <mergeCell ref="AW61:AZ61"/>
    <mergeCell ref="Q62:T62"/>
    <mergeCell ref="Q63:T63"/>
    <mergeCell ref="Q64:T64"/>
    <mergeCell ref="Y64:AC64"/>
    <mergeCell ref="AD64:AF64"/>
    <mergeCell ref="AG64:AJ64"/>
    <mergeCell ref="AK64:AN64"/>
    <mergeCell ref="AO64:AQ64"/>
    <mergeCell ref="AO67:AQ67"/>
    <mergeCell ref="AR67:AV67"/>
    <mergeCell ref="AR64:AV64"/>
    <mergeCell ref="AW64:AZ64"/>
    <mergeCell ref="W65:W66"/>
    <mergeCell ref="X65:X66"/>
    <mergeCell ref="Y65:AC66"/>
    <mergeCell ref="AD65:AF66"/>
    <mergeCell ref="AG65:AJ66"/>
    <mergeCell ref="AK65:AN66"/>
    <mergeCell ref="AO65:AQ66"/>
    <mergeCell ref="AR65:AV66"/>
    <mergeCell ref="AW65:AZ66"/>
    <mergeCell ref="Q76:T76"/>
    <mergeCell ref="O78:O83"/>
    <mergeCell ref="P79:P82"/>
    <mergeCell ref="Q79:T79"/>
    <mergeCell ref="Q80:T80"/>
    <mergeCell ref="Q81:T81"/>
    <mergeCell ref="Q82:T82"/>
    <mergeCell ref="AW67:AZ67"/>
    <mergeCell ref="Q68:T68"/>
    <mergeCell ref="Q69:T69"/>
    <mergeCell ref="Q70:T70"/>
    <mergeCell ref="X71:AZ72"/>
    <mergeCell ref="O72:O77"/>
    <mergeCell ref="P73:P76"/>
    <mergeCell ref="Q73:T73"/>
    <mergeCell ref="Q74:T74"/>
    <mergeCell ref="Q75:T75"/>
    <mergeCell ref="O66:O71"/>
    <mergeCell ref="P67:P70"/>
    <mergeCell ref="Q67:T67"/>
    <mergeCell ref="Y67:AC67"/>
    <mergeCell ref="AD67:AF67"/>
    <mergeCell ref="AG67:AJ67"/>
    <mergeCell ref="AK67:AN67"/>
    <mergeCell ref="P90:P91"/>
    <mergeCell ref="Q90:S91"/>
    <mergeCell ref="T90:U91"/>
    <mergeCell ref="P92:AZ92"/>
    <mergeCell ref="P95:AZ95"/>
    <mergeCell ref="P96:AT96"/>
    <mergeCell ref="AU96:AW96"/>
    <mergeCell ref="AX96:AZ96"/>
    <mergeCell ref="O84:O89"/>
    <mergeCell ref="P85:P88"/>
    <mergeCell ref="Q85:T85"/>
    <mergeCell ref="Q86:T86"/>
    <mergeCell ref="Q87:T87"/>
    <mergeCell ref="Q88:T88"/>
    <mergeCell ref="Q98:S98"/>
    <mergeCell ref="T98:U98"/>
    <mergeCell ref="AT98:AV98"/>
    <mergeCell ref="Q99:S99"/>
    <mergeCell ref="T99:U99"/>
    <mergeCell ref="Q100:S100"/>
    <mergeCell ref="T100:U100"/>
    <mergeCell ref="Y100:Z100"/>
    <mergeCell ref="AA100:AC100"/>
    <mergeCell ref="AD100:AF100"/>
    <mergeCell ref="AI100:AK100"/>
    <mergeCell ref="AL100:AP100"/>
    <mergeCell ref="AQ100:AS100"/>
    <mergeCell ref="AT100:AV100"/>
    <mergeCell ref="AW100:AZ100"/>
    <mergeCell ref="Q101:S101"/>
    <mergeCell ref="T101:U101"/>
    <mergeCell ref="Y101:Z101"/>
    <mergeCell ref="AA101:AC101"/>
    <mergeCell ref="AD101:AF101"/>
    <mergeCell ref="AI101:AK101"/>
    <mergeCell ref="AL101:AP101"/>
    <mergeCell ref="AQ101:AS101"/>
    <mergeCell ref="AT101:AV101"/>
    <mergeCell ref="AW101:AZ101"/>
    <mergeCell ref="AW102:AZ102"/>
    <mergeCell ref="Q103:S103"/>
    <mergeCell ref="T103:U103"/>
    <mergeCell ref="Y103:Z103"/>
    <mergeCell ref="AA103:AC103"/>
    <mergeCell ref="AD103:AF103"/>
    <mergeCell ref="AI103:AK103"/>
    <mergeCell ref="AL103:AP103"/>
    <mergeCell ref="AQ103:AS103"/>
    <mergeCell ref="AT103:AV103"/>
    <mergeCell ref="AW103:AZ103"/>
    <mergeCell ref="Q102:S102"/>
    <mergeCell ref="T102:U102"/>
    <mergeCell ref="Y102:Z102"/>
    <mergeCell ref="AA102:AC102"/>
    <mergeCell ref="AD102:AF102"/>
    <mergeCell ref="AI102:AK102"/>
    <mergeCell ref="AL102:AP102"/>
    <mergeCell ref="AQ102:AS102"/>
    <mergeCell ref="AT102:AV102"/>
    <mergeCell ref="Q104:S104"/>
    <mergeCell ref="T104:U104"/>
    <mergeCell ref="Y104:Z104"/>
    <mergeCell ref="AA104:AC104"/>
    <mergeCell ref="AD104:AF104"/>
    <mergeCell ref="AQ105:AS105"/>
    <mergeCell ref="AT105:AV105"/>
    <mergeCell ref="AW105:AZ105"/>
    <mergeCell ref="P106:U106"/>
    <mergeCell ref="AI104:AK104"/>
    <mergeCell ref="AL104:AP104"/>
    <mergeCell ref="AQ104:AS104"/>
    <mergeCell ref="AT104:AV104"/>
    <mergeCell ref="AW104:AZ104"/>
    <mergeCell ref="Q105:S105"/>
    <mergeCell ref="T105:U105"/>
    <mergeCell ref="Y105:Z105"/>
    <mergeCell ref="AA105:AC105"/>
    <mergeCell ref="AD105:AF105"/>
    <mergeCell ref="Q108:R108"/>
    <mergeCell ref="S108:T108"/>
    <mergeCell ref="U108:V108"/>
    <mergeCell ref="Q109:R109"/>
    <mergeCell ref="S109:T109"/>
    <mergeCell ref="U109:V109"/>
    <mergeCell ref="AI105:AK105"/>
    <mergeCell ref="AL105:AP105"/>
    <mergeCell ref="Q112:R112"/>
    <mergeCell ref="S112:T112"/>
    <mergeCell ref="U112:V112"/>
    <mergeCell ref="U107:X107"/>
    <mergeCell ref="Q113:R113"/>
    <mergeCell ref="S113:T113"/>
    <mergeCell ref="U113:V113"/>
    <mergeCell ref="Q110:R110"/>
    <mergeCell ref="S110:T110"/>
    <mergeCell ref="U110:V110"/>
    <mergeCell ref="Q111:R111"/>
    <mergeCell ref="S111:T111"/>
    <mergeCell ref="U111:V111"/>
    <mergeCell ref="Q116:R116"/>
    <mergeCell ref="S116:T116"/>
    <mergeCell ref="U116:V116"/>
    <mergeCell ref="Q117:R117"/>
    <mergeCell ref="S117:T117"/>
    <mergeCell ref="U117:V117"/>
    <mergeCell ref="Q114:R114"/>
    <mergeCell ref="S114:T114"/>
    <mergeCell ref="U114:V114"/>
    <mergeCell ref="Q115:R115"/>
    <mergeCell ref="S115:T115"/>
    <mergeCell ref="U115:V115"/>
    <mergeCell ref="AJ118:AM118"/>
    <mergeCell ref="AN118:AQ118"/>
    <mergeCell ref="AR118:AU118"/>
    <mergeCell ref="AV118:AY118"/>
    <mergeCell ref="Q119:R119"/>
    <mergeCell ref="S119:T119"/>
    <mergeCell ref="U119:V119"/>
    <mergeCell ref="Z119:AA119"/>
    <mergeCell ref="AB119:AE119"/>
    <mergeCell ref="AF119:AI119"/>
    <mergeCell ref="Q118:R118"/>
    <mergeCell ref="S118:T118"/>
    <mergeCell ref="U118:V118"/>
    <mergeCell ref="Z118:AA118"/>
    <mergeCell ref="AB118:AE118"/>
    <mergeCell ref="AF118:AI118"/>
    <mergeCell ref="AJ120:AM120"/>
    <mergeCell ref="AN120:AQ120"/>
    <mergeCell ref="AR120:AU120"/>
    <mergeCell ref="AV120:AY120"/>
    <mergeCell ref="AJ119:AM119"/>
    <mergeCell ref="AN119:AQ119"/>
    <mergeCell ref="AR119:AU119"/>
    <mergeCell ref="AV119:AY119"/>
    <mergeCell ref="Q120:R120"/>
    <mergeCell ref="S120:T120"/>
    <mergeCell ref="U120:V120"/>
    <mergeCell ref="Z120:AA120"/>
    <mergeCell ref="AB120:AE120"/>
    <mergeCell ref="AF120:AI120"/>
  </mergeCells>
  <phoneticPr fontId="53" type="noConversion"/>
  <conditionalFormatting sqref="P7:P18">
    <cfRule type="notContainsBlanks" dxfId="684" priority="131">
      <formula>LEN(TRIM(P7))&gt;0</formula>
    </cfRule>
  </conditionalFormatting>
  <conditionalFormatting sqref="Q7:U7">
    <cfRule type="expression" dxfId="683" priority="130">
      <formula>$N$7&lt;&gt;""</formula>
    </cfRule>
  </conditionalFormatting>
  <conditionalFormatting sqref="Q8:U8">
    <cfRule type="expression" dxfId="682" priority="128">
      <formula>$N$8&lt;&gt;""</formula>
    </cfRule>
  </conditionalFormatting>
  <conditionalFormatting sqref="Q9:U9">
    <cfRule type="expression" dxfId="681" priority="129">
      <formula>$N$9&lt;&gt;""</formula>
    </cfRule>
  </conditionalFormatting>
  <conditionalFormatting sqref="Q10:U10">
    <cfRule type="expression" dxfId="680" priority="127">
      <formula>$N$10&lt;&gt;""</formula>
    </cfRule>
  </conditionalFormatting>
  <conditionalFormatting sqref="Q11:U11">
    <cfRule type="expression" dxfId="679" priority="126">
      <formula>$N$11&lt;&gt;""</formula>
    </cfRule>
  </conditionalFormatting>
  <conditionalFormatting sqref="Q12:U12">
    <cfRule type="expression" dxfId="678" priority="125">
      <formula>$N$12&lt;&gt;""</formula>
    </cfRule>
  </conditionalFormatting>
  <conditionalFormatting sqref="Q13:U13">
    <cfRule type="expression" dxfId="677" priority="124">
      <formula>$N$13&lt;&gt;""</formula>
    </cfRule>
  </conditionalFormatting>
  <conditionalFormatting sqref="Q14:U14">
    <cfRule type="expression" dxfId="676" priority="123">
      <formula>$N$14&lt;&gt;""</formula>
    </cfRule>
  </conditionalFormatting>
  <conditionalFormatting sqref="Q15:U15">
    <cfRule type="expression" dxfId="675" priority="122">
      <formula>$N$15&lt;&gt;""</formula>
    </cfRule>
  </conditionalFormatting>
  <conditionalFormatting sqref="Q16:U16">
    <cfRule type="expression" dxfId="674" priority="121">
      <formula>$N$16&lt;&gt;""</formula>
    </cfRule>
  </conditionalFormatting>
  <conditionalFormatting sqref="Q17:U17">
    <cfRule type="expression" dxfId="673" priority="120">
      <formula>$N$17&lt;&gt;""</formula>
    </cfRule>
  </conditionalFormatting>
  <conditionalFormatting sqref="Q18:U18">
    <cfRule type="expression" dxfId="672" priority="119">
      <formula>$N$18&lt;&gt;""</formula>
    </cfRule>
  </conditionalFormatting>
  <conditionalFormatting sqref="AI19">
    <cfRule type="expression" dxfId="671" priority="174">
      <formula>FIND("-",$AI$19)</formula>
    </cfRule>
  </conditionalFormatting>
  <conditionalFormatting sqref="AM19">
    <cfRule type="expression" dxfId="670" priority="175">
      <formula>FIND("-",$AM$19)</formula>
    </cfRule>
  </conditionalFormatting>
  <conditionalFormatting sqref="AQ7:AQ18 AN20:AT20">
    <cfRule type="cellIs" dxfId="669" priority="161" operator="lessThan">
      <formula>0</formula>
    </cfRule>
  </conditionalFormatting>
  <conditionalFormatting sqref="AV7:AV18">
    <cfRule type="dataBar" priority="159">
      <dataBar showValue="0">
        <cfvo type="min"/>
        <cfvo type="max"/>
        <color rgb="FF297D6B"/>
      </dataBar>
      <extLst>
        <ext xmlns:x14="http://schemas.microsoft.com/office/spreadsheetml/2009/9/main" uri="{B025F937-C7B1-47D3-B67F-A62EFF666E3E}">
          <x14:id>{C8128381-1F18-4855-AF98-7333E82598CE}</x14:id>
        </ext>
      </extLst>
    </cfRule>
  </conditionalFormatting>
  <conditionalFormatting sqref="AZ19">
    <cfRule type="cellIs" dxfId="668" priority="160" operator="lessThan">
      <formula>0</formula>
    </cfRule>
  </conditionalFormatting>
  <conditionalFormatting sqref="AR119">
    <cfRule type="expression" dxfId="667" priority="186">
      <formula>FIND("-",$AR$119)</formula>
    </cfRule>
  </conditionalFormatting>
  <conditionalFormatting sqref="AR120">
    <cfRule type="expression" dxfId="666" priority="187">
      <formula>FIND("-",$AR$120)</formula>
    </cfRule>
  </conditionalFormatting>
  <conditionalFormatting sqref="AV119">
    <cfRule type="expression" dxfId="665" priority="188">
      <formula>FIND("-",$AV$119)</formula>
    </cfRule>
  </conditionalFormatting>
  <conditionalFormatting sqref="AV120">
    <cfRule type="expression" dxfId="664" priority="189">
      <formula>FIND("-",$AV$120)</formula>
    </cfRule>
  </conditionalFormatting>
  <conditionalFormatting sqref="X58:AZ58">
    <cfRule type="expression" dxfId="663" priority="52">
      <formula>$Y$58="無適合轉換債券標的"</formula>
    </cfRule>
  </conditionalFormatting>
  <conditionalFormatting sqref="X14">
    <cfRule type="expression" dxfId="662" priority="22">
      <formula>$BM$14</formula>
    </cfRule>
  </conditionalFormatting>
  <conditionalFormatting sqref="X15">
    <cfRule type="expression" dxfId="661" priority="23">
      <formula>$BM$15</formula>
    </cfRule>
  </conditionalFormatting>
  <conditionalFormatting sqref="X16">
    <cfRule type="expression" dxfId="660" priority="24">
      <formula>$BM$16</formula>
    </cfRule>
  </conditionalFormatting>
  <conditionalFormatting sqref="X17">
    <cfRule type="expression" dxfId="659" priority="25">
      <formula>$BM$17</formula>
    </cfRule>
  </conditionalFormatting>
  <conditionalFormatting sqref="X18">
    <cfRule type="expression" dxfId="658" priority="26">
      <formula>$BM$18</formula>
    </cfRule>
  </conditionalFormatting>
  <conditionalFormatting sqref="Y14">
    <cfRule type="expression" dxfId="657" priority="27">
      <formula>$BN$14</formula>
    </cfRule>
  </conditionalFormatting>
  <conditionalFormatting sqref="Y15">
    <cfRule type="expression" dxfId="656" priority="28">
      <formula>$BN$15</formula>
    </cfRule>
  </conditionalFormatting>
  <conditionalFormatting sqref="Y16">
    <cfRule type="expression" dxfId="655" priority="29">
      <formula>$BN$16</formula>
    </cfRule>
  </conditionalFormatting>
  <conditionalFormatting sqref="Y17">
    <cfRule type="expression" dxfId="654" priority="30">
      <formula>$BN$17</formula>
    </cfRule>
  </conditionalFormatting>
  <conditionalFormatting sqref="Y18">
    <cfRule type="expression" dxfId="653" priority="31">
      <formula>$BN$18</formula>
    </cfRule>
  </conditionalFormatting>
  <conditionalFormatting sqref="X7">
    <cfRule type="expression" dxfId="652" priority="20">
      <formula>$BM$7</formula>
    </cfRule>
  </conditionalFormatting>
  <conditionalFormatting sqref="Y7">
    <cfRule type="expression" dxfId="651" priority="21">
      <formula>$BN$7</formula>
    </cfRule>
  </conditionalFormatting>
  <conditionalFormatting sqref="X8">
    <cfRule type="expression" dxfId="650" priority="18">
      <formula>$BM$8</formula>
    </cfRule>
  </conditionalFormatting>
  <conditionalFormatting sqref="Y8">
    <cfRule type="expression" dxfId="649" priority="19">
      <formula>$BN$8</formula>
    </cfRule>
  </conditionalFormatting>
  <conditionalFormatting sqref="X9">
    <cfRule type="expression" dxfId="648" priority="16">
      <formula>$BM$9</formula>
    </cfRule>
  </conditionalFormatting>
  <conditionalFormatting sqref="Y9">
    <cfRule type="expression" dxfId="647" priority="17">
      <formula>$BN$9</formula>
    </cfRule>
  </conditionalFormatting>
  <conditionalFormatting sqref="X10">
    <cfRule type="expression" dxfId="646" priority="14">
      <formula>$BM$10</formula>
    </cfRule>
  </conditionalFormatting>
  <conditionalFormatting sqref="Y10">
    <cfRule type="expression" dxfId="645" priority="15">
      <formula>$BN$10</formula>
    </cfRule>
  </conditionalFormatting>
  <conditionalFormatting sqref="X11">
    <cfRule type="expression" dxfId="644" priority="12">
      <formula>$BM$11</formula>
    </cfRule>
  </conditionalFormatting>
  <conditionalFormatting sqref="Y11">
    <cfRule type="expression" dxfId="643" priority="13">
      <formula>$BN$11</formula>
    </cfRule>
  </conditionalFormatting>
  <conditionalFormatting sqref="X12">
    <cfRule type="expression" dxfId="642" priority="10">
      <formula>$BM$12</formula>
    </cfRule>
  </conditionalFormatting>
  <conditionalFormatting sqref="Y12">
    <cfRule type="expression" dxfId="641" priority="11">
      <formula>$BN$12</formula>
    </cfRule>
  </conditionalFormatting>
  <conditionalFormatting sqref="X13">
    <cfRule type="expression" dxfId="640" priority="8">
      <formula>$BM$13</formula>
    </cfRule>
  </conditionalFormatting>
  <conditionalFormatting sqref="Y13">
    <cfRule type="expression" dxfId="639" priority="9">
      <formula>$BN$13</formula>
    </cfRule>
  </conditionalFormatting>
  <conditionalFormatting sqref="AQ34:AU34">
    <cfRule type="expression" dxfId="638" priority="4">
      <formula>$AQ$34="總報酬率"</formula>
    </cfRule>
  </conditionalFormatting>
  <conditionalFormatting sqref="AV34:AZ34">
    <cfRule type="expression" dxfId="637" priority="1">
      <formula>$AQ$34="總報酬率"</formula>
    </cfRule>
    <cfRule type="cellIs" dxfId="636" priority="6" operator="lessThan">
      <formula>0</formula>
    </cfRule>
  </conditionalFormatting>
  <conditionalFormatting sqref="AV32:AV33">
    <cfRule type="cellIs" dxfId="635" priority="2" operator="lessThan">
      <formula>0</formula>
    </cfRule>
  </conditionalFormatting>
  <conditionalFormatting sqref="AV35">
    <cfRule type="cellIs" dxfId="634" priority="3" operator="lessThan">
      <formula>0</formula>
    </cfRule>
  </conditionalFormatting>
  <conditionalFormatting sqref="AQ35:AU35">
    <cfRule type="expression" dxfId="633" priority="7">
      <formula>$AV$35&lt;&gt;""</formula>
    </cfRule>
  </conditionalFormatting>
  <conditionalFormatting sqref="AV35:AZ35">
    <cfRule type="expression" dxfId="632" priority="5">
      <formula>$AQ$35&lt;&gt;""</formula>
    </cfRule>
  </conditionalFormatting>
  <dataValidations count="8">
    <dataValidation allowBlank="1" showDropDown="1" showInputMessage="1" showErrorMessage="1" sqref="T99 T44" xr:uid="{00000000-0002-0000-0900-000000000000}"/>
    <dataValidation errorStyle="information" allowBlank="1" showInputMessage="1" showErrorMessage="1" errorTitle="無適合轉換債券清單" error="無適合轉換債券，請自行輸入轉換債券標的" sqref="P99 P44" xr:uid="{00000000-0002-0000-0900-000001000000}"/>
    <dataValidation type="custom" operator="greaterThanOrEqual" allowBlank="1" showInputMessage="1" showErrorMessage="1" errorTitle="投資面額待確認" error="不符合最低申購面額或最低增額要求，請重新輸入！_x000a__x000a_" sqref="BH34 BH37 BH94 BH122" xr:uid="{00000000-0002-0000-0900-000002000000}">
      <formula1>AND(BH34&gt;=CE34,MOD(BH34,CF34)=0)</formula1>
    </dataValidation>
    <dataValidation type="custom" operator="greaterThanOrEqual" allowBlank="1" showInputMessage="1" showErrorMessage="1" errorTitle="投資面額待確認" error="不符合最低申購面額或最低增額要求，請重新輸入！_x000a_" sqref="BH38 BH27 BH35:BH36" xr:uid="{00000000-0002-0000-0900-000003000000}">
      <formula1>AND(BH27&gt;=CE27,MOD(BH27,CF27)=0)</formula1>
    </dataValidation>
    <dataValidation type="custom" operator="greaterThanOrEqual" allowBlank="1" showInputMessage="1" showErrorMessage="1" errorTitle="投資面額待確認" error="不符合最低申購面額或最低增額要求，請重新輸入！" sqref="BH28:BH33" xr:uid="{00000000-0002-0000-0900-000004000000}">
      <formula1>AND(BH28&gt;=CE28,MOD(BH28,CF28)=0)</formula1>
    </dataValidation>
    <dataValidation type="custom" operator="greaterThanOrEqual" allowBlank="1" showInputMessage="1" showErrorMessage="1" errorTitle="確認買進日期" error="請輸入「YYYYMMDD」日期格式，且買進日期應晚於發行日_x000a__x000a_" sqref="X7:X18" xr:uid="{00000000-0002-0000-0900-000005000000}">
      <formula1>AND(BI7&gt;=BJ7,LEN(X7)=8)</formula1>
    </dataValidation>
    <dataValidation type="custom" operator="greaterThanOrEqual" allowBlank="1" showInputMessage="1" showErrorMessage="1" errorTitle="投資面額待確認" error="不符合最低申購面額或最低增額要求，請重新輸入！_x000a__x000a_" sqref="Y17 Y14" xr:uid="{00000000-0002-0000-0900-000006000000}">
      <formula1>AND(Y14&gt;=BK14,MOD(Y14,BL14)=0)</formula1>
    </dataValidation>
    <dataValidation type="custom" operator="greaterThanOrEqual" allowBlank="1" showInputMessage="1" showErrorMessage="1" errorTitle="投資面額待確認" error="不符合最低申購面額或最低增額要求，請重新輸入！_x000a_" sqref="Y18 Y15:Y16 Y7:Y13" xr:uid="{00000000-0002-0000-0900-000007000000}">
      <formula1>AND(Y7&gt;=BK7,MOD(Y7,BL7)=0)</formula1>
    </dataValidation>
  </dataValidations>
  <printOptions horizontalCentered="1"/>
  <pageMargins left="3.937007874015748E-2" right="3.937007874015748E-2" top="0.39370078740157483" bottom="0.39370078740157483" header="0.31496062992125984" footer="0.31496062992125984"/>
  <pageSetup paperSize="9" scale="46" fitToHeight="0" orientation="landscape" r:id="rId1"/>
  <rowBreaks count="2" manualBreakCount="2">
    <brk id="39" min="15" max="52" man="1"/>
    <brk id="94" min="15" max="52" man="1"/>
  </rowBreaks>
  <ignoredErrors>
    <ignoredError sqref="X45:X50 P7:P18 X10:Z18 X7:Y7 X8:Y9 Z7:Z9 AI45:AK50" unlockedFormula="1"/>
  </ignoredErrors>
  <drawing r:id="rId2"/>
  <extLst>
    <ext xmlns:x14="http://schemas.microsoft.com/office/spreadsheetml/2009/9/main" uri="{78C0D931-6437-407d-A8EE-F0AAD7539E65}">
      <x14:conditionalFormattings>
        <x14:conditionalFormatting xmlns:xm="http://schemas.microsoft.com/office/excel/2006/main">
          <x14:cfRule type="dataBar" id="{C8128381-1F18-4855-AF98-7333E82598CE}">
            <x14:dataBar minLength="0" maxLength="100" gradient="0">
              <x14:cfvo type="autoMin"/>
              <x14:cfvo type="autoMax"/>
              <x14:negativeFillColor rgb="FFFF7575"/>
              <x14:axisColor rgb="FF000000"/>
            </x14:dataBar>
          </x14:cfRule>
          <xm:sqref>AV7:AV18</xm:sqref>
        </x14:conditionalFormatting>
        <x14:conditionalFormatting xmlns:xm="http://schemas.microsoft.com/office/excel/2006/main">
          <x14:cfRule type="expression" priority="51" id="{FE811CB8-FAAD-406D-A06C-EECDC2255A5C}">
            <xm:f>AND($X$58&lt;&gt;"",FIND($X$58,換券投組!$AE$62)&gt;=1)</xm:f>
            <x14:dxf>
              <fill>
                <patternFill>
                  <bgColor rgb="FFEEF5F4"/>
                </patternFill>
              </fill>
            </x14:dxf>
          </x14:cfRule>
          <xm:sqref>X58:AZ58</xm:sqref>
        </x14:conditionalFormatting>
        <x14:conditionalFormatting xmlns:xm="http://schemas.microsoft.com/office/excel/2006/main">
          <x14:cfRule type="expression" priority="103" id="{0E0656F9-5050-442F-B2F8-4D4C3E749A31}">
            <xm:f>換券投組!$D$29=換券投組!$E$29</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104" id="{5CF26DDA-C6C6-4540-9CE5-DECC5441B5B6}">
            <xm:f>換券投組!$D$29&lt;換券投組!$E$29</xm:f>
            <x14:dxf>
              <fill>
                <patternFill>
                  <bgColor rgb="FF297D6B"/>
                </patternFill>
              </fill>
            </x14:dxf>
          </x14:cfRule>
          <x14:cfRule type="expression" priority="105" id="{8E06DD17-5FC4-4D79-9B47-9F5BC6D2BB71}">
            <xm:f>換券投組!$D$29&gt;換券投組!$E$29</xm:f>
            <x14:dxf>
              <fill>
                <patternFill>
                  <bgColor rgb="FFBFBFBF"/>
                </patternFill>
              </fill>
            </x14:dxf>
          </x14:cfRule>
          <xm:sqref>O54:O59</xm:sqref>
        </x14:conditionalFormatting>
        <x14:conditionalFormatting xmlns:xm="http://schemas.microsoft.com/office/excel/2006/main">
          <x14:cfRule type="expression" priority="100" id="{DFF930AB-DC07-4DF8-A66B-C46DBD26D98E}">
            <xm:f>換券投組!$D$30=換券投組!$E$30</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101" id="{C10DF600-420F-4768-9609-865F6FF12BA2}">
            <xm:f>換券投組!$D$30&lt;換券投組!$E$30</xm:f>
            <x14:dxf>
              <fill>
                <patternFill>
                  <bgColor rgb="FF297D6B"/>
                </patternFill>
              </fill>
            </x14:dxf>
          </x14:cfRule>
          <x14:cfRule type="expression" priority="102" id="{01EC1941-888C-4DE3-8D46-3B141D5F082C}">
            <xm:f>換券投組!$D$30&gt;換券投組!$E$30</xm:f>
            <x14:dxf>
              <fill>
                <patternFill>
                  <bgColor rgb="FFBFBFBF"/>
                </patternFill>
              </fill>
            </x14:dxf>
          </x14:cfRule>
          <xm:sqref>O60:O65</xm:sqref>
        </x14:conditionalFormatting>
        <x14:conditionalFormatting xmlns:xm="http://schemas.microsoft.com/office/excel/2006/main">
          <x14:cfRule type="expression" priority="97" id="{2FC8523A-D44B-452F-8C1F-F78BEC199AD9}">
            <xm:f>換券投組!$D$31=換券投組!$E$31</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98" id="{A5A2751A-EC01-438B-A57F-97B04B1DE538}">
            <xm:f>換券投組!$D$31&lt;換券投組!$E$31</xm:f>
            <x14:dxf>
              <fill>
                <patternFill>
                  <bgColor rgb="FF297D6B"/>
                </patternFill>
              </fill>
            </x14:dxf>
          </x14:cfRule>
          <x14:cfRule type="expression" priority="99" id="{204FC499-A5FE-42F7-A593-7A73AC893EA8}">
            <xm:f>換券投組!$D$31&gt;換券投組!$E$31</xm:f>
            <x14:dxf>
              <fill>
                <patternFill>
                  <bgColor rgb="FFBFBFBF"/>
                </patternFill>
              </fill>
            </x14:dxf>
          </x14:cfRule>
          <xm:sqref>O66:O71</xm:sqref>
        </x14:conditionalFormatting>
        <x14:conditionalFormatting xmlns:xm="http://schemas.microsoft.com/office/excel/2006/main">
          <x14:cfRule type="expression" priority="94" id="{7757369E-2866-4C44-A756-54728D58DDF3}">
            <xm:f>換券投組!$D$32=換券投組!$E$32</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95" id="{B7CC0FB8-82DD-4299-9A90-6A93DF65F6C8}">
            <xm:f>換券投組!$D$32&lt;換券投組!$E$32</xm:f>
            <x14:dxf>
              <fill>
                <patternFill>
                  <bgColor rgb="FF297D6B"/>
                </patternFill>
              </fill>
            </x14:dxf>
          </x14:cfRule>
          <x14:cfRule type="expression" priority="96" id="{8A882B66-5EF9-4DBA-AF94-7C0DA937D15B}">
            <xm:f>換券投組!$D$32&gt;換券投組!$E$32</xm:f>
            <x14:dxf>
              <fill>
                <patternFill>
                  <bgColor rgb="FFBFBFBF"/>
                </patternFill>
              </fill>
            </x14:dxf>
          </x14:cfRule>
          <xm:sqref>O72:O77</xm:sqref>
        </x14:conditionalFormatting>
        <x14:conditionalFormatting xmlns:xm="http://schemas.microsoft.com/office/excel/2006/main">
          <x14:cfRule type="expression" priority="91" id="{3FF57B57-C1DB-49B1-BB79-7C22B2509116}">
            <xm:f>換券投組!$D$33=換券投組!$E$33</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92" id="{8B55E192-6BF8-4F11-89B4-E7E87A5AA60D}">
            <xm:f>換券投組!$D$33&lt;換券投組!$E$33</xm:f>
            <x14:dxf>
              <fill>
                <patternFill>
                  <bgColor rgb="FF297D6B"/>
                </patternFill>
              </fill>
            </x14:dxf>
          </x14:cfRule>
          <x14:cfRule type="expression" priority="93" id="{53CEB6F3-23F2-4FE0-8D6A-7006D69D267F}">
            <xm:f>換券投組!$D$33&gt;換券投組!$E$33</xm:f>
            <x14:dxf>
              <fill>
                <patternFill>
                  <bgColor rgb="FFBFBFBF"/>
                </patternFill>
              </fill>
            </x14:dxf>
          </x14:cfRule>
          <xm:sqref>O78:O83</xm:sqref>
        </x14:conditionalFormatting>
        <x14:conditionalFormatting xmlns:xm="http://schemas.microsoft.com/office/excel/2006/main">
          <x14:cfRule type="dataBar" priority="111" id="{85CBC271-4A1B-4BBF-B22F-EBFBECD03007}">
            <x14:dataBar minLength="0" maxLength="100" showValue="0" border="1">
              <x14:cfvo type="autoMin"/>
              <x14:cfvo type="formula">
                <xm:f>換券投組!$F$29</xm:f>
              </x14:cfvo>
              <x14:fillColor theme="0" tint="-0.249977111117893"/>
              <x14:borderColor theme="0"/>
              <x14:negativeFillColor rgb="FFFF0000"/>
              <x14:axisColor rgb="FF000000"/>
            </x14:dataBar>
          </x14:cfRule>
          <xm:sqref>Q55:Q56</xm:sqref>
        </x14:conditionalFormatting>
        <x14:conditionalFormatting xmlns:xm="http://schemas.microsoft.com/office/excel/2006/main">
          <x14:cfRule type="dataBar" priority="112" id="{CDED1697-6628-4596-B315-C8F92A6FF904}">
            <x14:dataBar minLength="0" maxLength="100" showValue="0" border="1" gradient="0">
              <x14:cfvo type="autoMin"/>
              <x14:cfvo type="formula">
                <xm:f>換券投組!$F$29</xm:f>
              </x14:cfvo>
              <x14:fillColor rgb="FF297D6B"/>
              <x14:borderColor theme="0"/>
              <x14:negativeFillColor rgb="FFFF0000"/>
              <x14:axisColor rgb="FF000000"/>
            </x14:dataBar>
          </x14:cfRule>
          <xm:sqref>Q57:Q60</xm:sqref>
        </x14:conditionalFormatting>
        <x14:conditionalFormatting xmlns:xm="http://schemas.microsoft.com/office/excel/2006/main">
          <x14:cfRule type="dataBar" priority="84" id="{698BF048-CC25-4FF5-B997-FF813AB9FA07}">
            <x14:dataBar minLength="0" maxLength="100" showValue="0" border="1">
              <x14:cfvo type="autoMin"/>
              <x14:cfvo type="formula">
                <xm:f>換券投組!$F$30</xm:f>
              </x14:cfvo>
              <x14:fillColor theme="0" tint="-0.249977111117893"/>
              <x14:borderColor theme="0"/>
              <x14:negativeFillColor rgb="FFFF0000"/>
              <x14:axisColor rgb="FF000000"/>
            </x14:dataBar>
          </x14:cfRule>
          <xm:sqref>Q61:Q62</xm:sqref>
        </x14:conditionalFormatting>
        <x14:conditionalFormatting xmlns:xm="http://schemas.microsoft.com/office/excel/2006/main">
          <x14:cfRule type="dataBar" priority="85" id="{458FBC91-30BF-4CFD-AE81-87A047FC30F8}">
            <x14:dataBar minLength="0" maxLength="100" showValue="0" border="1" gradient="0">
              <x14:cfvo type="autoMin"/>
              <x14:cfvo type="formula">
                <xm:f>換券投組!$F$30</xm:f>
              </x14:cfvo>
              <x14:fillColor rgb="FF297D6B"/>
              <x14:borderColor theme="0"/>
              <x14:negativeFillColor rgb="FFFF0000"/>
              <x14:axisColor rgb="FF000000"/>
            </x14:dataBar>
          </x14:cfRule>
          <xm:sqref>Q63:Q64</xm:sqref>
        </x14:conditionalFormatting>
        <x14:conditionalFormatting xmlns:xm="http://schemas.microsoft.com/office/excel/2006/main">
          <x14:cfRule type="dataBar" priority="106" id="{393FC07D-EBBC-4098-B2BF-F7ED7B404BCE}">
            <x14:dataBar minLength="0" maxLength="100" showValue="0" border="1" gradient="0">
              <x14:cfvo type="autoMin"/>
              <x14:cfvo type="formula">
                <xm:f>換券單檔!$F$30</xm:f>
              </x14:cfvo>
              <x14:fillColor rgb="FF297D6B"/>
              <x14:borderColor theme="0"/>
              <x14:negativeFillColor rgb="FFFF0000"/>
              <x14:axisColor rgb="FF000000"/>
            </x14:dataBar>
          </x14:cfRule>
          <xm:sqref>Q65:Q66</xm:sqref>
        </x14:conditionalFormatting>
        <x14:conditionalFormatting xmlns:xm="http://schemas.microsoft.com/office/excel/2006/main">
          <x14:cfRule type="dataBar" priority="82" id="{FBE9CA4A-FDAF-4D94-9040-4DDA2BB2B08E}">
            <x14:dataBar minLength="0" maxLength="100" showValue="0" border="1">
              <x14:cfvo type="autoMin"/>
              <x14:cfvo type="formula">
                <xm:f>換券投組!$F$31</xm:f>
              </x14:cfvo>
              <x14:fillColor theme="0" tint="-0.249977111117893"/>
              <x14:borderColor theme="0"/>
              <x14:negativeFillColor rgb="FFFF0000"/>
              <x14:axisColor rgb="FF000000"/>
            </x14:dataBar>
          </x14:cfRule>
          <xm:sqref>Q67:Q68</xm:sqref>
        </x14:conditionalFormatting>
        <x14:conditionalFormatting xmlns:xm="http://schemas.microsoft.com/office/excel/2006/main">
          <x14:cfRule type="dataBar" priority="83" id="{8114CBE4-0E12-4803-844C-0760F52E49EE}">
            <x14:dataBar minLength="0" maxLength="100" showValue="0" border="1" gradient="0">
              <x14:cfvo type="autoMin"/>
              <x14:cfvo type="formula">
                <xm:f>換券投組!$F$31</xm:f>
              </x14:cfvo>
              <x14:fillColor rgb="FF297D6B"/>
              <x14:borderColor theme="0"/>
              <x14:negativeFillColor rgb="FFFF0000"/>
              <x14:axisColor rgb="FF000000"/>
            </x14:dataBar>
          </x14:cfRule>
          <xm:sqref>Q69:Q70</xm:sqref>
        </x14:conditionalFormatting>
        <x14:conditionalFormatting xmlns:xm="http://schemas.microsoft.com/office/excel/2006/main">
          <x14:cfRule type="dataBar" priority="107" id="{7232FF82-9A5D-4E0C-9494-655171B9E814}">
            <x14:dataBar minLength="0" maxLength="100" showValue="0" border="1" gradient="0">
              <x14:cfvo type="autoMin"/>
              <x14:cfvo type="formula">
                <xm:f>換券單檔!$F$31</xm:f>
              </x14:cfvo>
              <x14:fillColor rgb="FF297D6B"/>
              <x14:borderColor theme="0"/>
              <x14:negativeFillColor rgb="FFFF0000"/>
              <x14:axisColor rgb="FF000000"/>
            </x14:dataBar>
          </x14:cfRule>
          <xm:sqref>Q71:Q72</xm:sqref>
        </x14:conditionalFormatting>
        <x14:conditionalFormatting xmlns:xm="http://schemas.microsoft.com/office/excel/2006/main">
          <x14:cfRule type="dataBar" priority="80" id="{B78DCABB-925F-44EA-BBB7-7A01AD10CF4C}">
            <x14:dataBar minLength="0" maxLength="100" showValue="0" border="1">
              <x14:cfvo type="autoMin"/>
              <x14:cfvo type="formula">
                <xm:f>換券投組!$F$32</xm:f>
              </x14:cfvo>
              <x14:fillColor theme="0" tint="-0.249977111117893"/>
              <x14:borderColor theme="0"/>
              <x14:negativeFillColor rgb="FFFF0000"/>
              <x14:axisColor rgb="FF000000"/>
            </x14:dataBar>
          </x14:cfRule>
          <xm:sqref>Q73:Q74</xm:sqref>
        </x14:conditionalFormatting>
        <x14:conditionalFormatting xmlns:xm="http://schemas.microsoft.com/office/excel/2006/main">
          <x14:cfRule type="dataBar" priority="81" id="{43E42591-841D-440F-BE10-A1CB0035DDCA}">
            <x14:dataBar minLength="0" maxLength="100" showValue="0" border="1" gradient="0">
              <x14:cfvo type="autoMin"/>
              <x14:cfvo type="formula">
                <xm:f>換券投組!$F$32</xm:f>
              </x14:cfvo>
              <x14:fillColor rgb="FF297D6B"/>
              <x14:borderColor theme="0"/>
              <x14:negativeFillColor rgb="FFFF0000"/>
              <x14:axisColor rgb="FF000000"/>
            </x14:dataBar>
          </x14:cfRule>
          <xm:sqref>Q75:Q76</xm:sqref>
        </x14:conditionalFormatting>
        <x14:conditionalFormatting xmlns:xm="http://schemas.microsoft.com/office/excel/2006/main">
          <x14:cfRule type="dataBar" priority="108" id="{96AF6ED3-4D87-4600-B709-778F0BD53394}">
            <x14:dataBar minLength="0" maxLength="100" showValue="0" border="1" gradient="0">
              <x14:cfvo type="autoMin"/>
              <x14:cfvo type="formula">
                <xm:f>換券單檔!$F$32</xm:f>
              </x14:cfvo>
              <x14:fillColor rgb="FF297D6B"/>
              <x14:borderColor theme="0"/>
              <x14:negativeFillColor rgb="FFFF0000"/>
              <x14:axisColor rgb="FF000000"/>
            </x14:dataBar>
          </x14:cfRule>
          <xm:sqref>Q77:Q78</xm:sqref>
        </x14:conditionalFormatting>
        <x14:conditionalFormatting xmlns:xm="http://schemas.microsoft.com/office/excel/2006/main">
          <x14:cfRule type="dataBar" priority="78" id="{2D00C88D-4B8B-4A78-BF42-F95BE33AF885}">
            <x14:dataBar minLength="0" maxLength="100" showValue="0" border="1">
              <x14:cfvo type="autoMin"/>
              <x14:cfvo type="formula">
                <xm:f>換券投組!$F$33</xm:f>
              </x14:cfvo>
              <x14:fillColor theme="0" tint="-0.249977111117893"/>
              <x14:borderColor theme="0"/>
              <x14:negativeFillColor rgb="FFFF0000"/>
              <x14:axisColor rgb="FF000000"/>
            </x14:dataBar>
          </x14:cfRule>
          <xm:sqref>Q79:Q80</xm:sqref>
        </x14:conditionalFormatting>
        <x14:conditionalFormatting xmlns:xm="http://schemas.microsoft.com/office/excel/2006/main">
          <x14:cfRule type="dataBar" priority="79" id="{E7633545-A7B9-42D5-8D25-BD73161EAD3E}">
            <x14:dataBar minLength="0" maxLength="100" showValue="0" border="1" gradient="0">
              <x14:cfvo type="autoMin"/>
              <x14:cfvo type="formula">
                <xm:f>換券投組!$F$33</xm:f>
              </x14:cfvo>
              <x14:fillColor rgb="FF297D6B"/>
              <x14:borderColor theme="0"/>
              <x14:negativeFillColor rgb="FFFF0000"/>
              <x14:axisColor rgb="FF000000"/>
            </x14:dataBar>
          </x14:cfRule>
          <xm:sqref>Q81:Q82</xm:sqref>
        </x14:conditionalFormatting>
        <x14:conditionalFormatting xmlns:xm="http://schemas.microsoft.com/office/excel/2006/main">
          <x14:cfRule type="dataBar" priority="109" id="{FD7CF094-1B25-4F4A-9726-AD53B9C1AFC5}">
            <x14:dataBar minLength="0" maxLength="100" showValue="0" gradient="0">
              <x14:cfvo type="autoMin"/>
              <x14:cfvo type="formula">
                <xm:f>換券單檔!$F$33</xm:f>
              </x14:cfvo>
              <x14:fillColor rgb="FF297D6B"/>
              <x14:negativeFillColor rgb="FFFF0000"/>
              <x14:axisColor rgb="FF000000"/>
            </x14:dataBar>
          </x14:cfRule>
          <xm:sqref>Q83:Q84</xm:sqref>
        </x14:conditionalFormatting>
        <x14:conditionalFormatting xmlns:xm="http://schemas.microsoft.com/office/excel/2006/main">
          <x14:cfRule type="dataBar" priority="76" id="{42D363C4-4577-4720-BCFA-52A7A08EDE17}">
            <x14:dataBar minLength="0" maxLength="100" showValue="0" border="1">
              <x14:cfvo type="autoMin"/>
              <x14:cfvo type="formula">
                <xm:f>換券投組!$F$35</xm:f>
              </x14:cfvo>
              <x14:fillColor theme="0" tint="-0.249977111117893"/>
              <x14:borderColor theme="0"/>
              <x14:negativeFillColor rgb="FFFF0000"/>
              <x14:axisColor rgb="FF000000"/>
            </x14:dataBar>
          </x14:cfRule>
          <xm:sqref>Q85:Q86</xm:sqref>
        </x14:conditionalFormatting>
        <x14:conditionalFormatting xmlns:xm="http://schemas.microsoft.com/office/excel/2006/main">
          <x14:cfRule type="dataBar" priority="77" id="{224A89C1-F93D-4E2C-AF11-F9A9DC0BCC6E}">
            <x14:dataBar minLength="0" maxLength="100" showValue="0" border="1" gradient="0">
              <x14:cfvo type="autoMin"/>
              <x14:cfvo type="formula">
                <xm:f>換券投組!$F$35</xm:f>
              </x14:cfvo>
              <x14:fillColor rgb="FF297D6B"/>
              <x14:borderColor theme="0"/>
              <x14:negativeFillColor rgb="FFFF0000"/>
              <x14:axisColor rgb="FF000000"/>
            </x14:dataBar>
          </x14:cfRule>
          <xm:sqref>Q87:Q88</xm:sqref>
        </x14:conditionalFormatting>
        <x14:conditionalFormatting xmlns:xm="http://schemas.microsoft.com/office/excel/2006/main">
          <x14:cfRule type="dataBar" priority="110" id="{C1276F49-E232-4B02-A745-0192F166D150}">
            <x14:dataBar minLength="0" maxLength="100" showValue="0" border="1" gradient="0">
              <x14:cfvo type="autoMin"/>
              <x14:cfvo type="formula">
                <xm:f>換券單檔!$F$35</xm:f>
              </x14:cfvo>
              <x14:fillColor rgb="FF297D6B"/>
              <x14:borderColor theme="0"/>
              <x14:negativeFillColor rgb="FFFF0000"/>
              <x14:axisColor rgb="FF000000"/>
            </x14:dataBar>
          </x14:cfRule>
          <xm:sqref>Q89</xm:sqref>
        </x14:conditionalFormatting>
        <x14:conditionalFormatting xmlns:xm="http://schemas.microsoft.com/office/excel/2006/main">
          <x14:cfRule type="dataBar" priority="61" id="{624EE531-247D-4607-AC95-C2018D4B6166}">
            <x14:dataBar minLength="0" maxLength="100" showValue="0" border="1">
              <x14:cfvo type="autoMin"/>
              <x14:cfvo type="formula">
                <xm:f>換券投組!$F$31</xm:f>
              </x14:cfvo>
              <x14:fillColor theme="0" tint="-0.249977111117893"/>
              <x14:borderColor theme="0"/>
              <x14:negativeFillColor rgb="FFFF0000"/>
              <x14:axisColor rgb="FF000000"/>
            </x14:dataBar>
          </x14:cfRule>
          <xm:sqref>Q121</xm:sqref>
        </x14:conditionalFormatting>
        <x14:conditionalFormatting xmlns:xm="http://schemas.microsoft.com/office/excel/2006/main">
          <x14:cfRule type="expression" priority="69" id="{A87E31E5-4ACA-4AF6-A876-A16CC842207A}">
            <xm:f>Change投!$AS$7="需查詢"</xm:f>
            <x14:dxf>
              <font>
                <b/>
                <i val="0"/>
                <color rgb="FFFF0000"/>
              </font>
            </x14:dxf>
          </x14:cfRule>
          <xm:sqref>AI45 AL45:AZ45</xm:sqref>
        </x14:conditionalFormatting>
        <x14:conditionalFormatting xmlns:xm="http://schemas.microsoft.com/office/excel/2006/main">
          <x14:cfRule type="expression" priority="68" id="{019EA8E4-62DF-454D-962E-84B88F6F4964}">
            <xm:f>Change投!$AS$8="需查詢"</xm:f>
            <x14:dxf>
              <font>
                <b/>
                <i val="0"/>
                <color rgb="FFFF0000"/>
              </font>
            </x14:dxf>
          </x14:cfRule>
          <xm:sqref>AI46:AZ46</xm:sqref>
        </x14:conditionalFormatting>
        <x14:conditionalFormatting xmlns:xm="http://schemas.microsoft.com/office/excel/2006/main">
          <x14:cfRule type="expression" priority="67" id="{BE87F6AD-B8B0-4D82-83A8-D3BB7734D138}">
            <xm:f>Change投!$AS$9="需查詢"</xm:f>
            <x14:dxf>
              <font>
                <b/>
                <i val="0"/>
                <color rgb="FFFF0000"/>
              </font>
            </x14:dxf>
          </x14:cfRule>
          <xm:sqref>AI47:AZ47</xm:sqref>
        </x14:conditionalFormatting>
        <x14:conditionalFormatting xmlns:xm="http://schemas.microsoft.com/office/excel/2006/main">
          <x14:cfRule type="expression" priority="66" id="{7A0395E8-D7C2-4F49-9A68-12BFB77741B6}">
            <xm:f>Change投!$AS$10="需查詢"</xm:f>
            <x14:dxf>
              <font>
                <b/>
                <i val="0"/>
                <color rgb="FFFF0000"/>
              </font>
            </x14:dxf>
          </x14:cfRule>
          <xm:sqref>AI48:AZ48</xm:sqref>
        </x14:conditionalFormatting>
        <x14:conditionalFormatting xmlns:xm="http://schemas.microsoft.com/office/excel/2006/main">
          <x14:cfRule type="expression" priority="65" id="{D9DE53CA-382D-4242-8603-A9A6CDB774E5}">
            <xm:f>Change投!$AS$11="需查詢"</xm:f>
            <x14:dxf>
              <font>
                <b/>
                <i val="0"/>
                <color rgb="FFFF0000"/>
              </font>
            </x14:dxf>
          </x14:cfRule>
          <xm:sqref>AI49:AZ49</xm:sqref>
        </x14:conditionalFormatting>
        <x14:conditionalFormatting xmlns:xm="http://schemas.microsoft.com/office/excel/2006/main">
          <x14:cfRule type="expression" priority="64" id="{12B9B559-19EF-43F3-8336-1453D5A04E68}">
            <xm:f>Change投!$AS$12="需查詢"</xm:f>
            <x14:dxf>
              <font>
                <b/>
                <i val="0"/>
                <color rgb="FFFF0000"/>
              </font>
            </x14:dxf>
          </x14:cfRule>
          <xm:sqref>AI50:AZ50</xm:sqref>
        </x14:conditionalFormatting>
        <x14:conditionalFormatting xmlns:xm="http://schemas.microsoft.com/office/excel/2006/main">
          <x14:cfRule type="expression" priority="60" id="{77E97CE3-A913-418D-BBE3-D4F66085C7C9}">
            <xm:f>Change投!$AS$7="需查詢"</xm:f>
            <x14:dxf>
              <font>
                <b/>
                <i val="0"/>
                <color rgb="FFFF0000"/>
              </font>
            </x14:dxf>
          </x14:cfRule>
          <xm:sqref>AI100:AZ100</xm:sqref>
        </x14:conditionalFormatting>
        <x14:conditionalFormatting xmlns:xm="http://schemas.microsoft.com/office/excel/2006/main">
          <x14:cfRule type="expression" priority="59" id="{A8E219E2-F477-4328-B68F-29272274D22F}">
            <xm:f>Change投!$AS$8="需查詢"</xm:f>
            <x14:dxf>
              <font>
                <b/>
                <i val="0"/>
                <color rgb="FFFF0000"/>
              </font>
            </x14:dxf>
          </x14:cfRule>
          <xm:sqref>AI101:AZ101</xm:sqref>
        </x14:conditionalFormatting>
        <x14:conditionalFormatting xmlns:xm="http://schemas.microsoft.com/office/excel/2006/main">
          <x14:cfRule type="expression" priority="58" id="{878F8327-4076-4BA8-A713-93267338C15C}">
            <xm:f>Change投!$AS$9="需查詢"</xm:f>
            <x14:dxf>
              <font>
                <b/>
                <i val="0"/>
                <color rgb="FFFF0000"/>
              </font>
            </x14:dxf>
          </x14:cfRule>
          <xm:sqref>AI102:AZ102</xm:sqref>
        </x14:conditionalFormatting>
        <x14:conditionalFormatting xmlns:xm="http://schemas.microsoft.com/office/excel/2006/main">
          <x14:cfRule type="expression" priority="57" id="{A1AD7138-D603-4234-875D-371FCA29822C}">
            <xm:f>Change投!$AS$10="需查詢"</xm:f>
            <x14:dxf>
              <font>
                <b/>
                <i val="0"/>
                <color rgb="FFFF0000"/>
              </font>
            </x14:dxf>
          </x14:cfRule>
          <xm:sqref>AI103:AZ103</xm:sqref>
        </x14:conditionalFormatting>
        <x14:conditionalFormatting xmlns:xm="http://schemas.microsoft.com/office/excel/2006/main">
          <x14:cfRule type="expression" priority="56" id="{C61152F7-855C-4307-ACA6-B82E83882417}">
            <xm:f>Change投!$AS$11="需查詢"</xm:f>
            <x14:dxf>
              <font>
                <b/>
                <i val="0"/>
                <color rgb="FFFF0000"/>
              </font>
            </x14:dxf>
          </x14:cfRule>
          <xm:sqref>AI104:AZ104</xm:sqref>
        </x14:conditionalFormatting>
        <x14:conditionalFormatting xmlns:xm="http://schemas.microsoft.com/office/excel/2006/main">
          <x14:cfRule type="expression" priority="55" id="{80A8345F-410B-4687-844E-2E573E41AD55}">
            <xm:f>Change投!$AS$12="需查詢"</xm:f>
            <x14:dxf>
              <font>
                <b/>
                <i val="0"/>
                <color rgb="FFFF0000"/>
              </font>
            </x14:dxf>
          </x14:cfRule>
          <xm:sqref>AI105:AZ105</xm:sqref>
        </x14:conditionalFormatting>
        <x14:conditionalFormatting xmlns:xm="http://schemas.microsoft.com/office/excel/2006/main">
          <x14:cfRule type="expression" priority="88" id="{58C6125A-BDE4-4383-91FE-069FFF4BA6DF}">
            <xm:f>換券投組!$D$35=換券投組!$E$35</xm:f>
            <x14:dxf>
              <border>
                <left style="thin">
                  <color theme="0" tint="-0.24994659260841701"/>
                </left>
                <right style="thin">
                  <color theme="0" tint="-0.24994659260841701"/>
                </right>
                <top style="thin">
                  <color theme="0" tint="-0.24994659260841701"/>
                </top>
                <bottom style="thin">
                  <color theme="0" tint="-0.24994659260841701"/>
                </bottom>
                <vertical/>
                <horizontal/>
              </border>
            </x14:dxf>
          </x14:cfRule>
          <x14:cfRule type="expression" priority="89" id="{4A031DE6-6078-4825-B1E6-B693638484A5}">
            <xm:f>換券投組!$D$35&lt;換券投組!$E$35</xm:f>
            <x14:dxf>
              <fill>
                <patternFill>
                  <bgColor rgb="FF297D6B"/>
                </patternFill>
              </fill>
            </x14:dxf>
          </x14:cfRule>
          <x14:cfRule type="expression" priority="90" id="{7E9BA0E3-2230-4C26-979A-F59571080064}">
            <xm:f>換券投組!$D$35&gt;換券投組!$E$35</xm:f>
            <x14:dxf>
              <fill>
                <patternFill>
                  <bgColor rgb="FFBFBFBF"/>
                </patternFill>
              </fill>
            </x14:dxf>
          </x14:cfRule>
          <xm:sqref>O84:O89</xm:sqref>
        </x14:conditionalFormatting>
        <x14:conditionalFormatting xmlns:xm="http://schemas.microsoft.com/office/excel/2006/main">
          <x14:cfRule type="expression" priority="53" id="{247736A6-5FAA-4D7C-A1B8-DAA96B250532}">
            <xm:f>Change投!$AS$12="需查詢"</xm:f>
            <x14:dxf>
              <font>
                <b/>
                <i val="0"/>
                <color rgb="FFFF0000"/>
              </font>
            </x14:dxf>
          </x14:cfRule>
          <xm:sqref>AW51:AZ51</xm:sqref>
        </x14:conditionalFormatting>
        <x14:conditionalFormatting xmlns:xm="http://schemas.microsoft.com/office/excel/2006/main">
          <x14:cfRule type="expression" priority="50" id="{9E36E938-4D8A-4F1A-A754-E9BAAB60B569}">
            <xm:f>AND($X$59&lt;&gt;"",FIND($X$59,換券投組!$AE$62)&gt;=1)</xm:f>
            <x14:dxf>
              <fill>
                <patternFill>
                  <bgColor rgb="FFEEF5F4"/>
                </patternFill>
              </fill>
            </x14:dxf>
          </x14:cfRule>
          <xm:sqref>X59:AZ60</xm:sqref>
        </x14:conditionalFormatting>
        <x14:conditionalFormatting xmlns:xm="http://schemas.microsoft.com/office/excel/2006/main">
          <x14:cfRule type="expression" priority="49" id="{CAAB8B39-D541-495A-BF5C-AFA58EFBC61F}">
            <xm:f>AND($X$61&lt;&gt;"",FIND($X$61,換券投組!$AE$62)&gt;=1)</xm:f>
            <x14:dxf>
              <fill>
                <patternFill>
                  <bgColor rgb="FFEEF5F4"/>
                </patternFill>
              </fill>
            </x14:dxf>
          </x14:cfRule>
          <xm:sqref>X61:AZ61</xm:sqref>
        </x14:conditionalFormatting>
        <x14:conditionalFormatting xmlns:xm="http://schemas.microsoft.com/office/excel/2006/main">
          <x14:cfRule type="expression" priority="48" id="{268D08E1-7882-40F5-A0C7-6D035AE4B07C}">
            <xm:f>AND($X$64&lt;&gt;"",FIND($X$64,換券投組!$AE$62)&gt;=1)</xm:f>
            <x14:dxf>
              <fill>
                <patternFill>
                  <bgColor rgb="FFEEF5F4"/>
                </patternFill>
              </fill>
            </x14:dxf>
          </x14:cfRule>
          <xm:sqref>X64:AZ64</xm:sqref>
        </x14:conditionalFormatting>
        <x14:conditionalFormatting xmlns:xm="http://schemas.microsoft.com/office/excel/2006/main">
          <x14:cfRule type="expression" priority="47" id="{ECEDA77D-10B4-42AA-847C-1FEB32DC3849}">
            <xm:f>AND($X$65&lt;&gt;"",FIND($X$65,換券投組!$AE$62)&gt;=1)</xm:f>
            <x14:dxf>
              <fill>
                <patternFill>
                  <bgColor rgb="FFEEF5F4"/>
                </patternFill>
              </fill>
            </x14:dxf>
          </x14:cfRule>
          <xm:sqref>X65:AZ66</xm:sqref>
        </x14:conditionalFormatting>
        <x14:conditionalFormatting xmlns:xm="http://schemas.microsoft.com/office/excel/2006/main">
          <x14:cfRule type="expression" priority="46" id="{69CCD1EE-A2FD-48A8-915F-610FF1F99430}">
            <xm:f>AND($X$67&lt;&gt;"",FIND($X$67,換券投組!$AE$62)&gt;=1)</xm:f>
            <x14:dxf>
              <fill>
                <patternFill>
                  <bgColor rgb="FFEEF5F4"/>
                </patternFill>
              </fill>
            </x14:dxf>
          </x14:cfRule>
          <xm:sqref>X67:AZ67</xm:sqref>
        </x14:conditionalFormatting>
        <x14:conditionalFormatting xmlns:xm="http://schemas.microsoft.com/office/excel/2006/main">
          <x14:cfRule type="expression" priority="820" id="{A42345D2-A886-4E2E-AC6D-20C7C6F230A1}">
            <xm:f>OR(換券投組!#REF!&lt;&gt;換券投組!$E$13,換券投組!$AG$8=1)</xm:f>
            <x14:dxf>
              <font>
                <b/>
                <i val="0"/>
                <color rgb="FFFF0000"/>
              </font>
            </x14:dxf>
          </x14:cfRule>
          <xm:sqref>X45:AF45</xm:sqref>
        </x14:conditionalFormatting>
        <x14:conditionalFormatting xmlns:xm="http://schemas.microsoft.com/office/excel/2006/main">
          <x14:cfRule type="expression" priority="821" id="{3660F52F-CD3C-408C-B461-69CFA7C6CB4F}">
            <xm:f>OR(換券投組!#REF!&lt;&gt;換券投組!$E$13,換券投組!$AG$9=1)</xm:f>
            <x14:dxf>
              <font>
                <b/>
                <i val="0"/>
                <color rgb="FFFF0000"/>
              </font>
            </x14:dxf>
          </x14:cfRule>
          <xm:sqref>X46:AF46</xm:sqref>
        </x14:conditionalFormatting>
        <x14:conditionalFormatting xmlns:xm="http://schemas.microsoft.com/office/excel/2006/main">
          <x14:cfRule type="expression" priority="822" id="{745C5C66-B707-45D2-AB61-061D5639A335}">
            <xm:f>OR(換券投組!#REF!&lt;&gt;換券投組!$E$13,換券投組!$AG$10=1)</xm:f>
            <x14:dxf>
              <font>
                <b/>
                <i val="0"/>
                <color rgb="FFFF0000"/>
              </font>
            </x14:dxf>
          </x14:cfRule>
          <xm:sqref>X47:AF47</xm:sqref>
        </x14:conditionalFormatting>
        <x14:conditionalFormatting xmlns:xm="http://schemas.microsoft.com/office/excel/2006/main">
          <x14:cfRule type="expression" priority="823" id="{3719D619-AFA4-4AB4-887E-14F6C20D43ED}">
            <xm:f>OR(換券投組!#REF!&lt;&gt;換券投組!$E$13,,換券投組!$AG$11=1)</xm:f>
            <x14:dxf>
              <font>
                <b/>
                <i val="0"/>
                <color rgb="FFFF0000"/>
              </font>
            </x14:dxf>
          </x14:cfRule>
          <xm:sqref>X48:AF48</xm:sqref>
        </x14:conditionalFormatting>
        <x14:conditionalFormatting xmlns:xm="http://schemas.microsoft.com/office/excel/2006/main">
          <x14:cfRule type="expression" priority="824" id="{DBB81E35-EB0F-486D-B97D-F529A2DABFF7}">
            <xm:f>OR(換券投組!#REF!&lt;&gt;換券投組!$E$13,換券投組!$AG$12=1)</xm:f>
            <x14:dxf>
              <font>
                <b/>
                <i val="0"/>
                <color rgb="FFFF0000"/>
              </font>
            </x14:dxf>
          </x14:cfRule>
          <xm:sqref>X49:AF49</xm:sqref>
        </x14:conditionalFormatting>
        <x14:conditionalFormatting xmlns:xm="http://schemas.microsoft.com/office/excel/2006/main">
          <x14:cfRule type="expression" priority="825" id="{C35E6F27-2986-49DE-8BD9-893395B72FFC}">
            <xm:f>OR(換券投組!#REF!&lt;&gt;換券投組!$E$13,換券投組!$AG$13=1)</xm:f>
            <x14:dxf>
              <font>
                <b/>
                <i val="0"/>
                <color rgb="FFFF0000"/>
              </font>
            </x14:dxf>
          </x14:cfRule>
          <xm:sqref>X50:AF50</xm:sqref>
        </x14:conditionalFormatting>
      </x14:conditionalFormattings>
    </ext>
    <ext xmlns:x14="http://schemas.microsoft.com/office/spreadsheetml/2009/9/main" uri="{CCE6A557-97BC-4b89-ADB6-D9C93CAAB3DF}">
      <x14:dataValidations xmlns:xm="http://schemas.microsoft.com/office/excel/2006/main" count="1">
        <x14:dataValidation type="custom" allowBlank="1" showInputMessage="1" showErrorMessage="1" errorTitle="商品代碼待確認" error="請填入正確商品代碼(不適用浮動利率及不含息交易債券)" xr:uid="{00000000-0002-0000-0900-000008000000}">
          <x14:formula1>
            <xm:f>'2_Check_code'!C62</xm:f>
          </x14:formula1>
          <xm:sqref>P7:P18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44">
    <tabColor theme="6" tint="0.79998168889431442"/>
  </sheetPr>
  <dimension ref="A1:FF254"/>
  <sheetViews>
    <sheetView topLeftCell="X1" workbookViewId="0">
      <selection activeCell="AF61" sqref="AF61"/>
    </sheetView>
  </sheetViews>
  <sheetFormatPr defaultColWidth="7.640625" defaultRowHeight="15.5"/>
  <cols>
    <col min="1" max="1" width="7.78515625" style="879" customWidth="1"/>
    <col min="2" max="2" width="13.78515625" style="906" customWidth="1"/>
    <col min="3" max="3" width="12.28515625" style="879" bestFit="1" customWidth="1"/>
    <col min="4" max="4" width="20.0703125" style="879" bestFit="1" customWidth="1"/>
    <col min="5" max="5" width="12.28515625" style="879" bestFit="1" customWidth="1"/>
    <col min="6" max="6" width="13.28515625" style="879" bestFit="1" customWidth="1"/>
    <col min="7" max="7" width="9.640625" style="879" customWidth="1"/>
    <col min="8" max="8" width="11.28515625" style="891" customWidth="1"/>
    <col min="9" max="10" width="14.28515625" style="1206" customWidth="1"/>
    <col min="11" max="11" width="13.2109375" style="929" bestFit="1" customWidth="1"/>
    <col min="12" max="12" width="14.28515625" style="929" bestFit="1" customWidth="1"/>
    <col min="14" max="14" width="6.28515625" style="1714" customWidth="1"/>
    <col min="15" max="15" width="6.28515625" style="1789" customWidth="1"/>
    <col min="16" max="16" width="11.640625" style="882" bestFit="1" customWidth="1"/>
    <col min="17" max="17" width="10.85546875" style="883" customWidth="1"/>
    <col min="18" max="18" width="11.42578125" style="883" bestFit="1" customWidth="1"/>
    <col min="19" max="19" width="14.28515625" style="883" customWidth="1"/>
    <col min="20" max="20" width="10.0703125" style="883" customWidth="1"/>
    <col min="21" max="21" width="20.42578125" style="885" customWidth="1"/>
    <col min="22" max="22" width="17.2109375" style="885" customWidth="1"/>
    <col min="23" max="23" width="17.2109375" style="883" customWidth="1"/>
    <col min="24" max="24" width="9.2109375" style="886" customWidth="1"/>
    <col min="25" max="25" width="7.640625" style="883"/>
    <col min="26" max="26" width="12.42578125" style="883" bestFit="1" customWidth="1"/>
    <col min="27" max="27" width="12.0703125" style="884" customWidth="1"/>
    <col min="28" max="28" width="18.2109375" style="884" customWidth="1"/>
    <col min="29" max="29" width="14.28515625" style="883" bestFit="1" customWidth="1"/>
    <col min="30" max="55" width="11.28515625" style="883" bestFit="1" customWidth="1"/>
    <col min="56" max="59" width="10" style="883" bestFit="1" customWidth="1"/>
    <col min="60" max="96" width="9.5" style="883" bestFit="1" customWidth="1"/>
    <col min="97" max="157" width="9.42578125" style="883" bestFit="1" customWidth="1"/>
    <col min="158" max="158" width="8" style="880" customWidth="1"/>
    <col min="159" max="16384" width="7.640625" style="883"/>
  </cols>
  <sheetData>
    <row r="1" spans="1:157">
      <c r="A1" s="878" t="s">
        <v>4483</v>
      </c>
      <c r="B1" s="879" t="s">
        <v>3558</v>
      </c>
      <c r="C1" s="880" t="s">
        <v>3559</v>
      </c>
      <c r="AD1" s="887"/>
      <c r="AE1" s="887"/>
      <c r="AF1" s="887"/>
      <c r="AG1" s="887"/>
      <c r="AH1" s="887"/>
      <c r="AI1" s="887"/>
      <c r="AJ1" s="887"/>
      <c r="AK1" s="887"/>
      <c r="AL1" s="887"/>
      <c r="AM1" s="887"/>
      <c r="AN1" s="887"/>
      <c r="AO1" s="887"/>
      <c r="AP1" s="887"/>
      <c r="AQ1" s="887"/>
      <c r="AR1" s="887"/>
      <c r="AS1" s="887"/>
      <c r="AT1" s="887"/>
      <c r="AU1" s="887"/>
      <c r="AV1" s="887"/>
      <c r="AW1" s="887"/>
      <c r="AX1" s="887"/>
      <c r="AY1" s="887"/>
      <c r="AZ1" s="887"/>
      <c r="BA1" s="887"/>
      <c r="BB1" s="887"/>
      <c r="BC1" s="887"/>
      <c r="BD1" s="887"/>
      <c r="BE1" s="887"/>
      <c r="BF1" s="887"/>
      <c r="BG1" s="887"/>
      <c r="BH1" s="887"/>
      <c r="BI1" s="887"/>
      <c r="BJ1" s="887"/>
      <c r="BK1" s="887"/>
      <c r="BL1" s="887"/>
      <c r="BM1" s="887"/>
      <c r="BN1" s="887"/>
      <c r="BO1" s="887"/>
      <c r="BP1" s="887"/>
      <c r="BQ1" s="887"/>
      <c r="BR1" s="887"/>
      <c r="BS1" s="887"/>
      <c r="BT1" s="887"/>
      <c r="BU1" s="887"/>
      <c r="BV1" s="887"/>
      <c r="BW1" s="887"/>
      <c r="BX1" s="887"/>
      <c r="BY1" s="887"/>
      <c r="BZ1" s="887"/>
      <c r="CA1" s="887"/>
      <c r="CB1" s="887"/>
      <c r="CC1" s="887"/>
      <c r="CD1" s="887"/>
      <c r="CE1" s="887"/>
      <c r="CF1" s="887"/>
      <c r="CG1" s="887"/>
      <c r="CH1" s="887"/>
      <c r="CI1" s="887"/>
      <c r="CJ1" s="887"/>
      <c r="CK1" s="887"/>
      <c r="CL1" s="887"/>
      <c r="CM1" s="887"/>
      <c r="CN1" s="887"/>
      <c r="CO1" s="887"/>
      <c r="CP1" s="887"/>
      <c r="CQ1" s="887"/>
      <c r="CR1" s="887"/>
      <c r="CS1" s="887"/>
      <c r="CT1" s="887"/>
      <c r="CU1" s="887"/>
      <c r="CV1" s="887"/>
      <c r="CW1" s="887"/>
      <c r="CX1" s="887"/>
      <c r="CY1" s="887"/>
      <c r="CZ1" s="887"/>
      <c r="DA1" s="887"/>
      <c r="DB1" s="887"/>
      <c r="DC1" s="887"/>
      <c r="DD1" s="887"/>
      <c r="DE1" s="887"/>
      <c r="DF1" s="887"/>
      <c r="DG1" s="887"/>
      <c r="DH1" s="887"/>
      <c r="DI1" s="887"/>
      <c r="DJ1" s="887"/>
      <c r="DK1" s="887"/>
      <c r="DL1" s="887"/>
      <c r="DM1" s="887"/>
      <c r="DN1" s="887"/>
      <c r="DO1" s="887"/>
      <c r="DP1" s="887"/>
      <c r="DQ1" s="887"/>
      <c r="DR1" s="887"/>
      <c r="DS1" s="887"/>
      <c r="DT1" s="887"/>
      <c r="DU1" s="887"/>
      <c r="DV1" s="887"/>
      <c r="DW1" s="887"/>
      <c r="DX1" s="887"/>
      <c r="DY1" s="887"/>
      <c r="DZ1" s="887"/>
      <c r="EA1" s="887"/>
      <c r="EB1" s="887"/>
      <c r="EC1" s="887"/>
      <c r="ED1" s="887"/>
      <c r="EE1" s="887"/>
      <c r="EF1" s="887"/>
      <c r="EG1" s="887"/>
      <c r="EH1" s="887"/>
      <c r="EI1" s="887"/>
      <c r="EJ1" s="887"/>
      <c r="EK1" s="887"/>
      <c r="EL1" s="887"/>
      <c r="EM1" s="887"/>
      <c r="EN1" s="887"/>
      <c r="EO1" s="887"/>
      <c r="EP1" s="887"/>
      <c r="EQ1" s="887"/>
      <c r="ER1" s="887"/>
      <c r="ES1" s="887"/>
      <c r="ET1" s="887"/>
      <c r="EU1" s="887"/>
      <c r="EV1" s="887"/>
      <c r="EW1" s="887"/>
      <c r="EX1" s="887"/>
      <c r="EY1" s="887"/>
      <c r="EZ1" s="887"/>
      <c r="FA1" s="887"/>
    </row>
    <row r="2" spans="1:157">
      <c r="A2" s="1054">
        <f>'商品代碼-中繼頁'!C16</f>
        <v>4</v>
      </c>
      <c r="B2" s="888">
        <f ca="1">IF($A$6=1,MAX(T65:T106),MAX(T7:T42))</f>
        <v>2060</v>
      </c>
      <c r="C2" s="880">
        <f ca="1">YEAR(TODAY())</f>
        <v>2024</v>
      </c>
      <c r="R2" s="889"/>
      <c r="AC2" s="1790">
        <f ca="1">SUM(AD2:ER2)</f>
        <v>490975</v>
      </c>
      <c r="AD2" s="908">
        <f ca="1">SUMPRODUCT($AC$7:$AC$42,AD7:AD42)</f>
        <v>8212.5</v>
      </c>
      <c r="AE2" s="908">
        <f ca="1">SUMPRODUCT((AE7:AE42-AD7:AD42)*(AE7:AE42&gt;AD7:AD42)*$AC$7:$AC$42)</f>
        <v>16425</v>
      </c>
      <c r="AF2" s="908">
        <f ca="1">SUMPRODUCT((AF7:AF42-AE7:AE42)*(AF7:AF42&gt;AE7:AE42)*$AC$7:$AC$42)</f>
        <v>16425</v>
      </c>
      <c r="AG2" s="908">
        <f t="shared" ref="AG2:CR2" ca="1" si="0">SUMPRODUCT((AG7:AG42-AF7:AF42)*(AG7:AG42&gt;AF7:AF42)*$AC$7:$AC$42)</f>
        <v>16425</v>
      </c>
      <c r="AH2" s="908">
        <f t="shared" ca="1" si="0"/>
        <v>16425</v>
      </c>
      <c r="AI2" s="908">
        <f t="shared" ca="1" si="0"/>
        <v>16425</v>
      </c>
      <c r="AJ2" s="908">
        <f t="shared" ca="1" si="0"/>
        <v>16425</v>
      </c>
      <c r="AK2" s="908">
        <f t="shared" ca="1" si="0"/>
        <v>16425</v>
      </c>
      <c r="AL2" s="908">
        <f t="shared" ca="1" si="0"/>
        <v>16425</v>
      </c>
      <c r="AM2" s="908">
        <f t="shared" ca="1" si="0"/>
        <v>16425</v>
      </c>
      <c r="AN2" s="908">
        <f t="shared" ca="1" si="0"/>
        <v>16425</v>
      </c>
      <c r="AO2" s="908">
        <f t="shared" ca="1" si="0"/>
        <v>16425</v>
      </c>
      <c r="AP2" s="908">
        <f t="shared" ca="1" si="0"/>
        <v>16425</v>
      </c>
      <c r="AQ2" s="908">
        <f t="shared" ca="1" si="0"/>
        <v>16425</v>
      </c>
      <c r="AR2" s="908">
        <f t="shared" ca="1" si="0"/>
        <v>16425</v>
      </c>
      <c r="AS2" s="908">
        <f t="shared" ca="1" si="0"/>
        <v>16425</v>
      </c>
      <c r="AT2" s="908">
        <f t="shared" ca="1" si="0"/>
        <v>16425</v>
      </c>
      <c r="AU2" s="908">
        <f t="shared" ca="1" si="0"/>
        <v>16425</v>
      </c>
      <c r="AV2" s="908">
        <f t="shared" ca="1" si="0"/>
        <v>16425</v>
      </c>
      <c r="AW2" s="908">
        <f t="shared" ca="1" si="0"/>
        <v>16425</v>
      </c>
      <c r="AX2" s="908">
        <f t="shared" ca="1" si="0"/>
        <v>16425</v>
      </c>
      <c r="AY2" s="908">
        <f t="shared" ca="1" si="0"/>
        <v>16425</v>
      </c>
      <c r="AZ2" s="908">
        <f t="shared" ca="1" si="0"/>
        <v>16425</v>
      </c>
      <c r="BA2" s="908">
        <f t="shared" ca="1" si="0"/>
        <v>16425</v>
      </c>
      <c r="BB2" s="908">
        <f t="shared" ca="1" si="0"/>
        <v>16425</v>
      </c>
      <c r="BC2" s="908">
        <f t="shared" ca="1" si="0"/>
        <v>16425</v>
      </c>
      <c r="BD2" s="908">
        <f t="shared" ca="1" si="0"/>
        <v>16425</v>
      </c>
      <c r="BE2" s="908">
        <f t="shared" ca="1" si="0"/>
        <v>16425</v>
      </c>
      <c r="BF2" s="908">
        <f t="shared" ca="1" si="0"/>
        <v>16425</v>
      </c>
      <c r="BG2" s="908">
        <f t="shared" ca="1" si="0"/>
        <v>7112.5</v>
      </c>
      <c r="BH2" s="908">
        <f t="shared" ca="1" si="0"/>
        <v>2250</v>
      </c>
      <c r="BI2" s="908">
        <f t="shared" ca="1" si="0"/>
        <v>2250</v>
      </c>
      <c r="BJ2" s="908">
        <f t="shared" ca="1" si="0"/>
        <v>2250</v>
      </c>
      <c r="BK2" s="908">
        <f t="shared" ca="1" si="0"/>
        <v>2250</v>
      </c>
      <c r="BL2" s="908">
        <f t="shared" ca="1" si="0"/>
        <v>2250</v>
      </c>
      <c r="BM2" s="908">
        <f t="shared" ca="1" si="0"/>
        <v>2250</v>
      </c>
      <c r="BN2" s="908">
        <f t="shared" ca="1" si="0"/>
        <v>2250</v>
      </c>
      <c r="BO2" s="908">
        <f t="shared" ca="1" si="0"/>
        <v>0</v>
      </c>
      <c r="BP2" s="908">
        <f t="shared" ca="1" si="0"/>
        <v>0</v>
      </c>
      <c r="BQ2" s="908">
        <f t="shared" ca="1" si="0"/>
        <v>0</v>
      </c>
      <c r="BR2" s="908">
        <f t="shared" ca="1" si="0"/>
        <v>0</v>
      </c>
      <c r="BS2" s="908">
        <f t="shared" ca="1" si="0"/>
        <v>0</v>
      </c>
      <c r="BT2" s="908">
        <f t="shared" ca="1" si="0"/>
        <v>0</v>
      </c>
      <c r="BU2" s="908">
        <f t="shared" ca="1" si="0"/>
        <v>0</v>
      </c>
      <c r="BV2" s="908">
        <f t="shared" ca="1" si="0"/>
        <v>0</v>
      </c>
      <c r="BW2" s="908">
        <f t="shared" ca="1" si="0"/>
        <v>0</v>
      </c>
      <c r="BX2" s="908">
        <f t="shared" ca="1" si="0"/>
        <v>0</v>
      </c>
      <c r="BY2" s="908">
        <f t="shared" ca="1" si="0"/>
        <v>0</v>
      </c>
      <c r="BZ2" s="908">
        <f t="shared" ca="1" si="0"/>
        <v>0</v>
      </c>
      <c r="CA2" s="908">
        <f t="shared" ca="1" si="0"/>
        <v>0</v>
      </c>
      <c r="CB2" s="908">
        <f t="shared" ca="1" si="0"/>
        <v>0</v>
      </c>
      <c r="CC2" s="908">
        <f t="shared" ca="1" si="0"/>
        <v>0</v>
      </c>
      <c r="CD2" s="908">
        <f t="shared" ca="1" si="0"/>
        <v>0</v>
      </c>
      <c r="CE2" s="908">
        <f t="shared" ca="1" si="0"/>
        <v>0</v>
      </c>
      <c r="CF2" s="908">
        <f t="shared" ca="1" si="0"/>
        <v>0</v>
      </c>
      <c r="CG2" s="908">
        <f t="shared" ca="1" si="0"/>
        <v>0</v>
      </c>
      <c r="CH2" s="908">
        <f t="shared" ca="1" si="0"/>
        <v>0</v>
      </c>
      <c r="CI2" s="908">
        <f t="shared" ca="1" si="0"/>
        <v>0</v>
      </c>
      <c r="CJ2" s="908">
        <f t="shared" ca="1" si="0"/>
        <v>0</v>
      </c>
      <c r="CK2" s="908">
        <f t="shared" ca="1" si="0"/>
        <v>0</v>
      </c>
      <c r="CL2" s="908">
        <f t="shared" ca="1" si="0"/>
        <v>0</v>
      </c>
      <c r="CM2" s="908">
        <f t="shared" ca="1" si="0"/>
        <v>0</v>
      </c>
      <c r="CN2" s="908">
        <f t="shared" ca="1" si="0"/>
        <v>0</v>
      </c>
      <c r="CO2" s="908">
        <f t="shared" ca="1" si="0"/>
        <v>0</v>
      </c>
      <c r="CP2" s="908">
        <f t="shared" ca="1" si="0"/>
        <v>0</v>
      </c>
      <c r="CQ2" s="908">
        <f t="shared" ca="1" si="0"/>
        <v>0</v>
      </c>
      <c r="CR2" s="908">
        <f t="shared" ca="1" si="0"/>
        <v>0</v>
      </c>
      <c r="CS2" s="908">
        <f t="shared" ref="CS2:EZ2" ca="1" si="1">SUMPRODUCT((CS7:CS42-CR7:CR42)*(CS7:CS42&gt;CR7:CR42)*$AC$7:$AC$42)</f>
        <v>0</v>
      </c>
      <c r="CT2" s="908">
        <f t="shared" ca="1" si="1"/>
        <v>0</v>
      </c>
      <c r="CU2" s="908">
        <f t="shared" ca="1" si="1"/>
        <v>0</v>
      </c>
      <c r="CV2" s="908">
        <f t="shared" ca="1" si="1"/>
        <v>0</v>
      </c>
      <c r="CW2" s="908">
        <f t="shared" ca="1" si="1"/>
        <v>0</v>
      </c>
      <c r="CX2" s="908">
        <f t="shared" ca="1" si="1"/>
        <v>0</v>
      </c>
      <c r="CY2" s="908">
        <f t="shared" ca="1" si="1"/>
        <v>0</v>
      </c>
      <c r="CZ2" s="908">
        <f t="shared" ca="1" si="1"/>
        <v>0</v>
      </c>
      <c r="DA2" s="908">
        <f t="shared" ca="1" si="1"/>
        <v>0</v>
      </c>
      <c r="DB2" s="908">
        <f t="shared" ca="1" si="1"/>
        <v>0</v>
      </c>
      <c r="DC2" s="908">
        <f t="shared" ca="1" si="1"/>
        <v>0</v>
      </c>
      <c r="DD2" s="908">
        <f t="shared" ca="1" si="1"/>
        <v>0</v>
      </c>
      <c r="DE2" s="908">
        <f t="shared" ca="1" si="1"/>
        <v>0</v>
      </c>
      <c r="DF2" s="908">
        <f t="shared" ca="1" si="1"/>
        <v>0</v>
      </c>
      <c r="DG2" s="908">
        <f t="shared" ca="1" si="1"/>
        <v>0</v>
      </c>
      <c r="DH2" s="908">
        <f t="shared" ca="1" si="1"/>
        <v>0</v>
      </c>
      <c r="DI2" s="908">
        <f t="shared" ca="1" si="1"/>
        <v>0</v>
      </c>
      <c r="DJ2" s="908">
        <f t="shared" ca="1" si="1"/>
        <v>0</v>
      </c>
      <c r="DK2" s="908">
        <f t="shared" ca="1" si="1"/>
        <v>0</v>
      </c>
      <c r="DL2" s="908">
        <f t="shared" ca="1" si="1"/>
        <v>0</v>
      </c>
      <c r="DM2" s="908">
        <f t="shared" ca="1" si="1"/>
        <v>0</v>
      </c>
      <c r="DN2" s="908">
        <f t="shared" ca="1" si="1"/>
        <v>0</v>
      </c>
      <c r="DO2" s="908">
        <f t="shared" ca="1" si="1"/>
        <v>0</v>
      </c>
      <c r="DP2" s="908">
        <f t="shared" ca="1" si="1"/>
        <v>0</v>
      </c>
      <c r="DQ2" s="908">
        <f t="shared" ca="1" si="1"/>
        <v>0</v>
      </c>
      <c r="DR2" s="908">
        <f t="shared" ca="1" si="1"/>
        <v>0</v>
      </c>
      <c r="DS2" s="908">
        <f t="shared" ca="1" si="1"/>
        <v>0</v>
      </c>
      <c r="DT2" s="908">
        <f t="shared" ca="1" si="1"/>
        <v>0</v>
      </c>
      <c r="DU2" s="908">
        <f t="shared" ca="1" si="1"/>
        <v>0</v>
      </c>
      <c r="DV2" s="908">
        <f t="shared" ca="1" si="1"/>
        <v>0</v>
      </c>
      <c r="DW2" s="908">
        <f t="shared" ca="1" si="1"/>
        <v>0</v>
      </c>
      <c r="DX2" s="908">
        <f t="shared" ca="1" si="1"/>
        <v>0</v>
      </c>
      <c r="DY2" s="908">
        <f t="shared" ca="1" si="1"/>
        <v>0</v>
      </c>
      <c r="DZ2" s="908">
        <f t="shared" ca="1" si="1"/>
        <v>0</v>
      </c>
      <c r="EA2" s="908">
        <f t="shared" ca="1" si="1"/>
        <v>0</v>
      </c>
      <c r="EB2" s="908">
        <f t="shared" ca="1" si="1"/>
        <v>0</v>
      </c>
      <c r="EC2" s="908">
        <f t="shared" ca="1" si="1"/>
        <v>0</v>
      </c>
      <c r="ED2" s="908">
        <f t="shared" ca="1" si="1"/>
        <v>0</v>
      </c>
      <c r="EE2" s="908">
        <f t="shared" ca="1" si="1"/>
        <v>0</v>
      </c>
      <c r="EF2" s="908">
        <f t="shared" ca="1" si="1"/>
        <v>0</v>
      </c>
      <c r="EG2" s="908">
        <f t="shared" ca="1" si="1"/>
        <v>0</v>
      </c>
      <c r="EH2" s="908">
        <f t="shared" ca="1" si="1"/>
        <v>0</v>
      </c>
      <c r="EI2" s="908">
        <f t="shared" ca="1" si="1"/>
        <v>0</v>
      </c>
      <c r="EJ2" s="908">
        <f t="shared" ca="1" si="1"/>
        <v>0</v>
      </c>
      <c r="EK2" s="908">
        <f t="shared" ca="1" si="1"/>
        <v>0</v>
      </c>
      <c r="EL2" s="908">
        <f t="shared" ca="1" si="1"/>
        <v>0</v>
      </c>
      <c r="EM2" s="908">
        <f t="shared" ca="1" si="1"/>
        <v>0</v>
      </c>
      <c r="EN2" s="908">
        <f t="shared" ca="1" si="1"/>
        <v>0</v>
      </c>
      <c r="EO2" s="908">
        <f t="shared" ca="1" si="1"/>
        <v>0</v>
      </c>
      <c r="EP2" s="908">
        <f t="shared" ca="1" si="1"/>
        <v>0</v>
      </c>
      <c r="EQ2" s="908">
        <f t="shared" ca="1" si="1"/>
        <v>0</v>
      </c>
      <c r="ER2" s="908">
        <f t="shared" ca="1" si="1"/>
        <v>0</v>
      </c>
      <c r="ES2" s="908">
        <f t="shared" ca="1" si="1"/>
        <v>0</v>
      </c>
      <c r="ET2" s="908">
        <f t="shared" ca="1" si="1"/>
        <v>0</v>
      </c>
      <c r="EU2" s="908">
        <f t="shared" ca="1" si="1"/>
        <v>0</v>
      </c>
      <c r="EV2" s="908">
        <f t="shared" ca="1" si="1"/>
        <v>0</v>
      </c>
      <c r="EW2" s="908">
        <f t="shared" ca="1" si="1"/>
        <v>0</v>
      </c>
      <c r="EX2" s="908">
        <f t="shared" ca="1" si="1"/>
        <v>0</v>
      </c>
      <c r="EY2" s="908">
        <f t="shared" ca="1" si="1"/>
        <v>0</v>
      </c>
      <c r="EZ2" s="908">
        <f t="shared" ca="1" si="1"/>
        <v>0</v>
      </c>
      <c r="FA2" s="908">
        <f ca="1">SUMPRODUCT((FA7:FA42-EZ7:EZ42)*(FA7:FA42&gt;EZ7:EZ42)*$AC$7:$AC$42)</f>
        <v>0</v>
      </c>
    </row>
    <row r="3" spans="1:157">
      <c r="A3" s="890" t="s">
        <v>3560</v>
      </c>
      <c r="B3" s="891" t="s">
        <v>3561</v>
      </c>
      <c r="C3" s="891" t="s">
        <v>3562</v>
      </c>
      <c r="D3" s="879" t="s">
        <v>3563</v>
      </c>
      <c r="E3" s="879" t="s">
        <v>4185</v>
      </c>
      <c r="R3" s="889"/>
    </row>
    <row r="4" spans="1:157">
      <c r="A4" s="890">
        <v>12</v>
      </c>
      <c r="B4" s="892">
        <f ca="1">B2-C12</f>
        <v>36</v>
      </c>
      <c r="C4" s="1050">
        <f ca="1">ROUND((B4-A4+1)/5,0)</f>
        <v>5</v>
      </c>
      <c r="D4" s="893">
        <f ca="1">'Tssco-bond portfolio(2)'!C16</f>
        <v>2</v>
      </c>
      <c r="E4" s="1243">
        <f ca="1">IF(A6=1,IF(D4=1,'Tssco-bond portfolio(2)'!BV1-(換券投組!D21*換券投組!D23),'Tssco-bond portfolio(2)'!X1-換券投組!D21),IF(D4=1,'Tssco-bond portfolio(2)'!BV1,'Tssco-bond portfolio(2)'!X1))</f>
        <v>332000</v>
      </c>
      <c r="AD4" s="913">
        <f ca="1">IF(MIN(V$65:V$100)=0,C2,MIN(V$65:V$100))</f>
        <v>2024</v>
      </c>
      <c r="AE4" s="927">
        <f ca="1">AD4+1</f>
        <v>2025</v>
      </c>
      <c r="AF4" s="12">
        <f t="shared" ref="AF4:CQ4" ca="1" si="2">AE4+1</f>
        <v>2026</v>
      </c>
      <c r="AG4" s="12">
        <f t="shared" ca="1" si="2"/>
        <v>2027</v>
      </c>
      <c r="AH4" s="12">
        <f t="shared" ca="1" si="2"/>
        <v>2028</v>
      </c>
      <c r="AI4" s="12">
        <f t="shared" ca="1" si="2"/>
        <v>2029</v>
      </c>
      <c r="AJ4" s="12">
        <f t="shared" ca="1" si="2"/>
        <v>2030</v>
      </c>
      <c r="AK4" s="12">
        <f t="shared" ca="1" si="2"/>
        <v>2031</v>
      </c>
      <c r="AL4" s="12">
        <f t="shared" ca="1" si="2"/>
        <v>2032</v>
      </c>
      <c r="AM4" s="12">
        <f t="shared" ca="1" si="2"/>
        <v>2033</v>
      </c>
      <c r="AN4" s="12">
        <f t="shared" ca="1" si="2"/>
        <v>2034</v>
      </c>
      <c r="AO4" s="12">
        <f t="shared" ca="1" si="2"/>
        <v>2035</v>
      </c>
      <c r="AP4" s="12">
        <f t="shared" ca="1" si="2"/>
        <v>2036</v>
      </c>
      <c r="AQ4" s="12">
        <f t="shared" ca="1" si="2"/>
        <v>2037</v>
      </c>
      <c r="AR4" s="12">
        <f t="shared" ca="1" si="2"/>
        <v>2038</v>
      </c>
      <c r="AS4" s="12">
        <f t="shared" ca="1" si="2"/>
        <v>2039</v>
      </c>
      <c r="AT4" s="12">
        <f t="shared" ca="1" si="2"/>
        <v>2040</v>
      </c>
      <c r="AU4" s="12">
        <f t="shared" ca="1" si="2"/>
        <v>2041</v>
      </c>
      <c r="AV4" s="12">
        <f t="shared" ca="1" si="2"/>
        <v>2042</v>
      </c>
      <c r="AW4" s="12">
        <f t="shared" ca="1" si="2"/>
        <v>2043</v>
      </c>
      <c r="AX4" s="12">
        <f t="shared" ca="1" si="2"/>
        <v>2044</v>
      </c>
      <c r="AY4" s="12">
        <f t="shared" ca="1" si="2"/>
        <v>2045</v>
      </c>
      <c r="AZ4" s="12">
        <f t="shared" ca="1" si="2"/>
        <v>2046</v>
      </c>
      <c r="BA4" s="12">
        <f t="shared" ca="1" si="2"/>
        <v>2047</v>
      </c>
      <c r="BB4" s="12">
        <f t="shared" ca="1" si="2"/>
        <v>2048</v>
      </c>
      <c r="BC4" s="12">
        <f t="shared" ca="1" si="2"/>
        <v>2049</v>
      </c>
      <c r="BD4" s="12">
        <f t="shared" ca="1" si="2"/>
        <v>2050</v>
      </c>
      <c r="BE4" s="12">
        <f t="shared" ca="1" si="2"/>
        <v>2051</v>
      </c>
      <c r="BF4" s="12">
        <f t="shared" ca="1" si="2"/>
        <v>2052</v>
      </c>
      <c r="BG4" s="12">
        <f t="shared" ca="1" si="2"/>
        <v>2053</v>
      </c>
      <c r="BH4" s="12">
        <f t="shared" ca="1" si="2"/>
        <v>2054</v>
      </c>
      <c r="BI4" s="12">
        <f t="shared" ca="1" si="2"/>
        <v>2055</v>
      </c>
      <c r="BJ4" s="12">
        <f t="shared" ca="1" si="2"/>
        <v>2056</v>
      </c>
      <c r="BK4" s="12">
        <f t="shared" ca="1" si="2"/>
        <v>2057</v>
      </c>
      <c r="BL4" s="12">
        <f t="shared" ca="1" si="2"/>
        <v>2058</v>
      </c>
      <c r="BM4" s="12">
        <f t="shared" ca="1" si="2"/>
        <v>2059</v>
      </c>
      <c r="BN4" s="12">
        <f t="shared" ca="1" si="2"/>
        <v>2060</v>
      </c>
      <c r="BO4" s="12">
        <f t="shared" ca="1" si="2"/>
        <v>2061</v>
      </c>
      <c r="BP4" s="12">
        <f t="shared" ca="1" si="2"/>
        <v>2062</v>
      </c>
      <c r="BQ4" s="12">
        <f t="shared" ca="1" si="2"/>
        <v>2063</v>
      </c>
      <c r="BR4" s="12">
        <f t="shared" ca="1" si="2"/>
        <v>2064</v>
      </c>
      <c r="BS4" s="12">
        <f t="shared" ca="1" si="2"/>
        <v>2065</v>
      </c>
      <c r="BT4" s="12">
        <f t="shared" ca="1" si="2"/>
        <v>2066</v>
      </c>
      <c r="BU4" s="12">
        <f t="shared" ca="1" si="2"/>
        <v>2067</v>
      </c>
      <c r="BV4" s="12">
        <f t="shared" ca="1" si="2"/>
        <v>2068</v>
      </c>
      <c r="BW4" s="12">
        <f t="shared" ca="1" si="2"/>
        <v>2069</v>
      </c>
      <c r="BX4" s="12">
        <f t="shared" ca="1" si="2"/>
        <v>2070</v>
      </c>
      <c r="BY4" s="12">
        <f t="shared" ca="1" si="2"/>
        <v>2071</v>
      </c>
      <c r="BZ4" s="12">
        <f t="shared" ca="1" si="2"/>
        <v>2072</v>
      </c>
      <c r="CA4" s="12">
        <f t="shared" ca="1" si="2"/>
        <v>2073</v>
      </c>
      <c r="CB4" s="12">
        <f t="shared" ca="1" si="2"/>
        <v>2074</v>
      </c>
      <c r="CC4" s="12">
        <f t="shared" ca="1" si="2"/>
        <v>2075</v>
      </c>
      <c r="CD4" s="12">
        <f t="shared" ca="1" si="2"/>
        <v>2076</v>
      </c>
      <c r="CE4" s="12">
        <f t="shared" ca="1" si="2"/>
        <v>2077</v>
      </c>
      <c r="CF4" s="12">
        <f t="shared" ca="1" si="2"/>
        <v>2078</v>
      </c>
      <c r="CG4" s="12">
        <f t="shared" ca="1" si="2"/>
        <v>2079</v>
      </c>
      <c r="CH4" s="12">
        <f t="shared" ca="1" si="2"/>
        <v>2080</v>
      </c>
      <c r="CI4" s="12">
        <f t="shared" ca="1" si="2"/>
        <v>2081</v>
      </c>
      <c r="CJ4" s="12">
        <f t="shared" ca="1" si="2"/>
        <v>2082</v>
      </c>
      <c r="CK4" s="12">
        <f t="shared" ca="1" si="2"/>
        <v>2083</v>
      </c>
      <c r="CL4" s="12">
        <f t="shared" ca="1" si="2"/>
        <v>2084</v>
      </c>
      <c r="CM4" s="12">
        <f t="shared" ca="1" si="2"/>
        <v>2085</v>
      </c>
      <c r="CN4" s="12">
        <f t="shared" ca="1" si="2"/>
        <v>2086</v>
      </c>
      <c r="CO4" s="12">
        <f t="shared" ca="1" si="2"/>
        <v>2087</v>
      </c>
      <c r="CP4" s="12">
        <f t="shared" ca="1" si="2"/>
        <v>2088</v>
      </c>
      <c r="CQ4" s="12">
        <f t="shared" ca="1" si="2"/>
        <v>2089</v>
      </c>
      <c r="CR4" s="12">
        <f t="shared" ref="CR4:FA4" ca="1" si="3">CQ4+1</f>
        <v>2090</v>
      </c>
      <c r="CS4" s="12">
        <f t="shared" ca="1" si="3"/>
        <v>2091</v>
      </c>
      <c r="CT4" s="12">
        <f t="shared" ca="1" si="3"/>
        <v>2092</v>
      </c>
      <c r="CU4" s="12">
        <f t="shared" ca="1" si="3"/>
        <v>2093</v>
      </c>
      <c r="CV4" s="12">
        <f t="shared" ca="1" si="3"/>
        <v>2094</v>
      </c>
      <c r="CW4" s="12">
        <f t="shared" ca="1" si="3"/>
        <v>2095</v>
      </c>
      <c r="CX4" s="12">
        <f t="shared" ca="1" si="3"/>
        <v>2096</v>
      </c>
      <c r="CY4" s="12">
        <f t="shared" ca="1" si="3"/>
        <v>2097</v>
      </c>
      <c r="CZ4" s="12">
        <f t="shared" ca="1" si="3"/>
        <v>2098</v>
      </c>
      <c r="DA4" s="12">
        <f t="shared" ca="1" si="3"/>
        <v>2099</v>
      </c>
      <c r="DB4" s="12">
        <f t="shared" ca="1" si="3"/>
        <v>2100</v>
      </c>
      <c r="DC4" s="12">
        <f t="shared" ca="1" si="3"/>
        <v>2101</v>
      </c>
      <c r="DD4" s="12">
        <f t="shared" ca="1" si="3"/>
        <v>2102</v>
      </c>
      <c r="DE4" s="12">
        <f t="shared" ca="1" si="3"/>
        <v>2103</v>
      </c>
      <c r="DF4" s="12">
        <f t="shared" ca="1" si="3"/>
        <v>2104</v>
      </c>
      <c r="DG4" s="12">
        <f t="shared" ca="1" si="3"/>
        <v>2105</v>
      </c>
      <c r="DH4" s="12">
        <f t="shared" ca="1" si="3"/>
        <v>2106</v>
      </c>
      <c r="DI4" s="12">
        <f t="shared" ca="1" si="3"/>
        <v>2107</v>
      </c>
      <c r="DJ4" s="12">
        <f t="shared" ca="1" si="3"/>
        <v>2108</v>
      </c>
      <c r="DK4" s="12">
        <f t="shared" ca="1" si="3"/>
        <v>2109</v>
      </c>
      <c r="DL4" s="12">
        <f t="shared" ca="1" si="3"/>
        <v>2110</v>
      </c>
      <c r="DM4" s="12">
        <f t="shared" ca="1" si="3"/>
        <v>2111</v>
      </c>
      <c r="DN4" s="12">
        <f t="shared" ca="1" si="3"/>
        <v>2112</v>
      </c>
      <c r="DO4" s="12">
        <f t="shared" ca="1" si="3"/>
        <v>2113</v>
      </c>
      <c r="DP4" s="12">
        <f t="shared" ca="1" si="3"/>
        <v>2114</v>
      </c>
      <c r="DQ4" s="12">
        <f t="shared" ca="1" si="3"/>
        <v>2115</v>
      </c>
      <c r="DR4" s="12">
        <f t="shared" ca="1" si="3"/>
        <v>2116</v>
      </c>
      <c r="DS4" s="12">
        <f t="shared" ca="1" si="3"/>
        <v>2117</v>
      </c>
      <c r="DT4" s="12">
        <f t="shared" ca="1" si="3"/>
        <v>2118</v>
      </c>
      <c r="DU4" s="12">
        <f t="shared" ca="1" si="3"/>
        <v>2119</v>
      </c>
      <c r="DV4" s="12">
        <f t="shared" ca="1" si="3"/>
        <v>2120</v>
      </c>
      <c r="DW4" s="12">
        <f t="shared" ca="1" si="3"/>
        <v>2121</v>
      </c>
      <c r="DX4" s="12">
        <f t="shared" ca="1" si="3"/>
        <v>2122</v>
      </c>
      <c r="DY4" s="12">
        <f t="shared" ca="1" si="3"/>
        <v>2123</v>
      </c>
      <c r="DZ4" s="12">
        <f t="shared" ca="1" si="3"/>
        <v>2124</v>
      </c>
      <c r="EA4" s="12">
        <f t="shared" ca="1" si="3"/>
        <v>2125</v>
      </c>
      <c r="EB4" s="12">
        <f t="shared" ca="1" si="3"/>
        <v>2126</v>
      </c>
      <c r="EC4" s="12">
        <f t="shared" ca="1" si="3"/>
        <v>2127</v>
      </c>
      <c r="ED4" s="12">
        <f t="shared" ca="1" si="3"/>
        <v>2128</v>
      </c>
      <c r="EE4" s="12">
        <f t="shared" ca="1" si="3"/>
        <v>2129</v>
      </c>
      <c r="EF4" s="12">
        <f t="shared" ca="1" si="3"/>
        <v>2130</v>
      </c>
      <c r="EG4" s="12">
        <f t="shared" ca="1" si="3"/>
        <v>2131</v>
      </c>
      <c r="EH4" s="12">
        <f t="shared" ca="1" si="3"/>
        <v>2132</v>
      </c>
      <c r="EI4" s="12">
        <f t="shared" ca="1" si="3"/>
        <v>2133</v>
      </c>
      <c r="EJ4" s="12">
        <f t="shared" ca="1" si="3"/>
        <v>2134</v>
      </c>
      <c r="EK4" s="12">
        <f t="shared" ca="1" si="3"/>
        <v>2135</v>
      </c>
      <c r="EL4" s="12">
        <f t="shared" ca="1" si="3"/>
        <v>2136</v>
      </c>
      <c r="EM4" s="12">
        <f t="shared" ca="1" si="3"/>
        <v>2137</v>
      </c>
      <c r="EN4" s="12">
        <f t="shared" ca="1" si="3"/>
        <v>2138</v>
      </c>
      <c r="EO4" s="12">
        <f t="shared" ca="1" si="3"/>
        <v>2139</v>
      </c>
      <c r="EP4" s="12">
        <f t="shared" ca="1" si="3"/>
        <v>2140</v>
      </c>
      <c r="EQ4" s="12">
        <f t="shared" ca="1" si="3"/>
        <v>2141</v>
      </c>
      <c r="ER4" s="12">
        <f t="shared" ca="1" si="3"/>
        <v>2142</v>
      </c>
      <c r="ES4" s="12">
        <f t="shared" ca="1" si="3"/>
        <v>2143</v>
      </c>
      <c r="ET4" s="12">
        <f t="shared" ca="1" si="3"/>
        <v>2144</v>
      </c>
      <c r="EU4" s="12">
        <f t="shared" ca="1" si="3"/>
        <v>2145</v>
      </c>
      <c r="EV4" s="12">
        <f t="shared" ca="1" si="3"/>
        <v>2146</v>
      </c>
      <c r="EW4" s="12">
        <f t="shared" ca="1" si="3"/>
        <v>2147</v>
      </c>
      <c r="EX4" s="12">
        <f t="shared" ca="1" si="3"/>
        <v>2148</v>
      </c>
      <c r="EY4" s="12">
        <f t="shared" ca="1" si="3"/>
        <v>2149</v>
      </c>
      <c r="EZ4" s="12">
        <f t="shared" ca="1" si="3"/>
        <v>2150</v>
      </c>
      <c r="FA4" s="12">
        <f t="shared" ca="1" si="3"/>
        <v>2151</v>
      </c>
    </row>
    <row r="5" spans="1:157" ht="16" thickBot="1">
      <c r="A5" s="1524" t="s">
        <v>4480</v>
      </c>
      <c r="B5" s="879"/>
      <c r="C5" s="879" t="s">
        <v>4310</v>
      </c>
      <c r="D5" s="879" t="s">
        <v>4311</v>
      </c>
      <c r="Q5" s="882" t="s">
        <v>4111</v>
      </c>
      <c r="AC5" s="885"/>
      <c r="AD5" s="894">
        <f ca="1">DATE(AD4,12,31)</f>
        <v>45657</v>
      </c>
      <c r="AE5" s="895">
        <f ca="1">DATE(AE4,12,31)</f>
        <v>46022</v>
      </c>
      <c r="AF5" s="895">
        <f t="shared" ref="AF5:CQ5" ca="1" si="4">DATE(AF4,12,31)</f>
        <v>46387</v>
      </c>
      <c r="AG5" s="895">
        <f t="shared" ca="1" si="4"/>
        <v>46752</v>
      </c>
      <c r="AH5" s="895">
        <f t="shared" ca="1" si="4"/>
        <v>47118</v>
      </c>
      <c r="AI5" s="895">
        <f t="shared" ca="1" si="4"/>
        <v>47483</v>
      </c>
      <c r="AJ5" s="895">
        <f t="shared" ca="1" si="4"/>
        <v>47848</v>
      </c>
      <c r="AK5" s="895">
        <f t="shared" ca="1" si="4"/>
        <v>48213</v>
      </c>
      <c r="AL5" s="895">
        <f t="shared" ca="1" si="4"/>
        <v>48579</v>
      </c>
      <c r="AM5" s="895">
        <f t="shared" ca="1" si="4"/>
        <v>48944</v>
      </c>
      <c r="AN5" s="895">
        <f t="shared" ca="1" si="4"/>
        <v>49309</v>
      </c>
      <c r="AO5" s="895">
        <f t="shared" ca="1" si="4"/>
        <v>49674</v>
      </c>
      <c r="AP5" s="895">
        <f t="shared" ca="1" si="4"/>
        <v>50040</v>
      </c>
      <c r="AQ5" s="895">
        <f t="shared" ca="1" si="4"/>
        <v>50405</v>
      </c>
      <c r="AR5" s="895">
        <f t="shared" ca="1" si="4"/>
        <v>50770</v>
      </c>
      <c r="AS5" s="895">
        <f t="shared" ca="1" si="4"/>
        <v>51135</v>
      </c>
      <c r="AT5" s="895">
        <f t="shared" ca="1" si="4"/>
        <v>51501</v>
      </c>
      <c r="AU5" s="895">
        <f t="shared" ca="1" si="4"/>
        <v>51866</v>
      </c>
      <c r="AV5" s="895">
        <f t="shared" ca="1" si="4"/>
        <v>52231</v>
      </c>
      <c r="AW5" s="895">
        <f t="shared" ca="1" si="4"/>
        <v>52596</v>
      </c>
      <c r="AX5" s="895">
        <f t="shared" ca="1" si="4"/>
        <v>52962</v>
      </c>
      <c r="AY5" s="895">
        <f t="shared" ca="1" si="4"/>
        <v>53327</v>
      </c>
      <c r="AZ5" s="895">
        <f t="shared" ca="1" si="4"/>
        <v>53692</v>
      </c>
      <c r="BA5" s="895">
        <f t="shared" ca="1" si="4"/>
        <v>54057</v>
      </c>
      <c r="BB5" s="895">
        <f t="shared" ca="1" si="4"/>
        <v>54423</v>
      </c>
      <c r="BC5" s="895">
        <f t="shared" ca="1" si="4"/>
        <v>54788</v>
      </c>
      <c r="BD5" s="895">
        <f t="shared" ca="1" si="4"/>
        <v>55153</v>
      </c>
      <c r="BE5" s="895">
        <f t="shared" ca="1" si="4"/>
        <v>55518</v>
      </c>
      <c r="BF5" s="895">
        <f t="shared" ca="1" si="4"/>
        <v>55884</v>
      </c>
      <c r="BG5" s="895">
        <f t="shared" ca="1" si="4"/>
        <v>56249</v>
      </c>
      <c r="BH5" s="895">
        <f t="shared" ca="1" si="4"/>
        <v>56614</v>
      </c>
      <c r="BI5" s="895">
        <f t="shared" ca="1" si="4"/>
        <v>56979</v>
      </c>
      <c r="BJ5" s="895">
        <f t="shared" ca="1" si="4"/>
        <v>57345</v>
      </c>
      <c r="BK5" s="895">
        <f t="shared" ca="1" si="4"/>
        <v>57710</v>
      </c>
      <c r="BL5" s="895">
        <f t="shared" ca="1" si="4"/>
        <v>58075</v>
      </c>
      <c r="BM5" s="895">
        <f t="shared" ca="1" si="4"/>
        <v>58440</v>
      </c>
      <c r="BN5" s="895">
        <f t="shared" ca="1" si="4"/>
        <v>58806</v>
      </c>
      <c r="BO5" s="895">
        <f t="shared" ca="1" si="4"/>
        <v>59171</v>
      </c>
      <c r="BP5" s="895">
        <f t="shared" ca="1" si="4"/>
        <v>59536</v>
      </c>
      <c r="BQ5" s="895">
        <f t="shared" ca="1" si="4"/>
        <v>59901</v>
      </c>
      <c r="BR5" s="895">
        <f t="shared" ca="1" si="4"/>
        <v>60267</v>
      </c>
      <c r="BS5" s="895">
        <f t="shared" ca="1" si="4"/>
        <v>60632</v>
      </c>
      <c r="BT5" s="895">
        <f t="shared" ca="1" si="4"/>
        <v>60997</v>
      </c>
      <c r="BU5" s="895">
        <f t="shared" ca="1" si="4"/>
        <v>61362</v>
      </c>
      <c r="BV5" s="895">
        <f t="shared" ca="1" si="4"/>
        <v>61728</v>
      </c>
      <c r="BW5" s="895">
        <f t="shared" ca="1" si="4"/>
        <v>62093</v>
      </c>
      <c r="BX5" s="895">
        <f t="shared" ca="1" si="4"/>
        <v>62458</v>
      </c>
      <c r="BY5" s="895">
        <f t="shared" ca="1" si="4"/>
        <v>62823</v>
      </c>
      <c r="BZ5" s="895">
        <f t="shared" ca="1" si="4"/>
        <v>63189</v>
      </c>
      <c r="CA5" s="895">
        <f t="shared" ca="1" si="4"/>
        <v>63554</v>
      </c>
      <c r="CB5" s="895">
        <f t="shared" ca="1" si="4"/>
        <v>63919</v>
      </c>
      <c r="CC5" s="895">
        <f t="shared" ca="1" si="4"/>
        <v>64284</v>
      </c>
      <c r="CD5" s="895">
        <f t="shared" ca="1" si="4"/>
        <v>64650</v>
      </c>
      <c r="CE5" s="895">
        <f t="shared" ca="1" si="4"/>
        <v>65015</v>
      </c>
      <c r="CF5" s="895">
        <f t="shared" ca="1" si="4"/>
        <v>65380</v>
      </c>
      <c r="CG5" s="895">
        <f t="shared" ca="1" si="4"/>
        <v>65745</v>
      </c>
      <c r="CH5" s="895">
        <f t="shared" ca="1" si="4"/>
        <v>66111</v>
      </c>
      <c r="CI5" s="895">
        <f t="shared" ca="1" si="4"/>
        <v>66476</v>
      </c>
      <c r="CJ5" s="895">
        <f t="shared" ca="1" si="4"/>
        <v>66841</v>
      </c>
      <c r="CK5" s="895">
        <f t="shared" ca="1" si="4"/>
        <v>67206</v>
      </c>
      <c r="CL5" s="895">
        <f t="shared" ca="1" si="4"/>
        <v>67572</v>
      </c>
      <c r="CM5" s="895">
        <f t="shared" ca="1" si="4"/>
        <v>67937</v>
      </c>
      <c r="CN5" s="895">
        <f t="shared" ca="1" si="4"/>
        <v>68302</v>
      </c>
      <c r="CO5" s="895">
        <f t="shared" ca="1" si="4"/>
        <v>68667</v>
      </c>
      <c r="CP5" s="895">
        <f t="shared" ca="1" si="4"/>
        <v>69033</v>
      </c>
      <c r="CQ5" s="895">
        <f t="shared" ca="1" si="4"/>
        <v>69398</v>
      </c>
      <c r="CR5" s="895">
        <f t="shared" ref="CR5:FA5" ca="1" si="5">DATE(CR4,12,31)</f>
        <v>69763</v>
      </c>
      <c r="CS5" s="895">
        <f t="shared" ca="1" si="5"/>
        <v>70128</v>
      </c>
      <c r="CT5" s="895">
        <f t="shared" ca="1" si="5"/>
        <v>70494</v>
      </c>
      <c r="CU5" s="895">
        <f t="shared" ca="1" si="5"/>
        <v>70859</v>
      </c>
      <c r="CV5" s="895">
        <f t="shared" ca="1" si="5"/>
        <v>71224</v>
      </c>
      <c r="CW5" s="895">
        <f t="shared" ca="1" si="5"/>
        <v>71589</v>
      </c>
      <c r="CX5" s="895">
        <f t="shared" ca="1" si="5"/>
        <v>71955</v>
      </c>
      <c r="CY5" s="895">
        <f t="shared" ca="1" si="5"/>
        <v>72320</v>
      </c>
      <c r="CZ5" s="895">
        <f t="shared" ca="1" si="5"/>
        <v>72685</v>
      </c>
      <c r="DA5" s="895">
        <f t="shared" ca="1" si="5"/>
        <v>73050</v>
      </c>
      <c r="DB5" s="895">
        <f t="shared" ca="1" si="5"/>
        <v>73415</v>
      </c>
      <c r="DC5" s="895">
        <f t="shared" ca="1" si="5"/>
        <v>73780</v>
      </c>
      <c r="DD5" s="895">
        <f t="shared" ca="1" si="5"/>
        <v>74145</v>
      </c>
      <c r="DE5" s="895">
        <f t="shared" ca="1" si="5"/>
        <v>74510</v>
      </c>
      <c r="DF5" s="895">
        <f t="shared" ca="1" si="5"/>
        <v>74876</v>
      </c>
      <c r="DG5" s="895">
        <f t="shared" ca="1" si="5"/>
        <v>75241</v>
      </c>
      <c r="DH5" s="895">
        <f t="shared" ca="1" si="5"/>
        <v>75606</v>
      </c>
      <c r="DI5" s="895">
        <f t="shared" ca="1" si="5"/>
        <v>75971</v>
      </c>
      <c r="DJ5" s="895">
        <f t="shared" ca="1" si="5"/>
        <v>76337</v>
      </c>
      <c r="DK5" s="895">
        <f t="shared" ca="1" si="5"/>
        <v>76702</v>
      </c>
      <c r="DL5" s="895">
        <f t="shared" ca="1" si="5"/>
        <v>77067</v>
      </c>
      <c r="DM5" s="895">
        <f t="shared" ca="1" si="5"/>
        <v>77432</v>
      </c>
      <c r="DN5" s="895">
        <f t="shared" ca="1" si="5"/>
        <v>77798</v>
      </c>
      <c r="DO5" s="895">
        <f t="shared" ca="1" si="5"/>
        <v>78163</v>
      </c>
      <c r="DP5" s="895">
        <f t="shared" ca="1" si="5"/>
        <v>78528</v>
      </c>
      <c r="DQ5" s="895">
        <f t="shared" ca="1" si="5"/>
        <v>78893</v>
      </c>
      <c r="DR5" s="895">
        <f t="shared" ca="1" si="5"/>
        <v>79259</v>
      </c>
      <c r="DS5" s="895">
        <f t="shared" ca="1" si="5"/>
        <v>79624</v>
      </c>
      <c r="DT5" s="895">
        <f t="shared" ca="1" si="5"/>
        <v>79989</v>
      </c>
      <c r="DU5" s="895">
        <f t="shared" ca="1" si="5"/>
        <v>80354</v>
      </c>
      <c r="DV5" s="895">
        <f t="shared" ca="1" si="5"/>
        <v>80720</v>
      </c>
      <c r="DW5" s="895">
        <f t="shared" ca="1" si="5"/>
        <v>81085</v>
      </c>
      <c r="DX5" s="895">
        <f t="shared" ca="1" si="5"/>
        <v>81450</v>
      </c>
      <c r="DY5" s="895">
        <f t="shared" ca="1" si="5"/>
        <v>81815</v>
      </c>
      <c r="DZ5" s="895">
        <f t="shared" ca="1" si="5"/>
        <v>82181</v>
      </c>
      <c r="EA5" s="895">
        <f t="shared" ca="1" si="5"/>
        <v>82546</v>
      </c>
      <c r="EB5" s="895">
        <f t="shared" ca="1" si="5"/>
        <v>82911</v>
      </c>
      <c r="EC5" s="895">
        <f t="shared" ca="1" si="5"/>
        <v>83276</v>
      </c>
      <c r="ED5" s="895">
        <f t="shared" ca="1" si="5"/>
        <v>83642</v>
      </c>
      <c r="EE5" s="895">
        <f t="shared" ca="1" si="5"/>
        <v>84007</v>
      </c>
      <c r="EF5" s="895">
        <f t="shared" ca="1" si="5"/>
        <v>84372</v>
      </c>
      <c r="EG5" s="895">
        <f t="shared" ca="1" si="5"/>
        <v>84737</v>
      </c>
      <c r="EH5" s="895">
        <f t="shared" ca="1" si="5"/>
        <v>85103</v>
      </c>
      <c r="EI5" s="895">
        <f t="shared" ca="1" si="5"/>
        <v>85468</v>
      </c>
      <c r="EJ5" s="895">
        <f t="shared" ca="1" si="5"/>
        <v>85833</v>
      </c>
      <c r="EK5" s="895">
        <f t="shared" ca="1" si="5"/>
        <v>86198</v>
      </c>
      <c r="EL5" s="895">
        <f t="shared" ca="1" si="5"/>
        <v>86564</v>
      </c>
      <c r="EM5" s="895">
        <f t="shared" ca="1" si="5"/>
        <v>86929</v>
      </c>
      <c r="EN5" s="895">
        <f t="shared" ca="1" si="5"/>
        <v>87294</v>
      </c>
      <c r="EO5" s="895">
        <f t="shared" ca="1" si="5"/>
        <v>87659</v>
      </c>
      <c r="EP5" s="895">
        <f t="shared" ca="1" si="5"/>
        <v>88025</v>
      </c>
      <c r="EQ5" s="895">
        <f t="shared" ca="1" si="5"/>
        <v>88390</v>
      </c>
      <c r="ER5" s="895">
        <f t="shared" ca="1" si="5"/>
        <v>88755</v>
      </c>
      <c r="ES5" s="895">
        <f t="shared" ca="1" si="5"/>
        <v>89120</v>
      </c>
      <c r="ET5" s="895">
        <f t="shared" ca="1" si="5"/>
        <v>89486</v>
      </c>
      <c r="EU5" s="895">
        <f t="shared" ca="1" si="5"/>
        <v>89851</v>
      </c>
      <c r="EV5" s="895">
        <f t="shared" ca="1" si="5"/>
        <v>90216</v>
      </c>
      <c r="EW5" s="895">
        <f t="shared" ca="1" si="5"/>
        <v>90581</v>
      </c>
      <c r="EX5" s="895">
        <f t="shared" ca="1" si="5"/>
        <v>90947</v>
      </c>
      <c r="EY5" s="895">
        <f t="shared" ca="1" si="5"/>
        <v>91312</v>
      </c>
      <c r="EZ5" s="895">
        <f t="shared" ca="1" si="5"/>
        <v>91677</v>
      </c>
      <c r="FA5" s="895">
        <f t="shared" ca="1" si="5"/>
        <v>92042</v>
      </c>
    </row>
    <row r="6" spans="1:157" ht="16" thickBot="1">
      <c r="A6" s="1596">
        <f>model!A13</f>
        <v>2</v>
      </c>
      <c r="B6" s="1761">
        <f>Change投!K2</f>
        <v>0</v>
      </c>
      <c r="C6" s="1760">
        <f>IF(A6=1,4,2)</f>
        <v>2</v>
      </c>
      <c r="D6" s="1527">
        <f>IF(A6=1,5,3)</f>
        <v>3</v>
      </c>
      <c r="O6" s="896" t="s">
        <v>2101</v>
      </c>
      <c r="P6" s="896" t="s">
        <v>2145</v>
      </c>
      <c r="Q6" s="896" t="s">
        <v>3785</v>
      </c>
      <c r="R6" s="896" t="s">
        <v>1954</v>
      </c>
      <c r="S6" s="897" t="s">
        <v>3706</v>
      </c>
      <c r="T6" s="896" t="s">
        <v>3566</v>
      </c>
      <c r="U6" s="899" t="s">
        <v>3707</v>
      </c>
      <c r="V6" s="899" t="s">
        <v>3567</v>
      </c>
      <c r="W6" s="900" t="s">
        <v>23</v>
      </c>
      <c r="X6" s="900" t="s">
        <v>3568</v>
      </c>
      <c r="Y6" s="901" t="s">
        <v>19</v>
      </c>
      <c r="Z6" s="902" t="s">
        <v>3569</v>
      </c>
      <c r="AA6" s="903" t="s">
        <v>4112</v>
      </c>
      <c r="AB6" s="898" t="s">
        <v>2107</v>
      </c>
      <c r="AC6" s="904" t="s">
        <v>3571</v>
      </c>
      <c r="AD6" s="905" t="s">
        <v>3572</v>
      </c>
      <c r="AE6" s="905" t="s">
        <v>3573</v>
      </c>
      <c r="AF6" s="905" t="s">
        <v>3574</v>
      </c>
      <c r="AG6" s="905" t="s">
        <v>3575</v>
      </c>
      <c r="AH6" s="905" t="s">
        <v>3576</v>
      </c>
      <c r="AI6" s="905" t="s">
        <v>3577</v>
      </c>
      <c r="AJ6" s="905" t="s">
        <v>3578</v>
      </c>
      <c r="AK6" s="905" t="s">
        <v>3579</v>
      </c>
      <c r="AL6" s="905" t="s">
        <v>3580</v>
      </c>
      <c r="AM6" s="905" t="s">
        <v>3581</v>
      </c>
      <c r="AN6" s="905" t="s">
        <v>3582</v>
      </c>
      <c r="AO6" s="905" t="s">
        <v>3583</v>
      </c>
      <c r="AP6" s="905" t="s">
        <v>3584</v>
      </c>
      <c r="AQ6" s="905" t="s">
        <v>3585</v>
      </c>
      <c r="AR6" s="905" t="s">
        <v>3586</v>
      </c>
      <c r="AS6" s="905" t="s">
        <v>3587</v>
      </c>
      <c r="AT6" s="905" t="s">
        <v>3588</v>
      </c>
      <c r="AU6" s="905" t="s">
        <v>3589</v>
      </c>
      <c r="AV6" s="905" t="s">
        <v>3590</v>
      </c>
      <c r="AW6" s="905" t="s">
        <v>3591</v>
      </c>
      <c r="AX6" s="905" t="s">
        <v>3592</v>
      </c>
      <c r="AY6" s="905" t="s">
        <v>3593</v>
      </c>
      <c r="AZ6" s="905" t="s">
        <v>3594</v>
      </c>
      <c r="BA6" s="905" t="s">
        <v>3595</v>
      </c>
      <c r="BB6" s="905" t="s">
        <v>3596</v>
      </c>
      <c r="BC6" s="905" t="s">
        <v>3597</v>
      </c>
      <c r="BD6" s="905" t="s">
        <v>3598</v>
      </c>
      <c r="BE6" s="905" t="s">
        <v>3599</v>
      </c>
      <c r="BF6" s="905" t="s">
        <v>3600</v>
      </c>
      <c r="BG6" s="905" t="s">
        <v>3601</v>
      </c>
      <c r="BH6" s="905" t="s">
        <v>3602</v>
      </c>
      <c r="BI6" s="905" t="s">
        <v>3603</v>
      </c>
      <c r="BJ6" s="905" t="s">
        <v>3604</v>
      </c>
      <c r="BK6" s="905" t="s">
        <v>3605</v>
      </c>
      <c r="BL6" s="905" t="s">
        <v>3606</v>
      </c>
      <c r="BM6" s="905" t="s">
        <v>3607</v>
      </c>
      <c r="BN6" s="905" t="s">
        <v>3608</v>
      </c>
      <c r="BO6" s="905" t="s">
        <v>3609</v>
      </c>
      <c r="BP6" s="905" t="s">
        <v>3610</v>
      </c>
      <c r="BQ6" s="905" t="s">
        <v>3611</v>
      </c>
      <c r="BR6" s="905" t="s">
        <v>3612</v>
      </c>
      <c r="BS6" s="905" t="s">
        <v>3613</v>
      </c>
      <c r="BT6" s="905" t="s">
        <v>3614</v>
      </c>
      <c r="BU6" s="905" t="s">
        <v>3615</v>
      </c>
      <c r="BV6" s="905" t="s">
        <v>3616</v>
      </c>
      <c r="BW6" s="905" t="s">
        <v>3617</v>
      </c>
      <c r="BX6" s="905" t="s">
        <v>3618</v>
      </c>
      <c r="BY6" s="905" t="s">
        <v>3619</v>
      </c>
      <c r="BZ6" s="905" t="s">
        <v>3620</v>
      </c>
      <c r="CA6" s="905" t="s">
        <v>3621</v>
      </c>
      <c r="CB6" s="905" t="s">
        <v>3622</v>
      </c>
      <c r="CC6" s="905" t="s">
        <v>3623</v>
      </c>
      <c r="CD6" s="905" t="s">
        <v>3624</v>
      </c>
      <c r="CE6" s="905" t="s">
        <v>3625</v>
      </c>
      <c r="CF6" s="905" t="s">
        <v>3626</v>
      </c>
      <c r="CG6" s="905" t="s">
        <v>3627</v>
      </c>
      <c r="CH6" s="905" t="s">
        <v>3628</v>
      </c>
      <c r="CI6" s="905" t="s">
        <v>3629</v>
      </c>
      <c r="CJ6" s="905" t="s">
        <v>3630</v>
      </c>
      <c r="CK6" s="905" t="s">
        <v>3631</v>
      </c>
      <c r="CL6" s="905" t="s">
        <v>3632</v>
      </c>
      <c r="CM6" s="905" t="s">
        <v>3633</v>
      </c>
      <c r="CN6" s="905" t="s">
        <v>3634</v>
      </c>
      <c r="CO6" s="905" t="s">
        <v>3635</v>
      </c>
      <c r="CP6" s="905" t="s">
        <v>3636</v>
      </c>
      <c r="CQ6" s="905" t="s">
        <v>3637</v>
      </c>
      <c r="CR6" s="905" t="s">
        <v>3638</v>
      </c>
      <c r="CS6" s="905" t="s">
        <v>3639</v>
      </c>
      <c r="CT6" s="905" t="s">
        <v>3640</v>
      </c>
      <c r="CU6" s="905" t="s">
        <v>3641</v>
      </c>
      <c r="CV6" s="905" t="s">
        <v>3642</v>
      </c>
      <c r="CW6" s="905" t="s">
        <v>3643</v>
      </c>
      <c r="CX6" s="905" t="s">
        <v>3644</v>
      </c>
      <c r="CY6" s="905" t="s">
        <v>3645</v>
      </c>
      <c r="CZ6" s="905" t="s">
        <v>3646</v>
      </c>
      <c r="DA6" s="905" t="s">
        <v>3647</v>
      </c>
      <c r="DB6" s="905" t="s">
        <v>3648</v>
      </c>
      <c r="DC6" s="905" t="s">
        <v>3649</v>
      </c>
      <c r="DD6" s="905" t="s">
        <v>3650</v>
      </c>
      <c r="DE6" s="905" t="s">
        <v>3651</v>
      </c>
      <c r="DF6" s="905" t="s">
        <v>3652</v>
      </c>
      <c r="DG6" s="905" t="s">
        <v>3653</v>
      </c>
      <c r="DH6" s="905" t="s">
        <v>3654</v>
      </c>
      <c r="DI6" s="905" t="s">
        <v>3655</v>
      </c>
      <c r="DJ6" s="905" t="s">
        <v>3656</v>
      </c>
      <c r="DK6" s="905" t="s">
        <v>3657</v>
      </c>
      <c r="DL6" s="905" t="s">
        <v>3658</v>
      </c>
      <c r="DM6" s="905" t="s">
        <v>3659</v>
      </c>
      <c r="DN6" s="905" t="s">
        <v>3660</v>
      </c>
      <c r="DO6" s="905" t="s">
        <v>3661</v>
      </c>
      <c r="DP6" s="905" t="s">
        <v>3662</v>
      </c>
      <c r="DQ6" s="905" t="s">
        <v>3663</v>
      </c>
      <c r="DR6" s="905" t="s">
        <v>3664</v>
      </c>
      <c r="DS6" s="905" t="s">
        <v>3665</v>
      </c>
      <c r="DT6" s="905" t="s">
        <v>3666</v>
      </c>
      <c r="DU6" s="905" t="s">
        <v>3667</v>
      </c>
      <c r="DV6" s="905" t="s">
        <v>3668</v>
      </c>
      <c r="DW6" s="905" t="s">
        <v>3669</v>
      </c>
      <c r="DX6" s="905" t="s">
        <v>3670</v>
      </c>
      <c r="DY6" s="905" t="s">
        <v>3671</v>
      </c>
      <c r="DZ6" s="905" t="s">
        <v>3672</v>
      </c>
      <c r="EA6" s="905" t="s">
        <v>3673</v>
      </c>
      <c r="EB6" s="905" t="s">
        <v>3674</v>
      </c>
      <c r="EC6" s="905" t="s">
        <v>3675</v>
      </c>
      <c r="ED6" s="905" t="s">
        <v>3676</v>
      </c>
      <c r="EE6" s="905" t="s">
        <v>3677</v>
      </c>
      <c r="EF6" s="905" t="s">
        <v>3678</v>
      </c>
      <c r="EG6" s="905" t="s">
        <v>3679</v>
      </c>
      <c r="EH6" s="905" t="s">
        <v>3680</v>
      </c>
      <c r="EI6" s="905" t="s">
        <v>3681</v>
      </c>
      <c r="EJ6" s="905" t="s">
        <v>3682</v>
      </c>
      <c r="EK6" s="905" t="s">
        <v>3683</v>
      </c>
      <c r="EL6" s="905" t="s">
        <v>3684</v>
      </c>
      <c r="EM6" s="905" t="s">
        <v>3685</v>
      </c>
      <c r="EN6" s="905" t="s">
        <v>3686</v>
      </c>
      <c r="EO6" s="905" t="s">
        <v>3687</v>
      </c>
      <c r="EP6" s="905" t="s">
        <v>3688</v>
      </c>
      <c r="EQ6" s="905" t="s">
        <v>3689</v>
      </c>
      <c r="ER6" s="905" t="s">
        <v>3690</v>
      </c>
      <c r="ES6" s="905" t="s">
        <v>3691</v>
      </c>
      <c r="ET6" s="905" t="s">
        <v>3692</v>
      </c>
      <c r="EU6" s="905" t="s">
        <v>3693</v>
      </c>
      <c r="EV6" s="905" t="s">
        <v>3694</v>
      </c>
      <c r="EW6" s="905" t="s">
        <v>3695</v>
      </c>
      <c r="EX6" s="905" t="s">
        <v>3696</v>
      </c>
      <c r="EY6" s="905" t="s">
        <v>3697</v>
      </c>
      <c r="EZ6" s="905" t="s">
        <v>3698</v>
      </c>
      <c r="FA6" s="905" t="s">
        <v>3699</v>
      </c>
    </row>
    <row r="7" spans="1:157">
      <c r="B7" s="879"/>
      <c r="N7" s="1714">
        <v>1</v>
      </c>
      <c r="O7" s="1789" t="b">
        <f ca="1">庫存管理[[#This Row],[檢測]]</f>
        <v>1</v>
      </c>
      <c r="P7" s="882" t="str">
        <f ca="1">VLOOKUP(Q7,bond!B:AA,26,FALSE)</f>
        <v>蘋果公司</v>
      </c>
      <c r="Q7" s="883" t="str">
        <f ca="1">庫存管理[[#This Row],[商品代號]]</f>
        <v>XH430</v>
      </c>
      <c r="R7" s="889">
        <f ca="1">IF(O7=TRUE,IFERROR(IF($D$4=1,庫存管理[[#This Row],[投入面額]]*庫存管理[[#This Row],[換算匯率(現)]],庫存管理[[#This Row],[投入面額]]),0),0)</f>
        <v>100000</v>
      </c>
      <c r="S7" s="885">
        <f ca="1">庫存管理[[#This Row],[到期日]]</f>
        <v>56014</v>
      </c>
      <c r="T7" s="883">
        <f ca="1">IFERROR(IF(R7&gt;0,YEAR(S7),0),0)</f>
        <v>2053</v>
      </c>
      <c r="U7" s="885">
        <f ca="1">庫存管理[[#This Row],[下一配息日]]</f>
        <v>45606</v>
      </c>
      <c r="V7" s="886">
        <f ca="1">IFERROR(YEAR(U7),"")</f>
        <v>2024</v>
      </c>
      <c r="W7" s="885">
        <f ca="1">庫存管理[[#This Row],[到期日]]</f>
        <v>56014</v>
      </c>
      <c r="X7" s="886">
        <f ca="1">IFERROR(YEAR(W7),"")</f>
        <v>2053</v>
      </c>
      <c r="Y7" s="883">
        <f ca="1">庫存管理[[#This Row],[配息頻率]]</f>
        <v>2</v>
      </c>
      <c r="Z7" s="883">
        <f>庫存管理[[#This Row],[投入面額]]</f>
        <v>100000</v>
      </c>
      <c r="AA7" s="909">
        <f ca="1">庫存管理[[#This Row],[票面利率]]</f>
        <v>4.8499999999999995E-2</v>
      </c>
      <c r="AB7" s="908">
        <f ca="1">庫存管理[[#This Row],[換算匯率(現)]]</f>
        <v>32.481000000000002</v>
      </c>
      <c r="AC7" s="887">
        <f ca="1">IF(O7=TRUE,IFERROR(IF($D$4=1,(Z7*AA7*AB7)/Y7,(Z7*AA7)/Y7),0),0)</f>
        <v>2424.9999999999995</v>
      </c>
      <c r="AD7" s="883">
        <f ca="1">IFERROR(IF(YEAR($W7)&lt;AD$4,0,IF(YEAR($W7)=AD$4,IF($P7="美國國庫債券",ROUND(DATEDIF($U7,$W7,"M")/(12/$Y7),0)+1,DATEDIF($U7,$W7,"M")/(12/$Y7)+1),INT(DATEDIF($U7,AD$5,"M")/(12/$Y7))+1)),0)</f>
        <v>1</v>
      </c>
      <c r="AE7" s="883">
        <f t="shared" ref="AE7:AE12" ca="1" si="6">IFERROR(IF(YEAR($W7)&lt;AE$4,0,IF(YEAR($W7)=AE$4,IF($P7="美國國庫債券",ROUND(DATEDIF($U7,$W7,"M")/(12/$Y7),0)+1,DATEDIF($U7,$W7,"M")/(12/$Y7)+1),INT(DATEDIF($U7,AE$5,"M")/(12/$Y7))+1)),0)</f>
        <v>3</v>
      </c>
      <c r="AF7" s="883">
        <f t="shared" ref="AF7:CQ10" ca="1" si="7">IFERROR(IF(YEAR($W7)&lt;AF$4,0,IF(YEAR($W7)=AF$4,IF($P7="美國國庫債券",ROUND(DATEDIF($U7,$W7,"M")/(12/$Y7),0)+1,DATEDIF($U7,$W7,"M")/(12/$Y7)+1),INT(DATEDIF($U7,AF$5,"M")/(12/$Y7))+1)),0)</f>
        <v>5</v>
      </c>
      <c r="AG7" s="883">
        <f t="shared" ca="1" si="7"/>
        <v>7</v>
      </c>
      <c r="AH7" s="883">
        <f t="shared" ca="1" si="7"/>
        <v>9</v>
      </c>
      <c r="AI7" s="883">
        <f t="shared" ca="1" si="7"/>
        <v>11</v>
      </c>
      <c r="AJ7" s="883">
        <f t="shared" ca="1" si="7"/>
        <v>13</v>
      </c>
      <c r="AK7" s="883">
        <f t="shared" ca="1" si="7"/>
        <v>15</v>
      </c>
      <c r="AL7" s="883">
        <f t="shared" ca="1" si="7"/>
        <v>17</v>
      </c>
      <c r="AM7" s="883">
        <f t="shared" ca="1" si="7"/>
        <v>19</v>
      </c>
      <c r="AN7" s="883">
        <f t="shared" ca="1" si="7"/>
        <v>21</v>
      </c>
      <c r="AO7" s="883">
        <f t="shared" ca="1" si="7"/>
        <v>23</v>
      </c>
      <c r="AP7" s="883">
        <f t="shared" ca="1" si="7"/>
        <v>25</v>
      </c>
      <c r="AQ7" s="883">
        <f t="shared" ca="1" si="7"/>
        <v>27</v>
      </c>
      <c r="AR7" s="883">
        <f t="shared" ca="1" si="7"/>
        <v>29</v>
      </c>
      <c r="AS7" s="883">
        <f t="shared" ca="1" si="7"/>
        <v>31</v>
      </c>
      <c r="AT7" s="883">
        <f t="shared" ca="1" si="7"/>
        <v>33</v>
      </c>
      <c r="AU7" s="883">
        <f t="shared" ca="1" si="7"/>
        <v>35</v>
      </c>
      <c r="AV7" s="883">
        <f t="shared" ca="1" si="7"/>
        <v>37</v>
      </c>
      <c r="AW7" s="883">
        <f t="shared" ca="1" si="7"/>
        <v>39</v>
      </c>
      <c r="AX7" s="883">
        <f t="shared" ca="1" si="7"/>
        <v>41</v>
      </c>
      <c r="AY7" s="883">
        <f t="shared" ca="1" si="7"/>
        <v>43</v>
      </c>
      <c r="AZ7" s="883">
        <f t="shared" ca="1" si="7"/>
        <v>45</v>
      </c>
      <c r="BA7" s="883">
        <f t="shared" ca="1" si="7"/>
        <v>47</v>
      </c>
      <c r="BB7" s="883">
        <f t="shared" ca="1" si="7"/>
        <v>49</v>
      </c>
      <c r="BC7" s="883">
        <f t="shared" ca="1" si="7"/>
        <v>51</v>
      </c>
      <c r="BD7" s="883">
        <f t="shared" ca="1" si="7"/>
        <v>53</v>
      </c>
      <c r="BE7" s="883">
        <f t="shared" ca="1" si="7"/>
        <v>55</v>
      </c>
      <c r="BF7" s="883">
        <f t="shared" ca="1" si="7"/>
        <v>57</v>
      </c>
      <c r="BG7" s="883">
        <f t="shared" ca="1" si="7"/>
        <v>58</v>
      </c>
      <c r="BH7" s="883">
        <f t="shared" ca="1" si="7"/>
        <v>0</v>
      </c>
      <c r="BI7" s="883">
        <f t="shared" ca="1" si="7"/>
        <v>0</v>
      </c>
      <c r="BJ7" s="883">
        <f t="shared" ca="1" si="7"/>
        <v>0</v>
      </c>
      <c r="BK7" s="883">
        <f t="shared" ca="1" si="7"/>
        <v>0</v>
      </c>
      <c r="BL7" s="883">
        <f t="shared" ca="1" si="7"/>
        <v>0</v>
      </c>
      <c r="BM7" s="883">
        <f t="shared" ca="1" si="7"/>
        <v>0</v>
      </c>
      <c r="BN7" s="883">
        <f t="shared" ca="1" si="7"/>
        <v>0</v>
      </c>
      <c r="BO7" s="883">
        <f t="shared" ca="1" si="7"/>
        <v>0</v>
      </c>
      <c r="BP7" s="883">
        <f t="shared" ca="1" si="7"/>
        <v>0</v>
      </c>
      <c r="BQ7" s="883">
        <f t="shared" ca="1" si="7"/>
        <v>0</v>
      </c>
      <c r="BR7" s="883">
        <f t="shared" ca="1" si="7"/>
        <v>0</v>
      </c>
      <c r="BS7" s="883">
        <f t="shared" ca="1" si="7"/>
        <v>0</v>
      </c>
      <c r="BT7" s="883">
        <f t="shared" ca="1" si="7"/>
        <v>0</v>
      </c>
      <c r="BU7" s="883">
        <f t="shared" ca="1" si="7"/>
        <v>0</v>
      </c>
      <c r="BV7" s="883">
        <f t="shared" ca="1" si="7"/>
        <v>0</v>
      </c>
      <c r="BW7" s="883">
        <f t="shared" ca="1" si="7"/>
        <v>0</v>
      </c>
      <c r="BX7" s="883">
        <f t="shared" ca="1" si="7"/>
        <v>0</v>
      </c>
      <c r="BY7" s="883">
        <f t="shared" ca="1" si="7"/>
        <v>0</v>
      </c>
      <c r="BZ7" s="883">
        <f t="shared" ca="1" si="7"/>
        <v>0</v>
      </c>
      <c r="CA7" s="883">
        <f t="shared" ca="1" si="7"/>
        <v>0</v>
      </c>
      <c r="CB7" s="883">
        <f t="shared" ca="1" si="7"/>
        <v>0</v>
      </c>
      <c r="CC7" s="883">
        <f t="shared" ca="1" si="7"/>
        <v>0</v>
      </c>
      <c r="CD7" s="883">
        <f t="shared" ca="1" si="7"/>
        <v>0</v>
      </c>
      <c r="CE7" s="883">
        <f t="shared" ca="1" si="7"/>
        <v>0</v>
      </c>
      <c r="CF7" s="883">
        <f t="shared" ca="1" si="7"/>
        <v>0</v>
      </c>
      <c r="CG7" s="883">
        <f t="shared" ca="1" si="7"/>
        <v>0</v>
      </c>
      <c r="CH7" s="883">
        <f t="shared" ca="1" si="7"/>
        <v>0</v>
      </c>
      <c r="CI7" s="883">
        <f t="shared" ca="1" si="7"/>
        <v>0</v>
      </c>
      <c r="CJ7" s="883">
        <f t="shared" ca="1" si="7"/>
        <v>0</v>
      </c>
      <c r="CK7" s="883">
        <f t="shared" ca="1" si="7"/>
        <v>0</v>
      </c>
      <c r="CL7" s="883">
        <f t="shared" ca="1" si="7"/>
        <v>0</v>
      </c>
      <c r="CM7" s="883">
        <f t="shared" ca="1" si="7"/>
        <v>0</v>
      </c>
      <c r="CN7" s="883">
        <f t="shared" ca="1" si="7"/>
        <v>0</v>
      </c>
      <c r="CO7" s="883">
        <f t="shared" ca="1" si="7"/>
        <v>0</v>
      </c>
      <c r="CP7" s="883">
        <f t="shared" ca="1" si="7"/>
        <v>0</v>
      </c>
      <c r="CQ7" s="883">
        <f t="shared" ca="1" si="7"/>
        <v>0</v>
      </c>
      <c r="CR7" s="883">
        <f t="shared" ref="CR7:FA11" ca="1" si="8">IFERROR(IF(YEAR($W7)&lt;CR$4,0,IF(YEAR($W7)=CR$4,IF($P7="美國國庫債券",ROUND(DATEDIF($U7,$W7,"M")/(12/$Y7),0)+1,DATEDIF($U7,$W7,"M")/(12/$Y7)+1),INT(DATEDIF($U7,CR$5,"M")/(12/$Y7))+1)),0)</f>
        <v>0</v>
      </c>
      <c r="CS7" s="883">
        <f t="shared" ca="1" si="8"/>
        <v>0</v>
      </c>
      <c r="CT7" s="883">
        <f t="shared" ca="1" si="8"/>
        <v>0</v>
      </c>
      <c r="CU7" s="883">
        <f t="shared" ca="1" si="8"/>
        <v>0</v>
      </c>
      <c r="CV7" s="883">
        <f t="shared" ca="1" si="8"/>
        <v>0</v>
      </c>
      <c r="CW7" s="883">
        <f t="shared" ca="1" si="8"/>
        <v>0</v>
      </c>
      <c r="CX7" s="883">
        <f t="shared" ca="1" si="8"/>
        <v>0</v>
      </c>
      <c r="CY7" s="883">
        <f t="shared" ca="1" si="8"/>
        <v>0</v>
      </c>
      <c r="CZ7" s="883">
        <f t="shared" ca="1" si="8"/>
        <v>0</v>
      </c>
      <c r="DA7" s="883">
        <f t="shared" ca="1" si="8"/>
        <v>0</v>
      </c>
      <c r="DB7" s="883">
        <f t="shared" ca="1" si="8"/>
        <v>0</v>
      </c>
      <c r="DC7" s="883">
        <f t="shared" ca="1" si="8"/>
        <v>0</v>
      </c>
      <c r="DD7" s="883">
        <f t="shared" ca="1" si="8"/>
        <v>0</v>
      </c>
      <c r="DE7" s="883">
        <f t="shared" ca="1" si="8"/>
        <v>0</v>
      </c>
      <c r="DF7" s="883">
        <f t="shared" ca="1" si="8"/>
        <v>0</v>
      </c>
      <c r="DG7" s="883">
        <f t="shared" ca="1" si="8"/>
        <v>0</v>
      </c>
      <c r="DH7" s="883">
        <f t="shared" ca="1" si="8"/>
        <v>0</v>
      </c>
      <c r="DI7" s="883">
        <f t="shared" ca="1" si="8"/>
        <v>0</v>
      </c>
      <c r="DJ7" s="883">
        <f t="shared" ca="1" si="8"/>
        <v>0</v>
      </c>
      <c r="DK7" s="883">
        <f t="shared" ca="1" si="8"/>
        <v>0</v>
      </c>
      <c r="DL7" s="883">
        <f t="shared" ca="1" si="8"/>
        <v>0</v>
      </c>
      <c r="DM7" s="883">
        <f t="shared" ca="1" si="8"/>
        <v>0</v>
      </c>
      <c r="DN7" s="883">
        <f t="shared" ca="1" si="8"/>
        <v>0</v>
      </c>
      <c r="DO7" s="883">
        <f t="shared" ca="1" si="8"/>
        <v>0</v>
      </c>
      <c r="DP7" s="883">
        <f t="shared" ca="1" si="8"/>
        <v>0</v>
      </c>
      <c r="DQ7" s="883">
        <f t="shared" ca="1" si="8"/>
        <v>0</v>
      </c>
      <c r="DR7" s="883">
        <f t="shared" ca="1" si="8"/>
        <v>0</v>
      </c>
      <c r="DS7" s="883">
        <f t="shared" ca="1" si="8"/>
        <v>0</v>
      </c>
      <c r="DT7" s="883">
        <f t="shared" ca="1" si="8"/>
        <v>0</v>
      </c>
      <c r="DU7" s="883">
        <f t="shared" ca="1" si="8"/>
        <v>0</v>
      </c>
      <c r="DV7" s="883">
        <f t="shared" ca="1" si="8"/>
        <v>0</v>
      </c>
      <c r="DW7" s="883">
        <f t="shared" ca="1" si="8"/>
        <v>0</v>
      </c>
      <c r="DX7" s="883">
        <f t="shared" ca="1" si="8"/>
        <v>0</v>
      </c>
      <c r="DY7" s="883">
        <f t="shared" ca="1" si="8"/>
        <v>0</v>
      </c>
      <c r="DZ7" s="883">
        <f t="shared" ca="1" si="8"/>
        <v>0</v>
      </c>
      <c r="EA7" s="883">
        <f t="shared" ca="1" si="8"/>
        <v>0</v>
      </c>
      <c r="EB7" s="883">
        <f t="shared" ca="1" si="8"/>
        <v>0</v>
      </c>
      <c r="EC7" s="883">
        <f t="shared" ca="1" si="8"/>
        <v>0</v>
      </c>
      <c r="ED7" s="883">
        <f t="shared" ca="1" si="8"/>
        <v>0</v>
      </c>
      <c r="EE7" s="883">
        <f t="shared" ca="1" si="8"/>
        <v>0</v>
      </c>
      <c r="EF7" s="883">
        <f t="shared" ca="1" si="8"/>
        <v>0</v>
      </c>
      <c r="EG7" s="883">
        <f t="shared" ca="1" si="8"/>
        <v>0</v>
      </c>
      <c r="EH7" s="883">
        <f t="shared" ca="1" si="8"/>
        <v>0</v>
      </c>
      <c r="EI7" s="883">
        <f t="shared" ca="1" si="8"/>
        <v>0</v>
      </c>
      <c r="EJ7" s="883">
        <f t="shared" ca="1" si="8"/>
        <v>0</v>
      </c>
      <c r="EK7" s="883">
        <f t="shared" ca="1" si="8"/>
        <v>0</v>
      </c>
      <c r="EL7" s="883">
        <f t="shared" ca="1" si="8"/>
        <v>0</v>
      </c>
      <c r="EM7" s="883">
        <f t="shared" ca="1" si="8"/>
        <v>0</v>
      </c>
      <c r="EN7" s="883">
        <f t="shared" ca="1" si="8"/>
        <v>0</v>
      </c>
      <c r="EO7" s="883">
        <f t="shared" ca="1" si="8"/>
        <v>0</v>
      </c>
      <c r="EP7" s="883">
        <f t="shared" ca="1" si="8"/>
        <v>0</v>
      </c>
      <c r="EQ7" s="883">
        <f t="shared" ca="1" si="8"/>
        <v>0</v>
      </c>
      <c r="ER7" s="883">
        <f t="shared" ca="1" si="8"/>
        <v>0</v>
      </c>
      <c r="ES7" s="883">
        <f t="shared" ca="1" si="8"/>
        <v>0</v>
      </c>
      <c r="ET7" s="883">
        <f t="shared" ca="1" si="8"/>
        <v>0</v>
      </c>
      <c r="EU7" s="883">
        <f t="shared" ca="1" si="8"/>
        <v>0</v>
      </c>
      <c r="EV7" s="883">
        <f t="shared" ca="1" si="8"/>
        <v>0</v>
      </c>
      <c r="EW7" s="883">
        <f t="shared" ca="1" si="8"/>
        <v>0</v>
      </c>
      <c r="EX7" s="883">
        <f t="shared" ca="1" si="8"/>
        <v>0</v>
      </c>
      <c r="EY7" s="883">
        <f t="shared" ca="1" si="8"/>
        <v>0</v>
      </c>
      <c r="EZ7" s="883">
        <f t="shared" ca="1" si="8"/>
        <v>0</v>
      </c>
      <c r="FA7" s="883">
        <f t="shared" ca="1" si="8"/>
        <v>0</v>
      </c>
    </row>
    <row r="8" spans="1:157">
      <c r="N8" s="1714">
        <v>2</v>
      </c>
      <c r="O8" s="1789" t="b">
        <f ca="1">庫存管理[[#This Row],[檢測]]</f>
        <v>1</v>
      </c>
      <c r="P8" s="882" t="str">
        <f ca="1">VLOOKUP(Q8,bond!B:AA,26,FALSE)</f>
        <v>Alphabet公司</v>
      </c>
      <c r="Q8" s="883" t="str">
        <f ca="1">庫存管理[[#This Row],[商品代號]]</f>
        <v>XG300</v>
      </c>
      <c r="R8" s="889">
        <f ca="1">IF(O8=TRUE,IFERROR(IF($D$4=1,庫存管理[[#This Row],[投入面額]]*庫存管理[[#This Row],[換算匯率(現)]],庫存管理[[#This Row],[投入面額]]),0),0)</f>
        <v>100000</v>
      </c>
      <c r="S8" s="885">
        <f ca="1">庫存管理[[#This Row],[到期日]]</f>
        <v>58668</v>
      </c>
      <c r="T8" s="883">
        <f t="shared" ref="T8:T42" ca="1" si="9">IFERROR(IF(R8&gt;0,YEAR(S8),0),0)</f>
        <v>2060</v>
      </c>
      <c r="U8" s="885">
        <f ca="1">庫存管理[[#This Row],[下一配息日]]</f>
        <v>45519</v>
      </c>
      <c r="V8" s="886">
        <f t="shared" ref="V8:V18" ca="1" si="10">IFERROR(YEAR(U8),"")</f>
        <v>2024</v>
      </c>
      <c r="W8" s="885">
        <f ca="1">庫存管理[[#This Row],[到期日]]</f>
        <v>58668</v>
      </c>
      <c r="X8" s="886">
        <f t="shared" ref="X8:X18" ca="1" si="11">IFERROR(YEAR(W8),"")</f>
        <v>2060</v>
      </c>
      <c r="Y8" s="883">
        <f ca="1">庫存管理[[#This Row],[配息頻率]]</f>
        <v>2</v>
      </c>
      <c r="Z8" s="883">
        <f>庫存管理[[#This Row],[投入面額]]</f>
        <v>100000</v>
      </c>
      <c r="AA8" s="909">
        <f ca="1">庫存管理[[#This Row],[票面利率]]</f>
        <v>2.2499999999999999E-2</v>
      </c>
      <c r="AB8" s="908">
        <f ca="1">庫存管理[[#This Row],[換算匯率(現)]]</f>
        <v>32.481000000000002</v>
      </c>
      <c r="AC8" s="887">
        <f t="shared" ref="AC8:AC42" ca="1" si="12">IF(O8=TRUE,IFERROR(IF($D$4=1,(Z8*AA8*AB8)/Y8,(Z8*AA8)/Y8),0),0)</f>
        <v>1125</v>
      </c>
      <c r="AD8" s="883">
        <f t="shared" ref="AD8:AS32" ca="1" si="13">IFERROR(IF(YEAR($W8)&lt;AD$4,0,IF(YEAR($W8)=AD$4,IF($P8="美國國庫債券",ROUND(DATEDIF($U8,$W8,"M")/(12/$Y8),0)+1,DATEDIF($U8,$W8,"M")/(12/$Y8)+1),INT(DATEDIF($U8,AD$5,"M")/(12/$Y8))+1)),0)</f>
        <v>1</v>
      </c>
      <c r="AE8" s="883">
        <f t="shared" ca="1" si="6"/>
        <v>3</v>
      </c>
      <c r="AF8" s="883">
        <f t="shared" ca="1" si="7"/>
        <v>5</v>
      </c>
      <c r="AG8" s="883">
        <f t="shared" ca="1" si="7"/>
        <v>7</v>
      </c>
      <c r="AH8" s="883">
        <f t="shared" ca="1" si="7"/>
        <v>9</v>
      </c>
      <c r="AI8" s="883">
        <f t="shared" ca="1" si="7"/>
        <v>11</v>
      </c>
      <c r="AJ8" s="883">
        <f t="shared" ca="1" si="7"/>
        <v>13</v>
      </c>
      <c r="AK8" s="883">
        <f t="shared" ca="1" si="7"/>
        <v>15</v>
      </c>
      <c r="AL8" s="883">
        <f t="shared" ca="1" si="7"/>
        <v>17</v>
      </c>
      <c r="AM8" s="883">
        <f t="shared" ca="1" si="7"/>
        <v>19</v>
      </c>
      <c r="AN8" s="883">
        <f t="shared" ca="1" si="7"/>
        <v>21</v>
      </c>
      <c r="AO8" s="883">
        <f t="shared" ca="1" si="7"/>
        <v>23</v>
      </c>
      <c r="AP8" s="883">
        <f t="shared" ca="1" si="7"/>
        <v>25</v>
      </c>
      <c r="AQ8" s="883">
        <f t="shared" ca="1" si="7"/>
        <v>27</v>
      </c>
      <c r="AR8" s="883">
        <f t="shared" ca="1" si="7"/>
        <v>29</v>
      </c>
      <c r="AS8" s="883">
        <f t="shared" ca="1" si="7"/>
        <v>31</v>
      </c>
      <c r="AT8" s="883">
        <f t="shared" ca="1" si="7"/>
        <v>33</v>
      </c>
      <c r="AU8" s="883">
        <f t="shared" ca="1" si="7"/>
        <v>35</v>
      </c>
      <c r="AV8" s="883">
        <f t="shared" ca="1" si="7"/>
        <v>37</v>
      </c>
      <c r="AW8" s="883">
        <f t="shared" ca="1" si="7"/>
        <v>39</v>
      </c>
      <c r="AX8" s="883">
        <f t="shared" ca="1" si="7"/>
        <v>41</v>
      </c>
      <c r="AY8" s="883">
        <f t="shared" ca="1" si="7"/>
        <v>43</v>
      </c>
      <c r="AZ8" s="883">
        <f t="shared" ca="1" si="7"/>
        <v>45</v>
      </c>
      <c r="BA8" s="883">
        <f t="shared" ca="1" si="7"/>
        <v>47</v>
      </c>
      <c r="BB8" s="883">
        <f t="shared" ca="1" si="7"/>
        <v>49</v>
      </c>
      <c r="BC8" s="883">
        <f t="shared" ca="1" si="7"/>
        <v>51</v>
      </c>
      <c r="BD8" s="883">
        <f t="shared" ca="1" si="7"/>
        <v>53</v>
      </c>
      <c r="BE8" s="883">
        <f t="shared" ca="1" si="7"/>
        <v>55</v>
      </c>
      <c r="BF8" s="883">
        <f t="shared" ca="1" si="7"/>
        <v>57</v>
      </c>
      <c r="BG8" s="883">
        <f t="shared" ca="1" si="7"/>
        <v>59</v>
      </c>
      <c r="BH8" s="883">
        <f t="shared" ca="1" si="7"/>
        <v>61</v>
      </c>
      <c r="BI8" s="883">
        <f t="shared" ca="1" si="7"/>
        <v>63</v>
      </c>
      <c r="BJ8" s="883">
        <f t="shared" ca="1" si="7"/>
        <v>65</v>
      </c>
      <c r="BK8" s="883">
        <f t="shared" ca="1" si="7"/>
        <v>67</v>
      </c>
      <c r="BL8" s="883">
        <f t="shared" ca="1" si="7"/>
        <v>69</v>
      </c>
      <c r="BM8" s="883">
        <f t="shared" ca="1" si="7"/>
        <v>71</v>
      </c>
      <c r="BN8" s="883">
        <f t="shared" ca="1" si="7"/>
        <v>73</v>
      </c>
      <c r="BO8" s="883">
        <f t="shared" ca="1" si="7"/>
        <v>0</v>
      </c>
      <c r="BP8" s="883">
        <f t="shared" ca="1" si="7"/>
        <v>0</v>
      </c>
      <c r="BQ8" s="883">
        <f t="shared" ca="1" si="7"/>
        <v>0</v>
      </c>
      <c r="BR8" s="883">
        <f t="shared" ca="1" si="7"/>
        <v>0</v>
      </c>
      <c r="BS8" s="883">
        <f t="shared" ca="1" si="7"/>
        <v>0</v>
      </c>
      <c r="BT8" s="883">
        <f t="shared" ca="1" si="7"/>
        <v>0</v>
      </c>
      <c r="BU8" s="883">
        <f t="shared" ca="1" si="7"/>
        <v>0</v>
      </c>
      <c r="BV8" s="883">
        <f t="shared" ca="1" si="7"/>
        <v>0</v>
      </c>
      <c r="BW8" s="883">
        <f t="shared" ca="1" si="7"/>
        <v>0</v>
      </c>
      <c r="BX8" s="883">
        <f t="shared" ca="1" si="7"/>
        <v>0</v>
      </c>
      <c r="BY8" s="883">
        <f t="shared" ca="1" si="7"/>
        <v>0</v>
      </c>
      <c r="BZ8" s="883">
        <f t="shared" ca="1" si="7"/>
        <v>0</v>
      </c>
      <c r="CA8" s="883">
        <f t="shared" ca="1" si="7"/>
        <v>0</v>
      </c>
      <c r="CB8" s="883">
        <f t="shared" ca="1" si="7"/>
        <v>0</v>
      </c>
      <c r="CC8" s="883">
        <f t="shared" ca="1" si="7"/>
        <v>0</v>
      </c>
      <c r="CD8" s="883">
        <f t="shared" ca="1" si="7"/>
        <v>0</v>
      </c>
      <c r="CE8" s="883">
        <f t="shared" ca="1" si="7"/>
        <v>0</v>
      </c>
      <c r="CF8" s="883">
        <f t="shared" ca="1" si="7"/>
        <v>0</v>
      </c>
      <c r="CG8" s="883">
        <f t="shared" ca="1" si="7"/>
        <v>0</v>
      </c>
      <c r="CH8" s="883">
        <f t="shared" ca="1" si="7"/>
        <v>0</v>
      </c>
      <c r="CI8" s="883">
        <f t="shared" ca="1" si="7"/>
        <v>0</v>
      </c>
      <c r="CJ8" s="883">
        <f t="shared" ca="1" si="7"/>
        <v>0</v>
      </c>
      <c r="CK8" s="883">
        <f t="shared" ca="1" si="7"/>
        <v>0</v>
      </c>
      <c r="CL8" s="883">
        <f t="shared" ca="1" si="7"/>
        <v>0</v>
      </c>
      <c r="CM8" s="883">
        <f t="shared" ca="1" si="7"/>
        <v>0</v>
      </c>
      <c r="CN8" s="883">
        <f t="shared" ca="1" si="7"/>
        <v>0</v>
      </c>
      <c r="CO8" s="883">
        <f t="shared" ca="1" si="7"/>
        <v>0</v>
      </c>
      <c r="CP8" s="883">
        <f t="shared" ca="1" si="7"/>
        <v>0</v>
      </c>
      <c r="CQ8" s="883">
        <f t="shared" ca="1" si="7"/>
        <v>0</v>
      </c>
      <c r="CR8" s="883">
        <f t="shared" ca="1" si="8"/>
        <v>0</v>
      </c>
      <c r="CS8" s="883">
        <f t="shared" ca="1" si="8"/>
        <v>0</v>
      </c>
      <c r="CT8" s="883">
        <f t="shared" ca="1" si="8"/>
        <v>0</v>
      </c>
      <c r="CU8" s="883">
        <f t="shared" ca="1" si="8"/>
        <v>0</v>
      </c>
      <c r="CV8" s="883">
        <f t="shared" ca="1" si="8"/>
        <v>0</v>
      </c>
      <c r="CW8" s="883">
        <f t="shared" ca="1" si="8"/>
        <v>0</v>
      </c>
      <c r="CX8" s="883">
        <f t="shared" ca="1" si="8"/>
        <v>0</v>
      </c>
      <c r="CY8" s="883">
        <f t="shared" ca="1" si="8"/>
        <v>0</v>
      </c>
      <c r="CZ8" s="883">
        <f t="shared" ca="1" si="8"/>
        <v>0</v>
      </c>
      <c r="DA8" s="883">
        <f t="shared" ca="1" si="8"/>
        <v>0</v>
      </c>
      <c r="DB8" s="883">
        <f t="shared" ca="1" si="8"/>
        <v>0</v>
      </c>
      <c r="DC8" s="883">
        <f t="shared" ca="1" si="8"/>
        <v>0</v>
      </c>
      <c r="DD8" s="883">
        <f t="shared" ca="1" si="8"/>
        <v>0</v>
      </c>
      <c r="DE8" s="883">
        <f t="shared" ca="1" si="8"/>
        <v>0</v>
      </c>
      <c r="DF8" s="883">
        <f t="shared" ca="1" si="8"/>
        <v>0</v>
      </c>
      <c r="DG8" s="883">
        <f t="shared" ca="1" si="8"/>
        <v>0</v>
      </c>
      <c r="DH8" s="883">
        <f t="shared" ca="1" si="8"/>
        <v>0</v>
      </c>
      <c r="DI8" s="883">
        <f t="shared" ca="1" si="8"/>
        <v>0</v>
      </c>
      <c r="DJ8" s="883">
        <f t="shared" ca="1" si="8"/>
        <v>0</v>
      </c>
      <c r="DK8" s="883">
        <f t="shared" ca="1" si="8"/>
        <v>0</v>
      </c>
      <c r="DL8" s="883">
        <f t="shared" ca="1" si="8"/>
        <v>0</v>
      </c>
      <c r="DM8" s="883">
        <f t="shared" ca="1" si="8"/>
        <v>0</v>
      </c>
      <c r="DN8" s="883">
        <f t="shared" ca="1" si="8"/>
        <v>0</v>
      </c>
      <c r="DO8" s="883">
        <f t="shared" ca="1" si="8"/>
        <v>0</v>
      </c>
      <c r="DP8" s="883">
        <f t="shared" ca="1" si="8"/>
        <v>0</v>
      </c>
      <c r="DQ8" s="883">
        <f t="shared" ca="1" si="8"/>
        <v>0</v>
      </c>
      <c r="DR8" s="883">
        <f t="shared" ca="1" si="8"/>
        <v>0</v>
      </c>
      <c r="DS8" s="883">
        <f t="shared" ca="1" si="8"/>
        <v>0</v>
      </c>
      <c r="DT8" s="883">
        <f t="shared" ca="1" si="8"/>
        <v>0</v>
      </c>
      <c r="DU8" s="883">
        <f t="shared" ca="1" si="8"/>
        <v>0</v>
      </c>
      <c r="DV8" s="883">
        <f t="shared" ca="1" si="8"/>
        <v>0</v>
      </c>
      <c r="DW8" s="883">
        <f t="shared" ca="1" si="8"/>
        <v>0</v>
      </c>
      <c r="DX8" s="883">
        <f t="shared" ca="1" si="8"/>
        <v>0</v>
      </c>
      <c r="DY8" s="883">
        <f t="shared" ca="1" si="8"/>
        <v>0</v>
      </c>
      <c r="DZ8" s="883">
        <f t="shared" ca="1" si="8"/>
        <v>0</v>
      </c>
      <c r="EA8" s="883">
        <f t="shared" ca="1" si="8"/>
        <v>0</v>
      </c>
      <c r="EB8" s="883">
        <f t="shared" ca="1" si="8"/>
        <v>0</v>
      </c>
      <c r="EC8" s="883">
        <f t="shared" ca="1" si="8"/>
        <v>0</v>
      </c>
      <c r="ED8" s="883">
        <f t="shared" ca="1" si="8"/>
        <v>0</v>
      </c>
      <c r="EE8" s="883">
        <f t="shared" ca="1" si="8"/>
        <v>0</v>
      </c>
      <c r="EF8" s="883">
        <f t="shared" ca="1" si="8"/>
        <v>0</v>
      </c>
      <c r="EG8" s="883">
        <f t="shared" ca="1" si="8"/>
        <v>0</v>
      </c>
      <c r="EH8" s="883">
        <f t="shared" ca="1" si="8"/>
        <v>0</v>
      </c>
      <c r="EI8" s="883">
        <f t="shared" ca="1" si="8"/>
        <v>0</v>
      </c>
      <c r="EJ8" s="883">
        <f t="shared" ca="1" si="8"/>
        <v>0</v>
      </c>
      <c r="EK8" s="883">
        <f t="shared" ca="1" si="8"/>
        <v>0</v>
      </c>
      <c r="EL8" s="883">
        <f t="shared" ca="1" si="8"/>
        <v>0</v>
      </c>
      <c r="EM8" s="883">
        <f t="shared" ca="1" si="8"/>
        <v>0</v>
      </c>
      <c r="EN8" s="883">
        <f t="shared" ca="1" si="8"/>
        <v>0</v>
      </c>
      <c r="EO8" s="883">
        <f t="shared" ca="1" si="8"/>
        <v>0</v>
      </c>
      <c r="EP8" s="883">
        <f t="shared" ca="1" si="8"/>
        <v>0</v>
      </c>
      <c r="EQ8" s="883">
        <f t="shared" ca="1" si="8"/>
        <v>0</v>
      </c>
      <c r="ER8" s="883">
        <f t="shared" ca="1" si="8"/>
        <v>0</v>
      </c>
      <c r="ES8" s="883">
        <f t="shared" ca="1" si="8"/>
        <v>0</v>
      </c>
      <c r="ET8" s="883">
        <f t="shared" ca="1" si="8"/>
        <v>0</v>
      </c>
      <c r="EU8" s="883">
        <f t="shared" ca="1" si="8"/>
        <v>0</v>
      </c>
      <c r="EV8" s="883">
        <f t="shared" ca="1" si="8"/>
        <v>0</v>
      </c>
      <c r="EW8" s="883">
        <f t="shared" ca="1" si="8"/>
        <v>0</v>
      </c>
      <c r="EX8" s="883">
        <f t="shared" ca="1" si="8"/>
        <v>0</v>
      </c>
      <c r="EY8" s="883">
        <f t="shared" ca="1" si="8"/>
        <v>0</v>
      </c>
      <c r="EZ8" s="883">
        <f t="shared" ca="1" si="8"/>
        <v>0</v>
      </c>
      <c r="FA8" s="883">
        <f t="shared" ca="1" si="8"/>
        <v>0</v>
      </c>
    </row>
    <row r="9" spans="1:157">
      <c r="C9" s="891"/>
      <c r="D9" s="936" t="s">
        <v>3713</v>
      </c>
      <c r="E9" s="936"/>
      <c r="F9" s="936"/>
      <c r="G9" s="936"/>
      <c r="N9" s="1714">
        <v>3</v>
      </c>
      <c r="O9" s="1789" t="b">
        <f ca="1">庫存管理[[#This Row],[檢測]]</f>
        <v>1</v>
      </c>
      <c r="P9" s="882" t="str">
        <f ca="1">VLOOKUP(Q9,bond!B:AA,26,FALSE)</f>
        <v>禮來公司</v>
      </c>
      <c r="Q9" s="883" t="str">
        <f ca="1">庫存管理[[#This Row],[商品代號]]</f>
        <v>XH750</v>
      </c>
      <c r="R9" s="889">
        <f ca="1">IF(O9=TRUE,IFERROR(IF($D$4=1,庫存管理[[#This Row],[投入面額]]*庫存管理[[#This Row],[換算匯率(現)]],庫存管理[[#This Row],[投入面額]]),0),0)</f>
        <v>100000</v>
      </c>
      <c r="S9" s="885">
        <f ca="1">庫存管理[[#This Row],[到期日]]</f>
        <v>55942</v>
      </c>
      <c r="T9" s="883">
        <f t="shared" ca="1" si="9"/>
        <v>2053</v>
      </c>
      <c r="U9" s="885">
        <f ca="1">庫存管理[[#This Row],[下一配息日]]</f>
        <v>45531</v>
      </c>
      <c r="V9" s="886">
        <f t="shared" ca="1" si="10"/>
        <v>2024</v>
      </c>
      <c r="W9" s="885">
        <f ca="1">庫存管理[[#This Row],[到期日]]</f>
        <v>55942</v>
      </c>
      <c r="X9" s="886">
        <f t="shared" ca="1" si="11"/>
        <v>2053</v>
      </c>
      <c r="Y9" s="883">
        <f ca="1">庫存管理[[#This Row],[配息頻率]]</f>
        <v>2</v>
      </c>
      <c r="Z9" s="883">
        <f>庫存管理[[#This Row],[投入面額]]</f>
        <v>100000</v>
      </c>
      <c r="AA9" s="909">
        <f ca="1">庫存管理[[#This Row],[票面利率]]</f>
        <v>4.8750000000000002E-2</v>
      </c>
      <c r="AB9" s="908">
        <f ca="1">庫存管理[[#This Row],[換算匯率(現)]]</f>
        <v>32.481000000000002</v>
      </c>
      <c r="AC9" s="887">
        <f t="shared" ca="1" si="12"/>
        <v>2437.5</v>
      </c>
      <c r="AD9" s="883">
        <f t="shared" ca="1" si="13"/>
        <v>1</v>
      </c>
      <c r="AE9" s="883">
        <f t="shared" ca="1" si="6"/>
        <v>3</v>
      </c>
      <c r="AF9" s="883">
        <f t="shared" ca="1" si="7"/>
        <v>5</v>
      </c>
      <c r="AG9" s="883">
        <f t="shared" ca="1" si="7"/>
        <v>7</v>
      </c>
      <c r="AH9" s="883">
        <f t="shared" ca="1" si="7"/>
        <v>9</v>
      </c>
      <c r="AI9" s="883">
        <f t="shared" ca="1" si="7"/>
        <v>11</v>
      </c>
      <c r="AJ9" s="883">
        <f t="shared" ca="1" si="7"/>
        <v>13</v>
      </c>
      <c r="AK9" s="883">
        <f t="shared" ca="1" si="7"/>
        <v>15</v>
      </c>
      <c r="AL9" s="883">
        <f t="shared" ca="1" si="7"/>
        <v>17</v>
      </c>
      <c r="AM9" s="883">
        <f t="shared" ca="1" si="7"/>
        <v>19</v>
      </c>
      <c r="AN9" s="883">
        <f t="shared" ca="1" si="7"/>
        <v>21</v>
      </c>
      <c r="AO9" s="883">
        <f t="shared" ca="1" si="7"/>
        <v>23</v>
      </c>
      <c r="AP9" s="883">
        <f t="shared" ca="1" si="7"/>
        <v>25</v>
      </c>
      <c r="AQ9" s="883">
        <f t="shared" ca="1" si="7"/>
        <v>27</v>
      </c>
      <c r="AR9" s="883">
        <f t="shared" ca="1" si="7"/>
        <v>29</v>
      </c>
      <c r="AS9" s="883">
        <f t="shared" ca="1" si="7"/>
        <v>31</v>
      </c>
      <c r="AT9" s="883">
        <f t="shared" ca="1" si="7"/>
        <v>33</v>
      </c>
      <c r="AU9" s="883">
        <f t="shared" ca="1" si="7"/>
        <v>35</v>
      </c>
      <c r="AV9" s="883">
        <f t="shared" ca="1" si="7"/>
        <v>37</v>
      </c>
      <c r="AW9" s="883">
        <f t="shared" ca="1" si="7"/>
        <v>39</v>
      </c>
      <c r="AX9" s="883">
        <f t="shared" ca="1" si="7"/>
        <v>41</v>
      </c>
      <c r="AY9" s="883">
        <f t="shared" ca="1" si="7"/>
        <v>43</v>
      </c>
      <c r="AZ9" s="883">
        <f t="shared" ca="1" si="7"/>
        <v>45</v>
      </c>
      <c r="BA9" s="883">
        <f t="shared" ca="1" si="7"/>
        <v>47</v>
      </c>
      <c r="BB9" s="883">
        <f t="shared" ca="1" si="7"/>
        <v>49</v>
      </c>
      <c r="BC9" s="883">
        <f t="shared" ca="1" si="7"/>
        <v>51</v>
      </c>
      <c r="BD9" s="883">
        <f t="shared" ca="1" si="7"/>
        <v>53</v>
      </c>
      <c r="BE9" s="883">
        <f t="shared" ca="1" si="7"/>
        <v>55</v>
      </c>
      <c r="BF9" s="883">
        <f t="shared" ca="1" si="7"/>
        <v>57</v>
      </c>
      <c r="BG9" s="883">
        <f t="shared" ca="1" si="7"/>
        <v>58</v>
      </c>
      <c r="BH9" s="883">
        <f t="shared" ca="1" si="7"/>
        <v>0</v>
      </c>
      <c r="BI9" s="883">
        <f t="shared" ca="1" si="7"/>
        <v>0</v>
      </c>
      <c r="BJ9" s="883">
        <f t="shared" ca="1" si="7"/>
        <v>0</v>
      </c>
      <c r="BK9" s="883">
        <f t="shared" ca="1" si="7"/>
        <v>0</v>
      </c>
      <c r="BL9" s="883">
        <f t="shared" ca="1" si="7"/>
        <v>0</v>
      </c>
      <c r="BM9" s="883">
        <f t="shared" ca="1" si="7"/>
        <v>0</v>
      </c>
      <c r="BN9" s="883">
        <f t="shared" ca="1" si="7"/>
        <v>0</v>
      </c>
      <c r="BO9" s="883">
        <f t="shared" ca="1" si="7"/>
        <v>0</v>
      </c>
      <c r="BP9" s="883">
        <f t="shared" ca="1" si="7"/>
        <v>0</v>
      </c>
      <c r="BQ9" s="883">
        <f t="shared" ca="1" si="7"/>
        <v>0</v>
      </c>
      <c r="BR9" s="883">
        <f t="shared" ca="1" si="7"/>
        <v>0</v>
      </c>
      <c r="BS9" s="883">
        <f t="shared" ca="1" si="7"/>
        <v>0</v>
      </c>
      <c r="BT9" s="883">
        <f t="shared" ca="1" si="7"/>
        <v>0</v>
      </c>
      <c r="BU9" s="883">
        <f t="shared" ca="1" si="7"/>
        <v>0</v>
      </c>
      <c r="BV9" s="883">
        <f t="shared" ca="1" si="7"/>
        <v>0</v>
      </c>
      <c r="BW9" s="883">
        <f t="shared" ca="1" si="7"/>
        <v>0</v>
      </c>
      <c r="BX9" s="883">
        <f t="shared" ca="1" si="7"/>
        <v>0</v>
      </c>
      <c r="BY9" s="883">
        <f t="shared" ca="1" si="7"/>
        <v>0</v>
      </c>
      <c r="BZ9" s="883">
        <f t="shared" ca="1" si="7"/>
        <v>0</v>
      </c>
      <c r="CA9" s="883">
        <f t="shared" ca="1" si="7"/>
        <v>0</v>
      </c>
      <c r="CB9" s="883">
        <f t="shared" ca="1" si="7"/>
        <v>0</v>
      </c>
      <c r="CC9" s="883">
        <f t="shared" ca="1" si="7"/>
        <v>0</v>
      </c>
      <c r="CD9" s="883">
        <f t="shared" ca="1" si="7"/>
        <v>0</v>
      </c>
      <c r="CE9" s="883">
        <f t="shared" ca="1" si="7"/>
        <v>0</v>
      </c>
      <c r="CF9" s="883">
        <f t="shared" ca="1" si="7"/>
        <v>0</v>
      </c>
      <c r="CG9" s="883">
        <f t="shared" ca="1" si="7"/>
        <v>0</v>
      </c>
      <c r="CH9" s="883">
        <f t="shared" ca="1" si="7"/>
        <v>0</v>
      </c>
      <c r="CI9" s="883">
        <f t="shared" ca="1" si="7"/>
        <v>0</v>
      </c>
      <c r="CJ9" s="883">
        <f t="shared" ca="1" si="7"/>
        <v>0</v>
      </c>
      <c r="CK9" s="883">
        <f t="shared" ca="1" si="7"/>
        <v>0</v>
      </c>
      <c r="CL9" s="883">
        <f t="shared" ca="1" si="7"/>
        <v>0</v>
      </c>
      <c r="CM9" s="883">
        <f t="shared" ca="1" si="7"/>
        <v>0</v>
      </c>
      <c r="CN9" s="883">
        <f t="shared" ca="1" si="7"/>
        <v>0</v>
      </c>
      <c r="CO9" s="883">
        <f t="shared" ca="1" si="7"/>
        <v>0</v>
      </c>
      <c r="CP9" s="883">
        <f t="shared" ca="1" si="7"/>
        <v>0</v>
      </c>
      <c r="CQ9" s="883">
        <f t="shared" ca="1" si="7"/>
        <v>0</v>
      </c>
      <c r="CR9" s="883">
        <f t="shared" ca="1" si="8"/>
        <v>0</v>
      </c>
      <c r="CS9" s="883">
        <f t="shared" ca="1" si="8"/>
        <v>0</v>
      </c>
      <c r="CT9" s="883">
        <f t="shared" ca="1" si="8"/>
        <v>0</v>
      </c>
      <c r="CU9" s="883">
        <f t="shared" ca="1" si="8"/>
        <v>0</v>
      </c>
      <c r="CV9" s="883">
        <f t="shared" ca="1" si="8"/>
        <v>0</v>
      </c>
      <c r="CW9" s="883">
        <f t="shared" ca="1" si="8"/>
        <v>0</v>
      </c>
      <c r="CX9" s="883">
        <f t="shared" ca="1" si="8"/>
        <v>0</v>
      </c>
      <c r="CY9" s="883">
        <f t="shared" ca="1" si="8"/>
        <v>0</v>
      </c>
      <c r="CZ9" s="883">
        <f t="shared" ca="1" si="8"/>
        <v>0</v>
      </c>
      <c r="DA9" s="883">
        <f t="shared" ca="1" si="8"/>
        <v>0</v>
      </c>
      <c r="DB9" s="883">
        <f t="shared" ca="1" si="8"/>
        <v>0</v>
      </c>
      <c r="DC9" s="883">
        <f t="shared" ca="1" si="8"/>
        <v>0</v>
      </c>
      <c r="DD9" s="883">
        <f t="shared" ca="1" si="8"/>
        <v>0</v>
      </c>
      <c r="DE9" s="883">
        <f t="shared" ca="1" si="8"/>
        <v>0</v>
      </c>
      <c r="DF9" s="883">
        <f t="shared" ca="1" si="8"/>
        <v>0</v>
      </c>
      <c r="DG9" s="883">
        <f t="shared" ca="1" si="8"/>
        <v>0</v>
      </c>
      <c r="DH9" s="883">
        <f t="shared" ca="1" si="8"/>
        <v>0</v>
      </c>
      <c r="DI9" s="883">
        <f t="shared" ca="1" si="8"/>
        <v>0</v>
      </c>
      <c r="DJ9" s="883">
        <f t="shared" ca="1" si="8"/>
        <v>0</v>
      </c>
      <c r="DK9" s="883">
        <f t="shared" ca="1" si="8"/>
        <v>0</v>
      </c>
      <c r="DL9" s="883">
        <f t="shared" ca="1" si="8"/>
        <v>0</v>
      </c>
      <c r="DM9" s="883">
        <f t="shared" ca="1" si="8"/>
        <v>0</v>
      </c>
      <c r="DN9" s="883">
        <f t="shared" ca="1" si="8"/>
        <v>0</v>
      </c>
      <c r="DO9" s="883">
        <f t="shared" ca="1" si="8"/>
        <v>0</v>
      </c>
      <c r="DP9" s="883">
        <f t="shared" ca="1" si="8"/>
        <v>0</v>
      </c>
      <c r="DQ9" s="883">
        <f t="shared" ca="1" si="8"/>
        <v>0</v>
      </c>
      <c r="DR9" s="883">
        <f t="shared" ca="1" si="8"/>
        <v>0</v>
      </c>
      <c r="DS9" s="883">
        <f t="shared" ca="1" si="8"/>
        <v>0</v>
      </c>
      <c r="DT9" s="883">
        <f t="shared" ca="1" si="8"/>
        <v>0</v>
      </c>
      <c r="DU9" s="883">
        <f t="shared" ca="1" si="8"/>
        <v>0</v>
      </c>
      <c r="DV9" s="883">
        <f t="shared" ca="1" si="8"/>
        <v>0</v>
      </c>
      <c r="DW9" s="883">
        <f t="shared" ca="1" si="8"/>
        <v>0</v>
      </c>
      <c r="DX9" s="883">
        <f t="shared" ca="1" si="8"/>
        <v>0</v>
      </c>
      <c r="DY9" s="883">
        <f t="shared" ca="1" si="8"/>
        <v>0</v>
      </c>
      <c r="DZ9" s="883">
        <f t="shared" ca="1" si="8"/>
        <v>0</v>
      </c>
      <c r="EA9" s="883">
        <f t="shared" ca="1" si="8"/>
        <v>0</v>
      </c>
      <c r="EB9" s="883">
        <f t="shared" ca="1" si="8"/>
        <v>0</v>
      </c>
      <c r="EC9" s="883">
        <f t="shared" ca="1" si="8"/>
        <v>0</v>
      </c>
      <c r="ED9" s="883">
        <f t="shared" ca="1" si="8"/>
        <v>0</v>
      </c>
      <c r="EE9" s="883">
        <f t="shared" ca="1" si="8"/>
        <v>0</v>
      </c>
      <c r="EF9" s="883">
        <f t="shared" ca="1" si="8"/>
        <v>0</v>
      </c>
      <c r="EG9" s="883">
        <f t="shared" ca="1" si="8"/>
        <v>0</v>
      </c>
      <c r="EH9" s="883">
        <f t="shared" ca="1" si="8"/>
        <v>0</v>
      </c>
      <c r="EI9" s="883">
        <f t="shared" ca="1" si="8"/>
        <v>0</v>
      </c>
      <c r="EJ9" s="883">
        <f t="shared" ca="1" si="8"/>
        <v>0</v>
      </c>
      <c r="EK9" s="883">
        <f t="shared" ca="1" si="8"/>
        <v>0</v>
      </c>
      <c r="EL9" s="883">
        <f t="shared" ca="1" si="8"/>
        <v>0</v>
      </c>
      <c r="EM9" s="883">
        <f t="shared" ca="1" si="8"/>
        <v>0</v>
      </c>
      <c r="EN9" s="883">
        <f t="shared" ca="1" si="8"/>
        <v>0</v>
      </c>
      <c r="EO9" s="883">
        <f t="shared" ca="1" si="8"/>
        <v>0</v>
      </c>
      <c r="EP9" s="883">
        <f t="shared" ca="1" si="8"/>
        <v>0</v>
      </c>
      <c r="EQ9" s="883">
        <f t="shared" ca="1" si="8"/>
        <v>0</v>
      </c>
      <c r="ER9" s="883">
        <f t="shared" ca="1" si="8"/>
        <v>0</v>
      </c>
      <c r="ES9" s="883">
        <f t="shared" ca="1" si="8"/>
        <v>0</v>
      </c>
      <c r="ET9" s="883">
        <f t="shared" ca="1" si="8"/>
        <v>0</v>
      </c>
      <c r="EU9" s="883">
        <f t="shared" ca="1" si="8"/>
        <v>0</v>
      </c>
      <c r="EV9" s="883">
        <f t="shared" ca="1" si="8"/>
        <v>0</v>
      </c>
      <c r="EW9" s="883">
        <f t="shared" ca="1" si="8"/>
        <v>0</v>
      </c>
      <c r="EX9" s="883">
        <f t="shared" ca="1" si="8"/>
        <v>0</v>
      </c>
      <c r="EY9" s="883">
        <f t="shared" ca="1" si="8"/>
        <v>0</v>
      </c>
      <c r="EZ9" s="883">
        <f t="shared" ca="1" si="8"/>
        <v>0</v>
      </c>
      <c r="FA9" s="883">
        <f t="shared" ca="1" si="8"/>
        <v>0</v>
      </c>
    </row>
    <row r="10" spans="1:157">
      <c r="B10" s="906" t="s">
        <v>3700</v>
      </c>
      <c r="I10" s="1206" t="s">
        <v>4113</v>
      </c>
      <c r="K10" s="929" t="s">
        <v>3712</v>
      </c>
      <c r="N10" s="1714">
        <v>4</v>
      </c>
      <c r="O10" s="1789" t="b">
        <f ca="1">庫存管理[[#This Row],[檢測]]</f>
        <v>1</v>
      </c>
      <c r="P10" s="882" t="str">
        <f ca="1">VLOOKUP(Q10,bond!B:AA,26,FALSE)</f>
        <v>Meta平台公司</v>
      </c>
      <c r="Q10" s="883" t="str">
        <f ca="1">庫存管理[[#This Row],[商品代號]]</f>
        <v>XH040</v>
      </c>
      <c r="R10" s="889">
        <f ca="1">IF(O10=TRUE,IFERROR(IF($D$4=1,庫存管理[[#This Row],[投入面額]]*庫存管理[[#This Row],[換算匯率(現)]],庫存管理[[#This Row],[投入面額]]),0),0)</f>
        <v>100000</v>
      </c>
      <c r="S10" s="885">
        <f ca="1">庫存管理[[#This Row],[到期日]]</f>
        <v>55746</v>
      </c>
      <c r="T10" s="883">
        <f t="shared" ca="1" si="9"/>
        <v>2052</v>
      </c>
      <c r="U10" s="885">
        <f ca="1">庫存管理[[#This Row],[下一配息日]]</f>
        <v>45519</v>
      </c>
      <c r="V10" s="886">
        <f t="shared" ca="1" si="10"/>
        <v>2024</v>
      </c>
      <c r="W10" s="885">
        <f ca="1">庫存管理[[#This Row],[到期日]]</f>
        <v>55746</v>
      </c>
      <c r="X10" s="886">
        <f t="shared" ca="1" si="11"/>
        <v>2052</v>
      </c>
      <c r="Y10" s="883">
        <f ca="1">庫存管理[[#This Row],[配息頻率]]</f>
        <v>2</v>
      </c>
      <c r="Z10" s="883">
        <f>庫存管理[[#This Row],[投入面額]]</f>
        <v>100000</v>
      </c>
      <c r="AA10" s="909">
        <f ca="1">庫存管理[[#This Row],[票面利率]]</f>
        <v>4.4500000000000005E-2</v>
      </c>
      <c r="AB10" s="908">
        <f ca="1">庫存管理[[#This Row],[換算匯率(現)]]</f>
        <v>32.481000000000002</v>
      </c>
      <c r="AC10" s="887">
        <f t="shared" ca="1" si="12"/>
        <v>2225.0000000000005</v>
      </c>
      <c r="AD10" s="883">
        <f t="shared" ca="1" si="13"/>
        <v>1</v>
      </c>
      <c r="AE10" s="883">
        <f t="shared" ca="1" si="6"/>
        <v>3</v>
      </c>
      <c r="AF10" s="883">
        <f t="shared" ca="1" si="7"/>
        <v>5</v>
      </c>
      <c r="AG10" s="883">
        <f t="shared" ca="1" si="7"/>
        <v>7</v>
      </c>
      <c r="AH10" s="883">
        <f t="shared" ca="1" si="7"/>
        <v>9</v>
      </c>
      <c r="AI10" s="883">
        <f t="shared" ca="1" si="7"/>
        <v>11</v>
      </c>
      <c r="AJ10" s="883">
        <f t="shared" ca="1" si="7"/>
        <v>13</v>
      </c>
      <c r="AK10" s="883">
        <f t="shared" ca="1" si="7"/>
        <v>15</v>
      </c>
      <c r="AL10" s="883">
        <f t="shared" ca="1" si="7"/>
        <v>17</v>
      </c>
      <c r="AM10" s="883">
        <f t="shared" ca="1" si="7"/>
        <v>19</v>
      </c>
      <c r="AN10" s="883">
        <f t="shared" ca="1" si="7"/>
        <v>21</v>
      </c>
      <c r="AO10" s="883">
        <f t="shared" ca="1" si="7"/>
        <v>23</v>
      </c>
      <c r="AP10" s="883">
        <f t="shared" ca="1" si="7"/>
        <v>25</v>
      </c>
      <c r="AQ10" s="883">
        <f t="shared" ca="1" si="7"/>
        <v>27</v>
      </c>
      <c r="AR10" s="883">
        <f t="shared" ca="1" si="7"/>
        <v>29</v>
      </c>
      <c r="AS10" s="883">
        <f t="shared" ca="1" si="7"/>
        <v>31</v>
      </c>
      <c r="AT10" s="883">
        <f t="shared" ca="1" si="7"/>
        <v>33</v>
      </c>
      <c r="AU10" s="883">
        <f t="shared" ca="1" si="7"/>
        <v>35</v>
      </c>
      <c r="AV10" s="883">
        <f t="shared" ca="1" si="7"/>
        <v>37</v>
      </c>
      <c r="AW10" s="883">
        <f t="shared" ca="1" si="7"/>
        <v>39</v>
      </c>
      <c r="AX10" s="883">
        <f t="shared" ca="1" si="7"/>
        <v>41</v>
      </c>
      <c r="AY10" s="883">
        <f t="shared" ca="1" si="7"/>
        <v>43</v>
      </c>
      <c r="AZ10" s="883">
        <f t="shared" ca="1" si="7"/>
        <v>45</v>
      </c>
      <c r="BA10" s="883">
        <f t="shared" ca="1" si="7"/>
        <v>47</v>
      </c>
      <c r="BB10" s="883">
        <f t="shared" ca="1" si="7"/>
        <v>49</v>
      </c>
      <c r="BC10" s="883">
        <f t="shared" ca="1" si="7"/>
        <v>51</v>
      </c>
      <c r="BD10" s="883">
        <f t="shared" ca="1" si="7"/>
        <v>53</v>
      </c>
      <c r="BE10" s="883">
        <f t="shared" ca="1" si="7"/>
        <v>55</v>
      </c>
      <c r="BF10" s="883">
        <f t="shared" ca="1" si="7"/>
        <v>57</v>
      </c>
      <c r="BG10" s="883">
        <f t="shared" ca="1" si="7"/>
        <v>0</v>
      </c>
      <c r="BH10" s="883">
        <f t="shared" ca="1" si="7"/>
        <v>0</v>
      </c>
      <c r="BI10" s="883">
        <f t="shared" ca="1" si="7"/>
        <v>0</v>
      </c>
      <c r="BJ10" s="883">
        <f t="shared" ca="1" si="7"/>
        <v>0</v>
      </c>
      <c r="BK10" s="883">
        <f t="shared" ca="1" si="7"/>
        <v>0</v>
      </c>
      <c r="BL10" s="883">
        <f t="shared" ca="1" si="7"/>
        <v>0</v>
      </c>
      <c r="BM10" s="883">
        <f t="shared" ca="1" si="7"/>
        <v>0</v>
      </c>
      <c r="BN10" s="883">
        <f t="shared" ca="1" si="7"/>
        <v>0</v>
      </c>
      <c r="BO10" s="883">
        <f t="shared" ca="1" si="7"/>
        <v>0</v>
      </c>
      <c r="BP10" s="883">
        <f t="shared" ca="1" si="7"/>
        <v>0</v>
      </c>
      <c r="BQ10" s="883">
        <f t="shared" ca="1" si="7"/>
        <v>0</v>
      </c>
      <c r="BR10" s="883">
        <f t="shared" ca="1" si="7"/>
        <v>0</v>
      </c>
      <c r="BS10" s="883">
        <f t="shared" ca="1" si="7"/>
        <v>0</v>
      </c>
      <c r="BT10" s="883">
        <f t="shared" ca="1" si="7"/>
        <v>0</v>
      </c>
      <c r="BU10" s="883">
        <f t="shared" ca="1" si="7"/>
        <v>0</v>
      </c>
      <c r="BV10" s="883">
        <f t="shared" ca="1" si="7"/>
        <v>0</v>
      </c>
      <c r="BW10" s="883">
        <f t="shared" ca="1" si="7"/>
        <v>0</v>
      </c>
      <c r="BX10" s="883">
        <f t="shared" ca="1" si="7"/>
        <v>0</v>
      </c>
      <c r="BY10" s="883">
        <f t="shared" ca="1" si="7"/>
        <v>0</v>
      </c>
      <c r="BZ10" s="883">
        <f t="shared" ca="1" si="7"/>
        <v>0</v>
      </c>
      <c r="CA10" s="883">
        <f t="shared" ca="1" si="7"/>
        <v>0</v>
      </c>
      <c r="CB10" s="883">
        <f t="shared" ca="1" si="7"/>
        <v>0</v>
      </c>
      <c r="CC10" s="883">
        <f t="shared" ca="1" si="7"/>
        <v>0</v>
      </c>
      <c r="CD10" s="883">
        <f t="shared" ca="1" si="7"/>
        <v>0</v>
      </c>
      <c r="CE10" s="883">
        <f t="shared" ca="1" si="7"/>
        <v>0</v>
      </c>
      <c r="CF10" s="883">
        <f t="shared" ca="1" si="7"/>
        <v>0</v>
      </c>
      <c r="CG10" s="883">
        <f t="shared" ca="1" si="7"/>
        <v>0</v>
      </c>
      <c r="CH10" s="883">
        <f t="shared" ca="1" si="7"/>
        <v>0</v>
      </c>
      <c r="CI10" s="883">
        <f t="shared" ca="1" si="7"/>
        <v>0</v>
      </c>
      <c r="CJ10" s="883">
        <f t="shared" ca="1" si="7"/>
        <v>0</v>
      </c>
      <c r="CK10" s="883">
        <f t="shared" ca="1" si="7"/>
        <v>0</v>
      </c>
      <c r="CL10" s="883">
        <f t="shared" ca="1" si="7"/>
        <v>0</v>
      </c>
      <c r="CM10" s="883">
        <f t="shared" ca="1" si="7"/>
        <v>0</v>
      </c>
      <c r="CN10" s="883">
        <f t="shared" ca="1" si="7"/>
        <v>0</v>
      </c>
      <c r="CO10" s="883">
        <f t="shared" ca="1" si="7"/>
        <v>0</v>
      </c>
      <c r="CP10" s="883">
        <f t="shared" ca="1" si="7"/>
        <v>0</v>
      </c>
      <c r="CQ10" s="883">
        <f t="shared" ref="AF10:CQ12" ca="1" si="14">IFERROR(IF(YEAR($W10)&lt;CQ$4,0,IF(YEAR($W10)=CQ$4,IF($P10="美國國庫債券",ROUND(DATEDIF($U10,$W10,"M")/(12/$Y10),0)+1,DATEDIF($U10,$W10,"M")/(12/$Y10)+1),INT(DATEDIF($U10,CQ$5,"M")/(12/$Y10))+1)),0)</f>
        <v>0</v>
      </c>
      <c r="CR10" s="883">
        <f t="shared" ca="1" si="8"/>
        <v>0</v>
      </c>
      <c r="CS10" s="883">
        <f t="shared" ca="1" si="8"/>
        <v>0</v>
      </c>
      <c r="CT10" s="883">
        <f t="shared" ca="1" si="8"/>
        <v>0</v>
      </c>
      <c r="CU10" s="883">
        <f t="shared" ca="1" si="8"/>
        <v>0</v>
      </c>
      <c r="CV10" s="883">
        <f t="shared" ca="1" si="8"/>
        <v>0</v>
      </c>
      <c r="CW10" s="883">
        <f t="shared" ca="1" si="8"/>
        <v>0</v>
      </c>
      <c r="CX10" s="883">
        <f t="shared" ca="1" si="8"/>
        <v>0</v>
      </c>
      <c r="CY10" s="883">
        <f t="shared" ca="1" si="8"/>
        <v>0</v>
      </c>
      <c r="CZ10" s="883">
        <f t="shared" ca="1" si="8"/>
        <v>0</v>
      </c>
      <c r="DA10" s="883">
        <f t="shared" ca="1" si="8"/>
        <v>0</v>
      </c>
      <c r="DB10" s="883">
        <f t="shared" ca="1" si="8"/>
        <v>0</v>
      </c>
      <c r="DC10" s="883">
        <f t="shared" ca="1" si="8"/>
        <v>0</v>
      </c>
      <c r="DD10" s="883">
        <f t="shared" ca="1" si="8"/>
        <v>0</v>
      </c>
      <c r="DE10" s="883">
        <f t="shared" ca="1" si="8"/>
        <v>0</v>
      </c>
      <c r="DF10" s="883">
        <f t="shared" ca="1" si="8"/>
        <v>0</v>
      </c>
      <c r="DG10" s="883">
        <f t="shared" ca="1" si="8"/>
        <v>0</v>
      </c>
      <c r="DH10" s="883">
        <f t="shared" ca="1" si="8"/>
        <v>0</v>
      </c>
      <c r="DI10" s="883">
        <f t="shared" ca="1" si="8"/>
        <v>0</v>
      </c>
      <c r="DJ10" s="883">
        <f t="shared" ca="1" si="8"/>
        <v>0</v>
      </c>
      <c r="DK10" s="883">
        <f t="shared" ca="1" si="8"/>
        <v>0</v>
      </c>
      <c r="DL10" s="883">
        <f t="shared" ca="1" si="8"/>
        <v>0</v>
      </c>
      <c r="DM10" s="883">
        <f t="shared" ca="1" si="8"/>
        <v>0</v>
      </c>
      <c r="DN10" s="883">
        <f t="shared" ca="1" si="8"/>
        <v>0</v>
      </c>
      <c r="DO10" s="883">
        <f t="shared" ca="1" si="8"/>
        <v>0</v>
      </c>
      <c r="DP10" s="883">
        <f t="shared" ca="1" si="8"/>
        <v>0</v>
      </c>
      <c r="DQ10" s="883">
        <f t="shared" ca="1" si="8"/>
        <v>0</v>
      </c>
      <c r="DR10" s="883">
        <f t="shared" ca="1" si="8"/>
        <v>0</v>
      </c>
      <c r="DS10" s="883">
        <f t="shared" ca="1" si="8"/>
        <v>0</v>
      </c>
      <c r="DT10" s="883">
        <f t="shared" ca="1" si="8"/>
        <v>0</v>
      </c>
      <c r="DU10" s="883">
        <f t="shared" ca="1" si="8"/>
        <v>0</v>
      </c>
      <c r="DV10" s="883">
        <f t="shared" ca="1" si="8"/>
        <v>0</v>
      </c>
      <c r="DW10" s="883">
        <f t="shared" ca="1" si="8"/>
        <v>0</v>
      </c>
      <c r="DX10" s="883">
        <f t="shared" ca="1" si="8"/>
        <v>0</v>
      </c>
      <c r="DY10" s="883">
        <f t="shared" ca="1" si="8"/>
        <v>0</v>
      </c>
      <c r="DZ10" s="883">
        <f t="shared" ca="1" si="8"/>
        <v>0</v>
      </c>
      <c r="EA10" s="883">
        <f t="shared" ca="1" si="8"/>
        <v>0</v>
      </c>
      <c r="EB10" s="883">
        <f t="shared" ca="1" si="8"/>
        <v>0</v>
      </c>
      <c r="EC10" s="883">
        <f t="shared" ca="1" si="8"/>
        <v>0</v>
      </c>
      <c r="ED10" s="883">
        <f t="shared" ca="1" si="8"/>
        <v>0</v>
      </c>
      <c r="EE10" s="883">
        <f t="shared" ca="1" si="8"/>
        <v>0</v>
      </c>
      <c r="EF10" s="883">
        <f t="shared" ca="1" si="8"/>
        <v>0</v>
      </c>
      <c r="EG10" s="883">
        <f t="shared" ca="1" si="8"/>
        <v>0</v>
      </c>
      <c r="EH10" s="883">
        <f t="shared" ca="1" si="8"/>
        <v>0</v>
      </c>
      <c r="EI10" s="883">
        <f t="shared" ca="1" si="8"/>
        <v>0</v>
      </c>
      <c r="EJ10" s="883">
        <f t="shared" ca="1" si="8"/>
        <v>0</v>
      </c>
      <c r="EK10" s="883">
        <f t="shared" ca="1" si="8"/>
        <v>0</v>
      </c>
      <c r="EL10" s="883">
        <f t="shared" ca="1" si="8"/>
        <v>0</v>
      </c>
      <c r="EM10" s="883">
        <f t="shared" ca="1" si="8"/>
        <v>0</v>
      </c>
      <c r="EN10" s="883">
        <f t="shared" ca="1" si="8"/>
        <v>0</v>
      </c>
      <c r="EO10" s="883">
        <f t="shared" ca="1" si="8"/>
        <v>0</v>
      </c>
      <c r="EP10" s="883">
        <f t="shared" ca="1" si="8"/>
        <v>0</v>
      </c>
      <c r="EQ10" s="883">
        <f t="shared" ca="1" si="8"/>
        <v>0</v>
      </c>
      <c r="ER10" s="883">
        <f t="shared" ca="1" si="8"/>
        <v>0</v>
      </c>
      <c r="ES10" s="883">
        <f t="shared" ca="1" si="8"/>
        <v>0</v>
      </c>
      <c r="ET10" s="883">
        <f t="shared" ca="1" si="8"/>
        <v>0</v>
      </c>
      <c r="EU10" s="883">
        <f t="shared" ca="1" si="8"/>
        <v>0</v>
      </c>
      <c r="EV10" s="883">
        <f t="shared" ca="1" si="8"/>
        <v>0</v>
      </c>
      <c r="EW10" s="883">
        <f t="shared" ca="1" si="8"/>
        <v>0</v>
      </c>
      <c r="EX10" s="883">
        <f t="shared" ca="1" si="8"/>
        <v>0</v>
      </c>
      <c r="EY10" s="883">
        <f t="shared" ca="1" si="8"/>
        <v>0</v>
      </c>
      <c r="EZ10" s="883">
        <f t="shared" ca="1" si="8"/>
        <v>0</v>
      </c>
      <c r="FA10" s="883">
        <f t="shared" ca="1" si="8"/>
        <v>0</v>
      </c>
    </row>
    <row r="11" spans="1:157">
      <c r="A11" s="879" t="s">
        <v>3562</v>
      </c>
      <c r="B11" s="906" t="s">
        <v>3701</v>
      </c>
      <c r="C11" s="879" t="s">
        <v>3702</v>
      </c>
      <c r="D11" s="879" t="s">
        <v>3703</v>
      </c>
      <c r="E11" s="879" t="s">
        <v>3704</v>
      </c>
      <c r="F11" s="879" t="s">
        <v>3564</v>
      </c>
      <c r="G11" s="906" t="s">
        <v>3722</v>
      </c>
      <c r="H11" s="891" t="s">
        <v>3705</v>
      </c>
      <c r="I11" s="1206" t="s">
        <v>4114</v>
      </c>
      <c r="J11" s="1206" t="s">
        <v>3704</v>
      </c>
      <c r="K11" s="929" t="s">
        <v>3703</v>
      </c>
      <c r="L11" s="929" t="s">
        <v>3704</v>
      </c>
      <c r="N11" s="1714">
        <v>5</v>
      </c>
      <c r="O11" s="1789" t="b">
        <f ca="1">庫存管理[[#This Row],[檢測]]</f>
        <v>0</v>
      </c>
      <c r="P11" s="882" t="e">
        <f ca="1">VLOOKUP(Q11,bond!B:AA,26,FALSE)</f>
        <v>#N/A</v>
      </c>
      <c r="Q11" s="883" t="str">
        <f ca="1">庫存管理[[#This Row],[商品代號]]</f>
        <v/>
      </c>
      <c r="R11" s="889">
        <f ca="1">IF(O11=TRUE,IFERROR(IF($D$4=1,庫存管理[[#This Row],[投入面額]]*庫存管理[[#This Row],[換算匯率(現)]],庫存管理[[#This Row],[投入面額]]),0),0)</f>
        <v>0</v>
      </c>
      <c r="S11" s="885" t="e">
        <f ca="1">庫存管理[[#This Row],[到期日]]</f>
        <v>#N/A</v>
      </c>
      <c r="T11" s="883">
        <f t="shared" ca="1" si="9"/>
        <v>0</v>
      </c>
      <c r="U11" s="885" t="str">
        <f ca="1">庫存管理[[#This Row],[下一配息日]]</f>
        <v/>
      </c>
      <c r="V11" s="886" t="str">
        <f t="shared" ca="1" si="10"/>
        <v/>
      </c>
      <c r="W11" s="885" t="e">
        <f ca="1">庫存管理[[#This Row],[到期日]]</f>
        <v>#N/A</v>
      </c>
      <c r="X11" s="886" t="str">
        <f t="shared" ca="1" si="11"/>
        <v/>
      </c>
      <c r="Y11" s="883" t="str">
        <f ca="1">庫存管理[[#This Row],[配息頻率]]</f>
        <v/>
      </c>
      <c r="Z11" s="883" t="str">
        <f>庫存管理[[#This Row],[投入面額]]</f>
        <v/>
      </c>
      <c r="AA11" s="909">
        <f ca="1">庫存管理[[#This Row],[票面利率]]</f>
        <v>0</v>
      </c>
      <c r="AB11" s="908">
        <f ca="1">庫存管理[[#This Row],[換算匯率(現)]]</f>
        <v>0</v>
      </c>
      <c r="AC11" s="887">
        <f t="shared" ca="1" si="12"/>
        <v>0</v>
      </c>
      <c r="AD11" s="883">
        <f t="shared" ca="1" si="13"/>
        <v>0</v>
      </c>
      <c r="AE11" s="883">
        <f t="shared" ca="1" si="6"/>
        <v>0</v>
      </c>
      <c r="AF11" s="883">
        <f t="shared" ca="1" si="14"/>
        <v>0</v>
      </c>
      <c r="AG11" s="883">
        <f t="shared" ca="1" si="14"/>
        <v>0</v>
      </c>
      <c r="AH11" s="883">
        <f t="shared" ca="1" si="14"/>
        <v>0</v>
      </c>
      <c r="AI11" s="883">
        <f t="shared" ca="1" si="14"/>
        <v>0</v>
      </c>
      <c r="AJ11" s="883">
        <f t="shared" ca="1" si="14"/>
        <v>0</v>
      </c>
      <c r="AK11" s="883">
        <f t="shared" ca="1" si="14"/>
        <v>0</v>
      </c>
      <c r="AL11" s="883">
        <f t="shared" ca="1" si="14"/>
        <v>0</v>
      </c>
      <c r="AM11" s="883">
        <f t="shared" ca="1" si="14"/>
        <v>0</v>
      </c>
      <c r="AN11" s="883">
        <f t="shared" ca="1" si="14"/>
        <v>0</v>
      </c>
      <c r="AO11" s="883">
        <f t="shared" ca="1" si="14"/>
        <v>0</v>
      </c>
      <c r="AP11" s="883">
        <f t="shared" ca="1" si="14"/>
        <v>0</v>
      </c>
      <c r="AQ11" s="883">
        <f t="shared" ca="1" si="14"/>
        <v>0</v>
      </c>
      <c r="AR11" s="883">
        <f t="shared" ca="1" si="14"/>
        <v>0</v>
      </c>
      <c r="AS11" s="883">
        <f t="shared" ca="1" si="14"/>
        <v>0</v>
      </c>
      <c r="AT11" s="883">
        <f t="shared" ca="1" si="14"/>
        <v>0</v>
      </c>
      <c r="AU11" s="883">
        <f t="shared" ca="1" si="14"/>
        <v>0</v>
      </c>
      <c r="AV11" s="883">
        <f t="shared" ca="1" si="14"/>
        <v>0</v>
      </c>
      <c r="AW11" s="883">
        <f t="shared" ca="1" si="14"/>
        <v>0</v>
      </c>
      <c r="AX11" s="883">
        <f t="shared" ca="1" si="14"/>
        <v>0</v>
      </c>
      <c r="AY11" s="883">
        <f t="shared" ca="1" si="14"/>
        <v>0</v>
      </c>
      <c r="AZ11" s="883">
        <f t="shared" ca="1" si="14"/>
        <v>0</v>
      </c>
      <c r="BA11" s="883">
        <f t="shared" ca="1" si="14"/>
        <v>0</v>
      </c>
      <c r="BB11" s="883">
        <f t="shared" ca="1" si="14"/>
        <v>0</v>
      </c>
      <c r="BC11" s="883">
        <f t="shared" ca="1" si="14"/>
        <v>0</v>
      </c>
      <c r="BD11" s="883">
        <f t="shared" ca="1" si="14"/>
        <v>0</v>
      </c>
      <c r="BE11" s="883">
        <f t="shared" ca="1" si="14"/>
        <v>0</v>
      </c>
      <c r="BF11" s="883">
        <f t="shared" ca="1" si="14"/>
        <v>0</v>
      </c>
      <c r="BG11" s="883">
        <f t="shared" ca="1" si="14"/>
        <v>0</v>
      </c>
      <c r="BH11" s="883">
        <f t="shared" ca="1" si="14"/>
        <v>0</v>
      </c>
      <c r="BI11" s="883">
        <f t="shared" ca="1" si="14"/>
        <v>0</v>
      </c>
      <c r="BJ11" s="883">
        <f t="shared" ca="1" si="14"/>
        <v>0</v>
      </c>
      <c r="BK11" s="883">
        <f t="shared" ca="1" si="14"/>
        <v>0</v>
      </c>
      <c r="BL11" s="883">
        <f t="shared" ca="1" si="14"/>
        <v>0</v>
      </c>
      <c r="BM11" s="883">
        <f t="shared" ca="1" si="14"/>
        <v>0</v>
      </c>
      <c r="BN11" s="883">
        <f t="shared" ca="1" si="14"/>
        <v>0</v>
      </c>
      <c r="BO11" s="883">
        <f t="shared" ca="1" si="14"/>
        <v>0</v>
      </c>
      <c r="BP11" s="883">
        <f t="shared" ca="1" si="14"/>
        <v>0</v>
      </c>
      <c r="BQ11" s="883">
        <f t="shared" ca="1" si="14"/>
        <v>0</v>
      </c>
      <c r="BR11" s="883">
        <f t="shared" ca="1" si="14"/>
        <v>0</v>
      </c>
      <c r="BS11" s="883">
        <f t="shared" ca="1" si="14"/>
        <v>0</v>
      </c>
      <c r="BT11" s="883">
        <f t="shared" ca="1" si="14"/>
        <v>0</v>
      </c>
      <c r="BU11" s="883">
        <f t="shared" ca="1" si="14"/>
        <v>0</v>
      </c>
      <c r="BV11" s="883">
        <f t="shared" ca="1" si="14"/>
        <v>0</v>
      </c>
      <c r="BW11" s="883">
        <f t="shared" ca="1" si="14"/>
        <v>0</v>
      </c>
      <c r="BX11" s="883">
        <f t="shared" ca="1" si="14"/>
        <v>0</v>
      </c>
      <c r="BY11" s="883">
        <f t="shared" ca="1" si="14"/>
        <v>0</v>
      </c>
      <c r="BZ11" s="883">
        <f t="shared" ca="1" si="14"/>
        <v>0</v>
      </c>
      <c r="CA11" s="883">
        <f t="shared" ca="1" si="14"/>
        <v>0</v>
      </c>
      <c r="CB11" s="883">
        <f t="shared" ca="1" si="14"/>
        <v>0</v>
      </c>
      <c r="CC11" s="883">
        <f t="shared" ca="1" si="14"/>
        <v>0</v>
      </c>
      <c r="CD11" s="883">
        <f t="shared" ca="1" si="14"/>
        <v>0</v>
      </c>
      <c r="CE11" s="883">
        <f t="shared" ca="1" si="14"/>
        <v>0</v>
      </c>
      <c r="CF11" s="883">
        <f t="shared" ca="1" si="14"/>
        <v>0</v>
      </c>
      <c r="CG11" s="883">
        <f t="shared" ca="1" si="14"/>
        <v>0</v>
      </c>
      <c r="CH11" s="883">
        <f t="shared" ca="1" si="14"/>
        <v>0</v>
      </c>
      <c r="CI11" s="883">
        <f t="shared" ca="1" si="14"/>
        <v>0</v>
      </c>
      <c r="CJ11" s="883">
        <f t="shared" ca="1" si="14"/>
        <v>0</v>
      </c>
      <c r="CK11" s="883">
        <f t="shared" ca="1" si="14"/>
        <v>0</v>
      </c>
      <c r="CL11" s="883">
        <f t="shared" ca="1" si="14"/>
        <v>0</v>
      </c>
      <c r="CM11" s="883">
        <f t="shared" ca="1" si="14"/>
        <v>0</v>
      </c>
      <c r="CN11" s="883">
        <f t="shared" ca="1" si="14"/>
        <v>0</v>
      </c>
      <c r="CO11" s="883">
        <f t="shared" ca="1" si="14"/>
        <v>0</v>
      </c>
      <c r="CP11" s="883">
        <f t="shared" ca="1" si="14"/>
        <v>0</v>
      </c>
      <c r="CQ11" s="883">
        <f t="shared" ca="1" si="14"/>
        <v>0</v>
      </c>
      <c r="CR11" s="883">
        <f t="shared" ca="1" si="8"/>
        <v>0</v>
      </c>
      <c r="CS11" s="883">
        <f t="shared" ca="1" si="8"/>
        <v>0</v>
      </c>
      <c r="CT11" s="883">
        <f t="shared" ca="1" si="8"/>
        <v>0</v>
      </c>
      <c r="CU11" s="883">
        <f t="shared" ca="1" si="8"/>
        <v>0</v>
      </c>
      <c r="CV11" s="883">
        <f t="shared" ca="1" si="8"/>
        <v>0</v>
      </c>
      <c r="CW11" s="883">
        <f t="shared" ca="1" si="8"/>
        <v>0</v>
      </c>
      <c r="CX11" s="883">
        <f t="shared" ca="1" si="8"/>
        <v>0</v>
      </c>
      <c r="CY11" s="883">
        <f t="shared" ref="CY11:DN26" ca="1" si="15">IFERROR(IF(YEAR($W11)&lt;CY$4,0,IF(YEAR($W11)=CY$4,IF($P11="美國國庫債券",ROUND(DATEDIF($U11,$W11,"M")/(12/$Y11),0)+1,DATEDIF($U11,$W11,"M")/(12/$Y11)+1),INT(DATEDIF($U11,CY$5,"M")/(12/$Y11))+1)),0)</f>
        <v>0</v>
      </c>
      <c r="CZ11" s="883">
        <f t="shared" ca="1" si="15"/>
        <v>0</v>
      </c>
      <c r="DA11" s="883">
        <f t="shared" ca="1" si="15"/>
        <v>0</v>
      </c>
      <c r="DB11" s="883">
        <f t="shared" ca="1" si="15"/>
        <v>0</v>
      </c>
      <c r="DC11" s="883">
        <f t="shared" ca="1" si="15"/>
        <v>0</v>
      </c>
      <c r="DD11" s="883">
        <f t="shared" ca="1" si="15"/>
        <v>0</v>
      </c>
      <c r="DE11" s="883">
        <f t="shared" ca="1" si="15"/>
        <v>0</v>
      </c>
      <c r="DF11" s="883">
        <f t="shared" ca="1" si="15"/>
        <v>0</v>
      </c>
      <c r="DG11" s="883">
        <f t="shared" ca="1" si="15"/>
        <v>0</v>
      </c>
      <c r="DH11" s="883">
        <f t="shared" ca="1" si="15"/>
        <v>0</v>
      </c>
      <c r="DI11" s="883">
        <f t="shared" ca="1" si="15"/>
        <v>0</v>
      </c>
      <c r="DJ11" s="883">
        <f t="shared" ca="1" si="15"/>
        <v>0</v>
      </c>
      <c r="DK11" s="883">
        <f t="shared" ca="1" si="15"/>
        <v>0</v>
      </c>
      <c r="DL11" s="883">
        <f t="shared" ca="1" si="15"/>
        <v>0</v>
      </c>
      <c r="DM11" s="883">
        <f t="shared" ca="1" si="15"/>
        <v>0</v>
      </c>
      <c r="DN11" s="883">
        <f t="shared" ca="1" si="15"/>
        <v>0</v>
      </c>
      <c r="DO11" s="883">
        <f t="shared" ref="DO11:ED26" ca="1" si="16">IFERROR(IF(YEAR($W11)&lt;DO$4,0,IF(YEAR($W11)=DO$4,IF($P11="美國國庫債券",ROUND(DATEDIF($U11,$W11,"M")/(12/$Y11),0)+1,DATEDIF($U11,$W11,"M")/(12/$Y11)+1),INT(DATEDIF($U11,DO$5,"M")/(12/$Y11))+1)),0)</f>
        <v>0</v>
      </c>
      <c r="DP11" s="883">
        <f t="shared" ca="1" si="16"/>
        <v>0</v>
      </c>
      <c r="DQ11" s="883">
        <f t="shared" ca="1" si="16"/>
        <v>0</v>
      </c>
      <c r="DR11" s="883">
        <f t="shared" ca="1" si="16"/>
        <v>0</v>
      </c>
      <c r="DS11" s="883">
        <f t="shared" ca="1" si="16"/>
        <v>0</v>
      </c>
      <c r="DT11" s="883">
        <f t="shared" ca="1" si="16"/>
        <v>0</v>
      </c>
      <c r="DU11" s="883">
        <f t="shared" ca="1" si="16"/>
        <v>0</v>
      </c>
      <c r="DV11" s="883">
        <f t="shared" ca="1" si="16"/>
        <v>0</v>
      </c>
      <c r="DW11" s="883">
        <f t="shared" ca="1" si="16"/>
        <v>0</v>
      </c>
      <c r="DX11" s="883">
        <f t="shared" ca="1" si="16"/>
        <v>0</v>
      </c>
      <c r="DY11" s="883">
        <f t="shared" ca="1" si="16"/>
        <v>0</v>
      </c>
      <c r="DZ11" s="883">
        <f t="shared" ca="1" si="16"/>
        <v>0</v>
      </c>
      <c r="EA11" s="883">
        <f t="shared" ca="1" si="16"/>
        <v>0</v>
      </c>
      <c r="EB11" s="883">
        <f t="shared" ca="1" si="16"/>
        <v>0</v>
      </c>
      <c r="EC11" s="883">
        <f t="shared" ca="1" si="16"/>
        <v>0</v>
      </c>
      <c r="ED11" s="883">
        <f t="shared" ca="1" si="16"/>
        <v>0</v>
      </c>
      <c r="EE11" s="883">
        <f t="shared" ref="EE11:ET26" ca="1" si="17">IFERROR(IF(YEAR($W11)&lt;EE$4,0,IF(YEAR($W11)=EE$4,IF($P11="美國國庫債券",ROUND(DATEDIF($U11,$W11,"M")/(12/$Y11),0)+1,DATEDIF($U11,$W11,"M")/(12/$Y11)+1),INT(DATEDIF($U11,EE$5,"M")/(12/$Y11))+1)),0)</f>
        <v>0</v>
      </c>
      <c r="EF11" s="883">
        <f t="shared" ca="1" si="17"/>
        <v>0</v>
      </c>
      <c r="EG11" s="883">
        <f t="shared" ca="1" si="17"/>
        <v>0</v>
      </c>
      <c r="EH11" s="883">
        <f t="shared" ca="1" si="17"/>
        <v>0</v>
      </c>
      <c r="EI11" s="883">
        <f t="shared" ca="1" si="17"/>
        <v>0</v>
      </c>
      <c r="EJ11" s="883">
        <f t="shared" ca="1" si="17"/>
        <v>0</v>
      </c>
      <c r="EK11" s="883">
        <f t="shared" ca="1" si="17"/>
        <v>0</v>
      </c>
      <c r="EL11" s="883">
        <f t="shared" ca="1" si="17"/>
        <v>0</v>
      </c>
      <c r="EM11" s="883">
        <f t="shared" ca="1" si="17"/>
        <v>0</v>
      </c>
      <c r="EN11" s="883">
        <f t="shared" ca="1" si="17"/>
        <v>0</v>
      </c>
      <c r="EO11" s="883">
        <f t="shared" ca="1" si="17"/>
        <v>0</v>
      </c>
      <c r="EP11" s="883">
        <f t="shared" ca="1" si="17"/>
        <v>0</v>
      </c>
      <c r="EQ11" s="883">
        <f t="shared" ca="1" si="17"/>
        <v>0</v>
      </c>
      <c r="ER11" s="883">
        <f t="shared" ca="1" si="17"/>
        <v>0</v>
      </c>
      <c r="ES11" s="883">
        <f t="shared" ca="1" si="17"/>
        <v>0</v>
      </c>
      <c r="ET11" s="883">
        <f t="shared" ca="1" si="17"/>
        <v>0</v>
      </c>
      <c r="EU11" s="883">
        <f t="shared" ref="EU11:FA26" ca="1" si="18">IFERROR(IF(YEAR($W11)&lt;EU$4,0,IF(YEAR($W11)=EU$4,IF($P11="美國國庫債券",ROUND(DATEDIF($U11,$W11,"M")/(12/$Y11),0)+1,DATEDIF($U11,$W11,"M")/(12/$Y11)+1),INT(DATEDIF($U11,EU$5,"M")/(12/$Y11))+1)),0)</f>
        <v>0</v>
      </c>
      <c r="EV11" s="883">
        <f t="shared" ca="1" si="18"/>
        <v>0</v>
      </c>
      <c r="EW11" s="883">
        <f t="shared" ca="1" si="18"/>
        <v>0</v>
      </c>
      <c r="EX11" s="883">
        <f t="shared" ca="1" si="18"/>
        <v>0</v>
      </c>
      <c r="EY11" s="883">
        <f t="shared" ca="1" si="18"/>
        <v>0</v>
      </c>
      <c r="EZ11" s="883">
        <f t="shared" ca="1" si="18"/>
        <v>0</v>
      </c>
      <c r="FA11" s="883">
        <f t="shared" ca="1" si="18"/>
        <v>0</v>
      </c>
    </row>
    <row r="12" spans="1:157">
      <c r="A12" s="1525">
        <f ca="1">C12-H12</f>
        <v>0</v>
      </c>
      <c r="B12" s="890">
        <f ca="1">IF(H12=0,"",C12)</f>
        <v>2024</v>
      </c>
      <c r="C12" s="1055">
        <f ca="1">IF(A2=0,"",AD4)</f>
        <v>2024</v>
      </c>
      <c r="D12" s="1244">
        <f ca="1">IF(C12=0,"",IFERROR(VLOOKUP($C12,H:$K,$C$6,FALSE),""))</f>
        <v>8212.5</v>
      </c>
      <c r="E12" s="1248">
        <f ca="1">IFERROR(IF($A12=1,VLOOKUP($C12,$H:L,$D$6,FALSE),SUMIF($H:$H,"&lt;="&amp;$C12,IF($A$6=1,L:L,J:J))),"")</f>
        <v>0</v>
      </c>
      <c r="F12" s="1245">
        <f ca="1">IF(B12="","",D12+E12)</f>
        <v>8212.5</v>
      </c>
      <c r="G12" s="944">
        <f ca="1">IF(B12="","",F12/$E$4)</f>
        <v>2.473644578313253E-2</v>
      </c>
      <c r="H12" s="892">
        <f ca="1">AD4</f>
        <v>2024</v>
      </c>
      <c r="I12" s="1206">
        <f ca="1">MAX(INDEX($AD$2:$FA$2,1,MATCH(H12,$AD$4:$FA$4,0)),0)</f>
        <v>8212.5</v>
      </c>
      <c r="J12" s="1206">
        <f ca="1">SUMIFS($R$7:$R$42,$T$7:$T$42,$H12)</f>
        <v>0</v>
      </c>
      <c r="K12" s="929" t="str">
        <f>IF($B$6=0,"",MAX(INDEX($AD$60:$FA$60,1,MATCH(H12,$AD$4:$FA$4,0)),0))</f>
        <v/>
      </c>
      <c r="L12" s="929" t="str">
        <f>IF($B$6=0,"",SUMIFS($R$65:$R$106,$T$65:$T$106,$H12))</f>
        <v/>
      </c>
      <c r="N12" s="1714">
        <v>6</v>
      </c>
      <c r="O12" s="1789" t="b">
        <f ca="1">庫存管理[[#This Row],[檢測]]</f>
        <v>0</v>
      </c>
      <c r="P12" s="882" t="e">
        <f ca="1">VLOOKUP(Q12,bond!B:AA,26,FALSE)</f>
        <v>#N/A</v>
      </c>
      <c r="Q12" s="883" t="str">
        <f ca="1">庫存管理[[#This Row],[商品代號]]</f>
        <v/>
      </c>
      <c r="R12" s="889">
        <f ca="1">IF(O12=TRUE,IFERROR(IF($D$4=1,庫存管理[[#This Row],[投入面額]]*庫存管理[[#This Row],[換算匯率(現)]],庫存管理[[#This Row],[投入面額]]),0),0)</f>
        <v>0</v>
      </c>
      <c r="S12" s="885" t="e">
        <f ca="1">庫存管理[[#This Row],[到期日]]</f>
        <v>#N/A</v>
      </c>
      <c r="T12" s="883">
        <f t="shared" ca="1" si="9"/>
        <v>0</v>
      </c>
      <c r="U12" s="885" t="str">
        <f ca="1">庫存管理[[#This Row],[下一配息日]]</f>
        <v/>
      </c>
      <c r="V12" s="886" t="str">
        <f t="shared" ca="1" si="10"/>
        <v/>
      </c>
      <c r="W12" s="885" t="e">
        <f ca="1">庫存管理[[#This Row],[到期日]]</f>
        <v>#N/A</v>
      </c>
      <c r="X12" s="886" t="str">
        <f t="shared" ca="1" si="11"/>
        <v/>
      </c>
      <c r="Y12" s="883" t="str">
        <f ca="1">庫存管理[[#This Row],[配息頻率]]</f>
        <v/>
      </c>
      <c r="Z12" s="883" t="str">
        <f>庫存管理[[#This Row],[投入面額]]</f>
        <v/>
      </c>
      <c r="AA12" s="909">
        <f ca="1">庫存管理[[#This Row],[票面利率]]</f>
        <v>0</v>
      </c>
      <c r="AB12" s="908">
        <f ca="1">庫存管理[[#This Row],[換算匯率(現)]]</f>
        <v>0</v>
      </c>
      <c r="AC12" s="887">
        <f t="shared" ca="1" si="12"/>
        <v>0</v>
      </c>
      <c r="AD12" s="883">
        <f t="shared" ca="1" si="13"/>
        <v>0</v>
      </c>
      <c r="AE12" s="883">
        <f t="shared" ca="1" si="6"/>
        <v>0</v>
      </c>
      <c r="AF12" s="883">
        <f t="shared" ca="1" si="14"/>
        <v>0</v>
      </c>
      <c r="AG12" s="883">
        <f t="shared" ca="1" si="14"/>
        <v>0</v>
      </c>
      <c r="AH12" s="883">
        <f t="shared" ca="1" si="14"/>
        <v>0</v>
      </c>
      <c r="AI12" s="883">
        <f t="shared" ca="1" si="14"/>
        <v>0</v>
      </c>
      <c r="AJ12" s="883">
        <f t="shared" ca="1" si="14"/>
        <v>0</v>
      </c>
      <c r="AK12" s="883">
        <f t="shared" ca="1" si="14"/>
        <v>0</v>
      </c>
      <c r="AL12" s="883">
        <f t="shared" ca="1" si="14"/>
        <v>0</v>
      </c>
      <c r="AM12" s="883">
        <f t="shared" ca="1" si="14"/>
        <v>0</v>
      </c>
      <c r="AN12" s="883">
        <f t="shared" ca="1" si="14"/>
        <v>0</v>
      </c>
      <c r="AO12" s="883">
        <f t="shared" ca="1" si="14"/>
        <v>0</v>
      </c>
      <c r="AP12" s="883">
        <f t="shared" ca="1" si="14"/>
        <v>0</v>
      </c>
      <c r="AQ12" s="883">
        <f t="shared" ca="1" si="14"/>
        <v>0</v>
      </c>
      <c r="AR12" s="883">
        <f t="shared" ca="1" si="14"/>
        <v>0</v>
      </c>
      <c r="AS12" s="883">
        <f t="shared" ca="1" si="14"/>
        <v>0</v>
      </c>
      <c r="AT12" s="883">
        <f t="shared" ca="1" si="14"/>
        <v>0</v>
      </c>
      <c r="AU12" s="883">
        <f t="shared" ca="1" si="14"/>
        <v>0</v>
      </c>
      <c r="AV12" s="883">
        <f t="shared" ca="1" si="14"/>
        <v>0</v>
      </c>
      <c r="AW12" s="883">
        <f t="shared" ca="1" si="14"/>
        <v>0</v>
      </c>
      <c r="AX12" s="883">
        <f t="shared" ca="1" si="14"/>
        <v>0</v>
      </c>
      <c r="AY12" s="883">
        <f t="shared" ca="1" si="14"/>
        <v>0</v>
      </c>
      <c r="AZ12" s="883">
        <f t="shared" ca="1" si="14"/>
        <v>0</v>
      </c>
      <c r="BA12" s="883">
        <f t="shared" ca="1" si="14"/>
        <v>0</v>
      </c>
      <c r="BB12" s="883">
        <f t="shared" ca="1" si="14"/>
        <v>0</v>
      </c>
      <c r="BC12" s="883">
        <f t="shared" ca="1" si="14"/>
        <v>0</v>
      </c>
      <c r="BD12" s="883">
        <f t="shared" ca="1" si="14"/>
        <v>0</v>
      </c>
      <c r="BE12" s="883">
        <f t="shared" ca="1" si="14"/>
        <v>0</v>
      </c>
      <c r="BF12" s="883">
        <f t="shared" ca="1" si="14"/>
        <v>0</v>
      </c>
      <c r="BG12" s="883">
        <f t="shared" ca="1" si="14"/>
        <v>0</v>
      </c>
      <c r="BH12" s="883">
        <f t="shared" ca="1" si="14"/>
        <v>0</v>
      </c>
      <c r="BI12" s="883">
        <f t="shared" ca="1" si="14"/>
        <v>0</v>
      </c>
      <c r="BJ12" s="883">
        <f t="shared" ca="1" si="14"/>
        <v>0</v>
      </c>
      <c r="BK12" s="883">
        <f t="shared" ca="1" si="14"/>
        <v>0</v>
      </c>
      <c r="BL12" s="883">
        <f t="shared" ca="1" si="14"/>
        <v>0</v>
      </c>
      <c r="BM12" s="883">
        <f t="shared" ca="1" si="14"/>
        <v>0</v>
      </c>
      <c r="BN12" s="883">
        <f t="shared" ca="1" si="14"/>
        <v>0</v>
      </c>
      <c r="BO12" s="883">
        <f t="shared" ca="1" si="14"/>
        <v>0</v>
      </c>
      <c r="BP12" s="883">
        <f t="shared" ca="1" si="14"/>
        <v>0</v>
      </c>
      <c r="BQ12" s="883">
        <f t="shared" ca="1" si="14"/>
        <v>0</v>
      </c>
      <c r="BR12" s="883">
        <f t="shared" ca="1" si="14"/>
        <v>0</v>
      </c>
      <c r="BS12" s="883">
        <f t="shared" ca="1" si="14"/>
        <v>0</v>
      </c>
      <c r="BT12" s="883">
        <f t="shared" ca="1" si="14"/>
        <v>0</v>
      </c>
      <c r="BU12" s="883">
        <f t="shared" ca="1" si="14"/>
        <v>0</v>
      </c>
      <c r="BV12" s="883">
        <f t="shared" ca="1" si="14"/>
        <v>0</v>
      </c>
      <c r="BW12" s="883">
        <f t="shared" ca="1" si="14"/>
        <v>0</v>
      </c>
      <c r="BX12" s="883">
        <f t="shared" ca="1" si="14"/>
        <v>0</v>
      </c>
      <c r="BY12" s="883">
        <f t="shared" ca="1" si="14"/>
        <v>0</v>
      </c>
      <c r="BZ12" s="883">
        <f t="shared" ca="1" si="14"/>
        <v>0</v>
      </c>
      <c r="CA12" s="883">
        <f t="shared" ca="1" si="14"/>
        <v>0</v>
      </c>
      <c r="CB12" s="883">
        <f t="shared" ca="1" si="14"/>
        <v>0</v>
      </c>
      <c r="CC12" s="883">
        <f t="shared" ca="1" si="14"/>
        <v>0</v>
      </c>
      <c r="CD12" s="883">
        <f t="shared" ca="1" si="14"/>
        <v>0</v>
      </c>
      <c r="CE12" s="883">
        <f t="shared" ca="1" si="14"/>
        <v>0</v>
      </c>
      <c r="CF12" s="883">
        <f t="shared" ca="1" si="14"/>
        <v>0</v>
      </c>
      <c r="CG12" s="883">
        <f t="shared" ca="1" si="14"/>
        <v>0</v>
      </c>
      <c r="CH12" s="883">
        <f t="shared" ca="1" si="14"/>
        <v>0</v>
      </c>
      <c r="CI12" s="883">
        <f t="shared" ca="1" si="14"/>
        <v>0</v>
      </c>
      <c r="CJ12" s="883">
        <f t="shared" ca="1" si="14"/>
        <v>0</v>
      </c>
      <c r="CK12" s="883">
        <f t="shared" ca="1" si="14"/>
        <v>0</v>
      </c>
      <c r="CL12" s="883">
        <f t="shared" ca="1" si="14"/>
        <v>0</v>
      </c>
      <c r="CM12" s="883">
        <f t="shared" ca="1" si="14"/>
        <v>0</v>
      </c>
      <c r="CN12" s="883">
        <f t="shared" ca="1" si="14"/>
        <v>0</v>
      </c>
      <c r="CO12" s="883">
        <f t="shared" ca="1" si="14"/>
        <v>0</v>
      </c>
      <c r="CP12" s="883">
        <f t="shared" ca="1" si="14"/>
        <v>0</v>
      </c>
      <c r="CQ12" s="883">
        <f t="shared" ca="1" si="14"/>
        <v>0</v>
      </c>
      <c r="CR12" s="883">
        <f t="shared" ref="CR12:DG27" ca="1" si="19">IFERROR(IF(YEAR($W12)&lt;CR$4,0,IF(YEAR($W12)=CR$4,IF($P12="美國國庫債券",ROUND(DATEDIF($U12,$W12,"M")/(12/$Y12),0)+1,DATEDIF($U12,$W12,"M")/(12/$Y12)+1),INT(DATEDIF($U12,CR$5,"M")/(12/$Y12))+1)),0)</f>
        <v>0</v>
      </c>
      <c r="CS12" s="883">
        <f t="shared" ca="1" si="19"/>
        <v>0</v>
      </c>
      <c r="CT12" s="883">
        <f t="shared" ca="1" si="19"/>
        <v>0</v>
      </c>
      <c r="CU12" s="883">
        <f t="shared" ca="1" si="19"/>
        <v>0</v>
      </c>
      <c r="CV12" s="883">
        <f t="shared" ca="1" si="19"/>
        <v>0</v>
      </c>
      <c r="CW12" s="883">
        <f t="shared" ca="1" si="19"/>
        <v>0</v>
      </c>
      <c r="CX12" s="883">
        <f t="shared" ca="1" si="19"/>
        <v>0</v>
      </c>
      <c r="CY12" s="883">
        <f t="shared" ca="1" si="19"/>
        <v>0</v>
      </c>
      <c r="CZ12" s="883">
        <f t="shared" ca="1" si="19"/>
        <v>0</v>
      </c>
      <c r="DA12" s="883">
        <f t="shared" ca="1" si="19"/>
        <v>0</v>
      </c>
      <c r="DB12" s="883">
        <f t="shared" ca="1" si="19"/>
        <v>0</v>
      </c>
      <c r="DC12" s="883">
        <f t="shared" ca="1" si="19"/>
        <v>0</v>
      </c>
      <c r="DD12" s="883">
        <f t="shared" ca="1" si="19"/>
        <v>0</v>
      </c>
      <c r="DE12" s="883">
        <f t="shared" ca="1" si="19"/>
        <v>0</v>
      </c>
      <c r="DF12" s="883">
        <f t="shared" ca="1" si="19"/>
        <v>0</v>
      </c>
      <c r="DG12" s="883">
        <f t="shared" ca="1" si="19"/>
        <v>0</v>
      </c>
      <c r="DH12" s="883">
        <f t="shared" ca="1" si="15"/>
        <v>0</v>
      </c>
      <c r="DI12" s="883">
        <f t="shared" ca="1" si="15"/>
        <v>0</v>
      </c>
      <c r="DJ12" s="883">
        <f t="shared" ca="1" si="15"/>
        <v>0</v>
      </c>
      <c r="DK12" s="883">
        <f t="shared" ca="1" si="15"/>
        <v>0</v>
      </c>
      <c r="DL12" s="883">
        <f t="shared" ca="1" si="15"/>
        <v>0</v>
      </c>
      <c r="DM12" s="883">
        <f t="shared" ca="1" si="15"/>
        <v>0</v>
      </c>
      <c r="DN12" s="883">
        <f t="shared" ca="1" si="15"/>
        <v>0</v>
      </c>
      <c r="DO12" s="883">
        <f t="shared" ca="1" si="16"/>
        <v>0</v>
      </c>
      <c r="DP12" s="883">
        <f t="shared" ca="1" si="16"/>
        <v>0</v>
      </c>
      <c r="DQ12" s="883">
        <f t="shared" ca="1" si="16"/>
        <v>0</v>
      </c>
      <c r="DR12" s="883">
        <f t="shared" ca="1" si="16"/>
        <v>0</v>
      </c>
      <c r="DS12" s="883">
        <f t="shared" ca="1" si="16"/>
        <v>0</v>
      </c>
      <c r="DT12" s="883">
        <f t="shared" ca="1" si="16"/>
        <v>0</v>
      </c>
      <c r="DU12" s="883">
        <f t="shared" ca="1" si="16"/>
        <v>0</v>
      </c>
      <c r="DV12" s="883">
        <f t="shared" ca="1" si="16"/>
        <v>0</v>
      </c>
      <c r="DW12" s="883">
        <f t="shared" ca="1" si="16"/>
        <v>0</v>
      </c>
      <c r="DX12" s="883">
        <f t="shared" ca="1" si="16"/>
        <v>0</v>
      </c>
      <c r="DY12" s="883">
        <f t="shared" ca="1" si="16"/>
        <v>0</v>
      </c>
      <c r="DZ12" s="883">
        <f t="shared" ca="1" si="16"/>
        <v>0</v>
      </c>
      <c r="EA12" s="883">
        <f t="shared" ca="1" si="16"/>
        <v>0</v>
      </c>
      <c r="EB12" s="883">
        <f t="shared" ca="1" si="16"/>
        <v>0</v>
      </c>
      <c r="EC12" s="883">
        <f t="shared" ca="1" si="16"/>
        <v>0</v>
      </c>
      <c r="ED12" s="883">
        <f t="shared" ca="1" si="16"/>
        <v>0</v>
      </c>
      <c r="EE12" s="883">
        <f t="shared" ca="1" si="17"/>
        <v>0</v>
      </c>
      <c r="EF12" s="883">
        <f t="shared" ca="1" si="17"/>
        <v>0</v>
      </c>
      <c r="EG12" s="883">
        <f t="shared" ca="1" si="17"/>
        <v>0</v>
      </c>
      <c r="EH12" s="883">
        <f t="shared" ca="1" si="17"/>
        <v>0</v>
      </c>
      <c r="EI12" s="883">
        <f t="shared" ca="1" si="17"/>
        <v>0</v>
      </c>
      <c r="EJ12" s="883">
        <f t="shared" ca="1" si="17"/>
        <v>0</v>
      </c>
      <c r="EK12" s="883">
        <f t="shared" ca="1" si="17"/>
        <v>0</v>
      </c>
      <c r="EL12" s="883">
        <f t="shared" ca="1" si="17"/>
        <v>0</v>
      </c>
      <c r="EM12" s="883">
        <f t="shared" ca="1" si="17"/>
        <v>0</v>
      </c>
      <c r="EN12" s="883">
        <f t="shared" ca="1" si="17"/>
        <v>0</v>
      </c>
      <c r="EO12" s="883">
        <f t="shared" ca="1" si="17"/>
        <v>0</v>
      </c>
      <c r="EP12" s="883">
        <f t="shared" ca="1" si="17"/>
        <v>0</v>
      </c>
      <c r="EQ12" s="883">
        <f t="shared" ca="1" si="17"/>
        <v>0</v>
      </c>
      <c r="ER12" s="883">
        <f t="shared" ca="1" si="17"/>
        <v>0</v>
      </c>
      <c r="ES12" s="883">
        <f t="shared" ca="1" si="17"/>
        <v>0</v>
      </c>
      <c r="ET12" s="883">
        <f t="shared" ca="1" si="17"/>
        <v>0</v>
      </c>
      <c r="EU12" s="883">
        <f t="shared" ca="1" si="18"/>
        <v>0</v>
      </c>
      <c r="EV12" s="883">
        <f t="shared" ca="1" si="18"/>
        <v>0</v>
      </c>
      <c r="EW12" s="883">
        <f t="shared" ca="1" si="18"/>
        <v>0</v>
      </c>
      <c r="EX12" s="883">
        <f t="shared" ca="1" si="18"/>
        <v>0</v>
      </c>
      <c r="EY12" s="883">
        <f t="shared" ca="1" si="18"/>
        <v>0</v>
      </c>
      <c r="EZ12" s="883">
        <f t="shared" ca="1" si="18"/>
        <v>0</v>
      </c>
      <c r="FA12" s="883">
        <f t="shared" ca="1" si="18"/>
        <v>0</v>
      </c>
    </row>
    <row r="13" spans="1:157">
      <c r="A13" s="1526">
        <f t="shared" ref="A13:A22" ca="1" si="20">C13-C12</f>
        <v>1</v>
      </c>
      <c r="B13" s="906">
        <f ca="1">IF(B12="","",IF(C13&gt;$B$2,"",C13))</f>
        <v>2025</v>
      </c>
      <c r="C13" s="907">
        <f ca="1">C12+1</f>
        <v>2025</v>
      </c>
      <c r="D13" s="1244">
        <f ca="1">IFERROR(VLOOKUP($C13,H:$K,$C$6,FALSE),"")</f>
        <v>16425</v>
      </c>
      <c r="E13" s="1248">
        <f ca="1">IFERROR(IF($A13=1,VLOOKUP($C13,$H:L,$D$6,FALSE),SUMIF($H:$H,"&lt;="&amp;$C13,IF($A$6=1,L:L,J:J))),"")</f>
        <v>0</v>
      </c>
      <c r="F13" s="1245">
        <f t="shared" ref="F13:F23" ca="1" si="21">IF(B13="","",D13+E13+F12)</f>
        <v>24637.5</v>
      </c>
      <c r="G13" s="944">
        <f t="shared" ref="G13:G23" ca="1" si="22">IF(B13="","",F13/$E$4)</f>
        <v>7.4209337349397594E-2</v>
      </c>
      <c r="H13" s="891">
        <f ca="1">IF(H12&lt;$B$2,H12+1,"")</f>
        <v>2025</v>
      </c>
      <c r="I13" s="1206">
        <f ca="1">MAX(INDEX($AD$2:$FA$2,1,MATCH(H13,$AD$4:$FA$4,0)),0)</f>
        <v>16425</v>
      </c>
      <c r="J13" s="1206">
        <f t="shared" ref="J13:J43" ca="1" si="23">SUMIFS($R$7:$R$42,$T$7:$T$42,$H13)</f>
        <v>0</v>
      </c>
      <c r="K13" s="929" t="str">
        <f>IF($B$6=0,"",MAX(INDEX($AD$60:$FA$60,1,MATCH(H13,$AD$4:$FA$4,0)),0))</f>
        <v/>
      </c>
      <c r="L13" s="929" t="str">
        <f t="shared" ref="L13:L76" si="24">IF($B$6=0,"",SUMIFS($R$65:$R$106,$T$65:$T$106,$H13))</f>
        <v/>
      </c>
      <c r="N13" s="1714">
        <v>7</v>
      </c>
      <c r="O13" s="1789" t="b">
        <f ca="1">庫存管理[[#This Row],[檢測]]</f>
        <v>0</v>
      </c>
      <c r="P13" s="882" t="e">
        <f ca="1">VLOOKUP(Q13,bond!B:AA,26,FALSE)</f>
        <v>#N/A</v>
      </c>
      <c r="Q13" s="883" t="str">
        <f ca="1">庫存管理[[#This Row],[商品代號]]</f>
        <v/>
      </c>
      <c r="R13" s="889">
        <f ca="1">IF(O13=TRUE,IFERROR(IF($D$4=1,庫存管理[[#This Row],[投入面額]]*庫存管理[[#This Row],[換算匯率(現)]],庫存管理[[#This Row],[投入面額]]),0),0)</f>
        <v>0</v>
      </c>
      <c r="S13" s="885" t="e">
        <f ca="1">庫存管理[[#This Row],[到期日]]</f>
        <v>#N/A</v>
      </c>
      <c r="T13" s="883">
        <f t="shared" ca="1" si="9"/>
        <v>0</v>
      </c>
      <c r="U13" s="885" t="str">
        <f ca="1">庫存管理[[#This Row],[下一配息日]]</f>
        <v/>
      </c>
      <c r="V13" s="886" t="str">
        <f t="shared" ca="1" si="10"/>
        <v/>
      </c>
      <c r="W13" s="885" t="e">
        <f ca="1">庫存管理[[#This Row],[到期日]]</f>
        <v>#N/A</v>
      </c>
      <c r="X13" s="886" t="str">
        <f t="shared" ca="1" si="11"/>
        <v/>
      </c>
      <c r="Y13" s="883" t="str">
        <f ca="1">庫存管理[[#This Row],[配息頻率]]</f>
        <v/>
      </c>
      <c r="Z13" s="883" t="str">
        <f>庫存管理[[#This Row],[投入面額]]</f>
        <v/>
      </c>
      <c r="AA13" s="909">
        <f ca="1">庫存管理[[#This Row],[票面利率]]</f>
        <v>0</v>
      </c>
      <c r="AB13" s="908">
        <f ca="1">庫存管理[[#This Row],[換算匯率(現)]]</f>
        <v>0</v>
      </c>
      <c r="AC13" s="887">
        <f t="shared" ca="1" si="12"/>
        <v>0</v>
      </c>
      <c r="AD13" s="883">
        <f t="shared" ca="1" si="13"/>
        <v>0</v>
      </c>
      <c r="AE13" s="883">
        <f t="shared" ref="AE13:AN15" ca="1" si="25">IFERROR(IF(YEAR($W13)&lt;AE$4,0,IF(YEAR($W13)=AE$4,IF($P13="美國國庫債券",ROUND(DATEDIF($U13,$W13,"M")/(12/$Y13),0)+1,DATEDIF($U13,$W13,"M")/(12/$Y13)+1),INT(DATEDIF($U13,AE$5,"M")/(12/$Y13))+1)),0)</f>
        <v>0</v>
      </c>
      <c r="AF13" s="883">
        <f t="shared" ca="1" si="25"/>
        <v>0</v>
      </c>
      <c r="AG13" s="883">
        <f t="shared" ca="1" si="25"/>
        <v>0</v>
      </c>
      <c r="AH13" s="883">
        <f t="shared" ca="1" si="25"/>
        <v>0</v>
      </c>
      <c r="AI13" s="883">
        <f t="shared" ca="1" si="25"/>
        <v>0</v>
      </c>
      <c r="AJ13" s="883">
        <f t="shared" ca="1" si="25"/>
        <v>0</v>
      </c>
      <c r="AK13" s="883">
        <f t="shared" ca="1" si="25"/>
        <v>0</v>
      </c>
      <c r="AL13" s="883">
        <f t="shared" ca="1" si="25"/>
        <v>0</v>
      </c>
      <c r="AM13" s="883">
        <f t="shared" ca="1" si="25"/>
        <v>0</v>
      </c>
      <c r="AN13" s="883">
        <f t="shared" ca="1" si="25"/>
        <v>0</v>
      </c>
      <c r="AO13" s="883">
        <f t="shared" ref="AO13:AX15" ca="1" si="26">IFERROR(IF(YEAR($W13)&lt;AO$4,0,IF(YEAR($W13)=AO$4,IF($P13="美國國庫債券",ROUND(DATEDIF($U13,$W13,"M")/(12/$Y13),0)+1,DATEDIF($U13,$W13,"M")/(12/$Y13)+1),INT(DATEDIF($U13,AO$5,"M")/(12/$Y13))+1)),0)</f>
        <v>0</v>
      </c>
      <c r="AP13" s="883">
        <f t="shared" ca="1" si="26"/>
        <v>0</v>
      </c>
      <c r="AQ13" s="883">
        <f t="shared" ca="1" si="26"/>
        <v>0</v>
      </c>
      <c r="AR13" s="883">
        <f t="shared" ca="1" si="26"/>
        <v>0</v>
      </c>
      <c r="AS13" s="883">
        <f t="shared" ca="1" si="26"/>
        <v>0</v>
      </c>
      <c r="AT13" s="883">
        <f t="shared" ca="1" si="26"/>
        <v>0</v>
      </c>
      <c r="AU13" s="883">
        <f t="shared" ca="1" si="26"/>
        <v>0</v>
      </c>
      <c r="AV13" s="883">
        <f t="shared" ca="1" si="26"/>
        <v>0</v>
      </c>
      <c r="AW13" s="883">
        <f t="shared" ca="1" si="26"/>
        <v>0</v>
      </c>
      <c r="AX13" s="883">
        <f t="shared" ca="1" si="26"/>
        <v>0</v>
      </c>
      <c r="AY13" s="883">
        <f t="shared" ref="AY13:BH15" ca="1" si="27">IFERROR(IF(YEAR($W13)&lt;AY$4,0,IF(YEAR($W13)=AY$4,IF($P13="美國國庫債券",ROUND(DATEDIF($U13,$W13,"M")/(12/$Y13),0)+1,DATEDIF($U13,$W13,"M")/(12/$Y13)+1),INT(DATEDIF($U13,AY$5,"M")/(12/$Y13))+1)),0)</f>
        <v>0</v>
      </c>
      <c r="AZ13" s="883">
        <f t="shared" ca="1" si="27"/>
        <v>0</v>
      </c>
      <c r="BA13" s="883">
        <f t="shared" ca="1" si="27"/>
        <v>0</v>
      </c>
      <c r="BB13" s="883">
        <f t="shared" ca="1" si="27"/>
        <v>0</v>
      </c>
      <c r="BC13" s="883">
        <f t="shared" ca="1" si="27"/>
        <v>0</v>
      </c>
      <c r="BD13" s="883">
        <f t="shared" ca="1" si="27"/>
        <v>0</v>
      </c>
      <c r="BE13" s="883">
        <f t="shared" ca="1" si="27"/>
        <v>0</v>
      </c>
      <c r="BF13" s="883">
        <f t="shared" ca="1" si="27"/>
        <v>0</v>
      </c>
      <c r="BG13" s="883">
        <f t="shared" ca="1" si="27"/>
        <v>0</v>
      </c>
      <c r="BH13" s="883">
        <f t="shared" ca="1" si="27"/>
        <v>0</v>
      </c>
      <c r="BI13" s="883">
        <f t="shared" ref="BI13:BR15" ca="1" si="28">IFERROR(IF(YEAR($W13)&lt;BI$4,0,IF(YEAR($W13)=BI$4,IF($P13="美國國庫債券",ROUND(DATEDIF($U13,$W13,"M")/(12/$Y13),0)+1,DATEDIF($U13,$W13,"M")/(12/$Y13)+1),INT(DATEDIF($U13,BI$5,"M")/(12/$Y13))+1)),0)</f>
        <v>0</v>
      </c>
      <c r="BJ13" s="883">
        <f t="shared" ca="1" si="28"/>
        <v>0</v>
      </c>
      <c r="BK13" s="883">
        <f t="shared" ca="1" si="28"/>
        <v>0</v>
      </c>
      <c r="BL13" s="883">
        <f t="shared" ca="1" si="28"/>
        <v>0</v>
      </c>
      <c r="BM13" s="883">
        <f t="shared" ca="1" si="28"/>
        <v>0</v>
      </c>
      <c r="BN13" s="883">
        <f t="shared" ca="1" si="28"/>
        <v>0</v>
      </c>
      <c r="BO13" s="883">
        <f t="shared" ca="1" si="28"/>
        <v>0</v>
      </c>
      <c r="BP13" s="883">
        <f t="shared" ca="1" si="28"/>
        <v>0</v>
      </c>
      <c r="BQ13" s="883">
        <f t="shared" ca="1" si="28"/>
        <v>0</v>
      </c>
      <c r="BR13" s="883">
        <f t="shared" ca="1" si="28"/>
        <v>0</v>
      </c>
      <c r="BS13" s="883">
        <f t="shared" ref="BS13:CB15" ca="1" si="29">IFERROR(IF(YEAR($W13)&lt;BS$4,0,IF(YEAR($W13)=BS$4,IF($P13="美國國庫債券",ROUND(DATEDIF($U13,$W13,"M")/(12/$Y13),0)+1,DATEDIF($U13,$W13,"M")/(12/$Y13)+1),INT(DATEDIF($U13,BS$5,"M")/(12/$Y13))+1)),0)</f>
        <v>0</v>
      </c>
      <c r="BT13" s="883">
        <f t="shared" ca="1" si="29"/>
        <v>0</v>
      </c>
      <c r="BU13" s="883">
        <f t="shared" ca="1" si="29"/>
        <v>0</v>
      </c>
      <c r="BV13" s="883">
        <f t="shared" ca="1" si="29"/>
        <v>0</v>
      </c>
      <c r="BW13" s="883">
        <f t="shared" ca="1" si="29"/>
        <v>0</v>
      </c>
      <c r="BX13" s="883">
        <f t="shared" ca="1" si="29"/>
        <v>0</v>
      </c>
      <c r="BY13" s="883">
        <f t="shared" ca="1" si="29"/>
        <v>0</v>
      </c>
      <c r="BZ13" s="883">
        <f t="shared" ca="1" si="29"/>
        <v>0</v>
      </c>
      <c r="CA13" s="883">
        <f t="shared" ca="1" si="29"/>
        <v>0</v>
      </c>
      <c r="CB13" s="883">
        <f t="shared" ca="1" si="29"/>
        <v>0</v>
      </c>
      <c r="CC13" s="883">
        <f t="shared" ref="CC13:CL15" ca="1" si="30">IFERROR(IF(YEAR($W13)&lt;CC$4,0,IF(YEAR($W13)=CC$4,IF($P13="美國國庫債券",ROUND(DATEDIF($U13,$W13,"M")/(12/$Y13),0)+1,DATEDIF($U13,$W13,"M")/(12/$Y13)+1),INT(DATEDIF($U13,CC$5,"M")/(12/$Y13))+1)),0)</f>
        <v>0</v>
      </c>
      <c r="CD13" s="883">
        <f t="shared" ca="1" si="30"/>
        <v>0</v>
      </c>
      <c r="CE13" s="883">
        <f t="shared" ca="1" si="30"/>
        <v>0</v>
      </c>
      <c r="CF13" s="883">
        <f t="shared" ca="1" si="30"/>
        <v>0</v>
      </c>
      <c r="CG13" s="883">
        <f t="shared" ca="1" si="30"/>
        <v>0</v>
      </c>
      <c r="CH13" s="883">
        <f t="shared" ca="1" si="30"/>
        <v>0</v>
      </c>
      <c r="CI13" s="883">
        <f t="shared" ca="1" si="30"/>
        <v>0</v>
      </c>
      <c r="CJ13" s="883">
        <f t="shared" ca="1" si="30"/>
        <v>0</v>
      </c>
      <c r="CK13" s="883">
        <f t="shared" ca="1" si="30"/>
        <v>0</v>
      </c>
      <c r="CL13" s="883">
        <f t="shared" ca="1" si="30"/>
        <v>0</v>
      </c>
      <c r="CM13" s="883">
        <f t="shared" ref="CM13:CV15" ca="1" si="31">IFERROR(IF(YEAR($W13)&lt;CM$4,0,IF(YEAR($W13)=CM$4,IF($P13="美國國庫債券",ROUND(DATEDIF($U13,$W13,"M")/(12/$Y13),0)+1,DATEDIF($U13,$W13,"M")/(12/$Y13)+1),INT(DATEDIF($U13,CM$5,"M")/(12/$Y13))+1)),0)</f>
        <v>0</v>
      </c>
      <c r="CN13" s="883">
        <f t="shared" ca="1" si="31"/>
        <v>0</v>
      </c>
      <c r="CO13" s="883">
        <f t="shared" ca="1" si="31"/>
        <v>0</v>
      </c>
      <c r="CP13" s="883">
        <f t="shared" ca="1" si="31"/>
        <v>0</v>
      </c>
      <c r="CQ13" s="883">
        <f t="shared" ca="1" si="31"/>
        <v>0</v>
      </c>
      <c r="CR13" s="883">
        <f t="shared" ca="1" si="31"/>
        <v>0</v>
      </c>
      <c r="CS13" s="883">
        <f t="shared" ca="1" si="31"/>
        <v>0</v>
      </c>
      <c r="CT13" s="883">
        <f t="shared" ca="1" si="31"/>
        <v>0</v>
      </c>
      <c r="CU13" s="883">
        <f t="shared" ca="1" si="31"/>
        <v>0</v>
      </c>
      <c r="CV13" s="883">
        <f t="shared" ca="1" si="31"/>
        <v>0</v>
      </c>
      <c r="CW13" s="883">
        <f t="shared" ca="1" si="19"/>
        <v>0</v>
      </c>
      <c r="CX13" s="883">
        <f t="shared" ca="1" si="19"/>
        <v>0</v>
      </c>
      <c r="CY13" s="883">
        <f t="shared" ca="1" si="19"/>
        <v>0</v>
      </c>
      <c r="CZ13" s="883">
        <f t="shared" ca="1" si="19"/>
        <v>0</v>
      </c>
      <c r="DA13" s="883">
        <f t="shared" ca="1" si="19"/>
        <v>0</v>
      </c>
      <c r="DB13" s="883">
        <f t="shared" ca="1" si="19"/>
        <v>0</v>
      </c>
      <c r="DC13" s="883">
        <f t="shared" ca="1" si="19"/>
        <v>0</v>
      </c>
      <c r="DD13" s="883">
        <f t="shared" ca="1" si="19"/>
        <v>0</v>
      </c>
      <c r="DE13" s="883">
        <f t="shared" ca="1" si="19"/>
        <v>0</v>
      </c>
      <c r="DF13" s="883">
        <f t="shared" ca="1" si="19"/>
        <v>0</v>
      </c>
      <c r="DG13" s="883">
        <f t="shared" ca="1" si="19"/>
        <v>0</v>
      </c>
      <c r="DH13" s="883">
        <f t="shared" ca="1" si="15"/>
        <v>0</v>
      </c>
      <c r="DI13" s="883">
        <f t="shared" ca="1" si="15"/>
        <v>0</v>
      </c>
      <c r="DJ13" s="883">
        <f t="shared" ca="1" si="15"/>
        <v>0</v>
      </c>
      <c r="DK13" s="883">
        <f t="shared" ca="1" si="15"/>
        <v>0</v>
      </c>
      <c r="DL13" s="883">
        <f t="shared" ca="1" si="15"/>
        <v>0</v>
      </c>
      <c r="DM13" s="883">
        <f t="shared" ca="1" si="15"/>
        <v>0</v>
      </c>
      <c r="DN13" s="883">
        <f t="shared" ca="1" si="15"/>
        <v>0</v>
      </c>
      <c r="DO13" s="883">
        <f t="shared" ca="1" si="16"/>
        <v>0</v>
      </c>
      <c r="DP13" s="883">
        <f t="shared" ca="1" si="16"/>
        <v>0</v>
      </c>
      <c r="DQ13" s="883">
        <f t="shared" ca="1" si="16"/>
        <v>0</v>
      </c>
      <c r="DR13" s="883">
        <f t="shared" ca="1" si="16"/>
        <v>0</v>
      </c>
      <c r="DS13" s="883">
        <f t="shared" ca="1" si="16"/>
        <v>0</v>
      </c>
      <c r="DT13" s="883">
        <f t="shared" ca="1" si="16"/>
        <v>0</v>
      </c>
      <c r="DU13" s="883">
        <f t="shared" ca="1" si="16"/>
        <v>0</v>
      </c>
      <c r="DV13" s="883">
        <f t="shared" ca="1" si="16"/>
        <v>0</v>
      </c>
      <c r="DW13" s="883">
        <f t="shared" ca="1" si="16"/>
        <v>0</v>
      </c>
      <c r="DX13" s="883">
        <f t="shared" ca="1" si="16"/>
        <v>0</v>
      </c>
      <c r="DY13" s="883">
        <f t="shared" ca="1" si="16"/>
        <v>0</v>
      </c>
      <c r="DZ13" s="883">
        <f t="shared" ca="1" si="16"/>
        <v>0</v>
      </c>
      <c r="EA13" s="883">
        <f t="shared" ca="1" si="16"/>
        <v>0</v>
      </c>
      <c r="EB13" s="883">
        <f t="shared" ca="1" si="16"/>
        <v>0</v>
      </c>
      <c r="EC13" s="883">
        <f t="shared" ca="1" si="16"/>
        <v>0</v>
      </c>
      <c r="ED13" s="883">
        <f t="shared" ca="1" si="16"/>
        <v>0</v>
      </c>
      <c r="EE13" s="883">
        <f t="shared" ca="1" si="17"/>
        <v>0</v>
      </c>
      <c r="EF13" s="883">
        <f t="shared" ca="1" si="17"/>
        <v>0</v>
      </c>
      <c r="EG13" s="883">
        <f t="shared" ca="1" si="17"/>
        <v>0</v>
      </c>
      <c r="EH13" s="883">
        <f t="shared" ca="1" si="17"/>
        <v>0</v>
      </c>
      <c r="EI13" s="883">
        <f t="shared" ca="1" si="17"/>
        <v>0</v>
      </c>
      <c r="EJ13" s="883">
        <f t="shared" ca="1" si="17"/>
        <v>0</v>
      </c>
      <c r="EK13" s="883">
        <f t="shared" ca="1" si="17"/>
        <v>0</v>
      </c>
      <c r="EL13" s="883">
        <f t="shared" ca="1" si="17"/>
        <v>0</v>
      </c>
      <c r="EM13" s="883">
        <f t="shared" ca="1" si="17"/>
        <v>0</v>
      </c>
      <c r="EN13" s="883">
        <f t="shared" ca="1" si="17"/>
        <v>0</v>
      </c>
      <c r="EO13" s="883">
        <f t="shared" ca="1" si="17"/>
        <v>0</v>
      </c>
      <c r="EP13" s="883">
        <f t="shared" ca="1" si="17"/>
        <v>0</v>
      </c>
      <c r="EQ13" s="883">
        <f t="shared" ca="1" si="17"/>
        <v>0</v>
      </c>
      <c r="ER13" s="883">
        <f t="shared" ca="1" si="17"/>
        <v>0</v>
      </c>
      <c r="ES13" s="883">
        <f t="shared" ca="1" si="17"/>
        <v>0</v>
      </c>
      <c r="ET13" s="883">
        <f t="shared" ca="1" si="17"/>
        <v>0</v>
      </c>
      <c r="EU13" s="883">
        <f t="shared" ca="1" si="18"/>
        <v>0</v>
      </c>
      <c r="EV13" s="883">
        <f t="shared" ca="1" si="18"/>
        <v>0</v>
      </c>
      <c r="EW13" s="883">
        <f t="shared" ca="1" si="18"/>
        <v>0</v>
      </c>
      <c r="EX13" s="883">
        <f t="shared" ca="1" si="18"/>
        <v>0</v>
      </c>
      <c r="EY13" s="883">
        <f t="shared" ca="1" si="18"/>
        <v>0</v>
      </c>
      <c r="EZ13" s="883">
        <f t="shared" ca="1" si="18"/>
        <v>0</v>
      </c>
      <c r="FA13" s="883">
        <f t="shared" ca="1" si="18"/>
        <v>0</v>
      </c>
    </row>
    <row r="14" spans="1:157">
      <c r="A14" s="1526">
        <f t="shared" ca="1" si="20"/>
        <v>1</v>
      </c>
      <c r="B14" s="906">
        <f ca="1">IF(B13="","",IF(C14&gt;$B$2,"",C14))</f>
        <v>2026</v>
      </c>
      <c r="C14" s="907">
        <f ca="1">C13+1</f>
        <v>2026</v>
      </c>
      <c r="D14" s="1244">
        <f ca="1">IFERROR(VLOOKUP($C14,H:$K,$C$6,FALSE),"")</f>
        <v>16425</v>
      </c>
      <c r="E14" s="1248">
        <f ca="1">IFERROR(IF($A14=1,VLOOKUP($C14,$H:L,$D$6,FALSE),SUMIF($H:$H,"&lt;="&amp;$C14,IF($A$6=1,L:L,J:J))),"")</f>
        <v>0</v>
      </c>
      <c r="F14" s="1245">
        <f t="shared" ca="1" si="21"/>
        <v>41062.5</v>
      </c>
      <c r="G14" s="944">
        <f t="shared" ca="1" si="22"/>
        <v>0.12368222891566265</v>
      </c>
      <c r="H14" s="891">
        <f ca="1">IF(H13&lt;$B$2,H13+1,"")</f>
        <v>2026</v>
      </c>
      <c r="I14" s="1206">
        <f t="shared" ref="I14:I43" ca="1" si="32">MAX(INDEX($AD$2:$FA$2,1,MATCH(H14,$AD$4:$FA$4,0)),0)</f>
        <v>16425</v>
      </c>
      <c r="J14" s="1206">
        <f t="shared" ca="1" si="23"/>
        <v>0</v>
      </c>
      <c r="K14" s="929" t="str">
        <f t="shared" ref="K14:K43" si="33">IF($B$6=0,"",MAX(INDEX($AD$60:$FA$60,1,MATCH(H14,$AD$4:$FA$4,0)),0))</f>
        <v/>
      </c>
      <c r="L14" s="929" t="str">
        <f t="shared" si="24"/>
        <v/>
      </c>
      <c r="N14" s="1714">
        <v>8</v>
      </c>
      <c r="O14" s="1789" t="b">
        <f ca="1">庫存管理[[#This Row],[檢測]]</f>
        <v>0</v>
      </c>
      <c r="P14" s="882" t="e">
        <f ca="1">VLOOKUP(Q14,bond!B:AA,26,FALSE)</f>
        <v>#N/A</v>
      </c>
      <c r="Q14" s="883" t="str">
        <f ca="1">庫存管理[[#This Row],[商品代號]]</f>
        <v/>
      </c>
      <c r="R14" s="889">
        <f ca="1">IF(O14=TRUE,IFERROR(IF($D$4=1,庫存管理[[#This Row],[投入面額]]*庫存管理[[#This Row],[換算匯率(現)]],庫存管理[[#This Row],[投入面額]]),0),0)</f>
        <v>0</v>
      </c>
      <c r="S14" s="885" t="e">
        <f ca="1">庫存管理[[#This Row],[到期日]]</f>
        <v>#N/A</v>
      </c>
      <c r="T14" s="883">
        <f t="shared" ca="1" si="9"/>
        <v>0</v>
      </c>
      <c r="U14" s="885" t="str">
        <f ca="1">庫存管理[[#This Row],[下一配息日]]</f>
        <v/>
      </c>
      <c r="V14" s="886" t="str">
        <f t="shared" ca="1" si="10"/>
        <v/>
      </c>
      <c r="W14" s="885" t="e">
        <f ca="1">庫存管理[[#This Row],[到期日]]</f>
        <v>#N/A</v>
      </c>
      <c r="X14" s="886" t="str">
        <f t="shared" ca="1" si="11"/>
        <v/>
      </c>
      <c r="Y14" s="883" t="str">
        <f ca="1">庫存管理[[#This Row],[配息頻率]]</f>
        <v/>
      </c>
      <c r="Z14" s="883" t="str">
        <f>庫存管理[[#This Row],[投入面額]]</f>
        <v/>
      </c>
      <c r="AA14" s="909">
        <f ca="1">庫存管理[[#This Row],[票面利率]]</f>
        <v>0</v>
      </c>
      <c r="AB14" s="908">
        <f ca="1">庫存管理[[#This Row],[換算匯率(現)]]</f>
        <v>0</v>
      </c>
      <c r="AC14" s="887">
        <f t="shared" ca="1" si="12"/>
        <v>0</v>
      </c>
      <c r="AD14" s="883">
        <f t="shared" ca="1" si="13"/>
        <v>0</v>
      </c>
      <c r="AE14" s="883">
        <f t="shared" ca="1" si="25"/>
        <v>0</v>
      </c>
      <c r="AF14" s="883">
        <f t="shared" ca="1" si="25"/>
        <v>0</v>
      </c>
      <c r="AG14" s="883">
        <f t="shared" ca="1" si="25"/>
        <v>0</v>
      </c>
      <c r="AH14" s="883">
        <f t="shared" ca="1" si="25"/>
        <v>0</v>
      </c>
      <c r="AI14" s="883">
        <f t="shared" ca="1" si="25"/>
        <v>0</v>
      </c>
      <c r="AJ14" s="883">
        <f t="shared" ca="1" si="25"/>
        <v>0</v>
      </c>
      <c r="AK14" s="883">
        <f t="shared" ca="1" si="25"/>
        <v>0</v>
      </c>
      <c r="AL14" s="883">
        <f t="shared" ca="1" si="25"/>
        <v>0</v>
      </c>
      <c r="AM14" s="883">
        <f t="shared" ca="1" si="25"/>
        <v>0</v>
      </c>
      <c r="AN14" s="883">
        <f t="shared" ca="1" si="25"/>
        <v>0</v>
      </c>
      <c r="AO14" s="883">
        <f t="shared" ca="1" si="26"/>
        <v>0</v>
      </c>
      <c r="AP14" s="883">
        <f t="shared" ca="1" si="26"/>
        <v>0</v>
      </c>
      <c r="AQ14" s="883">
        <f t="shared" ca="1" si="26"/>
        <v>0</v>
      </c>
      <c r="AR14" s="883">
        <f t="shared" ca="1" si="26"/>
        <v>0</v>
      </c>
      <c r="AS14" s="883">
        <f t="shared" ca="1" si="26"/>
        <v>0</v>
      </c>
      <c r="AT14" s="883">
        <f t="shared" ca="1" si="26"/>
        <v>0</v>
      </c>
      <c r="AU14" s="883">
        <f t="shared" ca="1" si="26"/>
        <v>0</v>
      </c>
      <c r="AV14" s="883">
        <f t="shared" ca="1" si="26"/>
        <v>0</v>
      </c>
      <c r="AW14" s="883">
        <f t="shared" ca="1" si="26"/>
        <v>0</v>
      </c>
      <c r="AX14" s="883">
        <f t="shared" ca="1" si="26"/>
        <v>0</v>
      </c>
      <c r="AY14" s="883">
        <f t="shared" ca="1" si="27"/>
        <v>0</v>
      </c>
      <c r="AZ14" s="883">
        <f t="shared" ca="1" si="27"/>
        <v>0</v>
      </c>
      <c r="BA14" s="883">
        <f t="shared" ca="1" si="27"/>
        <v>0</v>
      </c>
      <c r="BB14" s="883">
        <f t="shared" ca="1" si="27"/>
        <v>0</v>
      </c>
      <c r="BC14" s="883">
        <f t="shared" ca="1" si="27"/>
        <v>0</v>
      </c>
      <c r="BD14" s="883">
        <f t="shared" ca="1" si="27"/>
        <v>0</v>
      </c>
      <c r="BE14" s="883">
        <f t="shared" ca="1" si="27"/>
        <v>0</v>
      </c>
      <c r="BF14" s="883">
        <f t="shared" ca="1" si="27"/>
        <v>0</v>
      </c>
      <c r="BG14" s="883">
        <f t="shared" ca="1" si="27"/>
        <v>0</v>
      </c>
      <c r="BH14" s="883">
        <f t="shared" ca="1" si="27"/>
        <v>0</v>
      </c>
      <c r="BI14" s="883">
        <f t="shared" ca="1" si="28"/>
        <v>0</v>
      </c>
      <c r="BJ14" s="883">
        <f t="shared" ca="1" si="28"/>
        <v>0</v>
      </c>
      <c r="BK14" s="883">
        <f t="shared" ca="1" si="28"/>
        <v>0</v>
      </c>
      <c r="BL14" s="883">
        <f t="shared" ca="1" si="28"/>
        <v>0</v>
      </c>
      <c r="BM14" s="883">
        <f t="shared" ca="1" si="28"/>
        <v>0</v>
      </c>
      <c r="BN14" s="883">
        <f t="shared" ca="1" si="28"/>
        <v>0</v>
      </c>
      <c r="BO14" s="883">
        <f t="shared" ca="1" si="28"/>
        <v>0</v>
      </c>
      <c r="BP14" s="883">
        <f t="shared" ca="1" si="28"/>
        <v>0</v>
      </c>
      <c r="BQ14" s="883">
        <f t="shared" ca="1" si="28"/>
        <v>0</v>
      </c>
      <c r="BR14" s="883">
        <f t="shared" ca="1" si="28"/>
        <v>0</v>
      </c>
      <c r="BS14" s="883">
        <f t="shared" ca="1" si="29"/>
        <v>0</v>
      </c>
      <c r="BT14" s="883">
        <f t="shared" ca="1" si="29"/>
        <v>0</v>
      </c>
      <c r="BU14" s="883">
        <f t="shared" ca="1" si="29"/>
        <v>0</v>
      </c>
      <c r="BV14" s="883">
        <f t="shared" ca="1" si="29"/>
        <v>0</v>
      </c>
      <c r="BW14" s="883">
        <f t="shared" ca="1" si="29"/>
        <v>0</v>
      </c>
      <c r="BX14" s="883">
        <f t="shared" ca="1" si="29"/>
        <v>0</v>
      </c>
      <c r="BY14" s="883">
        <f t="shared" ca="1" si="29"/>
        <v>0</v>
      </c>
      <c r="BZ14" s="883">
        <f t="shared" ca="1" si="29"/>
        <v>0</v>
      </c>
      <c r="CA14" s="883">
        <f t="shared" ca="1" si="29"/>
        <v>0</v>
      </c>
      <c r="CB14" s="883">
        <f t="shared" ca="1" si="29"/>
        <v>0</v>
      </c>
      <c r="CC14" s="883">
        <f t="shared" ca="1" si="30"/>
        <v>0</v>
      </c>
      <c r="CD14" s="883">
        <f t="shared" ca="1" si="30"/>
        <v>0</v>
      </c>
      <c r="CE14" s="883">
        <f t="shared" ca="1" si="30"/>
        <v>0</v>
      </c>
      <c r="CF14" s="883">
        <f t="shared" ca="1" si="30"/>
        <v>0</v>
      </c>
      <c r="CG14" s="883">
        <f t="shared" ca="1" si="30"/>
        <v>0</v>
      </c>
      <c r="CH14" s="883">
        <f t="shared" ca="1" si="30"/>
        <v>0</v>
      </c>
      <c r="CI14" s="883">
        <f t="shared" ca="1" si="30"/>
        <v>0</v>
      </c>
      <c r="CJ14" s="883">
        <f t="shared" ca="1" si="30"/>
        <v>0</v>
      </c>
      <c r="CK14" s="883">
        <f t="shared" ca="1" si="30"/>
        <v>0</v>
      </c>
      <c r="CL14" s="883">
        <f t="shared" ca="1" si="30"/>
        <v>0</v>
      </c>
      <c r="CM14" s="883">
        <f t="shared" ca="1" si="31"/>
        <v>0</v>
      </c>
      <c r="CN14" s="883">
        <f t="shared" ca="1" si="31"/>
        <v>0</v>
      </c>
      <c r="CO14" s="883">
        <f t="shared" ca="1" si="31"/>
        <v>0</v>
      </c>
      <c r="CP14" s="883">
        <f t="shared" ca="1" si="31"/>
        <v>0</v>
      </c>
      <c r="CQ14" s="883">
        <f t="shared" ca="1" si="31"/>
        <v>0</v>
      </c>
      <c r="CR14" s="883">
        <f t="shared" ca="1" si="31"/>
        <v>0</v>
      </c>
      <c r="CS14" s="883">
        <f t="shared" ca="1" si="31"/>
        <v>0</v>
      </c>
      <c r="CT14" s="883">
        <f t="shared" ca="1" si="31"/>
        <v>0</v>
      </c>
      <c r="CU14" s="883">
        <f t="shared" ca="1" si="31"/>
        <v>0</v>
      </c>
      <c r="CV14" s="883">
        <f t="shared" ca="1" si="31"/>
        <v>0</v>
      </c>
      <c r="CW14" s="883">
        <f t="shared" ca="1" si="19"/>
        <v>0</v>
      </c>
      <c r="CX14" s="883">
        <f t="shared" ca="1" si="19"/>
        <v>0</v>
      </c>
      <c r="CY14" s="883">
        <f t="shared" ca="1" si="19"/>
        <v>0</v>
      </c>
      <c r="CZ14" s="883">
        <f t="shared" ca="1" si="19"/>
        <v>0</v>
      </c>
      <c r="DA14" s="883">
        <f t="shared" ca="1" si="19"/>
        <v>0</v>
      </c>
      <c r="DB14" s="883">
        <f t="shared" ca="1" si="19"/>
        <v>0</v>
      </c>
      <c r="DC14" s="883">
        <f t="shared" ca="1" si="19"/>
        <v>0</v>
      </c>
      <c r="DD14" s="883">
        <f t="shared" ca="1" si="19"/>
        <v>0</v>
      </c>
      <c r="DE14" s="883">
        <f t="shared" ca="1" si="19"/>
        <v>0</v>
      </c>
      <c r="DF14" s="883">
        <f t="shared" ca="1" si="19"/>
        <v>0</v>
      </c>
      <c r="DG14" s="883">
        <f t="shared" ca="1" si="19"/>
        <v>0</v>
      </c>
      <c r="DH14" s="883">
        <f t="shared" ca="1" si="15"/>
        <v>0</v>
      </c>
      <c r="DI14" s="883">
        <f t="shared" ca="1" si="15"/>
        <v>0</v>
      </c>
      <c r="DJ14" s="883">
        <f t="shared" ca="1" si="15"/>
        <v>0</v>
      </c>
      <c r="DK14" s="883">
        <f t="shared" ca="1" si="15"/>
        <v>0</v>
      </c>
      <c r="DL14" s="883">
        <f t="shared" ca="1" si="15"/>
        <v>0</v>
      </c>
      <c r="DM14" s="883">
        <f t="shared" ca="1" si="15"/>
        <v>0</v>
      </c>
      <c r="DN14" s="883">
        <f t="shared" ca="1" si="15"/>
        <v>0</v>
      </c>
      <c r="DO14" s="883">
        <f t="shared" ca="1" si="16"/>
        <v>0</v>
      </c>
      <c r="DP14" s="883">
        <f t="shared" ca="1" si="16"/>
        <v>0</v>
      </c>
      <c r="DQ14" s="883">
        <f t="shared" ca="1" si="16"/>
        <v>0</v>
      </c>
      <c r="DR14" s="883">
        <f t="shared" ca="1" si="16"/>
        <v>0</v>
      </c>
      <c r="DS14" s="883">
        <f t="shared" ca="1" si="16"/>
        <v>0</v>
      </c>
      <c r="DT14" s="883">
        <f t="shared" ca="1" si="16"/>
        <v>0</v>
      </c>
      <c r="DU14" s="883">
        <f t="shared" ca="1" si="16"/>
        <v>0</v>
      </c>
      <c r="DV14" s="883">
        <f t="shared" ca="1" si="16"/>
        <v>0</v>
      </c>
      <c r="DW14" s="883">
        <f t="shared" ca="1" si="16"/>
        <v>0</v>
      </c>
      <c r="DX14" s="883">
        <f t="shared" ca="1" si="16"/>
        <v>0</v>
      </c>
      <c r="DY14" s="883">
        <f t="shared" ca="1" si="16"/>
        <v>0</v>
      </c>
      <c r="DZ14" s="883">
        <f t="shared" ca="1" si="16"/>
        <v>0</v>
      </c>
      <c r="EA14" s="883">
        <f t="shared" ca="1" si="16"/>
        <v>0</v>
      </c>
      <c r="EB14" s="883">
        <f t="shared" ca="1" si="16"/>
        <v>0</v>
      </c>
      <c r="EC14" s="883">
        <f t="shared" ca="1" si="16"/>
        <v>0</v>
      </c>
      <c r="ED14" s="883">
        <f t="shared" ca="1" si="16"/>
        <v>0</v>
      </c>
      <c r="EE14" s="883">
        <f t="shared" ca="1" si="17"/>
        <v>0</v>
      </c>
      <c r="EF14" s="883">
        <f t="shared" ca="1" si="17"/>
        <v>0</v>
      </c>
      <c r="EG14" s="883">
        <f t="shared" ca="1" si="17"/>
        <v>0</v>
      </c>
      <c r="EH14" s="883">
        <f t="shared" ca="1" si="17"/>
        <v>0</v>
      </c>
      <c r="EI14" s="883">
        <f t="shared" ca="1" si="17"/>
        <v>0</v>
      </c>
      <c r="EJ14" s="883">
        <f t="shared" ca="1" si="17"/>
        <v>0</v>
      </c>
      <c r="EK14" s="883">
        <f t="shared" ca="1" si="17"/>
        <v>0</v>
      </c>
      <c r="EL14" s="883">
        <f t="shared" ca="1" si="17"/>
        <v>0</v>
      </c>
      <c r="EM14" s="883">
        <f t="shared" ca="1" si="17"/>
        <v>0</v>
      </c>
      <c r="EN14" s="883">
        <f t="shared" ca="1" si="17"/>
        <v>0</v>
      </c>
      <c r="EO14" s="883">
        <f t="shared" ca="1" si="17"/>
        <v>0</v>
      </c>
      <c r="EP14" s="883">
        <f t="shared" ca="1" si="17"/>
        <v>0</v>
      </c>
      <c r="EQ14" s="883">
        <f t="shared" ca="1" si="17"/>
        <v>0</v>
      </c>
      <c r="ER14" s="883">
        <f t="shared" ca="1" si="17"/>
        <v>0</v>
      </c>
      <c r="ES14" s="883">
        <f t="shared" ca="1" si="17"/>
        <v>0</v>
      </c>
      <c r="ET14" s="883">
        <f t="shared" ca="1" si="17"/>
        <v>0</v>
      </c>
      <c r="EU14" s="883">
        <f t="shared" ca="1" si="18"/>
        <v>0</v>
      </c>
      <c r="EV14" s="883">
        <f t="shared" ca="1" si="18"/>
        <v>0</v>
      </c>
      <c r="EW14" s="883">
        <f t="shared" ca="1" si="18"/>
        <v>0</v>
      </c>
      <c r="EX14" s="883">
        <f t="shared" ca="1" si="18"/>
        <v>0</v>
      </c>
      <c r="EY14" s="883">
        <f t="shared" ca="1" si="18"/>
        <v>0</v>
      </c>
      <c r="EZ14" s="883">
        <f t="shared" ca="1" si="18"/>
        <v>0</v>
      </c>
      <c r="FA14" s="883">
        <f t="shared" ca="1" si="18"/>
        <v>0</v>
      </c>
    </row>
    <row r="15" spans="1:157">
      <c r="A15" s="1526">
        <f t="shared" ca="1" si="20"/>
        <v>1</v>
      </c>
      <c r="B15" s="906">
        <f ca="1">IF(B14="","",IF(C15&gt;$B$2,"",C15))</f>
        <v>2027</v>
      </c>
      <c r="C15" s="907">
        <f ca="1">C14+1</f>
        <v>2027</v>
      </c>
      <c r="D15" s="1244">
        <f ca="1">IFERROR(VLOOKUP($C15,H:$K,$C$6,FALSE),"")</f>
        <v>16425</v>
      </c>
      <c r="E15" s="1248">
        <f ca="1">IFERROR(IF($A15=1,VLOOKUP($C15,$H:L,$D$6,FALSE),SUMIF($H:$H,"&lt;="&amp;$C15,IF($A$6=1,L:L,J:J))),"")</f>
        <v>0</v>
      </c>
      <c r="F15" s="1245">
        <f t="shared" ca="1" si="21"/>
        <v>57487.5</v>
      </c>
      <c r="G15" s="944">
        <f t="shared" ca="1" si="22"/>
        <v>0.17315512048192772</v>
      </c>
      <c r="H15" s="891">
        <f t="shared" ref="H15:H44" ca="1" si="34">IF(H14&lt;$B$2,H14+1,"")</f>
        <v>2027</v>
      </c>
      <c r="I15" s="1206">
        <f t="shared" ca="1" si="32"/>
        <v>16425</v>
      </c>
      <c r="J15" s="1206">
        <f t="shared" ca="1" si="23"/>
        <v>0</v>
      </c>
      <c r="K15" s="929" t="str">
        <f t="shared" si="33"/>
        <v/>
      </c>
      <c r="L15" s="929" t="str">
        <f t="shared" si="24"/>
        <v/>
      </c>
      <c r="N15" s="1714">
        <v>9</v>
      </c>
      <c r="O15" s="1789" t="b">
        <f ca="1">庫存管理[[#This Row],[檢測]]</f>
        <v>0</v>
      </c>
      <c r="P15" s="882" t="e">
        <f ca="1">VLOOKUP(Q15,bond!B:AA,26,FALSE)</f>
        <v>#N/A</v>
      </c>
      <c r="Q15" s="883" t="str">
        <f ca="1">庫存管理[[#This Row],[商品代號]]</f>
        <v/>
      </c>
      <c r="R15" s="889">
        <f ca="1">IF(O15=TRUE,IFERROR(IF($D$4=1,庫存管理[[#This Row],[投入面額]]*庫存管理[[#This Row],[換算匯率(現)]],庫存管理[[#This Row],[投入面額]]),0),0)</f>
        <v>0</v>
      </c>
      <c r="S15" s="885" t="e">
        <f ca="1">庫存管理[[#This Row],[到期日]]</f>
        <v>#N/A</v>
      </c>
      <c r="T15" s="883">
        <f t="shared" ca="1" si="9"/>
        <v>0</v>
      </c>
      <c r="U15" s="885" t="str">
        <f ca="1">庫存管理[[#This Row],[下一配息日]]</f>
        <v/>
      </c>
      <c r="V15" s="886" t="str">
        <f t="shared" ca="1" si="10"/>
        <v/>
      </c>
      <c r="W15" s="885" t="e">
        <f ca="1">庫存管理[[#This Row],[到期日]]</f>
        <v>#N/A</v>
      </c>
      <c r="X15" s="886" t="str">
        <f t="shared" ca="1" si="11"/>
        <v/>
      </c>
      <c r="Y15" s="883" t="str">
        <f ca="1">庫存管理[[#This Row],[配息頻率]]</f>
        <v/>
      </c>
      <c r="Z15" s="883" t="str">
        <f>庫存管理[[#This Row],[投入面額]]</f>
        <v/>
      </c>
      <c r="AA15" s="909">
        <f ca="1">庫存管理[[#This Row],[票面利率]]</f>
        <v>0</v>
      </c>
      <c r="AB15" s="908">
        <f ca="1">庫存管理[[#This Row],[換算匯率(現)]]</f>
        <v>0</v>
      </c>
      <c r="AC15" s="887">
        <f t="shared" ca="1" si="12"/>
        <v>0</v>
      </c>
      <c r="AD15" s="883">
        <f t="shared" ca="1" si="13"/>
        <v>0</v>
      </c>
      <c r="AE15" s="883">
        <f t="shared" ca="1" si="25"/>
        <v>0</v>
      </c>
      <c r="AF15" s="883">
        <f t="shared" ca="1" si="25"/>
        <v>0</v>
      </c>
      <c r="AG15" s="883">
        <f t="shared" ca="1" si="25"/>
        <v>0</v>
      </c>
      <c r="AH15" s="883">
        <f t="shared" ca="1" si="25"/>
        <v>0</v>
      </c>
      <c r="AI15" s="883">
        <f t="shared" ca="1" si="25"/>
        <v>0</v>
      </c>
      <c r="AJ15" s="883">
        <f t="shared" ca="1" si="25"/>
        <v>0</v>
      </c>
      <c r="AK15" s="883">
        <f t="shared" ca="1" si="25"/>
        <v>0</v>
      </c>
      <c r="AL15" s="883">
        <f t="shared" ca="1" si="25"/>
        <v>0</v>
      </c>
      <c r="AM15" s="883">
        <f t="shared" ca="1" si="25"/>
        <v>0</v>
      </c>
      <c r="AN15" s="883">
        <f t="shared" ca="1" si="25"/>
        <v>0</v>
      </c>
      <c r="AO15" s="883">
        <f t="shared" ca="1" si="26"/>
        <v>0</v>
      </c>
      <c r="AP15" s="883">
        <f t="shared" ca="1" si="26"/>
        <v>0</v>
      </c>
      <c r="AQ15" s="883">
        <f t="shared" ca="1" si="26"/>
        <v>0</v>
      </c>
      <c r="AR15" s="883">
        <f t="shared" ca="1" si="26"/>
        <v>0</v>
      </c>
      <c r="AS15" s="883">
        <f t="shared" ca="1" si="26"/>
        <v>0</v>
      </c>
      <c r="AT15" s="883">
        <f t="shared" ca="1" si="26"/>
        <v>0</v>
      </c>
      <c r="AU15" s="883">
        <f t="shared" ca="1" si="26"/>
        <v>0</v>
      </c>
      <c r="AV15" s="883">
        <f t="shared" ca="1" si="26"/>
        <v>0</v>
      </c>
      <c r="AW15" s="883">
        <f t="shared" ca="1" si="26"/>
        <v>0</v>
      </c>
      <c r="AX15" s="883">
        <f t="shared" ca="1" si="26"/>
        <v>0</v>
      </c>
      <c r="AY15" s="883">
        <f t="shared" ca="1" si="27"/>
        <v>0</v>
      </c>
      <c r="AZ15" s="883">
        <f t="shared" ca="1" si="27"/>
        <v>0</v>
      </c>
      <c r="BA15" s="883">
        <f t="shared" ca="1" si="27"/>
        <v>0</v>
      </c>
      <c r="BB15" s="883">
        <f t="shared" ca="1" si="27"/>
        <v>0</v>
      </c>
      <c r="BC15" s="883">
        <f t="shared" ca="1" si="27"/>
        <v>0</v>
      </c>
      <c r="BD15" s="883">
        <f t="shared" ca="1" si="27"/>
        <v>0</v>
      </c>
      <c r="BE15" s="883">
        <f t="shared" ca="1" si="27"/>
        <v>0</v>
      </c>
      <c r="BF15" s="883">
        <f t="shared" ca="1" si="27"/>
        <v>0</v>
      </c>
      <c r="BG15" s="883">
        <f t="shared" ca="1" si="27"/>
        <v>0</v>
      </c>
      <c r="BH15" s="883">
        <f t="shared" ca="1" si="27"/>
        <v>0</v>
      </c>
      <c r="BI15" s="883">
        <f t="shared" ca="1" si="28"/>
        <v>0</v>
      </c>
      <c r="BJ15" s="883">
        <f t="shared" ca="1" si="28"/>
        <v>0</v>
      </c>
      <c r="BK15" s="883">
        <f t="shared" ca="1" si="28"/>
        <v>0</v>
      </c>
      <c r="BL15" s="883">
        <f t="shared" ca="1" si="28"/>
        <v>0</v>
      </c>
      <c r="BM15" s="883">
        <f t="shared" ca="1" si="28"/>
        <v>0</v>
      </c>
      <c r="BN15" s="883">
        <f t="shared" ca="1" si="28"/>
        <v>0</v>
      </c>
      <c r="BO15" s="883">
        <f t="shared" ca="1" si="28"/>
        <v>0</v>
      </c>
      <c r="BP15" s="883">
        <f t="shared" ca="1" si="28"/>
        <v>0</v>
      </c>
      <c r="BQ15" s="883">
        <f t="shared" ca="1" si="28"/>
        <v>0</v>
      </c>
      <c r="BR15" s="883">
        <f t="shared" ca="1" si="28"/>
        <v>0</v>
      </c>
      <c r="BS15" s="883">
        <f t="shared" ca="1" si="29"/>
        <v>0</v>
      </c>
      <c r="BT15" s="883">
        <f t="shared" ca="1" si="29"/>
        <v>0</v>
      </c>
      <c r="BU15" s="883">
        <f t="shared" ca="1" si="29"/>
        <v>0</v>
      </c>
      <c r="BV15" s="883">
        <f t="shared" ca="1" si="29"/>
        <v>0</v>
      </c>
      <c r="BW15" s="883">
        <f t="shared" ca="1" si="29"/>
        <v>0</v>
      </c>
      <c r="BX15" s="883">
        <f t="shared" ca="1" si="29"/>
        <v>0</v>
      </c>
      <c r="BY15" s="883">
        <f t="shared" ca="1" si="29"/>
        <v>0</v>
      </c>
      <c r="BZ15" s="883">
        <f t="shared" ca="1" si="29"/>
        <v>0</v>
      </c>
      <c r="CA15" s="883">
        <f t="shared" ca="1" si="29"/>
        <v>0</v>
      </c>
      <c r="CB15" s="883">
        <f t="shared" ca="1" si="29"/>
        <v>0</v>
      </c>
      <c r="CC15" s="883">
        <f t="shared" ca="1" si="30"/>
        <v>0</v>
      </c>
      <c r="CD15" s="883">
        <f t="shared" ca="1" si="30"/>
        <v>0</v>
      </c>
      <c r="CE15" s="883">
        <f t="shared" ca="1" si="30"/>
        <v>0</v>
      </c>
      <c r="CF15" s="883">
        <f t="shared" ca="1" si="30"/>
        <v>0</v>
      </c>
      <c r="CG15" s="883">
        <f t="shared" ca="1" si="30"/>
        <v>0</v>
      </c>
      <c r="CH15" s="883">
        <f t="shared" ca="1" si="30"/>
        <v>0</v>
      </c>
      <c r="CI15" s="883">
        <f t="shared" ca="1" si="30"/>
        <v>0</v>
      </c>
      <c r="CJ15" s="883">
        <f t="shared" ca="1" si="30"/>
        <v>0</v>
      </c>
      <c r="CK15" s="883">
        <f t="shared" ca="1" si="30"/>
        <v>0</v>
      </c>
      <c r="CL15" s="883">
        <f t="shared" ca="1" si="30"/>
        <v>0</v>
      </c>
      <c r="CM15" s="883">
        <f t="shared" ca="1" si="31"/>
        <v>0</v>
      </c>
      <c r="CN15" s="883">
        <f t="shared" ca="1" si="31"/>
        <v>0</v>
      </c>
      <c r="CO15" s="883">
        <f t="shared" ca="1" si="31"/>
        <v>0</v>
      </c>
      <c r="CP15" s="883">
        <f t="shared" ca="1" si="31"/>
        <v>0</v>
      </c>
      <c r="CQ15" s="883">
        <f t="shared" ca="1" si="31"/>
        <v>0</v>
      </c>
      <c r="CR15" s="883">
        <f t="shared" ca="1" si="31"/>
        <v>0</v>
      </c>
      <c r="CS15" s="883">
        <f t="shared" ca="1" si="31"/>
        <v>0</v>
      </c>
      <c r="CT15" s="883">
        <f t="shared" ca="1" si="31"/>
        <v>0</v>
      </c>
      <c r="CU15" s="883">
        <f t="shared" ca="1" si="31"/>
        <v>0</v>
      </c>
      <c r="CV15" s="883">
        <f t="shared" ca="1" si="31"/>
        <v>0</v>
      </c>
      <c r="CW15" s="883">
        <f t="shared" ca="1" si="19"/>
        <v>0</v>
      </c>
      <c r="CX15" s="883">
        <f t="shared" ca="1" si="19"/>
        <v>0</v>
      </c>
      <c r="CY15" s="883">
        <f t="shared" ca="1" si="19"/>
        <v>0</v>
      </c>
      <c r="CZ15" s="883">
        <f t="shared" ca="1" si="19"/>
        <v>0</v>
      </c>
      <c r="DA15" s="883">
        <f t="shared" ca="1" si="19"/>
        <v>0</v>
      </c>
      <c r="DB15" s="883">
        <f t="shared" ca="1" si="19"/>
        <v>0</v>
      </c>
      <c r="DC15" s="883">
        <f t="shared" ca="1" si="19"/>
        <v>0</v>
      </c>
      <c r="DD15" s="883">
        <f t="shared" ca="1" si="19"/>
        <v>0</v>
      </c>
      <c r="DE15" s="883">
        <f t="shared" ca="1" si="19"/>
        <v>0</v>
      </c>
      <c r="DF15" s="883">
        <f t="shared" ca="1" si="19"/>
        <v>0</v>
      </c>
      <c r="DG15" s="883">
        <f t="shared" ca="1" si="19"/>
        <v>0</v>
      </c>
      <c r="DH15" s="883">
        <f t="shared" ca="1" si="15"/>
        <v>0</v>
      </c>
      <c r="DI15" s="883">
        <f t="shared" ca="1" si="15"/>
        <v>0</v>
      </c>
      <c r="DJ15" s="883">
        <f t="shared" ca="1" si="15"/>
        <v>0</v>
      </c>
      <c r="DK15" s="883">
        <f t="shared" ca="1" si="15"/>
        <v>0</v>
      </c>
      <c r="DL15" s="883">
        <f t="shared" ca="1" si="15"/>
        <v>0</v>
      </c>
      <c r="DM15" s="883">
        <f t="shared" ca="1" si="15"/>
        <v>0</v>
      </c>
      <c r="DN15" s="883">
        <f t="shared" ca="1" si="15"/>
        <v>0</v>
      </c>
      <c r="DO15" s="883">
        <f t="shared" ca="1" si="16"/>
        <v>0</v>
      </c>
      <c r="DP15" s="883">
        <f t="shared" ca="1" si="16"/>
        <v>0</v>
      </c>
      <c r="DQ15" s="883">
        <f t="shared" ca="1" si="16"/>
        <v>0</v>
      </c>
      <c r="DR15" s="883">
        <f t="shared" ca="1" si="16"/>
        <v>0</v>
      </c>
      <c r="DS15" s="883">
        <f t="shared" ca="1" si="16"/>
        <v>0</v>
      </c>
      <c r="DT15" s="883">
        <f t="shared" ca="1" si="16"/>
        <v>0</v>
      </c>
      <c r="DU15" s="883">
        <f t="shared" ca="1" si="16"/>
        <v>0</v>
      </c>
      <c r="DV15" s="883">
        <f t="shared" ca="1" si="16"/>
        <v>0</v>
      </c>
      <c r="DW15" s="883">
        <f t="shared" ca="1" si="16"/>
        <v>0</v>
      </c>
      <c r="DX15" s="883">
        <f t="shared" ca="1" si="16"/>
        <v>0</v>
      </c>
      <c r="DY15" s="883">
        <f t="shared" ca="1" si="16"/>
        <v>0</v>
      </c>
      <c r="DZ15" s="883">
        <f t="shared" ca="1" si="16"/>
        <v>0</v>
      </c>
      <c r="EA15" s="883">
        <f t="shared" ca="1" si="16"/>
        <v>0</v>
      </c>
      <c r="EB15" s="883">
        <f t="shared" ca="1" si="16"/>
        <v>0</v>
      </c>
      <c r="EC15" s="883">
        <f t="shared" ca="1" si="16"/>
        <v>0</v>
      </c>
      <c r="ED15" s="883">
        <f t="shared" ca="1" si="16"/>
        <v>0</v>
      </c>
      <c r="EE15" s="883">
        <f t="shared" ca="1" si="17"/>
        <v>0</v>
      </c>
      <c r="EF15" s="883">
        <f t="shared" ca="1" si="17"/>
        <v>0</v>
      </c>
      <c r="EG15" s="883">
        <f t="shared" ca="1" si="17"/>
        <v>0</v>
      </c>
      <c r="EH15" s="883">
        <f t="shared" ca="1" si="17"/>
        <v>0</v>
      </c>
      <c r="EI15" s="883">
        <f t="shared" ca="1" si="17"/>
        <v>0</v>
      </c>
      <c r="EJ15" s="883">
        <f t="shared" ca="1" si="17"/>
        <v>0</v>
      </c>
      <c r="EK15" s="883">
        <f t="shared" ca="1" si="17"/>
        <v>0</v>
      </c>
      <c r="EL15" s="883">
        <f t="shared" ca="1" si="17"/>
        <v>0</v>
      </c>
      <c r="EM15" s="883">
        <f t="shared" ca="1" si="17"/>
        <v>0</v>
      </c>
      <c r="EN15" s="883">
        <f t="shared" ca="1" si="17"/>
        <v>0</v>
      </c>
      <c r="EO15" s="883">
        <f t="shared" ca="1" si="17"/>
        <v>0</v>
      </c>
      <c r="EP15" s="883">
        <f t="shared" ca="1" si="17"/>
        <v>0</v>
      </c>
      <c r="EQ15" s="883">
        <f t="shared" ca="1" si="17"/>
        <v>0</v>
      </c>
      <c r="ER15" s="883">
        <f t="shared" ca="1" si="17"/>
        <v>0</v>
      </c>
      <c r="ES15" s="883">
        <f t="shared" ca="1" si="17"/>
        <v>0</v>
      </c>
      <c r="ET15" s="883">
        <f t="shared" ca="1" si="17"/>
        <v>0</v>
      </c>
      <c r="EU15" s="883">
        <f t="shared" ca="1" si="18"/>
        <v>0</v>
      </c>
      <c r="EV15" s="883">
        <f t="shared" ca="1" si="18"/>
        <v>0</v>
      </c>
      <c r="EW15" s="883">
        <f t="shared" ca="1" si="18"/>
        <v>0</v>
      </c>
      <c r="EX15" s="883">
        <f t="shared" ca="1" si="18"/>
        <v>0</v>
      </c>
      <c r="EY15" s="883">
        <f t="shared" ca="1" si="18"/>
        <v>0</v>
      </c>
      <c r="EZ15" s="883">
        <f t="shared" ca="1" si="18"/>
        <v>0</v>
      </c>
      <c r="FA15" s="883">
        <f t="shared" ca="1" si="18"/>
        <v>0</v>
      </c>
    </row>
    <row r="16" spans="1:157">
      <c r="A16" s="1526">
        <f t="shared" ca="1" si="20"/>
        <v>1</v>
      </c>
      <c r="B16" s="906">
        <f ca="1">IF(B15="","",IF(C16&gt;$B$2,"",C16))</f>
        <v>2028</v>
      </c>
      <c r="C16" s="907">
        <f ca="1">C15+1</f>
        <v>2028</v>
      </c>
      <c r="D16" s="1244">
        <f ca="1">IFERROR(VLOOKUP($C16,H:$K,$C$6,FALSE),"")</f>
        <v>16425</v>
      </c>
      <c r="E16" s="1248">
        <f ca="1">IFERROR(IF($A16=1,VLOOKUP($C16,$H:L,$D$6,FALSE),SUMIF($H:$H,"&lt;="&amp;$C16,IF($A$6=1,L:L,J:J))),"")</f>
        <v>0</v>
      </c>
      <c r="F16" s="1245">
        <f t="shared" ca="1" si="21"/>
        <v>73912.5</v>
      </c>
      <c r="G16" s="944">
        <f t="shared" ca="1" si="22"/>
        <v>0.22262801204819277</v>
      </c>
      <c r="H16" s="891">
        <f ca="1">IF(H15&lt;$B$2,H15+1,"")</f>
        <v>2028</v>
      </c>
      <c r="I16" s="1206">
        <f t="shared" ca="1" si="32"/>
        <v>16425</v>
      </c>
      <c r="J16" s="1206">
        <f t="shared" ca="1" si="23"/>
        <v>0</v>
      </c>
      <c r="K16" s="929" t="str">
        <f t="shared" si="33"/>
        <v/>
      </c>
      <c r="L16" s="929" t="str">
        <f t="shared" si="24"/>
        <v/>
      </c>
      <c r="N16" s="1714">
        <v>10</v>
      </c>
      <c r="O16" s="1789" t="b">
        <f ca="1">庫存管理[[#This Row],[檢測]]</f>
        <v>0</v>
      </c>
      <c r="P16" s="882" t="e">
        <f ca="1">VLOOKUP(Q16,bond!B:AA,26,FALSE)</f>
        <v>#N/A</v>
      </c>
      <c r="Q16" s="883" t="str">
        <f ca="1">庫存管理[[#This Row],[商品代號]]</f>
        <v/>
      </c>
      <c r="R16" s="889">
        <f ca="1">IF(O16=TRUE,IFERROR(IF($D$4=1,庫存管理[[#This Row],[投入面額]]*庫存管理[[#This Row],[換算匯率(現)]],庫存管理[[#This Row],[投入面額]]),0),0)</f>
        <v>0</v>
      </c>
      <c r="S16" s="885" t="e">
        <f ca="1">庫存管理[[#This Row],[到期日]]</f>
        <v>#N/A</v>
      </c>
      <c r="T16" s="883">
        <f t="shared" ca="1" si="9"/>
        <v>0</v>
      </c>
      <c r="U16" s="885" t="str">
        <f ca="1">庫存管理[[#This Row],[下一配息日]]</f>
        <v/>
      </c>
      <c r="V16" s="886" t="str">
        <f t="shared" ca="1" si="10"/>
        <v/>
      </c>
      <c r="W16" s="885" t="e">
        <f ca="1">庫存管理[[#This Row],[到期日]]</f>
        <v>#N/A</v>
      </c>
      <c r="X16" s="886" t="str">
        <f t="shared" ca="1" si="11"/>
        <v/>
      </c>
      <c r="Y16" s="883" t="str">
        <f ca="1">庫存管理[[#This Row],[配息頻率]]</f>
        <v/>
      </c>
      <c r="Z16" s="883" t="str">
        <f>庫存管理[[#This Row],[投入面額]]</f>
        <v/>
      </c>
      <c r="AA16" s="909">
        <f ca="1">庫存管理[[#This Row],[票面利率]]</f>
        <v>0</v>
      </c>
      <c r="AB16" s="908">
        <f ca="1">庫存管理[[#This Row],[換算匯率(現)]]</f>
        <v>0</v>
      </c>
      <c r="AC16" s="887">
        <f t="shared" ca="1" si="12"/>
        <v>0</v>
      </c>
      <c r="AD16" s="883">
        <f t="shared" ca="1" si="13"/>
        <v>0</v>
      </c>
      <c r="AE16" s="883">
        <f t="shared" ref="AE16:AT31" ca="1" si="35">IFERROR(IF(YEAR($W16)&lt;AE$4,0,IF(YEAR($W16)=AE$4,IF($P16="美國國庫債券",ROUND(DATEDIF($U16,$W16,"M")/(12/$Y16),0)+1,DATEDIF($U16,$W16,"M")/(12/$Y16)+1),INT(DATEDIF($U16,AE$5,"M")/(12/$Y16))+1)),0)</f>
        <v>0</v>
      </c>
      <c r="AF16" s="883">
        <f t="shared" ca="1" si="35"/>
        <v>0</v>
      </c>
      <c r="AG16" s="883">
        <f t="shared" ca="1" si="35"/>
        <v>0</v>
      </c>
      <c r="AH16" s="883">
        <f t="shared" ca="1" si="35"/>
        <v>0</v>
      </c>
      <c r="AI16" s="883">
        <f t="shared" ca="1" si="35"/>
        <v>0</v>
      </c>
      <c r="AJ16" s="883">
        <f t="shared" ca="1" si="35"/>
        <v>0</v>
      </c>
      <c r="AK16" s="883">
        <f t="shared" ca="1" si="35"/>
        <v>0</v>
      </c>
      <c r="AL16" s="883">
        <f t="shared" ca="1" si="35"/>
        <v>0</v>
      </c>
      <c r="AM16" s="883">
        <f t="shared" ca="1" si="35"/>
        <v>0</v>
      </c>
      <c r="AN16" s="883">
        <f t="shared" ca="1" si="35"/>
        <v>0</v>
      </c>
      <c r="AO16" s="883">
        <f t="shared" ca="1" si="35"/>
        <v>0</v>
      </c>
      <c r="AP16" s="883">
        <f t="shared" ca="1" si="35"/>
        <v>0</v>
      </c>
      <c r="AQ16" s="883">
        <f t="shared" ca="1" si="35"/>
        <v>0</v>
      </c>
      <c r="AR16" s="883">
        <f t="shared" ca="1" si="35"/>
        <v>0</v>
      </c>
      <c r="AS16" s="883">
        <f t="shared" ca="1" si="35"/>
        <v>0</v>
      </c>
      <c r="AT16" s="883">
        <f t="shared" ca="1" si="35"/>
        <v>0</v>
      </c>
      <c r="AU16" s="883">
        <f t="shared" ref="AU16:BJ31" ca="1" si="36">IFERROR(IF(YEAR($W16)&lt;AU$4,0,IF(YEAR($W16)=AU$4,IF($P16="美國國庫債券",ROUND(DATEDIF($U16,$W16,"M")/(12/$Y16),0)+1,DATEDIF($U16,$W16,"M")/(12/$Y16)+1),INT(DATEDIF($U16,AU$5,"M")/(12/$Y16))+1)),0)</f>
        <v>0</v>
      </c>
      <c r="AV16" s="883">
        <f t="shared" ca="1" si="36"/>
        <v>0</v>
      </c>
      <c r="AW16" s="883">
        <f t="shared" ca="1" si="36"/>
        <v>0</v>
      </c>
      <c r="AX16" s="883">
        <f t="shared" ca="1" si="36"/>
        <v>0</v>
      </c>
      <c r="AY16" s="883">
        <f t="shared" ca="1" si="36"/>
        <v>0</v>
      </c>
      <c r="AZ16" s="883">
        <f t="shared" ca="1" si="36"/>
        <v>0</v>
      </c>
      <c r="BA16" s="883">
        <f t="shared" ca="1" si="36"/>
        <v>0</v>
      </c>
      <c r="BB16" s="883">
        <f t="shared" ca="1" si="36"/>
        <v>0</v>
      </c>
      <c r="BC16" s="883">
        <f t="shared" ca="1" si="36"/>
        <v>0</v>
      </c>
      <c r="BD16" s="883">
        <f t="shared" ca="1" si="36"/>
        <v>0</v>
      </c>
      <c r="BE16" s="883">
        <f t="shared" ca="1" si="36"/>
        <v>0</v>
      </c>
      <c r="BF16" s="883">
        <f t="shared" ca="1" si="36"/>
        <v>0</v>
      </c>
      <c r="BG16" s="883">
        <f t="shared" ca="1" si="36"/>
        <v>0</v>
      </c>
      <c r="BH16" s="883">
        <f t="shared" ca="1" si="36"/>
        <v>0</v>
      </c>
      <c r="BI16" s="883">
        <f t="shared" ca="1" si="36"/>
        <v>0</v>
      </c>
      <c r="BJ16" s="883">
        <f t="shared" ca="1" si="36"/>
        <v>0</v>
      </c>
      <c r="BK16" s="883">
        <f t="shared" ref="BK16:BZ31" ca="1" si="37">IFERROR(IF(YEAR($W16)&lt;BK$4,0,IF(YEAR($W16)=BK$4,IF($P16="美國國庫債券",ROUND(DATEDIF($U16,$W16,"M")/(12/$Y16),0)+1,DATEDIF($U16,$W16,"M")/(12/$Y16)+1),INT(DATEDIF($U16,BK$5,"M")/(12/$Y16))+1)),0)</f>
        <v>0</v>
      </c>
      <c r="BL16" s="883">
        <f t="shared" ca="1" si="37"/>
        <v>0</v>
      </c>
      <c r="BM16" s="883">
        <f t="shared" ca="1" si="37"/>
        <v>0</v>
      </c>
      <c r="BN16" s="883">
        <f t="shared" ca="1" si="37"/>
        <v>0</v>
      </c>
      <c r="BO16" s="883">
        <f t="shared" ca="1" si="37"/>
        <v>0</v>
      </c>
      <c r="BP16" s="883">
        <f t="shared" ca="1" si="37"/>
        <v>0</v>
      </c>
      <c r="BQ16" s="883">
        <f t="shared" ca="1" si="37"/>
        <v>0</v>
      </c>
      <c r="BR16" s="883">
        <f t="shared" ca="1" si="37"/>
        <v>0</v>
      </c>
      <c r="BS16" s="883">
        <f t="shared" ca="1" si="37"/>
        <v>0</v>
      </c>
      <c r="BT16" s="883">
        <f t="shared" ca="1" si="37"/>
        <v>0</v>
      </c>
      <c r="BU16" s="883">
        <f t="shared" ca="1" si="37"/>
        <v>0</v>
      </c>
      <c r="BV16" s="883">
        <f t="shared" ca="1" si="37"/>
        <v>0</v>
      </c>
      <c r="BW16" s="883">
        <f t="shared" ca="1" si="37"/>
        <v>0</v>
      </c>
      <c r="BX16" s="883">
        <f t="shared" ca="1" si="37"/>
        <v>0</v>
      </c>
      <c r="BY16" s="883">
        <f t="shared" ca="1" si="37"/>
        <v>0</v>
      </c>
      <c r="BZ16" s="883">
        <f t="shared" ca="1" si="37"/>
        <v>0</v>
      </c>
      <c r="CA16" s="883">
        <f t="shared" ref="CA16:CP31" ca="1" si="38">IFERROR(IF(YEAR($W16)&lt;CA$4,0,IF(YEAR($W16)=CA$4,IF($P16="美國國庫債券",ROUND(DATEDIF($U16,$W16,"M")/(12/$Y16),0)+1,DATEDIF($U16,$W16,"M")/(12/$Y16)+1),INT(DATEDIF($U16,CA$5,"M")/(12/$Y16))+1)),0)</f>
        <v>0</v>
      </c>
      <c r="CB16" s="883">
        <f t="shared" ca="1" si="38"/>
        <v>0</v>
      </c>
      <c r="CC16" s="883">
        <f t="shared" ca="1" si="38"/>
        <v>0</v>
      </c>
      <c r="CD16" s="883">
        <f t="shared" ca="1" si="38"/>
        <v>0</v>
      </c>
      <c r="CE16" s="883">
        <f t="shared" ca="1" si="38"/>
        <v>0</v>
      </c>
      <c r="CF16" s="883">
        <f t="shared" ca="1" si="38"/>
        <v>0</v>
      </c>
      <c r="CG16" s="883">
        <f t="shared" ca="1" si="38"/>
        <v>0</v>
      </c>
      <c r="CH16" s="883">
        <f t="shared" ca="1" si="38"/>
        <v>0</v>
      </c>
      <c r="CI16" s="883">
        <f t="shared" ca="1" si="38"/>
        <v>0</v>
      </c>
      <c r="CJ16" s="883">
        <f t="shared" ca="1" si="38"/>
        <v>0</v>
      </c>
      <c r="CK16" s="883">
        <f t="shared" ca="1" si="38"/>
        <v>0</v>
      </c>
      <c r="CL16" s="883">
        <f t="shared" ca="1" si="38"/>
        <v>0</v>
      </c>
      <c r="CM16" s="883">
        <f t="shared" ca="1" si="38"/>
        <v>0</v>
      </c>
      <c r="CN16" s="883">
        <f t="shared" ca="1" si="38"/>
        <v>0</v>
      </c>
      <c r="CO16" s="883">
        <f t="shared" ca="1" si="38"/>
        <v>0</v>
      </c>
      <c r="CP16" s="883">
        <f t="shared" ca="1" si="38"/>
        <v>0</v>
      </c>
      <c r="CQ16" s="883">
        <f ca="1">IFERROR(IF(YEAR($W16)&lt;CQ$4,0,IF(YEAR($W16)=CQ$4,IF($P16="美國國庫債券",ROUND(DATEDIF($U16,$W16,"M")/(12/$Y16),0)+1,DATEDIF($U16,$W16,"M")/(12/$Y16)+1),INT(DATEDIF($U16,CQ$5,"M")/(12/$Y16))+1)),0)</f>
        <v>0</v>
      </c>
      <c r="CR16" s="883">
        <f t="shared" ca="1" si="19"/>
        <v>0</v>
      </c>
      <c r="CS16" s="883">
        <f t="shared" ca="1" si="19"/>
        <v>0</v>
      </c>
      <c r="CT16" s="883">
        <f t="shared" ca="1" si="19"/>
        <v>0</v>
      </c>
      <c r="CU16" s="883">
        <f t="shared" ca="1" si="19"/>
        <v>0</v>
      </c>
      <c r="CV16" s="883">
        <f t="shared" ca="1" si="19"/>
        <v>0</v>
      </c>
      <c r="CW16" s="883">
        <f t="shared" ca="1" si="19"/>
        <v>0</v>
      </c>
      <c r="CX16" s="883">
        <f t="shared" ca="1" si="19"/>
        <v>0</v>
      </c>
      <c r="CY16" s="883">
        <f t="shared" ca="1" si="19"/>
        <v>0</v>
      </c>
      <c r="CZ16" s="883">
        <f t="shared" ca="1" si="19"/>
        <v>0</v>
      </c>
      <c r="DA16" s="883">
        <f t="shared" ca="1" si="19"/>
        <v>0</v>
      </c>
      <c r="DB16" s="883">
        <f t="shared" ca="1" si="19"/>
        <v>0</v>
      </c>
      <c r="DC16" s="883">
        <f t="shared" ca="1" si="19"/>
        <v>0</v>
      </c>
      <c r="DD16" s="883">
        <f t="shared" ca="1" si="19"/>
        <v>0</v>
      </c>
      <c r="DE16" s="883">
        <f t="shared" ca="1" si="19"/>
        <v>0</v>
      </c>
      <c r="DF16" s="883">
        <f t="shared" ca="1" si="19"/>
        <v>0</v>
      </c>
      <c r="DG16" s="883">
        <f t="shared" ca="1" si="19"/>
        <v>0</v>
      </c>
      <c r="DH16" s="883">
        <f t="shared" ca="1" si="15"/>
        <v>0</v>
      </c>
      <c r="DI16" s="883">
        <f t="shared" ca="1" si="15"/>
        <v>0</v>
      </c>
      <c r="DJ16" s="883">
        <f t="shared" ca="1" si="15"/>
        <v>0</v>
      </c>
      <c r="DK16" s="883">
        <f t="shared" ca="1" si="15"/>
        <v>0</v>
      </c>
      <c r="DL16" s="883">
        <f t="shared" ca="1" si="15"/>
        <v>0</v>
      </c>
      <c r="DM16" s="883">
        <f t="shared" ca="1" si="15"/>
        <v>0</v>
      </c>
      <c r="DN16" s="883">
        <f t="shared" ca="1" si="15"/>
        <v>0</v>
      </c>
      <c r="DO16" s="883">
        <f t="shared" ca="1" si="16"/>
        <v>0</v>
      </c>
      <c r="DP16" s="883">
        <f t="shared" ca="1" si="16"/>
        <v>0</v>
      </c>
      <c r="DQ16" s="883">
        <f t="shared" ca="1" si="16"/>
        <v>0</v>
      </c>
      <c r="DR16" s="883">
        <f t="shared" ca="1" si="16"/>
        <v>0</v>
      </c>
      <c r="DS16" s="883">
        <f t="shared" ca="1" si="16"/>
        <v>0</v>
      </c>
      <c r="DT16" s="883">
        <f t="shared" ca="1" si="16"/>
        <v>0</v>
      </c>
      <c r="DU16" s="883">
        <f t="shared" ca="1" si="16"/>
        <v>0</v>
      </c>
      <c r="DV16" s="883">
        <f t="shared" ca="1" si="16"/>
        <v>0</v>
      </c>
      <c r="DW16" s="883">
        <f t="shared" ca="1" si="16"/>
        <v>0</v>
      </c>
      <c r="DX16" s="883">
        <f t="shared" ca="1" si="16"/>
        <v>0</v>
      </c>
      <c r="DY16" s="883">
        <f t="shared" ca="1" si="16"/>
        <v>0</v>
      </c>
      <c r="DZ16" s="883">
        <f t="shared" ca="1" si="16"/>
        <v>0</v>
      </c>
      <c r="EA16" s="883">
        <f t="shared" ca="1" si="16"/>
        <v>0</v>
      </c>
      <c r="EB16" s="883">
        <f t="shared" ca="1" si="16"/>
        <v>0</v>
      </c>
      <c r="EC16" s="883">
        <f t="shared" ca="1" si="16"/>
        <v>0</v>
      </c>
      <c r="ED16" s="883">
        <f t="shared" ca="1" si="16"/>
        <v>0</v>
      </c>
      <c r="EE16" s="883">
        <f t="shared" ca="1" si="17"/>
        <v>0</v>
      </c>
      <c r="EF16" s="883">
        <f t="shared" ca="1" si="17"/>
        <v>0</v>
      </c>
      <c r="EG16" s="883">
        <f t="shared" ca="1" si="17"/>
        <v>0</v>
      </c>
      <c r="EH16" s="883">
        <f t="shared" ca="1" si="17"/>
        <v>0</v>
      </c>
      <c r="EI16" s="883">
        <f t="shared" ca="1" si="17"/>
        <v>0</v>
      </c>
      <c r="EJ16" s="883">
        <f t="shared" ca="1" si="17"/>
        <v>0</v>
      </c>
      <c r="EK16" s="883">
        <f t="shared" ca="1" si="17"/>
        <v>0</v>
      </c>
      <c r="EL16" s="883">
        <f t="shared" ca="1" si="17"/>
        <v>0</v>
      </c>
      <c r="EM16" s="883">
        <f t="shared" ca="1" si="17"/>
        <v>0</v>
      </c>
      <c r="EN16" s="883">
        <f t="shared" ca="1" si="17"/>
        <v>0</v>
      </c>
      <c r="EO16" s="883">
        <f t="shared" ca="1" si="17"/>
        <v>0</v>
      </c>
      <c r="EP16" s="883">
        <f t="shared" ca="1" si="17"/>
        <v>0</v>
      </c>
      <c r="EQ16" s="883">
        <f t="shared" ca="1" si="17"/>
        <v>0</v>
      </c>
      <c r="ER16" s="883">
        <f t="shared" ca="1" si="17"/>
        <v>0</v>
      </c>
      <c r="ES16" s="883">
        <f t="shared" ca="1" si="17"/>
        <v>0</v>
      </c>
      <c r="ET16" s="883">
        <f t="shared" ca="1" si="17"/>
        <v>0</v>
      </c>
      <c r="EU16" s="883">
        <f t="shared" ca="1" si="18"/>
        <v>0</v>
      </c>
      <c r="EV16" s="883">
        <f t="shared" ca="1" si="18"/>
        <v>0</v>
      </c>
      <c r="EW16" s="883">
        <f t="shared" ca="1" si="18"/>
        <v>0</v>
      </c>
      <c r="EX16" s="883">
        <f t="shared" ca="1" si="18"/>
        <v>0</v>
      </c>
      <c r="EY16" s="883">
        <f t="shared" ca="1" si="18"/>
        <v>0</v>
      </c>
      <c r="EZ16" s="883">
        <f t="shared" ca="1" si="18"/>
        <v>0</v>
      </c>
      <c r="FA16" s="883">
        <f t="shared" ca="1" si="18"/>
        <v>0</v>
      </c>
    </row>
    <row r="17" spans="1:157">
      <c r="A17" s="1526">
        <f t="shared" ca="1" si="20"/>
        <v>1</v>
      </c>
      <c r="B17" s="906">
        <f ca="1">IF(B16="","",IF(C17&gt;$B$2,"",C17))</f>
        <v>2029</v>
      </c>
      <c r="C17" s="907">
        <f ca="1">C16+1</f>
        <v>2029</v>
      </c>
      <c r="D17" s="1244">
        <f ca="1">IFERROR(VLOOKUP($C17,H:$K,$C$6,FALSE),"")</f>
        <v>16425</v>
      </c>
      <c r="E17" s="1248">
        <f ca="1">IFERROR(IF($A17=1,VLOOKUP($C17,$H:L,$D$6,FALSE),SUMIF($H:$H,"&lt;="&amp;$C17,IF($A$6=1,L:L,J:J))),"")</f>
        <v>0</v>
      </c>
      <c r="F17" s="1245">
        <f t="shared" ca="1" si="21"/>
        <v>90337.5</v>
      </c>
      <c r="G17" s="944">
        <f t="shared" ca="1" si="22"/>
        <v>0.27210090361445782</v>
      </c>
      <c r="H17" s="891">
        <f t="shared" ca="1" si="34"/>
        <v>2029</v>
      </c>
      <c r="I17" s="1206">
        <f t="shared" ca="1" si="32"/>
        <v>16425</v>
      </c>
      <c r="J17" s="1206">
        <f t="shared" ca="1" si="23"/>
        <v>0</v>
      </c>
      <c r="K17" s="929" t="str">
        <f t="shared" si="33"/>
        <v/>
      </c>
      <c r="L17" s="929" t="str">
        <f t="shared" si="24"/>
        <v/>
      </c>
      <c r="N17" s="1714">
        <v>11</v>
      </c>
      <c r="O17" s="1789" t="b">
        <f ca="1">庫存管理[[#This Row],[檢測]]</f>
        <v>0</v>
      </c>
      <c r="P17" s="882" t="e">
        <f ca="1">VLOOKUP(Q17,bond!B:AA,26,FALSE)</f>
        <v>#N/A</v>
      </c>
      <c r="Q17" s="883" t="str">
        <f ca="1">庫存管理[[#This Row],[商品代號]]</f>
        <v/>
      </c>
      <c r="R17" s="889">
        <f ca="1">IF(O17=TRUE,IFERROR(IF($D$4=1,庫存管理[[#This Row],[投入面額]]*庫存管理[[#This Row],[換算匯率(現)]],庫存管理[[#This Row],[投入面額]]),0),0)</f>
        <v>0</v>
      </c>
      <c r="S17" s="885" t="e">
        <f ca="1">庫存管理[[#This Row],[到期日]]</f>
        <v>#N/A</v>
      </c>
      <c r="T17" s="883">
        <f t="shared" ca="1" si="9"/>
        <v>0</v>
      </c>
      <c r="U17" s="885" t="str">
        <f ca="1">庫存管理[[#This Row],[下一配息日]]</f>
        <v/>
      </c>
      <c r="V17" s="886" t="str">
        <f t="shared" ca="1" si="10"/>
        <v/>
      </c>
      <c r="W17" s="885" t="e">
        <f ca="1">庫存管理[[#This Row],[到期日]]</f>
        <v>#N/A</v>
      </c>
      <c r="X17" s="886" t="str">
        <f t="shared" ca="1" si="11"/>
        <v/>
      </c>
      <c r="Y17" s="883" t="str">
        <f ca="1">庫存管理[[#This Row],[配息頻率]]</f>
        <v/>
      </c>
      <c r="Z17" s="883" t="str">
        <f>庫存管理[[#This Row],[投入面額]]</f>
        <v/>
      </c>
      <c r="AA17" s="909">
        <f ca="1">庫存管理[[#This Row],[票面利率]]</f>
        <v>0</v>
      </c>
      <c r="AB17" s="908">
        <f ca="1">庫存管理[[#This Row],[換算匯率(現)]]</f>
        <v>0</v>
      </c>
      <c r="AC17" s="887">
        <f t="shared" ca="1" si="12"/>
        <v>0</v>
      </c>
      <c r="AD17" s="883">
        <f t="shared" ca="1" si="13"/>
        <v>0</v>
      </c>
      <c r="AE17" s="883">
        <f t="shared" ca="1" si="35"/>
        <v>0</v>
      </c>
      <c r="AF17" s="883">
        <f t="shared" ca="1" si="35"/>
        <v>0</v>
      </c>
      <c r="AG17" s="883">
        <f t="shared" ca="1" si="35"/>
        <v>0</v>
      </c>
      <c r="AH17" s="883">
        <f t="shared" ca="1" si="35"/>
        <v>0</v>
      </c>
      <c r="AI17" s="883">
        <f t="shared" ca="1" si="35"/>
        <v>0</v>
      </c>
      <c r="AJ17" s="883">
        <f t="shared" ca="1" si="35"/>
        <v>0</v>
      </c>
      <c r="AK17" s="883">
        <f t="shared" ca="1" si="35"/>
        <v>0</v>
      </c>
      <c r="AL17" s="883">
        <f t="shared" ca="1" si="35"/>
        <v>0</v>
      </c>
      <c r="AM17" s="883">
        <f t="shared" ca="1" si="35"/>
        <v>0</v>
      </c>
      <c r="AN17" s="883">
        <f t="shared" ca="1" si="35"/>
        <v>0</v>
      </c>
      <c r="AO17" s="883">
        <f t="shared" ca="1" si="35"/>
        <v>0</v>
      </c>
      <c r="AP17" s="883">
        <f t="shared" ca="1" si="35"/>
        <v>0</v>
      </c>
      <c r="AQ17" s="883">
        <f t="shared" ca="1" si="35"/>
        <v>0</v>
      </c>
      <c r="AR17" s="883">
        <f t="shared" ca="1" si="35"/>
        <v>0</v>
      </c>
      <c r="AS17" s="883">
        <f t="shared" ca="1" si="35"/>
        <v>0</v>
      </c>
      <c r="AT17" s="883">
        <f t="shared" ca="1" si="35"/>
        <v>0</v>
      </c>
      <c r="AU17" s="883">
        <f t="shared" ca="1" si="36"/>
        <v>0</v>
      </c>
      <c r="AV17" s="883">
        <f t="shared" ca="1" si="36"/>
        <v>0</v>
      </c>
      <c r="AW17" s="883">
        <f t="shared" ca="1" si="36"/>
        <v>0</v>
      </c>
      <c r="AX17" s="883">
        <f t="shared" ca="1" si="36"/>
        <v>0</v>
      </c>
      <c r="AY17" s="883">
        <f t="shared" ca="1" si="36"/>
        <v>0</v>
      </c>
      <c r="AZ17" s="883">
        <f t="shared" ca="1" si="36"/>
        <v>0</v>
      </c>
      <c r="BA17" s="883">
        <f t="shared" ca="1" si="36"/>
        <v>0</v>
      </c>
      <c r="BB17" s="883">
        <f t="shared" ca="1" si="36"/>
        <v>0</v>
      </c>
      <c r="BC17" s="883">
        <f t="shared" ca="1" si="36"/>
        <v>0</v>
      </c>
      <c r="BD17" s="883">
        <f t="shared" ca="1" si="36"/>
        <v>0</v>
      </c>
      <c r="BE17" s="883">
        <f t="shared" ca="1" si="36"/>
        <v>0</v>
      </c>
      <c r="BF17" s="883">
        <f t="shared" ca="1" si="36"/>
        <v>0</v>
      </c>
      <c r="BG17" s="883">
        <f t="shared" ca="1" si="36"/>
        <v>0</v>
      </c>
      <c r="BH17" s="883">
        <f t="shared" ca="1" si="36"/>
        <v>0</v>
      </c>
      <c r="BI17" s="883">
        <f t="shared" ca="1" si="36"/>
        <v>0</v>
      </c>
      <c r="BJ17" s="883">
        <f t="shared" ca="1" si="36"/>
        <v>0</v>
      </c>
      <c r="BK17" s="883">
        <f t="shared" ca="1" si="37"/>
        <v>0</v>
      </c>
      <c r="BL17" s="883">
        <f t="shared" ca="1" si="37"/>
        <v>0</v>
      </c>
      <c r="BM17" s="883">
        <f t="shared" ca="1" si="37"/>
        <v>0</v>
      </c>
      <c r="BN17" s="883">
        <f t="shared" ca="1" si="37"/>
        <v>0</v>
      </c>
      <c r="BO17" s="883">
        <f t="shared" ca="1" si="37"/>
        <v>0</v>
      </c>
      <c r="BP17" s="883">
        <f t="shared" ca="1" si="37"/>
        <v>0</v>
      </c>
      <c r="BQ17" s="883">
        <f t="shared" ca="1" si="37"/>
        <v>0</v>
      </c>
      <c r="BR17" s="883">
        <f t="shared" ca="1" si="37"/>
        <v>0</v>
      </c>
      <c r="BS17" s="883">
        <f t="shared" ca="1" si="37"/>
        <v>0</v>
      </c>
      <c r="BT17" s="883">
        <f t="shared" ca="1" si="37"/>
        <v>0</v>
      </c>
      <c r="BU17" s="883">
        <f t="shared" ca="1" si="37"/>
        <v>0</v>
      </c>
      <c r="BV17" s="883">
        <f t="shared" ca="1" si="37"/>
        <v>0</v>
      </c>
      <c r="BW17" s="883">
        <f t="shared" ca="1" si="37"/>
        <v>0</v>
      </c>
      <c r="BX17" s="883">
        <f t="shared" ca="1" si="37"/>
        <v>0</v>
      </c>
      <c r="BY17" s="883">
        <f t="shared" ca="1" si="37"/>
        <v>0</v>
      </c>
      <c r="BZ17" s="883">
        <f t="shared" ca="1" si="37"/>
        <v>0</v>
      </c>
      <c r="CA17" s="883">
        <f t="shared" ca="1" si="38"/>
        <v>0</v>
      </c>
      <c r="CB17" s="883">
        <f t="shared" ca="1" si="38"/>
        <v>0</v>
      </c>
      <c r="CC17" s="883">
        <f t="shared" ca="1" si="38"/>
        <v>0</v>
      </c>
      <c r="CD17" s="883">
        <f t="shared" ca="1" si="38"/>
        <v>0</v>
      </c>
      <c r="CE17" s="883">
        <f t="shared" ca="1" si="38"/>
        <v>0</v>
      </c>
      <c r="CF17" s="883">
        <f t="shared" ca="1" si="38"/>
        <v>0</v>
      </c>
      <c r="CG17" s="883">
        <f t="shared" ca="1" si="38"/>
        <v>0</v>
      </c>
      <c r="CH17" s="883">
        <f t="shared" ca="1" si="38"/>
        <v>0</v>
      </c>
      <c r="CI17" s="883">
        <f t="shared" ca="1" si="38"/>
        <v>0</v>
      </c>
      <c r="CJ17" s="883">
        <f t="shared" ca="1" si="38"/>
        <v>0</v>
      </c>
      <c r="CK17" s="883">
        <f t="shared" ca="1" si="38"/>
        <v>0</v>
      </c>
      <c r="CL17" s="883">
        <f t="shared" ca="1" si="38"/>
        <v>0</v>
      </c>
      <c r="CM17" s="883">
        <f t="shared" ca="1" si="38"/>
        <v>0</v>
      </c>
      <c r="CN17" s="883">
        <f t="shared" ca="1" si="38"/>
        <v>0</v>
      </c>
      <c r="CO17" s="883">
        <f t="shared" ca="1" si="38"/>
        <v>0</v>
      </c>
      <c r="CP17" s="883">
        <f t="shared" ca="1" si="38"/>
        <v>0</v>
      </c>
      <c r="CQ17" s="883">
        <f ca="1">IFERROR(IF(YEAR($W17)&lt;CQ$4,0,IF(YEAR($W17)=CQ$4,IF($P17="美國國庫債券",ROUND(DATEDIF($U17,$W17,"M")/(12/$Y17),0)+1,DATEDIF($U17,$W17,"M")/(12/$Y17)+1),INT(DATEDIF($U17,CQ$5,"M")/(12/$Y17))+1)),0)</f>
        <v>0</v>
      </c>
      <c r="CR17" s="883">
        <f t="shared" ca="1" si="19"/>
        <v>0</v>
      </c>
      <c r="CS17" s="883">
        <f t="shared" ca="1" si="19"/>
        <v>0</v>
      </c>
      <c r="CT17" s="883">
        <f t="shared" ca="1" si="19"/>
        <v>0</v>
      </c>
      <c r="CU17" s="883">
        <f t="shared" ca="1" si="19"/>
        <v>0</v>
      </c>
      <c r="CV17" s="883">
        <f t="shared" ca="1" si="19"/>
        <v>0</v>
      </c>
      <c r="CW17" s="883">
        <f t="shared" ca="1" si="19"/>
        <v>0</v>
      </c>
      <c r="CX17" s="883">
        <f t="shared" ca="1" si="19"/>
        <v>0</v>
      </c>
      <c r="CY17" s="883">
        <f t="shared" ca="1" si="19"/>
        <v>0</v>
      </c>
      <c r="CZ17" s="883">
        <f t="shared" ca="1" si="19"/>
        <v>0</v>
      </c>
      <c r="DA17" s="883">
        <f t="shared" ca="1" si="19"/>
        <v>0</v>
      </c>
      <c r="DB17" s="883">
        <f t="shared" ca="1" si="19"/>
        <v>0</v>
      </c>
      <c r="DC17" s="883">
        <f t="shared" ca="1" si="19"/>
        <v>0</v>
      </c>
      <c r="DD17" s="883">
        <f t="shared" ca="1" si="19"/>
        <v>0</v>
      </c>
      <c r="DE17" s="883">
        <f t="shared" ca="1" si="19"/>
        <v>0</v>
      </c>
      <c r="DF17" s="883">
        <f t="shared" ca="1" si="19"/>
        <v>0</v>
      </c>
      <c r="DG17" s="883">
        <f t="shared" ca="1" si="19"/>
        <v>0</v>
      </c>
      <c r="DH17" s="883">
        <f t="shared" ca="1" si="15"/>
        <v>0</v>
      </c>
      <c r="DI17" s="883">
        <f t="shared" ca="1" si="15"/>
        <v>0</v>
      </c>
      <c r="DJ17" s="883">
        <f t="shared" ca="1" si="15"/>
        <v>0</v>
      </c>
      <c r="DK17" s="883">
        <f t="shared" ca="1" si="15"/>
        <v>0</v>
      </c>
      <c r="DL17" s="883">
        <f t="shared" ca="1" si="15"/>
        <v>0</v>
      </c>
      <c r="DM17" s="883">
        <f t="shared" ca="1" si="15"/>
        <v>0</v>
      </c>
      <c r="DN17" s="883">
        <f t="shared" ca="1" si="15"/>
        <v>0</v>
      </c>
      <c r="DO17" s="883">
        <f t="shared" ca="1" si="16"/>
        <v>0</v>
      </c>
      <c r="DP17" s="883">
        <f t="shared" ca="1" si="16"/>
        <v>0</v>
      </c>
      <c r="DQ17" s="883">
        <f t="shared" ca="1" si="16"/>
        <v>0</v>
      </c>
      <c r="DR17" s="883">
        <f t="shared" ca="1" si="16"/>
        <v>0</v>
      </c>
      <c r="DS17" s="883">
        <f t="shared" ca="1" si="16"/>
        <v>0</v>
      </c>
      <c r="DT17" s="883">
        <f t="shared" ca="1" si="16"/>
        <v>0</v>
      </c>
      <c r="DU17" s="883">
        <f t="shared" ca="1" si="16"/>
        <v>0</v>
      </c>
      <c r="DV17" s="883">
        <f t="shared" ca="1" si="16"/>
        <v>0</v>
      </c>
      <c r="DW17" s="883">
        <f t="shared" ca="1" si="16"/>
        <v>0</v>
      </c>
      <c r="DX17" s="883">
        <f t="shared" ca="1" si="16"/>
        <v>0</v>
      </c>
      <c r="DY17" s="883">
        <f t="shared" ca="1" si="16"/>
        <v>0</v>
      </c>
      <c r="DZ17" s="883">
        <f t="shared" ca="1" si="16"/>
        <v>0</v>
      </c>
      <c r="EA17" s="883">
        <f t="shared" ca="1" si="16"/>
        <v>0</v>
      </c>
      <c r="EB17" s="883">
        <f t="shared" ca="1" si="16"/>
        <v>0</v>
      </c>
      <c r="EC17" s="883">
        <f t="shared" ca="1" si="16"/>
        <v>0</v>
      </c>
      <c r="ED17" s="883">
        <f t="shared" ca="1" si="16"/>
        <v>0</v>
      </c>
      <c r="EE17" s="883">
        <f t="shared" ca="1" si="17"/>
        <v>0</v>
      </c>
      <c r="EF17" s="883">
        <f t="shared" ca="1" si="17"/>
        <v>0</v>
      </c>
      <c r="EG17" s="883">
        <f t="shared" ca="1" si="17"/>
        <v>0</v>
      </c>
      <c r="EH17" s="883">
        <f t="shared" ca="1" si="17"/>
        <v>0</v>
      </c>
      <c r="EI17" s="883">
        <f t="shared" ca="1" si="17"/>
        <v>0</v>
      </c>
      <c r="EJ17" s="883">
        <f t="shared" ca="1" si="17"/>
        <v>0</v>
      </c>
      <c r="EK17" s="883">
        <f t="shared" ca="1" si="17"/>
        <v>0</v>
      </c>
      <c r="EL17" s="883">
        <f t="shared" ca="1" si="17"/>
        <v>0</v>
      </c>
      <c r="EM17" s="883">
        <f t="shared" ca="1" si="17"/>
        <v>0</v>
      </c>
      <c r="EN17" s="883">
        <f t="shared" ca="1" si="17"/>
        <v>0</v>
      </c>
      <c r="EO17" s="883">
        <f t="shared" ca="1" si="17"/>
        <v>0</v>
      </c>
      <c r="EP17" s="883">
        <f t="shared" ca="1" si="17"/>
        <v>0</v>
      </c>
      <c r="EQ17" s="883">
        <f t="shared" ca="1" si="17"/>
        <v>0</v>
      </c>
      <c r="ER17" s="883">
        <f t="shared" ca="1" si="17"/>
        <v>0</v>
      </c>
      <c r="ES17" s="883">
        <f t="shared" ca="1" si="17"/>
        <v>0</v>
      </c>
      <c r="ET17" s="883">
        <f t="shared" ca="1" si="17"/>
        <v>0</v>
      </c>
      <c r="EU17" s="883">
        <f t="shared" ca="1" si="18"/>
        <v>0</v>
      </c>
      <c r="EV17" s="883">
        <f t="shared" ca="1" si="18"/>
        <v>0</v>
      </c>
      <c r="EW17" s="883">
        <f t="shared" ca="1" si="18"/>
        <v>0</v>
      </c>
      <c r="EX17" s="883">
        <f t="shared" ca="1" si="18"/>
        <v>0</v>
      </c>
      <c r="EY17" s="883">
        <f t="shared" ca="1" si="18"/>
        <v>0</v>
      </c>
      <c r="EZ17" s="883">
        <f t="shared" ca="1" si="18"/>
        <v>0</v>
      </c>
      <c r="FA17" s="883">
        <f t="shared" ca="1" si="18"/>
        <v>0</v>
      </c>
    </row>
    <row r="18" spans="1:157">
      <c r="A18" s="933">
        <f t="shared" ca="1" si="20"/>
        <v>5</v>
      </c>
      <c r="B18" s="933" t="str">
        <f ca="1">IF(B17="","",IF(C18&gt;$B$2,"",IF(A18=1,C18,CONCATENATE(C17+1,"~",C18))))</f>
        <v>2030~2034</v>
      </c>
      <c r="C18" s="937">
        <f ca="1">IF($C$4&gt;=5,C17+5,C17+1)</f>
        <v>2034</v>
      </c>
      <c r="D18" s="1246">
        <f ca="1">IFERROR(IF($A18=1,VLOOKUP($C18,$H:$K,$C$6,FALSE),SUMIFS(IF($A$6=1,K:K,I:I),$H:$H,"&gt;"&amp;$C17,$H:$H,"&lt;="&amp;$C18)),"")</f>
        <v>82125</v>
      </c>
      <c r="E18" s="1249">
        <f ca="1">IFERROR(IF($A18=1,VLOOKUP($C18,$H:L,$D$6,FALSE),SUMIFS(IF($A$6=1,L:L,J:J),$H:$H,"&gt;"&amp;$C17,$H:$H,"&lt;="&amp;$C18)),"")</f>
        <v>0</v>
      </c>
      <c r="F18" s="1245">
        <f t="shared" ca="1" si="21"/>
        <v>172462.5</v>
      </c>
      <c r="G18" s="944">
        <f t="shared" ca="1" si="22"/>
        <v>0.51946536144578315</v>
      </c>
      <c r="H18" s="891">
        <f t="shared" ca="1" si="34"/>
        <v>2030</v>
      </c>
      <c r="I18" s="1206">
        <f t="shared" ca="1" si="32"/>
        <v>16425</v>
      </c>
      <c r="J18" s="1206">
        <f t="shared" ca="1" si="23"/>
        <v>0</v>
      </c>
      <c r="K18" s="929" t="str">
        <f t="shared" si="33"/>
        <v/>
      </c>
      <c r="L18" s="929" t="str">
        <f t="shared" si="24"/>
        <v/>
      </c>
      <c r="N18" s="1714">
        <v>12</v>
      </c>
      <c r="O18" s="1789" t="b">
        <f ca="1">庫存管理[[#This Row],[檢測]]</f>
        <v>0</v>
      </c>
      <c r="P18" s="882" t="e">
        <f ca="1">VLOOKUP(Q18,bond!B:AA,26,FALSE)</f>
        <v>#N/A</v>
      </c>
      <c r="Q18" s="883" t="str">
        <f ca="1">庫存管理[[#This Row],[商品代號]]</f>
        <v/>
      </c>
      <c r="R18" s="889">
        <f ca="1">IF(O18=TRUE,IFERROR(IF($D$4=1,庫存管理[[#This Row],[投入面額]]*庫存管理[[#This Row],[換算匯率(現)]],庫存管理[[#This Row],[投入面額]]),0),0)</f>
        <v>0</v>
      </c>
      <c r="S18" s="885" t="e">
        <f ca="1">庫存管理[[#This Row],[到期日]]</f>
        <v>#N/A</v>
      </c>
      <c r="T18" s="883">
        <f t="shared" ca="1" si="9"/>
        <v>0</v>
      </c>
      <c r="U18" s="885" t="str">
        <f ca="1">庫存管理[[#This Row],[下一配息日]]</f>
        <v/>
      </c>
      <c r="V18" s="886" t="str">
        <f t="shared" ca="1" si="10"/>
        <v/>
      </c>
      <c r="W18" s="885" t="e">
        <f ca="1">庫存管理[[#This Row],[到期日]]</f>
        <v>#N/A</v>
      </c>
      <c r="X18" s="886" t="str">
        <f t="shared" ca="1" si="11"/>
        <v/>
      </c>
      <c r="Y18" s="883" t="str">
        <f ca="1">庫存管理[[#This Row],[配息頻率]]</f>
        <v/>
      </c>
      <c r="Z18" s="883" t="str">
        <f>庫存管理[[#This Row],[投入面額]]</f>
        <v/>
      </c>
      <c r="AA18" s="909">
        <f ca="1">庫存管理[[#This Row],[票面利率]]</f>
        <v>0</v>
      </c>
      <c r="AB18" s="908">
        <f ca="1">庫存管理[[#This Row],[換算匯率(現)]]</f>
        <v>0</v>
      </c>
      <c r="AC18" s="887">
        <f t="shared" ca="1" si="12"/>
        <v>0</v>
      </c>
      <c r="AD18" s="883">
        <f t="shared" ca="1" si="13"/>
        <v>0</v>
      </c>
      <c r="AE18" s="883">
        <f t="shared" ca="1" si="35"/>
        <v>0</v>
      </c>
      <c r="AF18" s="883">
        <f t="shared" ca="1" si="35"/>
        <v>0</v>
      </c>
      <c r="AG18" s="883">
        <f ca="1">IFERROR(IF(YEAR($W18)&lt;AG$4,0,IF(YEAR($W18)=AG$4,IF($P18="美國國庫債券",ROUND(DATEDIF($U18,$W18,"M")/(12/$Y18),0)+1,DATEDIF($U18,$W18,"M")/(12/$Y18)+1),INT(DATEDIF($U18,AG$5,"M")/(12/$Y18))+1)),0)</f>
        <v>0</v>
      </c>
      <c r="AH18" s="883">
        <f t="shared" ca="1" si="35"/>
        <v>0</v>
      </c>
      <c r="AI18" s="883">
        <f t="shared" ca="1" si="35"/>
        <v>0</v>
      </c>
      <c r="AJ18" s="883">
        <f t="shared" ca="1" si="35"/>
        <v>0</v>
      </c>
      <c r="AK18" s="883">
        <f t="shared" ca="1" si="35"/>
        <v>0</v>
      </c>
      <c r="AL18" s="883">
        <f t="shared" ca="1" si="35"/>
        <v>0</v>
      </c>
      <c r="AM18" s="883">
        <f t="shared" ca="1" si="35"/>
        <v>0</v>
      </c>
      <c r="AN18" s="883">
        <f t="shared" ca="1" si="35"/>
        <v>0</v>
      </c>
      <c r="AO18" s="883">
        <f t="shared" ca="1" si="35"/>
        <v>0</v>
      </c>
      <c r="AP18" s="883">
        <f t="shared" ca="1" si="35"/>
        <v>0</v>
      </c>
      <c r="AQ18" s="883">
        <f t="shared" ca="1" si="35"/>
        <v>0</v>
      </c>
      <c r="AR18" s="883">
        <f t="shared" ca="1" si="35"/>
        <v>0</v>
      </c>
      <c r="AS18" s="883">
        <f t="shared" ca="1" si="35"/>
        <v>0</v>
      </c>
      <c r="AT18" s="883">
        <f t="shared" ca="1" si="35"/>
        <v>0</v>
      </c>
      <c r="AU18" s="883">
        <f t="shared" ca="1" si="36"/>
        <v>0</v>
      </c>
      <c r="AV18" s="883">
        <f t="shared" ca="1" si="36"/>
        <v>0</v>
      </c>
      <c r="AW18" s="883">
        <f t="shared" ca="1" si="36"/>
        <v>0</v>
      </c>
      <c r="AX18" s="883">
        <f t="shared" ca="1" si="36"/>
        <v>0</v>
      </c>
      <c r="AY18" s="883">
        <f t="shared" ca="1" si="36"/>
        <v>0</v>
      </c>
      <c r="AZ18" s="883">
        <f t="shared" ca="1" si="36"/>
        <v>0</v>
      </c>
      <c r="BA18" s="883">
        <f t="shared" ca="1" si="36"/>
        <v>0</v>
      </c>
      <c r="BB18" s="883">
        <f t="shared" ca="1" si="36"/>
        <v>0</v>
      </c>
      <c r="BC18" s="883">
        <f t="shared" ca="1" si="36"/>
        <v>0</v>
      </c>
      <c r="BD18" s="883">
        <f t="shared" ca="1" si="36"/>
        <v>0</v>
      </c>
      <c r="BE18" s="883">
        <f t="shared" ca="1" si="36"/>
        <v>0</v>
      </c>
      <c r="BF18" s="883">
        <f t="shared" ca="1" si="36"/>
        <v>0</v>
      </c>
      <c r="BG18" s="883">
        <f t="shared" ca="1" si="36"/>
        <v>0</v>
      </c>
      <c r="BH18" s="883">
        <f t="shared" ca="1" si="36"/>
        <v>0</v>
      </c>
      <c r="BI18" s="883">
        <f t="shared" ca="1" si="36"/>
        <v>0</v>
      </c>
      <c r="BJ18" s="883">
        <f t="shared" ca="1" si="36"/>
        <v>0</v>
      </c>
      <c r="BK18" s="883">
        <f t="shared" ca="1" si="37"/>
        <v>0</v>
      </c>
      <c r="BL18" s="883">
        <f t="shared" ca="1" si="37"/>
        <v>0</v>
      </c>
      <c r="BM18" s="883">
        <f t="shared" ca="1" si="37"/>
        <v>0</v>
      </c>
      <c r="BN18" s="883">
        <f t="shared" ca="1" si="37"/>
        <v>0</v>
      </c>
      <c r="BO18" s="883">
        <f t="shared" ca="1" si="37"/>
        <v>0</v>
      </c>
      <c r="BP18" s="883">
        <f t="shared" ca="1" si="37"/>
        <v>0</v>
      </c>
      <c r="BQ18" s="883">
        <f t="shared" ca="1" si="37"/>
        <v>0</v>
      </c>
      <c r="BR18" s="883">
        <f t="shared" ca="1" si="37"/>
        <v>0</v>
      </c>
      <c r="BS18" s="883">
        <f t="shared" ca="1" si="37"/>
        <v>0</v>
      </c>
      <c r="BT18" s="883">
        <f t="shared" ca="1" si="37"/>
        <v>0</v>
      </c>
      <c r="BU18" s="883">
        <f t="shared" ca="1" si="37"/>
        <v>0</v>
      </c>
      <c r="BV18" s="883">
        <f t="shared" ca="1" si="37"/>
        <v>0</v>
      </c>
      <c r="BW18" s="883">
        <f t="shared" ca="1" si="37"/>
        <v>0</v>
      </c>
      <c r="BX18" s="883">
        <f t="shared" ca="1" si="37"/>
        <v>0</v>
      </c>
      <c r="BY18" s="883">
        <f t="shared" ca="1" si="37"/>
        <v>0</v>
      </c>
      <c r="BZ18" s="883">
        <f t="shared" ca="1" si="37"/>
        <v>0</v>
      </c>
      <c r="CA18" s="883">
        <f t="shared" ca="1" si="38"/>
        <v>0</v>
      </c>
      <c r="CB18" s="883">
        <f t="shared" ca="1" si="38"/>
        <v>0</v>
      </c>
      <c r="CC18" s="883">
        <f t="shared" ca="1" si="38"/>
        <v>0</v>
      </c>
      <c r="CD18" s="883">
        <f t="shared" ca="1" si="38"/>
        <v>0</v>
      </c>
      <c r="CE18" s="883">
        <f t="shared" ca="1" si="38"/>
        <v>0</v>
      </c>
      <c r="CF18" s="883">
        <f t="shared" ca="1" si="38"/>
        <v>0</v>
      </c>
      <c r="CG18" s="883">
        <f t="shared" ca="1" si="38"/>
        <v>0</v>
      </c>
      <c r="CH18" s="883">
        <f t="shared" ca="1" si="38"/>
        <v>0</v>
      </c>
      <c r="CI18" s="883">
        <f t="shared" ca="1" si="38"/>
        <v>0</v>
      </c>
      <c r="CJ18" s="883">
        <f t="shared" ca="1" si="38"/>
        <v>0</v>
      </c>
      <c r="CK18" s="883">
        <f t="shared" ca="1" si="38"/>
        <v>0</v>
      </c>
      <c r="CL18" s="883">
        <f t="shared" ca="1" si="38"/>
        <v>0</v>
      </c>
      <c r="CM18" s="883">
        <f t="shared" ca="1" si="38"/>
        <v>0</v>
      </c>
      <c r="CN18" s="883">
        <f t="shared" ca="1" si="38"/>
        <v>0</v>
      </c>
      <c r="CO18" s="883">
        <f t="shared" ca="1" si="38"/>
        <v>0</v>
      </c>
      <c r="CP18" s="883">
        <f t="shared" ca="1" si="38"/>
        <v>0</v>
      </c>
      <c r="CQ18" s="883">
        <f ca="1">IFERROR(IF(YEAR($W18)&lt;CQ$4,0,IF(YEAR($W18)=CQ$4,IF($P18="美國國庫債券",ROUND(DATEDIF($U18,$W18,"M")/(12/$Y18),0)+1,DATEDIF($U18,$W18,"M")/(12/$Y18)+1),INT(DATEDIF($U18,CQ$5,"M")/(12/$Y18))+1)),0)</f>
        <v>0</v>
      </c>
      <c r="CR18" s="883">
        <f t="shared" ca="1" si="19"/>
        <v>0</v>
      </c>
      <c r="CS18" s="883">
        <f t="shared" ca="1" si="19"/>
        <v>0</v>
      </c>
      <c r="CT18" s="883">
        <f t="shared" ca="1" si="19"/>
        <v>0</v>
      </c>
      <c r="CU18" s="883">
        <f t="shared" ca="1" si="19"/>
        <v>0</v>
      </c>
      <c r="CV18" s="883">
        <f t="shared" ca="1" si="19"/>
        <v>0</v>
      </c>
      <c r="CW18" s="883">
        <f t="shared" ca="1" si="19"/>
        <v>0</v>
      </c>
      <c r="CX18" s="883">
        <f t="shared" ca="1" si="19"/>
        <v>0</v>
      </c>
      <c r="CY18" s="883">
        <f t="shared" ca="1" si="19"/>
        <v>0</v>
      </c>
      <c r="CZ18" s="883">
        <f t="shared" ca="1" si="19"/>
        <v>0</v>
      </c>
      <c r="DA18" s="883">
        <f t="shared" ca="1" si="19"/>
        <v>0</v>
      </c>
      <c r="DB18" s="883">
        <f t="shared" ca="1" si="19"/>
        <v>0</v>
      </c>
      <c r="DC18" s="883">
        <f t="shared" ca="1" si="19"/>
        <v>0</v>
      </c>
      <c r="DD18" s="883">
        <f t="shared" ca="1" si="19"/>
        <v>0</v>
      </c>
      <c r="DE18" s="883">
        <f t="shared" ca="1" si="19"/>
        <v>0</v>
      </c>
      <c r="DF18" s="883">
        <f t="shared" ca="1" si="19"/>
        <v>0</v>
      </c>
      <c r="DG18" s="883">
        <f t="shared" ca="1" si="19"/>
        <v>0</v>
      </c>
      <c r="DH18" s="883">
        <f t="shared" ca="1" si="15"/>
        <v>0</v>
      </c>
      <c r="DI18" s="883">
        <f t="shared" ca="1" si="15"/>
        <v>0</v>
      </c>
      <c r="DJ18" s="883">
        <f t="shared" ca="1" si="15"/>
        <v>0</v>
      </c>
      <c r="DK18" s="883">
        <f t="shared" ca="1" si="15"/>
        <v>0</v>
      </c>
      <c r="DL18" s="883">
        <f t="shared" ca="1" si="15"/>
        <v>0</v>
      </c>
      <c r="DM18" s="883">
        <f t="shared" ca="1" si="15"/>
        <v>0</v>
      </c>
      <c r="DN18" s="883">
        <f t="shared" ca="1" si="15"/>
        <v>0</v>
      </c>
      <c r="DO18" s="883">
        <f t="shared" ca="1" si="16"/>
        <v>0</v>
      </c>
      <c r="DP18" s="883">
        <f t="shared" ca="1" si="16"/>
        <v>0</v>
      </c>
      <c r="DQ18" s="883">
        <f t="shared" ca="1" si="16"/>
        <v>0</v>
      </c>
      <c r="DR18" s="883">
        <f t="shared" ca="1" si="16"/>
        <v>0</v>
      </c>
      <c r="DS18" s="883">
        <f t="shared" ca="1" si="16"/>
        <v>0</v>
      </c>
      <c r="DT18" s="883">
        <f t="shared" ca="1" si="16"/>
        <v>0</v>
      </c>
      <c r="DU18" s="883">
        <f t="shared" ca="1" si="16"/>
        <v>0</v>
      </c>
      <c r="DV18" s="883">
        <f t="shared" ca="1" si="16"/>
        <v>0</v>
      </c>
      <c r="DW18" s="883">
        <f t="shared" ca="1" si="16"/>
        <v>0</v>
      </c>
      <c r="DX18" s="883">
        <f t="shared" ca="1" si="16"/>
        <v>0</v>
      </c>
      <c r="DY18" s="883">
        <f t="shared" ca="1" si="16"/>
        <v>0</v>
      </c>
      <c r="DZ18" s="883">
        <f t="shared" ca="1" si="16"/>
        <v>0</v>
      </c>
      <c r="EA18" s="883">
        <f t="shared" ca="1" si="16"/>
        <v>0</v>
      </c>
      <c r="EB18" s="883">
        <f t="shared" ca="1" si="16"/>
        <v>0</v>
      </c>
      <c r="EC18" s="883">
        <f t="shared" ca="1" si="16"/>
        <v>0</v>
      </c>
      <c r="ED18" s="883">
        <f t="shared" ca="1" si="16"/>
        <v>0</v>
      </c>
      <c r="EE18" s="883">
        <f t="shared" ca="1" si="17"/>
        <v>0</v>
      </c>
      <c r="EF18" s="883">
        <f t="shared" ca="1" si="17"/>
        <v>0</v>
      </c>
      <c r="EG18" s="883">
        <f t="shared" ca="1" si="17"/>
        <v>0</v>
      </c>
      <c r="EH18" s="883">
        <f t="shared" ca="1" si="17"/>
        <v>0</v>
      </c>
      <c r="EI18" s="883">
        <f t="shared" ca="1" si="17"/>
        <v>0</v>
      </c>
      <c r="EJ18" s="883">
        <f t="shared" ca="1" si="17"/>
        <v>0</v>
      </c>
      <c r="EK18" s="883">
        <f t="shared" ca="1" si="17"/>
        <v>0</v>
      </c>
      <c r="EL18" s="883">
        <f t="shared" ca="1" si="17"/>
        <v>0</v>
      </c>
      <c r="EM18" s="883">
        <f t="shared" ca="1" si="17"/>
        <v>0</v>
      </c>
      <c r="EN18" s="883">
        <f t="shared" ca="1" si="17"/>
        <v>0</v>
      </c>
      <c r="EO18" s="883">
        <f t="shared" ca="1" si="17"/>
        <v>0</v>
      </c>
      <c r="EP18" s="883">
        <f t="shared" ca="1" si="17"/>
        <v>0</v>
      </c>
      <c r="EQ18" s="883">
        <f t="shared" ca="1" si="17"/>
        <v>0</v>
      </c>
      <c r="ER18" s="883">
        <f t="shared" ca="1" si="17"/>
        <v>0</v>
      </c>
      <c r="ES18" s="883">
        <f t="shared" ca="1" si="17"/>
        <v>0</v>
      </c>
      <c r="ET18" s="883">
        <f t="shared" ca="1" si="17"/>
        <v>0</v>
      </c>
      <c r="EU18" s="883">
        <f t="shared" ca="1" si="18"/>
        <v>0</v>
      </c>
      <c r="EV18" s="883">
        <f t="shared" ca="1" si="18"/>
        <v>0</v>
      </c>
      <c r="EW18" s="883">
        <f t="shared" ca="1" si="18"/>
        <v>0</v>
      </c>
      <c r="EX18" s="883">
        <f t="shared" ca="1" si="18"/>
        <v>0</v>
      </c>
      <c r="EY18" s="883">
        <f t="shared" ca="1" si="18"/>
        <v>0</v>
      </c>
      <c r="EZ18" s="883">
        <f t="shared" ca="1" si="18"/>
        <v>0</v>
      </c>
      <c r="FA18" s="883">
        <f t="shared" ca="1" si="18"/>
        <v>0</v>
      </c>
    </row>
    <row r="19" spans="1:157">
      <c r="A19" s="933">
        <f t="shared" ca="1" si="20"/>
        <v>5</v>
      </c>
      <c r="B19" s="933" t="str">
        <f ca="1">IF(B18="","",IF(C19&gt;$B$2,"",IF(A19=1,C19,CONCATENATE(C18+1,"~",C19))))</f>
        <v>2035~2039</v>
      </c>
      <c r="C19" s="937">
        <f ca="1">IF($C$4&gt;=4,C18+5,C18+1)</f>
        <v>2039</v>
      </c>
      <c r="D19" s="1246">
        <f ca="1">IFERROR(IF($A19=1,VLOOKUP($C19,$H:$K,$C$6,FALSE),SUMIFS(IF($A$6=1,K:K,I:I),$H:$H,"&gt;"&amp;$C18,$H:$H,"&lt;="&amp;$C19)),"")</f>
        <v>82125</v>
      </c>
      <c r="E19" s="1249">
        <f ca="1">IFERROR(IF($A19=1,VLOOKUP($C19,$H:L,$D$6,FALSE),SUMIFS(IF($A$6=1,L:L,J:J),$H:$H,"&gt;"&amp;$C18,$H:$H,"&lt;="&amp;$C19)),"")</f>
        <v>0</v>
      </c>
      <c r="F19" s="1245">
        <f t="shared" ca="1" si="21"/>
        <v>254587.5</v>
      </c>
      <c r="G19" s="944">
        <f t="shared" ca="1" si="22"/>
        <v>0.76682981927710847</v>
      </c>
      <c r="H19" s="891">
        <f t="shared" ca="1" si="34"/>
        <v>2031</v>
      </c>
      <c r="I19" s="1206">
        <f t="shared" ca="1" si="32"/>
        <v>16425</v>
      </c>
      <c r="J19" s="1206">
        <f t="shared" ca="1" si="23"/>
        <v>0</v>
      </c>
      <c r="K19" s="929" t="str">
        <f t="shared" si="33"/>
        <v/>
      </c>
      <c r="L19" s="929" t="str">
        <f t="shared" si="24"/>
        <v/>
      </c>
      <c r="N19" s="1714">
        <v>13</v>
      </c>
      <c r="O19" s="1789" t="b">
        <f ca="1">庫存管理[[#This Row],[檢測]]</f>
        <v>0</v>
      </c>
      <c r="P19" s="882" t="e">
        <f ca="1">VLOOKUP(Q19,bond!B:AA,26,FALSE)</f>
        <v>#N/A</v>
      </c>
      <c r="Q19" s="883" t="str">
        <f ca="1">庫存管理[[#This Row],[商品代號]]</f>
        <v/>
      </c>
      <c r="R19" s="889">
        <f ca="1">IF(O19=TRUE,IFERROR(IF($D$4=1,庫存管理[[#This Row],[投入面額]]*庫存管理[[#This Row],[換算匯率(現)]],庫存管理[[#This Row],[投入面額]]),0),0)</f>
        <v>0</v>
      </c>
      <c r="S19" s="885" t="e">
        <f ca="1">庫存管理[[#This Row],[到期日]]</f>
        <v>#N/A</v>
      </c>
      <c r="T19" s="883">
        <f t="shared" ca="1" si="9"/>
        <v>0</v>
      </c>
      <c r="U19" s="885" t="str">
        <f ca="1">庫存管理[[#This Row],[下一配息日]]</f>
        <v/>
      </c>
      <c r="V19" s="886" t="str">
        <f t="shared" ref="V19:V42" ca="1" si="39">IFERROR(YEAR(U19),"")</f>
        <v/>
      </c>
      <c r="W19" s="885" t="e">
        <f ca="1">庫存管理[[#This Row],[到期日]]</f>
        <v>#N/A</v>
      </c>
      <c r="X19" s="886" t="str">
        <f t="shared" ref="X19:X42" ca="1" si="40">IFERROR(YEAR(W19),"")</f>
        <v/>
      </c>
      <c r="Y19" s="883" t="str">
        <f ca="1">庫存管理[[#This Row],[配息頻率]]</f>
        <v/>
      </c>
      <c r="Z19" s="883" t="str">
        <f>庫存管理[[#This Row],[投入面額]]</f>
        <v/>
      </c>
      <c r="AA19" s="909">
        <f ca="1">庫存管理[[#This Row],[票面利率]]</f>
        <v>0</v>
      </c>
      <c r="AB19" s="908">
        <f ca="1">庫存管理[[#This Row],[換算匯率(現)]]</f>
        <v>0</v>
      </c>
      <c r="AC19" s="887">
        <f t="shared" ca="1" si="12"/>
        <v>0</v>
      </c>
      <c r="AD19" s="883">
        <f t="shared" ca="1" si="13"/>
        <v>0</v>
      </c>
      <c r="AE19" s="883">
        <f t="shared" ca="1" si="35"/>
        <v>0</v>
      </c>
      <c r="AF19" s="883">
        <f t="shared" ca="1" si="35"/>
        <v>0</v>
      </c>
      <c r="AG19" s="883">
        <f t="shared" ca="1" si="35"/>
        <v>0</v>
      </c>
      <c r="AH19" s="883">
        <f t="shared" ca="1" si="35"/>
        <v>0</v>
      </c>
      <c r="AI19" s="883">
        <f t="shared" ca="1" si="35"/>
        <v>0</v>
      </c>
      <c r="AJ19" s="883">
        <f t="shared" ca="1" si="35"/>
        <v>0</v>
      </c>
      <c r="AK19" s="883">
        <f t="shared" ca="1" si="35"/>
        <v>0</v>
      </c>
      <c r="AL19" s="883">
        <f t="shared" ca="1" si="35"/>
        <v>0</v>
      </c>
      <c r="AM19" s="883">
        <f t="shared" ca="1" si="35"/>
        <v>0</v>
      </c>
      <c r="AN19" s="883">
        <f t="shared" ca="1" si="35"/>
        <v>0</v>
      </c>
      <c r="AO19" s="883">
        <f t="shared" ca="1" si="35"/>
        <v>0</v>
      </c>
      <c r="AP19" s="883">
        <f t="shared" ca="1" si="35"/>
        <v>0</v>
      </c>
      <c r="AQ19" s="883">
        <f t="shared" ca="1" si="35"/>
        <v>0</v>
      </c>
      <c r="AR19" s="883">
        <f t="shared" ca="1" si="35"/>
        <v>0</v>
      </c>
      <c r="AS19" s="883">
        <f t="shared" ca="1" si="35"/>
        <v>0</v>
      </c>
      <c r="AT19" s="883">
        <f t="shared" ca="1" si="35"/>
        <v>0</v>
      </c>
      <c r="AU19" s="883">
        <f t="shared" ca="1" si="36"/>
        <v>0</v>
      </c>
      <c r="AV19" s="883">
        <f t="shared" ca="1" si="36"/>
        <v>0</v>
      </c>
      <c r="AW19" s="883">
        <f t="shared" ca="1" si="36"/>
        <v>0</v>
      </c>
      <c r="AX19" s="883">
        <f t="shared" ca="1" si="36"/>
        <v>0</v>
      </c>
      <c r="AY19" s="883">
        <f t="shared" ca="1" si="36"/>
        <v>0</v>
      </c>
      <c r="AZ19" s="883">
        <f t="shared" ca="1" si="36"/>
        <v>0</v>
      </c>
      <c r="BA19" s="883">
        <f t="shared" ca="1" si="36"/>
        <v>0</v>
      </c>
      <c r="BB19" s="883">
        <f t="shared" ca="1" si="36"/>
        <v>0</v>
      </c>
      <c r="BC19" s="883">
        <f t="shared" ca="1" si="36"/>
        <v>0</v>
      </c>
      <c r="BD19" s="883">
        <f t="shared" ca="1" si="36"/>
        <v>0</v>
      </c>
      <c r="BE19" s="883">
        <f t="shared" ca="1" si="36"/>
        <v>0</v>
      </c>
      <c r="BF19" s="883">
        <f t="shared" ca="1" si="36"/>
        <v>0</v>
      </c>
      <c r="BG19" s="883">
        <f t="shared" ca="1" si="36"/>
        <v>0</v>
      </c>
      <c r="BH19" s="883">
        <f t="shared" ca="1" si="36"/>
        <v>0</v>
      </c>
      <c r="BI19" s="883">
        <f t="shared" ca="1" si="36"/>
        <v>0</v>
      </c>
      <c r="BJ19" s="883">
        <f t="shared" ca="1" si="36"/>
        <v>0</v>
      </c>
      <c r="BK19" s="883">
        <f t="shared" ca="1" si="37"/>
        <v>0</v>
      </c>
      <c r="BL19" s="883">
        <f t="shared" ca="1" si="37"/>
        <v>0</v>
      </c>
      <c r="BM19" s="883">
        <f t="shared" ca="1" si="37"/>
        <v>0</v>
      </c>
      <c r="BN19" s="883">
        <f t="shared" ca="1" si="37"/>
        <v>0</v>
      </c>
      <c r="BO19" s="883">
        <f t="shared" ca="1" si="37"/>
        <v>0</v>
      </c>
      <c r="BP19" s="883">
        <f t="shared" ca="1" si="37"/>
        <v>0</v>
      </c>
      <c r="BQ19" s="883">
        <f t="shared" ca="1" si="37"/>
        <v>0</v>
      </c>
      <c r="BR19" s="883">
        <f t="shared" ca="1" si="37"/>
        <v>0</v>
      </c>
      <c r="BS19" s="883">
        <f t="shared" ca="1" si="37"/>
        <v>0</v>
      </c>
      <c r="BT19" s="883">
        <f t="shared" ca="1" si="37"/>
        <v>0</v>
      </c>
      <c r="BU19" s="883">
        <f t="shared" ca="1" si="37"/>
        <v>0</v>
      </c>
      <c r="BV19" s="883">
        <f t="shared" ca="1" si="37"/>
        <v>0</v>
      </c>
      <c r="BW19" s="883">
        <f t="shared" ca="1" si="37"/>
        <v>0</v>
      </c>
      <c r="BX19" s="883">
        <f t="shared" ca="1" si="37"/>
        <v>0</v>
      </c>
      <c r="BY19" s="883">
        <f t="shared" ca="1" si="37"/>
        <v>0</v>
      </c>
      <c r="BZ19" s="883">
        <f t="shared" ca="1" si="37"/>
        <v>0</v>
      </c>
      <c r="CA19" s="883">
        <f t="shared" ca="1" si="38"/>
        <v>0</v>
      </c>
      <c r="CB19" s="883">
        <f t="shared" ca="1" si="38"/>
        <v>0</v>
      </c>
      <c r="CC19" s="883">
        <f t="shared" ca="1" si="38"/>
        <v>0</v>
      </c>
      <c r="CD19" s="883">
        <f t="shared" ca="1" si="38"/>
        <v>0</v>
      </c>
      <c r="CE19" s="883">
        <f t="shared" ca="1" si="38"/>
        <v>0</v>
      </c>
      <c r="CF19" s="883">
        <f t="shared" ca="1" si="38"/>
        <v>0</v>
      </c>
      <c r="CG19" s="883">
        <f t="shared" ca="1" si="38"/>
        <v>0</v>
      </c>
      <c r="CH19" s="883">
        <f t="shared" ca="1" si="38"/>
        <v>0</v>
      </c>
      <c r="CI19" s="883">
        <f t="shared" ca="1" si="38"/>
        <v>0</v>
      </c>
      <c r="CJ19" s="883">
        <f t="shared" ca="1" si="38"/>
        <v>0</v>
      </c>
      <c r="CK19" s="883">
        <f t="shared" ca="1" si="38"/>
        <v>0</v>
      </c>
      <c r="CL19" s="883">
        <f t="shared" ca="1" si="38"/>
        <v>0</v>
      </c>
      <c r="CM19" s="883">
        <f t="shared" ca="1" si="38"/>
        <v>0</v>
      </c>
      <c r="CN19" s="883">
        <f t="shared" ca="1" si="38"/>
        <v>0</v>
      </c>
      <c r="CO19" s="883">
        <f t="shared" ca="1" si="38"/>
        <v>0</v>
      </c>
      <c r="CP19" s="883">
        <f t="shared" ca="1" si="38"/>
        <v>0</v>
      </c>
      <c r="CQ19" s="883">
        <f t="shared" ref="CQ19:DF42" ca="1" si="41">IFERROR(IF(YEAR($W19)&lt;CQ$4,0,IF(YEAR($W19)=CQ$4,IF($P19="美國國庫債券",ROUND(DATEDIF($U19,$W19,"M")/(12/$Y19),0)+1,DATEDIF($U19,$W19,"M")/(12/$Y19)+1),INT(DATEDIF($U19,CQ$5,"M")/(12/$Y19))+1)),0)</f>
        <v>0</v>
      </c>
      <c r="CR19" s="883">
        <f t="shared" ca="1" si="19"/>
        <v>0</v>
      </c>
      <c r="CS19" s="883">
        <f t="shared" ca="1" si="19"/>
        <v>0</v>
      </c>
      <c r="CT19" s="883">
        <f t="shared" ca="1" si="19"/>
        <v>0</v>
      </c>
      <c r="CU19" s="883">
        <f t="shared" ca="1" si="19"/>
        <v>0</v>
      </c>
      <c r="CV19" s="883">
        <f t="shared" ca="1" si="19"/>
        <v>0</v>
      </c>
      <c r="CW19" s="883">
        <f t="shared" ca="1" si="19"/>
        <v>0</v>
      </c>
      <c r="CX19" s="883">
        <f t="shared" ca="1" si="19"/>
        <v>0</v>
      </c>
      <c r="CY19" s="883">
        <f t="shared" ca="1" si="19"/>
        <v>0</v>
      </c>
      <c r="CZ19" s="883">
        <f t="shared" ca="1" si="19"/>
        <v>0</v>
      </c>
      <c r="DA19" s="883">
        <f t="shared" ca="1" si="19"/>
        <v>0</v>
      </c>
      <c r="DB19" s="883">
        <f t="shared" ca="1" si="19"/>
        <v>0</v>
      </c>
      <c r="DC19" s="883">
        <f t="shared" ca="1" si="19"/>
        <v>0</v>
      </c>
      <c r="DD19" s="883">
        <f t="shared" ca="1" si="19"/>
        <v>0</v>
      </c>
      <c r="DE19" s="883">
        <f t="shared" ca="1" si="19"/>
        <v>0</v>
      </c>
      <c r="DF19" s="883">
        <f t="shared" ca="1" si="19"/>
        <v>0</v>
      </c>
      <c r="DG19" s="883">
        <f t="shared" ca="1" si="19"/>
        <v>0</v>
      </c>
      <c r="DH19" s="883">
        <f t="shared" ca="1" si="15"/>
        <v>0</v>
      </c>
      <c r="DI19" s="883">
        <f t="shared" ca="1" si="15"/>
        <v>0</v>
      </c>
      <c r="DJ19" s="883">
        <f t="shared" ca="1" si="15"/>
        <v>0</v>
      </c>
      <c r="DK19" s="883">
        <f t="shared" ca="1" si="15"/>
        <v>0</v>
      </c>
      <c r="DL19" s="883">
        <f t="shared" ca="1" si="15"/>
        <v>0</v>
      </c>
      <c r="DM19" s="883">
        <f t="shared" ca="1" si="15"/>
        <v>0</v>
      </c>
      <c r="DN19" s="883">
        <f t="shared" ca="1" si="15"/>
        <v>0</v>
      </c>
      <c r="DO19" s="883">
        <f t="shared" ca="1" si="16"/>
        <v>0</v>
      </c>
      <c r="DP19" s="883">
        <f t="shared" ca="1" si="16"/>
        <v>0</v>
      </c>
      <c r="DQ19" s="883">
        <f t="shared" ca="1" si="16"/>
        <v>0</v>
      </c>
      <c r="DR19" s="883">
        <f t="shared" ca="1" si="16"/>
        <v>0</v>
      </c>
      <c r="DS19" s="883">
        <f t="shared" ca="1" si="16"/>
        <v>0</v>
      </c>
      <c r="DT19" s="883">
        <f t="shared" ca="1" si="16"/>
        <v>0</v>
      </c>
      <c r="DU19" s="883">
        <f t="shared" ca="1" si="16"/>
        <v>0</v>
      </c>
      <c r="DV19" s="883">
        <f t="shared" ca="1" si="16"/>
        <v>0</v>
      </c>
      <c r="DW19" s="883">
        <f t="shared" ca="1" si="16"/>
        <v>0</v>
      </c>
      <c r="DX19" s="883">
        <f t="shared" ca="1" si="16"/>
        <v>0</v>
      </c>
      <c r="DY19" s="883">
        <f t="shared" ca="1" si="16"/>
        <v>0</v>
      </c>
      <c r="DZ19" s="883">
        <f t="shared" ca="1" si="16"/>
        <v>0</v>
      </c>
      <c r="EA19" s="883">
        <f t="shared" ca="1" si="16"/>
        <v>0</v>
      </c>
      <c r="EB19" s="883">
        <f t="shared" ca="1" si="16"/>
        <v>0</v>
      </c>
      <c r="EC19" s="883">
        <f t="shared" ca="1" si="16"/>
        <v>0</v>
      </c>
      <c r="ED19" s="883">
        <f t="shared" ca="1" si="16"/>
        <v>0</v>
      </c>
      <c r="EE19" s="883">
        <f t="shared" ca="1" si="17"/>
        <v>0</v>
      </c>
      <c r="EF19" s="883">
        <f t="shared" ca="1" si="17"/>
        <v>0</v>
      </c>
      <c r="EG19" s="883">
        <f t="shared" ca="1" si="17"/>
        <v>0</v>
      </c>
      <c r="EH19" s="883">
        <f t="shared" ca="1" si="17"/>
        <v>0</v>
      </c>
      <c r="EI19" s="883">
        <f t="shared" ca="1" si="17"/>
        <v>0</v>
      </c>
      <c r="EJ19" s="883">
        <f t="shared" ca="1" si="17"/>
        <v>0</v>
      </c>
      <c r="EK19" s="883">
        <f t="shared" ca="1" si="17"/>
        <v>0</v>
      </c>
      <c r="EL19" s="883">
        <f t="shared" ca="1" si="17"/>
        <v>0</v>
      </c>
      <c r="EM19" s="883">
        <f t="shared" ca="1" si="17"/>
        <v>0</v>
      </c>
      <c r="EN19" s="883">
        <f t="shared" ca="1" si="17"/>
        <v>0</v>
      </c>
      <c r="EO19" s="883">
        <f t="shared" ca="1" si="17"/>
        <v>0</v>
      </c>
      <c r="EP19" s="883">
        <f t="shared" ca="1" si="17"/>
        <v>0</v>
      </c>
      <c r="EQ19" s="883">
        <f t="shared" ca="1" si="17"/>
        <v>0</v>
      </c>
      <c r="ER19" s="883">
        <f t="shared" ca="1" si="17"/>
        <v>0</v>
      </c>
      <c r="ES19" s="883">
        <f t="shared" ca="1" si="17"/>
        <v>0</v>
      </c>
      <c r="ET19" s="883">
        <f t="shared" ca="1" si="17"/>
        <v>0</v>
      </c>
      <c r="EU19" s="883">
        <f t="shared" ca="1" si="18"/>
        <v>0</v>
      </c>
      <c r="EV19" s="883">
        <f t="shared" ca="1" si="18"/>
        <v>0</v>
      </c>
      <c r="EW19" s="883">
        <f t="shared" ca="1" si="18"/>
        <v>0</v>
      </c>
      <c r="EX19" s="883">
        <f t="shared" ca="1" si="18"/>
        <v>0</v>
      </c>
      <c r="EY19" s="883">
        <f t="shared" ca="1" si="18"/>
        <v>0</v>
      </c>
      <c r="EZ19" s="883">
        <f t="shared" ca="1" si="18"/>
        <v>0</v>
      </c>
      <c r="FA19" s="883">
        <f t="shared" ca="1" si="18"/>
        <v>0</v>
      </c>
    </row>
    <row r="20" spans="1:157">
      <c r="A20" s="933">
        <f t="shared" ca="1" si="20"/>
        <v>5</v>
      </c>
      <c r="B20" s="933" t="str">
        <f ca="1">IF(B19="","",IF(C20&gt;$B$2,"",IF(A20=1,C20,CONCATENATE(C19+1,"~",C20))))</f>
        <v>2040~2044</v>
      </c>
      <c r="C20" s="937">
        <f ca="1">IF($C$4&gt;=3,C19+5,C19+1)</f>
        <v>2044</v>
      </c>
      <c r="D20" s="1246">
        <f ca="1">IF(AND($A$6=1,$B$6=0),"",IFERROR(IF($A20=1,VLOOKUP($C20,$H:$K,$C$6,FALSE),SUMIFS(IF($A$6=1,K:K,I:I),$H:$H,"&gt;"&amp;$C19,$H:$H,"&lt;="&amp;$C20)),""))</f>
        <v>82125</v>
      </c>
      <c r="E20" s="1249">
        <f ca="1">IF(AND($A$6=1,$B$6=0),"",IFERROR(IF($A20=1,VLOOKUP($C20,$H:L,$D$6,FALSE),SUMIFS(IF($A$6=1,L:L,J:J),$H:$H,"&gt;"&amp;$C19,$H:$H,"&lt;="&amp;$C20)),""))</f>
        <v>0</v>
      </c>
      <c r="F20" s="1245">
        <f t="shared" ca="1" si="21"/>
        <v>336712.5</v>
      </c>
      <c r="G20" s="944">
        <f t="shared" ca="1" si="22"/>
        <v>1.0141942771084338</v>
      </c>
      <c r="H20" s="891">
        <f t="shared" ca="1" si="34"/>
        <v>2032</v>
      </c>
      <c r="I20" s="1206">
        <f t="shared" ca="1" si="32"/>
        <v>16425</v>
      </c>
      <c r="J20" s="1206">
        <f t="shared" ca="1" si="23"/>
        <v>0</v>
      </c>
      <c r="K20" s="929" t="str">
        <f t="shared" si="33"/>
        <v/>
      </c>
      <c r="L20" s="929" t="str">
        <f t="shared" si="24"/>
        <v/>
      </c>
      <c r="N20" s="1714">
        <v>14</v>
      </c>
      <c r="O20" s="1789" t="b">
        <f ca="1">庫存管理[[#This Row],[檢測]]</f>
        <v>0</v>
      </c>
      <c r="P20" s="882" t="e">
        <f ca="1">VLOOKUP(Q20,bond!B:AA,26,FALSE)</f>
        <v>#N/A</v>
      </c>
      <c r="Q20" s="883" t="str">
        <f ca="1">庫存管理[[#This Row],[商品代號]]</f>
        <v/>
      </c>
      <c r="R20" s="889">
        <f ca="1">IF(O20=TRUE,IFERROR(IF($D$4=1,庫存管理[[#This Row],[投入面額]]*庫存管理[[#This Row],[換算匯率(現)]],庫存管理[[#This Row],[投入面額]]),0),0)</f>
        <v>0</v>
      </c>
      <c r="S20" s="885" t="e">
        <f ca="1">庫存管理[[#This Row],[到期日]]</f>
        <v>#N/A</v>
      </c>
      <c r="T20" s="883">
        <f t="shared" ca="1" si="9"/>
        <v>0</v>
      </c>
      <c r="U20" s="885" t="str">
        <f ca="1">庫存管理[[#This Row],[下一配息日]]</f>
        <v/>
      </c>
      <c r="V20" s="886" t="str">
        <f t="shared" ca="1" si="39"/>
        <v/>
      </c>
      <c r="W20" s="885" t="e">
        <f ca="1">庫存管理[[#This Row],[到期日]]</f>
        <v>#N/A</v>
      </c>
      <c r="X20" s="886" t="str">
        <f t="shared" ca="1" si="40"/>
        <v/>
      </c>
      <c r="Y20" s="883" t="str">
        <f ca="1">庫存管理[[#This Row],[配息頻率]]</f>
        <v/>
      </c>
      <c r="Z20" s="883" t="str">
        <f>庫存管理[[#This Row],[投入面額]]</f>
        <v/>
      </c>
      <c r="AA20" s="909">
        <f ca="1">庫存管理[[#This Row],[票面利率]]</f>
        <v>0</v>
      </c>
      <c r="AB20" s="908">
        <f ca="1">庫存管理[[#This Row],[換算匯率(現)]]</f>
        <v>0</v>
      </c>
      <c r="AC20" s="887">
        <f t="shared" ca="1" si="12"/>
        <v>0</v>
      </c>
      <c r="AD20" s="883">
        <f t="shared" ca="1" si="13"/>
        <v>0</v>
      </c>
      <c r="AE20" s="883">
        <f t="shared" ca="1" si="35"/>
        <v>0</v>
      </c>
      <c r="AF20" s="883">
        <f t="shared" ca="1" si="35"/>
        <v>0</v>
      </c>
      <c r="AG20" s="883">
        <f t="shared" ca="1" si="35"/>
        <v>0</v>
      </c>
      <c r="AH20" s="883">
        <f t="shared" ca="1" si="35"/>
        <v>0</v>
      </c>
      <c r="AI20" s="883">
        <f t="shared" ca="1" si="35"/>
        <v>0</v>
      </c>
      <c r="AJ20" s="883">
        <f t="shared" ca="1" si="35"/>
        <v>0</v>
      </c>
      <c r="AK20" s="883">
        <f t="shared" ca="1" si="35"/>
        <v>0</v>
      </c>
      <c r="AL20" s="883">
        <f t="shared" ca="1" si="35"/>
        <v>0</v>
      </c>
      <c r="AM20" s="883">
        <f t="shared" ca="1" si="35"/>
        <v>0</v>
      </c>
      <c r="AN20" s="883">
        <f t="shared" ca="1" si="35"/>
        <v>0</v>
      </c>
      <c r="AO20" s="883">
        <f t="shared" ca="1" si="35"/>
        <v>0</v>
      </c>
      <c r="AP20" s="883">
        <f t="shared" ca="1" si="35"/>
        <v>0</v>
      </c>
      <c r="AQ20" s="883">
        <f t="shared" ca="1" si="35"/>
        <v>0</v>
      </c>
      <c r="AR20" s="883">
        <f t="shared" ca="1" si="35"/>
        <v>0</v>
      </c>
      <c r="AS20" s="883">
        <f t="shared" ca="1" si="35"/>
        <v>0</v>
      </c>
      <c r="AT20" s="883">
        <f t="shared" ca="1" si="35"/>
        <v>0</v>
      </c>
      <c r="AU20" s="883">
        <f t="shared" ca="1" si="36"/>
        <v>0</v>
      </c>
      <c r="AV20" s="883">
        <f t="shared" ca="1" si="36"/>
        <v>0</v>
      </c>
      <c r="AW20" s="883">
        <f t="shared" ca="1" si="36"/>
        <v>0</v>
      </c>
      <c r="AX20" s="883">
        <f t="shared" ca="1" si="36"/>
        <v>0</v>
      </c>
      <c r="AY20" s="883">
        <f t="shared" ca="1" si="36"/>
        <v>0</v>
      </c>
      <c r="AZ20" s="883">
        <f t="shared" ca="1" si="36"/>
        <v>0</v>
      </c>
      <c r="BA20" s="883">
        <f t="shared" ca="1" si="36"/>
        <v>0</v>
      </c>
      <c r="BB20" s="883">
        <f t="shared" ca="1" si="36"/>
        <v>0</v>
      </c>
      <c r="BC20" s="883">
        <f t="shared" ca="1" si="36"/>
        <v>0</v>
      </c>
      <c r="BD20" s="883">
        <f t="shared" ca="1" si="36"/>
        <v>0</v>
      </c>
      <c r="BE20" s="883">
        <f t="shared" ca="1" si="36"/>
        <v>0</v>
      </c>
      <c r="BF20" s="883">
        <f t="shared" ca="1" si="36"/>
        <v>0</v>
      </c>
      <c r="BG20" s="883">
        <f t="shared" ca="1" si="36"/>
        <v>0</v>
      </c>
      <c r="BH20" s="883">
        <f t="shared" ca="1" si="36"/>
        <v>0</v>
      </c>
      <c r="BI20" s="883">
        <f t="shared" ca="1" si="36"/>
        <v>0</v>
      </c>
      <c r="BJ20" s="883">
        <f t="shared" ca="1" si="36"/>
        <v>0</v>
      </c>
      <c r="BK20" s="883">
        <f t="shared" ca="1" si="37"/>
        <v>0</v>
      </c>
      <c r="BL20" s="883">
        <f t="shared" ca="1" si="37"/>
        <v>0</v>
      </c>
      <c r="BM20" s="883">
        <f t="shared" ca="1" si="37"/>
        <v>0</v>
      </c>
      <c r="BN20" s="883">
        <f t="shared" ca="1" si="37"/>
        <v>0</v>
      </c>
      <c r="BO20" s="883">
        <f t="shared" ca="1" si="37"/>
        <v>0</v>
      </c>
      <c r="BP20" s="883">
        <f t="shared" ca="1" si="37"/>
        <v>0</v>
      </c>
      <c r="BQ20" s="883">
        <f t="shared" ca="1" si="37"/>
        <v>0</v>
      </c>
      <c r="BR20" s="883">
        <f t="shared" ca="1" si="37"/>
        <v>0</v>
      </c>
      <c r="BS20" s="883">
        <f t="shared" ca="1" si="37"/>
        <v>0</v>
      </c>
      <c r="BT20" s="883">
        <f t="shared" ca="1" si="37"/>
        <v>0</v>
      </c>
      <c r="BU20" s="883">
        <f t="shared" ca="1" si="37"/>
        <v>0</v>
      </c>
      <c r="BV20" s="883">
        <f t="shared" ca="1" si="37"/>
        <v>0</v>
      </c>
      <c r="BW20" s="883">
        <f t="shared" ca="1" si="37"/>
        <v>0</v>
      </c>
      <c r="BX20" s="883">
        <f t="shared" ca="1" si="37"/>
        <v>0</v>
      </c>
      <c r="BY20" s="883">
        <f t="shared" ca="1" si="37"/>
        <v>0</v>
      </c>
      <c r="BZ20" s="883">
        <f t="shared" ca="1" si="37"/>
        <v>0</v>
      </c>
      <c r="CA20" s="883">
        <f t="shared" ca="1" si="38"/>
        <v>0</v>
      </c>
      <c r="CB20" s="883">
        <f t="shared" ca="1" si="38"/>
        <v>0</v>
      </c>
      <c r="CC20" s="883">
        <f t="shared" ca="1" si="38"/>
        <v>0</v>
      </c>
      <c r="CD20" s="883">
        <f t="shared" ca="1" si="38"/>
        <v>0</v>
      </c>
      <c r="CE20" s="883">
        <f t="shared" ca="1" si="38"/>
        <v>0</v>
      </c>
      <c r="CF20" s="883">
        <f t="shared" ca="1" si="38"/>
        <v>0</v>
      </c>
      <c r="CG20" s="883">
        <f t="shared" ca="1" si="38"/>
        <v>0</v>
      </c>
      <c r="CH20" s="883">
        <f t="shared" ca="1" si="38"/>
        <v>0</v>
      </c>
      <c r="CI20" s="883">
        <f t="shared" ca="1" si="38"/>
        <v>0</v>
      </c>
      <c r="CJ20" s="883">
        <f t="shared" ca="1" si="38"/>
        <v>0</v>
      </c>
      <c r="CK20" s="883">
        <f t="shared" ca="1" si="38"/>
        <v>0</v>
      </c>
      <c r="CL20" s="883">
        <f t="shared" ca="1" si="38"/>
        <v>0</v>
      </c>
      <c r="CM20" s="883">
        <f t="shared" ca="1" si="38"/>
        <v>0</v>
      </c>
      <c r="CN20" s="883">
        <f t="shared" ca="1" si="38"/>
        <v>0</v>
      </c>
      <c r="CO20" s="883">
        <f t="shared" ca="1" si="38"/>
        <v>0</v>
      </c>
      <c r="CP20" s="883">
        <f t="shared" ca="1" si="38"/>
        <v>0</v>
      </c>
      <c r="CQ20" s="883">
        <f t="shared" ca="1" si="41"/>
        <v>0</v>
      </c>
      <c r="CR20" s="883">
        <f t="shared" ca="1" si="19"/>
        <v>0</v>
      </c>
      <c r="CS20" s="883">
        <f t="shared" ca="1" si="19"/>
        <v>0</v>
      </c>
      <c r="CT20" s="883">
        <f t="shared" ca="1" si="19"/>
        <v>0</v>
      </c>
      <c r="CU20" s="883">
        <f t="shared" ca="1" si="19"/>
        <v>0</v>
      </c>
      <c r="CV20" s="883">
        <f t="shared" ca="1" si="19"/>
        <v>0</v>
      </c>
      <c r="CW20" s="883">
        <f t="shared" ca="1" si="19"/>
        <v>0</v>
      </c>
      <c r="CX20" s="883">
        <f t="shared" ca="1" si="19"/>
        <v>0</v>
      </c>
      <c r="CY20" s="883">
        <f t="shared" ca="1" si="19"/>
        <v>0</v>
      </c>
      <c r="CZ20" s="883">
        <f t="shared" ca="1" si="19"/>
        <v>0</v>
      </c>
      <c r="DA20" s="883">
        <f t="shared" ca="1" si="19"/>
        <v>0</v>
      </c>
      <c r="DB20" s="883">
        <f t="shared" ca="1" si="19"/>
        <v>0</v>
      </c>
      <c r="DC20" s="883">
        <f t="shared" ca="1" si="19"/>
        <v>0</v>
      </c>
      <c r="DD20" s="883">
        <f t="shared" ca="1" si="19"/>
        <v>0</v>
      </c>
      <c r="DE20" s="883">
        <f t="shared" ca="1" si="19"/>
        <v>0</v>
      </c>
      <c r="DF20" s="883">
        <f t="shared" ca="1" si="19"/>
        <v>0</v>
      </c>
      <c r="DG20" s="883">
        <f t="shared" ca="1" si="19"/>
        <v>0</v>
      </c>
      <c r="DH20" s="883">
        <f t="shared" ca="1" si="15"/>
        <v>0</v>
      </c>
      <c r="DI20" s="883">
        <f t="shared" ca="1" si="15"/>
        <v>0</v>
      </c>
      <c r="DJ20" s="883">
        <f t="shared" ca="1" si="15"/>
        <v>0</v>
      </c>
      <c r="DK20" s="883">
        <f t="shared" ca="1" si="15"/>
        <v>0</v>
      </c>
      <c r="DL20" s="883">
        <f t="shared" ca="1" si="15"/>
        <v>0</v>
      </c>
      <c r="DM20" s="883">
        <f t="shared" ca="1" si="15"/>
        <v>0</v>
      </c>
      <c r="DN20" s="883">
        <f t="shared" ca="1" si="15"/>
        <v>0</v>
      </c>
      <c r="DO20" s="883">
        <f t="shared" ca="1" si="16"/>
        <v>0</v>
      </c>
      <c r="DP20" s="883">
        <f t="shared" ca="1" si="16"/>
        <v>0</v>
      </c>
      <c r="DQ20" s="883">
        <f t="shared" ca="1" si="16"/>
        <v>0</v>
      </c>
      <c r="DR20" s="883">
        <f t="shared" ca="1" si="16"/>
        <v>0</v>
      </c>
      <c r="DS20" s="883">
        <f t="shared" ca="1" si="16"/>
        <v>0</v>
      </c>
      <c r="DT20" s="883">
        <f t="shared" ca="1" si="16"/>
        <v>0</v>
      </c>
      <c r="DU20" s="883">
        <f t="shared" ca="1" si="16"/>
        <v>0</v>
      </c>
      <c r="DV20" s="883">
        <f t="shared" ca="1" si="16"/>
        <v>0</v>
      </c>
      <c r="DW20" s="883">
        <f t="shared" ca="1" si="16"/>
        <v>0</v>
      </c>
      <c r="DX20" s="883">
        <f t="shared" ca="1" si="16"/>
        <v>0</v>
      </c>
      <c r="DY20" s="883">
        <f t="shared" ca="1" si="16"/>
        <v>0</v>
      </c>
      <c r="DZ20" s="883">
        <f t="shared" ca="1" si="16"/>
        <v>0</v>
      </c>
      <c r="EA20" s="883">
        <f t="shared" ca="1" si="16"/>
        <v>0</v>
      </c>
      <c r="EB20" s="883">
        <f t="shared" ca="1" si="16"/>
        <v>0</v>
      </c>
      <c r="EC20" s="883">
        <f t="shared" ca="1" si="16"/>
        <v>0</v>
      </c>
      <c r="ED20" s="883">
        <f t="shared" ca="1" si="16"/>
        <v>0</v>
      </c>
      <c r="EE20" s="883">
        <f t="shared" ca="1" si="17"/>
        <v>0</v>
      </c>
      <c r="EF20" s="883">
        <f t="shared" ca="1" si="17"/>
        <v>0</v>
      </c>
      <c r="EG20" s="883">
        <f t="shared" ca="1" si="17"/>
        <v>0</v>
      </c>
      <c r="EH20" s="883">
        <f t="shared" ca="1" si="17"/>
        <v>0</v>
      </c>
      <c r="EI20" s="883">
        <f t="shared" ca="1" si="17"/>
        <v>0</v>
      </c>
      <c r="EJ20" s="883">
        <f t="shared" ca="1" si="17"/>
        <v>0</v>
      </c>
      <c r="EK20" s="883">
        <f t="shared" ca="1" si="17"/>
        <v>0</v>
      </c>
      <c r="EL20" s="883">
        <f t="shared" ca="1" si="17"/>
        <v>0</v>
      </c>
      <c r="EM20" s="883">
        <f t="shared" ca="1" si="17"/>
        <v>0</v>
      </c>
      <c r="EN20" s="883">
        <f t="shared" ca="1" si="17"/>
        <v>0</v>
      </c>
      <c r="EO20" s="883">
        <f t="shared" ca="1" si="17"/>
        <v>0</v>
      </c>
      <c r="EP20" s="883">
        <f t="shared" ca="1" si="17"/>
        <v>0</v>
      </c>
      <c r="EQ20" s="883">
        <f t="shared" ca="1" si="17"/>
        <v>0</v>
      </c>
      <c r="ER20" s="883">
        <f t="shared" ca="1" si="17"/>
        <v>0</v>
      </c>
      <c r="ES20" s="883">
        <f t="shared" ca="1" si="17"/>
        <v>0</v>
      </c>
      <c r="ET20" s="883">
        <f t="shared" ca="1" si="17"/>
        <v>0</v>
      </c>
      <c r="EU20" s="883">
        <f t="shared" ca="1" si="18"/>
        <v>0</v>
      </c>
      <c r="EV20" s="883">
        <f t="shared" ca="1" si="18"/>
        <v>0</v>
      </c>
      <c r="EW20" s="883">
        <f t="shared" ca="1" si="18"/>
        <v>0</v>
      </c>
      <c r="EX20" s="883">
        <f t="shared" ca="1" si="18"/>
        <v>0</v>
      </c>
      <c r="EY20" s="883">
        <f t="shared" ca="1" si="18"/>
        <v>0</v>
      </c>
      <c r="EZ20" s="883">
        <f t="shared" ca="1" si="18"/>
        <v>0</v>
      </c>
      <c r="FA20" s="883">
        <f t="shared" ca="1" si="18"/>
        <v>0</v>
      </c>
    </row>
    <row r="21" spans="1:157">
      <c r="A21" s="933">
        <f t="shared" ca="1" si="20"/>
        <v>5</v>
      </c>
      <c r="B21" s="933" t="str">
        <f ca="1">IF(B20="","",IF(C21&gt;$B$2,"",IF(A21=1,C21,CONCATENATE(C20+1,"~",C21))))</f>
        <v>2045~2049</v>
      </c>
      <c r="C21" s="937">
        <f ca="1">IF($C$4&gt;=2,C20+5,C20+1)</f>
        <v>2049</v>
      </c>
      <c r="D21" s="1246">
        <f t="shared" ref="D21:D22" ca="1" si="42">IF(AND($A$6=1,$B$6=0),"",IFERROR(IF($A21=1,VLOOKUP($C21,$H:$K,$C$6,FALSE),SUMIFS(IF($A$6=1,K:K,I:I),$H:$H,"&gt;"&amp;$C20,$H:$H,"&lt;="&amp;$C21)),""))</f>
        <v>82125</v>
      </c>
      <c r="E21" s="1249">
        <f ca="1">IF(AND($A$6=1,$B$6=0),"",IFERROR(IF($A21=1,VLOOKUP($C21,$H:L,$D$6,FALSE),SUMIFS(IF($A$6=1,L:L,J:J),$H:$H,"&gt;"&amp;$C20,$H:$H,"&lt;="&amp;$C21)),""))</f>
        <v>0</v>
      </c>
      <c r="F21" s="1245">
        <f t="shared" ca="1" si="21"/>
        <v>418837.5</v>
      </c>
      <c r="G21" s="944">
        <f t="shared" ca="1" si="22"/>
        <v>1.261558734939759</v>
      </c>
      <c r="H21" s="891">
        <f t="shared" ca="1" si="34"/>
        <v>2033</v>
      </c>
      <c r="I21" s="1206">
        <f t="shared" ca="1" si="32"/>
        <v>16425</v>
      </c>
      <c r="J21" s="1206">
        <f t="shared" ca="1" si="23"/>
        <v>0</v>
      </c>
      <c r="K21" s="929" t="str">
        <f t="shared" si="33"/>
        <v/>
      </c>
      <c r="L21" s="929" t="str">
        <f t="shared" si="24"/>
        <v/>
      </c>
      <c r="N21" s="1714">
        <v>15</v>
      </c>
      <c r="O21" s="1789" t="b">
        <f ca="1">庫存管理[[#This Row],[檢測]]</f>
        <v>0</v>
      </c>
      <c r="P21" s="882" t="e">
        <f ca="1">VLOOKUP(Q21,bond!B:AA,26,FALSE)</f>
        <v>#N/A</v>
      </c>
      <c r="Q21" s="883" t="str">
        <f ca="1">庫存管理[[#This Row],[商品代號]]</f>
        <v/>
      </c>
      <c r="R21" s="889">
        <f ca="1">IF(O21=TRUE,IFERROR(IF($D$4=1,庫存管理[[#This Row],[投入面額]]*庫存管理[[#This Row],[換算匯率(現)]],庫存管理[[#This Row],[投入面額]]),0),0)</f>
        <v>0</v>
      </c>
      <c r="S21" s="885" t="e">
        <f ca="1">庫存管理[[#This Row],[到期日]]</f>
        <v>#N/A</v>
      </c>
      <c r="T21" s="883">
        <f t="shared" ca="1" si="9"/>
        <v>0</v>
      </c>
      <c r="U21" s="885" t="str">
        <f ca="1">庫存管理[[#This Row],[下一配息日]]</f>
        <v/>
      </c>
      <c r="V21" s="886" t="str">
        <f t="shared" ca="1" si="39"/>
        <v/>
      </c>
      <c r="W21" s="885" t="e">
        <f ca="1">庫存管理[[#This Row],[到期日]]</f>
        <v>#N/A</v>
      </c>
      <c r="X21" s="886" t="str">
        <f t="shared" ca="1" si="40"/>
        <v/>
      </c>
      <c r="Y21" s="883" t="str">
        <f ca="1">庫存管理[[#This Row],[配息頻率]]</f>
        <v/>
      </c>
      <c r="Z21" s="883" t="str">
        <f>庫存管理[[#This Row],[投入面額]]</f>
        <v/>
      </c>
      <c r="AA21" s="909">
        <f ca="1">庫存管理[[#This Row],[票面利率]]</f>
        <v>0</v>
      </c>
      <c r="AB21" s="908">
        <f ca="1">庫存管理[[#This Row],[換算匯率(現)]]</f>
        <v>0</v>
      </c>
      <c r="AC21" s="887">
        <f t="shared" ca="1" si="12"/>
        <v>0</v>
      </c>
      <c r="AD21" s="883">
        <f t="shared" ca="1" si="13"/>
        <v>0</v>
      </c>
      <c r="AE21" s="883">
        <f t="shared" ca="1" si="35"/>
        <v>0</v>
      </c>
      <c r="AF21" s="883">
        <f t="shared" ca="1" si="35"/>
        <v>0</v>
      </c>
      <c r="AG21" s="883">
        <f t="shared" ca="1" si="35"/>
        <v>0</v>
      </c>
      <c r="AH21" s="883">
        <f t="shared" ca="1" si="35"/>
        <v>0</v>
      </c>
      <c r="AI21" s="883">
        <f t="shared" ca="1" si="35"/>
        <v>0</v>
      </c>
      <c r="AJ21" s="883">
        <f t="shared" ca="1" si="35"/>
        <v>0</v>
      </c>
      <c r="AK21" s="883">
        <f t="shared" ca="1" si="35"/>
        <v>0</v>
      </c>
      <c r="AL21" s="883">
        <f t="shared" ca="1" si="35"/>
        <v>0</v>
      </c>
      <c r="AM21" s="883">
        <f t="shared" ca="1" si="35"/>
        <v>0</v>
      </c>
      <c r="AN21" s="883">
        <f t="shared" ca="1" si="35"/>
        <v>0</v>
      </c>
      <c r="AO21" s="883">
        <f t="shared" ca="1" si="35"/>
        <v>0</v>
      </c>
      <c r="AP21" s="883">
        <f t="shared" ca="1" si="35"/>
        <v>0</v>
      </c>
      <c r="AQ21" s="883">
        <f t="shared" ca="1" si="35"/>
        <v>0</v>
      </c>
      <c r="AR21" s="883">
        <f t="shared" ca="1" si="35"/>
        <v>0</v>
      </c>
      <c r="AS21" s="883">
        <f t="shared" ca="1" si="35"/>
        <v>0</v>
      </c>
      <c r="AT21" s="883">
        <f t="shared" ca="1" si="35"/>
        <v>0</v>
      </c>
      <c r="AU21" s="883">
        <f t="shared" ca="1" si="36"/>
        <v>0</v>
      </c>
      <c r="AV21" s="883">
        <f t="shared" ca="1" si="36"/>
        <v>0</v>
      </c>
      <c r="AW21" s="883">
        <f t="shared" ca="1" si="36"/>
        <v>0</v>
      </c>
      <c r="AX21" s="883">
        <f t="shared" ca="1" si="36"/>
        <v>0</v>
      </c>
      <c r="AY21" s="883">
        <f t="shared" ca="1" si="36"/>
        <v>0</v>
      </c>
      <c r="AZ21" s="883">
        <f t="shared" ca="1" si="36"/>
        <v>0</v>
      </c>
      <c r="BA21" s="883">
        <f t="shared" ca="1" si="36"/>
        <v>0</v>
      </c>
      <c r="BB21" s="883">
        <f t="shared" ca="1" si="36"/>
        <v>0</v>
      </c>
      <c r="BC21" s="883">
        <f t="shared" ca="1" si="36"/>
        <v>0</v>
      </c>
      <c r="BD21" s="883">
        <f t="shared" ca="1" si="36"/>
        <v>0</v>
      </c>
      <c r="BE21" s="883">
        <f t="shared" ca="1" si="36"/>
        <v>0</v>
      </c>
      <c r="BF21" s="883">
        <f t="shared" ca="1" si="36"/>
        <v>0</v>
      </c>
      <c r="BG21" s="883">
        <f t="shared" ca="1" si="36"/>
        <v>0</v>
      </c>
      <c r="BH21" s="883">
        <f t="shared" ca="1" si="36"/>
        <v>0</v>
      </c>
      <c r="BI21" s="883">
        <f t="shared" ca="1" si="36"/>
        <v>0</v>
      </c>
      <c r="BJ21" s="883">
        <f t="shared" ca="1" si="36"/>
        <v>0</v>
      </c>
      <c r="BK21" s="883">
        <f t="shared" ca="1" si="37"/>
        <v>0</v>
      </c>
      <c r="BL21" s="883">
        <f t="shared" ca="1" si="37"/>
        <v>0</v>
      </c>
      <c r="BM21" s="883">
        <f t="shared" ca="1" si="37"/>
        <v>0</v>
      </c>
      <c r="BN21" s="883">
        <f t="shared" ca="1" si="37"/>
        <v>0</v>
      </c>
      <c r="BO21" s="883">
        <f t="shared" ca="1" si="37"/>
        <v>0</v>
      </c>
      <c r="BP21" s="883">
        <f t="shared" ca="1" si="37"/>
        <v>0</v>
      </c>
      <c r="BQ21" s="883">
        <f t="shared" ca="1" si="37"/>
        <v>0</v>
      </c>
      <c r="BR21" s="883">
        <f t="shared" ca="1" si="37"/>
        <v>0</v>
      </c>
      <c r="BS21" s="883">
        <f t="shared" ca="1" si="37"/>
        <v>0</v>
      </c>
      <c r="BT21" s="883">
        <f t="shared" ca="1" si="37"/>
        <v>0</v>
      </c>
      <c r="BU21" s="883">
        <f t="shared" ca="1" si="37"/>
        <v>0</v>
      </c>
      <c r="BV21" s="883">
        <f t="shared" ca="1" si="37"/>
        <v>0</v>
      </c>
      <c r="BW21" s="883">
        <f t="shared" ca="1" si="37"/>
        <v>0</v>
      </c>
      <c r="BX21" s="883">
        <f t="shared" ca="1" si="37"/>
        <v>0</v>
      </c>
      <c r="BY21" s="883">
        <f t="shared" ca="1" si="37"/>
        <v>0</v>
      </c>
      <c r="BZ21" s="883">
        <f t="shared" ca="1" si="37"/>
        <v>0</v>
      </c>
      <c r="CA21" s="883">
        <f t="shared" ca="1" si="38"/>
        <v>0</v>
      </c>
      <c r="CB21" s="883">
        <f t="shared" ca="1" si="38"/>
        <v>0</v>
      </c>
      <c r="CC21" s="883">
        <f t="shared" ca="1" si="38"/>
        <v>0</v>
      </c>
      <c r="CD21" s="883">
        <f t="shared" ca="1" si="38"/>
        <v>0</v>
      </c>
      <c r="CE21" s="883">
        <f t="shared" ca="1" si="38"/>
        <v>0</v>
      </c>
      <c r="CF21" s="883">
        <f t="shared" ca="1" si="38"/>
        <v>0</v>
      </c>
      <c r="CG21" s="883">
        <f t="shared" ca="1" si="38"/>
        <v>0</v>
      </c>
      <c r="CH21" s="883">
        <f t="shared" ca="1" si="38"/>
        <v>0</v>
      </c>
      <c r="CI21" s="883">
        <f t="shared" ca="1" si="38"/>
        <v>0</v>
      </c>
      <c r="CJ21" s="883">
        <f t="shared" ca="1" si="38"/>
        <v>0</v>
      </c>
      <c r="CK21" s="883">
        <f t="shared" ca="1" si="38"/>
        <v>0</v>
      </c>
      <c r="CL21" s="883">
        <f t="shared" ca="1" si="38"/>
        <v>0</v>
      </c>
      <c r="CM21" s="883">
        <f t="shared" ca="1" si="38"/>
        <v>0</v>
      </c>
      <c r="CN21" s="883">
        <f t="shared" ca="1" si="38"/>
        <v>0</v>
      </c>
      <c r="CO21" s="883">
        <f t="shared" ca="1" si="38"/>
        <v>0</v>
      </c>
      <c r="CP21" s="883">
        <f t="shared" ca="1" si="38"/>
        <v>0</v>
      </c>
      <c r="CQ21" s="883">
        <f t="shared" ca="1" si="41"/>
        <v>0</v>
      </c>
      <c r="CR21" s="883">
        <f t="shared" ca="1" si="19"/>
        <v>0</v>
      </c>
      <c r="CS21" s="883">
        <f t="shared" ca="1" si="19"/>
        <v>0</v>
      </c>
      <c r="CT21" s="883">
        <f t="shared" ca="1" si="19"/>
        <v>0</v>
      </c>
      <c r="CU21" s="883">
        <f t="shared" ca="1" si="19"/>
        <v>0</v>
      </c>
      <c r="CV21" s="883">
        <f t="shared" ca="1" si="19"/>
        <v>0</v>
      </c>
      <c r="CW21" s="883">
        <f t="shared" ca="1" si="19"/>
        <v>0</v>
      </c>
      <c r="CX21" s="883">
        <f t="shared" ca="1" si="19"/>
        <v>0</v>
      </c>
      <c r="CY21" s="883">
        <f t="shared" ca="1" si="19"/>
        <v>0</v>
      </c>
      <c r="CZ21" s="883">
        <f t="shared" ca="1" si="19"/>
        <v>0</v>
      </c>
      <c r="DA21" s="883">
        <f t="shared" ca="1" si="19"/>
        <v>0</v>
      </c>
      <c r="DB21" s="883">
        <f t="shared" ca="1" si="19"/>
        <v>0</v>
      </c>
      <c r="DC21" s="883">
        <f t="shared" ca="1" si="19"/>
        <v>0</v>
      </c>
      <c r="DD21" s="883">
        <f t="shared" ca="1" si="19"/>
        <v>0</v>
      </c>
      <c r="DE21" s="883">
        <f t="shared" ca="1" si="19"/>
        <v>0</v>
      </c>
      <c r="DF21" s="883">
        <f t="shared" ca="1" si="19"/>
        <v>0</v>
      </c>
      <c r="DG21" s="883">
        <f t="shared" ca="1" si="19"/>
        <v>0</v>
      </c>
      <c r="DH21" s="883">
        <f t="shared" ca="1" si="15"/>
        <v>0</v>
      </c>
      <c r="DI21" s="883">
        <f t="shared" ca="1" si="15"/>
        <v>0</v>
      </c>
      <c r="DJ21" s="883">
        <f t="shared" ca="1" si="15"/>
        <v>0</v>
      </c>
      <c r="DK21" s="883">
        <f t="shared" ca="1" si="15"/>
        <v>0</v>
      </c>
      <c r="DL21" s="883">
        <f t="shared" ca="1" si="15"/>
        <v>0</v>
      </c>
      <c r="DM21" s="883">
        <f t="shared" ca="1" si="15"/>
        <v>0</v>
      </c>
      <c r="DN21" s="883">
        <f t="shared" ca="1" si="15"/>
        <v>0</v>
      </c>
      <c r="DO21" s="883">
        <f t="shared" ca="1" si="16"/>
        <v>0</v>
      </c>
      <c r="DP21" s="883">
        <f t="shared" ca="1" si="16"/>
        <v>0</v>
      </c>
      <c r="DQ21" s="883">
        <f t="shared" ca="1" si="16"/>
        <v>0</v>
      </c>
      <c r="DR21" s="883">
        <f t="shared" ca="1" si="16"/>
        <v>0</v>
      </c>
      <c r="DS21" s="883">
        <f t="shared" ca="1" si="16"/>
        <v>0</v>
      </c>
      <c r="DT21" s="883">
        <f t="shared" ca="1" si="16"/>
        <v>0</v>
      </c>
      <c r="DU21" s="883">
        <f t="shared" ca="1" si="16"/>
        <v>0</v>
      </c>
      <c r="DV21" s="883">
        <f t="shared" ca="1" si="16"/>
        <v>0</v>
      </c>
      <c r="DW21" s="883">
        <f t="shared" ca="1" si="16"/>
        <v>0</v>
      </c>
      <c r="DX21" s="883">
        <f t="shared" ca="1" si="16"/>
        <v>0</v>
      </c>
      <c r="DY21" s="883">
        <f t="shared" ca="1" si="16"/>
        <v>0</v>
      </c>
      <c r="DZ21" s="883">
        <f t="shared" ca="1" si="16"/>
        <v>0</v>
      </c>
      <c r="EA21" s="883">
        <f t="shared" ca="1" si="16"/>
        <v>0</v>
      </c>
      <c r="EB21" s="883">
        <f t="shared" ca="1" si="16"/>
        <v>0</v>
      </c>
      <c r="EC21" s="883">
        <f t="shared" ca="1" si="16"/>
        <v>0</v>
      </c>
      <c r="ED21" s="883">
        <f t="shared" ca="1" si="16"/>
        <v>0</v>
      </c>
      <c r="EE21" s="883">
        <f t="shared" ca="1" si="17"/>
        <v>0</v>
      </c>
      <c r="EF21" s="883">
        <f t="shared" ca="1" si="17"/>
        <v>0</v>
      </c>
      <c r="EG21" s="883">
        <f t="shared" ca="1" si="17"/>
        <v>0</v>
      </c>
      <c r="EH21" s="883">
        <f t="shared" ca="1" si="17"/>
        <v>0</v>
      </c>
      <c r="EI21" s="883">
        <f t="shared" ca="1" si="17"/>
        <v>0</v>
      </c>
      <c r="EJ21" s="883">
        <f t="shared" ca="1" si="17"/>
        <v>0</v>
      </c>
      <c r="EK21" s="883">
        <f t="shared" ca="1" si="17"/>
        <v>0</v>
      </c>
      <c r="EL21" s="883">
        <f t="shared" ca="1" si="17"/>
        <v>0</v>
      </c>
      <c r="EM21" s="883">
        <f t="shared" ca="1" si="17"/>
        <v>0</v>
      </c>
      <c r="EN21" s="883">
        <f t="shared" ca="1" si="17"/>
        <v>0</v>
      </c>
      <c r="EO21" s="883">
        <f t="shared" ca="1" si="17"/>
        <v>0</v>
      </c>
      <c r="EP21" s="883">
        <f t="shared" ca="1" si="17"/>
        <v>0</v>
      </c>
      <c r="EQ21" s="883">
        <f t="shared" ca="1" si="17"/>
        <v>0</v>
      </c>
      <c r="ER21" s="883">
        <f t="shared" ca="1" si="17"/>
        <v>0</v>
      </c>
      <c r="ES21" s="883">
        <f t="shared" ca="1" si="17"/>
        <v>0</v>
      </c>
      <c r="ET21" s="883">
        <f t="shared" ca="1" si="17"/>
        <v>0</v>
      </c>
      <c r="EU21" s="883">
        <f t="shared" ca="1" si="18"/>
        <v>0</v>
      </c>
      <c r="EV21" s="883">
        <f t="shared" ca="1" si="18"/>
        <v>0</v>
      </c>
      <c r="EW21" s="883">
        <f t="shared" ca="1" si="18"/>
        <v>0</v>
      </c>
      <c r="EX21" s="883">
        <f t="shared" ca="1" si="18"/>
        <v>0</v>
      </c>
      <c r="EY21" s="883">
        <f t="shared" ca="1" si="18"/>
        <v>0</v>
      </c>
      <c r="EZ21" s="883">
        <f t="shared" ca="1" si="18"/>
        <v>0</v>
      </c>
      <c r="FA21" s="883">
        <f t="shared" ca="1" si="18"/>
        <v>0</v>
      </c>
    </row>
    <row r="22" spans="1:157">
      <c r="A22" s="933">
        <f t="shared" ca="1" si="20"/>
        <v>5</v>
      </c>
      <c r="B22" s="933" t="str">
        <f ca="1">IF(B21="","",IF(C22&gt;$B$2,"",IF(A22=1,C22,CONCATENATE(C21+1,"~",C22))))</f>
        <v>2050~2054</v>
      </c>
      <c r="C22" s="937">
        <f ca="1">IF($C$4&gt;=1,C21+5,C21+1)</f>
        <v>2054</v>
      </c>
      <c r="D22" s="1246">
        <f t="shared" ca="1" si="42"/>
        <v>58637.5</v>
      </c>
      <c r="E22" s="1249">
        <f ca="1">IF(AND($A$6=1,$B$6=0),"",IFERROR(IF($A22=1,VLOOKUP($C22,$H:L,$D$6,FALSE),SUMIFS(IF($A$6=1,L:L,J:J),$H:$H,"&gt;"&amp;$C21,$H:$H,"&lt;="&amp;$C22)),""))</f>
        <v>300000</v>
      </c>
      <c r="F22" s="1245">
        <f t="shared" ca="1" si="21"/>
        <v>777475</v>
      </c>
      <c r="G22" s="944">
        <f t="shared" ca="1" si="22"/>
        <v>2.341792168674699</v>
      </c>
      <c r="H22" s="891">
        <f t="shared" ca="1" si="34"/>
        <v>2034</v>
      </c>
      <c r="I22" s="1206">
        <f t="shared" ca="1" si="32"/>
        <v>16425</v>
      </c>
      <c r="J22" s="1206">
        <f t="shared" ca="1" si="23"/>
        <v>0</v>
      </c>
      <c r="K22" s="929" t="str">
        <f t="shared" si="33"/>
        <v/>
      </c>
      <c r="L22" s="929" t="str">
        <f t="shared" si="24"/>
        <v/>
      </c>
      <c r="N22" s="1714">
        <v>16</v>
      </c>
      <c r="O22" s="1789" t="b">
        <f ca="1">庫存管理[[#This Row],[檢測]]</f>
        <v>0</v>
      </c>
      <c r="P22" s="882" t="e">
        <f ca="1">VLOOKUP(Q22,bond!B:AA,26,FALSE)</f>
        <v>#N/A</v>
      </c>
      <c r="Q22" s="883" t="str">
        <f ca="1">庫存管理[[#This Row],[商品代號]]</f>
        <v/>
      </c>
      <c r="R22" s="889">
        <f ca="1">IF(O22=TRUE,IFERROR(IF($D$4=1,庫存管理[[#This Row],[投入面額]]*庫存管理[[#This Row],[換算匯率(現)]],庫存管理[[#This Row],[投入面額]]),0),0)</f>
        <v>0</v>
      </c>
      <c r="S22" s="885" t="e">
        <f ca="1">庫存管理[[#This Row],[到期日]]</f>
        <v>#N/A</v>
      </c>
      <c r="T22" s="883">
        <f t="shared" ca="1" si="9"/>
        <v>0</v>
      </c>
      <c r="U22" s="885" t="str">
        <f ca="1">庫存管理[[#This Row],[下一配息日]]</f>
        <v/>
      </c>
      <c r="V22" s="886" t="str">
        <f t="shared" ca="1" si="39"/>
        <v/>
      </c>
      <c r="W22" s="885" t="e">
        <f ca="1">庫存管理[[#This Row],[到期日]]</f>
        <v>#N/A</v>
      </c>
      <c r="X22" s="886" t="str">
        <f t="shared" ca="1" si="40"/>
        <v/>
      </c>
      <c r="Y22" s="883" t="str">
        <f ca="1">庫存管理[[#This Row],[配息頻率]]</f>
        <v/>
      </c>
      <c r="Z22" s="883" t="str">
        <f>庫存管理[[#This Row],[投入面額]]</f>
        <v/>
      </c>
      <c r="AA22" s="909">
        <f ca="1">庫存管理[[#This Row],[票面利率]]</f>
        <v>0</v>
      </c>
      <c r="AB22" s="908">
        <f ca="1">庫存管理[[#This Row],[換算匯率(現)]]</f>
        <v>0</v>
      </c>
      <c r="AC22" s="887">
        <f t="shared" ca="1" si="12"/>
        <v>0</v>
      </c>
      <c r="AD22" s="883">
        <f t="shared" ca="1" si="13"/>
        <v>0</v>
      </c>
      <c r="AE22" s="883">
        <f t="shared" ca="1" si="35"/>
        <v>0</v>
      </c>
      <c r="AF22" s="883">
        <f t="shared" ca="1" si="35"/>
        <v>0</v>
      </c>
      <c r="AG22" s="883">
        <f t="shared" ca="1" si="35"/>
        <v>0</v>
      </c>
      <c r="AH22" s="883">
        <f t="shared" ca="1" si="35"/>
        <v>0</v>
      </c>
      <c r="AI22" s="883">
        <f t="shared" ca="1" si="35"/>
        <v>0</v>
      </c>
      <c r="AJ22" s="883">
        <f t="shared" ca="1" si="35"/>
        <v>0</v>
      </c>
      <c r="AK22" s="883">
        <f t="shared" ca="1" si="35"/>
        <v>0</v>
      </c>
      <c r="AL22" s="883">
        <f t="shared" ca="1" si="35"/>
        <v>0</v>
      </c>
      <c r="AM22" s="883">
        <f t="shared" ca="1" si="35"/>
        <v>0</v>
      </c>
      <c r="AN22" s="883">
        <f t="shared" ca="1" si="35"/>
        <v>0</v>
      </c>
      <c r="AO22" s="883">
        <f t="shared" ca="1" si="35"/>
        <v>0</v>
      </c>
      <c r="AP22" s="883">
        <f t="shared" ca="1" si="35"/>
        <v>0</v>
      </c>
      <c r="AQ22" s="883">
        <f t="shared" ca="1" si="35"/>
        <v>0</v>
      </c>
      <c r="AR22" s="883">
        <f t="shared" ca="1" si="35"/>
        <v>0</v>
      </c>
      <c r="AS22" s="883">
        <f t="shared" ca="1" si="35"/>
        <v>0</v>
      </c>
      <c r="AT22" s="883">
        <f t="shared" ca="1" si="35"/>
        <v>0</v>
      </c>
      <c r="AU22" s="883">
        <f t="shared" ca="1" si="36"/>
        <v>0</v>
      </c>
      <c r="AV22" s="883">
        <f t="shared" ca="1" si="36"/>
        <v>0</v>
      </c>
      <c r="AW22" s="883">
        <f t="shared" ca="1" si="36"/>
        <v>0</v>
      </c>
      <c r="AX22" s="883">
        <f t="shared" ca="1" si="36"/>
        <v>0</v>
      </c>
      <c r="AY22" s="883">
        <f t="shared" ca="1" si="36"/>
        <v>0</v>
      </c>
      <c r="AZ22" s="883">
        <f t="shared" ca="1" si="36"/>
        <v>0</v>
      </c>
      <c r="BA22" s="883">
        <f t="shared" ca="1" si="36"/>
        <v>0</v>
      </c>
      <c r="BB22" s="883">
        <f t="shared" ca="1" si="36"/>
        <v>0</v>
      </c>
      <c r="BC22" s="883">
        <f t="shared" ca="1" si="36"/>
        <v>0</v>
      </c>
      <c r="BD22" s="883">
        <f t="shared" ca="1" si="36"/>
        <v>0</v>
      </c>
      <c r="BE22" s="883">
        <f t="shared" ca="1" si="36"/>
        <v>0</v>
      </c>
      <c r="BF22" s="883">
        <f t="shared" ca="1" si="36"/>
        <v>0</v>
      </c>
      <c r="BG22" s="883">
        <f t="shared" ca="1" si="36"/>
        <v>0</v>
      </c>
      <c r="BH22" s="883">
        <f t="shared" ca="1" si="36"/>
        <v>0</v>
      </c>
      <c r="BI22" s="883">
        <f t="shared" ca="1" si="36"/>
        <v>0</v>
      </c>
      <c r="BJ22" s="883">
        <f t="shared" ca="1" si="36"/>
        <v>0</v>
      </c>
      <c r="BK22" s="883">
        <f t="shared" ca="1" si="37"/>
        <v>0</v>
      </c>
      <c r="BL22" s="883">
        <f t="shared" ca="1" si="37"/>
        <v>0</v>
      </c>
      <c r="BM22" s="883">
        <f t="shared" ca="1" si="37"/>
        <v>0</v>
      </c>
      <c r="BN22" s="883">
        <f t="shared" ca="1" si="37"/>
        <v>0</v>
      </c>
      <c r="BO22" s="883">
        <f t="shared" ca="1" si="37"/>
        <v>0</v>
      </c>
      <c r="BP22" s="883">
        <f t="shared" ca="1" si="37"/>
        <v>0</v>
      </c>
      <c r="BQ22" s="883">
        <f t="shared" ca="1" si="37"/>
        <v>0</v>
      </c>
      <c r="BR22" s="883">
        <f t="shared" ca="1" si="37"/>
        <v>0</v>
      </c>
      <c r="BS22" s="883">
        <f t="shared" ca="1" si="37"/>
        <v>0</v>
      </c>
      <c r="BT22" s="883">
        <f t="shared" ca="1" si="37"/>
        <v>0</v>
      </c>
      <c r="BU22" s="883">
        <f t="shared" ca="1" si="37"/>
        <v>0</v>
      </c>
      <c r="BV22" s="883">
        <f t="shared" ca="1" si="37"/>
        <v>0</v>
      </c>
      <c r="BW22" s="883">
        <f t="shared" ca="1" si="37"/>
        <v>0</v>
      </c>
      <c r="BX22" s="883">
        <f t="shared" ca="1" si="37"/>
        <v>0</v>
      </c>
      <c r="BY22" s="883">
        <f t="shared" ca="1" si="37"/>
        <v>0</v>
      </c>
      <c r="BZ22" s="883">
        <f t="shared" ca="1" si="37"/>
        <v>0</v>
      </c>
      <c r="CA22" s="883">
        <f t="shared" ca="1" si="38"/>
        <v>0</v>
      </c>
      <c r="CB22" s="883">
        <f t="shared" ca="1" si="38"/>
        <v>0</v>
      </c>
      <c r="CC22" s="883">
        <f t="shared" ca="1" si="38"/>
        <v>0</v>
      </c>
      <c r="CD22" s="883">
        <f t="shared" ca="1" si="38"/>
        <v>0</v>
      </c>
      <c r="CE22" s="883">
        <f t="shared" ca="1" si="38"/>
        <v>0</v>
      </c>
      <c r="CF22" s="883">
        <f t="shared" ca="1" si="38"/>
        <v>0</v>
      </c>
      <c r="CG22" s="883">
        <f t="shared" ca="1" si="38"/>
        <v>0</v>
      </c>
      <c r="CH22" s="883">
        <f t="shared" ca="1" si="38"/>
        <v>0</v>
      </c>
      <c r="CI22" s="883">
        <f t="shared" ca="1" si="38"/>
        <v>0</v>
      </c>
      <c r="CJ22" s="883">
        <f t="shared" ca="1" si="38"/>
        <v>0</v>
      </c>
      <c r="CK22" s="883">
        <f t="shared" ca="1" si="38"/>
        <v>0</v>
      </c>
      <c r="CL22" s="883">
        <f t="shared" ca="1" si="38"/>
        <v>0</v>
      </c>
      <c r="CM22" s="883">
        <f t="shared" ca="1" si="38"/>
        <v>0</v>
      </c>
      <c r="CN22" s="883">
        <f t="shared" ca="1" si="38"/>
        <v>0</v>
      </c>
      <c r="CO22" s="883">
        <f t="shared" ca="1" si="38"/>
        <v>0</v>
      </c>
      <c r="CP22" s="883">
        <f t="shared" ca="1" si="38"/>
        <v>0</v>
      </c>
      <c r="CQ22" s="883">
        <f t="shared" ca="1" si="41"/>
        <v>0</v>
      </c>
      <c r="CR22" s="883">
        <f t="shared" ca="1" si="19"/>
        <v>0</v>
      </c>
      <c r="CS22" s="883">
        <f t="shared" ca="1" si="19"/>
        <v>0</v>
      </c>
      <c r="CT22" s="883">
        <f t="shared" ca="1" si="19"/>
        <v>0</v>
      </c>
      <c r="CU22" s="883">
        <f t="shared" ca="1" si="19"/>
        <v>0</v>
      </c>
      <c r="CV22" s="883">
        <f t="shared" ca="1" si="19"/>
        <v>0</v>
      </c>
      <c r="CW22" s="883">
        <f t="shared" ca="1" si="19"/>
        <v>0</v>
      </c>
      <c r="CX22" s="883">
        <f t="shared" ca="1" si="19"/>
        <v>0</v>
      </c>
      <c r="CY22" s="883">
        <f t="shared" ca="1" si="19"/>
        <v>0</v>
      </c>
      <c r="CZ22" s="883">
        <f t="shared" ca="1" si="19"/>
        <v>0</v>
      </c>
      <c r="DA22" s="883">
        <f t="shared" ca="1" si="19"/>
        <v>0</v>
      </c>
      <c r="DB22" s="883">
        <f t="shared" ca="1" si="19"/>
        <v>0</v>
      </c>
      <c r="DC22" s="883">
        <f t="shared" ca="1" si="19"/>
        <v>0</v>
      </c>
      <c r="DD22" s="883">
        <f t="shared" ca="1" si="19"/>
        <v>0</v>
      </c>
      <c r="DE22" s="883">
        <f t="shared" ca="1" si="19"/>
        <v>0</v>
      </c>
      <c r="DF22" s="883">
        <f t="shared" ca="1" si="19"/>
        <v>0</v>
      </c>
      <c r="DG22" s="883">
        <f t="shared" ca="1" si="19"/>
        <v>0</v>
      </c>
      <c r="DH22" s="883">
        <f t="shared" ca="1" si="15"/>
        <v>0</v>
      </c>
      <c r="DI22" s="883">
        <f t="shared" ca="1" si="15"/>
        <v>0</v>
      </c>
      <c r="DJ22" s="883">
        <f t="shared" ca="1" si="15"/>
        <v>0</v>
      </c>
      <c r="DK22" s="883">
        <f t="shared" ca="1" si="15"/>
        <v>0</v>
      </c>
      <c r="DL22" s="883">
        <f t="shared" ca="1" si="15"/>
        <v>0</v>
      </c>
      <c r="DM22" s="883">
        <f t="shared" ca="1" si="15"/>
        <v>0</v>
      </c>
      <c r="DN22" s="883">
        <f t="shared" ca="1" si="15"/>
        <v>0</v>
      </c>
      <c r="DO22" s="883">
        <f t="shared" ca="1" si="16"/>
        <v>0</v>
      </c>
      <c r="DP22" s="883">
        <f t="shared" ca="1" si="16"/>
        <v>0</v>
      </c>
      <c r="DQ22" s="883">
        <f t="shared" ca="1" si="16"/>
        <v>0</v>
      </c>
      <c r="DR22" s="883">
        <f t="shared" ca="1" si="16"/>
        <v>0</v>
      </c>
      <c r="DS22" s="883">
        <f t="shared" ca="1" si="16"/>
        <v>0</v>
      </c>
      <c r="DT22" s="883">
        <f t="shared" ca="1" si="16"/>
        <v>0</v>
      </c>
      <c r="DU22" s="883">
        <f t="shared" ca="1" si="16"/>
        <v>0</v>
      </c>
      <c r="DV22" s="883">
        <f t="shared" ca="1" si="16"/>
        <v>0</v>
      </c>
      <c r="DW22" s="883">
        <f t="shared" ca="1" si="16"/>
        <v>0</v>
      </c>
      <c r="DX22" s="883">
        <f t="shared" ca="1" si="16"/>
        <v>0</v>
      </c>
      <c r="DY22" s="883">
        <f t="shared" ca="1" si="16"/>
        <v>0</v>
      </c>
      <c r="DZ22" s="883">
        <f t="shared" ca="1" si="16"/>
        <v>0</v>
      </c>
      <c r="EA22" s="883">
        <f t="shared" ca="1" si="16"/>
        <v>0</v>
      </c>
      <c r="EB22" s="883">
        <f t="shared" ca="1" si="16"/>
        <v>0</v>
      </c>
      <c r="EC22" s="883">
        <f t="shared" ca="1" si="16"/>
        <v>0</v>
      </c>
      <c r="ED22" s="883">
        <f t="shared" ca="1" si="16"/>
        <v>0</v>
      </c>
      <c r="EE22" s="883">
        <f t="shared" ca="1" si="17"/>
        <v>0</v>
      </c>
      <c r="EF22" s="883">
        <f t="shared" ca="1" si="17"/>
        <v>0</v>
      </c>
      <c r="EG22" s="883">
        <f t="shared" ca="1" si="17"/>
        <v>0</v>
      </c>
      <c r="EH22" s="883">
        <f t="shared" ca="1" si="17"/>
        <v>0</v>
      </c>
      <c r="EI22" s="883">
        <f t="shared" ca="1" si="17"/>
        <v>0</v>
      </c>
      <c r="EJ22" s="883">
        <f t="shared" ca="1" si="17"/>
        <v>0</v>
      </c>
      <c r="EK22" s="883">
        <f t="shared" ca="1" si="17"/>
        <v>0</v>
      </c>
      <c r="EL22" s="883">
        <f t="shared" ca="1" si="17"/>
        <v>0</v>
      </c>
      <c r="EM22" s="883">
        <f t="shared" ca="1" si="17"/>
        <v>0</v>
      </c>
      <c r="EN22" s="883">
        <f t="shared" ca="1" si="17"/>
        <v>0</v>
      </c>
      <c r="EO22" s="883">
        <f t="shared" ca="1" si="17"/>
        <v>0</v>
      </c>
      <c r="EP22" s="883">
        <f t="shared" ca="1" si="17"/>
        <v>0</v>
      </c>
      <c r="EQ22" s="883">
        <f t="shared" ca="1" si="17"/>
        <v>0</v>
      </c>
      <c r="ER22" s="883">
        <f t="shared" ca="1" si="17"/>
        <v>0</v>
      </c>
      <c r="ES22" s="883">
        <f t="shared" ca="1" si="17"/>
        <v>0</v>
      </c>
      <c r="ET22" s="883">
        <f t="shared" ca="1" si="17"/>
        <v>0</v>
      </c>
      <c r="EU22" s="883">
        <f t="shared" ca="1" si="18"/>
        <v>0</v>
      </c>
      <c r="EV22" s="883">
        <f t="shared" ca="1" si="18"/>
        <v>0</v>
      </c>
      <c r="EW22" s="883">
        <f t="shared" ca="1" si="18"/>
        <v>0</v>
      </c>
      <c r="EX22" s="883">
        <f t="shared" ca="1" si="18"/>
        <v>0</v>
      </c>
      <c r="EY22" s="883">
        <f t="shared" ca="1" si="18"/>
        <v>0</v>
      </c>
      <c r="EZ22" s="883">
        <f t="shared" ca="1" si="18"/>
        <v>0</v>
      </c>
      <c r="FA22" s="883">
        <f t="shared" ca="1" si="18"/>
        <v>0</v>
      </c>
    </row>
    <row r="23" spans="1:157">
      <c r="A23" s="1525">
        <f ca="1">B2-C22</f>
        <v>6</v>
      </c>
      <c r="B23" s="890" t="str">
        <f ca="1">IF(B22="","",IF(A23&lt;=0,"",IF(A23=1,C23,IF(A23&lt;6,CONCATENATE(C22+1,"~",C23),CONCATENATE(C22+1,"~",B2)))))</f>
        <v>2055~2060</v>
      </c>
      <c r="C23" s="891">
        <f ca="1">IF(A23&lt;0,"",IF(A23&lt;=5,C22+A23,C22+1))</f>
        <v>2055</v>
      </c>
      <c r="D23" s="1247">
        <f ca="1">IF(AND(A6=1,B6=0),"",IF(C23&lt;&gt;"",IF($A23=1,VLOOKUP($C23,$H:$K,$C$6,FALSE),IF($A$23&lt;6,SUMIFS(IF($A$6=1,K:K,I:I),$H:$H,"&gt;"&amp;$C22,$H:$H,"&lt;="&amp;$C23),SUMIFS(IF($A$6=1,K:K,I:I),$H:$H,"&gt;"&amp;$C22))),""))</f>
        <v>13500</v>
      </c>
      <c r="E23" s="1250">
        <f ca="1">IF(C23&lt;&gt;"",IF($A23=1,VLOOKUP($C23,$H:L,$D$6,FALSE),IF($A23&lt;6,SUMIFS(IF($A$6=1,L:L,J:J),$H:$H,"&gt;"&amp;$C22,$H:$H,"&lt;="&amp;$C23),SUMIFS(IF($A$6=1,L:L,J:J),$H:$H,"&gt;"&amp;$C22))),"")</f>
        <v>100000</v>
      </c>
      <c r="F23" s="1245">
        <f t="shared" ca="1" si="21"/>
        <v>890975</v>
      </c>
      <c r="G23" s="944">
        <f t="shared" ca="1" si="22"/>
        <v>2.6836596385542171</v>
      </c>
      <c r="H23" s="891">
        <f t="shared" ca="1" si="34"/>
        <v>2035</v>
      </c>
      <c r="I23" s="1206">
        <f t="shared" ca="1" si="32"/>
        <v>16425</v>
      </c>
      <c r="J23" s="1206">
        <f t="shared" ca="1" si="23"/>
        <v>0</v>
      </c>
      <c r="K23" s="929" t="str">
        <f t="shared" si="33"/>
        <v/>
      </c>
      <c r="L23" s="929" t="str">
        <f t="shared" si="24"/>
        <v/>
      </c>
      <c r="N23" s="1714">
        <v>17</v>
      </c>
      <c r="O23" s="1789" t="b">
        <f ca="1">庫存管理[[#This Row],[檢測]]</f>
        <v>0</v>
      </c>
      <c r="P23" s="882" t="e">
        <f ca="1">VLOOKUP(Q23,bond!B:AA,26,FALSE)</f>
        <v>#N/A</v>
      </c>
      <c r="Q23" s="883" t="str">
        <f ca="1">庫存管理[[#This Row],[商品代號]]</f>
        <v/>
      </c>
      <c r="R23" s="889">
        <f ca="1">IF(O23=TRUE,IFERROR(IF($D$4=1,庫存管理[[#This Row],[投入面額]]*庫存管理[[#This Row],[換算匯率(現)]],庫存管理[[#This Row],[投入面額]]),0),0)</f>
        <v>0</v>
      </c>
      <c r="S23" s="885" t="e">
        <f ca="1">庫存管理[[#This Row],[到期日]]</f>
        <v>#N/A</v>
      </c>
      <c r="T23" s="883">
        <f t="shared" ca="1" si="9"/>
        <v>0</v>
      </c>
      <c r="U23" s="885" t="str">
        <f ca="1">庫存管理[[#This Row],[下一配息日]]</f>
        <v/>
      </c>
      <c r="V23" s="886" t="str">
        <f t="shared" ca="1" si="39"/>
        <v/>
      </c>
      <c r="W23" s="885" t="e">
        <f ca="1">庫存管理[[#This Row],[到期日]]</f>
        <v>#N/A</v>
      </c>
      <c r="X23" s="886" t="str">
        <f t="shared" ca="1" si="40"/>
        <v/>
      </c>
      <c r="Y23" s="883" t="str">
        <f ca="1">庫存管理[[#This Row],[配息頻率]]</f>
        <v/>
      </c>
      <c r="Z23" s="883" t="str">
        <f>庫存管理[[#This Row],[投入面額]]</f>
        <v/>
      </c>
      <c r="AA23" s="909">
        <f ca="1">庫存管理[[#This Row],[票面利率]]</f>
        <v>0</v>
      </c>
      <c r="AB23" s="908">
        <f ca="1">庫存管理[[#This Row],[換算匯率(現)]]</f>
        <v>0</v>
      </c>
      <c r="AC23" s="887">
        <f t="shared" ca="1" si="12"/>
        <v>0</v>
      </c>
      <c r="AD23" s="883">
        <f t="shared" ca="1" si="13"/>
        <v>0</v>
      </c>
      <c r="AE23" s="883">
        <f t="shared" ca="1" si="35"/>
        <v>0</v>
      </c>
      <c r="AF23" s="883">
        <f t="shared" ca="1" si="35"/>
        <v>0</v>
      </c>
      <c r="AG23" s="883">
        <f t="shared" ca="1" si="35"/>
        <v>0</v>
      </c>
      <c r="AH23" s="883">
        <f t="shared" ca="1" si="35"/>
        <v>0</v>
      </c>
      <c r="AI23" s="883">
        <f t="shared" ca="1" si="35"/>
        <v>0</v>
      </c>
      <c r="AJ23" s="883">
        <f t="shared" ca="1" si="35"/>
        <v>0</v>
      </c>
      <c r="AK23" s="883">
        <f t="shared" ca="1" si="35"/>
        <v>0</v>
      </c>
      <c r="AL23" s="883">
        <f t="shared" ca="1" si="35"/>
        <v>0</v>
      </c>
      <c r="AM23" s="883">
        <f t="shared" ca="1" si="35"/>
        <v>0</v>
      </c>
      <c r="AN23" s="883">
        <f t="shared" ca="1" si="35"/>
        <v>0</v>
      </c>
      <c r="AO23" s="883">
        <f t="shared" ca="1" si="35"/>
        <v>0</v>
      </c>
      <c r="AP23" s="883">
        <f t="shared" ca="1" si="35"/>
        <v>0</v>
      </c>
      <c r="AQ23" s="883">
        <f t="shared" ca="1" si="35"/>
        <v>0</v>
      </c>
      <c r="AR23" s="883">
        <f t="shared" ca="1" si="35"/>
        <v>0</v>
      </c>
      <c r="AS23" s="883">
        <f t="shared" ca="1" si="35"/>
        <v>0</v>
      </c>
      <c r="AT23" s="883">
        <f t="shared" ca="1" si="35"/>
        <v>0</v>
      </c>
      <c r="AU23" s="883">
        <f t="shared" ca="1" si="36"/>
        <v>0</v>
      </c>
      <c r="AV23" s="883">
        <f t="shared" ca="1" si="36"/>
        <v>0</v>
      </c>
      <c r="AW23" s="883">
        <f t="shared" ca="1" si="36"/>
        <v>0</v>
      </c>
      <c r="AX23" s="883">
        <f t="shared" ca="1" si="36"/>
        <v>0</v>
      </c>
      <c r="AY23" s="883">
        <f t="shared" ca="1" si="36"/>
        <v>0</v>
      </c>
      <c r="AZ23" s="883">
        <f t="shared" ca="1" si="36"/>
        <v>0</v>
      </c>
      <c r="BA23" s="883">
        <f t="shared" ca="1" si="36"/>
        <v>0</v>
      </c>
      <c r="BB23" s="883">
        <f t="shared" ca="1" si="36"/>
        <v>0</v>
      </c>
      <c r="BC23" s="883">
        <f t="shared" ca="1" si="36"/>
        <v>0</v>
      </c>
      <c r="BD23" s="883">
        <f t="shared" ca="1" si="36"/>
        <v>0</v>
      </c>
      <c r="BE23" s="883">
        <f t="shared" ca="1" si="36"/>
        <v>0</v>
      </c>
      <c r="BF23" s="883">
        <f t="shared" ca="1" si="36"/>
        <v>0</v>
      </c>
      <c r="BG23" s="883">
        <f t="shared" ca="1" si="36"/>
        <v>0</v>
      </c>
      <c r="BH23" s="883">
        <f t="shared" ca="1" si="36"/>
        <v>0</v>
      </c>
      <c r="BI23" s="883">
        <f t="shared" ca="1" si="36"/>
        <v>0</v>
      </c>
      <c r="BJ23" s="883">
        <f t="shared" ca="1" si="36"/>
        <v>0</v>
      </c>
      <c r="BK23" s="883">
        <f t="shared" ca="1" si="37"/>
        <v>0</v>
      </c>
      <c r="BL23" s="883">
        <f t="shared" ca="1" si="37"/>
        <v>0</v>
      </c>
      <c r="BM23" s="883">
        <f t="shared" ca="1" si="37"/>
        <v>0</v>
      </c>
      <c r="BN23" s="883">
        <f t="shared" ca="1" si="37"/>
        <v>0</v>
      </c>
      <c r="BO23" s="883">
        <f t="shared" ca="1" si="37"/>
        <v>0</v>
      </c>
      <c r="BP23" s="883">
        <f t="shared" ca="1" si="37"/>
        <v>0</v>
      </c>
      <c r="BQ23" s="883">
        <f t="shared" ca="1" si="37"/>
        <v>0</v>
      </c>
      <c r="BR23" s="883">
        <f t="shared" ca="1" si="37"/>
        <v>0</v>
      </c>
      <c r="BS23" s="883">
        <f t="shared" ca="1" si="37"/>
        <v>0</v>
      </c>
      <c r="BT23" s="883">
        <f t="shared" ca="1" si="37"/>
        <v>0</v>
      </c>
      <c r="BU23" s="883">
        <f t="shared" ca="1" si="37"/>
        <v>0</v>
      </c>
      <c r="BV23" s="883">
        <f t="shared" ca="1" si="37"/>
        <v>0</v>
      </c>
      <c r="BW23" s="883">
        <f t="shared" ca="1" si="37"/>
        <v>0</v>
      </c>
      <c r="BX23" s="883">
        <f t="shared" ca="1" si="37"/>
        <v>0</v>
      </c>
      <c r="BY23" s="883">
        <f t="shared" ca="1" si="37"/>
        <v>0</v>
      </c>
      <c r="BZ23" s="883">
        <f t="shared" ca="1" si="37"/>
        <v>0</v>
      </c>
      <c r="CA23" s="883">
        <f t="shared" ca="1" si="38"/>
        <v>0</v>
      </c>
      <c r="CB23" s="883">
        <f t="shared" ca="1" si="38"/>
        <v>0</v>
      </c>
      <c r="CC23" s="883">
        <f t="shared" ca="1" si="38"/>
        <v>0</v>
      </c>
      <c r="CD23" s="883">
        <f t="shared" ca="1" si="38"/>
        <v>0</v>
      </c>
      <c r="CE23" s="883">
        <f t="shared" ca="1" si="38"/>
        <v>0</v>
      </c>
      <c r="CF23" s="883">
        <f t="shared" ca="1" si="38"/>
        <v>0</v>
      </c>
      <c r="CG23" s="883">
        <f t="shared" ca="1" si="38"/>
        <v>0</v>
      </c>
      <c r="CH23" s="883">
        <f t="shared" ca="1" si="38"/>
        <v>0</v>
      </c>
      <c r="CI23" s="883">
        <f t="shared" ca="1" si="38"/>
        <v>0</v>
      </c>
      <c r="CJ23" s="883">
        <f t="shared" ca="1" si="38"/>
        <v>0</v>
      </c>
      <c r="CK23" s="883">
        <f t="shared" ca="1" si="38"/>
        <v>0</v>
      </c>
      <c r="CL23" s="883">
        <f t="shared" ca="1" si="38"/>
        <v>0</v>
      </c>
      <c r="CM23" s="883">
        <f t="shared" ca="1" si="38"/>
        <v>0</v>
      </c>
      <c r="CN23" s="883">
        <f t="shared" ca="1" si="38"/>
        <v>0</v>
      </c>
      <c r="CO23" s="883">
        <f t="shared" ca="1" si="38"/>
        <v>0</v>
      </c>
      <c r="CP23" s="883">
        <f t="shared" ca="1" si="38"/>
        <v>0</v>
      </c>
      <c r="CQ23" s="883">
        <f t="shared" ca="1" si="41"/>
        <v>0</v>
      </c>
      <c r="CR23" s="883">
        <f t="shared" ca="1" si="19"/>
        <v>0</v>
      </c>
      <c r="CS23" s="883">
        <f t="shared" ca="1" si="19"/>
        <v>0</v>
      </c>
      <c r="CT23" s="883">
        <f t="shared" ca="1" si="19"/>
        <v>0</v>
      </c>
      <c r="CU23" s="883">
        <f t="shared" ca="1" si="19"/>
        <v>0</v>
      </c>
      <c r="CV23" s="883">
        <f t="shared" ca="1" si="19"/>
        <v>0</v>
      </c>
      <c r="CW23" s="883">
        <f t="shared" ca="1" si="19"/>
        <v>0</v>
      </c>
      <c r="CX23" s="883">
        <f t="shared" ca="1" si="19"/>
        <v>0</v>
      </c>
      <c r="CY23" s="883">
        <f t="shared" ca="1" si="19"/>
        <v>0</v>
      </c>
      <c r="CZ23" s="883">
        <f t="shared" ca="1" si="19"/>
        <v>0</v>
      </c>
      <c r="DA23" s="883">
        <f t="shared" ca="1" si="19"/>
        <v>0</v>
      </c>
      <c r="DB23" s="883">
        <f t="shared" ca="1" si="19"/>
        <v>0</v>
      </c>
      <c r="DC23" s="883">
        <f t="shared" ca="1" si="19"/>
        <v>0</v>
      </c>
      <c r="DD23" s="883">
        <f t="shared" ca="1" si="19"/>
        <v>0</v>
      </c>
      <c r="DE23" s="883">
        <f t="shared" ca="1" si="19"/>
        <v>0</v>
      </c>
      <c r="DF23" s="883">
        <f t="shared" ca="1" si="19"/>
        <v>0</v>
      </c>
      <c r="DG23" s="883">
        <f t="shared" ca="1" si="19"/>
        <v>0</v>
      </c>
      <c r="DH23" s="883">
        <f t="shared" ca="1" si="15"/>
        <v>0</v>
      </c>
      <c r="DI23" s="883">
        <f t="shared" ca="1" si="15"/>
        <v>0</v>
      </c>
      <c r="DJ23" s="883">
        <f t="shared" ca="1" si="15"/>
        <v>0</v>
      </c>
      <c r="DK23" s="883">
        <f t="shared" ca="1" si="15"/>
        <v>0</v>
      </c>
      <c r="DL23" s="883">
        <f t="shared" ca="1" si="15"/>
        <v>0</v>
      </c>
      <c r="DM23" s="883">
        <f t="shared" ca="1" si="15"/>
        <v>0</v>
      </c>
      <c r="DN23" s="883">
        <f t="shared" ca="1" si="15"/>
        <v>0</v>
      </c>
      <c r="DO23" s="883">
        <f t="shared" ca="1" si="16"/>
        <v>0</v>
      </c>
      <c r="DP23" s="883">
        <f t="shared" ca="1" si="16"/>
        <v>0</v>
      </c>
      <c r="DQ23" s="883">
        <f t="shared" ca="1" si="16"/>
        <v>0</v>
      </c>
      <c r="DR23" s="883">
        <f t="shared" ca="1" si="16"/>
        <v>0</v>
      </c>
      <c r="DS23" s="883">
        <f t="shared" ca="1" si="16"/>
        <v>0</v>
      </c>
      <c r="DT23" s="883">
        <f t="shared" ca="1" si="16"/>
        <v>0</v>
      </c>
      <c r="DU23" s="883">
        <f t="shared" ca="1" si="16"/>
        <v>0</v>
      </c>
      <c r="DV23" s="883">
        <f t="shared" ca="1" si="16"/>
        <v>0</v>
      </c>
      <c r="DW23" s="883">
        <f t="shared" ca="1" si="16"/>
        <v>0</v>
      </c>
      <c r="DX23" s="883">
        <f t="shared" ca="1" si="16"/>
        <v>0</v>
      </c>
      <c r="DY23" s="883">
        <f t="shared" ca="1" si="16"/>
        <v>0</v>
      </c>
      <c r="DZ23" s="883">
        <f t="shared" ca="1" si="16"/>
        <v>0</v>
      </c>
      <c r="EA23" s="883">
        <f t="shared" ca="1" si="16"/>
        <v>0</v>
      </c>
      <c r="EB23" s="883">
        <f t="shared" ca="1" si="16"/>
        <v>0</v>
      </c>
      <c r="EC23" s="883">
        <f t="shared" ca="1" si="16"/>
        <v>0</v>
      </c>
      <c r="ED23" s="883">
        <f t="shared" ca="1" si="16"/>
        <v>0</v>
      </c>
      <c r="EE23" s="883">
        <f t="shared" ca="1" si="17"/>
        <v>0</v>
      </c>
      <c r="EF23" s="883">
        <f t="shared" ca="1" si="17"/>
        <v>0</v>
      </c>
      <c r="EG23" s="883">
        <f t="shared" ca="1" si="17"/>
        <v>0</v>
      </c>
      <c r="EH23" s="883">
        <f t="shared" ca="1" si="17"/>
        <v>0</v>
      </c>
      <c r="EI23" s="883">
        <f t="shared" ca="1" si="17"/>
        <v>0</v>
      </c>
      <c r="EJ23" s="883">
        <f t="shared" ca="1" si="17"/>
        <v>0</v>
      </c>
      <c r="EK23" s="883">
        <f t="shared" ca="1" si="17"/>
        <v>0</v>
      </c>
      <c r="EL23" s="883">
        <f t="shared" ca="1" si="17"/>
        <v>0</v>
      </c>
      <c r="EM23" s="883">
        <f t="shared" ca="1" si="17"/>
        <v>0</v>
      </c>
      <c r="EN23" s="883">
        <f t="shared" ca="1" si="17"/>
        <v>0</v>
      </c>
      <c r="EO23" s="883">
        <f t="shared" ca="1" si="17"/>
        <v>0</v>
      </c>
      <c r="EP23" s="883">
        <f t="shared" ca="1" si="17"/>
        <v>0</v>
      </c>
      <c r="EQ23" s="883">
        <f t="shared" ca="1" si="17"/>
        <v>0</v>
      </c>
      <c r="ER23" s="883">
        <f t="shared" ca="1" si="17"/>
        <v>0</v>
      </c>
      <c r="ES23" s="883">
        <f t="shared" ca="1" si="17"/>
        <v>0</v>
      </c>
      <c r="ET23" s="883">
        <f t="shared" ca="1" si="17"/>
        <v>0</v>
      </c>
      <c r="EU23" s="883">
        <f t="shared" ca="1" si="18"/>
        <v>0</v>
      </c>
      <c r="EV23" s="883">
        <f t="shared" ca="1" si="18"/>
        <v>0</v>
      </c>
      <c r="EW23" s="883">
        <f t="shared" ca="1" si="18"/>
        <v>0</v>
      </c>
      <c r="EX23" s="883">
        <f t="shared" ca="1" si="18"/>
        <v>0</v>
      </c>
      <c r="EY23" s="883">
        <f t="shared" ca="1" si="18"/>
        <v>0</v>
      </c>
      <c r="EZ23" s="883">
        <f t="shared" ca="1" si="18"/>
        <v>0</v>
      </c>
      <c r="FA23" s="883">
        <f t="shared" ca="1" si="18"/>
        <v>0</v>
      </c>
    </row>
    <row r="24" spans="1:157">
      <c r="H24" s="891">
        <f t="shared" ca="1" si="34"/>
        <v>2036</v>
      </c>
      <c r="I24" s="1206">
        <f t="shared" ca="1" si="32"/>
        <v>16425</v>
      </c>
      <c r="J24" s="1206">
        <f t="shared" ca="1" si="23"/>
        <v>0</v>
      </c>
      <c r="K24" s="929" t="str">
        <f t="shared" si="33"/>
        <v/>
      </c>
      <c r="L24" s="929" t="str">
        <f t="shared" si="24"/>
        <v/>
      </c>
      <c r="N24" s="1714">
        <v>18</v>
      </c>
      <c r="O24" s="1789" t="b">
        <f ca="1">庫存管理[[#This Row],[檢測]]</f>
        <v>0</v>
      </c>
      <c r="P24" s="882" t="e">
        <f ca="1">VLOOKUP(Q24,bond!B:AA,26,FALSE)</f>
        <v>#N/A</v>
      </c>
      <c r="Q24" s="883" t="str">
        <f ca="1">庫存管理[[#This Row],[商品代號]]</f>
        <v/>
      </c>
      <c r="R24" s="889">
        <f ca="1">IF(O24=TRUE,IFERROR(IF($D$4=1,庫存管理[[#This Row],[投入面額]]*庫存管理[[#This Row],[換算匯率(現)]],庫存管理[[#This Row],[投入面額]]),0),0)</f>
        <v>0</v>
      </c>
      <c r="S24" s="885" t="e">
        <f ca="1">庫存管理[[#This Row],[到期日]]</f>
        <v>#N/A</v>
      </c>
      <c r="T24" s="883">
        <f t="shared" ca="1" si="9"/>
        <v>0</v>
      </c>
      <c r="U24" s="885" t="str">
        <f ca="1">庫存管理[[#This Row],[下一配息日]]</f>
        <v/>
      </c>
      <c r="V24" s="886" t="str">
        <f t="shared" ca="1" si="39"/>
        <v/>
      </c>
      <c r="W24" s="885" t="e">
        <f ca="1">庫存管理[[#This Row],[到期日]]</f>
        <v>#N/A</v>
      </c>
      <c r="X24" s="886" t="str">
        <f t="shared" ca="1" si="40"/>
        <v/>
      </c>
      <c r="Y24" s="883" t="str">
        <f ca="1">庫存管理[[#This Row],[配息頻率]]</f>
        <v/>
      </c>
      <c r="Z24" s="883" t="str">
        <f>庫存管理[[#This Row],[投入面額]]</f>
        <v/>
      </c>
      <c r="AA24" s="909">
        <f ca="1">庫存管理[[#This Row],[票面利率]]</f>
        <v>0</v>
      </c>
      <c r="AB24" s="908">
        <f ca="1">庫存管理[[#This Row],[換算匯率(現)]]</f>
        <v>0</v>
      </c>
      <c r="AC24" s="887">
        <f t="shared" ca="1" si="12"/>
        <v>0</v>
      </c>
      <c r="AD24" s="883">
        <f t="shared" ca="1" si="13"/>
        <v>0</v>
      </c>
      <c r="AE24" s="883">
        <f t="shared" ca="1" si="35"/>
        <v>0</v>
      </c>
      <c r="AF24" s="883">
        <f t="shared" ca="1" si="35"/>
        <v>0</v>
      </c>
      <c r="AG24" s="883">
        <f t="shared" ca="1" si="35"/>
        <v>0</v>
      </c>
      <c r="AH24" s="883">
        <f t="shared" ca="1" si="35"/>
        <v>0</v>
      </c>
      <c r="AI24" s="883">
        <f t="shared" ca="1" si="35"/>
        <v>0</v>
      </c>
      <c r="AJ24" s="883">
        <f t="shared" ca="1" si="35"/>
        <v>0</v>
      </c>
      <c r="AK24" s="883">
        <f t="shared" ca="1" si="35"/>
        <v>0</v>
      </c>
      <c r="AL24" s="883">
        <f t="shared" ca="1" si="35"/>
        <v>0</v>
      </c>
      <c r="AM24" s="883">
        <f t="shared" ca="1" si="35"/>
        <v>0</v>
      </c>
      <c r="AN24" s="883">
        <f t="shared" ca="1" si="35"/>
        <v>0</v>
      </c>
      <c r="AO24" s="883">
        <f t="shared" ca="1" si="35"/>
        <v>0</v>
      </c>
      <c r="AP24" s="883">
        <f t="shared" ca="1" si="35"/>
        <v>0</v>
      </c>
      <c r="AQ24" s="883">
        <f t="shared" ca="1" si="35"/>
        <v>0</v>
      </c>
      <c r="AR24" s="883">
        <f t="shared" ca="1" si="35"/>
        <v>0</v>
      </c>
      <c r="AS24" s="883">
        <f t="shared" ca="1" si="35"/>
        <v>0</v>
      </c>
      <c r="AT24" s="883">
        <f t="shared" ca="1" si="35"/>
        <v>0</v>
      </c>
      <c r="AU24" s="883">
        <f t="shared" ca="1" si="36"/>
        <v>0</v>
      </c>
      <c r="AV24" s="883">
        <f t="shared" ca="1" si="36"/>
        <v>0</v>
      </c>
      <c r="AW24" s="883">
        <f t="shared" ca="1" si="36"/>
        <v>0</v>
      </c>
      <c r="AX24" s="883">
        <f t="shared" ca="1" si="36"/>
        <v>0</v>
      </c>
      <c r="AY24" s="883">
        <f t="shared" ca="1" si="36"/>
        <v>0</v>
      </c>
      <c r="AZ24" s="883">
        <f t="shared" ca="1" si="36"/>
        <v>0</v>
      </c>
      <c r="BA24" s="883">
        <f t="shared" ca="1" si="36"/>
        <v>0</v>
      </c>
      <c r="BB24" s="883">
        <f t="shared" ca="1" si="36"/>
        <v>0</v>
      </c>
      <c r="BC24" s="883">
        <f t="shared" ca="1" si="36"/>
        <v>0</v>
      </c>
      <c r="BD24" s="883">
        <f t="shared" ca="1" si="36"/>
        <v>0</v>
      </c>
      <c r="BE24" s="883">
        <f t="shared" ca="1" si="36"/>
        <v>0</v>
      </c>
      <c r="BF24" s="883">
        <f t="shared" ca="1" si="36"/>
        <v>0</v>
      </c>
      <c r="BG24" s="883">
        <f t="shared" ca="1" si="36"/>
        <v>0</v>
      </c>
      <c r="BH24" s="883">
        <f t="shared" ca="1" si="36"/>
        <v>0</v>
      </c>
      <c r="BI24" s="883">
        <f t="shared" ca="1" si="36"/>
        <v>0</v>
      </c>
      <c r="BJ24" s="883">
        <f t="shared" ca="1" si="36"/>
        <v>0</v>
      </c>
      <c r="BK24" s="883">
        <f t="shared" ca="1" si="37"/>
        <v>0</v>
      </c>
      <c r="BL24" s="883">
        <f t="shared" ca="1" si="37"/>
        <v>0</v>
      </c>
      <c r="BM24" s="883">
        <f t="shared" ca="1" si="37"/>
        <v>0</v>
      </c>
      <c r="BN24" s="883">
        <f t="shared" ca="1" si="37"/>
        <v>0</v>
      </c>
      <c r="BO24" s="883">
        <f t="shared" ca="1" si="37"/>
        <v>0</v>
      </c>
      <c r="BP24" s="883">
        <f t="shared" ca="1" si="37"/>
        <v>0</v>
      </c>
      <c r="BQ24" s="883">
        <f t="shared" ca="1" si="37"/>
        <v>0</v>
      </c>
      <c r="BR24" s="883">
        <f t="shared" ca="1" si="37"/>
        <v>0</v>
      </c>
      <c r="BS24" s="883">
        <f t="shared" ca="1" si="37"/>
        <v>0</v>
      </c>
      <c r="BT24" s="883">
        <f t="shared" ca="1" si="37"/>
        <v>0</v>
      </c>
      <c r="BU24" s="883">
        <f t="shared" ca="1" si="37"/>
        <v>0</v>
      </c>
      <c r="BV24" s="883">
        <f t="shared" ca="1" si="37"/>
        <v>0</v>
      </c>
      <c r="BW24" s="883">
        <f t="shared" ca="1" si="37"/>
        <v>0</v>
      </c>
      <c r="BX24" s="883">
        <f t="shared" ca="1" si="37"/>
        <v>0</v>
      </c>
      <c r="BY24" s="883">
        <f t="shared" ca="1" si="37"/>
        <v>0</v>
      </c>
      <c r="BZ24" s="883">
        <f t="shared" ca="1" si="37"/>
        <v>0</v>
      </c>
      <c r="CA24" s="883">
        <f t="shared" ca="1" si="38"/>
        <v>0</v>
      </c>
      <c r="CB24" s="883">
        <f t="shared" ca="1" si="38"/>
        <v>0</v>
      </c>
      <c r="CC24" s="883">
        <f t="shared" ca="1" si="38"/>
        <v>0</v>
      </c>
      <c r="CD24" s="883">
        <f t="shared" ca="1" si="38"/>
        <v>0</v>
      </c>
      <c r="CE24" s="883">
        <f t="shared" ca="1" si="38"/>
        <v>0</v>
      </c>
      <c r="CF24" s="883">
        <f t="shared" ca="1" si="38"/>
        <v>0</v>
      </c>
      <c r="CG24" s="883">
        <f t="shared" ca="1" si="38"/>
        <v>0</v>
      </c>
      <c r="CH24" s="883">
        <f t="shared" ca="1" si="38"/>
        <v>0</v>
      </c>
      <c r="CI24" s="883">
        <f t="shared" ca="1" si="38"/>
        <v>0</v>
      </c>
      <c r="CJ24" s="883">
        <f t="shared" ca="1" si="38"/>
        <v>0</v>
      </c>
      <c r="CK24" s="883">
        <f t="shared" ca="1" si="38"/>
        <v>0</v>
      </c>
      <c r="CL24" s="883">
        <f t="shared" ca="1" si="38"/>
        <v>0</v>
      </c>
      <c r="CM24" s="883">
        <f t="shared" ca="1" si="38"/>
        <v>0</v>
      </c>
      <c r="CN24" s="883">
        <f t="shared" ca="1" si="38"/>
        <v>0</v>
      </c>
      <c r="CO24" s="883">
        <f t="shared" ca="1" si="38"/>
        <v>0</v>
      </c>
      <c r="CP24" s="883">
        <f t="shared" ca="1" si="38"/>
        <v>0</v>
      </c>
      <c r="CQ24" s="883">
        <f t="shared" ca="1" si="41"/>
        <v>0</v>
      </c>
      <c r="CR24" s="883">
        <f t="shared" ca="1" si="19"/>
        <v>0</v>
      </c>
      <c r="CS24" s="883">
        <f t="shared" ca="1" si="19"/>
        <v>0</v>
      </c>
      <c r="CT24" s="883">
        <f t="shared" ca="1" si="19"/>
        <v>0</v>
      </c>
      <c r="CU24" s="883">
        <f t="shared" ca="1" si="19"/>
        <v>0</v>
      </c>
      <c r="CV24" s="883">
        <f t="shared" ca="1" si="19"/>
        <v>0</v>
      </c>
      <c r="CW24" s="883">
        <f t="shared" ca="1" si="19"/>
        <v>0</v>
      </c>
      <c r="CX24" s="883">
        <f t="shared" ca="1" si="19"/>
        <v>0</v>
      </c>
      <c r="CY24" s="883">
        <f t="shared" ca="1" si="19"/>
        <v>0</v>
      </c>
      <c r="CZ24" s="883">
        <f t="shared" ca="1" si="19"/>
        <v>0</v>
      </c>
      <c r="DA24" s="883">
        <f t="shared" ca="1" si="19"/>
        <v>0</v>
      </c>
      <c r="DB24" s="883">
        <f t="shared" ca="1" si="19"/>
        <v>0</v>
      </c>
      <c r="DC24" s="883">
        <f t="shared" ca="1" si="19"/>
        <v>0</v>
      </c>
      <c r="DD24" s="883">
        <f t="shared" ca="1" si="19"/>
        <v>0</v>
      </c>
      <c r="DE24" s="883">
        <f t="shared" ca="1" si="19"/>
        <v>0</v>
      </c>
      <c r="DF24" s="883">
        <f t="shared" ca="1" si="19"/>
        <v>0</v>
      </c>
      <c r="DG24" s="883">
        <f t="shared" ca="1" si="19"/>
        <v>0</v>
      </c>
      <c r="DH24" s="883">
        <f t="shared" ca="1" si="15"/>
        <v>0</v>
      </c>
      <c r="DI24" s="883">
        <f t="shared" ca="1" si="15"/>
        <v>0</v>
      </c>
      <c r="DJ24" s="883">
        <f t="shared" ca="1" si="15"/>
        <v>0</v>
      </c>
      <c r="DK24" s="883">
        <f t="shared" ca="1" si="15"/>
        <v>0</v>
      </c>
      <c r="DL24" s="883">
        <f t="shared" ca="1" si="15"/>
        <v>0</v>
      </c>
      <c r="DM24" s="883">
        <f t="shared" ca="1" si="15"/>
        <v>0</v>
      </c>
      <c r="DN24" s="883">
        <f t="shared" ca="1" si="15"/>
        <v>0</v>
      </c>
      <c r="DO24" s="883">
        <f t="shared" ca="1" si="16"/>
        <v>0</v>
      </c>
      <c r="DP24" s="883">
        <f t="shared" ca="1" si="16"/>
        <v>0</v>
      </c>
      <c r="DQ24" s="883">
        <f t="shared" ca="1" si="16"/>
        <v>0</v>
      </c>
      <c r="DR24" s="883">
        <f t="shared" ca="1" si="16"/>
        <v>0</v>
      </c>
      <c r="DS24" s="883">
        <f t="shared" ca="1" si="16"/>
        <v>0</v>
      </c>
      <c r="DT24" s="883">
        <f t="shared" ca="1" si="16"/>
        <v>0</v>
      </c>
      <c r="DU24" s="883">
        <f t="shared" ca="1" si="16"/>
        <v>0</v>
      </c>
      <c r="DV24" s="883">
        <f t="shared" ca="1" si="16"/>
        <v>0</v>
      </c>
      <c r="DW24" s="883">
        <f t="shared" ca="1" si="16"/>
        <v>0</v>
      </c>
      <c r="DX24" s="883">
        <f t="shared" ca="1" si="16"/>
        <v>0</v>
      </c>
      <c r="DY24" s="883">
        <f t="shared" ca="1" si="16"/>
        <v>0</v>
      </c>
      <c r="DZ24" s="883">
        <f t="shared" ca="1" si="16"/>
        <v>0</v>
      </c>
      <c r="EA24" s="883">
        <f t="shared" ca="1" si="16"/>
        <v>0</v>
      </c>
      <c r="EB24" s="883">
        <f t="shared" ca="1" si="16"/>
        <v>0</v>
      </c>
      <c r="EC24" s="883">
        <f t="shared" ca="1" si="16"/>
        <v>0</v>
      </c>
      <c r="ED24" s="883">
        <f t="shared" ca="1" si="16"/>
        <v>0</v>
      </c>
      <c r="EE24" s="883">
        <f t="shared" ca="1" si="17"/>
        <v>0</v>
      </c>
      <c r="EF24" s="883">
        <f t="shared" ca="1" si="17"/>
        <v>0</v>
      </c>
      <c r="EG24" s="883">
        <f t="shared" ca="1" si="17"/>
        <v>0</v>
      </c>
      <c r="EH24" s="883">
        <f t="shared" ca="1" si="17"/>
        <v>0</v>
      </c>
      <c r="EI24" s="883">
        <f t="shared" ca="1" si="17"/>
        <v>0</v>
      </c>
      <c r="EJ24" s="883">
        <f t="shared" ca="1" si="17"/>
        <v>0</v>
      </c>
      <c r="EK24" s="883">
        <f t="shared" ca="1" si="17"/>
        <v>0</v>
      </c>
      <c r="EL24" s="883">
        <f t="shared" ca="1" si="17"/>
        <v>0</v>
      </c>
      <c r="EM24" s="883">
        <f t="shared" ca="1" si="17"/>
        <v>0</v>
      </c>
      <c r="EN24" s="883">
        <f t="shared" ca="1" si="17"/>
        <v>0</v>
      </c>
      <c r="EO24" s="883">
        <f t="shared" ca="1" si="17"/>
        <v>0</v>
      </c>
      <c r="EP24" s="883">
        <f t="shared" ca="1" si="17"/>
        <v>0</v>
      </c>
      <c r="EQ24" s="883">
        <f t="shared" ca="1" si="17"/>
        <v>0</v>
      </c>
      <c r="ER24" s="883">
        <f t="shared" ca="1" si="17"/>
        <v>0</v>
      </c>
      <c r="ES24" s="883">
        <f t="shared" ca="1" si="17"/>
        <v>0</v>
      </c>
      <c r="ET24" s="883">
        <f t="shared" ca="1" si="17"/>
        <v>0</v>
      </c>
      <c r="EU24" s="883">
        <f t="shared" ca="1" si="18"/>
        <v>0</v>
      </c>
      <c r="EV24" s="883">
        <f t="shared" ca="1" si="18"/>
        <v>0</v>
      </c>
      <c r="EW24" s="883">
        <f t="shared" ca="1" si="18"/>
        <v>0</v>
      </c>
      <c r="EX24" s="883">
        <f t="shared" ca="1" si="18"/>
        <v>0</v>
      </c>
      <c r="EY24" s="883">
        <f t="shared" ca="1" si="18"/>
        <v>0</v>
      </c>
      <c r="EZ24" s="883">
        <f t="shared" ca="1" si="18"/>
        <v>0</v>
      </c>
      <c r="FA24" s="883">
        <f t="shared" ca="1" si="18"/>
        <v>0</v>
      </c>
    </row>
    <row r="25" spans="1:157">
      <c r="H25" s="891">
        <f t="shared" ca="1" si="34"/>
        <v>2037</v>
      </c>
      <c r="I25" s="1206">
        <f t="shared" ca="1" si="32"/>
        <v>16425</v>
      </c>
      <c r="J25" s="1206">
        <f t="shared" ca="1" si="23"/>
        <v>0</v>
      </c>
      <c r="K25" s="929" t="str">
        <f t="shared" si="33"/>
        <v/>
      </c>
      <c r="L25" s="929" t="str">
        <f t="shared" si="24"/>
        <v/>
      </c>
      <c r="N25" s="1714">
        <v>19</v>
      </c>
      <c r="O25" s="1789" t="b">
        <f ca="1">庫存管理[[#This Row],[檢測]]</f>
        <v>0</v>
      </c>
      <c r="P25" s="882" t="e">
        <f ca="1">VLOOKUP(Q25,bond!B:AA,26,FALSE)</f>
        <v>#N/A</v>
      </c>
      <c r="Q25" s="883" t="str">
        <f ca="1">庫存管理[[#This Row],[商品代號]]</f>
        <v/>
      </c>
      <c r="R25" s="889">
        <f ca="1">IF(O25=TRUE,IFERROR(IF($D$4=1,庫存管理[[#This Row],[投入面額]]*庫存管理[[#This Row],[換算匯率(現)]],庫存管理[[#This Row],[投入面額]]),0),0)</f>
        <v>0</v>
      </c>
      <c r="S25" s="885" t="e">
        <f ca="1">庫存管理[[#This Row],[到期日]]</f>
        <v>#N/A</v>
      </c>
      <c r="T25" s="883">
        <f t="shared" ca="1" si="9"/>
        <v>0</v>
      </c>
      <c r="U25" s="885" t="str">
        <f ca="1">庫存管理[[#This Row],[下一配息日]]</f>
        <v/>
      </c>
      <c r="V25" s="886" t="str">
        <f t="shared" ca="1" si="39"/>
        <v/>
      </c>
      <c r="W25" s="885" t="e">
        <f ca="1">庫存管理[[#This Row],[到期日]]</f>
        <v>#N/A</v>
      </c>
      <c r="X25" s="886" t="str">
        <f t="shared" ca="1" si="40"/>
        <v/>
      </c>
      <c r="Y25" s="883" t="str">
        <f ca="1">庫存管理[[#This Row],[配息頻率]]</f>
        <v/>
      </c>
      <c r="Z25" s="883" t="str">
        <f>庫存管理[[#This Row],[投入面額]]</f>
        <v/>
      </c>
      <c r="AA25" s="909">
        <f ca="1">庫存管理[[#This Row],[票面利率]]</f>
        <v>0</v>
      </c>
      <c r="AB25" s="908">
        <f ca="1">庫存管理[[#This Row],[換算匯率(現)]]</f>
        <v>0</v>
      </c>
      <c r="AC25" s="887">
        <f t="shared" ca="1" si="12"/>
        <v>0</v>
      </c>
      <c r="AD25" s="883">
        <f t="shared" ca="1" si="13"/>
        <v>0</v>
      </c>
      <c r="AE25" s="883">
        <f t="shared" ca="1" si="35"/>
        <v>0</v>
      </c>
      <c r="AF25" s="883">
        <f t="shared" ca="1" si="35"/>
        <v>0</v>
      </c>
      <c r="AG25" s="883">
        <f t="shared" ca="1" si="35"/>
        <v>0</v>
      </c>
      <c r="AH25" s="883">
        <f t="shared" ca="1" si="35"/>
        <v>0</v>
      </c>
      <c r="AI25" s="883">
        <f t="shared" ca="1" si="35"/>
        <v>0</v>
      </c>
      <c r="AJ25" s="883">
        <f t="shared" ca="1" si="35"/>
        <v>0</v>
      </c>
      <c r="AK25" s="883">
        <f t="shared" ca="1" si="35"/>
        <v>0</v>
      </c>
      <c r="AL25" s="883">
        <f t="shared" ca="1" si="35"/>
        <v>0</v>
      </c>
      <c r="AM25" s="883">
        <f t="shared" ca="1" si="35"/>
        <v>0</v>
      </c>
      <c r="AN25" s="883">
        <f t="shared" ca="1" si="35"/>
        <v>0</v>
      </c>
      <c r="AO25" s="883">
        <f t="shared" ca="1" si="35"/>
        <v>0</v>
      </c>
      <c r="AP25" s="883">
        <f t="shared" ca="1" si="35"/>
        <v>0</v>
      </c>
      <c r="AQ25" s="883">
        <f t="shared" ca="1" si="35"/>
        <v>0</v>
      </c>
      <c r="AR25" s="883">
        <f t="shared" ca="1" si="35"/>
        <v>0</v>
      </c>
      <c r="AS25" s="883">
        <f t="shared" ca="1" si="35"/>
        <v>0</v>
      </c>
      <c r="AT25" s="883">
        <f t="shared" ca="1" si="35"/>
        <v>0</v>
      </c>
      <c r="AU25" s="883">
        <f t="shared" ca="1" si="36"/>
        <v>0</v>
      </c>
      <c r="AV25" s="883">
        <f t="shared" ca="1" si="36"/>
        <v>0</v>
      </c>
      <c r="AW25" s="883">
        <f t="shared" ca="1" si="36"/>
        <v>0</v>
      </c>
      <c r="AX25" s="883">
        <f t="shared" ca="1" si="36"/>
        <v>0</v>
      </c>
      <c r="AY25" s="883">
        <f t="shared" ca="1" si="36"/>
        <v>0</v>
      </c>
      <c r="AZ25" s="883">
        <f t="shared" ca="1" si="36"/>
        <v>0</v>
      </c>
      <c r="BA25" s="883">
        <f t="shared" ca="1" si="36"/>
        <v>0</v>
      </c>
      <c r="BB25" s="883">
        <f t="shared" ca="1" si="36"/>
        <v>0</v>
      </c>
      <c r="BC25" s="883">
        <f t="shared" ca="1" si="36"/>
        <v>0</v>
      </c>
      <c r="BD25" s="883">
        <f t="shared" ca="1" si="36"/>
        <v>0</v>
      </c>
      <c r="BE25" s="883">
        <f t="shared" ca="1" si="36"/>
        <v>0</v>
      </c>
      <c r="BF25" s="883">
        <f t="shared" ca="1" si="36"/>
        <v>0</v>
      </c>
      <c r="BG25" s="883">
        <f t="shared" ca="1" si="36"/>
        <v>0</v>
      </c>
      <c r="BH25" s="883">
        <f t="shared" ca="1" si="36"/>
        <v>0</v>
      </c>
      <c r="BI25" s="883">
        <f t="shared" ca="1" si="36"/>
        <v>0</v>
      </c>
      <c r="BJ25" s="883">
        <f t="shared" ca="1" si="36"/>
        <v>0</v>
      </c>
      <c r="BK25" s="883">
        <f t="shared" ca="1" si="37"/>
        <v>0</v>
      </c>
      <c r="BL25" s="883">
        <f t="shared" ca="1" si="37"/>
        <v>0</v>
      </c>
      <c r="BM25" s="883">
        <f t="shared" ca="1" si="37"/>
        <v>0</v>
      </c>
      <c r="BN25" s="883">
        <f t="shared" ca="1" si="37"/>
        <v>0</v>
      </c>
      <c r="BO25" s="883">
        <f t="shared" ca="1" si="37"/>
        <v>0</v>
      </c>
      <c r="BP25" s="883">
        <f t="shared" ca="1" si="37"/>
        <v>0</v>
      </c>
      <c r="BQ25" s="883">
        <f t="shared" ca="1" si="37"/>
        <v>0</v>
      </c>
      <c r="BR25" s="883">
        <f t="shared" ca="1" si="37"/>
        <v>0</v>
      </c>
      <c r="BS25" s="883">
        <f t="shared" ca="1" si="37"/>
        <v>0</v>
      </c>
      <c r="BT25" s="883">
        <f t="shared" ca="1" si="37"/>
        <v>0</v>
      </c>
      <c r="BU25" s="883">
        <f t="shared" ca="1" si="37"/>
        <v>0</v>
      </c>
      <c r="BV25" s="883">
        <f t="shared" ca="1" si="37"/>
        <v>0</v>
      </c>
      <c r="BW25" s="883">
        <f t="shared" ca="1" si="37"/>
        <v>0</v>
      </c>
      <c r="BX25" s="883">
        <f t="shared" ca="1" si="37"/>
        <v>0</v>
      </c>
      <c r="BY25" s="883">
        <f t="shared" ca="1" si="37"/>
        <v>0</v>
      </c>
      <c r="BZ25" s="883">
        <f t="shared" ca="1" si="37"/>
        <v>0</v>
      </c>
      <c r="CA25" s="883">
        <f t="shared" ca="1" si="38"/>
        <v>0</v>
      </c>
      <c r="CB25" s="883">
        <f t="shared" ca="1" si="38"/>
        <v>0</v>
      </c>
      <c r="CC25" s="883">
        <f t="shared" ca="1" si="38"/>
        <v>0</v>
      </c>
      <c r="CD25" s="883">
        <f t="shared" ca="1" si="38"/>
        <v>0</v>
      </c>
      <c r="CE25" s="883">
        <f t="shared" ca="1" si="38"/>
        <v>0</v>
      </c>
      <c r="CF25" s="883">
        <f t="shared" ca="1" si="38"/>
        <v>0</v>
      </c>
      <c r="CG25" s="883">
        <f t="shared" ca="1" si="38"/>
        <v>0</v>
      </c>
      <c r="CH25" s="883">
        <f t="shared" ca="1" si="38"/>
        <v>0</v>
      </c>
      <c r="CI25" s="883">
        <f t="shared" ca="1" si="38"/>
        <v>0</v>
      </c>
      <c r="CJ25" s="883">
        <f t="shared" ca="1" si="38"/>
        <v>0</v>
      </c>
      <c r="CK25" s="883">
        <f t="shared" ca="1" si="38"/>
        <v>0</v>
      </c>
      <c r="CL25" s="883">
        <f t="shared" ca="1" si="38"/>
        <v>0</v>
      </c>
      <c r="CM25" s="883">
        <f t="shared" ca="1" si="38"/>
        <v>0</v>
      </c>
      <c r="CN25" s="883">
        <f t="shared" ca="1" si="38"/>
        <v>0</v>
      </c>
      <c r="CO25" s="883">
        <f t="shared" ca="1" si="38"/>
        <v>0</v>
      </c>
      <c r="CP25" s="883">
        <f t="shared" ca="1" si="38"/>
        <v>0</v>
      </c>
      <c r="CQ25" s="883">
        <f t="shared" ca="1" si="41"/>
        <v>0</v>
      </c>
      <c r="CR25" s="883">
        <f t="shared" ca="1" si="19"/>
        <v>0</v>
      </c>
      <c r="CS25" s="883">
        <f t="shared" ca="1" si="19"/>
        <v>0</v>
      </c>
      <c r="CT25" s="883">
        <f t="shared" ca="1" si="19"/>
        <v>0</v>
      </c>
      <c r="CU25" s="883">
        <f t="shared" ca="1" si="19"/>
        <v>0</v>
      </c>
      <c r="CV25" s="883">
        <f t="shared" ca="1" si="19"/>
        <v>0</v>
      </c>
      <c r="CW25" s="883">
        <f t="shared" ca="1" si="19"/>
        <v>0</v>
      </c>
      <c r="CX25" s="883">
        <f t="shared" ca="1" si="19"/>
        <v>0</v>
      </c>
      <c r="CY25" s="883">
        <f t="shared" ca="1" si="19"/>
        <v>0</v>
      </c>
      <c r="CZ25" s="883">
        <f t="shared" ca="1" si="19"/>
        <v>0</v>
      </c>
      <c r="DA25" s="883">
        <f t="shared" ca="1" si="19"/>
        <v>0</v>
      </c>
      <c r="DB25" s="883">
        <f t="shared" ca="1" si="19"/>
        <v>0</v>
      </c>
      <c r="DC25" s="883">
        <f t="shared" ca="1" si="19"/>
        <v>0</v>
      </c>
      <c r="DD25" s="883">
        <f t="shared" ca="1" si="19"/>
        <v>0</v>
      </c>
      <c r="DE25" s="883">
        <f t="shared" ca="1" si="19"/>
        <v>0</v>
      </c>
      <c r="DF25" s="883">
        <f t="shared" ca="1" si="19"/>
        <v>0</v>
      </c>
      <c r="DG25" s="883">
        <f t="shared" ca="1" si="19"/>
        <v>0</v>
      </c>
      <c r="DH25" s="883">
        <f t="shared" ca="1" si="15"/>
        <v>0</v>
      </c>
      <c r="DI25" s="883">
        <f t="shared" ca="1" si="15"/>
        <v>0</v>
      </c>
      <c r="DJ25" s="883">
        <f t="shared" ca="1" si="15"/>
        <v>0</v>
      </c>
      <c r="DK25" s="883">
        <f t="shared" ca="1" si="15"/>
        <v>0</v>
      </c>
      <c r="DL25" s="883">
        <f t="shared" ca="1" si="15"/>
        <v>0</v>
      </c>
      <c r="DM25" s="883">
        <f t="shared" ca="1" si="15"/>
        <v>0</v>
      </c>
      <c r="DN25" s="883">
        <f t="shared" ca="1" si="15"/>
        <v>0</v>
      </c>
      <c r="DO25" s="883">
        <f t="shared" ca="1" si="16"/>
        <v>0</v>
      </c>
      <c r="DP25" s="883">
        <f t="shared" ca="1" si="16"/>
        <v>0</v>
      </c>
      <c r="DQ25" s="883">
        <f t="shared" ca="1" si="16"/>
        <v>0</v>
      </c>
      <c r="DR25" s="883">
        <f t="shared" ca="1" si="16"/>
        <v>0</v>
      </c>
      <c r="DS25" s="883">
        <f t="shared" ca="1" si="16"/>
        <v>0</v>
      </c>
      <c r="DT25" s="883">
        <f t="shared" ca="1" si="16"/>
        <v>0</v>
      </c>
      <c r="DU25" s="883">
        <f t="shared" ca="1" si="16"/>
        <v>0</v>
      </c>
      <c r="DV25" s="883">
        <f t="shared" ca="1" si="16"/>
        <v>0</v>
      </c>
      <c r="DW25" s="883">
        <f t="shared" ca="1" si="16"/>
        <v>0</v>
      </c>
      <c r="DX25" s="883">
        <f t="shared" ca="1" si="16"/>
        <v>0</v>
      </c>
      <c r="DY25" s="883">
        <f t="shared" ca="1" si="16"/>
        <v>0</v>
      </c>
      <c r="DZ25" s="883">
        <f t="shared" ca="1" si="16"/>
        <v>0</v>
      </c>
      <c r="EA25" s="883">
        <f t="shared" ca="1" si="16"/>
        <v>0</v>
      </c>
      <c r="EB25" s="883">
        <f t="shared" ca="1" si="16"/>
        <v>0</v>
      </c>
      <c r="EC25" s="883">
        <f t="shared" ca="1" si="16"/>
        <v>0</v>
      </c>
      <c r="ED25" s="883">
        <f t="shared" ca="1" si="16"/>
        <v>0</v>
      </c>
      <c r="EE25" s="883">
        <f t="shared" ca="1" si="17"/>
        <v>0</v>
      </c>
      <c r="EF25" s="883">
        <f t="shared" ca="1" si="17"/>
        <v>0</v>
      </c>
      <c r="EG25" s="883">
        <f t="shared" ca="1" si="17"/>
        <v>0</v>
      </c>
      <c r="EH25" s="883">
        <f t="shared" ca="1" si="17"/>
        <v>0</v>
      </c>
      <c r="EI25" s="883">
        <f t="shared" ca="1" si="17"/>
        <v>0</v>
      </c>
      <c r="EJ25" s="883">
        <f t="shared" ca="1" si="17"/>
        <v>0</v>
      </c>
      <c r="EK25" s="883">
        <f t="shared" ca="1" si="17"/>
        <v>0</v>
      </c>
      <c r="EL25" s="883">
        <f t="shared" ca="1" si="17"/>
        <v>0</v>
      </c>
      <c r="EM25" s="883">
        <f t="shared" ca="1" si="17"/>
        <v>0</v>
      </c>
      <c r="EN25" s="883">
        <f t="shared" ca="1" si="17"/>
        <v>0</v>
      </c>
      <c r="EO25" s="883">
        <f t="shared" ca="1" si="17"/>
        <v>0</v>
      </c>
      <c r="EP25" s="883">
        <f t="shared" ca="1" si="17"/>
        <v>0</v>
      </c>
      <c r="EQ25" s="883">
        <f t="shared" ca="1" si="17"/>
        <v>0</v>
      </c>
      <c r="ER25" s="883">
        <f t="shared" ca="1" si="17"/>
        <v>0</v>
      </c>
      <c r="ES25" s="883">
        <f t="shared" ca="1" si="17"/>
        <v>0</v>
      </c>
      <c r="ET25" s="883">
        <f t="shared" ca="1" si="17"/>
        <v>0</v>
      </c>
      <c r="EU25" s="883">
        <f t="shared" ca="1" si="18"/>
        <v>0</v>
      </c>
      <c r="EV25" s="883">
        <f t="shared" ca="1" si="18"/>
        <v>0</v>
      </c>
      <c r="EW25" s="883">
        <f t="shared" ca="1" si="18"/>
        <v>0</v>
      </c>
      <c r="EX25" s="883">
        <f t="shared" ca="1" si="18"/>
        <v>0</v>
      </c>
      <c r="EY25" s="883">
        <f t="shared" ca="1" si="18"/>
        <v>0</v>
      </c>
      <c r="EZ25" s="883">
        <f t="shared" ca="1" si="18"/>
        <v>0</v>
      </c>
      <c r="FA25" s="883">
        <f t="shared" ca="1" si="18"/>
        <v>0</v>
      </c>
    </row>
    <row r="26" spans="1:157">
      <c r="H26" s="891">
        <f t="shared" ca="1" si="34"/>
        <v>2038</v>
      </c>
      <c r="I26" s="1206">
        <f t="shared" ca="1" si="32"/>
        <v>16425</v>
      </c>
      <c r="J26" s="1206">
        <f t="shared" ca="1" si="23"/>
        <v>0</v>
      </c>
      <c r="K26" s="929" t="str">
        <f t="shared" si="33"/>
        <v/>
      </c>
      <c r="L26" s="929" t="str">
        <f t="shared" si="24"/>
        <v/>
      </c>
      <c r="N26" s="1714">
        <v>20</v>
      </c>
      <c r="O26" s="1789" t="b">
        <f ca="1">庫存管理[[#This Row],[檢測]]</f>
        <v>0</v>
      </c>
      <c r="P26" s="882" t="e">
        <f ca="1">VLOOKUP(Q26,bond!B:AA,26,FALSE)</f>
        <v>#N/A</v>
      </c>
      <c r="Q26" s="883" t="str">
        <f ca="1">庫存管理[[#This Row],[商品代號]]</f>
        <v/>
      </c>
      <c r="R26" s="889">
        <f ca="1">IF(O26=TRUE,IFERROR(IF($D$4=1,庫存管理[[#This Row],[投入面額]]*庫存管理[[#This Row],[換算匯率(現)]],庫存管理[[#This Row],[投入面額]]),0),0)</f>
        <v>0</v>
      </c>
      <c r="S26" s="885" t="e">
        <f ca="1">庫存管理[[#This Row],[到期日]]</f>
        <v>#N/A</v>
      </c>
      <c r="T26" s="883">
        <f t="shared" ca="1" si="9"/>
        <v>0</v>
      </c>
      <c r="U26" s="885" t="str">
        <f ca="1">庫存管理[[#This Row],[下一配息日]]</f>
        <v/>
      </c>
      <c r="V26" s="886" t="str">
        <f t="shared" ca="1" si="39"/>
        <v/>
      </c>
      <c r="W26" s="885" t="e">
        <f ca="1">庫存管理[[#This Row],[到期日]]</f>
        <v>#N/A</v>
      </c>
      <c r="X26" s="886" t="str">
        <f t="shared" ca="1" si="40"/>
        <v/>
      </c>
      <c r="Y26" s="883" t="str">
        <f ca="1">庫存管理[[#This Row],[配息頻率]]</f>
        <v/>
      </c>
      <c r="Z26" s="883" t="str">
        <f>庫存管理[[#This Row],[投入面額]]</f>
        <v/>
      </c>
      <c r="AA26" s="909">
        <f ca="1">庫存管理[[#This Row],[票面利率]]</f>
        <v>0</v>
      </c>
      <c r="AB26" s="908">
        <f ca="1">庫存管理[[#This Row],[換算匯率(現)]]</f>
        <v>0</v>
      </c>
      <c r="AC26" s="887">
        <f t="shared" ca="1" si="12"/>
        <v>0</v>
      </c>
      <c r="AD26" s="883">
        <f t="shared" ca="1" si="13"/>
        <v>0</v>
      </c>
      <c r="AE26" s="883">
        <f t="shared" ca="1" si="35"/>
        <v>0</v>
      </c>
      <c r="AF26" s="883">
        <f t="shared" ca="1" si="35"/>
        <v>0</v>
      </c>
      <c r="AG26" s="883">
        <f t="shared" ca="1" si="35"/>
        <v>0</v>
      </c>
      <c r="AH26" s="883">
        <f t="shared" ca="1" si="35"/>
        <v>0</v>
      </c>
      <c r="AI26" s="883">
        <f t="shared" ca="1" si="35"/>
        <v>0</v>
      </c>
      <c r="AJ26" s="883">
        <f t="shared" ca="1" si="35"/>
        <v>0</v>
      </c>
      <c r="AK26" s="883">
        <f t="shared" ca="1" si="35"/>
        <v>0</v>
      </c>
      <c r="AL26" s="883">
        <f t="shared" ca="1" si="35"/>
        <v>0</v>
      </c>
      <c r="AM26" s="883">
        <f t="shared" ca="1" si="35"/>
        <v>0</v>
      </c>
      <c r="AN26" s="883">
        <f t="shared" ca="1" si="35"/>
        <v>0</v>
      </c>
      <c r="AO26" s="883">
        <f t="shared" ca="1" si="35"/>
        <v>0</v>
      </c>
      <c r="AP26" s="883">
        <f t="shared" ca="1" si="35"/>
        <v>0</v>
      </c>
      <c r="AQ26" s="883">
        <f t="shared" ca="1" si="35"/>
        <v>0</v>
      </c>
      <c r="AR26" s="883">
        <f t="shared" ca="1" si="35"/>
        <v>0</v>
      </c>
      <c r="AS26" s="883">
        <f t="shared" ca="1" si="35"/>
        <v>0</v>
      </c>
      <c r="AT26" s="883">
        <f t="shared" ca="1" si="35"/>
        <v>0</v>
      </c>
      <c r="AU26" s="883">
        <f t="shared" ca="1" si="36"/>
        <v>0</v>
      </c>
      <c r="AV26" s="883">
        <f t="shared" ca="1" si="36"/>
        <v>0</v>
      </c>
      <c r="AW26" s="883">
        <f t="shared" ca="1" si="36"/>
        <v>0</v>
      </c>
      <c r="AX26" s="883">
        <f t="shared" ca="1" si="36"/>
        <v>0</v>
      </c>
      <c r="AY26" s="883">
        <f t="shared" ca="1" si="36"/>
        <v>0</v>
      </c>
      <c r="AZ26" s="883">
        <f t="shared" ca="1" si="36"/>
        <v>0</v>
      </c>
      <c r="BA26" s="883">
        <f t="shared" ca="1" si="36"/>
        <v>0</v>
      </c>
      <c r="BB26" s="883">
        <f t="shared" ca="1" si="36"/>
        <v>0</v>
      </c>
      <c r="BC26" s="883">
        <f t="shared" ca="1" si="36"/>
        <v>0</v>
      </c>
      <c r="BD26" s="883">
        <f t="shared" ca="1" si="36"/>
        <v>0</v>
      </c>
      <c r="BE26" s="883">
        <f t="shared" ca="1" si="36"/>
        <v>0</v>
      </c>
      <c r="BF26" s="883">
        <f t="shared" ca="1" si="36"/>
        <v>0</v>
      </c>
      <c r="BG26" s="883">
        <f t="shared" ca="1" si="36"/>
        <v>0</v>
      </c>
      <c r="BH26" s="883">
        <f t="shared" ca="1" si="36"/>
        <v>0</v>
      </c>
      <c r="BI26" s="883">
        <f t="shared" ca="1" si="36"/>
        <v>0</v>
      </c>
      <c r="BJ26" s="883">
        <f t="shared" ca="1" si="36"/>
        <v>0</v>
      </c>
      <c r="BK26" s="883">
        <f t="shared" ca="1" si="37"/>
        <v>0</v>
      </c>
      <c r="BL26" s="883">
        <f t="shared" ca="1" si="37"/>
        <v>0</v>
      </c>
      <c r="BM26" s="883">
        <f t="shared" ca="1" si="37"/>
        <v>0</v>
      </c>
      <c r="BN26" s="883">
        <f t="shared" ca="1" si="37"/>
        <v>0</v>
      </c>
      <c r="BO26" s="883">
        <f t="shared" ca="1" si="37"/>
        <v>0</v>
      </c>
      <c r="BP26" s="883">
        <f t="shared" ca="1" si="37"/>
        <v>0</v>
      </c>
      <c r="BQ26" s="883">
        <f t="shared" ca="1" si="37"/>
        <v>0</v>
      </c>
      <c r="BR26" s="883">
        <f t="shared" ca="1" si="37"/>
        <v>0</v>
      </c>
      <c r="BS26" s="883">
        <f t="shared" ca="1" si="37"/>
        <v>0</v>
      </c>
      <c r="BT26" s="883">
        <f t="shared" ca="1" si="37"/>
        <v>0</v>
      </c>
      <c r="BU26" s="883">
        <f t="shared" ca="1" si="37"/>
        <v>0</v>
      </c>
      <c r="BV26" s="883">
        <f t="shared" ca="1" si="37"/>
        <v>0</v>
      </c>
      <c r="BW26" s="883">
        <f t="shared" ca="1" si="37"/>
        <v>0</v>
      </c>
      <c r="BX26" s="883">
        <f t="shared" ca="1" si="37"/>
        <v>0</v>
      </c>
      <c r="BY26" s="883">
        <f t="shared" ca="1" si="37"/>
        <v>0</v>
      </c>
      <c r="BZ26" s="883">
        <f t="shared" ca="1" si="37"/>
        <v>0</v>
      </c>
      <c r="CA26" s="883">
        <f t="shared" ca="1" si="38"/>
        <v>0</v>
      </c>
      <c r="CB26" s="883">
        <f t="shared" ca="1" si="38"/>
        <v>0</v>
      </c>
      <c r="CC26" s="883">
        <f t="shared" ca="1" si="38"/>
        <v>0</v>
      </c>
      <c r="CD26" s="883">
        <f t="shared" ca="1" si="38"/>
        <v>0</v>
      </c>
      <c r="CE26" s="883">
        <f t="shared" ca="1" si="38"/>
        <v>0</v>
      </c>
      <c r="CF26" s="883">
        <f t="shared" ca="1" si="38"/>
        <v>0</v>
      </c>
      <c r="CG26" s="883">
        <f t="shared" ca="1" si="38"/>
        <v>0</v>
      </c>
      <c r="CH26" s="883">
        <f t="shared" ca="1" si="38"/>
        <v>0</v>
      </c>
      <c r="CI26" s="883">
        <f t="shared" ca="1" si="38"/>
        <v>0</v>
      </c>
      <c r="CJ26" s="883">
        <f t="shared" ca="1" si="38"/>
        <v>0</v>
      </c>
      <c r="CK26" s="883">
        <f t="shared" ca="1" si="38"/>
        <v>0</v>
      </c>
      <c r="CL26" s="883">
        <f t="shared" ca="1" si="38"/>
        <v>0</v>
      </c>
      <c r="CM26" s="883">
        <f t="shared" ca="1" si="38"/>
        <v>0</v>
      </c>
      <c r="CN26" s="883">
        <f t="shared" ca="1" si="38"/>
        <v>0</v>
      </c>
      <c r="CO26" s="883">
        <f t="shared" ca="1" si="38"/>
        <v>0</v>
      </c>
      <c r="CP26" s="883">
        <f t="shared" ca="1" si="38"/>
        <v>0</v>
      </c>
      <c r="CQ26" s="883">
        <f t="shared" ca="1" si="41"/>
        <v>0</v>
      </c>
      <c r="CR26" s="883">
        <f t="shared" ca="1" si="19"/>
        <v>0</v>
      </c>
      <c r="CS26" s="883">
        <f t="shared" ca="1" si="19"/>
        <v>0</v>
      </c>
      <c r="CT26" s="883">
        <f t="shared" ca="1" si="19"/>
        <v>0</v>
      </c>
      <c r="CU26" s="883">
        <f t="shared" ca="1" si="19"/>
        <v>0</v>
      </c>
      <c r="CV26" s="883">
        <f t="shared" ca="1" si="19"/>
        <v>0</v>
      </c>
      <c r="CW26" s="883">
        <f t="shared" ca="1" si="19"/>
        <v>0</v>
      </c>
      <c r="CX26" s="883">
        <f t="shared" ca="1" si="19"/>
        <v>0</v>
      </c>
      <c r="CY26" s="883">
        <f t="shared" ca="1" si="19"/>
        <v>0</v>
      </c>
      <c r="CZ26" s="883">
        <f t="shared" ca="1" si="19"/>
        <v>0</v>
      </c>
      <c r="DA26" s="883">
        <f t="shared" ca="1" si="19"/>
        <v>0</v>
      </c>
      <c r="DB26" s="883">
        <f t="shared" ca="1" si="19"/>
        <v>0</v>
      </c>
      <c r="DC26" s="883">
        <f t="shared" ca="1" si="19"/>
        <v>0</v>
      </c>
      <c r="DD26" s="883">
        <f t="shared" ca="1" si="19"/>
        <v>0</v>
      </c>
      <c r="DE26" s="883">
        <f t="shared" ca="1" si="19"/>
        <v>0</v>
      </c>
      <c r="DF26" s="883">
        <f t="shared" ca="1" si="19"/>
        <v>0</v>
      </c>
      <c r="DG26" s="883">
        <f t="shared" ca="1" si="19"/>
        <v>0</v>
      </c>
      <c r="DH26" s="883">
        <f t="shared" ca="1" si="15"/>
        <v>0</v>
      </c>
      <c r="DI26" s="883">
        <f t="shared" ca="1" si="15"/>
        <v>0</v>
      </c>
      <c r="DJ26" s="883">
        <f t="shared" ca="1" si="15"/>
        <v>0</v>
      </c>
      <c r="DK26" s="883">
        <f t="shared" ca="1" si="15"/>
        <v>0</v>
      </c>
      <c r="DL26" s="883">
        <f t="shared" ca="1" si="15"/>
        <v>0</v>
      </c>
      <c r="DM26" s="883">
        <f t="shared" ca="1" si="15"/>
        <v>0</v>
      </c>
      <c r="DN26" s="883">
        <f t="shared" ca="1" si="15"/>
        <v>0</v>
      </c>
      <c r="DO26" s="883">
        <f t="shared" ca="1" si="16"/>
        <v>0</v>
      </c>
      <c r="DP26" s="883">
        <f t="shared" ca="1" si="16"/>
        <v>0</v>
      </c>
      <c r="DQ26" s="883">
        <f t="shared" ca="1" si="16"/>
        <v>0</v>
      </c>
      <c r="DR26" s="883">
        <f t="shared" ca="1" si="16"/>
        <v>0</v>
      </c>
      <c r="DS26" s="883">
        <f t="shared" ca="1" si="16"/>
        <v>0</v>
      </c>
      <c r="DT26" s="883">
        <f t="shared" ca="1" si="16"/>
        <v>0</v>
      </c>
      <c r="DU26" s="883">
        <f t="shared" ca="1" si="16"/>
        <v>0</v>
      </c>
      <c r="DV26" s="883">
        <f t="shared" ca="1" si="16"/>
        <v>0</v>
      </c>
      <c r="DW26" s="883">
        <f t="shared" ca="1" si="16"/>
        <v>0</v>
      </c>
      <c r="DX26" s="883">
        <f t="shared" ca="1" si="16"/>
        <v>0</v>
      </c>
      <c r="DY26" s="883">
        <f t="shared" ca="1" si="16"/>
        <v>0</v>
      </c>
      <c r="DZ26" s="883">
        <f t="shared" ca="1" si="16"/>
        <v>0</v>
      </c>
      <c r="EA26" s="883">
        <f t="shared" ca="1" si="16"/>
        <v>0</v>
      </c>
      <c r="EB26" s="883">
        <f t="shared" ca="1" si="16"/>
        <v>0</v>
      </c>
      <c r="EC26" s="883">
        <f t="shared" ca="1" si="16"/>
        <v>0</v>
      </c>
      <c r="ED26" s="883">
        <f t="shared" ref="DO26:ED42" ca="1" si="43">IFERROR(IF(YEAR($W26)&lt;ED$4,0,IF(YEAR($W26)=ED$4,IF($P26="美國國庫債券",ROUND(DATEDIF($U26,$W26,"M")/(12/$Y26),0)+1,DATEDIF($U26,$W26,"M")/(12/$Y26)+1),INT(DATEDIF($U26,ED$5,"M")/(12/$Y26))+1)),0)</f>
        <v>0</v>
      </c>
      <c r="EE26" s="883">
        <f t="shared" ca="1" si="17"/>
        <v>0</v>
      </c>
      <c r="EF26" s="883">
        <f t="shared" ca="1" si="17"/>
        <v>0</v>
      </c>
      <c r="EG26" s="883">
        <f t="shared" ca="1" si="17"/>
        <v>0</v>
      </c>
      <c r="EH26" s="883">
        <f t="shared" ca="1" si="17"/>
        <v>0</v>
      </c>
      <c r="EI26" s="883">
        <f t="shared" ca="1" si="17"/>
        <v>0</v>
      </c>
      <c r="EJ26" s="883">
        <f t="shared" ca="1" si="17"/>
        <v>0</v>
      </c>
      <c r="EK26" s="883">
        <f t="shared" ca="1" si="17"/>
        <v>0</v>
      </c>
      <c r="EL26" s="883">
        <f t="shared" ca="1" si="17"/>
        <v>0</v>
      </c>
      <c r="EM26" s="883">
        <f t="shared" ca="1" si="17"/>
        <v>0</v>
      </c>
      <c r="EN26" s="883">
        <f t="shared" ca="1" si="17"/>
        <v>0</v>
      </c>
      <c r="EO26" s="883">
        <f t="shared" ca="1" si="17"/>
        <v>0</v>
      </c>
      <c r="EP26" s="883">
        <f t="shared" ca="1" si="17"/>
        <v>0</v>
      </c>
      <c r="EQ26" s="883">
        <f t="shared" ca="1" si="17"/>
        <v>0</v>
      </c>
      <c r="ER26" s="883">
        <f t="shared" ca="1" si="17"/>
        <v>0</v>
      </c>
      <c r="ES26" s="883">
        <f t="shared" ca="1" si="17"/>
        <v>0</v>
      </c>
      <c r="ET26" s="883">
        <f t="shared" ref="EE26:ET42" ca="1" si="44">IFERROR(IF(YEAR($W26)&lt;ET$4,0,IF(YEAR($W26)=ET$4,IF($P26="美國國庫債券",ROUND(DATEDIF($U26,$W26,"M")/(12/$Y26),0)+1,DATEDIF($U26,$W26,"M")/(12/$Y26)+1),INT(DATEDIF($U26,ET$5,"M")/(12/$Y26))+1)),0)</f>
        <v>0</v>
      </c>
      <c r="EU26" s="883">
        <f t="shared" ca="1" si="18"/>
        <v>0</v>
      </c>
      <c r="EV26" s="883">
        <f t="shared" ca="1" si="18"/>
        <v>0</v>
      </c>
      <c r="EW26" s="883">
        <f t="shared" ca="1" si="18"/>
        <v>0</v>
      </c>
      <c r="EX26" s="883">
        <f t="shared" ca="1" si="18"/>
        <v>0</v>
      </c>
      <c r="EY26" s="883">
        <f t="shared" ca="1" si="18"/>
        <v>0</v>
      </c>
      <c r="EZ26" s="883">
        <f t="shared" ca="1" si="18"/>
        <v>0</v>
      </c>
      <c r="FA26" s="883">
        <f t="shared" ca="1" si="18"/>
        <v>0</v>
      </c>
    </row>
    <row r="27" spans="1:157">
      <c r="H27" s="891">
        <f t="shared" ca="1" si="34"/>
        <v>2039</v>
      </c>
      <c r="I27" s="1206">
        <f t="shared" ca="1" si="32"/>
        <v>16425</v>
      </c>
      <c r="J27" s="1206">
        <f t="shared" ca="1" si="23"/>
        <v>0</v>
      </c>
      <c r="K27" s="929" t="str">
        <f t="shared" si="33"/>
        <v/>
      </c>
      <c r="L27" s="929" t="str">
        <f t="shared" si="24"/>
        <v/>
      </c>
      <c r="N27" s="1714">
        <v>21</v>
      </c>
      <c r="O27" s="1789" t="b">
        <f ca="1">庫存管理[[#This Row],[檢測]]</f>
        <v>0</v>
      </c>
      <c r="P27" s="882" t="e">
        <f ca="1">VLOOKUP(Q27,bond!B:AA,26,FALSE)</f>
        <v>#N/A</v>
      </c>
      <c r="Q27" s="883" t="str">
        <f ca="1">庫存管理[[#This Row],[商品代號]]</f>
        <v/>
      </c>
      <c r="R27" s="889">
        <f ca="1">IF(O27=TRUE,IFERROR(IF($D$4=1,庫存管理[[#This Row],[投入面額]]*庫存管理[[#This Row],[換算匯率(現)]],庫存管理[[#This Row],[投入面額]]),0),0)</f>
        <v>0</v>
      </c>
      <c r="S27" s="885" t="e">
        <f ca="1">庫存管理[[#This Row],[到期日]]</f>
        <v>#N/A</v>
      </c>
      <c r="T27" s="883">
        <f t="shared" ca="1" si="9"/>
        <v>0</v>
      </c>
      <c r="U27" s="885" t="str">
        <f ca="1">庫存管理[[#This Row],[下一配息日]]</f>
        <v/>
      </c>
      <c r="V27" s="886" t="str">
        <f t="shared" ca="1" si="39"/>
        <v/>
      </c>
      <c r="W27" s="885" t="e">
        <f ca="1">庫存管理[[#This Row],[到期日]]</f>
        <v>#N/A</v>
      </c>
      <c r="X27" s="886" t="str">
        <f t="shared" ca="1" si="40"/>
        <v/>
      </c>
      <c r="Y27" s="883" t="str">
        <f ca="1">庫存管理[[#This Row],[配息頻率]]</f>
        <v/>
      </c>
      <c r="Z27" s="883" t="str">
        <f>庫存管理[[#This Row],[投入面額]]</f>
        <v/>
      </c>
      <c r="AA27" s="909">
        <f ca="1">庫存管理[[#This Row],[票面利率]]</f>
        <v>0</v>
      </c>
      <c r="AB27" s="908">
        <f ca="1">庫存管理[[#This Row],[換算匯率(現)]]</f>
        <v>0</v>
      </c>
      <c r="AC27" s="887">
        <f t="shared" ca="1" si="12"/>
        <v>0</v>
      </c>
      <c r="AD27" s="883">
        <f t="shared" ca="1" si="13"/>
        <v>0</v>
      </c>
      <c r="AE27" s="883">
        <f t="shared" ca="1" si="35"/>
        <v>0</v>
      </c>
      <c r="AF27" s="883">
        <f t="shared" ca="1" si="35"/>
        <v>0</v>
      </c>
      <c r="AG27" s="883">
        <f t="shared" ca="1" si="35"/>
        <v>0</v>
      </c>
      <c r="AH27" s="883">
        <f t="shared" ca="1" si="35"/>
        <v>0</v>
      </c>
      <c r="AI27" s="883">
        <f t="shared" ca="1" si="35"/>
        <v>0</v>
      </c>
      <c r="AJ27" s="883">
        <f t="shared" ca="1" si="35"/>
        <v>0</v>
      </c>
      <c r="AK27" s="883">
        <f t="shared" ca="1" si="35"/>
        <v>0</v>
      </c>
      <c r="AL27" s="883">
        <f t="shared" ca="1" si="35"/>
        <v>0</v>
      </c>
      <c r="AM27" s="883">
        <f t="shared" ca="1" si="35"/>
        <v>0</v>
      </c>
      <c r="AN27" s="883">
        <f t="shared" ca="1" si="35"/>
        <v>0</v>
      </c>
      <c r="AO27" s="883">
        <f t="shared" ca="1" si="35"/>
        <v>0</v>
      </c>
      <c r="AP27" s="883">
        <f t="shared" ca="1" si="35"/>
        <v>0</v>
      </c>
      <c r="AQ27" s="883">
        <f t="shared" ca="1" si="35"/>
        <v>0</v>
      </c>
      <c r="AR27" s="883">
        <f t="shared" ca="1" si="35"/>
        <v>0</v>
      </c>
      <c r="AS27" s="883">
        <f t="shared" ca="1" si="35"/>
        <v>0</v>
      </c>
      <c r="AT27" s="883">
        <f t="shared" ca="1" si="35"/>
        <v>0</v>
      </c>
      <c r="AU27" s="883">
        <f t="shared" ca="1" si="36"/>
        <v>0</v>
      </c>
      <c r="AV27" s="883">
        <f t="shared" ca="1" si="36"/>
        <v>0</v>
      </c>
      <c r="AW27" s="883">
        <f t="shared" ca="1" si="36"/>
        <v>0</v>
      </c>
      <c r="AX27" s="883">
        <f t="shared" ca="1" si="36"/>
        <v>0</v>
      </c>
      <c r="AY27" s="883">
        <f t="shared" ca="1" si="36"/>
        <v>0</v>
      </c>
      <c r="AZ27" s="883">
        <f t="shared" ca="1" si="36"/>
        <v>0</v>
      </c>
      <c r="BA27" s="883">
        <f t="shared" ca="1" si="36"/>
        <v>0</v>
      </c>
      <c r="BB27" s="883">
        <f t="shared" ca="1" si="36"/>
        <v>0</v>
      </c>
      <c r="BC27" s="883">
        <f t="shared" ca="1" si="36"/>
        <v>0</v>
      </c>
      <c r="BD27" s="883">
        <f t="shared" ca="1" si="36"/>
        <v>0</v>
      </c>
      <c r="BE27" s="883">
        <f t="shared" ca="1" si="36"/>
        <v>0</v>
      </c>
      <c r="BF27" s="883">
        <f t="shared" ca="1" si="36"/>
        <v>0</v>
      </c>
      <c r="BG27" s="883">
        <f t="shared" ca="1" si="36"/>
        <v>0</v>
      </c>
      <c r="BH27" s="883">
        <f t="shared" ca="1" si="36"/>
        <v>0</v>
      </c>
      <c r="BI27" s="883">
        <f t="shared" ca="1" si="36"/>
        <v>0</v>
      </c>
      <c r="BJ27" s="883">
        <f t="shared" ca="1" si="36"/>
        <v>0</v>
      </c>
      <c r="BK27" s="883">
        <f t="shared" ca="1" si="37"/>
        <v>0</v>
      </c>
      <c r="BL27" s="883">
        <f t="shared" ca="1" si="37"/>
        <v>0</v>
      </c>
      <c r="BM27" s="883">
        <f t="shared" ca="1" si="37"/>
        <v>0</v>
      </c>
      <c r="BN27" s="883">
        <f t="shared" ca="1" si="37"/>
        <v>0</v>
      </c>
      <c r="BO27" s="883">
        <f t="shared" ca="1" si="37"/>
        <v>0</v>
      </c>
      <c r="BP27" s="883">
        <f t="shared" ca="1" si="37"/>
        <v>0</v>
      </c>
      <c r="BQ27" s="883">
        <f t="shared" ca="1" si="37"/>
        <v>0</v>
      </c>
      <c r="BR27" s="883">
        <f t="shared" ca="1" si="37"/>
        <v>0</v>
      </c>
      <c r="BS27" s="883">
        <f t="shared" ca="1" si="37"/>
        <v>0</v>
      </c>
      <c r="BT27" s="883">
        <f t="shared" ca="1" si="37"/>
        <v>0</v>
      </c>
      <c r="BU27" s="883">
        <f t="shared" ca="1" si="37"/>
        <v>0</v>
      </c>
      <c r="BV27" s="883">
        <f t="shared" ca="1" si="37"/>
        <v>0</v>
      </c>
      <c r="BW27" s="883">
        <f t="shared" ca="1" si="37"/>
        <v>0</v>
      </c>
      <c r="BX27" s="883">
        <f t="shared" ca="1" si="37"/>
        <v>0</v>
      </c>
      <c r="BY27" s="883">
        <f t="shared" ca="1" si="37"/>
        <v>0</v>
      </c>
      <c r="BZ27" s="883">
        <f t="shared" ca="1" si="37"/>
        <v>0</v>
      </c>
      <c r="CA27" s="883">
        <f t="shared" ca="1" si="38"/>
        <v>0</v>
      </c>
      <c r="CB27" s="883">
        <f t="shared" ca="1" si="38"/>
        <v>0</v>
      </c>
      <c r="CC27" s="883">
        <f t="shared" ca="1" si="38"/>
        <v>0</v>
      </c>
      <c r="CD27" s="883">
        <f t="shared" ca="1" si="38"/>
        <v>0</v>
      </c>
      <c r="CE27" s="883">
        <f t="shared" ca="1" si="38"/>
        <v>0</v>
      </c>
      <c r="CF27" s="883">
        <f t="shared" ca="1" si="38"/>
        <v>0</v>
      </c>
      <c r="CG27" s="883">
        <f t="shared" ca="1" si="38"/>
        <v>0</v>
      </c>
      <c r="CH27" s="883">
        <f t="shared" ca="1" si="38"/>
        <v>0</v>
      </c>
      <c r="CI27" s="883">
        <f t="shared" ca="1" si="38"/>
        <v>0</v>
      </c>
      <c r="CJ27" s="883">
        <f t="shared" ca="1" si="38"/>
        <v>0</v>
      </c>
      <c r="CK27" s="883">
        <f t="shared" ca="1" si="38"/>
        <v>0</v>
      </c>
      <c r="CL27" s="883">
        <f t="shared" ca="1" si="38"/>
        <v>0</v>
      </c>
      <c r="CM27" s="883">
        <f t="shared" ca="1" si="38"/>
        <v>0</v>
      </c>
      <c r="CN27" s="883">
        <f t="shared" ca="1" si="38"/>
        <v>0</v>
      </c>
      <c r="CO27" s="883">
        <f t="shared" ca="1" si="38"/>
        <v>0</v>
      </c>
      <c r="CP27" s="883">
        <f t="shared" ca="1" si="38"/>
        <v>0</v>
      </c>
      <c r="CQ27" s="883">
        <f t="shared" ca="1" si="41"/>
        <v>0</v>
      </c>
      <c r="CR27" s="883">
        <f t="shared" ca="1" si="19"/>
        <v>0</v>
      </c>
      <c r="CS27" s="883">
        <f t="shared" ca="1" si="19"/>
        <v>0</v>
      </c>
      <c r="CT27" s="883">
        <f t="shared" ca="1" si="19"/>
        <v>0</v>
      </c>
      <c r="CU27" s="883">
        <f t="shared" ca="1" si="19"/>
        <v>0</v>
      </c>
      <c r="CV27" s="883">
        <f t="shared" ca="1" si="19"/>
        <v>0</v>
      </c>
      <c r="CW27" s="883">
        <f t="shared" ca="1" si="19"/>
        <v>0</v>
      </c>
      <c r="CX27" s="883">
        <f t="shared" ca="1" si="19"/>
        <v>0</v>
      </c>
      <c r="CY27" s="883">
        <f t="shared" ca="1" si="19"/>
        <v>0</v>
      </c>
      <c r="CZ27" s="883">
        <f t="shared" ca="1" si="19"/>
        <v>0</v>
      </c>
      <c r="DA27" s="883">
        <f t="shared" ca="1" si="19"/>
        <v>0</v>
      </c>
      <c r="DB27" s="883">
        <f t="shared" ca="1" si="19"/>
        <v>0</v>
      </c>
      <c r="DC27" s="883">
        <f t="shared" ca="1" si="19"/>
        <v>0</v>
      </c>
      <c r="DD27" s="883">
        <f t="shared" ca="1" si="19"/>
        <v>0</v>
      </c>
      <c r="DE27" s="883">
        <f t="shared" ca="1" si="19"/>
        <v>0</v>
      </c>
      <c r="DF27" s="883">
        <f t="shared" ca="1" si="19"/>
        <v>0</v>
      </c>
      <c r="DG27" s="883">
        <f t="shared" ca="1" si="19"/>
        <v>0</v>
      </c>
      <c r="DH27" s="883">
        <f t="shared" ref="DH27:DN42" ca="1" si="45">IFERROR(IF(YEAR($W27)&lt;DH$4,0,IF(YEAR($W27)=DH$4,IF($P27="美國國庫債券",ROUND(DATEDIF($U27,$W27,"M")/(12/$Y27),0)+1,DATEDIF($U27,$W27,"M")/(12/$Y27)+1),INT(DATEDIF($U27,DH$5,"M")/(12/$Y27))+1)),0)</f>
        <v>0</v>
      </c>
      <c r="DI27" s="883">
        <f t="shared" ca="1" si="45"/>
        <v>0</v>
      </c>
      <c r="DJ27" s="883">
        <f t="shared" ca="1" si="45"/>
        <v>0</v>
      </c>
      <c r="DK27" s="883">
        <f t="shared" ca="1" si="45"/>
        <v>0</v>
      </c>
      <c r="DL27" s="883">
        <f t="shared" ca="1" si="45"/>
        <v>0</v>
      </c>
      <c r="DM27" s="883">
        <f t="shared" ca="1" si="45"/>
        <v>0</v>
      </c>
      <c r="DN27" s="883">
        <f t="shared" ca="1" si="45"/>
        <v>0</v>
      </c>
      <c r="DO27" s="883">
        <f t="shared" ca="1" si="43"/>
        <v>0</v>
      </c>
      <c r="DP27" s="883">
        <f t="shared" ca="1" si="43"/>
        <v>0</v>
      </c>
      <c r="DQ27" s="883">
        <f t="shared" ca="1" si="43"/>
        <v>0</v>
      </c>
      <c r="DR27" s="883">
        <f t="shared" ca="1" si="43"/>
        <v>0</v>
      </c>
      <c r="DS27" s="883">
        <f t="shared" ca="1" si="43"/>
        <v>0</v>
      </c>
      <c r="DT27" s="883">
        <f t="shared" ca="1" si="43"/>
        <v>0</v>
      </c>
      <c r="DU27" s="883">
        <f t="shared" ca="1" si="43"/>
        <v>0</v>
      </c>
      <c r="DV27" s="883">
        <f t="shared" ca="1" si="43"/>
        <v>0</v>
      </c>
      <c r="DW27" s="883">
        <f t="shared" ca="1" si="43"/>
        <v>0</v>
      </c>
      <c r="DX27" s="883">
        <f t="shared" ca="1" si="43"/>
        <v>0</v>
      </c>
      <c r="DY27" s="883">
        <f t="shared" ca="1" si="43"/>
        <v>0</v>
      </c>
      <c r="DZ27" s="883">
        <f t="shared" ca="1" si="43"/>
        <v>0</v>
      </c>
      <c r="EA27" s="883">
        <f t="shared" ca="1" si="43"/>
        <v>0</v>
      </c>
      <c r="EB27" s="883">
        <f t="shared" ca="1" si="43"/>
        <v>0</v>
      </c>
      <c r="EC27" s="883">
        <f t="shared" ca="1" si="43"/>
        <v>0</v>
      </c>
      <c r="ED27" s="883">
        <f t="shared" ca="1" si="43"/>
        <v>0</v>
      </c>
      <c r="EE27" s="883">
        <f t="shared" ca="1" si="44"/>
        <v>0</v>
      </c>
      <c r="EF27" s="883">
        <f t="shared" ca="1" si="44"/>
        <v>0</v>
      </c>
      <c r="EG27" s="883">
        <f t="shared" ca="1" si="44"/>
        <v>0</v>
      </c>
      <c r="EH27" s="883">
        <f t="shared" ca="1" si="44"/>
        <v>0</v>
      </c>
      <c r="EI27" s="883">
        <f t="shared" ca="1" si="44"/>
        <v>0</v>
      </c>
      <c r="EJ27" s="883">
        <f t="shared" ca="1" si="44"/>
        <v>0</v>
      </c>
      <c r="EK27" s="883">
        <f t="shared" ca="1" si="44"/>
        <v>0</v>
      </c>
      <c r="EL27" s="883">
        <f t="shared" ca="1" si="44"/>
        <v>0</v>
      </c>
      <c r="EM27" s="883">
        <f t="shared" ca="1" si="44"/>
        <v>0</v>
      </c>
      <c r="EN27" s="883">
        <f t="shared" ca="1" si="44"/>
        <v>0</v>
      </c>
      <c r="EO27" s="883">
        <f t="shared" ca="1" si="44"/>
        <v>0</v>
      </c>
      <c r="EP27" s="883">
        <f t="shared" ca="1" si="44"/>
        <v>0</v>
      </c>
      <c r="EQ27" s="883">
        <f t="shared" ca="1" si="44"/>
        <v>0</v>
      </c>
      <c r="ER27" s="883">
        <f t="shared" ca="1" si="44"/>
        <v>0</v>
      </c>
      <c r="ES27" s="883">
        <f t="shared" ca="1" si="44"/>
        <v>0</v>
      </c>
      <c r="ET27" s="883">
        <f t="shared" ca="1" si="44"/>
        <v>0</v>
      </c>
      <c r="EU27" s="883">
        <f t="shared" ref="EU27:FA42" ca="1" si="46">IFERROR(IF(YEAR($W27)&lt;EU$4,0,IF(YEAR($W27)=EU$4,IF($P27="美國國庫債券",ROUND(DATEDIF($U27,$W27,"M")/(12/$Y27),0)+1,DATEDIF($U27,$W27,"M")/(12/$Y27)+1),INT(DATEDIF($U27,EU$5,"M")/(12/$Y27))+1)),0)</f>
        <v>0</v>
      </c>
      <c r="EV27" s="883">
        <f t="shared" ca="1" si="46"/>
        <v>0</v>
      </c>
      <c r="EW27" s="883">
        <f t="shared" ca="1" si="46"/>
        <v>0</v>
      </c>
      <c r="EX27" s="883">
        <f t="shared" ca="1" si="46"/>
        <v>0</v>
      </c>
      <c r="EY27" s="883">
        <f t="shared" ca="1" si="46"/>
        <v>0</v>
      </c>
      <c r="EZ27" s="883">
        <f t="shared" ca="1" si="46"/>
        <v>0</v>
      </c>
      <c r="FA27" s="883">
        <f t="shared" ca="1" si="46"/>
        <v>0</v>
      </c>
    </row>
    <row r="28" spans="1:157">
      <c r="H28" s="891">
        <f t="shared" ca="1" si="34"/>
        <v>2040</v>
      </c>
      <c r="I28" s="1206">
        <f t="shared" ca="1" si="32"/>
        <v>16425</v>
      </c>
      <c r="J28" s="1206">
        <f t="shared" ca="1" si="23"/>
        <v>0</v>
      </c>
      <c r="K28" s="929" t="str">
        <f t="shared" si="33"/>
        <v/>
      </c>
      <c r="L28" s="929" t="str">
        <f t="shared" si="24"/>
        <v/>
      </c>
      <c r="N28" s="1714">
        <v>22</v>
      </c>
      <c r="O28" s="1789" t="b">
        <f ca="1">庫存管理[[#This Row],[檢測]]</f>
        <v>0</v>
      </c>
      <c r="P28" s="882" t="e">
        <f ca="1">VLOOKUP(Q28,bond!B:AA,26,FALSE)</f>
        <v>#N/A</v>
      </c>
      <c r="Q28" s="883" t="str">
        <f ca="1">庫存管理[[#This Row],[商品代號]]</f>
        <v/>
      </c>
      <c r="R28" s="889">
        <f ca="1">IF(O28=TRUE,IFERROR(IF($D$4=1,庫存管理[[#This Row],[投入面額]]*庫存管理[[#This Row],[換算匯率(現)]],庫存管理[[#This Row],[投入面額]]),0),0)</f>
        <v>0</v>
      </c>
      <c r="S28" s="885" t="e">
        <f ca="1">庫存管理[[#This Row],[到期日]]</f>
        <v>#N/A</v>
      </c>
      <c r="T28" s="883">
        <f t="shared" ca="1" si="9"/>
        <v>0</v>
      </c>
      <c r="U28" s="885" t="str">
        <f ca="1">庫存管理[[#This Row],[下一配息日]]</f>
        <v/>
      </c>
      <c r="V28" s="886" t="str">
        <f t="shared" ca="1" si="39"/>
        <v/>
      </c>
      <c r="W28" s="885" t="e">
        <f ca="1">庫存管理[[#This Row],[到期日]]</f>
        <v>#N/A</v>
      </c>
      <c r="X28" s="886" t="str">
        <f t="shared" ca="1" si="40"/>
        <v/>
      </c>
      <c r="Y28" s="883" t="str">
        <f ca="1">庫存管理[[#This Row],[配息頻率]]</f>
        <v/>
      </c>
      <c r="Z28" s="883" t="str">
        <f>庫存管理[[#This Row],[投入面額]]</f>
        <v/>
      </c>
      <c r="AA28" s="909">
        <f ca="1">庫存管理[[#This Row],[票面利率]]</f>
        <v>0</v>
      </c>
      <c r="AB28" s="908">
        <f ca="1">庫存管理[[#This Row],[換算匯率(現)]]</f>
        <v>0</v>
      </c>
      <c r="AC28" s="887">
        <f t="shared" ca="1" si="12"/>
        <v>0</v>
      </c>
      <c r="AD28" s="883">
        <f t="shared" ca="1" si="13"/>
        <v>0</v>
      </c>
      <c r="AE28" s="883">
        <f t="shared" ca="1" si="35"/>
        <v>0</v>
      </c>
      <c r="AF28" s="883">
        <f t="shared" ca="1" si="35"/>
        <v>0</v>
      </c>
      <c r="AG28" s="883">
        <f t="shared" ca="1" si="35"/>
        <v>0</v>
      </c>
      <c r="AH28" s="883">
        <f t="shared" ca="1" si="35"/>
        <v>0</v>
      </c>
      <c r="AI28" s="883">
        <f t="shared" ca="1" si="35"/>
        <v>0</v>
      </c>
      <c r="AJ28" s="883">
        <f t="shared" ca="1" si="35"/>
        <v>0</v>
      </c>
      <c r="AK28" s="883">
        <f t="shared" ca="1" si="35"/>
        <v>0</v>
      </c>
      <c r="AL28" s="883">
        <f t="shared" ca="1" si="35"/>
        <v>0</v>
      </c>
      <c r="AM28" s="883">
        <f t="shared" ca="1" si="35"/>
        <v>0</v>
      </c>
      <c r="AN28" s="883">
        <f t="shared" ca="1" si="35"/>
        <v>0</v>
      </c>
      <c r="AO28" s="883">
        <f t="shared" ca="1" si="35"/>
        <v>0</v>
      </c>
      <c r="AP28" s="883">
        <f t="shared" ca="1" si="35"/>
        <v>0</v>
      </c>
      <c r="AQ28" s="883">
        <f t="shared" ca="1" si="35"/>
        <v>0</v>
      </c>
      <c r="AR28" s="883">
        <f t="shared" ca="1" si="35"/>
        <v>0</v>
      </c>
      <c r="AS28" s="883">
        <f t="shared" ca="1" si="35"/>
        <v>0</v>
      </c>
      <c r="AT28" s="883">
        <f t="shared" ca="1" si="35"/>
        <v>0</v>
      </c>
      <c r="AU28" s="883">
        <f t="shared" ca="1" si="36"/>
        <v>0</v>
      </c>
      <c r="AV28" s="883">
        <f t="shared" ca="1" si="36"/>
        <v>0</v>
      </c>
      <c r="AW28" s="883">
        <f t="shared" ca="1" si="36"/>
        <v>0</v>
      </c>
      <c r="AX28" s="883">
        <f t="shared" ca="1" si="36"/>
        <v>0</v>
      </c>
      <c r="AY28" s="883">
        <f t="shared" ca="1" si="36"/>
        <v>0</v>
      </c>
      <c r="AZ28" s="883">
        <f t="shared" ca="1" si="36"/>
        <v>0</v>
      </c>
      <c r="BA28" s="883">
        <f t="shared" ca="1" si="36"/>
        <v>0</v>
      </c>
      <c r="BB28" s="883">
        <f t="shared" ca="1" si="36"/>
        <v>0</v>
      </c>
      <c r="BC28" s="883">
        <f t="shared" ca="1" si="36"/>
        <v>0</v>
      </c>
      <c r="BD28" s="883">
        <f t="shared" ca="1" si="36"/>
        <v>0</v>
      </c>
      <c r="BE28" s="883">
        <f t="shared" ca="1" si="36"/>
        <v>0</v>
      </c>
      <c r="BF28" s="883">
        <f t="shared" ca="1" si="36"/>
        <v>0</v>
      </c>
      <c r="BG28" s="883">
        <f t="shared" ca="1" si="36"/>
        <v>0</v>
      </c>
      <c r="BH28" s="883">
        <f t="shared" ca="1" si="36"/>
        <v>0</v>
      </c>
      <c r="BI28" s="883">
        <f t="shared" ca="1" si="36"/>
        <v>0</v>
      </c>
      <c r="BJ28" s="883">
        <f t="shared" ca="1" si="36"/>
        <v>0</v>
      </c>
      <c r="BK28" s="883">
        <f t="shared" ca="1" si="37"/>
        <v>0</v>
      </c>
      <c r="BL28" s="883">
        <f t="shared" ca="1" si="37"/>
        <v>0</v>
      </c>
      <c r="BM28" s="883">
        <f t="shared" ca="1" si="37"/>
        <v>0</v>
      </c>
      <c r="BN28" s="883">
        <f t="shared" ca="1" si="37"/>
        <v>0</v>
      </c>
      <c r="BO28" s="883">
        <f t="shared" ca="1" si="37"/>
        <v>0</v>
      </c>
      <c r="BP28" s="883">
        <f t="shared" ca="1" si="37"/>
        <v>0</v>
      </c>
      <c r="BQ28" s="883">
        <f t="shared" ca="1" si="37"/>
        <v>0</v>
      </c>
      <c r="BR28" s="883">
        <f t="shared" ca="1" si="37"/>
        <v>0</v>
      </c>
      <c r="BS28" s="883">
        <f t="shared" ca="1" si="37"/>
        <v>0</v>
      </c>
      <c r="BT28" s="883">
        <f t="shared" ca="1" si="37"/>
        <v>0</v>
      </c>
      <c r="BU28" s="883">
        <f t="shared" ca="1" si="37"/>
        <v>0</v>
      </c>
      <c r="BV28" s="883">
        <f t="shared" ca="1" si="37"/>
        <v>0</v>
      </c>
      <c r="BW28" s="883">
        <f t="shared" ca="1" si="37"/>
        <v>0</v>
      </c>
      <c r="BX28" s="883">
        <f t="shared" ca="1" si="37"/>
        <v>0</v>
      </c>
      <c r="BY28" s="883">
        <f t="shared" ca="1" si="37"/>
        <v>0</v>
      </c>
      <c r="BZ28" s="883">
        <f t="shared" ca="1" si="37"/>
        <v>0</v>
      </c>
      <c r="CA28" s="883">
        <f t="shared" ca="1" si="38"/>
        <v>0</v>
      </c>
      <c r="CB28" s="883">
        <f t="shared" ca="1" si="38"/>
        <v>0</v>
      </c>
      <c r="CC28" s="883">
        <f t="shared" ca="1" si="38"/>
        <v>0</v>
      </c>
      <c r="CD28" s="883">
        <f t="shared" ca="1" si="38"/>
        <v>0</v>
      </c>
      <c r="CE28" s="883">
        <f t="shared" ca="1" si="38"/>
        <v>0</v>
      </c>
      <c r="CF28" s="883">
        <f t="shared" ca="1" si="38"/>
        <v>0</v>
      </c>
      <c r="CG28" s="883">
        <f t="shared" ca="1" si="38"/>
        <v>0</v>
      </c>
      <c r="CH28" s="883">
        <f t="shared" ca="1" si="38"/>
        <v>0</v>
      </c>
      <c r="CI28" s="883">
        <f t="shared" ca="1" si="38"/>
        <v>0</v>
      </c>
      <c r="CJ28" s="883">
        <f t="shared" ca="1" si="38"/>
        <v>0</v>
      </c>
      <c r="CK28" s="883">
        <f t="shared" ca="1" si="38"/>
        <v>0</v>
      </c>
      <c r="CL28" s="883">
        <f t="shared" ca="1" si="38"/>
        <v>0</v>
      </c>
      <c r="CM28" s="883">
        <f t="shared" ca="1" si="38"/>
        <v>0</v>
      </c>
      <c r="CN28" s="883">
        <f t="shared" ca="1" si="38"/>
        <v>0</v>
      </c>
      <c r="CO28" s="883">
        <f t="shared" ca="1" si="38"/>
        <v>0</v>
      </c>
      <c r="CP28" s="883">
        <f t="shared" ca="1" si="38"/>
        <v>0</v>
      </c>
      <c r="CQ28" s="883">
        <f t="shared" ca="1" si="41"/>
        <v>0</v>
      </c>
      <c r="CR28" s="883">
        <f t="shared" ca="1" si="41"/>
        <v>0</v>
      </c>
      <c r="CS28" s="883">
        <f t="shared" ca="1" si="41"/>
        <v>0</v>
      </c>
      <c r="CT28" s="883">
        <f t="shared" ca="1" si="41"/>
        <v>0</v>
      </c>
      <c r="CU28" s="883">
        <f t="shared" ca="1" si="41"/>
        <v>0</v>
      </c>
      <c r="CV28" s="883">
        <f t="shared" ca="1" si="41"/>
        <v>0</v>
      </c>
      <c r="CW28" s="883">
        <f t="shared" ca="1" si="41"/>
        <v>0</v>
      </c>
      <c r="CX28" s="883">
        <f t="shared" ca="1" si="41"/>
        <v>0</v>
      </c>
      <c r="CY28" s="883">
        <f t="shared" ca="1" si="41"/>
        <v>0</v>
      </c>
      <c r="CZ28" s="883">
        <f t="shared" ca="1" si="41"/>
        <v>0</v>
      </c>
      <c r="DA28" s="883">
        <f t="shared" ca="1" si="41"/>
        <v>0</v>
      </c>
      <c r="DB28" s="883">
        <f t="shared" ca="1" si="41"/>
        <v>0</v>
      </c>
      <c r="DC28" s="883">
        <f t="shared" ca="1" si="41"/>
        <v>0</v>
      </c>
      <c r="DD28" s="883">
        <f t="shared" ca="1" si="41"/>
        <v>0</v>
      </c>
      <c r="DE28" s="883">
        <f t="shared" ca="1" si="41"/>
        <v>0</v>
      </c>
      <c r="DF28" s="883">
        <f t="shared" ca="1" si="41"/>
        <v>0</v>
      </c>
      <c r="DG28" s="883">
        <f t="shared" ref="CR28:DG42" ca="1" si="47">IFERROR(IF(YEAR($W28)&lt;DG$4,0,IF(YEAR($W28)=DG$4,IF($P28="美國國庫債券",ROUND(DATEDIF($U28,$W28,"M")/(12/$Y28),0)+1,DATEDIF($U28,$W28,"M")/(12/$Y28)+1),INT(DATEDIF($U28,DG$5,"M")/(12/$Y28))+1)),0)</f>
        <v>0</v>
      </c>
      <c r="DH28" s="883">
        <f t="shared" ca="1" si="45"/>
        <v>0</v>
      </c>
      <c r="DI28" s="883">
        <f t="shared" ca="1" si="45"/>
        <v>0</v>
      </c>
      <c r="DJ28" s="883">
        <f t="shared" ca="1" si="45"/>
        <v>0</v>
      </c>
      <c r="DK28" s="883">
        <f t="shared" ca="1" si="45"/>
        <v>0</v>
      </c>
      <c r="DL28" s="883">
        <f t="shared" ca="1" si="45"/>
        <v>0</v>
      </c>
      <c r="DM28" s="883">
        <f t="shared" ca="1" si="45"/>
        <v>0</v>
      </c>
      <c r="DN28" s="883">
        <f t="shared" ca="1" si="45"/>
        <v>0</v>
      </c>
      <c r="DO28" s="883">
        <f t="shared" ca="1" si="43"/>
        <v>0</v>
      </c>
      <c r="DP28" s="883">
        <f t="shared" ca="1" si="43"/>
        <v>0</v>
      </c>
      <c r="DQ28" s="883">
        <f t="shared" ca="1" si="43"/>
        <v>0</v>
      </c>
      <c r="DR28" s="883">
        <f t="shared" ca="1" si="43"/>
        <v>0</v>
      </c>
      <c r="DS28" s="883">
        <f t="shared" ca="1" si="43"/>
        <v>0</v>
      </c>
      <c r="DT28" s="883">
        <f t="shared" ca="1" si="43"/>
        <v>0</v>
      </c>
      <c r="DU28" s="883">
        <f t="shared" ca="1" si="43"/>
        <v>0</v>
      </c>
      <c r="DV28" s="883">
        <f t="shared" ca="1" si="43"/>
        <v>0</v>
      </c>
      <c r="DW28" s="883">
        <f t="shared" ca="1" si="43"/>
        <v>0</v>
      </c>
      <c r="DX28" s="883">
        <f t="shared" ca="1" si="43"/>
        <v>0</v>
      </c>
      <c r="DY28" s="883">
        <f t="shared" ca="1" si="43"/>
        <v>0</v>
      </c>
      <c r="DZ28" s="883">
        <f t="shared" ca="1" si="43"/>
        <v>0</v>
      </c>
      <c r="EA28" s="883">
        <f t="shared" ca="1" si="43"/>
        <v>0</v>
      </c>
      <c r="EB28" s="883">
        <f t="shared" ca="1" si="43"/>
        <v>0</v>
      </c>
      <c r="EC28" s="883">
        <f t="shared" ca="1" si="43"/>
        <v>0</v>
      </c>
      <c r="ED28" s="883">
        <f t="shared" ca="1" si="43"/>
        <v>0</v>
      </c>
      <c r="EE28" s="883">
        <f t="shared" ca="1" si="44"/>
        <v>0</v>
      </c>
      <c r="EF28" s="883">
        <f t="shared" ca="1" si="44"/>
        <v>0</v>
      </c>
      <c r="EG28" s="883">
        <f t="shared" ca="1" si="44"/>
        <v>0</v>
      </c>
      <c r="EH28" s="883">
        <f t="shared" ca="1" si="44"/>
        <v>0</v>
      </c>
      <c r="EI28" s="883">
        <f t="shared" ca="1" si="44"/>
        <v>0</v>
      </c>
      <c r="EJ28" s="883">
        <f t="shared" ca="1" si="44"/>
        <v>0</v>
      </c>
      <c r="EK28" s="883">
        <f t="shared" ca="1" si="44"/>
        <v>0</v>
      </c>
      <c r="EL28" s="883">
        <f t="shared" ca="1" si="44"/>
        <v>0</v>
      </c>
      <c r="EM28" s="883">
        <f t="shared" ca="1" si="44"/>
        <v>0</v>
      </c>
      <c r="EN28" s="883">
        <f t="shared" ca="1" si="44"/>
        <v>0</v>
      </c>
      <c r="EO28" s="883">
        <f t="shared" ca="1" si="44"/>
        <v>0</v>
      </c>
      <c r="EP28" s="883">
        <f t="shared" ca="1" si="44"/>
        <v>0</v>
      </c>
      <c r="EQ28" s="883">
        <f t="shared" ca="1" si="44"/>
        <v>0</v>
      </c>
      <c r="ER28" s="883">
        <f t="shared" ca="1" si="44"/>
        <v>0</v>
      </c>
      <c r="ES28" s="883">
        <f t="shared" ca="1" si="44"/>
        <v>0</v>
      </c>
      <c r="ET28" s="883">
        <f t="shared" ca="1" si="44"/>
        <v>0</v>
      </c>
      <c r="EU28" s="883">
        <f t="shared" ca="1" si="46"/>
        <v>0</v>
      </c>
      <c r="EV28" s="883">
        <f t="shared" ca="1" si="46"/>
        <v>0</v>
      </c>
      <c r="EW28" s="883">
        <f t="shared" ca="1" si="46"/>
        <v>0</v>
      </c>
      <c r="EX28" s="883">
        <f t="shared" ca="1" si="46"/>
        <v>0</v>
      </c>
      <c r="EY28" s="883">
        <f t="shared" ca="1" si="46"/>
        <v>0</v>
      </c>
      <c r="EZ28" s="883">
        <f t="shared" ca="1" si="46"/>
        <v>0</v>
      </c>
      <c r="FA28" s="883">
        <f t="shared" ca="1" si="46"/>
        <v>0</v>
      </c>
    </row>
    <row r="29" spans="1:157">
      <c r="H29" s="891">
        <f t="shared" ca="1" si="34"/>
        <v>2041</v>
      </c>
      <c r="I29" s="1206">
        <f t="shared" ca="1" si="32"/>
        <v>16425</v>
      </c>
      <c r="J29" s="1206">
        <f t="shared" ca="1" si="23"/>
        <v>0</v>
      </c>
      <c r="K29" s="929" t="str">
        <f t="shared" si="33"/>
        <v/>
      </c>
      <c r="L29" s="929" t="str">
        <f t="shared" si="24"/>
        <v/>
      </c>
      <c r="N29" s="1714">
        <v>23</v>
      </c>
      <c r="O29" s="1789" t="b">
        <f ca="1">庫存管理[[#This Row],[檢測]]</f>
        <v>0</v>
      </c>
      <c r="P29" s="882" t="e">
        <f ca="1">VLOOKUP(Q29,bond!B:AA,26,FALSE)</f>
        <v>#N/A</v>
      </c>
      <c r="Q29" s="883" t="str">
        <f ca="1">庫存管理[[#This Row],[商品代號]]</f>
        <v/>
      </c>
      <c r="R29" s="889">
        <f ca="1">IF(O29=TRUE,IFERROR(IF($D$4=1,庫存管理[[#This Row],[投入面額]]*庫存管理[[#This Row],[換算匯率(現)]],庫存管理[[#This Row],[投入面額]]),0),0)</f>
        <v>0</v>
      </c>
      <c r="S29" s="885" t="e">
        <f ca="1">庫存管理[[#This Row],[到期日]]</f>
        <v>#N/A</v>
      </c>
      <c r="T29" s="883">
        <f t="shared" ca="1" si="9"/>
        <v>0</v>
      </c>
      <c r="U29" s="885" t="str">
        <f ca="1">庫存管理[[#This Row],[下一配息日]]</f>
        <v/>
      </c>
      <c r="V29" s="886" t="str">
        <f t="shared" ca="1" si="39"/>
        <v/>
      </c>
      <c r="W29" s="885" t="e">
        <f ca="1">庫存管理[[#This Row],[到期日]]</f>
        <v>#N/A</v>
      </c>
      <c r="X29" s="886" t="str">
        <f t="shared" ca="1" si="40"/>
        <v/>
      </c>
      <c r="Y29" s="883" t="str">
        <f ca="1">庫存管理[[#This Row],[配息頻率]]</f>
        <v/>
      </c>
      <c r="Z29" s="883" t="str">
        <f>庫存管理[[#This Row],[投入面額]]</f>
        <v/>
      </c>
      <c r="AA29" s="909">
        <f ca="1">庫存管理[[#This Row],[票面利率]]</f>
        <v>0</v>
      </c>
      <c r="AB29" s="908">
        <f ca="1">庫存管理[[#This Row],[換算匯率(現)]]</f>
        <v>0</v>
      </c>
      <c r="AC29" s="887">
        <f t="shared" ca="1" si="12"/>
        <v>0</v>
      </c>
      <c r="AD29" s="883">
        <f t="shared" ca="1" si="13"/>
        <v>0</v>
      </c>
      <c r="AE29" s="883">
        <f t="shared" ca="1" si="35"/>
        <v>0</v>
      </c>
      <c r="AF29" s="883">
        <f t="shared" ca="1" si="35"/>
        <v>0</v>
      </c>
      <c r="AG29" s="883">
        <f t="shared" ca="1" si="35"/>
        <v>0</v>
      </c>
      <c r="AH29" s="883">
        <f t="shared" ca="1" si="35"/>
        <v>0</v>
      </c>
      <c r="AI29" s="883">
        <f t="shared" ca="1" si="35"/>
        <v>0</v>
      </c>
      <c r="AJ29" s="883">
        <f t="shared" ca="1" si="35"/>
        <v>0</v>
      </c>
      <c r="AK29" s="883">
        <f t="shared" ca="1" si="35"/>
        <v>0</v>
      </c>
      <c r="AL29" s="883">
        <f t="shared" ca="1" si="35"/>
        <v>0</v>
      </c>
      <c r="AM29" s="883">
        <f t="shared" ca="1" si="35"/>
        <v>0</v>
      </c>
      <c r="AN29" s="883">
        <f t="shared" ca="1" si="35"/>
        <v>0</v>
      </c>
      <c r="AO29" s="883">
        <f t="shared" ca="1" si="35"/>
        <v>0</v>
      </c>
      <c r="AP29" s="883">
        <f t="shared" ca="1" si="35"/>
        <v>0</v>
      </c>
      <c r="AQ29" s="883">
        <f t="shared" ca="1" si="35"/>
        <v>0</v>
      </c>
      <c r="AR29" s="883">
        <f t="shared" ca="1" si="35"/>
        <v>0</v>
      </c>
      <c r="AS29" s="883">
        <f t="shared" ca="1" si="35"/>
        <v>0</v>
      </c>
      <c r="AT29" s="883">
        <f t="shared" ca="1" si="35"/>
        <v>0</v>
      </c>
      <c r="AU29" s="883">
        <f t="shared" ca="1" si="36"/>
        <v>0</v>
      </c>
      <c r="AV29" s="883">
        <f t="shared" ca="1" si="36"/>
        <v>0</v>
      </c>
      <c r="AW29" s="883">
        <f t="shared" ca="1" si="36"/>
        <v>0</v>
      </c>
      <c r="AX29" s="883">
        <f t="shared" ca="1" si="36"/>
        <v>0</v>
      </c>
      <c r="AY29" s="883">
        <f t="shared" ca="1" si="36"/>
        <v>0</v>
      </c>
      <c r="AZ29" s="883">
        <f t="shared" ca="1" si="36"/>
        <v>0</v>
      </c>
      <c r="BA29" s="883">
        <f t="shared" ca="1" si="36"/>
        <v>0</v>
      </c>
      <c r="BB29" s="883">
        <f t="shared" ca="1" si="36"/>
        <v>0</v>
      </c>
      <c r="BC29" s="883">
        <f t="shared" ca="1" si="36"/>
        <v>0</v>
      </c>
      <c r="BD29" s="883">
        <f t="shared" ca="1" si="36"/>
        <v>0</v>
      </c>
      <c r="BE29" s="883">
        <f t="shared" ca="1" si="36"/>
        <v>0</v>
      </c>
      <c r="BF29" s="883">
        <f t="shared" ca="1" si="36"/>
        <v>0</v>
      </c>
      <c r="BG29" s="883">
        <f t="shared" ca="1" si="36"/>
        <v>0</v>
      </c>
      <c r="BH29" s="883">
        <f t="shared" ca="1" si="36"/>
        <v>0</v>
      </c>
      <c r="BI29" s="883">
        <f t="shared" ca="1" si="36"/>
        <v>0</v>
      </c>
      <c r="BJ29" s="883">
        <f t="shared" ca="1" si="36"/>
        <v>0</v>
      </c>
      <c r="BK29" s="883">
        <f t="shared" ca="1" si="37"/>
        <v>0</v>
      </c>
      <c r="BL29" s="883">
        <f t="shared" ca="1" si="37"/>
        <v>0</v>
      </c>
      <c r="BM29" s="883">
        <f t="shared" ca="1" si="37"/>
        <v>0</v>
      </c>
      <c r="BN29" s="883">
        <f t="shared" ca="1" si="37"/>
        <v>0</v>
      </c>
      <c r="BO29" s="883">
        <f t="shared" ca="1" si="37"/>
        <v>0</v>
      </c>
      <c r="BP29" s="883">
        <f t="shared" ca="1" si="37"/>
        <v>0</v>
      </c>
      <c r="BQ29" s="883">
        <f t="shared" ca="1" si="37"/>
        <v>0</v>
      </c>
      <c r="BR29" s="883">
        <f t="shared" ca="1" si="37"/>
        <v>0</v>
      </c>
      <c r="BS29" s="883">
        <f t="shared" ca="1" si="37"/>
        <v>0</v>
      </c>
      <c r="BT29" s="883">
        <f t="shared" ca="1" si="37"/>
        <v>0</v>
      </c>
      <c r="BU29" s="883">
        <f t="shared" ca="1" si="37"/>
        <v>0</v>
      </c>
      <c r="BV29" s="883">
        <f t="shared" ca="1" si="37"/>
        <v>0</v>
      </c>
      <c r="BW29" s="883">
        <f t="shared" ca="1" si="37"/>
        <v>0</v>
      </c>
      <c r="BX29" s="883">
        <f t="shared" ca="1" si="37"/>
        <v>0</v>
      </c>
      <c r="BY29" s="883">
        <f t="shared" ca="1" si="37"/>
        <v>0</v>
      </c>
      <c r="BZ29" s="883">
        <f t="shared" ca="1" si="37"/>
        <v>0</v>
      </c>
      <c r="CA29" s="883">
        <f t="shared" ca="1" si="38"/>
        <v>0</v>
      </c>
      <c r="CB29" s="883">
        <f t="shared" ca="1" si="38"/>
        <v>0</v>
      </c>
      <c r="CC29" s="883">
        <f t="shared" ca="1" si="38"/>
        <v>0</v>
      </c>
      <c r="CD29" s="883">
        <f t="shared" ca="1" si="38"/>
        <v>0</v>
      </c>
      <c r="CE29" s="883">
        <f t="shared" ca="1" si="38"/>
        <v>0</v>
      </c>
      <c r="CF29" s="883">
        <f t="shared" ca="1" si="38"/>
        <v>0</v>
      </c>
      <c r="CG29" s="883">
        <f t="shared" ca="1" si="38"/>
        <v>0</v>
      </c>
      <c r="CH29" s="883">
        <f t="shared" ca="1" si="38"/>
        <v>0</v>
      </c>
      <c r="CI29" s="883">
        <f t="shared" ca="1" si="38"/>
        <v>0</v>
      </c>
      <c r="CJ29" s="883">
        <f t="shared" ca="1" si="38"/>
        <v>0</v>
      </c>
      <c r="CK29" s="883">
        <f t="shared" ca="1" si="38"/>
        <v>0</v>
      </c>
      <c r="CL29" s="883">
        <f t="shared" ca="1" si="38"/>
        <v>0</v>
      </c>
      <c r="CM29" s="883">
        <f t="shared" ca="1" si="38"/>
        <v>0</v>
      </c>
      <c r="CN29" s="883">
        <f t="shared" ca="1" si="38"/>
        <v>0</v>
      </c>
      <c r="CO29" s="883">
        <f t="shared" ca="1" si="38"/>
        <v>0</v>
      </c>
      <c r="CP29" s="883">
        <f t="shared" ca="1" si="38"/>
        <v>0</v>
      </c>
      <c r="CQ29" s="883">
        <f t="shared" ca="1" si="41"/>
        <v>0</v>
      </c>
      <c r="CR29" s="883">
        <f t="shared" ca="1" si="47"/>
        <v>0</v>
      </c>
      <c r="CS29" s="883">
        <f t="shared" ca="1" si="47"/>
        <v>0</v>
      </c>
      <c r="CT29" s="883">
        <f t="shared" ca="1" si="47"/>
        <v>0</v>
      </c>
      <c r="CU29" s="883">
        <f t="shared" ca="1" si="47"/>
        <v>0</v>
      </c>
      <c r="CV29" s="883">
        <f t="shared" ca="1" si="47"/>
        <v>0</v>
      </c>
      <c r="CW29" s="883">
        <f t="shared" ca="1" si="47"/>
        <v>0</v>
      </c>
      <c r="CX29" s="883">
        <f t="shared" ca="1" si="47"/>
        <v>0</v>
      </c>
      <c r="CY29" s="883">
        <f t="shared" ca="1" si="47"/>
        <v>0</v>
      </c>
      <c r="CZ29" s="883">
        <f t="shared" ca="1" si="47"/>
        <v>0</v>
      </c>
      <c r="DA29" s="883">
        <f t="shared" ca="1" si="47"/>
        <v>0</v>
      </c>
      <c r="DB29" s="883">
        <f t="shared" ca="1" si="47"/>
        <v>0</v>
      </c>
      <c r="DC29" s="883">
        <f t="shared" ca="1" si="47"/>
        <v>0</v>
      </c>
      <c r="DD29" s="883">
        <f t="shared" ca="1" si="47"/>
        <v>0</v>
      </c>
      <c r="DE29" s="883">
        <f t="shared" ca="1" si="47"/>
        <v>0</v>
      </c>
      <c r="DF29" s="883">
        <f t="shared" ca="1" si="47"/>
        <v>0</v>
      </c>
      <c r="DG29" s="883">
        <f t="shared" ca="1" si="47"/>
        <v>0</v>
      </c>
      <c r="DH29" s="883">
        <f t="shared" ca="1" si="45"/>
        <v>0</v>
      </c>
      <c r="DI29" s="883">
        <f t="shared" ca="1" si="45"/>
        <v>0</v>
      </c>
      <c r="DJ29" s="883">
        <f t="shared" ca="1" si="45"/>
        <v>0</v>
      </c>
      <c r="DK29" s="883">
        <f t="shared" ca="1" si="45"/>
        <v>0</v>
      </c>
      <c r="DL29" s="883">
        <f t="shared" ca="1" si="45"/>
        <v>0</v>
      </c>
      <c r="DM29" s="883">
        <f t="shared" ca="1" si="45"/>
        <v>0</v>
      </c>
      <c r="DN29" s="883">
        <f t="shared" ca="1" si="45"/>
        <v>0</v>
      </c>
      <c r="DO29" s="883">
        <f t="shared" ca="1" si="43"/>
        <v>0</v>
      </c>
      <c r="DP29" s="883">
        <f t="shared" ca="1" si="43"/>
        <v>0</v>
      </c>
      <c r="DQ29" s="883">
        <f t="shared" ca="1" si="43"/>
        <v>0</v>
      </c>
      <c r="DR29" s="883">
        <f t="shared" ca="1" si="43"/>
        <v>0</v>
      </c>
      <c r="DS29" s="883">
        <f t="shared" ca="1" si="43"/>
        <v>0</v>
      </c>
      <c r="DT29" s="883">
        <f t="shared" ca="1" si="43"/>
        <v>0</v>
      </c>
      <c r="DU29" s="883">
        <f t="shared" ca="1" si="43"/>
        <v>0</v>
      </c>
      <c r="DV29" s="883">
        <f t="shared" ca="1" si="43"/>
        <v>0</v>
      </c>
      <c r="DW29" s="883">
        <f t="shared" ca="1" si="43"/>
        <v>0</v>
      </c>
      <c r="DX29" s="883">
        <f t="shared" ca="1" si="43"/>
        <v>0</v>
      </c>
      <c r="DY29" s="883">
        <f t="shared" ca="1" si="43"/>
        <v>0</v>
      </c>
      <c r="DZ29" s="883">
        <f t="shared" ca="1" si="43"/>
        <v>0</v>
      </c>
      <c r="EA29" s="883">
        <f t="shared" ca="1" si="43"/>
        <v>0</v>
      </c>
      <c r="EB29" s="883">
        <f t="shared" ca="1" si="43"/>
        <v>0</v>
      </c>
      <c r="EC29" s="883">
        <f t="shared" ca="1" si="43"/>
        <v>0</v>
      </c>
      <c r="ED29" s="883">
        <f t="shared" ca="1" si="43"/>
        <v>0</v>
      </c>
      <c r="EE29" s="883">
        <f t="shared" ca="1" si="44"/>
        <v>0</v>
      </c>
      <c r="EF29" s="883">
        <f t="shared" ca="1" si="44"/>
        <v>0</v>
      </c>
      <c r="EG29" s="883">
        <f t="shared" ca="1" si="44"/>
        <v>0</v>
      </c>
      <c r="EH29" s="883">
        <f t="shared" ca="1" si="44"/>
        <v>0</v>
      </c>
      <c r="EI29" s="883">
        <f t="shared" ca="1" si="44"/>
        <v>0</v>
      </c>
      <c r="EJ29" s="883">
        <f t="shared" ca="1" si="44"/>
        <v>0</v>
      </c>
      <c r="EK29" s="883">
        <f t="shared" ca="1" si="44"/>
        <v>0</v>
      </c>
      <c r="EL29" s="883">
        <f t="shared" ca="1" si="44"/>
        <v>0</v>
      </c>
      <c r="EM29" s="883">
        <f t="shared" ca="1" si="44"/>
        <v>0</v>
      </c>
      <c r="EN29" s="883">
        <f t="shared" ca="1" si="44"/>
        <v>0</v>
      </c>
      <c r="EO29" s="883">
        <f t="shared" ca="1" si="44"/>
        <v>0</v>
      </c>
      <c r="EP29" s="883">
        <f t="shared" ca="1" si="44"/>
        <v>0</v>
      </c>
      <c r="EQ29" s="883">
        <f t="shared" ca="1" si="44"/>
        <v>0</v>
      </c>
      <c r="ER29" s="883">
        <f t="shared" ca="1" si="44"/>
        <v>0</v>
      </c>
      <c r="ES29" s="883">
        <f t="shared" ca="1" si="44"/>
        <v>0</v>
      </c>
      <c r="ET29" s="883">
        <f t="shared" ca="1" si="44"/>
        <v>0</v>
      </c>
      <c r="EU29" s="883">
        <f t="shared" ca="1" si="46"/>
        <v>0</v>
      </c>
      <c r="EV29" s="883">
        <f t="shared" ca="1" si="46"/>
        <v>0</v>
      </c>
      <c r="EW29" s="883">
        <f t="shared" ca="1" si="46"/>
        <v>0</v>
      </c>
      <c r="EX29" s="883">
        <f t="shared" ca="1" si="46"/>
        <v>0</v>
      </c>
      <c r="EY29" s="883">
        <f t="shared" ca="1" si="46"/>
        <v>0</v>
      </c>
      <c r="EZ29" s="883">
        <f t="shared" ca="1" si="46"/>
        <v>0</v>
      </c>
      <c r="FA29" s="883">
        <f t="shared" ca="1" si="46"/>
        <v>0</v>
      </c>
    </row>
    <row r="30" spans="1:157">
      <c r="H30" s="891">
        <f t="shared" ca="1" si="34"/>
        <v>2042</v>
      </c>
      <c r="I30" s="1206">
        <f t="shared" ca="1" si="32"/>
        <v>16425</v>
      </c>
      <c r="J30" s="1206">
        <f t="shared" ca="1" si="23"/>
        <v>0</v>
      </c>
      <c r="K30" s="929" t="str">
        <f t="shared" si="33"/>
        <v/>
      </c>
      <c r="L30" s="929" t="str">
        <f t="shared" si="24"/>
        <v/>
      </c>
      <c r="N30" s="1714">
        <v>24</v>
      </c>
      <c r="O30" s="1789" t="b">
        <f ca="1">庫存管理[[#This Row],[檢測]]</f>
        <v>0</v>
      </c>
      <c r="P30" s="882" t="e">
        <f ca="1">VLOOKUP(Q30,bond!B:AA,26,FALSE)</f>
        <v>#N/A</v>
      </c>
      <c r="Q30" s="883" t="str">
        <f ca="1">庫存管理[[#This Row],[商品代號]]</f>
        <v/>
      </c>
      <c r="R30" s="889">
        <f ca="1">IF(O30=TRUE,IFERROR(IF($D$4=1,庫存管理[[#This Row],[投入面額]]*庫存管理[[#This Row],[換算匯率(現)]],庫存管理[[#This Row],[投入面額]]),0),0)</f>
        <v>0</v>
      </c>
      <c r="S30" s="885" t="e">
        <f ca="1">庫存管理[[#This Row],[到期日]]</f>
        <v>#N/A</v>
      </c>
      <c r="T30" s="883">
        <f t="shared" ca="1" si="9"/>
        <v>0</v>
      </c>
      <c r="U30" s="885" t="str">
        <f ca="1">庫存管理[[#This Row],[下一配息日]]</f>
        <v/>
      </c>
      <c r="V30" s="886" t="str">
        <f t="shared" ca="1" si="39"/>
        <v/>
      </c>
      <c r="W30" s="885" t="e">
        <f ca="1">庫存管理[[#This Row],[到期日]]</f>
        <v>#N/A</v>
      </c>
      <c r="X30" s="886" t="str">
        <f t="shared" ca="1" si="40"/>
        <v/>
      </c>
      <c r="Y30" s="883" t="str">
        <f ca="1">庫存管理[[#This Row],[配息頻率]]</f>
        <v/>
      </c>
      <c r="Z30" s="883" t="str">
        <f>庫存管理[[#This Row],[投入面額]]</f>
        <v/>
      </c>
      <c r="AA30" s="909">
        <f ca="1">庫存管理[[#This Row],[票面利率]]</f>
        <v>0</v>
      </c>
      <c r="AB30" s="908">
        <f ca="1">庫存管理[[#This Row],[換算匯率(現)]]</f>
        <v>0</v>
      </c>
      <c r="AC30" s="887">
        <f t="shared" ca="1" si="12"/>
        <v>0</v>
      </c>
      <c r="AD30" s="883">
        <f t="shared" ca="1" si="13"/>
        <v>0</v>
      </c>
      <c r="AE30" s="883">
        <f t="shared" ca="1" si="35"/>
        <v>0</v>
      </c>
      <c r="AF30" s="883">
        <f t="shared" ca="1" si="35"/>
        <v>0</v>
      </c>
      <c r="AG30" s="883">
        <f t="shared" ca="1" si="35"/>
        <v>0</v>
      </c>
      <c r="AH30" s="883">
        <f t="shared" ca="1" si="35"/>
        <v>0</v>
      </c>
      <c r="AI30" s="883">
        <f t="shared" ca="1" si="35"/>
        <v>0</v>
      </c>
      <c r="AJ30" s="883">
        <f t="shared" ca="1" si="35"/>
        <v>0</v>
      </c>
      <c r="AK30" s="883">
        <f t="shared" ca="1" si="35"/>
        <v>0</v>
      </c>
      <c r="AL30" s="883">
        <f t="shared" ca="1" si="35"/>
        <v>0</v>
      </c>
      <c r="AM30" s="883">
        <f t="shared" ca="1" si="35"/>
        <v>0</v>
      </c>
      <c r="AN30" s="883">
        <f t="shared" ca="1" si="35"/>
        <v>0</v>
      </c>
      <c r="AO30" s="883">
        <f t="shared" ca="1" si="35"/>
        <v>0</v>
      </c>
      <c r="AP30" s="883">
        <f t="shared" ca="1" si="35"/>
        <v>0</v>
      </c>
      <c r="AQ30" s="883">
        <f t="shared" ca="1" si="35"/>
        <v>0</v>
      </c>
      <c r="AR30" s="883">
        <f t="shared" ca="1" si="35"/>
        <v>0</v>
      </c>
      <c r="AS30" s="883">
        <f t="shared" ca="1" si="35"/>
        <v>0</v>
      </c>
      <c r="AT30" s="883">
        <f t="shared" ca="1" si="35"/>
        <v>0</v>
      </c>
      <c r="AU30" s="883">
        <f t="shared" ca="1" si="36"/>
        <v>0</v>
      </c>
      <c r="AV30" s="883">
        <f t="shared" ca="1" si="36"/>
        <v>0</v>
      </c>
      <c r="AW30" s="883">
        <f t="shared" ca="1" si="36"/>
        <v>0</v>
      </c>
      <c r="AX30" s="883">
        <f t="shared" ca="1" si="36"/>
        <v>0</v>
      </c>
      <c r="AY30" s="883">
        <f t="shared" ca="1" si="36"/>
        <v>0</v>
      </c>
      <c r="AZ30" s="883">
        <f t="shared" ca="1" si="36"/>
        <v>0</v>
      </c>
      <c r="BA30" s="883">
        <f t="shared" ca="1" si="36"/>
        <v>0</v>
      </c>
      <c r="BB30" s="883">
        <f t="shared" ca="1" si="36"/>
        <v>0</v>
      </c>
      <c r="BC30" s="883">
        <f t="shared" ca="1" si="36"/>
        <v>0</v>
      </c>
      <c r="BD30" s="883">
        <f t="shared" ca="1" si="36"/>
        <v>0</v>
      </c>
      <c r="BE30" s="883">
        <f t="shared" ca="1" si="36"/>
        <v>0</v>
      </c>
      <c r="BF30" s="883">
        <f t="shared" ca="1" si="36"/>
        <v>0</v>
      </c>
      <c r="BG30" s="883">
        <f t="shared" ca="1" si="36"/>
        <v>0</v>
      </c>
      <c r="BH30" s="883">
        <f t="shared" ca="1" si="36"/>
        <v>0</v>
      </c>
      <c r="BI30" s="883">
        <f t="shared" ca="1" si="36"/>
        <v>0</v>
      </c>
      <c r="BJ30" s="883">
        <f t="shared" ca="1" si="36"/>
        <v>0</v>
      </c>
      <c r="BK30" s="883">
        <f t="shared" ca="1" si="37"/>
        <v>0</v>
      </c>
      <c r="BL30" s="883">
        <f t="shared" ca="1" si="37"/>
        <v>0</v>
      </c>
      <c r="BM30" s="883">
        <f t="shared" ca="1" si="37"/>
        <v>0</v>
      </c>
      <c r="BN30" s="883">
        <f t="shared" ca="1" si="37"/>
        <v>0</v>
      </c>
      <c r="BO30" s="883">
        <f t="shared" ca="1" si="37"/>
        <v>0</v>
      </c>
      <c r="BP30" s="883">
        <f t="shared" ca="1" si="37"/>
        <v>0</v>
      </c>
      <c r="BQ30" s="883">
        <f t="shared" ca="1" si="37"/>
        <v>0</v>
      </c>
      <c r="BR30" s="883">
        <f t="shared" ca="1" si="37"/>
        <v>0</v>
      </c>
      <c r="BS30" s="883">
        <f t="shared" ca="1" si="37"/>
        <v>0</v>
      </c>
      <c r="BT30" s="883">
        <f t="shared" ca="1" si="37"/>
        <v>0</v>
      </c>
      <c r="BU30" s="883">
        <f t="shared" ca="1" si="37"/>
        <v>0</v>
      </c>
      <c r="BV30" s="883">
        <f t="shared" ca="1" si="37"/>
        <v>0</v>
      </c>
      <c r="BW30" s="883">
        <f t="shared" ca="1" si="37"/>
        <v>0</v>
      </c>
      <c r="BX30" s="883">
        <f t="shared" ca="1" si="37"/>
        <v>0</v>
      </c>
      <c r="BY30" s="883">
        <f t="shared" ca="1" si="37"/>
        <v>0</v>
      </c>
      <c r="BZ30" s="883">
        <f t="shared" ca="1" si="37"/>
        <v>0</v>
      </c>
      <c r="CA30" s="883">
        <f t="shared" ca="1" si="38"/>
        <v>0</v>
      </c>
      <c r="CB30" s="883">
        <f t="shared" ca="1" si="38"/>
        <v>0</v>
      </c>
      <c r="CC30" s="883">
        <f t="shared" ca="1" si="38"/>
        <v>0</v>
      </c>
      <c r="CD30" s="883">
        <f t="shared" ca="1" si="38"/>
        <v>0</v>
      </c>
      <c r="CE30" s="883">
        <f t="shared" ca="1" si="38"/>
        <v>0</v>
      </c>
      <c r="CF30" s="883">
        <f t="shared" ca="1" si="38"/>
        <v>0</v>
      </c>
      <c r="CG30" s="883">
        <f t="shared" ca="1" si="38"/>
        <v>0</v>
      </c>
      <c r="CH30" s="883">
        <f t="shared" ca="1" si="38"/>
        <v>0</v>
      </c>
      <c r="CI30" s="883">
        <f t="shared" ca="1" si="38"/>
        <v>0</v>
      </c>
      <c r="CJ30" s="883">
        <f t="shared" ca="1" si="38"/>
        <v>0</v>
      </c>
      <c r="CK30" s="883">
        <f t="shared" ca="1" si="38"/>
        <v>0</v>
      </c>
      <c r="CL30" s="883">
        <f t="shared" ca="1" si="38"/>
        <v>0</v>
      </c>
      <c r="CM30" s="883">
        <f t="shared" ca="1" si="38"/>
        <v>0</v>
      </c>
      <c r="CN30" s="883">
        <f t="shared" ca="1" si="38"/>
        <v>0</v>
      </c>
      <c r="CO30" s="883">
        <f t="shared" ca="1" si="38"/>
        <v>0</v>
      </c>
      <c r="CP30" s="883">
        <f t="shared" ca="1" si="38"/>
        <v>0</v>
      </c>
      <c r="CQ30" s="883">
        <f t="shared" ca="1" si="41"/>
        <v>0</v>
      </c>
      <c r="CR30" s="883">
        <f t="shared" ca="1" si="47"/>
        <v>0</v>
      </c>
      <c r="CS30" s="883">
        <f t="shared" ca="1" si="47"/>
        <v>0</v>
      </c>
      <c r="CT30" s="883">
        <f t="shared" ca="1" si="47"/>
        <v>0</v>
      </c>
      <c r="CU30" s="883">
        <f t="shared" ca="1" si="47"/>
        <v>0</v>
      </c>
      <c r="CV30" s="883">
        <f t="shared" ca="1" si="47"/>
        <v>0</v>
      </c>
      <c r="CW30" s="883">
        <f t="shared" ca="1" si="47"/>
        <v>0</v>
      </c>
      <c r="CX30" s="883">
        <f t="shared" ca="1" si="47"/>
        <v>0</v>
      </c>
      <c r="CY30" s="883">
        <f t="shared" ca="1" si="47"/>
        <v>0</v>
      </c>
      <c r="CZ30" s="883">
        <f t="shared" ca="1" si="47"/>
        <v>0</v>
      </c>
      <c r="DA30" s="883">
        <f t="shared" ca="1" si="47"/>
        <v>0</v>
      </c>
      <c r="DB30" s="883">
        <f t="shared" ca="1" si="47"/>
        <v>0</v>
      </c>
      <c r="DC30" s="883">
        <f t="shared" ca="1" si="47"/>
        <v>0</v>
      </c>
      <c r="DD30" s="883">
        <f t="shared" ca="1" si="47"/>
        <v>0</v>
      </c>
      <c r="DE30" s="883">
        <f t="shared" ca="1" si="47"/>
        <v>0</v>
      </c>
      <c r="DF30" s="883">
        <f t="shared" ca="1" si="47"/>
        <v>0</v>
      </c>
      <c r="DG30" s="883">
        <f t="shared" ca="1" si="47"/>
        <v>0</v>
      </c>
      <c r="DH30" s="883">
        <f t="shared" ca="1" si="45"/>
        <v>0</v>
      </c>
      <c r="DI30" s="883">
        <f t="shared" ca="1" si="45"/>
        <v>0</v>
      </c>
      <c r="DJ30" s="883">
        <f t="shared" ca="1" si="45"/>
        <v>0</v>
      </c>
      <c r="DK30" s="883">
        <f t="shared" ca="1" si="45"/>
        <v>0</v>
      </c>
      <c r="DL30" s="883">
        <f t="shared" ca="1" si="45"/>
        <v>0</v>
      </c>
      <c r="DM30" s="883">
        <f t="shared" ca="1" si="45"/>
        <v>0</v>
      </c>
      <c r="DN30" s="883">
        <f t="shared" ca="1" si="45"/>
        <v>0</v>
      </c>
      <c r="DO30" s="883">
        <f t="shared" ca="1" si="43"/>
        <v>0</v>
      </c>
      <c r="DP30" s="883">
        <f t="shared" ca="1" si="43"/>
        <v>0</v>
      </c>
      <c r="DQ30" s="883">
        <f t="shared" ca="1" si="43"/>
        <v>0</v>
      </c>
      <c r="DR30" s="883">
        <f t="shared" ca="1" si="43"/>
        <v>0</v>
      </c>
      <c r="DS30" s="883">
        <f t="shared" ca="1" si="43"/>
        <v>0</v>
      </c>
      <c r="DT30" s="883">
        <f t="shared" ca="1" si="43"/>
        <v>0</v>
      </c>
      <c r="DU30" s="883">
        <f t="shared" ca="1" si="43"/>
        <v>0</v>
      </c>
      <c r="DV30" s="883">
        <f t="shared" ca="1" si="43"/>
        <v>0</v>
      </c>
      <c r="DW30" s="883">
        <f t="shared" ca="1" si="43"/>
        <v>0</v>
      </c>
      <c r="DX30" s="883">
        <f t="shared" ca="1" si="43"/>
        <v>0</v>
      </c>
      <c r="DY30" s="883">
        <f t="shared" ca="1" si="43"/>
        <v>0</v>
      </c>
      <c r="DZ30" s="883">
        <f t="shared" ca="1" si="43"/>
        <v>0</v>
      </c>
      <c r="EA30" s="883">
        <f t="shared" ca="1" si="43"/>
        <v>0</v>
      </c>
      <c r="EB30" s="883">
        <f t="shared" ca="1" si="43"/>
        <v>0</v>
      </c>
      <c r="EC30" s="883">
        <f t="shared" ca="1" si="43"/>
        <v>0</v>
      </c>
      <c r="ED30" s="883">
        <f t="shared" ca="1" si="43"/>
        <v>0</v>
      </c>
      <c r="EE30" s="883">
        <f t="shared" ca="1" si="44"/>
        <v>0</v>
      </c>
      <c r="EF30" s="883">
        <f t="shared" ca="1" si="44"/>
        <v>0</v>
      </c>
      <c r="EG30" s="883">
        <f t="shared" ca="1" si="44"/>
        <v>0</v>
      </c>
      <c r="EH30" s="883">
        <f t="shared" ca="1" si="44"/>
        <v>0</v>
      </c>
      <c r="EI30" s="883">
        <f t="shared" ca="1" si="44"/>
        <v>0</v>
      </c>
      <c r="EJ30" s="883">
        <f t="shared" ca="1" si="44"/>
        <v>0</v>
      </c>
      <c r="EK30" s="883">
        <f t="shared" ca="1" si="44"/>
        <v>0</v>
      </c>
      <c r="EL30" s="883">
        <f t="shared" ca="1" si="44"/>
        <v>0</v>
      </c>
      <c r="EM30" s="883">
        <f t="shared" ca="1" si="44"/>
        <v>0</v>
      </c>
      <c r="EN30" s="883">
        <f t="shared" ca="1" si="44"/>
        <v>0</v>
      </c>
      <c r="EO30" s="883">
        <f t="shared" ca="1" si="44"/>
        <v>0</v>
      </c>
      <c r="EP30" s="883">
        <f t="shared" ca="1" si="44"/>
        <v>0</v>
      </c>
      <c r="EQ30" s="883">
        <f t="shared" ca="1" si="44"/>
        <v>0</v>
      </c>
      <c r="ER30" s="883">
        <f t="shared" ca="1" si="44"/>
        <v>0</v>
      </c>
      <c r="ES30" s="883">
        <f t="shared" ca="1" si="44"/>
        <v>0</v>
      </c>
      <c r="ET30" s="883">
        <f t="shared" ca="1" si="44"/>
        <v>0</v>
      </c>
      <c r="EU30" s="883">
        <f t="shared" ca="1" si="46"/>
        <v>0</v>
      </c>
      <c r="EV30" s="883">
        <f t="shared" ca="1" si="46"/>
        <v>0</v>
      </c>
      <c r="EW30" s="883">
        <f t="shared" ca="1" si="46"/>
        <v>0</v>
      </c>
      <c r="EX30" s="883">
        <f t="shared" ca="1" si="46"/>
        <v>0</v>
      </c>
      <c r="EY30" s="883">
        <f t="shared" ca="1" si="46"/>
        <v>0</v>
      </c>
      <c r="EZ30" s="883">
        <f t="shared" ca="1" si="46"/>
        <v>0</v>
      </c>
      <c r="FA30" s="883">
        <f t="shared" ca="1" si="46"/>
        <v>0</v>
      </c>
    </row>
    <row r="31" spans="1:157">
      <c r="A31" s="907"/>
      <c r="H31" s="891">
        <f t="shared" ca="1" si="34"/>
        <v>2043</v>
      </c>
      <c r="I31" s="1206">
        <f t="shared" ca="1" si="32"/>
        <v>16425</v>
      </c>
      <c r="J31" s="1206">
        <f t="shared" ca="1" si="23"/>
        <v>0</v>
      </c>
      <c r="K31" s="929" t="str">
        <f t="shared" si="33"/>
        <v/>
      </c>
      <c r="L31" s="929" t="str">
        <f t="shared" si="24"/>
        <v/>
      </c>
      <c r="N31" s="1714">
        <v>25</v>
      </c>
      <c r="O31" s="1789" t="b">
        <f ca="1">庫存管理[[#This Row],[檢測]]</f>
        <v>0</v>
      </c>
      <c r="P31" s="882" t="e">
        <f ca="1">VLOOKUP(Q31,bond!B:AA,26,FALSE)</f>
        <v>#N/A</v>
      </c>
      <c r="Q31" s="883" t="str">
        <f ca="1">庫存管理[[#This Row],[商品代號]]</f>
        <v/>
      </c>
      <c r="R31" s="889">
        <f ca="1">IF(O31=TRUE,IFERROR(IF($D$4=1,庫存管理[[#This Row],[投入面額]]*庫存管理[[#This Row],[換算匯率(現)]],庫存管理[[#This Row],[投入面額]]),0),0)</f>
        <v>0</v>
      </c>
      <c r="S31" s="885" t="e">
        <f ca="1">庫存管理[[#This Row],[到期日]]</f>
        <v>#N/A</v>
      </c>
      <c r="T31" s="883">
        <f t="shared" ca="1" si="9"/>
        <v>0</v>
      </c>
      <c r="U31" s="885" t="str">
        <f ca="1">庫存管理[[#This Row],[下一配息日]]</f>
        <v/>
      </c>
      <c r="V31" s="886" t="str">
        <f t="shared" ca="1" si="39"/>
        <v/>
      </c>
      <c r="W31" s="885" t="e">
        <f ca="1">庫存管理[[#This Row],[到期日]]</f>
        <v>#N/A</v>
      </c>
      <c r="X31" s="886" t="str">
        <f t="shared" ca="1" si="40"/>
        <v/>
      </c>
      <c r="Y31" s="883" t="str">
        <f ca="1">庫存管理[[#This Row],[配息頻率]]</f>
        <v/>
      </c>
      <c r="Z31" s="883" t="str">
        <f>庫存管理[[#This Row],[投入面額]]</f>
        <v/>
      </c>
      <c r="AA31" s="909">
        <f ca="1">庫存管理[[#This Row],[票面利率]]</f>
        <v>0</v>
      </c>
      <c r="AB31" s="908">
        <f ca="1">庫存管理[[#This Row],[換算匯率(現)]]</f>
        <v>0</v>
      </c>
      <c r="AC31" s="887">
        <f t="shared" ca="1" si="12"/>
        <v>0</v>
      </c>
      <c r="AD31" s="883">
        <f t="shared" ca="1" si="13"/>
        <v>0</v>
      </c>
      <c r="AE31" s="883">
        <f t="shared" ca="1" si="35"/>
        <v>0</v>
      </c>
      <c r="AF31" s="883">
        <f t="shared" ca="1" si="35"/>
        <v>0</v>
      </c>
      <c r="AG31" s="883">
        <f t="shared" ca="1" si="35"/>
        <v>0</v>
      </c>
      <c r="AH31" s="883">
        <f t="shared" ca="1" si="35"/>
        <v>0</v>
      </c>
      <c r="AI31" s="883">
        <f t="shared" ca="1" si="35"/>
        <v>0</v>
      </c>
      <c r="AJ31" s="883">
        <f t="shared" ca="1" si="35"/>
        <v>0</v>
      </c>
      <c r="AK31" s="883">
        <f t="shared" ca="1" si="35"/>
        <v>0</v>
      </c>
      <c r="AL31" s="883">
        <f t="shared" ca="1" si="35"/>
        <v>0</v>
      </c>
      <c r="AM31" s="883">
        <f t="shared" ca="1" si="35"/>
        <v>0</v>
      </c>
      <c r="AN31" s="883">
        <f t="shared" ca="1" si="35"/>
        <v>0</v>
      </c>
      <c r="AO31" s="883">
        <f t="shared" ca="1" si="35"/>
        <v>0</v>
      </c>
      <c r="AP31" s="883">
        <f t="shared" ca="1" si="35"/>
        <v>0</v>
      </c>
      <c r="AQ31" s="883">
        <f t="shared" ca="1" si="35"/>
        <v>0</v>
      </c>
      <c r="AR31" s="883">
        <f t="shared" ca="1" si="35"/>
        <v>0</v>
      </c>
      <c r="AS31" s="883">
        <f t="shared" ca="1" si="35"/>
        <v>0</v>
      </c>
      <c r="AT31" s="883">
        <f t="shared" ca="1" si="35"/>
        <v>0</v>
      </c>
      <c r="AU31" s="883">
        <f t="shared" ca="1" si="36"/>
        <v>0</v>
      </c>
      <c r="AV31" s="883">
        <f t="shared" ca="1" si="36"/>
        <v>0</v>
      </c>
      <c r="AW31" s="883">
        <f t="shared" ca="1" si="36"/>
        <v>0</v>
      </c>
      <c r="AX31" s="883">
        <f t="shared" ca="1" si="36"/>
        <v>0</v>
      </c>
      <c r="AY31" s="883">
        <f t="shared" ca="1" si="36"/>
        <v>0</v>
      </c>
      <c r="AZ31" s="883">
        <f t="shared" ca="1" si="36"/>
        <v>0</v>
      </c>
      <c r="BA31" s="883">
        <f t="shared" ca="1" si="36"/>
        <v>0</v>
      </c>
      <c r="BB31" s="883">
        <f t="shared" ca="1" si="36"/>
        <v>0</v>
      </c>
      <c r="BC31" s="883">
        <f t="shared" ca="1" si="36"/>
        <v>0</v>
      </c>
      <c r="BD31" s="883">
        <f t="shared" ca="1" si="36"/>
        <v>0</v>
      </c>
      <c r="BE31" s="883">
        <f t="shared" ca="1" si="36"/>
        <v>0</v>
      </c>
      <c r="BF31" s="883">
        <f t="shared" ca="1" si="36"/>
        <v>0</v>
      </c>
      <c r="BG31" s="883">
        <f t="shared" ca="1" si="36"/>
        <v>0</v>
      </c>
      <c r="BH31" s="883">
        <f t="shared" ca="1" si="36"/>
        <v>0</v>
      </c>
      <c r="BI31" s="883">
        <f t="shared" ca="1" si="36"/>
        <v>0</v>
      </c>
      <c r="BJ31" s="883">
        <f t="shared" ref="AU31:BJ42" ca="1" si="48">IFERROR(IF(YEAR($W31)&lt;BJ$4,0,IF(YEAR($W31)=BJ$4,IF($P31="美國國庫債券",ROUND(DATEDIF($U31,$W31,"M")/(12/$Y31),0)+1,DATEDIF($U31,$W31,"M")/(12/$Y31)+1),INT(DATEDIF($U31,BJ$5,"M")/(12/$Y31))+1)),0)</f>
        <v>0</v>
      </c>
      <c r="BK31" s="883">
        <f t="shared" ca="1" si="37"/>
        <v>0</v>
      </c>
      <c r="BL31" s="883">
        <f t="shared" ca="1" si="37"/>
        <v>0</v>
      </c>
      <c r="BM31" s="883">
        <f t="shared" ca="1" si="37"/>
        <v>0</v>
      </c>
      <c r="BN31" s="883">
        <f t="shared" ca="1" si="37"/>
        <v>0</v>
      </c>
      <c r="BO31" s="883">
        <f t="shared" ca="1" si="37"/>
        <v>0</v>
      </c>
      <c r="BP31" s="883">
        <f t="shared" ca="1" si="37"/>
        <v>0</v>
      </c>
      <c r="BQ31" s="883">
        <f t="shared" ca="1" si="37"/>
        <v>0</v>
      </c>
      <c r="BR31" s="883">
        <f t="shared" ca="1" si="37"/>
        <v>0</v>
      </c>
      <c r="BS31" s="883">
        <f t="shared" ca="1" si="37"/>
        <v>0</v>
      </c>
      <c r="BT31" s="883">
        <f t="shared" ca="1" si="37"/>
        <v>0</v>
      </c>
      <c r="BU31" s="883">
        <f t="shared" ca="1" si="37"/>
        <v>0</v>
      </c>
      <c r="BV31" s="883">
        <f t="shared" ca="1" si="37"/>
        <v>0</v>
      </c>
      <c r="BW31" s="883">
        <f t="shared" ca="1" si="37"/>
        <v>0</v>
      </c>
      <c r="BX31" s="883">
        <f t="shared" ca="1" si="37"/>
        <v>0</v>
      </c>
      <c r="BY31" s="883">
        <f t="shared" ca="1" si="37"/>
        <v>0</v>
      </c>
      <c r="BZ31" s="883">
        <f t="shared" ref="BK31:BZ42" ca="1" si="49">IFERROR(IF(YEAR($W31)&lt;BZ$4,0,IF(YEAR($W31)=BZ$4,IF($P31="美國國庫債券",ROUND(DATEDIF($U31,$W31,"M")/(12/$Y31),0)+1,DATEDIF($U31,$W31,"M")/(12/$Y31)+1),INT(DATEDIF($U31,BZ$5,"M")/(12/$Y31))+1)),0)</f>
        <v>0</v>
      </c>
      <c r="CA31" s="883">
        <f t="shared" ca="1" si="38"/>
        <v>0</v>
      </c>
      <c r="CB31" s="883">
        <f t="shared" ca="1" si="38"/>
        <v>0</v>
      </c>
      <c r="CC31" s="883">
        <f t="shared" ca="1" si="38"/>
        <v>0</v>
      </c>
      <c r="CD31" s="883">
        <f t="shared" ca="1" si="38"/>
        <v>0</v>
      </c>
      <c r="CE31" s="883">
        <f t="shared" ca="1" si="38"/>
        <v>0</v>
      </c>
      <c r="CF31" s="883">
        <f t="shared" ca="1" si="38"/>
        <v>0</v>
      </c>
      <c r="CG31" s="883">
        <f t="shared" ca="1" si="38"/>
        <v>0</v>
      </c>
      <c r="CH31" s="883">
        <f t="shared" ca="1" si="38"/>
        <v>0</v>
      </c>
      <c r="CI31" s="883">
        <f t="shared" ca="1" si="38"/>
        <v>0</v>
      </c>
      <c r="CJ31" s="883">
        <f t="shared" ca="1" si="38"/>
        <v>0</v>
      </c>
      <c r="CK31" s="883">
        <f t="shared" ca="1" si="38"/>
        <v>0</v>
      </c>
      <c r="CL31" s="883">
        <f t="shared" ca="1" si="38"/>
        <v>0</v>
      </c>
      <c r="CM31" s="883">
        <f t="shared" ca="1" si="38"/>
        <v>0</v>
      </c>
      <c r="CN31" s="883">
        <f t="shared" ca="1" si="38"/>
        <v>0</v>
      </c>
      <c r="CO31" s="883">
        <f t="shared" ca="1" si="38"/>
        <v>0</v>
      </c>
      <c r="CP31" s="883">
        <f t="shared" ref="CA31:CP42" ca="1" si="50">IFERROR(IF(YEAR($W31)&lt;CP$4,0,IF(YEAR($W31)=CP$4,IF($P31="美國國庫債券",ROUND(DATEDIF($U31,$W31,"M")/(12/$Y31),0)+1,DATEDIF($U31,$W31,"M")/(12/$Y31)+1),INT(DATEDIF($U31,CP$5,"M")/(12/$Y31))+1)),0)</f>
        <v>0</v>
      </c>
      <c r="CQ31" s="883">
        <f t="shared" ca="1" si="41"/>
        <v>0</v>
      </c>
      <c r="CR31" s="883">
        <f t="shared" ca="1" si="47"/>
        <v>0</v>
      </c>
      <c r="CS31" s="883">
        <f t="shared" ca="1" si="47"/>
        <v>0</v>
      </c>
      <c r="CT31" s="883">
        <f t="shared" ca="1" si="47"/>
        <v>0</v>
      </c>
      <c r="CU31" s="883">
        <f t="shared" ca="1" si="47"/>
        <v>0</v>
      </c>
      <c r="CV31" s="883">
        <f t="shared" ca="1" si="47"/>
        <v>0</v>
      </c>
      <c r="CW31" s="883">
        <f t="shared" ca="1" si="47"/>
        <v>0</v>
      </c>
      <c r="CX31" s="883">
        <f t="shared" ca="1" si="47"/>
        <v>0</v>
      </c>
      <c r="CY31" s="883">
        <f t="shared" ca="1" si="47"/>
        <v>0</v>
      </c>
      <c r="CZ31" s="883">
        <f t="shared" ca="1" si="47"/>
        <v>0</v>
      </c>
      <c r="DA31" s="883">
        <f t="shared" ca="1" si="47"/>
        <v>0</v>
      </c>
      <c r="DB31" s="883">
        <f t="shared" ca="1" si="47"/>
        <v>0</v>
      </c>
      <c r="DC31" s="883">
        <f t="shared" ca="1" si="47"/>
        <v>0</v>
      </c>
      <c r="DD31" s="883">
        <f t="shared" ca="1" si="47"/>
        <v>0</v>
      </c>
      <c r="DE31" s="883">
        <f t="shared" ca="1" si="47"/>
        <v>0</v>
      </c>
      <c r="DF31" s="883">
        <f t="shared" ca="1" si="47"/>
        <v>0</v>
      </c>
      <c r="DG31" s="883">
        <f t="shared" ca="1" si="47"/>
        <v>0</v>
      </c>
      <c r="DH31" s="883">
        <f t="shared" ca="1" si="45"/>
        <v>0</v>
      </c>
      <c r="DI31" s="883">
        <f t="shared" ca="1" si="45"/>
        <v>0</v>
      </c>
      <c r="DJ31" s="883">
        <f t="shared" ca="1" si="45"/>
        <v>0</v>
      </c>
      <c r="DK31" s="883">
        <f t="shared" ca="1" si="45"/>
        <v>0</v>
      </c>
      <c r="DL31" s="883">
        <f t="shared" ca="1" si="45"/>
        <v>0</v>
      </c>
      <c r="DM31" s="883">
        <f t="shared" ca="1" si="45"/>
        <v>0</v>
      </c>
      <c r="DN31" s="883">
        <f t="shared" ca="1" si="45"/>
        <v>0</v>
      </c>
      <c r="DO31" s="883">
        <f t="shared" ca="1" si="43"/>
        <v>0</v>
      </c>
      <c r="DP31" s="883">
        <f t="shared" ca="1" si="43"/>
        <v>0</v>
      </c>
      <c r="DQ31" s="883">
        <f t="shared" ca="1" si="43"/>
        <v>0</v>
      </c>
      <c r="DR31" s="883">
        <f t="shared" ca="1" si="43"/>
        <v>0</v>
      </c>
      <c r="DS31" s="883">
        <f t="shared" ca="1" si="43"/>
        <v>0</v>
      </c>
      <c r="DT31" s="883">
        <f t="shared" ca="1" si="43"/>
        <v>0</v>
      </c>
      <c r="DU31" s="883">
        <f t="shared" ca="1" si="43"/>
        <v>0</v>
      </c>
      <c r="DV31" s="883">
        <f t="shared" ca="1" si="43"/>
        <v>0</v>
      </c>
      <c r="DW31" s="883">
        <f t="shared" ca="1" si="43"/>
        <v>0</v>
      </c>
      <c r="DX31" s="883">
        <f t="shared" ca="1" si="43"/>
        <v>0</v>
      </c>
      <c r="DY31" s="883">
        <f t="shared" ca="1" si="43"/>
        <v>0</v>
      </c>
      <c r="DZ31" s="883">
        <f t="shared" ca="1" si="43"/>
        <v>0</v>
      </c>
      <c r="EA31" s="883">
        <f t="shared" ca="1" si="43"/>
        <v>0</v>
      </c>
      <c r="EB31" s="883">
        <f t="shared" ca="1" si="43"/>
        <v>0</v>
      </c>
      <c r="EC31" s="883">
        <f t="shared" ca="1" si="43"/>
        <v>0</v>
      </c>
      <c r="ED31" s="883">
        <f t="shared" ca="1" si="43"/>
        <v>0</v>
      </c>
      <c r="EE31" s="883">
        <f t="shared" ca="1" si="44"/>
        <v>0</v>
      </c>
      <c r="EF31" s="883">
        <f t="shared" ca="1" si="44"/>
        <v>0</v>
      </c>
      <c r="EG31" s="883">
        <f t="shared" ca="1" si="44"/>
        <v>0</v>
      </c>
      <c r="EH31" s="883">
        <f t="shared" ca="1" si="44"/>
        <v>0</v>
      </c>
      <c r="EI31" s="883">
        <f t="shared" ca="1" si="44"/>
        <v>0</v>
      </c>
      <c r="EJ31" s="883">
        <f t="shared" ca="1" si="44"/>
        <v>0</v>
      </c>
      <c r="EK31" s="883">
        <f t="shared" ca="1" si="44"/>
        <v>0</v>
      </c>
      <c r="EL31" s="883">
        <f t="shared" ca="1" si="44"/>
        <v>0</v>
      </c>
      <c r="EM31" s="883">
        <f t="shared" ca="1" si="44"/>
        <v>0</v>
      </c>
      <c r="EN31" s="883">
        <f t="shared" ca="1" si="44"/>
        <v>0</v>
      </c>
      <c r="EO31" s="883">
        <f t="shared" ca="1" si="44"/>
        <v>0</v>
      </c>
      <c r="EP31" s="883">
        <f t="shared" ca="1" si="44"/>
        <v>0</v>
      </c>
      <c r="EQ31" s="883">
        <f t="shared" ca="1" si="44"/>
        <v>0</v>
      </c>
      <c r="ER31" s="883">
        <f t="shared" ca="1" si="44"/>
        <v>0</v>
      </c>
      <c r="ES31" s="883">
        <f t="shared" ca="1" si="44"/>
        <v>0</v>
      </c>
      <c r="ET31" s="883">
        <f t="shared" ca="1" si="44"/>
        <v>0</v>
      </c>
      <c r="EU31" s="883">
        <f t="shared" ca="1" si="46"/>
        <v>0</v>
      </c>
      <c r="EV31" s="883">
        <f t="shared" ca="1" si="46"/>
        <v>0</v>
      </c>
      <c r="EW31" s="883">
        <f t="shared" ca="1" si="46"/>
        <v>0</v>
      </c>
      <c r="EX31" s="883">
        <f t="shared" ca="1" si="46"/>
        <v>0</v>
      </c>
      <c r="EY31" s="883">
        <f t="shared" ca="1" si="46"/>
        <v>0</v>
      </c>
      <c r="EZ31" s="883">
        <f t="shared" ca="1" si="46"/>
        <v>0</v>
      </c>
      <c r="FA31" s="883">
        <f t="shared" ca="1" si="46"/>
        <v>0</v>
      </c>
    </row>
    <row r="32" spans="1:157">
      <c r="H32" s="891">
        <f t="shared" ca="1" si="34"/>
        <v>2044</v>
      </c>
      <c r="I32" s="1206">
        <f t="shared" ca="1" si="32"/>
        <v>16425</v>
      </c>
      <c r="J32" s="1206">
        <f t="shared" ca="1" si="23"/>
        <v>0</v>
      </c>
      <c r="K32" s="929" t="str">
        <f t="shared" si="33"/>
        <v/>
      </c>
      <c r="L32" s="929" t="str">
        <f t="shared" si="24"/>
        <v/>
      </c>
      <c r="N32" s="1714">
        <v>26</v>
      </c>
      <c r="O32" s="1789" t="b">
        <f ca="1">庫存管理[[#This Row],[檢測]]</f>
        <v>0</v>
      </c>
      <c r="P32" s="882" t="e">
        <f ca="1">VLOOKUP(Q32,bond!B:AA,26,FALSE)</f>
        <v>#N/A</v>
      </c>
      <c r="Q32" s="883" t="str">
        <f ca="1">庫存管理[[#This Row],[商品代號]]</f>
        <v/>
      </c>
      <c r="R32" s="889">
        <f ca="1">IF(O32=TRUE,IFERROR(IF($D$4=1,庫存管理[[#This Row],[投入面額]]*庫存管理[[#This Row],[換算匯率(現)]],庫存管理[[#This Row],[投入面額]]),0),0)</f>
        <v>0</v>
      </c>
      <c r="S32" s="885" t="e">
        <f ca="1">庫存管理[[#This Row],[到期日]]</f>
        <v>#N/A</v>
      </c>
      <c r="T32" s="883">
        <f t="shared" ca="1" si="9"/>
        <v>0</v>
      </c>
      <c r="U32" s="885" t="str">
        <f ca="1">庫存管理[[#This Row],[下一配息日]]</f>
        <v/>
      </c>
      <c r="V32" s="886" t="str">
        <f t="shared" ca="1" si="39"/>
        <v/>
      </c>
      <c r="W32" s="885" t="e">
        <f ca="1">庫存管理[[#This Row],[到期日]]</f>
        <v>#N/A</v>
      </c>
      <c r="X32" s="886" t="str">
        <f t="shared" ca="1" si="40"/>
        <v/>
      </c>
      <c r="Y32" s="883" t="str">
        <f ca="1">庫存管理[[#This Row],[配息頻率]]</f>
        <v/>
      </c>
      <c r="Z32" s="883" t="str">
        <f>庫存管理[[#This Row],[投入面額]]</f>
        <v/>
      </c>
      <c r="AA32" s="909">
        <f ca="1">庫存管理[[#This Row],[票面利率]]</f>
        <v>0</v>
      </c>
      <c r="AB32" s="908">
        <f ca="1">庫存管理[[#This Row],[換算匯率(現)]]</f>
        <v>0</v>
      </c>
      <c r="AC32" s="887">
        <f t="shared" ca="1" si="12"/>
        <v>0</v>
      </c>
      <c r="AD32" s="883">
        <f t="shared" ca="1" si="13"/>
        <v>0</v>
      </c>
      <c r="AE32" s="883">
        <f t="shared" ca="1" si="13"/>
        <v>0</v>
      </c>
      <c r="AF32" s="883">
        <f t="shared" ca="1" si="13"/>
        <v>0</v>
      </c>
      <c r="AG32" s="883">
        <f t="shared" ca="1" si="13"/>
        <v>0</v>
      </c>
      <c r="AH32" s="883">
        <f t="shared" ca="1" si="13"/>
        <v>0</v>
      </c>
      <c r="AI32" s="883">
        <f t="shared" ca="1" si="13"/>
        <v>0</v>
      </c>
      <c r="AJ32" s="883">
        <f t="shared" ca="1" si="13"/>
        <v>0</v>
      </c>
      <c r="AK32" s="883">
        <f t="shared" ca="1" si="13"/>
        <v>0</v>
      </c>
      <c r="AL32" s="883">
        <f t="shared" ca="1" si="13"/>
        <v>0</v>
      </c>
      <c r="AM32" s="883">
        <f t="shared" ca="1" si="13"/>
        <v>0</v>
      </c>
      <c r="AN32" s="883">
        <f t="shared" ca="1" si="13"/>
        <v>0</v>
      </c>
      <c r="AO32" s="883">
        <f t="shared" ca="1" si="13"/>
        <v>0</v>
      </c>
      <c r="AP32" s="883">
        <f t="shared" ca="1" si="13"/>
        <v>0</v>
      </c>
      <c r="AQ32" s="883">
        <f t="shared" ca="1" si="13"/>
        <v>0</v>
      </c>
      <c r="AR32" s="883">
        <f t="shared" ca="1" si="13"/>
        <v>0</v>
      </c>
      <c r="AS32" s="883">
        <f t="shared" ca="1" si="13"/>
        <v>0</v>
      </c>
      <c r="AT32" s="883">
        <f t="shared" ref="AE32:AT42" ca="1" si="51">IFERROR(IF(YEAR($W32)&lt;AT$4,0,IF(YEAR($W32)=AT$4,IF($P32="美國國庫債券",ROUND(DATEDIF($U32,$W32,"M")/(12/$Y32),0)+1,DATEDIF($U32,$W32,"M")/(12/$Y32)+1),INT(DATEDIF($U32,AT$5,"M")/(12/$Y32))+1)),0)</f>
        <v>0</v>
      </c>
      <c r="AU32" s="883">
        <f t="shared" ca="1" si="48"/>
        <v>0</v>
      </c>
      <c r="AV32" s="883">
        <f t="shared" ca="1" si="48"/>
        <v>0</v>
      </c>
      <c r="AW32" s="883">
        <f t="shared" ca="1" si="48"/>
        <v>0</v>
      </c>
      <c r="AX32" s="883">
        <f t="shared" ca="1" si="48"/>
        <v>0</v>
      </c>
      <c r="AY32" s="883">
        <f t="shared" ca="1" si="48"/>
        <v>0</v>
      </c>
      <c r="AZ32" s="883">
        <f t="shared" ca="1" si="48"/>
        <v>0</v>
      </c>
      <c r="BA32" s="883">
        <f t="shared" ca="1" si="48"/>
        <v>0</v>
      </c>
      <c r="BB32" s="883">
        <f t="shared" ca="1" si="48"/>
        <v>0</v>
      </c>
      <c r="BC32" s="883">
        <f t="shared" ca="1" si="48"/>
        <v>0</v>
      </c>
      <c r="BD32" s="883">
        <f t="shared" ca="1" si="48"/>
        <v>0</v>
      </c>
      <c r="BE32" s="883">
        <f t="shared" ca="1" si="48"/>
        <v>0</v>
      </c>
      <c r="BF32" s="883">
        <f t="shared" ca="1" si="48"/>
        <v>0</v>
      </c>
      <c r="BG32" s="883">
        <f t="shared" ca="1" si="48"/>
        <v>0</v>
      </c>
      <c r="BH32" s="883">
        <f t="shared" ca="1" si="48"/>
        <v>0</v>
      </c>
      <c r="BI32" s="883">
        <f t="shared" ca="1" si="48"/>
        <v>0</v>
      </c>
      <c r="BJ32" s="883">
        <f t="shared" ca="1" si="48"/>
        <v>0</v>
      </c>
      <c r="BK32" s="883">
        <f t="shared" ca="1" si="49"/>
        <v>0</v>
      </c>
      <c r="BL32" s="883">
        <f t="shared" ca="1" si="49"/>
        <v>0</v>
      </c>
      <c r="BM32" s="883">
        <f t="shared" ca="1" si="49"/>
        <v>0</v>
      </c>
      <c r="BN32" s="883">
        <f t="shared" ca="1" si="49"/>
        <v>0</v>
      </c>
      <c r="BO32" s="883">
        <f t="shared" ca="1" si="49"/>
        <v>0</v>
      </c>
      <c r="BP32" s="883">
        <f t="shared" ca="1" si="49"/>
        <v>0</v>
      </c>
      <c r="BQ32" s="883">
        <f t="shared" ca="1" si="49"/>
        <v>0</v>
      </c>
      <c r="BR32" s="883">
        <f t="shared" ca="1" si="49"/>
        <v>0</v>
      </c>
      <c r="BS32" s="883">
        <f t="shared" ca="1" si="49"/>
        <v>0</v>
      </c>
      <c r="BT32" s="883">
        <f t="shared" ca="1" si="49"/>
        <v>0</v>
      </c>
      <c r="BU32" s="883">
        <f t="shared" ca="1" si="49"/>
        <v>0</v>
      </c>
      <c r="BV32" s="883">
        <f t="shared" ca="1" si="49"/>
        <v>0</v>
      </c>
      <c r="BW32" s="883">
        <f t="shared" ca="1" si="49"/>
        <v>0</v>
      </c>
      <c r="BX32" s="883">
        <f t="shared" ca="1" si="49"/>
        <v>0</v>
      </c>
      <c r="BY32" s="883">
        <f t="shared" ca="1" si="49"/>
        <v>0</v>
      </c>
      <c r="BZ32" s="883">
        <f t="shared" ca="1" si="49"/>
        <v>0</v>
      </c>
      <c r="CA32" s="883">
        <f t="shared" ca="1" si="50"/>
        <v>0</v>
      </c>
      <c r="CB32" s="883">
        <f t="shared" ca="1" si="50"/>
        <v>0</v>
      </c>
      <c r="CC32" s="883">
        <f t="shared" ca="1" si="50"/>
        <v>0</v>
      </c>
      <c r="CD32" s="883">
        <f t="shared" ca="1" si="50"/>
        <v>0</v>
      </c>
      <c r="CE32" s="883">
        <f t="shared" ca="1" si="50"/>
        <v>0</v>
      </c>
      <c r="CF32" s="883">
        <f t="shared" ca="1" si="50"/>
        <v>0</v>
      </c>
      <c r="CG32" s="883">
        <f t="shared" ca="1" si="50"/>
        <v>0</v>
      </c>
      <c r="CH32" s="883">
        <f t="shared" ca="1" si="50"/>
        <v>0</v>
      </c>
      <c r="CI32" s="883">
        <f t="shared" ca="1" si="50"/>
        <v>0</v>
      </c>
      <c r="CJ32" s="883">
        <f t="shared" ca="1" si="50"/>
        <v>0</v>
      </c>
      <c r="CK32" s="883">
        <f t="shared" ca="1" si="50"/>
        <v>0</v>
      </c>
      <c r="CL32" s="883">
        <f t="shared" ca="1" si="50"/>
        <v>0</v>
      </c>
      <c r="CM32" s="883">
        <f t="shared" ca="1" si="50"/>
        <v>0</v>
      </c>
      <c r="CN32" s="883">
        <f t="shared" ca="1" si="50"/>
        <v>0</v>
      </c>
      <c r="CO32" s="883">
        <f t="shared" ca="1" si="50"/>
        <v>0</v>
      </c>
      <c r="CP32" s="883">
        <f t="shared" ca="1" si="50"/>
        <v>0</v>
      </c>
      <c r="CQ32" s="883">
        <f t="shared" ca="1" si="41"/>
        <v>0</v>
      </c>
      <c r="CR32" s="883">
        <f t="shared" ca="1" si="47"/>
        <v>0</v>
      </c>
      <c r="CS32" s="883">
        <f t="shared" ca="1" si="47"/>
        <v>0</v>
      </c>
      <c r="CT32" s="883">
        <f t="shared" ca="1" si="47"/>
        <v>0</v>
      </c>
      <c r="CU32" s="883">
        <f t="shared" ca="1" si="47"/>
        <v>0</v>
      </c>
      <c r="CV32" s="883">
        <f t="shared" ca="1" si="47"/>
        <v>0</v>
      </c>
      <c r="CW32" s="883">
        <f t="shared" ca="1" si="47"/>
        <v>0</v>
      </c>
      <c r="CX32" s="883">
        <f t="shared" ca="1" si="47"/>
        <v>0</v>
      </c>
      <c r="CY32" s="883">
        <f t="shared" ca="1" si="47"/>
        <v>0</v>
      </c>
      <c r="CZ32" s="883">
        <f t="shared" ca="1" si="47"/>
        <v>0</v>
      </c>
      <c r="DA32" s="883">
        <f t="shared" ca="1" si="47"/>
        <v>0</v>
      </c>
      <c r="DB32" s="883">
        <f t="shared" ca="1" si="47"/>
        <v>0</v>
      </c>
      <c r="DC32" s="883">
        <f t="shared" ca="1" si="47"/>
        <v>0</v>
      </c>
      <c r="DD32" s="883">
        <f t="shared" ca="1" si="47"/>
        <v>0</v>
      </c>
      <c r="DE32" s="883">
        <f t="shared" ca="1" si="47"/>
        <v>0</v>
      </c>
      <c r="DF32" s="883">
        <f t="shared" ca="1" si="47"/>
        <v>0</v>
      </c>
      <c r="DG32" s="883">
        <f t="shared" ca="1" si="47"/>
        <v>0</v>
      </c>
      <c r="DH32" s="883">
        <f t="shared" ca="1" si="45"/>
        <v>0</v>
      </c>
      <c r="DI32" s="883">
        <f t="shared" ca="1" si="45"/>
        <v>0</v>
      </c>
      <c r="DJ32" s="883">
        <f t="shared" ca="1" si="45"/>
        <v>0</v>
      </c>
      <c r="DK32" s="883">
        <f t="shared" ca="1" si="45"/>
        <v>0</v>
      </c>
      <c r="DL32" s="883">
        <f t="shared" ca="1" si="45"/>
        <v>0</v>
      </c>
      <c r="DM32" s="883">
        <f t="shared" ca="1" si="45"/>
        <v>0</v>
      </c>
      <c r="DN32" s="883">
        <f t="shared" ca="1" si="45"/>
        <v>0</v>
      </c>
      <c r="DO32" s="883">
        <f t="shared" ca="1" si="43"/>
        <v>0</v>
      </c>
      <c r="DP32" s="883">
        <f t="shared" ca="1" si="43"/>
        <v>0</v>
      </c>
      <c r="DQ32" s="883">
        <f t="shared" ca="1" si="43"/>
        <v>0</v>
      </c>
      <c r="DR32" s="883">
        <f t="shared" ca="1" si="43"/>
        <v>0</v>
      </c>
      <c r="DS32" s="883">
        <f t="shared" ca="1" si="43"/>
        <v>0</v>
      </c>
      <c r="DT32" s="883">
        <f t="shared" ca="1" si="43"/>
        <v>0</v>
      </c>
      <c r="DU32" s="883">
        <f t="shared" ca="1" si="43"/>
        <v>0</v>
      </c>
      <c r="DV32" s="883">
        <f t="shared" ca="1" si="43"/>
        <v>0</v>
      </c>
      <c r="DW32" s="883">
        <f t="shared" ca="1" si="43"/>
        <v>0</v>
      </c>
      <c r="DX32" s="883">
        <f t="shared" ca="1" si="43"/>
        <v>0</v>
      </c>
      <c r="DY32" s="883">
        <f t="shared" ca="1" si="43"/>
        <v>0</v>
      </c>
      <c r="DZ32" s="883">
        <f t="shared" ca="1" si="43"/>
        <v>0</v>
      </c>
      <c r="EA32" s="883">
        <f t="shared" ca="1" si="43"/>
        <v>0</v>
      </c>
      <c r="EB32" s="883">
        <f t="shared" ca="1" si="43"/>
        <v>0</v>
      </c>
      <c r="EC32" s="883">
        <f t="shared" ca="1" si="43"/>
        <v>0</v>
      </c>
      <c r="ED32" s="883">
        <f t="shared" ca="1" si="43"/>
        <v>0</v>
      </c>
      <c r="EE32" s="883">
        <f t="shared" ca="1" si="44"/>
        <v>0</v>
      </c>
      <c r="EF32" s="883">
        <f t="shared" ca="1" si="44"/>
        <v>0</v>
      </c>
      <c r="EG32" s="883">
        <f t="shared" ca="1" si="44"/>
        <v>0</v>
      </c>
      <c r="EH32" s="883">
        <f t="shared" ca="1" si="44"/>
        <v>0</v>
      </c>
      <c r="EI32" s="883">
        <f t="shared" ca="1" si="44"/>
        <v>0</v>
      </c>
      <c r="EJ32" s="883">
        <f t="shared" ca="1" si="44"/>
        <v>0</v>
      </c>
      <c r="EK32" s="883">
        <f t="shared" ca="1" si="44"/>
        <v>0</v>
      </c>
      <c r="EL32" s="883">
        <f t="shared" ca="1" si="44"/>
        <v>0</v>
      </c>
      <c r="EM32" s="883">
        <f t="shared" ca="1" si="44"/>
        <v>0</v>
      </c>
      <c r="EN32" s="883">
        <f t="shared" ca="1" si="44"/>
        <v>0</v>
      </c>
      <c r="EO32" s="883">
        <f t="shared" ca="1" si="44"/>
        <v>0</v>
      </c>
      <c r="EP32" s="883">
        <f t="shared" ca="1" si="44"/>
        <v>0</v>
      </c>
      <c r="EQ32" s="883">
        <f t="shared" ca="1" si="44"/>
        <v>0</v>
      </c>
      <c r="ER32" s="883">
        <f t="shared" ca="1" si="44"/>
        <v>0</v>
      </c>
      <c r="ES32" s="883">
        <f t="shared" ca="1" si="44"/>
        <v>0</v>
      </c>
      <c r="ET32" s="883">
        <f t="shared" ca="1" si="44"/>
        <v>0</v>
      </c>
      <c r="EU32" s="883">
        <f t="shared" ca="1" si="46"/>
        <v>0</v>
      </c>
      <c r="EV32" s="883">
        <f t="shared" ca="1" si="46"/>
        <v>0</v>
      </c>
      <c r="EW32" s="883">
        <f t="shared" ca="1" si="46"/>
        <v>0</v>
      </c>
      <c r="EX32" s="883">
        <f t="shared" ca="1" si="46"/>
        <v>0</v>
      </c>
      <c r="EY32" s="883">
        <f t="shared" ca="1" si="46"/>
        <v>0</v>
      </c>
      <c r="EZ32" s="883">
        <f t="shared" ca="1" si="46"/>
        <v>0</v>
      </c>
      <c r="FA32" s="883">
        <f t="shared" ca="1" si="46"/>
        <v>0</v>
      </c>
    </row>
    <row r="33" spans="8:157">
      <c r="H33" s="891">
        <f t="shared" ca="1" si="34"/>
        <v>2045</v>
      </c>
      <c r="I33" s="1206">
        <f t="shared" ca="1" si="32"/>
        <v>16425</v>
      </c>
      <c r="J33" s="1206">
        <f t="shared" ca="1" si="23"/>
        <v>0</v>
      </c>
      <c r="K33" s="929" t="str">
        <f t="shared" si="33"/>
        <v/>
      </c>
      <c r="L33" s="929" t="str">
        <f t="shared" si="24"/>
        <v/>
      </c>
      <c r="N33" s="1714">
        <v>27</v>
      </c>
      <c r="O33" s="1789" t="b">
        <f ca="1">庫存管理[[#This Row],[檢測]]</f>
        <v>0</v>
      </c>
      <c r="P33" s="882" t="e">
        <f ca="1">VLOOKUP(Q33,bond!B:AA,26,FALSE)</f>
        <v>#N/A</v>
      </c>
      <c r="Q33" s="883" t="str">
        <f ca="1">庫存管理[[#This Row],[商品代號]]</f>
        <v/>
      </c>
      <c r="R33" s="889">
        <f ca="1">IF(O33=TRUE,IFERROR(IF($D$4=1,庫存管理[[#This Row],[投入面額]]*庫存管理[[#This Row],[換算匯率(現)]],庫存管理[[#This Row],[投入面額]]),0),0)</f>
        <v>0</v>
      </c>
      <c r="S33" s="885" t="e">
        <f ca="1">庫存管理[[#This Row],[到期日]]</f>
        <v>#N/A</v>
      </c>
      <c r="T33" s="883">
        <f t="shared" ca="1" si="9"/>
        <v>0</v>
      </c>
      <c r="U33" s="885" t="str">
        <f ca="1">庫存管理[[#This Row],[下一配息日]]</f>
        <v/>
      </c>
      <c r="V33" s="886" t="str">
        <f t="shared" ca="1" si="39"/>
        <v/>
      </c>
      <c r="W33" s="885" t="e">
        <f ca="1">庫存管理[[#This Row],[到期日]]</f>
        <v>#N/A</v>
      </c>
      <c r="X33" s="886" t="str">
        <f t="shared" ca="1" si="40"/>
        <v/>
      </c>
      <c r="Y33" s="883" t="str">
        <f ca="1">庫存管理[[#This Row],[配息頻率]]</f>
        <v/>
      </c>
      <c r="Z33" s="883" t="str">
        <f>庫存管理[[#This Row],[投入面額]]</f>
        <v/>
      </c>
      <c r="AA33" s="909">
        <f ca="1">庫存管理[[#This Row],[票面利率]]</f>
        <v>0</v>
      </c>
      <c r="AB33" s="908">
        <f ca="1">庫存管理[[#This Row],[換算匯率(現)]]</f>
        <v>0</v>
      </c>
      <c r="AC33" s="887">
        <f t="shared" ca="1" si="12"/>
        <v>0</v>
      </c>
      <c r="AD33" s="883">
        <f t="shared" ref="AD33:AD42" ca="1" si="52">IFERROR(IF(YEAR($W33)&lt;AD$4,0,IF(YEAR($W33)=AD$4,IF($P33="美國國庫債券",ROUND(DATEDIF($U33,$W33,"M")/(12/$Y33),0)+1,DATEDIF($U33,$W33,"M")/(12/$Y33)+1),INT(DATEDIF($U33,AD$5,"M")/(12/$Y33))+1)),0)</f>
        <v>0</v>
      </c>
      <c r="AE33" s="883">
        <f t="shared" ca="1" si="51"/>
        <v>0</v>
      </c>
      <c r="AF33" s="883">
        <f t="shared" ca="1" si="51"/>
        <v>0</v>
      </c>
      <c r="AG33" s="883">
        <f t="shared" ca="1" si="51"/>
        <v>0</v>
      </c>
      <c r="AH33" s="883">
        <f t="shared" ca="1" si="51"/>
        <v>0</v>
      </c>
      <c r="AI33" s="883">
        <f t="shared" ca="1" si="51"/>
        <v>0</v>
      </c>
      <c r="AJ33" s="883">
        <f t="shared" ca="1" si="51"/>
        <v>0</v>
      </c>
      <c r="AK33" s="883">
        <f t="shared" ca="1" si="51"/>
        <v>0</v>
      </c>
      <c r="AL33" s="883">
        <f t="shared" ca="1" si="51"/>
        <v>0</v>
      </c>
      <c r="AM33" s="883">
        <f t="shared" ca="1" si="51"/>
        <v>0</v>
      </c>
      <c r="AN33" s="883">
        <f t="shared" ca="1" si="51"/>
        <v>0</v>
      </c>
      <c r="AO33" s="883">
        <f t="shared" ca="1" si="51"/>
        <v>0</v>
      </c>
      <c r="AP33" s="883">
        <f t="shared" ca="1" si="51"/>
        <v>0</v>
      </c>
      <c r="AQ33" s="883">
        <f t="shared" ca="1" si="51"/>
        <v>0</v>
      </c>
      <c r="AR33" s="883">
        <f t="shared" ca="1" si="51"/>
        <v>0</v>
      </c>
      <c r="AS33" s="883">
        <f t="shared" ca="1" si="51"/>
        <v>0</v>
      </c>
      <c r="AT33" s="883">
        <f t="shared" ca="1" si="51"/>
        <v>0</v>
      </c>
      <c r="AU33" s="883">
        <f t="shared" ca="1" si="48"/>
        <v>0</v>
      </c>
      <c r="AV33" s="883">
        <f t="shared" ca="1" si="48"/>
        <v>0</v>
      </c>
      <c r="AW33" s="883">
        <f t="shared" ca="1" si="48"/>
        <v>0</v>
      </c>
      <c r="AX33" s="883">
        <f t="shared" ca="1" si="48"/>
        <v>0</v>
      </c>
      <c r="AY33" s="883">
        <f t="shared" ca="1" si="48"/>
        <v>0</v>
      </c>
      <c r="AZ33" s="883">
        <f t="shared" ca="1" si="48"/>
        <v>0</v>
      </c>
      <c r="BA33" s="883">
        <f t="shared" ca="1" si="48"/>
        <v>0</v>
      </c>
      <c r="BB33" s="883">
        <f t="shared" ca="1" si="48"/>
        <v>0</v>
      </c>
      <c r="BC33" s="883">
        <f t="shared" ca="1" si="48"/>
        <v>0</v>
      </c>
      <c r="BD33" s="883">
        <f t="shared" ca="1" si="48"/>
        <v>0</v>
      </c>
      <c r="BE33" s="883">
        <f t="shared" ca="1" si="48"/>
        <v>0</v>
      </c>
      <c r="BF33" s="883">
        <f t="shared" ca="1" si="48"/>
        <v>0</v>
      </c>
      <c r="BG33" s="883">
        <f t="shared" ca="1" si="48"/>
        <v>0</v>
      </c>
      <c r="BH33" s="883">
        <f t="shared" ca="1" si="48"/>
        <v>0</v>
      </c>
      <c r="BI33" s="883">
        <f t="shared" ca="1" si="48"/>
        <v>0</v>
      </c>
      <c r="BJ33" s="883">
        <f t="shared" ca="1" si="48"/>
        <v>0</v>
      </c>
      <c r="BK33" s="883">
        <f t="shared" ca="1" si="49"/>
        <v>0</v>
      </c>
      <c r="BL33" s="883">
        <f t="shared" ca="1" si="49"/>
        <v>0</v>
      </c>
      <c r="BM33" s="883">
        <f t="shared" ca="1" si="49"/>
        <v>0</v>
      </c>
      <c r="BN33" s="883">
        <f t="shared" ca="1" si="49"/>
        <v>0</v>
      </c>
      <c r="BO33" s="883">
        <f t="shared" ca="1" si="49"/>
        <v>0</v>
      </c>
      <c r="BP33" s="883">
        <f t="shared" ca="1" si="49"/>
        <v>0</v>
      </c>
      <c r="BQ33" s="883">
        <f t="shared" ca="1" si="49"/>
        <v>0</v>
      </c>
      <c r="BR33" s="883">
        <f t="shared" ca="1" si="49"/>
        <v>0</v>
      </c>
      <c r="BS33" s="883">
        <f t="shared" ca="1" si="49"/>
        <v>0</v>
      </c>
      <c r="BT33" s="883">
        <f t="shared" ca="1" si="49"/>
        <v>0</v>
      </c>
      <c r="BU33" s="883">
        <f t="shared" ca="1" si="49"/>
        <v>0</v>
      </c>
      <c r="BV33" s="883">
        <f t="shared" ca="1" si="49"/>
        <v>0</v>
      </c>
      <c r="BW33" s="883">
        <f t="shared" ca="1" si="49"/>
        <v>0</v>
      </c>
      <c r="BX33" s="883">
        <f t="shared" ca="1" si="49"/>
        <v>0</v>
      </c>
      <c r="BY33" s="883">
        <f t="shared" ca="1" si="49"/>
        <v>0</v>
      </c>
      <c r="BZ33" s="883">
        <f t="shared" ca="1" si="49"/>
        <v>0</v>
      </c>
      <c r="CA33" s="883">
        <f t="shared" ca="1" si="50"/>
        <v>0</v>
      </c>
      <c r="CB33" s="883">
        <f t="shared" ca="1" si="50"/>
        <v>0</v>
      </c>
      <c r="CC33" s="883">
        <f t="shared" ca="1" si="50"/>
        <v>0</v>
      </c>
      <c r="CD33" s="883">
        <f t="shared" ca="1" si="50"/>
        <v>0</v>
      </c>
      <c r="CE33" s="883">
        <f t="shared" ca="1" si="50"/>
        <v>0</v>
      </c>
      <c r="CF33" s="883">
        <f t="shared" ca="1" si="50"/>
        <v>0</v>
      </c>
      <c r="CG33" s="883">
        <f t="shared" ca="1" si="50"/>
        <v>0</v>
      </c>
      <c r="CH33" s="883">
        <f t="shared" ca="1" si="50"/>
        <v>0</v>
      </c>
      <c r="CI33" s="883">
        <f t="shared" ca="1" si="50"/>
        <v>0</v>
      </c>
      <c r="CJ33" s="883">
        <f t="shared" ca="1" si="50"/>
        <v>0</v>
      </c>
      <c r="CK33" s="883">
        <f t="shared" ca="1" si="50"/>
        <v>0</v>
      </c>
      <c r="CL33" s="883">
        <f t="shared" ca="1" si="50"/>
        <v>0</v>
      </c>
      <c r="CM33" s="883">
        <f t="shared" ca="1" si="50"/>
        <v>0</v>
      </c>
      <c r="CN33" s="883">
        <f t="shared" ca="1" si="50"/>
        <v>0</v>
      </c>
      <c r="CO33" s="883">
        <f t="shared" ca="1" si="50"/>
        <v>0</v>
      </c>
      <c r="CP33" s="883">
        <f t="shared" ca="1" si="50"/>
        <v>0</v>
      </c>
      <c r="CQ33" s="883">
        <f t="shared" ca="1" si="41"/>
        <v>0</v>
      </c>
      <c r="CR33" s="883">
        <f t="shared" ca="1" si="47"/>
        <v>0</v>
      </c>
      <c r="CS33" s="883">
        <f t="shared" ca="1" si="47"/>
        <v>0</v>
      </c>
      <c r="CT33" s="883">
        <f t="shared" ca="1" si="47"/>
        <v>0</v>
      </c>
      <c r="CU33" s="883">
        <f t="shared" ca="1" si="47"/>
        <v>0</v>
      </c>
      <c r="CV33" s="883">
        <f t="shared" ca="1" si="47"/>
        <v>0</v>
      </c>
      <c r="CW33" s="883">
        <f t="shared" ca="1" si="47"/>
        <v>0</v>
      </c>
      <c r="CX33" s="883">
        <f t="shared" ca="1" si="47"/>
        <v>0</v>
      </c>
      <c r="CY33" s="883">
        <f t="shared" ca="1" si="47"/>
        <v>0</v>
      </c>
      <c r="CZ33" s="883">
        <f t="shared" ca="1" si="47"/>
        <v>0</v>
      </c>
      <c r="DA33" s="883">
        <f t="shared" ca="1" si="47"/>
        <v>0</v>
      </c>
      <c r="DB33" s="883">
        <f t="shared" ca="1" si="47"/>
        <v>0</v>
      </c>
      <c r="DC33" s="883">
        <f t="shared" ca="1" si="47"/>
        <v>0</v>
      </c>
      <c r="DD33" s="883">
        <f t="shared" ca="1" si="47"/>
        <v>0</v>
      </c>
      <c r="DE33" s="883">
        <f t="shared" ca="1" si="47"/>
        <v>0</v>
      </c>
      <c r="DF33" s="883">
        <f t="shared" ca="1" si="47"/>
        <v>0</v>
      </c>
      <c r="DG33" s="883">
        <f t="shared" ca="1" si="47"/>
        <v>0</v>
      </c>
      <c r="DH33" s="883">
        <f t="shared" ca="1" si="45"/>
        <v>0</v>
      </c>
      <c r="DI33" s="883">
        <f t="shared" ca="1" si="45"/>
        <v>0</v>
      </c>
      <c r="DJ33" s="883">
        <f t="shared" ca="1" si="45"/>
        <v>0</v>
      </c>
      <c r="DK33" s="883">
        <f t="shared" ca="1" si="45"/>
        <v>0</v>
      </c>
      <c r="DL33" s="883">
        <f t="shared" ca="1" si="45"/>
        <v>0</v>
      </c>
      <c r="DM33" s="883">
        <f t="shared" ca="1" si="45"/>
        <v>0</v>
      </c>
      <c r="DN33" s="883">
        <f t="shared" ca="1" si="45"/>
        <v>0</v>
      </c>
      <c r="DO33" s="883">
        <f t="shared" ca="1" si="43"/>
        <v>0</v>
      </c>
      <c r="DP33" s="883">
        <f t="shared" ca="1" si="43"/>
        <v>0</v>
      </c>
      <c r="DQ33" s="883">
        <f t="shared" ca="1" si="43"/>
        <v>0</v>
      </c>
      <c r="DR33" s="883">
        <f t="shared" ca="1" si="43"/>
        <v>0</v>
      </c>
      <c r="DS33" s="883">
        <f t="shared" ca="1" si="43"/>
        <v>0</v>
      </c>
      <c r="DT33" s="883">
        <f t="shared" ca="1" si="43"/>
        <v>0</v>
      </c>
      <c r="DU33" s="883">
        <f t="shared" ca="1" si="43"/>
        <v>0</v>
      </c>
      <c r="DV33" s="883">
        <f t="shared" ca="1" si="43"/>
        <v>0</v>
      </c>
      <c r="DW33" s="883">
        <f t="shared" ca="1" si="43"/>
        <v>0</v>
      </c>
      <c r="DX33" s="883">
        <f t="shared" ca="1" si="43"/>
        <v>0</v>
      </c>
      <c r="DY33" s="883">
        <f t="shared" ca="1" si="43"/>
        <v>0</v>
      </c>
      <c r="DZ33" s="883">
        <f t="shared" ca="1" si="43"/>
        <v>0</v>
      </c>
      <c r="EA33" s="883">
        <f t="shared" ca="1" si="43"/>
        <v>0</v>
      </c>
      <c r="EB33" s="883">
        <f t="shared" ca="1" si="43"/>
        <v>0</v>
      </c>
      <c r="EC33" s="883">
        <f t="shared" ca="1" si="43"/>
        <v>0</v>
      </c>
      <c r="ED33" s="883">
        <f t="shared" ca="1" si="43"/>
        <v>0</v>
      </c>
      <c r="EE33" s="883">
        <f t="shared" ca="1" si="44"/>
        <v>0</v>
      </c>
      <c r="EF33" s="883">
        <f t="shared" ca="1" si="44"/>
        <v>0</v>
      </c>
      <c r="EG33" s="883">
        <f t="shared" ca="1" si="44"/>
        <v>0</v>
      </c>
      <c r="EH33" s="883">
        <f t="shared" ca="1" si="44"/>
        <v>0</v>
      </c>
      <c r="EI33" s="883">
        <f t="shared" ca="1" si="44"/>
        <v>0</v>
      </c>
      <c r="EJ33" s="883">
        <f t="shared" ca="1" si="44"/>
        <v>0</v>
      </c>
      <c r="EK33" s="883">
        <f t="shared" ca="1" si="44"/>
        <v>0</v>
      </c>
      <c r="EL33" s="883">
        <f t="shared" ca="1" si="44"/>
        <v>0</v>
      </c>
      <c r="EM33" s="883">
        <f t="shared" ca="1" si="44"/>
        <v>0</v>
      </c>
      <c r="EN33" s="883">
        <f t="shared" ca="1" si="44"/>
        <v>0</v>
      </c>
      <c r="EO33" s="883">
        <f t="shared" ca="1" si="44"/>
        <v>0</v>
      </c>
      <c r="EP33" s="883">
        <f t="shared" ca="1" si="44"/>
        <v>0</v>
      </c>
      <c r="EQ33" s="883">
        <f t="shared" ca="1" si="44"/>
        <v>0</v>
      </c>
      <c r="ER33" s="883">
        <f t="shared" ca="1" si="44"/>
        <v>0</v>
      </c>
      <c r="ES33" s="883">
        <f t="shared" ca="1" si="44"/>
        <v>0</v>
      </c>
      <c r="ET33" s="883">
        <f t="shared" ca="1" si="44"/>
        <v>0</v>
      </c>
      <c r="EU33" s="883">
        <f t="shared" ca="1" si="46"/>
        <v>0</v>
      </c>
      <c r="EV33" s="883">
        <f t="shared" ca="1" si="46"/>
        <v>0</v>
      </c>
      <c r="EW33" s="883">
        <f t="shared" ca="1" si="46"/>
        <v>0</v>
      </c>
      <c r="EX33" s="883">
        <f t="shared" ca="1" si="46"/>
        <v>0</v>
      </c>
      <c r="EY33" s="883">
        <f t="shared" ca="1" si="46"/>
        <v>0</v>
      </c>
      <c r="EZ33" s="883">
        <f t="shared" ca="1" si="46"/>
        <v>0</v>
      </c>
      <c r="FA33" s="883">
        <f t="shared" ca="1" si="46"/>
        <v>0</v>
      </c>
    </row>
    <row r="34" spans="8:157">
      <c r="H34" s="891">
        <f t="shared" ca="1" si="34"/>
        <v>2046</v>
      </c>
      <c r="I34" s="1206">
        <f t="shared" ca="1" si="32"/>
        <v>16425</v>
      </c>
      <c r="J34" s="1206">
        <f t="shared" ca="1" si="23"/>
        <v>0</v>
      </c>
      <c r="K34" s="929" t="str">
        <f t="shared" si="33"/>
        <v/>
      </c>
      <c r="L34" s="929" t="str">
        <f t="shared" si="24"/>
        <v/>
      </c>
      <c r="N34" s="1714">
        <v>28</v>
      </c>
      <c r="O34" s="1789" t="b">
        <f ca="1">庫存管理[[#This Row],[檢測]]</f>
        <v>0</v>
      </c>
      <c r="P34" s="882" t="e">
        <f ca="1">VLOOKUP(Q34,bond!B:AA,26,FALSE)</f>
        <v>#N/A</v>
      </c>
      <c r="Q34" s="883" t="str">
        <f ca="1">庫存管理[[#This Row],[商品代號]]</f>
        <v/>
      </c>
      <c r="R34" s="889">
        <f ca="1">IF(O34=TRUE,IFERROR(IF($D$4=1,庫存管理[[#This Row],[投入面額]]*庫存管理[[#This Row],[換算匯率(現)]],庫存管理[[#This Row],[投入面額]]),0),0)</f>
        <v>0</v>
      </c>
      <c r="S34" s="885" t="e">
        <f ca="1">庫存管理[[#This Row],[到期日]]</f>
        <v>#N/A</v>
      </c>
      <c r="T34" s="883">
        <f t="shared" ca="1" si="9"/>
        <v>0</v>
      </c>
      <c r="U34" s="885" t="str">
        <f ca="1">庫存管理[[#This Row],[下一配息日]]</f>
        <v/>
      </c>
      <c r="V34" s="886" t="str">
        <f t="shared" ca="1" si="39"/>
        <v/>
      </c>
      <c r="W34" s="885" t="e">
        <f ca="1">庫存管理[[#This Row],[到期日]]</f>
        <v>#N/A</v>
      </c>
      <c r="X34" s="886" t="str">
        <f t="shared" ca="1" si="40"/>
        <v/>
      </c>
      <c r="Y34" s="883" t="str">
        <f ca="1">庫存管理[[#This Row],[配息頻率]]</f>
        <v/>
      </c>
      <c r="Z34" s="883" t="str">
        <f>庫存管理[[#This Row],[投入面額]]</f>
        <v/>
      </c>
      <c r="AA34" s="909">
        <f ca="1">庫存管理[[#This Row],[票面利率]]</f>
        <v>0</v>
      </c>
      <c r="AB34" s="908">
        <f ca="1">庫存管理[[#This Row],[換算匯率(現)]]</f>
        <v>0</v>
      </c>
      <c r="AC34" s="887">
        <f t="shared" ca="1" si="12"/>
        <v>0</v>
      </c>
      <c r="AD34" s="883">
        <f t="shared" ca="1" si="52"/>
        <v>0</v>
      </c>
      <c r="AE34" s="883">
        <f t="shared" ca="1" si="51"/>
        <v>0</v>
      </c>
      <c r="AF34" s="883">
        <f t="shared" ca="1" si="51"/>
        <v>0</v>
      </c>
      <c r="AG34" s="883">
        <f t="shared" ca="1" si="51"/>
        <v>0</v>
      </c>
      <c r="AH34" s="883">
        <f t="shared" ca="1" si="51"/>
        <v>0</v>
      </c>
      <c r="AI34" s="883">
        <f t="shared" ca="1" si="51"/>
        <v>0</v>
      </c>
      <c r="AJ34" s="883">
        <f t="shared" ca="1" si="51"/>
        <v>0</v>
      </c>
      <c r="AK34" s="883">
        <f t="shared" ca="1" si="51"/>
        <v>0</v>
      </c>
      <c r="AL34" s="883">
        <f t="shared" ca="1" si="51"/>
        <v>0</v>
      </c>
      <c r="AM34" s="883">
        <f t="shared" ca="1" si="51"/>
        <v>0</v>
      </c>
      <c r="AN34" s="883">
        <f t="shared" ca="1" si="51"/>
        <v>0</v>
      </c>
      <c r="AO34" s="883">
        <f t="shared" ca="1" si="51"/>
        <v>0</v>
      </c>
      <c r="AP34" s="883">
        <f t="shared" ca="1" si="51"/>
        <v>0</v>
      </c>
      <c r="AQ34" s="883">
        <f t="shared" ca="1" si="51"/>
        <v>0</v>
      </c>
      <c r="AR34" s="883">
        <f t="shared" ca="1" si="51"/>
        <v>0</v>
      </c>
      <c r="AS34" s="883">
        <f t="shared" ca="1" si="51"/>
        <v>0</v>
      </c>
      <c r="AT34" s="883">
        <f t="shared" ca="1" si="51"/>
        <v>0</v>
      </c>
      <c r="AU34" s="883">
        <f t="shared" ca="1" si="48"/>
        <v>0</v>
      </c>
      <c r="AV34" s="883">
        <f t="shared" ca="1" si="48"/>
        <v>0</v>
      </c>
      <c r="AW34" s="883">
        <f t="shared" ca="1" si="48"/>
        <v>0</v>
      </c>
      <c r="AX34" s="883">
        <f t="shared" ca="1" si="48"/>
        <v>0</v>
      </c>
      <c r="AY34" s="883">
        <f t="shared" ca="1" si="48"/>
        <v>0</v>
      </c>
      <c r="AZ34" s="883">
        <f t="shared" ca="1" si="48"/>
        <v>0</v>
      </c>
      <c r="BA34" s="883">
        <f t="shared" ca="1" si="48"/>
        <v>0</v>
      </c>
      <c r="BB34" s="883">
        <f t="shared" ca="1" si="48"/>
        <v>0</v>
      </c>
      <c r="BC34" s="883">
        <f t="shared" ca="1" si="48"/>
        <v>0</v>
      </c>
      <c r="BD34" s="883">
        <f t="shared" ca="1" si="48"/>
        <v>0</v>
      </c>
      <c r="BE34" s="883">
        <f t="shared" ca="1" si="48"/>
        <v>0</v>
      </c>
      <c r="BF34" s="883">
        <f t="shared" ca="1" si="48"/>
        <v>0</v>
      </c>
      <c r="BG34" s="883">
        <f t="shared" ca="1" si="48"/>
        <v>0</v>
      </c>
      <c r="BH34" s="883">
        <f t="shared" ca="1" si="48"/>
        <v>0</v>
      </c>
      <c r="BI34" s="883">
        <f t="shared" ca="1" si="48"/>
        <v>0</v>
      </c>
      <c r="BJ34" s="883">
        <f t="shared" ca="1" si="48"/>
        <v>0</v>
      </c>
      <c r="BK34" s="883">
        <f t="shared" ca="1" si="49"/>
        <v>0</v>
      </c>
      <c r="BL34" s="883">
        <f t="shared" ca="1" si="49"/>
        <v>0</v>
      </c>
      <c r="BM34" s="883">
        <f t="shared" ca="1" si="49"/>
        <v>0</v>
      </c>
      <c r="BN34" s="883">
        <f t="shared" ca="1" si="49"/>
        <v>0</v>
      </c>
      <c r="BO34" s="883">
        <f t="shared" ca="1" si="49"/>
        <v>0</v>
      </c>
      <c r="BP34" s="883">
        <f t="shared" ca="1" si="49"/>
        <v>0</v>
      </c>
      <c r="BQ34" s="883">
        <f t="shared" ca="1" si="49"/>
        <v>0</v>
      </c>
      <c r="BR34" s="883">
        <f t="shared" ca="1" si="49"/>
        <v>0</v>
      </c>
      <c r="BS34" s="883">
        <f t="shared" ca="1" si="49"/>
        <v>0</v>
      </c>
      <c r="BT34" s="883">
        <f t="shared" ca="1" si="49"/>
        <v>0</v>
      </c>
      <c r="BU34" s="883">
        <f t="shared" ca="1" si="49"/>
        <v>0</v>
      </c>
      <c r="BV34" s="883">
        <f t="shared" ca="1" si="49"/>
        <v>0</v>
      </c>
      <c r="BW34" s="883">
        <f t="shared" ca="1" si="49"/>
        <v>0</v>
      </c>
      <c r="BX34" s="883">
        <f t="shared" ca="1" si="49"/>
        <v>0</v>
      </c>
      <c r="BY34" s="883">
        <f t="shared" ca="1" si="49"/>
        <v>0</v>
      </c>
      <c r="BZ34" s="883">
        <f t="shared" ca="1" si="49"/>
        <v>0</v>
      </c>
      <c r="CA34" s="883">
        <f t="shared" ca="1" si="50"/>
        <v>0</v>
      </c>
      <c r="CB34" s="883">
        <f t="shared" ca="1" si="50"/>
        <v>0</v>
      </c>
      <c r="CC34" s="883">
        <f t="shared" ca="1" si="50"/>
        <v>0</v>
      </c>
      <c r="CD34" s="883">
        <f t="shared" ca="1" si="50"/>
        <v>0</v>
      </c>
      <c r="CE34" s="883">
        <f t="shared" ca="1" si="50"/>
        <v>0</v>
      </c>
      <c r="CF34" s="883">
        <f t="shared" ca="1" si="50"/>
        <v>0</v>
      </c>
      <c r="CG34" s="883">
        <f t="shared" ca="1" si="50"/>
        <v>0</v>
      </c>
      <c r="CH34" s="883">
        <f t="shared" ca="1" si="50"/>
        <v>0</v>
      </c>
      <c r="CI34" s="883">
        <f t="shared" ca="1" si="50"/>
        <v>0</v>
      </c>
      <c r="CJ34" s="883">
        <f t="shared" ca="1" si="50"/>
        <v>0</v>
      </c>
      <c r="CK34" s="883">
        <f t="shared" ca="1" si="50"/>
        <v>0</v>
      </c>
      <c r="CL34" s="883">
        <f t="shared" ca="1" si="50"/>
        <v>0</v>
      </c>
      <c r="CM34" s="883">
        <f t="shared" ca="1" si="50"/>
        <v>0</v>
      </c>
      <c r="CN34" s="883">
        <f t="shared" ca="1" si="50"/>
        <v>0</v>
      </c>
      <c r="CO34" s="883">
        <f t="shared" ca="1" si="50"/>
        <v>0</v>
      </c>
      <c r="CP34" s="883">
        <f t="shared" ca="1" si="50"/>
        <v>0</v>
      </c>
      <c r="CQ34" s="883">
        <f t="shared" ca="1" si="41"/>
        <v>0</v>
      </c>
      <c r="CR34" s="883">
        <f t="shared" ca="1" si="47"/>
        <v>0</v>
      </c>
      <c r="CS34" s="883">
        <f t="shared" ca="1" si="47"/>
        <v>0</v>
      </c>
      <c r="CT34" s="883">
        <f t="shared" ca="1" si="47"/>
        <v>0</v>
      </c>
      <c r="CU34" s="883">
        <f t="shared" ca="1" si="47"/>
        <v>0</v>
      </c>
      <c r="CV34" s="883">
        <f t="shared" ca="1" si="47"/>
        <v>0</v>
      </c>
      <c r="CW34" s="883">
        <f t="shared" ca="1" si="47"/>
        <v>0</v>
      </c>
      <c r="CX34" s="883">
        <f t="shared" ca="1" si="47"/>
        <v>0</v>
      </c>
      <c r="CY34" s="883">
        <f t="shared" ca="1" si="47"/>
        <v>0</v>
      </c>
      <c r="CZ34" s="883">
        <f t="shared" ca="1" si="47"/>
        <v>0</v>
      </c>
      <c r="DA34" s="883">
        <f t="shared" ca="1" si="47"/>
        <v>0</v>
      </c>
      <c r="DB34" s="883">
        <f t="shared" ca="1" si="47"/>
        <v>0</v>
      </c>
      <c r="DC34" s="883">
        <f t="shared" ca="1" si="47"/>
        <v>0</v>
      </c>
      <c r="DD34" s="883">
        <f t="shared" ca="1" si="47"/>
        <v>0</v>
      </c>
      <c r="DE34" s="883">
        <f t="shared" ca="1" si="47"/>
        <v>0</v>
      </c>
      <c r="DF34" s="883">
        <f t="shared" ca="1" si="47"/>
        <v>0</v>
      </c>
      <c r="DG34" s="883">
        <f t="shared" ca="1" si="47"/>
        <v>0</v>
      </c>
      <c r="DH34" s="883">
        <f t="shared" ca="1" si="45"/>
        <v>0</v>
      </c>
      <c r="DI34" s="883">
        <f t="shared" ca="1" si="45"/>
        <v>0</v>
      </c>
      <c r="DJ34" s="883">
        <f t="shared" ca="1" si="45"/>
        <v>0</v>
      </c>
      <c r="DK34" s="883">
        <f t="shared" ca="1" si="45"/>
        <v>0</v>
      </c>
      <c r="DL34" s="883">
        <f t="shared" ca="1" si="45"/>
        <v>0</v>
      </c>
      <c r="DM34" s="883">
        <f t="shared" ca="1" si="45"/>
        <v>0</v>
      </c>
      <c r="DN34" s="883">
        <f t="shared" ca="1" si="45"/>
        <v>0</v>
      </c>
      <c r="DO34" s="883">
        <f t="shared" ca="1" si="43"/>
        <v>0</v>
      </c>
      <c r="DP34" s="883">
        <f t="shared" ca="1" si="43"/>
        <v>0</v>
      </c>
      <c r="DQ34" s="883">
        <f t="shared" ca="1" si="43"/>
        <v>0</v>
      </c>
      <c r="DR34" s="883">
        <f t="shared" ca="1" si="43"/>
        <v>0</v>
      </c>
      <c r="DS34" s="883">
        <f t="shared" ca="1" si="43"/>
        <v>0</v>
      </c>
      <c r="DT34" s="883">
        <f t="shared" ca="1" si="43"/>
        <v>0</v>
      </c>
      <c r="DU34" s="883">
        <f t="shared" ca="1" si="43"/>
        <v>0</v>
      </c>
      <c r="DV34" s="883">
        <f t="shared" ca="1" si="43"/>
        <v>0</v>
      </c>
      <c r="DW34" s="883">
        <f t="shared" ca="1" si="43"/>
        <v>0</v>
      </c>
      <c r="DX34" s="883">
        <f t="shared" ca="1" si="43"/>
        <v>0</v>
      </c>
      <c r="DY34" s="883">
        <f t="shared" ca="1" si="43"/>
        <v>0</v>
      </c>
      <c r="DZ34" s="883">
        <f t="shared" ca="1" si="43"/>
        <v>0</v>
      </c>
      <c r="EA34" s="883">
        <f t="shared" ca="1" si="43"/>
        <v>0</v>
      </c>
      <c r="EB34" s="883">
        <f t="shared" ca="1" si="43"/>
        <v>0</v>
      </c>
      <c r="EC34" s="883">
        <f t="shared" ca="1" si="43"/>
        <v>0</v>
      </c>
      <c r="ED34" s="883">
        <f t="shared" ca="1" si="43"/>
        <v>0</v>
      </c>
      <c r="EE34" s="883">
        <f t="shared" ca="1" si="44"/>
        <v>0</v>
      </c>
      <c r="EF34" s="883">
        <f t="shared" ca="1" si="44"/>
        <v>0</v>
      </c>
      <c r="EG34" s="883">
        <f t="shared" ca="1" si="44"/>
        <v>0</v>
      </c>
      <c r="EH34" s="883">
        <f t="shared" ca="1" si="44"/>
        <v>0</v>
      </c>
      <c r="EI34" s="883">
        <f t="shared" ca="1" si="44"/>
        <v>0</v>
      </c>
      <c r="EJ34" s="883">
        <f t="shared" ca="1" si="44"/>
        <v>0</v>
      </c>
      <c r="EK34" s="883">
        <f t="shared" ca="1" si="44"/>
        <v>0</v>
      </c>
      <c r="EL34" s="883">
        <f t="shared" ca="1" si="44"/>
        <v>0</v>
      </c>
      <c r="EM34" s="883">
        <f t="shared" ca="1" si="44"/>
        <v>0</v>
      </c>
      <c r="EN34" s="883">
        <f t="shared" ca="1" si="44"/>
        <v>0</v>
      </c>
      <c r="EO34" s="883">
        <f t="shared" ca="1" si="44"/>
        <v>0</v>
      </c>
      <c r="EP34" s="883">
        <f t="shared" ca="1" si="44"/>
        <v>0</v>
      </c>
      <c r="EQ34" s="883">
        <f t="shared" ca="1" si="44"/>
        <v>0</v>
      </c>
      <c r="ER34" s="883">
        <f t="shared" ca="1" si="44"/>
        <v>0</v>
      </c>
      <c r="ES34" s="883">
        <f t="shared" ca="1" si="44"/>
        <v>0</v>
      </c>
      <c r="ET34" s="883">
        <f t="shared" ca="1" si="44"/>
        <v>0</v>
      </c>
      <c r="EU34" s="883">
        <f t="shared" ca="1" si="46"/>
        <v>0</v>
      </c>
      <c r="EV34" s="883">
        <f t="shared" ca="1" si="46"/>
        <v>0</v>
      </c>
      <c r="EW34" s="883">
        <f t="shared" ca="1" si="46"/>
        <v>0</v>
      </c>
      <c r="EX34" s="883">
        <f t="shared" ca="1" si="46"/>
        <v>0</v>
      </c>
      <c r="EY34" s="883">
        <f t="shared" ca="1" si="46"/>
        <v>0</v>
      </c>
      <c r="EZ34" s="883">
        <f t="shared" ca="1" si="46"/>
        <v>0</v>
      </c>
      <c r="FA34" s="883">
        <f t="shared" ca="1" si="46"/>
        <v>0</v>
      </c>
    </row>
    <row r="35" spans="8:157">
      <c r="H35" s="891">
        <f t="shared" ca="1" si="34"/>
        <v>2047</v>
      </c>
      <c r="I35" s="1206">
        <f t="shared" ca="1" si="32"/>
        <v>16425</v>
      </c>
      <c r="J35" s="1206">
        <f t="shared" ca="1" si="23"/>
        <v>0</v>
      </c>
      <c r="K35" s="929" t="str">
        <f t="shared" si="33"/>
        <v/>
      </c>
      <c r="L35" s="929" t="str">
        <f t="shared" si="24"/>
        <v/>
      </c>
      <c r="N35" s="1714">
        <v>29</v>
      </c>
      <c r="O35" s="1789" t="b">
        <f ca="1">庫存管理[[#This Row],[檢測]]</f>
        <v>0</v>
      </c>
      <c r="P35" s="882" t="e">
        <f ca="1">VLOOKUP(Q35,bond!B:AA,26,FALSE)</f>
        <v>#N/A</v>
      </c>
      <c r="Q35" s="883" t="str">
        <f ca="1">庫存管理[[#This Row],[商品代號]]</f>
        <v/>
      </c>
      <c r="R35" s="889">
        <f ca="1">IF(O35=TRUE,IFERROR(IF($D$4=1,庫存管理[[#This Row],[投入面額]]*庫存管理[[#This Row],[換算匯率(現)]],庫存管理[[#This Row],[投入面額]]),0),0)</f>
        <v>0</v>
      </c>
      <c r="S35" s="885" t="e">
        <f ca="1">庫存管理[[#This Row],[到期日]]</f>
        <v>#N/A</v>
      </c>
      <c r="T35" s="883">
        <f t="shared" ca="1" si="9"/>
        <v>0</v>
      </c>
      <c r="U35" s="885" t="str">
        <f ca="1">庫存管理[[#This Row],[下一配息日]]</f>
        <v/>
      </c>
      <c r="V35" s="886" t="str">
        <f t="shared" ca="1" si="39"/>
        <v/>
      </c>
      <c r="W35" s="885" t="e">
        <f ca="1">庫存管理[[#This Row],[到期日]]</f>
        <v>#N/A</v>
      </c>
      <c r="X35" s="886" t="str">
        <f t="shared" ca="1" si="40"/>
        <v/>
      </c>
      <c r="Y35" s="883" t="str">
        <f ca="1">庫存管理[[#This Row],[配息頻率]]</f>
        <v/>
      </c>
      <c r="Z35" s="883" t="str">
        <f>庫存管理[[#This Row],[投入面額]]</f>
        <v/>
      </c>
      <c r="AA35" s="909">
        <f ca="1">庫存管理[[#This Row],[票面利率]]</f>
        <v>0</v>
      </c>
      <c r="AB35" s="908">
        <f ca="1">庫存管理[[#This Row],[換算匯率(現)]]</f>
        <v>0</v>
      </c>
      <c r="AC35" s="887">
        <f t="shared" ca="1" si="12"/>
        <v>0</v>
      </c>
      <c r="AD35" s="883">
        <f t="shared" ca="1" si="52"/>
        <v>0</v>
      </c>
      <c r="AE35" s="883">
        <f t="shared" ca="1" si="51"/>
        <v>0</v>
      </c>
      <c r="AF35" s="883">
        <f t="shared" ca="1" si="51"/>
        <v>0</v>
      </c>
      <c r="AG35" s="883">
        <f t="shared" ca="1" si="51"/>
        <v>0</v>
      </c>
      <c r="AH35" s="883">
        <f t="shared" ca="1" si="51"/>
        <v>0</v>
      </c>
      <c r="AI35" s="883">
        <f t="shared" ca="1" si="51"/>
        <v>0</v>
      </c>
      <c r="AJ35" s="883">
        <f t="shared" ca="1" si="51"/>
        <v>0</v>
      </c>
      <c r="AK35" s="883">
        <f t="shared" ca="1" si="51"/>
        <v>0</v>
      </c>
      <c r="AL35" s="883">
        <f t="shared" ca="1" si="51"/>
        <v>0</v>
      </c>
      <c r="AM35" s="883">
        <f t="shared" ca="1" si="51"/>
        <v>0</v>
      </c>
      <c r="AN35" s="883">
        <f t="shared" ca="1" si="51"/>
        <v>0</v>
      </c>
      <c r="AO35" s="883">
        <f t="shared" ca="1" si="51"/>
        <v>0</v>
      </c>
      <c r="AP35" s="883">
        <f t="shared" ca="1" si="51"/>
        <v>0</v>
      </c>
      <c r="AQ35" s="883">
        <f t="shared" ca="1" si="51"/>
        <v>0</v>
      </c>
      <c r="AR35" s="883">
        <f t="shared" ca="1" si="51"/>
        <v>0</v>
      </c>
      <c r="AS35" s="883">
        <f t="shared" ca="1" si="51"/>
        <v>0</v>
      </c>
      <c r="AT35" s="883">
        <f t="shared" ca="1" si="51"/>
        <v>0</v>
      </c>
      <c r="AU35" s="883">
        <f t="shared" ca="1" si="48"/>
        <v>0</v>
      </c>
      <c r="AV35" s="883">
        <f t="shared" ca="1" si="48"/>
        <v>0</v>
      </c>
      <c r="AW35" s="883">
        <f t="shared" ca="1" si="48"/>
        <v>0</v>
      </c>
      <c r="AX35" s="883">
        <f t="shared" ca="1" si="48"/>
        <v>0</v>
      </c>
      <c r="AY35" s="883">
        <f t="shared" ca="1" si="48"/>
        <v>0</v>
      </c>
      <c r="AZ35" s="883">
        <f t="shared" ca="1" si="48"/>
        <v>0</v>
      </c>
      <c r="BA35" s="883">
        <f t="shared" ca="1" si="48"/>
        <v>0</v>
      </c>
      <c r="BB35" s="883">
        <f t="shared" ca="1" si="48"/>
        <v>0</v>
      </c>
      <c r="BC35" s="883">
        <f t="shared" ca="1" si="48"/>
        <v>0</v>
      </c>
      <c r="BD35" s="883">
        <f t="shared" ca="1" si="48"/>
        <v>0</v>
      </c>
      <c r="BE35" s="883">
        <f t="shared" ca="1" si="48"/>
        <v>0</v>
      </c>
      <c r="BF35" s="883">
        <f t="shared" ca="1" si="48"/>
        <v>0</v>
      </c>
      <c r="BG35" s="883">
        <f t="shared" ca="1" si="48"/>
        <v>0</v>
      </c>
      <c r="BH35" s="883">
        <f t="shared" ca="1" si="48"/>
        <v>0</v>
      </c>
      <c r="BI35" s="883">
        <f t="shared" ca="1" si="48"/>
        <v>0</v>
      </c>
      <c r="BJ35" s="883">
        <f t="shared" ca="1" si="48"/>
        <v>0</v>
      </c>
      <c r="BK35" s="883">
        <f t="shared" ca="1" si="49"/>
        <v>0</v>
      </c>
      <c r="BL35" s="883">
        <f t="shared" ca="1" si="49"/>
        <v>0</v>
      </c>
      <c r="BM35" s="883">
        <f t="shared" ca="1" si="49"/>
        <v>0</v>
      </c>
      <c r="BN35" s="883">
        <f t="shared" ca="1" si="49"/>
        <v>0</v>
      </c>
      <c r="BO35" s="883">
        <f t="shared" ca="1" si="49"/>
        <v>0</v>
      </c>
      <c r="BP35" s="883">
        <f t="shared" ca="1" si="49"/>
        <v>0</v>
      </c>
      <c r="BQ35" s="883">
        <f t="shared" ca="1" si="49"/>
        <v>0</v>
      </c>
      <c r="BR35" s="883">
        <f t="shared" ca="1" si="49"/>
        <v>0</v>
      </c>
      <c r="BS35" s="883">
        <f t="shared" ca="1" si="49"/>
        <v>0</v>
      </c>
      <c r="BT35" s="883">
        <f t="shared" ca="1" si="49"/>
        <v>0</v>
      </c>
      <c r="BU35" s="883">
        <f t="shared" ca="1" si="49"/>
        <v>0</v>
      </c>
      <c r="BV35" s="883">
        <f t="shared" ca="1" si="49"/>
        <v>0</v>
      </c>
      <c r="BW35" s="883">
        <f t="shared" ca="1" si="49"/>
        <v>0</v>
      </c>
      <c r="BX35" s="883">
        <f t="shared" ca="1" si="49"/>
        <v>0</v>
      </c>
      <c r="BY35" s="883">
        <f t="shared" ca="1" si="49"/>
        <v>0</v>
      </c>
      <c r="BZ35" s="883">
        <f t="shared" ca="1" si="49"/>
        <v>0</v>
      </c>
      <c r="CA35" s="883">
        <f t="shared" ca="1" si="50"/>
        <v>0</v>
      </c>
      <c r="CB35" s="883">
        <f t="shared" ca="1" si="50"/>
        <v>0</v>
      </c>
      <c r="CC35" s="883">
        <f t="shared" ca="1" si="50"/>
        <v>0</v>
      </c>
      <c r="CD35" s="883">
        <f t="shared" ca="1" si="50"/>
        <v>0</v>
      </c>
      <c r="CE35" s="883">
        <f t="shared" ca="1" si="50"/>
        <v>0</v>
      </c>
      <c r="CF35" s="883">
        <f t="shared" ca="1" si="50"/>
        <v>0</v>
      </c>
      <c r="CG35" s="883">
        <f t="shared" ca="1" si="50"/>
        <v>0</v>
      </c>
      <c r="CH35" s="883">
        <f t="shared" ca="1" si="50"/>
        <v>0</v>
      </c>
      <c r="CI35" s="883">
        <f t="shared" ca="1" si="50"/>
        <v>0</v>
      </c>
      <c r="CJ35" s="883">
        <f t="shared" ca="1" si="50"/>
        <v>0</v>
      </c>
      <c r="CK35" s="883">
        <f t="shared" ca="1" si="50"/>
        <v>0</v>
      </c>
      <c r="CL35" s="883">
        <f t="shared" ca="1" si="50"/>
        <v>0</v>
      </c>
      <c r="CM35" s="883">
        <f t="shared" ca="1" si="50"/>
        <v>0</v>
      </c>
      <c r="CN35" s="883">
        <f t="shared" ca="1" si="50"/>
        <v>0</v>
      </c>
      <c r="CO35" s="883">
        <f t="shared" ca="1" si="50"/>
        <v>0</v>
      </c>
      <c r="CP35" s="883">
        <f t="shared" ca="1" si="50"/>
        <v>0</v>
      </c>
      <c r="CQ35" s="883">
        <f t="shared" ca="1" si="41"/>
        <v>0</v>
      </c>
      <c r="CR35" s="883">
        <f t="shared" ca="1" si="47"/>
        <v>0</v>
      </c>
      <c r="CS35" s="883">
        <f t="shared" ca="1" si="47"/>
        <v>0</v>
      </c>
      <c r="CT35" s="883">
        <f t="shared" ca="1" si="47"/>
        <v>0</v>
      </c>
      <c r="CU35" s="883">
        <f t="shared" ca="1" si="47"/>
        <v>0</v>
      </c>
      <c r="CV35" s="883">
        <f t="shared" ca="1" si="47"/>
        <v>0</v>
      </c>
      <c r="CW35" s="883">
        <f t="shared" ca="1" si="47"/>
        <v>0</v>
      </c>
      <c r="CX35" s="883">
        <f t="shared" ca="1" si="47"/>
        <v>0</v>
      </c>
      <c r="CY35" s="883">
        <f t="shared" ca="1" si="47"/>
        <v>0</v>
      </c>
      <c r="CZ35" s="883">
        <f t="shared" ca="1" si="47"/>
        <v>0</v>
      </c>
      <c r="DA35" s="883">
        <f t="shared" ca="1" si="47"/>
        <v>0</v>
      </c>
      <c r="DB35" s="883">
        <f t="shared" ca="1" si="47"/>
        <v>0</v>
      </c>
      <c r="DC35" s="883">
        <f t="shared" ca="1" si="47"/>
        <v>0</v>
      </c>
      <c r="DD35" s="883">
        <f t="shared" ca="1" si="47"/>
        <v>0</v>
      </c>
      <c r="DE35" s="883">
        <f t="shared" ca="1" si="47"/>
        <v>0</v>
      </c>
      <c r="DF35" s="883">
        <f t="shared" ca="1" si="47"/>
        <v>0</v>
      </c>
      <c r="DG35" s="883">
        <f t="shared" ca="1" si="47"/>
        <v>0</v>
      </c>
      <c r="DH35" s="883">
        <f t="shared" ca="1" si="45"/>
        <v>0</v>
      </c>
      <c r="DI35" s="883">
        <f t="shared" ca="1" si="45"/>
        <v>0</v>
      </c>
      <c r="DJ35" s="883">
        <f t="shared" ca="1" si="45"/>
        <v>0</v>
      </c>
      <c r="DK35" s="883">
        <f t="shared" ca="1" si="45"/>
        <v>0</v>
      </c>
      <c r="DL35" s="883">
        <f t="shared" ca="1" si="45"/>
        <v>0</v>
      </c>
      <c r="DM35" s="883">
        <f t="shared" ca="1" si="45"/>
        <v>0</v>
      </c>
      <c r="DN35" s="883">
        <f t="shared" ca="1" si="45"/>
        <v>0</v>
      </c>
      <c r="DO35" s="883">
        <f t="shared" ca="1" si="43"/>
        <v>0</v>
      </c>
      <c r="DP35" s="883">
        <f t="shared" ca="1" si="43"/>
        <v>0</v>
      </c>
      <c r="DQ35" s="883">
        <f t="shared" ca="1" si="43"/>
        <v>0</v>
      </c>
      <c r="DR35" s="883">
        <f t="shared" ca="1" si="43"/>
        <v>0</v>
      </c>
      <c r="DS35" s="883">
        <f t="shared" ca="1" si="43"/>
        <v>0</v>
      </c>
      <c r="DT35" s="883">
        <f t="shared" ca="1" si="43"/>
        <v>0</v>
      </c>
      <c r="DU35" s="883">
        <f t="shared" ca="1" si="43"/>
        <v>0</v>
      </c>
      <c r="DV35" s="883">
        <f t="shared" ca="1" si="43"/>
        <v>0</v>
      </c>
      <c r="DW35" s="883">
        <f t="shared" ca="1" si="43"/>
        <v>0</v>
      </c>
      <c r="DX35" s="883">
        <f t="shared" ca="1" si="43"/>
        <v>0</v>
      </c>
      <c r="DY35" s="883">
        <f t="shared" ca="1" si="43"/>
        <v>0</v>
      </c>
      <c r="DZ35" s="883">
        <f t="shared" ca="1" si="43"/>
        <v>0</v>
      </c>
      <c r="EA35" s="883">
        <f t="shared" ca="1" si="43"/>
        <v>0</v>
      </c>
      <c r="EB35" s="883">
        <f t="shared" ca="1" si="43"/>
        <v>0</v>
      </c>
      <c r="EC35" s="883">
        <f t="shared" ca="1" si="43"/>
        <v>0</v>
      </c>
      <c r="ED35" s="883">
        <f t="shared" ca="1" si="43"/>
        <v>0</v>
      </c>
      <c r="EE35" s="883">
        <f t="shared" ca="1" si="44"/>
        <v>0</v>
      </c>
      <c r="EF35" s="883">
        <f t="shared" ca="1" si="44"/>
        <v>0</v>
      </c>
      <c r="EG35" s="883">
        <f t="shared" ca="1" si="44"/>
        <v>0</v>
      </c>
      <c r="EH35" s="883">
        <f t="shared" ca="1" si="44"/>
        <v>0</v>
      </c>
      <c r="EI35" s="883">
        <f t="shared" ca="1" si="44"/>
        <v>0</v>
      </c>
      <c r="EJ35" s="883">
        <f t="shared" ca="1" si="44"/>
        <v>0</v>
      </c>
      <c r="EK35" s="883">
        <f t="shared" ca="1" si="44"/>
        <v>0</v>
      </c>
      <c r="EL35" s="883">
        <f t="shared" ca="1" si="44"/>
        <v>0</v>
      </c>
      <c r="EM35" s="883">
        <f t="shared" ca="1" si="44"/>
        <v>0</v>
      </c>
      <c r="EN35" s="883">
        <f t="shared" ca="1" si="44"/>
        <v>0</v>
      </c>
      <c r="EO35" s="883">
        <f t="shared" ca="1" si="44"/>
        <v>0</v>
      </c>
      <c r="EP35" s="883">
        <f t="shared" ca="1" si="44"/>
        <v>0</v>
      </c>
      <c r="EQ35" s="883">
        <f t="shared" ca="1" si="44"/>
        <v>0</v>
      </c>
      <c r="ER35" s="883">
        <f t="shared" ca="1" si="44"/>
        <v>0</v>
      </c>
      <c r="ES35" s="883">
        <f t="shared" ca="1" si="44"/>
        <v>0</v>
      </c>
      <c r="ET35" s="883">
        <f t="shared" ca="1" si="44"/>
        <v>0</v>
      </c>
      <c r="EU35" s="883">
        <f t="shared" ca="1" si="46"/>
        <v>0</v>
      </c>
      <c r="EV35" s="883">
        <f t="shared" ca="1" si="46"/>
        <v>0</v>
      </c>
      <c r="EW35" s="883">
        <f t="shared" ca="1" si="46"/>
        <v>0</v>
      </c>
      <c r="EX35" s="883">
        <f t="shared" ca="1" si="46"/>
        <v>0</v>
      </c>
      <c r="EY35" s="883">
        <f t="shared" ca="1" si="46"/>
        <v>0</v>
      </c>
      <c r="EZ35" s="883">
        <f t="shared" ca="1" si="46"/>
        <v>0</v>
      </c>
      <c r="FA35" s="883">
        <f t="shared" ca="1" si="46"/>
        <v>0</v>
      </c>
    </row>
    <row r="36" spans="8:157">
      <c r="H36" s="891">
        <f t="shared" ca="1" si="34"/>
        <v>2048</v>
      </c>
      <c r="I36" s="1206">
        <f t="shared" ca="1" si="32"/>
        <v>16425</v>
      </c>
      <c r="J36" s="1206">
        <f t="shared" ca="1" si="23"/>
        <v>0</v>
      </c>
      <c r="K36" s="929" t="str">
        <f t="shared" si="33"/>
        <v/>
      </c>
      <c r="L36" s="929" t="str">
        <f t="shared" si="24"/>
        <v/>
      </c>
      <c r="N36" s="1714">
        <v>30</v>
      </c>
      <c r="O36" s="1789" t="b">
        <f ca="1">庫存管理[[#This Row],[檢測]]</f>
        <v>0</v>
      </c>
      <c r="P36" s="882" t="e">
        <f ca="1">VLOOKUP(Q36,bond!B:AA,26,FALSE)</f>
        <v>#N/A</v>
      </c>
      <c r="Q36" s="883" t="str">
        <f ca="1">庫存管理[[#This Row],[商品代號]]</f>
        <v/>
      </c>
      <c r="R36" s="889">
        <f ca="1">IF(O36=TRUE,IFERROR(IF($D$4=1,庫存管理[[#This Row],[投入面額]]*庫存管理[[#This Row],[換算匯率(現)]],庫存管理[[#This Row],[投入面額]]),0),0)</f>
        <v>0</v>
      </c>
      <c r="S36" s="885" t="e">
        <f ca="1">庫存管理[[#This Row],[到期日]]</f>
        <v>#N/A</v>
      </c>
      <c r="T36" s="883">
        <f t="shared" ca="1" si="9"/>
        <v>0</v>
      </c>
      <c r="U36" s="885" t="str">
        <f ca="1">庫存管理[[#This Row],[下一配息日]]</f>
        <v/>
      </c>
      <c r="V36" s="886" t="str">
        <f t="shared" ca="1" si="39"/>
        <v/>
      </c>
      <c r="W36" s="885" t="e">
        <f ca="1">庫存管理[[#This Row],[到期日]]</f>
        <v>#N/A</v>
      </c>
      <c r="X36" s="886" t="str">
        <f t="shared" ca="1" si="40"/>
        <v/>
      </c>
      <c r="Y36" s="883" t="str">
        <f ca="1">庫存管理[[#This Row],[配息頻率]]</f>
        <v/>
      </c>
      <c r="Z36" s="883" t="str">
        <f>庫存管理[[#This Row],[投入面額]]</f>
        <v/>
      </c>
      <c r="AA36" s="909">
        <f ca="1">庫存管理[[#This Row],[票面利率]]</f>
        <v>0</v>
      </c>
      <c r="AB36" s="908">
        <f ca="1">庫存管理[[#This Row],[換算匯率(現)]]</f>
        <v>0</v>
      </c>
      <c r="AC36" s="887">
        <f t="shared" ca="1" si="12"/>
        <v>0</v>
      </c>
      <c r="AD36" s="883">
        <f t="shared" ca="1" si="52"/>
        <v>0</v>
      </c>
      <c r="AE36" s="883">
        <f t="shared" ca="1" si="51"/>
        <v>0</v>
      </c>
      <c r="AF36" s="883">
        <f t="shared" ca="1" si="51"/>
        <v>0</v>
      </c>
      <c r="AG36" s="883">
        <f t="shared" ca="1" si="51"/>
        <v>0</v>
      </c>
      <c r="AH36" s="883">
        <f t="shared" ca="1" si="51"/>
        <v>0</v>
      </c>
      <c r="AI36" s="883">
        <f t="shared" ca="1" si="51"/>
        <v>0</v>
      </c>
      <c r="AJ36" s="883">
        <f t="shared" ca="1" si="51"/>
        <v>0</v>
      </c>
      <c r="AK36" s="883">
        <f t="shared" ca="1" si="51"/>
        <v>0</v>
      </c>
      <c r="AL36" s="883">
        <f t="shared" ca="1" si="51"/>
        <v>0</v>
      </c>
      <c r="AM36" s="883">
        <f t="shared" ca="1" si="51"/>
        <v>0</v>
      </c>
      <c r="AN36" s="883">
        <f t="shared" ca="1" si="51"/>
        <v>0</v>
      </c>
      <c r="AO36" s="883">
        <f t="shared" ca="1" si="51"/>
        <v>0</v>
      </c>
      <c r="AP36" s="883">
        <f t="shared" ca="1" si="51"/>
        <v>0</v>
      </c>
      <c r="AQ36" s="883">
        <f t="shared" ca="1" si="51"/>
        <v>0</v>
      </c>
      <c r="AR36" s="883">
        <f t="shared" ca="1" si="51"/>
        <v>0</v>
      </c>
      <c r="AS36" s="883">
        <f t="shared" ca="1" si="51"/>
        <v>0</v>
      </c>
      <c r="AT36" s="883">
        <f t="shared" ca="1" si="51"/>
        <v>0</v>
      </c>
      <c r="AU36" s="883">
        <f t="shared" ca="1" si="48"/>
        <v>0</v>
      </c>
      <c r="AV36" s="883">
        <f t="shared" ca="1" si="48"/>
        <v>0</v>
      </c>
      <c r="AW36" s="883">
        <f t="shared" ca="1" si="48"/>
        <v>0</v>
      </c>
      <c r="AX36" s="883">
        <f t="shared" ca="1" si="48"/>
        <v>0</v>
      </c>
      <c r="AY36" s="883">
        <f t="shared" ca="1" si="48"/>
        <v>0</v>
      </c>
      <c r="AZ36" s="883">
        <f t="shared" ca="1" si="48"/>
        <v>0</v>
      </c>
      <c r="BA36" s="883">
        <f t="shared" ca="1" si="48"/>
        <v>0</v>
      </c>
      <c r="BB36" s="883">
        <f t="shared" ca="1" si="48"/>
        <v>0</v>
      </c>
      <c r="BC36" s="883">
        <f t="shared" ca="1" si="48"/>
        <v>0</v>
      </c>
      <c r="BD36" s="883">
        <f t="shared" ca="1" si="48"/>
        <v>0</v>
      </c>
      <c r="BE36" s="883">
        <f t="shared" ca="1" si="48"/>
        <v>0</v>
      </c>
      <c r="BF36" s="883">
        <f t="shared" ca="1" si="48"/>
        <v>0</v>
      </c>
      <c r="BG36" s="883">
        <f t="shared" ca="1" si="48"/>
        <v>0</v>
      </c>
      <c r="BH36" s="883">
        <f t="shared" ca="1" si="48"/>
        <v>0</v>
      </c>
      <c r="BI36" s="883">
        <f t="shared" ca="1" si="48"/>
        <v>0</v>
      </c>
      <c r="BJ36" s="883">
        <f t="shared" ca="1" si="48"/>
        <v>0</v>
      </c>
      <c r="BK36" s="883">
        <f t="shared" ca="1" si="49"/>
        <v>0</v>
      </c>
      <c r="BL36" s="883">
        <f t="shared" ca="1" si="49"/>
        <v>0</v>
      </c>
      <c r="BM36" s="883">
        <f t="shared" ca="1" si="49"/>
        <v>0</v>
      </c>
      <c r="BN36" s="883">
        <f t="shared" ca="1" si="49"/>
        <v>0</v>
      </c>
      <c r="BO36" s="883">
        <f t="shared" ca="1" si="49"/>
        <v>0</v>
      </c>
      <c r="BP36" s="883">
        <f t="shared" ca="1" si="49"/>
        <v>0</v>
      </c>
      <c r="BQ36" s="883">
        <f t="shared" ca="1" si="49"/>
        <v>0</v>
      </c>
      <c r="BR36" s="883">
        <f t="shared" ca="1" si="49"/>
        <v>0</v>
      </c>
      <c r="BS36" s="883">
        <f t="shared" ca="1" si="49"/>
        <v>0</v>
      </c>
      <c r="BT36" s="883">
        <f t="shared" ca="1" si="49"/>
        <v>0</v>
      </c>
      <c r="BU36" s="883">
        <f t="shared" ca="1" si="49"/>
        <v>0</v>
      </c>
      <c r="BV36" s="883">
        <f t="shared" ca="1" si="49"/>
        <v>0</v>
      </c>
      <c r="BW36" s="883">
        <f t="shared" ca="1" si="49"/>
        <v>0</v>
      </c>
      <c r="BX36" s="883">
        <f t="shared" ca="1" si="49"/>
        <v>0</v>
      </c>
      <c r="BY36" s="883">
        <f t="shared" ca="1" si="49"/>
        <v>0</v>
      </c>
      <c r="BZ36" s="883">
        <f t="shared" ca="1" si="49"/>
        <v>0</v>
      </c>
      <c r="CA36" s="883">
        <f t="shared" ca="1" si="50"/>
        <v>0</v>
      </c>
      <c r="CB36" s="883">
        <f t="shared" ca="1" si="50"/>
        <v>0</v>
      </c>
      <c r="CC36" s="883">
        <f t="shared" ca="1" si="50"/>
        <v>0</v>
      </c>
      <c r="CD36" s="883">
        <f t="shared" ca="1" si="50"/>
        <v>0</v>
      </c>
      <c r="CE36" s="883">
        <f t="shared" ca="1" si="50"/>
        <v>0</v>
      </c>
      <c r="CF36" s="883">
        <f t="shared" ca="1" si="50"/>
        <v>0</v>
      </c>
      <c r="CG36" s="883">
        <f t="shared" ca="1" si="50"/>
        <v>0</v>
      </c>
      <c r="CH36" s="883">
        <f t="shared" ca="1" si="50"/>
        <v>0</v>
      </c>
      <c r="CI36" s="883">
        <f t="shared" ca="1" si="50"/>
        <v>0</v>
      </c>
      <c r="CJ36" s="883">
        <f t="shared" ca="1" si="50"/>
        <v>0</v>
      </c>
      <c r="CK36" s="883">
        <f t="shared" ca="1" si="50"/>
        <v>0</v>
      </c>
      <c r="CL36" s="883">
        <f t="shared" ca="1" si="50"/>
        <v>0</v>
      </c>
      <c r="CM36" s="883">
        <f t="shared" ca="1" si="50"/>
        <v>0</v>
      </c>
      <c r="CN36" s="883">
        <f t="shared" ca="1" si="50"/>
        <v>0</v>
      </c>
      <c r="CO36" s="883">
        <f t="shared" ca="1" si="50"/>
        <v>0</v>
      </c>
      <c r="CP36" s="883">
        <f t="shared" ca="1" si="50"/>
        <v>0</v>
      </c>
      <c r="CQ36" s="883">
        <f t="shared" ca="1" si="41"/>
        <v>0</v>
      </c>
      <c r="CR36" s="883">
        <f t="shared" ca="1" si="47"/>
        <v>0</v>
      </c>
      <c r="CS36" s="883">
        <f t="shared" ca="1" si="47"/>
        <v>0</v>
      </c>
      <c r="CT36" s="883">
        <f t="shared" ca="1" si="47"/>
        <v>0</v>
      </c>
      <c r="CU36" s="883">
        <f t="shared" ca="1" si="47"/>
        <v>0</v>
      </c>
      <c r="CV36" s="883">
        <f t="shared" ca="1" si="47"/>
        <v>0</v>
      </c>
      <c r="CW36" s="883">
        <f t="shared" ca="1" si="47"/>
        <v>0</v>
      </c>
      <c r="CX36" s="883">
        <f t="shared" ca="1" si="47"/>
        <v>0</v>
      </c>
      <c r="CY36" s="883">
        <f t="shared" ca="1" si="47"/>
        <v>0</v>
      </c>
      <c r="CZ36" s="883">
        <f t="shared" ca="1" si="47"/>
        <v>0</v>
      </c>
      <c r="DA36" s="883">
        <f t="shared" ca="1" si="47"/>
        <v>0</v>
      </c>
      <c r="DB36" s="883">
        <f t="shared" ca="1" si="47"/>
        <v>0</v>
      </c>
      <c r="DC36" s="883">
        <f t="shared" ca="1" si="47"/>
        <v>0</v>
      </c>
      <c r="DD36" s="883">
        <f t="shared" ca="1" si="47"/>
        <v>0</v>
      </c>
      <c r="DE36" s="883">
        <f t="shared" ca="1" si="47"/>
        <v>0</v>
      </c>
      <c r="DF36" s="883">
        <f t="shared" ca="1" si="47"/>
        <v>0</v>
      </c>
      <c r="DG36" s="883">
        <f t="shared" ca="1" si="47"/>
        <v>0</v>
      </c>
      <c r="DH36" s="883">
        <f t="shared" ca="1" si="45"/>
        <v>0</v>
      </c>
      <c r="DI36" s="883">
        <f t="shared" ca="1" si="45"/>
        <v>0</v>
      </c>
      <c r="DJ36" s="883">
        <f t="shared" ca="1" si="45"/>
        <v>0</v>
      </c>
      <c r="DK36" s="883">
        <f t="shared" ca="1" si="45"/>
        <v>0</v>
      </c>
      <c r="DL36" s="883">
        <f t="shared" ca="1" si="45"/>
        <v>0</v>
      </c>
      <c r="DM36" s="883">
        <f t="shared" ca="1" si="45"/>
        <v>0</v>
      </c>
      <c r="DN36" s="883">
        <f t="shared" ca="1" si="45"/>
        <v>0</v>
      </c>
      <c r="DO36" s="883">
        <f t="shared" ca="1" si="43"/>
        <v>0</v>
      </c>
      <c r="DP36" s="883">
        <f t="shared" ca="1" si="43"/>
        <v>0</v>
      </c>
      <c r="DQ36" s="883">
        <f t="shared" ca="1" si="43"/>
        <v>0</v>
      </c>
      <c r="DR36" s="883">
        <f t="shared" ca="1" si="43"/>
        <v>0</v>
      </c>
      <c r="DS36" s="883">
        <f t="shared" ca="1" si="43"/>
        <v>0</v>
      </c>
      <c r="DT36" s="883">
        <f t="shared" ca="1" si="43"/>
        <v>0</v>
      </c>
      <c r="DU36" s="883">
        <f t="shared" ca="1" si="43"/>
        <v>0</v>
      </c>
      <c r="DV36" s="883">
        <f t="shared" ca="1" si="43"/>
        <v>0</v>
      </c>
      <c r="DW36" s="883">
        <f t="shared" ca="1" si="43"/>
        <v>0</v>
      </c>
      <c r="DX36" s="883">
        <f t="shared" ca="1" si="43"/>
        <v>0</v>
      </c>
      <c r="DY36" s="883">
        <f t="shared" ca="1" si="43"/>
        <v>0</v>
      </c>
      <c r="DZ36" s="883">
        <f t="shared" ca="1" si="43"/>
        <v>0</v>
      </c>
      <c r="EA36" s="883">
        <f t="shared" ca="1" si="43"/>
        <v>0</v>
      </c>
      <c r="EB36" s="883">
        <f t="shared" ca="1" si="43"/>
        <v>0</v>
      </c>
      <c r="EC36" s="883">
        <f t="shared" ca="1" si="43"/>
        <v>0</v>
      </c>
      <c r="ED36" s="883">
        <f t="shared" ca="1" si="43"/>
        <v>0</v>
      </c>
      <c r="EE36" s="883">
        <f t="shared" ca="1" si="44"/>
        <v>0</v>
      </c>
      <c r="EF36" s="883">
        <f t="shared" ca="1" si="44"/>
        <v>0</v>
      </c>
      <c r="EG36" s="883">
        <f t="shared" ca="1" si="44"/>
        <v>0</v>
      </c>
      <c r="EH36" s="883">
        <f t="shared" ca="1" si="44"/>
        <v>0</v>
      </c>
      <c r="EI36" s="883">
        <f t="shared" ca="1" si="44"/>
        <v>0</v>
      </c>
      <c r="EJ36" s="883">
        <f t="shared" ca="1" si="44"/>
        <v>0</v>
      </c>
      <c r="EK36" s="883">
        <f t="shared" ca="1" si="44"/>
        <v>0</v>
      </c>
      <c r="EL36" s="883">
        <f t="shared" ca="1" si="44"/>
        <v>0</v>
      </c>
      <c r="EM36" s="883">
        <f t="shared" ca="1" si="44"/>
        <v>0</v>
      </c>
      <c r="EN36" s="883">
        <f t="shared" ca="1" si="44"/>
        <v>0</v>
      </c>
      <c r="EO36" s="883">
        <f t="shared" ca="1" si="44"/>
        <v>0</v>
      </c>
      <c r="EP36" s="883">
        <f t="shared" ca="1" si="44"/>
        <v>0</v>
      </c>
      <c r="EQ36" s="883">
        <f t="shared" ca="1" si="44"/>
        <v>0</v>
      </c>
      <c r="ER36" s="883">
        <f t="shared" ca="1" si="44"/>
        <v>0</v>
      </c>
      <c r="ES36" s="883">
        <f t="shared" ca="1" si="44"/>
        <v>0</v>
      </c>
      <c r="ET36" s="883">
        <f t="shared" ca="1" si="44"/>
        <v>0</v>
      </c>
      <c r="EU36" s="883">
        <f t="shared" ca="1" si="46"/>
        <v>0</v>
      </c>
      <c r="EV36" s="883">
        <f t="shared" ca="1" si="46"/>
        <v>0</v>
      </c>
      <c r="EW36" s="883">
        <f t="shared" ca="1" si="46"/>
        <v>0</v>
      </c>
      <c r="EX36" s="883">
        <f t="shared" ca="1" si="46"/>
        <v>0</v>
      </c>
      <c r="EY36" s="883">
        <f t="shared" ca="1" si="46"/>
        <v>0</v>
      </c>
      <c r="EZ36" s="883">
        <f t="shared" ca="1" si="46"/>
        <v>0</v>
      </c>
      <c r="FA36" s="883">
        <f t="shared" ca="1" si="46"/>
        <v>0</v>
      </c>
    </row>
    <row r="37" spans="8:157">
      <c r="H37" s="891">
        <f t="shared" ca="1" si="34"/>
        <v>2049</v>
      </c>
      <c r="I37" s="1206">
        <f t="shared" ca="1" si="32"/>
        <v>16425</v>
      </c>
      <c r="J37" s="1206">
        <f t="shared" ca="1" si="23"/>
        <v>0</v>
      </c>
      <c r="K37" s="929" t="str">
        <f t="shared" si="33"/>
        <v/>
      </c>
      <c r="L37" s="929" t="str">
        <f t="shared" si="24"/>
        <v/>
      </c>
      <c r="N37" s="1714">
        <v>31</v>
      </c>
      <c r="O37" s="1789" t="b">
        <f ca="1">庫存管理[[#This Row],[檢測]]</f>
        <v>0</v>
      </c>
      <c r="P37" s="882" t="e">
        <f ca="1">VLOOKUP(Q37,bond!B:AA,26,FALSE)</f>
        <v>#N/A</v>
      </c>
      <c r="Q37" s="883" t="str">
        <f ca="1">庫存管理[[#This Row],[商品代號]]</f>
        <v/>
      </c>
      <c r="R37" s="889">
        <f ca="1">IF(O37=TRUE,IFERROR(IF($D$4=1,庫存管理[[#This Row],[投入面額]]*庫存管理[[#This Row],[換算匯率(現)]],庫存管理[[#This Row],[投入面額]]),0),0)</f>
        <v>0</v>
      </c>
      <c r="S37" s="885" t="e">
        <f ca="1">庫存管理[[#This Row],[到期日]]</f>
        <v>#N/A</v>
      </c>
      <c r="T37" s="883">
        <f t="shared" ca="1" si="9"/>
        <v>0</v>
      </c>
      <c r="U37" s="885" t="str">
        <f ca="1">庫存管理[[#This Row],[下一配息日]]</f>
        <v/>
      </c>
      <c r="V37" s="886" t="str">
        <f t="shared" ca="1" si="39"/>
        <v/>
      </c>
      <c r="W37" s="885" t="e">
        <f ca="1">庫存管理[[#This Row],[到期日]]</f>
        <v>#N/A</v>
      </c>
      <c r="X37" s="886" t="str">
        <f t="shared" ca="1" si="40"/>
        <v/>
      </c>
      <c r="Y37" s="883" t="str">
        <f ca="1">庫存管理[[#This Row],[配息頻率]]</f>
        <v/>
      </c>
      <c r="Z37" s="883" t="str">
        <f>庫存管理[[#This Row],[投入面額]]</f>
        <v/>
      </c>
      <c r="AA37" s="909">
        <f ca="1">庫存管理[[#This Row],[票面利率]]</f>
        <v>0</v>
      </c>
      <c r="AB37" s="908">
        <f ca="1">庫存管理[[#This Row],[換算匯率(現)]]</f>
        <v>0</v>
      </c>
      <c r="AC37" s="887">
        <f t="shared" ca="1" si="12"/>
        <v>0</v>
      </c>
      <c r="AD37" s="883">
        <f t="shared" ca="1" si="52"/>
        <v>0</v>
      </c>
      <c r="AE37" s="883">
        <f t="shared" ca="1" si="51"/>
        <v>0</v>
      </c>
      <c r="AF37" s="883">
        <f t="shared" ca="1" si="51"/>
        <v>0</v>
      </c>
      <c r="AG37" s="883">
        <f t="shared" ca="1" si="51"/>
        <v>0</v>
      </c>
      <c r="AH37" s="883">
        <f t="shared" ca="1" si="51"/>
        <v>0</v>
      </c>
      <c r="AI37" s="883">
        <f t="shared" ca="1" si="51"/>
        <v>0</v>
      </c>
      <c r="AJ37" s="883">
        <f t="shared" ca="1" si="51"/>
        <v>0</v>
      </c>
      <c r="AK37" s="883">
        <f t="shared" ca="1" si="51"/>
        <v>0</v>
      </c>
      <c r="AL37" s="883">
        <f t="shared" ca="1" si="51"/>
        <v>0</v>
      </c>
      <c r="AM37" s="883">
        <f t="shared" ca="1" si="51"/>
        <v>0</v>
      </c>
      <c r="AN37" s="883">
        <f t="shared" ca="1" si="51"/>
        <v>0</v>
      </c>
      <c r="AO37" s="883">
        <f t="shared" ca="1" si="51"/>
        <v>0</v>
      </c>
      <c r="AP37" s="883">
        <f t="shared" ca="1" si="51"/>
        <v>0</v>
      </c>
      <c r="AQ37" s="883">
        <f t="shared" ca="1" si="51"/>
        <v>0</v>
      </c>
      <c r="AR37" s="883">
        <f t="shared" ca="1" si="51"/>
        <v>0</v>
      </c>
      <c r="AS37" s="883">
        <f t="shared" ca="1" si="51"/>
        <v>0</v>
      </c>
      <c r="AT37" s="883">
        <f t="shared" ca="1" si="51"/>
        <v>0</v>
      </c>
      <c r="AU37" s="883">
        <f t="shared" ca="1" si="48"/>
        <v>0</v>
      </c>
      <c r="AV37" s="883">
        <f t="shared" ca="1" si="48"/>
        <v>0</v>
      </c>
      <c r="AW37" s="883">
        <f t="shared" ca="1" si="48"/>
        <v>0</v>
      </c>
      <c r="AX37" s="883">
        <f t="shared" ca="1" si="48"/>
        <v>0</v>
      </c>
      <c r="AY37" s="883">
        <f t="shared" ca="1" si="48"/>
        <v>0</v>
      </c>
      <c r="AZ37" s="883">
        <f t="shared" ca="1" si="48"/>
        <v>0</v>
      </c>
      <c r="BA37" s="883">
        <f t="shared" ca="1" si="48"/>
        <v>0</v>
      </c>
      <c r="BB37" s="883">
        <f t="shared" ca="1" si="48"/>
        <v>0</v>
      </c>
      <c r="BC37" s="883">
        <f t="shared" ca="1" si="48"/>
        <v>0</v>
      </c>
      <c r="BD37" s="883">
        <f t="shared" ca="1" si="48"/>
        <v>0</v>
      </c>
      <c r="BE37" s="883">
        <f t="shared" ca="1" si="48"/>
        <v>0</v>
      </c>
      <c r="BF37" s="883">
        <f t="shared" ca="1" si="48"/>
        <v>0</v>
      </c>
      <c r="BG37" s="883">
        <f t="shared" ca="1" si="48"/>
        <v>0</v>
      </c>
      <c r="BH37" s="883">
        <f t="shared" ca="1" si="48"/>
        <v>0</v>
      </c>
      <c r="BI37" s="883">
        <f t="shared" ca="1" si="48"/>
        <v>0</v>
      </c>
      <c r="BJ37" s="883">
        <f t="shared" ca="1" si="48"/>
        <v>0</v>
      </c>
      <c r="BK37" s="883">
        <f t="shared" ca="1" si="49"/>
        <v>0</v>
      </c>
      <c r="BL37" s="883">
        <f t="shared" ca="1" si="49"/>
        <v>0</v>
      </c>
      <c r="BM37" s="883">
        <f t="shared" ca="1" si="49"/>
        <v>0</v>
      </c>
      <c r="BN37" s="883">
        <f t="shared" ca="1" si="49"/>
        <v>0</v>
      </c>
      <c r="BO37" s="883">
        <f t="shared" ca="1" si="49"/>
        <v>0</v>
      </c>
      <c r="BP37" s="883">
        <f t="shared" ca="1" si="49"/>
        <v>0</v>
      </c>
      <c r="BQ37" s="883">
        <f t="shared" ca="1" si="49"/>
        <v>0</v>
      </c>
      <c r="BR37" s="883">
        <f t="shared" ca="1" si="49"/>
        <v>0</v>
      </c>
      <c r="BS37" s="883">
        <f t="shared" ca="1" si="49"/>
        <v>0</v>
      </c>
      <c r="BT37" s="883">
        <f t="shared" ca="1" si="49"/>
        <v>0</v>
      </c>
      <c r="BU37" s="883">
        <f t="shared" ca="1" si="49"/>
        <v>0</v>
      </c>
      <c r="BV37" s="883">
        <f t="shared" ca="1" si="49"/>
        <v>0</v>
      </c>
      <c r="BW37" s="883">
        <f t="shared" ca="1" si="49"/>
        <v>0</v>
      </c>
      <c r="BX37" s="883">
        <f t="shared" ca="1" si="49"/>
        <v>0</v>
      </c>
      <c r="BY37" s="883">
        <f t="shared" ca="1" si="49"/>
        <v>0</v>
      </c>
      <c r="BZ37" s="883">
        <f t="shared" ca="1" si="49"/>
        <v>0</v>
      </c>
      <c r="CA37" s="883">
        <f t="shared" ca="1" si="50"/>
        <v>0</v>
      </c>
      <c r="CB37" s="883">
        <f t="shared" ca="1" si="50"/>
        <v>0</v>
      </c>
      <c r="CC37" s="883">
        <f t="shared" ca="1" si="50"/>
        <v>0</v>
      </c>
      <c r="CD37" s="883">
        <f t="shared" ca="1" si="50"/>
        <v>0</v>
      </c>
      <c r="CE37" s="883">
        <f t="shared" ca="1" si="50"/>
        <v>0</v>
      </c>
      <c r="CF37" s="883">
        <f t="shared" ca="1" si="50"/>
        <v>0</v>
      </c>
      <c r="CG37" s="883">
        <f t="shared" ca="1" si="50"/>
        <v>0</v>
      </c>
      <c r="CH37" s="883">
        <f t="shared" ca="1" si="50"/>
        <v>0</v>
      </c>
      <c r="CI37" s="883">
        <f t="shared" ca="1" si="50"/>
        <v>0</v>
      </c>
      <c r="CJ37" s="883">
        <f t="shared" ca="1" si="50"/>
        <v>0</v>
      </c>
      <c r="CK37" s="883">
        <f t="shared" ca="1" si="50"/>
        <v>0</v>
      </c>
      <c r="CL37" s="883">
        <f t="shared" ca="1" si="50"/>
        <v>0</v>
      </c>
      <c r="CM37" s="883">
        <f t="shared" ca="1" si="50"/>
        <v>0</v>
      </c>
      <c r="CN37" s="883">
        <f t="shared" ca="1" si="50"/>
        <v>0</v>
      </c>
      <c r="CO37" s="883">
        <f t="shared" ca="1" si="50"/>
        <v>0</v>
      </c>
      <c r="CP37" s="883">
        <f t="shared" ca="1" si="50"/>
        <v>0</v>
      </c>
      <c r="CQ37" s="883">
        <f t="shared" ca="1" si="41"/>
        <v>0</v>
      </c>
      <c r="CR37" s="883">
        <f t="shared" ca="1" si="47"/>
        <v>0</v>
      </c>
      <c r="CS37" s="883">
        <f t="shared" ca="1" si="47"/>
        <v>0</v>
      </c>
      <c r="CT37" s="883">
        <f t="shared" ca="1" si="47"/>
        <v>0</v>
      </c>
      <c r="CU37" s="883">
        <f t="shared" ca="1" si="47"/>
        <v>0</v>
      </c>
      <c r="CV37" s="883">
        <f t="shared" ca="1" si="47"/>
        <v>0</v>
      </c>
      <c r="CW37" s="883">
        <f t="shared" ca="1" si="47"/>
        <v>0</v>
      </c>
      <c r="CX37" s="883">
        <f t="shared" ca="1" si="47"/>
        <v>0</v>
      </c>
      <c r="CY37" s="883">
        <f t="shared" ca="1" si="47"/>
        <v>0</v>
      </c>
      <c r="CZ37" s="883">
        <f t="shared" ca="1" si="47"/>
        <v>0</v>
      </c>
      <c r="DA37" s="883">
        <f t="shared" ca="1" si="47"/>
        <v>0</v>
      </c>
      <c r="DB37" s="883">
        <f t="shared" ca="1" si="47"/>
        <v>0</v>
      </c>
      <c r="DC37" s="883">
        <f t="shared" ca="1" si="47"/>
        <v>0</v>
      </c>
      <c r="DD37" s="883">
        <f t="shared" ca="1" si="47"/>
        <v>0</v>
      </c>
      <c r="DE37" s="883">
        <f t="shared" ca="1" si="47"/>
        <v>0</v>
      </c>
      <c r="DF37" s="883">
        <f t="shared" ca="1" si="47"/>
        <v>0</v>
      </c>
      <c r="DG37" s="883">
        <f t="shared" ca="1" si="47"/>
        <v>0</v>
      </c>
      <c r="DH37" s="883">
        <f t="shared" ca="1" si="45"/>
        <v>0</v>
      </c>
      <c r="DI37" s="883">
        <f t="shared" ca="1" si="45"/>
        <v>0</v>
      </c>
      <c r="DJ37" s="883">
        <f t="shared" ca="1" si="45"/>
        <v>0</v>
      </c>
      <c r="DK37" s="883">
        <f t="shared" ca="1" si="45"/>
        <v>0</v>
      </c>
      <c r="DL37" s="883">
        <f t="shared" ca="1" si="45"/>
        <v>0</v>
      </c>
      <c r="DM37" s="883">
        <f t="shared" ca="1" si="45"/>
        <v>0</v>
      </c>
      <c r="DN37" s="883">
        <f t="shared" ca="1" si="45"/>
        <v>0</v>
      </c>
      <c r="DO37" s="883">
        <f t="shared" ca="1" si="43"/>
        <v>0</v>
      </c>
      <c r="DP37" s="883">
        <f t="shared" ca="1" si="43"/>
        <v>0</v>
      </c>
      <c r="DQ37" s="883">
        <f t="shared" ca="1" si="43"/>
        <v>0</v>
      </c>
      <c r="DR37" s="883">
        <f t="shared" ca="1" si="43"/>
        <v>0</v>
      </c>
      <c r="DS37" s="883">
        <f t="shared" ca="1" si="43"/>
        <v>0</v>
      </c>
      <c r="DT37" s="883">
        <f t="shared" ca="1" si="43"/>
        <v>0</v>
      </c>
      <c r="DU37" s="883">
        <f t="shared" ca="1" si="43"/>
        <v>0</v>
      </c>
      <c r="DV37" s="883">
        <f t="shared" ca="1" si="43"/>
        <v>0</v>
      </c>
      <c r="DW37" s="883">
        <f t="shared" ca="1" si="43"/>
        <v>0</v>
      </c>
      <c r="DX37" s="883">
        <f t="shared" ca="1" si="43"/>
        <v>0</v>
      </c>
      <c r="DY37" s="883">
        <f t="shared" ca="1" si="43"/>
        <v>0</v>
      </c>
      <c r="DZ37" s="883">
        <f t="shared" ca="1" si="43"/>
        <v>0</v>
      </c>
      <c r="EA37" s="883">
        <f t="shared" ca="1" si="43"/>
        <v>0</v>
      </c>
      <c r="EB37" s="883">
        <f t="shared" ca="1" si="43"/>
        <v>0</v>
      </c>
      <c r="EC37" s="883">
        <f t="shared" ca="1" si="43"/>
        <v>0</v>
      </c>
      <c r="ED37" s="883">
        <f t="shared" ca="1" si="43"/>
        <v>0</v>
      </c>
      <c r="EE37" s="883">
        <f t="shared" ca="1" si="44"/>
        <v>0</v>
      </c>
      <c r="EF37" s="883">
        <f t="shared" ca="1" si="44"/>
        <v>0</v>
      </c>
      <c r="EG37" s="883">
        <f t="shared" ca="1" si="44"/>
        <v>0</v>
      </c>
      <c r="EH37" s="883">
        <f t="shared" ca="1" si="44"/>
        <v>0</v>
      </c>
      <c r="EI37" s="883">
        <f t="shared" ca="1" si="44"/>
        <v>0</v>
      </c>
      <c r="EJ37" s="883">
        <f t="shared" ca="1" si="44"/>
        <v>0</v>
      </c>
      <c r="EK37" s="883">
        <f t="shared" ca="1" si="44"/>
        <v>0</v>
      </c>
      <c r="EL37" s="883">
        <f t="shared" ca="1" si="44"/>
        <v>0</v>
      </c>
      <c r="EM37" s="883">
        <f t="shared" ca="1" si="44"/>
        <v>0</v>
      </c>
      <c r="EN37" s="883">
        <f t="shared" ca="1" si="44"/>
        <v>0</v>
      </c>
      <c r="EO37" s="883">
        <f t="shared" ca="1" si="44"/>
        <v>0</v>
      </c>
      <c r="EP37" s="883">
        <f t="shared" ca="1" si="44"/>
        <v>0</v>
      </c>
      <c r="EQ37" s="883">
        <f t="shared" ca="1" si="44"/>
        <v>0</v>
      </c>
      <c r="ER37" s="883">
        <f t="shared" ca="1" si="44"/>
        <v>0</v>
      </c>
      <c r="ES37" s="883">
        <f t="shared" ca="1" si="44"/>
        <v>0</v>
      </c>
      <c r="ET37" s="883">
        <f t="shared" ca="1" si="44"/>
        <v>0</v>
      </c>
      <c r="EU37" s="883">
        <f t="shared" ca="1" si="46"/>
        <v>0</v>
      </c>
      <c r="EV37" s="883">
        <f t="shared" ca="1" si="46"/>
        <v>0</v>
      </c>
      <c r="EW37" s="883">
        <f t="shared" ca="1" si="46"/>
        <v>0</v>
      </c>
      <c r="EX37" s="883">
        <f t="shared" ca="1" si="46"/>
        <v>0</v>
      </c>
      <c r="EY37" s="883">
        <f t="shared" ca="1" si="46"/>
        <v>0</v>
      </c>
      <c r="EZ37" s="883">
        <f t="shared" ca="1" si="46"/>
        <v>0</v>
      </c>
      <c r="FA37" s="883">
        <f t="shared" ca="1" si="46"/>
        <v>0</v>
      </c>
    </row>
    <row r="38" spans="8:157">
      <c r="H38" s="891">
        <f ca="1">IF(H37&lt;$B$2,H37+1,"")</f>
        <v>2050</v>
      </c>
      <c r="I38" s="1206">
        <f t="shared" ca="1" si="32"/>
        <v>16425</v>
      </c>
      <c r="J38" s="1206">
        <f t="shared" ca="1" si="23"/>
        <v>0</v>
      </c>
      <c r="K38" s="929" t="str">
        <f t="shared" si="33"/>
        <v/>
      </c>
      <c r="L38" s="929" t="str">
        <f t="shared" si="24"/>
        <v/>
      </c>
      <c r="N38" s="1714">
        <v>32</v>
      </c>
      <c r="O38" s="1789" t="b">
        <f ca="1">庫存管理[[#This Row],[檢測]]</f>
        <v>0</v>
      </c>
      <c r="P38" s="882" t="e">
        <f ca="1">VLOOKUP(Q38,bond!B:AA,26,FALSE)</f>
        <v>#N/A</v>
      </c>
      <c r="Q38" s="883" t="str">
        <f ca="1">庫存管理[[#This Row],[商品代號]]</f>
        <v/>
      </c>
      <c r="R38" s="889">
        <f ca="1">IF(O38=TRUE,IFERROR(IF($D$4=1,庫存管理[[#This Row],[投入面額]]*庫存管理[[#This Row],[換算匯率(現)]],庫存管理[[#This Row],[投入面額]]),0),0)</f>
        <v>0</v>
      </c>
      <c r="S38" s="885" t="e">
        <f ca="1">庫存管理[[#This Row],[到期日]]</f>
        <v>#N/A</v>
      </c>
      <c r="T38" s="883">
        <f t="shared" ca="1" si="9"/>
        <v>0</v>
      </c>
      <c r="U38" s="885" t="str">
        <f ca="1">庫存管理[[#This Row],[下一配息日]]</f>
        <v/>
      </c>
      <c r="V38" s="886" t="str">
        <f t="shared" ca="1" si="39"/>
        <v/>
      </c>
      <c r="W38" s="885" t="e">
        <f ca="1">庫存管理[[#This Row],[到期日]]</f>
        <v>#N/A</v>
      </c>
      <c r="X38" s="886" t="str">
        <f t="shared" ca="1" si="40"/>
        <v/>
      </c>
      <c r="Y38" s="883" t="str">
        <f ca="1">庫存管理[[#This Row],[配息頻率]]</f>
        <v/>
      </c>
      <c r="Z38" s="883" t="str">
        <f>庫存管理[[#This Row],[投入面額]]</f>
        <v/>
      </c>
      <c r="AA38" s="909">
        <f ca="1">庫存管理[[#This Row],[票面利率]]</f>
        <v>0</v>
      </c>
      <c r="AB38" s="908">
        <f ca="1">庫存管理[[#This Row],[換算匯率(現)]]</f>
        <v>0</v>
      </c>
      <c r="AC38" s="887">
        <f t="shared" ca="1" si="12"/>
        <v>0</v>
      </c>
      <c r="AD38" s="883">
        <f t="shared" ca="1" si="52"/>
        <v>0</v>
      </c>
      <c r="AE38" s="883">
        <f t="shared" ca="1" si="51"/>
        <v>0</v>
      </c>
      <c r="AF38" s="883">
        <f t="shared" ca="1" si="51"/>
        <v>0</v>
      </c>
      <c r="AG38" s="883">
        <f t="shared" ca="1" si="51"/>
        <v>0</v>
      </c>
      <c r="AH38" s="883">
        <f t="shared" ca="1" si="51"/>
        <v>0</v>
      </c>
      <c r="AI38" s="883">
        <f t="shared" ca="1" si="51"/>
        <v>0</v>
      </c>
      <c r="AJ38" s="883">
        <f t="shared" ca="1" si="51"/>
        <v>0</v>
      </c>
      <c r="AK38" s="883">
        <f t="shared" ca="1" si="51"/>
        <v>0</v>
      </c>
      <c r="AL38" s="883">
        <f t="shared" ca="1" si="51"/>
        <v>0</v>
      </c>
      <c r="AM38" s="883">
        <f t="shared" ca="1" si="51"/>
        <v>0</v>
      </c>
      <c r="AN38" s="883">
        <f t="shared" ca="1" si="51"/>
        <v>0</v>
      </c>
      <c r="AO38" s="883">
        <f t="shared" ca="1" si="51"/>
        <v>0</v>
      </c>
      <c r="AP38" s="883">
        <f t="shared" ca="1" si="51"/>
        <v>0</v>
      </c>
      <c r="AQ38" s="883">
        <f t="shared" ca="1" si="51"/>
        <v>0</v>
      </c>
      <c r="AR38" s="883">
        <f t="shared" ca="1" si="51"/>
        <v>0</v>
      </c>
      <c r="AS38" s="883">
        <f t="shared" ca="1" si="51"/>
        <v>0</v>
      </c>
      <c r="AT38" s="883">
        <f t="shared" ca="1" si="51"/>
        <v>0</v>
      </c>
      <c r="AU38" s="883">
        <f t="shared" ca="1" si="48"/>
        <v>0</v>
      </c>
      <c r="AV38" s="883">
        <f t="shared" ca="1" si="48"/>
        <v>0</v>
      </c>
      <c r="AW38" s="883">
        <f t="shared" ca="1" si="48"/>
        <v>0</v>
      </c>
      <c r="AX38" s="883">
        <f t="shared" ca="1" si="48"/>
        <v>0</v>
      </c>
      <c r="AY38" s="883">
        <f t="shared" ca="1" si="48"/>
        <v>0</v>
      </c>
      <c r="AZ38" s="883">
        <f t="shared" ca="1" si="48"/>
        <v>0</v>
      </c>
      <c r="BA38" s="883">
        <f t="shared" ca="1" si="48"/>
        <v>0</v>
      </c>
      <c r="BB38" s="883">
        <f t="shared" ca="1" si="48"/>
        <v>0</v>
      </c>
      <c r="BC38" s="883">
        <f t="shared" ca="1" si="48"/>
        <v>0</v>
      </c>
      <c r="BD38" s="883">
        <f t="shared" ca="1" si="48"/>
        <v>0</v>
      </c>
      <c r="BE38" s="883">
        <f t="shared" ca="1" si="48"/>
        <v>0</v>
      </c>
      <c r="BF38" s="883">
        <f t="shared" ca="1" si="48"/>
        <v>0</v>
      </c>
      <c r="BG38" s="883">
        <f t="shared" ca="1" si="48"/>
        <v>0</v>
      </c>
      <c r="BH38" s="883">
        <f t="shared" ca="1" si="48"/>
        <v>0</v>
      </c>
      <c r="BI38" s="883">
        <f t="shared" ca="1" si="48"/>
        <v>0</v>
      </c>
      <c r="BJ38" s="883">
        <f t="shared" ca="1" si="48"/>
        <v>0</v>
      </c>
      <c r="BK38" s="883">
        <f t="shared" ca="1" si="49"/>
        <v>0</v>
      </c>
      <c r="BL38" s="883">
        <f t="shared" ca="1" si="49"/>
        <v>0</v>
      </c>
      <c r="BM38" s="883">
        <f t="shared" ca="1" si="49"/>
        <v>0</v>
      </c>
      <c r="BN38" s="883">
        <f t="shared" ca="1" si="49"/>
        <v>0</v>
      </c>
      <c r="BO38" s="883">
        <f t="shared" ca="1" si="49"/>
        <v>0</v>
      </c>
      <c r="BP38" s="883">
        <f t="shared" ca="1" si="49"/>
        <v>0</v>
      </c>
      <c r="BQ38" s="883">
        <f t="shared" ca="1" si="49"/>
        <v>0</v>
      </c>
      <c r="BR38" s="883">
        <f t="shared" ca="1" si="49"/>
        <v>0</v>
      </c>
      <c r="BS38" s="883">
        <f t="shared" ca="1" si="49"/>
        <v>0</v>
      </c>
      <c r="BT38" s="883">
        <f t="shared" ca="1" si="49"/>
        <v>0</v>
      </c>
      <c r="BU38" s="883">
        <f t="shared" ca="1" si="49"/>
        <v>0</v>
      </c>
      <c r="BV38" s="883">
        <f t="shared" ca="1" si="49"/>
        <v>0</v>
      </c>
      <c r="BW38" s="883">
        <f t="shared" ca="1" si="49"/>
        <v>0</v>
      </c>
      <c r="BX38" s="883">
        <f t="shared" ca="1" si="49"/>
        <v>0</v>
      </c>
      <c r="BY38" s="883">
        <f t="shared" ca="1" si="49"/>
        <v>0</v>
      </c>
      <c r="BZ38" s="883">
        <f t="shared" ca="1" si="49"/>
        <v>0</v>
      </c>
      <c r="CA38" s="883">
        <f t="shared" ca="1" si="50"/>
        <v>0</v>
      </c>
      <c r="CB38" s="883">
        <f t="shared" ca="1" si="50"/>
        <v>0</v>
      </c>
      <c r="CC38" s="883">
        <f t="shared" ca="1" si="50"/>
        <v>0</v>
      </c>
      <c r="CD38" s="883">
        <f t="shared" ca="1" si="50"/>
        <v>0</v>
      </c>
      <c r="CE38" s="883">
        <f t="shared" ca="1" si="50"/>
        <v>0</v>
      </c>
      <c r="CF38" s="883">
        <f t="shared" ca="1" si="50"/>
        <v>0</v>
      </c>
      <c r="CG38" s="883">
        <f t="shared" ca="1" si="50"/>
        <v>0</v>
      </c>
      <c r="CH38" s="883">
        <f t="shared" ca="1" si="50"/>
        <v>0</v>
      </c>
      <c r="CI38" s="883">
        <f t="shared" ca="1" si="50"/>
        <v>0</v>
      </c>
      <c r="CJ38" s="883">
        <f t="shared" ca="1" si="50"/>
        <v>0</v>
      </c>
      <c r="CK38" s="883">
        <f t="shared" ca="1" si="50"/>
        <v>0</v>
      </c>
      <c r="CL38" s="883">
        <f t="shared" ca="1" si="50"/>
        <v>0</v>
      </c>
      <c r="CM38" s="883">
        <f t="shared" ca="1" si="50"/>
        <v>0</v>
      </c>
      <c r="CN38" s="883">
        <f t="shared" ca="1" si="50"/>
        <v>0</v>
      </c>
      <c r="CO38" s="883">
        <f t="shared" ca="1" si="50"/>
        <v>0</v>
      </c>
      <c r="CP38" s="883">
        <f t="shared" ca="1" si="50"/>
        <v>0</v>
      </c>
      <c r="CQ38" s="883">
        <f t="shared" ca="1" si="41"/>
        <v>0</v>
      </c>
      <c r="CR38" s="883">
        <f t="shared" ca="1" si="47"/>
        <v>0</v>
      </c>
      <c r="CS38" s="883">
        <f t="shared" ca="1" si="47"/>
        <v>0</v>
      </c>
      <c r="CT38" s="883">
        <f t="shared" ca="1" si="47"/>
        <v>0</v>
      </c>
      <c r="CU38" s="883">
        <f t="shared" ca="1" si="47"/>
        <v>0</v>
      </c>
      <c r="CV38" s="883">
        <f t="shared" ca="1" si="47"/>
        <v>0</v>
      </c>
      <c r="CW38" s="883">
        <f t="shared" ca="1" si="47"/>
        <v>0</v>
      </c>
      <c r="CX38" s="883">
        <f t="shared" ca="1" si="47"/>
        <v>0</v>
      </c>
      <c r="CY38" s="883">
        <f t="shared" ca="1" si="47"/>
        <v>0</v>
      </c>
      <c r="CZ38" s="883">
        <f t="shared" ca="1" si="47"/>
        <v>0</v>
      </c>
      <c r="DA38" s="883">
        <f t="shared" ca="1" si="47"/>
        <v>0</v>
      </c>
      <c r="DB38" s="883">
        <f t="shared" ca="1" si="47"/>
        <v>0</v>
      </c>
      <c r="DC38" s="883">
        <f t="shared" ca="1" si="47"/>
        <v>0</v>
      </c>
      <c r="DD38" s="883">
        <f t="shared" ca="1" si="47"/>
        <v>0</v>
      </c>
      <c r="DE38" s="883">
        <f t="shared" ca="1" si="47"/>
        <v>0</v>
      </c>
      <c r="DF38" s="883">
        <f t="shared" ca="1" si="47"/>
        <v>0</v>
      </c>
      <c r="DG38" s="883">
        <f t="shared" ca="1" si="47"/>
        <v>0</v>
      </c>
      <c r="DH38" s="883">
        <f t="shared" ca="1" si="45"/>
        <v>0</v>
      </c>
      <c r="DI38" s="883">
        <f t="shared" ca="1" si="45"/>
        <v>0</v>
      </c>
      <c r="DJ38" s="883">
        <f t="shared" ca="1" si="45"/>
        <v>0</v>
      </c>
      <c r="DK38" s="883">
        <f t="shared" ca="1" si="45"/>
        <v>0</v>
      </c>
      <c r="DL38" s="883">
        <f t="shared" ca="1" si="45"/>
        <v>0</v>
      </c>
      <c r="DM38" s="883">
        <f t="shared" ca="1" si="45"/>
        <v>0</v>
      </c>
      <c r="DN38" s="883">
        <f t="shared" ca="1" si="45"/>
        <v>0</v>
      </c>
      <c r="DO38" s="883">
        <f t="shared" ca="1" si="43"/>
        <v>0</v>
      </c>
      <c r="DP38" s="883">
        <f t="shared" ca="1" si="43"/>
        <v>0</v>
      </c>
      <c r="DQ38" s="883">
        <f t="shared" ca="1" si="43"/>
        <v>0</v>
      </c>
      <c r="DR38" s="883">
        <f t="shared" ca="1" si="43"/>
        <v>0</v>
      </c>
      <c r="DS38" s="883">
        <f t="shared" ca="1" si="43"/>
        <v>0</v>
      </c>
      <c r="DT38" s="883">
        <f t="shared" ca="1" si="43"/>
        <v>0</v>
      </c>
      <c r="DU38" s="883">
        <f t="shared" ca="1" si="43"/>
        <v>0</v>
      </c>
      <c r="DV38" s="883">
        <f t="shared" ca="1" si="43"/>
        <v>0</v>
      </c>
      <c r="DW38" s="883">
        <f t="shared" ca="1" si="43"/>
        <v>0</v>
      </c>
      <c r="DX38" s="883">
        <f t="shared" ca="1" si="43"/>
        <v>0</v>
      </c>
      <c r="DY38" s="883">
        <f t="shared" ca="1" si="43"/>
        <v>0</v>
      </c>
      <c r="DZ38" s="883">
        <f t="shared" ca="1" si="43"/>
        <v>0</v>
      </c>
      <c r="EA38" s="883">
        <f t="shared" ca="1" si="43"/>
        <v>0</v>
      </c>
      <c r="EB38" s="883">
        <f t="shared" ca="1" si="43"/>
        <v>0</v>
      </c>
      <c r="EC38" s="883">
        <f t="shared" ca="1" si="43"/>
        <v>0</v>
      </c>
      <c r="ED38" s="883">
        <f t="shared" ca="1" si="43"/>
        <v>0</v>
      </c>
      <c r="EE38" s="883">
        <f t="shared" ca="1" si="44"/>
        <v>0</v>
      </c>
      <c r="EF38" s="883">
        <f t="shared" ca="1" si="44"/>
        <v>0</v>
      </c>
      <c r="EG38" s="883">
        <f t="shared" ca="1" si="44"/>
        <v>0</v>
      </c>
      <c r="EH38" s="883">
        <f t="shared" ca="1" si="44"/>
        <v>0</v>
      </c>
      <c r="EI38" s="883">
        <f t="shared" ca="1" si="44"/>
        <v>0</v>
      </c>
      <c r="EJ38" s="883">
        <f t="shared" ca="1" si="44"/>
        <v>0</v>
      </c>
      <c r="EK38" s="883">
        <f t="shared" ca="1" si="44"/>
        <v>0</v>
      </c>
      <c r="EL38" s="883">
        <f t="shared" ca="1" si="44"/>
        <v>0</v>
      </c>
      <c r="EM38" s="883">
        <f t="shared" ca="1" si="44"/>
        <v>0</v>
      </c>
      <c r="EN38" s="883">
        <f t="shared" ca="1" si="44"/>
        <v>0</v>
      </c>
      <c r="EO38" s="883">
        <f t="shared" ca="1" si="44"/>
        <v>0</v>
      </c>
      <c r="EP38" s="883">
        <f t="shared" ca="1" si="44"/>
        <v>0</v>
      </c>
      <c r="EQ38" s="883">
        <f t="shared" ca="1" si="44"/>
        <v>0</v>
      </c>
      <c r="ER38" s="883">
        <f t="shared" ca="1" si="44"/>
        <v>0</v>
      </c>
      <c r="ES38" s="883">
        <f t="shared" ca="1" si="44"/>
        <v>0</v>
      </c>
      <c r="ET38" s="883">
        <f t="shared" ca="1" si="44"/>
        <v>0</v>
      </c>
      <c r="EU38" s="883">
        <f t="shared" ca="1" si="46"/>
        <v>0</v>
      </c>
      <c r="EV38" s="883">
        <f t="shared" ca="1" si="46"/>
        <v>0</v>
      </c>
      <c r="EW38" s="883">
        <f t="shared" ca="1" si="46"/>
        <v>0</v>
      </c>
      <c r="EX38" s="883">
        <f t="shared" ca="1" si="46"/>
        <v>0</v>
      </c>
      <c r="EY38" s="883">
        <f t="shared" ca="1" si="46"/>
        <v>0</v>
      </c>
      <c r="EZ38" s="883">
        <f t="shared" ca="1" si="46"/>
        <v>0</v>
      </c>
      <c r="FA38" s="883">
        <f t="shared" ca="1" si="46"/>
        <v>0</v>
      </c>
    </row>
    <row r="39" spans="8:157">
      <c r="H39" s="891">
        <f t="shared" ca="1" si="34"/>
        <v>2051</v>
      </c>
      <c r="I39" s="1206">
        <f t="shared" ca="1" si="32"/>
        <v>16425</v>
      </c>
      <c r="J39" s="1206">
        <f t="shared" ca="1" si="23"/>
        <v>0</v>
      </c>
      <c r="K39" s="929" t="str">
        <f t="shared" si="33"/>
        <v/>
      </c>
      <c r="L39" s="929" t="str">
        <f t="shared" si="24"/>
        <v/>
      </c>
      <c r="N39" s="1714">
        <v>33</v>
      </c>
      <c r="O39" s="1789" t="b">
        <f ca="1">庫存管理[[#This Row],[檢測]]</f>
        <v>0</v>
      </c>
      <c r="P39" s="882" t="e">
        <f ca="1">VLOOKUP(Q39,bond!B:AA,26,FALSE)</f>
        <v>#N/A</v>
      </c>
      <c r="Q39" s="883" t="str">
        <f ca="1">庫存管理[[#This Row],[商品代號]]</f>
        <v/>
      </c>
      <c r="R39" s="889">
        <f ca="1">IF(O39=TRUE,IFERROR(IF($D$4=1,庫存管理[[#This Row],[投入面額]]*庫存管理[[#This Row],[換算匯率(現)]],庫存管理[[#This Row],[投入面額]]),0),0)</f>
        <v>0</v>
      </c>
      <c r="S39" s="885" t="e">
        <f ca="1">庫存管理[[#This Row],[到期日]]</f>
        <v>#N/A</v>
      </c>
      <c r="T39" s="883">
        <f t="shared" ca="1" si="9"/>
        <v>0</v>
      </c>
      <c r="U39" s="885" t="str">
        <f ca="1">庫存管理[[#This Row],[下一配息日]]</f>
        <v/>
      </c>
      <c r="V39" s="886" t="str">
        <f t="shared" ca="1" si="39"/>
        <v/>
      </c>
      <c r="W39" s="885" t="e">
        <f ca="1">庫存管理[[#This Row],[到期日]]</f>
        <v>#N/A</v>
      </c>
      <c r="X39" s="886" t="str">
        <f t="shared" ca="1" si="40"/>
        <v/>
      </c>
      <c r="Y39" s="883" t="str">
        <f ca="1">庫存管理[[#This Row],[配息頻率]]</f>
        <v/>
      </c>
      <c r="Z39" s="883" t="str">
        <f>庫存管理[[#This Row],[投入面額]]</f>
        <v/>
      </c>
      <c r="AA39" s="909">
        <f ca="1">庫存管理[[#This Row],[票面利率]]</f>
        <v>0</v>
      </c>
      <c r="AB39" s="908">
        <f ca="1">庫存管理[[#This Row],[換算匯率(現)]]</f>
        <v>0</v>
      </c>
      <c r="AC39" s="887">
        <f t="shared" ca="1" si="12"/>
        <v>0</v>
      </c>
      <c r="AD39" s="883">
        <f t="shared" ca="1" si="52"/>
        <v>0</v>
      </c>
      <c r="AE39" s="883">
        <f t="shared" ca="1" si="51"/>
        <v>0</v>
      </c>
      <c r="AF39" s="883">
        <f t="shared" ca="1" si="51"/>
        <v>0</v>
      </c>
      <c r="AG39" s="883">
        <f t="shared" ca="1" si="51"/>
        <v>0</v>
      </c>
      <c r="AH39" s="883">
        <f t="shared" ca="1" si="51"/>
        <v>0</v>
      </c>
      <c r="AI39" s="883">
        <f t="shared" ca="1" si="51"/>
        <v>0</v>
      </c>
      <c r="AJ39" s="883">
        <f t="shared" ca="1" si="51"/>
        <v>0</v>
      </c>
      <c r="AK39" s="883">
        <f t="shared" ca="1" si="51"/>
        <v>0</v>
      </c>
      <c r="AL39" s="883">
        <f t="shared" ca="1" si="51"/>
        <v>0</v>
      </c>
      <c r="AM39" s="883">
        <f t="shared" ca="1" si="51"/>
        <v>0</v>
      </c>
      <c r="AN39" s="883">
        <f t="shared" ca="1" si="51"/>
        <v>0</v>
      </c>
      <c r="AO39" s="883">
        <f t="shared" ca="1" si="51"/>
        <v>0</v>
      </c>
      <c r="AP39" s="883">
        <f t="shared" ca="1" si="51"/>
        <v>0</v>
      </c>
      <c r="AQ39" s="883">
        <f t="shared" ca="1" si="51"/>
        <v>0</v>
      </c>
      <c r="AR39" s="883">
        <f t="shared" ca="1" si="51"/>
        <v>0</v>
      </c>
      <c r="AS39" s="883">
        <f t="shared" ca="1" si="51"/>
        <v>0</v>
      </c>
      <c r="AT39" s="883">
        <f t="shared" ca="1" si="51"/>
        <v>0</v>
      </c>
      <c r="AU39" s="883">
        <f t="shared" ca="1" si="48"/>
        <v>0</v>
      </c>
      <c r="AV39" s="883">
        <f t="shared" ca="1" si="48"/>
        <v>0</v>
      </c>
      <c r="AW39" s="883">
        <f t="shared" ca="1" si="48"/>
        <v>0</v>
      </c>
      <c r="AX39" s="883">
        <f t="shared" ca="1" si="48"/>
        <v>0</v>
      </c>
      <c r="AY39" s="883">
        <f t="shared" ca="1" si="48"/>
        <v>0</v>
      </c>
      <c r="AZ39" s="883">
        <f t="shared" ca="1" si="48"/>
        <v>0</v>
      </c>
      <c r="BA39" s="883">
        <f t="shared" ca="1" si="48"/>
        <v>0</v>
      </c>
      <c r="BB39" s="883">
        <f t="shared" ca="1" si="48"/>
        <v>0</v>
      </c>
      <c r="BC39" s="883">
        <f t="shared" ca="1" si="48"/>
        <v>0</v>
      </c>
      <c r="BD39" s="883">
        <f t="shared" ca="1" si="48"/>
        <v>0</v>
      </c>
      <c r="BE39" s="883">
        <f t="shared" ca="1" si="48"/>
        <v>0</v>
      </c>
      <c r="BF39" s="883">
        <f t="shared" ca="1" si="48"/>
        <v>0</v>
      </c>
      <c r="BG39" s="883">
        <f t="shared" ca="1" si="48"/>
        <v>0</v>
      </c>
      <c r="BH39" s="883">
        <f t="shared" ca="1" si="48"/>
        <v>0</v>
      </c>
      <c r="BI39" s="883">
        <f t="shared" ca="1" si="48"/>
        <v>0</v>
      </c>
      <c r="BJ39" s="883">
        <f t="shared" ca="1" si="48"/>
        <v>0</v>
      </c>
      <c r="BK39" s="883">
        <f t="shared" ca="1" si="49"/>
        <v>0</v>
      </c>
      <c r="BL39" s="883">
        <f t="shared" ca="1" si="49"/>
        <v>0</v>
      </c>
      <c r="BM39" s="883">
        <f t="shared" ca="1" si="49"/>
        <v>0</v>
      </c>
      <c r="BN39" s="883">
        <f t="shared" ca="1" si="49"/>
        <v>0</v>
      </c>
      <c r="BO39" s="883">
        <f t="shared" ca="1" si="49"/>
        <v>0</v>
      </c>
      <c r="BP39" s="883">
        <f t="shared" ca="1" si="49"/>
        <v>0</v>
      </c>
      <c r="BQ39" s="883">
        <f t="shared" ca="1" si="49"/>
        <v>0</v>
      </c>
      <c r="BR39" s="883">
        <f t="shared" ca="1" si="49"/>
        <v>0</v>
      </c>
      <c r="BS39" s="883">
        <f t="shared" ca="1" si="49"/>
        <v>0</v>
      </c>
      <c r="BT39" s="883">
        <f t="shared" ca="1" si="49"/>
        <v>0</v>
      </c>
      <c r="BU39" s="883">
        <f t="shared" ca="1" si="49"/>
        <v>0</v>
      </c>
      <c r="BV39" s="883">
        <f t="shared" ca="1" si="49"/>
        <v>0</v>
      </c>
      <c r="BW39" s="883">
        <f t="shared" ca="1" si="49"/>
        <v>0</v>
      </c>
      <c r="BX39" s="883">
        <f t="shared" ca="1" si="49"/>
        <v>0</v>
      </c>
      <c r="BY39" s="883">
        <f t="shared" ca="1" si="49"/>
        <v>0</v>
      </c>
      <c r="BZ39" s="883">
        <f t="shared" ca="1" si="49"/>
        <v>0</v>
      </c>
      <c r="CA39" s="883">
        <f t="shared" ca="1" si="50"/>
        <v>0</v>
      </c>
      <c r="CB39" s="883">
        <f t="shared" ca="1" si="50"/>
        <v>0</v>
      </c>
      <c r="CC39" s="883">
        <f t="shared" ca="1" si="50"/>
        <v>0</v>
      </c>
      <c r="CD39" s="883">
        <f t="shared" ca="1" si="50"/>
        <v>0</v>
      </c>
      <c r="CE39" s="883">
        <f t="shared" ca="1" si="50"/>
        <v>0</v>
      </c>
      <c r="CF39" s="883">
        <f t="shared" ca="1" si="50"/>
        <v>0</v>
      </c>
      <c r="CG39" s="883">
        <f t="shared" ca="1" si="50"/>
        <v>0</v>
      </c>
      <c r="CH39" s="883">
        <f t="shared" ca="1" si="50"/>
        <v>0</v>
      </c>
      <c r="CI39" s="883">
        <f t="shared" ca="1" si="50"/>
        <v>0</v>
      </c>
      <c r="CJ39" s="883">
        <f t="shared" ca="1" si="50"/>
        <v>0</v>
      </c>
      <c r="CK39" s="883">
        <f t="shared" ca="1" si="50"/>
        <v>0</v>
      </c>
      <c r="CL39" s="883">
        <f t="shared" ca="1" si="50"/>
        <v>0</v>
      </c>
      <c r="CM39" s="883">
        <f t="shared" ca="1" si="50"/>
        <v>0</v>
      </c>
      <c r="CN39" s="883">
        <f t="shared" ca="1" si="50"/>
        <v>0</v>
      </c>
      <c r="CO39" s="883">
        <f t="shared" ca="1" si="50"/>
        <v>0</v>
      </c>
      <c r="CP39" s="883">
        <f t="shared" ca="1" si="50"/>
        <v>0</v>
      </c>
      <c r="CQ39" s="883">
        <f t="shared" ca="1" si="41"/>
        <v>0</v>
      </c>
      <c r="CR39" s="883">
        <f t="shared" ca="1" si="47"/>
        <v>0</v>
      </c>
      <c r="CS39" s="883">
        <f t="shared" ca="1" si="47"/>
        <v>0</v>
      </c>
      <c r="CT39" s="883">
        <f t="shared" ca="1" si="47"/>
        <v>0</v>
      </c>
      <c r="CU39" s="883">
        <f t="shared" ca="1" si="47"/>
        <v>0</v>
      </c>
      <c r="CV39" s="883">
        <f t="shared" ca="1" si="47"/>
        <v>0</v>
      </c>
      <c r="CW39" s="883">
        <f t="shared" ca="1" si="47"/>
        <v>0</v>
      </c>
      <c r="CX39" s="883">
        <f t="shared" ca="1" si="47"/>
        <v>0</v>
      </c>
      <c r="CY39" s="883">
        <f t="shared" ca="1" si="47"/>
        <v>0</v>
      </c>
      <c r="CZ39" s="883">
        <f t="shared" ca="1" si="47"/>
        <v>0</v>
      </c>
      <c r="DA39" s="883">
        <f t="shared" ca="1" si="47"/>
        <v>0</v>
      </c>
      <c r="DB39" s="883">
        <f t="shared" ca="1" si="47"/>
        <v>0</v>
      </c>
      <c r="DC39" s="883">
        <f t="shared" ca="1" si="47"/>
        <v>0</v>
      </c>
      <c r="DD39" s="883">
        <f t="shared" ca="1" si="47"/>
        <v>0</v>
      </c>
      <c r="DE39" s="883">
        <f t="shared" ca="1" si="47"/>
        <v>0</v>
      </c>
      <c r="DF39" s="883">
        <f t="shared" ca="1" si="47"/>
        <v>0</v>
      </c>
      <c r="DG39" s="883">
        <f t="shared" ca="1" si="47"/>
        <v>0</v>
      </c>
      <c r="DH39" s="883">
        <f t="shared" ca="1" si="45"/>
        <v>0</v>
      </c>
      <c r="DI39" s="883">
        <f t="shared" ca="1" si="45"/>
        <v>0</v>
      </c>
      <c r="DJ39" s="883">
        <f t="shared" ca="1" si="45"/>
        <v>0</v>
      </c>
      <c r="DK39" s="883">
        <f t="shared" ca="1" si="45"/>
        <v>0</v>
      </c>
      <c r="DL39" s="883">
        <f t="shared" ca="1" si="45"/>
        <v>0</v>
      </c>
      <c r="DM39" s="883">
        <f t="shared" ca="1" si="45"/>
        <v>0</v>
      </c>
      <c r="DN39" s="883">
        <f t="shared" ca="1" si="45"/>
        <v>0</v>
      </c>
      <c r="DO39" s="883">
        <f t="shared" ca="1" si="43"/>
        <v>0</v>
      </c>
      <c r="DP39" s="883">
        <f t="shared" ca="1" si="43"/>
        <v>0</v>
      </c>
      <c r="DQ39" s="883">
        <f t="shared" ca="1" si="43"/>
        <v>0</v>
      </c>
      <c r="DR39" s="883">
        <f t="shared" ca="1" si="43"/>
        <v>0</v>
      </c>
      <c r="DS39" s="883">
        <f t="shared" ca="1" si="43"/>
        <v>0</v>
      </c>
      <c r="DT39" s="883">
        <f t="shared" ca="1" si="43"/>
        <v>0</v>
      </c>
      <c r="DU39" s="883">
        <f t="shared" ca="1" si="43"/>
        <v>0</v>
      </c>
      <c r="DV39" s="883">
        <f t="shared" ca="1" si="43"/>
        <v>0</v>
      </c>
      <c r="DW39" s="883">
        <f t="shared" ca="1" si="43"/>
        <v>0</v>
      </c>
      <c r="DX39" s="883">
        <f t="shared" ca="1" si="43"/>
        <v>0</v>
      </c>
      <c r="DY39" s="883">
        <f t="shared" ca="1" si="43"/>
        <v>0</v>
      </c>
      <c r="DZ39" s="883">
        <f t="shared" ca="1" si="43"/>
        <v>0</v>
      </c>
      <c r="EA39" s="883">
        <f t="shared" ca="1" si="43"/>
        <v>0</v>
      </c>
      <c r="EB39" s="883">
        <f t="shared" ca="1" si="43"/>
        <v>0</v>
      </c>
      <c r="EC39" s="883">
        <f t="shared" ca="1" si="43"/>
        <v>0</v>
      </c>
      <c r="ED39" s="883">
        <f t="shared" ca="1" si="43"/>
        <v>0</v>
      </c>
      <c r="EE39" s="883">
        <f t="shared" ca="1" si="44"/>
        <v>0</v>
      </c>
      <c r="EF39" s="883">
        <f t="shared" ca="1" si="44"/>
        <v>0</v>
      </c>
      <c r="EG39" s="883">
        <f t="shared" ca="1" si="44"/>
        <v>0</v>
      </c>
      <c r="EH39" s="883">
        <f t="shared" ca="1" si="44"/>
        <v>0</v>
      </c>
      <c r="EI39" s="883">
        <f t="shared" ca="1" si="44"/>
        <v>0</v>
      </c>
      <c r="EJ39" s="883">
        <f t="shared" ca="1" si="44"/>
        <v>0</v>
      </c>
      <c r="EK39" s="883">
        <f t="shared" ca="1" si="44"/>
        <v>0</v>
      </c>
      <c r="EL39" s="883">
        <f t="shared" ca="1" si="44"/>
        <v>0</v>
      </c>
      <c r="EM39" s="883">
        <f t="shared" ca="1" si="44"/>
        <v>0</v>
      </c>
      <c r="EN39" s="883">
        <f t="shared" ca="1" si="44"/>
        <v>0</v>
      </c>
      <c r="EO39" s="883">
        <f t="shared" ca="1" si="44"/>
        <v>0</v>
      </c>
      <c r="EP39" s="883">
        <f t="shared" ca="1" si="44"/>
        <v>0</v>
      </c>
      <c r="EQ39" s="883">
        <f t="shared" ca="1" si="44"/>
        <v>0</v>
      </c>
      <c r="ER39" s="883">
        <f t="shared" ca="1" si="44"/>
        <v>0</v>
      </c>
      <c r="ES39" s="883">
        <f t="shared" ca="1" si="44"/>
        <v>0</v>
      </c>
      <c r="ET39" s="883">
        <f t="shared" ca="1" si="44"/>
        <v>0</v>
      </c>
      <c r="EU39" s="883">
        <f t="shared" ca="1" si="46"/>
        <v>0</v>
      </c>
      <c r="EV39" s="883">
        <f t="shared" ca="1" si="46"/>
        <v>0</v>
      </c>
      <c r="EW39" s="883">
        <f t="shared" ca="1" si="46"/>
        <v>0</v>
      </c>
      <c r="EX39" s="883">
        <f t="shared" ca="1" si="46"/>
        <v>0</v>
      </c>
      <c r="EY39" s="883">
        <f t="shared" ca="1" si="46"/>
        <v>0</v>
      </c>
      <c r="EZ39" s="883">
        <f t="shared" ca="1" si="46"/>
        <v>0</v>
      </c>
      <c r="FA39" s="883">
        <f t="shared" ca="1" si="46"/>
        <v>0</v>
      </c>
    </row>
    <row r="40" spans="8:157">
      <c r="H40" s="891">
        <f t="shared" ca="1" si="34"/>
        <v>2052</v>
      </c>
      <c r="I40" s="1206">
        <f t="shared" ca="1" si="32"/>
        <v>16425</v>
      </c>
      <c r="J40" s="1206">
        <f t="shared" ca="1" si="23"/>
        <v>100000</v>
      </c>
      <c r="K40" s="929" t="str">
        <f t="shared" si="33"/>
        <v/>
      </c>
      <c r="L40" s="929" t="str">
        <f t="shared" si="24"/>
        <v/>
      </c>
      <c r="N40" s="1714">
        <v>34</v>
      </c>
      <c r="O40" s="1789" t="b">
        <f ca="1">庫存管理[[#This Row],[檢測]]</f>
        <v>0</v>
      </c>
      <c r="P40" s="882" t="e">
        <f ca="1">VLOOKUP(Q40,bond!B:AA,26,FALSE)</f>
        <v>#N/A</v>
      </c>
      <c r="Q40" s="883" t="str">
        <f ca="1">庫存管理[[#This Row],[商品代號]]</f>
        <v/>
      </c>
      <c r="R40" s="889">
        <f ca="1">IF(O40=TRUE,IFERROR(IF($D$4=1,庫存管理[[#This Row],[投入面額]]*庫存管理[[#This Row],[換算匯率(現)]],庫存管理[[#This Row],[投入面額]]),0),0)</f>
        <v>0</v>
      </c>
      <c r="S40" s="885" t="e">
        <f ca="1">庫存管理[[#This Row],[到期日]]</f>
        <v>#N/A</v>
      </c>
      <c r="T40" s="883">
        <f t="shared" ca="1" si="9"/>
        <v>0</v>
      </c>
      <c r="U40" s="885" t="str">
        <f ca="1">庫存管理[[#This Row],[下一配息日]]</f>
        <v/>
      </c>
      <c r="V40" s="886" t="str">
        <f t="shared" ca="1" si="39"/>
        <v/>
      </c>
      <c r="W40" s="885" t="e">
        <f ca="1">庫存管理[[#This Row],[到期日]]</f>
        <v>#N/A</v>
      </c>
      <c r="X40" s="886" t="str">
        <f t="shared" ca="1" si="40"/>
        <v/>
      </c>
      <c r="Y40" s="883" t="str">
        <f ca="1">庫存管理[[#This Row],[配息頻率]]</f>
        <v/>
      </c>
      <c r="Z40" s="883" t="str">
        <f>庫存管理[[#This Row],[投入面額]]</f>
        <v/>
      </c>
      <c r="AA40" s="909">
        <f ca="1">庫存管理[[#This Row],[票面利率]]</f>
        <v>0</v>
      </c>
      <c r="AB40" s="908">
        <f ca="1">庫存管理[[#This Row],[換算匯率(現)]]</f>
        <v>0</v>
      </c>
      <c r="AC40" s="887">
        <f t="shared" ca="1" si="12"/>
        <v>0</v>
      </c>
      <c r="AD40" s="883">
        <f t="shared" ca="1" si="52"/>
        <v>0</v>
      </c>
      <c r="AE40" s="883">
        <f t="shared" ca="1" si="51"/>
        <v>0</v>
      </c>
      <c r="AF40" s="883">
        <f t="shared" ca="1" si="51"/>
        <v>0</v>
      </c>
      <c r="AG40" s="883">
        <f t="shared" ca="1" si="51"/>
        <v>0</v>
      </c>
      <c r="AH40" s="883">
        <f t="shared" ca="1" si="51"/>
        <v>0</v>
      </c>
      <c r="AI40" s="883">
        <f t="shared" ca="1" si="51"/>
        <v>0</v>
      </c>
      <c r="AJ40" s="883">
        <f t="shared" ca="1" si="51"/>
        <v>0</v>
      </c>
      <c r="AK40" s="883">
        <f t="shared" ca="1" si="51"/>
        <v>0</v>
      </c>
      <c r="AL40" s="883">
        <f t="shared" ca="1" si="51"/>
        <v>0</v>
      </c>
      <c r="AM40" s="883">
        <f t="shared" ca="1" si="51"/>
        <v>0</v>
      </c>
      <c r="AN40" s="883">
        <f t="shared" ca="1" si="51"/>
        <v>0</v>
      </c>
      <c r="AO40" s="883">
        <f t="shared" ca="1" si="51"/>
        <v>0</v>
      </c>
      <c r="AP40" s="883">
        <f t="shared" ca="1" si="51"/>
        <v>0</v>
      </c>
      <c r="AQ40" s="883">
        <f t="shared" ca="1" si="51"/>
        <v>0</v>
      </c>
      <c r="AR40" s="883">
        <f t="shared" ca="1" si="51"/>
        <v>0</v>
      </c>
      <c r="AS40" s="883">
        <f t="shared" ca="1" si="51"/>
        <v>0</v>
      </c>
      <c r="AT40" s="883">
        <f t="shared" ca="1" si="51"/>
        <v>0</v>
      </c>
      <c r="AU40" s="883">
        <f t="shared" ca="1" si="48"/>
        <v>0</v>
      </c>
      <c r="AV40" s="883">
        <f t="shared" ca="1" si="48"/>
        <v>0</v>
      </c>
      <c r="AW40" s="883">
        <f t="shared" ca="1" si="48"/>
        <v>0</v>
      </c>
      <c r="AX40" s="883">
        <f t="shared" ca="1" si="48"/>
        <v>0</v>
      </c>
      <c r="AY40" s="883">
        <f t="shared" ca="1" si="48"/>
        <v>0</v>
      </c>
      <c r="AZ40" s="883">
        <f t="shared" ca="1" si="48"/>
        <v>0</v>
      </c>
      <c r="BA40" s="883">
        <f t="shared" ca="1" si="48"/>
        <v>0</v>
      </c>
      <c r="BB40" s="883">
        <f t="shared" ca="1" si="48"/>
        <v>0</v>
      </c>
      <c r="BC40" s="883">
        <f t="shared" ca="1" si="48"/>
        <v>0</v>
      </c>
      <c r="BD40" s="883">
        <f t="shared" ca="1" si="48"/>
        <v>0</v>
      </c>
      <c r="BE40" s="883">
        <f t="shared" ca="1" si="48"/>
        <v>0</v>
      </c>
      <c r="BF40" s="883">
        <f t="shared" ca="1" si="48"/>
        <v>0</v>
      </c>
      <c r="BG40" s="883">
        <f t="shared" ca="1" si="48"/>
        <v>0</v>
      </c>
      <c r="BH40" s="883">
        <f t="shared" ca="1" si="48"/>
        <v>0</v>
      </c>
      <c r="BI40" s="883">
        <f t="shared" ca="1" si="48"/>
        <v>0</v>
      </c>
      <c r="BJ40" s="883">
        <f t="shared" ca="1" si="48"/>
        <v>0</v>
      </c>
      <c r="BK40" s="883">
        <f t="shared" ca="1" si="49"/>
        <v>0</v>
      </c>
      <c r="BL40" s="883">
        <f t="shared" ca="1" si="49"/>
        <v>0</v>
      </c>
      <c r="BM40" s="883">
        <f t="shared" ca="1" si="49"/>
        <v>0</v>
      </c>
      <c r="BN40" s="883">
        <f t="shared" ca="1" si="49"/>
        <v>0</v>
      </c>
      <c r="BO40" s="883">
        <f t="shared" ca="1" si="49"/>
        <v>0</v>
      </c>
      <c r="BP40" s="883">
        <f t="shared" ca="1" si="49"/>
        <v>0</v>
      </c>
      <c r="BQ40" s="883">
        <f t="shared" ca="1" si="49"/>
        <v>0</v>
      </c>
      <c r="BR40" s="883">
        <f t="shared" ca="1" si="49"/>
        <v>0</v>
      </c>
      <c r="BS40" s="883">
        <f t="shared" ca="1" si="49"/>
        <v>0</v>
      </c>
      <c r="BT40" s="883">
        <f t="shared" ca="1" si="49"/>
        <v>0</v>
      </c>
      <c r="BU40" s="883">
        <f t="shared" ca="1" si="49"/>
        <v>0</v>
      </c>
      <c r="BV40" s="883">
        <f t="shared" ca="1" si="49"/>
        <v>0</v>
      </c>
      <c r="BW40" s="883">
        <f t="shared" ca="1" si="49"/>
        <v>0</v>
      </c>
      <c r="BX40" s="883">
        <f t="shared" ca="1" si="49"/>
        <v>0</v>
      </c>
      <c r="BY40" s="883">
        <f t="shared" ca="1" si="49"/>
        <v>0</v>
      </c>
      <c r="BZ40" s="883">
        <f t="shared" ca="1" si="49"/>
        <v>0</v>
      </c>
      <c r="CA40" s="883">
        <f t="shared" ca="1" si="50"/>
        <v>0</v>
      </c>
      <c r="CB40" s="883">
        <f t="shared" ca="1" si="50"/>
        <v>0</v>
      </c>
      <c r="CC40" s="883">
        <f t="shared" ca="1" si="50"/>
        <v>0</v>
      </c>
      <c r="CD40" s="883">
        <f t="shared" ca="1" si="50"/>
        <v>0</v>
      </c>
      <c r="CE40" s="883">
        <f t="shared" ca="1" si="50"/>
        <v>0</v>
      </c>
      <c r="CF40" s="883">
        <f t="shared" ca="1" si="50"/>
        <v>0</v>
      </c>
      <c r="CG40" s="883">
        <f t="shared" ca="1" si="50"/>
        <v>0</v>
      </c>
      <c r="CH40" s="883">
        <f t="shared" ca="1" si="50"/>
        <v>0</v>
      </c>
      <c r="CI40" s="883">
        <f t="shared" ca="1" si="50"/>
        <v>0</v>
      </c>
      <c r="CJ40" s="883">
        <f t="shared" ca="1" si="50"/>
        <v>0</v>
      </c>
      <c r="CK40" s="883">
        <f t="shared" ca="1" si="50"/>
        <v>0</v>
      </c>
      <c r="CL40" s="883">
        <f t="shared" ca="1" si="50"/>
        <v>0</v>
      </c>
      <c r="CM40" s="883">
        <f t="shared" ca="1" si="50"/>
        <v>0</v>
      </c>
      <c r="CN40" s="883">
        <f t="shared" ca="1" si="50"/>
        <v>0</v>
      </c>
      <c r="CO40" s="883">
        <f t="shared" ca="1" si="50"/>
        <v>0</v>
      </c>
      <c r="CP40" s="883">
        <f t="shared" ca="1" si="50"/>
        <v>0</v>
      </c>
      <c r="CQ40" s="883">
        <f t="shared" ca="1" si="41"/>
        <v>0</v>
      </c>
      <c r="CR40" s="883">
        <f t="shared" ca="1" si="47"/>
        <v>0</v>
      </c>
      <c r="CS40" s="883">
        <f t="shared" ca="1" si="47"/>
        <v>0</v>
      </c>
      <c r="CT40" s="883">
        <f t="shared" ca="1" si="47"/>
        <v>0</v>
      </c>
      <c r="CU40" s="883">
        <f t="shared" ca="1" si="47"/>
        <v>0</v>
      </c>
      <c r="CV40" s="883">
        <f t="shared" ca="1" si="47"/>
        <v>0</v>
      </c>
      <c r="CW40" s="883">
        <f t="shared" ca="1" si="47"/>
        <v>0</v>
      </c>
      <c r="CX40" s="883">
        <f t="shared" ca="1" si="47"/>
        <v>0</v>
      </c>
      <c r="CY40" s="883">
        <f t="shared" ca="1" si="47"/>
        <v>0</v>
      </c>
      <c r="CZ40" s="883">
        <f t="shared" ca="1" si="47"/>
        <v>0</v>
      </c>
      <c r="DA40" s="883">
        <f t="shared" ca="1" si="47"/>
        <v>0</v>
      </c>
      <c r="DB40" s="883">
        <f t="shared" ca="1" si="47"/>
        <v>0</v>
      </c>
      <c r="DC40" s="883">
        <f t="shared" ca="1" si="47"/>
        <v>0</v>
      </c>
      <c r="DD40" s="883">
        <f t="shared" ca="1" si="47"/>
        <v>0</v>
      </c>
      <c r="DE40" s="883">
        <f t="shared" ca="1" si="47"/>
        <v>0</v>
      </c>
      <c r="DF40" s="883">
        <f t="shared" ca="1" si="47"/>
        <v>0</v>
      </c>
      <c r="DG40" s="883">
        <f t="shared" ca="1" si="47"/>
        <v>0</v>
      </c>
      <c r="DH40" s="883">
        <f t="shared" ca="1" si="45"/>
        <v>0</v>
      </c>
      <c r="DI40" s="883">
        <f t="shared" ca="1" si="45"/>
        <v>0</v>
      </c>
      <c r="DJ40" s="883">
        <f t="shared" ca="1" si="45"/>
        <v>0</v>
      </c>
      <c r="DK40" s="883">
        <f t="shared" ca="1" si="45"/>
        <v>0</v>
      </c>
      <c r="DL40" s="883">
        <f t="shared" ca="1" si="45"/>
        <v>0</v>
      </c>
      <c r="DM40" s="883">
        <f t="shared" ca="1" si="45"/>
        <v>0</v>
      </c>
      <c r="DN40" s="883">
        <f t="shared" ca="1" si="45"/>
        <v>0</v>
      </c>
      <c r="DO40" s="883">
        <f t="shared" ca="1" si="43"/>
        <v>0</v>
      </c>
      <c r="DP40" s="883">
        <f t="shared" ca="1" si="43"/>
        <v>0</v>
      </c>
      <c r="DQ40" s="883">
        <f t="shared" ca="1" si="43"/>
        <v>0</v>
      </c>
      <c r="DR40" s="883">
        <f t="shared" ca="1" si="43"/>
        <v>0</v>
      </c>
      <c r="DS40" s="883">
        <f t="shared" ca="1" si="43"/>
        <v>0</v>
      </c>
      <c r="DT40" s="883">
        <f t="shared" ca="1" si="43"/>
        <v>0</v>
      </c>
      <c r="DU40" s="883">
        <f t="shared" ca="1" si="43"/>
        <v>0</v>
      </c>
      <c r="DV40" s="883">
        <f t="shared" ca="1" si="43"/>
        <v>0</v>
      </c>
      <c r="DW40" s="883">
        <f t="shared" ca="1" si="43"/>
        <v>0</v>
      </c>
      <c r="DX40" s="883">
        <f t="shared" ca="1" si="43"/>
        <v>0</v>
      </c>
      <c r="DY40" s="883">
        <f t="shared" ca="1" si="43"/>
        <v>0</v>
      </c>
      <c r="DZ40" s="883">
        <f t="shared" ca="1" si="43"/>
        <v>0</v>
      </c>
      <c r="EA40" s="883">
        <f t="shared" ca="1" si="43"/>
        <v>0</v>
      </c>
      <c r="EB40" s="883">
        <f t="shared" ca="1" si="43"/>
        <v>0</v>
      </c>
      <c r="EC40" s="883">
        <f t="shared" ca="1" si="43"/>
        <v>0</v>
      </c>
      <c r="ED40" s="883">
        <f t="shared" ca="1" si="43"/>
        <v>0</v>
      </c>
      <c r="EE40" s="883">
        <f t="shared" ca="1" si="44"/>
        <v>0</v>
      </c>
      <c r="EF40" s="883">
        <f t="shared" ca="1" si="44"/>
        <v>0</v>
      </c>
      <c r="EG40" s="883">
        <f t="shared" ca="1" si="44"/>
        <v>0</v>
      </c>
      <c r="EH40" s="883">
        <f t="shared" ca="1" si="44"/>
        <v>0</v>
      </c>
      <c r="EI40" s="883">
        <f t="shared" ca="1" si="44"/>
        <v>0</v>
      </c>
      <c r="EJ40" s="883">
        <f t="shared" ca="1" si="44"/>
        <v>0</v>
      </c>
      <c r="EK40" s="883">
        <f t="shared" ca="1" si="44"/>
        <v>0</v>
      </c>
      <c r="EL40" s="883">
        <f t="shared" ca="1" si="44"/>
        <v>0</v>
      </c>
      <c r="EM40" s="883">
        <f t="shared" ca="1" si="44"/>
        <v>0</v>
      </c>
      <c r="EN40" s="883">
        <f t="shared" ca="1" si="44"/>
        <v>0</v>
      </c>
      <c r="EO40" s="883">
        <f t="shared" ca="1" si="44"/>
        <v>0</v>
      </c>
      <c r="EP40" s="883">
        <f t="shared" ca="1" si="44"/>
        <v>0</v>
      </c>
      <c r="EQ40" s="883">
        <f t="shared" ca="1" si="44"/>
        <v>0</v>
      </c>
      <c r="ER40" s="883">
        <f t="shared" ca="1" si="44"/>
        <v>0</v>
      </c>
      <c r="ES40" s="883">
        <f t="shared" ca="1" si="44"/>
        <v>0</v>
      </c>
      <c r="ET40" s="883">
        <f t="shared" ca="1" si="44"/>
        <v>0</v>
      </c>
      <c r="EU40" s="883">
        <f t="shared" ca="1" si="46"/>
        <v>0</v>
      </c>
      <c r="EV40" s="883">
        <f t="shared" ca="1" si="46"/>
        <v>0</v>
      </c>
      <c r="EW40" s="883">
        <f t="shared" ca="1" si="46"/>
        <v>0</v>
      </c>
      <c r="EX40" s="883">
        <f t="shared" ca="1" si="46"/>
        <v>0</v>
      </c>
      <c r="EY40" s="883">
        <f t="shared" ca="1" si="46"/>
        <v>0</v>
      </c>
      <c r="EZ40" s="883">
        <f t="shared" ca="1" si="46"/>
        <v>0</v>
      </c>
      <c r="FA40" s="883">
        <f t="shared" ca="1" si="46"/>
        <v>0</v>
      </c>
    </row>
    <row r="41" spans="8:157">
      <c r="H41" s="891">
        <f t="shared" ca="1" si="34"/>
        <v>2053</v>
      </c>
      <c r="I41" s="1206">
        <f t="shared" ca="1" si="32"/>
        <v>7112.5</v>
      </c>
      <c r="J41" s="1206">
        <f t="shared" ca="1" si="23"/>
        <v>200000</v>
      </c>
      <c r="K41" s="929" t="str">
        <f t="shared" si="33"/>
        <v/>
      </c>
      <c r="L41" s="929" t="str">
        <f>IF($B$6=0,"",SUMIFS($R$65:$R$106,$T$65:$T$106,$H41))</f>
        <v/>
      </c>
      <c r="N41" s="1714">
        <v>35</v>
      </c>
      <c r="O41" s="1789" t="b">
        <f ca="1">庫存管理[[#This Row],[檢測]]</f>
        <v>0</v>
      </c>
      <c r="P41" s="882" t="e">
        <f ca="1">VLOOKUP(Q41,bond!B:AA,26,FALSE)</f>
        <v>#N/A</v>
      </c>
      <c r="Q41" s="883" t="str">
        <f ca="1">庫存管理[[#This Row],[商品代號]]</f>
        <v/>
      </c>
      <c r="R41" s="889">
        <f ca="1">IF(O41=TRUE,IFERROR(IF($D$4=1,庫存管理[[#This Row],[投入面額]]*庫存管理[[#This Row],[換算匯率(現)]],庫存管理[[#This Row],[投入面額]]),0),0)</f>
        <v>0</v>
      </c>
      <c r="S41" s="885" t="e">
        <f ca="1">庫存管理[[#This Row],[到期日]]</f>
        <v>#N/A</v>
      </c>
      <c r="T41" s="883">
        <f t="shared" ca="1" si="9"/>
        <v>0</v>
      </c>
      <c r="U41" s="885" t="str">
        <f ca="1">庫存管理[[#This Row],[下一配息日]]</f>
        <v/>
      </c>
      <c r="V41" s="886" t="str">
        <f t="shared" ca="1" si="39"/>
        <v/>
      </c>
      <c r="W41" s="885" t="e">
        <f ca="1">庫存管理[[#This Row],[到期日]]</f>
        <v>#N/A</v>
      </c>
      <c r="X41" s="886" t="str">
        <f t="shared" ca="1" si="40"/>
        <v/>
      </c>
      <c r="Y41" s="883" t="str">
        <f ca="1">庫存管理[[#This Row],[配息頻率]]</f>
        <v/>
      </c>
      <c r="Z41" s="883" t="str">
        <f>庫存管理[[#This Row],[投入面額]]</f>
        <v/>
      </c>
      <c r="AA41" s="909">
        <f ca="1">庫存管理[[#This Row],[票面利率]]</f>
        <v>0</v>
      </c>
      <c r="AB41" s="908">
        <f ca="1">庫存管理[[#This Row],[換算匯率(現)]]</f>
        <v>0</v>
      </c>
      <c r="AC41" s="887">
        <f t="shared" ca="1" si="12"/>
        <v>0</v>
      </c>
      <c r="AD41" s="883">
        <f t="shared" ca="1" si="52"/>
        <v>0</v>
      </c>
      <c r="AE41" s="883">
        <f t="shared" ca="1" si="51"/>
        <v>0</v>
      </c>
      <c r="AF41" s="883">
        <f t="shared" ca="1" si="51"/>
        <v>0</v>
      </c>
      <c r="AG41" s="883">
        <f t="shared" ca="1" si="51"/>
        <v>0</v>
      </c>
      <c r="AH41" s="883">
        <f t="shared" ca="1" si="51"/>
        <v>0</v>
      </c>
      <c r="AI41" s="883">
        <f t="shared" ca="1" si="51"/>
        <v>0</v>
      </c>
      <c r="AJ41" s="883">
        <f t="shared" ca="1" si="51"/>
        <v>0</v>
      </c>
      <c r="AK41" s="883">
        <f t="shared" ca="1" si="51"/>
        <v>0</v>
      </c>
      <c r="AL41" s="883">
        <f t="shared" ca="1" si="51"/>
        <v>0</v>
      </c>
      <c r="AM41" s="883">
        <f t="shared" ca="1" si="51"/>
        <v>0</v>
      </c>
      <c r="AN41" s="883">
        <f t="shared" ca="1" si="51"/>
        <v>0</v>
      </c>
      <c r="AO41" s="883">
        <f t="shared" ca="1" si="51"/>
        <v>0</v>
      </c>
      <c r="AP41" s="883">
        <f t="shared" ca="1" si="51"/>
        <v>0</v>
      </c>
      <c r="AQ41" s="883">
        <f t="shared" ca="1" si="51"/>
        <v>0</v>
      </c>
      <c r="AR41" s="883">
        <f t="shared" ca="1" si="51"/>
        <v>0</v>
      </c>
      <c r="AS41" s="883">
        <f t="shared" ca="1" si="51"/>
        <v>0</v>
      </c>
      <c r="AT41" s="883">
        <f t="shared" ca="1" si="51"/>
        <v>0</v>
      </c>
      <c r="AU41" s="883">
        <f t="shared" ca="1" si="48"/>
        <v>0</v>
      </c>
      <c r="AV41" s="883">
        <f t="shared" ca="1" si="48"/>
        <v>0</v>
      </c>
      <c r="AW41" s="883">
        <f t="shared" ca="1" si="48"/>
        <v>0</v>
      </c>
      <c r="AX41" s="883">
        <f t="shared" ca="1" si="48"/>
        <v>0</v>
      </c>
      <c r="AY41" s="883">
        <f t="shared" ca="1" si="48"/>
        <v>0</v>
      </c>
      <c r="AZ41" s="883">
        <f t="shared" ca="1" si="48"/>
        <v>0</v>
      </c>
      <c r="BA41" s="883">
        <f t="shared" ca="1" si="48"/>
        <v>0</v>
      </c>
      <c r="BB41" s="883">
        <f t="shared" ca="1" si="48"/>
        <v>0</v>
      </c>
      <c r="BC41" s="883">
        <f t="shared" ca="1" si="48"/>
        <v>0</v>
      </c>
      <c r="BD41" s="883">
        <f t="shared" ca="1" si="48"/>
        <v>0</v>
      </c>
      <c r="BE41" s="883">
        <f t="shared" ca="1" si="48"/>
        <v>0</v>
      </c>
      <c r="BF41" s="883">
        <f t="shared" ca="1" si="48"/>
        <v>0</v>
      </c>
      <c r="BG41" s="883">
        <f t="shared" ca="1" si="48"/>
        <v>0</v>
      </c>
      <c r="BH41" s="883">
        <f t="shared" ca="1" si="48"/>
        <v>0</v>
      </c>
      <c r="BI41" s="883">
        <f t="shared" ca="1" si="48"/>
        <v>0</v>
      </c>
      <c r="BJ41" s="883">
        <f t="shared" ca="1" si="48"/>
        <v>0</v>
      </c>
      <c r="BK41" s="883">
        <f t="shared" ca="1" si="49"/>
        <v>0</v>
      </c>
      <c r="BL41" s="883">
        <f t="shared" ca="1" si="49"/>
        <v>0</v>
      </c>
      <c r="BM41" s="883">
        <f t="shared" ca="1" si="49"/>
        <v>0</v>
      </c>
      <c r="BN41" s="883">
        <f t="shared" ca="1" si="49"/>
        <v>0</v>
      </c>
      <c r="BO41" s="883">
        <f t="shared" ca="1" si="49"/>
        <v>0</v>
      </c>
      <c r="BP41" s="883">
        <f t="shared" ca="1" si="49"/>
        <v>0</v>
      </c>
      <c r="BQ41" s="883">
        <f t="shared" ca="1" si="49"/>
        <v>0</v>
      </c>
      <c r="BR41" s="883">
        <f t="shared" ca="1" si="49"/>
        <v>0</v>
      </c>
      <c r="BS41" s="883">
        <f t="shared" ca="1" si="49"/>
        <v>0</v>
      </c>
      <c r="BT41" s="883">
        <f t="shared" ca="1" si="49"/>
        <v>0</v>
      </c>
      <c r="BU41" s="883">
        <f t="shared" ca="1" si="49"/>
        <v>0</v>
      </c>
      <c r="BV41" s="883">
        <f t="shared" ca="1" si="49"/>
        <v>0</v>
      </c>
      <c r="BW41" s="883">
        <f t="shared" ca="1" si="49"/>
        <v>0</v>
      </c>
      <c r="BX41" s="883">
        <f t="shared" ca="1" si="49"/>
        <v>0</v>
      </c>
      <c r="BY41" s="883">
        <f t="shared" ca="1" si="49"/>
        <v>0</v>
      </c>
      <c r="BZ41" s="883">
        <f t="shared" ca="1" si="49"/>
        <v>0</v>
      </c>
      <c r="CA41" s="883">
        <f t="shared" ca="1" si="50"/>
        <v>0</v>
      </c>
      <c r="CB41" s="883">
        <f t="shared" ca="1" si="50"/>
        <v>0</v>
      </c>
      <c r="CC41" s="883">
        <f t="shared" ca="1" si="50"/>
        <v>0</v>
      </c>
      <c r="CD41" s="883">
        <f t="shared" ca="1" si="50"/>
        <v>0</v>
      </c>
      <c r="CE41" s="883">
        <f t="shared" ca="1" si="50"/>
        <v>0</v>
      </c>
      <c r="CF41" s="883">
        <f t="shared" ca="1" si="50"/>
        <v>0</v>
      </c>
      <c r="CG41" s="883">
        <f t="shared" ca="1" si="50"/>
        <v>0</v>
      </c>
      <c r="CH41" s="883">
        <f t="shared" ca="1" si="50"/>
        <v>0</v>
      </c>
      <c r="CI41" s="883">
        <f t="shared" ca="1" si="50"/>
        <v>0</v>
      </c>
      <c r="CJ41" s="883">
        <f t="shared" ca="1" si="50"/>
        <v>0</v>
      </c>
      <c r="CK41" s="883">
        <f t="shared" ca="1" si="50"/>
        <v>0</v>
      </c>
      <c r="CL41" s="883">
        <f t="shared" ca="1" si="50"/>
        <v>0</v>
      </c>
      <c r="CM41" s="883">
        <f t="shared" ca="1" si="50"/>
        <v>0</v>
      </c>
      <c r="CN41" s="883">
        <f t="shared" ca="1" si="50"/>
        <v>0</v>
      </c>
      <c r="CO41" s="883">
        <f t="shared" ca="1" si="50"/>
        <v>0</v>
      </c>
      <c r="CP41" s="883">
        <f t="shared" ca="1" si="50"/>
        <v>0</v>
      </c>
      <c r="CQ41" s="883">
        <f t="shared" ca="1" si="41"/>
        <v>0</v>
      </c>
      <c r="CR41" s="883">
        <f t="shared" ca="1" si="47"/>
        <v>0</v>
      </c>
      <c r="CS41" s="883">
        <f t="shared" ca="1" si="47"/>
        <v>0</v>
      </c>
      <c r="CT41" s="883">
        <f t="shared" ca="1" si="47"/>
        <v>0</v>
      </c>
      <c r="CU41" s="883">
        <f t="shared" ca="1" si="47"/>
        <v>0</v>
      </c>
      <c r="CV41" s="883">
        <f t="shared" ca="1" si="47"/>
        <v>0</v>
      </c>
      <c r="CW41" s="883">
        <f t="shared" ca="1" si="47"/>
        <v>0</v>
      </c>
      <c r="CX41" s="883">
        <f t="shared" ca="1" si="47"/>
        <v>0</v>
      </c>
      <c r="CY41" s="883">
        <f t="shared" ca="1" si="47"/>
        <v>0</v>
      </c>
      <c r="CZ41" s="883">
        <f t="shared" ca="1" si="47"/>
        <v>0</v>
      </c>
      <c r="DA41" s="883">
        <f t="shared" ca="1" si="47"/>
        <v>0</v>
      </c>
      <c r="DB41" s="883">
        <f t="shared" ca="1" si="47"/>
        <v>0</v>
      </c>
      <c r="DC41" s="883">
        <f t="shared" ca="1" si="47"/>
        <v>0</v>
      </c>
      <c r="DD41" s="883">
        <f t="shared" ca="1" si="47"/>
        <v>0</v>
      </c>
      <c r="DE41" s="883">
        <f t="shared" ca="1" si="47"/>
        <v>0</v>
      </c>
      <c r="DF41" s="883">
        <f t="shared" ca="1" si="47"/>
        <v>0</v>
      </c>
      <c r="DG41" s="883">
        <f t="shared" ca="1" si="47"/>
        <v>0</v>
      </c>
      <c r="DH41" s="883">
        <f t="shared" ca="1" si="45"/>
        <v>0</v>
      </c>
      <c r="DI41" s="883">
        <f t="shared" ca="1" si="45"/>
        <v>0</v>
      </c>
      <c r="DJ41" s="883">
        <f t="shared" ca="1" si="45"/>
        <v>0</v>
      </c>
      <c r="DK41" s="883">
        <f t="shared" ca="1" si="45"/>
        <v>0</v>
      </c>
      <c r="DL41" s="883">
        <f t="shared" ca="1" si="45"/>
        <v>0</v>
      </c>
      <c r="DM41" s="883">
        <f t="shared" ca="1" si="45"/>
        <v>0</v>
      </c>
      <c r="DN41" s="883">
        <f t="shared" ca="1" si="45"/>
        <v>0</v>
      </c>
      <c r="DO41" s="883">
        <f t="shared" ca="1" si="43"/>
        <v>0</v>
      </c>
      <c r="DP41" s="883">
        <f t="shared" ca="1" si="43"/>
        <v>0</v>
      </c>
      <c r="DQ41" s="883">
        <f t="shared" ca="1" si="43"/>
        <v>0</v>
      </c>
      <c r="DR41" s="883">
        <f t="shared" ca="1" si="43"/>
        <v>0</v>
      </c>
      <c r="DS41" s="883">
        <f t="shared" ca="1" si="43"/>
        <v>0</v>
      </c>
      <c r="DT41" s="883">
        <f t="shared" ca="1" si="43"/>
        <v>0</v>
      </c>
      <c r="DU41" s="883">
        <f t="shared" ca="1" si="43"/>
        <v>0</v>
      </c>
      <c r="DV41" s="883">
        <f t="shared" ca="1" si="43"/>
        <v>0</v>
      </c>
      <c r="DW41" s="883">
        <f t="shared" ca="1" si="43"/>
        <v>0</v>
      </c>
      <c r="DX41" s="883">
        <f t="shared" ca="1" si="43"/>
        <v>0</v>
      </c>
      <c r="DY41" s="883">
        <f t="shared" ca="1" si="43"/>
        <v>0</v>
      </c>
      <c r="DZ41" s="883">
        <f t="shared" ca="1" si="43"/>
        <v>0</v>
      </c>
      <c r="EA41" s="883">
        <f t="shared" ca="1" si="43"/>
        <v>0</v>
      </c>
      <c r="EB41" s="883">
        <f t="shared" ca="1" si="43"/>
        <v>0</v>
      </c>
      <c r="EC41" s="883">
        <f t="shared" ca="1" si="43"/>
        <v>0</v>
      </c>
      <c r="ED41" s="883">
        <f t="shared" ca="1" si="43"/>
        <v>0</v>
      </c>
      <c r="EE41" s="883">
        <f t="shared" ca="1" si="44"/>
        <v>0</v>
      </c>
      <c r="EF41" s="883">
        <f t="shared" ca="1" si="44"/>
        <v>0</v>
      </c>
      <c r="EG41" s="883">
        <f t="shared" ca="1" si="44"/>
        <v>0</v>
      </c>
      <c r="EH41" s="883">
        <f t="shared" ca="1" si="44"/>
        <v>0</v>
      </c>
      <c r="EI41" s="883">
        <f t="shared" ca="1" si="44"/>
        <v>0</v>
      </c>
      <c r="EJ41" s="883">
        <f t="shared" ca="1" si="44"/>
        <v>0</v>
      </c>
      <c r="EK41" s="883">
        <f t="shared" ca="1" si="44"/>
        <v>0</v>
      </c>
      <c r="EL41" s="883">
        <f t="shared" ca="1" si="44"/>
        <v>0</v>
      </c>
      <c r="EM41" s="883">
        <f t="shared" ca="1" si="44"/>
        <v>0</v>
      </c>
      <c r="EN41" s="883">
        <f t="shared" ca="1" si="44"/>
        <v>0</v>
      </c>
      <c r="EO41" s="883">
        <f t="shared" ca="1" si="44"/>
        <v>0</v>
      </c>
      <c r="EP41" s="883">
        <f t="shared" ca="1" si="44"/>
        <v>0</v>
      </c>
      <c r="EQ41" s="883">
        <f t="shared" ca="1" si="44"/>
        <v>0</v>
      </c>
      <c r="ER41" s="883">
        <f t="shared" ca="1" si="44"/>
        <v>0</v>
      </c>
      <c r="ES41" s="883">
        <f t="shared" ca="1" si="44"/>
        <v>0</v>
      </c>
      <c r="ET41" s="883">
        <f t="shared" ca="1" si="44"/>
        <v>0</v>
      </c>
      <c r="EU41" s="883">
        <f t="shared" ca="1" si="46"/>
        <v>0</v>
      </c>
      <c r="EV41" s="883">
        <f t="shared" ca="1" si="46"/>
        <v>0</v>
      </c>
      <c r="EW41" s="883">
        <f t="shared" ca="1" si="46"/>
        <v>0</v>
      </c>
      <c r="EX41" s="883">
        <f t="shared" ca="1" si="46"/>
        <v>0</v>
      </c>
      <c r="EY41" s="883">
        <f t="shared" ca="1" si="46"/>
        <v>0</v>
      </c>
      <c r="EZ41" s="883">
        <f t="shared" ca="1" si="46"/>
        <v>0</v>
      </c>
      <c r="FA41" s="883">
        <f t="shared" ca="1" si="46"/>
        <v>0</v>
      </c>
    </row>
    <row r="42" spans="8:157">
      <c r="H42" s="891">
        <f t="shared" ca="1" si="34"/>
        <v>2054</v>
      </c>
      <c r="I42" s="1206">
        <f t="shared" ca="1" si="32"/>
        <v>2250</v>
      </c>
      <c r="J42" s="1206">
        <f t="shared" ca="1" si="23"/>
        <v>0</v>
      </c>
      <c r="K42" s="929" t="str">
        <f t="shared" si="33"/>
        <v/>
      </c>
      <c r="L42" s="929" t="str">
        <f t="shared" si="24"/>
        <v/>
      </c>
      <c r="N42" s="1714">
        <v>36</v>
      </c>
      <c r="O42" s="1789" t="b">
        <f ca="1">庫存管理[[#This Row],[檢測]]</f>
        <v>0</v>
      </c>
      <c r="P42" s="882" t="e">
        <f ca="1">VLOOKUP(Q42,bond!B:AA,26,FALSE)</f>
        <v>#N/A</v>
      </c>
      <c r="Q42" s="883" t="str">
        <f ca="1">庫存管理[[#This Row],[商品代號]]</f>
        <v/>
      </c>
      <c r="R42" s="889">
        <f ca="1">IF(O42=TRUE,IFERROR(IF($D$4=1,庫存管理[[#This Row],[投入面額]]*庫存管理[[#This Row],[換算匯率(現)]],庫存管理[[#This Row],[投入面額]]),0),0)</f>
        <v>0</v>
      </c>
      <c r="S42" s="885" t="e">
        <f ca="1">庫存管理[[#This Row],[到期日]]</f>
        <v>#N/A</v>
      </c>
      <c r="T42" s="883">
        <f t="shared" ca="1" si="9"/>
        <v>0</v>
      </c>
      <c r="U42" s="885" t="str">
        <f ca="1">庫存管理[[#This Row],[下一配息日]]</f>
        <v/>
      </c>
      <c r="V42" s="886" t="str">
        <f t="shared" ca="1" si="39"/>
        <v/>
      </c>
      <c r="W42" s="885" t="e">
        <f ca="1">庫存管理[[#This Row],[到期日]]</f>
        <v>#N/A</v>
      </c>
      <c r="X42" s="886" t="str">
        <f t="shared" ca="1" si="40"/>
        <v/>
      </c>
      <c r="Y42" s="883" t="str">
        <f ca="1">庫存管理[[#This Row],[配息頻率]]</f>
        <v/>
      </c>
      <c r="Z42" s="883" t="str">
        <f>庫存管理[[#This Row],[投入面額]]</f>
        <v/>
      </c>
      <c r="AA42" s="909">
        <f ca="1">庫存管理[[#This Row],[票面利率]]</f>
        <v>0</v>
      </c>
      <c r="AB42" s="908">
        <f ca="1">庫存管理[[#This Row],[換算匯率(現)]]</f>
        <v>0</v>
      </c>
      <c r="AC42" s="887">
        <f t="shared" ca="1" si="12"/>
        <v>0</v>
      </c>
      <c r="AD42" s="883">
        <f t="shared" ca="1" si="52"/>
        <v>0</v>
      </c>
      <c r="AE42" s="883">
        <f t="shared" ca="1" si="51"/>
        <v>0</v>
      </c>
      <c r="AF42" s="883">
        <f t="shared" ca="1" si="51"/>
        <v>0</v>
      </c>
      <c r="AG42" s="883">
        <f t="shared" ca="1" si="51"/>
        <v>0</v>
      </c>
      <c r="AH42" s="883">
        <f t="shared" ca="1" si="51"/>
        <v>0</v>
      </c>
      <c r="AI42" s="883">
        <f t="shared" ca="1" si="51"/>
        <v>0</v>
      </c>
      <c r="AJ42" s="883">
        <f t="shared" ca="1" si="51"/>
        <v>0</v>
      </c>
      <c r="AK42" s="883">
        <f t="shared" ca="1" si="51"/>
        <v>0</v>
      </c>
      <c r="AL42" s="883">
        <f t="shared" ca="1" si="51"/>
        <v>0</v>
      </c>
      <c r="AM42" s="883">
        <f t="shared" ca="1" si="51"/>
        <v>0</v>
      </c>
      <c r="AN42" s="883">
        <f t="shared" ca="1" si="51"/>
        <v>0</v>
      </c>
      <c r="AO42" s="883">
        <f t="shared" ca="1" si="51"/>
        <v>0</v>
      </c>
      <c r="AP42" s="883">
        <f t="shared" ca="1" si="51"/>
        <v>0</v>
      </c>
      <c r="AQ42" s="883">
        <f t="shared" ca="1" si="51"/>
        <v>0</v>
      </c>
      <c r="AR42" s="883">
        <f t="shared" ca="1" si="51"/>
        <v>0</v>
      </c>
      <c r="AS42" s="883">
        <f t="shared" ca="1" si="51"/>
        <v>0</v>
      </c>
      <c r="AT42" s="883">
        <f t="shared" ca="1" si="51"/>
        <v>0</v>
      </c>
      <c r="AU42" s="883">
        <f t="shared" ca="1" si="48"/>
        <v>0</v>
      </c>
      <c r="AV42" s="883">
        <f t="shared" ca="1" si="48"/>
        <v>0</v>
      </c>
      <c r="AW42" s="883">
        <f t="shared" ca="1" si="48"/>
        <v>0</v>
      </c>
      <c r="AX42" s="883">
        <f t="shared" ca="1" si="48"/>
        <v>0</v>
      </c>
      <c r="AY42" s="883">
        <f t="shared" ca="1" si="48"/>
        <v>0</v>
      </c>
      <c r="AZ42" s="883">
        <f t="shared" ca="1" si="48"/>
        <v>0</v>
      </c>
      <c r="BA42" s="883">
        <f t="shared" ca="1" si="48"/>
        <v>0</v>
      </c>
      <c r="BB42" s="883">
        <f t="shared" ca="1" si="48"/>
        <v>0</v>
      </c>
      <c r="BC42" s="883">
        <f t="shared" ca="1" si="48"/>
        <v>0</v>
      </c>
      <c r="BD42" s="883">
        <f t="shared" ca="1" si="48"/>
        <v>0</v>
      </c>
      <c r="BE42" s="883">
        <f t="shared" ca="1" si="48"/>
        <v>0</v>
      </c>
      <c r="BF42" s="883">
        <f t="shared" ca="1" si="48"/>
        <v>0</v>
      </c>
      <c r="BG42" s="883">
        <f t="shared" ca="1" si="48"/>
        <v>0</v>
      </c>
      <c r="BH42" s="883">
        <f t="shared" ca="1" si="48"/>
        <v>0</v>
      </c>
      <c r="BI42" s="883">
        <f t="shared" ca="1" si="48"/>
        <v>0</v>
      </c>
      <c r="BJ42" s="883">
        <f t="shared" ca="1" si="48"/>
        <v>0</v>
      </c>
      <c r="BK42" s="883">
        <f t="shared" ca="1" si="49"/>
        <v>0</v>
      </c>
      <c r="BL42" s="883">
        <f t="shared" ca="1" si="49"/>
        <v>0</v>
      </c>
      <c r="BM42" s="883">
        <f t="shared" ca="1" si="49"/>
        <v>0</v>
      </c>
      <c r="BN42" s="883">
        <f t="shared" ca="1" si="49"/>
        <v>0</v>
      </c>
      <c r="BO42" s="883">
        <f t="shared" ca="1" si="49"/>
        <v>0</v>
      </c>
      <c r="BP42" s="883">
        <f t="shared" ca="1" si="49"/>
        <v>0</v>
      </c>
      <c r="BQ42" s="883">
        <f t="shared" ca="1" si="49"/>
        <v>0</v>
      </c>
      <c r="BR42" s="883">
        <f t="shared" ca="1" si="49"/>
        <v>0</v>
      </c>
      <c r="BS42" s="883">
        <f t="shared" ca="1" si="49"/>
        <v>0</v>
      </c>
      <c r="BT42" s="883">
        <f t="shared" ca="1" si="49"/>
        <v>0</v>
      </c>
      <c r="BU42" s="883">
        <f t="shared" ca="1" si="49"/>
        <v>0</v>
      </c>
      <c r="BV42" s="883">
        <f t="shared" ca="1" si="49"/>
        <v>0</v>
      </c>
      <c r="BW42" s="883">
        <f t="shared" ca="1" si="49"/>
        <v>0</v>
      </c>
      <c r="BX42" s="883">
        <f t="shared" ca="1" si="49"/>
        <v>0</v>
      </c>
      <c r="BY42" s="883">
        <f t="shared" ca="1" si="49"/>
        <v>0</v>
      </c>
      <c r="BZ42" s="883">
        <f t="shared" ca="1" si="49"/>
        <v>0</v>
      </c>
      <c r="CA42" s="883">
        <f t="shared" ca="1" si="50"/>
        <v>0</v>
      </c>
      <c r="CB42" s="883">
        <f t="shared" ca="1" si="50"/>
        <v>0</v>
      </c>
      <c r="CC42" s="883">
        <f t="shared" ca="1" si="50"/>
        <v>0</v>
      </c>
      <c r="CD42" s="883">
        <f t="shared" ca="1" si="50"/>
        <v>0</v>
      </c>
      <c r="CE42" s="883">
        <f t="shared" ca="1" si="50"/>
        <v>0</v>
      </c>
      <c r="CF42" s="883">
        <f t="shared" ca="1" si="50"/>
        <v>0</v>
      </c>
      <c r="CG42" s="883">
        <f t="shared" ca="1" si="50"/>
        <v>0</v>
      </c>
      <c r="CH42" s="883">
        <f t="shared" ca="1" si="50"/>
        <v>0</v>
      </c>
      <c r="CI42" s="883">
        <f t="shared" ca="1" si="50"/>
        <v>0</v>
      </c>
      <c r="CJ42" s="883">
        <f t="shared" ca="1" si="50"/>
        <v>0</v>
      </c>
      <c r="CK42" s="883">
        <f t="shared" ca="1" si="50"/>
        <v>0</v>
      </c>
      <c r="CL42" s="883">
        <f t="shared" ca="1" si="50"/>
        <v>0</v>
      </c>
      <c r="CM42" s="883">
        <f t="shared" ca="1" si="50"/>
        <v>0</v>
      </c>
      <c r="CN42" s="883">
        <f t="shared" ca="1" si="50"/>
        <v>0</v>
      </c>
      <c r="CO42" s="883">
        <f t="shared" ca="1" si="50"/>
        <v>0</v>
      </c>
      <c r="CP42" s="883">
        <f t="shared" ca="1" si="50"/>
        <v>0</v>
      </c>
      <c r="CQ42" s="883">
        <f t="shared" ca="1" si="41"/>
        <v>0</v>
      </c>
      <c r="CR42" s="883">
        <f t="shared" ca="1" si="47"/>
        <v>0</v>
      </c>
      <c r="CS42" s="883">
        <f t="shared" ca="1" si="47"/>
        <v>0</v>
      </c>
      <c r="CT42" s="883">
        <f t="shared" ca="1" si="47"/>
        <v>0</v>
      </c>
      <c r="CU42" s="883">
        <f t="shared" ca="1" si="47"/>
        <v>0</v>
      </c>
      <c r="CV42" s="883">
        <f t="shared" ca="1" si="47"/>
        <v>0</v>
      </c>
      <c r="CW42" s="883">
        <f t="shared" ca="1" si="47"/>
        <v>0</v>
      </c>
      <c r="CX42" s="883">
        <f t="shared" ca="1" si="47"/>
        <v>0</v>
      </c>
      <c r="CY42" s="883">
        <f t="shared" ca="1" si="47"/>
        <v>0</v>
      </c>
      <c r="CZ42" s="883">
        <f t="shared" ca="1" si="47"/>
        <v>0</v>
      </c>
      <c r="DA42" s="883">
        <f t="shared" ca="1" si="47"/>
        <v>0</v>
      </c>
      <c r="DB42" s="883">
        <f t="shared" ca="1" si="47"/>
        <v>0</v>
      </c>
      <c r="DC42" s="883">
        <f t="shared" ca="1" si="47"/>
        <v>0</v>
      </c>
      <c r="DD42" s="883">
        <f t="shared" ca="1" si="47"/>
        <v>0</v>
      </c>
      <c r="DE42" s="883">
        <f t="shared" ca="1" si="47"/>
        <v>0</v>
      </c>
      <c r="DF42" s="883">
        <f t="shared" ca="1" si="47"/>
        <v>0</v>
      </c>
      <c r="DG42" s="883">
        <f t="shared" ca="1" si="47"/>
        <v>0</v>
      </c>
      <c r="DH42" s="883">
        <f t="shared" ca="1" si="45"/>
        <v>0</v>
      </c>
      <c r="DI42" s="883">
        <f t="shared" ca="1" si="45"/>
        <v>0</v>
      </c>
      <c r="DJ42" s="883">
        <f t="shared" ca="1" si="45"/>
        <v>0</v>
      </c>
      <c r="DK42" s="883">
        <f t="shared" ca="1" si="45"/>
        <v>0</v>
      </c>
      <c r="DL42" s="883">
        <f t="shared" ca="1" si="45"/>
        <v>0</v>
      </c>
      <c r="DM42" s="883">
        <f t="shared" ca="1" si="45"/>
        <v>0</v>
      </c>
      <c r="DN42" s="883">
        <f t="shared" ca="1" si="45"/>
        <v>0</v>
      </c>
      <c r="DO42" s="883">
        <f t="shared" ca="1" si="43"/>
        <v>0</v>
      </c>
      <c r="DP42" s="883">
        <f t="shared" ca="1" si="43"/>
        <v>0</v>
      </c>
      <c r="DQ42" s="883">
        <f t="shared" ca="1" si="43"/>
        <v>0</v>
      </c>
      <c r="DR42" s="883">
        <f t="shared" ca="1" si="43"/>
        <v>0</v>
      </c>
      <c r="DS42" s="883">
        <f t="shared" ca="1" si="43"/>
        <v>0</v>
      </c>
      <c r="DT42" s="883">
        <f t="shared" ca="1" si="43"/>
        <v>0</v>
      </c>
      <c r="DU42" s="883">
        <f t="shared" ca="1" si="43"/>
        <v>0</v>
      </c>
      <c r="DV42" s="883">
        <f t="shared" ca="1" si="43"/>
        <v>0</v>
      </c>
      <c r="DW42" s="883">
        <f t="shared" ca="1" si="43"/>
        <v>0</v>
      </c>
      <c r="DX42" s="883">
        <f t="shared" ca="1" si="43"/>
        <v>0</v>
      </c>
      <c r="DY42" s="883">
        <f t="shared" ca="1" si="43"/>
        <v>0</v>
      </c>
      <c r="DZ42" s="883">
        <f t="shared" ca="1" si="43"/>
        <v>0</v>
      </c>
      <c r="EA42" s="883">
        <f t="shared" ca="1" si="43"/>
        <v>0</v>
      </c>
      <c r="EB42" s="883">
        <f t="shared" ca="1" si="43"/>
        <v>0</v>
      </c>
      <c r="EC42" s="883">
        <f t="shared" ref="EC42:ED42" ca="1" si="53">IFERROR(IF(YEAR($W42)&lt;EC$4,0,IF(YEAR($W42)=EC$4,IF($P42="美國國庫債券",ROUND(DATEDIF($U42,$W42,"M")/(12/$Y42),0)+1,DATEDIF($U42,$W42,"M")/(12/$Y42)+1),INT(DATEDIF($U42,EC$5,"M")/(12/$Y42))+1)),0)</f>
        <v>0</v>
      </c>
      <c r="ED42" s="883">
        <f t="shared" ca="1" si="53"/>
        <v>0</v>
      </c>
      <c r="EE42" s="883">
        <f t="shared" ca="1" si="44"/>
        <v>0</v>
      </c>
      <c r="EF42" s="883">
        <f t="shared" ca="1" si="44"/>
        <v>0</v>
      </c>
      <c r="EG42" s="883">
        <f t="shared" ca="1" si="44"/>
        <v>0</v>
      </c>
      <c r="EH42" s="883">
        <f t="shared" ca="1" si="44"/>
        <v>0</v>
      </c>
      <c r="EI42" s="883">
        <f t="shared" ca="1" si="44"/>
        <v>0</v>
      </c>
      <c r="EJ42" s="883">
        <f t="shared" ca="1" si="44"/>
        <v>0</v>
      </c>
      <c r="EK42" s="883">
        <f t="shared" ca="1" si="44"/>
        <v>0</v>
      </c>
      <c r="EL42" s="883">
        <f t="shared" ca="1" si="44"/>
        <v>0</v>
      </c>
      <c r="EM42" s="883">
        <f t="shared" ca="1" si="44"/>
        <v>0</v>
      </c>
      <c r="EN42" s="883">
        <f t="shared" ca="1" si="44"/>
        <v>0</v>
      </c>
      <c r="EO42" s="883">
        <f t="shared" ca="1" si="44"/>
        <v>0</v>
      </c>
      <c r="EP42" s="883">
        <f t="shared" ca="1" si="44"/>
        <v>0</v>
      </c>
      <c r="EQ42" s="883">
        <f t="shared" ca="1" si="44"/>
        <v>0</v>
      </c>
      <c r="ER42" s="883">
        <f t="shared" ca="1" si="44"/>
        <v>0</v>
      </c>
      <c r="ES42" s="883">
        <f t="shared" ref="ES42:ET42" ca="1" si="54">IFERROR(IF(YEAR($W42)&lt;ES$4,0,IF(YEAR($W42)=ES$4,IF($P42="美國國庫債券",ROUND(DATEDIF($U42,$W42,"M")/(12/$Y42),0)+1,DATEDIF($U42,$W42,"M")/(12/$Y42)+1),INT(DATEDIF($U42,ES$5,"M")/(12/$Y42))+1)),0)</f>
        <v>0</v>
      </c>
      <c r="ET42" s="883">
        <f t="shared" ca="1" si="54"/>
        <v>0</v>
      </c>
      <c r="EU42" s="883">
        <f t="shared" ca="1" si="46"/>
        <v>0</v>
      </c>
      <c r="EV42" s="883">
        <f t="shared" ca="1" si="46"/>
        <v>0</v>
      </c>
      <c r="EW42" s="883">
        <f t="shared" ca="1" si="46"/>
        <v>0</v>
      </c>
      <c r="EX42" s="883">
        <f t="shared" ca="1" si="46"/>
        <v>0</v>
      </c>
      <c r="EY42" s="883">
        <f t="shared" ca="1" si="46"/>
        <v>0</v>
      </c>
      <c r="EZ42" s="883">
        <f t="shared" ca="1" si="46"/>
        <v>0</v>
      </c>
      <c r="FA42" s="883">
        <f t="shared" ca="1" si="46"/>
        <v>0</v>
      </c>
    </row>
    <row r="43" spans="8:157">
      <c r="H43" s="891">
        <f t="shared" ca="1" si="34"/>
        <v>2055</v>
      </c>
      <c r="I43" s="1206">
        <f t="shared" ca="1" si="32"/>
        <v>2250</v>
      </c>
      <c r="J43" s="1206">
        <f t="shared" ca="1" si="23"/>
        <v>0</v>
      </c>
      <c r="K43" s="929" t="str">
        <f t="shared" si="33"/>
        <v/>
      </c>
      <c r="L43" s="929" t="str">
        <f t="shared" si="24"/>
        <v/>
      </c>
      <c r="R43" s="889"/>
      <c r="S43" s="885"/>
      <c r="V43" s="886"/>
      <c r="W43" s="885"/>
      <c r="AA43" s="909"/>
      <c r="AB43" s="908"/>
      <c r="AC43" s="887"/>
    </row>
    <row r="44" spans="8:157">
      <c r="H44" s="891">
        <f t="shared" ca="1" si="34"/>
        <v>2056</v>
      </c>
      <c r="I44" s="1206">
        <f t="shared" ref="I44:I75" ca="1" si="55">MAX(INDEX($AD$2:$FA$2,1,MATCH(H44,$AD$4:$FA$4,0)),0)</f>
        <v>2250</v>
      </c>
      <c r="J44" s="1206">
        <f t="shared" ref="J44:J75" ca="1" si="56">SUMIFS($R$7:$R$42,$T$7:$T$42,$H44)</f>
        <v>0</v>
      </c>
      <c r="K44" s="929" t="str">
        <f t="shared" ref="K44:K75" si="57">IF($B$6=0,"",MAX(INDEX($AD$60:$FA$60,1,MATCH(H44,$AD$4:$FA$4,0)),0))</f>
        <v/>
      </c>
      <c r="L44" s="929" t="str">
        <f t="shared" si="24"/>
        <v/>
      </c>
      <c r="R44" s="889"/>
      <c r="S44" s="885"/>
      <c r="V44" s="886"/>
      <c r="W44" s="885"/>
      <c r="AA44" s="909"/>
      <c r="AB44" s="908"/>
      <c r="AC44" s="887"/>
    </row>
    <row r="45" spans="8:157">
      <c r="H45" s="891">
        <f t="shared" ref="H45:H76" ca="1" si="58">IF(H44&lt;$B$2,H44+1,"")</f>
        <v>2057</v>
      </c>
      <c r="I45" s="1206">
        <f t="shared" ca="1" si="55"/>
        <v>2250</v>
      </c>
      <c r="J45" s="1206">
        <f t="shared" ca="1" si="56"/>
        <v>0</v>
      </c>
      <c r="K45" s="929" t="str">
        <f t="shared" si="57"/>
        <v/>
      </c>
      <c r="L45" s="929" t="str">
        <f t="shared" si="24"/>
        <v/>
      </c>
      <c r="R45" s="889"/>
      <c r="S45" s="885"/>
      <c r="V45" s="886"/>
      <c r="W45" s="885"/>
      <c r="AA45" s="909"/>
      <c r="AB45" s="908"/>
      <c r="AC45" s="887"/>
    </row>
    <row r="46" spans="8:157">
      <c r="H46" s="891">
        <f t="shared" ca="1" si="58"/>
        <v>2058</v>
      </c>
      <c r="I46" s="1206">
        <f t="shared" ca="1" si="55"/>
        <v>2250</v>
      </c>
      <c r="J46" s="1206">
        <f t="shared" ca="1" si="56"/>
        <v>0</v>
      </c>
      <c r="K46" s="929" t="str">
        <f t="shared" si="57"/>
        <v/>
      </c>
      <c r="L46" s="929" t="str">
        <f t="shared" si="24"/>
        <v/>
      </c>
      <c r="R46" s="889"/>
      <c r="S46" s="885"/>
      <c r="V46" s="886"/>
      <c r="W46" s="885"/>
      <c r="AA46" s="909"/>
      <c r="AB46" s="908"/>
      <c r="AC46" s="887"/>
    </row>
    <row r="47" spans="8:157">
      <c r="H47" s="891">
        <f t="shared" ca="1" si="58"/>
        <v>2059</v>
      </c>
      <c r="I47" s="1206">
        <f t="shared" ca="1" si="55"/>
        <v>2250</v>
      </c>
      <c r="J47" s="1206">
        <f t="shared" ca="1" si="56"/>
        <v>0</v>
      </c>
      <c r="K47" s="929" t="str">
        <f t="shared" si="57"/>
        <v/>
      </c>
      <c r="L47" s="929" t="str">
        <f t="shared" si="24"/>
        <v/>
      </c>
      <c r="R47" s="889"/>
      <c r="S47" s="885"/>
      <c r="V47" s="886"/>
      <c r="W47" s="885"/>
      <c r="AA47" s="909"/>
      <c r="AB47" s="908"/>
      <c r="AC47" s="887"/>
    </row>
    <row r="48" spans="8:157">
      <c r="H48" s="891">
        <f t="shared" ca="1" si="58"/>
        <v>2060</v>
      </c>
      <c r="I48" s="1206">
        <f t="shared" ca="1" si="55"/>
        <v>2250</v>
      </c>
      <c r="J48" s="1206">
        <f t="shared" ca="1" si="56"/>
        <v>100000</v>
      </c>
      <c r="K48" s="929" t="str">
        <f t="shared" si="57"/>
        <v/>
      </c>
      <c r="L48" s="929" t="str">
        <f t="shared" si="24"/>
        <v/>
      </c>
      <c r="R48" s="889"/>
      <c r="S48" s="885"/>
      <c r="V48" s="886"/>
      <c r="W48" s="885"/>
      <c r="AA48" s="909"/>
      <c r="AB48" s="908"/>
      <c r="AC48" s="887"/>
    </row>
    <row r="49" spans="8:157">
      <c r="H49" s="891" t="str">
        <f t="shared" ca="1" si="58"/>
        <v/>
      </c>
      <c r="I49" s="1206" t="e">
        <f t="shared" ca="1" si="55"/>
        <v>#N/A</v>
      </c>
      <c r="J49" s="1206">
        <f t="shared" ca="1" si="56"/>
        <v>0</v>
      </c>
      <c r="K49" s="929" t="str">
        <f t="shared" si="57"/>
        <v/>
      </c>
      <c r="L49" s="929" t="str">
        <f t="shared" si="24"/>
        <v/>
      </c>
      <c r="R49" s="889"/>
      <c r="S49" s="885"/>
      <c r="V49" s="886"/>
      <c r="W49" s="885"/>
      <c r="AA49" s="909"/>
      <c r="AB49" s="908"/>
      <c r="AC49" s="887"/>
    </row>
    <row r="50" spans="8:157">
      <c r="H50" s="891" t="str">
        <f t="shared" ca="1" si="58"/>
        <v/>
      </c>
      <c r="I50" s="1206" t="e">
        <f t="shared" ca="1" si="55"/>
        <v>#N/A</v>
      </c>
      <c r="J50" s="1206">
        <f t="shared" ca="1" si="56"/>
        <v>0</v>
      </c>
      <c r="K50" s="929" t="str">
        <f t="shared" si="57"/>
        <v/>
      </c>
      <c r="L50" s="929" t="str">
        <f t="shared" si="24"/>
        <v/>
      </c>
      <c r="R50" s="889"/>
      <c r="S50" s="885"/>
      <c r="V50" s="886"/>
      <c r="W50" s="885"/>
      <c r="AA50" s="909"/>
      <c r="AB50" s="908"/>
      <c r="AC50" s="887"/>
    </row>
    <row r="51" spans="8:157">
      <c r="H51" s="891" t="str">
        <f t="shared" ca="1" si="58"/>
        <v/>
      </c>
      <c r="I51" s="1206" t="e">
        <f t="shared" ca="1" si="55"/>
        <v>#N/A</v>
      </c>
      <c r="J51" s="1206">
        <f t="shared" ca="1" si="56"/>
        <v>0</v>
      </c>
      <c r="K51" s="929" t="str">
        <f t="shared" si="57"/>
        <v/>
      </c>
      <c r="L51" s="929" t="str">
        <f t="shared" si="24"/>
        <v/>
      </c>
      <c r="R51" s="889"/>
      <c r="S51" s="885"/>
      <c r="V51" s="886"/>
      <c r="W51" s="885"/>
      <c r="AA51" s="909"/>
      <c r="AB51" s="908"/>
      <c r="AC51" s="887"/>
    </row>
    <row r="52" spans="8:157">
      <c r="H52" s="891" t="str">
        <f t="shared" ca="1" si="58"/>
        <v/>
      </c>
      <c r="I52" s="1206" t="e">
        <f t="shared" ca="1" si="55"/>
        <v>#N/A</v>
      </c>
      <c r="J52" s="1206">
        <f t="shared" ca="1" si="56"/>
        <v>0</v>
      </c>
      <c r="K52" s="929" t="str">
        <f t="shared" si="57"/>
        <v/>
      </c>
      <c r="L52" s="929" t="str">
        <f t="shared" si="24"/>
        <v/>
      </c>
      <c r="R52" s="889"/>
      <c r="S52" s="885"/>
      <c r="V52" s="886"/>
      <c r="W52" s="885"/>
      <c r="AA52" s="909"/>
      <c r="AB52" s="908"/>
      <c r="AC52" s="887"/>
    </row>
    <row r="53" spans="8:157">
      <c r="H53" s="891" t="str">
        <f t="shared" ca="1" si="58"/>
        <v/>
      </c>
      <c r="I53" s="1206" t="e">
        <f t="shared" ca="1" si="55"/>
        <v>#N/A</v>
      </c>
      <c r="J53" s="1206">
        <f t="shared" ca="1" si="56"/>
        <v>0</v>
      </c>
      <c r="K53" s="929" t="str">
        <f t="shared" si="57"/>
        <v/>
      </c>
      <c r="L53" s="929" t="str">
        <f t="shared" si="24"/>
        <v/>
      </c>
      <c r="R53" s="889"/>
      <c r="S53" s="885"/>
      <c r="V53" s="886"/>
      <c r="W53" s="885"/>
      <c r="AA53" s="909"/>
      <c r="AB53" s="908"/>
      <c r="AC53" s="887"/>
    </row>
    <row r="54" spans="8:157">
      <c r="H54" s="891" t="str">
        <f t="shared" ca="1" si="58"/>
        <v/>
      </c>
      <c r="I54" s="1206" t="e">
        <f t="shared" ca="1" si="55"/>
        <v>#N/A</v>
      </c>
      <c r="J54" s="1206">
        <f t="shared" ca="1" si="56"/>
        <v>0</v>
      </c>
      <c r="K54" s="929" t="str">
        <f t="shared" si="57"/>
        <v/>
      </c>
      <c r="L54" s="929" t="str">
        <f t="shared" si="24"/>
        <v/>
      </c>
      <c r="R54" s="889"/>
      <c r="S54" s="885"/>
      <c r="V54" s="886"/>
      <c r="W54" s="885"/>
      <c r="AA54" s="909"/>
      <c r="AB54" s="908"/>
      <c r="AC54" s="887"/>
    </row>
    <row r="55" spans="8:157">
      <c r="H55" s="891" t="str">
        <f t="shared" ca="1" si="58"/>
        <v/>
      </c>
      <c r="I55" s="1206" t="e">
        <f t="shared" ca="1" si="55"/>
        <v>#N/A</v>
      </c>
      <c r="J55" s="1206">
        <f t="shared" ca="1" si="56"/>
        <v>0</v>
      </c>
      <c r="K55" s="929" t="str">
        <f t="shared" si="57"/>
        <v/>
      </c>
      <c r="L55" s="929" t="str">
        <f t="shared" si="24"/>
        <v/>
      </c>
      <c r="R55" s="889"/>
      <c r="S55" s="885"/>
      <c r="V55" s="886"/>
      <c r="W55" s="885"/>
      <c r="AA55" s="909"/>
      <c r="AB55" s="908"/>
      <c r="AC55" s="887"/>
    </row>
    <row r="56" spans="8:157">
      <c r="H56" s="891" t="str">
        <f t="shared" ca="1" si="58"/>
        <v/>
      </c>
      <c r="I56" s="1206" t="e">
        <f t="shared" ca="1" si="55"/>
        <v>#N/A</v>
      </c>
      <c r="J56" s="1206">
        <f t="shared" ca="1" si="56"/>
        <v>0</v>
      </c>
      <c r="K56" s="929" t="str">
        <f t="shared" si="57"/>
        <v/>
      </c>
      <c r="L56" s="929" t="str">
        <f t="shared" si="24"/>
        <v/>
      </c>
      <c r="R56" s="889"/>
      <c r="S56" s="885"/>
      <c r="V56" s="886"/>
      <c r="W56" s="885"/>
      <c r="AA56" s="909"/>
      <c r="AB56" s="908"/>
      <c r="AC56" s="887"/>
    </row>
    <row r="57" spans="8:157">
      <c r="H57" s="891" t="str">
        <f t="shared" ca="1" si="58"/>
        <v/>
      </c>
      <c r="I57" s="1206" t="e">
        <f t="shared" ca="1" si="55"/>
        <v>#N/A</v>
      </c>
      <c r="J57" s="1206">
        <f t="shared" ca="1" si="56"/>
        <v>0</v>
      </c>
      <c r="K57" s="929" t="str">
        <f t="shared" si="57"/>
        <v/>
      </c>
      <c r="L57" s="929" t="str">
        <f t="shared" si="24"/>
        <v/>
      </c>
      <c r="W57" s="885"/>
    </row>
    <row r="58" spans="8:157">
      <c r="H58" s="891" t="str">
        <f t="shared" ca="1" si="58"/>
        <v/>
      </c>
      <c r="I58" s="1206" t="e">
        <f t="shared" ca="1" si="55"/>
        <v>#N/A</v>
      </c>
      <c r="J58" s="1206">
        <f t="shared" ca="1" si="56"/>
        <v>0</v>
      </c>
      <c r="K58" s="929" t="str">
        <f t="shared" si="57"/>
        <v/>
      </c>
      <c r="L58" s="929" t="str">
        <f t="shared" si="24"/>
        <v/>
      </c>
      <c r="W58" s="885"/>
    </row>
    <row r="59" spans="8:157">
      <c r="H59" s="891" t="str">
        <f t="shared" ca="1" si="58"/>
        <v/>
      </c>
      <c r="I59" s="1206" t="e">
        <f t="shared" ca="1" si="55"/>
        <v>#N/A</v>
      </c>
      <c r="J59" s="1206">
        <f t="shared" ca="1" si="56"/>
        <v>0</v>
      </c>
      <c r="K59" s="929" t="str">
        <f t="shared" si="57"/>
        <v/>
      </c>
      <c r="L59" s="929" t="str">
        <f t="shared" si="24"/>
        <v/>
      </c>
      <c r="W59" s="885"/>
      <c r="AD59" s="887"/>
      <c r="AE59" s="887"/>
      <c r="AF59" s="887"/>
      <c r="AG59" s="887"/>
      <c r="AH59" s="887"/>
      <c r="AI59" s="887"/>
      <c r="AJ59" s="887"/>
      <c r="AK59" s="887"/>
      <c r="AL59" s="887"/>
      <c r="AM59" s="887"/>
      <c r="AN59" s="887"/>
      <c r="AO59" s="887"/>
      <c r="AP59" s="887"/>
      <c r="AQ59" s="887"/>
      <c r="AR59" s="887"/>
      <c r="AS59" s="887"/>
      <c r="AT59" s="887"/>
      <c r="AU59" s="887"/>
      <c r="AV59" s="887"/>
      <c r="AW59" s="887"/>
      <c r="AX59" s="887"/>
      <c r="AY59" s="887"/>
      <c r="AZ59" s="887"/>
      <c r="BA59" s="887"/>
      <c r="BB59" s="887"/>
      <c r="BC59" s="887"/>
      <c r="BD59" s="887"/>
      <c r="BE59" s="887"/>
      <c r="BF59" s="887"/>
      <c r="BG59" s="887"/>
      <c r="BH59" s="887"/>
      <c r="BI59" s="887"/>
      <c r="BJ59" s="887"/>
      <c r="BK59" s="887"/>
      <c r="BL59" s="887"/>
      <c r="BM59" s="887"/>
      <c r="BN59" s="887"/>
      <c r="BO59" s="887"/>
      <c r="BP59" s="887"/>
      <c r="BQ59" s="887"/>
      <c r="BR59" s="887"/>
      <c r="BS59" s="887"/>
      <c r="BT59" s="887"/>
      <c r="BU59" s="887"/>
      <c r="BV59" s="887"/>
      <c r="BW59" s="887"/>
      <c r="BX59" s="887"/>
      <c r="BY59" s="887"/>
      <c r="BZ59" s="887"/>
      <c r="CA59" s="887"/>
      <c r="CB59" s="887"/>
      <c r="CC59" s="887"/>
      <c r="CD59" s="887"/>
      <c r="CE59" s="887"/>
      <c r="CF59" s="887"/>
      <c r="CG59" s="887"/>
      <c r="CH59" s="887"/>
      <c r="CI59" s="887"/>
      <c r="CJ59" s="887"/>
      <c r="CK59" s="887"/>
      <c r="CL59" s="887"/>
      <c r="CM59" s="887"/>
      <c r="CN59" s="887"/>
      <c r="CO59" s="887"/>
      <c r="CP59" s="887"/>
      <c r="CQ59" s="887"/>
      <c r="CR59" s="887"/>
      <c r="CS59" s="887"/>
      <c r="CT59" s="887"/>
      <c r="CU59" s="887"/>
      <c r="CV59" s="887"/>
      <c r="CW59" s="887"/>
      <c r="CX59" s="887"/>
      <c r="CY59" s="887"/>
      <c r="CZ59" s="887"/>
      <c r="DA59" s="887"/>
      <c r="DB59" s="887"/>
      <c r="DC59" s="887"/>
      <c r="DD59" s="887"/>
      <c r="DE59" s="887"/>
      <c r="DF59" s="887"/>
      <c r="DG59" s="887"/>
      <c r="DH59" s="887"/>
      <c r="DI59" s="887"/>
      <c r="DJ59" s="887"/>
      <c r="DK59" s="887"/>
      <c r="DL59" s="887"/>
      <c r="DM59" s="887"/>
      <c r="DN59" s="887"/>
      <c r="DO59" s="887"/>
      <c r="DP59" s="887"/>
      <c r="DQ59" s="887"/>
      <c r="DR59" s="887"/>
      <c r="DS59" s="887"/>
      <c r="DT59" s="887"/>
      <c r="DU59" s="887"/>
      <c r="DV59" s="887"/>
      <c r="DW59" s="887"/>
      <c r="DX59" s="887"/>
      <c r="DY59" s="887"/>
      <c r="DZ59" s="887"/>
      <c r="EA59" s="887"/>
      <c r="EB59" s="887"/>
      <c r="EC59" s="887"/>
      <c r="ED59" s="887"/>
      <c r="EE59" s="887"/>
      <c r="EF59" s="887"/>
      <c r="EG59" s="887"/>
      <c r="EH59" s="887"/>
      <c r="EI59" s="887"/>
      <c r="EJ59" s="887"/>
      <c r="EK59" s="887"/>
      <c r="EL59" s="887"/>
      <c r="EM59" s="887"/>
      <c r="EN59" s="887"/>
      <c r="EO59" s="887"/>
      <c r="EP59" s="887"/>
      <c r="EQ59" s="887"/>
      <c r="ER59" s="887"/>
      <c r="ES59" s="887"/>
      <c r="ET59" s="887"/>
      <c r="EU59" s="887"/>
      <c r="EV59" s="887"/>
      <c r="EW59" s="887"/>
      <c r="EX59" s="887"/>
      <c r="EY59" s="887"/>
      <c r="EZ59" s="887"/>
      <c r="FA59" s="887"/>
    </row>
    <row r="60" spans="8:157">
      <c r="H60" s="891" t="str">
        <f t="shared" ca="1" si="58"/>
        <v/>
      </c>
      <c r="I60" s="1206" t="e">
        <f t="shared" ca="1" si="55"/>
        <v>#N/A</v>
      </c>
      <c r="J60" s="1206">
        <f t="shared" ca="1" si="56"/>
        <v>0</v>
      </c>
      <c r="K60" s="929" t="str">
        <f t="shared" si="57"/>
        <v/>
      </c>
      <c r="L60" s="929" t="str">
        <f t="shared" si="24"/>
        <v/>
      </c>
      <c r="R60" s="889"/>
      <c r="W60" s="885"/>
      <c r="AC60" s="1846">
        <f ca="1">SUM(AD60:EK60)</f>
        <v>490975</v>
      </c>
      <c r="AD60" s="908">
        <f ca="1">SUMPRODUCT($AC$65:$AC$106,AD65:AD106)</f>
        <v>8212.5</v>
      </c>
      <c r="AE60" s="908" cm="1">
        <f t="array" aca="1" ref="AE60" ca="1">SUMPRODUCT((AE65:AE106-AD65:AD106)*(AE65:AE106&gt;AD65:AD106)*$AC$65:$AC$106)</f>
        <v>16425</v>
      </c>
      <c r="AF60" s="908" cm="1">
        <f t="array" aca="1" ref="AF60" ca="1">SUMPRODUCT((AF65:AF106-AE65:AE106)*(AF65:AF106&gt;AE65:AE106)*$AC$65:$AC$106)</f>
        <v>16425</v>
      </c>
      <c r="AG60" s="908">
        <f t="shared" ref="AG60:CQ60" ca="1" si="59">SUMPRODUCT((AG65:AG106-AF65:AF106)*(AG65:AG106&gt;AF65:AF106)*$AC$65:$AC$106)</f>
        <v>16425</v>
      </c>
      <c r="AH60" s="908">
        <f t="shared" ca="1" si="59"/>
        <v>16425</v>
      </c>
      <c r="AI60" s="908">
        <f t="shared" ca="1" si="59"/>
        <v>16425</v>
      </c>
      <c r="AJ60" s="908">
        <f t="shared" ca="1" si="59"/>
        <v>16425</v>
      </c>
      <c r="AK60" s="908">
        <f t="shared" ca="1" si="59"/>
        <v>16425</v>
      </c>
      <c r="AL60" s="908">
        <f t="shared" ca="1" si="59"/>
        <v>16425</v>
      </c>
      <c r="AM60" s="908">
        <f t="shared" ca="1" si="59"/>
        <v>16425</v>
      </c>
      <c r="AN60" s="908">
        <f t="shared" ca="1" si="59"/>
        <v>16425</v>
      </c>
      <c r="AO60" s="908">
        <f t="shared" ca="1" si="59"/>
        <v>16425</v>
      </c>
      <c r="AP60" s="908">
        <f t="shared" ca="1" si="59"/>
        <v>16425</v>
      </c>
      <c r="AQ60" s="908">
        <f t="shared" ca="1" si="59"/>
        <v>16425</v>
      </c>
      <c r="AR60" s="908">
        <f t="shared" ca="1" si="59"/>
        <v>16425</v>
      </c>
      <c r="AS60" s="908">
        <f t="shared" ca="1" si="59"/>
        <v>16425</v>
      </c>
      <c r="AT60" s="908">
        <f t="shared" ca="1" si="59"/>
        <v>16425</v>
      </c>
      <c r="AU60" s="908">
        <f t="shared" ca="1" si="59"/>
        <v>16425</v>
      </c>
      <c r="AV60" s="908">
        <f t="shared" ca="1" si="59"/>
        <v>16425</v>
      </c>
      <c r="AW60" s="908">
        <f t="shared" ca="1" si="59"/>
        <v>16425</v>
      </c>
      <c r="AX60" s="908">
        <f t="shared" ca="1" si="59"/>
        <v>16425</v>
      </c>
      <c r="AY60" s="908">
        <f t="shared" ca="1" si="59"/>
        <v>16425</v>
      </c>
      <c r="AZ60" s="908">
        <f t="shared" ca="1" si="59"/>
        <v>16425</v>
      </c>
      <c r="BA60" s="908">
        <f t="shared" ca="1" si="59"/>
        <v>16425</v>
      </c>
      <c r="BB60" s="908">
        <f t="shared" ca="1" si="59"/>
        <v>16425</v>
      </c>
      <c r="BC60" s="908">
        <f t="shared" ca="1" si="59"/>
        <v>16425</v>
      </c>
      <c r="BD60" s="908">
        <f t="shared" ca="1" si="59"/>
        <v>16425</v>
      </c>
      <c r="BE60" s="908">
        <f t="shared" ca="1" si="59"/>
        <v>16425</v>
      </c>
      <c r="BF60" s="908">
        <f t="shared" ca="1" si="59"/>
        <v>16425</v>
      </c>
      <c r="BG60" s="908">
        <f t="shared" ca="1" si="59"/>
        <v>7112.5</v>
      </c>
      <c r="BH60" s="908">
        <f t="shared" ca="1" si="59"/>
        <v>2250</v>
      </c>
      <c r="BI60" s="908">
        <f t="shared" ca="1" si="59"/>
        <v>2250</v>
      </c>
      <c r="BJ60" s="908">
        <f t="shared" ca="1" si="59"/>
        <v>2250</v>
      </c>
      <c r="BK60" s="908">
        <f t="shared" ca="1" si="59"/>
        <v>2250</v>
      </c>
      <c r="BL60" s="908">
        <f t="shared" ca="1" si="59"/>
        <v>2250</v>
      </c>
      <c r="BM60" s="908">
        <f t="shared" ca="1" si="59"/>
        <v>2250</v>
      </c>
      <c r="BN60" s="908">
        <f t="shared" ca="1" si="59"/>
        <v>2250</v>
      </c>
      <c r="BO60" s="908">
        <f t="shared" ca="1" si="59"/>
        <v>0</v>
      </c>
      <c r="BP60" s="908">
        <f t="shared" ca="1" si="59"/>
        <v>0</v>
      </c>
      <c r="BQ60" s="908">
        <f t="shared" ca="1" si="59"/>
        <v>0</v>
      </c>
      <c r="BR60" s="908">
        <f t="shared" ca="1" si="59"/>
        <v>0</v>
      </c>
      <c r="BS60" s="908">
        <f t="shared" ca="1" si="59"/>
        <v>0</v>
      </c>
      <c r="BT60" s="908">
        <f t="shared" ca="1" si="59"/>
        <v>0</v>
      </c>
      <c r="BU60" s="908">
        <f t="shared" ca="1" si="59"/>
        <v>0</v>
      </c>
      <c r="BV60" s="908">
        <f t="shared" ca="1" si="59"/>
        <v>0</v>
      </c>
      <c r="BW60" s="908">
        <f t="shared" ca="1" si="59"/>
        <v>0</v>
      </c>
      <c r="BX60" s="908">
        <f t="shared" ca="1" si="59"/>
        <v>0</v>
      </c>
      <c r="BY60" s="908">
        <f t="shared" ca="1" si="59"/>
        <v>0</v>
      </c>
      <c r="BZ60" s="908">
        <f t="shared" ca="1" si="59"/>
        <v>0</v>
      </c>
      <c r="CA60" s="908">
        <f t="shared" ca="1" si="59"/>
        <v>0</v>
      </c>
      <c r="CB60" s="908">
        <f t="shared" ca="1" si="59"/>
        <v>0</v>
      </c>
      <c r="CC60" s="908">
        <f t="shared" ca="1" si="59"/>
        <v>0</v>
      </c>
      <c r="CD60" s="908">
        <f t="shared" ca="1" si="59"/>
        <v>0</v>
      </c>
      <c r="CE60" s="908">
        <f t="shared" ca="1" si="59"/>
        <v>0</v>
      </c>
      <c r="CF60" s="908">
        <f t="shared" ca="1" si="59"/>
        <v>0</v>
      </c>
      <c r="CG60" s="908">
        <f t="shared" ca="1" si="59"/>
        <v>0</v>
      </c>
      <c r="CH60" s="908">
        <f t="shared" ca="1" si="59"/>
        <v>0</v>
      </c>
      <c r="CI60" s="908">
        <f t="shared" ca="1" si="59"/>
        <v>0</v>
      </c>
      <c r="CJ60" s="908">
        <f t="shared" ca="1" si="59"/>
        <v>0</v>
      </c>
      <c r="CK60" s="908">
        <f t="shared" ca="1" si="59"/>
        <v>0</v>
      </c>
      <c r="CL60" s="908">
        <f t="shared" ca="1" si="59"/>
        <v>0</v>
      </c>
      <c r="CM60" s="908">
        <f t="shared" ca="1" si="59"/>
        <v>0</v>
      </c>
      <c r="CN60" s="908">
        <f t="shared" ca="1" si="59"/>
        <v>0</v>
      </c>
      <c r="CO60" s="908">
        <f t="shared" ca="1" si="59"/>
        <v>0</v>
      </c>
      <c r="CP60" s="908">
        <f t="shared" ca="1" si="59"/>
        <v>0</v>
      </c>
      <c r="CQ60" s="908">
        <f t="shared" ca="1" si="59"/>
        <v>0</v>
      </c>
      <c r="CR60" s="908">
        <f t="shared" ref="CR60:FA60" ca="1" si="60">SUMPRODUCT((CR65:CR106-CQ65:CQ106)*(CR65:CR106&gt;CQ65:CQ106)*$AC$65:$AC$106)</f>
        <v>0</v>
      </c>
      <c r="CS60" s="908">
        <f t="shared" ca="1" si="60"/>
        <v>0</v>
      </c>
      <c r="CT60" s="908">
        <f t="shared" ca="1" si="60"/>
        <v>0</v>
      </c>
      <c r="CU60" s="908">
        <f t="shared" ca="1" si="60"/>
        <v>0</v>
      </c>
      <c r="CV60" s="908">
        <f t="shared" ca="1" si="60"/>
        <v>0</v>
      </c>
      <c r="CW60" s="908">
        <f t="shared" ca="1" si="60"/>
        <v>0</v>
      </c>
      <c r="CX60" s="908">
        <f t="shared" ca="1" si="60"/>
        <v>0</v>
      </c>
      <c r="CY60" s="908">
        <f t="shared" ca="1" si="60"/>
        <v>0</v>
      </c>
      <c r="CZ60" s="908">
        <f t="shared" ca="1" si="60"/>
        <v>0</v>
      </c>
      <c r="DA60" s="908">
        <f t="shared" ca="1" si="60"/>
        <v>0</v>
      </c>
      <c r="DB60" s="908">
        <f t="shared" ca="1" si="60"/>
        <v>0</v>
      </c>
      <c r="DC60" s="908">
        <f t="shared" ca="1" si="60"/>
        <v>0</v>
      </c>
      <c r="DD60" s="908">
        <f t="shared" ca="1" si="60"/>
        <v>0</v>
      </c>
      <c r="DE60" s="908">
        <f t="shared" ca="1" si="60"/>
        <v>0</v>
      </c>
      <c r="DF60" s="908">
        <f t="shared" ca="1" si="60"/>
        <v>0</v>
      </c>
      <c r="DG60" s="908">
        <f t="shared" ca="1" si="60"/>
        <v>0</v>
      </c>
      <c r="DH60" s="908">
        <f t="shared" ca="1" si="60"/>
        <v>0</v>
      </c>
      <c r="DI60" s="908">
        <f t="shared" ca="1" si="60"/>
        <v>0</v>
      </c>
      <c r="DJ60" s="908">
        <f t="shared" ca="1" si="60"/>
        <v>0</v>
      </c>
      <c r="DK60" s="908">
        <f t="shared" ca="1" si="60"/>
        <v>0</v>
      </c>
      <c r="DL60" s="908">
        <f t="shared" ca="1" si="60"/>
        <v>0</v>
      </c>
      <c r="DM60" s="908">
        <f t="shared" ca="1" si="60"/>
        <v>0</v>
      </c>
      <c r="DN60" s="908">
        <f t="shared" ca="1" si="60"/>
        <v>0</v>
      </c>
      <c r="DO60" s="908">
        <f t="shared" ca="1" si="60"/>
        <v>0</v>
      </c>
      <c r="DP60" s="908">
        <f t="shared" ca="1" si="60"/>
        <v>0</v>
      </c>
      <c r="DQ60" s="908">
        <f t="shared" ca="1" si="60"/>
        <v>0</v>
      </c>
      <c r="DR60" s="908">
        <f t="shared" ca="1" si="60"/>
        <v>0</v>
      </c>
      <c r="DS60" s="908">
        <f t="shared" ca="1" si="60"/>
        <v>0</v>
      </c>
      <c r="DT60" s="908">
        <f t="shared" ca="1" si="60"/>
        <v>0</v>
      </c>
      <c r="DU60" s="908">
        <f t="shared" ca="1" si="60"/>
        <v>0</v>
      </c>
      <c r="DV60" s="908">
        <f t="shared" ca="1" si="60"/>
        <v>0</v>
      </c>
      <c r="DW60" s="908">
        <f t="shared" ca="1" si="60"/>
        <v>0</v>
      </c>
      <c r="DX60" s="908">
        <f t="shared" ca="1" si="60"/>
        <v>0</v>
      </c>
      <c r="DY60" s="908">
        <f t="shared" ca="1" si="60"/>
        <v>0</v>
      </c>
      <c r="DZ60" s="908">
        <f t="shared" ca="1" si="60"/>
        <v>0</v>
      </c>
      <c r="EA60" s="908">
        <f t="shared" ca="1" si="60"/>
        <v>0</v>
      </c>
      <c r="EB60" s="908">
        <f t="shared" ca="1" si="60"/>
        <v>0</v>
      </c>
      <c r="EC60" s="908">
        <f t="shared" ca="1" si="60"/>
        <v>0</v>
      </c>
      <c r="ED60" s="908">
        <f t="shared" ca="1" si="60"/>
        <v>0</v>
      </c>
      <c r="EE60" s="908">
        <f t="shared" ca="1" si="60"/>
        <v>0</v>
      </c>
      <c r="EF60" s="908">
        <f t="shared" ca="1" si="60"/>
        <v>0</v>
      </c>
      <c r="EG60" s="908">
        <f t="shared" ca="1" si="60"/>
        <v>0</v>
      </c>
      <c r="EH60" s="908">
        <f t="shared" ca="1" si="60"/>
        <v>0</v>
      </c>
      <c r="EI60" s="908">
        <f t="shared" ca="1" si="60"/>
        <v>0</v>
      </c>
      <c r="EJ60" s="908">
        <f t="shared" ca="1" si="60"/>
        <v>0</v>
      </c>
      <c r="EK60" s="908">
        <f t="shared" ca="1" si="60"/>
        <v>0</v>
      </c>
      <c r="EL60" s="908">
        <f t="shared" ca="1" si="60"/>
        <v>0</v>
      </c>
      <c r="EM60" s="908">
        <f t="shared" ca="1" si="60"/>
        <v>0</v>
      </c>
      <c r="EN60" s="908">
        <f t="shared" ca="1" si="60"/>
        <v>0</v>
      </c>
      <c r="EO60" s="908">
        <f t="shared" ca="1" si="60"/>
        <v>0</v>
      </c>
      <c r="EP60" s="908">
        <f t="shared" ca="1" si="60"/>
        <v>0</v>
      </c>
      <c r="EQ60" s="908">
        <f t="shared" ca="1" si="60"/>
        <v>0</v>
      </c>
      <c r="ER60" s="908">
        <f t="shared" ca="1" si="60"/>
        <v>0</v>
      </c>
      <c r="ES60" s="908">
        <f t="shared" ca="1" si="60"/>
        <v>0</v>
      </c>
      <c r="ET60" s="908">
        <f t="shared" ca="1" si="60"/>
        <v>0</v>
      </c>
      <c r="EU60" s="908">
        <f t="shared" ca="1" si="60"/>
        <v>0</v>
      </c>
      <c r="EV60" s="908">
        <f t="shared" ca="1" si="60"/>
        <v>0</v>
      </c>
      <c r="EW60" s="908">
        <f t="shared" ca="1" si="60"/>
        <v>0</v>
      </c>
      <c r="EX60" s="908">
        <f t="shared" ca="1" si="60"/>
        <v>0</v>
      </c>
      <c r="EY60" s="908">
        <f t="shared" ca="1" si="60"/>
        <v>0</v>
      </c>
      <c r="EZ60" s="908">
        <f t="shared" ca="1" si="60"/>
        <v>0</v>
      </c>
      <c r="FA60" s="908">
        <f t="shared" ca="1" si="60"/>
        <v>0</v>
      </c>
    </row>
    <row r="61" spans="8:157">
      <c r="H61" s="891" t="str">
        <f t="shared" ca="1" si="58"/>
        <v/>
      </c>
      <c r="I61" s="1206" t="e">
        <f t="shared" ca="1" si="55"/>
        <v>#N/A</v>
      </c>
      <c r="J61" s="1206">
        <f t="shared" ca="1" si="56"/>
        <v>0</v>
      </c>
      <c r="K61" s="929" t="str">
        <f t="shared" si="57"/>
        <v/>
      </c>
      <c r="L61" s="929" t="str">
        <f t="shared" si="24"/>
        <v/>
      </c>
      <c r="R61" s="889"/>
      <c r="W61" s="885"/>
    </row>
    <row r="62" spans="8:157">
      <c r="H62" s="891" t="str">
        <f t="shared" ca="1" si="58"/>
        <v/>
      </c>
      <c r="I62" s="1206" t="e">
        <f t="shared" ca="1" si="55"/>
        <v>#N/A</v>
      </c>
      <c r="J62" s="1206">
        <f t="shared" ca="1" si="56"/>
        <v>0</v>
      </c>
      <c r="K62" s="929" t="str">
        <f t="shared" si="57"/>
        <v/>
      </c>
      <c r="L62" s="929" t="str">
        <f t="shared" si="24"/>
        <v/>
      </c>
      <c r="W62" s="885"/>
      <c r="AD62" s="913"/>
      <c r="AE62" s="927"/>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c r="EQ62" s="12"/>
      <c r="ER62" s="12"/>
      <c r="ES62" s="12"/>
      <c r="ET62" s="12"/>
      <c r="EU62" s="12"/>
      <c r="EV62" s="12"/>
      <c r="EW62" s="12"/>
      <c r="EX62" s="12"/>
      <c r="EY62" s="12"/>
      <c r="EZ62" s="12"/>
      <c r="FA62" s="12"/>
    </row>
    <row r="63" spans="8:157">
      <c r="H63" s="891" t="str">
        <f t="shared" ca="1" si="58"/>
        <v/>
      </c>
      <c r="I63" s="1206" t="e">
        <f t="shared" ca="1" si="55"/>
        <v>#N/A</v>
      </c>
      <c r="J63" s="1206">
        <f t="shared" ca="1" si="56"/>
        <v>0</v>
      </c>
      <c r="K63" s="929" t="str">
        <f t="shared" si="57"/>
        <v/>
      </c>
      <c r="L63" s="929" t="str">
        <f t="shared" si="24"/>
        <v/>
      </c>
      <c r="Q63" s="882" t="s">
        <v>3784</v>
      </c>
      <c r="W63" s="885"/>
      <c r="AD63" s="894"/>
      <c r="AE63" s="895"/>
      <c r="AF63" s="895"/>
      <c r="AG63" s="895"/>
      <c r="AH63" s="895"/>
      <c r="AI63" s="895"/>
      <c r="AJ63" s="895"/>
      <c r="AK63" s="895"/>
      <c r="AL63" s="895"/>
      <c r="AM63" s="895"/>
      <c r="AN63" s="895"/>
      <c r="AO63" s="895"/>
      <c r="AP63" s="895"/>
      <c r="AQ63" s="895"/>
      <c r="AR63" s="895"/>
      <c r="AS63" s="895"/>
      <c r="AT63" s="895"/>
      <c r="AU63" s="895"/>
      <c r="AV63" s="895"/>
      <c r="AW63" s="895"/>
      <c r="AX63" s="895"/>
      <c r="AY63" s="895"/>
      <c r="AZ63" s="895"/>
      <c r="BA63" s="895"/>
      <c r="BB63" s="895"/>
      <c r="BC63" s="895"/>
      <c r="BD63" s="895"/>
      <c r="BE63" s="895"/>
      <c r="BF63" s="895"/>
      <c r="BG63" s="895"/>
      <c r="BH63" s="895"/>
      <c r="BI63" s="895"/>
      <c r="BJ63" s="895"/>
      <c r="BK63" s="895"/>
      <c r="BL63" s="895"/>
      <c r="BM63" s="895"/>
      <c r="BN63" s="895"/>
      <c r="BO63" s="895"/>
      <c r="BP63" s="895"/>
      <c r="BQ63" s="895"/>
      <c r="BR63" s="895"/>
      <c r="BS63" s="895"/>
      <c r="BT63" s="895"/>
      <c r="BU63" s="895"/>
      <c r="BV63" s="895"/>
      <c r="BW63" s="895"/>
      <c r="BX63" s="895"/>
      <c r="BY63" s="895"/>
      <c r="BZ63" s="895"/>
      <c r="CA63" s="895"/>
      <c r="CB63" s="895"/>
      <c r="CC63" s="895"/>
      <c r="CD63" s="895"/>
      <c r="CE63" s="895"/>
      <c r="CF63" s="895"/>
      <c r="CG63" s="895"/>
      <c r="CH63" s="895"/>
      <c r="CI63" s="895"/>
      <c r="CJ63" s="895"/>
      <c r="CK63" s="895"/>
      <c r="CL63" s="895"/>
      <c r="CM63" s="895"/>
      <c r="CN63" s="895"/>
      <c r="CO63" s="895"/>
      <c r="CP63" s="895"/>
      <c r="CQ63" s="895"/>
      <c r="CR63" s="895"/>
      <c r="CS63" s="895"/>
      <c r="CT63" s="895"/>
      <c r="CU63" s="895"/>
      <c r="CV63" s="895"/>
      <c r="CW63" s="895"/>
      <c r="CX63" s="895"/>
      <c r="CY63" s="895"/>
      <c r="CZ63" s="895"/>
      <c r="DA63" s="895"/>
      <c r="DB63" s="895"/>
      <c r="DC63" s="895"/>
      <c r="DD63" s="895"/>
      <c r="DE63" s="895"/>
      <c r="DF63" s="895"/>
      <c r="DG63" s="895"/>
      <c r="DH63" s="895"/>
      <c r="DI63" s="895"/>
      <c r="DJ63" s="895"/>
      <c r="DK63" s="895"/>
      <c r="DL63" s="895"/>
      <c r="DM63" s="895"/>
      <c r="DN63" s="895"/>
      <c r="DO63" s="895"/>
      <c r="DP63" s="895"/>
      <c r="DQ63" s="895"/>
      <c r="DR63" s="895"/>
      <c r="DS63" s="895"/>
      <c r="DT63" s="895"/>
      <c r="DU63" s="895"/>
      <c r="DV63" s="895"/>
      <c r="DW63" s="895"/>
      <c r="DX63" s="895"/>
      <c r="DY63" s="895"/>
      <c r="DZ63" s="895"/>
      <c r="EA63" s="895"/>
      <c r="EB63" s="895"/>
      <c r="EC63" s="895"/>
      <c r="ED63" s="895"/>
      <c r="EE63" s="895"/>
      <c r="EF63" s="895"/>
      <c r="EG63" s="895"/>
      <c r="EH63" s="895"/>
      <c r="EI63" s="895"/>
      <c r="EJ63" s="895"/>
      <c r="EK63" s="895"/>
      <c r="EL63" s="895"/>
      <c r="EM63" s="895"/>
      <c r="EN63" s="895"/>
      <c r="EO63" s="895"/>
      <c r="EP63" s="895"/>
      <c r="EQ63" s="895"/>
      <c r="ER63" s="895"/>
      <c r="ES63" s="895"/>
      <c r="ET63" s="895"/>
      <c r="EU63" s="895"/>
      <c r="EV63" s="895"/>
      <c r="EW63" s="895"/>
      <c r="EX63" s="895"/>
      <c r="EY63" s="895"/>
      <c r="EZ63" s="895"/>
      <c r="FA63" s="895"/>
    </row>
    <row r="64" spans="8:157" ht="16" thickBot="1">
      <c r="H64" s="891" t="str">
        <f t="shared" ca="1" si="58"/>
        <v/>
      </c>
      <c r="I64" s="1206" t="e">
        <f t="shared" ca="1" si="55"/>
        <v>#N/A</v>
      </c>
      <c r="J64" s="1206">
        <f t="shared" ca="1" si="56"/>
        <v>0</v>
      </c>
      <c r="K64" s="929" t="str">
        <f t="shared" si="57"/>
        <v/>
      </c>
      <c r="L64" s="929" t="str">
        <f t="shared" si="24"/>
        <v/>
      </c>
      <c r="P64" s="896" t="s">
        <v>2145</v>
      </c>
      <c r="Q64" s="896" t="s">
        <v>3565</v>
      </c>
      <c r="R64" s="896" t="s">
        <v>1954</v>
      </c>
      <c r="S64" s="897" t="s">
        <v>3706</v>
      </c>
      <c r="T64" s="896" t="s">
        <v>3566</v>
      </c>
      <c r="U64" s="899" t="s">
        <v>3707</v>
      </c>
      <c r="V64" s="899" t="s">
        <v>3567</v>
      </c>
      <c r="W64" s="1057" t="s">
        <v>23</v>
      </c>
      <c r="X64" s="900" t="s">
        <v>3568</v>
      </c>
      <c r="Y64" s="901" t="s">
        <v>19</v>
      </c>
      <c r="Z64" s="902" t="s">
        <v>3569</v>
      </c>
      <c r="AA64" s="903" t="s">
        <v>4112</v>
      </c>
      <c r="AB64" s="898" t="s">
        <v>3570</v>
      </c>
      <c r="AC64" s="904" t="s">
        <v>3571</v>
      </c>
      <c r="AD64" s="905" t="s">
        <v>3572</v>
      </c>
      <c r="AE64" s="905" t="s">
        <v>3573</v>
      </c>
      <c r="AF64" s="905" t="s">
        <v>3574</v>
      </c>
      <c r="AG64" s="905" t="s">
        <v>3575</v>
      </c>
      <c r="AH64" s="905" t="s">
        <v>3576</v>
      </c>
      <c r="AI64" s="905" t="s">
        <v>3577</v>
      </c>
      <c r="AJ64" s="905" t="s">
        <v>3578</v>
      </c>
      <c r="AK64" s="905" t="s">
        <v>3579</v>
      </c>
      <c r="AL64" s="905" t="s">
        <v>3580</v>
      </c>
      <c r="AM64" s="905" t="s">
        <v>3581</v>
      </c>
      <c r="AN64" s="905" t="s">
        <v>3582</v>
      </c>
      <c r="AO64" s="905" t="s">
        <v>3583</v>
      </c>
      <c r="AP64" s="905" t="s">
        <v>3584</v>
      </c>
      <c r="AQ64" s="905" t="s">
        <v>3585</v>
      </c>
      <c r="AR64" s="905" t="s">
        <v>3586</v>
      </c>
      <c r="AS64" s="905" t="s">
        <v>3587</v>
      </c>
      <c r="AT64" s="905" t="s">
        <v>3588</v>
      </c>
      <c r="AU64" s="905" t="s">
        <v>3589</v>
      </c>
      <c r="AV64" s="905" t="s">
        <v>3590</v>
      </c>
      <c r="AW64" s="905" t="s">
        <v>3591</v>
      </c>
      <c r="AX64" s="905" t="s">
        <v>3592</v>
      </c>
      <c r="AY64" s="905" t="s">
        <v>3593</v>
      </c>
      <c r="AZ64" s="905" t="s">
        <v>3594</v>
      </c>
      <c r="BA64" s="905" t="s">
        <v>3595</v>
      </c>
      <c r="BB64" s="905" t="s">
        <v>3596</v>
      </c>
      <c r="BC64" s="905" t="s">
        <v>3597</v>
      </c>
      <c r="BD64" s="905" t="s">
        <v>3598</v>
      </c>
      <c r="BE64" s="905" t="s">
        <v>3599</v>
      </c>
      <c r="BF64" s="905" t="s">
        <v>3600</v>
      </c>
      <c r="BG64" s="905" t="s">
        <v>3601</v>
      </c>
      <c r="BH64" s="905" t="s">
        <v>3602</v>
      </c>
      <c r="BI64" s="905" t="s">
        <v>3603</v>
      </c>
      <c r="BJ64" s="905" t="s">
        <v>3604</v>
      </c>
      <c r="BK64" s="905" t="s">
        <v>3605</v>
      </c>
      <c r="BL64" s="905" t="s">
        <v>3606</v>
      </c>
      <c r="BM64" s="905" t="s">
        <v>3607</v>
      </c>
      <c r="BN64" s="905" t="s">
        <v>3608</v>
      </c>
      <c r="BO64" s="905" t="s">
        <v>3609</v>
      </c>
      <c r="BP64" s="905" t="s">
        <v>3610</v>
      </c>
      <c r="BQ64" s="905" t="s">
        <v>3611</v>
      </c>
      <c r="BR64" s="905" t="s">
        <v>3612</v>
      </c>
      <c r="BS64" s="905" t="s">
        <v>3613</v>
      </c>
      <c r="BT64" s="905" t="s">
        <v>3614</v>
      </c>
      <c r="BU64" s="905" t="s">
        <v>3615</v>
      </c>
      <c r="BV64" s="905" t="s">
        <v>3616</v>
      </c>
      <c r="BW64" s="905" t="s">
        <v>3617</v>
      </c>
      <c r="BX64" s="905" t="s">
        <v>3618</v>
      </c>
      <c r="BY64" s="905" t="s">
        <v>3619</v>
      </c>
      <c r="BZ64" s="905" t="s">
        <v>3620</v>
      </c>
      <c r="CA64" s="905" t="s">
        <v>3621</v>
      </c>
      <c r="CB64" s="905" t="s">
        <v>3622</v>
      </c>
      <c r="CC64" s="905" t="s">
        <v>3623</v>
      </c>
      <c r="CD64" s="905" t="s">
        <v>3624</v>
      </c>
      <c r="CE64" s="905" t="s">
        <v>3625</v>
      </c>
      <c r="CF64" s="905" t="s">
        <v>3626</v>
      </c>
      <c r="CG64" s="905" t="s">
        <v>3627</v>
      </c>
      <c r="CH64" s="905" t="s">
        <v>3628</v>
      </c>
      <c r="CI64" s="905" t="s">
        <v>3629</v>
      </c>
      <c r="CJ64" s="905" t="s">
        <v>3630</v>
      </c>
      <c r="CK64" s="905" t="s">
        <v>3631</v>
      </c>
      <c r="CL64" s="905" t="s">
        <v>3632</v>
      </c>
      <c r="CM64" s="905" t="s">
        <v>3633</v>
      </c>
      <c r="CN64" s="905" t="s">
        <v>3634</v>
      </c>
      <c r="CO64" s="905" t="s">
        <v>3635</v>
      </c>
      <c r="CP64" s="905" t="s">
        <v>3636</v>
      </c>
      <c r="CQ64" s="905" t="s">
        <v>3637</v>
      </c>
      <c r="CR64" s="905" t="s">
        <v>3638</v>
      </c>
      <c r="CS64" s="905" t="s">
        <v>3639</v>
      </c>
      <c r="CT64" s="905" t="s">
        <v>3640</v>
      </c>
      <c r="CU64" s="905" t="s">
        <v>3641</v>
      </c>
      <c r="CV64" s="905" t="s">
        <v>3642</v>
      </c>
      <c r="CW64" s="905" t="s">
        <v>3643</v>
      </c>
      <c r="CX64" s="905" t="s">
        <v>3644</v>
      </c>
      <c r="CY64" s="905" t="s">
        <v>3645</v>
      </c>
      <c r="CZ64" s="905" t="s">
        <v>3646</v>
      </c>
      <c r="DA64" s="905" t="s">
        <v>3647</v>
      </c>
      <c r="DB64" s="905" t="s">
        <v>3648</v>
      </c>
      <c r="DC64" s="905" t="s">
        <v>3649</v>
      </c>
      <c r="DD64" s="905" t="s">
        <v>3650</v>
      </c>
      <c r="DE64" s="905" t="s">
        <v>3651</v>
      </c>
      <c r="DF64" s="905" t="s">
        <v>3652</v>
      </c>
      <c r="DG64" s="905" t="s">
        <v>3653</v>
      </c>
      <c r="DH64" s="905" t="s">
        <v>3654</v>
      </c>
      <c r="DI64" s="905" t="s">
        <v>3655</v>
      </c>
      <c r="DJ64" s="905" t="s">
        <v>3656</v>
      </c>
      <c r="DK64" s="905" t="s">
        <v>3657</v>
      </c>
      <c r="DL64" s="905" t="s">
        <v>3658</v>
      </c>
      <c r="DM64" s="905" t="s">
        <v>3659</v>
      </c>
      <c r="DN64" s="905" t="s">
        <v>3660</v>
      </c>
      <c r="DO64" s="905" t="s">
        <v>3661</v>
      </c>
      <c r="DP64" s="905" t="s">
        <v>3662</v>
      </c>
      <c r="DQ64" s="905" t="s">
        <v>3663</v>
      </c>
      <c r="DR64" s="905" t="s">
        <v>3664</v>
      </c>
      <c r="DS64" s="905" t="s">
        <v>3665</v>
      </c>
      <c r="DT64" s="905" t="s">
        <v>3666</v>
      </c>
      <c r="DU64" s="905" t="s">
        <v>3667</v>
      </c>
      <c r="DV64" s="905" t="s">
        <v>3668</v>
      </c>
      <c r="DW64" s="905" t="s">
        <v>3669</v>
      </c>
      <c r="DX64" s="905" t="s">
        <v>3670</v>
      </c>
      <c r="DY64" s="905" t="s">
        <v>3671</v>
      </c>
      <c r="DZ64" s="905" t="s">
        <v>3672</v>
      </c>
      <c r="EA64" s="905" t="s">
        <v>3673</v>
      </c>
      <c r="EB64" s="905" t="s">
        <v>3674</v>
      </c>
      <c r="EC64" s="905" t="s">
        <v>3675</v>
      </c>
      <c r="ED64" s="905" t="s">
        <v>3676</v>
      </c>
      <c r="EE64" s="905" t="s">
        <v>3677</v>
      </c>
      <c r="EF64" s="905" t="s">
        <v>3678</v>
      </c>
      <c r="EG64" s="905" t="s">
        <v>3679</v>
      </c>
      <c r="EH64" s="905" t="s">
        <v>3680</v>
      </c>
      <c r="EI64" s="905" t="s">
        <v>3681</v>
      </c>
      <c r="EJ64" s="905" t="s">
        <v>3682</v>
      </c>
      <c r="EK64" s="905" t="s">
        <v>3683</v>
      </c>
      <c r="EL64" s="905" t="s">
        <v>3684</v>
      </c>
      <c r="EM64" s="905" t="s">
        <v>3685</v>
      </c>
      <c r="EN64" s="905" t="s">
        <v>3686</v>
      </c>
      <c r="EO64" s="905" t="s">
        <v>3687</v>
      </c>
      <c r="EP64" s="905" t="s">
        <v>3688</v>
      </c>
      <c r="EQ64" s="905" t="s">
        <v>3689</v>
      </c>
      <c r="ER64" s="905" t="s">
        <v>3690</v>
      </c>
      <c r="ES64" s="905" t="s">
        <v>3691</v>
      </c>
      <c r="ET64" s="905" t="s">
        <v>3692</v>
      </c>
      <c r="EU64" s="905" t="s">
        <v>3693</v>
      </c>
      <c r="EV64" s="905" t="s">
        <v>3694</v>
      </c>
      <c r="EW64" s="905" t="s">
        <v>3695</v>
      </c>
      <c r="EX64" s="905" t="s">
        <v>3696</v>
      </c>
      <c r="EY64" s="905" t="s">
        <v>3697</v>
      </c>
      <c r="EZ64" s="905" t="s">
        <v>3698</v>
      </c>
      <c r="FA64" s="905" t="s">
        <v>3699</v>
      </c>
    </row>
    <row r="65" spans="8:157" ht="16" thickTop="1">
      <c r="H65" s="891" t="str">
        <f t="shared" ca="1" si="58"/>
        <v/>
      </c>
      <c r="I65" s="1206" t="e">
        <f t="shared" ca="1" si="55"/>
        <v>#N/A</v>
      </c>
      <c r="J65" s="1206">
        <f t="shared" ca="1" si="56"/>
        <v>0</v>
      </c>
      <c r="K65" s="929" t="str">
        <f t="shared" si="57"/>
        <v/>
      </c>
      <c r="L65" s="929" t="str">
        <f t="shared" si="24"/>
        <v/>
      </c>
      <c r="N65" s="1845">
        <v>1</v>
      </c>
      <c r="P65" s="882" t="e">
        <f>VLOOKUP(Q65,bond!B:AA,26,FALSE)</f>
        <v>#N/A</v>
      </c>
      <c r="Q65" s="928">
        <f>Change投!S7</f>
        <v>0</v>
      </c>
      <c r="R65" s="889">
        <f ca="1">IFERROR(IF(Q65="",0,IF($D$4=1,Change投!AC7*Change投!AJ7,Change投!AC7)),0)</f>
        <v>0</v>
      </c>
      <c r="S65" s="885" t="e">
        <f ca="1">Change投!W7</f>
        <v>#N/A</v>
      </c>
      <c r="T65" s="883">
        <f ca="1">IFERROR(IF(R65&gt;0,YEAR(S65),0),0)</f>
        <v>0</v>
      </c>
      <c r="U65" s="885" t="str">
        <f ca="1">Change投!Z7</f>
        <v/>
      </c>
      <c r="V65" s="886" t="str">
        <f ca="1">IFERROR(YEAR(U65),"")</f>
        <v/>
      </c>
      <c r="W65" s="885" t="e">
        <f>IF(P65="Y","待定義",S65)</f>
        <v>#N/A</v>
      </c>
      <c r="X65" s="886" t="str">
        <f>IFERROR(YEAR(W65),"")</f>
        <v/>
      </c>
      <c r="Y65" s="887" t="str">
        <f ca="1">Change投!Y7</f>
        <v/>
      </c>
      <c r="Z65" s="886">
        <f>Change投!AC7</f>
        <v>0</v>
      </c>
      <c r="AA65" s="1205">
        <f ca="1">Change投!X7</f>
        <v>0</v>
      </c>
      <c r="AB65" s="881">
        <f>Change投!AJ7</f>
        <v>0</v>
      </c>
      <c r="AC65" s="887">
        <f t="shared" ref="AC65:AC100" ca="1" si="61">IFERROR(IF($D$4=1,(Z65*AA65*AB65)/Y65,(Z65*AA65)/Y65),0)</f>
        <v>0</v>
      </c>
      <c r="AD65" s="883">
        <f ca="1">IFERROR(IF(YEAR($W65)&lt;AD$4,0,IF(YEAR($W65)=AD$4,IF($P65="美國國庫債券",ROUND(DATEDIF($U65,$W65,"M")/(12/$Y65),0)+1,DATEDIF($U65,$W65,"M")/(12/$Y65)+1),INT(DATEDIF($U65,AD$5,"M")/(12/$Y65))+1)),0)</f>
        <v>0</v>
      </c>
      <c r="AE65" s="883">
        <f ca="1">IFERROR(IF(YEAR($W65)&lt;AE$4,0,IF(YEAR($W65)=AE$4,IF($P65="美國國庫債券",ROUND(DATEDIF($U65,$W65,"M")/(12/$Y65),0)+1,DATEDIF($U65,$W65,"M")/(12/$Y65)+1),INT(DATEDIF($U65,AE$5,"M")/(12/$Y65))+1)),0)</f>
        <v>0</v>
      </c>
      <c r="AF65" s="883">
        <f t="shared" ref="AF65:CQ66" ca="1" si="62">IFERROR(IF(YEAR($W65)&lt;AF$4,0,IF(YEAR($W65)=AF$4,IF($P65="美國國庫債券",ROUND(DATEDIF($U65,$W65,"M")/(12/$Y65),0)+1,DATEDIF($U65,$W65,"M")/(12/$Y65)+1),INT(DATEDIF($U65,AF$5,"M")/(12/$Y65))+1)),0)</f>
        <v>0</v>
      </c>
      <c r="AG65" s="883">
        <f t="shared" ca="1" si="62"/>
        <v>0</v>
      </c>
      <c r="AH65" s="883">
        <f t="shared" ca="1" si="62"/>
        <v>0</v>
      </c>
      <c r="AI65" s="883">
        <f t="shared" ca="1" si="62"/>
        <v>0</v>
      </c>
      <c r="AJ65" s="883">
        <f t="shared" ca="1" si="62"/>
        <v>0</v>
      </c>
      <c r="AK65" s="883">
        <f t="shared" ca="1" si="62"/>
        <v>0</v>
      </c>
      <c r="AL65" s="883">
        <f t="shared" ca="1" si="62"/>
        <v>0</v>
      </c>
      <c r="AM65" s="883">
        <f t="shared" ca="1" si="62"/>
        <v>0</v>
      </c>
      <c r="AN65" s="883">
        <f t="shared" ca="1" si="62"/>
        <v>0</v>
      </c>
      <c r="AO65" s="883">
        <f t="shared" ca="1" si="62"/>
        <v>0</v>
      </c>
      <c r="AP65" s="883">
        <f t="shared" ca="1" si="62"/>
        <v>0</v>
      </c>
      <c r="AQ65" s="883">
        <f t="shared" ca="1" si="62"/>
        <v>0</v>
      </c>
      <c r="AR65" s="883">
        <f t="shared" ca="1" si="62"/>
        <v>0</v>
      </c>
      <c r="AS65" s="883">
        <f t="shared" ca="1" si="62"/>
        <v>0</v>
      </c>
      <c r="AT65" s="883">
        <f t="shared" ca="1" si="62"/>
        <v>0</v>
      </c>
      <c r="AU65" s="883">
        <f t="shared" ca="1" si="62"/>
        <v>0</v>
      </c>
      <c r="AV65" s="883">
        <f t="shared" ca="1" si="62"/>
        <v>0</v>
      </c>
      <c r="AW65" s="883">
        <f t="shared" ca="1" si="62"/>
        <v>0</v>
      </c>
      <c r="AX65" s="883">
        <f t="shared" ca="1" si="62"/>
        <v>0</v>
      </c>
      <c r="AY65" s="883">
        <f t="shared" ca="1" si="62"/>
        <v>0</v>
      </c>
      <c r="AZ65" s="883">
        <f t="shared" ca="1" si="62"/>
        <v>0</v>
      </c>
      <c r="BA65" s="883">
        <f t="shared" ca="1" si="62"/>
        <v>0</v>
      </c>
      <c r="BB65" s="883">
        <f t="shared" ca="1" si="62"/>
        <v>0</v>
      </c>
      <c r="BC65" s="883">
        <f t="shared" ca="1" si="62"/>
        <v>0</v>
      </c>
      <c r="BD65" s="883">
        <f t="shared" ca="1" si="62"/>
        <v>0</v>
      </c>
      <c r="BE65" s="883">
        <f t="shared" ca="1" si="62"/>
        <v>0</v>
      </c>
      <c r="BF65" s="883">
        <f t="shared" ca="1" si="62"/>
        <v>0</v>
      </c>
      <c r="BG65" s="883">
        <f t="shared" ca="1" si="62"/>
        <v>0</v>
      </c>
      <c r="BH65" s="883">
        <f t="shared" ca="1" si="62"/>
        <v>0</v>
      </c>
      <c r="BI65" s="883">
        <f t="shared" ca="1" si="62"/>
        <v>0</v>
      </c>
      <c r="BJ65" s="883">
        <f t="shared" ca="1" si="62"/>
        <v>0</v>
      </c>
      <c r="BK65" s="883">
        <f t="shared" ca="1" si="62"/>
        <v>0</v>
      </c>
      <c r="BL65" s="883">
        <f t="shared" ca="1" si="62"/>
        <v>0</v>
      </c>
      <c r="BM65" s="883">
        <f t="shared" ca="1" si="62"/>
        <v>0</v>
      </c>
      <c r="BN65" s="883">
        <f t="shared" ca="1" si="62"/>
        <v>0</v>
      </c>
      <c r="BO65" s="883">
        <f t="shared" ca="1" si="62"/>
        <v>0</v>
      </c>
      <c r="BP65" s="883">
        <f t="shared" ca="1" si="62"/>
        <v>0</v>
      </c>
      <c r="BQ65" s="883">
        <f t="shared" ca="1" si="62"/>
        <v>0</v>
      </c>
      <c r="BR65" s="883">
        <f t="shared" ca="1" si="62"/>
        <v>0</v>
      </c>
      <c r="BS65" s="883">
        <f t="shared" ca="1" si="62"/>
        <v>0</v>
      </c>
      <c r="BT65" s="883">
        <f t="shared" ca="1" si="62"/>
        <v>0</v>
      </c>
      <c r="BU65" s="883">
        <f t="shared" ca="1" si="62"/>
        <v>0</v>
      </c>
      <c r="BV65" s="883">
        <f t="shared" ca="1" si="62"/>
        <v>0</v>
      </c>
      <c r="BW65" s="883">
        <f t="shared" ca="1" si="62"/>
        <v>0</v>
      </c>
      <c r="BX65" s="883">
        <f t="shared" ca="1" si="62"/>
        <v>0</v>
      </c>
      <c r="BY65" s="883">
        <f t="shared" ca="1" si="62"/>
        <v>0</v>
      </c>
      <c r="BZ65" s="883">
        <f t="shared" ca="1" si="62"/>
        <v>0</v>
      </c>
      <c r="CA65" s="883">
        <f t="shared" ca="1" si="62"/>
        <v>0</v>
      </c>
      <c r="CB65" s="883">
        <f t="shared" ca="1" si="62"/>
        <v>0</v>
      </c>
      <c r="CC65" s="883">
        <f t="shared" ca="1" si="62"/>
        <v>0</v>
      </c>
      <c r="CD65" s="883">
        <f t="shared" ca="1" si="62"/>
        <v>0</v>
      </c>
      <c r="CE65" s="883">
        <f t="shared" ca="1" si="62"/>
        <v>0</v>
      </c>
      <c r="CF65" s="883">
        <f t="shared" ca="1" si="62"/>
        <v>0</v>
      </c>
      <c r="CG65" s="883">
        <f t="shared" ca="1" si="62"/>
        <v>0</v>
      </c>
      <c r="CH65" s="883">
        <f t="shared" ca="1" si="62"/>
        <v>0</v>
      </c>
      <c r="CI65" s="883">
        <f t="shared" ca="1" si="62"/>
        <v>0</v>
      </c>
      <c r="CJ65" s="883">
        <f t="shared" ca="1" si="62"/>
        <v>0</v>
      </c>
      <c r="CK65" s="883">
        <f t="shared" ca="1" si="62"/>
        <v>0</v>
      </c>
      <c r="CL65" s="883">
        <f t="shared" ca="1" si="62"/>
        <v>0</v>
      </c>
      <c r="CM65" s="883">
        <f t="shared" ca="1" si="62"/>
        <v>0</v>
      </c>
      <c r="CN65" s="883">
        <f t="shared" ca="1" si="62"/>
        <v>0</v>
      </c>
      <c r="CO65" s="883">
        <f t="shared" ca="1" si="62"/>
        <v>0</v>
      </c>
      <c r="CP65" s="883">
        <f t="shared" ca="1" si="62"/>
        <v>0</v>
      </c>
      <c r="CQ65" s="883">
        <f t="shared" ca="1" si="62"/>
        <v>0</v>
      </c>
      <c r="CR65" s="883">
        <f t="shared" ref="CR65:FA69" ca="1" si="63">IFERROR(IF(YEAR($W65)&lt;CR$4,0,IF(YEAR($W65)=CR$4,IF($P65="美國國庫債券",ROUND(DATEDIF($U65,$W65,"M")/(12/$Y65),0)+1,DATEDIF($U65,$W65,"M")/(12/$Y65)+1),INT(DATEDIF($U65,CR$5,"M")/(12/$Y65))+1)),0)</f>
        <v>0</v>
      </c>
      <c r="CS65" s="883">
        <f t="shared" ca="1" si="63"/>
        <v>0</v>
      </c>
      <c r="CT65" s="883">
        <f t="shared" ca="1" si="63"/>
        <v>0</v>
      </c>
      <c r="CU65" s="883">
        <f t="shared" ca="1" si="63"/>
        <v>0</v>
      </c>
      <c r="CV65" s="883">
        <f t="shared" ca="1" si="63"/>
        <v>0</v>
      </c>
      <c r="CW65" s="883">
        <f t="shared" ca="1" si="63"/>
        <v>0</v>
      </c>
      <c r="CX65" s="883">
        <f t="shared" ca="1" si="63"/>
        <v>0</v>
      </c>
      <c r="CY65" s="883">
        <f t="shared" ca="1" si="63"/>
        <v>0</v>
      </c>
      <c r="CZ65" s="883">
        <f t="shared" ca="1" si="63"/>
        <v>0</v>
      </c>
      <c r="DA65" s="883">
        <f t="shared" ca="1" si="63"/>
        <v>0</v>
      </c>
      <c r="DB65" s="883">
        <f t="shared" ca="1" si="63"/>
        <v>0</v>
      </c>
      <c r="DC65" s="883">
        <f t="shared" ca="1" si="63"/>
        <v>0</v>
      </c>
      <c r="DD65" s="883">
        <f t="shared" ca="1" si="63"/>
        <v>0</v>
      </c>
      <c r="DE65" s="883">
        <f t="shared" ca="1" si="63"/>
        <v>0</v>
      </c>
      <c r="DF65" s="883">
        <f t="shared" ca="1" si="63"/>
        <v>0</v>
      </c>
      <c r="DG65" s="883">
        <f t="shared" ca="1" si="63"/>
        <v>0</v>
      </c>
      <c r="DH65" s="883">
        <f t="shared" ca="1" si="63"/>
        <v>0</v>
      </c>
      <c r="DI65" s="883">
        <f t="shared" ca="1" si="63"/>
        <v>0</v>
      </c>
      <c r="DJ65" s="883">
        <f t="shared" ca="1" si="63"/>
        <v>0</v>
      </c>
      <c r="DK65" s="883">
        <f t="shared" ca="1" si="63"/>
        <v>0</v>
      </c>
      <c r="DL65" s="883">
        <f t="shared" ca="1" si="63"/>
        <v>0</v>
      </c>
      <c r="DM65" s="883">
        <f t="shared" ca="1" si="63"/>
        <v>0</v>
      </c>
      <c r="DN65" s="883">
        <f t="shared" ca="1" si="63"/>
        <v>0</v>
      </c>
      <c r="DO65" s="883">
        <f t="shared" ca="1" si="63"/>
        <v>0</v>
      </c>
      <c r="DP65" s="883">
        <f t="shared" ca="1" si="63"/>
        <v>0</v>
      </c>
      <c r="DQ65" s="883">
        <f t="shared" ca="1" si="63"/>
        <v>0</v>
      </c>
      <c r="DR65" s="883">
        <f t="shared" ca="1" si="63"/>
        <v>0</v>
      </c>
      <c r="DS65" s="883">
        <f t="shared" ca="1" si="63"/>
        <v>0</v>
      </c>
      <c r="DT65" s="883">
        <f t="shared" ca="1" si="63"/>
        <v>0</v>
      </c>
      <c r="DU65" s="883">
        <f t="shared" ca="1" si="63"/>
        <v>0</v>
      </c>
      <c r="DV65" s="883">
        <f t="shared" ca="1" si="63"/>
        <v>0</v>
      </c>
      <c r="DW65" s="883">
        <f t="shared" ca="1" si="63"/>
        <v>0</v>
      </c>
      <c r="DX65" s="883">
        <f t="shared" ca="1" si="63"/>
        <v>0</v>
      </c>
      <c r="DY65" s="883">
        <f t="shared" ca="1" si="63"/>
        <v>0</v>
      </c>
      <c r="DZ65" s="883">
        <f t="shared" ca="1" si="63"/>
        <v>0</v>
      </c>
      <c r="EA65" s="883">
        <f t="shared" ca="1" si="63"/>
        <v>0</v>
      </c>
      <c r="EB65" s="883">
        <f t="shared" ca="1" si="63"/>
        <v>0</v>
      </c>
      <c r="EC65" s="883">
        <f t="shared" ca="1" si="63"/>
        <v>0</v>
      </c>
      <c r="ED65" s="883">
        <f t="shared" ca="1" si="63"/>
        <v>0</v>
      </c>
      <c r="EE65" s="883">
        <f t="shared" ca="1" si="63"/>
        <v>0</v>
      </c>
      <c r="EF65" s="883">
        <f t="shared" ca="1" si="63"/>
        <v>0</v>
      </c>
      <c r="EG65" s="883">
        <f t="shared" ca="1" si="63"/>
        <v>0</v>
      </c>
      <c r="EH65" s="883">
        <f t="shared" ca="1" si="63"/>
        <v>0</v>
      </c>
      <c r="EI65" s="883">
        <f t="shared" ca="1" si="63"/>
        <v>0</v>
      </c>
      <c r="EJ65" s="883">
        <f t="shared" ca="1" si="63"/>
        <v>0</v>
      </c>
      <c r="EK65" s="883">
        <f t="shared" ca="1" si="63"/>
        <v>0</v>
      </c>
      <c r="EL65" s="883">
        <f t="shared" ca="1" si="63"/>
        <v>0</v>
      </c>
      <c r="EM65" s="883">
        <f t="shared" ca="1" si="63"/>
        <v>0</v>
      </c>
      <c r="EN65" s="883">
        <f t="shared" ca="1" si="63"/>
        <v>0</v>
      </c>
      <c r="EO65" s="883">
        <f t="shared" ca="1" si="63"/>
        <v>0</v>
      </c>
      <c r="EP65" s="883">
        <f t="shared" ca="1" si="63"/>
        <v>0</v>
      </c>
      <c r="EQ65" s="883">
        <f t="shared" ca="1" si="63"/>
        <v>0</v>
      </c>
      <c r="ER65" s="883">
        <f t="shared" ca="1" si="63"/>
        <v>0</v>
      </c>
      <c r="ES65" s="883">
        <f t="shared" ca="1" si="63"/>
        <v>0</v>
      </c>
      <c r="ET65" s="883">
        <f t="shared" ca="1" si="63"/>
        <v>0</v>
      </c>
      <c r="EU65" s="883">
        <f t="shared" ca="1" si="63"/>
        <v>0</v>
      </c>
      <c r="EV65" s="883">
        <f t="shared" ca="1" si="63"/>
        <v>0</v>
      </c>
      <c r="EW65" s="883">
        <f t="shared" ca="1" si="63"/>
        <v>0</v>
      </c>
      <c r="EX65" s="883">
        <f t="shared" ca="1" si="63"/>
        <v>0</v>
      </c>
      <c r="EY65" s="883">
        <f t="shared" ca="1" si="63"/>
        <v>0</v>
      </c>
      <c r="EZ65" s="883">
        <f t="shared" ca="1" si="63"/>
        <v>0</v>
      </c>
      <c r="FA65" s="883">
        <f t="shared" ca="1" si="63"/>
        <v>0</v>
      </c>
    </row>
    <row r="66" spans="8:157">
      <c r="H66" s="891" t="str">
        <f t="shared" ca="1" si="58"/>
        <v/>
      </c>
      <c r="I66" s="1206" t="e">
        <f t="shared" ca="1" si="55"/>
        <v>#N/A</v>
      </c>
      <c r="J66" s="1206">
        <f t="shared" ca="1" si="56"/>
        <v>0</v>
      </c>
      <c r="K66" s="929" t="str">
        <f t="shared" si="57"/>
        <v/>
      </c>
      <c r="L66" s="929" t="str">
        <f t="shared" si="24"/>
        <v/>
      </c>
      <c r="N66" s="1845">
        <v>2</v>
      </c>
      <c r="P66" s="882" t="e">
        <f>VLOOKUP(Q66,bond!B:AA,26,FALSE)</f>
        <v>#N/A</v>
      </c>
      <c r="Q66" s="928">
        <f>Change投!S8</f>
        <v>0</v>
      </c>
      <c r="R66" s="889">
        <f ca="1">IFERROR(IF(Q66="",0,IF($D$4=1,Change投!AC8*Change投!AJ8,Change投!AC8)),0)</f>
        <v>0</v>
      </c>
      <c r="S66" s="885" t="e">
        <f ca="1">Change投!W8</f>
        <v>#N/A</v>
      </c>
      <c r="T66" s="883">
        <f t="shared" ref="T66:T100" ca="1" si="64">IFERROR(IF(R66&gt;0,YEAR(S66),0),0)</f>
        <v>0</v>
      </c>
      <c r="U66" s="885" t="str">
        <f ca="1">Change投!Z8</f>
        <v/>
      </c>
      <c r="V66" s="886" t="str">
        <f t="shared" ref="V66:V77" ca="1" si="65">IFERROR(YEAR(U66),"")</f>
        <v/>
      </c>
      <c r="W66" s="885" t="e">
        <f t="shared" ref="W66:W82" si="66">IF(P66="Y","待定義",S66)</f>
        <v>#N/A</v>
      </c>
      <c r="X66" s="886" t="str">
        <f t="shared" ref="X66:X77" si="67">IFERROR(YEAR(W66),"")</f>
        <v/>
      </c>
      <c r="Y66" s="887" t="str">
        <f ca="1">Change投!Y8</f>
        <v/>
      </c>
      <c r="Z66" s="886">
        <f>Change投!AC8</f>
        <v>0</v>
      </c>
      <c r="AA66" s="1205">
        <f ca="1">Change投!X8</f>
        <v>0</v>
      </c>
      <c r="AB66" s="881">
        <f>Change投!AJ8</f>
        <v>0</v>
      </c>
      <c r="AC66" s="887">
        <f t="shared" ca="1" si="61"/>
        <v>0</v>
      </c>
      <c r="AD66" s="883">
        <f t="shared" ref="AD66:AS84" ca="1" si="68">IFERROR(IF(YEAR($W66)&lt;AD$4,0,IF(YEAR($W66)=AD$4,IF($P66="美國國庫債券",ROUND(DATEDIF($U66,$W66,"M")/(12/$Y66),0)+1,DATEDIF($U66,$W66,"M")/(12/$Y66)+1),INT(DATEDIF($U66,AD$5,"M")/(12/$Y66))+1)),0)</f>
        <v>0</v>
      </c>
      <c r="AE66" s="883">
        <f t="shared" ref="AE66:AT83" ca="1" si="69">IFERROR(IF(YEAR($W66)&lt;AE$4,0,IF(YEAR($W66)=AE$4,IF($P66="美國國庫債券",ROUND(DATEDIF($U66,$W66,"M")/(12/$Y66),0)+1,DATEDIF($U66,$W66,"M")/(12/$Y66)+1),INT(DATEDIF($U66,AE$5,"M")/(12/$Y66))+1)),0)</f>
        <v>0</v>
      </c>
      <c r="AF66" s="883">
        <f t="shared" ref="AF66:AT66" ca="1" si="70">IFERROR(IF(YEAR($W66)&lt;AF$4,0,IF(YEAR($W66)=AF$4,IF($P66="美國國庫債券",ROUND(DATEDIF($U66,$W66,"M")/(12/$Y66),0)+1,DATEDIF($U66,$W66,"M")/(12/$Y66)+1),INT(DATEDIF($U66,AF$5,"M")/(12/$Y66))+1)),0)</f>
        <v>0</v>
      </c>
      <c r="AG66" s="883">
        <f t="shared" ca="1" si="70"/>
        <v>0</v>
      </c>
      <c r="AH66" s="883">
        <f t="shared" ca="1" si="70"/>
        <v>0</v>
      </c>
      <c r="AI66" s="883">
        <f t="shared" ca="1" si="70"/>
        <v>0</v>
      </c>
      <c r="AJ66" s="883">
        <f t="shared" ca="1" si="70"/>
        <v>0</v>
      </c>
      <c r="AK66" s="883">
        <f t="shared" ca="1" si="70"/>
        <v>0</v>
      </c>
      <c r="AL66" s="883">
        <f t="shared" ca="1" si="70"/>
        <v>0</v>
      </c>
      <c r="AM66" s="883">
        <f t="shared" ca="1" si="70"/>
        <v>0</v>
      </c>
      <c r="AN66" s="883">
        <f t="shared" ca="1" si="70"/>
        <v>0</v>
      </c>
      <c r="AO66" s="883">
        <f t="shared" ca="1" si="70"/>
        <v>0</v>
      </c>
      <c r="AP66" s="883">
        <f t="shared" ca="1" si="70"/>
        <v>0</v>
      </c>
      <c r="AQ66" s="883">
        <f t="shared" ca="1" si="70"/>
        <v>0</v>
      </c>
      <c r="AR66" s="883">
        <f t="shared" ca="1" si="70"/>
        <v>0</v>
      </c>
      <c r="AS66" s="883">
        <f t="shared" ca="1" si="70"/>
        <v>0</v>
      </c>
      <c r="AT66" s="883">
        <f t="shared" ca="1" si="70"/>
        <v>0</v>
      </c>
      <c r="AU66" s="883">
        <f t="shared" ca="1" si="62"/>
        <v>0</v>
      </c>
      <c r="AV66" s="883">
        <f t="shared" ca="1" si="62"/>
        <v>0</v>
      </c>
      <c r="AW66" s="883">
        <f t="shared" ca="1" si="62"/>
        <v>0</v>
      </c>
      <c r="AX66" s="883">
        <f t="shared" ca="1" si="62"/>
        <v>0</v>
      </c>
      <c r="AY66" s="883">
        <f t="shared" ca="1" si="62"/>
        <v>0</v>
      </c>
      <c r="AZ66" s="883">
        <f t="shared" ca="1" si="62"/>
        <v>0</v>
      </c>
      <c r="BA66" s="883">
        <f t="shared" ca="1" si="62"/>
        <v>0</v>
      </c>
      <c r="BB66" s="883">
        <f t="shared" ca="1" si="62"/>
        <v>0</v>
      </c>
      <c r="BC66" s="883">
        <f t="shared" ca="1" si="62"/>
        <v>0</v>
      </c>
      <c r="BD66" s="883">
        <f t="shared" ca="1" si="62"/>
        <v>0</v>
      </c>
      <c r="BE66" s="883">
        <f t="shared" ca="1" si="62"/>
        <v>0</v>
      </c>
      <c r="BF66" s="883">
        <f t="shared" ca="1" si="62"/>
        <v>0</v>
      </c>
      <c r="BG66" s="883">
        <f t="shared" ca="1" si="62"/>
        <v>0</v>
      </c>
      <c r="BH66" s="883">
        <f t="shared" ca="1" si="62"/>
        <v>0</v>
      </c>
      <c r="BI66" s="883">
        <f t="shared" ca="1" si="62"/>
        <v>0</v>
      </c>
      <c r="BJ66" s="883">
        <f t="shared" ca="1" si="62"/>
        <v>0</v>
      </c>
      <c r="BK66" s="883">
        <f t="shared" ca="1" si="62"/>
        <v>0</v>
      </c>
      <c r="BL66" s="883">
        <f t="shared" ca="1" si="62"/>
        <v>0</v>
      </c>
      <c r="BM66" s="883">
        <f t="shared" ca="1" si="62"/>
        <v>0</v>
      </c>
      <c r="BN66" s="883">
        <f t="shared" ca="1" si="62"/>
        <v>0</v>
      </c>
      <c r="BO66" s="883">
        <f t="shared" ca="1" si="62"/>
        <v>0</v>
      </c>
      <c r="BP66" s="883">
        <f t="shared" ca="1" si="62"/>
        <v>0</v>
      </c>
      <c r="BQ66" s="883">
        <f t="shared" ca="1" si="62"/>
        <v>0</v>
      </c>
      <c r="BR66" s="883">
        <f t="shared" ca="1" si="62"/>
        <v>0</v>
      </c>
      <c r="BS66" s="883">
        <f t="shared" ca="1" si="62"/>
        <v>0</v>
      </c>
      <c r="BT66" s="883">
        <f t="shared" ca="1" si="62"/>
        <v>0</v>
      </c>
      <c r="BU66" s="883">
        <f t="shared" ca="1" si="62"/>
        <v>0</v>
      </c>
      <c r="BV66" s="883">
        <f t="shared" ca="1" si="62"/>
        <v>0</v>
      </c>
      <c r="BW66" s="883">
        <f t="shared" ca="1" si="62"/>
        <v>0</v>
      </c>
      <c r="BX66" s="883">
        <f t="shared" ca="1" si="62"/>
        <v>0</v>
      </c>
      <c r="BY66" s="883">
        <f t="shared" ca="1" si="62"/>
        <v>0</v>
      </c>
      <c r="BZ66" s="883">
        <f t="shared" ca="1" si="62"/>
        <v>0</v>
      </c>
      <c r="CA66" s="883">
        <f t="shared" ca="1" si="62"/>
        <v>0</v>
      </c>
      <c r="CB66" s="883">
        <f t="shared" ca="1" si="62"/>
        <v>0</v>
      </c>
      <c r="CC66" s="883">
        <f t="shared" ca="1" si="62"/>
        <v>0</v>
      </c>
      <c r="CD66" s="883">
        <f t="shared" ca="1" si="62"/>
        <v>0</v>
      </c>
      <c r="CE66" s="883">
        <f t="shared" ca="1" si="62"/>
        <v>0</v>
      </c>
      <c r="CF66" s="883">
        <f t="shared" ca="1" si="62"/>
        <v>0</v>
      </c>
      <c r="CG66" s="883">
        <f t="shared" ca="1" si="62"/>
        <v>0</v>
      </c>
      <c r="CH66" s="883">
        <f t="shared" ca="1" si="62"/>
        <v>0</v>
      </c>
      <c r="CI66" s="883">
        <f t="shared" ca="1" si="62"/>
        <v>0</v>
      </c>
      <c r="CJ66" s="883">
        <f t="shared" ca="1" si="62"/>
        <v>0</v>
      </c>
      <c r="CK66" s="883">
        <f t="shared" ca="1" si="62"/>
        <v>0</v>
      </c>
      <c r="CL66" s="883">
        <f t="shared" ca="1" si="62"/>
        <v>0</v>
      </c>
      <c r="CM66" s="883">
        <f t="shared" ca="1" si="62"/>
        <v>0</v>
      </c>
      <c r="CN66" s="883">
        <f t="shared" ca="1" si="62"/>
        <v>0</v>
      </c>
      <c r="CO66" s="883">
        <f t="shared" ca="1" si="62"/>
        <v>0</v>
      </c>
      <c r="CP66" s="883">
        <f t="shared" ca="1" si="62"/>
        <v>0</v>
      </c>
      <c r="CQ66" s="883">
        <f t="shared" ca="1" si="62"/>
        <v>0</v>
      </c>
      <c r="CR66" s="883">
        <f t="shared" ca="1" si="63"/>
        <v>0</v>
      </c>
      <c r="CS66" s="883">
        <f t="shared" ca="1" si="63"/>
        <v>0</v>
      </c>
      <c r="CT66" s="883">
        <f t="shared" ca="1" si="63"/>
        <v>0</v>
      </c>
      <c r="CU66" s="883">
        <f t="shared" ca="1" si="63"/>
        <v>0</v>
      </c>
      <c r="CV66" s="883">
        <f t="shared" ca="1" si="63"/>
        <v>0</v>
      </c>
      <c r="CW66" s="883">
        <f t="shared" ca="1" si="63"/>
        <v>0</v>
      </c>
      <c r="CX66" s="883">
        <f t="shared" ca="1" si="63"/>
        <v>0</v>
      </c>
      <c r="CY66" s="883">
        <f t="shared" ca="1" si="63"/>
        <v>0</v>
      </c>
      <c r="CZ66" s="883">
        <f t="shared" ca="1" si="63"/>
        <v>0</v>
      </c>
      <c r="DA66" s="883">
        <f t="shared" ca="1" si="63"/>
        <v>0</v>
      </c>
      <c r="DB66" s="883">
        <f t="shared" ca="1" si="63"/>
        <v>0</v>
      </c>
      <c r="DC66" s="883">
        <f t="shared" ca="1" si="63"/>
        <v>0</v>
      </c>
      <c r="DD66" s="883">
        <f t="shared" ca="1" si="63"/>
        <v>0</v>
      </c>
      <c r="DE66" s="883">
        <f t="shared" ca="1" si="63"/>
        <v>0</v>
      </c>
      <c r="DF66" s="883">
        <f t="shared" ca="1" si="63"/>
        <v>0</v>
      </c>
      <c r="DG66" s="883">
        <f t="shared" ca="1" si="63"/>
        <v>0</v>
      </c>
      <c r="DH66" s="883">
        <f t="shared" ca="1" si="63"/>
        <v>0</v>
      </c>
      <c r="DI66" s="883">
        <f t="shared" ca="1" si="63"/>
        <v>0</v>
      </c>
      <c r="DJ66" s="883">
        <f t="shared" ca="1" si="63"/>
        <v>0</v>
      </c>
      <c r="DK66" s="883">
        <f t="shared" ca="1" si="63"/>
        <v>0</v>
      </c>
      <c r="DL66" s="883">
        <f t="shared" ca="1" si="63"/>
        <v>0</v>
      </c>
      <c r="DM66" s="883">
        <f t="shared" ca="1" si="63"/>
        <v>0</v>
      </c>
      <c r="DN66" s="883">
        <f t="shared" ca="1" si="63"/>
        <v>0</v>
      </c>
      <c r="DO66" s="883">
        <f t="shared" ca="1" si="63"/>
        <v>0</v>
      </c>
      <c r="DP66" s="883">
        <f t="shared" ca="1" si="63"/>
        <v>0</v>
      </c>
      <c r="DQ66" s="883">
        <f t="shared" ca="1" si="63"/>
        <v>0</v>
      </c>
      <c r="DR66" s="883">
        <f t="shared" ca="1" si="63"/>
        <v>0</v>
      </c>
      <c r="DS66" s="883">
        <f t="shared" ca="1" si="63"/>
        <v>0</v>
      </c>
      <c r="DT66" s="883">
        <f t="shared" ca="1" si="63"/>
        <v>0</v>
      </c>
      <c r="DU66" s="883">
        <f t="shared" ca="1" si="63"/>
        <v>0</v>
      </c>
      <c r="DV66" s="883">
        <f t="shared" ca="1" si="63"/>
        <v>0</v>
      </c>
      <c r="DW66" s="883">
        <f t="shared" ca="1" si="63"/>
        <v>0</v>
      </c>
      <c r="DX66" s="883">
        <f t="shared" ca="1" si="63"/>
        <v>0</v>
      </c>
      <c r="DY66" s="883">
        <f t="shared" ca="1" si="63"/>
        <v>0</v>
      </c>
      <c r="DZ66" s="883">
        <f t="shared" ca="1" si="63"/>
        <v>0</v>
      </c>
      <c r="EA66" s="883">
        <f t="shared" ca="1" si="63"/>
        <v>0</v>
      </c>
      <c r="EB66" s="883">
        <f t="shared" ca="1" si="63"/>
        <v>0</v>
      </c>
      <c r="EC66" s="883">
        <f t="shared" ca="1" si="63"/>
        <v>0</v>
      </c>
      <c r="ED66" s="883">
        <f t="shared" ca="1" si="63"/>
        <v>0</v>
      </c>
      <c r="EE66" s="883">
        <f t="shared" ca="1" si="63"/>
        <v>0</v>
      </c>
      <c r="EF66" s="883">
        <f t="shared" ca="1" si="63"/>
        <v>0</v>
      </c>
      <c r="EG66" s="883">
        <f t="shared" ca="1" si="63"/>
        <v>0</v>
      </c>
      <c r="EH66" s="883">
        <f t="shared" ca="1" si="63"/>
        <v>0</v>
      </c>
      <c r="EI66" s="883">
        <f t="shared" ca="1" si="63"/>
        <v>0</v>
      </c>
      <c r="EJ66" s="883">
        <f t="shared" ca="1" si="63"/>
        <v>0</v>
      </c>
      <c r="EK66" s="883">
        <f t="shared" ca="1" si="63"/>
        <v>0</v>
      </c>
      <c r="EL66" s="883">
        <f t="shared" ca="1" si="63"/>
        <v>0</v>
      </c>
      <c r="EM66" s="883">
        <f t="shared" ca="1" si="63"/>
        <v>0</v>
      </c>
      <c r="EN66" s="883">
        <f t="shared" ca="1" si="63"/>
        <v>0</v>
      </c>
      <c r="EO66" s="883">
        <f t="shared" ca="1" si="63"/>
        <v>0</v>
      </c>
      <c r="EP66" s="883">
        <f t="shared" ca="1" si="63"/>
        <v>0</v>
      </c>
      <c r="EQ66" s="883">
        <f t="shared" ca="1" si="63"/>
        <v>0</v>
      </c>
      <c r="ER66" s="883">
        <f t="shared" ca="1" si="63"/>
        <v>0</v>
      </c>
      <c r="ES66" s="883">
        <f t="shared" ca="1" si="63"/>
        <v>0</v>
      </c>
      <c r="ET66" s="883">
        <f t="shared" ca="1" si="63"/>
        <v>0</v>
      </c>
      <c r="EU66" s="883">
        <f t="shared" ca="1" si="63"/>
        <v>0</v>
      </c>
      <c r="EV66" s="883">
        <f t="shared" ca="1" si="63"/>
        <v>0</v>
      </c>
      <c r="EW66" s="883">
        <f t="shared" ca="1" si="63"/>
        <v>0</v>
      </c>
      <c r="EX66" s="883">
        <f t="shared" ca="1" si="63"/>
        <v>0</v>
      </c>
      <c r="EY66" s="883">
        <f t="shared" ca="1" si="63"/>
        <v>0</v>
      </c>
      <c r="EZ66" s="883">
        <f t="shared" ca="1" si="63"/>
        <v>0</v>
      </c>
      <c r="FA66" s="883">
        <f t="shared" ca="1" si="63"/>
        <v>0</v>
      </c>
    </row>
    <row r="67" spans="8:157">
      <c r="H67" s="891" t="str">
        <f t="shared" ca="1" si="58"/>
        <v/>
      </c>
      <c r="I67" s="1206" t="e">
        <f t="shared" ca="1" si="55"/>
        <v>#N/A</v>
      </c>
      <c r="J67" s="1206">
        <f t="shared" ca="1" si="56"/>
        <v>0</v>
      </c>
      <c r="K67" s="929" t="str">
        <f t="shared" si="57"/>
        <v/>
      </c>
      <c r="L67" s="929" t="str">
        <f t="shared" si="24"/>
        <v/>
      </c>
      <c r="N67" s="1845">
        <v>3</v>
      </c>
      <c r="P67" s="882" t="e">
        <f>VLOOKUP(Q67,bond!B:AA,26,FALSE)</f>
        <v>#N/A</v>
      </c>
      <c r="Q67" s="928">
        <f>Change投!S9</f>
        <v>0</v>
      </c>
      <c r="R67" s="889">
        <f ca="1">IFERROR(IF(Q67="",0,IF($D$4=1,Change投!AC9*Change投!AJ9,Change投!AC9)),0)</f>
        <v>0</v>
      </c>
      <c r="S67" s="885" t="e">
        <f ca="1">Change投!W9</f>
        <v>#N/A</v>
      </c>
      <c r="T67" s="883">
        <f t="shared" ca="1" si="64"/>
        <v>0</v>
      </c>
      <c r="U67" s="885" t="str">
        <f ca="1">Change投!Z9</f>
        <v/>
      </c>
      <c r="V67" s="886" t="str">
        <f t="shared" ca="1" si="65"/>
        <v/>
      </c>
      <c r="W67" s="885" t="e">
        <f t="shared" si="66"/>
        <v>#N/A</v>
      </c>
      <c r="X67" s="886" t="str">
        <f t="shared" si="67"/>
        <v/>
      </c>
      <c r="Y67" s="887" t="str">
        <f ca="1">Change投!Y9</f>
        <v/>
      </c>
      <c r="Z67" s="886">
        <f>Change投!AC9</f>
        <v>0</v>
      </c>
      <c r="AA67" s="1205">
        <f ca="1">Change投!X9</f>
        <v>0</v>
      </c>
      <c r="AB67" s="881">
        <f>Change投!AJ9</f>
        <v>0</v>
      </c>
      <c r="AC67" s="887">
        <f t="shared" ca="1" si="61"/>
        <v>0</v>
      </c>
      <c r="AD67" s="883">
        <f t="shared" ca="1" si="68"/>
        <v>0</v>
      </c>
      <c r="AE67" s="883">
        <f t="shared" ca="1" si="69"/>
        <v>0</v>
      </c>
      <c r="AF67" s="883">
        <f t="shared" ref="AF67:CQ70" ca="1" si="71">IFERROR(IF(YEAR($W67)&lt;AF$4,0,IF(YEAR($W67)=AF$4,IF($P67="美國國庫債券",ROUND(DATEDIF($U67,$W67,"M")/(12/$Y67),0)+1,DATEDIF($U67,$W67,"M")/(12/$Y67)+1),INT(DATEDIF($U67,AF$5,"M")/(12/$Y67))+1)),0)</f>
        <v>0</v>
      </c>
      <c r="AG67" s="883">
        <f t="shared" ca="1" si="71"/>
        <v>0</v>
      </c>
      <c r="AH67" s="883">
        <f t="shared" ca="1" si="71"/>
        <v>0</v>
      </c>
      <c r="AI67" s="883">
        <f t="shared" ca="1" si="71"/>
        <v>0</v>
      </c>
      <c r="AJ67" s="883">
        <f t="shared" ca="1" si="71"/>
        <v>0</v>
      </c>
      <c r="AK67" s="883">
        <f t="shared" ca="1" si="71"/>
        <v>0</v>
      </c>
      <c r="AL67" s="883">
        <f t="shared" ca="1" si="71"/>
        <v>0</v>
      </c>
      <c r="AM67" s="883">
        <f t="shared" ca="1" si="71"/>
        <v>0</v>
      </c>
      <c r="AN67" s="883">
        <f t="shared" ca="1" si="71"/>
        <v>0</v>
      </c>
      <c r="AO67" s="883">
        <f t="shared" ca="1" si="71"/>
        <v>0</v>
      </c>
      <c r="AP67" s="883">
        <f t="shared" ca="1" si="71"/>
        <v>0</v>
      </c>
      <c r="AQ67" s="883">
        <f t="shared" ca="1" si="71"/>
        <v>0</v>
      </c>
      <c r="AR67" s="883">
        <f t="shared" ca="1" si="71"/>
        <v>0</v>
      </c>
      <c r="AS67" s="883">
        <f t="shared" ca="1" si="71"/>
        <v>0</v>
      </c>
      <c r="AT67" s="883">
        <f t="shared" ca="1" si="71"/>
        <v>0</v>
      </c>
      <c r="AU67" s="883">
        <f t="shared" ca="1" si="71"/>
        <v>0</v>
      </c>
      <c r="AV67" s="883">
        <f t="shared" ca="1" si="71"/>
        <v>0</v>
      </c>
      <c r="AW67" s="883">
        <f t="shared" ca="1" si="71"/>
        <v>0</v>
      </c>
      <c r="AX67" s="883">
        <f t="shared" ca="1" si="71"/>
        <v>0</v>
      </c>
      <c r="AY67" s="883">
        <f t="shared" ca="1" si="71"/>
        <v>0</v>
      </c>
      <c r="AZ67" s="883">
        <f t="shared" ca="1" si="71"/>
        <v>0</v>
      </c>
      <c r="BA67" s="883">
        <f t="shared" ca="1" si="71"/>
        <v>0</v>
      </c>
      <c r="BB67" s="883">
        <f t="shared" ca="1" si="71"/>
        <v>0</v>
      </c>
      <c r="BC67" s="883">
        <f t="shared" ca="1" si="71"/>
        <v>0</v>
      </c>
      <c r="BD67" s="883">
        <f t="shared" ca="1" si="71"/>
        <v>0</v>
      </c>
      <c r="BE67" s="883">
        <f t="shared" ca="1" si="71"/>
        <v>0</v>
      </c>
      <c r="BF67" s="883">
        <f t="shared" ca="1" si="71"/>
        <v>0</v>
      </c>
      <c r="BG67" s="883">
        <f t="shared" ca="1" si="71"/>
        <v>0</v>
      </c>
      <c r="BH67" s="883">
        <f t="shared" ca="1" si="71"/>
        <v>0</v>
      </c>
      <c r="BI67" s="883">
        <f t="shared" ca="1" si="71"/>
        <v>0</v>
      </c>
      <c r="BJ67" s="883">
        <f t="shared" ca="1" si="71"/>
        <v>0</v>
      </c>
      <c r="BK67" s="883">
        <f t="shared" ca="1" si="71"/>
        <v>0</v>
      </c>
      <c r="BL67" s="883">
        <f t="shared" ca="1" si="71"/>
        <v>0</v>
      </c>
      <c r="BM67" s="883">
        <f t="shared" ca="1" si="71"/>
        <v>0</v>
      </c>
      <c r="BN67" s="883">
        <f t="shared" ca="1" si="71"/>
        <v>0</v>
      </c>
      <c r="BO67" s="883">
        <f t="shared" ca="1" si="71"/>
        <v>0</v>
      </c>
      <c r="BP67" s="883">
        <f t="shared" ca="1" si="71"/>
        <v>0</v>
      </c>
      <c r="BQ67" s="883">
        <f t="shared" ca="1" si="71"/>
        <v>0</v>
      </c>
      <c r="BR67" s="883">
        <f t="shared" ca="1" si="71"/>
        <v>0</v>
      </c>
      <c r="BS67" s="883">
        <f t="shared" ca="1" si="71"/>
        <v>0</v>
      </c>
      <c r="BT67" s="883">
        <f t="shared" ca="1" si="71"/>
        <v>0</v>
      </c>
      <c r="BU67" s="883">
        <f t="shared" ca="1" si="71"/>
        <v>0</v>
      </c>
      <c r="BV67" s="883">
        <f t="shared" ca="1" si="71"/>
        <v>0</v>
      </c>
      <c r="BW67" s="883">
        <f t="shared" ca="1" si="71"/>
        <v>0</v>
      </c>
      <c r="BX67" s="883">
        <f t="shared" ca="1" si="71"/>
        <v>0</v>
      </c>
      <c r="BY67" s="883">
        <f t="shared" ca="1" si="71"/>
        <v>0</v>
      </c>
      <c r="BZ67" s="883">
        <f t="shared" ca="1" si="71"/>
        <v>0</v>
      </c>
      <c r="CA67" s="883">
        <f t="shared" ca="1" si="71"/>
        <v>0</v>
      </c>
      <c r="CB67" s="883">
        <f t="shared" ca="1" si="71"/>
        <v>0</v>
      </c>
      <c r="CC67" s="883">
        <f t="shared" ca="1" si="71"/>
        <v>0</v>
      </c>
      <c r="CD67" s="883">
        <f t="shared" ca="1" si="71"/>
        <v>0</v>
      </c>
      <c r="CE67" s="883">
        <f t="shared" ca="1" si="71"/>
        <v>0</v>
      </c>
      <c r="CF67" s="883">
        <f t="shared" ca="1" si="71"/>
        <v>0</v>
      </c>
      <c r="CG67" s="883">
        <f t="shared" ca="1" si="71"/>
        <v>0</v>
      </c>
      <c r="CH67" s="883">
        <f t="shared" ca="1" si="71"/>
        <v>0</v>
      </c>
      <c r="CI67" s="883">
        <f t="shared" ca="1" si="71"/>
        <v>0</v>
      </c>
      <c r="CJ67" s="883">
        <f t="shared" ca="1" si="71"/>
        <v>0</v>
      </c>
      <c r="CK67" s="883">
        <f t="shared" ca="1" si="71"/>
        <v>0</v>
      </c>
      <c r="CL67" s="883">
        <f t="shared" ca="1" si="71"/>
        <v>0</v>
      </c>
      <c r="CM67" s="883">
        <f t="shared" ca="1" si="71"/>
        <v>0</v>
      </c>
      <c r="CN67" s="883">
        <f t="shared" ca="1" si="71"/>
        <v>0</v>
      </c>
      <c r="CO67" s="883">
        <f t="shared" ca="1" si="71"/>
        <v>0</v>
      </c>
      <c r="CP67" s="883">
        <f t="shared" ca="1" si="71"/>
        <v>0</v>
      </c>
      <c r="CQ67" s="883">
        <f t="shared" ca="1" si="71"/>
        <v>0</v>
      </c>
      <c r="CR67" s="883">
        <f t="shared" ca="1" si="63"/>
        <v>0</v>
      </c>
      <c r="CS67" s="883">
        <f t="shared" ca="1" si="63"/>
        <v>0</v>
      </c>
      <c r="CT67" s="883">
        <f t="shared" ca="1" si="63"/>
        <v>0</v>
      </c>
      <c r="CU67" s="883">
        <f t="shared" ca="1" si="63"/>
        <v>0</v>
      </c>
      <c r="CV67" s="883">
        <f t="shared" ca="1" si="63"/>
        <v>0</v>
      </c>
      <c r="CW67" s="883">
        <f t="shared" ca="1" si="63"/>
        <v>0</v>
      </c>
      <c r="CX67" s="883">
        <f t="shared" ca="1" si="63"/>
        <v>0</v>
      </c>
      <c r="CY67" s="883">
        <f t="shared" ca="1" si="63"/>
        <v>0</v>
      </c>
      <c r="CZ67" s="883">
        <f t="shared" ca="1" si="63"/>
        <v>0</v>
      </c>
      <c r="DA67" s="883">
        <f t="shared" ca="1" si="63"/>
        <v>0</v>
      </c>
      <c r="DB67" s="883">
        <f t="shared" ca="1" si="63"/>
        <v>0</v>
      </c>
      <c r="DC67" s="883">
        <f t="shared" ca="1" si="63"/>
        <v>0</v>
      </c>
      <c r="DD67" s="883">
        <f t="shared" ca="1" si="63"/>
        <v>0</v>
      </c>
      <c r="DE67" s="883">
        <f t="shared" ca="1" si="63"/>
        <v>0</v>
      </c>
      <c r="DF67" s="883">
        <f t="shared" ca="1" si="63"/>
        <v>0</v>
      </c>
      <c r="DG67" s="883">
        <f t="shared" ca="1" si="63"/>
        <v>0</v>
      </c>
      <c r="DH67" s="883">
        <f t="shared" ca="1" si="63"/>
        <v>0</v>
      </c>
      <c r="DI67" s="883">
        <f t="shared" ca="1" si="63"/>
        <v>0</v>
      </c>
      <c r="DJ67" s="883">
        <f t="shared" ca="1" si="63"/>
        <v>0</v>
      </c>
      <c r="DK67" s="883">
        <f t="shared" ca="1" si="63"/>
        <v>0</v>
      </c>
      <c r="DL67" s="883">
        <f t="shared" ca="1" si="63"/>
        <v>0</v>
      </c>
      <c r="DM67" s="883">
        <f t="shared" ca="1" si="63"/>
        <v>0</v>
      </c>
      <c r="DN67" s="883">
        <f t="shared" ca="1" si="63"/>
        <v>0</v>
      </c>
      <c r="DO67" s="883">
        <f t="shared" ca="1" si="63"/>
        <v>0</v>
      </c>
      <c r="DP67" s="883">
        <f t="shared" ca="1" si="63"/>
        <v>0</v>
      </c>
      <c r="DQ67" s="883">
        <f t="shared" ca="1" si="63"/>
        <v>0</v>
      </c>
      <c r="DR67" s="883">
        <f t="shared" ca="1" si="63"/>
        <v>0</v>
      </c>
      <c r="DS67" s="883">
        <f t="shared" ca="1" si="63"/>
        <v>0</v>
      </c>
      <c r="DT67" s="883">
        <f t="shared" ca="1" si="63"/>
        <v>0</v>
      </c>
      <c r="DU67" s="883">
        <f t="shared" ca="1" si="63"/>
        <v>0</v>
      </c>
      <c r="DV67" s="883">
        <f t="shared" ca="1" si="63"/>
        <v>0</v>
      </c>
      <c r="DW67" s="883">
        <f t="shared" ca="1" si="63"/>
        <v>0</v>
      </c>
      <c r="DX67" s="883">
        <f t="shared" ca="1" si="63"/>
        <v>0</v>
      </c>
      <c r="DY67" s="883">
        <f t="shared" ca="1" si="63"/>
        <v>0</v>
      </c>
      <c r="DZ67" s="883">
        <f t="shared" ca="1" si="63"/>
        <v>0</v>
      </c>
      <c r="EA67" s="883">
        <f t="shared" ca="1" si="63"/>
        <v>0</v>
      </c>
      <c r="EB67" s="883">
        <f t="shared" ca="1" si="63"/>
        <v>0</v>
      </c>
      <c r="EC67" s="883">
        <f t="shared" ca="1" si="63"/>
        <v>0</v>
      </c>
      <c r="ED67" s="883">
        <f t="shared" ca="1" si="63"/>
        <v>0</v>
      </c>
      <c r="EE67" s="883">
        <f t="shared" ca="1" si="63"/>
        <v>0</v>
      </c>
      <c r="EF67" s="883">
        <f t="shared" ca="1" si="63"/>
        <v>0</v>
      </c>
      <c r="EG67" s="883">
        <f t="shared" ca="1" si="63"/>
        <v>0</v>
      </c>
      <c r="EH67" s="883">
        <f t="shared" ca="1" si="63"/>
        <v>0</v>
      </c>
      <c r="EI67" s="883">
        <f t="shared" ca="1" si="63"/>
        <v>0</v>
      </c>
      <c r="EJ67" s="883">
        <f t="shared" ca="1" si="63"/>
        <v>0</v>
      </c>
      <c r="EK67" s="883">
        <f t="shared" ca="1" si="63"/>
        <v>0</v>
      </c>
      <c r="EL67" s="883">
        <f t="shared" ca="1" si="63"/>
        <v>0</v>
      </c>
      <c r="EM67" s="883">
        <f t="shared" ca="1" si="63"/>
        <v>0</v>
      </c>
      <c r="EN67" s="883">
        <f t="shared" ca="1" si="63"/>
        <v>0</v>
      </c>
      <c r="EO67" s="883">
        <f t="shared" ca="1" si="63"/>
        <v>0</v>
      </c>
      <c r="EP67" s="883">
        <f t="shared" ca="1" si="63"/>
        <v>0</v>
      </c>
      <c r="EQ67" s="883">
        <f t="shared" ca="1" si="63"/>
        <v>0</v>
      </c>
      <c r="ER67" s="883">
        <f t="shared" ca="1" si="63"/>
        <v>0</v>
      </c>
      <c r="ES67" s="883">
        <f t="shared" ca="1" si="63"/>
        <v>0</v>
      </c>
      <c r="ET67" s="883">
        <f t="shared" ca="1" si="63"/>
        <v>0</v>
      </c>
      <c r="EU67" s="883">
        <f t="shared" ca="1" si="63"/>
        <v>0</v>
      </c>
      <c r="EV67" s="883">
        <f t="shared" ca="1" si="63"/>
        <v>0</v>
      </c>
      <c r="EW67" s="883">
        <f t="shared" ca="1" si="63"/>
        <v>0</v>
      </c>
      <c r="EX67" s="883">
        <f t="shared" ca="1" si="63"/>
        <v>0</v>
      </c>
      <c r="EY67" s="883">
        <f t="shared" ca="1" si="63"/>
        <v>0</v>
      </c>
      <c r="EZ67" s="883">
        <f t="shared" ca="1" si="63"/>
        <v>0</v>
      </c>
      <c r="FA67" s="883">
        <f t="shared" ca="1" si="63"/>
        <v>0</v>
      </c>
    </row>
    <row r="68" spans="8:157">
      <c r="H68" s="891" t="str">
        <f t="shared" ca="1" si="58"/>
        <v/>
      </c>
      <c r="I68" s="1206" t="e">
        <f t="shared" ca="1" si="55"/>
        <v>#N/A</v>
      </c>
      <c r="J68" s="1206">
        <f t="shared" ca="1" si="56"/>
        <v>0</v>
      </c>
      <c r="K68" s="929" t="str">
        <f t="shared" si="57"/>
        <v/>
      </c>
      <c r="L68" s="929" t="str">
        <f t="shared" si="24"/>
        <v/>
      </c>
      <c r="N68" s="1845">
        <v>4</v>
      </c>
      <c r="P68" s="882" t="e">
        <f>VLOOKUP(Q68,bond!B:AA,26,FALSE)</f>
        <v>#N/A</v>
      </c>
      <c r="Q68" s="928">
        <f>Change投!S10</f>
        <v>0</v>
      </c>
      <c r="R68" s="889">
        <f ca="1">IFERROR(IF(Q68="",0,IF($D$4=1,Change投!AC10*Change投!AJ10,Change投!AC10)),0)</f>
        <v>0</v>
      </c>
      <c r="S68" s="885" t="e">
        <f ca="1">Change投!W10</f>
        <v>#N/A</v>
      </c>
      <c r="T68" s="883">
        <f t="shared" ca="1" si="64"/>
        <v>0</v>
      </c>
      <c r="U68" s="885" t="str">
        <f ca="1">Change投!Z10</f>
        <v/>
      </c>
      <c r="V68" s="886" t="str">
        <f t="shared" ca="1" si="65"/>
        <v/>
      </c>
      <c r="W68" s="885" t="e">
        <f t="shared" si="66"/>
        <v>#N/A</v>
      </c>
      <c r="X68" s="886" t="str">
        <f t="shared" si="67"/>
        <v/>
      </c>
      <c r="Y68" s="887" t="str">
        <f ca="1">Change投!Y10</f>
        <v/>
      </c>
      <c r="Z68" s="886">
        <f>Change投!AC10</f>
        <v>0</v>
      </c>
      <c r="AA68" s="1205">
        <f ca="1">Change投!X10</f>
        <v>0</v>
      </c>
      <c r="AB68" s="881">
        <f>Change投!AJ10</f>
        <v>0</v>
      </c>
      <c r="AC68" s="887">
        <f t="shared" ca="1" si="61"/>
        <v>0</v>
      </c>
      <c r="AD68" s="883">
        <f t="shared" ca="1" si="68"/>
        <v>0</v>
      </c>
      <c r="AE68" s="883">
        <f t="shared" ca="1" si="69"/>
        <v>0</v>
      </c>
      <c r="AF68" s="883">
        <f t="shared" ca="1" si="71"/>
        <v>0</v>
      </c>
      <c r="AG68" s="883">
        <f t="shared" ca="1" si="71"/>
        <v>0</v>
      </c>
      <c r="AH68" s="883">
        <f t="shared" ca="1" si="71"/>
        <v>0</v>
      </c>
      <c r="AI68" s="883">
        <f t="shared" ca="1" si="71"/>
        <v>0</v>
      </c>
      <c r="AJ68" s="883">
        <f t="shared" ca="1" si="71"/>
        <v>0</v>
      </c>
      <c r="AK68" s="883">
        <f t="shared" ca="1" si="71"/>
        <v>0</v>
      </c>
      <c r="AL68" s="883">
        <f t="shared" ca="1" si="71"/>
        <v>0</v>
      </c>
      <c r="AM68" s="883">
        <f t="shared" ca="1" si="71"/>
        <v>0</v>
      </c>
      <c r="AN68" s="883">
        <f t="shared" ca="1" si="71"/>
        <v>0</v>
      </c>
      <c r="AO68" s="883">
        <f t="shared" ca="1" si="71"/>
        <v>0</v>
      </c>
      <c r="AP68" s="883">
        <f t="shared" ca="1" si="71"/>
        <v>0</v>
      </c>
      <c r="AQ68" s="883">
        <f t="shared" ca="1" si="71"/>
        <v>0</v>
      </c>
      <c r="AR68" s="883">
        <f t="shared" ca="1" si="71"/>
        <v>0</v>
      </c>
      <c r="AS68" s="883">
        <f t="shared" ca="1" si="71"/>
        <v>0</v>
      </c>
      <c r="AT68" s="883">
        <f t="shared" ca="1" si="71"/>
        <v>0</v>
      </c>
      <c r="AU68" s="883">
        <f t="shared" ca="1" si="71"/>
        <v>0</v>
      </c>
      <c r="AV68" s="883">
        <f t="shared" ca="1" si="71"/>
        <v>0</v>
      </c>
      <c r="AW68" s="883">
        <f t="shared" ca="1" si="71"/>
        <v>0</v>
      </c>
      <c r="AX68" s="883">
        <f t="shared" ca="1" si="71"/>
        <v>0</v>
      </c>
      <c r="AY68" s="883">
        <f t="shared" ca="1" si="71"/>
        <v>0</v>
      </c>
      <c r="AZ68" s="883">
        <f t="shared" ca="1" si="71"/>
        <v>0</v>
      </c>
      <c r="BA68" s="883">
        <f t="shared" ca="1" si="71"/>
        <v>0</v>
      </c>
      <c r="BB68" s="883">
        <f t="shared" ca="1" si="71"/>
        <v>0</v>
      </c>
      <c r="BC68" s="883">
        <f t="shared" ca="1" si="71"/>
        <v>0</v>
      </c>
      <c r="BD68" s="883">
        <f t="shared" ca="1" si="71"/>
        <v>0</v>
      </c>
      <c r="BE68" s="883">
        <f t="shared" ca="1" si="71"/>
        <v>0</v>
      </c>
      <c r="BF68" s="883">
        <f t="shared" ca="1" si="71"/>
        <v>0</v>
      </c>
      <c r="BG68" s="883">
        <f t="shared" ca="1" si="71"/>
        <v>0</v>
      </c>
      <c r="BH68" s="883">
        <f t="shared" ca="1" si="71"/>
        <v>0</v>
      </c>
      <c r="BI68" s="883">
        <f t="shared" ca="1" si="71"/>
        <v>0</v>
      </c>
      <c r="BJ68" s="883">
        <f t="shared" ca="1" si="71"/>
        <v>0</v>
      </c>
      <c r="BK68" s="883">
        <f t="shared" ca="1" si="71"/>
        <v>0</v>
      </c>
      <c r="BL68" s="883">
        <f t="shared" ca="1" si="71"/>
        <v>0</v>
      </c>
      <c r="BM68" s="883">
        <f t="shared" ca="1" si="71"/>
        <v>0</v>
      </c>
      <c r="BN68" s="883">
        <f t="shared" ca="1" si="71"/>
        <v>0</v>
      </c>
      <c r="BO68" s="883">
        <f t="shared" ca="1" si="71"/>
        <v>0</v>
      </c>
      <c r="BP68" s="883">
        <f t="shared" ca="1" si="71"/>
        <v>0</v>
      </c>
      <c r="BQ68" s="883">
        <f t="shared" ca="1" si="71"/>
        <v>0</v>
      </c>
      <c r="BR68" s="883">
        <f t="shared" ca="1" si="71"/>
        <v>0</v>
      </c>
      <c r="BS68" s="883">
        <f t="shared" ca="1" si="71"/>
        <v>0</v>
      </c>
      <c r="BT68" s="883">
        <f t="shared" ca="1" si="71"/>
        <v>0</v>
      </c>
      <c r="BU68" s="883">
        <f t="shared" ca="1" si="71"/>
        <v>0</v>
      </c>
      <c r="BV68" s="883">
        <f t="shared" ca="1" si="71"/>
        <v>0</v>
      </c>
      <c r="BW68" s="883">
        <f t="shared" ca="1" si="71"/>
        <v>0</v>
      </c>
      <c r="BX68" s="883">
        <f t="shared" ca="1" si="71"/>
        <v>0</v>
      </c>
      <c r="BY68" s="883">
        <f t="shared" ca="1" si="71"/>
        <v>0</v>
      </c>
      <c r="BZ68" s="883">
        <f t="shared" ca="1" si="71"/>
        <v>0</v>
      </c>
      <c r="CA68" s="883">
        <f t="shared" ca="1" si="71"/>
        <v>0</v>
      </c>
      <c r="CB68" s="883">
        <f t="shared" ca="1" si="71"/>
        <v>0</v>
      </c>
      <c r="CC68" s="883">
        <f t="shared" ca="1" si="71"/>
        <v>0</v>
      </c>
      <c r="CD68" s="883">
        <f t="shared" ca="1" si="71"/>
        <v>0</v>
      </c>
      <c r="CE68" s="883">
        <f t="shared" ca="1" si="71"/>
        <v>0</v>
      </c>
      <c r="CF68" s="883">
        <f t="shared" ca="1" si="71"/>
        <v>0</v>
      </c>
      <c r="CG68" s="883">
        <f t="shared" ca="1" si="71"/>
        <v>0</v>
      </c>
      <c r="CH68" s="883">
        <f t="shared" ca="1" si="71"/>
        <v>0</v>
      </c>
      <c r="CI68" s="883">
        <f t="shared" ca="1" si="71"/>
        <v>0</v>
      </c>
      <c r="CJ68" s="883">
        <f t="shared" ca="1" si="71"/>
        <v>0</v>
      </c>
      <c r="CK68" s="883">
        <f t="shared" ca="1" si="71"/>
        <v>0</v>
      </c>
      <c r="CL68" s="883">
        <f t="shared" ca="1" si="71"/>
        <v>0</v>
      </c>
      <c r="CM68" s="883">
        <f t="shared" ca="1" si="71"/>
        <v>0</v>
      </c>
      <c r="CN68" s="883">
        <f t="shared" ca="1" si="71"/>
        <v>0</v>
      </c>
      <c r="CO68" s="883">
        <f t="shared" ca="1" si="71"/>
        <v>0</v>
      </c>
      <c r="CP68" s="883">
        <f t="shared" ca="1" si="71"/>
        <v>0</v>
      </c>
      <c r="CQ68" s="883">
        <f t="shared" ca="1" si="71"/>
        <v>0</v>
      </c>
      <c r="CR68" s="883">
        <f t="shared" ca="1" si="63"/>
        <v>0</v>
      </c>
      <c r="CS68" s="883">
        <f t="shared" ca="1" si="63"/>
        <v>0</v>
      </c>
      <c r="CT68" s="883">
        <f t="shared" ca="1" si="63"/>
        <v>0</v>
      </c>
      <c r="CU68" s="883">
        <f t="shared" ca="1" si="63"/>
        <v>0</v>
      </c>
      <c r="CV68" s="883">
        <f t="shared" ca="1" si="63"/>
        <v>0</v>
      </c>
      <c r="CW68" s="883">
        <f t="shared" ca="1" si="63"/>
        <v>0</v>
      </c>
      <c r="CX68" s="883">
        <f t="shared" ca="1" si="63"/>
        <v>0</v>
      </c>
      <c r="CY68" s="883">
        <f t="shared" ca="1" si="63"/>
        <v>0</v>
      </c>
      <c r="CZ68" s="883">
        <f t="shared" ca="1" si="63"/>
        <v>0</v>
      </c>
      <c r="DA68" s="883">
        <f t="shared" ca="1" si="63"/>
        <v>0</v>
      </c>
      <c r="DB68" s="883">
        <f t="shared" ca="1" si="63"/>
        <v>0</v>
      </c>
      <c r="DC68" s="883">
        <f t="shared" ca="1" si="63"/>
        <v>0</v>
      </c>
      <c r="DD68" s="883">
        <f t="shared" ca="1" si="63"/>
        <v>0</v>
      </c>
      <c r="DE68" s="883">
        <f t="shared" ca="1" si="63"/>
        <v>0</v>
      </c>
      <c r="DF68" s="883">
        <f t="shared" ca="1" si="63"/>
        <v>0</v>
      </c>
      <c r="DG68" s="883">
        <f t="shared" ca="1" si="63"/>
        <v>0</v>
      </c>
      <c r="DH68" s="883">
        <f t="shared" ca="1" si="63"/>
        <v>0</v>
      </c>
      <c r="DI68" s="883">
        <f t="shared" ca="1" si="63"/>
        <v>0</v>
      </c>
      <c r="DJ68" s="883">
        <f t="shared" ca="1" si="63"/>
        <v>0</v>
      </c>
      <c r="DK68" s="883">
        <f t="shared" ca="1" si="63"/>
        <v>0</v>
      </c>
      <c r="DL68" s="883">
        <f t="shared" ca="1" si="63"/>
        <v>0</v>
      </c>
      <c r="DM68" s="883">
        <f t="shared" ca="1" si="63"/>
        <v>0</v>
      </c>
      <c r="DN68" s="883">
        <f t="shared" ca="1" si="63"/>
        <v>0</v>
      </c>
      <c r="DO68" s="883">
        <f t="shared" ca="1" si="63"/>
        <v>0</v>
      </c>
      <c r="DP68" s="883">
        <f t="shared" ca="1" si="63"/>
        <v>0</v>
      </c>
      <c r="DQ68" s="883">
        <f t="shared" ca="1" si="63"/>
        <v>0</v>
      </c>
      <c r="DR68" s="883">
        <f t="shared" ca="1" si="63"/>
        <v>0</v>
      </c>
      <c r="DS68" s="883">
        <f t="shared" ca="1" si="63"/>
        <v>0</v>
      </c>
      <c r="DT68" s="883">
        <f t="shared" ca="1" si="63"/>
        <v>0</v>
      </c>
      <c r="DU68" s="883">
        <f t="shared" ca="1" si="63"/>
        <v>0</v>
      </c>
      <c r="DV68" s="883">
        <f t="shared" ca="1" si="63"/>
        <v>0</v>
      </c>
      <c r="DW68" s="883">
        <f t="shared" ca="1" si="63"/>
        <v>0</v>
      </c>
      <c r="DX68" s="883">
        <f t="shared" ca="1" si="63"/>
        <v>0</v>
      </c>
      <c r="DY68" s="883">
        <f t="shared" ca="1" si="63"/>
        <v>0</v>
      </c>
      <c r="DZ68" s="883">
        <f t="shared" ca="1" si="63"/>
        <v>0</v>
      </c>
      <c r="EA68" s="883">
        <f t="shared" ca="1" si="63"/>
        <v>0</v>
      </c>
      <c r="EB68" s="883">
        <f t="shared" ca="1" si="63"/>
        <v>0</v>
      </c>
      <c r="EC68" s="883">
        <f t="shared" ca="1" si="63"/>
        <v>0</v>
      </c>
      <c r="ED68" s="883">
        <f t="shared" ca="1" si="63"/>
        <v>0</v>
      </c>
      <c r="EE68" s="883">
        <f t="shared" ca="1" si="63"/>
        <v>0</v>
      </c>
      <c r="EF68" s="883">
        <f t="shared" ca="1" si="63"/>
        <v>0</v>
      </c>
      <c r="EG68" s="883">
        <f t="shared" ca="1" si="63"/>
        <v>0</v>
      </c>
      <c r="EH68" s="883">
        <f t="shared" ca="1" si="63"/>
        <v>0</v>
      </c>
      <c r="EI68" s="883">
        <f t="shared" ca="1" si="63"/>
        <v>0</v>
      </c>
      <c r="EJ68" s="883">
        <f t="shared" ca="1" si="63"/>
        <v>0</v>
      </c>
      <c r="EK68" s="883">
        <f t="shared" ca="1" si="63"/>
        <v>0</v>
      </c>
      <c r="EL68" s="883">
        <f t="shared" ca="1" si="63"/>
        <v>0</v>
      </c>
      <c r="EM68" s="883">
        <f t="shared" ca="1" si="63"/>
        <v>0</v>
      </c>
      <c r="EN68" s="883">
        <f t="shared" ca="1" si="63"/>
        <v>0</v>
      </c>
      <c r="EO68" s="883">
        <f t="shared" ca="1" si="63"/>
        <v>0</v>
      </c>
      <c r="EP68" s="883">
        <f t="shared" ca="1" si="63"/>
        <v>0</v>
      </c>
      <c r="EQ68" s="883">
        <f t="shared" ca="1" si="63"/>
        <v>0</v>
      </c>
      <c r="ER68" s="883">
        <f t="shared" ca="1" si="63"/>
        <v>0</v>
      </c>
      <c r="ES68" s="883">
        <f t="shared" ca="1" si="63"/>
        <v>0</v>
      </c>
      <c r="ET68" s="883">
        <f t="shared" ca="1" si="63"/>
        <v>0</v>
      </c>
      <c r="EU68" s="883">
        <f t="shared" ca="1" si="63"/>
        <v>0</v>
      </c>
      <c r="EV68" s="883">
        <f t="shared" ca="1" si="63"/>
        <v>0</v>
      </c>
      <c r="EW68" s="883">
        <f t="shared" ca="1" si="63"/>
        <v>0</v>
      </c>
      <c r="EX68" s="883">
        <f t="shared" ca="1" si="63"/>
        <v>0</v>
      </c>
      <c r="EY68" s="883">
        <f t="shared" ca="1" si="63"/>
        <v>0</v>
      </c>
      <c r="EZ68" s="883">
        <f t="shared" ca="1" si="63"/>
        <v>0</v>
      </c>
      <c r="FA68" s="883">
        <f t="shared" ca="1" si="63"/>
        <v>0</v>
      </c>
    </row>
    <row r="69" spans="8:157">
      <c r="H69" s="891" t="str">
        <f t="shared" ca="1" si="58"/>
        <v/>
      </c>
      <c r="I69" s="1206" t="e">
        <f t="shared" ca="1" si="55"/>
        <v>#N/A</v>
      </c>
      <c r="J69" s="1206">
        <f t="shared" ca="1" si="56"/>
        <v>0</v>
      </c>
      <c r="K69" s="929" t="str">
        <f t="shared" si="57"/>
        <v/>
      </c>
      <c r="L69" s="929" t="str">
        <f t="shared" si="24"/>
        <v/>
      </c>
      <c r="N69" s="1845">
        <v>5</v>
      </c>
      <c r="P69" s="882" t="e">
        <f>VLOOKUP(Q69,bond!B:AA,26,FALSE)</f>
        <v>#N/A</v>
      </c>
      <c r="Q69" s="928">
        <f>Change投!S11</f>
        <v>0</v>
      </c>
      <c r="R69" s="889">
        <f ca="1">IFERROR(IF(Q69="",0,IF($D$4=1,Change投!AC11*Change投!AJ11,Change投!AC11)),0)</f>
        <v>0</v>
      </c>
      <c r="S69" s="885" t="e">
        <f ca="1">Change投!W11</f>
        <v>#N/A</v>
      </c>
      <c r="T69" s="883">
        <f t="shared" ca="1" si="64"/>
        <v>0</v>
      </c>
      <c r="U69" s="885" t="str">
        <f ca="1">Change投!Z11</f>
        <v/>
      </c>
      <c r="V69" s="886" t="str">
        <f t="shared" ca="1" si="65"/>
        <v/>
      </c>
      <c r="W69" s="885" t="e">
        <f t="shared" si="66"/>
        <v>#N/A</v>
      </c>
      <c r="X69" s="886" t="str">
        <f t="shared" si="67"/>
        <v/>
      </c>
      <c r="Y69" s="887" t="str">
        <f ca="1">Change投!Y11</f>
        <v/>
      </c>
      <c r="Z69" s="886">
        <f>Change投!AC11</f>
        <v>0</v>
      </c>
      <c r="AA69" s="1205">
        <f ca="1">Change投!X11</f>
        <v>0</v>
      </c>
      <c r="AB69" s="881">
        <f>Change投!AJ11</f>
        <v>0</v>
      </c>
      <c r="AC69" s="887">
        <f t="shared" ca="1" si="61"/>
        <v>0</v>
      </c>
      <c r="AD69" s="883">
        <f t="shared" ca="1" si="68"/>
        <v>0</v>
      </c>
      <c r="AE69" s="883">
        <f t="shared" ca="1" si="69"/>
        <v>0</v>
      </c>
      <c r="AF69" s="883">
        <f t="shared" ca="1" si="71"/>
        <v>0</v>
      </c>
      <c r="AG69" s="883">
        <f t="shared" ca="1" si="71"/>
        <v>0</v>
      </c>
      <c r="AH69" s="883">
        <f t="shared" ca="1" si="71"/>
        <v>0</v>
      </c>
      <c r="AI69" s="883">
        <f t="shared" ca="1" si="71"/>
        <v>0</v>
      </c>
      <c r="AJ69" s="883">
        <f t="shared" ca="1" si="71"/>
        <v>0</v>
      </c>
      <c r="AK69" s="883">
        <f t="shared" ca="1" si="71"/>
        <v>0</v>
      </c>
      <c r="AL69" s="883">
        <f t="shared" ca="1" si="71"/>
        <v>0</v>
      </c>
      <c r="AM69" s="883">
        <f t="shared" ca="1" si="71"/>
        <v>0</v>
      </c>
      <c r="AN69" s="883">
        <f t="shared" ca="1" si="71"/>
        <v>0</v>
      </c>
      <c r="AO69" s="883">
        <f t="shared" ca="1" si="71"/>
        <v>0</v>
      </c>
      <c r="AP69" s="883">
        <f t="shared" ca="1" si="71"/>
        <v>0</v>
      </c>
      <c r="AQ69" s="883">
        <f t="shared" ca="1" si="71"/>
        <v>0</v>
      </c>
      <c r="AR69" s="883">
        <f t="shared" ca="1" si="71"/>
        <v>0</v>
      </c>
      <c r="AS69" s="883">
        <f t="shared" ca="1" si="71"/>
        <v>0</v>
      </c>
      <c r="AT69" s="883">
        <f t="shared" ca="1" si="71"/>
        <v>0</v>
      </c>
      <c r="AU69" s="883">
        <f t="shared" ca="1" si="71"/>
        <v>0</v>
      </c>
      <c r="AV69" s="883">
        <f t="shared" ca="1" si="71"/>
        <v>0</v>
      </c>
      <c r="AW69" s="883">
        <f t="shared" ca="1" si="71"/>
        <v>0</v>
      </c>
      <c r="AX69" s="883">
        <f t="shared" ca="1" si="71"/>
        <v>0</v>
      </c>
      <c r="AY69" s="883">
        <f t="shared" ca="1" si="71"/>
        <v>0</v>
      </c>
      <c r="AZ69" s="883">
        <f t="shared" ca="1" si="71"/>
        <v>0</v>
      </c>
      <c r="BA69" s="883">
        <f t="shared" ca="1" si="71"/>
        <v>0</v>
      </c>
      <c r="BB69" s="883">
        <f t="shared" ca="1" si="71"/>
        <v>0</v>
      </c>
      <c r="BC69" s="883">
        <f t="shared" ca="1" si="71"/>
        <v>0</v>
      </c>
      <c r="BD69" s="883">
        <f t="shared" ca="1" si="71"/>
        <v>0</v>
      </c>
      <c r="BE69" s="883">
        <f t="shared" ca="1" si="71"/>
        <v>0</v>
      </c>
      <c r="BF69" s="883">
        <f t="shared" ca="1" si="71"/>
        <v>0</v>
      </c>
      <c r="BG69" s="883">
        <f t="shared" ca="1" si="71"/>
        <v>0</v>
      </c>
      <c r="BH69" s="883">
        <f t="shared" ca="1" si="71"/>
        <v>0</v>
      </c>
      <c r="BI69" s="883">
        <f t="shared" ca="1" si="71"/>
        <v>0</v>
      </c>
      <c r="BJ69" s="883">
        <f t="shared" ca="1" si="71"/>
        <v>0</v>
      </c>
      <c r="BK69" s="883">
        <f t="shared" ca="1" si="71"/>
        <v>0</v>
      </c>
      <c r="BL69" s="883">
        <f t="shared" ca="1" si="71"/>
        <v>0</v>
      </c>
      <c r="BM69" s="883">
        <f t="shared" ca="1" si="71"/>
        <v>0</v>
      </c>
      <c r="BN69" s="883">
        <f t="shared" ca="1" si="71"/>
        <v>0</v>
      </c>
      <c r="BO69" s="883">
        <f t="shared" ca="1" si="71"/>
        <v>0</v>
      </c>
      <c r="BP69" s="883">
        <f t="shared" ca="1" si="71"/>
        <v>0</v>
      </c>
      <c r="BQ69" s="883">
        <f t="shared" ca="1" si="71"/>
        <v>0</v>
      </c>
      <c r="BR69" s="883">
        <f t="shared" ca="1" si="71"/>
        <v>0</v>
      </c>
      <c r="BS69" s="883">
        <f t="shared" ca="1" si="71"/>
        <v>0</v>
      </c>
      <c r="BT69" s="883">
        <f t="shared" ca="1" si="71"/>
        <v>0</v>
      </c>
      <c r="BU69" s="883">
        <f t="shared" ca="1" si="71"/>
        <v>0</v>
      </c>
      <c r="BV69" s="883">
        <f t="shared" ca="1" si="71"/>
        <v>0</v>
      </c>
      <c r="BW69" s="883">
        <f t="shared" ca="1" si="71"/>
        <v>0</v>
      </c>
      <c r="BX69" s="883">
        <f t="shared" ca="1" si="71"/>
        <v>0</v>
      </c>
      <c r="BY69" s="883">
        <f t="shared" ca="1" si="71"/>
        <v>0</v>
      </c>
      <c r="BZ69" s="883">
        <f t="shared" ca="1" si="71"/>
        <v>0</v>
      </c>
      <c r="CA69" s="883">
        <f t="shared" ca="1" si="71"/>
        <v>0</v>
      </c>
      <c r="CB69" s="883">
        <f t="shared" ca="1" si="71"/>
        <v>0</v>
      </c>
      <c r="CC69" s="883">
        <f t="shared" ca="1" si="71"/>
        <v>0</v>
      </c>
      <c r="CD69" s="883">
        <f t="shared" ca="1" si="71"/>
        <v>0</v>
      </c>
      <c r="CE69" s="883">
        <f t="shared" ca="1" si="71"/>
        <v>0</v>
      </c>
      <c r="CF69" s="883">
        <f t="shared" ca="1" si="71"/>
        <v>0</v>
      </c>
      <c r="CG69" s="883">
        <f t="shared" ca="1" si="71"/>
        <v>0</v>
      </c>
      <c r="CH69" s="883">
        <f t="shared" ca="1" si="71"/>
        <v>0</v>
      </c>
      <c r="CI69" s="883">
        <f t="shared" ca="1" si="71"/>
        <v>0</v>
      </c>
      <c r="CJ69" s="883">
        <f t="shared" ca="1" si="71"/>
        <v>0</v>
      </c>
      <c r="CK69" s="883">
        <f t="shared" ca="1" si="71"/>
        <v>0</v>
      </c>
      <c r="CL69" s="883">
        <f t="shared" ca="1" si="71"/>
        <v>0</v>
      </c>
      <c r="CM69" s="883">
        <f t="shared" ca="1" si="71"/>
        <v>0</v>
      </c>
      <c r="CN69" s="883">
        <f t="shared" ca="1" si="71"/>
        <v>0</v>
      </c>
      <c r="CO69" s="883">
        <f t="shared" ca="1" si="71"/>
        <v>0</v>
      </c>
      <c r="CP69" s="883">
        <f t="shared" ca="1" si="71"/>
        <v>0</v>
      </c>
      <c r="CQ69" s="883">
        <f t="shared" ca="1" si="71"/>
        <v>0</v>
      </c>
      <c r="CR69" s="883">
        <f t="shared" ca="1" si="63"/>
        <v>0</v>
      </c>
      <c r="CS69" s="883">
        <f t="shared" ca="1" si="63"/>
        <v>0</v>
      </c>
      <c r="CT69" s="883">
        <f t="shared" ca="1" si="63"/>
        <v>0</v>
      </c>
      <c r="CU69" s="883">
        <f t="shared" ca="1" si="63"/>
        <v>0</v>
      </c>
      <c r="CV69" s="883">
        <f t="shared" ca="1" si="63"/>
        <v>0</v>
      </c>
      <c r="CW69" s="883">
        <f t="shared" ca="1" si="63"/>
        <v>0</v>
      </c>
      <c r="CX69" s="883">
        <f t="shared" ca="1" si="63"/>
        <v>0</v>
      </c>
      <c r="CY69" s="883">
        <f t="shared" ref="CY69:FA69" ca="1" si="72">IFERROR(IF(YEAR($W69)&lt;CY$4,0,IF(YEAR($W69)=CY$4,IF($P69="美國國庫債券",ROUND(DATEDIF($U69,$W69,"M")/(12/$Y69),0)+1,DATEDIF($U69,$W69,"M")/(12/$Y69)+1),INT(DATEDIF($U69,CY$5,"M")/(12/$Y69))+1)),0)</f>
        <v>0</v>
      </c>
      <c r="CZ69" s="883">
        <f t="shared" ca="1" si="72"/>
        <v>0</v>
      </c>
      <c r="DA69" s="883">
        <f t="shared" ca="1" si="72"/>
        <v>0</v>
      </c>
      <c r="DB69" s="883">
        <f t="shared" ca="1" si="72"/>
        <v>0</v>
      </c>
      <c r="DC69" s="883">
        <f t="shared" ca="1" si="72"/>
        <v>0</v>
      </c>
      <c r="DD69" s="883">
        <f t="shared" ca="1" si="72"/>
        <v>0</v>
      </c>
      <c r="DE69" s="883">
        <f t="shared" ca="1" si="72"/>
        <v>0</v>
      </c>
      <c r="DF69" s="883">
        <f t="shared" ca="1" si="72"/>
        <v>0</v>
      </c>
      <c r="DG69" s="883">
        <f t="shared" ca="1" si="72"/>
        <v>0</v>
      </c>
      <c r="DH69" s="883">
        <f t="shared" ca="1" si="72"/>
        <v>0</v>
      </c>
      <c r="DI69" s="883">
        <f t="shared" ca="1" si="72"/>
        <v>0</v>
      </c>
      <c r="DJ69" s="883">
        <f t="shared" ca="1" si="72"/>
        <v>0</v>
      </c>
      <c r="DK69" s="883">
        <f t="shared" ca="1" si="72"/>
        <v>0</v>
      </c>
      <c r="DL69" s="883">
        <f t="shared" ca="1" si="72"/>
        <v>0</v>
      </c>
      <c r="DM69" s="883">
        <f t="shared" ca="1" si="72"/>
        <v>0</v>
      </c>
      <c r="DN69" s="883">
        <f t="shared" ca="1" si="72"/>
        <v>0</v>
      </c>
      <c r="DO69" s="883">
        <f t="shared" ca="1" si="72"/>
        <v>0</v>
      </c>
      <c r="DP69" s="883">
        <f t="shared" ca="1" si="72"/>
        <v>0</v>
      </c>
      <c r="DQ69" s="883">
        <f t="shared" ca="1" si="72"/>
        <v>0</v>
      </c>
      <c r="DR69" s="883">
        <f t="shared" ca="1" si="72"/>
        <v>0</v>
      </c>
      <c r="DS69" s="883">
        <f t="shared" ca="1" si="72"/>
        <v>0</v>
      </c>
      <c r="DT69" s="883">
        <f t="shared" ca="1" si="72"/>
        <v>0</v>
      </c>
      <c r="DU69" s="883">
        <f t="shared" ca="1" si="72"/>
        <v>0</v>
      </c>
      <c r="DV69" s="883">
        <f t="shared" ca="1" si="72"/>
        <v>0</v>
      </c>
      <c r="DW69" s="883">
        <f t="shared" ca="1" si="72"/>
        <v>0</v>
      </c>
      <c r="DX69" s="883">
        <f t="shared" ca="1" si="72"/>
        <v>0</v>
      </c>
      <c r="DY69" s="883">
        <f t="shared" ca="1" si="72"/>
        <v>0</v>
      </c>
      <c r="DZ69" s="883">
        <f t="shared" ca="1" si="72"/>
        <v>0</v>
      </c>
      <c r="EA69" s="883">
        <f t="shared" ca="1" si="72"/>
        <v>0</v>
      </c>
      <c r="EB69" s="883">
        <f t="shared" ca="1" si="72"/>
        <v>0</v>
      </c>
      <c r="EC69" s="883">
        <f t="shared" ca="1" si="72"/>
        <v>0</v>
      </c>
      <c r="ED69" s="883">
        <f t="shared" ca="1" si="72"/>
        <v>0</v>
      </c>
      <c r="EE69" s="883">
        <f t="shared" ca="1" si="72"/>
        <v>0</v>
      </c>
      <c r="EF69" s="883">
        <f t="shared" ca="1" si="72"/>
        <v>0</v>
      </c>
      <c r="EG69" s="883">
        <f t="shared" ca="1" si="72"/>
        <v>0</v>
      </c>
      <c r="EH69" s="883">
        <f t="shared" ca="1" si="72"/>
        <v>0</v>
      </c>
      <c r="EI69" s="883">
        <f t="shared" ca="1" si="72"/>
        <v>0</v>
      </c>
      <c r="EJ69" s="883">
        <f t="shared" ca="1" si="72"/>
        <v>0</v>
      </c>
      <c r="EK69" s="883">
        <f t="shared" ca="1" si="72"/>
        <v>0</v>
      </c>
      <c r="EL69" s="883">
        <f t="shared" ca="1" si="72"/>
        <v>0</v>
      </c>
      <c r="EM69" s="883">
        <f t="shared" ca="1" si="72"/>
        <v>0</v>
      </c>
      <c r="EN69" s="883">
        <f t="shared" ca="1" si="72"/>
        <v>0</v>
      </c>
      <c r="EO69" s="883">
        <f t="shared" ca="1" si="72"/>
        <v>0</v>
      </c>
      <c r="EP69" s="883">
        <f t="shared" ca="1" si="72"/>
        <v>0</v>
      </c>
      <c r="EQ69" s="883">
        <f t="shared" ca="1" si="72"/>
        <v>0</v>
      </c>
      <c r="ER69" s="883">
        <f t="shared" ca="1" si="72"/>
        <v>0</v>
      </c>
      <c r="ES69" s="883">
        <f t="shared" ca="1" si="72"/>
        <v>0</v>
      </c>
      <c r="ET69" s="883">
        <f t="shared" ca="1" si="72"/>
        <v>0</v>
      </c>
      <c r="EU69" s="883">
        <f t="shared" ca="1" si="72"/>
        <v>0</v>
      </c>
      <c r="EV69" s="883">
        <f t="shared" ca="1" si="72"/>
        <v>0</v>
      </c>
      <c r="EW69" s="883">
        <f t="shared" ca="1" si="72"/>
        <v>0</v>
      </c>
      <c r="EX69" s="883">
        <f t="shared" ca="1" si="72"/>
        <v>0</v>
      </c>
      <c r="EY69" s="883">
        <f t="shared" ca="1" si="72"/>
        <v>0</v>
      </c>
      <c r="EZ69" s="883">
        <f t="shared" ca="1" si="72"/>
        <v>0</v>
      </c>
      <c r="FA69" s="883">
        <f t="shared" ca="1" si="72"/>
        <v>0</v>
      </c>
    </row>
    <row r="70" spans="8:157">
      <c r="H70" s="891" t="str">
        <f t="shared" ca="1" si="58"/>
        <v/>
      </c>
      <c r="I70" s="1206" t="e">
        <f t="shared" ca="1" si="55"/>
        <v>#N/A</v>
      </c>
      <c r="J70" s="1206">
        <f t="shared" ca="1" si="56"/>
        <v>0</v>
      </c>
      <c r="K70" s="929" t="str">
        <f t="shared" si="57"/>
        <v/>
      </c>
      <c r="L70" s="929" t="str">
        <f t="shared" si="24"/>
        <v/>
      </c>
      <c r="N70" s="1845">
        <v>6</v>
      </c>
      <c r="P70" s="882" t="e">
        <f>VLOOKUP(Q70,bond!B:AA,26,FALSE)</f>
        <v>#N/A</v>
      </c>
      <c r="Q70" s="928">
        <f>Change投!S12</f>
        <v>0</v>
      </c>
      <c r="R70" s="889">
        <f ca="1">IFERROR(IF(Q70="",0,IF($D$4=1,Change投!AC12*Change投!AJ12,Change投!AC12)),0)</f>
        <v>0</v>
      </c>
      <c r="S70" s="885" t="e">
        <f ca="1">Change投!W12</f>
        <v>#N/A</v>
      </c>
      <c r="T70" s="883">
        <f t="shared" ca="1" si="64"/>
        <v>0</v>
      </c>
      <c r="U70" s="885" t="str">
        <f ca="1">Change投!Z12</f>
        <v/>
      </c>
      <c r="V70" s="886" t="str">
        <f t="shared" ca="1" si="65"/>
        <v/>
      </c>
      <c r="W70" s="885" t="e">
        <f t="shared" si="66"/>
        <v>#N/A</v>
      </c>
      <c r="X70" s="886" t="str">
        <f t="shared" si="67"/>
        <v/>
      </c>
      <c r="Y70" s="887" t="str">
        <f ca="1">Change投!Y12</f>
        <v/>
      </c>
      <c r="Z70" s="886">
        <f>Change投!AC12</f>
        <v>0</v>
      </c>
      <c r="AA70" s="1205">
        <f ca="1">Change投!X12</f>
        <v>0</v>
      </c>
      <c r="AB70" s="881">
        <f>Change投!AJ12</f>
        <v>0</v>
      </c>
      <c r="AC70" s="887">
        <f t="shared" ca="1" si="61"/>
        <v>0</v>
      </c>
      <c r="AD70" s="883">
        <f t="shared" ca="1" si="68"/>
        <v>0</v>
      </c>
      <c r="AE70" s="883">
        <f t="shared" ca="1" si="69"/>
        <v>0</v>
      </c>
      <c r="AF70" s="883">
        <f t="shared" ca="1" si="71"/>
        <v>0</v>
      </c>
      <c r="AG70" s="883">
        <f t="shared" ca="1" si="71"/>
        <v>0</v>
      </c>
      <c r="AH70" s="883">
        <f t="shared" ca="1" si="71"/>
        <v>0</v>
      </c>
      <c r="AI70" s="883">
        <f t="shared" ca="1" si="71"/>
        <v>0</v>
      </c>
      <c r="AJ70" s="883">
        <f t="shared" ca="1" si="71"/>
        <v>0</v>
      </c>
      <c r="AK70" s="883">
        <f t="shared" ca="1" si="71"/>
        <v>0</v>
      </c>
      <c r="AL70" s="883">
        <f t="shared" ca="1" si="71"/>
        <v>0</v>
      </c>
      <c r="AM70" s="883">
        <f t="shared" ca="1" si="71"/>
        <v>0</v>
      </c>
      <c r="AN70" s="883">
        <f t="shared" ca="1" si="71"/>
        <v>0</v>
      </c>
      <c r="AO70" s="883">
        <f t="shared" ca="1" si="71"/>
        <v>0</v>
      </c>
      <c r="AP70" s="883">
        <f t="shared" ca="1" si="71"/>
        <v>0</v>
      </c>
      <c r="AQ70" s="883">
        <f t="shared" ca="1" si="71"/>
        <v>0</v>
      </c>
      <c r="AR70" s="883">
        <f t="shared" ca="1" si="71"/>
        <v>0</v>
      </c>
      <c r="AS70" s="883">
        <f t="shared" ca="1" si="71"/>
        <v>0</v>
      </c>
      <c r="AT70" s="883">
        <f t="shared" ca="1" si="71"/>
        <v>0</v>
      </c>
      <c r="AU70" s="883">
        <f t="shared" ca="1" si="71"/>
        <v>0</v>
      </c>
      <c r="AV70" s="883">
        <f t="shared" ca="1" si="71"/>
        <v>0</v>
      </c>
      <c r="AW70" s="883">
        <f t="shared" ca="1" si="71"/>
        <v>0</v>
      </c>
      <c r="AX70" s="883">
        <f t="shared" ca="1" si="71"/>
        <v>0</v>
      </c>
      <c r="AY70" s="883">
        <f t="shared" ca="1" si="71"/>
        <v>0</v>
      </c>
      <c r="AZ70" s="883">
        <f t="shared" ca="1" si="71"/>
        <v>0</v>
      </c>
      <c r="BA70" s="883">
        <f t="shared" ca="1" si="71"/>
        <v>0</v>
      </c>
      <c r="BB70" s="883">
        <f t="shared" ca="1" si="71"/>
        <v>0</v>
      </c>
      <c r="BC70" s="883">
        <f t="shared" ca="1" si="71"/>
        <v>0</v>
      </c>
      <c r="BD70" s="883">
        <f t="shared" ca="1" si="71"/>
        <v>0</v>
      </c>
      <c r="BE70" s="883">
        <f t="shared" ca="1" si="71"/>
        <v>0</v>
      </c>
      <c r="BF70" s="883">
        <f t="shared" ca="1" si="71"/>
        <v>0</v>
      </c>
      <c r="BG70" s="883">
        <f t="shared" ca="1" si="71"/>
        <v>0</v>
      </c>
      <c r="BH70" s="883">
        <f t="shared" ca="1" si="71"/>
        <v>0</v>
      </c>
      <c r="BI70" s="883">
        <f t="shared" ca="1" si="71"/>
        <v>0</v>
      </c>
      <c r="BJ70" s="883">
        <f t="shared" ca="1" si="71"/>
        <v>0</v>
      </c>
      <c r="BK70" s="883">
        <f t="shared" ca="1" si="71"/>
        <v>0</v>
      </c>
      <c r="BL70" s="883">
        <f t="shared" ca="1" si="71"/>
        <v>0</v>
      </c>
      <c r="BM70" s="883">
        <f t="shared" ca="1" si="71"/>
        <v>0</v>
      </c>
      <c r="BN70" s="883">
        <f t="shared" ca="1" si="71"/>
        <v>0</v>
      </c>
      <c r="BO70" s="883">
        <f t="shared" ca="1" si="71"/>
        <v>0</v>
      </c>
      <c r="BP70" s="883">
        <f t="shared" ca="1" si="71"/>
        <v>0</v>
      </c>
      <c r="BQ70" s="883">
        <f t="shared" ca="1" si="71"/>
        <v>0</v>
      </c>
      <c r="BR70" s="883">
        <f t="shared" ca="1" si="71"/>
        <v>0</v>
      </c>
      <c r="BS70" s="883">
        <f t="shared" ca="1" si="71"/>
        <v>0</v>
      </c>
      <c r="BT70" s="883">
        <f t="shared" ca="1" si="71"/>
        <v>0</v>
      </c>
      <c r="BU70" s="883">
        <f t="shared" ca="1" si="71"/>
        <v>0</v>
      </c>
      <c r="BV70" s="883">
        <f t="shared" ca="1" si="71"/>
        <v>0</v>
      </c>
      <c r="BW70" s="883">
        <f t="shared" ca="1" si="71"/>
        <v>0</v>
      </c>
      <c r="BX70" s="883">
        <f t="shared" ca="1" si="71"/>
        <v>0</v>
      </c>
      <c r="BY70" s="883">
        <f t="shared" ca="1" si="71"/>
        <v>0</v>
      </c>
      <c r="BZ70" s="883">
        <f t="shared" ca="1" si="71"/>
        <v>0</v>
      </c>
      <c r="CA70" s="883">
        <f t="shared" ca="1" si="71"/>
        <v>0</v>
      </c>
      <c r="CB70" s="883">
        <f t="shared" ca="1" si="71"/>
        <v>0</v>
      </c>
      <c r="CC70" s="883">
        <f t="shared" ca="1" si="71"/>
        <v>0</v>
      </c>
      <c r="CD70" s="883">
        <f t="shared" ca="1" si="71"/>
        <v>0</v>
      </c>
      <c r="CE70" s="883">
        <f t="shared" ca="1" si="71"/>
        <v>0</v>
      </c>
      <c r="CF70" s="883">
        <f t="shared" ca="1" si="71"/>
        <v>0</v>
      </c>
      <c r="CG70" s="883">
        <f t="shared" ca="1" si="71"/>
        <v>0</v>
      </c>
      <c r="CH70" s="883">
        <f t="shared" ca="1" si="71"/>
        <v>0</v>
      </c>
      <c r="CI70" s="883">
        <f t="shared" ca="1" si="71"/>
        <v>0</v>
      </c>
      <c r="CJ70" s="883">
        <f t="shared" ca="1" si="71"/>
        <v>0</v>
      </c>
      <c r="CK70" s="883">
        <f t="shared" ca="1" si="71"/>
        <v>0</v>
      </c>
      <c r="CL70" s="883">
        <f t="shared" ca="1" si="71"/>
        <v>0</v>
      </c>
      <c r="CM70" s="883">
        <f t="shared" ca="1" si="71"/>
        <v>0</v>
      </c>
      <c r="CN70" s="883">
        <f t="shared" ca="1" si="71"/>
        <v>0</v>
      </c>
      <c r="CO70" s="883">
        <f t="shared" ca="1" si="71"/>
        <v>0</v>
      </c>
      <c r="CP70" s="883">
        <f t="shared" ca="1" si="71"/>
        <v>0</v>
      </c>
      <c r="CQ70" s="883">
        <f t="shared" ref="CQ70:FA73" ca="1" si="73">IFERROR(IF(YEAR($W70)&lt;CQ$4,0,IF(YEAR($W70)=CQ$4,IF($P70="美國國庫債券",ROUND(DATEDIF($U70,$W70,"M")/(12/$Y70),0)+1,DATEDIF($U70,$W70,"M")/(12/$Y70)+1),INT(DATEDIF($U70,CQ$5,"M")/(12/$Y70))+1)),0)</f>
        <v>0</v>
      </c>
      <c r="CR70" s="883">
        <f t="shared" ca="1" si="73"/>
        <v>0</v>
      </c>
      <c r="CS70" s="883">
        <f t="shared" ca="1" si="73"/>
        <v>0</v>
      </c>
      <c r="CT70" s="883">
        <f t="shared" ca="1" si="73"/>
        <v>0</v>
      </c>
      <c r="CU70" s="883">
        <f t="shared" ca="1" si="73"/>
        <v>0</v>
      </c>
      <c r="CV70" s="883">
        <f t="shared" ca="1" si="73"/>
        <v>0</v>
      </c>
      <c r="CW70" s="883">
        <f t="shared" ca="1" si="73"/>
        <v>0</v>
      </c>
      <c r="CX70" s="883">
        <f t="shared" ca="1" si="73"/>
        <v>0</v>
      </c>
      <c r="CY70" s="883">
        <f t="shared" ca="1" si="73"/>
        <v>0</v>
      </c>
      <c r="CZ70" s="883">
        <f t="shared" ca="1" si="73"/>
        <v>0</v>
      </c>
      <c r="DA70" s="883">
        <f t="shared" ca="1" si="73"/>
        <v>0</v>
      </c>
      <c r="DB70" s="883">
        <f t="shared" ca="1" si="73"/>
        <v>0</v>
      </c>
      <c r="DC70" s="883">
        <f t="shared" ca="1" si="73"/>
        <v>0</v>
      </c>
      <c r="DD70" s="883">
        <f t="shared" ca="1" si="73"/>
        <v>0</v>
      </c>
      <c r="DE70" s="883">
        <f t="shared" ca="1" si="73"/>
        <v>0</v>
      </c>
      <c r="DF70" s="883">
        <f t="shared" ca="1" si="73"/>
        <v>0</v>
      </c>
      <c r="DG70" s="883">
        <f t="shared" ca="1" si="73"/>
        <v>0</v>
      </c>
      <c r="DH70" s="883">
        <f t="shared" ca="1" si="73"/>
        <v>0</v>
      </c>
      <c r="DI70" s="883">
        <f t="shared" ca="1" si="73"/>
        <v>0</v>
      </c>
      <c r="DJ70" s="883">
        <f t="shared" ca="1" si="73"/>
        <v>0</v>
      </c>
      <c r="DK70" s="883">
        <f t="shared" ca="1" si="73"/>
        <v>0</v>
      </c>
      <c r="DL70" s="883">
        <f t="shared" ca="1" si="73"/>
        <v>0</v>
      </c>
      <c r="DM70" s="883">
        <f t="shared" ca="1" si="73"/>
        <v>0</v>
      </c>
      <c r="DN70" s="883">
        <f t="shared" ca="1" si="73"/>
        <v>0</v>
      </c>
      <c r="DO70" s="883">
        <f t="shared" ca="1" si="73"/>
        <v>0</v>
      </c>
      <c r="DP70" s="883">
        <f t="shared" ca="1" si="73"/>
        <v>0</v>
      </c>
      <c r="DQ70" s="883">
        <f t="shared" ca="1" si="73"/>
        <v>0</v>
      </c>
      <c r="DR70" s="883">
        <f t="shared" ca="1" si="73"/>
        <v>0</v>
      </c>
      <c r="DS70" s="883">
        <f t="shared" ca="1" si="73"/>
        <v>0</v>
      </c>
      <c r="DT70" s="883">
        <f t="shared" ca="1" si="73"/>
        <v>0</v>
      </c>
      <c r="DU70" s="883">
        <f t="shared" ca="1" si="73"/>
        <v>0</v>
      </c>
      <c r="DV70" s="883">
        <f t="shared" ca="1" si="73"/>
        <v>0</v>
      </c>
      <c r="DW70" s="883">
        <f t="shared" ca="1" si="73"/>
        <v>0</v>
      </c>
      <c r="DX70" s="883">
        <f t="shared" ca="1" si="73"/>
        <v>0</v>
      </c>
      <c r="DY70" s="883">
        <f t="shared" ca="1" si="73"/>
        <v>0</v>
      </c>
      <c r="DZ70" s="883">
        <f t="shared" ca="1" si="73"/>
        <v>0</v>
      </c>
      <c r="EA70" s="883">
        <f t="shared" ca="1" si="73"/>
        <v>0</v>
      </c>
      <c r="EB70" s="883">
        <f t="shared" ca="1" si="73"/>
        <v>0</v>
      </c>
      <c r="EC70" s="883">
        <f t="shared" ca="1" si="73"/>
        <v>0</v>
      </c>
      <c r="ED70" s="883">
        <f t="shared" ca="1" si="73"/>
        <v>0</v>
      </c>
      <c r="EE70" s="883">
        <f t="shared" ca="1" si="73"/>
        <v>0</v>
      </c>
      <c r="EF70" s="883">
        <f t="shared" ca="1" si="73"/>
        <v>0</v>
      </c>
      <c r="EG70" s="883">
        <f t="shared" ca="1" si="73"/>
        <v>0</v>
      </c>
      <c r="EH70" s="883">
        <f t="shared" ca="1" si="73"/>
        <v>0</v>
      </c>
      <c r="EI70" s="883">
        <f t="shared" ca="1" si="73"/>
        <v>0</v>
      </c>
      <c r="EJ70" s="883">
        <f t="shared" ca="1" si="73"/>
        <v>0</v>
      </c>
      <c r="EK70" s="883">
        <f t="shared" ca="1" si="73"/>
        <v>0</v>
      </c>
      <c r="EL70" s="883">
        <f t="shared" ca="1" si="73"/>
        <v>0</v>
      </c>
      <c r="EM70" s="883">
        <f t="shared" ca="1" si="73"/>
        <v>0</v>
      </c>
      <c r="EN70" s="883">
        <f t="shared" ca="1" si="73"/>
        <v>0</v>
      </c>
      <c r="EO70" s="883">
        <f t="shared" ca="1" si="73"/>
        <v>0</v>
      </c>
      <c r="EP70" s="883">
        <f t="shared" ca="1" si="73"/>
        <v>0</v>
      </c>
      <c r="EQ70" s="883">
        <f t="shared" ca="1" si="73"/>
        <v>0</v>
      </c>
      <c r="ER70" s="883">
        <f t="shared" ca="1" si="73"/>
        <v>0</v>
      </c>
      <c r="ES70" s="883">
        <f t="shared" ca="1" si="73"/>
        <v>0</v>
      </c>
      <c r="ET70" s="883">
        <f t="shared" ca="1" si="73"/>
        <v>0</v>
      </c>
      <c r="EU70" s="883">
        <f t="shared" ca="1" si="73"/>
        <v>0</v>
      </c>
      <c r="EV70" s="883">
        <f t="shared" ca="1" si="73"/>
        <v>0</v>
      </c>
      <c r="EW70" s="883">
        <f t="shared" ca="1" si="73"/>
        <v>0</v>
      </c>
      <c r="EX70" s="883">
        <f t="shared" ca="1" si="73"/>
        <v>0</v>
      </c>
      <c r="EY70" s="883">
        <f t="shared" ca="1" si="73"/>
        <v>0</v>
      </c>
      <c r="EZ70" s="883">
        <f t="shared" ca="1" si="73"/>
        <v>0</v>
      </c>
      <c r="FA70" s="883">
        <f t="shared" ca="1" si="73"/>
        <v>0</v>
      </c>
    </row>
    <row r="71" spans="8:157">
      <c r="H71" s="891" t="str">
        <f t="shared" ca="1" si="58"/>
        <v/>
      </c>
      <c r="I71" s="1206" t="e">
        <f t="shared" ca="1" si="55"/>
        <v>#N/A</v>
      </c>
      <c r="J71" s="1206">
        <f t="shared" ca="1" si="56"/>
        <v>0</v>
      </c>
      <c r="K71" s="929" t="str">
        <f t="shared" si="57"/>
        <v/>
      </c>
      <c r="L71" s="929" t="str">
        <f t="shared" si="24"/>
        <v/>
      </c>
      <c r="N71" s="1714">
        <v>1</v>
      </c>
      <c r="P71" s="882" t="str">
        <f ca="1">VLOOKUP(Q71,bond!B:AA,26,FALSE)</f>
        <v>蘋果公司</v>
      </c>
      <c r="Q71" s="928" t="str">
        <f ca="1">Change投!S13</f>
        <v>XH430</v>
      </c>
      <c r="R71" s="889">
        <f ca="1">IFERROR(IF(Q71="",0,IF($D$4=1,Change投!AC13*Change投!AJ13,Change投!AC13)),0)</f>
        <v>100000</v>
      </c>
      <c r="S71" s="885">
        <f ca="1">Change投!W13</f>
        <v>56014</v>
      </c>
      <c r="T71" s="883">
        <f t="shared" ca="1" si="64"/>
        <v>2053</v>
      </c>
      <c r="U71" s="885">
        <f ca="1">Change投!Z13</f>
        <v>45606</v>
      </c>
      <c r="V71" s="886">
        <f t="shared" ca="1" si="65"/>
        <v>2024</v>
      </c>
      <c r="W71" s="885">
        <f t="shared" ca="1" si="66"/>
        <v>56014</v>
      </c>
      <c r="X71" s="886">
        <f t="shared" ca="1" si="67"/>
        <v>2053</v>
      </c>
      <c r="Y71" s="887">
        <f ca="1">Change投!Y13</f>
        <v>2</v>
      </c>
      <c r="Z71" s="886">
        <f ca="1">Change投!AC13</f>
        <v>100000</v>
      </c>
      <c r="AA71" s="1205">
        <f ca="1">Change投!X13</f>
        <v>4.8499999999999995E-2</v>
      </c>
      <c r="AB71" s="881">
        <f ca="1">Change投!AJ13</f>
        <v>32.481000000000002</v>
      </c>
      <c r="AC71" s="887">
        <f t="shared" ca="1" si="61"/>
        <v>2424.9999999999995</v>
      </c>
      <c r="AD71" s="883">
        <f t="shared" ca="1" si="68"/>
        <v>1</v>
      </c>
      <c r="AE71" s="883">
        <f t="shared" ca="1" si="69"/>
        <v>3</v>
      </c>
      <c r="AF71" s="883">
        <f t="shared" ref="AF71:CQ74" ca="1" si="74">IFERROR(IF(YEAR($W71)&lt;AF$4,0,IF(YEAR($W71)=AF$4,IF($P71="美國國庫債券",ROUND(DATEDIF($U71,$W71,"M")/(12/$Y71),0)+1,DATEDIF($U71,$W71,"M")/(12/$Y71)+1),INT(DATEDIF($U71,AF$5,"M")/(12/$Y71))+1)),0)</f>
        <v>5</v>
      </c>
      <c r="AG71" s="883">
        <f t="shared" ca="1" si="74"/>
        <v>7</v>
      </c>
      <c r="AH71" s="883">
        <f t="shared" ca="1" si="74"/>
        <v>9</v>
      </c>
      <c r="AI71" s="883">
        <f t="shared" ca="1" si="74"/>
        <v>11</v>
      </c>
      <c r="AJ71" s="883">
        <f t="shared" ca="1" si="74"/>
        <v>13</v>
      </c>
      <c r="AK71" s="883">
        <f t="shared" ca="1" si="74"/>
        <v>15</v>
      </c>
      <c r="AL71" s="883">
        <f t="shared" ca="1" si="74"/>
        <v>17</v>
      </c>
      <c r="AM71" s="883">
        <f t="shared" ca="1" si="74"/>
        <v>19</v>
      </c>
      <c r="AN71" s="883">
        <f t="shared" ca="1" si="74"/>
        <v>21</v>
      </c>
      <c r="AO71" s="883">
        <f t="shared" ca="1" si="74"/>
        <v>23</v>
      </c>
      <c r="AP71" s="883">
        <f t="shared" ca="1" si="74"/>
        <v>25</v>
      </c>
      <c r="AQ71" s="883">
        <f t="shared" ca="1" si="74"/>
        <v>27</v>
      </c>
      <c r="AR71" s="883">
        <f t="shared" ca="1" si="74"/>
        <v>29</v>
      </c>
      <c r="AS71" s="883">
        <f t="shared" ca="1" si="74"/>
        <v>31</v>
      </c>
      <c r="AT71" s="883">
        <f t="shared" ca="1" si="74"/>
        <v>33</v>
      </c>
      <c r="AU71" s="883">
        <f t="shared" ca="1" si="74"/>
        <v>35</v>
      </c>
      <c r="AV71" s="883">
        <f t="shared" ca="1" si="74"/>
        <v>37</v>
      </c>
      <c r="AW71" s="883">
        <f t="shared" ca="1" si="74"/>
        <v>39</v>
      </c>
      <c r="AX71" s="883">
        <f t="shared" ca="1" si="74"/>
        <v>41</v>
      </c>
      <c r="AY71" s="883">
        <f t="shared" ca="1" si="74"/>
        <v>43</v>
      </c>
      <c r="AZ71" s="883">
        <f t="shared" ca="1" si="74"/>
        <v>45</v>
      </c>
      <c r="BA71" s="883">
        <f t="shared" ca="1" si="74"/>
        <v>47</v>
      </c>
      <c r="BB71" s="883">
        <f t="shared" ca="1" si="74"/>
        <v>49</v>
      </c>
      <c r="BC71" s="883">
        <f t="shared" ca="1" si="74"/>
        <v>51</v>
      </c>
      <c r="BD71" s="883">
        <f t="shared" ca="1" si="74"/>
        <v>53</v>
      </c>
      <c r="BE71" s="883">
        <f t="shared" ca="1" si="74"/>
        <v>55</v>
      </c>
      <c r="BF71" s="883">
        <f t="shared" ca="1" si="74"/>
        <v>57</v>
      </c>
      <c r="BG71" s="883">
        <f t="shared" ca="1" si="74"/>
        <v>58</v>
      </c>
      <c r="BH71" s="883">
        <f t="shared" ca="1" si="74"/>
        <v>0</v>
      </c>
      <c r="BI71" s="883">
        <f t="shared" ca="1" si="74"/>
        <v>0</v>
      </c>
      <c r="BJ71" s="883">
        <f t="shared" ca="1" si="74"/>
        <v>0</v>
      </c>
      <c r="BK71" s="883">
        <f t="shared" ca="1" si="74"/>
        <v>0</v>
      </c>
      <c r="BL71" s="883">
        <f t="shared" ca="1" si="74"/>
        <v>0</v>
      </c>
      <c r="BM71" s="883">
        <f t="shared" ca="1" si="74"/>
        <v>0</v>
      </c>
      <c r="BN71" s="883">
        <f t="shared" ca="1" si="74"/>
        <v>0</v>
      </c>
      <c r="BO71" s="883">
        <f t="shared" ca="1" si="74"/>
        <v>0</v>
      </c>
      <c r="BP71" s="883">
        <f t="shared" ca="1" si="74"/>
        <v>0</v>
      </c>
      <c r="BQ71" s="883">
        <f t="shared" ca="1" si="74"/>
        <v>0</v>
      </c>
      <c r="BR71" s="883">
        <f t="shared" ca="1" si="74"/>
        <v>0</v>
      </c>
      <c r="BS71" s="883">
        <f t="shared" ca="1" si="74"/>
        <v>0</v>
      </c>
      <c r="BT71" s="883">
        <f t="shared" ca="1" si="74"/>
        <v>0</v>
      </c>
      <c r="BU71" s="883">
        <f t="shared" ca="1" si="74"/>
        <v>0</v>
      </c>
      <c r="BV71" s="883">
        <f t="shared" ca="1" si="74"/>
        <v>0</v>
      </c>
      <c r="BW71" s="883">
        <f t="shared" ca="1" si="74"/>
        <v>0</v>
      </c>
      <c r="BX71" s="883">
        <f t="shared" ca="1" si="74"/>
        <v>0</v>
      </c>
      <c r="BY71" s="883">
        <f t="shared" ca="1" si="74"/>
        <v>0</v>
      </c>
      <c r="BZ71" s="883">
        <f t="shared" ca="1" si="74"/>
        <v>0</v>
      </c>
      <c r="CA71" s="883">
        <f t="shared" ca="1" si="74"/>
        <v>0</v>
      </c>
      <c r="CB71" s="883">
        <f t="shared" ca="1" si="74"/>
        <v>0</v>
      </c>
      <c r="CC71" s="883">
        <f t="shared" ca="1" si="74"/>
        <v>0</v>
      </c>
      <c r="CD71" s="883">
        <f t="shared" ca="1" si="74"/>
        <v>0</v>
      </c>
      <c r="CE71" s="883">
        <f t="shared" ca="1" si="74"/>
        <v>0</v>
      </c>
      <c r="CF71" s="883">
        <f t="shared" ca="1" si="74"/>
        <v>0</v>
      </c>
      <c r="CG71" s="883">
        <f t="shared" ca="1" si="74"/>
        <v>0</v>
      </c>
      <c r="CH71" s="883">
        <f t="shared" ca="1" si="74"/>
        <v>0</v>
      </c>
      <c r="CI71" s="883">
        <f t="shared" ca="1" si="74"/>
        <v>0</v>
      </c>
      <c r="CJ71" s="883">
        <f t="shared" ca="1" si="74"/>
        <v>0</v>
      </c>
      <c r="CK71" s="883">
        <f t="shared" ca="1" si="74"/>
        <v>0</v>
      </c>
      <c r="CL71" s="883">
        <f t="shared" ca="1" si="74"/>
        <v>0</v>
      </c>
      <c r="CM71" s="883">
        <f t="shared" ca="1" si="74"/>
        <v>0</v>
      </c>
      <c r="CN71" s="883">
        <f t="shared" ca="1" si="74"/>
        <v>0</v>
      </c>
      <c r="CO71" s="883">
        <f t="shared" ca="1" si="74"/>
        <v>0</v>
      </c>
      <c r="CP71" s="883">
        <f t="shared" ca="1" si="74"/>
        <v>0</v>
      </c>
      <c r="CQ71" s="883">
        <f t="shared" ca="1" si="74"/>
        <v>0</v>
      </c>
      <c r="CR71" s="883">
        <f t="shared" ca="1" si="73"/>
        <v>0</v>
      </c>
      <c r="CS71" s="883">
        <f t="shared" ca="1" si="73"/>
        <v>0</v>
      </c>
      <c r="CT71" s="883">
        <f t="shared" ca="1" si="73"/>
        <v>0</v>
      </c>
      <c r="CU71" s="883">
        <f t="shared" ca="1" si="73"/>
        <v>0</v>
      </c>
      <c r="CV71" s="883">
        <f t="shared" ca="1" si="73"/>
        <v>0</v>
      </c>
      <c r="CW71" s="883">
        <f t="shared" ca="1" si="73"/>
        <v>0</v>
      </c>
      <c r="CX71" s="883">
        <f t="shared" ca="1" si="73"/>
        <v>0</v>
      </c>
      <c r="CY71" s="883">
        <f t="shared" ca="1" si="73"/>
        <v>0</v>
      </c>
      <c r="CZ71" s="883">
        <f t="shared" ca="1" si="73"/>
        <v>0</v>
      </c>
      <c r="DA71" s="883">
        <f t="shared" ca="1" si="73"/>
        <v>0</v>
      </c>
      <c r="DB71" s="883">
        <f t="shared" ca="1" si="73"/>
        <v>0</v>
      </c>
      <c r="DC71" s="883">
        <f t="shared" ca="1" si="73"/>
        <v>0</v>
      </c>
      <c r="DD71" s="883">
        <f t="shared" ca="1" si="73"/>
        <v>0</v>
      </c>
      <c r="DE71" s="883">
        <f t="shared" ca="1" si="73"/>
        <v>0</v>
      </c>
      <c r="DF71" s="883">
        <f t="shared" ca="1" si="73"/>
        <v>0</v>
      </c>
      <c r="DG71" s="883">
        <f t="shared" ca="1" si="73"/>
        <v>0</v>
      </c>
      <c r="DH71" s="883">
        <f t="shared" ca="1" si="73"/>
        <v>0</v>
      </c>
      <c r="DI71" s="883">
        <f t="shared" ca="1" si="73"/>
        <v>0</v>
      </c>
      <c r="DJ71" s="883">
        <f t="shared" ca="1" si="73"/>
        <v>0</v>
      </c>
      <c r="DK71" s="883">
        <f t="shared" ca="1" si="73"/>
        <v>0</v>
      </c>
      <c r="DL71" s="883">
        <f t="shared" ca="1" si="73"/>
        <v>0</v>
      </c>
      <c r="DM71" s="883">
        <f t="shared" ca="1" si="73"/>
        <v>0</v>
      </c>
      <c r="DN71" s="883">
        <f t="shared" ca="1" si="73"/>
        <v>0</v>
      </c>
      <c r="DO71" s="883">
        <f t="shared" ca="1" si="73"/>
        <v>0</v>
      </c>
      <c r="DP71" s="883">
        <f t="shared" ca="1" si="73"/>
        <v>0</v>
      </c>
      <c r="DQ71" s="883">
        <f t="shared" ca="1" si="73"/>
        <v>0</v>
      </c>
      <c r="DR71" s="883">
        <f t="shared" ca="1" si="73"/>
        <v>0</v>
      </c>
      <c r="DS71" s="883">
        <f t="shared" ca="1" si="73"/>
        <v>0</v>
      </c>
      <c r="DT71" s="883">
        <f t="shared" ca="1" si="73"/>
        <v>0</v>
      </c>
      <c r="DU71" s="883">
        <f t="shared" ca="1" si="73"/>
        <v>0</v>
      </c>
      <c r="DV71" s="883">
        <f t="shared" ca="1" si="73"/>
        <v>0</v>
      </c>
      <c r="DW71" s="883">
        <f t="shared" ca="1" si="73"/>
        <v>0</v>
      </c>
      <c r="DX71" s="883">
        <f t="shared" ca="1" si="73"/>
        <v>0</v>
      </c>
      <c r="DY71" s="883">
        <f t="shared" ca="1" si="73"/>
        <v>0</v>
      </c>
      <c r="DZ71" s="883">
        <f t="shared" ca="1" si="73"/>
        <v>0</v>
      </c>
      <c r="EA71" s="883">
        <f t="shared" ca="1" si="73"/>
        <v>0</v>
      </c>
      <c r="EB71" s="883">
        <f t="shared" ca="1" si="73"/>
        <v>0</v>
      </c>
      <c r="EC71" s="883">
        <f t="shared" ca="1" si="73"/>
        <v>0</v>
      </c>
      <c r="ED71" s="883">
        <f t="shared" ca="1" si="73"/>
        <v>0</v>
      </c>
      <c r="EE71" s="883">
        <f t="shared" ca="1" si="73"/>
        <v>0</v>
      </c>
      <c r="EF71" s="883">
        <f t="shared" ca="1" si="73"/>
        <v>0</v>
      </c>
      <c r="EG71" s="883">
        <f t="shared" ca="1" si="73"/>
        <v>0</v>
      </c>
      <c r="EH71" s="883">
        <f t="shared" ca="1" si="73"/>
        <v>0</v>
      </c>
      <c r="EI71" s="883">
        <f t="shared" ca="1" si="73"/>
        <v>0</v>
      </c>
      <c r="EJ71" s="883">
        <f t="shared" ca="1" si="73"/>
        <v>0</v>
      </c>
      <c r="EK71" s="883">
        <f t="shared" ca="1" si="73"/>
        <v>0</v>
      </c>
      <c r="EL71" s="883">
        <f t="shared" ca="1" si="73"/>
        <v>0</v>
      </c>
      <c r="EM71" s="883">
        <f t="shared" ca="1" si="73"/>
        <v>0</v>
      </c>
      <c r="EN71" s="883">
        <f t="shared" ca="1" si="73"/>
        <v>0</v>
      </c>
      <c r="EO71" s="883">
        <f t="shared" ca="1" si="73"/>
        <v>0</v>
      </c>
      <c r="EP71" s="883">
        <f t="shared" ca="1" si="73"/>
        <v>0</v>
      </c>
      <c r="EQ71" s="883">
        <f t="shared" ca="1" si="73"/>
        <v>0</v>
      </c>
      <c r="ER71" s="883">
        <f t="shared" ca="1" si="73"/>
        <v>0</v>
      </c>
      <c r="ES71" s="883">
        <f t="shared" ca="1" si="73"/>
        <v>0</v>
      </c>
      <c r="ET71" s="883">
        <f t="shared" ca="1" si="73"/>
        <v>0</v>
      </c>
      <c r="EU71" s="883">
        <f t="shared" ca="1" si="73"/>
        <v>0</v>
      </c>
      <c r="EV71" s="883">
        <f t="shared" ca="1" si="73"/>
        <v>0</v>
      </c>
      <c r="EW71" s="883">
        <f t="shared" ca="1" si="73"/>
        <v>0</v>
      </c>
      <c r="EX71" s="883">
        <f t="shared" ca="1" si="73"/>
        <v>0</v>
      </c>
      <c r="EY71" s="883">
        <f t="shared" ca="1" si="73"/>
        <v>0</v>
      </c>
      <c r="EZ71" s="883">
        <f t="shared" ca="1" si="73"/>
        <v>0</v>
      </c>
      <c r="FA71" s="883">
        <f t="shared" ca="1" si="73"/>
        <v>0</v>
      </c>
    </row>
    <row r="72" spans="8:157">
      <c r="H72" s="891" t="str">
        <f t="shared" ca="1" si="58"/>
        <v/>
      </c>
      <c r="I72" s="1206" t="e">
        <f t="shared" ca="1" si="55"/>
        <v>#N/A</v>
      </c>
      <c r="J72" s="1206">
        <f t="shared" ca="1" si="56"/>
        <v>0</v>
      </c>
      <c r="K72" s="929" t="str">
        <f t="shared" si="57"/>
        <v/>
      </c>
      <c r="L72" s="929" t="str">
        <f t="shared" si="24"/>
        <v/>
      </c>
      <c r="N72" s="1714">
        <v>2</v>
      </c>
      <c r="P72" s="882" t="str">
        <f ca="1">VLOOKUP(Q72,bond!B:AA,26,FALSE)</f>
        <v>Alphabet公司</v>
      </c>
      <c r="Q72" s="928" t="str">
        <f ca="1">Change投!S14</f>
        <v>XG300</v>
      </c>
      <c r="R72" s="889">
        <f ca="1">IFERROR(IF(Q72="",0,IF($D$4=1,Change投!AC14*Change投!AJ14,Change投!AC14)),0)</f>
        <v>100000</v>
      </c>
      <c r="S72" s="885">
        <f ca="1">Change投!W14</f>
        <v>58668</v>
      </c>
      <c r="T72" s="883">
        <f t="shared" ca="1" si="64"/>
        <v>2060</v>
      </c>
      <c r="U72" s="885">
        <f ca="1">Change投!Z14</f>
        <v>45519</v>
      </c>
      <c r="V72" s="886">
        <f t="shared" ca="1" si="65"/>
        <v>2024</v>
      </c>
      <c r="W72" s="885">
        <f t="shared" ca="1" si="66"/>
        <v>58668</v>
      </c>
      <c r="X72" s="886">
        <f t="shared" ca="1" si="67"/>
        <v>2060</v>
      </c>
      <c r="Y72" s="887">
        <f ca="1">Change投!Y14</f>
        <v>2</v>
      </c>
      <c r="Z72" s="886">
        <f ca="1">Change投!AC14</f>
        <v>100000</v>
      </c>
      <c r="AA72" s="1205">
        <f ca="1">Change投!X14</f>
        <v>2.2499999999999999E-2</v>
      </c>
      <c r="AB72" s="881">
        <f ca="1">Change投!AJ14</f>
        <v>32.481000000000002</v>
      </c>
      <c r="AC72" s="887">
        <f t="shared" ca="1" si="61"/>
        <v>1125</v>
      </c>
      <c r="AD72" s="883">
        <f t="shared" ca="1" si="68"/>
        <v>1</v>
      </c>
      <c r="AE72" s="883">
        <f t="shared" ca="1" si="69"/>
        <v>3</v>
      </c>
      <c r="AF72" s="883">
        <f t="shared" ca="1" si="74"/>
        <v>5</v>
      </c>
      <c r="AG72" s="883">
        <f t="shared" ca="1" si="74"/>
        <v>7</v>
      </c>
      <c r="AH72" s="883">
        <f t="shared" ca="1" si="74"/>
        <v>9</v>
      </c>
      <c r="AI72" s="883">
        <f t="shared" ca="1" si="74"/>
        <v>11</v>
      </c>
      <c r="AJ72" s="883">
        <f t="shared" ca="1" si="74"/>
        <v>13</v>
      </c>
      <c r="AK72" s="883">
        <f t="shared" ca="1" si="74"/>
        <v>15</v>
      </c>
      <c r="AL72" s="883">
        <f t="shared" ca="1" si="74"/>
        <v>17</v>
      </c>
      <c r="AM72" s="883">
        <f t="shared" ca="1" si="74"/>
        <v>19</v>
      </c>
      <c r="AN72" s="883">
        <f t="shared" ca="1" si="74"/>
        <v>21</v>
      </c>
      <c r="AO72" s="883">
        <f t="shared" ca="1" si="74"/>
        <v>23</v>
      </c>
      <c r="AP72" s="883">
        <f t="shared" ca="1" si="74"/>
        <v>25</v>
      </c>
      <c r="AQ72" s="883">
        <f t="shared" ca="1" si="74"/>
        <v>27</v>
      </c>
      <c r="AR72" s="883">
        <f t="shared" ca="1" si="74"/>
        <v>29</v>
      </c>
      <c r="AS72" s="883">
        <f t="shared" ca="1" si="74"/>
        <v>31</v>
      </c>
      <c r="AT72" s="883">
        <f t="shared" ca="1" si="74"/>
        <v>33</v>
      </c>
      <c r="AU72" s="883">
        <f t="shared" ca="1" si="74"/>
        <v>35</v>
      </c>
      <c r="AV72" s="883">
        <f t="shared" ca="1" si="74"/>
        <v>37</v>
      </c>
      <c r="AW72" s="883">
        <f t="shared" ca="1" si="74"/>
        <v>39</v>
      </c>
      <c r="AX72" s="883">
        <f t="shared" ca="1" si="74"/>
        <v>41</v>
      </c>
      <c r="AY72" s="883">
        <f t="shared" ca="1" si="74"/>
        <v>43</v>
      </c>
      <c r="AZ72" s="883">
        <f t="shared" ca="1" si="74"/>
        <v>45</v>
      </c>
      <c r="BA72" s="883">
        <f t="shared" ca="1" si="74"/>
        <v>47</v>
      </c>
      <c r="BB72" s="883">
        <f t="shared" ca="1" si="74"/>
        <v>49</v>
      </c>
      <c r="BC72" s="883">
        <f t="shared" ca="1" si="74"/>
        <v>51</v>
      </c>
      <c r="BD72" s="883">
        <f t="shared" ca="1" si="74"/>
        <v>53</v>
      </c>
      <c r="BE72" s="883">
        <f t="shared" ca="1" si="74"/>
        <v>55</v>
      </c>
      <c r="BF72" s="883">
        <f t="shared" ca="1" si="74"/>
        <v>57</v>
      </c>
      <c r="BG72" s="883">
        <f t="shared" ca="1" si="74"/>
        <v>59</v>
      </c>
      <c r="BH72" s="883">
        <f t="shared" ca="1" si="74"/>
        <v>61</v>
      </c>
      <c r="BI72" s="883">
        <f t="shared" ca="1" si="74"/>
        <v>63</v>
      </c>
      <c r="BJ72" s="883">
        <f t="shared" ca="1" si="74"/>
        <v>65</v>
      </c>
      <c r="BK72" s="883">
        <f t="shared" ca="1" si="74"/>
        <v>67</v>
      </c>
      <c r="BL72" s="883">
        <f t="shared" ca="1" si="74"/>
        <v>69</v>
      </c>
      <c r="BM72" s="883">
        <f t="shared" ca="1" si="74"/>
        <v>71</v>
      </c>
      <c r="BN72" s="883">
        <f t="shared" ca="1" si="74"/>
        <v>73</v>
      </c>
      <c r="BO72" s="883">
        <f t="shared" ca="1" si="74"/>
        <v>0</v>
      </c>
      <c r="BP72" s="883">
        <f t="shared" ca="1" si="74"/>
        <v>0</v>
      </c>
      <c r="BQ72" s="883">
        <f t="shared" ca="1" si="74"/>
        <v>0</v>
      </c>
      <c r="BR72" s="883">
        <f t="shared" ca="1" si="74"/>
        <v>0</v>
      </c>
      <c r="BS72" s="883">
        <f t="shared" ca="1" si="74"/>
        <v>0</v>
      </c>
      <c r="BT72" s="883">
        <f t="shared" ca="1" si="74"/>
        <v>0</v>
      </c>
      <c r="BU72" s="883">
        <f t="shared" ca="1" si="74"/>
        <v>0</v>
      </c>
      <c r="BV72" s="883">
        <f t="shared" ca="1" si="74"/>
        <v>0</v>
      </c>
      <c r="BW72" s="883">
        <f t="shared" ca="1" si="74"/>
        <v>0</v>
      </c>
      <c r="BX72" s="883">
        <f t="shared" ca="1" si="74"/>
        <v>0</v>
      </c>
      <c r="BY72" s="883">
        <f t="shared" ca="1" si="74"/>
        <v>0</v>
      </c>
      <c r="BZ72" s="883">
        <f t="shared" ca="1" si="74"/>
        <v>0</v>
      </c>
      <c r="CA72" s="883">
        <f t="shared" ca="1" si="74"/>
        <v>0</v>
      </c>
      <c r="CB72" s="883">
        <f t="shared" ca="1" si="74"/>
        <v>0</v>
      </c>
      <c r="CC72" s="883">
        <f t="shared" ca="1" si="74"/>
        <v>0</v>
      </c>
      <c r="CD72" s="883">
        <f t="shared" ca="1" si="74"/>
        <v>0</v>
      </c>
      <c r="CE72" s="883">
        <f t="shared" ca="1" si="74"/>
        <v>0</v>
      </c>
      <c r="CF72" s="883">
        <f t="shared" ca="1" si="74"/>
        <v>0</v>
      </c>
      <c r="CG72" s="883">
        <f t="shared" ca="1" si="74"/>
        <v>0</v>
      </c>
      <c r="CH72" s="883">
        <f t="shared" ca="1" si="74"/>
        <v>0</v>
      </c>
      <c r="CI72" s="883">
        <f t="shared" ca="1" si="74"/>
        <v>0</v>
      </c>
      <c r="CJ72" s="883">
        <f t="shared" ca="1" si="74"/>
        <v>0</v>
      </c>
      <c r="CK72" s="883">
        <f t="shared" ca="1" si="74"/>
        <v>0</v>
      </c>
      <c r="CL72" s="883">
        <f t="shared" ca="1" si="74"/>
        <v>0</v>
      </c>
      <c r="CM72" s="883">
        <f t="shared" ca="1" si="74"/>
        <v>0</v>
      </c>
      <c r="CN72" s="883">
        <f t="shared" ca="1" si="74"/>
        <v>0</v>
      </c>
      <c r="CO72" s="883">
        <f t="shared" ca="1" si="74"/>
        <v>0</v>
      </c>
      <c r="CP72" s="883">
        <f t="shared" ca="1" si="74"/>
        <v>0</v>
      </c>
      <c r="CQ72" s="883">
        <f t="shared" ca="1" si="74"/>
        <v>0</v>
      </c>
      <c r="CR72" s="883">
        <f t="shared" ca="1" si="73"/>
        <v>0</v>
      </c>
      <c r="CS72" s="883">
        <f t="shared" ca="1" si="73"/>
        <v>0</v>
      </c>
      <c r="CT72" s="883">
        <f t="shared" ca="1" si="73"/>
        <v>0</v>
      </c>
      <c r="CU72" s="883">
        <f t="shared" ca="1" si="73"/>
        <v>0</v>
      </c>
      <c r="CV72" s="883">
        <f t="shared" ca="1" si="73"/>
        <v>0</v>
      </c>
      <c r="CW72" s="883">
        <f t="shared" ca="1" si="73"/>
        <v>0</v>
      </c>
      <c r="CX72" s="883">
        <f t="shared" ca="1" si="73"/>
        <v>0</v>
      </c>
      <c r="CY72" s="883">
        <f t="shared" ca="1" si="73"/>
        <v>0</v>
      </c>
      <c r="CZ72" s="883">
        <f t="shared" ca="1" si="73"/>
        <v>0</v>
      </c>
      <c r="DA72" s="883">
        <f t="shared" ca="1" si="73"/>
        <v>0</v>
      </c>
      <c r="DB72" s="883">
        <f t="shared" ca="1" si="73"/>
        <v>0</v>
      </c>
      <c r="DC72" s="883">
        <f t="shared" ca="1" si="73"/>
        <v>0</v>
      </c>
      <c r="DD72" s="883">
        <f t="shared" ca="1" si="73"/>
        <v>0</v>
      </c>
      <c r="DE72" s="883">
        <f t="shared" ca="1" si="73"/>
        <v>0</v>
      </c>
      <c r="DF72" s="883">
        <f t="shared" ca="1" si="73"/>
        <v>0</v>
      </c>
      <c r="DG72" s="883">
        <f t="shared" ca="1" si="73"/>
        <v>0</v>
      </c>
      <c r="DH72" s="883">
        <f t="shared" ca="1" si="73"/>
        <v>0</v>
      </c>
      <c r="DI72" s="883">
        <f t="shared" ca="1" si="73"/>
        <v>0</v>
      </c>
      <c r="DJ72" s="883">
        <f t="shared" ca="1" si="73"/>
        <v>0</v>
      </c>
      <c r="DK72" s="883">
        <f t="shared" ca="1" si="73"/>
        <v>0</v>
      </c>
      <c r="DL72" s="883">
        <f t="shared" ca="1" si="73"/>
        <v>0</v>
      </c>
      <c r="DM72" s="883">
        <f t="shared" ca="1" si="73"/>
        <v>0</v>
      </c>
      <c r="DN72" s="883">
        <f t="shared" ca="1" si="73"/>
        <v>0</v>
      </c>
      <c r="DO72" s="883">
        <f t="shared" ca="1" si="73"/>
        <v>0</v>
      </c>
      <c r="DP72" s="883">
        <f t="shared" ca="1" si="73"/>
        <v>0</v>
      </c>
      <c r="DQ72" s="883">
        <f t="shared" ca="1" si="73"/>
        <v>0</v>
      </c>
      <c r="DR72" s="883">
        <f t="shared" ca="1" si="73"/>
        <v>0</v>
      </c>
      <c r="DS72" s="883">
        <f t="shared" ca="1" si="73"/>
        <v>0</v>
      </c>
      <c r="DT72" s="883">
        <f t="shared" ca="1" si="73"/>
        <v>0</v>
      </c>
      <c r="DU72" s="883">
        <f t="shared" ca="1" si="73"/>
        <v>0</v>
      </c>
      <c r="DV72" s="883">
        <f t="shared" ca="1" si="73"/>
        <v>0</v>
      </c>
      <c r="DW72" s="883">
        <f t="shared" ca="1" si="73"/>
        <v>0</v>
      </c>
      <c r="DX72" s="883">
        <f t="shared" ca="1" si="73"/>
        <v>0</v>
      </c>
      <c r="DY72" s="883">
        <f t="shared" ca="1" si="73"/>
        <v>0</v>
      </c>
      <c r="DZ72" s="883">
        <f t="shared" ca="1" si="73"/>
        <v>0</v>
      </c>
      <c r="EA72" s="883">
        <f t="shared" ca="1" si="73"/>
        <v>0</v>
      </c>
      <c r="EB72" s="883">
        <f t="shared" ca="1" si="73"/>
        <v>0</v>
      </c>
      <c r="EC72" s="883">
        <f t="shared" ca="1" si="73"/>
        <v>0</v>
      </c>
      <c r="ED72" s="883">
        <f t="shared" ca="1" si="73"/>
        <v>0</v>
      </c>
      <c r="EE72" s="883">
        <f t="shared" ca="1" si="73"/>
        <v>0</v>
      </c>
      <c r="EF72" s="883">
        <f t="shared" ca="1" si="73"/>
        <v>0</v>
      </c>
      <c r="EG72" s="883">
        <f t="shared" ca="1" si="73"/>
        <v>0</v>
      </c>
      <c r="EH72" s="883">
        <f t="shared" ca="1" si="73"/>
        <v>0</v>
      </c>
      <c r="EI72" s="883">
        <f t="shared" ca="1" si="73"/>
        <v>0</v>
      </c>
      <c r="EJ72" s="883">
        <f t="shared" ca="1" si="73"/>
        <v>0</v>
      </c>
      <c r="EK72" s="883">
        <f t="shared" ca="1" si="73"/>
        <v>0</v>
      </c>
      <c r="EL72" s="883">
        <f t="shared" ca="1" si="73"/>
        <v>0</v>
      </c>
      <c r="EM72" s="883">
        <f t="shared" ca="1" si="73"/>
        <v>0</v>
      </c>
      <c r="EN72" s="883">
        <f t="shared" ca="1" si="73"/>
        <v>0</v>
      </c>
      <c r="EO72" s="883">
        <f t="shared" ca="1" si="73"/>
        <v>0</v>
      </c>
      <c r="EP72" s="883">
        <f t="shared" ca="1" si="73"/>
        <v>0</v>
      </c>
      <c r="EQ72" s="883">
        <f t="shared" ca="1" si="73"/>
        <v>0</v>
      </c>
      <c r="ER72" s="883">
        <f t="shared" ca="1" si="73"/>
        <v>0</v>
      </c>
      <c r="ES72" s="883">
        <f t="shared" ca="1" si="73"/>
        <v>0</v>
      </c>
      <c r="ET72" s="883">
        <f t="shared" ca="1" si="73"/>
        <v>0</v>
      </c>
      <c r="EU72" s="883">
        <f t="shared" ca="1" si="73"/>
        <v>0</v>
      </c>
      <c r="EV72" s="883">
        <f t="shared" ca="1" si="73"/>
        <v>0</v>
      </c>
      <c r="EW72" s="883">
        <f t="shared" ca="1" si="73"/>
        <v>0</v>
      </c>
      <c r="EX72" s="883">
        <f t="shared" ca="1" si="73"/>
        <v>0</v>
      </c>
      <c r="EY72" s="883">
        <f t="shared" ca="1" si="73"/>
        <v>0</v>
      </c>
      <c r="EZ72" s="883">
        <f t="shared" ca="1" si="73"/>
        <v>0</v>
      </c>
      <c r="FA72" s="883">
        <f t="shared" ca="1" si="73"/>
        <v>0</v>
      </c>
    </row>
    <row r="73" spans="8:157">
      <c r="H73" s="891" t="str">
        <f t="shared" ca="1" si="58"/>
        <v/>
      </c>
      <c r="I73" s="1206" t="e">
        <f t="shared" ca="1" si="55"/>
        <v>#N/A</v>
      </c>
      <c r="J73" s="1206">
        <f t="shared" ca="1" si="56"/>
        <v>0</v>
      </c>
      <c r="K73" s="929" t="str">
        <f t="shared" si="57"/>
        <v/>
      </c>
      <c r="L73" s="929" t="str">
        <f t="shared" si="24"/>
        <v/>
      </c>
      <c r="N73" s="1714">
        <v>3</v>
      </c>
      <c r="P73" s="882" t="str">
        <f ca="1">VLOOKUP(Q73,bond!B:AA,26,FALSE)</f>
        <v>禮來公司</v>
      </c>
      <c r="Q73" s="928" t="str">
        <f ca="1">Change投!S15</f>
        <v>XH750</v>
      </c>
      <c r="R73" s="889">
        <f ca="1">IFERROR(IF(Q73="",0,IF($D$4=1,Change投!AC15*Change投!AJ15,Change投!AC15)),0)</f>
        <v>100000</v>
      </c>
      <c r="S73" s="885">
        <f ca="1">Change投!W15</f>
        <v>55942</v>
      </c>
      <c r="T73" s="883">
        <f t="shared" ca="1" si="64"/>
        <v>2053</v>
      </c>
      <c r="U73" s="885">
        <f ca="1">Change投!Z15</f>
        <v>45531</v>
      </c>
      <c r="V73" s="886">
        <f t="shared" ca="1" si="65"/>
        <v>2024</v>
      </c>
      <c r="W73" s="885">
        <f t="shared" ca="1" si="66"/>
        <v>55942</v>
      </c>
      <c r="X73" s="886">
        <f t="shared" ca="1" si="67"/>
        <v>2053</v>
      </c>
      <c r="Y73" s="887">
        <f ca="1">Change投!Y15</f>
        <v>2</v>
      </c>
      <c r="Z73" s="886">
        <f ca="1">Change投!AC15</f>
        <v>100000</v>
      </c>
      <c r="AA73" s="1205">
        <f ca="1">Change投!X15</f>
        <v>4.8750000000000002E-2</v>
      </c>
      <c r="AB73" s="881">
        <f ca="1">Change投!AJ15</f>
        <v>32.481000000000002</v>
      </c>
      <c r="AC73" s="887">
        <f t="shared" ca="1" si="61"/>
        <v>2437.5</v>
      </c>
      <c r="AD73" s="883">
        <f t="shared" ca="1" si="68"/>
        <v>1</v>
      </c>
      <c r="AE73" s="883">
        <f t="shared" ca="1" si="69"/>
        <v>3</v>
      </c>
      <c r="AF73" s="883">
        <f t="shared" ca="1" si="74"/>
        <v>5</v>
      </c>
      <c r="AG73" s="883">
        <f t="shared" ca="1" si="74"/>
        <v>7</v>
      </c>
      <c r="AH73" s="883">
        <f t="shared" ca="1" si="74"/>
        <v>9</v>
      </c>
      <c r="AI73" s="883">
        <f t="shared" ca="1" si="74"/>
        <v>11</v>
      </c>
      <c r="AJ73" s="883">
        <f t="shared" ca="1" si="74"/>
        <v>13</v>
      </c>
      <c r="AK73" s="883">
        <f t="shared" ca="1" si="74"/>
        <v>15</v>
      </c>
      <c r="AL73" s="883">
        <f t="shared" ca="1" si="74"/>
        <v>17</v>
      </c>
      <c r="AM73" s="883">
        <f t="shared" ca="1" si="74"/>
        <v>19</v>
      </c>
      <c r="AN73" s="883">
        <f t="shared" ca="1" si="74"/>
        <v>21</v>
      </c>
      <c r="AO73" s="883">
        <f t="shared" ca="1" si="74"/>
        <v>23</v>
      </c>
      <c r="AP73" s="883">
        <f t="shared" ca="1" si="74"/>
        <v>25</v>
      </c>
      <c r="AQ73" s="883">
        <f t="shared" ca="1" si="74"/>
        <v>27</v>
      </c>
      <c r="AR73" s="883">
        <f t="shared" ca="1" si="74"/>
        <v>29</v>
      </c>
      <c r="AS73" s="883">
        <f t="shared" ca="1" si="74"/>
        <v>31</v>
      </c>
      <c r="AT73" s="883">
        <f t="shared" ca="1" si="74"/>
        <v>33</v>
      </c>
      <c r="AU73" s="883">
        <f t="shared" ca="1" si="74"/>
        <v>35</v>
      </c>
      <c r="AV73" s="883">
        <f t="shared" ca="1" si="74"/>
        <v>37</v>
      </c>
      <c r="AW73" s="883">
        <f t="shared" ca="1" si="74"/>
        <v>39</v>
      </c>
      <c r="AX73" s="883">
        <f t="shared" ca="1" si="74"/>
        <v>41</v>
      </c>
      <c r="AY73" s="883">
        <f t="shared" ca="1" si="74"/>
        <v>43</v>
      </c>
      <c r="AZ73" s="883">
        <f t="shared" ca="1" si="74"/>
        <v>45</v>
      </c>
      <c r="BA73" s="883">
        <f t="shared" ca="1" si="74"/>
        <v>47</v>
      </c>
      <c r="BB73" s="883">
        <f t="shared" ca="1" si="74"/>
        <v>49</v>
      </c>
      <c r="BC73" s="883">
        <f t="shared" ca="1" si="74"/>
        <v>51</v>
      </c>
      <c r="BD73" s="883">
        <f t="shared" ca="1" si="74"/>
        <v>53</v>
      </c>
      <c r="BE73" s="883">
        <f t="shared" ca="1" si="74"/>
        <v>55</v>
      </c>
      <c r="BF73" s="883">
        <f t="shared" ca="1" si="74"/>
        <v>57</v>
      </c>
      <c r="BG73" s="883">
        <f t="shared" ca="1" si="74"/>
        <v>58</v>
      </c>
      <c r="BH73" s="883">
        <f t="shared" ca="1" si="74"/>
        <v>0</v>
      </c>
      <c r="BI73" s="883">
        <f t="shared" ca="1" si="74"/>
        <v>0</v>
      </c>
      <c r="BJ73" s="883">
        <f t="shared" ca="1" si="74"/>
        <v>0</v>
      </c>
      <c r="BK73" s="883">
        <f t="shared" ca="1" si="74"/>
        <v>0</v>
      </c>
      <c r="BL73" s="883">
        <f t="shared" ca="1" si="74"/>
        <v>0</v>
      </c>
      <c r="BM73" s="883">
        <f t="shared" ca="1" si="74"/>
        <v>0</v>
      </c>
      <c r="BN73" s="883">
        <f t="shared" ca="1" si="74"/>
        <v>0</v>
      </c>
      <c r="BO73" s="883">
        <f t="shared" ca="1" si="74"/>
        <v>0</v>
      </c>
      <c r="BP73" s="883">
        <f t="shared" ca="1" si="74"/>
        <v>0</v>
      </c>
      <c r="BQ73" s="883">
        <f t="shared" ca="1" si="74"/>
        <v>0</v>
      </c>
      <c r="BR73" s="883">
        <f t="shared" ca="1" si="74"/>
        <v>0</v>
      </c>
      <c r="BS73" s="883">
        <f t="shared" ca="1" si="74"/>
        <v>0</v>
      </c>
      <c r="BT73" s="883">
        <f t="shared" ca="1" si="74"/>
        <v>0</v>
      </c>
      <c r="BU73" s="883">
        <f t="shared" ca="1" si="74"/>
        <v>0</v>
      </c>
      <c r="BV73" s="883">
        <f t="shared" ca="1" si="74"/>
        <v>0</v>
      </c>
      <c r="BW73" s="883">
        <f t="shared" ca="1" si="74"/>
        <v>0</v>
      </c>
      <c r="BX73" s="883">
        <f t="shared" ca="1" si="74"/>
        <v>0</v>
      </c>
      <c r="BY73" s="883">
        <f t="shared" ca="1" si="74"/>
        <v>0</v>
      </c>
      <c r="BZ73" s="883">
        <f t="shared" ca="1" si="74"/>
        <v>0</v>
      </c>
      <c r="CA73" s="883">
        <f t="shared" ca="1" si="74"/>
        <v>0</v>
      </c>
      <c r="CB73" s="883">
        <f t="shared" ca="1" si="74"/>
        <v>0</v>
      </c>
      <c r="CC73" s="883">
        <f t="shared" ca="1" si="74"/>
        <v>0</v>
      </c>
      <c r="CD73" s="883">
        <f t="shared" ca="1" si="74"/>
        <v>0</v>
      </c>
      <c r="CE73" s="883">
        <f t="shared" ca="1" si="74"/>
        <v>0</v>
      </c>
      <c r="CF73" s="883">
        <f t="shared" ca="1" si="74"/>
        <v>0</v>
      </c>
      <c r="CG73" s="883">
        <f t="shared" ca="1" si="74"/>
        <v>0</v>
      </c>
      <c r="CH73" s="883">
        <f t="shared" ca="1" si="74"/>
        <v>0</v>
      </c>
      <c r="CI73" s="883">
        <f t="shared" ca="1" si="74"/>
        <v>0</v>
      </c>
      <c r="CJ73" s="883">
        <f t="shared" ca="1" si="74"/>
        <v>0</v>
      </c>
      <c r="CK73" s="883">
        <f t="shared" ca="1" si="74"/>
        <v>0</v>
      </c>
      <c r="CL73" s="883">
        <f t="shared" ca="1" si="74"/>
        <v>0</v>
      </c>
      <c r="CM73" s="883">
        <f t="shared" ca="1" si="74"/>
        <v>0</v>
      </c>
      <c r="CN73" s="883">
        <f t="shared" ca="1" si="74"/>
        <v>0</v>
      </c>
      <c r="CO73" s="883">
        <f t="shared" ca="1" si="74"/>
        <v>0</v>
      </c>
      <c r="CP73" s="883">
        <f t="shared" ca="1" si="74"/>
        <v>0</v>
      </c>
      <c r="CQ73" s="883">
        <f t="shared" ca="1" si="74"/>
        <v>0</v>
      </c>
      <c r="CR73" s="883">
        <f t="shared" ca="1" si="73"/>
        <v>0</v>
      </c>
      <c r="CS73" s="883">
        <f t="shared" ca="1" si="73"/>
        <v>0</v>
      </c>
      <c r="CT73" s="883">
        <f t="shared" ca="1" si="73"/>
        <v>0</v>
      </c>
      <c r="CU73" s="883">
        <f t="shared" ca="1" si="73"/>
        <v>0</v>
      </c>
      <c r="CV73" s="883">
        <f t="shared" ca="1" si="73"/>
        <v>0</v>
      </c>
      <c r="CW73" s="883">
        <f t="shared" ca="1" si="73"/>
        <v>0</v>
      </c>
      <c r="CX73" s="883">
        <f t="shared" ca="1" si="73"/>
        <v>0</v>
      </c>
      <c r="CY73" s="883">
        <f t="shared" ca="1" si="73"/>
        <v>0</v>
      </c>
      <c r="CZ73" s="883">
        <f t="shared" ca="1" si="73"/>
        <v>0</v>
      </c>
      <c r="DA73" s="883">
        <f t="shared" ca="1" si="73"/>
        <v>0</v>
      </c>
      <c r="DB73" s="883">
        <f t="shared" ca="1" si="73"/>
        <v>0</v>
      </c>
      <c r="DC73" s="883">
        <f t="shared" ca="1" si="73"/>
        <v>0</v>
      </c>
      <c r="DD73" s="883">
        <f t="shared" ca="1" si="73"/>
        <v>0</v>
      </c>
      <c r="DE73" s="883">
        <f t="shared" ca="1" si="73"/>
        <v>0</v>
      </c>
      <c r="DF73" s="883">
        <f t="shared" ca="1" si="73"/>
        <v>0</v>
      </c>
      <c r="DG73" s="883">
        <f t="shared" ca="1" si="73"/>
        <v>0</v>
      </c>
      <c r="DH73" s="883">
        <f t="shared" ca="1" si="73"/>
        <v>0</v>
      </c>
      <c r="DI73" s="883">
        <f t="shared" ca="1" si="73"/>
        <v>0</v>
      </c>
      <c r="DJ73" s="883">
        <f t="shared" ca="1" si="73"/>
        <v>0</v>
      </c>
      <c r="DK73" s="883">
        <f t="shared" ca="1" si="73"/>
        <v>0</v>
      </c>
      <c r="DL73" s="883">
        <f t="shared" ca="1" si="73"/>
        <v>0</v>
      </c>
      <c r="DM73" s="883">
        <f t="shared" ca="1" si="73"/>
        <v>0</v>
      </c>
      <c r="DN73" s="883">
        <f t="shared" ca="1" si="73"/>
        <v>0</v>
      </c>
      <c r="DO73" s="883">
        <f t="shared" ca="1" si="73"/>
        <v>0</v>
      </c>
      <c r="DP73" s="883">
        <f t="shared" ca="1" si="73"/>
        <v>0</v>
      </c>
      <c r="DQ73" s="883">
        <f t="shared" ca="1" si="73"/>
        <v>0</v>
      </c>
      <c r="DR73" s="883">
        <f t="shared" ca="1" si="73"/>
        <v>0</v>
      </c>
      <c r="DS73" s="883">
        <f t="shared" ca="1" si="73"/>
        <v>0</v>
      </c>
      <c r="DT73" s="883">
        <f t="shared" ca="1" si="73"/>
        <v>0</v>
      </c>
      <c r="DU73" s="883">
        <f t="shared" ca="1" si="73"/>
        <v>0</v>
      </c>
      <c r="DV73" s="883">
        <f t="shared" ca="1" si="73"/>
        <v>0</v>
      </c>
      <c r="DW73" s="883">
        <f t="shared" ca="1" si="73"/>
        <v>0</v>
      </c>
      <c r="DX73" s="883">
        <f t="shared" ca="1" si="73"/>
        <v>0</v>
      </c>
      <c r="DY73" s="883">
        <f t="shared" ca="1" si="73"/>
        <v>0</v>
      </c>
      <c r="DZ73" s="883">
        <f t="shared" ca="1" si="73"/>
        <v>0</v>
      </c>
      <c r="EA73" s="883">
        <f t="shared" ca="1" si="73"/>
        <v>0</v>
      </c>
      <c r="EB73" s="883">
        <f t="shared" ca="1" si="73"/>
        <v>0</v>
      </c>
      <c r="EC73" s="883">
        <f t="shared" ca="1" si="73"/>
        <v>0</v>
      </c>
      <c r="ED73" s="883">
        <f t="shared" ca="1" si="73"/>
        <v>0</v>
      </c>
      <c r="EE73" s="883">
        <f t="shared" ca="1" si="73"/>
        <v>0</v>
      </c>
      <c r="EF73" s="883">
        <f t="shared" ca="1" si="73"/>
        <v>0</v>
      </c>
      <c r="EG73" s="883">
        <f t="shared" ca="1" si="73"/>
        <v>0</v>
      </c>
      <c r="EH73" s="883">
        <f t="shared" ca="1" si="73"/>
        <v>0</v>
      </c>
      <c r="EI73" s="883">
        <f t="shared" ca="1" si="73"/>
        <v>0</v>
      </c>
      <c r="EJ73" s="883">
        <f t="shared" ca="1" si="73"/>
        <v>0</v>
      </c>
      <c r="EK73" s="883">
        <f t="shared" ca="1" si="73"/>
        <v>0</v>
      </c>
      <c r="EL73" s="883">
        <f t="shared" ca="1" si="73"/>
        <v>0</v>
      </c>
      <c r="EM73" s="883">
        <f t="shared" ca="1" si="73"/>
        <v>0</v>
      </c>
      <c r="EN73" s="883">
        <f t="shared" ca="1" si="73"/>
        <v>0</v>
      </c>
      <c r="EO73" s="883">
        <f t="shared" ca="1" si="73"/>
        <v>0</v>
      </c>
      <c r="EP73" s="883">
        <f t="shared" ca="1" si="73"/>
        <v>0</v>
      </c>
      <c r="EQ73" s="883">
        <f t="shared" ca="1" si="73"/>
        <v>0</v>
      </c>
      <c r="ER73" s="883">
        <f t="shared" ca="1" si="73"/>
        <v>0</v>
      </c>
      <c r="ES73" s="883">
        <f t="shared" ca="1" si="73"/>
        <v>0</v>
      </c>
      <c r="ET73" s="883">
        <f t="shared" ca="1" si="73"/>
        <v>0</v>
      </c>
      <c r="EU73" s="883">
        <f t="shared" ca="1" si="73"/>
        <v>0</v>
      </c>
      <c r="EV73" s="883">
        <f t="shared" ca="1" si="73"/>
        <v>0</v>
      </c>
      <c r="EW73" s="883">
        <f t="shared" ca="1" si="73"/>
        <v>0</v>
      </c>
      <c r="EX73" s="883">
        <f t="shared" ca="1" si="73"/>
        <v>0</v>
      </c>
      <c r="EY73" s="883">
        <f t="shared" ca="1" si="73"/>
        <v>0</v>
      </c>
      <c r="EZ73" s="883">
        <f t="shared" ca="1" si="73"/>
        <v>0</v>
      </c>
      <c r="FA73" s="883">
        <f t="shared" ca="1" si="73"/>
        <v>0</v>
      </c>
    </row>
    <row r="74" spans="8:157">
      <c r="H74" s="891" t="str">
        <f t="shared" ca="1" si="58"/>
        <v/>
      </c>
      <c r="I74" s="1206" t="e">
        <f t="shared" ca="1" si="55"/>
        <v>#N/A</v>
      </c>
      <c r="J74" s="1206">
        <f t="shared" ca="1" si="56"/>
        <v>0</v>
      </c>
      <c r="K74" s="929" t="str">
        <f t="shared" si="57"/>
        <v/>
      </c>
      <c r="L74" s="929" t="str">
        <f t="shared" si="24"/>
        <v/>
      </c>
      <c r="N74" s="1714">
        <v>4</v>
      </c>
      <c r="P74" s="882" t="str">
        <f ca="1">VLOOKUP(Q74,bond!B:AA,26,FALSE)</f>
        <v>Meta平台公司</v>
      </c>
      <c r="Q74" s="928" t="str">
        <f ca="1">Change投!S16</f>
        <v>XH040</v>
      </c>
      <c r="R74" s="889">
        <f ca="1">IFERROR(IF(Q74="",0,IF($D$4=1,Change投!AC16*Change投!AJ16,Change投!AC16)),0)</f>
        <v>100000</v>
      </c>
      <c r="S74" s="885">
        <f ca="1">Change投!W16</f>
        <v>55746</v>
      </c>
      <c r="T74" s="883">
        <f t="shared" ca="1" si="64"/>
        <v>2052</v>
      </c>
      <c r="U74" s="885">
        <f ca="1">Change投!Z16</f>
        <v>45519</v>
      </c>
      <c r="V74" s="886">
        <f t="shared" ca="1" si="65"/>
        <v>2024</v>
      </c>
      <c r="W74" s="885">
        <f t="shared" ca="1" si="66"/>
        <v>55746</v>
      </c>
      <c r="X74" s="886">
        <f t="shared" ca="1" si="67"/>
        <v>2052</v>
      </c>
      <c r="Y74" s="887">
        <f ca="1">Change投!Y16</f>
        <v>2</v>
      </c>
      <c r="Z74" s="886">
        <f ca="1">Change投!AC16</f>
        <v>100000</v>
      </c>
      <c r="AA74" s="1205">
        <f ca="1">Change投!X16</f>
        <v>4.4500000000000005E-2</v>
      </c>
      <c r="AB74" s="881">
        <f ca="1">Change投!AJ16</f>
        <v>32.481000000000002</v>
      </c>
      <c r="AC74" s="887">
        <f t="shared" ca="1" si="61"/>
        <v>2225.0000000000005</v>
      </c>
      <c r="AD74" s="883">
        <f t="shared" ca="1" si="68"/>
        <v>1</v>
      </c>
      <c r="AE74" s="883">
        <f t="shared" ca="1" si="69"/>
        <v>3</v>
      </c>
      <c r="AF74" s="883">
        <f t="shared" ca="1" si="74"/>
        <v>5</v>
      </c>
      <c r="AG74" s="883">
        <f t="shared" ca="1" si="74"/>
        <v>7</v>
      </c>
      <c r="AH74" s="883">
        <f t="shared" ca="1" si="74"/>
        <v>9</v>
      </c>
      <c r="AI74" s="883">
        <f t="shared" ca="1" si="74"/>
        <v>11</v>
      </c>
      <c r="AJ74" s="883">
        <f t="shared" ca="1" si="74"/>
        <v>13</v>
      </c>
      <c r="AK74" s="883">
        <f t="shared" ca="1" si="74"/>
        <v>15</v>
      </c>
      <c r="AL74" s="883">
        <f t="shared" ca="1" si="74"/>
        <v>17</v>
      </c>
      <c r="AM74" s="883">
        <f t="shared" ca="1" si="74"/>
        <v>19</v>
      </c>
      <c r="AN74" s="883">
        <f t="shared" ca="1" si="74"/>
        <v>21</v>
      </c>
      <c r="AO74" s="883">
        <f t="shared" ca="1" si="74"/>
        <v>23</v>
      </c>
      <c r="AP74" s="883">
        <f t="shared" ca="1" si="74"/>
        <v>25</v>
      </c>
      <c r="AQ74" s="883">
        <f t="shared" ca="1" si="74"/>
        <v>27</v>
      </c>
      <c r="AR74" s="883">
        <f t="shared" ca="1" si="74"/>
        <v>29</v>
      </c>
      <c r="AS74" s="883">
        <f t="shared" ca="1" si="74"/>
        <v>31</v>
      </c>
      <c r="AT74" s="883">
        <f t="shared" ca="1" si="74"/>
        <v>33</v>
      </c>
      <c r="AU74" s="883">
        <f t="shared" ca="1" si="74"/>
        <v>35</v>
      </c>
      <c r="AV74" s="883">
        <f t="shared" ca="1" si="74"/>
        <v>37</v>
      </c>
      <c r="AW74" s="883">
        <f t="shared" ca="1" si="74"/>
        <v>39</v>
      </c>
      <c r="AX74" s="883">
        <f t="shared" ca="1" si="74"/>
        <v>41</v>
      </c>
      <c r="AY74" s="883">
        <f t="shared" ca="1" si="74"/>
        <v>43</v>
      </c>
      <c r="AZ74" s="883">
        <f t="shared" ca="1" si="74"/>
        <v>45</v>
      </c>
      <c r="BA74" s="883">
        <f t="shared" ca="1" si="74"/>
        <v>47</v>
      </c>
      <c r="BB74" s="883">
        <f t="shared" ca="1" si="74"/>
        <v>49</v>
      </c>
      <c r="BC74" s="883">
        <f t="shared" ca="1" si="74"/>
        <v>51</v>
      </c>
      <c r="BD74" s="883">
        <f t="shared" ca="1" si="74"/>
        <v>53</v>
      </c>
      <c r="BE74" s="883">
        <f t="shared" ca="1" si="74"/>
        <v>55</v>
      </c>
      <c r="BF74" s="883">
        <f t="shared" ca="1" si="74"/>
        <v>57</v>
      </c>
      <c r="BG74" s="883">
        <f t="shared" ca="1" si="74"/>
        <v>0</v>
      </c>
      <c r="BH74" s="883">
        <f t="shared" ca="1" si="74"/>
        <v>0</v>
      </c>
      <c r="BI74" s="883">
        <f t="shared" ca="1" si="74"/>
        <v>0</v>
      </c>
      <c r="BJ74" s="883">
        <f t="shared" ca="1" si="74"/>
        <v>0</v>
      </c>
      <c r="BK74" s="883">
        <f t="shared" ca="1" si="74"/>
        <v>0</v>
      </c>
      <c r="BL74" s="883">
        <f t="shared" ca="1" si="74"/>
        <v>0</v>
      </c>
      <c r="BM74" s="883">
        <f t="shared" ca="1" si="74"/>
        <v>0</v>
      </c>
      <c r="BN74" s="883">
        <f t="shared" ca="1" si="74"/>
        <v>0</v>
      </c>
      <c r="BO74" s="883">
        <f t="shared" ca="1" si="74"/>
        <v>0</v>
      </c>
      <c r="BP74" s="883">
        <f t="shared" ca="1" si="74"/>
        <v>0</v>
      </c>
      <c r="BQ74" s="883">
        <f t="shared" ca="1" si="74"/>
        <v>0</v>
      </c>
      <c r="BR74" s="883">
        <f t="shared" ca="1" si="74"/>
        <v>0</v>
      </c>
      <c r="BS74" s="883">
        <f t="shared" ca="1" si="74"/>
        <v>0</v>
      </c>
      <c r="BT74" s="883">
        <f t="shared" ca="1" si="74"/>
        <v>0</v>
      </c>
      <c r="BU74" s="883">
        <f t="shared" ca="1" si="74"/>
        <v>0</v>
      </c>
      <c r="BV74" s="883">
        <f t="shared" ca="1" si="74"/>
        <v>0</v>
      </c>
      <c r="BW74" s="883">
        <f t="shared" ca="1" si="74"/>
        <v>0</v>
      </c>
      <c r="BX74" s="883">
        <f t="shared" ca="1" si="74"/>
        <v>0</v>
      </c>
      <c r="BY74" s="883">
        <f t="shared" ca="1" si="74"/>
        <v>0</v>
      </c>
      <c r="BZ74" s="883">
        <f t="shared" ca="1" si="74"/>
        <v>0</v>
      </c>
      <c r="CA74" s="883">
        <f t="shared" ca="1" si="74"/>
        <v>0</v>
      </c>
      <c r="CB74" s="883">
        <f t="shared" ca="1" si="74"/>
        <v>0</v>
      </c>
      <c r="CC74" s="883">
        <f t="shared" ca="1" si="74"/>
        <v>0</v>
      </c>
      <c r="CD74" s="883">
        <f t="shared" ca="1" si="74"/>
        <v>0</v>
      </c>
      <c r="CE74" s="883">
        <f t="shared" ca="1" si="74"/>
        <v>0</v>
      </c>
      <c r="CF74" s="883">
        <f t="shared" ca="1" si="74"/>
        <v>0</v>
      </c>
      <c r="CG74" s="883">
        <f t="shared" ca="1" si="74"/>
        <v>0</v>
      </c>
      <c r="CH74" s="883">
        <f t="shared" ca="1" si="74"/>
        <v>0</v>
      </c>
      <c r="CI74" s="883">
        <f t="shared" ca="1" si="74"/>
        <v>0</v>
      </c>
      <c r="CJ74" s="883">
        <f t="shared" ca="1" si="74"/>
        <v>0</v>
      </c>
      <c r="CK74" s="883">
        <f t="shared" ca="1" si="74"/>
        <v>0</v>
      </c>
      <c r="CL74" s="883">
        <f t="shared" ca="1" si="74"/>
        <v>0</v>
      </c>
      <c r="CM74" s="883">
        <f t="shared" ca="1" si="74"/>
        <v>0</v>
      </c>
      <c r="CN74" s="883">
        <f t="shared" ca="1" si="74"/>
        <v>0</v>
      </c>
      <c r="CO74" s="883">
        <f t="shared" ca="1" si="74"/>
        <v>0</v>
      </c>
      <c r="CP74" s="883">
        <f t="shared" ca="1" si="74"/>
        <v>0</v>
      </c>
      <c r="CQ74" s="883">
        <f t="shared" ref="CQ74:FA78" ca="1" si="75">IFERROR(IF(YEAR($W74)&lt;CQ$4,0,IF(YEAR($W74)=CQ$4,IF($P74="美國國庫債券",ROUND(DATEDIF($U74,$W74,"M")/(12/$Y74),0)+1,DATEDIF($U74,$W74,"M")/(12/$Y74)+1),INT(DATEDIF($U74,CQ$5,"M")/(12/$Y74))+1)),0)</f>
        <v>0</v>
      </c>
      <c r="CR74" s="883">
        <f t="shared" ca="1" si="75"/>
        <v>0</v>
      </c>
      <c r="CS74" s="883">
        <f t="shared" ca="1" si="75"/>
        <v>0</v>
      </c>
      <c r="CT74" s="883">
        <f t="shared" ca="1" si="75"/>
        <v>0</v>
      </c>
      <c r="CU74" s="883">
        <f t="shared" ca="1" si="75"/>
        <v>0</v>
      </c>
      <c r="CV74" s="883">
        <f t="shared" ca="1" si="75"/>
        <v>0</v>
      </c>
      <c r="CW74" s="883">
        <f t="shared" ca="1" si="75"/>
        <v>0</v>
      </c>
      <c r="CX74" s="883">
        <f t="shared" ca="1" si="75"/>
        <v>0</v>
      </c>
      <c r="CY74" s="883">
        <f t="shared" ca="1" si="75"/>
        <v>0</v>
      </c>
      <c r="CZ74" s="883">
        <f t="shared" ca="1" si="75"/>
        <v>0</v>
      </c>
      <c r="DA74" s="883">
        <f t="shared" ca="1" si="75"/>
        <v>0</v>
      </c>
      <c r="DB74" s="883">
        <f t="shared" ca="1" si="75"/>
        <v>0</v>
      </c>
      <c r="DC74" s="883">
        <f t="shared" ca="1" si="75"/>
        <v>0</v>
      </c>
      <c r="DD74" s="883">
        <f t="shared" ca="1" si="75"/>
        <v>0</v>
      </c>
      <c r="DE74" s="883">
        <f t="shared" ca="1" si="75"/>
        <v>0</v>
      </c>
      <c r="DF74" s="883">
        <f t="shared" ca="1" si="75"/>
        <v>0</v>
      </c>
      <c r="DG74" s="883">
        <f t="shared" ca="1" si="75"/>
        <v>0</v>
      </c>
      <c r="DH74" s="883">
        <f t="shared" ca="1" si="75"/>
        <v>0</v>
      </c>
      <c r="DI74" s="883">
        <f t="shared" ca="1" si="75"/>
        <v>0</v>
      </c>
      <c r="DJ74" s="883">
        <f t="shared" ca="1" si="75"/>
        <v>0</v>
      </c>
      <c r="DK74" s="883">
        <f t="shared" ca="1" si="75"/>
        <v>0</v>
      </c>
      <c r="DL74" s="883">
        <f t="shared" ca="1" si="75"/>
        <v>0</v>
      </c>
      <c r="DM74" s="883">
        <f t="shared" ca="1" si="75"/>
        <v>0</v>
      </c>
      <c r="DN74" s="883">
        <f t="shared" ca="1" si="75"/>
        <v>0</v>
      </c>
      <c r="DO74" s="883">
        <f t="shared" ca="1" si="75"/>
        <v>0</v>
      </c>
      <c r="DP74" s="883">
        <f t="shared" ca="1" si="75"/>
        <v>0</v>
      </c>
      <c r="DQ74" s="883">
        <f t="shared" ca="1" si="75"/>
        <v>0</v>
      </c>
      <c r="DR74" s="883">
        <f t="shared" ca="1" si="75"/>
        <v>0</v>
      </c>
      <c r="DS74" s="883">
        <f t="shared" ca="1" si="75"/>
        <v>0</v>
      </c>
      <c r="DT74" s="883">
        <f t="shared" ca="1" si="75"/>
        <v>0</v>
      </c>
      <c r="DU74" s="883">
        <f t="shared" ca="1" si="75"/>
        <v>0</v>
      </c>
      <c r="DV74" s="883">
        <f t="shared" ca="1" si="75"/>
        <v>0</v>
      </c>
      <c r="DW74" s="883">
        <f t="shared" ca="1" si="75"/>
        <v>0</v>
      </c>
      <c r="DX74" s="883">
        <f t="shared" ca="1" si="75"/>
        <v>0</v>
      </c>
      <c r="DY74" s="883">
        <f t="shared" ca="1" si="75"/>
        <v>0</v>
      </c>
      <c r="DZ74" s="883">
        <f t="shared" ca="1" si="75"/>
        <v>0</v>
      </c>
      <c r="EA74" s="883">
        <f t="shared" ca="1" si="75"/>
        <v>0</v>
      </c>
      <c r="EB74" s="883">
        <f t="shared" ca="1" si="75"/>
        <v>0</v>
      </c>
      <c r="EC74" s="883">
        <f t="shared" ca="1" si="75"/>
        <v>0</v>
      </c>
      <c r="ED74" s="883">
        <f t="shared" ca="1" si="75"/>
        <v>0</v>
      </c>
      <c r="EE74" s="883">
        <f t="shared" ca="1" si="75"/>
        <v>0</v>
      </c>
      <c r="EF74" s="883">
        <f t="shared" ca="1" si="75"/>
        <v>0</v>
      </c>
      <c r="EG74" s="883">
        <f t="shared" ca="1" si="75"/>
        <v>0</v>
      </c>
      <c r="EH74" s="883">
        <f t="shared" ca="1" si="75"/>
        <v>0</v>
      </c>
      <c r="EI74" s="883">
        <f t="shared" ca="1" si="75"/>
        <v>0</v>
      </c>
      <c r="EJ74" s="883">
        <f t="shared" ca="1" si="75"/>
        <v>0</v>
      </c>
      <c r="EK74" s="883">
        <f t="shared" ca="1" si="75"/>
        <v>0</v>
      </c>
      <c r="EL74" s="883">
        <f t="shared" ca="1" si="75"/>
        <v>0</v>
      </c>
      <c r="EM74" s="883">
        <f t="shared" ca="1" si="75"/>
        <v>0</v>
      </c>
      <c r="EN74" s="883">
        <f t="shared" ca="1" si="75"/>
        <v>0</v>
      </c>
      <c r="EO74" s="883">
        <f t="shared" ca="1" si="75"/>
        <v>0</v>
      </c>
      <c r="EP74" s="883">
        <f t="shared" ca="1" si="75"/>
        <v>0</v>
      </c>
      <c r="EQ74" s="883">
        <f t="shared" ca="1" si="75"/>
        <v>0</v>
      </c>
      <c r="ER74" s="883">
        <f t="shared" ca="1" si="75"/>
        <v>0</v>
      </c>
      <c r="ES74" s="883">
        <f t="shared" ca="1" si="75"/>
        <v>0</v>
      </c>
      <c r="ET74" s="883">
        <f t="shared" ca="1" si="75"/>
        <v>0</v>
      </c>
      <c r="EU74" s="883">
        <f t="shared" ca="1" si="75"/>
        <v>0</v>
      </c>
      <c r="EV74" s="883">
        <f t="shared" ca="1" si="75"/>
        <v>0</v>
      </c>
      <c r="EW74" s="883">
        <f t="shared" ca="1" si="75"/>
        <v>0</v>
      </c>
      <c r="EX74" s="883">
        <f t="shared" ca="1" si="75"/>
        <v>0</v>
      </c>
      <c r="EY74" s="883">
        <f t="shared" ca="1" si="75"/>
        <v>0</v>
      </c>
      <c r="EZ74" s="883">
        <f t="shared" ca="1" si="75"/>
        <v>0</v>
      </c>
      <c r="FA74" s="883">
        <f t="shared" ca="1" si="75"/>
        <v>0</v>
      </c>
    </row>
    <row r="75" spans="8:157">
      <c r="H75" s="891" t="str">
        <f t="shared" ca="1" si="58"/>
        <v/>
      </c>
      <c r="I75" s="1206" t="e">
        <f t="shared" ca="1" si="55"/>
        <v>#N/A</v>
      </c>
      <c r="J75" s="1206">
        <f t="shared" ca="1" si="56"/>
        <v>0</v>
      </c>
      <c r="K75" s="929" t="str">
        <f t="shared" si="57"/>
        <v/>
      </c>
      <c r="L75" s="929" t="str">
        <f t="shared" si="24"/>
        <v/>
      </c>
      <c r="N75" s="1714">
        <v>5</v>
      </c>
      <c r="P75" s="882" t="e">
        <f ca="1">VLOOKUP(Q75,bond!B:AA,26,FALSE)</f>
        <v>#N/A</v>
      </c>
      <c r="Q75" s="928">
        <f ca="1">Change投!S17</f>
        <v>0</v>
      </c>
      <c r="R75" s="889">
        <f ca="1">IFERROR(IF(Q75="",0,IF($D$4=1,Change投!AC17*Change投!AJ17,Change投!AC17)),0)</f>
        <v>0</v>
      </c>
      <c r="S75" s="885" t="e">
        <f ca="1">Change投!W17</f>
        <v>#N/A</v>
      </c>
      <c r="T75" s="883">
        <f t="shared" ca="1" si="64"/>
        <v>0</v>
      </c>
      <c r="U75" s="885" t="str">
        <f ca="1">Change投!Z17</f>
        <v/>
      </c>
      <c r="V75" s="886" t="str">
        <f t="shared" ca="1" si="65"/>
        <v/>
      </c>
      <c r="W75" s="885" t="e">
        <f t="shared" ca="1" si="66"/>
        <v>#N/A</v>
      </c>
      <c r="X75" s="886" t="str">
        <f t="shared" ca="1" si="67"/>
        <v/>
      </c>
      <c r="Y75" s="887" t="str">
        <f ca="1">Change投!Y17</f>
        <v/>
      </c>
      <c r="Z75" s="886">
        <f ca="1">Change投!AC17</f>
        <v>0</v>
      </c>
      <c r="AA75" s="1205">
        <f ca="1">Change投!X17</f>
        <v>0</v>
      </c>
      <c r="AB75" s="881">
        <f ca="1">Change投!AJ17</f>
        <v>0</v>
      </c>
      <c r="AC75" s="887">
        <f t="shared" ca="1" si="61"/>
        <v>0</v>
      </c>
      <c r="AD75" s="883">
        <f t="shared" ca="1" si="68"/>
        <v>0</v>
      </c>
      <c r="AE75" s="883">
        <f t="shared" ca="1" si="69"/>
        <v>0</v>
      </c>
      <c r="AF75" s="883">
        <f t="shared" ref="AF75:CQ78" ca="1" si="76">IFERROR(IF(YEAR($W75)&lt;AF$4,0,IF(YEAR($W75)=AF$4,IF($P75="美國國庫債券",ROUND(DATEDIF($U75,$W75,"M")/(12/$Y75),0)+1,DATEDIF($U75,$W75,"M")/(12/$Y75)+1),INT(DATEDIF($U75,AF$5,"M")/(12/$Y75))+1)),0)</f>
        <v>0</v>
      </c>
      <c r="AG75" s="883">
        <f t="shared" ca="1" si="76"/>
        <v>0</v>
      </c>
      <c r="AH75" s="883">
        <f t="shared" ca="1" si="76"/>
        <v>0</v>
      </c>
      <c r="AI75" s="883">
        <f t="shared" ca="1" si="76"/>
        <v>0</v>
      </c>
      <c r="AJ75" s="883">
        <f t="shared" ca="1" si="76"/>
        <v>0</v>
      </c>
      <c r="AK75" s="883">
        <f t="shared" ca="1" si="76"/>
        <v>0</v>
      </c>
      <c r="AL75" s="883">
        <f t="shared" ca="1" si="76"/>
        <v>0</v>
      </c>
      <c r="AM75" s="883">
        <f t="shared" ca="1" si="76"/>
        <v>0</v>
      </c>
      <c r="AN75" s="883">
        <f t="shared" ca="1" si="76"/>
        <v>0</v>
      </c>
      <c r="AO75" s="883">
        <f t="shared" ca="1" si="76"/>
        <v>0</v>
      </c>
      <c r="AP75" s="883">
        <f t="shared" ca="1" si="76"/>
        <v>0</v>
      </c>
      <c r="AQ75" s="883">
        <f t="shared" ca="1" si="76"/>
        <v>0</v>
      </c>
      <c r="AR75" s="883">
        <f t="shared" ca="1" si="76"/>
        <v>0</v>
      </c>
      <c r="AS75" s="883">
        <f t="shared" ca="1" si="76"/>
        <v>0</v>
      </c>
      <c r="AT75" s="883">
        <f t="shared" ca="1" si="76"/>
        <v>0</v>
      </c>
      <c r="AU75" s="883">
        <f t="shared" ca="1" si="76"/>
        <v>0</v>
      </c>
      <c r="AV75" s="883">
        <f t="shared" ca="1" si="76"/>
        <v>0</v>
      </c>
      <c r="AW75" s="883">
        <f t="shared" ca="1" si="76"/>
        <v>0</v>
      </c>
      <c r="AX75" s="883">
        <f t="shared" ca="1" si="76"/>
        <v>0</v>
      </c>
      <c r="AY75" s="883">
        <f t="shared" ca="1" si="76"/>
        <v>0</v>
      </c>
      <c r="AZ75" s="883">
        <f t="shared" ca="1" si="76"/>
        <v>0</v>
      </c>
      <c r="BA75" s="883">
        <f t="shared" ca="1" si="76"/>
        <v>0</v>
      </c>
      <c r="BB75" s="883">
        <f t="shared" ca="1" si="76"/>
        <v>0</v>
      </c>
      <c r="BC75" s="883">
        <f t="shared" ca="1" si="76"/>
        <v>0</v>
      </c>
      <c r="BD75" s="883">
        <f t="shared" ca="1" si="76"/>
        <v>0</v>
      </c>
      <c r="BE75" s="883">
        <f t="shared" ca="1" si="76"/>
        <v>0</v>
      </c>
      <c r="BF75" s="883">
        <f t="shared" ca="1" si="76"/>
        <v>0</v>
      </c>
      <c r="BG75" s="883">
        <f t="shared" ca="1" si="76"/>
        <v>0</v>
      </c>
      <c r="BH75" s="883">
        <f t="shared" ca="1" si="76"/>
        <v>0</v>
      </c>
      <c r="BI75" s="883">
        <f t="shared" ca="1" si="76"/>
        <v>0</v>
      </c>
      <c r="BJ75" s="883">
        <f t="shared" ca="1" si="76"/>
        <v>0</v>
      </c>
      <c r="BK75" s="883">
        <f t="shared" ca="1" si="76"/>
        <v>0</v>
      </c>
      <c r="BL75" s="883">
        <f t="shared" ca="1" si="76"/>
        <v>0</v>
      </c>
      <c r="BM75" s="883">
        <f t="shared" ca="1" si="76"/>
        <v>0</v>
      </c>
      <c r="BN75" s="883">
        <f t="shared" ca="1" si="76"/>
        <v>0</v>
      </c>
      <c r="BO75" s="883">
        <f t="shared" ca="1" si="76"/>
        <v>0</v>
      </c>
      <c r="BP75" s="883">
        <f t="shared" ca="1" si="76"/>
        <v>0</v>
      </c>
      <c r="BQ75" s="883">
        <f t="shared" ca="1" si="76"/>
        <v>0</v>
      </c>
      <c r="BR75" s="883">
        <f t="shared" ca="1" si="76"/>
        <v>0</v>
      </c>
      <c r="BS75" s="883">
        <f t="shared" ca="1" si="76"/>
        <v>0</v>
      </c>
      <c r="BT75" s="883">
        <f t="shared" ca="1" si="76"/>
        <v>0</v>
      </c>
      <c r="BU75" s="883">
        <f t="shared" ca="1" si="76"/>
        <v>0</v>
      </c>
      <c r="BV75" s="883">
        <f t="shared" ca="1" si="76"/>
        <v>0</v>
      </c>
      <c r="BW75" s="883">
        <f t="shared" ca="1" si="76"/>
        <v>0</v>
      </c>
      <c r="BX75" s="883">
        <f t="shared" ca="1" si="76"/>
        <v>0</v>
      </c>
      <c r="BY75" s="883">
        <f t="shared" ca="1" si="76"/>
        <v>0</v>
      </c>
      <c r="BZ75" s="883">
        <f t="shared" ca="1" si="76"/>
        <v>0</v>
      </c>
      <c r="CA75" s="883">
        <f t="shared" ca="1" si="76"/>
        <v>0</v>
      </c>
      <c r="CB75" s="883">
        <f t="shared" ca="1" si="76"/>
        <v>0</v>
      </c>
      <c r="CC75" s="883">
        <f t="shared" ca="1" si="76"/>
        <v>0</v>
      </c>
      <c r="CD75" s="883">
        <f t="shared" ca="1" si="76"/>
        <v>0</v>
      </c>
      <c r="CE75" s="883">
        <f t="shared" ca="1" si="76"/>
        <v>0</v>
      </c>
      <c r="CF75" s="883">
        <f t="shared" ca="1" si="76"/>
        <v>0</v>
      </c>
      <c r="CG75" s="883">
        <f t="shared" ca="1" si="76"/>
        <v>0</v>
      </c>
      <c r="CH75" s="883">
        <f t="shared" ca="1" si="76"/>
        <v>0</v>
      </c>
      <c r="CI75" s="883">
        <f t="shared" ca="1" si="76"/>
        <v>0</v>
      </c>
      <c r="CJ75" s="883">
        <f t="shared" ca="1" si="76"/>
        <v>0</v>
      </c>
      <c r="CK75" s="883">
        <f t="shared" ca="1" si="76"/>
        <v>0</v>
      </c>
      <c r="CL75" s="883">
        <f t="shared" ca="1" si="76"/>
        <v>0</v>
      </c>
      <c r="CM75" s="883">
        <f t="shared" ca="1" si="76"/>
        <v>0</v>
      </c>
      <c r="CN75" s="883">
        <f t="shared" ca="1" si="76"/>
        <v>0</v>
      </c>
      <c r="CO75" s="883">
        <f t="shared" ca="1" si="76"/>
        <v>0</v>
      </c>
      <c r="CP75" s="883">
        <f t="shared" ca="1" si="76"/>
        <v>0</v>
      </c>
      <c r="CQ75" s="883">
        <f t="shared" ca="1" si="76"/>
        <v>0</v>
      </c>
      <c r="CR75" s="883">
        <f t="shared" ca="1" si="75"/>
        <v>0</v>
      </c>
      <c r="CS75" s="883">
        <f t="shared" ca="1" si="75"/>
        <v>0</v>
      </c>
      <c r="CT75" s="883">
        <f t="shared" ca="1" si="75"/>
        <v>0</v>
      </c>
      <c r="CU75" s="883">
        <f t="shared" ca="1" si="75"/>
        <v>0</v>
      </c>
      <c r="CV75" s="883">
        <f t="shared" ca="1" si="75"/>
        <v>0</v>
      </c>
      <c r="CW75" s="883">
        <f t="shared" ca="1" si="75"/>
        <v>0</v>
      </c>
      <c r="CX75" s="883">
        <f t="shared" ca="1" si="75"/>
        <v>0</v>
      </c>
      <c r="CY75" s="883">
        <f t="shared" ca="1" si="75"/>
        <v>0</v>
      </c>
      <c r="CZ75" s="883">
        <f t="shared" ca="1" si="75"/>
        <v>0</v>
      </c>
      <c r="DA75" s="883">
        <f t="shared" ca="1" si="75"/>
        <v>0</v>
      </c>
      <c r="DB75" s="883">
        <f t="shared" ca="1" si="75"/>
        <v>0</v>
      </c>
      <c r="DC75" s="883">
        <f t="shared" ca="1" si="75"/>
        <v>0</v>
      </c>
      <c r="DD75" s="883">
        <f t="shared" ca="1" si="75"/>
        <v>0</v>
      </c>
      <c r="DE75" s="883">
        <f t="shared" ca="1" si="75"/>
        <v>0</v>
      </c>
      <c r="DF75" s="883">
        <f t="shared" ca="1" si="75"/>
        <v>0</v>
      </c>
      <c r="DG75" s="883">
        <f t="shared" ca="1" si="75"/>
        <v>0</v>
      </c>
      <c r="DH75" s="883">
        <f t="shared" ca="1" si="75"/>
        <v>0</v>
      </c>
      <c r="DI75" s="883">
        <f t="shared" ca="1" si="75"/>
        <v>0</v>
      </c>
      <c r="DJ75" s="883">
        <f t="shared" ca="1" si="75"/>
        <v>0</v>
      </c>
      <c r="DK75" s="883">
        <f t="shared" ca="1" si="75"/>
        <v>0</v>
      </c>
      <c r="DL75" s="883">
        <f t="shared" ca="1" si="75"/>
        <v>0</v>
      </c>
      <c r="DM75" s="883">
        <f t="shared" ca="1" si="75"/>
        <v>0</v>
      </c>
      <c r="DN75" s="883">
        <f t="shared" ca="1" si="75"/>
        <v>0</v>
      </c>
      <c r="DO75" s="883">
        <f t="shared" ca="1" si="75"/>
        <v>0</v>
      </c>
      <c r="DP75" s="883">
        <f t="shared" ca="1" si="75"/>
        <v>0</v>
      </c>
      <c r="DQ75" s="883">
        <f t="shared" ca="1" si="75"/>
        <v>0</v>
      </c>
      <c r="DR75" s="883">
        <f t="shared" ca="1" si="75"/>
        <v>0</v>
      </c>
      <c r="DS75" s="883">
        <f t="shared" ca="1" si="75"/>
        <v>0</v>
      </c>
      <c r="DT75" s="883">
        <f t="shared" ca="1" si="75"/>
        <v>0</v>
      </c>
      <c r="DU75" s="883">
        <f t="shared" ca="1" si="75"/>
        <v>0</v>
      </c>
      <c r="DV75" s="883">
        <f t="shared" ca="1" si="75"/>
        <v>0</v>
      </c>
      <c r="DW75" s="883">
        <f t="shared" ca="1" si="75"/>
        <v>0</v>
      </c>
      <c r="DX75" s="883">
        <f t="shared" ca="1" si="75"/>
        <v>0</v>
      </c>
      <c r="DY75" s="883">
        <f t="shared" ca="1" si="75"/>
        <v>0</v>
      </c>
      <c r="DZ75" s="883">
        <f t="shared" ca="1" si="75"/>
        <v>0</v>
      </c>
      <c r="EA75" s="883">
        <f t="shared" ca="1" si="75"/>
        <v>0</v>
      </c>
      <c r="EB75" s="883">
        <f t="shared" ca="1" si="75"/>
        <v>0</v>
      </c>
      <c r="EC75" s="883">
        <f t="shared" ca="1" si="75"/>
        <v>0</v>
      </c>
      <c r="ED75" s="883">
        <f t="shared" ca="1" si="75"/>
        <v>0</v>
      </c>
      <c r="EE75" s="883">
        <f t="shared" ca="1" si="75"/>
        <v>0</v>
      </c>
      <c r="EF75" s="883">
        <f t="shared" ca="1" si="75"/>
        <v>0</v>
      </c>
      <c r="EG75" s="883">
        <f t="shared" ca="1" si="75"/>
        <v>0</v>
      </c>
      <c r="EH75" s="883">
        <f t="shared" ca="1" si="75"/>
        <v>0</v>
      </c>
      <c r="EI75" s="883">
        <f t="shared" ca="1" si="75"/>
        <v>0</v>
      </c>
      <c r="EJ75" s="883">
        <f t="shared" ca="1" si="75"/>
        <v>0</v>
      </c>
      <c r="EK75" s="883">
        <f t="shared" ca="1" si="75"/>
        <v>0</v>
      </c>
      <c r="EL75" s="883">
        <f t="shared" ca="1" si="75"/>
        <v>0</v>
      </c>
      <c r="EM75" s="883">
        <f t="shared" ca="1" si="75"/>
        <v>0</v>
      </c>
      <c r="EN75" s="883">
        <f t="shared" ca="1" si="75"/>
        <v>0</v>
      </c>
      <c r="EO75" s="883">
        <f t="shared" ca="1" si="75"/>
        <v>0</v>
      </c>
      <c r="EP75" s="883">
        <f t="shared" ca="1" si="75"/>
        <v>0</v>
      </c>
      <c r="EQ75" s="883">
        <f t="shared" ca="1" si="75"/>
        <v>0</v>
      </c>
      <c r="ER75" s="883">
        <f t="shared" ca="1" si="75"/>
        <v>0</v>
      </c>
      <c r="ES75" s="883">
        <f t="shared" ca="1" si="75"/>
        <v>0</v>
      </c>
      <c r="ET75" s="883">
        <f t="shared" ca="1" si="75"/>
        <v>0</v>
      </c>
      <c r="EU75" s="883">
        <f t="shared" ca="1" si="75"/>
        <v>0</v>
      </c>
      <c r="EV75" s="883">
        <f t="shared" ca="1" si="75"/>
        <v>0</v>
      </c>
      <c r="EW75" s="883">
        <f t="shared" ca="1" si="75"/>
        <v>0</v>
      </c>
      <c r="EX75" s="883">
        <f t="shared" ca="1" si="75"/>
        <v>0</v>
      </c>
      <c r="EY75" s="883">
        <f t="shared" ca="1" si="75"/>
        <v>0</v>
      </c>
      <c r="EZ75" s="883">
        <f t="shared" ca="1" si="75"/>
        <v>0</v>
      </c>
      <c r="FA75" s="883">
        <f t="shared" ca="1" si="75"/>
        <v>0</v>
      </c>
    </row>
    <row r="76" spans="8:157">
      <c r="H76" s="891" t="str">
        <f t="shared" ca="1" si="58"/>
        <v/>
      </c>
      <c r="I76" s="1206" t="e">
        <f t="shared" ref="I76:I107" ca="1" si="77">MAX(INDEX($AD$2:$FA$2,1,MATCH(H76,$AD$4:$FA$4,0)),0)</f>
        <v>#N/A</v>
      </c>
      <c r="J76" s="1206">
        <f t="shared" ref="J76:J107" ca="1" si="78">SUMIFS($R$7:$R$42,$T$7:$T$42,$H76)</f>
        <v>0</v>
      </c>
      <c r="K76" s="929" t="str">
        <f t="shared" ref="K76:K107" si="79">IF($B$6=0,"",MAX(INDEX($AD$60:$FA$60,1,MATCH(H76,$AD$4:$FA$4,0)),0))</f>
        <v/>
      </c>
      <c r="L76" s="929" t="str">
        <f t="shared" si="24"/>
        <v/>
      </c>
      <c r="N76" s="1714">
        <v>6</v>
      </c>
      <c r="P76" s="882" t="e">
        <f ca="1">VLOOKUP(Q76,bond!B:AA,26,FALSE)</f>
        <v>#N/A</v>
      </c>
      <c r="Q76" s="928">
        <f ca="1">Change投!S18</f>
        <v>0</v>
      </c>
      <c r="R76" s="889">
        <f ca="1">IFERROR(IF(Q76="",0,IF($D$4=1,Change投!AC18*Change投!AJ18,Change投!AC18)),0)</f>
        <v>0</v>
      </c>
      <c r="S76" s="885" t="e">
        <f ca="1">Change投!W18</f>
        <v>#N/A</v>
      </c>
      <c r="T76" s="883">
        <f t="shared" ca="1" si="64"/>
        <v>0</v>
      </c>
      <c r="U76" s="885" t="str">
        <f ca="1">Change投!Z18</f>
        <v/>
      </c>
      <c r="V76" s="886" t="str">
        <f t="shared" ca="1" si="65"/>
        <v/>
      </c>
      <c r="W76" s="885" t="e">
        <f t="shared" ca="1" si="66"/>
        <v>#N/A</v>
      </c>
      <c r="X76" s="886" t="str">
        <f t="shared" ca="1" si="67"/>
        <v/>
      </c>
      <c r="Y76" s="887" t="str">
        <f ca="1">Change投!Y18</f>
        <v/>
      </c>
      <c r="Z76" s="886">
        <f ca="1">Change投!AC18</f>
        <v>0</v>
      </c>
      <c r="AA76" s="1205">
        <f ca="1">Change投!X18</f>
        <v>0</v>
      </c>
      <c r="AB76" s="881">
        <f ca="1">Change投!AJ18</f>
        <v>0</v>
      </c>
      <c r="AC76" s="887">
        <f t="shared" ca="1" si="61"/>
        <v>0</v>
      </c>
      <c r="AD76" s="883">
        <f t="shared" ca="1" si="68"/>
        <v>0</v>
      </c>
      <c r="AE76" s="883">
        <f t="shared" ca="1" si="69"/>
        <v>0</v>
      </c>
      <c r="AF76" s="883">
        <f t="shared" ca="1" si="76"/>
        <v>0</v>
      </c>
      <c r="AG76" s="883">
        <f t="shared" ca="1" si="76"/>
        <v>0</v>
      </c>
      <c r="AH76" s="883">
        <f t="shared" ca="1" si="76"/>
        <v>0</v>
      </c>
      <c r="AI76" s="883">
        <f t="shared" ca="1" si="76"/>
        <v>0</v>
      </c>
      <c r="AJ76" s="883">
        <f t="shared" ca="1" si="76"/>
        <v>0</v>
      </c>
      <c r="AK76" s="883">
        <f t="shared" ca="1" si="76"/>
        <v>0</v>
      </c>
      <c r="AL76" s="883">
        <f t="shared" ca="1" si="76"/>
        <v>0</v>
      </c>
      <c r="AM76" s="883">
        <f t="shared" ca="1" si="76"/>
        <v>0</v>
      </c>
      <c r="AN76" s="883">
        <f t="shared" ca="1" si="76"/>
        <v>0</v>
      </c>
      <c r="AO76" s="883">
        <f t="shared" ca="1" si="76"/>
        <v>0</v>
      </c>
      <c r="AP76" s="883">
        <f t="shared" ca="1" si="76"/>
        <v>0</v>
      </c>
      <c r="AQ76" s="883">
        <f t="shared" ca="1" si="76"/>
        <v>0</v>
      </c>
      <c r="AR76" s="883">
        <f t="shared" ca="1" si="76"/>
        <v>0</v>
      </c>
      <c r="AS76" s="883">
        <f t="shared" ca="1" si="76"/>
        <v>0</v>
      </c>
      <c r="AT76" s="883">
        <f t="shared" ca="1" si="76"/>
        <v>0</v>
      </c>
      <c r="AU76" s="883">
        <f t="shared" ca="1" si="76"/>
        <v>0</v>
      </c>
      <c r="AV76" s="883">
        <f t="shared" ca="1" si="76"/>
        <v>0</v>
      </c>
      <c r="AW76" s="883">
        <f t="shared" ca="1" si="76"/>
        <v>0</v>
      </c>
      <c r="AX76" s="883">
        <f t="shared" ca="1" si="76"/>
        <v>0</v>
      </c>
      <c r="AY76" s="883">
        <f t="shared" ca="1" si="76"/>
        <v>0</v>
      </c>
      <c r="AZ76" s="883">
        <f t="shared" ca="1" si="76"/>
        <v>0</v>
      </c>
      <c r="BA76" s="883">
        <f t="shared" ca="1" si="76"/>
        <v>0</v>
      </c>
      <c r="BB76" s="883">
        <f t="shared" ca="1" si="76"/>
        <v>0</v>
      </c>
      <c r="BC76" s="883">
        <f t="shared" ca="1" si="76"/>
        <v>0</v>
      </c>
      <c r="BD76" s="883">
        <f t="shared" ca="1" si="76"/>
        <v>0</v>
      </c>
      <c r="BE76" s="883">
        <f t="shared" ca="1" si="76"/>
        <v>0</v>
      </c>
      <c r="BF76" s="883">
        <f t="shared" ca="1" si="76"/>
        <v>0</v>
      </c>
      <c r="BG76" s="883">
        <f t="shared" ca="1" si="76"/>
        <v>0</v>
      </c>
      <c r="BH76" s="883">
        <f t="shared" ca="1" si="76"/>
        <v>0</v>
      </c>
      <c r="BI76" s="883">
        <f t="shared" ca="1" si="76"/>
        <v>0</v>
      </c>
      <c r="BJ76" s="883">
        <f t="shared" ca="1" si="76"/>
        <v>0</v>
      </c>
      <c r="BK76" s="883">
        <f t="shared" ca="1" si="76"/>
        <v>0</v>
      </c>
      <c r="BL76" s="883">
        <f t="shared" ca="1" si="76"/>
        <v>0</v>
      </c>
      <c r="BM76" s="883">
        <f t="shared" ca="1" si="76"/>
        <v>0</v>
      </c>
      <c r="BN76" s="883">
        <f t="shared" ca="1" si="76"/>
        <v>0</v>
      </c>
      <c r="BO76" s="883">
        <f t="shared" ca="1" si="76"/>
        <v>0</v>
      </c>
      <c r="BP76" s="883">
        <f t="shared" ca="1" si="76"/>
        <v>0</v>
      </c>
      <c r="BQ76" s="883">
        <f t="shared" ca="1" si="76"/>
        <v>0</v>
      </c>
      <c r="BR76" s="883">
        <f t="shared" ca="1" si="76"/>
        <v>0</v>
      </c>
      <c r="BS76" s="883">
        <f t="shared" ca="1" si="76"/>
        <v>0</v>
      </c>
      <c r="BT76" s="883">
        <f t="shared" ca="1" si="76"/>
        <v>0</v>
      </c>
      <c r="BU76" s="883">
        <f t="shared" ca="1" si="76"/>
        <v>0</v>
      </c>
      <c r="BV76" s="883">
        <f t="shared" ca="1" si="76"/>
        <v>0</v>
      </c>
      <c r="BW76" s="883">
        <f t="shared" ca="1" si="76"/>
        <v>0</v>
      </c>
      <c r="BX76" s="883">
        <f t="shared" ca="1" si="76"/>
        <v>0</v>
      </c>
      <c r="BY76" s="883">
        <f t="shared" ca="1" si="76"/>
        <v>0</v>
      </c>
      <c r="BZ76" s="883">
        <f t="shared" ca="1" si="76"/>
        <v>0</v>
      </c>
      <c r="CA76" s="883">
        <f t="shared" ca="1" si="76"/>
        <v>0</v>
      </c>
      <c r="CB76" s="883">
        <f t="shared" ca="1" si="76"/>
        <v>0</v>
      </c>
      <c r="CC76" s="883">
        <f t="shared" ca="1" si="76"/>
        <v>0</v>
      </c>
      <c r="CD76" s="883">
        <f t="shared" ca="1" si="76"/>
        <v>0</v>
      </c>
      <c r="CE76" s="883">
        <f t="shared" ca="1" si="76"/>
        <v>0</v>
      </c>
      <c r="CF76" s="883">
        <f t="shared" ca="1" si="76"/>
        <v>0</v>
      </c>
      <c r="CG76" s="883">
        <f t="shared" ca="1" si="76"/>
        <v>0</v>
      </c>
      <c r="CH76" s="883">
        <f t="shared" ca="1" si="76"/>
        <v>0</v>
      </c>
      <c r="CI76" s="883">
        <f t="shared" ca="1" si="76"/>
        <v>0</v>
      </c>
      <c r="CJ76" s="883">
        <f t="shared" ca="1" si="76"/>
        <v>0</v>
      </c>
      <c r="CK76" s="883">
        <f t="shared" ca="1" si="76"/>
        <v>0</v>
      </c>
      <c r="CL76" s="883">
        <f t="shared" ca="1" si="76"/>
        <v>0</v>
      </c>
      <c r="CM76" s="883">
        <f t="shared" ca="1" si="76"/>
        <v>0</v>
      </c>
      <c r="CN76" s="883">
        <f t="shared" ca="1" si="76"/>
        <v>0</v>
      </c>
      <c r="CO76" s="883">
        <f t="shared" ca="1" si="76"/>
        <v>0</v>
      </c>
      <c r="CP76" s="883">
        <f t="shared" ca="1" si="76"/>
        <v>0</v>
      </c>
      <c r="CQ76" s="883">
        <f t="shared" ca="1" si="76"/>
        <v>0</v>
      </c>
      <c r="CR76" s="883">
        <f t="shared" ca="1" si="75"/>
        <v>0</v>
      </c>
      <c r="CS76" s="883">
        <f t="shared" ca="1" si="75"/>
        <v>0</v>
      </c>
      <c r="CT76" s="883">
        <f t="shared" ca="1" si="75"/>
        <v>0</v>
      </c>
      <c r="CU76" s="883">
        <f t="shared" ca="1" si="75"/>
        <v>0</v>
      </c>
      <c r="CV76" s="883">
        <f t="shared" ca="1" si="75"/>
        <v>0</v>
      </c>
      <c r="CW76" s="883">
        <f t="shared" ca="1" si="75"/>
        <v>0</v>
      </c>
      <c r="CX76" s="883">
        <f t="shared" ca="1" si="75"/>
        <v>0</v>
      </c>
      <c r="CY76" s="883">
        <f t="shared" ca="1" si="75"/>
        <v>0</v>
      </c>
      <c r="CZ76" s="883">
        <f t="shared" ca="1" si="75"/>
        <v>0</v>
      </c>
      <c r="DA76" s="883">
        <f t="shared" ca="1" si="75"/>
        <v>0</v>
      </c>
      <c r="DB76" s="883">
        <f t="shared" ca="1" si="75"/>
        <v>0</v>
      </c>
      <c r="DC76" s="883">
        <f t="shared" ca="1" si="75"/>
        <v>0</v>
      </c>
      <c r="DD76" s="883">
        <f t="shared" ca="1" si="75"/>
        <v>0</v>
      </c>
      <c r="DE76" s="883">
        <f t="shared" ca="1" si="75"/>
        <v>0</v>
      </c>
      <c r="DF76" s="883">
        <f t="shared" ca="1" si="75"/>
        <v>0</v>
      </c>
      <c r="DG76" s="883">
        <f t="shared" ca="1" si="75"/>
        <v>0</v>
      </c>
      <c r="DH76" s="883">
        <f t="shared" ca="1" si="75"/>
        <v>0</v>
      </c>
      <c r="DI76" s="883">
        <f t="shared" ca="1" si="75"/>
        <v>0</v>
      </c>
      <c r="DJ76" s="883">
        <f t="shared" ca="1" si="75"/>
        <v>0</v>
      </c>
      <c r="DK76" s="883">
        <f t="shared" ca="1" si="75"/>
        <v>0</v>
      </c>
      <c r="DL76" s="883">
        <f t="shared" ca="1" si="75"/>
        <v>0</v>
      </c>
      <c r="DM76" s="883">
        <f t="shared" ca="1" si="75"/>
        <v>0</v>
      </c>
      <c r="DN76" s="883">
        <f t="shared" ca="1" si="75"/>
        <v>0</v>
      </c>
      <c r="DO76" s="883">
        <f t="shared" ca="1" si="75"/>
        <v>0</v>
      </c>
      <c r="DP76" s="883">
        <f t="shared" ca="1" si="75"/>
        <v>0</v>
      </c>
      <c r="DQ76" s="883">
        <f t="shared" ca="1" si="75"/>
        <v>0</v>
      </c>
      <c r="DR76" s="883">
        <f t="shared" ca="1" si="75"/>
        <v>0</v>
      </c>
      <c r="DS76" s="883">
        <f t="shared" ca="1" si="75"/>
        <v>0</v>
      </c>
      <c r="DT76" s="883">
        <f t="shared" ca="1" si="75"/>
        <v>0</v>
      </c>
      <c r="DU76" s="883">
        <f t="shared" ca="1" si="75"/>
        <v>0</v>
      </c>
      <c r="DV76" s="883">
        <f t="shared" ca="1" si="75"/>
        <v>0</v>
      </c>
      <c r="DW76" s="883">
        <f t="shared" ca="1" si="75"/>
        <v>0</v>
      </c>
      <c r="DX76" s="883">
        <f t="shared" ca="1" si="75"/>
        <v>0</v>
      </c>
      <c r="DY76" s="883">
        <f t="shared" ca="1" si="75"/>
        <v>0</v>
      </c>
      <c r="DZ76" s="883">
        <f t="shared" ca="1" si="75"/>
        <v>0</v>
      </c>
      <c r="EA76" s="883">
        <f t="shared" ca="1" si="75"/>
        <v>0</v>
      </c>
      <c r="EB76" s="883">
        <f t="shared" ca="1" si="75"/>
        <v>0</v>
      </c>
      <c r="EC76" s="883">
        <f t="shared" ca="1" si="75"/>
        <v>0</v>
      </c>
      <c r="ED76" s="883">
        <f t="shared" ca="1" si="75"/>
        <v>0</v>
      </c>
      <c r="EE76" s="883">
        <f t="shared" ca="1" si="75"/>
        <v>0</v>
      </c>
      <c r="EF76" s="883">
        <f t="shared" ca="1" si="75"/>
        <v>0</v>
      </c>
      <c r="EG76" s="883">
        <f t="shared" ca="1" si="75"/>
        <v>0</v>
      </c>
      <c r="EH76" s="883">
        <f t="shared" ca="1" si="75"/>
        <v>0</v>
      </c>
      <c r="EI76" s="883">
        <f t="shared" ca="1" si="75"/>
        <v>0</v>
      </c>
      <c r="EJ76" s="883">
        <f t="shared" ca="1" si="75"/>
        <v>0</v>
      </c>
      <c r="EK76" s="883">
        <f t="shared" ca="1" si="75"/>
        <v>0</v>
      </c>
      <c r="EL76" s="883">
        <f t="shared" ca="1" si="75"/>
        <v>0</v>
      </c>
      <c r="EM76" s="883">
        <f t="shared" ca="1" si="75"/>
        <v>0</v>
      </c>
      <c r="EN76" s="883">
        <f t="shared" ca="1" si="75"/>
        <v>0</v>
      </c>
      <c r="EO76" s="883">
        <f t="shared" ca="1" si="75"/>
        <v>0</v>
      </c>
      <c r="EP76" s="883">
        <f t="shared" ca="1" si="75"/>
        <v>0</v>
      </c>
      <c r="EQ76" s="883">
        <f t="shared" ca="1" si="75"/>
        <v>0</v>
      </c>
      <c r="ER76" s="883">
        <f t="shared" ca="1" si="75"/>
        <v>0</v>
      </c>
      <c r="ES76" s="883">
        <f t="shared" ca="1" si="75"/>
        <v>0</v>
      </c>
      <c r="ET76" s="883">
        <f t="shared" ca="1" si="75"/>
        <v>0</v>
      </c>
      <c r="EU76" s="883">
        <f t="shared" ca="1" si="75"/>
        <v>0</v>
      </c>
      <c r="EV76" s="883">
        <f t="shared" ca="1" si="75"/>
        <v>0</v>
      </c>
      <c r="EW76" s="883">
        <f t="shared" ca="1" si="75"/>
        <v>0</v>
      </c>
      <c r="EX76" s="883">
        <f t="shared" ca="1" si="75"/>
        <v>0</v>
      </c>
      <c r="EY76" s="883">
        <f t="shared" ca="1" si="75"/>
        <v>0</v>
      </c>
      <c r="EZ76" s="883">
        <f t="shared" ca="1" si="75"/>
        <v>0</v>
      </c>
      <c r="FA76" s="883">
        <f t="shared" ca="1" si="75"/>
        <v>0</v>
      </c>
    </row>
    <row r="77" spans="8:157">
      <c r="H77" s="891" t="str">
        <f t="shared" ref="H77:H108" ca="1" si="80">IF(H76&lt;$B$2,H76+1,"")</f>
        <v/>
      </c>
      <c r="I77" s="1206" t="e">
        <f t="shared" ca="1" si="77"/>
        <v>#N/A</v>
      </c>
      <c r="J77" s="1206">
        <f t="shared" ca="1" si="78"/>
        <v>0</v>
      </c>
      <c r="K77" s="929" t="str">
        <f t="shared" si="79"/>
        <v/>
      </c>
      <c r="L77" s="929" t="str">
        <f t="shared" ref="L77:L140" si="81">IF($B$6=0,"",SUMIFS($R$65:$R$106,$T$65:$T$106,$H77))</f>
        <v/>
      </c>
      <c r="N77" s="1714">
        <v>7</v>
      </c>
      <c r="P77" s="882" t="e">
        <f ca="1">VLOOKUP(Q77,bond!B:AA,26,FALSE)</f>
        <v>#N/A</v>
      </c>
      <c r="Q77" s="928">
        <f ca="1">Change投!S19</f>
        <v>0</v>
      </c>
      <c r="R77" s="889">
        <f ca="1">IFERROR(IF(Q77="",0,IF($D$4=1,Change投!AC19*Change投!AJ19,Change投!AC19)),0)</f>
        <v>0</v>
      </c>
      <c r="S77" s="885" t="e">
        <f ca="1">Change投!W19</f>
        <v>#N/A</v>
      </c>
      <c r="T77" s="883">
        <f t="shared" ca="1" si="64"/>
        <v>0</v>
      </c>
      <c r="U77" s="885" t="str">
        <f ca="1">Change投!Z19</f>
        <v/>
      </c>
      <c r="V77" s="886" t="str">
        <f t="shared" ca="1" si="65"/>
        <v/>
      </c>
      <c r="W77" s="885" t="e">
        <f t="shared" ca="1" si="66"/>
        <v>#N/A</v>
      </c>
      <c r="X77" s="886" t="str">
        <f t="shared" ca="1" si="67"/>
        <v/>
      </c>
      <c r="Y77" s="887" t="str">
        <f ca="1">Change投!Y19</f>
        <v/>
      </c>
      <c r="Z77" s="886">
        <f ca="1">Change投!AC19</f>
        <v>0</v>
      </c>
      <c r="AA77" s="1205">
        <f ca="1">Change投!X19</f>
        <v>0</v>
      </c>
      <c r="AB77" s="881">
        <f ca="1">Change投!AJ19</f>
        <v>0</v>
      </c>
      <c r="AC77" s="887">
        <f t="shared" ca="1" si="61"/>
        <v>0</v>
      </c>
      <c r="AD77" s="883">
        <f t="shared" ca="1" si="68"/>
        <v>0</v>
      </c>
      <c r="AE77" s="883">
        <f t="shared" ca="1" si="69"/>
        <v>0</v>
      </c>
      <c r="AF77" s="883">
        <f t="shared" ca="1" si="76"/>
        <v>0</v>
      </c>
      <c r="AG77" s="883">
        <f t="shared" ca="1" si="76"/>
        <v>0</v>
      </c>
      <c r="AH77" s="883">
        <f t="shared" ca="1" si="76"/>
        <v>0</v>
      </c>
      <c r="AI77" s="883">
        <f t="shared" ca="1" si="76"/>
        <v>0</v>
      </c>
      <c r="AJ77" s="883">
        <f t="shared" ca="1" si="76"/>
        <v>0</v>
      </c>
      <c r="AK77" s="883">
        <f t="shared" ca="1" si="76"/>
        <v>0</v>
      </c>
      <c r="AL77" s="883">
        <f t="shared" ca="1" si="76"/>
        <v>0</v>
      </c>
      <c r="AM77" s="883">
        <f t="shared" ca="1" si="76"/>
        <v>0</v>
      </c>
      <c r="AN77" s="883">
        <f t="shared" ca="1" si="76"/>
        <v>0</v>
      </c>
      <c r="AO77" s="883">
        <f t="shared" ca="1" si="76"/>
        <v>0</v>
      </c>
      <c r="AP77" s="883">
        <f t="shared" ca="1" si="76"/>
        <v>0</v>
      </c>
      <c r="AQ77" s="883">
        <f t="shared" ca="1" si="76"/>
        <v>0</v>
      </c>
      <c r="AR77" s="883">
        <f t="shared" ca="1" si="76"/>
        <v>0</v>
      </c>
      <c r="AS77" s="883">
        <f t="shared" ca="1" si="76"/>
        <v>0</v>
      </c>
      <c r="AT77" s="883">
        <f t="shared" ca="1" si="76"/>
        <v>0</v>
      </c>
      <c r="AU77" s="883">
        <f t="shared" ca="1" si="76"/>
        <v>0</v>
      </c>
      <c r="AV77" s="883">
        <f t="shared" ca="1" si="76"/>
        <v>0</v>
      </c>
      <c r="AW77" s="883">
        <f t="shared" ca="1" si="76"/>
        <v>0</v>
      </c>
      <c r="AX77" s="883">
        <f t="shared" ca="1" si="76"/>
        <v>0</v>
      </c>
      <c r="AY77" s="883">
        <f t="shared" ca="1" si="76"/>
        <v>0</v>
      </c>
      <c r="AZ77" s="883">
        <f t="shared" ca="1" si="76"/>
        <v>0</v>
      </c>
      <c r="BA77" s="883">
        <f t="shared" ca="1" si="76"/>
        <v>0</v>
      </c>
      <c r="BB77" s="883">
        <f t="shared" ca="1" si="76"/>
        <v>0</v>
      </c>
      <c r="BC77" s="883">
        <f t="shared" ca="1" si="76"/>
        <v>0</v>
      </c>
      <c r="BD77" s="883">
        <f t="shared" ca="1" si="76"/>
        <v>0</v>
      </c>
      <c r="BE77" s="883">
        <f t="shared" ca="1" si="76"/>
        <v>0</v>
      </c>
      <c r="BF77" s="883">
        <f t="shared" ca="1" si="76"/>
        <v>0</v>
      </c>
      <c r="BG77" s="883">
        <f t="shared" ca="1" si="76"/>
        <v>0</v>
      </c>
      <c r="BH77" s="883">
        <f t="shared" ca="1" si="76"/>
        <v>0</v>
      </c>
      <c r="BI77" s="883">
        <f t="shared" ca="1" si="76"/>
        <v>0</v>
      </c>
      <c r="BJ77" s="883">
        <f t="shared" ca="1" si="76"/>
        <v>0</v>
      </c>
      <c r="BK77" s="883">
        <f t="shared" ca="1" si="76"/>
        <v>0</v>
      </c>
      <c r="BL77" s="883">
        <f t="shared" ca="1" si="76"/>
        <v>0</v>
      </c>
      <c r="BM77" s="883">
        <f t="shared" ca="1" si="76"/>
        <v>0</v>
      </c>
      <c r="BN77" s="883">
        <f t="shared" ca="1" si="76"/>
        <v>0</v>
      </c>
      <c r="BO77" s="883">
        <f t="shared" ca="1" si="76"/>
        <v>0</v>
      </c>
      <c r="BP77" s="883">
        <f t="shared" ca="1" si="76"/>
        <v>0</v>
      </c>
      <c r="BQ77" s="883">
        <f t="shared" ca="1" si="76"/>
        <v>0</v>
      </c>
      <c r="BR77" s="883">
        <f t="shared" ca="1" si="76"/>
        <v>0</v>
      </c>
      <c r="BS77" s="883">
        <f t="shared" ca="1" si="76"/>
        <v>0</v>
      </c>
      <c r="BT77" s="883">
        <f t="shared" ca="1" si="76"/>
        <v>0</v>
      </c>
      <c r="BU77" s="883">
        <f t="shared" ca="1" si="76"/>
        <v>0</v>
      </c>
      <c r="BV77" s="883">
        <f t="shared" ca="1" si="76"/>
        <v>0</v>
      </c>
      <c r="BW77" s="883">
        <f t="shared" ca="1" si="76"/>
        <v>0</v>
      </c>
      <c r="BX77" s="883">
        <f t="shared" ca="1" si="76"/>
        <v>0</v>
      </c>
      <c r="BY77" s="883">
        <f t="shared" ca="1" si="76"/>
        <v>0</v>
      </c>
      <c r="BZ77" s="883">
        <f t="shared" ca="1" si="76"/>
        <v>0</v>
      </c>
      <c r="CA77" s="883">
        <f t="shared" ca="1" si="76"/>
        <v>0</v>
      </c>
      <c r="CB77" s="883">
        <f t="shared" ca="1" si="76"/>
        <v>0</v>
      </c>
      <c r="CC77" s="883">
        <f t="shared" ca="1" si="76"/>
        <v>0</v>
      </c>
      <c r="CD77" s="883">
        <f t="shared" ca="1" si="76"/>
        <v>0</v>
      </c>
      <c r="CE77" s="883">
        <f t="shared" ca="1" si="76"/>
        <v>0</v>
      </c>
      <c r="CF77" s="883">
        <f t="shared" ca="1" si="76"/>
        <v>0</v>
      </c>
      <c r="CG77" s="883">
        <f t="shared" ca="1" si="76"/>
        <v>0</v>
      </c>
      <c r="CH77" s="883">
        <f t="shared" ca="1" si="76"/>
        <v>0</v>
      </c>
      <c r="CI77" s="883">
        <f t="shared" ca="1" si="76"/>
        <v>0</v>
      </c>
      <c r="CJ77" s="883">
        <f t="shared" ca="1" si="76"/>
        <v>0</v>
      </c>
      <c r="CK77" s="883">
        <f t="shared" ca="1" si="76"/>
        <v>0</v>
      </c>
      <c r="CL77" s="883">
        <f t="shared" ca="1" si="76"/>
        <v>0</v>
      </c>
      <c r="CM77" s="883">
        <f t="shared" ca="1" si="76"/>
        <v>0</v>
      </c>
      <c r="CN77" s="883">
        <f t="shared" ca="1" si="76"/>
        <v>0</v>
      </c>
      <c r="CO77" s="883">
        <f t="shared" ca="1" si="76"/>
        <v>0</v>
      </c>
      <c r="CP77" s="883">
        <f t="shared" ca="1" si="76"/>
        <v>0</v>
      </c>
      <c r="CQ77" s="883">
        <f t="shared" ca="1" si="76"/>
        <v>0</v>
      </c>
      <c r="CR77" s="883">
        <f t="shared" ca="1" si="75"/>
        <v>0</v>
      </c>
      <c r="CS77" s="883">
        <f t="shared" ca="1" si="75"/>
        <v>0</v>
      </c>
      <c r="CT77" s="883">
        <f t="shared" ca="1" si="75"/>
        <v>0</v>
      </c>
      <c r="CU77" s="883">
        <f t="shared" ca="1" si="75"/>
        <v>0</v>
      </c>
      <c r="CV77" s="883">
        <f t="shared" ca="1" si="75"/>
        <v>0</v>
      </c>
      <c r="CW77" s="883">
        <f t="shared" ca="1" si="75"/>
        <v>0</v>
      </c>
      <c r="CX77" s="883">
        <f t="shared" ca="1" si="75"/>
        <v>0</v>
      </c>
      <c r="CY77" s="883">
        <f t="shared" ca="1" si="75"/>
        <v>0</v>
      </c>
      <c r="CZ77" s="883">
        <f t="shared" ca="1" si="75"/>
        <v>0</v>
      </c>
      <c r="DA77" s="883">
        <f t="shared" ca="1" si="75"/>
        <v>0</v>
      </c>
      <c r="DB77" s="883">
        <f t="shared" ca="1" si="75"/>
        <v>0</v>
      </c>
      <c r="DC77" s="883">
        <f t="shared" ca="1" si="75"/>
        <v>0</v>
      </c>
      <c r="DD77" s="883">
        <f t="shared" ca="1" si="75"/>
        <v>0</v>
      </c>
      <c r="DE77" s="883">
        <f t="shared" ca="1" si="75"/>
        <v>0</v>
      </c>
      <c r="DF77" s="883">
        <f t="shared" ca="1" si="75"/>
        <v>0</v>
      </c>
      <c r="DG77" s="883">
        <f t="shared" ca="1" si="75"/>
        <v>0</v>
      </c>
      <c r="DH77" s="883">
        <f t="shared" ca="1" si="75"/>
        <v>0</v>
      </c>
      <c r="DI77" s="883">
        <f t="shared" ca="1" si="75"/>
        <v>0</v>
      </c>
      <c r="DJ77" s="883">
        <f t="shared" ca="1" si="75"/>
        <v>0</v>
      </c>
      <c r="DK77" s="883">
        <f t="shared" ca="1" si="75"/>
        <v>0</v>
      </c>
      <c r="DL77" s="883">
        <f t="shared" ca="1" si="75"/>
        <v>0</v>
      </c>
      <c r="DM77" s="883">
        <f t="shared" ca="1" si="75"/>
        <v>0</v>
      </c>
      <c r="DN77" s="883">
        <f t="shared" ca="1" si="75"/>
        <v>0</v>
      </c>
      <c r="DO77" s="883">
        <f t="shared" ca="1" si="75"/>
        <v>0</v>
      </c>
      <c r="DP77" s="883">
        <f t="shared" ca="1" si="75"/>
        <v>0</v>
      </c>
      <c r="DQ77" s="883">
        <f t="shared" ca="1" si="75"/>
        <v>0</v>
      </c>
      <c r="DR77" s="883">
        <f t="shared" ca="1" si="75"/>
        <v>0</v>
      </c>
      <c r="DS77" s="883">
        <f t="shared" ca="1" si="75"/>
        <v>0</v>
      </c>
      <c r="DT77" s="883">
        <f t="shared" ca="1" si="75"/>
        <v>0</v>
      </c>
      <c r="DU77" s="883">
        <f t="shared" ca="1" si="75"/>
        <v>0</v>
      </c>
      <c r="DV77" s="883">
        <f t="shared" ca="1" si="75"/>
        <v>0</v>
      </c>
      <c r="DW77" s="883">
        <f t="shared" ca="1" si="75"/>
        <v>0</v>
      </c>
      <c r="DX77" s="883">
        <f t="shared" ca="1" si="75"/>
        <v>0</v>
      </c>
      <c r="DY77" s="883">
        <f t="shared" ca="1" si="75"/>
        <v>0</v>
      </c>
      <c r="DZ77" s="883">
        <f t="shared" ca="1" si="75"/>
        <v>0</v>
      </c>
      <c r="EA77" s="883">
        <f t="shared" ca="1" si="75"/>
        <v>0</v>
      </c>
      <c r="EB77" s="883">
        <f t="shared" ca="1" si="75"/>
        <v>0</v>
      </c>
      <c r="EC77" s="883">
        <f t="shared" ca="1" si="75"/>
        <v>0</v>
      </c>
      <c r="ED77" s="883">
        <f t="shared" ca="1" si="75"/>
        <v>0</v>
      </c>
      <c r="EE77" s="883">
        <f t="shared" ca="1" si="75"/>
        <v>0</v>
      </c>
      <c r="EF77" s="883">
        <f t="shared" ca="1" si="75"/>
        <v>0</v>
      </c>
      <c r="EG77" s="883">
        <f t="shared" ca="1" si="75"/>
        <v>0</v>
      </c>
      <c r="EH77" s="883">
        <f t="shared" ca="1" si="75"/>
        <v>0</v>
      </c>
      <c r="EI77" s="883">
        <f t="shared" ca="1" si="75"/>
        <v>0</v>
      </c>
      <c r="EJ77" s="883">
        <f t="shared" ca="1" si="75"/>
        <v>0</v>
      </c>
      <c r="EK77" s="883">
        <f t="shared" ca="1" si="75"/>
        <v>0</v>
      </c>
      <c r="EL77" s="883">
        <f t="shared" ca="1" si="75"/>
        <v>0</v>
      </c>
      <c r="EM77" s="883">
        <f t="shared" ca="1" si="75"/>
        <v>0</v>
      </c>
      <c r="EN77" s="883">
        <f t="shared" ca="1" si="75"/>
        <v>0</v>
      </c>
      <c r="EO77" s="883">
        <f t="shared" ca="1" si="75"/>
        <v>0</v>
      </c>
      <c r="EP77" s="883">
        <f t="shared" ca="1" si="75"/>
        <v>0</v>
      </c>
      <c r="EQ77" s="883">
        <f t="shared" ca="1" si="75"/>
        <v>0</v>
      </c>
      <c r="ER77" s="883">
        <f t="shared" ca="1" si="75"/>
        <v>0</v>
      </c>
      <c r="ES77" s="883">
        <f t="shared" ca="1" si="75"/>
        <v>0</v>
      </c>
      <c r="ET77" s="883">
        <f t="shared" ca="1" si="75"/>
        <v>0</v>
      </c>
      <c r="EU77" s="883">
        <f t="shared" ca="1" si="75"/>
        <v>0</v>
      </c>
      <c r="EV77" s="883">
        <f t="shared" ca="1" si="75"/>
        <v>0</v>
      </c>
      <c r="EW77" s="883">
        <f t="shared" ca="1" si="75"/>
        <v>0</v>
      </c>
      <c r="EX77" s="883">
        <f t="shared" ca="1" si="75"/>
        <v>0</v>
      </c>
      <c r="EY77" s="883">
        <f t="shared" ca="1" si="75"/>
        <v>0</v>
      </c>
      <c r="EZ77" s="883">
        <f t="shared" ca="1" si="75"/>
        <v>0</v>
      </c>
      <c r="FA77" s="883">
        <f t="shared" ca="1" si="75"/>
        <v>0</v>
      </c>
    </row>
    <row r="78" spans="8:157">
      <c r="H78" s="891" t="str">
        <f t="shared" ca="1" si="80"/>
        <v/>
      </c>
      <c r="I78" s="1206" t="e">
        <f t="shared" ca="1" si="77"/>
        <v>#N/A</v>
      </c>
      <c r="J78" s="1206">
        <f t="shared" ca="1" si="78"/>
        <v>0</v>
      </c>
      <c r="K78" s="929" t="str">
        <f t="shared" si="79"/>
        <v/>
      </c>
      <c r="L78" s="929" t="str">
        <f t="shared" si="81"/>
        <v/>
      </c>
      <c r="N78" s="1714">
        <v>8</v>
      </c>
      <c r="P78" s="882" t="e">
        <f ca="1">VLOOKUP(Q78,bond!B:AA,26,FALSE)</f>
        <v>#N/A</v>
      </c>
      <c r="Q78" s="928">
        <f ca="1">Change投!S20</f>
        <v>0</v>
      </c>
      <c r="R78" s="889">
        <f ca="1">IFERROR(IF(Q78="",0,IF($D$4=1,Change投!AC20*Change投!AJ20,Change投!AC20)),0)</f>
        <v>0</v>
      </c>
      <c r="S78" s="885" t="e">
        <f ca="1">Change投!W20</f>
        <v>#N/A</v>
      </c>
      <c r="T78" s="883">
        <f t="shared" ca="1" si="64"/>
        <v>0</v>
      </c>
      <c r="U78" s="885" t="str">
        <f ca="1">Change投!Z20</f>
        <v/>
      </c>
      <c r="V78" s="886" t="str">
        <f ca="1">IFERROR(YEAR(U78),"")</f>
        <v/>
      </c>
      <c r="W78" s="885" t="e">
        <f t="shared" ca="1" si="66"/>
        <v>#N/A</v>
      </c>
      <c r="X78" s="886" t="str">
        <f ca="1">IFERROR(YEAR(W78),"")</f>
        <v/>
      </c>
      <c r="Y78" s="887" t="str">
        <f ca="1">Change投!Y20</f>
        <v/>
      </c>
      <c r="Z78" s="886">
        <f ca="1">Change投!AC20</f>
        <v>0</v>
      </c>
      <c r="AA78" s="1205">
        <f ca="1">Change投!X20</f>
        <v>0</v>
      </c>
      <c r="AB78" s="881">
        <f ca="1">Change投!AJ20</f>
        <v>0</v>
      </c>
      <c r="AC78" s="887">
        <f t="shared" ca="1" si="61"/>
        <v>0</v>
      </c>
      <c r="AD78" s="883">
        <f t="shared" ca="1" si="68"/>
        <v>0</v>
      </c>
      <c r="AE78" s="883">
        <f t="shared" ca="1" si="69"/>
        <v>0</v>
      </c>
      <c r="AF78" s="883">
        <f t="shared" ca="1" si="76"/>
        <v>0</v>
      </c>
      <c r="AG78" s="883">
        <f t="shared" ca="1" si="76"/>
        <v>0</v>
      </c>
      <c r="AH78" s="883">
        <f t="shared" ca="1" si="76"/>
        <v>0</v>
      </c>
      <c r="AI78" s="883">
        <f t="shared" ca="1" si="76"/>
        <v>0</v>
      </c>
      <c r="AJ78" s="883">
        <f t="shared" ca="1" si="76"/>
        <v>0</v>
      </c>
      <c r="AK78" s="883">
        <f t="shared" ca="1" si="76"/>
        <v>0</v>
      </c>
      <c r="AL78" s="883">
        <f t="shared" ca="1" si="76"/>
        <v>0</v>
      </c>
      <c r="AM78" s="883">
        <f t="shared" ca="1" si="76"/>
        <v>0</v>
      </c>
      <c r="AN78" s="883">
        <f t="shared" ca="1" si="76"/>
        <v>0</v>
      </c>
      <c r="AO78" s="883">
        <f t="shared" ca="1" si="76"/>
        <v>0</v>
      </c>
      <c r="AP78" s="883">
        <f t="shared" ca="1" si="76"/>
        <v>0</v>
      </c>
      <c r="AQ78" s="883">
        <f t="shared" ca="1" si="76"/>
        <v>0</v>
      </c>
      <c r="AR78" s="883">
        <f t="shared" ca="1" si="76"/>
        <v>0</v>
      </c>
      <c r="AS78" s="883">
        <f t="shared" ca="1" si="76"/>
        <v>0</v>
      </c>
      <c r="AT78" s="883">
        <f t="shared" ca="1" si="76"/>
        <v>0</v>
      </c>
      <c r="AU78" s="883">
        <f t="shared" ca="1" si="76"/>
        <v>0</v>
      </c>
      <c r="AV78" s="883">
        <f t="shared" ca="1" si="76"/>
        <v>0</v>
      </c>
      <c r="AW78" s="883">
        <f t="shared" ca="1" si="76"/>
        <v>0</v>
      </c>
      <c r="AX78" s="883">
        <f t="shared" ca="1" si="76"/>
        <v>0</v>
      </c>
      <c r="AY78" s="883">
        <f t="shared" ca="1" si="76"/>
        <v>0</v>
      </c>
      <c r="AZ78" s="883">
        <f t="shared" ca="1" si="76"/>
        <v>0</v>
      </c>
      <c r="BA78" s="883">
        <f t="shared" ca="1" si="76"/>
        <v>0</v>
      </c>
      <c r="BB78" s="883">
        <f t="shared" ca="1" si="76"/>
        <v>0</v>
      </c>
      <c r="BC78" s="883">
        <f t="shared" ca="1" si="76"/>
        <v>0</v>
      </c>
      <c r="BD78" s="883">
        <f t="shared" ca="1" si="76"/>
        <v>0</v>
      </c>
      <c r="BE78" s="883">
        <f t="shared" ca="1" si="76"/>
        <v>0</v>
      </c>
      <c r="BF78" s="883">
        <f t="shared" ca="1" si="76"/>
        <v>0</v>
      </c>
      <c r="BG78" s="883">
        <f t="shared" ca="1" si="76"/>
        <v>0</v>
      </c>
      <c r="BH78" s="883">
        <f t="shared" ca="1" si="76"/>
        <v>0</v>
      </c>
      <c r="BI78" s="883">
        <f t="shared" ca="1" si="76"/>
        <v>0</v>
      </c>
      <c r="BJ78" s="883">
        <f t="shared" ca="1" si="76"/>
        <v>0</v>
      </c>
      <c r="BK78" s="883">
        <f t="shared" ca="1" si="76"/>
        <v>0</v>
      </c>
      <c r="BL78" s="883">
        <f t="shared" ca="1" si="76"/>
        <v>0</v>
      </c>
      <c r="BM78" s="883">
        <f t="shared" ca="1" si="76"/>
        <v>0</v>
      </c>
      <c r="BN78" s="883">
        <f t="shared" ca="1" si="76"/>
        <v>0</v>
      </c>
      <c r="BO78" s="883">
        <f t="shared" ca="1" si="76"/>
        <v>0</v>
      </c>
      <c r="BP78" s="883">
        <f t="shared" ca="1" si="76"/>
        <v>0</v>
      </c>
      <c r="BQ78" s="883">
        <f t="shared" ca="1" si="76"/>
        <v>0</v>
      </c>
      <c r="BR78" s="883">
        <f t="shared" ca="1" si="76"/>
        <v>0</v>
      </c>
      <c r="BS78" s="883">
        <f t="shared" ca="1" si="76"/>
        <v>0</v>
      </c>
      <c r="BT78" s="883">
        <f t="shared" ca="1" si="76"/>
        <v>0</v>
      </c>
      <c r="BU78" s="883">
        <f t="shared" ca="1" si="76"/>
        <v>0</v>
      </c>
      <c r="BV78" s="883">
        <f t="shared" ca="1" si="76"/>
        <v>0</v>
      </c>
      <c r="BW78" s="883">
        <f t="shared" ca="1" si="76"/>
        <v>0</v>
      </c>
      <c r="BX78" s="883">
        <f t="shared" ca="1" si="76"/>
        <v>0</v>
      </c>
      <c r="BY78" s="883">
        <f t="shared" ca="1" si="76"/>
        <v>0</v>
      </c>
      <c r="BZ78" s="883">
        <f t="shared" ca="1" si="76"/>
        <v>0</v>
      </c>
      <c r="CA78" s="883">
        <f t="shared" ca="1" si="76"/>
        <v>0</v>
      </c>
      <c r="CB78" s="883">
        <f t="shared" ca="1" si="76"/>
        <v>0</v>
      </c>
      <c r="CC78" s="883">
        <f t="shared" ca="1" si="76"/>
        <v>0</v>
      </c>
      <c r="CD78" s="883">
        <f t="shared" ca="1" si="76"/>
        <v>0</v>
      </c>
      <c r="CE78" s="883">
        <f t="shared" ca="1" si="76"/>
        <v>0</v>
      </c>
      <c r="CF78" s="883">
        <f t="shared" ca="1" si="76"/>
        <v>0</v>
      </c>
      <c r="CG78" s="883">
        <f t="shared" ca="1" si="76"/>
        <v>0</v>
      </c>
      <c r="CH78" s="883">
        <f t="shared" ca="1" si="76"/>
        <v>0</v>
      </c>
      <c r="CI78" s="883">
        <f t="shared" ca="1" si="76"/>
        <v>0</v>
      </c>
      <c r="CJ78" s="883">
        <f t="shared" ca="1" si="76"/>
        <v>0</v>
      </c>
      <c r="CK78" s="883">
        <f t="shared" ca="1" si="76"/>
        <v>0</v>
      </c>
      <c r="CL78" s="883">
        <f t="shared" ca="1" si="76"/>
        <v>0</v>
      </c>
      <c r="CM78" s="883">
        <f t="shared" ca="1" si="76"/>
        <v>0</v>
      </c>
      <c r="CN78" s="883">
        <f t="shared" ca="1" si="76"/>
        <v>0</v>
      </c>
      <c r="CO78" s="883">
        <f t="shared" ca="1" si="76"/>
        <v>0</v>
      </c>
      <c r="CP78" s="883">
        <f t="shared" ca="1" si="76"/>
        <v>0</v>
      </c>
      <c r="CQ78" s="883">
        <f t="shared" ref="AF78:CQ82" ca="1" si="82">IFERROR(IF(YEAR($W78)&lt;CQ$4,0,IF(YEAR($W78)=CQ$4,IF($P78="美國國庫債券",ROUND(DATEDIF($U78,$W78,"M")/(12/$Y78),0)+1,DATEDIF($U78,$W78,"M")/(12/$Y78)+1),INT(DATEDIF($U78,CQ$5,"M")/(12/$Y78))+1)),0)</f>
        <v>0</v>
      </c>
      <c r="CR78" s="883">
        <f t="shared" ca="1" si="75"/>
        <v>0</v>
      </c>
      <c r="CS78" s="883">
        <f t="shared" ca="1" si="75"/>
        <v>0</v>
      </c>
      <c r="CT78" s="883">
        <f t="shared" ca="1" si="75"/>
        <v>0</v>
      </c>
      <c r="CU78" s="883">
        <f t="shared" ca="1" si="75"/>
        <v>0</v>
      </c>
      <c r="CV78" s="883">
        <f t="shared" ca="1" si="75"/>
        <v>0</v>
      </c>
      <c r="CW78" s="883">
        <f t="shared" ca="1" si="75"/>
        <v>0</v>
      </c>
      <c r="CX78" s="883">
        <f t="shared" ref="CX78:DM93" ca="1" si="83">IFERROR(IF(YEAR($W78)&lt;CX$4,0,IF(YEAR($W78)=CX$4,IF($P78="美國國庫債券",ROUND(DATEDIF($U78,$W78,"M")/(12/$Y78),0)+1,DATEDIF($U78,$W78,"M")/(12/$Y78)+1),INT(DATEDIF($U78,CX$5,"M")/(12/$Y78))+1)),0)</f>
        <v>0</v>
      </c>
      <c r="CY78" s="883">
        <f t="shared" ca="1" si="83"/>
        <v>0</v>
      </c>
      <c r="CZ78" s="883">
        <f t="shared" ca="1" si="83"/>
        <v>0</v>
      </c>
      <c r="DA78" s="883">
        <f t="shared" ca="1" si="83"/>
        <v>0</v>
      </c>
      <c r="DB78" s="883">
        <f t="shared" ca="1" si="83"/>
        <v>0</v>
      </c>
      <c r="DC78" s="883">
        <f t="shared" ca="1" si="83"/>
        <v>0</v>
      </c>
      <c r="DD78" s="883">
        <f t="shared" ca="1" si="83"/>
        <v>0</v>
      </c>
      <c r="DE78" s="883">
        <f t="shared" ca="1" si="83"/>
        <v>0</v>
      </c>
      <c r="DF78" s="883">
        <f t="shared" ca="1" si="83"/>
        <v>0</v>
      </c>
      <c r="DG78" s="883">
        <f t="shared" ca="1" si="83"/>
        <v>0</v>
      </c>
      <c r="DH78" s="883">
        <f t="shared" ca="1" si="83"/>
        <v>0</v>
      </c>
      <c r="DI78" s="883">
        <f t="shared" ca="1" si="83"/>
        <v>0</v>
      </c>
      <c r="DJ78" s="883">
        <f t="shared" ca="1" si="83"/>
        <v>0</v>
      </c>
      <c r="DK78" s="883">
        <f t="shared" ca="1" si="83"/>
        <v>0</v>
      </c>
      <c r="DL78" s="883">
        <f t="shared" ca="1" si="83"/>
        <v>0</v>
      </c>
      <c r="DM78" s="883">
        <f t="shared" ca="1" si="83"/>
        <v>0</v>
      </c>
      <c r="DN78" s="883">
        <f t="shared" ref="DN78:EC93" ca="1" si="84">IFERROR(IF(YEAR($W78)&lt;DN$4,0,IF(YEAR($W78)=DN$4,IF($P78="美國國庫債券",ROUND(DATEDIF($U78,$W78,"M")/(12/$Y78),0)+1,DATEDIF($U78,$W78,"M")/(12/$Y78)+1),INT(DATEDIF($U78,DN$5,"M")/(12/$Y78))+1)),0)</f>
        <v>0</v>
      </c>
      <c r="DO78" s="883">
        <f t="shared" ca="1" si="84"/>
        <v>0</v>
      </c>
      <c r="DP78" s="883">
        <f t="shared" ca="1" si="84"/>
        <v>0</v>
      </c>
      <c r="DQ78" s="883">
        <f t="shared" ca="1" si="84"/>
        <v>0</v>
      </c>
      <c r="DR78" s="883">
        <f t="shared" ca="1" si="84"/>
        <v>0</v>
      </c>
      <c r="DS78" s="883">
        <f t="shared" ca="1" si="84"/>
        <v>0</v>
      </c>
      <c r="DT78" s="883">
        <f t="shared" ca="1" si="84"/>
        <v>0</v>
      </c>
      <c r="DU78" s="883">
        <f t="shared" ca="1" si="84"/>
        <v>0</v>
      </c>
      <c r="DV78" s="883">
        <f t="shared" ca="1" si="84"/>
        <v>0</v>
      </c>
      <c r="DW78" s="883">
        <f t="shared" ca="1" si="84"/>
        <v>0</v>
      </c>
      <c r="DX78" s="883">
        <f t="shared" ca="1" si="84"/>
        <v>0</v>
      </c>
      <c r="DY78" s="883">
        <f t="shared" ca="1" si="84"/>
        <v>0</v>
      </c>
      <c r="DZ78" s="883">
        <f t="shared" ca="1" si="84"/>
        <v>0</v>
      </c>
      <c r="EA78" s="883">
        <f t="shared" ca="1" si="84"/>
        <v>0</v>
      </c>
      <c r="EB78" s="883">
        <f t="shared" ca="1" si="84"/>
        <v>0</v>
      </c>
      <c r="EC78" s="883">
        <f t="shared" ca="1" si="84"/>
        <v>0</v>
      </c>
      <c r="ED78" s="883">
        <f t="shared" ref="ED78:ES93" ca="1" si="85">IFERROR(IF(YEAR($W78)&lt;ED$4,0,IF(YEAR($W78)=ED$4,IF($P78="美國國庫債券",ROUND(DATEDIF($U78,$W78,"M")/(12/$Y78),0)+1,DATEDIF($U78,$W78,"M")/(12/$Y78)+1),INT(DATEDIF($U78,ED$5,"M")/(12/$Y78))+1)),0)</f>
        <v>0</v>
      </c>
      <c r="EE78" s="883">
        <f t="shared" ca="1" si="85"/>
        <v>0</v>
      </c>
      <c r="EF78" s="883">
        <f t="shared" ca="1" si="85"/>
        <v>0</v>
      </c>
      <c r="EG78" s="883">
        <f t="shared" ca="1" si="85"/>
        <v>0</v>
      </c>
      <c r="EH78" s="883">
        <f t="shared" ca="1" si="85"/>
        <v>0</v>
      </c>
      <c r="EI78" s="883">
        <f t="shared" ca="1" si="85"/>
        <v>0</v>
      </c>
      <c r="EJ78" s="883">
        <f t="shared" ca="1" si="85"/>
        <v>0</v>
      </c>
      <c r="EK78" s="883">
        <f t="shared" ca="1" si="85"/>
        <v>0</v>
      </c>
      <c r="EL78" s="883">
        <f t="shared" ca="1" si="85"/>
        <v>0</v>
      </c>
      <c r="EM78" s="883">
        <f t="shared" ca="1" si="85"/>
        <v>0</v>
      </c>
      <c r="EN78" s="883">
        <f t="shared" ca="1" si="85"/>
        <v>0</v>
      </c>
      <c r="EO78" s="883">
        <f t="shared" ca="1" si="85"/>
        <v>0</v>
      </c>
      <c r="EP78" s="883">
        <f t="shared" ca="1" si="85"/>
        <v>0</v>
      </c>
      <c r="EQ78" s="883">
        <f t="shared" ca="1" si="85"/>
        <v>0</v>
      </c>
      <c r="ER78" s="883">
        <f t="shared" ca="1" si="85"/>
        <v>0</v>
      </c>
      <c r="ES78" s="883">
        <f t="shared" ca="1" si="85"/>
        <v>0</v>
      </c>
      <c r="ET78" s="883">
        <f t="shared" ref="ET78:FA93" ca="1" si="86">IFERROR(IF(YEAR($W78)&lt;ET$4,0,IF(YEAR($W78)=ET$4,IF($P78="美國國庫債券",ROUND(DATEDIF($U78,$W78,"M")/(12/$Y78),0)+1,DATEDIF($U78,$W78,"M")/(12/$Y78)+1),INT(DATEDIF($U78,ET$5,"M")/(12/$Y78))+1)),0)</f>
        <v>0</v>
      </c>
      <c r="EU78" s="883">
        <f t="shared" ca="1" si="86"/>
        <v>0</v>
      </c>
      <c r="EV78" s="883">
        <f t="shared" ca="1" si="86"/>
        <v>0</v>
      </c>
      <c r="EW78" s="883">
        <f t="shared" ca="1" si="86"/>
        <v>0</v>
      </c>
      <c r="EX78" s="883">
        <f t="shared" ca="1" si="86"/>
        <v>0</v>
      </c>
      <c r="EY78" s="883">
        <f t="shared" ca="1" si="86"/>
        <v>0</v>
      </c>
      <c r="EZ78" s="883">
        <f t="shared" ca="1" si="86"/>
        <v>0</v>
      </c>
      <c r="FA78" s="883">
        <f t="shared" ca="1" si="86"/>
        <v>0</v>
      </c>
    </row>
    <row r="79" spans="8:157">
      <c r="H79" s="891" t="str">
        <f t="shared" ca="1" si="80"/>
        <v/>
      </c>
      <c r="I79" s="1206" t="e">
        <f t="shared" ca="1" si="77"/>
        <v>#N/A</v>
      </c>
      <c r="J79" s="1206">
        <f t="shared" ca="1" si="78"/>
        <v>0</v>
      </c>
      <c r="K79" s="929" t="str">
        <f t="shared" si="79"/>
        <v/>
      </c>
      <c r="L79" s="929" t="str">
        <f t="shared" si="81"/>
        <v/>
      </c>
      <c r="N79" s="1714">
        <v>9</v>
      </c>
      <c r="P79" s="882" t="e">
        <f ca="1">VLOOKUP(Q79,bond!B:AA,26,FALSE)</f>
        <v>#N/A</v>
      </c>
      <c r="Q79" s="928">
        <f ca="1">Change投!S21</f>
        <v>0</v>
      </c>
      <c r="R79" s="889">
        <f ca="1">IFERROR(IF(Q79="",0,IF($D$4=1,Change投!AC21*Change投!AJ21,Change投!AC21)),0)</f>
        <v>0</v>
      </c>
      <c r="S79" s="885" t="e">
        <f ca="1">Change投!W21</f>
        <v>#N/A</v>
      </c>
      <c r="T79" s="883">
        <f t="shared" ca="1" si="64"/>
        <v>0</v>
      </c>
      <c r="U79" s="885" t="str">
        <f ca="1">Change投!Z21</f>
        <v/>
      </c>
      <c r="V79" s="886" t="str">
        <f ca="1">IFERROR(YEAR(U79),"")</f>
        <v/>
      </c>
      <c r="W79" s="885" t="e">
        <f t="shared" ca="1" si="66"/>
        <v>#N/A</v>
      </c>
      <c r="X79" s="886" t="str">
        <f ca="1">IFERROR(YEAR(W79),"")</f>
        <v/>
      </c>
      <c r="Y79" s="887" t="str">
        <f ca="1">Change投!Y21</f>
        <v/>
      </c>
      <c r="Z79" s="886">
        <f ca="1">Change投!AC21</f>
        <v>0</v>
      </c>
      <c r="AA79" s="1205">
        <f ca="1">Change投!X21</f>
        <v>0</v>
      </c>
      <c r="AB79" s="881">
        <f ca="1">Change投!AJ21</f>
        <v>0</v>
      </c>
      <c r="AC79" s="887">
        <f t="shared" ca="1" si="61"/>
        <v>0</v>
      </c>
      <c r="AD79" s="883">
        <f t="shared" ca="1" si="68"/>
        <v>0</v>
      </c>
      <c r="AE79" s="883">
        <f t="shared" ca="1" si="69"/>
        <v>0</v>
      </c>
      <c r="AF79" s="883">
        <f t="shared" ca="1" si="82"/>
        <v>0</v>
      </c>
      <c r="AG79" s="883">
        <f t="shared" ca="1" si="82"/>
        <v>0</v>
      </c>
      <c r="AH79" s="883">
        <f t="shared" ca="1" si="82"/>
        <v>0</v>
      </c>
      <c r="AI79" s="883">
        <f t="shared" ca="1" si="82"/>
        <v>0</v>
      </c>
      <c r="AJ79" s="883">
        <f t="shared" ca="1" si="82"/>
        <v>0</v>
      </c>
      <c r="AK79" s="883">
        <f t="shared" ca="1" si="82"/>
        <v>0</v>
      </c>
      <c r="AL79" s="883">
        <f t="shared" ca="1" si="82"/>
        <v>0</v>
      </c>
      <c r="AM79" s="883">
        <f t="shared" ca="1" si="82"/>
        <v>0</v>
      </c>
      <c r="AN79" s="883">
        <f t="shared" ca="1" si="82"/>
        <v>0</v>
      </c>
      <c r="AO79" s="883">
        <f t="shared" ca="1" si="82"/>
        <v>0</v>
      </c>
      <c r="AP79" s="883">
        <f t="shared" ca="1" si="82"/>
        <v>0</v>
      </c>
      <c r="AQ79" s="883">
        <f t="shared" ca="1" si="82"/>
        <v>0</v>
      </c>
      <c r="AR79" s="883">
        <f t="shared" ca="1" si="82"/>
        <v>0</v>
      </c>
      <c r="AS79" s="883">
        <f t="shared" ca="1" si="82"/>
        <v>0</v>
      </c>
      <c r="AT79" s="883">
        <f t="shared" ca="1" si="82"/>
        <v>0</v>
      </c>
      <c r="AU79" s="883">
        <f t="shared" ca="1" si="82"/>
        <v>0</v>
      </c>
      <c r="AV79" s="883">
        <f t="shared" ca="1" si="82"/>
        <v>0</v>
      </c>
      <c r="AW79" s="883">
        <f t="shared" ca="1" si="82"/>
        <v>0</v>
      </c>
      <c r="AX79" s="883">
        <f t="shared" ca="1" si="82"/>
        <v>0</v>
      </c>
      <c r="AY79" s="883">
        <f t="shared" ca="1" si="82"/>
        <v>0</v>
      </c>
      <c r="AZ79" s="883">
        <f t="shared" ca="1" si="82"/>
        <v>0</v>
      </c>
      <c r="BA79" s="883">
        <f t="shared" ca="1" si="82"/>
        <v>0</v>
      </c>
      <c r="BB79" s="883">
        <f t="shared" ca="1" si="82"/>
        <v>0</v>
      </c>
      <c r="BC79" s="883">
        <f t="shared" ca="1" si="82"/>
        <v>0</v>
      </c>
      <c r="BD79" s="883">
        <f t="shared" ca="1" si="82"/>
        <v>0</v>
      </c>
      <c r="BE79" s="883">
        <f t="shared" ca="1" si="82"/>
        <v>0</v>
      </c>
      <c r="BF79" s="883">
        <f t="shared" ca="1" si="82"/>
        <v>0</v>
      </c>
      <c r="BG79" s="883">
        <f t="shared" ca="1" si="82"/>
        <v>0</v>
      </c>
      <c r="BH79" s="883">
        <f t="shared" ca="1" si="82"/>
        <v>0</v>
      </c>
      <c r="BI79" s="883">
        <f t="shared" ca="1" si="82"/>
        <v>0</v>
      </c>
      <c r="BJ79" s="883">
        <f t="shared" ca="1" si="82"/>
        <v>0</v>
      </c>
      <c r="BK79" s="883">
        <f t="shared" ca="1" si="82"/>
        <v>0</v>
      </c>
      <c r="BL79" s="883">
        <f t="shared" ca="1" si="82"/>
        <v>0</v>
      </c>
      <c r="BM79" s="883">
        <f t="shared" ca="1" si="82"/>
        <v>0</v>
      </c>
      <c r="BN79" s="883">
        <f t="shared" ca="1" si="82"/>
        <v>0</v>
      </c>
      <c r="BO79" s="883">
        <f t="shared" ca="1" si="82"/>
        <v>0</v>
      </c>
      <c r="BP79" s="883">
        <f t="shared" ca="1" si="82"/>
        <v>0</v>
      </c>
      <c r="BQ79" s="883">
        <f t="shared" ca="1" si="82"/>
        <v>0</v>
      </c>
      <c r="BR79" s="883">
        <f t="shared" ca="1" si="82"/>
        <v>0</v>
      </c>
      <c r="BS79" s="883">
        <f t="shared" ca="1" si="82"/>
        <v>0</v>
      </c>
      <c r="BT79" s="883">
        <f t="shared" ca="1" si="82"/>
        <v>0</v>
      </c>
      <c r="BU79" s="883">
        <f t="shared" ca="1" si="82"/>
        <v>0</v>
      </c>
      <c r="BV79" s="883">
        <f t="shared" ca="1" si="82"/>
        <v>0</v>
      </c>
      <c r="BW79" s="883">
        <f t="shared" ca="1" si="82"/>
        <v>0</v>
      </c>
      <c r="BX79" s="883">
        <f t="shared" ca="1" si="82"/>
        <v>0</v>
      </c>
      <c r="BY79" s="883">
        <f t="shared" ca="1" si="82"/>
        <v>0</v>
      </c>
      <c r="BZ79" s="883">
        <f t="shared" ca="1" si="82"/>
        <v>0</v>
      </c>
      <c r="CA79" s="883">
        <f t="shared" ca="1" si="82"/>
        <v>0</v>
      </c>
      <c r="CB79" s="883">
        <f t="shared" ca="1" si="82"/>
        <v>0</v>
      </c>
      <c r="CC79" s="883">
        <f t="shared" ca="1" si="82"/>
        <v>0</v>
      </c>
      <c r="CD79" s="883">
        <f t="shared" ca="1" si="82"/>
        <v>0</v>
      </c>
      <c r="CE79" s="883">
        <f t="shared" ca="1" si="82"/>
        <v>0</v>
      </c>
      <c r="CF79" s="883">
        <f t="shared" ca="1" si="82"/>
        <v>0</v>
      </c>
      <c r="CG79" s="883">
        <f t="shared" ca="1" si="82"/>
        <v>0</v>
      </c>
      <c r="CH79" s="883">
        <f t="shared" ca="1" si="82"/>
        <v>0</v>
      </c>
      <c r="CI79" s="883">
        <f t="shared" ca="1" si="82"/>
        <v>0</v>
      </c>
      <c r="CJ79" s="883">
        <f t="shared" ca="1" si="82"/>
        <v>0</v>
      </c>
      <c r="CK79" s="883">
        <f t="shared" ca="1" si="82"/>
        <v>0</v>
      </c>
      <c r="CL79" s="883">
        <f t="shared" ca="1" si="82"/>
        <v>0</v>
      </c>
      <c r="CM79" s="883">
        <f t="shared" ca="1" si="82"/>
        <v>0</v>
      </c>
      <c r="CN79" s="883">
        <f t="shared" ca="1" si="82"/>
        <v>0</v>
      </c>
      <c r="CO79" s="883">
        <f t="shared" ca="1" si="82"/>
        <v>0</v>
      </c>
      <c r="CP79" s="883">
        <f t="shared" ca="1" si="82"/>
        <v>0</v>
      </c>
      <c r="CQ79" s="883">
        <f t="shared" ca="1" si="82"/>
        <v>0</v>
      </c>
      <c r="CR79" s="883">
        <f t="shared" ref="CR79:DG94" ca="1" si="87">IFERROR(IF(YEAR($W79)&lt;CR$4,0,IF(YEAR($W79)=CR$4,IF($P79="美國國庫債券",ROUND(DATEDIF($U79,$W79,"M")/(12/$Y79),0)+1,DATEDIF($U79,$W79,"M")/(12/$Y79)+1),INT(DATEDIF($U79,CR$5,"M")/(12/$Y79))+1)),0)</f>
        <v>0</v>
      </c>
      <c r="CS79" s="883">
        <f t="shared" ca="1" si="87"/>
        <v>0</v>
      </c>
      <c r="CT79" s="883">
        <f t="shared" ca="1" si="87"/>
        <v>0</v>
      </c>
      <c r="CU79" s="883">
        <f t="shared" ca="1" si="87"/>
        <v>0</v>
      </c>
      <c r="CV79" s="883">
        <f t="shared" ca="1" si="87"/>
        <v>0</v>
      </c>
      <c r="CW79" s="883">
        <f t="shared" ca="1" si="87"/>
        <v>0</v>
      </c>
      <c r="CX79" s="883">
        <f t="shared" ca="1" si="87"/>
        <v>0</v>
      </c>
      <c r="CY79" s="883">
        <f t="shared" ca="1" si="87"/>
        <v>0</v>
      </c>
      <c r="CZ79" s="883">
        <f t="shared" ca="1" si="87"/>
        <v>0</v>
      </c>
      <c r="DA79" s="883">
        <f t="shared" ca="1" si="87"/>
        <v>0</v>
      </c>
      <c r="DB79" s="883">
        <f t="shared" ca="1" si="87"/>
        <v>0</v>
      </c>
      <c r="DC79" s="883">
        <f t="shared" ca="1" si="87"/>
        <v>0</v>
      </c>
      <c r="DD79" s="883">
        <f t="shared" ca="1" si="87"/>
        <v>0</v>
      </c>
      <c r="DE79" s="883">
        <f t="shared" ca="1" si="87"/>
        <v>0</v>
      </c>
      <c r="DF79" s="883">
        <f t="shared" ca="1" si="87"/>
        <v>0</v>
      </c>
      <c r="DG79" s="883">
        <f t="shared" ca="1" si="87"/>
        <v>0</v>
      </c>
      <c r="DH79" s="883">
        <f t="shared" ca="1" si="83"/>
        <v>0</v>
      </c>
      <c r="DI79" s="883">
        <f t="shared" ca="1" si="83"/>
        <v>0</v>
      </c>
      <c r="DJ79" s="883">
        <f t="shared" ca="1" si="83"/>
        <v>0</v>
      </c>
      <c r="DK79" s="883">
        <f t="shared" ca="1" si="83"/>
        <v>0</v>
      </c>
      <c r="DL79" s="883">
        <f t="shared" ca="1" si="83"/>
        <v>0</v>
      </c>
      <c r="DM79" s="883">
        <f t="shared" ca="1" si="83"/>
        <v>0</v>
      </c>
      <c r="DN79" s="883">
        <f t="shared" ca="1" si="84"/>
        <v>0</v>
      </c>
      <c r="DO79" s="883">
        <f t="shared" ca="1" si="84"/>
        <v>0</v>
      </c>
      <c r="DP79" s="883">
        <f t="shared" ca="1" si="84"/>
        <v>0</v>
      </c>
      <c r="DQ79" s="883">
        <f t="shared" ca="1" si="84"/>
        <v>0</v>
      </c>
      <c r="DR79" s="883">
        <f t="shared" ca="1" si="84"/>
        <v>0</v>
      </c>
      <c r="DS79" s="883">
        <f t="shared" ca="1" si="84"/>
        <v>0</v>
      </c>
      <c r="DT79" s="883">
        <f t="shared" ca="1" si="84"/>
        <v>0</v>
      </c>
      <c r="DU79" s="883">
        <f t="shared" ca="1" si="84"/>
        <v>0</v>
      </c>
      <c r="DV79" s="883">
        <f t="shared" ca="1" si="84"/>
        <v>0</v>
      </c>
      <c r="DW79" s="883">
        <f t="shared" ca="1" si="84"/>
        <v>0</v>
      </c>
      <c r="DX79" s="883">
        <f t="shared" ca="1" si="84"/>
        <v>0</v>
      </c>
      <c r="DY79" s="883">
        <f t="shared" ca="1" si="84"/>
        <v>0</v>
      </c>
      <c r="DZ79" s="883">
        <f t="shared" ca="1" si="84"/>
        <v>0</v>
      </c>
      <c r="EA79" s="883">
        <f t="shared" ca="1" si="84"/>
        <v>0</v>
      </c>
      <c r="EB79" s="883">
        <f t="shared" ca="1" si="84"/>
        <v>0</v>
      </c>
      <c r="EC79" s="883">
        <f t="shared" ca="1" si="84"/>
        <v>0</v>
      </c>
      <c r="ED79" s="883">
        <f t="shared" ca="1" si="85"/>
        <v>0</v>
      </c>
      <c r="EE79" s="883">
        <f t="shared" ca="1" si="85"/>
        <v>0</v>
      </c>
      <c r="EF79" s="883">
        <f t="shared" ca="1" si="85"/>
        <v>0</v>
      </c>
      <c r="EG79" s="883">
        <f t="shared" ca="1" si="85"/>
        <v>0</v>
      </c>
      <c r="EH79" s="883">
        <f t="shared" ca="1" si="85"/>
        <v>0</v>
      </c>
      <c r="EI79" s="883">
        <f t="shared" ca="1" si="85"/>
        <v>0</v>
      </c>
      <c r="EJ79" s="883">
        <f t="shared" ca="1" si="85"/>
        <v>0</v>
      </c>
      <c r="EK79" s="883">
        <f t="shared" ca="1" si="85"/>
        <v>0</v>
      </c>
      <c r="EL79" s="883">
        <f t="shared" ca="1" si="85"/>
        <v>0</v>
      </c>
      <c r="EM79" s="883">
        <f t="shared" ca="1" si="85"/>
        <v>0</v>
      </c>
      <c r="EN79" s="883">
        <f t="shared" ca="1" si="85"/>
        <v>0</v>
      </c>
      <c r="EO79" s="883">
        <f t="shared" ca="1" si="85"/>
        <v>0</v>
      </c>
      <c r="EP79" s="883">
        <f t="shared" ca="1" si="85"/>
        <v>0</v>
      </c>
      <c r="EQ79" s="883">
        <f t="shared" ca="1" si="85"/>
        <v>0</v>
      </c>
      <c r="ER79" s="883">
        <f t="shared" ca="1" si="85"/>
        <v>0</v>
      </c>
      <c r="ES79" s="883">
        <f t="shared" ca="1" si="85"/>
        <v>0</v>
      </c>
      <c r="ET79" s="883">
        <f t="shared" ca="1" si="86"/>
        <v>0</v>
      </c>
      <c r="EU79" s="883">
        <f t="shared" ca="1" si="86"/>
        <v>0</v>
      </c>
      <c r="EV79" s="883">
        <f t="shared" ca="1" si="86"/>
        <v>0</v>
      </c>
      <c r="EW79" s="883">
        <f t="shared" ca="1" si="86"/>
        <v>0</v>
      </c>
      <c r="EX79" s="883">
        <f t="shared" ca="1" si="86"/>
        <v>0</v>
      </c>
      <c r="EY79" s="883">
        <f t="shared" ca="1" si="86"/>
        <v>0</v>
      </c>
      <c r="EZ79" s="883">
        <f t="shared" ca="1" si="86"/>
        <v>0</v>
      </c>
      <c r="FA79" s="883">
        <f t="shared" ca="1" si="86"/>
        <v>0</v>
      </c>
    </row>
    <row r="80" spans="8:157">
      <c r="H80" s="891" t="str">
        <f t="shared" ca="1" si="80"/>
        <v/>
      </c>
      <c r="I80" s="1206" t="e">
        <f t="shared" ca="1" si="77"/>
        <v>#N/A</v>
      </c>
      <c r="J80" s="1206">
        <f t="shared" ca="1" si="78"/>
        <v>0</v>
      </c>
      <c r="K80" s="929" t="str">
        <f t="shared" si="79"/>
        <v/>
      </c>
      <c r="L80" s="929" t="str">
        <f t="shared" si="81"/>
        <v/>
      </c>
      <c r="N80" s="1714">
        <v>10</v>
      </c>
      <c r="P80" s="882" t="e">
        <f ca="1">VLOOKUP(Q80,bond!B:AA,26,FALSE)</f>
        <v>#N/A</v>
      </c>
      <c r="Q80" s="928">
        <f ca="1">Change投!S22</f>
        <v>0</v>
      </c>
      <c r="R80" s="889">
        <f ca="1">IFERROR(IF(Q80="",0,IF($D$4=1,Change投!AC22*Change投!AJ22,Change投!AC22)),0)</f>
        <v>0</v>
      </c>
      <c r="S80" s="885" t="e">
        <f ca="1">Change投!W22</f>
        <v>#N/A</v>
      </c>
      <c r="T80" s="883">
        <f t="shared" ca="1" si="64"/>
        <v>0</v>
      </c>
      <c r="U80" s="885" t="str">
        <f ca="1">Change投!Z22</f>
        <v/>
      </c>
      <c r="V80" s="886" t="str">
        <f ca="1">IFERROR(YEAR(U80),"")</f>
        <v/>
      </c>
      <c r="W80" s="885" t="e">
        <f t="shared" ca="1" si="66"/>
        <v>#N/A</v>
      </c>
      <c r="X80" s="886" t="str">
        <f ca="1">IFERROR(YEAR(W80),"")</f>
        <v/>
      </c>
      <c r="Y80" s="887" t="str">
        <f ca="1">Change投!Y22</f>
        <v/>
      </c>
      <c r="Z80" s="886">
        <f ca="1">Change投!AC22</f>
        <v>0</v>
      </c>
      <c r="AA80" s="1205">
        <f ca="1">Change投!X22</f>
        <v>0</v>
      </c>
      <c r="AB80" s="881">
        <f ca="1">Change投!AJ22</f>
        <v>0</v>
      </c>
      <c r="AC80" s="887">
        <f t="shared" ca="1" si="61"/>
        <v>0</v>
      </c>
      <c r="AD80" s="883">
        <f t="shared" ca="1" si="68"/>
        <v>0</v>
      </c>
      <c r="AE80" s="883">
        <f t="shared" ca="1" si="69"/>
        <v>0</v>
      </c>
      <c r="AF80" s="883">
        <f t="shared" ca="1" si="82"/>
        <v>0</v>
      </c>
      <c r="AG80" s="883">
        <f t="shared" ca="1" si="82"/>
        <v>0</v>
      </c>
      <c r="AH80" s="883">
        <f t="shared" ca="1" si="82"/>
        <v>0</v>
      </c>
      <c r="AI80" s="883">
        <f t="shared" ca="1" si="82"/>
        <v>0</v>
      </c>
      <c r="AJ80" s="883">
        <f t="shared" ca="1" si="82"/>
        <v>0</v>
      </c>
      <c r="AK80" s="883">
        <f t="shared" ca="1" si="82"/>
        <v>0</v>
      </c>
      <c r="AL80" s="883">
        <f t="shared" ca="1" si="82"/>
        <v>0</v>
      </c>
      <c r="AM80" s="883">
        <f t="shared" ca="1" si="82"/>
        <v>0</v>
      </c>
      <c r="AN80" s="883">
        <f t="shared" ca="1" si="82"/>
        <v>0</v>
      </c>
      <c r="AO80" s="883">
        <f t="shared" ca="1" si="82"/>
        <v>0</v>
      </c>
      <c r="AP80" s="883">
        <f t="shared" ca="1" si="82"/>
        <v>0</v>
      </c>
      <c r="AQ80" s="883">
        <f t="shared" ca="1" si="82"/>
        <v>0</v>
      </c>
      <c r="AR80" s="883">
        <f t="shared" ca="1" si="82"/>
        <v>0</v>
      </c>
      <c r="AS80" s="883">
        <f t="shared" ca="1" si="82"/>
        <v>0</v>
      </c>
      <c r="AT80" s="883">
        <f t="shared" ca="1" si="82"/>
        <v>0</v>
      </c>
      <c r="AU80" s="883">
        <f t="shared" ca="1" si="82"/>
        <v>0</v>
      </c>
      <c r="AV80" s="883">
        <f t="shared" ca="1" si="82"/>
        <v>0</v>
      </c>
      <c r="AW80" s="883">
        <f t="shared" ca="1" si="82"/>
        <v>0</v>
      </c>
      <c r="AX80" s="883">
        <f t="shared" ca="1" si="82"/>
        <v>0</v>
      </c>
      <c r="AY80" s="883">
        <f t="shared" ca="1" si="82"/>
        <v>0</v>
      </c>
      <c r="AZ80" s="883">
        <f t="shared" ca="1" si="82"/>
        <v>0</v>
      </c>
      <c r="BA80" s="883">
        <f t="shared" ca="1" si="82"/>
        <v>0</v>
      </c>
      <c r="BB80" s="883">
        <f t="shared" ca="1" si="82"/>
        <v>0</v>
      </c>
      <c r="BC80" s="883">
        <f t="shared" ca="1" si="82"/>
        <v>0</v>
      </c>
      <c r="BD80" s="883">
        <f t="shared" ca="1" si="82"/>
        <v>0</v>
      </c>
      <c r="BE80" s="883">
        <f t="shared" ca="1" si="82"/>
        <v>0</v>
      </c>
      <c r="BF80" s="883">
        <f t="shared" ca="1" si="82"/>
        <v>0</v>
      </c>
      <c r="BG80" s="883">
        <f t="shared" ca="1" si="82"/>
        <v>0</v>
      </c>
      <c r="BH80" s="883">
        <f t="shared" ca="1" si="82"/>
        <v>0</v>
      </c>
      <c r="BI80" s="883">
        <f t="shared" ca="1" si="82"/>
        <v>0</v>
      </c>
      <c r="BJ80" s="883">
        <f t="shared" ca="1" si="82"/>
        <v>0</v>
      </c>
      <c r="BK80" s="883">
        <f t="shared" ca="1" si="82"/>
        <v>0</v>
      </c>
      <c r="BL80" s="883">
        <f t="shared" ca="1" si="82"/>
        <v>0</v>
      </c>
      <c r="BM80" s="883">
        <f t="shared" ca="1" si="82"/>
        <v>0</v>
      </c>
      <c r="BN80" s="883">
        <f t="shared" ca="1" si="82"/>
        <v>0</v>
      </c>
      <c r="BO80" s="883">
        <f t="shared" ca="1" si="82"/>
        <v>0</v>
      </c>
      <c r="BP80" s="883">
        <f t="shared" ca="1" si="82"/>
        <v>0</v>
      </c>
      <c r="BQ80" s="883">
        <f t="shared" ca="1" si="82"/>
        <v>0</v>
      </c>
      <c r="BR80" s="883">
        <f t="shared" ca="1" si="82"/>
        <v>0</v>
      </c>
      <c r="BS80" s="883">
        <f t="shared" ca="1" si="82"/>
        <v>0</v>
      </c>
      <c r="BT80" s="883">
        <f t="shared" ca="1" si="82"/>
        <v>0</v>
      </c>
      <c r="BU80" s="883">
        <f t="shared" ca="1" si="82"/>
        <v>0</v>
      </c>
      <c r="BV80" s="883">
        <f t="shared" ca="1" si="82"/>
        <v>0</v>
      </c>
      <c r="BW80" s="883">
        <f t="shared" ca="1" si="82"/>
        <v>0</v>
      </c>
      <c r="BX80" s="883">
        <f t="shared" ca="1" si="82"/>
        <v>0</v>
      </c>
      <c r="BY80" s="883">
        <f t="shared" ca="1" si="82"/>
        <v>0</v>
      </c>
      <c r="BZ80" s="883">
        <f t="shared" ca="1" si="82"/>
        <v>0</v>
      </c>
      <c r="CA80" s="883">
        <f t="shared" ca="1" si="82"/>
        <v>0</v>
      </c>
      <c r="CB80" s="883">
        <f t="shared" ca="1" si="82"/>
        <v>0</v>
      </c>
      <c r="CC80" s="883">
        <f t="shared" ca="1" si="82"/>
        <v>0</v>
      </c>
      <c r="CD80" s="883">
        <f t="shared" ca="1" si="82"/>
        <v>0</v>
      </c>
      <c r="CE80" s="883">
        <f t="shared" ca="1" si="82"/>
        <v>0</v>
      </c>
      <c r="CF80" s="883">
        <f t="shared" ca="1" si="82"/>
        <v>0</v>
      </c>
      <c r="CG80" s="883">
        <f t="shared" ca="1" si="82"/>
        <v>0</v>
      </c>
      <c r="CH80" s="883">
        <f t="shared" ca="1" si="82"/>
        <v>0</v>
      </c>
      <c r="CI80" s="883">
        <f t="shared" ca="1" si="82"/>
        <v>0</v>
      </c>
      <c r="CJ80" s="883">
        <f t="shared" ca="1" si="82"/>
        <v>0</v>
      </c>
      <c r="CK80" s="883">
        <f t="shared" ca="1" si="82"/>
        <v>0</v>
      </c>
      <c r="CL80" s="883">
        <f t="shared" ca="1" si="82"/>
        <v>0</v>
      </c>
      <c r="CM80" s="883">
        <f t="shared" ca="1" si="82"/>
        <v>0</v>
      </c>
      <c r="CN80" s="883">
        <f t="shared" ca="1" si="82"/>
        <v>0</v>
      </c>
      <c r="CO80" s="883">
        <f t="shared" ca="1" si="82"/>
        <v>0</v>
      </c>
      <c r="CP80" s="883">
        <f t="shared" ca="1" si="82"/>
        <v>0</v>
      </c>
      <c r="CQ80" s="883">
        <f t="shared" ca="1" si="82"/>
        <v>0</v>
      </c>
      <c r="CR80" s="883">
        <f t="shared" ca="1" si="87"/>
        <v>0</v>
      </c>
      <c r="CS80" s="883">
        <f t="shared" ca="1" si="87"/>
        <v>0</v>
      </c>
      <c r="CT80" s="883">
        <f t="shared" ca="1" si="87"/>
        <v>0</v>
      </c>
      <c r="CU80" s="883">
        <f t="shared" ca="1" si="87"/>
        <v>0</v>
      </c>
      <c r="CV80" s="883">
        <f t="shared" ca="1" si="87"/>
        <v>0</v>
      </c>
      <c r="CW80" s="883">
        <f t="shared" ca="1" si="87"/>
        <v>0</v>
      </c>
      <c r="CX80" s="883">
        <f t="shared" ca="1" si="87"/>
        <v>0</v>
      </c>
      <c r="CY80" s="883">
        <f t="shared" ca="1" si="87"/>
        <v>0</v>
      </c>
      <c r="CZ80" s="883">
        <f t="shared" ca="1" si="87"/>
        <v>0</v>
      </c>
      <c r="DA80" s="883">
        <f t="shared" ca="1" si="87"/>
        <v>0</v>
      </c>
      <c r="DB80" s="883">
        <f t="shared" ca="1" si="87"/>
        <v>0</v>
      </c>
      <c r="DC80" s="883">
        <f t="shared" ca="1" si="87"/>
        <v>0</v>
      </c>
      <c r="DD80" s="883">
        <f t="shared" ca="1" si="87"/>
        <v>0</v>
      </c>
      <c r="DE80" s="883">
        <f t="shared" ca="1" si="87"/>
        <v>0</v>
      </c>
      <c r="DF80" s="883">
        <f t="shared" ca="1" si="87"/>
        <v>0</v>
      </c>
      <c r="DG80" s="883">
        <f t="shared" ca="1" si="87"/>
        <v>0</v>
      </c>
      <c r="DH80" s="883">
        <f t="shared" ca="1" si="83"/>
        <v>0</v>
      </c>
      <c r="DI80" s="883">
        <f t="shared" ca="1" si="83"/>
        <v>0</v>
      </c>
      <c r="DJ80" s="883">
        <f t="shared" ca="1" si="83"/>
        <v>0</v>
      </c>
      <c r="DK80" s="883">
        <f t="shared" ca="1" si="83"/>
        <v>0</v>
      </c>
      <c r="DL80" s="883">
        <f t="shared" ca="1" si="83"/>
        <v>0</v>
      </c>
      <c r="DM80" s="883">
        <f t="shared" ca="1" si="83"/>
        <v>0</v>
      </c>
      <c r="DN80" s="883">
        <f t="shared" ca="1" si="84"/>
        <v>0</v>
      </c>
      <c r="DO80" s="883">
        <f t="shared" ca="1" si="84"/>
        <v>0</v>
      </c>
      <c r="DP80" s="883">
        <f t="shared" ca="1" si="84"/>
        <v>0</v>
      </c>
      <c r="DQ80" s="883">
        <f t="shared" ca="1" si="84"/>
        <v>0</v>
      </c>
      <c r="DR80" s="883">
        <f t="shared" ca="1" si="84"/>
        <v>0</v>
      </c>
      <c r="DS80" s="883">
        <f t="shared" ca="1" si="84"/>
        <v>0</v>
      </c>
      <c r="DT80" s="883">
        <f t="shared" ca="1" si="84"/>
        <v>0</v>
      </c>
      <c r="DU80" s="883">
        <f t="shared" ca="1" si="84"/>
        <v>0</v>
      </c>
      <c r="DV80" s="883">
        <f t="shared" ca="1" si="84"/>
        <v>0</v>
      </c>
      <c r="DW80" s="883">
        <f t="shared" ca="1" si="84"/>
        <v>0</v>
      </c>
      <c r="DX80" s="883">
        <f t="shared" ca="1" si="84"/>
        <v>0</v>
      </c>
      <c r="DY80" s="883">
        <f t="shared" ca="1" si="84"/>
        <v>0</v>
      </c>
      <c r="DZ80" s="883">
        <f t="shared" ca="1" si="84"/>
        <v>0</v>
      </c>
      <c r="EA80" s="883">
        <f t="shared" ca="1" si="84"/>
        <v>0</v>
      </c>
      <c r="EB80" s="883">
        <f t="shared" ca="1" si="84"/>
        <v>0</v>
      </c>
      <c r="EC80" s="883">
        <f t="shared" ca="1" si="84"/>
        <v>0</v>
      </c>
      <c r="ED80" s="883">
        <f t="shared" ca="1" si="85"/>
        <v>0</v>
      </c>
      <c r="EE80" s="883">
        <f t="shared" ca="1" si="85"/>
        <v>0</v>
      </c>
      <c r="EF80" s="883">
        <f t="shared" ca="1" si="85"/>
        <v>0</v>
      </c>
      <c r="EG80" s="883">
        <f t="shared" ca="1" si="85"/>
        <v>0</v>
      </c>
      <c r="EH80" s="883">
        <f t="shared" ca="1" si="85"/>
        <v>0</v>
      </c>
      <c r="EI80" s="883">
        <f t="shared" ca="1" si="85"/>
        <v>0</v>
      </c>
      <c r="EJ80" s="883">
        <f t="shared" ca="1" si="85"/>
        <v>0</v>
      </c>
      <c r="EK80" s="883">
        <f t="shared" ca="1" si="85"/>
        <v>0</v>
      </c>
      <c r="EL80" s="883">
        <f t="shared" ca="1" si="85"/>
        <v>0</v>
      </c>
      <c r="EM80" s="883">
        <f t="shared" ca="1" si="85"/>
        <v>0</v>
      </c>
      <c r="EN80" s="883">
        <f t="shared" ca="1" si="85"/>
        <v>0</v>
      </c>
      <c r="EO80" s="883">
        <f t="shared" ca="1" si="85"/>
        <v>0</v>
      </c>
      <c r="EP80" s="883">
        <f t="shared" ca="1" si="85"/>
        <v>0</v>
      </c>
      <c r="EQ80" s="883">
        <f t="shared" ca="1" si="85"/>
        <v>0</v>
      </c>
      <c r="ER80" s="883">
        <f t="shared" ca="1" si="85"/>
        <v>0</v>
      </c>
      <c r="ES80" s="883">
        <f t="shared" ca="1" si="85"/>
        <v>0</v>
      </c>
      <c r="ET80" s="883">
        <f t="shared" ca="1" si="86"/>
        <v>0</v>
      </c>
      <c r="EU80" s="883">
        <f t="shared" ca="1" si="86"/>
        <v>0</v>
      </c>
      <c r="EV80" s="883">
        <f t="shared" ca="1" si="86"/>
        <v>0</v>
      </c>
      <c r="EW80" s="883">
        <f t="shared" ca="1" si="86"/>
        <v>0</v>
      </c>
      <c r="EX80" s="883">
        <f t="shared" ca="1" si="86"/>
        <v>0</v>
      </c>
      <c r="EY80" s="883">
        <f t="shared" ca="1" si="86"/>
        <v>0</v>
      </c>
      <c r="EZ80" s="883">
        <f t="shared" ca="1" si="86"/>
        <v>0</v>
      </c>
      <c r="FA80" s="883">
        <f t="shared" ca="1" si="86"/>
        <v>0</v>
      </c>
    </row>
    <row r="81" spans="8:157">
      <c r="H81" s="891" t="str">
        <f t="shared" ca="1" si="80"/>
        <v/>
      </c>
      <c r="I81" s="1206" t="e">
        <f t="shared" ca="1" si="77"/>
        <v>#N/A</v>
      </c>
      <c r="J81" s="1206">
        <f t="shared" ca="1" si="78"/>
        <v>0</v>
      </c>
      <c r="K81" s="929" t="str">
        <f t="shared" si="79"/>
        <v/>
      </c>
      <c r="L81" s="929" t="str">
        <f t="shared" si="81"/>
        <v/>
      </c>
      <c r="N81" s="1714">
        <v>11</v>
      </c>
      <c r="P81" s="882" t="e">
        <f ca="1">VLOOKUP(Q81,bond!B:AA,26,FALSE)</f>
        <v>#N/A</v>
      </c>
      <c r="Q81" s="928">
        <f ca="1">Change投!S23</f>
        <v>0</v>
      </c>
      <c r="R81" s="889">
        <f ca="1">IFERROR(IF(Q81="",0,IF($D$4=1,Change投!AC23*Change投!AJ23,Change投!AC23)),0)</f>
        <v>0</v>
      </c>
      <c r="S81" s="885" t="e">
        <f ca="1">Change投!W23</f>
        <v>#N/A</v>
      </c>
      <c r="T81" s="883">
        <f t="shared" ca="1" si="64"/>
        <v>0</v>
      </c>
      <c r="U81" s="885" t="str">
        <f ca="1">Change投!Z23</f>
        <v/>
      </c>
      <c r="V81" s="886" t="str">
        <f ca="1">IFERROR(YEAR(U81),"")</f>
        <v/>
      </c>
      <c r="W81" s="885" t="e">
        <f t="shared" ca="1" si="66"/>
        <v>#N/A</v>
      </c>
      <c r="X81" s="886" t="str">
        <f ca="1">IFERROR(YEAR(W81),"")</f>
        <v/>
      </c>
      <c r="Y81" s="887" t="str">
        <f ca="1">Change投!Y23</f>
        <v/>
      </c>
      <c r="Z81" s="886">
        <f ca="1">Change投!AC23</f>
        <v>0</v>
      </c>
      <c r="AA81" s="1205">
        <f ca="1">Change投!X23</f>
        <v>0</v>
      </c>
      <c r="AB81" s="881">
        <f ca="1">Change投!AJ23</f>
        <v>0</v>
      </c>
      <c r="AC81" s="887">
        <f t="shared" ca="1" si="61"/>
        <v>0</v>
      </c>
      <c r="AD81" s="883">
        <f t="shared" ca="1" si="68"/>
        <v>0</v>
      </c>
      <c r="AE81" s="883">
        <f t="shared" ca="1" si="69"/>
        <v>0</v>
      </c>
      <c r="AF81" s="883">
        <f t="shared" ca="1" si="82"/>
        <v>0</v>
      </c>
      <c r="AG81" s="883">
        <f t="shared" ca="1" si="82"/>
        <v>0</v>
      </c>
      <c r="AH81" s="883">
        <f t="shared" ca="1" si="82"/>
        <v>0</v>
      </c>
      <c r="AI81" s="883">
        <f t="shared" ca="1" si="82"/>
        <v>0</v>
      </c>
      <c r="AJ81" s="883">
        <f t="shared" ca="1" si="82"/>
        <v>0</v>
      </c>
      <c r="AK81" s="883">
        <f t="shared" ca="1" si="82"/>
        <v>0</v>
      </c>
      <c r="AL81" s="883">
        <f t="shared" ca="1" si="82"/>
        <v>0</v>
      </c>
      <c r="AM81" s="883">
        <f t="shared" ca="1" si="82"/>
        <v>0</v>
      </c>
      <c r="AN81" s="883">
        <f t="shared" ca="1" si="82"/>
        <v>0</v>
      </c>
      <c r="AO81" s="883">
        <f t="shared" ca="1" si="82"/>
        <v>0</v>
      </c>
      <c r="AP81" s="883">
        <f t="shared" ca="1" si="82"/>
        <v>0</v>
      </c>
      <c r="AQ81" s="883">
        <f t="shared" ca="1" si="82"/>
        <v>0</v>
      </c>
      <c r="AR81" s="883">
        <f t="shared" ca="1" si="82"/>
        <v>0</v>
      </c>
      <c r="AS81" s="883">
        <f t="shared" ca="1" si="82"/>
        <v>0</v>
      </c>
      <c r="AT81" s="883">
        <f t="shared" ca="1" si="82"/>
        <v>0</v>
      </c>
      <c r="AU81" s="883">
        <f t="shared" ca="1" si="82"/>
        <v>0</v>
      </c>
      <c r="AV81" s="883">
        <f t="shared" ca="1" si="82"/>
        <v>0</v>
      </c>
      <c r="AW81" s="883">
        <f t="shared" ca="1" si="82"/>
        <v>0</v>
      </c>
      <c r="AX81" s="883">
        <f t="shared" ca="1" si="82"/>
        <v>0</v>
      </c>
      <c r="AY81" s="883">
        <f t="shared" ca="1" si="82"/>
        <v>0</v>
      </c>
      <c r="AZ81" s="883">
        <f t="shared" ca="1" si="82"/>
        <v>0</v>
      </c>
      <c r="BA81" s="883">
        <f t="shared" ca="1" si="82"/>
        <v>0</v>
      </c>
      <c r="BB81" s="883">
        <f t="shared" ca="1" si="82"/>
        <v>0</v>
      </c>
      <c r="BC81" s="883">
        <f t="shared" ca="1" si="82"/>
        <v>0</v>
      </c>
      <c r="BD81" s="883">
        <f t="shared" ca="1" si="82"/>
        <v>0</v>
      </c>
      <c r="BE81" s="883">
        <f t="shared" ca="1" si="82"/>
        <v>0</v>
      </c>
      <c r="BF81" s="883">
        <f t="shared" ca="1" si="82"/>
        <v>0</v>
      </c>
      <c r="BG81" s="883">
        <f t="shared" ca="1" si="82"/>
        <v>0</v>
      </c>
      <c r="BH81" s="883">
        <f t="shared" ca="1" si="82"/>
        <v>0</v>
      </c>
      <c r="BI81" s="883">
        <f t="shared" ca="1" si="82"/>
        <v>0</v>
      </c>
      <c r="BJ81" s="883">
        <f t="shared" ca="1" si="82"/>
        <v>0</v>
      </c>
      <c r="BK81" s="883">
        <f t="shared" ca="1" si="82"/>
        <v>0</v>
      </c>
      <c r="BL81" s="883">
        <f t="shared" ca="1" si="82"/>
        <v>0</v>
      </c>
      <c r="BM81" s="883">
        <f t="shared" ca="1" si="82"/>
        <v>0</v>
      </c>
      <c r="BN81" s="883">
        <f t="shared" ca="1" si="82"/>
        <v>0</v>
      </c>
      <c r="BO81" s="883">
        <f t="shared" ca="1" si="82"/>
        <v>0</v>
      </c>
      <c r="BP81" s="883">
        <f t="shared" ca="1" si="82"/>
        <v>0</v>
      </c>
      <c r="BQ81" s="883">
        <f t="shared" ca="1" si="82"/>
        <v>0</v>
      </c>
      <c r="BR81" s="883">
        <f t="shared" ca="1" si="82"/>
        <v>0</v>
      </c>
      <c r="BS81" s="883">
        <f t="shared" ca="1" si="82"/>
        <v>0</v>
      </c>
      <c r="BT81" s="883">
        <f t="shared" ca="1" si="82"/>
        <v>0</v>
      </c>
      <c r="BU81" s="883">
        <f t="shared" ca="1" si="82"/>
        <v>0</v>
      </c>
      <c r="BV81" s="883">
        <f t="shared" ca="1" si="82"/>
        <v>0</v>
      </c>
      <c r="BW81" s="883">
        <f t="shared" ca="1" si="82"/>
        <v>0</v>
      </c>
      <c r="BX81" s="883">
        <f t="shared" ca="1" si="82"/>
        <v>0</v>
      </c>
      <c r="BY81" s="883">
        <f t="shared" ca="1" si="82"/>
        <v>0</v>
      </c>
      <c r="BZ81" s="883">
        <f t="shared" ca="1" si="82"/>
        <v>0</v>
      </c>
      <c r="CA81" s="883">
        <f t="shared" ca="1" si="82"/>
        <v>0</v>
      </c>
      <c r="CB81" s="883">
        <f t="shared" ca="1" si="82"/>
        <v>0</v>
      </c>
      <c r="CC81" s="883">
        <f t="shared" ca="1" si="82"/>
        <v>0</v>
      </c>
      <c r="CD81" s="883">
        <f t="shared" ca="1" si="82"/>
        <v>0</v>
      </c>
      <c r="CE81" s="883">
        <f t="shared" ca="1" si="82"/>
        <v>0</v>
      </c>
      <c r="CF81" s="883">
        <f t="shared" ca="1" si="82"/>
        <v>0</v>
      </c>
      <c r="CG81" s="883">
        <f t="shared" ca="1" si="82"/>
        <v>0</v>
      </c>
      <c r="CH81" s="883">
        <f t="shared" ca="1" si="82"/>
        <v>0</v>
      </c>
      <c r="CI81" s="883">
        <f t="shared" ca="1" si="82"/>
        <v>0</v>
      </c>
      <c r="CJ81" s="883">
        <f t="shared" ca="1" si="82"/>
        <v>0</v>
      </c>
      <c r="CK81" s="883">
        <f t="shared" ca="1" si="82"/>
        <v>0</v>
      </c>
      <c r="CL81" s="883">
        <f t="shared" ca="1" si="82"/>
        <v>0</v>
      </c>
      <c r="CM81" s="883">
        <f t="shared" ca="1" si="82"/>
        <v>0</v>
      </c>
      <c r="CN81" s="883">
        <f t="shared" ca="1" si="82"/>
        <v>0</v>
      </c>
      <c r="CO81" s="883">
        <f t="shared" ca="1" si="82"/>
        <v>0</v>
      </c>
      <c r="CP81" s="883">
        <f t="shared" ca="1" si="82"/>
        <v>0</v>
      </c>
      <c r="CQ81" s="883">
        <f t="shared" ca="1" si="82"/>
        <v>0</v>
      </c>
      <c r="CR81" s="883">
        <f t="shared" ca="1" si="87"/>
        <v>0</v>
      </c>
      <c r="CS81" s="883">
        <f t="shared" ca="1" si="87"/>
        <v>0</v>
      </c>
      <c r="CT81" s="883">
        <f t="shared" ca="1" si="87"/>
        <v>0</v>
      </c>
      <c r="CU81" s="883">
        <f t="shared" ca="1" si="87"/>
        <v>0</v>
      </c>
      <c r="CV81" s="883">
        <f t="shared" ca="1" si="87"/>
        <v>0</v>
      </c>
      <c r="CW81" s="883">
        <f t="shared" ca="1" si="87"/>
        <v>0</v>
      </c>
      <c r="CX81" s="883">
        <f t="shared" ca="1" si="87"/>
        <v>0</v>
      </c>
      <c r="CY81" s="883">
        <f t="shared" ca="1" si="87"/>
        <v>0</v>
      </c>
      <c r="CZ81" s="883">
        <f t="shared" ca="1" si="87"/>
        <v>0</v>
      </c>
      <c r="DA81" s="883">
        <f t="shared" ca="1" si="87"/>
        <v>0</v>
      </c>
      <c r="DB81" s="883">
        <f t="shared" ca="1" si="87"/>
        <v>0</v>
      </c>
      <c r="DC81" s="883">
        <f t="shared" ca="1" si="87"/>
        <v>0</v>
      </c>
      <c r="DD81" s="883">
        <f t="shared" ca="1" si="87"/>
        <v>0</v>
      </c>
      <c r="DE81" s="883">
        <f t="shared" ca="1" si="87"/>
        <v>0</v>
      </c>
      <c r="DF81" s="883">
        <f t="shared" ca="1" si="87"/>
        <v>0</v>
      </c>
      <c r="DG81" s="883">
        <f t="shared" ca="1" si="87"/>
        <v>0</v>
      </c>
      <c r="DH81" s="883">
        <f t="shared" ca="1" si="83"/>
        <v>0</v>
      </c>
      <c r="DI81" s="883">
        <f t="shared" ca="1" si="83"/>
        <v>0</v>
      </c>
      <c r="DJ81" s="883">
        <f t="shared" ca="1" si="83"/>
        <v>0</v>
      </c>
      <c r="DK81" s="883">
        <f t="shared" ca="1" si="83"/>
        <v>0</v>
      </c>
      <c r="DL81" s="883">
        <f t="shared" ca="1" si="83"/>
        <v>0</v>
      </c>
      <c r="DM81" s="883">
        <f t="shared" ca="1" si="83"/>
        <v>0</v>
      </c>
      <c r="DN81" s="883">
        <f t="shared" ca="1" si="84"/>
        <v>0</v>
      </c>
      <c r="DO81" s="883">
        <f t="shared" ca="1" si="84"/>
        <v>0</v>
      </c>
      <c r="DP81" s="883">
        <f t="shared" ca="1" si="84"/>
        <v>0</v>
      </c>
      <c r="DQ81" s="883">
        <f t="shared" ca="1" si="84"/>
        <v>0</v>
      </c>
      <c r="DR81" s="883">
        <f t="shared" ca="1" si="84"/>
        <v>0</v>
      </c>
      <c r="DS81" s="883">
        <f t="shared" ca="1" si="84"/>
        <v>0</v>
      </c>
      <c r="DT81" s="883">
        <f t="shared" ca="1" si="84"/>
        <v>0</v>
      </c>
      <c r="DU81" s="883">
        <f t="shared" ca="1" si="84"/>
        <v>0</v>
      </c>
      <c r="DV81" s="883">
        <f t="shared" ca="1" si="84"/>
        <v>0</v>
      </c>
      <c r="DW81" s="883">
        <f t="shared" ca="1" si="84"/>
        <v>0</v>
      </c>
      <c r="DX81" s="883">
        <f t="shared" ca="1" si="84"/>
        <v>0</v>
      </c>
      <c r="DY81" s="883">
        <f t="shared" ca="1" si="84"/>
        <v>0</v>
      </c>
      <c r="DZ81" s="883">
        <f t="shared" ca="1" si="84"/>
        <v>0</v>
      </c>
      <c r="EA81" s="883">
        <f t="shared" ca="1" si="84"/>
        <v>0</v>
      </c>
      <c r="EB81" s="883">
        <f t="shared" ca="1" si="84"/>
        <v>0</v>
      </c>
      <c r="EC81" s="883">
        <f t="shared" ca="1" si="84"/>
        <v>0</v>
      </c>
      <c r="ED81" s="883">
        <f t="shared" ca="1" si="85"/>
        <v>0</v>
      </c>
      <c r="EE81" s="883">
        <f t="shared" ca="1" si="85"/>
        <v>0</v>
      </c>
      <c r="EF81" s="883">
        <f t="shared" ca="1" si="85"/>
        <v>0</v>
      </c>
      <c r="EG81" s="883">
        <f t="shared" ca="1" si="85"/>
        <v>0</v>
      </c>
      <c r="EH81" s="883">
        <f t="shared" ca="1" si="85"/>
        <v>0</v>
      </c>
      <c r="EI81" s="883">
        <f t="shared" ca="1" si="85"/>
        <v>0</v>
      </c>
      <c r="EJ81" s="883">
        <f t="shared" ca="1" si="85"/>
        <v>0</v>
      </c>
      <c r="EK81" s="883">
        <f t="shared" ca="1" si="85"/>
        <v>0</v>
      </c>
      <c r="EL81" s="883">
        <f t="shared" ca="1" si="85"/>
        <v>0</v>
      </c>
      <c r="EM81" s="883">
        <f t="shared" ca="1" si="85"/>
        <v>0</v>
      </c>
      <c r="EN81" s="883">
        <f t="shared" ca="1" si="85"/>
        <v>0</v>
      </c>
      <c r="EO81" s="883">
        <f t="shared" ca="1" si="85"/>
        <v>0</v>
      </c>
      <c r="EP81" s="883">
        <f t="shared" ca="1" si="85"/>
        <v>0</v>
      </c>
      <c r="EQ81" s="883">
        <f t="shared" ca="1" si="85"/>
        <v>0</v>
      </c>
      <c r="ER81" s="883">
        <f t="shared" ca="1" si="85"/>
        <v>0</v>
      </c>
      <c r="ES81" s="883">
        <f t="shared" ca="1" si="85"/>
        <v>0</v>
      </c>
      <c r="ET81" s="883">
        <f t="shared" ca="1" si="86"/>
        <v>0</v>
      </c>
      <c r="EU81" s="883">
        <f t="shared" ca="1" si="86"/>
        <v>0</v>
      </c>
      <c r="EV81" s="883">
        <f t="shared" ca="1" si="86"/>
        <v>0</v>
      </c>
      <c r="EW81" s="883">
        <f t="shared" ca="1" si="86"/>
        <v>0</v>
      </c>
      <c r="EX81" s="883">
        <f t="shared" ca="1" si="86"/>
        <v>0</v>
      </c>
      <c r="EY81" s="883">
        <f t="shared" ca="1" si="86"/>
        <v>0</v>
      </c>
      <c r="EZ81" s="883">
        <f t="shared" ca="1" si="86"/>
        <v>0</v>
      </c>
      <c r="FA81" s="883">
        <f t="shared" ca="1" si="86"/>
        <v>0</v>
      </c>
    </row>
    <row r="82" spans="8:157">
      <c r="H82" s="891" t="str">
        <f t="shared" ca="1" si="80"/>
        <v/>
      </c>
      <c r="I82" s="1206" t="e">
        <f t="shared" ca="1" si="77"/>
        <v>#N/A</v>
      </c>
      <c r="J82" s="1206">
        <f t="shared" ca="1" si="78"/>
        <v>0</v>
      </c>
      <c r="K82" s="929" t="str">
        <f t="shared" si="79"/>
        <v/>
      </c>
      <c r="L82" s="929" t="str">
        <f t="shared" si="81"/>
        <v/>
      </c>
      <c r="N82" s="1714">
        <v>12</v>
      </c>
      <c r="P82" s="882" t="e">
        <f ca="1">VLOOKUP(Q82,bond!B:AA,26,FALSE)</f>
        <v>#N/A</v>
      </c>
      <c r="Q82" s="928">
        <f ca="1">Change投!S24</f>
        <v>0</v>
      </c>
      <c r="R82" s="889">
        <f ca="1">IFERROR(IF(Q82="",0,IF($D$4=1,Change投!AC24*Change投!AJ24,Change投!AC24)),0)</f>
        <v>0</v>
      </c>
      <c r="S82" s="885" t="e">
        <f ca="1">Change投!W24</f>
        <v>#N/A</v>
      </c>
      <c r="T82" s="883">
        <f t="shared" ca="1" si="64"/>
        <v>0</v>
      </c>
      <c r="U82" s="885" t="str">
        <f ca="1">Change投!Z24</f>
        <v/>
      </c>
      <c r="V82" s="886" t="str">
        <f ca="1">IFERROR(YEAR(U82),"")</f>
        <v/>
      </c>
      <c r="W82" s="885" t="e">
        <f t="shared" ca="1" si="66"/>
        <v>#N/A</v>
      </c>
      <c r="X82" s="886" t="str">
        <f ca="1">IFERROR(YEAR(W82),"")</f>
        <v/>
      </c>
      <c r="Y82" s="887" t="str">
        <f ca="1">Change投!Y24</f>
        <v/>
      </c>
      <c r="Z82" s="886">
        <f ca="1">Change投!AC24</f>
        <v>0</v>
      </c>
      <c r="AA82" s="1205">
        <f ca="1">Change投!X24</f>
        <v>0</v>
      </c>
      <c r="AB82" s="881">
        <f ca="1">Change投!AJ24</f>
        <v>0</v>
      </c>
      <c r="AC82" s="887">
        <f t="shared" ca="1" si="61"/>
        <v>0</v>
      </c>
      <c r="AD82" s="883">
        <f t="shared" ca="1" si="68"/>
        <v>0</v>
      </c>
      <c r="AE82" s="883">
        <f t="shared" ca="1" si="69"/>
        <v>0</v>
      </c>
      <c r="AF82" s="883">
        <f t="shared" ca="1" si="82"/>
        <v>0</v>
      </c>
      <c r="AG82" s="883">
        <f t="shared" ca="1" si="82"/>
        <v>0</v>
      </c>
      <c r="AH82" s="883">
        <f t="shared" ca="1" si="82"/>
        <v>0</v>
      </c>
      <c r="AI82" s="883">
        <f t="shared" ca="1" si="82"/>
        <v>0</v>
      </c>
      <c r="AJ82" s="883">
        <f t="shared" ca="1" si="82"/>
        <v>0</v>
      </c>
      <c r="AK82" s="883">
        <f t="shared" ca="1" si="82"/>
        <v>0</v>
      </c>
      <c r="AL82" s="883">
        <f t="shared" ca="1" si="82"/>
        <v>0</v>
      </c>
      <c r="AM82" s="883">
        <f t="shared" ca="1" si="82"/>
        <v>0</v>
      </c>
      <c r="AN82" s="883">
        <f t="shared" ca="1" si="82"/>
        <v>0</v>
      </c>
      <c r="AO82" s="883">
        <f t="shared" ca="1" si="82"/>
        <v>0</v>
      </c>
      <c r="AP82" s="883">
        <f t="shared" ca="1" si="82"/>
        <v>0</v>
      </c>
      <c r="AQ82" s="883">
        <f t="shared" ca="1" si="82"/>
        <v>0</v>
      </c>
      <c r="AR82" s="883">
        <f t="shared" ca="1" si="82"/>
        <v>0</v>
      </c>
      <c r="AS82" s="883">
        <f t="shared" ca="1" si="82"/>
        <v>0</v>
      </c>
      <c r="AT82" s="883">
        <f t="shared" ca="1" si="82"/>
        <v>0</v>
      </c>
      <c r="AU82" s="883">
        <f t="shared" ca="1" si="82"/>
        <v>0</v>
      </c>
      <c r="AV82" s="883">
        <f t="shared" ca="1" si="82"/>
        <v>0</v>
      </c>
      <c r="AW82" s="883">
        <f t="shared" ca="1" si="82"/>
        <v>0</v>
      </c>
      <c r="AX82" s="883">
        <f t="shared" ca="1" si="82"/>
        <v>0</v>
      </c>
      <c r="AY82" s="883">
        <f t="shared" ca="1" si="82"/>
        <v>0</v>
      </c>
      <c r="AZ82" s="883">
        <f t="shared" ca="1" si="82"/>
        <v>0</v>
      </c>
      <c r="BA82" s="883">
        <f t="shared" ca="1" si="82"/>
        <v>0</v>
      </c>
      <c r="BB82" s="883">
        <f t="shared" ca="1" si="82"/>
        <v>0</v>
      </c>
      <c r="BC82" s="883">
        <f t="shared" ca="1" si="82"/>
        <v>0</v>
      </c>
      <c r="BD82" s="883">
        <f t="shared" ca="1" si="82"/>
        <v>0</v>
      </c>
      <c r="BE82" s="883">
        <f t="shared" ca="1" si="82"/>
        <v>0</v>
      </c>
      <c r="BF82" s="883">
        <f t="shared" ca="1" si="82"/>
        <v>0</v>
      </c>
      <c r="BG82" s="883">
        <f t="shared" ca="1" si="82"/>
        <v>0</v>
      </c>
      <c r="BH82" s="883">
        <f t="shared" ca="1" si="82"/>
        <v>0</v>
      </c>
      <c r="BI82" s="883">
        <f t="shared" ca="1" si="82"/>
        <v>0</v>
      </c>
      <c r="BJ82" s="883">
        <f t="shared" ca="1" si="82"/>
        <v>0</v>
      </c>
      <c r="BK82" s="883">
        <f t="shared" ca="1" si="82"/>
        <v>0</v>
      </c>
      <c r="BL82" s="883">
        <f t="shared" ca="1" si="82"/>
        <v>0</v>
      </c>
      <c r="BM82" s="883">
        <f t="shared" ca="1" si="82"/>
        <v>0</v>
      </c>
      <c r="BN82" s="883">
        <f t="shared" ca="1" si="82"/>
        <v>0</v>
      </c>
      <c r="BO82" s="883">
        <f t="shared" ca="1" si="82"/>
        <v>0</v>
      </c>
      <c r="BP82" s="883">
        <f t="shared" ca="1" si="82"/>
        <v>0</v>
      </c>
      <c r="BQ82" s="883">
        <f t="shared" ca="1" si="82"/>
        <v>0</v>
      </c>
      <c r="BR82" s="883">
        <f t="shared" ca="1" si="82"/>
        <v>0</v>
      </c>
      <c r="BS82" s="883">
        <f t="shared" ca="1" si="82"/>
        <v>0</v>
      </c>
      <c r="BT82" s="883">
        <f t="shared" ca="1" si="82"/>
        <v>0</v>
      </c>
      <c r="BU82" s="883">
        <f t="shared" ca="1" si="82"/>
        <v>0</v>
      </c>
      <c r="BV82" s="883">
        <f t="shared" ca="1" si="82"/>
        <v>0</v>
      </c>
      <c r="BW82" s="883">
        <f t="shared" ca="1" si="82"/>
        <v>0</v>
      </c>
      <c r="BX82" s="883">
        <f t="shared" ca="1" si="82"/>
        <v>0</v>
      </c>
      <c r="BY82" s="883">
        <f t="shared" ca="1" si="82"/>
        <v>0</v>
      </c>
      <c r="BZ82" s="883">
        <f t="shared" ca="1" si="82"/>
        <v>0</v>
      </c>
      <c r="CA82" s="883">
        <f t="shared" ca="1" si="82"/>
        <v>0</v>
      </c>
      <c r="CB82" s="883">
        <f t="shared" ca="1" si="82"/>
        <v>0</v>
      </c>
      <c r="CC82" s="883">
        <f t="shared" ca="1" si="82"/>
        <v>0</v>
      </c>
      <c r="CD82" s="883">
        <f t="shared" ca="1" si="82"/>
        <v>0</v>
      </c>
      <c r="CE82" s="883">
        <f t="shared" ca="1" si="82"/>
        <v>0</v>
      </c>
      <c r="CF82" s="883">
        <f t="shared" ca="1" si="82"/>
        <v>0</v>
      </c>
      <c r="CG82" s="883">
        <f t="shared" ca="1" si="82"/>
        <v>0</v>
      </c>
      <c r="CH82" s="883">
        <f t="shared" ca="1" si="82"/>
        <v>0</v>
      </c>
      <c r="CI82" s="883">
        <f t="shared" ca="1" si="82"/>
        <v>0</v>
      </c>
      <c r="CJ82" s="883">
        <f t="shared" ca="1" si="82"/>
        <v>0</v>
      </c>
      <c r="CK82" s="883">
        <f t="shared" ca="1" si="82"/>
        <v>0</v>
      </c>
      <c r="CL82" s="883">
        <f t="shared" ca="1" si="82"/>
        <v>0</v>
      </c>
      <c r="CM82" s="883">
        <f t="shared" ca="1" si="82"/>
        <v>0</v>
      </c>
      <c r="CN82" s="883">
        <f t="shared" ca="1" si="82"/>
        <v>0</v>
      </c>
      <c r="CO82" s="883">
        <f t="shared" ca="1" si="82"/>
        <v>0</v>
      </c>
      <c r="CP82" s="883">
        <f ca="1">IFERROR(IF(YEAR($W82)&lt;CP$4,0,IF(YEAR($W82)=CP$4,IF($P82="美國國庫債券",ROUND(DATEDIF($U82,$W82,"M")/(12/$Y82),0)+1,DATEDIF($U82,$W82,"M")/(12/$Y82)+1),INT(DATEDIF($U82,CP$5,"M")/(12/$Y82))+1)),0)</f>
        <v>0</v>
      </c>
      <c r="CQ82" s="883">
        <f ca="1">IFERROR(IF(YEAR($W82)&lt;CQ$4,0,IF(YEAR($W82)=CQ$4,IF($P82="美國國庫債券",ROUND(DATEDIF($U82,$W82,"M")/(12/$Y82),0)+1,DATEDIF($U82,$W82,"M")/(12/$Y82)+1),INT(DATEDIF($U82,CQ$5,"M")/(12/$Y82))+1)),0)</f>
        <v>0</v>
      </c>
      <c r="CR82" s="883">
        <f t="shared" ca="1" si="87"/>
        <v>0</v>
      </c>
      <c r="CS82" s="883">
        <f t="shared" ca="1" si="87"/>
        <v>0</v>
      </c>
      <c r="CT82" s="883">
        <f t="shared" ca="1" si="87"/>
        <v>0</v>
      </c>
      <c r="CU82" s="883">
        <f t="shared" ca="1" si="87"/>
        <v>0</v>
      </c>
      <c r="CV82" s="883">
        <f t="shared" ca="1" si="87"/>
        <v>0</v>
      </c>
      <c r="CW82" s="883">
        <f t="shared" ca="1" si="87"/>
        <v>0</v>
      </c>
      <c r="CX82" s="883">
        <f t="shared" ca="1" si="87"/>
        <v>0</v>
      </c>
      <c r="CY82" s="883">
        <f t="shared" ca="1" si="87"/>
        <v>0</v>
      </c>
      <c r="CZ82" s="883">
        <f t="shared" ca="1" si="87"/>
        <v>0</v>
      </c>
      <c r="DA82" s="883">
        <f t="shared" ca="1" si="87"/>
        <v>0</v>
      </c>
      <c r="DB82" s="883">
        <f t="shared" ca="1" si="87"/>
        <v>0</v>
      </c>
      <c r="DC82" s="883">
        <f t="shared" ca="1" si="87"/>
        <v>0</v>
      </c>
      <c r="DD82" s="883">
        <f t="shared" ca="1" si="87"/>
        <v>0</v>
      </c>
      <c r="DE82" s="883">
        <f t="shared" ca="1" si="87"/>
        <v>0</v>
      </c>
      <c r="DF82" s="883">
        <f t="shared" ca="1" si="87"/>
        <v>0</v>
      </c>
      <c r="DG82" s="883">
        <f t="shared" ca="1" si="87"/>
        <v>0</v>
      </c>
      <c r="DH82" s="883">
        <f t="shared" ca="1" si="83"/>
        <v>0</v>
      </c>
      <c r="DI82" s="883">
        <f t="shared" ca="1" si="83"/>
        <v>0</v>
      </c>
      <c r="DJ82" s="883">
        <f t="shared" ca="1" si="83"/>
        <v>0</v>
      </c>
      <c r="DK82" s="883">
        <f t="shared" ca="1" si="83"/>
        <v>0</v>
      </c>
      <c r="DL82" s="883">
        <f t="shared" ca="1" si="83"/>
        <v>0</v>
      </c>
      <c r="DM82" s="883">
        <f t="shared" ca="1" si="83"/>
        <v>0</v>
      </c>
      <c r="DN82" s="883">
        <f t="shared" ca="1" si="84"/>
        <v>0</v>
      </c>
      <c r="DO82" s="883">
        <f t="shared" ca="1" si="84"/>
        <v>0</v>
      </c>
      <c r="DP82" s="883">
        <f t="shared" ca="1" si="84"/>
        <v>0</v>
      </c>
      <c r="DQ82" s="883">
        <f t="shared" ca="1" si="84"/>
        <v>0</v>
      </c>
      <c r="DR82" s="883">
        <f t="shared" ca="1" si="84"/>
        <v>0</v>
      </c>
      <c r="DS82" s="883">
        <f t="shared" ca="1" si="84"/>
        <v>0</v>
      </c>
      <c r="DT82" s="883">
        <f t="shared" ca="1" si="84"/>
        <v>0</v>
      </c>
      <c r="DU82" s="883">
        <f t="shared" ca="1" si="84"/>
        <v>0</v>
      </c>
      <c r="DV82" s="883">
        <f t="shared" ca="1" si="84"/>
        <v>0</v>
      </c>
      <c r="DW82" s="883">
        <f t="shared" ca="1" si="84"/>
        <v>0</v>
      </c>
      <c r="DX82" s="883">
        <f t="shared" ca="1" si="84"/>
        <v>0</v>
      </c>
      <c r="DY82" s="883">
        <f t="shared" ca="1" si="84"/>
        <v>0</v>
      </c>
      <c r="DZ82" s="883">
        <f t="shared" ca="1" si="84"/>
        <v>0</v>
      </c>
      <c r="EA82" s="883">
        <f t="shared" ca="1" si="84"/>
        <v>0</v>
      </c>
      <c r="EB82" s="883">
        <f t="shared" ca="1" si="84"/>
        <v>0</v>
      </c>
      <c r="EC82" s="883">
        <f t="shared" ca="1" si="84"/>
        <v>0</v>
      </c>
      <c r="ED82" s="883">
        <f t="shared" ca="1" si="85"/>
        <v>0</v>
      </c>
      <c r="EE82" s="883">
        <f t="shared" ca="1" si="85"/>
        <v>0</v>
      </c>
      <c r="EF82" s="883">
        <f t="shared" ca="1" si="85"/>
        <v>0</v>
      </c>
      <c r="EG82" s="883">
        <f t="shared" ca="1" si="85"/>
        <v>0</v>
      </c>
      <c r="EH82" s="883">
        <f t="shared" ca="1" si="85"/>
        <v>0</v>
      </c>
      <c r="EI82" s="883">
        <f t="shared" ca="1" si="85"/>
        <v>0</v>
      </c>
      <c r="EJ82" s="883">
        <f t="shared" ca="1" si="85"/>
        <v>0</v>
      </c>
      <c r="EK82" s="883">
        <f t="shared" ca="1" si="85"/>
        <v>0</v>
      </c>
      <c r="EL82" s="883">
        <f t="shared" ca="1" si="85"/>
        <v>0</v>
      </c>
      <c r="EM82" s="883">
        <f t="shared" ca="1" si="85"/>
        <v>0</v>
      </c>
      <c r="EN82" s="883">
        <f t="shared" ca="1" si="85"/>
        <v>0</v>
      </c>
      <c r="EO82" s="883">
        <f t="shared" ca="1" si="85"/>
        <v>0</v>
      </c>
      <c r="EP82" s="883">
        <f t="shared" ca="1" si="85"/>
        <v>0</v>
      </c>
      <c r="EQ82" s="883">
        <f t="shared" ca="1" si="85"/>
        <v>0</v>
      </c>
      <c r="ER82" s="883">
        <f t="shared" ca="1" si="85"/>
        <v>0</v>
      </c>
      <c r="ES82" s="883">
        <f t="shared" ca="1" si="85"/>
        <v>0</v>
      </c>
      <c r="ET82" s="883">
        <f t="shared" ca="1" si="86"/>
        <v>0</v>
      </c>
      <c r="EU82" s="883">
        <f t="shared" ca="1" si="86"/>
        <v>0</v>
      </c>
      <c r="EV82" s="883">
        <f t="shared" ca="1" si="86"/>
        <v>0</v>
      </c>
      <c r="EW82" s="883">
        <f t="shared" ca="1" si="86"/>
        <v>0</v>
      </c>
      <c r="EX82" s="883">
        <f t="shared" ca="1" si="86"/>
        <v>0</v>
      </c>
      <c r="EY82" s="883">
        <f t="shared" ca="1" si="86"/>
        <v>0</v>
      </c>
      <c r="EZ82" s="883">
        <f t="shared" ca="1" si="86"/>
        <v>0</v>
      </c>
      <c r="FA82" s="883">
        <f t="shared" ca="1" si="86"/>
        <v>0</v>
      </c>
    </row>
    <row r="83" spans="8:157">
      <c r="H83" s="891" t="str">
        <f t="shared" ca="1" si="80"/>
        <v/>
      </c>
      <c r="I83" s="1206" t="e">
        <f t="shared" ca="1" si="77"/>
        <v>#N/A</v>
      </c>
      <c r="J83" s="1206">
        <f t="shared" ca="1" si="78"/>
        <v>0</v>
      </c>
      <c r="K83" s="929" t="str">
        <f t="shared" si="79"/>
        <v/>
      </c>
      <c r="L83" s="929" t="str">
        <f t="shared" si="81"/>
        <v/>
      </c>
      <c r="N83" s="1714">
        <v>13</v>
      </c>
      <c r="P83" s="882" t="e">
        <f ca="1">VLOOKUP(Q83,bond!B:AA,26,FALSE)</f>
        <v>#N/A</v>
      </c>
      <c r="Q83" s="928">
        <f ca="1">Change投!S25</f>
        <v>0</v>
      </c>
      <c r="R83" s="889">
        <f ca="1">IFERROR(IF(Q83="",0,IF($D$4=1,Change投!AC25*Change投!AJ25,Change投!AC25)),0)</f>
        <v>0</v>
      </c>
      <c r="S83" s="885" t="e">
        <f ca="1">Change投!W25</f>
        <v>#N/A</v>
      </c>
      <c r="T83" s="883">
        <f t="shared" ca="1" si="64"/>
        <v>0</v>
      </c>
      <c r="U83" s="885" t="str">
        <f ca="1">Change投!Z25</f>
        <v/>
      </c>
      <c r="V83" s="886" t="str">
        <f t="shared" ref="V83:V100" ca="1" si="88">IFERROR(YEAR(U83),"")</f>
        <v/>
      </c>
      <c r="W83" s="885" t="e">
        <f t="shared" ref="W83:W100" ca="1" si="89">IF(P83="Y","待定義",S83)</f>
        <v>#N/A</v>
      </c>
      <c r="X83" s="886" t="str">
        <f t="shared" ref="X83:X100" ca="1" si="90">IFERROR(YEAR(W83),"")</f>
        <v/>
      </c>
      <c r="Y83" s="887" t="str">
        <f ca="1">Change投!Y25</f>
        <v/>
      </c>
      <c r="Z83" s="886">
        <f ca="1">Change投!AC25</f>
        <v>0</v>
      </c>
      <c r="AA83" s="1205">
        <f ca="1">Change投!X25</f>
        <v>0</v>
      </c>
      <c r="AB83" s="881">
        <f ca="1">Change投!AJ25</f>
        <v>0</v>
      </c>
      <c r="AC83" s="887">
        <f t="shared" ca="1" si="61"/>
        <v>0</v>
      </c>
      <c r="AD83" s="883">
        <f t="shared" ca="1" si="68"/>
        <v>0</v>
      </c>
      <c r="AE83" s="883">
        <f t="shared" ca="1" si="69"/>
        <v>0</v>
      </c>
      <c r="AF83" s="883">
        <f t="shared" ca="1" si="69"/>
        <v>0</v>
      </c>
      <c r="AG83" s="883">
        <f t="shared" ca="1" si="69"/>
        <v>0</v>
      </c>
      <c r="AH83" s="883">
        <f t="shared" ca="1" si="69"/>
        <v>0</v>
      </c>
      <c r="AI83" s="883">
        <f t="shared" ca="1" si="69"/>
        <v>0</v>
      </c>
      <c r="AJ83" s="883">
        <f t="shared" ca="1" si="69"/>
        <v>0</v>
      </c>
      <c r="AK83" s="883">
        <f t="shared" ca="1" si="69"/>
        <v>0</v>
      </c>
      <c r="AL83" s="883">
        <f t="shared" ca="1" si="69"/>
        <v>0</v>
      </c>
      <c r="AM83" s="883">
        <f t="shared" ca="1" si="69"/>
        <v>0</v>
      </c>
      <c r="AN83" s="883">
        <f t="shared" ca="1" si="69"/>
        <v>0</v>
      </c>
      <c r="AO83" s="883">
        <f t="shared" ca="1" si="69"/>
        <v>0</v>
      </c>
      <c r="AP83" s="883">
        <f t="shared" ca="1" si="69"/>
        <v>0</v>
      </c>
      <c r="AQ83" s="883">
        <f t="shared" ca="1" si="69"/>
        <v>0</v>
      </c>
      <c r="AR83" s="883">
        <f t="shared" ca="1" si="69"/>
        <v>0</v>
      </c>
      <c r="AS83" s="883">
        <f t="shared" ca="1" si="69"/>
        <v>0</v>
      </c>
      <c r="AT83" s="883">
        <f t="shared" ca="1" si="69"/>
        <v>0</v>
      </c>
      <c r="AU83" s="883">
        <f t="shared" ref="AU83:BJ98" ca="1" si="91">IFERROR(IF(YEAR($W83)&lt;AU$4,0,IF(YEAR($W83)=AU$4,IF($P83="美國國庫債券",ROUND(DATEDIF($U83,$W83,"M")/(12/$Y83),0)+1,DATEDIF($U83,$W83,"M")/(12/$Y83)+1),INT(DATEDIF($U83,AU$5,"M")/(12/$Y83))+1)),0)</f>
        <v>0</v>
      </c>
      <c r="AV83" s="883">
        <f t="shared" ca="1" si="91"/>
        <v>0</v>
      </c>
      <c r="AW83" s="883">
        <f t="shared" ca="1" si="91"/>
        <v>0</v>
      </c>
      <c r="AX83" s="883">
        <f t="shared" ca="1" si="91"/>
        <v>0</v>
      </c>
      <c r="AY83" s="883">
        <f t="shared" ca="1" si="91"/>
        <v>0</v>
      </c>
      <c r="AZ83" s="883">
        <f t="shared" ca="1" si="91"/>
        <v>0</v>
      </c>
      <c r="BA83" s="883">
        <f t="shared" ca="1" si="91"/>
        <v>0</v>
      </c>
      <c r="BB83" s="883">
        <f t="shared" ca="1" si="91"/>
        <v>0</v>
      </c>
      <c r="BC83" s="883">
        <f t="shared" ca="1" si="91"/>
        <v>0</v>
      </c>
      <c r="BD83" s="883">
        <f t="shared" ca="1" si="91"/>
        <v>0</v>
      </c>
      <c r="BE83" s="883">
        <f t="shared" ca="1" si="91"/>
        <v>0</v>
      </c>
      <c r="BF83" s="883">
        <f t="shared" ca="1" si="91"/>
        <v>0</v>
      </c>
      <c r="BG83" s="883">
        <f t="shared" ca="1" si="91"/>
        <v>0</v>
      </c>
      <c r="BH83" s="883">
        <f t="shared" ca="1" si="91"/>
        <v>0</v>
      </c>
      <c r="BI83" s="883">
        <f t="shared" ca="1" si="91"/>
        <v>0</v>
      </c>
      <c r="BJ83" s="883">
        <f t="shared" ca="1" si="91"/>
        <v>0</v>
      </c>
      <c r="BK83" s="883">
        <f t="shared" ref="BK83:BZ98" ca="1" si="92">IFERROR(IF(YEAR($W83)&lt;BK$4,0,IF(YEAR($W83)=BK$4,IF($P83="美國國庫債券",ROUND(DATEDIF($U83,$W83,"M")/(12/$Y83),0)+1,DATEDIF($U83,$W83,"M")/(12/$Y83)+1),INT(DATEDIF($U83,BK$5,"M")/(12/$Y83))+1)),0)</f>
        <v>0</v>
      </c>
      <c r="BL83" s="883">
        <f t="shared" ca="1" si="92"/>
        <v>0</v>
      </c>
      <c r="BM83" s="883">
        <f t="shared" ca="1" si="92"/>
        <v>0</v>
      </c>
      <c r="BN83" s="883">
        <f t="shared" ca="1" si="92"/>
        <v>0</v>
      </c>
      <c r="BO83" s="883">
        <f t="shared" ca="1" si="92"/>
        <v>0</v>
      </c>
      <c r="BP83" s="883">
        <f t="shared" ca="1" si="92"/>
        <v>0</v>
      </c>
      <c r="BQ83" s="883">
        <f t="shared" ca="1" si="92"/>
        <v>0</v>
      </c>
      <c r="BR83" s="883">
        <f t="shared" ca="1" si="92"/>
        <v>0</v>
      </c>
      <c r="BS83" s="883">
        <f t="shared" ca="1" si="92"/>
        <v>0</v>
      </c>
      <c r="BT83" s="883">
        <f t="shared" ca="1" si="92"/>
        <v>0</v>
      </c>
      <c r="BU83" s="883">
        <f t="shared" ca="1" si="92"/>
        <v>0</v>
      </c>
      <c r="BV83" s="883">
        <f t="shared" ca="1" si="92"/>
        <v>0</v>
      </c>
      <c r="BW83" s="883">
        <f t="shared" ca="1" si="92"/>
        <v>0</v>
      </c>
      <c r="BX83" s="883">
        <f t="shared" ca="1" si="92"/>
        <v>0</v>
      </c>
      <c r="BY83" s="883">
        <f t="shared" ca="1" si="92"/>
        <v>0</v>
      </c>
      <c r="BZ83" s="883">
        <f t="shared" ca="1" si="92"/>
        <v>0</v>
      </c>
      <c r="CA83" s="883">
        <f t="shared" ref="CA83:CP101" ca="1" si="93">IFERROR(IF(YEAR($W83)&lt;CA$4,0,IF(YEAR($W83)=CA$4,IF($P83="美國國庫債券",ROUND(DATEDIF($U83,$W83,"M")/(12/$Y83),0)+1,DATEDIF($U83,$W83,"M")/(12/$Y83)+1),INT(DATEDIF($U83,CA$5,"M")/(12/$Y83))+1)),0)</f>
        <v>0</v>
      </c>
      <c r="CB83" s="883">
        <f t="shared" ca="1" si="93"/>
        <v>0</v>
      </c>
      <c r="CC83" s="883">
        <f t="shared" ca="1" si="93"/>
        <v>0</v>
      </c>
      <c r="CD83" s="883">
        <f t="shared" ca="1" si="93"/>
        <v>0</v>
      </c>
      <c r="CE83" s="883">
        <f t="shared" ca="1" si="93"/>
        <v>0</v>
      </c>
      <c r="CF83" s="883">
        <f t="shared" ca="1" si="93"/>
        <v>0</v>
      </c>
      <c r="CG83" s="883">
        <f t="shared" ca="1" si="93"/>
        <v>0</v>
      </c>
      <c r="CH83" s="883">
        <f t="shared" ca="1" si="93"/>
        <v>0</v>
      </c>
      <c r="CI83" s="883">
        <f t="shared" ca="1" si="93"/>
        <v>0</v>
      </c>
      <c r="CJ83" s="883">
        <f t="shared" ca="1" si="93"/>
        <v>0</v>
      </c>
      <c r="CK83" s="883">
        <f t="shared" ca="1" si="93"/>
        <v>0</v>
      </c>
      <c r="CL83" s="883">
        <f t="shared" ca="1" si="93"/>
        <v>0</v>
      </c>
      <c r="CM83" s="883">
        <f t="shared" ca="1" si="93"/>
        <v>0</v>
      </c>
      <c r="CN83" s="883">
        <f t="shared" ca="1" si="93"/>
        <v>0</v>
      </c>
      <c r="CO83" s="883">
        <f t="shared" ca="1" si="93"/>
        <v>0</v>
      </c>
      <c r="CP83" s="883">
        <f t="shared" ca="1" si="93"/>
        <v>0</v>
      </c>
      <c r="CQ83" s="883">
        <f t="shared" ref="CQ83:DF101" ca="1" si="94">IFERROR(IF(YEAR($W83)&lt;CQ$4,0,IF(YEAR($W83)=CQ$4,IF($P83="美國國庫債券",ROUND(DATEDIF($U83,$W83,"M")/(12/$Y83),0)+1,DATEDIF($U83,$W83,"M")/(12/$Y83)+1),INT(DATEDIF($U83,CQ$5,"M")/(12/$Y83))+1)),0)</f>
        <v>0</v>
      </c>
      <c r="CR83" s="883">
        <f t="shared" ca="1" si="87"/>
        <v>0</v>
      </c>
      <c r="CS83" s="883">
        <f t="shared" ca="1" si="87"/>
        <v>0</v>
      </c>
      <c r="CT83" s="883">
        <f t="shared" ca="1" si="87"/>
        <v>0</v>
      </c>
      <c r="CU83" s="883">
        <f t="shared" ca="1" si="87"/>
        <v>0</v>
      </c>
      <c r="CV83" s="883">
        <f t="shared" ca="1" si="87"/>
        <v>0</v>
      </c>
      <c r="CW83" s="883">
        <f t="shared" ca="1" si="87"/>
        <v>0</v>
      </c>
      <c r="CX83" s="883">
        <f t="shared" ca="1" si="87"/>
        <v>0</v>
      </c>
      <c r="CY83" s="883">
        <f t="shared" ca="1" si="87"/>
        <v>0</v>
      </c>
      <c r="CZ83" s="883">
        <f t="shared" ca="1" si="87"/>
        <v>0</v>
      </c>
      <c r="DA83" s="883">
        <f t="shared" ca="1" si="87"/>
        <v>0</v>
      </c>
      <c r="DB83" s="883">
        <f t="shared" ca="1" si="87"/>
        <v>0</v>
      </c>
      <c r="DC83" s="883">
        <f t="shared" ca="1" si="87"/>
        <v>0</v>
      </c>
      <c r="DD83" s="883">
        <f t="shared" ca="1" si="87"/>
        <v>0</v>
      </c>
      <c r="DE83" s="883">
        <f t="shared" ca="1" si="87"/>
        <v>0</v>
      </c>
      <c r="DF83" s="883">
        <f t="shared" ca="1" si="87"/>
        <v>0</v>
      </c>
      <c r="DG83" s="883">
        <f t="shared" ca="1" si="87"/>
        <v>0</v>
      </c>
      <c r="DH83" s="883">
        <f t="shared" ca="1" si="83"/>
        <v>0</v>
      </c>
      <c r="DI83" s="883">
        <f t="shared" ca="1" si="83"/>
        <v>0</v>
      </c>
      <c r="DJ83" s="883">
        <f t="shared" ca="1" si="83"/>
        <v>0</v>
      </c>
      <c r="DK83" s="883">
        <f t="shared" ca="1" si="83"/>
        <v>0</v>
      </c>
      <c r="DL83" s="883">
        <f t="shared" ca="1" si="83"/>
        <v>0</v>
      </c>
      <c r="DM83" s="883">
        <f t="shared" ca="1" si="83"/>
        <v>0</v>
      </c>
      <c r="DN83" s="883">
        <f t="shared" ca="1" si="84"/>
        <v>0</v>
      </c>
      <c r="DO83" s="883">
        <f t="shared" ca="1" si="84"/>
        <v>0</v>
      </c>
      <c r="DP83" s="883">
        <f t="shared" ca="1" si="84"/>
        <v>0</v>
      </c>
      <c r="DQ83" s="883">
        <f t="shared" ca="1" si="84"/>
        <v>0</v>
      </c>
      <c r="DR83" s="883">
        <f t="shared" ca="1" si="84"/>
        <v>0</v>
      </c>
      <c r="DS83" s="883">
        <f t="shared" ca="1" si="84"/>
        <v>0</v>
      </c>
      <c r="DT83" s="883">
        <f t="shared" ca="1" si="84"/>
        <v>0</v>
      </c>
      <c r="DU83" s="883">
        <f t="shared" ca="1" si="84"/>
        <v>0</v>
      </c>
      <c r="DV83" s="883">
        <f t="shared" ca="1" si="84"/>
        <v>0</v>
      </c>
      <c r="DW83" s="883">
        <f t="shared" ca="1" si="84"/>
        <v>0</v>
      </c>
      <c r="DX83" s="883">
        <f t="shared" ca="1" si="84"/>
        <v>0</v>
      </c>
      <c r="DY83" s="883">
        <f t="shared" ca="1" si="84"/>
        <v>0</v>
      </c>
      <c r="DZ83" s="883">
        <f t="shared" ca="1" si="84"/>
        <v>0</v>
      </c>
      <c r="EA83" s="883">
        <f t="shared" ca="1" si="84"/>
        <v>0</v>
      </c>
      <c r="EB83" s="883">
        <f t="shared" ca="1" si="84"/>
        <v>0</v>
      </c>
      <c r="EC83" s="883">
        <f t="shared" ca="1" si="84"/>
        <v>0</v>
      </c>
      <c r="ED83" s="883">
        <f t="shared" ca="1" si="85"/>
        <v>0</v>
      </c>
      <c r="EE83" s="883">
        <f t="shared" ca="1" si="85"/>
        <v>0</v>
      </c>
      <c r="EF83" s="883">
        <f t="shared" ca="1" si="85"/>
        <v>0</v>
      </c>
      <c r="EG83" s="883">
        <f t="shared" ca="1" si="85"/>
        <v>0</v>
      </c>
      <c r="EH83" s="883">
        <f t="shared" ca="1" si="85"/>
        <v>0</v>
      </c>
      <c r="EI83" s="883">
        <f t="shared" ca="1" si="85"/>
        <v>0</v>
      </c>
      <c r="EJ83" s="883">
        <f t="shared" ca="1" si="85"/>
        <v>0</v>
      </c>
      <c r="EK83" s="883">
        <f t="shared" ca="1" si="85"/>
        <v>0</v>
      </c>
      <c r="EL83" s="883">
        <f t="shared" ca="1" si="85"/>
        <v>0</v>
      </c>
      <c r="EM83" s="883">
        <f t="shared" ca="1" si="85"/>
        <v>0</v>
      </c>
      <c r="EN83" s="883">
        <f t="shared" ca="1" si="85"/>
        <v>0</v>
      </c>
      <c r="EO83" s="883">
        <f t="shared" ca="1" si="85"/>
        <v>0</v>
      </c>
      <c r="EP83" s="883">
        <f t="shared" ca="1" si="85"/>
        <v>0</v>
      </c>
      <c r="EQ83" s="883">
        <f t="shared" ca="1" si="85"/>
        <v>0</v>
      </c>
      <c r="ER83" s="883">
        <f t="shared" ca="1" si="85"/>
        <v>0</v>
      </c>
      <c r="ES83" s="883">
        <f t="shared" ca="1" si="85"/>
        <v>0</v>
      </c>
      <c r="ET83" s="883">
        <f t="shared" ca="1" si="86"/>
        <v>0</v>
      </c>
      <c r="EU83" s="883">
        <f t="shared" ca="1" si="86"/>
        <v>0</v>
      </c>
      <c r="EV83" s="883">
        <f t="shared" ca="1" si="86"/>
        <v>0</v>
      </c>
      <c r="EW83" s="883">
        <f t="shared" ca="1" si="86"/>
        <v>0</v>
      </c>
      <c r="EX83" s="883">
        <f t="shared" ca="1" si="86"/>
        <v>0</v>
      </c>
      <c r="EY83" s="883">
        <f t="shared" ca="1" si="86"/>
        <v>0</v>
      </c>
      <c r="EZ83" s="883">
        <f t="shared" ca="1" si="86"/>
        <v>0</v>
      </c>
      <c r="FA83" s="883">
        <f t="shared" ca="1" si="86"/>
        <v>0</v>
      </c>
    </row>
    <row r="84" spans="8:157">
      <c r="H84" s="891" t="str">
        <f t="shared" ca="1" si="80"/>
        <v/>
      </c>
      <c r="I84" s="1206" t="e">
        <f t="shared" ca="1" si="77"/>
        <v>#N/A</v>
      </c>
      <c r="J84" s="1206">
        <f t="shared" ca="1" si="78"/>
        <v>0</v>
      </c>
      <c r="K84" s="929" t="str">
        <f t="shared" si="79"/>
        <v/>
      </c>
      <c r="L84" s="929" t="str">
        <f t="shared" si="81"/>
        <v/>
      </c>
      <c r="N84" s="1714">
        <v>14</v>
      </c>
      <c r="P84" s="882" t="e">
        <f ca="1">VLOOKUP(Q84,bond!B:AA,26,FALSE)</f>
        <v>#N/A</v>
      </c>
      <c r="Q84" s="928">
        <f ca="1">Change投!S26</f>
        <v>0</v>
      </c>
      <c r="R84" s="889">
        <f ca="1">IFERROR(IF(Q84="",0,IF($D$4=1,Change投!AC26*Change投!AJ26,Change投!AC26)),0)</f>
        <v>0</v>
      </c>
      <c r="S84" s="885" t="e">
        <f ca="1">Change投!W26</f>
        <v>#N/A</v>
      </c>
      <c r="T84" s="883">
        <f t="shared" ca="1" si="64"/>
        <v>0</v>
      </c>
      <c r="U84" s="885" t="str">
        <f ca="1">Change投!Z26</f>
        <v/>
      </c>
      <c r="V84" s="886" t="str">
        <f t="shared" ca="1" si="88"/>
        <v/>
      </c>
      <c r="W84" s="885" t="e">
        <f t="shared" ca="1" si="89"/>
        <v>#N/A</v>
      </c>
      <c r="X84" s="886" t="str">
        <f t="shared" ca="1" si="90"/>
        <v/>
      </c>
      <c r="Y84" s="887" t="str">
        <f ca="1">Change投!Y26</f>
        <v/>
      </c>
      <c r="Z84" s="886">
        <f ca="1">Change投!AC26</f>
        <v>0</v>
      </c>
      <c r="AA84" s="1205">
        <f ca="1">Change投!X26</f>
        <v>0</v>
      </c>
      <c r="AB84" s="881">
        <f ca="1">Change投!AJ26</f>
        <v>0</v>
      </c>
      <c r="AC84" s="887">
        <f t="shared" ca="1" si="61"/>
        <v>0</v>
      </c>
      <c r="AD84" s="883">
        <f t="shared" ca="1" si="68"/>
        <v>0</v>
      </c>
      <c r="AE84" s="883">
        <f t="shared" ca="1" si="68"/>
        <v>0</v>
      </c>
      <c r="AF84" s="883">
        <f t="shared" ca="1" si="68"/>
        <v>0</v>
      </c>
      <c r="AG84" s="883">
        <f t="shared" ca="1" si="68"/>
        <v>0</v>
      </c>
      <c r="AH84" s="883">
        <f t="shared" ca="1" si="68"/>
        <v>0</v>
      </c>
      <c r="AI84" s="883">
        <f t="shared" ca="1" si="68"/>
        <v>0</v>
      </c>
      <c r="AJ84" s="883">
        <f t="shared" ca="1" si="68"/>
        <v>0</v>
      </c>
      <c r="AK84" s="883">
        <f t="shared" ca="1" si="68"/>
        <v>0</v>
      </c>
      <c r="AL84" s="883">
        <f t="shared" ca="1" si="68"/>
        <v>0</v>
      </c>
      <c r="AM84" s="883">
        <f t="shared" ca="1" si="68"/>
        <v>0</v>
      </c>
      <c r="AN84" s="883">
        <f t="shared" ca="1" si="68"/>
        <v>0</v>
      </c>
      <c r="AO84" s="883">
        <f t="shared" ca="1" si="68"/>
        <v>0</v>
      </c>
      <c r="AP84" s="883">
        <f t="shared" ca="1" si="68"/>
        <v>0</v>
      </c>
      <c r="AQ84" s="883">
        <f t="shared" ca="1" si="68"/>
        <v>0</v>
      </c>
      <c r="AR84" s="883">
        <f t="shared" ca="1" si="68"/>
        <v>0</v>
      </c>
      <c r="AS84" s="883">
        <f t="shared" ca="1" si="68"/>
        <v>0</v>
      </c>
      <c r="AT84" s="883">
        <f t="shared" ref="AT84:BI99" ca="1" si="95">IFERROR(IF(YEAR($W84)&lt;AT$4,0,IF(YEAR($W84)=AT$4,IF($P84="美國國庫債券",ROUND(DATEDIF($U84,$W84,"M")/(12/$Y84),0)+1,DATEDIF($U84,$W84,"M")/(12/$Y84)+1),INT(DATEDIF($U84,AT$5,"M")/(12/$Y84))+1)),0)</f>
        <v>0</v>
      </c>
      <c r="AU84" s="883">
        <f t="shared" ca="1" si="95"/>
        <v>0</v>
      </c>
      <c r="AV84" s="883">
        <f t="shared" ca="1" si="95"/>
        <v>0</v>
      </c>
      <c r="AW84" s="883">
        <f t="shared" ca="1" si="95"/>
        <v>0</v>
      </c>
      <c r="AX84" s="883">
        <f t="shared" ca="1" si="95"/>
        <v>0</v>
      </c>
      <c r="AY84" s="883">
        <f t="shared" ca="1" si="95"/>
        <v>0</v>
      </c>
      <c r="AZ84" s="883">
        <f t="shared" ca="1" si="95"/>
        <v>0</v>
      </c>
      <c r="BA84" s="883">
        <f t="shared" ca="1" si="95"/>
        <v>0</v>
      </c>
      <c r="BB84" s="883">
        <f t="shared" ca="1" si="95"/>
        <v>0</v>
      </c>
      <c r="BC84" s="883">
        <f t="shared" ca="1" si="95"/>
        <v>0</v>
      </c>
      <c r="BD84" s="883">
        <f t="shared" ca="1" si="95"/>
        <v>0</v>
      </c>
      <c r="BE84" s="883">
        <f t="shared" ca="1" si="95"/>
        <v>0</v>
      </c>
      <c r="BF84" s="883">
        <f t="shared" ca="1" si="95"/>
        <v>0</v>
      </c>
      <c r="BG84" s="883">
        <f t="shared" ca="1" si="95"/>
        <v>0</v>
      </c>
      <c r="BH84" s="883">
        <f t="shared" ca="1" si="95"/>
        <v>0</v>
      </c>
      <c r="BI84" s="883">
        <f t="shared" ca="1" si="95"/>
        <v>0</v>
      </c>
      <c r="BJ84" s="883">
        <f t="shared" ca="1" si="91"/>
        <v>0</v>
      </c>
      <c r="BK84" s="883">
        <f t="shared" ca="1" si="92"/>
        <v>0</v>
      </c>
      <c r="BL84" s="883">
        <f t="shared" ca="1" si="92"/>
        <v>0</v>
      </c>
      <c r="BM84" s="883">
        <f t="shared" ca="1" si="92"/>
        <v>0</v>
      </c>
      <c r="BN84" s="883">
        <f t="shared" ca="1" si="92"/>
        <v>0</v>
      </c>
      <c r="BO84" s="883">
        <f t="shared" ca="1" si="92"/>
        <v>0</v>
      </c>
      <c r="BP84" s="883">
        <f t="shared" ca="1" si="92"/>
        <v>0</v>
      </c>
      <c r="BQ84" s="883">
        <f t="shared" ca="1" si="92"/>
        <v>0</v>
      </c>
      <c r="BR84" s="883">
        <f t="shared" ca="1" si="92"/>
        <v>0</v>
      </c>
      <c r="BS84" s="883">
        <f t="shared" ca="1" si="92"/>
        <v>0</v>
      </c>
      <c r="BT84" s="883">
        <f t="shared" ca="1" si="92"/>
        <v>0</v>
      </c>
      <c r="BU84" s="883">
        <f t="shared" ca="1" si="92"/>
        <v>0</v>
      </c>
      <c r="BV84" s="883">
        <f t="shared" ca="1" si="92"/>
        <v>0</v>
      </c>
      <c r="BW84" s="883">
        <f t="shared" ca="1" si="92"/>
        <v>0</v>
      </c>
      <c r="BX84" s="883">
        <f t="shared" ca="1" si="92"/>
        <v>0</v>
      </c>
      <c r="BY84" s="883">
        <f t="shared" ca="1" si="92"/>
        <v>0</v>
      </c>
      <c r="BZ84" s="883">
        <f t="shared" ca="1" si="92"/>
        <v>0</v>
      </c>
      <c r="CA84" s="883">
        <f t="shared" ca="1" si="93"/>
        <v>0</v>
      </c>
      <c r="CB84" s="883">
        <f t="shared" ca="1" si="93"/>
        <v>0</v>
      </c>
      <c r="CC84" s="883">
        <f t="shared" ca="1" si="93"/>
        <v>0</v>
      </c>
      <c r="CD84" s="883">
        <f t="shared" ca="1" si="93"/>
        <v>0</v>
      </c>
      <c r="CE84" s="883">
        <f t="shared" ca="1" si="93"/>
        <v>0</v>
      </c>
      <c r="CF84" s="883">
        <f t="shared" ca="1" si="93"/>
        <v>0</v>
      </c>
      <c r="CG84" s="883">
        <f t="shared" ca="1" si="93"/>
        <v>0</v>
      </c>
      <c r="CH84" s="883">
        <f t="shared" ca="1" si="93"/>
        <v>0</v>
      </c>
      <c r="CI84" s="883">
        <f t="shared" ca="1" si="93"/>
        <v>0</v>
      </c>
      <c r="CJ84" s="883">
        <f t="shared" ca="1" si="93"/>
        <v>0</v>
      </c>
      <c r="CK84" s="883">
        <f t="shared" ca="1" si="93"/>
        <v>0</v>
      </c>
      <c r="CL84" s="883">
        <f t="shared" ca="1" si="93"/>
        <v>0</v>
      </c>
      <c r="CM84" s="883">
        <f t="shared" ca="1" si="93"/>
        <v>0</v>
      </c>
      <c r="CN84" s="883">
        <f t="shared" ca="1" si="93"/>
        <v>0</v>
      </c>
      <c r="CO84" s="883">
        <f t="shared" ca="1" si="93"/>
        <v>0</v>
      </c>
      <c r="CP84" s="883">
        <f t="shared" ca="1" si="93"/>
        <v>0</v>
      </c>
      <c r="CQ84" s="883">
        <f t="shared" ca="1" si="94"/>
        <v>0</v>
      </c>
      <c r="CR84" s="883">
        <f t="shared" ca="1" si="87"/>
        <v>0</v>
      </c>
      <c r="CS84" s="883">
        <f t="shared" ca="1" si="87"/>
        <v>0</v>
      </c>
      <c r="CT84" s="883">
        <f t="shared" ca="1" si="87"/>
        <v>0</v>
      </c>
      <c r="CU84" s="883">
        <f t="shared" ca="1" si="87"/>
        <v>0</v>
      </c>
      <c r="CV84" s="883">
        <f t="shared" ca="1" si="87"/>
        <v>0</v>
      </c>
      <c r="CW84" s="883">
        <f t="shared" ca="1" si="87"/>
        <v>0</v>
      </c>
      <c r="CX84" s="883">
        <f t="shared" ca="1" si="87"/>
        <v>0</v>
      </c>
      <c r="CY84" s="883">
        <f t="shared" ca="1" si="87"/>
        <v>0</v>
      </c>
      <c r="CZ84" s="883">
        <f t="shared" ca="1" si="87"/>
        <v>0</v>
      </c>
      <c r="DA84" s="883">
        <f t="shared" ca="1" si="87"/>
        <v>0</v>
      </c>
      <c r="DB84" s="883">
        <f t="shared" ca="1" si="87"/>
        <v>0</v>
      </c>
      <c r="DC84" s="883">
        <f t="shared" ca="1" si="87"/>
        <v>0</v>
      </c>
      <c r="DD84" s="883">
        <f t="shared" ca="1" si="87"/>
        <v>0</v>
      </c>
      <c r="DE84" s="883">
        <f t="shared" ca="1" si="87"/>
        <v>0</v>
      </c>
      <c r="DF84" s="883">
        <f t="shared" ca="1" si="87"/>
        <v>0</v>
      </c>
      <c r="DG84" s="883">
        <f t="shared" ca="1" si="87"/>
        <v>0</v>
      </c>
      <c r="DH84" s="883">
        <f t="shared" ca="1" si="83"/>
        <v>0</v>
      </c>
      <c r="DI84" s="883">
        <f t="shared" ca="1" si="83"/>
        <v>0</v>
      </c>
      <c r="DJ84" s="883">
        <f t="shared" ca="1" si="83"/>
        <v>0</v>
      </c>
      <c r="DK84" s="883">
        <f t="shared" ca="1" si="83"/>
        <v>0</v>
      </c>
      <c r="DL84" s="883">
        <f t="shared" ca="1" si="83"/>
        <v>0</v>
      </c>
      <c r="DM84" s="883">
        <f t="shared" ca="1" si="83"/>
        <v>0</v>
      </c>
      <c r="DN84" s="883">
        <f t="shared" ca="1" si="84"/>
        <v>0</v>
      </c>
      <c r="DO84" s="883">
        <f t="shared" ca="1" si="84"/>
        <v>0</v>
      </c>
      <c r="DP84" s="883">
        <f t="shared" ca="1" si="84"/>
        <v>0</v>
      </c>
      <c r="DQ84" s="883">
        <f t="shared" ca="1" si="84"/>
        <v>0</v>
      </c>
      <c r="DR84" s="883">
        <f t="shared" ca="1" si="84"/>
        <v>0</v>
      </c>
      <c r="DS84" s="883">
        <f t="shared" ca="1" si="84"/>
        <v>0</v>
      </c>
      <c r="DT84" s="883">
        <f t="shared" ca="1" si="84"/>
        <v>0</v>
      </c>
      <c r="DU84" s="883">
        <f t="shared" ca="1" si="84"/>
        <v>0</v>
      </c>
      <c r="DV84" s="883">
        <f t="shared" ca="1" si="84"/>
        <v>0</v>
      </c>
      <c r="DW84" s="883">
        <f t="shared" ca="1" si="84"/>
        <v>0</v>
      </c>
      <c r="DX84" s="883">
        <f t="shared" ca="1" si="84"/>
        <v>0</v>
      </c>
      <c r="DY84" s="883">
        <f t="shared" ca="1" si="84"/>
        <v>0</v>
      </c>
      <c r="DZ84" s="883">
        <f t="shared" ca="1" si="84"/>
        <v>0</v>
      </c>
      <c r="EA84" s="883">
        <f t="shared" ca="1" si="84"/>
        <v>0</v>
      </c>
      <c r="EB84" s="883">
        <f t="shared" ca="1" si="84"/>
        <v>0</v>
      </c>
      <c r="EC84" s="883">
        <f t="shared" ca="1" si="84"/>
        <v>0</v>
      </c>
      <c r="ED84" s="883">
        <f t="shared" ca="1" si="85"/>
        <v>0</v>
      </c>
      <c r="EE84" s="883">
        <f t="shared" ca="1" si="85"/>
        <v>0</v>
      </c>
      <c r="EF84" s="883">
        <f t="shared" ca="1" si="85"/>
        <v>0</v>
      </c>
      <c r="EG84" s="883">
        <f t="shared" ca="1" si="85"/>
        <v>0</v>
      </c>
      <c r="EH84" s="883">
        <f t="shared" ca="1" si="85"/>
        <v>0</v>
      </c>
      <c r="EI84" s="883">
        <f t="shared" ca="1" si="85"/>
        <v>0</v>
      </c>
      <c r="EJ84" s="883">
        <f t="shared" ca="1" si="85"/>
        <v>0</v>
      </c>
      <c r="EK84" s="883">
        <f t="shared" ca="1" si="85"/>
        <v>0</v>
      </c>
      <c r="EL84" s="883">
        <f t="shared" ca="1" si="85"/>
        <v>0</v>
      </c>
      <c r="EM84" s="883">
        <f t="shared" ca="1" si="85"/>
        <v>0</v>
      </c>
      <c r="EN84" s="883">
        <f t="shared" ca="1" si="85"/>
        <v>0</v>
      </c>
      <c r="EO84" s="883">
        <f t="shared" ca="1" si="85"/>
        <v>0</v>
      </c>
      <c r="EP84" s="883">
        <f t="shared" ca="1" si="85"/>
        <v>0</v>
      </c>
      <c r="EQ84" s="883">
        <f t="shared" ca="1" si="85"/>
        <v>0</v>
      </c>
      <c r="ER84" s="883">
        <f t="shared" ca="1" si="85"/>
        <v>0</v>
      </c>
      <c r="ES84" s="883">
        <f t="shared" ca="1" si="85"/>
        <v>0</v>
      </c>
      <c r="ET84" s="883">
        <f t="shared" ca="1" si="86"/>
        <v>0</v>
      </c>
      <c r="EU84" s="883">
        <f t="shared" ca="1" si="86"/>
        <v>0</v>
      </c>
      <c r="EV84" s="883">
        <f t="shared" ca="1" si="86"/>
        <v>0</v>
      </c>
      <c r="EW84" s="883">
        <f t="shared" ca="1" si="86"/>
        <v>0</v>
      </c>
      <c r="EX84" s="883">
        <f t="shared" ca="1" si="86"/>
        <v>0</v>
      </c>
      <c r="EY84" s="883">
        <f t="shared" ca="1" si="86"/>
        <v>0</v>
      </c>
      <c r="EZ84" s="883">
        <f t="shared" ca="1" si="86"/>
        <v>0</v>
      </c>
      <c r="FA84" s="883">
        <f t="shared" ca="1" si="86"/>
        <v>0</v>
      </c>
    </row>
    <row r="85" spans="8:157">
      <c r="H85" s="891" t="str">
        <f t="shared" ca="1" si="80"/>
        <v/>
      </c>
      <c r="I85" s="1206" t="e">
        <f t="shared" ca="1" si="77"/>
        <v>#N/A</v>
      </c>
      <c r="J85" s="1206">
        <f t="shared" ca="1" si="78"/>
        <v>0</v>
      </c>
      <c r="K85" s="929" t="str">
        <f t="shared" si="79"/>
        <v/>
      </c>
      <c r="L85" s="929" t="str">
        <f t="shared" si="81"/>
        <v/>
      </c>
      <c r="N85" s="1714">
        <v>15</v>
      </c>
      <c r="P85" s="882" t="e">
        <f ca="1">VLOOKUP(Q85,bond!B:AA,26,FALSE)</f>
        <v>#N/A</v>
      </c>
      <c r="Q85" s="928">
        <f ca="1">Change投!S27</f>
        <v>0</v>
      </c>
      <c r="R85" s="889">
        <f ca="1">IFERROR(IF(Q85="",0,IF($D$4=1,Change投!AC27*Change投!AJ27,Change投!AC27)),0)</f>
        <v>0</v>
      </c>
      <c r="S85" s="885" t="e">
        <f ca="1">Change投!W27</f>
        <v>#N/A</v>
      </c>
      <c r="T85" s="883">
        <f t="shared" ca="1" si="64"/>
        <v>0</v>
      </c>
      <c r="U85" s="885" t="str">
        <f ca="1">Change投!Z27</f>
        <v/>
      </c>
      <c r="V85" s="886" t="str">
        <f t="shared" ca="1" si="88"/>
        <v/>
      </c>
      <c r="W85" s="885" t="e">
        <f t="shared" ca="1" si="89"/>
        <v>#N/A</v>
      </c>
      <c r="X85" s="886" t="str">
        <f t="shared" ca="1" si="90"/>
        <v/>
      </c>
      <c r="Y85" s="887" t="str">
        <f ca="1">Change投!Y27</f>
        <v/>
      </c>
      <c r="Z85" s="886">
        <f ca="1">Change投!AC27</f>
        <v>0</v>
      </c>
      <c r="AA85" s="1205">
        <f ca="1">Change投!X27</f>
        <v>0</v>
      </c>
      <c r="AB85" s="881">
        <f ca="1">Change投!AJ27</f>
        <v>0</v>
      </c>
      <c r="AC85" s="887">
        <f t="shared" ca="1" si="61"/>
        <v>0</v>
      </c>
      <c r="AD85" s="883">
        <f t="shared" ref="AD85:AS100" ca="1" si="96">IFERROR(IF(YEAR($W85)&lt;AD$4,0,IF(YEAR($W85)=AD$4,IF($P85="美國國庫債券",ROUND(DATEDIF($U85,$W85,"M")/(12/$Y85),0)+1,DATEDIF($U85,$W85,"M")/(12/$Y85)+1),INT(DATEDIF($U85,AD$5,"M")/(12/$Y85))+1)),0)</f>
        <v>0</v>
      </c>
      <c r="AE85" s="883">
        <f t="shared" ca="1" si="96"/>
        <v>0</v>
      </c>
      <c r="AF85" s="883">
        <f t="shared" ca="1" si="96"/>
        <v>0</v>
      </c>
      <c r="AG85" s="883">
        <f t="shared" ca="1" si="96"/>
        <v>0</v>
      </c>
      <c r="AH85" s="883">
        <f t="shared" ca="1" si="96"/>
        <v>0</v>
      </c>
      <c r="AI85" s="883">
        <f t="shared" ca="1" si="96"/>
        <v>0</v>
      </c>
      <c r="AJ85" s="883">
        <f t="shared" ca="1" si="96"/>
        <v>0</v>
      </c>
      <c r="AK85" s="883">
        <f t="shared" ca="1" si="96"/>
        <v>0</v>
      </c>
      <c r="AL85" s="883">
        <f t="shared" ca="1" si="96"/>
        <v>0</v>
      </c>
      <c r="AM85" s="883">
        <f t="shared" ca="1" si="96"/>
        <v>0</v>
      </c>
      <c r="AN85" s="883">
        <f t="shared" ca="1" si="96"/>
        <v>0</v>
      </c>
      <c r="AO85" s="883">
        <f t="shared" ca="1" si="96"/>
        <v>0</v>
      </c>
      <c r="AP85" s="883">
        <f t="shared" ca="1" si="96"/>
        <v>0</v>
      </c>
      <c r="AQ85" s="883">
        <f t="shared" ca="1" si="96"/>
        <v>0</v>
      </c>
      <c r="AR85" s="883">
        <f t="shared" ca="1" si="96"/>
        <v>0</v>
      </c>
      <c r="AS85" s="883">
        <f t="shared" ca="1" si="96"/>
        <v>0</v>
      </c>
      <c r="AT85" s="883">
        <f t="shared" ca="1" si="95"/>
        <v>0</v>
      </c>
      <c r="AU85" s="883">
        <f t="shared" ca="1" si="95"/>
        <v>0</v>
      </c>
      <c r="AV85" s="883">
        <f t="shared" ca="1" si="95"/>
        <v>0</v>
      </c>
      <c r="AW85" s="883">
        <f t="shared" ca="1" si="95"/>
        <v>0</v>
      </c>
      <c r="AX85" s="883">
        <f t="shared" ca="1" si="95"/>
        <v>0</v>
      </c>
      <c r="AY85" s="883">
        <f t="shared" ca="1" si="95"/>
        <v>0</v>
      </c>
      <c r="AZ85" s="883">
        <f t="shared" ca="1" si="95"/>
        <v>0</v>
      </c>
      <c r="BA85" s="883">
        <f t="shared" ca="1" si="95"/>
        <v>0</v>
      </c>
      <c r="BB85" s="883">
        <f t="shared" ca="1" si="95"/>
        <v>0</v>
      </c>
      <c r="BC85" s="883">
        <f t="shared" ca="1" si="95"/>
        <v>0</v>
      </c>
      <c r="BD85" s="883">
        <f t="shared" ca="1" si="95"/>
        <v>0</v>
      </c>
      <c r="BE85" s="883">
        <f t="shared" ca="1" si="95"/>
        <v>0</v>
      </c>
      <c r="BF85" s="883">
        <f t="shared" ca="1" si="95"/>
        <v>0</v>
      </c>
      <c r="BG85" s="883">
        <f t="shared" ca="1" si="95"/>
        <v>0</v>
      </c>
      <c r="BH85" s="883">
        <f t="shared" ca="1" si="95"/>
        <v>0</v>
      </c>
      <c r="BI85" s="883">
        <f t="shared" ca="1" si="95"/>
        <v>0</v>
      </c>
      <c r="BJ85" s="883">
        <f t="shared" ca="1" si="91"/>
        <v>0</v>
      </c>
      <c r="BK85" s="883">
        <f t="shared" ca="1" si="92"/>
        <v>0</v>
      </c>
      <c r="BL85" s="883">
        <f t="shared" ca="1" si="92"/>
        <v>0</v>
      </c>
      <c r="BM85" s="883">
        <f t="shared" ca="1" si="92"/>
        <v>0</v>
      </c>
      <c r="BN85" s="883">
        <f t="shared" ca="1" si="92"/>
        <v>0</v>
      </c>
      <c r="BO85" s="883">
        <f t="shared" ca="1" si="92"/>
        <v>0</v>
      </c>
      <c r="BP85" s="883">
        <f t="shared" ca="1" si="92"/>
        <v>0</v>
      </c>
      <c r="BQ85" s="883">
        <f t="shared" ca="1" si="92"/>
        <v>0</v>
      </c>
      <c r="BR85" s="883">
        <f t="shared" ca="1" si="92"/>
        <v>0</v>
      </c>
      <c r="BS85" s="883">
        <f t="shared" ca="1" si="92"/>
        <v>0</v>
      </c>
      <c r="BT85" s="883">
        <f t="shared" ca="1" si="92"/>
        <v>0</v>
      </c>
      <c r="BU85" s="883">
        <f t="shared" ca="1" si="92"/>
        <v>0</v>
      </c>
      <c r="BV85" s="883">
        <f t="shared" ca="1" si="92"/>
        <v>0</v>
      </c>
      <c r="BW85" s="883">
        <f t="shared" ca="1" si="92"/>
        <v>0</v>
      </c>
      <c r="BX85" s="883">
        <f t="shared" ca="1" si="92"/>
        <v>0</v>
      </c>
      <c r="BY85" s="883">
        <f t="shared" ca="1" si="92"/>
        <v>0</v>
      </c>
      <c r="BZ85" s="883">
        <f t="shared" ca="1" si="92"/>
        <v>0</v>
      </c>
      <c r="CA85" s="883">
        <f t="shared" ca="1" si="93"/>
        <v>0</v>
      </c>
      <c r="CB85" s="883">
        <f t="shared" ca="1" si="93"/>
        <v>0</v>
      </c>
      <c r="CC85" s="883">
        <f t="shared" ca="1" si="93"/>
        <v>0</v>
      </c>
      <c r="CD85" s="883">
        <f t="shared" ca="1" si="93"/>
        <v>0</v>
      </c>
      <c r="CE85" s="883">
        <f t="shared" ca="1" si="93"/>
        <v>0</v>
      </c>
      <c r="CF85" s="883">
        <f t="shared" ca="1" si="93"/>
        <v>0</v>
      </c>
      <c r="CG85" s="883">
        <f t="shared" ca="1" si="93"/>
        <v>0</v>
      </c>
      <c r="CH85" s="883">
        <f t="shared" ca="1" si="93"/>
        <v>0</v>
      </c>
      <c r="CI85" s="883">
        <f t="shared" ca="1" si="93"/>
        <v>0</v>
      </c>
      <c r="CJ85" s="883">
        <f t="shared" ca="1" si="93"/>
        <v>0</v>
      </c>
      <c r="CK85" s="883">
        <f t="shared" ca="1" si="93"/>
        <v>0</v>
      </c>
      <c r="CL85" s="883">
        <f t="shared" ca="1" si="93"/>
        <v>0</v>
      </c>
      <c r="CM85" s="883">
        <f t="shared" ca="1" si="93"/>
        <v>0</v>
      </c>
      <c r="CN85" s="883">
        <f t="shared" ca="1" si="93"/>
        <v>0</v>
      </c>
      <c r="CO85" s="883">
        <f t="shared" ca="1" si="93"/>
        <v>0</v>
      </c>
      <c r="CP85" s="883">
        <f t="shared" ca="1" si="93"/>
        <v>0</v>
      </c>
      <c r="CQ85" s="883">
        <f t="shared" ca="1" si="94"/>
        <v>0</v>
      </c>
      <c r="CR85" s="883">
        <f t="shared" ca="1" si="87"/>
        <v>0</v>
      </c>
      <c r="CS85" s="883">
        <f t="shared" ca="1" si="87"/>
        <v>0</v>
      </c>
      <c r="CT85" s="883">
        <f t="shared" ca="1" si="87"/>
        <v>0</v>
      </c>
      <c r="CU85" s="883">
        <f t="shared" ca="1" si="87"/>
        <v>0</v>
      </c>
      <c r="CV85" s="883">
        <f t="shared" ca="1" si="87"/>
        <v>0</v>
      </c>
      <c r="CW85" s="883">
        <f t="shared" ca="1" si="87"/>
        <v>0</v>
      </c>
      <c r="CX85" s="883">
        <f t="shared" ca="1" si="87"/>
        <v>0</v>
      </c>
      <c r="CY85" s="883">
        <f t="shared" ca="1" si="87"/>
        <v>0</v>
      </c>
      <c r="CZ85" s="883">
        <f t="shared" ca="1" si="87"/>
        <v>0</v>
      </c>
      <c r="DA85" s="883">
        <f t="shared" ca="1" si="87"/>
        <v>0</v>
      </c>
      <c r="DB85" s="883">
        <f t="shared" ca="1" si="87"/>
        <v>0</v>
      </c>
      <c r="DC85" s="883">
        <f t="shared" ca="1" si="87"/>
        <v>0</v>
      </c>
      <c r="DD85" s="883">
        <f t="shared" ca="1" si="87"/>
        <v>0</v>
      </c>
      <c r="DE85" s="883">
        <f t="shared" ca="1" si="87"/>
        <v>0</v>
      </c>
      <c r="DF85" s="883">
        <f t="shared" ca="1" si="87"/>
        <v>0</v>
      </c>
      <c r="DG85" s="883">
        <f t="shared" ca="1" si="87"/>
        <v>0</v>
      </c>
      <c r="DH85" s="883">
        <f t="shared" ca="1" si="83"/>
        <v>0</v>
      </c>
      <c r="DI85" s="883">
        <f t="shared" ca="1" si="83"/>
        <v>0</v>
      </c>
      <c r="DJ85" s="883">
        <f t="shared" ca="1" si="83"/>
        <v>0</v>
      </c>
      <c r="DK85" s="883">
        <f t="shared" ca="1" si="83"/>
        <v>0</v>
      </c>
      <c r="DL85" s="883">
        <f t="shared" ca="1" si="83"/>
        <v>0</v>
      </c>
      <c r="DM85" s="883">
        <f t="shared" ca="1" si="83"/>
        <v>0</v>
      </c>
      <c r="DN85" s="883">
        <f t="shared" ca="1" si="84"/>
        <v>0</v>
      </c>
      <c r="DO85" s="883">
        <f t="shared" ca="1" si="84"/>
        <v>0</v>
      </c>
      <c r="DP85" s="883">
        <f t="shared" ca="1" si="84"/>
        <v>0</v>
      </c>
      <c r="DQ85" s="883">
        <f t="shared" ca="1" si="84"/>
        <v>0</v>
      </c>
      <c r="DR85" s="883">
        <f t="shared" ca="1" si="84"/>
        <v>0</v>
      </c>
      <c r="DS85" s="883">
        <f t="shared" ca="1" si="84"/>
        <v>0</v>
      </c>
      <c r="DT85" s="883">
        <f t="shared" ca="1" si="84"/>
        <v>0</v>
      </c>
      <c r="DU85" s="883">
        <f t="shared" ca="1" si="84"/>
        <v>0</v>
      </c>
      <c r="DV85" s="883">
        <f t="shared" ca="1" si="84"/>
        <v>0</v>
      </c>
      <c r="DW85" s="883">
        <f t="shared" ca="1" si="84"/>
        <v>0</v>
      </c>
      <c r="DX85" s="883">
        <f t="shared" ca="1" si="84"/>
        <v>0</v>
      </c>
      <c r="DY85" s="883">
        <f t="shared" ca="1" si="84"/>
        <v>0</v>
      </c>
      <c r="DZ85" s="883">
        <f t="shared" ca="1" si="84"/>
        <v>0</v>
      </c>
      <c r="EA85" s="883">
        <f t="shared" ca="1" si="84"/>
        <v>0</v>
      </c>
      <c r="EB85" s="883">
        <f t="shared" ca="1" si="84"/>
        <v>0</v>
      </c>
      <c r="EC85" s="883">
        <f t="shared" ca="1" si="84"/>
        <v>0</v>
      </c>
      <c r="ED85" s="883">
        <f t="shared" ca="1" si="85"/>
        <v>0</v>
      </c>
      <c r="EE85" s="883">
        <f t="shared" ca="1" si="85"/>
        <v>0</v>
      </c>
      <c r="EF85" s="883">
        <f t="shared" ca="1" si="85"/>
        <v>0</v>
      </c>
      <c r="EG85" s="883">
        <f t="shared" ca="1" si="85"/>
        <v>0</v>
      </c>
      <c r="EH85" s="883">
        <f t="shared" ca="1" si="85"/>
        <v>0</v>
      </c>
      <c r="EI85" s="883">
        <f t="shared" ca="1" si="85"/>
        <v>0</v>
      </c>
      <c r="EJ85" s="883">
        <f t="shared" ca="1" si="85"/>
        <v>0</v>
      </c>
      <c r="EK85" s="883">
        <f t="shared" ca="1" si="85"/>
        <v>0</v>
      </c>
      <c r="EL85" s="883">
        <f t="shared" ca="1" si="85"/>
        <v>0</v>
      </c>
      <c r="EM85" s="883">
        <f t="shared" ca="1" si="85"/>
        <v>0</v>
      </c>
      <c r="EN85" s="883">
        <f t="shared" ca="1" si="85"/>
        <v>0</v>
      </c>
      <c r="EO85" s="883">
        <f t="shared" ca="1" si="85"/>
        <v>0</v>
      </c>
      <c r="EP85" s="883">
        <f t="shared" ca="1" si="85"/>
        <v>0</v>
      </c>
      <c r="EQ85" s="883">
        <f t="shared" ca="1" si="85"/>
        <v>0</v>
      </c>
      <c r="ER85" s="883">
        <f t="shared" ca="1" si="85"/>
        <v>0</v>
      </c>
      <c r="ES85" s="883">
        <f t="shared" ca="1" si="85"/>
        <v>0</v>
      </c>
      <c r="ET85" s="883">
        <f t="shared" ca="1" si="86"/>
        <v>0</v>
      </c>
      <c r="EU85" s="883">
        <f t="shared" ca="1" si="86"/>
        <v>0</v>
      </c>
      <c r="EV85" s="883">
        <f t="shared" ca="1" si="86"/>
        <v>0</v>
      </c>
      <c r="EW85" s="883">
        <f t="shared" ca="1" si="86"/>
        <v>0</v>
      </c>
      <c r="EX85" s="883">
        <f t="shared" ca="1" si="86"/>
        <v>0</v>
      </c>
      <c r="EY85" s="883">
        <f t="shared" ca="1" si="86"/>
        <v>0</v>
      </c>
      <c r="EZ85" s="883">
        <f t="shared" ca="1" si="86"/>
        <v>0</v>
      </c>
      <c r="FA85" s="883">
        <f t="shared" ca="1" si="86"/>
        <v>0</v>
      </c>
    </row>
    <row r="86" spans="8:157">
      <c r="H86" s="891" t="str">
        <f t="shared" ca="1" si="80"/>
        <v/>
      </c>
      <c r="I86" s="1206" t="e">
        <f t="shared" ca="1" si="77"/>
        <v>#N/A</v>
      </c>
      <c r="J86" s="1206">
        <f t="shared" ca="1" si="78"/>
        <v>0</v>
      </c>
      <c r="K86" s="929" t="str">
        <f t="shared" si="79"/>
        <v/>
      </c>
      <c r="L86" s="929" t="str">
        <f t="shared" si="81"/>
        <v/>
      </c>
      <c r="N86" s="1714">
        <v>16</v>
      </c>
      <c r="P86" s="882" t="e">
        <f ca="1">VLOOKUP(Q86,bond!B:AA,26,FALSE)</f>
        <v>#N/A</v>
      </c>
      <c r="Q86" s="928">
        <f ca="1">Change投!S28</f>
        <v>0</v>
      </c>
      <c r="R86" s="889">
        <f ca="1">IFERROR(IF(Q86="",0,IF($D$4=1,Change投!AC28*Change投!AJ28,Change投!AC28)),0)</f>
        <v>0</v>
      </c>
      <c r="S86" s="885" t="e">
        <f ca="1">Change投!W28</f>
        <v>#N/A</v>
      </c>
      <c r="T86" s="883">
        <f t="shared" ca="1" si="64"/>
        <v>0</v>
      </c>
      <c r="U86" s="885" t="str">
        <f ca="1">Change投!Z28</f>
        <v/>
      </c>
      <c r="V86" s="886" t="str">
        <f t="shared" ca="1" si="88"/>
        <v/>
      </c>
      <c r="W86" s="885" t="e">
        <f t="shared" ca="1" si="89"/>
        <v>#N/A</v>
      </c>
      <c r="X86" s="886" t="str">
        <f t="shared" ca="1" si="90"/>
        <v/>
      </c>
      <c r="Y86" s="887" t="str">
        <f ca="1">Change投!Y28</f>
        <v/>
      </c>
      <c r="Z86" s="886">
        <f ca="1">Change投!AC28</f>
        <v>0</v>
      </c>
      <c r="AA86" s="1205">
        <f ca="1">Change投!X28</f>
        <v>0</v>
      </c>
      <c r="AB86" s="881">
        <f ca="1">Change投!AJ28</f>
        <v>0</v>
      </c>
      <c r="AC86" s="887">
        <f t="shared" ca="1" si="61"/>
        <v>0</v>
      </c>
      <c r="AD86" s="883">
        <f t="shared" ca="1" si="96"/>
        <v>0</v>
      </c>
      <c r="AE86" s="883">
        <f t="shared" ca="1" si="96"/>
        <v>0</v>
      </c>
      <c r="AF86" s="883">
        <f t="shared" ca="1" si="96"/>
        <v>0</v>
      </c>
      <c r="AG86" s="883">
        <f t="shared" ca="1" si="96"/>
        <v>0</v>
      </c>
      <c r="AH86" s="883">
        <f t="shared" ca="1" si="96"/>
        <v>0</v>
      </c>
      <c r="AI86" s="883">
        <f t="shared" ca="1" si="96"/>
        <v>0</v>
      </c>
      <c r="AJ86" s="883">
        <f t="shared" ca="1" si="96"/>
        <v>0</v>
      </c>
      <c r="AK86" s="883">
        <f t="shared" ca="1" si="96"/>
        <v>0</v>
      </c>
      <c r="AL86" s="883">
        <f t="shared" ca="1" si="96"/>
        <v>0</v>
      </c>
      <c r="AM86" s="883">
        <f t="shared" ca="1" si="96"/>
        <v>0</v>
      </c>
      <c r="AN86" s="883">
        <f t="shared" ca="1" si="96"/>
        <v>0</v>
      </c>
      <c r="AO86" s="883">
        <f t="shared" ca="1" si="96"/>
        <v>0</v>
      </c>
      <c r="AP86" s="883">
        <f t="shared" ca="1" si="96"/>
        <v>0</v>
      </c>
      <c r="AQ86" s="883">
        <f t="shared" ca="1" si="96"/>
        <v>0</v>
      </c>
      <c r="AR86" s="883">
        <f t="shared" ca="1" si="96"/>
        <v>0</v>
      </c>
      <c r="AS86" s="883">
        <f t="shared" ca="1" si="96"/>
        <v>0</v>
      </c>
      <c r="AT86" s="883">
        <f t="shared" ca="1" si="95"/>
        <v>0</v>
      </c>
      <c r="AU86" s="883">
        <f t="shared" ca="1" si="95"/>
        <v>0</v>
      </c>
      <c r="AV86" s="883">
        <f t="shared" ca="1" si="95"/>
        <v>0</v>
      </c>
      <c r="AW86" s="883">
        <f t="shared" ca="1" si="95"/>
        <v>0</v>
      </c>
      <c r="AX86" s="883">
        <f t="shared" ca="1" si="95"/>
        <v>0</v>
      </c>
      <c r="AY86" s="883">
        <f t="shared" ca="1" si="95"/>
        <v>0</v>
      </c>
      <c r="AZ86" s="883">
        <f t="shared" ca="1" si="95"/>
        <v>0</v>
      </c>
      <c r="BA86" s="883">
        <f t="shared" ca="1" si="95"/>
        <v>0</v>
      </c>
      <c r="BB86" s="883">
        <f t="shared" ca="1" si="95"/>
        <v>0</v>
      </c>
      <c r="BC86" s="883">
        <f t="shared" ca="1" si="95"/>
        <v>0</v>
      </c>
      <c r="BD86" s="883">
        <f t="shared" ca="1" si="95"/>
        <v>0</v>
      </c>
      <c r="BE86" s="883">
        <f t="shared" ca="1" si="95"/>
        <v>0</v>
      </c>
      <c r="BF86" s="883">
        <f t="shared" ca="1" si="95"/>
        <v>0</v>
      </c>
      <c r="BG86" s="883">
        <f t="shared" ca="1" si="95"/>
        <v>0</v>
      </c>
      <c r="BH86" s="883">
        <f t="shared" ca="1" si="95"/>
        <v>0</v>
      </c>
      <c r="BI86" s="883">
        <f t="shared" ca="1" si="95"/>
        <v>0</v>
      </c>
      <c r="BJ86" s="883">
        <f t="shared" ca="1" si="91"/>
        <v>0</v>
      </c>
      <c r="BK86" s="883">
        <f t="shared" ca="1" si="92"/>
        <v>0</v>
      </c>
      <c r="BL86" s="883">
        <f t="shared" ca="1" si="92"/>
        <v>0</v>
      </c>
      <c r="BM86" s="883">
        <f t="shared" ca="1" si="92"/>
        <v>0</v>
      </c>
      <c r="BN86" s="883">
        <f t="shared" ca="1" si="92"/>
        <v>0</v>
      </c>
      <c r="BO86" s="883">
        <f t="shared" ca="1" si="92"/>
        <v>0</v>
      </c>
      <c r="BP86" s="883">
        <f t="shared" ca="1" si="92"/>
        <v>0</v>
      </c>
      <c r="BQ86" s="883">
        <f t="shared" ca="1" si="92"/>
        <v>0</v>
      </c>
      <c r="BR86" s="883">
        <f t="shared" ca="1" si="92"/>
        <v>0</v>
      </c>
      <c r="BS86" s="883">
        <f t="shared" ca="1" si="92"/>
        <v>0</v>
      </c>
      <c r="BT86" s="883">
        <f t="shared" ca="1" si="92"/>
        <v>0</v>
      </c>
      <c r="BU86" s="883">
        <f t="shared" ca="1" si="92"/>
        <v>0</v>
      </c>
      <c r="BV86" s="883">
        <f t="shared" ca="1" si="92"/>
        <v>0</v>
      </c>
      <c r="BW86" s="883">
        <f t="shared" ca="1" si="92"/>
        <v>0</v>
      </c>
      <c r="BX86" s="883">
        <f t="shared" ca="1" si="92"/>
        <v>0</v>
      </c>
      <c r="BY86" s="883">
        <f t="shared" ca="1" si="92"/>
        <v>0</v>
      </c>
      <c r="BZ86" s="883">
        <f t="shared" ca="1" si="92"/>
        <v>0</v>
      </c>
      <c r="CA86" s="883">
        <f t="shared" ca="1" si="93"/>
        <v>0</v>
      </c>
      <c r="CB86" s="883">
        <f t="shared" ca="1" si="93"/>
        <v>0</v>
      </c>
      <c r="CC86" s="883">
        <f t="shared" ca="1" si="93"/>
        <v>0</v>
      </c>
      <c r="CD86" s="883">
        <f t="shared" ca="1" si="93"/>
        <v>0</v>
      </c>
      <c r="CE86" s="883">
        <f t="shared" ca="1" si="93"/>
        <v>0</v>
      </c>
      <c r="CF86" s="883">
        <f t="shared" ca="1" si="93"/>
        <v>0</v>
      </c>
      <c r="CG86" s="883">
        <f t="shared" ca="1" si="93"/>
        <v>0</v>
      </c>
      <c r="CH86" s="883">
        <f t="shared" ca="1" si="93"/>
        <v>0</v>
      </c>
      <c r="CI86" s="883">
        <f t="shared" ca="1" si="93"/>
        <v>0</v>
      </c>
      <c r="CJ86" s="883">
        <f t="shared" ca="1" si="93"/>
        <v>0</v>
      </c>
      <c r="CK86" s="883">
        <f t="shared" ca="1" si="93"/>
        <v>0</v>
      </c>
      <c r="CL86" s="883">
        <f t="shared" ca="1" si="93"/>
        <v>0</v>
      </c>
      <c r="CM86" s="883">
        <f t="shared" ca="1" si="93"/>
        <v>0</v>
      </c>
      <c r="CN86" s="883">
        <f t="shared" ca="1" si="93"/>
        <v>0</v>
      </c>
      <c r="CO86" s="883">
        <f t="shared" ca="1" si="93"/>
        <v>0</v>
      </c>
      <c r="CP86" s="883">
        <f t="shared" ca="1" si="93"/>
        <v>0</v>
      </c>
      <c r="CQ86" s="883">
        <f t="shared" ca="1" si="94"/>
        <v>0</v>
      </c>
      <c r="CR86" s="883">
        <f t="shared" ca="1" si="87"/>
        <v>0</v>
      </c>
      <c r="CS86" s="883">
        <f t="shared" ca="1" si="87"/>
        <v>0</v>
      </c>
      <c r="CT86" s="883">
        <f t="shared" ca="1" si="87"/>
        <v>0</v>
      </c>
      <c r="CU86" s="883">
        <f t="shared" ca="1" si="87"/>
        <v>0</v>
      </c>
      <c r="CV86" s="883">
        <f t="shared" ca="1" si="87"/>
        <v>0</v>
      </c>
      <c r="CW86" s="883">
        <f t="shared" ca="1" si="87"/>
        <v>0</v>
      </c>
      <c r="CX86" s="883">
        <f t="shared" ca="1" si="87"/>
        <v>0</v>
      </c>
      <c r="CY86" s="883">
        <f t="shared" ca="1" si="87"/>
        <v>0</v>
      </c>
      <c r="CZ86" s="883">
        <f t="shared" ca="1" si="87"/>
        <v>0</v>
      </c>
      <c r="DA86" s="883">
        <f t="shared" ca="1" si="87"/>
        <v>0</v>
      </c>
      <c r="DB86" s="883">
        <f t="shared" ca="1" si="87"/>
        <v>0</v>
      </c>
      <c r="DC86" s="883">
        <f t="shared" ca="1" si="87"/>
        <v>0</v>
      </c>
      <c r="DD86" s="883">
        <f t="shared" ca="1" si="87"/>
        <v>0</v>
      </c>
      <c r="DE86" s="883">
        <f t="shared" ca="1" si="87"/>
        <v>0</v>
      </c>
      <c r="DF86" s="883">
        <f t="shared" ca="1" si="87"/>
        <v>0</v>
      </c>
      <c r="DG86" s="883">
        <f t="shared" ca="1" si="87"/>
        <v>0</v>
      </c>
      <c r="DH86" s="883">
        <f t="shared" ca="1" si="83"/>
        <v>0</v>
      </c>
      <c r="DI86" s="883">
        <f t="shared" ca="1" si="83"/>
        <v>0</v>
      </c>
      <c r="DJ86" s="883">
        <f t="shared" ca="1" si="83"/>
        <v>0</v>
      </c>
      <c r="DK86" s="883">
        <f t="shared" ca="1" si="83"/>
        <v>0</v>
      </c>
      <c r="DL86" s="883">
        <f t="shared" ca="1" si="83"/>
        <v>0</v>
      </c>
      <c r="DM86" s="883">
        <f t="shared" ca="1" si="83"/>
        <v>0</v>
      </c>
      <c r="DN86" s="883">
        <f t="shared" ca="1" si="84"/>
        <v>0</v>
      </c>
      <c r="DO86" s="883">
        <f t="shared" ca="1" si="84"/>
        <v>0</v>
      </c>
      <c r="DP86" s="883">
        <f t="shared" ca="1" si="84"/>
        <v>0</v>
      </c>
      <c r="DQ86" s="883">
        <f t="shared" ca="1" si="84"/>
        <v>0</v>
      </c>
      <c r="DR86" s="883">
        <f t="shared" ca="1" si="84"/>
        <v>0</v>
      </c>
      <c r="DS86" s="883">
        <f t="shared" ca="1" si="84"/>
        <v>0</v>
      </c>
      <c r="DT86" s="883">
        <f t="shared" ca="1" si="84"/>
        <v>0</v>
      </c>
      <c r="DU86" s="883">
        <f t="shared" ca="1" si="84"/>
        <v>0</v>
      </c>
      <c r="DV86" s="883">
        <f t="shared" ca="1" si="84"/>
        <v>0</v>
      </c>
      <c r="DW86" s="883">
        <f t="shared" ca="1" si="84"/>
        <v>0</v>
      </c>
      <c r="DX86" s="883">
        <f t="shared" ca="1" si="84"/>
        <v>0</v>
      </c>
      <c r="DY86" s="883">
        <f t="shared" ca="1" si="84"/>
        <v>0</v>
      </c>
      <c r="DZ86" s="883">
        <f t="shared" ca="1" si="84"/>
        <v>0</v>
      </c>
      <c r="EA86" s="883">
        <f t="shared" ca="1" si="84"/>
        <v>0</v>
      </c>
      <c r="EB86" s="883">
        <f t="shared" ca="1" si="84"/>
        <v>0</v>
      </c>
      <c r="EC86" s="883">
        <f t="shared" ca="1" si="84"/>
        <v>0</v>
      </c>
      <c r="ED86" s="883">
        <f t="shared" ca="1" si="85"/>
        <v>0</v>
      </c>
      <c r="EE86" s="883">
        <f t="shared" ca="1" si="85"/>
        <v>0</v>
      </c>
      <c r="EF86" s="883">
        <f t="shared" ca="1" si="85"/>
        <v>0</v>
      </c>
      <c r="EG86" s="883">
        <f t="shared" ca="1" si="85"/>
        <v>0</v>
      </c>
      <c r="EH86" s="883">
        <f t="shared" ca="1" si="85"/>
        <v>0</v>
      </c>
      <c r="EI86" s="883">
        <f t="shared" ca="1" si="85"/>
        <v>0</v>
      </c>
      <c r="EJ86" s="883">
        <f t="shared" ca="1" si="85"/>
        <v>0</v>
      </c>
      <c r="EK86" s="883">
        <f t="shared" ca="1" si="85"/>
        <v>0</v>
      </c>
      <c r="EL86" s="883">
        <f t="shared" ca="1" si="85"/>
        <v>0</v>
      </c>
      <c r="EM86" s="883">
        <f t="shared" ca="1" si="85"/>
        <v>0</v>
      </c>
      <c r="EN86" s="883">
        <f t="shared" ca="1" si="85"/>
        <v>0</v>
      </c>
      <c r="EO86" s="883">
        <f t="shared" ca="1" si="85"/>
        <v>0</v>
      </c>
      <c r="EP86" s="883">
        <f t="shared" ca="1" si="85"/>
        <v>0</v>
      </c>
      <c r="EQ86" s="883">
        <f t="shared" ca="1" si="85"/>
        <v>0</v>
      </c>
      <c r="ER86" s="883">
        <f t="shared" ca="1" si="85"/>
        <v>0</v>
      </c>
      <c r="ES86" s="883">
        <f t="shared" ca="1" si="85"/>
        <v>0</v>
      </c>
      <c r="ET86" s="883">
        <f t="shared" ca="1" si="86"/>
        <v>0</v>
      </c>
      <c r="EU86" s="883">
        <f t="shared" ca="1" si="86"/>
        <v>0</v>
      </c>
      <c r="EV86" s="883">
        <f t="shared" ca="1" si="86"/>
        <v>0</v>
      </c>
      <c r="EW86" s="883">
        <f t="shared" ca="1" si="86"/>
        <v>0</v>
      </c>
      <c r="EX86" s="883">
        <f t="shared" ca="1" si="86"/>
        <v>0</v>
      </c>
      <c r="EY86" s="883">
        <f t="shared" ca="1" si="86"/>
        <v>0</v>
      </c>
      <c r="EZ86" s="883">
        <f t="shared" ca="1" si="86"/>
        <v>0</v>
      </c>
      <c r="FA86" s="883">
        <f t="shared" ca="1" si="86"/>
        <v>0</v>
      </c>
    </row>
    <row r="87" spans="8:157">
      <c r="H87" s="891" t="str">
        <f t="shared" ca="1" si="80"/>
        <v/>
      </c>
      <c r="I87" s="1206" t="e">
        <f t="shared" ca="1" si="77"/>
        <v>#N/A</v>
      </c>
      <c r="J87" s="1206">
        <f t="shared" ca="1" si="78"/>
        <v>0</v>
      </c>
      <c r="K87" s="929" t="str">
        <f t="shared" si="79"/>
        <v/>
      </c>
      <c r="L87" s="929" t="str">
        <f t="shared" si="81"/>
        <v/>
      </c>
      <c r="N87" s="1714">
        <v>17</v>
      </c>
      <c r="P87" s="882" t="e">
        <f ca="1">VLOOKUP(Q87,bond!B:AA,26,FALSE)</f>
        <v>#N/A</v>
      </c>
      <c r="Q87" s="928">
        <f ca="1">Change投!S29</f>
        <v>0</v>
      </c>
      <c r="R87" s="889">
        <f ca="1">IFERROR(IF(Q87="",0,IF($D$4=1,Change投!AC29*Change投!AJ29,Change投!AC29)),0)</f>
        <v>0</v>
      </c>
      <c r="S87" s="885" t="e">
        <f ca="1">Change投!W29</f>
        <v>#N/A</v>
      </c>
      <c r="T87" s="883">
        <f t="shared" ca="1" si="64"/>
        <v>0</v>
      </c>
      <c r="U87" s="885" t="str">
        <f ca="1">Change投!Z29</f>
        <v/>
      </c>
      <c r="V87" s="886" t="str">
        <f t="shared" ca="1" si="88"/>
        <v/>
      </c>
      <c r="W87" s="885" t="e">
        <f t="shared" ca="1" si="89"/>
        <v>#N/A</v>
      </c>
      <c r="X87" s="886" t="str">
        <f t="shared" ca="1" si="90"/>
        <v/>
      </c>
      <c r="Y87" s="887" t="str">
        <f ca="1">Change投!Y29</f>
        <v/>
      </c>
      <c r="Z87" s="886">
        <f ca="1">Change投!AC29</f>
        <v>0</v>
      </c>
      <c r="AA87" s="1205">
        <f ca="1">Change投!X29</f>
        <v>0</v>
      </c>
      <c r="AB87" s="881">
        <f ca="1">Change投!AJ29</f>
        <v>0</v>
      </c>
      <c r="AC87" s="887">
        <f t="shared" ca="1" si="61"/>
        <v>0</v>
      </c>
      <c r="AD87" s="883">
        <f t="shared" ca="1" si="96"/>
        <v>0</v>
      </c>
      <c r="AE87" s="883">
        <f t="shared" ca="1" si="96"/>
        <v>0</v>
      </c>
      <c r="AF87" s="883">
        <f t="shared" ca="1" si="96"/>
        <v>0</v>
      </c>
      <c r="AG87" s="883">
        <f t="shared" ca="1" si="96"/>
        <v>0</v>
      </c>
      <c r="AH87" s="883">
        <f t="shared" ca="1" si="96"/>
        <v>0</v>
      </c>
      <c r="AI87" s="883">
        <f t="shared" ca="1" si="96"/>
        <v>0</v>
      </c>
      <c r="AJ87" s="883">
        <f t="shared" ca="1" si="96"/>
        <v>0</v>
      </c>
      <c r="AK87" s="883">
        <f t="shared" ca="1" si="96"/>
        <v>0</v>
      </c>
      <c r="AL87" s="883">
        <f t="shared" ca="1" si="96"/>
        <v>0</v>
      </c>
      <c r="AM87" s="883">
        <f t="shared" ca="1" si="96"/>
        <v>0</v>
      </c>
      <c r="AN87" s="883">
        <f t="shared" ca="1" si="96"/>
        <v>0</v>
      </c>
      <c r="AO87" s="883">
        <f t="shared" ca="1" si="96"/>
        <v>0</v>
      </c>
      <c r="AP87" s="883">
        <f t="shared" ca="1" si="96"/>
        <v>0</v>
      </c>
      <c r="AQ87" s="883">
        <f t="shared" ca="1" si="96"/>
        <v>0</v>
      </c>
      <c r="AR87" s="883">
        <f t="shared" ca="1" si="96"/>
        <v>0</v>
      </c>
      <c r="AS87" s="883">
        <f t="shared" ca="1" si="96"/>
        <v>0</v>
      </c>
      <c r="AT87" s="883">
        <f t="shared" ca="1" si="95"/>
        <v>0</v>
      </c>
      <c r="AU87" s="883">
        <f t="shared" ca="1" si="95"/>
        <v>0</v>
      </c>
      <c r="AV87" s="883">
        <f t="shared" ca="1" si="95"/>
        <v>0</v>
      </c>
      <c r="AW87" s="883">
        <f t="shared" ca="1" si="95"/>
        <v>0</v>
      </c>
      <c r="AX87" s="883">
        <f t="shared" ca="1" si="95"/>
        <v>0</v>
      </c>
      <c r="AY87" s="883">
        <f t="shared" ca="1" si="95"/>
        <v>0</v>
      </c>
      <c r="AZ87" s="883">
        <f t="shared" ca="1" si="95"/>
        <v>0</v>
      </c>
      <c r="BA87" s="883">
        <f t="shared" ca="1" si="95"/>
        <v>0</v>
      </c>
      <c r="BB87" s="883">
        <f t="shared" ca="1" si="95"/>
        <v>0</v>
      </c>
      <c r="BC87" s="883">
        <f t="shared" ca="1" si="95"/>
        <v>0</v>
      </c>
      <c r="BD87" s="883">
        <f t="shared" ca="1" si="95"/>
        <v>0</v>
      </c>
      <c r="BE87" s="883">
        <f t="shared" ca="1" si="95"/>
        <v>0</v>
      </c>
      <c r="BF87" s="883">
        <f t="shared" ca="1" si="95"/>
        <v>0</v>
      </c>
      <c r="BG87" s="883">
        <f t="shared" ca="1" si="95"/>
        <v>0</v>
      </c>
      <c r="BH87" s="883">
        <f t="shared" ca="1" si="95"/>
        <v>0</v>
      </c>
      <c r="BI87" s="883">
        <f t="shared" ca="1" si="95"/>
        <v>0</v>
      </c>
      <c r="BJ87" s="883">
        <f t="shared" ca="1" si="91"/>
        <v>0</v>
      </c>
      <c r="BK87" s="883">
        <f t="shared" ca="1" si="92"/>
        <v>0</v>
      </c>
      <c r="BL87" s="883">
        <f t="shared" ca="1" si="92"/>
        <v>0</v>
      </c>
      <c r="BM87" s="883">
        <f t="shared" ca="1" si="92"/>
        <v>0</v>
      </c>
      <c r="BN87" s="883">
        <f t="shared" ca="1" si="92"/>
        <v>0</v>
      </c>
      <c r="BO87" s="883">
        <f t="shared" ca="1" si="92"/>
        <v>0</v>
      </c>
      <c r="BP87" s="883">
        <f t="shared" ca="1" si="92"/>
        <v>0</v>
      </c>
      <c r="BQ87" s="883">
        <f t="shared" ca="1" si="92"/>
        <v>0</v>
      </c>
      <c r="BR87" s="883">
        <f t="shared" ca="1" si="92"/>
        <v>0</v>
      </c>
      <c r="BS87" s="883">
        <f t="shared" ca="1" si="92"/>
        <v>0</v>
      </c>
      <c r="BT87" s="883">
        <f t="shared" ca="1" si="92"/>
        <v>0</v>
      </c>
      <c r="BU87" s="883">
        <f t="shared" ca="1" si="92"/>
        <v>0</v>
      </c>
      <c r="BV87" s="883">
        <f t="shared" ca="1" si="92"/>
        <v>0</v>
      </c>
      <c r="BW87" s="883">
        <f t="shared" ca="1" si="92"/>
        <v>0</v>
      </c>
      <c r="BX87" s="883">
        <f t="shared" ca="1" si="92"/>
        <v>0</v>
      </c>
      <c r="BY87" s="883">
        <f t="shared" ca="1" si="92"/>
        <v>0</v>
      </c>
      <c r="BZ87" s="883">
        <f t="shared" ca="1" si="92"/>
        <v>0</v>
      </c>
      <c r="CA87" s="883">
        <f t="shared" ca="1" si="93"/>
        <v>0</v>
      </c>
      <c r="CB87" s="883">
        <f t="shared" ca="1" si="93"/>
        <v>0</v>
      </c>
      <c r="CC87" s="883">
        <f t="shared" ca="1" si="93"/>
        <v>0</v>
      </c>
      <c r="CD87" s="883">
        <f t="shared" ca="1" si="93"/>
        <v>0</v>
      </c>
      <c r="CE87" s="883">
        <f t="shared" ca="1" si="93"/>
        <v>0</v>
      </c>
      <c r="CF87" s="883">
        <f t="shared" ca="1" si="93"/>
        <v>0</v>
      </c>
      <c r="CG87" s="883">
        <f t="shared" ca="1" si="93"/>
        <v>0</v>
      </c>
      <c r="CH87" s="883">
        <f t="shared" ca="1" si="93"/>
        <v>0</v>
      </c>
      <c r="CI87" s="883">
        <f t="shared" ca="1" si="93"/>
        <v>0</v>
      </c>
      <c r="CJ87" s="883">
        <f t="shared" ca="1" si="93"/>
        <v>0</v>
      </c>
      <c r="CK87" s="883">
        <f t="shared" ca="1" si="93"/>
        <v>0</v>
      </c>
      <c r="CL87" s="883">
        <f t="shared" ca="1" si="93"/>
        <v>0</v>
      </c>
      <c r="CM87" s="883">
        <f t="shared" ca="1" si="93"/>
        <v>0</v>
      </c>
      <c r="CN87" s="883">
        <f t="shared" ca="1" si="93"/>
        <v>0</v>
      </c>
      <c r="CO87" s="883">
        <f t="shared" ca="1" si="93"/>
        <v>0</v>
      </c>
      <c r="CP87" s="883">
        <f t="shared" ca="1" si="93"/>
        <v>0</v>
      </c>
      <c r="CQ87" s="883">
        <f t="shared" ca="1" si="94"/>
        <v>0</v>
      </c>
      <c r="CR87" s="883">
        <f t="shared" ca="1" si="87"/>
        <v>0</v>
      </c>
      <c r="CS87" s="883">
        <f t="shared" ca="1" si="87"/>
        <v>0</v>
      </c>
      <c r="CT87" s="883">
        <f t="shared" ca="1" si="87"/>
        <v>0</v>
      </c>
      <c r="CU87" s="883">
        <f t="shared" ca="1" si="87"/>
        <v>0</v>
      </c>
      <c r="CV87" s="883">
        <f t="shared" ca="1" si="87"/>
        <v>0</v>
      </c>
      <c r="CW87" s="883">
        <f t="shared" ca="1" si="87"/>
        <v>0</v>
      </c>
      <c r="CX87" s="883">
        <f t="shared" ca="1" si="87"/>
        <v>0</v>
      </c>
      <c r="CY87" s="883">
        <f t="shared" ca="1" si="87"/>
        <v>0</v>
      </c>
      <c r="CZ87" s="883">
        <f t="shared" ca="1" si="87"/>
        <v>0</v>
      </c>
      <c r="DA87" s="883">
        <f t="shared" ca="1" si="87"/>
        <v>0</v>
      </c>
      <c r="DB87" s="883">
        <f t="shared" ca="1" si="87"/>
        <v>0</v>
      </c>
      <c r="DC87" s="883">
        <f t="shared" ca="1" si="87"/>
        <v>0</v>
      </c>
      <c r="DD87" s="883">
        <f t="shared" ca="1" si="87"/>
        <v>0</v>
      </c>
      <c r="DE87" s="883">
        <f t="shared" ca="1" si="87"/>
        <v>0</v>
      </c>
      <c r="DF87" s="883">
        <f t="shared" ca="1" si="87"/>
        <v>0</v>
      </c>
      <c r="DG87" s="883">
        <f t="shared" ca="1" si="87"/>
        <v>0</v>
      </c>
      <c r="DH87" s="883">
        <f t="shared" ca="1" si="83"/>
        <v>0</v>
      </c>
      <c r="DI87" s="883">
        <f t="shared" ca="1" si="83"/>
        <v>0</v>
      </c>
      <c r="DJ87" s="883">
        <f t="shared" ca="1" si="83"/>
        <v>0</v>
      </c>
      <c r="DK87" s="883">
        <f t="shared" ca="1" si="83"/>
        <v>0</v>
      </c>
      <c r="DL87" s="883">
        <f t="shared" ca="1" si="83"/>
        <v>0</v>
      </c>
      <c r="DM87" s="883">
        <f t="shared" ca="1" si="83"/>
        <v>0</v>
      </c>
      <c r="DN87" s="883">
        <f t="shared" ca="1" si="84"/>
        <v>0</v>
      </c>
      <c r="DO87" s="883">
        <f t="shared" ca="1" si="84"/>
        <v>0</v>
      </c>
      <c r="DP87" s="883">
        <f t="shared" ca="1" si="84"/>
        <v>0</v>
      </c>
      <c r="DQ87" s="883">
        <f t="shared" ca="1" si="84"/>
        <v>0</v>
      </c>
      <c r="DR87" s="883">
        <f t="shared" ca="1" si="84"/>
        <v>0</v>
      </c>
      <c r="DS87" s="883">
        <f t="shared" ca="1" si="84"/>
        <v>0</v>
      </c>
      <c r="DT87" s="883">
        <f t="shared" ca="1" si="84"/>
        <v>0</v>
      </c>
      <c r="DU87" s="883">
        <f t="shared" ca="1" si="84"/>
        <v>0</v>
      </c>
      <c r="DV87" s="883">
        <f t="shared" ca="1" si="84"/>
        <v>0</v>
      </c>
      <c r="DW87" s="883">
        <f t="shared" ca="1" si="84"/>
        <v>0</v>
      </c>
      <c r="DX87" s="883">
        <f t="shared" ca="1" si="84"/>
        <v>0</v>
      </c>
      <c r="DY87" s="883">
        <f t="shared" ca="1" si="84"/>
        <v>0</v>
      </c>
      <c r="DZ87" s="883">
        <f t="shared" ca="1" si="84"/>
        <v>0</v>
      </c>
      <c r="EA87" s="883">
        <f t="shared" ca="1" si="84"/>
        <v>0</v>
      </c>
      <c r="EB87" s="883">
        <f t="shared" ca="1" si="84"/>
        <v>0</v>
      </c>
      <c r="EC87" s="883">
        <f t="shared" ca="1" si="84"/>
        <v>0</v>
      </c>
      <c r="ED87" s="883">
        <f t="shared" ca="1" si="85"/>
        <v>0</v>
      </c>
      <c r="EE87" s="883">
        <f t="shared" ca="1" si="85"/>
        <v>0</v>
      </c>
      <c r="EF87" s="883">
        <f t="shared" ca="1" si="85"/>
        <v>0</v>
      </c>
      <c r="EG87" s="883">
        <f t="shared" ca="1" si="85"/>
        <v>0</v>
      </c>
      <c r="EH87" s="883">
        <f t="shared" ca="1" si="85"/>
        <v>0</v>
      </c>
      <c r="EI87" s="883">
        <f t="shared" ca="1" si="85"/>
        <v>0</v>
      </c>
      <c r="EJ87" s="883">
        <f t="shared" ca="1" si="85"/>
        <v>0</v>
      </c>
      <c r="EK87" s="883">
        <f t="shared" ca="1" si="85"/>
        <v>0</v>
      </c>
      <c r="EL87" s="883">
        <f t="shared" ca="1" si="85"/>
        <v>0</v>
      </c>
      <c r="EM87" s="883">
        <f t="shared" ca="1" si="85"/>
        <v>0</v>
      </c>
      <c r="EN87" s="883">
        <f t="shared" ca="1" si="85"/>
        <v>0</v>
      </c>
      <c r="EO87" s="883">
        <f t="shared" ca="1" si="85"/>
        <v>0</v>
      </c>
      <c r="EP87" s="883">
        <f t="shared" ca="1" si="85"/>
        <v>0</v>
      </c>
      <c r="EQ87" s="883">
        <f t="shared" ca="1" si="85"/>
        <v>0</v>
      </c>
      <c r="ER87" s="883">
        <f t="shared" ca="1" si="85"/>
        <v>0</v>
      </c>
      <c r="ES87" s="883">
        <f t="shared" ca="1" si="85"/>
        <v>0</v>
      </c>
      <c r="ET87" s="883">
        <f t="shared" ca="1" si="86"/>
        <v>0</v>
      </c>
      <c r="EU87" s="883">
        <f t="shared" ca="1" si="86"/>
        <v>0</v>
      </c>
      <c r="EV87" s="883">
        <f t="shared" ca="1" si="86"/>
        <v>0</v>
      </c>
      <c r="EW87" s="883">
        <f t="shared" ca="1" si="86"/>
        <v>0</v>
      </c>
      <c r="EX87" s="883">
        <f t="shared" ca="1" si="86"/>
        <v>0</v>
      </c>
      <c r="EY87" s="883">
        <f t="shared" ca="1" si="86"/>
        <v>0</v>
      </c>
      <c r="EZ87" s="883">
        <f t="shared" ca="1" si="86"/>
        <v>0</v>
      </c>
      <c r="FA87" s="883">
        <f t="shared" ca="1" si="86"/>
        <v>0</v>
      </c>
    </row>
    <row r="88" spans="8:157">
      <c r="H88" s="891" t="str">
        <f t="shared" ca="1" si="80"/>
        <v/>
      </c>
      <c r="I88" s="1206" t="e">
        <f t="shared" ca="1" si="77"/>
        <v>#N/A</v>
      </c>
      <c r="J88" s="1206">
        <f t="shared" ca="1" si="78"/>
        <v>0</v>
      </c>
      <c r="K88" s="929" t="str">
        <f t="shared" si="79"/>
        <v/>
      </c>
      <c r="L88" s="929" t="str">
        <f t="shared" si="81"/>
        <v/>
      </c>
      <c r="N88" s="1714">
        <v>18</v>
      </c>
      <c r="P88" s="882" t="e">
        <f ca="1">VLOOKUP(Q88,bond!B:AA,26,FALSE)</f>
        <v>#N/A</v>
      </c>
      <c r="Q88" s="928">
        <f ca="1">Change投!S30</f>
        <v>0</v>
      </c>
      <c r="R88" s="889">
        <f ca="1">IFERROR(IF(Q88="",0,IF($D$4=1,Change投!AC30*Change投!AJ30,Change投!AC30)),0)</f>
        <v>0</v>
      </c>
      <c r="S88" s="885" t="e">
        <f ca="1">Change投!W30</f>
        <v>#N/A</v>
      </c>
      <c r="T88" s="883">
        <f t="shared" ca="1" si="64"/>
        <v>0</v>
      </c>
      <c r="U88" s="885" t="str">
        <f ca="1">Change投!Z30</f>
        <v/>
      </c>
      <c r="V88" s="886" t="str">
        <f t="shared" ca="1" si="88"/>
        <v/>
      </c>
      <c r="W88" s="885" t="e">
        <f t="shared" ca="1" si="89"/>
        <v>#N/A</v>
      </c>
      <c r="X88" s="886" t="str">
        <f t="shared" ca="1" si="90"/>
        <v/>
      </c>
      <c r="Y88" s="887" t="str">
        <f ca="1">Change投!Y30</f>
        <v/>
      </c>
      <c r="Z88" s="886">
        <f ca="1">Change投!AC30</f>
        <v>0</v>
      </c>
      <c r="AA88" s="1205">
        <f ca="1">Change投!X30</f>
        <v>0</v>
      </c>
      <c r="AB88" s="881">
        <f ca="1">Change投!AJ30</f>
        <v>0</v>
      </c>
      <c r="AC88" s="887">
        <f t="shared" ca="1" si="61"/>
        <v>0</v>
      </c>
      <c r="AD88" s="883">
        <f t="shared" ca="1" si="96"/>
        <v>0</v>
      </c>
      <c r="AE88" s="883">
        <f t="shared" ca="1" si="96"/>
        <v>0</v>
      </c>
      <c r="AF88" s="883">
        <f t="shared" ca="1" si="96"/>
        <v>0</v>
      </c>
      <c r="AG88" s="883">
        <f t="shared" ca="1" si="96"/>
        <v>0</v>
      </c>
      <c r="AH88" s="883">
        <f t="shared" ca="1" si="96"/>
        <v>0</v>
      </c>
      <c r="AI88" s="883">
        <f t="shared" ca="1" si="96"/>
        <v>0</v>
      </c>
      <c r="AJ88" s="883">
        <f t="shared" ca="1" si="96"/>
        <v>0</v>
      </c>
      <c r="AK88" s="883">
        <f t="shared" ca="1" si="96"/>
        <v>0</v>
      </c>
      <c r="AL88" s="883">
        <f t="shared" ca="1" si="96"/>
        <v>0</v>
      </c>
      <c r="AM88" s="883">
        <f t="shared" ca="1" si="96"/>
        <v>0</v>
      </c>
      <c r="AN88" s="883">
        <f t="shared" ca="1" si="96"/>
        <v>0</v>
      </c>
      <c r="AO88" s="883">
        <f t="shared" ca="1" si="96"/>
        <v>0</v>
      </c>
      <c r="AP88" s="883">
        <f t="shared" ca="1" si="96"/>
        <v>0</v>
      </c>
      <c r="AQ88" s="883">
        <f t="shared" ca="1" si="96"/>
        <v>0</v>
      </c>
      <c r="AR88" s="883">
        <f t="shared" ca="1" si="96"/>
        <v>0</v>
      </c>
      <c r="AS88" s="883">
        <f t="shared" ca="1" si="96"/>
        <v>0</v>
      </c>
      <c r="AT88" s="883">
        <f t="shared" ca="1" si="95"/>
        <v>0</v>
      </c>
      <c r="AU88" s="883">
        <f t="shared" ca="1" si="95"/>
        <v>0</v>
      </c>
      <c r="AV88" s="883">
        <f t="shared" ca="1" si="95"/>
        <v>0</v>
      </c>
      <c r="AW88" s="883">
        <f t="shared" ca="1" si="95"/>
        <v>0</v>
      </c>
      <c r="AX88" s="883">
        <f t="shared" ca="1" si="95"/>
        <v>0</v>
      </c>
      <c r="AY88" s="883">
        <f t="shared" ca="1" si="95"/>
        <v>0</v>
      </c>
      <c r="AZ88" s="883">
        <f t="shared" ca="1" si="95"/>
        <v>0</v>
      </c>
      <c r="BA88" s="883">
        <f t="shared" ca="1" si="95"/>
        <v>0</v>
      </c>
      <c r="BB88" s="883">
        <f t="shared" ca="1" si="95"/>
        <v>0</v>
      </c>
      <c r="BC88" s="883">
        <f t="shared" ca="1" si="95"/>
        <v>0</v>
      </c>
      <c r="BD88" s="883">
        <f t="shared" ca="1" si="95"/>
        <v>0</v>
      </c>
      <c r="BE88" s="883">
        <f t="shared" ca="1" si="95"/>
        <v>0</v>
      </c>
      <c r="BF88" s="883">
        <f t="shared" ca="1" si="95"/>
        <v>0</v>
      </c>
      <c r="BG88" s="883">
        <f t="shared" ca="1" si="95"/>
        <v>0</v>
      </c>
      <c r="BH88" s="883">
        <f t="shared" ca="1" si="95"/>
        <v>0</v>
      </c>
      <c r="BI88" s="883">
        <f t="shared" ca="1" si="95"/>
        <v>0</v>
      </c>
      <c r="BJ88" s="883">
        <f t="shared" ca="1" si="91"/>
        <v>0</v>
      </c>
      <c r="BK88" s="883">
        <f t="shared" ca="1" si="92"/>
        <v>0</v>
      </c>
      <c r="BL88" s="883">
        <f t="shared" ca="1" si="92"/>
        <v>0</v>
      </c>
      <c r="BM88" s="883">
        <f t="shared" ca="1" si="92"/>
        <v>0</v>
      </c>
      <c r="BN88" s="883">
        <f t="shared" ca="1" si="92"/>
        <v>0</v>
      </c>
      <c r="BO88" s="883">
        <f t="shared" ca="1" si="92"/>
        <v>0</v>
      </c>
      <c r="BP88" s="883">
        <f t="shared" ca="1" si="92"/>
        <v>0</v>
      </c>
      <c r="BQ88" s="883">
        <f t="shared" ca="1" si="92"/>
        <v>0</v>
      </c>
      <c r="BR88" s="883">
        <f t="shared" ca="1" si="92"/>
        <v>0</v>
      </c>
      <c r="BS88" s="883">
        <f t="shared" ca="1" si="92"/>
        <v>0</v>
      </c>
      <c r="BT88" s="883">
        <f t="shared" ca="1" si="92"/>
        <v>0</v>
      </c>
      <c r="BU88" s="883">
        <f t="shared" ca="1" si="92"/>
        <v>0</v>
      </c>
      <c r="BV88" s="883">
        <f t="shared" ca="1" si="92"/>
        <v>0</v>
      </c>
      <c r="BW88" s="883">
        <f t="shared" ca="1" si="92"/>
        <v>0</v>
      </c>
      <c r="BX88" s="883">
        <f t="shared" ca="1" si="92"/>
        <v>0</v>
      </c>
      <c r="BY88" s="883">
        <f t="shared" ca="1" si="92"/>
        <v>0</v>
      </c>
      <c r="BZ88" s="883">
        <f t="shared" ca="1" si="92"/>
        <v>0</v>
      </c>
      <c r="CA88" s="883">
        <f t="shared" ca="1" si="93"/>
        <v>0</v>
      </c>
      <c r="CB88" s="883">
        <f t="shared" ca="1" si="93"/>
        <v>0</v>
      </c>
      <c r="CC88" s="883">
        <f t="shared" ca="1" si="93"/>
        <v>0</v>
      </c>
      <c r="CD88" s="883">
        <f t="shared" ca="1" si="93"/>
        <v>0</v>
      </c>
      <c r="CE88" s="883">
        <f t="shared" ca="1" si="93"/>
        <v>0</v>
      </c>
      <c r="CF88" s="883">
        <f t="shared" ca="1" si="93"/>
        <v>0</v>
      </c>
      <c r="CG88" s="883">
        <f t="shared" ca="1" si="93"/>
        <v>0</v>
      </c>
      <c r="CH88" s="883">
        <f t="shared" ca="1" si="93"/>
        <v>0</v>
      </c>
      <c r="CI88" s="883">
        <f t="shared" ca="1" si="93"/>
        <v>0</v>
      </c>
      <c r="CJ88" s="883">
        <f t="shared" ca="1" si="93"/>
        <v>0</v>
      </c>
      <c r="CK88" s="883">
        <f t="shared" ca="1" si="93"/>
        <v>0</v>
      </c>
      <c r="CL88" s="883">
        <f t="shared" ca="1" si="93"/>
        <v>0</v>
      </c>
      <c r="CM88" s="883">
        <f t="shared" ca="1" si="93"/>
        <v>0</v>
      </c>
      <c r="CN88" s="883">
        <f t="shared" ca="1" si="93"/>
        <v>0</v>
      </c>
      <c r="CO88" s="883">
        <f t="shared" ca="1" si="93"/>
        <v>0</v>
      </c>
      <c r="CP88" s="883">
        <f t="shared" ca="1" si="93"/>
        <v>0</v>
      </c>
      <c r="CQ88" s="883">
        <f t="shared" ca="1" si="94"/>
        <v>0</v>
      </c>
      <c r="CR88" s="883">
        <f t="shared" ca="1" si="87"/>
        <v>0</v>
      </c>
      <c r="CS88" s="883">
        <f t="shared" ca="1" si="87"/>
        <v>0</v>
      </c>
      <c r="CT88" s="883">
        <f t="shared" ca="1" si="87"/>
        <v>0</v>
      </c>
      <c r="CU88" s="883">
        <f t="shared" ca="1" si="87"/>
        <v>0</v>
      </c>
      <c r="CV88" s="883">
        <f t="shared" ca="1" si="87"/>
        <v>0</v>
      </c>
      <c r="CW88" s="883">
        <f t="shared" ca="1" si="87"/>
        <v>0</v>
      </c>
      <c r="CX88" s="883">
        <f t="shared" ca="1" si="87"/>
        <v>0</v>
      </c>
      <c r="CY88" s="883">
        <f t="shared" ca="1" si="87"/>
        <v>0</v>
      </c>
      <c r="CZ88" s="883">
        <f t="shared" ca="1" si="87"/>
        <v>0</v>
      </c>
      <c r="DA88" s="883">
        <f t="shared" ca="1" si="87"/>
        <v>0</v>
      </c>
      <c r="DB88" s="883">
        <f t="shared" ca="1" si="87"/>
        <v>0</v>
      </c>
      <c r="DC88" s="883">
        <f t="shared" ca="1" si="87"/>
        <v>0</v>
      </c>
      <c r="DD88" s="883">
        <f t="shared" ca="1" si="87"/>
        <v>0</v>
      </c>
      <c r="DE88" s="883">
        <f t="shared" ca="1" si="87"/>
        <v>0</v>
      </c>
      <c r="DF88" s="883">
        <f t="shared" ca="1" si="87"/>
        <v>0</v>
      </c>
      <c r="DG88" s="883">
        <f t="shared" ca="1" si="87"/>
        <v>0</v>
      </c>
      <c r="DH88" s="883">
        <f t="shared" ca="1" si="83"/>
        <v>0</v>
      </c>
      <c r="DI88" s="883">
        <f t="shared" ca="1" si="83"/>
        <v>0</v>
      </c>
      <c r="DJ88" s="883">
        <f t="shared" ca="1" si="83"/>
        <v>0</v>
      </c>
      <c r="DK88" s="883">
        <f t="shared" ca="1" si="83"/>
        <v>0</v>
      </c>
      <c r="DL88" s="883">
        <f t="shared" ca="1" si="83"/>
        <v>0</v>
      </c>
      <c r="DM88" s="883">
        <f t="shared" ca="1" si="83"/>
        <v>0</v>
      </c>
      <c r="DN88" s="883">
        <f t="shared" ca="1" si="84"/>
        <v>0</v>
      </c>
      <c r="DO88" s="883">
        <f t="shared" ca="1" si="84"/>
        <v>0</v>
      </c>
      <c r="DP88" s="883">
        <f t="shared" ca="1" si="84"/>
        <v>0</v>
      </c>
      <c r="DQ88" s="883">
        <f t="shared" ca="1" si="84"/>
        <v>0</v>
      </c>
      <c r="DR88" s="883">
        <f t="shared" ca="1" si="84"/>
        <v>0</v>
      </c>
      <c r="DS88" s="883">
        <f t="shared" ca="1" si="84"/>
        <v>0</v>
      </c>
      <c r="DT88" s="883">
        <f t="shared" ca="1" si="84"/>
        <v>0</v>
      </c>
      <c r="DU88" s="883">
        <f t="shared" ca="1" si="84"/>
        <v>0</v>
      </c>
      <c r="DV88" s="883">
        <f t="shared" ca="1" si="84"/>
        <v>0</v>
      </c>
      <c r="DW88" s="883">
        <f t="shared" ca="1" si="84"/>
        <v>0</v>
      </c>
      <c r="DX88" s="883">
        <f t="shared" ca="1" si="84"/>
        <v>0</v>
      </c>
      <c r="DY88" s="883">
        <f t="shared" ca="1" si="84"/>
        <v>0</v>
      </c>
      <c r="DZ88" s="883">
        <f t="shared" ca="1" si="84"/>
        <v>0</v>
      </c>
      <c r="EA88" s="883">
        <f t="shared" ca="1" si="84"/>
        <v>0</v>
      </c>
      <c r="EB88" s="883">
        <f t="shared" ca="1" si="84"/>
        <v>0</v>
      </c>
      <c r="EC88" s="883">
        <f t="shared" ca="1" si="84"/>
        <v>0</v>
      </c>
      <c r="ED88" s="883">
        <f t="shared" ca="1" si="85"/>
        <v>0</v>
      </c>
      <c r="EE88" s="883">
        <f t="shared" ca="1" si="85"/>
        <v>0</v>
      </c>
      <c r="EF88" s="883">
        <f t="shared" ca="1" si="85"/>
        <v>0</v>
      </c>
      <c r="EG88" s="883">
        <f t="shared" ca="1" si="85"/>
        <v>0</v>
      </c>
      <c r="EH88" s="883">
        <f t="shared" ca="1" si="85"/>
        <v>0</v>
      </c>
      <c r="EI88" s="883">
        <f t="shared" ca="1" si="85"/>
        <v>0</v>
      </c>
      <c r="EJ88" s="883">
        <f t="shared" ca="1" si="85"/>
        <v>0</v>
      </c>
      <c r="EK88" s="883">
        <f t="shared" ca="1" si="85"/>
        <v>0</v>
      </c>
      <c r="EL88" s="883">
        <f t="shared" ca="1" si="85"/>
        <v>0</v>
      </c>
      <c r="EM88" s="883">
        <f t="shared" ca="1" si="85"/>
        <v>0</v>
      </c>
      <c r="EN88" s="883">
        <f t="shared" ca="1" si="85"/>
        <v>0</v>
      </c>
      <c r="EO88" s="883">
        <f t="shared" ca="1" si="85"/>
        <v>0</v>
      </c>
      <c r="EP88" s="883">
        <f t="shared" ca="1" si="85"/>
        <v>0</v>
      </c>
      <c r="EQ88" s="883">
        <f t="shared" ca="1" si="85"/>
        <v>0</v>
      </c>
      <c r="ER88" s="883">
        <f t="shared" ca="1" si="85"/>
        <v>0</v>
      </c>
      <c r="ES88" s="883">
        <f t="shared" ca="1" si="85"/>
        <v>0</v>
      </c>
      <c r="ET88" s="883">
        <f t="shared" ca="1" si="86"/>
        <v>0</v>
      </c>
      <c r="EU88" s="883">
        <f t="shared" ca="1" si="86"/>
        <v>0</v>
      </c>
      <c r="EV88" s="883">
        <f t="shared" ca="1" si="86"/>
        <v>0</v>
      </c>
      <c r="EW88" s="883">
        <f t="shared" ca="1" si="86"/>
        <v>0</v>
      </c>
      <c r="EX88" s="883">
        <f t="shared" ca="1" si="86"/>
        <v>0</v>
      </c>
      <c r="EY88" s="883">
        <f t="shared" ca="1" si="86"/>
        <v>0</v>
      </c>
      <c r="EZ88" s="883">
        <f t="shared" ca="1" si="86"/>
        <v>0</v>
      </c>
      <c r="FA88" s="883">
        <f t="shared" ca="1" si="86"/>
        <v>0</v>
      </c>
    </row>
    <row r="89" spans="8:157">
      <c r="H89" s="891" t="str">
        <f t="shared" ca="1" si="80"/>
        <v/>
      </c>
      <c r="I89" s="1206" t="e">
        <f t="shared" ca="1" si="77"/>
        <v>#N/A</v>
      </c>
      <c r="J89" s="1206">
        <f t="shared" ca="1" si="78"/>
        <v>0</v>
      </c>
      <c r="K89" s="929" t="str">
        <f t="shared" si="79"/>
        <v/>
      </c>
      <c r="L89" s="929" t="str">
        <f t="shared" si="81"/>
        <v/>
      </c>
      <c r="N89" s="1714">
        <v>19</v>
      </c>
      <c r="P89" s="882" t="e">
        <f ca="1">VLOOKUP(Q89,bond!B:AA,26,FALSE)</f>
        <v>#N/A</v>
      </c>
      <c r="Q89" s="928">
        <f ca="1">Change投!S31</f>
        <v>0</v>
      </c>
      <c r="R89" s="889">
        <f ca="1">IFERROR(IF(Q89="",0,IF($D$4=1,Change投!AC31*Change投!AJ31,Change投!AC31)),0)</f>
        <v>0</v>
      </c>
      <c r="S89" s="885" t="e">
        <f ca="1">Change投!W31</f>
        <v>#N/A</v>
      </c>
      <c r="T89" s="883">
        <f t="shared" ca="1" si="64"/>
        <v>0</v>
      </c>
      <c r="U89" s="885" t="str">
        <f ca="1">Change投!Z31</f>
        <v/>
      </c>
      <c r="V89" s="886" t="str">
        <f t="shared" ca="1" si="88"/>
        <v/>
      </c>
      <c r="W89" s="885" t="e">
        <f t="shared" ca="1" si="89"/>
        <v>#N/A</v>
      </c>
      <c r="X89" s="886" t="str">
        <f t="shared" ca="1" si="90"/>
        <v/>
      </c>
      <c r="Y89" s="887" t="str">
        <f ca="1">Change投!Y31</f>
        <v/>
      </c>
      <c r="Z89" s="886">
        <f ca="1">Change投!AC31</f>
        <v>0</v>
      </c>
      <c r="AA89" s="1205">
        <f ca="1">Change投!X31</f>
        <v>0</v>
      </c>
      <c r="AB89" s="881">
        <f ca="1">Change投!AJ31</f>
        <v>0</v>
      </c>
      <c r="AC89" s="887">
        <f t="shared" ca="1" si="61"/>
        <v>0</v>
      </c>
      <c r="AD89" s="883">
        <f t="shared" ca="1" si="96"/>
        <v>0</v>
      </c>
      <c r="AE89" s="883">
        <f t="shared" ca="1" si="96"/>
        <v>0</v>
      </c>
      <c r="AF89" s="883">
        <f t="shared" ca="1" si="96"/>
        <v>0</v>
      </c>
      <c r="AG89" s="883">
        <f t="shared" ca="1" si="96"/>
        <v>0</v>
      </c>
      <c r="AH89" s="883">
        <f t="shared" ca="1" si="96"/>
        <v>0</v>
      </c>
      <c r="AI89" s="883">
        <f t="shared" ca="1" si="96"/>
        <v>0</v>
      </c>
      <c r="AJ89" s="883">
        <f t="shared" ca="1" si="96"/>
        <v>0</v>
      </c>
      <c r="AK89" s="883">
        <f t="shared" ca="1" si="96"/>
        <v>0</v>
      </c>
      <c r="AL89" s="883">
        <f t="shared" ca="1" si="96"/>
        <v>0</v>
      </c>
      <c r="AM89" s="883">
        <f t="shared" ca="1" si="96"/>
        <v>0</v>
      </c>
      <c r="AN89" s="883">
        <f t="shared" ca="1" si="96"/>
        <v>0</v>
      </c>
      <c r="AO89" s="883">
        <f t="shared" ca="1" si="96"/>
        <v>0</v>
      </c>
      <c r="AP89" s="883">
        <f t="shared" ca="1" si="96"/>
        <v>0</v>
      </c>
      <c r="AQ89" s="883">
        <f t="shared" ca="1" si="96"/>
        <v>0</v>
      </c>
      <c r="AR89" s="883">
        <f t="shared" ca="1" si="96"/>
        <v>0</v>
      </c>
      <c r="AS89" s="883">
        <f t="shared" ca="1" si="96"/>
        <v>0</v>
      </c>
      <c r="AT89" s="883">
        <f t="shared" ca="1" si="95"/>
        <v>0</v>
      </c>
      <c r="AU89" s="883">
        <f t="shared" ca="1" si="95"/>
        <v>0</v>
      </c>
      <c r="AV89" s="883">
        <f t="shared" ca="1" si="95"/>
        <v>0</v>
      </c>
      <c r="AW89" s="883">
        <f t="shared" ca="1" si="95"/>
        <v>0</v>
      </c>
      <c r="AX89" s="883">
        <f t="shared" ca="1" si="95"/>
        <v>0</v>
      </c>
      <c r="AY89" s="883">
        <f t="shared" ca="1" si="95"/>
        <v>0</v>
      </c>
      <c r="AZ89" s="883">
        <f t="shared" ca="1" si="95"/>
        <v>0</v>
      </c>
      <c r="BA89" s="883">
        <f t="shared" ca="1" si="95"/>
        <v>0</v>
      </c>
      <c r="BB89" s="883">
        <f t="shared" ca="1" si="95"/>
        <v>0</v>
      </c>
      <c r="BC89" s="883">
        <f t="shared" ca="1" si="95"/>
        <v>0</v>
      </c>
      <c r="BD89" s="883">
        <f t="shared" ca="1" si="95"/>
        <v>0</v>
      </c>
      <c r="BE89" s="883">
        <f t="shared" ca="1" si="95"/>
        <v>0</v>
      </c>
      <c r="BF89" s="883">
        <f t="shared" ca="1" si="95"/>
        <v>0</v>
      </c>
      <c r="BG89" s="883">
        <f t="shared" ca="1" si="95"/>
        <v>0</v>
      </c>
      <c r="BH89" s="883">
        <f t="shared" ca="1" si="95"/>
        <v>0</v>
      </c>
      <c r="BI89" s="883">
        <f t="shared" ca="1" si="95"/>
        <v>0</v>
      </c>
      <c r="BJ89" s="883">
        <f t="shared" ca="1" si="91"/>
        <v>0</v>
      </c>
      <c r="BK89" s="883">
        <f t="shared" ca="1" si="92"/>
        <v>0</v>
      </c>
      <c r="BL89" s="883">
        <f t="shared" ca="1" si="92"/>
        <v>0</v>
      </c>
      <c r="BM89" s="883">
        <f t="shared" ca="1" si="92"/>
        <v>0</v>
      </c>
      <c r="BN89" s="883">
        <f t="shared" ca="1" si="92"/>
        <v>0</v>
      </c>
      <c r="BO89" s="883">
        <f t="shared" ca="1" si="92"/>
        <v>0</v>
      </c>
      <c r="BP89" s="883">
        <f t="shared" ca="1" si="92"/>
        <v>0</v>
      </c>
      <c r="BQ89" s="883">
        <f t="shared" ca="1" si="92"/>
        <v>0</v>
      </c>
      <c r="BR89" s="883">
        <f t="shared" ca="1" si="92"/>
        <v>0</v>
      </c>
      <c r="BS89" s="883">
        <f t="shared" ca="1" si="92"/>
        <v>0</v>
      </c>
      <c r="BT89" s="883">
        <f t="shared" ca="1" si="92"/>
        <v>0</v>
      </c>
      <c r="BU89" s="883">
        <f t="shared" ca="1" si="92"/>
        <v>0</v>
      </c>
      <c r="BV89" s="883">
        <f t="shared" ca="1" si="92"/>
        <v>0</v>
      </c>
      <c r="BW89" s="883">
        <f t="shared" ca="1" si="92"/>
        <v>0</v>
      </c>
      <c r="BX89" s="883">
        <f t="shared" ca="1" si="92"/>
        <v>0</v>
      </c>
      <c r="BY89" s="883">
        <f t="shared" ca="1" si="92"/>
        <v>0</v>
      </c>
      <c r="BZ89" s="883">
        <f t="shared" ca="1" si="92"/>
        <v>0</v>
      </c>
      <c r="CA89" s="883">
        <f t="shared" ca="1" si="93"/>
        <v>0</v>
      </c>
      <c r="CB89" s="883">
        <f t="shared" ca="1" si="93"/>
        <v>0</v>
      </c>
      <c r="CC89" s="883">
        <f t="shared" ca="1" si="93"/>
        <v>0</v>
      </c>
      <c r="CD89" s="883">
        <f t="shared" ca="1" si="93"/>
        <v>0</v>
      </c>
      <c r="CE89" s="883">
        <f t="shared" ca="1" si="93"/>
        <v>0</v>
      </c>
      <c r="CF89" s="883">
        <f t="shared" ca="1" si="93"/>
        <v>0</v>
      </c>
      <c r="CG89" s="883">
        <f t="shared" ca="1" si="93"/>
        <v>0</v>
      </c>
      <c r="CH89" s="883">
        <f t="shared" ca="1" si="93"/>
        <v>0</v>
      </c>
      <c r="CI89" s="883">
        <f t="shared" ca="1" si="93"/>
        <v>0</v>
      </c>
      <c r="CJ89" s="883">
        <f t="shared" ca="1" si="93"/>
        <v>0</v>
      </c>
      <c r="CK89" s="883">
        <f t="shared" ca="1" si="93"/>
        <v>0</v>
      </c>
      <c r="CL89" s="883">
        <f t="shared" ca="1" si="93"/>
        <v>0</v>
      </c>
      <c r="CM89" s="883">
        <f t="shared" ca="1" si="93"/>
        <v>0</v>
      </c>
      <c r="CN89" s="883">
        <f t="shared" ca="1" si="93"/>
        <v>0</v>
      </c>
      <c r="CO89" s="883">
        <f t="shared" ca="1" si="93"/>
        <v>0</v>
      </c>
      <c r="CP89" s="883">
        <f t="shared" ca="1" si="93"/>
        <v>0</v>
      </c>
      <c r="CQ89" s="883">
        <f t="shared" ca="1" si="94"/>
        <v>0</v>
      </c>
      <c r="CR89" s="883">
        <f t="shared" ca="1" si="87"/>
        <v>0</v>
      </c>
      <c r="CS89" s="883">
        <f t="shared" ca="1" si="87"/>
        <v>0</v>
      </c>
      <c r="CT89" s="883">
        <f t="shared" ca="1" si="87"/>
        <v>0</v>
      </c>
      <c r="CU89" s="883">
        <f t="shared" ca="1" si="87"/>
        <v>0</v>
      </c>
      <c r="CV89" s="883">
        <f t="shared" ca="1" si="87"/>
        <v>0</v>
      </c>
      <c r="CW89" s="883">
        <f t="shared" ca="1" si="87"/>
        <v>0</v>
      </c>
      <c r="CX89" s="883">
        <f t="shared" ca="1" si="87"/>
        <v>0</v>
      </c>
      <c r="CY89" s="883">
        <f t="shared" ca="1" si="87"/>
        <v>0</v>
      </c>
      <c r="CZ89" s="883">
        <f t="shared" ca="1" si="87"/>
        <v>0</v>
      </c>
      <c r="DA89" s="883">
        <f t="shared" ca="1" si="87"/>
        <v>0</v>
      </c>
      <c r="DB89" s="883">
        <f t="shared" ca="1" si="87"/>
        <v>0</v>
      </c>
      <c r="DC89" s="883">
        <f t="shared" ca="1" si="87"/>
        <v>0</v>
      </c>
      <c r="DD89" s="883">
        <f t="shared" ca="1" si="87"/>
        <v>0</v>
      </c>
      <c r="DE89" s="883">
        <f t="shared" ca="1" si="87"/>
        <v>0</v>
      </c>
      <c r="DF89" s="883">
        <f t="shared" ca="1" si="87"/>
        <v>0</v>
      </c>
      <c r="DG89" s="883">
        <f t="shared" ca="1" si="87"/>
        <v>0</v>
      </c>
      <c r="DH89" s="883">
        <f t="shared" ca="1" si="83"/>
        <v>0</v>
      </c>
      <c r="DI89" s="883">
        <f t="shared" ca="1" si="83"/>
        <v>0</v>
      </c>
      <c r="DJ89" s="883">
        <f t="shared" ca="1" si="83"/>
        <v>0</v>
      </c>
      <c r="DK89" s="883">
        <f t="shared" ca="1" si="83"/>
        <v>0</v>
      </c>
      <c r="DL89" s="883">
        <f t="shared" ca="1" si="83"/>
        <v>0</v>
      </c>
      <c r="DM89" s="883">
        <f t="shared" ca="1" si="83"/>
        <v>0</v>
      </c>
      <c r="DN89" s="883">
        <f t="shared" ca="1" si="84"/>
        <v>0</v>
      </c>
      <c r="DO89" s="883">
        <f t="shared" ca="1" si="84"/>
        <v>0</v>
      </c>
      <c r="DP89" s="883">
        <f t="shared" ca="1" si="84"/>
        <v>0</v>
      </c>
      <c r="DQ89" s="883">
        <f t="shared" ca="1" si="84"/>
        <v>0</v>
      </c>
      <c r="DR89" s="883">
        <f t="shared" ca="1" si="84"/>
        <v>0</v>
      </c>
      <c r="DS89" s="883">
        <f t="shared" ca="1" si="84"/>
        <v>0</v>
      </c>
      <c r="DT89" s="883">
        <f t="shared" ca="1" si="84"/>
        <v>0</v>
      </c>
      <c r="DU89" s="883">
        <f t="shared" ca="1" si="84"/>
        <v>0</v>
      </c>
      <c r="DV89" s="883">
        <f t="shared" ca="1" si="84"/>
        <v>0</v>
      </c>
      <c r="DW89" s="883">
        <f t="shared" ca="1" si="84"/>
        <v>0</v>
      </c>
      <c r="DX89" s="883">
        <f t="shared" ca="1" si="84"/>
        <v>0</v>
      </c>
      <c r="DY89" s="883">
        <f t="shared" ca="1" si="84"/>
        <v>0</v>
      </c>
      <c r="DZ89" s="883">
        <f t="shared" ca="1" si="84"/>
        <v>0</v>
      </c>
      <c r="EA89" s="883">
        <f t="shared" ca="1" si="84"/>
        <v>0</v>
      </c>
      <c r="EB89" s="883">
        <f t="shared" ca="1" si="84"/>
        <v>0</v>
      </c>
      <c r="EC89" s="883">
        <f t="shared" ca="1" si="84"/>
        <v>0</v>
      </c>
      <c r="ED89" s="883">
        <f t="shared" ca="1" si="85"/>
        <v>0</v>
      </c>
      <c r="EE89" s="883">
        <f t="shared" ca="1" si="85"/>
        <v>0</v>
      </c>
      <c r="EF89" s="883">
        <f t="shared" ca="1" si="85"/>
        <v>0</v>
      </c>
      <c r="EG89" s="883">
        <f t="shared" ca="1" si="85"/>
        <v>0</v>
      </c>
      <c r="EH89" s="883">
        <f t="shared" ca="1" si="85"/>
        <v>0</v>
      </c>
      <c r="EI89" s="883">
        <f t="shared" ca="1" si="85"/>
        <v>0</v>
      </c>
      <c r="EJ89" s="883">
        <f t="shared" ca="1" si="85"/>
        <v>0</v>
      </c>
      <c r="EK89" s="883">
        <f t="shared" ca="1" si="85"/>
        <v>0</v>
      </c>
      <c r="EL89" s="883">
        <f t="shared" ca="1" si="85"/>
        <v>0</v>
      </c>
      <c r="EM89" s="883">
        <f t="shared" ca="1" si="85"/>
        <v>0</v>
      </c>
      <c r="EN89" s="883">
        <f t="shared" ca="1" si="85"/>
        <v>0</v>
      </c>
      <c r="EO89" s="883">
        <f t="shared" ca="1" si="85"/>
        <v>0</v>
      </c>
      <c r="EP89" s="883">
        <f t="shared" ca="1" si="85"/>
        <v>0</v>
      </c>
      <c r="EQ89" s="883">
        <f t="shared" ca="1" si="85"/>
        <v>0</v>
      </c>
      <c r="ER89" s="883">
        <f t="shared" ca="1" si="85"/>
        <v>0</v>
      </c>
      <c r="ES89" s="883">
        <f t="shared" ca="1" si="85"/>
        <v>0</v>
      </c>
      <c r="ET89" s="883">
        <f t="shared" ca="1" si="86"/>
        <v>0</v>
      </c>
      <c r="EU89" s="883">
        <f t="shared" ca="1" si="86"/>
        <v>0</v>
      </c>
      <c r="EV89" s="883">
        <f t="shared" ca="1" si="86"/>
        <v>0</v>
      </c>
      <c r="EW89" s="883">
        <f t="shared" ca="1" si="86"/>
        <v>0</v>
      </c>
      <c r="EX89" s="883">
        <f t="shared" ca="1" si="86"/>
        <v>0</v>
      </c>
      <c r="EY89" s="883">
        <f t="shared" ca="1" si="86"/>
        <v>0</v>
      </c>
      <c r="EZ89" s="883">
        <f t="shared" ca="1" si="86"/>
        <v>0</v>
      </c>
      <c r="FA89" s="883">
        <f t="shared" ca="1" si="86"/>
        <v>0</v>
      </c>
    </row>
    <row r="90" spans="8:157">
      <c r="H90" s="891" t="str">
        <f t="shared" ca="1" si="80"/>
        <v/>
      </c>
      <c r="I90" s="1206" t="e">
        <f t="shared" ca="1" si="77"/>
        <v>#N/A</v>
      </c>
      <c r="J90" s="1206">
        <f t="shared" ca="1" si="78"/>
        <v>0</v>
      </c>
      <c r="K90" s="929" t="str">
        <f t="shared" si="79"/>
        <v/>
      </c>
      <c r="L90" s="929" t="str">
        <f t="shared" si="81"/>
        <v/>
      </c>
      <c r="N90" s="1714">
        <v>20</v>
      </c>
      <c r="P90" s="882" t="e">
        <f ca="1">VLOOKUP(Q90,bond!B:AA,26,FALSE)</f>
        <v>#N/A</v>
      </c>
      <c r="Q90" s="928">
        <f ca="1">Change投!S32</f>
        <v>0</v>
      </c>
      <c r="R90" s="889">
        <f ca="1">IFERROR(IF(Q90="",0,IF($D$4=1,Change投!AC32*Change投!AJ32,Change投!AC32)),0)</f>
        <v>0</v>
      </c>
      <c r="S90" s="885" t="e">
        <f ca="1">Change投!W32</f>
        <v>#N/A</v>
      </c>
      <c r="T90" s="883">
        <f t="shared" ca="1" si="64"/>
        <v>0</v>
      </c>
      <c r="U90" s="885" t="str">
        <f ca="1">Change投!Z32</f>
        <v/>
      </c>
      <c r="V90" s="886" t="str">
        <f t="shared" ca="1" si="88"/>
        <v/>
      </c>
      <c r="W90" s="885" t="e">
        <f t="shared" ca="1" si="89"/>
        <v>#N/A</v>
      </c>
      <c r="X90" s="886" t="str">
        <f t="shared" ca="1" si="90"/>
        <v/>
      </c>
      <c r="Y90" s="887" t="str">
        <f ca="1">Change投!Y32</f>
        <v/>
      </c>
      <c r="Z90" s="886">
        <f ca="1">Change投!AC32</f>
        <v>0</v>
      </c>
      <c r="AA90" s="1205">
        <f ca="1">Change投!X32</f>
        <v>0</v>
      </c>
      <c r="AB90" s="881">
        <f ca="1">Change投!AJ32</f>
        <v>0</v>
      </c>
      <c r="AC90" s="887">
        <f t="shared" ca="1" si="61"/>
        <v>0</v>
      </c>
      <c r="AD90" s="883">
        <f t="shared" ca="1" si="96"/>
        <v>0</v>
      </c>
      <c r="AE90" s="883">
        <f t="shared" ca="1" si="96"/>
        <v>0</v>
      </c>
      <c r="AF90" s="883">
        <f t="shared" ca="1" si="96"/>
        <v>0</v>
      </c>
      <c r="AG90" s="883">
        <f t="shared" ca="1" si="96"/>
        <v>0</v>
      </c>
      <c r="AH90" s="883">
        <f t="shared" ca="1" si="96"/>
        <v>0</v>
      </c>
      <c r="AI90" s="883">
        <f t="shared" ca="1" si="96"/>
        <v>0</v>
      </c>
      <c r="AJ90" s="883">
        <f t="shared" ca="1" si="96"/>
        <v>0</v>
      </c>
      <c r="AK90" s="883">
        <f t="shared" ca="1" si="96"/>
        <v>0</v>
      </c>
      <c r="AL90" s="883">
        <f t="shared" ca="1" si="96"/>
        <v>0</v>
      </c>
      <c r="AM90" s="883">
        <f t="shared" ca="1" si="96"/>
        <v>0</v>
      </c>
      <c r="AN90" s="883">
        <f t="shared" ca="1" si="96"/>
        <v>0</v>
      </c>
      <c r="AO90" s="883">
        <f t="shared" ca="1" si="96"/>
        <v>0</v>
      </c>
      <c r="AP90" s="883">
        <f t="shared" ca="1" si="96"/>
        <v>0</v>
      </c>
      <c r="AQ90" s="883">
        <f t="shared" ca="1" si="96"/>
        <v>0</v>
      </c>
      <c r="AR90" s="883">
        <f t="shared" ca="1" si="96"/>
        <v>0</v>
      </c>
      <c r="AS90" s="883">
        <f t="shared" ca="1" si="96"/>
        <v>0</v>
      </c>
      <c r="AT90" s="883">
        <f t="shared" ca="1" si="95"/>
        <v>0</v>
      </c>
      <c r="AU90" s="883">
        <f t="shared" ca="1" si="95"/>
        <v>0</v>
      </c>
      <c r="AV90" s="883">
        <f t="shared" ca="1" si="95"/>
        <v>0</v>
      </c>
      <c r="AW90" s="883">
        <f t="shared" ca="1" si="95"/>
        <v>0</v>
      </c>
      <c r="AX90" s="883">
        <f t="shared" ca="1" si="95"/>
        <v>0</v>
      </c>
      <c r="AY90" s="883">
        <f t="shared" ca="1" si="95"/>
        <v>0</v>
      </c>
      <c r="AZ90" s="883">
        <f t="shared" ca="1" si="95"/>
        <v>0</v>
      </c>
      <c r="BA90" s="883">
        <f t="shared" ca="1" si="95"/>
        <v>0</v>
      </c>
      <c r="BB90" s="883">
        <f t="shared" ca="1" si="95"/>
        <v>0</v>
      </c>
      <c r="BC90" s="883">
        <f t="shared" ca="1" si="95"/>
        <v>0</v>
      </c>
      <c r="BD90" s="883">
        <f t="shared" ca="1" si="95"/>
        <v>0</v>
      </c>
      <c r="BE90" s="883">
        <f t="shared" ca="1" si="95"/>
        <v>0</v>
      </c>
      <c r="BF90" s="883">
        <f t="shared" ca="1" si="95"/>
        <v>0</v>
      </c>
      <c r="BG90" s="883">
        <f t="shared" ca="1" si="95"/>
        <v>0</v>
      </c>
      <c r="BH90" s="883">
        <f t="shared" ca="1" si="95"/>
        <v>0</v>
      </c>
      <c r="BI90" s="883">
        <f t="shared" ca="1" si="95"/>
        <v>0</v>
      </c>
      <c r="BJ90" s="883">
        <f t="shared" ca="1" si="91"/>
        <v>0</v>
      </c>
      <c r="BK90" s="883">
        <f t="shared" ca="1" si="92"/>
        <v>0</v>
      </c>
      <c r="BL90" s="883">
        <f t="shared" ca="1" si="92"/>
        <v>0</v>
      </c>
      <c r="BM90" s="883">
        <f t="shared" ca="1" si="92"/>
        <v>0</v>
      </c>
      <c r="BN90" s="883">
        <f t="shared" ca="1" si="92"/>
        <v>0</v>
      </c>
      <c r="BO90" s="883">
        <f t="shared" ca="1" si="92"/>
        <v>0</v>
      </c>
      <c r="BP90" s="883">
        <f t="shared" ca="1" si="92"/>
        <v>0</v>
      </c>
      <c r="BQ90" s="883">
        <f t="shared" ca="1" si="92"/>
        <v>0</v>
      </c>
      <c r="BR90" s="883">
        <f t="shared" ca="1" si="92"/>
        <v>0</v>
      </c>
      <c r="BS90" s="883">
        <f t="shared" ca="1" si="92"/>
        <v>0</v>
      </c>
      <c r="BT90" s="883">
        <f t="shared" ca="1" si="92"/>
        <v>0</v>
      </c>
      <c r="BU90" s="883">
        <f t="shared" ca="1" si="92"/>
        <v>0</v>
      </c>
      <c r="BV90" s="883">
        <f t="shared" ca="1" si="92"/>
        <v>0</v>
      </c>
      <c r="BW90" s="883">
        <f t="shared" ca="1" si="92"/>
        <v>0</v>
      </c>
      <c r="BX90" s="883">
        <f t="shared" ca="1" si="92"/>
        <v>0</v>
      </c>
      <c r="BY90" s="883">
        <f t="shared" ca="1" si="92"/>
        <v>0</v>
      </c>
      <c r="BZ90" s="883">
        <f t="shared" ca="1" si="92"/>
        <v>0</v>
      </c>
      <c r="CA90" s="883">
        <f t="shared" ca="1" si="93"/>
        <v>0</v>
      </c>
      <c r="CB90" s="883">
        <f t="shared" ca="1" si="93"/>
        <v>0</v>
      </c>
      <c r="CC90" s="883">
        <f t="shared" ca="1" si="93"/>
        <v>0</v>
      </c>
      <c r="CD90" s="883">
        <f t="shared" ca="1" si="93"/>
        <v>0</v>
      </c>
      <c r="CE90" s="883">
        <f t="shared" ca="1" si="93"/>
        <v>0</v>
      </c>
      <c r="CF90" s="883">
        <f t="shared" ca="1" si="93"/>
        <v>0</v>
      </c>
      <c r="CG90" s="883">
        <f t="shared" ca="1" si="93"/>
        <v>0</v>
      </c>
      <c r="CH90" s="883">
        <f t="shared" ca="1" si="93"/>
        <v>0</v>
      </c>
      <c r="CI90" s="883">
        <f t="shared" ca="1" si="93"/>
        <v>0</v>
      </c>
      <c r="CJ90" s="883">
        <f t="shared" ca="1" si="93"/>
        <v>0</v>
      </c>
      <c r="CK90" s="883">
        <f t="shared" ca="1" si="93"/>
        <v>0</v>
      </c>
      <c r="CL90" s="883">
        <f t="shared" ca="1" si="93"/>
        <v>0</v>
      </c>
      <c r="CM90" s="883">
        <f t="shared" ca="1" si="93"/>
        <v>0</v>
      </c>
      <c r="CN90" s="883">
        <f t="shared" ca="1" si="93"/>
        <v>0</v>
      </c>
      <c r="CO90" s="883">
        <f t="shared" ca="1" si="93"/>
        <v>0</v>
      </c>
      <c r="CP90" s="883">
        <f t="shared" ca="1" si="93"/>
        <v>0</v>
      </c>
      <c r="CQ90" s="883">
        <f t="shared" ca="1" si="94"/>
        <v>0</v>
      </c>
      <c r="CR90" s="883">
        <f t="shared" ca="1" si="87"/>
        <v>0</v>
      </c>
      <c r="CS90" s="883">
        <f t="shared" ca="1" si="87"/>
        <v>0</v>
      </c>
      <c r="CT90" s="883">
        <f t="shared" ca="1" si="87"/>
        <v>0</v>
      </c>
      <c r="CU90" s="883">
        <f t="shared" ca="1" si="87"/>
        <v>0</v>
      </c>
      <c r="CV90" s="883">
        <f t="shared" ca="1" si="87"/>
        <v>0</v>
      </c>
      <c r="CW90" s="883">
        <f t="shared" ca="1" si="87"/>
        <v>0</v>
      </c>
      <c r="CX90" s="883">
        <f t="shared" ca="1" si="87"/>
        <v>0</v>
      </c>
      <c r="CY90" s="883">
        <f t="shared" ca="1" si="87"/>
        <v>0</v>
      </c>
      <c r="CZ90" s="883">
        <f t="shared" ca="1" si="87"/>
        <v>0</v>
      </c>
      <c r="DA90" s="883">
        <f t="shared" ca="1" si="87"/>
        <v>0</v>
      </c>
      <c r="DB90" s="883">
        <f t="shared" ca="1" si="87"/>
        <v>0</v>
      </c>
      <c r="DC90" s="883">
        <f t="shared" ca="1" si="87"/>
        <v>0</v>
      </c>
      <c r="DD90" s="883">
        <f t="shared" ca="1" si="87"/>
        <v>0</v>
      </c>
      <c r="DE90" s="883">
        <f t="shared" ca="1" si="87"/>
        <v>0</v>
      </c>
      <c r="DF90" s="883">
        <f t="shared" ca="1" si="87"/>
        <v>0</v>
      </c>
      <c r="DG90" s="883">
        <f t="shared" ca="1" si="87"/>
        <v>0</v>
      </c>
      <c r="DH90" s="883">
        <f t="shared" ca="1" si="83"/>
        <v>0</v>
      </c>
      <c r="DI90" s="883">
        <f t="shared" ca="1" si="83"/>
        <v>0</v>
      </c>
      <c r="DJ90" s="883">
        <f t="shared" ca="1" si="83"/>
        <v>0</v>
      </c>
      <c r="DK90" s="883">
        <f t="shared" ca="1" si="83"/>
        <v>0</v>
      </c>
      <c r="DL90" s="883">
        <f t="shared" ca="1" si="83"/>
        <v>0</v>
      </c>
      <c r="DM90" s="883">
        <f t="shared" ca="1" si="83"/>
        <v>0</v>
      </c>
      <c r="DN90" s="883">
        <f t="shared" ca="1" si="84"/>
        <v>0</v>
      </c>
      <c r="DO90" s="883">
        <f t="shared" ca="1" si="84"/>
        <v>0</v>
      </c>
      <c r="DP90" s="883">
        <f t="shared" ca="1" si="84"/>
        <v>0</v>
      </c>
      <c r="DQ90" s="883">
        <f t="shared" ca="1" si="84"/>
        <v>0</v>
      </c>
      <c r="DR90" s="883">
        <f t="shared" ca="1" si="84"/>
        <v>0</v>
      </c>
      <c r="DS90" s="883">
        <f t="shared" ca="1" si="84"/>
        <v>0</v>
      </c>
      <c r="DT90" s="883">
        <f t="shared" ca="1" si="84"/>
        <v>0</v>
      </c>
      <c r="DU90" s="883">
        <f t="shared" ca="1" si="84"/>
        <v>0</v>
      </c>
      <c r="DV90" s="883">
        <f t="shared" ca="1" si="84"/>
        <v>0</v>
      </c>
      <c r="DW90" s="883">
        <f t="shared" ca="1" si="84"/>
        <v>0</v>
      </c>
      <c r="DX90" s="883">
        <f t="shared" ca="1" si="84"/>
        <v>0</v>
      </c>
      <c r="DY90" s="883">
        <f t="shared" ca="1" si="84"/>
        <v>0</v>
      </c>
      <c r="DZ90" s="883">
        <f t="shared" ca="1" si="84"/>
        <v>0</v>
      </c>
      <c r="EA90" s="883">
        <f t="shared" ca="1" si="84"/>
        <v>0</v>
      </c>
      <c r="EB90" s="883">
        <f t="shared" ca="1" si="84"/>
        <v>0</v>
      </c>
      <c r="EC90" s="883">
        <f t="shared" ca="1" si="84"/>
        <v>0</v>
      </c>
      <c r="ED90" s="883">
        <f t="shared" ca="1" si="85"/>
        <v>0</v>
      </c>
      <c r="EE90" s="883">
        <f t="shared" ca="1" si="85"/>
        <v>0</v>
      </c>
      <c r="EF90" s="883">
        <f t="shared" ca="1" si="85"/>
        <v>0</v>
      </c>
      <c r="EG90" s="883">
        <f t="shared" ca="1" si="85"/>
        <v>0</v>
      </c>
      <c r="EH90" s="883">
        <f t="shared" ca="1" si="85"/>
        <v>0</v>
      </c>
      <c r="EI90" s="883">
        <f t="shared" ca="1" si="85"/>
        <v>0</v>
      </c>
      <c r="EJ90" s="883">
        <f t="shared" ca="1" si="85"/>
        <v>0</v>
      </c>
      <c r="EK90" s="883">
        <f t="shared" ca="1" si="85"/>
        <v>0</v>
      </c>
      <c r="EL90" s="883">
        <f t="shared" ca="1" si="85"/>
        <v>0</v>
      </c>
      <c r="EM90" s="883">
        <f t="shared" ca="1" si="85"/>
        <v>0</v>
      </c>
      <c r="EN90" s="883">
        <f t="shared" ca="1" si="85"/>
        <v>0</v>
      </c>
      <c r="EO90" s="883">
        <f t="shared" ca="1" si="85"/>
        <v>0</v>
      </c>
      <c r="EP90" s="883">
        <f t="shared" ca="1" si="85"/>
        <v>0</v>
      </c>
      <c r="EQ90" s="883">
        <f t="shared" ca="1" si="85"/>
        <v>0</v>
      </c>
      <c r="ER90" s="883">
        <f t="shared" ca="1" si="85"/>
        <v>0</v>
      </c>
      <c r="ES90" s="883">
        <f t="shared" ca="1" si="85"/>
        <v>0</v>
      </c>
      <c r="ET90" s="883">
        <f t="shared" ca="1" si="86"/>
        <v>0</v>
      </c>
      <c r="EU90" s="883">
        <f t="shared" ca="1" si="86"/>
        <v>0</v>
      </c>
      <c r="EV90" s="883">
        <f t="shared" ca="1" si="86"/>
        <v>0</v>
      </c>
      <c r="EW90" s="883">
        <f t="shared" ca="1" si="86"/>
        <v>0</v>
      </c>
      <c r="EX90" s="883">
        <f t="shared" ca="1" si="86"/>
        <v>0</v>
      </c>
      <c r="EY90" s="883">
        <f t="shared" ca="1" si="86"/>
        <v>0</v>
      </c>
      <c r="EZ90" s="883">
        <f t="shared" ca="1" si="86"/>
        <v>0</v>
      </c>
      <c r="FA90" s="883">
        <f t="shared" ca="1" si="86"/>
        <v>0</v>
      </c>
    </row>
    <row r="91" spans="8:157">
      <c r="H91" s="891" t="str">
        <f t="shared" ca="1" si="80"/>
        <v/>
      </c>
      <c r="I91" s="1206" t="e">
        <f t="shared" ca="1" si="77"/>
        <v>#N/A</v>
      </c>
      <c r="J91" s="1206">
        <f t="shared" ca="1" si="78"/>
        <v>0</v>
      </c>
      <c r="K91" s="929" t="str">
        <f t="shared" si="79"/>
        <v/>
      </c>
      <c r="L91" s="929" t="str">
        <f t="shared" si="81"/>
        <v/>
      </c>
      <c r="N91" s="1714">
        <v>21</v>
      </c>
      <c r="P91" s="882" t="e">
        <f ca="1">VLOOKUP(Q91,bond!B:AA,26,FALSE)</f>
        <v>#N/A</v>
      </c>
      <c r="Q91" s="928">
        <f ca="1">Change投!S33</f>
        <v>0</v>
      </c>
      <c r="R91" s="889">
        <f ca="1">IFERROR(IF(Q91="",0,IF($D$4=1,Change投!AC33*Change投!AJ33,Change投!AC33)),0)</f>
        <v>0</v>
      </c>
      <c r="S91" s="885" t="e">
        <f ca="1">Change投!W33</f>
        <v>#N/A</v>
      </c>
      <c r="T91" s="883">
        <f t="shared" ca="1" si="64"/>
        <v>0</v>
      </c>
      <c r="U91" s="885" t="str">
        <f ca="1">Change投!Z33</f>
        <v/>
      </c>
      <c r="V91" s="886" t="str">
        <f t="shared" ca="1" si="88"/>
        <v/>
      </c>
      <c r="W91" s="885" t="e">
        <f t="shared" ca="1" si="89"/>
        <v>#N/A</v>
      </c>
      <c r="X91" s="886" t="str">
        <f t="shared" ca="1" si="90"/>
        <v/>
      </c>
      <c r="Y91" s="887" t="str">
        <f ca="1">Change投!Y33</f>
        <v/>
      </c>
      <c r="Z91" s="886">
        <f ca="1">Change投!AC33</f>
        <v>0</v>
      </c>
      <c r="AA91" s="1205">
        <f ca="1">Change投!X33</f>
        <v>0</v>
      </c>
      <c r="AB91" s="881">
        <f ca="1">Change投!AJ33</f>
        <v>0</v>
      </c>
      <c r="AC91" s="887">
        <f t="shared" ca="1" si="61"/>
        <v>0</v>
      </c>
      <c r="AD91" s="883">
        <f t="shared" ca="1" si="96"/>
        <v>0</v>
      </c>
      <c r="AE91" s="883">
        <f t="shared" ca="1" si="96"/>
        <v>0</v>
      </c>
      <c r="AF91" s="883">
        <f t="shared" ca="1" si="96"/>
        <v>0</v>
      </c>
      <c r="AG91" s="883">
        <f t="shared" ca="1" si="96"/>
        <v>0</v>
      </c>
      <c r="AH91" s="883">
        <f t="shared" ca="1" si="96"/>
        <v>0</v>
      </c>
      <c r="AI91" s="883">
        <f t="shared" ca="1" si="96"/>
        <v>0</v>
      </c>
      <c r="AJ91" s="883">
        <f t="shared" ca="1" si="96"/>
        <v>0</v>
      </c>
      <c r="AK91" s="883">
        <f t="shared" ca="1" si="96"/>
        <v>0</v>
      </c>
      <c r="AL91" s="883">
        <f t="shared" ca="1" si="96"/>
        <v>0</v>
      </c>
      <c r="AM91" s="883">
        <f t="shared" ca="1" si="96"/>
        <v>0</v>
      </c>
      <c r="AN91" s="883">
        <f t="shared" ca="1" si="96"/>
        <v>0</v>
      </c>
      <c r="AO91" s="883">
        <f t="shared" ca="1" si="96"/>
        <v>0</v>
      </c>
      <c r="AP91" s="883">
        <f t="shared" ca="1" si="96"/>
        <v>0</v>
      </c>
      <c r="AQ91" s="883">
        <f t="shared" ca="1" si="96"/>
        <v>0</v>
      </c>
      <c r="AR91" s="883">
        <f t="shared" ca="1" si="96"/>
        <v>0</v>
      </c>
      <c r="AS91" s="883">
        <f t="shared" ca="1" si="96"/>
        <v>0</v>
      </c>
      <c r="AT91" s="883">
        <f t="shared" ca="1" si="95"/>
        <v>0</v>
      </c>
      <c r="AU91" s="883">
        <f t="shared" ca="1" si="95"/>
        <v>0</v>
      </c>
      <c r="AV91" s="883">
        <f t="shared" ca="1" si="95"/>
        <v>0</v>
      </c>
      <c r="AW91" s="883">
        <f t="shared" ca="1" si="95"/>
        <v>0</v>
      </c>
      <c r="AX91" s="883">
        <f t="shared" ca="1" si="95"/>
        <v>0</v>
      </c>
      <c r="AY91" s="883">
        <f t="shared" ca="1" si="95"/>
        <v>0</v>
      </c>
      <c r="AZ91" s="883">
        <f t="shared" ca="1" si="95"/>
        <v>0</v>
      </c>
      <c r="BA91" s="883">
        <f t="shared" ca="1" si="95"/>
        <v>0</v>
      </c>
      <c r="BB91" s="883">
        <f t="shared" ca="1" si="95"/>
        <v>0</v>
      </c>
      <c r="BC91" s="883">
        <f t="shared" ca="1" si="95"/>
        <v>0</v>
      </c>
      <c r="BD91" s="883">
        <f t="shared" ca="1" si="95"/>
        <v>0</v>
      </c>
      <c r="BE91" s="883">
        <f t="shared" ca="1" si="95"/>
        <v>0</v>
      </c>
      <c r="BF91" s="883">
        <f t="shared" ca="1" si="95"/>
        <v>0</v>
      </c>
      <c r="BG91" s="883">
        <f t="shared" ca="1" si="95"/>
        <v>0</v>
      </c>
      <c r="BH91" s="883">
        <f t="shared" ca="1" si="95"/>
        <v>0</v>
      </c>
      <c r="BI91" s="883">
        <f t="shared" ca="1" si="95"/>
        <v>0</v>
      </c>
      <c r="BJ91" s="883">
        <f t="shared" ca="1" si="91"/>
        <v>0</v>
      </c>
      <c r="BK91" s="883">
        <f t="shared" ca="1" si="92"/>
        <v>0</v>
      </c>
      <c r="BL91" s="883">
        <f t="shared" ca="1" si="92"/>
        <v>0</v>
      </c>
      <c r="BM91" s="883">
        <f t="shared" ca="1" si="92"/>
        <v>0</v>
      </c>
      <c r="BN91" s="883">
        <f t="shared" ca="1" si="92"/>
        <v>0</v>
      </c>
      <c r="BO91" s="883">
        <f t="shared" ca="1" si="92"/>
        <v>0</v>
      </c>
      <c r="BP91" s="883">
        <f t="shared" ca="1" si="92"/>
        <v>0</v>
      </c>
      <c r="BQ91" s="883">
        <f t="shared" ca="1" si="92"/>
        <v>0</v>
      </c>
      <c r="BR91" s="883">
        <f t="shared" ca="1" si="92"/>
        <v>0</v>
      </c>
      <c r="BS91" s="883">
        <f t="shared" ca="1" si="92"/>
        <v>0</v>
      </c>
      <c r="BT91" s="883">
        <f t="shared" ca="1" si="92"/>
        <v>0</v>
      </c>
      <c r="BU91" s="883">
        <f t="shared" ca="1" si="92"/>
        <v>0</v>
      </c>
      <c r="BV91" s="883">
        <f t="shared" ca="1" si="92"/>
        <v>0</v>
      </c>
      <c r="BW91" s="883">
        <f t="shared" ca="1" si="92"/>
        <v>0</v>
      </c>
      <c r="BX91" s="883">
        <f t="shared" ca="1" si="92"/>
        <v>0</v>
      </c>
      <c r="BY91" s="883">
        <f t="shared" ca="1" si="92"/>
        <v>0</v>
      </c>
      <c r="BZ91" s="883">
        <f t="shared" ca="1" si="92"/>
        <v>0</v>
      </c>
      <c r="CA91" s="883">
        <f t="shared" ca="1" si="93"/>
        <v>0</v>
      </c>
      <c r="CB91" s="883">
        <f t="shared" ca="1" si="93"/>
        <v>0</v>
      </c>
      <c r="CC91" s="883">
        <f t="shared" ca="1" si="93"/>
        <v>0</v>
      </c>
      <c r="CD91" s="883">
        <f t="shared" ca="1" si="93"/>
        <v>0</v>
      </c>
      <c r="CE91" s="883">
        <f t="shared" ca="1" si="93"/>
        <v>0</v>
      </c>
      <c r="CF91" s="883">
        <f t="shared" ca="1" si="93"/>
        <v>0</v>
      </c>
      <c r="CG91" s="883">
        <f t="shared" ca="1" si="93"/>
        <v>0</v>
      </c>
      <c r="CH91" s="883">
        <f t="shared" ca="1" si="93"/>
        <v>0</v>
      </c>
      <c r="CI91" s="883">
        <f t="shared" ca="1" si="93"/>
        <v>0</v>
      </c>
      <c r="CJ91" s="883">
        <f t="shared" ca="1" si="93"/>
        <v>0</v>
      </c>
      <c r="CK91" s="883">
        <f t="shared" ca="1" si="93"/>
        <v>0</v>
      </c>
      <c r="CL91" s="883">
        <f t="shared" ca="1" si="93"/>
        <v>0</v>
      </c>
      <c r="CM91" s="883">
        <f t="shared" ca="1" si="93"/>
        <v>0</v>
      </c>
      <c r="CN91" s="883">
        <f t="shared" ca="1" si="93"/>
        <v>0</v>
      </c>
      <c r="CO91" s="883">
        <f t="shared" ca="1" si="93"/>
        <v>0</v>
      </c>
      <c r="CP91" s="883">
        <f t="shared" ca="1" si="93"/>
        <v>0</v>
      </c>
      <c r="CQ91" s="883">
        <f t="shared" ca="1" si="94"/>
        <v>0</v>
      </c>
      <c r="CR91" s="883">
        <f t="shared" ca="1" si="87"/>
        <v>0</v>
      </c>
      <c r="CS91" s="883">
        <f t="shared" ca="1" si="87"/>
        <v>0</v>
      </c>
      <c r="CT91" s="883">
        <f t="shared" ca="1" si="87"/>
        <v>0</v>
      </c>
      <c r="CU91" s="883">
        <f t="shared" ca="1" si="87"/>
        <v>0</v>
      </c>
      <c r="CV91" s="883">
        <f t="shared" ca="1" si="87"/>
        <v>0</v>
      </c>
      <c r="CW91" s="883">
        <f t="shared" ca="1" si="87"/>
        <v>0</v>
      </c>
      <c r="CX91" s="883">
        <f t="shared" ca="1" si="87"/>
        <v>0</v>
      </c>
      <c r="CY91" s="883">
        <f t="shared" ca="1" si="87"/>
        <v>0</v>
      </c>
      <c r="CZ91" s="883">
        <f t="shared" ca="1" si="87"/>
        <v>0</v>
      </c>
      <c r="DA91" s="883">
        <f t="shared" ca="1" si="87"/>
        <v>0</v>
      </c>
      <c r="DB91" s="883">
        <f t="shared" ca="1" si="87"/>
        <v>0</v>
      </c>
      <c r="DC91" s="883">
        <f t="shared" ca="1" si="87"/>
        <v>0</v>
      </c>
      <c r="DD91" s="883">
        <f t="shared" ca="1" si="87"/>
        <v>0</v>
      </c>
      <c r="DE91" s="883">
        <f t="shared" ca="1" si="87"/>
        <v>0</v>
      </c>
      <c r="DF91" s="883">
        <f t="shared" ca="1" si="87"/>
        <v>0</v>
      </c>
      <c r="DG91" s="883">
        <f t="shared" ca="1" si="87"/>
        <v>0</v>
      </c>
      <c r="DH91" s="883">
        <f t="shared" ca="1" si="83"/>
        <v>0</v>
      </c>
      <c r="DI91" s="883">
        <f t="shared" ca="1" si="83"/>
        <v>0</v>
      </c>
      <c r="DJ91" s="883">
        <f t="shared" ca="1" si="83"/>
        <v>0</v>
      </c>
      <c r="DK91" s="883">
        <f t="shared" ca="1" si="83"/>
        <v>0</v>
      </c>
      <c r="DL91" s="883">
        <f t="shared" ca="1" si="83"/>
        <v>0</v>
      </c>
      <c r="DM91" s="883">
        <f t="shared" ca="1" si="83"/>
        <v>0</v>
      </c>
      <c r="DN91" s="883">
        <f t="shared" ca="1" si="84"/>
        <v>0</v>
      </c>
      <c r="DO91" s="883">
        <f t="shared" ca="1" si="84"/>
        <v>0</v>
      </c>
      <c r="DP91" s="883">
        <f t="shared" ca="1" si="84"/>
        <v>0</v>
      </c>
      <c r="DQ91" s="883">
        <f t="shared" ca="1" si="84"/>
        <v>0</v>
      </c>
      <c r="DR91" s="883">
        <f t="shared" ca="1" si="84"/>
        <v>0</v>
      </c>
      <c r="DS91" s="883">
        <f t="shared" ca="1" si="84"/>
        <v>0</v>
      </c>
      <c r="DT91" s="883">
        <f t="shared" ca="1" si="84"/>
        <v>0</v>
      </c>
      <c r="DU91" s="883">
        <f t="shared" ca="1" si="84"/>
        <v>0</v>
      </c>
      <c r="DV91" s="883">
        <f t="shared" ca="1" si="84"/>
        <v>0</v>
      </c>
      <c r="DW91" s="883">
        <f t="shared" ca="1" si="84"/>
        <v>0</v>
      </c>
      <c r="DX91" s="883">
        <f t="shared" ca="1" si="84"/>
        <v>0</v>
      </c>
      <c r="DY91" s="883">
        <f t="shared" ca="1" si="84"/>
        <v>0</v>
      </c>
      <c r="DZ91" s="883">
        <f t="shared" ca="1" si="84"/>
        <v>0</v>
      </c>
      <c r="EA91" s="883">
        <f t="shared" ca="1" si="84"/>
        <v>0</v>
      </c>
      <c r="EB91" s="883">
        <f t="shared" ca="1" si="84"/>
        <v>0</v>
      </c>
      <c r="EC91" s="883">
        <f t="shared" ca="1" si="84"/>
        <v>0</v>
      </c>
      <c r="ED91" s="883">
        <f t="shared" ca="1" si="85"/>
        <v>0</v>
      </c>
      <c r="EE91" s="883">
        <f t="shared" ca="1" si="85"/>
        <v>0</v>
      </c>
      <c r="EF91" s="883">
        <f t="shared" ca="1" si="85"/>
        <v>0</v>
      </c>
      <c r="EG91" s="883">
        <f t="shared" ca="1" si="85"/>
        <v>0</v>
      </c>
      <c r="EH91" s="883">
        <f t="shared" ca="1" si="85"/>
        <v>0</v>
      </c>
      <c r="EI91" s="883">
        <f t="shared" ca="1" si="85"/>
        <v>0</v>
      </c>
      <c r="EJ91" s="883">
        <f t="shared" ca="1" si="85"/>
        <v>0</v>
      </c>
      <c r="EK91" s="883">
        <f t="shared" ca="1" si="85"/>
        <v>0</v>
      </c>
      <c r="EL91" s="883">
        <f t="shared" ca="1" si="85"/>
        <v>0</v>
      </c>
      <c r="EM91" s="883">
        <f t="shared" ca="1" si="85"/>
        <v>0</v>
      </c>
      <c r="EN91" s="883">
        <f t="shared" ca="1" si="85"/>
        <v>0</v>
      </c>
      <c r="EO91" s="883">
        <f t="shared" ca="1" si="85"/>
        <v>0</v>
      </c>
      <c r="EP91" s="883">
        <f t="shared" ca="1" si="85"/>
        <v>0</v>
      </c>
      <c r="EQ91" s="883">
        <f t="shared" ca="1" si="85"/>
        <v>0</v>
      </c>
      <c r="ER91" s="883">
        <f t="shared" ca="1" si="85"/>
        <v>0</v>
      </c>
      <c r="ES91" s="883">
        <f t="shared" ca="1" si="85"/>
        <v>0</v>
      </c>
      <c r="ET91" s="883">
        <f t="shared" ca="1" si="86"/>
        <v>0</v>
      </c>
      <c r="EU91" s="883">
        <f t="shared" ca="1" si="86"/>
        <v>0</v>
      </c>
      <c r="EV91" s="883">
        <f t="shared" ca="1" si="86"/>
        <v>0</v>
      </c>
      <c r="EW91" s="883">
        <f t="shared" ca="1" si="86"/>
        <v>0</v>
      </c>
      <c r="EX91" s="883">
        <f t="shared" ca="1" si="86"/>
        <v>0</v>
      </c>
      <c r="EY91" s="883">
        <f t="shared" ca="1" si="86"/>
        <v>0</v>
      </c>
      <c r="EZ91" s="883">
        <f t="shared" ca="1" si="86"/>
        <v>0</v>
      </c>
      <c r="FA91" s="883">
        <f t="shared" ca="1" si="86"/>
        <v>0</v>
      </c>
    </row>
    <row r="92" spans="8:157">
      <c r="H92" s="891" t="str">
        <f t="shared" ca="1" si="80"/>
        <v/>
      </c>
      <c r="I92" s="1206" t="e">
        <f t="shared" ca="1" si="77"/>
        <v>#N/A</v>
      </c>
      <c r="J92" s="1206">
        <f t="shared" ca="1" si="78"/>
        <v>0</v>
      </c>
      <c r="K92" s="929" t="str">
        <f t="shared" si="79"/>
        <v/>
      </c>
      <c r="L92" s="929" t="str">
        <f t="shared" si="81"/>
        <v/>
      </c>
      <c r="N92" s="1714">
        <v>22</v>
      </c>
      <c r="P92" s="882" t="e">
        <f ca="1">VLOOKUP(Q92,bond!B:AA,26,FALSE)</f>
        <v>#N/A</v>
      </c>
      <c r="Q92" s="928">
        <f ca="1">Change投!S34</f>
        <v>0</v>
      </c>
      <c r="R92" s="889">
        <f ca="1">IFERROR(IF(Q92="",0,IF($D$4=1,Change投!AC34*Change投!AJ34,Change投!AC34)),0)</f>
        <v>0</v>
      </c>
      <c r="S92" s="885" t="e">
        <f ca="1">Change投!W34</f>
        <v>#N/A</v>
      </c>
      <c r="T92" s="883">
        <f t="shared" ca="1" si="64"/>
        <v>0</v>
      </c>
      <c r="U92" s="885" t="str">
        <f ca="1">Change投!Z34</f>
        <v/>
      </c>
      <c r="V92" s="886" t="str">
        <f t="shared" ca="1" si="88"/>
        <v/>
      </c>
      <c r="W92" s="885" t="e">
        <f t="shared" ca="1" si="89"/>
        <v>#N/A</v>
      </c>
      <c r="X92" s="886" t="str">
        <f t="shared" ca="1" si="90"/>
        <v/>
      </c>
      <c r="Y92" s="887" t="str">
        <f ca="1">Change投!Y34</f>
        <v/>
      </c>
      <c r="Z92" s="886">
        <f ca="1">Change投!AC34</f>
        <v>0</v>
      </c>
      <c r="AA92" s="1205">
        <f ca="1">Change投!X34</f>
        <v>0</v>
      </c>
      <c r="AB92" s="881">
        <f ca="1">Change投!AJ34</f>
        <v>0</v>
      </c>
      <c r="AC92" s="887">
        <f t="shared" ca="1" si="61"/>
        <v>0</v>
      </c>
      <c r="AD92" s="883">
        <f t="shared" ca="1" si="96"/>
        <v>0</v>
      </c>
      <c r="AE92" s="883">
        <f t="shared" ca="1" si="96"/>
        <v>0</v>
      </c>
      <c r="AF92" s="883">
        <f t="shared" ca="1" si="96"/>
        <v>0</v>
      </c>
      <c r="AG92" s="883">
        <f t="shared" ca="1" si="96"/>
        <v>0</v>
      </c>
      <c r="AH92" s="883">
        <f t="shared" ca="1" si="96"/>
        <v>0</v>
      </c>
      <c r="AI92" s="883">
        <f t="shared" ca="1" si="96"/>
        <v>0</v>
      </c>
      <c r="AJ92" s="883">
        <f t="shared" ca="1" si="96"/>
        <v>0</v>
      </c>
      <c r="AK92" s="883">
        <f t="shared" ca="1" si="96"/>
        <v>0</v>
      </c>
      <c r="AL92" s="883">
        <f t="shared" ca="1" si="96"/>
        <v>0</v>
      </c>
      <c r="AM92" s="883">
        <f t="shared" ca="1" si="96"/>
        <v>0</v>
      </c>
      <c r="AN92" s="883">
        <f t="shared" ca="1" si="96"/>
        <v>0</v>
      </c>
      <c r="AO92" s="883">
        <f t="shared" ca="1" si="96"/>
        <v>0</v>
      </c>
      <c r="AP92" s="883">
        <f t="shared" ca="1" si="96"/>
        <v>0</v>
      </c>
      <c r="AQ92" s="883">
        <f t="shared" ca="1" si="96"/>
        <v>0</v>
      </c>
      <c r="AR92" s="883">
        <f t="shared" ca="1" si="96"/>
        <v>0</v>
      </c>
      <c r="AS92" s="883">
        <f t="shared" ca="1" si="96"/>
        <v>0</v>
      </c>
      <c r="AT92" s="883">
        <f t="shared" ca="1" si="95"/>
        <v>0</v>
      </c>
      <c r="AU92" s="883">
        <f t="shared" ca="1" si="95"/>
        <v>0</v>
      </c>
      <c r="AV92" s="883">
        <f t="shared" ca="1" si="95"/>
        <v>0</v>
      </c>
      <c r="AW92" s="883">
        <f t="shared" ca="1" si="95"/>
        <v>0</v>
      </c>
      <c r="AX92" s="883">
        <f t="shared" ca="1" si="95"/>
        <v>0</v>
      </c>
      <c r="AY92" s="883">
        <f t="shared" ca="1" si="95"/>
        <v>0</v>
      </c>
      <c r="AZ92" s="883">
        <f t="shared" ca="1" si="95"/>
        <v>0</v>
      </c>
      <c r="BA92" s="883">
        <f t="shared" ca="1" si="95"/>
        <v>0</v>
      </c>
      <c r="BB92" s="883">
        <f t="shared" ca="1" si="95"/>
        <v>0</v>
      </c>
      <c r="BC92" s="883">
        <f t="shared" ca="1" si="95"/>
        <v>0</v>
      </c>
      <c r="BD92" s="883">
        <f t="shared" ca="1" si="95"/>
        <v>0</v>
      </c>
      <c r="BE92" s="883">
        <f t="shared" ca="1" si="95"/>
        <v>0</v>
      </c>
      <c r="BF92" s="883">
        <f t="shared" ca="1" si="95"/>
        <v>0</v>
      </c>
      <c r="BG92" s="883">
        <f t="shared" ca="1" si="95"/>
        <v>0</v>
      </c>
      <c r="BH92" s="883">
        <f t="shared" ca="1" si="95"/>
        <v>0</v>
      </c>
      <c r="BI92" s="883">
        <f t="shared" ca="1" si="95"/>
        <v>0</v>
      </c>
      <c r="BJ92" s="883">
        <f t="shared" ca="1" si="91"/>
        <v>0</v>
      </c>
      <c r="BK92" s="883">
        <f t="shared" ca="1" si="92"/>
        <v>0</v>
      </c>
      <c r="BL92" s="883">
        <f t="shared" ca="1" si="92"/>
        <v>0</v>
      </c>
      <c r="BM92" s="883">
        <f t="shared" ca="1" si="92"/>
        <v>0</v>
      </c>
      <c r="BN92" s="883">
        <f t="shared" ca="1" si="92"/>
        <v>0</v>
      </c>
      <c r="BO92" s="883">
        <f t="shared" ca="1" si="92"/>
        <v>0</v>
      </c>
      <c r="BP92" s="883">
        <f t="shared" ca="1" si="92"/>
        <v>0</v>
      </c>
      <c r="BQ92" s="883">
        <f t="shared" ca="1" si="92"/>
        <v>0</v>
      </c>
      <c r="BR92" s="883">
        <f t="shared" ca="1" si="92"/>
        <v>0</v>
      </c>
      <c r="BS92" s="883">
        <f t="shared" ca="1" si="92"/>
        <v>0</v>
      </c>
      <c r="BT92" s="883">
        <f t="shared" ca="1" si="92"/>
        <v>0</v>
      </c>
      <c r="BU92" s="883">
        <f t="shared" ca="1" si="92"/>
        <v>0</v>
      </c>
      <c r="BV92" s="883">
        <f t="shared" ca="1" si="92"/>
        <v>0</v>
      </c>
      <c r="BW92" s="883">
        <f t="shared" ca="1" si="92"/>
        <v>0</v>
      </c>
      <c r="BX92" s="883">
        <f t="shared" ca="1" si="92"/>
        <v>0</v>
      </c>
      <c r="BY92" s="883">
        <f t="shared" ca="1" si="92"/>
        <v>0</v>
      </c>
      <c r="BZ92" s="883">
        <f t="shared" ca="1" si="92"/>
        <v>0</v>
      </c>
      <c r="CA92" s="883">
        <f t="shared" ca="1" si="93"/>
        <v>0</v>
      </c>
      <c r="CB92" s="883">
        <f t="shared" ca="1" si="93"/>
        <v>0</v>
      </c>
      <c r="CC92" s="883">
        <f t="shared" ca="1" si="93"/>
        <v>0</v>
      </c>
      <c r="CD92" s="883">
        <f t="shared" ca="1" si="93"/>
        <v>0</v>
      </c>
      <c r="CE92" s="883">
        <f t="shared" ca="1" si="93"/>
        <v>0</v>
      </c>
      <c r="CF92" s="883">
        <f t="shared" ca="1" si="93"/>
        <v>0</v>
      </c>
      <c r="CG92" s="883">
        <f t="shared" ca="1" si="93"/>
        <v>0</v>
      </c>
      <c r="CH92" s="883">
        <f t="shared" ca="1" si="93"/>
        <v>0</v>
      </c>
      <c r="CI92" s="883">
        <f t="shared" ca="1" si="93"/>
        <v>0</v>
      </c>
      <c r="CJ92" s="883">
        <f t="shared" ca="1" si="93"/>
        <v>0</v>
      </c>
      <c r="CK92" s="883">
        <f t="shared" ca="1" si="93"/>
        <v>0</v>
      </c>
      <c r="CL92" s="883">
        <f t="shared" ca="1" si="93"/>
        <v>0</v>
      </c>
      <c r="CM92" s="883">
        <f t="shared" ca="1" si="93"/>
        <v>0</v>
      </c>
      <c r="CN92" s="883">
        <f t="shared" ca="1" si="93"/>
        <v>0</v>
      </c>
      <c r="CO92" s="883">
        <f t="shared" ca="1" si="93"/>
        <v>0</v>
      </c>
      <c r="CP92" s="883">
        <f t="shared" ca="1" si="93"/>
        <v>0</v>
      </c>
      <c r="CQ92" s="883">
        <f t="shared" ca="1" si="94"/>
        <v>0</v>
      </c>
      <c r="CR92" s="883">
        <f t="shared" ca="1" si="87"/>
        <v>0</v>
      </c>
      <c r="CS92" s="883">
        <f t="shared" ca="1" si="87"/>
        <v>0</v>
      </c>
      <c r="CT92" s="883">
        <f t="shared" ca="1" si="87"/>
        <v>0</v>
      </c>
      <c r="CU92" s="883">
        <f t="shared" ca="1" si="87"/>
        <v>0</v>
      </c>
      <c r="CV92" s="883">
        <f t="shared" ca="1" si="87"/>
        <v>0</v>
      </c>
      <c r="CW92" s="883">
        <f t="shared" ca="1" si="87"/>
        <v>0</v>
      </c>
      <c r="CX92" s="883">
        <f t="shared" ca="1" si="87"/>
        <v>0</v>
      </c>
      <c r="CY92" s="883">
        <f t="shared" ca="1" si="87"/>
        <v>0</v>
      </c>
      <c r="CZ92" s="883">
        <f t="shared" ca="1" si="87"/>
        <v>0</v>
      </c>
      <c r="DA92" s="883">
        <f t="shared" ca="1" si="87"/>
        <v>0</v>
      </c>
      <c r="DB92" s="883">
        <f t="shared" ca="1" si="87"/>
        <v>0</v>
      </c>
      <c r="DC92" s="883">
        <f t="shared" ca="1" si="87"/>
        <v>0</v>
      </c>
      <c r="DD92" s="883">
        <f t="shared" ca="1" si="87"/>
        <v>0</v>
      </c>
      <c r="DE92" s="883">
        <f t="shared" ca="1" si="87"/>
        <v>0</v>
      </c>
      <c r="DF92" s="883">
        <f t="shared" ca="1" si="87"/>
        <v>0</v>
      </c>
      <c r="DG92" s="883">
        <f t="shared" ca="1" si="87"/>
        <v>0</v>
      </c>
      <c r="DH92" s="883">
        <f t="shared" ca="1" si="83"/>
        <v>0</v>
      </c>
      <c r="DI92" s="883">
        <f t="shared" ca="1" si="83"/>
        <v>0</v>
      </c>
      <c r="DJ92" s="883">
        <f t="shared" ca="1" si="83"/>
        <v>0</v>
      </c>
      <c r="DK92" s="883">
        <f t="shared" ca="1" si="83"/>
        <v>0</v>
      </c>
      <c r="DL92" s="883">
        <f t="shared" ca="1" si="83"/>
        <v>0</v>
      </c>
      <c r="DM92" s="883">
        <f t="shared" ca="1" si="83"/>
        <v>0</v>
      </c>
      <c r="DN92" s="883">
        <f t="shared" ca="1" si="84"/>
        <v>0</v>
      </c>
      <c r="DO92" s="883">
        <f t="shared" ca="1" si="84"/>
        <v>0</v>
      </c>
      <c r="DP92" s="883">
        <f t="shared" ca="1" si="84"/>
        <v>0</v>
      </c>
      <c r="DQ92" s="883">
        <f t="shared" ca="1" si="84"/>
        <v>0</v>
      </c>
      <c r="DR92" s="883">
        <f t="shared" ca="1" si="84"/>
        <v>0</v>
      </c>
      <c r="DS92" s="883">
        <f t="shared" ca="1" si="84"/>
        <v>0</v>
      </c>
      <c r="DT92" s="883">
        <f t="shared" ca="1" si="84"/>
        <v>0</v>
      </c>
      <c r="DU92" s="883">
        <f t="shared" ca="1" si="84"/>
        <v>0</v>
      </c>
      <c r="DV92" s="883">
        <f t="shared" ca="1" si="84"/>
        <v>0</v>
      </c>
      <c r="DW92" s="883">
        <f t="shared" ca="1" si="84"/>
        <v>0</v>
      </c>
      <c r="DX92" s="883">
        <f t="shared" ca="1" si="84"/>
        <v>0</v>
      </c>
      <c r="DY92" s="883">
        <f t="shared" ca="1" si="84"/>
        <v>0</v>
      </c>
      <c r="DZ92" s="883">
        <f t="shared" ca="1" si="84"/>
        <v>0</v>
      </c>
      <c r="EA92" s="883">
        <f t="shared" ca="1" si="84"/>
        <v>0</v>
      </c>
      <c r="EB92" s="883">
        <f t="shared" ca="1" si="84"/>
        <v>0</v>
      </c>
      <c r="EC92" s="883">
        <f t="shared" ca="1" si="84"/>
        <v>0</v>
      </c>
      <c r="ED92" s="883">
        <f t="shared" ca="1" si="85"/>
        <v>0</v>
      </c>
      <c r="EE92" s="883">
        <f t="shared" ca="1" si="85"/>
        <v>0</v>
      </c>
      <c r="EF92" s="883">
        <f t="shared" ca="1" si="85"/>
        <v>0</v>
      </c>
      <c r="EG92" s="883">
        <f t="shared" ca="1" si="85"/>
        <v>0</v>
      </c>
      <c r="EH92" s="883">
        <f t="shared" ca="1" si="85"/>
        <v>0</v>
      </c>
      <c r="EI92" s="883">
        <f t="shared" ca="1" si="85"/>
        <v>0</v>
      </c>
      <c r="EJ92" s="883">
        <f t="shared" ca="1" si="85"/>
        <v>0</v>
      </c>
      <c r="EK92" s="883">
        <f t="shared" ca="1" si="85"/>
        <v>0</v>
      </c>
      <c r="EL92" s="883">
        <f t="shared" ca="1" si="85"/>
        <v>0</v>
      </c>
      <c r="EM92" s="883">
        <f t="shared" ca="1" si="85"/>
        <v>0</v>
      </c>
      <c r="EN92" s="883">
        <f t="shared" ca="1" si="85"/>
        <v>0</v>
      </c>
      <c r="EO92" s="883">
        <f t="shared" ca="1" si="85"/>
        <v>0</v>
      </c>
      <c r="EP92" s="883">
        <f t="shared" ca="1" si="85"/>
        <v>0</v>
      </c>
      <c r="EQ92" s="883">
        <f t="shared" ca="1" si="85"/>
        <v>0</v>
      </c>
      <c r="ER92" s="883">
        <f t="shared" ca="1" si="85"/>
        <v>0</v>
      </c>
      <c r="ES92" s="883">
        <f t="shared" ca="1" si="85"/>
        <v>0</v>
      </c>
      <c r="ET92" s="883">
        <f t="shared" ca="1" si="86"/>
        <v>0</v>
      </c>
      <c r="EU92" s="883">
        <f t="shared" ca="1" si="86"/>
        <v>0</v>
      </c>
      <c r="EV92" s="883">
        <f t="shared" ca="1" si="86"/>
        <v>0</v>
      </c>
      <c r="EW92" s="883">
        <f t="shared" ca="1" si="86"/>
        <v>0</v>
      </c>
      <c r="EX92" s="883">
        <f t="shared" ca="1" si="86"/>
        <v>0</v>
      </c>
      <c r="EY92" s="883">
        <f t="shared" ca="1" si="86"/>
        <v>0</v>
      </c>
      <c r="EZ92" s="883">
        <f t="shared" ca="1" si="86"/>
        <v>0</v>
      </c>
      <c r="FA92" s="883">
        <f t="shared" ca="1" si="86"/>
        <v>0</v>
      </c>
    </row>
    <row r="93" spans="8:157">
      <c r="H93" s="891" t="str">
        <f t="shared" ca="1" si="80"/>
        <v/>
      </c>
      <c r="I93" s="1206" t="e">
        <f t="shared" ca="1" si="77"/>
        <v>#N/A</v>
      </c>
      <c r="J93" s="1206">
        <f t="shared" ca="1" si="78"/>
        <v>0</v>
      </c>
      <c r="K93" s="929" t="str">
        <f t="shared" si="79"/>
        <v/>
      </c>
      <c r="L93" s="929" t="str">
        <f t="shared" si="81"/>
        <v/>
      </c>
      <c r="N93" s="1714">
        <v>23</v>
      </c>
      <c r="P93" s="882" t="e">
        <f ca="1">VLOOKUP(Q93,bond!B:AA,26,FALSE)</f>
        <v>#N/A</v>
      </c>
      <c r="Q93" s="928">
        <f ca="1">Change投!S35</f>
        <v>0</v>
      </c>
      <c r="R93" s="889">
        <f ca="1">IFERROR(IF(Q93="",0,IF($D$4=1,Change投!AC35*Change投!AJ35,Change投!AC35)),0)</f>
        <v>0</v>
      </c>
      <c r="S93" s="885" t="e">
        <f ca="1">Change投!W35</f>
        <v>#N/A</v>
      </c>
      <c r="T93" s="883">
        <f t="shared" ca="1" si="64"/>
        <v>0</v>
      </c>
      <c r="U93" s="885" t="str">
        <f ca="1">Change投!Z35</f>
        <v/>
      </c>
      <c r="V93" s="886" t="str">
        <f t="shared" ca="1" si="88"/>
        <v/>
      </c>
      <c r="W93" s="885" t="e">
        <f t="shared" ca="1" si="89"/>
        <v>#N/A</v>
      </c>
      <c r="X93" s="886" t="str">
        <f t="shared" ca="1" si="90"/>
        <v/>
      </c>
      <c r="Y93" s="887" t="str">
        <f ca="1">Change投!Y35</f>
        <v/>
      </c>
      <c r="Z93" s="886">
        <f ca="1">Change投!AC35</f>
        <v>0</v>
      </c>
      <c r="AA93" s="1205">
        <f ca="1">Change投!X35</f>
        <v>0</v>
      </c>
      <c r="AB93" s="881">
        <f ca="1">Change投!AJ35</f>
        <v>0</v>
      </c>
      <c r="AC93" s="887">
        <f t="shared" ca="1" si="61"/>
        <v>0</v>
      </c>
      <c r="AD93" s="883">
        <f t="shared" ca="1" si="96"/>
        <v>0</v>
      </c>
      <c r="AE93" s="883">
        <f t="shared" ca="1" si="96"/>
        <v>0</v>
      </c>
      <c r="AF93" s="883">
        <f t="shared" ca="1" si="96"/>
        <v>0</v>
      </c>
      <c r="AG93" s="883">
        <f t="shared" ca="1" si="96"/>
        <v>0</v>
      </c>
      <c r="AH93" s="883">
        <f t="shared" ca="1" si="96"/>
        <v>0</v>
      </c>
      <c r="AI93" s="883">
        <f t="shared" ca="1" si="96"/>
        <v>0</v>
      </c>
      <c r="AJ93" s="883">
        <f t="shared" ca="1" si="96"/>
        <v>0</v>
      </c>
      <c r="AK93" s="883">
        <f t="shared" ca="1" si="96"/>
        <v>0</v>
      </c>
      <c r="AL93" s="883">
        <f t="shared" ca="1" si="96"/>
        <v>0</v>
      </c>
      <c r="AM93" s="883">
        <f t="shared" ca="1" si="96"/>
        <v>0</v>
      </c>
      <c r="AN93" s="883">
        <f t="shared" ca="1" si="96"/>
        <v>0</v>
      </c>
      <c r="AO93" s="883">
        <f t="shared" ca="1" si="96"/>
        <v>0</v>
      </c>
      <c r="AP93" s="883">
        <f t="shared" ca="1" si="96"/>
        <v>0</v>
      </c>
      <c r="AQ93" s="883">
        <f t="shared" ca="1" si="96"/>
        <v>0</v>
      </c>
      <c r="AR93" s="883">
        <f t="shared" ca="1" si="96"/>
        <v>0</v>
      </c>
      <c r="AS93" s="883">
        <f t="shared" ca="1" si="96"/>
        <v>0</v>
      </c>
      <c r="AT93" s="883">
        <f t="shared" ca="1" si="95"/>
        <v>0</v>
      </c>
      <c r="AU93" s="883">
        <f t="shared" ca="1" si="95"/>
        <v>0</v>
      </c>
      <c r="AV93" s="883">
        <f t="shared" ca="1" si="95"/>
        <v>0</v>
      </c>
      <c r="AW93" s="883">
        <f t="shared" ca="1" si="95"/>
        <v>0</v>
      </c>
      <c r="AX93" s="883">
        <f t="shared" ca="1" si="95"/>
        <v>0</v>
      </c>
      <c r="AY93" s="883">
        <f t="shared" ca="1" si="95"/>
        <v>0</v>
      </c>
      <c r="AZ93" s="883">
        <f t="shared" ca="1" si="95"/>
        <v>0</v>
      </c>
      <c r="BA93" s="883">
        <f t="shared" ca="1" si="95"/>
        <v>0</v>
      </c>
      <c r="BB93" s="883">
        <f t="shared" ca="1" si="95"/>
        <v>0</v>
      </c>
      <c r="BC93" s="883">
        <f t="shared" ca="1" si="95"/>
        <v>0</v>
      </c>
      <c r="BD93" s="883">
        <f t="shared" ca="1" si="95"/>
        <v>0</v>
      </c>
      <c r="BE93" s="883">
        <f t="shared" ca="1" si="95"/>
        <v>0</v>
      </c>
      <c r="BF93" s="883">
        <f t="shared" ca="1" si="95"/>
        <v>0</v>
      </c>
      <c r="BG93" s="883">
        <f t="shared" ca="1" si="95"/>
        <v>0</v>
      </c>
      <c r="BH93" s="883">
        <f t="shared" ca="1" si="95"/>
        <v>0</v>
      </c>
      <c r="BI93" s="883">
        <f t="shared" ca="1" si="95"/>
        <v>0</v>
      </c>
      <c r="BJ93" s="883">
        <f t="shared" ca="1" si="91"/>
        <v>0</v>
      </c>
      <c r="BK93" s="883">
        <f t="shared" ca="1" si="92"/>
        <v>0</v>
      </c>
      <c r="BL93" s="883">
        <f t="shared" ca="1" si="92"/>
        <v>0</v>
      </c>
      <c r="BM93" s="883">
        <f t="shared" ca="1" si="92"/>
        <v>0</v>
      </c>
      <c r="BN93" s="883">
        <f t="shared" ca="1" si="92"/>
        <v>0</v>
      </c>
      <c r="BO93" s="883">
        <f t="shared" ca="1" si="92"/>
        <v>0</v>
      </c>
      <c r="BP93" s="883">
        <f t="shared" ca="1" si="92"/>
        <v>0</v>
      </c>
      <c r="BQ93" s="883">
        <f t="shared" ca="1" si="92"/>
        <v>0</v>
      </c>
      <c r="BR93" s="883">
        <f t="shared" ca="1" si="92"/>
        <v>0</v>
      </c>
      <c r="BS93" s="883">
        <f t="shared" ca="1" si="92"/>
        <v>0</v>
      </c>
      <c r="BT93" s="883">
        <f t="shared" ca="1" si="92"/>
        <v>0</v>
      </c>
      <c r="BU93" s="883">
        <f t="shared" ca="1" si="92"/>
        <v>0</v>
      </c>
      <c r="BV93" s="883">
        <f t="shared" ca="1" si="92"/>
        <v>0</v>
      </c>
      <c r="BW93" s="883">
        <f t="shared" ca="1" si="92"/>
        <v>0</v>
      </c>
      <c r="BX93" s="883">
        <f t="shared" ca="1" si="92"/>
        <v>0</v>
      </c>
      <c r="BY93" s="883">
        <f t="shared" ca="1" si="92"/>
        <v>0</v>
      </c>
      <c r="BZ93" s="883">
        <f t="shared" ca="1" si="92"/>
        <v>0</v>
      </c>
      <c r="CA93" s="883">
        <f t="shared" ca="1" si="93"/>
        <v>0</v>
      </c>
      <c r="CB93" s="883">
        <f t="shared" ca="1" si="93"/>
        <v>0</v>
      </c>
      <c r="CC93" s="883">
        <f t="shared" ca="1" si="93"/>
        <v>0</v>
      </c>
      <c r="CD93" s="883">
        <f t="shared" ca="1" si="93"/>
        <v>0</v>
      </c>
      <c r="CE93" s="883">
        <f t="shared" ca="1" si="93"/>
        <v>0</v>
      </c>
      <c r="CF93" s="883">
        <f t="shared" ca="1" si="93"/>
        <v>0</v>
      </c>
      <c r="CG93" s="883">
        <f t="shared" ca="1" si="93"/>
        <v>0</v>
      </c>
      <c r="CH93" s="883">
        <f t="shared" ca="1" si="93"/>
        <v>0</v>
      </c>
      <c r="CI93" s="883">
        <f t="shared" ca="1" si="93"/>
        <v>0</v>
      </c>
      <c r="CJ93" s="883">
        <f t="shared" ca="1" si="93"/>
        <v>0</v>
      </c>
      <c r="CK93" s="883">
        <f t="shared" ca="1" si="93"/>
        <v>0</v>
      </c>
      <c r="CL93" s="883">
        <f t="shared" ca="1" si="93"/>
        <v>0</v>
      </c>
      <c r="CM93" s="883">
        <f t="shared" ca="1" si="93"/>
        <v>0</v>
      </c>
      <c r="CN93" s="883">
        <f t="shared" ca="1" si="93"/>
        <v>0</v>
      </c>
      <c r="CO93" s="883">
        <f t="shared" ca="1" si="93"/>
        <v>0</v>
      </c>
      <c r="CP93" s="883">
        <f t="shared" ca="1" si="93"/>
        <v>0</v>
      </c>
      <c r="CQ93" s="883">
        <f t="shared" ca="1" si="94"/>
        <v>0</v>
      </c>
      <c r="CR93" s="883">
        <f t="shared" ca="1" si="87"/>
        <v>0</v>
      </c>
      <c r="CS93" s="883">
        <f t="shared" ca="1" si="87"/>
        <v>0</v>
      </c>
      <c r="CT93" s="883">
        <f t="shared" ca="1" si="87"/>
        <v>0</v>
      </c>
      <c r="CU93" s="883">
        <f t="shared" ca="1" si="87"/>
        <v>0</v>
      </c>
      <c r="CV93" s="883">
        <f t="shared" ca="1" si="87"/>
        <v>0</v>
      </c>
      <c r="CW93" s="883">
        <f t="shared" ca="1" si="87"/>
        <v>0</v>
      </c>
      <c r="CX93" s="883">
        <f t="shared" ca="1" si="87"/>
        <v>0</v>
      </c>
      <c r="CY93" s="883">
        <f t="shared" ca="1" si="87"/>
        <v>0</v>
      </c>
      <c r="CZ93" s="883">
        <f t="shared" ca="1" si="87"/>
        <v>0</v>
      </c>
      <c r="DA93" s="883">
        <f t="shared" ca="1" si="87"/>
        <v>0</v>
      </c>
      <c r="DB93" s="883">
        <f t="shared" ca="1" si="87"/>
        <v>0</v>
      </c>
      <c r="DC93" s="883">
        <f t="shared" ca="1" si="87"/>
        <v>0</v>
      </c>
      <c r="DD93" s="883">
        <f t="shared" ca="1" si="87"/>
        <v>0</v>
      </c>
      <c r="DE93" s="883">
        <f t="shared" ca="1" si="87"/>
        <v>0</v>
      </c>
      <c r="DF93" s="883">
        <f t="shared" ca="1" si="87"/>
        <v>0</v>
      </c>
      <c r="DG93" s="883">
        <f t="shared" ca="1" si="87"/>
        <v>0</v>
      </c>
      <c r="DH93" s="883">
        <f t="shared" ca="1" si="83"/>
        <v>0</v>
      </c>
      <c r="DI93" s="883">
        <f t="shared" ca="1" si="83"/>
        <v>0</v>
      </c>
      <c r="DJ93" s="883">
        <f t="shared" ca="1" si="83"/>
        <v>0</v>
      </c>
      <c r="DK93" s="883">
        <f t="shared" ca="1" si="83"/>
        <v>0</v>
      </c>
      <c r="DL93" s="883">
        <f t="shared" ca="1" si="83"/>
        <v>0</v>
      </c>
      <c r="DM93" s="883">
        <f t="shared" ca="1" si="83"/>
        <v>0</v>
      </c>
      <c r="DN93" s="883">
        <f t="shared" ca="1" si="84"/>
        <v>0</v>
      </c>
      <c r="DO93" s="883">
        <f t="shared" ca="1" si="84"/>
        <v>0</v>
      </c>
      <c r="DP93" s="883">
        <f t="shared" ca="1" si="84"/>
        <v>0</v>
      </c>
      <c r="DQ93" s="883">
        <f t="shared" ca="1" si="84"/>
        <v>0</v>
      </c>
      <c r="DR93" s="883">
        <f t="shared" ca="1" si="84"/>
        <v>0</v>
      </c>
      <c r="DS93" s="883">
        <f t="shared" ca="1" si="84"/>
        <v>0</v>
      </c>
      <c r="DT93" s="883">
        <f t="shared" ca="1" si="84"/>
        <v>0</v>
      </c>
      <c r="DU93" s="883">
        <f t="shared" ca="1" si="84"/>
        <v>0</v>
      </c>
      <c r="DV93" s="883">
        <f t="shared" ca="1" si="84"/>
        <v>0</v>
      </c>
      <c r="DW93" s="883">
        <f t="shared" ca="1" si="84"/>
        <v>0</v>
      </c>
      <c r="DX93" s="883">
        <f t="shared" ca="1" si="84"/>
        <v>0</v>
      </c>
      <c r="DY93" s="883">
        <f t="shared" ca="1" si="84"/>
        <v>0</v>
      </c>
      <c r="DZ93" s="883">
        <f t="shared" ca="1" si="84"/>
        <v>0</v>
      </c>
      <c r="EA93" s="883">
        <f t="shared" ca="1" si="84"/>
        <v>0</v>
      </c>
      <c r="EB93" s="883">
        <f t="shared" ca="1" si="84"/>
        <v>0</v>
      </c>
      <c r="EC93" s="883">
        <f t="shared" ref="DN93:EC106" ca="1" si="97">IFERROR(IF(YEAR($W93)&lt;EC$4,0,IF(YEAR($W93)=EC$4,IF($P93="美國國庫債券",ROUND(DATEDIF($U93,$W93,"M")/(12/$Y93),0)+1,DATEDIF($U93,$W93,"M")/(12/$Y93)+1),INT(DATEDIF($U93,EC$5,"M")/(12/$Y93))+1)),0)</f>
        <v>0</v>
      </c>
      <c r="ED93" s="883">
        <f t="shared" ca="1" si="85"/>
        <v>0</v>
      </c>
      <c r="EE93" s="883">
        <f t="shared" ca="1" si="85"/>
        <v>0</v>
      </c>
      <c r="EF93" s="883">
        <f t="shared" ca="1" si="85"/>
        <v>0</v>
      </c>
      <c r="EG93" s="883">
        <f t="shared" ca="1" si="85"/>
        <v>0</v>
      </c>
      <c r="EH93" s="883">
        <f t="shared" ca="1" si="85"/>
        <v>0</v>
      </c>
      <c r="EI93" s="883">
        <f t="shared" ca="1" si="85"/>
        <v>0</v>
      </c>
      <c r="EJ93" s="883">
        <f t="shared" ca="1" si="85"/>
        <v>0</v>
      </c>
      <c r="EK93" s="883">
        <f t="shared" ca="1" si="85"/>
        <v>0</v>
      </c>
      <c r="EL93" s="883">
        <f t="shared" ca="1" si="85"/>
        <v>0</v>
      </c>
      <c r="EM93" s="883">
        <f t="shared" ca="1" si="85"/>
        <v>0</v>
      </c>
      <c r="EN93" s="883">
        <f t="shared" ca="1" si="85"/>
        <v>0</v>
      </c>
      <c r="EO93" s="883">
        <f t="shared" ca="1" si="85"/>
        <v>0</v>
      </c>
      <c r="EP93" s="883">
        <f t="shared" ca="1" si="85"/>
        <v>0</v>
      </c>
      <c r="EQ93" s="883">
        <f t="shared" ca="1" si="85"/>
        <v>0</v>
      </c>
      <c r="ER93" s="883">
        <f t="shared" ca="1" si="85"/>
        <v>0</v>
      </c>
      <c r="ES93" s="883">
        <f t="shared" ref="ED93:ES106" ca="1" si="98">IFERROR(IF(YEAR($W93)&lt;ES$4,0,IF(YEAR($W93)=ES$4,IF($P93="美國國庫債券",ROUND(DATEDIF($U93,$W93,"M")/(12/$Y93),0)+1,DATEDIF($U93,$W93,"M")/(12/$Y93)+1),INT(DATEDIF($U93,ES$5,"M")/(12/$Y93))+1)),0)</f>
        <v>0</v>
      </c>
      <c r="ET93" s="883">
        <f t="shared" ca="1" si="86"/>
        <v>0</v>
      </c>
      <c r="EU93" s="883">
        <f t="shared" ca="1" si="86"/>
        <v>0</v>
      </c>
      <c r="EV93" s="883">
        <f t="shared" ca="1" si="86"/>
        <v>0</v>
      </c>
      <c r="EW93" s="883">
        <f t="shared" ca="1" si="86"/>
        <v>0</v>
      </c>
      <c r="EX93" s="883">
        <f t="shared" ca="1" si="86"/>
        <v>0</v>
      </c>
      <c r="EY93" s="883">
        <f t="shared" ca="1" si="86"/>
        <v>0</v>
      </c>
      <c r="EZ93" s="883">
        <f t="shared" ca="1" si="86"/>
        <v>0</v>
      </c>
      <c r="FA93" s="883">
        <f t="shared" ca="1" si="86"/>
        <v>0</v>
      </c>
    </row>
    <row r="94" spans="8:157">
      <c r="H94" s="891" t="str">
        <f t="shared" ca="1" si="80"/>
        <v/>
      </c>
      <c r="I94" s="1206" t="e">
        <f t="shared" ca="1" si="77"/>
        <v>#N/A</v>
      </c>
      <c r="J94" s="1206">
        <f t="shared" ca="1" si="78"/>
        <v>0</v>
      </c>
      <c r="K94" s="929" t="str">
        <f t="shared" si="79"/>
        <v/>
      </c>
      <c r="L94" s="929" t="str">
        <f t="shared" si="81"/>
        <v/>
      </c>
      <c r="N94" s="1714">
        <v>24</v>
      </c>
      <c r="P94" s="882" t="e">
        <f ca="1">VLOOKUP(Q94,bond!B:AA,26,FALSE)</f>
        <v>#N/A</v>
      </c>
      <c r="Q94" s="928">
        <f ca="1">Change投!S36</f>
        <v>0</v>
      </c>
      <c r="R94" s="889">
        <f ca="1">IFERROR(IF(Q94="",0,IF($D$4=1,Change投!AC36*Change投!AJ36,Change投!AC36)),0)</f>
        <v>0</v>
      </c>
      <c r="S94" s="885" t="e">
        <f ca="1">Change投!W36</f>
        <v>#N/A</v>
      </c>
      <c r="T94" s="883">
        <f t="shared" ca="1" si="64"/>
        <v>0</v>
      </c>
      <c r="U94" s="885" t="str">
        <f ca="1">Change投!Z36</f>
        <v/>
      </c>
      <c r="V94" s="886" t="str">
        <f t="shared" ca="1" si="88"/>
        <v/>
      </c>
      <c r="W94" s="885" t="e">
        <f t="shared" ca="1" si="89"/>
        <v>#N/A</v>
      </c>
      <c r="X94" s="886" t="str">
        <f t="shared" ca="1" si="90"/>
        <v/>
      </c>
      <c r="Y94" s="887" t="str">
        <f ca="1">Change投!Y36</f>
        <v/>
      </c>
      <c r="Z94" s="886">
        <f ca="1">Change投!AC36</f>
        <v>0</v>
      </c>
      <c r="AA94" s="1205">
        <f ca="1">Change投!X36</f>
        <v>0</v>
      </c>
      <c r="AB94" s="881">
        <f ca="1">Change投!AJ36</f>
        <v>0</v>
      </c>
      <c r="AC94" s="887">
        <f t="shared" ca="1" si="61"/>
        <v>0</v>
      </c>
      <c r="AD94" s="883">
        <f t="shared" ca="1" si="96"/>
        <v>0</v>
      </c>
      <c r="AE94" s="883">
        <f t="shared" ca="1" si="96"/>
        <v>0</v>
      </c>
      <c r="AF94" s="883">
        <f t="shared" ca="1" si="96"/>
        <v>0</v>
      </c>
      <c r="AG94" s="883">
        <f t="shared" ca="1" si="96"/>
        <v>0</v>
      </c>
      <c r="AH94" s="883">
        <f t="shared" ca="1" si="96"/>
        <v>0</v>
      </c>
      <c r="AI94" s="883">
        <f t="shared" ca="1" si="96"/>
        <v>0</v>
      </c>
      <c r="AJ94" s="883">
        <f t="shared" ca="1" si="96"/>
        <v>0</v>
      </c>
      <c r="AK94" s="883">
        <f t="shared" ca="1" si="96"/>
        <v>0</v>
      </c>
      <c r="AL94" s="883">
        <f t="shared" ca="1" si="96"/>
        <v>0</v>
      </c>
      <c r="AM94" s="883">
        <f t="shared" ca="1" si="96"/>
        <v>0</v>
      </c>
      <c r="AN94" s="883">
        <f t="shared" ca="1" si="96"/>
        <v>0</v>
      </c>
      <c r="AO94" s="883">
        <f t="shared" ca="1" si="96"/>
        <v>0</v>
      </c>
      <c r="AP94" s="883">
        <f t="shared" ca="1" si="96"/>
        <v>0</v>
      </c>
      <c r="AQ94" s="883">
        <f t="shared" ca="1" si="96"/>
        <v>0</v>
      </c>
      <c r="AR94" s="883">
        <f t="shared" ca="1" si="96"/>
        <v>0</v>
      </c>
      <c r="AS94" s="883">
        <f t="shared" ca="1" si="96"/>
        <v>0</v>
      </c>
      <c r="AT94" s="883">
        <f t="shared" ca="1" si="95"/>
        <v>0</v>
      </c>
      <c r="AU94" s="883">
        <f t="shared" ca="1" si="95"/>
        <v>0</v>
      </c>
      <c r="AV94" s="883">
        <f t="shared" ca="1" si="95"/>
        <v>0</v>
      </c>
      <c r="AW94" s="883">
        <f t="shared" ca="1" si="95"/>
        <v>0</v>
      </c>
      <c r="AX94" s="883">
        <f t="shared" ca="1" si="95"/>
        <v>0</v>
      </c>
      <c r="AY94" s="883">
        <f t="shared" ca="1" si="95"/>
        <v>0</v>
      </c>
      <c r="AZ94" s="883">
        <f t="shared" ca="1" si="95"/>
        <v>0</v>
      </c>
      <c r="BA94" s="883">
        <f t="shared" ca="1" si="95"/>
        <v>0</v>
      </c>
      <c r="BB94" s="883">
        <f t="shared" ca="1" si="95"/>
        <v>0</v>
      </c>
      <c r="BC94" s="883">
        <f t="shared" ca="1" si="95"/>
        <v>0</v>
      </c>
      <c r="BD94" s="883">
        <f t="shared" ca="1" si="95"/>
        <v>0</v>
      </c>
      <c r="BE94" s="883">
        <f t="shared" ca="1" si="95"/>
        <v>0</v>
      </c>
      <c r="BF94" s="883">
        <f t="shared" ca="1" si="95"/>
        <v>0</v>
      </c>
      <c r="BG94" s="883">
        <f t="shared" ca="1" si="95"/>
        <v>0</v>
      </c>
      <c r="BH94" s="883">
        <f t="shared" ca="1" si="95"/>
        <v>0</v>
      </c>
      <c r="BI94" s="883">
        <f t="shared" ca="1" si="95"/>
        <v>0</v>
      </c>
      <c r="BJ94" s="883">
        <f t="shared" ca="1" si="91"/>
        <v>0</v>
      </c>
      <c r="BK94" s="883">
        <f t="shared" ca="1" si="92"/>
        <v>0</v>
      </c>
      <c r="BL94" s="883">
        <f t="shared" ca="1" si="92"/>
        <v>0</v>
      </c>
      <c r="BM94" s="883">
        <f t="shared" ca="1" si="92"/>
        <v>0</v>
      </c>
      <c r="BN94" s="883">
        <f t="shared" ca="1" si="92"/>
        <v>0</v>
      </c>
      <c r="BO94" s="883">
        <f t="shared" ca="1" si="92"/>
        <v>0</v>
      </c>
      <c r="BP94" s="883">
        <f t="shared" ca="1" si="92"/>
        <v>0</v>
      </c>
      <c r="BQ94" s="883">
        <f t="shared" ca="1" si="92"/>
        <v>0</v>
      </c>
      <c r="BR94" s="883">
        <f t="shared" ca="1" si="92"/>
        <v>0</v>
      </c>
      <c r="BS94" s="883">
        <f t="shared" ca="1" si="92"/>
        <v>0</v>
      </c>
      <c r="BT94" s="883">
        <f t="shared" ca="1" si="92"/>
        <v>0</v>
      </c>
      <c r="BU94" s="883">
        <f t="shared" ca="1" si="92"/>
        <v>0</v>
      </c>
      <c r="BV94" s="883">
        <f t="shared" ca="1" si="92"/>
        <v>0</v>
      </c>
      <c r="BW94" s="883">
        <f t="shared" ca="1" si="92"/>
        <v>0</v>
      </c>
      <c r="BX94" s="883">
        <f t="shared" ca="1" si="92"/>
        <v>0</v>
      </c>
      <c r="BY94" s="883">
        <f t="shared" ca="1" si="92"/>
        <v>0</v>
      </c>
      <c r="BZ94" s="883">
        <f t="shared" ca="1" si="92"/>
        <v>0</v>
      </c>
      <c r="CA94" s="883">
        <f t="shared" ca="1" si="93"/>
        <v>0</v>
      </c>
      <c r="CB94" s="883">
        <f t="shared" ca="1" si="93"/>
        <v>0</v>
      </c>
      <c r="CC94" s="883">
        <f t="shared" ca="1" si="93"/>
        <v>0</v>
      </c>
      <c r="CD94" s="883">
        <f t="shared" ca="1" si="93"/>
        <v>0</v>
      </c>
      <c r="CE94" s="883">
        <f t="shared" ca="1" si="93"/>
        <v>0</v>
      </c>
      <c r="CF94" s="883">
        <f t="shared" ca="1" si="93"/>
        <v>0</v>
      </c>
      <c r="CG94" s="883">
        <f t="shared" ca="1" si="93"/>
        <v>0</v>
      </c>
      <c r="CH94" s="883">
        <f t="shared" ca="1" si="93"/>
        <v>0</v>
      </c>
      <c r="CI94" s="883">
        <f t="shared" ca="1" si="93"/>
        <v>0</v>
      </c>
      <c r="CJ94" s="883">
        <f t="shared" ca="1" si="93"/>
        <v>0</v>
      </c>
      <c r="CK94" s="883">
        <f t="shared" ca="1" si="93"/>
        <v>0</v>
      </c>
      <c r="CL94" s="883">
        <f t="shared" ca="1" si="93"/>
        <v>0</v>
      </c>
      <c r="CM94" s="883">
        <f t="shared" ca="1" si="93"/>
        <v>0</v>
      </c>
      <c r="CN94" s="883">
        <f t="shared" ca="1" si="93"/>
        <v>0</v>
      </c>
      <c r="CO94" s="883">
        <f t="shared" ca="1" si="93"/>
        <v>0</v>
      </c>
      <c r="CP94" s="883">
        <f t="shared" ca="1" si="93"/>
        <v>0</v>
      </c>
      <c r="CQ94" s="883">
        <f t="shared" ca="1" si="94"/>
        <v>0</v>
      </c>
      <c r="CR94" s="883">
        <f t="shared" ca="1" si="87"/>
        <v>0</v>
      </c>
      <c r="CS94" s="883">
        <f t="shared" ca="1" si="87"/>
        <v>0</v>
      </c>
      <c r="CT94" s="883">
        <f t="shared" ca="1" si="87"/>
        <v>0</v>
      </c>
      <c r="CU94" s="883">
        <f t="shared" ca="1" si="87"/>
        <v>0</v>
      </c>
      <c r="CV94" s="883">
        <f t="shared" ca="1" si="87"/>
        <v>0</v>
      </c>
      <c r="CW94" s="883">
        <f t="shared" ca="1" si="87"/>
        <v>0</v>
      </c>
      <c r="CX94" s="883">
        <f t="shared" ca="1" si="87"/>
        <v>0</v>
      </c>
      <c r="CY94" s="883">
        <f t="shared" ca="1" si="87"/>
        <v>0</v>
      </c>
      <c r="CZ94" s="883">
        <f t="shared" ca="1" si="87"/>
        <v>0</v>
      </c>
      <c r="DA94" s="883">
        <f t="shared" ca="1" si="87"/>
        <v>0</v>
      </c>
      <c r="DB94" s="883">
        <f t="shared" ca="1" si="87"/>
        <v>0</v>
      </c>
      <c r="DC94" s="883">
        <f t="shared" ca="1" si="87"/>
        <v>0</v>
      </c>
      <c r="DD94" s="883">
        <f t="shared" ca="1" si="87"/>
        <v>0</v>
      </c>
      <c r="DE94" s="883">
        <f t="shared" ca="1" si="87"/>
        <v>0</v>
      </c>
      <c r="DF94" s="883">
        <f t="shared" ca="1" si="87"/>
        <v>0</v>
      </c>
      <c r="DG94" s="883">
        <f t="shared" ref="DG94:DM106" ca="1" si="99">IFERROR(IF(YEAR($W94)&lt;DG$4,0,IF(YEAR($W94)=DG$4,IF($P94="美國國庫債券",ROUND(DATEDIF($U94,$W94,"M")/(12/$Y94),0)+1,DATEDIF($U94,$W94,"M")/(12/$Y94)+1),INT(DATEDIF($U94,DG$5,"M")/(12/$Y94))+1)),0)</f>
        <v>0</v>
      </c>
      <c r="DH94" s="883">
        <f t="shared" ca="1" si="99"/>
        <v>0</v>
      </c>
      <c r="DI94" s="883">
        <f t="shared" ca="1" si="99"/>
        <v>0</v>
      </c>
      <c r="DJ94" s="883">
        <f t="shared" ca="1" si="99"/>
        <v>0</v>
      </c>
      <c r="DK94" s="883">
        <f t="shared" ca="1" si="99"/>
        <v>0</v>
      </c>
      <c r="DL94" s="883">
        <f t="shared" ca="1" si="99"/>
        <v>0</v>
      </c>
      <c r="DM94" s="883">
        <f t="shared" ca="1" si="99"/>
        <v>0</v>
      </c>
      <c r="DN94" s="883">
        <f t="shared" ca="1" si="97"/>
        <v>0</v>
      </c>
      <c r="DO94" s="883">
        <f t="shared" ca="1" si="97"/>
        <v>0</v>
      </c>
      <c r="DP94" s="883">
        <f t="shared" ca="1" si="97"/>
        <v>0</v>
      </c>
      <c r="DQ94" s="883">
        <f t="shared" ca="1" si="97"/>
        <v>0</v>
      </c>
      <c r="DR94" s="883">
        <f t="shared" ca="1" si="97"/>
        <v>0</v>
      </c>
      <c r="DS94" s="883">
        <f t="shared" ca="1" si="97"/>
        <v>0</v>
      </c>
      <c r="DT94" s="883">
        <f t="shared" ca="1" si="97"/>
        <v>0</v>
      </c>
      <c r="DU94" s="883">
        <f t="shared" ca="1" si="97"/>
        <v>0</v>
      </c>
      <c r="DV94" s="883">
        <f t="shared" ca="1" si="97"/>
        <v>0</v>
      </c>
      <c r="DW94" s="883">
        <f t="shared" ca="1" si="97"/>
        <v>0</v>
      </c>
      <c r="DX94" s="883">
        <f t="shared" ca="1" si="97"/>
        <v>0</v>
      </c>
      <c r="DY94" s="883">
        <f t="shared" ca="1" si="97"/>
        <v>0</v>
      </c>
      <c r="DZ94" s="883">
        <f t="shared" ca="1" si="97"/>
        <v>0</v>
      </c>
      <c r="EA94" s="883">
        <f t="shared" ca="1" si="97"/>
        <v>0</v>
      </c>
      <c r="EB94" s="883">
        <f t="shared" ca="1" si="97"/>
        <v>0</v>
      </c>
      <c r="EC94" s="883">
        <f t="shared" ca="1" si="97"/>
        <v>0</v>
      </c>
      <c r="ED94" s="883">
        <f t="shared" ca="1" si="98"/>
        <v>0</v>
      </c>
      <c r="EE94" s="883">
        <f t="shared" ca="1" si="98"/>
        <v>0</v>
      </c>
      <c r="EF94" s="883">
        <f t="shared" ca="1" si="98"/>
        <v>0</v>
      </c>
      <c r="EG94" s="883">
        <f t="shared" ca="1" si="98"/>
        <v>0</v>
      </c>
      <c r="EH94" s="883">
        <f t="shared" ca="1" si="98"/>
        <v>0</v>
      </c>
      <c r="EI94" s="883">
        <f t="shared" ca="1" si="98"/>
        <v>0</v>
      </c>
      <c r="EJ94" s="883">
        <f t="shared" ca="1" si="98"/>
        <v>0</v>
      </c>
      <c r="EK94" s="883">
        <f t="shared" ca="1" si="98"/>
        <v>0</v>
      </c>
      <c r="EL94" s="883">
        <f t="shared" ca="1" si="98"/>
        <v>0</v>
      </c>
      <c r="EM94" s="883">
        <f t="shared" ca="1" si="98"/>
        <v>0</v>
      </c>
      <c r="EN94" s="883">
        <f t="shared" ca="1" si="98"/>
        <v>0</v>
      </c>
      <c r="EO94" s="883">
        <f t="shared" ca="1" si="98"/>
        <v>0</v>
      </c>
      <c r="EP94" s="883">
        <f t="shared" ca="1" si="98"/>
        <v>0</v>
      </c>
      <c r="EQ94" s="883">
        <f t="shared" ca="1" si="98"/>
        <v>0</v>
      </c>
      <c r="ER94" s="883">
        <f t="shared" ca="1" si="98"/>
        <v>0</v>
      </c>
      <c r="ES94" s="883">
        <f t="shared" ca="1" si="98"/>
        <v>0</v>
      </c>
      <c r="ET94" s="883">
        <f t="shared" ref="ET94:FA106" ca="1" si="100">IFERROR(IF(YEAR($W94)&lt;ET$4,0,IF(YEAR($W94)=ET$4,IF($P94="美國國庫債券",ROUND(DATEDIF($U94,$W94,"M")/(12/$Y94),0)+1,DATEDIF($U94,$W94,"M")/(12/$Y94)+1),INT(DATEDIF($U94,ET$5,"M")/(12/$Y94))+1)),0)</f>
        <v>0</v>
      </c>
      <c r="EU94" s="883">
        <f t="shared" ca="1" si="100"/>
        <v>0</v>
      </c>
      <c r="EV94" s="883">
        <f t="shared" ca="1" si="100"/>
        <v>0</v>
      </c>
      <c r="EW94" s="883">
        <f t="shared" ca="1" si="100"/>
        <v>0</v>
      </c>
      <c r="EX94" s="883">
        <f t="shared" ca="1" si="100"/>
        <v>0</v>
      </c>
      <c r="EY94" s="883">
        <f t="shared" ca="1" si="100"/>
        <v>0</v>
      </c>
      <c r="EZ94" s="883">
        <f t="shared" ca="1" si="100"/>
        <v>0</v>
      </c>
      <c r="FA94" s="883">
        <f t="shared" ca="1" si="100"/>
        <v>0</v>
      </c>
    </row>
    <row r="95" spans="8:157">
      <c r="H95" s="891" t="str">
        <f t="shared" ca="1" si="80"/>
        <v/>
      </c>
      <c r="I95" s="1206" t="e">
        <f t="shared" ca="1" si="77"/>
        <v>#N/A</v>
      </c>
      <c r="J95" s="1206">
        <f t="shared" ca="1" si="78"/>
        <v>0</v>
      </c>
      <c r="K95" s="929" t="str">
        <f t="shared" si="79"/>
        <v/>
      </c>
      <c r="L95" s="929" t="str">
        <f t="shared" si="81"/>
        <v/>
      </c>
      <c r="N95" s="1714">
        <v>25</v>
      </c>
      <c r="P95" s="882" t="e">
        <f ca="1">VLOOKUP(Q95,bond!B:AA,26,FALSE)</f>
        <v>#N/A</v>
      </c>
      <c r="Q95" s="928">
        <f ca="1">Change投!S37</f>
        <v>0</v>
      </c>
      <c r="R95" s="889">
        <f ca="1">IFERROR(IF(Q95="",0,IF($D$4=1,Change投!AC37*Change投!AJ37,Change投!AC37)),0)</f>
        <v>0</v>
      </c>
      <c r="S95" s="885" t="e">
        <f ca="1">Change投!W37</f>
        <v>#N/A</v>
      </c>
      <c r="T95" s="883">
        <f t="shared" ca="1" si="64"/>
        <v>0</v>
      </c>
      <c r="U95" s="885" t="str">
        <f ca="1">Change投!Z37</f>
        <v/>
      </c>
      <c r="V95" s="886" t="str">
        <f t="shared" ca="1" si="88"/>
        <v/>
      </c>
      <c r="W95" s="885" t="e">
        <f t="shared" ca="1" si="89"/>
        <v>#N/A</v>
      </c>
      <c r="X95" s="886" t="str">
        <f t="shared" ca="1" si="90"/>
        <v/>
      </c>
      <c r="Y95" s="887" t="str">
        <f ca="1">Change投!Y37</f>
        <v/>
      </c>
      <c r="Z95" s="886">
        <f ca="1">Change投!AC37</f>
        <v>0</v>
      </c>
      <c r="AA95" s="1205">
        <f ca="1">Change投!X37</f>
        <v>0</v>
      </c>
      <c r="AB95" s="881">
        <f ca="1">Change投!AJ37</f>
        <v>0</v>
      </c>
      <c r="AC95" s="887">
        <f t="shared" ca="1" si="61"/>
        <v>0</v>
      </c>
      <c r="AD95" s="883">
        <f t="shared" ca="1" si="96"/>
        <v>0</v>
      </c>
      <c r="AE95" s="883">
        <f t="shared" ca="1" si="96"/>
        <v>0</v>
      </c>
      <c r="AF95" s="883">
        <f t="shared" ca="1" si="96"/>
        <v>0</v>
      </c>
      <c r="AG95" s="883">
        <f t="shared" ca="1" si="96"/>
        <v>0</v>
      </c>
      <c r="AH95" s="883">
        <f t="shared" ca="1" si="96"/>
        <v>0</v>
      </c>
      <c r="AI95" s="883">
        <f t="shared" ca="1" si="96"/>
        <v>0</v>
      </c>
      <c r="AJ95" s="883">
        <f t="shared" ca="1" si="96"/>
        <v>0</v>
      </c>
      <c r="AK95" s="883">
        <f t="shared" ca="1" si="96"/>
        <v>0</v>
      </c>
      <c r="AL95" s="883">
        <f t="shared" ca="1" si="96"/>
        <v>0</v>
      </c>
      <c r="AM95" s="883">
        <f t="shared" ca="1" si="96"/>
        <v>0</v>
      </c>
      <c r="AN95" s="883">
        <f t="shared" ca="1" si="96"/>
        <v>0</v>
      </c>
      <c r="AO95" s="883">
        <f t="shared" ca="1" si="96"/>
        <v>0</v>
      </c>
      <c r="AP95" s="883">
        <f t="shared" ca="1" si="96"/>
        <v>0</v>
      </c>
      <c r="AQ95" s="883">
        <f t="shared" ca="1" si="96"/>
        <v>0</v>
      </c>
      <c r="AR95" s="883">
        <f t="shared" ca="1" si="96"/>
        <v>0</v>
      </c>
      <c r="AS95" s="883">
        <f t="shared" ca="1" si="96"/>
        <v>0</v>
      </c>
      <c r="AT95" s="883">
        <f t="shared" ca="1" si="95"/>
        <v>0</v>
      </c>
      <c r="AU95" s="883">
        <f t="shared" ca="1" si="95"/>
        <v>0</v>
      </c>
      <c r="AV95" s="883">
        <f t="shared" ca="1" si="95"/>
        <v>0</v>
      </c>
      <c r="AW95" s="883">
        <f t="shared" ca="1" si="95"/>
        <v>0</v>
      </c>
      <c r="AX95" s="883">
        <f t="shared" ca="1" si="95"/>
        <v>0</v>
      </c>
      <c r="AY95" s="883">
        <f t="shared" ca="1" si="95"/>
        <v>0</v>
      </c>
      <c r="AZ95" s="883">
        <f t="shared" ca="1" si="95"/>
        <v>0</v>
      </c>
      <c r="BA95" s="883">
        <f t="shared" ca="1" si="95"/>
        <v>0</v>
      </c>
      <c r="BB95" s="883">
        <f t="shared" ca="1" si="95"/>
        <v>0</v>
      </c>
      <c r="BC95" s="883">
        <f t="shared" ca="1" si="95"/>
        <v>0</v>
      </c>
      <c r="BD95" s="883">
        <f t="shared" ca="1" si="95"/>
        <v>0</v>
      </c>
      <c r="BE95" s="883">
        <f t="shared" ca="1" si="95"/>
        <v>0</v>
      </c>
      <c r="BF95" s="883">
        <f t="shared" ca="1" si="95"/>
        <v>0</v>
      </c>
      <c r="BG95" s="883">
        <f t="shared" ca="1" si="95"/>
        <v>0</v>
      </c>
      <c r="BH95" s="883">
        <f t="shared" ca="1" si="95"/>
        <v>0</v>
      </c>
      <c r="BI95" s="883">
        <f t="shared" ca="1" si="95"/>
        <v>0</v>
      </c>
      <c r="BJ95" s="883">
        <f t="shared" ca="1" si="91"/>
        <v>0</v>
      </c>
      <c r="BK95" s="883">
        <f t="shared" ca="1" si="92"/>
        <v>0</v>
      </c>
      <c r="BL95" s="883">
        <f t="shared" ca="1" si="92"/>
        <v>0</v>
      </c>
      <c r="BM95" s="883">
        <f t="shared" ca="1" si="92"/>
        <v>0</v>
      </c>
      <c r="BN95" s="883">
        <f t="shared" ca="1" si="92"/>
        <v>0</v>
      </c>
      <c r="BO95" s="883">
        <f t="shared" ca="1" si="92"/>
        <v>0</v>
      </c>
      <c r="BP95" s="883">
        <f t="shared" ca="1" si="92"/>
        <v>0</v>
      </c>
      <c r="BQ95" s="883">
        <f t="shared" ca="1" si="92"/>
        <v>0</v>
      </c>
      <c r="BR95" s="883">
        <f t="shared" ca="1" si="92"/>
        <v>0</v>
      </c>
      <c r="BS95" s="883">
        <f t="shared" ca="1" si="92"/>
        <v>0</v>
      </c>
      <c r="BT95" s="883">
        <f t="shared" ca="1" si="92"/>
        <v>0</v>
      </c>
      <c r="BU95" s="883">
        <f t="shared" ca="1" si="92"/>
        <v>0</v>
      </c>
      <c r="BV95" s="883">
        <f t="shared" ca="1" si="92"/>
        <v>0</v>
      </c>
      <c r="BW95" s="883">
        <f t="shared" ca="1" si="92"/>
        <v>0</v>
      </c>
      <c r="BX95" s="883">
        <f t="shared" ca="1" si="92"/>
        <v>0</v>
      </c>
      <c r="BY95" s="883">
        <f t="shared" ca="1" si="92"/>
        <v>0</v>
      </c>
      <c r="BZ95" s="883">
        <f t="shared" ca="1" si="92"/>
        <v>0</v>
      </c>
      <c r="CA95" s="883">
        <f t="shared" ca="1" si="93"/>
        <v>0</v>
      </c>
      <c r="CB95" s="883">
        <f t="shared" ca="1" si="93"/>
        <v>0</v>
      </c>
      <c r="CC95" s="883">
        <f t="shared" ca="1" si="93"/>
        <v>0</v>
      </c>
      <c r="CD95" s="883">
        <f t="shared" ca="1" si="93"/>
        <v>0</v>
      </c>
      <c r="CE95" s="883">
        <f t="shared" ca="1" si="93"/>
        <v>0</v>
      </c>
      <c r="CF95" s="883">
        <f t="shared" ca="1" si="93"/>
        <v>0</v>
      </c>
      <c r="CG95" s="883">
        <f t="shared" ca="1" si="93"/>
        <v>0</v>
      </c>
      <c r="CH95" s="883">
        <f t="shared" ca="1" si="93"/>
        <v>0</v>
      </c>
      <c r="CI95" s="883">
        <f t="shared" ca="1" si="93"/>
        <v>0</v>
      </c>
      <c r="CJ95" s="883">
        <f t="shared" ca="1" si="93"/>
        <v>0</v>
      </c>
      <c r="CK95" s="883">
        <f t="shared" ca="1" si="93"/>
        <v>0</v>
      </c>
      <c r="CL95" s="883">
        <f t="shared" ca="1" si="93"/>
        <v>0</v>
      </c>
      <c r="CM95" s="883">
        <f t="shared" ca="1" si="93"/>
        <v>0</v>
      </c>
      <c r="CN95" s="883">
        <f t="shared" ca="1" si="93"/>
        <v>0</v>
      </c>
      <c r="CO95" s="883">
        <f t="shared" ca="1" si="93"/>
        <v>0</v>
      </c>
      <c r="CP95" s="883">
        <f t="shared" ca="1" si="93"/>
        <v>0</v>
      </c>
      <c r="CQ95" s="883">
        <f t="shared" ca="1" si="94"/>
        <v>0</v>
      </c>
      <c r="CR95" s="883">
        <f t="shared" ca="1" si="94"/>
        <v>0</v>
      </c>
      <c r="CS95" s="883">
        <f t="shared" ca="1" si="94"/>
        <v>0</v>
      </c>
      <c r="CT95" s="883">
        <f t="shared" ca="1" si="94"/>
        <v>0</v>
      </c>
      <c r="CU95" s="883">
        <f t="shared" ca="1" si="94"/>
        <v>0</v>
      </c>
      <c r="CV95" s="883">
        <f t="shared" ca="1" si="94"/>
        <v>0</v>
      </c>
      <c r="CW95" s="883">
        <f t="shared" ca="1" si="94"/>
        <v>0</v>
      </c>
      <c r="CX95" s="883">
        <f t="shared" ca="1" si="94"/>
        <v>0</v>
      </c>
      <c r="CY95" s="883">
        <f t="shared" ca="1" si="94"/>
        <v>0</v>
      </c>
      <c r="CZ95" s="883">
        <f t="shared" ca="1" si="94"/>
        <v>0</v>
      </c>
      <c r="DA95" s="883">
        <f t="shared" ca="1" si="94"/>
        <v>0</v>
      </c>
      <c r="DB95" s="883">
        <f t="shared" ca="1" si="94"/>
        <v>0</v>
      </c>
      <c r="DC95" s="883">
        <f t="shared" ca="1" si="94"/>
        <v>0</v>
      </c>
      <c r="DD95" s="883">
        <f t="shared" ca="1" si="94"/>
        <v>0</v>
      </c>
      <c r="DE95" s="883">
        <f t="shared" ca="1" si="94"/>
        <v>0</v>
      </c>
      <c r="DF95" s="883">
        <f t="shared" ca="1" si="94"/>
        <v>0</v>
      </c>
      <c r="DG95" s="883">
        <f t="shared" ca="1" si="99"/>
        <v>0</v>
      </c>
      <c r="DH95" s="883">
        <f t="shared" ca="1" si="99"/>
        <v>0</v>
      </c>
      <c r="DI95" s="883">
        <f t="shared" ca="1" si="99"/>
        <v>0</v>
      </c>
      <c r="DJ95" s="883">
        <f t="shared" ca="1" si="99"/>
        <v>0</v>
      </c>
      <c r="DK95" s="883">
        <f t="shared" ca="1" si="99"/>
        <v>0</v>
      </c>
      <c r="DL95" s="883">
        <f t="shared" ca="1" si="99"/>
        <v>0</v>
      </c>
      <c r="DM95" s="883">
        <f t="shared" ca="1" si="99"/>
        <v>0</v>
      </c>
      <c r="DN95" s="883">
        <f t="shared" ca="1" si="97"/>
        <v>0</v>
      </c>
      <c r="DO95" s="883">
        <f t="shared" ca="1" si="97"/>
        <v>0</v>
      </c>
      <c r="DP95" s="883">
        <f t="shared" ca="1" si="97"/>
        <v>0</v>
      </c>
      <c r="DQ95" s="883">
        <f t="shared" ca="1" si="97"/>
        <v>0</v>
      </c>
      <c r="DR95" s="883">
        <f t="shared" ca="1" si="97"/>
        <v>0</v>
      </c>
      <c r="DS95" s="883">
        <f t="shared" ca="1" si="97"/>
        <v>0</v>
      </c>
      <c r="DT95" s="883">
        <f t="shared" ca="1" si="97"/>
        <v>0</v>
      </c>
      <c r="DU95" s="883">
        <f t="shared" ca="1" si="97"/>
        <v>0</v>
      </c>
      <c r="DV95" s="883">
        <f t="shared" ca="1" si="97"/>
        <v>0</v>
      </c>
      <c r="DW95" s="883">
        <f t="shared" ca="1" si="97"/>
        <v>0</v>
      </c>
      <c r="DX95" s="883">
        <f t="shared" ca="1" si="97"/>
        <v>0</v>
      </c>
      <c r="DY95" s="883">
        <f t="shared" ca="1" si="97"/>
        <v>0</v>
      </c>
      <c r="DZ95" s="883">
        <f t="shared" ca="1" si="97"/>
        <v>0</v>
      </c>
      <c r="EA95" s="883">
        <f t="shared" ca="1" si="97"/>
        <v>0</v>
      </c>
      <c r="EB95" s="883">
        <f t="shared" ca="1" si="97"/>
        <v>0</v>
      </c>
      <c r="EC95" s="883">
        <f t="shared" ca="1" si="97"/>
        <v>0</v>
      </c>
      <c r="ED95" s="883">
        <f t="shared" ca="1" si="98"/>
        <v>0</v>
      </c>
      <c r="EE95" s="883">
        <f t="shared" ca="1" si="98"/>
        <v>0</v>
      </c>
      <c r="EF95" s="883">
        <f t="shared" ca="1" si="98"/>
        <v>0</v>
      </c>
      <c r="EG95" s="883">
        <f t="shared" ca="1" si="98"/>
        <v>0</v>
      </c>
      <c r="EH95" s="883">
        <f t="shared" ca="1" si="98"/>
        <v>0</v>
      </c>
      <c r="EI95" s="883">
        <f t="shared" ca="1" si="98"/>
        <v>0</v>
      </c>
      <c r="EJ95" s="883">
        <f t="shared" ca="1" si="98"/>
        <v>0</v>
      </c>
      <c r="EK95" s="883">
        <f t="shared" ca="1" si="98"/>
        <v>0</v>
      </c>
      <c r="EL95" s="883">
        <f t="shared" ca="1" si="98"/>
        <v>0</v>
      </c>
      <c r="EM95" s="883">
        <f t="shared" ca="1" si="98"/>
        <v>0</v>
      </c>
      <c r="EN95" s="883">
        <f t="shared" ca="1" si="98"/>
        <v>0</v>
      </c>
      <c r="EO95" s="883">
        <f t="shared" ca="1" si="98"/>
        <v>0</v>
      </c>
      <c r="EP95" s="883">
        <f t="shared" ca="1" si="98"/>
        <v>0</v>
      </c>
      <c r="EQ95" s="883">
        <f t="shared" ca="1" si="98"/>
        <v>0</v>
      </c>
      <c r="ER95" s="883">
        <f t="shared" ca="1" si="98"/>
        <v>0</v>
      </c>
      <c r="ES95" s="883">
        <f t="shared" ca="1" si="98"/>
        <v>0</v>
      </c>
      <c r="ET95" s="883">
        <f t="shared" ca="1" si="100"/>
        <v>0</v>
      </c>
      <c r="EU95" s="883">
        <f t="shared" ca="1" si="100"/>
        <v>0</v>
      </c>
      <c r="EV95" s="883">
        <f t="shared" ca="1" si="100"/>
        <v>0</v>
      </c>
      <c r="EW95" s="883">
        <f t="shared" ca="1" si="100"/>
        <v>0</v>
      </c>
      <c r="EX95" s="883">
        <f t="shared" ca="1" si="100"/>
        <v>0</v>
      </c>
      <c r="EY95" s="883">
        <f t="shared" ca="1" si="100"/>
        <v>0</v>
      </c>
      <c r="EZ95" s="883">
        <f t="shared" ca="1" si="100"/>
        <v>0</v>
      </c>
      <c r="FA95" s="883">
        <f t="shared" ca="1" si="100"/>
        <v>0</v>
      </c>
    </row>
    <row r="96" spans="8:157">
      <c r="H96" s="891" t="str">
        <f t="shared" ca="1" si="80"/>
        <v/>
      </c>
      <c r="I96" s="1206" t="e">
        <f t="shared" ca="1" si="77"/>
        <v>#N/A</v>
      </c>
      <c r="J96" s="1206">
        <f t="shared" ca="1" si="78"/>
        <v>0</v>
      </c>
      <c r="K96" s="929" t="str">
        <f t="shared" si="79"/>
        <v/>
      </c>
      <c r="L96" s="929" t="str">
        <f t="shared" si="81"/>
        <v/>
      </c>
      <c r="N96" s="1714">
        <v>26</v>
      </c>
      <c r="P96" s="882" t="e">
        <f ca="1">VLOOKUP(Q96,bond!B:AA,26,FALSE)</f>
        <v>#N/A</v>
      </c>
      <c r="Q96" s="928">
        <f ca="1">Change投!S38</f>
        <v>0</v>
      </c>
      <c r="R96" s="889">
        <f ca="1">IFERROR(IF(Q96="",0,IF($D$4=1,Change投!AC38*Change投!AJ38,Change投!AC38)),0)</f>
        <v>0</v>
      </c>
      <c r="S96" s="885" t="e">
        <f ca="1">Change投!W38</f>
        <v>#N/A</v>
      </c>
      <c r="T96" s="883">
        <f t="shared" ca="1" si="64"/>
        <v>0</v>
      </c>
      <c r="U96" s="885" t="str">
        <f ca="1">Change投!Z38</f>
        <v/>
      </c>
      <c r="V96" s="886" t="str">
        <f t="shared" ca="1" si="88"/>
        <v/>
      </c>
      <c r="W96" s="885" t="e">
        <f t="shared" ca="1" si="89"/>
        <v>#N/A</v>
      </c>
      <c r="X96" s="886" t="str">
        <f t="shared" ca="1" si="90"/>
        <v/>
      </c>
      <c r="Y96" s="887" t="str">
        <f ca="1">Change投!Y38</f>
        <v/>
      </c>
      <c r="Z96" s="886">
        <f ca="1">Change投!AC38</f>
        <v>0</v>
      </c>
      <c r="AA96" s="1205">
        <f ca="1">Change投!X38</f>
        <v>0</v>
      </c>
      <c r="AB96" s="881">
        <f ca="1">Change投!AJ38</f>
        <v>0</v>
      </c>
      <c r="AC96" s="887">
        <f t="shared" ca="1" si="61"/>
        <v>0</v>
      </c>
      <c r="AD96" s="883">
        <f t="shared" ca="1" si="96"/>
        <v>0</v>
      </c>
      <c r="AE96" s="883">
        <f t="shared" ca="1" si="96"/>
        <v>0</v>
      </c>
      <c r="AF96" s="883">
        <f t="shared" ca="1" si="96"/>
        <v>0</v>
      </c>
      <c r="AG96" s="883">
        <f t="shared" ca="1" si="96"/>
        <v>0</v>
      </c>
      <c r="AH96" s="883">
        <f t="shared" ca="1" si="96"/>
        <v>0</v>
      </c>
      <c r="AI96" s="883">
        <f t="shared" ca="1" si="96"/>
        <v>0</v>
      </c>
      <c r="AJ96" s="883">
        <f t="shared" ca="1" si="96"/>
        <v>0</v>
      </c>
      <c r="AK96" s="883">
        <f t="shared" ca="1" si="96"/>
        <v>0</v>
      </c>
      <c r="AL96" s="883">
        <f t="shared" ca="1" si="96"/>
        <v>0</v>
      </c>
      <c r="AM96" s="883">
        <f t="shared" ca="1" si="96"/>
        <v>0</v>
      </c>
      <c r="AN96" s="883">
        <f t="shared" ca="1" si="96"/>
        <v>0</v>
      </c>
      <c r="AO96" s="883">
        <f t="shared" ca="1" si="96"/>
        <v>0</v>
      </c>
      <c r="AP96" s="883">
        <f t="shared" ca="1" si="96"/>
        <v>0</v>
      </c>
      <c r="AQ96" s="883">
        <f t="shared" ca="1" si="96"/>
        <v>0</v>
      </c>
      <c r="AR96" s="883">
        <f t="shared" ca="1" si="96"/>
        <v>0</v>
      </c>
      <c r="AS96" s="883">
        <f t="shared" ca="1" si="96"/>
        <v>0</v>
      </c>
      <c r="AT96" s="883">
        <f t="shared" ca="1" si="95"/>
        <v>0</v>
      </c>
      <c r="AU96" s="883">
        <f t="shared" ca="1" si="95"/>
        <v>0</v>
      </c>
      <c r="AV96" s="883">
        <f t="shared" ca="1" si="95"/>
        <v>0</v>
      </c>
      <c r="AW96" s="883">
        <f t="shared" ca="1" si="95"/>
        <v>0</v>
      </c>
      <c r="AX96" s="883">
        <f t="shared" ca="1" si="95"/>
        <v>0</v>
      </c>
      <c r="AY96" s="883">
        <f t="shared" ca="1" si="95"/>
        <v>0</v>
      </c>
      <c r="AZ96" s="883">
        <f t="shared" ca="1" si="95"/>
        <v>0</v>
      </c>
      <c r="BA96" s="883">
        <f t="shared" ca="1" si="95"/>
        <v>0</v>
      </c>
      <c r="BB96" s="883">
        <f t="shared" ca="1" si="95"/>
        <v>0</v>
      </c>
      <c r="BC96" s="883">
        <f t="shared" ca="1" si="95"/>
        <v>0</v>
      </c>
      <c r="BD96" s="883">
        <f t="shared" ca="1" si="95"/>
        <v>0</v>
      </c>
      <c r="BE96" s="883">
        <f t="shared" ca="1" si="95"/>
        <v>0</v>
      </c>
      <c r="BF96" s="883">
        <f t="shared" ca="1" si="95"/>
        <v>0</v>
      </c>
      <c r="BG96" s="883">
        <f t="shared" ca="1" si="95"/>
        <v>0</v>
      </c>
      <c r="BH96" s="883">
        <f t="shared" ca="1" si="95"/>
        <v>0</v>
      </c>
      <c r="BI96" s="883">
        <f t="shared" ca="1" si="95"/>
        <v>0</v>
      </c>
      <c r="BJ96" s="883">
        <f t="shared" ca="1" si="91"/>
        <v>0</v>
      </c>
      <c r="BK96" s="883">
        <f t="shared" ca="1" si="92"/>
        <v>0</v>
      </c>
      <c r="BL96" s="883">
        <f t="shared" ca="1" si="92"/>
        <v>0</v>
      </c>
      <c r="BM96" s="883">
        <f t="shared" ca="1" si="92"/>
        <v>0</v>
      </c>
      <c r="BN96" s="883">
        <f t="shared" ca="1" si="92"/>
        <v>0</v>
      </c>
      <c r="BO96" s="883">
        <f t="shared" ca="1" si="92"/>
        <v>0</v>
      </c>
      <c r="BP96" s="883">
        <f t="shared" ca="1" si="92"/>
        <v>0</v>
      </c>
      <c r="BQ96" s="883">
        <f t="shared" ca="1" si="92"/>
        <v>0</v>
      </c>
      <c r="BR96" s="883">
        <f t="shared" ca="1" si="92"/>
        <v>0</v>
      </c>
      <c r="BS96" s="883">
        <f t="shared" ca="1" si="92"/>
        <v>0</v>
      </c>
      <c r="BT96" s="883">
        <f t="shared" ca="1" si="92"/>
        <v>0</v>
      </c>
      <c r="BU96" s="883">
        <f t="shared" ca="1" si="92"/>
        <v>0</v>
      </c>
      <c r="BV96" s="883">
        <f t="shared" ca="1" si="92"/>
        <v>0</v>
      </c>
      <c r="BW96" s="883">
        <f t="shared" ca="1" si="92"/>
        <v>0</v>
      </c>
      <c r="BX96" s="883">
        <f t="shared" ca="1" si="92"/>
        <v>0</v>
      </c>
      <c r="BY96" s="883">
        <f t="shared" ca="1" si="92"/>
        <v>0</v>
      </c>
      <c r="BZ96" s="883">
        <f t="shared" ca="1" si="92"/>
        <v>0</v>
      </c>
      <c r="CA96" s="883">
        <f t="shared" ca="1" si="93"/>
        <v>0</v>
      </c>
      <c r="CB96" s="883">
        <f t="shared" ca="1" si="93"/>
        <v>0</v>
      </c>
      <c r="CC96" s="883">
        <f t="shared" ca="1" si="93"/>
        <v>0</v>
      </c>
      <c r="CD96" s="883">
        <f t="shared" ca="1" si="93"/>
        <v>0</v>
      </c>
      <c r="CE96" s="883">
        <f t="shared" ca="1" si="93"/>
        <v>0</v>
      </c>
      <c r="CF96" s="883">
        <f t="shared" ca="1" si="93"/>
        <v>0</v>
      </c>
      <c r="CG96" s="883">
        <f t="shared" ca="1" si="93"/>
        <v>0</v>
      </c>
      <c r="CH96" s="883">
        <f t="shared" ca="1" si="93"/>
        <v>0</v>
      </c>
      <c r="CI96" s="883">
        <f t="shared" ca="1" si="93"/>
        <v>0</v>
      </c>
      <c r="CJ96" s="883">
        <f t="shared" ca="1" si="93"/>
        <v>0</v>
      </c>
      <c r="CK96" s="883">
        <f t="shared" ca="1" si="93"/>
        <v>0</v>
      </c>
      <c r="CL96" s="883">
        <f t="shared" ca="1" si="93"/>
        <v>0</v>
      </c>
      <c r="CM96" s="883">
        <f t="shared" ca="1" si="93"/>
        <v>0</v>
      </c>
      <c r="CN96" s="883">
        <f t="shared" ca="1" si="93"/>
        <v>0</v>
      </c>
      <c r="CO96" s="883">
        <f t="shared" ca="1" si="93"/>
        <v>0</v>
      </c>
      <c r="CP96" s="883">
        <f t="shared" ca="1" si="93"/>
        <v>0</v>
      </c>
      <c r="CQ96" s="883">
        <f t="shared" ca="1" si="94"/>
        <v>0</v>
      </c>
      <c r="CR96" s="883">
        <f t="shared" ca="1" si="94"/>
        <v>0</v>
      </c>
      <c r="CS96" s="883">
        <f t="shared" ca="1" si="94"/>
        <v>0</v>
      </c>
      <c r="CT96" s="883">
        <f t="shared" ca="1" si="94"/>
        <v>0</v>
      </c>
      <c r="CU96" s="883">
        <f t="shared" ca="1" si="94"/>
        <v>0</v>
      </c>
      <c r="CV96" s="883">
        <f t="shared" ca="1" si="94"/>
        <v>0</v>
      </c>
      <c r="CW96" s="883">
        <f t="shared" ca="1" si="94"/>
        <v>0</v>
      </c>
      <c r="CX96" s="883">
        <f t="shared" ca="1" si="94"/>
        <v>0</v>
      </c>
      <c r="CY96" s="883">
        <f t="shared" ca="1" si="94"/>
        <v>0</v>
      </c>
      <c r="CZ96" s="883">
        <f t="shared" ca="1" si="94"/>
        <v>0</v>
      </c>
      <c r="DA96" s="883">
        <f t="shared" ca="1" si="94"/>
        <v>0</v>
      </c>
      <c r="DB96" s="883">
        <f t="shared" ca="1" si="94"/>
        <v>0</v>
      </c>
      <c r="DC96" s="883">
        <f t="shared" ca="1" si="94"/>
        <v>0</v>
      </c>
      <c r="DD96" s="883">
        <f t="shared" ca="1" si="94"/>
        <v>0</v>
      </c>
      <c r="DE96" s="883">
        <f t="shared" ca="1" si="94"/>
        <v>0</v>
      </c>
      <c r="DF96" s="883">
        <f t="shared" ca="1" si="94"/>
        <v>0</v>
      </c>
      <c r="DG96" s="883">
        <f t="shared" ca="1" si="99"/>
        <v>0</v>
      </c>
      <c r="DH96" s="883">
        <f t="shared" ca="1" si="99"/>
        <v>0</v>
      </c>
      <c r="DI96" s="883">
        <f t="shared" ca="1" si="99"/>
        <v>0</v>
      </c>
      <c r="DJ96" s="883">
        <f t="shared" ca="1" si="99"/>
        <v>0</v>
      </c>
      <c r="DK96" s="883">
        <f t="shared" ca="1" si="99"/>
        <v>0</v>
      </c>
      <c r="DL96" s="883">
        <f t="shared" ca="1" si="99"/>
        <v>0</v>
      </c>
      <c r="DM96" s="883">
        <f t="shared" ca="1" si="99"/>
        <v>0</v>
      </c>
      <c r="DN96" s="883">
        <f t="shared" ca="1" si="97"/>
        <v>0</v>
      </c>
      <c r="DO96" s="883">
        <f t="shared" ca="1" si="97"/>
        <v>0</v>
      </c>
      <c r="DP96" s="883">
        <f t="shared" ca="1" si="97"/>
        <v>0</v>
      </c>
      <c r="DQ96" s="883">
        <f t="shared" ca="1" si="97"/>
        <v>0</v>
      </c>
      <c r="DR96" s="883">
        <f t="shared" ca="1" si="97"/>
        <v>0</v>
      </c>
      <c r="DS96" s="883">
        <f t="shared" ca="1" si="97"/>
        <v>0</v>
      </c>
      <c r="DT96" s="883">
        <f t="shared" ca="1" si="97"/>
        <v>0</v>
      </c>
      <c r="DU96" s="883">
        <f t="shared" ca="1" si="97"/>
        <v>0</v>
      </c>
      <c r="DV96" s="883">
        <f t="shared" ca="1" si="97"/>
        <v>0</v>
      </c>
      <c r="DW96" s="883">
        <f t="shared" ca="1" si="97"/>
        <v>0</v>
      </c>
      <c r="DX96" s="883">
        <f t="shared" ca="1" si="97"/>
        <v>0</v>
      </c>
      <c r="DY96" s="883">
        <f t="shared" ca="1" si="97"/>
        <v>0</v>
      </c>
      <c r="DZ96" s="883">
        <f t="shared" ca="1" si="97"/>
        <v>0</v>
      </c>
      <c r="EA96" s="883">
        <f t="shared" ca="1" si="97"/>
        <v>0</v>
      </c>
      <c r="EB96" s="883">
        <f t="shared" ca="1" si="97"/>
        <v>0</v>
      </c>
      <c r="EC96" s="883">
        <f t="shared" ca="1" si="97"/>
        <v>0</v>
      </c>
      <c r="ED96" s="883">
        <f t="shared" ca="1" si="98"/>
        <v>0</v>
      </c>
      <c r="EE96" s="883">
        <f t="shared" ca="1" si="98"/>
        <v>0</v>
      </c>
      <c r="EF96" s="883">
        <f t="shared" ca="1" si="98"/>
        <v>0</v>
      </c>
      <c r="EG96" s="883">
        <f t="shared" ca="1" si="98"/>
        <v>0</v>
      </c>
      <c r="EH96" s="883">
        <f t="shared" ca="1" si="98"/>
        <v>0</v>
      </c>
      <c r="EI96" s="883">
        <f t="shared" ca="1" si="98"/>
        <v>0</v>
      </c>
      <c r="EJ96" s="883">
        <f t="shared" ca="1" si="98"/>
        <v>0</v>
      </c>
      <c r="EK96" s="883">
        <f t="shared" ca="1" si="98"/>
        <v>0</v>
      </c>
      <c r="EL96" s="883">
        <f t="shared" ca="1" si="98"/>
        <v>0</v>
      </c>
      <c r="EM96" s="883">
        <f t="shared" ca="1" si="98"/>
        <v>0</v>
      </c>
      <c r="EN96" s="883">
        <f t="shared" ca="1" si="98"/>
        <v>0</v>
      </c>
      <c r="EO96" s="883">
        <f t="shared" ca="1" si="98"/>
        <v>0</v>
      </c>
      <c r="EP96" s="883">
        <f t="shared" ca="1" si="98"/>
        <v>0</v>
      </c>
      <c r="EQ96" s="883">
        <f t="shared" ca="1" si="98"/>
        <v>0</v>
      </c>
      <c r="ER96" s="883">
        <f t="shared" ca="1" si="98"/>
        <v>0</v>
      </c>
      <c r="ES96" s="883">
        <f t="shared" ca="1" si="98"/>
        <v>0</v>
      </c>
      <c r="ET96" s="883">
        <f t="shared" ca="1" si="100"/>
        <v>0</v>
      </c>
      <c r="EU96" s="883">
        <f t="shared" ca="1" si="100"/>
        <v>0</v>
      </c>
      <c r="EV96" s="883">
        <f t="shared" ca="1" si="100"/>
        <v>0</v>
      </c>
      <c r="EW96" s="883">
        <f t="shared" ca="1" si="100"/>
        <v>0</v>
      </c>
      <c r="EX96" s="883">
        <f t="shared" ca="1" si="100"/>
        <v>0</v>
      </c>
      <c r="EY96" s="883">
        <f t="shared" ca="1" si="100"/>
        <v>0</v>
      </c>
      <c r="EZ96" s="883">
        <f t="shared" ca="1" si="100"/>
        <v>0</v>
      </c>
      <c r="FA96" s="883">
        <f t="shared" ca="1" si="100"/>
        <v>0</v>
      </c>
    </row>
    <row r="97" spans="8:157">
      <c r="H97" s="891" t="str">
        <f t="shared" ca="1" si="80"/>
        <v/>
      </c>
      <c r="I97" s="1206" t="e">
        <f t="shared" ca="1" si="77"/>
        <v>#N/A</v>
      </c>
      <c r="J97" s="1206">
        <f t="shared" ca="1" si="78"/>
        <v>0</v>
      </c>
      <c r="K97" s="929" t="str">
        <f t="shared" si="79"/>
        <v/>
      </c>
      <c r="L97" s="929" t="str">
        <f t="shared" si="81"/>
        <v/>
      </c>
      <c r="N97" s="1714">
        <v>27</v>
      </c>
      <c r="P97" s="882" t="e">
        <f ca="1">VLOOKUP(Q97,bond!B:AA,26,FALSE)</f>
        <v>#N/A</v>
      </c>
      <c r="Q97" s="928">
        <f ca="1">Change投!S39</f>
        <v>0</v>
      </c>
      <c r="R97" s="889">
        <f ca="1">IFERROR(IF(Q97="",0,IF($D$4=1,Change投!AC39*Change投!AJ39,Change投!AC39)),0)</f>
        <v>0</v>
      </c>
      <c r="S97" s="885" t="e">
        <f ca="1">Change投!W39</f>
        <v>#N/A</v>
      </c>
      <c r="T97" s="883">
        <f t="shared" ca="1" si="64"/>
        <v>0</v>
      </c>
      <c r="U97" s="885" t="str">
        <f ca="1">Change投!Z39</f>
        <v/>
      </c>
      <c r="V97" s="886" t="str">
        <f t="shared" ca="1" si="88"/>
        <v/>
      </c>
      <c r="W97" s="885" t="e">
        <f t="shared" ca="1" si="89"/>
        <v>#N/A</v>
      </c>
      <c r="X97" s="886" t="str">
        <f t="shared" ca="1" si="90"/>
        <v/>
      </c>
      <c r="Y97" s="887" t="str">
        <f ca="1">Change投!Y39</f>
        <v/>
      </c>
      <c r="Z97" s="886">
        <f ca="1">Change投!AC39</f>
        <v>0</v>
      </c>
      <c r="AA97" s="1205">
        <f ca="1">Change投!X39</f>
        <v>0</v>
      </c>
      <c r="AB97" s="881">
        <f ca="1">Change投!AJ39</f>
        <v>0</v>
      </c>
      <c r="AC97" s="887">
        <f t="shared" ca="1" si="61"/>
        <v>0</v>
      </c>
      <c r="AD97" s="883">
        <f t="shared" ca="1" si="96"/>
        <v>0</v>
      </c>
      <c r="AE97" s="883">
        <f t="shared" ca="1" si="96"/>
        <v>0</v>
      </c>
      <c r="AF97" s="883">
        <f t="shared" ca="1" si="96"/>
        <v>0</v>
      </c>
      <c r="AG97" s="883">
        <f t="shared" ca="1" si="96"/>
        <v>0</v>
      </c>
      <c r="AH97" s="883">
        <f t="shared" ca="1" si="96"/>
        <v>0</v>
      </c>
      <c r="AI97" s="883">
        <f t="shared" ca="1" si="96"/>
        <v>0</v>
      </c>
      <c r="AJ97" s="883">
        <f t="shared" ca="1" si="96"/>
        <v>0</v>
      </c>
      <c r="AK97" s="883">
        <f t="shared" ca="1" si="96"/>
        <v>0</v>
      </c>
      <c r="AL97" s="883">
        <f t="shared" ca="1" si="96"/>
        <v>0</v>
      </c>
      <c r="AM97" s="883">
        <f t="shared" ca="1" si="96"/>
        <v>0</v>
      </c>
      <c r="AN97" s="883">
        <f t="shared" ca="1" si="96"/>
        <v>0</v>
      </c>
      <c r="AO97" s="883">
        <f t="shared" ca="1" si="96"/>
        <v>0</v>
      </c>
      <c r="AP97" s="883">
        <f t="shared" ca="1" si="96"/>
        <v>0</v>
      </c>
      <c r="AQ97" s="883">
        <f t="shared" ca="1" si="96"/>
        <v>0</v>
      </c>
      <c r="AR97" s="883">
        <f t="shared" ca="1" si="96"/>
        <v>0</v>
      </c>
      <c r="AS97" s="883">
        <f t="shared" ca="1" si="96"/>
        <v>0</v>
      </c>
      <c r="AT97" s="883">
        <f t="shared" ca="1" si="95"/>
        <v>0</v>
      </c>
      <c r="AU97" s="883">
        <f t="shared" ca="1" si="95"/>
        <v>0</v>
      </c>
      <c r="AV97" s="883">
        <f t="shared" ca="1" si="95"/>
        <v>0</v>
      </c>
      <c r="AW97" s="883">
        <f t="shared" ca="1" si="95"/>
        <v>0</v>
      </c>
      <c r="AX97" s="883">
        <f t="shared" ca="1" si="95"/>
        <v>0</v>
      </c>
      <c r="AY97" s="883">
        <f t="shared" ca="1" si="95"/>
        <v>0</v>
      </c>
      <c r="AZ97" s="883">
        <f t="shared" ca="1" si="95"/>
        <v>0</v>
      </c>
      <c r="BA97" s="883">
        <f t="shared" ca="1" si="95"/>
        <v>0</v>
      </c>
      <c r="BB97" s="883">
        <f t="shared" ca="1" si="95"/>
        <v>0</v>
      </c>
      <c r="BC97" s="883">
        <f t="shared" ca="1" si="95"/>
        <v>0</v>
      </c>
      <c r="BD97" s="883">
        <f t="shared" ca="1" si="95"/>
        <v>0</v>
      </c>
      <c r="BE97" s="883">
        <f t="shared" ca="1" si="95"/>
        <v>0</v>
      </c>
      <c r="BF97" s="883">
        <f t="shared" ca="1" si="95"/>
        <v>0</v>
      </c>
      <c r="BG97" s="883">
        <f t="shared" ca="1" si="95"/>
        <v>0</v>
      </c>
      <c r="BH97" s="883">
        <f t="shared" ca="1" si="95"/>
        <v>0</v>
      </c>
      <c r="BI97" s="883">
        <f t="shared" ca="1" si="95"/>
        <v>0</v>
      </c>
      <c r="BJ97" s="883">
        <f t="shared" ca="1" si="91"/>
        <v>0</v>
      </c>
      <c r="BK97" s="883">
        <f t="shared" ca="1" si="92"/>
        <v>0</v>
      </c>
      <c r="BL97" s="883">
        <f t="shared" ca="1" si="92"/>
        <v>0</v>
      </c>
      <c r="BM97" s="883">
        <f t="shared" ca="1" si="92"/>
        <v>0</v>
      </c>
      <c r="BN97" s="883">
        <f t="shared" ca="1" si="92"/>
        <v>0</v>
      </c>
      <c r="BO97" s="883">
        <f t="shared" ca="1" si="92"/>
        <v>0</v>
      </c>
      <c r="BP97" s="883">
        <f t="shared" ca="1" si="92"/>
        <v>0</v>
      </c>
      <c r="BQ97" s="883">
        <f t="shared" ca="1" si="92"/>
        <v>0</v>
      </c>
      <c r="BR97" s="883">
        <f t="shared" ca="1" si="92"/>
        <v>0</v>
      </c>
      <c r="BS97" s="883">
        <f t="shared" ca="1" si="92"/>
        <v>0</v>
      </c>
      <c r="BT97" s="883">
        <f t="shared" ca="1" si="92"/>
        <v>0</v>
      </c>
      <c r="BU97" s="883">
        <f t="shared" ca="1" si="92"/>
        <v>0</v>
      </c>
      <c r="BV97" s="883">
        <f t="shared" ca="1" si="92"/>
        <v>0</v>
      </c>
      <c r="BW97" s="883">
        <f t="shared" ca="1" si="92"/>
        <v>0</v>
      </c>
      <c r="BX97" s="883">
        <f t="shared" ca="1" si="92"/>
        <v>0</v>
      </c>
      <c r="BY97" s="883">
        <f t="shared" ca="1" si="92"/>
        <v>0</v>
      </c>
      <c r="BZ97" s="883">
        <f t="shared" ca="1" si="92"/>
        <v>0</v>
      </c>
      <c r="CA97" s="883">
        <f t="shared" ca="1" si="93"/>
        <v>0</v>
      </c>
      <c r="CB97" s="883">
        <f t="shared" ca="1" si="93"/>
        <v>0</v>
      </c>
      <c r="CC97" s="883">
        <f t="shared" ca="1" si="93"/>
        <v>0</v>
      </c>
      <c r="CD97" s="883">
        <f t="shared" ca="1" si="93"/>
        <v>0</v>
      </c>
      <c r="CE97" s="883">
        <f t="shared" ca="1" si="93"/>
        <v>0</v>
      </c>
      <c r="CF97" s="883">
        <f t="shared" ca="1" si="93"/>
        <v>0</v>
      </c>
      <c r="CG97" s="883">
        <f t="shared" ca="1" si="93"/>
        <v>0</v>
      </c>
      <c r="CH97" s="883">
        <f t="shared" ca="1" si="93"/>
        <v>0</v>
      </c>
      <c r="CI97" s="883">
        <f t="shared" ca="1" si="93"/>
        <v>0</v>
      </c>
      <c r="CJ97" s="883">
        <f t="shared" ca="1" si="93"/>
        <v>0</v>
      </c>
      <c r="CK97" s="883">
        <f t="shared" ca="1" si="93"/>
        <v>0</v>
      </c>
      <c r="CL97" s="883">
        <f t="shared" ca="1" si="93"/>
        <v>0</v>
      </c>
      <c r="CM97" s="883">
        <f t="shared" ca="1" si="93"/>
        <v>0</v>
      </c>
      <c r="CN97" s="883">
        <f t="shared" ca="1" si="93"/>
        <v>0</v>
      </c>
      <c r="CO97" s="883">
        <f t="shared" ca="1" si="93"/>
        <v>0</v>
      </c>
      <c r="CP97" s="883">
        <f t="shared" ca="1" si="93"/>
        <v>0</v>
      </c>
      <c r="CQ97" s="883">
        <f t="shared" ca="1" si="94"/>
        <v>0</v>
      </c>
      <c r="CR97" s="883">
        <f t="shared" ca="1" si="94"/>
        <v>0</v>
      </c>
      <c r="CS97" s="883">
        <f t="shared" ca="1" si="94"/>
        <v>0</v>
      </c>
      <c r="CT97" s="883">
        <f t="shared" ca="1" si="94"/>
        <v>0</v>
      </c>
      <c r="CU97" s="883">
        <f t="shared" ca="1" si="94"/>
        <v>0</v>
      </c>
      <c r="CV97" s="883">
        <f t="shared" ca="1" si="94"/>
        <v>0</v>
      </c>
      <c r="CW97" s="883">
        <f t="shared" ca="1" si="94"/>
        <v>0</v>
      </c>
      <c r="CX97" s="883">
        <f t="shared" ca="1" si="94"/>
        <v>0</v>
      </c>
      <c r="CY97" s="883">
        <f t="shared" ca="1" si="94"/>
        <v>0</v>
      </c>
      <c r="CZ97" s="883">
        <f t="shared" ca="1" si="94"/>
        <v>0</v>
      </c>
      <c r="DA97" s="883">
        <f t="shared" ca="1" si="94"/>
        <v>0</v>
      </c>
      <c r="DB97" s="883">
        <f t="shared" ca="1" si="94"/>
        <v>0</v>
      </c>
      <c r="DC97" s="883">
        <f t="shared" ca="1" si="94"/>
        <v>0</v>
      </c>
      <c r="DD97" s="883">
        <f t="shared" ca="1" si="94"/>
        <v>0</v>
      </c>
      <c r="DE97" s="883">
        <f t="shared" ca="1" si="94"/>
        <v>0</v>
      </c>
      <c r="DF97" s="883">
        <f t="shared" ca="1" si="94"/>
        <v>0</v>
      </c>
      <c r="DG97" s="883">
        <f t="shared" ca="1" si="99"/>
        <v>0</v>
      </c>
      <c r="DH97" s="883">
        <f t="shared" ca="1" si="99"/>
        <v>0</v>
      </c>
      <c r="DI97" s="883">
        <f t="shared" ca="1" si="99"/>
        <v>0</v>
      </c>
      <c r="DJ97" s="883">
        <f t="shared" ca="1" si="99"/>
        <v>0</v>
      </c>
      <c r="DK97" s="883">
        <f t="shared" ca="1" si="99"/>
        <v>0</v>
      </c>
      <c r="DL97" s="883">
        <f t="shared" ca="1" si="99"/>
        <v>0</v>
      </c>
      <c r="DM97" s="883">
        <f t="shared" ca="1" si="99"/>
        <v>0</v>
      </c>
      <c r="DN97" s="883">
        <f t="shared" ca="1" si="97"/>
        <v>0</v>
      </c>
      <c r="DO97" s="883">
        <f t="shared" ca="1" si="97"/>
        <v>0</v>
      </c>
      <c r="DP97" s="883">
        <f t="shared" ca="1" si="97"/>
        <v>0</v>
      </c>
      <c r="DQ97" s="883">
        <f t="shared" ca="1" si="97"/>
        <v>0</v>
      </c>
      <c r="DR97" s="883">
        <f t="shared" ca="1" si="97"/>
        <v>0</v>
      </c>
      <c r="DS97" s="883">
        <f t="shared" ca="1" si="97"/>
        <v>0</v>
      </c>
      <c r="DT97" s="883">
        <f t="shared" ca="1" si="97"/>
        <v>0</v>
      </c>
      <c r="DU97" s="883">
        <f t="shared" ca="1" si="97"/>
        <v>0</v>
      </c>
      <c r="DV97" s="883">
        <f t="shared" ca="1" si="97"/>
        <v>0</v>
      </c>
      <c r="DW97" s="883">
        <f t="shared" ca="1" si="97"/>
        <v>0</v>
      </c>
      <c r="DX97" s="883">
        <f t="shared" ca="1" si="97"/>
        <v>0</v>
      </c>
      <c r="DY97" s="883">
        <f t="shared" ca="1" si="97"/>
        <v>0</v>
      </c>
      <c r="DZ97" s="883">
        <f t="shared" ca="1" si="97"/>
        <v>0</v>
      </c>
      <c r="EA97" s="883">
        <f t="shared" ca="1" si="97"/>
        <v>0</v>
      </c>
      <c r="EB97" s="883">
        <f t="shared" ca="1" si="97"/>
        <v>0</v>
      </c>
      <c r="EC97" s="883">
        <f t="shared" ca="1" si="97"/>
        <v>0</v>
      </c>
      <c r="ED97" s="883">
        <f t="shared" ca="1" si="98"/>
        <v>0</v>
      </c>
      <c r="EE97" s="883">
        <f t="shared" ca="1" si="98"/>
        <v>0</v>
      </c>
      <c r="EF97" s="883">
        <f t="shared" ca="1" si="98"/>
        <v>0</v>
      </c>
      <c r="EG97" s="883">
        <f t="shared" ca="1" si="98"/>
        <v>0</v>
      </c>
      <c r="EH97" s="883">
        <f t="shared" ca="1" si="98"/>
        <v>0</v>
      </c>
      <c r="EI97" s="883">
        <f t="shared" ca="1" si="98"/>
        <v>0</v>
      </c>
      <c r="EJ97" s="883">
        <f t="shared" ca="1" si="98"/>
        <v>0</v>
      </c>
      <c r="EK97" s="883">
        <f t="shared" ca="1" si="98"/>
        <v>0</v>
      </c>
      <c r="EL97" s="883">
        <f t="shared" ca="1" si="98"/>
        <v>0</v>
      </c>
      <c r="EM97" s="883">
        <f t="shared" ca="1" si="98"/>
        <v>0</v>
      </c>
      <c r="EN97" s="883">
        <f t="shared" ca="1" si="98"/>
        <v>0</v>
      </c>
      <c r="EO97" s="883">
        <f t="shared" ca="1" si="98"/>
        <v>0</v>
      </c>
      <c r="EP97" s="883">
        <f t="shared" ca="1" si="98"/>
        <v>0</v>
      </c>
      <c r="EQ97" s="883">
        <f t="shared" ca="1" si="98"/>
        <v>0</v>
      </c>
      <c r="ER97" s="883">
        <f t="shared" ca="1" si="98"/>
        <v>0</v>
      </c>
      <c r="ES97" s="883">
        <f t="shared" ca="1" si="98"/>
        <v>0</v>
      </c>
      <c r="ET97" s="883">
        <f t="shared" ca="1" si="100"/>
        <v>0</v>
      </c>
      <c r="EU97" s="883">
        <f t="shared" ca="1" si="100"/>
        <v>0</v>
      </c>
      <c r="EV97" s="883">
        <f t="shared" ca="1" si="100"/>
        <v>0</v>
      </c>
      <c r="EW97" s="883">
        <f t="shared" ca="1" si="100"/>
        <v>0</v>
      </c>
      <c r="EX97" s="883">
        <f t="shared" ca="1" si="100"/>
        <v>0</v>
      </c>
      <c r="EY97" s="883">
        <f t="shared" ca="1" si="100"/>
        <v>0</v>
      </c>
      <c r="EZ97" s="883">
        <f t="shared" ca="1" si="100"/>
        <v>0</v>
      </c>
      <c r="FA97" s="883">
        <f t="shared" ca="1" si="100"/>
        <v>0</v>
      </c>
    </row>
    <row r="98" spans="8:157">
      <c r="H98" s="891" t="str">
        <f t="shared" ca="1" si="80"/>
        <v/>
      </c>
      <c r="I98" s="1206" t="e">
        <f t="shared" ca="1" si="77"/>
        <v>#N/A</v>
      </c>
      <c r="J98" s="1206">
        <f t="shared" ca="1" si="78"/>
        <v>0</v>
      </c>
      <c r="K98" s="929" t="str">
        <f t="shared" si="79"/>
        <v/>
      </c>
      <c r="L98" s="929" t="str">
        <f t="shared" si="81"/>
        <v/>
      </c>
      <c r="N98" s="1714">
        <v>28</v>
      </c>
      <c r="P98" s="882" t="e">
        <f ca="1">VLOOKUP(Q98,bond!B:AA,26,FALSE)</f>
        <v>#N/A</v>
      </c>
      <c r="Q98" s="928">
        <f ca="1">Change投!S40</f>
        <v>0</v>
      </c>
      <c r="R98" s="889">
        <f ca="1">IFERROR(IF(Q98="",0,IF($D$4=1,Change投!AC40*Change投!AJ40,Change投!AC40)),0)</f>
        <v>0</v>
      </c>
      <c r="S98" s="885" t="e">
        <f ca="1">Change投!W40</f>
        <v>#N/A</v>
      </c>
      <c r="T98" s="883">
        <f t="shared" ca="1" si="64"/>
        <v>0</v>
      </c>
      <c r="U98" s="885" t="str">
        <f ca="1">Change投!Z40</f>
        <v/>
      </c>
      <c r="V98" s="886" t="str">
        <f t="shared" ca="1" si="88"/>
        <v/>
      </c>
      <c r="W98" s="885" t="e">
        <f t="shared" ca="1" si="89"/>
        <v>#N/A</v>
      </c>
      <c r="X98" s="886" t="str">
        <f t="shared" ca="1" si="90"/>
        <v/>
      </c>
      <c r="Y98" s="887" t="str">
        <f ca="1">Change投!Y40</f>
        <v/>
      </c>
      <c r="Z98" s="886">
        <f ca="1">Change投!AC40</f>
        <v>0</v>
      </c>
      <c r="AA98" s="1205">
        <f ca="1">Change投!X40</f>
        <v>0</v>
      </c>
      <c r="AB98" s="881">
        <f ca="1">Change投!AJ40</f>
        <v>0</v>
      </c>
      <c r="AC98" s="887">
        <f t="shared" ca="1" si="61"/>
        <v>0</v>
      </c>
      <c r="AD98" s="883">
        <f t="shared" ca="1" si="96"/>
        <v>0</v>
      </c>
      <c r="AE98" s="883">
        <f t="shared" ca="1" si="96"/>
        <v>0</v>
      </c>
      <c r="AF98" s="883">
        <f t="shared" ca="1" si="96"/>
        <v>0</v>
      </c>
      <c r="AG98" s="883">
        <f t="shared" ca="1" si="96"/>
        <v>0</v>
      </c>
      <c r="AH98" s="883">
        <f t="shared" ca="1" si="96"/>
        <v>0</v>
      </c>
      <c r="AI98" s="883">
        <f t="shared" ca="1" si="96"/>
        <v>0</v>
      </c>
      <c r="AJ98" s="883">
        <f t="shared" ca="1" si="96"/>
        <v>0</v>
      </c>
      <c r="AK98" s="883">
        <f t="shared" ca="1" si="96"/>
        <v>0</v>
      </c>
      <c r="AL98" s="883">
        <f t="shared" ca="1" si="96"/>
        <v>0</v>
      </c>
      <c r="AM98" s="883">
        <f t="shared" ca="1" si="96"/>
        <v>0</v>
      </c>
      <c r="AN98" s="883">
        <f t="shared" ca="1" si="96"/>
        <v>0</v>
      </c>
      <c r="AO98" s="883">
        <f t="shared" ca="1" si="96"/>
        <v>0</v>
      </c>
      <c r="AP98" s="883">
        <f t="shared" ca="1" si="96"/>
        <v>0</v>
      </c>
      <c r="AQ98" s="883">
        <f t="shared" ca="1" si="96"/>
        <v>0</v>
      </c>
      <c r="AR98" s="883">
        <f t="shared" ca="1" si="96"/>
        <v>0</v>
      </c>
      <c r="AS98" s="883">
        <f t="shared" ca="1" si="96"/>
        <v>0</v>
      </c>
      <c r="AT98" s="883">
        <f t="shared" ca="1" si="95"/>
        <v>0</v>
      </c>
      <c r="AU98" s="883">
        <f t="shared" ca="1" si="95"/>
        <v>0</v>
      </c>
      <c r="AV98" s="883">
        <f t="shared" ca="1" si="95"/>
        <v>0</v>
      </c>
      <c r="AW98" s="883">
        <f t="shared" ca="1" si="95"/>
        <v>0</v>
      </c>
      <c r="AX98" s="883">
        <f t="shared" ca="1" si="95"/>
        <v>0</v>
      </c>
      <c r="AY98" s="883">
        <f t="shared" ca="1" si="95"/>
        <v>0</v>
      </c>
      <c r="AZ98" s="883">
        <f t="shared" ca="1" si="95"/>
        <v>0</v>
      </c>
      <c r="BA98" s="883">
        <f t="shared" ca="1" si="95"/>
        <v>0</v>
      </c>
      <c r="BB98" s="883">
        <f t="shared" ca="1" si="95"/>
        <v>0</v>
      </c>
      <c r="BC98" s="883">
        <f t="shared" ca="1" si="95"/>
        <v>0</v>
      </c>
      <c r="BD98" s="883">
        <f t="shared" ca="1" si="95"/>
        <v>0</v>
      </c>
      <c r="BE98" s="883">
        <f t="shared" ca="1" si="95"/>
        <v>0</v>
      </c>
      <c r="BF98" s="883">
        <f t="shared" ca="1" si="95"/>
        <v>0</v>
      </c>
      <c r="BG98" s="883">
        <f t="shared" ca="1" si="95"/>
        <v>0</v>
      </c>
      <c r="BH98" s="883">
        <f t="shared" ca="1" si="95"/>
        <v>0</v>
      </c>
      <c r="BI98" s="883">
        <f t="shared" ca="1" si="95"/>
        <v>0</v>
      </c>
      <c r="BJ98" s="883">
        <f t="shared" ca="1" si="91"/>
        <v>0</v>
      </c>
      <c r="BK98" s="883">
        <f t="shared" ca="1" si="92"/>
        <v>0</v>
      </c>
      <c r="BL98" s="883">
        <f t="shared" ca="1" si="92"/>
        <v>0</v>
      </c>
      <c r="BM98" s="883">
        <f t="shared" ca="1" si="92"/>
        <v>0</v>
      </c>
      <c r="BN98" s="883">
        <f t="shared" ca="1" si="92"/>
        <v>0</v>
      </c>
      <c r="BO98" s="883">
        <f t="shared" ca="1" si="92"/>
        <v>0</v>
      </c>
      <c r="BP98" s="883">
        <f t="shared" ca="1" si="92"/>
        <v>0</v>
      </c>
      <c r="BQ98" s="883">
        <f t="shared" ca="1" si="92"/>
        <v>0</v>
      </c>
      <c r="BR98" s="883">
        <f t="shared" ca="1" si="92"/>
        <v>0</v>
      </c>
      <c r="BS98" s="883">
        <f t="shared" ca="1" si="92"/>
        <v>0</v>
      </c>
      <c r="BT98" s="883">
        <f t="shared" ca="1" si="92"/>
        <v>0</v>
      </c>
      <c r="BU98" s="883">
        <f t="shared" ca="1" si="92"/>
        <v>0</v>
      </c>
      <c r="BV98" s="883">
        <f t="shared" ca="1" si="92"/>
        <v>0</v>
      </c>
      <c r="BW98" s="883">
        <f t="shared" ca="1" si="92"/>
        <v>0</v>
      </c>
      <c r="BX98" s="883">
        <f t="shared" ca="1" si="92"/>
        <v>0</v>
      </c>
      <c r="BY98" s="883">
        <f t="shared" ca="1" si="92"/>
        <v>0</v>
      </c>
      <c r="BZ98" s="883">
        <f t="shared" ref="BZ98:CO106" ca="1" si="101">IFERROR(IF(YEAR($W98)&lt;BZ$4,0,IF(YEAR($W98)=BZ$4,IF($P98="美國國庫債券",ROUND(DATEDIF($U98,$W98,"M")/(12/$Y98),0)+1,DATEDIF($U98,$W98,"M")/(12/$Y98)+1),INT(DATEDIF($U98,BZ$5,"M")/(12/$Y98))+1)),0)</f>
        <v>0</v>
      </c>
      <c r="CA98" s="883">
        <f t="shared" ca="1" si="101"/>
        <v>0</v>
      </c>
      <c r="CB98" s="883">
        <f t="shared" ca="1" si="101"/>
        <v>0</v>
      </c>
      <c r="CC98" s="883">
        <f t="shared" ca="1" si="101"/>
        <v>0</v>
      </c>
      <c r="CD98" s="883">
        <f t="shared" ca="1" si="101"/>
        <v>0</v>
      </c>
      <c r="CE98" s="883">
        <f t="shared" ca="1" si="101"/>
        <v>0</v>
      </c>
      <c r="CF98" s="883">
        <f t="shared" ca="1" si="101"/>
        <v>0</v>
      </c>
      <c r="CG98" s="883">
        <f t="shared" ca="1" si="101"/>
        <v>0</v>
      </c>
      <c r="CH98" s="883">
        <f t="shared" ca="1" si="101"/>
        <v>0</v>
      </c>
      <c r="CI98" s="883">
        <f t="shared" ca="1" si="101"/>
        <v>0</v>
      </c>
      <c r="CJ98" s="883">
        <f t="shared" ca="1" si="101"/>
        <v>0</v>
      </c>
      <c r="CK98" s="883">
        <f t="shared" ca="1" si="101"/>
        <v>0</v>
      </c>
      <c r="CL98" s="883">
        <f t="shared" ca="1" si="101"/>
        <v>0</v>
      </c>
      <c r="CM98" s="883">
        <f t="shared" ca="1" si="101"/>
        <v>0</v>
      </c>
      <c r="CN98" s="883">
        <f t="shared" ca="1" si="101"/>
        <v>0</v>
      </c>
      <c r="CO98" s="883">
        <f t="shared" ca="1" si="101"/>
        <v>0</v>
      </c>
      <c r="CP98" s="883">
        <f t="shared" ca="1" si="93"/>
        <v>0</v>
      </c>
      <c r="CQ98" s="883">
        <f t="shared" ca="1" si="94"/>
        <v>0</v>
      </c>
      <c r="CR98" s="883">
        <f t="shared" ca="1" si="94"/>
        <v>0</v>
      </c>
      <c r="CS98" s="883">
        <f t="shared" ca="1" si="94"/>
        <v>0</v>
      </c>
      <c r="CT98" s="883">
        <f t="shared" ca="1" si="94"/>
        <v>0</v>
      </c>
      <c r="CU98" s="883">
        <f t="shared" ca="1" si="94"/>
        <v>0</v>
      </c>
      <c r="CV98" s="883">
        <f t="shared" ca="1" si="94"/>
        <v>0</v>
      </c>
      <c r="CW98" s="883">
        <f t="shared" ca="1" si="94"/>
        <v>0</v>
      </c>
      <c r="CX98" s="883">
        <f t="shared" ca="1" si="94"/>
        <v>0</v>
      </c>
      <c r="CY98" s="883">
        <f t="shared" ca="1" si="94"/>
        <v>0</v>
      </c>
      <c r="CZ98" s="883">
        <f t="shared" ca="1" si="94"/>
        <v>0</v>
      </c>
      <c r="DA98" s="883">
        <f t="shared" ca="1" si="94"/>
        <v>0</v>
      </c>
      <c r="DB98" s="883">
        <f t="shared" ca="1" si="94"/>
        <v>0</v>
      </c>
      <c r="DC98" s="883">
        <f t="shared" ca="1" si="94"/>
        <v>0</v>
      </c>
      <c r="DD98" s="883">
        <f t="shared" ca="1" si="94"/>
        <v>0</v>
      </c>
      <c r="DE98" s="883">
        <f t="shared" ca="1" si="94"/>
        <v>0</v>
      </c>
      <c r="DF98" s="883">
        <f t="shared" ca="1" si="94"/>
        <v>0</v>
      </c>
      <c r="DG98" s="883">
        <f t="shared" ca="1" si="99"/>
        <v>0</v>
      </c>
      <c r="DH98" s="883">
        <f t="shared" ca="1" si="99"/>
        <v>0</v>
      </c>
      <c r="DI98" s="883">
        <f t="shared" ca="1" si="99"/>
        <v>0</v>
      </c>
      <c r="DJ98" s="883">
        <f t="shared" ca="1" si="99"/>
        <v>0</v>
      </c>
      <c r="DK98" s="883">
        <f t="shared" ca="1" si="99"/>
        <v>0</v>
      </c>
      <c r="DL98" s="883">
        <f t="shared" ca="1" si="99"/>
        <v>0</v>
      </c>
      <c r="DM98" s="883">
        <f t="shared" ca="1" si="99"/>
        <v>0</v>
      </c>
      <c r="DN98" s="883">
        <f t="shared" ca="1" si="97"/>
        <v>0</v>
      </c>
      <c r="DO98" s="883">
        <f t="shared" ca="1" si="97"/>
        <v>0</v>
      </c>
      <c r="DP98" s="883">
        <f t="shared" ca="1" si="97"/>
        <v>0</v>
      </c>
      <c r="DQ98" s="883">
        <f t="shared" ca="1" si="97"/>
        <v>0</v>
      </c>
      <c r="DR98" s="883">
        <f t="shared" ca="1" si="97"/>
        <v>0</v>
      </c>
      <c r="DS98" s="883">
        <f t="shared" ca="1" si="97"/>
        <v>0</v>
      </c>
      <c r="DT98" s="883">
        <f t="shared" ca="1" si="97"/>
        <v>0</v>
      </c>
      <c r="DU98" s="883">
        <f t="shared" ca="1" si="97"/>
        <v>0</v>
      </c>
      <c r="DV98" s="883">
        <f t="shared" ca="1" si="97"/>
        <v>0</v>
      </c>
      <c r="DW98" s="883">
        <f t="shared" ca="1" si="97"/>
        <v>0</v>
      </c>
      <c r="DX98" s="883">
        <f t="shared" ca="1" si="97"/>
        <v>0</v>
      </c>
      <c r="DY98" s="883">
        <f t="shared" ca="1" si="97"/>
        <v>0</v>
      </c>
      <c r="DZ98" s="883">
        <f t="shared" ca="1" si="97"/>
        <v>0</v>
      </c>
      <c r="EA98" s="883">
        <f t="shared" ca="1" si="97"/>
        <v>0</v>
      </c>
      <c r="EB98" s="883">
        <f t="shared" ca="1" si="97"/>
        <v>0</v>
      </c>
      <c r="EC98" s="883">
        <f t="shared" ca="1" si="97"/>
        <v>0</v>
      </c>
      <c r="ED98" s="883">
        <f t="shared" ca="1" si="98"/>
        <v>0</v>
      </c>
      <c r="EE98" s="883">
        <f t="shared" ca="1" si="98"/>
        <v>0</v>
      </c>
      <c r="EF98" s="883">
        <f t="shared" ca="1" si="98"/>
        <v>0</v>
      </c>
      <c r="EG98" s="883">
        <f t="shared" ca="1" si="98"/>
        <v>0</v>
      </c>
      <c r="EH98" s="883">
        <f t="shared" ca="1" si="98"/>
        <v>0</v>
      </c>
      <c r="EI98" s="883">
        <f t="shared" ca="1" si="98"/>
        <v>0</v>
      </c>
      <c r="EJ98" s="883">
        <f t="shared" ca="1" si="98"/>
        <v>0</v>
      </c>
      <c r="EK98" s="883">
        <f t="shared" ca="1" si="98"/>
        <v>0</v>
      </c>
      <c r="EL98" s="883">
        <f t="shared" ca="1" si="98"/>
        <v>0</v>
      </c>
      <c r="EM98" s="883">
        <f t="shared" ca="1" si="98"/>
        <v>0</v>
      </c>
      <c r="EN98" s="883">
        <f t="shared" ca="1" si="98"/>
        <v>0</v>
      </c>
      <c r="EO98" s="883">
        <f t="shared" ca="1" si="98"/>
        <v>0</v>
      </c>
      <c r="EP98" s="883">
        <f t="shared" ca="1" si="98"/>
        <v>0</v>
      </c>
      <c r="EQ98" s="883">
        <f t="shared" ca="1" si="98"/>
        <v>0</v>
      </c>
      <c r="ER98" s="883">
        <f t="shared" ca="1" si="98"/>
        <v>0</v>
      </c>
      <c r="ES98" s="883">
        <f t="shared" ca="1" si="98"/>
        <v>0</v>
      </c>
      <c r="ET98" s="883">
        <f t="shared" ca="1" si="100"/>
        <v>0</v>
      </c>
      <c r="EU98" s="883">
        <f t="shared" ca="1" si="100"/>
        <v>0</v>
      </c>
      <c r="EV98" s="883">
        <f t="shared" ca="1" si="100"/>
        <v>0</v>
      </c>
      <c r="EW98" s="883">
        <f t="shared" ca="1" si="100"/>
        <v>0</v>
      </c>
      <c r="EX98" s="883">
        <f t="shared" ca="1" si="100"/>
        <v>0</v>
      </c>
      <c r="EY98" s="883">
        <f t="shared" ca="1" si="100"/>
        <v>0</v>
      </c>
      <c r="EZ98" s="883">
        <f t="shared" ca="1" si="100"/>
        <v>0</v>
      </c>
      <c r="FA98" s="883">
        <f t="shared" ca="1" si="100"/>
        <v>0</v>
      </c>
    </row>
    <row r="99" spans="8:157">
      <c r="H99" s="891" t="str">
        <f t="shared" ca="1" si="80"/>
        <v/>
      </c>
      <c r="I99" s="1206" t="e">
        <f t="shared" ca="1" si="77"/>
        <v>#N/A</v>
      </c>
      <c r="J99" s="1206">
        <f t="shared" ca="1" si="78"/>
        <v>0</v>
      </c>
      <c r="K99" s="929" t="str">
        <f t="shared" si="79"/>
        <v/>
      </c>
      <c r="L99" s="929" t="str">
        <f t="shared" si="81"/>
        <v/>
      </c>
      <c r="N99" s="1714">
        <v>29</v>
      </c>
      <c r="P99" s="882" t="e">
        <f ca="1">VLOOKUP(Q99,bond!B:AA,26,FALSE)</f>
        <v>#N/A</v>
      </c>
      <c r="Q99" s="928">
        <f ca="1">Change投!S41</f>
        <v>0</v>
      </c>
      <c r="R99" s="889">
        <f ca="1">IFERROR(IF(Q99="",0,IF($D$4=1,Change投!AC41*Change投!AJ41,Change投!AC41)),0)</f>
        <v>0</v>
      </c>
      <c r="S99" s="885" t="e">
        <f ca="1">Change投!W41</f>
        <v>#N/A</v>
      </c>
      <c r="T99" s="883">
        <f t="shared" ca="1" si="64"/>
        <v>0</v>
      </c>
      <c r="U99" s="885" t="str">
        <f ca="1">Change投!Z41</f>
        <v/>
      </c>
      <c r="V99" s="886" t="str">
        <f t="shared" ca="1" si="88"/>
        <v/>
      </c>
      <c r="W99" s="885" t="e">
        <f t="shared" ca="1" si="89"/>
        <v>#N/A</v>
      </c>
      <c r="X99" s="886" t="str">
        <f t="shared" ca="1" si="90"/>
        <v/>
      </c>
      <c r="Y99" s="887" t="str">
        <f ca="1">Change投!Y41</f>
        <v/>
      </c>
      <c r="Z99" s="886">
        <f ca="1">Change投!AC41</f>
        <v>0</v>
      </c>
      <c r="AA99" s="1205">
        <f ca="1">Change投!X41</f>
        <v>0</v>
      </c>
      <c r="AB99" s="881">
        <f ca="1">Change投!AJ41</f>
        <v>0</v>
      </c>
      <c r="AC99" s="887">
        <f t="shared" ca="1" si="61"/>
        <v>0</v>
      </c>
      <c r="AD99" s="883">
        <f t="shared" ca="1" si="96"/>
        <v>0</v>
      </c>
      <c r="AE99" s="883">
        <f t="shared" ca="1" si="96"/>
        <v>0</v>
      </c>
      <c r="AF99" s="883">
        <f t="shared" ca="1" si="96"/>
        <v>0</v>
      </c>
      <c r="AG99" s="883">
        <f t="shared" ca="1" si="96"/>
        <v>0</v>
      </c>
      <c r="AH99" s="883">
        <f t="shared" ca="1" si="96"/>
        <v>0</v>
      </c>
      <c r="AI99" s="883">
        <f t="shared" ca="1" si="96"/>
        <v>0</v>
      </c>
      <c r="AJ99" s="883">
        <f t="shared" ca="1" si="96"/>
        <v>0</v>
      </c>
      <c r="AK99" s="883">
        <f t="shared" ca="1" si="96"/>
        <v>0</v>
      </c>
      <c r="AL99" s="883">
        <f t="shared" ca="1" si="96"/>
        <v>0</v>
      </c>
      <c r="AM99" s="883">
        <f t="shared" ca="1" si="96"/>
        <v>0</v>
      </c>
      <c r="AN99" s="883">
        <f t="shared" ca="1" si="96"/>
        <v>0</v>
      </c>
      <c r="AO99" s="883">
        <f t="shared" ca="1" si="96"/>
        <v>0</v>
      </c>
      <c r="AP99" s="883">
        <f t="shared" ca="1" si="96"/>
        <v>0</v>
      </c>
      <c r="AQ99" s="883">
        <f t="shared" ca="1" si="96"/>
        <v>0</v>
      </c>
      <c r="AR99" s="883">
        <f t="shared" ca="1" si="96"/>
        <v>0</v>
      </c>
      <c r="AS99" s="883">
        <f t="shared" ca="1" si="96"/>
        <v>0</v>
      </c>
      <c r="AT99" s="883">
        <f t="shared" ca="1" si="95"/>
        <v>0</v>
      </c>
      <c r="AU99" s="883">
        <f t="shared" ca="1" si="95"/>
        <v>0</v>
      </c>
      <c r="AV99" s="883">
        <f t="shared" ca="1" si="95"/>
        <v>0</v>
      </c>
      <c r="AW99" s="883">
        <f t="shared" ca="1" si="95"/>
        <v>0</v>
      </c>
      <c r="AX99" s="883">
        <f t="shared" ca="1" si="95"/>
        <v>0</v>
      </c>
      <c r="AY99" s="883">
        <f t="shared" ca="1" si="95"/>
        <v>0</v>
      </c>
      <c r="AZ99" s="883">
        <f t="shared" ca="1" si="95"/>
        <v>0</v>
      </c>
      <c r="BA99" s="883">
        <f t="shared" ca="1" si="95"/>
        <v>0</v>
      </c>
      <c r="BB99" s="883">
        <f t="shared" ca="1" si="95"/>
        <v>0</v>
      </c>
      <c r="BC99" s="883">
        <f t="shared" ca="1" si="95"/>
        <v>0</v>
      </c>
      <c r="BD99" s="883">
        <f t="shared" ca="1" si="95"/>
        <v>0</v>
      </c>
      <c r="BE99" s="883">
        <f t="shared" ca="1" si="95"/>
        <v>0</v>
      </c>
      <c r="BF99" s="883">
        <f t="shared" ca="1" si="95"/>
        <v>0</v>
      </c>
      <c r="BG99" s="883">
        <f t="shared" ca="1" si="95"/>
        <v>0</v>
      </c>
      <c r="BH99" s="883">
        <f t="shared" ca="1" si="95"/>
        <v>0</v>
      </c>
      <c r="BI99" s="883">
        <f t="shared" ref="BI99:BX106" ca="1" si="102">IFERROR(IF(YEAR($W99)&lt;BI$4,0,IF(YEAR($W99)=BI$4,IF($P99="美國國庫債券",ROUND(DATEDIF($U99,$W99,"M")/(12/$Y99),0)+1,DATEDIF($U99,$W99,"M")/(12/$Y99)+1),INT(DATEDIF($U99,BI$5,"M")/(12/$Y99))+1)),0)</f>
        <v>0</v>
      </c>
      <c r="BJ99" s="883">
        <f t="shared" ca="1" si="102"/>
        <v>0</v>
      </c>
      <c r="BK99" s="883">
        <f t="shared" ca="1" si="102"/>
        <v>0</v>
      </c>
      <c r="BL99" s="883">
        <f t="shared" ca="1" si="102"/>
        <v>0</v>
      </c>
      <c r="BM99" s="883">
        <f t="shared" ca="1" si="102"/>
        <v>0</v>
      </c>
      <c r="BN99" s="883">
        <f t="shared" ca="1" si="102"/>
        <v>0</v>
      </c>
      <c r="BO99" s="883">
        <f t="shared" ca="1" si="102"/>
        <v>0</v>
      </c>
      <c r="BP99" s="883">
        <f t="shared" ca="1" si="102"/>
        <v>0</v>
      </c>
      <c r="BQ99" s="883">
        <f t="shared" ca="1" si="102"/>
        <v>0</v>
      </c>
      <c r="BR99" s="883">
        <f t="shared" ca="1" si="102"/>
        <v>0</v>
      </c>
      <c r="BS99" s="883">
        <f t="shared" ca="1" si="102"/>
        <v>0</v>
      </c>
      <c r="BT99" s="883">
        <f t="shared" ca="1" si="102"/>
        <v>0</v>
      </c>
      <c r="BU99" s="883">
        <f t="shared" ca="1" si="102"/>
        <v>0</v>
      </c>
      <c r="BV99" s="883">
        <f t="shared" ca="1" si="102"/>
        <v>0</v>
      </c>
      <c r="BW99" s="883">
        <f t="shared" ca="1" si="102"/>
        <v>0</v>
      </c>
      <c r="BX99" s="883">
        <f t="shared" ca="1" si="102"/>
        <v>0</v>
      </c>
      <c r="BY99" s="883">
        <f t="shared" ref="BY99:CN106" ca="1" si="103">IFERROR(IF(YEAR($W99)&lt;BY$4,0,IF(YEAR($W99)=BY$4,IF($P99="美國國庫債券",ROUND(DATEDIF($U99,$W99,"M")/(12/$Y99),0)+1,DATEDIF($U99,$W99,"M")/(12/$Y99)+1),INT(DATEDIF($U99,BY$5,"M")/(12/$Y99))+1)),0)</f>
        <v>0</v>
      </c>
      <c r="BZ99" s="883">
        <f t="shared" ca="1" si="103"/>
        <v>0</v>
      </c>
      <c r="CA99" s="883">
        <f t="shared" ca="1" si="103"/>
        <v>0</v>
      </c>
      <c r="CB99" s="883">
        <f t="shared" ca="1" si="103"/>
        <v>0</v>
      </c>
      <c r="CC99" s="883">
        <f t="shared" ca="1" si="103"/>
        <v>0</v>
      </c>
      <c r="CD99" s="883">
        <f t="shared" ca="1" si="103"/>
        <v>0</v>
      </c>
      <c r="CE99" s="883">
        <f t="shared" ca="1" si="103"/>
        <v>0</v>
      </c>
      <c r="CF99" s="883">
        <f t="shared" ca="1" si="103"/>
        <v>0</v>
      </c>
      <c r="CG99" s="883">
        <f t="shared" ca="1" si="103"/>
        <v>0</v>
      </c>
      <c r="CH99" s="883">
        <f t="shared" ca="1" si="103"/>
        <v>0</v>
      </c>
      <c r="CI99" s="883">
        <f t="shared" ca="1" si="103"/>
        <v>0</v>
      </c>
      <c r="CJ99" s="883">
        <f t="shared" ca="1" si="103"/>
        <v>0</v>
      </c>
      <c r="CK99" s="883">
        <f t="shared" ca="1" si="103"/>
        <v>0</v>
      </c>
      <c r="CL99" s="883">
        <f t="shared" ca="1" si="103"/>
        <v>0</v>
      </c>
      <c r="CM99" s="883">
        <f t="shared" ca="1" si="103"/>
        <v>0</v>
      </c>
      <c r="CN99" s="883">
        <f t="shared" ca="1" si="103"/>
        <v>0</v>
      </c>
      <c r="CO99" s="883">
        <f t="shared" ca="1" si="101"/>
        <v>0</v>
      </c>
      <c r="CP99" s="883">
        <f t="shared" ca="1" si="93"/>
        <v>0</v>
      </c>
      <c r="CQ99" s="883">
        <f t="shared" ca="1" si="94"/>
        <v>0</v>
      </c>
      <c r="CR99" s="883">
        <f t="shared" ca="1" si="94"/>
        <v>0</v>
      </c>
      <c r="CS99" s="883">
        <f t="shared" ca="1" si="94"/>
        <v>0</v>
      </c>
      <c r="CT99" s="883">
        <f t="shared" ca="1" si="94"/>
        <v>0</v>
      </c>
      <c r="CU99" s="883">
        <f t="shared" ca="1" si="94"/>
        <v>0</v>
      </c>
      <c r="CV99" s="883">
        <f t="shared" ca="1" si="94"/>
        <v>0</v>
      </c>
      <c r="CW99" s="883">
        <f t="shared" ca="1" si="94"/>
        <v>0</v>
      </c>
      <c r="CX99" s="883">
        <f t="shared" ca="1" si="94"/>
        <v>0</v>
      </c>
      <c r="CY99" s="883">
        <f t="shared" ca="1" si="94"/>
        <v>0</v>
      </c>
      <c r="CZ99" s="883">
        <f t="shared" ca="1" si="94"/>
        <v>0</v>
      </c>
      <c r="DA99" s="883">
        <f t="shared" ca="1" si="94"/>
        <v>0</v>
      </c>
      <c r="DB99" s="883">
        <f t="shared" ca="1" si="94"/>
        <v>0</v>
      </c>
      <c r="DC99" s="883">
        <f t="shared" ca="1" si="94"/>
        <v>0</v>
      </c>
      <c r="DD99" s="883">
        <f t="shared" ca="1" si="94"/>
        <v>0</v>
      </c>
      <c r="DE99" s="883">
        <f t="shared" ca="1" si="94"/>
        <v>0</v>
      </c>
      <c r="DF99" s="883">
        <f t="shared" ca="1" si="94"/>
        <v>0</v>
      </c>
      <c r="DG99" s="883">
        <f t="shared" ca="1" si="99"/>
        <v>0</v>
      </c>
      <c r="DH99" s="883">
        <f t="shared" ca="1" si="99"/>
        <v>0</v>
      </c>
      <c r="DI99" s="883">
        <f t="shared" ca="1" si="99"/>
        <v>0</v>
      </c>
      <c r="DJ99" s="883">
        <f t="shared" ca="1" si="99"/>
        <v>0</v>
      </c>
      <c r="DK99" s="883">
        <f t="shared" ca="1" si="99"/>
        <v>0</v>
      </c>
      <c r="DL99" s="883">
        <f t="shared" ca="1" si="99"/>
        <v>0</v>
      </c>
      <c r="DM99" s="883">
        <f t="shared" ca="1" si="99"/>
        <v>0</v>
      </c>
      <c r="DN99" s="883">
        <f t="shared" ca="1" si="97"/>
        <v>0</v>
      </c>
      <c r="DO99" s="883">
        <f t="shared" ca="1" si="97"/>
        <v>0</v>
      </c>
      <c r="DP99" s="883">
        <f t="shared" ca="1" si="97"/>
        <v>0</v>
      </c>
      <c r="DQ99" s="883">
        <f t="shared" ca="1" si="97"/>
        <v>0</v>
      </c>
      <c r="DR99" s="883">
        <f t="shared" ca="1" si="97"/>
        <v>0</v>
      </c>
      <c r="DS99" s="883">
        <f t="shared" ca="1" si="97"/>
        <v>0</v>
      </c>
      <c r="DT99" s="883">
        <f t="shared" ca="1" si="97"/>
        <v>0</v>
      </c>
      <c r="DU99" s="883">
        <f t="shared" ca="1" si="97"/>
        <v>0</v>
      </c>
      <c r="DV99" s="883">
        <f t="shared" ca="1" si="97"/>
        <v>0</v>
      </c>
      <c r="DW99" s="883">
        <f t="shared" ca="1" si="97"/>
        <v>0</v>
      </c>
      <c r="DX99" s="883">
        <f t="shared" ca="1" si="97"/>
        <v>0</v>
      </c>
      <c r="DY99" s="883">
        <f t="shared" ca="1" si="97"/>
        <v>0</v>
      </c>
      <c r="DZ99" s="883">
        <f t="shared" ca="1" si="97"/>
        <v>0</v>
      </c>
      <c r="EA99" s="883">
        <f t="shared" ca="1" si="97"/>
        <v>0</v>
      </c>
      <c r="EB99" s="883">
        <f t="shared" ca="1" si="97"/>
        <v>0</v>
      </c>
      <c r="EC99" s="883">
        <f t="shared" ca="1" si="97"/>
        <v>0</v>
      </c>
      <c r="ED99" s="883">
        <f t="shared" ca="1" si="98"/>
        <v>0</v>
      </c>
      <c r="EE99" s="883">
        <f t="shared" ca="1" si="98"/>
        <v>0</v>
      </c>
      <c r="EF99" s="883">
        <f t="shared" ca="1" si="98"/>
        <v>0</v>
      </c>
      <c r="EG99" s="883">
        <f t="shared" ca="1" si="98"/>
        <v>0</v>
      </c>
      <c r="EH99" s="883">
        <f t="shared" ca="1" si="98"/>
        <v>0</v>
      </c>
      <c r="EI99" s="883">
        <f t="shared" ca="1" si="98"/>
        <v>0</v>
      </c>
      <c r="EJ99" s="883">
        <f t="shared" ca="1" si="98"/>
        <v>0</v>
      </c>
      <c r="EK99" s="883">
        <f t="shared" ca="1" si="98"/>
        <v>0</v>
      </c>
      <c r="EL99" s="883">
        <f t="shared" ca="1" si="98"/>
        <v>0</v>
      </c>
      <c r="EM99" s="883">
        <f t="shared" ca="1" si="98"/>
        <v>0</v>
      </c>
      <c r="EN99" s="883">
        <f t="shared" ca="1" si="98"/>
        <v>0</v>
      </c>
      <c r="EO99" s="883">
        <f t="shared" ca="1" si="98"/>
        <v>0</v>
      </c>
      <c r="EP99" s="883">
        <f t="shared" ca="1" si="98"/>
        <v>0</v>
      </c>
      <c r="EQ99" s="883">
        <f t="shared" ca="1" si="98"/>
        <v>0</v>
      </c>
      <c r="ER99" s="883">
        <f t="shared" ca="1" si="98"/>
        <v>0</v>
      </c>
      <c r="ES99" s="883">
        <f t="shared" ca="1" si="98"/>
        <v>0</v>
      </c>
      <c r="ET99" s="883">
        <f t="shared" ca="1" si="100"/>
        <v>0</v>
      </c>
      <c r="EU99" s="883">
        <f t="shared" ca="1" si="100"/>
        <v>0</v>
      </c>
      <c r="EV99" s="883">
        <f t="shared" ca="1" si="100"/>
        <v>0</v>
      </c>
      <c r="EW99" s="883">
        <f t="shared" ca="1" si="100"/>
        <v>0</v>
      </c>
      <c r="EX99" s="883">
        <f t="shared" ca="1" si="100"/>
        <v>0</v>
      </c>
      <c r="EY99" s="883">
        <f t="shared" ca="1" si="100"/>
        <v>0</v>
      </c>
      <c r="EZ99" s="883">
        <f t="shared" ca="1" si="100"/>
        <v>0</v>
      </c>
      <c r="FA99" s="883">
        <f t="shared" ca="1" si="100"/>
        <v>0</v>
      </c>
    </row>
    <row r="100" spans="8:157">
      <c r="H100" s="891" t="str">
        <f t="shared" ca="1" si="80"/>
        <v/>
      </c>
      <c r="I100" s="1206" t="e">
        <f t="shared" ca="1" si="77"/>
        <v>#N/A</v>
      </c>
      <c r="J100" s="1206">
        <f t="shared" ca="1" si="78"/>
        <v>0</v>
      </c>
      <c r="K100" s="929" t="str">
        <f t="shared" si="79"/>
        <v/>
      </c>
      <c r="L100" s="929" t="str">
        <f t="shared" si="81"/>
        <v/>
      </c>
      <c r="N100" s="1714">
        <v>30</v>
      </c>
      <c r="P100" s="882" t="e">
        <f ca="1">VLOOKUP(Q100,bond!B:AA,26,FALSE)</f>
        <v>#N/A</v>
      </c>
      <c r="Q100" s="928">
        <f ca="1">Change投!S42</f>
        <v>0</v>
      </c>
      <c r="R100" s="889">
        <f ca="1">IFERROR(IF(Q100="",0,IF($D$4=1,Change投!AC42*Change投!AJ42,Change投!AC42)),0)</f>
        <v>0</v>
      </c>
      <c r="S100" s="885" t="e">
        <f ca="1">Change投!W42</f>
        <v>#N/A</v>
      </c>
      <c r="T100" s="883">
        <f t="shared" ca="1" si="64"/>
        <v>0</v>
      </c>
      <c r="U100" s="885" t="str">
        <f ca="1">Change投!Z42</f>
        <v/>
      </c>
      <c r="V100" s="886" t="str">
        <f t="shared" ca="1" si="88"/>
        <v/>
      </c>
      <c r="W100" s="885" t="e">
        <f t="shared" ca="1" si="89"/>
        <v>#N/A</v>
      </c>
      <c r="X100" s="886" t="str">
        <f t="shared" ca="1" si="90"/>
        <v/>
      </c>
      <c r="Y100" s="887" t="str">
        <f ca="1">Change投!Y42</f>
        <v/>
      </c>
      <c r="Z100" s="886">
        <f ca="1">Change投!AC42</f>
        <v>0</v>
      </c>
      <c r="AA100" s="1205">
        <f ca="1">Change投!X42</f>
        <v>0</v>
      </c>
      <c r="AB100" s="881">
        <f ca="1">Change投!AJ42</f>
        <v>0</v>
      </c>
      <c r="AC100" s="887">
        <f t="shared" ca="1" si="61"/>
        <v>0</v>
      </c>
      <c r="AD100" s="883">
        <f t="shared" ca="1" si="96"/>
        <v>0</v>
      </c>
      <c r="AE100" s="883">
        <f t="shared" ca="1" si="96"/>
        <v>0</v>
      </c>
      <c r="AF100" s="883">
        <f t="shared" ca="1" si="96"/>
        <v>0</v>
      </c>
      <c r="AG100" s="883">
        <f t="shared" ca="1" si="96"/>
        <v>0</v>
      </c>
      <c r="AH100" s="883">
        <f t="shared" ca="1" si="96"/>
        <v>0</v>
      </c>
      <c r="AI100" s="883">
        <f t="shared" ca="1" si="96"/>
        <v>0</v>
      </c>
      <c r="AJ100" s="883">
        <f t="shared" ca="1" si="96"/>
        <v>0</v>
      </c>
      <c r="AK100" s="883">
        <f t="shared" ca="1" si="96"/>
        <v>0</v>
      </c>
      <c r="AL100" s="883">
        <f t="shared" ca="1" si="96"/>
        <v>0</v>
      </c>
      <c r="AM100" s="883">
        <f t="shared" ca="1" si="96"/>
        <v>0</v>
      </c>
      <c r="AN100" s="883">
        <f t="shared" ca="1" si="96"/>
        <v>0</v>
      </c>
      <c r="AO100" s="883">
        <f t="shared" ca="1" si="96"/>
        <v>0</v>
      </c>
      <c r="AP100" s="883">
        <f t="shared" ca="1" si="96"/>
        <v>0</v>
      </c>
      <c r="AQ100" s="883">
        <f t="shared" ca="1" si="96"/>
        <v>0</v>
      </c>
      <c r="AR100" s="883">
        <f t="shared" ca="1" si="96"/>
        <v>0</v>
      </c>
      <c r="AS100" s="883">
        <f t="shared" ref="AS100:BH106" ca="1" si="104">IFERROR(IF(YEAR($W100)&lt;AS$4,0,IF(YEAR($W100)=AS$4,IF($P100="美國國庫債券",ROUND(DATEDIF($U100,$W100,"M")/(12/$Y100),0)+1,DATEDIF($U100,$W100,"M")/(12/$Y100)+1),INT(DATEDIF($U100,AS$5,"M")/(12/$Y100))+1)),0)</f>
        <v>0</v>
      </c>
      <c r="AT100" s="883">
        <f t="shared" ca="1" si="104"/>
        <v>0</v>
      </c>
      <c r="AU100" s="883">
        <f t="shared" ca="1" si="104"/>
        <v>0</v>
      </c>
      <c r="AV100" s="883">
        <f t="shared" ca="1" si="104"/>
        <v>0</v>
      </c>
      <c r="AW100" s="883">
        <f t="shared" ca="1" si="104"/>
        <v>0</v>
      </c>
      <c r="AX100" s="883">
        <f t="shared" ca="1" si="104"/>
        <v>0</v>
      </c>
      <c r="AY100" s="883">
        <f t="shared" ca="1" si="104"/>
        <v>0</v>
      </c>
      <c r="AZ100" s="883">
        <f t="shared" ca="1" si="104"/>
        <v>0</v>
      </c>
      <c r="BA100" s="883">
        <f t="shared" ca="1" si="104"/>
        <v>0</v>
      </c>
      <c r="BB100" s="883">
        <f t="shared" ca="1" si="104"/>
        <v>0</v>
      </c>
      <c r="BC100" s="883">
        <f t="shared" ca="1" si="104"/>
        <v>0</v>
      </c>
      <c r="BD100" s="883">
        <f t="shared" ca="1" si="104"/>
        <v>0</v>
      </c>
      <c r="BE100" s="883">
        <f t="shared" ca="1" si="104"/>
        <v>0</v>
      </c>
      <c r="BF100" s="883">
        <f t="shared" ca="1" si="104"/>
        <v>0</v>
      </c>
      <c r="BG100" s="883">
        <f t="shared" ca="1" si="104"/>
        <v>0</v>
      </c>
      <c r="BH100" s="883">
        <f t="shared" ca="1" si="104"/>
        <v>0</v>
      </c>
      <c r="BI100" s="883">
        <f t="shared" ca="1" si="102"/>
        <v>0</v>
      </c>
      <c r="BJ100" s="883">
        <f t="shared" ca="1" si="102"/>
        <v>0</v>
      </c>
      <c r="BK100" s="883">
        <f t="shared" ca="1" si="102"/>
        <v>0</v>
      </c>
      <c r="BL100" s="883">
        <f t="shared" ca="1" si="102"/>
        <v>0</v>
      </c>
      <c r="BM100" s="883">
        <f t="shared" ca="1" si="102"/>
        <v>0</v>
      </c>
      <c r="BN100" s="883">
        <f t="shared" ca="1" si="102"/>
        <v>0</v>
      </c>
      <c r="BO100" s="883">
        <f t="shared" ca="1" si="102"/>
        <v>0</v>
      </c>
      <c r="BP100" s="883">
        <f t="shared" ca="1" si="102"/>
        <v>0</v>
      </c>
      <c r="BQ100" s="883">
        <f t="shared" ca="1" si="102"/>
        <v>0</v>
      </c>
      <c r="BR100" s="883">
        <f t="shared" ca="1" si="102"/>
        <v>0</v>
      </c>
      <c r="BS100" s="883">
        <f t="shared" ca="1" si="102"/>
        <v>0</v>
      </c>
      <c r="BT100" s="883">
        <f t="shared" ca="1" si="102"/>
        <v>0</v>
      </c>
      <c r="BU100" s="883">
        <f t="shared" ca="1" si="102"/>
        <v>0</v>
      </c>
      <c r="BV100" s="883">
        <f t="shared" ca="1" si="102"/>
        <v>0</v>
      </c>
      <c r="BW100" s="883">
        <f t="shared" ca="1" si="102"/>
        <v>0</v>
      </c>
      <c r="BX100" s="883">
        <f t="shared" ca="1" si="102"/>
        <v>0</v>
      </c>
      <c r="BY100" s="883">
        <f t="shared" ca="1" si="103"/>
        <v>0</v>
      </c>
      <c r="BZ100" s="883">
        <f t="shared" ca="1" si="103"/>
        <v>0</v>
      </c>
      <c r="CA100" s="883">
        <f t="shared" ca="1" si="103"/>
        <v>0</v>
      </c>
      <c r="CB100" s="883">
        <f t="shared" ca="1" si="103"/>
        <v>0</v>
      </c>
      <c r="CC100" s="883">
        <f t="shared" ca="1" si="103"/>
        <v>0</v>
      </c>
      <c r="CD100" s="883">
        <f t="shared" ca="1" si="103"/>
        <v>0</v>
      </c>
      <c r="CE100" s="883">
        <f t="shared" ca="1" si="103"/>
        <v>0</v>
      </c>
      <c r="CF100" s="883">
        <f t="shared" ca="1" si="103"/>
        <v>0</v>
      </c>
      <c r="CG100" s="883">
        <f t="shared" ca="1" si="103"/>
        <v>0</v>
      </c>
      <c r="CH100" s="883">
        <f t="shared" ca="1" si="103"/>
        <v>0</v>
      </c>
      <c r="CI100" s="883">
        <f t="shared" ca="1" si="103"/>
        <v>0</v>
      </c>
      <c r="CJ100" s="883">
        <f t="shared" ca="1" si="103"/>
        <v>0</v>
      </c>
      <c r="CK100" s="883">
        <f t="shared" ca="1" si="103"/>
        <v>0</v>
      </c>
      <c r="CL100" s="883">
        <f t="shared" ca="1" si="103"/>
        <v>0</v>
      </c>
      <c r="CM100" s="883">
        <f t="shared" ca="1" si="103"/>
        <v>0</v>
      </c>
      <c r="CN100" s="883">
        <f t="shared" ca="1" si="103"/>
        <v>0</v>
      </c>
      <c r="CO100" s="883">
        <f t="shared" ca="1" si="101"/>
        <v>0</v>
      </c>
      <c r="CP100" s="883">
        <f t="shared" ca="1" si="93"/>
        <v>0</v>
      </c>
      <c r="CQ100" s="883">
        <f t="shared" ca="1" si="94"/>
        <v>0</v>
      </c>
      <c r="CR100" s="883">
        <f t="shared" ca="1" si="94"/>
        <v>0</v>
      </c>
      <c r="CS100" s="883">
        <f t="shared" ca="1" si="94"/>
        <v>0</v>
      </c>
      <c r="CT100" s="883">
        <f t="shared" ca="1" si="94"/>
        <v>0</v>
      </c>
      <c r="CU100" s="883">
        <f t="shared" ca="1" si="94"/>
        <v>0</v>
      </c>
      <c r="CV100" s="883">
        <f t="shared" ca="1" si="94"/>
        <v>0</v>
      </c>
      <c r="CW100" s="883">
        <f t="shared" ca="1" si="94"/>
        <v>0</v>
      </c>
      <c r="CX100" s="883">
        <f t="shared" ca="1" si="94"/>
        <v>0</v>
      </c>
      <c r="CY100" s="883">
        <f t="shared" ca="1" si="94"/>
        <v>0</v>
      </c>
      <c r="CZ100" s="883">
        <f t="shared" ca="1" si="94"/>
        <v>0</v>
      </c>
      <c r="DA100" s="883">
        <f t="shared" ca="1" si="94"/>
        <v>0</v>
      </c>
      <c r="DB100" s="883">
        <f t="shared" ca="1" si="94"/>
        <v>0</v>
      </c>
      <c r="DC100" s="883">
        <f t="shared" ca="1" si="94"/>
        <v>0</v>
      </c>
      <c r="DD100" s="883">
        <f t="shared" ca="1" si="94"/>
        <v>0</v>
      </c>
      <c r="DE100" s="883">
        <f t="shared" ca="1" si="94"/>
        <v>0</v>
      </c>
      <c r="DF100" s="883">
        <f t="shared" ca="1" si="94"/>
        <v>0</v>
      </c>
      <c r="DG100" s="883">
        <f t="shared" ca="1" si="99"/>
        <v>0</v>
      </c>
      <c r="DH100" s="883">
        <f t="shared" ca="1" si="99"/>
        <v>0</v>
      </c>
      <c r="DI100" s="883">
        <f t="shared" ca="1" si="99"/>
        <v>0</v>
      </c>
      <c r="DJ100" s="883">
        <f t="shared" ca="1" si="99"/>
        <v>0</v>
      </c>
      <c r="DK100" s="883">
        <f t="shared" ca="1" si="99"/>
        <v>0</v>
      </c>
      <c r="DL100" s="883">
        <f t="shared" ca="1" si="99"/>
        <v>0</v>
      </c>
      <c r="DM100" s="883">
        <f t="shared" ca="1" si="99"/>
        <v>0</v>
      </c>
      <c r="DN100" s="883">
        <f t="shared" ca="1" si="97"/>
        <v>0</v>
      </c>
      <c r="DO100" s="883">
        <f t="shared" ca="1" si="97"/>
        <v>0</v>
      </c>
      <c r="DP100" s="883">
        <f t="shared" ca="1" si="97"/>
        <v>0</v>
      </c>
      <c r="DQ100" s="883">
        <f t="shared" ca="1" si="97"/>
        <v>0</v>
      </c>
      <c r="DR100" s="883">
        <f t="shared" ca="1" si="97"/>
        <v>0</v>
      </c>
      <c r="DS100" s="883">
        <f t="shared" ca="1" si="97"/>
        <v>0</v>
      </c>
      <c r="DT100" s="883">
        <f t="shared" ca="1" si="97"/>
        <v>0</v>
      </c>
      <c r="DU100" s="883">
        <f t="shared" ca="1" si="97"/>
        <v>0</v>
      </c>
      <c r="DV100" s="883">
        <f t="shared" ca="1" si="97"/>
        <v>0</v>
      </c>
      <c r="DW100" s="883">
        <f t="shared" ca="1" si="97"/>
        <v>0</v>
      </c>
      <c r="DX100" s="883">
        <f t="shared" ca="1" si="97"/>
        <v>0</v>
      </c>
      <c r="DY100" s="883">
        <f t="shared" ca="1" si="97"/>
        <v>0</v>
      </c>
      <c r="DZ100" s="883">
        <f t="shared" ca="1" si="97"/>
        <v>0</v>
      </c>
      <c r="EA100" s="883">
        <f t="shared" ca="1" si="97"/>
        <v>0</v>
      </c>
      <c r="EB100" s="883">
        <f t="shared" ca="1" si="97"/>
        <v>0</v>
      </c>
      <c r="EC100" s="883">
        <f t="shared" ca="1" si="97"/>
        <v>0</v>
      </c>
      <c r="ED100" s="883">
        <f t="shared" ca="1" si="98"/>
        <v>0</v>
      </c>
      <c r="EE100" s="883">
        <f t="shared" ca="1" si="98"/>
        <v>0</v>
      </c>
      <c r="EF100" s="883">
        <f t="shared" ca="1" si="98"/>
        <v>0</v>
      </c>
      <c r="EG100" s="883">
        <f t="shared" ca="1" si="98"/>
        <v>0</v>
      </c>
      <c r="EH100" s="883">
        <f t="shared" ca="1" si="98"/>
        <v>0</v>
      </c>
      <c r="EI100" s="883">
        <f t="shared" ca="1" si="98"/>
        <v>0</v>
      </c>
      <c r="EJ100" s="883">
        <f t="shared" ca="1" si="98"/>
        <v>0</v>
      </c>
      <c r="EK100" s="883">
        <f t="shared" ca="1" si="98"/>
        <v>0</v>
      </c>
      <c r="EL100" s="883">
        <f t="shared" ca="1" si="98"/>
        <v>0</v>
      </c>
      <c r="EM100" s="883">
        <f t="shared" ca="1" si="98"/>
        <v>0</v>
      </c>
      <c r="EN100" s="883">
        <f t="shared" ca="1" si="98"/>
        <v>0</v>
      </c>
      <c r="EO100" s="883">
        <f t="shared" ca="1" si="98"/>
        <v>0</v>
      </c>
      <c r="EP100" s="883">
        <f t="shared" ca="1" si="98"/>
        <v>0</v>
      </c>
      <c r="EQ100" s="883">
        <f t="shared" ca="1" si="98"/>
        <v>0</v>
      </c>
      <c r="ER100" s="883">
        <f t="shared" ca="1" si="98"/>
        <v>0</v>
      </c>
      <c r="ES100" s="883">
        <f t="shared" ca="1" si="98"/>
        <v>0</v>
      </c>
      <c r="ET100" s="883">
        <f t="shared" ca="1" si="100"/>
        <v>0</v>
      </c>
      <c r="EU100" s="883">
        <f t="shared" ca="1" si="100"/>
        <v>0</v>
      </c>
      <c r="EV100" s="883">
        <f t="shared" ca="1" si="100"/>
        <v>0</v>
      </c>
      <c r="EW100" s="883">
        <f t="shared" ca="1" si="100"/>
        <v>0</v>
      </c>
      <c r="EX100" s="883">
        <f t="shared" ca="1" si="100"/>
        <v>0</v>
      </c>
      <c r="EY100" s="883">
        <f t="shared" ca="1" si="100"/>
        <v>0</v>
      </c>
      <c r="EZ100" s="883">
        <f t="shared" ca="1" si="100"/>
        <v>0</v>
      </c>
      <c r="FA100" s="883">
        <f t="shared" ca="1" si="100"/>
        <v>0</v>
      </c>
    </row>
    <row r="101" spans="8:157">
      <c r="H101" s="891" t="str">
        <f t="shared" ca="1" si="80"/>
        <v/>
      </c>
      <c r="I101" s="1206" t="e">
        <f t="shared" ca="1" si="77"/>
        <v>#N/A</v>
      </c>
      <c r="J101" s="1206">
        <f t="shared" ca="1" si="78"/>
        <v>0</v>
      </c>
      <c r="K101" s="929" t="str">
        <f t="shared" si="79"/>
        <v/>
      </c>
      <c r="L101" s="929" t="str">
        <f t="shared" si="81"/>
        <v/>
      </c>
      <c r="N101" s="1714">
        <v>31</v>
      </c>
      <c r="P101" s="882" t="e">
        <f ca="1">VLOOKUP(Q101,bond!B:AA,26,FALSE)</f>
        <v>#N/A</v>
      </c>
      <c r="Q101" s="928">
        <f ca="1">Change投!S43</f>
        <v>0</v>
      </c>
      <c r="R101" s="889">
        <f ca="1">IFERROR(IF(Q101="",0,IF($D$4=1,Change投!AC43*Change投!AJ43,Change投!AC43)),0)</f>
        <v>0</v>
      </c>
      <c r="S101" s="885" t="e">
        <f ca="1">Change投!W43</f>
        <v>#N/A</v>
      </c>
      <c r="T101" s="883">
        <f t="shared" ref="T101:T106" ca="1" si="105">IFERROR(IF(R101&gt;0,YEAR(S101),0),0)</f>
        <v>0</v>
      </c>
      <c r="U101" s="885" t="str">
        <f ca="1">Change投!Z43</f>
        <v/>
      </c>
      <c r="V101" s="886" t="str">
        <f t="shared" ref="V101:V106" ca="1" si="106">IFERROR(YEAR(U101),"")</f>
        <v/>
      </c>
      <c r="W101" s="885" t="e">
        <f t="shared" ref="W101:W106" ca="1" si="107">IF(P101="Y","待定義",S101)</f>
        <v>#N/A</v>
      </c>
      <c r="X101" s="886" t="str">
        <f t="shared" ref="X101:X106" ca="1" si="108">IFERROR(YEAR(W101),"")</f>
        <v/>
      </c>
      <c r="Y101" s="887" t="str">
        <f ca="1">Change投!Y43</f>
        <v/>
      </c>
      <c r="Z101" s="886">
        <f ca="1">Change投!AC43</f>
        <v>0</v>
      </c>
      <c r="AA101" s="1205">
        <f ca="1">Change投!X43</f>
        <v>0</v>
      </c>
      <c r="AB101" s="881">
        <f ca="1">Change投!AJ43</f>
        <v>0</v>
      </c>
      <c r="AC101" s="887">
        <f t="shared" ref="AC101:AC106" ca="1" si="109">IFERROR(IF($D$4=1,(Z101*AA101*AB101)/Y101,(Z101*AA101)/Y101),0)</f>
        <v>0</v>
      </c>
      <c r="AD101" s="883">
        <f t="shared" ref="AD101:AR106" ca="1" si="110">IFERROR(IF(YEAR($W101)&lt;AD$4,0,IF(YEAR($W101)=AD$4,IF($P101="美國國庫債券",ROUND(DATEDIF($U101,$W101,"M")/(12/$Y101),0)+1,DATEDIF($U101,$W101,"M")/(12/$Y101)+1),INT(DATEDIF($U101,AD$5,"M")/(12/$Y101))+1)),0)</f>
        <v>0</v>
      </c>
      <c r="AE101" s="883">
        <f t="shared" ca="1" si="110"/>
        <v>0</v>
      </c>
      <c r="AF101" s="883">
        <f t="shared" ca="1" si="110"/>
        <v>0</v>
      </c>
      <c r="AG101" s="883">
        <f t="shared" ca="1" si="110"/>
        <v>0</v>
      </c>
      <c r="AH101" s="883">
        <f t="shared" ca="1" si="110"/>
        <v>0</v>
      </c>
      <c r="AI101" s="883">
        <f t="shared" ca="1" si="110"/>
        <v>0</v>
      </c>
      <c r="AJ101" s="883">
        <f t="shared" ca="1" si="110"/>
        <v>0</v>
      </c>
      <c r="AK101" s="883">
        <f t="shared" ca="1" si="110"/>
        <v>0</v>
      </c>
      <c r="AL101" s="883">
        <f t="shared" ca="1" si="110"/>
        <v>0</v>
      </c>
      <c r="AM101" s="883">
        <f t="shared" ca="1" si="110"/>
        <v>0</v>
      </c>
      <c r="AN101" s="883">
        <f t="shared" ca="1" si="110"/>
        <v>0</v>
      </c>
      <c r="AO101" s="883">
        <f t="shared" ca="1" si="110"/>
        <v>0</v>
      </c>
      <c r="AP101" s="883">
        <f t="shared" ca="1" si="110"/>
        <v>0</v>
      </c>
      <c r="AQ101" s="883">
        <f t="shared" ca="1" si="110"/>
        <v>0</v>
      </c>
      <c r="AR101" s="883">
        <f t="shared" ca="1" si="110"/>
        <v>0</v>
      </c>
      <c r="AS101" s="883">
        <f t="shared" ca="1" si="104"/>
        <v>0</v>
      </c>
      <c r="AT101" s="883">
        <f t="shared" ca="1" si="104"/>
        <v>0</v>
      </c>
      <c r="AU101" s="883">
        <f t="shared" ca="1" si="104"/>
        <v>0</v>
      </c>
      <c r="AV101" s="883">
        <f t="shared" ca="1" si="104"/>
        <v>0</v>
      </c>
      <c r="AW101" s="883">
        <f t="shared" ca="1" si="104"/>
        <v>0</v>
      </c>
      <c r="AX101" s="883">
        <f t="shared" ca="1" si="104"/>
        <v>0</v>
      </c>
      <c r="AY101" s="883">
        <f t="shared" ca="1" si="104"/>
        <v>0</v>
      </c>
      <c r="AZ101" s="883">
        <f t="shared" ca="1" si="104"/>
        <v>0</v>
      </c>
      <c r="BA101" s="883">
        <f t="shared" ca="1" si="104"/>
        <v>0</v>
      </c>
      <c r="BB101" s="883">
        <f t="shared" ca="1" si="104"/>
        <v>0</v>
      </c>
      <c r="BC101" s="883">
        <f t="shared" ca="1" si="104"/>
        <v>0</v>
      </c>
      <c r="BD101" s="883">
        <f t="shared" ca="1" si="104"/>
        <v>0</v>
      </c>
      <c r="BE101" s="883">
        <f t="shared" ca="1" si="104"/>
        <v>0</v>
      </c>
      <c r="BF101" s="883">
        <f t="shared" ca="1" si="104"/>
        <v>0</v>
      </c>
      <c r="BG101" s="883">
        <f t="shared" ca="1" si="104"/>
        <v>0</v>
      </c>
      <c r="BH101" s="883">
        <f t="shared" ca="1" si="104"/>
        <v>0</v>
      </c>
      <c r="BI101" s="883">
        <f t="shared" ca="1" si="102"/>
        <v>0</v>
      </c>
      <c r="BJ101" s="883">
        <f t="shared" ca="1" si="102"/>
        <v>0</v>
      </c>
      <c r="BK101" s="883">
        <f t="shared" ca="1" si="102"/>
        <v>0</v>
      </c>
      <c r="BL101" s="883">
        <f t="shared" ca="1" si="102"/>
        <v>0</v>
      </c>
      <c r="BM101" s="883">
        <f t="shared" ca="1" si="102"/>
        <v>0</v>
      </c>
      <c r="BN101" s="883">
        <f t="shared" ca="1" si="102"/>
        <v>0</v>
      </c>
      <c r="BO101" s="883">
        <f t="shared" ca="1" si="102"/>
        <v>0</v>
      </c>
      <c r="BP101" s="883">
        <f t="shared" ca="1" si="102"/>
        <v>0</v>
      </c>
      <c r="BQ101" s="883">
        <f t="shared" ca="1" si="102"/>
        <v>0</v>
      </c>
      <c r="BR101" s="883">
        <f t="shared" ca="1" si="102"/>
        <v>0</v>
      </c>
      <c r="BS101" s="883">
        <f t="shared" ca="1" si="102"/>
        <v>0</v>
      </c>
      <c r="BT101" s="883">
        <f t="shared" ca="1" si="102"/>
        <v>0</v>
      </c>
      <c r="BU101" s="883">
        <f t="shared" ca="1" si="102"/>
        <v>0</v>
      </c>
      <c r="BV101" s="883">
        <f t="shared" ca="1" si="102"/>
        <v>0</v>
      </c>
      <c r="BW101" s="883">
        <f t="shared" ca="1" si="102"/>
        <v>0</v>
      </c>
      <c r="BX101" s="883">
        <f t="shared" ca="1" si="102"/>
        <v>0</v>
      </c>
      <c r="BY101" s="883">
        <f t="shared" ca="1" si="103"/>
        <v>0</v>
      </c>
      <c r="BZ101" s="883">
        <f t="shared" ca="1" si="103"/>
        <v>0</v>
      </c>
      <c r="CA101" s="883">
        <f t="shared" ca="1" si="103"/>
        <v>0</v>
      </c>
      <c r="CB101" s="883">
        <f t="shared" ca="1" si="103"/>
        <v>0</v>
      </c>
      <c r="CC101" s="883">
        <f t="shared" ca="1" si="103"/>
        <v>0</v>
      </c>
      <c r="CD101" s="883">
        <f t="shared" ca="1" si="103"/>
        <v>0</v>
      </c>
      <c r="CE101" s="883">
        <f t="shared" ca="1" si="103"/>
        <v>0</v>
      </c>
      <c r="CF101" s="883">
        <f t="shared" ca="1" si="103"/>
        <v>0</v>
      </c>
      <c r="CG101" s="883">
        <f t="shared" ca="1" si="103"/>
        <v>0</v>
      </c>
      <c r="CH101" s="883">
        <f t="shared" ca="1" si="103"/>
        <v>0</v>
      </c>
      <c r="CI101" s="883">
        <f t="shared" ca="1" si="103"/>
        <v>0</v>
      </c>
      <c r="CJ101" s="883">
        <f t="shared" ca="1" si="103"/>
        <v>0</v>
      </c>
      <c r="CK101" s="883">
        <f t="shared" ca="1" si="103"/>
        <v>0</v>
      </c>
      <c r="CL101" s="883">
        <f t="shared" ca="1" si="103"/>
        <v>0</v>
      </c>
      <c r="CM101" s="883">
        <f t="shared" ca="1" si="103"/>
        <v>0</v>
      </c>
      <c r="CN101" s="883">
        <f t="shared" ca="1" si="103"/>
        <v>0</v>
      </c>
      <c r="CO101" s="883">
        <f t="shared" ca="1" si="101"/>
        <v>0</v>
      </c>
      <c r="CP101" s="883">
        <f t="shared" ca="1" si="93"/>
        <v>0</v>
      </c>
      <c r="CQ101" s="883">
        <f t="shared" ca="1" si="94"/>
        <v>0</v>
      </c>
      <c r="CR101" s="883">
        <f t="shared" ca="1" si="94"/>
        <v>0</v>
      </c>
      <c r="CS101" s="883">
        <f t="shared" ca="1" si="94"/>
        <v>0</v>
      </c>
      <c r="CT101" s="883">
        <f t="shared" ca="1" si="94"/>
        <v>0</v>
      </c>
      <c r="CU101" s="883">
        <f t="shared" ca="1" si="94"/>
        <v>0</v>
      </c>
      <c r="CV101" s="883">
        <f t="shared" ca="1" si="94"/>
        <v>0</v>
      </c>
      <c r="CW101" s="883">
        <f t="shared" ca="1" si="94"/>
        <v>0</v>
      </c>
      <c r="CX101" s="883">
        <f t="shared" ca="1" si="94"/>
        <v>0</v>
      </c>
      <c r="CY101" s="883">
        <f t="shared" ca="1" si="94"/>
        <v>0</v>
      </c>
      <c r="CZ101" s="883">
        <f t="shared" ca="1" si="94"/>
        <v>0</v>
      </c>
      <c r="DA101" s="883">
        <f t="shared" ca="1" si="94"/>
        <v>0</v>
      </c>
      <c r="DB101" s="883">
        <f t="shared" ca="1" si="94"/>
        <v>0</v>
      </c>
      <c r="DC101" s="883">
        <f t="shared" ca="1" si="94"/>
        <v>0</v>
      </c>
      <c r="DD101" s="883">
        <f t="shared" ca="1" si="94"/>
        <v>0</v>
      </c>
      <c r="DE101" s="883">
        <f t="shared" ca="1" si="94"/>
        <v>0</v>
      </c>
      <c r="DF101" s="883">
        <f t="shared" ca="1" si="94"/>
        <v>0</v>
      </c>
      <c r="DG101" s="883">
        <f t="shared" ca="1" si="99"/>
        <v>0</v>
      </c>
      <c r="DH101" s="883">
        <f t="shared" ca="1" si="99"/>
        <v>0</v>
      </c>
      <c r="DI101" s="883">
        <f t="shared" ca="1" si="99"/>
        <v>0</v>
      </c>
      <c r="DJ101" s="883">
        <f t="shared" ca="1" si="99"/>
        <v>0</v>
      </c>
      <c r="DK101" s="883">
        <f t="shared" ca="1" si="99"/>
        <v>0</v>
      </c>
      <c r="DL101" s="883">
        <f t="shared" ca="1" si="99"/>
        <v>0</v>
      </c>
      <c r="DM101" s="883">
        <f t="shared" ca="1" si="99"/>
        <v>0</v>
      </c>
      <c r="DN101" s="883">
        <f t="shared" ca="1" si="97"/>
        <v>0</v>
      </c>
      <c r="DO101" s="883">
        <f t="shared" ca="1" si="97"/>
        <v>0</v>
      </c>
      <c r="DP101" s="883">
        <f t="shared" ca="1" si="97"/>
        <v>0</v>
      </c>
      <c r="DQ101" s="883">
        <f t="shared" ca="1" si="97"/>
        <v>0</v>
      </c>
      <c r="DR101" s="883">
        <f t="shared" ca="1" si="97"/>
        <v>0</v>
      </c>
      <c r="DS101" s="883">
        <f t="shared" ca="1" si="97"/>
        <v>0</v>
      </c>
      <c r="DT101" s="883">
        <f t="shared" ca="1" si="97"/>
        <v>0</v>
      </c>
      <c r="DU101" s="883">
        <f t="shared" ca="1" si="97"/>
        <v>0</v>
      </c>
      <c r="DV101" s="883">
        <f t="shared" ca="1" si="97"/>
        <v>0</v>
      </c>
      <c r="DW101" s="883">
        <f t="shared" ca="1" si="97"/>
        <v>0</v>
      </c>
      <c r="DX101" s="883">
        <f t="shared" ca="1" si="97"/>
        <v>0</v>
      </c>
      <c r="DY101" s="883">
        <f t="shared" ca="1" si="97"/>
        <v>0</v>
      </c>
      <c r="DZ101" s="883">
        <f t="shared" ca="1" si="97"/>
        <v>0</v>
      </c>
      <c r="EA101" s="883">
        <f t="shared" ca="1" si="97"/>
        <v>0</v>
      </c>
      <c r="EB101" s="883">
        <f t="shared" ca="1" si="97"/>
        <v>0</v>
      </c>
      <c r="EC101" s="883">
        <f t="shared" ca="1" si="97"/>
        <v>0</v>
      </c>
      <c r="ED101" s="883">
        <f t="shared" ca="1" si="98"/>
        <v>0</v>
      </c>
      <c r="EE101" s="883">
        <f t="shared" ca="1" si="98"/>
        <v>0</v>
      </c>
      <c r="EF101" s="883">
        <f t="shared" ca="1" si="98"/>
        <v>0</v>
      </c>
      <c r="EG101" s="883">
        <f t="shared" ca="1" si="98"/>
        <v>0</v>
      </c>
      <c r="EH101" s="883">
        <f t="shared" ca="1" si="98"/>
        <v>0</v>
      </c>
      <c r="EI101" s="883">
        <f t="shared" ca="1" si="98"/>
        <v>0</v>
      </c>
      <c r="EJ101" s="883">
        <f t="shared" ca="1" si="98"/>
        <v>0</v>
      </c>
      <c r="EK101" s="883">
        <f t="shared" ca="1" si="98"/>
        <v>0</v>
      </c>
      <c r="EL101" s="883">
        <f t="shared" ca="1" si="98"/>
        <v>0</v>
      </c>
      <c r="EM101" s="883">
        <f t="shared" ca="1" si="98"/>
        <v>0</v>
      </c>
      <c r="EN101" s="883">
        <f t="shared" ca="1" si="98"/>
        <v>0</v>
      </c>
      <c r="EO101" s="883">
        <f t="shared" ca="1" si="98"/>
        <v>0</v>
      </c>
      <c r="EP101" s="883">
        <f t="shared" ca="1" si="98"/>
        <v>0</v>
      </c>
      <c r="EQ101" s="883">
        <f t="shared" ca="1" si="98"/>
        <v>0</v>
      </c>
      <c r="ER101" s="883">
        <f t="shared" ca="1" si="98"/>
        <v>0</v>
      </c>
      <c r="ES101" s="883">
        <f t="shared" ca="1" si="98"/>
        <v>0</v>
      </c>
      <c r="ET101" s="883">
        <f t="shared" ca="1" si="100"/>
        <v>0</v>
      </c>
      <c r="EU101" s="883">
        <f t="shared" ca="1" si="100"/>
        <v>0</v>
      </c>
      <c r="EV101" s="883">
        <f t="shared" ca="1" si="100"/>
        <v>0</v>
      </c>
      <c r="EW101" s="883">
        <f t="shared" ca="1" si="100"/>
        <v>0</v>
      </c>
      <c r="EX101" s="883">
        <f t="shared" ca="1" si="100"/>
        <v>0</v>
      </c>
      <c r="EY101" s="883">
        <f t="shared" ca="1" si="100"/>
        <v>0</v>
      </c>
      <c r="EZ101" s="883">
        <f t="shared" ca="1" si="100"/>
        <v>0</v>
      </c>
      <c r="FA101" s="883">
        <f t="shared" ca="1" si="100"/>
        <v>0</v>
      </c>
    </row>
    <row r="102" spans="8:157">
      <c r="H102" s="891" t="str">
        <f t="shared" ca="1" si="80"/>
        <v/>
      </c>
      <c r="I102" s="1206" t="e">
        <f t="shared" ca="1" si="77"/>
        <v>#N/A</v>
      </c>
      <c r="J102" s="1206">
        <f t="shared" ca="1" si="78"/>
        <v>0</v>
      </c>
      <c r="K102" s="929" t="str">
        <f t="shared" si="79"/>
        <v/>
      </c>
      <c r="L102" s="929" t="str">
        <f t="shared" si="81"/>
        <v/>
      </c>
      <c r="N102" s="1714">
        <v>32</v>
      </c>
      <c r="P102" s="882" t="e">
        <f ca="1">VLOOKUP(Q102,bond!B:AA,26,FALSE)</f>
        <v>#N/A</v>
      </c>
      <c r="Q102" s="928">
        <f ca="1">Change投!S44</f>
        <v>0</v>
      </c>
      <c r="R102" s="889">
        <f ca="1">IFERROR(IF(Q102="",0,IF($D$4=1,Change投!AC44*Change投!AJ44,Change投!AC44)),0)</f>
        <v>0</v>
      </c>
      <c r="S102" s="885" t="e">
        <f ca="1">Change投!W44</f>
        <v>#N/A</v>
      </c>
      <c r="T102" s="883">
        <f t="shared" ca="1" si="105"/>
        <v>0</v>
      </c>
      <c r="U102" s="885" t="str">
        <f ca="1">Change投!Z44</f>
        <v/>
      </c>
      <c r="V102" s="886" t="str">
        <f t="shared" ca="1" si="106"/>
        <v/>
      </c>
      <c r="W102" s="885" t="e">
        <f t="shared" ca="1" si="107"/>
        <v>#N/A</v>
      </c>
      <c r="X102" s="886" t="str">
        <f t="shared" ca="1" si="108"/>
        <v/>
      </c>
      <c r="Y102" s="887" t="str">
        <f ca="1">Change投!Y44</f>
        <v/>
      </c>
      <c r="Z102" s="886">
        <f ca="1">Change投!AC44</f>
        <v>0</v>
      </c>
      <c r="AA102" s="1205">
        <f ca="1">Change投!X44</f>
        <v>0</v>
      </c>
      <c r="AB102" s="881">
        <f ca="1">Change投!AJ44</f>
        <v>0</v>
      </c>
      <c r="AC102" s="887">
        <f t="shared" ca="1" si="109"/>
        <v>0</v>
      </c>
      <c r="AD102" s="883">
        <f t="shared" ca="1" si="110"/>
        <v>0</v>
      </c>
      <c r="AE102" s="883">
        <f t="shared" ca="1" si="110"/>
        <v>0</v>
      </c>
      <c r="AF102" s="883">
        <f t="shared" ca="1" si="110"/>
        <v>0</v>
      </c>
      <c r="AG102" s="883">
        <f t="shared" ca="1" si="110"/>
        <v>0</v>
      </c>
      <c r="AH102" s="883">
        <f t="shared" ca="1" si="110"/>
        <v>0</v>
      </c>
      <c r="AI102" s="883">
        <f t="shared" ca="1" si="110"/>
        <v>0</v>
      </c>
      <c r="AJ102" s="883">
        <f t="shared" ca="1" si="110"/>
        <v>0</v>
      </c>
      <c r="AK102" s="883">
        <f t="shared" ca="1" si="110"/>
        <v>0</v>
      </c>
      <c r="AL102" s="883">
        <f t="shared" ca="1" si="110"/>
        <v>0</v>
      </c>
      <c r="AM102" s="883">
        <f t="shared" ca="1" si="110"/>
        <v>0</v>
      </c>
      <c r="AN102" s="883">
        <f t="shared" ca="1" si="110"/>
        <v>0</v>
      </c>
      <c r="AO102" s="883">
        <f t="shared" ca="1" si="110"/>
        <v>0</v>
      </c>
      <c r="AP102" s="883">
        <f t="shared" ca="1" si="110"/>
        <v>0</v>
      </c>
      <c r="AQ102" s="883">
        <f t="shared" ca="1" si="110"/>
        <v>0</v>
      </c>
      <c r="AR102" s="883">
        <f t="shared" ca="1" si="110"/>
        <v>0</v>
      </c>
      <c r="AS102" s="883">
        <f t="shared" ca="1" si="104"/>
        <v>0</v>
      </c>
      <c r="AT102" s="883">
        <f t="shared" ca="1" si="104"/>
        <v>0</v>
      </c>
      <c r="AU102" s="883">
        <f t="shared" ca="1" si="104"/>
        <v>0</v>
      </c>
      <c r="AV102" s="883">
        <f t="shared" ca="1" si="104"/>
        <v>0</v>
      </c>
      <c r="AW102" s="883">
        <f t="shared" ca="1" si="104"/>
        <v>0</v>
      </c>
      <c r="AX102" s="883">
        <f t="shared" ca="1" si="104"/>
        <v>0</v>
      </c>
      <c r="AY102" s="883">
        <f t="shared" ca="1" si="104"/>
        <v>0</v>
      </c>
      <c r="AZ102" s="883">
        <f t="shared" ca="1" si="104"/>
        <v>0</v>
      </c>
      <c r="BA102" s="883">
        <f t="shared" ca="1" si="104"/>
        <v>0</v>
      </c>
      <c r="BB102" s="883">
        <f t="shared" ca="1" si="104"/>
        <v>0</v>
      </c>
      <c r="BC102" s="883">
        <f t="shared" ca="1" si="104"/>
        <v>0</v>
      </c>
      <c r="BD102" s="883">
        <f t="shared" ca="1" si="104"/>
        <v>0</v>
      </c>
      <c r="BE102" s="883">
        <f t="shared" ca="1" si="104"/>
        <v>0</v>
      </c>
      <c r="BF102" s="883">
        <f t="shared" ca="1" si="104"/>
        <v>0</v>
      </c>
      <c r="BG102" s="883">
        <f t="shared" ca="1" si="104"/>
        <v>0</v>
      </c>
      <c r="BH102" s="883">
        <f t="shared" ca="1" si="104"/>
        <v>0</v>
      </c>
      <c r="BI102" s="883">
        <f t="shared" ca="1" si="102"/>
        <v>0</v>
      </c>
      <c r="BJ102" s="883">
        <f t="shared" ca="1" si="102"/>
        <v>0</v>
      </c>
      <c r="BK102" s="883">
        <f t="shared" ca="1" si="102"/>
        <v>0</v>
      </c>
      <c r="BL102" s="883">
        <f t="shared" ca="1" si="102"/>
        <v>0</v>
      </c>
      <c r="BM102" s="883">
        <f t="shared" ca="1" si="102"/>
        <v>0</v>
      </c>
      <c r="BN102" s="883">
        <f t="shared" ca="1" si="102"/>
        <v>0</v>
      </c>
      <c r="BO102" s="883">
        <f t="shared" ca="1" si="102"/>
        <v>0</v>
      </c>
      <c r="BP102" s="883">
        <f t="shared" ca="1" si="102"/>
        <v>0</v>
      </c>
      <c r="BQ102" s="883">
        <f t="shared" ca="1" si="102"/>
        <v>0</v>
      </c>
      <c r="BR102" s="883">
        <f t="shared" ca="1" si="102"/>
        <v>0</v>
      </c>
      <c r="BS102" s="883">
        <f t="shared" ca="1" si="102"/>
        <v>0</v>
      </c>
      <c r="BT102" s="883">
        <f t="shared" ca="1" si="102"/>
        <v>0</v>
      </c>
      <c r="BU102" s="883">
        <f t="shared" ca="1" si="102"/>
        <v>0</v>
      </c>
      <c r="BV102" s="883">
        <f t="shared" ca="1" si="102"/>
        <v>0</v>
      </c>
      <c r="BW102" s="883">
        <f t="shared" ca="1" si="102"/>
        <v>0</v>
      </c>
      <c r="BX102" s="883">
        <f t="shared" ca="1" si="102"/>
        <v>0</v>
      </c>
      <c r="BY102" s="883">
        <f t="shared" ca="1" si="103"/>
        <v>0</v>
      </c>
      <c r="BZ102" s="883">
        <f t="shared" ca="1" si="103"/>
        <v>0</v>
      </c>
      <c r="CA102" s="883">
        <f t="shared" ca="1" si="103"/>
        <v>0</v>
      </c>
      <c r="CB102" s="883">
        <f t="shared" ca="1" si="103"/>
        <v>0</v>
      </c>
      <c r="CC102" s="883">
        <f t="shared" ca="1" si="103"/>
        <v>0</v>
      </c>
      <c r="CD102" s="883">
        <f t="shared" ca="1" si="103"/>
        <v>0</v>
      </c>
      <c r="CE102" s="883">
        <f t="shared" ca="1" si="103"/>
        <v>0</v>
      </c>
      <c r="CF102" s="883">
        <f t="shared" ca="1" si="103"/>
        <v>0</v>
      </c>
      <c r="CG102" s="883">
        <f t="shared" ca="1" si="103"/>
        <v>0</v>
      </c>
      <c r="CH102" s="883">
        <f t="shared" ca="1" si="103"/>
        <v>0</v>
      </c>
      <c r="CI102" s="883">
        <f t="shared" ca="1" si="103"/>
        <v>0</v>
      </c>
      <c r="CJ102" s="883">
        <f t="shared" ca="1" si="103"/>
        <v>0</v>
      </c>
      <c r="CK102" s="883">
        <f t="shared" ca="1" si="103"/>
        <v>0</v>
      </c>
      <c r="CL102" s="883">
        <f t="shared" ca="1" si="103"/>
        <v>0</v>
      </c>
      <c r="CM102" s="883">
        <f t="shared" ca="1" si="103"/>
        <v>0</v>
      </c>
      <c r="CN102" s="883">
        <f t="shared" ca="1" si="103"/>
        <v>0</v>
      </c>
      <c r="CO102" s="883">
        <f t="shared" ca="1" si="101"/>
        <v>0</v>
      </c>
      <c r="CP102" s="883">
        <f t="shared" ref="CP102:DE106" ca="1" si="111">IFERROR(IF(YEAR($W102)&lt;CP$4,0,IF(YEAR($W102)=CP$4,IF($P102="美國國庫債券",ROUND(DATEDIF($U102,$W102,"M")/(12/$Y102),0)+1,DATEDIF($U102,$W102,"M")/(12/$Y102)+1),INT(DATEDIF($U102,CP$5,"M")/(12/$Y102))+1)),0)</f>
        <v>0</v>
      </c>
      <c r="CQ102" s="883">
        <f t="shared" ca="1" si="111"/>
        <v>0</v>
      </c>
      <c r="CR102" s="883">
        <f t="shared" ca="1" si="111"/>
        <v>0</v>
      </c>
      <c r="CS102" s="883">
        <f t="shared" ca="1" si="111"/>
        <v>0</v>
      </c>
      <c r="CT102" s="883">
        <f t="shared" ca="1" si="111"/>
        <v>0</v>
      </c>
      <c r="CU102" s="883">
        <f t="shared" ca="1" si="111"/>
        <v>0</v>
      </c>
      <c r="CV102" s="883">
        <f t="shared" ca="1" si="111"/>
        <v>0</v>
      </c>
      <c r="CW102" s="883">
        <f t="shared" ca="1" si="111"/>
        <v>0</v>
      </c>
      <c r="CX102" s="883">
        <f t="shared" ca="1" si="111"/>
        <v>0</v>
      </c>
      <c r="CY102" s="883">
        <f t="shared" ca="1" si="111"/>
        <v>0</v>
      </c>
      <c r="CZ102" s="883">
        <f t="shared" ca="1" si="111"/>
        <v>0</v>
      </c>
      <c r="DA102" s="883">
        <f t="shared" ca="1" si="111"/>
        <v>0</v>
      </c>
      <c r="DB102" s="883">
        <f t="shared" ca="1" si="111"/>
        <v>0</v>
      </c>
      <c r="DC102" s="883">
        <f t="shared" ca="1" si="111"/>
        <v>0</v>
      </c>
      <c r="DD102" s="883">
        <f t="shared" ca="1" si="111"/>
        <v>0</v>
      </c>
      <c r="DE102" s="883">
        <f t="shared" ca="1" si="111"/>
        <v>0</v>
      </c>
      <c r="DF102" s="883">
        <f t="shared" ref="CQ102:DF106" ca="1" si="112">IFERROR(IF(YEAR($W102)&lt;DF$4,0,IF(YEAR($W102)=DF$4,IF($P102="美國國庫債券",ROUND(DATEDIF($U102,$W102,"M")/(12/$Y102),0)+1,DATEDIF($U102,$W102,"M")/(12/$Y102)+1),INT(DATEDIF($U102,DF$5,"M")/(12/$Y102))+1)),0)</f>
        <v>0</v>
      </c>
      <c r="DG102" s="883">
        <f t="shared" ca="1" si="99"/>
        <v>0</v>
      </c>
      <c r="DH102" s="883">
        <f t="shared" ca="1" si="99"/>
        <v>0</v>
      </c>
      <c r="DI102" s="883">
        <f t="shared" ca="1" si="99"/>
        <v>0</v>
      </c>
      <c r="DJ102" s="883">
        <f t="shared" ca="1" si="99"/>
        <v>0</v>
      </c>
      <c r="DK102" s="883">
        <f t="shared" ca="1" si="99"/>
        <v>0</v>
      </c>
      <c r="DL102" s="883">
        <f t="shared" ca="1" si="99"/>
        <v>0</v>
      </c>
      <c r="DM102" s="883">
        <f t="shared" ca="1" si="99"/>
        <v>0</v>
      </c>
      <c r="DN102" s="883">
        <f t="shared" ca="1" si="97"/>
        <v>0</v>
      </c>
      <c r="DO102" s="883">
        <f t="shared" ca="1" si="97"/>
        <v>0</v>
      </c>
      <c r="DP102" s="883">
        <f t="shared" ca="1" si="97"/>
        <v>0</v>
      </c>
      <c r="DQ102" s="883">
        <f t="shared" ca="1" si="97"/>
        <v>0</v>
      </c>
      <c r="DR102" s="883">
        <f t="shared" ca="1" si="97"/>
        <v>0</v>
      </c>
      <c r="DS102" s="883">
        <f t="shared" ca="1" si="97"/>
        <v>0</v>
      </c>
      <c r="DT102" s="883">
        <f t="shared" ca="1" si="97"/>
        <v>0</v>
      </c>
      <c r="DU102" s="883">
        <f t="shared" ca="1" si="97"/>
        <v>0</v>
      </c>
      <c r="DV102" s="883">
        <f t="shared" ca="1" si="97"/>
        <v>0</v>
      </c>
      <c r="DW102" s="883">
        <f t="shared" ca="1" si="97"/>
        <v>0</v>
      </c>
      <c r="DX102" s="883">
        <f t="shared" ca="1" si="97"/>
        <v>0</v>
      </c>
      <c r="DY102" s="883">
        <f t="shared" ca="1" si="97"/>
        <v>0</v>
      </c>
      <c r="DZ102" s="883">
        <f t="shared" ca="1" si="97"/>
        <v>0</v>
      </c>
      <c r="EA102" s="883">
        <f t="shared" ca="1" si="97"/>
        <v>0</v>
      </c>
      <c r="EB102" s="883">
        <f t="shared" ca="1" si="97"/>
        <v>0</v>
      </c>
      <c r="EC102" s="883">
        <f t="shared" ca="1" si="97"/>
        <v>0</v>
      </c>
      <c r="ED102" s="883">
        <f t="shared" ca="1" si="98"/>
        <v>0</v>
      </c>
      <c r="EE102" s="883">
        <f t="shared" ca="1" si="98"/>
        <v>0</v>
      </c>
      <c r="EF102" s="883">
        <f t="shared" ca="1" si="98"/>
        <v>0</v>
      </c>
      <c r="EG102" s="883">
        <f t="shared" ca="1" si="98"/>
        <v>0</v>
      </c>
      <c r="EH102" s="883">
        <f t="shared" ca="1" si="98"/>
        <v>0</v>
      </c>
      <c r="EI102" s="883">
        <f t="shared" ca="1" si="98"/>
        <v>0</v>
      </c>
      <c r="EJ102" s="883">
        <f t="shared" ca="1" si="98"/>
        <v>0</v>
      </c>
      <c r="EK102" s="883">
        <f t="shared" ca="1" si="98"/>
        <v>0</v>
      </c>
      <c r="EL102" s="883">
        <f t="shared" ca="1" si="98"/>
        <v>0</v>
      </c>
      <c r="EM102" s="883">
        <f t="shared" ca="1" si="98"/>
        <v>0</v>
      </c>
      <c r="EN102" s="883">
        <f t="shared" ca="1" si="98"/>
        <v>0</v>
      </c>
      <c r="EO102" s="883">
        <f t="shared" ca="1" si="98"/>
        <v>0</v>
      </c>
      <c r="EP102" s="883">
        <f t="shared" ca="1" si="98"/>
        <v>0</v>
      </c>
      <c r="EQ102" s="883">
        <f t="shared" ca="1" si="98"/>
        <v>0</v>
      </c>
      <c r="ER102" s="883">
        <f t="shared" ca="1" si="98"/>
        <v>0</v>
      </c>
      <c r="ES102" s="883">
        <f t="shared" ca="1" si="98"/>
        <v>0</v>
      </c>
      <c r="ET102" s="883">
        <f t="shared" ca="1" si="100"/>
        <v>0</v>
      </c>
      <c r="EU102" s="883">
        <f t="shared" ca="1" si="100"/>
        <v>0</v>
      </c>
      <c r="EV102" s="883">
        <f t="shared" ca="1" si="100"/>
        <v>0</v>
      </c>
      <c r="EW102" s="883">
        <f t="shared" ca="1" si="100"/>
        <v>0</v>
      </c>
      <c r="EX102" s="883">
        <f t="shared" ca="1" si="100"/>
        <v>0</v>
      </c>
      <c r="EY102" s="883">
        <f t="shared" ca="1" si="100"/>
        <v>0</v>
      </c>
      <c r="EZ102" s="883">
        <f t="shared" ca="1" si="100"/>
        <v>0</v>
      </c>
      <c r="FA102" s="883">
        <f t="shared" ca="1" si="100"/>
        <v>0</v>
      </c>
    </row>
    <row r="103" spans="8:157">
      <c r="H103" s="891" t="str">
        <f t="shared" ca="1" si="80"/>
        <v/>
      </c>
      <c r="I103" s="1206" t="e">
        <f t="shared" ca="1" si="77"/>
        <v>#N/A</v>
      </c>
      <c r="J103" s="1206">
        <f t="shared" ca="1" si="78"/>
        <v>0</v>
      </c>
      <c r="K103" s="929" t="str">
        <f t="shared" si="79"/>
        <v/>
      </c>
      <c r="L103" s="929" t="str">
        <f t="shared" si="81"/>
        <v/>
      </c>
      <c r="N103" s="1714">
        <v>33</v>
      </c>
      <c r="P103" s="882" t="e">
        <f ca="1">VLOOKUP(Q103,bond!B:AA,26,FALSE)</f>
        <v>#N/A</v>
      </c>
      <c r="Q103" s="928">
        <f ca="1">Change投!S45</f>
        <v>0</v>
      </c>
      <c r="R103" s="889">
        <f ca="1">IFERROR(IF(Q103="",0,IF($D$4=1,Change投!AC45*Change投!AJ45,Change投!AC45)),0)</f>
        <v>0</v>
      </c>
      <c r="S103" s="885" t="e">
        <f ca="1">Change投!W45</f>
        <v>#N/A</v>
      </c>
      <c r="T103" s="883">
        <f t="shared" ca="1" si="105"/>
        <v>0</v>
      </c>
      <c r="U103" s="885" t="str">
        <f ca="1">Change投!Z45</f>
        <v/>
      </c>
      <c r="V103" s="886" t="str">
        <f t="shared" ca="1" si="106"/>
        <v/>
      </c>
      <c r="W103" s="885" t="e">
        <f t="shared" ca="1" si="107"/>
        <v>#N/A</v>
      </c>
      <c r="X103" s="886" t="str">
        <f t="shared" ca="1" si="108"/>
        <v/>
      </c>
      <c r="Y103" s="887" t="str">
        <f ca="1">Change投!Y45</f>
        <v/>
      </c>
      <c r="Z103" s="886">
        <f ca="1">Change投!AC45</f>
        <v>0</v>
      </c>
      <c r="AA103" s="1205">
        <f ca="1">Change投!X45</f>
        <v>0</v>
      </c>
      <c r="AB103" s="881">
        <f ca="1">Change投!AJ45</f>
        <v>0</v>
      </c>
      <c r="AC103" s="887">
        <f t="shared" ca="1" si="109"/>
        <v>0</v>
      </c>
      <c r="AD103" s="883">
        <f t="shared" ca="1" si="110"/>
        <v>0</v>
      </c>
      <c r="AE103" s="883">
        <f t="shared" ca="1" si="110"/>
        <v>0</v>
      </c>
      <c r="AF103" s="883">
        <f t="shared" ca="1" si="110"/>
        <v>0</v>
      </c>
      <c r="AG103" s="883">
        <f t="shared" ca="1" si="110"/>
        <v>0</v>
      </c>
      <c r="AH103" s="883">
        <f t="shared" ca="1" si="110"/>
        <v>0</v>
      </c>
      <c r="AI103" s="883">
        <f t="shared" ca="1" si="110"/>
        <v>0</v>
      </c>
      <c r="AJ103" s="883">
        <f t="shared" ca="1" si="110"/>
        <v>0</v>
      </c>
      <c r="AK103" s="883">
        <f t="shared" ca="1" si="110"/>
        <v>0</v>
      </c>
      <c r="AL103" s="883">
        <f t="shared" ca="1" si="110"/>
        <v>0</v>
      </c>
      <c r="AM103" s="883">
        <f t="shared" ca="1" si="110"/>
        <v>0</v>
      </c>
      <c r="AN103" s="883">
        <f t="shared" ca="1" si="110"/>
        <v>0</v>
      </c>
      <c r="AO103" s="883">
        <f t="shared" ca="1" si="110"/>
        <v>0</v>
      </c>
      <c r="AP103" s="883">
        <f t="shared" ca="1" si="110"/>
        <v>0</v>
      </c>
      <c r="AQ103" s="883">
        <f t="shared" ca="1" si="110"/>
        <v>0</v>
      </c>
      <c r="AR103" s="883">
        <f t="shared" ca="1" si="110"/>
        <v>0</v>
      </c>
      <c r="AS103" s="883">
        <f t="shared" ca="1" si="104"/>
        <v>0</v>
      </c>
      <c r="AT103" s="883">
        <f t="shared" ca="1" si="104"/>
        <v>0</v>
      </c>
      <c r="AU103" s="883">
        <f t="shared" ca="1" si="104"/>
        <v>0</v>
      </c>
      <c r="AV103" s="883">
        <f t="shared" ca="1" si="104"/>
        <v>0</v>
      </c>
      <c r="AW103" s="883">
        <f t="shared" ca="1" si="104"/>
        <v>0</v>
      </c>
      <c r="AX103" s="883">
        <f t="shared" ca="1" si="104"/>
        <v>0</v>
      </c>
      <c r="AY103" s="883">
        <f t="shared" ca="1" si="104"/>
        <v>0</v>
      </c>
      <c r="AZ103" s="883">
        <f t="shared" ca="1" si="104"/>
        <v>0</v>
      </c>
      <c r="BA103" s="883">
        <f t="shared" ca="1" si="104"/>
        <v>0</v>
      </c>
      <c r="BB103" s="883">
        <f t="shared" ca="1" si="104"/>
        <v>0</v>
      </c>
      <c r="BC103" s="883">
        <f t="shared" ca="1" si="104"/>
        <v>0</v>
      </c>
      <c r="BD103" s="883">
        <f t="shared" ca="1" si="104"/>
        <v>0</v>
      </c>
      <c r="BE103" s="883">
        <f t="shared" ca="1" si="104"/>
        <v>0</v>
      </c>
      <c r="BF103" s="883">
        <f t="shared" ca="1" si="104"/>
        <v>0</v>
      </c>
      <c r="BG103" s="883">
        <f t="shared" ca="1" si="104"/>
        <v>0</v>
      </c>
      <c r="BH103" s="883">
        <f t="shared" ca="1" si="104"/>
        <v>0</v>
      </c>
      <c r="BI103" s="883">
        <f t="shared" ca="1" si="102"/>
        <v>0</v>
      </c>
      <c r="BJ103" s="883">
        <f t="shared" ca="1" si="102"/>
        <v>0</v>
      </c>
      <c r="BK103" s="883">
        <f t="shared" ca="1" si="102"/>
        <v>0</v>
      </c>
      <c r="BL103" s="883">
        <f t="shared" ca="1" si="102"/>
        <v>0</v>
      </c>
      <c r="BM103" s="883">
        <f t="shared" ca="1" si="102"/>
        <v>0</v>
      </c>
      <c r="BN103" s="883">
        <f t="shared" ca="1" si="102"/>
        <v>0</v>
      </c>
      <c r="BO103" s="883">
        <f t="shared" ca="1" si="102"/>
        <v>0</v>
      </c>
      <c r="BP103" s="883">
        <f t="shared" ca="1" si="102"/>
        <v>0</v>
      </c>
      <c r="BQ103" s="883">
        <f t="shared" ca="1" si="102"/>
        <v>0</v>
      </c>
      <c r="BR103" s="883">
        <f t="shared" ca="1" si="102"/>
        <v>0</v>
      </c>
      <c r="BS103" s="883">
        <f t="shared" ca="1" si="102"/>
        <v>0</v>
      </c>
      <c r="BT103" s="883">
        <f t="shared" ca="1" si="102"/>
        <v>0</v>
      </c>
      <c r="BU103" s="883">
        <f t="shared" ca="1" si="102"/>
        <v>0</v>
      </c>
      <c r="BV103" s="883">
        <f t="shared" ca="1" si="102"/>
        <v>0</v>
      </c>
      <c r="BW103" s="883">
        <f t="shared" ca="1" si="102"/>
        <v>0</v>
      </c>
      <c r="BX103" s="883">
        <f t="shared" ca="1" si="102"/>
        <v>0</v>
      </c>
      <c r="BY103" s="883">
        <f t="shared" ca="1" si="103"/>
        <v>0</v>
      </c>
      <c r="BZ103" s="883">
        <f t="shared" ca="1" si="103"/>
        <v>0</v>
      </c>
      <c r="CA103" s="883">
        <f t="shared" ca="1" si="103"/>
        <v>0</v>
      </c>
      <c r="CB103" s="883">
        <f t="shared" ca="1" si="103"/>
        <v>0</v>
      </c>
      <c r="CC103" s="883">
        <f t="shared" ca="1" si="103"/>
        <v>0</v>
      </c>
      <c r="CD103" s="883">
        <f t="shared" ca="1" si="103"/>
        <v>0</v>
      </c>
      <c r="CE103" s="883">
        <f t="shared" ca="1" si="103"/>
        <v>0</v>
      </c>
      <c r="CF103" s="883">
        <f t="shared" ca="1" si="103"/>
        <v>0</v>
      </c>
      <c r="CG103" s="883">
        <f t="shared" ca="1" si="103"/>
        <v>0</v>
      </c>
      <c r="CH103" s="883">
        <f t="shared" ca="1" si="103"/>
        <v>0</v>
      </c>
      <c r="CI103" s="883">
        <f t="shared" ca="1" si="103"/>
        <v>0</v>
      </c>
      <c r="CJ103" s="883">
        <f t="shared" ca="1" si="103"/>
        <v>0</v>
      </c>
      <c r="CK103" s="883">
        <f t="shared" ca="1" si="103"/>
        <v>0</v>
      </c>
      <c r="CL103" s="883">
        <f t="shared" ca="1" si="103"/>
        <v>0</v>
      </c>
      <c r="CM103" s="883">
        <f t="shared" ca="1" si="103"/>
        <v>0</v>
      </c>
      <c r="CN103" s="883">
        <f t="shared" ca="1" si="103"/>
        <v>0</v>
      </c>
      <c r="CO103" s="883">
        <f t="shared" ca="1" si="101"/>
        <v>0</v>
      </c>
      <c r="CP103" s="883">
        <f t="shared" ca="1" si="111"/>
        <v>0</v>
      </c>
      <c r="CQ103" s="883">
        <f t="shared" ca="1" si="112"/>
        <v>0</v>
      </c>
      <c r="CR103" s="883">
        <f t="shared" ca="1" si="112"/>
        <v>0</v>
      </c>
      <c r="CS103" s="883">
        <f t="shared" ca="1" si="112"/>
        <v>0</v>
      </c>
      <c r="CT103" s="883">
        <f t="shared" ca="1" si="112"/>
        <v>0</v>
      </c>
      <c r="CU103" s="883">
        <f t="shared" ca="1" si="112"/>
        <v>0</v>
      </c>
      <c r="CV103" s="883">
        <f t="shared" ca="1" si="112"/>
        <v>0</v>
      </c>
      <c r="CW103" s="883">
        <f t="shared" ca="1" si="112"/>
        <v>0</v>
      </c>
      <c r="CX103" s="883">
        <f t="shared" ca="1" si="112"/>
        <v>0</v>
      </c>
      <c r="CY103" s="883">
        <f t="shared" ca="1" si="112"/>
        <v>0</v>
      </c>
      <c r="CZ103" s="883">
        <f t="shared" ca="1" si="112"/>
        <v>0</v>
      </c>
      <c r="DA103" s="883">
        <f t="shared" ca="1" si="112"/>
        <v>0</v>
      </c>
      <c r="DB103" s="883">
        <f t="shared" ca="1" si="112"/>
        <v>0</v>
      </c>
      <c r="DC103" s="883">
        <f t="shared" ca="1" si="112"/>
        <v>0</v>
      </c>
      <c r="DD103" s="883">
        <f t="shared" ca="1" si="112"/>
        <v>0</v>
      </c>
      <c r="DE103" s="883">
        <f t="shared" ca="1" si="112"/>
        <v>0</v>
      </c>
      <c r="DF103" s="883">
        <f t="shared" ca="1" si="112"/>
        <v>0</v>
      </c>
      <c r="DG103" s="883">
        <f t="shared" ca="1" si="99"/>
        <v>0</v>
      </c>
      <c r="DH103" s="883">
        <f t="shared" ca="1" si="99"/>
        <v>0</v>
      </c>
      <c r="DI103" s="883">
        <f t="shared" ca="1" si="99"/>
        <v>0</v>
      </c>
      <c r="DJ103" s="883">
        <f t="shared" ca="1" si="99"/>
        <v>0</v>
      </c>
      <c r="DK103" s="883">
        <f t="shared" ca="1" si="99"/>
        <v>0</v>
      </c>
      <c r="DL103" s="883">
        <f t="shared" ca="1" si="99"/>
        <v>0</v>
      </c>
      <c r="DM103" s="883">
        <f t="shared" ca="1" si="99"/>
        <v>0</v>
      </c>
      <c r="DN103" s="883">
        <f t="shared" ca="1" si="97"/>
        <v>0</v>
      </c>
      <c r="DO103" s="883">
        <f t="shared" ca="1" si="97"/>
        <v>0</v>
      </c>
      <c r="DP103" s="883">
        <f t="shared" ca="1" si="97"/>
        <v>0</v>
      </c>
      <c r="DQ103" s="883">
        <f t="shared" ca="1" si="97"/>
        <v>0</v>
      </c>
      <c r="DR103" s="883">
        <f t="shared" ca="1" si="97"/>
        <v>0</v>
      </c>
      <c r="DS103" s="883">
        <f t="shared" ca="1" si="97"/>
        <v>0</v>
      </c>
      <c r="DT103" s="883">
        <f t="shared" ca="1" si="97"/>
        <v>0</v>
      </c>
      <c r="DU103" s="883">
        <f t="shared" ca="1" si="97"/>
        <v>0</v>
      </c>
      <c r="DV103" s="883">
        <f t="shared" ca="1" si="97"/>
        <v>0</v>
      </c>
      <c r="DW103" s="883">
        <f t="shared" ca="1" si="97"/>
        <v>0</v>
      </c>
      <c r="DX103" s="883">
        <f t="shared" ca="1" si="97"/>
        <v>0</v>
      </c>
      <c r="DY103" s="883">
        <f t="shared" ca="1" si="97"/>
        <v>0</v>
      </c>
      <c r="DZ103" s="883">
        <f t="shared" ca="1" si="97"/>
        <v>0</v>
      </c>
      <c r="EA103" s="883">
        <f t="shared" ca="1" si="97"/>
        <v>0</v>
      </c>
      <c r="EB103" s="883">
        <f t="shared" ca="1" si="97"/>
        <v>0</v>
      </c>
      <c r="EC103" s="883">
        <f t="shared" ca="1" si="97"/>
        <v>0</v>
      </c>
      <c r="ED103" s="883">
        <f t="shared" ca="1" si="98"/>
        <v>0</v>
      </c>
      <c r="EE103" s="883">
        <f t="shared" ca="1" si="98"/>
        <v>0</v>
      </c>
      <c r="EF103" s="883">
        <f t="shared" ca="1" si="98"/>
        <v>0</v>
      </c>
      <c r="EG103" s="883">
        <f t="shared" ca="1" si="98"/>
        <v>0</v>
      </c>
      <c r="EH103" s="883">
        <f t="shared" ca="1" si="98"/>
        <v>0</v>
      </c>
      <c r="EI103" s="883">
        <f t="shared" ca="1" si="98"/>
        <v>0</v>
      </c>
      <c r="EJ103" s="883">
        <f t="shared" ca="1" si="98"/>
        <v>0</v>
      </c>
      <c r="EK103" s="883">
        <f t="shared" ca="1" si="98"/>
        <v>0</v>
      </c>
      <c r="EL103" s="883">
        <f t="shared" ca="1" si="98"/>
        <v>0</v>
      </c>
      <c r="EM103" s="883">
        <f t="shared" ca="1" si="98"/>
        <v>0</v>
      </c>
      <c r="EN103" s="883">
        <f t="shared" ca="1" si="98"/>
        <v>0</v>
      </c>
      <c r="EO103" s="883">
        <f t="shared" ca="1" si="98"/>
        <v>0</v>
      </c>
      <c r="EP103" s="883">
        <f t="shared" ca="1" si="98"/>
        <v>0</v>
      </c>
      <c r="EQ103" s="883">
        <f t="shared" ca="1" si="98"/>
        <v>0</v>
      </c>
      <c r="ER103" s="883">
        <f t="shared" ca="1" si="98"/>
        <v>0</v>
      </c>
      <c r="ES103" s="883">
        <f t="shared" ca="1" si="98"/>
        <v>0</v>
      </c>
      <c r="ET103" s="883">
        <f t="shared" ca="1" si="100"/>
        <v>0</v>
      </c>
      <c r="EU103" s="883">
        <f t="shared" ca="1" si="100"/>
        <v>0</v>
      </c>
      <c r="EV103" s="883">
        <f t="shared" ca="1" si="100"/>
        <v>0</v>
      </c>
      <c r="EW103" s="883">
        <f t="shared" ca="1" si="100"/>
        <v>0</v>
      </c>
      <c r="EX103" s="883">
        <f t="shared" ca="1" si="100"/>
        <v>0</v>
      </c>
      <c r="EY103" s="883">
        <f t="shared" ca="1" si="100"/>
        <v>0</v>
      </c>
      <c r="EZ103" s="883">
        <f t="shared" ca="1" si="100"/>
        <v>0</v>
      </c>
      <c r="FA103" s="883">
        <f t="shared" ca="1" si="100"/>
        <v>0</v>
      </c>
    </row>
    <row r="104" spans="8:157">
      <c r="H104" s="891" t="str">
        <f t="shared" ca="1" si="80"/>
        <v/>
      </c>
      <c r="I104" s="1206" t="e">
        <f t="shared" ca="1" si="77"/>
        <v>#N/A</v>
      </c>
      <c r="J104" s="1206">
        <f t="shared" ca="1" si="78"/>
        <v>0</v>
      </c>
      <c r="K104" s="929" t="str">
        <f t="shared" si="79"/>
        <v/>
      </c>
      <c r="L104" s="929" t="str">
        <f t="shared" si="81"/>
        <v/>
      </c>
      <c r="N104" s="1714">
        <v>34</v>
      </c>
      <c r="P104" s="882" t="e">
        <f ca="1">VLOOKUP(Q104,bond!B:AA,26,FALSE)</f>
        <v>#N/A</v>
      </c>
      <c r="Q104" s="928">
        <f ca="1">Change投!S46</f>
        <v>0</v>
      </c>
      <c r="R104" s="889">
        <f ca="1">IFERROR(IF(Q104="",0,IF($D$4=1,Change投!AC46*Change投!AJ46,Change投!AC46)),0)</f>
        <v>0</v>
      </c>
      <c r="S104" s="885" t="e">
        <f ca="1">Change投!W46</f>
        <v>#N/A</v>
      </c>
      <c r="T104" s="883">
        <f t="shared" ca="1" si="105"/>
        <v>0</v>
      </c>
      <c r="U104" s="885" t="str">
        <f ca="1">Change投!Z46</f>
        <v/>
      </c>
      <c r="V104" s="886" t="str">
        <f t="shared" ca="1" si="106"/>
        <v/>
      </c>
      <c r="W104" s="885" t="e">
        <f t="shared" ca="1" si="107"/>
        <v>#N/A</v>
      </c>
      <c r="X104" s="886" t="str">
        <f t="shared" ca="1" si="108"/>
        <v/>
      </c>
      <c r="Y104" s="887" t="str">
        <f ca="1">Change投!Y46</f>
        <v/>
      </c>
      <c r="Z104" s="886">
        <f ca="1">Change投!AC46</f>
        <v>0</v>
      </c>
      <c r="AA104" s="1205">
        <f ca="1">Change投!X46</f>
        <v>0</v>
      </c>
      <c r="AB104" s="881">
        <f ca="1">Change投!AJ46</f>
        <v>0</v>
      </c>
      <c r="AC104" s="887">
        <f t="shared" ca="1" si="109"/>
        <v>0</v>
      </c>
      <c r="AD104" s="883">
        <f t="shared" ca="1" si="110"/>
        <v>0</v>
      </c>
      <c r="AE104" s="883">
        <f t="shared" ca="1" si="110"/>
        <v>0</v>
      </c>
      <c r="AF104" s="883">
        <f t="shared" ca="1" si="110"/>
        <v>0</v>
      </c>
      <c r="AG104" s="883">
        <f t="shared" ca="1" si="110"/>
        <v>0</v>
      </c>
      <c r="AH104" s="883">
        <f t="shared" ca="1" si="110"/>
        <v>0</v>
      </c>
      <c r="AI104" s="883">
        <f t="shared" ca="1" si="110"/>
        <v>0</v>
      </c>
      <c r="AJ104" s="883">
        <f t="shared" ca="1" si="110"/>
        <v>0</v>
      </c>
      <c r="AK104" s="883">
        <f t="shared" ca="1" si="110"/>
        <v>0</v>
      </c>
      <c r="AL104" s="883">
        <f t="shared" ca="1" si="110"/>
        <v>0</v>
      </c>
      <c r="AM104" s="883">
        <f t="shared" ca="1" si="110"/>
        <v>0</v>
      </c>
      <c r="AN104" s="883">
        <f t="shared" ca="1" si="110"/>
        <v>0</v>
      </c>
      <c r="AO104" s="883">
        <f t="shared" ca="1" si="110"/>
        <v>0</v>
      </c>
      <c r="AP104" s="883">
        <f t="shared" ca="1" si="110"/>
        <v>0</v>
      </c>
      <c r="AQ104" s="883">
        <f t="shared" ca="1" si="110"/>
        <v>0</v>
      </c>
      <c r="AR104" s="883">
        <f t="shared" ca="1" si="110"/>
        <v>0</v>
      </c>
      <c r="AS104" s="883">
        <f t="shared" ca="1" si="104"/>
        <v>0</v>
      </c>
      <c r="AT104" s="883">
        <f t="shared" ca="1" si="104"/>
        <v>0</v>
      </c>
      <c r="AU104" s="883">
        <f t="shared" ca="1" si="104"/>
        <v>0</v>
      </c>
      <c r="AV104" s="883">
        <f t="shared" ca="1" si="104"/>
        <v>0</v>
      </c>
      <c r="AW104" s="883">
        <f t="shared" ca="1" si="104"/>
        <v>0</v>
      </c>
      <c r="AX104" s="883">
        <f t="shared" ca="1" si="104"/>
        <v>0</v>
      </c>
      <c r="AY104" s="883">
        <f t="shared" ca="1" si="104"/>
        <v>0</v>
      </c>
      <c r="AZ104" s="883">
        <f t="shared" ca="1" si="104"/>
        <v>0</v>
      </c>
      <c r="BA104" s="883">
        <f t="shared" ca="1" si="104"/>
        <v>0</v>
      </c>
      <c r="BB104" s="883">
        <f t="shared" ca="1" si="104"/>
        <v>0</v>
      </c>
      <c r="BC104" s="883">
        <f t="shared" ca="1" si="104"/>
        <v>0</v>
      </c>
      <c r="BD104" s="883">
        <f t="shared" ca="1" si="104"/>
        <v>0</v>
      </c>
      <c r="BE104" s="883">
        <f t="shared" ca="1" si="104"/>
        <v>0</v>
      </c>
      <c r="BF104" s="883">
        <f t="shared" ca="1" si="104"/>
        <v>0</v>
      </c>
      <c r="BG104" s="883">
        <f t="shared" ca="1" si="104"/>
        <v>0</v>
      </c>
      <c r="BH104" s="883">
        <f t="shared" ca="1" si="104"/>
        <v>0</v>
      </c>
      <c r="BI104" s="883">
        <f t="shared" ca="1" si="102"/>
        <v>0</v>
      </c>
      <c r="BJ104" s="883">
        <f t="shared" ca="1" si="102"/>
        <v>0</v>
      </c>
      <c r="BK104" s="883">
        <f t="shared" ca="1" si="102"/>
        <v>0</v>
      </c>
      <c r="BL104" s="883">
        <f t="shared" ca="1" si="102"/>
        <v>0</v>
      </c>
      <c r="BM104" s="883">
        <f t="shared" ca="1" si="102"/>
        <v>0</v>
      </c>
      <c r="BN104" s="883">
        <f t="shared" ca="1" si="102"/>
        <v>0</v>
      </c>
      <c r="BO104" s="883">
        <f t="shared" ca="1" si="102"/>
        <v>0</v>
      </c>
      <c r="BP104" s="883">
        <f t="shared" ca="1" si="102"/>
        <v>0</v>
      </c>
      <c r="BQ104" s="883">
        <f t="shared" ca="1" si="102"/>
        <v>0</v>
      </c>
      <c r="BR104" s="883">
        <f t="shared" ca="1" si="102"/>
        <v>0</v>
      </c>
      <c r="BS104" s="883">
        <f t="shared" ca="1" si="102"/>
        <v>0</v>
      </c>
      <c r="BT104" s="883">
        <f t="shared" ca="1" si="102"/>
        <v>0</v>
      </c>
      <c r="BU104" s="883">
        <f t="shared" ca="1" si="102"/>
        <v>0</v>
      </c>
      <c r="BV104" s="883">
        <f t="shared" ca="1" si="102"/>
        <v>0</v>
      </c>
      <c r="BW104" s="883">
        <f t="shared" ca="1" si="102"/>
        <v>0</v>
      </c>
      <c r="BX104" s="883">
        <f t="shared" ca="1" si="102"/>
        <v>0</v>
      </c>
      <c r="BY104" s="883">
        <f t="shared" ca="1" si="103"/>
        <v>0</v>
      </c>
      <c r="BZ104" s="883">
        <f t="shared" ca="1" si="103"/>
        <v>0</v>
      </c>
      <c r="CA104" s="883">
        <f t="shared" ca="1" si="103"/>
        <v>0</v>
      </c>
      <c r="CB104" s="883">
        <f t="shared" ca="1" si="103"/>
        <v>0</v>
      </c>
      <c r="CC104" s="883">
        <f t="shared" ca="1" si="103"/>
        <v>0</v>
      </c>
      <c r="CD104" s="883">
        <f t="shared" ca="1" si="103"/>
        <v>0</v>
      </c>
      <c r="CE104" s="883">
        <f t="shared" ca="1" si="103"/>
        <v>0</v>
      </c>
      <c r="CF104" s="883">
        <f t="shared" ca="1" si="103"/>
        <v>0</v>
      </c>
      <c r="CG104" s="883">
        <f t="shared" ca="1" si="103"/>
        <v>0</v>
      </c>
      <c r="CH104" s="883">
        <f t="shared" ca="1" si="103"/>
        <v>0</v>
      </c>
      <c r="CI104" s="883">
        <f t="shared" ca="1" si="103"/>
        <v>0</v>
      </c>
      <c r="CJ104" s="883">
        <f t="shared" ca="1" si="103"/>
        <v>0</v>
      </c>
      <c r="CK104" s="883">
        <f t="shared" ca="1" si="103"/>
        <v>0</v>
      </c>
      <c r="CL104" s="883">
        <f t="shared" ca="1" si="103"/>
        <v>0</v>
      </c>
      <c r="CM104" s="883">
        <f t="shared" ca="1" si="103"/>
        <v>0</v>
      </c>
      <c r="CN104" s="883">
        <f t="shared" ca="1" si="103"/>
        <v>0</v>
      </c>
      <c r="CO104" s="883">
        <f t="shared" ca="1" si="101"/>
        <v>0</v>
      </c>
      <c r="CP104" s="883">
        <f t="shared" ca="1" si="111"/>
        <v>0</v>
      </c>
      <c r="CQ104" s="883">
        <f t="shared" ca="1" si="112"/>
        <v>0</v>
      </c>
      <c r="CR104" s="883">
        <f t="shared" ca="1" si="112"/>
        <v>0</v>
      </c>
      <c r="CS104" s="883">
        <f t="shared" ca="1" si="112"/>
        <v>0</v>
      </c>
      <c r="CT104" s="883">
        <f t="shared" ca="1" si="112"/>
        <v>0</v>
      </c>
      <c r="CU104" s="883">
        <f t="shared" ca="1" si="112"/>
        <v>0</v>
      </c>
      <c r="CV104" s="883">
        <f t="shared" ca="1" si="112"/>
        <v>0</v>
      </c>
      <c r="CW104" s="883">
        <f t="shared" ca="1" si="112"/>
        <v>0</v>
      </c>
      <c r="CX104" s="883">
        <f t="shared" ca="1" si="112"/>
        <v>0</v>
      </c>
      <c r="CY104" s="883">
        <f t="shared" ca="1" si="112"/>
        <v>0</v>
      </c>
      <c r="CZ104" s="883">
        <f t="shared" ca="1" si="112"/>
        <v>0</v>
      </c>
      <c r="DA104" s="883">
        <f t="shared" ca="1" si="112"/>
        <v>0</v>
      </c>
      <c r="DB104" s="883">
        <f t="shared" ca="1" si="112"/>
        <v>0</v>
      </c>
      <c r="DC104" s="883">
        <f t="shared" ca="1" si="112"/>
        <v>0</v>
      </c>
      <c r="DD104" s="883">
        <f t="shared" ca="1" si="112"/>
        <v>0</v>
      </c>
      <c r="DE104" s="883">
        <f t="shared" ca="1" si="112"/>
        <v>0</v>
      </c>
      <c r="DF104" s="883">
        <f t="shared" ca="1" si="112"/>
        <v>0</v>
      </c>
      <c r="DG104" s="883">
        <f t="shared" ca="1" si="99"/>
        <v>0</v>
      </c>
      <c r="DH104" s="883">
        <f t="shared" ca="1" si="99"/>
        <v>0</v>
      </c>
      <c r="DI104" s="883">
        <f t="shared" ca="1" si="99"/>
        <v>0</v>
      </c>
      <c r="DJ104" s="883">
        <f t="shared" ca="1" si="99"/>
        <v>0</v>
      </c>
      <c r="DK104" s="883">
        <f t="shared" ca="1" si="99"/>
        <v>0</v>
      </c>
      <c r="DL104" s="883">
        <f t="shared" ca="1" si="99"/>
        <v>0</v>
      </c>
      <c r="DM104" s="883">
        <f t="shared" ca="1" si="99"/>
        <v>0</v>
      </c>
      <c r="DN104" s="883">
        <f t="shared" ca="1" si="97"/>
        <v>0</v>
      </c>
      <c r="DO104" s="883">
        <f t="shared" ca="1" si="97"/>
        <v>0</v>
      </c>
      <c r="DP104" s="883">
        <f t="shared" ca="1" si="97"/>
        <v>0</v>
      </c>
      <c r="DQ104" s="883">
        <f t="shared" ca="1" si="97"/>
        <v>0</v>
      </c>
      <c r="DR104" s="883">
        <f t="shared" ca="1" si="97"/>
        <v>0</v>
      </c>
      <c r="DS104" s="883">
        <f t="shared" ca="1" si="97"/>
        <v>0</v>
      </c>
      <c r="DT104" s="883">
        <f t="shared" ca="1" si="97"/>
        <v>0</v>
      </c>
      <c r="DU104" s="883">
        <f t="shared" ca="1" si="97"/>
        <v>0</v>
      </c>
      <c r="DV104" s="883">
        <f t="shared" ca="1" si="97"/>
        <v>0</v>
      </c>
      <c r="DW104" s="883">
        <f t="shared" ca="1" si="97"/>
        <v>0</v>
      </c>
      <c r="DX104" s="883">
        <f t="shared" ca="1" si="97"/>
        <v>0</v>
      </c>
      <c r="DY104" s="883">
        <f t="shared" ca="1" si="97"/>
        <v>0</v>
      </c>
      <c r="DZ104" s="883">
        <f t="shared" ca="1" si="97"/>
        <v>0</v>
      </c>
      <c r="EA104" s="883">
        <f t="shared" ca="1" si="97"/>
        <v>0</v>
      </c>
      <c r="EB104" s="883">
        <f t="shared" ca="1" si="97"/>
        <v>0</v>
      </c>
      <c r="EC104" s="883">
        <f t="shared" ca="1" si="97"/>
        <v>0</v>
      </c>
      <c r="ED104" s="883">
        <f t="shared" ca="1" si="98"/>
        <v>0</v>
      </c>
      <c r="EE104" s="883">
        <f t="shared" ca="1" si="98"/>
        <v>0</v>
      </c>
      <c r="EF104" s="883">
        <f t="shared" ca="1" si="98"/>
        <v>0</v>
      </c>
      <c r="EG104" s="883">
        <f t="shared" ca="1" si="98"/>
        <v>0</v>
      </c>
      <c r="EH104" s="883">
        <f t="shared" ca="1" si="98"/>
        <v>0</v>
      </c>
      <c r="EI104" s="883">
        <f t="shared" ca="1" si="98"/>
        <v>0</v>
      </c>
      <c r="EJ104" s="883">
        <f t="shared" ca="1" si="98"/>
        <v>0</v>
      </c>
      <c r="EK104" s="883">
        <f t="shared" ca="1" si="98"/>
        <v>0</v>
      </c>
      <c r="EL104" s="883">
        <f t="shared" ca="1" si="98"/>
        <v>0</v>
      </c>
      <c r="EM104" s="883">
        <f t="shared" ca="1" si="98"/>
        <v>0</v>
      </c>
      <c r="EN104" s="883">
        <f t="shared" ca="1" si="98"/>
        <v>0</v>
      </c>
      <c r="EO104" s="883">
        <f t="shared" ca="1" si="98"/>
        <v>0</v>
      </c>
      <c r="EP104" s="883">
        <f t="shared" ca="1" si="98"/>
        <v>0</v>
      </c>
      <c r="EQ104" s="883">
        <f t="shared" ca="1" si="98"/>
        <v>0</v>
      </c>
      <c r="ER104" s="883">
        <f t="shared" ca="1" si="98"/>
        <v>0</v>
      </c>
      <c r="ES104" s="883">
        <f t="shared" ca="1" si="98"/>
        <v>0</v>
      </c>
      <c r="ET104" s="883">
        <f t="shared" ca="1" si="100"/>
        <v>0</v>
      </c>
      <c r="EU104" s="883">
        <f t="shared" ca="1" si="100"/>
        <v>0</v>
      </c>
      <c r="EV104" s="883">
        <f t="shared" ca="1" si="100"/>
        <v>0</v>
      </c>
      <c r="EW104" s="883">
        <f t="shared" ca="1" si="100"/>
        <v>0</v>
      </c>
      <c r="EX104" s="883">
        <f t="shared" ca="1" si="100"/>
        <v>0</v>
      </c>
      <c r="EY104" s="883">
        <f t="shared" ca="1" si="100"/>
        <v>0</v>
      </c>
      <c r="EZ104" s="883">
        <f t="shared" ca="1" si="100"/>
        <v>0</v>
      </c>
      <c r="FA104" s="883">
        <f t="shared" ca="1" si="100"/>
        <v>0</v>
      </c>
    </row>
    <row r="105" spans="8:157">
      <c r="H105" s="891" t="str">
        <f t="shared" ca="1" si="80"/>
        <v/>
      </c>
      <c r="I105" s="1206" t="e">
        <f t="shared" ca="1" si="77"/>
        <v>#N/A</v>
      </c>
      <c r="J105" s="1206">
        <f t="shared" ca="1" si="78"/>
        <v>0</v>
      </c>
      <c r="K105" s="929" t="str">
        <f t="shared" si="79"/>
        <v/>
      </c>
      <c r="L105" s="929" t="str">
        <f t="shared" si="81"/>
        <v/>
      </c>
      <c r="N105" s="1714">
        <v>35</v>
      </c>
      <c r="P105" s="882" t="e">
        <f ca="1">VLOOKUP(Q105,bond!B:AA,26,FALSE)</f>
        <v>#N/A</v>
      </c>
      <c r="Q105" s="928">
        <f ca="1">Change投!S47</f>
        <v>0</v>
      </c>
      <c r="R105" s="889">
        <f ca="1">IFERROR(IF(Q105="",0,IF($D$4=1,Change投!AC47*Change投!AJ47,Change投!AC47)),0)</f>
        <v>0</v>
      </c>
      <c r="S105" s="885" t="e">
        <f ca="1">Change投!W47</f>
        <v>#N/A</v>
      </c>
      <c r="T105" s="883">
        <f t="shared" ca="1" si="105"/>
        <v>0</v>
      </c>
      <c r="U105" s="885" t="str">
        <f ca="1">Change投!Z47</f>
        <v/>
      </c>
      <c r="V105" s="886" t="str">
        <f t="shared" ca="1" si="106"/>
        <v/>
      </c>
      <c r="W105" s="885" t="e">
        <f t="shared" ca="1" si="107"/>
        <v>#N/A</v>
      </c>
      <c r="X105" s="886" t="str">
        <f t="shared" ca="1" si="108"/>
        <v/>
      </c>
      <c r="Y105" s="887" t="str">
        <f ca="1">Change投!Y47</f>
        <v/>
      </c>
      <c r="Z105" s="886">
        <f ca="1">Change投!AC47</f>
        <v>0</v>
      </c>
      <c r="AA105" s="1205">
        <f ca="1">Change投!X47</f>
        <v>0</v>
      </c>
      <c r="AB105" s="881">
        <f ca="1">Change投!AJ47</f>
        <v>0</v>
      </c>
      <c r="AC105" s="887">
        <f t="shared" ca="1" si="109"/>
        <v>0</v>
      </c>
      <c r="AD105" s="883">
        <f t="shared" ca="1" si="110"/>
        <v>0</v>
      </c>
      <c r="AE105" s="883">
        <f t="shared" ca="1" si="110"/>
        <v>0</v>
      </c>
      <c r="AF105" s="883">
        <f t="shared" ca="1" si="110"/>
        <v>0</v>
      </c>
      <c r="AG105" s="883">
        <f t="shared" ca="1" si="110"/>
        <v>0</v>
      </c>
      <c r="AH105" s="883">
        <f t="shared" ca="1" si="110"/>
        <v>0</v>
      </c>
      <c r="AI105" s="883">
        <f t="shared" ca="1" si="110"/>
        <v>0</v>
      </c>
      <c r="AJ105" s="883">
        <f t="shared" ca="1" si="110"/>
        <v>0</v>
      </c>
      <c r="AK105" s="883">
        <f t="shared" ca="1" si="110"/>
        <v>0</v>
      </c>
      <c r="AL105" s="883">
        <f t="shared" ca="1" si="110"/>
        <v>0</v>
      </c>
      <c r="AM105" s="883">
        <f t="shared" ca="1" si="110"/>
        <v>0</v>
      </c>
      <c r="AN105" s="883">
        <f t="shared" ca="1" si="110"/>
        <v>0</v>
      </c>
      <c r="AO105" s="883">
        <f t="shared" ca="1" si="110"/>
        <v>0</v>
      </c>
      <c r="AP105" s="883">
        <f t="shared" ca="1" si="110"/>
        <v>0</v>
      </c>
      <c r="AQ105" s="883">
        <f t="shared" ca="1" si="110"/>
        <v>0</v>
      </c>
      <c r="AR105" s="883">
        <f t="shared" ca="1" si="110"/>
        <v>0</v>
      </c>
      <c r="AS105" s="883">
        <f t="shared" ca="1" si="104"/>
        <v>0</v>
      </c>
      <c r="AT105" s="883">
        <f t="shared" ca="1" si="104"/>
        <v>0</v>
      </c>
      <c r="AU105" s="883">
        <f t="shared" ca="1" si="104"/>
        <v>0</v>
      </c>
      <c r="AV105" s="883">
        <f t="shared" ca="1" si="104"/>
        <v>0</v>
      </c>
      <c r="AW105" s="883">
        <f t="shared" ca="1" si="104"/>
        <v>0</v>
      </c>
      <c r="AX105" s="883">
        <f t="shared" ca="1" si="104"/>
        <v>0</v>
      </c>
      <c r="AY105" s="883">
        <f t="shared" ca="1" si="104"/>
        <v>0</v>
      </c>
      <c r="AZ105" s="883">
        <f t="shared" ca="1" si="104"/>
        <v>0</v>
      </c>
      <c r="BA105" s="883">
        <f t="shared" ca="1" si="104"/>
        <v>0</v>
      </c>
      <c r="BB105" s="883">
        <f t="shared" ca="1" si="104"/>
        <v>0</v>
      </c>
      <c r="BC105" s="883">
        <f t="shared" ca="1" si="104"/>
        <v>0</v>
      </c>
      <c r="BD105" s="883">
        <f t="shared" ca="1" si="104"/>
        <v>0</v>
      </c>
      <c r="BE105" s="883">
        <f t="shared" ca="1" si="104"/>
        <v>0</v>
      </c>
      <c r="BF105" s="883">
        <f t="shared" ca="1" si="104"/>
        <v>0</v>
      </c>
      <c r="BG105" s="883">
        <f t="shared" ca="1" si="104"/>
        <v>0</v>
      </c>
      <c r="BH105" s="883">
        <f t="shared" ca="1" si="104"/>
        <v>0</v>
      </c>
      <c r="BI105" s="883">
        <f t="shared" ca="1" si="102"/>
        <v>0</v>
      </c>
      <c r="BJ105" s="883">
        <f t="shared" ca="1" si="102"/>
        <v>0</v>
      </c>
      <c r="BK105" s="883">
        <f t="shared" ca="1" si="102"/>
        <v>0</v>
      </c>
      <c r="BL105" s="883">
        <f t="shared" ca="1" si="102"/>
        <v>0</v>
      </c>
      <c r="BM105" s="883">
        <f t="shared" ca="1" si="102"/>
        <v>0</v>
      </c>
      <c r="BN105" s="883">
        <f t="shared" ca="1" si="102"/>
        <v>0</v>
      </c>
      <c r="BO105" s="883">
        <f t="shared" ca="1" si="102"/>
        <v>0</v>
      </c>
      <c r="BP105" s="883">
        <f t="shared" ca="1" si="102"/>
        <v>0</v>
      </c>
      <c r="BQ105" s="883">
        <f t="shared" ca="1" si="102"/>
        <v>0</v>
      </c>
      <c r="BR105" s="883">
        <f t="shared" ca="1" si="102"/>
        <v>0</v>
      </c>
      <c r="BS105" s="883">
        <f t="shared" ca="1" si="102"/>
        <v>0</v>
      </c>
      <c r="BT105" s="883">
        <f t="shared" ca="1" si="102"/>
        <v>0</v>
      </c>
      <c r="BU105" s="883">
        <f t="shared" ca="1" si="102"/>
        <v>0</v>
      </c>
      <c r="BV105" s="883">
        <f t="shared" ca="1" si="102"/>
        <v>0</v>
      </c>
      <c r="BW105" s="883">
        <f t="shared" ca="1" si="102"/>
        <v>0</v>
      </c>
      <c r="BX105" s="883">
        <f t="shared" ca="1" si="102"/>
        <v>0</v>
      </c>
      <c r="BY105" s="883">
        <f t="shared" ca="1" si="103"/>
        <v>0</v>
      </c>
      <c r="BZ105" s="883">
        <f t="shared" ca="1" si="103"/>
        <v>0</v>
      </c>
      <c r="CA105" s="883">
        <f t="shared" ca="1" si="103"/>
        <v>0</v>
      </c>
      <c r="CB105" s="883">
        <f t="shared" ca="1" si="103"/>
        <v>0</v>
      </c>
      <c r="CC105" s="883">
        <f t="shared" ca="1" si="103"/>
        <v>0</v>
      </c>
      <c r="CD105" s="883">
        <f t="shared" ca="1" si="103"/>
        <v>0</v>
      </c>
      <c r="CE105" s="883">
        <f t="shared" ca="1" si="103"/>
        <v>0</v>
      </c>
      <c r="CF105" s="883">
        <f t="shared" ca="1" si="103"/>
        <v>0</v>
      </c>
      <c r="CG105" s="883">
        <f t="shared" ca="1" si="103"/>
        <v>0</v>
      </c>
      <c r="CH105" s="883">
        <f t="shared" ca="1" si="103"/>
        <v>0</v>
      </c>
      <c r="CI105" s="883">
        <f t="shared" ca="1" si="103"/>
        <v>0</v>
      </c>
      <c r="CJ105" s="883">
        <f t="shared" ca="1" si="103"/>
        <v>0</v>
      </c>
      <c r="CK105" s="883">
        <f t="shared" ca="1" si="103"/>
        <v>0</v>
      </c>
      <c r="CL105" s="883">
        <f t="shared" ca="1" si="103"/>
        <v>0</v>
      </c>
      <c r="CM105" s="883">
        <f t="shared" ca="1" si="103"/>
        <v>0</v>
      </c>
      <c r="CN105" s="883">
        <f t="shared" ca="1" si="103"/>
        <v>0</v>
      </c>
      <c r="CO105" s="883">
        <f t="shared" ca="1" si="101"/>
        <v>0</v>
      </c>
      <c r="CP105" s="883">
        <f t="shared" ca="1" si="111"/>
        <v>0</v>
      </c>
      <c r="CQ105" s="883">
        <f t="shared" ca="1" si="112"/>
        <v>0</v>
      </c>
      <c r="CR105" s="883">
        <f t="shared" ca="1" si="112"/>
        <v>0</v>
      </c>
      <c r="CS105" s="883">
        <f t="shared" ca="1" si="112"/>
        <v>0</v>
      </c>
      <c r="CT105" s="883">
        <f t="shared" ca="1" si="112"/>
        <v>0</v>
      </c>
      <c r="CU105" s="883">
        <f t="shared" ca="1" si="112"/>
        <v>0</v>
      </c>
      <c r="CV105" s="883">
        <f t="shared" ca="1" si="112"/>
        <v>0</v>
      </c>
      <c r="CW105" s="883">
        <f t="shared" ca="1" si="112"/>
        <v>0</v>
      </c>
      <c r="CX105" s="883">
        <f t="shared" ca="1" si="112"/>
        <v>0</v>
      </c>
      <c r="CY105" s="883">
        <f t="shared" ca="1" si="112"/>
        <v>0</v>
      </c>
      <c r="CZ105" s="883">
        <f t="shared" ca="1" si="112"/>
        <v>0</v>
      </c>
      <c r="DA105" s="883">
        <f t="shared" ca="1" si="112"/>
        <v>0</v>
      </c>
      <c r="DB105" s="883">
        <f t="shared" ca="1" si="112"/>
        <v>0</v>
      </c>
      <c r="DC105" s="883">
        <f t="shared" ca="1" si="112"/>
        <v>0</v>
      </c>
      <c r="DD105" s="883">
        <f t="shared" ca="1" si="112"/>
        <v>0</v>
      </c>
      <c r="DE105" s="883">
        <f t="shared" ca="1" si="112"/>
        <v>0</v>
      </c>
      <c r="DF105" s="883">
        <f t="shared" ca="1" si="112"/>
        <v>0</v>
      </c>
      <c r="DG105" s="883">
        <f t="shared" ca="1" si="99"/>
        <v>0</v>
      </c>
      <c r="DH105" s="883">
        <f t="shared" ca="1" si="99"/>
        <v>0</v>
      </c>
      <c r="DI105" s="883">
        <f t="shared" ca="1" si="99"/>
        <v>0</v>
      </c>
      <c r="DJ105" s="883">
        <f t="shared" ca="1" si="99"/>
        <v>0</v>
      </c>
      <c r="DK105" s="883">
        <f t="shared" ca="1" si="99"/>
        <v>0</v>
      </c>
      <c r="DL105" s="883">
        <f t="shared" ca="1" si="99"/>
        <v>0</v>
      </c>
      <c r="DM105" s="883">
        <f t="shared" ca="1" si="99"/>
        <v>0</v>
      </c>
      <c r="DN105" s="883">
        <f t="shared" ca="1" si="97"/>
        <v>0</v>
      </c>
      <c r="DO105" s="883">
        <f t="shared" ca="1" si="97"/>
        <v>0</v>
      </c>
      <c r="DP105" s="883">
        <f t="shared" ca="1" si="97"/>
        <v>0</v>
      </c>
      <c r="DQ105" s="883">
        <f t="shared" ca="1" si="97"/>
        <v>0</v>
      </c>
      <c r="DR105" s="883">
        <f t="shared" ca="1" si="97"/>
        <v>0</v>
      </c>
      <c r="DS105" s="883">
        <f t="shared" ca="1" si="97"/>
        <v>0</v>
      </c>
      <c r="DT105" s="883">
        <f t="shared" ca="1" si="97"/>
        <v>0</v>
      </c>
      <c r="DU105" s="883">
        <f t="shared" ca="1" si="97"/>
        <v>0</v>
      </c>
      <c r="DV105" s="883">
        <f t="shared" ca="1" si="97"/>
        <v>0</v>
      </c>
      <c r="DW105" s="883">
        <f t="shared" ca="1" si="97"/>
        <v>0</v>
      </c>
      <c r="DX105" s="883">
        <f t="shared" ca="1" si="97"/>
        <v>0</v>
      </c>
      <c r="DY105" s="883">
        <f t="shared" ca="1" si="97"/>
        <v>0</v>
      </c>
      <c r="DZ105" s="883">
        <f t="shared" ca="1" si="97"/>
        <v>0</v>
      </c>
      <c r="EA105" s="883">
        <f t="shared" ca="1" si="97"/>
        <v>0</v>
      </c>
      <c r="EB105" s="883">
        <f t="shared" ca="1" si="97"/>
        <v>0</v>
      </c>
      <c r="EC105" s="883">
        <f t="shared" ca="1" si="97"/>
        <v>0</v>
      </c>
      <c r="ED105" s="883">
        <f t="shared" ca="1" si="98"/>
        <v>0</v>
      </c>
      <c r="EE105" s="883">
        <f t="shared" ca="1" si="98"/>
        <v>0</v>
      </c>
      <c r="EF105" s="883">
        <f t="shared" ca="1" si="98"/>
        <v>0</v>
      </c>
      <c r="EG105" s="883">
        <f t="shared" ca="1" si="98"/>
        <v>0</v>
      </c>
      <c r="EH105" s="883">
        <f t="shared" ca="1" si="98"/>
        <v>0</v>
      </c>
      <c r="EI105" s="883">
        <f t="shared" ca="1" si="98"/>
        <v>0</v>
      </c>
      <c r="EJ105" s="883">
        <f t="shared" ca="1" si="98"/>
        <v>0</v>
      </c>
      <c r="EK105" s="883">
        <f t="shared" ca="1" si="98"/>
        <v>0</v>
      </c>
      <c r="EL105" s="883">
        <f t="shared" ca="1" si="98"/>
        <v>0</v>
      </c>
      <c r="EM105" s="883">
        <f t="shared" ca="1" si="98"/>
        <v>0</v>
      </c>
      <c r="EN105" s="883">
        <f t="shared" ca="1" si="98"/>
        <v>0</v>
      </c>
      <c r="EO105" s="883">
        <f t="shared" ca="1" si="98"/>
        <v>0</v>
      </c>
      <c r="EP105" s="883">
        <f t="shared" ca="1" si="98"/>
        <v>0</v>
      </c>
      <c r="EQ105" s="883">
        <f t="shared" ca="1" si="98"/>
        <v>0</v>
      </c>
      <c r="ER105" s="883">
        <f t="shared" ca="1" si="98"/>
        <v>0</v>
      </c>
      <c r="ES105" s="883">
        <f t="shared" ca="1" si="98"/>
        <v>0</v>
      </c>
      <c r="ET105" s="883">
        <f t="shared" ca="1" si="100"/>
        <v>0</v>
      </c>
      <c r="EU105" s="883">
        <f t="shared" ca="1" si="100"/>
        <v>0</v>
      </c>
      <c r="EV105" s="883">
        <f t="shared" ca="1" si="100"/>
        <v>0</v>
      </c>
      <c r="EW105" s="883">
        <f t="shared" ca="1" si="100"/>
        <v>0</v>
      </c>
      <c r="EX105" s="883">
        <f t="shared" ca="1" si="100"/>
        <v>0</v>
      </c>
      <c r="EY105" s="883">
        <f t="shared" ca="1" si="100"/>
        <v>0</v>
      </c>
      <c r="EZ105" s="883">
        <f t="shared" ca="1" si="100"/>
        <v>0</v>
      </c>
      <c r="FA105" s="883">
        <f t="shared" ca="1" si="100"/>
        <v>0</v>
      </c>
    </row>
    <row r="106" spans="8:157">
      <c r="H106" s="891" t="str">
        <f t="shared" ca="1" si="80"/>
        <v/>
      </c>
      <c r="I106" s="1206" t="e">
        <f t="shared" ca="1" si="77"/>
        <v>#N/A</v>
      </c>
      <c r="J106" s="1206">
        <f t="shared" ca="1" si="78"/>
        <v>0</v>
      </c>
      <c r="K106" s="929" t="str">
        <f t="shared" si="79"/>
        <v/>
      </c>
      <c r="L106" s="929" t="str">
        <f t="shared" si="81"/>
        <v/>
      </c>
      <c r="N106" s="1714">
        <v>36</v>
      </c>
      <c r="P106" s="882" t="e">
        <f ca="1">VLOOKUP(Q106,bond!B:AA,26,FALSE)</f>
        <v>#N/A</v>
      </c>
      <c r="Q106" s="928">
        <f ca="1">Change投!S48</f>
        <v>0</v>
      </c>
      <c r="R106" s="889">
        <f ca="1">IFERROR(IF(Q106="",0,IF($D$4=1,Change投!AC48*Change投!AJ48,Change投!AC48)),0)</f>
        <v>0</v>
      </c>
      <c r="S106" s="885" t="e">
        <f ca="1">Change投!W48</f>
        <v>#N/A</v>
      </c>
      <c r="T106" s="883">
        <f t="shared" ca="1" si="105"/>
        <v>0</v>
      </c>
      <c r="U106" s="885" t="str">
        <f ca="1">Change投!Z48</f>
        <v/>
      </c>
      <c r="V106" s="886" t="str">
        <f t="shared" ca="1" si="106"/>
        <v/>
      </c>
      <c r="W106" s="885" t="e">
        <f t="shared" ca="1" si="107"/>
        <v>#N/A</v>
      </c>
      <c r="X106" s="886" t="str">
        <f t="shared" ca="1" si="108"/>
        <v/>
      </c>
      <c r="Y106" s="887" t="str">
        <f ca="1">Change投!Y48</f>
        <v/>
      </c>
      <c r="Z106" s="886">
        <f ca="1">Change投!AC48</f>
        <v>0</v>
      </c>
      <c r="AA106" s="1205">
        <f ca="1">Change投!X48</f>
        <v>0</v>
      </c>
      <c r="AB106" s="881">
        <f ca="1">Change投!AJ48</f>
        <v>0</v>
      </c>
      <c r="AC106" s="887">
        <f t="shared" ca="1" si="109"/>
        <v>0</v>
      </c>
      <c r="AD106" s="883">
        <f t="shared" ca="1" si="110"/>
        <v>0</v>
      </c>
      <c r="AE106" s="883">
        <f t="shared" ca="1" si="110"/>
        <v>0</v>
      </c>
      <c r="AF106" s="883">
        <f t="shared" ca="1" si="110"/>
        <v>0</v>
      </c>
      <c r="AG106" s="883">
        <f t="shared" ca="1" si="110"/>
        <v>0</v>
      </c>
      <c r="AH106" s="883">
        <f t="shared" ca="1" si="110"/>
        <v>0</v>
      </c>
      <c r="AI106" s="883">
        <f t="shared" ca="1" si="110"/>
        <v>0</v>
      </c>
      <c r="AJ106" s="883">
        <f t="shared" ca="1" si="110"/>
        <v>0</v>
      </c>
      <c r="AK106" s="883">
        <f t="shared" ca="1" si="110"/>
        <v>0</v>
      </c>
      <c r="AL106" s="883">
        <f t="shared" ca="1" si="110"/>
        <v>0</v>
      </c>
      <c r="AM106" s="883">
        <f t="shared" ca="1" si="110"/>
        <v>0</v>
      </c>
      <c r="AN106" s="883">
        <f t="shared" ca="1" si="110"/>
        <v>0</v>
      </c>
      <c r="AO106" s="883">
        <f t="shared" ca="1" si="110"/>
        <v>0</v>
      </c>
      <c r="AP106" s="883">
        <f t="shared" ca="1" si="110"/>
        <v>0</v>
      </c>
      <c r="AQ106" s="883">
        <f t="shared" ca="1" si="110"/>
        <v>0</v>
      </c>
      <c r="AR106" s="883">
        <f t="shared" ca="1" si="110"/>
        <v>0</v>
      </c>
      <c r="AS106" s="883">
        <f t="shared" ca="1" si="104"/>
        <v>0</v>
      </c>
      <c r="AT106" s="883">
        <f t="shared" ca="1" si="104"/>
        <v>0</v>
      </c>
      <c r="AU106" s="883">
        <f t="shared" ca="1" si="104"/>
        <v>0</v>
      </c>
      <c r="AV106" s="883">
        <f t="shared" ca="1" si="104"/>
        <v>0</v>
      </c>
      <c r="AW106" s="883">
        <f t="shared" ca="1" si="104"/>
        <v>0</v>
      </c>
      <c r="AX106" s="883">
        <f t="shared" ca="1" si="104"/>
        <v>0</v>
      </c>
      <c r="AY106" s="883">
        <f t="shared" ca="1" si="104"/>
        <v>0</v>
      </c>
      <c r="AZ106" s="883">
        <f t="shared" ca="1" si="104"/>
        <v>0</v>
      </c>
      <c r="BA106" s="883">
        <f t="shared" ca="1" si="104"/>
        <v>0</v>
      </c>
      <c r="BB106" s="883">
        <f t="shared" ca="1" si="104"/>
        <v>0</v>
      </c>
      <c r="BC106" s="883">
        <f t="shared" ca="1" si="104"/>
        <v>0</v>
      </c>
      <c r="BD106" s="883">
        <f t="shared" ca="1" si="104"/>
        <v>0</v>
      </c>
      <c r="BE106" s="883">
        <f t="shared" ca="1" si="104"/>
        <v>0</v>
      </c>
      <c r="BF106" s="883">
        <f t="shared" ca="1" si="104"/>
        <v>0</v>
      </c>
      <c r="BG106" s="883">
        <f t="shared" ca="1" si="104"/>
        <v>0</v>
      </c>
      <c r="BH106" s="883">
        <f t="shared" ca="1" si="104"/>
        <v>0</v>
      </c>
      <c r="BI106" s="883">
        <f t="shared" ca="1" si="102"/>
        <v>0</v>
      </c>
      <c r="BJ106" s="883">
        <f t="shared" ca="1" si="102"/>
        <v>0</v>
      </c>
      <c r="BK106" s="883">
        <f t="shared" ca="1" si="102"/>
        <v>0</v>
      </c>
      <c r="BL106" s="883">
        <f t="shared" ca="1" si="102"/>
        <v>0</v>
      </c>
      <c r="BM106" s="883">
        <f t="shared" ca="1" si="102"/>
        <v>0</v>
      </c>
      <c r="BN106" s="883">
        <f t="shared" ca="1" si="102"/>
        <v>0</v>
      </c>
      <c r="BO106" s="883">
        <f t="shared" ca="1" si="102"/>
        <v>0</v>
      </c>
      <c r="BP106" s="883">
        <f t="shared" ca="1" si="102"/>
        <v>0</v>
      </c>
      <c r="BQ106" s="883">
        <f t="shared" ca="1" si="102"/>
        <v>0</v>
      </c>
      <c r="BR106" s="883">
        <f t="shared" ca="1" si="102"/>
        <v>0</v>
      </c>
      <c r="BS106" s="883">
        <f t="shared" ca="1" si="102"/>
        <v>0</v>
      </c>
      <c r="BT106" s="883">
        <f t="shared" ca="1" si="102"/>
        <v>0</v>
      </c>
      <c r="BU106" s="883">
        <f t="shared" ca="1" si="102"/>
        <v>0</v>
      </c>
      <c r="BV106" s="883">
        <f t="shared" ca="1" si="102"/>
        <v>0</v>
      </c>
      <c r="BW106" s="883">
        <f t="shared" ca="1" si="102"/>
        <v>0</v>
      </c>
      <c r="BX106" s="883">
        <f t="shared" ca="1" si="102"/>
        <v>0</v>
      </c>
      <c r="BY106" s="883">
        <f t="shared" ca="1" si="103"/>
        <v>0</v>
      </c>
      <c r="BZ106" s="883">
        <f t="shared" ca="1" si="103"/>
        <v>0</v>
      </c>
      <c r="CA106" s="883">
        <f t="shared" ca="1" si="103"/>
        <v>0</v>
      </c>
      <c r="CB106" s="883">
        <f t="shared" ca="1" si="103"/>
        <v>0</v>
      </c>
      <c r="CC106" s="883">
        <f t="shared" ca="1" si="103"/>
        <v>0</v>
      </c>
      <c r="CD106" s="883">
        <f t="shared" ca="1" si="103"/>
        <v>0</v>
      </c>
      <c r="CE106" s="883">
        <f t="shared" ca="1" si="103"/>
        <v>0</v>
      </c>
      <c r="CF106" s="883">
        <f t="shared" ca="1" si="103"/>
        <v>0</v>
      </c>
      <c r="CG106" s="883">
        <f t="shared" ca="1" si="103"/>
        <v>0</v>
      </c>
      <c r="CH106" s="883">
        <f t="shared" ca="1" si="103"/>
        <v>0</v>
      </c>
      <c r="CI106" s="883">
        <f t="shared" ca="1" si="103"/>
        <v>0</v>
      </c>
      <c r="CJ106" s="883">
        <f t="shared" ca="1" si="103"/>
        <v>0</v>
      </c>
      <c r="CK106" s="883">
        <f t="shared" ca="1" si="103"/>
        <v>0</v>
      </c>
      <c r="CL106" s="883">
        <f t="shared" ca="1" si="103"/>
        <v>0</v>
      </c>
      <c r="CM106" s="883">
        <f t="shared" ca="1" si="103"/>
        <v>0</v>
      </c>
      <c r="CN106" s="883">
        <f t="shared" ca="1" si="103"/>
        <v>0</v>
      </c>
      <c r="CO106" s="883">
        <f t="shared" ca="1" si="101"/>
        <v>0</v>
      </c>
      <c r="CP106" s="883">
        <f t="shared" ca="1" si="111"/>
        <v>0</v>
      </c>
      <c r="CQ106" s="883">
        <f t="shared" ca="1" si="112"/>
        <v>0</v>
      </c>
      <c r="CR106" s="883">
        <f t="shared" ca="1" si="112"/>
        <v>0</v>
      </c>
      <c r="CS106" s="883">
        <f t="shared" ca="1" si="112"/>
        <v>0</v>
      </c>
      <c r="CT106" s="883">
        <f t="shared" ca="1" si="112"/>
        <v>0</v>
      </c>
      <c r="CU106" s="883">
        <f t="shared" ca="1" si="112"/>
        <v>0</v>
      </c>
      <c r="CV106" s="883">
        <f t="shared" ca="1" si="112"/>
        <v>0</v>
      </c>
      <c r="CW106" s="883">
        <f t="shared" ca="1" si="112"/>
        <v>0</v>
      </c>
      <c r="CX106" s="883">
        <f t="shared" ca="1" si="112"/>
        <v>0</v>
      </c>
      <c r="CY106" s="883">
        <f t="shared" ca="1" si="112"/>
        <v>0</v>
      </c>
      <c r="CZ106" s="883">
        <f t="shared" ca="1" si="112"/>
        <v>0</v>
      </c>
      <c r="DA106" s="883">
        <f t="shared" ca="1" si="112"/>
        <v>0</v>
      </c>
      <c r="DB106" s="883">
        <f t="shared" ca="1" si="112"/>
        <v>0</v>
      </c>
      <c r="DC106" s="883">
        <f t="shared" ca="1" si="112"/>
        <v>0</v>
      </c>
      <c r="DD106" s="883">
        <f t="shared" ca="1" si="112"/>
        <v>0</v>
      </c>
      <c r="DE106" s="883">
        <f t="shared" ca="1" si="112"/>
        <v>0</v>
      </c>
      <c r="DF106" s="883">
        <f t="shared" ca="1" si="112"/>
        <v>0</v>
      </c>
      <c r="DG106" s="883">
        <f t="shared" ca="1" si="99"/>
        <v>0</v>
      </c>
      <c r="DH106" s="883">
        <f t="shared" ca="1" si="99"/>
        <v>0</v>
      </c>
      <c r="DI106" s="883">
        <f t="shared" ca="1" si="99"/>
        <v>0</v>
      </c>
      <c r="DJ106" s="883">
        <f t="shared" ca="1" si="99"/>
        <v>0</v>
      </c>
      <c r="DK106" s="883">
        <f t="shared" ca="1" si="99"/>
        <v>0</v>
      </c>
      <c r="DL106" s="883">
        <f t="shared" ca="1" si="99"/>
        <v>0</v>
      </c>
      <c r="DM106" s="883">
        <f t="shared" ca="1" si="99"/>
        <v>0</v>
      </c>
      <c r="DN106" s="883">
        <f t="shared" ca="1" si="97"/>
        <v>0</v>
      </c>
      <c r="DO106" s="883">
        <f t="shared" ca="1" si="97"/>
        <v>0</v>
      </c>
      <c r="DP106" s="883">
        <f t="shared" ca="1" si="97"/>
        <v>0</v>
      </c>
      <c r="DQ106" s="883">
        <f t="shared" ca="1" si="97"/>
        <v>0</v>
      </c>
      <c r="DR106" s="883">
        <f t="shared" ca="1" si="97"/>
        <v>0</v>
      </c>
      <c r="DS106" s="883">
        <f t="shared" ca="1" si="97"/>
        <v>0</v>
      </c>
      <c r="DT106" s="883">
        <f t="shared" ca="1" si="97"/>
        <v>0</v>
      </c>
      <c r="DU106" s="883">
        <f t="shared" ca="1" si="97"/>
        <v>0</v>
      </c>
      <c r="DV106" s="883">
        <f t="shared" ca="1" si="97"/>
        <v>0</v>
      </c>
      <c r="DW106" s="883">
        <f t="shared" ca="1" si="97"/>
        <v>0</v>
      </c>
      <c r="DX106" s="883">
        <f t="shared" ca="1" si="97"/>
        <v>0</v>
      </c>
      <c r="DY106" s="883">
        <f t="shared" ca="1" si="97"/>
        <v>0</v>
      </c>
      <c r="DZ106" s="883">
        <f t="shared" ca="1" si="97"/>
        <v>0</v>
      </c>
      <c r="EA106" s="883">
        <f t="shared" ca="1" si="97"/>
        <v>0</v>
      </c>
      <c r="EB106" s="883">
        <f t="shared" ca="1" si="97"/>
        <v>0</v>
      </c>
      <c r="EC106" s="883">
        <f t="shared" ca="1" si="97"/>
        <v>0</v>
      </c>
      <c r="ED106" s="883">
        <f t="shared" ca="1" si="98"/>
        <v>0</v>
      </c>
      <c r="EE106" s="883">
        <f t="shared" ca="1" si="98"/>
        <v>0</v>
      </c>
      <c r="EF106" s="883">
        <f t="shared" ca="1" si="98"/>
        <v>0</v>
      </c>
      <c r="EG106" s="883">
        <f t="shared" ca="1" si="98"/>
        <v>0</v>
      </c>
      <c r="EH106" s="883">
        <f t="shared" ca="1" si="98"/>
        <v>0</v>
      </c>
      <c r="EI106" s="883">
        <f t="shared" ca="1" si="98"/>
        <v>0</v>
      </c>
      <c r="EJ106" s="883">
        <f t="shared" ca="1" si="98"/>
        <v>0</v>
      </c>
      <c r="EK106" s="883">
        <f t="shared" ca="1" si="98"/>
        <v>0</v>
      </c>
      <c r="EL106" s="883">
        <f t="shared" ca="1" si="98"/>
        <v>0</v>
      </c>
      <c r="EM106" s="883">
        <f t="shared" ca="1" si="98"/>
        <v>0</v>
      </c>
      <c r="EN106" s="883">
        <f t="shared" ca="1" si="98"/>
        <v>0</v>
      </c>
      <c r="EO106" s="883">
        <f t="shared" ca="1" si="98"/>
        <v>0</v>
      </c>
      <c r="EP106" s="883">
        <f t="shared" ca="1" si="98"/>
        <v>0</v>
      </c>
      <c r="EQ106" s="883">
        <f t="shared" ca="1" si="98"/>
        <v>0</v>
      </c>
      <c r="ER106" s="883">
        <f t="shared" ca="1" si="98"/>
        <v>0</v>
      </c>
      <c r="ES106" s="883">
        <f t="shared" ca="1" si="98"/>
        <v>0</v>
      </c>
      <c r="ET106" s="883">
        <f t="shared" ca="1" si="100"/>
        <v>0</v>
      </c>
      <c r="EU106" s="883">
        <f t="shared" ca="1" si="100"/>
        <v>0</v>
      </c>
      <c r="EV106" s="883">
        <f t="shared" ca="1" si="100"/>
        <v>0</v>
      </c>
      <c r="EW106" s="883">
        <f t="shared" ca="1" si="100"/>
        <v>0</v>
      </c>
      <c r="EX106" s="883">
        <f t="shared" ca="1" si="100"/>
        <v>0</v>
      </c>
      <c r="EY106" s="883">
        <f t="shared" ca="1" si="100"/>
        <v>0</v>
      </c>
      <c r="EZ106" s="883">
        <f t="shared" ca="1" si="100"/>
        <v>0</v>
      </c>
      <c r="FA106" s="883">
        <f t="shared" ca="1" si="100"/>
        <v>0</v>
      </c>
    </row>
    <row r="107" spans="8:157">
      <c r="H107" s="891" t="str">
        <f t="shared" ca="1" si="80"/>
        <v/>
      </c>
      <c r="I107" s="1206" t="e">
        <f t="shared" ca="1" si="77"/>
        <v>#N/A</v>
      </c>
      <c r="J107" s="1206">
        <f t="shared" ca="1" si="78"/>
        <v>0</v>
      </c>
      <c r="K107" s="929" t="str">
        <f t="shared" si="79"/>
        <v/>
      </c>
      <c r="L107" s="929" t="str">
        <f t="shared" si="81"/>
        <v/>
      </c>
      <c r="Q107" s="928"/>
      <c r="R107" s="889"/>
      <c r="S107" s="885"/>
      <c r="V107" s="886"/>
      <c r="W107" s="885"/>
      <c r="Y107" s="887"/>
      <c r="Z107" s="886"/>
      <c r="AA107" s="1205"/>
      <c r="AB107" s="881"/>
      <c r="AC107" s="887"/>
    </row>
    <row r="108" spans="8:157">
      <c r="H108" s="891" t="str">
        <f t="shared" ca="1" si="80"/>
        <v/>
      </c>
      <c r="I108" s="1206" t="e">
        <f t="shared" ref="I108:I139" ca="1" si="113">MAX(INDEX($AD$2:$FA$2,1,MATCH(H108,$AD$4:$FA$4,0)),0)</f>
        <v>#N/A</v>
      </c>
      <c r="J108" s="1206">
        <f t="shared" ref="J108:J139" ca="1" si="114">SUMIFS($R$7:$R$42,$T$7:$T$42,$H108)</f>
        <v>0</v>
      </c>
      <c r="K108" s="929" t="str">
        <f t="shared" ref="K108:K139" si="115">IF($B$6=0,"",MAX(INDEX($AD$60:$FA$60,1,MATCH(H108,$AD$4:$FA$4,0)),0))</f>
        <v/>
      </c>
      <c r="L108" s="929" t="str">
        <f t="shared" si="81"/>
        <v/>
      </c>
      <c r="Q108" s="928"/>
      <c r="R108" s="889"/>
      <c r="S108" s="885"/>
      <c r="V108" s="886"/>
      <c r="W108" s="885"/>
      <c r="Y108" s="887"/>
      <c r="Z108" s="886"/>
      <c r="AA108" s="1205"/>
      <c r="AB108" s="881"/>
      <c r="AC108" s="887"/>
    </row>
    <row r="109" spans="8:157">
      <c r="H109" s="891" t="str">
        <f t="shared" ref="H109:H140" ca="1" si="116">IF(H108&lt;$B$2,H108+1,"")</f>
        <v/>
      </c>
      <c r="I109" s="1206" t="e">
        <f t="shared" ca="1" si="113"/>
        <v>#N/A</v>
      </c>
      <c r="J109" s="1206">
        <f t="shared" ca="1" si="114"/>
        <v>0</v>
      </c>
      <c r="K109" s="929" t="str">
        <f t="shared" si="115"/>
        <v/>
      </c>
      <c r="L109" s="929" t="str">
        <f t="shared" si="81"/>
        <v/>
      </c>
      <c r="Q109" s="928"/>
      <c r="R109" s="889"/>
      <c r="S109" s="885"/>
      <c r="V109" s="886"/>
      <c r="W109" s="885"/>
      <c r="Y109" s="887"/>
      <c r="Z109" s="886"/>
      <c r="AA109" s="1205"/>
      <c r="AB109" s="881"/>
      <c r="AC109" s="887"/>
    </row>
    <row r="110" spans="8:157">
      <c r="H110" s="891" t="str">
        <f t="shared" ca="1" si="116"/>
        <v/>
      </c>
      <c r="I110" s="1206" t="e">
        <f t="shared" ca="1" si="113"/>
        <v>#N/A</v>
      </c>
      <c r="J110" s="1206">
        <f t="shared" ca="1" si="114"/>
        <v>0</v>
      </c>
      <c r="K110" s="929" t="str">
        <f t="shared" si="115"/>
        <v/>
      </c>
      <c r="L110" s="929" t="str">
        <f t="shared" si="81"/>
        <v/>
      </c>
      <c r="Q110" s="928"/>
      <c r="R110" s="889"/>
      <c r="S110" s="885"/>
      <c r="V110" s="886"/>
      <c r="W110" s="885"/>
      <c r="Y110" s="887"/>
      <c r="Z110" s="886"/>
      <c r="AA110" s="1205"/>
      <c r="AB110" s="881"/>
      <c r="AC110" s="887"/>
    </row>
    <row r="111" spans="8:157">
      <c r="H111" s="891" t="str">
        <f t="shared" ca="1" si="116"/>
        <v/>
      </c>
      <c r="I111" s="1206" t="e">
        <f t="shared" ca="1" si="113"/>
        <v>#N/A</v>
      </c>
      <c r="J111" s="1206">
        <f t="shared" ca="1" si="114"/>
        <v>0</v>
      </c>
      <c r="K111" s="929" t="str">
        <f t="shared" si="115"/>
        <v/>
      </c>
      <c r="L111" s="929" t="str">
        <f t="shared" si="81"/>
        <v/>
      </c>
      <c r="Q111" s="928"/>
      <c r="R111" s="889"/>
      <c r="S111" s="885"/>
      <c r="V111" s="886"/>
      <c r="W111" s="885"/>
      <c r="Y111" s="887"/>
      <c r="Z111" s="886"/>
      <c r="AA111" s="1205"/>
      <c r="AB111" s="881"/>
      <c r="AC111" s="887"/>
    </row>
    <row r="112" spans="8:157">
      <c r="H112" s="891" t="str">
        <f t="shared" ca="1" si="116"/>
        <v/>
      </c>
      <c r="I112" s="1206" t="e">
        <f t="shared" ca="1" si="113"/>
        <v>#N/A</v>
      </c>
      <c r="J112" s="1206">
        <f t="shared" ca="1" si="114"/>
        <v>0</v>
      </c>
      <c r="K112" s="929" t="str">
        <f t="shared" si="115"/>
        <v/>
      </c>
      <c r="L112" s="929" t="str">
        <f t="shared" si="81"/>
        <v/>
      </c>
      <c r="Q112" s="928"/>
      <c r="R112" s="889"/>
      <c r="S112" s="885"/>
      <c r="V112" s="886"/>
      <c r="W112" s="885"/>
      <c r="Y112" s="887"/>
      <c r="Z112" s="886"/>
      <c r="AA112" s="1205"/>
      <c r="AB112" s="881"/>
      <c r="AC112" s="887"/>
    </row>
    <row r="113" spans="8:29">
      <c r="H113" s="891" t="str">
        <f t="shared" ca="1" si="116"/>
        <v/>
      </c>
      <c r="I113" s="1206" t="e">
        <f t="shared" ca="1" si="113"/>
        <v>#N/A</v>
      </c>
      <c r="J113" s="1206">
        <f t="shared" ca="1" si="114"/>
        <v>0</v>
      </c>
      <c r="K113" s="929" t="str">
        <f t="shared" si="115"/>
        <v/>
      </c>
      <c r="L113" s="929" t="str">
        <f t="shared" si="81"/>
        <v/>
      </c>
      <c r="Q113" s="928"/>
      <c r="R113" s="889"/>
      <c r="S113" s="885"/>
      <c r="V113" s="886"/>
      <c r="W113" s="885"/>
      <c r="Y113" s="887"/>
      <c r="Z113" s="886"/>
      <c r="AA113" s="1205"/>
      <c r="AB113" s="881"/>
      <c r="AC113" s="887"/>
    </row>
    <row r="114" spans="8:29">
      <c r="H114" s="891" t="str">
        <f t="shared" ca="1" si="116"/>
        <v/>
      </c>
      <c r="I114" s="1206" t="e">
        <f t="shared" ca="1" si="113"/>
        <v>#N/A</v>
      </c>
      <c r="J114" s="1206">
        <f t="shared" ca="1" si="114"/>
        <v>0</v>
      </c>
      <c r="K114" s="929" t="str">
        <f t="shared" si="115"/>
        <v/>
      </c>
      <c r="L114" s="929" t="str">
        <f t="shared" si="81"/>
        <v/>
      </c>
      <c r="Q114" s="928"/>
      <c r="R114" s="889"/>
      <c r="S114" s="885"/>
      <c r="V114" s="886"/>
      <c r="W114" s="885"/>
      <c r="Y114" s="887"/>
      <c r="Z114" s="886"/>
      <c r="AA114" s="1205"/>
      <c r="AB114" s="881"/>
      <c r="AC114" s="887"/>
    </row>
    <row r="115" spans="8:29">
      <c r="H115" s="891" t="str">
        <f t="shared" ca="1" si="116"/>
        <v/>
      </c>
      <c r="I115" s="1206" t="e">
        <f t="shared" ca="1" si="113"/>
        <v>#N/A</v>
      </c>
      <c r="J115" s="1206">
        <f t="shared" ca="1" si="114"/>
        <v>0</v>
      </c>
      <c r="K115" s="929" t="str">
        <f t="shared" si="115"/>
        <v/>
      </c>
      <c r="L115" s="929" t="str">
        <f t="shared" si="81"/>
        <v/>
      </c>
      <c r="Q115" s="928"/>
      <c r="R115" s="889"/>
      <c r="S115" s="885"/>
      <c r="V115" s="886"/>
      <c r="W115" s="885"/>
      <c r="Y115" s="887"/>
      <c r="Z115" s="886"/>
      <c r="AA115" s="1205"/>
      <c r="AB115" s="881"/>
      <c r="AC115" s="887"/>
    </row>
    <row r="116" spans="8:29">
      <c r="H116" s="891" t="str">
        <f t="shared" ca="1" si="116"/>
        <v/>
      </c>
      <c r="I116" s="1206" t="e">
        <f t="shared" ca="1" si="113"/>
        <v>#N/A</v>
      </c>
      <c r="J116" s="1206">
        <f t="shared" ca="1" si="114"/>
        <v>0</v>
      </c>
      <c r="K116" s="929" t="str">
        <f t="shared" si="115"/>
        <v/>
      </c>
      <c r="L116" s="929" t="str">
        <f t="shared" si="81"/>
        <v/>
      </c>
      <c r="Q116" s="928"/>
      <c r="R116" s="889"/>
      <c r="S116" s="885"/>
      <c r="V116" s="886"/>
      <c r="W116" s="885"/>
      <c r="Y116" s="887"/>
      <c r="Z116" s="886"/>
      <c r="AA116" s="1205"/>
      <c r="AB116" s="881"/>
      <c r="AC116" s="887"/>
    </row>
    <row r="117" spans="8:29">
      <c r="H117" s="891" t="str">
        <f t="shared" ca="1" si="116"/>
        <v/>
      </c>
      <c r="I117" s="1206" t="e">
        <f t="shared" ca="1" si="113"/>
        <v>#N/A</v>
      </c>
      <c r="J117" s="1206">
        <f t="shared" ca="1" si="114"/>
        <v>0</v>
      </c>
      <c r="K117" s="929" t="str">
        <f t="shared" si="115"/>
        <v/>
      </c>
      <c r="L117" s="929" t="str">
        <f t="shared" si="81"/>
        <v/>
      </c>
      <c r="Q117" s="928"/>
      <c r="R117" s="889"/>
      <c r="S117" s="885"/>
      <c r="V117" s="886"/>
      <c r="W117" s="885"/>
      <c r="Y117" s="887"/>
      <c r="Z117" s="886"/>
      <c r="AA117" s="1205"/>
      <c r="AB117" s="881"/>
      <c r="AC117" s="887"/>
    </row>
    <row r="118" spans="8:29">
      <c r="H118" s="891" t="str">
        <f t="shared" ca="1" si="116"/>
        <v/>
      </c>
      <c r="I118" s="1206" t="e">
        <f t="shared" ca="1" si="113"/>
        <v>#N/A</v>
      </c>
      <c r="J118" s="1206">
        <f t="shared" ca="1" si="114"/>
        <v>0</v>
      </c>
      <c r="K118" s="929" t="str">
        <f t="shared" si="115"/>
        <v/>
      </c>
      <c r="L118" s="929" t="str">
        <f t="shared" si="81"/>
        <v/>
      </c>
      <c r="Q118" s="928"/>
      <c r="R118" s="889"/>
      <c r="S118" s="885"/>
      <c r="V118" s="886"/>
      <c r="W118" s="885"/>
      <c r="Y118" s="887"/>
      <c r="Z118" s="886"/>
      <c r="AA118" s="1205"/>
      <c r="AB118" s="881"/>
      <c r="AC118" s="887"/>
    </row>
    <row r="119" spans="8:29">
      <c r="H119" s="891" t="str">
        <f t="shared" ca="1" si="116"/>
        <v/>
      </c>
      <c r="I119" s="1206" t="e">
        <f t="shared" ca="1" si="113"/>
        <v>#N/A</v>
      </c>
      <c r="J119" s="1206">
        <f t="shared" ca="1" si="114"/>
        <v>0</v>
      </c>
      <c r="K119" s="929" t="str">
        <f t="shared" si="115"/>
        <v/>
      </c>
      <c r="L119" s="929" t="str">
        <f t="shared" si="81"/>
        <v/>
      </c>
      <c r="Q119" s="928"/>
      <c r="R119" s="889"/>
      <c r="S119" s="885"/>
      <c r="V119" s="886"/>
      <c r="W119" s="885"/>
      <c r="Y119" s="887"/>
      <c r="Z119" s="886"/>
      <c r="AA119" s="1205"/>
      <c r="AB119" s="881"/>
      <c r="AC119" s="887"/>
    </row>
    <row r="120" spans="8:29">
      <c r="H120" s="891" t="str">
        <f t="shared" ca="1" si="116"/>
        <v/>
      </c>
      <c r="I120" s="1206" t="e">
        <f t="shared" ca="1" si="113"/>
        <v>#N/A</v>
      </c>
      <c r="J120" s="1206">
        <f t="shared" ca="1" si="114"/>
        <v>0</v>
      </c>
      <c r="K120" s="929" t="str">
        <f t="shared" si="115"/>
        <v/>
      </c>
      <c r="L120" s="929" t="str">
        <f t="shared" si="81"/>
        <v/>
      </c>
      <c r="Q120" s="928"/>
      <c r="R120" s="889"/>
      <c r="S120" s="885"/>
      <c r="V120" s="886"/>
      <c r="W120" s="885"/>
      <c r="Y120" s="887"/>
      <c r="Z120" s="886"/>
      <c r="AA120" s="1205"/>
      <c r="AB120" s="881"/>
      <c r="AC120" s="887"/>
    </row>
    <row r="121" spans="8:29">
      <c r="H121" s="891" t="str">
        <f t="shared" ca="1" si="116"/>
        <v/>
      </c>
      <c r="I121" s="1206" t="e">
        <f t="shared" ca="1" si="113"/>
        <v>#N/A</v>
      </c>
      <c r="J121" s="1206">
        <f t="shared" ca="1" si="114"/>
        <v>0</v>
      </c>
      <c r="K121" s="929" t="str">
        <f t="shared" si="115"/>
        <v/>
      </c>
      <c r="L121" s="929" t="str">
        <f t="shared" si="81"/>
        <v/>
      </c>
      <c r="Q121" s="928"/>
      <c r="R121" s="889"/>
      <c r="S121" s="885"/>
      <c r="V121" s="886"/>
      <c r="W121" s="885"/>
      <c r="Y121" s="887"/>
      <c r="Z121" s="886"/>
      <c r="AA121" s="1205"/>
      <c r="AB121" s="881"/>
      <c r="AC121" s="887"/>
    </row>
    <row r="122" spans="8:29">
      <c r="H122" s="891" t="str">
        <f t="shared" ca="1" si="116"/>
        <v/>
      </c>
      <c r="I122" s="1206" t="e">
        <f t="shared" ca="1" si="113"/>
        <v>#N/A</v>
      </c>
      <c r="J122" s="1206">
        <f t="shared" ca="1" si="114"/>
        <v>0</v>
      </c>
      <c r="K122" s="929" t="str">
        <f t="shared" si="115"/>
        <v/>
      </c>
      <c r="L122" s="929" t="str">
        <f t="shared" si="81"/>
        <v/>
      </c>
      <c r="Q122" s="928"/>
      <c r="R122" s="889"/>
      <c r="S122" s="885"/>
      <c r="V122" s="886"/>
      <c r="W122" s="885"/>
      <c r="Y122" s="887"/>
      <c r="Z122" s="886"/>
      <c r="AA122" s="1205"/>
      <c r="AB122" s="881"/>
      <c r="AC122" s="887"/>
    </row>
    <row r="123" spans="8:29">
      <c r="H123" s="891" t="str">
        <f t="shared" ca="1" si="116"/>
        <v/>
      </c>
      <c r="I123" s="1206" t="e">
        <f t="shared" ca="1" si="113"/>
        <v>#N/A</v>
      </c>
      <c r="J123" s="1206">
        <f t="shared" ca="1" si="114"/>
        <v>0</v>
      </c>
      <c r="K123" s="929" t="str">
        <f t="shared" si="115"/>
        <v/>
      </c>
      <c r="L123" s="929" t="str">
        <f t="shared" si="81"/>
        <v/>
      </c>
      <c r="Q123" s="928"/>
      <c r="R123" s="889"/>
      <c r="S123" s="885"/>
      <c r="V123" s="886"/>
      <c r="W123" s="885"/>
      <c r="Y123" s="887"/>
      <c r="Z123" s="886"/>
      <c r="AA123" s="1205"/>
      <c r="AB123" s="881"/>
      <c r="AC123" s="887"/>
    </row>
    <row r="124" spans="8:29">
      <c r="H124" s="891" t="str">
        <f t="shared" ca="1" si="116"/>
        <v/>
      </c>
      <c r="I124" s="1206" t="e">
        <f t="shared" ca="1" si="113"/>
        <v>#N/A</v>
      </c>
      <c r="J124" s="1206">
        <f t="shared" ca="1" si="114"/>
        <v>0</v>
      </c>
      <c r="K124" s="929" t="str">
        <f t="shared" si="115"/>
        <v/>
      </c>
      <c r="L124" s="929" t="str">
        <f t="shared" si="81"/>
        <v/>
      </c>
      <c r="Q124" s="928"/>
      <c r="R124" s="889"/>
      <c r="S124" s="885"/>
      <c r="V124" s="886"/>
      <c r="W124" s="885"/>
      <c r="Y124" s="887"/>
      <c r="Z124" s="886"/>
      <c r="AA124" s="1205"/>
      <c r="AB124" s="881"/>
      <c r="AC124" s="887"/>
    </row>
    <row r="125" spans="8:29">
      <c r="H125" s="891" t="str">
        <f t="shared" ca="1" si="116"/>
        <v/>
      </c>
      <c r="I125" s="1206" t="e">
        <f t="shared" ca="1" si="113"/>
        <v>#N/A</v>
      </c>
      <c r="J125" s="1206">
        <f t="shared" ca="1" si="114"/>
        <v>0</v>
      </c>
      <c r="K125" s="929" t="str">
        <f t="shared" si="115"/>
        <v/>
      </c>
      <c r="L125" s="929" t="str">
        <f t="shared" si="81"/>
        <v/>
      </c>
      <c r="Q125" s="928"/>
      <c r="R125" s="889"/>
      <c r="S125" s="885"/>
      <c r="V125" s="886"/>
      <c r="W125" s="885"/>
      <c r="Y125" s="887"/>
      <c r="Z125" s="886"/>
      <c r="AA125" s="1205"/>
      <c r="AB125" s="881"/>
      <c r="AC125" s="887"/>
    </row>
    <row r="126" spans="8:29">
      <c r="H126" s="891" t="str">
        <f t="shared" ca="1" si="116"/>
        <v/>
      </c>
      <c r="I126" s="1206" t="e">
        <f t="shared" ca="1" si="113"/>
        <v>#N/A</v>
      </c>
      <c r="J126" s="1206">
        <f t="shared" ca="1" si="114"/>
        <v>0</v>
      </c>
      <c r="K126" s="929" t="str">
        <f t="shared" si="115"/>
        <v/>
      </c>
      <c r="L126" s="929" t="str">
        <f t="shared" si="81"/>
        <v/>
      </c>
      <c r="Q126" s="928"/>
      <c r="R126" s="889"/>
      <c r="S126" s="885"/>
      <c r="V126" s="886"/>
      <c r="W126" s="885"/>
      <c r="Y126" s="887"/>
      <c r="Z126" s="886"/>
      <c r="AA126" s="1205"/>
      <c r="AB126" s="881"/>
      <c r="AC126" s="887"/>
    </row>
    <row r="127" spans="8:29">
      <c r="H127" s="891" t="str">
        <f t="shared" ca="1" si="116"/>
        <v/>
      </c>
      <c r="I127" s="1206" t="e">
        <f t="shared" ca="1" si="113"/>
        <v>#N/A</v>
      </c>
      <c r="J127" s="1206">
        <f t="shared" ca="1" si="114"/>
        <v>0</v>
      </c>
      <c r="K127" s="929" t="str">
        <f t="shared" si="115"/>
        <v/>
      </c>
      <c r="L127" s="929" t="str">
        <f t="shared" si="81"/>
        <v/>
      </c>
      <c r="Q127" s="928"/>
      <c r="R127" s="889"/>
      <c r="S127" s="885"/>
      <c r="V127" s="886"/>
      <c r="W127" s="885"/>
      <c r="Y127" s="887"/>
      <c r="Z127" s="886"/>
      <c r="AA127" s="1205"/>
      <c r="AB127" s="881"/>
      <c r="AC127" s="887"/>
    </row>
    <row r="128" spans="8:29">
      <c r="H128" s="891" t="str">
        <f t="shared" ca="1" si="116"/>
        <v/>
      </c>
      <c r="I128" s="1206" t="e">
        <f t="shared" ca="1" si="113"/>
        <v>#N/A</v>
      </c>
      <c r="J128" s="1206">
        <f t="shared" ca="1" si="114"/>
        <v>0</v>
      </c>
      <c r="K128" s="929" t="str">
        <f t="shared" si="115"/>
        <v/>
      </c>
      <c r="L128" s="929" t="str">
        <f t="shared" si="81"/>
        <v/>
      </c>
      <c r="Q128" s="928"/>
      <c r="R128" s="889"/>
      <c r="S128" s="885"/>
      <c r="V128" s="886"/>
      <c r="W128" s="885"/>
      <c r="Y128" s="887"/>
      <c r="Z128" s="886"/>
      <c r="AA128" s="1205"/>
      <c r="AB128" s="881"/>
      <c r="AC128" s="887"/>
    </row>
    <row r="129" spans="8:29">
      <c r="H129" s="891" t="str">
        <f t="shared" ca="1" si="116"/>
        <v/>
      </c>
      <c r="I129" s="1206" t="e">
        <f t="shared" ca="1" si="113"/>
        <v>#N/A</v>
      </c>
      <c r="J129" s="1206">
        <f t="shared" ca="1" si="114"/>
        <v>0</v>
      </c>
      <c r="K129" s="929" t="str">
        <f t="shared" si="115"/>
        <v/>
      </c>
      <c r="L129" s="929" t="str">
        <f t="shared" si="81"/>
        <v/>
      </c>
      <c r="Q129" s="928"/>
      <c r="R129" s="889"/>
      <c r="S129" s="885"/>
      <c r="V129" s="886"/>
      <c r="W129" s="885"/>
      <c r="Y129" s="887"/>
      <c r="Z129" s="886"/>
      <c r="AA129" s="1205"/>
      <c r="AB129" s="881"/>
      <c r="AC129" s="887"/>
    </row>
    <row r="130" spans="8:29">
      <c r="H130" s="891" t="str">
        <f t="shared" ca="1" si="116"/>
        <v/>
      </c>
      <c r="I130" s="1206" t="e">
        <f t="shared" ca="1" si="113"/>
        <v>#N/A</v>
      </c>
      <c r="J130" s="1206">
        <f t="shared" ca="1" si="114"/>
        <v>0</v>
      </c>
      <c r="K130" s="929" t="str">
        <f t="shared" si="115"/>
        <v/>
      </c>
      <c r="L130" s="929" t="str">
        <f t="shared" si="81"/>
        <v/>
      </c>
      <c r="Q130" s="928"/>
      <c r="R130" s="889"/>
      <c r="S130" s="885"/>
      <c r="V130" s="886"/>
      <c r="W130" s="885"/>
      <c r="Y130" s="887"/>
      <c r="Z130" s="886"/>
      <c r="AA130" s="1205"/>
      <c r="AB130" s="881"/>
      <c r="AC130" s="887"/>
    </row>
    <row r="131" spans="8:29">
      <c r="H131" s="891" t="str">
        <f t="shared" ca="1" si="116"/>
        <v/>
      </c>
      <c r="I131" s="1206" t="e">
        <f t="shared" ca="1" si="113"/>
        <v>#N/A</v>
      </c>
      <c r="J131" s="1206">
        <f t="shared" ca="1" si="114"/>
        <v>0</v>
      </c>
      <c r="K131" s="929" t="str">
        <f t="shared" si="115"/>
        <v/>
      </c>
      <c r="L131" s="929" t="str">
        <f t="shared" si="81"/>
        <v/>
      </c>
      <c r="Q131" s="928"/>
      <c r="R131" s="889"/>
      <c r="S131" s="885"/>
      <c r="V131" s="886"/>
      <c r="W131" s="885"/>
      <c r="Y131" s="887"/>
      <c r="Z131" s="886"/>
      <c r="AA131" s="1205"/>
      <c r="AB131" s="881"/>
      <c r="AC131" s="887"/>
    </row>
    <row r="132" spans="8:29">
      <c r="H132" s="891" t="str">
        <f t="shared" ca="1" si="116"/>
        <v/>
      </c>
      <c r="I132" s="1206" t="e">
        <f t="shared" ca="1" si="113"/>
        <v>#N/A</v>
      </c>
      <c r="J132" s="1206">
        <f t="shared" ca="1" si="114"/>
        <v>0</v>
      </c>
      <c r="K132" s="929" t="str">
        <f t="shared" si="115"/>
        <v/>
      </c>
      <c r="L132" s="929" t="str">
        <f t="shared" si="81"/>
        <v/>
      </c>
      <c r="Q132" s="928"/>
      <c r="R132" s="889"/>
      <c r="S132" s="885"/>
      <c r="V132" s="886"/>
      <c r="W132" s="885"/>
      <c r="Y132" s="887"/>
      <c r="Z132" s="886"/>
      <c r="AA132" s="1205"/>
      <c r="AB132" s="881"/>
      <c r="AC132" s="887"/>
    </row>
    <row r="133" spans="8:29">
      <c r="H133" s="891" t="str">
        <f t="shared" ca="1" si="116"/>
        <v/>
      </c>
      <c r="I133" s="1206" t="e">
        <f t="shared" ca="1" si="113"/>
        <v>#N/A</v>
      </c>
      <c r="J133" s="1206">
        <f t="shared" ca="1" si="114"/>
        <v>0</v>
      </c>
      <c r="K133" s="929" t="str">
        <f t="shared" si="115"/>
        <v/>
      </c>
      <c r="L133" s="929" t="str">
        <f t="shared" si="81"/>
        <v/>
      </c>
      <c r="Q133" s="928"/>
      <c r="R133" s="889"/>
      <c r="S133" s="885"/>
      <c r="V133" s="886"/>
      <c r="W133" s="885"/>
      <c r="Y133" s="887"/>
      <c r="Z133" s="886"/>
      <c r="AA133" s="1205"/>
      <c r="AB133" s="881"/>
      <c r="AC133" s="887"/>
    </row>
    <row r="134" spans="8:29">
      <c r="H134" s="891" t="str">
        <f t="shared" ca="1" si="116"/>
        <v/>
      </c>
      <c r="I134" s="1206" t="e">
        <f t="shared" ca="1" si="113"/>
        <v>#N/A</v>
      </c>
      <c r="J134" s="1206">
        <f t="shared" ca="1" si="114"/>
        <v>0</v>
      </c>
      <c r="K134" s="929" t="str">
        <f t="shared" si="115"/>
        <v/>
      </c>
      <c r="L134" s="929" t="str">
        <f t="shared" si="81"/>
        <v/>
      </c>
      <c r="Q134" s="928"/>
      <c r="R134" s="889"/>
      <c r="S134" s="885"/>
      <c r="V134" s="886"/>
      <c r="W134" s="885"/>
      <c r="Y134" s="887"/>
      <c r="Z134" s="886"/>
      <c r="AA134" s="1205"/>
      <c r="AB134" s="881"/>
      <c r="AC134" s="887"/>
    </row>
    <row r="135" spans="8:29">
      <c r="H135" s="891" t="str">
        <f t="shared" ca="1" si="116"/>
        <v/>
      </c>
      <c r="I135" s="1206" t="e">
        <f t="shared" ca="1" si="113"/>
        <v>#N/A</v>
      </c>
      <c r="J135" s="1206">
        <f t="shared" ca="1" si="114"/>
        <v>0</v>
      </c>
      <c r="K135" s="929" t="str">
        <f t="shared" si="115"/>
        <v/>
      </c>
      <c r="L135" s="929" t="str">
        <f t="shared" si="81"/>
        <v/>
      </c>
      <c r="Q135" s="928"/>
      <c r="R135" s="889"/>
      <c r="S135" s="885"/>
      <c r="V135" s="886"/>
      <c r="W135" s="885"/>
      <c r="Y135" s="887"/>
      <c r="Z135" s="886"/>
      <c r="AA135" s="1205"/>
      <c r="AB135" s="881"/>
      <c r="AC135" s="887"/>
    </row>
    <row r="136" spans="8:29">
      <c r="H136" s="891" t="str">
        <f t="shared" ca="1" si="116"/>
        <v/>
      </c>
      <c r="I136" s="1206" t="e">
        <f t="shared" ca="1" si="113"/>
        <v>#N/A</v>
      </c>
      <c r="J136" s="1206">
        <f t="shared" ca="1" si="114"/>
        <v>0</v>
      </c>
      <c r="K136" s="929" t="str">
        <f t="shared" si="115"/>
        <v/>
      </c>
      <c r="L136" s="929" t="str">
        <f t="shared" si="81"/>
        <v/>
      </c>
      <c r="Q136" s="928"/>
      <c r="R136" s="889"/>
      <c r="S136" s="885"/>
      <c r="V136" s="886"/>
      <c r="W136" s="885"/>
      <c r="Y136" s="887"/>
      <c r="Z136" s="886"/>
      <c r="AA136" s="1205"/>
      <c r="AB136" s="881"/>
      <c r="AC136" s="887"/>
    </row>
    <row r="137" spans="8:29">
      <c r="H137" s="891" t="str">
        <f t="shared" ca="1" si="116"/>
        <v/>
      </c>
      <c r="I137" s="1206" t="e">
        <f t="shared" ca="1" si="113"/>
        <v>#N/A</v>
      </c>
      <c r="J137" s="1206">
        <f t="shared" ca="1" si="114"/>
        <v>0</v>
      </c>
      <c r="K137" s="929" t="str">
        <f t="shared" si="115"/>
        <v/>
      </c>
      <c r="L137" s="929" t="str">
        <f t="shared" si="81"/>
        <v/>
      </c>
      <c r="Q137" s="928"/>
      <c r="R137" s="889"/>
      <c r="S137" s="885"/>
      <c r="V137" s="886"/>
      <c r="W137" s="885"/>
      <c r="Y137" s="887"/>
      <c r="Z137" s="886"/>
      <c r="AA137" s="1205"/>
      <c r="AB137" s="881"/>
      <c r="AC137" s="887"/>
    </row>
    <row r="138" spans="8:29">
      <c r="H138" s="891" t="str">
        <f t="shared" ca="1" si="116"/>
        <v/>
      </c>
      <c r="I138" s="1206" t="e">
        <f t="shared" ca="1" si="113"/>
        <v>#N/A</v>
      </c>
      <c r="J138" s="1206">
        <f t="shared" ca="1" si="114"/>
        <v>0</v>
      </c>
      <c r="K138" s="929" t="str">
        <f t="shared" si="115"/>
        <v/>
      </c>
      <c r="L138" s="929" t="str">
        <f t="shared" si="81"/>
        <v/>
      </c>
      <c r="Q138" s="928"/>
      <c r="R138" s="889"/>
      <c r="S138" s="885"/>
      <c r="V138" s="886"/>
      <c r="W138" s="885"/>
      <c r="Y138" s="887"/>
      <c r="Z138" s="886"/>
      <c r="AA138" s="1205"/>
      <c r="AB138" s="881"/>
      <c r="AC138" s="887"/>
    </row>
    <row r="139" spans="8:29">
      <c r="H139" s="891" t="str">
        <f t="shared" ca="1" si="116"/>
        <v/>
      </c>
      <c r="I139" s="1206" t="e">
        <f t="shared" ca="1" si="113"/>
        <v>#N/A</v>
      </c>
      <c r="J139" s="1206">
        <f t="shared" ca="1" si="114"/>
        <v>0</v>
      </c>
      <c r="K139" s="929" t="str">
        <f t="shared" si="115"/>
        <v/>
      </c>
      <c r="L139" s="929" t="str">
        <f t="shared" si="81"/>
        <v/>
      </c>
      <c r="Q139" s="928"/>
      <c r="R139" s="889"/>
      <c r="S139" s="885"/>
      <c r="V139" s="886"/>
      <c r="W139" s="885"/>
      <c r="Y139" s="887"/>
      <c r="Z139" s="886"/>
      <c r="AA139" s="1205"/>
      <c r="AB139" s="881"/>
      <c r="AC139" s="887"/>
    </row>
    <row r="140" spans="8:29">
      <c r="H140" s="891" t="str">
        <f t="shared" ca="1" si="116"/>
        <v/>
      </c>
      <c r="I140" s="1206" t="e">
        <f t="shared" ref="I140:I163" ca="1" si="117">MAX(INDEX($AD$2:$FA$2,1,MATCH(H140,$AD$4:$FA$4,0)),0)</f>
        <v>#N/A</v>
      </c>
      <c r="J140" s="1206">
        <f t="shared" ref="J140:J163" ca="1" si="118">SUMIFS($R$7:$R$42,$T$7:$T$42,$H140)</f>
        <v>0</v>
      </c>
      <c r="K140" s="929" t="str">
        <f t="shared" ref="K140:K163" si="119">IF($B$6=0,"",MAX(INDEX($AD$60:$FA$60,1,MATCH(H140,$AD$4:$FA$4,0)),0))</f>
        <v/>
      </c>
      <c r="L140" s="929" t="str">
        <f t="shared" si="81"/>
        <v/>
      </c>
      <c r="Q140" s="928"/>
      <c r="R140" s="889"/>
      <c r="S140" s="885"/>
      <c r="V140" s="886"/>
      <c r="W140" s="885"/>
      <c r="Y140" s="887"/>
      <c r="Z140" s="886"/>
      <c r="AA140" s="1205"/>
      <c r="AB140" s="881"/>
      <c r="AC140" s="887"/>
    </row>
    <row r="141" spans="8:29">
      <c r="H141" s="891" t="str">
        <f t="shared" ref="H141:H163" ca="1" si="120">IF(H140&lt;$B$2,H140+1,"")</f>
        <v/>
      </c>
      <c r="I141" s="1206" t="e">
        <f t="shared" ca="1" si="117"/>
        <v>#N/A</v>
      </c>
      <c r="J141" s="1206">
        <f t="shared" ca="1" si="118"/>
        <v>0</v>
      </c>
      <c r="K141" s="929" t="str">
        <f t="shared" si="119"/>
        <v/>
      </c>
      <c r="L141" s="929" t="str">
        <f t="shared" ref="L141:L163" si="121">IF($B$6=0,"",SUMIFS($R$65:$R$106,$T$65:$T$106,$H141))</f>
        <v/>
      </c>
      <c r="Q141" s="928"/>
      <c r="R141" s="889"/>
      <c r="S141" s="885"/>
      <c r="V141" s="886"/>
      <c r="W141" s="885"/>
      <c r="Y141" s="887"/>
      <c r="Z141" s="886"/>
      <c r="AA141" s="1205"/>
      <c r="AB141" s="881"/>
      <c r="AC141" s="887"/>
    </row>
    <row r="142" spans="8:29">
      <c r="H142" s="891" t="str">
        <f t="shared" ca="1" si="120"/>
        <v/>
      </c>
      <c r="I142" s="1206" t="e">
        <f t="shared" ca="1" si="117"/>
        <v>#N/A</v>
      </c>
      <c r="J142" s="1206">
        <f t="shared" ca="1" si="118"/>
        <v>0</v>
      </c>
      <c r="K142" s="929" t="str">
        <f t="shared" si="119"/>
        <v/>
      </c>
      <c r="L142" s="929" t="str">
        <f t="shared" si="121"/>
        <v/>
      </c>
      <c r="Q142" s="928"/>
      <c r="R142" s="889"/>
      <c r="S142" s="885"/>
      <c r="V142" s="886"/>
      <c r="W142" s="885"/>
      <c r="Y142" s="887"/>
      <c r="Z142" s="886"/>
      <c r="AA142" s="1205"/>
      <c r="AB142" s="881"/>
      <c r="AC142" s="887"/>
    </row>
    <row r="143" spans="8:29">
      <c r="H143" s="891" t="str">
        <f t="shared" ca="1" si="120"/>
        <v/>
      </c>
      <c r="I143" s="1206" t="e">
        <f t="shared" ca="1" si="117"/>
        <v>#N/A</v>
      </c>
      <c r="J143" s="1206">
        <f t="shared" ca="1" si="118"/>
        <v>0</v>
      </c>
      <c r="K143" s="929" t="str">
        <f t="shared" si="119"/>
        <v/>
      </c>
      <c r="L143" s="929" t="str">
        <f t="shared" si="121"/>
        <v/>
      </c>
      <c r="Q143" s="928"/>
      <c r="R143" s="889"/>
      <c r="S143" s="885"/>
      <c r="V143" s="886"/>
      <c r="W143" s="885"/>
      <c r="Y143" s="887"/>
      <c r="Z143" s="886"/>
      <c r="AA143" s="1205"/>
      <c r="AB143" s="881"/>
      <c r="AC143" s="887"/>
    </row>
    <row r="144" spans="8:29">
      <c r="H144" s="891" t="str">
        <f t="shared" ca="1" si="120"/>
        <v/>
      </c>
      <c r="I144" s="1206" t="e">
        <f t="shared" ca="1" si="117"/>
        <v>#N/A</v>
      </c>
      <c r="J144" s="1206">
        <f t="shared" ca="1" si="118"/>
        <v>0</v>
      </c>
      <c r="K144" s="929" t="str">
        <f t="shared" si="119"/>
        <v/>
      </c>
      <c r="L144" s="929" t="str">
        <f t="shared" si="121"/>
        <v/>
      </c>
      <c r="Q144" s="928"/>
      <c r="R144" s="889"/>
      <c r="S144" s="885"/>
      <c r="V144" s="886"/>
      <c r="W144" s="885"/>
      <c r="Y144" s="887"/>
      <c r="Z144" s="886"/>
      <c r="AA144" s="1205"/>
      <c r="AB144" s="881"/>
      <c r="AC144" s="887"/>
    </row>
    <row r="145" spans="8:29">
      <c r="H145" s="891" t="str">
        <f t="shared" ca="1" si="120"/>
        <v/>
      </c>
      <c r="I145" s="1206" t="e">
        <f t="shared" ca="1" si="117"/>
        <v>#N/A</v>
      </c>
      <c r="J145" s="1206">
        <f t="shared" ca="1" si="118"/>
        <v>0</v>
      </c>
      <c r="K145" s="929" t="str">
        <f t="shared" si="119"/>
        <v/>
      </c>
      <c r="L145" s="929" t="str">
        <f t="shared" si="121"/>
        <v/>
      </c>
      <c r="Q145" s="928"/>
      <c r="R145" s="889"/>
      <c r="S145" s="885"/>
      <c r="V145" s="886"/>
      <c r="W145" s="885"/>
      <c r="Y145" s="887"/>
      <c r="Z145" s="886"/>
      <c r="AA145" s="1205"/>
      <c r="AB145" s="881"/>
      <c r="AC145" s="887"/>
    </row>
    <row r="146" spans="8:29">
      <c r="H146" s="891" t="str">
        <f t="shared" ca="1" si="120"/>
        <v/>
      </c>
      <c r="I146" s="1206" t="e">
        <f t="shared" ca="1" si="117"/>
        <v>#N/A</v>
      </c>
      <c r="J146" s="1206">
        <f t="shared" ca="1" si="118"/>
        <v>0</v>
      </c>
      <c r="K146" s="929" t="str">
        <f t="shared" si="119"/>
        <v/>
      </c>
      <c r="L146" s="929" t="str">
        <f t="shared" si="121"/>
        <v/>
      </c>
      <c r="Q146" s="928"/>
      <c r="R146" s="889"/>
      <c r="S146" s="885"/>
      <c r="V146" s="886"/>
      <c r="W146" s="885"/>
      <c r="Y146" s="887"/>
      <c r="Z146" s="886"/>
      <c r="AA146" s="1205"/>
      <c r="AB146" s="881"/>
      <c r="AC146" s="887"/>
    </row>
    <row r="147" spans="8:29">
      <c r="H147" s="891" t="str">
        <f t="shared" ca="1" si="120"/>
        <v/>
      </c>
      <c r="I147" s="1206" t="e">
        <f t="shared" ca="1" si="117"/>
        <v>#N/A</v>
      </c>
      <c r="J147" s="1206">
        <f t="shared" ca="1" si="118"/>
        <v>0</v>
      </c>
      <c r="K147" s="929" t="str">
        <f t="shared" si="119"/>
        <v/>
      </c>
      <c r="L147" s="929" t="str">
        <f t="shared" si="121"/>
        <v/>
      </c>
      <c r="Q147" s="928"/>
      <c r="R147" s="889"/>
      <c r="S147" s="885"/>
      <c r="V147" s="886"/>
      <c r="W147" s="885"/>
      <c r="Y147" s="887"/>
      <c r="Z147" s="886"/>
      <c r="AA147" s="1205"/>
      <c r="AB147" s="881"/>
      <c r="AC147" s="887"/>
    </row>
    <row r="148" spans="8:29">
      <c r="H148" s="891" t="str">
        <f t="shared" ca="1" si="120"/>
        <v/>
      </c>
      <c r="I148" s="1206" t="e">
        <f t="shared" ca="1" si="117"/>
        <v>#N/A</v>
      </c>
      <c r="J148" s="1206">
        <f t="shared" ca="1" si="118"/>
        <v>0</v>
      </c>
      <c r="K148" s="929" t="str">
        <f t="shared" si="119"/>
        <v/>
      </c>
      <c r="L148" s="929" t="str">
        <f t="shared" si="121"/>
        <v/>
      </c>
      <c r="Q148" s="928"/>
      <c r="R148" s="889"/>
      <c r="S148" s="885"/>
      <c r="V148" s="886"/>
      <c r="W148" s="885"/>
      <c r="Y148" s="887"/>
      <c r="Z148" s="886"/>
      <c r="AA148" s="1205"/>
      <c r="AB148" s="881"/>
      <c r="AC148" s="887"/>
    </row>
    <row r="149" spans="8:29">
      <c r="H149" s="891" t="str">
        <f t="shared" ca="1" si="120"/>
        <v/>
      </c>
      <c r="I149" s="1206" t="e">
        <f t="shared" ca="1" si="117"/>
        <v>#N/A</v>
      </c>
      <c r="J149" s="1206">
        <f t="shared" ca="1" si="118"/>
        <v>0</v>
      </c>
      <c r="K149" s="929" t="str">
        <f t="shared" si="119"/>
        <v/>
      </c>
      <c r="L149" s="929" t="str">
        <f t="shared" si="121"/>
        <v/>
      </c>
      <c r="Q149" s="928"/>
      <c r="R149" s="889"/>
      <c r="S149" s="885"/>
      <c r="V149" s="886"/>
      <c r="W149" s="885"/>
      <c r="Y149" s="887"/>
      <c r="Z149" s="886"/>
      <c r="AA149" s="1205"/>
      <c r="AB149" s="881"/>
      <c r="AC149" s="887"/>
    </row>
    <row r="150" spans="8:29">
      <c r="H150" s="891" t="str">
        <f t="shared" ca="1" si="120"/>
        <v/>
      </c>
      <c r="I150" s="1206" t="e">
        <f t="shared" ca="1" si="117"/>
        <v>#N/A</v>
      </c>
      <c r="J150" s="1206">
        <f t="shared" ca="1" si="118"/>
        <v>0</v>
      </c>
      <c r="K150" s="929" t="str">
        <f t="shared" si="119"/>
        <v/>
      </c>
      <c r="L150" s="929" t="str">
        <f t="shared" si="121"/>
        <v/>
      </c>
      <c r="Q150" s="928"/>
      <c r="R150" s="889"/>
      <c r="S150" s="885"/>
      <c r="V150" s="886"/>
      <c r="W150" s="885"/>
      <c r="Y150" s="887"/>
      <c r="Z150" s="886"/>
      <c r="AA150" s="1205"/>
      <c r="AB150" s="881"/>
      <c r="AC150" s="887"/>
    </row>
    <row r="151" spans="8:29">
      <c r="H151" s="891" t="str">
        <f t="shared" ca="1" si="120"/>
        <v/>
      </c>
      <c r="I151" s="1206" t="e">
        <f t="shared" ca="1" si="117"/>
        <v>#N/A</v>
      </c>
      <c r="J151" s="1206">
        <f t="shared" ca="1" si="118"/>
        <v>0</v>
      </c>
      <c r="K151" s="929" t="str">
        <f t="shared" si="119"/>
        <v/>
      </c>
      <c r="L151" s="929" t="str">
        <f t="shared" si="121"/>
        <v/>
      </c>
      <c r="Q151" s="928"/>
      <c r="R151" s="889"/>
      <c r="S151" s="885"/>
      <c r="V151" s="886"/>
      <c r="W151" s="885"/>
      <c r="Y151" s="887"/>
      <c r="Z151" s="886"/>
      <c r="AA151" s="1205"/>
      <c r="AB151" s="881"/>
      <c r="AC151" s="887"/>
    </row>
    <row r="152" spans="8:29">
      <c r="H152" s="891" t="str">
        <f t="shared" ca="1" si="120"/>
        <v/>
      </c>
      <c r="I152" s="1206" t="e">
        <f t="shared" ca="1" si="117"/>
        <v>#N/A</v>
      </c>
      <c r="J152" s="1206">
        <f t="shared" ca="1" si="118"/>
        <v>0</v>
      </c>
      <c r="K152" s="929" t="str">
        <f t="shared" si="119"/>
        <v/>
      </c>
      <c r="L152" s="929" t="str">
        <f t="shared" si="121"/>
        <v/>
      </c>
      <c r="Q152" s="928"/>
      <c r="R152" s="889"/>
      <c r="S152" s="885"/>
      <c r="V152" s="886"/>
      <c r="W152" s="885"/>
      <c r="Y152" s="887"/>
      <c r="Z152" s="886"/>
      <c r="AA152" s="1205"/>
      <c r="AB152" s="881"/>
      <c r="AC152" s="887"/>
    </row>
    <row r="153" spans="8:29">
      <c r="H153" s="891" t="str">
        <f t="shared" ca="1" si="120"/>
        <v/>
      </c>
      <c r="I153" s="1206" t="e">
        <f t="shared" ca="1" si="117"/>
        <v>#N/A</v>
      </c>
      <c r="J153" s="1206">
        <f t="shared" ca="1" si="118"/>
        <v>0</v>
      </c>
      <c r="K153" s="929" t="str">
        <f t="shared" si="119"/>
        <v/>
      </c>
      <c r="L153" s="929" t="str">
        <f t="shared" si="121"/>
        <v/>
      </c>
      <c r="Q153" s="928"/>
      <c r="R153" s="889"/>
      <c r="S153" s="885"/>
      <c r="V153" s="886"/>
      <c r="W153" s="885"/>
      <c r="Y153" s="887"/>
      <c r="Z153" s="886"/>
      <c r="AA153" s="1205"/>
      <c r="AB153" s="881"/>
      <c r="AC153" s="887"/>
    </row>
    <row r="154" spans="8:29">
      <c r="H154" s="891" t="str">
        <f t="shared" ca="1" si="120"/>
        <v/>
      </c>
      <c r="I154" s="1206" t="e">
        <f t="shared" ca="1" si="117"/>
        <v>#N/A</v>
      </c>
      <c r="J154" s="1206">
        <f t="shared" ca="1" si="118"/>
        <v>0</v>
      </c>
      <c r="K154" s="929" t="str">
        <f t="shared" si="119"/>
        <v/>
      </c>
      <c r="L154" s="929" t="str">
        <f t="shared" si="121"/>
        <v/>
      </c>
      <c r="Q154" s="928"/>
      <c r="R154" s="889"/>
      <c r="S154" s="885"/>
      <c r="V154" s="886"/>
      <c r="W154" s="885"/>
      <c r="Y154" s="887"/>
      <c r="Z154" s="886"/>
      <c r="AA154" s="1205"/>
      <c r="AB154" s="881"/>
      <c r="AC154" s="887"/>
    </row>
    <row r="155" spans="8:29">
      <c r="H155" s="891" t="str">
        <f t="shared" ca="1" si="120"/>
        <v/>
      </c>
      <c r="I155" s="1206" t="e">
        <f t="shared" ca="1" si="117"/>
        <v>#N/A</v>
      </c>
      <c r="J155" s="1206">
        <f t="shared" ca="1" si="118"/>
        <v>0</v>
      </c>
      <c r="K155" s="929" t="str">
        <f t="shared" si="119"/>
        <v/>
      </c>
      <c r="L155" s="929" t="str">
        <f t="shared" si="121"/>
        <v/>
      </c>
      <c r="Q155" s="928"/>
      <c r="R155" s="889"/>
      <c r="S155" s="885"/>
      <c r="V155" s="886"/>
      <c r="W155" s="885"/>
      <c r="Y155" s="887"/>
      <c r="Z155" s="886"/>
      <c r="AA155" s="1205"/>
      <c r="AB155" s="881"/>
      <c r="AC155" s="887"/>
    </row>
    <row r="156" spans="8:29">
      <c r="H156" s="891" t="str">
        <f t="shared" ca="1" si="120"/>
        <v/>
      </c>
      <c r="I156" s="1206" t="e">
        <f t="shared" ca="1" si="117"/>
        <v>#N/A</v>
      </c>
      <c r="J156" s="1206">
        <f t="shared" ca="1" si="118"/>
        <v>0</v>
      </c>
      <c r="K156" s="929" t="str">
        <f t="shared" si="119"/>
        <v/>
      </c>
      <c r="L156" s="929" t="str">
        <f t="shared" si="121"/>
        <v/>
      </c>
      <c r="Q156" s="928"/>
      <c r="R156" s="889"/>
      <c r="S156" s="885"/>
      <c r="V156" s="886"/>
      <c r="W156" s="885"/>
      <c r="Y156" s="887"/>
      <c r="Z156" s="886"/>
      <c r="AA156" s="1205"/>
      <c r="AB156" s="881"/>
      <c r="AC156" s="887"/>
    </row>
    <row r="157" spans="8:29">
      <c r="H157" s="891" t="str">
        <f t="shared" ca="1" si="120"/>
        <v/>
      </c>
      <c r="I157" s="1206" t="e">
        <f t="shared" ca="1" si="117"/>
        <v>#N/A</v>
      </c>
      <c r="J157" s="1206">
        <f t="shared" ca="1" si="118"/>
        <v>0</v>
      </c>
      <c r="K157" s="929" t="str">
        <f t="shared" si="119"/>
        <v/>
      </c>
      <c r="L157" s="929" t="str">
        <f t="shared" si="121"/>
        <v/>
      </c>
      <c r="Q157" s="928"/>
      <c r="R157" s="889"/>
      <c r="S157" s="885"/>
      <c r="V157" s="886"/>
      <c r="W157" s="885"/>
      <c r="Y157" s="887"/>
      <c r="Z157" s="886"/>
      <c r="AA157" s="1205"/>
      <c r="AB157" s="881"/>
      <c r="AC157" s="887"/>
    </row>
    <row r="158" spans="8:29">
      <c r="H158" s="891" t="str">
        <f t="shared" ca="1" si="120"/>
        <v/>
      </c>
      <c r="I158" s="1206" t="e">
        <f t="shared" ca="1" si="117"/>
        <v>#N/A</v>
      </c>
      <c r="J158" s="1206">
        <f t="shared" ca="1" si="118"/>
        <v>0</v>
      </c>
      <c r="K158" s="929" t="str">
        <f t="shared" si="119"/>
        <v/>
      </c>
      <c r="L158" s="929" t="str">
        <f t="shared" si="121"/>
        <v/>
      </c>
      <c r="Q158" s="928"/>
      <c r="R158" s="889"/>
      <c r="S158" s="885"/>
      <c r="V158" s="886"/>
      <c r="W158" s="885"/>
      <c r="Y158" s="887"/>
      <c r="Z158" s="886"/>
      <c r="AA158" s="1205"/>
      <c r="AB158" s="881"/>
      <c r="AC158" s="887"/>
    </row>
    <row r="159" spans="8:29">
      <c r="H159" s="891" t="str">
        <f t="shared" ca="1" si="120"/>
        <v/>
      </c>
      <c r="I159" s="1206" t="e">
        <f t="shared" ca="1" si="117"/>
        <v>#N/A</v>
      </c>
      <c r="J159" s="1206">
        <f t="shared" ca="1" si="118"/>
        <v>0</v>
      </c>
      <c r="K159" s="929" t="str">
        <f t="shared" si="119"/>
        <v/>
      </c>
      <c r="L159" s="929" t="str">
        <f t="shared" si="121"/>
        <v/>
      </c>
      <c r="Q159" s="928"/>
      <c r="R159" s="889"/>
      <c r="S159" s="885"/>
      <c r="V159" s="886"/>
      <c r="W159" s="885"/>
      <c r="Y159" s="887"/>
      <c r="Z159" s="886"/>
      <c r="AA159" s="1205"/>
      <c r="AB159" s="881"/>
      <c r="AC159" s="887"/>
    </row>
    <row r="160" spans="8:29">
      <c r="H160" s="891" t="str">
        <f t="shared" ca="1" si="120"/>
        <v/>
      </c>
      <c r="I160" s="1206" t="e">
        <f t="shared" ca="1" si="117"/>
        <v>#N/A</v>
      </c>
      <c r="J160" s="1206">
        <f t="shared" ca="1" si="118"/>
        <v>0</v>
      </c>
      <c r="K160" s="929" t="str">
        <f t="shared" si="119"/>
        <v/>
      </c>
      <c r="L160" s="929" t="str">
        <f t="shared" si="121"/>
        <v/>
      </c>
      <c r="Q160" s="928"/>
      <c r="R160" s="889"/>
      <c r="S160" s="885"/>
      <c r="V160" s="886"/>
      <c r="W160" s="885"/>
      <c r="Y160" s="887"/>
      <c r="Z160" s="886"/>
      <c r="AA160" s="1205"/>
      <c r="AB160" s="881"/>
      <c r="AC160" s="887"/>
    </row>
    <row r="161" spans="8:29">
      <c r="H161" s="891" t="str">
        <f t="shared" ca="1" si="120"/>
        <v/>
      </c>
      <c r="I161" s="1206" t="e">
        <f t="shared" ca="1" si="117"/>
        <v>#N/A</v>
      </c>
      <c r="J161" s="1206">
        <f t="shared" ca="1" si="118"/>
        <v>0</v>
      </c>
      <c r="K161" s="929" t="str">
        <f t="shared" si="119"/>
        <v/>
      </c>
      <c r="L161" s="929" t="str">
        <f t="shared" si="121"/>
        <v/>
      </c>
      <c r="Q161" s="928"/>
      <c r="R161" s="889"/>
      <c r="S161" s="885"/>
      <c r="V161" s="886"/>
      <c r="W161" s="885"/>
      <c r="Y161" s="887"/>
      <c r="Z161" s="886"/>
      <c r="AA161" s="1205"/>
      <c r="AB161" s="881"/>
      <c r="AC161" s="887"/>
    </row>
    <row r="162" spans="8:29">
      <c r="H162" s="891" t="str">
        <f t="shared" ca="1" si="120"/>
        <v/>
      </c>
      <c r="I162" s="1206" t="e">
        <f t="shared" ca="1" si="117"/>
        <v>#N/A</v>
      </c>
      <c r="J162" s="1206">
        <f t="shared" ca="1" si="118"/>
        <v>0</v>
      </c>
      <c r="K162" s="929" t="str">
        <f t="shared" si="119"/>
        <v/>
      </c>
      <c r="L162" s="929" t="str">
        <f t="shared" si="121"/>
        <v/>
      </c>
      <c r="Q162" s="928"/>
      <c r="R162" s="889"/>
      <c r="S162" s="885"/>
      <c r="V162" s="886"/>
      <c r="W162" s="885"/>
      <c r="Y162" s="887"/>
      <c r="Z162" s="886"/>
      <c r="AA162" s="1205"/>
      <c r="AB162" s="881"/>
      <c r="AC162" s="887"/>
    </row>
    <row r="163" spans="8:29">
      <c r="H163" s="891" t="str">
        <f t="shared" ca="1" si="120"/>
        <v/>
      </c>
      <c r="I163" s="1206" t="e">
        <f t="shared" ca="1" si="117"/>
        <v>#N/A</v>
      </c>
      <c r="J163" s="1206">
        <f t="shared" ca="1" si="118"/>
        <v>0</v>
      </c>
      <c r="K163" s="929" t="str">
        <f t="shared" si="119"/>
        <v/>
      </c>
      <c r="L163" s="929" t="str">
        <f t="shared" si="121"/>
        <v/>
      </c>
      <c r="Q163" s="928"/>
      <c r="R163" s="889"/>
      <c r="S163" s="885"/>
      <c r="V163" s="886"/>
      <c r="W163" s="885"/>
      <c r="Y163" s="887"/>
      <c r="Z163" s="886"/>
      <c r="AA163" s="1205"/>
      <c r="AB163" s="881"/>
      <c r="AC163" s="887"/>
    </row>
    <row r="164" spans="8:29">
      <c r="Q164" s="928"/>
      <c r="R164" s="889"/>
      <c r="S164" s="885"/>
      <c r="V164" s="886"/>
      <c r="W164" s="885"/>
      <c r="Y164" s="887"/>
      <c r="Z164" s="886"/>
      <c r="AA164" s="1205"/>
      <c r="AB164" s="881"/>
      <c r="AC164" s="887"/>
    </row>
    <row r="165" spans="8:29">
      <c r="Q165" s="928"/>
      <c r="R165" s="889"/>
      <c r="S165" s="885"/>
      <c r="V165" s="886"/>
      <c r="W165" s="885"/>
      <c r="Y165" s="887"/>
      <c r="Z165" s="886"/>
      <c r="AA165" s="1205"/>
      <c r="AB165" s="881"/>
      <c r="AC165" s="887"/>
    </row>
    <row r="166" spans="8:29">
      <c r="Q166" s="928"/>
      <c r="R166" s="889"/>
      <c r="S166" s="885"/>
      <c r="V166" s="886"/>
      <c r="W166" s="885"/>
      <c r="Y166" s="887"/>
      <c r="Z166" s="886"/>
      <c r="AA166" s="1205"/>
      <c r="AB166" s="881"/>
      <c r="AC166" s="887"/>
    </row>
    <row r="167" spans="8:29">
      <c r="Q167" s="928"/>
      <c r="R167" s="889"/>
      <c r="S167" s="885"/>
      <c r="V167" s="886"/>
      <c r="W167" s="885"/>
      <c r="Y167" s="887"/>
      <c r="Z167" s="886"/>
      <c r="AA167" s="1205"/>
      <c r="AB167" s="881"/>
      <c r="AC167" s="887"/>
    </row>
    <row r="168" spans="8:29">
      <c r="Q168" s="928"/>
      <c r="R168" s="889"/>
      <c r="S168" s="885"/>
      <c r="V168" s="886"/>
      <c r="W168" s="885"/>
      <c r="Y168" s="887"/>
      <c r="Z168" s="886"/>
      <c r="AA168" s="1205"/>
      <c r="AB168" s="881"/>
      <c r="AC168" s="887"/>
    </row>
    <row r="169" spans="8:29">
      <c r="Q169" s="928"/>
      <c r="R169" s="889"/>
      <c r="S169" s="885"/>
      <c r="V169" s="886"/>
      <c r="W169" s="885"/>
      <c r="Y169" s="887"/>
      <c r="Z169" s="886"/>
      <c r="AA169" s="1205"/>
      <c r="AB169" s="881"/>
      <c r="AC169" s="887"/>
    </row>
    <row r="170" spans="8:29">
      <c r="Q170" s="928"/>
      <c r="R170" s="889"/>
      <c r="S170" s="885"/>
      <c r="V170" s="886"/>
      <c r="W170" s="885"/>
      <c r="Y170" s="887"/>
      <c r="Z170" s="886"/>
      <c r="AA170" s="1205"/>
      <c r="AB170" s="881"/>
      <c r="AC170" s="887"/>
    </row>
    <row r="171" spans="8:29">
      <c r="Q171" s="928"/>
      <c r="R171" s="889"/>
      <c r="S171" s="885"/>
      <c r="V171" s="886"/>
      <c r="W171" s="885"/>
      <c r="Y171" s="887"/>
      <c r="Z171" s="886"/>
      <c r="AA171" s="1205"/>
      <c r="AB171" s="881"/>
      <c r="AC171" s="887"/>
    </row>
    <row r="172" spans="8:29">
      <c r="Q172" s="928"/>
      <c r="R172" s="889"/>
      <c r="S172" s="885"/>
      <c r="V172" s="886"/>
      <c r="W172" s="885"/>
      <c r="Y172" s="887"/>
      <c r="Z172" s="886"/>
      <c r="AA172" s="1205"/>
      <c r="AB172" s="881"/>
      <c r="AC172" s="887"/>
    </row>
    <row r="173" spans="8:29">
      <c r="Q173" s="928"/>
      <c r="R173" s="889"/>
      <c r="S173" s="885"/>
      <c r="V173" s="886"/>
      <c r="W173" s="885"/>
      <c r="Y173" s="887"/>
      <c r="Z173" s="886"/>
      <c r="AA173" s="1205"/>
      <c r="AB173" s="881"/>
      <c r="AC173" s="887"/>
    </row>
    <row r="174" spans="8:29">
      <c r="Q174" s="928"/>
      <c r="R174" s="889"/>
      <c r="S174" s="885"/>
      <c r="V174" s="886"/>
      <c r="W174" s="885"/>
      <c r="Y174" s="887"/>
      <c r="Z174" s="886"/>
      <c r="AA174" s="1205"/>
      <c r="AB174" s="881"/>
      <c r="AC174" s="887"/>
    </row>
    <row r="175" spans="8:29">
      <c r="Q175" s="928"/>
      <c r="R175" s="889"/>
      <c r="S175" s="885"/>
      <c r="V175" s="886"/>
      <c r="W175" s="885"/>
      <c r="Y175" s="887"/>
      <c r="Z175" s="886"/>
      <c r="AA175" s="1205"/>
      <c r="AB175" s="881"/>
      <c r="AC175" s="887"/>
    </row>
    <row r="176" spans="8:29">
      <c r="Q176" s="928"/>
      <c r="R176" s="889"/>
      <c r="S176" s="885"/>
      <c r="V176" s="886"/>
      <c r="W176" s="885"/>
      <c r="Y176" s="887"/>
      <c r="Z176" s="886"/>
      <c r="AA176" s="1205"/>
      <c r="AB176" s="881"/>
      <c r="AC176" s="887"/>
    </row>
    <row r="177" spans="17:29">
      <c r="Q177" s="928"/>
      <c r="R177" s="889"/>
      <c r="S177" s="885"/>
      <c r="V177" s="886"/>
      <c r="W177" s="885"/>
      <c r="Y177" s="887"/>
      <c r="Z177" s="886"/>
      <c r="AA177" s="1205"/>
      <c r="AB177" s="881"/>
      <c r="AC177" s="887"/>
    </row>
    <row r="178" spans="17:29">
      <c r="Q178" s="928"/>
      <c r="R178" s="889"/>
      <c r="S178" s="885"/>
      <c r="V178" s="886"/>
      <c r="W178" s="885"/>
      <c r="Y178" s="887"/>
      <c r="Z178" s="886"/>
      <c r="AA178" s="1205"/>
      <c r="AB178" s="881"/>
      <c r="AC178" s="887"/>
    </row>
    <row r="179" spans="17:29">
      <c r="Q179" s="928"/>
      <c r="R179" s="889"/>
      <c r="S179" s="885"/>
      <c r="V179" s="886"/>
      <c r="W179" s="885"/>
      <c r="Y179" s="887"/>
      <c r="Z179" s="886"/>
      <c r="AA179" s="1205"/>
      <c r="AB179" s="881"/>
      <c r="AC179" s="887"/>
    </row>
    <row r="180" spans="17:29">
      <c r="Q180" s="928"/>
      <c r="R180" s="889"/>
      <c r="S180" s="885"/>
      <c r="V180" s="886"/>
      <c r="W180" s="885"/>
      <c r="Y180" s="887"/>
      <c r="Z180" s="886"/>
      <c r="AA180" s="1205"/>
      <c r="AB180" s="881"/>
      <c r="AC180" s="887"/>
    </row>
    <row r="181" spans="17:29">
      <c r="Q181" s="928"/>
      <c r="R181" s="889"/>
      <c r="S181" s="885"/>
      <c r="V181" s="886"/>
      <c r="W181" s="885"/>
      <c r="Y181" s="887"/>
      <c r="Z181" s="886"/>
      <c r="AA181" s="1205"/>
      <c r="AB181" s="881"/>
      <c r="AC181" s="887"/>
    </row>
    <row r="182" spans="17:29">
      <c r="Q182" s="928"/>
      <c r="R182" s="889"/>
      <c r="S182" s="885"/>
      <c r="V182" s="886"/>
      <c r="W182" s="885"/>
      <c r="Y182" s="887"/>
      <c r="Z182" s="886"/>
      <c r="AA182" s="1205"/>
      <c r="AB182" s="881"/>
      <c r="AC182" s="887"/>
    </row>
    <row r="183" spans="17:29">
      <c r="Q183" s="928"/>
      <c r="R183" s="889"/>
      <c r="S183" s="885"/>
      <c r="V183" s="886"/>
      <c r="W183" s="885"/>
      <c r="Y183" s="887"/>
      <c r="Z183" s="886"/>
      <c r="AA183" s="1205"/>
      <c r="AB183" s="881"/>
      <c r="AC183" s="887"/>
    </row>
    <row r="184" spans="17:29">
      <c r="Q184" s="928"/>
      <c r="R184" s="889"/>
      <c r="S184" s="885"/>
      <c r="V184" s="886"/>
      <c r="W184" s="885"/>
      <c r="Y184" s="887"/>
      <c r="Z184" s="886"/>
      <c r="AA184" s="1205"/>
      <c r="AB184" s="881"/>
      <c r="AC184" s="887"/>
    </row>
    <row r="185" spans="17:29">
      <c r="Q185" s="928"/>
      <c r="R185" s="889"/>
      <c r="S185" s="885"/>
      <c r="V185" s="886"/>
      <c r="W185" s="885"/>
      <c r="Y185" s="887"/>
      <c r="Z185" s="886"/>
      <c r="AA185" s="1205"/>
      <c r="AB185" s="881"/>
      <c r="AC185" s="887"/>
    </row>
    <row r="186" spans="17:29">
      <c r="Q186" s="928"/>
      <c r="R186" s="889"/>
      <c r="S186" s="885"/>
      <c r="V186" s="886"/>
      <c r="W186" s="885"/>
      <c r="Y186" s="887"/>
      <c r="Z186" s="886"/>
      <c r="AA186" s="1205"/>
      <c r="AB186" s="881"/>
      <c r="AC186" s="887"/>
    </row>
    <row r="187" spans="17:29">
      <c r="Q187" s="928"/>
      <c r="R187" s="889"/>
      <c r="S187" s="885"/>
      <c r="V187" s="886"/>
      <c r="W187" s="885"/>
      <c r="Y187" s="887"/>
      <c r="Z187" s="886"/>
      <c r="AA187" s="1205"/>
      <c r="AB187" s="881"/>
      <c r="AC187" s="887"/>
    </row>
    <row r="188" spans="17:29">
      <c r="Q188" s="928"/>
      <c r="R188" s="889"/>
      <c r="S188" s="885"/>
      <c r="V188" s="886"/>
      <c r="W188" s="885"/>
      <c r="Y188" s="887"/>
      <c r="Z188" s="886"/>
      <c r="AA188" s="1205"/>
      <c r="AB188" s="881"/>
      <c r="AC188" s="887"/>
    </row>
    <row r="189" spans="17:29">
      <c r="Q189" s="928"/>
      <c r="R189" s="889"/>
      <c r="S189" s="885"/>
      <c r="V189" s="886"/>
      <c r="W189" s="885"/>
      <c r="Y189" s="887"/>
      <c r="Z189" s="886"/>
      <c r="AA189" s="1205"/>
      <c r="AB189" s="881"/>
      <c r="AC189" s="887"/>
    </row>
    <row r="190" spans="17:29">
      <c r="Q190" s="928"/>
      <c r="R190" s="889"/>
      <c r="S190" s="885"/>
      <c r="V190" s="886"/>
      <c r="W190" s="885"/>
      <c r="Y190" s="887"/>
      <c r="Z190" s="886"/>
      <c r="AA190" s="1205"/>
      <c r="AB190" s="881"/>
      <c r="AC190" s="887"/>
    </row>
    <row r="191" spans="17:29">
      <c r="Q191" s="928"/>
      <c r="R191" s="889"/>
      <c r="S191" s="885"/>
      <c r="V191" s="886"/>
      <c r="W191" s="885"/>
      <c r="Y191" s="887"/>
      <c r="Z191" s="886"/>
      <c r="AA191" s="1205"/>
      <c r="AB191" s="881"/>
      <c r="AC191" s="887"/>
    </row>
    <row r="192" spans="17:29">
      <c r="Q192" s="928"/>
      <c r="R192" s="889"/>
      <c r="S192" s="885"/>
      <c r="V192" s="886"/>
      <c r="W192" s="885"/>
      <c r="Y192" s="887"/>
      <c r="Z192" s="886"/>
      <c r="AA192" s="1205"/>
      <c r="AB192" s="881"/>
      <c r="AC192" s="887"/>
    </row>
    <row r="193" spans="1:162">
      <c r="Q193" s="928"/>
      <c r="R193" s="889"/>
      <c r="S193" s="885"/>
      <c r="V193" s="886"/>
      <c r="W193" s="885"/>
      <c r="Y193" s="887"/>
      <c r="Z193" s="886"/>
      <c r="AA193" s="1205"/>
      <c r="AB193" s="881"/>
      <c r="AC193" s="887"/>
    </row>
    <row r="194" spans="1:162">
      <c r="Q194" s="928"/>
      <c r="R194" s="889"/>
      <c r="S194" s="885"/>
      <c r="V194" s="886"/>
      <c r="W194" s="885"/>
      <c r="Y194" s="887"/>
      <c r="Z194" s="886"/>
      <c r="AA194" s="1205"/>
      <c r="AB194" s="881"/>
      <c r="AC194" s="887"/>
    </row>
    <row r="195" spans="1:162">
      <c r="Q195" s="928"/>
      <c r="R195" s="889"/>
      <c r="S195" s="885"/>
      <c r="V195" s="886"/>
      <c r="W195" s="885"/>
      <c r="Y195" s="887"/>
      <c r="Z195" s="886"/>
      <c r="AA195" s="1205"/>
      <c r="AB195" s="881"/>
      <c r="AC195" s="887"/>
    </row>
    <row r="196" spans="1:162">
      <c r="Q196" s="928"/>
      <c r="R196" s="889"/>
      <c r="S196" s="885"/>
      <c r="V196" s="886"/>
      <c r="W196" s="885"/>
      <c r="Y196" s="887"/>
      <c r="Z196" s="886"/>
      <c r="AA196" s="1205"/>
      <c r="AB196" s="881"/>
      <c r="AC196" s="887"/>
    </row>
    <row r="197" spans="1:162">
      <c r="Q197" s="928"/>
      <c r="R197" s="889"/>
      <c r="S197" s="885"/>
      <c r="V197" s="886"/>
      <c r="W197" s="885"/>
      <c r="Y197" s="887"/>
      <c r="Z197" s="886"/>
      <c r="AA197" s="1205"/>
      <c r="AB197" s="881"/>
      <c r="AC197" s="887"/>
    </row>
    <row r="198" spans="1:162">
      <c r="Q198" s="928"/>
      <c r="R198" s="889"/>
      <c r="S198" s="885"/>
      <c r="V198" s="886"/>
      <c r="W198" s="885"/>
      <c r="Y198" s="887"/>
      <c r="Z198" s="886"/>
      <c r="AA198" s="1205"/>
      <c r="AB198" s="881"/>
      <c r="AC198" s="887"/>
    </row>
    <row r="199" spans="1:162">
      <c r="Q199" s="928"/>
      <c r="R199" s="889"/>
      <c r="S199" s="885"/>
      <c r="V199" s="886"/>
      <c r="W199" s="885"/>
      <c r="Y199" s="887"/>
      <c r="Z199" s="886"/>
      <c r="AA199" s="1205"/>
      <c r="AB199" s="881"/>
      <c r="AC199" s="887"/>
    </row>
    <row r="200" spans="1:162">
      <c r="Q200" s="928"/>
      <c r="R200" s="889"/>
      <c r="S200" s="885"/>
      <c r="V200" s="886"/>
      <c r="W200" s="885"/>
      <c r="Y200" s="887"/>
      <c r="Z200" s="886"/>
      <c r="AA200" s="1205"/>
      <c r="AB200" s="881"/>
      <c r="AC200" s="887"/>
    </row>
    <row r="201" spans="1:162">
      <c r="Q201" s="928"/>
      <c r="R201" s="889"/>
      <c r="S201" s="885"/>
      <c r="V201" s="886"/>
      <c r="W201" s="885"/>
      <c r="Y201" s="887"/>
      <c r="Z201" s="886"/>
      <c r="AA201" s="1205"/>
      <c r="AB201" s="881"/>
      <c r="AC201" s="887"/>
    </row>
    <row r="202" spans="1:162">
      <c r="Q202" s="928"/>
      <c r="R202" s="889"/>
      <c r="S202" s="885"/>
      <c r="V202" s="886"/>
      <c r="W202" s="885"/>
      <c r="Y202" s="887"/>
      <c r="Z202" s="886"/>
      <c r="AA202" s="1205"/>
      <c r="AB202" s="881"/>
      <c r="AC202" s="887"/>
    </row>
    <row r="203" spans="1:162">
      <c r="A203" s="910"/>
      <c r="B203" s="911"/>
      <c r="C203" s="910"/>
      <c r="D203" s="910"/>
      <c r="E203" s="910"/>
      <c r="F203" s="910"/>
      <c r="G203" s="910"/>
      <c r="Q203" s="928"/>
      <c r="R203" s="889"/>
      <c r="S203" s="885"/>
      <c r="V203" s="886"/>
      <c r="W203" s="885"/>
      <c r="Y203" s="887"/>
      <c r="Z203" s="886"/>
      <c r="AA203" s="1205"/>
      <c r="AB203" s="881"/>
      <c r="AC203" s="887"/>
    </row>
    <row r="204" spans="1:162">
      <c r="Q204" s="928"/>
      <c r="R204" s="889"/>
      <c r="S204" s="885"/>
      <c r="V204" s="886"/>
      <c r="W204" s="885"/>
      <c r="Y204" s="887"/>
      <c r="Z204" s="886"/>
      <c r="AA204" s="1205"/>
      <c r="AB204" s="881"/>
      <c r="AC204" s="887"/>
    </row>
    <row r="205" spans="1:162">
      <c r="H205" s="935"/>
      <c r="I205" s="1207"/>
      <c r="J205" s="1207"/>
      <c r="K205" s="934"/>
      <c r="L205" s="934"/>
      <c r="Q205" s="928"/>
      <c r="R205" s="889"/>
      <c r="S205" s="885"/>
      <c r="V205" s="886"/>
      <c r="W205" s="885"/>
      <c r="Y205" s="887"/>
      <c r="Z205" s="886"/>
      <c r="AA205" s="1205"/>
      <c r="AB205" s="881"/>
      <c r="AC205" s="887"/>
    </row>
    <row r="206" spans="1:162" s="884" customFormat="1">
      <c r="A206" s="879"/>
      <c r="B206" s="906"/>
      <c r="C206" s="879"/>
      <c r="D206" s="879"/>
      <c r="E206" s="879"/>
      <c r="F206" s="879"/>
      <c r="G206" s="879"/>
      <c r="H206" s="891"/>
      <c r="I206" s="1206"/>
      <c r="J206" s="1206"/>
      <c r="K206" s="929"/>
      <c r="L206" s="929"/>
      <c r="M206"/>
      <c r="N206" s="1714"/>
      <c r="O206" s="1789"/>
      <c r="P206" s="882"/>
      <c r="Q206" s="928"/>
      <c r="R206" s="889"/>
      <c r="S206" s="885"/>
      <c r="T206" s="883"/>
      <c r="U206" s="885"/>
      <c r="V206" s="886"/>
      <c r="W206" s="885"/>
      <c r="X206" s="886"/>
      <c r="Y206" s="887"/>
      <c r="Z206" s="886"/>
      <c r="AA206" s="1205"/>
      <c r="AB206" s="881"/>
      <c r="AC206" s="887"/>
      <c r="AD206" s="883"/>
      <c r="AE206" s="883"/>
      <c r="AF206" s="883"/>
      <c r="AG206" s="883"/>
      <c r="AH206" s="883"/>
      <c r="AI206" s="883"/>
      <c r="AJ206" s="883"/>
      <c r="AK206" s="883"/>
      <c r="AL206" s="883"/>
      <c r="AM206" s="883"/>
      <c r="AN206" s="883"/>
      <c r="AO206" s="883"/>
      <c r="AP206" s="883"/>
      <c r="AQ206" s="883"/>
      <c r="AR206" s="883"/>
      <c r="AS206" s="883"/>
      <c r="AT206" s="883"/>
      <c r="AU206" s="883"/>
      <c r="AV206" s="883"/>
      <c r="AW206" s="883"/>
      <c r="AX206" s="883"/>
      <c r="AY206" s="883"/>
      <c r="AZ206" s="883"/>
      <c r="BA206" s="883"/>
      <c r="BB206" s="883"/>
      <c r="BC206" s="883"/>
      <c r="BD206" s="883"/>
      <c r="BE206" s="883"/>
      <c r="BF206" s="883"/>
      <c r="BG206" s="883"/>
      <c r="BH206" s="883"/>
      <c r="BI206" s="883"/>
      <c r="BJ206" s="883"/>
      <c r="BK206" s="883"/>
      <c r="BL206" s="883"/>
      <c r="BM206" s="883"/>
      <c r="BN206" s="883"/>
      <c r="BO206" s="883"/>
      <c r="BP206" s="883"/>
      <c r="BQ206" s="883"/>
      <c r="BR206" s="883"/>
      <c r="BS206" s="883"/>
      <c r="BT206" s="883"/>
      <c r="BU206" s="883"/>
      <c r="BV206" s="883"/>
      <c r="BW206" s="883"/>
      <c r="BX206" s="883"/>
      <c r="BY206" s="883"/>
      <c r="BZ206" s="883"/>
      <c r="CA206" s="883"/>
      <c r="CB206" s="883"/>
      <c r="CC206" s="883"/>
      <c r="CD206" s="883"/>
      <c r="CE206" s="883"/>
      <c r="CF206" s="883"/>
      <c r="CG206" s="883"/>
      <c r="CH206" s="883"/>
      <c r="CI206" s="883"/>
      <c r="CJ206" s="883"/>
      <c r="CK206" s="883"/>
      <c r="CL206" s="883"/>
      <c r="CM206" s="883"/>
      <c r="CN206" s="883"/>
      <c r="CO206" s="883"/>
      <c r="CP206" s="883"/>
      <c r="CQ206" s="883"/>
      <c r="CR206" s="883"/>
      <c r="CS206" s="883"/>
      <c r="CT206" s="883"/>
      <c r="CU206" s="883"/>
      <c r="CV206" s="883"/>
      <c r="CW206" s="883"/>
      <c r="CX206" s="883"/>
      <c r="CY206" s="883"/>
      <c r="CZ206" s="883"/>
      <c r="DA206" s="883"/>
      <c r="DB206" s="883"/>
      <c r="DC206" s="883"/>
      <c r="DD206" s="883"/>
      <c r="DE206" s="883"/>
      <c r="DF206" s="883"/>
      <c r="DG206" s="883"/>
      <c r="DH206" s="883"/>
      <c r="DI206" s="883"/>
      <c r="DJ206" s="883"/>
      <c r="DK206" s="883"/>
      <c r="DL206" s="883"/>
      <c r="DM206" s="883"/>
      <c r="DN206" s="883"/>
      <c r="DO206" s="883"/>
      <c r="DP206" s="883"/>
      <c r="DQ206" s="883"/>
      <c r="DR206" s="883"/>
      <c r="DS206" s="883"/>
      <c r="DT206" s="883"/>
      <c r="DU206" s="883"/>
      <c r="DV206" s="883"/>
      <c r="DW206" s="883"/>
      <c r="DX206" s="883"/>
      <c r="DY206" s="883"/>
      <c r="DZ206" s="883"/>
      <c r="EA206" s="883"/>
      <c r="EB206" s="883"/>
      <c r="EC206" s="883"/>
      <c r="ED206" s="883"/>
      <c r="EE206" s="883"/>
      <c r="EF206" s="883"/>
      <c r="EG206" s="883"/>
      <c r="EH206" s="883"/>
      <c r="EI206" s="883"/>
      <c r="EJ206" s="883"/>
      <c r="EK206" s="883"/>
      <c r="EL206" s="883"/>
      <c r="EM206" s="883"/>
      <c r="EN206" s="883"/>
      <c r="EO206" s="883"/>
      <c r="EP206" s="883"/>
      <c r="EQ206" s="883"/>
      <c r="ER206" s="883"/>
      <c r="ES206" s="883"/>
      <c r="ET206" s="883"/>
      <c r="EU206" s="883"/>
      <c r="EV206" s="883"/>
      <c r="EW206" s="883"/>
      <c r="EX206" s="883"/>
      <c r="EY206" s="883"/>
      <c r="EZ206" s="883"/>
      <c r="FA206" s="883"/>
      <c r="FB206" s="880"/>
      <c r="FC206" s="883"/>
      <c r="FD206" s="883"/>
      <c r="FE206" s="883"/>
      <c r="FF206" s="883"/>
    </row>
    <row r="207" spans="1:162">
      <c r="Q207" s="928"/>
      <c r="R207" s="889"/>
      <c r="S207" s="885"/>
      <c r="V207" s="886"/>
      <c r="W207" s="885"/>
      <c r="Y207" s="887"/>
      <c r="Z207" s="886"/>
      <c r="AA207" s="1205"/>
      <c r="AB207" s="881"/>
      <c r="AC207" s="887"/>
    </row>
    <row r="208" spans="1:162">
      <c r="Q208" s="928"/>
      <c r="R208" s="889"/>
      <c r="S208" s="885"/>
      <c r="V208" s="886"/>
      <c r="W208" s="885"/>
      <c r="Y208" s="887"/>
      <c r="Z208" s="886"/>
      <c r="AA208" s="1205"/>
      <c r="AB208" s="881"/>
      <c r="AC208" s="887"/>
    </row>
    <row r="209" spans="17:29">
      <c r="Q209" s="928"/>
      <c r="R209" s="889"/>
      <c r="S209" s="885"/>
      <c r="V209" s="886"/>
      <c r="W209" s="885"/>
      <c r="Y209" s="887"/>
      <c r="Z209" s="886"/>
      <c r="AA209" s="1205"/>
      <c r="AB209" s="881"/>
      <c r="AC209" s="887"/>
    </row>
    <row r="210" spans="17:29">
      <c r="Q210" s="928"/>
      <c r="R210" s="889"/>
      <c r="S210" s="885"/>
      <c r="V210" s="886"/>
      <c r="W210" s="885"/>
      <c r="Y210" s="887"/>
      <c r="Z210" s="886"/>
      <c r="AA210" s="1205"/>
      <c r="AB210" s="881"/>
      <c r="AC210" s="887"/>
    </row>
    <row r="211" spans="17:29">
      <c r="Q211" s="928"/>
      <c r="R211" s="889"/>
      <c r="S211" s="885"/>
      <c r="V211" s="886"/>
      <c r="W211" s="885"/>
      <c r="Y211" s="887"/>
      <c r="Z211" s="886"/>
      <c r="AA211" s="1205"/>
      <c r="AB211" s="881"/>
      <c r="AC211" s="887"/>
    </row>
    <row r="212" spans="17:29">
      <c r="Q212" s="928"/>
      <c r="R212" s="889"/>
      <c r="S212" s="885"/>
      <c r="V212" s="886"/>
      <c r="W212" s="885"/>
      <c r="Y212" s="887"/>
      <c r="Z212" s="886"/>
      <c r="AA212" s="1205"/>
      <c r="AB212" s="881"/>
      <c r="AC212" s="887"/>
    </row>
    <row r="213" spans="17:29">
      <c r="Q213" s="928"/>
      <c r="R213" s="889"/>
      <c r="S213" s="885"/>
      <c r="V213" s="886"/>
      <c r="W213" s="885"/>
      <c r="Y213" s="887"/>
      <c r="Z213" s="886"/>
      <c r="AA213" s="1205"/>
      <c r="AB213" s="881"/>
      <c r="AC213" s="887"/>
    </row>
    <row r="214" spans="17:29">
      <c r="Q214" s="928"/>
      <c r="R214" s="889"/>
      <c r="S214" s="885"/>
      <c r="V214" s="886"/>
      <c r="W214" s="885"/>
      <c r="Y214" s="887"/>
      <c r="Z214" s="886"/>
      <c r="AA214" s="1205"/>
      <c r="AB214" s="881"/>
      <c r="AC214" s="887"/>
    </row>
    <row r="215" spans="17:29">
      <c r="Q215" s="928"/>
      <c r="R215" s="889"/>
      <c r="S215" s="885"/>
      <c r="V215" s="886"/>
      <c r="W215" s="885"/>
      <c r="Y215" s="887"/>
      <c r="Z215" s="886"/>
      <c r="AA215" s="1205"/>
      <c r="AB215" s="881"/>
      <c r="AC215" s="887"/>
    </row>
    <row r="216" spans="17:29">
      <c r="Q216" s="928"/>
      <c r="R216" s="889"/>
      <c r="S216" s="885"/>
      <c r="V216" s="886"/>
      <c r="W216" s="885"/>
      <c r="Y216" s="887"/>
      <c r="Z216" s="886"/>
      <c r="AA216" s="1205"/>
      <c r="AB216" s="881"/>
      <c r="AC216" s="887"/>
    </row>
    <row r="217" spans="17:29">
      <c r="Q217" s="928"/>
      <c r="R217" s="889"/>
      <c r="S217" s="885"/>
      <c r="V217" s="886"/>
      <c r="W217" s="885"/>
      <c r="Y217" s="887"/>
      <c r="Z217" s="886"/>
      <c r="AA217" s="1205"/>
      <c r="AB217" s="881"/>
      <c r="AC217" s="887"/>
    </row>
    <row r="218" spans="17:29">
      <c r="Q218" s="928"/>
      <c r="R218" s="889"/>
      <c r="S218" s="885"/>
      <c r="V218" s="886"/>
      <c r="W218" s="885"/>
      <c r="Y218" s="887"/>
      <c r="Z218" s="886"/>
      <c r="AA218" s="1205"/>
      <c r="AB218" s="881"/>
      <c r="AC218" s="887"/>
    </row>
    <row r="219" spans="17:29">
      <c r="Q219" s="928"/>
      <c r="R219" s="889"/>
      <c r="S219" s="885"/>
      <c r="V219" s="886"/>
      <c r="W219" s="885"/>
      <c r="Y219" s="887"/>
      <c r="Z219" s="886"/>
      <c r="AA219" s="1205"/>
      <c r="AB219" s="881"/>
      <c r="AC219" s="887"/>
    </row>
    <row r="220" spans="17:29">
      <c r="Q220" s="928"/>
      <c r="R220" s="889"/>
      <c r="S220" s="885"/>
      <c r="V220" s="886"/>
      <c r="W220" s="885"/>
      <c r="Y220" s="887"/>
      <c r="Z220" s="886"/>
      <c r="AA220" s="1205"/>
      <c r="AB220" s="881"/>
      <c r="AC220" s="887"/>
    </row>
    <row r="221" spans="17:29">
      <c r="Q221" s="928"/>
      <c r="R221" s="889"/>
      <c r="S221" s="885"/>
      <c r="V221" s="886"/>
      <c r="W221" s="885"/>
      <c r="Y221" s="887"/>
      <c r="Z221" s="886"/>
      <c r="AA221" s="1205"/>
      <c r="AB221" s="881"/>
      <c r="AC221" s="887"/>
    </row>
    <row r="222" spans="17:29">
      <c r="Q222" s="928"/>
      <c r="R222" s="889"/>
      <c r="S222" s="885"/>
      <c r="V222" s="886"/>
      <c r="W222" s="885"/>
      <c r="Y222" s="887"/>
      <c r="Z222" s="886"/>
      <c r="AA222" s="1205"/>
      <c r="AB222" s="881"/>
      <c r="AC222" s="887"/>
    </row>
    <row r="223" spans="17:29">
      <c r="Q223" s="928"/>
      <c r="R223" s="889"/>
      <c r="S223" s="885"/>
      <c r="V223" s="886"/>
      <c r="W223" s="885"/>
      <c r="Y223" s="887"/>
      <c r="Z223" s="886"/>
      <c r="AA223" s="1205"/>
      <c r="AB223" s="881"/>
      <c r="AC223" s="887"/>
    </row>
    <row r="224" spans="17:29">
      <c r="Q224" s="928"/>
      <c r="R224" s="889"/>
      <c r="S224" s="885"/>
      <c r="V224" s="886"/>
      <c r="W224" s="885"/>
      <c r="Y224" s="887"/>
      <c r="Z224" s="886"/>
      <c r="AA224" s="1205"/>
      <c r="AB224" s="881"/>
      <c r="AC224" s="887"/>
    </row>
    <row r="225" spans="13:162">
      <c r="Q225" s="928"/>
      <c r="R225" s="889"/>
      <c r="S225" s="885"/>
      <c r="V225" s="886"/>
      <c r="W225" s="885"/>
      <c r="Y225" s="887"/>
      <c r="Z225" s="886"/>
      <c r="AA225" s="1205"/>
      <c r="AB225" s="881"/>
      <c r="AC225" s="887"/>
    </row>
    <row r="226" spans="13:162">
      <c r="Q226" s="928"/>
      <c r="R226" s="889"/>
      <c r="S226" s="885"/>
      <c r="V226" s="886"/>
      <c r="W226" s="885"/>
      <c r="Y226" s="887"/>
      <c r="Z226" s="886"/>
      <c r="AA226" s="1205"/>
      <c r="AB226" s="881"/>
      <c r="AC226" s="887"/>
    </row>
    <row r="227" spans="13:162">
      <c r="Q227" s="928"/>
      <c r="R227" s="889"/>
      <c r="S227" s="885"/>
      <c r="V227" s="886"/>
      <c r="W227" s="885"/>
      <c r="Y227" s="887"/>
      <c r="Z227" s="886"/>
      <c r="AA227" s="1205"/>
      <c r="AB227" s="881"/>
      <c r="AC227" s="887"/>
    </row>
    <row r="228" spans="13:162">
      <c r="Q228" s="928"/>
      <c r="R228" s="889"/>
      <c r="S228" s="885"/>
      <c r="V228" s="886"/>
      <c r="W228" s="885"/>
      <c r="Y228" s="887"/>
      <c r="Z228" s="886"/>
      <c r="AA228" s="1205"/>
      <c r="AB228" s="881"/>
      <c r="AC228" s="887"/>
    </row>
    <row r="229" spans="13:162">
      <c r="Q229" s="928"/>
      <c r="R229" s="889"/>
      <c r="S229" s="885"/>
      <c r="V229" s="886"/>
      <c r="W229" s="885"/>
      <c r="Y229" s="887"/>
      <c r="Z229" s="886"/>
      <c r="AA229" s="1205"/>
      <c r="AB229" s="881"/>
      <c r="AC229" s="887"/>
    </row>
    <row r="230" spans="13:162">
      <c r="Q230" s="928"/>
      <c r="R230" s="889"/>
      <c r="S230" s="885"/>
      <c r="V230" s="886"/>
      <c r="W230" s="885"/>
      <c r="Y230" s="887"/>
      <c r="Z230" s="886"/>
      <c r="AA230" s="1205"/>
      <c r="AB230" s="881"/>
      <c r="AC230" s="887"/>
    </row>
    <row r="231" spans="13:162">
      <c r="Q231" s="928"/>
      <c r="R231" s="889"/>
      <c r="S231" s="885"/>
      <c r="V231" s="886"/>
      <c r="W231" s="885"/>
      <c r="Y231" s="887"/>
      <c r="Z231" s="886"/>
      <c r="AA231" s="1205"/>
      <c r="AB231" s="881"/>
      <c r="AC231" s="887"/>
    </row>
    <row r="232" spans="13:162">
      <c r="Q232" s="928"/>
      <c r="R232" s="889"/>
      <c r="S232" s="885"/>
      <c r="V232" s="886"/>
      <c r="W232" s="885"/>
      <c r="Y232" s="887"/>
      <c r="Z232" s="886"/>
      <c r="AA232" s="1205"/>
      <c r="AB232" s="881"/>
      <c r="AC232" s="887"/>
    </row>
    <row r="233" spans="13:162">
      <c r="Q233" s="928"/>
      <c r="R233" s="889"/>
      <c r="S233" s="885"/>
      <c r="V233" s="886"/>
      <c r="W233" s="885"/>
      <c r="Y233" s="887"/>
      <c r="Z233" s="886"/>
      <c r="AA233" s="1205"/>
      <c r="AB233" s="881"/>
      <c r="AC233" s="887"/>
    </row>
    <row r="234" spans="13:162" ht="13">
      <c r="M234" s="884"/>
      <c r="Q234" s="928"/>
      <c r="R234" s="889"/>
      <c r="S234" s="885"/>
      <c r="V234" s="886"/>
      <c r="W234" s="885"/>
      <c r="Y234" s="887"/>
      <c r="Z234" s="886"/>
      <c r="AA234" s="1205"/>
      <c r="AB234" s="881"/>
      <c r="AC234" s="887"/>
      <c r="FB234" s="912"/>
      <c r="FC234" s="884"/>
      <c r="FD234" s="884"/>
      <c r="FE234" s="884"/>
      <c r="FF234" s="884"/>
    </row>
    <row r="235" spans="13:162">
      <c r="Q235" s="928"/>
      <c r="R235" s="889"/>
      <c r="S235" s="885"/>
      <c r="V235" s="886"/>
      <c r="W235" s="885"/>
      <c r="Y235" s="887"/>
      <c r="Z235" s="886"/>
      <c r="AA235" s="1205"/>
      <c r="AB235" s="881"/>
      <c r="AC235" s="887"/>
    </row>
    <row r="236" spans="13:162">
      <c r="Q236" s="928"/>
      <c r="R236" s="889"/>
      <c r="S236" s="885"/>
      <c r="V236" s="886"/>
      <c r="W236" s="885"/>
      <c r="Y236" s="887"/>
      <c r="Z236" s="886"/>
      <c r="AA236" s="1205"/>
      <c r="AB236" s="881"/>
      <c r="AC236" s="887"/>
    </row>
    <row r="237" spans="13:162">
      <c r="Q237" s="928"/>
      <c r="R237" s="889"/>
      <c r="S237" s="885"/>
      <c r="V237" s="886"/>
      <c r="W237" s="885"/>
      <c r="Y237" s="887"/>
      <c r="Z237" s="886"/>
      <c r="AA237" s="1205"/>
      <c r="AB237" s="881"/>
      <c r="AC237" s="887"/>
    </row>
    <row r="238" spans="13:162">
      <c r="Q238" s="928"/>
      <c r="R238" s="889"/>
      <c r="S238" s="885"/>
      <c r="V238" s="886"/>
      <c r="W238" s="885"/>
      <c r="Y238" s="887"/>
      <c r="Z238" s="886"/>
      <c r="AA238" s="1205"/>
      <c r="AB238" s="881"/>
      <c r="AC238" s="887"/>
    </row>
    <row r="239" spans="13:162">
      <c r="Q239" s="928"/>
      <c r="R239" s="889"/>
      <c r="S239" s="885"/>
      <c r="V239" s="886"/>
      <c r="W239" s="885"/>
      <c r="Y239" s="887"/>
      <c r="Z239" s="886"/>
      <c r="AA239" s="1205"/>
      <c r="AB239" s="881"/>
      <c r="AC239" s="887"/>
    </row>
    <row r="240" spans="13:162">
      <c r="Q240" s="928"/>
      <c r="R240" s="889"/>
      <c r="S240" s="885"/>
      <c r="V240" s="886"/>
      <c r="W240" s="885"/>
      <c r="Y240" s="887"/>
      <c r="Z240" s="886"/>
      <c r="AA240" s="1205"/>
      <c r="AB240" s="881"/>
      <c r="AC240" s="887"/>
    </row>
    <row r="241" spans="17:29">
      <c r="Q241" s="928"/>
      <c r="R241" s="889"/>
      <c r="S241" s="885"/>
      <c r="V241" s="886"/>
      <c r="W241" s="885"/>
      <c r="Y241" s="887"/>
      <c r="Z241" s="886"/>
      <c r="AA241" s="1205"/>
      <c r="AB241" s="881"/>
      <c r="AC241" s="887"/>
    </row>
    <row r="242" spans="17:29">
      <c r="Q242" s="928"/>
      <c r="R242" s="889"/>
      <c r="S242" s="885"/>
      <c r="V242" s="886"/>
      <c r="W242" s="885"/>
      <c r="Y242" s="887"/>
      <c r="Z242" s="886"/>
      <c r="AA242" s="1205"/>
      <c r="AB242" s="881"/>
      <c r="AC242" s="887"/>
    </row>
    <row r="243" spans="17:29">
      <c r="Q243" s="928"/>
      <c r="R243" s="889"/>
      <c r="S243" s="885"/>
      <c r="V243" s="886"/>
      <c r="W243" s="885"/>
      <c r="Y243" s="887"/>
      <c r="Z243" s="886"/>
      <c r="AA243" s="1205"/>
      <c r="AB243" s="881"/>
      <c r="AC243" s="887"/>
    </row>
    <row r="244" spans="17:29">
      <c r="Q244" s="928"/>
      <c r="R244" s="889"/>
      <c r="S244" s="885"/>
      <c r="V244" s="886"/>
      <c r="W244" s="885"/>
      <c r="Y244" s="887"/>
      <c r="Z244" s="886"/>
      <c r="AA244" s="1205"/>
      <c r="AB244" s="881"/>
      <c r="AC244" s="887"/>
    </row>
    <row r="245" spans="17:29">
      <c r="Q245" s="928"/>
      <c r="R245" s="889"/>
      <c r="S245" s="885"/>
      <c r="V245" s="886"/>
      <c r="W245" s="885"/>
      <c r="Y245" s="887"/>
      <c r="Z245" s="886"/>
      <c r="AA245" s="1205"/>
      <c r="AB245" s="881"/>
      <c r="AC245" s="887"/>
    </row>
    <row r="246" spans="17:29">
      <c r="Q246" s="928"/>
      <c r="R246" s="889"/>
      <c r="S246" s="885"/>
      <c r="V246" s="886"/>
      <c r="W246" s="885"/>
      <c r="Y246" s="887"/>
      <c r="Z246" s="886"/>
      <c r="AA246" s="1205"/>
      <c r="AB246" s="881"/>
      <c r="AC246" s="887"/>
    </row>
    <row r="247" spans="17:29">
      <c r="Q247" s="928"/>
      <c r="R247" s="889"/>
      <c r="S247" s="885"/>
      <c r="V247" s="886"/>
      <c r="W247" s="885"/>
      <c r="Y247" s="887"/>
      <c r="Z247" s="886"/>
      <c r="AA247" s="1205"/>
      <c r="AB247" s="881"/>
      <c r="AC247" s="887"/>
    </row>
    <row r="248" spans="17:29">
      <c r="Q248" s="928"/>
      <c r="R248" s="889"/>
      <c r="S248" s="885"/>
      <c r="V248" s="886"/>
      <c r="W248" s="885"/>
      <c r="Y248" s="887"/>
      <c r="Z248" s="886"/>
      <c r="AA248" s="1205"/>
      <c r="AB248" s="881"/>
      <c r="AC248" s="887"/>
    </row>
    <row r="249" spans="17:29">
      <c r="Q249" s="928"/>
      <c r="R249" s="889"/>
      <c r="S249" s="885"/>
      <c r="V249" s="886"/>
      <c r="W249" s="885"/>
      <c r="Y249" s="887"/>
      <c r="Z249" s="886"/>
      <c r="AA249" s="1205"/>
      <c r="AB249" s="881"/>
      <c r="AC249" s="887"/>
    </row>
    <row r="250" spans="17:29">
      <c r="Q250" s="928"/>
      <c r="R250" s="889"/>
      <c r="S250" s="885"/>
      <c r="V250" s="886"/>
      <c r="W250" s="885"/>
      <c r="Y250" s="887"/>
      <c r="Z250" s="886"/>
      <c r="AA250" s="1205"/>
      <c r="AB250" s="881"/>
      <c r="AC250" s="887"/>
    </row>
    <row r="251" spans="17:29">
      <c r="R251" s="889"/>
      <c r="V251" s="886"/>
      <c r="W251" s="885"/>
      <c r="AA251" s="909"/>
      <c r="AB251" s="883"/>
    </row>
    <row r="252" spans="17:29">
      <c r="R252" s="889"/>
      <c r="V252" s="886"/>
      <c r="W252" s="885"/>
      <c r="AA252" s="909"/>
      <c r="AB252" s="883"/>
    </row>
    <row r="253" spans="17:29">
      <c r="R253" s="889"/>
      <c r="V253" s="886"/>
      <c r="W253" s="885"/>
      <c r="AA253" s="909"/>
      <c r="AB253" s="883"/>
    </row>
    <row r="254" spans="17:29">
      <c r="R254" s="889"/>
      <c r="V254" s="886"/>
      <c r="W254" s="885"/>
      <c r="AA254" s="909"/>
      <c r="AB254" s="883"/>
    </row>
  </sheetData>
  <phoneticPr fontId="5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5">
    <pageSetUpPr fitToPage="1"/>
  </sheetPr>
  <dimension ref="A1:N103"/>
  <sheetViews>
    <sheetView workbookViewId="0">
      <selection activeCell="A13" sqref="A13"/>
    </sheetView>
  </sheetViews>
  <sheetFormatPr defaultRowHeight="15.5"/>
  <cols>
    <col min="1" max="1" width="11.640625" customWidth="1"/>
    <col min="2" max="2" width="15.28515625" bestFit="1" customWidth="1"/>
    <col min="14" max="14" width="5" customWidth="1"/>
  </cols>
  <sheetData>
    <row r="1" spans="1:14">
      <c r="A1" s="503">
        <f>SUBTOTAL(101,模型[模型代碼])</f>
        <v>1</v>
      </c>
      <c r="B1" t="s">
        <v>2300</v>
      </c>
      <c r="K1" s="950"/>
      <c r="L1" s="950"/>
      <c r="M1" s="950"/>
      <c r="N1" s="1653" t="s">
        <v>4491</v>
      </c>
    </row>
    <row r="2" spans="1:14">
      <c r="A2">
        <f>SUBTOTAL(101,模型Pro[模型Pro代碼])</f>
        <v>1</v>
      </c>
      <c r="B2" t="s">
        <v>2302</v>
      </c>
      <c r="K2" s="950"/>
      <c r="L2" s="950"/>
      <c r="M2" s="950"/>
      <c r="N2" s="950"/>
    </row>
    <row r="3" spans="1:14">
      <c r="A3" s="503">
        <f>SUBTOTAL(101,單檔換券資格[單檔換券資格])</f>
        <v>1</v>
      </c>
      <c r="B3" t="s">
        <v>4081</v>
      </c>
      <c r="K3" s="950"/>
      <c r="L3" s="950"/>
      <c r="M3" s="950"/>
      <c r="N3" s="950"/>
    </row>
    <row r="4" spans="1:14">
      <c r="A4" s="503">
        <f>IFERROR(IF(SUBTOTAL(101,單檔換頁[單檔換頁標籤])=1.5,1,SUBTOTAL(101,單檔換頁[單檔換頁標籤])),1)</f>
        <v>1</v>
      </c>
      <c r="B4" t="s">
        <v>4086</v>
      </c>
      <c r="K4" s="950"/>
      <c r="L4" s="950"/>
      <c r="M4" s="950"/>
      <c r="N4" s="950"/>
    </row>
    <row r="5" spans="1:14">
      <c r="A5" s="503">
        <f>IFERROR(IF(SUBTOTAL(101,單檔選券[單檔選券策略])=1.5,1,SUBTOTAL(101,單檔選券[單檔選券策略])),1)</f>
        <v>1</v>
      </c>
      <c r="B5" t="s">
        <v>4084</v>
      </c>
      <c r="K5" s="950"/>
      <c r="L5" s="950"/>
      <c r="M5" s="950"/>
      <c r="N5" s="950"/>
    </row>
    <row r="6" spans="1:14">
      <c r="A6" s="503">
        <v>1</v>
      </c>
      <c r="B6" t="s">
        <v>4486</v>
      </c>
      <c r="C6" t="s">
        <v>4380</v>
      </c>
      <c r="K6" s="950"/>
      <c r="L6" s="950"/>
      <c r="M6" s="950"/>
      <c r="N6" s="950"/>
    </row>
    <row r="7" spans="1:14">
      <c r="A7">
        <f>IFERROR(IF(SUBTOTAL(101,自訂清單[清單])=1.5,1,SUBTOTAL(101,自訂清單[清單])),1)</f>
        <v>2</v>
      </c>
      <c r="B7" t="s">
        <v>4136</v>
      </c>
      <c r="K7" s="950"/>
      <c r="L7" s="950"/>
      <c r="M7" s="950"/>
      <c r="N7" s="950"/>
    </row>
    <row r="8" spans="1:14">
      <c r="A8" s="503">
        <f>SUBTOTAL(101,投組換券資格[多檔換券資格])</f>
        <v>1</v>
      </c>
      <c r="B8" t="s">
        <v>4192</v>
      </c>
      <c r="K8" s="950"/>
      <c r="L8" s="950"/>
      <c r="M8" s="950"/>
      <c r="N8" s="950"/>
    </row>
    <row r="9" spans="1:14" ht="14.5" customHeight="1">
      <c r="A9" s="503">
        <f>IFERROR(IF(SUBTOTAL(101,投組換頁[多檔換頁標籤])=1.5,1,SUBTOTAL(101,投組換頁[多檔換頁標籤])),1)</f>
        <v>1</v>
      </c>
      <c r="B9" t="s">
        <v>4193</v>
      </c>
    </row>
    <row r="10" spans="1:14">
      <c r="A10" s="503">
        <f>IFERROR(IF(SUBTOTAL(101,投組選券[多檔選券策略])=1.5,1,SUBTOTAL(101,投組選券[多檔選券策略])),1)</f>
        <v>1</v>
      </c>
      <c r="B10" t="s">
        <v>4194</v>
      </c>
    </row>
    <row r="11" spans="1:14">
      <c r="A11" s="503">
        <v>1</v>
      </c>
      <c r="B11" t="s">
        <v>4195</v>
      </c>
      <c r="C11" t="s">
        <v>4379</v>
      </c>
    </row>
    <row r="12" spans="1:14">
      <c r="A12">
        <f>IFERROR(IF(SUBTOTAL(101,面額方式[面額])=1.5,1,SUBTOTAL(101,面額方式[面額])),1)</f>
        <v>2</v>
      </c>
      <c r="B12" t="s">
        <v>4273</v>
      </c>
      <c r="C12" t="s">
        <v>4387</v>
      </c>
    </row>
    <row r="13" spans="1:14">
      <c r="A13" s="503">
        <v>2</v>
      </c>
      <c r="B13" t="s">
        <v>4307</v>
      </c>
      <c r="C13" t="s">
        <v>4378</v>
      </c>
    </row>
    <row r="20" spans="1:2" ht="16" thickBot="1"/>
    <row r="21" spans="1:2" ht="16" thickBot="1">
      <c r="A21" s="1018" t="s">
        <v>3739</v>
      </c>
      <c r="B21" s="1019">
        <f ca="1">換券單檔!P1</f>
        <v>12</v>
      </c>
    </row>
    <row r="23" spans="1:2">
      <c r="A23" t="s">
        <v>2298</v>
      </c>
      <c r="B23" t="s">
        <v>2299</v>
      </c>
    </row>
    <row r="24" spans="1:2">
      <c r="A24">
        <v>1</v>
      </c>
      <c r="B24" t="s">
        <v>2304</v>
      </c>
    </row>
    <row r="25" spans="1:2" hidden="1">
      <c r="A25">
        <v>2</v>
      </c>
      <c r="B25" t="s">
        <v>2303</v>
      </c>
    </row>
    <row r="30" spans="1:2" ht="16">
      <c r="A30" s="770" t="s">
        <v>2301</v>
      </c>
      <c r="B30" s="770" t="s">
        <v>2299</v>
      </c>
    </row>
    <row r="31" spans="1:2">
      <c r="A31" s="769">
        <v>1</v>
      </c>
      <c r="B31" s="769" t="s">
        <v>2304</v>
      </c>
    </row>
    <row r="32" spans="1:2" hidden="1">
      <c r="A32" s="771">
        <v>2</v>
      </c>
      <c r="B32" s="771" t="s">
        <v>2303</v>
      </c>
    </row>
    <row r="35" spans="1:2">
      <c r="A35" t="s">
        <v>4082</v>
      </c>
      <c r="B35" t="s">
        <v>3555</v>
      </c>
    </row>
    <row r="36" spans="1:2">
      <c r="A36">
        <v>1</v>
      </c>
      <c r="B36" t="s">
        <v>3775</v>
      </c>
    </row>
    <row r="37" spans="1:2" hidden="1">
      <c r="A37">
        <v>2</v>
      </c>
      <c r="B37" t="s">
        <v>3776</v>
      </c>
    </row>
    <row r="38" spans="1:2" hidden="1">
      <c r="A38">
        <v>3</v>
      </c>
      <c r="B38" t="s">
        <v>3777</v>
      </c>
    </row>
    <row r="41" spans="1:2">
      <c r="A41" t="s">
        <v>4085</v>
      </c>
      <c r="B41" t="s">
        <v>3556</v>
      </c>
    </row>
    <row r="42" spans="1:2">
      <c r="A42">
        <v>1</v>
      </c>
      <c r="B42" s="964" t="s">
        <v>3737</v>
      </c>
    </row>
    <row r="43" spans="1:2" hidden="1">
      <c r="A43">
        <v>2</v>
      </c>
      <c r="B43" s="965" t="s">
        <v>3738</v>
      </c>
    </row>
    <row r="47" spans="1:2">
      <c r="A47" t="s">
        <v>4187</v>
      </c>
      <c r="B47" t="s">
        <v>4049</v>
      </c>
    </row>
    <row r="48" spans="1:2">
      <c r="A48">
        <v>1</v>
      </c>
      <c r="B48" t="s">
        <v>4050</v>
      </c>
    </row>
    <row r="49" spans="1:2" hidden="1">
      <c r="A49">
        <v>2</v>
      </c>
      <c r="B49" t="s">
        <v>4051</v>
      </c>
    </row>
    <row r="52" spans="1:2">
      <c r="A52" t="s">
        <v>4083</v>
      </c>
      <c r="B52" t="s">
        <v>2145</v>
      </c>
    </row>
    <row r="53" spans="1:2">
      <c r="A53">
        <v>1</v>
      </c>
      <c r="B53" t="s">
        <v>4120</v>
      </c>
    </row>
    <row r="54" spans="1:2" hidden="1">
      <c r="A54">
        <v>2</v>
      </c>
      <c r="B54" t="s">
        <v>4067</v>
      </c>
    </row>
    <row r="55" spans="1:2" hidden="1">
      <c r="A55">
        <v>3</v>
      </c>
      <c r="B55" t="s">
        <v>4129</v>
      </c>
    </row>
    <row r="56" spans="1:2" hidden="1">
      <c r="A56">
        <v>4</v>
      </c>
      <c r="B56" t="s">
        <v>4384</v>
      </c>
    </row>
    <row r="58" spans="1:2">
      <c r="A58" t="s">
        <v>4134</v>
      </c>
      <c r="B58" t="s">
        <v>4135</v>
      </c>
    </row>
    <row r="59" spans="1:2" hidden="1">
      <c r="A59">
        <v>1</v>
      </c>
      <c r="B59" t="s">
        <v>4295</v>
      </c>
    </row>
    <row r="60" spans="1:2">
      <c r="A60">
        <v>2</v>
      </c>
      <c r="B60" t="s">
        <v>4296</v>
      </c>
    </row>
    <row r="66" spans="1:2">
      <c r="A66" t="s">
        <v>4188</v>
      </c>
      <c r="B66" t="s">
        <v>3555</v>
      </c>
    </row>
    <row r="67" spans="1:2">
      <c r="A67">
        <v>1</v>
      </c>
      <c r="B67" t="s">
        <v>3775</v>
      </c>
    </row>
    <row r="68" spans="1:2" hidden="1">
      <c r="A68">
        <v>2</v>
      </c>
      <c r="B68" t="s">
        <v>3776</v>
      </c>
    </row>
    <row r="69" spans="1:2" hidden="1">
      <c r="A69">
        <v>3</v>
      </c>
      <c r="B69" t="s">
        <v>3777</v>
      </c>
    </row>
    <row r="72" spans="1:2">
      <c r="A72" t="s">
        <v>4189</v>
      </c>
      <c r="B72" t="s">
        <v>2145</v>
      </c>
    </row>
    <row r="73" spans="1:2">
      <c r="A73">
        <v>1</v>
      </c>
      <c r="B73" t="s">
        <v>4120</v>
      </c>
    </row>
    <row r="74" spans="1:2" hidden="1">
      <c r="A74">
        <v>2</v>
      </c>
      <c r="B74" t="s">
        <v>4067</v>
      </c>
    </row>
    <row r="75" spans="1:2" hidden="1">
      <c r="A75">
        <v>3</v>
      </c>
      <c r="B75" t="s">
        <v>4129</v>
      </c>
    </row>
    <row r="76" spans="1:2" hidden="1">
      <c r="A76">
        <v>4</v>
      </c>
      <c r="B76" t="s">
        <v>4389</v>
      </c>
    </row>
    <row r="79" spans="1:2">
      <c r="A79" t="s">
        <v>4190</v>
      </c>
      <c r="B79" t="s">
        <v>4374</v>
      </c>
    </row>
    <row r="80" spans="1:2">
      <c r="A80">
        <v>1</v>
      </c>
      <c r="B80" s="964" t="s">
        <v>3737</v>
      </c>
    </row>
    <row r="81" spans="1:2" hidden="1">
      <c r="A81">
        <v>2</v>
      </c>
      <c r="B81" s="965" t="s">
        <v>3738</v>
      </c>
    </row>
    <row r="85" spans="1:2">
      <c r="A85" t="s">
        <v>4191</v>
      </c>
      <c r="B85" t="s">
        <v>4049</v>
      </c>
    </row>
    <row r="86" spans="1:2">
      <c r="A86">
        <v>1</v>
      </c>
      <c r="B86" t="s">
        <v>4050</v>
      </c>
    </row>
    <row r="87" spans="1:2" hidden="1">
      <c r="A87">
        <v>2</v>
      </c>
      <c r="B87" t="s">
        <v>4051</v>
      </c>
    </row>
    <row r="90" spans="1:2">
      <c r="A90" t="s">
        <v>3544</v>
      </c>
      <c r="B90" t="s">
        <v>4274</v>
      </c>
    </row>
    <row r="91" spans="1:2" hidden="1">
      <c r="A91">
        <v>1</v>
      </c>
      <c r="B91" t="s">
        <v>4295</v>
      </c>
    </row>
    <row r="92" spans="1:2">
      <c r="A92">
        <v>2</v>
      </c>
      <c r="B92" t="s">
        <v>4296</v>
      </c>
    </row>
    <row r="95" spans="1:2">
      <c r="A95" t="s">
        <v>4286</v>
      </c>
      <c r="B95" t="s">
        <v>4308</v>
      </c>
    </row>
    <row r="96" spans="1:2" hidden="1">
      <c r="A96">
        <v>1</v>
      </c>
      <c r="B96" t="s">
        <v>4351</v>
      </c>
    </row>
    <row r="97" spans="1:2">
      <c r="A97">
        <v>2</v>
      </c>
      <c r="B97" t="s">
        <v>4352</v>
      </c>
    </row>
    <row r="102" spans="1:2">
      <c r="A102" t="s">
        <v>4492</v>
      </c>
    </row>
    <row r="103" spans="1:2">
      <c r="A103" t="s">
        <v>4493</v>
      </c>
    </row>
  </sheetData>
  <phoneticPr fontId="53" type="noConversion"/>
  <pageMargins left="0.7" right="0.7" top="0.75" bottom="0.75" header="0.3" footer="0.3"/>
  <pageSetup paperSize="9"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extLst>
    <ext xmlns:x15="http://schemas.microsoft.com/office/spreadsheetml/2010/11/main" uri="{3A4CF648-6AED-40f4-86FF-DC5316D8AED3}">
      <x14:slicerList xmlns:x14="http://schemas.microsoft.com/office/spreadsheetml/2009/9/main">
        <x14:slicer r:id="rId16"/>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28"/>
  <dimension ref="A1:AN181"/>
  <sheetViews>
    <sheetView topLeftCell="A52" workbookViewId="0">
      <selection activeCell="L13" sqref="L13"/>
    </sheetView>
  </sheetViews>
  <sheetFormatPr defaultColWidth="8.85546875" defaultRowHeight="15.5"/>
  <cols>
    <col min="2" max="2" width="7.28515625" bestFit="1" customWidth="1"/>
    <col min="3" max="3" width="19.85546875" customWidth="1"/>
    <col min="4" max="4" width="20.2109375" customWidth="1"/>
    <col min="5" max="5" width="18.85546875" customWidth="1"/>
    <col min="6" max="6" width="16" customWidth="1"/>
    <col min="7" max="7" width="20.2109375" customWidth="1"/>
    <col min="8" max="8" width="11.640625" bestFit="1" customWidth="1"/>
    <col min="9" max="9" width="7.0703125" customWidth="1"/>
    <col min="10" max="10" width="10.0703125" style="950" bestFit="1" customWidth="1"/>
    <col min="11" max="11" width="10.0703125" style="950" customWidth="1"/>
    <col min="12" max="12" width="5.640625" customWidth="1"/>
    <col min="13" max="13" width="5.85546875" customWidth="1"/>
    <col min="14" max="14" width="10.640625" customWidth="1"/>
    <col min="15" max="15" width="8" bestFit="1" customWidth="1"/>
    <col min="16" max="16" width="8.85546875" customWidth="1"/>
    <col min="17" max="17" width="14.78515625" customWidth="1"/>
    <col min="18" max="18" width="10.85546875" customWidth="1"/>
    <col min="19" max="19" width="10" customWidth="1"/>
    <col min="20" max="20" width="8.85546875" customWidth="1"/>
    <col min="21" max="21" width="19.28515625" customWidth="1"/>
    <col min="22" max="25" width="10.42578125" customWidth="1"/>
    <col min="26" max="26" width="6.2109375" customWidth="1"/>
    <col min="27" max="27" width="11.42578125" bestFit="1" customWidth="1"/>
    <col min="28" max="28" width="6.2109375" style="950" customWidth="1"/>
    <col min="29" max="29" width="8" customWidth="1"/>
    <col min="30" max="30" width="12.42578125" customWidth="1"/>
    <col min="31" max="31" width="51.640625" bestFit="1" customWidth="1"/>
    <col min="32" max="32" width="22.640625" customWidth="1"/>
    <col min="33" max="33" width="18.0703125" customWidth="1"/>
    <col min="34" max="34" width="12.85546875" bestFit="1" customWidth="1"/>
    <col min="35" max="37" width="15" customWidth="1"/>
    <col min="38" max="38" width="8.85546875" style="1543"/>
    <col min="39" max="39" width="16.78515625" bestFit="1" customWidth="1"/>
  </cols>
  <sheetData>
    <row r="1" spans="3:40" ht="31.5" thickBot="1">
      <c r="C1" s="1117" t="s">
        <v>4061</v>
      </c>
      <c r="D1" s="1116" t="str">
        <f ca="1">庫存管理!V19</f>
        <v>USD</v>
      </c>
      <c r="O1" t="s">
        <v>3739</v>
      </c>
      <c r="P1" s="979">
        <f ca="1">IFERROR(SUM(M20:M31),0)</f>
        <v>0</v>
      </c>
      <c r="AL1" s="1602" t="s">
        <v>4382</v>
      </c>
      <c r="AM1" s="1258" t="s">
        <v>4131</v>
      </c>
      <c r="AN1" s="1258" t="s">
        <v>4132</v>
      </c>
    </row>
    <row r="2" spans="3:40">
      <c r="J2" s="268" t="s">
        <v>4080</v>
      </c>
      <c r="K2" s="268" t="s">
        <v>3735</v>
      </c>
      <c r="L2" s="557"/>
      <c r="M2" s="557"/>
      <c r="O2" t="s">
        <v>3740</v>
      </c>
      <c r="P2">
        <f ca="1">IF($O$6=4,1,IF(P1&gt;6,2,1))</f>
        <v>1</v>
      </c>
      <c r="Q2" t="str">
        <f ca="1">CONCATENATE("， 共"&amp;P2&amp;"頁")</f>
        <v>， 共1頁</v>
      </c>
      <c r="Y2" t="s">
        <v>4501</v>
      </c>
      <c r="AL2" s="1543" t="str">
        <f>IFERROR(INDEX(#REF!,MATCH(#REF!,#REF!,0),1),"")</f>
        <v/>
      </c>
      <c r="AM2" s="1259">
        <f ca="1">IF(AND(AL2&lt;&gt;0,IFERROR(VLOOKUP(AL2,庫存管理!$X$98:$X$103,1,FALSE),1)=1),ROW(AL2),9999)</f>
        <v>9999</v>
      </c>
      <c r="AN2" s="1259">
        <f t="shared" ref="AN2:AN13" ca="1" si="0">IF(INDEX(AL:AL,SMALL($AM$2:$AM$13,ROW(1:1)))=0,0,INDEX(AL:AL,SMALL($AM$2:$AM$13,ROW(1:1))))</f>
        <v>0</v>
      </c>
    </row>
    <row r="3" spans="3:40">
      <c r="C3" t="s">
        <v>3535</v>
      </c>
      <c r="D3" s="596" t="str">
        <f>庫存管理!Q97</f>
        <v>轉出標的</v>
      </c>
      <c r="F3" s="813" t="s">
        <v>3520</v>
      </c>
      <c r="G3" s="814" t="str">
        <f>庫存管理!T97</f>
        <v>轉入標的</v>
      </c>
      <c r="H3" s="866"/>
      <c r="I3" s="866"/>
      <c r="J3" s="950" t="str">
        <f ca="1">庫存管理!X98</f>
        <v/>
      </c>
      <c r="K3" s="951" t="s">
        <v>726</v>
      </c>
      <c r="L3" s="272"/>
      <c r="M3" s="272"/>
      <c r="O3" t="s">
        <v>3557</v>
      </c>
      <c r="P3" s="864">
        <f ca="1">IF(OR(P2=1,$O$6=4),1,model!A9)</f>
        <v>1</v>
      </c>
      <c r="Q3" t="str">
        <f ca="1">CONCATENATE("第"&amp;P3&amp;"頁")</f>
        <v>第1頁</v>
      </c>
      <c r="AL3" s="1543" t="str">
        <f>IFERROR(INDEX(#REF!,MATCH(#REF!,#REF!,0),1),"")</f>
        <v/>
      </c>
      <c r="AM3" s="1259">
        <f ca="1">IF(AND(AL3&lt;&gt;0,IFERROR(VLOOKUP(AL3,庫存管理!$X$98:$X$103,1,FALSE),1)=1),ROW(AL3),9999)</f>
        <v>9999</v>
      </c>
      <c r="AN3" s="1259">
        <f t="shared" ca="1" si="0"/>
        <v>0</v>
      </c>
    </row>
    <row r="4" spans="3:40">
      <c r="C4" t="s">
        <v>3514</v>
      </c>
      <c r="D4" s="1161">
        <f ca="1">'Tssco-bond portfolio(2)'!W3</f>
        <v>0</v>
      </c>
      <c r="F4" t="s">
        <v>4409</v>
      </c>
      <c r="G4" s="1630">
        <f>Change投!L2</f>
        <v>0</v>
      </c>
      <c r="J4" s="950" t="str">
        <f ca="1">庫存管理!X99</f>
        <v/>
      </c>
      <c r="K4" s="951" t="s">
        <v>735</v>
      </c>
      <c r="L4" s="272"/>
      <c r="M4" s="272"/>
      <c r="AL4" s="1543" t="str">
        <f>IFERROR(INDEX(#REF!,MATCH(#REF!,#REF!,0),1),"")</f>
        <v/>
      </c>
      <c r="AM4" s="1259">
        <f ca="1">IF(AND(AL4&lt;&gt;0,IFERROR(VLOOKUP(AL4,庫存管理!$X$98:$X$103,1,FALSE),1)=1),ROW(AL4),9999)</f>
        <v>9999</v>
      </c>
      <c r="AN4" s="1259">
        <f t="shared" ca="1" si="0"/>
        <v>0</v>
      </c>
    </row>
    <row r="5" spans="3:40" ht="16" thickBot="1">
      <c r="C5" s="777"/>
      <c r="D5" s="812"/>
      <c r="J5" s="950" t="str">
        <f ca="1">庫存管理!X100</f>
        <v/>
      </c>
      <c r="AL5" s="1543" t="str">
        <f>IFERROR(INDEX(#REF!,MATCH(#REF!,#REF!,0),1),"")</f>
        <v/>
      </c>
      <c r="AM5" s="1259">
        <f ca="1">IF(AND(AL5&lt;&gt;0,IFERROR(VLOOKUP(AL5,庫存管理!$X$98:$X$103,1,FALSE),1)=1),ROW(AL5),9999)</f>
        <v>9999</v>
      </c>
      <c r="AN5" s="1259">
        <f t="shared" ca="1" si="0"/>
        <v>0</v>
      </c>
    </row>
    <row r="6" spans="3:40" ht="16" thickBot="1">
      <c r="C6" s="804" t="str">
        <f>D3</f>
        <v>轉出標的</v>
      </c>
      <c r="D6" s="808"/>
      <c r="F6" s="815" t="str">
        <f>G3</f>
        <v>轉入標的</v>
      </c>
      <c r="G6" s="816"/>
      <c r="H6" s="867"/>
      <c r="I6" s="867"/>
      <c r="J6" s="950" t="str">
        <f ca="1">庫存管理!X101</f>
        <v/>
      </c>
      <c r="K6" s="952"/>
      <c r="L6" s="867"/>
      <c r="M6" s="867"/>
      <c r="N6" s="1126" t="s">
        <v>4137</v>
      </c>
      <c r="O6" s="1127">
        <f>model!A10</f>
        <v>1</v>
      </c>
      <c r="P6" t="s">
        <v>4394</v>
      </c>
      <c r="R6" s="1621">
        <f>COUNTBLANK(表格1316[自訂清單])</f>
        <v>6</v>
      </c>
      <c r="AD6" t="s">
        <v>4468</v>
      </c>
      <c r="AE6" s="503">
        <f>'商品代碼-中繼頁'!C16</f>
        <v>4</v>
      </c>
      <c r="AG6">
        <f ca="1">COUNTIF(AG8:AG13,1)</f>
        <v>0</v>
      </c>
      <c r="AL6" s="1543" t="str">
        <f>IFERROR(INDEX(#REF!,MATCH(#REF!,#REF!,0),1),"")</f>
        <v/>
      </c>
      <c r="AM6" s="1259">
        <f ca="1">IF(AND(AL6&lt;&gt;0,IFERROR(VLOOKUP(AL6,庫存管理!$X$98:$X$103,1,FALSE),1)=1),ROW(AL6),9999)</f>
        <v>9999</v>
      </c>
      <c r="AN6" s="1259">
        <f t="shared" ca="1" si="0"/>
        <v>0</v>
      </c>
    </row>
    <row r="7" spans="3:40">
      <c r="C7" s="805" t="s">
        <v>208</v>
      </c>
      <c r="D7" s="809" t="e">
        <f ca="1">'Tssco-bond portfolio(2)'!O3</f>
        <v>#DIV/0!</v>
      </c>
      <c r="F7" s="817" t="s">
        <v>208</v>
      </c>
      <c r="G7" s="821" t="e">
        <f ca="1">Change投!X2</f>
        <v>#DIV/0!</v>
      </c>
      <c r="H7" s="868"/>
      <c r="I7" s="868"/>
      <c r="J7" s="950" t="str">
        <f ca="1">庫存管理!X102</f>
        <v/>
      </c>
      <c r="K7" s="953"/>
      <c r="L7" s="868"/>
      <c r="M7" s="868"/>
      <c r="N7" t="s">
        <v>3745</v>
      </c>
      <c r="O7" t="s">
        <v>3744</v>
      </c>
      <c r="P7" t="s">
        <v>4288</v>
      </c>
      <c r="Q7" t="s">
        <v>4411</v>
      </c>
      <c r="R7" s="1622" t="s">
        <v>4391</v>
      </c>
      <c r="S7" s="1026" t="s">
        <v>4410</v>
      </c>
      <c r="T7" s="1626" t="s">
        <v>4392</v>
      </c>
      <c r="U7" s="875" t="s">
        <v>4393</v>
      </c>
      <c r="V7" s="1793" t="s">
        <v>4401</v>
      </c>
      <c r="W7" s="1628" t="s">
        <v>4402</v>
      </c>
      <c r="X7" s="1628" t="s">
        <v>4405</v>
      </c>
      <c r="Y7" s="875" t="s">
        <v>4500</v>
      </c>
      <c r="AD7" s="874" t="s">
        <v>4460</v>
      </c>
      <c r="AE7" s="1026" t="s">
        <v>4267</v>
      </c>
      <c r="AF7" s="1725" t="s">
        <v>4109</v>
      </c>
      <c r="AG7" s="875" t="s">
        <v>4339</v>
      </c>
      <c r="AH7" s="1028" t="s">
        <v>4475</v>
      </c>
      <c r="AI7" s="1028" t="s">
        <v>4470</v>
      </c>
      <c r="AL7" s="1543" t="str">
        <f>IFERROR(INDEX(#REF!,MATCH(#REF!,#REF!,0),1),"")</f>
        <v/>
      </c>
      <c r="AM7" s="1259">
        <f ca="1">IF(AND(AL7&lt;&gt;0,IFERROR(VLOOKUP(AL7,庫存管理!$X$98:$X$103,1,FALSE),1)=1),ROW(AL7),9999)</f>
        <v>9999</v>
      </c>
      <c r="AN7" s="1259">
        <f t="shared" ca="1" si="0"/>
        <v>0</v>
      </c>
    </row>
    <row r="8" spans="3:40">
      <c r="C8" s="805" t="s">
        <v>3515</v>
      </c>
      <c r="D8" s="1056"/>
      <c r="F8" s="817" t="s">
        <v>3515</v>
      </c>
      <c r="G8" s="822"/>
      <c r="H8" s="869"/>
      <c r="I8" s="869"/>
      <c r="J8" s="950" t="str">
        <f ca="1">庫存管理!X103</f>
        <v/>
      </c>
      <c r="K8" s="954"/>
      <c r="L8" s="869"/>
      <c r="M8" s="869"/>
      <c r="N8">
        <v>1</v>
      </c>
      <c r="O8" s="179">
        <f ca="1">6*($P$3-1)+1</f>
        <v>1</v>
      </c>
      <c r="P8" t="str">
        <f ca="1">IFERROR(INDEX($P$20:$P$31,O8,1),"")</f>
        <v/>
      </c>
      <c r="Q8" t="e">
        <f ca="1">INDEX($V$20:$V$31,表格1316[[#This Row],[排序]],1)</f>
        <v>#N/A</v>
      </c>
      <c r="R8" s="1608"/>
      <c r="S8" t="e">
        <f ca="1">INDEX($V$35:$V$40,表格1316[[#This Row],[序號]],1)</f>
        <v>#N/A</v>
      </c>
      <c r="T8" s="1616" t="str">
        <f>IF(表格1316[[#This Row],[自訂清單]]="","",IFERROR(VLOOKUP(表格1316[[#This Row],[自訂清單]],'銀行-TSS'!B:D,3,FALSE),""))</f>
        <v/>
      </c>
      <c r="U8" s="876" t="e">
        <f ca="1">IF($O$6=4,VLOOKUP(表格1316[[#This Row],[自訂清單]],'銀行-TSS'!B:D,3,FALSE),VLOOKUP(表格1316[[#This Row],[預設代碼]],'銀行-TSS'!B:D,3,FALSE))</f>
        <v>#N/A</v>
      </c>
      <c r="V8" s="1020" t="s">
        <v>4506</v>
      </c>
      <c r="W8" t="str">
        <f ca="1">IF(表格1316[[#This Row],[清單(暫存)]]="","",IFERROR(IF(表格1316[[#This Row],[幣別(暫存)]]&lt;&gt;$E$13,1,VLOOKUP(表格1316[[#This Row],[清單(暫存)]],'銀行-TSS'!B:D,3,FALSE)),1))</f>
        <v>Alphabet公司美元配息債券 2.25% 2060/8/15</v>
      </c>
      <c r="X8" s="869" t="str">
        <f ca="1">INDEX('2_Check_code'!$L$3:$L$9,MATCH(VLOOKUP(表格1316[[#This Row],[清單(暫存)]],'銀行-TSS'!B:C,2,FALSE),'2_Check_code'!$I$3:$I$9,0),0)</f>
        <v>美元</v>
      </c>
      <c r="Y8" s="876" t="str">
        <f ca="1">IF(表格1316[[#This Row],[清單(暫存)]]="","",VLOOKUP(表格1316[[#This Row],[清單(暫存)]],'銀行-TSS'!B:V,21,FALSE))</f>
        <v>(NPI)非專投</v>
      </c>
      <c r="AD8" s="1608"/>
      <c r="AE8" s="503" t="str">
        <f ca="1">IF(AD8="","",OFFSET(庫存管理_中繼頁!$P$6,AD8,0))</f>
        <v/>
      </c>
      <c r="AF8" s="179" t="e">
        <f ca="1">VLOOKUP(AE8,'銀行-TSS'!B:D,3,FALSE)</f>
        <v>#N/A</v>
      </c>
      <c r="AG8" s="876" t="str">
        <f ca="1">IF(AE8=0,0,IFERROR(VLOOKUP(AE8,庫存管理_中繼頁!$P$7:$P$42,1,FALSE),1))</f>
        <v/>
      </c>
      <c r="AH8" s="1029" t="str">
        <f ca="1">IF(AE8="","",AD8)</f>
        <v/>
      </c>
      <c r="AI8" s="1029"/>
      <c r="AL8" s="1543" t="str">
        <f>IFERROR(INDEX(#REF!,MATCH(#REF!,#REF!,0),1),"")</f>
        <v/>
      </c>
      <c r="AM8" s="1259">
        <f ca="1">IF(AND(AL8&lt;&gt;0,IFERROR(VLOOKUP(AL8,庫存管理!$X$98:$X$103,1,FALSE),1)=1),ROW(AL8),9999)</f>
        <v>9999</v>
      </c>
      <c r="AN8" s="1259">
        <f t="shared" ca="1" si="0"/>
        <v>0</v>
      </c>
    </row>
    <row r="9" spans="3:40">
      <c r="C9" s="806" t="s">
        <v>3516</v>
      </c>
      <c r="D9" s="856" t="e">
        <f ca="1">'Tssco-bond portfolio(2)'!CI3</f>
        <v>#DIV/0!</v>
      </c>
      <c r="F9" s="818" t="s">
        <v>3521</v>
      </c>
      <c r="G9" s="821">
        <f ca="1">Change投!M2</f>
        <v>0</v>
      </c>
      <c r="H9" s="868"/>
      <c r="I9" s="868"/>
      <c r="K9" s="953"/>
      <c r="L9" s="868"/>
      <c r="M9" s="868"/>
      <c r="N9">
        <v>2</v>
      </c>
      <c r="O9" s="179">
        <f ca="1">O8+1</f>
        <v>2</v>
      </c>
      <c r="P9" t="str">
        <f t="shared" ref="P9:P13" ca="1" si="1">IFERROR(INDEX($P$20:$P$31,O9,1),"")</f>
        <v/>
      </c>
      <c r="Q9" t="e">
        <f ca="1">INDEX($V$20:$V$31,表格1316[[#This Row],[排序]],1)</f>
        <v>#N/A</v>
      </c>
      <c r="R9" s="1608"/>
      <c r="S9" t="e">
        <f ca="1">INDEX($V$35:$V$40,表格1316[[#This Row],[序號]],1)</f>
        <v>#N/A</v>
      </c>
      <c r="T9" s="1616" t="str">
        <f>IF(表格1316[[#This Row],[自訂清單]]="","",IFERROR(VLOOKUP(表格1316[[#This Row],[自訂清單]],'銀行-TSS'!B:D,3,FALSE),""))</f>
        <v/>
      </c>
      <c r="U9" s="876" t="e">
        <f ca="1">IF($O$6=4,VLOOKUP(表格1316[[#This Row],[自訂清單]],'銀行-TSS'!B:D,3,FALSE),VLOOKUP(表格1316[[#This Row],[預設代碼]],'銀行-TSS'!B:D,3,FALSE))</f>
        <v>#N/A</v>
      </c>
      <c r="V9" s="1020" t="s">
        <v>4507</v>
      </c>
      <c r="W9" t="str">
        <f ca="1">IF(表格1316[[#This Row],[清單(暫存)]]="","",IFERROR(IF(表格1316[[#This Row],[幣別(暫存)]]&lt;&gt;$E$13,1,VLOOKUP(表格1316[[#This Row],[清單(暫存)]],'銀行-TSS'!B:D,3,FALSE)),1))</f>
        <v>沙烏地阿拉伯石油公司美元配息債券 4.25% 2039/4/16</v>
      </c>
      <c r="X9" s="869" t="str">
        <f ca="1">INDEX('2_Check_code'!$L$3:$L$9,MATCH(VLOOKUP(表格1316[[#This Row],[清單(暫存)]],'銀行-TSS'!B:C,2,FALSE),'2_Check_code'!$I$3:$I$9,0),0)</f>
        <v>美元</v>
      </c>
      <c r="Y9" s="876" t="str">
        <f ca="1">IF(表格1316[[#This Row],[清單(暫存)]]="","",VLOOKUP(表格1316[[#This Row],[清單(暫存)]],'銀行-TSS'!B:V,21,FALSE))</f>
        <v>(NPI)非專投</v>
      </c>
      <c r="AD9" s="1608"/>
      <c r="AE9" s="503" t="str">
        <f ca="1">IF(AD9="","",OFFSET(庫存管理_中繼頁!$P$6,AD9,0))</f>
        <v/>
      </c>
      <c r="AF9" s="179" t="e">
        <f ca="1">VLOOKUP(AE9,'銀行-TSS'!B:D,3,FALSE)</f>
        <v>#N/A</v>
      </c>
      <c r="AG9" s="876" t="str">
        <f ca="1">IF(AE9=0,0,IFERROR(VLOOKUP(AE9,庫存管理_中繼頁!$P$7:$P$42,1,FALSE),1))</f>
        <v/>
      </c>
      <c r="AH9" s="1029" t="str">
        <f t="shared" ref="AH9:AH13" ca="1" si="2">IF(AE9="","",AD9)</f>
        <v/>
      </c>
      <c r="AI9" s="1029"/>
      <c r="AL9" s="1543" t="str">
        <f>IFERROR(INDEX(#REF!,MATCH(#REF!,#REF!,0),1),"")</f>
        <v/>
      </c>
      <c r="AM9" s="1259">
        <f ca="1">IF(AND(AL9&lt;&gt;0,IFERROR(VLOOKUP(AL9,庫存管理!$X$98:$X$103,1,FALSE),1)=1),ROW(AL9),9999)</f>
        <v>9999</v>
      </c>
      <c r="AN9" s="1259">
        <f t="shared" ca="1" si="0"/>
        <v>0</v>
      </c>
    </row>
    <row r="10" spans="3:40">
      <c r="C10" s="805" t="s">
        <v>3517</v>
      </c>
      <c r="D10" s="810">
        <f ca="1">'Tssco-bond portfolio(2)'!W3</f>
        <v>0</v>
      </c>
      <c r="F10" s="817" t="s">
        <v>3522</v>
      </c>
      <c r="G10" s="828">
        <f>G4</f>
        <v>0</v>
      </c>
      <c r="H10" s="870">
        <f>G10-G20</f>
        <v>0</v>
      </c>
      <c r="I10" s="870"/>
      <c r="K10" s="955"/>
      <c r="L10" s="870"/>
      <c r="M10" s="870"/>
      <c r="N10">
        <v>3</v>
      </c>
      <c r="O10" s="179">
        <f ca="1">O9+1</f>
        <v>3</v>
      </c>
      <c r="P10" t="str">
        <f t="shared" ca="1" si="1"/>
        <v/>
      </c>
      <c r="Q10" t="e">
        <f ca="1">INDEX($V$20:$V$31,表格1316[[#This Row],[排序]],1)</f>
        <v>#N/A</v>
      </c>
      <c r="R10" s="1608"/>
      <c r="S10" t="e">
        <f ca="1">INDEX($V$35:$V$40,表格1316[[#This Row],[序號]],1)</f>
        <v>#N/A</v>
      </c>
      <c r="T10" s="1616" t="str">
        <f>IF(表格1316[[#This Row],[自訂清單]]="","",IFERROR(VLOOKUP(表格1316[[#This Row],[自訂清單]],'銀行-TSS'!B:D,3,FALSE),""))</f>
        <v/>
      </c>
      <c r="U10" s="876" t="e">
        <f ca="1">IF($O$6=4,VLOOKUP(表格1316[[#This Row],[自訂清單]],'銀行-TSS'!B:D,3,FALSE),VLOOKUP(表格1316[[#This Row],[預設代碼]],'銀行-TSS'!B:D,3,FALSE))</f>
        <v>#N/A</v>
      </c>
      <c r="V10" s="1020"/>
      <c r="W10" t="str">
        <f>IF(表格1316[[#This Row],[清單(暫存)]]="","",IFERROR(IF(表格1316[[#This Row],[幣別(暫存)]]&lt;&gt;$E$13,1,VLOOKUP(表格1316[[#This Row],[清單(暫存)]],'銀行-TSS'!B:D,3,FALSE)),1))</f>
        <v/>
      </c>
      <c r="X10" s="869" t="e">
        <f ca="1">INDEX('2_Check_code'!$L$3:$L$9,MATCH(VLOOKUP(表格1316[[#This Row],[清單(暫存)]],'銀行-TSS'!B:C,2,FALSE),'2_Check_code'!$I$3:$I$9,0),0)</f>
        <v>#N/A</v>
      </c>
      <c r="Y10" s="876" t="str">
        <f>IF(表格1316[[#This Row],[清單(暫存)]]="","",VLOOKUP(表格1316[[#This Row],[清單(暫存)]],'銀行-TSS'!B:V,21,FALSE))</f>
        <v/>
      </c>
      <c r="AD10" s="1608"/>
      <c r="AE10" s="503" t="str">
        <f ca="1">IF(AD10="","",OFFSET(庫存管理_中繼頁!$P$6,AD10,0))</f>
        <v/>
      </c>
      <c r="AF10" s="179" t="e">
        <f ca="1">VLOOKUP(AE10,'銀行-TSS'!B:D,3,FALSE)</f>
        <v>#N/A</v>
      </c>
      <c r="AG10" s="876" t="str">
        <f ca="1">IF(AE10=0,0,IFERROR(VLOOKUP(AE10,庫存管理_中繼頁!$P$7:$P$42,1,FALSE),1))</f>
        <v/>
      </c>
      <c r="AH10" s="1029" t="str">
        <f t="shared" ca="1" si="2"/>
        <v/>
      </c>
      <c r="AI10" s="1029"/>
      <c r="AL10" s="1543" t="str">
        <f>IFERROR(INDEX(#REF!,MATCH(#REF!,#REF!,0),1),"")</f>
        <v/>
      </c>
      <c r="AM10" s="1259">
        <f ca="1">IF(AND(AL10&lt;&gt;0,IFERROR(VLOOKUP(AL10,庫存管理!$X$98:$X$103,1,FALSE),1)=1),ROW(AL10),9999)</f>
        <v>9999</v>
      </c>
      <c r="AN10" s="1259">
        <f t="shared" ca="1" si="0"/>
        <v>0</v>
      </c>
    </row>
    <row r="11" spans="3:40">
      <c r="C11" s="806" t="s">
        <v>3518</v>
      </c>
      <c r="D11" s="855" t="e">
        <f ca="1">'Tssco-bond portfolio(2)'!K3</f>
        <v>#DIV/0!</v>
      </c>
      <c r="F11" s="819" t="s">
        <v>3523</v>
      </c>
      <c r="G11" s="854">
        <f ca="1">Change投!U2</f>
        <v>0</v>
      </c>
      <c r="H11" s="871"/>
      <c r="I11" s="871"/>
      <c r="J11" s="956"/>
      <c r="K11" s="956"/>
      <c r="L11" s="871"/>
      <c r="M11" s="871"/>
      <c r="N11">
        <v>4</v>
      </c>
      <c r="O11" s="179">
        <f ca="1">O10+1</f>
        <v>4</v>
      </c>
      <c r="P11" t="str">
        <f t="shared" ca="1" si="1"/>
        <v/>
      </c>
      <c r="Q11" t="e">
        <f ca="1">INDEX($V$20:$V$31,表格1316[[#This Row],[排序]],1)</f>
        <v>#N/A</v>
      </c>
      <c r="R11" s="1608"/>
      <c r="S11" t="e">
        <f ca="1">INDEX($V$35:$V$40,表格1316[[#This Row],[序號]],1)</f>
        <v>#N/A</v>
      </c>
      <c r="T11" s="1616" t="str">
        <f>IF(表格1316[[#This Row],[自訂清單]]="","",IFERROR(VLOOKUP(表格1316[[#This Row],[自訂清單]],'銀行-TSS'!B:D,3,FALSE),""))</f>
        <v/>
      </c>
      <c r="U11" s="876" t="e">
        <f ca="1">IF($O$6=4,VLOOKUP(表格1316[[#This Row],[自訂清單]],'銀行-TSS'!B:D,3,FALSE),VLOOKUP(表格1316[[#This Row],[預設代碼]],'銀行-TSS'!B:D,3,FALSE))</f>
        <v>#N/A</v>
      </c>
      <c r="V11" s="1020"/>
      <c r="W11" t="str">
        <f>IF(表格1316[[#This Row],[清單(暫存)]]="","",IFERROR(IF(表格1316[[#This Row],[幣別(暫存)]]&lt;&gt;$E$13,1,VLOOKUP(表格1316[[#This Row],[清單(暫存)]],'銀行-TSS'!B:D,3,FALSE)),1))</f>
        <v/>
      </c>
      <c r="X11" s="869" t="e">
        <f ca="1">INDEX('2_Check_code'!$L$3:$L$9,MATCH(VLOOKUP(表格1316[[#This Row],[清單(暫存)]],'銀行-TSS'!B:C,2,FALSE),'2_Check_code'!$I$3:$I$9,0),0)</f>
        <v>#N/A</v>
      </c>
      <c r="Y11" s="876" t="str">
        <f>IF(表格1316[[#This Row],[清單(暫存)]]="","",VLOOKUP(表格1316[[#This Row],[清單(暫存)]],'銀行-TSS'!B:V,21,FALSE))</f>
        <v/>
      </c>
      <c r="AD11" s="1608"/>
      <c r="AE11" s="503" t="str">
        <f ca="1">IF(AD11="","",OFFSET(庫存管理_中繼頁!$P$6,AD11,0))</f>
        <v/>
      </c>
      <c r="AF11" s="179" t="e">
        <f ca="1">VLOOKUP(AE11,'銀行-TSS'!B:D,3,FALSE)</f>
        <v>#N/A</v>
      </c>
      <c r="AG11" s="876" t="str">
        <f ca="1">IF(AE11=0,0,IFERROR(VLOOKUP(AE11,庫存管理_中繼頁!$P$7:$P$42,1,FALSE),1))</f>
        <v/>
      </c>
      <c r="AH11" s="1029" t="str">
        <f t="shared" ca="1" si="2"/>
        <v/>
      </c>
      <c r="AI11" s="1029"/>
      <c r="AL11" s="1543" t="str">
        <f>IFERROR(INDEX(#REF!,MATCH(#REF!,#REF!,0),1),"")</f>
        <v/>
      </c>
      <c r="AM11" s="1259">
        <f ca="1">IF(AND(AL11&lt;&gt;0,IFERROR(VLOOKUP(AL11,庫存管理!$X$98:$X$103,1,FALSE),1)=1),ROW(AL11),9999)</f>
        <v>9999</v>
      </c>
      <c r="AN11" s="1259">
        <f t="shared" ca="1" si="0"/>
        <v>0</v>
      </c>
    </row>
    <row r="12" spans="3:40">
      <c r="C12" s="807" t="s">
        <v>3519</v>
      </c>
      <c r="D12" s="811"/>
      <c r="F12" s="820" t="s">
        <v>3519</v>
      </c>
      <c r="G12" s="823"/>
      <c r="H12" s="872"/>
      <c r="I12" s="872"/>
      <c r="J12" s="957"/>
      <c r="K12" s="957"/>
      <c r="L12" s="872"/>
      <c r="M12" s="872"/>
      <c r="N12">
        <v>5</v>
      </c>
      <c r="O12" s="179">
        <f ca="1">O11+1</f>
        <v>5</v>
      </c>
      <c r="P12" t="str">
        <f t="shared" ca="1" si="1"/>
        <v/>
      </c>
      <c r="Q12" t="e">
        <f ca="1">INDEX($V$20:$V$31,表格1316[[#This Row],[排序]],1)</f>
        <v>#N/A</v>
      </c>
      <c r="R12" s="1608"/>
      <c r="S12" t="e">
        <f ca="1">INDEX($V$35:$V$40,表格1316[[#This Row],[序號]],1)</f>
        <v>#N/A</v>
      </c>
      <c r="T12" s="1616" t="str">
        <f>IF(表格1316[[#This Row],[自訂清單]]="","",IFERROR(VLOOKUP(表格1316[[#This Row],[自訂清單]],'銀行-TSS'!B:D,3,FALSE),""))</f>
        <v/>
      </c>
      <c r="U12" s="876" t="e">
        <f ca="1">IF($O$6=4,VLOOKUP(表格1316[[#This Row],[自訂清單]],'銀行-TSS'!B:D,3,FALSE),VLOOKUP(表格1316[[#This Row],[預設代碼]],'銀行-TSS'!B:D,3,FALSE))</f>
        <v>#N/A</v>
      </c>
      <c r="V12" s="1020"/>
      <c r="W12" t="str">
        <f>IF(表格1316[[#This Row],[清單(暫存)]]="","",IFERROR(IF(表格1316[[#This Row],[幣別(暫存)]]&lt;&gt;$E$13,1,VLOOKUP(表格1316[[#This Row],[清單(暫存)]],'銀行-TSS'!B:D,3,FALSE)),1))</f>
        <v/>
      </c>
      <c r="X12" s="869" t="e">
        <f ca="1">INDEX('2_Check_code'!$L$3:$L$9,MATCH(VLOOKUP(表格1316[[#This Row],[清單(暫存)]],'銀行-TSS'!B:C,2,FALSE),'2_Check_code'!$I$3:$I$9,0),0)</f>
        <v>#N/A</v>
      </c>
      <c r="Y12" s="876" t="str">
        <f>IF(表格1316[[#This Row],[清單(暫存)]]="","",VLOOKUP(表格1316[[#This Row],[清單(暫存)]],'銀行-TSS'!B:V,21,FALSE))</f>
        <v/>
      </c>
      <c r="AD12" s="1608"/>
      <c r="AE12" s="503" t="str">
        <f ca="1">IF(AD12="","",OFFSET(庫存管理_中繼頁!$P$6,AD12,0))</f>
        <v/>
      </c>
      <c r="AF12" s="179" t="e">
        <f ca="1">VLOOKUP(AE12,'銀行-TSS'!B:D,3,FALSE)</f>
        <v>#N/A</v>
      </c>
      <c r="AG12" s="876" t="str">
        <f ca="1">IF(AE12=0,0,IFERROR(VLOOKUP(AE12,庫存管理_中繼頁!$P$7:$P$42,1,FALSE),1))</f>
        <v/>
      </c>
      <c r="AH12" s="1029" t="str">
        <f t="shared" ca="1" si="2"/>
        <v/>
      </c>
      <c r="AI12" s="1029"/>
      <c r="AL12" s="1543" t="str">
        <f>IFERROR(INDEX(#REF!,MATCH(#REF!,#REF!,0),1),"")</f>
        <v/>
      </c>
      <c r="AM12" s="1259">
        <f ca="1">IF(AND(AL12&lt;&gt;0,IFERROR(VLOOKUP(AL12,庫存管理!$X$98:$X$103,1,FALSE),1)=1),ROW(AL12),9999)</f>
        <v>9999</v>
      </c>
      <c r="AN12" s="1259">
        <f t="shared" ca="1" si="0"/>
        <v>0</v>
      </c>
    </row>
    <row r="13" spans="3:40" ht="16" thickBot="1">
      <c r="C13" s="806" t="s">
        <v>3524</v>
      </c>
      <c r="D13" s="1617" t="str">
        <f>庫存管理!P97</f>
        <v>USD</v>
      </c>
      <c r="E13" t="str">
        <f>CHOOSE(VLOOKUP(D13,'2_Check_code'!$I$3:$K$9,3,FALSE),"美元","人民幣","南非幣","澳幣","加幣","紐幣","歐元")</f>
        <v>美元</v>
      </c>
      <c r="F13" s="829" t="s">
        <v>3524</v>
      </c>
      <c r="G13" s="1161" t="str">
        <f>D13</f>
        <v>USD</v>
      </c>
      <c r="H13" s="596"/>
      <c r="I13" s="596"/>
      <c r="J13" s="958"/>
      <c r="K13" s="958"/>
      <c r="L13" s="596"/>
      <c r="M13" s="596"/>
      <c r="N13">
        <v>6</v>
      </c>
      <c r="O13" s="179">
        <f ca="1">O12+1</f>
        <v>6</v>
      </c>
      <c r="P13" t="str">
        <f t="shared" ca="1" si="1"/>
        <v/>
      </c>
      <c r="Q13" t="e">
        <f ca="1">INDEX($V$20:$V$31,表格1316[[#This Row],[排序]],1)</f>
        <v>#N/A</v>
      </c>
      <c r="R13" s="1609"/>
      <c r="S13" s="1021" t="e">
        <f ca="1">INDEX($V$35:$V$40,表格1316[[#This Row],[序號]],1)</f>
        <v>#N/A</v>
      </c>
      <c r="T13" s="1627" t="str">
        <f>IF(表格1316[[#This Row],[自訂清單]]="","",IFERROR(VLOOKUP(表格1316[[#This Row],[自訂清單]],'銀行-TSS'!B:D,3,FALSE),""))</f>
        <v/>
      </c>
      <c r="U13" s="877" t="e">
        <f ca="1">IF($O$6=4,VLOOKUP(表格1316[[#This Row],[自訂清單]],'銀行-TSS'!B:D,3,FALSE),VLOOKUP(表格1316[[#This Row],[預設代碼]],'銀行-TSS'!B:D,3,FALSE))</f>
        <v>#N/A</v>
      </c>
      <c r="V13" s="1128"/>
      <c r="W13" s="1021" t="str">
        <f>IF(表格1316[[#This Row],[清單(暫存)]]="","",IFERROR(IF(表格1316[[#This Row],[幣別(暫存)]]&lt;&gt;$E$13,1,VLOOKUP(表格1316[[#This Row],[清單(暫存)]],'銀行-TSS'!B:D,3,FALSE)),1))</f>
        <v/>
      </c>
      <c r="X13" s="1792" t="e">
        <f ca="1">INDEX('2_Check_code'!$L$3:$L$9,MATCH(VLOOKUP(表格1316[[#This Row],[清單(暫存)]],'銀行-TSS'!B:C,2,FALSE),'2_Check_code'!$I$3:$I$9,0),0)</f>
        <v>#N/A</v>
      </c>
      <c r="Y13" s="877" t="str">
        <f>IF(表格1316[[#This Row],[清單(暫存)]]="","",VLOOKUP(表格1316[[#This Row],[清單(暫存)]],'銀行-TSS'!B:V,21,FALSE))</f>
        <v/>
      </c>
      <c r="AD13" s="1609"/>
      <c r="AE13" s="1726" t="str">
        <f ca="1">IF(AD13="","",OFFSET(庫存管理_中繼頁!$P$6,AD13,0))</f>
        <v/>
      </c>
      <c r="AF13" s="1727" t="e">
        <f ca="1">VLOOKUP(AE13,'銀行-TSS'!B:D,3,FALSE)</f>
        <v>#N/A</v>
      </c>
      <c r="AG13" s="877" t="str">
        <f ca="1">IF(AE13=0,0,IFERROR(VLOOKUP(AE13,庫存管理_中繼頁!$P$7:$P$42,1,FALSE),1))</f>
        <v/>
      </c>
      <c r="AH13" s="1728" t="str">
        <f t="shared" ca="1" si="2"/>
        <v/>
      </c>
      <c r="AI13" s="1728"/>
      <c r="AL13" s="1543" t="str">
        <f>IFERROR(INDEX(#REF!,MATCH(#REF!,#REF!,0),1),"")</f>
        <v/>
      </c>
      <c r="AM13" s="1259">
        <f ca="1">IF(AND(AL13&lt;&gt;0,IFERROR(VLOOKUP(AL13,庫存管理!$X$98:$X$103,1,FALSE),1)=1),ROW(AL13),9999)</f>
        <v>9999</v>
      </c>
      <c r="AN13" s="1259">
        <f t="shared" ca="1" si="0"/>
        <v>0</v>
      </c>
    </row>
    <row r="14" spans="3:40">
      <c r="C14" s="824" t="s">
        <v>1317</v>
      </c>
      <c r="D14" s="1165" t="e">
        <f ca="1">'Tssco-bond portfolio(2)'!M3</f>
        <v>#DIV/0!</v>
      </c>
      <c r="F14" s="829" t="s">
        <v>1317</v>
      </c>
      <c r="G14" s="1165" t="e">
        <f ca="1">Change投!V2</f>
        <v>#DIV/0!</v>
      </c>
      <c r="H14" s="596"/>
      <c r="I14" s="596"/>
      <c r="J14" s="958"/>
      <c r="K14" s="958"/>
      <c r="L14" s="596"/>
      <c r="M14" s="596"/>
      <c r="N14" s="596"/>
      <c r="P14" s="179"/>
      <c r="AM14" s="1259"/>
    </row>
    <row r="15" spans="3:40">
      <c r="C15" s="824" t="s">
        <v>3537</v>
      </c>
      <c r="D15" s="1165" t="e">
        <f ca="1">ROUND('Tssco-bond portfolio(2)'!DL3,2)</f>
        <v>#DIV/0!</v>
      </c>
      <c r="F15" s="829" t="s">
        <v>3536</v>
      </c>
      <c r="G15" s="1165">
        <f ca="1">ROUND(Change投!AM2,2)</f>
        <v>0</v>
      </c>
      <c r="H15" s="596"/>
      <c r="I15" s="596"/>
      <c r="J15" s="958"/>
      <c r="K15" s="958"/>
      <c r="L15" s="596"/>
      <c r="M15" s="596"/>
      <c r="N15" s="596"/>
      <c r="P15" s="179"/>
    </row>
    <row r="16" spans="3:40">
      <c r="C16" s="824" t="s">
        <v>3720</v>
      </c>
      <c r="D16" s="825" t="e">
        <f ca="1">'Tssco-bond portfolio(2)'!DM3</f>
        <v>#DIV/0!</v>
      </c>
      <c r="F16" s="829" t="s">
        <v>4095</v>
      </c>
      <c r="G16" s="1187">
        <f ca="1">Change投!T2</f>
        <v>0</v>
      </c>
      <c r="H16" s="596"/>
      <c r="I16" s="596"/>
      <c r="J16" s="958"/>
      <c r="K16" s="958"/>
      <c r="L16" s="596"/>
      <c r="M16" s="596"/>
      <c r="N16" s="596"/>
      <c r="P16" s="179"/>
    </row>
    <row r="17" spans="3:22">
      <c r="C17" s="824" t="s">
        <v>2143</v>
      </c>
      <c r="D17" s="1396">
        <f ca="1">'Tssco-bond portfolio(2)'!Z3</f>
        <v>0</v>
      </c>
      <c r="F17" s="1193" t="s">
        <v>4093</v>
      </c>
      <c r="G17" s="1194">
        <f ca="1">D17-Change投!N2</f>
        <v>0</v>
      </c>
      <c r="H17" s="873"/>
      <c r="I17" s="873"/>
      <c r="J17" s="959"/>
      <c r="K17" s="959"/>
      <c r="L17" s="873"/>
      <c r="M17" s="873"/>
      <c r="N17" s="873"/>
      <c r="P17" s="179"/>
    </row>
    <row r="18" spans="3:22" ht="16" thickBot="1">
      <c r="C18" s="824" t="s">
        <v>3730</v>
      </c>
      <c r="D18" s="1195"/>
      <c r="F18" s="829" t="s">
        <v>4099</v>
      </c>
      <c r="G18" s="873">
        <f>Change投!N2</f>
        <v>0</v>
      </c>
      <c r="H18" s="873"/>
      <c r="I18" s="873"/>
      <c r="J18" s="959"/>
      <c r="K18" s="959"/>
      <c r="L18" s="873"/>
      <c r="M18" s="873"/>
      <c r="N18" s="873"/>
      <c r="O18" s="1126" t="s">
        <v>4066</v>
      </c>
      <c r="P18" s="1127">
        <f>model!A10</f>
        <v>1</v>
      </c>
    </row>
    <row r="19" spans="3:22">
      <c r="C19" s="824" t="s">
        <v>3731</v>
      </c>
      <c r="D19" s="826"/>
      <c r="F19" s="829" t="s">
        <v>3725</v>
      </c>
      <c r="G19" s="873">
        <f>Change投!O2</f>
        <v>0</v>
      </c>
      <c r="H19" s="873"/>
      <c r="I19" s="873"/>
      <c r="J19" s="959"/>
      <c r="K19" s="959"/>
      <c r="L19" s="873"/>
      <c r="M19" s="873" t="s">
        <v>4075</v>
      </c>
      <c r="N19" s="873" t="s">
        <v>4277</v>
      </c>
      <c r="O19" t="s">
        <v>3744</v>
      </c>
      <c r="P19" t="s">
        <v>3554</v>
      </c>
      <c r="Q19" s="179" t="s">
        <v>3752</v>
      </c>
      <c r="R19" t="s">
        <v>4055</v>
      </c>
      <c r="S19" t="s">
        <v>4056</v>
      </c>
      <c r="T19" t="s">
        <v>1317</v>
      </c>
      <c r="U19" t="s">
        <v>3729</v>
      </c>
      <c r="V19" s="1026" t="s">
        <v>510</v>
      </c>
    </row>
    <row r="20" spans="3:22">
      <c r="F20" s="831" t="s">
        <v>3525</v>
      </c>
      <c r="G20" s="832">
        <f>Change投!AP2</f>
        <v>0</v>
      </c>
      <c r="H20" s="865"/>
      <c r="I20" s="865"/>
      <c r="J20" s="960"/>
      <c r="K20" s="960"/>
      <c r="L20" s="865"/>
      <c r="M20" s="960">
        <f ca="1">IF(LEN(P20)&gt;0,1,0)</f>
        <v>0</v>
      </c>
      <c r="N20" s="960" t="e">
        <f ca="1">VLOOKUP(P20,TSS_換券投組!B:D,3,FALSE)</f>
        <v>#N/A</v>
      </c>
      <c r="O20">
        <v>1</v>
      </c>
      <c r="P20" t="str">
        <f ca="1">CHOOSE($P$18,IFERROR(INDEX(TSS_換券投組!B:B,MATCH($O20,TSS_換券投組!AA:AA,0),1),""),IFERROR(INDEX(TSS_換券投組!B:B,MATCH($O20,TSS_換券投組!AC:AC,0),1),""),IFERROR(INDEX(TSS_換券投組!B:B,MATCH($O20,TSS_換券投組!AE:AE,0),1),""))</f>
        <v/>
      </c>
      <c r="Q20" s="1565">
        <f ca="1">IF(M20=0,0,VLOOKUP(P20,TSS_換券投組!B:Q,16,FALSE))</f>
        <v>0</v>
      </c>
      <c r="R20" s="826">
        <f ca="1">IF(M20=0,0,VLOOKUP(P20,TSS_換券投組!B:P,15,FALSE))</f>
        <v>0</v>
      </c>
      <c r="S20" s="248">
        <f ca="1">IF(M20=0,0,VLOOKUP(P20,TSS_換券投組!B:U,20,FALSE))</f>
        <v>0</v>
      </c>
      <c r="T20" s="1112">
        <f ca="1">IF(M20=0,0,VLOOKUP(P20,TSS_換券投組!B:E,4,FALSE))</f>
        <v>0</v>
      </c>
      <c r="U20" s="825">
        <f ca="1">IF(M20=0,0,VLOOKUP(P20,TSS_換券投組!B:Y,24,FALSE))</f>
        <v>0</v>
      </c>
      <c r="V20" s="596" t="e">
        <f ca="1">VLOOKUP(P20,'銀行-TSS'!B:W,22,FALSE)</f>
        <v>#N/A</v>
      </c>
    </row>
    <row r="21" spans="3:22">
      <c r="C21" s="824" t="s">
        <v>3741</v>
      </c>
      <c r="D21" s="979">
        <f ca="1">D17-G18</f>
        <v>0</v>
      </c>
      <c r="F21" s="833" t="s">
        <v>3526</v>
      </c>
      <c r="G21" s="834">
        <f>Change投!AQ2</f>
        <v>0</v>
      </c>
      <c r="H21" s="865"/>
      <c r="I21" s="865"/>
      <c r="J21" s="960"/>
      <c r="K21" s="960"/>
      <c r="L21" s="865"/>
      <c r="M21" s="960">
        <f t="shared" ref="M21:M31" ca="1" si="3">IF(LEN(P21)&gt;0,1,0)</f>
        <v>0</v>
      </c>
      <c r="N21" s="960" t="e">
        <f ca="1">VLOOKUP(P21,TSS_換券投組!B:D,3,FALSE)</f>
        <v>#N/A</v>
      </c>
      <c r="O21">
        <v>2</v>
      </c>
      <c r="P21" t="str">
        <f ca="1">CHOOSE($P$18,IFERROR(INDEX(TSS_換券投組!B:B,MATCH($O21,TSS_換券投組!AA:AA,0),1),""),IFERROR(INDEX(TSS_換券投組!B:B,MATCH($O21,TSS_換券投組!AC:AC,0),1),""),IFERROR(INDEX(TSS_換券投組!B:B,MATCH($O21,TSS_換券投組!AE:AE,0),1),""))</f>
        <v/>
      </c>
      <c r="Q21" s="1565">
        <f ca="1">IF(M21=0,0,VLOOKUP(P21,TSS_換券投組!B:Q,16,FALSE))</f>
        <v>0</v>
      </c>
      <c r="R21" s="826">
        <f ca="1">IF(M21=0,0,VLOOKUP(P21,TSS_換券投組!B:P,15,FALSE))</f>
        <v>0</v>
      </c>
      <c r="S21" s="248">
        <f ca="1">IF(M21=0,0,VLOOKUP(P21,TSS_換券投組!B:U,20,FALSE))</f>
        <v>0</v>
      </c>
      <c r="T21">
        <f ca="1">IF(M21=0,0,VLOOKUP(P21,TSS_換券投組!B:E,4,FALSE))</f>
        <v>0</v>
      </c>
      <c r="U21" s="825">
        <f ca="1">IF(M21=0,0,VLOOKUP(P21,TSS_換券投組!B:Y,24,FALSE))</f>
        <v>0</v>
      </c>
      <c r="V21" s="596" t="e">
        <f ca="1">VLOOKUP(P21,'銀行-TSS'!B:W,22,FALSE)</f>
        <v>#N/A</v>
      </c>
    </row>
    <row r="22" spans="3:22">
      <c r="F22" s="833" t="s">
        <v>3527</v>
      </c>
      <c r="G22" s="834">
        <f ca="1">G11*G20/100</f>
        <v>0</v>
      </c>
      <c r="H22" s="865"/>
      <c r="I22" s="865"/>
      <c r="J22" s="960"/>
      <c r="K22" s="960"/>
      <c r="L22" s="865"/>
      <c r="M22" s="960">
        <f t="shared" ca="1" si="3"/>
        <v>0</v>
      </c>
      <c r="N22" s="960" t="e">
        <f ca="1">VLOOKUP(P22,TSS_換券投組!B:D,3,FALSE)</f>
        <v>#N/A</v>
      </c>
      <c r="O22">
        <v>3</v>
      </c>
      <c r="P22" t="str">
        <f ca="1">CHOOSE($P$18,IFERROR(INDEX(TSS_換券投組!B:B,MATCH($O22,TSS_換券投組!AA:AA,0),1),""),IFERROR(INDEX(TSS_換券投組!B:B,MATCH($O22,TSS_換券投組!AC:AC,0),1),""),IFERROR(INDEX(TSS_換券投組!B:B,MATCH($O22,TSS_換券投組!AE:AE,0),1),""))</f>
        <v/>
      </c>
      <c r="Q22" s="1565">
        <f ca="1">IF(M22=0,0,VLOOKUP(P22,TSS_換券投組!B:Q,16,FALSE))</f>
        <v>0</v>
      </c>
      <c r="R22" s="826">
        <f ca="1">IF(M22=0,0,VLOOKUP(P22,TSS_換券投組!B:P,15,FALSE))</f>
        <v>0</v>
      </c>
      <c r="S22" s="248">
        <f ca="1">IF(M22=0,0,VLOOKUP(P22,TSS_換券投組!B:U,20,FALSE))</f>
        <v>0</v>
      </c>
      <c r="T22">
        <f ca="1">IF(M22=0,0,VLOOKUP(P22,TSS_換券投組!B:E,4,FALSE))</f>
        <v>0</v>
      </c>
      <c r="U22" s="825">
        <f ca="1">IF(M22=0,0,VLOOKUP(P22,TSS_換券投組!B:Y,24,FALSE))</f>
        <v>0</v>
      </c>
      <c r="V22" s="596" t="e">
        <f ca="1">VLOOKUP(P22,'銀行-TSS'!B:W,22,FALSE)</f>
        <v>#N/A</v>
      </c>
    </row>
    <row r="23" spans="3:22">
      <c r="C23" s="824" t="s">
        <v>3742</v>
      </c>
      <c r="D23">
        <f>VLOOKUP(D13,'1_重設數據'!F1:G8,2,FALSE)</f>
        <v>32.481000000000002</v>
      </c>
      <c r="F23" s="835" t="s">
        <v>3528</v>
      </c>
      <c r="G23" s="836">
        <f ca="1">G21*G11/100</f>
        <v>0</v>
      </c>
      <c r="H23" s="865"/>
      <c r="I23" s="865"/>
      <c r="J23" s="960"/>
      <c r="K23" s="960"/>
      <c r="L23" s="865"/>
      <c r="M23" s="960">
        <f t="shared" ca="1" si="3"/>
        <v>0</v>
      </c>
      <c r="N23" s="960" t="e">
        <f ca="1">VLOOKUP(P23,TSS_換券投組!B:D,3,FALSE)</f>
        <v>#N/A</v>
      </c>
      <c r="O23">
        <v>4</v>
      </c>
      <c r="P23" t="str">
        <f ca="1">CHOOSE($P$18,IFERROR(INDEX(TSS_換券投組!B:B,MATCH($O23,TSS_換券投組!AA:AA,0),1),""),IFERROR(INDEX(TSS_換券投組!B:B,MATCH($O23,TSS_換券投組!AC:AC,0),1),""),IFERROR(INDEX(TSS_換券投組!B:B,MATCH($O23,TSS_換券投組!AE:AE,0),1),""))</f>
        <v/>
      </c>
      <c r="Q23" s="1565">
        <f ca="1">IF(M23=0,0,VLOOKUP(P23,TSS_換券投組!B:Q,16,FALSE))</f>
        <v>0</v>
      </c>
      <c r="R23" s="826">
        <f ca="1">IF(M23=0,0,VLOOKUP(P23,TSS_換券投組!B:P,15,FALSE))</f>
        <v>0</v>
      </c>
      <c r="S23" s="248">
        <f ca="1">IF(M23=0,0,VLOOKUP(P23,TSS_換券投組!B:U,20,FALSE))</f>
        <v>0</v>
      </c>
      <c r="T23">
        <f ca="1">IF(M23=0,0,VLOOKUP(P23,TSS_換券投組!B:E,4,FALSE))</f>
        <v>0</v>
      </c>
      <c r="U23" s="825">
        <f ca="1">IF(M23=0,0,VLOOKUP(P23,TSS_換券投組!B:Y,24,FALSE))</f>
        <v>0</v>
      </c>
      <c r="V23" s="596" t="e">
        <f ca="1">VLOOKUP(P23,'銀行-TSS'!B:W,22,FALSE)</f>
        <v>#N/A</v>
      </c>
    </row>
    <row r="24" spans="3:22">
      <c r="F24" s="939"/>
      <c r="G24" t="str">
        <f ca="1">IFERROR(VLOOKUP(G3,TSS_換券投組!B:J,36,FALSE),"")</f>
        <v/>
      </c>
      <c r="M24" s="960">
        <f t="shared" ca="1" si="3"/>
        <v>0</v>
      </c>
      <c r="N24" s="960" t="e">
        <f ca="1">VLOOKUP(P24,TSS_換券投組!B:D,3,FALSE)</f>
        <v>#N/A</v>
      </c>
      <c r="O24">
        <v>5</v>
      </c>
      <c r="P24" t="str">
        <f ca="1">CHOOSE($P$18,IFERROR(INDEX(TSS_換券投組!B:B,MATCH($O24,TSS_換券投組!AA:AA,0),1),""),IFERROR(INDEX(TSS_換券投組!B:B,MATCH($O24,TSS_換券投組!AC:AC,0),1),""),IFERROR(INDEX(TSS_換券投組!B:B,MATCH($O24,TSS_換券投組!AE:AE,0),1),""))</f>
        <v/>
      </c>
      <c r="Q24" s="1565">
        <f ca="1">IF(M24=0,0,VLOOKUP(P24,TSS_換券投組!B:Q,16,FALSE))</f>
        <v>0</v>
      </c>
      <c r="R24" s="826">
        <f ca="1">IF(M24=0,0,VLOOKUP(P24,TSS_換券投組!B:P,15,FALSE))</f>
        <v>0</v>
      </c>
      <c r="S24" s="248">
        <f ca="1">IF(M24=0,0,VLOOKUP(P24,TSS_換券投組!B:U,20,FALSE))</f>
        <v>0</v>
      </c>
      <c r="T24">
        <f ca="1">IF(M24=0,0,VLOOKUP(P24,TSS_換券投組!B:E,4,FALSE))</f>
        <v>0</v>
      </c>
      <c r="U24" s="825">
        <f ca="1">IF(M24=0,0,VLOOKUP(P24,TSS_換券投組!B:Y,24,FALSE))</f>
        <v>0</v>
      </c>
      <c r="V24" s="596" t="e">
        <f ca="1">VLOOKUP(P24,'銀行-TSS'!B:W,22,FALSE)</f>
        <v>#N/A</v>
      </c>
    </row>
    <row r="25" spans="3:22">
      <c r="M25" s="960">
        <f t="shared" ca="1" si="3"/>
        <v>0</v>
      </c>
      <c r="N25" s="960" t="e">
        <f ca="1">VLOOKUP(P25,TSS_換券投組!B:D,3,FALSE)</f>
        <v>#N/A</v>
      </c>
      <c r="O25">
        <v>6</v>
      </c>
      <c r="P25" t="str">
        <f ca="1">CHOOSE($P$18,IFERROR(INDEX(TSS_換券投組!B:B,MATCH($O25,TSS_換券投組!AA:AA,0),1),""),IFERROR(INDEX(TSS_換券投組!B:B,MATCH($O25,TSS_換券投組!AC:AC,0),1),""),IFERROR(INDEX(TSS_換券投組!B:B,MATCH($O25,TSS_換券投組!AE:AE,0),1),""))</f>
        <v/>
      </c>
      <c r="Q25" s="1565">
        <f ca="1">IF(M25=0,0,VLOOKUP(P25,TSS_換券投組!B:Q,16,FALSE))</f>
        <v>0</v>
      </c>
      <c r="R25" s="826">
        <f ca="1">IF(M25=0,0,VLOOKUP(P25,TSS_換券投組!B:P,15,FALSE))</f>
        <v>0</v>
      </c>
      <c r="S25" s="248">
        <f ca="1">IF(M25=0,0,VLOOKUP(P25,TSS_換券投組!B:U,20,FALSE))</f>
        <v>0</v>
      </c>
      <c r="T25">
        <f ca="1">IF(M25=0,0,VLOOKUP(P25,TSS_換券投組!B:E,4,FALSE))</f>
        <v>0</v>
      </c>
      <c r="U25" s="825">
        <f ca="1">IF(M25=0,0,VLOOKUP(P25,TSS_換券投組!B:Y,24,FALSE))</f>
        <v>0</v>
      </c>
      <c r="V25" s="596" t="e">
        <f ca="1">VLOOKUP(P25,'銀行-TSS'!B:W,22,FALSE)</f>
        <v>#N/A</v>
      </c>
    </row>
    <row r="26" spans="3:22">
      <c r="F26" s="939"/>
      <c r="M26" s="960">
        <f t="shared" ca="1" si="3"/>
        <v>0</v>
      </c>
      <c r="N26" s="960" t="e">
        <f ca="1">VLOOKUP(P26,TSS_換券投組!B:D,3,FALSE)</f>
        <v>#N/A</v>
      </c>
      <c r="O26">
        <v>7</v>
      </c>
      <c r="P26" t="str">
        <f ca="1">CHOOSE($P$18,IFERROR(INDEX(TSS_換券投組!B:B,MATCH($O26,TSS_換券投組!AA:AA,0),1),""),IFERROR(INDEX(TSS_換券投組!B:B,MATCH($O26,TSS_換券投組!AC:AC,0),1),""),IFERROR(INDEX(TSS_換券投組!B:B,MATCH($O26,TSS_換券投組!AE:AE,0),1),""))</f>
        <v/>
      </c>
      <c r="Q26" s="1565">
        <f ca="1">IF(M26=0,0,VLOOKUP(P26,TSS_換券投組!B:Q,16,FALSE))</f>
        <v>0</v>
      </c>
      <c r="R26" s="826">
        <f ca="1">IF(M26=0,0,VLOOKUP(P26,TSS_換券投組!B:P,15,FALSE))</f>
        <v>0</v>
      </c>
      <c r="S26" s="248">
        <f ca="1">IF(M26=0,0,VLOOKUP(P26,TSS_換券投組!B:U,20,FALSE))</f>
        <v>0</v>
      </c>
      <c r="T26">
        <f ca="1">IF(M26=0,0,VLOOKUP(P26,TSS_換券投組!B:E,4,FALSE))</f>
        <v>0</v>
      </c>
      <c r="U26" s="825">
        <f ca="1">IF(M26=0,0,VLOOKUP(P26,TSS_換券投組!B:Y,24,FALSE))</f>
        <v>0</v>
      </c>
      <c r="V26" s="596" t="e">
        <f ca="1">VLOOKUP(P26,'銀行-TSS'!B:W,22,FALSE)</f>
        <v>#N/A</v>
      </c>
    </row>
    <row r="27" spans="3:22" ht="16" thickBot="1">
      <c r="C27" t="s">
        <v>4302</v>
      </c>
      <c r="F27" t="s">
        <v>4433</v>
      </c>
      <c r="G27" t="s">
        <v>4432</v>
      </c>
      <c r="M27" s="960">
        <f t="shared" ca="1" si="3"/>
        <v>0</v>
      </c>
      <c r="N27" s="960" t="e">
        <f ca="1">VLOOKUP(P27,TSS_換券投組!B:D,3,FALSE)</f>
        <v>#N/A</v>
      </c>
      <c r="O27">
        <v>8</v>
      </c>
      <c r="P27" t="str">
        <f ca="1">CHOOSE($P$18,IFERROR(INDEX(TSS_換券投組!B:B,MATCH($O27,TSS_換券投組!AA:AA,0),1),""),IFERROR(INDEX(TSS_換券投組!B:B,MATCH($O27,TSS_換券投組!AC:AC,0),1),""),IFERROR(INDEX(TSS_換券投組!B:B,MATCH($O27,TSS_換券投組!AE:AE,0),1),""))</f>
        <v/>
      </c>
      <c r="Q27" s="1565">
        <f ca="1">IF(M27=0,0,VLOOKUP(P27,TSS_換券投組!B:Q,16,FALSE))</f>
        <v>0</v>
      </c>
      <c r="R27" s="826">
        <f ca="1">IF(M27=0,0,VLOOKUP(P27,TSS_換券投組!B:P,15,FALSE))</f>
        <v>0</v>
      </c>
      <c r="S27" s="248">
        <f ca="1">IF(M27=0,0,VLOOKUP(P27,TSS_換券投組!B:U,20,FALSE))</f>
        <v>0</v>
      </c>
      <c r="T27">
        <f ca="1">IF(M27=0,0,VLOOKUP(P27,TSS_換券投組!B:E,4,FALSE))</f>
        <v>0</v>
      </c>
      <c r="U27" s="825">
        <f ca="1">IF(M27=0,0,VLOOKUP(P27,TSS_換券投組!B:Y,24,FALSE))</f>
        <v>0</v>
      </c>
      <c r="V27" s="596" t="e">
        <f ca="1">VLOOKUP(P27,'銀行-TSS'!B:W,22,FALSE)</f>
        <v>#N/A</v>
      </c>
    </row>
    <row r="28" spans="3:22">
      <c r="D28" t="str">
        <f>C6</f>
        <v>轉出標的</v>
      </c>
      <c r="E28" t="str">
        <f>G3</f>
        <v>轉入標的</v>
      </c>
      <c r="F28" t="s">
        <v>3718</v>
      </c>
      <c r="G28" s="1579" t="s">
        <v>4053</v>
      </c>
      <c r="H28" s="1580" t="s">
        <v>4060</v>
      </c>
      <c r="I28" s="1580"/>
      <c r="M28" s="960">
        <f t="shared" ca="1" si="3"/>
        <v>0</v>
      </c>
      <c r="N28" s="960" t="e">
        <f ca="1">VLOOKUP(P28,TSS_換券投組!B:D,3,FALSE)</f>
        <v>#N/A</v>
      </c>
      <c r="O28">
        <v>9</v>
      </c>
      <c r="P28" t="str">
        <f ca="1">CHOOSE($P$18,IFERROR(INDEX(TSS_換券投組!B:B,MATCH($O28,TSS_換券投組!AA:AA,0),1),""),IFERROR(INDEX(TSS_換券投組!B:B,MATCH($O28,TSS_換券投組!AC:AC,0),1),""),IFERROR(INDEX(TSS_換券投組!B:B,MATCH($O28,TSS_換券投組!AE:AE,0),1),""))</f>
        <v/>
      </c>
      <c r="Q28" s="1565">
        <f ca="1">IF(M28=0,0,VLOOKUP(P28,TSS_換券投組!B:Q,16,FALSE))</f>
        <v>0</v>
      </c>
      <c r="R28" s="826">
        <f ca="1">IF(M28=0,0,VLOOKUP(P28,TSS_換券投組!B:P,15,FALSE))</f>
        <v>0</v>
      </c>
      <c r="S28" s="248">
        <f ca="1">IF(M28=0,0,VLOOKUP(P28,TSS_換券投組!B:U,20,FALSE))</f>
        <v>0</v>
      </c>
      <c r="T28">
        <f ca="1">IF(M28=0,0,VLOOKUP(P28,TSS_換券投組!B:E,4,FALSE))</f>
        <v>0</v>
      </c>
      <c r="U28" s="825">
        <f ca="1">IF(M28=0,0,VLOOKUP(P28,TSS_換券投組!B:Y,24,FALSE))</f>
        <v>0</v>
      </c>
      <c r="V28" s="596" t="e">
        <f ca="1">VLOOKUP(P28,'銀行-TSS'!B:W,22,FALSE)</f>
        <v>#N/A</v>
      </c>
    </row>
    <row r="29" spans="3:22">
      <c r="C29" t="s">
        <v>3531</v>
      </c>
      <c r="D29" s="827">
        <f ca="1">IFERROR('Tssco-bond portfolio(2)'!AG3,0)</f>
        <v>0</v>
      </c>
      <c r="E29" s="827">
        <f>IFERROR(Change投!AR2,0)</f>
        <v>0</v>
      </c>
      <c r="F29" s="825">
        <f ca="1">IFERROR(MAX(1,D29,E29,G29),1)</f>
        <v>1</v>
      </c>
      <c r="G29" s="1581">
        <f ca="1">MAX(Q47:Q82)</f>
        <v>0</v>
      </c>
      <c r="H29" s="1582" t="str">
        <f ca="1">IF($D$1="TWD",TEXT(G29*$D$23,"#,##0"),TEXT(G29,"#,##0.00"))</f>
        <v>0.00</v>
      </c>
      <c r="I29" s="1580" t="str">
        <f ca="1">IFERROR(INDEX(P20:P31,MATCH(G29,Q20:Q31,0),1),"")</f>
        <v/>
      </c>
      <c r="M29" s="960">
        <f t="shared" ca="1" si="3"/>
        <v>0</v>
      </c>
      <c r="N29" s="960" t="e">
        <f ca="1">VLOOKUP(P29,TSS_換券投組!B:D,3,FALSE)</f>
        <v>#N/A</v>
      </c>
      <c r="O29">
        <v>10</v>
      </c>
      <c r="P29" t="str">
        <f ca="1">CHOOSE($P$18,IFERROR(INDEX(TSS_換券投組!B:B,MATCH($O29,TSS_換券投組!AA:AA,0),1),""),IFERROR(INDEX(TSS_換券投組!B:B,MATCH($O29,TSS_換券投組!AC:AC,0),1),""),IFERROR(INDEX(TSS_換券投組!B:B,MATCH($O29,TSS_換券投組!AE:AE,0),1),""))</f>
        <v/>
      </c>
      <c r="Q29" s="1565">
        <f ca="1">IF(M29=0,0,VLOOKUP(P29,TSS_換券投組!B:Q,16,FALSE))</f>
        <v>0</v>
      </c>
      <c r="R29" s="826">
        <f ca="1">IF(M29=0,0,VLOOKUP(P29,TSS_換券投組!B:P,15,FALSE))</f>
        <v>0</v>
      </c>
      <c r="S29" s="248">
        <f ca="1">IF(M29=0,0,VLOOKUP(P29,TSS_換券投組!B:U,20,FALSE))</f>
        <v>0</v>
      </c>
      <c r="T29">
        <f ca="1">IF(M29=0,0,VLOOKUP(P29,TSS_換券投組!B:E,4,FALSE))</f>
        <v>0</v>
      </c>
      <c r="U29" s="825">
        <f ca="1">IF(M29=0,0,VLOOKUP(P29,TSS_換券投組!B:Y,24,FALSE))</f>
        <v>0</v>
      </c>
      <c r="V29" s="596" t="e">
        <f ca="1">VLOOKUP(P29,'銀行-TSS'!B:W,22,FALSE)</f>
        <v>#N/A</v>
      </c>
    </row>
    <row r="30" spans="3:22">
      <c r="C30" t="s">
        <v>3532</v>
      </c>
      <c r="D30" s="830">
        <f ca="1">IFERROR(D10,0)</f>
        <v>0</v>
      </c>
      <c r="E30" s="830">
        <f>IF(E29=0,0,IFERROR(Change投!AC2,0))</f>
        <v>0</v>
      </c>
      <c r="F30" s="825">
        <f t="shared" ref="F30:F33" ca="1" si="4">IFERROR(MAX(1,D30,E30,G30),1)</f>
        <v>1</v>
      </c>
      <c r="G30" s="1583">
        <f ca="1">MAX(R47:R82)</f>
        <v>0</v>
      </c>
      <c r="H30" s="1584">
        <f ca="1">G30</f>
        <v>0</v>
      </c>
      <c r="I30" s="1580" t="str">
        <f ca="1">IFERROR(INDEX(P20:P31,MATCH(G30,R20:R31,0),1),"")</f>
        <v/>
      </c>
      <c r="M30" s="960">
        <f t="shared" ca="1" si="3"/>
        <v>0</v>
      </c>
      <c r="N30" s="960" t="e">
        <f ca="1">VLOOKUP(P30,TSS_換券投組!B:D,3,FALSE)</f>
        <v>#N/A</v>
      </c>
      <c r="O30">
        <v>11</v>
      </c>
      <c r="P30" t="str">
        <f ca="1">CHOOSE($P$18,IFERROR(INDEX(TSS_換券投組!B:B,MATCH($O30,TSS_換券投組!AA:AA,0),1),""),IFERROR(INDEX(TSS_換券投組!B:B,MATCH($O30,TSS_換券投組!AC:AC,0),1),""),IFERROR(INDEX(TSS_換券投組!B:B,MATCH($O30,TSS_換券投組!AE:AE,0),1),""))</f>
        <v/>
      </c>
      <c r="Q30" s="1565">
        <f ca="1">IF(M30=0,0,VLOOKUP(P30,TSS_換券投組!B:Q,16,FALSE))</f>
        <v>0</v>
      </c>
      <c r="R30" s="826">
        <f ca="1">IF(M30=0,0,VLOOKUP(P30,TSS_換券投組!B:P,15,FALSE))</f>
        <v>0</v>
      </c>
      <c r="S30" s="248">
        <f ca="1">IF(M30=0,0,VLOOKUP(P30,TSS_換券投組!B:U,20,FALSE))</f>
        <v>0</v>
      </c>
      <c r="T30">
        <f ca="1">IF(M30=0,0,VLOOKUP(P30,TSS_換券投組!B:E,4,FALSE))</f>
        <v>0</v>
      </c>
      <c r="U30" s="825">
        <f ca="1">IF(M30=0,0,VLOOKUP(P30,TSS_換券投組!B:Y,24,FALSE))</f>
        <v>0</v>
      </c>
      <c r="V30" s="596" t="e">
        <f ca="1">VLOOKUP(P30,'銀行-TSS'!B:W,22,FALSE)</f>
        <v>#N/A</v>
      </c>
    </row>
    <row r="31" spans="3:22">
      <c r="C31" t="s">
        <v>3533</v>
      </c>
      <c r="D31" s="838">
        <f ca="1">IFERROR(D9,0)</f>
        <v>0</v>
      </c>
      <c r="E31" s="838">
        <f ca="1">IFERROR(Change投!M2,0)</f>
        <v>0</v>
      </c>
      <c r="F31" s="940">
        <f ca="1">IFERROR(MAX(0.001,D31,E31,G31),0.001)</f>
        <v>1E-3</v>
      </c>
      <c r="G31" s="1585">
        <f ca="1">MAX(S47:S82)</f>
        <v>0</v>
      </c>
      <c r="H31" s="1586">
        <f ca="1">G31</f>
        <v>0</v>
      </c>
      <c r="I31" s="1580" t="str">
        <f ca="1">IFERROR(INDEX(P20:P31,MATCH(G31,S20:S31,0),1),"")</f>
        <v/>
      </c>
      <c r="M31" s="960">
        <f t="shared" ca="1" si="3"/>
        <v>0</v>
      </c>
      <c r="N31" s="960" t="e">
        <f ca="1">VLOOKUP(P31,TSS_換券投組!B:D,3,FALSE)</f>
        <v>#N/A</v>
      </c>
      <c r="O31">
        <v>12</v>
      </c>
      <c r="P31" t="str">
        <f ca="1">CHOOSE($P$18,IFERROR(INDEX(TSS_換券投組!B:B,MATCH($O31,TSS_換券投組!AA:AA,0),1),""),IFERROR(INDEX(TSS_換券投組!B:B,MATCH($O31,TSS_換券投組!AC:AC,0),1),""),IFERROR(INDEX(TSS_換券投組!B:B,MATCH($O31,TSS_換券投組!AE:AE,0),1),""))</f>
        <v/>
      </c>
      <c r="Q31" s="1565">
        <f ca="1">IF(M31=0,0,VLOOKUP(P31,TSS_換券投組!B:Q,16,FALSE))</f>
        <v>0</v>
      </c>
      <c r="R31" s="826">
        <f ca="1">IF(M31=0,0,VLOOKUP(P31,TSS_換券投組!B:P,15,FALSE))</f>
        <v>0</v>
      </c>
      <c r="S31" s="248">
        <f ca="1">IF(M31=0,0,VLOOKUP(P31,TSS_換券投組!B:U,20,FALSE))</f>
        <v>0</v>
      </c>
      <c r="T31">
        <f ca="1">IF(M31=0,0,VLOOKUP(P31,TSS_換券投組!B:E,4,FALSE))</f>
        <v>0</v>
      </c>
      <c r="U31" s="825">
        <f ca="1">IF(M31=0,0,VLOOKUP(P31,TSS_換券投組!B:Y,24,FALSE))</f>
        <v>0</v>
      </c>
      <c r="V31" s="596" t="e">
        <f ca="1">VLOOKUP(P31,'銀行-TSS'!B:W,22,FALSE)</f>
        <v>#N/A</v>
      </c>
    </row>
    <row r="32" spans="3:22">
      <c r="C32" t="s">
        <v>207</v>
      </c>
      <c r="D32">
        <f ca="1">IFERROR('Tssco-bond portfolio(2)'!M3,0)</f>
        <v>0</v>
      </c>
      <c r="E32">
        <f ca="1">IFERROR(Change投!V2,0)</f>
        <v>0</v>
      </c>
      <c r="F32" s="825">
        <f t="shared" ca="1" si="4"/>
        <v>1</v>
      </c>
      <c r="G32" s="1656">
        <f ca="1">MAX(T47:T82)</f>
        <v>0</v>
      </c>
      <c r="H32" s="1582" t="str">
        <f ca="1">CONCATENATE(G32,"年")</f>
        <v>0年</v>
      </c>
      <c r="I32" s="1580" t="str">
        <f ca="1">IFERROR(INDEX(P20:P31,MATCH(G32,T20:T31,0),1),"")</f>
        <v/>
      </c>
      <c r="P32" s="179"/>
    </row>
    <row r="33" spans="3:22" ht="27" thickBot="1">
      <c r="C33" s="837" t="s">
        <v>3534</v>
      </c>
      <c r="D33" s="1560">
        <f ca="1">IFERROR(ROUND('Tssco-bond portfolio(2)'!DO3,2),0)</f>
        <v>0</v>
      </c>
      <c r="E33" s="825">
        <f>IFERROR(ROUND(Change投!AO2,2),0)</f>
        <v>0</v>
      </c>
      <c r="F33" s="825">
        <f t="shared" ca="1" si="4"/>
        <v>1</v>
      </c>
      <c r="G33" s="1657">
        <f ca="1">MAX(U47:U82)</f>
        <v>0</v>
      </c>
      <c r="H33" s="1582" t="str">
        <f ca="1">IF($D$1="TWD",TEXT(G33*$D$23,"#,##0"),TEXT(G33,"#,##0.00"))</f>
        <v>0.00</v>
      </c>
      <c r="I33" s="1580" t="str">
        <f ca="1">IFERROR(INDEX(P20:P31,MATCH(G33,U20:U31,0),1),"")</f>
        <v/>
      </c>
      <c r="P33" s="179"/>
    </row>
    <row r="34" spans="3:22">
      <c r="C34" t="s">
        <v>3538</v>
      </c>
      <c r="O34" t="s">
        <v>4133</v>
      </c>
      <c r="P34" t="s">
        <v>3554</v>
      </c>
      <c r="Q34" s="179" t="s">
        <v>3752</v>
      </c>
      <c r="R34" t="s">
        <v>4055</v>
      </c>
      <c r="S34" t="s">
        <v>4056</v>
      </c>
      <c r="T34" t="s">
        <v>1317</v>
      </c>
      <c r="U34" t="s">
        <v>3729</v>
      </c>
      <c r="V34" s="1026" t="s">
        <v>510</v>
      </c>
    </row>
    <row r="35" spans="3:22">
      <c r="C35" t="s">
        <v>3540</v>
      </c>
      <c r="D35" s="1115">
        <f ca="1">IF($D$4=0,0,IFERROR('Tssco-bond portfolio(2)'!AF1,0))</f>
        <v>0</v>
      </c>
      <c r="E35" s="1115">
        <f ca="1">IF(OR($D$4=0,$G$4=0),0,IFERROR(Change投!AF1,0))</f>
        <v>0</v>
      </c>
      <c r="F35">
        <f ca="1">IFERROR(IF($D$4=0,1,MIN(11,MAX(D36,E36))),1)</f>
        <v>1</v>
      </c>
      <c r="O35">
        <v>1</v>
      </c>
      <c r="P35">
        <f t="shared" ref="P35:P40" si="5">R8</f>
        <v>0</v>
      </c>
      <c r="Q35" s="1565" t="e">
        <f ca="1">VLOOKUP(P35,TSS_換券投組!B:Q,16,FALSE)</f>
        <v>#N/A</v>
      </c>
      <c r="R35" s="826" t="e">
        <f ca="1">VLOOKUP(P35,TSS_換券投組!B:P,15,FALSE)</f>
        <v>#N/A</v>
      </c>
      <c r="S35" s="248">
        <f ca="1">VLOOKUP(P35,TSS_換券投組!B:U,20,FALSE)</f>
        <v>0</v>
      </c>
      <c r="T35" t="e">
        <f ca="1">VLOOKUP(P35,TSS_換券投組!B:E,4,FALSE)</f>
        <v>#N/A</v>
      </c>
      <c r="U35" s="825">
        <f ca="1">VLOOKUP(P35,TSS_換券投組!B:Y,24,FALSE)</f>
        <v>0</v>
      </c>
      <c r="V35" s="596" t="e">
        <f ca="1">VLOOKUP(P35,'銀行-TSS'!B:W,22,FALSE)</f>
        <v>#N/A</v>
      </c>
    </row>
    <row r="36" spans="3:22">
      <c r="C36" t="s">
        <v>3541</v>
      </c>
      <c r="D36">
        <f ca="1">IF($D$4=0,0,'Tssco-bond portfolio(2)'!AE1)</f>
        <v>0</v>
      </c>
      <c r="E36">
        <f ca="1">IF(OR($D$4=0,$G$4=0),0,Change投!AE1)</f>
        <v>0</v>
      </c>
      <c r="O36">
        <v>2</v>
      </c>
      <c r="P36">
        <f t="shared" si="5"/>
        <v>0</v>
      </c>
      <c r="Q36" s="1565" t="e">
        <f ca="1">VLOOKUP(P36,TSS_換券投組!B:Q,16,FALSE)</f>
        <v>#N/A</v>
      </c>
      <c r="R36" s="826" t="e">
        <f ca="1">VLOOKUP(P36,TSS_換券投組!B:P,15,FALSE)</f>
        <v>#N/A</v>
      </c>
      <c r="S36" s="248">
        <f ca="1">VLOOKUP(P36,TSS_換券投組!B:U,20,FALSE)</f>
        <v>0</v>
      </c>
      <c r="T36" t="e">
        <f ca="1">VLOOKUP(P36,TSS_換券投組!B:E,4,FALSE)</f>
        <v>#N/A</v>
      </c>
      <c r="U36" s="825">
        <f ca="1">VLOOKUP(P36,TSS_換券投組!B:Y,24,FALSE)</f>
        <v>0</v>
      </c>
      <c r="V36" s="596" t="e">
        <f ca="1">VLOOKUP(P36,'銀行-TSS'!B:W,22,FALSE)</f>
        <v>#N/A</v>
      </c>
    </row>
    <row r="37" spans="3:22" ht="16.5" customHeight="1">
      <c r="D37" s="1100" t="str">
        <f ca="1">CONCATENATE(TEXT(D35,"#0"),"種產業")</f>
        <v>0種產業</v>
      </c>
      <c r="E37" s="947" t="str">
        <f ca="1">CONCATENATE(TEXT(E35,"#0"),"種產業")</f>
        <v>0種產業</v>
      </c>
      <c r="O37">
        <v>3</v>
      </c>
      <c r="P37">
        <f t="shared" si="5"/>
        <v>0</v>
      </c>
      <c r="Q37" s="1565" t="e">
        <f ca="1">VLOOKUP(P37,TSS_換券投組!B:Q,16,FALSE)</f>
        <v>#N/A</v>
      </c>
      <c r="R37" s="826" t="e">
        <f ca="1">VLOOKUP(P37,TSS_換券投組!B:P,15,FALSE)</f>
        <v>#N/A</v>
      </c>
      <c r="S37" s="248">
        <f ca="1">VLOOKUP(P37,TSS_換券投組!B:U,20,FALSE)</f>
        <v>0</v>
      </c>
      <c r="T37" t="e">
        <f ca="1">VLOOKUP(P37,TSS_換券投組!B:E,4,FALSE)</f>
        <v>#N/A</v>
      </c>
      <c r="U37" s="825">
        <f ca="1">VLOOKUP(P37,TSS_換券投組!B:Y,24,FALSE)</f>
        <v>0</v>
      </c>
      <c r="V37" s="596" t="e">
        <f ca="1">VLOOKUP(P37,'銀行-TSS'!B:W,22,FALSE)</f>
        <v>#N/A</v>
      </c>
    </row>
    <row r="38" spans="3:22" ht="16.5" customHeight="1">
      <c r="D38" s="1103"/>
      <c r="E38" s="947"/>
      <c r="O38">
        <v>4</v>
      </c>
      <c r="P38">
        <f t="shared" si="5"/>
        <v>0</v>
      </c>
      <c r="Q38" s="1565" t="e">
        <f ca="1">VLOOKUP(P38,TSS_換券投組!B:Q,16,FALSE)</f>
        <v>#N/A</v>
      </c>
      <c r="R38" s="826" t="e">
        <f ca="1">VLOOKUP(P38,TSS_換券投組!B:P,15,FALSE)</f>
        <v>#N/A</v>
      </c>
      <c r="S38" s="248">
        <f ca="1">VLOOKUP(P38,TSS_換券投組!B:U,20,FALSE)</f>
        <v>0</v>
      </c>
      <c r="T38" t="e">
        <f ca="1">VLOOKUP(P38,TSS_換券投組!B:E,4,FALSE)</f>
        <v>#N/A</v>
      </c>
      <c r="U38" s="825">
        <f ca="1">VLOOKUP(P38,TSS_換券投組!B:Y,24,FALSE)</f>
        <v>0</v>
      </c>
      <c r="V38" s="596" t="e">
        <f ca="1">VLOOKUP(P38,'銀行-TSS'!B:W,22,FALSE)</f>
        <v>#N/A</v>
      </c>
    </row>
    <row r="39" spans="3:22" ht="16.5" customHeight="1">
      <c r="D39" s="1103"/>
      <c r="E39" s="947"/>
      <c r="O39">
        <v>5</v>
      </c>
      <c r="P39">
        <f t="shared" si="5"/>
        <v>0</v>
      </c>
      <c r="Q39" s="1565" t="e">
        <f ca="1">VLOOKUP(P39,TSS_換券投組!B:Q,16,FALSE)</f>
        <v>#N/A</v>
      </c>
      <c r="R39" s="826" t="e">
        <f ca="1">VLOOKUP(P39,TSS_換券投組!B:P,15,FALSE)</f>
        <v>#N/A</v>
      </c>
      <c r="S39" s="248">
        <f ca="1">VLOOKUP(P39,TSS_換券投組!B:U,20,FALSE)</f>
        <v>0</v>
      </c>
      <c r="T39" t="e">
        <f ca="1">VLOOKUP(P39,TSS_換券投組!B:E,4,FALSE)</f>
        <v>#N/A</v>
      </c>
      <c r="U39" s="825">
        <f ca="1">VLOOKUP(P39,TSS_換券投組!B:Y,24,FALSE)</f>
        <v>0</v>
      </c>
      <c r="V39" s="596" t="e">
        <f ca="1">VLOOKUP(P39,'銀行-TSS'!B:W,22,FALSE)</f>
        <v>#N/A</v>
      </c>
    </row>
    <row r="40" spans="3:22" ht="16.5" customHeight="1">
      <c r="D40" s="1103"/>
      <c r="E40" s="947"/>
      <c r="O40">
        <v>6</v>
      </c>
      <c r="P40">
        <f t="shared" si="5"/>
        <v>0</v>
      </c>
      <c r="Q40" s="1565" t="e">
        <f ca="1">VLOOKUP(P40,TSS_換券投組!B:Q,16,FALSE)</f>
        <v>#N/A</v>
      </c>
      <c r="R40" s="826" t="e">
        <f ca="1">VLOOKUP(P40,TSS_換券投組!B:P,15,FALSE)</f>
        <v>#N/A</v>
      </c>
      <c r="S40" s="248">
        <f ca="1">VLOOKUP(P40,TSS_換券投組!B:U,20,FALSE)</f>
        <v>0</v>
      </c>
      <c r="T40" t="e">
        <f ca="1">VLOOKUP(P40,TSS_換券投組!B:E,4,FALSE)</f>
        <v>#N/A</v>
      </c>
      <c r="U40" s="825">
        <f ca="1">VLOOKUP(P40,TSS_換券投組!B:Y,24,FALSE)</f>
        <v>0</v>
      </c>
      <c r="V40" s="596" t="e">
        <f ca="1">VLOOKUP(P40,'銀行-TSS'!B:W,22,FALSE)</f>
        <v>#N/A</v>
      </c>
    </row>
    <row r="41" spans="3:22" ht="16.5" customHeight="1" thickBot="1">
      <c r="C41" t="s">
        <v>4317</v>
      </c>
      <c r="D41" s="1551">
        <f ca="1">'Tssco-bond portfolio(2)'!BX1</f>
        <v>10831864.5711</v>
      </c>
      <c r="E41" s="947"/>
      <c r="Q41" s="1111"/>
      <c r="R41" s="826"/>
      <c r="S41" s="248"/>
      <c r="V41" s="596"/>
    </row>
    <row r="42" spans="3:22" ht="16.5" customHeight="1" thickBot="1">
      <c r="C42" s="1018" t="s">
        <v>4318</v>
      </c>
      <c r="D42" s="1561">
        <f ca="1">D41/D23</f>
        <v>333483.09999999998</v>
      </c>
      <c r="E42" s="947"/>
      <c r="Q42" s="1111"/>
      <c r="R42" s="826"/>
      <c r="S42" s="248"/>
      <c r="V42" s="596"/>
    </row>
    <row r="43" spans="3:22" ht="16.5" customHeight="1" thickBot="1">
      <c r="C43" t="s">
        <v>4312</v>
      </c>
      <c r="D43" s="1195" t="s">
        <v>4316</v>
      </c>
      <c r="Q43" s="1111"/>
      <c r="R43" s="826"/>
      <c r="S43" s="248"/>
      <c r="V43" s="596"/>
    </row>
    <row r="44" spans="3:22" ht="16.5" customHeight="1">
      <c r="D44" t="str">
        <f>庫存管理!Q152</f>
        <v>原庫存組合</v>
      </c>
      <c r="E44" t="str">
        <f>庫存管理!T152</f>
        <v>新庫存組合</v>
      </c>
      <c r="F44" s="1028" t="s">
        <v>4053</v>
      </c>
      <c r="P44" s="179"/>
    </row>
    <row r="45" spans="3:22" ht="16.5" customHeight="1">
      <c r="C45" t="s">
        <v>4315</v>
      </c>
      <c r="D45" s="827">
        <f ca="1">IFERROR('Tssco-bond portfolio(2)'!AG1,0)</f>
        <v>533500.42500000005</v>
      </c>
      <c r="E45" s="827">
        <f>IFERROR(IF($G$4=0,0,Change投!AR1),0)</f>
        <v>0</v>
      </c>
      <c r="F45" s="1113">
        <f ca="1">MAX(Q101:Q178)</f>
        <v>528871.88250000007</v>
      </c>
      <c r="G45" t="str">
        <f ca="1">IFERROR(INDEX(P101:P178,MATCH(F45,Q101:Q178,0),1),"")</f>
        <v>XH750</v>
      </c>
      <c r="N45" s="1653" t="s">
        <v>4429</v>
      </c>
      <c r="O45" s="1654"/>
      <c r="P45" s="1655"/>
      <c r="Q45" s="1654"/>
      <c r="R45" s="1654"/>
      <c r="S45" s="1654"/>
      <c r="T45" s="1654"/>
      <c r="U45" s="1654"/>
      <c r="V45" s="1654"/>
    </row>
    <row r="46" spans="3:22" ht="16.5" customHeight="1">
      <c r="C46" t="s">
        <v>4314</v>
      </c>
      <c r="D46" s="830">
        <f ca="1">IFERROR('Tssco-bond portfolio(2)'!BU1,0)</f>
        <v>12992400</v>
      </c>
      <c r="E46" s="830">
        <f>IF($G$4=0,0,IFERROR(Change投!AK1,0))</f>
        <v>0</v>
      </c>
      <c r="F46" s="1569">
        <f ca="1">MAX(R101:R178)*$D$23</f>
        <v>17929512</v>
      </c>
      <c r="G46" t="str">
        <f ca="1">IFERROR(INDEX(P101:P178,MATCH(MAX(R101:R178),R101:R178,0),1),"")</f>
        <v>XG300</v>
      </c>
      <c r="O46" t="s">
        <v>4424</v>
      </c>
      <c r="P46" s="179" t="s">
        <v>4425</v>
      </c>
      <c r="Q46" t="s">
        <v>3752</v>
      </c>
      <c r="R46" t="s">
        <v>4055</v>
      </c>
      <c r="S46" t="s">
        <v>4056</v>
      </c>
      <c r="T46" t="s">
        <v>1317</v>
      </c>
      <c r="U46" t="s">
        <v>4430</v>
      </c>
    </row>
    <row r="47" spans="3:22" ht="16.5" customHeight="1">
      <c r="C47" t="s">
        <v>3533</v>
      </c>
      <c r="D47" s="838">
        <f ca="1">IFERROR('Tssco-bond portfolio(2)'!CI1,0)</f>
        <v>5.2922917854043447E-2</v>
      </c>
      <c r="E47" s="838">
        <f>IFERROR(IF($G$4=0,0,Change投!M1),0)</f>
        <v>0</v>
      </c>
      <c r="F47" s="1114">
        <f ca="1">MAX(S101:S178)</f>
        <v>5.11E-2</v>
      </c>
      <c r="G47" t="str">
        <f ca="1">IFERROR(INDEX(P101:P178,MATCH(F47,S101:S178,0),1),"")</f>
        <v>XH040</v>
      </c>
      <c r="N47" s="1850" t="s">
        <v>4426</v>
      </c>
      <c r="O47">
        <v>1</v>
      </c>
      <c r="P47" s="1301" t="str">
        <f ca="1">IFERROR(INDEX(TSS_換券投組!B:B,MATCH(O47,TSS_換券投組!AA:AA,0),1),"")</f>
        <v/>
      </c>
      <c r="Q47" s="825">
        <f ca="1">IFERROR(VLOOKUP(P47,TSS_換券投組!B:Q,16,FALSE),0)</f>
        <v>0</v>
      </c>
      <c r="R47" s="826">
        <f ca="1">IFERROR(VLOOKUP(P47,TSS_換券投組!B:P,15,FALSE),0)</f>
        <v>0</v>
      </c>
      <c r="S47" s="940">
        <f ca="1">IFERROR(VLOOKUP(P47,TSS_換券投組!B:U,20,FALSE),0)</f>
        <v>0</v>
      </c>
      <c r="T47" s="1112">
        <f ca="1">IFERROR(VLOOKUP(P47,TSS_換券投組!B:E,4,FALSE),0)</f>
        <v>0</v>
      </c>
      <c r="U47" s="825">
        <f ca="1">IFERROR(VLOOKUP(P47,TSS_換券投組!B:Y,24,FALSE),0)</f>
        <v>0</v>
      </c>
    </row>
    <row r="48" spans="3:22" ht="16.5" customHeight="1">
      <c r="C48" t="s">
        <v>207</v>
      </c>
      <c r="D48">
        <f ca="1">IFERROR('Tssco-bond portfolio(2)'!M1,0)</f>
        <v>29.87620481927711</v>
      </c>
      <c r="E48">
        <f>IFERROR(IF($G$4=0,0,Change投!V1),0)</f>
        <v>0</v>
      </c>
      <c r="F48" s="1029">
        <f ca="1">MAX(T101:T178)</f>
        <v>36.119999999999997</v>
      </c>
      <c r="G48" t="str">
        <f ca="1">IFERROR(INDEX(P101:P178,MATCH(F48,T101:T178,0),1),"")</f>
        <v>XG300</v>
      </c>
      <c r="N48" s="1850"/>
      <c r="O48">
        <v>2</v>
      </c>
      <c r="P48" s="1301" t="str">
        <f ca="1">IFERROR(INDEX(TSS_換券投組!B:B,MATCH(O48,TSS_換券投組!AA:AA,0),1),"")</f>
        <v/>
      </c>
      <c r="Q48" s="825">
        <f ca="1">IFERROR(VLOOKUP(P48,TSS_換券投組!B:Q,16,FALSE),0)</f>
        <v>0</v>
      </c>
      <c r="R48" s="826">
        <f ca="1">IFERROR(VLOOKUP(P48,TSS_換券投組!B:P,15,FALSE),0)</f>
        <v>0</v>
      </c>
      <c r="S48" s="940">
        <f ca="1">IFERROR(VLOOKUP(P48,TSS_換券投組!B:U,20,FALSE),0)</f>
        <v>0</v>
      </c>
      <c r="T48" s="1112">
        <f ca="1">IFERROR(VLOOKUP(P48,TSS_換券投組!B:E,4,FALSE),0)</f>
        <v>0</v>
      </c>
      <c r="U48" s="825">
        <f ca="1">IFERROR(VLOOKUP(P48,TSS_換券投組!B:Y,24,FALSE),0)</f>
        <v>0</v>
      </c>
    </row>
    <row r="49" spans="3:37" ht="29.25" customHeight="1" thickBot="1">
      <c r="C49" s="837" t="s">
        <v>4313</v>
      </c>
      <c r="D49" s="825">
        <f ca="1">IFERROR(ROUND('Tssco-bond portfolio(2)'!DO1,2),0)</f>
        <v>1717836.09</v>
      </c>
      <c r="E49" s="825">
        <f>IFERROR(IF($G$4=0,0,ROUND(Change投!AO1,2)),0)</f>
        <v>0</v>
      </c>
      <c r="F49" s="1544">
        <f ca="1">MAX(U101:U178)</f>
        <v>2005587.3807091587</v>
      </c>
      <c r="G49" t="str">
        <f ca="1">IFERROR(INDEX(P101:P178,MATCH(F49,U101:U178,0),1),"")</f>
        <v>XG300</v>
      </c>
      <c r="N49" s="1850"/>
      <c r="O49">
        <v>3</v>
      </c>
      <c r="P49" s="1301" t="str">
        <f ca="1">IFERROR(INDEX(TSS_換券投組!B:B,MATCH(O49,TSS_換券投組!AA:AA,0),1),"")</f>
        <v/>
      </c>
      <c r="Q49" s="825">
        <f ca="1">IFERROR(VLOOKUP(P49,TSS_換券投組!B:Q,16,FALSE),0)</f>
        <v>0</v>
      </c>
      <c r="R49" s="826">
        <f ca="1">IFERROR(VLOOKUP(P49,TSS_換券投組!B:P,15,FALSE),0)</f>
        <v>0</v>
      </c>
      <c r="S49" s="940">
        <f ca="1">IFERROR(VLOOKUP(P49,TSS_換券投組!B:U,20,FALSE),0)</f>
        <v>0</v>
      </c>
      <c r="T49" s="1112">
        <f ca="1">IFERROR(VLOOKUP(P49,TSS_換券投組!B:E,4,FALSE),0)</f>
        <v>0</v>
      </c>
      <c r="U49" s="825">
        <f ca="1">IFERROR(VLOOKUP(P49,TSS_換券投組!B:Y,24,FALSE),0)</f>
        <v>0</v>
      </c>
    </row>
    <row r="50" spans="3:37" ht="16.5" customHeight="1">
      <c r="N50" s="1850"/>
      <c r="O50">
        <v>4</v>
      </c>
      <c r="P50" s="1301" t="str">
        <f ca="1">IFERROR(INDEX(TSS_換券投組!B:B,MATCH(O50,TSS_換券投組!AA:AA,0),1),"")</f>
        <v/>
      </c>
      <c r="Q50" s="825">
        <f ca="1">IFERROR(VLOOKUP(P50,TSS_換券投組!B:Q,16,FALSE),0)</f>
        <v>0</v>
      </c>
      <c r="R50" s="826">
        <f ca="1">IFERROR(VLOOKUP(P50,TSS_換券投組!B:P,15,FALSE),0)</f>
        <v>0</v>
      </c>
      <c r="S50" s="940">
        <f ca="1">IFERROR(VLOOKUP(P50,TSS_換券投組!B:U,20,FALSE),0)</f>
        <v>0</v>
      </c>
      <c r="T50" s="1112">
        <f ca="1">IFERROR(VLOOKUP(P50,TSS_換券投組!B:E,4,FALSE),0)</f>
        <v>0</v>
      </c>
      <c r="U50" s="825">
        <f ca="1">IFERROR(VLOOKUP(P50,TSS_換券投組!B:Y,24,FALSE),0)</f>
        <v>0</v>
      </c>
    </row>
    <row r="51" spans="3:37" ht="16.5" customHeight="1" thickBot="1">
      <c r="D51" s="1115"/>
      <c r="E51" s="1115"/>
      <c r="N51" s="1850"/>
      <c r="O51">
        <v>5</v>
      </c>
      <c r="P51" s="1301" t="str">
        <f ca="1">IFERROR(INDEX(TSS_換券投組!B:B,MATCH(O51,TSS_換券投組!AA:AA,0),1),"")</f>
        <v/>
      </c>
      <c r="Q51" s="825">
        <f ca="1">IFERROR(VLOOKUP(P51,TSS_換券投組!B:Q,16,FALSE),0)</f>
        <v>0</v>
      </c>
      <c r="R51" s="826">
        <f ca="1">IFERROR(VLOOKUP(P51,TSS_換券投組!B:P,15,FALSE),0)</f>
        <v>0</v>
      </c>
      <c r="S51" s="940">
        <f ca="1">IFERROR(VLOOKUP(P51,TSS_換券投組!B:U,20,FALSE),0)</f>
        <v>0</v>
      </c>
      <c r="T51" s="1112">
        <f ca="1">IFERROR(VLOOKUP(P51,TSS_換券投組!B:E,4,FALSE),0)</f>
        <v>0</v>
      </c>
      <c r="U51" s="825">
        <f ca="1">IFERROR(VLOOKUP(P51,TSS_換券投組!B:Y,24,FALSE),0)</f>
        <v>0</v>
      </c>
    </row>
    <row r="52" spans="3:37" ht="16.5" customHeight="1">
      <c r="C52" s="874" t="str">
        <f ca="1">CONCATENATE("年領利息(",$D$1,")")</f>
        <v>年領利息(USD)</v>
      </c>
      <c r="D52" s="1566">
        <f ca="1">IF($D$1="TWD",D45,D45/$D$23)</f>
        <v>16425</v>
      </c>
      <c r="E52" s="1567">
        <f ca="1">IF($D$1="TWD",E45,E45/$D$23)</f>
        <v>0</v>
      </c>
      <c r="N52" s="1850"/>
      <c r="O52">
        <v>6</v>
      </c>
      <c r="P52" s="1301" t="str">
        <f ca="1">IFERROR(INDEX(TSS_換券投組!B:B,MATCH(O52,TSS_換券投組!AA:AA,0),1),"")</f>
        <v/>
      </c>
      <c r="Q52" s="825">
        <f ca="1">IFERROR(VLOOKUP(P52,TSS_換券投組!B:Q,16,FALSE),0)</f>
        <v>0</v>
      </c>
      <c r="R52" s="826">
        <f ca="1">IFERROR(VLOOKUP(P52,TSS_換券投組!B:P,15,FALSE),0)</f>
        <v>0</v>
      </c>
      <c r="S52" s="940">
        <f ca="1">IFERROR(VLOOKUP(P52,TSS_換券投組!B:U,20,FALSE),0)</f>
        <v>0</v>
      </c>
      <c r="T52" s="1112">
        <f ca="1">IFERROR(VLOOKUP(P52,TSS_換券投組!B:E,4,FALSE),0)</f>
        <v>0</v>
      </c>
      <c r="U52" s="825">
        <f ca="1">IFERROR(VLOOKUP(P52,TSS_換券投組!B:Y,24,FALSE),0)</f>
        <v>0</v>
      </c>
    </row>
    <row r="53" spans="3:37" ht="16.5" customHeight="1" thickBot="1">
      <c r="C53" s="1128" t="str">
        <f ca="1">CONCATENATE("增值潛力(",$D$1,")")</f>
        <v>增值潛力(USD)</v>
      </c>
      <c r="D53" s="1568">
        <f ca="1">IF($D$1="TWD",D49,D49/$D$23)</f>
        <v>52887.413872725592</v>
      </c>
      <c r="E53" s="1481">
        <f ca="1">IF($D$1="TWD",E49,E49/$D$23)</f>
        <v>0</v>
      </c>
      <c r="N53" s="1850"/>
      <c r="O53">
        <v>7</v>
      </c>
      <c r="P53" s="1301" t="str">
        <f ca="1">IFERROR(INDEX(TSS_換券投組!B:B,MATCH(O53,TSS_換券投組!AA:AA,0),1),"")</f>
        <v/>
      </c>
      <c r="Q53" s="825">
        <f ca="1">IFERROR(VLOOKUP(P53,TSS_換券投組!B:Q,16,FALSE),0)</f>
        <v>0</v>
      </c>
      <c r="R53" s="826">
        <f ca="1">IFERROR(VLOOKUP(P53,TSS_換券投組!B:P,15,FALSE),0)</f>
        <v>0</v>
      </c>
      <c r="S53" s="940">
        <f ca="1">IFERROR(VLOOKUP(P53,TSS_換券投組!B:U,20,FALSE),0)</f>
        <v>0</v>
      </c>
      <c r="T53" s="1112">
        <f ca="1">IFERROR(VLOOKUP(P53,TSS_換券投組!B:E,4,FALSE),0)</f>
        <v>0</v>
      </c>
      <c r="U53" s="825">
        <f ca="1">IFERROR(VLOOKUP(P53,TSS_換券投組!B:Y,24,FALSE),0)</f>
        <v>0</v>
      </c>
    </row>
    <row r="54" spans="3:37" ht="16.5" customHeight="1">
      <c r="D54" s="1103"/>
      <c r="E54" s="947"/>
      <c r="N54" s="1850"/>
      <c r="O54">
        <v>8</v>
      </c>
      <c r="P54" s="1301" t="str">
        <f ca="1">IFERROR(INDEX(TSS_換券投組!B:B,MATCH(O54,TSS_換券投組!AA:AA,0),1),"")</f>
        <v/>
      </c>
      <c r="Q54" s="825">
        <f ca="1">IFERROR(VLOOKUP(P54,TSS_換券投組!B:Q,16,FALSE),0)</f>
        <v>0</v>
      </c>
      <c r="R54" s="826">
        <f ca="1">IFERROR(VLOOKUP(P54,TSS_換券投組!B:P,15,FALSE),0)</f>
        <v>0</v>
      </c>
      <c r="S54" s="940">
        <f ca="1">IFERROR(VLOOKUP(P54,TSS_換券投組!B:U,20,FALSE),0)</f>
        <v>0</v>
      </c>
      <c r="T54" s="1112">
        <f ca="1">IFERROR(VLOOKUP(P54,TSS_換券投組!B:E,4,FALSE),0)</f>
        <v>0</v>
      </c>
      <c r="U54" s="825">
        <f ca="1">IFERROR(VLOOKUP(P54,TSS_換券投組!B:Y,24,FALSE),0)</f>
        <v>0</v>
      </c>
    </row>
    <row r="55" spans="3:37" ht="16.5" customHeight="1">
      <c r="D55" s="1103"/>
      <c r="E55" s="947"/>
      <c r="N55" s="1850"/>
      <c r="O55">
        <v>9</v>
      </c>
      <c r="P55" s="1301" t="str">
        <f ca="1">IFERROR(INDEX(TSS_換券投組!B:B,MATCH(O55,TSS_換券投組!AA:AA,0),1),"")</f>
        <v/>
      </c>
      <c r="Q55" s="825">
        <f ca="1">IFERROR(VLOOKUP(P55,TSS_換券投組!B:Q,16,FALSE),0)</f>
        <v>0</v>
      </c>
      <c r="R55" s="826">
        <f ca="1">IFERROR(VLOOKUP(P55,TSS_換券投組!B:P,15,FALSE),0)</f>
        <v>0</v>
      </c>
      <c r="S55" s="940">
        <f ca="1">IFERROR(VLOOKUP(P55,TSS_換券投組!B:U,20,FALSE),0)</f>
        <v>0</v>
      </c>
      <c r="T55" s="1112">
        <f ca="1">IFERROR(VLOOKUP(P55,TSS_換券投組!B:E,4,FALSE),0)</f>
        <v>0</v>
      </c>
      <c r="U55" s="825">
        <f ca="1">IFERROR(VLOOKUP(P55,TSS_換券投組!B:Y,24,FALSE),0)</f>
        <v>0</v>
      </c>
    </row>
    <row r="56" spans="3:37" ht="16.5" customHeight="1">
      <c r="D56" s="1103"/>
      <c r="E56" s="947"/>
      <c r="N56" s="1850"/>
      <c r="O56">
        <v>10</v>
      </c>
      <c r="P56" s="1301" t="str">
        <f ca="1">IFERROR(INDEX(TSS_換券投組!B:B,MATCH(O56,TSS_換券投組!AA:AA,0),1),"")</f>
        <v/>
      </c>
      <c r="Q56" s="825">
        <f ca="1">IFERROR(VLOOKUP(P56,TSS_換券投組!B:Q,16,FALSE),0)</f>
        <v>0</v>
      </c>
      <c r="R56" s="826">
        <f ca="1">IFERROR(VLOOKUP(P56,TSS_換券投組!B:P,15,FALSE),0)</f>
        <v>0</v>
      </c>
      <c r="S56" s="940">
        <f ca="1">IFERROR(VLOOKUP(P56,TSS_換券投組!B:U,20,FALSE),0)</f>
        <v>0</v>
      </c>
      <c r="T56" s="1112">
        <f ca="1">IFERROR(VLOOKUP(P56,TSS_換券投組!B:E,4,FALSE),0)</f>
        <v>0</v>
      </c>
      <c r="U56" s="825">
        <f ca="1">IFERROR(VLOOKUP(P56,TSS_換券投組!B:Y,24,FALSE),0)</f>
        <v>0</v>
      </c>
    </row>
    <row r="57" spans="3:37" ht="16.5" customHeight="1">
      <c r="D57" s="1103"/>
      <c r="E57" s="947"/>
      <c r="N57" s="1850"/>
      <c r="O57">
        <v>11</v>
      </c>
      <c r="P57" s="1301" t="str">
        <f ca="1">IFERROR(INDEX(TSS_換券投組!B:B,MATCH(O57,TSS_換券投組!AA:AA,0),1),"")</f>
        <v/>
      </c>
      <c r="Q57" s="825">
        <f ca="1">IFERROR(VLOOKUP(P57,TSS_換券投組!B:Q,16,FALSE),0)</f>
        <v>0</v>
      </c>
      <c r="R57" s="826">
        <f ca="1">IFERROR(VLOOKUP(P57,TSS_換券投組!B:P,15,FALSE),0)</f>
        <v>0</v>
      </c>
      <c r="S57" s="940">
        <f ca="1">IFERROR(VLOOKUP(P57,TSS_換券投組!B:U,20,FALSE),0)</f>
        <v>0</v>
      </c>
      <c r="T57" s="1112">
        <f ca="1">IFERROR(VLOOKUP(P57,TSS_換券投組!B:E,4,FALSE),0)</f>
        <v>0</v>
      </c>
      <c r="U57" s="825">
        <f ca="1">IFERROR(VLOOKUP(P57,TSS_換券投組!B:Y,24,FALSE),0)</f>
        <v>0</v>
      </c>
    </row>
    <row r="58" spans="3:37" ht="16.5" customHeight="1">
      <c r="D58" s="1103"/>
      <c r="E58" s="947"/>
      <c r="N58" s="1850"/>
      <c r="O58">
        <v>12</v>
      </c>
      <c r="P58" s="1301" t="str">
        <f ca="1">IFERROR(INDEX(TSS_換券投組!B:B,MATCH(O58,TSS_換券投組!AA:AA,0),1),"")</f>
        <v/>
      </c>
      <c r="Q58" s="825">
        <f ca="1">IFERROR(VLOOKUP(P58,TSS_換券投組!B:Q,16,FALSE),0)</f>
        <v>0</v>
      </c>
      <c r="R58" s="826">
        <f ca="1">IFERROR(VLOOKUP(P58,TSS_換券投組!B:P,15,FALSE),0)</f>
        <v>0</v>
      </c>
      <c r="S58" s="940">
        <f ca="1">IFERROR(VLOOKUP(P58,TSS_換券投組!B:U,20,FALSE),0)</f>
        <v>0</v>
      </c>
      <c r="T58" s="1112">
        <f ca="1">IFERROR(VLOOKUP(P58,TSS_換券投組!B:E,4,FALSE),0)</f>
        <v>0</v>
      </c>
      <c r="U58" s="825">
        <f ca="1">IFERROR(VLOOKUP(P58,TSS_換券投組!B:Y,24,FALSE),0)</f>
        <v>0</v>
      </c>
      <c r="AJ58" t="e">
        <f ca="1">(AF64-AJ64)/AK64</f>
        <v>#N/A</v>
      </c>
    </row>
    <row r="59" spans="3:37" ht="16.5" customHeight="1">
      <c r="D59" s="1103"/>
      <c r="E59" s="947"/>
      <c r="N59" s="1850" t="s">
        <v>4427</v>
      </c>
      <c r="O59">
        <v>1</v>
      </c>
      <c r="P59" s="1301" t="str">
        <f ca="1">IFERROR(INDEX(TSS_換券投組!B:B,MATCH(O59,TSS_換券投組!AC:AC,0),1),"")</f>
        <v/>
      </c>
      <c r="Q59" s="825">
        <f ca="1">IFERROR(VLOOKUP(P59,TSS_換券投組!B:Q,16,FALSE),0)</f>
        <v>0</v>
      </c>
      <c r="R59" s="826">
        <f ca="1">IFERROR(VLOOKUP(P59,TSS_換券投組!B:P,15,FALSE),0)</f>
        <v>0</v>
      </c>
      <c r="S59" s="940">
        <f ca="1">IFERROR(VLOOKUP(P59,TSS_換券投組!B:U,20,FALSE),0)</f>
        <v>0</v>
      </c>
      <c r="T59" s="1112">
        <f ca="1">IFERROR(VLOOKUP(P59,TSS_換券投組!B:E,4,FALSE),0)</f>
        <v>0</v>
      </c>
      <c r="U59" s="825">
        <f ca="1">IFERROR(VLOOKUP(P59,TSS_換券投組!B:Y,24,FALSE),0)</f>
        <v>0</v>
      </c>
      <c r="AJ59" s="979" t="e">
        <f ca="1">MOD(AF64-AJ64,AK64)</f>
        <v>#N/A</v>
      </c>
    </row>
    <row r="60" spans="3:37" ht="16.5" customHeight="1">
      <c r="C60" t="s">
        <v>4059</v>
      </c>
      <c r="D60" s="1103"/>
      <c r="E60" s="947"/>
      <c r="N60" s="1850"/>
      <c r="O60">
        <v>2</v>
      </c>
      <c r="P60" s="1301" t="str">
        <f ca="1">IFERROR(INDEX(TSS_換券投組!B:B,MATCH(O60,TSS_換券投組!AC:AC,0),1),"")</f>
        <v/>
      </c>
      <c r="Q60" s="825">
        <f ca="1">IFERROR(VLOOKUP(P60,TSS_換券投組!B:Q,16,FALSE),0)</f>
        <v>0</v>
      </c>
      <c r="R60" s="826">
        <f ca="1">IFERROR(VLOOKUP(P60,TSS_換券投組!B:P,15,FALSE),0)</f>
        <v>0</v>
      </c>
      <c r="S60" s="940">
        <f ca="1">IFERROR(VLOOKUP(P60,TSS_換券投組!B:U,20,FALSE),0)</f>
        <v>0</v>
      </c>
      <c r="T60" s="1112">
        <f ca="1">IFERROR(VLOOKUP(P60,TSS_換券投組!B:E,4,FALSE),0)</f>
        <v>0</v>
      </c>
      <c r="U60" s="825">
        <f ca="1">IFERROR(VLOOKUP(P60,TSS_換券投組!B:Y,24,FALSE),0)</f>
        <v>0</v>
      </c>
    </row>
    <row r="61" spans="3:37" ht="16.5" customHeight="1" thickBot="1">
      <c r="C61" s="503">
        <v>5</v>
      </c>
      <c r="D61" s="1103" t="str">
        <f>D44</f>
        <v>原庫存組合</v>
      </c>
      <c r="E61" s="947" t="str">
        <f>E44</f>
        <v>新庫存組合</v>
      </c>
      <c r="N61" s="1850"/>
      <c r="O61">
        <v>3</v>
      </c>
      <c r="P61" s="1301" t="str">
        <f ca="1">IFERROR(INDEX(TSS_換券投組!B:B,MATCH(O61,TSS_換券投組!AC:AC,0),1),"")</f>
        <v/>
      </c>
      <c r="Q61" s="825">
        <f ca="1">IFERROR(VLOOKUP(P61,TSS_換券投組!B:Q,16,FALSE),0)</f>
        <v>0</v>
      </c>
      <c r="R61" s="826">
        <f ca="1">IFERROR(VLOOKUP(P61,TSS_換券投組!B:P,15,FALSE),0)</f>
        <v>0</v>
      </c>
      <c r="S61" s="940">
        <f ca="1">IFERROR(VLOOKUP(P61,TSS_換券投組!B:U,20,FALSE),0)</f>
        <v>0</v>
      </c>
      <c r="T61" s="1112">
        <f ca="1">IFERROR(VLOOKUP(P61,TSS_換券投組!B:E,4,FALSE),0)</f>
        <v>0</v>
      </c>
      <c r="U61" s="825">
        <f ca="1">IFERROR(VLOOKUP(P61,TSS_換券投組!B:Y,24,FALSE),0)</f>
        <v>0</v>
      </c>
      <c r="AG61" s="1614" t="s">
        <v>4388</v>
      </c>
      <c r="AH61" t="s">
        <v>4271</v>
      </c>
      <c r="AI61" s="1101">
        <f ca="1">SUM(AI64:AI69)</f>
        <v>0</v>
      </c>
      <c r="AJ61" s="1101"/>
      <c r="AK61" s="1101"/>
    </row>
    <row r="62" spans="3:37" ht="16.5" customHeight="1" thickBot="1">
      <c r="C62" t="str">
        <f ca="1">IF(G45&lt;&gt;"",CONCATENATE("年領利息"&amp;CHAR(10)&amp;"("&amp;G45&amp;")"),"年領利息")</f>
        <v>年領利息
(XH750)</v>
      </c>
      <c r="D62" s="1120">
        <f ca="1">IF(D45&gt;$F$45,$C$61,(D45-0)/($F$45-0)*$C$61)</f>
        <v>5</v>
      </c>
      <c r="E62" s="1120">
        <f ca="1">IF(E45&gt;$F$45,$C$61,(E45-0)/($F$45-0)*$C$61)</f>
        <v>0</v>
      </c>
      <c r="N62" s="1850"/>
      <c r="O62">
        <v>4</v>
      </c>
      <c r="P62" s="1301" t="str">
        <f ca="1">IFERROR(INDEX(TSS_換券投組!B:B,MATCH(O62,TSS_換券投組!AC:AC,0),1),"")</f>
        <v/>
      </c>
      <c r="Q62" s="825">
        <f ca="1">IFERROR(VLOOKUP(P62,TSS_換券投組!B:Q,16,FALSE),0)</f>
        <v>0</v>
      </c>
      <c r="R62" s="826">
        <f ca="1">IFERROR(VLOOKUP(P62,TSS_換券投組!B:P,15,FALSE),0)</f>
        <v>0</v>
      </c>
      <c r="S62" s="940">
        <f ca="1">IFERROR(VLOOKUP(P62,TSS_換券投組!B:U,20,FALSE),0)</f>
        <v>0</v>
      </c>
      <c r="T62" s="1112">
        <f ca="1">IFERROR(VLOOKUP(P62,TSS_換券投組!B:E,4,FALSE),0)</f>
        <v>0</v>
      </c>
      <c r="U62" s="825">
        <f ca="1">IFERROR(VLOOKUP(P62,TSS_換券投組!B:Y,24,FALSE),0)</f>
        <v>0</v>
      </c>
      <c r="AD62" s="1610">
        <f>COUNTIF(AD64:AD69,"&lt;&gt;0")</f>
        <v>0</v>
      </c>
      <c r="AE62" s="1610" t="str">
        <f>CONCATENATE(AD64,AD65,AD66,AD67,AD68,AD69)</f>
        <v>000000</v>
      </c>
      <c r="AF62" s="1615">
        <f ca="1">多檔換券Max!N14</f>
        <v>0</v>
      </c>
      <c r="AG62" s="1610">
        <v>2</v>
      </c>
      <c r="AH62" t="s">
        <v>4272</v>
      </c>
      <c r="AI62" s="1102">
        <f ca="1">D17-AI61</f>
        <v>0</v>
      </c>
      <c r="AJ62" s="1102"/>
      <c r="AK62" s="1102"/>
    </row>
    <row r="63" spans="3:37" ht="16.5" customHeight="1">
      <c r="C63" t="str">
        <f ca="1">IF(G46&lt;&gt;"",CONCATENATE("面額"&amp;CHAR(10)&amp;"("&amp;G46&amp;")"),"面額")</f>
        <v>面額
(XG300)</v>
      </c>
      <c r="D63" s="1120">
        <f ca="1">IF(D46&gt;$F$46,$C$61,(D46-0)/($F$46-0)*$C$61)</f>
        <v>3.6231884057971016</v>
      </c>
      <c r="E63" s="1120">
        <f ca="1">IF(E46&gt;$F$46,$C$61,(E46-0)/($F$46-0)*$C$61)</f>
        <v>0</v>
      </c>
      <c r="N63" s="1850"/>
      <c r="O63">
        <v>5</v>
      </c>
      <c r="P63" s="1301" t="str">
        <f ca="1">IFERROR(INDEX(TSS_換券投組!B:B,MATCH(O63,TSS_換券投組!AC:AC,0),1),"")</f>
        <v/>
      </c>
      <c r="Q63" s="825">
        <f ca="1">IFERROR(VLOOKUP(P63,TSS_換券投組!B:Q,16,FALSE),0)</f>
        <v>0</v>
      </c>
      <c r="R63" s="826">
        <f ca="1">IFERROR(VLOOKUP(P63,TSS_換券投組!B:P,15,FALSE),0)</f>
        <v>0</v>
      </c>
      <c r="S63" s="940">
        <f ca="1">IFERROR(VLOOKUP(P63,TSS_換券投組!B:U,20,FALSE),0)</f>
        <v>0</v>
      </c>
      <c r="T63" s="1112">
        <f ca="1">IFERROR(VLOOKUP(P63,TSS_換券投組!B:E,4,FALSE),0)</f>
        <v>0</v>
      </c>
      <c r="U63" s="825">
        <f ca="1">IFERROR(VLOOKUP(P63,TSS_換券投組!B:Y,24,FALSE),0)</f>
        <v>0</v>
      </c>
      <c r="AC63" t="s">
        <v>4481</v>
      </c>
      <c r="AD63" s="874" t="s">
        <v>4268</v>
      </c>
      <c r="AE63" s="1477" t="s">
        <v>4110</v>
      </c>
      <c r="AF63" s="1612" t="s">
        <v>4386</v>
      </c>
      <c r="AG63" s="1026" t="s">
        <v>4269</v>
      </c>
      <c r="AH63" s="1026" t="s">
        <v>4270</v>
      </c>
      <c r="AI63" s="875" t="s">
        <v>4266</v>
      </c>
      <c r="AJ63" t="s">
        <v>4254</v>
      </c>
      <c r="AK63" t="s">
        <v>74</v>
      </c>
    </row>
    <row r="64" spans="3:37" ht="16.5" customHeight="1">
      <c r="C64" t="str">
        <f ca="1">IF(G47&lt;&gt;"",CONCATENATE("殖利率"&amp;CHAR(10)&amp;"("&amp;G47&amp;")"),"殖利率")</f>
        <v>殖利率
(XH040)</v>
      </c>
      <c r="D64" s="1120">
        <f ca="1">IF(D47&gt;$F$47,$C$61,(D47-0)/($F$47-0)*$C$61)</f>
        <v>5</v>
      </c>
      <c r="E64" s="1120">
        <f ca="1">IF(E47&gt;$F$47,$C$61,(E47-0)/($F$47-0)*$C$61)</f>
        <v>0</v>
      </c>
      <c r="N64" s="1850"/>
      <c r="O64">
        <v>6</v>
      </c>
      <c r="P64" s="1301" t="str">
        <f ca="1">IFERROR(INDEX(TSS_換券投組!B:B,MATCH(O64,TSS_換券投組!AC:AC,0),1),"")</f>
        <v/>
      </c>
      <c r="Q64" s="825">
        <f ca="1">IFERROR(VLOOKUP(P64,TSS_換券投組!B:Q,16,FALSE),0)</f>
        <v>0</v>
      </c>
      <c r="R64" s="826">
        <f ca="1">IFERROR(VLOOKUP(P64,TSS_換券投組!B:P,15,FALSE),0)</f>
        <v>0</v>
      </c>
      <c r="S64" s="940">
        <f ca="1">IFERROR(VLOOKUP(P64,TSS_換券投組!B:U,20,FALSE),0)</f>
        <v>0</v>
      </c>
      <c r="T64" s="1112">
        <f ca="1">IFERROR(VLOOKUP(P64,TSS_換券投組!B:E,4,FALSE),0)</f>
        <v>0</v>
      </c>
      <c r="U64" s="825">
        <f ca="1">IFERROR(VLOOKUP(P64,TSS_換券投組!B:Y,24,FALSE),0)</f>
        <v>0</v>
      </c>
      <c r="AC64" t="e">
        <f ca="1">VLOOKUP(AD64,TSS_換券投組!B:D,3,FALSE)</f>
        <v>#N/A</v>
      </c>
      <c r="AD64" s="1020">
        <f>庫存管理!AI98</f>
        <v>0</v>
      </c>
      <c r="AE64" s="1478" t="e">
        <f ca="1">VLOOKUP(AD64,'銀行-TSS'!B:D,3,FALSE)</f>
        <v>#N/A</v>
      </c>
      <c r="AF64" s="1613">
        <f ca="1">IFERROR(多檔換券Max!M7,0)</f>
        <v>0</v>
      </c>
      <c r="AG64" s="1119">
        <v>362000</v>
      </c>
      <c r="AH64">
        <f ca="1">Change投!U7</f>
        <v>0</v>
      </c>
      <c r="AI64" s="1480">
        <f t="shared" ref="AI64:AI69" ca="1" si="6">IFERROR(AH64/100*AG64,0)</f>
        <v>0</v>
      </c>
      <c r="AJ64" s="1102" t="e">
        <f ca="1">VLOOKUP(AD64,'銀行-TSS'!B:N,13,FALSE)</f>
        <v>#N/A</v>
      </c>
      <c r="AK64" s="1102" t="e">
        <f ca="1">VLOOKUP(AD64,'銀行-TSS'!B:O,14,FALSE)</f>
        <v>#N/A</v>
      </c>
    </row>
    <row r="65" spans="1:37" ht="16.5" customHeight="1">
      <c r="C65" t="str">
        <f ca="1">IF(G48&lt;&gt;"",CONCATENATE("剩餘年期"&amp;CHAR(10)&amp;"("&amp;G48&amp;")"),"剩餘年期")</f>
        <v>剩餘年期
(XG300)</v>
      </c>
      <c r="D65" s="1120">
        <f ca="1">IF(D48&gt;$F$48,$C$61,(D48-0)/($F$48-0)*$C$61)</f>
        <v>4.135687267341793</v>
      </c>
      <c r="E65" s="1120">
        <f ca="1">IF(E48&gt;$F$48,$C$61,(E48-0)/($F$48-0)*$C$61)</f>
        <v>0</v>
      </c>
      <c r="N65" s="1850"/>
      <c r="O65">
        <v>7</v>
      </c>
      <c r="P65" s="1301" t="str">
        <f ca="1">IFERROR(INDEX(TSS_換券投組!B:B,MATCH(O65,TSS_換券投組!AC:AC,0),1),"")</f>
        <v/>
      </c>
      <c r="Q65" s="825">
        <f ca="1">IFERROR(VLOOKUP(P65,TSS_換券投組!B:Q,16,FALSE),0)</f>
        <v>0</v>
      </c>
      <c r="R65" s="826">
        <f ca="1">IFERROR(VLOOKUP(P65,TSS_換券投組!B:P,15,FALSE),0)</f>
        <v>0</v>
      </c>
      <c r="S65" s="940">
        <f ca="1">IFERROR(VLOOKUP(P65,TSS_換券投組!B:U,20,FALSE),0)</f>
        <v>0</v>
      </c>
      <c r="T65" s="1112">
        <f ca="1">IFERROR(VLOOKUP(P65,TSS_換券投組!B:E,4,FALSE),0)</f>
        <v>0</v>
      </c>
      <c r="U65" s="825">
        <f ca="1">IFERROR(VLOOKUP(P65,TSS_換券投組!B:Y,24,FALSE),0)</f>
        <v>0</v>
      </c>
      <c r="AC65" t="e">
        <f ca="1">VLOOKUP(AD65,TSS_換券投組!B:D,3,FALSE)</f>
        <v>#N/A</v>
      </c>
      <c r="AD65" s="1020">
        <f>庫存管理!AI99</f>
        <v>0</v>
      </c>
      <c r="AE65" s="1478" t="e">
        <f ca="1">VLOOKUP(庫存管理!AI99,'銀行-TSS'!B:D,3,FALSE)</f>
        <v>#N/A</v>
      </c>
      <c r="AF65" s="1613">
        <f ca="1">IFERROR(多檔換券Max!M8,0)</f>
        <v>0</v>
      </c>
      <c r="AG65" s="1119"/>
      <c r="AH65">
        <f ca="1">Change投!U8</f>
        <v>0</v>
      </c>
      <c r="AI65" s="1480">
        <f t="shared" ca="1" si="6"/>
        <v>0</v>
      </c>
      <c r="AJ65" s="1102" t="e">
        <f ca="1">VLOOKUP(AD65,'銀行-TSS'!B:N,13,FALSE)</f>
        <v>#N/A</v>
      </c>
      <c r="AK65" s="1102" t="e">
        <f ca="1">VLOOKUP(AD65,'銀行-TSS'!B:O,14,FALSE)</f>
        <v>#N/A</v>
      </c>
    </row>
    <row r="66" spans="1:37" ht="16.5" customHeight="1">
      <c r="C66" t="str">
        <f ca="1">IF(G49&lt;&gt;"",CONCATENATE("增值潛力"&amp;CHAR(10)&amp;"("&amp;G49&amp;")"),"增值潛力")</f>
        <v>增值潛力
(XG300)</v>
      </c>
      <c r="D66" s="1120">
        <f ca="1">IF(D49&gt;$F$49,$C$61,(D49-0)/($F$49-0)*$C$61)</f>
        <v>4.2826258943466922</v>
      </c>
      <c r="E66" s="1120">
        <f ca="1">IF(E49&gt;$F$49,$C$61,(E49-0)/($F$49-0)*$C$61)</f>
        <v>0</v>
      </c>
      <c r="N66" s="1850"/>
      <c r="O66">
        <v>8</v>
      </c>
      <c r="P66" s="1301" t="str">
        <f ca="1">IFERROR(INDEX(TSS_換券投組!B:B,MATCH(O66,TSS_換券投組!AC:AC,0),1),"")</f>
        <v/>
      </c>
      <c r="Q66" s="825">
        <f ca="1">IFERROR(VLOOKUP(P66,TSS_換券投組!B:Q,16,FALSE),0)</f>
        <v>0</v>
      </c>
      <c r="R66" s="826">
        <f ca="1">IFERROR(VLOOKUP(P66,TSS_換券投組!B:P,15,FALSE),0)</f>
        <v>0</v>
      </c>
      <c r="S66" s="940">
        <f ca="1">IFERROR(VLOOKUP(P66,TSS_換券投組!B:U,20,FALSE),0)</f>
        <v>0</v>
      </c>
      <c r="T66" s="1112">
        <f ca="1">IFERROR(VLOOKUP(P66,TSS_換券投組!B:E,4,FALSE),0)</f>
        <v>0</v>
      </c>
      <c r="U66" s="825">
        <f ca="1">IFERROR(VLOOKUP(P66,TSS_換券投組!B:Y,24,FALSE),0)</f>
        <v>0</v>
      </c>
      <c r="AC66" t="e">
        <f ca="1">VLOOKUP(AD66,TSS_換券投組!B:D,3,FALSE)</f>
        <v>#N/A</v>
      </c>
      <c r="AD66" s="1020">
        <f>庫存管理!AI100</f>
        <v>0</v>
      </c>
      <c r="AE66" s="1478" t="e">
        <f ca="1">VLOOKUP(庫存管理!AI100,'銀行-TSS'!B:D,3,FALSE)</f>
        <v>#N/A</v>
      </c>
      <c r="AF66" s="1613">
        <f ca="1">IFERROR(多檔換券Max!M9,0)</f>
        <v>0</v>
      </c>
      <c r="AG66" s="1119">
        <v>210000</v>
      </c>
      <c r="AH66">
        <f ca="1">Change投!U9</f>
        <v>0</v>
      </c>
      <c r="AI66" s="1480">
        <f t="shared" ca="1" si="6"/>
        <v>0</v>
      </c>
      <c r="AJ66" s="1102" t="e">
        <f ca="1">VLOOKUP(AD66,'銀行-TSS'!B:N,13,FALSE)</f>
        <v>#N/A</v>
      </c>
      <c r="AK66" s="1102" t="e">
        <f ca="1">VLOOKUP(AD66,'銀行-TSS'!B:O,14,FALSE)</f>
        <v>#N/A</v>
      </c>
    </row>
    <row r="67" spans="1:37" ht="16.5" customHeight="1">
      <c r="D67" s="1103"/>
      <c r="E67" s="947"/>
      <c r="N67" s="1850"/>
      <c r="O67">
        <v>9</v>
      </c>
      <c r="P67" s="1301" t="str">
        <f ca="1">IFERROR(INDEX(TSS_換券投組!B:B,MATCH(O67,TSS_換券投組!AC:AC,0),1),"")</f>
        <v/>
      </c>
      <c r="Q67" s="825">
        <f ca="1">IFERROR(VLOOKUP(P67,TSS_換券投組!B:Q,16,FALSE),0)</f>
        <v>0</v>
      </c>
      <c r="R67" s="826">
        <f ca="1">IFERROR(VLOOKUP(P67,TSS_換券投組!B:P,15,FALSE),0)</f>
        <v>0</v>
      </c>
      <c r="S67" s="940">
        <f ca="1">IFERROR(VLOOKUP(P67,TSS_換券投組!B:U,20,FALSE),0)</f>
        <v>0</v>
      </c>
      <c r="T67" s="1112">
        <f ca="1">IFERROR(VLOOKUP(P67,TSS_換券投組!B:E,4,FALSE),0)</f>
        <v>0</v>
      </c>
      <c r="U67" s="825">
        <f ca="1">IFERROR(VLOOKUP(P67,TSS_換券投組!B:Y,24,FALSE),0)</f>
        <v>0</v>
      </c>
      <c r="AC67" t="e">
        <f ca="1">VLOOKUP(AD67,TSS_換券投組!B:D,3,FALSE)</f>
        <v>#N/A</v>
      </c>
      <c r="AD67" s="1020">
        <f>庫存管理!AI101</f>
        <v>0</v>
      </c>
      <c r="AE67" s="1478" t="e">
        <f ca="1">VLOOKUP(庫存管理!AI101,'銀行-TSS'!B:D,3,FALSE)</f>
        <v>#N/A</v>
      </c>
      <c r="AF67" s="1613">
        <f ca="1">IFERROR(多檔換券Max!M10,0)</f>
        <v>0</v>
      </c>
      <c r="AG67" s="1119"/>
      <c r="AH67">
        <f ca="1">Change投!U10</f>
        <v>0</v>
      </c>
      <c r="AI67" s="1480">
        <f t="shared" ca="1" si="6"/>
        <v>0</v>
      </c>
      <c r="AJ67" s="1102" t="e">
        <f ca="1">VLOOKUP(AD67,'銀行-TSS'!B:N,13,FALSE)</f>
        <v>#N/A</v>
      </c>
      <c r="AK67" s="1102" t="e">
        <f ca="1">VLOOKUP(AD67,'銀行-TSS'!B:O,14,FALSE)</f>
        <v>#N/A</v>
      </c>
    </row>
    <row r="68" spans="1:37" ht="16.5" customHeight="1">
      <c r="D68" s="1103"/>
      <c r="E68" s="947"/>
      <c r="N68" s="1850"/>
      <c r="O68">
        <v>10</v>
      </c>
      <c r="P68" s="1301" t="str">
        <f ca="1">IFERROR(INDEX(TSS_換券投組!B:B,MATCH(O68,TSS_換券投組!AC:AC,0),1),"")</f>
        <v/>
      </c>
      <c r="Q68" s="825">
        <f ca="1">IFERROR(VLOOKUP(P68,TSS_換券投組!B:Q,16,FALSE),0)</f>
        <v>0</v>
      </c>
      <c r="R68" s="826">
        <f ca="1">IFERROR(VLOOKUP(P68,TSS_換券投組!B:P,15,FALSE),0)</f>
        <v>0</v>
      </c>
      <c r="S68" s="940">
        <f ca="1">IFERROR(VLOOKUP(P68,TSS_換券投組!B:U,20,FALSE),0)</f>
        <v>0</v>
      </c>
      <c r="T68" s="1112">
        <f ca="1">IFERROR(VLOOKUP(P68,TSS_換券投組!B:E,4,FALSE),0)</f>
        <v>0</v>
      </c>
      <c r="U68" s="825">
        <f ca="1">IFERROR(VLOOKUP(P68,TSS_換券投組!B:Y,24,FALSE),0)</f>
        <v>0</v>
      </c>
      <c r="AC68" t="e">
        <f ca="1">VLOOKUP(AD68,TSS_換券投組!B:D,3,FALSE)</f>
        <v>#N/A</v>
      </c>
      <c r="AD68" s="1020">
        <f>庫存管理!AI102</f>
        <v>0</v>
      </c>
      <c r="AE68" s="1478" t="e">
        <f ca="1">VLOOKUP(庫存管理!AI102,'銀行-TSS'!B:D,3,FALSE)</f>
        <v>#N/A</v>
      </c>
      <c r="AF68" s="1613">
        <f ca="1">IFERROR(多檔換券Max!M11,0)</f>
        <v>0</v>
      </c>
      <c r="AG68" s="1119"/>
      <c r="AH68">
        <f ca="1">Change投!U11</f>
        <v>0</v>
      </c>
      <c r="AI68" s="1480">
        <f t="shared" ca="1" si="6"/>
        <v>0</v>
      </c>
      <c r="AJ68" s="1102" t="e">
        <f ca="1">VLOOKUP(AD68,'銀行-TSS'!B:N,13,FALSE)</f>
        <v>#N/A</v>
      </c>
      <c r="AK68" s="1102" t="e">
        <f ca="1">VLOOKUP(AD68,'銀行-TSS'!B:O,14,FALSE)</f>
        <v>#N/A</v>
      </c>
    </row>
    <row r="69" spans="1:37" ht="16.5" customHeight="1" thickBot="1">
      <c r="D69" s="1103"/>
      <c r="E69" s="947"/>
      <c r="N69" s="1850"/>
      <c r="O69">
        <v>11</v>
      </c>
      <c r="P69" s="1301" t="str">
        <f ca="1">IFERROR(INDEX(TSS_換券投組!B:B,MATCH(O69,TSS_換券投組!AC:AC,0),1),"")</f>
        <v/>
      </c>
      <c r="Q69" s="825">
        <f ca="1">IFERROR(VLOOKUP(P69,TSS_換券投組!B:Q,16,FALSE),0)</f>
        <v>0</v>
      </c>
      <c r="R69" s="826">
        <f ca="1">IFERROR(VLOOKUP(P69,TSS_換券投組!B:P,15,FALSE),0)</f>
        <v>0</v>
      </c>
      <c r="S69" s="940">
        <f ca="1">IFERROR(VLOOKUP(P69,TSS_換券投組!B:U,20,FALSE),0)</f>
        <v>0</v>
      </c>
      <c r="T69" s="1112">
        <f ca="1">IFERROR(VLOOKUP(P69,TSS_換券投組!B:E,4,FALSE),0)</f>
        <v>0</v>
      </c>
      <c r="U69" s="825">
        <f ca="1">IFERROR(VLOOKUP(P69,TSS_換券投組!B:Y,24,FALSE),0)</f>
        <v>0</v>
      </c>
      <c r="AC69" t="e">
        <f ca="1">VLOOKUP(AD69,TSS_換券投組!B:D,3,FALSE)</f>
        <v>#N/A</v>
      </c>
      <c r="AD69" s="1128">
        <f>庫存管理!AI103</f>
        <v>0</v>
      </c>
      <c r="AE69" s="1479" t="e">
        <f ca="1">VLOOKUP(庫存管理!AI103,'銀行-TSS'!B:D,3,FALSE)</f>
        <v>#N/A</v>
      </c>
      <c r="AF69" s="1613">
        <f ca="1">IFERROR(多檔換券Max!M12,0)</f>
        <v>0</v>
      </c>
      <c r="AG69" s="1611"/>
      <c r="AH69" s="1021">
        <f ca="1">Change投!U12</f>
        <v>0</v>
      </c>
      <c r="AI69" s="1481">
        <f t="shared" ca="1" si="6"/>
        <v>0</v>
      </c>
      <c r="AJ69" s="1102" t="e">
        <f ca="1">VLOOKUP(AD69,'銀行-TSS'!B:N,13,FALSE)</f>
        <v>#N/A</v>
      </c>
      <c r="AK69" s="1102" t="e">
        <f ca="1">VLOOKUP(AD69,'銀行-TSS'!B:O,14,FALSE)</f>
        <v>#N/A</v>
      </c>
    </row>
    <row r="70" spans="1:37" ht="16.5" customHeight="1">
      <c r="D70" s="1103"/>
      <c r="E70" s="947"/>
      <c r="N70" s="1850"/>
      <c r="O70">
        <v>12</v>
      </c>
      <c r="P70" s="1301" t="str">
        <f ca="1">IFERROR(INDEX(TSS_換券投組!B:B,MATCH(O70,TSS_換券投組!AC:AC,0),1),"")</f>
        <v/>
      </c>
      <c r="Q70" s="825">
        <f ca="1">IFERROR(VLOOKUP(P70,TSS_換券投組!B:Q,16,FALSE),0)</f>
        <v>0</v>
      </c>
      <c r="R70" s="826">
        <f ca="1">IFERROR(VLOOKUP(P70,TSS_換券投組!B:P,15,FALSE),0)</f>
        <v>0</v>
      </c>
      <c r="S70" s="940">
        <f ca="1">IFERROR(VLOOKUP(P70,TSS_換券投組!B:U,20,FALSE),0)</f>
        <v>0</v>
      </c>
      <c r="T70" s="1112">
        <f ca="1">IFERROR(VLOOKUP(P70,TSS_換券投組!B:E,4,FALSE),0)</f>
        <v>0</v>
      </c>
      <c r="U70" s="825">
        <f ca="1">IFERROR(VLOOKUP(P70,TSS_換券投組!B:Y,24,FALSE),0)</f>
        <v>0</v>
      </c>
    </row>
    <row r="71" spans="1:37" ht="16.5" customHeight="1">
      <c r="D71" s="1103"/>
      <c r="E71" s="947"/>
      <c r="N71" s="1850" t="s">
        <v>4428</v>
      </c>
      <c r="O71">
        <v>1</v>
      </c>
      <c r="P71" s="1301" t="str">
        <f ca="1">IFERROR(INDEX(TSS_換券投組!B:B,MATCH(O71,TSS_換券投組!AE:AE,0),1),"")</f>
        <v/>
      </c>
      <c r="Q71" s="825">
        <f ca="1">IFERROR(VLOOKUP(P71,TSS_換券投組!B:Q,16,FALSE),0)</f>
        <v>0</v>
      </c>
      <c r="R71" s="826">
        <f ca="1">IFERROR(VLOOKUP(P71,TSS_換券投組!B:P,15,FALSE),0)</f>
        <v>0</v>
      </c>
      <c r="S71" s="940">
        <f ca="1">IFERROR(VLOOKUP(P71,TSS_換券投組!B:U,20,FALSE),0)</f>
        <v>0</v>
      </c>
      <c r="T71" s="1112">
        <f ca="1">IFERROR(VLOOKUP(P71,TSS_換券投組!B:E,4,FALSE),0)</f>
        <v>0</v>
      </c>
      <c r="U71" s="825">
        <f ca="1">IFERROR(VLOOKUP(P71,TSS_換券投組!B:Y,24,FALSE),0)</f>
        <v>0</v>
      </c>
    </row>
    <row r="72" spans="1:37" ht="16.5" customHeight="1">
      <c r="D72" s="1103"/>
      <c r="E72" s="947"/>
      <c r="N72" s="1850"/>
      <c r="O72">
        <v>2</v>
      </c>
      <c r="P72" s="1301" t="str">
        <f ca="1">IFERROR(INDEX(TSS_換券投組!B:B,MATCH(O72,TSS_換券投組!AE:AE,0),1),"")</f>
        <v/>
      </c>
      <c r="Q72" s="825">
        <f ca="1">IFERROR(VLOOKUP(P72,TSS_換券投組!B:Q,16,FALSE),0)</f>
        <v>0</v>
      </c>
      <c r="R72" s="826">
        <f ca="1">IFERROR(VLOOKUP(P72,TSS_換券投組!B:P,15,FALSE),0)</f>
        <v>0</v>
      </c>
      <c r="S72" s="940">
        <f ca="1">IFERROR(VLOOKUP(P72,TSS_換券投組!B:U,20,FALSE),0)</f>
        <v>0</v>
      </c>
      <c r="T72" s="1112">
        <f ca="1">IFERROR(VLOOKUP(P72,TSS_換券投組!B:E,4,FALSE),0)</f>
        <v>0</v>
      </c>
      <c r="U72" s="825">
        <f ca="1">IFERROR(VLOOKUP(P72,TSS_換券投組!B:Y,24,FALSE),0)</f>
        <v>0</v>
      </c>
    </row>
    <row r="73" spans="1:37" ht="16.5" customHeight="1">
      <c r="D73" s="1103"/>
      <c r="E73" s="947"/>
      <c r="N73" s="1850"/>
      <c r="O73">
        <v>3</v>
      </c>
      <c r="P73" s="1301" t="str">
        <f ca="1">IFERROR(INDEX(TSS_換券投組!B:B,MATCH(O73,TSS_換券投組!AE:AE,0),1),"")</f>
        <v/>
      </c>
      <c r="Q73" s="825">
        <f ca="1">IFERROR(VLOOKUP(P73,TSS_換券投組!B:Q,16,FALSE),0)</f>
        <v>0</v>
      </c>
      <c r="R73" s="826">
        <f ca="1">IFERROR(VLOOKUP(P73,TSS_換券投組!B:P,15,FALSE),0)</f>
        <v>0</v>
      </c>
      <c r="S73" s="940">
        <f ca="1">IFERROR(VLOOKUP(P73,TSS_換券投組!B:U,20,FALSE),0)</f>
        <v>0</v>
      </c>
      <c r="T73" s="1112">
        <f ca="1">IFERROR(VLOOKUP(P73,TSS_換券投組!B:E,4,FALSE),0)</f>
        <v>0</v>
      </c>
      <c r="U73" s="825">
        <f ca="1">IFERROR(VLOOKUP(P73,TSS_換券投組!B:Y,24,FALSE),0)</f>
        <v>0</v>
      </c>
    </row>
    <row r="74" spans="1:37" ht="16.5" customHeight="1">
      <c r="D74" s="1103"/>
      <c r="E74" s="947"/>
      <c r="N74" s="1850"/>
      <c r="O74">
        <v>4</v>
      </c>
      <c r="P74" s="1301" t="str">
        <f ca="1">IFERROR(INDEX(TSS_換券投組!B:B,MATCH(O74,TSS_換券投組!AE:AE,0),1),"")</f>
        <v/>
      </c>
      <c r="Q74" s="825">
        <f ca="1">IFERROR(VLOOKUP(P74,TSS_換券投組!B:Q,16,FALSE),0)</f>
        <v>0</v>
      </c>
      <c r="R74" s="826">
        <f ca="1">IFERROR(VLOOKUP(P74,TSS_換券投組!B:P,15,FALSE),0)</f>
        <v>0</v>
      </c>
      <c r="S74" s="940">
        <f ca="1">IFERROR(VLOOKUP(P74,TSS_換券投組!B:U,20,FALSE),0)</f>
        <v>0</v>
      </c>
      <c r="T74" s="1112">
        <f ca="1">IFERROR(VLOOKUP(P74,TSS_換券投組!B:E,4,FALSE),0)</f>
        <v>0</v>
      </c>
      <c r="U74" s="825">
        <f ca="1">IFERROR(VLOOKUP(P74,TSS_換券投組!B:Y,24,FALSE),0)</f>
        <v>0</v>
      </c>
    </row>
    <row r="75" spans="1:37" ht="16.5" customHeight="1">
      <c r="D75" s="1103"/>
      <c r="E75" s="947"/>
      <c r="N75" s="1850"/>
      <c r="O75">
        <v>5</v>
      </c>
      <c r="P75" s="1301" t="str">
        <f ca="1">IFERROR(INDEX(TSS_換券投組!B:B,MATCH(O75,TSS_換券投組!AE:AE,0),1),"")</f>
        <v/>
      </c>
      <c r="Q75" s="825">
        <f ca="1">IFERROR(VLOOKUP(P75,TSS_換券投組!B:Q,16,FALSE),0)</f>
        <v>0</v>
      </c>
      <c r="R75" s="826">
        <f ca="1">IFERROR(VLOOKUP(P75,TSS_換券投組!B:P,15,FALSE),0)</f>
        <v>0</v>
      </c>
      <c r="S75" s="940">
        <f ca="1">IFERROR(VLOOKUP(P75,TSS_換券投組!B:U,20,FALSE),0)</f>
        <v>0</v>
      </c>
      <c r="T75" s="1112">
        <f ca="1">IFERROR(VLOOKUP(P75,TSS_換券投組!B:E,4,FALSE),0)</f>
        <v>0</v>
      </c>
      <c r="U75" s="825">
        <f ca="1">IFERROR(VLOOKUP(P75,TSS_換券投組!B:Y,24,FALSE),0)</f>
        <v>0</v>
      </c>
    </row>
    <row r="76" spans="1:37" ht="16.5" customHeight="1">
      <c r="N76" s="1850"/>
      <c r="O76">
        <v>6</v>
      </c>
      <c r="P76" s="1301" t="str">
        <f ca="1">IFERROR(INDEX(TSS_換券投組!B:B,MATCH(O76,TSS_換券投組!AE:AE,0),1),"")</f>
        <v/>
      </c>
      <c r="Q76" s="825">
        <f ca="1">IFERROR(VLOOKUP(P76,TSS_換券投組!B:Q,16,FALSE),0)</f>
        <v>0</v>
      </c>
      <c r="R76" s="826">
        <f ca="1">IFERROR(VLOOKUP(P76,TSS_換券投組!B:P,15,FALSE),0)</f>
        <v>0</v>
      </c>
      <c r="S76" s="940">
        <f ca="1">IFERROR(VLOOKUP(P76,TSS_換券投組!B:U,20,FALSE),0)</f>
        <v>0</v>
      </c>
      <c r="T76" s="1112">
        <f ca="1">IFERROR(VLOOKUP(P76,TSS_換券投組!B:E,4,FALSE),0)</f>
        <v>0</v>
      </c>
      <c r="U76" s="825">
        <f ca="1">IFERROR(VLOOKUP(P76,TSS_換券投組!B:Y,24,FALSE),0)</f>
        <v>0</v>
      </c>
    </row>
    <row r="77" spans="1:37">
      <c r="A77" s="1309">
        <f ca="1">D31</f>
        <v>0</v>
      </c>
      <c r="B77" s="1310">
        <f ca="1">E31</f>
        <v>0</v>
      </c>
      <c r="D77" s="1101" t="str">
        <f>D44</f>
        <v>原庫存組合</v>
      </c>
      <c r="E77" s="1101" t="str">
        <f>E44</f>
        <v>新庫存組合</v>
      </c>
      <c r="F77" t="str">
        <f>CONCATENATE(" ",D77,"+年領利息")</f>
        <v xml:space="preserve"> 原庫存組合+年領利息</v>
      </c>
      <c r="G77" t="str">
        <f>CONCATENATE(" ",E77,"+年領利息")</f>
        <v xml:space="preserve"> 新庫存組合+年領利息</v>
      </c>
      <c r="N77" s="1850"/>
      <c r="O77">
        <v>7</v>
      </c>
      <c r="P77" s="1301" t="str">
        <f ca="1">IFERROR(INDEX(TSS_換券投組!B:B,MATCH(O77,TSS_換券投組!AE:AE,0),1),"")</f>
        <v/>
      </c>
      <c r="Q77" s="825">
        <f ca="1">IFERROR(VLOOKUP(P77,TSS_換券投組!B:Q,16,FALSE),0)</f>
        <v>0</v>
      </c>
      <c r="R77" s="826">
        <f ca="1">IFERROR(VLOOKUP(P77,TSS_換券投組!B:P,15,FALSE),0)</f>
        <v>0</v>
      </c>
      <c r="S77" s="940">
        <f ca="1">IFERROR(VLOOKUP(P77,TSS_換券投組!B:U,20,FALSE),0)</f>
        <v>0</v>
      </c>
      <c r="T77" s="1112">
        <f ca="1">IFERROR(VLOOKUP(P77,TSS_換券投組!B:E,4,FALSE),0)</f>
        <v>0</v>
      </c>
      <c r="U77" s="825">
        <f ca="1">IFERROR(VLOOKUP(P77,TSS_換券投組!B:Y,24,FALSE),0)</f>
        <v>0</v>
      </c>
    </row>
    <row r="78" spans="1:37">
      <c r="A78" s="1099">
        <f t="shared" ref="A78:A83" ca="1" si="7">$A$77+C78</f>
        <v>-0.02</v>
      </c>
      <c r="B78" s="1099">
        <f t="shared" ref="B78:B83" ca="1" si="8">$B$77+C78</f>
        <v>-0.02</v>
      </c>
      <c r="C78" s="1099">
        <v>-0.02</v>
      </c>
      <c r="D78" s="825">
        <f ca="1">IFERROR($D$80*(-1)*$C78*100,0)</f>
        <v>105774.8277454512</v>
      </c>
      <c r="E78" s="825">
        <f>IFERROR(IF($G$4=0,0,$E$80*(-1)*$C78*100),0)</f>
        <v>0</v>
      </c>
      <c r="F78" s="1104">
        <f ca="1">$D$52+D78</f>
        <v>122199.8277454512</v>
      </c>
      <c r="G78" s="1104">
        <f>IF($G$4=0,0,$E$52+E78)</f>
        <v>0</v>
      </c>
      <c r="N78" s="1850"/>
      <c r="O78">
        <v>8</v>
      </c>
      <c r="P78" s="1301" t="str">
        <f ca="1">IFERROR(INDEX(TSS_換券投組!B:B,MATCH(O78,TSS_換券投組!AE:AE,0),1),"")</f>
        <v/>
      </c>
      <c r="Q78" s="825">
        <f ca="1">IFERROR(VLOOKUP(P78,TSS_換券投組!B:Q,16,FALSE),0)</f>
        <v>0</v>
      </c>
      <c r="R78" s="826">
        <f ca="1">IFERROR(VLOOKUP(P78,TSS_換券投組!B:P,15,FALSE),0)</f>
        <v>0</v>
      </c>
      <c r="S78" s="940">
        <f ca="1">IFERROR(VLOOKUP(P78,TSS_換券投組!B:U,20,FALSE),0)</f>
        <v>0</v>
      </c>
      <c r="T78" s="1112">
        <f ca="1">IFERROR(VLOOKUP(P78,TSS_換券投組!B:E,4,FALSE),0)</f>
        <v>0</v>
      </c>
      <c r="U78" s="825">
        <f ca="1">IFERROR(VLOOKUP(P78,TSS_換券投組!B:Y,24,FALSE),0)</f>
        <v>0</v>
      </c>
    </row>
    <row r="79" spans="1:37">
      <c r="A79" s="1099">
        <f t="shared" ca="1" si="7"/>
        <v>-1.4999999999999999E-2</v>
      </c>
      <c r="B79" s="1099">
        <f t="shared" ca="1" si="8"/>
        <v>-1.4999999999999999E-2</v>
      </c>
      <c r="C79" s="1099">
        <v>-1.4999999999999999E-2</v>
      </c>
      <c r="D79" s="825">
        <f ca="1">IFERROR($D$80*(-1)*$C79*100,0)</f>
        <v>79331.120809088388</v>
      </c>
      <c r="E79" s="825">
        <f>IFERROR(IF($G$4=0,0,$E$80*(-1)*$C79*100),0)</f>
        <v>0</v>
      </c>
      <c r="F79" s="1104">
        <f t="shared" ref="F79:F82" ca="1" si="9">$D$52+D79</f>
        <v>95756.120809088388</v>
      </c>
      <c r="G79" s="1104">
        <f t="shared" ref="G79:G82" si="10">IF($G$4=0,0,$E$52+E79)</f>
        <v>0</v>
      </c>
      <c r="N79" s="1850"/>
      <c r="O79">
        <v>9</v>
      </c>
      <c r="P79" s="1301" t="str">
        <f ca="1">IFERROR(INDEX(TSS_換券投組!B:B,MATCH(O79,TSS_換券投組!AE:AE,0),1),"")</f>
        <v/>
      </c>
      <c r="Q79" s="825">
        <f ca="1">IFERROR(VLOOKUP(P79,TSS_換券投組!B:Q,16,FALSE),0)</f>
        <v>0</v>
      </c>
      <c r="R79" s="826">
        <f ca="1">IFERROR(VLOOKUP(P79,TSS_換券投組!B:P,15,FALSE),0)</f>
        <v>0</v>
      </c>
      <c r="S79" s="940">
        <f ca="1">IFERROR(VLOOKUP(P79,TSS_換券投組!B:U,20,FALSE),0)</f>
        <v>0</v>
      </c>
      <c r="T79" s="1112">
        <f ca="1">IFERROR(VLOOKUP(P79,TSS_換券投組!B:E,4,FALSE),0)</f>
        <v>0</v>
      </c>
      <c r="U79" s="825">
        <f ca="1">IFERROR(VLOOKUP(P79,TSS_換券投組!B:Y,24,FALSE),0)</f>
        <v>0</v>
      </c>
    </row>
    <row r="80" spans="1:37">
      <c r="A80" s="1099">
        <f t="shared" ca="1" si="7"/>
        <v>-0.01</v>
      </c>
      <c r="B80" s="1099">
        <f t="shared" ca="1" si="8"/>
        <v>-0.01</v>
      </c>
      <c r="C80" s="1099">
        <v>-0.01</v>
      </c>
      <c r="D80" s="1311">
        <f ca="1">IFERROR(D53,0)</f>
        <v>52887.413872725592</v>
      </c>
      <c r="E80" s="1312">
        <f>IFERROR(IF($G$4=0,0,E53),0)</f>
        <v>0</v>
      </c>
      <c r="F80" s="1104">
        <f t="shared" ca="1" si="9"/>
        <v>69312.413872725592</v>
      </c>
      <c r="G80" s="1104">
        <f t="shared" si="10"/>
        <v>0</v>
      </c>
      <c r="N80" s="1850"/>
      <c r="O80">
        <v>10</v>
      </c>
      <c r="P80" s="1301" t="str">
        <f ca="1">IFERROR(INDEX(TSS_換券投組!B:B,MATCH(O80,TSS_換券投組!AE:AE,0),1),"")</f>
        <v/>
      </c>
      <c r="Q80" s="825">
        <f ca="1">IFERROR(VLOOKUP(P80,TSS_換券投組!B:Q,16,FALSE),0)</f>
        <v>0</v>
      </c>
      <c r="R80" s="826">
        <f ca="1">IFERROR(VLOOKUP(P80,TSS_換券投組!B:P,15,FALSE),0)</f>
        <v>0</v>
      </c>
      <c r="S80" s="940">
        <f ca="1">IFERROR(VLOOKUP(P80,TSS_換券投組!B:U,20,FALSE),0)</f>
        <v>0</v>
      </c>
      <c r="T80" s="1112">
        <f ca="1">IFERROR(VLOOKUP(P80,TSS_換券投組!B:E,4,FALSE),0)</f>
        <v>0</v>
      </c>
      <c r="U80" s="825">
        <f ca="1">IFERROR(VLOOKUP(P80,TSS_換券投組!B:Y,24,FALSE),0)</f>
        <v>0</v>
      </c>
    </row>
    <row r="81" spans="1:21">
      <c r="A81" s="1099">
        <f t="shared" ca="1" si="7"/>
        <v>-5.0000000000000001E-3</v>
      </c>
      <c r="B81" s="1099">
        <f t="shared" ca="1" si="8"/>
        <v>-5.0000000000000001E-3</v>
      </c>
      <c r="C81" s="1099">
        <v>-5.0000000000000001E-3</v>
      </c>
      <c r="D81" s="825">
        <f ca="1">IFERROR($D$80*(-1)*$C81*100,0)</f>
        <v>26443.7069363628</v>
      </c>
      <c r="E81" s="825">
        <f>IFERROR(IF($G$4=0,0,$E$80*(-1)*$C81*100),0)</f>
        <v>0</v>
      </c>
      <c r="F81" s="1104">
        <f t="shared" ca="1" si="9"/>
        <v>42868.706936362796</v>
      </c>
      <c r="G81" s="1104">
        <f t="shared" si="10"/>
        <v>0</v>
      </c>
      <c r="N81" s="1850"/>
      <c r="O81">
        <v>11</v>
      </c>
      <c r="P81" s="1301" t="str">
        <f ca="1">IFERROR(INDEX(TSS_換券投組!B:B,MATCH(O81,TSS_換券投組!AE:AE,0),1),"")</f>
        <v/>
      </c>
      <c r="Q81" s="825">
        <f ca="1">IFERROR(VLOOKUP(P81,TSS_換券投組!B:Q,16,FALSE),0)</f>
        <v>0</v>
      </c>
      <c r="R81" s="826">
        <f ca="1">IFERROR(VLOOKUP(P81,TSS_換券投組!B:P,15,FALSE),0)</f>
        <v>0</v>
      </c>
      <c r="S81" s="940">
        <f ca="1">IFERROR(VLOOKUP(P81,TSS_換券投組!B:U,20,FALSE),0)</f>
        <v>0</v>
      </c>
      <c r="T81" s="1112">
        <f ca="1">IFERROR(VLOOKUP(P81,TSS_換券投組!B:E,4,FALSE),0)</f>
        <v>0</v>
      </c>
      <c r="U81" s="825">
        <f ca="1">IFERROR(VLOOKUP(P81,TSS_換券投組!B:Y,24,FALSE),0)</f>
        <v>0</v>
      </c>
    </row>
    <row r="82" spans="1:21">
      <c r="A82" s="1099">
        <f t="shared" ca="1" si="7"/>
        <v>5.0000000000000001E-3</v>
      </c>
      <c r="B82" s="1099">
        <f t="shared" ca="1" si="8"/>
        <v>5.0000000000000001E-3</v>
      </c>
      <c r="C82" s="1099">
        <v>5.0000000000000001E-3</v>
      </c>
      <c r="D82" s="825">
        <f ca="1">IFERROR($D$80*(-1)*$C82*100,0)</f>
        <v>-26443.7069363628</v>
      </c>
      <c r="E82" s="825">
        <f>IFERROR(IF($G$4=0,0,$E$80*(-1)*$C82*100),0)</f>
        <v>0</v>
      </c>
      <c r="F82" s="1104">
        <f t="shared" ca="1" si="9"/>
        <v>-10018.7069363628</v>
      </c>
      <c r="G82" s="1104">
        <f t="shared" si="10"/>
        <v>0</v>
      </c>
      <c r="N82" s="1850"/>
      <c r="O82">
        <v>12</v>
      </c>
      <c r="P82" s="1301" t="str">
        <f ca="1">IFERROR(INDEX(TSS_換券投組!B:B,MATCH(O82,TSS_換券投組!AE:AE,0),1),"")</f>
        <v/>
      </c>
      <c r="Q82" s="825">
        <f ca="1">IFERROR(VLOOKUP(P82,TSS_換券投組!B:Q,16,FALSE),0)</f>
        <v>0</v>
      </c>
      <c r="R82" s="826">
        <f ca="1">IFERROR(VLOOKUP(P82,TSS_換券投組!B:P,15,FALSE),0)</f>
        <v>0</v>
      </c>
      <c r="S82" s="940">
        <f ca="1">IFERROR(VLOOKUP(P82,TSS_換券投組!B:U,20,FALSE),0)</f>
        <v>0</v>
      </c>
      <c r="T82" s="1112">
        <f ca="1">IFERROR(VLOOKUP(P82,TSS_換券投組!B:E,4,FALSE),0)</f>
        <v>0</v>
      </c>
      <c r="U82" s="825">
        <f ca="1">IFERROR(VLOOKUP(P82,TSS_換券投組!B:Y,24,FALSE),0)</f>
        <v>0</v>
      </c>
    </row>
    <row r="83" spans="1:21">
      <c r="A83" s="1099">
        <f t="shared" ca="1" si="7"/>
        <v>0.01</v>
      </c>
      <c r="B83" s="1099">
        <f t="shared" ca="1" si="8"/>
        <v>0.01</v>
      </c>
      <c r="C83" s="1099">
        <v>0.01</v>
      </c>
      <c r="D83" s="825">
        <f ca="1">IFERROR($D$80*(-1)*$C83*100,0)</f>
        <v>-52887.4138727256</v>
      </c>
      <c r="E83" s="825">
        <f>IFERROR(IF($G$4=0,0,$E$80*(-1)*$C83*100),0)</f>
        <v>0</v>
      </c>
      <c r="F83" s="1104">
        <f ca="1">$D$52+D83</f>
        <v>-36462.4138727256</v>
      </c>
      <c r="G83" s="1104">
        <f>IF($G$4=0,0,$E$52+E83)</f>
        <v>0</v>
      </c>
      <c r="P83" s="179"/>
    </row>
    <row r="84" spans="1:21">
      <c r="D84" s="2242"/>
      <c r="E84" s="2242"/>
      <c r="F84" s="827"/>
      <c r="P84" s="179"/>
    </row>
    <row r="85" spans="1:21">
      <c r="P85" s="179"/>
    </row>
    <row r="86" spans="1:21" ht="16" thickBot="1">
      <c r="C86" s="596" t="s">
        <v>4052</v>
      </c>
      <c r="D86" s="1108">
        <f>model!A11</f>
        <v>1</v>
      </c>
      <c r="E86" s="1102"/>
      <c r="P86" s="179"/>
    </row>
    <row r="87" spans="1:21">
      <c r="C87" s="1110">
        <f>C78</f>
        <v>-0.02</v>
      </c>
      <c r="D87" s="1762">
        <f ca="1">IF('商品代碼-中繼頁'!$C$16=0,"",IF($D$86=1,D78,F78))</f>
        <v>105774.8277454512</v>
      </c>
      <c r="E87" s="1763" t="str">
        <f t="shared" ref="E87:E92" ca="1" si="11">IF(OR($D$4=0,$G$4=0),"",IF($D$86=1,E78,G78))</f>
        <v/>
      </c>
      <c r="P87" s="179"/>
    </row>
    <row r="88" spans="1:21">
      <c r="C88" s="1110">
        <f>C79</f>
        <v>-1.4999999999999999E-2</v>
      </c>
      <c r="D88" s="1764">
        <f ca="1">IF('商品代碼-中繼頁'!$C$16=0,"",IF($D$86=1,D79,F79))</f>
        <v>79331.120809088388</v>
      </c>
      <c r="E88" s="1765" t="str">
        <f t="shared" ca="1" si="11"/>
        <v/>
      </c>
      <c r="P88" s="179"/>
    </row>
    <row r="89" spans="1:21">
      <c r="C89" s="1110">
        <f>C80</f>
        <v>-0.01</v>
      </c>
      <c r="D89" s="1764">
        <f ca="1">IF('商品代碼-中繼頁'!$C$16=0,"",IF($D$86=1,D80,F80))</f>
        <v>52887.413872725592</v>
      </c>
      <c r="E89" s="1765" t="str">
        <f t="shared" ca="1" si="11"/>
        <v/>
      </c>
      <c r="P89" s="179"/>
    </row>
    <row r="90" spans="1:21">
      <c r="C90" s="1110">
        <f>C81</f>
        <v>-5.0000000000000001E-3</v>
      </c>
      <c r="D90" s="1764">
        <f ca="1">IF('商品代碼-中繼頁'!$C$16=0,"",IF($D$86=1,D81,F81))</f>
        <v>26443.7069363628</v>
      </c>
      <c r="E90" s="1765" t="str">
        <f t="shared" ca="1" si="11"/>
        <v/>
      </c>
      <c r="P90" s="179"/>
    </row>
    <row r="91" spans="1:21">
      <c r="C91" s="1110" t="str">
        <f>TEXT(C82,"+0.00%")</f>
        <v>+0.50%</v>
      </c>
      <c r="D91" s="1764">
        <f ca="1">IF('商品代碼-中繼頁'!$C$16=0,"",IF($D$86=1,D82,F82))</f>
        <v>-26443.7069363628</v>
      </c>
      <c r="E91" s="1765" t="str">
        <f t="shared" ca="1" si="11"/>
        <v/>
      </c>
      <c r="P91" s="179"/>
    </row>
    <row r="92" spans="1:21" ht="16" thickBot="1">
      <c r="C92" s="1110" t="str">
        <f>TEXT(C83,"+0.00%")</f>
        <v>+1.00%</v>
      </c>
      <c r="D92" s="1766">
        <f ca="1">IF('商品代碼-中繼頁'!$C$16=0,"",IF($D$86=1,D83,F83))</f>
        <v>-52887.4138727256</v>
      </c>
      <c r="E92" s="1767" t="str">
        <f t="shared" ca="1" si="11"/>
        <v/>
      </c>
      <c r="P92" s="179"/>
    </row>
    <row r="93" spans="1:21">
      <c r="P93" s="179"/>
    </row>
    <row r="94" spans="1:21">
      <c r="P94" s="179"/>
    </row>
    <row r="95" spans="1:21">
      <c r="P95" s="179"/>
    </row>
    <row r="97" spans="14:27">
      <c r="R97" s="1104"/>
    </row>
    <row r="99" spans="14:27">
      <c r="N99" s="1618" t="s">
        <v>4395</v>
      </c>
      <c r="O99" s="1618"/>
      <c r="P99" s="1618"/>
      <c r="Q99" s="1618"/>
      <c r="R99" s="1618"/>
      <c r="S99" s="1618"/>
      <c r="T99" s="1618"/>
      <c r="U99" s="1618"/>
      <c r="V99" s="1618"/>
      <c r="W99" s="1618"/>
      <c r="X99" s="1618"/>
      <c r="Y99" s="1618"/>
      <c r="Z99" s="1618"/>
      <c r="AA99" s="1618"/>
    </row>
    <row r="100" spans="14:27">
      <c r="O100" t="s">
        <v>3744</v>
      </c>
      <c r="P100" t="s">
        <v>3554</v>
      </c>
      <c r="Q100" s="179" t="s">
        <v>4322</v>
      </c>
      <c r="R100" t="s">
        <v>4319</v>
      </c>
      <c r="S100" t="s">
        <v>4056</v>
      </c>
      <c r="T100" t="s">
        <v>1317</v>
      </c>
      <c r="U100" t="s">
        <v>4325</v>
      </c>
      <c r="V100" s="1562" t="s">
        <v>4096</v>
      </c>
      <c r="W100" s="1562" t="s">
        <v>4097</v>
      </c>
      <c r="X100" s="1562" t="s">
        <v>4320</v>
      </c>
      <c r="Y100" s="1562" t="s">
        <v>4321</v>
      </c>
      <c r="Z100" s="1562" t="s">
        <v>4323</v>
      </c>
      <c r="AA100" s="1562" t="s">
        <v>4324</v>
      </c>
    </row>
    <row r="101" spans="14:27">
      <c r="N101" s="1850" t="s">
        <v>4299</v>
      </c>
      <c r="O101">
        <v>1</v>
      </c>
      <c r="P101" t="str">
        <f ca="1">IFERROR(INDEX(TSS_換券投組!B:B,MATCH(O101,TSS_換券投組!AA:AA,0),1),"")</f>
        <v/>
      </c>
      <c r="Q101" s="1565">
        <f ca="1">IFERROR(R101*Y101*$D$23,0)</f>
        <v>0</v>
      </c>
      <c r="R101" s="826">
        <f ca="1">IFERROR(V101+INT(($D$42-(V101*X101/100))/(W101*X101/100))*W101,0)</f>
        <v>0</v>
      </c>
      <c r="S101" s="248">
        <f ca="1">IF(P101="",0,VLOOKUP(P101,TSS_換券投組!B:H,7,FALSE))</f>
        <v>0</v>
      </c>
      <c r="T101">
        <f ca="1">IF(P101="",0,VLOOKUP(P101,TSS_換券投組!B:E,4,FALSE))</f>
        <v>0</v>
      </c>
      <c r="U101" s="825">
        <f ca="1">IF(P101="",0,AA101/100*R101*Z101*1%)*$D$23</f>
        <v>0</v>
      </c>
      <c r="V101" s="1562" t="e">
        <f ca="1">VLOOKUP(P101,TSS_換券投組!B:I,8,FALSE)</f>
        <v>#N/A</v>
      </c>
      <c r="W101" s="1562" t="e">
        <f ca="1">VLOOKUP(P101,TSS_換券投組!B:J,9,FALSE)</f>
        <v>#N/A</v>
      </c>
      <c r="X101" s="1562" t="e">
        <f ca="1">VLOOKUP(P101,TSS_換券投組!B:G,6,FALSE)</f>
        <v>#N/A</v>
      </c>
      <c r="Y101" s="1564" t="e">
        <f ca="1">VLOOKUP(P101,TSS_換券投組!B:F,5,FALSE)</f>
        <v>#N/A</v>
      </c>
      <c r="Z101" s="1563" t="e">
        <f ca="1">VLOOKUP(P101,'銀行-TSS'!B:AP,41,FALSE)</f>
        <v>#N/A</v>
      </c>
      <c r="AA101" s="1563" t="e">
        <f ca="1">VLOOKUP(P101,bond!B:J,9,FALSE)</f>
        <v>#N/A</v>
      </c>
    </row>
    <row r="102" spans="14:27">
      <c r="N102" s="1850"/>
      <c r="O102">
        <v>2</v>
      </c>
      <c r="P102" t="str">
        <f ca="1">IFERROR(INDEX(TSS_換券投組!B:B,MATCH(O102,TSS_換券投組!AA:AA,0),1),"")</f>
        <v/>
      </c>
      <c r="Q102" s="1565">
        <f t="shared" ref="Q102:Q136" ca="1" si="12">IFERROR(R102*Y102*$D$23,0)</f>
        <v>0</v>
      </c>
      <c r="R102" s="826">
        <f t="shared" ref="R102:R136" ca="1" si="13">IFERROR(V102+INT(($D$42-(V102*X102/100))/(W102*X102/100))*W102,0)</f>
        <v>0</v>
      </c>
      <c r="S102" s="248">
        <f ca="1">IF(P102="",0,VLOOKUP(P102,TSS_換券投組!B:H,7,FALSE))</f>
        <v>0</v>
      </c>
      <c r="T102">
        <f ca="1">IF(P102="",0,VLOOKUP(P102,TSS_換券投組!B:E,4,FALSE))</f>
        <v>0</v>
      </c>
      <c r="U102" s="825">
        <f t="shared" ref="U102:U136" ca="1" si="14">IF(P102="",0,AA102/100*R102*Z102*1%)*$D$23</f>
        <v>0</v>
      </c>
      <c r="V102" s="1562" t="e">
        <f ca="1">VLOOKUP(P102,TSS_換券投組!B:I,8,FALSE)</f>
        <v>#N/A</v>
      </c>
      <c r="W102" s="1562" t="e">
        <f ca="1">VLOOKUP(P102,TSS_換券投組!B:J,9,FALSE)</f>
        <v>#N/A</v>
      </c>
      <c r="X102" s="1562" t="e">
        <f ca="1">VLOOKUP(P102,TSS_換券投組!B:G,6,FALSE)</f>
        <v>#N/A</v>
      </c>
      <c r="Y102" s="1564" t="e">
        <f ca="1">VLOOKUP(P102,TSS_換券投組!B:F,5,FALSE)</f>
        <v>#N/A</v>
      </c>
      <c r="Z102" s="1563" t="e">
        <f ca="1">VLOOKUP(P102,'銀行-TSS'!B:AP,41,FALSE)</f>
        <v>#N/A</v>
      </c>
      <c r="AA102" s="1563" t="e">
        <f ca="1">VLOOKUP(P102,bond!B:J,9,FALSE)</f>
        <v>#N/A</v>
      </c>
    </row>
    <row r="103" spans="14:27">
      <c r="N103" s="1850"/>
      <c r="O103">
        <v>3</v>
      </c>
      <c r="P103" t="str">
        <f ca="1">IFERROR(INDEX(TSS_換券投組!B:B,MATCH(O103,TSS_換券投組!AA:AA,0),1),"")</f>
        <v/>
      </c>
      <c r="Q103" s="1565">
        <f t="shared" ca="1" si="12"/>
        <v>0</v>
      </c>
      <c r="R103" s="826">
        <f t="shared" ca="1" si="13"/>
        <v>0</v>
      </c>
      <c r="S103" s="248">
        <f ca="1">IF(P103="",0,VLOOKUP(P103,TSS_換券投組!B:H,7,FALSE))</f>
        <v>0</v>
      </c>
      <c r="T103">
        <f ca="1">IF(P103="",0,VLOOKUP(P103,TSS_換券投組!B:E,4,FALSE))</f>
        <v>0</v>
      </c>
      <c r="U103" s="825">
        <f t="shared" ca="1" si="14"/>
        <v>0</v>
      </c>
      <c r="V103" s="1562" t="e">
        <f ca="1">VLOOKUP(P103,TSS_換券投組!B:I,8,FALSE)</f>
        <v>#N/A</v>
      </c>
      <c r="W103" s="1562" t="e">
        <f ca="1">VLOOKUP(P103,TSS_換券投組!B:J,9,FALSE)</f>
        <v>#N/A</v>
      </c>
      <c r="X103" s="1562" t="e">
        <f ca="1">VLOOKUP(P103,TSS_換券投組!B:G,6,FALSE)</f>
        <v>#N/A</v>
      </c>
      <c r="Y103" s="1564" t="e">
        <f ca="1">VLOOKUP(P103,TSS_換券投組!B:F,5,FALSE)</f>
        <v>#N/A</v>
      </c>
      <c r="Z103" s="1563" t="e">
        <f ca="1">VLOOKUP(P103,'銀行-TSS'!B:AP,41,FALSE)</f>
        <v>#N/A</v>
      </c>
      <c r="AA103" s="1563" t="e">
        <f ca="1">VLOOKUP(P103,bond!B:J,9,FALSE)</f>
        <v>#N/A</v>
      </c>
    </row>
    <row r="104" spans="14:27">
      <c r="N104" s="1850"/>
      <c r="O104">
        <v>4</v>
      </c>
      <c r="P104" t="str">
        <f ca="1">IFERROR(INDEX(TSS_換券投組!B:B,MATCH(O104,TSS_換券投組!AA:AA,0),1),"")</f>
        <v/>
      </c>
      <c r="Q104" s="1565">
        <f t="shared" ca="1" si="12"/>
        <v>0</v>
      </c>
      <c r="R104" s="826">
        <f t="shared" ca="1" si="13"/>
        <v>0</v>
      </c>
      <c r="S104" s="248">
        <f ca="1">IF(P104="",0,VLOOKUP(P104,TSS_換券投組!B:H,7,FALSE))</f>
        <v>0</v>
      </c>
      <c r="T104">
        <f ca="1">IF(P104="",0,VLOOKUP(P104,TSS_換券投組!B:E,4,FALSE))</f>
        <v>0</v>
      </c>
      <c r="U104" s="825">
        <f t="shared" ca="1" si="14"/>
        <v>0</v>
      </c>
      <c r="V104" s="1562" t="e">
        <f ca="1">VLOOKUP(P104,TSS_換券投組!B:I,8,FALSE)</f>
        <v>#N/A</v>
      </c>
      <c r="W104" s="1562" t="e">
        <f ca="1">VLOOKUP(P104,TSS_換券投組!B:J,9,FALSE)</f>
        <v>#N/A</v>
      </c>
      <c r="X104" s="1562" t="e">
        <f ca="1">VLOOKUP(P104,TSS_換券投組!B:G,6,FALSE)</f>
        <v>#N/A</v>
      </c>
      <c r="Y104" s="1564" t="e">
        <f ca="1">VLOOKUP(P104,TSS_換券投組!B:F,5,FALSE)</f>
        <v>#N/A</v>
      </c>
      <c r="Z104" s="1563" t="e">
        <f ca="1">VLOOKUP(P104,'銀行-TSS'!B:AP,41,FALSE)</f>
        <v>#N/A</v>
      </c>
      <c r="AA104" s="1563" t="e">
        <f ca="1">VLOOKUP(P104,bond!B:J,9,FALSE)</f>
        <v>#N/A</v>
      </c>
    </row>
    <row r="105" spans="14:27">
      <c r="N105" s="1850"/>
      <c r="O105">
        <v>5</v>
      </c>
      <c r="P105" t="str">
        <f ca="1">IFERROR(INDEX(TSS_換券投組!B:B,MATCH(O105,TSS_換券投組!AA:AA,0),1),"")</f>
        <v/>
      </c>
      <c r="Q105" s="1565">
        <f t="shared" ca="1" si="12"/>
        <v>0</v>
      </c>
      <c r="R105" s="826">
        <f t="shared" ca="1" si="13"/>
        <v>0</v>
      </c>
      <c r="S105" s="248">
        <f ca="1">IF(P105="",0,VLOOKUP(P105,TSS_換券投組!B:H,7,FALSE))</f>
        <v>0</v>
      </c>
      <c r="T105">
        <f ca="1">IF(P105="",0,VLOOKUP(P105,TSS_換券投組!B:E,4,FALSE))</f>
        <v>0</v>
      </c>
      <c r="U105" s="825">
        <f t="shared" ca="1" si="14"/>
        <v>0</v>
      </c>
      <c r="V105" s="1562" t="e">
        <f ca="1">VLOOKUP(P105,TSS_換券投組!B:I,8,FALSE)</f>
        <v>#N/A</v>
      </c>
      <c r="W105" s="1562" t="e">
        <f ca="1">VLOOKUP(P105,TSS_換券投組!B:J,9,FALSE)</f>
        <v>#N/A</v>
      </c>
      <c r="X105" s="1562" t="e">
        <f ca="1">VLOOKUP(P105,TSS_換券投組!B:G,6,FALSE)</f>
        <v>#N/A</v>
      </c>
      <c r="Y105" s="1564" t="e">
        <f ca="1">VLOOKUP(P105,TSS_換券投組!B:F,5,FALSE)</f>
        <v>#N/A</v>
      </c>
      <c r="Z105" s="1563" t="e">
        <f ca="1">VLOOKUP(P105,'銀行-TSS'!B:AP,41,FALSE)</f>
        <v>#N/A</v>
      </c>
      <c r="AA105" s="1563" t="e">
        <f ca="1">VLOOKUP(P105,bond!B:J,9,FALSE)</f>
        <v>#N/A</v>
      </c>
    </row>
    <row r="106" spans="14:27">
      <c r="N106" s="1850"/>
      <c r="O106">
        <v>6</v>
      </c>
      <c r="P106" t="str">
        <f ca="1">IFERROR(INDEX(TSS_換券投組!B:B,MATCH(O106,TSS_換券投組!AA:AA,0),1),"")</f>
        <v/>
      </c>
      <c r="Q106" s="1565">
        <f t="shared" ca="1" si="12"/>
        <v>0</v>
      </c>
      <c r="R106" s="826">
        <f t="shared" ca="1" si="13"/>
        <v>0</v>
      </c>
      <c r="S106" s="248">
        <f ca="1">IF(P106="",0,VLOOKUP(P106,TSS_換券投組!B:H,7,FALSE))</f>
        <v>0</v>
      </c>
      <c r="T106">
        <f ca="1">IF(P106="",0,VLOOKUP(P106,TSS_換券投組!B:E,4,FALSE))</f>
        <v>0</v>
      </c>
      <c r="U106" s="825">
        <f t="shared" ca="1" si="14"/>
        <v>0</v>
      </c>
      <c r="V106" s="1562" t="e">
        <f ca="1">VLOOKUP(P106,TSS_換券投組!B:I,8,FALSE)</f>
        <v>#N/A</v>
      </c>
      <c r="W106" s="1562" t="e">
        <f ca="1">VLOOKUP(P106,TSS_換券投組!B:J,9,FALSE)</f>
        <v>#N/A</v>
      </c>
      <c r="X106" s="1562" t="e">
        <f ca="1">VLOOKUP(P106,TSS_換券投組!B:G,6,FALSE)</f>
        <v>#N/A</v>
      </c>
      <c r="Y106" s="1564" t="e">
        <f ca="1">VLOOKUP(P106,TSS_換券投組!B:F,5,FALSE)</f>
        <v>#N/A</v>
      </c>
      <c r="Z106" s="1563" t="e">
        <f ca="1">VLOOKUP(P106,'銀行-TSS'!B:AP,41,FALSE)</f>
        <v>#N/A</v>
      </c>
      <c r="AA106" s="1563" t="e">
        <f ca="1">VLOOKUP(P106,bond!B:J,9,FALSE)</f>
        <v>#N/A</v>
      </c>
    </row>
    <row r="107" spans="14:27">
      <c r="N107" s="1850"/>
      <c r="O107">
        <v>7</v>
      </c>
      <c r="P107" t="str">
        <f ca="1">IFERROR(INDEX(TSS_換券投組!B:B,MATCH(O107,TSS_換券投組!AA:AA,0),1),"")</f>
        <v/>
      </c>
      <c r="Q107" s="1565">
        <f t="shared" ca="1" si="12"/>
        <v>0</v>
      </c>
      <c r="R107" s="826">
        <f t="shared" ca="1" si="13"/>
        <v>0</v>
      </c>
      <c r="S107" s="248">
        <f ca="1">IF(P107="",0,VLOOKUP(P107,TSS_換券投組!B:H,7,FALSE))</f>
        <v>0</v>
      </c>
      <c r="T107">
        <f ca="1">IF(P107="",0,VLOOKUP(P107,TSS_換券投組!B:E,4,FALSE))</f>
        <v>0</v>
      </c>
      <c r="U107" s="825">
        <f t="shared" ca="1" si="14"/>
        <v>0</v>
      </c>
      <c r="V107" s="1562" t="e">
        <f ca="1">VLOOKUP(P107,TSS_換券投組!B:I,8,FALSE)</f>
        <v>#N/A</v>
      </c>
      <c r="W107" s="1562" t="e">
        <f ca="1">VLOOKUP(P107,TSS_換券投組!B:J,9,FALSE)</f>
        <v>#N/A</v>
      </c>
      <c r="X107" s="1562" t="e">
        <f ca="1">VLOOKUP(P107,TSS_換券投組!B:G,6,FALSE)</f>
        <v>#N/A</v>
      </c>
      <c r="Y107" s="1564" t="e">
        <f ca="1">VLOOKUP(P107,TSS_換券投組!B:F,5,FALSE)</f>
        <v>#N/A</v>
      </c>
      <c r="Z107" s="1563" t="e">
        <f ca="1">VLOOKUP(P107,'銀行-TSS'!B:AP,41,FALSE)</f>
        <v>#N/A</v>
      </c>
      <c r="AA107" s="1563" t="e">
        <f ca="1">VLOOKUP(P107,bond!B:J,9,FALSE)</f>
        <v>#N/A</v>
      </c>
    </row>
    <row r="108" spans="14:27">
      <c r="N108" s="1850"/>
      <c r="O108">
        <v>8</v>
      </c>
      <c r="P108" t="str">
        <f ca="1">IFERROR(INDEX(TSS_換券投組!B:B,MATCH(O108,TSS_換券投組!AA:AA,0),1),"")</f>
        <v/>
      </c>
      <c r="Q108" s="1565">
        <f t="shared" ca="1" si="12"/>
        <v>0</v>
      </c>
      <c r="R108" s="826">
        <f t="shared" ca="1" si="13"/>
        <v>0</v>
      </c>
      <c r="S108" s="248">
        <f ca="1">IF(P108="",0,VLOOKUP(P108,TSS_換券投組!B:H,7,FALSE))</f>
        <v>0</v>
      </c>
      <c r="T108">
        <f ca="1">IF(P108="",0,VLOOKUP(P108,TSS_換券投組!B:E,4,FALSE))</f>
        <v>0</v>
      </c>
      <c r="U108" s="825">
        <f t="shared" ca="1" si="14"/>
        <v>0</v>
      </c>
      <c r="V108" s="1562" t="e">
        <f ca="1">VLOOKUP(P108,TSS_換券投組!B:I,8,FALSE)</f>
        <v>#N/A</v>
      </c>
      <c r="W108" s="1562" t="e">
        <f ca="1">VLOOKUP(P108,TSS_換券投組!B:J,9,FALSE)</f>
        <v>#N/A</v>
      </c>
      <c r="X108" s="1562" t="e">
        <f ca="1">VLOOKUP(P108,TSS_換券投組!B:G,6,FALSE)</f>
        <v>#N/A</v>
      </c>
      <c r="Y108" s="1564" t="e">
        <f ca="1">VLOOKUP(P108,TSS_換券投組!B:F,5,FALSE)</f>
        <v>#N/A</v>
      </c>
      <c r="Z108" s="1563" t="e">
        <f ca="1">VLOOKUP(P108,'銀行-TSS'!B:AP,41,FALSE)</f>
        <v>#N/A</v>
      </c>
      <c r="AA108" s="1563" t="e">
        <f ca="1">VLOOKUP(P108,bond!B:J,9,FALSE)</f>
        <v>#N/A</v>
      </c>
    </row>
    <row r="109" spans="14:27">
      <c r="N109" s="1850"/>
      <c r="O109">
        <v>9</v>
      </c>
      <c r="P109" t="str">
        <f ca="1">IFERROR(INDEX(TSS_換券投組!B:B,MATCH(O109,TSS_換券投組!AA:AA,0),1),"")</f>
        <v/>
      </c>
      <c r="Q109" s="1565">
        <f t="shared" ca="1" si="12"/>
        <v>0</v>
      </c>
      <c r="R109" s="826">
        <f t="shared" ca="1" si="13"/>
        <v>0</v>
      </c>
      <c r="S109" s="248">
        <f ca="1">IF(P109="",0,VLOOKUP(P109,TSS_換券投組!B:H,7,FALSE))</f>
        <v>0</v>
      </c>
      <c r="T109">
        <f ca="1">IF(P109="",0,VLOOKUP(P109,TSS_換券投組!B:E,4,FALSE))</f>
        <v>0</v>
      </c>
      <c r="U109" s="825">
        <f t="shared" ca="1" si="14"/>
        <v>0</v>
      </c>
      <c r="V109" s="1562" t="e">
        <f ca="1">VLOOKUP(P109,TSS_換券投組!B:I,8,FALSE)</f>
        <v>#N/A</v>
      </c>
      <c r="W109" s="1562" t="e">
        <f ca="1">VLOOKUP(P109,TSS_換券投組!B:J,9,FALSE)</f>
        <v>#N/A</v>
      </c>
      <c r="X109" s="1562" t="e">
        <f ca="1">VLOOKUP(P109,TSS_換券投組!B:G,6,FALSE)</f>
        <v>#N/A</v>
      </c>
      <c r="Y109" s="1564" t="e">
        <f ca="1">VLOOKUP(P109,TSS_換券投組!B:F,5,FALSE)</f>
        <v>#N/A</v>
      </c>
      <c r="Z109" s="1563" t="e">
        <f ca="1">VLOOKUP(P109,'銀行-TSS'!B:AP,41,FALSE)</f>
        <v>#N/A</v>
      </c>
      <c r="AA109" s="1563" t="e">
        <f ca="1">VLOOKUP(P109,bond!B:J,9,FALSE)</f>
        <v>#N/A</v>
      </c>
    </row>
    <row r="110" spans="14:27">
      <c r="N110" s="1850"/>
      <c r="O110">
        <v>10</v>
      </c>
      <c r="P110" t="str">
        <f ca="1">IFERROR(INDEX(TSS_換券投組!B:B,MATCH(O110,TSS_換券投組!AA:AA,0),1),"")</f>
        <v/>
      </c>
      <c r="Q110" s="1565">
        <f t="shared" ca="1" si="12"/>
        <v>0</v>
      </c>
      <c r="R110" s="826">
        <f t="shared" ca="1" si="13"/>
        <v>0</v>
      </c>
      <c r="S110" s="248">
        <f ca="1">IF(P110="",0,VLOOKUP(P110,TSS_換券投組!B:H,7,FALSE))</f>
        <v>0</v>
      </c>
      <c r="T110">
        <f ca="1">IF(P110="",0,VLOOKUP(P110,TSS_換券投組!B:E,4,FALSE))</f>
        <v>0</v>
      </c>
      <c r="U110" s="825">
        <f t="shared" ca="1" si="14"/>
        <v>0</v>
      </c>
      <c r="V110" s="1562" t="e">
        <f ca="1">VLOOKUP(P110,TSS_換券投組!B:I,8,FALSE)</f>
        <v>#N/A</v>
      </c>
      <c r="W110" s="1562" t="e">
        <f ca="1">VLOOKUP(P110,TSS_換券投組!B:J,9,FALSE)</f>
        <v>#N/A</v>
      </c>
      <c r="X110" s="1562" t="e">
        <f ca="1">VLOOKUP(P110,TSS_換券投組!B:G,6,FALSE)</f>
        <v>#N/A</v>
      </c>
      <c r="Y110" s="1564" t="e">
        <f ca="1">VLOOKUP(P110,TSS_換券投組!B:F,5,FALSE)</f>
        <v>#N/A</v>
      </c>
      <c r="Z110" s="1563" t="e">
        <f ca="1">VLOOKUP(P110,'銀行-TSS'!B:AP,41,FALSE)</f>
        <v>#N/A</v>
      </c>
      <c r="AA110" s="1563" t="e">
        <f ca="1">VLOOKUP(P110,bond!B:J,9,FALSE)</f>
        <v>#N/A</v>
      </c>
    </row>
    <row r="111" spans="14:27">
      <c r="N111" s="1850"/>
      <c r="O111">
        <v>11</v>
      </c>
      <c r="P111" t="str">
        <f ca="1">IFERROR(INDEX(TSS_換券投組!B:B,MATCH(O111,TSS_換券投組!AA:AA,0),1),"")</f>
        <v/>
      </c>
      <c r="Q111" s="1565">
        <f t="shared" ca="1" si="12"/>
        <v>0</v>
      </c>
      <c r="R111" s="826">
        <f t="shared" ca="1" si="13"/>
        <v>0</v>
      </c>
      <c r="S111" s="248">
        <f ca="1">IF(P111="",0,VLOOKUP(P111,TSS_換券投組!B:H,7,FALSE))</f>
        <v>0</v>
      </c>
      <c r="T111">
        <f ca="1">IF(P111="",0,VLOOKUP(P111,TSS_換券投組!B:E,4,FALSE))</f>
        <v>0</v>
      </c>
      <c r="U111" s="825">
        <f t="shared" ca="1" si="14"/>
        <v>0</v>
      </c>
      <c r="V111" s="1562" t="e">
        <f ca="1">VLOOKUP(P111,TSS_換券投組!B:I,8,FALSE)</f>
        <v>#N/A</v>
      </c>
      <c r="W111" s="1562" t="e">
        <f ca="1">VLOOKUP(P111,TSS_換券投組!B:J,9,FALSE)</f>
        <v>#N/A</v>
      </c>
      <c r="X111" s="1562" t="e">
        <f ca="1">VLOOKUP(P111,TSS_換券投組!B:G,6,FALSE)</f>
        <v>#N/A</v>
      </c>
      <c r="Y111" s="1564" t="e">
        <f ca="1">VLOOKUP(P111,TSS_換券投組!B:F,5,FALSE)</f>
        <v>#N/A</v>
      </c>
      <c r="Z111" s="1563" t="e">
        <f ca="1">VLOOKUP(P111,'銀行-TSS'!B:AP,41,FALSE)</f>
        <v>#N/A</v>
      </c>
      <c r="AA111" s="1563" t="e">
        <f ca="1">VLOOKUP(P111,bond!B:J,9,FALSE)</f>
        <v>#N/A</v>
      </c>
    </row>
    <row r="112" spans="14:27">
      <c r="N112" s="1850"/>
      <c r="O112">
        <v>12</v>
      </c>
      <c r="P112" t="str">
        <f ca="1">IFERROR(INDEX(TSS_換券投組!B:B,MATCH(O112,TSS_換券投組!AA:AA,0),1),"")</f>
        <v/>
      </c>
      <c r="Q112" s="1565">
        <f t="shared" ca="1" si="12"/>
        <v>0</v>
      </c>
      <c r="R112" s="826">
        <f t="shared" ca="1" si="13"/>
        <v>0</v>
      </c>
      <c r="S112" s="248">
        <f ca="1">IF(P112="",0,VLOOKUP(P112,TSS_換券投組!B:H,7,FALSE))</f>
        <v>0</v>
      </c>
      <c r="T112">
        <f ca="1">IF(P112="",0,VLOOKUP(P112,TSS_換券投組!B:E,4,FALSE))</f>
        <v>0</v>
      </c>
      <c r="U112" s="825">
        <f t="shared" ca="1" si="14"/>
        <v>0</v>
      </c>
      <c r="V112" s="1562" t="e">
        <f ca="1">VLOOKUP(P112,TSS_換券投組!B:I,8,FALSE)</f>
        <v>#N/A</v>
      </c>
      <c r="W112" s="1562" t="e">
        <f ca="1">VLOOKUP(P112,TSS_換券投組!B:J,9,FALSE)</f>
        <v>#N/A</v>
      </c>
      <c r="X112" s="1562" t="e">
        <f ca="1">VLOOKUP(P112,TSS_換券投組!B:G,6,FALSE)</f>
        <v>#N/A</v>
      </c>
      <c r="Y112" s="1564" t="e">
        <f ca="1">VLOOKUP(P112,TSS_換券投組!B:F,5,FALSE)</f>
        <v>#N/A</v>
      </c>
      <c r="Z112" s="1563" t="e">
        <f ca="1">VLOOKUP(P112,'銀行-TSS'!B:AP,41,FALSE)</f>
        <v>#N/A</v>
      </c>
      <c r="AA112" s="1563" t="e">
        <f ca="1">VLOOKUP(P112,bond!B:J,9,FALSE)</f>
        <v>#N/A</v>
      </c>
    </row>
    <row r="113" spans="14:27">
      <c r="N113" s="2243" t="s">
        <v>4300</v>
      </c>
      <c r="O113" s="1400">
        <v>1</v>
      </c>
      <c r="P113" s="1400" t="str">
        <f ca="1">IFERROR(INDEX(TSS_換券投組!B:B,MATCH(O113,TSS_換券投組!AC:AC,0),1),"")</f>
        <v/>
      </c>
      <c r="Q113" s="1565">
        <f t="shared" ca="1" si="12"/>
        <v>0</v>
      </c>
      <c r="R113" s="826">
        <f t="shared" ca="1" si="13"/>
        <v>0</v>
      </c>
      <c r="S113" s="248">
        <f ca="1">IF(P113="",0,VLOOKUP(P113,TSS_換券投組!B:H,7,FALSE))</f>
        <v>0</v>
      </c>
      <c r="T113">
        <f ca="1">IF(P113="",0,VLOOKUP(P113,TSS_換券投組!B:E,4,FALSE))</f>
        <v>0</v>
      </c>
      <c r="U113" s="825">
        <f t="shared" ca="1" si="14"/>
        <v>0</v>
      </c>
      <c r="V113" s="1562" t="e">
        <f ca="1">VLOOKUP(P113,TSS_換券投組!B:I,8,FALSE)</f>
        <v>#N/A</v>
      </c>
      <c r="W113" s="1562" t="e">
        <f ca="1">VLOOKUP(P113,TSS_換券投組!B:J,9,FALSE)</f>
        <v>#N/A</v>
      </c>
      <c r="X113" s="1562" t="e">
        <f ca="1">VLOOKUP(P113,TSS_換券投組!B:G,6,FALSE)</f>
        <v>#N/A</v>
      </c>
      <c r="Y113" s="1564" t="e">
        <f ca="1">VLOOKUP(P113,TSS_換券投組!B:F,5,FALSE)</f>
        <v>#N/A</v>
      </c>
      <c r="Z113" s="1563" t="e">
        <f ca="1">VLOOKUP(P113,'銀行-TSS'!B:AP,41,FALSE)</f>
        <v>#N/A</v>
      </c>
      <c r="AA113" s="1563" t="e">
        <f ca="1">VLOOKUP(P113,bond!B:J,9,FALSE)</f>
        <v>#N/A</v>
      </c>
    </row>
    <row r="114" spans="14:27">
      <c r="N114" s="1850"/>
      <c r="O114">
        <v>2</v>
      </c>
      <c r="P114" t="str">
        <f ca="1">IFERROR(INDEX(TSS_換券投組!B:B,MATCH(O114,TSS_換券投組!AC:AC,0),1),"")</f>
        <v/>
      </c>
      <c r="Q114" s="1565">
        <f t="shared" ca="1" si="12"/>
        <v>0</v>
      </c>
      <c r="R114" s="826">
        <f t="shared" ca="1" si="13"/>
        <v>0</v>
      </c>
      <c r="S114" s="248">
        <f ca="1">IF(P114="",0,VLOOKUP(P114,TSS_換券投組!B:H,7,FALSE))</f>
        <v>0</v>
      </c>
      <c r="T114">
        <f ca="1">IF(P114="",0,VLOOKUP(P114,TSS_換券投組!B:E,4,FALSE))</f>
        <v>0</v>
      </c>
      <c r="U114" s="825">
        <f t="shared" ca="1" si="14"/>
        <v>0</v>
      </c>
      <c r="V114" s="1562" t="e">
        <f ca="1">VLOOKUP(P114,TSS_換券投組!B:I,8,FALSE)</f>
        <v>#N/A</v>
      </c>
      <c r="W114" s="1562" t="e">
        <f ca="1">VLOOKUP(P114,TSS_換券投組!B:J,9,FALSE)</f>
        <v>#N/A</v>
      </c>
      <c r="X114" s="1562" t="e">
        <f ca="1">VLOOKUP(P114,TSS_換券投組!B:G,6,FALSE)</f>
        <v>#N/A</v>
      </c>
      <c r="Y114" s="1564" t="e">
        <f ca="1">VLOOKUP(P114,TSS_換券投組!B:F,5,FALSE)</f>
        <v>#N/A</v>
      </c>
      <c r="Z114" s="1563" t="e">
        <f ca="1">VLOOKUP(P114,'銀行-TSS'!B:AP,41,FALSE)</f>
        <v>#N/A</v>
      </c>
      <c r="AA114" s="1563" t="e">
        <f ca="1">VLOOKUP(P114,bond!B:J,9,FALSE)</f>
        <v>#N/A</v>
      </c>
    </row>
    <row r="115" spans="14:27">
      <c r="N115" s="1850"/>
      <c r="O115">
        <v>3</v>
      </c>
      <c r="P115" t="str">
        <f ca="1">IFERROR(INDEX(TSS_換券投組!B:B,MATCH(O115,TSS_換券投組!AC:AC,0),1),"")</f>
        <v/>
      </c>
      <c r="Q115" s="1565">
        <f t="shared" ca="1" si="12"/>
        <v>0</v>
      </c>
      <c r="R115" s="826">
        <f t="shared" ca="1" si="13"/>
        <v>0</v>
      </c>
      <c r="S115" s="248">
        <f ca="1">IF(P115="",0,VLOOKUP(P115,TSS_換券投組!B:H,7,FALSE))</f>
        <v>0</v>
      </c>
      <c r="T115">
        <f ca="1">IF(P115="",0,VLOOKUP(P115,TSS_換券投組!B:E,4,FALSE))</f>
        <v>0</v>
      </c>
      <c r="U115" s="825">
        <f t="shared" ca="1" si="14"/>
        <v>0</v>
      </c>
      <c r="V115" s="1562" t="e">
        <f ca="1">VLOOKUP(P115,TSS_換券投組!B:I,8,FALSE)</f>
        <v>#N/A</v>
      </c>
      <c r="W115" s="1562" t="e">
        <f ca="1">VLOOKUP(P115,TSS_換券投組!B:J,9,FALSE)</f>
        <v>#N/A</v>
      </c>
      <c r="X115" s="1562" t="e">
        <f ca="1">VLOOKUP(P115,TSS_換券投組!B:G,6,FALSE)</f>
        <v>#N/A</v>
      </c>
      <c r="Y115" s="1564" t="e">
        <f ca="1">VLOOKUP(P115,TSS_換券投組!B:F,5,FALSE)</f>
        <v>#N/A</v>
      </c>
      <c r="Z115" s="1563" t="e">
        <f ca="1">VLOOKUP(P115,'銀行-TSS'!B:AP,41,FALSE)</f>
        <v>#N/A</v>
      </c>
      <c r="AA115" s="1563" t="e">
        <f ca="1">VLOOKUP(P115,bond!B:J,9,FALSE)</f>
        <v>#N/A</v>
      </c>
    </row>
    <row r="116" spans="14:27">
      <c r="N116" s="1850"/>
      <c r="O116">
        <v>4</v>
      </c>
      <c r="P116" t="str">
        <f ca="1">IFERROR(INDEX(TSS_換券投組!B:B,MATCH(O116,TSS_換券投組!AC:AC,0),1),"")</f>
        <v/>
      </c>
      <c r="Q116" s="1565">
        <f t="shared" ca="1" si="12"/>
        <v>0</v>
      </c>
      <c r="R116" s="826">
        <f t="shared" ca="1" si="13"/>
        <v>0</v>
      </c>
      <c r="S116" s="248">
        <f ca="1">IF(P116="",0,VLOOKUP(P116,TSS_換券投組!B:H,7,FALSE))</f>
        <v>0</v>
      </c>
      <c r="T116">
        <f ca="1">IF(P116="",0,VLOOKUP(P116,TSS_換券投組!B:E,4,FALSE))</f>
        <v>0</v>
      </c>
      <c r="U116" s="825">
        <f t="shared" ca="1" si="14"/>
        <v>0</v>
      </c>
      <c r="V116" s="1562" t="e">
        <f ca="1">VLOOKUP(P116,TSS_換券投組!B:I,8,FALSE)</f>
        <v>#N/A</v>
      </c>
      <c r="W116" s="1562" t="e">
        <f ca="1">VLOOKUP(P116,TSS_換券投組!B:J,9,FALSE)</f>
        <v>#N/A</v>
      </c>
      <c r="X116" s="1562" t="e">
        <f ca="1">VLOOKUP(P116,TSS_換券投組!B:G,6,FALSE)</f>
        <v>#N/A</v>
      </c>
      <c r="Y116" s="1564" t="e">
        <f ca="1">VLOOKUP(P116,TSS_換券投組!B:F,5,FALSE)</f>
        <v>#N/A</v>
      </c>
      <c r="Z116" s="1563" t="e">
        <f ca="1">VLOOKUP(P116,'銀行-TSS'!B:AP,41,FALSE)</f>
        <v>#N/A</v>
      </c>
      <c r="AA116" s="1563" t="e">
        <f ca="1">VLOOKUP(P116,bond!B:J,9,FALSE)</f>
        <v>#N/A</v>
      </c>
    </row>
    <row r="117" spans="14:27">
      <c r="N117" s="1850"/>
      <c r="O117">
        <v>5</v>
      </c>
      <c r="P117" t="str">
        <f ca="1">IFERROR(INDEX(TSS_換券投組!B:B,MATCH(O117,TSS_換券投組!AC:AC,0),1),"")</f>
        <v/>
      </c>
      <c r="Q117" s="1565">
        <f t="shared" ca="1" si="12"/>
        <v>0</v>
      </c>
      <c r="R117" s="826">
        <f t="shared" ca="1" si="13"/>
        <v>0</v>
      </c>
      <c r="S117" s="248">
        <f ca="1">IF(P117="",0,VLOOKUP(P117,TSS_換券投組!B:H,7,FALSE))</f>
        <v>0</v>
      </c>
      <c r="T117">
        <f ca="1">IF(P117="",0,VLOOKUP(P117,TSS_換券投組!B:E,4,FALSE))</f>
        <v>0</v>
      </c>
      <c r="U117" s="825">
        <f t="shared" ca="1" si="14"/>
        <v>0</v>
      </c>
      <c r="V117" s="1562" t="e">
        <f ca="1">VLOOKUP(P117,TSS_換券投組!B:I,8,FALSE)</f>
        <v>#N/A</v>
      </c>
      <c r="W117" s="1562" t="e">
        <f ca="1">VLOOKUP(P117,TSS_換券投組!B:J,9,FALSE)</f>
        <v>#N/A</v>
      </c>
      <c r="X117" s="1562" t="e">
        <f ca="1">VLOOKUP(P117,TSS_換券投組!B:G,6,FALSE)</f>
        <v>#N/A</v>
      </c>
      <c r="Y117" s="1564" t="e">
        <f ca="1">VLOOKUP(P117,TSS_換券投組!B:F,5,FALSE)</f>
        <v>#N/A</v>
      </c>
      <c r="Z117" s="1563" t="e">
        <f ca="1">VLOOKUP(P117,'銀行-TSS'!B:AP,41,FALSE)</f>
        <v>#N/A</v>
      </c>
      <c r="AA117" s="1563" t="e">
        <f ca="1">VLOOKUP(P117,bond!B:J,9,FALSE)</f>
        <v>#N/A</v>
      </c>
    </row>
    <row r="118" spans="14:27">
      <c r="N118" s="1850"/>
      <c r="O118">
        <v>6</v>
      </c>
      <c r="P118" t="str">
        <f ca="1">IFERROR(INDEX(TSS_換券投組!B:B,MATCH(O118,TSS_換券投組!AC:AC,0),1),"")</f>
        <v/>
      </c>
      <c r="Q118" s="1565">
        <f t="shared" ca="1" si="12"/>
        <v>0</v>
      </c>
      <c r="R118" s="826">
        <f t="shared" ca="1" si="13"/>
        <v>0</v>
      </c>
      <c r="S118" s="248">
        <f ca="1">IF(P118="",0,VLOOKUP(P118,TSS_換券投組!B:H,7,FALSE))</f>
        <v>0</v>
      </c>
      <c r="T118">
        <f ca="1">IF(P118="",0,VLOOKUP(P118,TSS_換券投組!B:E,4,FALSE))</f>
        <v>0</v>
      </c>
      <c r="U118" s="825">
        <f t="shared" ca="1" si="14"/>
        <v>0</v>
      </c>
      <c r="V118" s="1562" t="e">
        <f ca="1">VLOOKUP(P118,TSS_換券投組!B:I,8,FALSE)</f>
        <v>#N/A</v>
      </c>
      <c r="W118" s="1562" t="e">
        <f ca="1">VLOOKUP(P118,TSS_換券投組!B:J,9,FALSE)</f>
        <v>#N/A</v>
      </c>
      <c r="X118" s="1562" t="e">
        <f ca="1">VLOOKUP(P118,TSS_換券投組!B:G,6,FALSE)</f>
        <v>#N/A</v>
      </c>
      <c r="Y118" s="1564" t="e">
        <f ca="1">VLOOKUP(P118,TSS_換券投組!B:F,5,FALSE)</f>
        <v>#N/A</v>
      </c>
      <c r="Z118" s="1563" t="e">
        <f ca="1">VLOOKUP(P118,'銀行-TSS'!B:AP,41,FALSE)</f>
        <v>#N/A</v>
      </c>
      <c r="AA118" s="1563" t="e">
        <f ca="1">VLOOKUP(P118,bond!B:J,9,FALSE)</f>
        <v>#N/A</v>
      </c>
    </row>
    <row r="119" spans="14:27">
      <c r="N119" s="1850"/>
      <c r="O119">
        <v>7</v>
      </c>
      <c r="P119" t="str">
        <f ca="1">IFERROR(INDEX(TSS_換券投組!B:B,MATCH(O119,TSS_換券投組!AC:AC,0),1),"")</f>
        <v/>
      </c>
      <c r="Q119" s="1565">
        <f t="shared" ca="1" si="12"/>
        <v>0</v>
      </c>
      <c r="R119" s="826">
        <f t="shared" ca="1" si="13"/>
        <v>0</v>
      </c>
      <c r="S119" s="248">
        <f ca="1">IF(P119="",0,VLOOKUP(P119,TSS_換券投組!B:H,7,FALSE))</f>
        <v>0</v>
      </c>
      <c r="T119">
        <f ca="1">IF(P119="",0,VLOOKUP(P119,TSS_換券投組!B:E,4,FALSE))</f>
        <v>0</v>
      </c>
      <c r="U119" s="825">
        <f t="shared" ca="1" si="14"/>
        <v>0</v>
      </c>
      <c r="V119" s="1562" t="e">
        <f ca="1">VLOOKUP(P119,TSS_換券投組!B:I,8,FALSE)</f>
        <v>#N/A</v>
      </c>
      <c r="W119" s="1562" t="e">
        <f ca="1">VLOOKUP(P119,TSS_換券投組!B:J,9,FALSE)</f>
        <v>#N/A</v>
      </c>
      <c r="X119" s="1562" t="e">
        <f ca="1">VLOOKUP(P119,TSS_換券投組!B:G,6,FALSE)</f>
        <v>#N/A</v>
      </c>
      <c r="Y119" s="1564" t="e">
        <f ca="1">VLOOKUP(P119,TSS_換券投組!B:F,5,FALSE)</f>
        <v>#N/A</v>
      </c>
      <c r="Z119" s="1563" t="e">
        <f ca="1">VLOOKUP(P119,'銀行-TSS'!B:AP,41,FALSE)</f>
        <v>#N/A</v>
      </c>
      <c r="AA119" s="1563" t="e">
        <f ca="1">VLOOKUP(P119,bond!B:J,9,FALSE)</f>
        <v>#N/A</v>
      </c>
    </row>
    <row r="120" spans="14:27">
      <c r="N120" s="1850"/>
      <c r="O120">
        <v>8</v>
      </c>
      <c r="P120" t="str">
        <f ca="1">IFERROR(INDEX(TSS_換券投組!B:B,MATCH(O120,TSS_換券投組!AC:AC,0),1),"")</f>
        <v/>
      </c>
      <c r="Q120" s="1565">
        <f t="shared" ca="1" si="12"/>
        <v>0</v>
      </c>
      <c r="R120" s="826">
        <f t="shared" ca="1" si="13"/>
        <v>0</v>
      </c>
      <c r="S120" s="248">
        <f ca="1">IF(P120="",0,VLOOKUP(P120,TSS_換券投組!B:H,7,FALSE))</f>
        <v>0</v>
      </c>
      <c r="T120">
        <f ca="1">IF(P120="",0,VLOOKUP(P120,TSS_換券投組!B:E,4,FALSE))</f>
        <v>0</v>
      </c>
      <c r="U120" s="825">
        <f t="shared" ca="1" si="14"/>
        <v>0</v>
      </c>
      <c r="V120" s="1562" t="e">
        <f ca="1">VLOOKUP(P120,TSS_換券投組!B:I,8,FALSE)</f>
        <v>#N/A</v>
      </c>
      <c r="W120" s="1562" t="e">
        <f ca="1">VLOOKUP(P120,TSS_換券投組!B:J,9,FALSE)</f>
        <v>#N/A</v>
      </c>
      <c r="X120" s="1562" t="e">
        <f ca="1">VLOOKUP(P120,TSS_換券投組!B:G,6,FALSE)</f>
        <v>#N/A</v>
      </c>
      <c r="Y120" s="1564" t="e">
        <f ca="1">VLOOKUP(P120,TSS_換券投組!B:F,5,FALSE)</f>
        <v>#N/A</v>
      </c>
      <c r="Z120" s="1563" t="e">
        <f ca="1">VLOOKUP(P120,'銀行-TSS'!B:AP,41,FALSE)</f>
        <v>#N/A</v>
      </c>
      <c r="AA120" s="1563" t="e">
        <f ca="1">VLOOKUP(P120,bond!B:J,9,FALSE)</f>
        <v>#N/A</v>
      </c>
    </row>
    <row r="121" spans="14:27">
      <c r="N121" s="1850"/>
      <c r="O121">
        <v>9</v>
      </c>
      <c r="P121" t="str">
        <f ca="1">IFERROR(INDEX(TSS_換券投組!B:B,MATCH(O121,TSS_換券投組!AC:AC,0),1),"")</f>
        <v/>
      </c>
      <c r="Q121" s="1565">
        <f t="shared" ca="1" si="12"/>
        <v>0</v>
      </c>
      <c r="R121" s="826">
        <f t="shared" ca="1" si="13"/>
        <v>0</v>
      </c>
      <c r="S121" s="248">
        <f ca="1">IF(P121="",0,VLOOKUP(P121,TSS_換券投組!B:H,7,FALSE))</f>
        <v>0</v>
      </c>
      <c r="T121">
        <f ca="1">IF(P121="",0,VLOOKUP(P121,TSS_換券投組!B:E,4,FALSE))</f>
        <v>0</v>
      </c>
      <c r="U121" s="825">
        <f t="shared" ca="1" si="14"/>
        <v>0</v>
      </c>
      <c r="V121" s="1562" t="e">
        <f ca="1">VLOOKUP(P121,TSS_換券投組!B:I,8,FALSE)</f>
        <v>#N/A</v>
      </c>
      <c r="W121" s="1562" t="e">
        <f ca="1">VLOOKUP(P121,TSS_換券投組!B:J,9,FALSE)</f>
        <v>#N/A</v>
      </c>
      <c r="X121" s="1562" t="e">
        <f ca="1">VLOOKUP(P121,TSS_換券投組!B:G,6,FALSE)</f>
        <v>#N/A</v>
      </c>
      <c r="Y121" s="1564" t="e">
        <f ca="1">VLOOKUP(P121,TSS_換券投組!B:F,5,FALSE)</f>
        <v>#N/A</v>
      </c>
      <c r="Z121" s="1563" t="e">
        <f ca="1">VLOOKUP(P121,'銀行-TSS'!B:AP,41,FALSE)</f>
        <v>#N/A</v>
      </c>
      <c r="AA121" s="1563" t="e">
        <f ca="1">VLOOKUP(P121,bond!B:J,9,FALSE)</f>
        <v>#N/A</v>
      </c>
    </row>
    <row r="122" spans="14:27">
      <c r="N122" s="1850"/>
      <c r="O122">
        <v>10</v>
      </c>
      <c r="P122" t="str">
        <f ca="1">IFERROR(INDEX(TSS_換券投組!B:B,MATCH(O122,TSS_換券投組!AC:AC,0),1),"")</f>
        <v/>
      </c>
      <c r="Q122" s="1565">
        <f t="shared" ca="1" si="12"/>
        <v>0</v>
      </c>
      <c r="R122" s="826">
        <f t="shared" ca="1" si="13"/>
        <v>0</v>
      </c>
      <c r="S122" s="248">
        <f ca="1">IF(P122="",0,VLOOKUP(P122,TSS_換券投組!B:H,7,FALSE))</f>
        <v>0</v>
      </c>
      <c r="T122">
        <f ca="1">IF(P122="",0,VLOOKUP(P122,TSS_換券投組!B:E,4,FALSE))</f>
        <v>0</v>
      </c>
      <c r="U122" s="825">
        <f t="shared" ca="1" si="14"/>
        <v>0</v>
      </c>
      <c r="V122" s="1562" t="e">
        <f ca="1">VLOOKUP(P122,TSS_換券投組!B:I,8,FALSE)</f>
        <v>#N/A</v>
      </c>
      <c r="W122" s="1562" t="e">
        <f ca="1">VLOOKUP(P122,TSS_換券投組!B:J,9,FALSE)</f>
        <v>#N/A</v>
      </c>
      <c r="X122" s="1562" t="e">
        <f ca="1">VLOOKUP(P122,TSS_換券投組!B:G,6,FALSE)</f>
        <v>#N/A</v>
      </c>
      <c r="Y122" s="1564" t="e">
        <f ca="1">VLOOKUP(P122,TSS_換券投組!B:F,5,FALSE)</f>
        <v>#N/A</v>
      </c>
      <c r="Z122" s="1563" t="e">
        <f ca="1">VLOOKUP(P122,'銀行-TSS'!B:AP,41,FALSE)</f>
        <v>#N/A</v>
      </c>
      <c r="AA122" s="1563" t="e">
        <f ca="1">VLOOKUP(P122,bond!B:J,9,FALSE)</f>
        <v>#N/A</v>
      </c>
    </row>
    <row r="123" spans="14:27">
      <c r="N123" s="1850"/>
      <c r="O123">
        <v>11</v>
      </c>
      <c r="P123" t="str">
        <f ca="1">IFERROR(INDEX(TSS_換券投組!B:B,MATCH(O123,TSS_換券投組!AC:AC,0),1),"")</f>
        <v/>
      </c>
      <c r="Q123" s="1565">
        <f t="shared" ca="1" si="12"/>
        <v>0</v>
      </c>
      <c r="R123" s="826">
        <f t="shared" ca="1" si="13"/>
        <v>0</v>
      </c>
      <c r="S123" s="248">
        <f ca="1">IF(P123="",0,VLOOKUP(P123,TSS_換券投組!B:H,7,FALSE))</f>
        <v>0</v>
      </c>
      <c r="T123">
        <f ca="1">IF(P123="",0,VLOOKUP(P123,TSS_換券投組!B:E,4,FALSE))</f>
        <v>0</v>
      </c>
      <c r="U123" s="825">
        <f t="shared" ca="1" si="14"/>
        <v>0</v>
      </c>
      <c r="V123" s="1562" t="e">
        <f ca="1">VLOOKUP(P123,TSS_換券投組!B:I,8,FALSE)</f>
        <v>#N/A</v>
      </c>
      <c r="W123" s="1562" t="e">
        <f ca="1">VLOOKUP(P123,TSS_換券投組!B:J,9,FALSE)</f>
        <v>#N/A</v>
      </c>
      <c r="X123" s="1562" t="e">
        <f ca="1">VLOOKUP(P123,TSS_換券投組!B:G,6,FALSE)</f>
        <v>#N/A</v>
      </c>
      <c r="Y123" s="1564" t="e">
        <f ca="1">VLOOKUP(P123,TSS_換券投組!B:F,5,FALSE)</f>
        <v>#N/A</v>
      </c>
      <c r="Z123" s="1563" t="e">
        <f ca="1">VLOOKUP(P123,'銀行-TSS'!B:AP,41,FALSE)</f>
        <v>#N/A</v>
      </c>
      <c r="AA123" s="1563" t="e">
        <f ca="1">VLOOKUP(P123,bond!B:J,9,FALSE)</f>
        <v>#N/A</v>
      </c>
    </row>
    <row r="124" spans="14:27">
      <c r="N124" s="1850"/>
      <c r="O124">
        <v>12</v>
      </c>
      <c r="P124" s="1471" t="str">
        <f ca="1">IFERROR(INDEX(TSS_換券投組!B:B,MATCH(O124,TSS_換券投組!AC:AC,0),1),"")</f>
        <v/>
      </c>
      <c r="Q124" s="1565">
        <f t="shared" ca="1" si="12"/>
        <v>0</v>
      </c>
      <c r="R124" s="826">
        <f t="shared" ca="1" si="13"/>
        <v>0</v>
      </c>
      <c r="S124" s="248">
        <f ca="1">IF(P124="",0,VLOOKUP(P124,TSS_換券投組!B:H,7,FALSE))</f>
        <v>0</v>
      </c>
      <c r="T124">
        <f ca="1">IF(P124="",0,VLOOKUP(P124,TSS_換券投組!B:E,4,FALSE))</f>
        <v>0</v>
      </c>
      <c r="U124" s="825">
        <f t="shared" ca="1" si="14"/>
        <v>0</v>
      </c>
      <c r="V124" s="1562" t="e">
        <f ca="1">VLOOKUP(P124,TSS_換券投組!B:I,8,FALSE)</f>
        <v>#N/A</v>
      </c>
      <c r="W124" s="1562" t="e">
        <f ca="1">VLOOKUP(P124,TSS_換券投組!B:J,9,FALSE)</f>
        <v>#N/A</v>
      </c>
      <c r="X124" s="1562" t="e">
        <f ca="1">VLOOKUP(P124,TSS_換券投組!B:G,6,FALSE)</f>
        <v>#N/A</v>
      </c>
      <c r="Y124" s="1564" t="e">
        <f ca="1">VLOOKUP(P124,TSS_換券投組!B:F,5,FALSE)</f>
        <v>#N/A</v>
      </c>
      <c r="Z124" s="1563" t="e">
        <f ca="1">VLOOKUP(P124,'銀行-TSS'!B:AP,41,FALSE)</f>
        <v>#N/A</v>
      </c>
      <c r="AA124" s="1563" t="e">
        <f ca="1">VLOOKUP(P124,bond!B:J,9,FALSE)</f>
        <v>#N/A</v>
      </c>
    </row>
    <row r="125" spans="14:27">
      <c r="N125" s="2243" t="s">
        <v>4301</v>
      </c>
      <c r="O125" s="1400">
        <v>1</v>
      </c>
      <c r="P125" s="1400" t="str">
        <f ca="1">IFERROR(INDEX(TSS_換券投組!B:B,MATCH(O125,TSS_換券投組!AE:AE,0),1),"")</f>
        <v/>
      </c>
      <c r="Q125" s="1565">
        <f t="shared" ca="1" si="12"/>
        <v>0</v>
      </c>
      <c r="R125" s="826">
        <f t="shared" ca="1" si="13"/>
        <v>0</v>
      </c>
      <c r="S125" s="248">
        <f ca="1">IF(P125="",0,VLOOKUP(P125,TSS_換券投組!B:H,7,FALSE))</f>
        <v>0</v>
      </c>
      <c r="T125">
        <f ca="1">IF(P125="",0,VLOOKUP(P125,TSS_換券投組!B:E,4,FALSE))</f>
        <v>0</v>
      </c>
      <c r="U125" s="825">
        <f t="shared" ca="1" si="14"/>
        <v>0</v>
      </c>
      <c r="V125" s="1562" t="e">
        <f ca="1">VLOOKUP(P125,TSS_換券投組!B:I,8,FALSE)</f>
        <v>#N/A</v>
      </c>
      <c r="W125" s="1562" t="e">
        <f ca="1">VLOOKUP(P125,TSS_換券投組!B:J,9,FALSE)</f>
        <v>#N/A</v>
      </c>
      <c r="X125" s="1562" t="e">
        <f ca="1">VLOOKUP(P125,TSS_換券投組!B:G,6,FALSE)</f>
        <v>#N/A</v>
      </c>
      <c r="Y125" s="1564" t="e">
        <f ca="1">VLOOKUP(P125,TSS_換券投組!B:F,5,FALSE)</f>
        <v>#N/A</v>
      </c>
      <c r="Z125" s="1563" t="e">
        <f ca="1">VLOOKUP(P125,'銀行-TSS'!B:AP,41,FALSE)</f>
        <v>#N/A</v>
      </c>
      <c r="AA125" s="1563" t="e">
        <f ca="1">VLOOKUP(P125,bond!B:J,9,FALSE)</f>
        <v>#N/A</v>
      </c>
    </row>
    <row r="126" spans="14:27">
      <c r="N126" s="1850"/>
      <c r="O126">
        <v>2</v>
      </c>
      <c r="P126" t="str">
        <f ca="1">IFERROR(INDEX(TSS_換券投組!B:B,MATCH(O126,TSS_換券投組!AE:AE,0),1),"")</f>
        <v/>
      </c>
      <c r="Q126" s="1565">
        <f t="shared" ca="1" si="12"/>
        <v>0</v>
      </c>
      <c r="R126" s="826">
        <f t="shared" ca="1" si="13"/>
        <v>0</v>
      </c>
      <c r="S126" s="248">
        <f ca="1">IF(P126="",0,VLOOKUP(P126,TSS_換券投組!B:H,7,FALSE))</f>
        <v>0</v>
      </c>
      <c r="T126">
        <f ca="1">IF(P126="",0,VLOOKUP(P126,TSS_換券投組!B:E,4,FALSE))</f>
        <v>0</v>
      </c>
      <c r="U126" s="825">
        <f t="shared" ca="1" si="14"/>
        <v>0</v>
      </c>
      <c r="V126" s="1562" t="e">
        <f ca="1">VLOOKUP(P126,TSS_換券投組!B:I,8,FALSE)</f>
        <v>#N/A</v>
      </c>
      <c r="W126" s="1562" t="e">
        <f ca="1">VLOOKUP(P126,TSS_換券投組!B:J,9,FALSE)</f>
        <v>#N/A</v>
      </c>
      <c r="X126" s="1562" t="e">
        <f ca="1">VLOOKUP(P126,TSS_換券投組!B:G,6,FALSE)</f>
        <v>#N/A</v>
      </c>
      <c r="Y126" s="1564" t="e">
        <f ca="1">VLOOKUP(P126,TSS_換券投組!B:F,5,FALSE)</f>
        <v>#N/A</v>
      </c>
      <c r="Z126" s="1563" t="e">
        <f ca="1">VLOOKUP(P126,'銀行-TSS'!B:AP,41,FALSE)</f>
        <v>#N/A</v>
      </c>
      <c r="AA126" s="1563" t="e">
        <f ca="1">VLOOKUP(P126,bond!B:J,9,FALSE)</f>
        <v>#N/A</v>
      </c>
    </row>
    <row r="127" spans="14:27">
      <c r="N127" s="1850"/>
      <c r="O127">
        <v>3</v>
      </c>
      <c r="P127" t="str">
        <f ca="1">IFERROR(INDEX(TSS_換券投組!B:B,MATCH(O127,TSS_換券投組!AE:AE,0),1),"")</f>
        <v/>
      </c>
      <c r="Q127" s="1565">
        <f t="shared" ca="1" si="12"/>
        <v>0</v>
      </c>
      <c r="R127" s="826">
        <f t="shared" ca="1" si="13"/>
        <v>0</v>
      </c>
      <c r="S127" s="248">
        <f ca="1">IF(P127="",0,VLOOKUP(P127,TSS_換券投組!B:H,7,FALSE))</f>
        <v>0</v>
      </c>
      <c r="T127">
        <f ca="1">IF(P127="",0,VLOOKUP(P127,TSS_換券投組!B:E,4,FALSE))</f>
        <v>0</v>
      </c>
      <c r="U127" s="825">
        <f t="shared" ca="1" si="14"/>
        <v>0</v>
      </c>
      <c r="V127" s="1562" t="e">
        <f ca="1">VLOOKUP(P127,TSS_換券投組!B:I,8,FALSE)</f>
        <v>#N/A</v>
      </c>
      <c r="W127" s="1562" t="e">
        <f ca="1">VLOOKUP(P127,TSS_換券投組!B:J,9,FALSE)</f>
        <v>#N/A</v>
      </c>
      <c r="X127" s="1562" t="e">
        <f ca="1">VLOOKUP(P127,TSS_換券投組!B:G,6,FALSE)</f>
        <v>#N/A</v>
      </c>
      <c r="Y127" s="1564" t="e">
        <f ca="1">VLOOKUP(P127,TSS_換券投組!B:F,5,FALSE)</f>
        <v>#N/A</v>
      </c>
      <c r="Z127" s="1563" t="e">
        <f ca="1">VLOOKUP(P127,'銀行-TSS'!B:AP,41,FALSE)</f>
        <v>#N/A</v>
      </c>
      <c r="AA127" s="1563" t="e">
        <f ca="1">VLOOKUP(P127,bond!B:J,9,FALSE)</f>
        <v>#N/A</v>
      </c>
    </row>
    <row r="128" spans="14:27">
      <c r="N128" s="1850"/>
      <c r="O128">
        <v>4</v>
      </c>
      <c r="P128" t="str">
        <f ca="1">IFERROR(INDEX(TSS_換券投組!B:B,MATCH(O128,TSS_換券投組!AE:AE,0),1),"")</f>
        <v/>
      </c>
      <c r="Q128" s="1565">
        <f t="shared" ca="1" si="12"/>
        <v>0</v>
      </c>
      <c r="R128" s="826">
        <f t="shared" ca="1" si="13"/>
        <v>0</v>
      </c>
      <c r="S128" s="248">
        <f ca="1">IF(P128="",0,VLOOKUP(P128,TSS_換券投組!B:H,7,FALSE))</f>
        <v>0</v>
      </c>
      <c r="T128">
        <f ca="1">IF(P128="",0,VLOOKUP(P128,TSS_換券投組!B:E,4,FALSE))</f>
        <v>0</v>
      </c>
      <c r="U128" s="825">
        <f t="shared" ca="1" si="14"/>
        <v>0</v>
      </c>
      <c r="V128" s="1562" t="e">
        <f ca="1">VLOOKUP(P128,TSS_換券投組!B:I,8,FALSE)</f>
        <v>#N/A</v>
      </c>
      <c r="W128" s="1562" t="e">
        <f ca="1">VLOOKUP(P128,TSS_換券投組!B:J,9,FALSE)</f>
        <v>#N/A</v>
      </c>
      <c r="X128" s="1562" t="e">
        <f ca="1">VLOOKUP(P128,TSS_換券投組!B:G,6,FALSE)</f>
        <v>#N/A</v>
      </c>
      <c r="Y128" s="1564" t="e">
        <f ca="1">VLOOKUP(P128,TSS_換券投組!B:F,5,FALSE)</f>
        <v>#N/A</v>
      </c>
      <c r="Z128" s="1563" t="e">
        <f ca="1">VLOOKUP(P128,'銀行-TSS'!B:AP,41,FALSE)</f>
        <v>#N/A</v>
      </c>
      <c r="AA128" s="1563" t="e">
        <f ca="1">VLOOKUP(P128,bond!B:J,9,FALSE)</f>
        <v>#N/A</v>
      </c>
    </row>
    <row r="129" spans="14:27">
      <c r="N129" s="1850"/>
      <c r="O129">
        <v>5</v>
      </c>
      <c r="P129" t="str">
        <f ca="1">IFERROR(INDEX(TSS_換券投組!B:B,MATCH(O129,TSS_換券投組!AE:AE,0),1),"")</f>
        <v/>
      </c>
      <c r="Q129" s="1565">
        <f t="shared" ca="1" si="12"/>
        <v>0</v>
      </c>
      <c r="R129" s="826">
        <f t="shared" ca="1" si="13"/>
        <v>0</v>
      </c>
      <c r="S129" s="248">
        <f ca="1">IF(P129="",0,VLOOKUP(P129,TSS_換券投組!B:H,7,FALSE))</f>
        <v>0</v>
      </c>
      <c r="T129">
        <f ca="1">IF(P129="",0,VLOOKUP(P129,TSS_換券投組!B:E,4,FALSE))</f>
        <v>0</v>
      </c>
      <c r="U129" s="825">
        <f t="shared" ca="1" si="14"/>
        <v>0</v>
      </c>
      <c r="V129" s="1562" t="e">
        <f ca="1">VLOOKUP(P129,TSS_換券投組!B:I,8,FALSE)</f>
        <v>#N/A</v>
      </c>
      <c r="W129" s="1562" t="e">
        <f ca="1">VLOOKUP(P129,TSS_換券投組!B:J,9,FALSE)</f>
        <v>#N/A</v>
      </c>
      <c r="X129" s="1562" t="e">
        <f ca="1">VLOOKUP(P129,TSS_換券投組!B:G,6,FALSE)</f>
        <v>#N/A</v>
      </c>
      <c r="Y129" s="1564" t="e">
        <f ca="1">VLOOKUP(P129,TSS_換券投組!B:F,5,FALSE)</f>
        <v>#N/A</v>
      </c>
      <c r="Z129" s="1563" t="e">
        <f ca="1">VLOOKUP(P129,'銀行-TSS'!B:AP,41,FALSE)</f>
        <v>#N/A</v>
      </c>
      <c r="AA129" s="1563" t="e">
        <f ca="1">VLOOKUP(P129,bond!B:J,9,FALSE)</f>
        <v>#N/A</v>
      </c>
    </row>
    <row r="130" spans="14:27">
      <c r="N130" s="1850"/>
      <c r="O130">
        <v>6</v>
      </c>
      <c r="P130" t="str">
        <f ca="1">IFERROR(INDEX(TSS_換券投組!B:B,MATCH(O130,TSS_換券投組!AE:AE,0),1),"")</f>
        <v/>
      </c>
      <c r="Q130" s="1565">
        <f t="shared" ca="1" si="12"/>
        <v>0</v>
      </c>
      <c r="R130" s="826">
        <f t="shared" ca="1" si="13"/>
        <v>0</v>
      </c>
      <c r="S130" s="248">
        <f ca="1">IF(P130="",0,VLOOKUP(P130,TSS_換券投組!B:H,7,FALSE))</f>
        <v>0</v>
      </c>
      <c r="T130">
        <f ca="1">IF(P130="",0,VLOOKUP(P130,TSS_換券投組!B:E,4,FALSE))</f>
        <v>0</v>
      </c>
      <c r="U130" s="825">
        <f t="shared" ca="1" si="14"/>
        <v>0</v>
      </c>
      <c r="V130" s="1562" t="e">
        <f ca="1">VLOOKUP(P130,TSS_換券投組!B:I,8,FALSE)</f>
        <v>#N/A</v>
      </c>
      <c r="W130" s="1562" t="e">
        <f ca="1">VLOOKUP(P130,TSS_換券投組!B:J,9,FALSE)</f>
        <v>#N/A</v>
      </c>
      <c r="X130" s="1562" t="e">
        <f ca="1">VLOOKUP(P130,TSS_換券投組!B:G,6,FALSE)</f>
        <v>#N/A</v>
      </c>
      <c r="Y130" s="1564" t="e">
        <f ca="1">VLOOKUP(P130,TSS_換券投組!B:F,5,FALSE)</f>
        <v>#N/A</v>
      </c>
      <c r="Z130" s="1563" t="e">
        <f ca="1">VLOOKUP(P130,'銀行-TSS'!B:AP,41,FALSE)</f>
        <v>#N/A</v>
      </c>
      <c r="AA130" s="1563" t="e">
        <f ca="1">VLOOKUP(P130,bond!B:J,9,FALSE)</f>
        <v>#N/A</v>
      </c>
    </row>
    <row r="131" spans="14:27">
      <c r="N131" s="1850"/>
      <c r="O131">
        <v>7</v>
      </c>
      <c r="P131" t="str">
        <f ca="1">IFERROR(INDEX(TSS_換券投組!B:B,MATCH(O131,TSS_換券投組!AE:AE,0),1),"")</f>
        <v/>
      </c>
      <c r="Q131" s="1565">
        <f t="shared" ca="1" si="12"/>
        <v>0</v>
      </c>
      <c r="R131" s="826">
        <f t="shared" ca="1" si="13"/>
        <v>0</v>
      </c>
      <c r="S131" s="248">
        <f ca="1">IF(P131="",0,VLOOKUP(P131,TSS_換券投組!B:H,7,FALSE))</f>
        <v>0</v>
      </c>
      <c r="T131">
        <f ca="1">IF(P131="",0,VLOOKUP(P131,TSS_換券投組!B:E,4,FALSE))</f>
        <v>0</v>
      </c>
      <c r="U131" s="825">
        <f t="shared" ca="1" si="14"/>
        <v>0</v>
      </c>
      <c r="V131" s="1562" t="e">
        <f ca="1">VLOOKUP(P131,TSS_換券投組!B:I,8,FALSE)</f>
        <v>#N/A</v>
      </c>
      <c r="W131" s="1562" t="e">
        <f ca="1">VLOOKUP(P131,TSS_換券投組!B:J,9,FALSE)</f>
        <v>#N/A</v>
      </c>
      <c r="X131" s="1562" t="e">
        <f ca="1">VLOOKUP(P131,TSS_換券投組!B:G,6,FALSE)</f>
        <v>#N/A</v>
      </c>
      <c r="Y131" s="1564" t="e">
        <f ca="1">VLOOKUP(P131,TSS_換券投組!B:F,5,FALSE)</f>
        <v>#N/A</v>
      </c>
      <c r="Z131" s="1563" t="e">
        <f ca="1">VLOOKUP(P131,'銀行-TSS'!B:AP,41,FALSE)</f>
        <v>#N/A</v>
      </c>
      <c r="AA131" s="1563" t="e">
        <f ca="1">VLOOKUP(P131,bond!B:J,9,FALSE)</f>
        <v>#N/A</v>
      </c>
    </row>
    <row r="132" spans="14:27">
      <c r="N132" s="1850"/>
      <c r="O132">
        <v>8</v>
      </c>
      <c r="P132" t="str">
        <f ca="1">IFERROR(INDEX(TSS_換券投組!B:B,MATCH(O132,TSS_換券投組!AE:AE,0),1),"")</f>
        <v/>
      </c>
      <c r="Q132" s="1565">
        <f t="shared" ca="1" si="12"/>
        <v>0</v>
      </c>
      <c r="R132" s="826">
        <f t="shared" ca="1" si="13"/>
        <v>0</v>
      </c>
      <c r="S132" s="248">
        <f ca="1">IF(P132="",0,VLOOKUP(P132,TSS_換券投組!B:H,7,FALSE))</f>
        <v>0</v>
      </c>
      <c r="T132">
        <f ca="1">IF(P132="",0,VLOOKUP(P132,TSS_換券投組!B:E,4,FALSE))</f>
        <v>0</v>
      </c>
      <c r="U132" s="825">
        <f t="shared" ca="1" si="14"/>
        <v>0</v>
      </c>
      <c r="V132" s="1562" t="e">
        <f ca="1">VLOOKUP(P132,TSS_換券投組!B:I,8,FALSE)</f>
        <v>#N/A</v>
      </c>
      <c r="W132" s="1562" t="e">
        <f ca="1">VLOOKUP(P132,TSS_換券投組!B:J,9,FALSE)</f>
        <v>#N/A</v>
      </c>
      <c r="X132" s="1562" t="e">
        <f ca="1">VLOOKUP(P132,TSS_換券投組!B:G,6,FALSE)</f>
        <v>#N/A</v>
      </c>
      <c r="Y132" s="1564" t="e">
        <f ca="1">VLOOKUP(P132,TSS_換券投組!B:F,5,FALSE)</f>
        <v>#N/A</v>
      </c>
      <c r="Z132" s="1563" t="e">
        <f ca="1">VLOOKUP(P132,'銀行-TSS'!B:AP,41,FALSE)</f>
        <v>#N/A</v>
      </c>
      <c r="AA132" s="1563" t="e">
        <f ca="1">VLOOKUP(P132,bond!B:J,9,FALSE)</f>
        <v>#N/A</v>
      </c>
    </row>
    <row r="133" spans="14:27">
      <c r="N133" s="1850"/>
      <c r="O133">
        <v>9</v>
      </c>
      <c r="P133" t="str">
        <f ca="1">IFERROR(INDEX(TSS_換券投組!B:B,MATCH(O133,TSS_換券投組!AE:AE,0),1),"")</f>
        <v/>
      </c>
      <c r="Q133" s="1565">
        <f t="shared" ca="1" si="12"/>
        <v>0</v>
      </c>
      <c r="R133" s="826">
        <f t="shared" ca="1" si="13"/>
        <v>0</v>
      </c>
      <c r="S133" s="248">
        <f ca="1">IF(P133="",0,VLOOKUP(P133,TSS_換券投組!B:H,7,FALSE))</f>
        <v>0</v>
      </c>
      <c r="T133">
        <f ca="1">IF(P133="",0,VLOOKUP(P133,TSS_換券投組!B:E,4,FALSE))</f>
        <v>0</v>
      </c>
      <c r="U133" s="825">
        <f t="shared" ca="1" si="14"/>
        <v>0</v>
      </c>
      <c r="V133" s="1562" t="e">
        <f ca="1">VLOOKUP(P133,TSS_換券投組!B:I,8,FALSE)</f>
        <v>#N/A</v>
      </c>
      <c r="W133" s="1562" t="e">
        <f ca="1">VLOOKUP(P133,TSS_換券投組!B:J,9,FALSE)</f>
        <v>#N/A</v>
      </c>
      <c r="X133" s="1562" t="e">
        <f ca="1">VLOOKUP(P133,TSS_換券投組!B:G,6,FALSE)</f>
        <v>#N/A</v>
      </c>
      <c r="Y133" s="1564" t="e">
        <f ca="1">VLOOKUP(P133,TSS_換券投組!B:F,5,FALSE)</f>
        <v>#N/A</v>
      </c>
      <c r="Z133" s="1563" t="e">
        <f ca="1">VLOOKUP(P133,'銀行-TSS'!B:AP,41,FALSE)</f>
        <v>#N/A</v>
      </c>
      <c r="AA133" s="1563" t="e">
        <f ca="1">VLOOKUP(P133,bond!B:J,9,FALSE)</f>
        <v>#N/A</v>
      </c>
    </row>
    <row r="134" spans="14:27">
      <c r="N134" s="1850"/>
      <c r="O134">
        <v>10</v>
      </c>
      <c r="P134" t="str">
        <f ca="1">IFERROR(INDEX(TSS_換券投組!B:B,MATCH(O134,TSS_換券投組!AE:AE,0),1),"")</f>
        <v/>
      </c>
      <c r="Q134" s="1565">
        <f t="shared" ca="1" si="12"/>
        <v>0</v>
      </c>
      <c r="R134" s="826">
        <f t="shared" ca="1" si="13"/>
        <v>0</v>
      </c>
      <c r="S134" s="248">
        <f ca="1">IF(P134="",0,VLOOKUP(P134,TSS_換券投組!B:H,7,FALSE))</f>
        <v>0</v>
      </c>
      <c r="T134">
        <f ca="1">IF(P134="",0,VLOOKUP(P134,TSS_換券投組!B:E,4,FALSE))</f>
        <v>0</v>
      </c>
      <c r="U134" s="825">
        <f t="shared" ca="1" si="14"/>
        <v>0</v>
      </c>
      <c r="V134" s="1562" t="e">
        <f ca="1">VLOOKUP(P134,TSS_換券投組!B:I,8,FALSE)</f>
        <v>#N/A</v>
      </c>
      <c r="W134" s="1562" t="e">
        <f ca="1">VLOOKUP(P134,TSS_換券投組!B:J,9,FALSE)</f>
        <v>#N/A</v>
      </c>
      <c r="X134" s="1562" t="e">
        <f ca="1">VLOOKUP(P134,TSS_換券投組!B:G,6,FALSE)</f>
        <v>#N/A</v>
      </c>
      <c r="Y134" s="1564" t="e">
        <f ca="1">VLOOKUP(P134,TSS_換券投組!B:F,5,FALSE)</f>
        <v>#N/A</v>
      </c>
      <c r="Z134" s="1563" t="e">
        <f ca="1">VLOOKUP(P134,'銀行-TSS'!B:AP,41,FALSE)</f>
        <v>#N/A</v>
      </c>
      <c r="AA134" s="1563" t="e">
        <f ca="1">VLOOKUP(P134,bond!B:J,9,FALSE)</f>
        <v>#N/A</v>
      </c>
    </row>
    <row r="135" spans="14:27">
      <c r="N135" s="1850"/>
      <c r="O135">
        <v>11</v>
      </c>
      <c r="P135" t="str">
        <f ca="1">IFERROR(INDEX(TSS_換券投組!B:B,MATCH(O135,TSS_換券投組!AE:AE,0),1),"")</f>
        <v/>
      </c>
      <c r="Q135" s="1565">
        <f t="shared" ca="1" si="12"/>
        <v>0</v>
      </c>
      <c r="R135" s="826">
        <f t="shared" ca="1" si="13"/>
        <v>0</v>
      </c>
      <c r="S135" s="248">
        <f ca="1">IF(P135="",0,VLOOKUP(P135,TSS_換券投組!B:H,7,FALSE))</f>
        <v>0</v>
      </c>
      <c r="T135">
        <f ca="1">IF(P135="",0,VLOOKUP(P135,TSS_換券投組!B:E,4,FALSE))</f>
        <v>0</v>
      </c>
      <c r="U135" s="825">
        <f t="shared" ca="1" si="14"/>
        <v>0</v>
      </c>
      <c r="V135" s="1562" t="e">
        <f ca="1">VLOOKUP(P135,TSS_換券投組!B:I,8,FALSE)</f>
        <v>#N/A</v>
      </c>
      <c r="W135" s="1562" t="e">
        <f ca="1">VLOOKUP(P135,TSS_換券投組!B:J,9,FALSE)</f>
        <v>#N/A</v>
      </c>
      <c r="X135" s="1562" t="e">
        <f ca="1">VLOOKUP(P135,TSS_換券投組!B:G,6,FALSE)</f>
        <v>#N/A</v>
      </c>
      <c r="Y135" s="1564" t="e">
        <f ca="1">VLOOKUP(P135,TSS_換券投組!B:F,5,FALSE)</f>
        <v>#N/A</v>
      </c>
      <c r="Z135" s="1563" t="e">
        <f ca="1">VLOOKUP(P135,'銀行-TSS'!B:AP,41,FALSE)</f>
        <v>#N/A</v>
      </c>
      <c r="AA135" s="1563" t="e">
        <f ca="1">VLOOKUP(P135,bond!B:J,9,FALSE)</f>
        <v>#N/A</v>
      </c>
    </row>
    <row r="136" spans="14:27">
      <c r="N136" s="1850"/>
      <c r="O136">
        <v>12</v>
      </c>
      <c r="P136" t="str">
        <f ca="1">IFERROR(INDEX(TSS_換券投組!B:B,MATCH(O136,TSS_換券投組!AE:AE,0),1),"")</f>
        <v/>
      </c>
      <c r="Q136" s="1565">
        <f t="shared" ca="1" si="12"/>
        <v>0</v>
      </c>
      <c r="R136" s="826">
        <f t="shared" ca="1" si="13"/>
        <v>0</v>
      </c>
      <c r="S136" s="248">
        <f ca="1">IF(P136="",0,VLOOKUP(P136,TSS_換券投組!B:H,7,FALSE))</f>
        <v>0</v>
      </c>
      <c r="T136">
        <f ca="1">IF(P136="",0,VLOOKUP(P136,TSS_換券投組!B:E,4,FALSE))</f>
        <v>0</v>
      </c>
      <c r="U136" s="825">
        <f t="shared" ca="1" si="14"/>
        <v>0</v>
      </c>
      <c r="V136" s="1562" t="e">
        <f ca="1">VLOOKUP(P136,TSS_換券投組!B:I,8,FALSE)</f>
        <v>#N/A</v>
      </c>
      <c r="W136" s="1562" t="e">
        <f ca="1">VLOOKUP(P136,TSS_換券投組!B:J,9,FALSE)</f>
        <v>#N/A</v>
      </c>
      <c r="X136" s="1562" t="e">
        <f ca="1">VLOOKUP(P136,TSS_換券投組!B:G,6,FALSE)</f>
        <v>#N/A</v>
      </c>
      <c r="Y136" s="1564" t="e">
        <f ca="1">VLOOKUP(P136,TSS_換券投組!B:F,5,FALSE)</f>
        <v>#N/A</v>
      </c>
      <c r="Z136" s="1563" t="e">
        <f ca="1">VLOOKUP(P136,'銀行-TSS'!B:AP,41,FALSE)</f>
        <v>#N/A</v>
      </c>
      <c r="AA136" s="1563" t="e">
        <f ca="1">VLOOKUP(P136,bond!B:J,9,FALSE)</f>
        <v>#N/A</v>
      </c>
    </row>
    <row r="137" spans="14:27">
      <c r="N137" s="2243" t="s">
        <v>4435</v>
      </c>
      <c r="O137" s="1400">
        <v>1</v>
      </c>
      <c r="P137" s="1400">
        <f>AD64</f>
        <v>0</v>
      </c>
      <c r="Q137" s="1658">
        <f t="shared" ref="Q137:Q146" ca="1" si="15">IFERROR(R137*Y137*$D$23,0)</f>
        <v>0</v>
      </c>
      <c r="R137" s="1504">
        <f t="shared" ref="R137:R146" ca="1" si="16">IFERROR(V137+INT(($D$42-(V137*X137/100))/(W137*X137/100))*W137,0)</f>
        <v>0</v>
      </c>
      <c r="S137" s="1668">
        <f>IF(P137=0,0,VLOOKUP(P137,TSS_換券投組!B:H,7,FALSE))</f>
        <v>0</v>
      </c>
      <c r="T137" s="1669">
        <f>IF(P137=0,0,VLOOKUP(P137,TSS_換券投組!B:E,4,FALSE))</f>
        <v>0</v>
      </c>
      <c r="U137" s="1670">
        <f>IF(P137=0,0,AA137/100*R137*Z137*1%)*$D$23</f>
        <v>0</v>
      </c>
      <c r="V137" s="1659" t="e">
        <f ca="1">VLOOKUP(P137,TSS_換券投組!B:I,8,FALSE)</f>
        <v>#N/A</v>
      </c>
      <c r="W137" s="1659" t="e">
        <f ca="1">VLOOKUP(P137,TSS_換券投組!B:J,9,FALSE)</f>
        <v>#N/A</v>
      </c>
      <c r="X137" s="1659" t="e">
        <f ca="1">VLOOKUP(P137,TSS_換券投組!B:G,6,FALSE)</f>
        <v>#N/A</v>
      </c>
      <c r="Y137" s="1660" t="e">
        <f ca="1">VLOOKUP(P137,TSS_換券投組!B:F,5,FALSE)</f>
        <v>#N/A</v>
      </c>
      <c r="Z137" s="1661" t="e">
        <f ca="1">VLOOKUP(P137,'銀行-TSS'!B:AP,41,FALSE)</f>
        <v>#N/A</v>
      </c>
      <c r="AA137" s="1661" t="e">
        <f>VLOOKUP(P137,bond!B:J,9,FALSE)</f>
        <v>#N/A</v>
      </c>
    </row>
    <row r="138" spans="14:27">
      <c r="N138" s="1850"/>
      <c r="O138">
        <v>2</v>
      </c>
      <c r="P138">
        <f t="shared" ref="P138:P142" si="17">AD65</f>
        <v>0</v>
      </c>
      <c r="Q138" s="1662">
        <f t="shared" ca="1" si="15"/>
        <v>0</v>
      </c>
      <c r="R138" s="1119">
        <f t="shared" ca="1" si="16"/>
        <v>0</v>
      </c>
      <c r="S138" s="1671">
        <f>IF(P138=0,0,VLOOKUP(P138,TSS_換券投組!B:H,7,FALSE))</f>
        <v>0</v>
      </c>
      <c r="T138" s="1672">
        <f>IF(P138=0,0,VLOOKUP(P138,TSS_換券投組!B:E,4,FALSE))</f>
        <v>0</v>
      </c>
      <c r="U138" s="1673">
        <f t="shared" ref="U138:U142" si="18">IF(P138=0,0,AA138/100*R138*Z138*1%)*$D$23</f>
        <v>0</v>
      </c>
      <c r="V138" s="1562" t="e">
        <f ca="1">VLOOKUP(P138,TSS_換券投組!B:I,8,FALSE)</f>
        <v>#N/A</v>
      </c>
      <c r="W138" s="1562" t="e">
        <f ca="1">VLOOKUP(P138,TSS_換券投組!B:J,9,FALSE)</f>
        <v>#N/A</v>
      </c>
      <c r="X138" s="1562" t="e">
        <f ca="1">VLOOKUP(P138,TSS_換券投組!B:G,6,FALSE)</f>
        <v>#N/A</v>
      </c>
      <c r="Y138" s="1663" t="e">
        <f ca="1">VLOOKUP(P138,TSS_換券投組!B:F,5,FALSE)</f>
        <v>#N/A</v>
      </c>
      <c r="Z138" s="1563" t="e">
        <f ca="1">VLOOKUP(P138,'銀行-TSS'!B:AP,41,FALSE)</f>
        <v>#N/A</v>
      </c>
      <c r="AA138" s="1563" t="e">
        <f>VLOOKUP(P138,bond!B:J,9,FALSE)</f>
        <v>#N/A</v>
      </c>
    </row>
    <row r="139" spans="14:27">
      <c r="N139" s="1850"/>
      <c r="O139">
        <v>3</v>
      </c>
      <c r="P139">
        <f t="shared" si="17"/>
        <v>0</v>
      </c>
      <c r="Q139" s="1662">
        <f t="shared" ca="1" si="15"/>
        <v>0</v>
      </c>
      <c r="R139" s="1119">
        <f t="shared" ca="1" si="16"/>
        <v>0</v>
      </c>
      <c r="S139" s="1671">
        <f>IF(P139=0,0,VLOOKUP(P139,TSS_換券投組!B:H,7,FALSE))</f>
        <v>0</v>
      </c>
      <c r="T139" s="1672">
        <f>IF(P139=0,0,VLOOKUP(P139,TSS_換券投組!B:E,4,FALSE))</f>
        <v>0</v>
      </c>
      <c r="U139" s="1673">
        <f t="shared" si="18"/>
        <v>0</v>
      </c>
      <c r="V139" s="1562" t="e">
        <f ca="1">VLOOKUP(P139,TSS_換券投組!B:I,8,FALSE)</f>
        <v>#N/A</v>
      </c>
      <c r="W139" s="1562" t="e">
        <f ca="1">VLOOKUP(P139,TSS_換券投組!B:J,9,FALSE)</f>
        <v>#N/A</v>
      </c>
      <c r="X139" s="1562" t="e">
        <f ca="1">VLOOKUP(P139,TSS_換券投組!B:G,6,FALSE)</f>
        <v>#N/A</v>
      </c>
      <c r="Y139" s="1663" t="e">
        <f ca="1">VLOOKUP(P139,TSS_換券投組!B:F,5,FALSE)</f>
        <v>#N/A</v>
      </c>
      <c r="Z139" s="1563" t="e">
        <f ca="1">VLOOKUP(P139,'銀行-TSS'!B:AP,41,FALSE)</f>
        <v>#N/A</v>
      </c>
      <c r="AA139" s="1563" t="e">
        <f>VLOOKUP(P139,bond!B:J,9,FALSE)</f>
        <v>#N/A</v>
      </c>
    </row>
    <row r="140" spans="14:27">
      <c r="N140" s="1850"/>
      <c r="O140">
        <v>4</v>
      </c>
      <c r="P140">
        <f t="shared" si="17"/>
        <v>0</v>
      </c>
      <c r="Q140" s="1662">
        <f t="shared" ca="1" si="15"/>
        <v>0</v>
      </c>
      <c r="R140" s="1119">
        <f t="shared" ca="1" si="16"/>
        <v>0</v>
      </c>
      <c r="S140" s="1671">
        <f>IF(P140=0,0,VLOOKUP(P140,TSS_換券投組!B:H,7,FALSE))</f>
        <v>0</v>
      </c>
      <c r="T140" s="1672">
        <f>IF(P140=0,0,VLOOKUP(P140,TSS_換券投組!B:E,4,FALSE))</f>
        <v>0</v>
      </c>
      <c r="U140" s="1673">
        <f t="shared" si="18"/>
        <v>0</v>
      </c>
      <c r="V140" s="1562" t="e">
        <f ca="1">VLOOKUP(P140,TSS_換券投組!B:I,8,FALSE)</f>
        <v>#N/A</v>
      </c>
      <c r="W140" s="1562" t="e">
        <f ca="1">VLOOKUP(P140,TSS_換券投組!B:J,9,FALSE)</f>
        <v>#N/A</v>
      </c>
      <c r="X140" s="1562" t="e">
        <f ca="1">VLOOKUP(P140,TSS_換券投組!B:G,6,FALSE)</f>
        <v>#N/A</v>
      </c>
      <c r="Y140" s="1663" t="e">
        <f ca="1">VLOOKUP(P140,TSS_換券投組!B:F,5,FALSE)</f>
        <v>#N/A</v>
      </c>
      <c r="Z140" s="1563" t="e">
        <f ca="1">VLOOKUP(P140,'銀行-TSS'!B:AP,41,FALSE)</f>
        <v>#N/A</v>
      </c>
      <c r="AA140" s="1563" t="e">
        <f>VLOOKUP(P140,bond!B:J,9,FALSE)</f>
        <v>#N/A</v>
      </c>
    </row>
    <row r="141" spans="14:27">
      <c r="N141" s="1850"/>
      <c r="O141">
        <v>5</v>
      </c>
      <c r="P141">
        <f t="shared" si="17"/>
        <v>0</v>
      </c>
      <c r="Q141" s="1662">
        <f t="shared" ca="1" si="15"/>
        <v>0</v>
      </c>
      <c r="R141" s="1119">
        <f t="shared" ca="1" si="16"/>
        <v>0</v>
      </c>
      <c r="S141" s="1671">
        <f>IF(P141=0,0,VLOOKUP(P141,TSS_換券投組!B:H,7,FALSE))</f>
        <v>0</v>
      </c>
      <c r="T141" s="1672">
        <f>IF(P141=0,0,VLOOKUP(P141,TSS_換券投組!B:E,4,FALSE))</f>
        <v>0</v>
      </c>
      <c r="U141" s="1673">
        <f t="shared" si="18"/>
        <v>0</v>
      </c>
      <c r="V141" s="1562" t="e">
        <f ca="1">VLOOKUP(P141,TSS_換券投組!B:I,8,FALSE)</f>
        <v>#N/A</v>
      </c>
      <c r="W141" s="1562" t="e">
        <f ca="1">VLOOKUP(P141,TSS_換券投組!B:J,9,FALSE)</f>
        <v>#N/A</v>
      </c>
      <c r="X141" s="1562" t="e">
        <f ca="1">VLOOKUP(P141,TSS_換券投組!B:G,6,FALSE)</f>
        <v>#N/A</v>
      </c>
      <c r="Y141" s="1663" t="e">
        <f ca="1">VLOOKUP(P141,TSS_換券投組!B:F,5,FALSE)</f>
        <v>#N/A</v>
      </c>
      <c r="Z141" s="1563" t="e">
        <f ca="1">VLOOKUP(P141,'銀行-TSS'!B:AP,41,FALSE)</f>
        <v>#N/A</v>
      </c>
      <c r="AA141" s="1563" t="e">
        <f>VLOOKUP(P141,bond!B:J,9,FALSE)</f>
        <v>#N/A</v>
      </c>
    </row>
    <row r="142" spans="14:27">
      <c r="N142" s="2244"/>
      <c r="O142" s="1471">
        <v>6</v>
      </c>
      <c r="P142" s="1471">
        <f t="shared" si="17"/>
        <v>0</v>
      </c>
      <c r="Q142" s="1664">
        <f t="shared" ca="1" si="15"/>
        <v>0</v>
      </c>
      <c r="R142" s="1507">
        <f t="shared" ca="1" si="16"/>
        <v>0</v>
      </c>
      <c r="S142" s="1674">
        <f>IF(P142=0,0,VLOOKUP(P142,TSS_換券投組!B:H,7,FALSE))</f>
        <v>0</v>
      </c>
      <c r="T142" s="1675">
        <f>IF(P142=0,0,VLOOKUP(P142,TSS_換券投組!B:E,4,FALSE))</f>
        <v>0</v>
      </c>
      <c r="U142" s="1676">
        <f t="shared" si="18"/>
        <v>0</v>
      </c>
      <c r="V142" s="1665" t="e">
        <f ca="1">VLOOKUP(P142,TSS_換券投組!B:I,8,FALSE)</f>
        <v>#N/A</v>
      </c>
      <c r="W142" s="1665" t="e">
        <f ca="1">VLOOKUP(P142,TSS_換券投組!B:J,9,FALSE)</f>
        <v>#N/A</v>
      </c>
      <c r="X142" s="1665" t="e">
        <f ca="1">VLOOKUP(P142,TSS_換券投組!B:G,6,FALSE)</f>
        <v>#N/A</v>
      </c>
      <c r="Y142" s="1666" t="e">
        <f ca="1">VLOOKUP(P142,TSS_換券投組!B:F,5,FALSE)</f>
        <v>#N/A</v>
      </c>
      <c r="Z142" s="1667" t="e">
        <f ca="1">VLOOKUP(P142,'銀行-TSS'!B:AP,41,FALSE)</f>
        <v>#N/A</v>
      </c>
      <c r="AA142" s="1667" t="e">
        <f>VLOOKUP(P142,bond!B:J,9,FALSE)</f>
        <v>#N/A</v>
      </c>
    </row>
    <row r="143" spans="14:27">
      <c r="N143" s="2243" t="s">
        <v>4434</v>
      </c>
      <c r="O143">
        <v>1</v>
      </c>
      <c r="P143" t="str">
        <f ca="1">IF(OR('Tssco-bond portfolio(2)'!BQ7&lt;&gt;"USD",'Tssco-bond portfolio(2)'!S7=FALSE),"",IF('Tssco-bond portfolio(2)'!I7=0,"",'Tssco-bond portfolio(2)'!I7))</f>
        <v>XH430</v>
      </c>
      <c r="Q143" s="1565">
        <f ca="1">IFERROR(R143*Y143*$D$23,0)</f>
        <v>515132.41949999996</v>
      </c>
      <c r="R143" s="826">
        <f t="shared" ca="1" si="16"/>
        <v>327000</v>
      </c>
      <c r="S143" s="248">
        <f ca="1">IF(P143="",0,VLOOKUP(P143,TSS_換券投組!B:H,7,FALSE))</f>
        <v>4.7699999999999999E-2</v>
      </c>
      <c r="T143">
        <f ca="1">IF(P143="",0,VLOOKUP(P143,TSS_換券投組!B:E,4,FALSE))</f>
        <v>28.85</v>
      </c>
      <c r="U143" s="825">
        <f t="shared" ref="U143:U146" ca="1" si="19">IF(P143="",0,AA143/100*R143*Z143*1%)*$D$23</f>
        <v>1582161.7866324438</v>
      </c>
      <c r="V143" s="1562">
        <f ca="1">VLOOKUP(P143,TSS_換券投組!B:I,8,FALSE)</f>
        <v>10000</v>
      </c>
      <c r="W143" s="1562">
        <f ca="1">VLOOKUP(P143,TSS_換券投組!B:J,9,FALSE)</f>
        <v>1000</v>
      </c>
      <c r="X143" s="1562">
        <f ca="1">VLOOKUP(P143,TSS_換券投組!B:G,6,FALSE)</f>
        <v>101.87</v>
      </c>
      <c r="Y143" s="1564">
        <f ca="1">VLOOKUP(P143,TSS_換券投組!B:F,5,FALSE)</f>
        <v>4.8499999999999995E-2</v>
      </c>
      <c r="Z143" s="1563">
        <f ca="1">VLOOKUP(P143,'銀行-TSS'!B:AP,41,FALSE)</f>
        <v>15.2515</v>
      </c>
      <c r="AA143" s="1563">
        <f ca="1">VLOOKUP(P143,bond!B:J,9,FALSE)</f>
        <v>97.67</v>
      </c>
    </row>
    <row r="144" spans="14:27">
      <c r="N144" s="1850"/>
      <c r="O144">
        <v>2</v>
      </c>
      <c r="P144" t="str">
        <f ca="1">IF(OR('Tssco-bond portfolio(2)'!BQ8&lt;&gt;"USD",'Tssco-bond portfolio(2)'!S8=FALSE),"",IF('Tssco-bond portfolio(2)'!I8=0,"",'Tssco-bond portfolio(2)'!I8))</f>
        <v>XG300</v>
      </c>
      <c r="Q144" s="1565">
        <f t="shared" ca="1" si="15"/>
        <v>403414.02</v>
      </c>
      <c r="R144" s="826">
        <f t="shared" ca="1" si="16"/>
        <v>552000</v>
      </c>
      <c r="S144" s="248">
        <f ca="1">IF(P144="",0,VLOOKUP(P144,TSS_換券投組!B:H,7,FALSE))</f>
        <v>4.5499999999999999E-2</v>
      </c>
      <c r="T144">
        <f ca="1">IF(P144="",0,VLOOKUP(P144,TSS_換券投組!B:E,4,FALSE))</f>
        <v>36.119999999999997</v>
      </c>
      <c r="U144" s="825">
        <f t="shared" ca="1" si="19"/>
        <v>2005587.3807091587</v>
      </c>
      <c r="V144" s="1562">
        <f ca="1">VLOOKUP(P144,TSS_換券投組!B:I,8,FALSE)</f>
        <v>10000</v>
      </c>
      <c r="W144" s="1562">
        <f ca="1">VLOOKUP(P144,TSS_換券投組!B:J,9,FALSE)</f>
        <v>1000</v>
      </c>
      <c r="X144" s="1562">
        <f ca="1">VLOOKUP(P144,TSS_換券投組!B:G,6,FALSE)</f>
        <v>60.32</v>
      </c>
      <c r="Y144" s="1564">
        <f ca="1">VLOOKUP(P144,TSS_換券投組!B:F,5,FALSE)</f>
        <v>2.2499999999999999E-2</v>
      </c>
      <c r="Z144" s="1563">
        <f ca="1">VLOOKUP(P144,'銀行-TSS'!B:AP,41,FALSE)</f>
        <v>19.9892</v>
      </c>
      <c r="AA144" s="1563">
        <f ca="1">VLOOKUP(P144,bond!B:J,9,FALSE)</f>
        <v>55.96</v>
      </c>
    </row>
    <row r="145" spans="14:27">
      <c r="N145" s="1850"/>
      <c r="O145">
        <v>3</v>
      </c>
      <c r="P145" t="str">
        <f ca="1">IF(OR('Tssco-bond portfolio(2)'!BQ9&lt;&gt;"USD",'Tssco-bond portfolio(2)'!S9=FALSE),"",IF('Tssco-bond portfolio(2)'!I9=0,"",'Tssco-bond portfolio(2)'!I9))</f>
        <v>XH750</v>
      </c>
      <c r="Q145" s="1565">
        <f ca="1">IFERROR(R145*Y145*$D$23,0)</f>
        <v>528871.88250000007</v>
      </c>
      <c r="R145" s="826">
        <f t="shared" ca="1" si="16"/>
        <v>334000</v>
      </c>
      <c r="S145" s="248">
        <f ca="1">IF(P145="",0,VLOOKUP(P145,TSS_換券投組!B:H,7,FALSE))</f>
        <v>5.0099999999999999E-2</v>
      </c>
      <c r="T145">
        <f ca="1">IF(P145="",0,VLOOKUP(P145,TSS_換券投組!B:E,4,FALSE))</f>
        <v>28.66</v>
      </c>
      <c r="U145" s="825">
        <f t="shared" ca="1" si="19"/>
        <v>1514182.5814555674</v>
      </c>
      <c r="V145" s="1562">
        <f ca="1">VLOOKUP(P145,TSS_換券投組!B:I,8,FALSE)</f>
        <v>10000</v>
      </c>
      <c r="W145" s="1562">
        <f ca="1">VLOOKUP(P145,TSS_換券投組!B:J,9,FALSE)</f>
        <v>1000</v>
      </c>
      <c r="X145" s="1562">
        <f ca="1">VLOOKUP(P145,TSS_換券投組!B:G,6,FALSE)</f>
        <v>99.7</v>
      </c>
      <c r="Y145" s="1564">
        <f ca="1">VLOOKUP(P145,TSS_換券投組!B:F,5,FALSE)</f>
        <v>4.8750000000000002E-2</v>
      </c>
      <c r="Z145" s="1563">
        <f ca="1">VLOOKUP(P145,'銀行-TSS'!B:AP,41,FALSE)</f>
        <v>14.7681</v>
      </c>
      <c r="AA145" s="1563">
        <f ca="1">VLOOKUP(P145,bond!B:J,9,FALSE)</f>
        <v>94.51</v>
      </c>
    </row>
    <row r="146" spans="14:27">
      <c r="N146" s="1850"/>
      <c r="O146">
        <v>4</v>
      </c>
      <c r="P146" t="str">
        <f ca="1">IF(OR('Tssco-bond portfolio(2)'!BQ10&lt;&gt;"USD",'Tssco-bond portfolio(2)'!S10=FALSE),"",IF('Tssco-bond portfolio(2)'!I10=0,"",'Tssco-bond portfolio(2)'!I10))</f>
        <v>XH040</v>
      </c>
      <c r="Q146" s="1565">
        <f t="shared" ca="1" si="15"/>
        <v>523236.42900000006</v>
      </c>
      <c r="R146" s="826">
        <f t="shared" ca="1" si="16"/>
        <v>362000</v>
      </c>
      <c r="S146" s="248">
        <f ca="1">IF(P146="",0,VLOOKUP(P146,TSS_換券投組!B:H,7,FALSE))</f>
        <v>5.11E-2</v>
      </c>
      <c r="T146">
        <f ca="1">IF(P146="",0,VLOOKUP(P146,TSS_換券投組!B:E,4,FALSE))</f>
        <v>28.12</v>
      </c>
      <c r="U146" s="825">
        <f t="shared" ca="1" si="19"/>
        <v>1510681.903697286</v>
      </c>
      <c r="V146" s="1562">
        <f ca="1">VLOOKUP(P146,TSS_換券投組!B:I,8,FALSE)</f>
        <v>10000</v>
      </c>
      <c r="W146" s="1562">
        <f ca="1">VLOOKUP(P146,TSS_換券投組!B:J,9,FALSE)</f>
        <v>1000</v>
      </c>
      <c r="X146" s="1562">
        <f ca="1">VLOOKUP(P146,TSS_換券投組!B:G,6,FALSE)</f>
        <v>91.89</v>
      </c>
      <c r="Y146" s="1564">
        <f ca="1">VLOOKUP(P146,TSS_換券投組!B:F,5,FALSE)</f>
        <v>4.4500000000000005E-2</v>
      </c>
      <c r="Z146" s="1563">
        <f ca="1">VLOOKUP(P146,'銀行-TSS'!B:AP,41,FALSE)</f>
        <v>14.818899999999999</v>
      </c>
      <c r="AA146" s="1563">
        <f ca="1">VLOOKUP(P146,bond!B:J,9,FALSE)</f>
        <v>86.7</v>
      </c>
    </row>
    <row r="147" spans="14:27">
      <c r="N147" s="1850"/>
      <c r="O147">
        <v>5</v>
      </c>
      <c r="P147" t="str">
        <f ca="1">IF(OR('Tssco-bond portfolio(2)'!BQ11&lt;&gt;"USD",'Tssco-bond portfolio(2)'!S11=FALSE),"",IF('Tssco-bond portfolio(2)'!I11=0,"",'Tssco-bond portfolio(2)'!I11))</f>
        <v/>
      </c>
      <c r="Q147" s="1565">
        <f t="shared" ref="Q147:Q154" ca="1" si="20">IFERROR(R147*Y147*$D$23,0)</f>
        <v>0</v>
      </c>
      <c r="R147" s="826">
        <f t="shared" ref="R147:R154" ca="1" si="21">IFERROR(V147+INT(($D$42-(V147*X147/100))/(W147*X147/100))*W147,0)</f>
        <v>0</v>
      </c>
      <c r="S147" s="248">
        <f ca="1">IF(P147="",0,VLOOKUP(P147,TSS_換券投組!B:H,7,FALSE))</f>
        <v>0</v>
      </c>
      <c r="T147">
        <f ca="1">IF(P147="",0,VLOOKUP(P147,TSS_換券投組!B:E,4,FALSE))</f>
        <v>0</v>
      </c>
      <c r="U147" s="825">
        <f t="shared" ref="U147:U154" ca="1" si="22">IF(P147="",0,AA147/100*R147*Z147*1%)*$D$23</f>
        <v>0</v>
      </c>
      <c r="V147" s="1562" t="e">
        <f ca="1">VLOOKUP(P147,TSS_換券投組!B:I,8,FALSE)</f>
        <v>#N/A</v>
      </c>
      <c r="W147" s="1562" t="e">
        <f ca="1">VLOOKUP(P147,TSS_換券投組!B:J,9,FALSE)</f>
        <v>#N/A</v>
      </c>
      <c r="X147" s="1562" t="e">
        <f ca="1">VLOOKUP(P147,TSS_換券投組!B:G,6,FALSE)</f>
        <v>#N/A</v>
      </c>
      <c r="Y147" s="1564" t="e">
        <f ca="1">VLOOKUP(P147,TSS_換券投組!B:F,5,FALSE)</f>
        <v>#N/A</v>
      </c>
      <c r="Z147" s="1563" t="e">
        <f ca="1">VLOOKUP(P147,'銀行-TSS'!B:AP,41,FALSE)</f>
        <v>#N/A</v>
      </c>
      <c r="AA147" s="1563" t="e">
        <f ca="1">VLOOKUP(P147,bond!B:J,9,FALSE)</f>
        <v>#N/A</v>
      </c>
    </row>
    <row r="148" spans="14:27">
      <c r="N148" s="1850"/>
      <c r="O148">
        <v>6</v>
      </c>
      <c r="P148" t="str">
        <f ca="1">IF(OR('Tssco-bond portfolio(2)'!BQ12&lt;&gt;"USD",'Tssco-bond portfolio(2)'!S12=FALSE),"",IF('Tssco-bond portfolio(2)'!I12=0,"",'Tssco-bond portfolio(2)'!I12))</f>
        <v/>
      </c>
      <c r="Q148" s="1565">
        <f t="shared" ca="1" si="20"/>
        <v>0</v>
      </c>
      <c r="R148" s="826">
        <f t="shared" ca="1" si="21"/>
        <v>0</v>
      </c>
      <c r="S148" s="248">
        <f ca="1">IF(P148="",0,VLOOKUP(P148,TSS_換券投組!B:H,7,FALSE))</f>
        <v>0</v>
      </c>
      <c r="T148">
        <f ca="1">IF(P148="",0,VLOOKUP(P148,TSS_換券投組!B:E,4,FALSE))</f>
        <v>0</v>
      </c>
      <c r="U148" s="825">
        <f t="shared" ca="1" si="22"/>
        <v>0</v>
      </c>
      <c r="V148" s="1562" t="e">
        <f ca="1">VLOOKUP(P148,TSS_換券投組!B:I,8,FALSE)</f>
        <v>#N/A</v>
      </c>
      <c r="W148" s="1562" t="e">
        <f ca="1">VLOOKUP(P148,TSS_換券投組!B:J,9,FALSE)</f>
        <v>#N/A</v>
      </c>
      <c r="X148" s="1562" t="e">
        <f ca="1">VLOOKUP(P148,TSS_換券投組!B:G,6,FALSE)</f>
        <v>#N/A</v>
      </c>
      <c r="Y148" s="1564" t="e">
        <f ca="1">VLOOKUP(P148,TSS_換券投組!B:F,5,FALSE)</f>
        <v>#N/A</v>
      </c>
      <c r="Z148" s="1563" t="e">
        <f ca="1">VLOOKUP(P148,'銀行-TSS'!B:AP,41,FALSE)</f>
        <v>#N/A</v>
      </c>
      <c r="AA148" s="1563" t="e">
        <f ca="1">VLOOKUP(P148,bond!B:J,9,FALSE)</f>
        <v>#N/A</v>
      </c>
    </row>
    <row r="149" spans="14:27">
      <c r="N149" s="1850"/>
      <c r="O149">
        <v>7</v>
      </c>
      <c r="P149" t="str">
        <f ca="1">IF(OR('Tssco-bond portfolio(2)'!BQ13&lt;&gt;"USD",'Tssco-bond portfolio(2)'!S13=FALSE),"",IF('Tssco-bond portfolio(2)'!I13=0,"",'Tssco-bond portfolio(2)'!I13))</f>
        <v/>
      </c>
      <c r="Q149" s="1565">
        <f t="shared" ca="1" si="20"/>
        <v>0</v>
      </c>
      <c r="R149" s="826">
        <f t="shared" ca="1" si="21"/>
        <v>0</v>
      </c>
      <c r="S149" s="248">
        <f ca="1">IF(P149="",0,VLOOKUP(P149,TSS_換券投組!B:H,7,FALSE))</f>
        <v>0</v>
      </c>
      <c r="T149">
        <f ca="1">IF(P149="",0,VLOOKUP(P149,TSS_換券投組!B:E,4,FALSE))</f>
        <v>0</v>
      </c>
      <c r="U149" s="825">
        <f t="shared" ca="1" si="22"/>
        <v>0</v>
      </c>
      <c r="V149" s="1562" t="e">
        <f ca="1">VLOOKUP(P149,TSS_換券投組!B:I,8,FALSE)</f>
        <v>#N/A</v>
      </c>
      <c r="W149" s="1562" t="e">
        <f ca="1">VLOOKUP(P149,TSS_換券投組!B:J,9,FALSE)</f>
        <v>#N/A</v>
      </c>
      <c r="X149" s="1562" t="e">
        <f ca="1">VLOOKUP(P149,TSS_換券投組!B:G,6,FALSE)</f>
        <v>#N/A</v>
      </c>
      <c r="Y149" s="1564" t="e">
        <f ca="1">VLOOKUP(P149,TSS_換券投組!B:F,5,FALSE)</f>
        <v>#N/A</v>
      </c>
      <c r="Z149" s="1563" t="e">
        <f ca="1">VLOOKUP(P149,'銀行-TSS'!B:AP,41,FALSE)</f>
        <v>#N/A</v>
      </c>
      <c r="AA149" s="1563" t="e">
        <f ca="1">VLOOKUP(P149,bond!B:J,9,FALSE)</f>
        <v>#N/A</v>
      </c>
    </row>
    <row r="150" spans="14:27">
      <c r="N150" s="1850"/>
      <c r="O150">
        <v>8</v>
      </c>
      <c r="P150" t="str">
        <f ca="1">IF(OR('Tssco-bond portfolio(2)'!BQ14&lt;&gt;"USD",'Tssco-bond portfolio(2)'!S14=FALSE),"",IF('Tssco-bond portfolio(2)'!I14=0,"",'Tssco-bond portfolio(2)'!I14))</f>
        <v/>
      </c>
      <c r="Q150" s="1565">
        <f t="shared" ca="1" si="20"/>
        <v>0</v>
      </c>
      <c r="R150" s="826">
        <f t="shared" ca="1" si="21"/>
        <v>0</v>
      </c>
      <c r="S150" s="248">
        <f ca="1">IF(P150="",0,VLOOKUP(P150,TSS_換券投組!B:H,7,FALSE))</f>
        <v>0</v>
      </c>
      <c r="T150">
        <f ca="1">IF(P150="",0,VLOOKUP(P150,TSS_換券投組!B:E,4,FALSE))</f>
        <v>0</v>
      </c>
      <c r="U150" s="825">
        <f t="shared" ca="1" si="22"/>
        <v>0</v>
      </c>
      <c r="V150" s="1562" t="e">
        <f ca="1">VLOOKUP(P150,TSS_換券投組!B:I,8,FALSE)</f>
        <v>#N/A</v>
      </c>
      <c r="W150" s="1562" t="e">
        <f ca="1">VLOOKUP(P150,TSS_換券投組!B:J,9,FALSE)</f>
        <v>#N/A</v>
      </c>
      <c r="X150" s="1562" t="e">
        <f ca="1">VLOOKUP(P150,TSS_換券投組!B:G,6,FALSE)</f>
        <v>#N/A</v>
      </c>
      <c r="Y150" s="1564" t="e">
        <f ca="1">VLOOKUP(P150,TSS_換券投組!B:F,5,FALSE)</f>
        <v>#N/A</v>
      </c>
      <c r="Z150" s="1563" t="e">
        <f ca="1">VLOOKUP(P150,'銀行-TSS'!B:AP,41,FALSE)</f>
        <v>#N/A</v>
      </c>
      <c r="AA150" s="1563" t="e">
        <f ca="1">VLOOKUP(P150,bond!B:J,9,FALSE)</f>
        <v>#N/A</v>
      </c>
    </row>
    <row r="151" spans="14:27">
      <c r="N151" s="1850"/>
      <c r="O151">
        <v>9</v>
      </c>
      <c r="P151" t="str">
        <f ca="1">IF(OR('Tssco-bond portfolio(2)'!BQ15&lt;&gt;"USD",'Tssco-bond portfolio(2)'!S15=FALSE),"",IF('Tssco-bond portfolio(2)'!I15=0,"",'Tssco-bond portfolio(2)'!I15))</f>
        <v/>
      </c>
      <c r="Q151" s="1565">
        <f t="shared" ca="1" si="20"/>
        <v>0</v>
      </c>
      <c r="R151" s="826">
        <f t="shared" ca="1" si="21"/>
        <v>0</v>
      </c>
      <c r="S151" s="248">
        <f ca="1">IF(P151="",0,VLOOKUP(P151,TSS_換券投組!B:H,7,FALSE))</f>
        <v>0</v>
      </c>
      <c r="T151">
        <f ca="1">IF(P151="",0,VLOOKUP(P151,TSS_換券投組!B:E,4,FALSE))</f>
        <v>0</v>
      </c>
      <c r="U151" s="825">
        <f t="shared" ca="1" si="22"/>
        <v>0</v>
      </c>
      <c r="V151" s="1562" t="e">
        <f ca="1">VLOOKUP(P151,TSS_換券投組!B:I,8,FALSE)</f>
        <v>#N/A</v>
      </c>
      <c r="W151" s="1562" t="e">
        <f ca="1">VLOOKUP(P151,TSS_換券投組!B:J,9,FALSE)</f>
        <v>#N/A</v>
      </c>
      <c r="X151" s="1562" t="e">
        <f ca="1">VLOOKUP(P151,TSS_換券投組!B:G,6,FALSE)</f>
        <v>#N/A</v>
      </c>
      <c r="Y151" s="1564" t="e">
        <f ca="1">VLOOKUP(P151,TSS_換券投組!B:F,5,FALSE)</f>
        <v>#N/A</v>
      </c>
      <c r="Z151" s="1563" t="e">
        <f ca="1">VLOOKUP(P151,'銀行-TSS'!B:AP,41,FALSE)</f>
        <v>#N/A</v>
      </c>
      <c r="AA151" s="1563" t="e">
        <f ca="1">VLOOKUP(P151,bond!B:J,9,FALSE)</f>
        <v>#N/A</v>
      </c>
    </row>
    <row r="152" spans="14:27">
      <c r="N152" s="1850"/>
      <c r="O152">
        <v>10</v>
      </c>
      <c r="P152" t="str">
        <f ca="1">IF(OR('Tssco-bond portfolio(2)'!BQ16&lt;&gt;"USD",'Tssco-bond portfolio(2)'!S16=FALSE),"",IF('Tssco-bond portfolio(2)'!I16=0,"",'Tssco-bond portfolio(2)'!I16))</f>
        <v/>
      </c>
      <c r="Q152" s="1565">
        <f t="shared" ca="1" si="20"/>
        <v>0</v>
      </c>
      <c r="R152" s="826">
        <f t="shared" ca="1" si="21"/>
        <v>0</v>
      </c>
      <c r="S152" s="248">
        <f ca="1">IF(P152="",0,VLOOKUP(P152,TSS_換券投組!B:H,7,FALSE))</f>
        <v>0</v>
      </c>
      <c r="T152">
        <f ca="1">IF(P152="",0,VLOOKUP(P152,TSS_換券投組!B:E,4,FALSE))</f>
        <v>0</v>
      </c>
      <c r="U152" s="825">
        <f t="shared" ca="1" si="22"/>
        <v>0</v>
      </c>
      <c r="V152" s="1562" t="e">
        <f ca="1">VLOOKUP(P152,TSS_換券投組!B:I,8,FALSE)</f>
        <v>#N/A</v>
      </c>
      <c r="W152" s="1562" t="e">
        <f ca="1">VLOOKUP(P152,TSS_換券投組!B:J,9,FALSE)</f>
        <v>#N/A</v>
      </c>
      <c r="X152" s="1562" t="e">
        <f ca="1">VLOOKUP(P152,TSS_換券投組!B:G,6,FALSE)</f>
        <v>#N/A</v>
      </c>
      <c r="Y152" s="1564" t="e">
        <f ca="1">VLOOKUP(P152,TSS_換券投組!B:F,5,FALSE)</f>
        <v>#N/A</v>
      </c>
      <c r="Z152" s="1563" t="e">
        <f ca="1">VLOOKUP(P152,'銀行-TSS'!B:AP,41,FALSE)</f>
        <v>#N/A</v>
      </c>
      <c r="AA152" s="1563" t="e">
        <f ca="1">VLOOKUP(P152,bond!B:J,9,FALSE)</f>
        <v>#N/A</v>
      </c>
    </row>
    <row r="153" spans="14:27">
      <c r="N153" s="1850"/>
      <c r="O153">
        <v>11</v>
      </c>
      <c r="P153" t="str">
        <f ca="1">IF(OR('Tssco-bond portfolio(2)'!BQ17&lt;&gt;"USD",'Tssco-bond portfolio(2)'!S17=FALSE),"",IF('Tssco-bond portfolio(2)'!I17=0,"",'Tssco-bond portfolio(2)'!I17))</f>
        <v/>
      </c>
      <c r="Q153" s="1565">
        <f t="shared" ca="1" si="20"/>
        <v>0</v>
      </c>
      <c r="R153" s="826">
        <f t="shared" ca="1" si="21"/>
        <v>0</v>
      </c>
      <c r="S153" s="248">
        <f ca="1">IF(P153="",0,VLOOKUP(P153,TSS_換券投組!B:H,7,FALSE))</f>
        <v>0</v>
      </c>
      <c r="T153">
        <f ca="1">IF(P153="",0,VLOOKUP(P153,TSS_換券投組!B:E,4,FALSE))</f>
        <v>0</v>
      </c>
      <c r="U153" s="825">
        <f t="shared" ca="1" si="22"/>
        <v>0</v>
      </c>
      <c r="V153" s="1562" t="e">
        <f ca="1">VLOOKUP(P153,TSS_換券投組!B:I,8,FALSE)</f>
        <v>#N/A</v>
      </c>
      <c r="W153" s="1562" t="e">
        <f ca="1">VLOOKUP(P153,TSS_換券投組!B:J,9,FALSE)</f>
        <v>#N/A</v>
      </c>
      <c r="X153" s="1562" t="e">
        <f ca="1">VLOOKUP(P153,TSS_換券投組!B:G,6,FALSE)</f>
        <v>#N/A</v>
      </c>
      <c r="Y153" s="1564" t="e">
        <f ca="1">VLOOKUP(P153,TSS_換券投組!B:F,5,FALSE)</f>
        <v>#N/A</v>
      </c>
      <c r="Z153" s="1563" t="e">
        <f ca="1">VLOOKUP(P153,'銀行-TSS'!B:AP,41,FALSE)</f>
        <v>#N/A</v>
      </c>
      <c r="AA153" s="1563" t="e">
        <f ca="1">VLOOKUP(P153,bond!B:J,9,FALSE)</f>
        <v>#N/A</v>
      </c>
    </row>
    <row r="154" spans="14:27">
      <c r="N154" s="1850"/>
      <c r="O154">
        <v>12</v>
      </c>
      <c r="P154" t="str">
        <f ca="1">IF(OR('Tssco-bond portfolio(2)'!BQ18&lt;&gt;"USD",'Tssco-bond portfolio(2)'!S18=FALSE),"",IF('Tssco-bond portfolio(2)'!I18=0,"",'Tssco-bond portfolio(2)'!I18))</f>
        <v/>
      </c>
      <c r="Q154" s="1565">
        <f t="shared" ca="1" si="20"/>
        <v>0</v>
      </c>
      <c r="R154" s="826">
        <f t="shared" ca="1" si="21"/>
        <v>0</v>
      </c>
      <c r="S154" s="248">
        <f ca="1">IF(P154="",0,VLOOKUP(P154,TSS_換券投組!B:H,7,FALSE))</f>
        <v>0</v>
      </c>
      <c r="T154">
        <f ca="1">IF(P154="",0,VLOOKUP(P154,TSS_換券投組!B:E,4,FALSE))</f>
        <v>0</v>
      </c>
      <c r="U154" s="825">
        <f t="shared" ca="1" si="22"/>
        <v>0</v>
      </c>
      <c r="V154" s="1562" t="e">
        <f ca="1">VLOOKUP(P154,TSS_換券投組!B:I,8,FALSE)</f>
        <v>#N/A</v>
      </c>
      <c r="W154" s="1562" t="e">
        <f ca="1">VLOOKUP(P154,TSS_換券投組!B:J,9,FALSE)</f>
        <v>#N/A</v>
      </c>
      <c r="X154" s="1562" t="e">
        <f ca="1">VLOOKUP(P154,TSS_換券投組!B:G,6,FALSE)</f>
        <v>#N/A</v>
      </c>
      <c r="Y154" s="1564" t="e">
        <f ca="1">VLOOKUP(P154,TSS_換券投組!B:F,5,FALSE)</f>
        <v>#N/A</v>
      </c>
      <c r="Z154" s="1563" t="e">
        <f ca="1">VLOOKUP(P154,'銀行-TSS'!B:AP,41,FALSE)</f>
        <v>#N/A</v>
      </c>
      <c r="AA154" s="1563" t="e">
        <f ca="1">VLOOKUP(P154,bond!B:J,9,FALSE)</f>
        <v>#N/A</v>
      </c>
    </row>
    <row r="155" spans="14:27">
      <c r="N155" s="1850"/>
      <c r="O155">
        <v>13</v>
      </c>
      <c r="P155" t="str">
        <f ca="1">IF(OR('Tssco-bond portfolio(2)'!BQ19&lt;&gt;"USD",'Tssco-bond portfolio(2)'!S19=FALSE),"",IF('Tssco-bond portfolio(2)'!I19=0,"",'Tssco-bond portfolio(2)'!I19))</f>
        <v/>
      </c>
      <c r="Q155" s="1565">
        <f t="shared" ref="Q155:Q178" ca="1" si="23">IFERROR(R155*Y155*$D$23,0)</f>
        <v>0</v>
      </c>
      <c r="R155" s="826">
        <f t="shared" ref="R155:R178" ca="1" si="24">IFERROR(V155+INT(($D$42-(V155*X155/100))/(W155*X155/100))*W155,0)</f>
        <v>0</v>
      </c>
      <c r="S155" s="248">
        <f ca="1">IF(P155="",0,VLOOKUP(P155,TSS_換券投組!B:H,7,FALSE))</f>
        <v>0</v>
      </c>
      <c r="T155">
        <f ca="1">IF(P155="",0,VLOOKUP(P155,TSS_換券投組!B:E,4,FALSE))</f>
        <v>0</v>
      </c>
      <c r="U155" s="825">
        <f t="shared" ref="U155:U178" ca="1" si="25">IF(P155="",0,AA155/100*R155*Z155*1%)*$D$23</f>
        <v>0</v>
      </c>
      <c r="V155" s="1562" t="e">
        <f ca="1">VLOOKUP(P155,TSS_換券投組!B:I,8,FALSE)</f>
        <v>#N/A</v>
      </c>
      <c r="W155" s="1562" t="e">
        <f ca="1">VLOOKUP(P155,TSS_換券投組!B:J,9,FALSE)</f>
        <v>#N/A</v>
      </c>
      <c r="X155" s="1562" t="e">
        <f ca="1">VLOOKUP(P155,TSS_換券投組!B:G,6,FALSE)</f>
        <v>#N/A</v>
      </c>
      <c r="Y155" s="1564" t="e">
        <f ca="1">VLOOKUP(P155,TSS_換券投組!B:F,5,FALSE)</f>
        <v>#N/A</v>
      </c>
      <c r="Z155" s="1563" t="e">
        <f ca="1">VLOOKUP(P155,'銀行-TSS'!B:AP,41,FALSE)</f>
        <v>#N/A</v>
      </c>
      <c r="AA155" s="1563" t="e">
        <f ca="1">VLOOKUP(P155,bond!B:J,9,FALSE)</f>
        <v>#N/A</v>
      </c>
    </row>
    <row r="156" spans="14:27">
      <c r="N156" s="1850"/>
      <c r="O156">
        <v>14</v>
      </c>
      <c r="P156" t="str">
        <f ca="1">IF(OR('Tssco-bond portfolio(2)'!BQ20&lt;&gt;"USD",'Tssco-bond portfolio(2)'!S20=FALSE),"",IF('Tssco-bond portfolio(2)'!I20=0,"",'Tssco-bond portfolio(2)'!I20))</f>
        <v/>
      </c>
      <c r="Q156" s="1565">
        <f t="shared" ca="1" si="23"/>
        <v>0</v>
      </c>
      <c r="R156" s="826">
        <f t="shared" ca="1" si="24"/>
        <v>0</v>
      </c>
      <c r="S156" s="248">
        <f ca="1">IF(P156="",0,VLOOKUP(P156,TSS_換券投組!B:H,7,FALSE))</f>
        <v>0</v>
      </c>
      <c r="T156">
        <f ca="1">IF(P156="",0,VLOOKUP(P156,TSS_換券投組!B:E,4,FALSE))</f>
        <v>0</v>
      </c>
      <c r="U156" s="825">
        <f t="shared" ca="1" si="25"/>
        <v>0</v>
      </c>
      <c r="V156" s="1562" t="e">
        <f ca="1">VLOOKUP(P156,TSS_換券投組!B:I,8,FALSE)</f>
        <v>#N/A</v>
      </c>
      <c r="W156" s="1562" t="e">
        <f ca="1">VLOOKUP(P156,TSS_換券投組!B:J,9,FALSE)</f>
        <v>#N/A</v>
      </c>
      <c r="X156" s="1562" t="e">
        <f ca="1">VLOOKUP(P156,TSS_換券投組!B:G,6,FALSE)</f>
        <v>#N/A</v>
      </c>
      <c r="Y156" s="1564" t="e">
        <f ca="1">VLOOKUP(P156,TSS_換券投組!B:F,5,FALSE)</f>
        <v>#N/A</v>
      </c>
      <c r="Z156" s="1563" t="e">
        <f ca="1">VLOOKUP(P156,'銀行-TSS'!B:AP,41,FALSE)</f>
        <v>#N/A</v>
      </c>
      <c r="AA156" s="1563" t="e">
        <f ca="1">VLOOKUP(P156,bond!B:J,9,FALSE)</f>
        <v>#N/A</v>
      </c>
    </row>
    <row r="157" spans="14:27">
      <c r="N157" s="1850"/>
      <c r="O157">
        <v>15</v>
      </c>
      <c r="P157" t="str">
        <f ca="1">IF(OR('Tssco-bond portfolio(2)'!BQ21&lt;&gt;"USD",'Tssco-bond portfolio(2)'!S21=FALSE),"",IF('Tssco-bond portfolio(2)'!I21=0,"",'Tssco-bond portfolio(2)'!I21))</f>
        <v/>
      </c>
      <c r="Q157" s="1565">
        <f t="shared" ca="1" si="23"/>
        <v>0</v>
      </c>
      <c r="R157" s="826">
        <f t="shared" ca="1" si="24"/>
        <v>0</v>
      </c>
      <c r="S157" s="248">
        <f ca="1">IF(P157="",0,VLOOKUP(P157,TSS_換券投組!B:H,7,FALSE))</f>
        <v>0</v>
      </c>
      <c r="T157">
        <f ca="1">IF(P157="",0,VLOOKUP(P157,TSS_換券投組!B:E,4,FALSE))</f>
        <v>0</v>
      </c>
      <c r="U157" s="825">
        <f t="shared" ca="1" si="25"/>
        <v>0</v>
      </c>
      <c r="V157" s="1562" t="e">
        <f ca="1">VLOOKUP(P157,TSS_換券投組!B:I,8,FALSE)</f>
        <v>#N/A</v>
      </c>
      <c r="W157" s="1562" t="e">
        <f ca="1">VLOOKUP(P157,TSS_換券投組!B:J,9,FALSE)</f>
        <v>#N/A</v>
      </c>
      <c r="X157" s="1562" t="e">
        <f ca="1">VLOOKUP(P157,TSS_換券投組!B:G,6,FALSE)</f>
        <v>#N/A</v>
      </c>
      <c r="Y157" s="1564" t="e">
        <f ca="1">VLOOKUP(P157,TSS_換券投組!B:F,5,FALSE)</f>
        <v>#N/A</v>
      </c>
      <c r="Z157" s="1563" t="e">
        <f ca="1">VLOOKUP(P157,'銀行-TSS'!B:AP,41,FALSE)</f>
        <v>#N/A</v>
      </c>
      <c r="AA157" s="1563" t="e">
        <f ca="1">VLOOKUP(P157,bond!B:J,9,FALSE)</f>
        <v>#N/A</v>
      </c>
    </row>
    <row r="158" spans="14:27">
      <c r="N158" s="1850"/>
      <c r="O158">
        <v>16</v>
      </c>
      <c r="P158" t="str">
        <f ca="1">IF(OR('Tssco-bond portfolio(2)'!BQ22&lt;&gt;"USD",'Tssco-bond portfolio(2)'!S22=FALSE),"",IF('Tssco-bond portfolio(2)'!I22=0,"",'Tssco-bond portfolio(2)'!I22))</f>
        <v/>
      </c>
      <c r="Q158" s="1565">
        <f t="shared" ca="1" si="23"/>
        <v>0</v>
      </c>
      <c r="R158" s="826">
        <f t="shared" ca="1" si="24"/>
        <v>0</v>
      </c>
      <c r="S158" s="248">
        <f ca="1">IF(P158="",0,VLOOKUP(P158,TSS_換券投組!B:H,7,FALSE))</f>
        <v>0</v>
      </c>
      <c r="T158">
        <f ca="1">IF(P158="",0,VLOOKUP(P158,TSS_換券投組!B:E,4,FALSE))</f>
        <v>0</v>
      </c>
      <c r="U158" s="825">
        <f t="shared" ca="1" si="25"/>
        <v>0</v>
      </c>
      <c r="V158" s="1562" t="e">
        <f ca="1">VLOOKUP(P158,TSS_換券投組!B:I,8,FALSE)</f>
        <v>#N/A</v>
      </c>
      <c r="W158" s="1562" t="e">
        <f ca="1">VLOOKUP(P158,TSS_換券投組!B:J,9,FALSE)</f>
        <v>#N/A</v>
      </c>
      <c r="X158" s="1562" t="e">
        <f ca="1">VLOOKUP(P158,TSS_換券投組!B:G,6,FALSE)</f>
        <v>#N/A</v>
      </c>
      <c r="Y158" s="1564" t="e">
        <f ca="1">VLOOKUP(P158,TSS_換券投組!B:F,5,FALSE)</f>
        <v>#N/A</v>
      </c>
      <c r="Z158" s="1563" t="e">
        <f ca="1">VLOOKUP(P158,'銀行-TSS'!B:AP,41,FALSE)</f>
        <v>#N/A</v>
      </c>
      <c r="AA158" s="1563" t="e">
        <f ca="1">VLOOKUP(P158,bond!B:J,9,FALSE)</f>
        <v>#N/A</v>
      </c>
    </row>
    <row r="159" spans="14:27">
      <c r="N159" s="1850"/>
      <c r="O159">
        <v>17</v>
      </c>
      <c r="P159" t="str">
        <f ca="1">IF(OR('Tssco-bond portfolio(2)'!BQ23&lt;&gt;"USD",'Tssco-bond portfolio(2)'!S23=FALSE),"",IF('Tssco-bond portfolio(2)'!I23=0,"",'Tssco-bond portfolio(2)'!I23))</f>
        <v/>
      </c>
      <c r="Q159" s="1565">
        <f t="shared" ca="1" si="23"/>
        <v>0</v>
      </c>
      <c r="R159" s="826">
        <f t="shared" ca="1" si="24"/>
        <v>0</v>
      </c>
      <c r="S159" s="248">
        <f ca="1">IF(P159="",0,VLOOKUP(P159,TSS_換券投組!B:H,7,FALSE))</f>
        <v>0</v>
      </c>
      <c r="T159">
        <f ca="1">IF(P159="",0,VLOOKUP(P159,TSS_換券投組!B:E,4,FALSE))</f>
        <v>0</v>
      </c>
      <c r="U159" s="825">
        <f t="shared" ca="1" si="25"/>
        <v>0</v>
      </c>
      <c r="V159" s="1562" t="e">
        <f ca="1">VLOOKUP(P159,TSS_換券投組!B:I,8,FALSE)</f>
        <v>#N/A</v>
      </c>
      <c r="W159" s="1562" t="e">
        <f ca="1">VLOOKUP(P159,TSS_換券投組!B:J,9,FALSE)</f>
        <v>#N/A</v>
      </c>
      <c r="X159" s="1562" t="e">
        <f ca="1">VLOOKUP(P159,TSS_換券投組!B:G,6,FALSE)</f>
        <v>#N/A</v>
      </c>
      <c r="Y159" s="1564" t="e">
        <f ca="1">VLOOKUP(P159,TSS_換券投組!B:F,5,FALSE)</f>
        <v>#N/A</v>
      </c>
      <c r="Z159" s="1563" t="e">
        <f ca="1">VLOOKUP(P159,'銀行-TSS'!B:AP,41,FALSE)</f>
        <v>#N/A</v>
      </c>
      <c r="AA159" s="1563" t="e">
        <f ca="1">VLOOKUP(P159,bond!B:J,9,FALSE)</f>
        <v>#N/A</v>
      </c>
    </row>
    <row r="160" spans="14:27">
      <c r="N160" s="1850"/>
      <c r="O160">
        <v>18</v>
      </c>
      <c r="P160" t="str">
        <f ca="1">IF(OR('Tssco-bond portfolio(2)'!BQ24&lt;&gt;"USD",'Tssco-bond portfolio(2)'!S24=FALSE),"",IF('Tssco-bond portfolio(2)'!I24=0,"",'Tssco-bond portfolio(2)'!I24))</f>
        <v/>
      </c>
      <c r="Q160" s="1565">
        <f t="shared" ca="1" si="23"/>
        <v>0</v>
      </c>
      <c r="R160" s="826">
        <f t="shared" ca="1" si="24"/>
        <v>0</v>
      </c>
      <c r="S160" s="248">
        <f ca="1">IF(P160="",0,VLOOKUP(P160,TSS_換券投組!B:H,7,FALSE))</f>
        <v>0</v>
      </c>
      <c r="T160">
        <f ca="1">IF(P160="",0,VLOOKUP(P160,TSS_換券投組!B:E,4,FALSE))</f>
        <v>0</v>
      </c>
      <c r="U160" s="825">
        <f t="shared" ca="1" si="25"/>
        <v>0</v>
      </c>
      <c r="V160" s="1562" t="e">
        <f ca="1">VLOOKUP(P160,TSS_換券投組!B:I,8,FALSE)</f>
        <v>#N/A</v>
      </c>
      <c r="W160" s="1562" t="e">
        <f ca="1">VLOOKUP(P160,TSS_換券投組!B:J,9,FALSE)</f>
        <v>#N/A</v>
      </c>
      <c r="X160" s="1562" t="e">
        <f ca="1">VLOOKUP(P160,TSS_換券投組!B:G,6,FALSE)</f>
        <v>#N/A</v>
      </c>
      <c r="Y160" s="1564" t="e">
        <f ca="1">VLOOKUP(P160,TSS_換券投組!B:F,5,FALSE)</f>
        <v>#N/A</v>
      </c>
      <c r="Z160" s="1563" t="e">
        <f ca="1">VLOOKUP(P160,'銀行-TSS'!B:AP,41,FALSE)</f>
        <v>#N/A</v>
      </c>
      <c r="AA160" s="1563" t="e">
        <f ca="1">VLOOKUP(P160,bond!B:J,9,FALSE)</f>
        <v>#N/A</v>
      </c>
    </row>
    <row r="161" spans="14:27">
      <c r="N161" s="1850"/>
      <c r="O161">
        <v>19</v>
      </c>
      <c r="P161" t="str">
        <f ca="1">IF(OR('Tssco-bond portfolio(2)'!BQ25&lt;&gt;"USD",'Tssco-bond portfolio(2)'!S25=FALSE),"",IF('Tssco-bond portfolio(2)'!I25=0,"",'Tssco-bond portfolio(2)'!I25))</f>
        <v/>
      </c>
      <c r="Q161" s="1565">
        <f t="shared" ca="1" si="23"/>
        <v>0</v>
      </c>
      <c r="R161" s="826">
        <f t="shared" ca="1" si="24"/>
        <v>0</v>
      </c>
      <c r="S161" s="248">
        <f ca="1">IF(P161="",0,VLOOKUP(P161,TSS_換券投組!B:H,7,FALSE))</f>
        <v>0</v>
      </c>
      <c r="T161">
        <f ca="1">IF(P161="",0,VLOOKUP(P161,TSS_換券投組!B:E,4,FALSE))</f>
        <v>0</v>
      </c>
      <c r="U161" s="825">
        <f t="shared" ca="1" si="25"/>
        <v>0</v>
      </c>
      <c r="V161" s="1562" t="e">
        <f ca="1">VLOOKUP(P161,TSS_換券投組!B:I,8,FALSE)</f>
        <v>#N/A</v>
      </c>
      <c r="W161" s="1562" t="e">
        <f ca="1">VLOOKUP(P161,TSS_換券投組!B:J,9,FALSE)</f>
        <v>#N/A</v>
      </c>
      <c r="X161" s="1562" t="e">
        <f ca="1">VLOOKUP(P161,TSS_換券投組!B:G,6,FALSE)</f>
        <v>#N/A</v>
      </c>
      <c r="Y161" s="1564" t="e">
        <f ca="1">VLOOKUP(P161,TSS_換券投組!B:F,5,FALSE)</f>
        <v>#N/A</v>
      </c>
      <c r="Z161" s="1563" t="e">
        <f ca="1">VLOOKUP(P161,'銀行-TSS'!B:AP,41,FALSE)</f>
        <v>#N/A</v>
      </c>
      <c r="AA161" s="1563" t="e">
        <f ca="1">VLOOKUP(P161,bond!B:J,9,FALSE)</f>
        <v>#N/A</v>
      </c>
    </row>
    <row r="162" spans="14:27">
      <c r="N162" s="1850"/>
      <c r="O162">
        <v>20</v>
      </c>
      <c r="P162" t="str">
        <f ca="1">IF(OR('Tssco-bond portfolio(2)'!BQ26&lt;&gt;"USD",'Tssco-bond portfolio(2)'!S26=FALSE),"",IF('Tssco-bond portfolio(2)'!I26=0,"",'Tssco-bond portfolio(2)'!I26))</f>
        <v/>
      </c>
      <c r="Q162" s="1565">
        <f t="shared" ca="1" si="23"/>
        <v>0</v>
      </c>
      <c r="R162" s="826">
        <f t="shared" ca="1" si="24"/>
        <v>0</v>
      </c>
      <c r="S162" s="248">
        <f ca="1">IF(P162="",0,VLOOKUP(P162,TSS_換券投組!B:H,7,FALSE))</f>
        <v>0</v>
      </c>
      <c r="T162">
        <f ca="1">IF(P162="",0,VLOOKUP(P162,TSS_換券投組!B:E,4,FALSE))</f>
        <v>0</v>
      </c>
      <c r="U162" s="825">
        <f t="shared" ca="1" si="25"/>
        <v>0</v>
      </c>
      <c r="V162" s="1562" t="e">
        <f ca="1">VLOOKUP(P162,TSS_換券投組!B:I,8,FALSE)</f>
        <v>#N/A</v>
      </c>
      <c r="W162" s="1562" t="e">
        <f ca="1">VLOOKUP(P162,TSS_換券投組!B:J,9,FALSE)</f>
        <v>#N/A</v>
      </c>
      <c r="X162" s="1562" t="e">
        <f ca="1">VLOOKUP(P162,TSS_換券投組!B:G,6,FALSE)</f>
        <v>#N/A</v>
      </c>
      <c r="Y162" s="1564" t="e">
        <f ca="1">VLOOKUP(P162,TSS_換券投組!B:F,5,FALSE)</f>
        <v>#N/A</v>
      </c>
      <c r="Z162" s="1563" t="e">
        <f ca="1">VLOOKUP(P162,'銀行-TSS'!B:AP,41,FALSE)</f>
        <v>#N/A</v>
      </c>
      <c r="AA162" s="1563" t="e">
        <f ca="1">VLOOKUP(P162,bond!B:J,9,FALSE)</f>
        <v>#N/A</v>
      </c>
    </row>
    <row r="163" spans="14:27">
      <c r="N163" s="1850"/>
      <c r="O163">
        <v>21</v>
      </c>
      <c r="P163" t="str">
        <f ca="1">IF(OR('Tssco-bond portfolio(2)'!BQ27&lt;&gt;"USD",'Tssco-bond portfolio(2)'!S27=FALSE),"",IF('Tssco-bond portfolio(2)'!I27=0,"",'Tssco-bond portfolio(2)'!I27))</f>
        <v/>
      </c>
      <c r="Q163" s="1565">
        <f t="shared" ca="1" si="23"/>
        <v>0</v>
      </c>
      <c r="R163" s="826">
        <f t="shared" ca="1" si="24"/>
        <v>0</v>
      </c>
      <c r="S163" s="248">
        <f ca="1">IF(P163="",0,VLOOKUP(P163,TSS_換券投組!B:H,7,FALSE))</f>
        <v>0</v>
      </c>
      <c r="T163">
        <f ca="1">IF(P163="",0,VLOOKUP(P163,TSS_換券投組!B:E,4,FALSE))</f>
        <v>0</v>
      </c>
      <c r="U163" s="825">
        <f t="shared" ca="1" si="25"/>
        <v>0</v>
      </c>
      <c r="V163" s="1562" t="e">
        <f ca="1">VLOOKUP(P163,TSS_換券投組!B:I,8,FALSE)</f>
        <v>#N/A</v>
      </c>
      <c r="W163" s="1562" t="e">
        <f ca="1">VLOOKUP(P163,TSS_換券投組!B:J,9,FALSE)</f>
        <v>#N/A</v>
      </c>
      <c r="X163" s="1562" t="e">
        <f ca="1">VLOOKUP(P163,TSS_換券投組!B:G,6,FALSE)</f>
        <v>#N/A</v>
      </c>
      <c r="Y163" s="1564" t="e">
        <f ca="1">VLOOKUP(P163,TSS_換券投組!B:F,5,FALSE)</f>
        <v>#N/A</v>
      </c>
      <c r="Z163" s="1563" t="e">
        <f ca="1">VLOOKUP(P163,'銀行-TSS'!B:AP,41,FALSE)</f>
        <v>#N/A</v>
      </c>
      <c r="AA163" s="1563" t="e">
        <f ca="1">VLOOKUP(P163,bond!B:J,9,FALSE)</f>
        <v>#N/A</v>
      </c>
    </row>
    <row r="164" spans="14:27">
      <c r="N164" s="1850"/>
      <c r="O164">
        <v>22</v>
      </c>
      <c r="P164" t="str">
        <f ca="1">IF(OR('Tssco-bond portfolio(2)'!BQ28&lt;&gt;"USD",'Tssco-bond portfolio(2)'!S28=FALSE),"",IF('Tssco-bond portfolio(2)'!I28=0,"",'Tssco-bond portfolio(2)'!I28))</f>
        <v/>
      </c>
      <c r="Q164" s="1565">
        <f t="shared" ca="1" si="23"/>
        <v>0</v>
      </c>
      <c r="R164" s="826">
        <f t="shared" ca="1" si="24"/>
        <v>0</v>
      </c>
      <c r="S164" s="248">
        <f ca="1">IF(P164="",0,VLOOKUP(P164,TSS_換券投組!B:H,7,FALSE))</f>
        <v>0</v>
      </c>
      <c r="T164">
        <f ca="1">IF(P164="",0,VLOOKUP(P164,TSS_換券投組!B:E,4,FALSE))</f>
        <v>0</v>
      </c>
      <c r="U164" s="825">
        <f t="shared" ca="1" si="25"/>
        <v>0</v>
      </c>
      <c r="V164" s="1562" t="e">
        <f ca="1">VLOOKUP(P164,TSS_換券投組!B:I,8,FALSE)</f>
        <v>#N/A</v>
      </c>
      <c r="W164" s="1562" t="e">
        <f ca="1">VLOOKUP(P164,TSS_換券投組!B:J,9,FALSE)</f>
        <v>#N/A</v>
      </c>
      <c r="X164" s="1562" t="e">
        <f ca="1">VLOOKUP(P164,TSS_換券投組!B:G,6,FALSE)</f>
        <v>#N/A</v>
      </c>
      <c r="Y164" s="1564" t="e">
        <f ca="1">VLOOKUP(P164,TSS_換券投組!B:F,5,FALSE)</f>
        <v>#N/A</v>
      </c>
      <c r="Z164" s="1563" t="e">
        <f ca="1">VLOOKUP(P164,'銀行-TSS'!B:AP,41,FALSE)</f>
        <v>#N/A</v>
      </c>
      <c r="AA164" s="1563" t="e">
        <f ca="1">VLOOKUP(P164,bond!B:J,9,FALSE)</f>
        <v>#N/A</v>
      </c>
    </row>
    <row r="165" spans="14:27">
      <c r="N165" s="1850"/>
      <c r="O165">
        <v>23</v>
      </c>
      <c r="P165" t="str">
        <f ca="1">IF(OR('Tssco-bond portfolio(2)'!BQ29&lt;&gt;"USD",'Tssco-bond portfolio(2)'!S29=FALSE),"",IF('Tssco-bond portfolio(2)'!I29=0,"",'Tssco-bond portfolio(2)'!I29))</f>
        <v/>
      </c>
      <c r="Q165" s="1565">
        <f t="shared" ca="1" si="23"/>
        <v>0</v>
      </c>
      <c r="R165" s="826">
        <f t="shared" ca="1" si="24"/>
        <v>0</v>
      </c>
      <c r="S165" s="248">
        <f ca="1">IF(P165="",0,VLOOKUP(P165,TSS_換券投組!B:H,7,FALSE))</f>
        <v>0</v>
      </c>
      <c r="T165">
        <f ca="1">IF(P165="",0,VLOOKUP(P165,TSS_換券投組!B:E,4,FALSE))</f>
        <v>0</v>
      </c>
      <c r="U165" s="825">
        <f t="shared" ca="1" si="25"/>
        <v>0</v>
      </c>
      <c r="V165" s="1562" t="e">
        <f ca="1">VLOOKUP(P165,TSS_換券投組!B:I,8,FALSE)</f>
        <v>#N/A</v>
      </c>
      <c r="W165" s="1562" t="e">
        <f ca="1">VLOOKUP(P165,TSS_換券投組!B:J,9,FALSE)</f>
        <v>#N/A</v>
      </c>
      <c r="X165" s="1562" t="e">
        <f ca="1">VLOOKUP(P165,TSS_換券投組!B:G,6,FALSE)</f>
        <v>#N/A</v>
      </c>
      <c r="Y165" s="1564" t="e">
        <f ca="1">VLOOKUP(P165,TSS_換券投組!B:F,5,FALSE)</f>
        <v>#N/A</v>
      </c>
      <c r="Z165" s="1563" t="e">
        <f ca="1">VLOOKUP(P165,'銀行-TSS'!B:AP,41,FALSE)</f>
        <v>#N/A</v>
      </c>
      <c r="AA165" s="1563" t="e">
        <f ca="1">VLOOKUP(P165,bond!B:J,9,FALSE)</f>
        <v>#N/A</v>
      </c>
    </row>
    <row r="166" spans="14:27">
      <c r="N166" s="1850"/>
      <c r="O166">
        <v>24</v>
      </c>
      <c r="P166" t="str">
        <f ca="1">IF(OR('Tssco-bond portfolio(2)'!BQ30&lt;&gt;"USD",'Tssco-bond portfolio(2)'!S30=FALSE),"",IF('Tssco-bond portfolio(2)'!I30=0,"",'Tssco-bond portfolio(2)'!I30))</f>
        <v/>
      </c>
      <c r="Q166" s="1565">
        <f t="shared" ca="1" si="23"/>
        <v>0</v>
      </c>
      <c r="R166" s="826">
        <f t="shared" ca="1" si="24"/>
        <v>0</v>
      </c>
      <c r="S166" s="248">
        <f ca="1">IF(P166="",0,VLOOKUP(P166,TSS_換券投組!B:H,7,FALSE))</f>
        <v>0</v>
      </c>
      <c r="T166">
        <f ca="1">IF(P166="",0,VLOOKUP(P166,TSS_換券投組!B:E,4,FALSE))</f>
        <v>0</v>
      </c>
      <c r="U166" s="825">
        <f t="shared" ca="1" si="25"/>
        <v>0</v>
      </c>
      <c r="V166" s="1562" t="e">
        <f ca="1">VLOOKUP(P166,TSS_換券投組!B:I,8,FALSE)</f>
        <v>#N/A</v>
      </c>
      <c r="W166" s="1562" t="e">
        <f ca="1">VLOOKUP(P166,TSS_換券投組!B:J,9,FALSE)</f>
        <v>#N/A</v>
      </c>
      <c r="X166" s="1562" t="e">
        <f ca="1">VLOOKUP(P166,TSS_換券投組!B:G,6,FALSE)</f>
        <v>#N/A</v>
      </c>
      <c r="Y166" s="1564" t="e">
        <f ca="1">VLOOKUP(P166,TSS_換券投組!B:F,5,FALSE)</f>
        <v>#N/A</v>
      </c>
      <c r="Z166" s="1563" t="e">
        <f ca="1">VLOOKUP(P166,'銀行-TSS'!B:AP,41,FALSE)</f>
        <v>#N/A</v>
      </c>
      <c r="AA166" s="1563" t="e">
        <f ca="1">VLOOKUP(P166,bond!B:J,9,FALSE)</f>
        <v>#N/A</v>
      </c>
    </row>
    <row r="167" spans="14:27">
      <c r="N167" s="1850"/>
      <c r="O167">
        <v>25</v>
      </c>
      <c r="P167" t="str">
        <f ca="1">IF(OR('Tssco-bond portfolio(2)'!BQ31&lt;&gt;"USD",'Tssco-bond portfolio(2)'!S31=FALSE),"",IF('Tssco-bond portfolio(2)'!I31=0,"",'Tssco-bond portfolio(2)'!I31))</f>
        <v/>
      </c>
      <c r="Q167" s="1565">
        <f t="shared" ca="1" si="23"/>
        <v>0</v>
      </c>
      <c r="R167" s="826">
        <f t="shared" ca="1" si="24"/>
        <v>0</v>
      </c>
      <c r="S167" s="248">
        <f ca="1">IF(P167="",0,VLOOKUP(P167,TSS_換券投組!B:H,7,FALSE))</f>
        <v>0</v>
      </c>
      <c r="T167">
        <f ca="1">IF(P167="",0,VLOOKUP(P167,TSS_換券投組!B:E,4,FALSE))</f>
        <v>0</v>
      </c>
      <c r="U167" s="825">
        <f t="shared" ca="1" si="25"/>
        <v>0</v>
      </c>
      <c r="V167" s="1562" t="e">
        <f ca="1">VLOOKUP(P167,TSS_換券投組!B:I,8,FALSE)</f>
        <v>#N/A</v>
      </c>
      <c r="W167" s="1562" t="e">
        <f ca="1">VLOOKUP(P167,TSS_換券投組!B:J,9,FALSE)</f>
        <v>#N/A</v>
      </c>
      <c r="X167" s="1562" t="e">
        <f ca="1">VLOOKUP(P167,TSS_換券投組!B:G,6,FALSE)</f>
        <v>#N/A</v>
      </c>
      <c r="Y167" s="1564" t="e">
        <f ca="1">VLOOKUP(P167,TSS_換券投組!B:F,5,FALSE)</f>
        <v>#N/A</v>
      </c>
      <c r="Z167" s="1563" t="e">
        <f ca="1">VLOOKUP(P167,'銀行-TSS'!B:AP,41,FALSE)</f>
        <v>#N/A</v>
      </c>
      <c r="AA167" s="1563" t="e">
        <f ca="1">VLOOKUP(P167,bond!B:J,9,FALSE)</f>
        <v>#N/A</v>
      </c>
    </row>
    <row r="168" spans="14:27">
      <c r="N168" s="1850"/>
      <c r="O168">
        <v>26</v>
      </c>
      <c r="P168" t="str">
        <f ca="1">IF(OR('Tssco-bond portfolio(2)'!BQ32&lt;&gt;"USD",'Tssco-bond portfolio(2)'!S32=FALSE),"",IF('Tssco-bond portfolio(2)'!I32=0,"",'Tssco-bond portfolio(2)'!I32))</f>
        <v/>
      </c>
      <c r="Q168" s="1565">
        <f t="shared" ca="1" si="23"/>
        <v>0</v>
      </c>
      <c r="R168" s="826">
        <f t="shared" ca="1" si="24"/>
        <v>0</v>
      </c>
      <c r="S168" s="248">
        <f ca="1">IF(P168="",0,VLOOKUP(P168,TSS_換券投組!B:H,7,FALSE))</f>
        <v>0</v>
      </c>
      <c r="T168">
        <f ca="1">IF(P168="",0,VLOOKUP(P168,TSS_換券投組!B:E,4,FALSE))</f>
        <v>0</v>
      </c>
      <c r="U168" s="825">
        <f t="shared" ca="1" si="25"/>
        <v>0</v>
      </c>
      <c r="V168" s="1562" t="e">
        <f ca="1">VLOOKUP(P168,TSS_換券投組!B:I,8,FALSE)</f>
        <v>#N/A</v>
      </c>
      <c r="W168" s="1562" t="e">
        <f ca="1">VLOOKUP(P168,TSS_換券投組!B:J,9,FALSE)</f>
        <v>#N/A</v>
      </c>
      <c r="X168" s="1562" t="e">
        <f ca="1">VLOOKUP(P168,TSS_換券投組!B:G,6,FALSE)</f>
        <v>#N/A</v>
      </c>
      <c r="Y168" s="1564" t="e">
        <f ca="1">VLOOKUP(P168,TSS_換券投組!B:F,5,FALSE)</f>
        <v>#N/A</v>
      </c>
      <c r="Z168" s="1563" t="e">
        <f ca="1">VLOOKUP(P168,'銀行-TSS'!B:AP,41,FALSE)</f>
        <v>#N/A</v>
      </c>
      <c r="AA168" s="1563" t="e">
        <f ca="1">VLOOKUP(P168,bond!B:J,9,FALSE)</f>
        <v>#N/A</v>
      </c>
    </row>
    <row r="169" spans="14:27">
      <c r="N169" s="1850"/>
      <c r="O169">
        <v>27</v>
      </c>
      <c r="P169" t="str">
        <f ca="1">IF(OR('Tssco-bond portfolio(2)'!BQ33&lt;&gt;"USD",'Tssco-bond portfolio(2)'!S33=FALSE),"",IF('Tssco-bond portfolio(2)'!I33=0,"",'Tssco-bond portfolio(2)'!I33))</f>
        <v/>
      </c>
      <c r="Q169" s="1565">
        <f t="shared" ca="1" si="23"/>
        <v>0</v>
      </c>
      <c r="R169" s="826">
        <f t="shared" ca="1" si="24"/>
        <v>0</v>
      </c>
      <c r="S169" s="248">
        <f ca="1">IF(P169="",0,VLOOKUP(P169,TSS_換券投組!B:H,7,FALSE))</f>
        <v>0</v>
      </c>
      <c r="T169">
        <f ca="1">IF(P169="",0,VLOOKUP(P169,TSS_換券投組!B:E,4,FALSE))</f>
        <v>0</v>
      </c>
      <c r="U169" s="825">
        <f t="shared" ca="1" si="25"/>
        <v>0</v>
      </c>
      <c r="V169" s="1562" t="e">
        <f ca="1">VLOOKUP(P169,TSS_換券投組!B:I,8,FALSE)</f>
        <v>#N/A</v>
      </c>
      <c r="W169" s="1562" t="e">
        <f ca="1">VLOOKUP(P169,TSS_換券投組!B:J,9,FALSE)</f>
        <v>#N/A</v>
      </c>
      <c r="X169" s="1562" t="e">
        <f ca="1">VLOOKUP(P169,TSS_換券投組!B:G,6,FALSE)</f>
        <v>#N/A</v>
      </c>
      <c r="Y169" s="1564" t="e">
        <f ca="1">VLOOKUP(P169,TSS_換券投組!B:F,5,FALSE)</f>
        <v>#N/A</v>
      </c>
      <c r="Z169" s="1563" t="e">
        <f ca="1">VLOOKUP(P169,'銀行-TSS'!B:AP,41,FALSE)</f>
        <v>#N/A</v>
      </c>
      <c r="AA169" s="1563" t="e">
        <f ca="1">VLOOKUP(P169,bond!B:J,9,FALSE)</f>
        <v>#N/A</v>
      </c>
    </row>
    <row r="170" spans="14:27">
      <c r="N170" s="1850"/>
      <c r="O170">
        <v>28</v>
      </c>
      <c r="P170" t="str">
        <f ca="1">IF(OR('Tssco-bond portfolio(2)'!BQ34&lt;&gt;"USD",'Tssco-bond portfolio(2)'!S34=FALSE),"",IF('Tssco-bond portfolio(2)'!I34=0,"",'Tssco-bond portfolio(2)'!I34))</f>
        <v/>
      </c>
      <c r="Q170" s="1565">
        <f t="shared" ca="1" si="23"/>
        <v>0</v>
      </c>
      <c r="R170" s="826">
        <f t="shared" ca="1" si="24"/>
        <v>0</v>
      </c>
      <c r="S170" s="248">
        <f ca="1">IF(P170="",0,VLOOKUP(P170,TSS_換券投組!B:H,7,FALSE))</f>
        <v>0</v>
      </c>
      <c r="T170">
        <f ca="1">IF(P170="",0,VLOOKUP(P170,TSS_換券投組!B:E,4,FALSE))</f>
        <v>0</v>
      </c>
      <c r="U170" s="825">
        <f t="shared" ca="1" si="25"/>
        <v>0</v>
      </c>
      <c r="V170" s="1562" t="e">
        <f ca="1">VLOOKUP(P170,TSS_換券投組!B:I,8,FALSE)</f>
        <v>#N/A</v>
      </c>
      <c r="W170" s="1562" t="e">
        <f ca="1">VLOOKUP(P170,TSS_換券投組!B:J,9,FALSE)</f>
        <v>#N/A</v>
      </c>
      <c r="X170" s="1562" t="e">
        <f ca="1">VLOOKUP(P170,TSS_換券投組!B:G,6,FALSE)</f>
        <v>#N/A</v>
      </c>
      <c r="Y170" s="1564" t="e">
        <f ca="1">VLOOKUP(P170,TSS_換券投組!B:F,5,FALSE)</f>
        <v>#N/A</v>
      </c>
      <c r="Z170" s="1563" t="e">
        <f ca="1">VLOOKUP(P170,'銀行-TSS'!B:AP,41,FALSE)</f>
        <v>#N/A</v>
      </c>
      <c r="AA170" s="1563" t="e">
        <f ca="1">VLOOKUP(P170,bond!B:J,9,FALSE)</f>
        <v>#N/A</v>
      </c>
    </row>
    <row r="171" spans="14:27">
      <c r="N171" s="1850"/>
      <c r="O171">
        <v>29</v>
      </c>
      <c r="P171" t="str">
        <f ca="1">IF(OR('Tssco-bond portfolio(2)'!BQ35&lt;&gt;"USD",'Tssco-bond portfolio(2)'!S35=FALSE),"",IF('Tssco-bond portfolio(2)'!I35=0,"",'Tssco-bond portfolio(2)'!I35))</f>
        <v/>
      </c>
      <c r="Q171" s="1565">
        <f t="shared" ca="1" si="23"/>
        <v>0</v>
      </c>
      <c r="R171" s="826">
        <f t="shared" ca="1" si="24"/>
        <v>0</v>
      </c>
      <c r="S171" s="248">
        <f ca="1">IF(P171="",0,VLOOKUP(P171,TSS_換券投組!B:H,7,FALSE))</f>
        <v>0</v>
      </c>
      <c r="T171">
        <f ca="1">IF(P171="",0,VLOOKUP(P171,TSS_換券投組!B:E,4,FALSE))</f>
        <v>0</v>
      </c>
      <c r="U171" s="825">
        <f t="shared" ca="1" si="25"/>
        <v>0</v>
      </c>
      <c r="V171" s="1562" t="e">
        <f ca="1">VLOOKUP(P171,TSS_換券投組!B:I,8,FALSE)</f>
        <v>#N/A</v>
      </c>
      <c r="W171" s="1562" t="e">
        <f ca="1">VLOOKUP(P171,TSS_換券投組!B:J,9,FALSE)</f>
        <v>#N/A</v>
      </c>
      <c r="X171" s="1562" t="e">
        <f ca="1">VLOOKUP(P171,TSS_換券投組!B:G,6,FALSE)</f>
        <v>#N/A</v>
      </c>
      <c r="Y171" s="1564" t="e">
        <f ca="1">VLOOKUP(P171,TSS_換券投組!B:F,5,FALSE)</f>
        <v>#N/A</v>
      </c>
      <c r="Z171" s="1563" t="e">
        <f ca="1">VLOOKUP(P171,'銀行-TSS'!B:AP,41,FALSE)</f>
        <v>#N/A</v>
      </c>
      <c r="AA171" s="1563" t="e">
        <f ca="1">VLOOKUP(P171,bond!B:J,9,FALSE)</f>
        <v>#N/A</v>
      </c>
    </row>
    <row r="172" spans="14:27">
      <c r="N172" s="1850"/>
      <c r="O172">
        <v>30</v>
      </c>
      <c r="P172" t="str">
        <f ca="1">IF(OR('Tssco-bond portfolio(2)'!BQ36&lt;&gt;"USD",'Tssco-bond portfolio(2)'!S36=FALSE),"",IF('Tssco-bond portfolio(2)'!I36=0,"",'Tssco-bond portfolio(2)'!I36))</f>
        <v/>
      </c>
      <c r="Q172" s="1565">
        <f t="shared" ca="1" si="23"/>
        <v>0</v>
      </c>
      <c r="R172" s="826">
        <f t="shared" ca="1" si="24"/>
        <v>0</v>
      </c>
      <c r="S172" s="248">
        <f ca="1">IF(P172="",0,VLOOKUP(P172,TSS_換券投組!B:H,7,FALSE))</f>
        <v>0</v>
      </c>
      <c r="T172">
        <f ca="1">IF(P172="",0,VLOOKUP(P172,TSS_換券投組!B:E,4,FALSE))</f>
        <v>0</v>
      </c>
      <c r="U172" s="825">
        <f t="shared" ca="1" si="25"/>
        <v>0</v>
      </c>
      <c r="V172" s="1562" t="e">
        <f ca="1">VLOOKUP(P172,TSS_換券投組!B:I,8,FALSE)</f>
        <v>#N/A</v>
      </c>
      <c r="W172" s="1562" t="e">
        <f ca="1">VLOOKUP(P172,TSS_換券投組!B:J,9,FALSE)</f>
        <v>#N/A</v>
      </c>
      <c r="X172" s="1562" t="e">
        <f ca="1">VLOOKUP(P172,TSS_換券投組!B:G,6,FALSE)</f>
        <v>#N/A</v>
      </c>
      <c r="Y172" s="1564" t="e">
        <f ca="1">VLOOKUP(P172,TSS_換券投組!B:F,5,FALSE)</f>
        <v>#N/A</v>
      </c>
      <c r="Z172" s="1563" t="e">
        <f ca="1">VLOOKUP(P172,'銀行-TSS'!B:AP,41,FALSE)</f>
        <v>#N/A</v>
      </c>
      <c r="AA172" s="1563" t="e">
        <f ca="1">VLOOKUP(P172,bond!B:J,9,FALSE)</f>
        <v>#N/A</v>
      </c>
    </row>
    <row r="173" spans="14:27">
      <c r="N173" s="1850"/>
      <c r="O173">
        <v>31</v>
      </c>
      <c r="P173" t="str">
        <f ca="1">IF(OR('Tssco-bond portfolio(2)'!BQ37&lt;&gt;"USD",'Tssco-bond portfolio(2)'!S37=FALSE),"",IF('Tssco-bond portfolio(2)'!I37=0,"",'Tssco-bond portfolio(2)'!I37))</f>
        <v/>
      </c>
      <c r="Q173" s="1565">
        <f t="shared" ca="1" si="23"/>
        <v>0</v>
      </c>
      <c r="R173" s="826">
        <f t="shared" ca="1" si="24"/>
        <v>0</v>
      </c>
      <c r="S173" s="248">
        <f ca="1">IF(P173="",0,VLOOKUP(P173,TSS_換券投組!B:H,7,FALSE))</f>
        <v>0</v>
      </c>
      <c r="T173">
        <f ca="1">IF(P173="",0,VLOOKUP(P173,TSS_換券投組!B:E,4,FALSE))</f>
        <v>0</v>
      </c>
      <c r="U173" s="825">
        <f t="shared" ca="1" si="25"/>
        <v>0</v>
      </c>
      <c r="V173" s="1562" t="e">
        <f ca="1">VLOOKUP(P173,TSS_換券投組!B:I,8,FALSE)</f>
        <v>#N/A</v>
      </c>
      <c r="W173" s="1562" t="e">
        <f ca="1">VLOOKUP(P173,TSS_換券投組!B:J,9,FALSE)</f>
        <v>#N/A</v>
      </c>
      <c r="X173" s="1562" t="e">
        <f ca="1">VLOOKUP(P173,TSS_換券投組!B:G,6,FALSE)</f>
        <v>#N/A</v>
      </c>
      <c r="Y173" s="1564" t="e">
        <f ca="1">VLOOKUP(P173,TSS_換券投組!B:F,5,FALSE)</f>
        <v>#N/A</v>
      </c>
      <c r="Z173" s="1563" t="e">
        <f ca="1">VLOOKUP(P173,'銀行-TSS'!B:AP,41,FALSE)</f>
        <v>#N/A</v>
      </c>
      <c r="AA173" s="1563" t="e">
        <f ca="1">VLOOKUP(P173,bond!B:J,9,FALSE)</f>
        <v>#N/A</v>
      </c>
    </row>
    <row r="174" spans="14:27">
      <c r="N174" s="1850"/>
      <c r="O174">
        <v>32</v>
      </c>
      <c r="P174" t="str">
        <f ca="1">IF(OR('Tssco-bond portfolio(2)'!BQ38&lt;&gt;"USD",'Tssco-bond portfolio(2)'!S38=FALSE),"",IF('Tssco-bond portfolio(2)'!I38=0,"",'Tssco-bond portfolio(2)'!I38))</f>
        <v/>
      </c>
      <c r="Q174" s="1565">
        <f t="shared" ca="1" si="23"/>
        <v>0</v>
      </c>
      <c r="R174" s="826">
        <f t="shared" ca="1" si="24"/>
        <v>0</v>
      </c>
      <c r="S174" s="248">
        <f ca="1">IF(P174="",0,VLOOKUP(P174,TSS_換券投組!B:H,7,FALSE))</f>
        <v>0</v>
      </c>
      <c r="T174">
        <f ca="1">IF(P174="",0,VLOOKUP(P174,TSS_換券投組!B:E,4,FALSE))</f>
        <v>0</v>
      </c>
      <c r="U174" s="825">
        <f t="shared" ca="1" si="25"/>
        <v>0</v>
      </c>
      <c r="V174" s="1562" t="e">
        <f ca="1">VLOOKUP(P174,TSS_換券投組!B:I,8,FALSE)</f>
        <v>#N/A</v>
      </c>
      <c r="W174" s="1562" t="e">
        <f ca="1">VLOOKUP(P174,TSS_換券投組!B:J,9,FALSE)</f>
        <v>#N/A</v>
      </c>
      <c r="X174" s="1562" t="e">
        <f ca="1">VLOOKUP(P174,TSS_換券投組!B:G,6,FALSE)</f>
        <v>#N/A</v>
      </c>
      <c r="Y174" s="1564" t="e">
        <f ca="1">VLOOKUP(P174,TSS_換券投組!B:F,5,FALSE)</f>
        <v>#N/A</v>
      </c>
      <c r="Z174" s="1563" t="e">
        <f ca="1">VLOOKUP(P174,'銀行-TSS'!B:AP,41,FALSE)</f>
        <v>#N/A</v>
      </c>
      <c r="AA174" s="1563" t="e">
        <f ca="1">VLOOKUP(P174,bond!B:J,9,FALSE)</f>
        <v>#N/A</v>
      </c>
    </row>
    <row r="175" spans="14:27">
      <c r="N175" s="1850"/>
      <c r="O175">
        <v>33</v>
      </c>
      <c r="P175" t="str">
        <f ca="1">IF(OR('Tssco-bond portfolio(2)'!BQ39&lt;&gt;"USD",'Tssco-bond portfolio(2)'!S39=FALSE),"",IF('Tssco-bond portfolio(2)'!I39=0,"",'Tssco-bond portfolio(2)'!I39))</f>
        <v/>
      </c>
      <c r="Q175" s="1565">
        <f t="shared" ca="1" si="23"/>
        <v>0</v>
      </c>
      <c r="R175" s="826">
        <f t="shared" ca="1" si="24"/>
        <v>0</v>
      </c>
      <c r="S175" s="248">
        <f ca="1">IF(P175="",0,VLOOKUP(P175,TSS_換券投組!B:H,7,FALSE))</f>
        <v>0</v>
      </c>
      <c r="T175">
        <f ca="1">IF(P175="",0,VLOOKUP(P175,TSS_換券投組!B:E,4,FALSE))</f>
        <v>0</v>
      </c>
      <c r="U175" s="825">
        <f t="shared" ca="1" si="25"/>
        <v>0</v>
      </c>
      <c r="V175" s="1562" t="e">
        <f ca="1">VLOOKUP(P175,TSS_換券投組!B:I,8,FALSE)</f>
        <v>#N/A</v>
      </c>
      <c r="W175" s="1562" t="e">
        <f ca="1">VLOOKUP(P175,TSS_換券投組!B:J,9,FALSE)</f>
        <v>#N/A</v>
      </c>
      <c r="X175" s="1562" t="e">
        <f ca="1">VLOOKUP(P175,TSS_換券投組!B:G,6,FALSE)</f>
        <v>#N/A</v>
      </c>
      <c r="Y175" s="1564" t="e">
        <f ca="1">VLOOKUP(P175,TSS_換券投組!B:F,5,FALSE)</f>
        <v>#N/A</v>
      </c>
      <c r="Z175" s="1563" t="e">
        <f ca="1">VLOOKUP(P175,'銀行-TSS'!B:AP,41,FALSE)</f>
        <v>#N/A</v>
      </c>
      <c r="AA175" s="1563" t="e">
        <f ca="1">VLOOKUP(P175,bond!B:J,9,FALSE)</f>
        <v>#N/A</v>
      </c>
    </row>
    <row r="176" spans="14:27">
      <c r="N176" s="1850"/>
      <c r="O176">
        <v>34</v>
      </c>
      <c r="P176" t="str">
        <f ca="1">IF(OR('Tssco-bond portfolio(2)'!BQ40&lt;&gt;"USD",'Tssco-bond portfolio(2)'!S40=FALSE),"",IF('Tssco-bond portfolio(2)'!I40=0,"",'Tssco-bond portfolio(2)'!I40))</f>
        <v/>
      </c>
      <c r="Q176" s="1565">
        <f t="shared" ca="1" si="23"/>
        <v>0</v>
      </c>
      <c r="R176" s="826">
        <f t="shared" ca="1" si="24"/>
        <v>0</v>
      </c>
      <c r="S176" s="248">
        <f ca="1">IF(P176="",0,VLOOKUP(P176,TSS_換券投組!B:H,7,FALSE))</f>
        <v>0</v>
      </c>
      <c r="T176">
        <f ca="1">IF(P176="",0,VLOOKUP(P176,TSS_換券投組!B:E,4,FALSE))</f>
        <v>0</v>
      </c>
      <c r="U176" s="825">
        <f t="shared" ca="1" si="25"/>
        <v>0</v>
      </c>
      <c r="V176" s="1562" t="e">
        <f ca="1">VLOOKUP(P176,TSS_換券投組!B:I,8,FALSE)</f>
        <v>#N/A</v>
      </c>
      <c r="W176" s="1562" t="e">
        <f ca="1">VLOOKUP(P176,TSS_換券投組!B:J,9,FALSE)</f>
        <v>#N/A</v>
      </c>
      <c r="X176" s="1562" t="e">
        <f ca="1">VLOOKUP(P176,TSS_換券投組!B:G,6,FALSE)</f>
        <v>#N/A</v>
      </c>
      <c r="Y176" s="1564" t="e">
        <f ca="1">VLOOKUP(P176,TSS_換券投組!B:F,5,FALSE)</f>
        <v>#N/A</v>
      </c>
      <c r="Z176" s="1563" t="e">
        <f ca="1">VLOOKUP(P176,'銀行-TSS'!B:AP,41,FALSE)</f>
        <v>#N/A</v>
      </c>
      <c r="AA176" s="1563" t="e">
        <f ca="1">VLOOKUP(P176,bond!B:J,9,FALSE)</f>
        <v>#N/A</v>
      </c>
    </row>
    <row r="177" spans="14:27">
      <c r="N177" s="1850"/>
      <c r="O177">
        <v>35</v>
      </c>
      <c r="P177" t="str">
        <f ca="1">IF(OR('Tssco-bond portfolio(2)'!BQ41&lt;&gt;"USD",'Tssco-bond portfolio(2)'!S41=FALSE),"",IF('Tssco-bond portfolio(2)'!I41=0,"",'Tssco-bond portfolio(2)'!I41))</f>
        <v/>
      </c>
      <c r="Q177" s="1565">
        <f t="shared" ca="1" si="23"/>
        <v>0</v>
      </c>
      <c r="R177" s="826">
        <f t="shared" ca="1" si="24"/>
        <v>0</v>
      </c>
      <c r="S177" s="248">
        <f ca="1">IF(P177="",0,VLOOKUP(P177,TSS_換券投組!B:H,7,FALSE))</f>
        <v>0</v>
      </c>
      <c r="T177">
        <f ca="1">IF(P177="",0,VLOOKUP(P177,TSS_換券投組!B:E,4,FALSE))</f>
        <v>0</v>
      </c>
      <c r="U177" s="825">
        <f t="shared" ca="1" si="25"/>
        <v>0</v>
      </c>
      <c r="V177" s="1562" t="e">
        <f ca="1">VLOOKUP(P177,TSS_換券投組!B:I,8,FALSE)</f>
        <v>#N/A</v>
      </c>
      <c r="W177" s="1562" t="e">
        <f ca="1">VLOOKUP(P177,TSS_換券投組!B:J,9,FALSE)</f>
        <v>#N/A</v>
      </c>
      <c r="X177" s="1562" t="e">
        <f ca="1">VLOOKUP(P177,TSS_換券投組!B:G,6,FALSE)</f>
        <v>#N/A</v>
      </c>
      <c r="Y177" s="1564" t="e">
        <f ca="1">VLOOKUP(P177,TSS_換券投組!B:F,5,FALSE)</f>
        <v>#N/A</v>
      </c>
      <c r="Z177" s="1563" t="e">
        <f ca="1">VLOOKUP(P177,'銀行-TSS'!B:AP,41,FALSE)</f>
        <v>#N/A</v>
      </c>
      <c r="AA177" s="1563" t="e">
        <f ca="1">VLOOKUP(P177,bond!B:J,9,FALSE)</f>
        <v>#N/A</v>
      </c>
    </row>
    <row r="178" spans="14:27">
      <c r="N178" s="1850"/>
      <c r="O178">
        <v>36</v>
      </c>
      <c r="P178" t="str">
        <f ca="1">IF(OR('Tssco-bond portfolio(2)'!BQ42&lt;&gt;"USD",'Tssco-bond portfolio(2)'!S42=FALSE),"",IF('Tssco-bond portfolio(2)'!I42=0,"",'Tssco-bond portfolio(2)'!I42))</f>
        <v/>
      </c>
      <c r="Q178" s="1565">
        <f t="shared" ca="1" si="23"/>
        <v>0</v>
      </c>
      <c r="R178" s="826">
        <f t="shared" ca="1" si="24"/>
        <v>0</v>
      </c>
      <c r="S178" s="248">
        <f ca="1">IF(P178="",0,VLOOKUP(P178,TSS_換券投組!B:H,7,FALSE))</f>
        <v>0</v>
      </c>
      <c r="T178">
        <f ca="1">IF(P178="",0,VLOOKUP(P178,TSS_換券投組!B:E,4,FALSE))</f>
        <v>0</v>
      </c>
      <c r="U178" s="825">
        <f t="shared" ca="1" si="25"/>
        <v>0</v>
      </c>
      <c r="V178" s="1562" t="e">
        <f ca="1">VLOOKUP(P178,TSS_換券投組!B:I,8,FALSE)</f>
        <v>#N/A</v>
      </c>
      <c r="W178" s="1562" t="e">
        <f ca="1">VLOOKUP(P178,TSS_換券投組!B:J,9,FALSE)</f>
        <v>#N/A</v>
      </c>
      <c r="X178" s="1562" t="e">
        <f ca="1">VLOOKUP(P178,TSS_換券投組!B:G,6,FALSE)</f>
        <v>#N/A</v>
      </c>
      <c r="Y178" s="1564" t="e">
        <f ca="1">VLOOKUP(P178,TSS_換券投組!B:F,5,FALSE)</f>
        <v>#N/A</v>
      </c>
      <c r="Z178" s="1563" t="e">
        <f ca="1">VLOOKUP(P178,'銀行-TSS'!B:AP,41,FALSE)</f>
        <v>#N/A</v>
      </c>
      <c r="AA178" s="1563" t="e">
        <f ca="1">VLOOKUP(P178,bond!B:J,9,FALSE)</f>
        <v>#N/A</v>
      </c>
    </row>
    <row r="179" spans="14:27">
      <c r="Q179" s="1565"/>
      <c r="R179" s="826"/>
      <c r="S179" s="248"/>
      <c r="U179" s="825"/>
      <c r="V179" s="1562"/>
      <c r="W179" s="1562"/>
      <c r="X179" s="1562"/>
      <c r="Y179" s="1564"/>
      <c r="Z179" s="1563"/>
      <c r="AA179" s="1563"/>
    </row>
    <row r="180" spans="14:27">
      <c r="Q180" s="1565"/>
      <c r="R180" s="826"/>
      <c r="S180" s="248"/>
      <c r="U180" s="825"/>
      <c r="V180" s="1562"/>
      <c r="W180" s="1562"/>
      <c r="X180" s="1562"/>
      <c r="Y180" s="1564"/>
      <c r="Z180" s="1563"/>
      <c r="AA180" s="1563"/>
    </row>
    <row r="181" spans="14:27">
      <c r="Q181" s="1565"/>
      <c r="R181" s="826"/>
      <c r="S181" s="248"/>
      <c r="U181" s="825"/>
      <c r="V181" s="1562"/>
      <c r="W181" s="1562"/>
      <c r="X181" s="1562"/>
      <c r="Y181" s="1564"/>
      <c r="Z181" s="1563"/>
      <c r="AA181" s="1563"/>
    </row>
  </sheetData>
  <mergeCells count="9">
    <mergeCell ref="N47:N58"/>
    <mergeCell ref="N59:N70"/>
    <mergeCell ref="N71:N82"/>
    <mergeCell ref="N137:N142"/>
    <mergeCell ref="D84:E84"/>
    <mergeCell ref="N101:N112"/>
    <mergeCell ref="N113:N124"/>
    <mergeCell ref="N125:N136"/>
    <mergeCell ref="N143:N178"/>
  </mergeCells>
  <phoneticPr fontId="53" type="noConversion"/>
  <conditionalFormatting sqref="F84 D84">
    <cfRule type="dataBar" priority="1">
      <dataBar>
        <cfvo type="min"/>
        <cfvo type="max"/>
        <color rgb="FF297D6B"/>
      </dataBar>
      <extLst>
        <ext xmlns:x14="http://schemas.microsoft.com/office/spreadsheetml/2009/9/main" uri="{B025F937-C7B1-47D3-B67F-A62EFF666E3E}">
          <x14:id>{C90D4131-D0F7-45EF-AD91-DB64BE3B28EB}</x14:id>
        </ext>
      </extLst>
    </cfRule>
    <cfRule type="dataBar" priority="2">
      <dataBar>
        <cfvo type="min"/>
        <cfvo type="max"/>
        <color rgb="FF638EC6"/>
      </dataBar>
      <extLst>
        <ext xmlns:x14="http://schemas.microsoft.com/office/spreadsheetml/2009/9/main" uri="{B025F937-C7B1-47D3-B67F-A62EFF666E3E}">
          <x14:id>{84324654-A134-458F-8A07-5E129C71792D}</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C90D4131-D0F7-45EF-AD91-DB64BE3B28EB}">
            <x14:dataBar minLength="0" maxLength="100" gradient="0">
              <x14:cfvo type="autoMin"/>
              <x14:cfvo type="autoMax"/>
              <x14:negativeFillColor rgb="FFFF0000"/>
              <x14:axisColor rgb="FF000000"/>
            </x14:dataBar>
          </x14:cfRule>
          <x14:cfRule type="dataBar" id="{84324654-A134-458F-8A07-5E129C71792D}">
            <x14:dataBar minLength="0" maxLength="100" border="1" negativeBarBorderColorSameAsPositive="0">
              <x14:cfvo type="autoMin"/>
              <x14:cfvo type="autoMax"/>
              <x14:borderColor rgb="FF638EC6"/>
              <x14:negativeFillColor rgb="FFFF0000"/>
              <x14:negativeBorderColor rgb="FFFF0000"/>
              <x14:axisColor rgb="FF000000"/>
            </x14:dataBar>
          </x14:cfRule>
          <xm:sqref>F84 D84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21"/>
  <dimension ref="A1:FD271"/>
  <sheetViews>
    <sheetView workbookViewId="0"/>
  </sheetViews>
  <sheetFormatPr defaultColWidth="9.0703125" defaultRowHeight="19.5" customHeight="1"/>
  <cols>
    <col min="1" max="1" width="9.0703125" style="459"/>
    <col min="2" max="2" width="15" style="459" customWidth="1"/>
    <col min="3" max="3" width="16.85546875" style="459" bestFit="1" customWidth="1"/>
    <col min="4" max="4" width="10.0703125" style="459" bestFit="1" customWidth="1"/>
    <col min="5" max="5" width="9.0703125" style="459" customWidth="1"/>
    <col min="6" max="6" width="10.640625" style="459" bestFit="1" customWidth="1"/>
    <col min="7" max="7" width="13.42578125" style="459" bestFit="1" customWidth="1"/>
    <col min="8" max="8" width="6" style="12" customWidth="1"/>
    <col min="9" max="9" width="6.2109375" style="12" customWidth="1"/>
    <col min="10" max="10" width="8.2109375" style="12" bestFit="1" customWidth="1"/>
    <col min="11" max="11" width="21.0703125" style="12" customWidth="1"/>
    <col min="12" max="12" width="16.42578125" style="12" customWidth="1"/>
    <col min="13" max="13" width="7.2109375" style="12" bestFit="1" customWidth="1"/>
    <col min="14" max="14" width="6.42578125" style="12" bestFit="1" customWidth="1"/>
    <col min="15" max="15" width="10" style="12" customWidth="1"/>
    <col min="16" max="16" width="13.28515625" style="12" bestFit="1" customWidth="1"/>
    <col min="17" max="17" width="7.2109375" style="12" bestFit="1" customWidth="1"/>
    <col min="18" max="18" width="12.0703125" style="12" bestFit="1" customWidth="1"/>
    <col min="19" max="20" width="7.2109375" style="12" bestFit="1" customWidth="1"/>
    <col min="21" max="21" width="10.42578125" style="12" customWidth="1"/>
    <col min="22" max="22" width="8.0703125" style="26" customWidth="1"/>
    <col min="23" max="23" width="10.640625" style="12" customWidth="1"/>
    <col min="24" max="24" width="13.28515625" style="12" bestFit="1" customWidth="1"/>
    <col min="25" max="25" width="16.640625" style="12" bestFit="1" customWidth="1"/>
    <col min="26" max="26" width="13.28515625" style="109" customWidth="1"/>
    <col min="27" max="27" width="10.0703125" style="448" bestFit="1" customWidth="1"/>
    <col min="28" max="29" width="9.0703125" style="12" customWidth="1"/>
    <col min="30" max="31" width="11.0703125" style="12" bestFit="1" customWidth="1"/>
    <col min="32" max="16384" width="9.0703125" style="12"/>
  </cols>
  <sheetData>
    <row r="1" spans="1:160" s="435" customFormat="1" ht="19.5" customHeight="1">
      <c r="A1" s="459"/>
      <c r="B1" s="459"/>
      <c r="C1" s="459"/>
      <c r="D1" s="459"/>
      <c r="E1" s="459"/>
      <c r="F1" s="459"/>
      <c r="G1" s="459"/>
      <c r="H1" s="12"/>
      <c r="I1" s="12">
        <f ca="1">COUNTIF(I7:I19,"&lt;&gt;0")</f>
        <v>11</v>
      </c>
      <c r="J1" s="12">
        <f ca="1">SUM(J7:J19)</f>
        <v>300000</v>
      </c>
      <c r="K1" s="943">
        <f ca="1">SUM(K7:K19)</f>
        <v>229725.40000000002</v>
      </c>
      <c r="L1" s="12">
        <f ca="1">SUM(L7:L19)</f>
        <v>6891762</v>
      </c>
      <c r="N1" s="437"/>
      <c r="O1" s="437"/>
      <c r="P1" s="436"/>
      <c r="Q1" s="437"/>
      <c r="R1" s="436"/>
      <c r="S1" s="438"/>
      <c r="T1" s="439"/>
      <c r="U1" s="439"/>
      <c r="V1" s="567"/>
      <c r="W1" s="439"/>
      <c r="X1" s="439">
        <f ca="1">SUMIFS(換券表[投入面額],換券表[檢測],TRUE)</f>
        <v>300000</v>
      </c>
      <c r="Y1" s="439">
        <f ca="1">SUMIFS(換券表[持有成本(不含前手息)],換券表[檢測],TRUE)</f>
        <v>229725.40000000002</v>
      </c>
      <c r="Z1" s="616">
        <f ca="1">SUMPRODUCT(1/COUNTIF(換券表[名稱],換券表[名稱]))-IF(COUNTIF(換券表[名稱],"")&gt;0,1,0)</f>
        <v>3.0000000000000009</v>
      </c>
      <c r="AA1" s="616">
        <f ca="1">SUMPRODUCT(1/COUNTIF(換券表[產業],換券表[產業]))-IF(COUNTIF(換券表[產業],"")&gt;0,1,0)</f>
        <v>2.0000000000000009</v>
      </c>
      <c r="AB1" s="655">
        <f ca="1">IF(AB3&gt;0,AB2-1,AB2)</f>
        <v>1.0000000000000004</v>
      </c>
      <c r="AC1" s="28">
        <f ca="1">IFERROR(AVERAGEIF(換券表[檢測],TRUE,換券表[對應編碼]),AVERAGEIF(換券表[對應編碼],"&lt;&gt;#N/A"))</f>
        <v>1</v>
      </c>
    </row>
    <row r="2" spans="1:160" ht="19.5" customHeight="1">
      <c r="M2" s="425"/>
      <c r="N2" s="425"/>
      <c r="O2" s="425"/>
      <c r="T2" s="127"/>
      <c r="U2" s="127"/>
      <c r="V2" s="568"/>
      <c r="W2" s="127"/>
      <c r="X2" s="127"/>
      <c r="Y2" s="127"/>
      <c r="Z2" s="482"/>
      <c r="AA2" s="446"/>
      <c r="AB2" s="656">
        <f ca="1">SUMPRODUCT(1/COUNTIF(換券表[幣別],換券表[幣別]))</f>
        <v>2.0000000000000004</v>
      </c>
      <c r="AC2" s="657" t="str">
        <f ca="1">INDEX(B37:B43,MATCH(全美,C37:C43,0))</f>
        <v>USD</v>
      </c>
    </row>
    <row r="3" spans="1:160" ht="19.5" customHeight="1">
      <c r="M3" s="426"/>
      <c r="N3" s="26"/>
      <c r="O3" s="26"/>
      <c r="T3" s="127"/>
      <c r="U3" s="127"/>
      <c r="V3" s="568"/>
      <c r="W3" s="127"/>
      <c r="X3" s="127"/>
      <c r="Y3" s="127"/>
      <c r="Z3" s="482"/>
      <c r="AA3" s="446"/>
      <c r="AB3" s="656">
        <f ca="1">COUNTIF(換券表[幣別],"")</f>
        <v>10</v>
      </c>
    </row>
    <row r="4" spans="1:160" ht="19.5" customHeight="1">
      <c r="M4" s="427"/>
      <c r="N4" s="32"/>
      <c r="O4" s="32"/>
      <c r="P4" s="32"/>
      <c r="Q4" s="32"/>
      <c r="R4" s="32"/>
      <c r="S4" s="32"/>
      <c r="T4" s="127"/>
      <c r="U4" s="127"/>
      <c r="V4" s="568"/>
      <c r="W4" s="127"/>
      <c r="X4" s="127"/>
      <c r="Y4" s="127"/>
      <c r="Z4" s="482"/>
      <c r="AA4" s="446"/>
    </row>
    <row r="5" spans="1:160" s="424" customFormat="1" ht="19.5" customHeight="1">
      <c r="A5" s="460"/>
      <c r="B5" s="460"/>
      <c r="C5" s="460"/>
      <c r="D5" s="460"/>
      <c r="E5" s="460"/>
      <c r="F5" s="460"/>
      <c r="G5" s="460"/>
      <c r="M5" s="422"/>
      <c r="N5" s="422"/>
      <c r="O5" s="422"/>
      <c r="P5" s="422"/>
      <c r="Q5" s="422"/>
      <c r="R5" s="422"/>
      <c r="S5" s="422"/>
      <c r="T5" s="423"/>
      <c r="U5" s="423"/>
      <c r="V5" s="569"/>
      <c r="W5" s="423"/>
      <c r="X5" s="423"/>
      <c r="Y5" s="423"/>
      <c r="Z5" s="483"/>
      <c r="AA5" s="447"/>
      <c r="AB5" s="423" t="s">
        <v>2014</v>
      </c>
      <c r="AC5" s="423"/>
      <c r="AD5" s="423"/>
      <c r="AE5" s="423"/>
      <c r="AF5" s="423"/>
      <c r="AG5" s="423"/>
      <c r="AH5" s="423"/>
      <c r="AI5" s="423"/>
      <c r="AJ5" s="423"/>
      <c r="AK5" s="423"/>
      <c r="AL5" s="423"/>
      <c r="AM5" s="423"/>
      <c r="AN5" s="423"/>
      <c r="AO5" s="423"/>
      <c r="AP5" s="423"/>
      <c r="AQ5" s="423"/>
      <c r="AR5" s="423"/>
      <c r="AS5" s="423"/>
      <c r="AT5" s="423"/>
      <c r="AU5" s="423"/>
      <c r="AV5" s="423"/>
      <c r="AW5" s="423"/>
      <c r="AX5" s="423"/>
      <c r="AY5" s="423"/>
      <c r="AZ5" s="423"/>
      <c r="BA5" s="423"/>
      <c r="BB5" s="423"/>
      <c r="BC5" s="423"/>
      <c r="BD5" s="423"/>
      <c r="BE5" s="423"/>
      <c r="BF5" s="423"/>
      <c r="BG5" s="423"/>
      <c r="BH5" s="423"/>
      <c r="BI5" s="423"/>
      <c r="BJ5" s="423"/>
      <c r="BK5" s="423"/>
      <c r="BL5" s="423"/>
      <c r="BM5" s="423"/>
      <c r="BN5" s="423"/>
      <c r="BO5" s="423"/>
      <c r="BP5" s="423"/>
      <c r="BQ5" s="423"/>
      <c r="BR5" s="423"/>
      <c r="BS5" s="423"/>
      <c r="BT5" s="423"/>
      <c r="BU5" s="423"/>
      <c r="BV5" s="423"/>
      <c r="BW5" s="423"/>
      <c r="BX5" s="423"/>
      <c r="BY5" s="423"/>
      <c r="BZ5" s="423"/>
      <c r="CA5" s="423"/>
      <c r="CB5" s="423"/>
      <c r="CC5" s="423"/>
      <c r="CD5" s="423"/>
      <c r="CE5" s="423"/>
      <c r="CF5" s="423"/>
      <c r="CG5" s="423"/>
      <c r="CH5" s="423"/>
      <c r="CI5" s="423"/>
      <c r="CJ5" s="423"/>
      <c r="CK5" s="423"/>
      <c r="CL5" s="423"/>
      <c r="CM5" s="423"/>
      <c r="CN5" s="423"/>
      <c r="CO5" s="423"/>
      <c r="CP5" s="423"/>
      <c r="CQ5" s="423"/>
      <c r="CR5" s="423"/>
      <c r="CS5" s="423"/>
      <c r="CT5" s="423"/>
      <c r="CU5" s="423"/>
      <c r="CV5" s="423"/>
      <c r="CW5" s="423"/>
      <c r="CX5" s="423"/>
      <c r="CY5" s="423"/>
      <c r="CZ5" s="423"/>
      <c r="DA5" s="423"/>
      <c r="DB5" s="423"/>
      <c r="DC5" s="423"/>
      <c r="DD5" s="423"/>
      <c r="DE5" s="423"/>
      <c r="DF5" s="423"/>
      <c r="DG5" s="423"/>
      <c r="DH5" s="423"/>
      <c r="DI5" s="423"/>
      <c r="DJ5" s="423"/>
      <c r="DK5" s="423"/>
      <c r="DL5" s="423"/>
      <c r="DM5" s="423"/>
      <c r="DN5" s="423"/>
      <c r="DO5" s="423"/>
      <c r="DP5" s="423"/>
      <c r="DQ5" s="423"/>
      <c r="DR5" s="423"/>
      <c r="DS5" s="423"/>
      <c r="DT5" s="423"/>
      <c r="DU5" s="423"/>
      <c r="DV5" s="423"/>
      <c r="DW5" s="423"/>
      <c r="DX5" s="423"/>
      <c r="DY5" s="423"/>
      <c r="DZ5" s="423"/>
      <c r="EA5" s="423"/>
      <c r="EB5" s="423"/>
      <c r="EC5" s="423"/>
      <c r="ED5" s="423"/>
      <c r="EE5" s="423"/>
      <c r="EF5" s="423"/>
      <c r="EG5" s="423"/>
      <c r="EH5" s="423"/>
      <c r="EI5" s="423"/>
      <c r="EJ5" s="423"/>
      <c r="EK5" s="423"/>
      <c r="EL5" s="423"/>
      <c r="EM5" s="423"/>
      <c r="EN5" s="423"/>
      <c r="EO5" s="423"/>
      <c r="EP5" s="423"/>
      <c r="EQ5" s="423"/>
      <c r="ER5" s="423"/>
      <c r="ES5" s="423"/>
      <c r="ET5" s="423"/>
      <c r="EU5" s="423"/>
      <c r="EV5" s="423"/>
      <c r="EW5" s="423"/>
      <c r="EX5" s="423"/>
      <c r="EY5" s="423"/>
      <c r="EZ5" s="423"/>
      <c r="FA5" s="423"/>
      <c r="FB5" s="423"/>
      <c r="FC5" s="423"/>
      <c r="FD5" s="423"/>
    </row>
    <row r="6" spans="1:160" s="915" customFormat="1" ht="19.5" customHeight="1" thickBot="1">
      <c r="A6" s="461"/>
      <c r="B6" s="611" t="s">
        <v>1949</v>
      </c>
      <c r="C6" s="611" t="s">
        <v>1950</v>
      </c>
      <c r="D6" s="461"/>
      <c r="E6" s="461"/>
      <c r="F6" s="460"/>
      <c r="G6" s="461"/>
      <c r="H6" s="916"/>
      <c r="I6" s="916"/>
      <c r="J6" s="924" t="s">
        <v>3709</v>
      </c>
      <c r="K6" s="924" t="s">
        <v>3723</v>
      </c>
      <c r="L6" s="924" t="s">
        <v>3727</v>
      </c>
      <c r="M6" s="925" t="s">
        <v>17</v>
      </c>
      <c r="N6" s="925" t="s">
        <v>1985</v>
      </c>
      <c r="O6" s="925" t="s">
        <v>2141</v>
      </c>
      <c r="P6" s="925" t="s">
        <v>3710</v>
      </c>
      <c r="Q6" s="925" t="s">
        <v>20</v>
      </c>
      <c r="R6" s="925" t="s">
        <v>23</v>
      </c>
      <c r="S6" s="925" t="s">
        <v>18</v>
      </c>
      <c r="T6" s="925" t="s">
        <v>19</v>
      </c>
      <c r="U6" s="926" t="s">
        <v>10</v>
      </c>
      <c r="V6" s="926" t="s">
        <v>2101</v>
      </c>
      <c r="W6" s="915" t="s">
        <v>32</v>
      </c>
      <c r="X6" s="921" t="s">
        <v>1954</v>
      </c>
      <c r="Y6" s="921" t="s">
        <v>1966</v>
      </c>
      <c r="Z6" s="922" t="s">
        <v>2145</v>
      </c>
      <c r="AA6" s="915" t="s">
        <v>30</v>
      </c>
      <c r="AB6" s="921" t="s">
        <v>6</v>
      </c>
      <c r="AC6" s="921" t="s">
        <v>2016</v>
      </c>
      <c r="AD6" s="921" t="s">
        <v>2106</v>
      </c>
      <c r="AE6" s="926" t="s">
        <v>2107</v>
      </c>
      <c r="AF6" s="923"/>
      <c r="AG6" s="923"/>
      <c r="AH6" s="923"/>
      <c r="AI6" s="923"/>
      <c r="AJ6" s="923"/>
      <c r="AK6" s="923"/>
      <c r="AL6" s="923"/>
      <c r="AM6" s="923"/>
      <c r="AN6" s="923"/>
      <c r="AO6" s="923"/>
      <c r="AP6" s="923"/>
      <c r="AQ6" s="923"/>
      <c r="AR6" s="923"/>
      <c r="AS6" s="923"/>
      <c r="AT6" s="923"/>
      <c r="AU6" s="923"/>
      <c r="AV6" s="923"/>
      <c r="AW6" s="923"/>
      <c r="AX6" s="923"/>
      <c r="AY6" s="923"/>
      <c r="AZ6" s="923"/>
      <c r="BA6" s="923"/>
      <c r="BB6" s="923"/>
      <c r="BC6" s="923"/>
      <c r="BD6" s="923"/>
      <c r="BE6" s="923"/>
      <c r="BF6" s="923"/>
      <c r="BG6" s="923"/>
      <c r="BH6" s="923"/>
      <c r="BI6" s="923"/>
      <c r="BJ6" s="923"/>
      <c r="BK6" s="923"/>
      <c r="BL6" s="923"/>
      <c r="BM6" s="923"/>
      <c r="BN6" s="923"/>
      <c r="BO6" s="923"/>
      <c r="BP6" s="923"/>
      <c r="BQ6" s="923"/>
      <c r="BR6" s="923"/>
      <c r="BS6" s="923"/>
      <c r="BT6" s="923"/>
      <c r="BU6" s="923"/>
      <c r="BV6" s="923"/>
      <c r="BW6" s="923"/>
      <c r="BX6" s="923"/>
      <c r="BY6" s="923"/>
      <c r="BZ6" s="923"/>
      <c r="CA6" s="923"/>
      <c r="CB6" s="923"/>
      <c r="CC6" s="923"/>
      <c r="CD6" s="923"/>
      <c r="CE6" s="923"/>
      <c r="CF6" s="923"/>
      <c r="CG6" s="923"/>
      <c r="CH6" s="923"/>
      <c r="CI6" s="923"/>
      <c r="CJ6" s="923"/>
      <c r="CK6" s="923"/>
      <c r="CL6" s="923"/>
      <c r="CM6" s="923"/>
      <c r="CN6" s="923"/>
      <c r="CO6" s="923"/>
      <c r="CP6" s="923"/>
      <c r="CQ6" s="923"/>
      <c r="CR6" s="923"/>
      <c r="CS6" s="923"/>
      <c r="CT6" s="923"/>
      <c r="CU6" s="923"/>
      <c r="CV6" s="923"/>
      <c r="CW6" s="923"/>
      <c r="CX6" s="923"/>
      <c r="CY6" s="923"/>
      <c r="CZ6" s="923"/>
      <c r="DA6" s="923"/>
      <c r="DB6" s="923"/>
      <c r="DC6" s="923"/>
      <c r="DD6" s="923"/>
      <c r="DE6" s="923"/>
      <c r="DF6" s="923"/>
      <c r="DG6" s="923"/>
      <c r="DH6" s="923"/>
      <c r="DI6" s="923"/>
      <c r="DJ6" s="923"/>
      <c r="DK6" s="923"/>
      <c r="DL6" s="923"/>
      <c r="DM6" s="923"/>
      <c r="DN6" s="923"/>
      <c r="DO6" s="923"/>
      <c r="DP6" s="923"/>
      <c r="DQ6" s="923"/>
      <c r="DR6" s="923"/>
      <c r="DS6" s="923"/>
      <c r="DT6" s="923"/>
      <c r="DU6" s="923"/>
      <c r="DV6" s="923"/>
      <c r="DW6" s="923"/>
      <c r="DX6" s="923"/>
      <c r="DY6" s="923"/>
      <c r="DZ6" s="923"/>
      <c r="EA6" s="923"/>
      <c r="EB6" s="923"/>
      <c r="EC6" s="923"/>
      <c r="ED6" s="923"/>
      <c r="EE6" s="923"/>
      <c r="EF6" s="923"/>
      <c r="EG6" s="923"/>
      <c r="EH6" s="923"/>
      <c r="EI6" s="923"/>
      <c r="EJ6" s="923"/>
      <c r="EK6" s="923"/>
      <c r="EL6" s="923"/>
      <c r="EM6" s="923"/>
      <c r="EN6" s="923"/>
      <c r="EO6" s="923"/>
      <c r="EP6" s="923"/>
      <c r="EQ6" s="923"/>
      <c r="ER6" s="923"/>
      <c r="ES6" s="923"/>
      <c r="ET6" s="923"/>
      <c r="EU6" s="923"/>
      <c r="EV6" s="923"/>
      <c r="EW6" s="923"/>
      <c r="EX6" s="923"/>
      <c r="EY6" s="923"/>
      <c r="EZ6" s="923"/>
      <c r="FA6" s="923"/>
      <c r="FB6" s="923"/>
      <c r="FC6" s="923"/>
      <c r="FD6" s="923"/>
    </row>
    <row r="7" spans="1:160" ht="19.5" customHeight="1">
      <c r="B7" s="613" t="s">
        <v>1943</v>
      </c>
      <c r="C7" s="613">
        <v>4</v>
      </c>
      <c r="F7" s="460"/>
      <c r="H7" s="12" t="s">
        <v>3708</v>
      </c>
      <c r="I7" s="919">
        <f>換券單檔!F6</f>
        <v>0</v>
      </c>
      <c r="J7" s="941">
        <f ca="1">IFERROR(換券單檔!G10,0)</f>
        <v>0</v>
      </c>
      <c r="K7" s="942">
        <f ca="1">ROUND(換券單檔!G19,2)</f>
        <v>0</v>
      </c>
      <c r="L7" s="941">
        <f>IF(I7=0,0,K7*換券表[[#This Row],[換算匯率(現)]])</f>
        <v>0</v>
      </c>
      <c r="M7" s="428">
        <f t="shared" ref="M7:M19" si="0">I7</f>
        <v>0</v>
      </c>
      <c r="N7" s="429" t="e">
        <f>VLOOKUP(M7,bond!B:I,8,FALSE)</f>
        <v>#N/A</v>
      </c>
      <c r="O7" s="429" t="e">
        <f>換券表[[#This Row],[買價]]+VLOOKUP(換券表[[#This Row],[商品代號]],bond!B:K,10,FALSE)</f>
        <v>#N/A</v>
      </c>
      <c r="P7" s="430" t="e">
        <f ca="1">VLOOKUP(換券表[[#This Row],[商品代號]],'銀行-TSS'!B:K,10,FALSE)</f>
        <v>#N/A</v>
      </c>
      <c r="Q7" s="431" t="e">
        <f ca="1">VLOOKUP($M7,'銀行-TSS'!B:G,6,FALSE)</f>
        <v>#N/A</v>
      </c>
      <c r="R7" s="432" t="e">
        <f ca="1">IFERROR(DATEVALUE(VLOOKUP($M7,'銀行-TSS'!B:F,5,FALSE)),VLOOKUP($M7,'銀行-TSS'!B:F,5,FALSE))</f>
        <v>#N/A</v>
      </c>
      <c r="S7" s="433" t="e">
        <f ca="1">VLOOKUP($M7,'銀行-TSS'!B:H,7,FALSE)</f>
        <v>#N/A</v>
      </c>
      <c r="T7" s="434" t="str">
        <f ca="1">IFERROR(VLOOKUP($M7,'銀行-TSS'!B:I,8,FALSE),"")</f>
        <v/>
      </c>
      <c r="U7" s="440" t="str">
        <f ca="1">_xlfn.IFNA(IFERROR(DATEVALUE(VLOOKUP($M7,'銀行-TSS'!B:P,15,FALSE)),VLOOKUP($M7,'銀行-TSS'!B:P,15,FALSE)),"")</f>
        <v/>
      </c>
      <c r="V7" s="570" t="b">
        <v>1</v>
      </c>
      <c r="W7" s="442" t="e">
        <f>DATEVALUE(VLOOKUP(M7,bond!B:I,7,FALSE))</f>
        <v>#N/A</v>
      </c>
      <c r="X7" s="43">
        <f t="shared" ref="X7:X19" ca="1" si="1">J7</f>
        <v>0</v>
      </c>
      <c r="Y7" s="43">
        <f ca="1">K7</f>
        <v>0</v>
      </c>
      <c r="Z7" s="462" t="str">
        <f>IFERROR(VLOOKUP(換券表[[#This Row],[商品代號]],bond!B:AA,26,FALSE),"")</f>
        <v/>
      </c>
      <c r="AA7" s="1" t="str">
        <f ca="1">IFERROR(VLOOKUP($M7,'銀行-TSS'!B:Q,16,FALSE),"")</f>
        <v/>
      </c>
      <c r="AB7" s="479" t="str">
        <f ca="1">IFERROR(VLOOKUP($M7,'銀行-TSS'!B:C,2,FALSE),"")</f>
        <v/>
      </c>
      <c r="AC7" s="479" t="str">
        <f ca="1">IFERROR(VLOOKUP(換券表[[#This Row],[幣別]],$B$37:$C$43,2,FALSE),"")</f>
        <v/>
      </c>
      <c r="AD7" s="500" t="e">
        <f ca="1">CHOOSE(換券表[[#This Row],[對應編碼]],$D$37,$D$38,$D$39,$D$40,$D$41,$D$42,$D$43)</f>
        <v>#VALUE!</v>
      </c>
      <c r="AE7" s="500" t="e">
        <f ca="1">CHOOSE(換券表[[#This Row],[對應編碼]],$E$37,$E$38,$E$39,$E$40,$E$41,$E$42,$E$43)</f>
        <v>#VALUE!</v>
      </c>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c r="BR7" s="33"/>
      <c r="BS7" s="33"/>
      <c r="BT7" s="33"/>
      <c r="BU7" s="33"/>
      <c r="BV7" s="33"/>
      <c r="BW7" s="33"/>
      <c r="BX7" s="33"/>
      <c r="BY7" s="33"/>
      <c r="BZ7" s="33"/>
      <c r="CA7" s="33"/>
      <c r="CB7" s="33"/>
      <c r="CC7" s="33"/>
      <c r="CD7" s="33"/>
      <c r="CE7" s="33"/>
      <c r="CF7" s="33"/>
      <c r="CG7" s="33"/>
      <c r="CH7" s="33"/>
      <c r="CI7" s="33"/>
      <c r="CJ7" s="33"/>
      <c r="CK7" s="33"/>
      <c r="CL7" s="33"/>
      <c r="CM7" s="33"/>
      <c r="CN7" s="33"/>
      <c r="CO7" s="33"/>
      <c r="CP7" s="33"/>
      <c r="CQ7" s="33"/>
      <c r="CR7" s="33"/>
      <c r="CS7" s="33"/>
      <c r="CT7" s="33"/>
      <c r="CU7" s="33"/>
      <c r="CV7" s="33"/>
      <c r="CW7" s="33"/>
      <c r="CX7" s="33"/>
      <c r="CY7" s="33"/>
      <c r="CZ7" s="33"/>
      <c r="DA7" s="33"/>
      <c r="DB7" s="33"/>
      <c r="DC7" s="33"/>
      <c r="DD7" s="33"/>
      <c r="DE7" s="33"/>
      <c r="DF7" s="33"/>
      <c r="DG7" s="33"/>
      <c r="DH7" s="33"/>
      <c r="DI7" s="33"/>
      <c r="DJ7" s="33"/>
      <c r="DK7" s="33"/>
      <c r="DL7" s="33"/>
      <c r="DM7" s="33"/>
      <c r="DN7" s="33"/>
      <c r="DO7" s="33"/>
      <c r="DP7" s="33"/>
      <c r="DQ7" s="33"/>
      <c r="DR7" s="33"/>
      <c r="DS7" s="33"/>
      <c r="DT7" s="33"/>
      <c r="DU7" s="33"/>
      <c r="DV7" s="33"/>
      <c r="DW7" s="33"/>
      <c r="DX7" s="33"/>
      <c r="DY7" s="33"/>
      <c r="DZ7" s="33"/>
      <c r="EA7" s="33"/>
      <c r="EB7" s="33"/>
      <c r="EC7" s="33"/>
      <c r="ED7" s="33"/>
      <c r="EE7" s="33"/>
      <c r="EF7" s="33"/>
      <c r="EG7" s="33"/>
      <c r="EH7" s="33"/>
      <c r="EI7" s="33"/>
      <c r="EJ7" s="33"/>
      <c r="EK7" s="33"/>
      <c r="EL7" s="33"/>
      <c r="EM7" s="33"/>
      <c r="EN7" s="33"/>
      <c r="EO7" s="33"/>
      <c r="EP7" s="33"/>
      <c r="EQ7" s="33"/>
      <c r="ER7" s="33"/>
      <c r="ES7" s="33"/>
      <c r="ET7" s="33"/>
      <c r="EU7" s="33"/>
      <c r="EV7" s="33"/>
      <c r="EW7" s="33"/>
      <c r="EX7" s="33"/>
      <c r="EY7" s="33"/>
      <c r="EZ7" s="33"/>
      <c r="FA7" s="33"/>
      <c r="FB7" s="33"/>
      <c r="FC7" s="33"/>
      <c r="FD7" s="33"/>
    </row>
    <row r="8" spans="1:160" ht="19.5" customHeight="1">
      <c r="B8" s="614" t="s">
        <v>1945</v>
      </c>
      <c r="C8" s="613">
        <v>0</v>
      </c>
      <c r="H8" s="26">
        <v>1</v>
      </c>
      <c r="I8" s="918">
        <f ca="1">IF('Tssco-bond portfolio(2)'!I7=換券單檔!$C$6,0,'Tssco-bond portfolio(2)'!I7)</f>
        <v>0</v>
      </c>
      <c r="J8" s="12">
        <f ca="1">IF(I8=0,0,'Tssco-bond portfolio(2)'!W7)</f>
        <v>0</v>
      </c>
      <c r="K8" s="943">
        <f ca="1">IF(I8=0,0,'Tssco-bond portfolio(2)'!Y7)</f>
        <v>0</v>
      </c>
      <c r="L8" s="12">
        <f ca="1">IF(I8=0,0,'Tssco-bond portfolio(2)'!BW7)</f>
        <v>0</v>
      </c>
      <c r="M8" s="428">
        <f t="shared" ca="1" si="0"/>
        <v>0</v>
      </c>
      <c r="N8" s="429" t="e">
        <f ca="1">VLOOKUP(M8,bond!B:I,8,FALSE)</f>
        <v>#N/A</v>
      </c>
      <c r="O8" s="429" t="e">
        <f ca="1">換券表[[#This Row],[買價]]+VLOOKUP(換券表[[#This Row],[商品代號]],bond!B:K,10,FALSE)</f>
        <v>#N/A</v>
      </c>
      <c r="P8" s="430" t="e">
        <f ca="1">VLOOKUP(換券表[[#This Row],[商品代號]],'銀行-TSS'!B:K,10,FALSE)</f>
        <v>#N/A</v>
      </c>
      <c r="Q8" s="431" t="e">
        <f ca="1">VLOOKUP($M8,'銀行-TSS'!B:G,6,FALSE)</f>
        <v>#N/A</v>
      </c>
      <c r="R8" s="432" t="e">
        <f ca="1">IFERROR(DATEVALUE(VLOOKUP($M8,'銀行-TSS'!B:F,5,FALSE)),VLOOKUP($M8,'銀行-TSS'!B:F,5,FALSE))</f>
        <v>#N/A</v>
      </c>
      <c r="S8" s="433" t="e">
        <f ca="1">VLOOKUP($M8,'銀行-TSS'!B:H,7,FALSE)</f>
        <v>#N/A</v>
      </c>
      <c r="T8" s="434" t="str">
        <f ca="1">IFERROR(VLOOKUP($M8,'銀行-TSS'!B:I,8,FALSE),"")</f>
        <v/>
      </c>
      <c r="U8" s="440" t="str">
        <f ca="1">_xlfn.IFNA(IFERROR(DATEVALUE(VLOOKUP($M8,'銀行-TSS'!B:P,15,FALSE)),VLOOKUP($M8,'銀行-TSS'!B:P,15,FALSE)),"")</f>
        <v/>
      </c>
      <c r="V8" s="570" t="b">
        <v>1</v>
      </c>
      <c r="W8" s="442" t="e">
        <f ca="1">DATEVALUE(VLOOKUP(M8,bond!B:I,7,FALSE))</f>
        <v>#N/A</v>
      </c>
      <c r="X8" s="43">
        <f t="shared" ca="1" si="1"/>
        <v>0</v>
      </c>
      <c r="Y8" s="43">
        <f t="shared" ref="Y8:Y19" ca="1" si="2">K8</f>
        <v>0</v>
      </c>
      <c r="Z8" s="462" t="str">
        <f ca="1">IFERROR(VLOOKUP(換券表[[#This Row],[商品代號]],bond!B:AA,26,FALSE),"")</f>
        <v/>
      </c>
      <c r="AA8" s="1" t="str">
        <f ca="1">IFERROR(VLOOKUP($M8,'銀行-TSS'!B:Q,16,FALSE),"")</f>
        <v/>
      </c>
      <c r="AB8" s="479" t="str">
        <f ca="1">IFERROR(VLOOKUP($M8,'銀行-TSS'!B:C,2,FALSE),"")</f>
        <v/>
      </c>
      <c r="AC8" s="479" t="e">
        <f ca="1">VLOOKUP(換券表[[#This Row],[幣別]],$B$37:$C$43,2,FALSE)</f>
        <v>#N/A</v>
      </c>
      <c r="AD8" s="500" t="e">
        <f ca="1">CHOOSE(換券表[[#This Row],[對應編碼]],$D$37,$D$38,$D$39,$D$40,$D$41,$D$42,$D$43)</f>
        <v>#N/A</v>
      </c>
      <c r="AE8" s="500" t="e">
        <f ca="1">CHOOSE(換券表[[#This Row],[對應編碼]],$E$37,$E$38,$E$39,$E$40,$E$41,$E$42,$E$43)</f>
        <v>#N/A</v>
      </c>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row>
    <row r="9" spans="1:160" ht="19.5" customHeight="1">
      <c r="B9" s="613" t="s">
        <v>1948</v>
      </c>
      <c r="C9" s="613">
        <v>1</v>
      </c>
      <c r="H9" s="26">
        <v>2</v>
      </c>
      <c r="I9" s="918" t="str">
        <f ca="1">IF('Tssco-bond portfolio(2)'!I8=換券單檔!$C$6,0,'Tssco-bond portfolio(2)'!I8)</f>
        <v>XG300</v>
      </c>
      <c r="J9" s="12">
        <f ca="1">IF(I9=0,0,'Tssco-bond portfolio(2)'!W8)</f>
        <v>100000</v>
      </c>
      <c r="K9" s="943">
        <f ca="1">IF(I9=0,0,'Tssco-bond portfolio(2)'!Y8)</f>
        <v>57137.5</v>
      </c>
      <c r="L9" s="12">
        <f ca="1">IF(I9=0,0,'Tssco-bond portfolio(2)'!BW8)</f>
        <v>1714125</v>
      </c>
      <c r="M9" s="428" t="str">
        <f t="shared" ca="1" si="0"/>
        <v>XG300</v>
      </c>
      <c r="N9" s="429">
        <f ca="1">VLOOKUP(M9,bond!B:I,8,FALSE)</f>
        <v>54.46</v>
      </c>
      <c r="O9" s="429">
        <f ca="1">換券表[[#This Row],[買價]]+VLOOKUP(換券表[[#This Row],[商品代號]],bond!B:K,10,FALSE)</f>
        <v>55.316299999999998</v>
      </c>
      <c r="P9" s="430">
        <f ca="1">VLOOKUP(換券表[[#This Row],[商品代號]],'銀行-TSS'!B:K,10,FALSE)</f>
        <v>60.32</v>
      </c>
      <c r="Q9" s="431">
        <f ca="1">VLOOKUP($M9,'銀行-TSS'!B:G,6,FALSE)</f>
        <v>36.119999999999997</v>
      </c>
      <c r="R9" s="432">
        <f ca="1">IFERROR(DATEVALUE(VLOOKUP($M9,'銀行-TSS'!B:F,5,FALSE)),VLOOKUP($M9,'銀行-TSS'!B:F,5,FALSE))</f>
        <v>58668</v>
      </c>
      <c r="S9" s="433">
        <f ca="1">VLOOKUP($M9,'銀行-TSS'!B:H,7,FALSE)</f>
        <v>2.2499999999999999E-2</v>
      </c>
      <c r="T9" s="434">
        <f ca="1">IFERROR(VLOOKUP($M9,'銀行-TSS'!B:I,8,FALSE),"")</f>
        <v>2</v>
      </c>
      <c r="U9" s="440">
        <f ca="1">_xlfn.IFNA(IFERROR(DATEVALUE(VLOOKUP($M9,'銀行-TSS'!B:P,15,FALSE)),VLOOKUP($M9,'銀行-TSS'!B:P,15,FALSE)),"")</f>
        <v>45519</v>
      </c>
      <c r="V9" s="570" t="b">
        <v>1</v>
      </c>
      <c r="W9" s="442">
        <f ca="1">DATEVALUE(VLOOKUP(M9,bond!B:I,7,FALSE))</f>
        <v>45475</v>
      </c>
      <c r="X9" s="43">
        <f t="shared" ca="1" si="1"/>
        <v>100000</v>
      </c>
      <c r="Y9" s="43">
        <f t="shared" ca="1" si="2"/>
        <v>57137.5</v>
      </c>
      <c r="Z9" s="462" t="str">
        <f ca="1">IFERROR(VLOOKUP(換券表[[#This Row],[商品代號]],bond!B:AA,26,FALSE),"")</f>
        <v>Alphabet公司</v>
      </c>
      <c r="AA9" s="1" t="str">
        <f ca="1">IFERROR(VLOOKUP($M9,'銀行-TSS'!B:Q,16,FALSE),"")</f>
        <v>通訊</v>
      </c>
      <c r="AB9" s="479" t="str">
        <f ca="1">IFERROR(VLOOKUP($M9,'銀行-TSS'!B:C,2,FALSE),"")</f>
        <v>USD</v>
      </c>
      <c r="AC9" s="479">
        <f ca="1">VLOOKUP(換券表[[#This Row],[幣別]],$B$37:$C$43,2,FALSE)</f>
        <v>1</v>
      </c>
      <c r="AD9" s="500">
        <f ca="1">CHOOSE(換券表[[#This Row],[對應編碼]],$D$37,$D$38,$D$39,$D$40,$D$41,$D$42,$D$43)</f>
        <v>30</v>
      </c>
      <c r="AE9" s="500">
        <f ca="1">CHOOSE(換券表[[#This Row],[對應編碼]],$E$37,$E$38,$E$39,$E$40,$E$41,$E$42,$E$43)</f>
        <v>32.481000000000002</v>
      </c>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c r="BP9" s="33"/>
      <c r="BQ9" s="33"/>
      <c r="BR9" s="33"/>
      <c r="BS9" s="33"/>
      <c r="BT9" s="33"/>
      <c r="BU9" s="33"/>
      <c r="BV9" s="33"/>
      <c r="BW9" s="33"/>
      <c r="BX9" s="33"/>
      <c r="BY9" s="33"/>
      <c r="BZ9" s="33"/>
      <c r="CA9" s="33"/>
      <c r="CB9" s="33"/>
      <c r="CC9" s="33"/>
      <c r="CD9" s="33"/>
      <c r="CE9" s="33"/>
      <c r="CF9" s="33"/>
      <c r="CG9" s="33"/>
      <c r="CH9" s="33"/>
      <c r="CI9" s="33"/>
      <c r="CJ9" s="33"/>
      <c r="CK9" s="33"/>
      <c r="CL9" s="33"/>
      <c r="CM9" s="33"/>
      <c r="CN9" s="33"/>
      <c r="CO9" s="33"/>
      <c r="CP9" s="33"/>
      <c r="CQ9" s="33"/>
      <c r="CR9" s="33"/>
      <c r="CS9" s="33"/>
      <c r="CT9" s="33"/>
      <c r="CU9" s="33"/>
      <c r="CV9" s="33"/>
      <c r="CW9" s="33"/>
      <c r="CX9" s="33"/>
      <c r="CY9" s="33"/>
      <c r="CZ9" s="33"/>
      <c r="DA9" s="33"/>
      <c r="DB9" s="33"/>
      <c r="DC9" s="33"/>
      <c r="DD9" s="33"/>
      <c r="DE9" s="33"/>
      <c r="DF9" s="33"/>
      <c r="DG9" s="33"/>
      <c r="DH9" s="33"/>
      <c r="DI9" s="33"/>
      <c r="DJ9" s="33"/>
      <c r="DK9" s="33"/>
      <c r="DL9" s="33"/>
      <c r="DM9" s="33"/>
      <c r="DN9" s="33"/>
      <c r="DO9" s="33"/>
      <c r="DP9" s="33"/>
      <c r="DQ9" s="33"/>
      <c r="DR9" s="33"/>
      <c r="DS9" s="33"/>
      <c r="DT9" s="33"/>
      <c r="DU9" s="33"/>
      <c r="DV9" s="33"/>
      <c r="DW9" s="33"/>
      <c r="DX9" s="33"/>
      <c r="DY9" s="33"/>
      <c r="DZ9" s="33"/>
      <c r="EA9" s="33"/>
      <c r="EB9" s="33"/>
      <c r="EC9" s="33"/>
      <c r="ED9" s="33"/>
      <c r="EE9" s="33"/>
      <c r="EF9" s="33"/>
      <c r="EG9" s="33"/>
      <c r="EH9" s="33"/>
      <c r="EI9" s="33"/>
      <c r="EJ9" s="33"/>
      <c r="EK9" s="33"/>
      <c r="EL9" s="33"/>
      <c r="EM9" s="33"/>
      <c r="EN9" s="33"/>
      <c r="EO9" s="33"/>
      <c r="EP9" s="33"/>
      <c r="EQ9" s="33"/>
      <c r="ER9" s="33"/>
      <c r="ES9" s="33"/>
      <c r="ET9" s="33"/>
      <c r="EU9" s="33"/>
      <c r="EV9" s="33"/>
      <c r="EW9" s="33"/>
      <c r="EX9" s="33"/>
      <c r="EY9" s="33"/>
      <c r="EZ9" s="33"/>
      <c r="FA9" s="33"/>
      <c r="FB9" s="33"/>
      <c r="FC9" s="33"/>
      <c r="FD9" s="33"/>
    </row>
    <row r="10" spans="1:160" ht="19.5" customHeight="1">
      <c r="B10" s="613" t="s">
        <v>1947</v>
      </c>
      <c r="C10" s="613">
        <v>2</v>
      </c>
      <c r="H10" s="26">
        <v>3</v>
      </c>
      <c r="I10" s="918" t="str">
        <f ca="1">IF('Tssco-bond portfolio(2)'!I9=換券單檔!$C$6,0,'Tssco-bond portfolio(2)'!I9)</f>
        <v>XH750</v>
      </c>
      <c r="J10" s="12">
        <f ca="1">IF(I10=0,0,'Tssco-bond portfolio(2)'!W9)</f>
        <v>100000</v>
      </c>
      <c r="K10" s="943">
        <f ca="1">IF(I10=0,0,'Tssco-bond portfolio(2)'!Y9)</f>
        <v>86293.7</v>
      </c>
      <c r="L10" s="12">
        <f ca="1">IF(I10=0,0,'Tssco-bond portfolio(2)'!BW9)</f>
        <v>2588811</v>
      </c>
      <c r="M10" s="428" t="str">
        <f t="shared" ca="1" si="0"/>
        <v>XH750</v>
      </c>
      <c r="N10" s="429">
        <f ca="1">VLOOKUP(M10,bond!B:I,8,FALSE)</f>
        <v>92.87</v>
      </c>
      <c r="O10" s="429">
        <f ca="1">換券表[[#This Row],[買價]]+VLOOKUP(換券表[[#This Row],[商品代號]],bond!B:K,10,FALSE)</f>
        <v>94.562700000000007</v>
      </c>
      <c r="P10" s="430">
        <f ca="1">VLOOKUP(換券表[[#This Row],[商品代號]],'銀行-TSS'!B:K,10,FALSE)</f>
        <v>99.7</v>
      </c>
      <c r="Q10" s="431">
        <f ca="1">VLOOKUP($M10,'銀行-TSS'!B:G,6,FALSE)</f>
        <v>28.66</v>
      </c>
      <c r="R10" s="432">
        <f ca="1">IFERROR(DATEVALUE(VLOOKUP($M10,'銀行-TSS'!B:F,5,FALSE)),VLOOKUP($M10,'銀行-TSS'!B:F,5,FALSE))</f>
        <v>55942</v>
      </c>
      <c r="S10" s="433">
        <f ca="1">VLOOKUP($M10,'銀行-TSS'!B:H,7,FALSE)</f>
        <v>4.8750000000000002E-2</v>
      </c>
      <c r="T10" s="434">
        <f ca="1">IFERROR(VLOOKUP($M10,'銀行-TSS'!B:I,8,FALSE),"")</f>
        <v>2</v>
      </c>
      <c r="U10" s="440">
        <f ca="1">_xlfn.IFNA(IFERROR(DATEVALUE(VLOOKUP($M10,'銀行-TSS'!B:P,15,FALSE)),VLOOKUP($M10,'銀行-TSS'!B:P,15,FALSE)),"")</f>
        <v>45531</v>
      </c>
      <c r="V10" s="570" t="b">
        <v>1</v>
      </c>
      <c r="W10" s="442">
        <f ca="1">DATEVALUE(VLOOKUP(M10,bond!B:I,7,FALSE))</f>
        <v>45475</v>
      </c>
      <c r="X10" s="43">
        <f t="shared" ca="1" si="1"/>
        <v>100000</v>
      </c>
      <c r="Y10" s="43">
        <f t="shared" ca="1" si="2"/>
        <v>86293.7</v>
      </c>
      <c r="Z10" s="462" t="str">
        <f ca="1">IFERROR(VLOOKUP(換券表[[#This Row],[商品代號]],bond!B:AA,26,FALSE),"")</f>
        <v>禮來公司</v>
      </c>
      <c r="AA10" s="1" t="str">
        <f ca="1">IFERROR(VLOOKUP($M10,'銀行-TSS'!B:Q,16,FALSE),"")</f>
        <v>醫療保健</v>
      </c>
      <c r="AB10" s="479" t="str">
        <f ca="1">IFERROR(VLOOKUP($M10,'銀行-TSS'!B:C,2,FALSE),"")</f>
        <v>USD</v>
      </c>
      <c r="AC10" s="479">
        <f ca="1">VLOOKUP(換券表[[#This Row],[幣別]],$B$37:$C$43,2,FALSE)</f>
        <v>1</v>
      </c>
      <c r="AD10" s="500">
        <f ca="1">CHOOSE(換券表[[#This Row],[對應編碼]],$D$37,$D$38,$D$39,$D$40,$D$41,$D$42,$D$43)</f>
        <v>30</v>
      </c>
      <c r="AE10" s="500">
        <f ca="1">CHOOSE(換券表[[#This Row],[對應編碼]],$E$37,$E$38,$E$39,$E$40,$E$41,$E$42,$E$43)</f>
        <v>32.481000000000002</v>
      </c>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c r="CV10" s="33"/>
      <c r="CW10" s="33"/>
      <c r="CX10" s="33"/>
      <c r="CY10" s="33"/>
      <c r="CZ10" s="33"/>
      <c r="DA10" s="33"/>
      <c r="DB10" s="33"/>
      <c r="DC10" s="33"/>
      <c r="DD10" s="33"/>
      <c r="DE10" s="33"/>
      <c r="DF10" s="33"/>
      <c r="DG10" s="33"/>
      <c r="DH10" s="33"/>
      <c r="DI10" s="33"/>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c r="FD10" s="33"/>
    </row>
    <row r="11" spans="1:160" ht="19.5" customHeight="1">
      <c r="B11" s="613" t="s">
        <v>1951</v>
      </c>
      <c r="C11" s="613">
        <v>3</v>
      </c>
      <c r="H11" s="26">
        <v>4</v>
      </c>
      <c r="I11" s="918" t="str">
        <f ca="1">IF('Tssco-bond portfolio(2)'!I10=換券單檔!$C$6,0,'Tssco-bond portfolio(2)'!I10)</f>
        <v>XH040</v>
      </c>
      <c r="J11" s="12">
        <f ca="1">IF(I11=0,0,'Tssco-bond portfolio(2)'!W10)</f>
        <v>100000</v>
      </c>
      <c r="K11" s="943">
        <f ca="1">IF(I11=0,0,'Tssco-bond portfolio(2)'!Y10)</f>
        <v>86294.2</v>
      </c>
      <c r="L11" s="12">
        <f ca="1">IF(I11=0,0,'Tssco-bond portfolio(2)'!BW10)</f>
        <v>2588826</v>
      </c>
      <c r="M11" s="428" t="str">
        <f t="shared" ca="1" si="0"/>
        <v>XH040</v>
      </c>
      <c r="N11" s="429">
        <f ca="1">VLOOKUP(M11,bond!B:I,8,FALSE)</f>
        <v>85.21</v>
      </c>
      <c r="O11" s="429">
        <f ca="1">換券表[[#This Row],[買價]]+VLOOKUP(換券表[[#This Row],[商品代號]],bond!B:K,10,FALSE)</f>
        <v>86.903499999999994</v>
      </c>
      <c r="P11" s="430">
        <f ca="1">VLOOKUP(換券表[[#This Row],[商品代號]],'銀行-TSS'!B:K,10,FALSE)</f>
        <v>91.89</v>
      </c>
      <c r="Q11" s="431">
        <f ca="1">VLOOKUP($M11,'銀行-TSS'!B:G,6,FALSE)</f>
        <v>28.12</v>
      </c>
      <c r="R11" s="432">
        <f ca="1">IFERROR(DATEVALUE(VLOOKUP($M11,'銀行-TSS'!B:F,5,FALSE)),VLOOKUP($M11,'銀行-TSS'!B:F,5,FALSE))</f>
        <v>55746</v>
      </c>
      <c r="S11" s="433">
        <f ca="1">VLOOKUP($M11,'銀行-TSS'!B:H,7,FALSE)</f>
        <v>4.4500000000000005E-2</v>
      </c>
      <c r="T11" s="434">
        <f ca="1">IFERROR(VLOOKUP($M11,'銀行-TSS'!B:I,8,FALSE),"")</f>
        <v>2</v>
      </c>
      <c r="U11" s="440">
        <f ca="1">_xlfn.IFNA(IFERROR(DATEVALUE(VLOOKUP($M11,'銀行-TSS'!B:P,15,FALSE)),VLOOKUP($M11,'銀行-TSS'!B:P,15,FALSE)),"")</f>
        <v>45519</v>
      </c>
      <c r="V11" s="570" t="b">
        <v>1</v>
      </c>
      <c r="W11" s="442">
        <f ca="1">DATEVALUE(VLOOKUP(M11,bond!B:I,7,FALSE))</f>
        <v>45475</v>
      </c>
      <c r="X11" s="43">
        <f t="shared" ca="1" si="1"/>
        <v>100000</v>
      </c>
      <c r="Y11" s="43">
        <f t="shared" ca="1" si="2"/>
        <v>86294.2</v>
      </c>
      <c r="Z11" s="462" t="str">
        <f ca="1">IFERROR(VLOOKUP(換券表[[#This Row],[商品代號]],bond!B:AA,26,FALSE),"")</f>
        <v>Meta平台公司</v>
      </c>
      <c r="AA11" s="1" t="str">
        <f ca="1">IFERROR(VLOOKUP($M11,'銀行-TSS'!B:Q,16,FALSE),"")</f>
        <v>通訊</v>
      </c>
      <c r="AB11" s="479" t="str">
        <f ca="1">IFERROR(VLOOKUP($M11,'銀行-TSS'!B:C,2,FALSE),"")</f>
        <v>USD</v>
      </c>
      <c r="AC11" s="479">
        <f ca="1">VLOOKUP(換券表[[#This Row],[幣別]],$B$37:$C$43,2,FALSE)</f>
        <v>1</v>
      </c>
      <c r="AD11" s="500">
        <f ca="1">CHOOSE(換券表[[#This Row],[對應編碼]],$D$37,$D$38,$D$39,$D$40,$D$41,$D$42,$D$43)</f>
        <v>30</v>
      </c>
      <c r="AE11" s="500">
        <f ca="1">CHOOSE(換券表[[#This Row],[對應編碼]],$E$37,$E$38,$E$39,$E$40,$E$41,$E$42,$E$43)</f>
        <v>32.481000000000002</v>
      </c>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row>
    <row r="12" spans="1:160" ht="19.5" customHeight="1">
      <c r="B12" s="613" t="s">
        <v>1944</v>
      </c>
      <c r="C12" s="613">
        <v>4</v>
      </c>
      <c r="H12" s="26">
        <v>5</v>
      </c>
      <c r="I12" s="918" t="str">
        <f ca="1">IF('Tssco-bond portfolio(2)'!I11=換券單檔!$C$6,0,'Tssco-bond portfolio(2)'!I11)</f>
        <v/>
      </c>
      <c r="J12" s="12" t="str">
        <f ca="1">IF(I12=0,0,'Tssco-bond portfolio(2)'!W11)</f>
        <v/>
      </c>
      <c r="K12" s="943">
        <f ca="1">IF(I12=0,0,'Tssco-bond portfolio(2)'!Y11)</f>
        <v>0</v>
      </c>
      <c r="L12" s="12">
        <f ca="1">IF(I12=0,0,'Tssco-bond portfolio(2)'!BW11)</f>
        <v>0</v>
      </c>
      <c r="M12" s="428" t="str">
        <f t="shared" ca="1" si="0"/>
        <v/>
      </c>
      <c r="N12" s="429" t="e">
        <f ca="1">VLOOKUP(M12,bond!B:I,8,FALSE)</f>
        <v>#N/A</v>
      </c>
      <c r="O12" s="429" t="e">
        <f ca="1">換券表[[#This Row],[買價]]+VLOOKUP(換券表[[#This Row],[商品代號]],bond!B:K,10,FALSE)</f>
        <v>#N/A</v>
      </c>
      <c r="P12" s="430" t="e">
        <f ca="1">VLOOKUP(換券表[[#This Row],[商品代號]],'銀行-TSS'!B:K,10,FALSE)</f>
        <v>#N/A</v>
      </c>
      <c r="Q12" s="431" t="e">
        <f ca="1">VLOOKUP($M12,'銀行-TSS'!B:G,6,FALSE)</f>
        <v>#N/A</v>
      </c>
      <c r="R12" s="432" t="e">
        <f ca="1">IFERROR(DATEVALUE(VLOOKUP($M12,'銀行-TSS'!B:F,5,FALSE)),VLOOKUP($M12,'銀行-TSS'!B:F,5,FALSE))</f>
        <v>#N/A</v>
      </c>
      <c r="S12" s="433" t="e">
        <f ca="1">VLOOKUP($M12,'銀行-TSS'!B:H,7,FALSE)</f>
        <v>#N/A</v>
      </c>
      <c r="T12" s="434" t="str">
        <f ca="1">IFERROR(VLOOKUP($M12,'銀行-TSS'!B:I,8,FALSE),"")</f>
        <v/>
      </c>
      <c r="U12" s="440" t="str">
        <f ca="1">_xlfn.IFNA(IFERROR(DATEVALUE(VLOOKUP($M12,'銀行-TSS'!B:P,15,FALSE)),VLOOKUP($M12,'銀行-TSS'!B:P,15,FALSE)),"")</f>
        <v/>
      </c>
      <c r="V12" s="570" t="b">
        <v>1</v>
      </c>
      <c r="W12" s="442" t="e">
        <f ca="1">DATEVALUE(VLOOKUP(M12,bond!B:I,7,FALSE))</f>
        <v>#N/A</v>
      </c>
      <c r="X12" s="43" t="str">
        <f t="shared" ca="1" si="1"/>
        <v/>
      </c>
      <c r="Y12" s="43">
        <f t="shared" ca="1" si="2"/>
        <v>0</v>
      </c>
      <c r="Z12" s="462" t="str">
        <f ca="1">IFERROR(VLOOKUP(換券表[[#This Row],[商品代號]],bond!B:AA,26,FALSE),"")</f>
        <v/>
      </c>
      <c r="AA12" s="1" t="str">
        <f ca="1">IFERROR(VLOOKUP($M12,'銀行-TSS'!B:Q,16,FALSE),"")</f>
        <v/>
      </c>
      <c r="AB12" s="479" t="str">
        <f ca="1">IFERROR(VLOOKUP($M12,'銀行-TSS'!B:C,2,FALSE),"")</f>
        <v/>
      </c>
      <c r="AC12" s="479" t="e">
        <f ca="1">VLOOKUP(換券表[[#This Row],[幣別]],$B$37:$C$43,2,FALSE)</f>
        <v>#N/A</v>
      </c>
      <c r="AD12" s="500" t="e">
        <f ca="1">CHOOSE(換券表[[#This Row],[對應編碼]],$D$37,$D$38,$D$39,$D$40,$D$41,$D$42,$D$43)</f>
        <v>#N/A</v>
      </c>
      <c r="AE12" s="500" t="e">
        <f ca="1">CHOOSE(換券表[[#This Row],[對應編碼]],$E$37,$E$38,$E$39,$E$40,$E$41,$E$42,$E$43)</f>
        <v>#N/A</v>
      </c>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c r="BW12" s="33"/>
      <c r="BX12" s="33"/>
      <c r="BY12" s="33"/>
      <c r="BZ12" s="33"/>
      <c r="CA12" s="33"/>
      <c r="CB12" s="33"/>
      <c r="CC12" s="33"/>
      <c r="CD12" s="33"/>
      <c r="CE12" s="33"/>
      <c r="CF12" s="33"/>
      <c r="CG12" s="33"/>
      <c r="CH12" s="33"/>
      <c r="CI12" s="33"/>
      <c r="CJ12" s="33"/>
      <c r="CK12" s="33"/>
      <c r="CL12" s="33"/>
      <c r="CM12" s="33"/>
      <c r="CN12" s="33"/>
      <c r="CO12" s="33"/>
      <c r="CP12" s="33"/>
      <c r="CQ12" s="33"/>
      <c r="CR12" s="33"/>
      <c r="CS12" s="33"/>
      <c r="CT12" s="33"/>
      <c r="CU12" s="33"/>
      <c r="CV12" s="33"/>
      <c r="CW12" s="33"/>
      <c r="CX12" s="33"/>
      <c r="CY12" s="33"/>
      <c r="CZ12" s="33"/>
      <c r="DA12" s="33"/>
      <c r="DB12" s="33"/>
      <c r="DC12" s="33"/>
      <c r="DD12" s="33"/>
      <c r="DE12" s="33"/>
      <c r="DF12" s="33"/>
      <c r="DG12" s="33"/>
      <c r="DH12" s="33"/>
      <c r="DI12" s="33"/>
      <c r="DJ12" s="33"/>
      <c r="DK12" s="33"/>
      <c r="DL12" s="33"/>
      <c r="DM12" s="33"/>
      <c r="DN12" s="33"/>
      <c r="DO12" s="33"/>
      <c r="DP12" s="33"/>
      <c r="DQ12" s="33"/>
      <c r="DR12" s="33"/>
      <c r="DS12" s="33"/>
      <c r="DT12" s="33"/>
      <c r="DU12" s="33"/>
      <c r="DV12" s="33"/>
      <c r="DW12" s="33"/>
      <c r="DX12" s="33"/>
      <c r="DY12" s="33"/>
      <c r="DZ12" s="33"/>
      <c r="EA12" s="33"/>
      <c r="EB12" s="33"/>
      <c r="EC12" s="33"/>
      <c r="ED12" s="33"/>
      <c r="EE12" s="33"/>
      <c r="EF12" s="33"/>
      <c r="EG12" s="33"/>
      <c r="EH12" s="33"/>
      <c r="EI12" s="33"/>
      <c r="EJ12" s="33"/>
      <c r="EK12" s="33"/>
      <c r="EL12" s="33"/>
      <c r="EM12" s="33"/>
      <c r="EN12" s="33"/>
      <c r="EO12" s="33"/>
      <c r="EP12" s="33"/>
      <c r="EQ12" s="33"/>
      <c r="ER12" s="33"/>
      <c r="ES12" s="33"/>
      <c r="ET12" s="33"/>
      <c r="EU12" s="33"/>
      <c r="EV12" s="33"/>
      <c r="EW12" s="33"/>
      <c r="EX12" s="33"/>
      <c r="EY12" s="33"/>
      <c r="EZ12" s="33"/>
      <c r="FA12" s="33"/>
      <c r="FB12" s="33"/>
      <c r="FC12" s="33"/>
      <c r="FD12" s="33"/>
    </row>
    <row r="13" spans="1:160" ht="19.5" customHeight="1">
      <c r="B13" s="614" t="s">
        <v>1946</v>
      </c>
      <c r="C13" s="614">
        <v>4</v>
      </c>
      <c r="H13" s="26">
        <v>6</v>
      </c>
      <c r="I13" s="918" t="str">
        <f ca="1">IF('Tssco-bond portfolio(2)'!I12=換券單檔!$C$6,0,'Tssco-bond portfolio(2)'!I12)</f>
        <v/>
      </c>
      <c r="J13" s="12" t="str">
        <f ca="1">IF(I13=0,0,'Tssco-bond portfolio(2)'!W12)</f>
        <v/>
      </c>
      <c r="K13" s="943">
        <f ca="1">IF(I13=0,0,'Tssco-bond portfolio(2)'!Y12)</f>
        <v>0</v>
      </c>
      <c r="L13" s="12">
        <f ca="1">IF(I13=0,0,'Tssco-bond portfolio(2)'!BW12)</f>
        <v>0</v>
      </c>
      <c r="M13" s="428" t="str">
        <f t="shared" ca="1" si="0"/>
        <v/>
      </c>
      <c r="N13" s="429" t="e">
        <f ca="1">VLOOKUP(M13,bond!B:I,8,FALSE)</f>
        <v>#N/A</v>
      </c>
      <c r="O13" s="429" t="e">
        <f ca="1">換券表[[#This Row],[買價]]+VLOOKUP(換券表[[#This Row],[商品代號]],bond!B:K,10,FALSE)</f>
        <v>#N/A</v>
      </c>
      <c r="P13" s="430" t="e">
        <f ca="1">VLOOKUP(換券表[[#This Row],[商品代號]],'銀行-TSS'!B:K,10,FALSE)</f>
        <v>#N/A</v>
      </c>
      <c r="Q13" s="431" t="e">
        <f ca="1">VLOOKUP($M13,'銀行-TSS'!B:G,6,FALSE)</f>
        <v>#N/A</v>
      </c>
      <c r="R13" s="432" t="e">
        <f ca="1">IFERROR(DATEVALUE(VLOOKUP($M13,'銀行-TSS'!B:F,5,FALSE)),VLOOKUP($M13,'銀行-TSS'!B:F,5,FALSE))</f>
        <v>#N/A</v>
      </c>
      <c r="S13" s="433" t="e">
        <f ca="1">VLOOKUP($M13,'銀行-TSS'!B:H,7,FALSE)</f>
        <v>#N/A</v>
      </c>
      <c r="T13" s="434" t="str">
        <f ca="1">IFERROR(VLOOKUP($M13,'銀行-TSS'!B:I,8,FALSE),"")</f>
        <v/>
      </c>
      <c r="U13" s="440" t="str">
        <f ca="1">_xlfn.IFNA(IFERROR(DATEVALUE(VLOOKUP($M13,'銀行-TSS'!B:P,15,FALSE)),VLOOKUP($M13,'銀行-TSS'!B:P,15,FALSE)),"")</f>
        <v/>
      </c>
      <c r="V13" s="570" t="b">
        <v>1</v>
      </c>
      <c r="W13" s="442" t="e">
        <f ca="1">DATEVALUE(VLOOKUP(M13,bond!B:I,7,FALSE))</f>
        <v>#N/A</v>
      </c>
      <c r="X13" s="43" t="str">
        <f t="shared" ca="1" si="1"/>
        <v/>
      </c>
      <c r="Y13" s="43">
        <f t="shared" ca="1" si="2"/>
        <v>0</v>
      </c>
      <c r="Z13" s="462" t="str">
        <f ca="1">IFERROR(VLOOKUP(換券表[[#This Row],[商品代號]],bond!B:AA,26,FALSE),"")</f>
        <v/>
      </c>
      <c r="AA13" s="1" t="str">
        <f ca="1">IFERROR(VLOOKUP($M13,'銀行-TSS'!B:Q,16,FALSE),"")</f>
        <v/>
      </c>
      <c r="AB13" s="479" t="str">
        <f ca="1">IFERROR(VLOOKUP($M13,'銀行-TSS'!B:C,2,FALSE),"")</f>
        <v/>
      </c>
      <c r="AC13" s="479" t="e">
        <f ca="1">VLOOKUP(換券表[[#This Row],[幣別]],$B$37:$C$43,2,FALSE)</f>
        <v>#N/A</v>
      </c>
      <c r="AD13" s="500" t="e">
        <f ca="1">CHOOSE(換券表[[#This Row],[對應編碼]],$D$37,$D$38,$D$39,$D$40,$D$41,$D$42,$D$43)</f>
        <v>#N/A</v>
      </c>
      <c r="AE13" s="500" t="e">
        <f ca="1">CHOOSE(換券表[[#This Row],[對應編碼]],$E$37,$E$38,$E$39,$E$40,$E$41,$E$42,$E$43)</f>
        <v>#N/A</v>
      </c>
      <c r="AF13" s="33"/>
      <c r="AG13" s="33"/>
      <c r="AH13" s="33"/>
      <c r="AI13" s="33"/>
      <c r="AJ13" s="33"/>
      <c r="AK13" s="33"/>
      <c r="AL13" s="33"/>
      <c r="AM13" s="33"/>
      <c r="AN13" s="33"/>
      <c r="AO13" s="33"/>
      <c r="AP13" s="33"/>
      <c r="AQ13" s="33"/>
      <c r="AR13" s="33"/>
      <c r="AS13" s="33"/>
      <c r="AT13" s="33"/>
      <c r="AU13" s="33"/>
      <c r="AV13" s="33"/>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c r="CL13" s="33"/>
      <c r="CM13" s="33"/>
      <c r="CN13" s="33"/>
      <c r="CO13" s="33"/>
      <c r="CP13" s="33"/>
      <c r="CQ13" s="33"/>
      <c r="CR13" s="33"/>
      <c r="CS13" s="33"/>
      <c r="CT13" s="33"/>
      <c r="CU13" s="33"/>
      <c r="CV13" s="33"/>
      <c r="CW13" s="33"/>
      <c r="CX13" s="33"/>
      <c r="CY13" s="33"/>
      <c r="CZ13" s="33"/>
      <c r="DA13" s="33"/>
      <c r="DB13" s="33"/>
      <c r="DC13" s="33"/>
      <c r="DD13" s="33"/>
      <c r="DE13" s="33"/>
      <c r="DF13" s="33"/>
      <c r="DG13" s="33"/>
      <c r="DH13" s="33"/>
      <c r="DI13" s="33"/>
      <c r="DJ13" s="33"/>
      <c r="DK13" s="33"/>
      <c r="DL13" s="33"/>
      <c r="DM13" s="33"/>
      <c r="DN13" s="33"/>
      <c r="DO13" s="33"/>
      <c r="DP13" s="33"/>
      <c r="DQ13" s="33"/>
      <c r="DR13" s="33"/>
      <c r="DS13" s="33"/>
      <c r="DT13" s="33"/>
      <c r="DU13" s="33"/>
      <c r="DV13" s="33"/>
      <c r="DW13" s="33"/>
      <c r="DX13" s="33"/>
      <c r="DY13" s="33"/>
      <c r="DZ13" s="33"/>
      <c r="EA13" s="33"/>
      <c r="EB13" s="33"/>
      <c r="EC13" s="33"/>
      <c r="ED13" s="33"/>
      <c r="EE13" s="33"/>
      <c r="EF13" s="33"/>
      <c r="EG13" s="33"/>
      <c r="EH13" s="33"/>
      <c r="EI13" s="33"/>
      <c r="EJ13" s="33"/>
      <c r="EK13" s="33"/>
      <c r="EL13" s="33"/>
      <c r="EM13" s="33"/>
      <c r="EN13" s="33"/>
      <c r="EO13" s="33"/>
      <c r="EP13" s="33"/>
      <c r="EQ13" s="33"/>
      <c r="ER13" s="33"/>
      <c r="ES13" s="33"/>
      <c r="ET13" s="33"/>
      <c r="EU13" s="33"/>
      <c r="EV13" s="33"/>
      <c r="EW13" s="33"/>
      <c r="EX13" s="33"/>
      <c r="EY13" s="33"/>
      <c r="EZ13" s="33"/>
      <c r="FA13" s="33"/>
      <c r="FB13" s="33"/>
      <c r="FC13" s="33"/>
      <c r="FD13" s="33"/>
    </row>
    <row r="14" spans="1:160" ht="19.5" customHeight="1">
      <c r="H14" s="26">
        <v>7</v>
      </c>
      <c r="I14" s="918" t="str">
        <f ca="1">IF('Tssco-bond portfolio(2)'!I13=換券單檔!$C$6,0,'Tssco-bond portfolio(2)'!I13)</f>
        <v/>
      </c>
      <c r="J14" s="12" t="str">
        <f ca="1">IF(I14=0,0,'Tssco-bond portfolio(2)'!W13)</f>
        <v/>
      </c>
      <c r="K14" s="943">
        <f ca="1">IF(I14=0,0,'Tssco-bond portfolio(2)'!Y13)</f>
        <v>0</v>
      </c>
      <c r="L14" s="12">
        <f ca="1">IF(I14=0,0,'Tssco-bond portfolio(2)'!BW13)</f>
        <v>0</v>
      </c>
      <c r="M14" s="428" t="str">
        <f t="shared" ca="1" si="0"/>
        <v/>
      </c>
      <c r="N14" s="429" t="e">
        <f ca="1">VLOOKUP(M14,bond!B:I,8,FALSE)</f>
        <v>#N/A</v>
      </c>
      <c r="O14" s="429" t="e">
        <f ca="1">換券表[[#This Row],[買價]]+VLOOKUP(換券表[[#This Row],[商品代號]],bond!B:K,10,FALSE)</f>
        <v>#N/A</v>
      </c>
      <c r="P14" s="430" t="e">
        <f ca="1">VLOOKUP(換券表[[#This Row],[商品代號]],'銀行-TSS'!B:K,10,FALSE)</f>
        <v>#N/A</v>
      </c>
      <c r="Q14" s="431" t="e">
        <f ca="1">VLOOKUP($M14,'銀行-TSS'!B:G,6,FALSE)</f>
        <v>#N/A</v>
      </c>
      <c r="R14" s="432" t="e">
        <f ca="1">IFERROR(DATEVALUE(VLOOKUP($M14,'銀行-TSS'!B:F,5,FALSE)),VLOOKUP($M14,'銀行-TSS'!B:F,5,FALSE))</f>
        <v>#N/A</v>
      </c>
      <c r="S14" s="433" t="e">
        <f ca="1">VLOOKUP($M14,'銀行-TSS'!B:H,7,FALSE)</f>
        <v>#N/A</v>
      </c>
      <c r="T14" s="434" t="str">
        <f ca="1">IFERROR(VLOOKUP($M14,'銀行-TSS'!B:I,8,FALSE),"")</f>
        <v/>
      </c>
      <c r="U14" s="440" t="str">
        <f ca="1">_xlfn.IFNA(IFERROR(DATEVALUE(VLOOKUP($M14,'銀行-TSS'!B:P,15,FALSE)),VLOOKUP($M14,'銀行-TSS'!B:P,15,FALSE)),"")</f>
        <v/>
      </c>
      <c r="V14" s="570" t="b">
        <v>1</v>
      </c>
      <c r="W14" s="442" t="e">
        <f ca="1">DATEVALUE(VLOOKUP(M14,bond!B:I,7,FALSE))</f>
        <v>#N/A</v>
      </c>
      <c r="X14" s="43" t="str">
        <f t="shared" ca="1" si="1"/>
        <v/>
      </c>
      <c r="Y14" s="43">
        <f t="shared" ca="1" si="2"/>
        <v>0</v>
      </c>
      <c r="Z14" s="462" t="str">
        <f ca="1">IFERROR(VLOOKUP(換券表[[#This Row],[商品代號]],bond!B:AA,26,FALSE),"")</f>
        <v/>
      </c>
      <c r="AA14" s="1" t="str">
        <f ca="1">IFERROR(VLOOKUP($M14,'銀行-TSS'!B:Q,16,FALSE),"")</f>
        <v/>
      </c>
      <c r="AB14" s="479" t="str">
        <f ca="1">IFERROR(VLOOKUP($M14,'銀行-TSS'!B:C,2,FALSE),"")</f>
        <v/>
      </c>
      <c r="AC14" s="479" t="e">
        <f ca="1">VLOOKUP(換券表[[#This Row],[幣別]],$B$37:$C$43,2,FALSE)</f>
        <v>#N/A</v>
      </c>
      <c r="AD14" s="500" t="e">
        <f ca="1">CHOOSE(換券表[[#This Row],[對應編碼]],$D$37,$D$38,$D$39,$D$40,$D$41,$D$42,$D$43)</f>
        <v>#N/A</v>
      </c>
      <c r="AE14" s="500" t="e">
        <f ca="1">CHOOSE(換券表[[#This Row],[對應編碼]],$E$37,$E$38,$E$39,$E$40,$E$41,$E$42,$E$43)</f>
        <v>#N/A</v>
      </c>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c r="CF14" s="33"/>
      <c r="CG14" s="33"/>
      <c r="CH14" s="33"/>
      <c r="CI14" s="33"/>
      <c r="CJ14" s="33"/>
      <c r="CK14" s="33"/>
      <c r="CL14" s="33"/>
      <c r="CM14" s="33"/>
      <c r="CN14" s="33"/>
      <c r="CO14" s="33"/>
      <c r="CP14" s="33"/>
      <c r="CQ14" s="33"/>
      <c r="CR14" s="33"/>
      <c r="CS14" s="33"/>
      <c r="CT14" s="33"/>
      <c r="CU14" s="33"/>
      <c r="CV14" s="33"/>
      <c r="CW14" s="33"/>
      <c r="CX14" s="33"/>
      <c r="CY14" s="33"/>
      <c r="CZ14" s="33"/>
      <c r="DA14" s="33"/>
      <c r="DB14" s="33"/>
      <c r="DC14" s="33"/>
      <c r="DD14" s="33"/>
      <c r="DE14" s="33"/>
      <c r="DF14" s="33"/>
      <c r="DG14" s="33"/>
      <c r="DH14" s="33"/>
      <c r="DI14" s="33"/>
      <c r="DJ14" s="33"/>
      <c r="DK14" s="33"/>
      <c r="DL14" s="33"/>
      <c r="DM14" s="33"/>
      <c r="DN14" s="33"/>
      <c r="DO14" s="33"/>
      <c r="DP14" s="33"/>
      <c r="DQ14" s="33"/>
      <c r="DR14" s="33"/>
      <c r="DS14" s="33"/>
      <c r="DT14" s="33"/>
      <c r="DU14" s="33"/>
      <c r="DV14" s="33"/>
      <c r="DW14" s="33"/>
      <c r="DX14" s="33"/>
      <c r="DY14" s="33"/>
      <c r="DZ14" s="33"/>
      <c r="EA14" s="33"/>
      <c r="EB14" s="33"/>
      <c r="EC14" s="33"/>
      <c r="ED14" s="33"/>
      <c r="EE14" s="33"/>
      <c r="EF14" s="33"/>
      <c r="EG14" s="33"/>
      <c r="EH14" s="33"/>
      <c r="EI14" s="33"/>
      <c r="EJ14" s="33"/>
      <c r="EK14" s="33"/>
      <c r="EL14" s="33"/>
      <c r="EM14" s="33"/>
      <c r="EN14" s="33"/>
      <c r="EO14" s="33"/>
      <c r="EP14" s="33"/>
      <c r="EQ14" s="33"/>
      <c r="ER14" s="33"/>
      <c r="ES14" s="33"/>
      <c r="ET14" s="33"/>
      <c r="EU14" s="33"/>
      <c r="EV14" s="33"/>
      <c r="EW14" s="33"/>
      <c r="EX14" s="33"/>
      <c r="EY14" s="33"/>
      <c r="EZ14" s="33"/>
      <c r="FA14" s="33"/>
      <c r="FB14" s="33"/>
      <c r="FC14" s="33"/>
      <c r="FD14" s="33"/>
    </row>
    <row r="15" spans="1:160" ht="19.5" customHeight="1">
      <c r="B15" s="459" t="s">
        <v>2120</v>
      </c>
      <c r="H15" s="26">
        <v>8</v>
      </c>
      <c r="I15" s="918" t="str">
        <f ca="1">IF('Tssco-bond portfolio(2)'!I14=換券單檔!$C$6,0,'Tssco-bond portfolio(2)'!I14)</f>
        <v/>
      </c>
      <c r="J15" s="12" t="str">
        <f ca="1">IF(I15=0,0,'Tssco-bond portfolio(2)'!W14)</f>
        <v/>
      </c>
      <c r="K15" s="943">
        <f ca="1">IF(I15=0,0,'Tssco-bond portfolio(2)'!Y14)</f>
        <v>0</v>
      </c>
      <c r="L15" s="12">
        <f ca="1">IF(I15=0,0,'Tssco-bond portfolio(2)'!BW14)</f>
        <v>0</v>
      </c>
      <c r="M15" s="428" t="str">
        <f t="shared" ca="1" si="0"/>
        <v/>
      </c>
      <c r="N15" s="429" t="e">
        <f ca="1">VLOOKUP(M15,bond!B:I,8,FALSE)</f>
        <v>#N/A</v>
      </c>
      <c r="O15" s="429" t="e">
        <f ca="1">換券表[[#This Row],[買價]]+VLOOKUP(換券表[[#This Row],[商品代號]],bond!B:K,10,FALSE)</f>
        <v>#N/A</v>
      </c>
      <c r="P15" s="430" t="e">
        <f ca="1">VLOOKUP(換券表[[#This Row],[商品代號]],'銀行-TSS'!B:K,10,FALSE)</f>
        <v>#N/A</v>
      </c>
      <c r="Q15" s="431" t="e">
        <f ca="1">VLOOKUP($M15,'銀行-TSS'!B:G,6,FALSE)</f>
        <v>#N/A</v>
      </c>
      <c r="R15" s="432" t="e">
        <f ca="1">IFERROR(DATEVALUE(VLOOKUP($M15,'銀行-TSS'!B:F,5,FALSE)),VLOOKUP($M15,'銀行-TSS'!B:F,5,FALSE))</f>
        <v>#N/A</v>
      </c>
      <c r="S15" s="433" t="e">
        <f ca="1">VLOOKUP($M15,'銀行-TSS'!B:H,7,FALSE)</f>
        <v>#N/A</v>
      </c>
      <c r="T15" s="434" t="str">
        <f ca="1">IFERROR(VLOOKUP($M15,'銀行-TSS'!B:I,8,FALSE),"")</f>
        <v/>
      </c>
      <c r="U15" s="440" t="str">
        <f ca="1">_xlfn.IFNA(IFERROR(DATEVALUE(VLOOKUP($M15,'銀行-TSS'!B:P,15,FALSE)),VLOOKUP($M15,'銀行-TSS'!B:P,15,FALSE)),"")</f>
        <v/>
      </c>
      <c r="V15" s="570" t="b">
        <v>1</v>
      </c>
      <c r="W15" s="442" t="e">
        <f ca="1">DATEVALUE(VLOOKUP(M15,bond!B:I,7,FALSE))</f>
        <v>#N/A</v>
      </c>
      <c r="X15" s="43" t="str">
        <f t="shared" ca="1" si="1"/>
        <v/>
      </c>
      <c r="Y15" s="43">
        <f t="shared" ca="1" si="2"/>
        <v>0</v>
      </c>
      <c r="Z15" s="462" t="str">
        <f ca="1">IFERROR(VLOOKUP(換券表[[#This Row],[商品代號]],bond!B:AA,26,FALSE),"")</f>
        <v/>
      </c>
      <c r="AA15" s="1" t="str">
        <f ca="1">IFERROR(VLOOKUP($M15,'銀行-TSS'!B:Q,16,FALSE),"")</f>
        <v/>
      </c>
      <c r="AB15" s="479" t="str">
        <f ca="1">IFERROR(VLOOKUP($M15,'銀行-TSS'!B:C,2,FALSE),"")</f>
        <v/>
      </c>
      <c r="AC15" s="479" t="e">
        <f ca="1">VLOOKUP(換券表[[#This Row],[幣別]],$B$37:$C$43,2,FALSE)</f>
        <v>#N/A</v>
      </c>
      <c r="AD15" s="500" t="e">
        <f ca="1">CHOOSE(換券表[[#This Row],[對應編碼]],$D$37,$D$38,$D$39,$D$40,$D$41,$D$42,$D$43)</f>
        <v>#N/A</v>
      </c>
      <c r="AE15" s="500" t="e">
        <f ca="1">CHOOSE(換券表[[#This Row],[對應編碼]],$E$37,$E$38,$E$39,$E$40,$E$41,$E$42,$E$43)</f>
        <v>#N/A</v>
      </c>
      <c r="AF15" s="33"/>
      <c r="AG15" s="33"/>
      <c r="AH15" s="33"/>
      <c r="AI15" s="33"/>
      <c r="AJ15" s="33"/>
      <c r="AK15" s="33"/>
      <c r="AL15" s="33"/>
      <c r="AM15" s="33"/>
      <c r="AN15" s="33"/>
      <c r="AO15" s="33"/>
      <c r="AP15" s="33"/>
      <c r="AQ15" s="33"/>
      <c r="AR15" s="33"/>
      <c r="AS15" s="33"/>
      <c r="AT15" s="33"/>
      <c r="AU15" s="33"/>
      <c r="AV15" s="33"/>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33"/>
      <c r="CG15" s="33"/>
      <c r="CH15" s="33"/>
      <c r="CI15" s="33"/>
      <c r="CJ15" s="33"/>
      <c r="CK15" s="33"/>
      <c r="CL15" s="33"/>
      <c r="CM15" s="33"/>
      <c r="CN15" s="33"/>
      <c r="CO15" s="33"/>
      <c r="CP15" s="33"/>
      <c r="CQ15" s="33"/>
      <c r="CR15" s="33"/>
      <c r="CS15" s="33"/>
      <c r="CT15" s="33"/>
      <c r="CU15" s="33"/>
      <c r="CV15" s="33"/>
      <c r="CW15" s="33"/>
      <c r="CX15" s="33"/>
      <c r="CY15" s="33"/>
      <c r="CZ15" s="33"/>
      <c r="DA15" s="33"/>
      <c r="DB15" s="33"/>
      <c r="DC15" s="33"/>
      <c r="DD15" s="33"/>
      <c r="DE15" s="33"/>
      <c r="DF15" s="33"/>
      <c r="DG15" s="33"/>
      <c r="DH15" s="33"/>
      <c r="DI15" s="33"/>
      <c r="DJ15" s="33"/>
      <c r="DK15" s="33"/>
      <c r="DL15" s="33"/>
      <c r="DM15" s="33"/>
      <c r="DN15" s="33"/>
      <c r="DO15" s="33"/>
      <c r="DP15" s="33"/>
      <c r="DQ15" s="33"/>
      <c r="DR15" s="33"/>
      <c r="DS15" s="33"/>
      <c r="DT15" s="33"/>
      <c r="DU15" s="33"/>
      <c r="DV15" s="33"/>
      <c r="DW15" s="33"/>
      <c r="DX15" s="33"/>
      <c r="DY15" s="33"/>
      <c r="DZ15" s="33"/>
      <c r="EA15" s="33"/>
      <c r="EB15" s="33"/>
      <c r="EC15" s="33"/>
      <c r="ED15" s="33"/>
      <c r="EE15" s="33"/>
      <c r="EF15" s="33"/>
      <c r="EG15" s="33"/>
      <c r="EH15" s="33"/>
      <c r="EI15" s="33"/>
      <c r="EJ15" s="33"/>
      <c r="EK15" s="33"/>
      <c r="EL15" s="33"/>
      <c r="EM15" s="33"/>
      <c r="EN15" s="33"/>
      <c r="EO15" s="33"/>
      <c r="EP15" s="33"/>
      <c r="EQ15" s="33"/>
      <c r="ER15" s="33"/>
      <c r="ES15" s="33"/>
      <c r="ET15" s="33"/>
      <c r="EU15" s="33"/>
      <c r="EV15" s="33"/>
      <c r="EW15" s="33"/>
      <c r="EX15" s="33"/>
      <c r="EY15" s="33"/>
      <c r="EZ15" s="33"/>
      <c r="FA15" s="33"/>
      <c r="FB15" s="33"/>
      <c r="FC15" s="33"/>
      <c r="FD15" s="33"/>
    </row>
    <row r="16" spans="1:160" ht="19.5" customHeight="1">
      <c r="B16" s="28" t="s">
        <v>2023</v>
      </c>
      <c r="C16" s="459">
        <f ca="1">IF(AB1&gt;1,1,IFERROR(CHOOSE(績效圖!A1,1,2),1))</f>
        <v>2</v>
      </c>
      <c r="H16" s="26">
        <v>9</v>
      </c>
      <c r="I16" s="918" t="str">
        <f ca="1">IF('Tssco-bond portfolio(2)'!I15=換券單檔!$C$6,0,'Tssco-bond portfolio(2)'!I15)</f>
        <v/>
      </c>
      <c r="J16" s="12" t="str">
        <f ca="1">IF(I16=0,0,'Tssco-bond portfolio(2)'!W15)</f>
        <v/>
      </c>
      <c r="K16" s="943">
        <f ca="1">IF(I16=0,0,'Tssco-bond portfolio(2)'!Y15)</f>
        <v>0</v>
      </c>
      <c r="L16" s="12">
        <f ca="1">IF(I16=0,0,'Tssco-bond portfolio(2)'!BW15)</f>
        <v>0</v>
      </c>
      <c r="M16" s="428" t="str">
        <f t="shared" ca="1" si="0"/>
        <v/>
      </c>
      <c r="N16" s="429" t="e">
        <f ca="1">VLOOKUP(M16,bond!B:I,8,FALSE)</f>
        <v>#N/A</v>
      </c>
      <c r="O16" s="429" t="e">
        <f ca="1">換券表[[#This Row],[買價]]+VLOOKUP(換券表[[#This Row],[商品代號]],bond!B:K,10,FALSE)</f>
        <v>#N/A</v>
      </c>
      <c r="P16" s="430" t="e">
        <f ca="1">VLOOKUP(換券表[[#This Row],[商品代號]],'銀行-TSS'!B:K,10,FALSE)</f>
        <v>#N/A</v>
      </c>
      <c r="Q16" s="431" t="e">
        <f ca="1">VLOOKUP($M16,'銀行-TSS'!B:G,6,FALSE)</f>
        <v>#N/A</v>
      </c>
      <c r="R16" s="432" t="e">
        <f ca="1">IFERROR(DATEVALUE(VLOOKUP($M16,'銀行-TSS'!B:F,5,FALSE)),VLOOKUP($M16,'銀行-TSS'!B:F,5,FALSE))</f>
        <v>#N/A</v>
      </c>
      <c r="S16" s="433" t="e">
        <f ca="1">VLOOKUP($M16,'銀行-TSS'!B:H,7,FALSE)</f>
        <v>#N/A</v>
      </c>
      <c r="T16" s="434" t="str">
        <f ca="1">IFERROR(VLOOKUP($M16,'銀行-TSS'!B:I,8,FALSE),"")</f>
        <v/>
      </c>
      <c r="U16" s="440" t="str">
        <f ca="1">_xlfn.IFNA(IFERROR(DATEVALUE(VLOOKUP($M16,'銀行-TSS'!B:P,15,FALSE)),VLOOKUP($M16,'銀行-TSS'!B:P,15,FALSE)),"")</f>
        <v/>
      </c>
      <c r="V16" s="570" t="b">
        <v>1</v>
      </c>
      <c r="W16" s="442" t="e">
        <f ca="1">DATEVALUE(VLOOKUP(M16,bond!B:I,7,FALSE))</f>
        <v>#N/A</v>
      </c>
      <c r="X16" s="43" t="str">
        <f t="shared" ca="1" si="1"/>
        <v/>
      </c>
      <c r="Y16" s="43">
        <f t="shared" ca="1" si="2"/>
        <v>0</v>
      </c>
      <c r="Z16" s="462" t="str">
        <f ca="1">IFERROR(VLOOKUP(換券表[[#This Row],[商品代號]],bond!B:AA,26,FALSE),"")</f>
        <v/>
      </c>
      <c r="AA16" s="1" t="str">
        <f ca="1">IFERROR(VLOOKUP($M16,'銀行-TSS'!B:Q,16,FALSE),"")</f>
        <v/>
      </c>
      <c r="AB16" s="479" t="str">
        <f ca="1">IFERROR(VLOOKUP($M16,'銀行-TSS'!B:C,2,FALSE),"")</f>
        <v/>
      </c>
      <c r="AC16" s="479" t="e">
        <f ca="1">VLOOKUP(換券表[[#This Row],[幣別]],$B$37:$C$43,2,FALSE)</f>
        <v>#N/A</v>
      </c>
      <c r="AD16" s="500" t="e">
        <f ca="1">CHOOSE(換券表[[#This Row],[對應編碼]],$D$37,$D$38,$D$39,$D$40,$D$41,$D$42,$D$43)</f>
        <v>#N/A</v>
      </c>
      <c r="AE16" s="500" t="e">
        <f ca="1">CHOOSE(換券表[[#This Row],[對應編碼]],$E$37,$E$38,$E$39,$E$40,$E$41,$E$42,$E$43)</f>
        <v>#N/A</v>
      </c>
      <c r="AF16" s="33"/>
      <c r="AG16" s="33"/>
      <c r="AH16" s="33"/>
      <c r="AI16" s="33"/>
      <c r="AJ16" s="33"/>
      <c r="AK16" s="33"/>
      <c r="AL16" s="33"/>
      <c r="AM16" s="33"/>
      <c r="AN16" s="33"/>
      <c r="AO16" s="33"/>
      <c r="AP16" s="33"/>
      <c r="AQ16" s="33"/>
      <c r="AR16" s="33"/>
      <c r="AS16" s="33"/>
      <c r="AT16" s="33"/>
      <c r="AU16" s="33"/>
      <c r="AV16" s="33"/>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33"/>
      <c r="CG16" s="33"/>
      <c r="CH16" s="33"/>
      <c r="CI16" s="33"/>
      <c r="CJ16" s="33"/>
      <c r="CK16" s="33"/>
      <c r="CL16" s="33"/>
      <c r="CM16" s="33"/>
      <c r="CN16" s="33"/>
      <c r="CO16" s="33"/>
      <c r="CP16" s="33"/>
      <c r="CQ16" s="33"/>
      <c r="CR16" s="33"/>
      <c r="CS16" s="33"/>
      <c r="CT16" s="33"/>
      <c r="CU16" s="33"/>
      <c r="CV16" s="33"/>
      <c r="CW16" s="33"/>
      <c r="CX16" s="33"/>
      <c r="CY16" s="33"/>
      <c r="CZ16" s="33"/>
      <c r="DA16" s="33"/>
      <c r="DB16" s="33"/>
      <c r="DC16" s="33"/>
      <c r="DD16" s="33"/>
      <c r="DE16" s="33"/>
      <c r="DF16" s="33"/>
      <c r="DG16" s="33"/>
      <c r="DH16" s="33"/>
      <c r="DI16" s="33"/>
      <c r="DJ16" s="33"/>
      <c r="DK16" s="33"/>
      <c r="DL16" s="33"/>
      <c r="DM16" s="33"/>
      <c r="DN16" s="33"/>
      <c r="DO16" s="33"/>
      <c r="DP16" s="33"/>
      <c r="DQ16" s="33"/>
      <c r="DR16" s="33"/>
      <c r="DS16" s="33"/>
      <c r="DT16" s="33"/>
      <c r="DU16" s="33"/>
      <c r="DV16" s="33"/>
      <c r="DW16" s="33"/>
      <c r="DX16" s="33"/>
      <c r="DY16" s="33"/>
      <c r="DZ16" s="33"/>
      <c r="EA16" s="33"/>
      <c r="EB16" s="33"/>
      <c r="EC16" s="33"/>
      <c r="ED16" s="33"/>
      <c r="EE16" s="33"/>
      <c r="EF16" s="33"/>
      <c r="EG16" s="33"/>
      <c r="EH16" s="33"/>
      <c r="EI16" s="33"/>
      <c r="EJ16" s="33"/>
      <c r="EK16" s="33"/>
      <c r="EL16" s="33"/>
      <c r="EM16" s="33"/>
      <c r="EN16" s="33"/>
      <c r="EO16" s="33"/>
      <c r="EP16" s="33"/>
      <c r="EQ16" s="33"/>
      <c r="ER16" s="33"/>
      <c r="ES16" s="33"/>
      <c r="ET16" s="33"/>
      <c r="EU16" s="33"/>
      <c r="EV16" s="33"/>
      <c r="EW16" s="33"/>
      <c r="EX16" s="33"/>
      <c r="EY16" s="33"/>
      <c r="EZ16" s="33"/>
      <c r="FA16" s="33"/>
      <c r="FB16" s="33"/>
      <c r="FC16" s="33"/>
      <c r="FD16" s="33"/>
    </row>
    <row r="17" spans="2:160" ht="19.5" customHeight="1">
      <c r="B17" s="352"/>
      <c r="C17" s="352"/>
      <c r="D17" s="352"/>
      <c r="E17" s="587"/>
      <c r="F17" s="587"/>
      <c r="H17" s="26">
        <v>10</v>
      </c>
      <c r="I17" s="918" t="str">
        <f ca="1">IF('Tssco-bond portfolio(2)'!I16=換券單檔!$C$6,0,'Tssco-bond portfolio(2)'!I16)</f>
        <v/>
      </c>
      <c r="J17" s="12" t="str">
        <f ca="1">IF(I17=0,0,'Tssco-bond portfolio(2)'!W16)</f>
        <v/>
      </c>
      <c r="K17" s="943">
        <f ca="1">IF(I17=0,0,'Tssco-bond portfolio(2)'!Y16)</f>
        <v>0</v>
      </c>
      <c r="L17" s="12">
        <f ca="1">IF(I17=0,0,'Tssco-bond portfolio(2)'!BW16)</f>
        <v>0</v>
      </c>
      <c r="M17" s="428" t="str">
        <f t="shared" ca="1" si="0"/>
        <v/>
      </c>
      <c r="N17" s="429" t="e">
        <f ca="1">VLOOKUP(M17,bond!B:I,8,FALSE)</f>
        <v>#N/A</v>
      </c>
      <c r="O17" s="429" t="e">
        <f ca="1">換券表[[#This Row],[買價]]+VLOOKUP(換券表[[#This Row],[商品代號]],bond!B:K,10,FALSE)</f>
        <v>#N/A</v>
      </c>
      <c r="P17" s="430" t="e">
        <f ca="1">VLOOKUP(換券表[[#This Row],[商品代號]],'銀行-TSS'!B:K,10,FALSE)</f>
        <v>#N/A</v>
      </c>
      <c r="Q17" s="431" t="e">
        <f ca="1">VLOOKUP($M17,'銀行-TSS'!B:G,6,FALSE)</f>
        <v>#N/A</v>
      </c>
      <c r="R17" s="432" t="e">
        <f ca="1">IFERROR(DATEVALUE(VLOOKUP($M17,'銀行-TSS'!B:F,5,FALSE)),VLOOKUP($M17,'銀行-TSS'!B:F,5,FALSE))</f>
        <v>#N/A</v>
      </c>
      <c r="S17" s="433" t="e">
        <f ca="1">VLOOKUP($M17,'銀行-TSS'!B:H,7,FALSE)</f>
        <v>#N/A</v>
      </c>
      <c r="T17" s="434" t="str">
        <f ca="1">IFERROR(VLOOKUP($M17,'銀行-TSS'!B:I,8,FALSE),"")</f>
        <v/>
      </c>
      <c r="U17" s="440" t="str">
        <f ca="1">_xlfn.IFNA(IFERROR(DATEVALUE(VLOOKUP($M17,'銀行-TSS'!B:P,15,FALSE)),VLOOKUP($M17,'銀行-TSS'!B:P,15,FALSE)),"")</f>
        <v/>
      </c>
      <c r="V17" s="570" t="b">
        <v>1</v>
      </c>
      <c r="W17" s="442" t="e">
        <f ca="1">DATEVALUE(VLOOKUP(M17,bond!B:I,7,FALSE))</f>
        <v>#N/A</v>
      </c>
      <c r="X17" s="43" t="str">
        <f t="shared" ca="1" si="1"/>
        <v/>
      </c>
      <c r="Y17" s="43">
        <f t="shared" ca="1" si="2"/>
        <v>0</v>
      </c>
      <c r="Z17" s="462" t="str">
        <f ca="1">IFERROR(VLOOKUP(換券表[[#This Row],[商品代號]],bond!B:AA,26,FALSE),"")</f>
        <v/>
      </c>
      <c r="AA17" s="1" t="str">
        <f ca="1">IFERROR(VLOOKUP($M17,'銀行-TSS'!B:Q,16,FALSE),"")</f>
        <v/>
      </c>
      <c r="AB17" s="479" t="str">
        <f ca="1">IFERROR(VLOOKUP($M17,'銀行-TSS'!B:C,2,FALSE),"")</f>
        <v/>
      </c>
      <c r="AC17" s="479" t="e">
        <f ca="1">VLOOKUP(換券表[[#This Row],[幣別]],$B$37:$C$43,2,FALSE)</f>
        <v>#N/A</v>
      </c>
      <c r="AD17" s="500" t="e">
        <f ca="1">CHOOSE(換券表[[#This Row],[對應編碼]],$D$37,$D$38,$D$39,$D$40,$D$41,$D$42,$D$43)</f>
        <v>#N/A</v>
      </c>
      <c r="AE17" s="500" t="e">
        <f ca="1">CHOOSE(換券表[[#This Row],[對應編碼]],$E$37,$E$38,$E$39,$E$40,$E$41,$E$42,$E$43)</f>
        <v>#N/A</v>
      </c>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33"/>
      <c r="CG17" s="33"/>
      <c r="CH17" s="33"/>
      <c r="CI17" s="33"/>
      <c r="CJ17" s="33"/>
      <c r="CK17" s="33"/>
      <c r="CL17" s="33"/>
      <c r="CM17" s="33"/>
      <c r="CN17" s="33"/>
      <c r="CO17" s="33"/>
      <c r="CP17" s="33"/>
      <c r="CQ17" s="33"/>
      <c r="CR17" s="33"/>
      <c r="CS17" s="33"/>
      <c r="CT17" s="33"/>
      <c r="CU17" s="33"/>
      <c r="CV17" s="33"/>
      <c r="CW17" s="33"/>
      <c r="CX17" s="33"/>
      <c r="CY17" s="33"/>
      <c r="CZ17" s="33"/>
      <c r="DA17" s="33"/>
      <c r="DB17" s="33"/>
      <c r="DC17" s="33"/>
      <c r="DD17" s="33"/>
      <c r="DE17" s="33"/>
      <c r="DF17" s="33"/>
      <c r="DG17" s="33"/>
      <c r="DH17" s="33"/>
      <c r="DI17" s="33"/>
      <c r="DJ17" s="33"/>
      <c r="DK17" s="33"/>
      <c r="DL17" s="33"/>
      <c r="DM17" s="33"/>
      <c r="DN17" s="33"/>
      <c r="DO17" s="33"/>
      <c r="DP17" s="33"/>
      <c r="DQ17" s="33"/>
      <c r="DR17" s="33"/>
      <c r="DS17" s="33"/>
      <c r="DT17" s="33"/>
      <c r="DU17" s="33"/>
      <c r="DV17" s="33"/>
      <c r="DW17" s="33"/>
      <c r="DX17" s="33"/>
      <c r="DY17" s="33"/>
      <c r="DZ17" s="33"/>
      <c r="EA17" s="33"/>
      <c r="EB17" s="33"/>
      <c r="EC17" s="33"/>
      <c r="ED17" s="33"/>
      <c r="EE17" s="33"/>
      <c r="EF17" s="33"/>
      <c r="EG17" s="33"/>
      <c r="EH17" s="33"/>
      <c r="EI17" s="33"/>
      <c r="EJ17" s="33"/>
      <c r="EK17" s="33"/>
      <c r="EL17" s="33"/>
      <c r="EM17" s="33"/>
      <c r="EN17" s="33"/>
      <c r="EO17" s="33"/>
      <c r="EP17" s="33"/>
      <c r="EQ17" s="33"/>
      <c r="ER17" s="33"/>
      <c r="ES17" s="33"/>
      <c r="ET17" s="33"/>
      <c r="EU17" s="33"/>
      <c r="EV17" s="33"/>
      <c r="EW17" s="33"/>
      <c r="EX17" s="33"/>
      <c r="EY17" s="33"/>
      <c r="EZ17" s="33"/>
      <c r="FA17" s="33"/>
      <c r="FB17" s="33"/>
      <c r="FC17" s="33"/>
      <c r="FD17" s="33"/>
    </row>
    <row r="18" spans="2:160" ht="19.5" customHeight="1">
      <c r="B18" s="353"/>
      <c r="C18" s="354"/>
      <c r="D18" s="354"/>
      <c r="E18" s="588"/>
      <c r="F18" s="588"/>
      <c r="H18" s="26">
        <v>11</v>
      </c>
      <c r="I18" s="918" t="str">
        <f ca="1">IF('Tssco-bond portfolio(2)'!I17=換券單檔!$C$6,0,'Tssco-bond portfolio(2)'!I17)</f>
        <v/>
      </c>
      <c r="J18" s="12" t="str">
        <f ca="1">IF(I18=0,0,'Tssco-bond portfolio(2)'!W17)</f>
        <v/>
      </c>
      <c r="K18" s="943">
        <f ca="1">IF(I18=0,0,'Tssco-bond portfolio(2)'!Y17)</f>
        <v>0</v>
      </c>
      <c r="L18" s="12">
        <f ca="1">IF(I18=0,0,'Tssco-bond portfolio(2)'!BW17)</f>
        <v>0</v>
      </c>
      <c r="M18" s="428" t="str">
        <f t="shared" ca="1" si="0"/>
        <v/>
      </c>
      <c r="N18" s="429" t="e">
        <f ca="1">VLOOKUP(M18,bond!B:I,8,FALSE)</f>
        <v>#N/A</v>
      </c>
      <c r="O18" s="429" t="e">
        <f ca="1">換券表[[#This Row],[買價]]+VLOOKUP(換券表[[#This Row],[商品代號]],bond!B:K,10,FALSE)</f>
        <v>#N/A</v>
      </c>
      <c r="P18" s="430" t="e">
        <f ca="1">VLOOKUP(換券表[[#This Row],[商品代號]],'銀行-TSS'!B:K,10,FALSE)</f>
        <v>#N/A</v>
      </c>
      <c r="Q18" s="431" t="e">
        <f ca="1">VLOOKUP($M18,'銀行-TSS'!B:G,6,FALSE)</f>
        <v>#N/A</v>
      </c>
      <c r="R18" s="432" t="e">
        <f ca="1">IFERROR(DATEVALUE(VLOOKUP($M18,'銀行-TSS'!B:F,5,FALSE)),VLOOKUP($M18,'銀行-TSS'!B:F,5,FALSE))</f>
        <v>#N/A</v>
      </c>
      <c r="S18" s="433" t="e">
        <f ca="1">VLOOKUP($M18,'銀行-TSS'!B:H,7,FALSE)</f>
        <v>#N/A</v>
      </c>
      <c r="T18" s="434" t="str">
        <f ca="1">IFERROR(VLOOKUP($M18,'銀行-TSS'!B:I,8,FALSE),"")</f>
        <v/>
      </c>
      <c r="U18" s="440" t="str">
        <f ca="1">_xlfn.IFNA(IFERROR(DATEVALUE(VLOOKUP($M18,'銀行-TSS'!B:P,15,FALSE)),VLOOKUP($M18,'銀行-TSS'!B:P,15,FALSE)),"")</f>
        <v/>
      </c>
      <c r="V18" s="570" t="b">
        <v>1</v>
      </c>
      <c r="W18" s="442" t="e">
        <f ca="1">DATEVALUE(VLOOKUP(M18,bond!B:I,7,FALSE))</f>
        <v>#N/A</v>
      </c>
      <c r="X18" s="43" t="str">
        <f t="shared" ca="1" si="1"/>
        <v/>
      </c>
      <c r="Y18" s="43">
        <f t="shared" ca="1" si="2"/>
        <v>0</v>
      </c>
      <c r="Z18" s="462" t="str">
        <f ca="1">IFERROR(VLOOKUP(換券表[[#This Row],[商品代號]],bond!B:AA,26,FALSE),"")</f>
        <v/>
      </c>
      <c r="AA18" s="1" t="str">
        <f ca="1">IFERROR(VLOOKUP($M18,'銀行-TSS'!B:Q,16,FALSE),"")</f>
        <v/>
      </c>
      <c r="AB18" s="479" t="str">
        <f ca="1">IFERROR(VLOOKUP($M18,'銀行-TSS'!B:C,2,FALSE),"")</f>
        <v/>
      </c>
      <c r="AC18" s="479" t="e">
        <f ca="1">VLOOKUP(換券表[[#This Row],[幣別]],$B$37:$C$43,2,FALSE)</f>
        <v>#N/A</v>
      </c>
      <c r="AD18" s="500" t="e">
        <f ca="1">CHOOSE(換券表[[#This Row],[對應編碼]],$D$37,$D$38,$D$39,$D$40,$D$41,$D$42,$D$43)</f>
        <v>#N/A</v>
      </c>
      <c r="AE18" s="500" t="e">
        <f ca="1">CHOOSE(換券表[[#This Row],[對應編碼]],$E$37,$E$38,$E$39,$E$40,$E$41,$E$42,$E$43)</f>
        <v>#N/A</v>
      </c>
      <c r="AF18" s="33"/>
      <c r="AG18" s="33"/>
      <c r="AH18" s="33"/>
      <c r="AI18" s="33"/>
      <c r="AJ18" s="33"/>
      <c r="AK18" s="33"/>
      <c r="AL18" s="33"/>
      <c r="AM18" s="33"/>
      <c r="AN18" s="33"/>
      <c r="AO18" s="33"/>
      <c r="AP18" s="33"/>
      <c r="AQ18" s="33"/>
      <c r="AR18" s="33"/>
      <c r="AS18" s="33"/>
      <c r="AT18" s="33"/>
      <c r="AU18" s="33"/>
      <c r="AV18" s="33"/>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33"/>
      <c r="CG18" s="33"/>
      <c r="CH18" s="33"/>
      <c r="CI18" s="33"/>
      <c r="CJ18" s="33"/>
      <c r="CK18" s="33"/>
      <c r="CL18" s="33"/>
      <c r="CM18" s="33"/>
      <c r="CN18" s="33"/>
      <c r="CO18" s="33"/>
      <c r="CP18" s="33"/>
      <c r="CQ18" s="33"/>
      <c r="CR18" s="33"/>
      <c r="CS18" s="33"/>
      <c r="CT18" s="33"/>
      <c r="CU18" s="33"/>
      <c r="CV18" s="33"/>
      <c r="CW18" s="33"/>
      <c r="CX18" s="33"/>
      <c r="CY18" s="33"/>
      <c r="CZ18" s="33"/>
      <c r="DA18" s="33"/>
      <c r="DB18" s="33"/>
      <c r="DC18" s="33"/>
      <c r="DD18" s="33"/>
      <c r="DE18" s="33"/>
      <c r="DF18" s="33"/>
      <c r="DG18" s="33"/>
      <c r="DH18" s="33"/>
      <c r="DI18" s="33"/>
      <c r="DJ18" s="33"/>
      <c r="DK18" s="33"/>
      <c r="DL18" s="33"/>
      <c r="DM18" s="33"/>
      <c r="DN18" s="33"/>
      <c r="DO18" s="33"/>
      <c r="DP18" s="33"/>
      <c r="DQ18" s="33"/>
      <c r="DR18" s="33"/>
      <c r="DS18" s="33"/>
      <c r="DT18" s="33"/>
      <c r="DU18" s="33"/>
      <c r="DV18" s="33"/>
      <c r="DW18" s="33"/>
      <c r="DX18" s="33"/>
      <c r="DY18" s="33"/>
      <c r="DZ18" s="33"/>
      <c r="EA18" s="33"/>
      <c r="EB18" s="33"/>
      <c r="EC18" s="33"/>
      <c r="ED18" s="33"/>
      <c r="EE18" s="33"/>
      <c r="EF18" s="33"/>
      <c r="EG18" s="33"/>
      <c r="EH18" s="33"/>
      <c r="EI18" s="33"/>
      <c r="EJ18" s="33"/>
      <c r="EK18" s="33"/>
      <c r="EL18" s="33"/>
      <c r="EM18" s="33"/>
      <c r="EN18" s="33"/>
      <c r="EO18" s="33"/>
      <c r="EP18" s="33"/>
      <c r="EQ18" s="33"/>
      <c r="ER18" s="33"/>
      <c r="ES18" s="33"/>
      <c r="ET18" s="33"/>
      <c r="EU18" s="33"/>
      <c r="EV18" s="33"/>
      <c r="EW18" s="33"/>
      <c r="EX18" s="33"/>
      <c r="EY18" s="33"/>
      <c r="EZ18" s="33"/>
      <c r="FA18" s="33"/>
      <c r="FB18" s="33"/>
      <c r="FC18" s="33"/>
      <c r="FD18" s="33"/>
    </row>
    <row r="19" spans="2:160" ht="19.5" customHeight="1" thickBot="1">
      <c r="B19" s="12"/>
      <c r="C19" s="604"/>
      <c r="D19" s="26"/>
      <c r="E19" s="702"/>
      <c r="F19" s="701"/>
      <c r="G19" s="605"/>
      <c r="H19" s="26">
        <v>12</v>
      </c>
      <c r="I19" s="920" t="str">
        <f ca="1">IF('Tssco-bond portfolio(2)'!I18=換券單檔!$C$6,0,'Tssco-bond portfolio(2)'!I18)</f>
        <v/>
      </c>
      <c r="J19" s="12" t="str">
        <f ca="1">IF(I19=0,0,'Tssco-bond portfolio(2)'!W18)</f>
        <v/>
      </c>
      <c r="K19" s="943">
        <f ca="1">IF(I19=0,0,'Tssco-bond portfolio(2)'!Y18)</f>
        <v>0</v>
      </c>
      <c r="L19" s="12">
        <f ca="1">IF(I19=0,0,'Tssco-bond portfolio(2)'!BW18)</f>
        <v>0</v>
      </c>
      <c r="M19" s="428" t="str">
        <f t="shared" ca="1" si="0"/>
        <v/>
      </c>
      <c r="N19" s="429" t="e">
        <f ca="1">VLOOKUP(M19,bond!B:I,8,FALSE)</f>
        <v>#N/A</v>
      </c>
      <c r="O19" s="429" t="e">
        <f ca="1">換券表[[#This Row],[買價]]+VLOOKUP(換券表[[#This Row],[商品代號]],bond!B:K,10,FALSE)</f>
        <v>#N/A</v>
      </c>
      <c r="P19" s="430" t="e">
        <f ca="1">VLOOKUP(換券表[[#This Row],[商品代號]],'銀行-TSS'!B:K,10,FALSE)</f>
        <v>#N/A</v>
      </c>
      <c r="Q19" s="431" t="e">
        <f ca="1">VLOOKUP($M19,'銀行-TSS'!B:G,6,FALSE)</f>
        <v>#N/A</v>
      </c>
      <c r="R19" s="432" t="e">
        <f ca="1">IFERROR(DATEVALUE(VLOOKUP($M19,'銀行-TSS'!B:F,5,FALSE)),VLOOKUP($M19,'銀行-TSS'!B:F,5,FALSE))</f>
        <v>#N/A</v>
      </c>
      <c r="S19" s="433" t="e">
        <f ca="1">VLOOKUP($M19,'銀行-TSS'!B:H,7,FALSE)</f>
        <v>#N/A</v>
      </c>
      <c r="T19" s="434" t="str">
        <f ca="1">IFERROR(VLOOKUP($M19,'銀行-TSS'!B:I,8,FALSE),"")</f>
        <v/>
      </c>
      <c r="U19" s="440" t="str">
        <f ca="1">_xlfn.IFNA(IFERROR(DATEVALUE(VLOOKUP($M19,'銀行-TSS'!B:P,15,FALSE)),VLOOKUP($M19,'銀行-TSS'!B:P,15,FALSE)),"")</f>
        <v/>
      </c>
      <c r="V19" s="570" t="b">
        <v>1</v>
      </c>
      <c r="W19" s="442" t="e">
        <f ca="1">DATEVALUE(VLOOKUP(M19,bond!B:I,7,FALSE))</f>
        <v>#N/A</v>
      </c>
      <c r="X19" s="43" t="str">
        <f t="shared" ca="1" si="1"/>
        <v/>
      </c>
      <c r="Y19" s="43">
        <f t="shared" ca="1" si="2"/>
        <v>0</v>
      </c>
      <c r="Z19" s="462" t="str">
        <f ca="1">IFERROR(VLOOKUP(換券表[[#This Row],[商品代號]],bond!B:AA,26,FALSE),"")</f>
        <v/>
      </c>
      <c r="AA19" s="1" t="str">
        <f ca="1">IFERROR(VLOOKUP($M19,'銀行-TSS'!B:Q,16,FALSE),"")</f>
        <v/>
      </c>
      <c r="AB19" s="479" t="str">
        <f ca="1">IFERROR(VLOOKUP($M19,'銀行-TSS'!B:C,2,FALSE),"")</f>
        <v/>
      </c>
      <c r="AC19" s="479" t="e">
        <f ca="1">VLOOKUP(換券表[[#This Row],[幣別]],$B$37:$C$43,2,FALSE)</f>
        <v>#N/A</v>
      </c>
      <c r="AD19" s="500" t="e">
        <f ca="1">CHOOSE(換券表[[#This Row],[對應編碼]],$D$37,$D$38,$D$39,$D$40,$D$41,$D$42,$D$43)</f>
        <v>#N/A</v>
      </c>
      <c r="AE19" s="500" t="e">
        <f ca="1">CHOOSE(換券表[[#This Row],[對應編碼]],$E$37,$E$38,$E$39,$E$40,$E$41,$E$42,$E$43)</f>
        <v>#N/A</v>
      </c>
      <c r="AF19" s="33"/>
      <c r="AG19" s="33"/>
      <c r="AH19" s="33"/>
      <c r="AI19" s="33"/>
      <c r="AJ19" s="33"/>
      <c r="AK19" s="33"/>
      <c r="AL19" s="33"/>
      <c r="AM19" s="33"/>
      <c r="AN19" s="33"/>
      <c r="AO19" s="33"/>
      <c r="AP19" s="33"/>
      <c r="AQ19" s="33"/>
      <c r="AR19" s="33"/>
      <c r="AS19" s="33"/>
      <c r="AT19" s="33"/>
      <c r="AU19" s="33"/>
      <c r="AV19" s="33"/>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33"/>
      <c r="CG19" s="33"/>
      <c r="CH19" s="33"/>
      <c r="CI19" s="33"/>
      <c r="CJ19" s="33"/>
      <c r="CK19" s="33"/>
      <c r="CL19" s="33"/>
      <c r="CM19" s="33"/>
      <c r="CN19" s="33"/>
      <c r="CO19" s="33"/>
      <c r="CP19" s="33"/>
      <c r="CQ19" s="33"/>
      <c r="CR19" s="33"/>
      <c r="CS19" s="33"/>
      <c r="CT19" s="33"/>
      <c r="CU19" s="33"/>
      <c r="CV19" s="33"/>
      <c r="CW19" s="33"/>
      <c r="CX19" s="33"/>
      <c r="CY19" s="33"/>
      <c r="CZ19" s="33"/>
      <c r="DA19" s="33"/>
      <c r="DB19" s="33"/>
      <c r="DC19" s="33"/>
      <c r="DD19" s="33"/>
      <c r="DE19" s="33"/>
      <c r="DF19" s="33"/>
      <c r="DG19" s="33"/>
      <c r="DH19" s="33"/>
      <c r="DI19" s="33"/>
      <c r="DJ19" s="33"/>
      <c r="DK19" s="33"/>
      <c r="DL19" s="33"/>
      <c r="DM19" s="33"/>
      <c r="DN19" s="33"/>
      <c r="DO19" s="33"/>
      <c r="DP19" s="33"/>
      <c r="DQ19" s="33"/>
      <c r="DR19" s="33"/>
      <c r="DS19" s="33"/>
      <c r="DT19" s="33"/>
      <c r="DU19" s="33"/>
      <c r="DV19" s="33"/>
      <c r="DW19" s="33"/>
      <c r="DX19" s="33"/>
      <c r="DY19" s="33"/>
      <c r="DZ19" s="33"/>
      <c r="EA19" s="33"/>
      <c r="EB19" s="33"/>
      <c r="EC19" s="33"/>
      <c r="ED19" s="33"/>
      <c r="EE19" s="33"/>
      <c r="EF19" s="33"/>
      <c r="EG19" s="33"/>
      <c r="EH19" s="33"/>
      <c r="EI19" s="33"/>
      <c r="EJ19" s="33"/>
      <c r="EK19" s="33"/>
      <c r="EL19" s="33"/>
      <c r="EM19" s="33"/>
      <c r="EN19" s="33"/>
      <c r="EO19" s="33"/>
      <c r="EP19" s="33"/>
      <c r="EQ19" s="33"/>
      <c r="ER19" s="33"/>
      <c r="ES19" s="33"/>
      <c r="ET19" s="33"/>
      <c r="EU19" s="33"/>
      <c r="EV19" s="33"/>
      <c r="EW19" s="33"/>
      <c r="EX19" s="33"/>
      <c r="EY19" s="33"/>
      <c r="EZ19" s="33"/>
      <c r="FA19" s="33"/>
      <c r="FB19" s="33"/>
      <c r="FC19" s="33"/>
      <c r="FD19" s="33"/>
    </row>
    <row r="20" spans="2:160" ht="19.5" customHeight="1">
      <c r="B20" s="12"/>
      <c r="C20" s="604"/>
      <c r="D20" s="26"/>
      <c r="E20" s="702"/>
      <c r="F20" s="701"/>
      <c r="G20" s="605"/>
      <c r="H20" s="917"/>
      <c r="I20" s="917"/>
      <c r="J20" s="917"/>
      <c r="K20" s="917"/>
      <c r="M20" s="428"/>
      <c r="N20" s="429"/>
      <c r="O20" s="429"/>
      <c r="P20" s="430"/>
      <c r="Q20" s="431"/>
      <c r="R20" s="432"/>
      <c r="S20" s="433"/>
      <c r="T20" s="434"/>
      <c r="U20" s="440"/>
      <c r="V20" s="570"/>
      <c r="W20" s="442"/>
      <c r="X20" s="43"/>
      <c r="Y20" s="43"/>
      <c r="Z20" s="462"/>
      <c r="AA20" s="1"/>
      <c r="AB20" s="479"/>
      <c r="AC20" s="479"/>
      <c r="AD20" s="500"/>
      <c r="AE20" s="500"/>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33"/>
      <c r="CG20" s="33"/>
      <c r="CH20" s="33"/>
      <c r="CI20" s="33"/>
      <c r="CJ20" s="33"/>
      <c r="CK20" s="33"/>
      <c r="CL20" s="33"/>
      <c r="CM20" s="33"/>
      <c r="CN20" s="33"/>
      <c r="CO20" s="33"/>
      <c r="CP20" s="33"/>
      <c r="CQ20" s="33"/>
      <c r="CR20" s="33"/>
      <c r="CS20" s="33"/>
      <c r="CT20" s="33"/>
      <c r="CU20" s="33"/>
      <c r="CV20" s="33"/>
      <c r="CW20" s="33"/>
      <c r="CX20" s="33"/>
      <c r="CY20" s="33"/>
      <c r="CZ20" s="33"/>
      <c r="DA20" s="33"/>
      <c r="DB20" s="33"/>
      <c r="DC20" s="33"/>
      <c r="DD20" s="33"/>
      <c r="DE20" s="33"/>
      <c r="DF20" s="33"/>
      <c r="DG20" s="33"/>
      <c r="DH20" s="33"/>
      <c r="DI20" s="33"/>
      <c r="DJ20" s="33"/>
      <c r="DK20" s="33"/>
      <c r="DL20" s="33"/>
      <c r="DM20" s="33"/>
      <c r="DN20" s="33"/>
      <c r="DO20" s="33"/>
      <c r="DP20" s="33"/>
      <c r="DQ20" s="33"/>
      <c r="DR20" s="33"/>
      <c r="DS20" s="33"/>
      <c r="DT20" s="33"/>
      <c r="DU20" s="33"/>
      <c r="DV20" s="33"/>
      <c r="DW20" s="33"/>
      <c r="DX20" s="33"/>
      <c r="DY20" s="33"/>
      <c r="DZ20" s="33"/>
      <c r="EA20" s="33"/>
      <c r="EB20" s="33"/>
      <c r="EC20" s="33"/>
      <c r="ED20" s="33"/>
      <c r="EE20" s="33"/>
      <c r="EF20" s="33"/>
      <c r="EG20" s="33"/>
      <c r="EH20" s="33"/>
      <c r="EI20" s="33"/>
      <c r="EJ20" s="33"/>
      <c r="EK20" s="33"/>
      <c r="EL20" s="33"/>
      <c r="EM20" s="33"/>
      <c r="EN20" s="33"/>
      <c r="EO20" s="33"/>
      <c r="EP20" s="33"/>
      <c r="EQ20" s="33"/>
      <c r="ER20" s="33"/>
      <c r="ES20" s="33"/>
      <c r="ET20" s="33"/>
      <c r="EU20" s="33"/>
      <c r="EV20" s="33"/>
      <c r="EW20" s="33"/>
      <c r="EX20" s="33"/>
      <c r="EY20" s="33"/>
      <c r="EZ20" s="33"/>
      <c r="FA20" s="33"/>
      <c r="FB20" s="33"/>
      <c r="FC20" s="33"/>
      <c r="FD20" s="33"/>
    </row>
    <row r="21" spans="2:160" ht="19.5" customHeight="1">
      <c r="B21" s="12"/>
      <c r="C21" s="604"/>
      <c r="D21" s="26"/>
      <c r="E21" s="702"/>
      <c r="F21" s="701"/>
      <c r="G21" s="605"/>
      <c r="H21" s="917"/>
      <c r="I21" s="917"/>
      <c r="J21" s="917"/>
      <c r="K21" s="917"/>
      <c r="M21" s="428"/>
      <c r="N21" s="429"/>
      <c r="O21" s="429"/>
      <c r="P21" s="430"/>
      <c r="Q21" s="431"/>
      <c r="R21" s="432"/>
      <c r="S21" s="433"/>
      <c r="T21" s="434"/>
      <c r="U21" s="440"/>
      <c r="V21" s="570"/>
      <c r="W21" s="442"/>
      <c r="X21" s="43"/>
      <c r="Y21" s="43"/>
      <c r="Z21" s="462"/>
      <c r="AA21" s="1"/>
      <c r="AB21" s="479"/>
      <c r="AC21" s="479"/>
      <c r="AD21" s="500"/>
      <c r="AE21" s="500"/>
    </row>
    <row r="22" spans="2:160" ht="19.5" customHeight="1">
      <c r="B22" s="12"/>
      <c r="C22" s="604"/>
      <c r="D22" s="26"/>
      <c r="E22" s="702"/>
      <c r="F22" s="701"/>
      <c r="G22" s="605"/>
      <c r="H22" s="917"/>
      <c r="I22" s="917"/>
      <c r="J22" s="917"/>
      <c r="K22" s="917"/>
      <c r="M22" s="428"/>
      <c r="N22" s="429"/>
      <c r="O22" s="429"/>
      <c r="P22" s="430"/>
      <c r="Q22" s="431"/>
      <c r="R22" s="432"/>
      <c r="S22" s="433"/>
      <c r="T22" s="434"/>
      <c r="U22" s="440"/>
      <c r="V22" s="570"/>
      <c r="W22" s="442"/>
      <c r="X22" s="43"/>
      <c r="Y22" s="43"/>
      <c r="Z22" s="462"/>
      <c r="AA22" s="1"/>
      <c r="AB22" s="479"/>
      <c r="AC22" s="479"/>
      <c r="AD22" s="500"/>
      <c r="AE22" s="500"/>
    </row>
    <row r="23" spans="2:160" ht="19.5" customHeight="1">
      <c r="B23" s="12"/>
      <c r="C23" s="604"/>
      <c r="D23" s="26"/>
      <c r="E23" s="702"/>
      <c r="F23" s="701"/>
      <c r="G23" s="605"/>
      <c r="H23" s="917"/>
      <c r="I23" s="917"/>
      <c r="J23" s="917"/>
      <c r="K23" s="917"/>
      <c r="M23" s="428"/>
      <c r="N23" s="429"/>
      <c r="O23" s="429"/>
      <c r="P23" s="430"/>
      <c r="Q23" s="431"/>
      <c r="R23" s="432"/>
      <c r="S23" s="433"/>
      <c r="T23" s="434"/>
      <c r="U23" s="440"/>
      <c r="V23" s="570"/>
      <c r="W23" s="442"/>
      <c r="X23" s="43"/>
      <c r="Y23" s="43"/>
      <c r="Z23" s="462"/>
      <c r="AA23" s="1"/>
      <c r="AB23" s="479"/>
      <c r="AC23" s="479"/>
      <c r="AD23" s="500"/>
      <c r="AE23" s="500"/>
    </row>
    <row r="24" spans="2:160" ht="19.5" customHeight="1">
      <c r="B24" s="12"/>
      <c r="C24" s="604"/>
      <c r="D24" s="26"/>
      <c r="E24" s="702"/>
      <c r="F24" s="701"/>
      <c r="G24" s="605"/>
      <c r="H24" s="917"/>
      <c r="I24" s="917"/>
      <c r="J24" s="917"/>
      <c r="K24" s="917"/>
      <c r="M24" s="428"/>
      <c r="N24" s="429"/>
      <c r="O24" s="429"/>
      <c r="P24" s="430"/>
      <c r="Q24" s="431"/>
      <c r="R24" s="432"/>
      <c r="S24" s="433"/>
      <c r="T24" s="434"/>
      <c r="U24" s="440"/>
      <c r="V24" s="570"/>
      <c r="W24" s="442"/>
      <c r="X24" s="43"/>
      <c r="Y24" s="43"/>
      <c r="Z24" s="462"/>
      <c r="AA24" s="1"/>
      <c r="AB24" s="479"/>
      <c r="AC24" s="479"/>
      <c r="AD24" s="500"/>
      <c r="AE24" s="500"/>
    </row>
    <row r="25" spans="2:160" ht="19.5" customHeight="1">
      <c r="B25" s="12"/>
      <c r="C25" s="604"/>
      <c r="D25" s="26"/>
      <c r="E25" s="702"/>
      <c r="F25" s="701"/>
      <c r="G25" s="605"/>
      <c r="H25" s="917"/>
      <c r="I25" s="917"/>
      <c r="J25" s="917"/>
      <c r="K25" s="917"/>
      <c r="M25" s="428"/>
      <c r="N25" s="429"/>
      <c r="O25" s="429"/>
      <c r="P25" s="430"/>
      <c r="Q25" s="431"/>
      <c r="R25" s="432"/>
      <c r="S25" s="433"/>
      <c r="T25" s="434"/>
      <c r="U25" s="440"/>
      <c r="V25" s="570"/>
      <c r="W25" s="442"/>
      <c r="X25" s="43"/>
      <c r="Y25" s="43"/>
      <c r="Z25" s="462"/>
      <c r="AA25" s="1"/>
      <c r="AB25" s="479"/>
      <c r="AC25" s="479"/>
      <c r="AD25" s="500"/>
      <c r="AE25" s="500"/>
    </row>
    <row r="26" spans="2:160" ht="19.5" customHeight="1">
      <c r="B26" s="12"/>
      <c r="C26" s="604"/>
      <c r="D26" s="26"/>
      <c r="E26" s="702"/>
      <c r="F26" s="701"/>
      <c r="G26" s="605"/>
      <c r="H26" s="917"/>
      <c r="I26" s="917"/>
      <c r="J26" s="917"/>
      <c r="K26" s="917"/>
      <c r="M26" s="428"/>
      <c r="N26" s="429"/>
      <c r="O26" s="429"/>
      <c r="P26" s="430"/>
      <c r="Q26" s="431"/>
      <c r="R26" s="432"/>
      <c r="S26" s="433"/>
      <c r="T26" s="434"/>
      <c r="U26" s="440"/>
      <c r="V26" s="570"/>
      <c r="W26" s="442"/>
      <c r="X26" s="43"/>
      <c r="Y26" s="43"/>
      <c r="Z26" s="462"/>
      <c r="AA26" s="1"/>
      <c r="AB26" s="479"/>
      <c r="AC26" s="479"/>
      <c r="AD26" s="500"/>
      <c r="AE26" s="500"/>
    </row>
    <row r="27" spans="2:160" ht="19.5" customHeight="1">
      <c r="B27" s="12"/>
      <c r="C27" s="604"/>
      <c r="D27" s="26"/>
      <c r="E27" s="702"/>
      <c r="F27" s="701"/>
      <c r="G27" s="605"/>
      <c r="H27" s="917"/>
      <c r="I27" s="917"/>
      <c r="J27" s="917"/>
      <c r="K27" s="917"/>
      <c r="M27" s="428"/>
      <c r="N27" s="429"/>
      <c r="O27" s="429"/>
      <c r="P27" s="430"/>
      <c r="Q27" s="431"/>
      <c r="R27" s="432"/>
      <c r="S27" s="433"/>
      <c r="T27" s="434"/>
      <c r="U27" s="440"/>
      <c r="V27" s="570"/>
      <c r="W27" s="442"/>
      <c r="X27" s="43"/>
      <c r="Y27" s="43"/>
      <c r="Z27" s="462"/>
      <c r="AA27" s="1"/>
      <c r="AB27" s="479"/>
      <c r="AC27" s="479"/>
      <c r="AD27" s="500"/>
      <c r="AE27" s="500"/>
    </row>
    <row r="28" spans="2:160" ht="19.5" customHeight="1">
      <c r="B28" s="12"/>
      <c r="C28" s="604"/>
      <c r="D28" s="26"/>
      <c r="E28" s="702"/>
      <c r="F28" s="701"/>
      <c r="G28" s="605"/>
      <c r="H28" s="917"/>
      <c r="I28" s="917"/>
      <c r="J28" s="917"/>
      <c r="K28" s="917"/>
      <c r="M28" s="428"/>
      <c r="N28" s="429"/>
      <c r="O28" s="429"/>
      <c r="P28" s="430"/>
      <c r="Q28" s="431"/>
      <c r="R28" s="432"/>
      <c r="S28" s="433"/>
      <c r="T28" s="434"/>
      <c r="U28" s="440"/>
      <c r="V28" s="570"/>
      <c r="W28" s="442"/>
      <c r="X28" s="43"/>
      <c r="Y28" s="43"/>
      <c r="Z28" s="462"/>
      <c r="AA28" s="1"/>
      <c r="AB28" s="479"/>
      <c r="AC28" s="479"/>
      <c r="AD28" s="500"/>
      <c r="AE28" s="500"/>
    </row>
    <row r="29" spans="2:160" ht="19.5" customHeight="1">
      <c r="B29" s="12"/>
      <c r="C29" s="604"/>
      <c r="D29" s="26"/>
      <c r="E29" s="702"/>
      <c r="F29" s="701"/>
      <c r="G29" s="605"/>
      <c r="H29" s="917"/>
      <c r="I29" s="917"/>
      <c r="J29" s="917"/>
      <c r="K29" s="917"/>
      <c r="M29" s="428"/>
      <c r="N29" s="429"/>
      <c r="O29" s="429"/>
      <c r="P29" s="430"/>
      <c r="Q29" s="431"/>
      <c r="R29" s="432"/>
      <c r="S29" s="433"/>
      <c r="T29" s="434"/>
      <c r="U29" s="440"/>
      <c r="V29" s="570"/>
      <c r="W29" s="442"/>
      <c r="X29" s="43"/>
      <c r="Y29" s="43"/>
      <c r="Z29" s="462"/>
      <c r="AA29" s="1"/>
      <c r="AB29" s="479"/>
      <c r="AC29" s="479"/>
      <c r="AD29" s="500"/>
      <c r="AE29" s="500"/>
    </row>
    <row r="30" spans="2:160" ht="19.5" customHeight="1">
      <c r="B30" s="12"/>
      <c r="C30" s="604"/>
      <c r="D30" s="26"/>
      <c r="E30" s="702"/>
      <c r="F30" s="701"/>
      <c r="G30" s="605"/>
      <c r="H30" s="917"/>
      <c r="I30" s="917"/>
      <c r="J30" s="917"/>
      <c r="K30" s="917"/>
      <c r="M30" s="428"/>
      <c r="N30" s="429"/>
      <c r="O30" s="429"/>
      <c r="P30" s="430"/>
      <c r="Q30" s="431"/>
      <c r="R30" s="432"/>
      <c r="S30" s="433"/>
      <c r="T30" s="434"/>
      <c r="U30" s="440"/>
      <c r="V30" s="570"/>
      <c r="W30" s="442"/>
      <c r="X30" s="43"/>
      <c r="Y30" s="43"/>
      <c r="Z30" s="462"/>
      <c r="AA30" s="1"/>
      <c r="AB30" s="479"/>
      <c r="AC30" s="479"/>
      <c r="AD30" s="500"/>
      <c r="AE30" s="500"/>
    </row>
    <row r="31" spans="2:160" ht="19.5" customHeight="1">
      <c r="B31" s="12"/>
      <c r="C31" s="12"/>
      <c r="D31" s="12"/>
      <c r="E31" s="603"/>
      <c r="F31" s="588"/>
      <c r="M31" s="428"/>
      <c r="N31" s="429"/>
      <c r="O31" s="429"/>
      <c r="P31" s="430"/>
      <c r="Q31" s="431"/>
      <c r="R31" s="432"/>
      <c r="S31" s="433"/>
      <c r="T31" s="434"/>
      <c r="U31" s="440"/>
      <c r="V31" s="570"/>
      <c r="W31" s="442"/>
      <c r="X31" s="43"/>
      <c r="Y31" s="43"/>
      <c r="Z31" s="462"/>
      <c r="AA31" s="1"/>
      <c r="AB31" s="479"/>
      <c r="AC31" s="479"/>
      <c r="AD31" s="500"/>
      <c r="AE31" s="500"/>
    </row>
    <row r="32" spans="2:160" ht="19.5" customHeight="1">
      <c r="B32" s="12"/>
      <c r="C32" s="27"/>
      <c r="D32" s="27"/>
      <c r="E32" s="589"/>
      <c r="F32" s="589"/>
      <c r="M32" s="428"/>
      <c r="N32" s="429"/>
      <c r="O32" s="429"/>
      <c r="P32" s="430"/>
      <c r="Q32" s="431"/>
      <c r="R32" s="432"/>
      <c r="S32" s="433"/>
      <c r="T32" s="434"/>
      <c r="U32" s="440"/>
      <c r="V32" s="570"/>
      <c r="W32" s="442"/>
      <c r="X32" s="43"/>
      <c r="Y32" s="43"/>
      <c r="Z32" s="462"/>
      <c r="AA32" s="1"/>
      <c r="AB32" s="479"/>
      <c r="AC32" s="479"/>
      <c r="AD32" s="500"/>
      <c r="AE32" s="500"/>
    </row>
    <row r="33" spans="1:31" ht="19.5" customHeight="1">
      <c r="M33" s="428"/>
      <c r="N33" s="429"/>
      <c r="O33" s="429"/>
      <c r="P33" s="430"/>
      <c r="Q33" s="431"/>
      <c r="R33" s="432"/>
      <c r="S33" s="433"/>
      <c r="T33" s="434"/>
      <c r="U33" s="440"/>
      <c r="V33" s="570"/>
      <c r="W33" s="442"/>
      <c r="X33" s="43"/>
      <c r="Y33" s="43"/>
      <c r="Z33" s="462"/>
      <c r="AA33" s="1"/>
      <c r="AB33" s="479"/>
      <c r="AC33" s="479"/>
      <c r="AD33" s="500"/>
      <c r="AE33" s="500"/>
    </row>
    <row r="34" spans="1:31" ht="19.5" customHeight="1">
      <c r="M34" s="428"/>
      <c r="N34" s="429"/>
      <c r="O34" s="429"/>
      <c r="P34" s="430"/>
      <c r="Q34" s="431"/>
      <c r="R34" s="432"/>
      <c r="S34" s="433"/>
      <c r="T34" s="434"/>
      <c r="U34" s="440"/>
      <c r="V34" s="570"/>
      <c r="W34" s="442"/>
      <c r="X34" s="43"/>
      <c r="Y34" s="43"/>
      <c r="Z34" s="462"/>
      <c r="AA34" s="1"/>
      <c r="AB34" s="479"/>
      <c r="AC34" s="479"/>
      <c r="AD34" s="500"/>
      <c r="AE34" s="500"/>
    </row>
    <row r="35" spans="1:31" ht="19.5" customHeight="1">
      <c r="M35" s="428"/>
      <c r="N35" s="429"/>
      <c r="O35" s="429"/>
      <c r="P35" s="430"/>
      <c r="Q35" s="431"/>
      <c r="R35" s="432"/>
      <c r="S35" s="433"/>
      <c r="T35" s="434"/>
      <c r="U35" s="440"/>
      <c r="V35" s="570"/>
      <c r="W35" s="442"/>
      <c r="X35" s="43"/>
      <c r="Y35" s="43"/>
      <c r="Z35" s="462"/>
      <c r="AA35" s="1"/>
      <c r="AB35" s="479"/>
      <c r="AC35" s="479"/>
      <c r="AD35" s="500"/>
      <c r="AE35" s="500"/>
    </row>
    <row r="36" spans="1:31" ht="19.5" customHeight="1">
      <c r="A36" s="459" t="s">
        <v>2117</v>
      </c>
      <c r="B36" s="496" t="s">
        <v>2188</v>
      </c>
      <c r="C36" s="12" t="s">
        <v>2015</v>
      </c>
      <c r="D36" s="496" t="s">
        <v>2108</v>
      </c>
      <c r="E36" s="12" t="s">
        <v>2109</v>
      </c>
      <c r="M36" s="428"/>
      <c r="N36" s="429"/>
      <c r="O36" s="429"/>
      <c r="P36" s="430"/>
      <c r="Q36" s="431"/>
      <c r="R36" s="432"/>
      <c r="S36" s="433"/>
      <c r="T36" s="434"/>
      <c r="U36" s="440"/>
      <c r="V36" s="570"/>
      <c r="W36" s="442"/>
      <c r="X36" s="43"/>
      <c r="Y36" s="43"/>
      <c r="Z36" s="462"/>
      <c r="AA36" s="1"/>
      <c r="AB36" s="479"/>
      <c r="AC36" s="479"/>
      <c r="AD36" s="500"/>
      <c r="AE36" s="500"/>
    </row>
    <row r="37" spans="1:31" ht="19.5" customHeight="1">
      <c r="A37" s="459" t="s">
        <v>2172</v>
      </c>
      <c r="B37" s="495" t="s">
        <v>1993</v>
      </c>
      <c r="C37" s="12">
        <v>1</v>
      </c>
      <c r="D37" s="12">
        <f>庫存管理!G12</f>
        <v>30</v>
      </c>
      <c r="E37" s="12">
        <f>庫存管理!H12</f>
        <v>32.481000000000002</v>
      </c>
      <c r="M37" s="428"/>
      <c r="N37" s="429"/>
      <c r="O37" s="429"/>
      <c r="P37" s="430"/>
      <c r="Q37" s="431"/>
      <c r="R37" s="432"/>
      <c r="S37" s="433"/>
      <c r="T37" s="434"/>
      <c r="U37" s="440"/>
      <c r="V37" s="570"/>
      <c r="W37" s="442"/>
      <c r="X37" s="43"/>
      <c r="Y37" s="43"/>
      <c r="Z37" s="462"/>
      <c r="AA37" s="1"/>
      <c r="AB37" s="479"/>
      <c r="AC37" s="479"/>
      <c r="AD37" s="500"/>
      <c r="AE37" s="500"/>
    </row>
    <row r="38" spans="1:31" ht="19.5" customHeight="1">
      <c r="A38" s="459" t="s">
        <v>2173</v>
      </c>
      <c r="B38" s="495" t="s">
        <v>1994</v>
      </c>
      <c r="C38" s="12">
        <v>2</v>
      </c>
      <c r="D38" s="12">
        <f>庫存管理!G13</f>
        <v>4.1333000000000002</v>
      </c>
      <c r="E38" s="12">
        <f>庫存管理!H13</f>
        <v>4.4691000000000001</v>
      </c>
      <c r="M38" s="18"/>
      <c r="N38" s="19"/>
      <c r="O38" s="19"/>
      <c r="P38" s="20"/>
      <c r="Q38" s="22"/>
      <c r="R38" s="22"/>
      <c r="S38" s="22"/>
      <c r="T38" s="22"/>
      <c r="U38" s="22"/>
      <c r="V38" s="571"/>
      <c r="W38" s="22"/>
      <c r="X38" s="22"/>
      <c r="Y38" s="22"/>
      <c r="Z38" s="485"/>
      <c r="AA38" s="449"/>
    </row>
    <row r="39" spans="1:31" ht="19.5" customHeight="1">
      <c r="A39" s="459" t="s">
        <v>2174</v>
      </c>
      <c r="B39" s="495" t="s">
        <v>530</v>
      </c>
      <c r="C39" s="12">
        <v>3</v>
      </c>
      <c r="D39" s="12">
        <f>庫存管理!G14</f>
        <v>1.6482000000000001</v>
      </c>
      <c r="E39" s="12">
        <f>庫存管理!H14</f>
        <v>1.7963</v>
      </c>
      <c r="M39" s="18"/>
      <c r="N39" s="19"/>
      <c r="O39" s="19"/>
      <c r="P39" s="20"/>
      <c r="Q39" s="22"/>
      <c r="R39" s="22"/>
      <c r="S39" s="22"/>
      <c r="T39" s="22"/>
      <c r="U39" s="22"/>
      <c r="V39" s="571"/>
      <c r="W39" s="22"/>
      <c r="X39" s="22"/>
      <c r="Y39" s="22"/>
      <c r="Z39" s="485"/>
      <c r="AA39" s="449"/>
    </row>
    <row r="40" spans="1:31" ht="19.5" customHeight="1">
      <c r="A40" s="459" t="s">
        <v>2175</v>
      </c>
      <c r="B40" s="495" t="s">
        <v>534</v>
      </c>
      <c r="C40" s="12">
        <v>4</v>
      </c>
      <c r="D40" s="12">
        <f>庫存管理!G15</f>
        <v>20.780999999999999</v>
      </c>
      <c r="E40" s="12">
        <f>庫存管理!H15</f>
        <v>21.670999999999999</v>
      </c>
      <c r="M40" s="18"/>
      <c r="N40" s="19"/>
      <c r="O40" s="19"/>
      <c r="P40" s="20"/>
      <c r="Q40" s="22"/>
      <c r="R40" s="22"/>
      <c r="S40" s="22"/>
      <c r="T40" s="22"/>
      <c r="U40" s="22"/>
      <c r="V40" s="571"/>
      <c r="W40" s="22"/>
      <c r="X40" s="22"/>
      <c r="Y40" s="22"/>
      <c r="Z40" s="485"/>
      <c r="AA40" s="449"/>
    </row>
    <row r="41" spans="1:31" ht="19.5" customHeight="1">
      <c r="A41" s="459" t="s">
        <v>2176</v>
      </c>
      <c r="B41" s="495" t="s">
        <v>533</v>
      </c>
      <c r="C41" s="12">
        <v>5</v>
      </c>
      <c r="D41" s="12">
        <f>庫存管理!G16</f>
        <v>22.942900000000002</v>
      </c>
      <c r="E41" s="12">
        <f>庫存管理!H16</f>
        <v>23.761500000000002</v>
      </c>
      <c r="M41" s="18"/>
      <c r="N41" s="19"/>
      <c r="O41" s="19"/>
      <c r="P41" s="20"/>
      <c r="Q41" s="22"/>
      <c r="R41" s="22"/>
      <c r="S41" s="22"/>
      <c r="T41" s="22"/>
      <c r="U41" s="22"/>
      <c r="V41" s="571"/>
      <c r="W41" s="22"/>
      <c r="X41" s="22"/>
      <c r="Y41" s="22"/>
      <c r="Z41" s="485"/>
      <c r="AA41" s="449"/>
    </row>
    <row r="42" spans="1:31" ht="19.5" customHeight="1">
      <c r="A42" s="459" t="s">
        <v>2177</v>
      </c>
      <c r="B42" s="495" t="s">
        <v>531</v>
      </c>
      <c r="C42" s="12">
        <v>6</v>
      </c>
      <c r="D42" s="12">
        <f>庫存管理!G17</f>
        <v>19.486899999999999</v>
      </c>
      <c r="E42" s="12">
        <f>庫存管理!H17</f>
        <v>19.813199999999998</v>
      </c>
      <c r="M42" s="18"/>
      <c r="N42" s="19"/>
      <c r="O42" s="19"/>
      <c r="P42" s="20"/>
      <c r="Q42" s="22"/>
      <c r="R42" s="22"/>
      <c r="S42" s="22"/>
      <c r="T42" s="22"/>
      <c r="U42" s="22"/>
      <c r="V42" s="571"/>
      <c r="W42" s="22"/>
      <c r="X42" s="22"/>
      <c r="Y42" s="22"/>
      <c r="Z42" s="485"/>
      <c r="AA42" s="449"/>
    </row>
    <row r="43" spans="1:31" ht="19.5" customHeight="1">
      <c r="A43" s="459" t="s">
        <v>2178</v>
      </c>
      <c r="B43" s="495" t="s">
        <v>532</v>
      </c>
      <c r="C43" s="12">
        <v>7</v>
      </c>
      <c r="D43" s="12">
        <f>庫存管理!G18</f>
        <v>33.7042</v>
      </c>
      <c r="E43" s="12">
        <f>庫存管理!H18</f>
        <v>34.927900000000001</v>
      </c>
      <c r="M43" s="18"/>
      <c r="N43" s="19"/>
      <c r="O43" s="19"/>
      <c r="P43" s="20"/>
      <c r="Q43" s="22"/>
      <c r="R43" s="22"/>
      <c r="S43" s="22"/>
      <c r="T43" s="22"/>
      <c r="U43" s="22"/>
      <c r="V43" s="571"/>
      <c r="W43" s="22"/>
      <c r="X43" s="22"/>
      <c r="Y43" s="22"/>
      <c r="Z43" s="485"/>
      <c r="AA43" s="449"/>
    </row>
    <row r="44" spans="1:31" ht="19.5" customHeight="1">
      <c r="B44" s="684" t="s">
        <v>2189</v>
      </c>
      <c r="M44" s="18"/>
      <c r="N44" s="19"/>
      <c r="O44" s="19"/>
      <c r="P44" s="20"/>
      <c r="Q44" s="22"/>
      <c r="R44" s="22"/>
      <c r="S44" s="22"/>
      <c r="T44" s="22"/>
      <c r="U44" s="22"/>
      <c r="V44" s="571"/>
      <c r="W44" s="22"/>
      <c r="X44" s="22"/>
      <c r="Y44" s="22"/>
      <c r="Z44" s="485"/>
      <c r="AA44" s="449"/>
    </row>
    <row r="45" spans="1:31" ht="19.5" customHeight="1">
      <c r="M45" s="18"/>
      <c r="N45" s="19"/>
      <c r="O45" s="19"/>
      <c r="P45" s="20"/>
      <c r="Q45" s="22"/>
      <c r="R45" s="22"/>
      <c r="S45" s="22"/>
      <c r="T45" s="22"/>
      <c r="U45" s="22"/>
      <c r="V45" s="571"/>
      <c r="W45" s="22"/>
      <c r="X45" s="22"/>
      <c r="Y45" s="22"/>
      <c r="Z45" s="485"/>
      <c r="AA45" s="449"/>
    </row>
    <row r="46" spans="1:31" ht="19.5" customHeight="1">
      <c r="M46" s="18"/>
      <c r="N46" s="19"/>
      <c r="O46" s="19"/>
      <c r="P46" s="20"/>
      <c r="Q46" s="22"/>
      <c r="R46" s="22"/>
      <c r="S46" s="22"/>
      <c r="T46" s="22"/>
      <c r="U46" s="22"/>
      <c r="V46" s="571"/>
      <c r="W46" s="22"/>
      <c r="X46" s="22"/>
      <c r="Y46" s="22"/>
      <c r="Z46" s="485"/>
      <c r="AA46" s="449"/>
    </row>
    <row r="47" spans="1:31" ht="19.5" customHeight="1">
      <c r="M47" s="18"/>
      <c r="N47" s="19"/>
      <c r="O47" s="19"/>
      <c r="P47" s="20"/>
      <c r="Q47" s="22"/>
      <c r="R47" s="22"/>
      <c r="S47" s="22"/>
      <c r="T47" s="22"/>
      <c r="U47" s="22"/>
      <c r="V47" s="571"/>
      <c r="W47" s="22"/>
      <c r="X47" s="22"/>
      <c r="Y47" s="22"/>
      <c r="Z47" s="485"/>
      <c r="AA47" s="449"/>
    </row>
    <row r="48" spans="1:31" ht="19.5" customHeight="1">
      <c r="B48" s="28"/>
      <c r="M48" s="18"/>
      <c r="N48" s="19"/>
      <c r="O48" s="19"/>
      <c r="P48" s="20"/>
      <c r="Q48" s="22"/>
      <c r="R48" s="22"/>
      <c r="S48" s="22"/>
      <c r="T48" s="22"/>
      <c r="U48" s="22"/>
      <c r="V48" s="571"/>
      <c r="W48" s="22"/>
      <c r="X48" s="22"/>
      <c r="Y48" s="22"/>
      <c r="Z48" s="485"/>
      <c r="AA48" s="449"/>
    </row>
    <row r="49" spans="2:27" ht="19.5" customHeight="1">
      <c r="B49" s="435"/>
      <c r="C49" s="435"/>
      <c r="D49" s="435"/>
      <c r="E49" s="435"/>
      <c r="M49" s="18"/>
      <c r="N49" s="19"/>
      <c r="O49" s="19"/>
      <c r="P49" s="20"/>
      <c r="Q49" s="22"/>
      <c r="R49" s="22"/>
      <c r="S49" s="22"/>
      <c r="T49" s="22"/>
      <c r="U49" s="22"/>
      <c r="V49" s="571"/>
      <c r="W49" s="22"/>
      <c r="X49" s="22"/>
      <c r="Y49" s="22"/>
      <c r="Z49" s="485"/>
      <c r="AA49" s="449"/>
    </row>
    <row r="50" spans="2:27" ht="19.5" customHeight="1">
      <c r="B50" s="502"/>
      <c r="C50" s="502"/>
      <c r="D50" s="504"/>
      <c r="E50" s="504"/>
      <c r="M50" s="18"/>
      <c r="N50" s="19"/>
      <c r="O50" s="19"/>
      <c r="P50" s="20"/>
      <c r="Q50" s="22"/>
      <c r="R50" s="22"/>
      <c r="S50" s="22"/>
      <c r="T50" s="22"/>
      <c r="U50" s="22"/>
      <c r="V50" s="571"/>
      <c r="W50" s="22"/>
      <c r="X50" s="22"/>
      <c r="Y50" s="22"/>
      <c r="Z50" s="485"/>
      <c r="AA50" s="449"/>
    </row>
    <row r="51" spans="2:27" ht="19.5" customHeight="1">
      <c r="B51" s="502"/>
      <c r="C51" s="502"/>
      <c r="D51" s="504"/>
      <c r="E51" s="504"/>
      <c r="M51" s="18"/>
      <c r="N51" s="19"/>
      <c r="O51" s="19"/>
      <c r="P51" s="20"/>
      <c r="Q51" s="22"/>
      <c r="R51" s="22"/>
      <c r="S51" s="22"/>
      <c r="T51" s="22"/>
      <c r="U51" s="22"/>
      <c r="V51" s="571"/>
      <c r="W51" s="22"/>
      <c r="X51" s="22"/>
      <c r="Y51" s="22"/>
      <c r="Z51" s="485"/>
      <c r="AA51" s="449"/>
    </row>
    <row r="52" spans="2:27" ht="19.5" customHeight="1">
      <c r="B52" s="502"/>
      <c r="C52" s="502"/>
      <c r="D52" s="504"/>
      <c r="E52" s="504"/>
      <c r="M52" s="18"/>
      <c r="N52" s="19"/>
      <c r="O52" s="19"/>
      <c r="P52" s="20"/>
      <c r="Q52" s="22"/>
      <c r="R52" s="22"/>
      <c r="S52" s="22"/>
      <c r="T52" s="22"/>
      <c r="U52" s="22"/>
      <c r="V52" s="571"/>
      <c r="W52" s="22"/>
      <c r="X52" s="22"/>
      <c r="Y52" s="22"/>
      <c r="Z52" s="485"/>
      <c r="AA52" s="449"/>
    </row>
    <row r="53" spans="2:27" ht="19.5" customHeight="1">
      <c r="B53" s="502"/>
      <c r="C53" s="502"/>
      <c r="D53" s="504"/>
      <c r="E53" s="504"/>
      <c r="M53" s="18"/>
      <c r="N53" s="19"/>
      <c r="O53" s="19"/>
      <c r="P53" s="20"/>
      <c r="Q53" s="22"/>
      <c r="R53" s="22"/>
      <c r="S53" s="22"/>
      <c r="T53" s="22"/>
      <c r="U53" s="22"/>
      <c r="V53" s="571"/>
      <c r="W53" s="22"/>
      <c r="X53" s="22"/>
      <c r="Y53" s="22"/>
      <c r="Z53" s="485"/>
      <c r="AA53" s="449"/>
    </row>
    <row r="54" spans="2:27" ht="19.5" customHeight="1">
      <c r="B54" s="502"/>
      <c r="C54" s="502"/>
      <c r="D54" s="504"/>
      <c r="E54" s="504"/>
      <c r="M54" s="18"/>
      <c r="N54" s="19"/>
      <c r="O54" s="19"/>
      <c r="P54" s="20"/>
      <c r="Q54" s="22"/>
      <c r="R54" s="22"/>
      <c r="S54" s="22"/>
      <c r="T54" s="22"/>
      <c r="U54" s="22"/>
      <c r="V54" s="571"/>
      <c r="W54" s="22"/>
      <c r="X54" s="22"/>
      <c r="Y54" s="22"/>
      <c r="Z54" s="485"/>
      <c r="AA54" s="449"/>
    </row>
    <row r="55" spans="2:27" ht="19.5" customHeight="1">
      <c r="B55" s="502"/>
      <c r="C55" s="502"/>
      <c r="D55" s="504"/>
      <c r="E55" s="504"/>
      <c r="M55" s="18"/>
      <c r="N55" s="19"/>
      <c r="O55" s="19"/>
      <c r="P55" s="20"/>
      <c r="Q55" s="22"/>
      <c r="R55" s="22"/>
      <c r="S55" s="22"/>
      <c r="T55" s="22"/>
      <c r="U55" s="22"/>
      <c r="V55" s="571"/>
      <c r="W55" s="22"/>
      <c r="X55" s="22"/>
      <c r="Y55" s="22"/>
      <c r="Z55" s="485"/>
      <c r="AA55" s="449"/>
    </row>
    <row r="56" spans="2:27" ht="19.5" customHeight="1">
      <c r="B56" s="502"/>
      <c r="C56" s="502"/>
      <c r="D56" s="504"/>
      <c r="E56" s="504"/>
      <c r="M56" s="18"/>
      <c r="N56" s="19"/>
      <c r="O56" s="19"/>
      <c r="P56" s="20"/>
      <c r="Q56" s="22"/>
      <c r="R56" s="22"/>
      <c r="S56" s="22"/>
      <c r="T56" s="22"/>
      <c r="U56" s="22"/>
      <c r="V56" s="571"/>
      <c r="W56" s="22"/>
      <c r="X56" s="22"/>
      <c r="Y56" s="22"/>
      <c r="Z56" s="485"/>
      <c r="AA56" s="449"/>
    </row>
    <row r="57" spans="2:27" ht="19.5" customHeight="1">
      <c r="B57" s="502"/>
      <c r="C57" s="502"/>
      <c r="D57" s="504"/>
      <c r="E57" s="504"/>
      <c r="M57" s="18"/>
      <c r="N57" s="19"/>
      <c r="O57" s="19"/>
      <c r="P57" s="20"/>
      <c r="Q57" s="22"/>
      <c r="R57" s="22"/>
      <c r="S57" s="22"/>
      <c r="T57" s="22"/>
      <c r="U57" s="22"/>
      <c r="V57" s="571"/>
      <c r="W57" s="22"/>
      <c r="X57" s="22"/>
      <c r="Y57" s="22"/>
      <c r="Z57" s="485"/>
      <c r="AA57" s="449"/>
    </row>
    <row r="58" spans="2:27" ht="19.5" customHeight="1">
      <c r="B58" s="502"/>
      <c r="C58" s="502"/>
      <c r="D58" s="504"/>
      <c r="E58" s="504"/>
      <c r="M58" s="18"/>
      <c r="N58" s="19"/>
      <c r="O58" s="19"/>
      <c r="P58" s="20"/>
      <c r="Q58" s="22"/>
      <c r="R58" s="22"/>
      <c r="S58" s="22"/>
      <c r="T58" s="22"/>
      <c r="U58" s="22"/>
      <c r="V58" s="571"/>
      <c r="W58" s="22"/>
      <c r="X58" s="22"/>
      <c r="Y58" s="22"/>
      <c r="Z58" s="485"/>
      <c r="AA58" s="449"/>
    </row>
    <row r="59" spans="2:27" ht="19.5" customHeight="1">
      <c r="B59" s="502"/>
      <c r="C59" s="502"/>
      <c r="D59" s="504"/>
      <c r="E59" s="504"/>
      <c r="M59" s="18"/>
      <c r="N59" s="19"/>
      <c r="O59" s="19"/>
      <c r="P59" s="20"/>
      <c r="Q59" s="22"/>
      <c r="R59" s="22"/>
      <c r="S59" s="22"/>
      <c r="T59" s="22"/>
      <c r="U59" s="22"/>
      <c r="V59" s="571"/>
      <c r="W59" s="22"/>
      <c r="X59" s="22"/>
      <c r="Y59" s="22"/>
      <c r="Z59" s="485"/>
      <c r="AA59" s="449"/>
    </row>
    <row r="60" spans="2:27" ht="19.5" customHeight="1">
      <c r="B60" s="502"/>
      <c r="C60" s="502"/>
      <c r="D60" s="504"/>
      <c r="E60" s="504"/>
      <c r="M60" s="18"/>
      <c r="N60" s="19"/>
      <c r="O60" s="19"/>
      <c r="P60" s="20"/>
      <c r="Q60" s="22"/>
      <c r="R60" s="22"/>
      <c r="S60" s="22"/>
      <c r="T60" s="22"/>
      <c r="U60" s="22"/>
      <c r="V60" s="571"/>
      <c r="W60" s="22"/>
      <c r="X60" s="22"/>
      <c r="Y60" s="22"/>
      <c r="Z60" s="485"/>
      <c r="AA60" s="449"/>
    </row>
    <row r="61" spans="2:27" ht="19.5" customHeight="1">
      <c r="B61" s="502"/>
      <c r="C61" s="502"/>
      <c r="D61" s="504"/>
      <c r="E61" s="504"/>
      <c r="M61" s="18"/>
      <c r="N61" s="19"/>
      <c r="O61" s="19"/>
      <c r="P61" s="20"/>
      <c r="Q61" s="22"/>
      <c r="R61" s="22"/>
      <c r="S61" s="22"/>
      <c r="T61" s="22"/>
      <c r="U61" s="22"/>
      <c r="V61" s="571"/>
      <c r="W61" s="22"/>
      <c r="X61" s="22"/>
      <c r="Y61" s="22"/>
      <c r="Z61" s="485"/>
      <c r="AA61" s="449"/>
    </row>
    <row r="62" spans="2:27" ht="19.5" customHeight="1">
      <c r="M62" s="18"/>
      <c r="N62" s="19"/>
      <c r="O62" s="19"/>
      <c r="P62" s="20"/>
      <c r="Q62" s="22"/>
      <c r="R62" s="22"/>
      <c r="S62" s="22"/>
      <c r="T62" s="22"/>
      <c r="U62" s="22"/>
      <c r="V62" s="571"/>
      <c r="W62" s="22"/>
      <c r="X62" s="22"/>
      <c r="Y62" s="22"/>
      <c r="Z62" s="485"/>
      <c r="AA62" s="449"/>
    </row>
    <row r="63" spans="2:27" ht="19.5" customHeight="1">
      <c r="M63" s="18"/>
      <c r="N63" s="19"/>
      <c r="O63" s="19"/>
      <c r="P63" s="20"/>
      <c r="Q63" s="22"/>
      <c r="R63" s="22"/>
      <c r="S63" s="22"/>
      <c r="T63" s="22"/>
      <c r="U63" s="22"/>
      <c r="V63" s="571"/>
      <c r="W63" s="22"/>
      <c r="X63" s="22"/>
      <c r="Y63" s="22"/>
      <c r="Z63" s="485"/>
      <c r="AA63" s="449"/>
    </row>
    <row r="64" spans="2:27" ht="19.5" customHeight="1">
      <c r="M64" s="18"/>
      <c r="N64" s="19"/>
      <c r="O64" s="19"/>
      <c r="P64" s="20"/>
      <c r="Q64" s="22"/>
      <c r="R64" s="22"/>
      <c r="S64" s="22"/>
      <c r="T64" s="22"/>
      <c r="U64" s="22"/>
      <c r="V64" s="571"/>
      <c r="W64" s="22"/>
      <c r="X64" s="22"/>
      <c r="Y64" s="22"/>
      <c r="Z64" s="485"/>
      <c r="AA64" s="449"/>
    </row>
    <row r="65" spans="2:27" ht="19.5" customHeight="1">
      <c r="M65" s="18"/>
      <c r="N65" s="19"/>
      <c r="O65" s="19"/>
      <c r="P65" s="20"/>
      <c r="Q65" s="22"/>
      <c r="R65" s="22"/>
      <c r="S65" s="22"/>
      <c r="T65" s="22"/>
      <c r="U65" s="22"/>
      <c r="V65" s="571"/>
      <c r="W65" s="22"/>
      <c r="X65" s="22"/>
      <c r="Y65" s="22"/>
      <c r="Z65" s="485"/>
      <c r="AA65" s="449"/>
    </row>
    <row r="66" spans="2:27" ht="19.5" customHeight="1">
      <c r="B66" s="28"/>
      <c r="M66" s="18"/>
      <c r="N66" s="19"/>
      <c r="O66" s="19"/>
      <c r="P66" s="20"/>
      <c r="Q66" s="22"/>
      <c r="R66" s="22"/>
      <c r="S66" s="22"/>
      <c r="T66" s="22"/>
      <c r="U66" s="22"/>
      <c r="V66" s="571"/>
      <c r="W66" s="22"/>
      <c r="X66" s="22"/>
      <c r="Y66" s="22"/>
      <c r="Z66" s="485"/>
      <c r="AA66" s="449"/>
    </row>
    <row r="67" spans="2:27" ht="19.5" customHeight="1">
      <c r="B67" s="12"/>
      <c r="C67" s="12"/>
      <c r="D67" s="109"/>
      <c r="E67" s="109"/>
      <c r="F67" s="12"/>
      <c r="M67" s="18"/>
      <c r="N67" s="19"/>
      <c r="O67" s="19"/>
      <c r="P67" s="20"/>
      <c r="Q67" s="22"/>
      <c r="R67" s="22"/>
      <c r="S67" s="22"/>
      <c r="T67" s="22"/>
      <c r="U67" s="22"/>
      <c r="V67" s="571"/>
      <c r="W67" s="22"/>
      <c r="X67" s="22"/>
      <c r="Y67" s="22"/>
      <c r="Z67" s="485"/>
      <c r="AA67" s="449"/>
    </row>
    <row r="68" spans="2:27" ht="19.5" customHeight="1">
      <c r="B68" s="12"/>
      <c r="C68" s="12"/>
      <c r="D68" s="562"/>
      <c r="E68" s="562"/>
      <c r="F68" s="12"/>
      <c r="M68" s="18"/>
      <c r="N68" s="19"/>
      <c r="O68" s="19"/>
      <c r="P68" s="20"/>
      <c r="Q68" s="22"/>
      <c r="R68" s="22"/>
      <c r="S68" s="22"/>
      <c r="T68" s="22"/>
      <c r="U68" s="22"/>
      <c r="V68" s="571"/>
      <c r="W68" s="22"/>
      <c r="X68" s="22"/>
      <c r="Y68" s="22"/>
      <c r="Z68" s="485"/>
      <c r="AA68" s="449"/>
    </row>
    <row r="69" spans="2:27" ht="19.5" customHeight="1">
      <c r="B69" s="12"/>
      <c r="C69" s="12"/>
      <c r="D69" s="562"/>
      <c r="E69" s="562"/>
      <c r="F69" s="12"/>
      <c r="M69" s="18"/>
      <c r="N69" s="19"/>
      <c r="O69" s="19"/>
      <c r="P69" s="20"/>
      <c r="Q69" s="22"/>
      <c r="R69" s="22"/>
      <c r="S69" s="22"/>
      <c r="T69" s="22"/>
      <c r="U69" s="22"/>
      <c r="V69" s="571"/>
      <c r="W69" s="22"/>
      <c r="X69" s="22"/>
      <c r="Y69" s="22"/>
      <c r="Z69" s="485"/>
      <c r="AA69" s="449"/>
    </row>
    <row r="70" spans="2:27" ht="19.5" customHeight="1">
      <c r="B70" s="12"/>
      <c r="C70" s="12"/>
      <c r="D70" s="562"/>
      <c r="E70" s="562"/>
      <c r="F70" s="12"/>
      <c r="M70" s="18"/>
      <c r="N70" s="19"/>
      <c r="O70" s="19"/>
      <c r="P70" s="20"/>
      <c r="Q70" s="22"/>
      <c r="R70" s="22"/>
      <c r="S70" s="22"/>
      <c r="T70" s="22"/>
      <c r="U70" s="22"/>
      <c r="V70" s="571"/>
      <c r="W70" s="22"/>
      <c r="X70" s="22"/>
      <c r="Y70" s="22"/>
      <c r="Z70" s="485"/>
      <c r="AA70" s="449"/>
    </row>
    <row r="71" spans="2:27" ht="19.5" customHeight="1">
      <c r="B71" s="12"/>
      <c r="C71" s="12"/>
      <c r="D71" s="562"/>
      <c r="E71" s="562"/>
      <c r="F71" s="12"/>
      <c r="M71" s="18"/>
      <c r="N71" s="19"/>
      <c r="O71" s="19"/>
      <c r="P71" s="20"/>
      <c r="Q71" s="22"/>
      <c r="R71" s="22"/>
      <c r="S71" s="22"/>
      <c r="T71" s="22"/>
      <c r="U71" s="22"/>
      <c r="V71" s="571"/>
      <c r="W71" s="22"/>
      <c r="X71" s="22"/>
      <c r="Y71" s="22"/>
      <c r="Z71" s="485"/>
      <c r="AA71" s="449"/>
    </row>
    <row r="72" spans="2:27" ht="19.5" customHeight="1">
      <c r="B72" s="12"/>
      <c r="C72" s="12"/>
      <c r="D72" s="562"/>
      <c r="E72" s="562"/>
      <c r="F72" s="12"/>
      <c r="M72" s="18"/>
      <c r="N72" s="19"/>
      <c r="O72" s="19"/>
      <c r="P72" s="20"/>
      <c r="Q72" s="22"/>
      <c r="R72" s="22"/>
      <c r="S72" s="22"/>
      <c r="T72" s="22"/>
      <c r="U72" s="22"/>
      <c r="V72" s="571"/>
      <c r="W72" s="22"/>
      <c r="X72" s="22"/>
      <c r="Y72" s="22"/>
      <c r="Z72" s="485"/>
      <c r="AA72" s="449"/>
    </row>
    <row r="73" spans="2:27" ht="19.5" customHeight="1">
      <c r="B73" s="12"/>
      <c r="C73" s="12"/>
      <c r="D73" s="562"/>
      <c r="E73" s="562"/>
      <c r="F73" s="12"/>
      <c r="M73" s="18"/>
      <c r="N73" s="19"/>
      <c r="O73" s="19"/>
      <c r="P73" s="20"/>
      <c r="Q73" s="22"/>
      <c r="R73" s="22"/>
      <c r="S73" s="22"/>
      <c r="T73" s="22"/>
      <c r="U73" s="22"/>
      <c r="V73" s="571"/>
      <c r="W73" s="22"/>
      <c r="X73" s="22"/>
      <c r="Y73" s="22"/>
      <c r="Z73" s="485"/>
      <c r="AA73" s="449"/>
    </row>
    <row r="74" spans="2:27" ht="19.5" customHeight="1">
      <c r="B74" s="12"/>
      <c r="C74" s="12"/>
      <c r="D74" s="562"/>
      <c r="E74" s="562"/>
      <c r="F74" s="12"/>
      <c r="M74" s="18"/>
      <c r="N74" s="19"/>
      <c r="O74" s="19"/>
      <c r="P74" s="20"/>
      <c r="Q74" s="22"/>
      <c r="R74" s="22"/>
      <c r="S74" s="22"/>
      <c r="T74" s="22"/>
      <c r="U74" s="22"/>
      <c r="V74" s="571"/>
      <c r="W74" s="22"/>
      <c r="X74" s="22"/>
      <c r="Y74" s="22"/>
      <c r="Z74" s="485"/>
      <c r="AA74" s="449"/>
    </row>
    <row r="75" spans="2:27" ht="19.5" customHeight="1">
      <c r="B75" s="12"/>
      <c r="C75" s="12"/>
      <c r="D75" s="562"/>
      <c r="E75" s="562"/>
      <c r="F75" s="12"/>
      <c r="M75" s="18"/>
      <c r="N75" s="19"/>
      <c r="O75" s="19"/>
      <c r="P75" s="20"/>
      <c r="Q75" s="22"/>
      <c r="R75" s="22"/>
      <c r="S75" s="22"/>
      <c r="T75" s="22"/>
      <c r="U75" s="22"/>
      <c r="V75" s="571"/>
      <c r="W75" s="22"/>
      <c r="X75" s="22"/>
      <c r="Y75" s="22"/>
      <c r="Z75" s="485"/>
      <c r="AA75" s="449"/>
    </row>
    <row r="76" spans="2:27" ht="19.5" customHeight="1">
      <c r="B76" s="12"/>
      <c r="C76" s="12"/>
      <c r="D76" s="562"/>
      <c r="E76" s="562"/>
      <c r="F76" s="12"/>
      <c r="M76" s="18"/>
      <c r="N76" s="19"/>
      <c r="O76" s="19"/>
      <c r="P76" s="20"/>
      <c r="Q76" s="22"/>
      <c r="R76" s="22"/>
      <c r="S76" s="22"/>
      <c r="T76" s="22"/>
      <c r="U76" s="22"/>
      <c r="V76" s="571"/>
      <c r="W76" s="22"/>
      <c r="X76" s="22"/>
      <c r="Y76" s="22"/>
      <c r="Z76" s="485"/>
      <c r="AA76" s="449"/>
    </row>
    <row r="77" spans="2:27" ht="19.5" customHeight="1">
      <c r="B77" s="12"/>
      <c r="C77" s="12"/>
      <c r="D77" s="562"/>
      <c r="E77" s="562"/>
      <c r="F77" s="12"/>
      <c r="M77" s="18"/>
      <c r="N77" s="19"/>
      <c r="O77" s="19"/>
      <c r="P77" s="20"/>
      <c r="Q77" s="22"/>
      <c r="R77" s="22"/>
      <c r="S77" s="22"/>
      <c r="T77" s="22"/>
      <c r="U77" s="22"/>
      <c r="V77" s="571"/>
      <c r="W77" s="22"/>
      <c r="X77" s="22"/>
      <c r="Y77" s="22"/>
      <c r="Z77" s="485"/>
      <c r="AA77" s="449"/>
    </row>
    <row r="78" spans="2:27" ht="19.5" customHeight="1">
      <c r="B78" s="12"/>
      <c r="C78" s="12"/>
      <c r="D78" s="562"/>
      <c r="E78" s="562"/>
      <c r="F78" s="12"/>
      <c r="M78" s="18"/>
      <c r="N78" s="19"/>
      <c r="O78" s="19"/>
      <c r="P78" s="20"/>
      <c r="Q78" s="22"/>
      <c r="R78" s="22"/>
      <c r="S78" s="22"/>
      <c r="T78" s="22"/>
      <c r="U78" s="22"/>
      <c r="V78" s="571"/>
      <c r="W78" s="22"/>
      <c r="X78" s="22"/>
      <c r="Y78" s="22"/>
      <c r="Z78" s="485"/>
      <c r="AA78" s="449"/>
    </row>
    <row r="79" spans="2:27" ht="19.5" customHeight="1">
      <c r="C79" s="477"/>
      <c r="D79" s="477"/>
      <c r="M79" s="18"/>
      <c r="N79" s="19"/>
      <c r="O79" s="19"/>
      <c r="P79" s="20"/>
      <c r="Q79" s="22"/>
      <c r="R79" s="22"/>
      <c r="S79" s="22"/>
      <c r="T79" s="22"/>
      <c r="U79" s="22"/>
      <c r="V79" s="571"/>
      <c r="W79" s="22"/>
      <c r="X79" s="22"/>
      <c r="Y79" s="22"/>
      <c r="Z79" s="485"/>
      <c r="AA79" s="449"/>
    </row>
    <row r="80" spans="2:27" ht="19.5" customHeight="1">
      <c r="M80" s="18"/>
      <c r="N80" s="19"/>
      <c r="O80" s="19"/>
      <c r="P80" s="20"/>
      <c r="Q80" s="22"/>
      <c r="R80" s="22"/>
      <c r="S80" s="22"/>
      <c r="T80" s="22"/>
      <c r="U80" s="22"/>
      <c r="V80" s="571"/>
      <c r="W80" s="22"/>
      <c r="X80" s="22"/>
      <c r="Y80" s="22"/>
      <c r="Z80" s="485"/>
      <c r="AA80" s="449"/>
    </row>
    <row r="81" spans="2:27" ht="19.5" customHeight="1">
      <c r="M81" s="18"/>
      <c r="N81" s="19"/>
      <c r="O81" s="19"/>
      <c r="P81" s="20"/>
      <c r="Q81" s="22"/>
      <c r="R81" s="22"/>
      <c r="S81" s="22"/>
      <c r="T81" s="22"/>
      <c r="U81" s="22"/>
      <c r="V81" s="571"/>
      <c r="W81" s="22"/>
      <c r="X81" s="22"/>
      <c r="Y81" s="22"/>
      <c r="Z81" s="485"/>
      <c r="AA81" s="449"/>
    </row>
    <row r="82" spans="2:27" ht="19.5" customHeight="1">
      <c r="B82" s="12"/>
      <c r="C82" s="12"/>
      <c r="D82" s="109"/>
      <c r="E82" s="12"/>
      <c r="F82" s="12"/>
      <c r="M82" s="18"/>
      <c r="N82" s="19"/>
      <c r="O82" s="19"/>
      <c r="P82" s="20"/>
      <c r="Q82" s="22"/>
      <c r="R82" s="22"/>
      <c r="S82" s="22"/>
      <c r="T82" s="22"/>
      <c r="U82" s="22"/>
      <c r="V82" s="571"/>
      <c r="W82" s="22"/>
      <c r="X82" s="22"/>
      <c r="Y82" s="22"/>
      <c r="Z82" s="485"/>
      <c r="AA82" s="449"/>
    </row>
    <row r="83" spans="2:27" ht="19.5" customHeight="1">
      <c r="B83" s="26"/>
      <c r="C83" s="12"/>
      <c r="D83" s="109"/>
      <c r="E83" s="109"/>
      <c r="F83" s="12"/>
      <c r="M83" s="18"/>
      <c r="N83" s="19"/>
      <c r="O83" s="19"/>
      <c r="P83" s="20"/>
      <c r="Q83" s="22"/>
      <c r="R83" s="22"/>
      <c r="S83" s="22"/>
      <c r="T83" s="22"/>
      <c r="U83" s="22"/>
      <c r="V83" s="571"/>
      <c r="W83" s="22"/>
      <c r="X83" s="22"/>
      <c r="Y83" s="22"/>
      <c r="Z83" s="485"/>
      <c r="AA83" s="449"/>
    </row>
    <row r="84" spans="2:27" ht="19.5" customHeight="1">
      <c r="B84" s="26"/>
      <c r="C84" s="12"/>
      <c r="D84" s="109"/>
      <c r="E84" s="109"/>
      <c r="F84" s="12"/>
      <c r="M84" s="18"/>
      <c r="N84" s="19"/>
      <c r="O84" s="19"/>
      <c r="P84" s="20"/>
      <c r="Q84" s="22"/>
      <c r="R84" s="22"/>
      <c r="S84" s="22"/>
      <c r="T84" s="22"/>
      <c r="U84" s="22"/>
      <c r="V84" s="571"/>
      <c r="W84" s="22"/>
      <c r="X84" s="22"/>
      <c r="Y84" s="22"/>
      <c r="Z84" s="485"/>
      <c r="AA84" s="449"/>
    </row>
    <row r="85" spans="2:27" ht="19.5" customHeight="1">
      <c r="B85" s="26"/>
      <c r="C85" s="12"/>
      <c r="D85" s="109"/>
      <c r="E85" s="109"/>
      <c r="F85" s="12"/>
      <c r="M85" s="18"/>
      <c r="N85" s="19"/>
      <c r="O85" s="19"/>
      <c r="P85" s="20"/>
      <c r="Q85" s="22"/>
      <c r="R85" s="22"/>
      <c r="S85" s="22"/>
      <c r="T85" s="22"/>
      <c r="U85" s="22"/>
      <c r="V85" s="571"/>
      <c r="W85" s="22"/>
      <c r="X85" s="22"/>
      <c r="Y85" s="22"/>
      <c r="Z85" s="485"/>
      <c r="AA85" s="449"/>
    </row>
    <row r="86" spans="2:27" ht="19.5" customHeight="1">
      <c r="B86" s="26"/>
      <c r="C86" s="12"/>
      <c r="D86" s="109"/>
      <c r="E86" s="109"/>
      <c r="F86" s="12"/>
      <c r="M86" s="18"/>
      <c r="N86" s="19"/>
      <c r="O86" s="19"/>
      <c r="P86" s="20"/>
      <c r="Q86" s="22"/>
      <c r="R86" s="22"/>
      <c r="S86" s="22"/>
      <c r="T86" s="22"/>
      <c r="U86" s="22"/>
      <c r="V86" s="571"/>
      <c r="W86" s="22"/>
      <c r="X86" s="22"/>
      <c r="Y86" s="22"/>
      <c r="Z86" s="485"/>
      <c r="AA86" s="449"/>
    </row>
    <row r="87" spans="2:27" ht="19.5" customHeight="1">
      <c r="B87" s="26"/>
      <c r="C87" s="12"/>
      <c r="D87" s="109"/>
      <c r="E87" s="109"/>
      <c r="F87" s="12"/>
    </row>
    <row r="88" spans="2:27" ht="19.5" customHeight="1">
      <c r="B88" s="26"/>
      <c r="C88" s="12"/>
      <c r="D88" s="109"/>
      <c r="E88" s="109"/>
      <c r="F88" s="12"/>
    </row>
    <row r="89" spans="2:27" ht="19.5" customHeight="1">
      <c r="B89" s="26"/>
      <c r="C89" s="12"/>
      <c r="D89" s="109"/>
      <c r="E89" s="109"/>
      <c r="F89" s="12"/>
    </row>
    <row r="90" spans="2:27" ht="19.5" customHeight="1">
      <c r="B90" s="26"/>
      <c r="C90" s="12"/>
      <c r="D90" s="109"/>
      <c r="E90" s="109"/>
      <c r="F90" s="12"/>
    </row>
    <row r="91" spans="2:27" ht="19.5" customHeight="1">
      <c r="B91" s="26"/>
      <c r="C91" s="12"/>
      <c r="D91" s="109"/>
      <c r="E91" s="109"/>
      <c r="F91" s="12"/>
    </row>
    <row r="92" spans="2:27" ht="19.5" customHeight="1">
      <c r="B92" s="26"/>
      <c r="C92" s="12"/>
      <c r="D92" s="109"/>
      <c r="E92" s="109"/>
      <c r="F92" s="12"/>
    </row>
    <row r="93" spans="2:27" ht="19.5" customHeight="1">
      <c r="B93" s="26"/>
      <c r="C93" s="12"/>
      <c r="D93" s="109"/>
      <c r="E93" s="109"/>
      <c r="F93" s="12"/>
    </row>
    <row r="94" spans="2:27" ht="19.5" customHeight="1">
      <c r="B94" s="26"/>
      <c r="C94" s="12"/>
      <c r="D94" s="109"/>
      <c r="E94" s="109"/>
      <c r="F94" s="12"/>
    </row>
    <row r="99" spans="2:27" ht="19.5" customHeight="1">
      <c r="B99" s="12"/>
      <c r="C99" s="12"/>
      <c r="D99" s="109"/>
      <c r="E99" s="12"/>
      <c r="F99" s="12"/>
    </row>
    <row r="100" spans="2:27" ht="19.5" customHeight="1">
      <c r="B100" s="12"/>
      <c r="C100" s="26"/>
      <c r="D100" s="109"/>
      <c r="E100" s="109"/>
      <c r="F100" s="12"/>
    </row>
    <row r="101" spans="2:27" ht="19.5" customHeight="1">
      <c r="B101" s="12"/>
      <c r="C101" s="26"/>
      <c r="D101" s="109"/>
      <c r="E101" s="109"/>
      <c r="F101" s="12"/>
      <c r="M101" s="18"/>
      <c r="N101" s="19"/>
      <c r="O101" s="19"/>
      <c r="P101" s="20"/>
      <c r="Q101" s="22"/>
      <c r="R101" s="22"/>
      <c r="S101" s="22"/>
      <c r="T101" s="22"/>
      <c r="U101" s="22"/>
      <c r="V101" s="571"/>
      <c r="W101" s="22"/>
      <c r="X101" s="22"/>
      <c r="Y101" s="22"/>
      <c r="Z101" s="485"/>
      <c r="AA101" s="449"/>
    </row>
    <row r="102" spans="2:27" ht="19.5" customHeight="1">
      <c r="B102" s="12"/>
      <c r="C102" s="26"/>
      <c r="D102" s="109"/>
      <c r="E102" s="109"/>
      <c r="F102" s="12"/>
      <c r="M102" s="18"/>
      <c r="N102" s="19"/>
      <c r="O102" s="19"/>
      <c r="P102" s="20"/>
      <c r="Q102" s="22"/>
      <c r="R102" s="22"/>
      <c r="S102" s="22"/>
      <c r="T102" s="22"/>
      <c r="U102" s="22"/>
      <c r="V102" s="571"/>
      <c r="W102" s="22"/>
      <c r="X102" s="22"/>
      <c r="Y102" s="22"/>
      <c r="Z102" s="485"/>
      <c r="AA102" s="449"/>
    </row>
    <row r="103" spans="2:27" ht="19.5" customHeight="1">
      <c r="B103" s="12"/>
      <c r="C103" s="26"/>
      <c r="D103" s="109"/>
      <c r="E103" s="109"/>
      <c r="F103" s="12"/>
      <c r="M103" s="18"/>
      <c r="N103" s="19"/>
      <c r="O103" s="19"/>
      <c r="P103" s="20"/>
      <c r="Q103" s="22"/>
      <c r="R103" s="22"/>
      <c r="S103" s="22"/>
      <c r="T103" s="22"/>
      <c r="U103" s="22"/>
      <c r="V103" s="571"/>
      <c r="W103" s="22"/>
      <c r="X103" s="22"/>
      <c r="Y103" s="22"/>
      <c r="Z103" s="485"/>
      <c r="AA103" s="449"/>
    </row>
    <row r="104" spans="2:27" ht="19.5" customHeight="1">
      <c r="B104" s="12"/>
      <c r="C104" s="26"/>
      <c r="D104" s="109"/>
      <c r="E104" s="109"/>
      <c r="F104" s="12"/>
      <c r="M104" s="18"/>
      <c r="N104" s="19"/>
      <c r="O104" s="19"/>
      <c r="P104" s="20"/>
      <c r="Q104" s="22"/>
      <c r="R104" s="22"/>
      <c r="S104" s="22"/>
      <c r="T104" s="22"/>
      <c r="U104" s="22"/>
      <c r="V104" s="571"/>
      <c r="W104" s="22"/>
      <c r="X104" s="22"/>
      <c r="Y104" s="22"/>
      <c r="Z104" s="485"/>
      <c r="AA104" s="449"/>
    </row>
    <row r="105" spans="2:27" ht="19.5" customHeight="1">
      <c r="B105" s="12"/>
      <c r="C105" s="26"/>
      <c r="D105" s="109"/>
      <c r="E105" s="109"/>
      <c r="F105" s="12"/>
      <c r="M105" s="18"/>
      <c r="N105" s="19"/>
      <c r="O105" s="19"/>
      <c r="P105" s="20"/>
      <c r="Q105" s="22"/>
      <c r="R105" s="22"/>
      <c r="S105" s="22"/>
      <c r="T105" s="22"/>
      <c r="U105" s="22"/>
      <c r="V105" s="571"/>
      <c r="W105" s="22"/>
      <c r="X105" s="22"/>
      <c r="Y105" s="22"/>
      <c r="Z105" s="485"/>
      <c r="AA105" s="449"/>
    </row>
    <row r="106" spans="2:27" ht="19.5" customHeight="1">
      <c r="B106" s="12"/>
      <c r="C106" s="26"/>
      <c r="D106" s="109"/>
      <c r="E106" s="109"/>
      <c r="F106" s="12"/>
      <c r="M106" s="18"/>
      <c r="N106" s="19"/>
      <c r="O106" s="19"/>
      <c r="P106" s="20"/>
      <c r="Q106" s="22"/>
      <c r="R106" s="22"/>
      <c r="S106" s="22"/>
      <c r="T106" s="22"/>
      <c r="U106" s="22"/>
      <c r="V106" s="571"/>
      <c r="W106" s="22"/>
      <c r="X106" s="22"/>
      <c r="Y106" s="22"/>
      <c r="Z106" s="485"/>
      <c r="AA106" s="449"/>
    </row>
    <row r="107" spans="2:27" ht="19.5" customHeight="1">
      <c r="B107" s="12"/>
      <c r="C107" s="26"/>
      <c r="D107" s="109"/>
      <c r="E107" s="109"/>
      <c r="F107" s="12"/>
      <c r="M107" s="18"/>
      <c r="N107" s="19"/>
      <c r="O107" s="19"/>
      <c r="P107" s="20"/>
      <c r="Q107" s="22"/>
      <c r="R107" s="22"/>
      <c r="S107" s="22"/>
      <c r="T107" s="22"/>
      <c r="U107" s="22"/>
      <c r="V107" s="571"/>
      <c r="W107" s="22"/>
      <c r="X107" s="22"/>
      <c r="Y107" s="22"/>
      <c r="Z107" s="485"/>
      <c r="AA107" s="449"/>
    </row>
    <row r="108" spans="2:27" ht="19.5" customHeight="1">
      <c r="B108" s="12"/>
      <c r="C108" s="26"/>
      <c r="D108" s="109"/>
      <c r="E108" s="109"/>
      <c r="F108" s="12"/>
      <c r="M108" s="18"/>
      <c r="N108" s="19"/>
      <c r="O108" s="19"/>
      <c r="P108" s="20"/>
      <c r="Q108" s="22"/>
      <c r="R108" s="22"/>
      <c r="S108" s="22"/>
      <c r="T108" s="22"/>
      <c r="U108" s="22"/>
      <c r="V108" s="571"/>
      <c r="W108" s="22"/>
      <c r="X108" s="22"/>
      <c r="Y108" s="22"/>
      <c r="Z108" s="485"/>
      <c r="AA108" s="449"/>
    </row>
    <row r="109" spans="2:27" ht="19.5" customHeight="1">
      <c r="B109" s="12"/>
      <c r="C109" s="26"/>
      <c r="D109" s="109"/>
      <c r="E109" s="109"/>
      <c r="F109" s="12"/>
      <c r="M109" s="18"/>
      <c r="N109" s="19"/>
      <c r="O109" s="19"/>
      <c r="P109" s="20"/>
      <c r="Q109" s="22"/>
      <c r="R109" s="22"/>
      <c r="S109" s="22"/>
      <c r="T109" s="22"/>
      <c r="U109" s="22"/>
      <c r="V109" s="571"/>
      <c r="W109" s="22"/>
      <c r="X109" s="22"/>
      <c r="Y109" s="22"/>
      <c r="Z109" s="485"/>
      <c r="AA109" s="449"/>
    </row>
    <row r="110" spans="2:27" ht="19.5" customHeight="1">
      <c r="B110" s="12"/>
      <c r="C110" s="26"/>
      <c r="D110" s="109"/>
      <c r="E110" s="109"/>
      <c r="F110" s="12"/>
      <c r="M110" s="18"/>
      <c r="N110" s="19"/>
      <c r="O110" s="19"/>
      <c r="P110" s="20"/>
      <c r="Q110" s="22"/>
      <c r="R110" s="22"/>
      <c r="S110" s="22"/>
      <c r="T110" s="22"/>
      <c r="U110" s="22"/>
      <c r="V110" s="571"/>
      <c r="W110" s="22"/>
      <c r="X110" s="22"/>
      <c r="Y110" s="22"/>
      <c r="Z110" s="485"/>
      <c r="AA110" s="449"/>
    </row>
    <row r="111" spans="2:27" ht="19.5" customHeight="1">
      <c r="B111" s="12"/>
      <c r="C111" s="26"/>
      <c r="D111" s="109"/>
      <c r="E111" s="109"/>
      <c r="F111" s="12"/>
      <c r="M111" s="18"/>
      <c r="N111" s="19"/>
      <c r="O111" s="19"/>
      <c r="P111" s="20"/>
      <c r="Q111" s="22"/>
      <c r="R111" s="22"/>
      <c r="S111" s="22"/>
      <c r="T111" s="22"/>
      <c r="U111" s="22"/>
      <c r="V111" s="571"/>
      <c r="W111" s="22"/>
      <c r="X111" s="22"/>
      <c r="Y111" s="22"/>
      <c r="Z111" s="485"/>
      <c r="AA111" s="449"/>
    </row>
    <row r="112" spans="2:27" ht="19.5" customHeight="1">
      <c r="M112" s="18"/>
      <c r="N112" s="19"/>
      <c r="O112" s="19"/>
      <c r="P112" s="20"/>
      <c r="Q112" s="22"/>
      <c r="R112" s="22"/>
      <c r="S112" s="22"/>
      <c r="T112" s="22"/>
      <c r="U112" s="22"/>
      <c r="V112" s="571"/>
      <c r="W112" s="22"/>
      <c r="X112" s="22"/>
      <c r="Y112" s="22"/>
      <c r="Z112" s="485"/>
      <c r="AA112" s="449"/>
    </row>
    <row r="113" spans="13:27" ht="19.5" customHeight="1">
      <c r="M113" s="18"/>
      <c r="N113" s="19"/>
      <c r="O113" s="19"/>
      <c r="P113" s="20"/>
      <c r="Q113" s="22"/>
      <c r="R113" s="22"/>
      <c r="S113" s="22"/>
      <c r="T113" s="22"/>
      <c r="U113" s="22"/>
      <c r="V113" s="571"/>
      <c r="W113" s="22"/>
      <c r="X113" s="22"/>
      <c r="Y113" s="22"/>
      <c r="Z113" s="485"/>
      <c r="AA113" s="449"/>
    </row>
    <row r="114" spans="13:27" ht="19.5" customHeight="1">
      <c r="M114" s="18"/>
      <c r="N114" s="19"/>
      <c r="O114" s="19"/>
      <c r="P114" s="20"/>
      <c r="Q114" s="22"/>
      <c r="R114" s="22"/>
      <c r="S114" s="22"/>
      <c r="T114" s="22"/>
      <c r="U114" s="22"/>
      <c r="V114" s="571"/>
      <c r="W114" s="22"/>
      <c r="X114" s="22"/>
      <c r="Y114" s="22"/>
      <c r="Z114" s="485"/>
      <c r="AA114" s="449"/>
    </row>
    <row r="115" spans="13:27" ht="19.5" customHeight="1">
      <c r="M115" s="18"/>
      <c r="N115" s="19"/>
      <c r="O115" s="19"/>
      <c r="P115" s="20"/>
      <c r="Q115" s="22"/>
      <c r="R115" s="22"/>
      <c r="S115" s="22"/>
      <c r="T115" s="22"/>
      <c r="U115" s="22"/>
      <c r="V115" s="571"/>
      <c r="W115" s="22"/>
      <c r="X115" s="22"/>
      <c r="Y115" s="22"/>
      <c r="Z115" s="485"/>
      <c r="AA115" s="449"/>
    </row>
    <row r="116" spans="13:27" ht="19.5" customHeight="1">
      <c r="M116" s="18"/>
      <c r="N116" s="19"/>
      <c r="O116" s="19"/>
      <c r="P116" s="20"/>
      <c r="Q116" s="22"/>
      <c r="R116" s="22"/>
      <c r="S116" s="22"/>
      <c r="T116" s="22"/>
      <c r="U116" s="22"/>
      <c r="V116" s="571"/>
      <c r="W116" s="22"/>
      <c r="X116" s="22"/>
      <c r="Y116" s="22"/>
      <c r="Z116" s="485"/>
      <c r="AA116" s="449"/>
    </row>
    <row r="117" spans="13:27" ht="19.5" customHeight="1">
      <c r="M117" s="18"/>
      <c r="N117" s="19"/>
      <c r="O117" s="19"/>
      <c r="P117" s="20"/>
      <c r="Q117" s="22"/>
      <c r="R117" s="22"/>
      <c r="S117" s="22"/>
      <c r="T117" s="22"/>
      <c r="U117" s="22"/>
      <c r="V117" s="571"/>
      <c r="W117" s="22"/>
      <c r="X117" s="22"/>
      <c r="Y117" s="22"/>
      <c r="Z117" s="485"/>
      <c r="AA117" s="449"/>
    </row>
    <row r="118" spans="13:27" ht="19.5" customHeight="1">
      <c r="M118" s="18"/>
      <c r="N118" s="19"/>
      <c r="O118" s="19"/>
      <c r="P118" s="20"/>
      <c r="Q118" s="22"/>
      <c r="R118" s="22"/>
      <c r="S118" s="22"/>
      <c r="T118" s="22"/>
      <c r="U118" s="22"/>
      <c r="V118" s="571"/>
      <c r="W118" s="22"/>
      <c r="X118" s="22"/>
      <c r="Y118" s="22"/>
      <c r="Z118" s="485"/>
      <c r="AA118" s="449"/>
    </row>
    <row r="119" spans="13:27" ht="19.5" customHeight="1">
      <c r="M119" s="18"/>
      <c r="N119" s="19"/>
      <c r="O119" s="19"/>
      <c r="P119" s="20"/>
      <c r="Q119" s="22"/>
      <c r="R119" s="22"/>
      <c r="S119" s="22"/>
      <c r="T119" s="22"/>
      <c r="U119" s="22"/>
      <c r="V119" s="571"/>
      <c r="W119" s="22"/>
      <c r="X119" s="22"/>
      <c r="Y119" s="22"/>
      <c r="Z119" s="485"/>
      <c r="AA119" s="449"/>
    </row>
    <row r="120" spans="13:27" ht="19.5" customHeight="1">
      <c r="M120" s="18"/>
      <c r="N120" s="19"/>
      <c r="O120" s="19"/>
      <c r="P120" s="20"/>
      <c r="Q120" s="22"/>
      <c r="R120" s="22"/>
      <c r="S120" s="22"/>
      <c r="T120" s="22"/>
      <c r="U120" s="22"/>
      <c r="V120" s="571"/>
      <c r="W120" s="22"/>
      <c r="X120" s="22"/>
      <c r="Y120" s="22"/>
      <c r="Z120" s="485"/>
      <c r="AA120" s="449"/>
    </row>
    <row r="121" spans="13:27" ht="19.5" customHeight="1">
      <c r="M121" s="18"/>
      <c r="N121" s="19"/>
      <c r="O121" s="19"/>
      <c r="P121" s="20"/>
      <c r="Q121" s="22"/>
      <c r="R121" s="22"/>
      <c r="S121" s="22"/>
      <c r="T121" s="22"/>
      <c r="U121" s="22"/>
      <c r="V121" s="571"/>
      <c r="W121" s="22"/>
      <c r="X121" s="22"/>
      <c r="Y121" s="22"/>
      <c r="Z121" s="485"/>
      <c r="AA121" s="449"/>
    </row>
    <row r="122" spans="13:27" ht="19.5" customHeight="1">
      <c r="M122" s="18"/>
      <c r="N122" s="19"/>
      <c r="O122" s="19"/>
      <c r="P122" s="20"/>
      <c r="Q122" s="22"/>
      <c r="R122" s="22"/>
      <c r="S122" s="22"/>
      <c r="T122" s="22"/>
      <c r="U122" s="22"/>
      <c r="V122" s="571"/>
      <c r="W122" s="22"/>
      <c r="X122" s="22"/>
      <c r="Y122" s="22"/>
      <c r="Z122" s="485"/>
      <c r="AA122" s="449"/>
    </row>
    <row r="123" spans="13:27" ht="19.5" customHeight="1">
      <c r="M123" s="18"/>
      <c r="N123" s="19"/>
      <c r="O123" s="19"/>
      <c r="P123" s="20"/>
      <c r="Q123" s="22"/>
      <c r="R123" s="22"/>
      <c r="S123" s="22"/>
      <c r="T123" s="22"/>
      <c r="U123" s="22"/>
      <c r="V123" s="571"/>
      <c r="W123" s="22"/>
      <c r="X123" s="22"/>
      <c r="Y123" s="22"/>
      <c r="Z123" s="485"/>
      <c r="AA123" s="449"/>
    </row>
    <row r="124" spans="13:27" ht="19.5" customHeight="1">
      <c r="M124" s="18"/>
      <c r="N124" s="19"/>
      <c r="O124" s="19"/>
      <c r="P124" s="20"/>
      <c r="Q124" s="22"/>
      <c r="R124" s="22"/>
      <c r="S124" s="22"/>
      <c r="T124" s="22"/>
      <c r="U124" s="22"/>
      <c r="V124" s="571"/>
      <c r="W124" s="22"/>
      <c r="X124" s="22"/>
      <c r="Y124" s="22"/>
      <c r="Z124" s="485"/>
      <c r="AA124" s="449"/>
    </row>
    <row r="125" spans="13:27" ht="19.5" customHeight="1">
      <c r="M125" s="18"/>
      <c r="N125" s="19"/>
      <c r="O125" s="19"/>
      <c r="P125" s="20"/>
      <c r="Q125" s="22"/>
      <c r="R125" s="22"/>
      <c r="S125" s="22"/>
      <c r="T125" s="22"/>
      <c r="U125" s="22"/>
      <c r="V125" s="571"/>
      <c r="W125" s="22"/>
      <c r="X125" s="22"/>
      <c r="Y125" s="22"/>
      <c r="Z125" s="485"/>
      <c r="AA125" s="449"/>
    </row>
    <row r="126" spans="13:27" ht="19.5" customHeight="1">
      <c r="M126" s="18"/>
      <c r="N126" s="19"/>
      <c r="O126" s="19"/>
      <c r="P126" s="20"/>
      <c r="Q126" s="22"/>
      <c r="R126" s="22"/>
      <c r="S126" s="22"/>
      <c r="T126" s="22"/>
      <c r="U126" s="22"/>
      <c r="V126" s="571"/>
      <c r="W126" s="22"/>
      <c r="X126" s="22"/>
      <c r="Y126" s="22"/>
      <c r="Z126" s="485"/>
      <c r="AA126" s="449"/>
    </row>
    <row r="127" spans="13:27" ht="19.5" customHeight="1">
      <c r="M127" s="18"/>
      <c r="N127" s="19"/>
      <c r="O127" s="19"/>
      <c r="P127" s="20"/>
      <c r="Q127" s="22"/>
      <c r="R127" s="22"/>
      <c r="S127" s="22"/>
      <c r="T127" s="22"/>
      <c r="U127" s="22"/>
      <c r="V127" s="571"/>
      <c r="W127" s="22"/>
      <c r="X127" s="22"/>
      <c r="Y127" s="22"/>
      <c r="Z127" s="485"/>
      <c r="AA127" s="449"/>
    </row>
    <row r="128" spans="13:27" ht="19.5" customHeight="1">
      <c r="M128" s="18"/>
      <c r="N128" s="19"/>
      <c r="O128" s="19"/>
      <c r="P128" s="20"/>
      <c r="Q128" s="22"/>
      <c r="R128" s="22"/>
      <c r="S128" s="22"/>
      <c r="T128" s="22"/>
      <c r="U128" s="22"/>
      <c r="V128" s="571"/>
      <c r="W128" s="22"/>
      <c r="X128" s="22"/>
      <c r="Y128" s="22"/>
      <c r="Z128" s="485"/>
      <c r="AA128" s="449"/>
    </row>
    <row r="129" spans="13:27" ht="19.5" customHeight="1">
      <c r="M129" s="18"/>
      <c r="N129" s="19"/>
      <c r="O129" s="19"/>
      <c r="P129" s="20"/>
      <c r="Q129" s="22"/>
      <c r="R129" s="22"/>
      <c r="S129" s="22"/>
      <c r="T129" s="22"/>
      <c r="U129" s="22"/>
      <c r="V129" s="571"/>
      <c r="W129" s="22"/>
      <c r="X129" s="22"/>
      <c r="Y129" s="22"/>
      <c r="Z129" s="485"/>
      <c r="AA129" s="449"/>
    </row>
    <row r="130" spans="13:27" ht="19.5" customHeight="1">
      <c r="M130" s="18"/>
      <c r="N130" s="19"/>
      <c r="O130" s="19"/>
      <c r="P130" s="20"/>
      <c r="Q130" s="22"/>
      <c r="R130" s="22"/>
      <c r="S130" s="22"/>
      <c r="T130" s="22"/>
      <c r="U130" s="22"/>
      <c r="V130" s="571"/>
      <c r="W130" s="22"/>
      <c r="X130" s="22"/>
      <c r="Y130" s="22"/>
      <c r="Z130" s="485"/>
      <c r="AA130" s="449"/>
    </row>
    <row r="131" spans="13:27" ht="19.5" customHeight="1">
      <c r="M131" s="18"/>
      <c r="N131" s="19"/>
      <c r="O131" s="19"/>
      <c r="P131" s="20"/>
      <c r="Q131" s="22"/>
      <c r="R131" s="22"/>
      <c r="S131" s="22"/>
      <c r="T131" s="22"/>
      <c r="U131" s="22"/>
      <c r="V131" s="571"/>
      <c r="W131" s="22"/>
      <c r="X131" s="22"/>
      <c r="Y131" s="22"/>
      <c r="Z131" s="485"/>
      <c r="AA131" s="449"/>
    </row>
    <row r="132" spans="13:27" ht="19.5" customHeight="1">
      <c r="M132" s="18"/>
      <c r="N132" s="19"/>
      <c r="O132" s="19"/>
      <c r="P132" s="20"/>
      <c r="Q132" s="22"/>
      <c r="R132" s="22"/>
      <c r="S132" s="22"/>
      <c r="T132" s="22"/>
      <c r="U132" s="22"/>
      <c r="V132" s="571"/>
      <c r="W132" s="22"/>
      <c r="X132" s="22"/>
      <c r="Y132" s="22"/>
      <c r="Z132" s="485"/>
      <c r="AA132" s="449"/>
    </row>
    <row r="133" spans="13:27" ht="19.5" customHeight="1">
      <c r="M133" s="18"/>
      <c r="N133" s="19"/>
      <c r="O133" s="19"/>
      <c r="P133" s="20"/>
      <c r="Q133" s="22"/>
      <c r="R133" s="22"/>
      <c r="S133" s="22"/>
      <c r="T133" s="22"/>
      <c r="U133" s="22"/>
      <c r="V133" s="571"/>
      <c r="W133" s="22"/>
      <c r="X133" s="22"/>
      <c r="Y133" s="22"/>
      <c r="Z133" s="485"/>
      <c r="AA133" s="449"/>
    </row>
    <row r="134" spans="13:27" ht="19.5" customHeight="1">
      <c r="M134" s="18"/>
      <c r="N134" s="19"/>
      <c r="O134" s="19"/>
      <c r="P134" s="20"/>
      <c r="Q134" s="22"/>
      <c r="R134" s="22"/>
      <c r="S134" s="22"/>
      <c r="T134" s="22"/>
      <c r="U134" s="22"/>
      <c r="V134" s="571"/>
      <c r="W134" s="22"/>
      <c r="X134" s="22"/>
      <c r="Y134" s="22"/>
      <c r="Z134" s="485"/>
      <c r="AA134" s="449"/>
    </row>
    <row r="135" spans="13:27" ht="19.5" customHeight="1">
      <c r="M135" s="18"/>
      <c r="N135" s="19"/>
      <c r="O135" s="19"/>
      <c r="P135" s="20"/>
      <c r="Q135" s="22"/>
      <c r="R135" s="22"/>
      <c r="S135" s="22"/>
      <c r="T135" s="22"/>
      <c r="U135" s="22"/>
      <c r="V135" s="571"/>
      <c r="W135" s="22"/>
      <c r="X135" s="22"/>
      <c r="Y135" s="22"/>
      <c r="Z135" s="485"/>
      <c r="AA135" s="449"/>
    </row>
    <row r="136" spans="13:27" ht="19.5" customHeight="1">
      <c r="M136" s="18"/>
      <c r="N136" s="19"/>
      <c r="O136" s="19"/>
      <c r="P136" s="20"/>
      <c r="Q136" s="22"/>
      <c r="R136" s="22"/>
      <c r="S136" s="22"/>
      <c r="T136" s="22"/>
      <c r="U136" s="22"/>
      <c r="V136" s="571"/>
      <c r="W136" s="22"/>
      <c r="X136" s="22"/>
      <c r="Y136" s="22"/>
      <c r="Z136" s="485"/>
      <c r="AA136" s="449"/>
    </row>
    <row r="137" spans="13:27" ht="19.5" customHeight="1">
      <c r="M137" s="18"/>
      <c r="N137" s="19"/>
      <c r="O137" s="19"/>
      <c r="P137" s="20"/>
      <c r="Q137" s="22"/>
      <c r="R137" s="22"/>
      <c r="S137" s="22"/>
      <c r="T137" s="22"/>
      <c r="U137" s="22"/>
      <c r="V137" s="571"/>
      <c r="W137" s="22"/>
      <c r="X137" s="22"/>
      <c r="Y137" s="22"/>
      <c r="Z137" s="485"/>
      <c r="AA137" s="449"/>
    </row>
    <row r="138" spans="13:27" ht="19.5" customHeight="1">
      <c r="M138" s="18"/>
      <c r="N138" s="19"/>
      <c r="O138" s="19"/>
      <c r="P138" s="20"/>
      <c r="Q138" s="22"/>
      <c r="R138" s="22"/>
      <c r="S138" s="22"/>
      <c r="T138" s="22"/>
      <c r="U138" s="22"/>
      <c r="V138" s="571"/>
      <c r="W138" s="22"/>
      <c r="X138" s="22"/>
      <c r="Y138" s="22"/>
      <c r="Z138" s="485"/>
      <c r="AA138" s="449"/>
    </row>
    <row r="139" spans="13:27" ht="19.5" customHeight="1">
      <c r="M139" s="18"/>
      <c r="N139" s="19"/>
      <c r="O139" s="19"/>
      <c r="P139" s="20"/>
      <c r="Q139" s="22"/>
      <c r="R139" s="22"/>
      <c r="S139" s="22"/>
      <c r="T139" s="22"/>
      <c r="U139" s="22"/>
      <c r="V139" s="571"/>
      <c r="W139" s="22"/>
      <c r="X139" s="22"/>
      <c r="Y139" s="22"/>
      <c r="Z139" s="485"/>
      <c r="AA139" s="449"/>
    </row>
    <row r="140" spans="13:27" ht="19.5" customHeight="1">
      <c r="M140" s="18"/>
      <c r="N140" s="19"/>
      <c r="O140" s="19"/>
      <c r="P140" s="20"/>
      <c r="Q140" s="22"/>
      <c r="R140" s="22"/>
      <c r="S140" s="22"/>
      <c r="T140" s="22"/>
      <c r="U140" s="22"/>
      <c r="V140" s="571"/>
      <c r="W140" s="22"/>
      <c r="X140" s="22"/>
      <c r="Y140" s="22"/>
      <c r="Z140" s="485"/>
      <c r="AA140" s="449"/>
    </row>
    <row r="141" spans="13:27" ht="19.5" customHeight="1">
      <c r="M141" s="18"/>
      <c r="N141" s="19"/>
      <c r="O141" s="19"/>
      <c r="P141" s="20"/>
      <c r="Q141" s="22"/>
      <c r="R141" s="22"/>
      <c r="S141" s="22"/>
      <c r="T141" s="22"/>
      <c r="U141" s="22"/>
      <c r="V141" s="571"/>
      <c r="W141" s="22"/>
      <c r="X141" s="22"/>
      <c r="Y141" s="22"/>
      <c r="Z141" s="485"/>
      <c r="AA141" s="449"/>
    </row>
    <row r="142" spans="13:27" ht="19.5" customHeight="1">
      <c r="M142" s="18"/>
      <c r="N142" s="19"/>
      <c r="O142" s="19"/>
      <c r="P142" s="20"/>
      <c r="Q142" s="22"/>
      <c r="R142" s="22"/>
      <c r="S142" s="22"/>
      <c r="T142" s="22"/>
      <c r="U142" s="22"/>
      <c r="V142" s="571"/>
      <c r="W142" s="22"/>
      <c r="X142" s="22"/>
      <c r="Y142" s="22"/>
      <c r="Z142" s="485"/>
      <c r="AA142" s="449"/>
    </row>
    <row r="143" spans="13:27" ht="19.5" customHeight="1">
      <c r="M143" s="18"/>
      <c r="N143" s="19"/>
      <c r="O143" s="19"/>
      <c r="P143" s="20"/>
      <c r="Q143" s="22"/>
      <c r="R143" s="22"/>
      <c r="S143" s="22"/>
      <c r="T143" s="22"/>
      <c r="U143" s="22"/>
      <c r="V143" s="571"/>
      <c r="W143" s="22"/>
      <c r="X143" s="22"/>
      <c r="Y143" s="22"/>
      <c r="Z143" s="485"/>
      <c r="AA143" s="449"/>
    </row>
    <row r="144" spans="13:27" ht="19.5" customHeight="1">
      <c r="M144" s="18"/>
      <c r="N144" s="19"/>
      <c r="O144" s="19"/>
      <c r="P144" s="20"/>
      <c r="Q144" s="22"/>
      <c r="R144" s="22"/>
      <c r="S144" s="22"/>
      <c r="T144" s="22"/>
      <c r="U144" s="22"/>
      <c r="V144" s="571"/>
      <c r="W144" s="22"/>
      <c r="X144" s="22"/>
      <c r="Y144" s="22"/>
      <c r="Z144" s="485"/>
      <c r="AA144" s="449"/>
    </row>
    <row r="145" spans="13:27" ht="19.5" customHeight="1">
      <c r="M145" s="18"/>
      <c r="N145" s="19"/>
      <c r="O145" s="19"/>
      <c r="P145" s="20"/>
      <c r="Q145" s="22"/>
      <c r="R145" s="22"/>
      <c r="S145" s="22"/>
      <c r="T145" s="22"/>
      <c r="U145" s="22"/>
      <c r="V145" s="571"/>
      <c r="W145" s="22"/>
      <c r="X145" s="22"/>
      <c r="Y145" s="22"/>
      <c r="Z145" s="485"/>
      <c r="AA145" s="449"/>
    </row>
    <row r="146" spans="13:27" ht="19.5" customHeight="1">
      <c r="M146" s="18"/>
      <c r="N146" s="19"/>
      <c r="O146" s="19"/>
      <c r="P146" s="20"/>
      <c r="Q146" s="22"/>
      <c r="R146" s="22"/>
      <c r="S146" s="22"/>
      <c r="T146" s="22"/>
      <c r="U146" s="22"/>
      <c r="V146" s="571"/>
      <c r="W146" s="22"/>
      <c r="X146" s="22"/>
      <c r="Y146" s="22"/>
      <c r="Z146" s="485"/>
      <c r="AA146" s="449"/>
    </row>
    <row r="147" spans="13:27" ht="19.5" customHeight="1">
      <c r="M147" s="18"/>
      <c r="N147" s="19"/>
      <c r="O147" s="19"/>
      <c r="P147" s="20"/>
      <c r="Q147" s="22"/>
      <c r="R147" s="22"/>
      <c r="S147" s="22"/>
      <c r="T147" s="22"/>
      <c r="U147" s="22"/>
      <c r="V147" s="571"/>
      <c r="W147" s="22"/>
      <c r="X147" s="22"/>
      <c r="Y147" s="22"/>
      <c r="Z147" s="485"/>
      <c r="AA147" s="449"/>
    </row>
    <row r="148" spans="13:27" ht="19.5" customHeight="1">
      <c r="M148" s="18"/>
      <c r="N148" s="19"/>
      <c r="O148" s="19"/>
      <c r="P148" s="20"/>
      <c r="Q148" s="22"/>
      <c r="R148" s="22"/>
      <c r="S148" s="22"/>
      <c r="T148" s="22"/>
      <c r="U148" s="22"/>
      <c r="V148" s="571"/>
      <c r="W148" s="22"/>
      <c r="X148" s="22"/>
      <c r="Y148" s="22"/>
      <c r="Z148" s="485"/>
      <c r="AA148" s="449"/>
    </row>
    <row r="149" spans="13:27" ht="19.5" customHeight="1">
      <c r="M149" s="18"/>
      <c r="N149" s="19"/>
      <c r="O149" s="19"/>
      <c r="P149" s="20"/>
      <c r="Q149" s="22"/>
      <c r="R149" s="22"/>
      <c r="S149" s="22"/>
      <c r="T149" s="22"/>
      <c r="U149" s="22"/>
      <c r="V149" s="571"/>
      <c r="W149" s="22"/>
      <c r="X149" s="22"/>
      <c r="Y149" s="22"/>
      <c r="Z149" s="485"/>
      <c r="AA149" s="449"/>
    </row>
    <row r="150" spans="13:27" ht="19.5" customHeight="1">
      <c r="M150" s="18"/>
      <c r="N150" s="19"/>
      <c r="O150" s="19"/>
      <c r="P150" s="20"/>
      <c r="Q150" s="22"/>
      <c r="R150" s="22"/>
      <c r="S150" s="22"/>
      <c r="T150" s="22"/>
      <c r="U150" s="22"/>
      <c r="V150" s="571"/>
      <c r="W150" s="22"/>
      <c r="X150" s="22"/>
      <c r="Y150" s="22"/>
      <c r="Z150" s="485"/>
      <c r="AA150" s="449"/>
    </row>
    <row r="151" spans="13:27" ht="19.5" customHeight="1">
      <c r="M151" s="18"/>
      <c r="N151" s="19"/>
      <c r="O151" s="19"/>
      <c r="P151" s="20"/>
      <c r="Q151" s="22"/>
      <c r="R151" s="22"/>
      <c r="S151" s="22"/>
      <c r="T151" s="22"/>
      <c r="U151" s="22"/>
      <c r="V151" s="571"/>
      <c r="W151" s="22"/>
      <c r="X151" s="22"/>
      <c r="Y151" s="22"/>
      <c r="Z151" s="485"/>
      <c r="AA151" s="449"/>
    </row>
    <row r="152" spans="13:27" ht="19.5" customHeight="1">
      <c r="M152" s="18"/>
      <c r="N152" s="19"/>
      <c r="O152" s="19"/>
      <c r="P152" s="20"/>
      <c r="Q152" s="22"/>
      <c r="R152" s="22"/>
      <c r="S152" s="22"/>
      <c r="T152" s="22"/>
      <c r="U152" s="22"/>
      <c r="V152" s="571"/>
      <c r="W152" s="22"/>
      <c r="X152" s="22"/>
      <c r="Y152" s="22"/>
      <c r="Z152" s="485"/>
      <c r="AA152" s="449"/>
    </row>
    <row r="153" spans="13:27" ht="19.5" customHeight="1">
      <c r="M153" s="18"/>
      <c r="N153" s="19"/>
      <c r="O153" s="19"/>
      <c r="P153" s="20"/>
      <c r="Q153" s="22"/>
      <c r="R153" s="22"/>
      <c r="S153" s="22"/>
      <c r="T153" s="22"/>
      <c r="U153" s="22"/>
      <c r="V153" s="571"/>
      <c r="W153" s="22"/>
      <c r="X153" s="22"/>
      <c r="Y153" s="22"/>
      <c r="Z153" s="485"/>
      <c r="AA153" s="449"/>
    </row>
    <row r="154" spans="13:27" ht="19.5" customHeight="1">
      <c r="M154" s="18"/>
      <c r="N154" s="19"/>
      <c r="O154" s="19"/>
      <c r="P154" s="20"/>
      <c r="Q154" s="22"/>
      <c r="R154" s="22"/>
      <c r="S154" s="22"/>
      <c r="T154" s="22"/>
      <c r="U154" s="22"/>
      <c r="V154" s="571"/>
      <c r="W154" s="22"/>
      <c r="X154" s="22"/>
      <c r="Y154" s="22"/>
      <c r="Z154" s="485"/>
      <c r="AA154" s="449"/>
    </row>
    <row r="155" spans="13:27" ht="19.5" customHeight="1">
      <c r="M155" s="18"/>
      <c r="N155" s="19"/>
      <c r="O155" s="19"/>
      <c r="P155" s="20"/>
      <c r="Q155" s="22"/>
      <c r="R155" s="22"/>
      <c r="S155" s="22"/>
      <c r="T155" s="22"/>
      <c r="U155" s="22"/>
      <c r="V155" s="571"/>
      <c r="W155" s="22"/>
      <c r="X155" s="22"/>
      <c r="Y155" s="22"/>
      <c r="Z155" s="485"/>
      <c r="AA155" s="449"/>
    </row>
    <row r="156" spans="13:27" ht="19.5" customHeight="1">
      <c r="M156" s="18"/>
      <c r="N156" s="19"/>
      <c r="O156" s="19"/>
      <c r="P156" s="20"/>
      <c r="Q156" s="22"/>
      <c r="R156" s="22"/>
      <c r="S156" s="22"/>
      <c r="T156" s="22"/>
      <c r="U156" s="22"/>
      <c r="V156" s="571"/>
      <c r="W156" s="22"/>
      <c r="X156" s="22"/>
      <c r="Y156" s="22"/>
      <c r="Z156" s="485"/>
      <c r="AA156" s="449"/>
    </row>
    <row r="157" spans="13:27" ht="19.5" customHeight="1">
      <c r="M157" s="18"/>
      <c r="N157" s="19"/>
      <c r="O157" s="19"/>
      <c r="P157" s="20"/>
      <c r="Q157" s="22"/>
      <c r="R157" s="22"/>
      <c r="S157" s="22"/>
      <c r="T157" s="22"/>
      <c r="U157" s="22"/>
      <c r="V157" s="571"/>
      <c r="W157" s="22"/>
      <c r="X157" s="22"/>
      <c r="Y157" s="22"/>
      <c r="Z157" s="485"/>
      <c r="AA157" s="449"/>
    </row>
    <row r="158" spans="13:27" ht="19.5" customHeight="1">
      <c r="M158" s="18"/>
      <c r="N158" s="19"/>
      <c r="O158" s="19"/>
      <c r="P158" s="20"/>
      <c r="Q158" s="22"/>
      <c r="R158" s="22"/>
      <c r="S158" s="22"/>
      <c r="T158" s="22"/>
      <c r="U158" s="22"/>
      <c r="V158" s="571"/>
      <c r="W158" s="22"/>
      <c r="X158" s="22"/>
      <c r="Y158" s="22"/>
      <c r="Z158" s="485"/>
      <c r="AA158" s="449"/>
    </row>
    <row r="159" spans="13:27" ht="19.5" customHeight="1">
      <c r="M159" s="18"/>
      <c r="N159" s="19"/>
      <c r="O159" s="19"/>
      <c r="P159" s="20"/>
      <c r="Q159" s="22"/>
      <c r="R159" s="22"/>
      <c r="S159" s="22"/>
      <c r="T159" s="22"/>
      <c r="U159" s="22"/>
      <c r="V159" s="571"/>
      <c r="W159" s="22"/>
      <c r="X159" s="22"/>
      <c r="Y159" s="22"/>
      <c r="Z159" s="485"/>
      <c r="AA159" s="449"/>
    </row>
    <row r="160" spans="13:27" ht="19.5" customHeight="1">
      <c r="M160" s="18"/>
      <c r="N160" s="19"/>
      <c r="O160" s="19"/>
      <c r="P160" s="20"/>
      <c r="Q160" s="22"/>
      <c r="R160" s="22"/>
      <c r="S160" s="22"/>
      <c r="T160" s="22"/>
      <c r="U160" s="22"/>
      <c r="V160" s="571"/>
      <c r="W160" s="22"/>
      <c r="X160" s="22"/>
      <c r="Y160" s="22"/>
      <c r="Z160" s="485"/>
      <c r="AA160" s="449"/>
    </row>
    <row r="161" spans="13:27" ht="19.5" customHeight="1">
      <c r="M161" s="18"/>
      <c r="N161" s="19"/>
      <c r="O161" s="19"/>
      <c r="P161" s="20"/>
      <c r="Q161" s="22"/>
      <c r="R161" s="22"/>
      <c r="S161" s="22"/>
      <c r="T161" s="22"/>
      <c r="U161" s="22"/>
      <c r="V161" s="571"/>
      <c r="W161" s="22"/>
      <c r="X161" s="22"/>
      <c r="Y161" s="22"/>
      <c r="Z161" s="485"/>
      <c r="AA161" s="449"/>
    </row>
    <row r="162" spans="13:27" ht="19.5" customHeight="1">
      <c r="M162" s="18"/>
      <c r="N162" s="19"/>
      <c r="O162" s="19"/>
      <c r="P162" s="20"/>
      <c r="Q162" s="22"/>
      <c r="R162" s="22"/>
      <c r="S162" s="22"/>
      <c r="T162" s="22"/>
      <c r="U162" s="22"/>
      <c r="V162" s="571"/>
      <c r="W162" s="22"/>
      <c r="X162" s="22"/>
      <c r="Y162" s="22"/>
      <c r="Z162" s="485"/>
      <c r="AA162" s="449"/>
    </row>
    <row r="163" spans="13:27" ht="19.5" customHeight="1">
      <c r="M163" s="18"/>
      <c r="N163" s="19"/>
      <c r="O163" s="19"/>
      <c r="P163" s="20"/>
      <c r="Q163" s="22"/>
      <c r="R163" s="22"/>
      <c r="S163" s="22"/>
      <c r="T163" s="22"/>
      <c r="U163" s="22"/>
      <c r="V163" s="571"/>
      <c r="W163" s="22"/>
      <c r="X163" s="22"/>
      <c r="Y163" s="22"/>
      <c r="Z163" s="485"/>
      <c r="AA163" s="449"/>
    </row>
    <row r="164" spans="13:27" ht="19.5" customHeight="1">
      <c r="M164" s="18"/>
      <c r="N164" s="19"/>
      <c r="O164" s="19"/>
      <c r="P164" s="20"/>
      <c r="Q164" s="22"/>
      <c r="R164" s="22"/>
      <c r="S164" s="22"/>
      <c r="T164" s="22"/>
      <c r="U164" s="22"/>
      <c r="V164" s="571"/>
      <c r="W164" s="22"/>
      <c r="X164" s="22"/>
      <c r="Y164" s="22"/>
      <c r="Z164" s="485"/>
      <c r="AA164" s="449"/>
    </row>
    <row r="165" spans="13:27" ht="19.5" customHeight="1">
      <c r="M165" s="18"/>
      <c r="N165" s="19"/>
      <c r="O165" s="19"/>
      <c r="P165" s="20"/>
      <c r="Q165" s="22"/>
      <c r="R165" s="22"/>
      <c r="S165" s="22"/>
      <c r="T165" s="22"/>
      <c r="U165" s="22"/>
      <c r="V165" s="571"/>
      <c r="W165" s="22"/>
      <c r="X165" s="22"/>
      <c r="Y165" s="22"/>
      <c r="Z165" s="485"/>
      <c r="AA165" s="449"/>
    </row>
    <row r="166" spans="13:27" ht="19.5" customHeight="1">
      <c r="M166" s="18"/>
      <c r="N166" s="19"/>
      <c r="O166" s="19"/>
      <c r="P166" s="20"/>
      <c r="Q166" s="22"/>
      <c r="R166" s="22"/>
      <c r="S166" s="22"/>
      <c r="T166" s="22"/>
      <c r="U166" s="22"/>
      <c r="V166" s="571"/>
      <c r="W166" s="22"/>
      <c r="X166" s="22"/>
      <c r="Y166" s="22"/>
      <c r="Z166" s="485"/>
      <c r="AA166" s="449"/>
    </row>
    <row r="167" spans="13:27" ht="19.5" customHeight="1">
      <c r="M167" s="18"/>
      <c r="N167" s="19"/>
      <c r="O167" s="19"/>
      <c r="P167" s="20"/>
      <c r="Q167" s="22"/>
      <c r="R167" s="22"/>
      <c r="S167" s="22"/>
      <c r="T167" s="22"/>
      <c r="U167" s="22"/>
      <c r="V167" s="571"/>
      <c r="W167" s="22"/>
      <c r="X167" s="22"/>
      <c r="Y167" s="22"/>
      <c r="Z167" s="485"/>
      <c r="AA167" s="449"/>
    </row>
    <row r="168" spans="13:27" ht="19.5" customHeight="1">
      <c r="M168" s="18"/>
      <c r="N168" s="19"/>
      <c r="O168" s="19"/>
      <c r="P168" s="20"/>
      <c r="Q168" s="22"/>
      <c r="R168" s="22"/>
      <c r="S168" s="22"/>
      <c r="T168" s="22"/>
      <c r="U168" s="22"/>
      <c r="V168" s="571"/>
      <c r="W168" s="22"/>
      <c r="X168" s="22"/>
      <c r="Y168" s="22"/>
      <c r="Z168" s="485"/>
      <c r="AA168" s="449"/>
    </row>
    <row r="169" spans="13:27" ht="19.5" customHeight="1">
      <c r="M169" s="18"/>
      <c r="N169" s="19"/>
      <c r="O169" s="19"/>
      <c r="P169" s="20"/>
      <c r="Q169" s="22"/>
      <c r="R169" s="22"/>
      <c r="S169" s="22"/>
      <c r="T169" s="22"/>
      <c r="U169" s="22"/>
      <c r="V169" s="571"/>
      <c r="W169" s="22"/>
      <c r="X169" s="22"/>
      <c r="Y169" s="22"/>
      <c r="Z169" s="485"/>
      <c r="AA169" s="449"/>
    </row>
    <row r="170" spans="13:27" ht="19.5" customHeight="1">
      <c r="M170" s="18"/>
      <c r="N170" s="19"/>
      <c r="O170" s="19"/>
      <c r="P170" s="20"/>
      <c r="Q170" s="22"/>
      <c r="R170" s="22"/>
      <c r="S170" s="22"/>
      <c r="T170" s="22"/>
      <c r="U170" s="22"/>
      <c r="V170" s="571"/>
      <c r="W170" s="22"/>
      <c r="X170" s="22"/>
      <c r="Y170" s="22"/>
      <c r="Z170" s="485"/>
      <c r="AA170" s="449"/>
    </row>
    <row r="171" spans="13:27" ht="19.5" customHeight="1">
      <c r="M171" s="18"/>
      <c r="N171" s="19"/>
      <c r="O171" s="19"/>
      <c r="P171" s="20"/>
      <c r="Q171" s="22"/>
      <c r="R171" s="22"/>
      <c r="S171" s="22"/>
      <c r="T171" s="22"/>
      <c r="U171" s="22"/>
      <c r="V171" s="571"/>
      <c r="W171" s="22"/>
      <c r="X171" s="22"/>
      <c r="Y171" s="22"/>
      <c r="Z171" s="485"/>
      <c r="AA171" s="449"/>
    </row>
    <row r="172" spans="13:27" ht="19.5" customHeight="1">
      <c r="M172" s="18"/>
      <c r="N172" s="19"/>
      <c r="O172" s="19"/>
      <c r="P172" s="20"/>
      <c r="Q172" s="22"/>
      <c r="R172" s="22"/>
      <c r="S172" s="22"/>
      <c r="T172" s="22"/>
      <c r="U172" s="22"/>
      <c r="V172" s="571"/>
      <c r="W172" s="22"/>
      <c r="X172" s="22"/>
      <c r="Y172" s="22"/>
      <c r="Z172" s="485"/>
      <c r="AA172" s="449"/>
    </row>
    <row r="173" spans="13:27" ht="19.5" customHeight="1">
      <c r="M173" s="18"/>
      <c r="N173" s="19"/>
      <c r="O173" s="19"/>
      <c r="P173" s="20"/>
      <c r="Q173" s="22"/>
      <c r="R173" s="22"/>
      <c r="S173" s="22"/>
      <c r="T173" s="22"/>
      <c r="U173" s="22"/>
      <c r="V173" s="571"/>
      <c r="W173" s="22"/>
      <c r="X173" s="22"/>
      <c r="Y173" s="22"/>
      <c r="Z173" s="485"/>
      <c r="AA173" s="449"/>
    </row>
    <row r="174" spans="13:27" ht="19.5" customHeight="1">
      <c r="M174" s="18"/>
      <c r="N174" s="19"/>
      <c r="O174" s="19"/>
      <c r="P174" s="20"/>
      <c r="Q174" s="22"/>
      <c r="R174" s="22"/>
      <c r="S174" s="22"/>
      <c r="T174" s="22"/>
      <c r="U174" s="22"/>
      <c r="V174" s="571"/>
      <c r="W174" s="22"/>
      <c r="X174" s="22"/>
      <c r="Y174" s="22"/>
      <c r="Z174" s="485"/>
      <c r="AA174" s="449"/>
    </row>
    <row r="175" spans="13:27" ht="19.5" customHeight="1">
      <c r="M175" s="18"/>
      <c r="N175" s="19"/>
      <c r="O175" s="19"/>
      <c r="P175" s="20"/>
      <c r="Q175" s="22"/>
      <c r="R175" s="22"/>
      <c r="S175" s="22"/>
      <c r="T175" s="22"/>
      <c r="U175" s="22"/>
      <c r="V175" s="571"/>
      <c r="W175" s="22"/>
      <c r="X175" s="22"/>
      <c r="Y175" s="22"/>
      <c r="Z175" s="485"/>
      <c r="AA175" s="449"/>
    </row>
    <row r="176" spans="13:27" ht="19.5" customHeight="1">
      <c r="M176" s="18"/>
      <c r="N176" s="19"/>
      <c r="O176" s="19"/>
      <c r="P176" s="20"/>
      <c r="Q176" s="22"/>
      <c r="R176" s="22"/>
      <c r="S176" s="22"/>
      <c r="T176" s="22"/>
      <c r="U176" s="22"/>
      <c r="V176" s="571"/>
      <c r="W176" s="22"/>
      <c r="X176" s="22"/>
      <c r="Y176" s="22"/>
      <c r="Z176" s="485"/>
      <c r="AA176" s="449"/>
    </row>
    <row r="177" spans="13:27" ht="19.5" customHeight="1">
      <c r="M177" s="18"/>
      <c r="N177" s="19"/>
      <c r="O177" s="19"/>
      <c r="P177" s="20"/>
      <c r="Q177" s="22"/>
      <c r="R177" s="22"/>
      <c r="S177" s="22"/>
      <c r="T177" s="22"/>
      <c r="U177" s="22"/>
      <c r="V177" s="571"/>
      <c r="W177" s="22"/>
      <c r="X177" s="22"/>
      <c r="Y177" s="22"/>
      <c r="Z177" s="485"/>
      <c r="AA177" s="449"/>
    </row>
    <row r="178" spans="13:27" ht="19.5" customHeight="1">
      <c r="M178" s="18"/>
      <c r="N178" s="19"/>
      <c r="O178" s="19"/>
      <c r="P178" s="20"/>
      <c r="Q178" s="22"/>
      <c r="R178" s="22"/>
      <c r="S178" s="22"/>
      <c r="T178" s="22"/>
      <c r="U178" s="22"/>
      <c r="V178" s="571"/>
      <c r="W178" s="22"/>
      <c r="X178" s="22"/>
      <c r="Y178" s="22"/>
      <c r="Z178" s="485"/>
      <c r="AA178" s="449"/>
    </row>
    <row r="179" spans="13:27" ht="19.5" customHeight="1">
      <c r="M179" s="18"/>
      <c r="N179" s="19"/>
      <c r="O179" s="19"/>
      <c r="P179" s="20"/>
      <c r="Q179" s="22"/>
      <c r="R179" s="22"/>
      <c r="S179" s="22"/>
      <c r="T179" s="22"/>
      <c r="U179" s="22"/>
      <c r="V179" s="571"/>
      <c r="W179" s="22"/>
      <c r="X179" s="22"/>
      <c r="Y179" s="22"/>
      <c r="Z179" s="485"/>
      <c r="AA179" s="449"/>
    </row>
    <row r="180" spans="13:27" ht="19.5" customHeight="1">
      <c r="M180" s="18"/>
      <c r="N180" s="19"/>
      <c r="O180" s="19"/>
      <c r="P180" s="20"/>
      <c r="Q180" s="22"/>
      <c r="R180" s="22"/>
      <c r="S180" s="22"/>
      <c r="T180" s="22"/>
      <c r="U180" s="22"/>
      <c r="V180" s="571"/>
      <c r="W180" s="22"/>
      <c r="X180" s="22"/>
      <c r="Y180" s="22"/>
      <c r="Z180" s="485"/>
      <c r="AA180" s="449"/>
    </row>
    <row r="181" spans="13:27" ht="19.5" customHeight="1">
      <c r="M181" s="18"/>
      <c r="N181" s="19"/>
      <c r="O181" s="19"/>
      <c r="P181" s="20"/>
      <c r="Q181" s="22"/>
      <c r="R181" s="22"/>
      <c r="S181" s="22"/>
      <c r="T181" s="22"/>
      <c r="U181" s="22"/>
      <c r="V181" s="571"/>
      <c r="W181" s="22"/>
      <c r="X181" s="22"/>
      <c r="Y181" s="22"/>
      <c r="Z181" s="485"/>
      <c r="AA181" s="449"/>
    </row>
    <row r="182" spans="13:27" ht="19.5" customHeight="1">
      <c r="M182" s="18"/>
      <c r="N182" s="19"/>
      <c r="O182" s="19"/>
      <c r="P182" s="20"/>
      <c r="Q182" s="22"/>
      <c r="R182" s="22"/>
      <c r="S182" s="22"/>
      <c r="T182" s="22"/>
      <c r="U182" s="22"/>
      <c r="V182" s="571"/>
      <c r="W182" s="22"/>
      <c r="X182" s="22"/>
      <c r="Y182" s="22"/>
      <c r="Z182" s="485"/>
      <c r="AA182" s="449"/>
    </row>
    <row r="183" spans="13:27" ht="19.5" customHeight="1">
      <c r="M183" s="18"/>
      <c r="N183" s="19"/>
      <c r="O183" s="19"/>
      <c r="P183" s="20"/>
      <c r="Q183" s="22"/>
      <c r="R183" s="22"/>
      <c r="S183" s="22"/>
      <c r="T183" s="22"/>
      <c r="U183" s="22"/>
      <c r="V183" s="571"/>
      <c r="W183" s="22"/>
      <c r="X183" s="22"/>
      <c r="Y183" s="22"/>
      <c r="Z183" s="485"/>
      <c r="AA183" s="449"/>
    </row>
    <row r="184" spans="13:27" ht="19.5" customHeight="1">
      <c r="M184" s="18"/>
      <c r="N184" s="19"/>
      <c r="O184" s="19"/>
      <c r="P184" s="20"/>
      <c r="Q184" s="22"/>
      <c r="R184" s="22"/>
      <c r="S184" s="22"/>
      <c r="T184" s="22"/>
      <c r="U184" s="22"/>
      <c r="V184" s="571"/>
      <c r="W184" s="22"/>
      <c r="X184" s="22"/>
      <c r="Y184" s="22"/>
      <c r="Z184" s="485"/>
      <c r="AA184" s="449"/>
    </row>
    <row r="185" spans="13:27" ht="19.5" customHeight="1">
      <c r="M185" s="18"/>
      <c r="N185" s="19"/>
      <c r="O185" s="19"/>
      <c r="P185" s="20"/>
      <c r="Q185" s="22"/>
      <c r="R185" s="22"/>
      <c r="S185" s="22"/>
      <c r="T185" s="22"/>
      <c r="U185" s="22"/>
      <c r="V185" s="571"/>
      <c r="W185" s="22"/>
      <c r="X185" s="22"/>
      <c r="Y185" s="22"/>
      <c r="Z185" s="485"/>
      <c r="AA185" s="449"/>
    </row>
    <row r="186" spans="13:27" ht="19.5" customHeight="1">
      <c r="M186" s="18"/>
      <c r="N186" s="19"/>
      <c r="O186" s="19"/>
      <c r="P186" s="20"/>
      <c r="Q186" s="22"/>
      <c r="R186" s="22"/>
      <c r="S186" s="22"/>
      <c r="T186" s="22"/>
      <c r="U186" s="22"/>
      <c r="V186" s="571"/>
      <c r="W186" s="22"/>
      <c r="X186" s="22"/>
      <c r="Y186" s="22"/>
      <c r="Z186" s="485"/>
      <c r="AA186" s="449"/>
    </row>
    <row r="187" spans="13:27" ht="19.5" customHeight="1">
      <c r="M187" s="18"/>
      <c r="N187" s="19"/>
      <c r="O187" s="19"/>
      <c r="P187" s="20"/>
      <c r="Q187" s="22"/>
      <c r="R187" s="22"/>
      <c r="S187" s="22"/>
      <c r="T187" s="22"/>
      <c r="U187" s="22"/>
      <c r="V187" s="571"/>
      <c r="W187" s="22"/>
      <c r="X187" s="22"/>
      <c r="Y187" s="22"/>
      <c r="Z187" s="485"/>
      <c r="AA187" s="449"/>
    </row>
    <row r="188" spans="13:27" ht="19.5" customHeight="1">
      <c r="M188" s="18"/>
      <c r="N188" s="19"/>
      <c r="O188" s="19"/>
      <c r="P188" s="20"/>
      <c r="Q188" s="22"/>
      <c r="R188" s="22"/>
      <c r="S188" s="22"/>
      <c r="T188" s="22"/>
      <c r="U188" s="22"/>
      <c r="V188" s="571"/>
      <c r="W188" s="22"/>
      <c r="X188" s="22"/>
      <c r="Y188" s="22"/>
      <c r="Z188" s="485"/>
      <c r="AA188" s="449"/>
    </row>
    <row r="189" spans="13:27" ht="19.5" customHeight="1">
      <c r="M189" s="18"/>
      <c r="N189" s="19"/>
      <c r="O189" s="19"/>
      <c r="P189" s="20"/>
      <c r="Q189" s="22"/>
      <c r="R189" s="22"/>
      <c r="S189" s="22"/>
      <c r="T189" s="22"/>
      <c r="U189" s="22"/>
      <c r="V189" s="571"/>
      <c r="W189" s="22"/>
      <c r="X189" s="22"/>
      <c r="Y189" s="22"/>
      <c r="Z189" s="485"/>
      <c r="AA189" s="449"/>
    </row>
    <row r="190" spans="13:27" ht="19.5" customHeight="1">
      <c r="M190" s="18"/>
      <c r="N190" s="19"/>
      <c r="O190" s="19"/>
      <c r="P190" s="20"/>
      <c r="Q190" s="22"/>
      <c r="R190" s="22"/>
      <c r="S190" s="22"/>
      <c r="T190" s="22"/>
      <c r="U190" s="22"/>
      <c r="V190" s="571"/>
      <c r="W190" s="22"/>
      <c r="X190" s="22"/>
      <c r="Y190" s="22"/>
      <c r="Z190" s="485"/>
      <c r="AA190" s="449"/>
    </row>
    <row r="191" spans="13:27" ht="19.5" customHeight="1">
      <c r="M191" s="18"/>
      <c r="N191" s="19"/>
      <c r="O191" s="19"/>
      <c r="P191" s="20"/>
      <c r="Q191" s="22"/>
      <c r="R191" s="22"/>
      <c r="S191" s="22"/>
      <c r="T191" s="22"/>
      <c r="U191" s="22"/>
      <c r="V191" s="571"/>
      <c r="W191" s="22"/>
      <c r="X191" s="22"/>
      <c r="Y191" s="22"/>
      <c r="Z191" s="485"/>
      <c r="AA191" s="449"/>
    </row>
    <row r="192" spans="13:27" ht="19.5" customHeight="1">
      <c r="M192" s="18"/>
      <c r="N192" s="19"/>
      <c r="O192" s="19"/>
      <c r="P192" s="20"/>
      <c r="Q192" s="22"/>
      <c r="R192" s="22"/>
      <c r="S192" s="22"/>
      <c r="T192" s="22"/>
      <c r="U192" s="22"/>
      <c r="V192" s="571"/>
      <c r="W192" s="22"/>
      <c r="X192" s="22"/>
      <c r="Y192" s="22"/>
      <c r="Z192" s="485"/>
      <c r="AA192" s="449"/>
    </row>
    <row r="193" spans="13:27" ht="19.5" customHeight="1">
      <c r="M193" s="18"/>
      <c r="N193" s="19"/>
      <c r="O193" s="19"/>
      <c r="P193" s="20"/>
      <c r="Q193" s="22"/>
      <c r="R193" s="22"/>
      <c r="S193" s="22"/>
      <c r="T193" s="22"/>
      <c r="U193" s="22"/>
      <c r="V193" s="571"/>
      <c r="W193" s="22"/>
      <c r="X193" s="22"/>
      <c r="Y193" s="22"/>
      <c r="Z193" s="485"/>
      <c r="AA193" s="449"/>
    </row>
    <row r="194" spans="13:27" ht="19.5" customHeight="1">
      <c r="M194" s="18"/>
      <c r="N194" s="19"/>
      <c r="O194" s="19"/>
      <c r="P194" s="20"/>
      <c r="Q194" s="22"/>
      <c r="R194" s="22"/>
      <c r="S194" s="22"/>
      <c r="T194" s="22"/>
      <c r="U194" s="22"/>
      <c r="V194" s="571"/>
      <c r="W194" s="22"/>
      <c r="X194" s="22"/>
      <c r="Y194" s="22"/>
      <c r="Z194" s="485"/>
      <c r="AA194" s="449"/>
    </row>
    <row r="195" spans="13:27" ht="19.5" customHeight="1">
      <c r="M195" s="18"/>
      <c r="N195" s="19"/>
      <c r="O195" s="19"/>
      <c r="P195" s="20"/>
      <c r="Q195" s="22"/>
      <c r="R195" s="22"/>
      <c r="S195" s="22"/>
      <c r="T195" s="22"/>
      <c r="U195" s="22"/>
      <c r="V195" s="571"/>
      <c r="W195" s="22"/>
      <c r="X195" s="22"/>
      <c r="Y195" s="22"/>
      <c r="Z195" s="485"/>
      <c r="AA195" s="449"/>
    </row>
    <row r="196" spans="13:27" ht="19.5" customHeight="1">
      <c r="M196" s="18"/>
      <c r="N196" s="19"/>
      <c r="O196" s="19"/>
      <c r="P196" s="20"/>
      <c r="Q196" s="22"/>
      <c r="R196" s="22"/>
      <c r="S196" s="22"/>
      <c r="T196" s="22"/>
      <c r="U196" s="22"/>
      <c r="V196" s="571"/>
      <c r="W196" s="22"/>
      <c r="X196" s="22"/>
      <c r="Y196" s="22"/>
      <c r="Z196" s="485"/>
      <c r="AA196" s="449"/>
    </row>
    <row r="197" spans="13:27" ht="19.5" customHeight="1">
      <c r="M197" s="18"/>
      <c r="N197" s="19"/>
      <c r="O197" s="19"/>
      <c r="P197" s="20"/>
      <c r="Q197" s="22"/>
      <c r="R197" s="22"/>
      <c r="S197" s="22"/>
      <c r="T197" s="22"/>
      <c r="U197" s="22"/>
      <c r="V197" s="571"/>
      <c r="W197" s="22"/>
      <c r="X197" s="22"/>
      <c r="Y197" s="22"/>
      <c r="Z197" s="485"/>
      <c r="AA197" s="449"/>
    </row>
    <row r="198" spans="13:27" ht="19.5" customHeight="1">
      <c r="M198" s="18"/>
      <c r="N198" s="19"/>
      <c r="O198" s="19"/>
      <c r="P198" s="20"/>
      <c r="Q198" s="22"/>
      <c r="R198" s="22"/>
      <c r="S198" s="22"/>
      <c r="T198" s="22"/>
      <c r="U198" s="22"/>
      <c r="V198" s="571"/>
      <c r="W198" s="22"/>
      <c r="X198" s="22"/>
      <c r="Y198" s="22"/>
      <c r="Z198" s="485"/>
      <c r="AA198" s="449"/>
    </row>
    <row r="199" spans="13:27" ht="19.5" customHeight="1">
      <c r="M199" s="18"/>
      <c r="N199" s="19"/>
      <c r="O199" s="19"/>
      <c r="P199" s="20"/>
      <c r="Q199" s="22"/>
      <c r="R199" s="22"/>
      <c r="S199" s="22"/>
      <c r="T199" s="22"/>
      <c r="U199" s="22"/>
      <c r="V199" s="571"/>
      <c r="W199" s="22"/>
      <c r="X199" s="22"/>
      <c r="Y199" s="22"/>
      <c r="Z199" s="485"/>
      <c r="AA199" s="449"/>
    </row>
    <row r="200" spans="13:27" ht="19.5" customHeight="1">
      <c r="M200" s="18"/>
      <c r="N200" s="19"/>
      <c r="O200" s="19"/>
      <c r="P200" s="20"/>
      <c r="Q200" s="22"/>
      <c r="R200" s="22"/>
      <c r="S200" s="22"/>
      <c r="T200" s="22"/>
      <c r="U200" s="22"/>
      <c r="V200" s="571"/>
      <c r="W200" s="22"/>
      <c r="X200" s="22"/>
      <c r="Y200" s="22"/>
      <c r="Z200" s="485"/>
      <c r="AA200" s="449"/>
    </row>
    <row r="201" spans="13:27" ht="19.5" customHeight="1">
      <c r="M201" s="18"/>
      <c r="N201" s="19"/>
      <c r="O201" s="19"/>
      <c r="P201" s="20"/>
      <c r="Q201" s="22"/>
      <c r="R201" s="22"/>
      <c r="S201" s="22"/>
      <c r="T201" s="22"/>
      <c r="U201" s="22"/>
      <c r="V201" s="571"/>
      <c r="W201" s="22"/>
      <c r="X201" s="22"/>
      <c r="Y201" s="22"/>
      <c r="Z201" s="485"/>
      <c r="AA201" s="449"/>
    </row>
    <row r="202" spans="13:27" ht="19.5" customHeight="1">
      <c r="M202" s="18"/>
      <c r="N202" s="19"/>
      <c r="O202" s="19"/>
      <c r="P202" s="20"/>
      <c r="Q202" s="22"/>
      <c r="R202" s="22"/>
      <c r="S202" s="22"/>
      <c r="T202" s="22"/>
      <c r="U202" s="22"/>
      <c r="V202" s="571"/>
      <c r="W202" s="22"/>
      <c r="X202" s="22"/>
      <c r="Y202" s="22"/>
      <c r="Z202" s="485"/>
      <c r="AA202" s="449"/>
    </row>
    <row r="203" spans="13:27" ht="19.5" customHeight="1">
      <c r="M203" s="18"/>
      <c r="N203" s="19"/>
      <c r="O203" s="19"/>
      <c r="P203" s="20"/>
      <c r="Q203" s="22"/>
      <c r="R203" s="22"/>
      <c r="S203" s="22"/>
      <c r="T203" s="22"/>
      <c r="U203" s="22"/>
      <c r="V203" s="571"/>
      <c r="W203" s="22"/>
      <c r="X203" s="22"/>
      <c r="Y203" s="22"/>
      <c r="Z203" s="485"/>
      <c r="AA203" s="449"/>
    </row>
    <row r="204" spans="13:27" ht="19.5" customHeight="1">
      <c r="M204" s="18"/>
      <c r="N204" s="19"/>
      <c r="O204" s="19"/>
      <c r="P204" s="20"/>
      <c r="Q204" s="22"/>
      <c r="R204" s="22"/>
      <c r="S204" s="22"/>
      <c r="T204" s="22"/>
      <c r="U204" s="22"/>
      <c r="V204" s="571"/>
      <c r="W204" s="22"/>
      <c r="X204" s="22"/>
      <c r="Y204" s="22"/>
      <c r="Z204" s="485"/>
      <c r="AA204" s="449"/>
    </row>
    <row r="205" spans="13:27" ht="19.5" customHeight="1">
      <c r="M205" s="18"/>
      <c r="N205" s="19"/>
      <c r="O205" s="19"/>
      <c r="P205" s="20"/>
      <c r="Q205" s="22"/>
      <c r="R205" s="22"/>
      <c r="S205" s="22"/>
      <c r="T205" s="22"/>
      <c r="U205" s="22"/>
      <c r="V205" s="571"/>
      <c r="W205" s="22"/>
      <c r="X205" s="22"/>
      <c r="Y205" s="22"/>
      <c r="Z205" s="485"/>
      <c r="AA205" s="449"/>
    </row>
    <row r="206" spans="13:27" ht="19.5" customHeight="1">
      <c r="M206" s="18"/>
      <c r="N206" s="19"/>
      <c r="O206" s="19"/>
      <c r="P206" s="20"/>
      <c r="Q206" s="22"/>
      <c r="R206" s="22"/>
      <c r="S206" s="22"/>
      <c r="T206" s="22"/>
      <c r="U206" s="22"/>
      <c r="V206" s="571"/>
      <c r="W206" s="22"/>
      <c r="X206" s="22"/>
      <c r="Y206" s="22"/>
      <c r="Z206" s="485"/>
      <c r="AA206" s="449"/>
    </row>
    <row r="207" spans="13:27" ht="19.5" customHeight="1">
      <c r="M207" s="18"/>
      <c r="N207" s="19"/>
      <c r="O207" s="19"/>
      <c r="P207" s="20"/>
      <c r="Q207" s="22"/>
      <c r="R207" s="22"/>
      <c r="S207" s="22"/>
      <c r="T207" s="22"/>
      <c r="U207" s="22"/>
      <c r="V207" s="571"/>
      <c r="W207" s="22"/>
      <c r="X207" s="22"/>
      <c r="Y207" s="22"/>
      <c r="Z207" s="485"/>
      <c r="AA207" s="449"/>
    </row>
    <row r="208" spans="13:27" ht="19.5" customHeight="1">
      <c r="M208" s="18"/>
      <c r="N208" s="19"/>
      <c r="O208" s="19"/>
      <c r="P208" s="20"/>
      <c r="Q208" s="22"/>
      <c r="R208" s="22"/>
      <c r="S208" s="22"/>
      <c r="T208" s="22"/>
      <c r="U208" s="22"/>
      <c r="V208" s="571"/>
      <c r="W208" s="22"/>
      <c r="X208" s="22"/>
      <c r="Y208" s="22"/>
      <c r="Z208" s="485"/>
      <c r="AA208" s="449"/>
    </row>
    <row r="209" spans="13:27" ht="19.5" customHeight="1">
      <c r="M209" s="18"/>
      <c r="N209" s="19"/>
      <c r="O209" s="19"/>
      <c r="P209" s="20"/>
      <c r="Q209" s="22"/>
      <c r="R209" s="22"/>
      <c r="S209" s="22"/>
      <c r="T209" s="22"/>
      <c r="U209" s="22"/>
      <c r="V209" s="571"/>
      <c r="W209" s="22"/>
      <c r="X209" s="22"/>
      <c r="Y209" s="22"/>
      <c r="Z209" s="485"/>
      <c r="AA209" s="449"/>
    </row>
    <row r="210" spans="13:27" ht="19.5" customHeight="1">
      <c r="M210" s="18"/>
      <c r="N210" s="19"/>
      <c r="O210" s="19"/>
      <c r="P210" s="20"/>
      <c r="Q210" s="22"/>
      <c r="R210" s="22"/>
      <c r="S210" s="22"/>
      <c r="T210" s="22"/>
      <c r="U210" s="22"/>
      <c r="V210" s="571"/>
      <c r="W210" s="22"/>
      <c r="X210" s="22"/>
      <c r="Y210" s="22"/>
      <c r="Z210" s="485"/>
      <c r="AA210" s="449"/>
    </row>
    <row r="211" spans="13:27" ht="19.5" customHeight="1">
      <c r="M211" s="18"/>
      <c r="N211" s="19"/>
      <c r="O211" s="19"/>
      <c r="P211" s="20"/>
      <c r="Q211" s="22"/>
      <c r="R211" s="22"/>
      <c r="S211" s="22"/>
      <c r="T211" s="22"/>
      <c r="U211" s="22"/>
      <c r="V211" s="571"/>
      <c r="W211" s="22"/>
      <c r="X211" s="22"/>
      <c r="Y211" s="22"/>
      <c r="Z211" s="485"/>
      <c r="AA211" s="449"/>
    </row>
    <row r="212" spans="13:27" ht="19.5" customHeight="1">
      <c r="M212" s="18"/>
      <c r="N212" s="19"/>
      <c r="O212" s="19"/>
      <c r="P212" s="20"/>
      <c r="Q212" s="22"/>
      <c r="R212" s="22"/>
      <c r="S212" s="22"/>
      <c r="T212" s="22"/>
      <c r="U212" s="22"/>
      <c r="V212" s="571"/>
      <c r="W212" s="22"/>
      <c r="X212" s="22"/>
      <c r="Y212" s="22"/>
      <c r="Z212" s="485"/>
      <c r="AA212" s="449"/>
    </row>
    <row r="213" spans="13:27" ht="19.5" customHeight="1">
      <c r="M213" s="18"/>
      <c r="N213" s="19"/>
      <c r="O213" s="19"/>
      <c r="P213" s="20"/>
      <c r="Q213" s="22"/>
      <c r="R213" s="22"/>
      <c r="S213" s="22"/>
      <c r="T213" s="22"/>
      <c r="U213" s="22"/>
      <c r="V213" s="571"/>
      <c r="W213" s="22"/>
      <c r="X213" s="22"/>
      <c r="Y213" s="22"/>
      <c r="Z213" s="485"/>
      <c r="AA213" s="449"/>
    </row>
    <row r="214" spans="13:27" ht="19.5" customHeight="1">
      <c r="M214" s="18"/>
      <c r="N214" s="19"/>
      <c r="O214" s="19"/>
      <c r="P214" s="20"/>
      <c r="Q214" s="22"/>
      <c r="R214" s="22"/>
      <c r="S214" s="22"/>
      <c r="T214" s="22"/>
      <c r="U214" s="22"/>
      <c r="V214" s="571"/>
      <c r="W214" s="22"/>
      <c r="X214" s="22"/>
      <c r="Y214" s="22"/>
      <c r="Z214" s="485"/>
      <c r="AA214" s="449"/>
    </row>
    <row r="215" spans="13:27" ht="19.5" customHeight="1">
      <c r="M215" s="18"/>
      <c r="N215" s="19"/>
      <c r="O215" s="19"/>
      <c r="P215" s="20"/>
      <c r="Q215" s="22"/>
      <c r="R215" s="22"/>
      <c r="S215" s="22"/>
      <c r="T215" s="22"/>
      <c r="U215" s="22"/>
      <c r="V215" s="571"/>
      <c r="W215" s="22"/>
      <c r="X215" s="22"/>
      <c r="Y215" s="22"/>
      <c r="Z215" s="485"/>
      <c r="AA215" s="449"/>
    </row>
    <row r="216" spans="13:27" ht="19.5" customHeight="1">
      <c r="M216" s="18"/>
      <c r="N216" s="19"/>
      <c r="O216" s="19"/>
      <c r="P216" s="20"/>
      <c r="Q216" s="22"/>
      <c r="R216" s="22"/>
      <c r="S216" s="22"/>
      <c r="T216" s="22"/>
      <c r="U216" s="22"/>
      <c r="V216" s="571"/>
      <c r="W216" s="22"/>
      <c r="X216" s="22"/>
      <c r="Y216" s="22"/>
      <c r="Z216" s="485"/>
      <c r="AA216" s="449"/>
    </row>
    <row r="217" spans="13:27" ht="19.5" customHeight="1">
      <c r="M217" s="18"/>
      <c r="N217" s="19"/>
      <c r="O217" s="19"/>
      <c r="P217" s="20"/>
      <c r="Q217" s="22"/>
      <c r="R217" s="22"/>
      <c r="S217" s="22"/>
      <c r="T217" s="22"/>
      <c r="U217" s="22"/>
      <c r="V217" s="571"/>
      <c r="W217" s="22"/>
      <c r="X217" s="22"/>
      <c r="Y217" s="22"/>
      <c r="Z217" s="485"/>
      <c r="AA217" s="449"/>
    </row>
    <row r="218" spans="13:27" ht="19.5" customHeight="1">
      <c r="M218" s="18"/>
      <c r="N218" s="19"/>
      <c r="O218" s="19"/>
      <c r="P218" s="20"/>
      <c r="Q218" s="22"/>
      <c r="R218" s="22"/>
      <c r="S218" s="22"/>
      <c r="T218" s="22"/>
      <c r="U218" s="22"/>
      <c r="V218" s="571"/>
      <c r="W218" s="22"/>
      <c r="X218" s="22"/>
      <c r="Y218" s="22"/>
      <c r="Z218" s="485"/>
      <c r="AA218" s="449"/>
    </row>
    <row r="219" spans="13:27" ht="19.5" customHeight="1">
      <c r="M219" s="18"/>
      <c r="N219" s="19"/>
      <c r="O219" s="19"/>
      <c r="P219" s="20"/>
      <c r="Q219" s="22"/>
      <c r="R219" s="22"/>
      <c r="S219" s="22"/>
      <c r="T219" s="22"/>
      <c r="U219" s="22"/>
      <c r="V219" s="571"/>
      <c r="W219" s="22"/>
      <c r="X219" s="22"/>
      <c r="Y219" s="22"/>
      <c r="Z219" s="485"/>
      <c r="AA219" s="449"/>
    </row>
    <row r="220" spans="13:27" ht="19.5" customHeight="1">
      <c r="M220" s="18"/>
      <c r="N220" s="19"/>
      <c r="O220" s="19"/>
      <c r="P220" s="20"/>
      <c r="Q220" s="22"/>
      <c r="R220" s="22"/>
      <c r="S220" s="22"/>
      <c r="T220" s="22"/>
      <c r="U220" s="22"/>
      <c r="V220" s="571"/>
      <c r="W220" s="22"/>
      <c r="X220" s="22"/>
      <c r="Y220" s="22"/>
      <c r="Z220" s="485"/>
      <c r="AA220" s="449"/>
    </row>
    <row r="221" spans="13:27" ht="19.5" customHeight="1">
      <c r="M221" s="18"/>
      <c r="N221" s="19"/>
      <c r="O221" s="19"/>
      <c r="P221" s="20"/>
      <c r="Q221" s="22"/>
      <c r="R221" s="22"/>
      <c r="S221" s="22"/>
      <c r="T221" s="22"/>
      <c r="U221" s="22"/>
      <c r="V221" s="571"/>
      <c r="W221" s="22"/>
      <c r="X221" s="22"/>
      <c r="Y221" s="22"/>
      <c r="Z221" s="485"/>
      <c r="AA221" s="449"/>
    </row>
    <row r="222" spans="13:27" ht="19.5" customHeight="1">
      <c r="M222" s="18"/>
      <c r="N222" s="19"/>
      <c r="O222" s="19"/>
      <c r="P222" s="20"/>
      <c r="Q222" s="22"/>
      <c r="R222" s="22"/>
      <c r="S222" s="22"/>
      <c r="T222" s="22"/>
      <c r="U222" s="22"/>
      <c r="V222" s="571"/>
      <c r="W222" s="22"/>
      <c r="X222" s="22"/>
      <c r="Y222" s="22"/>
      <c r="Z222" s="485"/>
      <c r="AA222" s="449"/>
    </row>
    <row r="223" spans="13:27" ht="19.5" customHeight="1">
      <c r="M223" s="18"/>
      <c r="N223" s="19"/>
      <c r="O223" s="19"/>
      <c r="P223" s="20"/>
      <c r="Q223" s="22"/>
      <c r="R223" s="22"/>
      <c r="S223" s="22"/>
      <c r="T223" s="22"/>
      <c r="U223" s="22"/>
      <c r="V223" s="571"/>
      <c r="W223" s="22"/>
      <c r="X223" s="22"/>
      <c r="Y223" s="22"/>
      <c r="Z223" s="485"/>
      <c r="AA223" s="449"/>
    </row>
    <row r="224" spans="13:27" ht="19.5" customHeight="1">
      <c r="M224" s="18"/>
      <c r="N224" s="19"/>
      <c r="O224" s="19"/>
      <c r="P224" s="20"/>
      <c r="Q224" s="22"/>
      <c r="R224" s="22"/>
      <c r="S224" s="22"/>
      <c r="T224" s="22"/>
      <c r="U224" s="22"/>
      <c r="V224" s="571"/>
      <c r="W224" s="22"/>
      <c r="X224" s="22"/>
      <c r="Y224" s="22"/>
      <c r="Z224" s="485"/>
      <c r="AA224" s="449"/>
    </row>
    <row r="225" spans="13:27" ht="19.5" customHeight="1">
      <c r="M225" s="18"/>
      <c r="N225" s="19"/>
      <c r="O225" s="19"/>
      <c r="P225" s="20"/>
      <c r="Q225" s="22"/>
      <c r="R225" s="22"/>
      <c r="S225" s="22"/>
      <c r="T225" s="22"/>
      <c r="U225" s="22"/>
      <c r="V225" s="571"/>
      <c r="W225" s="22"/>
      <c r="X225" s="22"/>
      <c r="Y225" s="22"/>
      <c r="Z225" s="485"/>
      <c r="AA225" s="449"/>
    </row>
    <row r="226" spans="13:27" ht="19.5" customHeight="1">
      <c r="M226" s="18"/>
      <c r="N226" s="19"/>
      <c r="O226" s="19"/>
      <c r="P226" s="20"/>
      <c r="Q226" s="22"/>
      <c r="R226" s="22"/>
      <c r="S226" s="22"/>
      <c r="T226" s="22"/>
      <c r="U226" s="22"/>
      <c r="V226" s="571"/>
      <c r="W226" s="22"/>
      <c r="X226" s="22"/>
      <c r="Y226" s="22"/>
      <c r="Z226" s="485"/>
      <c r="AA226" s="449"/>
    </row>
    <row r="227" spans="13:27" ht="19.5" customHeight="1">
      <c r="M227" s="18"/>
      <c r="N227" s="19"/>
      <c r="O227" s="19"/>
      <c r="P227" s="20"/>
      <c r="Q227" s="22"/>
      <c r="R227" s="22"/>
      <c r="S227" s="22"/>
      <c r="T227" s="22"/>
      <c r="U227" s="22"/>
      <c r="V227" s="571"/>
      <c r="W227" s="22"/>
      <c r="X227" s="22"/>
      <c r="Y227" s="22"/>
      <c r="Z227" s="485"/>
      <c r="AA227" s="449"/>
    </row>
    <row r="228" spans="13:27" ht="19.5" customHeight="1">
      <c r="M228" s="18"/>
      <c r="N228" s="19"/>
      <c r="O228" s="19"/>
      <c r="P228" s="20"/>
      <c r="Q228" s="22"/>
      <c r="R228" s="22"/>
      <c r="S228" s="22"/>
      <c r="T228" s="22"/>
      <c r="U228" s="22"/>
      <c r="V228" s="571"/>
      <c r="W228" s="22"/>
      <c r="X228" s="22"/>
      <c r="Y228" s="22"/>
      <c r="Z228" s="485"/>
      <c r="AA228" s="449"/>
    </row>
    <row r="229" spans="13:27" ht="19.5" customHeight="1">
      <c r="M229" s="18"/>
      <c r="N229" s="19"/>
      <c r="O229" s="19"/>
      <c r="P229" s="20"/>
      <c r="Q229" s="22"/>
      <c r="R229" s="22"/>
      <c r="S229" s="22"/>
      <c r="T229" s="22"/>
      <c r="U229" s="22"/>
      <c r="V229" s="571"/>
      <c r="W229" s="22"/>
      <c r="X229" s="22"/>
      <c r="Y229" s="22"/>
      <c r="Z229" s="485"/>
      <c r="AA229" s="449"/>
    </row>
    <row r="230" spans="13:27" ht="19.5" customHeight="1">
      <c r="M230" s="18"/>
      <c r="N230" s="19"/>
      <c r="O230" s="19"/>
      <c r="P230" s="20"/>
      <c r="Q230" s="22"/>
      <c r="R230" s="22"/>
      <c r="S230" s="22"/>
      <c r="T230" s="22"/>
      <c r="U230" s="22"/>
      <c r="V230" s="571"/>
      <c r="W230" s="22"/>
      <c r="X230" s="22"/>
      <c r="Y230" s="22"/>
      <c r="Z230" s="485"/>
      <c r="AA230" s="449"/>
    </row>
    <row r="231" spans="13:27" ht="19.5" customHeight="1">
      <c r="M231" s="18"/>
      <c r="N231" s="19"/>
      <c r="O231" s="19"/>
      <c r="P231" s="20"/>
      <c r="Q231" s="22"/>
      <c r="R231" s="22"/>
      <c r="S231" s="22"/>
      <c r="T231" s="22"/>
      <c r="U231" s="22"/>
      <c r="V231" s="571"/>
      <c r="W231" s="22"/>
      <c r="X231" s="22"/>
      <c r="Y231" s="22"/>
      <c r="Z231" s="485"/>
      <c r="AA231" s="449"/>
    </row>
    <row r="232" spans="13:27" ht="19.5" customHeight="1">
      <c r="M232" s="18"/>
      <c r="N232" s="19"/>
      <c r="O232" s="19"/>
      <c r="P232" s="20"/>
      <c r="Q232" s="22"/>
      <c r="R232" s="22"/>
      <c r="S232" s="22"/>
      <c r="T232" s="22"/>
      <c r="U232" s="22"/>
      <c r="V232" s="571"/>
      <c r="W232" s="22"/>
      <c r="X232" s="22"/>
      <c r="Y232" s="22"/>
      <c r="Z232" s="485"/>
      <c r="AA232" s="449"/>
    </row>
    <row r="233" spans="13:27" ht="19.5" customHeight="1">
      <c r="M233" s="18"/>
      <c r="N233" s="19"/>
      <c r="O233" s="19"/>
      <c r="P233" s="20"/>
      <c r="Q233" s="22"/>
      <c r="R233" s="22"/>
      <c r="S233" s="22"/>
      <c r="T233" s="22"/>
      <c r="U233" s="22"/>
      <c r="V233" s="571"/>
      <c r="W233" s="22"/>
      <c r="X233" s="22"/>
      <c r="Y233" s="22"/>
      <c r="Z233" s="485"/>
      <c r="AA233" s="449"/>
    </row>
    <row r="234" spans="13:27" ht="19.5" customHeight="1">
      <c r="M234" s="18"/>
      <c r="N234" s="19"/>
      <c r="O234" s="19"/>
      <c r="P234" s="20"/>
      <c r="Q234" s="22"/>
      <c r="R234" s="22"/>
      <c r="S234" s="22"/>
      <c r="T234" s="22"/>
      <c r="U234" s="22"/>
      <c r="V234" s="571"/>
      <c r="W234" s="22"/>
      <c r="X234" s="22"/>
      <c r="Y234" s="22"/>
      <c r="Z234" s="485"/>
      <c r="AA234" s="449"/>
    </row>
    <row r="235" spans="13:27" ht="19.5" customHeight="1">
      <c r="M235" s="18"/>
      <c r="N235" s="19"/>
      <c r="O235" s="19"/>
      <c r="P235" s="20"/>
      <c r="Q235" s="22"/>
      <c r="R235" s="22"/>
      <c r="S235" s="22"/>
      <c r="T235" s="22"/>
      <c r="U235" s="22"/>
      <c r="V235" s="571"/>
      <c r="W235" s="22"/>
      <c r="X235" s="22"/>
      <c r="Y235" s="22"/>
      <c r="Z235" s="485"/>
      <c r="AA235" s="449"/>
    </row>
    <row r="236" spans="13:27" ht="19.5" customHeight="1">
      <c r="M236" s="18"/>
      <c r="N236" s="19"/>
      <c r="O236" s="19"/>
      <c r="P236" s="20"/>
      <c r="Q236" s="22"/>
      <c r="R236" s="22"/>
      <c r="S236" s="22"/>
      <c r="T236" s="22"/>
      <c r="U236" s="22"/>
      <c r="V236" s="571"/>
      <c r="W236" s="22"/>
      <c r="X236" s="22"/>
      <c r="Y236" s="22"/>
      <c r="Z236" s="485"/>
      <c r="AA236" s="449"/>
    </row>
    <row r="237" spans="13:27" ht="19.5" customHeight="1">
      <c r="M237" s="18"/>
      <c r="N237" s="19"/>
      <c r="O237" s="19"/>
      <c r="P237" s="20"/>
      <c r="Q237" s="22"/>
      <c r="R237" s="22"/>
      <c r="S237" s="22"/>
      <c r="T237" s="22"/>
      <c r="U237" s="22"/>
      <c r="V237" s="571"/>
      <c r="W237" s="22"/>
      <c r="X237" s="22"/>
      <c r="Y237" s="22"/>
      <c r="Z237" s="485"/>
      <c r="AA237" s="449"/>
    </row>
    <row r="238" spans="13:27" ht="19.5" customHeight="1">
      <c r="M238" s="18"/>
      <c r="N238" s="19"/>
      <c r="O238" s="19"/>
      <c r="P238" s="20"/>
      <c r="Q238" s="22"/>
      <c r="R238" s="22"/>
      <c r="S238" s="22"/>
      <c r="T238" s="22"/>
      <c r="U238" s="22"/>
      <c r="V238" s="571"/>
      <c r="W238" s="22"/>
      <c r="X238" s="22"/>
      <c r="Y238" s="22"/>
      <c r="Z238" s="485"/>
      <c r="AA238" s="449"/>
    </row>
    <row r="239" spans="13:27" ht="19.5" customHeight="1">
      <c r="M239" s="18"/>
      <c r="N239" s="19"/>
      <c r="O239" s="19"/>
      <c r="P239" s="20"/>
      <c r="Q239" s="22"/>
      <c r="R239" s="22"/>
      <c r="S239" s="22"/>
      <c r="T239" s="22"/>
      <c r="U239" s="22"/>
      <c r="V239" s="571"/>
      <c r="W239" s="22"/>
      <c r="X239" s="22"/>
      <c r="Y239" s="22"/>
      <c r="Z239" s="485"/>
      <c r="AA239" s="449"/>
    </row>
    <row r="240" spans="13:27" ht="19.5" customHeight="1">
      <c r="M240" s="18"/>
      <c r="N240" s="19"/>
      <c r="O240" s="19"/>
      <c r="P240" s="20"/>
      <c r="Q240" s="22"/>
      <c r="R240" s="22"/>
      <c r="S240" s="22"/>
      <c r="T240" s="22"/>
      <c r="U240" s="22"/>
      <c r="V240" s="571"/>
      <c r="W240" s="22"/>
      <c r="X240" s="22"/>
      <c r="Y240" s="22"/>
      <c r="Z240" s="485"/>
      <c r="AA240" s="449"/>
    </row>
    <row r="241" spans="13:27" ht="19.5" customHeight="1">
      <c r="M241" s="18"/>
      <c r="N241" s="19"/>
      <c r="O241" s="19"/>
      <c r="P241" s="20"/>
      <c r="Q241" s="22"/>
      <c r="R241" s="22"/>
      <c r="S241" s="22"/>
      <c r="T241" s="22"/>
      <c r="U241" s="22"/>
      <c r="V241" s="571"/>
      <c r="W241" s="22"/>
      <c r="X241" s="22"/>
      <c r="Y241" s="22"/>
      <c r="Z241" s="485"/>
      <c r="AA241" s="449"/>
    </row>
    <row r="242" spans="13:27" ht="19.5" customHeight="1">
      <c r="M242" s="18"/>
      <c r="N242" s="19"/>
      <c r="O242" s="19"/>
      <c r="P242" s="20"/>
      <c r="Q242" s="22"/>
      <c r="R242" s="22"/>
      <c r="S242" s="22"/>
      <c r="T242" s="22"/>
      <c r="U242" s="22"/>
      <c r="V242" s="571"/>
      <c r="W242" s="22"/>
      <c r="X242" s="22"/>
      <c r="Y242" s="22"/>
      <c r="Z242" s="485"/>
      <c r="AA242" s="449"/>
    </row>
    <row r="243" spans="13:27" ht="19.5" customHeight="1">
      <c r="M243" s="18"/>
      <c r="N243" s="19"/>
      <c r="O243" s="19"/>
      <c r="P243" s="20"/>
      <c r="Q243" s="22"/>
      <c r="R243" s="22"/>
      <c r="S243" s="22"/>
      <c r="T243" s="22"/>
      <c r="U243" s="22"/>
      <c r="V243" s="571"/>
      <c r="W243" s="22"/>
      <c r="X243" s="22"/>
      <c r="Y243" s="22"/>
      <c r="Z243" s="485"/>
      <c r="AA243" s="449"/>
    </row>
    <row r="244" spans="13:27" ht="19.5" customHeight="1">
      <c r="M244" s="18"/>
      <c r="N244" s="19"/>
      <c r="O244" s="19"/>
      <c r="P244" s="20"/>
      <c r="Q244" s="22"/>
      <c r="R244" s="22"/>
      <c r="S244" s="22"/>
      <c r="T244" s="22"/>
      <c r="U244" s="22"/>
      <c r="V244" s="571"/>
      <c r="W244" s="22"/>
      <c r="X244" s="22"/>
      <c r="Y244" s="22"/>
      <c r="Z244" s="485"/>
      <c r="AA244" s="449"/>
    </row>
    <row r="245" spans="13:27" ht="19.5" customHeight="1">
      <c r="M245" s="18"/>
      <c r="N245" s="19"/>
      <c r="O245" s="19"/>
      <c r="P245" s="20"/>
      <c r="Q245" s="22"/>
      <c r="R245" s="22"/>
      <c r="S245" s="22"/>
      <c r="T245" s="22"/>
      <c r="U245" s="22"/>
      <c r="V245" s="571"/>
      <c r="W245" s="22"/>
      <c r="X245" s="22"/>
      <c r="Y245" s="22"/>
      <c r="Z245" s="485"/>
      <c r="AA245" s="449"/>
    </row>
    <row r="246" spans="13:27" ht="19.5" customHeight="1">
      <c r="M246" s="18"/>
      <c r="N246" s="19"/>
      <c r="O246" s="19"/>
      <c r="P246" s="20"/>
      <c r="Q246" s="22"/>
      <c r="R246" s="22"/>
      <c r="S246" s="22"/>
      <c r="T246" s="22"/>
      <c r="U246" s="22"/>
      <c r="V246" s="571"/>
      <c r="W246" s="22"/>
      <c r="X246" s="22"/>
      <c r="Y246" s="22"/>
      <c r="Z246" s="485"/>
      <c r="AA246" s="449"/>
    </row>
    <row r="247" spans="13:27" ht="19.5" customHeight="1">
      <c r="M247" s="18"/>
      <c r="N247" s="19"/>
      <c r="O247" s="19"/>
      <c r="P247" s="20"/>
      <c r="Q247" s="22"/>
      <c r="R247" s="22"/>
      <c r="S247" s="22"/>
      <c r="T247" s="22"/>
      <c r="U247" s="22"/>
      <c r="V247" s="571"/>
      <c r="W247" s="22"/>
      <c r="X247" s="22"/>
      <c r="Y247" s="22"/>
      <c r="Z247" s="485"/>
      <c r="AA247" s="449"/>
    </row>
    <row r="248" spans="13:27" ht="19.5" customHeight="1">
      <c r="M248" s="18"/>
      <c r="N248" s="19"/>
      <c r="O248" s="19"/>
      <c r="P248" s="20"/>
      <c r="Q248" s="22"/>
      <c r="R248" s="22"/>
      <c r="S248" s="22"/>
      <c r="T248" s="22"/>
      <c r="U248" s="22"/>
      <c r="V248" s="571"/>
      <c r="W248" s="22"/>
      <c r="X248" s="22"/>
      <c r="Y248" s="22"/>
      <c r="Z248" s="485"/>
      <c r="AA248" s="449"/>
    </row>
    <row r="249" spans="13:27" ht="19.5" customHeight="1">
      <c r="M249" s="18"/>
      <c r="N249" s="19"/>
      <c r="O249" s="19"/>
      <c r="P249" s="20"/>
      <c r="Q249" s="22"/>
      <c r="R249" s="22"/>
      <c r="S249" s="22"/>
      <c r="T249" s="22"/>
      <c r="U249" s="22"/>
      <c r="V249" s="571"/>
      <c r="W249" s="22"/>
      <c r="X249" s="22"/>
      <c r="Y249" s="22"/>
      <c r="Z249" s="485"/>
      <c r="AA249" s="449"/>
    </row>
    <row r="250" spans="13:27" ht="19.5" customHeight="1">
      <c r="M250" s="18"/>
      <c r="N250" s="19"/>
      <c r="O250" s="19"/>
      <c r="P250" s="20"/>
      <c r="Q250" s="22"/>
      <c r="R250" s="22"/>
      <c r="S250" s="22"/>
      <c r="T250" s="22"/>
      <c r="U250" s="22"/>
      <c r="V250" s="571"/>
      <c r="W250" s="22"/>
      <c r="X250" s="22"/>
      <c r="Y250" s="22"/>
      <c r="Z250" s="485"/>
      <c r="AA250" s="449"/>
    </row>
    <row r="251" spans="13:27" ht="19.5" customHeight="1">
      <c r="M251" s="18"/>
      <c r="N251" s="19"/>
      <c r="O251" s="19"/>
      <c r="P251" s="20"/>
      <c r="Q251" s="22"/>
      <c r="R251" s="22"/>
      <c r="S251" s="22"/>
      <c r="T251" s="22"/>
      <c r="U251" s="22"/>
      <c r="V251" s="571"/>
      <c r="W251" s="22"/>
      <c r="X251" s="22"/>
      <c r="Y251" s="22"/>
      <c r="Z251" s="485"/>
      <c r="AA251" s="449"/>
    </row>
    <row r="252" spans="13:27" ht="19.5" customHeight="1">
      <c r="M252" s="18"/>
      <c r="N252" s="19"/>
      <c r="O252" s="19"/>
      <c r="P252" s="20"/>
      <c r="Q252" s="22"/>
      <c r="R252" s="22"/>
      <c r="S252" s="22"/>
      <c r="T252" s="22"/>
      <c r="U252" s="22"/>
      <c r="V252" s="571"/>
      <c r="W252" s="22"/>
      <c r="X252" s="22"/>
      <c r="Y252" s="22"/>
      <c r="Z252" s="485"/>
      <c r="AA252" s="449"/>
    </row>
    <row r="253" spans="13:27" ht="19.5" customHeight="1">
      <c r="M253" s="18"/>
      <c r="N253" s="19"/>
      <c r="O253" s="19"/>
      <c r="P253" s="20"/>
      <c r="Q253" s="22"/>
      <c r="R253" s="22"/>
      <c r="S253" s="22"/>
      <c r="T253" s="22"/>
      <c r="U253" s="22"/>
      <c r="V253" s="571"/>
      <c r="W253" s="22"/>
      <c r="X253" s="22"/>
      <c r="Y253" s="22"/>
      <c r="Z253" s="485"/>
      <c r="AA253" s="449"/>
    </row>
    <row r="254" spans="13:27" ht="19.5" customHeight="1">
      <c r="M254" s="18"/>
      <c r="N254" s="19"/>
      <c r="O254" s="19"/>
      <c r="P254" s="20"/>
      <c r="Q254" s="22"/>
      <c r="R254" s="22"/>
      <c r="S254" s="22"/>
      <c r="T254" s="22"/>
      <c r="U254" s="22"/>
      <c r="V254" s="571"/>
      <c r="W254" s="22"/>
      <c r="X254" s="22"/>
      <c r="Y254" s="22"/>
      <c r="Z254" s="485"/>
      <c r="AA254" s="449"/>
    </row>
    <row r="255" spans="13:27" ht="19.5" customHeight="1">
      <c r="M255" s="18"/>
      <c r="N255" s="19"/>
      <c r="O255" s="19"/>
      <c r="P255" s="20"/>
      <c r="Q255" s="22"/>
      <c r="R255" s="22"/>
      <c r="S255" s="22"/>
      <c r="T255" s="22"/>
      <c r="U255" s="22"/>
      <c r="V255" s="571"/>
      <c r="W255" s="22"/>
      <c r="X255" s="22"/>
      <c r="Y255" s="22"/>
      <c r="Z255" s="485"/>
      <c r="AA255" s="449"/>
    </row>
    <row r="256" spans="13:27" ht="19.5" customHeight="1">
      <c r="M256" s="18"/>
      <c r="N256" s="19"/>
      <c r="O256" s="19"/>
      <c r="P256" s="20"/>
      <c r="Q256" s="22"/>
      <c r="R256" s="22"/>
      <c r="S256" s="22"/>
      <c r="T256" s="22"/>
      <c r="U256" s="22"/>
      <c r="V256" s="571"/>
      <c r="W256" s="22"/>
      <c r="X256" s="22"/>
      <c r="Y256" s="22"/>
      <c r="Z256" s="485"/>
      <c r="AA256" s="449"/>
    </row>
    <row r="257" spans="13:27" ht="19.5" customHeight="1">
      <c r="M257" s="18"/>
      <c r="N257" s="19"/>
      <c r="O257" s="19"/>
      <c r="P257" s="20"/>
      <c r="Q257" s="22"/>
      <c r="R257" s="22"/>
      <c r="S257" s="22"/>
      <c r="T257" s="22"/>
      <c r="U257" s="22"/>
      <c r="V257" s="571"/>
      <c r="W257" s="22"/>
      <c r="X257" s="22"/>
      <c r="Y257" s="22"/>
      <c r="Z257" s="485"/>
      <c r="AA257" s="449"/>
    </row>
    <row r="258" spans="13:27" ht="19.5" customHeight="1">
      <c r="M258" s="18"/>
      <c r="N258" s="19"/>
      <c r="O258" s="19"/>
      <c r="P258" s="20"/>
      <c r="Q258" s="22"/>
      <c r="R258" s="22"/>
      <c r="S258" s="22"/>
      <c r="T258" s="22"/>
      <c r="U258" s="22"/>
      <c r="V258" s="571"/>
      <c r="W258" s="22"/>
      <c r="X258" s="22"/>
      <c r="Y258" s="22"/>
      <c r="Z258" s="485"/>
      <c r="AA258" s="449"/>
    </row>
    <row r="259" spans="13:27" ht="19.5" customHeight="1">
      <c r="M259" s="18"/>
      <c r="N259" s="19"/>
      <c r="O259" s="19"/>
      <c r="P259" s="20"/>
      <c r="Q259" s="22"/>
      <c r="R259" s="22"/>
      <c r="S259" s="22"/>
      <c r="T259" s="22"/>
      <c r="U259" s="22"/>
      <c r="V259" s="571"/>
      <c r="W259" s="22"/>
      <c r="X259" s="22"/>
      <c r="Y259" s="22"/>
      <c r="Z259" s="485"/>
      <c r="AA259" s="449"/>
    </row>
    <row r="260" spans="13:27" ht="19.5" customHeight="1">
      <c r="M260" s="18"/>
      <c r="N260" s="19"/>
      <c r="O260" s="19"/>
      <c r="P260" s="20"/>
      <c r="Q260" s="22"/>
      <c r="R260" s="22"/>
      <c r="S260" s="22"/>
      <c r="T260" s="22"/>
      <c r="U260" s="22"/>
      <c r="V260" s="571"/>
      <c r="W260" s="22"/>
      <c r="X260" s="22"/>
      <c r="Y260" s="22"/>
      <c r="Z260" s="485"/>
      <c r="AA260" s="449"/>
    </row>
    <row r="261" spans="13:27" ht="19.5" customHeight="1">
      <c r="M261" s="18"/>
      <c r="N261" s="19"/>
      <c r="O261" s="19"/>
      <c r="P261" s="20"/>
      <c r="Q261" s="22"/>
      <c r="R261" s="22"/>
      <c r="S261" s="22"/>
      <c r="T261" s="22"/>
      <c r="U261" s="22"/>
      <c r="V261" s="571"/>
      <c r="W261" s="22"/>
      <c r="X261" s="22"/>
      <c r="Y261" s="22"/>
      <c r="Z261" s="485"/>
      <c r="AA261" s="449"/>
    </row>
    <row r="262" spans="13:27" ht="19.5" customHeight="1">
      <c r="M262" s="18"/>
      <c r="N262" s="19"/>
      <c r="O262" s="19"/>
      <c r="P262" s="20"/>
      <c r="Q262" s="22"/>
      <c r="R262" s="22"/>
      <c r="S262" s="22"/>
      <c r="T262" s="22"/>
      <c r="U262" s="22"/>
      <c r="V262" s="571"/>
      <c r="W262" s="22"/>
      <c r="X262" s="22"/>
      <c r="Y262" s="22"/>
      <c r="Z262" s="485"/>
      <c r="AA262" s="449"/>
    </row>
    <row r="263" spans="13:27" ht="19.5" customHeight="1">
      <c r="M263" s="18"/>
      <c r="N263" s="19"/>
      <c r="O263" s="19"/>
      <c r="P263" s="20"/>
      <c r="Q263" s="22"/>
      <c r="R263" s="22"/>
      <c r="S263" s="22"/>
      <c r="T263" s="22"/>
      <c r="U263" s="22"/>
      <c r="V263" s="571"/>
      <c r="W263" s="22"/>
      <c r="X263" s="22"/>
      <c r="Y263" s="22"/>
      <c r="Z263" s="485"/>
      <c r="AA263" s="449"/>
    </row>
    <row r="264" spans="13:27" ht="19.5" customHeight="1">
      <c r="M264" s="18"/>
      <c r="N264" s="19"/>
      <c r="O264" s="19"/>
      <c r="P264" s="20"/>
      <c r="Q264" s="22"/>
      <c r="R264" s="22"/>
      <c r="S264" s="22"/>
      <c r="T264" s="22"/>
      <c r="U264" s="22"/>
      <c r="V264" s="571"/>
      <c r="W264" s="22"/>
      <c r="X264" s="22"/>
      <c r="Y264" s="22"/>
      <c r="Z264" s="485"/>
      <c r="AA264" s="449"/>
    </row>
    <row r="265" spans="13:27" ht="19.5" customHeight="1">
      <c r="M265" s="18"/>
      <c r="N265" s="19"/>
      <c r="O265" s="19"/>
      <c r="P265" s="20"/>
      <c r="Q265" s="22"/>
      <c r="R265" s="22"/>
      <c r="S265" s="22"/>
      <c r="T265" s="22"/>
      <c r="U265" s="22"/>
      <c r="V265" s="571"/>
      <c r="W265" s="22"/>
      <c r="X265" s="22"/>
      <c r="Y265" s="22"/>
      <c r="Z265" s="485"/>
      <c r="AA265" s="449"/>
    </row>
    <row r="266" spans="13:27" ht="19.5" customHeight="1">
      <c r="M266" s="18"/>
      <c r="N266" s="19"/>
      <c r="O266" s="19"/>
      <c r="P266" s="20"/>
      <c r="Q266" s="22"/>
      <c r="R266" s="22"/>
      <c r="S266" s="22"/>
      <c r="T266" s="22"/>
      <c r="U266" s="22"/>
      <c r="V266" s="571"/>
      <c r="W266" s="22"/>
      <c r="X266" s="22"/>
      <c r="Y266" s="22"/>
      <c r="Z266" s="485"/>
      <c r="AA266" s="449"/>
    </row>
    <row r="267" spans="13:27" ht="19.5" customHeight="1">
      <c r="M267" s="18"/>
      <c r="N267" s="19"/>
      <c r="O267" s="19"/>
      <c r="P267" s="20"/>
      <c r="Q267" s="22"/>
      <c r="R267" s="22"/>
      <c r="S267" s="22"/>
      <c r="T267" s="22"/>
      <c r="U267" s="22"/>
      <c r="V267" s="571"/>
      <c r="W267" s="22"/>
      <c r="X267" s="22"/>
      <c r="Y267" s="22"/>
      <c r="Z267" s="485"/>
      <c r="AA267" s="449"/>
    </row>
    <row r="268" spans="13:27" ht="19.5" customHeight="1">
      <c r="M268" s="18"/>
      <c r="N268" s="19"/>
      <c r="O268" s="19"/>
      <c r="P268" s="20"/>
      <c r="Q268" s="22"/>
      <c r="R268" s="22"/>
      <c r="S268" s="22"/>
      <c r="T268" s="22"/>
      <c r="U268" s="22"/>
      <c r="V268" s="571"/>
      <c r="W268" s="22"/>
      <c r="X268" s="22"/>
      <c r="Y268" s="22"/>
      <c r="Z268" s="485"/>
      <c r="AA268" s="449"/>
    </row>
    <row r="269" spans="13:27" ht="19.5" customHeight="1">
      <c r="M269" s="18"/>
      <c r="N269" s="19"/>
      <c r="O269" s="19"/>
      <c r="P269" s="20"/>
      <c r="Q269" s="22"/>
      <c r="R269" s="22"/>
      <c r="S269" s="22"/>
      <c r="T269" s="22"/>
      <c r="U269" s="22"/>
      <c r="V269" s="571"/>
      <c r="W269" s="22"/>
      <c r="X269" s="22"/>
      <c r="Y269" s="22"/>
      <c r="Z269" s="485"/>
      <c r="AA269" s="449"/>
    </row>
    <row r="270" spans="13:27" ht="19.5" customHeight="1">
      <c r="M270" s="18"/>
      <c r="N270" s="19"/>
      <c r="O270" s="19"/>
      <c r="P270" s="20"/>
      <c r="Q270" s="22"/>
      <c r="R270" s="22"/>
      <c r="S270" s="22"/>
      <c r="T270" s="22"/>
      <c r="U270" s="22"/>
      <c r="V270" s="571"/>
      <c r="W270" s="22"/>
      <c r="X270" s="22"/>
      <c r="Y270" s="22"/>
      <c r="Z270" s="485"/>
      <c r="AA270" s="449"/>
    </row>
    <row r="271" spans="13:27" ht="19.5" customHeight="1">
      <c r="M271" s="18"/>
      <c r="N271" s="19"/>
      <c r="O271" s="19"/>
      <c r="P271" s="20"/>
      <c r="Q271" s="22"/>
      <c r="R271" s="22"/>
      <c r="S271" s="22"/>
      <c r="T271" s="22"/>
      <c r="U271" s="22"/>
      <c r="V271" s="571"/>
      <c r="W271" s="22"/>
      <c r="X271" s="22"/>
      <c r="Y271" s="22"/>
      <c r="Z271" s="485"/>
      <c r="AA271" s="449"/>
    </row>
  </sheetData>
  <sheetProtection formatCells="0" formatColumns="0" formatRows="0"/>
  <phoneticPr fontId="5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26"/>
  <dimension ref="A1:FM247"/>
  <sheetViews>
    <sheetView topLeftCell="B25" workbookViewId="0">
      <selection activeCell="L13" sqref="L13"/>
    </sheetView>
  </sheetViews>
  <sheetFormatPr defaultColWidth="9.0703125" defaultRowHeight="19.5" customHeight="1"/>
  <cols>
    <col min="1" max="1" width="9.0703125" style="459"/>
    <col min="2" max="2" width="15" style="459" customWidth="1"/>
    <col min="3" max="3" width="16.85546875" style="459" bestFit="1" customWidth="1"/>
    <col min="4" max="4" width="10.0703125" style="459" bestFit="1" customWidth="1"/>
    <col min="5" max="8" width="9.0703125" style="459" customWidth="1"/>
    <col min="9" max="9" width="6.85546875" style="12" customWidth="1"/>
    <col min="10" max="10" width="10" style="12" bestFit="1" customWidth="1"/>
    <col min="11" max="11" width="6.2109375" style="12" customWidth="1"/>
    <col min="12" max="12" width="12" style="1517" customWidth="1"/>
    <col min="13" max="13" width="10.0703125" style="12" customWidth="1"/>
    <col min="14" max="14" width="15.85546875" style="1546" customWidth="1"/>
    <col min="15" max="15" width="18.42578125" style="1546" bestFit="1" customWidth="1"/>
    <col min="16" max="16" width="13.0703125" style="1546" customWidth="1"/>
    <col min="17" max="17" width="15.0703125" style="1546" customWidth="1"/>
    <col min="18" max="18" width="15.28515625" style="12" bestFit="1" customWidth="1"/>
    <col min="19" max="19" width="7.2109375" style="12" bestFit="1" customWidth="1"/>
    <col min="20" max="20" width="13.28515625" style="12" bestFit="1" customWidth="1"/>
    <col min="21" max="21" width="13.28515625" style="12" customWidth="1"/>
    <col min="22" max="22" width="8.640625" style="12" bestFit="1" customWidth="1"/>
    <col min="23" max="23" width="12.0703125" style="12" bestFit="1" customWidth="1"/>
    <col min="24" max="25" width="7.2109375" style="12" bestFit="1" customWidth="1"/>
    <col min="26" max="26" width="10.42578125" style="12" customWidth="1"/>
    <col min="27" max="27" width="8.0703125" style="26" customWidth="1"/>
    <col min="28" max="28" width="10.640625" style="12" customWidth="1"/>
    <col min="29" max="29" width="13.28515625" style="12" bestFit="1" customWidth="1"/>
    <col min="30" max="30" width="16.640625" style="12" bestFit="1" customWidth="1"/>
    <col min="31" max="31" width="13.28515625" style="109" customWidth="1"/>
    <col min="32" max="32" width="10.0703125" style="448" bestFit="1" customWidth="1"/>
    <col min="33" max="34" width="9.0703125" style="12" customWidth="1"/>
    <col min="35" max="36" width="11.0703125" style="12" bestFit="1" customWidth="1"/>
    <col min="37" max="37" width="13.28515625" style="1517" bestFit="1" customWidth="1"/>
    <col min="38" max="38" width="11.0703125" style="109" customWidth="1"/>
    <col min="39" max="40" width="9.0703125" style="448"/>
    <col min="41" max="41" width="11.28515625" style="1546" bestFit="1" customWidth="1"/>
    <col min="42" max="42" width="11.0703125" style="927" bestFit="1" customWidth="1"/>
    <col min="43" max="43" width="9.0703125" style="927"/>
    <col min="44" max="44" width="11.28515625" style="12" bestFit="1" customWidth="1"/>
    <col min="45" max="45" width="9.0703125" style="12"/>
    <col min="46" max="49" width="11.640625" style="927" bestFit="1" customWidth="1"/>
    <col min="50" max="50" width="10" style="448" bestFit="1" customWidth="1"/>
    <col min="51" max="51" width="7.2109375" style="12" bestFit="1" customWidth="1"/>
    <col min="52" max="53" width="10" style="12" bestFit="1" customWidth="1"/>
    <col min="54" max="54" width="7.2109375" style="12" bestFit="1" customWidth="1"/>
    <col min="55" max="55" width="10" style="12" bestFit="1" customWidth="1"/>
    <col min="56" max="57" width="7.2109375" style="12" bestFit="1" customWidth="1"/>
    <col min="58" max="59" width="10" style="12" bestFit="1" customWidth="1"/>
    <col min="60" max="60" width="7.2109375" style="12" bestFit="1" customWidth="1"/>
    <col min="61" max="61" width="10" style="12" bestFit="1" customWidth="1"/>
    <col min="62" max="62" width="7.2109375" style="12" bestFit="1" customWidth="1"/>
    <col min="63" max="16384" width="9.0703125" style="12"/>
  </cols>
  <sheetData>
    <row r="1" spans="1:169" s="435" customFormat="1" ht="19.5" customHeight="1">
      <c r="A1" s="459"/>
      <c r="B1" s="459"/>
      <c r="C1" s="459"/>
      <c r="D1" s="459"/>
      <c r="E1" s="459"/>
      <c r="F1" s="459"/>
      <c r="G1" s="459"/>
      <c r="H1" s="459"/>
      <c r="I1" s="12"/>
      <c r="J1" s="435" t="s">
        <v>4304</v>
      </c>
      <c r="K1" s="435">
        <f ca="1">COUNTIF(K7:K48,"&lt;&gt;0")</f>
        <v>4</v>
      </c>
      <c r="L1" s="1515">
        <f ca="1">SUM(L7:L48)</f>
        <v>400000</v>
      </c>
      <c r="M1" s="620">
        <f ca="1">SUMPRODUCT(投組換券表[投入佔比]*M7:M48)</f>
        <v>5.2922917854043447E-2</v>
      </c>
      <c r="N1" s="1299">
        <f ca="1">SUM(N7:N48)</f>
        <v>332000</v>
      </c>
      <c r="O1" s="1299">
        <f ca="1">SUM(O7:O48)</f>
        <v>327011.40000000002</v>
      </c>
      <c r="P1" s="1299">
        <f ca="1">SUM(P7:P48)</f>
        <v>9960000</v>
      </c>
      <c r="Q1" s="1299">
        <f ca="1">SUM(Q7:Q48)</f>
        <v>9810342</v>
      </c>
      <c r="T1" s="436"/>
      <c r="U1" s="436">
        <f ca="1">SUMPRODUCT(投組換券表[投入佔比]*投組換券表[賣價(含息)])</f>
        <v>91.390783132530132</v>
      </c>
      <c r="V1" s="437">
        <f ca="1">SUMPRODUCT(投組換券表[投入佔比]*投組換券表[距到期年])</f>
        <v>29.87620481927711</v>
      </c>
      <c r="W1" s="436"/>
      <c r="X1" s="1512">
        <f ca="1">SUMPRODUCT(投組換券表[投入佔比]*投組換券表[票面利率])</f>
        <v>4.296385542168675E-2</v>
      </c>
      <c r="Y1" s="439"/>
      <c r="Z1" s="439"/>
      <c r="AA1" s="567"/>
      <c r="AB1" s="439"/>
      <c r="AC1" s="1510">
        <f ca="1">SUMIFS(投組換券表[投入面額],投組換券表[檢測],TRUE)</f>
        <v>400000</v>
      </c>
      <c r="AD1" s="439">
        <f ca="1">SUMIFS(投組換券表[持有成本(不含前手息)],投組換券表[檢測],TRUE)</f>
        <v>327011.40000000002</v>
      </c>
      <c r="AE1" s="616">
        <f ca="1">SUMPRODUCT(1/COUNTIF(投組換券表[名稱],投組換券表[名稱]))-IF(COUNTIF(投組換券表[名稱],"")&gt;0,1,0)</f>
        <v>3.9999999999999956</v>
      </c>
      <c r="AF1" s="616">
        <f t="array" aca="1" ref="AF1" ca="1">SUMPRODUCT(1/COUNTIF(投組換券表[產業],投組換券表[產業]))-IF(COUNTIF(投組換券表[產業],"")&gt;0,1,0)</f>
        <v>2.9999999999999956</v>
      </c>
      <c r="AG1" s="655">
        <f ca="1">IF(AG3&gt;0,AG2-1,AG2)</f>
        <v>1.0000000000000027</v>
      </c>
      <c r="AH1" s="28">
        <f ca="1">IFERROR(AVERAGEIF(投組換券表[檢測],TRUE,投組換券表[對應編碼]),AVERAGEIF(投組換券表[對應編碼],"&lt;&gt;#N/A"))</f>
        <v>1</v>
      </c>
      <c r="AK1" s="1515">
        <f ca="1">SUMIFS(投組換券表[投資面額],投組換券表[檢測],TRUE)</f>
        <v>12992400</v>
      </c>
      <c r="AL1" s="1290"/>
      <c r="AM1" s="501">
        <f ca="1">SUMPRODUCT(投組換券表[投入佔比]*投組換券表[MOD])</f>
        <v>15.836375301204821</v>
      </c>
      <c r="AN1" s="501"/>
      <c r="AO1" s="1559">
        <f ca="1">SUMPRODUCT((投組換券表[檢測]=TRUE)*(投組換券表[增值潛力])*投組換券表[換算匯率(現)])</f>
        <v>1717836.09348438</v>
      </c>
      <c r="AP1" s="1082"/>
      <c r="AQ1" s="1082"/>
      <c r="AR1" s="1559">
        <f ca="1">SUMPRODUCT((投組換券表[檢測]=TRUE)*(投組換券表[年度配息])*投組換券表[換算匯率(現)])</f>
        <v>533500.42500000005</v>
      </c>
      <c r="AT1" s="1082"/>
      <c r="AU1" s="1082"/>
      <c r="AV1" s="1082"/>
      <c r="AW1" s="1082"/>
      <c r="AX1" s="501"/>
      <c r="AY1" s="1299">
        <f ca="1">SUMIF(投組換券表[檢測],"TRUE",投組換券表[未來1])</f>
        <v>5787.5</v>
      </c>
      <c r="AZ1" s="1299">
        <f ca="1">SUMIF(投組換券表[檢測],"TRUE",投組換券表[未來2])</f>
        <v>0</v>
      </c>
      <c r="BA1" s="1299">
        <f ca="1">SUMIF(投組換券表[檢測],"TRUE",投組換券表[未來3])</f>
        <v>0</v>
      </c>
      <c r="BB1" s="1299">
        <f ca="1">SUMIF(投組換券表[檢測],"TRUE",投組換券表[未來4])</f>
        <v>2424.9999999999995</v>
      </c>
      <c r="BC1" s="1299">
        <f ca="1">SUMIF(投組換券表[檢測],"TRUE",投組換券表[未來5])</f>
        <v>0</v>
      </c>
      <c r="BD1" s="1299">
        <f ca="1">SUMIF(投組換券表[檢測],"TRUE",投組換券表[未來6])</f>
        <v>0</v>
      </c>
      <c r="BE1" s="1299">
        <f ca="1">SUMIF(投組換券表[檢測],"TRUE",投組換券表[未來7])</f>
        <v>5787.5</v>
      </c>
      <c r="BF1" s="1299">
        <f ca="1">SUMIF(投組換券表[檢測],"TRUE",投組換券表[未來8])</f>
        <v>0</v>
      </c>
      <c r="BG1" s="1299">
        <f ca="1">SUMIF(投組換券表[檢測],"TRUE",投組換券表[未來9])</f>
        <v>0</v>
      </c>
      <c r="BH1" s="1299">
        <f ca="1">SUMIF(投組換券表[檢測],"TRUE",投組換券表[未來10])</f>
        <v>2424.9999999999995</v>
      </c>
      <c r="BI1" s="1299">
        <f ca="1">SUMIF(投組換券表[檢測],"TRUE",投組換券表[未來11])</f>
        <v>0</v>
      </c>
      <c r="BJ1" s="1299">
        <f ca="1">SUMIF(投組換券表[檢測],"TRUE",投組換券表[未來12])</f>
        <v>0</v>
      </c>
    </row>
    <row r="2" spans="1:169" ht="19.5" customHeight="1">
      <c r="J2" s="941" t="s">
        <v>4090</v>
      </c>
      <c r="K2" s="941">
        <f>COUNTIF(K7:K12,"&lt;&gt;0")</f>
        <v>0</v>
      </c>
      <c r="L2" s="1516">
        <f>SUMIFS(L7:L12,AA7:AA12,TRUE)</f>
        <v>0</v>
      </c>
      <c r="M2" s="1182">
        <f ca="1">SUMPRODUCT((M7:M12)*(R7:R12))</f>
        <v>0</v>
      </c>
      <c r="N2" s="1528">
        <f>SUMIFS(N7:N12,AA7:AA12,TRUE)</f>
        <v>0</v>
      </c>
      <c r="O2" s="1528">
        <f>SUMIFS(O7:O12,AA7:AA12,TRUE)</f>
        <v>0</v>
      </c>
      <c r="P2" s="1528"/>
      <c r="Q2" s="1528"/>
      <c r="R2" s="941"/>
      <c r="S2" s="1177"/>
      <c r="T2" s="941">
        <f ca="1">SUMPRODUCT((T7:T12)*(R7:R12))</f>
        <v>0</v>
      </c>
      <c r="U2" s="941">
        <f ca="1">SUMPRODUCT((U7:U12)*(R7:R12))</f>
        <v>0</v>
      </c>
      <c r="V2" s="1183" t="e">
        <f ca="1">SUMPRODUCT((AA7:AA12=TRUE)*(R7:R12)*(V7:V12))/SUMIF(AA7:AA12,TRUE,R7:R12)</f>
        <v>#DIV/0!</v>
      </c>
      <c r="W2" s="941"/>
      <c r="X2" s="1513" t="e">
        <f ca="1">SUMPRODUCT((AA7:AA12=TRUE)*(R7:R12)*(X7:X12))/SUMIF(AA7:AA12,TRUE,R7:R12)</f>
        <v>#DIV/0!</v>
      </c>
      <c r="Y2" s="105"/>
      <c r="Z2" s="105"/>
      <c r="AA2" s="1178"/>
      <c r="AB2" s="105"/>
      <c r="AC2" s="1511">
        <f>SUMIFS(AC7:AC12,AA7:AA12,TRUE)</f>
        <v>0</v>
      </c>
      <c r="AD2" s="105"/>
      <c r="AE2" s="1179"/>
      <c r="AF2" s="1180"/>
      <c r="AG2" s="1175">
        <f ca="1">SUMPRODUCT(1/COUNTIF(投組換券表[幣別],投組換券表[幣別]))</f>
        <v>2.0000000000000027</v>
      </c>
      <c r="AH2" s="1176" t="str">
        <f ca="1">INDEX(B37:B43,MATCH(全美,C37:C43,0))</f>
        <v>USD</v>
      </c>
      <c r="AI2" s="941"/>
      <c r="AJ2" s="941"/>
      <c r="AK2" s="1516"/>
      <c r="AL2" s="1291"/>
      <c r="AM2" s="1183">
        <f ca="1">SUMPRODUCT((AM7:AM12)*(R7:R12))</f>
        <v>0</v>
      </c>
      <c r="AN2" s="1183"/>
      <c r="AO2" s="1528">
        <f>SUMIFS(AO7:AO12,AA7:AA12,TRUE)</f>
        <v>0</v>
      </c>
      <c r="AP2" s="1192">
        <f>SUMIFS(AP7:AP12,AA7:AA12,TRUE)</f>
        <v>0</v>
      </c>
      <c r="AQ2" s="1192">
        <f>SUMIFS(AQ7:AQ12,AA7:AA12,TRUE)</f>
        <v>0</v>
      </c>
      <c r="AR2" s="1528">
        <f>SUMIFS(AR7:AR12,AA7:AA12,TRUE)</f>
        <v>0</v>
      </c>
      <c r="AS2" s="941">
        <f ca="1">COUNTIF(AS7:AS12,"需查詢")</f>
        <v>0</v>
      </c>
      <c r="AT2" s="1192"/>
      <c r="AU2" s="1192"/>
      <c r="AV2" s="1192"/>
      <c r="AW2" s="1192"/>
      <c r="AX2" s="849"/>
      <c r="AY2" s="840"/>
      <c r="AZ2" s="840"/>
      <c r="BA2" s="840"/>
      <c r="BB2" s="840"/>
      <c r="BC2" s="840"/>
      <c r="BD2" s="840"/>
      <c r="BE2" s="840"/>
      <c r="BF2" s="840"/>
      <c r="BG2" s="840"/>
      <c r="BH2" s="840"/>
      <c r="BI2" s="840"/>
      <c r="BJ2" s="840"/>
    </row>
    <row r="3" spans="1:169" ht="19.5" customHeight="1">
      <c r="N3" s="1546" t="s">
        <v>4122</v>
      </c>
      <c r="O3" s="1546" t="s">
        <v>4121</v>
      </c>
      <c r="S3" s="426"/>
      <c r="Y3" s="127"/>
      <c r="Z3" s="127"/>
      <c r="AA3" s="568"/>
      <c r="AB3" s="127"/>
      <c r="AC3" s="127"/>
      <c r="AD3" s="127"/>
      <c r="AE3" s="482"/>
      <c r="AF3" s="446"/>
      <c r="AG3" s="1175">
        <f ca="1">COUNTIF(投組換券表[幣別],"")</f>
        <v>38</v>
      </c>
      <c r="AX3" s="1160"/>
      <c r="AY3" s="1148"/>
      <c r="AZ3" s="1148"/>
      <c r="BA3" s="1148"/>
      <c r="BB3" s="1148"/>
      <c r="BC3" s="1148"/>
      <c r="BD3" s="1148"/>
      <c r="BE3" s="1148"/>
      <c r="BF3" s="1148"/>
      <c r="BG3" s="1148"/>
      <c r="BH3" s="1148"/>
      <c r="BI3" s="1148"/>
      <c r="BJ3" s="1148"/>
    </row>
    <row r="4" spans="1:169" ht="19.5" customHeight="1">
      <c r="S4" s="427"/>
      <c r="T4" s="32"/>
      <c r="U4" s="32"/>
      <c r="V4" s="32"/>
      <c r="W4" s="32"/>
      <c r="X4" s="32"/>
      <c r="Y4" s="127"/>
      <c r="Z4" s="127"/>
      <c r="AA4" s="568"/>
      <c r="AB4" s="127"/>
      <c r="AC4" s="127"/>
      <c r="AD4" s="127"/>
      <c r="AE4" s="482"/>
      <c r="AF4" s="446"/>
      <c r="AY4" s="12">
        <f ca="1">MONTH(AY5)</f>
        <v>8</v>
      </c>
      <c r="AZ4" s="12">
        <f t="shared" ref="AZ4:BJ4" ca="1" si="0">MONTH(AZ5)</f>
        <v>9</v>
      </c>
      <c r="BA4" s="12">
        <f t="shared" ca="1" si="0"/>
        <v>10</v>
      </c>
      <c r="BB4" s="12">
        <f t="shared" ca="1" si="0"/>
        <v>11</v>
      </c>
      <c r="BC4" s="12">
        <f t="shared" ca="1" si="0"/>
        <v>12</v>
      </c>
      <c r="BD4" s="12">
        <f t="shared" ca="1" si="0"/>
        <v>1</v>
      </c>
      <c r="BE4" s="12">
        <f t="shared" ca="1" si="0"/>
        <v>2</v>
      </c>
      <c r="BF4" s="12">
        <f t="shared" ca="1" si="0"/>
        <v>3</v>
      </c>
      <c r="BG4" s="12">
        <f t="shared" ca="1" si="0"/>
        <v>4</v>
      </c>
      <c r="BH4" s="12">
        <f t="shared" ca="1" si="0"/>
        <v>5</v>
      </c>
      <c r="BI4" s="12">
        <f t="shared" ca="1" si="0"/>
        <v>6</v>
      </c>
      <c r="BJ4" s="12">
        <f t="shared" ca="1" si="0"/>
        <v>7</v>
      </c>
    </row>
    <row r="5" spans="1:169" s="424" customFormat="1" ht="19.5" customHeight="1">
      <c r="A5" s="460"/>
      <c r="B5" s="460"/>
      <c r="C5" s="460"/>
      <c r="D5" s="460"/>
      <c r="E5" s="460"/>
      <c r="F5" s="460"/>
      <c r="G5" s="460"/>
      <c r="H5" s="460"/>
      <c r="L5" s="1518"/>
      <c r="N5" s="1547"/>
      <c r="O5" s="1547"/>
      <c r="P5" s="1547"/>
      <c r="Q5" s="1547"/>
      <c r="S5" s="422"/>
      <c r="T5" s="422"/>
      <c r="U5" s="422"/>
      <c r="V5" s="422"/>
      <c r="W5" s="422"/>
      <c r="X5" s="422"/>
      <c r="Y5" s="423"/>
      <c r="Z5" s="423"/>
      <c r="AA5" s="569"/>
      <c r="AB5" s="423"/>
      <c r="AC5" s="423"/>
      <c r="AD5" s="423"/>
      <c r="AE5" s="483"/>
      <c r="AF5" s="447"/>
      <c r="AG5" s="423" t="s">
        <v>2014</v>
      </c>
      <c r="AH5" s="423"/>
      <c r="AI5" s="423"/>
      <c r="AJ5" s="423"/>
      <c r="AK5" s="1518"/>
      <c r="AL5" s="483"/>
      <c r="AM5" s="447"/>
      <c r="AN5" s="447"/>
      <c r="AO5" s="1547"/>
      <c r="AP5" s="1190"/>
      <c r="AQ5" s="1190"/>
      <c r="AR5" s="423"/>
      <c r="AS5" s="423"/>
      <c r="AT5" s="1190"/>
      <c r="AU5" s="1190"/>
      <c r="AV5" s="1190"/>
      <c r="AW5" s="1190"/>
      <c r="AX5" s="447"/>
      <c r="AY5" s="1297">
        <f ca="1">'Tssco-bond portfolio'!AK6</f>
        <v>45505</v>
      </c>
      <c r="AZ5" s="1297">
        <f ca="1">'Tssco-bond portfolio'!AL6</f>
        <v>45536</v>
      </c>
      <c r="BA5" s="1297">
        <f ca="1">'Tssco-bond portfolio'!AM6</f>
        <v>45566</v>
      </c>
      <c r="BB5" s="1297">
        <f ca="1">'Tssco-bond portfolio'!AN6</f>
        <v>45597</v>
      </c>
      <c r="BC5" s="1297">
        <f ca="1">'Tssco-bond portfolio'!AO6</f>
        <v>45627</v>
      </c>
      <c r="BD5" s="1297">
        <f ca="1">'Tssco-bond portfolio'!AP6</f>
        <v>45658</v>
      </c>
      <c r="BE5" s="1297">
        <f ca="1">'Tssco-bond portfolio'!AQ6</f>
        <v>45689</v>
      </c>
      <c r="BF5" s="1297">
        <f ca="1">'Tssco-bond portfolio'!AR6</f>
        <v>45717</v>
      </c>
      <c r="BG5" s="1297">
        <f ca="1">'Tssco-bond portfolio'!AS6</f>
        <v>45748</v>
      </c>
      <c r="BH5" s="1297">
        <f ca="1">'Tssco-bond portfolio'!AT6</f>
        <v>45778</v>
      </c>
      <c r="BI5" s="1297">
        <f ca="1">'Tssco-bond portfolio'!AU6</f>
        <v>45809</v>
      </c>
      <c r="BJ5" s="1297">
        <f ca="1">'Tssco-bond portfolio'!AV6</f>
        <v>45839</v>
      </c>
      <c r="BK5" s="423"/>
      <c r="BL5" s="423"/>
      <c r="BM5" s="423"/>
      <c r="BN5" s="423"/>
      <c r="BO5" s="423"/>
      <c r="BP5" s="423"/>
      <c r="BQ5" s="423"/>
      <c r="BR5" s="423"/>
      <c r="BS5" s="423"/>
      <c r="BT5" s="423"/>
      <c r="BU5" s="423"/>
      <c r="BV5" s="423"/>
      <c r="BW5" s="423"/>
      <c r="BX5" s="423"/>
      <c r="BY5" s="423"/>
      <c r="BZ5" s="423"/>
      <c r="CA5" s="423"/>
      <c r="CB5" s="423"/>
      <c r="CC5" s="423"/>
      <c r="CD5" s="423"/>
      <c r="CE5" s="423"/>
      <c r="CF5" s="423"/>
      <c r="CG5" s="423"/>
      <c r="CH5" s="423"/>
      <c r="CI5" s="423"/>
      <c r="CJ5" s="423"/>
      <c r="CK5" s="423"/>
      <c r="CL5" s="423"/>
      <c r="CM5" s="423"/>
      <c r="CN5" s="423"/>
      <c r="CO5" s="423"/>
      <c r="CP5" s="423"/>
      <c r="CQ5" s="423"/>
      <c r="CR5" s="423"/>
      <c r="CS5" s="423"/>
      <c r="CT5" s="423"/>
      <c r="CU5" s="423"/>
      <c r="CV5" s="423"/>
      <c r="CW5" s="423"/>
      <c r="CX5" s="423"/>
      <c r="CY5" s="423"/>
      <c r="CZ5" s="423"/>
      <c r="DA5" s="423"/>
      <c r="DB5" s="423"/>
      <c r="DC5" s="423"/>
      <c r="DD5" s="423"/>
      <c r="DE5" s="423"/>
      <c r="DF5" s="423"/>
      <c r="DG5" s="423"/>
      <c r="DH5" s="423"/>
      <c r="DI5" s="423"/>
      <c r="DJ5" s="423"/>
      <c r="DK5" s="423"/>
      <c r="DL5" s="423"/>
      <c r="DM5" s="423"/>
      <c r="DN5" s="423"/>
      <c r="DO5" s="423"/>
      <c r="DP5" s="423"/>
      <c r="DQ5" s="423"/>
      <c r="DR5" s="423"/>
      <c r="DS5" s="423"/>
      <c r="DT5" s="423"/>
      <c r="DU5" s="423"/>
      <c r="DV5" s="423"/>
      <c r="DW5" s="423"/>
      <c r="DX5" s="423"/>
      <c r="DY5" s="423"/>
      <c r="DZ5" s="423"/>
      <c r="EA5" s="423"/>
      <c r="EB5" s="423"/>
      <c r="EC5" s="423"/>
      <c r="ED5" s="423"/>
      <c r="EE5" s="423"/>
      <c r="EF5" s="423"/>
      <c r="EG5" s="423"/>
      <c r="EH5" s="423"/>
      <c r="EI5" s="423"/>
      <c r="EJ5" s="423"/>
      <c r="EK5" s="423"/>
      <c r="EL5" s="423"/>
      <c r="EM5" s="423"/>
      <c r="EN5" s="423"/>
      <c r="EO5" s="423"/>
      <c r="EP5" s="423"/>
      <c r="EQ5" s="423"/>
      <c r="ER5" s="423"/>
      <c r="ES5" s="423"/>
      <c r="ET5" s="423"/>
      <c r="EU5" s="423"/>
      <c r="EV5" s="423"/>
      <c r="EW5" s="423"/>
      <c r="EX5" s="423"/>
      <c r="EY5" s="423"/>
      <c r="EZ5" s="423"/>
      <c r="FA5" s="423"/>
      <c r="FB5" s="423"/>
      <c r="FC5" s="423"/>
      <c r="FD5" s="423"/>
      <c r="FE5" s="423"/>
      <c r="FF5" s="423"/>
      <c r="FG5" s="423"/>
      <c r="FH5" s="423"/>
      <c r="FI5" s="423"/>
      <c r="FJ5" s="423"/>
      <c r="FK5" s="423"/>
      <c r="FL5" s="423"/>
      <c r="FM5" s="423"/>
    </row>
    <row r="6" spans="1:169" s="915" customFormat="1" ht="19.5" customHeight="1" thickBot="1">
      <c r="A6" s="461"/>
      <c r="B6" s="611" t="s">
        <v>1949</v>
      </c>
      <c r="C6" s="611" t="s">
        <v>1950</v>
      </c>
      <c r="D6" s="461"/>
      <c r="E6" s="461"/>
      <c r="F6" s="461"/>
      <c r="G6" s="461"/>
      <c r="H6" s="461"/>
      <c r="I6" s="424"/>
      <c r="J6" s="916"/>
      <c r="K6" s="916"/>
      <c r="L6" s="1550" t="s">
        <v>1954</v>
      </c>
      <c r="M6" s="924" t="s">
        <v>4092</v>
      </c>
      <c r="N6" s="1549" t="s">
        <v>1956</v>
      </c>
      <c r="O6" s="1549" t="s">
        <v>1966</v>
      </c>
      <c r="P6" s="1549" t="s">
        <v>2284</v>
      </c>
      <c r="Q6" s="1549" t="s">
        <v>3727</v>
      </c>
      <c r="R6" s="924" t="s">
        <v>4305</v>
      </c>
      <c r="S6" s="925" t="s">
        <v>17</v>
      </c>
      <c r="T6" s="925" t="s">
        <v>4089</v>
      </c>
      <c r="U6" s="925" t="s">
        <v>4091</v>
      </c>
      <c r="V6" s="925" t="s">
        <v>20</v>
      </c>
      <c r="W6" s="925" t="s">
        <v>23</v>
      </c>
      <c r="X6" s="925" t="s">
        <v>18</v>
      </c>
      <c r="Y6" s="925" t="s">
        <v>19</v>
      </c>
      <c r="Z6" s="926" t="s">
        <v>10</v>
      </c>
      <c r="AA6" s="926" t="s">
        <v>2101</v>
      </c>
      <c r="AB6" s="915" t="s">
        <v>32</v>
      </c>
      <c r="AC6" s="921" t="s">
        <v>1954</v>
      </c>
      <c r="AD6" s="921" t="s">
        <v>1966</v>
      </c>
      <c r="AE6" s="922" t="s">
        <v>2145</v>
      </c>
      <c r="AF6" s="915" t="s">
        <v>30</v>
      </c>
      <c r="AG6" s="921" t="s">
        <v>6</v>
      </c>
      <c r="AH6" s="921" t="s">
        <v>2016</v>
      </c>
      <c r="AI6" s="921" t="s">
        <v>2106</v>
      </c>
      <c r="AJ6" s="926" t="s">
        <v>2107</v>
      </c>
      <c r="AK6" s="1519" t="s">
        <v>2128</v>
      </c>
      <c r="AL6" s="922" t="s">
        <v>1968</v>
      </c>
      <c r="AM6" s="1189" t="s">
        <v>4094</v>
      </c>
      <c r="AN6" s="1189" t="s">
        <v>3720</v>
      </c>
      <c r="AO6" s="1548" t="s">
        <v>3729</v>
      </c>
      <c r="AP6" s="1191" t="s">
        <v>4096</v>
      </c>
      <c r="AQ6" s="1191" t="s">
        <v>4097</v>
      </c>
      <c r="AR6" s="923" t="s">
        <v>4107</v>
      </c>
      <c r="AS6" s="923" t="s">
        <v>4115</v>
      </c>
      <c r="AT6" s="1300" t="s">
        <v>1957</v>
      </c>
      <c r="AU6" s="1300" t="s">
        <v>1958</v>
      </c>
      <c r="AV6" s="1300" t="s">
        <v>1959</v>
      </c>
      <c r="AW6" s="1300" t="s">
        <v>1960</v>
      </c>
      <c r="AX6" s="1295" t="s">
        <v>4184</v>
      </c>
      <c r="AY6" s="1295" t="s">
        <v>4172</v>
      </c>
      <c r="AZ6" s="1296" t="s">
        <v>4173</v>
      </c>
      <c r="BA6" s="1296" t="s">
        <v>4174</v>
      </c>
      <c r="BB6" s="1296" t="s">
        <v>4175</v>
      </c>
      <c r="BC6" s="1296" t="s">
        <v>4176</v>
      </c>
      <c r="BD6" s="1296" t="s">
        <v>4177</v>
      </c>
      <c r="BE6" s="1296" t="s">
        <v>4178</v>
      </c>
      <c r="BF6" s="1296" t="s">
        <v>4179</v>
      </c>
      <c r="BG6" s="1296" t="s">
        <v>4180</v>
      </c>
      <c r="BH6" s="1296" t="s">
        <v>4181</v>
      </c>
      <c r="BI6" s="1296" t="s">
        <v>4182</v>
      </c>
      <c r="BJ6" s="1296" t="s">
        <v>4183</v>
      </c>
      <c r="BK6" s="923"/>
      <c r="BL6" s="923"/>
      <c r="BM6" s="923"/>
      <c r="BN6" s="923"/>
      <c r="BO6" s="923"/>
      <c r="BP6" s="923"/>
      <c r="BQ6" s="923"/>
      <c r="BR6" s="923"/>
      <c r="BS6" s="923"/>
      <c r="BT6" s="923"/>
      <c r="BU6" s="923"/>
      <c r="BV6" s="923"/>
      <c r="BW6" s="923"/>
      <c r="BX6" s="923"/>
      <c r="BY6" s="923"/>
      <c r="BZ6" s="923"/>
      <c r="CA6" s="923"/>
      <c r="CB6" s="923"/>
      <c r="CC6" s="923"/>
      <c r="CD6" s="923"/>
      <c r="CE6" s="923"/>
      <c r="CF6" s="923"/>
      <c r="CG6" s="923"/>
      <c r="CH6" s="923"/>
      <c r="CI6" s="923"/>
      <c r="CJ6" s="923"/>
      <c r="CK6" s="923"/>
      <c r="CL6" s="923"/>
      <c r="CM6" s="923"/>
      <c r="CN6" s="923"/>
      <c r="CO6" s="923"/>
      <c r="CP6" s="923"/>
      <c r="CQ6" s="923"/>
      <c r="CR6" s="923"/>
      <c r="CS6" s="923"/>
      <c r="CT6" s="923"/>
      <c r="CU6" s="923"/>
      <c r="CV6" s="923"/>
      <c r="CW6" s="923"/>
      <c r="CX6" s="923"/>
      <c r="CY6" s="923"/>
      <c r="CZ6" s="923"/>
      <c r="DA6" s="923"/>
      <c r="DB6" s="923"/>
      <c r="DC6" s="923"/>
      <c r="DD6" s="923"/>
      <c r="DE6" s="923"/>
      <c r="DF6" s="923"/>
      <c r="DG6" s="923"/>
      <c r="DH6" s="923"/>
      <c r="DI6" s="923"/>
      <c r="DJ6" s="923"/>
      <c r="DK6" s="923"/>
      <c r="DL6" s="923"/>
      <c r="DM6" s="923"/>
      <c r="DN6" s="923"/>
      <c r="DO6" s="923"/>
      <c r="DP6" s="923"/>
      <c r="DQ6" s="923"/>
      <c r="DR6" s="923"/>
      <c r="DS6" s="923"/>
      <c r="DT6" s="923"/>
      <c r="DU6" s="923"/>
      <c r="DV6" s="923"/>
      <c r="DW6" s="923"/>
      <c r="DX6" s="923"/>
      <c r="DY6" s="923"/>
      <c r="DZ6" s="923"/>
      <c r="EA6" s="923"/>
      <c r="EB6" s="923"/>
      <c r="EC6" s="923"/>
      <c r="ED6" s="923"/>
      <c r="EE6" s="923"/>
      <c r="EF6" s="923"/>
      <c r="EG6" s="923"/>
      <c r="EH6" s="923"/>
      <c r="EI6" s="923"/>
      <c r="EJ6" s="923"/>
      <c r="EK6" s="923"/>
      <c r="EL6" s="923"/>
      <c r="EM6" s="923"/>
      <c r="EN6" s="923"/>
      <c r="EO6" s="923"/>
      <c r="EP6" s="923"/>
      <c r="EQ6" s="923"/>
      <c r="ER6" s="923"/>
      <c r="ES6" s="923"/>
      <c r="ET6" s="923"/>
      <c r="EU6" s="923"/>
      <c r="EV6" s="923"/>
      <c r="EW6" s="923"/>
      <c r="EX6" s="923"/>
      <c r="EY6" s="923"/>
      <c r="EZ6" s="923"/>
      <c r="FA6" s="923"/>
      <c r="FB6" s="923"/>
      <c r="FC6" s="923"/>
      <c r="FD6" s="923"/>
      <c r="FE6" s="923"/>
      <c r="FF6" s="923"/>
      <c r="FG6" s="923"/>
      <c r="FH6" s="923"/>
      <c r="FI6" s="923"/>
      <c r="FJ6" s="923"/>
      <c r="FK6" s="923"/>
      <c r="FL6" s="923"/>
      <c r="FM6" s="923"/>
    </row>
    <row r="7" spans="1:169" ht="19.5" customHeight="1">
      <c r="B7" s="613" t="s">
        <v>1943</v>
      </c>
      <c r="C7" s="613">
        <v>4</v>
      </c>
      <c r="I7" s="424"/>
      <c r="J7" s="12" t="s">
        <v>3708</v>
      </c>
      <c r="K7" s="919">
        <f>庫存管理!AI98</f>
        <v>0</v>
      </c>
      <c r="L7" s="1516" t="str">
        <f>庫存管理!AW98</f>
        <v/>
      </c>
      <c r="M7" s="1181">
        <f ca="1">IFERROR(VLOOKUP(K7,'銀行-TSS'!B:M,12,FALSE),0)</f>
        <v>0</v>
      </c>
      <c r="N7" s="1528">
        <f t="shared" ref="N7:N12" ca="1" si="1">IFERROR(U7/100*L7,0)</f>
        <v>0</v>
      </c>
      <c r="O7" s="1528">
        <f t="shared" ref="O7:O12" si="2">IFERROR(T7/100*L7,0)</f>
        <v>0</v>
      </c>
      <c r="P7" s="1528">
        <f>IF(K7=0,0,N7*投組換券表[[#This Row],[換算匯率(現)]])</f>
        <v>0</v>
      </c>
      <c r="Q7" s="1528">
        <f>IF(K7=0,0,O7*投組換券表[[#This Row],[換算匯率(現)]])</f>
        <v>0</v>
      </c>
      <c r="R7" s="1181">
        <f t="shared" ref="R7:R12" ca="1" si="3">IF(開關=TRUE,IF(MF=2,IFERROR(O7/$O$2,0),IFERROR(N7/$N$2,0)),0)</f>
        <v>0</v>
      </c>
      <c r="S7" s="428">
        <f t="shared" ref="S7" si="4">K7</f>
        <v>0</v>
      </c>
      <c r="T7" s="430">
        <f>IFERROR(VLOOKUP(投組換券表[[#This Row],[商品代號]],bond!B:J,9,FALSE)+VLOOKUP(投組換券表[[#This Row],[商品代號]],bond!B:N,13,FALSE),0)</f>
        <v>0</v>
      </c>
      <c r="U7" s="430">
        <f ca="1">IFERROR(VLOOKUP(投組換券表[[#This Row],[商品代號]],'銀行-TSS'!B:K,10,FALSE),0)</f>
        <v>0</v>
      </c>
      <c r="V7" s="431">
        <f ca="1">IFERROR(VLOOKUP($S7,'銀行-TSS'!B:G,6,FALSE),0)</f>
        <v>0</v>
      </c>
      <c r="W7" s="432" t="e">
        <f ca="1">IFERROR(DATEVALUE(VLOOKUP($S7,'銀行-TSS'!B:F,5,FALSE)),VLOOKUP($S7,'銀行-TSS'!B:F,5,FALSE))</f>
        <v>#N/A</v>
      </c>
      <c r="X7" s="433">
        <f ca="1">IFERROR(VLOOKUP($S7,'銀行-TSS'!B:H,7,FALSE),0)</f>
        <v>0</v>
      </c>
      <c r="Y7" s="434" t="str">
        <f ca="1">IFERROR(VLOOKUP($S7,'銀行-TSS'!B:I,8,FALSE),"")</f>
        <v/>
      </c>
      <c r="Z7" s="440" t="str">
        <f ca="1">_xlfn.IFNA(IFERROR(DATEVALUE(VLOOKUP($S7,'銀行-TSS'!B:P,15,FALSE)),VLOOKUP($S7,'銀行-TSS'!B:P,15,FALSE)),"")</f>
        <v/>
      </c>
      <c r="AA7" s="570" t="b">
        <f t="shared" ref="AA7:AA48" si="5">IF(AND(K7&lt;&gt;0,L7&lt;&gt;""), TRUE,FALSE)</f>
        <v>0</v>
      </c>
      <c r="AB7" s="782" t="e">
        <f>DATEVALUE(VLOOKUP(S7,bond!B:I,7,FALSE))</f>
        <v>#N/A</v>
      </c>
      <c r="AC7" s="783">
        <f>IF(投組換券表[[#This Row],[檢測]]=TRUE,L7,0)</f>
        <v>0</v>
      </c>
      <c r="AD7" s="783">
        <f t="shared" ref="AD7" si="6">O7</f>
        <v>0</v>
      </c>
      <c r="AE7" s="462" t="str">
        <f>IFERROR(VLOOKUP(投組換券表[[#This Row],[商品代號]],bond!B:AA,26,FALSE),"")</f>
        <v/>
      </c>
      <c r="AF7" s="1" t="str">
        <f ca="1">IFERROR(VLOOKUP($S7,'銀行-TSS'!B:Q,16,FALSE),"")</f>
        <v/>
      </c>
      <c r="AG7" s="479" t="str">
        <f ca="1">IFERROR(VLOOKUP($S7,'銀行-TSS'!B:C,2,FALSE),"")</f>
        <v/>
      </c>
      <c r="AH7" s="479" t="e">
        <f ca="1">VLOOKUP(投組換券表[[#This Row],[幣別]],$B$37:$C$43,2,FALSE)</f>
        <v>#N/A</v>
      </c>
      <c r="AI7" s="500" t="e">
        <f ca="1">CHOOSE(投組換券表[[#This Row],[對應編碼]],$D$37,$D$38,$D$39,$D$40,$D$41,$D$42,$D$43)</f>
        <v>#N/A</v>
      </c>
      <c r="AJ7" s="500">
        <f>IF(K7=0,0,CHOOSE(投組換券表[[#This Row],[對應編碼]],$E$37,$E$38,$E$39,$E$40,$E$41,$E$42,$E$43))</f>
        <v>0</v>
      </c>
      <c r="AK7" s="1520">
        <f>IFERROR(投組換券表[[#This Row],[投入面額]]*投組換券表[[#This Row],[換算匯率(現)]],0)</f>
        <v>0</v>
      </c>
      <c r="AL7" s="574">
        <f ca="1">IF(開關=TRUE,IF(MF=2,IFERROR(Q7/$Q$1,0),IFERROR(P7/$P$1,0)),0)</f>
        <v>0</v>
      </c>
      <c r="AM7" s="735">
        <f>IFERROR(VLOOKUP(投組換券表[[#This Row],[商品代號]],bond!B:X,21,FALSE),0)</f>
        <v>0</v>
      </c>
      <c r="AN7" s="735">
        <f>IFERROR(VLOOKUP(投組換券表[[#This Row],[商品代號]],bond!B:J,9,FALSE),0)</f>
        <v>0</v>
      </c>
      <c r="AO7" s="1298">
        <f>IFERROR(IF(K7=0,0,投組換券表[[#This Row],[clean申購價]]/100*投組換券表[[#This Row],[投入面額]]*投組換券表[[#This Row],[MOD]]*1%),0)</f>
        <v>0</v>
      </c>
      <c r="AP7" s="1084">
        <f ca="1">IFERROR(VLOOKUP(投組換券表[[#This Row],[商品代號]],'銀行-TSS'!B:N,13,FALSE),0)</f>
        <v>0</v>
      </c>
      <c r="AQ7" s="1084">
        <f ca="1">IFERROR(VLOOKUP(投組換券表[[#This Row],[商品代號]],'銀行-TSS'!B:O,14,FALSE),0)</f>
        <v>0</v>
      </c>
      <c r="AR7" s="1200">
        <f>IFERROR(IF(K7=0,0,投組換券表[[#This Row],[票面利率]]*投組換券表[[#This Row],[投入面額]]),0)</f>
        <v>0</v>
      </c>
      <c r="AS7" s="1188" t="e">
        <f ca="1">VLOOKUP(K7,'銀行-TSS'!B:AK,36,FALSE)</f>
        <v>#N/A</v>
      </c>
      <c r="AT7" s="434" t="e">
        <f t="shared" ref="AT7" ca="1" si="7">IF(Y7=0,0,IF(MOD(MONTH(Z7),12/Y7)=0,12/Y7,MOD(MONTH(Z7),12/Y7)))</f>
        <v>#VALUE!</v>
      </c>
      <c r="AU7" s="434" t="e">
        <f t="shared" ref="AU7" ca="1" si="8">IF(Y7&gt;=2,AT7+12/Y7,0)</f>
        <v>#VALUE!</v>
      </c>
      <c r="AV7" s="434">
        <f t="shared" ref="AV7" ca="1" si="9">IF(Y7=4,AU7+12/Y7,0)</f>
        <v>0</v>
      </c>
      <c r="AW7" s="434">
        <f t="shared" ref="AW7" ca="1" si="10">IF(Y7=4,AV7+12/Y7,0)</f>
        <v>0</v>
      </c>
      <c r="AX7"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7"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7"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7"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7"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7"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7"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7"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7"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7"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7"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7"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7"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7" s="33"/>
      <c r="BL7" s="33"/>
      <c r="BM7" s="33"/>
      <c r="BN7" s="33"/>
      <c r="BO7" s="33"/>
      <c r="BP7" s="33"/>
      <c r="BQ7" s="33"/>
      <c r="BR7" s="33"/>
      <c r="BS7" s="33"/>
      <c r="BT7" s="33"/>
      <c r="BU7" s="33"/>
      <c r="BV7" s="33"/>
      <c r="BW7" s="33"/>
      <c r="BX7" s="33"/>
      <c r="BY7" s="33"/>
      <c r="BZ7" s="33"/>
      <c r="CA7" s="33"/>
      <c r="CB7" s="33"/>
      <c r="CC7" s="33"/>
      <c r="CD7" s="33"/>
      <c r="CE7" s="33"/>
      <c r="CF7" s="33"/>
      <c r="CG7" s="33"/>
      <c r="CH7" s="33"/>
      <c r="CI7" s="33"/>
      <c r="CJ7" s="33"/>
      <c r="CK7" s="33"/>
      <c r="CL7" s="33"/>
      <c r="CM7" s="33"/>
      <c r="CN7" s="33"/>
      <c r="CO7" s="33"/>
      <c r="CP7" s="33"/>
      <c r="CQ7" s="33"/>
      <c r="CR7" s="33"/>
      <c r="CS7" s="33"/>
      <c r="CT7" s="33"/>
      <c r="CU7" s="33"/>
      <c r="CV7" s="33"/>
      <c r="CW7" s="33"/>
      <c r="CX7" s="33"/>
      <c r="CY7" s="33"/>
      <c r="CZ7" s="33"/>
      <c r="DA7" s="33"/>
      <c r="DB7" s="33"/>
      <c r="DC7" s="33"/>
      <c r="DD7" s="33"/>
      <c r="DE7" s="33"/>
      <c r="DF7" s="33"/>
      <c r="DG7" s="33"/>
      <c r="DH7" s="33"/>
      <c r="DI7" s="33"/>
      <c r="DJ7" s="33"/>
      <c r="DK7" s="33"/>
      <c r="DL7" s="33"/>
      <c r="DM7" s="33"/>
      <c r="DN7" s="33"/>
      <c r="DO7" s="33"/>
      <c r="DP7" s="33"/>
      <c r="DQ7" s="33"/>
      <c r="DR7" s="33"/>
      <c r="DS7" s="33"/>
      <c r="DT7" s="33"/>
      <c r="DU7" s="33"/>
      <c r="DV7" s="33"/>
      <c r="DW7" s="33"/>
      <c r="DX7" s="33"/>
      <c r="DY7" s="33"/>
      <c r="DZ7" s="33"/>
      <c r="EA7" s="33"/>
      <c r="EB7" s="33"/>
      <c r="EC7" s="33"/>
      <c r="ED7" s="33"/>
      <c r="EE7" s="33"/>
      <c r="EF7" s="33"/>
      <c r="EG7" s="33"/>
      <c r="EH7" s="33"/>
      <c r="EI7" s="33"/>
      <c r="EJ7" s="33"/>
      <c r="EK7" s="33"/>
      <c r="EL7" s="33"/>
      <c r="EM7" s="33"/>
      <c r="EN7" s="33"/>
      <c r="EO7" s="33"/>
      <c r="EP7" s="33"/>
      <c r="EQ7" s="33"/>
      <c r="ER7" s="33"/>
      <c r="ES7" s="33"/>
      <c r="ET7" s="33"/>
      <c r="EU7" s="33"/>
      <c r="EV7" s="33"/>
      <c r="EW7" s="33"/>
      <c r="EX7" s="33"/>
      <c r="EY7" s="33"/>
      <c r="EZ7" s="33"/>
      <c r="FA7" s="33"/>
      <c r="FB7" s="33"/>
      <c r="FC7" s="33"/>
      <c r="FD7" s="33"/>
      <c r="FE7" s="33"/>
      <c r="FF7" s="33"/>
      <c r="FG7" s="33"/>
      <c r="FH7" s="33"/>
      <c r="FI7" s="33"/>
      <c r="FJ7" s="33"/>
      <c r="FK7" s="33"/>
      <c r="FL7" s="33"/>
      <c r="FM7" s="33"/>
    </row>
    <row r="8" spans="1:169" ht="19.5" customHeight="1">
      <c r="B8" s="614" t="s">
        <v>1945</v>
      </c>
      <c r="C8" s="613">
        <v>0</v>
      </c>
      <c r="I8" s="424"/>
      <c r="K8" s="1172">
        <f>庫存管理!AI99</f>
        <v>0</v>
      </c>
      <c r="L8" s="1516" t="str">
        <f>庫存管理!AW99</f>
        <v/>
      </c>
      <c r="M8" s="1181">
        <f ca="1">IFERROR(VLOOKUP(K8,'銀行-TSS'!B:M,12,FALSE),0)</f>
        <v>0</v>
      </c>
      <c r="N8" s="1528">
        <f t="shared" ca="1" si="1"/>
        <v>0</v>
      </c>
      <c r="O8" s="1528">
        <f t="shared" si="2"/>
        <v>0</v>
      </c>
      <c r="P8" s="1528">
        <f>IF(K8=0,0,N8*投組換券表[[#This Row],[換算匯率(現)]])</f>
        <v>0</v>
      </c>
      <c r="Q8" s="1528">
        <f>IF(K8=0,0,O8*投組換券表[[#This Row],[換算匯率(現)]])</f>
        <v>0</v>
      </c>
      <c r="R8" s="1181">
        <f t="shared" ca="1" si="3"/>
        <v>0</v>
      </c>
      <c r="S8" s="428">
        <f t="shared" ref="S8:S48" si="11">K8</f>
        <v>0</v>
      </c>
      <c r="T8" s="430">
        <f>IFERROR(VLOOKUP(投組換券表[[#This Row],[商品代號]],bond!B:J,9,FALSE)+VLOOKUP(投組換券表[[#This Row],[商品代號]],bond!B:N,13,FALSE),0)</f>
        <v>0</v>
      </c>
      <c r="U8" s="430">
        <f ca="1">IFERROR(VLOOKUP(投組換券表[[#This Row],[商品代號]],'銀行-TSS'!B:K,10,FALSE),0)</f>
        <v>0</v>
      </c>
      <c r="V8" s="431">
        <f ca="1">IFERROR(VLOOKUP($S8,'銀行-TSS'!B:G,6,FALSE),0)</f>
        <v>0</v>
      </c>
      <c r="W8" s="432" t="e">
        <f ca="1">IFERROR(DATEVALUE(VLOOKUP($S8,'銀行-TSS'!B:F,5,FALSE)),VLOOKUP($S8,'銀行-TSS'!B:F,5,FALSE))</f>
        <v>#N/A</v>
      </c>
      <c r="X8" s="433">
        <f ca="1">IFERROR(VLOOKUP($S8,'銀行-TSS'!B:H,7,FALSE),0)</f>
        <v>0</v>
      </c>
      <c r="Y8" s="434" t="str">
        <f ca="1">IFERROR(VLOOKUP($S8,'銀行-TSS'!B:I,8,FALSE),"")</f>
        <v/>
      </c>
      <c r="Z8" s="440" t="str">
        <f ca="1">_xlfn.IFNA(IFERROR(DATEVALUE(VLOOKUP($S8,'銀行-TSS'!B:P,15,FALSE)),VLOOKUP($S8,'銀行-TSS'!B:P,15,FALSE)),"")</f>
        <v/>
      </c>
      <c r="AA8" s="570" t="b">
        <f t="shared" si="5"/>
        <v>0</v>
      </c>
      <c r="AB8" s="782" t="e">
        <f>DATEVALUE(VLOOKUP(S8,bond!B:I,7,FALSE))</f>
        <v>#N/A</v>
      </c>
      <c r="AC8" s="783">
        <f>IF(投組換券表[[#This Row],[檢測]]=TRUE,L8,0)</f>
        <v>0</v>
      </c>
      <c r="AD8" s="783">
        <f t="shared" ref="AD8:AD48" si="12">O8</f>
        <v>0</v>
      </c>
      <c r="AE8" s="462" t="str">
        <f>IFERROR(VLOOKUP(投組換券表[[#This Row],[商品代號]],bond!B:AA,26,FALSE),"")</f>
        <v/>
      </c>
      <c r="AF8" s="1" t="str">
        <f ca="1">IFERROR(VLOOKUP($S8,'銀行-TSS'!B:Q,16,FALSE),"")</f>
        <v/>
      </c>
      <c r="AG8" s="479" t="str">
        <f ca="1">IFERROR(VLOOKUP($S8,'銀行-TSS'!B:C,2,FALSE),"")</f>
        <v/>
      </c>
      <c r="AH8" s="479" t="e">
        <f ca="1">VLOOKUP(投組換券表[[#This Row],[幣別]],$B$37:$C$43,2,FALSE)</f>
        <v>#N/A</v>
      </c>
      <c r="AI8" s="500" t="e">
        <f ca="1">CHOOSE(投組換券表[[#This Row],[對應編碼]],$D$37,$D$38,$D$39,$D$40,$D$41,$D$42,$D$43)</f>
        <v>#N/A</v>
      </c>
      <c r="AJ8" s="500">
        <f>IF(K8=0,0,CHOOSE(投組換券表[[#This Row],[對應編碼]],$E$37,$E$38,$E$39,$E$40,$E$41,$E$42,$E$43))</f>
        <v>0</v>
      </c>
      <c r="AK8" s="1520">
        <f>IFERROR(投組換券表[[#This Row],[投入面額]]*投組換券表[[#This Row],[換算匯率(現)]],0)</f>
        <v>0</v>
      </c>
      <c r="AL8" s="574">
        <f t="shared" ref="AL8:AL48" ca="1" si="13">IF(開關=TRUE,IF(MF=2,IFERROR(Q8/$Q$1,0),IFERROR(P8/$P$1,0)),0)</f>
        <v>0</v>
      </c>
      <c r="AM8" s="735">
        <f>IFERROR(VLOOKUP(投組換券表[[#This Row],[商品代號]],bond!B:X,21,FALSE),0)</f>
        <v>0</v>
      </c>
      <c r="AN8" s="735">
        <f>IFERROR(VLOOKUP(投組換券表[[#This Row],[商品代號]],bond!B:J,9,FALSE),0)</f>
        <v>0</v>
      </c>
      <c r="AO8" s="1298">
        <f>IFERROR(IF(K8=0,0,投組換券表[[#This Row],[clean申購價]]/100*投組換券表[[#This Row],[投入面額]]*投組換券表[[#This Row],[MOD]]*1%),0)</f>
        <v>0</v>
      </c>
      <c r="AP8" s="1084">
        <f ca="1">IFERROR(VLOOKUP(投組換券表[[#This Row],[商品代號]],'銀行-TSS'!B:N,13,FALSE),0)</f>
        <v>0</v>
      </c>
      <c r="AQ8" s="1084">
        <f ca="1">IFERROR(VLOOKUP(投組換券表[[#This Row],[商品代號]],'銀行-TSS'!B:O,14,FALSE),0)</f>
        <v>0</v>
      </c>
      <c r="AR8" s="1200">
        <f>IFERROR(IF(K8=0,0,投組換券表[[#This Row],[票面利率]]*投組換券表[[#This Row],[投入面額]]),0)</f>
        <v>0</v>
      </c>
      <c r="AS8" s="1188" t="e">
        <f ca="1">VLOOKUP(K8,'銀行-TSS'!B:AK,36,FALSE)</f>
        <v>#N/A</v>
      </c>
      <c r="AT8" s="434" t="e">
        <f t="shared" ref="AT8:AT48" ca="1" si="14">IF(Y8=0,0,IF(MOD(MONTH(Z8),12/Y8)=0,12/Y8,MOD(MONTH(Z8),12/Y8)))</f>
        <v>#VALUE!</v>
      </c>
      <c r="AU8" s="434" t="e">
        <f t="shared" ref="AU8:AU48" ca="1" si="15">IF(Y8&gt;=2,AT8+12/Y8,0)</f>
        <v>#VALUE!</v>
      </c>
      <c r="AV8" s="434">
        <f t="shared" ref="AV8:AV48" ca="1" si="16">IF(Y8=4,AU8+12/Y8,0)</f>
        <v>0</v>
      </c>
      <c r="AW8" s="434">
        <f t="shared" ref="AW8:AW48" ca="1" si="17">IF(Y8=4,AV8+12/Y8,0)</f>
        <v>0</v>
      </c>
      <c r="AX8"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8"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8"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8"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8"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8"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8"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8"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8"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8"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8"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8"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8"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c r="FK8" s="33"/>
      <c r="FL8" s="33"/>
      <c r="FM8" s="33"/>
    </row>
    <row r="9" spans="1:169" ht="19.5" customHeight="1">
      <c r="B9" s="613" t="s">
        <v>1948</v>
      </c>
      <c r="C9" s="613">
        <v>1</v>
      </c>
      <c r="I9" s="424"/>
      <c r="K9" s="1172">
        <f>庫存管理!AI100</f>
        <v>0</v>
      </c>
      <c r="L9" s="1516" t="str">
        <f>庫存管理!AW100</f>
        <v/>
      </c>
      <c r="M9" s="1181">
        <f ca="1">IFERROR(VLOOKUP(K9,'銀行-TSS'!B:M,12,FALSE),0)</f>
        <v>0</v>
      </c>
      <c r="N9" s="1528">
        <f t="shared" ca="1" si="1"/>
        <v>0</v>
      </c>
      <c r="O9" s="1528">
        <f t="shared" si="2"/>
        <v>0</v>
      </c>
      <c r="P9" s="1528">
        <f>IF(K9=0,0,N9*投組換券表[[#This Row],[換算匯率(現)]])</f>
        <v>0</v>
      </c>
      <c r="Q9" s="1528">
        <f>IF(K9=0,0,O9*投組換券表[[#This Row],[換算匯率(現)]])</f>
        <v>0</v>
      </c>
      <c r="R9" s="1181">
        <f t="shared" ca="1" si="3"/>
        <v>0</v>
      </c>
      <c r="S9" s="428">
        <f t="shared" si="11"/>
        <v>0</v>
      </c>
      <c r="T9" s="430">
        <f>IFERROR(VLOOKUP(投組換券表[[#This Row],[商品代號]],bond!B:J,9,FALSE)+VLOOKUP(投組換券表[[#This Row],[商品代號]],bond!B:N,13,FALSE),0)</f>
        <v>0</v>
      </c>
      <c r="U9" s="430">
        <f ca="1">IFERROR(VLOOKUP(投組換券表[[#This Row],[商品代號]],'銀行-TSS'!B:K,10,FALSE),0)</f>
        <v>0</v>
      </c>
      <c r="V9" s="431">
        <f ca="1">IFERROR(VLOOKUP($S9,'銀行-TSS'!B:G,6,FALSE),0)</f>
        <v>0</v>
      </c>
      <c r="W9" s="432" t="e">
        <f ca="1">IFERROR(DATEVALUE(VLOOKUP($S9,'銀行-TSS'!B:F,5,FALSE)),VLOOKUP($S9,'銀行-TSS'!B:F,5,FALSE))</f>
        <v>#N/A</v>
      </c>
      <c r="X9" s="433">
        <f ca="1">IFERROR(VLOOKUP($S9,'銀行-TSS'!B:H,7,FALSE),0)</f>
        <v>0</v>
      </c>
      <c r="Y9" s="434" t="str">
        <f ca="1">IFERROR(VLOOKUP($S9,'銀行-TSS'!B:I,8,FALSE),"")</f>
        <v/>
      </c>
      <c r="Z9" s="440" t="str">
        <f ca="1">_xlfn.IFNA(IFERROR(DATEVALUE(VLOOKUP($S9,'銀行-TSS'!B:P,15,FALSE)),VLOOKUP($S9,'銀行-TSS'!B:P,15,FALSE)),"")</f>
        <v/>
      </c>
      <c r="AA9" s="570" t="b">
        <f t="shared" si="5"/>
        <v>0</v>
      </c>
      <c r="AB9" s="782" t="e">
        <f>DATEVALUE(VLOOKUP(S9,bond!B:I,7,FALSE))</f>
        <v>#N/A</v>
      </c>
      <c r="AC9" s="783">
        <f>IF(投組換券表[[#This Row],[檢測]]=TRUE,L9,0)</f>
        <v>0</v>
      </c>
      <c r="AD9" s="783">
        <f t="shared" si="12"/>
        <v>0</v>
      </c>
      <c r="AE9" s="462" t="str">
        <f>IFERROR(VLOOKUP(投組換券表[[#This Row],[商品代號]],bond!B:AA,26,FALSE),"")</f>
        <v/>
      </c>
      <c r="AF9" s="1" t="str">
        <f ca="1">IFERROR(VLOOKUP($S9,'銀行-TSS'!B:Q,16,FALSE),"")</f>
        <v/>
      </c>
      <c r="AG9" s="479" t="str">
        <f ca="1">IFERROR(VLOOKUP($S9,'銀行-TSS'!B:C,2,FALSE),"")</f>
        <v/>
      </c>
      <c r="AH9" s="479" t="e">
        <f ca="1">VLOOKUP(投組換券表[[#This Row],[幣別]],$B$37:$C$43,2,FALSE)</f>
        <v>#N/A</v>
      </c>
      <c r="AI9" s="500" t="e">
        <f ca="1">CHOOSE(投組換券表[[#This Row],[對應編碼]],$D$37,$D$38,$D$39,$D$40,$D$41,$D$42,$D$43)</f>
        <v>#N/A</v>
      </c>
      <c r="AJ9" s="500">
        <f>IF(K9=0,0,CHOOSE(投組換券表[[#This Row],[對應編碼]],$E$37,$E$38,$E$39,$E$40,$E$41,$E$42,$E$43))</f>
        <v>0</v>
      </c>
      <c r="AK9" s="1520">
        <f>IFERROR(投組換券表[[#This Row],[投入面額]]*投組換券表[[#This Row],[換算匯率(現)]],0)</f>
        <v>0</v>
      </c>
      <c r="AL9" s="574">
        <f t="shared" ca="1" si="13"/>
        <v>0</v>
      </c>
      <c r="AM9" s="735">
        <f>IFERROR(VLOOKUP(投組換券表[[#This Row],[商品代號]],bond!B:X,21,FALSE),0)</f>
        <v>0</v>
      </c>
      <c r="AN9" s="735">
        <f>IFERROR(VLOOKUP(投組換券表[[#This Row],[商品代號]],bond!B:J,9,FALSE),0)</f>
        <v>0</v>
      </c>
      <c r="AO9" s="1298">
        <f>IFERROR(IF(K9=0,0,投組換券表[[#This Row],[clean申購價]]/100*投組換券表[[#This Row],[投入面額]]*投組換券表[[#This Row],[MOD]]*1%),0)</f>
        <v>0</v>
      </c>
      <c r="AP9" s="1084">
        <f ca="1">IFERROR(VLOOKUP(投組換券表[[#This Row],[商品代號]],'銀行-TSS'!B:N,13,FALSE),0)</f>
        <v>0</v>
      </c>
      <c r="AQ9" s="1084">
        <f ca="1">IFERROR(VLOOKUP(投組換券表[[#This Row],[商品代號]],'銀行-TSS'!B:O,14,FALSE),0)</f>
        <v>0</v>
      </c>
      <c r="AR9" s="1200">
        <f>IFERROR(IF(K9=0,0,投組換券表[[#This Row],[票面利率]]*投組換券表[[#This Row],[投入面額]]),0)</f>
        <v>0</v>
      </c>
      <c r="AS9" s="1188" t="e">
        <f ca="1">VLOOKUP(K9,'銀行-TSS'!B:AK,36,FALSE)</f>
        <v>#N/A</v>
      </c>
      <c r="AT9" s="434" t="e">
        <f t="shared" ca="1" si="14"/>
        <v>#VALUE!</v>
      </c>
      <c r="AU9" s="434" t="e">
        <f t="shared" ca="1" si="15"/>
        <v>#VALUE!</v>
      </c>
      <c r="AV9" s="434">
        <f t="shared" ca="1" si="16"/>
        <v>0</v>
      </c>
      <c r="AW9" s="434">
        <f t="shared" ca="1" si="17"/>
        <v>0</v>
      </c>
      <c r="AX9"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9"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9"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9"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9"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9"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9"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9"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9"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9"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9"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9"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9"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9" s="33"/>
      <c r="BL9" s="33"/>
      <c r="BM9" s="33"/>
      <c r="BN9" s="33"/>
      <c r="BO9" s="33"/>
      <c r="BP9" s="33"/>
      <c r="BQ9" s="33"/>
      <c r="BR9" s="33"/>
      <c r="BS9" s="33"/>
      <c r="BT9" s="33"/>
      <c r="BU9" s="33"/>
      <c r="BV9" s="33"/>
      <c r="BW9" s="33"/>
      <c r="BX9" s="33"/>
      <c r="BY9" s="33"/>
      <c r="BZ9" s="33"/>
      <c r="CA9" s="33"/>
      <c r="CB9" s="33"/>
      <c r="CC9" s="33"/>
      <c r="CD9" s="33"/>
      <c r="CE9" s="33"/>
      <c r="CF9" s="33"/>
      <c r="CG9" s="33"/>
      <c r="CH9" s="33"/>
      <c r="CI9" s="33"/>
      <c r="CJ9" s="33"/>
      <c r="CK9" s="33"/>
      <c r="CL9" s="33"/>
      <c r="CM9" s="33"/>
      <c r="CN9" s="33"/>
      <c r="CO9" s="33"/>
      <c r="CP9" s="33"/>
      <c r="CQ9" s="33"/>
      <c r="CR9" s="33"/>
      <c r="CS9" s="33"/>
      <c r="CT9" s="33"/>
      <c r="CU9" s="33"/>
      <c r="CV9" s="33"/>
      <c r="CW9" s="33"/>
      <c r="CX9" s="33"/>
      <c r="CY9" s="33"/>
      <c r="CZ9" s="33"/>
      <c r="DA9" s="33"/>
      <c r="DB9" s="33"/>
      <c r="DC9" s="33"/>
      <c r="DD9" s="33"/>
      <c r="DE9" s="33"/>
      <c r="DF9" s="33"/>
      <c r="DG9" s="33"/>
      <c r="DH9" s="33"/>
      <c r="DI9" s="33"/>
      <c r="DJ9" s="33"/>
      <c r="DK9" s="33"/>
      <c r="DL9" s="33"/>
      <c r="DM9" s="33"/>
      <c r="DN9" s="33"/>
      <c r="DO9" s="33"/>
      <c r="DP9" s="33"/>
      <c r="DQ9" s="33"/>
      <c r="DR9" s="33"/>
      <c r="DS9" s="33"/>
      <c r="DT9" s="33"/>
      <c r="DU9" s="33"/>
      <c r="DV9" s="33"/>
      <c r="DW9" s="33"/>
      <c r="DX9" s="33"/>
      <c r="DY9" s="33"/>
      <c r="DZ9" s="33"/>
      <c r="EA9" s="33"/>
      <c r="EB9" s="33"/>
      <c r="EC9" s="33"/>
      <c r="ED9" s="33"/>
      <c r="EE9" s="33"/>
      <c r="EF9" s="33"/>
      <c r="EG9" s="33"/>
      <c r="EH9" s="33"/>
      <c r="EI9" s="33"/>
      <c r="EJ9" s="33"/>
      <c r="EK9" s="33"/>
      <c r="EL9" s="33"/>
      <c r="EM9" s="33"/>
      <c r="EN9" s="33"/>
      <c r="EO9" s="33"/>
      <c r="EP9" s="33"/>
      <c r="EQ9" s="33"/>
      <c r="ER9" s="33"/>
      <c r="ES9" s="33"/>
      <c r="ET9" s="33"/>
      <c r="EU9" s="33"/>
      <c r="EV9" s="33"/>
      <c r="EW9" s="33"/>
      <c r="EX9" s="33"/>
      <c r="EY9" s="33"/>
      <c r="EZ9" s="33"/>
      <c r="FA9" s="33"/>
      <c r="FB9" s="33"/>
      <c r="FC9" s="33"/>
      <c r="FD9" s="33"/>
      <c r="FE9" s="33"/>
      <c r="FF9" s="33"/>
      <c r="FG9" s="33"/>
      <c r="FH9" s="33"/>
      <c r="FI9" s="33"/>
      <c r="FJ9" s="33"/>
      <c r="FK9" s="33"/>
      <c r="FL9" s="33"/>
      <c r="FM9" s="33"/>
    </row>
    <row r="10" spans="1:169" ht="19.5" customHeight="1">
      <c r="B10" s="613" t="s">
        <v>1947</v>
      </c>
      <c r="C10" s="613">
        <v>2</v>
      </c>
      <c r="I10" s="424"/>
      <c r="K10" s="1172">
        <f>庫存管理!AI101</f>
        <v>0</v>
      </c>
      <c r="L10" s="1516" t="str">
        <f>庫存管理!AW101</f>
        <v/>
      </c>
      <c r="M10" s="1181">
        <f ca="1">IFERROR(VLOOKUP(K10,'銀行-TSS'!B:M,12,FALSE),0)</f>
        <v>0</v>
      </c>
      <c r="N10" s="1528">
        <f t="shared" ca="1" si="1"/>
        <v>0</v>
      </c>
      <c r="O10" s="1528">
        <f t="shared" si="2"/>
        <v>0</v>
      </c>
      <c r="P10" s="1528">
        <f>IF(K10=0,0,N10*投組換券表[[#This Row],[換算匯率(現)]])</f>
        <v>0</v>
      </c>
      <c r="Q10" s="1528">
        <f>IF(K10=0,0,O10*投組換券表[[#This Row],[換算匯率(現)]])</f>
        <v>0</v>
      </c>
      <c r="R10" s="1181">
        <f t="shared" ca="1" si="3"/>
        <v>0</v>
      </c>
      <c r="S10" s="428">
        <f t="shared" si="11"/>
        <v>0</v>
      </c>
      <c r="T10" s="430">
        <f>IFERROR(VLOOKUP(投組換券表[[#This Row],[商品代號]],bond!B:J,9,FALSE)+VLOOKUP(投組換券表[[#This Row],[商品代號]],bond!B:N,13,FALSE),0)</f>
        <v>0</v>
      </c>
      <c r="U10" s="430">
        <f ca="1">IFERROR(VLOOKUP(投組換券表[[#This Row],[商品代號]],'銀行-TSS'!B:K,10,FALSE),0)</f>
        <v>0</v>
      </c>
      <c r="V10" s="431">
        <f ca="1">IFERROR(VLOOKUP($S10,'銀行-TSS'!B:G,6,FALSE),0)</f>
        <v>0</v>
      </c>
      <c r="W10" s="432" t="e">
        <f ca="1">IFERROR(DATEVALUE(VLOOKUP($S10,'銀行-TSS'!B:F,5,FALSE)),VLOOKUP($S10,'銀行-TSS'!B:F,5,FALSE))</f>
        <v>#N/A</v>
      </c>
      <c r="X10" s="433">
        <f ca="1">IFERROR(VLOOKUP($S10,'銀行-TSS'!B:H,7,FALSE),0)</f>
        <v>0</v>
      </c>
      <c r="Y10" s="434" t="str">
        <f ca="1">IFERROR(VLOOKUP($S10,'銀行-TSS'!B:I,8,FALSE),"")</f>
        <v/>
      </c>
      <c r="Z10" s="440" t="str">
        <f ca="1">_xlfn.IFNA(IFERROR(DATEVALUE(VLOOKUP($S10,'銀行-TSS'!B:P,15,FALSE)),VLOOKUP($S10,'銀行-TSS'!B:P,15,FALSE)),"")</f>
        <v/>
      </c>
      <c r="AA10" s="570" t="b">
        <f t="shared" si="5"/>
        <v>0</v>
      </c>
      <c r="AB10" s="782" t="e">
        <f>DATEVALUE(VLOOKUP(S10,bond!B:I,7,FALSE))</f>
        <v>#N/A</v>
      </c>
      <c r="AC10" s="783">
        <f>IF(投組換券表[[#This Row],[檢測]]=TRUE,L10,0)</f>
        <v>0</v>
      </c>
      <c r="AD10" s="783">
        <f t="shared" si="12"/>
        <v>0</v>
      </c>
      <c r="AE10" s="462" t="str">
        <f>IFERROR(VLOOKUP(投組換券表[[#This Row],[商品代號]],bond!B:AA,26,FALSE),"")</f>
        <v/>
      </c>
      <c r="AF10" s="1" t="str">
        <f ca="1">IFERROR(VLOOKUP($S10,'銀行-TSS'!B:Q,16,FALSE),"")</f>
        <v/>
      </c>
      <c r="AG10" s="479" t="str">
        <f ca="1">IFERROR(VLOOKUP($S10,'銀行-TSS'!B:C,2,FALSE),"")</f>
        <v/>
      </c>
      <c r="AH10" s="479" t="e">
        <f ca="1">VLOOKUP(投組換券表[[#This Row],[幣別]],$B$37:$C$43,2,FALSE)</f>
        <v>#N/A</v>
      </c>
      <c r="AI10" s="500" t="e">
        <f ca="1">CHOOSE(投組換券表[[#This Row],[對應編碼]],$D$37,$D$38,$D$39,$D$40,$D$41,$D$42,$D$43)</f>
        <v>#N/A</v>
      </c>
      <c r="AJ10" s="500">
        <f>IF(K10=0,0,CHOOSE(投組換券表[[#This Row],[對應編碼]],$E$37,$E$38,$E$39,$E$40,$E$41,$E$42,$E$43))</f>
        <v>0</v>
      </c>
      <c r="AK10" s="1520">
        <f>IFERROR(投組換券表[[#This Row],[投入面額]]*投組換券表[[#This Row],[換算匯率(現)]],0)</f>
        <v>0</v>
      </c>
      <c r="AL10" s="574">
        <f t="shared" ca="1" si="13"/>
        <v>0</v>
      </c>
      <c r="AM10" s="735">
        <f>IFERROR(VLOOKUP(投組換券表[[#This Row],[商品代號]],bond!B:X,21,FALSE),0)</f>
        <v>0</v>
      </c>
      <c r="AN10" s="735">
        <f>IFERROR(VLOOKUP(投組換券表[[#This Row],[商品代號]],bond!B:J,9,FALSE),0)</f>
        <v>0</v>
      </c>
      <c r="AO10" s="1298">
        <f>IFERROR(IF(K10=0,0,投組換券表[[#This Row],[clean申購價]]/100*投組換券表[[#This Row],[投入面額]]*投組換券表[[#This Row],[MOD]]*1%),0)</f>
        <v>0</v>
      </c>
      <c r="AP10" s="1084">
        <f ca="1">IFERROR(VLOOKUP(投組換券表[[#This Row],[商品代號]],'銀行-TSS'!B:N,13,FALSE),0)</f>
        <v>0</v>
      </c>
      <c r="AQ10" s="1084">
        <f ca="1">IFERROR(VLOOKUP(投組換券表[[#This Row],[商品代號]],'銀行-TSS'!B:O,14,FALSE),0)</f>
        <v>0</v>
      </c>
      <c r="AR10" s="1200">
        <f>IFERROR(IF(K10=0,0,投組換券表[[#This Row],[票面利率]]*投組換券表[[#This Row],[投入面額]]),0)</f>
        <v>0</v>
      </c>
      <c r="AS10" s="1188" t="e">
        <f ca="1">VLOOKUP(K10,'銀行-TSS'!B:AK,36,FALSE)</f>
        <v>#N/A</v>
      </c>
      <c r="AT10" s="434" t="e">
        <f t="shared" ca="1" si="14"/>
        <v>#VALUE!</v>
      </c>
      <c r="AU10" s="434" t="e">
        <f t="shared" ca="1" si="15"/>
        <v>#VALUE!</v>
      </c>
      <c r="AV10" s="434">
        <f t="shared" ca="1" si="16"/>
        <v>0</v>
      </c>
      <c r="AW10" s="434">
        <f t="shared" ca="1" si="17"/>
        <v>0</v>
      </c>
      <c r="AX10"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10"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10"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10"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10"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10"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10"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10"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10"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10"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10"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10"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10"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c r="CV10" s="33"/>
      <c r="CW10" s="33"/>
      <c r="CX10" s="33"/>
      <c r="CY10" s="33"/>
      <c r="CZ10" s="33"/>
      <c r="DA10" s="33"/>
      <c r="DB10" s="33"/>
      <c r="DC10" s="33"/>
      <c r="DD10" s="33"/>
      <c r="DE10" s="33"/>
      <c r="DF10" s="33"/>
      <c r="DG10" s="33"/>
      <c r="DH10" s="33"/>
      <c r="DI10" s="33"/>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c r="FD10" s="33"/>
      <c r="FE10" s="33"/>
      <c r="FF10" s="33"/>
      <c r="FG10" s="33"/>
      <c r="FH10" s="33"/>
      <c r="FI10" s="33"/>
      <c r="FJ10" s="33"/>
      <c r="FK10" s="33"/>
      <c r="FL10" s="33"/>
      <c r="FM10" s="33"/>
    </row>
    <row r="11" spans="1:169" ht="19.5" customHeight="1">
      <c r="B11" s="613" t="s">
        <v>1951</v>
      </c>
      <c r="C11" s="613">
        <v>3</v>
      </c>
      <c r="I11" s="424"/>
      <c r="K11" s="1172">
        <f>庫存管理!AI102</f>
        <v>0</v>
      </c>
      <c r="L11" s="1516" t="str">
        <f>庫存管理!AW102</f>
        <v/>
      </c>
      <c r="M11" s="1181">
        <f ca="1">IFERROR(VLOOKUP(K11,'銀行-TSS'!B:M,12,FALSE),0)</f>
        <v>0</v>
      </c>
      <c r="N11" s="1528">
        <f t="shared" ca="1" si="1"/>
        <v>0</v>
      </c>
      <c r="O11" s="1528">
        <f t="shared" si="2"/>
        <v>0</v>
      </c>
      <c r="P11" s="1528">
        <f>IF(K11=0,0,N11*投組換券表[[#This Row],[換算匯率(現)]])</f>
        <v>0</v>
      </c>
      <c r="Q11" s="1528">
        <f>IF(K11=0,0,O11*投組換券表[[#This Row],[換算匯率(現)]])</f>
        <v>0</v>
      </c>
      <c r="R11" s="1181">
        <f t="shared" ca="1" si="3"/>
        <v>0</v>
      </c>
      <c r="S11" s="428">
        <f t="shared" si="11"/>
        <v>0</v>
      </c>
      <c r="T11" s="430">
        <f>IFERROR(VLOOKUP(投組換券表[[#This Row],[商品代號]],bond!B:J,9,FALSE)+VLOOKUP(投組換券表[[#This Row],[商品代號]],bond!B:N,13,FALSE),0)</f>
        <v>0</v>
      </c>
      <c r="U11" s="430">
        <f ca="1">IFERROR(VLOOKUP(投組換券表[[#This Row],[商品代號]],'銀行-TSS'!B:K,10,FALSE),0)</f>
        <v>0</v>
      </c>
      <c r="V11" s="431">
        <f ca="1">IFERROR(VLOOKUP($S11,'銀行-TSS'!B:G,6,FALSE),0)</f>
        <v>0</v>
      </c>
      <c r="W11" s="432" t="e">
        <f ca="1">IFERROR(DATEVALUE(VLOOKUP($S11,'銀行-TSS'!B:F,5,FALSE)),VLOOKUP($S11,'銀行-TSS'!B:F,5,FALSE))</f>
        <v>#N/A</v>
      </c>
      <c r="X11" s="433">
        <f ca="1">IFERROR(VLOOKUP($S11,'銀行-TSS'!B:H,7,FALSE),0)</f>
        <v>0</v>
      </c>
      <c r="Y11" s="434" t="str">
        <f ca="1">IFERROR(VLOOKUP($S11,'銀行-TSS'!B:I,8,FALSE),"")</f>
        <v/>
      </c>
      <c r="Z11" s="440" t="str">
        <f ca="1">_xlfn.IFNA(IFERROR(DATEVALUE(VLOOKUP($S11,'銀行-TSS'!B:P,15,FALSE)),VLOOKUP($S11,'銀行-TSS'!B:P,15,FALSE)),"")</f>
        <v/>
      </c>
      <c r="AA11" s="570" t="b">
        <f t="shared" si="5"/>
        <v>0</v>
      </c>
      <c r="AB11" s="782" t="e">
        <f>DATEVALUE(VLOOKUP(S11,bond!B:I,7,FALSE))</f>
        <v>#N/A</v>
      </c>
      <c r="AC11" s="783">
        <f>IF(投組換券表[[#This Row],[檢測]]=TRUE,L11,0)</f>
        <v>0</v>
      </c>
      <c r="AD11" s="783">
        <f t="shared" si="12"/>
        <v>0</v>
      </c>
      <c r="AE11" s="462" t="str">
        <f>IFERROR(VLOOKUP(投組換券表[[#This Row],[商品代號]],bond!B:AA,26,FALSE),"")</f>
        <v/>
      </c>
      <c r="AF11" s="1" t="str">
        <f ca="1">IFERROR(VLOOKUP($S11,'銀行-TSS'!B:Q,16,FALSE),"")</f>
        <v/>
      </c>
      <c r="AG11" s="479" t="str">
        <f ca="1">IFERROR(VLOOKUP($S11,'銀行-TSS'!B:C,2,FALSE),"")</f>
        <v/>
      </c>
      <c r="AH11" s="479" t="e">
        <f ca="1">VLOOKUP(投組換券表[[#This Row],[幣別]],$B$37:$C$43,2,FALSE)</f>
        <v>#N/A</v>
      </c>
      <c r="AI11" s="500" t="e">
        <f ca="1">CHOOSE(投組換券表[[#This Row],[對應編碼]],$D$37,$D$38,$D$39,$D$40,$D$41,$D$42,$D$43)</f>
        <v>#N/A</v>
      </c>
      <c r="AJ11" s="500">
        <f>IF(K11=0,0,CHOOSE(投組換券表[[#This Row],[對應編碼]],$E$37,$E$38,$E$39,$E$40,$E$41,$E$42,$E$43))</f>
        <v>0</v>
      </c>
      <c r="AK11" s="1520">
        <f>IFERROR(投組換券表[[#This Row],[投入面額]]*投組換券表[[#This Row],[換算匯率(現)]],0)</f>
        <v>0</v>
      </c>
      <c r="AL11" s="574">
        <f t="shared" ca="1" si="13"/>
        <v>0</v>
      </c>
      <c r="AM11" s="735">
        <f>IFERROR(VLOOKUP(投組換券表[[#This Row],[商品代號]],bond!B:X,21,FALSE),0)</f>
        <v>0</v>
      </c>
      <c r="AN11" s="735">
        <f>IFERROR(VLOOKUP(投組換券表[[#This Row],[商品代號]],bond!B:J,9,FALSE),0)</f>
        <v>0</v>
      </c>
      <c r="AO11" s="1298">
        <f>IFERROR(IF(K11=0,0,投組換券表[[#This Row],[clean申購價]]/100*投組換券表[[#This Row],[投入面額]]*投組換券表[[#This Row],[MOD]]*1%),0)</f>
        <v>0</v>
      </c>
      <c r="AP11" s="1084">
        <f ca="1">IFERROR(VLOOKUP(投組換券表[[#This Row],[商品代號]],'銀行-TSS'!B:N,13,FALSE),0)</f>
        <v>0</v>
      </c>
      <c r="AQ11" s="1084">
        <f ca="1">IFERROR(VLOOKUP(投組換券表[[#This Row],[商品代號]],'銀行-TSS'!B:O,14,FALSE),0)</f>
        <v>0</v>
      </c>
      <c r="AR11" s="1200">
        <f>IFERROR(IF(K11=0,0,投組換券表[[#This Row],[票面利率]]*投組換券表[[#This Row],[投入面額]]),0)</f>
        <v>0</v>
      </c>
      <c r="AS11" s="1188" t="e">
        <f ca="1">VLOOKUP(K11,'銀行-TSS'!B:AK,36,FALSE)</f>
        <v>#N/A</v>
      </c>
      <c r="AT11" s="434" t="e">
        <f t="shared" ca="1" si="14"/>
        <v>#VALUE!</v>
      </c>
      <c r="AU11" s="434" t="e">
        <f t="shared" ca="1" si="15"/>
        <v>#VALUE!</v>
      </c>
      <c r="AV11" s="434">
        <f t="shared" ca="1" si="16"/>
        <v>0</v>
      </c>
      <c r="AW11" s="434">
        <f t="shared" ca="1" si="17"/>
        <v>0</v>
      </c>
      <c r="AX11"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11"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11"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11"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11"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11"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11"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11"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11"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11"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11"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11"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11"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row>
    <row r="12" spans="1:169" ht="19.5" customHeight="1">
      <c r="B12" s="613" t="s">
        <v>1944</v>
      </c>
      <c r="C12" s="613">
        <v>4</v>
      </c>
      <c r="I12" s="424"/>
      <c r="K12" s="1172">
        <f>庫存管理!AI103</f>
        <v>0</v>
      </c>
      <c r="L12" s="1516" t="str">
        <f>庫存管理!AW103</f>
        <v/>
      </c>
      <c r="M12" s="1181">
        <f ca="1">IFERROR(VLOOKUP(K12,'銀行-TSS'!B:M,12,FALSE),0)</f>
        <v>0</v>
      </c>
      <c r="N12" s="1528">
        <f t="shared" ca="1" si="1"/>
        <v>0</v>
      </c>
      <c r="O12" s="1528">
        <f t="shared" si="2"/>
        <v>0</v>
      </c>
      <c r="P12" s="1528">
        <f>IF(K12=0,0,N12*投組換券表[[#This Row],[換算匯率(現)]])</f>
        <v>0</v>
      </c>
      <c r="Q12" s="1528">
        <f>IF(K12=0,0,O12*投組換券表[[#This Row],[換算匯率(現)]])</f>
        <v>0</v>
      </c>
      <c r="R12" s="1181">
        <f t="shared" ca="1" si="3"/>
        <v>0</v>
      </c>
      <c r="S12" s="428">
        <f t="shared" si="11"/>
        <v>0</v>
      </c>
      <c r="T12" s="430">
        <f>IFERROR(VLOOKUP(投組換券表[[#This Row],[商品代號]],bond!B:J,9,FALSE)+VLOOKUP(投組換券表[[#This Row],[商品代號]],bond!B:N,13,FALSE),0)</f>
        <v>0</v>
      </c>
      <c r="U12" s="430">
        <f ca="1">IFERROR(VLOOKUP(投組換券表[[#This Row],[商品代號]],'銀行-TSS'!B:K,10,FALSE),0)</f>
        <v>0</v>
      </c>
      <c r="V12" s="431">
        <f ca="1">IFERROR(VLOOKUP($S12,'銀行-TSS'!B:G,6,FALSE),0)</f>
        <v>0</v>
      </c>
      <c r="W12" s="432" t="e">
        <f ca="1">IFERROR(DATEVALUE(VLOOKUP($S12,'銀行-TSS'!B:F,5,FALSE)),VLOOKUP($S12,'銀行-TSS'!B:F,5,FALSE))</f>
        <v>#N/A</v>
      </c>
      <c r="X12" s="433">
        <f ca="1">IFERROR(VLOOKUP($S12,'銀行-TSS'!B:H,7,FALSE),0)</f>
        <v>0</v>
      </c>
      <c r="Y12" s="434" t="str">
        <f ca="1">IFERROR(VLOOKUP($S12,'銀行-TSS'!B:I,8,FALSE),"")</f>
        <v/>
      </c>
      <c r="Z12" s="440" t="str">
        <f ca="1">_xlfn.IFNA(IFERROR(DATEVALUE(VLOOKUP($S12,'銀行-TSS'!B:P,15,FALSE)),VLOOKUP($S12,'銀行-TSS'!B:P,15,FALSE)),"")</f>
        <v/>
      </c>
      <c r="AA12" s="570" t="b">
        <f t="shared" si="5"/>
        <v>0</v>
      </c>
      <c r="AB12" s="782" t="e">
        <f>DATEVALUE(VLOOKUP(S12,bond!B:I,7,FALSE))</f>
        <v>#N/A</v>
      </c>
      <c r="AC12" s="783">
        <f>IF(投組換券表[[#This Row],[檢測]]=TRUE,L12,0)</f>
        <v>0</v>
      </c>
      <c r="AD12" s="783">
        <f t="shared" si="12"/>
        <v>0</v>
      </c>
      <c r="AE12" s="462" t="str">
        <f>IFERROR(VLOOKUP(投組換券表[[#This Row],[商品代號]],bond!B:AA,26,FALSE),"")</f>
        <v/>
      </c>
      <c r="AF12" s="1" t="str">
        <f ca="1">IFERROR(VLOOKUP($S12,'銀行-TSS'!B:Q,16,FALSE),"")</f>
        <v/>
      </c>
      <c r="AG12" s="479" t="str">
        <f ca="1">IFERROR(VLOOKUP($S12,'銀行-TSS'!B:C,2,FALSE),"")</f>
        <v/>
      </c>
      <c r="AH12" s="479" t="e">
        <f ca="1">VLOOKUP(投組換券表[[#This Row],[幣別]],$B$37:$C$43,2,FALSE)</f>
        <v>#N/A</v>
      </c>
      <c r="AI12" s="500" t="e">
        <f ca="1">CHOOSE(投組換券表[[#This Row],[對應編碼]],$D$37,$D$38,$D$39,$D$40,$D$41,$D$42,$D$43)</f>
        <v>#N/A</v>
      </c>
      <c r="AJ12" s="500">
        <f>IF(K12=0,0,CHOOSE(投組換券表[[#This Row],[對應編碼]],$E$37,$E$38,$E$39,$E$40,$E$41,$E$42,$E$43))</f>
        <v>0</v>
      </c>
      <c r="AK12" s="1520">
        <f>IFERROR(投組換券表[[#This Row],[投入面額]]*投組換券表[[#This Row],[換算匯率(現)]],0)</f>
        <v>0</v>
      </c>
      <c r="AL12" s="574">
        <f t="shared" ca="1" si="13"/>
        <v>0</v>
      </c>
      <c r="AM12" s="735">
        <f>IFERROR(VLOOKUP(投組換券表[[#This Row],[商品代號]],bond!B:X,21,FALSE),0)</f>
        <v>0</v>
      </c>
      <c r="AN12" s="735">
        <f>IFERROR(VLOOKUP(投組換券表[[#This Row],[商品代號]],bond!B:J,9,FALSE),0)</f>
        <v>0</v>
      </c>
      <c r="AO12" s="1298">
        <f>IFERROR(IF(K12=0,0,投組換券表[[#This Row],[clean申購價]]/100*投組換券表[[#This Row],[投入面額]]*投組換券表[[#This Row],[MOD]]*1%),0)</f>
        <v>0</v>
      </c>
      <c r="AP12" s="1084">
        <f ca="1">IFERROR(VLOOKUP(投組換券表[[#This Row],[商品代號]],'銀行-TSS'!B:N,13,FALSE),0)</f>
        <v>0</v>
      </c>
      <c r="AQ12" s="1084">
        <f ca="1">IFERROR(VLOOKUP(投組換券表[[#This Row],[商品代號]],'銀行-TSS'!B:O,14,FALSE),0)</f>
        <v>0</v>
      </c>
      <c r="AR12" s="1200">
        <f>IFERROR(IF(K12=0,0,投組換券表[[#This Row],[票面利率]]*投組換券表[[#This Row],[投入面額]]),0)</f>
        <v>0</v>
      </c>
      <c r="AS12" s="1188" t="e">
        <f ca="1">VLOOKUP(K12,'銀行-TSS'!B:AK,36,FALSE)</f>
        <v>#N/A</v>
      </c>
      <c r="AT12" s="434" t="e">
        <f t="shared" ca="1" si="14"/>
        <v>#VALUE!</v>
      </c>
      <c r="AU12" s="434" t="e">
        <f t="shared" ca="1" si="15"/>
        <v>#VALUE!</v>
      </c>
      <c r="AV12" s="434">
        <f t="shared" ca="1" si="16"/>
        <v>0</v>
      </c>
      <c r="AW12" s="434">
        <f t="shared" ca="1" si="17"/>
        <v>0</v>
      </c>
      <c r="AX12"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12"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12"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12"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12"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12"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12"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12"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12"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12"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12"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12"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12"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12" s="33"/>
      <c r="BL12" s="33"/>
      <c r="BM12" s="33"/>
      <c r="BN12" s="33"/>
      <c r="BO12" s="33"/>
      <c r="BP12" s="33"/>
      <c r="BQ12" s="33"/>
      <c r="BR12" s="33"/>
      <c r="BS12" s="33"/>
      <c r="BT12" s="33"/>
      <c r="BU12" s="33"/>
      <c r="BV12" s="33"/>
      <c r="BW12" s="33"/>
      <c r="BX12" s="33"/>
      <c r="BY12" s="33"/>
      <c r="BZ12" s="33"/>
      <c r="CA12" s="33"/>
      <c r="CB12" s="33"/>
      <c r="CC12" s="33"/>
      <c r="CD12" s="33"/>
      <c r="CE12" s="33"/>
      <c r="CF12" s="33"/>
      <c r="CG12" s="33"/>
      <c r="CH12" s="33"/>
      <c r="CI12" s="33"/>
      <c r="CJ12" s="33"/>
      <c r="CK12" s="33"/>
      <c r="CL12" s="33"/>
      <c r="CM12" s="33"/>
      <c r="CN12" s="33"/>
      <c r="CO12" s="33"/>
      <c r="CP12" s="33"/>
      <c r="CQ12" s="33"/>
      <c r="CR12" s="33"/>
      <c r="CS12" s="33"/>
      <c r="CT12" s="33"/>
      <c r="CU12" s="33"/>
      <c r="CV12" s="33"/>
      <c r="CW12" s="33"/>
      <c r="CX12" s="33"/>
      <c r="CY12" s="33"/>
      <c r="CZ12" s="33"/>
      <c r="DA12" s="33"/>
      <c r="DB12" s="33"/>
      <c r="DC12" s="33"/>
      <c r="DD12" s="33"/>
      <c r="DE12" s="33"/>
      <c r="DF12" s="33"/>
      <c r="DG12" s="33"/>
      <c r="DH12" s="33"/>
      <c r="DI12" s="33"/>
      <c r="DJ12" s="33"/>
      <c r="DK12" s="33"/>
      <c r="DL12" s="33"/>
      <c r="DM12" s="33"/>
      <c r="DN12" s="33"/>
      <c r="DO12" s="33"/>
      <c r="DP12" s="33"/>
      <c r="DQ12" s="33"/>
      <c r="DR12" s="33"/>
      <c r="DS12" s="33"/>
      <c r="DT12" s="33"/>
      <c r="DU12" s="33"/>
      <c r="DV12" s="33"/>
      <c r="DW12" s="33"/>
      <c r="DX12" s="33"/>
      <c r="DY12" s="33"/>
      <c r="DZ12" s="33"/>
      <c r="EA12" s="33"/>
      <c r="EB12" s="33"/>
      <c r="EC12" s="33"/>
      <c r="ED12" s="33"/>
      <c r="EE12" s="33"/>
      <c r="EF12" s="33"/>
      <c r="EG12" s="33"/>
      <c r="EH12" s="33"/>
      <c r="EI12" s="33"/>
      <c r="EJ12" s="33"/>
      <c r="EK12" s="33"/>
      <c r="EL12" s="33"/>
      <c r="EM12" s="33"/>
      <c r="EN12" s="33"/>
      <c r="EO12" s="33"/>
      <c r="EP12" s="33"/>
      <c r="EQ12" s="33"/>
      <c r="ER12" s="33"/>
      <c r="ES12" s="33"/>
      <c r="ET12" s="33"/>
      <c r="EU12" s="33"/>
      <c r="EV12" s="33"/>
      <c r="EW12" s="33"/>
      <c r="EX12" s="33"/>
      <c r="EY12" s="33"/>
      <c r="EZ12" s="33"/>
      <c r="FA12" s="33"/>
      <c r="FB12" s="33"/>
      <c r="FC12" s="33"/>
      <c r="FD12" s="33"/>
      <c r="FE12" s="33"/>
      <c r="FF12" s="33"/>
      <c r="FG12" s="33"/>
      <c r="FH12" s="33"/>
      <c r="FI12" s="33"/>
      <c r="FJ12" s="33"/>
      <c r="FK12" s="33"/>
      <c r="FL12" s="33"/>
      <c r="FM12" s="33"/>
    </row>
    <row r="13" spans="1:169" ht="19.5" customHeight="1">
      <c r="B13" s="614" t="s">
        <v>1946</v>
      </c>
      <c r="C13" s="614">
        <v>4</v>
      </c>
      <c r="J13" s="26">
        <v>1</v>
      </c>
      <c r="K13" s="918" t="str">
        <f ca="1">IF(OR('Tssco-bond portfolio(2)'!H7=TRUE,'Tssco-bond portfolio(2)'!S7=FALSE),0,'Tssco-bond portfolio(2)'!I7)</f>
        <v>XH430</v>
      </c>
      <c r="L13" s="1517">
        <f ca="1">IF(K13=0,"",'Tssco-bond portfolio(2)'!W7)</f>
        <v>100000</v>
      </c>
      <c r="M13" s="566">
        <f ca="1">IF(K13=0,0,'Tssco-bond portfolio(2)'!CI7)</f>
        <v>5.0274453752479784E-2</v>
      </c>
      <c r="N13" s="1546">
        <f ca="1">IF(K13=0,0,'Tssco-bond portfolio(2)'!X7)</f>
        <v>98000</v>
      </c>
      <c r="O13" s="1546">
        <f ca="1">IF(K13=0,0,'Tssco-bond portfolio(2)'!Y7)</f>
        <v>97286</v>
      </c>
      <c r="P13" s="1546">
        <f ca="1">IF(K13=0,0,'Tssco-bond portfolio(2)'!BV7)</f>
        <v>2940000</v>
      </c>
      <c r="Q13" s="1546">
        <f ca="1">IF(K13=0,0,'Tssco-bond portfolio(2)'!BW7)</f>
        <v>2918580</v>
      </c>
      <c r="S13" s="428" t="str">
        <f t="shared" ca="1" si="11"/>
        <v>XH430</v>
      </c>
      <c r="T13" s="430">
        <f ca="1">IFERROR(VLOOKUP(投組換券表[[#This Row],[商品代號]],bond!B:J,9,FALSE)+VLOOKUP(投組換券表[[#This Row],[商品代號]],bond!B:N,13,FALSE),0)</f>
        <v>101.17</v>
      </c>
      <c r="U13" s="430">
        <f ca="1">IFERROR(VLOOKUP(投組換券表[[#This Row],[商品代號]],'銀行-TSS'!B:K,10,FALSE),0)</f>
        <v>101.87</v>
      </c>
      <c r="V13" s="431">
        <f ca="1">IFERROR(VLOOKUP($S13,'銀行-TSS'!B:G,6,FALSE),0)</f>
        <v>28.85</v>
      </c>
      <c r="W13" s="432">
        <f ca="1">IFERROR(DATEVALUE(VLOOKUP($S13,'銀行-TSS'!B:F,5,FALSE)),VLOOKUP($S13,'銀行-TSS'!B:F,5,FALSE))</f>
        <v>56014</v>
      </c>
      <c r="X13" s="433">
        <f ca="1">IFERROR(VLOOKUP($S13,'銀行-TSS'!B:H,7,FALSE),0)</f>
        <v>4.8499999999999995E-2</v>
      </c>
      <c r="Y13" s="434">
        <f ca="1">IFERROR(VLOOKUP($S13,'銀行-TSS'!B:I,8,FALSE),"")</f>
        <v>2</v>
      </c>
      <c r="Z13" s="440">
        <f ca="1">_xlfn.IFNA(IFERROR(DATEVALUE(VLOOKUP($S13,'銀行-TSS'!B:P,15,FALSE)),VLOOKUP($S13,'銀行-TSS'!B:P,15,FALSE)),"")</f>
        <v>45606</v>
      </c>
      <c r="AA13" s="570" t="b">
        <f t="shared" ca="1" si="5"/>
        <v>1</v>
      </c>
      <c r="AB13" s="782">
        <f ca="1">DATEVALUE(VLOOKUP(S13,bond!B:I,7,FALSE))</f>
        <v>45475</v>
      </c>
      <c r="AC13" s="783">
        <f ca="1">IF(投組換券表[[#This Row],[檢測]]=TRUE,L13,0)</f>
        <v>100000</v>
      </c>
      <c r="AD13" s="783">
        <f t="shared" ca="1" si="12"/>
        <v>97286</v>
      </c>
      <c r="AE13" s="462" t="str">
        <f ca="1">IFERROR(VLOOKUP(投組換券表[[#This Row],[商品代號]],bond!B:AA,26,FALSE),"")</f>
        <v>蘋果公司</v>
      </c>
      <c r="AF13" s="1" t="str">
        <f ca="1">IFERROR(VLOOKUP($S13,'銀行-TSS'!B:Q,16,FALSE),"")</f>
        <v>科技</v>
      </c>
      <c r="AG13" s="479" t="str">
        <f ca="1">IFERROR(VLOOKUP($S13,'銀行-TSS'!B:C,2,FALSE),"")</f>
        <v>USD</v>
      </c>
      <c r="AH13" s="479">
        <f ca="1">VLOOKUP(投組換券表[[#This Row],[幣別]],$B$37:$C$43,2,FALSE)</f>
        <v>1</v>
      </c>
      <c r="AI13" s="500">
        <f ca="1">CHOOSE(投組換券表[[#This Row],[對應編碼]],$D$37,$D$38,$D$39,$D$40,$D$41,$D$42,$D$43)</f>
        <v>30</v>
      </c>
      <c r="AJ13" s="500">
        <f ca="1">IF(K13=0,0,CHOOSE(投組換券表[[#This Row],[對應編碼]],$E$37,$E$38,$E$39,$E$40,$E$41,$E$42,$E$43))</f>
        <v>32.481000000000002</v>
      </c>
      <c r="AK13" s="1520">
        <f ca="1">IFERROR(投組換券表[[#This Row],[投入面額]]*投組換券表[[#This Row],[換算匯率(現)]],0)</f>
        <v>3248100</v>
      </c>
      <c r="AL13" s="574">
        <f t="shared" ca="1" si="13"/>
        <v>0.29518072289156627</v>
      </c>
      <c r="AM13" s="735">
        <f ca="1">IFERROR(VLOOKUP(投組換券表[[#This Row],[商品代號]],bond!B:X,21,FALSE),0)</f>
        <v>15.2515</v>
      </c>
      <c r="AN13" s="735">
        <f ca="1">IFERROR(VLOOKUP(投組換券表[[#This Row],[商品代號]],bond!B:J,9,FALSE),0)</f>
        <v>97.67</v>
      </c>
      <c r="AO13" s="1298">
        <f ca="1">IFERROR(IF(K13=0,0,投組換券表[[#This Row],[clean申購價]]/100*投組換券表[[#This Row],[投入面額]]*投組換券表[[#This Row],[MOD]]*1%),0)</f>
        <v>14896.140050000002</v>
      </c>
      <c r="AP13" s="1084">
        <f ca="1">IFERROR(VLOOKUP(投組換券表[[#This Row],[商品代號]],'銀行-TSS'!B:N,13,FALSE),0)</f>
        <v>10000</v>
      </c>
      <c r="AQ13" s="1084">
        <f ca="1">IFERROR(VLOOKUP(投組換券表[[#This Row],[商品代號]],'銀行-TSS'!B:O,14,FALSE),0)</f>
        <v>1000</v>
      </c>
      <c r="AR13" s="1200">
        <f ca="1">IFERROR(IF(K13=0,0,投組換券表[[#This Row],[票面利率]]*投組換券表[[#This Row],[投入面額]]),0)</f>
        <v>4849.9999999999991</v>
      </c>
      <c r="AS13" s="1188" t="str">
        <f ca="1">VLOOKUP(K13,'銀行-TSS'!B:AK,36,FALSE)</f>
        <v>有</v>
      </c>
      <c r="AT13" s="434">
        <f t="shared" ca="1" si="14"/>
        <v>5</v>
      </c>
      <c r="AU13" s="434">
        <f t="shared" ca="1" si="15"/>
        <v>11</v>
      </c>
      <c r="AV13" s="434">
        <f t="shared" ca="1" si="16"/>
        <v>0</v>
      </c>
      <c r="AW13" s="434">
        <f t="shared" ca="1" si="17"/>
        <v>0</v>
      </c>
      <c r="AX13" s="1298">
        <f ca="1">IF($C$16=1,投組換券表[[#This Row],[投入面額]]*投組換券表[[#This Row],[票面利率]]/投組換券表[[#This Row],[配息頻率]]*投組換券表[[#This Row],[換算匯率(現)]],投組換券表[[#This Row],[投入面額]]*投組換券表[[#This Row],[票面利率]]/投組換券表[[#This Row],[配息頻率]])</f>
        <v>2424.9999999999995</v>
      </c>
      <c r="AY13" s="1298" t="str">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
      </c>
      <c r="AZ13" s="1298" t="str">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
      </c>
      <c r="BA13" s="1298" t="str">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
      </c>
      <c r="BB13" s="1298">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2424.9999999999995</v>
      </c>
      <c r="BC13" s="1298" t="str">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
      </c>
      <c r="BD13" s="1298" t="str">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
      </c>
      <c r="BE13" s="1298" t="str">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
      </c>
      <c r="BF13" s="1298" t="str">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
      </c>
      <c r="BG13" s="1298" t="str">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
      </c>
      <c r="BH13" s="1298">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2424.9999999999995</v>
      </c>
      <c r="BI13" s="1298" t="str">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
      </c>
      <c r="BJ13" s="1298" t="str">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
      </c>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c r="CL13" s="33"/>
      <c r="CM13" s="33"/>
      <c r="CN13" s="33"/>
      <c r="CO13" s="33"/>
      <c r="CP13" s="33"/>
      <c r="CQ13" s="33"/>
      <c r="CR13" s="33"/>
      <c r="CS13" s="33"/>
      <c r="CT13" s="33"/>
      <c r="CU13" s="33"/>
      <c r="CV13" s="33"/>
      <c r="CW13" s="33"/>
      <c r="CX13" s="33"/>
      <c r="CY13" s="33"/>
      <c r="CZ13" s="33"/>
      <c r="DA13" s="33"/>
      <c r="DB13" s="33"/>
      <c r="DC13" s="33"/>
      <c r="DD13" s="33"/>
      <c r="DE13" s="33"/>
      <c r="DF13" s="33"/>
      <c r="DG13" s="33"/>
      <c r="DH13" s="33"/>
      <c r="DI13" s="33"/>
      <c r="DJ13" s="33"/>
      <c r="DK13" s="33"/>
      <c r="DL13" s="33"/>
      <c r="DM13" s="33"/>
      <c r="DN13" s="33"/>
      <c r="DO13" s="33"/>
      <c r="DP13" s="33"/>
      <c r="DQ13" s="33"/>
      <c r="DR13" s="33"/>
      <c r="DS13" s="33"/>
      <c r="DT13" s="33"/>
      <c r="DU13" s="33"/>
      <c r="DV13" s="33"/>
      <c r="DW13" s="33"/>
      <c r="DX13" s="33"/>
      <c r="DY13" s="33"/>
      <c r="DZ13" s="33"/>
      <c r="EA13" s="33"/>
      <c r="EB13" s="33"/>
      <c r="EC13" s="33"/>
      <c r="ED13" s="33"/>
      <c r="EE13" s="33"/>
      <c r="EF13" s="33"/>
      <c r="EG13" s="33"/>
      <c r="EH13" s="33"/>
      <c r="EI13" s="33"/>
      <c r="EJ13" s="33"/>
      <c r="EK13" s="33"/>
      <c r="EL13" s="33"/>
      <c r="EM13" s="33"/>
      <c r="EN13" s="33"/>
      <c r="EO13" s="33"/>
      <c r="EP13" s="33"/>
      <c r="EQ13" s="33"/>
      <c r="ER13" s="33"/>
      <c r="ES13" s="33"/>
      <c r="ET13" s="33"/>
      <c r="EU13" s="33"/>
      <c r="EV13" s="33"/>
      <c r="EW13" s="33"/>
      <c r="EX13" s="33"/>
      <c r="EY13" s="33"/>
      <c r="EZ13" s="33"/>
      <c r="FA13" s="33"/>
      <c r="FB13" s="33"/>
      <c r="FC13" s="33"/>
      <c r="FD13" s="33"/>
      <c r="FE13" s="33"/>
      <c r="FF13" s="33"/>
      <c r="FG13" s="33"/>
      <c r="FH13" s="33"/>
      <c r="FI13" s="33"/>
      <c r="FJ13" s="33"/>
      <c r="FK13" s="33"/>
      <c r="FL13" s="33"/>
      <c r="FM13" s="33"/>
    </row>
    <row r="14" spans="1:169" ht="19.5" customHeight="1">
      <c r="J14" s="26">
        <v>2</v>
      </c>
      <c r="K14" s="918" t="str">
        <f ca="1">IF(OR('Tssco-bond portfolio(2)'!H8=TRUE,'Tssco-bond portfolio(2)'!S8=FALSE),0,'Tssco-bond portfolio(2)'!I8)</f>
        <v>XG300</v>
      </c>
      <c r="L14" s="1517">
        <f ca="1">IF(K14=0,"",'Tssco-bond portfolio(2)'!W8)</f>
        <v>100000</v>
      </c>
      <c r="M14" s="566">
        <f ca="1">IF(K14=0,0,'Tssco-bond portfolio(2)'!CI8)</f>
        <v>4.7209627151226057E-2</v>
      </c>
      <c r="N14" s="1546">
        <f ca="1">IF(K14=0,0,'Tssco-bond portfolio(2)'!X8)</f>
        <v>58000</v>
      </c>
      <c r="O14" s="1546">
        <f ca="1">IF(K14=0,0,'Tssco-bond portfolio(2)'!Y8)</f>
        <v>57137.5</v>
      </c>
      <c r="P14" s="1546">
        <f ca="1">IF(K14=0,0,'Tssco-bond portfolio(2)'!BV8)</f>
        <v>1740000</v>
      </c>
      <c r="Q14" s="1546">
        <f ca="1">IF(K14=0,0,'Tssco-bond portfolio(2)'!BW8)</f>
        <v>1714125</v>
      </c>
      <c r="S14" s="428" t="str">
        <f t="shared" ca="1" si="11"/>
        <v>XG300</v>
      </c>
      <c r="T14" s="430">
        <f ca="1">IFERROR(VLOOKUP(投組換券表[[#This Row],[商品代號]],bond!B:J,9,FALSE)+VLOOKUP(投組換券表[[#This Row],[商品代號]],bond!B:N,13,FALSE),0)</f>
        <v>59.46</v>
      </c>
      <c r="U14" s="430">
        <f ca="1">IFERROR(VLOOKUP(投組換券表[[#This Row],[商品代號]],'銀行-TSS'!B:K,10,FALSE),0)</f>
        <v>60.32</v>
      </c>
      <c r="V14" s="431">
        <f ca="1">IFERROR(VLOOKUP($S14,'銀行-TSS'!B:G,6,FALSE),0)</f>
        <v>36.119999999999997</v>
      </c>
      <c r="W14" s="432">
        <f ca="1">IFERROR(DATEVALUE(VLOOKUP($S14,'銀行-TSS'!B:F,5,FALSE)),VLOOKUP($S14,'銀行-TSS'!B:F,5,FALSE))</f>
        <v>58668</v>
      </c>
      <c r="X14" s="433">
        <f ca="1">IFERROR(VLOOKUP($S14,'銀行-TSS'!B:H,7,FALSE),0)</f>
        <v>2.2499999999999999E-2</v>
      </c>
      <c r="Y14" s="434">
        <f ca="1">IFERROR(VLOOKUP($S14,'銀行-TSS'!B:I,8,FALSE),"")</f>
        <v>2</v>
      </c>
      <c r="Z14" s="440">
        <f ca="1">_xlfn.IFNA(IFERROR(DATEVALUE(VLOOKUP($S14,'銀行-TSS'!B:P,15,FALSE)),VLOOKUP($S14,'銀行-TSS'!B:P,15,FALSE)),"")</f>
        <v>45519</v>
      </c>
      <c r="AA14" s="570" t="b">
        <f t="shared" ca="1" si="5"/>
        <v>1</v>
      </c>
      <c r="AB14" s="782">
        <f ca="1">DATEVALUE(VLOOKUP(S14,bond!B:I,7,FALSE))</f>
        <v>45475</v>
      </c>
      <c r="AC14" s="783">
        <f ca="1">IF(投組換券表[[#This Row],[檢測]]=TRUE,L14,0)</f>
        <v>100000</v>
      </c>
      <c r="AD14" s="783">
        <f t="shared" ca="1" si="12"/>
        <v>57137.5</v>
      </c>
      <c r="AE14" s="462" t="str">
        <f ca="1">IFERROR(VLOOKUP(投組換券表[[#This Row],[商品代號]],bond!B:AA,26,FALSE),"")</f>
        <v>Alphabet公司</v>
      </c>
      <c r="AF14" s="1" t="str">
        <f ca="1">IFERROR(VLOOKUP($S14,'銀行-TSS'!B:Q,16,FALSE),"")</f>
        <v>通訊</v>
      </c>
      <c r="AG14" s="479" t="str">
        <f ca="1">IFERROR(VLOOKUP($S14,'銀行-TSS'!B:C,2,FALSE),"")</f>
        <v>USD</v>
      </c>
      <c r="AH14" s="479">
        <f ca="1">VLOOKUP(投組換券表[[#This Row],[幣別]],$B$37:$C$43,2,FALSE)</f>
        <v>1</v>
      </c>
      <c r="AI14" s="500">
        <f ca="1">CHOOSE(投組換券表[[#This Row],[對應編碼]],$D$37,$D$38,$D$39,$D$40,$D$41,$D$42,$D$43)</f>
        <v>30</v>
      </c>
      <c r="AJ14" s="500">
        <f ca="1">IF(K14=0,0,CHOOSE(投組換券表[[#This Row],[對應編碼]],$E$37,$E$38,$E$39,$E$40,$E$41,$E$42,$E$43))</f>
        <v>32.481000000000002</v>
      </c>
      <c r="AK14" s="1520">
        <f ca="1">IFERROR(投組換券表[[#This Row],[投入面額]]*投組換券表[[#This Row],[換算匯率(現)]],0)</f>
        <v>3248100</v>
      </c>
      <c r="AL14" s="574">
        <f t="shared" ca="1" si="13"/>
        <v>0.1746987951807229</v>
      </c>
      <c r="AM14" s="735">
        <f ca="1">IFERROR(VLOOKUP(投組換券表[[#This Row],[商品代號]],bond!B:X,21,FALSE),0)</f>
        <v>19.9892</v>
      </c>
      <c r="AN14" s="735">
        <f ca="1">IFERROR(VLOOKUP(投組換券表[[#This Row],[商品代號]],bond!B:J,9,FALSE),0)</f>
        <v>55.96</v>
      </c>
      <c r="AO14" s="1298">
        <f ca="1">IFERROR(IF(K14=0,0,投組換券表[[#This Row],[clean申購價]]/100*投組換券表[[#This Row],[投入面額]]*投組換券表[[#This Row],[MOD]]*1%),0)</f>
        <v>11185.956319999999</v>
      </c>
      <c r="AP14" s="1084">
        <f ca="1">IFERROR(VLOOKUP(投組換券表[[#This Row],[商品代號]],'銀行-TSS'!B:N,13,FALSE),0)</f>
        <v>10000</v>
      </c>
      <c r="AQ14" s="1084">
        <f ca="1">IFERROR(VLOOKUP(投組換券表[[#This Row],[商品代號]],'銀行-TSS'!B:O,14,FALSE),0)</f>
        <v>1000</v>
      </c>
      <c r="AR14" s="1200">
        <f ca="1">IFERROR(IF(K14=0,0,投組換券表[[#This Row],[票面利率]]*投組換券表[[#This Row],[投入面額]]),0)</f>
        <v>2250</v>
      </c>
      <c r="AS14" s="1188" t="str">
        <f ca="1">VLOOKUP(K14,'銀行-TSS'!B:AK,36,FALSE)</f>
        <v>有</v>
      </c>
      <c r="AT14" s="434">
        <f t="shared" ca="1" si="14"/>
        <v>2</v>
      </c>
      <c r="AU14" s="434">
        <f t="shared" ca="1" si="15"/>
        <v>8</v>
      </c>
      <c r="AV14" s="434">
        <f t="shared" ca="1" si="16"/>
        <v>0</v>
      </c>
      <c r="AW14" s="434">
        <f t="shared" ca="1" si="17"/>
        <v>0</v>
      </c>
      <c r="AX14" s="1298">
        <f ca="1">IF($C$16=1,投組換券表[[#This Row],[投入面額]]*投組換券表[[#This Row],[票面利率]]/投組換券表[[#This Row],[配息頻率]]*投組換券表[[#This Row],[換算匯率(現)]],投組換券表[[#This Row],[投入面額]]*投組換券表[[#This Row],[票面利率]]/投組換券表[[#This Row],[配息頻率]])</f>
        <v>1125</v>
      </c>
      <c r="AY14" s="1298">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1125</v>
      </c>
      <c r="AZ14" s="1298" t="str">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
      </c>
      <c r="BA14" s="1298" t="str">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
      </c>
      <c r="BB14" s="1298" t="str">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
      </c>
      <c r="BC14" s="1298" t="str">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
      </c>
      <c r="BD14" s="1298" t="str">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
      </c>
      <c r="BE14" s="1298">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1125</v>
      </c>
      <c r="BF14" s="1298" t="str">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
      </c>
      <c r="BG14" s="1298" t="str">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
      </c>
      <c r="BH14" s="1298" t="str">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
      </c>
      <c r="BI14" s="1298" t="str">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
      </c>
      <c r="BJ14" s="1298" t="str">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
      </c>
      <c r="BK14" s="33"/>
      <c r="BL14" s="33"/>
      <c r="BM14" s="33"/>
      <c r="BN14" s="33"/>
      <c r="BO14" s="33"/>
      <c r="BP14" s="33"/>
      <c r="BQ14" s="33"/>
      <c r="BR14" s="33"/>
      <c r="BS14" s="33"/>
      <c r="BT14" s="33"/>
      <c r="BU14" s="33"/>
      <c r="BV14" s="33"/>
      <c r="BW14" s="33"/>
      <c r="BX14" s="33"/>
      <c r="BY14" s="33"/>
      <c r="BZ14" s="33"/>
      <c r="CA14" s="33"/>
      <c r="CB14" s="33"/>
      <c r="CC14" s="33"/>
      <c r="CD14" s="33"/>
      <c r="CE14" s="33"/>
      <c r="CF14" s="33"/>
      <c r="CG14" s="33"/>
      <c r="CH14" s="33"/>
      <c r="CI14" s="33"/>
      <c r="CJ14" s="33"/>
      <c r="CK14" s="33"/>
      <c r="CL14" s="33"/>
      <c r="CM14" s="33"/>
      <c r="CN14" s="33"/>
      <c r="CO14" s="33"/>
      <c r="CP14" s="33"/>
      <c r="CQ14" s="33"/>
      <c r="CR14" s="33"/>
      <c r="CS14" s="33"/>
      <c r="CT14" s="33"/>
      <c r="CU14" s="33"/>
      <c r="CV14" s="33"/>
      <c r="CW14" s="33"/>
      <c r="CX14" s="33"/>
      <c r="CY14" s="33"/>
      <c r="CZ14" s="33"/>
      <c r="DA14" s="33"/>
      <c r="DB14" s="33"/>
      <c r="DC14" s="33"/>
      <c r="DD14" s="33"/>
      <c r="DE14" s="33"/>
      <c r="DF14" s="33"/>
      <c r="DG14" s="33"/>
      <c r="DH14" s="33"/>
      <c r="DI14" s="33"/>
      <c r="DJ14" s="33"/>
      <c r="DK14" s="33"/>
      <c r="DL14" s="33"/>
      <c r="DM14" s="33"/>
      <c r="DN14" s="33"/>
      <c r="DO14" s="33"/>
      <c r="DP14" s="33"/>
      <c r="DQ14" s="33"/>
      <c r="DR14" s="33"/>
      <c r="DS14" s="33"/>
      <c r="DT14" s="33"/>
      <c r="DU14" s="33"/>
      <c r="DV14" s="33"/>
      <c r="DW14" s="33"/>
      <c r="DX14" s="33"/>
      <c r="DY14" s="33"/>
      <c r="DZ14" s="33"/>
      <c r="EA14" s="33"/>
      <c r="EB14" s="33"/>
      <c r="EC14" s="33"/>
      <c r="ED14" s="33"/>
      <c r="EE14" s="33"/>
      <c r="EF14" s="33"/>
      <c r="EG14" s="33"/>
      <c r="EH14" s="33"/>
      <c r="EI14" s="33"/>
      <c r="EJ14" s="33"/>
      <c r="EK14" s="33"/>
      <c r="EL14" s="33"/>
      <c r="EM14" s="33"/>
      <c r="EN14" s="33"/>
      <c r="EO14" s="33"/>
      <c r="EP14" s="33"/>
      <c r="EQ14" s="33"/>
      <c r="ER14" s="33"/>
      <c r="ES14" s="33"/>
      <c r="ET14" s="33"/>
      <c r="EU14" s="33"/>
      <c r="EV14" s="33"/>
      <c r="EW14" s="33"/>
      <c r="EX14" s="33"/>
      <c r="EY14" s="33"/>
      <c r="EZ14" s="33"/>
      <c r="FA14" s="33"/>
      <c r="FB14" s="33"/>
      <c r="FC14" s="33"/>
      <c r="FD14" s="33"/>
      <c r="FE14" s="33"/>
      <c r="FF14" s="33"/>
      <c r="FG14" s="33"/>
      <c r="FH14" s="33"/>
      <c r="FI14" s="33"/>
      <c r="FJ14" s="33"/>
      <c r="FK14" s="33"/>
      <c r="FL14" s="33"/>
      <c r="FM14" s="33"/>
    </row>
    <row r="15" spans="1:169" ht="19.5" customHeight="1">
      <c r="B15" s="459" t="s">
        <v>2120</v>
      </c>
      <c r="J15" s="26">
        <v>3</v>
      </c>
      <c r="K15" s="918" t="str">
        <f ca="1">IF(OR('Tssco-bond portfolio(2)'!H9=TRUE,'Tssco-bond portfolio(2)'!S9=FALSE),0,'Tssco-bond portfolio(2)'!I9)</f>
        <v>XH750</v>
      </c>
      <c r="L15" s="1517">
        <f ca="1">IF(K15=0,"",'Tssco-bond portfolio(2)'!W9)</f>
        <v>100000</v>
      </c>
      <c r="M15" s="566">
        <f ca="1">IF(K15=0,0,'Tssco-bond portfolio(2)'!CI9)</f>
        <v>5.8609132540860483E-2</v>
      </c>
      <c r="N15" s="1546">
        <f ca="1">IF(K15=0,0,'Tssco-bond portfolio(2)'!X9)</f>
        <v>88000</v>
      </c>
      <c r="O15" s="1546">
        <f ca="1">IF(K15=0,0,'Tssco-bond portfolio(2)'!Y9)</f>
        <v>86293.7</v>
      </c>
      <c r="P15" s="1546">
        <f ca="1">IF(K15=0,0,'Tssco-bond portfolio(2)'!BV9)</f>
        <v>2640000</v>
      </c>
      <c r="Q15" s="1546">
        <f ca="1">IF(K15=0,0,'Tssco-bond portfolio(2)'!BW9)</f>
        <v>2588811</v>
      </c>
      <c r="S15" s="428" t="str">
        <f t="shared" ca="1" si="11"/>
        <v>XH750</v>
      </c>
      <c r="T15" s="430">
        <f ca="1">IFERROR(VLOOKUP(投組換券表[[#This Row],[商品代號]],bond!B:J,9,FALSE)+VLOOKUP(投組換券表[[#This Row],[商品代號]],bond!B:N,13,FALSE),0)</f>
        <v>98.01</v>
      </c>
      <c r="U15" s="430">
        <f ca="1">IFERROR(VLOOKUP(投組換券表[[#This Row],[商品代號]],'銀行-TSS'!B:K,10,FALSE),0)</f>
        <v>99.7</v>
      </c>
      <c r="V15" s="431">
        <f ca="1">IFERROR(VLOOKUP($S15,'銀行-TSS'!B:G,6,FALSE),0)</f>
        <v>28.66</v>
      </c>
      <c r="W15" s="432">
        <f ca="1">IFERROR(DATEVALUE(VLOOKUP($S15,'銀行-TSS'!B:F,5,FALSE)),VLOOKUP($S15,'銀行-TSS'!B:F,5,FALSE))</f>
        <v>55942</v>
      </c>
      <c r="X15" s="433">
        <f ca="1">IFERROR(VLOOKUP($S15,'銀行-TSS'!B:H,7,FALSE),0)</f>
        <v>4.8750000000000002E-2</v>
      </c>
      <c r="Y15" s="434">
        <f ca="1">IFERROR(VLOOKUP($S15,'銀行-TSS'!B:I,8,FALSE),"")</f>
        <v>2</v>
      </c>
      <c r="Z15" s="440">
        <f ca="1">_xlfn.IFNA(IFERROR(DATEVALUE(VLOOKUP($S15,'銀行-TSS'!B:P,15,FALSE)),VLOOKUP($S15,'銀行-TSS'!B:P,15,FALSE)),"")</f>
        <v>45531</v>
      </c>
      <c r="AA15" s="570" t="b">
        <f t="shared" ca="1" si="5"/>
        <v>1</v>
      </c>
      <c r="AB15" s="782">
        <f ca="1">DATEVALUE(VLOOKUP(S15,bond!B:I,7,FALSE))</f>
        <v>45475</v>
      </c>
      <c r="AC15" s="783">
        <f ca="1">IF(投組換券表[[#This Row],[檢測]]=TRUE,L15,0)</f>
        <v>100000</v>
      </c>
      <c r="AD15" s="783">
        <f t="shared" ca="1" si="12"/>
        <v>86293.7</v>
      </c>
      <c r="AE15" s="462" t="str">
        <f ca="1">IFERROR(VLOOKUP(投組換券表[[#This Row],[商品代號]],bond!B:AA,26,FALSE),"")</f>
        <v>禮來公司</v>
      </c>
      <c r="AF15" s="1" t="str">
        <f ca="1">IFERROR(VLOOKUP($S15,'銀行-TSS'!B:Q,16,FALSE),"")</f>
        <v>醫療保健</v>
      </c>
      <c r="AG15" s="479" t="str">
        <f ca="1">IFERROR(VLOOKUP($S15,'銀行-TSS'!B:C,2,FALSE),"")</f>
        <v>USD</v>
      </c>
      <c r="AH15" s="479">
        <f ca="1">VLOOKUP(投組換券表[[#This Row],[幣別]],$B$37:$C$43,2,FALSE)</f>
        <v>1</v>
      </c>
      <c r="AI15" s="500">
        <f ca="1">CHOOSE(投組換券表[[#This Row],[對應編碼]],$D$37,$D$38,$D$39,$D$40,$D$41,$D$42,$D$43)</f>
        <v>30</v>
      </c>
      <c r="AJ15" s="500">
        <f ca="1">IF(K15=0,0,CHOOSE(投組換券表[[#This Row],[對應編碼]],$E$37,$E$38,$E$39,$E$40,$E$41,$E$42,$E$43))</f>
        <v>32.481000000000002</v>
      </c>
      <c r="AK15" s="1520">
        <f ca="1">IFERROR(投組換券表[[#This Row],[投入面額]]*投組換券表[[#This Row],[換算匯率(現)]],0)</f>
        <v>3248100</v>
      </c>
      <c r="AL15" s="574">
        <f t="shared" ca="1" si="13"/>
        <v>0.26506024096385544</v>
      </c>
      <c r="AM15" s="735">
        <f ca="1">IFERROR(VLOOKUP(投組換券表[[#This Row],[商品代號]],bond!B:X,21,FALSE),0)</f>
        <v>14.7681</v>
      </c>
      <c r="AN15" s="735">
        <f ca="1">IFERROR(VLOOKUP(投組換券表[[#This Row],[商品代號]],bond!B:J,9,FALSE),0)</f>
        <v>94.51</v>
      </c>
      <c r="AO15" s="1298">
        <f ca="1">IFERROR(IF(K15=0,0,投組換券表[[#This Row],[clean申購價]]/100*投組換券表[[#This Row],[投入面額]]*投組換券表[[#This Row],[MOD]]*1%),0)</f>
        <v>13957.331310000001</v>
      </c>
      <c r="AP15" s="1084">
        <f ca="1">IFERROR(VLOOKUP(投組換券表[[#This Row],[商品代號]],'銀行-TSS'!B:N,13,FALSE),0)</f>
        <v>10000</v>
      </c>
      <c r="AQ15" s="1084">
        <f ca="1">IFERROR(VLOOKUP(投組換券表[[#This Row],[商品代號]],'銀行-TSS'!B:O,14,FALSE),0)</f>
        <v>1000</v>
      </c>
      <c r="AR15" s="1200">
        <f ca="1">IFERROR(IF(K15=0,0,投組換券表[[#This Row],[票面利率]]*投組換券表[[#This Row],[投入面額]]),0)</f>
        <v>4875</v>
      </c>
      <c r="AS15" s="1188" t="str">
        <f ca="1">VLOOKUP(K15,'銀行-TSS'!B:AK,36,FALSE)</f>
        <v>有</v>
      </c>
      <c r="AT15" s="434">
        <f t="shared" ca="1" si="14"/>
        <v>2</v>
      </c>
      <c r="AU15" s="434">
        <f t="shared" ca="1" si="15"/>
        <v>8</v>
      </c>
      <c r="AV15" s="434">
        <f t="shared" ca="1" si="16"/>
        <v>0</v>
      </c>
      <c r="AW15" s="434">
        <f t="shared" ca="1" si="17"/>
        <v>0</v>
      </c>
      <c r="AX15" s="1298">
        <f ca="1">IF($C$16=1,投組換券表[[#This Row],[投入面額]]*投組換券表[[#This Row],[票面利率]]/投組換券表[[#This Row],[配息頻率]]*投組換券表[[#This Row],[換算匯率(現)]],投組換券表[[#This Row],[投入面額]]*投組換券表[[#This Row],[票面利率]]/投組換券表[[#This Row],[配息頻率]])</f>
        <v>2437.5</v>
      </c>
      <c r="AY15" s="1298">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2437.5</v>
      </c>
      <c r="AZ15" s="1298" t="str">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
      </c>
      <c r="BA15" s="1298" t="str">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
      </c>
      <c r="BB15" s="1298" t="str">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
      </c>
      <c r="BC15" s="1298" t="str">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
      </c>
      <c r="BD15" s="1298" t="str">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
      </c>
      <c r="BE15" s="1298">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2437.5</v>
      </c>
      <c r="BF15" s="1298" t="str">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
      </c>
      <c r="BG15" s="1298" t="str">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
      </c>
      <c r="BH15" s="1298" t="str">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
      </c>
      <c r="BI15" s="1298" t="str">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
      </c>
      <c r="BJ15" s="1298" t="str">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
      </c>
      <c r="BK15" s="33"/>
      <c r="BL15" s="33"/>
      <c r="BM15" s="33"/>
      <c r="BN15" s="33"/>
      <c r="BO15" s="33"/>
      <c r="BP15" s="33"/>
      <c r="BQ15" s="33"/>
      <c r="BR15" s="33"/>
      <c r="BS15" s="33"/>
      <c r="BT15" s="33"/>
      <c r="BU15" s="33"/>
      <c r="BV15" s="33"/>
      <c r="BW15" s="33"/>
      <c r="BX15" s="33"/>
      <c r="BY15" s="33"/>
      <c r="BZ15" s="33"/>
      <c r="CA15" s="33"/>
      <c r="CB15" s="33"/>
      <c r="CC15" s="33"/>
      <c r="CD15" s="33"/>
      <c r="CE15" s="33"/>
      <c r="CF15" s="33"/>
      <c r="CG15" s="33"/>
      <c r="CH15" s="33"/>
      <c r="CI15" s="33"/>
      <c r="CJ15" s="33"/>
      <c r="CK15" s="33"/>
      <c r="CL15" s="33"/>
      <c r="CM15" s="33"/>
      <c r="CN15" s="33"/>
      <c r="CO15" s="33"/>
      <c r="CP15" s="33"/>
      <c r="CQ15" s="33"/>
      <c r="CR15" s="33"/>
      <c r="CS15" s="33"/>
      <c r="CT15" s="33"/>
      <c r="CU15" s="33"/>
      <c r="CV15" s="33"/>
      <c r="CW15" s="33"/>
      <c r="CX15" s="33"/>
      <c r="CY15" s="33"/>
      <c r="CZ15" s="33"/>
      <c r="DA15" s="33"/>
      <c r="DB15" s="33"/>
      <c r="DC15" s="33"/>
      <c r="DD15" s="33"/>
      <c r="DE15" s="33"/>
      <c r="DF15" s="33"/>
      <c r="DG15" s="33"/>
      <c r="DH15" s="33"/>
      <c r="DI15" s="33"/>
      <c r="DJ15" s="33"/>
      <c r="DK15" s="33"/>
      <c r="DL15" s="33"/>
      <c r="DM15" s="33"/>
      <c r="DN15" s="33"/>
      <c r="DO15" s="33"/>
      <c r="DP15" s="33"/>
      <c r="DQ15" s="33"/>
      <c r="DR15" s="33"/>
      <c r="DS15" s="33"/>
      <c r="DT15" s="33"/>
      <c r="DU15" s="33"/>
      <c r="DV15" s="33"/>
      <c r="DW15" s="33"/>
      <c r="DX15" s="33"/>
      <c r="DY15" s="33"/>
      <c r="DZ15" s="33"/>
      <c r="EA15" s="33"/>
      <c r="EB15" s="33"/>
      <c r="EC15" s="33"/>
      <c r="ED15" s="33"/>
      <c r="EE15" s="33"/>
      <c r="EF15" s="33"/>
      <c r="EG15" s="33"/>
      <c r="EH15" s="33"/>
      <c r="EI15" s="33"/>
      <c r="EJ15" s="33"/>
      <c r="EK15" s="33"/>
      <c r="EL15" s="33"/>
      <c r="EM15" s="33"/>
      <c r="EN15" s="33"/>
      <c r="EO15" s="33"/>
      <c r="EP15" s="33"/>
      <c r="EQ15" s="33"/>
      <c r="ER15" s="33"/>
      <c r="ES15" s="33"/>
      <c r="ET15" s="33"/>
      <c r="EU15" s="33"/>
      <c r="EV15" s="33"/>
      <c r="EW15" s="33"/>
      <c r="EX15" s="33"/>
      <c r="EY15" s="33"/>
      <c r="EZ15" s="33"/>
      <c r="FA15" s="33"/>
      <c r="FB15" s="33"/>
      <c r="FC15" s="33"/>
      <c r="FD15" s="33"/>
      <c r="FE15" s="33"/>
      <c r="FF15" s="33"/>
      <c r="FG15" s="33"/>
      <c r="FH15" s="33"/>
      <c r="FI15" s="33"/>
      <c r="FJ15" s="33"/>
      <c r="FK15" s="33"/>
      <c r="FL15" s="33"/>
      <c r="FM15" s="33"/>
    </row>
    <row r="16" spans="1:169" ht="19.5" customHeight="1">
      <c r="B16" s="28" t="s">
        <v>2023</v>
      </c>
      <c r="C16" s="459">
        <f ca="1">'Tssco-bond portfolio(2)'!C16</f>
        <v>2</v>
      </c>
      <c r="J16" s="26">
        <v>4</v>
      </c>
      <c r="K16" s="918" t="str">
        <f ca="1">IF(OR('Tssco-bond portfolio(2)'!H10=TRUE,'Tssco-bond portfolio(2)'!S10=FALSE),0,'Tssco-bond portfolio(2)'!I10)</f>
        <v>XH040</v>
      </c>
      <c r="L16" s="1517">
        <f ca="1">IF(K16=0,"",'Tssco-bond portfolio(2)'!W10)</f>
        <v>100000</v>
      </c>
      <c r="M16" s="566">
        <f ca="1">IF(K16=0,0,'Tssco-bond portfolio(2)'!CI10)</f>
        <v>5.3951707061733779E-2</v>
      </c>
      <c r="N16" s="1546">
        <f ca="1">IF(K16=0,0,'Tssco-bond portfolio(2)'!X10)</f>
        <v>88000</v>
      </c>
      <c r="O16" s="1546">
        <f ca="1">IF(K16=0,0,'Tssco-bond portfolio(2)'!Y10)</f>
        <v>86294.2</v>
      </c>
      <c r="P16" s="1546">
        <f ca="1">IF(K16=0,0,'Tssco-bond portfolio(2)'!BV10)</f>
        <v>2640000</v>
      </c>
      <c r="Q16" s="1546">
        <f ca="1">IF(K16=0,0,'Tssco-bond portfolio(2)'!BW10)</f>
        <v>2588826</v>
      </c>
      <c r="S16" s="428" t="str">
        <f t="shared" ca="1" si="11"/>
        <v>XH040</v>
      </c>
      <c r="T16" s="430">
        <f ca="1">IFERROR(VLOOKUP(投組換券表[[#This Row],[商品代號]],bond!B:J,9,FALSE)+VLOOKUP(投組換券表[[#This Row],[商品代號]],bond!B:N,13,FALSE),0)</f>
        <v>90.2</v>
      </c>
      <c r="U16" s="430">
        <f ca="1">IFERROR(VLOOKUP(投組換券表[[#This Row],[商品代號]],'銀行-TSS'!B:K,10,FALSE),0)</f>
        <v>91.89</v>
      </c>
      <c r="V16" s="431">
        <f ca="1">IFERROR(VLOOKUP($S16,'銀行-TSS'!B:G,6,FALSE),0)</f>
        <v>28.12</v>
      </c>
      <c r="W16" s="432">
        <f ca="1">IFERROR(DATEVALUE(VLOOKUP($S16,'銀行-TSS'!B:F,5,FALSE)),VLOOKUP($S16,'銀行-TSS'!B:F,5,FALSE))</f>
        <v>55746</v>
      </c>
      <c r="X16" s="433">
        <f ca="1">IFERROR(VLOOKUP($S16,'銀行-TSS'!B:H,7,FALSE),0)</f>
        <v>4.4500000000000005E-2</v>
      </c>
      <c r="Y16" s="434">
        <f ca="1">IFERROR(VLOOKUP($S16,'銀行-TSS'!B:I,8,FALSE),"")</f>
        <v>2</v>
      </c>
      <c r="Z16" s="440">
        <f ca="1">_xlfn.IFNA(IFERROR(DATEVALUE(VLOOKUP($S16,'銀行-TSS'!B:P,15,FALSE)),VLOOKUP($S16,'銀行-TSS'!B:P,15,FALSE)),"")</f>
        <v>45519</v>
      </c>
      <c r="AA16" s="570" t="b">
        <f t="shared" ca="1" si="5"/>
        <v>1</v>
      </c>
      <c r="AB16" s="782">
        <f ca="1">DATEVALUE(VLOOKUP(S16,bond!B:I,7,FALSE))</f>
        <v>45475</v>
      </c>
      <c r="AC16" s="783">
        <f ca="1">IF(投組換券表[[#This Row],[檢測]]=TRUE,L16,0)</f>
        <v>100000</v>
      </c>
      <c r="AD16" s="783">
        <f t="shared" ca="1" si="12"/>
        <v>86294.2</v>
      </c>
      <c r="AE16" s="462" t="str">
        <f ca="1">IFERROR(VLOOKUP(投組換券表[[#This Row],[商品代號]],bond!B:AA,26,FALSE),"")</f>
        <v>Meta平台公司</v>
      </c>
      <c r="AF16" s="1" t="str">
        <f ca="1">IFERROR(VLOOKUP($S16,'銀行-TSS'!B:Q,16,FALSE),"")</f>
        <v>通訊</v>
      </c>
      <c r="AG16" s="479" t="str">
        <f ca="1">IFERROR(VLOOKUP($S16,'銀行-TSS'!B:C,2,FALSE),"")</f>
        <v>USD</v>
      </c>
      <c r="AH16" s="479">
        <f ca="1">VLOOKUP(投組換券表[[#This Row],[幣別]],$B$37:$C$43,2,FALSE)</f>
        <v>1</v>
      </c>
      <c r="AI16" s="500">
        <f ca="1">CHOOSE(投組換券表[[#This Row],[對應編碼]],$D$37,$D$38,$D$39,$D$40,$D$41,$D$42,$D$43)</f>
        <v>30</v>
      </c>
      <c r="AJ16" s="500">
        <f ca="1">IF(K16=0,0,CHOOSE(投組換券表[[#This Row],[對應編碼]],$E$37,$E$38,$E$39,$E$40,$E$41,$E$42,$E$43))</f>
        <v>32.481000000000002</v>
      </c>
      <c r="AK16" s="1520">
        <f ca="1">IFERROR(投組換券表[[#This Row],[投入面額]]*投組換券表[[#This Row],[換算匯率(現)]],0)</f>
        <v>3248100</v>
      </c>
      <c r="AL16" s="574">
        <f t="shared" ca="1" si="13"/>
        <v>0.26506024096385544</v>
      </c>
      <c r="AM16" s="735">
        <f ca="1">IFERROR(VLOOKUP(投組換券表[[#This Row],[商品代號]],bond!B:X,21,FALSE),0)</f>
        <v>14.818899999999999</v>
      </c>
      <c r="AN16" s="735">
        <f ca="1">IFERROR(VLOOKUP(投組換券表[[#This Row],[商品代號]],bond!B:J,9,FALSE),0)</f>
        <v>86.7</v>
      </c>
      <c r="AO16" s="1298">
        <f ca="1">IFERROR(IF(K16=0,0,投組換券表[[#This Row],[clean申購價]]/100*投組換券表[[#This Row],[投入面額]]*投組換券表[[#This Row],[MOD]]*1%),0)</f>
        <v>12847.986299999999</v>
      </c>
      <c r="AP16" s="1084">
        <f ca="1">IFERROR(VLOOKUP(投組換券表[[#This Row],[商品代號]],'銀行-TSS'!B:N,13,FALSE),0)</f>
        <v>10000</v>
      </c>
      <c r="AQ16" s="1084">
        <f ca="1">IFERROR(VLOOKUP(投組換券表[[#This Row],[商品代號]],'銀行-TSS'!B:O,14,FALSE),0)</f>
        <v>1000</v>
      </c>
      <c r="AR16" s="1200">
        <f ca="1">IFERROR(IF(K16=0,0,投組換券表[[#This Row],[票面利率]]*投組換券表[[#This Row],[投入面額]]),0)</f>
        <v>4450.0000000000009</v>
      </c>
      <c r="AS16" s="1188" t="str">
        <f ca="1">VLOOKUP(K16,'銀行-TSS'!B:AK,36,FALSE)</f>
        <v>有</v>
      </c>
      <c r="AT16" s="434">
        <f t="shared" ca="1" si="14"/>
        <v>2</v>
      </c>
      <c r="AU16" s="434">
        <f t="shared" ca="1" si="15"/>
        <v>8</v>
      </c>
      <c r="AV16" s="434">
        <f t="shared" ca="1" si="16"/>
        <v>0</v>
      </c>
      <c r="AW16" s="434">
        <f t="shared" ca="1" si="17"/>
        <v>0</v>
      </c>
      <c r="AX16" s="1298">
        <f ca="1">IF($C$16=1,投組換券表[[#This Row],[投入面額]]*投組換券表[[#This Row],[票面利率]]/投組換券表[[#This Row],[配息頻率]]*投組換券表[[#This Row],[換算匯率(現)]],投組換券表[[#This Row],[投入面額]]*投組換券表[[#This Row],[票面利率]]/投組換券表[[#This Row],[配息頻率]])</f>
        <v>2225.0000000000005</v>
      </c>
      <c r="AY16" s="1298">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2225.0000000000005</v>
      </c>
      <c r="AZ16" s="1298" t="str">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
      </c>
      <c r="BA16" s="1298" t="str">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
      </c>
      <c r="BB16" s="1298" t="str">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
      </c>
      <c r="BC16" s="1298" t="str">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
      </c>
      <c r="BD16" s="1298" t="str">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
      </c>
      <c r="BE16" s="1298">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2225.0000000000005</v>
      </c>
      <c r="BF16" s="1298" t="str">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
      </c>
      <c r="BG16" s="1298" t="str">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
      </c>
      <c r="BH16" s="1298" t="str">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
      </c>
      <c r="BI16" s="1298" t="str">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
      </c>
      <c r="BJ16" s="1298" t="str">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
      </c>
      <c r="BK16" s="33"/>
      <c r="BL16" s="33"/>
      <c r="BM16" s="33"/>
      <c r="BN16" s="33"/>
      <c r="BO16" s="33"/>
      <c r="BP16" s="33"/>
      <c r="BQ16" s="33"/>
      <c r="BR16" s="33"/>
      <c r="BS16" s="33"/>
      <c r="BT16" s="33"/>
      <c r="BU16" s="33"/>
      <c r="BV16" s="33"/>
      <c r="BW16" s="33"/>
      <c r="BX16" s="33"/>
      <c r="BY16" s="33"/>
      <c r="BZ16" s="33"/>
      <c r="CA16" s="33"/>
      <c r="CB16" s="33"/>
      <c r="CC16" s="33"/>
      <c r="CD16" s="33"/>
      <c r="CE16" s="33"/>
      <c r="CF16" s="33"/>
      <c r="CG16" s="33"/>
      <c r="CH16" s="33"/>
      <c r="CI16" s="33"/>
      <c r="CJ16" s="33"/>
      <c r="CK16" s="33"/>
      <c r="CL16" s="33"/>
      <c r="CM16" s="33"/>
      <c r="CN16" s="33"/>
      <c r="CO16" s="33"/>
      <c r="CP16" s="33"/>
      <c r="CQ16" s="33"/>
      <c r="CR16" s="33"/>
      <c r="CS16" s="33"/>
      <c r="CT16" s="33"/>
      <c r="CU16" s="33"/>
      <c r="CV16" s="33"/>
      <c r="CW16" s="33"/>
      <c r="CX16" s="33"/>
      <c r="CY16" s="33"/>
      <c r="CZ16" s="33"/>
      <c r="DA16" s="33"/>
      <c r="DB16" s="33"/>
      <c r="DC16" s="33"/>
      <c r="DD16" s="33"/>
      <c r="DE16" s="33"/>
      <c r="DF16" s="33"/>
      <c r="DG16" s="33"/>
      <c r="DH16" s="33"/>
      <c r="DI16" s="33"/>
      <c r="DJ16" s="33"/>
      <c r="DK16" s="33"/>
      <c r="DL16" s="33"/>
      <c r="DM16" s="33"/>
      <c r="DN16" s="33"/>
      <c r="DO16" s="33"/>
      <c r="DP16" s="33"/>
      <c r="DQ16" s="33"/>
      <c r="DR16" s="33"/>
      <c r="DS16" s="33"/>
      <c r="DT16" s="33"/>
      <c r="DU16" s="33"/>
      <c r="DV16" s="33"/>
      <c r="DW16" s="33"/>
      <c r="DX16" s="33"/>
      <c r="DY16" s="33"/>
      <c r="DZ16" s="33"/>
      <c r="EA16" s="33"/>
      <c r="EB16" s="33"/>
      <c r="EC16" s="33"/>
      <c r="ED16" s="33"/>
      <c r="EE16" s="33"/>
      <c r="EF16" s="33"/>
      <c r="EG16" s="33"/>
      <c r="EH16" s="33"/>
      <c r="EI16" s="33"/>
      <c r="EJ16" s="33"/>
      <c r="EK16" s="33"/>
      <c r="EL16" s="33"/>
      <c r="EM16" s="33"/>
      <c r="EN16" s="33"/>
      <c r="EO16" s="33"/>
      <c r="EP16" s="33"/>
      <c r="EQ16" s="33"/>
      <c r="ER16" s="33"/>
      <c r="ES16" s="33"/>
      <c r="ET16" s="33"/>
      <c r="EU16" s="33"/>
      <c r="EV16" s="33"/>
      <c r="EW16" s="33"/>
      <c r="EX16" s="33"/>
      <c r="EY16" s="33"/>
      <c r="EZ16" s="33"/>
      <c r="FA16" s="33"/>
      <c r="FB16" s="33"/>
      <c r="FC16" s="33"/>
      <c r="FD16" s="33"/>
      <c r="FE16" s="33"/>
      <c r="FF16" s="33"/>
      <c r="FG16" s="33"/>
      <c r="FH16" s="33"/>
      <c r="FI16" s="33"/>
      <c r="FJ16" s="33"/>
      <c r="FK16" s="33"/>
      <c r="FL16" s="33"/>
      <c r="FM16" s="33"/>
    </row>
    <row r="17" spans="2:169" ht="19.5" customHeight="1">
      <c r="B17" s="352" t="s">
        <v>27</v>
      </c>
      <c r="C17" s="352"/>
      <c r="D17" s="352"/>
      <c r="E17" s="587"/>
      <c r="F17" s="587"/>
      <c r="J17" s="26">
        <v>5</v>
      </c>
      <c r="K17" s="918">
        <f ca="1">IF(OR('Tssco-bond portfolio(2)'!H11=TRUE,'Tssco-bond portfolio(2)'!S11=FALSE),0,'Tssco-bond portfolio(2)'!I11)</f>
        <v>0</v>
      </c>
      <c r="L17" s="1517" t="str">
        <f ca="1">IF(K17=0,"",'Tssco-bond portfolio(2)'!W11)</f>
        <v/>
      </c>
      <c r="M17" s="566">
        <f ca="1">IF(K17=0,0,'Tssco-bond portfolio(2)'!CI11)</f>
        <v>0</v>
      </c>
      <c r="N17" s="1546">
        <f ca="1">IF(K17=0,0,'Tssco-bond portfolio(2)'!X11)</f>
        <v>0</v>
      </c>
      <c r="O17" s="1546">
        <f ca="1">IF(K17=0,0,'Tssco-bond portfolio(2)'!Y11)</f>
        <v>0</v>
      </c>
      <c r="P17" s="1546">
        <f ca="1">IF(K17=0,0,'Tssco-bond portfolio(2)'!BV11)</f>
        <v>0</v>
      </c>
      <c r="Q17" s="1546">
        <f ca="1">IF(K17=0,0,'Tssco-bond portfolio(2)'!BW11)</f>
        <v>0</v>
      </c>
      <c r="S17" s="428">
        <f t="shared" ca="1" si="11"/>
        <v>0</v>
      </c>
      <c r="T17" s="430">
        <f ca="1">IFERROR(VLOOKUP(投組換券表[[#This Row],[商品代號]],bond!B:J,9,FALSE)+VLOOKUP(投組換券表[[#This Row],[商品代號]],bond!B:N,13,FALSE),0)</f>
        <v>0</v>
      </c>
      <c r="U17" s="430">
        <f ca="1">IFERROR(VLOOKUP(投組換券表[[#This Row],[商品代號]],'銀行-TSS'!B:K,10,FALSE),0)</f>
        <v>0</v>
      </c>
      <c r="V17" s="431">
        <f ca="1">IFERROR(VLOOKUP($S17,'銀行-TSS'!B:G,6,FALSE),0)</f>
        <v>0</v>
      </c>
      <c r="W17" s="432" t="e">
        <f ca="1">IFERROR(DATEVALUE(VLOOKUP($S17,'銀行-TSS'!B:F,5,FALSE)),VLOOKUP($S17,'銀行-TSS'!B:F,5,FALSE))</f>
        <v>#N/A</v>
      </c>
      <c r="X17" s="433">
        <f ca="1">IFERROR(VLOOKUP($S17,'銀行-TSS'!B:H,7,FALSE),0)</f>
        <v>0</v>
      </c>
      <c r="Y17" s="434" t="str">
        <f ca="1">IFERROR(VLOOKUP($S17,'銀行-TSS'!B:I,8,FALSE),"")</f>
        <v/>
      </c>
      <c r="Z17" s="440" t="str">
        <f ca="1">_xlfn.IFNA(IFERROR(DATEVALUE(VLOOKUP($S17,'銀行-TSS'!B:P,15,FALSE)),VLOOKUP($S17,'銀行-TSS'!B:P,15,FALSE)),"")</f>
        <v/>
      </c>
      <c r="AA17" s="570" t="b">
        <f t="shared" ca="1" si="5"/>
        <v>0</v>
      </c>
      <c r="AB17" s="782" t="e">
        <f ca="1">DATEVALUE(VLOOKUP(S17,bond!B:I,7,FALSE))</f>
        <v>#N/A</v>
      </c>
      <c r="AC17" s="783">
        <f ca="1">IF(投組換券表[[#This Row],[檢測]]=TRUE,L17,0)</f>
        <v>0</v>
      </c>
      <c r="AD17" s="783">
        <f t="shared" ca="1" si="12"/>
        <v>0</v>
      </c>
      <c r="AE17" s="462" t="str">
        <f ca="1">IFERROR(VLOOKUP(投組換券表[[#This Row],[商品代號]],bond!B:AA,26,FALSE),"")</f>
        <v/>
      </c>
      <c r="AF17" s="1" t="str">
        <f ca="1">IFERROR(VLOOKUP($S17,'銀行-TSS'!B:Q,16,FALSE),"")</f>
        <v/>
      </c>
      <c r="AG17" s="479" t="str">
        <f ca="1">IFERROR(VLOOKUP($S17,'銀行-TSS'!B:C,2,FALSE),"")</f>
        <v/>
      </c>
      <c r="AH17" s="479" t="e">
        <f ca="1">VLOOKUP(投組換券表[[#This Row],[幣別]],$B$37:$C$43,2,FALSE)</f>
        <v>#N/A</v>
      </c>
      <c r="AI17" s="500" t="e">
        <f ca="1">CHOOSE(投組換券表[[#This Row],[對應編碼]],$D$37,$D$38,$D$39,$D$40,$D$41,$D$42,$D$43)</f>
        <v>#N/A</v>
      </c>
      <c r="AJ17" s="500">
        <f ca="1">IF(K17=0,0,CHOOSE(投組換券表[[#This Row],[對應編碼]],$E$37,$E$38,$E$39,$E$40,$E$41,$E$42,$E$43))</f>
        <v>0</v>
      </c>
      <c r="AK17" s="1520">
        <f ca="1">IFERROR(投組換券表[[#This Row],[投入面額]]*投組換券表[[#This Row],[換算匯率(現)]],0)</f>
        <v>0</v>
      </c>
      <c r="AL17" s="574">
        <f t="shared" ca="1" si="13"/>
        <v>0</v>
      </c>
      <c r="AM17" s="735">
        <f ca="1">IFERROR(VLOOKUP(投組換券表[[#This Row],[商品代號]],bond!B:X,21,FALSE),0)</f>
        <v>0</v>
      </c>
      <c r="AN17" s="735">
        <f ca="1">IFERROR(VLOOKUP(投組換券表[[#This Row],[商品代號]],bond!B:J,9,FALSE),0)</f>
        <v>0</v>
      </c>
      <c r="AO17" s="1298">
        <f ca="1">IFERROR(IF(K17=0,0,投組換券表[[#This Row],[clean申購價]]/100*投組換券表[[#This Row],[投入面額]]*投組換券表[[#This Row],[MOD]]*1%),0)</f>
        <v>0</v>
      </c>
      <c r="AP17" s="1084">
        <f ca="1">IFERROR(VLOOKUP(投組換券表[[#This Row],[商品代號]],'銀行-TSS'!B:N,13,FALSE),0)</f>
        <v>0</v>
      </c>
      <c r="AQ17" s="1084">
        <f ca="1">IFERROR(VLOOKUP(投組換券表[[#This Row],[商品代號]],'銀行-TSS'!B:O,14,FALSE),0)</f>
        <v>0</v>
      </c>
      <c r="AR17" s="1200">
        <f ca="1">IFERROR(IF(K17=0,0,投組換券表[[#This Row],[票面利率]]*投組換券表[[#This Row],[投入面額]]),0)</f>
        <v>0</v>
      </c>
      <c r="AS17" s="1188" t="e">
        <f ca="1">VLOOKUP(K17,'銀行-TSS'!B:AK,36,FALSE)</f>
        <v>#N/A</v>
      </c>
      <c r="AT17" s="434" t="e">
        <f t="shared" ca="1" si="14"/>
        <v>#VALUE!</v>
      </c>
      <c r="AU17" s="434" t="e">
        <f t="shared" ca="1" si="15"/>
        <v>#VALUE!</v>
      </c>
      <c r="AV17" s="434">
        <f t="shared" ca="1" si="16"/>
        <v>0</v>
      </c>
      <c r="AW17" s="434">
        <f t="shared" ca="1" si="17"/>
        <v>0</v>
      </c>
      <c r="AX17"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17"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17"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17"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17"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17"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17"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17"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17"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17"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17"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17"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17"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17" s="33"/>
      <c r="BL17" s="33"/>
      <c r="BM17" s="33"/>
      <c r="BN17" s="33"/>
      <c r="BO17" s="33"/>
      <c r="BP17" s="33"/>
      <c r="BQ17" s="33"/>
      <c r="BR17" s="33"/>
      <c r="BS17" s="33"/>
      <c r="BT17" s="33"/>
      <c r="BU17" s="33"/>
      <c r="BV17" s="33"/>
      <c r="BW17" s="33"/>
      <c r="BX17" s="33"/>
      <c r="BY17" s="33"/>
      <c r="BZ17" s="33"/>
      <c r="CA17" s="33"/>
      <c r="CB17" s="33"/>
      <c r="CC17" s="33"/>
      <c r="CD17" s="33"/>
      <c r="CE17" s="33"/>
      <c r="CF17" s="33"/>
      <c r="CG17" s="33"/>
      <c r="CH17" s="33"/>
      <c r="CI17" s="33"/>
      <c r="CJ17" s="33"/>
      <c r="CK17" s="33"/>
      <c r="CL17" s="33"/>
      <c r="CM17" s="33"/>
      <c r="CN17" s="33"/>
      <c r="CO17" s="33"/>
      <c r="CP17" s="33"/>
      <c r="CQ17" s="33"/>
      <c r="CR17" s="33"/>
      <c r="CS17" s="33"/>
      <c r="CT17" s="33"/>
      <c r="CU17" s="33"/>
      <c r="CV17" s="33"/>
      <c r="CW17" s="33"/>
      <c r="CX17" s="33"/>
      <c r="CY17" s="33"/>
      <c r="CZ17" s="33"/>
      <c r="DA17" s="33"/>
      <c r="DB17" s="33"/>
      <c r="DC17" s="33"/>
      <c r="DD17" s="33"/>
      <c r="DE17" s="33"/>
      <c r="DF17" s="33"/>
      <c r="DG17" s="33"/>
      <c r="DH17" s="33"/>
      <c r="DI17" s="33"/>
      <c r="DJ17" s="33"/>
      <c r="DK17" s="33"/>
      <c r="DL17" s="33"/>
      <c r="DM17" s="33"/>
      <c r="DN17" s="33"/>
      <c r="DO17" s="33"/>
      <c r="DP17" s="33"/>
      <c r="DQ17" s="33"/>
      <c r="DR17" s="33"/>
      <c r="DS17" s="33"/>
      <c r="DT17" s="33"/>
      <c r="DU17" s="33"/>
      <c r="DV17" s="33"/>
      <c r="DW17" s="33"/>
      <c r="DX17" s="33"/>
      <c r="DY17" s="33"/>
      <c r="DZ17" s="33"/>
      <c r="EA17" s="33"/>
      <c r="EB17" s="33"/>
      <c r="EC17" s="33"/>
      <c r="ED17" s="33"/>
      <c r="EE17" s="33"/>
      <c r="EF17" s="33"/>
      <c r="EG17" s="33"/>
      <c r="EH17" s="33"/>
      <c r="EI17" s="33"/>
      <c r="EJ17" s="33"/>
      <c r="EK17" s="33"/>
      <c r="EL17" s="33"/>
      <c r="EM17" s="33"/>
      <c r="EN17" s="33"/>
      <c r="EO17" s="33"/>
      <c r="EP17" s="33"/>
      <c r="EQ17" s="33"/>
      <c r="ER17" s="33"/>
      <c r="ES17" s="33"/>
      <c r="ET17" s="33"/>
      <c r="EU17" s="33"/>
      <c r="EV17" s="33"/>
      <c r="EW17" s="33"/>
      <c r="EX17" s="33"/>
      <c r="EY17" s="33"/>
      <c r="EZ17" s="33"/>
      <c r="FA17" s="33"/>
      <c r="FB17" s="33"/>
      <c r="FC17" s="33"/>
      <c r="FD17" s="33"/>
      <c r="FE17" s="33"/>
      <c r="FF17" s="33"/>
      <c r="FG17" s="33"/>
      <c r="FH17" s="33"/>
      <c r="FI17" s="33"/>
      <c r="FJ17" s="33"/>
      <c r="FK17" s="33"/>
      <c r="FL17" s="33"/>
      <c r="FM17" s="33"/>
    </row>
    <row r="18" spans="2:169" ht="19.5" customHeight="1">
      <c r="B18" s="353" t="s">
        <v>28</v>
      </c>
      <c r="C18" s="354" t="s">
        <v>14</v>
      </c>
      <c r="D18" s="354" t="s">
        <v>29</v>
      </c>
      <c r="E18" s="588" t="s">
        <v>2116</v>
      </c>
      <c r="F18" s="588" t="s">
        <v>2117</v>
      </c>
      <c r="J18" s="26">
        <v>6</v>
      </c>
      <c r="K18" s="918">
        <f ca="1">IF(OR('Tssco-bond portfolio(2)'!H12=TRUE,'Tssco-bond portfolio(2)'!S12=FALSE),0,'Tssco-bond portfolio(2)'!I12)</f>
        <v>0</v>
      </c>
      <c r="L18" s="1517" t="str">
        <f ca="1">IF(K18=0,"",'Tssco-bond portfolio(2)'!W12)</f>
        <v/>
      </c>
      <c r="M18" s="566">
        <f ca="1">IF(K18=0,0,'Tssco-bond portfolio(2)'!CI12)</f>
        <v>0</v>
      </c>
      <c r="N18" s="1546">
        <f ca="1">IF(K18=0,0,'Tssco-bond portfolio(2)'!X12)</f>
        <v>0</v>
      </c>
      <c r="O18" s="1546">
        <f ca="1">IF(K18=0,0,'Tssco-bond portfolio(2)'!Y12)</f>
        <v>0</v>
      </c>
      <c r="P18" s="1546">
        <f ca="1">IF(K18=0,0,'Tssco-bond portfolio(2)'!BV12)</f>
        <v>0</v>
      </c>
      <c r="Q18" s="1546">
        <f ca="1">IF(K18=0,0,'Tssco-bond portfolio(2)'!BW12)</f>
        <v>0</v>
      </c>
      <c r="S18" s="428">
        <f t="shared" ca="1" si="11"/>
        <v>0</v>
      </c>
      <c r="T18" s="430">
        <f ca="1">IFERROR(VLOOKUP(投組換券表[[#This Row],[商品代號]],bond!B:J,9,FALSE)+VLOOKUP(投組換券表[[#This Row],[商品代號]],bond!B:N,13,FALSE),0)</f>
        <v>0</v>
      </c>
      <c r="U18" s="430">
        <f ca="1">IFERROR(VLOOKUP(投組換券表[[#This Row],[商品代號]],'銀行-TSS'!B:K,10,FALSE),0)</f>
        <v>0</v>
      </c>
      <c r="V18" s="431">
        <f ca="1">IFERROR(VLOOKUP($S18,'銀行-TSS'!B:G,6,FALSE),0)</f>
        <v>0</v>
      </c>
      <c r="W18" s="432" t="e">
        <f ca="1">IFERROR(DATEVALUE(VLOOKUP($S18,'銀行-TSS'!B:F,5,FALSE)),VLOOKUP($S18,'銀行-TSS'!B:F,5,FALSE))</f>
        <v>#N/A</v>
      </c>
      <c r="X18" s="433">
        <f ca="1">IFERROR(VLOOKUP($S18,'銀行-TSS'!B:H,7,FALSE),0)</f>
        <v>0</v>
      </c>
      <c r="Y18" s="434" t="str">
        <f ca="1">IFERROR(VLOOKUP($S18,'銀行-TSS'!B:I,8,FALSE),"")</f>
        <v/>
      </c>
      <c r="Z18" s="440" t="str">
        <f ca="1">_xlfn.IFNA(IFERROR(DATEVALUE(VLOOKUP($S18,'銀行-TSS'!B:P,15,FALSE)),VLOOKUP($S18,'銀行-TSS'!B:P,15,FALSE)),"")</f>
        <v/>
      </c>
      <c r="AA18" s="570" t="b">
        <f t="shared" ca="1" si="5"/>
        <v>0</v>
      </c>
      <c r="AB18" s="782" t="e">
        <f ca="1">DATEVALUE(VLOOKUP(S18,bond!B:I,7,FALSE))</f>
        <v>#N/A</v>
      </c>
      <c r="AC18" s="783">
        <f ca="1">IF(投組換券表[[#This Row],[檢測]]=TRUE,L18,0)</f>
        <v>0</v>
      </c>
      <c r="AD18" s="783">
        <f t="shared" ca="1" si="12"/>
        <v>0</v>
      </c>
      <c r="AE18" s="462" t="str">
        <f ca="1">IFERROR(VLOOKUP(投組換券表[[#This Row],[商品代號]],bond!B:AA,26,FALSE),"")</f>
        <v/>
      </c>
      <c r="AF18" s="1" t="str">
        <f ca="1">IFERROR(VLOOKUP($S18,'銀行-TSS'!B:Q,16,FALSE),"")</f>
        <v/>
      </c>
      <c r="AG18" s="479" t="str">
        <f ca="1">IFERROR(VLOOKUP($S18,'銀行-TSS'!B:C,2,FALSE),"")</f>
        <v/>
      </c>
      <c r="AH18" s="479" t="e">
        <f ca="1">VLOOKUP(投組換券表[[#This Row],[幣別]],$B$37:$C$43,2,FALSE)</f>
        <v>#N/A</v>
      </c>
      <c r="AI18" s="500" t="e">
        <f ca="1">CHOOSE(投組換券表[[#This Row],[對應編碼]],$D$37,$D$38,$D$39,$D$40,$D$41,$D$42,$D$43)</f>
        <v>#N/A</v>
      </c>
      <c r="AJ18" s="500">
        <f ca="1">IF(K18=0,0,CHOOSE(投組換券表[[#This Row],[對應編碼]],$E$37,$E$38,$E$39,$E$40,$E$41,$E$42,$E$43))</f>
        <v>0</v>
      </c>
      <c r="AK18" s="1520">
        <f ca="1">IFERROR(投組換券表[[#This Row],[投入面額]]*投組換券表[[#This Row],[換算匯率(現)]],0)</f>
        <v>0</v>
      </c>
      <c r="AL18" s="574">
        <f t="shared" ca="1" si="13"/>
        <v>0</v>
      </c>
      <c r="AM18" s="735">
        <f ca="1">IFERROR(VLOOKUP(投組換券表[[#This Row],[商品代號]],bond!B:X,21,FALSE),0)</f>
        <v>0</v>
      </c>
      <c r="AN18" s="735">
        <f ca="1">IFERROR(VLOOKUP(投組換券表[[#This Row],[商品代號]],bond!B:J,9,FALSE),0)</f>
        <v>0</v>
      </c>
      <c r="AO18" s="1298">
        <f ca="1">IFERROR(IF(K18=0,0,投組換券表[[#This Row],[clean申購價]]/100*投組換券表[[#This Row],[投入面額]]*投組換券表[[#This Row],[MOD]]*1%),0)</f>
        <v>0</v>
      </c>
      <c r="AP18" s="1084">
        <f ca="1">IFERROR(VLOOKUP(投組換券表[[#This Row],[商品代號]],'銀行-TSS'!B:N,13,FALSE),0)</f>
        <v>0</v>
      </c>
      <c r="AQ18" s="1084">
        <f ca="1">IFERROR(VLOOKUP(投組換券表[[#This Row],[商品代號]],'銀行-TSS'!B:O,14,FALSE),0)</f>
        <v>0</v>
      </c>
      <c r="AR18" s="1200">
        <f ca="1">IFERROR(IF(K18=0,0,投組換券表[[#This Row],[票面利率]]*投組換券表[[#This Row],[投入面額]]),0)</f>
        <v>0</v>
      </c>
      <c r="AS18" s="1188" t="e">
        <f ca="1">VLOOKUP(K18,'銀行-TSS'!B:AK,36,FALSE)</f>
        <v>#N/A</v>
      </c>
      <c r="AT18" s="434" t="e">
        <f t="shared" ca="1" si="14"/>
        <v>#VALUE!</v>
      </c>
      <c r="AU18" s="434" t="e">
        <f t="shared" ca="1" si="15"/>
        <v>#VALUE!</v>
      </c>
      <c r="AV18" s="434">
        <f t="shared" ca="1" si="16"/>
        <v>0</v>
      </c>
      <c r="AW18" s="434">
        <f t="shared" ca="1" si="17"/>
        <v>0</v>
      </c>
      <c r="AX18"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18"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18"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18"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18"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18"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18"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18"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18"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18"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18"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18"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18"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18" s="33"/>
      <c r="BL18" s="33"/>
      <c r="BM18" s="33"/>
      <c r="BN18" s="33"/>
      <c r="BO18" s="33"/>
      <c r="BP18" s="33"/>
      <c r="BQ18" s="33"/>
      <c r="BR18" s="33"/>
      <c r="BS18" s="33"/>
      <c r="BT18" s="33"/>
      <c r="BU18" s="33"/>
      <c r="BV18" s="33"/>
      <c r="BW18" s="33"/>
      <c r="BX18" s="33"/>
      <c r="BY18" s="33"/>
      <c r="BZ18" s="33"/>
      <c r="CA18" s="33"/>
      <c r="CB18" s="33"/>
      <c r="CC18" s="33"/>
      <c r="CD18" s="33"/>
      <c r="CE18" s="33"/>
      <c r="CF18" s="33"/>
      <c r="CG18" s="33"/>
      <c r="CH18" s="33"/>
      <c r="CI18" s="33"/>
      <c r="CJ18" s="33"/>
      <c r="CK18" s="33"/>
      <c r="CL18" s="33"/>
      <c r="CM18" s="33"/>
      <c r="CN18" s="33"/>
      <c r="CO18" s="33"/>
      <c r="CP18" s="33"/>
      <c r="CQ18" s="33"/>
      <c r="CR18" s="33"/>
      <c r="CS18" s="33"/>
      <c r="CT18" s="33"/>
      <c r="CU18" s="33"/>
      <c r="CV18" s="33"/>
      <c r="CW18" s="33"/>
      <c r="CX18" s="33"/>
      <c r="CY18" s="33"/>
      <c r="CZ18" s="33"/>
      <c r="DA18" s="33"/>
      <c r="DB18" s="33"/>
      <c r="DC18" s="33"/>
      <c r="DD18" s="33"/>
      <c r="DE18" s="33"/>
      <c r="DF18" s="33"/>
      <c r="DG18" s="33"/>
      <c r="DH18" s="33"/>
      <c r="DI18" s="33"/>
      <c r="DJ18" s="33"/>
      <c r="DK18" s="33"/>
      <c r="DL18" s="33"/>
      <c r="DM18" s="33"/>
      <c r="DN18" s="33"/>
      <c r="DO18" s="33"/>
      <c r="DP18" s="33"/>
      <c r="DQ18" s="33"/>
      <c r="DR18" s="33"/>
      <c r="DS18" s="33"/>
      <c r="DT18" s="33"/>
      <c r="DU18" s="33"/>
      <c r="DV18" s="33"/>
      <c r="DW18" s="33"/>
      <c r="DX18" s="33"/>
      <c r="DY18" s="33"/>
      <c r="DZ18" s="33"/>
      <c r="EA18" s="33"/>
      <c r="EB18" s="33"/>
      <c r="EC18" s="33"/>
      <c r="ED18" s="33"/>
      <c r="EE18" s="33"/>
      <c r="EF18" s="33"/>
      <c r="EG18" s="33"/>
      <c r="EH18" s="33"/>
      <c r="EI18" s="33"/>
      <c r="EJ18" s="33"/>
      <c r="EK18" s="33"/>
      <c r="EL18" s="33"/>
      <c r="EM18" s="33"/>
      <c r="EN18" s="33"/>
      <c r="EO18" s="33"/>
      <c r="EP18" s="33"/>
      <c r="EQ18" s="33"/>
      <c r="ER18" s="33"/>
      <c r="ES18" s="33"/>
      <c r="ET18" s="33"/>
      <c r="EU18" s="33"/>
      <c r="EV18" s="33"/>
      <c r="EW18" s="33"/>
      <c r="EX18" s="33"/>
      <c r="EY18" s="33"/>
      <c r="EZ18" s="33"/>
      <c r="FA18" s="33"/>
      <c r="FB18" s="33"/>
      <c r="FC18" s="33"/>
      <c r="FD18" s="33"/>
      <c r="FE18" s="33"/>
      <c r="FF18" s="33"/>
      <c r="FG18" s="33"/>
      <c r="FH18" s="33"/>
      <c r="FI18" s="33"/>
      <c r="FJ18" s="33"/>
      <c r="FK18" s="33"/>
      <c r="FL18" s="33"/>
      <c r="FM18" s="33"/>
    </row>
    <row r="19" spans="2:169" ht="19.5" customHeight="1">
      <c r="B19" s="12">
        <v>1</v>
      </c>
      <c r="C19" s="604">
        <f>IFERROR(IF($K$2=0,0,INDEX($AY$1:$BJ$1,1,MATCH(B19,$AY$4:$BJ$4,0))),0)</f>
        <v>0</v>
      </c>
      <c r="D19" s="26" t="s">
        <v>1788</v>
      </c>
      <c r="E19" s="702">
        <f t="shared" ref="E19:E30" ca="1" si="18">SUMIFS($BR$7:$BR$18,$BA$7:$BA$18,$B19)+SUMIFS($BR$7:$BR$18,$BB$7:$BB$18,$B19)+SUMIFS($BR$7:$BR$18,$BC$7:$BC$18,$B19)+SUMIFS($BR$7:$BR$18,$BD$7:$BD$18,$B19)</f>
        <v>0</v>
      </c>
      <c r="F19" s="701">
        <f t="shared" ref="F19:F30" ca="1" si="19">ROUND(SUMIFS($BS$7:$BS$18,$BA$7:$BA$18,$B19)+SUMIFS($BS$7:$BS$18,$BB$7:$BB$18,$B19)+SUMIFS($BS$7:$BS$18,$BC$7:$BC$18,$B19)+SUMIFS($BS$7:$BS$18,$BD$7:$BD$18,$B19),0)</f>
        <v>0</v>
      </c>
      <c r="G19" s="605" t="str">
        <f>IF(C19=0,"",IF($C$16=1,TEXT(C19,"#,##0"),TEXT(C19,"#,##0")))</f>
        <v/>
      </c>
      <c r="J19" s="26">
        <v>7</v>
      </c>
      <c r="K19" s="918">
        <f ca="1">IF(OR('Tssco-bond portfolio(2)'!H13=TRUE,'Tssco-bond portfolio(2)'!S13=FALSE),0,'Tssco-bond portfolio(2)'!I13)</f>
        <v>0</v>
      </c>
      <c r="L19" s="1517" t="str">
        <f ca="1">IF(K19=0,"",'Tssco-bond portfolio(2)'!W13)</f>
        <v/>
      </c>
      <c r="M19" s="566">
        <f ca="1">IF(K19=0,0,'Tssco-bond portfolio(2)'!CI13)</f>
        <v>0</v>
      </c>
      <c r="N19" s="1546">
        <f ca="1">IF(K19=0,0,'Tssco-bond portfolio(2)'!X13)</f>
        <v>0</v>
      </c>
      <c r="O19" s="1546">
        <f ca="1">IF(K19=0,0,'Tssco-bond portfolio(2)'!Y13)</f>
        <v>0</v>
      </c>
      <c r="P19" s="1546">
        <f ca="1">IF(K19=0,0,'Tssco-bond portfolio(2)'!BV13)</f>
        <v>0</v>
      </c>
      <c r="Q19" s="1546">
        <f ca="1">IF(K19=0,0,'Tssco-bond portfolio(2)'!BW13)</f>
        <v>0</v>
      </c>
      <c r="S19" s="428">
        <f t="shared" ca="1" si="11"/>
        <v>0</v>
      </c>
      <c r="T19" s="430">
        <f ca="1">IFERROR(VLOOKUP(投組換券表[[#This Row],[商品代號]],bond!B:J,9,FALSE)+VLOOKUP(投組換券表[[#This Row],[商品代號]],bond!B:N,13,FALSE),0)</f>
        <v>0</v>
      </c>
      <c r="U19" s="430">
        <f ca="1">IFERROR(VLOOKUP(投組換券表[[#This Row],[商品代號]],'銀行-TSS'!B:K,10,FALSE),0)</f>
        <v>0</v>
      </c>
      <c r="V19" s="431">
        <f ca="1">IFERROR(VLOOKUP($S19,'銀行-TSS'!B:G,6,FALSE),0)</f>
        <v>0</v>
      </c>
      <c r="W19" s="432" t="e">
        <f ca="1">IFERROR(DATEVALUE(VLOOKUP($S19,'銀行-TSS'!B:F,5,FALSE)),VLOOKUP($S19,'銀行-TSS'!B:F,5,FALSE))</f>
        <v>#N/A</v>
      </c>
      <c r="X19" s="433">
        <f ca="1">IFERROR(VLOOKUP($S19,'銀行-TSS'!B:H,7,FALSE),0)</f>
        <v>0</v>
      </c>
      <c r="Y19" s="434" t="str">
        <f ca="1">IFERROR(VLOOKUP($S19,'銀行-TSS'!B:I,8,FALSE),"")</f>
        <v/>
      </c>
      <c r="Z19" s="440" t="str">
        <f ca="1">_xlfn.IFNA(IFERROR(DATEVALUE(VLOOKUP($S19,'銀行-TSS'!B:P,15,FALSE)),VLOOKUP($S19,'銀行-TSS'!B:P,15,FALSE)),"")</f>
        <v/>
      </c>
      <c r="AA19" s="570" t="b">
        <f t="shared" ca="1" si="5"/>
        <v>0</v>
      </c>
      <c r="AB19" s="782" t="e">
        <f ca="1">DATEVALUE(VLOOKUP(S19,bond!B:I,7,FALSE))</f>
        <v>#N/A</v>
      </c>
      <c r="AC19" s="783">
        <f ca="1">IF(投組換券表[[#This Row],[檢測]]=TRUE,L19,0)</f>
        <v>0</v>
      </c>
      <c r="AD19" s="783">
        <f t="shared" ca="1" si="12"/>
        <v>0</v>
      </c>
      <c r="AE19" s="462" t="str">
        <f ca="1">IFERROR(VLOOKUP(投組換券表[[#This Row],[商品代號]],bond!B:AA,26,FALSE),"")</f>
        <v/>
      </c>
      <c r="AF19" s="1" t="str">
        <f ca="1">IFERROR(VLOOKUP($S19,'銀行-TSS'!B:Q,16,FALSE),"")</f>
        <v/>
      </c>
      <c r="AG19" s="479" t="str">
        <f ca="1">IFERROR(VLOOKUP($S19,'銀行-TSS'!B:C,2,FALSE),"")</f>
        <v/>
      </c>
      <c r="AH19" s="479" t="e">
        <f ca="1">VLOOKUP(投組換券表[[#This Row],[幣別]],$B$37:$C$43,2,FALSE)</f>
        <v>#N/A</v>
      </c>
      <c r="AI19" s="500" t="e">
        <f ca="1">CHOOSE(投組換券表[[#This Row],[對應編碼]],$D$37,$D$38,$D$39,$D$40,$D$41,$D$42,$D$43)</f>
        <v>#N/A</v>
      </c>
      <c r="AJ19" s="500">
        <f ca="1">IF(K19=0,0,CHOOSE(投組換券表[[#This Row],[對應編碼]],$E$37,$E$38,$E$39,$E$40,$E$41,$E$42,$E$43))</f>
        <v>0</v>
      </c>
      <c r="AK19" s="1520">
        <f ca="1">IFERROR(投組換券表[[#This Row],[投入面額]]*投組換券表[[#This Row],[換算匯率(現)]],0)</f>
        <v>0</v>
      </c>
      <c r="AL19" s="574">
        <f t="shared" ca="1" si="13"/>
        <v>0</v>
      </c>
      <c r="AM19" s="735">
        <f ca="1">IFERROR(VLOOKUP(投組換券表[[#This Row],[商品代號]],bond!B:X,21,FALSE),0)</f>
        <v>0</v>
      </c>
      <c r="AN19" s="735">
        <f ca="1">IFERROR(VLOOKUP(投組換券表[[#This Row],[商品代號]],bond!B:J,9,FALSE),0)</f>
        <v>0</v>
      </c>
      <c r="AO19" s="1298">
        <f ca="1">IFERROR(IF(K19=0,0,投組換券表[[#This Row],[clean申購價]]/100*投組換券表[[#This Row],[投入面額]]*投組換券表[[#This Row],[MOD]]*1%),0)</f>
        <v>0</v>
      </c>
      <c r="AP19" s="1084">
        <f ca="1">IFERROR(VLOOKUP(投組換券表[[#This Row],[商品代號]],'銀行-TSS'!B:N,13,FALSE),0)</f>
        <v>0</v>
      </c>
      <c r="AQ19" s="1084">
        <f ca="1">IFERROR(VLOOKUP(投組換券表[[#This Row],[商品代號]],'銀行-TSS'!B:O,14,FALSE),0)</f>
        <v>0</v>
      </c>
      <c r="AR19" s="1200">
        <f ca="1">IFERROR(IF(K19=0,0,投組換券表[[#This Row],[票面利率]]*投組換券表[[#This Row],[投入面額]]),0)</f>
        <v>0</v>
      </c>
      <c r="AS19" s="1188" t="e">
        <f ca="1">VLOOKUP(K19,'銀行-TSS'!B:AK,36,FALSE)</f>
        <v>#N/A</v>
      </c>
      <c r="AT19" s="434" t="e">
        <f t="shared" ca="1" si="14"/>
        <v>#VALUE!</v>
      </c>
      <c r="AU19" s="434" t="e">
        <f t="shared" ca="1" si="15"/>
        <v>#VALUE!</v>
      </c>
      <c r="AV19" s="434">
        <f t="shared" ca="1" si="16"/>
        <v>0</v>
      </c>
      <c r="AW19" s="434">
        <f t="shared" ca="1" si="17"/>
        <v>0</v>
      </c>
      <c r="AX19"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19"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19"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19"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19"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19"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19"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19"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19"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19"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19"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19"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19"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19" s="33"/>
      <c r="BL19" s="33"/>
      <c r="BM19" s="33"/>
      <c r="BN19" s="33"/>
      <c r="BO19" s="33"/>
      <c r="BP19" s="33"/>
      <c r="BQ19" s="33"/>
      <c r="BR19" s="33"/>
      <c r="BS19" s="33"/>
      <c r="BT19" s="33"/>
      <c r="BU19" s="33"/>
      <c r="BV19" s="33"/>
      <c r="BW19" s="33"/>
      <c r="BX19" s="33"/>
      <c r="BY19" s="33"/>
      <c r="BZ19" s="33"/>
      <c r="CA19" s="33"/>
      <c r="CB19" s="33"/>
      <c r="CC19" s="33"/>
      <c r="CD19" s="33"/>
      <c r="CE19" s="33"/>
      <c r="CF19" s="33"/>
      <c r="CG19" s="33"/>
      <c r="CH19" s="33"/>
      <c r="CI19" s="33"/>
      <c r="CJ19" s="33"/>
      <c r="CK19" s="33"/>
      <c r="CL19" s="33"/>
      <c r="CM19" s="33"/>
      <c r="CN19" s="33"/>
      <c r="CO19" s="33"/>
      <c r="CP19" s="33"/>
      <c r="CQ19" s="33"/>
      <c r="CR19" s="33"/>
      <c r="CS19" s="33"/>
      <c r="CT19" s="33"/>
      <c r="CU19" s="33"/>
      <c r="CV19" s="33"/>
      <c r="CW19" s="33"/>
      <c r="CX19" s="33"/>
      <c r="CY19" s="33"/>
      <c r="CZ19" s="33"/>
      <c r="DA19" s="33"/>
      <c r="DB19" s="33"/>
      <c r="DC19" s="33"/>
      <c r="DD19" s="33"/>
      <c r="DE19" s="33"/>
      <c r="DF19" s="33"/>
      <c r="DG19" s="33"/>
      <c r="DH19" s="33"/>
      <c r="DI19" s="33"/>
      <c r="DJ19" s="33"/>
      <c r="DK19" s="33"/>
      <c r="DL19" s="33"/>
      <c r="DM19" s="33"/>
      <c r="DN19" s="33"/>
      <c r="DO19" s="33"/>
      <c r="DP19" s="33"/>
      <c r="DQ19" s="33"/>
      <c r="DR19" s="33"/>
      <c r="DS19" s="33"/>
      <c r="DT19" s="33"/>
      <c r="DU19" s="33"/>
      <c r="DV19" s="33"/>
      <c r="DW19" s="33"/>
      <c r="DX19" s="33"/>
      <c r="DY19" s="33"/>
      <c r="DZ19" s="33"/>
      <c r="EA19" s="33"/>
      <c r="EB19" s="33"/>
      <c r="EC19" s="33"/>
      <c r="ED19" s="33"/>
      <c r="EE19" s="33"/>
      <c r="EF19" s="33"/>
      <c r="EG19" s="33"/>
      <c r="EH19" s="33"/>
      <c r="EI19" s="33"/>
      <c r="EJ19" s="33"/>
      <c r="EK19" s="33"/>
      <c r="EL19" s="33"/>
      <c r="EM19" s="33"/>
      <c r="EN19" s="33"/>
      <c r="EO19" s="33"/>
      <c r="EP19" s="33"/>
      <c r="EQ19" s="33"/>
      <c r="ER19" s="33"/>
      <c r="ES19" s="33"/>
      <c r="ET19" s="33"/>
      <c r="EU19" s="33"/>
      <c r="EV19" s="33"/>
      <c r="EW19" s="33"/>
      <c r="EX19" s="33"/>
      <c r="EY19" s="33"/>
      <c r="EZ19" s="33"/>
      <c r="FA19" s="33"/>
      <c r="FB19" s="33"/>
      <c r="FC19" s="33"/>
      <c r="FD19" s="33"/>
      <c r="FE19" s="33"/>
      <c r="FF19" s="33"/>
      <c r="FG19" s="33"/>
      <c r="FH19" s="33"/>
      <c r="FI19" s="33"/>
      <c r="FJ19" s="33"/>
      <c r="FK19" s="33"/>
      <c r="FL19" s="33"/>
      <c r="FM19" s="33"/>
    </row>
    <row r="20" spans="2:169" ht="19.5" customHeight="1">
      <c r="B20" s="12">
        <v>2</v>
      </c>
      <c r="C20" s="604">
        <f t="shared" ref="C20:C30" si="20">IFERROR(IF($K$2=0,0,INDEX($AY$1:$BJ$1,1,MATCH(B20,$AY$4:$BJ$4,0))),0)</f>
        <v>0</v>
      </c>
      <c r="D20" s="26" t="s">
        <v>1789</v>
      </c>
      <c r="E20" s="702">
        <f t="shared" ca="1" si="18"/>
        <v>0</v>
      </c>
      <c r="F20" s="701">
        <f t="shared" ca="1" si="19"/>
        <v>0</v>
      </c>
      <c r="G20" s="605" t="str">
        <f t="shared" ref="G20:G30" si="21">IF(C20=0,"",IF($C$16=1,TEXT(C20,"#,##0"),TEXT(C20,"#,##0")))</f>
        <v/>
      </c>
      <c r="J20" s="26">
        <v>8</v>
      </c>
      <c r="K20" s="918">
        <f ca="1">IF(OR('Tssco-bond portfolio(2)'!H14=TRUE,'Tssco-bond portfolio(2)'!S14=FALSE),0,'Tssco-bond portfolio(2)'!I14)</f>
        <v>0</v>
      </c>
      <c r="L20" s="1517" t="str">
        <f ca="1">IF(K20=0,"",'Tssco-bond portfolio(2)'!W14)</f>
        <v/>
      </c>
      <c r="M20" s="566">
        <f ca="1">IF(K20=0,0,'Tssco-bond portfolio(2)'!CI14)</f>
        <v>0</v>
      </c>
      <c r="N20" s="1546">
        <f ca="1">IF(K20=0,0,'Tssco-bond portfolio(2)'!X14)</f>
        <v>0</v>
      </c>
      <c r="O20" s="1546">
        <f ca="1">IF(K20=0,0,'Tssco-bond portfolio(2)'!Y14)</f>
        <v>0</v>
      </c>
      <c r="P20" s="1546">
        <f ca="1">IF(K20=0,0,'Tssco-bond portfolio(2)'!BV14)</f>
        <v>0</v>
      </c>
      <c r="Q20" s="1546">
        <f ca="1">IF(K20=0,0,'Tssco-bond portfolio(2)'!BW14)</f>
        <v>0</v>
      </c>
      <c r="S20" s="428">
        <f t="shared" ca="1" si="11"/>
        <v>0</v>
      </c>
      <c r="T20" s="430">
        <f ca="1">IFERROR(VLOOKUP(投組換券表[[#This Row],[商品代號]],bond!B:J,9,FALSE)+VLOOKUP(投組換券表[[#This Row],[商品代號]],bond!B:N,13,FALSE),0)</f>
        <v>0</v>
      </c>
      <c r="U20" s="430">
        <f ca="1">IFERROR(VLOOKUP(投組換券表[[#This Row],[商品代號]],'銀行-TSS'!B:K,10,FALSE),0)</f>
        <v>0</v>
      </c>
      <c r="V20" s="431">
        <f ca="1">IFERROR(VLOOKUP($S20,'銀行-TSS'!B:G,6,FALSE),0)</f>
        <v>0</v>
      </c>
      <c r="W20" s="432" t="e">
        <f ca="1">IFERROR(DATEVALUE(VLOOKUP($S20,'銀行-TSS'!B:F,5,FALSE)),VLOOKUP($S20,'銀行-TSS'!B:F,5,FALSE))</f>
        <v>#N/A</v>
      </c>
      <c r="X20" s="433">
        <f ca="1">IFERROR(VLOOKUP($S20,'銀行-TSS'!B:H,7,FALSE),0)</f>
        <v>0</v>
      </c>
      <c r="Y20" s="434" t="str">
        <f ca="1">IFERROR(VLOOKUP($S20,'銀行-TSS'!B:I,8,FALSE),"")</f>
        <v/>
      </c>
      <c r="Z20" s="440" t="str">
        <f ca="1">_xlfn.IFNA(IFERROR(DATEVALUE(VLOOKUP($S20,'銀行-TSS'!B:P,15,FALSE)),VLOOKUP($S20,'銀行-TSS'!B:P,15,FALSE)),"")</f>
        <v/>
      </c>
      <c r="AA20" s="570" t="b">
        <f t="shared" ca="1" si="5"/>
        <v>0</v>
      </c>
      <c r="AB20" s="782" t="e">
        <f ca="1">DATEVALUE(VLOOKUP(S20,bond!B:I,7,FALSE))</f>
        <v>#N/A</v>
      </c>
      <c r="AC20" s="783">
        <f ca="1">IF(投組換券表[[#This Row],[檢測]]=TRUE,L20,0)</f>
        <v>0</v>
      </c>
      <c r="AD20" s="783">
        <f t="shared" ca="1" si="12"/>
        <v>0</v>
      </c>
      <c r="AE20" s="462" t="str">
        <f ca="1">IFERROR(VLOOKUP(投組換券表[[#This Row],[商品代號]],bond!B:AA,26,FALSE),"")</f>
        <v/>
      </c>
      <c r="AF20" s="1" t="str">
        <f ca="1">IFERROR(VLOOKUP($S20,'銀行-TSS'!B:Q,16,FALSE),"")</f>
        <v/>
      </c>
      <c r="AG20" s="479" t="str">
        <f ca="1">IFERROR(VLOOKUP($S20,'銀行-TSS'!B:C,2,FALSE),"")</f>
        <v/>
      </c>
      <c r="AH20" s="479" t="e">
        <f ca="1">VLOOKUP(投組換券表[[#This Row],[幣別]],$B$37:$C$43,2,FALSE)</f>
        <v>#N/A</v>
      </c>
      <c r="AI20" s="500" t="e">
        <f ca="1">CHOOSE(投組換券表[[#This Row],[對應編碼]],$D$37,$D$38,$D$39,$D$40,$D$41,$D$42,$D$43)</f>
        <v>#N/A</v>
      </c>
      <c r="AJ20" s="500">
        <f ca="1">IF(K20=0,0,CHOOSE(投組換券表[[#This Row],[對應編碼]],$E$37,$E$38,$E$39,$E$40,$E$41,$E$42,$E$43))</f>
        <v>0</v>
      </c>
      <c r="AK20" s="1520">
        <f ca="1">IFERROR(投組換券表[[#This Row],[投入面額]]*投組換券表[[#This Row],[換算匯率(現)]],0)</f>
        <v>0</v>
      </c>
      <c r="AL20" s="574">
        <f t="shared" ca="1" si="13"/>
        <v>0</v>
      </c>
      <c r="AM20" s="735">
        <f ca="1">IFERROR(VLOOKUP(投組換券表[[#This Row],[商品代號]],bond!B:X,21,FALSE),0)</f>
        <v>0</v>
      </c>
      <c r="AN20" s="735">
        <f ca="1">IFERROR(VLOOKUP(投組換券表[[#This Row],[商品代號]],bond!B:J,9,FALSE),0)</f>
        <v>0</v>
      </c>
      <c r="AO20" s="1298">
        <f ca="1">IFERROR(IF(K20=0,0,投組換券表[[#This Row],[clean申購價]]/100*投組換券表[[#This Row],[投入面額]]*投組換券表[[#This Row],[MOD]]*1%),0)</f>
        <v>0</v>
      </c>
      <c r="AP20" s="1084">
        <f ca="1">IFERROR(VLOOKUP(投組換券表[[#This Row],[商品代號]],'銀行-TSS'!B:N,13,FALSE),0)</f>
        <v>0</v>
      </c>
      <c r="AQ20" s="1084">
        <f ca="1">IFERROR(VLOOKUP(投組換券表[[#This Row],[商品代號]],'銀行-TSS'!B:O,14,FALSE),0)</f>
        <v>0</v>
      </c>
      <c r="AR20" s="1200">
        <f ca="1">IFERROR(IF(K20=0,0,投組換券表[[#This Row],[票面利率]]*投組換券表[[#This Row],[投入面額]]),0)</f>
        <v>0</v>
      </c>
      <c r="AS20" s="1188" t="e">
        <f ca="1">VLOOKUP(K20,'銀行-TSS'!B:AK,36,FALSE)</f>
        <v>#N/A</v>
      </c>
      <c r="AT20" s="434" t="e">
        <f t="shared" ca="1" si="14"/>
        <v>#VALUE!</v>
      </c>
      <c r="AU20" s="434" t="e">
        <f t="shared" ca="1" si="15"/>
        <v>#VALUE!</v>
      </c>
      <c r="AV20" s="434">
        <f t="shared" ca="1" si="16"/>
        <v>0</v>
      </c>
      <c r="AW20" s="434">
        <f t="shared" ca="1" si="17"/>
        <v>0</v>
      </c>
      <c r="AX20"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0"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0"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0"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0"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0"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0"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0"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0"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0"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0"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0"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0"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20" s="33"/>
      <c r="BL20" s="33"/>
      <c r="BM20" s="33"/>
      <c r="BN20" s="33"/>
      <c r="BO20" s="33"/>
      <c r="BP20" s="33"/>
      <c r="BQ20" s="33"/>
      <c r="BR20" s="33"/>
      <c r="BS20" s="33"/>
      <c r="BT20" s="33"/>
      <c r="BU20" s="33"/>
      <c r="BV20" s="33"/>
      <c r="BW20" s="33"/>
      <c r="BX20" s="33"/>
      <c r="BY20" s="33"/>
      <c r="BZ20" s="33"/>
      <c r="CA20" s="33"/>
      <c r="CB20" s="33"/>
      <c r="CC20" s="33"/>
      <c r="CD20" s="33"/>
      <c r="CE20" s="33"/>
      <c r="CF20" s="33"/>
      <c r="CG20" s="33"/>
      <c r="CH20" s="33"/>
      <c r="CI20" s="33"/>
      <c r="CJ20" s="33"/>
      <c r="CK20" s="33"/>
      <c r="CL20" s="33"/>
      <c r="CM20" s="33"/>
      <c r="CN20" s="33"/>
      <c r="CO20" s="33"/>
      <c r="CP20" s="33"/>
      <c r="CQ20" s="33"/>
      <c r="CR20" s="33"/>
      <c r="CS20" s="33"/>
      <c r="CT20" s="33"/>
      <c r="CU20" s="33"/>
      <c r="CV20" s="33"/>
      <c r="CW20" s="33"/>
      <c r="CX20" s="33"/>
      <c r="CY20" s="33"/>
      <c r="CZ20" s="33"/>
      <c r="DA20" s="33"/>
      <c r="DB20" s="33"/>
      <c r="DC20" s="33"/>
      <c r="DD20" s="33"/>
      <c r="DE20" s="33"/>
      <c r="DF20" s="33"/>
      <c r="DG20" s="33"/>
      <c r="DH20" s="33"/>
      <c r="DI20" s="33"/>
      <c r="DJ20" s="33"/>
      <c r="DK20" s="33"/>
      <c r="DL20" s="33"/>
      <c r="DM20" s="33"/>
      <c r="DN20" s="33"/>
      <c r="DO20" s="33"/>
      <c r="DP20" s="33"/>
      <c r="DQ20" s="33"/>
      <c r="DR20" s="33"/>
      <c r="DS20" s="33"/>
      <c r="DT20" s="33"/>
      <c r="DU20" s="33"/>
      <c r="DV20" s="33"/>
      <c r="DW20" s="33"/>
      <c r="DX20" s="33"/>
      <c r="DY20" s="33"/>
      <c r="DZ20" s="33"/>
      <c r="EA20" s="33"/>
      <c r="EB20" s="33"/>
      <c r="EC20" s="33"/>
      <c r="ED20" s="33"/>
      <c r="EE20" s="33"/>
      <c r="EF20" s="33"/>
      <c r="EG20" s="33"/>
      <c r="EH20" s="33"/>
      <c r="EI20" s="33"/>
      <c r="EJ20" s="33"/>
      <c r="EK20" s="33"/>
      <c r="EL20" s="33"/>
      <c r="EM20" s="33"/>
      <c r="EN20" s="33"/>
      <c r="EO20" s="33"/>
      <c r="EP20" s="33"/>
      <c r="EQ20" s="33"/>
      <c r="ER20" s="33"/>
      <c r="ES20" s="33"/>
      <c r="ET20" s="33"/>
      <c r="EU20" s="33"/>
      <c r="EV20" s="33"/>
      <c r="EW20" s="33"/>
      <c r="EX20" s="33"/>
      <c r="EY20" s="33"/>
      <c r="EZ20" s="33"/>
      <c r="FA20" s="33"/>
      <c r="FB20" s="33"/>
      <c r="FC20" s="33"/>
      <c r="FD20" s="33"/>
      <c r="FE20" s="33"/>
      <c r="FF20" s="33"/>
      <c r="FG20" s="33"/>
      <c r="FH20" s="33"/>
      <c r="FI20" s="33"/>
      <c r="FJ20" s="33"/>
      <c r="FK20" s="33"/>
      <c r="FL20" s="33"/>
      <c r="FM20" s="33"/>
    </row>
    <row r="21" spans="2:169" ht="19.5" customHeight="1">
      <c r="B21" s="12">
        <v>3</v>
      </c>
      <c r="C21" s="604">
        <f t="shared" si="20"/>
        <v>0</v>
      </c>
      <c r="D21" s="26" t="s">
        <v>1790</v>
      </c>
      <c r="E21" s="702">
        <f t="shared" ca="1" si="18"/>
        <v>0</v>
      </c>
      <c r="F21" s="701">
        <f t="shared" ca="1" si="19"/>
        <v>0</v>
      </c>
      <c r="G21" s="605" t="str">
        <f t="shared" si="21"/>
        <v/>
      </c>
      <c r="J21" s="26">
        <v>9</v>
      </c>
      <c r="K21" s="918">
        <f ca="1">IF(OR('Tssco-bond portfolio(2)'!H15=TRUE,'Tssco-bond portfolio(2)'!S15=FALSE),0,'Tssco-bond portfolio(2)'!I15)</f>
        <v>0</v>
      </c>
      <c r="L21" s="1517" t="str">
        <f ca="1">IF(K21=0,"",'Tssco-bond portfolio(2)'!W15)</f>
        <v/>
      </c>
      <c r="M21" s="566">
        <f ca="1">IF(K21=0,0,'Tssco-bond portfolio(2)'!CI15)</f>
        <v>0</v>
      </c>
      <c r="N21" s="1546">
        <f ca="1">IF(K21=0,0,'Tssco-bond portfolio(2)'!X15)</f>
        <v>0</v>
      </c>
      <c r="O21" s="1546">
        <f ca="1">IF(K21=0,0,'Tssco-bond portfolio(2)'!Y15)</f>
        <v>0</v>
      </c>
      <c r="P21" s="1546">
        <f ca="1">IF(K21=0,0,'Tssco-bond portfolio(2)'!BV15)</f>
        <v>0</v>
      </c>
      <c r="Q21" s="1546">
        <f ca="1">IF(K21=0,0,'Tssco-bond portfolio(2)'!BW15)</f>
        <v>0</v>
      </c>
      <c r="S21" s="428">
        <f t="shared" ca="1" si="11"/>
        <v>0</v>
      </c>
      <c r="T21" s="430">
        <f ca="1">IFERROR(VLOOKUP(投組換券表[[#This Row],[商品代號]],bond!B:J,9,FALSE)+VLOOKUP(投組換券表[[#This Row],[商品代號]],bond!B:N,13,FALSE),0)</f>
        <v>0</v>
      </c>
      <c r="U21" s="430">
        <f ca="1">IFERROR(VLOOKUP(投組換券表[[#This Row],[商品代號]],'銀行-TSS'!B:K,10,FALSE),0)</f>
        <v>0</v>
      </c>
      <c r="V21" s="431">
        <f ca="1">IFERROR(VLOOKUP($S21,'銀行-TSS'!B:G,6,FALSE),0)</f>
        <v>0</v>
      </c>
      <c r="W21" s="432" t="e">
        <f ca="1">IFERROR(DATEVALUE(VLOOKUP($S21,'銀行-TSS'!B:F,5,FALSE)),VLOOKUP($S21,'銀行-TSS'!B:F,5,FALSE))</f>
        <v>#N/A</v>
      </c>
      <c r="X21" s="433">
        <f ca="1">IFERROR(VLOOKUP($S21,'銀行-TSS'!B:H,7,FALSE),0)</f>
        <v>0</v>
      </c>
      <c r="Y21" s="434" t="str">
        <f ca="1">IFERROR(VLOOKUP($S21,'銀行-TSS'!B:I,8,FALSE),"")</f>
        <v/>
      </c>
      <c r="Z21" s="440" t="str">
        <f ca="1">_xlfn.IFNA(IFERROR(DATEVALUE(VLOOKUP($S21,'銀行-TSS'!B:P,15,FALSE)),VLOOKUP($S21,'銀行-TSS'!B:P,15,FALSE)),"")</f>
        <v/>
      </c>
      <c r="AA21" s="570" t="b">
        <f t="shared" ca="1" si="5"/>
        <v>0</v>
      </c>
      <c r="AB21" s="782" t="e">
        <f ca="1">DATEVALUE(VLOOKUP(S21,bond!B:I,7,FALSE))</f>
        <v>#N/A</v>
      </c>
      <c r="AC21" s="783">
        <f ca="1">IF(投組換券表[[#This Row],[檢測]]=TRUE,L21,0)</f>
        <v>0</v>
      </c>
      <c r="AD21" s="783">
        <f t="shared" ca="1" si="12"/>
        <v>0</v>
      </c>
      <c r="AE21" s="462" t="str">
        <f ca="1">IFERROR(VLOOKUP(投組換券表[[#This Row],[商品代號]],bond!B:AA,26,FALSE),"")</f>
        <v/>
      </c>
      <c r="AF21" s="1" t="str">
        <f ca="1">IFERROR(VLOOKUP($S21,'銀行-TSS'!B:Q,16,FALSE),"")</f>
        <v/>
      </c>
      <c r="AG21" s="479" t="str">
        <f ca="1">IFERROR(VLOOKUP($S21,'銀行-TSS'!B:C,2,FALSE),"")</f>
        <v/>
      </c>
      <c r="AH21" s="479" t="e">
        <f ca="1">VLOOKUP(投組換券表[[#This Row],[幣別]],$B$37:$C$43,2,FALSE)</f>
        <v>#N/A</v>
      </c>
      <c r="AI21" s="500" t="e">
        <f ca="1">CHOOSE(投組換券表[[#This Row],[對應編碼]],$D$37,$D$38,$D$39,$D$40,$D$41,$D$42,$D$43)</f>
        <v>#N/A</v>
      </c>
      <c r="AJ21" s="500">
        <f ca="1">IF(K21=0,0,CHOOSE(投組換券表[[#This Row],[對應編碼]],$E$37,$E$38,$E$39,$E$40,$E$41,$E$42,$E$43))</f>
        <v>0</v>
      </c>
      <c r="AK21" s="1520">
        <f ca="1">IFERROR(投組換券表[[#This Row],[投入面額]]*投組換券表[[#This Row],[換算匯率(現)]],0)</f>
        <v>0</v>
      </c>
      <c r="AL21" s="574">
        <f t="shared" ca="1" si="13"/>
        <v>0</v>
      </c>
      <c r="AM21" s="735">
        <f ca="1">IFERROR(VLOOKUP(投組換券表[[#This Row],[商品代號]],bond!B:X,21,FALSE),0)</f>
        <v>0</v>
      </c>
      <c r="AN21" s="735">
        <f ca="1">IFERROR(VLOOKUP(投組換券表[[#This Row],[商品代號]],bond!B:J,9,FALSE),0)</f>
        <v>0</v>
      </c>
      <c r="AO21" s="1298">
        <f ca="1">IFERROR(IF(K21=0,0,投組換券表[[#This Row],[clean申購價]]/100*投組換券表[[#This Row],[投入面額]]*投組換券表[[#This Row],[MOD]]*1%),0)</f>
        <v>0</v>
      </c>
      <c r="AP21" s="1084">
        <f ca="1">IFERROR(VLOOKUP(投組換券表[[#This Row],[商品代號]],'銀行-TSS'!B:N,13,FALSE),0)</f>
        <v>0</v>
      </c>
      <c r="AQ21" s="1084">
        <f ca="1">IFERROR(VLOOKUP(投組換券表[[#This Row],[商品代號]],'銀行-TSS'!B:O,14,FALSE),0)</f>
        <v>0</v>
      </c>
      <c r="AR21" s="1200">
        <f ca="1">IFERROR(IF(K21=0,0,投組換券表[[#This Row],[票面利率]]*投組換券表[[#This Row],[投入面額]]),0)</f>
        <v>0</v>
      </c>
      <c r="AS21" s="1188" t="e">
        <f ca="1">VLOOKUP(K21,'銀行-TSS'!B:AK,36,FALSE)</f>
        <v>#N/A</v>
      </c>
      <c r="AT21" s="434" t="e">
        <f t="shared" ca="1" si="14"/>
        <v>#VALUE!</v>
      </c>
      <c r="AU21" s="434" t="e">
        <f t="shared" ca="1" si="15"/>
        <v>#VALUE!</v>
      </c>
      <c r="AV21" s="434">
        <f t="shared" ca="1" si="16"/>
        <v>0</v>
      </c>
      <c r="AW21" s="434">
        <f t="shared" ca="1" si="17"/>
        <v>0</v>
      </c>
      <c r="AX21"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1"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1"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1"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1"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1"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1"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1"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1"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1"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1"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1"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1"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21" s="33"/>
      <c r="BL21" s="33"/>
      <c r="BM21" s="33"/>
      <c r="BN21" s="33"/>
      <c r="BO21" s="33"/>
      <c r="BP21" s="33"/>
      <c r="BQ21" s="33"/>
      <c r="BR21" s="33"/>
      <c r="BS21" s="33"/>
      <c r="BT21" s="33"/>
      <c r="BU21" s="33"/>
      <c r="BV21" s="33"/>
      <c r="BW21" s="33"/>
      <c r="BX21" s="33"/>
      <c r="BY21" s="33"/>
      <c r="BZ21" s="33"/>
      <c r="CA21" s="33"/>
      <c r="CB21" s="33"/>
      <c r="CC21" s="33"/>
      <c r="CD21" s="33"/>
      <c r="CE21" s="33"/>
      <c r="CF21" s="33"/>
      <c r="CG21" s="33"/>
      <c r="CH21" s="33"/>
      <c r="CI21" s="33"/>
      <c r="CJ21" s="33"/>
      <c r="CK21" s="33"/>
      <c r="CL21" s="33"/>
      <c r="CM21" s="33"/>
      <c r="CN21" s="33"/>
      <c r="CO21" s="33"/>
      <c r="CP21" s="33"/>
      <c r="CQ21" s="33"/>
      <c r="CR21" s="33"/>
      <c r="CS21" s="33"/>
      <c r="CT21" s="33"/>
      <c r="CU21" s="33"/>
      <c r="CV21" s="33"/>
      <c r="CW21" s="33"/>
      <c r="CX21" s="33"/>
      <c r="CY21" s="33"/>
      <c r="CZ21" s="33"/>
      <c r="DA21" s="33"/>
      <c r="DB21" s="33"/>
      <c r="DC21" s="33"/>
      <c r="DD21" s="33"/>
      <c r="DE21" s="33"/>
      <c r="DF21" s="33"/>
      <c r="DG21" s="33"/>
      <c r="DH21" s="33"/>
      <c r="DI21" s="33"/>
      <c r="DJ21" s="33"/>
      <c r="DK21" s="33"/>
      <c r="DL21" s="33"/>
      <c r="DM21" s="33"/>
      <c r="DN21" s="33"/>
      <c r="DO21" s="33"/>
      <c r="DP21" s="33"/>
      <c r="DQ21" s="33"/>
      <c r="DR21" s="33"/>
      <c r="DS21" s="33"/>
      <c r="DT21" s="33"/>
      <c r="DU21" s="33"/>
      <c r="DV21" s="33"/>
      <c r="DW21" s="33"/>
      <c r="DX21" s="33"/>
      <c r="DY21" s="33"/>
      <c r="DZ21" s="33"/>
      <c r="EA21" s="33"/>
      <c r="EB21" s="33"/>
      <c r="EC21" s="33"/>
      <c r="ED21" s="33"/>
      <c r="EE21" s="33"/>
      <c r="EF21" s="33"/>
      <c r="EG21" s="33"/>
      <c r="EH21" s="33"/>
      <c r="EI21" s="33"/>
      <c r="EJ21" s="33"/>
      <c r="EK21" s="33"/>
      <c r="EL21" s="33"/>
      <c r="EM21" s="33"/>
      <c r="EN21" s="33"/>
      <c r="EO21" s="33"/>
      <c r="EP21" s="33"/>
      <c r="EQ21" s="33"/>
      <c r="ER21" s="33"/>
      <c r="ES21" s="33"/>
      <c r="ET21" s="33"/>
      <c r="EU21" s="33"/>
      <c r="EV21" s="33"/>
      <c r="EW21" s="33"/>
      <c r="EX21" s="33"/>
      <c r="EY21" s="33"/>
      <c r="EZ21" s="33"/>
      <c r="FA21" s="33"/>
      <c r="FB21" s="33"/>
      <c r="FC21" s="33"/>
      <c r="FD21" s="33"/>
      <c r="FE21" s="33"/>
      <c r="FF21" s="33"/>
      <c r="FG21" s="33"/>
      <c r="FH21" s="33"/>
      <c r="FI21" s="33"/>
      <c r="FJ21" s="33"/>
      <c r="FK21" s="33"/>
      <c r="FL21" s="33"/>
      <c r="FM21" s="33"/>
    </row>
    <row r="22" spans="2:169" ht="19.5" customHeight="1">
      <c r="B22" s="12">
        <v>4</v>
      </c>
      <c r="C22" s="604">
        <f t="shared" si="20"/>
        <v>0</v>
      </c>
      <c r="D22" s="26" t="s">
        <v>1791</v>
      </c>
      <c r="E22" s="702">
        <f t="shared" ca="1" si="18"/>
        <v>0</v>
      </c>
      <c r="F22" s="701">
        <f t="shared" ca="1" si="19"/>
        <v>0</v>
      </c>
      <c r="G22" s="605" t="str">
        <f t="shared" si="21"/>
        <v/>
      </c>
      <c r="H22" s="1292"/>
      <c r="I22" s="587"/>
      <c r="J22" s="26">
        <v>10</v>
      </c>
      <c r="K22" s="918">
        <f ca="1">IF(OR('Tssco-bond portfolio(2)'!H16=TRUE,'Tssco-bond portfolio(2)'!S16=FALSE),0,'Tssco-bond portfolio(2)'!I16)</f>
        <v>0</v>
      </c>
      <c r="L22" s="1517" t="str">
        <f ca="1">IF(K22=0,"",'Tssco-bond portfolio(2)'!W16)</f>
        <v/>
      </c>
      <c r="M22" s="566">
        <f ca="1">IF(K22=0,0,'Tssco-bond portfolio(2)'!CI16)</f>
        <v>0</v>
      </c>
      <c r="N22" s="1546">
        <f ca="1">IF(K22=0,0,'Tssco-bond portfolio(2)'!X16)</f>
        <v>0</v>
      </c>
      <c r="O22" s="1546">
        <f ca="1">IF(K22=0,0,'Tssco-bond portfolio(2)'!Y16)</f>
        <v>0</v>
      </c>
      <c r="P22" s="1546">
        <f ca="1">IF(K22=0,0,'Tssco-bond portfolio(2)'!BV16)</f>
        <v>0</v>
      </c>
      <c r="Q22" s="1546">
        <f ca="1">IF(K22=0,0,'Tssco-bond portfolio(2)'!BW16)</f>
        <v>0</v>
      </c>
      <c r="S22" s="428">
        <f t="shared" ca="1" si="11"/>
        <v>0</v>
      </c>
      <c r="T22" s="430">
        <f ca="1">IFERROR(VLOOKUP(投組換券表[[#This Row],[商品代號]],bond!B:J,9,FALSE)+VLOOKUP(投組換券表[[#This Row],[商品代號]],bond!B:N,13,FALSE),0)</f>
        <v>0</v>
      </c>
      <c r="U22" s="430">
        <f ca="1">IFERROR(VLOOKUP(投組換券表[[#This Row],[商品代號]],'銀行-TSS'!B:K,10,FALSE),0)</f>
        <v>0</v>
      </c>
      <c r="V22" s="431">
        <f ca="1">IFERROR(VLOOKUP($S22,'銀行-TSS'!B:G,6,FALSE),0)</f>
        <v>0</v>
      </c>
      <c r="W22" s="432" t="e">
        <f ca="1">IFERROR(DATEVALUE(VLOOKUP($S22,'銀行-TSS'!B:F,5,FALSE)),VLOOKUP($S22,'銀行-TSS'!B:F,5,FALSE))</f>
        <v>#N/A</v>
      </c>
      <c r="X22" s="433">
        <f ca="1">IFERROR(VLOOKUP($S22,'銀行-TSS'!B:H,7,FALSE),0)</f>
        <v>0</v>
      </c>
      <c r="Y22" s="434" t="str">
        <f ca="1">IFERROR(VLOOKUP($S22,'銀行-TSS'!B:I,8,FALSE),"")</f>
        <v/>
      </c>
      <c r="Z22" s="440" t="str">
        <f ca="1">_xlfn.IFNA(IFERROR(DATEVALUE(VLOOKUP($S22,'銀行-TSS'!B:P,15,FALSE)),VLOOKUP($S22,'銀行-TSS'!B:P,15,FALSE)),"")</f>
        <v/>
      </c>
      <c r="AA22" s="570" t="b">
        <f t="shared" ca="1" si="5"/>
        <v>0</v>
      </c>
      <c r="AB22" s="782" t="e">
        <f ca="1">DATEVALUE(VLOOKUP(S22,bond!B:I,7,FALSE))</f>
        <v>#N/A</v>
      </c>
      <c r="AC22" s="783">
        <f ca="1">IF(投組換券表[[#This Row],[檢測]]=TRUE,L22,0)</f>
        <v>0</v>
      </c>
      <c r="AD22" s="783">
        <f t="shared" ca="1" si="12"/>
        <v>0</v>
      </c>
      <c r="AE22" s="462" t="str">
        <f ca="1">IFERROR(VLOOKUP(投組換券表[[#This Row],[商品代號]],bond!B:AA,26,FALSE),"")</f>
        <v/>
      </c>
      <c r="AF22" s="1" t="str">
        <f ca="1">IFERROR(VLOOKUP($S22,'銀行-TSS'!B:Q,16,FALSE),"")</f>
        <v/>
      </c>
      <c r="AG22" s="479" t="str">
        <f ca="1">IFERROR(VLOOKUP($S22,'銀行-TSS'!B:C,2,FALSE),"")</f>
        <v/>
      </c>
      <c r="AH22" s="479" t="e">
        <f ca="1">VLOOKUP(投組換券表[[#This Row],[幣別]],$B$37:$C$43,2,FALSE)</f>
        <v>#N/A</v>
      </c>
      <c r="AI22" s="500" t="e">
        <f ca="1">CHOOSE(投組換券表[[#This Row],[對應編碼]],$D$37,$D$38,$D$39,$D$40,$D$41,$D$42,$D$43)</f>
        <v>#N/A</v>
      </c>
      <c r="AJ22" s="500">
        <f ca="1">IF(K22=0,0,CHOOSE(投組換券表[[#This Row],[對應編碼]],$E$37,$E$38,$E$39,$E$40,$E$41,$E$42,$E$43))</f>
        <v>0</v>
      </c>
      <c r="AK22" s="1520">
        <f ca="1">IFERROR(投組換券表[[#This Row],[投入面額]]*投組換券表[[#This Row],[換算匯率(現)]],0)</f>
        <v>0</v>
      </c>
      <c r="AL22" s="574">
        <f t="shared" ca="1" si="13"/>
        <v>0</v>
      </c>
      <c r="AM22" s="735">
        <f ca="1">IFERROR(VLOOKUP(投組換券表[[#This Row],[商品代號]],bond!B:X,21,FALSE),0)</f>
        <v>0</v>
      </c>
      <c r="AN22" s="735">
        <f ca="1">IFERROR(VLOOKUP(投組換券表[[#This Row],[商品代號]],bond!B:J,9,FALSE),0)</f>
        <v>0</v>
      </c>
      <c r="AO22" s="1298">
        <f ca="1">IFERROR(IF(K22=0,0,投組換券表[[#This Row],[clean申購價]]/100*投組換券表[[#This Row],[投入面額]]*投組換券表[[#This Row],[MOD]]*1%),0)</f>
        <v>0</v>
      </c>
      <c r="AP22" s="1084">
        <f ca="1">IFERROR(VLOOKUP(投組換券表[[#This Row],[商品代號]],'銀行-TSS'!B:N,13,FALSE),0)</f>
        <v>0</v>
      </c>
      <c r="AQ22" s="1084">
        <f ca="1">IFERROR(VLOOKUP(投組換券表[[#This Row],[商品代號]],'銀行-TSS'!B:O,14,FALSE),0)</f>
        <v>0</v>
      </c>
      <c r="AR22" s="1200">
        <f ca="1">IFERROR(IF(K22=0,0,投組換券表[[#This Row],[票面利率]]*投組換券表[[#This Row],[投入面額]]),0)</f>
        <v>0</v>
      </c>
      <c r="AS22" s="1188" t="e">
        <f ca="1">VLOOKUP(K22,'銀行-TSS'!B:AK,36,FALSE)</f>
        <v>#N/A</v>
      </c>
      <c r="AT22" s="434" t="e">
        <f t="shared" ca="1" si="14"/>
        <v>#VALUE!</v>
      </c>
      <c r="AU22" s="434" t="e">
        <f t="shared" ca="1" si="15"/>
        <v>#VALUE!</v>
      </c>
      <c r="AV22" s="434">
        <f t="shared" ca="1" si="16"/>
        <v>0</v>
      </c>
      <c r="AW22" s="434">
        <f t="shared" ca="1" si="17"/>
        <v>0</v>
      </c>
      <c r="AX22"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2"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2"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2"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2"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2"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2"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2"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2"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2"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2"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2"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2"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row>
    <row r="23" spans="2:169" ht="19.5" customHeight="1">
      <c r="B23" s="12">
        <v>5</v>
      </c>
      <c r="C23" s="604">
        <f t="shared" si="20"/>
        <v>0</v>
      </c>
      <c r="D23" s="26" t="s">
        <v>1792</v>
      </c>
      <c r="E23" s="702">
        <f t="shared" ca="1" si="18"/>
        <v>0</v>
      </c>
      <c r="F23" s="701">
        <f t="shared" ca="1" si="19"/>
        <v>0</v>
      </c>
      <c r="G23" s="605" t="str">
        <f t="shared" si="21"/>
        <v/>
      </c>
      <c r="H23" s="1293"/>
      <c r="I23" s="588"/>
      <c r="J23" s="26">
        <v>11</v>
      </c>
      <c r="K23" s="918">
        <f ca="1">IF(OR('Tssco-bond portfolio(2)'!H17=TRUE,'Tssco-bond portfolio(2)'!S17=FALSE),0,'Tssco-bond portfolio(2)'!I17)</f>
        <v>0</v>
      </c>
      <c r="L23" s="1517" t="str">
        <f ca="1">IF(K23=0,"",'Tssco-bond portfolio(2)'!W17)</f>
        <v/>
      </c>
      <c r="M23" s="566">
        <f ca="1">IF(K23=0,0,'Tssco-bond portfolio(2)'!CI17)</f>
        <v>0</v>
      </c>
      <c r="N23" s="1546">
        <f ca="1">IF(K23=0,0,'Tssco-bond portfolio(2)'!X17)</f>
        <v>0</v>
      </c>
      <c r="O23" s="1546">
        <f ca="1">IF(K23=0,0,'Tssco-bond portfolio(2)'!Y17)</f>
        <v>0</v>
      </c>
      <c r="P23" s="1546">
        <f ca="1">IF(K23=0,0,'Tssco-bond portfolio(2)'!BV17)</f>
        <v>0</v>
      </c>
      <c r="Q23" s="1546">
        <f ca="1">IF(K23=0,0,'Tssco-bond portfolio(2)'!BW17)</f>
        <v>0</v>
      </c>
      <c r="S23" s="428">
        <f t="shared" ca="1" si="11"/>
        <v>0</v>
      </c>
      <c r="T23" s="430">
        <f ca="1">IFERROR(VLOOKUP(投組換券表[[#This Row],[商品代號]],bond!B:J,9,FALSE)+VLOOKUP(投組換券表[[#This Row],[商品代號]],bond!B:N,13,FALSE),0)</f>
        <v>0</v>
      </c>
      <c r="U23" s="430">
        <f ca="1">IFERROR(VLOOKUP(投組換券表[[#This Row],[商品代號]],'銀行-TSS'!B:K,10,FALSE),0)</f>
        <v>0</v>
      </c>
      <c r="V23" s="431">
        <f ca="1">IFERROR(VLOOKUP($S23,'銀行-TSS'!B:G,6,FALSE),0)</f>
        <v>0</v>
      </c>
      <c r="W23" s="432" t="e">
        <f ca="1">IFERROR(DATEVALUE(VLOOKUP($S23,'銀行-TSS'!B:F,5,FALSE)),VLOOKUP($S23,'銀行-TSS'!B:F,5,FALSE))</f>
        <v>#N/A</v>
      </c>
      <c r="X23" s="433">
        <f ca="1">IFERROR(VLOOKUP($S23,'銀行-TSS'!B:H,7,FALSE),0)</f>
        <v>0</v>
      </c>
      <c r="Y23" s="434" t="str">
        <f ca="1">IFERROR(VLOOKUP($S23,'銀行-TSS'!B:I,8,FALSE),"")</f>
        <v/>
      </c>
      <c r="Z23" s="440" t="str">
        <f ca="1">_xlfn.IFNA(IFERROR(DATEVALUE(VLOOKUP($S23,'銀行-TSS'!B:P,15,FALSE)),VLOOKUP($S23,'銀行-TSS'!B:P,15,FALSE)),"")</f>
        <v/>
      </c>
      <c r="AA23" s="570" t="b">
        <f t="shared" ca="1" si="5"/>
        <v>0</v>
      </c>
      <c r="AB23" s="782" t="e">
        <f ca="1">DATEVALUE(VLOOKUP(S23,bond!B:I,7,FALSE))</f>
        <v>#N/A</v>
      </c>
      <c r="AC23" s="783">
        <f ca="1">IF(投組換券表[[#This Row],[檢測]]=TRUE,L23,0)</f>
        <v>0</v>
      </c>
      <c r="AD23" s="783">
        <f t="shared" ca="1" si="12"/>
        <v>0</v>
      </c>
      <c r="AE23" s="462" t="str">
        <f ca="1">IFERROR(VLOOKUP(投組換券表[[#This Row],[商品代號]],bond!B:AA,26,FALSE),"")</f>
        <v/>
      </c>
      <c r="AF23" s="1" t="str">
        <f ca="1">IFERROR(VLOOKUP($S23,'銀行-TSS'!B:Q,16,FALSE),"")</f>
        <v/>
      </c>
      <c r="AG23" s="479" t="str">
        <f ca="1">IFERROR(VLOOKUP($S23,'銀行-TSS'!B:C,2,FALSE),"")</f>
        <v/>
      </c>
      <c r="AH23" s="479" t="e">
        <f ca="1">VLOOKUP(投組換券表[[#This Row],[幣別]],$B$37:$C$43,2,FALSE)</f>
        <v>#N/A</v>
      </c>
      <c r="AI23" s="500" t="e">
        <f ca="1">CHOOSE(投組換券表[[#This Row],[對應編碼]],$D$37,$D$38,$D$39,$D$40,$D$41,$D$42,$D$43)</f>
        <v>#N/A</v>
      </c>
      <c r="AJ23" s="500">
        <f ca="1">IF(K23=0,0,CHOOSE(投組換券表[[#This Row],[對應編碼]],$E$37,$E$38,$E$39,$E$40,$E$41,$E$42,$E$43))</f>
        <v>0</v>
      </c>
      <c r="AK23" s="1520">
        <f ca="1">IFERROR(投組換券表[[#This Row],[投入面額]]*投組換券表[[#This Row],[換算匯率(現)]],0)</f>
        <v>0</v>
      </c>
      <c r="AL23" s="574">
        <f t="shared" ca="1" si="13"/>
        <v>0</v>
      </c>
      <c r="AM23" s="735">
        <f ca="1">IFERROR(VLOOKUP(投組換券表[[#This Row],[商品代號]],bond!B:X,21,FALSE),0)</f>
        <v>0</v>
      </c>
      <c r="AN23" s="735">
        <f ca="1">IFERROR(VLOOKUP(投組換券表[[#This Row],[商品代號]],bond!B:J,9,FALSE),0)</f>
        <v>0</v>
      </c>
      <c r="AO23" s="1298">
        <f ca="1">IFERROR(IF(K23=0,0,投組換券表[[#This Row],[clean申購價]]/100*投組換券表[[#This Row],[投入面額]]*投組換券表[[#This Row],[MOD]]*1%),0)</f>
        <v>0</v>
      </c>
      <c r="AP23" s="1084">
        <f ca="1">IFERROR(VLOOKUP(投組換券表[[#This Row],[商品代號]],'銀行-TSS'!B:N,13,FALSE),0)</f>
        <v>0</v>
      </c>
      <c r="AQ23" s="1084">
        <f ca="1">IFERROR(VLOOKUP(投組換券表[[#This Row],[商品代號]],'銀行-TSS'!B:O,14,FALSE),0)</f>
        <v>0</v>
      </c>
      <c r="AR23" s="1200">
        <f ca="1">IFERROR(IF(K23=0,0,投組換券表[[#This Row],[票面利率]]*投組換券表[[#This Row],[投入面額]]),0)</f>
        <v>0</v>
      </c>
      <c r="AS23" s="1188" t="e">
        <f ca="1">VLOOKUP(K23,'銀行-TSS'!B:AK,36,FALSE)</f>
        <v>#N/A</v>
      </c>
      <c r="AT23" s="434" t="e">
        <f t="shared" ca="1" si="14"/>
        <v>#VALUE!</v>
      </c>
      <c r="AU23" s="434" t="e">
        <f t="shared" ca="1" si="15"/>
        <v>#VALUE!</v>
      </c>
      <c r="AV23" s="434">
        <f t="shared" ca="1" si="16"/>
        <v>0</v>
      </c>
      <c r="AW23" s="434">
        <f t="shared" ca="1" si="17"/>
        <v>0</v>
      </c>
      <c r="AX23"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3"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3"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3"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3"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3"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3"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3"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3"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3"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3"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3"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3"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23" s="33"/>
      <c r="BL23" s="33"/>
      <c r="BM23" s="33"/>
      <c r="BN23" s="33"/>
      <c r="BO23" s="33"/>
      <c r="BP23" s="33"/>
      <c r="BQ23" s="33"/>
      <c r="BR23" s="33"/>
      <c r="BS23" s="33"/>
      <c r="BT23" s="33"/>
      <c r="BU23" s="33"/>
      <c r="BV23" s="33"/>
      <c r="BW23" s="33"/>
      <c r="BX23" s="33"/>
      <c r="BY23" s="33"/>
      <c r="BZ23" s="33"/>
      <c r="CA23" s="33"/>
      <c r="CB23" s="33"/>
      <c r="CC23" s="33"/>
      <c r="CD23" s="33"/>
      <c r="CE23" s="33"/>
      <c r="CF23" s="33"/>
      <c r="CG23" s="33"/>
      <c r="CH23" s="33"/>
      <c r="CI23" s="33"/>
      <c r="CJ23" s="33"/>
      <c r="CK23" s="33"/>
      <c r="CL23" s="33"/>
      <c r="CM23" s="33"/>
      <c r="CN23" s="33"/>
      <c r="CO23" s="33"/>
      <c r="CP23" s="33"/>
      <c r="CQ23" s="33"/>
      <c r="CR23" s="33"/>
      <c r="CS23" s="33"/>
      <c r="CT23" s="33"/>
      <c r="CU23" s="33"/>
      <c r="CV23" s="33"/>
      <c r="CW23" s="33"/>
      <c r="CX23" s="33"/>
      <c r="CY23" s="33"/>
      <c r="CZ23" s="33"/>
      <c r="DA23" s="33"/>
      <c r="DB23" s="33"/>
      <c r="DC23" s="33"/>
      <c r="DD23" s="33"/>
      <c r="DE23" s="33"/>
      <c r="DF23" s="33"/>
      <c r="DG23" s="33"/>
      <c r="DH23" s="33"/>
      <c r="DI23" s="33"/>
      <c r="DJ23" s="33"/>
      <c r="DK23" s="33"/>
      <c r="DL23" s="33"/>
      <c r="DM23" s="33"/>
      <c r="DN23" s="33"/>
      <c r="DO23" s="33"/>
      <c r="DP23" s="33"/>
      <c r="DQ23" s="33"/>
      <c r="DR23" s="33"/>
      <c r="DS23" s="33"/>
      <c r="DT23" s="33"/>
      <c r="DU23" s="33"/>
      <c r="DV23" s="33"/>
      <c r="DW23" s="33"/>
      <c r="DX23" s="33"/>
      <c r="DY23" s="33"/>
      <c r="DZ23" s="33"/>
      <c r="EA23" s="33"/>
      <c r="EB23" s="33"/>
      <c r="EC23" s="33"/>
      <c r="ED23" s="33"/>
      <c r="EE23" s="33"/>
      <c r="EF23" s="33"/>
      <c r="EG23" s="33"/>
      <c r="EH23" s="33"/>
      <c r="EI23" s="33"/>
      <c r="EJ23" s="33"/>
      <c r="EK23" s="33"/>
      <c r="EL23" s="33"/>
      <c r="EM23" s="33"/>
      <c r="EN23" s="33"/>
      <c r="EO23" s="33"/>
      <c r="EP23" s="33"/>
      <c r="EQ23" s="33"/>
      <c r="ER23" s="33"/>
      <c r="ES23" s="33"/>
      <c r="ET23" s="33"/>
      <c r="EU23" s="33"/>
      <c r="EV23" s="33"/>
      <c r="EW23" s="33"/>
      <c r="EX23" s="33"/>
      <c r="EY23" s="33"/>
      <c r="EZ23" s="33"/>
      <c r="FA23" s="33"/>
      <c r="FB23" s="33"/>
      <c r="FC23" s="33"/>
      <c r="FD23" s="33"/>
      <c r="FE23" s="33"/>
      <c r="FF23" s="33"/>
      <c r="FG23" s="33"/>
      <c r="FH23" s="33"/>
      <c r="FI23" s="33"/>
      <c r="FJ23" s="33"/>
      <c r="FK23" s="33"/>
      <c r="FL23" s="33"/>
      <c r="FM23" s="33"/>
    </row>
    <row r="24" spans="2:169" ht="19.5" customHeight="1">
      <c r="B24" s="12">
        <v>6</v>
      </c>
      <c r="C24" s="604">
        <f t="shared" si="20"/>
        <v>0</v>
      </c>
      <c r="D24" s="26" t="s">
        <v>1793</v>
      </c>
      <c r="E24" s="702">
        <f t="shared" ca="1" si="18"/>
        <v>0</v>
      </c>
      <c r="F24" s="701">
        <f t="shared" ca="1" si="19"/>
        <v>0</v>
      </c>
      <c r="G24" s="605" t="str">
        <f t="shared" si="21"/>
        <v/>
      </c>
      <c r="H24" s="1294"/>
      <c r="I24" s="701"/>
      <c r="J24" s="26">
        <v>12</v>
      </c>
      <c r="K24" s="918">
        <f ca="1">IF(OR('Tssco-bond portfolio(2)'!H18=TRUE,'Tssco-bond portfolio(2)'!S18=FALSE),0,'Tssco-bond portfolio(2)'!I18)</f>
        <v>0</v>
      </c>
      <c r="L24" s="1517" t="str">
        <f ca="1">IF(K24=0,"",'Tssco-bond portfolio(2)'!W18)</f>
        <v/>
      </c>
      <c r="M24" s="566">
        <f ca="1">IF(K24=0,0,'Tssco-bond portfolio(2)'!CI18)</f>
        <v>0</v>
      </c>
      <c r="N24" s="1546">
        <f ca="1">IF(K24=0,0,'Tssco-bond portfolio(2)'!X18)</f>
        <v>0</v>
      </c>
      <c r="O24" s="1546">
        <f ca="1">IF(K24=0,0,'Tssco-bond portfolio(2)'!Y18)</f>
        <v>0</v>
      </c>
      <c r="P24" s="1546">
        <f ca="1">IF(K24=0,0,'Tssco-bond portfolio(2)'!BV18)</f>
        <v>0</v>
      </c>
      <c r="Q24" s="1546">
        <f ca="1">IF(K24=0,0,'Tssco-bond portfolio(2)'!BW18)</f>
        <v>0</v>
      </c>
      <c r="S24" s="428">
        <f t="shared" ca="1" si="11"/>
        <v>0</v>
      </c>
      <c r="T24" s="430">
        <f ca="1">IFERROR(VLOOKUP(投組換券表[[#This Row],[商品代號]],bond!B:J,9,FALSE)+VLOOKUP(投組換券表[[#This Row],[商品代號]],bond!B:N,13,FALSE),0)</f>
        <v>0</v>
      </c>
      <c r="U24" s="430">
        <f ca="1">IFERROR(VLOOKUP(投組換券表[[#This Row],[商品代號]],'銀行-TSS'!B:K,10,FALSE),0)</f>
        <v>0</v>
      </c>
      <c r="V24" s="431">
        <f ca="1">IFERROR(VLOOKUP($S24,'銀行-TSS'!B:G,6,FALSE),0)</f>
        <v>0</v>
      </c>
      <c r="W24" s="432" t="e">
        <f ca="1">IFERROR(DATEVALUE(VLOOKUP($S24,'銀行-TSS'!B:F,5,FALSE)),VLOOKUP($S24,'銀行-TSS'!B:F,5,FALSE))</f>
        <v>#N/A</v>
      </c>
      <c r="X24" s="433">
        <f ca="1">IFERROR(VLOOKUP($S24,'銀行-TSS'!B:H,7,FALSE),0)</f>
        <v>0</v>
      </c>
      <c r="Y24" s="434" t="str">
        <f ca="1">IFERROR(VLOOKUP($S24,'銀行-TSS'!B:I,8,FALSE),"")</f>
        <v/>
      </c>
      <c r="Z24" s="440" t="str">
        <f ca="1">_xlfn.IFNA(IFERROR(DATEVALUE(VLOOKUP($S24,'銀行-TSS'!B:P,15,FALSE)),VLOOKUP($S24,'銀行-TSS'!B:P,15,FALSE)),"")</f>
        <v/>
      </c>
      <c r="AA24" s="570" t="b">
        <f t="shared" ca="1" si="5"/>
        <v>0</v>
      </c>
      <c r="AB24" s="782" t="e">
        <f ca="1">DATEVALUE(VLOOKUP(S24,bond!B:I,7,FALSE))</f>
        <v>#N/A</v>
      </c>
      <c r="AC24" s="783">
        <f ca="1">IF(投組換券表[[#This Row],[檢測]]=TRUE,L24,0)</f>
        <v>0</v>
      </c>
      <c r="AD24" s="783">
        <f t="shared" ca="1" si="12"/>
        <v>0</v>
      </c>
      <c r="AE24" s="462" t="str">
        <f ca="1">IFERROR(VLOOKUP(投組換券表[[#This Row],[商品代號]],bond!B:AA,26,FALSE),"")</f>
        <v/>
      </c>
      <c r="AF24" s="1" t="str">
        <f ca="1">IFERROR(VLOOKUP($S24,'銀行-TSS'!B:Q,16,FALSE),"")</f>
        <v/>
      </c>
      <c r="AG24" s="479" t="str">
        <f ca="1">IFERROR(VLOOKUP($S24,'銀行-TSS'!B:C,2,FALSE),"")</f>
        <v/>
      </c>
      <c r="AH24" s="479" t="e">
        <f ca="1">VLOOKUP(投組換券表[[#This Row],[幣別]],$B$37:$C$43,2,FALSE)</f>
        <v>#N/A</v>
      </c>
      <c r="AI24" s="500" t="e">
        <f ca="1">CHOOSE(投組換券表[[#This Row],[對應編碼]],$D$37,$D$38,$D$39,$D$40,$D$41,$D$42,$D$43)</f>
        <v>#N/A</v>
      </c>
      <c r="AJ24" s="500">
        <f ca="1">IF(K24=0,0,CHOOSE(投組換券表[[#This Row],[對應編碼]],$E$37,$E$38,$E$39,$E$40,$E$41,$E$42,$E$43))</f>
        <v>0</v>
      </c>
      <c r="AK24" s="1520">
        <f ca="1">IFERROR(投組換券表[[#This Row],[投入面額]]*投組換券表[[#This Row],[換算匯率(現)]],0)</f>
        <v>0</v>
      </c>
      <c r="AL24" s="574">
        <f t="shared" ca="1" si="13"/>
        <v>0</v>
      </c>
      <c r="AM24" s="735">
        <f ca="1">IFERROR(VLOOKUP(投組換券表[[#This Row],[商品代號]],bond!B:X,21,FALSE),0)</f>
        <v>0</v>
      </c>
      <c r="AN24" s="735">
        <f ca="1">IFERROR(VLOOKUP(投組換券表[[#This Row],[商品代號]],bond!B:J,9,FALSE),0)</f>
        <v>0</v>
      </c>
      <c r="AO24" s="1298">
        <f ca="1">IFERROR(IF(K24=0,0,投組換券表[[#This Row],[clean申購價]]/100*投組換券表[[#This Row],[投入面額]]*投組換券表[[#This Row],[MOD]]*1%),0)</f>
        <v>0</v>
      </c>
      <c r="AP24" s="1084">
        <f ca="1">IFERROR(VLOOKUP(投組換券表[[#This Row],[商品代號]],'銀行-TSS'!B:N,13,FALSE),0)</f>
        <v>0</v>
      </c>
      <c r="AQ24" s="1084">
        <f ca="1">IFERROR(VLOOKUP(投組換券表[[#This Row],[商品代號]],'銀行-TSS'!B:O,14,FALSE),0)</f>
        <v>0</v>
      </c>
      <c r="AR24" s="1200">
        <f ca="1">IFERROR(IF(K24=0,0,投組換券表[[#This Row],[票面利率]]*投組換券表[[#This Row],[投入面額]]),0)</f>
        <v>0</v>
      </c>
      <c r="AS24" s="1188" t="e">
        <f ca="1">VLOOKUP(K24,'銀行-TSS'!B:AK,36,FALSE)</f>
        <v>#N/A</v>
      </c>
      <c r="AT24" s="434" t="e">
        <f t="shared" ca="1" si="14"/>
        <v>#VALUE!</v>
      </c>
      <c r="AU24" s="434" t="e">
        <f t="shared" ca="1" si="15"/>
        <v>#VALUE!</v>
      </c>
      <c r="AV24" s="434">
        <f t="shared" ca="1" si="16"/>
        <v>0</v>
      </c>
      <c r="AW24" s="434">
        <f t="shared" ca="1" si="17"/>
        <v>0</v>
      </c>
      <c r="AX24"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4"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4"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4"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4"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4"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4"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4"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4"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4"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4"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4"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4"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24" s="33"/>
      <c r="BL24" s="33"/>
      <c r="BM24" s="33"/>
      <c r="BN24" s="33"/>
      <c r="BO24" s="33"/>
      <c r="BP24" s="33"/>
      <c r="BQ24" s="33"/>
      <c r="BR24" s="33"/>
      <c r="BS24" s="33"/>
      <c r="BT24" s="33"/>
      <c r="BU24" s="33"/>
      <c r="BV24" s="33"/>
      <c r="BW24" s="33"/>
      <c r="BX24" s="33"/>
      <c r="BY24" s="33"/>
      <c r="BZ24" s="33"/>
      <c r="CA24" s="33"/>
      <c r="CB24" s="33"/>
      <c r="CC24" s="33"/>
      <c r="CD24" s="33"/>
      <c r="CE24" s="33"/>
      <c r="CF24" s="33"/>
      <c r="CG24" s="33"/>
      <c r="CH24" s="33"/>
      <c r="CI24" s="33"/>
      <c r="CJ24" s="33"/>
      <c r="CK24" s="33"/>
      <c r="CL24" s="33"/>
      <c r="CM24" s="33"/>
      <c r="CN24" s="33"/>
      <c r="CO24" s="33"/>
      <c r="CP24" s="33"/>
      <c r="CQ24" s="33"/>
      <c r="CR24" s="33"/>
      <c r="CS24" s="33"/>
      <c r="CT24" s="33"/>
      <c r="CU24" s="33"/>
      <c r="CV24" s="33"/>
      <c r="CW24" s="33"/>
      <c r="CX24" s="33"/>
      <c r="CY24" s="33"/>
      <c r="CZ24" s="33"/>
      <c r="DA24" s="33"/>
      <c r="DB24" s="33"/>
      <c r="DC24" s="33"/>
      <c r="DD24" s="33"/>
      <c r="DE24" s="33"/>
      <c r="DF24" s="33"/>
      <c r="DG24" s="33"/>
      <c r="DH24" s="33"/>
      <c r="DI24" s="33"/>
      <c r="DJ24" s="33"/>
      <c r="DK24" s="33"/>
      <c r="DL24" s="33"/>
      <c r="DM24" s="33"/>
      <c r="DN24" s="33"/>
      <c r="DO24" s="33"/>
      <c r="DP24" s="33"/>
      <c r="DQ24" s="33"/>
      <c r="DR24" s="33"/>
      <c r="DS24" s="33"/>
      <c r="DT24" s="33"/>
      <c r="DU24" s="33"/>
      <c r="DV24" s="33"/>
      <c r="DW24" s="33"/>
      <c r="DX24" s="33"/>
      <c r="DY24" s="33"/>
      <c r="DZ24" s="33"/>
      <c r="EA24" s="33"/>
      <c r="EB24" s="33"/>
      <c r="EC24" s="33"/>
      <c r="ED24" s="33"/>
      <c r="EE24" s="33"/>
      <c r="EF24" s="33"/>
      <c r="EG24" s="33"/>
      <c r="EH24" s="33"/>
      <c r="EI24" s="33"/>
      <c r="EJ24" s="33"/>
      <c r="EK24" s="33"/>
      <c r="EL24" s="33"/>
      <c r="EM24" s="33"/>
      <c r="EN24" s="33"/>
      <c r="EO24" s="33"/>
      <c r="EP24" s="33"/>
      <c r="EQ24" s="33"/>
      <c r="ER24" s="33"/>
      <c r="ES24" s="33"/>
      <c r="ET24" s="33"/>
      <c r="EU24" s="33"/>
      <c r="EV24" s="33"/>
      <c r="EW24" s="33"/>
      <c r="EX24" s="33"/>
      <c r="EY24" s="33"/>
      <c r="EZ24" s="33"/>
      <c r="FA24" s="33"/>
      <c r="FB24" s="33"/>
      <c r="FC24" s="33"/>
      <c r="FD24" s="33"/>
      <c r="FE24" s="33"/>
      <c r="FF24" s="33"/>
      <c r="FG24" s="33"/>
      <c r="FH24" s="33"/>
      <c r="FI24" s="33"/>
      <c r="FJ24" s="33"/>
      <c r="FK24" s="33"/>
      <c r="FL24" s="33"/>
      <c r="FM24" s="33"/>
    </row>
    <row r="25" spans="2:169" ht="19.5" customHeight="1">
      <c r="B25" s="12">
        <v>7</v>
      </c>
      <c r="C25" s="604">
        <f t="shared" si="20"/>
        <v>0</v>
      </c>
      <c r="D25" s="26" t="s">
        <v>1794</v>
      </c>
      <c r="E25" s="702">
        <f t="shared" ca="1" si="18"/>
        <v>0</v>
      </c>
      <c r="F25" s="701">
        <f t="shared" ca="1" si="19"/>
        <v>0</v>
      </c>
      <c r="G25" s="605" t="str">
        <f t="shared" si="21"/>
        <v/>
      </c>
      <c r="H25" s="1294"/>
      <c r="I25" s="701"/>
      <c r="J25" s="26">
        <v>13</v>
      </c>
      <c r="K25" s="918">
        <f ca="1">IF(OR('Tssco-bond portfolio(2)'!H19=TRUE,'Tssco-bond portfolio(2)'!S19=FALSE),0,'Tssco-bond portfolio(2)'!I19)</f>
        <v>0</v>
      </c>
      <c r="L25" s="1517" t="str">
        <f ca="1">IF(K25=0,"",'Tssco-bond portfolio(2)'!W19)</f>
        <v/>
      </c>
      <c r="M25" s="566">
        <f ca="1">IF(K25=0,0,'Tssco-bond portfolio(2)'!CI19)</f>
        <v>0</v>
      </c>
      <c r="N25" s="1546">
        <f ca="1">IF(K25=0,0,'Tssco-bond portfolio(2)'!X19)</f>
        <v>0</v>
      </c>
      <c r="O25" s="1546">
        <f ca="1">IF(K25=0,0,'Tssco-bond portfolio(2)'!Y19)</f>
        <v>0</v>
      </c>
      <c r="P25" s="1546">
        <f ca="1">IF(K25=0,0,'Tssco-bond portfolio(2)'!BV19)</f>
        <v>0</v>
      </c>
      <c r="Q25" s="1546">
        <f ca="1">IF(K25=0,0,'Tssco-bond portfolio(2)'!BW19)</f>
        <v>0</v>
      </c>
      <c r="S25" s="428">
        <f t="shared" ca="1" si="11"/>
        <v>0</v>
      </c>
      <c r="T25" s="430">
        <f ca="1">IFERROR(VLOOKUP(投組換券表[[#This Row],[商品代號]],bond!B:J,9,FALSE)+VLOOKUP(投組換券表[[#This Row],[商品代號]],bond!B:N,13,FALSE),0)</f>
        <v>0</v>
      </c>
      <c r="U25" s="430">
        <f ca="1">IFERROR(VLOOKUP(投組換券表[[#This Row],[商品代號]],'銀行-TSS'!B:K,10,FALSE),0)</f>
        <v>0</v>
      </c>
      <c r="V25" s="431">
        <f ca="1">IFERROR(VLOOKUP($S25,'銀行-TSS'!B:G,6,FALSE),0)</f>
        <v>0</v>
      </c>
      <c r="W25" s="432" t="e">
        <f ca="1">IFERROR(DATEVALUE(VLOOKUP($S25,'銀行-TSS'!B:F,5,FALSE)),VLOOKUP($S25,'銀行-TSS'!B:F,5,FALSE))</f>
        <v>#N/A</v>
      </c>
      <c r="X25" s="433">
        <f ca="1">IFERROR(VLOOKUP($S25,'銀行-TSS'!B:H,7,FALSE),0)</f>
        <v>0</v>
      </c>
      <c r="Y25" s="434" t="str">
        <f ca="1">IFERROR(VLOOKUP($S25,'銀行-TSS'!B:I,8,FALSE),"")</f>
        <v/>
      </c>
      <c r="Z25" s="440" t="str">
        <f ca="1">_xlfn.IFNA(IFERROR(DATEVALUE(VLOOKUP($S25,'銀行-TSS'!B:P,15,FALSE)),VLOOKUP($S25,'銀行-TSS'!B:P,15,FALSE)),"")</f>
        <v/>
      </c>
      <c r="AA25" s="570" t="b">
        <f t="shared" ca="1" si="5"/>
        <v>0</v>
      </c>
      <c r="AB25" s="782" t="e">
        <f ca="1">DATEVALUE(VLOOKUP(S25,bond!B:I,7,FALSE))</f>
        <v>#N/A</v>
      </c>
      <c r="AC25" s="783">
        <f ca="1">IF(投組換券表[[#This Row],[檢測]]=TRUE,L25,0)</f>
        <v>0</v>
      </c>
      <c r="AD25" s="783">
        <f t="shared" ca="1" si="12"/>
        <v>0</v>
      </c>
      <c r="AE25" s="462" t="str">
        <f ca="1">IFERROR(VLOOKUP(投組換券表[[#This Row],[商品代號]],bond!B:AA,26,FALSE),"")</f>
        <v/>
      </c>
      <c r="AF25" s="1" t="str">
        <f ca="1">IFERROR(VLOOKUP($S25,'銀行-TSS'!B:Q,16,FALSE),"")</f>
        <v/>
      </c>
      <c r="AG25" s="479" t="str">
        <f ca="1">IFERROR(VLOOKUP($S25,'銀行-TSS'!B:C,2,FALSE),"")</f>
        <v/>
      </c>
      <c r="AH25" s="479" t="e">
        <f ca="1">VLOOKUP(投組換券表[[#This Row],[幣別]],$B$37:$C$43,2,FALSE)</f>
        <v>#N/A</v>
      </c>
      <c r="AI25" s="500" t="e">
        <f ca="1">CHOOSE(投組換券表[[#This Row],[對應編碼]],$D$37,$D$38,$D$39,$D$40,$D$41,$D$42,$D$43)</f>
        <v>#N/A</v>
      </c>
      <c r="AJ25" s="500">
        <f ca="1">IF(K25=0,0,CHOOSE(投組換券表[[#This Row],[對應編碼]],$E$37,$E$38,$E$39,$E$40,$E$41,$E$42,$E$43))</f>
        <v>0</v>
      </c>
      <c r="AK25" s="1520">
        <f ca="1">IFERROR(投組換券表[[#This Row],[投入面額]]*投組換券表[[#This Row],[換算匯率(現)]],0)</f>
        <v>0</v>
      </c>
      <c r="AL25" s="574">
        <f t="shared" ca="1" si="13"/>
        <v>0</v>
      </c>
      <c r="AM25" s="735">
        <f ca="1">IFERROR(VLOOKUP(投組換券表[[#This Row],[商品代號]],bond!B:X,21,FALSE),0)</f>
        <v>0</v>
      </c>
      <c r="AN25" s="735">
        <f ca="1">IFERROR(VLOOKUP(投組換券表[[#This Row],[商品代號]],bond!B:J,9,FALSE),0)</f>
        <v>0</v>
      </c>
      <c r="AO25" s="1298">
        <f ca="1">IFERROR(IF(K25=0,0,投組換券表[[#This Row],[clean申購價]]/100*投組換券表[[#This Row],[投入面額]]*投組換券表[[#This Row],[MOD]]*1%),0)</f>
        <v>0</v>
      </c>
      <c r="AP25" s="1084">
        <f ca="1">IFERROR(VLOOKUP(投組換券表[[#This Row],[商品代號]],'銀行-TSS'!B:N,13,FALSE),0)</f>
        <v>0</v>
      </c>
      <c r="AQ25" s="1084">
        <f ca="1">IFERROR(VLOOKUP(投組換券表[[#This Row],[商品代號]],'銀行-TSS'!B:O,14,FALSE),0)</f>
        <v>0</v>
      </c>
      <c r="AR25" s="1200">
        <f ca="1">IFERROR(IF(K25=0,0,投組換券表[[#This Row],[票面利率]]*投組換券表[[#This Row],[投入面額]]),0)</f>
        <v>0</v>
      </c>
      <c r="AS25" s="1188" t="e">
        <f ca="1">VLOOKUP(K25,'銀行-TSS'!B:AK,36,FALSE)</f>
        <v>#N/A</v>
      </c>
      <c r="AT25" s="434" t="e">
        <f t="shared" ca="1" si="14"/>
        <v>#VALUE!</v>
      </c>
      <c r="AU25" s="434" t="e">
        <f t="shared" ca="1" si="15"/>
        <v>#VALUE!</v>
      </c>
      <c r="AV25" s="434">
        <f t="shared" ca="1" si="16"/>
        <v>0</v>
      </c>
      <c r="AW25" s="434">
        <f t="shared" ca="1" si="17"/>
        <v>0</v>
      </c>
      <c r="AX25"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5"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5"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5"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5"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5"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5"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5"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5"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5"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5"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5"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5"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c r="BK25" s="33"/>
      <c r="BL25" s="33"/>
      <c r="BM25" s="33"/>
      <c r="BN25" s="33"/>
      <c r="BO25" s="33"/>
      <c r="BP25" s="33"/>
      <c r="BQ25" s="33"/>
      <c r="BR25" s="33"/>
      <c r="BS25" s="33"/>
      <c r="BT25" s="33"/>
      <c r="BU25" s="33"/>
      <c r="BV25" s="33"/>
      <c r="BW25" s="33"/>
      <c r="BX25" s="33"/>
      <c r="BY25" s="33"/>
      <c r="BZ25" s="33"/>
      <c r="CA25" s="33"/>
      <c r="CB25" s="33"/>
      <c r="CC25" s="33"/>
      <c r="CD25" s="33"/>
      <c r="CE25" s="33"/>
      <c r="CF25" s="33"/>
      <c r="CG25" s="33"/>
      <c r="CH25" s="33"/>
      <c r="CI25" s="33"/>
      <c r="CJ25" s="33"/>
      <c r="CK25" s="33"/>
      <c r="CL25" s="33"/>
      <c r="CM25" s="33"/>
      <c r="CN25" s="33"/>
      <c r="CO25" s="33"/>
      <c r="CP25" s="33"/>
      <c r="CQ25" s="33"/>
      <c r="CR25" s="33"/>
      <c r="CS25" s="33"/>
      <c r="CT25" s="33"/>
      <c r="CU25" s="33"/>
      <c r="CV25" s="33"/>
      <c r="CW25" s="33"/>
      <c r="CX25" s="33"/>
      <c r="CY25" s="33"/>
      <c r="CZ25" s="33"/>
      <c r="DA25" s="33"/>
      <c r="DB25" s="33"/>
      <c r="DC25" s="33"/>
      <c r="DD25" s="33"/>
      <c r="DE25" s="33"/>
      <c r="DF25" s="33"/>
      <c r="DG25" s="33"/>
      <c r="DH25" s="33"/>
      <c r="DI25" s="33"/>
      <c r="DJ25" s="33"/>
      <c r="DK25" s="33"/>
      <c r="DL25" s="33"/>
      <c r="DM25" s="33"/>
      <c r="DN25" s="33"/>
      <c r="DO25" s="33"/>
      <c r="DP25" s="33"/>
      <c r="DQ25" s="33"/>
      <c r="DR25" s="33"/>
      <c r="DS25" s="33"/>
      <c r="DT25" s="33"/>
      <c r="DU25" s="33"/>
      <c r="DV25" s="33"/>
      <c r="DW25" s="33"/>
      <c r="DX25" s="33"/>
      <c r="DY25" s="33"/>
      <c r="DZ25" s="33"/>
      <c r="EA25" s="33"/>
      <c r="EB25" s="33"/>
      <c r="EC25" s="33"/>
      <c r="ED25" s="33"/>
      <c r="EE25" s="33"/>
      <c r="EF25" s="33"/>
      <c r="EG25" s="33"/>
      <c r="EH25" s="33"/>
      <c r="EI25" s="33"/>
      <c r="EJ25" s="33"/>
      <c r="EK25" s="33"/>
      <c r="EL25" s="33"/>
      <c r="EM25" s="33"/>
      <c r="EN25" s="33"/>
      <c r="EO25" s="33"/>
      <c r="EP25" s="33"/>
      <c r="EQ25" s="33"/>
      <c r="ER25" s="33"/>
      <c r="ES25" s="33"/>
      <c r="ET25" s="33"/>
      <c r="EU25" s="33"/>
      <c r="EV25" s="33"/>
      <c r="EW25" s="33"/>
      <c r="EX25" s="33"/>
      <c r="EY25" s="33"/>
      <c r="EZ25" s="33"/>
      <c r="FA25" s="33"/>
      <c r="FB25" s="33"/>
      <c r="FC25" s="33"/>
      <c r="FD25" s="33"/>
      <c r="FE25" s="33"/>
      <c r="FF25" s="33"/>
      <c r="FG25" s="33"/>
      <c r="FH25" s="33"/>
      <c r="FI25" s="33"/>
      <c r="FJ25" s="33"/>
      <c r="FK25" s="33"/>
      <c r="FL25" s="33"/>
      <c r="FM25" s="33"/>
    </row>
    <row r="26" spans="2:169" ht="19.5" customHeight="1">
      <c r="B26" s="12">
        <v>8</v>
      </c>
      <c r="C26" s="604">
        <f t="shared" si="20"/>
        <v>0</v>
      </c>
      <c r="D26" s="26" t="s">
        <v>1795</v>
      </c>
      <c r="E26" s="702">
        <f t="shared" ca="1" si="18"/>
        <v>0</v>
      </c>
      <c r="F26" s="701">
        <f t="shared" ca="1" si="19"/>
        <v>0</v>
      </c>
      <c r="G26" s="605" t="str">
        <f t="shared" si="21"/>
        <v/>
      </c>
      <c r="H26" s="1294"/>
      <c r="I26" s="701"/>
      <c r="J26" s="26">
        <v>14</v>
      </c>
      <c r="K26" s="918">
        <f ca="1">IF(OR('Tssco-bond portfolio(2)'!H20=TRUE,'Tssco-bond portfolio(2)'!S20=FALSE),0,'Tssco-bond portfolio(2)'!I20)</f>
        <v>0</v>
      </c>
      <c r="L26" s="1517" t="str">
        <f ca="1">IF(K26=0,"",'Tssco-bond portfolio(2)'!W20)</f>
        <v/>
      </c>
      <c r="M26" s="566">
        <f ca="1">IF(K26=0,0,'Tssco-bond portfolio(2)'!CI20)</f>
        <v>0</v>
      </c>
      <c r="N26" s="1546">
        <f ca="1">IF(K26=0,0,'Tssco-bond portfolio(2)'!X20)</f>
        <v>0</v>
      </c>
      <c r="O26" s="1546">
        <f ca="1">IF(K26=0,0,'Tssco-bond portfolio(2)'!Y20)</f>
        <v>0</v>
      </c>
      <c r="P26" s="1546">
        <f ca="1">IF(K26=0,0,'Tssco-bond portfolio(2)'!BV20)</f>
        <v>0</v>
      </c>
      <c r="Q26" s="1546">
        <f ca="1">IF(K26=0,0,'Tssco-bond portfolio(2)'!BW20)</f>
        <v>0</v>
      </c>
      <c r="S26" s="428">
        <f t="shared" ca="1" si="11"/>
        <v>0</v>
      </c>
      <c r="T26" s="430">
        <f ca="1">IFERROR(VLOOKUP(投組換券表[[#This Row],[商品代號]],bond!B:J,9,FALSE)+VLOOKUP(投組換券表[[#This Row],[商品代號]],bond!B:N,13,FALSE),0)</f>
        <v>0</v>
      </c>
      <c r="U26" s="430">
        <f ca="1">IFERROR(VLOOKUP(投組換券表[[#This Row],[商品代號]],'銀行-TSS'!B:K,10,FALSE),0)</f>
        <v>0</v>
      </c>
      <c r="V26" s="431">
        <f ca="1">IFERROR(VLOOKUP($S26,'銀行-TSS'!B:G,6,FALSE),0)</f>
        <v>0</v>
      </c>
      <c r="W26" s="432" t="e">
        <f ca="1">IFERROR(DATEVALUE(VLOOKUP($S26,'銀行-TSS'!B:F,5,FALSE)),VLOOKUP($S26,'銀行-TSS'!B:F,5,FALSE))</f>
        <v>#N/A</v>
      </c>
      <c r="X26" s="433">
        <f ca="1">IFERROR(VLOOKUP($S26,'銀行-TSS'!B:H,7,FALSE),0)</f>
        <v>0</v>
      </c>
      <c r="Y26" s="434" t="str">
        <f ca="1">IFERROR(VLOOKUP($S26,'銀行-TSS'!B:I,8,FALSE),"")</f>
        <v/>
      </c>
      <c r="Z26" s="440" t="str">
        <f ca="1">_xlfn.IFNA(IFERROR(DATEVALUE(VLOOKUP($S26,'銀行-TSS'!B:P,15,FALSE)),VLOOKUP($S26,'銀行-TSS'!B:P,15,FALSE)),"")</f>
        <v/>
      </c>
      <c r="AA26" s="570" t="b">
        <f t="shared" ca="1" si="5"/>
        <v>0</v>
      </c>
      <c r="AB26" s="782" t="e">
        <f ca="1">DATEVALUE(VLOOKUP(S26,bond!B:I,7,FALSE))</f>
        <v>#N/A</v>
      </c>
      <c r="AC26" s="783">
        <f ca="1">IF(投組換券表[[#This Row],[檢測]]=TRUE,L26,0)</f>
        <v>0</v>
      </c>
      <c r="AD26" s="783">
        <f t="shared" ca="1" si="12"/>
        <v>0</v>
      </c>
      <c r="AE26" s="462" t="str">
        <f ca="1">IFERROR(VLOOKUP(投組換券表[[#This Row],[商品代號]],bond!B:AA,26,FALSE),"")</f>
        <v/>
      </c>
      <c r="AF26" s="1" t="str">
        <f ca="1">IFERROR(VLOOKUP($S26,'銀行-TSS'!B:Q,16,FALSE),"")</f>
        <v/>
      </c>
      <c r="AG26" s="479" t="str">
        <f ca="1">IFERROR(VLOOKUP($S26,'銀行-TSS'!B:C,2,FALSE),"")</f>
        <v/>
      </c>
      <c r="AH26" s="479" t="e">
        <f ca="1">VLOOKUP(投組換券表[[#This Row],[幣別]],$B$37:$C$43,2,FALSE)</f>
        <v>#N/A</v>
      </c>
      <c r="AI26" s="500" t="e">
        <f ca="1">CHOOSE(投組換券表[[#This Row],[對應編碼]],$D$37,$D$38,$D$39,$D$40,$D$41,$D$42,$D$43)</f>
        <v>#N/A</v>
      </c>
      <c r="AJ26" s="500">
        <f ca="1">IF(K26=0,0,CHOOSE(投組換券表[[#This Row],[對應編碼]],$E$37,$E$38,$E$39,$E$40,$E$41,$E$42,$E$43))</f>
        <v>0</v>
      </c>
      <c r="AK26" s="1520">
        <f ca="1">IFERROR(投組換券表[[#This Row],[投入面額]]*投組換券表[[#This Row],[換算匯率(現)]],0)</f>
        <v>0</v>
      </c>
      <c r="AL26" s="574">
        <f t="shared" ca="1" si="13"/>
        <v>0</v>
      </c>
      <c r="AM26" s="735">
        <f ca="1">IFERROR(VLOOKUP(投組換券表[[#This Row],[商品代號]],bond!B:X,21,FALSE),0)</f>
        <v>0</v>
      </c>
      <c r="AN26" s="735">
        <f ca="1">IFERROR(VLOOKUP(投組換券表[[#This Row],[商品代號]],bond!B:J,9,FALSE),0)</f>
        <v>0</v>
      </c>
      <c r="AO26" s="1298">
        <f ca="1">IFERROR(IF(K26=0,0,投組換券表[[#This Row],[clean申購價]]/100*投組換券表[[#This Row],[投入面額]]*投組換券表[[#This Row],[MOD]]*1%),0)</f>
        <v>0</v>
      </c>
      <c r="AP26" s="1084">
        <f ca="1">IFERROR(VLOOKUP(投組換券表[[#This Row],[商品代號]],'銀行-TSS'!B:N,13,FALSE),0)</f>
        <v>0</v>
      </c>
      <c r="AQ26" s="1084">
        <f ca="1">IFERROR(VLOOKUP(投組換券表[[#This Row],[商品代號]],'銀行-TSS'!B:O,14,FALSE),0)</f>
        <v>0</v>
      </c>
      <c r="AR26" s="1200">
        <f ca="1">IFERROR(IF(K26=0,0,投組換券表[[#This Row],[票面利率]]*投組換券表[[#This Row],[投入面額]]),0)</f>
        <v>0</v>
      </c>
      <c r="AS26" s="1188" t="e">
        <f ca="1">VLOOKUP(K26,'銀行-TSS'!B:AK,36,FALSE)</f>
        <v>#N/A</v>
      </c>
      <c r="AT26" s="434" t="e">
        <f t="shared" ca="1" si="14"/>
        <v>#VALUE!</v>
      </c>
      <c r="AU26" s="434" t="e">
        <f t="shared" ca="1" si="15"/>
        <v>#VALUE!</v>
      </c>
      <c r="AV26" s="434">
        <f t="shared" ca="1" si="16"/>
        <v>0</v>
      </c>
      <c r="AW26" s="434">
        <f t="shared" ca="1" si="17"/>
        <v>0</v>
      </c>
      <c r="AX26"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6"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6"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6"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6"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6"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6"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6"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6"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6"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6"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6"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6"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27" spans="2:169" ht="19.5" customHeight="1">
      <c r="B27" s="12">
        <v>9</v>
      </c>
      <c r="C27" s="604">
        <f t="shared" si="20"/>
        <v>0</v>
      </c>
      <c r="D27" s="26" t="s">
        <v>1796</v>
      </c>
      <c r="E27" s="702">
        <f t="shared" ca="1" si="18"/>
        <v>0</v>
      </c>
      <c r="F27" s="701">
        <f t="shared" ca="1" si="19"/>
        <v>0</v>
      </c>
      <c r="G27" s="605" t="str">
        <f t="shared" si="21"/>
        <v/>
      </c>
      <c r="H27" s="1294"/>
      <c r="I27" s="701"/>
      <c r="J27" s="26">
        <v>15</v>
      </c>
      <c r="K27" s="918">
        <f ca="1">IF(OR('Tssco-bond portfolio(2)'!H21=TRUE,'Tssco-bond portfolio(2)'!S21=FALSE),0,'Tssco-bond portfolio(2)'!I21)</f>
        <v>0</v>
      </c>
      <c r="L27" s="1517" t="str">
        <f ca="1">IF(K27=0,"",'Tssco-bond portfolio(2)'!W21)</f>
        <v/>
      </c>
      <c r="M27" s="566">
        <f ca="1">IF(K27=0,0,'Tssco-bond portfolio(2)'!CI21)</f>
        <v>0</v>
      </c>
      <c r="N27" s="1546">
        <f ca="1">IF(K27=0,0,'Tssco-bond portfolio(2)'!X21)</f>
        <v>0</v>
      </c>
      <c r="O27" s="1546">
        <f ca="1">IF(K27=0,0,'Tssco-bond portfolio(2)'!Y21)</f>
        <v>0</v>
      </c>
      <c r="P27" s="1546">
        <f ca="1">IF(K27=0,0,'Tssco-bond portfolio(2)'!BV21)</f>
        <v>0</v>
      </c>
      <c r="Q27" s="1546">
        <f ca="1">IF(K27=0,0,'Tssco-bond portfolio(2)'!BW21)</f>
        <v>0</v>
      </c>
      <c r="S27" s="428">
        <f t="shared" ca="1" si="11"/>
        <v>0</v>
      </c>
      <c r="T27" s="430">
        <f ca="1">IFERROR(VLOOKUP(投組換券表[[#This Row],[商品代號]],bond!B:J,9,FALSE)+VLOOKUP(投組換券表[[#This Row],[商品代號]],bond!B:N,13,FALSE),0)</f>
        <v>0</v>
      </c>
      <c r="U27" s="430">
        <f ca="1">IFERROR(VLOOKUP(投組換券表[[#This Row],[商品代號]],'銀行-TSS'!B:K,10,FALSE),0)</f>
        <v>0</v>
      </c>
      <c r="V27" s="431">
        <f ca="1">IFERROR(VLOOKUP($S27,'銀行-TSS'!B:G,6,FALSE),0)</f>
        <v>0</v>
      </c>
      <c r="W27" s="432" t="e">
        <f ca="1">IFERROR(DATEVALUE(VLOOKUP($S27,'銀行-TSS'!B:F,5,FALSE)),VLOOKUP($S27,'銀行-TSS'!B:F,5,FALSE))</f>
        <v>#N/A</v>
      </c>
      <c r="X27" s="433">
        <f ca="1">IFERROR(VLOOKUP($S27,'銀行-TSS'!B:H,7,FALSE),0)</f>
        <v>0</v>
      </c>
      <c r="Y27" s="434" t="str">
        <f ca="1">IFERROR(VLOOKUP($S27,'銀行-TSS'!B:I,8,FALSE),"")</f>
        <v/>
      </c>
      <c r="Z27" s="440" t="str">
        <f ca="1">_xlfn.IFNA(IFERROR(DATEVALUE(VLOOKUP($S27,'銀行-TSS'!B:P,15,FALSE)),VLOOKUP($S27,'銀行-TSS'!B:P,15,FALSE)),"")</f>
        <v/>
      </c>
      <c r="AA27" s="570" t="b">
        <f t="shared" ca="1" si="5"/>
        <v>0</v>
      </c>
      <c r="AB27" s="782" t="e">
        <f ca="1">DATEVALUE(VLOOKUP(S27,bond!B:I,7,FALSE))</f>
        <v>#N/A</v>
      </c>
      <c r="AC27" s="783">
        <f ca="1">IF(投組換券表[[#This Row],[檢測]]=TRUE,L27,0)</f>
        <v>0</v>
      </c>
      <c r="AD27" s="783">
        <f t="shared" ca="1" si="12"/>
        <v>0</v>
      </c>
      <c r="AE27" s="462" t="str">
        <f ca="1">IFERROR(VLOOKUP(投組換券表[[#This Row],[商品代號]],bond!B:AA,26,FALSE),"")</f>
        <v/>
      </c>
      <c r="AF27" s="1" t="str">
        <f ca="1">IFERROR(VLOOKUP($S27,'銀行-TSS'!B:Q,16,FALSE),"")</f>
        <v/>
      </c>
      <c r="AG27" s="479" t="str">
        <f ca="1">IFERROR(VLOOKUP($S27,'銀行-TSS'!B:C,2,FALSE),"")</f>
        <v/>
      </c>
      <c r="AH27" s="479" t="e">
        <f ca="1">VLOOKUP(投組換券表[[#This Row],[幣別]],$B$37:$C$43,2,FALSE)</f>
        <v>#N/A</v>
      </c>
      <c r="AI27" s="500" t="e">
        <f ca="1">CHOOSE(投組換券表[[#This Row],[對應編碼]],$D$37,$D$38,$D$39,$D$40,$D$41,$D$42,$D$43)</f>
        <v>#N/A</v>
      </c>
      <c r="AJ27" s="500">
        <f ca="1">IF(K27=0,0,CHOOSE(投組換券表[[#This Row],[對應編碼]],$E$37,$E$38,$E$39,$E$40,$E$41,$E$42,$E$43))</f>
        <v>0</v>
      </c>
      <c r="AK27" s="1520">
        <f ca="1">IFERROR(投組換券表[[#This Row],[投入面額]]*投組換券表[[#This Row],[換算匯率(現)]],0)</f>
        <v>0</v>
      </c>
      <c r="AL27" s="574">
        <f t="shared" ca="1" si="13"/>
        <v>0</v>
      </c>
      <c r="AM27" s="735">
        <f ca="1">IFERROR(VLOOKUP(投組換券表[[#This Row],[商品代號]],bond!B:X,21,FALSE),0)</f>
        <v>0</v>
      </c>
      <c r="AN27" s="735">
        <f ca="1">IFERROR(VLOOKUP(投組換券表[[#This Row],[商品代號]],bond!B:J,9,FALSE),0)</f>
        <v>0</v>
      </c>
      <c r="AO27" s="1298">
        <f ca="1">IFERROR(IF(K27=0,0,投組換券表[[#This Row],[clean申購價]]/100*投組換券表[[#This Row],[投入面額]]*投組換券表[[#This Row],[MOD]]*1%),0)</f>
        <v>0</v>
      </c>
      <c r="AP27" s="1084">
        <f ca="1">IFERROR(VLOOKUP(投組換券表[[#This Row],[商品代號]],'銀行-TSS'!B:N,13,FALSE),0)</f>
        <v>0</v>
      </c>
      <c r="AQ27" s="1084">
        <f ca="1">IFERROR(VLOOKUP(投組換券表[[#This Row],[商品代號]],'銀行-TSS'!B:O,14,FALSE),0)</f>
        <v>0</v>
      </c>
      <c r="AR27" s="1200">
        <f ca="1">IFERROR(IF(K27=0,0,投組換券表[[#This Row],[票面利率]]*投組換券表[[#This Row],[投入面額]]),0)</f>
        <v>0</v>
      </c>
      <c r="AS27" s="1188" t="e">
        <f ca="1">VLOOKUP(K27,'銀行-TSS'!B:AK,36,FALSE)</f>
        <v>#N/A</v>
      </c>
      <c r="AT27" s="434" t="e">
        <f t="shared" ca="1" si="14"/>
        <v>#VALUE!</v>
      </c>
      <c r="AU27" s="434" t="e">
        <f t="shared" ca="1" si="15"/>
        <v>#VALUE!</v>
      </c>
      <c r="AV27" s="434">
        <f t="shared" ca="1" si="16"/>
        <v>0</v>
      </c>
      <c r="AW27" s="434">
        <f t="shared" ca="1" si="17"/>
        <v>0</v>
      </c>
      <c r="AX27"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7"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7"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7"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7"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7"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7"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7"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7"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7"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7"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7"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7"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28" spans="2:169" ht="19.5" customHeight="1">
      <c r="B28" s="12">
        <v>10</v>
      </c>
      <c r="C28" s="604">
        <f t="shared" si="20"/>
        <v>0</v>
      </c>
      <c r="D28" s="26" t="s">
        <v>1797</v>
      </c>
      <c r="E28" s="702">
        <f t="shared" ca="1" si="18"/>
        <v>0</v>
      </c>
      <c r="F28" s="701">
        <f t="shared" ca="1" si="19"/>
        <v>0</v>
      </c>
      <c r="G28" s="605" t="str">
        <f t="shared" si="21"/>
        <v/>
      </c>
      <c r="H28" s="1294"/>
      <c r="I28" s="701"/>
      <c r="J28" s="26">
        <v>16</v>
      </c>
      <c r="K28" s="918">
        <f ca="1">IF(OR('Tssco-bond portfolio(2)'!H22=TRUE,'Tssco-bond portfolio(2)'!S22=FALSE),0,'Tssco-bond portfolio(2)'!I22)</f>
        <v>0</v>
      </c>
      <c r="L28" s="1517" t="str">
        <f ca="1">IF(K28=0,"",'Tssco-bond portfolio(2)'!W22)</f>
        <v/>
      </c>
      <c r="M28" s="566">
        <f ca="1">IF(K28=0,0,'Tssco-bond portfolio(2)'!CI22)</f>
        <v>0</v>
      </c>
      <c r="N28" s="1546">
        <f ca="1">IF(K28=0,0,'Tssco-bond portfolio(2)'!X22)</f>
        <v>0</v>
      </c>
      <c r="O28" s="1546">
        <f ca="1">IF(K28=0,0,'Tssco-bond portfolio(2)'!Y22)</f>
        <v>0</v>
      </c>
      <c r="P28" s="1546">
        <f ca="1">IF(K28=0,0,'Tssco-bond portfolio(2)'!BV22)</f>
        <v>0</v>
      </c>
      <c r="Q28" s="1546">
        <f ca="1">IF(K28=0,0,'Tssco-bond portfolio(2)'!BW22)</f>
        <v>0</v>
      </c>
      <c r="S28" s="428">
        <f t="shared" ca="1" si="11"/>
        <v>0</v>
      </c>
      <c r="T28" s="430">
        <f ca="1">IFERROR(VLOOKUP(投組換券表[[#This Row],[商品代號]],bond!B:J,9,FALSE)+VLOOKUP(投組換券表[[#This Row],[商品代號]],bond!B:N,13,FALSE),0)</f>
        <v>0</v>
      </c>
      <c r="U28" s="430">
        <f ca="1">IFERROR(VLOOKUP(投組換券表[[#This Row],[商品代號]],'銀行-TSS'!B:K,10,FALSE),0)</f>
        <v>0</v>
      </c>
      <c r="V28" s="431">
        <f ca="1">IFERROR(VLOOKUP($S28,'銀行-TSS'!B:G,6,FALSE),0)</f>
        <v>0</v>
      </c>
      <c r="W28" s="432" t="e">
        <f ca="1">IFERROR(DATEVALUE(VLOOKUP($S28,'銀行-TSS'!B:F,5,FALSE)),VLOOKUP($S28,'銀行-TSS'!B:F,5,FALSE))</f>
        <v>#N/A</v>
      </c>
      <c r="X28" s="433">
        <f ca="1">IFERROR(VLOOKUP($S28,'銀行-TSS'!B:H,7,FALSE),0)</f>
        <v>0</v>
      </c>
      <c r="Y28" s="434" t="str">
        <f ca="1">IFERROR(VLOOKUP($S28,'銀行-TSS'!B:I,8,FALSE),"")</f>
        <v/>
      </c>
      <c r="Z28" s="440" t="str">
        <f ca="1">_xlfn.IFNA(IFERROR(DATEVALUE(VLOOKUP($S28,'銀行-TSS'!B:P,15,FALSE)),VLOOKUP($S28,'銀行-TSS'!B:P,15,FALSE)),"")</f>
        <v/>
      </c>
      <c r="AA28" s="570" t="b">
        <f t="shared" ca="1" si="5"/>
        <v>0</v>
      </c>
      <c r="AB28" s="782" t="e">
        <f ca="1">DATEVALUE(VLOOKUP(S28,bond!B:I,7,FALSE))</f>
        <v>#N/A</v>
      </c>
      <c r="AC28" s="783">
        <f ca="1">IF(投組換券表[[#This Row],[檢測]]=TRUE,L28,0)</f>
        <v>0</v>
      </c>
      <c r="AD28" s="783">
        <f t="shared" ca="1" si="12"/>
        <v>0</v>
      </c>
      <c r="AE28" s="462" t="str">
        <f ca="1">IFERROR(VLOOKUP(投組換券表[[#This Row],[商品代號]],bond!B:AA,26,FALSE),"")</f>
        <v/>
      </c>
      <c r="AF28" s="1" t="str">
        <f ca="1">IFERROR(VLOOKUP($S28,'銀行-TSS'!B:Q,16,FALSE),"")</f>
        <v/>
      </c>
      <c r="AG28" s="479" t="str">
        <f ca="1">IFERROR(VLOOKUP($S28,'銀行-TSS'!B:C,2,FALSE),"")</f>
        <v/>
      </c>
      <c r="AH28" s="479" t="e">
        <f ca="1">VLOOKUP(投組換券表[[#This Row],[幣別]],$B$37:$C$43,2,FALSE)</f>
        <v>#N/A</v>
      </c>
      <c r="AI28" s="500" t="e">
        <f ca="1">CHOOSE(投組換券表[[#This Row],[對應編碼]],$D$37,$D$38,$D$39,$D$40,$D$41,$D$42,$D$43)</f>
        <v>#N/A</v>
      </c>
      <c r="AJ28" s="500">
        <f ca="1">IF(K28=0,0,CHOOSE(投組換券表[[#This Row],[對應編碼]],$E$37,$E$38,$E$39,$E$40,$E$41,$E$42,$E$43))</f>
        <v>0</v>
      </c>
      <c r="AK28" s="1520">
        <f ca="1">IFERROR(投組換券表[[#This Row],[投入面額]]*投組換券表[[#This Row],[換算匯率(現)]],0)</f>
        <v>0</v>
      </c>
      <c r="AL28" s="574">
        <f t="shared" ca="1" si="13"/>
        <v>0</v>
      </c>
      <c r="AM28" s="735">
        <f ca="1">IFERROR(VLOOKUP(投組換券表[[#This Row],[商品代號]],bond!B:X,21,FALSE),0)</f>
        <v>0</v>
      </c>
      <c r="AN28" s="735">
        <f ca="1">IFERROR(VLOOKUP(投組換券表[[#This Row],[商品代號]],bond!B:J,9,FALSE),0)</f>
        <v>0</v>
      </c>
      <c r="AO28" s="1298">
        <f ca="1">IFERROR(IF(K28=0,0,投組換券表[[#This Row],[clean申購價]]/100*投組換券表[[#This Row],[投入面額]]*投組換券表[[#This Row],[MOD]]*1%),0)</f>
        <v>0</v>
      </c>
      <c r="AP28" s="1084">
        <f ca="1">IFERROR(VLOOKUP(投組換券表[[#This Row],[商品代號]],'銀行-TSS'!B:N,13,FALSE),0)</f>
        <v>0</v>
      </c>
      <c r="AQ28" s="1084">
        <f ca="1">IFERROR(VLOOKUP(投組換券表[[#This Row],[商品代號]],'銀行-TSS'!B:O,14,FALSE),0)</f>
        <v>0</v>
      </c>
      <c r="AR28" s="1200">
        <f ca="1">IFERROR(IF(K28=0,0,投組換券表[[#This Row],[票面利率]]*投組換券表[[#This Row],[投入面額]]),0)</f>
        <v>0</v>
      </c>
      <c r="AS28" s="1188" t="e">
        <f ca="1">VLOOKUP(K28,'銀行-TSS'!B:AK,36,FALSE)</f>
        <v>#N/A</v>
      </c>
      <c r="AT28" s="434" t="e">
        <f t="shared" ca="1" si="14"/>
        <v>#VALUE!</v>
      </c>
      <c r="AU28" s="434" t="e">
        <f t="shared" ca="1" si="15"/>
        <v>#VALUE!</v>
      </c>
      <c r="AV28" s="434">
        <f t="shared" ca="1" si="16"/>
        <v>0</v>
      </c>
      <c r="AW28" s="434">
        <f t="shared" ca="1" si="17"/>
        <v>0</v>
      </c>
      <c r="AX28"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8"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8"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8"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8"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8"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8"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8"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8"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8"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8"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8"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8"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29" spans="2:169" ht="19.5" customHeight="1">
      <c r="B29" s="12">
        <v>11</v>
      </c>
      <c r="C29" s="604">
        <f t="shared" si="20"/>
        <v>0</v>
      </c>
      <c r="D29" s="26" t="s">
        <v>1798</v>
      </c>
      <c r="E29" s="702">
        <f t="shared" ca="1" si="18"/>
        <v>0</v>
      </c>
      <c r="F29" s="701">
        <f t="shared" ca="1" si="19"/>
        <v>0</v>
      </c>
      <c r="G29" s="605" t="str">
        <f t="shared" si="21"/>
        <v/>
      </c>
      <c r="H29" s="1294"/>
      <c r="I29" s="701"/>
      <c r="J29" s="26">
        <v>17</v>
      </c>
      <c r="K29" s="918">
        <f ca="1">IF(OR('Tssco-bond portfolio(2)'!H23=TRUE,'Tssco-bond portfolio(2)'!S23=FALSE),0,'Tssco-bond portfolio(2)'!I23)</f>
        <v>0</v>
      </c>
      <c r="L29" s="1517" t="str">
        <f ca="1">IF(K29=0,"",'Tssco-bond portfolio(2)'!W23)</f>
        <v/>
      </c>
      <c r="M29" s="566">
        <f ca="1">IF(K29=0,0,'Tssco-bond portfolio(2)'!CI23)</f>
        <v>0</v>
      </c>
      <c r="N29" s="1546">
        <f ca="1">IF(K29=0,0,'Tssco-bond portfolio(2)'!X23)</f>
        <v>0</v>
      </c>
      <c r="O29" s="1546">
        <f ca="1">IF(K29=0,0,'Tssco-bond portfolio(2)'!Y23)</f>
        <v>0</v>
      </c>
      <c r="P29" s="1546">
        <f ca="1">IF(K29=0,0,'Tssco-bond portfolio(2)'!BV23)</f>
        <v>0</v>
      </c>
      <c r="Q29" s="1546">
        <f ca="1">IF(K29=0,0,'Tssco-bond portfolio(2)'!BW23)</f>
        <v>0</v>
      </c>
      <c r="S29" s="428">
        <f t="shared" ca="1" si="11"/>
        <v>0</v>
      </c>
      <c r="T29" s="430">
        <f ca="1">IFERROR(VLOOKUP(投組換券表[[#This Row],[商品代號]],bond!B:J,9,FALSE)+VLOOKUP(投組換券表[[#This Row],[商品代號]],bond!B:N,13,FALSE),0)</f>
        <v>0</v>
      </c>
      <c r="U29" s="430">
        <f ca="1">IFERROR(VLOOKUP(投組換券表[[#This Row],[商品代號]],'銀行-TSS'!B:K,10,FALSE),0)</f>
        <v>0</v>
      </c>
      <c r="V29" s="431">
        <f ca="1">IFERROR(VLOOKUP($S29,'銀行-TSS'!B:G,6,FALSE),0)</f>
        <v>0</v>
      </c>
      <c r="W29" s="432" t="e">
        <f ca="1">IFERROR(DATEVALUE(VLOOKUP($S29,'銀行-TSS'!B:F,5,FALSE)),VLOOKUP($S29,'銀行-TSS'!B:F,5,FALSE))</f>
        <v>#N/A</v>
      </c>
      <c r="X29" s="433">
        <f ca="1">IFERROR(VLOOKUP($S29,'銀行-TSS'!B:H,7,FALSE),0)</f>
        <v>0</v>
      </c>
      <c r="Y29" s="434" t="str">
        <f ca="1">IFERROR(VLOOKUP($S29,'銀行-TSS'!B:I,8,FALSE),"")</f>
        <v/>
      </c>
      <c r="Z29" s="440" t="str">
        <f ca="1">_xlfn.IFNA(IFERROR(DATEVALUE(VLOOKUP($S29,'銀行-TSS'!B:P,15,FALSE)),VLOOKUP($S29,'銀行-TSS'!B:P,15,FALSE)),"")</f>
        <v/>
      </c>
      <c r="AA29" s="570" t="b">
        <f t="shared" ca="1" si="5"/>
        <v>0</v>
      </c>
      <c r="AB29" s="782" t="e">
        <f ca="1">DATEVALUE(VLOOKUP(S29,bond!B:I,7,FALSE))</f>
        <v>#N/A</v>
      </c>
      <c r="AC29" s="783">
        <f ca="1">IF(投組換券表[[#This Row],[檢測]]=TRUE,L29,0)</f>
        <v>0</v>
      </c>
      <c r="AD29" s="783">
        <f t="shared" ca="1" si="12"/>
        <v>0</v>
      </c>
      <c r="AE29" s="462" t="str">
        <f ca="1">IFERROR(VLOOKUP(投組換券表[[#This Row],[商品代號]],bond!B:AA,26,FALSE),"")</f>
        <v/>
      </c>
      <c r="AF29" s="1" t="str">
        <f ca="1">IFERROR(VLOOKUP($S29,'銀行-TSS'!B:Q,16,FALSE),"")</f>
        <v/>
      </c>
      <c r="AG29" s="479" t="str">
        <f ca="1">IFERROR(VLOOKUP($S29,'銀行-TSS'!B:C,2,FALSE),"")</f>
        <v/>
      </c>
      <c r="AH29" s="479" t="e">
        <f ca="1">VLOOKUP(投組換券表[[#This Row],[幣別]],$B$37:$C$43,2,FALSE)</f>
        <v>#N/A</v>
      </c>
      <c r="AI29" s="500" t="e">
        <f ca="1">CHOOSE(投組換券表[[#This Row],[對應編碼]],$D$37,$D$38,$D$39,$D$40,$D$41,$D$42,$D$43)</f>
        <v>#N/A</v>
      </c>
      <c r="AJ29" s="500">
        <f ca="1">IF(K29=0,0,CHOOSE(投組換券表[[#This Row],[對應編碼]],$E$37,$E$38,$E$39,$E$40,$E$41,$E$42,$E$43))</f>
        <v>0</v>
      </c>
      <c r="AK29" s="1520">
        <f ca="1">IFERROR(投組換券表[[#This Row],[投入面額]]*投組換券表[[#This Row],[換算匯率(現)]],0)</f>
        <v>0</v>
      </c>
      <c r="AL29" s="574">
        <f t="shared" ca="1" si="13"/>
        <v>0</v>
      </c>
      <c r="AM29" s="735">
        <f ca="1">IFERROR(VLOOKUP(投組換券表[[#This Row],[商品代號]],bond!B:X,21,FALSE),0)</f>
        <v>0</v>
      </c>
      <c r="AN29" s="735">
        <f ca="1">IFERROR(VLOOKUP(投組換券表[[#This Row],[商品代號]],bond!B:J,9,FALSE),0)</f>
        <v>0</v>
      </c>
      <c r="AO29" s="1298">
        <f ca="1">IFERROR(IF(K29=0,0,投組換券表[[#This Row],[clean申購價]]/100*投組換券表[[#This Row],[投入面額]]*投組換券表[[#This Row],[MOD]]*1%),0)</f>
        <v>0</v>
      </c>
      <c r="AP29" s="1084">
        <f ca="1">IFERROR(VLOOKUP(投組換券表[[#This Row],[商品代號]],'銀行-TSS'!B:N,13,FALSE),0)</f>
        <v>0</v>
      </c>
      <c r="AQ29" s="1084">
        <f ca="1">IFERROR(VLOOKUP(投組換券表[[#This Row],[商品代號]],'銀行-TSS'!B:O,14,FALSE),0)</f>
        <v>0</v>
      </c>
      <c r="AR29" s="1200">
        <f ca="1">IFERROR(IF(K29=0,0,投組換券表[[#This Row],[票面利率]]*投組換券表[[#This Row],[投入面額]]),0)</f>
        <v>0</v>
      </c>
      <c r="AS29" s="1188" t="e">
        <f ca="1">VLOOKUP(K29,'銀行-TSS'!B:AK,36,FALSE)</f>
        <v>#N/A</v>
      </c>
      <c r="AT29" s="434" t="e">
        <f t="shared" ca="1" si="14"/>
        <v>#VALUE!</v>
      </c>
      <c r="AU29" s="434" t="e">
        <f t="shared" ca="1" si="15"/>
        <v>#VALUE!</v>
      </c>
      <c r="AV29" s="434">
        <f t="shared" ca="1" si="16"/>
        <v>0</v>
      </c>
      <c r="AW29" s="434">
        <f t="shared" ca="1" si="17"/>
        <v>0</v>
      </c>
      <c r="AX29"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29"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29"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29"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29"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29"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29"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29"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29"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29"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29"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29"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29"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0" spans="2:169" ht="19.5" customHeight="1">
      <c r="B30" s="12">
        <v>12</v>
      </c>
      <c r="C30" s="604">
        <f t="shared" si="20"/>
        <v>0</v>
      </c>
      <c r="D30" s="26" t="s">
        <v>1799</v>
      </c>
      <c r="E30" s="702">
        <f t="shared" ca="1" si="18"/>
        <v>0</v>
      </c>
      <c r="F30" s="701">
        <f t="shared" ca="1" si="19"/>
        <v>0</v>
      </c>
      <c r="G30" s="605" t="str">
        <f t="shared" si="21"/>
        <v/>
      </c>
      <c r="H30" s="1294"/>
      <c r="I30" s="701"/>
      <c r="J30" s="26">
        <v>18</v>
      </c>
      <c r="K30" s="918">
        <f ca="1">IF(OR('Tssco-bond portfolio(2)'!H24=TRUE,'Tssco-bond portfolio(2)'!S24=FALSE),0,'Tssco-bond portfolio(2)'!I24)</f>
        <v>0</v>
      </c>
      <c r="L30" s="1517" t="str">
        <f ca="1">IF(K30=0,"",'Tssco-bond portfolio(2)'!W24)</f>
        <v/>
      </c>
      <c r="M30" s="566">
        <f ca="1">IF(K30=0,0,'Tssco-bond portfolio(2)'!CI24)</f>
        <v>0</v>
      </c>
      <c r="N30" s="1546">
        <f ca="1">IF(K30=0,0,'Tssco-bond portfolio(2)'!X24)</f>
        <v>0</v>
      </c>
      <c r="O30" s="1546">
        <f ca="1">IF(K30=0,0,'Tssco-bond portfolio(2)'!Y24)</f>
        <v>0</v>
      </c>
      <c r="P30" s="1546">
        <f ca="1">IF(K30=0,0,'Tssco-bond portfolio(2)'!BV24)</f>
        <v>0</v>
      </c>
      <c r="Q30" s="1546">
        <f ca="1">IF(K30=0,0,'Tssco-bond portfolio(2)'!BW24)</f>
        <v>0</v>
      </c>
      <c r="S30" s="428">
        <f t="shared" ca="1" si="11"/>
        <v>0</v>
      </c>
      <c r="T30" s="430">
        <f ca="1">IFERROR(VLOOKUP(投組換券表[[#This Row],[商品代號]],bond!B:J,9,FALSE)+VLOOKUP(投組換券表[[#This Row],[商品代號]],bond!B:N,13,FALSE),0)</f>
        <v>0</v>
      </c>
      <c r="U30" s="430">
        <f ca="1">IFERROR(VLOOKUP(投組換券表[[#This Row],[商品代號]],'銀行-TSS'!B:K,10,FALSE),0)</f>
        <v>0</v>
      </c>
      <c r="V30" s="431">
        <f ca="1">IFERROR(VLOOKUP($S30,'銀行-TSS'!B:G,6,FALSE),0)</f>
        <v>0</v>
      </c>
      <c r="W30" s="432" t="e">
        <f ca="1">IFERROR(DATEVALUE(VLOOKUP($S30,'銀行-TSS'!B:F,5,FALSE)),VLOOKUP($S30,'銀行-TSS'!B:F,5,FALSE))</f>
        <v>#N/A</v>
      </c>
      <c r="X30" s="433">
        <f ca="1">IFERROR(VLOOKUP($S30,'銀行-TSS'!B:H,7,FALSE),0)</f>
        <v>0</v>
      </c>
      <c r="Y30" s="434" t="str">
        <f ca="1">IFERROR(VLOOKUP($S30,'銀行-TSS'!B:I,8,FALSE),"")</f>
        <v/>
      </c>
      <c r="Z30" s="440" t="str">
        <f ca="1">_xlfn.IFNA(IFERROR(DATEVALUE(VLOOKUP($S30,'銀行-TSS'!B:P,15,FALSE)),VLOOKUP($S30,'銀行-TSS'!B:P,15,FALSE)),"")</f>
        <v/>
      </c>
      <c r="AA30" s="570" t="b">
        <f t="shared" ca="1" si="5"/>
        <v>0</v>
      </c>
      <c r="AB30" s="782" t="e">
        <f ca="1">DATEVALUE(VLOOKUP(S30,bond!B:I,7,FALSE))</f>
        <v>#N/A</v>
      </c>
      <c r="AC30" s="783">
        <f ca="1">IF(投組換券表[[#This Row],[檢測]]=TRUE,L30,0)</f>
        <v>0</v>
      </c>
      <c r="AD30" s="783">
        <f t="shared" ca="1" si="12"/>
        <v>0</v>
      </c>
      <c r="AE30" s="462" t="str">
        <f ca="1">IFERROR(VLOOKUP(投組換券表[[#This Row],[商品代號]],bond!B:AA,26,FALSE),"")</f>
        <v/>
      </c>
      <c r="AF30" s="1" t="str">
        <f ca="1">IFERROR(VLOOKUP($S30,'銀行-TSS'!B:Q,16,FALSE),"")</f>
        <v/>
      </c>
      <c r="AG30" s="479" t="str">
        <f ca="1">IFERROR(VLOOKUP($S30,'銀行-TSS'!B:C,2,FALSE),"")</f>
        <v/>
      </c>
      <c r="AH30" s="479" t="e">
        <f ca="1">VLOOKUP(投組換券表[[#This Row],[幣別]],$B$37:$C$43,2,FALSE)</f>
        <v>#N/A</v>
      </c>
      <c r="AI30" s="500" t="e">
        <f ca="1">CHOOSE(投組換券表[[#This Row],[對應編碼]],$D$37,$D$38,$D$39,$D$40,$D$41,$D$42,$D$43)</f>
        <v>#N/A</v>
      </c>
      <c r="AJ30" s="500">
        <f ca="1">IF(K30=0,0,CHOOSE(投組換券表[[#This Row],[對應編碼]],$E$37,$E$38,$E$39,$E$40,$E$41,$E$42,$E$43))</f>
        <v>0</v>
      </c>
      <c r="AK30" s="1520">
        <f ca="1">IFERROR(投組換券表[[#This Row],[投入面額]]*投組換券表[[#This Row],[換算匯率(現)]],0)</f>
        <v>0</v>
      </c>
      <c r="AL30" s="574">
        <f t="shared" ca="1" si="13"/>
        <v>0</v>
      </c>
      <c r="AM30" s="735">
        <f ca="1">IFERROR(VLOOKUP(投組換券表[[#This Row],[商品代號]],bond!B:X,21,FALSE),0)</f>
        <v>0</v>
      </c>
      <c r="AN30" s="735">
        <f ca="1">IFERROR(VLOOKUP(投組換券表[[#This Row],[商品代號]],bond!B:J,9,FALSE),0)</f>
        <v>0</v>
      </c>
      <c r="AO30" s="1298">
        <f ca="1">IFERROR(IF(K30=0,0,投組換券表[[#This Row],[clean申購價]]/100*投組換券表[[#This Row],[投入面額]]*投組換券表[[#This Row],[MOD]]*1%),0)</f>
        <v>0</v>
      </c>
      <c r="AP30" s="1084">
        <f ca="1">IFERROR(VLOOKUP(投組換券表[[#This Row],[商品代號]],'銀行-TSS'!B:N,13,FALSE),0)</f>
        <v>0</v>
      </c>
      <c r="AQ30" s="1084">
        <f ca="1">IFERROR(VLOOKUP(投組換券表[[#This Row],[商品代號]],'銀行-TSS'!B:O,14,FALSE),0)</f>
        <v>0</v>
      </c>
      <c r="AR30" s="1200">
        <f ca="1">IFERROR(IF(K30=0,0,投組換券表[[#This Row],[票面利率]]*投組換券表[[#This Row],[投入面額]]),0)</f>
        <v>0</v>
      </c>
      <c r="AS30" s="1188" t="e">
        <f ca="1">VLOOKUP(K30,'銀行-TSS'!B:AK,36,FALSE)</f>
        <v>#N/A</v>
      </c>
      <c r="AT30" s="434" t="e">
        <f t="shared" ca="1" si="14"/>
        <v>#VALUE!</v>
      </c>
      <c r="AU30" s="434" t="e">
        <f t="shared" ca="1" si="15"/>
        <v>#VALUE!</v>
      </c>
      <c r="AV30" s="434">
        <f t="shared" ca="1" si="16"/>
        <v>0</v>
      </c>
      <c r="AW30" s="434">
        <f t="shared" ca="1" si="17"/>
        <v>0</v>
      </c>
      <c r="AX30"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0"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0"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0"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0"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0"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0"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0"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0"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0"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0"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0"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0"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1" spans="2:169" ht="19.5" customHeight="1">
      <c r="B31" s="12"/>
      <c r="C31" s="12"/>
      <c r="D31" s="12"/>
      <c r="E31" s="603"/>
      <c r="F31" s="588"/>
      <c r="H31" s="1294"/>
      <c r="I31" s="701"/>
      <c r="J31" s="26">
        <v>19</v>
      </c>
      <c r="K31" s="918">
        <f ca="1">IF(OR('Tssco-bond portfolio(2)'!H25=TRUE,'Tssco-bond portfolio(2)'!S25=FALSE),0,'Tssco-bond portfolio(2)'!I25)</f>
        <v>0</v>
      </c>
      <c r="L31" s="1517" t="str">
        <f ca="1">IF(K31=0,"",'Tssco-bond portfolio(2)'!W25)</f>
        <v/>
      </c>
      <c r="M31" s="566">
        <f ca="1">IF(K31=0,0,'Tssco-bond portfolio(2)'!CI25)</f>
        <v>0</v>
      </c>
      <c r="N31" s="1546">
        <f ca="1">IF(K31=0,0,'Tssco-bond portfolio(2)'!X25)</f>
        <v>0</v>
      </c>
      <c r="O31" s="1546">
        <f ca="1">IF(K31=0,0,'Tssco-bond portfolio(2)'!Y25)</f>
        <v>0</v>
      </c>
      <c r="P31" s="1546">
        <f ca="1">IF(K31=0,0,'Tssco-bond portfolio(2)'!BV25)</f>
        <v>0</v>
      </c>
      <c r="Q31" s="1546">
        <f ca="1">IF(K31=0,0,'Tssco-bond portfolio(2)'!BW25)</f>
        <v>0</v>
      </c>
      <c r="S31" s="428">
        <f t="shared" ca="1" si="11"/>
        <v>0</v>
      </c>
      <c r="T31" s="430">
        <f ca="1">IFERROR(VLOOKUP(投組換券表[[#This Row],[商品代號]],bond!B:J,9,FALSE)+VLOOKUP(投組換券表[[#This Row],[商品代號]],bond!B:N,13,FALSE),0)</f>
        <v>0</v>
      </c>
      <c r="U31" s="430">
        <f ca="1">IFERROR(VLOOKUP(投組換券表[[#This Row],[商品代號]],'銀行-TSS'!B:K,10,FALSE),0)</f>
        <v>0</v>
      </c>
      <c r="V31" s="431">
        <f ca="1">IFERROR(VLOOKUP($S31,'銀行-TSS'!B:G,6,FALSE),0)</f>
        <v>0</v>
      </c>
      <c r="W31" s="432" t="e">
        <f ca="1">IFERROR(DATEVALUE(VLOOKUP($S31,'銀行-TSS'!B:F,5,FALSE)),VLOOKUP($S31,'銀行-TSS'!B:F,5,FALSE))</f>
        <v>#N/A</v>
      </c>
      <c r="X31" s="433">
        <f ca="1">IFERROR(VLOOKUP($S31,'銀行-TSS'!B:H,7,FALSE),0)</f>
        <v>0</v>
      </c>
      <c r="Y31" s="434" t="str">
        <f ca="1">IFERROR(VLOOKUP($S31,'銀行-TSS'!B:I,8,FALSE),"")</f>
        <v/>
      </c>
      <c r="Z31" s="440" t="str">
        <f ca="1">_xlfn.IFNA(IFERROR(DATEVALUE(VLOOKUP($S31,'銀行-TSS'!B:P,15,FALSE)),VLOOKUP($S31,'銀行-TSS'!B:P,15,FALSE)),"")</f>
        <v/>
      </c>
      <c r="AA31" s="570" t="b">
        <f t="shared" ca="1" si="5"/>
        <v>0</v>
      </c>
      <c r="AB31" s="782" t="e">
        <f ca="1">DATEVALUE(VLOOKUP(S31,bond!B:I,7,FALSE))</f>
        <v>#N/A</v>
      </c>
      <c r="AC31" s="783">
        <f ca="1">IF(投組換券表[[#This Row],[檢測]]=TRUE,L31,0)</f>
        <v>0</v>
      </c>
      <c r="AD31" s="783">
        <f t="shared" ca="1" si="12"/>
        <v>0</v>
      </c>
      <c r="AE31" s="462" t="str">
        <f ca="1">IFERROR(VLOOKUP(投組換券表[[#This Row],[商品代號]],bond!B:AA,26,FALSE),"")</f>
        <v/>
      </c>
      <c r="AF31" s="1" t="str">
        <f ca="1">IFERROR(VLOOKUP($S31,'銀行-TSS'!B:Q,16,FALSE),"")</f>
        <v/>
      </c>
      <c r="AG31" s="479" t="str">
        <f ca="1">IFERROR(VLOOKUP($S31,'銀行-TSS'!B:C,2,FALSE),"")</f>
        <v/>
      </c>
      <c r="AH31" s="479" t="e">
        <f ca="1">VLOOKUP(投組換券表[[#This Row],[幣別]],$B$37:$C$43,2,FALSE)</f>
        <v>#N/A</v>
      </c>
      <c r="AI31" s="500" t="e">
        <f ca="1">CHOOSE(投組換券表[[#This Row],[對應編碼]],$D$37,$D$38,$D$39,$D$40,$D$41,$D$42,$D$43)</f>
        <v>#N/A</v>
      </c>
      <c r="AJ31" s="500">
        <f ca="1">IF(K31=0,0,CHOOSE(投組換券表[[#This Row],[對應編碼]],$E$37,$E$38,$E$39,$E$40,$E$41,$E$42,$E$43))</f>
        <v>0</v>
      </c>
      <c r="AK31" s="1520">
        <f ca="1">IFERROR(投組換券表[[#This Row],[投入面額]]*投組換券表[[#This Row],[換算匯率(現)]],0)</f>
        <v>0</v>
      </c>
      <c r="AL31" s="574">
        <f t="shared" ca="1" si="13"/>
        <v>0</v>
      </c>
      <c r="AM31" s="735">
        <f ca="1">IFERROR(VLOOKUP(投組換券表[[#This Row],[商品代號]],bond!B:X,21,FALSE),0)</f>
        <v>0</v>
      </c>
      <c r="AN31" s="735">
        <f ca="1">IFERROR(VLOOKUP(投組換券表[[#This Row],[商品代號]],bond!B:J,9,FALSE),0)</f>
        <v>0</v>
      </c>
      <c r="AO31" s="1298">
        <f ca="1">IFERROR(IF(K31=0,0,投組換券表[[#This Row],[clean申購價]]/100*投組換券表[[#This Row],[投入面額]]*投組換券表[[#This Row],[MOD]]*1%),0)</f>
        <v>0</v>
      </c>
      <c r="AP31" s="1084">
        <f ca="1">IFERROR(VLOOKUP(投組換券表[[#This Row],[商品代號]],'銀行-TSS'!B:N,13,FALSE),0)</f>
        <v>0</v>
      </c>
      <c r="AQ31" s="1084">
        <f ca="1">IFERROR(VLOOKUP(投組換券表[[#This Row],[商品代號]],'銀行-TSS'!B:O,14,FALSE),0)</f>
        <v>0</v>
      </c>
      <c r="AR31" s="1200">
        <f ca="1">IFERROR(IF(K31=0,0,投組換券表[[#This Row],[票面利率]]*投組換券表[[#This Row],[投入面額]]),0)</f>
        <v>0</v>
      </c>
      <c r="AS31" s="1188" t="e">
        <f ca="1">VLOOKUP(K31,'銀行-TSS'!B:AK,36,FALSE)</f>
        <v>#N/A</v>
      </c>
      <c r="AT31" s="434" t="e">
        <f t="shared" ca="1" si="14"/>
        <v>#VALUE!</v>
      </c>
      <c r="AU31" s="434" t="e">
        <f t="shared" ca="1" si="15"/>
        <v>#VALUE!</v>
      </c>
      <c r="AV31" s="434">
        <f t="shared" ca="1" si="16"/>
        <v>0</v>
      </c>
      <c r="AW31" s="434">
        <f t="shared" ca="1" si="17"/>
        <v>0</v>
      </c>
      <c r="AX31"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1"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1"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1"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1"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1"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1"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1"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1"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1"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1"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1"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1"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2" spans="2:169" ht="19.5" customHeight="1">
      <c r="B32" s="12" t="s">
        <v>211</v>
      </c>
      <c r="C32" s="27">
        <f>SUM(C19:C30)</f>
        <v>0</v>
      </c>
      <c r="D32" s="27"/>
      <c r="E32" s="589">
        <f ca="1">SUM(E19:E30)</f>
        <v>0</v>
      </c>
      <c r="F32" s="589">
        <f ca="1">SUM(F19:F30)</f>
        <v>0</v>
      </c>
      <c r="H32" s="1294"/>
      <c r="I32" s="701"/>
      <c r="J32" s="26">
        <v>20</v>
      </c>
      <c r="K32" s="918">
        <f ca="1">IF(OR('Tssco-bond portfolio(2)'!H26=TRUE,'Tssco-bond portfolio(2)'!S26=FALSE),0,'Tssco-bond portfolio(2)'!I26)</f>
        <v>0</v>
      </c>
      <c r="L32" s="1517" t="str">
        <f ca="1">IF(K32=0,"",'Tssco-bond portfolio(2)'!W26)</f>
        <v/>
      </c>
      <c r="M32" s="566">
        <f ca="1">IF(K32=0,0,'Tssco-bond portfolio(2)'!CI26)</f>
        <v>0</v>
      </c>
      <c r="N32" s="1546">
        <f ca="1">IF(K32=0,0,'Tssco-bond portfolio(2)'!X26)</f>
        <v>0</v>
      </c>
      <c r="O32" s="1546">
        <f ca="1">IF(K32=0,0,'Tssco-bond portfolio(2)'!Y26)</f>
        <v>0</v>
      </c>
      <c r="P32" s="1546">
        <f ca="1">IF(K32=0,0,'Tssco-bond portfolio(2)'!BV26)</f>
        <v>0</v>
      </c>
      <c r="Q32" s="1546">
        <f ca="1">IF(K32=0,0,'Tssco-bond portfolio(2)'!BW26)</f>
        <v>0</v>
      </c>
      <c r="S32" s="428">
        <f t="shared" ca="1" si="11"/>
        <v>0</v>
      </c>
      <c r="T32" s="430">
        <f ca="1">IFERROR(VLOOKUP(投組換券表[[#This Row],[商品代號]],bond!B:J,9,FALSE)+VLOOKUP(投組換券表[[#This Row],[商品代號]],bond!B:N,13,FALSE),0)</f>
        <v>0</v>
      </c>
      <c r="U32" s="430">
        <f ca="1">IFERROR(VLOOKUP(投組換券表[[#This Row],[商品代號]],'銀行-TSS'!B:K,10,FALSE),0)</f>
        <v>0</v>
      </c>
      <c r="V32" s="431">
        <f ca="1">IFERROR(VLOOKUP($S32,'銀行-TSS'!B:G,6,FALSE),0)</f>
        <v>0</v>
      </c>
      <c r="W32" s="432" t="e">
        <f ca="1">IFERROR(DATEVALUE(VLOOKUP($S32,'銀行-TSS'!B:F,5,FALSE)),VLOOKUP($S32,'銀行-TSS'!B:F,5,FALSE))</f>
        <v>#N/A</v>
      </c>
      <c r="X32" s="433">
        <f ca="1">IFERROR(VLOOKUP($S32,'銀行-TSS'!B:H,7,FALSE),0)</f>
        <v>0</v>
      </c>
      <c r="Y32" s="434" t="str">
        <f ca="1">IFERROR(VLOOKUP($S32,'銀行-TSS'!B:I,8,FALSE),"")</f>
        <v/>
      </c>
      <c r="Z32" s="440" t="str">
        <f ca="1">_xlfn.IFNA(IFERROR(DATEVALUE(VLOOKUP($S32,'銀行-TSS'!B:P,15,FALSE)),VLOOKUP($S32,'銀行-TSS'!B:P,15,FALSE)),"")</f>
        <v/>
      </c>
      <c r="AA32" s="570" t="b">
        <f t="shared" ca="1" si="5"/>
        <v>0</v>
      </c>
      <c r="AB32" s="782" t="e">
        <f ca="1">DATEVALUE(VLOOKUP(S32,bond!B:I,7,FALSE))</f>
        <v>#N/A</v>
      </c>
      <c r="AC32" s="783">
        <f ca="1">IF(投組換券表[[#This Row],[檢測]]=TRUE,L32,0)</f>
        <v>0</v>
      </c>
      <c r="AD32" s="783">
        <f t="shared" ca="1" si="12"/>
        <v>0</v>
      </c>
      <c r="AE32" s="462" t="str">
        <f ca="1">IFERROR(VLOOKUP(投組換券表[[#This Row],[商品代號]],bond!B:AA,26,FALSE),"")</f>
        <v/>
      </c>
      <c r="AF32" s="1" t="str">
        <f ca="1">IFERROR(VLOOKUP($S32,'銀行-TSS'!B:Q,16,FALSE),"")</f>
        <v/>
      </c>
      <c r="AG32" s="479" t="str">
        <f ca="1">IFERROR(VLOOKUP($S32,'銀行-TSS'!B:C,2,FALSE),"")</f>
        <v/>
      </c>
      <c r="AH32" s="479" t="e">
        <f ca="1">VLOOKUP(投組換券表[[#This Row],[幣別]],$B$37:$C$43,2,FALSE)</f>
        <v>#N/A</v>
      </c>
      <c r="AI32" s="500" t="e">
        <f ca="1">CHOOSE(投組換券表[[#This Row],[對應編碼]],$D$37,$D$38,$D$39,$D$40,$D$41,$D$42,$D$43)</f>
        <v>#N/A</v>
      </c>
      <c r="AJ32" s="500">
        <f ca="1">IF(K32=0,0,CHOOSE(投組換券表[[#This Row],[對應編碼]],$E$37,$E$38,$E$39,$E$40,$E$41,$E$42,$E$43))</f>
        <v>0</v>
      </c>
      <c r="AK32" s="1520">
        <f ca="1">IFERROR(投組換券表[[#This Row],[投入面額]]*投組換券表[[#This Row],[換算匯率(現)]],0)</f>
        <v>0</v>
      </c>
      <c r="AL32" s="574">
        <f t="shared" ca="1" si="13"/>
        <v>0</v>
      </c>
      <c r="AM32" s="735">
        <f ca="1">IFERROR(VLOOKUP(投組換券表[[#This Row],[商品代號]],bond!B:X,21,FALSE),0)</f>
        <v>0</v>
      </c>
      <c r="AN32" s="735">
        <f ca="1">IFERROR(VLOOKUP(投組換券表[[#This Row],[商品代號]],bond!B:J,9,FALSE),0)</f>
        <v>0</v>
      </c>
      <c r="AO32" s="1298">
        <f ca="1">IFERROR(IF(K32=0,0,投組換券表[[#This Row],[clean申購價]]/100*投組換券表[[#This Row],[投入面額]]*投組換券表[[#This Row],[MOD]]*1%),0)</f>
        <v>0</v>
      </c>
      <c r="AP32" s="1084">
        <f ca="1">IFERROR(VLOOKUP(投組換券表[[#This Row],[商品代號]],'銀行-TSS'!B:N,13,FALSE),0)</f>
        <v>0</v>
      </c>
      <c r="AQ32" s="1084">
        <f ca="1">IFERROR(VLOOKUP(投組換券表[[#This Row],[商品代號]],'銀行-TSS'!B:O,14,FALSE),0)</f>
        <v>0</v>
      </c>
      <c r="AR32" s="1200">
        <f ca="1">IFERROR(IF(K32=0,0,投組換券表[[#This Row],[票面利率]]*投組換券表[[#This Row],[投入面額]]),0)</f>
        <v>0</v>
      </c>
      <c r="AS32" s="1188" t="e">
        <f ca="1">VLOOKUP(K32,'銀行-TSS'!B:AK,36,FALSE)</f>
        <v>#N/A</v>
      </c>
      <c r="AT32" s="434" t="e">
        <f t="shared" ca="1" si="14"/>
        <v>#VALUE!</v>
      </c>
      <c r="AU32" s="434" t="e">
        <f t="shared" ca="1" si="15"/>
        <v>#VALUE!</v>
      </c>
      <c r="AV32" s="434">
        <f t="shared" ca="1" si="16"/>
        <v>0</v>
      </c>
      <c r="AW32" s="434">
        <f t="shared" ca="1" si="17"/>
        <v>0</v>
      </c>
      <c r="AX32"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2"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2"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2"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2"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2"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2"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2"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2"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2"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2"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2"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2"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3" spans="1:62" ht="19.5" customHeight="1">
      <c r="B33" s="12"/>
      <c r="C33" s="12"/>
      <c r="D33" s="12"/>
      <c r="E33" s="12"/>
      <c r="F33" s="1294"/>
      <c r="G33" s="1294"/>
      <c r="H33" s="1294"/>
      <c r="I33" s="701"/>
      <c r="J33" s="26">
        <v>21</v>
      </c>
      <c r="K33" s="918">
        <f ca="1">IF(OR('Tssco-bond portfolio(2)'!H27=TRUE,'Tssco-bond portfolio(2)'!S27=FALSE),0,'Tssco-bond portfolio(2)'!I27)</f>
        <v>0</v>
      </c>
      <c r="L33" s="1517" t="str">
        <f ca="1">IF(K33=0,"",'Tssco-bond portfolio(2)'!W27)</f>
        <v/>
      </c>
      <c r="M33" s="566">
        <f ca="1">IF(K33=0,0,'Tssco-bond portfolio(2)'!CI27)</f>
        <v>0</v>
      </c>
      <c r="N33" s="1546">
        <f ca="1">IF(K33=0,0,'Tssco-bond portfolio(2)'!X27)</f>
        <v>0</v>
      </c>
      <c r="O33" s="1546">
        <f ca="1">IF(K33=0,0,'Tssco-bond portfolio(2)'!Y27)</f>
        <v>0</v>
      </c>
      <c r="P33" s="1546">
        <f ca="1">IF(K33=0,0,'Tssco-bond portfolio(2)'!BV27)</f>
        <v>0</v>
      </c>
      <c r="Q33" s="1546">
        <f ca="1">IF(K33=0,0,'Tssco-bond portfolio(2)'!BW27)</f>
        <v>0</v>
      </c>
      <c r="S33" s="428">
        <f t="shared" ca="1" si="11"/>
        <v>0</v>
      </c>
      <c r="T33" s="430">
        <f ca="1">IFERROR(VLOOKUP(投組換券表[[#This Row],[商品代號]],bond!B:J,9,FALSE)+VLOOKUP(投組換券表[[#This Row],[商品代號]],bond!B:N,13,FALSE),0)</f>
        <v>0</v>
      </c>
      <c r="U33" s="430">
        <f ca="1">IFERROR(VLOOKUP(投組換券表[[#This Row],[商品代號]],'銀行-TSS'!B:K,10,FALSE),0)</f>
        <v>0</v>
      </c>
      <c r="V33" s="431">
        <f ca="1">IFERROR(VLOOKUP($S33,'銀行-TSS'!B:G,6,FALSE),0)</f>
        <v>0</v>
      </c>
      <c r="W33" s="432" t="e">
        <f ca="1">IFERROR(DATEVALUE(VLOOKUP($S33,'銀行-TSS'!B:F,5,FALSE)),VLOOKUP($S33,'銀行-TSS'!B:F,5,FALSE))</f>
        <v>#N/A</v>
      </c>
      <c r="X33" s="433">
        <f ca="1">IFERROR(VLOOKUP($S33,'銀行-TSS'!B:H,7,FALSE),0)</f>
        <v>0</v>
      </c>
      <c r="Y33" s="434" t="str">
        <f ca="1">IFERROR(VLOOKUP($S33,'銀行-TSS'!B:I,8,FALSE),"")</f>
        <v/>
      </c>
      <c r="Z33" s="440" t="str">
        <f ca="1">_xlfn.IFNA(IFERROR(DATEVALUE(VLOOKUP($S33,'銀行-TSS'!B:P,15,FALSE)),VLOOKUP($S33,'銀行-TSS'!B:P,15,FALSE)),"")</f>
        <v/>
      </c>
      <c r="AA33" s="570" t="b">
        <f t="shared" ca="1" si="5"/>
        <v>0</v>
      </c>
      <c r="AB33" s="782" t="e">
        <f ca="1">DATEVALUE(VLOOKUP(S33,bond!B:I,7,FALSE))</f>
        <v>#N/A</v>
      </c>
      <c r="AC33" s="783">
        <f ca="1">IF(投組換券表[[#This Row],[檢測]]=TRUE,L33,0)</f>
        <v>0</v>
      </c>
      <c r="AD33" s="783">
        <f t="shared" ca="1" si="12"/>
        <v>0</v>
      </c>
      <c r="AE33" s="462" t="str">
        <f ca="1">IFERROR(VLOOKUP(投組換券表[[#This Row],[商品代號]],bond!B:AA,26,FALSE),"")</f>
        <v/>
      </c>
      <c r="AF33" s="1" t="str">
        <f ca="1">IFERROR(VLOOKUP($S33,'銀行-TSS'!B:Q,16,FALSE),"")</f>
        <v/>
      </c>
      <c r="AG33" s="479" t="str">
        <f ca="1">IFERROR(VLOOKUP($S33,'銀行-TSS'!B:C,2,FALSE),"")</f>
        <v/>
      </c>
      <c r="AH33" s="479" t="e">
        <f ca="1">VLOOKUP(投組換券表[[#This Row],[幣別]],$B$37:$C$43,2,FALSE)</f>
        <v>#N/A</v>
      </c>
      <c r="AI33" s="500" t="e">
        <f ca="1">CHOOSE(投組換券表[[#This Row],[對應編碼]],$D$37,$D$38,$D$39,$D$40,$D$41,$D$42,$D$43)</f>
        <v>#N/A</v>
      </c>
      <c r="AJ33" s="500">
        <f ca="1">IF(K33=0,0,CHOOSE(投組換券表[[#This Row],[對應編碼]],$E$37,$E$38,$E$39,$E$40,$E$41,$E$42,$E$43))</f>
        <v>0</v>
      </c>
      <c r="AK33" s="1520">
        <f ca="1">IFERROR(投組換券表[[#This Row],[投入面額]]*投組換券表[[#This Row],[換算匯率(現)]],0)</f>
        <v>0</v>
      </c>
      <c r="AL33" s="574">
        <f t="shared" ca="1" si="13"/>
        <v>0</v>
      </c>
      <c r="AM33" s="735">
        <f ca="1">IFERROR(VLOOKUP(投組換券表[[#This Row],[商品代號]],bond!B:X,21,FALSE),0)</f>
        <v>0</v>
      </c>
      <c r="AN33" s="735">
        <f ca="1">IFERROR(VLOOKUP(投組換券表[[#This Row],[商品代號]],bond!B:J,9,FALSE),0)</f>
        <v>0</v>
      </c>
      <c r="AO33" s="1298">
        <f ca="1">IFERROR(IF(K33=0,0,投組換券表[[#This Row],[clean申購價]]/100*投組換券表[[#This Row],[投入面額]]*投組換券表[[#This Row],[MOD]]*1%),0)</f>
        <v>0</v>
      </c>
      <c r="AP33" s="1084">
        <f ca="1">IFERROR(VLOOKUP(投組換券表[[#This Row],[商品代號]],'銀行-TSS'!B:N,13,FALSE),0)</f>
        <v>0</v>
      </c>
      <c r="AQ33" s="1084">
        <f ca="1">IFERROR(VLOOKUP(投組換券表[[#This Row],[商品代號]],'銀行-TSS'!B:O,14,FALSE),0)</f>
        <v>0</v>
      </c>
      <c r="AR33" s="1200">
        <f ca="1">IFERROR(IF(K33=0,0,投組換券表[[#This Row],[票面利率]]*投組換券表[[#This Row],[投入面額]]),0)</f>
        <v>0</v>
      </c>
      <c r="AS33" s="1188" t="e">
        <f ca="1">VLOOKUP(K33,'銀行-TSS'!B:AK,36,FALSE)</f>
        <v>#N/A</v>
      </c>
      <c r="AT33" s="434" t="e">
        <f t="shared" ca="1" si="14"/>
        <v>#VALUE!</v>
      </c>
      <c r="AU33" s="434" t="e">
        <f t="shared" ca="1" si="15"/>
        <v>#VALUE!</v>
      </c>
      <c r="AV33" s="434">
        <f t="shared" ca="1" si="16"/>
        <v>0</v>
      </c>
      <c r="AW33" s="434">
        <f t="shared" ca="1" si="17"/>
        <v>0</v>
      </c>
      <c r="AX33"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3"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3"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3"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3"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3"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3"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3"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3"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3"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3"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3"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3"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4" spans="1:62" ht="19.5" customHeight="1">
      <c r="B34" s="12"/>
      <c r="C34" s="12"/>
      <c r="D34" s="12"/>
      <c r="E34" s="12"/>
      <c r="F34" s="1294"/>
      <c r="G34" s="1294"/>
      <c r="H34" s="1294"/>
      <c r="I34" s="701"/>
      <c r="J34" s="26">
        <v>22</v>
      </c>
      <c r="K34" s="918">
        <f ca="1">IF(OR('Tssco-bond portfolio(2)'!H28=TRUE,'Tssco-bond portfolio(2)'!S28=FALSE),0,'Tssco-bond portfolio(2)'!I28)</f>
        <v>0</v>
      </c>
      <c r="L34" s="1517" t="str">
        <f ca="1">IF(K34=0,"",'Tssco-bond portfolio(2)'!W28)</f>
        <v/>
      </c>
      <c r="M34" s="566">
        <f ca="1">IF(K34=0,0,'Tssco-bond portfolio(2)'!CI28)</f>
        <v>0</v>
      </c>
      <c r="N34" s="1546">
        <f ca="1">IF(K34=0,0,'Tssco-bond portfolio(2)'!X28)</f>
        <v>0</v>
      </c>
      <c r="O34" s="1546">
        <f ca="1">IF(K34=0,0,'Tssco-bond portfolio(2)'!Y28)</f>
        <v>0</v>
      </c>
      <c r="P34" s="1546">
        <f ca="1">IF(K34=0,0,'Tssco-bond portfolio(2)'!BV28)</f>
        <v>0</v>
      </c>
      <c r="Q34" s="1546">
        <f ca="1">IF(K34=0,0,'Tssco-bond portfolio(2)'!BW28)</f>
        <v>0</v>
      </c>
      <c r="S34" s="428">
        <f t="shared" ca="1" si="11"/>
        <v>0</v>
      </c>
      <c r="T34" s="430">
        <f ca="1">IFERROR(VLOOKUP(投組換券表[[#This Row],[商品代號]],bond!B:J,9,FALSE)+VLOOKUP(投組換券表[[#This Row],[商品代號]],bond!B:N,13,FALSE),0)</f>
        <v>0</v>
      </c>
      <c r="U34" s="430">
        <f ca="1">IFERROR(VLOOKUP(投組換券表[[#This Row],[商品代號]],'銀行-TSS'!B:K,10,FALSE),0)</f>
        <v>0</v>
      </c>
      <c r="V34" s="431">
        <f ca="1">IFERROR(VLOOKUP($S34,'銀行-TSS'!B:G,6,FALSE),0)</f>
        <v>0</v>
      </c>
      <c r="W34" s="432" t="e">
        <f ca="1">IFERROR(DATEVALUE(VLOOKUP($S34,'銀行-TSS'!B:F,5,FALSE)),VLOOKUP($S34,'銀行-TSS'!B:F,5,FALSE))</f>
        <v>#N/A</v>
      </c>
      <c r="X34" s="433">
        <f ca="1">IFERROR(VLOOKUP($S34,'銀行-TSS'!B:H,7,FALSE),0)</f>
        <v>0</v>
      </c>
      <c r="Y34" s="434" t="str">
        <f ca="1">IFERROR(VLOOKUP($S34,'銀行-TSS'!B:I,8,FALSE),"")</f>
        <v/>
      </c>
      <c r="Z34" s="440" t="str">
        <f ca="1">_xlfn.IFNA(IFERROR(DATEVALUE(VLOOKUP($S34,'銀行-TSS'!B:P,15,FALSE)),VLOOKUP($S34,'銀行-TSS'!B:P,15,FALSE)),"")</f>
        <v/>
      </c>
      <c r="AA34" s="570" t="b">
        <f t="shared" ca="1" si="5"/>
        <v>0</v>
      </c>
      <c r="AB34" s="782" t="e">
        <f ca="1">DATEVALUE(VLOOKUP(S34,bond!B:I,7,FALSE))</f>
        <v>#N/A</v>
      </c>
      <c r="AC34" s="783">
        <f ca="1">IF(投組換券表[[#This Row],[檢測]]=TRUE,L34,0)</f>
        <v>0</v>
      </c>
      <c r="AD34" s="783">
        <f t="shared" ca="1" si="12"/>
        <v>0</v>
      </c>
      <c r="AE34" s="462" t="str">
        <f ca="1">IFERROR(VLOOKUP(投組換券表[[#This Row],[商品代號]],bond!B:AA,26,FALSE),"")</f>
        <v/>
      </c>
      <c r="AF34" s="1" t="str">
        <f ca="1">IFERROR(VLOOKUP($S34,'銀行-TSS'!B:Q,16,FALSE),"")</f>
        <v/>
      </c>
      <c r="AG34" s="479" t="str">
        <f ca="1">IFERROR(VLOOKUP($S34,'銀行-TSS'!B:C,2,FALSE),"")</f>
        <v/>
      </c>
      <c r="AH34" s="479" t="e">
        <f ca="1">VLOOKUP(投組換券表[[#This Row],[幣別]],$B$37:$C$43,2,FALSE)</f>
        <v>#N/A</v>
      </c>
      <c r="AI34" s="500" t="e">
        <f ca="1">CHOOSE(投組換券表[[#This Row],[對應編碼]],$D$37,$D$38,$D$39,$D$40,$D$41,$D$42,$D$43)</f>
        <v>#N/A</v>
      </c>
      <c r="AJ34" s="500">
        <f ca="1">IF(K34=0,0,CHOOSE(投組換券表[[#This Row],[對應編碼]],$E$37,$E$38,$E$39,$E$40,$E$41,$E$42,$E$43))</f>
        <v>0</v>
      </c>
      <c r="AK34" s="1520">
        <f ca="1">IFERROR(投組換券表[[#This Row],[投入面額]]*投組換券表[[#This Row],[換算匯率(現)]],0)</f>
        <v>0</v>
      </c>
      <c r="AL34" s="574">
        <f t="shared" ca="1" si="13"/>
        <v>0</v>
      </c>
      <c r="AM34" s="735">
        <f ca="1">IFERROR(VLOOKUP(投組換券表[[#This Row],[商品代號]],bond!B:X,21,FALSE),0)</f>
        <v>0</v>
      </c>
      <c r="AN34" s="735">
        <f ca="1">IFERROR(VLOOKUP(投組換券表[[#This Row],[商品代號]],bond!B:J,9,FALSE),0)</f>
        <v>0</v>
      </c>
      <c r="AO34" s="1298">
        <f ca="1">IFERROR(IF(K34=0,0,投組換券表[[#This Row],[clean申購價]]/100*投組換券表[[#This Row],[投入面額]]*投組換券表[[#This Row],[MOD]]*1%),0)</f>
        <v>0</v>
      </c>
      <c r="AP34" s="1084">
        <f ca="1">IFERROR(VLOOKUP(投組換券表[[#This Row],[商品代號]],'銀行-TSS'!B:N,13,FALSE),0)</f>
        <v>0</v>
      </c>
      <c r="AQ34" s="1084">
        <f ca="1">IFERROR(VLOOKUP(投組換券表[[#This Row],[商品代號]],'銀行-TSS'!B:O,14,FALSE),0)</f>
        <v>0</v>
      </c>
      <c r="AR34" s="1200">
        <f ca="1">IFERROR(IF(K34=0,0,投組換券表[[#This Row],[票面利率]]*投組換券表[[#This Row],[投入面額]]),0)</f>
        <v>0</v>
      </c>
      <c r="AS34" s="1188" t="e">
        <f ca="1">VLOOKUP(K34,'銀行-TSS'!B:AK,36,FALSE)</f>
        <v>#N/A</v>
      </c>
      <c r="AT34" s="434" t="e">
        <f t="shared" ca="1" si="14"/>
        <v>#VALUE!</v>
      </c>
      <c r="AU34" s="434" t="e">
        <f t="shared" ca="1" si="15"/>
        <v>#VALUE!</v>
      </c>
      <c r="AV34" s="434">
        <f t="shared" ca="1" si="16"/>
        <v>0</v>
      </c>
      <c r="AW34" s="434">
        <f t="shared" ca="1" si="17"/>
        <v>0</v>
      </c>
      <c r="AX34"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4"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4"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4"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4"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4"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4"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4"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4"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4"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4"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4"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4"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5" spans="1:62" ht="19.5" customHeight="1">
      <c r="B35" s="12"/>
      <c r="C35" s="12"/>
      <c r="D35" s="12"/>
      <c r="E35" s="12"/>
      <c r="F35" s="1294"/>
      <c r="G35" s="1294"/>
      <c r="H35" s="1294"/>
      <c r="I35" s="701"/>
      <c r="J35" s="26">
        <v>23</v>
      </c>
      <c r="K35" s="918">
        <f ca="1">IF(OR('Tssco-bond portfolio(2)'!H29=TRUE,'Tssco-bond portfolio(2)'!S29=FALSE),0,'Tssco-bond portfolio(2)'!I29)</f>
        <v>0</v>
      </c>
      <c r="L35" s="1517" t="str">
        <f ca="1">IF(K35=0,"",'Tssco-bond portfolio(2)'!W29)</f>
        <v/>
      </c>
      <c r="M35" s="566">
        <f ca="1">IF(K35=0,0,'Tssco-bond portfolio(2)'!CI29)</f>
        <v>0</v>
      </c>
      <c r="N35" s="1546">
        <f ca="1">IF(K35=0,0,'Tssco-bond portfolio(2)'!X29)</f>
        <v>0</v>
      </c>
      <c r="O35" s="1546">
        <f ca="1">IF(K35=0,0,'Tssco-bond portfolio(2)'!Y29)</f>
        <v>0</v>
      </c>
      <c r="P35" s="1546">
        <f ca="1">IF(K35=0,0,'Tssco-bond portfolio(2)'!BV29)</f>
        <v>0</v>
      </c>
      <c r="Q35" s="1546">
        <f ca="1">IF(K35=0,0,'Tssco-bond portfolio(2)'!BW29)</f>
        <v>0</v>
      </c>
      <c r="S35" s="428">
        <f t="shared" ca="1" si="11"/>
        <v>0</v>
      </c>
      <c r="T35" s="430">
        <f ca="1">IFERROR(VLOOKUP(投組換券表[[#This Row],[商品代號]],bond!B:J,9,FALSE)+VLOOKUP(投組換券表[[#This Row],[商品代號]],bond!B:N,13,FALSE),0)</f>
        <v>0</v>
      </c>
      <c r="U35" s="430">
        <f ca="1">IFERROR(VLOOKUP(投組換券表[[#This Row],[商品代號]],'銀行-TSS'!B:K,10,FALSE),0)</f>
        <v>0</v>
      </c>
      <c r="V35" s="431">
        <f ca="1">IFERROR(VLOOKUP($S35,'銀行-TSS'!B:G,6,FALSE),0)</f>
        <v>0</v>
      </c>
      <c r="W35" s="432" t="e">
        <f ca="1">IFERROR(DATEVALUE(VLOOKUP($S35,'銀行-TSS'!B:F,5,FALSE)),VLOOKUP($S35,'銀行-TSS'!B:F,5,FALSE))</f>
        <v>#N/A</v>
      </c>
      <c r="X35" s="433">
        <f ca="1">IFERROR(VLOOKUP($S35,'銀行-TSS'!B:H,7,FALSE),0)</f>
        <v>0</v>
      </c>
      <c r="Y35" s="434" t="str">
        <f ca="1">IFERROR(VLOOKUP($S35,'銀行-TSS'!B:I,8,FALSE),"")</f>
        <v/>
      </c>
      <c r="Z35" s="440" t="str">
        <f ca="1">_xlfn.IFNA(IFERROR(DATEVALUE(VLOOKUP($S35,'銀行-TSS'!B:P,15,FALSE)),VLOOKUP($S35,'銀行-TSS'!B:P,15,FALSE)),"")</f>
        <v/>
      </c>
      <c r="AA35" s="570" t="b">
        <f t="shared" ca="1" si="5"/>
        <v>0</v>
      </c>
      <c r="AB35" s="782" t="e">
        <f ca="1">DATEVALUE(VLOOKUP(S35,bond!B:I,7,FALSE))</f>
        <v>#N/A</v>
      </c>
      <c r="AC35" s="783">
        <f ca="1">IF(投組換券表[[#This Row],[檢測]]=TRUE,L35,0)</f>
        <v>0</v>
      </c>
      <c r="AD35" s="783">
        <f t="shared" ca="1" si="12"/>
        <v>0</v>
      </c>
      <c r="AE35" s="462" t="str">
        <f ca="1">IFERROR(VLOOKUP(投組換券表[[#This Row],[商品代號]],bond!B:AA,26,FALSE),"")</f>
        <v/>
      </c>
      <c r="AF35" s="1" t="str">
        <f ca="1">IFERROR(VLOOKUP($S35,'銀行-TSS'!B:Q,16,FALSE),"")</f>
        <v/>
      </c>
      <c r="AG35" s="479" t="str">
        <f ca="1">IFERROR(VLOOKUP($S35,'銀行-TSS'!B:C,2,FALSE),"")</f>
        <v/>
      </c>
      <c r="AH35" s="479" t="e">
        <f ca="1">VLOOKUP(投組換券表[[#This Row],[幣別]],$B$37:$C$43,2,FALSE)</f>
        <v>#N/A</v>
      </c>
      <c r="AI35" s="500" t="e">
        <f ca="1">CHOOSE(投組換券表[[#This Row],[對應編碼]],$D$37,$D$38,$D$39,$D$40,$D$41,$D$42,$D$43)</f>
        <v>#N/A</v>
      </c>
      <c r="AJ35" s="500">
        <f ca="1">IF(K35=0,0,CHOOSE(投組換券表[[#This Row],[對應編碼]],$E$37,$E$38,$E$39,$E$40,$E$41,$E$42,$E$43))</f>
        <v>0</v>
      </c>
      <c r="AK35" s="1520">
        <f ca="1">IFERROR(投組換券表[[#This Row],[投入面額]]*投組換券表[[#This Row],[換算匯率(現)]],0)</f>
        <v>0</v>
      </c>
      <c r="AL35" s="574">
        <f t="shared" ca="1" si="13"/>
        <v>0</v>
      </c>
      <c r="AM35" s="735">
        <f ca="1">IFERROR(VLOOKUP(投組換券表[[#This Row],[商品代號]],bond!B:X,21,FALSE),0)</f>
        <v>0</v>
      </c>
      <c r="AN35" s="735">
        <f ca="1">IFERROR(VLOOKUP(投組換券表[[#This Row],[商品代號]],bond!B:J,9,FALSE),0)</f>
        <v>0</v>
      </c>
      <c r="AO35" s="1298">
        <f ca="1">IFERROR(IF(K35=0,0,投組換券表[[#This Row],[clean申購價]]/100*投組換券表[[#This Row],[投入面額]]*投組換券表[[#This Row],[MOD]]*1%),0)</f>
        <v>0</v>
      </c>
      <c r="AP35" s="1084">
        <f ca="1">IFERROR(VLOOKUP(投組換券表[[#This Row],[商品代號]],'銀行-TSS'!B:N,13,FALSE),0)</f>
        <v>0</v>
      </c>
      <c r="AQ35" s="1084">
        <f ca="1">IFERROR(VLOOKUP(投組換券表[[#This Row],[商品代號]],'銀行-TSS'!B:O,14,FALSE),0)</f>
        <v>0</v>
      </c>
      <c r="AR35" s="1200">
        <f ca="1">IFERROR(IF(K35=0,0,投組換券表[[#This Row],[票面利率]]*投組換券表[[#This Row],[投入面額]]),0)</f>
        <v>0</v>
      </c>
      <c r="AS35" s="1188" t="e">
        <f ca="1">VLOOKUP(K35,'銀行-TSS'!B:AK,36,FALSE)</f>
        <v>#N/A</v>
      </c>
      <c r="AT35" s="434" t="e">
        <f t="shared" ca="1" si="14"/>
        <v>#VALUE!</v>
      </c>
      <c r="AU35" s="434" t="e">
        <f t="shared" ca="1" si="15"/>
        <v>#VALUE!</v>
      </c>
      <c r="AV35" s="434">
        <f t="shared" ca="1" si="16"/>
        <v>0</v>
      </c>
      <c r="AW35" s="434">
        <f t="shared" ca="1" si="17"/>
        <v>0</v>
      </c>
      <c r="AX35"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5"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5"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5"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5"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5"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5"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5"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5"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5"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5"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5"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5"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6" spans="1:62" ht="19.5" customHeight="1">
      <c r="A36" s="459" t="s">
        <v>2117</v>
      </c>
      <c r="B36" s="496" t="s">
        <v>2188</v>
      </c>
      <c r="C36" s="12" t="s">
        <v>2015</v>
      </c>
      <c r="D36" s="496" t="s">
        <v>2108</v>
      </c>
      <c r="E36" s="12" t="s">
        <v>2109</v>
      </c>
      <c r="J36" s="26">
        <v>24</v>
      </c>
      <c r="K36" s="918">
        <f ca="1">IF(OR('Tssco-bond portfolio(2)'!H30=TRUE,'Tssco-bond portfolio(2)'!S30=FALSE),0,'Tssco-bond portfolio(2)'!I30)</f>
        <v>0</v>
      </c>
      <c r="L36" s="1517" t="str">
        <f ca="1">IF(K36=0,"",'Tssco-bond portfolio(2)'!W30)</f>
        <v/>
      </c>
      <c r="M36" s="566">
        <f ca="1">IF(K36=0,0,'Tssco-bond portfolio(2)'!CI30)</f>
        <v>0</v>
      </c>
      <c r="N36" s="1546">
        <f ca="1">IF(K36=0,0,'Tssco-bond portfolio(2)'!X30)</f>
        <v>0</v>
      </c>
      <c r="O36" s="1546">
        <f ca="1">IF(K36=0,0,'Tssco-bond portfolio(2)'!Y30)</f>
        <v>0</v>
      </c>
      <c r="P36" s="1546">
        <f ca="1">IF(K36=0,0,'Tssco-bond portfolio(2)'!BV30)</f>
        <v>0</v>
      </c>
      <c r="Q36" s="1546">
        <f ca="1">IF(K36=0,0,'Tssco-bond portfolio(2)'!BW30)</f>
        <v>0</v>
      </c>
      <c r="S36" s="428">
        <f t="shared" ca="1" si="11"/>
        <v>0</v>
      </c>
      <c r="T36" s="430">
        <f ca="1">IFERROR(VLOOKUP(投組換券表[[#This Row],[商品代號]],bond!B:J,9,FALSE)+VLOOKUP(投組換券表[[#This Row],[商品代號]],bond!B:N,13,FALSE),0)</f>
        <v>0</v>
      </c>
      <c r="U36" s="430">
        <f ca="1">IFERROR(VLOOKUP(投組換券表[[#This Row],[商品代號]],'銀行-TSS'!B:K,10,FALSE),0)</f>
        <v>0</v>
      </c>
      <c r="V36" s="431">
        <f ca="1">IFERROR(VLOOKUP($S36,'銀行-TSS'!B:G,6,FALSE),0)</f>
        <v>0</v>
      </c>
      <c r="W36" s="432" t="e">
        <f ca="1">IFERROR(DATEVALUE(VLOOKUP($S36,'銀行-TSS'!B:F,5,FALSE)),VLOOKUP($S36,'銀行-TSS'!B:F,5,FALSE))</f>
        <v>#N/A</v>
      </c>
      <c r="X36" s="433">
        <f ca="1">IFERROR(VLOOKUP($S36,'銀行-TSS'!B:H,7,FALSE),0)</f>
        <v>0</v>
      </c>
      <c r="Y36" s="434" t="str">
        <f ca="1">IFERROR(VLOOKUP($S36,'銀行-TSS'!B:I,8,FALSE),"")</f>
        <v/>
      </c>
      <c r="Z36" s="440" t="str">
        <f ca="1">_xlfn.IFNA(IFERROR(DATEVALUE(VLOOKUP($S36,'銀行-TSS'!B:P,15,FALSE)),VLOOKUP($S36,'銀行-TSS'!B:P,15,FALSE)),"")</f>
        <v/>
      </c>
      <c r="AA36" s="570" t="b">
        <f t="shared" ca="1" si="5"/>
        <v>0</v>
      </c>
      <c r="AB36" s="782" t="e">
        <f ca="1">DATEVALUE(VLOOKUP(S36,bond!B:I,7,FALSE))</f>
        <v>#N/A</v>
      </c>
      <c r="AC36" s="783">
        <f ca="1">IF(投組換券表[[#This Row],[檢測]]=TRUE,L36,0)</f>
        <v>0</v>
      </c>
      <c r="AD36" s="783">
        <f t="shared" ca="1" si="12"/>
        <v>0</v>
      </c>
      <c r="AE36" s="462" t="str">
        <f ca="1">IFERROR(VLOOKUP(投組換券表[[#This Row],[商品代號]],bond!B:AA,26,FALSE),"")</f>
        <v/>
      </c>
      <c r="AF36" s="1" t="str">
        <f ca="1">IFERROR(VLOOKUP($S36,'銀行-TSS'!B:Q,16,FALSE),"")</f>
        <v/>
      </c>
      <c r="AG36" s="479" t="str">
        <f ca="1">IFERROR(VLOOKUP($S36,'銀行-TSS'!B:C,2,FALSE),"")</f>
        <v/>
      </c>
      <c r="AH36" s="479" t="e">
        <f ca="1">VLOOKUP(投組換券表[[#This Row],[幣別]],$B$37:$C$43,2,FALSE)</f>
        <v>#N/A</v>
      </c>
      <c r="AI36" s="500" t="e">
        <f ca="1">CHOOSE(投組換券表[[#This Row],[對應編碼]],$D$37,$D$38,$D$39,$D$40,$D$41,$D$42,$D$43)</f>
        <v>#N/A</v>
      </c>
      <c r="AJ36" s="500">
        <f ca="1">IF(K36=0,0,CHOOSE(投組換券表[[#This Row],[對應編碼]],$E$37,$E$38,$E$39,$E$40,$E$41,$E$42,$E$43))</f>
        <v>0</v>
      </c>
      <c r="AK36" s="1520">
        <f ca="1">IFERROR(投組換券表[[#This Row],[投入面額]]*投組換券表[[#This Row],[換算匯率(現)]],0)</f>
        <v>0</v>
      </c>
      <c r="AL36" s="574">
        <f t="shared" ca="1" si="13"/>
        <v>0</v>
      </c>
      <c r="AM36" s="735">
        <f ca="1">IFERROR(VLOOKUP(投組換券表[[#This Row],[商品代號]],bond!B:X,21,FALSE),0)</f>
        <v>0</v>
      </c>
      <c r="AN36" s="735">
        <f ca="1">IFERROR(VLOOKUP(投組換券表[[#This Row],[商品代號]],bond!B:J,9,FALSE),0)</f>
        <v>0</v>
      </c>
      <c r="AO36" s="1298">
        <f ca="1">IFERROR(IF(K36=0,0,投組換券表[[#This Row],[clean申購價]]/100*投組換券表[[#This Row],[投入面額]]*投組換券表[[#This Row],[MOD]]*1%),0)</f>
        <v>0</v>
      </c>
      <c r="AP36" s="1084">
        <f ca="1">IFERROR(VLOOKUP(投組換券表[[#This Row],[商品代號]],'銀行-TSS'!B:N,13,FALSE),0)</f>
        <v>0</v>
      </c>
      <c r="AQ36" s="1084">
        <f ca="1">IFERROR(VLOOKUP(投組換券表[[#This Row],[商品代號]],'銀行-TSS'!B:O,14,FALSE),0)</f>
        <v>0</v>
      </c>
      <c r="AR36" s="1200">
        <f ca="1">IFERROR(IF(K36=0,0,投組換券表[[#This Row],[票面利率]]*投組換券表[[#This Row],[投入面額]]),0)</f>
        <v>0</v>
      </c>
      <c r="AS36" s="1188" t="e">
        <f ca="1">VLOOKUP(K36,'銀行-TSS'!B:AK,36,FALSE)</f>
        <v>#N/A</v>
      </c>
      <c r="AT36" s="434" t="e">
        <f t="shared" ca="1" si="14"/>
        <v>#VALUE!</v>
      </c>
      <c r="AU36" s="434" t="e">
        <f t="shared" ca="1" si="15"/>
        <v>#VALUE!</v>
      </c>
      <c r="AV36" s="434">
        <f t="shared" ca="1" si="16"/>
        <v>0</v>
      </c>
      <c r="AW36" s="434">
        <f t="shared" ca="1" si="17"/>
        <v>0</v>
      </c>
      <c r="AX36"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6"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6"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6"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6"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6"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6"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6"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6"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6"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6"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6"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6"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7" spans="1:62" ht="19.5" customHeight="1">
      <c r="A37" s="459" t="s">
        <v>2172</v>
      </c>
      <c r="B37" s="495" t="s">
        <v>1993</v>
      </c>
      <c r="C37" s="12">
        <v>1</v>
      </c>
      <c r="D37" s="12">
        <f>庫存管理!G12</f>
        <v>30</v>
      </c>
      <c r="E37" s="12">
        <f>庫存管理!H12</f>
        <v>32.481000000000002</v>
      </c>
      <c r="J37" s="26">
        <v>25</v>
      </c>
      <c r="K37" s="918">
        <f ca="1">IF(OR('Tssco-bond portfolio(2)'!H31=TRUE,'Tssco-bond portfolio(2)'!S31=FALSE),0,'Tssco-bond portfolio(2)'!I31)</f>
        <v>0</v>
      </c>
      <c r="L37" s="1517" t="str">
        <f ca="1">IF(K37=0,"",'Tssco-bond portfolio(2)'!W31)</f>
        <v/>
      </c>
      <c r="M37" s="566">
        <f ca="1">IF(K37=0,0,'Tssco-bond portfolio(2)'!CI31)</f>
        <v>0</v>
      </c>
      <c r="N37" s="1546">
        <f ca="1">IF(K37=0,0,'Tssco-bond portfolio(2)'!X31)</f>
        <v>0</v>
      </c>
      <c r="O37" s="1546">
        <f ca="1">IF(K37=0,0,'Tssco-bond portfolio(2)'!Y31)</f>
        <v>0</v>
      </c>
      <c r="P37" s="1546">
        <f ca="1">IF(K37=0,0,'Tssco-bond portfolio(2)'!BV31)</f>
        <v>0</v>
      </c>
      <c r="Q37" s="1546">
        <f ca="1">IF(K37=0,0,'Tssco-bond portfolio(2)'!BW31)</f>
        <v>0</v>
      </c>
      <c r="S37" s="428">
        <f t="shared" ca="1" si="11"/>
        <v>0</v>
      </c>
      <c r="T37" s="430">
        <f ca="1">IFERROR(VLOOKUP(投組換券表[[#This Row],[商品代號]],bond!B:J,9,FALSE)+VLOOKUP(投組換券表[[#This Row],[商品代號]],bond!B:N,13,FALSE),0)</f>
        <v>0</v>
      </c>
      <c r="U37" s="430">
        <f ca="1">IFERROR(VLOOKUP(投組換券表[[#This Row],[商品代號]],'銀行-TSS'!B:K,10,FALSE),0)</f>
        <v>0</v>
      </c>
      <c r="V37" s="431">
        <f ca="1">IFERROR(VLOOKUP($S37,'銀行-TSS'!B:G,6,FALSE),0)</f>
        <v>0</v>
      </c>
      <c r="W37" s="432" t="e">
        <f ca="1">IFERROR(DATEVALUE(VLOOKUP($S37,'銀行-TSS'!B:F,5,FALSE)),VLOOKUP($S37,'銀行-TSS'!B:F,5,FALSE))</f>
        <v>#N/A</v>
      </c>
      <c r="X37" s="433">
        <f ca="1">IFERROR(VLOOKUP($S37,'銀行-TSS'!B:H,7,FALSE),0)</f>
        <v>0</v>
      </c>
      <c r="Y37" s="434" t="str">
        <f ca="1">IFERROR(VLOOKUP($S37,'銀行-TSS'!B:I,8,FALSE),"")</f>
        <v/>
      </c>
      <c r="Z37" s="440" t="str">
        <f ca="1">_xlfn.IFNA(IFERROR(DATEVALUE(VLOOKUP($S37,'銀行-TSS'!B:P,15,FALSE)),VLOOKUP($S37,'銀行-TSS'!B:P,15,FALSE)),"")</f>
        <v/>
      </c>
      <c r="AA37" s="570" t="b">
        <f t="shared" ca="1" si="5"/>
        <v>0</v>
      </c>
      <c r="AB37" s="782" t="e">
        <f ca="1">DATEVALUE(VLOOKUP(S37,bond!B:I,7,FALSE))</f>
        <v>#N/A</v>
      </c>
      <c r="AC37" s="783">
        <f ca="1">IF(投組換券表[[#This Row],[檢測]]=TRUE,L37,0)</f>
        <v>0</v>
      </c>
      <c r="AD37" s="783">
        <f t="shared" ca="1" si="12"/>
        <v>0</v>
      </c>
      <c r="AE37" s="462" t="str">
        <f ca="1">IFERROR(VLOOKUP(投組換券表[[#This Row],[商品代號]],bond!B:AA,26,FALSE),"")</f>
        <v/>
      </c>
      <c r="AF37" s="1" t="str">
        <f ca="1">IFERROR(VLOOKUP($S37,'銀行-TSS'!B:Q,16,FALSE),"")</f>
        <v/>
      </c>
      <c r="AG37" s="479" t="str">
        <f ca="1">IFERROR(VLOOKUP($S37,'銀行-TSS'!B:C,2,FALSE),"")</f>
        <v/>
      </c>
      <c r="AH37" s="479" t="e">
        <f ca="1">VLOOKUP(投組換券表[[#This Row],[幣別]],$B$37:$C$43,2,FALSE)</f>
        <v>#N/A</v>
      </c>
      <c r="AI37" s="500" t="e">
        <f ca="1">CHOOSE(投組換券表[[#This Row],[對應編碼]],$D$37,$D$38,$D$39,$D$40,$D$41,$D$42,$D$43)</f>
        <v>#N/A</v>
      </c>
      <c r="AJ37" s="500">
        <f ca="1">IF(K37=0,0,CHOOSE(投組換券表[[#This Row],[對應編碼]],$E$37,$E$38,$E$39,$E$40,$E$41,$E$42,$E$43))</f>
        <v>0</v>
      </c>
      <c r="AK37" s="1520">
        <f ca="1">IFERROR(投組換券表[[#This Row],[投入面額]]*投組換券表[[#This Row],[換算匯率(現)]],0)</f>
        <v>0</v>
      </c>
      <c r="AL37" s="574">
        <f t="shared" ca="1" si="13"/>
        <v>0</v>
      </c>
      <c r="AM37" s="735">
        <f ca="1">IFERROR(VLOOKUP(投組換券表[[#This Row],[商品代號]],bond!B:X,21,FALSE),0)</f>
        <v>0</v>
      </c>
      <c r="AN37" s="735">
        <f ca="1">IFERROR(VLOOKUP(投組換券表[[#This Row],[商品代號]],bond!B:J,9,FALSE),0)</f>
        <v>0</v>
      </c>
      <c r="AO37" s="1298">
        <f ca="1">IFERROR(IF(K37=0,0,投組換券表[[#This Row],[clean申購價]]/100*投組換券表[[#This Row],[投入面額]]*投組換券表[[#This Row],[MOD]]*1%),0)</f>
        <v>0</v>
      </c>
      <c r="AP37" s="1084">
        <f ca="1">IFERROR(VLOOKUP(投組換券表[[#This Row],[商品代號]],'銀行-TSS'!B:N,13,FALSE),0)</f>
        <v>0</v>
      </c>
      <c r="AQ37" s="1084">
        <f ca="1">IFERROR(VLOOKUP(投組換券表[[#This Row],[商品代號]],'銀行-TSS'!B:O,14,FALSE),0)</f>
        <v>0</v>
      </c>
      <c r="AR37" s="1200">
        <f ca="1">IFERROR(IF(K37=0,0,投組換券表[[#This Row],[票面利率]]*投組換券表[[#This Row],[投入面額]]),0)</f>
        <v>0</v>
      </c>
      <c r="AS37" s="1188" t="e">
        <f ca="1">VLOOKUP(K37,'銀行-TSS'!B:AK,36,FALSE)</f>
        <v>#N/A</v>
      </c>
      <c r="AT37" s="434" t="e">
        <f t="shared" ca="1" si="14"/>
        <v>#VALUE!</v>
      </c>
      <c r="AU37" s="434" t="e">
        <f t="shared" ca="1" si="15"/>
        <v>#VALUE!</v>
      </c>
      <c r="AV37" s="434">
        <f t="shared" ca="1" si="16"/>
        <v>0</v>
      </c>
      <c r="AW37" s="434">
        <f t="shared" ca="1" si="17"/>
        <v>0</v>
      </c>
      <c r="AX37"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7"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7"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7"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7"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7"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7"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7"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7"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7"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7"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7"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7"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8" spans="1:62" ht="19.5" customHeight="1">
      <c r="A38" s="459" t="s">
        <v>2173</v>
      </c>
      <c r="B38" s="495" t="s">
        <v>1994</v>
      </c>
      <c r="C38" s="12">
        <v>2</v>
      </c>
      <c r="D38" s="12">
        <f>庫存管理!G13</f>
        <v>4.1333000000000002</v>
      </c>
      <c r="E38" s="12">
        <f>庫存管理!H13</f>
        <v>4.4691000000000001</v>
      </c>
      <c r="J38" s="26">
        <v>26</v>
      </c>
      <c r="K38" s="918">
        <f ca="1">IF(OR('Tssco-bond portfolio(2)'!H32=TRUE,'Tssco-bond portfolio(2)'!S32=FALSE),0,'Tssco-bond portfolio(2)'!I32)</f>
        <v>0</v>
      </c>
      <c r="L38" s="1517" t="str">
        <f ca="1">IF(K38=0,"",'Tssco-bond portfolio(2)'!W32)</f>
        <v/>
      </c>
      <c r="M38" s="566">
        <f ca="1">IF(K38=0,0,'Tssco-bond portfolio(2)'!CI32)</f>
        <v>0</v>
      </c>
      <c r="N38" s="1546">
        <f ca="1">IF(K38=0,0,'Tssco-bond portfolio(2)'!X32)</f>
        <v>0</v>
      </c>
      <c r="O38" s="1546">
        <f ca="1">IF(K38=0,0,'Tssco-bond portfolio(2)'!Y32)</f>
        <v>0</v>
      </c>
      <c r="P38" s="1546">
        <f ca="1">IF(K38=0,0,'Tssco-bond portfolio(2)'!BV32)</f>
        <v>0</v>
      </c>
      <c r="Q38" s="1546">
        <f ca="1">IF(K38=0,0,'Tssco-bond portfolio(2)'!BW32)</f>
        <v>0</v>
      </c>
      <c r="S38" s="428">
        <f t="shared" ca="1" si="11"/>
        <v>0</v>
      </c>
      <c r="T38" s="430">
        <f ca="1">IFERROR(VLOOKUP(投組換券表[[#This Row],[商品代號]],bond!B:J,9,FALSE)+VLOOKUP(投組換券表[[#This Row],[商品代號]],bond!B:N,13,FALSE),0)</f>
        <v>0</v>
      </c>
      <c r="U38" s="430">
        <f ca="1">IFERROR(VLOOKUP(投組換券表[[#This Row],[商品代號]],'銀行-TSS'!B:K,10,FALSE),0)</f>
        <v>0</v>
      </c>
      <c r="V38" s="431">
        <f ca="1">IFERROR(VLOOKUP($S38,'銀行-TSS'!B:G,6,FALSE),0)</f>
        <v>0</v>
      </c>
      <c r="W38" s="432" t="e">
        <f ca="1">IFERROR(DATEVALUE(VLOOKUP($S38,'銀行-TSS'!B:F,5,FALSE)),VLOOKUP($S38,'銀行-TSS'!B:F,5,FALSE))</f>
        <v>#N/A</v>
      </c>
      <c r="X38" s="433">
        <f ca="1">IFERROR(VLOOKUP($S38,'銀行-TSS'!B:H,7,FALSE),0)</f>
        <v>0</v>
      </c>
      <c r="Y38" s="434" t="str">
        <f ca="1">IFERROR(VLOOKUP($S38,'銀行-TSS'!B:I,8,FALSE),"")</f>
        <v/>
      </c>
      <c r="Z38" s="440" t="str">
        <f ca="1">_xlfn.IFNA(IFERROR(DATEVALUE(VLOOKUP($S38,'銀行-TSS'!B:P,15,FALSE)),VLOOKUP($S38,'銀行-TSS'!B:P,15,FALSE)),"")</f>
        <v/>
      </c>
      <c r="AA38" s="570" t="b">
        <f t="shared" ca="1" si="5"/>
        <v>0</v>
      </c>
      <c r="AB38" s="782" t="e">
        <f ca="1">DATEVALUE(VLOOKUP(S38,bond!B:I,7,FALSE))</f>
        <v>#N/A</v>
      </c>
      <c r="AC38" s="783">
        <f ca="1">IF(投組換券表[[#This Row],[檢測]]=TRUE,L38,0)</f>
        <v>0</v>
      </c>
      <c r="AD38" s="783">
        <f t="shared" ca="1" si="12"/>
        <v>0</v>
      </c>
      <c r="AE38" s="462" t="str">
        <f ca="1">IFERROR(VLOOKUP(投組換券表[[#This Row],[商品代號]],bond!B:AA,26,FALSE),"")</f>
        <v/>
      </c>
      <c r="AF38" s="1" t="str">
        <f ca="1">IFERROR(VLOOKUP($S38,'銀行-TSS'!B:Q,16,FALSE),"")</f>
        <v/>
      </c>
      <c r="AG38" s="479" t="str">
        <f ca="1">IFERROR(VLOOKUP($S38,'銀行-TSS'!B:C,2,FALSE),"")</f>
        <v/>
      </c>
      <c r="AH38" s="479" t="e">
        <f ca="1">VLOOKUP(投組換券表[[#This Row],[幣別]],$B$37:$C$43,2,FALSE)</f>
        <v>#N/A</v>
      </c>
      <c r="AI38" s="500" t="e">
        <f ca="1">CHOOSE(投組換券表[[#This Row],[對應編碼]],$D$37,$D$38,$D$39,$D$40,$D$41,$D$42,$D$43)</f>
        <v>#N/A</v>
      </c>
      <c r="AJ38" s="500">
        <f ca="1">IF(K38=0,0,CHOOSE(投組換券表[[#This Row],[對應編碼]],$E$37,$E$38,$E$39,$E$40,$E$41,$E$42,$E$43))</f>
        <v>0</v>
      </c>
      <c r="AK38" s="1520">
        <f ca="1">IFERROR(投組換券表[[#This Row],[投入面額]]*投組換券表[[#This Row],[換算匯率(現)]],0)</f>
        <v>0</v>
      </c>
      <c r="AL38" s="574">
        <f t="shared" ca="1" si="13"/>
        <v>0</v>
      </c>
      <c r="AM38" s="735">
        <f ca="1">IFERROR(VLOOKUP(投組換券表[[#This Row],[商品代號]],bond!B:X,21,FALSE),0)</f>
        <v>0</v>
      </c>
      <c r="AN38" s="735">
        <f ca="1">IFERROR(VLOOKUP(投組換券表[[#This Row],[商品代號]],bond!B:J,9,FALSE),0)</f>
        <v>0</v>
      </c>
      <c r="AO38" s="1298">
        <f ca="1">IFERROR(IF(K38=0,0,投組換券表[[#This Row],[clean申購價]]/100*投組換券表[[#This Row],[投入面額]]*投組換券表[[#This Row],[MOD]]*1%),0)</f>
        <v>0</v>
      </c>
      <c r="AP38" s="1084">
        <f ca="1">IFERROR(VLOOKUP(投組換券表[[#This Row],[商品代號]],'銀行-TSS'!B:N,13,FALSE),0)</f>
        <v>0</v>
      </c>
      <c r="AQ38" s="1084">
        <f ca="1">IFERROR(VLOOKUP(投組換券表[[#This Row],[商品代號]],'銀行-TSS'!B:O,14,FALSE),0)</f>
        <v>0</v>
      </c>
      <c r="AR38" s="1200">
        <f ca="1">IFERROR(IF(K38=0,0,投組換券表[[#This Row],[票面利率]]*投組換券表[[#This Row],[投入面額]]),0)</f>
        <v>0</v>
      </c>
      <c r="AS38" s="1188" t="e">
        <f ca="1">VLOOKUP(K38,'銀行-TSS'!B:AK,36,FALSE)</f>
        <v>#N/A</v>
      </c>
      <c r="AT38" s="434" t="e">
        <f t="shared" ca="1" si="14"/>
        <v>#VALUE!</v>
      </c>
      <c r="AU38" s="434" t="e">
        <f t="shared" ca="1" si="15"/>
        <v>#VALUE!</v>
      </c>
      <c r="AV38" s="434">
        <f t="shared" ca="1" si="16"/>
        <v>0</v>
      </c>
      <c r="AW38" s="434">
        <f t="shared" ca="1" si="17"/>
        <v>0</v>
      </c>
      <c r="AX38"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8"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8"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8"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8"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8"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8"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8"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8"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8"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8"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8"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8"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39" spans="1:62" ht="19.5" customHeight="1">
      <c r="A39" s="459" t="s">
        <v>2174</v>
      </c>
      <c r="B39" s="495" t="s">
        <v>530</v>
      </c>
      <c r="C39" s="12">
        <v>3</v>
      </c>
      <c r="D39" s="12">
        <f>庫存管理!G14</f>
        <v>1.6482000000000001</v>
      </c>
      <c r="E39" s="12">
        <f>庫存管理!H14</f>
        <v>1.7963</v>
      </c>
      <c r="J39" s="26">
        <v>27</v>
      </c>
      <c r="K39" s="918">
        <f ca="1">IF(OR('Tssco-bond portfolio(2)'!H33=TRUE,'Tssco-bond portfolio(2)'!S33=FALSE),0,'Tssco-bond portfolio(2)'!I33)</f>
        <v>0</v>
      </c>
      <c r="L39" s="1517" t="str">
        <f ca="1">IF(K39=0,"",'Tssco-bond portfolio(2)'!W33)</f>
        <v/>
      </c>
      <c r="M39" s="566">
        <f ca="1">IF(K39=0,0,'Tssco-bond portfolio(2)'!CI33)</f>
        <v>0</v>
      </c>
      <c r="N39" s="1546">
        <f ca="1">IF(K39=0,0,'Tssco-bond portfolio(2)'!X33)</f>
        <v>0</v>
      </c>
      <c r="O39" s="1546">
        <f ca="1">IF(K39=0,0,'Tssco-bond portfolio(2)'!Y33)</f>
        <v>0</v>
      </c>
      <c r="P39" s="1546">
        <f ca="1">IF(K39=0,0,'Tssco-bond portfolio(2)'!BV33)</f>
        <v>0</v>
      </c>
      <c r="Q39" s="1546">
        <f ca="1">IF(K39=0,0,'Tssco-bond portfolio(2)'!BW33)</f>
        <v>0</v>
      </c>
      <c r="S39" s="428">
        <f t="shared" ca="1" si="11"/>
        <v>0</v>
      </c>
      <c r="T39" s="430">
        <f ca="1">IFERROR(VLOOKUP(投組換券表[[#This Row],[商品代號]],bond!B:J,9,FALSE)+VLOOKUP(投組換券表[[#This Row],[商品代號]],bond!B:N,13,FALSE),0)</f>
        <v>0</v>
      </c>
      <c r="U39" s="430">
        <f ca="1">IFERROR(VLOOKUP(投組換券表[[#This Row],[商品代號]],'銀行-TSS'!B:K,10,FALSE),0)</f>
        <v>0</v>
      </c>
      <c r="V39" s="431">
        <f ca="1">IFERROR(VLOOKUP($S39,'銀行-TSS'!B:G,6,FALSE),0)</f>
        <v>0</v>
      </c>
      <c r="W39" s="432" t="e">
        <f ca="1">IFERROR(DATEVALUE(VLOOKUP($S39,'銀行-TSS'!B:F,5,FALSE)),VLOOKUP($S39,'銀行-TSS'!B:F,5,FALSE))</f>
        <v>#N/A</v>
      </c>
      <c r="X39" s="433">
        <f ca="1">IFERROR(VLOOKUP($S39,'銀行-TSS'!B:H,7,FALSE),0)</f>
        <v>0</v>
      </c>
      <c r="Y39" s="434" t="str">
        <f ca="1">IFERROR(VLOOKUP($S39,'銀行-TSS'!B:I,8,FALSE),"")</f>
        <v/>
      </c>
      <c r="Z39" s="440" t="str">
        <f ca="1">_xlfn.IFNA(IFERROR(DATEVALUE(VLOOKUP($S39,'銀行-TSS'!B:P,15,FALSE)),VLOOKUP($S39,'銀行-TSS'!B:P,15,FALSE)),"")</f>
        <v/>
      </c>
      <c r="AA39" s="570" t="b">
        <f t="shared" ca="1" si="5"/>
        <v>0</v>
      </c>
      <c r="AB39" s="782" t="e">
        <f ca="1">DATEVALUE(VLOOKUP(S39,bond!B:I,7,FALSE))</f>
        <v>#N/A</v>
      </c>
      <c r="AC39" s="783">
        <f ca="1">IF(投組換券表[[#This Row],[檢測]]=TRUE,L39,0)</f>
        <v>0</v>
      </c>
      <c r="AD39" s="783">
        <f t="shared" ca="1" si="12"/>
        <v>0</v>
      </c>
      <c r="AE39" s="462" t="str">
        <f ca="1">IFERROR(VLOOKUP(投組換券表[[#This Row],[商品代號]],bond!B:AA,26,FALSE),"")</f>
        <v/>
      </c>
      <c r="AF39" s="1" t="str">
        <f ca="1">IFERROR(VLOOKUP($S39,'銀行-TSS'!B:Q,16,FALSE),"")</f>
        <v/>
      </c>
      <c r="AG39" s="479" t="str">
        <f ca="1">IFERROR(VLOOKUP($S39,'銀行-TSS'!B:C,2,FALSE),"")</f>
        <v/>
      </c>
      <c r="AH39" s="479" t="e">
        <f ca="1">VLOOKUP(投組換券表[[#This Row],[幣別]],$B$37:$C$43,2,FALSE)</f>
        <v>#N/A</v>
      </c>
      <c r="AI39" s="500" t="e">
        <f ca="1">CHOOSE(投組換券表[[#This Row],[對應編碼]],$D$37,$D$38,$D$39,$D$40,$D$41,$D$42,$D$43)</f>
        <v>#N/A</v>
      </c>
      <c r="AJ39" s="500">
        <f ca="1">IF(K39=0,0,CHOOSE(投組換券表[[#This Row],[對應編碼]],$E$37,$E$38,$E$39,$E$40,$E$41,$E$42,$E$43))</f>
        <v>0</v>
      </c>
      <c r="AK39" s="1520">
        <f ca="1">IFERROR(投組換券表[[#This Row],[投入面額]]*投組換券表[[#This Row],[換算匯率(現)]],0)</f>
        <v>0</v>
      </c>
      <c r="AL39" s="574">
        <f t="shared" ca="1" si="13"/>
        <v>0</v>
      </c>
      <c r="AM39" s="735">
        <f ca="1">IFERROR(VLOOKUP(投組換券表[[#This Row],[商品代號]],bond!B:X,21,FALSE),0)</f>
        <v>0</v>
      </c>
      <c r="AN39" s="735">
        <f ca="1">IFERROR(VLOOKUP(投組換券表[[#This Row],[商品代號]],bond!B:J,9,FALSE),0)</f>
        <v>0</v>
      </c>
      <c r="AO39" s="1298">
        <f ca="1">IFERROR(IF(K39=0,0,投組換券表[[#This Row],[clean申購價]]/100*投組換券表[[#This Row],[投入面額]]*投組換券表[[#This Row],[MOD]]*1%),0)</f>
        <v>0</v>
      </c>
      <c r="AP39" s="1084">
        <f ca="1">IFERROR(VLOOKUP(投組換券表[[#This Row],[商品代號]],'銀行-TSS'!B:N,13,FALSE),0)</f>
        <v>0</v>
      </c>
      <c r="AQ39" s="1084">
        <f ca="1">IFERROR(VLOOKUP(投組換券表[[#This Row],[商品代號]],'銀行-TSS'!B:O,14,FALSE),0)</f>
        <v>0</v>
      </c>
      <c r="AR39" s="1200">
        <f ca="1">IFERROR(IF(K39=0,0,投組換券表[[#This Row],[票面利率]]*投組換券表[[#This Row],[投入面額]]),0)</f>
        <v>0</v>
      </c>
      <c r="AS39" s="1188" t="e">
        <f ca="1">VLOOKUP(K39,'銀行-TSS'!B:AK,36,FALSE)</f>
        <v>#N/A</v>
      </c>
      <c r="AT39" s="434" t="e">
        <f t="shared" ca="1" si="14"/>
        <v>#VALUE!</v>
      </c>
      <c r="AU39" s="434" t="e">
        <f t="shared" ca="1" si="15"/>
        <v>#VALUE!</v>
      </c>
      <c r="AV39" s="434">
        <f t="shared" ca="1" si="16"/>
        <v>0</v>
      </c>
      <c r="AW39" s="434">
        <f t="shared" ca="1" si="17"/>
        <v>0</v>
      </c>
      <c r="AX39"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39"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39"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39"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39"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39"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39"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39"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39"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39"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39"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39"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39"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0" spans="1:62" ht="19.5" customHeight="1">
      <c r="A40" s="459" t="s">
        <v>2175</v>
      </c>
      <c r="B40" s="495" t="s">
        <v>534</v>
      </c>
      <c r="C40" s="12">
        <v>4</v>
      </c>
      <c r="D40" s="12">
        <f>庫存管理!G15</f>
        <v>20.780999999999999</v>
      </c>
      <c r="E40" s="12">
        <f>庫存管理!H15</f>
        <v>21.670999999999999</v>
      </c>
      <c r="J40" s="26">
        <v>28</v>
      </c>
      <c r="K40" s="918">
        <f ca="1">IF(OR('Tssco-bond portfolio(2)'!H34=TRUE,'Tssco-bond portfolio(2)'!S34=FALSE),0,'Tssco-bond portfolio(2)'!I34)</f>
        <v>0</v>
      </c>
      <c r="L40" s="1517" t="str">
        <f ca="1">IF(K40=0,"",'Tssco-bond portfolio(2)'!W34)</f>
        <v/>
      </c>
      <c r="M40" s="566">
        <f ca="1">IF(K40=0,0,'Tssco-bond portfolio(2)'!CI34)</f>
        <v>0</v>
      </c>
      <c r="N40" s="1546">
        <f ca="1">IF(K40=0,0,'Tssco-bond portfolio(2)'!X34)</f>
        <v>0</v>
      </c>
      <c r="O40" s="1546">
        <f ca="1">IF(K40=0,0,'Tssco-bond portfolio(2)'!Y34)</f>
        <v>0</v>
      </c>
      <c r="P40" s="1546">
        <f ca="1">IF(K40=0,0,'Tssco-bond portfolio(2)'!BV34)</f>
        <v>0</v>
      </c>
      <c r="Q40" s="1546">
        <f ca="1">IF(K40=0,0,'Tssco-bond portfolio(2)'!BW34)</f>
        <v>0</v>
      </c>
      <c r="S40" s="428">
        <f t="shared" ca="1" si="11"/>
        <v>0</v>
      </c>
      <c r="T40" s="430">
        <f ca="1">IFERROR(VLOOKUP(投組換券表[[#This Row],[商品代號]],bond!B:J,9,FALSE)+VLOOKUP(投組換券表[[#This Row],[商品代號]],bond!B:N,13,FALSE),0)</f>
        <v>0</v>
      </c>
      <c r="U40" s="430">
        <f ca="1">IFERROR(VLOOKUP(投組換券表[[#This Row],[商品代號]],'銀行-TSS'!B:K,10,FALSE),0)</f>
        <v>0</v>
      </c>
      <c r="V40" s="431">
        <f ca="1">IFERROR(VLOOKUP($S40,'銀行-TSS'!B:G,6,FALSE),0)</f>
        <v>0</v>
      </c>
      <c r="W40" s="432" t="e">
        <f ca="1">IFERROR(DATEVALUE(VLOOKUP($S40,'銀行-TSS'!B:F,5,FALSE)),VLOOKUP($S40,'銀行-TSS'!B:F,5,FALSE))</f>
        <v>#N/A</v>
      </c>
      <c r="X40" s="433">
        <f ca="1">IFERROR(VLOOKUP($S40,'銀行-TSS'!B:H,7,FALSE),0)</f>
        <v>0</v>
      </c>
      <c r="Y40" s="434" t="str">
        <f ca="1">IFERROR(VLOOKUP($S40,'銀行-TSS'!B:I,8,FALSE),"")</f>
        <v/>
      </c>
      <c r="Z40" s="440" t="str">
        <f ca="1">_xlfn.IFNA(IFERROR(DATEVALUE(VLOOKUP($S40,'銀行-TSS'!B:P,15,FALSE)),VLOOKUP($S40,'銀行-TSS'!B:P,15,FALSE)),"")</f>
        <v/>
      </c>
      <c r="AA40" s="570" t="b">
        <f t="shared" ca="1" si="5"/>
        <v>0</v>
      </c>
      <c r="AB40" s="782" t="e">
        <f ca="1">DATEVALUE(VLOOKUP(S40,bond!B:I,7,FALSE))</f>
        <v>#N/A</v>
      </c>
      <c r="AC40" s="783">
        <f ca="1">IF(投組換券表[[#This Row],[檢測]]=TRUE,L40,0)</f>
        <v>0</v>
      </c>
      <c r="AD40" s="783">
        <f t="shared" ca="1" si="12"/>
        <v>0</v>
      </c>
      <c r="AE40" s="462" t="str">
        <f ca="1">IFERROR(VLOOKUP(投組換券表[[#This Row],[商品代號]],bond!B:AA,26,FALSE),"")</f>
        <v/>
      </c>
      <c r="AF40" s="1" t="str">
        <f ca="1">IFERROR(VLOOKUP($S40,'銀行-TSS'!B:Q,16,FALSE),"")</f>
        <v/>
      </c>
      <c r="AG40" s="479" t="str">
        <f ca="1">IFERROR(VLOOKUP($S40,'銀行-TSS'!B:C,2,FALSE),"")</f>
        <v/>
      </c>
      <c r="AH40" s="479" t="e">
        <f ca="1">VLOOKUP(投組換券表[[#This Row],[幣別]],$B$37:$C$43,2,FALSE)</f>
        <v>#N/A</v>
      </c>
      <c r="AI40" s="500" t="e">
        <f ca="1">CHOOSE(投組換券表[[#This Row],[對應編碼]],$D$37,$D$38,$D$39,$D$40,$D$41,$D$42,$D$43)</f>
        <v>#N/A</v>
      </c>
      <c r="AJ40" s="500">
        <f ca="1">IF(K40=0,0,CHOOSE(投組換券表[[#This Row],[對應編碼]],$E$37,$E$38,$E$39,$E$40,$E$41,$E$42,$E$43))</f>
        <v>0</v>
      </c>
      <c r="AK40" s="1520">
        <f ca="1">IFERROR(投組換券表[[#This Row],[投入面額]]*投組換券表[[#This Row],[換算匯率(現)]],0)</f>
        <v>0</v>
      </c>
      <c r="AL40" s="574">
        <f t="shared" ca="1" si="13"/>
        <v>0</v>
      </c>
      <c r="AM40" s="735">
        <f ca="1">IFERROR(VLOOKUP(投組換券表[[#This Row],[商品代號]],bond!B:X,21,FALSE),0)</f>
        <v>0</v>
      </c>
      <c r="AN40" s="735">
        <f ca="1">IFERROR(VLOOKUP(投組換券表[[#This Row],[商品代號]],bond!B:J,9,FALSE),0)</f>
        <v>0</v>
      </c>
      <c r="AO40" s="1298">
        <f ca="1">IFERROR(IF(K40=0,0,投組換券表[[#This Row],[clean申購價]]/100*投組換券表[[#This Row],[投入面額]]*投組換券表[[#This Row],[MOD]]*1%),0)</f>
        <v>0</v>
      </c>
      <c r="AP40" s="1084">
        <f ca="1">IFERROR(VLOOKUP(投組換券表[[#This Row],[商品代號]],'銀行-TSS'!B:N,13,FALSE),0)</f>
        <v>0</v>
      </c>
      <c r="AQ40" s="1084">
        <f ca="1">IFERROR(VLOOKUP(投組換券表[[#This Row],[商品代號]],'銀行-TSS'!B:O,14,FALSE),0)</f>
        <v>0</v>
      </c>
      <c r="AR40" s="1200">
        <f ca="1">IFERROR(IF(K40=0,0,投組換券表[[#This Row],[票面利率]]*投組換券表[[#This Row],[投入面額]]),0)</f>
        <v>0</v>
      </c>
      <c r="AS40" s="1188" t="e">
        <f ca="1">VLOOKUP(K40,'銀行-TSS'!B:AK,36,FALSE)</f>
        <v>#N/A</v>
      </c>
      <c r="AT40" s="434" t="e">
        <f t="shared" ca="1" si="14"/>
        <v>#VALUE!</v>
      </c>
      <c r="AU40" s="434" t="e">
        <f t="shared" ca="1" si="15"/>
        <v>#VALUE!</v>
      </c>
      <c r="AV40" s="434">
        <f t="shared" ca="1" si="16"/>
        <v>0</v>
      </c>
      <c r="AW40" s="434">
        <f t="shared" ca="1" si="17"/>
        <v>0</v>
      </c>
      <c r="AX40"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0"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0"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0"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0"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0"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0"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0"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0"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0"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0"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0"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0"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1" spans="1:62" ht="19.5" customHeight="1">
      <c r="A41" s="459" t="s">
        <v>2176</v>
      </c>
      <c r="B41" s="495" t="s">
        <v>533</v>
      </c>
      <c r="C41" s="12">
        <v>5</v>
      </c>
      <c r="D41" s="12">
        <f>庫存管理!G16</f>
        <v>22.942900000000002</v>
      </c>
      <c r="E41" s="12">
        <f>庫存管理!H16</f>
        <v>23.761500000000002</v>
      </c>
      <c r="J41" s="26">
        <v>29</v>
      </c>
      <c r="K41" s="918">
        <f ca="1">IF(OR('Tssco-bond portfolio(2)'!H35=TRUE,'Tssco-bond portfolio(2)'!S35=FALSE),0,'Tssco-bond portfolio(2)'!I35)</f>
        <v>0</v>
      </c>
      <c r="L41" s="1517" t="str">
        <f ca="1">IF(K41=0,"",'Tssco-bond portfolio(2)'!W35)</f>
        <v/>
      </c>
      <c r="M41" s="566">
        <f ca="1">IF(K41=0,0,'Tssco-bond portfolio(2)'!CI35)</f>
        <v>0</v>
      </c>
      <c r="N41" s="1546">
        <f ca="1">IF(K41=0,0,'Tssco-bond portfolio(2)'!X35)</f>
        <v>0</v>
      </c>
      <c r="O41" s="1546">
        <f ca="1">IF(K41=0,0,'Tssco-bond portfolio(2)'!Y35)</f>
        <v>0</v>
      </c>
      <c r="P41" s="1546">
        <f ca="1">IF(K41=0,0,'Tssco-bond portfolio(2)'!BV35)</f>
        <v>0</v>
      </c>
      <c r="Q41" s="1546">
        <f ca="1">IF(K41=0,0,'Tssco-bond portfolio(2)'!BW35)</f>
        <v>0</v>
      </c>
      <c r="S41" s="428">
        <f t="shared" ca="1" si="11"/>
        <v>0</v>
      </c>
      <c r="T41" s="430">
        <f ca="1">IFERROR(VLOOKUP(投組換券表[[#This Row],[商品代號]],bond!B:J,9,FALSE)+VLOOKUP(投組換券表[[#This Row],[商品代號]],bond!B:N,13,FALSE),0)</f>
        <v>0</v>
      </c>
      <c r="U41" s="430">
        <f ca="1">IFERROR(VLOOKUP(投組換券表[[#This Row],[商品代號]],'銀行-TSS'!B:K,10,FALSE),0)</f>
        <v>0</v>
      </c>
      <c r="V41" s="431">
        <f ca="1">IFERROR(VLOOKUP($S41,'銀行-TSS'!B:G,6,FALSE),0)</f>
        <v>0</v>
      </c>
      <c r="W41" s="432" t="e">
        <f ca="1">IFERROR(DATEVALUE(VLOOKUP($S41,'銀行-TSS'!B:F,5,FALSE)),VLOOKUP($S41,'銀行-TSS'!B:F,5,FALSE))</f>
        <v>#N/A</v>
      </c>
      <c r="X41" s="433">
        <f ca="1">IFERROR(VLOOKUP($S41,'銀行-TSS'!B:H,7,FALSE),0)</f>
        <v>0</v>
      </c>
      <c r="Y41" s="434" t="str">
        <f ca="1">IFERROR(VLOOKUP($S41,'銀行-TSS'!B:I,8,FALSE),"")</f>
        <v/>
      </c>
      <c r="Z41" s="440" t="str">
        <f ca="1">_xlfn.IFNA(IFERROR(DATEVALUE(VLOOKUP($S41,'銀行-TSS'!B:P,15,FALSE)),VLOOKUP($S41,'銀行-TSS'!B:P,15,FALSE)),"")</f>
        <v/>
      </c>
      <c r="AA41" s="570" t="b">
        <f t="shared" ca="1" si="5"/>
        <v>0</v>
      </c>
      <c r="AB41" s="782" t="e">
        <f ca="1">DATEVALUE(VLOOKUP(S41,bond!B:I,7,FALSE))</f>
        <v>#N/A</v>
      </c>
      <c r="AC41" s="783">
        <f ca="1">IF(投組換券表[[#This Row],[檢測]]=TRUE,L41,0)</f>
        <v>0</v>
      </c>
      <c r="AD41" s="783">
        <f t="shared" ca="1" si="12"/>
        <v>0</v>
      </c>
      <c r="AE41" s="462" t="str">
        <f ca="1">IFERROR(VLOOKUP(投組換券表[[#This Row],[商品代號]],bond!B:AA,26,FALSE),"")</f>
        <v/>
      </c>
      <c r="AF41" s="1" t="str">
        <f ca="1">IFERROR(VLOOKUP($S41,'銀行-TSS'!B:Q,16,FALSE),"")</f>
        <v/>
      </c>
      <c r="AG41" s="479" t="str">
        <f ca="1">IFERROR(VLOOKUP($S41,'銀行-TSS'!B:C,2,FALSE),"")</f>
        <v/>
      </c>
      <c r="AH41" s="479" t="e">
        <f ca="1">VLOOKUP(投組換券表[[#This Row],[幣別]],$B$37:$C$43,2,FALSE)</f>
        <v>#N/A</v>
      </c>
      <c r="AI41" s="500" t="e">
        <f ca="1">CHOOSE(投組換券表[[#This Row],[對應編碼]],$D$37,$D$38,$D$39,$D$40,$D$41,$D$42,$D$43)</f>
        <v>#N/A</v>
      </c>
      <c r="AJ41" s="500">
        <f ca="1">IF(K41=0,0,CHOOSE(投組換券表[[#This Row],[對應編碼]],$E$37,$E$38,$E$39,$E$40,$E$41,$E$42,$E$43))</f>
        <v>0</v>
      </c>
      <c r="AK41" s="1520">
        <f ca="1">IFERROR(投組換券表[[#This Row],[投入面額]]*投組換券表[[#This Row],[換算匯率(現)]],0)</f>
        <v>0</v>
      </c>
      <c r="AL41" s="574">
        <f t="shared" ca="1" si="13"/>
        <v>0</v>
      </c>
      <c r="AM41" s="735">
        <f ca="1">IFERROR(VLOOKUP(投組換券表[[#This Row],[商品代號]],bond!B:X,21,FALSE),0)</f>
        <v>0</v>
      </c>
      <c r="AN41" s="735">
        <f ca="1">IFERROR(VLOOKUP(投組換券表[[#This Row],[商品代號]],bond!B:J,9,FALSE),0)</f>
        <v>0</v>
      </c>
      <c r="AO41" s="1298">
        <f ca="1">IFERROR(IF(K41=0,0,投組換券表[[#This Row],[clean申購價]]/100*投組換券表[[#This Row],[投入面額]]*投組換券表[[#This Row],[MOD]]*1%),0)</f>
        <v>0</v>
      </c>
      <c r="AP41" s="1084">
        <f ca="1">IFERROR(VLOOKUP(投組換券表[[#This Row],[商品代號]],'銀行-TSS'!B:N,13,FALSE),0)</f>
        <v>0</v>
      </c>
      <c r="AQ41" s="1084">
        <f ca="1">IFERROR(VLOOKUP(投組換券表[[#This Row],[商品代號]],'銀行-TSS'!B:O,14,FALSE),0)</f>
        <v>0</v>
      </c>
      <c r="AR41" s="1200">
        <f ca="1">IFERROR(IF(K41=0,0,投組換券表[[#This Row],[票面利率]]*投組換券表[[#This Row],[投入面額]]),0)</f>
        <v>0</v>
      </c>
      <c r="AS41" s="1188" t="e">
        <f ca="1">VLOOKUP(K41,'銀行-TSS'!B:AK,36,FALSE)</f>
        <v>#N/A</v>
      </c>
      <c r="AT41" s="434" t="e">
        <f t="shared" ca="1" si="14"/>
        <v>#VALUE!</v>
      </c>
      <c r="AU41" s="434" t="e">
        <f t="shared" ca="1" si="15"/>
        <v>#VALUE!</v>
      </c>
      <c r="AV41" s="434">
        <f t="shared" ca="1" si="16"/>
        <v>0</v>
      </c>
      <c r="AW41" s="434">
        <f t="shared" ca="1" si="17"/>
        <v>0</v>
      </c>
      <c r="AX41"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1"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1"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1"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1"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1"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1"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1"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1"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1"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1"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1"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1"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2" spans="1:62" ht="19.5" customHeight="1">
      <c r="A42" s="459" t="s">
        <v>2177</v>
      </c>
      <c r="B42" s="495" t="s">
        <v>531</v>
      </c>
      <c r="C42" s="12">
        <v>6</v>
      </c>
      <c r="D42" s="12">
        <f>庫存管理!G17</f>
        <v>19.486899999999999</v>
      </c>
      <c r="E42" s="12">
        <f>庫存管理!H17</f>
        <v>19.813199999999998</v>
      </c>
      <c r="J42" s="26">
        <v>30</v>
      </c>
      <c r="K42" s="918">
        <f ca="1">IF(OR('Tssco-bond portfolio(2)'!H36=TRUE,'Tssco-bond portfolio(2)'!S36=FALSE),0,'Tssco-bond portfolio(2)'!I36)</f>
        <v>0</v>
      </c>
      <c r="L42" s="1517" t="str">
        <f ca="1">IF(K42=0,"",'Tssco-bond portfolio(2)'!W36)</f>
        <v/>
      </c>
      <c r="M42" s="566">
        <f ca="1">IF(K42=0,0,'Tssco-bond portfolio(2)'!CI36)</f>
        <v>0</v>
      </c>
      <c r="N42" s="1546">
        <f ca="1">IF(K42=0,0,'Tssco-bond portfolio(2)'!X36)</f>
        <v>0</v>
      </c>
      <c r="O42" s="1546">
        <f ca="1">IF(K42=0,0,'Tssco-bond portfolio(2)'!Y36)</f>
        <v>0</v>
      </c>
      <c r="P42" s="1546">
        <f ca="1">IF(K42=0,0,'Tssco-bond portfolio(2)'!BV36)</f>
        <v>0</v>
      </c>
      <c r="Q42" s="1546">
        <f ca="1">IF(K42=0,0,'Tssco-bond portfolio(2)'!BW36)</f>
        <v>0</v>
      </c>
      <c r="S42" s="428">
        <f t="shared" ca="1" si="11"/>
        <v>0</v>
      </c>
      <c r="T42" s="430">
        <f ca="1">IFERROR(VLOOKUP(投組換券表[[#This Row],[商品代號]],bond!B:J,9,FALSE)+VLOOKUP(投組換券表[[#This Row],[商品代號]],bond!B:N,13,FALSE),0)</f>
        <v>0</v>
      </c>
      <c r="U42" s="430">
        <f ca="1">IFERROR(VLOOKUP(投組換券表[[#This Row],[商品代號]],'銀行-TSS'!B:K,10,FALSE),0)</f>
        <v>0</v>
      </c>
      <c r="V42" s="431">
        <f ca="1">IFERROR(VLOOKUP($S42,'銀行-TSS'!B:G,6,FALSE),0)</f>
        <v>0</v>
      </c>
      <c r="W42" s="432" t="e">
        <f ca="1">IFERROR(DATEVALUE(VLOOKUP($S42,'銀行-TSS'!B:F,5,FALSE)),VLOOKUP($S42,'銀行-TSS'!B:F,5,FALSE))</f>
        <v>#N/A</v>
      </c>
      <c r="X42" s="433">
        <f ca="1">IFERROR(VLOOKUP($S42,'銀行-TSS'!B:H,7,FALSE),0)</f>
        <v>0</v>
      </c>
      <c r="Y42" s="434" t="str">
        <f ca="1">IFERROR(VLOOKUP($S42,'銀行-TSS'!B:I,8,FALSE),"")</f>
        <v/>
      </c>
      <c r="Z42" s="440" t="str">
        <f ca="1">_xlfn.IFNA(IFERROR(DATEVALUE(VLOOKUP($S42,'銀行-TSS'!B:P,15,FALSE)),VLOOKUP($S42,'銀行-TSS'!B:P,15,FALSE)),"")</f>
        <v/>
      </c>
      <c r="AA42" s="570" t="b">
        <f t="shared" ca="1" si="5"/>
        <v>0</v>
      </c>
      <c r="AB42" s="782" t="e">
        <f ca="1">DATEVALUE(VLOOKUP(S42,bond!B:I,7,FALSE))</f>
        <v>#N/A</v>
      </c>
      <c r="AC42" s="783">
        <f ca="1">IF(投組換券表[[#This Row],[檢測]]=TRUE,L42,0)</f>
        <v>0</v>
      </c>
      <c r="AD42" s="783">
        <f t="shared" ca="1" si="12"/>
        <v>0</v>
      </c>
      <c r="AE42" s="462" t="str">
        <f ca="1">IFERROR(VLOOKUP(投組換券表[[#This Row],[商品代號]],bond!B:AA,26,FALSE),"")</f>
        <v/>
      </c>
      <c r="AF42" s="1" t="str">
        <f ca="1">IFERROR(VLOOKUP($S42,'銀行-TSS'!B:Q,16,FALSE),"")</f>
        <v/>
      </c>
      <c r="AG42" s="479" t="str">
        <f ca="1">IFERROR(VLOOKUP($S42,'銀行-TSS'!B:C,2,FALSE),"")</f>
        <v/>
      </c>
      <c r="AH42" s="479" t="e">
        <f ca="1">VLOOKUP(投組換券表[[#This Row],[幣別]],$B$37:$C$43,2,FALSE)</f>
        <v>#N/A</v>
      </c>
      <c r="AI42" s="500" t="e">
        <f ca="1">CHOOSE(投組換券表[[#This Row],[對應編碼]],$D$37,$D$38,$D$39,$D$40,$D$41,$D$42,$D$43)</f>
        <v>#N/A</v>
      </c>
      <c r="AJ42" s="500">
        <f ca="1">IF(K42=0,0,CHOOSE(投組換券表[[#This Row],[對應編碼]],$E$37,$E$38,$E$39,$E$40,$E$41,$E$42,$E$43))</f>
        <v>0</v>
      </c>
      <c r="AK42" s="1520">
        <f ca="1">IFERROR(投組換券表[[#This Row],[投入面額]]*投組換券表[[#This Row],[換算匯率(現)]],0)</f>
        <v>0</v>
      </c>
      <c r="AL42" s="574">
        <f t="shared" ca="1" si="13"/>
        <v>0</v>
      </c>
      <c r="AM42" s="735">
        <f ca="1">IFERROR(VLOOKUP(投組換券表[[#This Row],[商品代號]],bond!B:X,21,FALSE),0)</f>
        <v>0</v>
      </c>
      <c r="AN42" s="735">
        <f ca="1">IFERROR(VLOOKUP(投組換券表[[#This Row],[商品代號]],bond!B:J,9,FALSE),0)</f>
        <v>0</v>
      </c>
      <c r="AO42" s="1298">
        <f ca="1">IFERROR(IF(K42=0,0,投組換券表[[#This Row],[clean申購價]]/100*投組換券表[[#This Row],[投入面額]]*投組換券表[[#This Row],[MOD]]*1%),0)</f>
        <v>0</v>
      </c>
      <c r="AP42" s="1084">
        <f ca="1">IFERROR(VLOOKUP(投組換券表[[#This Row],[商品代號]],'銀行-TSS'!B:N,13,FALSE),0)</f>
        <v>0</v>
      </c>
      <c r="AQ42" s="1084">
        <f ca="1">IFERROR(VLOOKUP(投組換券表[[#This Row],[商品代號]],'銀行-TSS'!B:O,14,FALSE),0)</f>
        <v>0</v>
      </c>
      <c r="AR42" s="1200">
        <f ca="1">IFERROR(IF(K42=0,0,投組換券表[[#This Row],[票面利率]]*投組換券表[[#This Row],[投入面額]]),0)</f>
        <v>0</v>
      </c>
      <c r="AS42" s="1188" t="e">
        <f ca="1">VLOOKUP(K42,'銀行-TSS'!B:AK,36,FALSE)</f>
        <v>#N/A</v>
      </c>
      <c r="AT42" s="434" t="e">
        <f t="shared" ca="1" si="14"/>
        <v>#VALUE!</v>
      </c>
      <c r="AU42" s="434" t="e">
        <f t="shared" ca="1" si="15"/>
        <v>#VALUE!</v>
      </c>
      <c r="AV42" s="434">
        <f t="shared" ca="1" si="16"/>
        <v>0</v>
      </c>
      <c r="AW42" s="434">
        <f t="shared" ca="1" si="17"/>
        <v>0</v>
      </c>
      <c r="AX42"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2"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2"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2"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2"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2"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2"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2"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2"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2"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2"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2"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2"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3" spans="1:62" ht="19.5" customHeight="1">
      <c r="A43" s="459" t="s">
        <v>2178</v>
      </c>
      <c r="B43" s="495" t="s">
        <v>532</v>
      </c>
      <c r="C43" s="12">
        <v>7</v>
      </c>
      <c r="D43" s="12">
        <f>庫存管理!G18</f>
        <v>33.7042</v>
      </c>
      <c r="E43" s="12">
        <f>庫存管理!H18</f>
        <v>34.927900000000001</v>
      </c>
      <c r="J43" s="26">
        <v>31</v>
      </c>
      <c r="K43" s="918">
        <f ca="1">IF(OR('Tssco-bond portfolio(2)'!H37=TRUE,'Tssco-bond portfolio(2)'!S37=FALSE),0,'Tssco-bond portfolio(2)'!I37)</f>
        <v>0</v>
      </c>
      <c r="L43" s="1517" t="str">
        <f ca="1">IF(K43=0,"",'Tssco-bond portfolio(2)'!W37)</f>
        <v/>
      </c>
      <c r="M43" s="566">
        <f ca="1">IF(K43=0,0,'Tssco-bond portfolio(2)'!CI37)</f>
        <v>0</v>
      </c>
      <c r="N43" s="1546">
        <f ca="1">IF(K43=0,0,'Tssco-bond portfolio(2)'!X37)</f>
        <v>0</v>
      </c>
      <c r="O43" s="1546">
        <f ca="1">IF(K43=0,0,'Tssco-bond portfolio(2)'!Y37)</f>
        <v>0</v>
      </c>
      <c r="P43" s="1546">
        <f ca="1">IF(K43=0,0,'Tssco-bond portfolio(2)'!BV37)</f>
        <v>0</v>
      </c>
      <c r="Q43" s="1546">
        <f ca="1">IF(K43=0,0,'Tssco-bond portfolio(2)'!BW37)</f>
        <v>0</v>
      </c>
      <c r="S43" s="428">
        <f t="shared" ca="1" si="11"/>
        <v>0</v>
      </c>
      <c r="T43" s="430">
        <f ca="1">IFERROR(VLOOKUP(投組換券表[[#This Row],[商品代號]],bond!B:J,9,FALSE)+VLOOKUP(投組換券表[[#This Row],[商品代號]],bond!B:N,13,FALSE),0)</f>
        <v>0</v>
      </c>
      <c r="U43" s="430">
        <f ca="1">IFERROR(VLOOKUP(投組換券表[[#This Row],[商品代號]],'銀行-TSS'!B:K,10,FALSE),0)</f>
        <v>0</v>
      </c>
      <c r="V43" s="431">
        <f ca="1">IFERROR(VLOOKUP($S43,'銀行-TSS'!B:G,6,FALSE),0)</f>
        <v>0</v>
      </c>
      <c r="W43" s="432" t="e">
        <f ca="1">IFERROR(DATEVALUE(VLOOKUP($S43,'銀行-TSS'!B:F,5,FALSE)),VLOOKUP($S43,'銀行-TSS'!B:F,5,FALSE))</f>
        <v>#N/A</v>
      </c>
      <c r="X43" s="433">
        <f ca="1">IFERROR(VLOOKUP($S43,'銀行-TSS'!B:H,7,FALSE),0)</f>
        <v>0</v>
      </c>
      <c r="Y43" s="434" t="str">
        <f ca="1">IFERROR(VLOOKUP($S43,'銀行-TSS'!B:I,8,FALSE),"")</f>
        <v/>
      </c>
      <c r="Z43" s="440" t="str">
        <f ca="1">_xlfn.IFNA(IFERROR(DATEVALUE(VLOOKUP($S43,'銀行-TSS'!B:P,15,FALSE)),VLOOKUP($S43,'銀行-TSS'!B:P,15,FALSE)),"")</f>
        <v/>
      </c>
      <c r="AA43" s="570" t="b">
        <f t="shared" ca="1" si="5"/>
        <v>0</v>
      </c>
      <c r="AB43" s="782" t="e">
        <f ca="1">DATEVALUE(VLOOKUP(S43,bond!B:I,7,FALSE))</f>
        <v>#N/A</v>
      </c>
      <c r="AC43" s="783">
        <f ca="1">IF(投組換券表[[#This Row],[檢測]]=TRUE,L43,0)</f>
        <v>0</v>
      </c>
      <c r="AD43" s="783">
        <f t="shared" ca="1" si="12"/>
        <v>0</v>
      </c>
      <c r="AE43" s="462" t="str">
        <f ca="1">IFERROR(VLOOKUP(投組換券表[[#This Row],[商品代號]],bond!B:AA,26,FALSE),"")</f>
        <v/>
      </c>
      <c r="AF43" s="1" t="str">
        <f ca="1">IFERROR(VLOOKUP($S43,'銀行-TSS'!B:Q,16,FALSE),"")</f>
        <v/>
      </c>
      <c r="AG43" s="479" t="str">
        <f ca="1">IFERROR(VLOOKUP($S43,'銀行-TSS'!B:C,2,FALSE),"")</f>
        <v/>
      </c>
      <c r="AH43" s="479" t="e">
        <f ca="1">VLOOKUP(投組換券表[[#This Row],[幣別]],$B$37:$C$43,2,FALSE)</f>
        <v>#N/A</v>
      </c>
      <c r="AI43" s="500" t="e">
        <f ca="1">CHOOSE(投組換券表[[#This Row],[對應編碼]],$D$37,$D$38,$D$39,$D$40,$D$41,$D$42,$D$43)</f>
        <v>#N/A</v>
      </c>
      <c r="AJ43" s="500">
        <f ca="1">IF(K43=0,0,CHOOSE(投組換券表[[#This Row],[對應編碼]],$E$37,$E$38,$E$39,$E$40,$E$41,$E$42,$E$43))</f>
        <v>0</v>
      </c>
      <c r="AK43" s="1520">
        <f ca="1">IFERROR(投組換券表[[#This Row],[投入面額]]*投組換券表[[#This Row],[換算匯率(現)]],0)</f>
        <v>0</v>
      </c>
      <c r="AL43" s="574">
        <f t="shared" ca="1" si="13"/>
        <v>0</v>
      </c>
      <c r="AM43" s="735">
        <f ca="1">IFERROR(VLOOKUP(投組換券表[[#This Row],[商品代號]],bond!B:X,21,FALSE),0)</f>
        <v>0</v>
      </c>
      <c r="AN43" s="735">
        <f ca="1">IFERROR(VLOOKUP(投組換券表[[#This Row],[商品代號]],bond!B:J,9,FALSE),0)</f>
        <v>0</v>
      </c>
      <c r="AO43" s="1298">
        <f ca="1">IFERROR(IF(K43=0,0,投組換券表[[#This Row],[clean申購價]]/100*投組換券表[[#This Row],[投入面額]]*投組換券表[[#This Row],[MOD]]*1%),0)</f>
        <v>0</v>
      </c>
      <c r="AP43" s="1084">
        <f ca="1">IFERROR(VLOOKUP(投組換券表[[#This Row],[商品代號]],'銀行-TSS'!B:N,13,FALSE),0)</f>
        <v>0</v>
      </c>
      <c r="AQ43" s="1084">
        <f ca="1">IFERROR(VLOOKUP(投組換券表[[#This Row],[商品代號]],'銀行-TSS'!B:O,14,FALSE),0)</f>
        <v>0</v>
      </c>
      <c r="AR43" s="1200">
        <f ca="1">IFERROR(IF(K43=0,0,投組換券表[[#This Row],[票面利率]]*投組換券表[[#This Row],[投入面額]]),0)</f>
        <v>0</v>
      </c>
      <c r="AS43" s="1188" t="e">
        <f ca="1">VLOOKUP(K43,'銀行-TSS'!B:AK,36,FALSE)</f>
        <v>#N/A</v>
      </c>
      <c r="AT43" s="434" t="e">
        <f t="shared" ca="1" si="14"/>
        <v>#VALUE!</v>
      </c>
      <c r="AU43" s="434" t="e">
        <f t="shared" ca="1" si="15"/>
        <v>#VALUE!</v>
      </c>
      <c r="AV43" s="434">
        <f t="shared" ca="1" si="16"/>
        <v>0</v>
      </c>
      <c r="AW43" s="434">
        <f t="shared" ca="1" si="17"/>
        <v>0</v>
      </c>
      <c r="AX43"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3"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3"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3"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3"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3"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3"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3"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3"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3"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3"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3"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3"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4" spans="1:62" ht="19.5" customHeight="1">
      <c r="B44" s="684" t="s">
        <v>2189</v>
      </c>
      <c r="J44" s="26">
        <v>32</v>
      </c>
      <c r="K44" s="918">
        <f ca="1">IF(OR('Tssco-bond portfolio(2)'!H38=TRUE,'Tssco-bond portfolio(2)'!S38=FALSE),0,'Tssco-bond portfolio(2)'!I38)</f>
        <v>0</v>
      </c>
      <c r="L44" s="1517" t="str">
        <f ca="1">IF(K44=0,"",'Tssco-bond portfolio(2)'!W38)</f>
        <v/>
      </c>
      <c r="M44" s="566">
        <f ca="1">IF(K44=0,0,'Tssco-bond portfolio(2)'!CI38)</f>
        <v>0</v>
      </c>
      <c r="N44" s="1546">
        <f ca="1">IF(K44=0,0,'Tssco-bond portfolio(2)'!X38)</f>
        <v>0</v>
      </c>
      <c r="O44" s="1546">
        <f ca="1">IF(K44=0,0,'Tssco-bond portfolio(2)'!Y38)</f>
        <v>0</v>
      </c>
      <c r="P44" s="1546">
        <f ca="1">IF(K44=0,0,'Tssco-bond portfolio(2)'!BV38)</f>
        <v>0</v>
      </c>
      <c r="Q44" s="1546">
        <f ca="1">IF(K44=0,0,'Tssco-bond portfolio(2)'!BW38)</f>
        <v>0</v>
      </c>
      <c r="S44" s="428">
        <f t="shared" ca="1" si="11"/>
        <v>0</v>
      </c>
      <c r="T44" s="430">
        <f ca="1">IFERROR(VLOOKUP(投組換券表[[#This Row],[商品代號]],bond!B:J,9,FALSE)+VLOOKUP(投組換券表[[#This Row],[商品代號]],bond!B:N,13,FALSE),0)</f>
        <v>0</v>
      </c>
      <c r="U44" s="430">
        <f ca="1">IFERROR(VLOOKUP(投組換券表[[#This Row],[商品代號]],'銀行-TSS'!B:K,10,FALSE),0)</f>
        <v>0</v>
      </c>
      <c r="V44" s="431">
        <f ca="1">IFERROR(VLOOKUP($S44,'銀行-TSS'!B:G,6,FALSE),0)</f>
        <v>0</v>
      </c>
      <c r="W44" s="432" t="e">
        <f ca="1">IFERROR(DATEVALUE(VLOOKUP($S44,'銀行-TSS'!B:F,5,FALSE)),VLOOKUP($S44,'銀行-TSS'!B:F,5,FALSE))</f>
        <v>#N/A</v>
      </c>
      <c r="X44" s="433">
        <f ca="1">IFERROR(VLOOKUP($S44,'銀行-TSS'!B:H,7,FALSE),0)</f>
        <v>0</v>
      </c>
      <c r="Y44" s="434" t="str">
        <f ca="1">IFERROR(VLOOKUP($S44,'銀行-TSS'!B:I,8,FALSE),"")</f>
        <v/>
      </c>
      <c r="Z44" s="440" t="str">
        <f ca="1">_xlfn.IFNA(IFERROR(DATEVALUE(VLOOKUP($S44,'銀行-TSS'!B:P,15,FALSE)),VLOOKUP($S44,'銀行-TSS'!B:P,15,FALSE)),"")</f>
        <v/>
      </c>
      <c r="AA44" s="570" t="b">
        <f t="shared" ca="1" si="5"/>
        <v>0</v>
      </c>
      <c r="AB44" s="782" t="e">
        <f ca="1">DATEVALUE(VLOOKUP(S44,bond!B:I,7,FALSE))</f>
        <v>#N/A</v>
      </c>
      <c r="AC44" s="783">
        <f ca="1">IF(投組換券表[[#This Row],[檢測]]=TRUE,L44,0)</f>
        <v>0</v>
      </c>
      <c r="AD44" s="783">
        <f t="shared" ca="1" si="12"/>
        <v>0</v>
      </c>
      <c r="AE44" s="462" t="str">
        <f ca="1">IFERROR(VLOOKUP(投組換券表[[#This Row],[商品代號]],bond!B:AA,26,FALSE),"")</f>
        <v/>
      </c>
      <c r="AF44" s="1" t="str">
        <f ca="1">IFERROR(VLOOKUP($S44,'銀行-TSS'!B:Q,16,FALSE),"")</f>
        <v/>
      </c>
      <c r="AG44" s="479" t="str">
        <f ca="1">IFERROR(VLOOKUP($S44,'銀行-TSS'!B:C,2,FALSE),"")</f>
        <v/>
      </c>
      <c r="AH44" s="479" t="e">
        <f ca="1">VLOOKUP(投組換券表[[#This Row],[幣別]],$B$37:$C$43,2,FALSE)</f>
        <v>#N/A</v>
      </c>
      <c r="AI44" s="500" t="e">
        <f ca="1">CHOOSE(投組換券表[[#This Row],[對應編碼]],$D$37,$D$38,$D$39,$D$40,$D$41,$D$42,$D$43)</f>
        <v>#N/A</v>
      </c>
      <c r="AJ44" s="500">
        <f ca="1">IF(K44=0,0,CHOOSE(投組換券表[[#This Row],[對應編碼]],$E$37,$E$38,$E$39,$E$40,$E$41,$E$42,$E$43))</f>
        <v>0</v>
      </c>
      <c r="AK44" s="1520">
        <f ca="1">IFERROR(投組換券表[[#This Row],[投入面額]]*投組換券表[[#This Row],[換算匯率(現)]],0)</f>
        <v>0</v>
      </c>
      <c r="AL44" s="574">
        <f t="shared" ca="1" si="13"/>
        <v>0</v>
      </c>
      <c r="AM44" s="735">
        <f ca="1">IFERROR(VLOOKUP(投組換券表[[#This Row],[商品代號]],bond!B:X,21,FALSE),0)</f>
        <v>0</v>
      </c>
      <c r="AN44" s="735">
        <f ca="1">IFERROR(VLOOKUP(投組換券表[[#This Row],[商品代號]],bond!B:J,9,FALSE),0)</f>
        <v>0</v>
      </c>
      <c r="AO44" s="1298">
        <f ca="1">IFERROR(IF(K44=0,0,投組換券表[[#This Row],[clean申購價]]/100*投組換券表[[#This Row],[投入面額]]*投組換券表[[#This Row],[MOD]]*1%),0)</f>
        <v>0</v>
      </c>
      <c r="AP44" s="1084">
        <f ca="1">IFERROR(VLOOKUP(投組換券表[[#This Row],[商品代號]],'銀行-TSS'!B:N,13,FALSE),0)</f>
        <v>0</v>
      </c>
      <c r="AQ44" s="1084">
        <f ca="1">IFERROR(VLOOKUP(投組換券表[[#This Row],[商品代號]],'銀行-TSS'!B:O,14,FALSE),0)</f>
        <v>0</v>
      </c>
      <c r="AR44" s="1200">
        <f ca="1">IFERROR(IF(K44=0,0,投組換券表[[#This Row],[票面利率]]*投組換券表[[#This Row],[投入面額]]),0)</f>
        <v>0</v>
      </c>
      <c r="AS44" s="1188" t="e">
        <f ca="1">VLOOKUP(K44,'銀行-TSS'!B:AK,36,FALSE)</f>
        <v>#N/A</v>
      </c>
      <c r="AT44" s="434" t="e">
        <f t="shared" ca="1" si="14"/>
        <v>#VALUE!</v>
      </c>
      <c r="AU44" s="434" t="e">
        <f t="shared" ca="1" si="15"/>
        <v>#VALUE!</v>
      </c>
      <c r="AV44" s="434">
        <f t="shared" ca="1" si="16"/>
        <v>0</v>
      </c>
      <c r="AW44" s="434">
        <f t="shared" ca="1" si="17"/>
        <v>0</v>
      </c>
      <c r="AX44"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4"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4"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4"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4"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4"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4"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4"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4"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4"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4"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4"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4"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5" spans="1:62" ht="19.5" customHeight="1">
      <c r="J45" s="26">
        <v>33</v>
      </c>
      <c r="K45" s="918">
        <f ca="1">IF(OR('Tssco-bond portfolio(2)'!H39=TRUE,'Tssco-bond portfolio(2)'!S39=FALSE),0,'Tssco-bond portfolio(2)'!I39)</f>
        <v>0</v>
      </c>
      <c r="L45" s="1517" t="str">
        <f ca="1">IF(K45=0,"",'Tssco-bond portfolio(2)'!W39)</f>
        <v/>
      </c>
      <c r="M45" s="566">
        <f ca="1">IF(K45=0,0,'Tssco-bond portfolio(2)'!CI39)</f>
        <v>0</v>
      </c>
      <c r="N45" s="1546">
        <f ca="1">IF(K45=0,0,'Tssco-bond portfolio(2)'!X39)</f>
        <v>0</v>
      </c>
      <c r="O45" s="1546">
        <f ca="1">IF(K45=0,0,'Tssco-bond portfolio(2)'!Y39)</f>
        <v>0</v>
      </c>
      <c r="P45" s="1546">
        <f ca="1">IF(K45=0,0,'Tssco-bond portfolio(2)'!BV39)</f>
        <v>0</v>
      </c>
      <c r="Q45" s="1546">
        <f ca="1">IF(K45=0,0,'Tssco-bond portfolio(2)'!BW39)</f>
        <v>0</v>
      </c>
      <c r="S45" s="428">
        <f t="shared" ca="1" si="11"/>
        <v>0</v>
      </c>
      <c r="T45" s="430">
        <f ca="1">IFERROR(VLOOKUP(投組換券表[[#This Row],[商品代號]],bond!B:J,9,FALSE)+VLOOKUP(投組換券表[[#This Row],[商品代號]],bond!B:N,13,FALSE),0)</f>
        <v>0</v>
      </c>
      <c r="U45" s="430">
        <f ca="1">IFERROR(VLOOKUP(投組換券表[[#This Row],[商品代號]],'銀行-TSS'!B:K,10,FALSE),0)</f>
        <v>0</v>
      </c>
      <c r="V45" s="431">
        <f ca="1">IFERROR(VLOOKUP($S45,'銀行-TSS'!B:G,6,FALSE),0)</f>
        <v>0</v>
      </c>
      <c r="W45" s="432" t="e">
        <f ca="1">IFERROR(DATEVALUE(VLOOKUP($S45,'銀行-TSS'!B:F,5,FALSE)),VLOOKUP($S45,'銀行-TSS'!B:F,5,FALSE))</f>
        <v>#N/A</v>
      </c>
      <c r="X45" s="433">
        <f ca="1">IFERROR(VLOOKUP($S45,'銀行-TSS'!B:H,7,FALSE),0)</f>
        <v>0</v>
      </c>
      <c r="Y45" s="434" t="str">
        <f ca="1">IFERROR(VLOOKUP($S45,'銀行-TSS'!B:I,8,FALSE),"")</f>
        <v/>
      </c>
      <c r="Z45" s="440" t="str">
        <f ca="1">_xlfn.IFNA(IFERROR(DATEVALUE(VLOOKUP($S45,'銀行-TSS'!B:P,15,FALSE)),VLOOKUP($S45,'銀行-TSS'!B:P,15,FALSE)),"")</f>
        <v/>
      </c>
      <c r="AA45" s="570" t="b">
        <f t="shared" ca="1" si="5"/>
        <v>0</v>
      </c>
      <c r="AB45" s="782" t="e">
        <f ca="1">DATEVALUE(VLOOKUP(S45,bond!B:I,7,FALSE))</f>
        <v>#N/A</v>
      </c>
      <c r="AC45" s="783">
        <f ca="1">IF(投組換券表[[#This Row],[檢測]]=TRUE,L45,0)</f>
        <v>0</v>
      </c>
      <c r="AD45" s="783">
        <f t="shared" ca="1" si="12"/>
        <v>0</v>
      </c>
      <c r="AE45" s="462" t="str">
        <f ca="1">IFERROR(VLOOKUP(投組換券表[[#This Row],[商品代號]],bond!B:AA,26,FALSE),"")</f>
        <v/>
      </c>
      <c r="AF45" s="1" t="str">
        <f ca="1">IFERROR(VLOOKUP($S45,'銀行-TSS'!B:Q,16,FALSE),"")</f>
        <v/>
      </c>
      <c r="AG45" s="479" t="str">
        <f ca="1">IFERROR(VLOOKUP($S45,'銀行-TSS'!B:C,2,FALSE),"")</f>
        <v/>
      </c>
      <c r="AH45" s="479" t="e">
        <f ca="1">VLOOKUP(投組換券表[[#This Row],[幣別]],$B$37:$C$43,2,FALSE)</f>
        <v>#N/A</v>
      </c>
      <c r="AI45" s="500" t="e">
        <f ca="1">CHOOSE(投組換券表[[#This Row],[對應編碼]],$D$37,$D$38,$D$39,$D$40,$D$41,$D$42,$D$43)</f>
        <v>#N/A</v>
      </c>
      <c r="AJ45" s="500">
        <f ca="1">IF(K45=0,0,CHOOSE(投組換券表[[#This Row],[對應編碼]],$E$37,$E$38,$E$39,$E$40,$E$41,$E$42,$E$43))</f>
        <v>0</v>
      </c>
      <c r="AK45" s="1520">
        <f ca="1">IFERROR(投組換券表[[#This Row],[投入面額]]*投組換券表[[#This Row],[換算匯率(現)]],0)</f>
        <v>0</v>
      </c>
      <c r="AL45" s="574">
        <f t="shared" ca="1" si="13"/>
        <v>0</v>
      </c>
      <c r="AM45" s="735">
        <f ca="1">IFERROR(VLOOKUP(投組換券表[[#This Row],[商品代號]],bond!B:X,21,FALSE),0)</f>
        <v>0</v>
      </c>
      <c r="AN45" s="735">
        <f ca="1">IFERROR(VLOOKUP(投組換券表[[#This Row],[商品代號]],bond!B:J,9,FALSE),0)</f>
        <v>0</v>
      </c>
      <c r="AO45" s="1298">
        <f ca="1">IFERROR(IF(K45=0,0,投組換券表[[#This Row],[clean申購價]]/100*投組換券表[[#This Row],[投入面額]]*投組換券表[[#This Row],[MOD]]*1%),0)</f>
        <v>0</v>
      </c>
      <c r="AP45" s="1084">
        <f ca="1">IFERROR(VLOOKUP(投組換券表[[#This Row],[商品代號]],'銀行-TSS'!B:N,13,FALSE),0)</f>
        <v>0</v>
      </c>
      <c r="AQ45" s="1084">
        <f ca="1">IFERROR(VLOOKUP(投組換券表[[#This Row],[商品代號]],'銀行-TSS'!B:O,14,FALSE),0)</f>
        <v>0</v>
      </c>
      <c r="AR45" s="1200">
        <f ca="1">IFERROR(IF(K45=0,0,投組換券表[[#This Row],[票面利率]]*投組換券表[[#This Row],[投入面額]]),0)</f>
        <v>0</v>
      </c>
      <c r="AS45" s="1188" t="e">
        <f ca="1">VLOOKUP(K45,'銀行-TSS'!B:AK,36,FALSE)</f>
        <v>#N/A</v>
      </c>
      <c r="AT45" s="434" t="e">
        <f t="shared" ca="1" si="14"/>
        <v>#VALUE!</v>
      </c>
      <c r="AU45" s="434" t="e">
        <f t="shared" ca="1" si="15"/>
        <v>#VALUE!</v>
      </c>
      <c r="AV45" s="434">
        <f t="shared" ca="1" si="16"/>
        <v>0</v>
      </c>
      <c r="AW45" s="434">
        <f t="shared" ca="1" si="17"/>
        <v>0</v>
      </c>
      <c r="AX45"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5"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5"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5"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5"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5"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5"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5"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5"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5"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5"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5"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5"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6" spans="1:62" ht="19.5" customHeight="1">
      <c r="J46" s="26">
        <v>34</v>
      </c>
      <c r="K46" s="918">
        <f ca="1">IF(OR('Tssco-bond portfolio(2)'!H40=TRUE,'Tssco-bond portfolio(2)'!S40=FALSE),0,'Tssco-bond portfolio(2)'!I40)</f>
        <v>0</v>
      </c>
      <c r="L46" s="1517" t="str">
        <f ca="1">IF(K46=0,"",'Tssco-bond portfolio(2)'!W40)</f>
        <v/>
      </c>
      <c r="M46" s="566">
        <f ca="1">IF(K46=0,0,'Tssco-bond portfolio(2)'!CI40)</f>
        <v>0</v>
      </c>
      <c r="N46" s="1546">
        <f ca="1">IF(K46=0,0,'Tssco-bond portfolio(2)'!X40)</f>
        <v>0</v>
      </c>
      <c r="O46" s="1546">
        <f ca="1">IF(K46=0,0,'Tssco-bond portfolio(2)'!Y40)</f>
        <v>0</v>
      </c>
      <c r="P46" s="1546">
        <f ca="1">IF(K46=0,0,'Tssco-bond portfolio(2)'!BV40)</f>
        <v>0</v>
      </c>
      <c r="Q46" s="1546">
        <f ca="1">IF(K46=0,0,'Tssco-bond portfolio(2)'!BW40)</f>
        <v>0</v>
      </c>
      <c r="S46" s="428">
        <f t="shared" ca="1" si="11"/>
        <v>0</v>
      </c>
      <c r="T46" s="430">
        <f ca="1">IFERROR(VLOOKUP(投組換券表[[#This Row],[商品代號]],bond!B:J,9,FALSE)+VLOOKUP(投組換券表[[#This Row],[商品代號]],bond!B:N,13,FALSE),0)</f>
        <v>0</v>
      </c>
      <c r="U46" s="430">
        <f ca="1">IFERROR(VLOOKUP(投組換券表[[#This Row],[商品代號]],'銀行-TSS'!B:K,10,FALSE),0)</f>
        <v>0</v>
      </c>
      <c r="V46" s="431">
        <f ca="1">IFERROR(VLOOKUP($S46,'銀行-TSS'!B:G,6,FALSE),0)</f>
        <v>0</v>
      </c>
      <c r="W46" s="432" t="e">
        <f ca="1">IFERROR(DATEVALUE(VLOOKUP($S46,'銀行-TSS'!B:F,5,FALSE)),VLOOKUP($S46,'銀行-TSS'!B:F,5,FALSE))</f>
        <v>#N/A</v>
      </c>
      <c r="X46" s="433">
        <f ca="1">IFERROR(VLOOKUP($S46,'銀行-TSS'!B:H,7,FALSE),0)</f>
        <v>0</v>
      </c>
      <c r="Y46" s="434" t="str">
        <f ca="1">IFERROR(VLOOKUP($S46,'銀行-TSS'!B:I,8,FALSE),"")</f>
        <v/>
      </c>
      <c r="Z46" s="440" t="str">
        <f ca="1">_xlfn.IFNA(IFERROR(DATEVALUE(VLOOKUP($S46,'銀行-TSS'!B:P,15,FALSE)),VLOOKUP($S46,'銀行-TSS'!B:P,15,FALSE)),"")</f>
        <v/>
      </c>
      <c r="AA46" s="570" t="b">
        <f t="shared" ca="1" si="5"/>
        <v>0</v>
      </c>
      <c r="AB46" s="782" t="e">
        <f ca="1">DATEVALUE(VLOOKUP(S46,bond!B:I,7,FALSE))</f>
        <v>#N/A</v>
      </c>
      <c r="AC46" s="783">
        <f ca="1">IF(投組換券表[[#This Row],[檢測]]=TRUE,L46,0)</f>
        <v>0</v>
      </c>
      <c r="AD46" s="783">
        <f t="shared" ca="1" si="12"/>
        <v>0</v>
      </c>
      <c r="AE46" s="462" t="str">
        <f ca="1">IFERROR(VLOOKUP(投組換券表[[#This Row],[商品代號]],bond!B:AA,26,FALSE),"")</f>
        <v/>
      </c>
      <c r="AF46" s="1" t="str">
        <f ca="1">IFERROR(VLOOKUP($S46,'銀行-TSS'!B:Q,16,FALSE),"")</f>
        <v/>
      </c>
      <c r="AG46" s="479" t="str">
        <f ca="1">IFERROR(VLOOKUP($S46,'銀行-TSS'!B:C,2,FALSE),"")</f>
        <v/>
      </c>
      <c r="AH46" s="479" t="e">
        <f ca="1">VLOOKUP(投組換券表[[#This Row],[幣別]],$B$37:$C$43,2,FALSE)</f>
        <v>#N/A</v>
      </c>
      <c r="AI46" s="500" t="e">
        <f ca="1">CHOOSE(投組換券表[[#This Row],[對應編碼]],$D$37,$D$38,$D$39,$D$40,$D$41,$D$42,$D$43)</f>
        <v>#N/A</v>
      </c>
      <c r="AJ46" s="500">
        <f ca="1">IF(K46=0,0,CHOOSE(投組換券表[[#This Row],[對應編碼]],$E$37,$E$38,$E$39,$E$40,$E$41,$E$42,$E$43))</f>
        <v>0</v>
      </c>
      <c r="AK46" s="1520">
        <f ca="1">IFERROR(投組換券表[[#This Row],[投入面額]]*投組換券表[[#This Row],[換算匯率(現)]],0)</f>
        <v>0</v>
      </c>
      <c r="AL46" s="574">
        <f t="shared" ca="1" si="13"/>
        <v>0</v>
      </c>
      <c r="AM46" s="735">
        <f ca="1">IFERROR(VLOOKUP(投組換券表[[#This Row],[商品代號]],bond!B:X,21,FALSE),0)</f>
        <v>0</v>
      </c>
      <c r="AN46" s="735">
        <f ca="1">IFERROR(VLOOKUP(投組換券表[[#This Row],[商品代號]],bond!B:J,9,FALSE),0)</f>
        <v>0</v>
      </c>
      <c r="AO46" s="1298">
        <f ca="1">IFERROR(IF(K46=0,0,投組換券表[[#This Row],[clean申購價]]/100*投組換券表[[#This Row],[投入面額]]*投組換券表[[#This Row],[MOD]]*1%),0)</f>
        <v>0</v>
      </c>
      <c r="AP46" s="1084">
        <f ca="1">IFERROR(VLOOKUP(投組換券表[[#This Row],[商品代號]],'銀行-TSS'!B:N,13,FALSE),0)</f>
        <v>0</v>
      </c>
      <c r="AQ46" s="1084">
        <f ca="1">IFERROR(VLOOKUP(投組換券表[[#This Row],[商品代號]],'銀行-TSS'!B:O,14,FALSE),0)</f>
        <v>0</v>
      </c>
      <c r="AR46" s="1200">
        <f ca="1">IFERROR(IF(K46=0,0,投組換券表[[#This Row],[票面利率]]*投組換券表[[#This Row],[投入面額]]),0)</f>
        <v>0</v>
      </c>
      <c r="AS46" s="1188" t="e">
        <f ca="1">VLOOKUP(K46,'銀行-TSS'!B:AK,36,FALSE)</f>
        <v>#N/A</v>
      </c>
      <c r="AT46" s="434" t="e">
        <f t="shared" ca="1" si="14"/>
        <v>#VALUE!</v>
      </c>
      <c r="AU46" s="434" t="e">
        <f t="shared" ca="1" si="15"/>
        <v>#VALUE!</v>
      </c>
      <c r="AV46" s="434">
        <f t="shared" ca="1" si="16"/>
        <v>0</v>
      </c>
      <c r="AW46" s="434">
        <f t="shared" ca="1" si="17"/>
        <v>0</v>
      </c>
      <c r="AX46"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6"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6"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6"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6"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6"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6"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6"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6"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6"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6"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6"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6"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7" spans="1:62" ht="19.5" customHeight="1">
      <c r="B47" s="459" t="s">
        <v>2024</v>
      </c>
      <c r="J47" s="26">
        <v>35</v>
      </c>
      <c r="K47" s="918">
        <f ca="1">IF(OR('Tssco-bond portfolio(2)'!H41=TRUE,'Tssco-bond portfolio(2)'!S41=FALSE),0,'Tssco-bond portfolio(2)'!I41)</f>
        <v>0</v>
      </c>
      <c r="L47" s="1517" t="str">
        <f ca="1">IF(K47=0,"",'Tssco-bond portfolio(2)'!W41)</f>
        <v/>
      </c>
      <c r="M47" s="566">
        <f ca="1">IF(K47=0,0,'Tssco-bond portfolio(2)'!CI41)</f>
        <v>0</v>
      </c>
      <c r="N47" s="1546">
        <f ca="1">IF(K47=0,0,'Tssco-bond portfolio(2)'!X41)</f>
        <v>0</v>
      </c>
      <c r="O47" s="1546">
        <f ca="1">IF(K47=0,0,'Tssco-bond portfolio(2)'!Y41)</f>
        <v>0</v>
      </c>
      <c r="P47" s="1546">
        <f ca="1">IF(K47=0,0,'Tssco-bond portfolio(2)'!BV41)</f>
        <v>0</v>
      </c>
      <c r="Q47" s="1546">
        <f ca="1">IF(K47=0,0,'Tssco-bond portfolio(2)'!BW41)</f>
        <v>0</v>
      </c>
      <c r="S47" s="428">
        <f t="shared" ca="1" si="11"/>
        <v>0</v>
      </c>
      <c r="T47" s="430">
        <f ca="1">IFERROR(VLOOKUP(投組換券表[[#This Row],[商品代號]],bond!B:J,9,FALSE)+VLOOKUP(投組換券表[[#This Row],[商品代號]],bond!B:N,13,FALSE),0)</f>
        <v>0</v>
      </c>
      <c r="U47" s="430">
        <f ca="1">IFERROR(VLOOKUP(投組換券表[[#This Row],[商品代號]],'銀行-TSS'!B:K,10,FALSE),0)</f>
        <v>0</v>
      </c>
      <c r="V47" s="431">
        <f ca="1">IFERROR(VLOOKUP($S47,'銀行-TSS'!B:G,6,FALSE),0)</f>
        <v>0</v>
      </c>
      <c r="W47" s="432" t="e">
        <f ca="1">IFERROR(DATEVALUE(VLOOKUP($S47,'銀行-TSS'!B:F,5,FALSE)),VLOOKUP($S47,'銀行-TSS'!B:F,5,FALSE))</f>
        <v>#N/A</v>
      </c>
      <c r="X47" s="433">
        <f ca="1">IFERROR(VLOOKUP($S47,'銀行-TSS'!B:H,7,FALSE),0)</f>
        <v>0</v>
      </c>
      <c r="Y47" s="434" t="str">
        <f ca="1">IFERROR(VLOOKUP($S47,'銀行-TSS'!B:I,8,FALSE),"")</f>
        <v/>
      </c>
      <c r="Z47" s="440" t="str">
        <f ca="1">_xlfn.IFNA(IFERROR(DATEVALUE(VLOOKUP($S47,'銀行-TSS'!B:P,15,FALSE)),VLOOKUP($S47,'銀行-TSS'!B:P,15,FALSE)),"")</f>
        <v/>
      </c>
      <c r="AA47" s="570" t="b">
        <f t="shared" ca="1" si="5"/>
        <v>0</v>
      </c>
      <c r="AB47" s="782" t="e">
        <f ca="1">DATEVALUE(VLOOKUP(S47,bond!B:I,7,FALSE))</f>
        <v>#N/A</v>
      </c>
      <c r="AC47" s="783">
        <f ca="1">IF(投組換券表[[#This Row],[檢測]]=TRUE,L47,0)</f>
        <v>0</v>
      </c>
      <c r="AD47" s="783">
        <f t="shared" ca="1" si="12"/>
        <v>0</v>
      </c>
      <c r="AE47" s="462" t="str">
        <f ca="1">IFERROR(VLOOKUP(投組換券表[[#This Row],[商品代號]],bond!B:AA,26,FALSE),"")</f>
        <v/>
      </c>
      <c r="AF47" s="1" t="str">
        <f ca="1">IFERROR(VLOOKUP($S47,'銀行-TSS'!B:Q,16,FALSE),"")</f>
        <v/>
      </c>
      <c r="AG47" s="479" t="str">
        <f ca="1">IFERROR(VLOOKUP($S47,'銀行-TSS'!B:C,2,FALSE),"")</f>
        <v/>
      </c>
      <c r="AH47" s="479" t="e">
        <f ca="1">VLOOKUP(投組換券表[[#This Row],[幣別]],$B$37:$C$43,2,FALSE)</f>
        <v>#N/A</v>
      </c>
      <c r="AI47" s="500" t="e">
        <f ca="1">CHOOSE(投組換券表[[#This Row],[對應編碼]],$D$37,$D$38,$D$39,$D$40,$D$41,$D$42,$D$43)</f>
        <v>#N/A</v>
      </c>
      <c r="AJ47" s="500">
        <f ca="1">IF(K47=0,0,CHOOSE(投組換券表[[#This Row],[對應編碼]],$E$37,$E$38,$E$39,$E$40,$E$41,$E$42,$E$43))</f>
        <v>0</v>
      </c>
      <c r="AK47" s="1520">
        <f ca="1">IFERROR(投組換券表[[#This Row],[投入面額]]*投組換券表[[#This Row],[換算匯率(現)]],0)</f>
        <v>0</v>
      </c>
      <c r="AL47" s="574">
        <f t="shared" ca="1" si="13"/>
        <v>0</v>
      </c>
      <c r="AM47" s="735">
        <f ca="1">IFERROR(VLOOKUP(投組換券表[[#This Row],[商品代號]],bond!B:X,21,FALSE),0)</f>
        <v>0</v>
      </c>
      <c r="AN47" s="735">
        <f ca="1">IFERROR(VLOOKUP(投組換券表[[#This Row],[商品代號]],bond!B:J,9,FALSE),0)</f>
        <v>0</v>
      </c>
      <c r="AO47" s="1298">
        <f ca="1">IFERROR(IF(K47=0,0,投組換券表[[#This Row],[clean申購價]]/100*投組換券表[[#This Row],[投入面額]]*投組換券表[[#This Row],[MOD]]*1%),0)</f>
        <v>0</v>
      </c>
      <c r="AP47" s="1084">
        <f ca="1">IFERROR(VLOOKUP(投組換券表[[#This Row],[商品代號]],'銀行-TSS'!B:N,13,FALSE),0)</f>
        <v>0</v>
      </c>
      <c r="AQ47" s="1084">
        <f ca="1">IFERROR(VLOOKUP(投組換券表[[#This Row],[商品代號]],'銀行-TSS'!B:O,14,FALSE),0)</f>
        <v>0</v>
      </c>
      <c r="AR47" s="1200">
        <f ca="1">IFERROR(IF(K47=0,0,投組換券表[[#This Row],[票面利率]]*投組換券表[[#This Row],[投入面額]]),0)</f>
        <v>0</v>
      </c>
      <c r="AS47" s="1188" t="e">
        <f ca="1">VLOOKUP(K47,'銀行-TSS'!B:AK,36,FALSE)</f>
        <v>#N/A</v>
      </c>
      <c r="AT47" s="434" t="e">
        <f t="shared" ca="1" si="14"/>
        <v>#VALUE!</v>
      </c>
      <c r="AU47" s="434" t="e">
        <f t="shared" ca="1" si="15"/>
        <v>#VALUE!</v>
      </c>
      <c r="AV47" s="434">
        <f t="shared" ca="1" si="16"/>
        <v>0</v>
      </c>
      <c r="AW47" s="434">
        <f t="shared" ca="1" si="17"/>
        <v>0</v>
      </c>
      <c r="AX47"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7"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7"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7"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7"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7"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7"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7"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7"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7"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7"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7"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7"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8" spans="1:62" ht="19.5" customHeight="1" thickBot="1">
      <c r="B48" s="28" t="s">
        <v>2023</v>
      </c>
      <c r="C48" s="459">
        <f ca="1">'Tssco-bond portfolio(2)'!C16</f>
        <v>2</v>
      </c>
      <c r="D48" s="459" t="str">
        <f ca="1">IF(C48=1,"產業結構圖","庫存結構圖")</f>
        <v>庫存結構圖</v>
      </c>
      <c r="J48" s="26">
        <v>36</v>
      </c>
      <c r="K48" s="920">
        <f ca="1">IF(OR('Tssco-bond portfolio(2)'!H42=TRUE,'Tssco-bond portfolio(2)'!S42=FALSE),0,'Tssco-bond portfolio(2)'!I42)</f>
        <v>0</v>
      </c>
      <c r="L48" s="1517" t="str">
        <f ca="1">IF(K48=0,"",'Tssco-bond portfolio(2)'!W42)</f>
        <v/>
      </c>
      <c r="M48" s="566">
        <f ca="1">IF(K48=0,0,'Tssco-bond portfolio(2)'!CI42)</f>
        <v>0</v>
      </c>
      <c r="N48" s="1546">
        <f ca="1">IF(K48=0,0,'Tssco-bond portfolio(2)'!X42)</f>
        <v>0</v>
      </c>
      <c r="O48" s="1546">
        <f ca="1">IF(K48=0,0,'Tssco-bond portfolio(2)'!Y42)</f>
        <v>0</v>
      </c>
      <c r="P48" s="1546">
        <f ca="1">IF(K48=0,0,'Tssco-bond portfolio(2)'!BV42)</f>
        <v>0</v>
      </c>
      <c r="Q48" s="1546">
        <f ca="1">IF(K48=0,0,'Tssco-bond portfolio(2)'!BW42)</f>
        <v>0</v>
      </c>
      <c r="S48" s="428">
        <f t="shared" ca="1" si="11"/>
        <v>0</v>
      </c>
      <c r="T48" s="430">
        <f ca="1">IFERROR(VLOOKUP(投組換券表[[#This Row],[商品代號]],bond!B:J,9,FALSE)+VLOOKUP(投組換券表[[#This Row],[商品代號]],bond!B:N,13,FALSE),0)</f>
        <v>0</v>
      </c>
      <c r="U48" s="430">
        <f ca="1">IFERROR(VLOOKUP(投組換券表[[#This Row],[商品代號]],'銀行-TSS'!B:K,10,FALSE),0)</f>
        <v>0</v>
      </c>
      <c r="V48" s="431">
        <f ca="1">IFERROR(VLOOKUP($S48,'銀行-TSS'!B:G,6,FALSE),0)</f>
        <v>0</v>
      </c>
      <c r="W48" s="432" t="e">
        <f ca="1">IFERROR(DATEVALUE(VLOOKUP($S48,'銀行-TSS'!B:F,5,FALSE)),VLOOKUP($S48,'銀行-TSS'!B:F,5,FALSE))</f>
        <v>#N/A</v>
      </c>
      <c r="X48" s="433">
        <f ca="1">IFERROR(VLOOKUP($S48,'銀行-TSS'!B:H,7,FALSE),0)</f>
        <v>0</v>
      </c>
      <c r="Y48" s="434" t="str">
        <f ca="1">IFERROR(VLOOKUP($S48,'銀行-TSS'!B:I,8,FALSE),"")</f>
        <v/>
      </c>
      <c r="Z48" s="440" t="str">
        <f ca="1">_xlfn.IFNA(IFERROR(DATEVALUE(VLOOKUP($S48,'銀行-TSS'!B:P,15,FALSE)),VLOOKUP($S48,'銀行-TSS'!B:P,15,FALSE)),"")</f>
        <v/>
      </c>
      <c r="AA48" s="570" t="b">
        <f t="shared" ca="1" si="5"/>
        <v>0</v>
      </c>
      <c r="AB48" s="782" t="e">
        <f ca="1">DATEVALUE(VLOOKUP(S48,bond!B:I,7,FALSE))</f>
        <v>#N/A</v>
      </c>
      <c r="AC48" s="783">
        <f ca="1">IF(投組換券表[[#This Row],[檢測]]=TRUE,L48,0)</f>
        <v>0</v>
      </c>
      <c r="AD48" s="783">
        <f t="shared" ca="1" si="12"/>
        <v>0</v>
      </c>
      <c r="AE48" s="462" t="str">
        <f ca="1">IFERROR(VLOOKUP(投組換券表[[#This Row],[商品代號]],bond!B:AA,26,FALSE),"")</f>
        <v/>
      </c>
      <c r="AF48" s="1" t="str">
        <f ca="1">IFERROR(VLOOKUP($S48,'銀行-TSS'!B:Q,16,FALSE),"")</f>
        <v/>
      </c>
      <c r="AG48" s="479" t="str">
        <f ca="1">IFERROR(VLOOKUP($S48,'銀行-TSS'!B:C,2,FALSE),"")</f>
        <v/>
      </c>
      <c r="AH48" s="479" t="e">
        <f ca="1">VLOOKUP(投組換券表[[#This Row],[幣別]],$B$37:$C$43,2,FALSE)</f>
        <v>#N/A</v>
      </c>
      <c r="AI48" s="500" t="e">
        <f ca="1">CHOOSE(投組換券表[[#This Row],[對應編碼]],$D$37,$D$38,$D$39,$D$40,$D$41,$D$42,$D$43)</f>
        <v>#N/A</v>
      </c>
      <c r="AJ48" s="500">
        <f ca="1">IF(K48=0,0,CHOOSE(投組換券表[[#This Row],[對應編碼]],$E$37,$E$38,$E$39,$E$40,$E$41,$E$42,$E$43))</f>
        <v>0</v>
      </c>
      <c r="AK48" s="1520">
        <f ca="1">IFERROR(投組換券表[[#This Row],[投入面額]]*投組換券表[[#This Row],[換算匯率(現)]],0)</f>
        <v>0</v>
      </c>
      <c r="AL48" s="574">
        <f t="shared" ca="1" si="13"/>
        <v>0</v>
      </c>
      <c r="AM48" s="735">
        <f ca="1">IFERROR(VLOOKUP(投組換券表[[#This Row],[商品代號]],bond!B:X,21,FALSE),0)</f>
        <v>0</v>
      </c>
      <c r="AN48" s="735">
        <f ca="1">IFERROR(VLOOKUP(投組換券表[[#This Row],[商品代號]],bond!B:J,9,FALSE),0)</f>
        <v>0</v>
      </c>
      <c r="AO48" s="1298">
        <f ca="1">IFERROR(IF(K48=0,0,投組換券表[[#This Row],[clean申購價]]/100*投組換券表[[#This Row],[投入面額]]*投組換券表[[#This Row],[MOD]]*1%),0)</f>
        <v>0</v>
      </c>
      <c r="AP48" s="1084">
        <f ca="1">IFERROR(VLOOKUP(投組換券表[[#This Row],[商品代號]],'銀行-TSS'!B:N,13,FALSE),0)</f>
        <v>0</v>
      </c>
      <c r="AQ48" s="1084">
        <f ca="1">IFERROR(VLOOKUP(投組換券表[[#This Row],[商品代號]],'銀行-TSS'!B:O,14,FALSE),0)</f>
        <v>0</v>
      </c>
      <c r="AR48" s="1200">
        <f ca="1">IFERROR(IF(K48=0,0,投組換券表[[#This Row],[票面利率]]*投組換券表[[#This Row],[投入面額]]),0)</f>
        <v>0</v>
      </c>
      <c r="AS48" s="1188" t="e">
        <f ca="1">VLOOKUP(K48,'銀行-TSS'!B:AK,36,FALSE)</f>
        <v>#N/A</v>
      </c>
      <c r="AT48" s="434" t="e">
        <f t="shared" ca="1" si="14"/>
        <v>#VALUE!</v>
      </c>
      <c r="AU48" s="434" t="e">
        <f t="shared" ca="1" si="15"/>
        <v>#VALUE!</v>
      </c>
      <c r="AV48" s="434">
        <f t="shared" ca="1" si="16"/>
        <v>0</v>
      </c>
      <c r="AW48" s="434">
        <f t="shared" ca="1" si="17"/>
        <v>0</v>
      </c>
      <c r="AX48" s="1298" t="e">
        <f ca="1">IF($C$16=1,投組換券表[[#This Row],[投入面額]]*投組換券表[[#This Row],[票面利率]]/投組換券表[[#This Row],[配息頻率]]*投組換券表[[#This Row],[換算匯率(現)]],投組換券表[[#This Row],[投入面額]]*投組換券表[[#This Row],[票面利率]]/投組換券表[[#This Row],[配息頻率]])</f>
        <v>#VALUE!</v>
      </c>
      <c r="AY48" s="1298" t="e">
        <f ca="1">IF(AY$5&lt;=投組換券表[[#This Row],[到期日]],IF(投組換券表[[#This Row],[配息頻率]]=12,投組換券表[[#This Row],[單次配息]],IF(OR(AY$4=投組換券表[[#This Row],[第一個配息月]],AY$4=投組換券表[[#This Row],[第二個配息月]],AY$4=投組換券表[[#This Row],[第三個配息月]],AY$4=投組換券表[[#This Row],[第四個配息月]]),投組換券表[[#This Row],[單次配息]],"")),"")</f>
        <v>#N/A</v>
      </c>
      <c r="AZ48" s="1298" t="e">
        <f ca="1">IF(AZ$5&lt;=投組換券表[[#This Row],[到期日]],IF(投組換券表[[#This Row],[配息頻率]]=12,投組換券表[[#This Row],[單次配息]],IF(OR(AZ$4=投組換券表[[#This Row],[第一個配息月]],AZ$4=投組換券表[[#This Row],[第二個配息月]],AZ$4=投組換券表[[#This Row],[第三個配息月]],AZ$4=投組換券表[[#This Row],[第四個配息月]]),投組換券表[[#This Row],[單次配息]],"")),"")</f>
        <v>#N/A</v>
      </c>
      <c r="BA48" s="1298" t="e">
        <f ca="1">IF(BA$5&lt;=投組換券表[[#This Row],[到期日]],IF(投組換券表[[#This Row],[配息頻率]]=12,投組換券表[[#This Row],[單次配息]],IF(OR(BA$4=投組換券表[[#This Row],[第一個配息月]],BA$4=投組換券表[[#This Row],[第二個配息月]],BA$4=投組換券表[[#This Row],[第三個配息月]],BA$4=投組換券表[[#This Row],[第四個配息月]]),投組換券表[[#This Row],[單次配息]],"")),"")</f>
        <v>#N/A</v>
      </c>
      <c r="BB48" s="1298" t="e">
        <f ca="1">IF(BB$5&lt;=投組換券表[[#This Row],[到期日]],IF(投組換券表[[#This Row],[配息頻率]]=12,投組換券表[[#This Row],[單次配息]],IF(OR(BB$4=投組換券表[[#This Row],[第一個配息月]],BB$4=投組換券表[[#This Row],[第二個配息月]],BB$4=投組換券表[[#This Row],[第三個配息月]],BB$4=投組換券表[[#This Row],[第四個配息月]]),投組換券表[[#This Row],[單次配息]],"")),"")</f>
        <v>#N/A</v>
      </c>
      <c r="BC48" s="1298" t="e">
        <f ca="1">IF(BC$5&lt;=投組換券表[[#This Row],[到期日]],IF(投組換券表[[#This Row],[配息頻率]]=12,投組換券表[[#This Row],[單次配息]],IF(OR(BC$4=投組換券表[[#This Row],[第一個配息月]],BC$4=投組換券表[[#This Row],[第二個配息月]],BC$4=投組換券表[[#This Row],[第三個配息月]],BC$4=投組換券表[[#This Row],[第四個配息月]]),投組換券表[[#This Row],[單次配息]],"")),"")</f>
        <v>#N/A</v>
      </c>
      <c r="BD48" s="1298" t="e">
        <f ca="1">IF(BD$5&lt;=投組換券表[[#This Row],[到期日]],IF(投組換券表[[#This Row],[配息頻率]]=12,投組換券表[[#This Row],[單次配息]],IF(OR(BD$4=投組換券表[[#This Row],[第一個配息月]],BD$4=投組換券表[[#This Row],[第二個配息月]],BD$4=投組換券表[[#This Row],[第三個配息月]],BD$4=投組換券表[[#This Row],[第四個配息月]]),投組換券表[[#This Row],[單次配息]],"")),"")</f>
        <v>#N/A</v>
      </c>
      <c r="BE48" s="1298" t="e">
        <f ca="1">IF(BE$5&lt;=投組換券表[[#This Row],[到期日]],IF(投組換券表[[#This Row],[配息頻率]]=12,投組換券表[[#This Row],[單次配息]],IF(OR(BE$4=投組換券表[[#This Row],[第一個配息月]],BE$4=投組換券表[[#This Row],[第二個配息月]],BE$4=投組換券表[[#This Row],[第三個配息月]],BE$4=投組換券表[[#This Row],[第四個配息月]]),投組換券表[[#This Row],[單次配息]],"")),"")</f>
        <v>#N/A</v>
      </c>
      <c r="BF48" s="1298" t="e">
        <f ca="1">IF(BF$5&lt;=投組換券表[[#This Row],[到期日]],IF(投組換券表[[#This Row],[配息頻率]]=12,投組換券表[[#This Row],[單次配息]],IF(OR(BF$4=投組換券表[[#This Row],[第一個配息月]],BF$4=投組換券表[[#This Row],[第二個配息月]],BF$4=投組換券表[[#This Row],[第三個配息月]],BF$4=投組換券表[[#This Row],[第四個配息月]]),投組換券表[[#This Row],[單次配息]],"")),"")</f>
        <v>#N/A</v>
      </c>
      <c r="BG48" s="1298" t="e">
        <f ca="1">IF(BG$5&lt;=投組換券表[[#This Row],[到期日]],IF(投組換券表[[#This Row],[配息頻率]]=12,投組換券表[[#This Row],[單次配息]],IF(OR(BG$4=投組換券表[[#This Row],[第一個配息月]],BG$4=投組換券表[[#This Row],[第二個配息月]],BG$4=投組換券表[[#This Row],[第三個配息月]],BG$4=投組換券表[[#This Row],[第四個配息月]]),投組換券表[[#This Row],[單次配息]],"")),"")</f>
        <v>#N/A</v>
      </c>
      <c r="BH48" s="1298" t="e">
        <f ca="1">IF(BH$5&lt;=投組換券表[[#This Row],[到期日]],IF(投組換券表[[#This Row],[配息頻率]]=12,投組換券表[[#This Row],[單次配息]],IF(OR(BH$4=投組換券表[[#This Row],[第一個配息月]],BH$4=投組換券表[[#This Row],[第二個配息月]],BH$4=投組換券表[[#This Row],[第三個配息月]],BH$4=投組換券表[[#This Row],[第四個配息月]]),投組換券表[[#This Row],[單次配息]],"")),"")</f>
        <v>#N/A</v>
      </c>
      <c r="BI48" s="1298" t="e">
        <f ca="1">IF(BI$5&lt;=投組換券表[[#This Row],[到期日]],IF(投組換券表[[#This Row],[配息頻率]]=12,投組換券表[[#This Row],[單次配息]],IF(OR(BI$4=投組換券表[[#This Row],[第一個配息月]],BI$4=投組換券表[[#This Row],[第二個配息月]],BI$4=投組換券表[[#This Row],[第三個配息月]],BI$4=投組換券表[[#This Row],[第四個配息月]]),投組換券表[[#This Row],[單次配息]],"")),"")</f>
        <v>#N/A</v>
      </c>
      <c r="BJ48" s="1298" t="e">
        <f ca="1">IF(BJ$5&lt;=投組換券表[[#This Row],[到期日]],IF(投組換券表[[#This Row],[配息頻率]]=12,投組換券表[[#This Row],[單次配息]],IF(OR(BJ$4=投組換券表[[#This Row],[第一個配息月]],BJ$4=投組換券表[[#This Row],[第二個配息月]],BJ$4=投組換券表[[#This Row],[第三個配息月]],BJ$4=投組換券表[[#This Row],[第四個配息月]]),投組換券表[[#This Row],[單次配息]],"")),"")</f>
        <v>#N/A</v>
      </c>
    </row>
    <row r="49" spans="2:62" ht="19.5" customHeight="1">
      <c r="B49" s="435" t="s">
        <v>1981</v>
      </c>
      <c r="C49" s="435" t="s">
        <v>1982</v>
      </c>
      <c r="D49" s="435" t="s">
        <v>2022</v>
      </c>
      <c r="E49" s="435" t="s">
        <v>2019</v>
      </c>
      <c r="M49" s="566"/>
      <c r="S49" s="428"/>
      <c r="T49" s="430"/>
      <c r="U49" s="430"/>
      <c r="V49" s="431"/>
      <c r="W49" s="432"/>
      <c r="X49" s="433"/>
      <c r="Y49" s="434"/>
      <c r="Z49" s="440"/>
      <c r="AA49" s="570"/>
      <c r="AB49" s="442"/>
      <c r="AC49" s="43"/>
      <c r="AD49" s="43"/>
      <c r="AE49" s="462"/>
      <c r="AF49" s="1"/>
      <c r="AG49" s="479"/>
      <c r="AH49" s="479"/>
      <c r="AI49" s="500"/>
      <c r="AJ49" s="500"/>
      <c r="AK49" s="1520"/>
      <c r="AL49" s="574"/>
      <c r="AM49" s="735"/>
      <c r="AN49" s="735"/>
      <c r="AO49" s="1298"/>
      <c r="AP49" s="1084"/>
      <c r="AQ49" s="1084"/>
      <c r="AR49" s="1200"/>
      <c r="AS49" s="1188"/>
      <c r="AT49" s="1084"/>
      <c r="AU49" s="1084"/>
      <c r="AV49" s="434"/>
      <c r="AW49" s="1084"/>
      <c r="AX49" s="1298"/>
      <c r="AY49" s="1298"/>
      <c r="AZ49" s="1298"/>
      <c r="BA49" s="1298"/>
      <c r="BB49" s="1298"/>
      <c r="BC49" s="1298"/>
      <c r="BD49" s="1298"/>
      <c r="BE49" s="1298"/>
      <c r="BF49" s="1298"/>
      <c r="BG49" s="1298"/>
      <c r="BH49" s="1298"/>
      <c r="BI49" s="1298"/>
      <c r="BJ49" s="1298"/>
    </row>
    <row r="50" spans="2:62" ht="19.5" customHeight="1">
      <c r="B50" s="502">
        <v>1</v>
      </c>
      <c r="C50" s="502"/>
      <c r="D50" s="504"/>
      <c r="E50" s="504"/>
      <c r="M50" s="566"/>
      <c r="S50" s="428"/>
      <c r="T50" s="430"/>
      <c r="U50" s="430"/>
      <c r="V50" s="431"/>
      <c r="W50" s="432"/>
      <c r="X50" s="433"/>
      <c r="Y50" s="434"/>
      <c r="Z50" s="440"/>
      <c r="AA50" s="570"/>
      <c r="AB50" s="442"/>
      <c r="AC50" s="43"/>
      <c r="AD50" s="43"/>
      <c r="AE50" s="462"/>
      <c r="AF50" s="1"/>
      <c r="AG50" s="479"/>
      <c r="AH50" s="479"/>
      <c r="AI50" s="500"/>
      <c r="AJ50" s="500"/>
      <c r="AK50" s="1520"/>
      <c r="AL50" s="574"/>
      <c r="AM50" s="735"/>
      <c r="AN50" s="735"/>
      <c r="AO50" s="1298"/>
      <c r="AP50" s="1084"/>
      <c r="AQ50" s="1084"/>
      <c r="AR50" s="1200"/>
      <c r="AS50" s="1188"/>
      <c r="AT50" s="1084"/>
      <c r="AU50" s="1084"/>
      <c r="AV50" s="434"/>
      <c r="AW50" s="1084"/>
      <c r="AX50" s="1298"/>
      <c r="AY50" s="1298"/>
      <c r="AZ50" s="1298"/>
      <c r="BA50" s="1298"/>
      <c r="BB50" s="1298"/>
      <c r="BC50" s="1298"/>
      <c r="BD50" s="1298"/>
      <c r="BE50" s="1298"/>
      <c r="BF50" s="1298"/>
      <c r="BG50" s="1298"/>
      <c r="BH50" s="1298"/>
      <c r="BI50" s="1298"/>
      <c r="BJ50" s="1298"/>
    </row>
    <row r="51" spans="2:62" ht="19.5" customHeight="1">
      <c r="B51" s="502">
        <v>2</v>
      </c>
      <c r="C51" s="502"/>
      <c r="D51" s="504"/>
      <c r="E51" s="504"/>
      <c r="M51" s="566"/>
      <c r="S51" s="428"/>
      <c r="T51" s="430"/>
      <c r="U51" s="430"/>
      <c r="V51" s="431"/>
      <c r="W51" s="432"/>
      <c r="X51" s="433"/>
      <c r="Y51" s="434"/>
      <c r="Z51" s="440"/>
      <c r="AA51" s="570"/>
      <c r="AB51" s="442"/>
      <c r="AC51" s="43"/>
      <c r="AD51" s="43"/>
      <c r="AE51" s="462"/>
      <c r="AF51" s="1"/>
      <c r="AG51" s="479"/>
      <c r="AH51" s="479"/>
      <c r="AI51" s="500"/>
      <c r="AJ51" s="500"/>
      <c r="AK51" s="1520"/>
      <c r="AL51" s="574"/>
      <c r="AM51" s="735"/>
      <c r="AN51" s="735"/>
      <c r="AO51" s="1298"/>
      <c r="AP51" s="1084"/>
      <c r="AQ51" s="1084"/>
      <c r="AR51" s="1200"/>
      <c r="AS51" s="1188"/>
      <c r="AT51" s="1084"/>
      <c r="AU51" s="1084"/>
      <c r="AV51" s="434"/>
      <c r="AW51" s="1084"/>
      <c r="AX51" s="1298"/>
      <c r="AY51" s="1298"/>
      <c r="AZ51" s="1298"/>
      <c r="BA51" s="1298"/>
      <c r="BB51" s="1298"/>
      <c r="BC51" s="1298"/>
      <c r="BD51" s="1298"/>
      <c r="BE51" s="1298"/>
      <c r="BF51" s="1298"/>
      <c r="BG51" s="1298"/>
      <c r="BH51" s="1298"/>
      <c r="BI51" s="1298"/>
      <c r="BJ51" s="1298"/>
    </row>
    <row r="52" spans="2:62" ht="19.5" customHeight="1">
      <c r="B52" s="502">
        <v>3</v>
      </c>
      <c r="C52" s="502"/>
      <c r="D52" s="504"/>
      <c r="E52" s="504"/>
      <c r="M52" s="566"/>
      <c r="S52" s="428"/>
      <c r="T52" s="430"/>
      <c r="U52" s="430"/>
      <c r="V52" s="431"/>
      <c r="W52" s="432"/>
      <c r="X52" s="433"/>
      <c r="Y52" s="434"/>
      <c r="Z52" s="440"/>
      <c r="AA52" s="570"/>
      <c r="AB52" s="442"/>
      <c r="AC52" s="43"/>
      <c r="AD52" s="43"/>
      <c r="AE52" s="462"/>
      <c r="AF52" s="1"/>
      <c r="AG52" s="479"/>
      <c r="AH52" s="479"/>
      <c r="AI52" s="500"/>
      <c r="AJ52" s="500"/>
      <c r="AK52" s="1520"/>
      <c r="AL52" s="574"/>
      <c r="AM52" s="735"/>
      <c r="AN52" s="735"/>
      <c r="AO52" s="1298"/>
      <c r="AP52" s="1084"/>
      <c r="AQ52" s="1084"/>
      <c r="AR52" s="1200"/>
      <c r="AS52" s="1188"/>
      <c r="AT52" s="1084"/>
      <c r="AU52" s="1084"/>
      <c r="AV52" s="434"/>
      <c r="AW52" s="1084"/>
      <c r="AX52" s="1298"/>
      <c r="AY52" s="1298"/>
      <c r="AZ52" s="1298"/>
      <c r="BA52" s="1298"/>
      <c r="BB52" s="1298"/>
      <c r="BC52" s="1298"/>
      <c r="BD52" s="1298"/>
      <c r="BE52" s="1298"/>
      <c r="BF52" s="1298"/>
      <c r="BG52" s="1298"/>
      <c r="BH52" s="1298"/>
      <c r="BI52" s="1298"/>
      <c r="BJ52" s="1298"/>
    </row>
    <row r="53" spans="2:62" ht="19.5" customHeight="1">
      <c r="B53" s="502">
        <v>4</v>
      </c>
      <c r="C53" s="502"/>
      <c r="D53" s="504"/>
      <c r="E53" s="504"/>
      <c r="M53" s="566"/>
      <c r="S53" s="428"/>
      <c r="T53" s="430"/>
      <c r="U53" s="430"/>
      <c r="V53" s="431"/>
      <c r="W53" s="432"/>
      <c r="X53" s="433"/>
      <c r="Y53" s="434"/>
      <c r="Z53" s="440"/>
      <c r="AA53" s="570"/>
      <c r="AB53" s="442"/>
      <c r="AC53" s="43"/>
      <c r="AD53" s="43"/>
      <c r="AE53" s="462"/>
      <c r="AF53" s="1"/>
      <c r="AG53" s="479"/>
      <c r="AH53" s="479"/>
      <c r="AI53" s="500"/>
      <c r="AJ53" s="500"/>
      <c r="AK53" s="1520"/>
      <c r="AL53" s="574"/>
      <c r="AM53" s="735"/>
      <c r="AN53" s="735"/>
      <c r="AO53" s="1298"/>
      <c r="AP53" s="1084"/>
      <c r="AQ53" s="1084"/>
      <c r="AR53" s="1200"/>
      <c r="AS53" s="1188"/>
      <c r="AT53" s="1084"/>
      <c r="AU53" s="1084"/>
      <c r="AV53" s="434"/>
      <c r="AW53" s="1084"/>
      <c r="AX53" s="1298"/>
      <c r="AY53" s="1298"/>
      <c r="AZ53" s="1298"/>
      <c r="BA53" s="1298"/>
      <c r="BB53" s="1298"/>
      <c r="BC53" s="1298"/>
      <c r="BD53" s="1298"/>
      <c r="BE53" s="1298"/>
      <c r="BF53" s="1298"/>
      <c r="BG53" s="1298"/>
      <c r="BH53" s="1298"/>
      <c r="BI53" s="1298"/>
      <c r="BJ53" s="1298"/>
    </row>
    <row r="54" spans="2:62" ht="19.5" customHeight="1">
      <c r="B54" s="502">
        <v>5</v>
      </c>
      <c r="C54" s="502"/>
      <c r="D54" s="504"/>
      <c r="E54" s="504"/>
      <c r="M54" s="566"/>
      <c r="S54" s="428"/>
      <c r="T54" s="430"/>
      <c r="U54" s="430"/>
      <c r="V54" s="431"/>
      <c r="W54" s="432"/>
      <c r="X54" s="433"/>
      <c r="Y54" s="434"/>
      <c r="Z54" s="440"/>
      <c r="AA54" s="570"/>
      <c r="AB54" s="442"/>
      <c r="AC54" s="43"/>
      <c r="AD54" s="43"/>
      <c r="AE54" s="462"/>
      <c r="AF54" s="1"/>
      <c r="AG54" s="479"/>
      <c r="AH54" s="479"/>
      <c r="AI54" s="500"/>
      <c r="AJ54" s="500"/>
      <c r="AK54" s="1520"/>
      <c r="AL54" s="574"/>
      <c r="AM54" s="735"/>
      <c r="AN54" s="735"/>
      <c r="AO54" s="1298"/>
      <c r="AP54" s="1084"/>
      <c r="AQ54" s="1084"/>
      <c r="AR54" s="1200"/>
      <c r="AS54" s="1188"/>
      <c r="AT54" s="1084"/>
      <c r="AU54" s="1084"/>
      <c r="AV54" s="434"/>
      <c r="AW54" s="1084"/>
      <c r="AX54" s="1298"/>
      <c r="AY54" s="1298"/>
      <c r="AZ54" s="1298"/>
      <c r="BA54" s="1298"/>
      <c r="BB54" s="1298"/>
      <c r="BC54" s="1298"/>
      <c r="BD54" s="1298"/>
      <c r="BE54" s="1298"/>
      <c r="BF54" s="1298"/>
      <c r="BG54" s="1298"/>
      <c r="BH54" s="1298"/>
      <c r="BI54" s="1298"/>
      <c r="BJ54" s="1298"/>
    </row>
    <row r="55" spans="2:62" ht="19.5" customHeight="1">
      <c r="B55" s="502">
        <v>6</v>
      </c>
      <c r="C55" s="502"/>
      <c r="D55" s="504"/>
      <c r="E55" s="504"/>
      <c r="M55" s="566"/>
      <c r="S55" s="428"/>
      <c r="T55" s="430"/>
      <c r="U55" s="430"/>
      <c r="V55" s="431"/>
      <c r="W55" s="432"/>
      <c r="X55" s="433"/>
      <c r="Y55" s="434"/>
      <c r="Z55" s="440"/>
      <c r="AA55" s="570"/>
      <c r="AB55" s="442"/>
      <c r="AC55" s="43"/>
      <c r="AD55" s="43"/>
      <c r="AE55" s="462"/>
      <c r="AF55" s="1"/>
      <c r="AG55" s="479"/>
      <c r="AH55" s="479"/>
      <c r="AI55" s="500"/>
      <c r="AJ55" s="500"/>
      <c r="AK55" s="1520"/>
      <c r="AL55" s="574"/>
      <c r="AM55" s="735"/>
      <c r="AN55" s="735"/>
      <c r="AO55" s="1298"/>
      <c r="AP55" s="1084"/>
      <c r="AQ55" s="1084"/>
      <c r="AR55" s="1200"/>
      <c r="AS55" s="1188"/>
      <c r="AT55" s="1084"/>
      <c r="AU55" s="1084"/>
      <c r="AV55" s="434"/>
      <c r="AW55" s="1084"/>
      <c r="AX55" s="1298"/>
      <c r="AY55" s="1298"/>
      <c r="AZ55" s="1298"/>
      <c r="BA55" s="1298"/>
      <c r="BB55" s="1298"/>
      <c r="BC55" s="1298"/>
      <c r="BD55" s="1298"/>
      <c r="BE55" s="1298"/>
      <c r="BF55" s="1298"/>
      <c r="BG55" s="1298"/>
      <c r="BH55" s="1298"/>
      <c r="BI55" s="1298"/>
      <c r="BJ55" s="1298"/>
    </row>
    <row r="56" spans="2:62" ht="19.5" customHeight="1">
      <c r="B56" s="502">
        <v>7</v>
      </c>
      <c r="C56" s="502"/>
      <c r="D56" s="504"/>
      <c r="E56" s="504"/>
      <c r="M56" s="566"/>
      <c r="S56" s="428"/>
      <c r="T56" s="430"/>
      <c r="U56" s="430"/>
      <c r="V56" s="431"/>
      <c r="W56" s="432"/>
      <c r="X56" s="433"/>
      <c r="Y56" s="434"/>
      <c r="Z56" s="440"/>
      <c r="AA56" s="570"/>
      <c r="AB56" s="442"/>
      <c r="AC56" s="43"/>
      <c r="AD56" s="43"/>
      <c r="AE56" s="462"/>
      <c r="AF56" s="1"/>
      <c r="AG56" s="479"/>
      <c r="AH56" s="479"/>
      <c r="AI56" s="500"/>
      <c r="AJ56" s="500"/>
      <c r="AK56" s="1520"/>
      <c r="AL56" s="574"/>
      <c r="AM56" s="735"/>
      <c r="AN56" s="735"/>
      <c r="AO56" s="1298"/>
      <c r="AP56" s="1084"/>
      <c r="AQ56" s="1084"/>
      <c r="AR56" s="1200"/>
      <c r="AS56" s="1188"/>
      <c r="AT56" s="1084"/>
      <c r="AU56" s="1084"/>
      <c r="AV56" s="434"/>
      <c r="AW56" s="1084"/>
      <c r="AX56" s="1298"/>
      <c r="AY56" s="1298"/>
      <c r="AZ56" s="1298"/>
      <c r="BA56" s="1298"/>
      <c r="BB56" s="1298"/>
      <c r="BC56" s="1298"/>
      <c r="BD56" s="1298"/>
      <c r="BE56" s="1298"/>
      <c r="BF56" s="1298"/>
      <c r="BG56" s="1298"/>
      <c r="BH56" s="1298"/>
      <c r="BI56" s="1298"/>
      <c r="BJ56" s="1298"/>
    </row>
    <row r="57" spans="2:62" ht="19.5" customHeight="1">
      <c r="B57" s="502">
        <v>8</v>
      </c>
      <c r="C57" s="502"/>
      <c r="D57" s="504"/>
      <c r="E57" s="504"/>
      <c r="M57" s="566"/>
      <c r="S57" s="428"/>
      <c r="T57" s="430"/>
      <c r="U57" s="430"/>
      <c r="V57" s="431"/>
      <c r="W57" s="432"/>
      <c r="X57" s="433"/>
      <c r="Y57" s="434"/>
      <c r="Z57" s="440"/>
      <c r="AA57" s="570"/>
      <c r="AB57" s="442"/>
      <c r="AC57" s="43"/>
      <c r="AD57" s="43"/>
      <c r="AE57" s="462"/>
      <c r="AF57" s="1"/>
      <c r="AG57" s="479"/>
      <c r="AH57" s="479"/>
      <c r="AI57" s="500"/>
      <c r="AJ57" s="500"/>
      <c r="AK57" s="1520"/>
      <c r="AL57" s="574"/>
      <c r="AM57" s="735"/>
      <c r="AN57" s="735"/>
      <c r="AO57" s="1298"/>
      <c r="AP57" s="1084"/>
      <c r="AQ57" s="1084"/>
      <c r="AR57" s="1200"/>
      <c r="AS57" s="1188"/>
      <c r="AT57" s="1084"/>
      <c r="AU57" s="1084"/>
      <c r="AV57" s="434"/>
      <c r="AW57" s="1084"/>
      <c r="AX57" s="1298"/>
      <c r="AY57" s="1298"/>
      <c r="AZ57" s="1298"/>
      <c r="BA57" s="1298"/>
      <c r="BB57" s="1298"/>
      <c r="BC57" s="1298"/>
      <c r="BD57" s="1298"/>
      <c r="BE57" s="1298"/>
      <c r="BF57" s="1298"/>
      <c r="BG57" s="1298"/>
      <c r="BH57" s="1298"/>
      <c r="BI57" s="1298"/>
      <c r="BJ57" s="1298"/>
    </row>
    <row r="58" spans="2:62" ht="19.5" customHeight="1">
      <c r="B58" s="502">
        <v>9</v>
      </c>
      <c r="C58" s="502"/>
      <c r="D58" s="504"/>
      <c r="E58" s="504"/>
      <c r="M58" s="566"/>
      <c r="S58" s="428"/>
      <c r="T58" s="430"/>
      <c r="U58" s="430"/>
      <c r="V58" s="431"/>
      <c r="W58" s="432"/>
      <c r="X58" s="433"/>
      <c r="Y58" s="434"/>
      <c r="Z58" s="440"/>
      <c r="AA58" s="570"/>
      <c r="AB58" s="442"/>
      <c r="AC58" s="43"/>
      <c r="AD58" s="43"/>
      <c r="AE58" s="462"/>
      <c r="AF58" s="1"/>
      <c r="AG58" s="479"/>
      <c r="AH58" s="479"/>
      <c r="AI58" s="500"/>
      <c r="AJ58" s="500"/>
      <c r="AK58" s="1520"/>
      <c r="AL58" s="574"/>
      <c r="AM58" s="735"/>
      <c r="AN58" s="735"/>
      <c r="AO58" s="1298"/>
      <c r="AP58" s="1084"/>
      <c r="AQ58" s="1084"/>
      <c r="AR58" s="1200"/>
      <c r="AS58" s="1188"/>
      <c r="AT58" s="1084"/>
      <c r="AU58" s="1084"/>
      <c r="AV58" s="434"/>
      <c r="AW58" s="1084"/>
      <c r="AX58" s="1298"/>
      <c r="AY58" s="1298"/>
      <c r="AZ58" s="1298"/>
      <c r="BA58" s="1298"/>
      <c r="BB58" s="1298"/>
      <c r="BC58" s="1298"/>
      <c r="BD58" s="1298"/>
      <c r="BE58" s="1298"/>
      <c r="BF58" s="1298"/>
      <c r="BG58" s="1298"/>
      <c r="BH58" s="1298"/>
      <c r="BI58" s="1298"/>
      <c r="BJ58" s="1298"/>
    </row>
    <row r="59" spans="2:62" ht="19.5" customHeight="1">
      <c r="B59" s="502">
        <v>10</v>
      </c>
      <c r="C59" s="502"/>
      <c r="D59" s="504"/>
      <c r="E59" s="504"/>
      <c r="M59" s="566"/>
      <c r="S59" s="428"/>
      <c r="T59" s="430"/>
      <c r="U59" s="430"/>
      <c r="V59" s="431"/>
      <c r="W59" s="432"/>
      <c r="X59" s="433"/>
      <c r="Y59" s="434"/>
      <c r="Z59" s="440"/>
      <c r="AA59" s="570"/>
      <c r="AB59" s="442"/>
      <c r="AC59" s="43"/>
      <c r="AD59" s="43"/>
      <c r="AE59" s="462"/>
      <c r="AF59" s="1"/>
      <c r="AG59" s="479"/>
      <c r="AH59" s="479"/>
      <c r="AI59" s="500"/>
      <c r="AJ59" s="500"/>
      <c r="AK59" s="1520"/>
      <c r="AL59" s="574"/>
      <c r="AM59" s="735"/>
      <c r="AN59" s="735"/>
      <c r="AO59" s="1298"/>
      <c r="AP59" s="1084"/>
      <c r="AQ59" s="1084"/>
      <c r="AR59" s="1200"/>
      <c r="AS59" s="1188"/>
      <c r="AT59" s="1084"/>
      <c r="AU59" s="1084"/>
      <c r="AV59" s="434"/>
      <c r="AW59" s="1084"/>
      <c r="AX59" s="1298"/>
      <c r="AY59" s="1298"/>
      <c r="AZ59" s="1298"/>
      <c r="BA59" s="1298"/>
      <c r="BB59" s="1298"/>
      <c r="BC59" s="1298"/>
      <c r="BD59" s="1298"/>
      <c r="BE59" s="1298"/>
      <c r="BF59" s="1298"/>
      <c r="BG59" s="1298"/>
      <c r="BH59" s="1298"/>
      <c r="BI59" s="1298"/>
      <c r="BJ59" s="1298"/>
    </row>
    <row r="60" spans="2:62" ht="19.5" customHeight="1">
      <c r="B60" s="502">
        <v>11</v>
      </c>
      <c r="C60" s="502"/>
      <c r="D60" s="504"/>
      <c r="E60" s="504"/>
      <c r="M60" s="566"/>
      <c r="S60" s="428"/>
      <c r="T60" s="430"/>
      <c r="U60" s="430"/>
      <c r="V60" s="431"/>
      <c r="W60" s="432"/>
      <c r="X60" s="433"/>
      <c r="Y60" s="434"/>
      <c r="Z60" s="440"/>
      <c r="AA60" s="570"/>
      <c r="AB60" s="442"/>
      <c r="AC60" s="43"/>
      <c r="AD60" s="43"/>
      <c r="AE60" s="462"/>
      <c r="AF60" s="1"/>
      <c r="AG60" s="479"/>
      <c r="AH60" s="479"/>
      <c r="AI60" s="500"/>
      <c r="AJ60" s="500"/>
      <c r="AK60" s="1520"/>
      <c r="AL60" s="574"/>
      <c r="AM60" s="735"/>
      <c r="AN60" s="735"/>
      <c r="AO60" s="1298"/>
      <c r="AP60" s="1084"/>
      <c r="AQ60" s="1084"/>
      <c r="AR60" s="1200"/>
      <c r="AS60" s="1188"/>
      <c r="AT60" s="1084"/>
      <c r="AU60" s="1084"/>
      <c r="AV60" s="434"/>
      <c r="AW60" s="1084"/>
      <c r="AX60" s="1298"/>
      <c r="AY60" s="1298"/>
      <c r="AZ60" s="1298"/>
      <c r="BA60" s="1298"/>
      <c r="BB60" s="1298"/>
      <c r="BC60" s="1298"/>
      <c r="BD60" s="1298"/>
      <c r="BE60" s="1298"/>
      <c r="BF60" s="1298"/>
      <c r="BG60" s="1298"/>
      <c r="BH60" s="1298"/>
      <c r="BI60" s="1298"/>
      <c r="BJ60" s="1298"/>
    </row>
    <row r="61" spans="2:62" ht="19.5" customHeight="1">
      <c r="B61" s="502">
        <v>12</v>
      </c>
      <c r="C61" s="502"/>
      <c r="D61" s="504"/>
      <c r="E61" s="504"/>
      <c r="M61" s="566"/>
      <c r="S61" s="428"/>
      <c r="T61" s="430"/>
      <c r="U61" s="430"/>
      <c r="V61" s="431"/>
      <c r="W61" s="432"/>
      <c r="X61" s="433"/>
      <c r="Y61" s="434"/>
      <c r="Z61" s="440"/>
      <c r="AA61" s="570"/>
      <c r="AB61" s="442"/>
      <c r="AC61" s="43"/>
      <c r="AD61" s="43"/>
      <c r="AE61" s="462"/>
      <c r="AF61" s="1"/>
      <c r="AG61" s="479"/>
      <c r="AH61" s="479"/>
      <c r="AI61" s="500"/>
      <c r="AJ61" s="500"/>
      <c r="AK61" s="1520"/>
      <c r="AL61" s="574"/>
      <c r="AM61" s="735"/>
      <c r="AN61" s="735"/>
      <c r="AO61" s="1298"/>
      <c r="AP61" s="1084"/>
      <c r="AQ61" s="1084"/>
      <c r="AR61" s="1200"/>
      <c r="AS61" s="1188"/>
      <c r="AT61" s="1084"/>
      <c r="AU61" s="1084"/>
      <c r="AV61" s="434"/>
      <c r="AW61" s="1084"/>
      <c r="AX61" s="1298"/>
      <c r="AY61" s="1298"/>
      <c r="AZ61" s="1298"/>
      <c r="BA61" s="1298"/>
      <c r="BB61" s="1298"/>
      <c r="BC61" s="1298"/>
      <c r="BD61" s="1298"/>
      <c r="BE61" s="1298"/>
      <c r="BF61" s="1298"/>
      <c r="BG61" s="1298"/>
      <c r="BH61" s="1298"/>
      <c r="BI61" s="1298"/>
      <c r="BJ61" s="1298"/>
    </row>
    <row r="62" spans="2:62" ht="19.5" customHeight="1">
      <c r="M62" s="566"/>
      <c r="S62" s="428"/>
      <c r="T62" s="430"/>
      <c r="U62" s="430"/>
      <c r="V62" s="431"/>
      <c r="W62" s="432"/>
      <c r="X62" s="433"/>
      <c r="Y62" s="434"/>
      <c r="Z62" s="440"/>
      <c r="AA62" s="570"/>
      <c r="AB62" s="442"/>
      <c r="AC62" s="43"/>
      <c r="AD62" s="43"/>
      <c r="AE62" s="462"/>
      <c r="AF62" s="1"/>
      <c r="AG62" s="479"/>
      <c r="AH62" s="479"/>
      <c r="AI62" s="500"/>
      <c r="AJ62" s="500"/>
      <c r="AK62" s="1520"/>
      <c r="AL62" s="574"/>
      <c r="AM62" s="735"/>
      <c r="AN62" s="735"/>
      <c r="AO62" s="1298"/>
      <c r="AP62" s="1084"/>
      <c r="AQ62" s="1084"/>
      <c r="AR62" s="1200"/>
      <c r="AS62" s="1188"/>
      <c r="AT62" s="1084"/>
      <c r="AU62" s="1084"/>
      <c r="AV62" s="434"/>
      <c r="AW62" s="1084"/>
      <c r="AX62" s="1298"/>
      <c r="AY62" s="1298"/>
      <c r="AZ62" s="1298"/>
      <c r="BA62" s="1298"/>
      <c r="BB62" s="1298"/>
      <c r="BC62" s="1298"/>
      <c r="BD62" s="1298"/>
      <c r="BE62" s="1298"/>
      <c r="BF62" s="1298"/>
      <c r="BG62" s="1298"/>
      <c r="BH62" s="1298"/>
      <c r="BI62" s="1298"/>
      <c r="BJ62" s="1298"/>
    </row>
    <row r="63" spans="2:62" ht="19.5" customHeight="1">
      <c r="M63" s="566"/>
      <c r="S63" s="428"/>
      <c r="T63" s="430"/>
      <c r="U63" s="430"/>
      <c r="V63" s="431"/>
      <c r="W63" s="432"/>
      <c r="X63" s="433"/>
      <c r="Y63" s="434"/>
      <c r="Z63" s="440"/>
      <c r="AA63" s="570"/>
      <c r="AB63" s="442"/>
      <c r="AC63" s="43"/>
      <c r="AD63" s="43"/>
      <c r="AE63" s="462"/>
      <c r="AF63" s="1"/>
      <c r="AG63" s="479"/>
      <c r="AH63" s="479"/>
      <c r="AI63" s="500"/>
      <c r="AJ63" s="500"/>
      <c r="AK63" s="1520"/>
      <c r="AL63" s="574"/>
      <c r="AM63" s="735"/>
      <c r="AN63" s="735"/>
      <c r="AO63" s="1298"/>
      <c r="AP63" s="1084"/>
      <c r="AQ63" s="1084"/>
      <c r="AR63" s="1200"/>
      <c r="AS63" s="1188"/>
      <c r="AT63" s="1084"/>
      <c r="AU63" s="1084"/>
      <c r="AV63" s="434"/>
      <c r="AW63" s="1084"/>
      <c r="AX63" s="1298"/>
      <c r="AY63" s="1298"/>
      <c r="AZ63" s="1298"/>
      <c r="BA63" s="1298"/>
      <c r="BB63" s="1298"/>
      <c r="BC63" s="1298"/>
      <c r="BD63" s="1298"/>
      <c r="BE63" s="1298"/>
      <c r="BF63" s="1298"/>
      <c r="BG63" s="1298"/>
      <c r="BH63" s="1298"/>
      <c r="BI63" s="1298"/>
      <c r="BJ63" s="1298"/>
    </row>
    <row r="64" spans="2:62" ht="19.5" customHeight="1">
      <c r="M64" s="566"/>
      <c r="S64" s="428"/>
      <c r="T64" s="430"/>
      <c r="U64" s="430"/>
      <c r="V64" s="431"/>
      <c r="W64" s="432"/>
      <c r="X64" s="433"/>
      <c r="Y64" s="434"/>
      <c r="Z64" s="440"/>
      <c r="AA64" s="570"/>
      <c r="AB64" s="442"/>
      <c r="AC64" s="43"/>
      <c r="AD64" s="43"/>
      <c r="AE64" s="462"/>
      <c r="AF64" s="1"/>
      <c r="AG64" s="479"/>
      <c r="AH64" s="479"/>
      <c r="AI64" s="500"/>
      <c r="AJ64" s="500"/>
      <c r="AK64" s="1520"/>
      <c r="AL64" s="574"/>
      <c r="AM64" s="735"/>
      <c r="AN64" s="735"/>
      <c r="AO64" s="1298"/>
      <c r="AP64" s="1084"/>
      <c r="AQ64" s="1084"/>
      <c r="AR64" s="1200"/>
      <c r="AS64" s="1188"/>
      <c r="AT64" s="1084"/>
      <c r="AU64" s="1084"/>
      <c r="AV64" s="434"/>
      <c r="AW64" s="1084"/>
      <c r="AX64" s="1298"/>
      <c r="AY64" s="1298"/>
      <c r="AZ64" s="1298"/>
      <c r="BA64" s="1298"/>
      <c r="BB64" s="1298"/>
      <c r="BC64" s="1298"/>
      <c r="BD64" s="1298"/>
      <c r="BE64" s="1298"/>
      <c r="BF64" s="1298"/>
      <c r="BG64" s="1298"/>
      <c r="BH64" s="1298"/>
      <c r="BI64" s="1298"/>
      <c r="BJ64" s="1298"/>
    </row>
    <row r="65" spans="2:62" ht="19.5" customHeight="1">
      <c r="B65" s="459" t="s">
        <v>2120</v>
      </c>
      <c r="M65" s="566"/>
      <c r="S65" s="428"/>
      <c r="T65" s="430"/>
      <c r="U65" s="430"/>
      <c r="V65" s="431"/>
      <c r="W65" s="432"/>
      <c r="X65" s="433"/>
      <c r="Y65" s="434"/>
      <c r="Z65" s="440"/>
      <c r="AA65" s="570"/>
      <c r="AB65" s="442"/>
      <c r="AC65" s="43"/>
      <c r="AD65" s="43"/>
      <c r="AE65" s="462"/>
      <c r="AF65" s="1"/>
      <c r="AG65" s="479"/>
      <c r="AH65" s="479"/>
      <c r="AI65" s="500"/>
      <c r="AJ65" s="500"/>
      <c r="AK65" s="1520"/>
      <c r="AL65" s="574"/>
      <c r="AM65" s="735"/>
      <c r="AN65" s="735"/>
      <c r="AO65" s="1298"/>
      <c r="AP65" s="1084"/>
      <c r="AQ65" s="1084"/>
      <c r="AR65" s="1200"/>
      <c r="AS65" s="1188"/>
      <c r="AT65" s="1084"/>
      <c r="AU65" s="1084"/>
      <c r="AV65" s="434"/>
      <c r="AW65" s="1084"/>
      <c r="AX65" s="1298"/>
      <c r="AY65" s="1298"/>
      <c r="AZ65" s="1298"/>
      <c r="BA65" s="1298"/>
      <c r="BB65" s="1298"/>
      <c r="BC65" s="1298"/>
      <c r="BD65" s="1298"/>
      <c r="BE65" s="1298"/>
      <c r="BF65" s="1298"/>
      <c r="BG65" s="1298"/>
      <c r="BH65" s="1298"/>
      <c r="BI65" s="1298"/>
      <c r="BJ65" s="1298"/>
    </row>
    <row r="66" spans="2:62" ht="19.5" customHeight="1">
      <c r="B66" s="28" t="s">
        <v>2023</v>
      </c>
      <c r="C66" s="459">
        <f ca="1">'Tssco-bond portfolio(2)'!C16</f>
        <v>2</v>
      </c>
      <c r="M66" s="566"/>
      <c r="S66" s="428"/>
      <c r="T66" s="430"/>
      <c r="U66" s="430"/>
      <c r="V66" s="431"/>
      <c r="W66" s="432"/>
      <c r="X66" s="433"/>
      <c r="Y66" s="434"/>
      <c r="Z66" s="440"/>
      <c r="AA66" s="570"/>
      <c r="AB66" s="442"/>
      <c r="AC66" s="43"/>
      <c r="AD66" s="43"/>
      <c r="AE66" s="462"/>
      <c r="AF66" s="1"/>
      <c r="AG66" s="479"/>
      <c r="AH66" s="479"/>
      <c r="AI66" s="500"/>
      <c r="AJ66" s="500"/>
      <c r="AK66" s="1520"/>
      <c r="AL66" s="574"/>
      <c r="AM66" s="735"/>
      <c r="AN66" s="735"/>
      <c r="AO66" s="1298"/>
      <c r="AP66" s="1084"/>
      <c r="AQ66" s="1084"/>
      <c r="AR66" s="1200"/>
      <c r="AS66" s="1188"/>
      <c r="AT66" s="1084"/>
      <c r="AU66" s="1084"/>
      <c r="AV66" s="434"/>
      <c r="AW66" s="1084"/>
      <c r="AX66" s="1298"/>
      <c r="AY66" s="1298"/>
      <c r="AZ66" s="1298"/>
      <c r="BA66" s="1298"/>
      <c r="BB66" s="1298"/>
      <c r="BC66" s="1298"/>
      <c r="BD66" s="1298"/>
      <c r="BE66" s="1298"/>
      <c r="BF66" s="1298"/>
      <c r="BG66" s="1298"/>
      <c r="BH66" s="1298"/>
      <c r="BI66" s="1298"/>
      <c r="BJ66" s="1298"/>
    </row>
    <row r="67" spans="2:62" ht="19.5" customHeight="1">
      <c r="B67" s="12" t="s">
        <v>30</v>
      </c>
      <c r="C67" s="12" t="s">
        <v>1979</v>
      </c>
      <c r="D67" s="109" t="s">
        <v>2238</v>
      </c>
      <c r="E67" s="109" t="s">
        <v>2239</v>
      </c>
      <c r="F67" s="12" t="s">
        <v>1981</v>
      </c>
      <c r="M67" s="566"/>
      <c r="S67" s="428"/>
      <c r="T67" s="430"/>
      <c r="U67" s="430"/>
      <c r="V67" s="431"/>
      <c r="W67" s="432"/>
      <c r="X67" s="433"/>
      <c r="Y67" s="434"/>
      <c r="Z67" s="440"/>
      <c r="AA67" s="570"/>
      <c r="AB67" s="442"/>
      <c r="AC67" s="43"/>
      <c r="AD67" s="43"/>
      <c r="AE67" s="462"/>
      <c r="AF67" s="1"/>
      <c r="AG67" s="479"/>
      <c r="AH67" s="479"/>
      <c r="AI67" s="500"/>
      <c r="AJ67" s="500"/>
      <c r="AK67" s="1520"/>
      <c r="AL67" s="574"/>
      <c r="AM67" s="735"/>
      <c r="AN67" s="735"/>
      <c r="AO67" s="1298"/>
      <c r="AP67" s="1084"/>
      <c r="AQ67" s="1084"/>
      <c r="AR67" s="1200"/>
      <c r="AS67" s="1188"/>
      <c r="AT67" s="1084"/>
      <c r="AU67" s="1084"/>
      <c r="AV67" s="434"/>
      <c r="AW67" s="1084"/>
      <c r="AX67" s="1298"/>
      <c r="AY67" s="1298"/>
      <c r="AZ67" s="1298"/>
      <c r="BA67" s="1298"/>
      <c r="BB67" s="1298"/>
      <c r="BC67" s="1298"/>
      <c r="BD67" s="1298"/>
      <c r="BE67" s="1298"/>
      <c r="BF67" s="1298"/>
      <c r="BG67" s="1298"/>
      <c r="BH67" s="1298"/>
      <c r="BI67" s="1298"/>
      <c r="BJ67" s="1298"/>
    </row>
    <row r="68" spans="2:62" ht="19.5" customHeight="1">
      <c r="B68" s="12" t="s">
        <v>163</v>
      </c>
      <c r="C68" s="12" t="s">
        <v>163</v>
      </c>
      <c r="D68" s="562">
        <f>IF($K$2=0,0,SUMIFS(投組換券表[投入佔比],$AF$7:$AF$48,$B68))</f>
        <v>0</v>
      </c>
      <c r="E68" s="562">
        <f t="shared" ref="E68:E78" ca="1" si="22">SUMIFS($CM$7:$CM$18,$AF$7:$AF$18,$B68)</f>
        <v>0</v>
      </c>
      <c r="F68" s="12">
        <f>IF(D68=0,0,RANK(D68,$D$68:$D$78))</f>
        <v>0</v>
      </c>
      <c r="G68" s="1682" t="str">
        <f>IFERROR(IF(D68=0,"",D68),"")</f>
        <v/>
      </c>
      <c r="M68" s="566"/>
      <c r="S68" s="428"/>
      <c r="T68" s="430"/>
      <c r="U68" s="430"/>
      <c r="V68" s="431"/>
      <c r="W68" s="432"/>
      <c r="X68" s="433"/>
      <c r="Y68" s="434"/>
      <c r="Z68" s="440"/>
      <c r="AA68" s="570"/>
      <c r="AB68" s="442"/>
      <c r="AC68" s="43"/>
      <c r="AD68" s="43"/>
      <c r="AE68" s="462"/>
      <c r="AF68" s="1"/>
      <c r="AG68" s="479"/>
      <c r="AH68" s="479"/>
      <c r="AI68" s="500"/>
      <c r="AJ68" s="500"/>
      <c r="AK68" s="1520"/>
      <c r="AL68" s="574"/>
      <c r="AM68" s="735"/>
      <c r="AN68" s="735"/>
      <c r="AO68" s="1298"/>
      <c r="AP68" s="1084"/>
      <c r="AQ68" s="1084"/>
      <c r="AR68" s="1200"/>
      <c r="AS68" s="1188"/>
      <c r="AT68" s="1084"/>
      <c r="AU68" s="1084"/>
      <c r="AV68" s="434"/>
      <c r="AW68" s="1084"/>
      <c r="AX68" s="1298"/>
      <c r="AY68" s="1298"/>
      <c r="AZ68" s="1298"/>
      <c r="BA68" s="1298"/>
      <c r="BB68" s="1298"/>
      <c r="BC68" s="1298"/>
      <c r="BD68" s="1298"/>
      <c r="BE68" s="1298"/>
      <c r="BF68" s="1298"/>
      <c r="BG68" s="1298"/>
      <c r="BH68" s="1298"/>
      <c r="BI68" s="1298"/>
      <c r="BJ68" s="1298"/>
    </row>
    <row r="69" spans="2:62" ht="19.5" customHeight="1">
      <c r="B69" s="12" t="s">
        <v>165</v>
      </c>
      <c r="C69" s="12" t="s">
        <v>165</v>
      </c>
      <c r="D69" s="562">
        <f>IF($K$2=0,0,SUMIFS(投組換券表[投入佔比],$AF$7:$AF$48,$B69))</f>
        <v>0</v>
      </c>
      <c r="E69" s="562">
        <f t="shared" ca="1" si="22"/>
        <v>0</v>
      </c>
      <c r="F69" s="12">
        <f t="shared" ref="F69:F78" si="23">IF(D69=0,0,RANK(D69,$D$68:$D$78))</f>
        <v>0</v>
      </c>
      <c r="G69" s="1682" t="str">
        <f t="shared" ref="G69:G78" si="24">IFERROR(IF(D69=0,"",D69),"")</f>
        <v/>
      </c>
      <c r="M69" s="566"/>
      <c r="S69" s="428"/>
      <c r="T69" s="430"/>
      <c r="U69" s="430"/>
      <c r="V69" s="431"/>
      <c r="W69" s="432"/>
      <c r="X69" s="433"/>
      <c r="Y69" s="434"/>
      <c r="Z69" s="440"/>
      <c r="AA69" s="570"/>
      <c r="AB69" s="442"/>
      <c r="AC69" s="43"/>
      <c r="AD69" s="43"/>
      <c r="AE69" s="462"/>
      <c r="AF69" s="1"/>
      <c r="AG69" s="479"/>
      <c r="AH69" s="479"/>
      <c r="AI69" s="500"/>
      <c r="AJ69" s="500"/>
      <c r="AK69" s="1520"/>
      <c r="AL69" s="574"/>
      <c r="AM69" s="735"/>
      <c r="AN69" s="735"/>
      <c r="AO69" s="1298"/>
      <c r="AP69" s="1084"/>
      <c r="AQ69" s="1084"/>
      <c r="AR69" s="1200"/>
      <c r="AS69" s="1188"/>
      <c r="AT69" s="1084"/>
      <c r="AU69" s="1084"/>
      <c r="AV69" s="434"/>
      <c r="AW69" s="1084"/>
      <c r="AX69" s="1298"/>
      <c r="AY69" s="1298"/>
      <c r="AZ69" s="1298"/>
      <c r="BA69" s="1298"/>
      <c r="BB69" s="1298"/>
      <c r="BC69" s="1298"/>
      <c r="BD69" s="1298"/>
      <c r="BE69" s="1298"/>
      <c r="BF69" s="1298"/>
      <c r="BG69" s="1298"/>
      <c r="BH69" s="1298"/>
      <c r="BI69" s="1298"/>
      <c r="BJ69" s="1298"/>
    </row>
    <row r="70" spans="2:62" ht="19.5" customHeight="1">
      <c r="B70" s="12" t="s">
        <v>167</v>
      </c>
      <c r="C70" s="12" t="s">
        <v>167</v>
      </c>
      <c r="D70" s="562">
        <f>IF($K$2=0,0,SUMIFS(投組換券表[投入佔比],$AF$7:$AF$48,$B70))</f>
        <v>0</v>
      </c>
      <c r="E70" s="562">
        <f t="shared" ca="1" si="22"/>
        <v>0</v>
      </c>
      <c r="F70" s="12">
        <f t="shared" si="23"/>
        <v>0</v>
      </c>
      <c r="G70" s="1682" t="str">
        <f t="shared" si="24"/>
        <v/>
      </c>
      <c r="M70" s="566"/>
      <c r="S70" s="428"/>
      <c r="T70" s="430"/>
      <c r="U70" s="430"/>
      <c r="V70" s="431"/>
      <c r="W70" s="432"/>
      <c r="X70" s="433"/>
      <c r="Y70" s="434"/>
      <c r="Z70" s="440"/>
      <c r="AA70" s="570"/>
      <c r="AB70" s="442"/>
      <c r="AC70" s="43"/>
      <c r="AD70" s="43"/>
      <c r="AE70" s="462"/>
      <c r="AF70" s="1"/>
      <c r="AG70" s="479"/>
      <c r="AH70" s="479"/>
      <c r="AI70" s="500"/>
      <c r="AJ70" s="500"/>
      <c r="AK70" s="1520"/>
      <c r="AL70" s="574"/>
      <c r="AM70" s="735"/>
      <c r="AN70" s="735"/>
      <c r="AO70" s="1298"/>
      <c r="AP70" s="1084"/>
      <c r="AQ70" s="1084"/>
      <c r="AR70" s="1200"/>
      <c r="AS70" s="1188"/>
      <c r="AT70" s="1084"/>
      <c r="AU70" s="1084"/>
      <c r="AV70" s="434"/>
      <c r="AW70" s="1084"/>
      <c r="AX70" s="1298"/>
      <c r="AY70" s="1298"/>
      <c r="AZ70" s="1298"/>
      <c r="BA70" s="1298"/>
      <c r="BB70" s="1298"/>
      <c r="BC70" s="1298"/>
      <c r="BD70" s="1298"/>
      <c r="BE70" s="1298"/>
      <c r="BF70" s="1298"/>
      <c r="BG70" s="1298"/>
      <c r="BH70" s="1298"/>
      <c r="BI70" s="1298"/>
      <c r="BJ70" s="1298"/>
    </row>
    <row r="71" spans="2:62" ht="19.5" customHeight="1">
      <c r="B71" s="12" t="s">
        <v>171</v>
      </c>
      <c r="C71" s="12" t="s">
        <v>171</v>
      </c>
      <c r="D71" s="562">
        <f>IF($K$2=0,0,SUMIFS(投組換券表[投入佔比],$AF$7:$AF$48,$B71))</f>
        <v>0</v>
      </c>
      <c r="E71" s="562">
        <f t="shared" ca="1" si="22"/>
        <v>0</v>
      </c>
      <c r="F71" s="12">
        <f t="shared" si="23"/>
        <v>0</v>
      </c>
      <c r="G71" s="1682" t="str">
        <f t="shared" si="24"/>
        <v/>
      </c>
      <c r="M71" s="566"/>
      <c r="S71" s="428"/>
      <c r="T71" s="430"/>
      <c r="U71" s="430"/>
      <c r="V71" s="431"/>
      <c r="W71" s="432"/>
      <c r="X71" s="433"/>
      <c r="Y71" s="434"/>
      <c r="Z71" s="440"/>
      <c r="AA71" s="570"/>
      <c r="AB71" s="442"/>
      <c r="AC71" s="43"/>
      <c r="AD71" s="43"/>
      <c r="AE71" s="462"/>
      <c r="AF71" s="1"/>
      <c r="AG71" s="479"/>
      <c r="AH71" s="479"/>
      <c r="AI71" s="500"/>
      <c r="AJ71" s="500"/>
      <c r="AK71" s="1520"/>
      <c r="AL71" s="574"/>
      <c r="AM71" s="735"/>
      <c r="AN71" s="735"/>
      <c r="AO71" s="1298"/>
      <c r="AP71" s="1084"/>
      <c r="AQ71" s="1084"/>
      <c r="AR71" s="1200"/>
      <c r="AS71" s="1188"/>
      <c r="AT71" s="1084"/>
      <c r="AU71" s="1084"/>
      <c r="AV71" s="434"/>
      <c r="AW71" s="1084"/>
      <c r="AX71" s="1298"/>
      <c r="AY71" s="1298"/>
      <c r="AZ71" s="1298"/>
      <c r="BA71" s="1298"/>
      <c r="BB71" s="1298"/>
      <c r="BC71" s="1298"/>
      <c r="BD71" s="1298"/>
      <c r="BE71" s="1298"/>
      <c r="BF71" s="1298"/>
      <c r="BG71" s="1298"/>
      <c r="BH71" s="1298"/>
      <c r="BI71" s="1298"/>
      <c r="BJ71" s="1298"/>
    </row>
    <row r="72" spans="2:62" ht="19.5" customHeight="1">
      <c r="B72" s="12" t="s">
        <v>166</v>
      </c>
      <c r="C72" s="12" t="s">
        <v>166</v>
      </c>
      <c r="D72" s="562">
        <f>IF($K$2=0,0,SUMIFS(投組換券表[投入佔比],$AF$7:$AF$48,$B72))</f>
        <v>0</v>
      </c>
      <c r="E72" s="562">
        <f t="shared" ca="1" si="22"/>
        <v>0</v>
      </c>
      <c r="F72" s="12">
        <f t="shared" si="23"/>
        <v>0</v>
      </c>
      <c r="G72" s="1682" t="str">
        <f t="shared" si="24"/>
        <v/>
      </c>
      <c r="M72" s="566"/>
      <c r="S72" s="428"/>
      <c r="T72" s="430"/>
      <c r="U72" s="430"/>
      <c r="V72" s="431"/>
      <c r="W72" s="432"/>
      <c r="X72" s="433"/>
      <c r="Y72" s="434"/>
      <c r="Z72" s="440"/>
      <c r="AA72" s="570"/>
      <c r="AB72" s="442"/>
      <c r="AC72" s="43"/>
      <c r="AD72" s="43"/>
      <c r="AE72" s="462"/>
      <c r="AF72" s="1"/>
      <c r="AG72" s="479"/>
      <c r="AH72" s="479"/>
      <c r="AI72" s="500"/>
      <c r="AJ72" s="500"/>
      <c r="AK72" s="1520"/>
      <c r="AL72" s="574"/>
      <c r="AM72" s="735"/>
      <c r="AN72" s="735"/>
      <c r="AO72" s="1298"/>
      <c r="AP72" s="1084"/>
      <c r="AQ72" s="1084"/>
      <c r="AR72" s="1200"/>
      <c r="AS72" s="1188"/>
      <c r="AT72" s="1084"/>
      <c r="AU72" s="1084"/>
      <c r="AV72" s="434"/>
      <c r="AW72" s="1084"/>
      <c r="AX72" s="1298"/>
      <c r="AY72" s="1298"/>
      <c r="AZ72" s="1298"/>
      <c r="BA72" s="1298"/>
      <c r="BB72" s="1298"/>
      <c r="BC72" s="1298"/>
      <c r="BD72" s="1298"/>
      <c r="BE72" s="1298"/>
      <c r="BF72" s="1298"/>
      <c r="BG72" s="1298"/>
      <c r="BH72" s="1298"/>
      <c r="BI72" s="1298"/>
      <c r="BJ72" s="1298"/>
    </row>
    <row r="73" spans="2:62" ht="19.5" customHeight="1">
      <c r="B73" s="12" t="s">
        <v>164</v>
      </c>
      <c r="C73" s="12" t="s">
        <v>164</v>
      </c>
      <c r="D73" s="562">
        <f>IF($K$2=0,0,SUMIFS(投組換券表[投入佔比],$AF$7:$AF$48,$B73))</f>
        <v>0</v>
      </c>
      <c r="E73" s="562">
        <f t="shared" ca="1" si="22"/>
        <v>0</v>
      </c>
      <c r="F73" s="12">
        <f t="shared" si="23"/>
        <v>0</v>
      </c>
      <c r="G73" s="1682" t="str">
        <f t="shared" si="24"/>
        <v/>
      </c>
      <c r="M73" s="566"/>
      <c r="S73" s="428"/>
      <c r="T73" s="430"/>
      <c r="U73" s="430"/>
      <c r="V73" s="431"/>
      <c r="W73" s="432"/>
      <c r="X73" s="433"/>
      <c r="Y73" s="434"/>
      <c r="Z73" s="440"/>
      <c r="AA73" s="570"/>
      <c r="AB73" s="442"/>
      <c r="AC73" s="43"/>
      <c r="AD73" s="43"/>
      <c r="AE73" s="462"/>
      <c r="AF73" s="1"/>
      <c r="AG73" s="479"/>
      <c r="AH73" s="479"/>
      <c r="AI73" s="500"/>
      <c r="AJ73" s="500"/>
      <c r="AK73" s="1520"/>
      <c r="AL73" s="574"/>
      <c r="AM73" s="735"/>
      <c r="AN73" s="735"/>
      <c r="AO73" s="1298"/>
      <c r="AP73" s="1084"/>
      <c r="AQ73" s="1084"/>
      <c r="AR73" s="1200"/>
      <c r="AS73" s="1188"/>
      <c r="AT73" s="1084"/>
      <c r="AU73" s="1084"/>
      <c r="AV73" s="434"/>
      <c r="AW73" s="1084"/>
      <c r="AX73" s="1298"/>
      <c r="AY73" s="1298"/>
      <c r="AZ73" s="1298"/>
      <c r="BA73" s="1298"/>
      <c r="BB73" s="1298"/>
      <c r="BC73" s="1298"/>
      <c r="BD73" s="1298"/>
      <c r="BE73" s="1298"/>
      <c r="BF73" s="1298"/>
      <c r="BG73" s="1298"/>
      <c r="BH73" s="1298"/>
      <c r="BI73" s="1298"/>
      <c r="BJ73" s="1298"/>
    </row>
    <row r="74" spans="2:62" ht="19.5" customHeight="1">
      <c r="B74" s="12" t="s">
        <v>170</v>
      </c>
      <c r="C74" s="12" t="s">
        <v>170</v>
      </c>
      <c r="D74" s="562">
        <f>IF($K$2=0,0,SUMIFS(投組換券表[投入佔比],$AF$7:$AF$48,$B74))</f>
        <v>0</v>
      </c>
      <c r="E74" s="562">
        <f t="shared" ca="1" si="22"/>
        <v>0</v>
      </c>
      <c r="F74" s="12">
        <f t="shared" si="23"/>
        <v>0</v>
      </c>
      <c r="G74" s="1682" t="str">
        <f t="shared" si="24"/>
        <v/>
      </c>
      <c r="M74" s="566"/>
      <c r="S74" s="428"/>
      <c r="T74" s="430"/>
      <c r="U74" s="430"/>
      <c r="V74" s="431"/>
      <c r="W74" s="432"/>
      <c r="X74" s="433"/>
      <c r="Y74" s="434"/>
      <c r="Z74" s="440"/>
      <c r="AA74" s="570"/>
      <c r="AB74" s="442"/>
      <c r="AC74" s="43"/>
      <c r="AD74" s="43"/>
      <c r="AE74" s="462"/>
      <c r="AF74" s="1"/>
      <c r="AG74" s="479"/>
      <c r="AH74" s="479"/>
      <c r="AI74" s="500"/>
      <c r="AJ74" s="500"/>
      <c r="AK74" s="1520"/>
      <c r="AL74" s="574"/>
      <c r="AM74" s="735"/>
      <c r="AN74" s="735"/>
      <c r="AO74" s="1298"/>
      <c r="AP74" s="1084"/>
      <c r="AQ74" s="1084"/>
      <c r="AR74" s="1200"/>
      <c r="AS74" s="1188"/>
      <c r="AT74" s="1084"/>
      <c r="AU74" s="1084"/>
      <c r="AV74" s="434"/>
      <c r="AW74" s="1084"/>
      <c r="AX74" s="1298"/>
      <c r="AY74" s="1298"/>
      <c r="AZ74" s="1298"/>
      <c r="BA74" s="1298"/>
      <c r="BB74" s="1298"/>
      <c r="BC74" s="1298"/>
      <c r="BD74" s="1298"/>
      <c r="BE74" s="1298"/>
      <c r="BF74" s="1298"/>
      <c r="BG74" s="1298"/>
      <c r="BH74" s="1298"/>
      <c r="BI74" s="1298"/>
      <c r="BJ74" s="1298"/>
    </row>
    <row r="75" spans="2:62" ht="19.5" customHeight="1">
      <c r="B75" s="12" t="s">
        <v>162</v>
      </c>
      <c r="C75" s="12" t="s">
        <v>162</v>
      </c>
      <c r="D75" s="562">
        <f>IF($K$2=0,0,SUMIFS(投組換券表[投入佔比],$AF$7:$AF$48,$B75))</f>
        <v>0</v>
      </c>
      <c r="E75" s="562">
        <f t="shared" ca="1" si="22"/>
        <v>0</v>
      </c>
      <c r="F75" s="12">
        <f t="shared" si="23"/>
        <v>0</v>
      </c>
      <c r="G75" s="1682" t="str">
        <f t="shared" si="24"/>
        <v/>
      </c>
      <c r="M75" s="566"/>
      <c r="S75" s="428"/>
      <c r="T75" s="430"/>
      <c r="U75" s="430"/>
      <c r="V75" s="431"/>
      <c r="W75" s="432"/>
      <c r="X75" s="433"/>
      <c r="Y75" s="434"/>
      <c r="Z75" s="440"/>
      <c r="AA75" s="570"/>
      <c r="AB75" s="442"/>
      <c r="AC75" s="43"/>
      <c r="AD75" s="43"/>
      <c r="AE75" s="462"/>
      <c r="AF75" s="1"/>
      <c r="AG75" s="479"/>
      <c r="AH75" s="479"/>
      <c r="AI75" s="500"/>
      <c r="AJ75" s="500"/>
      <c r="AK75" s="1520"/>
      <c r="AL75" s="574"/>
      <c r="AM75" s="735"/>
      <c r="AN75" s="735"/>
      <c r="AO75" s="1298"/>
      <c r="AP75" s="1084"/>
      <c r="AQ75" s="1084"/>
      <c r="AR75" s="1200"/>
      <c r="AS75" s="1188"/>
      <c r="AT75" s="1084"/>
      <c r="AU75" s="1084"/>
      <c r="AV75" s="434"/>
      <c r="AW75" s="1084"/>
      <c r="AX75" s="1298"/>
      <c r="AY75" s="1298"/>
      <c r="AZ75" s="1298"/>
      <c r="BA75" s="1298"/>
      <c r="BB75" s="1298"/>
      <c r="BC75" s="1298"/>
      <c r="BD75" s="1298"/>
      <c r="BE75" s="1298"/>
      <c r="BF75" s="1298"/>
      <c r="BG75" s="1298"/>
      <c r="BH75" s="1298"/>
      <c r="BI75" s="1298"/>
      <c r="BJ75" s="1298"/>
    </row>
    <row r="76" spans="2:62" ht="19.5" customHeight="1">
      <c r="B76" s="12" t="s">
        <v>168</v>
      </c>
      <c r="C76" s="12" t="s">
        <v>173</v>
      </c>
      <c r="D76" s="562">
        <f>IF($K$2=0,0,SUMIFS(投組換券表[投入佔比],$AF$7:$AF$48,$B76))</f>
        <v>0</v>
      </c>
      <c r="E76" s="562">
        <f t="shared" ca="1" si="22"/>
        <v>0</v>
      </c>
      <c r="F76" s="12">
        <f t="shared" si="23"/>
        <v>0</v>
      </c>
      <c r="G76" s="1682" t="str">
        <f t="shared" si="24"/>
        <v/>
      </c>
      <c r="M76" s="566"/>
      <c r="S76" s="428"/>
      <c r="T76" s="430"/>
      <c r="U76" s="430"/>
      <c r="V76" s="431"/>
      <c r="W76" s="432"/>
      <c r="X76" s="433"/>
      <c r="Y76" s="434"/>
      <c r="Z76" s="440"/>
      <c r="AA76" s="570"/>
      <c r="AB76" s="442"/>
      <c r="AC76" s="43"/>
      <c r="AD76" s="43"/>
      <c r="AE76" s="462"/>
      <c r="AF76" s="1"/>
      <c r="AG76" s="479"/>
      <c r="AH76" s="479"/>
      <c r="AI76" s="500"/>
      <c r="AJ76" s="500"/>
      <c r="AK76" s="1520"/>
      <c r="AL76" s="574"/>
      <c r="AM76" s="735"/>
      <c r="AN76" s="735"/>
      <c r="AO76" s="1298"/>
      <c r="AP76" s="1084"/>
      <c r="AQ76" s="1084"/>
      <c r="AR76" s="1200"/>
      <c r="AS76" s="1188"/>
      <c r="AT76" s="1084"/>
      <c r="AU76" s="1084"/>
      <c r="AV76" s="434"/>
      <c r="AW76" s="1084"/>
      <c r="AX76" s="1298"/>
      <c r="AY76" s="1298"/>
      <c r="AZ76" s="1298"/>
      <c r="BA76" s="1298"/>
      <c r="BB76" s="1298"/>
      <c r="BC76" s="1298"/>
      <c r="BD76" s="1298"/>
      <c r="BE76" s="1298"/>
      <c r="BF76" s="1298"/>
      <c r="BG76" s="1298"/>
      <c r="BH76" s="1298"/>
      <c r="BI76" s="1298"/>
      <c r="BJ76" s="1298"/>
    </row>
    <row r="77" spans="2:62" ht="19.5" customHeight="1">
      <c r="B77" s="12" t="s">
        <v>169</v>
      </c>
      <c r="C77" s="12" t="s">
        <v>169</v>
      </c>
      <c r="D77" s="562">
        <f>IF($K$2=0,0,SUMIFS(投組換券表[投入佔比],$AF$7:$AF$48,$B77))</f>
        <v>0</v>
      </c>
      <c r="E77" s="562">
        <f t="shared" ca="1" si="22"/>
        <v>0</v>
      </c>
      <c r="F77" s="12">
        <f t="shared" si="23"/>
        <v>0</v>
      </c>
      <c r="G77" s="1682" t="str">
        <f t="shared" si="24"/>
        <v/>
      </c>
      <c r="S77" s="18"/>
      <c r="T77" s="20"/>
      <c r="U77" s="20"/>
      <c r="V77" s="22"/>
      <c r="W77" s="22"/>
      <c r="X77" s="22"/>
      <c r="Y77" s="22"/>
      <c r="Z77" s="22"/>
      <c r="AA77" s="571"/>
      <c r="AB77" s="22"/>
      <c r="AC77" s="22"/>
      <c r="AD77" s="22"/>
      <c r="AE77" s="485"/>
      <c r="AF77" s="449"/>
    </row>
    <row r="78" spans="2:62" ht="19.5" customHeight="1">
      <c r="B78" s="12" t="s">
        <v>172</v>
      </c>
      <c r="C78" s="12" t="s">
        <v>172</v>
      </c>
      <c r="D78" s="562">
        <f>IF($K$2=0,0,SUMIFS(投組換券表[投入佔比],$AF$7:$AF$48,$B78))</f>
        <v>0</v>
      </c>
      <c r="E78" s="562">
        <f t="shared" ca="1" si="22"/>
        <v>0</v>
      </c>
      <c r="F78" s="12">
        <f t="shared" si="23"/>
        <v>0</v>
      </c>
      <c r="G78" s="1682" t="str">
        <f t="shared" si="24"/>
        <v/>
      </c>
      <c r="S78" s="18"/>
      <c r="T78" s="20"/>
      <c r="U78" s="20"/>
      <c r="V78" s="22"/>
      <c r="W78" s="22"/>
      <c r="X78" s="22"/>
      <c r="Y78" s="22"/>
      <c r="Z78" s="22"/>
      <c r="AA78" s="571"/>
      <c r="AB78" s="22"/>
      <c r="AC78" s="22"/>
      <c r="AD78" s="22"/>
      <c r="AE78" s="485"/>
      <c r="AF78" s="449"/>
    </row>
    <row r="79" spans="2:62" ht="19.5" customHeight="1">
      <c r="B79" s="459" t="s">
        <v>3539</v>
      </c>
      <c r="C79" s="477"/>
      <c r="D79" s="477"/>
      <c r="F79" s="459">
        <f>MAX(F68:F78)</f>
        <v>0</v>
      </c>
      <c r="S79" s="18"/>
      <c r="T79" s="20"/>
      <c r="U79" s="20"/>
      <c r="V79" s="22"/>
      <c r="W79" s="22"/>
      <c r="X79" s="22"/>
      <c r="Y79" s="22"/>
      <c r="Z79" s="22"/>
      <c r="AA79" s="571"/>
      <c r="AB79" s="22"/>
      <c r="AC79" s="22"/>
      <c r="AD79" s="22"/>
      <c r="AE79" s="485"/>
      <c r="AF79" s="449"/>
    </row>
    <row r="80" spans="2:62" ht="19.5" customHeight="1">
      <c r="S80" s="18"/>
      <c r="T80" s="20"/>
      <c r="U80" s="20"/>
      <c r="V80" s="22"/>
      <c r="W80" s="22"/>
      <c r="X80" s="22"/>
      <c r="Y80" s="22"/>
      <c r="Z80" s="22"/>
      <c r="AA80" s="571"/>
      <c r="AB80" s="22"/>
      <c r="AC80" s="22"/>
      <c r="AD80" s="22"/>
      <c r="AE80" s="485"/>
      <c r="AF80" s="449"/>
    </row>
    <row r="81" spans="2:32" ht="19.5" customHeight="1">
      <c r="B81" s="459" t="s">
        <v>2020</v>
      </c>
      <c r="S81" s="18"/>
      <c r="T81" s="20"/>
      <c r="U81" s="20"/>
      <c r="V81" s="22"/>
      <c r="W81" s="22"/>
      <c r="X81" s="22"/>
      <c r="Y81" s="22"/>
      <c r="Z81" s="22"/>
      <c r="AA81" s="571"/>
      <c r="AB81" s="22"/>
      <c r="AC81" s="22"/>
      <c r="AD81" s="22"/>
      <c r="AE81" s="485"/>
      <c r="AF81" s="449"/>
    </row>
    <row r="82" spans="2:32" ht="19.5" customHeight="1">
      <c r="B82" s="12" t="s">
        <v>1981</v>
      </c>
      <c r="C82" s="12" t="s">
        <v>1982</v>
      </c>
      <c r="D82" s="109" t="s">
        <v>2022</v>
      </c>
      <c r="E82" s="12" t="s">
        <v>2019</v>
      </c>
      <c r="F82" s="12"/>
      <c r="S82" s="18"/>
      <c r="T82" s="20"/>
      <c r="U82" s="20"/>
      <c r="V82" s="22"/>
      <c r="W82" s="22"/>
      <c r="X82" s="22"/>
      <c r="Y82" s="22"/>
      <c r="Z82" s="22"/>
      <c r="AA82" s="571"/>
      <c r="AB82" s="22"/>
      <c r="AC82" s="22"/>
      <c r="AD82" s="22"/>
      <c r="AE82" s="485"/>
      <c r="AF82" s="449"/>
    </row>
    <row r="83" spans="2:32" ht="19.5" customHeight="1">
      <c r="B83" s="26">
        <v>1</v>
      </c>
      <c r="C83" s="12" t="e">
        <f>INDEX($C$69:$C$79,MATCH(B83,$F$69:$F$79,0))</f>
        <v>#N/A</v>
      </c>
      <c r="D83" s="109" t="e">
        <f>VLOOKUP(F83,$B$69:$E$79,3,FALSE)</f>
        <v>#N/A</v>
      </c>
      <c r="E83" s="109" t="e">
        <f>VLOOKUP(F83,$B$69:$E$79,4,FALSE)</f>
        <v>#N/A</v>
      </c>
      <c r="F83" s="12" t="e">
        <f>INDEX($B$69:$B$79,MATCH(B83,$F$69:$F$79,0))</f>
        <v>#N/A</v>
      </c>
      <c r="S83" s="18"/>
      <c r="T83" s="20"/>
      <c r="U83" s="20"/>
      <c r="V83" s="22"/>
      <c r="W83" s="22"/>
      <c r="X83" s="22"/>
      <c r="Y83" s="22"/>
      <c r="Z83" s="22"/>
      <c r="AA83" s="571"/>
      <c r="AB83" s="22"/>
      <c r="AC83" s="22"/>
      <c r="AD83" s="22"/>
      <c r="AE83" s="485"/>
      <c r="AF83" s="449"/>
    </row>
    <row r="84" spans="2:32" ht="19.5" customHeight="1">
      <c r="B84" s="26">
        <v>2</v>
      </c>
      <c r="C84" s="12" t="e">
        <f t="shared" ref="C84:C94" si="25">INDEX($C$69:$C$79,MATCH(B84,$F$69:$F$79,0))</f>
        <v>#N/A</v>
      </c>
      <c r="D84" s="109" t="e">
        <f t="shared" ref="D84:D94" si="26">VLOOKUP(F84,$B$69:$E$79,3,FALSE)</f>
        <v>#N/A</v>
      </c>
      <c r="E84" s="109" t="e">
        <f t="shared" ref="E84:E94" si="27">VLOOKUP(F84,$B$69:$E$79,4,FALSE)</f>
        <v>#N/A</v>
      </c>
      <c r="F84" s="12" t="e">
        <f t="shared" ref="F84:F94" si="28">INDEX($B$69:$B$79,MATCH(B84,$F$69:$F$79,0))</f>
        <v>#N/A</v>
      </c>
      <c r="S84" s="18"/>
      <c r="T84" s="20"/>
      <c r="U84" s="20"/>
      <c r="V84" s="22"/>
      <c r="W84" s="22"/>
      <c r="X84" s="22"/>
      <c r="Y84" s="22"/>
      <c r="Z84" s="22"/>
      <c r="AA84" s="571"/>
      <c r="AB84" s="22"/>
      <c r="AC84" s="22"/>
      <c r="AD84" s="22"/>
      <c r="AE84" s="485"/>
      <c r="AF84" s="449"/>
    </row>
    <row r="85" spans="2:32" ht="19.5" customHeight="1">
      <c r="B85" s="26">
        <v>3</v>
      </c>
      <c r="C85" s="12" t="e">
        <f t="shared" si="25"/>
        <v>#N/A</v>
      </c>
      <c r="D85" s="109" t="e">
        <f t="shared" si="26"/>
        <v>#N/A</v>
      </c>
      <c r="E85" s="109" t="e">
        <f t="shared" si="27"/>
        <v>#N/A</v>
      </c>
      <c r="F85" s="12" t="e">
        <f t="shared" si="28"/>
        <v>#N/A</v>
      </c>
      <c r="S85" s="18"/>
      <c r="T85" s="20"/>
      <c r="U85" s="20"/>
      <c r="V85" s="22"/>
      <c r="W85" s="22"/>
      <c r="X85" s="22"/>
      <c r="Y85" s="22"/>
      <c r="Z85" s="22"/>
      <c r="AA85" s="571"/>
      <c r="AB85" s="22"/>
      <c r="AC85" s="22"/>
      <c r="AD85" s="22"/>
      <c r="AE85" s="485"/>
      <c r="AF85" s="449"/>
    </row>
    <row r="86" spans="2:32" ht="19.5" customHeight="1">
      <c r="B86" s="26">
        <v>4</v>
      </c>
      <c r="C86" s="12" t="e">
        <f t="shared" si="25"/>
        <v>#N/A</v>
      </c>
      <c r="D86" s="109" t="e">
        <f t="shared" si="26"/>
        <v>#N/A</v>
      </c>
      <c r="E86" s="109" t="e">
        <f t="shared" si="27"/>
        <v>#N/A</v>
      </c>
      <c r="F86" s="12" t="e">
        <f t="shared" si="28"/>
        <v>#N/A</v>
      </c>
      <c r="S86" s="18"/>
      <c r="T86" s="20"/>
      <c r="U86" s="20"/>
      <c r="V86" s="22"/>
      <c r="W86" s="22"/>
      <c r="X86" s="22"/>
      <c r="Y86" s="22"/>
      <c r="Z86" s="22"/>
      <c r="AA86" s="571"/>
      <c r="AB86" s="22"/>
      <c r="AC86" s="22"/>
      <c r="AD86" s="22"/>
      <c r="AE86" s="485"/>
      <c r="AF86" s="449"/>
    </row>
    <row r="87" spans="2:32" ht="19.5" customHeight="1">
      <c r="B87" s="26">
        <v>5</v>
      </c>
      <c r="C87" s="12" t="e">
        <f t="shared" si="25"/>
        <v>#N/A</v>
      </c>
      <c r="D87" s="109" t="e">
        <f t="shared" si="26"/>
        <v>#N/A</v>
      </c>
      <c r="E87" s="109" t="e">
        <f t="shared" si="27"/>
        <v>#N/A</v>
      </c>
      <c r="F87" s="12" t="e">
        <f t="shared" si="28"/>
        <v>#N/A</v>
      </c>
    </row>
    <row r="88" spans="2:32" ht="19.5" customHeight="1">
      <c r="B88" s="26">
        <v>6</v>
      </c>
      <c r="C88" s="12" t="e">
        <f t="shared" si="25"/>
        <v>#N/A</v>
      </c>
      <c r="D88" s="109" t="e">
        <f t="shared" si="26"/>
        <v>#N/A</v>
      </c>
      <c r="E88" s="109" t="e">
        <f t="shared" si="27"/>
        <v>#N/A</v>
      </c>
      <c r="F88" s="12" t="e">
        <f t="shared" si="28"/>
        <v>#N/A</v>
      </c>
    </row>
    <row r="89" spans="2:32" ht="19.5" customHeight="1">
      <c r="B89" s="26">
        <v>7</v>
      </c>
      <c r="C89" s="12" t="e">
        <f t="shared" si="25"/>
        <v>#N/A</v>
      </c>
      <c r="D89" s="109" t="e">
        <f t="shared" si="26"/>
        <v>#N/A</v>
      </c>
      <c r="E89" s="109" t="e">
        <f t="shared" si="27"/>
        <v>#N/A</v>
      </c>
      <c r="F89" s="12" t="e">
        <f t="shared" si="28"/>
        <v>#N/A</v>
      </c>
    </row>
    <row r="90" spans="2:32" ht="19.5" customHeight="1">
      <c r="B90" s="26">
        <v>8</v>
      </c>
      <c r="C90" s="12" t="e">
        <f t="shared" si="25"/>
        <v>#N/A</v>
      </c>
      <c r="D90" s="109" t="e">
        <f t="shared" si="26"/>
        <v>#N/A</v>
      </c>
      <c r="E90" s="109" t="e">
        <f t="shared" si="27"/>
        <v>#N/A</v>
      </c>
      <c r="F90" s="12" t="e">
        <f t="shared" si="28"/>
        <v>#N/A</v>
      </c>
    </row>
    <row r="91" spans="2:32" ht="19.5" customHeight="1">
      <c r="B91" s="26">
        <v>9</v>
      </c>
      <c r="C91" s="12" t="e">
        <f t="shared" si="25"/>
        <v>#N/A</v>
      </c>
      <c r="D91" s="109" t="e">
        <f t="shared" si="26"/>
        <v>#N/A</v>
      </c>
      <c r="E91" s="109" t="e">
        <f t="shared" si="27"/>
        <v>#N/A</v>
      </c>
      <c r="F91" s="12" t="e">
        <f t="shared" si="28"/>
        <v>#N/A</v>
      </c>
    </row>
    <row r="92" spans="2:32" ht="19.5" customHeight="1">
      <c r="B92" s="26">
        <v>10</v>
      </c>
      <c r="C92" s="12" t="e">
        <f t="shared" si="25"/>
        <v>#N/A</v>
      </c>
      <c r="D92" s="109" t="e">
        <f t="shared" si="26"/>
        <v>#N/A</v>
      </c>
      <c r="E92" s="109" t="e">
        <f t="shared" si="27"/>
        <v>#N/A</v>
      </c>
      <c r="F92" s="12" t="e">
        <f t="shared" si="28"/>
        <v>#N/A</v>
      </c>
    </row>
    <row r="93" spans="2:32" ht="19.5" customHeight="1">
      <c r="B93" s="26">
        <v>11</v>
      </c>
      <c r="C93" s="12" t="e">
        <f t="shared" si="25"/>
        <v>#N/A</v>
      </c>
      <c r="D93" s="109" t="e">
        <f t="shared" si="26"/>
        <v>#N/A</v>
      </c>
      <c r="E93" s="109" t="e">
        <f t="shared" si="27"/>
        <v>#N/A</v>
      </c>
      <c r="F93" s="12" t="e">
        <f t="shared" si="28"/>
        <v>#N/A</v>
      </c>
    </row>
    <row r="94" spans="2:32" ht="19.5" customHeight="1">
      <c r="B94" s="26">
        <v>12</v>
      </c>
      <c r="C94" s="12" t="e">
        <f t="shared" si="25"/>
        <v>#N/A</v>
      </c>
      <c r="D94" s="109" t="e">
        <f t="shared" si="26"/>
        <v>#N/A</v>
      </c>
      <c r="E94" s="109" t="e">
        <f t="shared" si="27"/>
        <v>#N/A</v>
      </c>
      <c r="F94" s="12" t="e">
        <f t="shared" si="28"/>
        <v>#N/A</v>
      </c>
    </row>
    <row r="97" spans="19:32" ht="19.5" customHeight="1">
      <c r="S97" s="18"/>
      <c r="T97" s="20"/>
      <c r="U97" s="20"/>
      <c r="V97" s="22"/>
      <c r="W97" s="22"/>
      <c r="X97" s="22"/>
      <c r="Y97" s="22"/>
      <c r="Z97" s="22"/>
      <c r="AA97" s="571"/>
      <c r="AB97" s="22"/>
      <c r="AC97" s="22"/>
      <c r="AD97" s="22"/>
      <c r="AE97" s="485"/>
      <c r="AF97" s="449"/>
    </row>
    <row r="98" spans="19:32" ht="19.5" customHeight="1">
      <c r="S98" s="18"/>
      <c r="T98" s="20"/>
      <c r="U98" s="20"/>
      <c r="V98" s="22"/>
      <c r="W98" s="22"/>
      <c r="X98" s="22"/>
      <c r="Y98" s="22"/>
      <c r="Z98" s="22"/>
      <c r="AA98" s="571"/>
      <c r="AB98" s="22"/>
      <c r="AC98" s="22"/>
      <c r="AD98" s="22"/>
      <c r="AE98" s="485"/>
      <c r="AF98" s="449"/>
    </row>
    <row r="99" spans="19:32" ht="19.5" customHeight="1">
      <c r="S99" s="18"/>
      <c r="T99" s="20"/>
      <c r="U99" s="20"/>
      <c r="V99" s="22"/>
      <c r="W99" s="22"/>
      <c r="X99" s="22"/>
      <c r="Y99" s="22"/>
      <c r="Z99" s="22"/>
      <c r="AA99" s="571"/>
      <c r="AB99" s="22"/>
      <c r="AC99" s="22"/>
      <c r="AD99" s="22"/>
      <c r="AE99" s="485"/>
      <c r="AF99" s="449"/>
    </row>
    <row r="100" spans="19:32" ht="19.5" customHeight="1">
      <c r="S100" s="18"/>
      <c r="T100" s="20"/>
      <c r="U100" s="20"/>
      <c r="V100" s="22"/>
      <c r="W100" s="22"/>
      <c r="X100" s="22"/>
      <c r="Y100" s="22"/>
      <c r="Z100" s="22"/>
      <c r="AA100" s="571"/>
      <c r="AB100" s="22"/>
      <c r="AC100" s="22"/>
      <c r="AD100" s="22"/>
      <c r="AE100" s="485"/>
      <c r="AF100" s="449"/>
    </row>
    <row r="101" spans="19:32" ht="19.5" customHeight="1">
      <c r="S101" s="18"/>
      <c r="T101" s="20"/>
      <c r="U101" s="20"/>
      <c r="V101" s="22"/>
      <c r="W101" s="22"/>
      <c r="X101" s="22"/>
      <c r="Y101" s="22"/>
      <c r="Z101" s="22"/>
      <c r="AA101" s="571"/>
      <c r="AB101" s="22"/>
      <c r="AC101" s="22"/>
      <c r="AD101" s="22"/>
      <c r="AE101" s="485"/>
      <c r="AF101" s="449"/>
    </row>
    <row r="102" spans="19:32" ht="19.5" customHeight="1">
      <c r="S102" s="18"/>
      <c r="T102" s="20"/>
      <c r="U102" s="20"/>
      <c r="V102" s="22"/>
      <c r="W102" s="22"/>
      <c r="X102" s="22"/>
      <c r="Y102" s="22"/>
      <c r="Z102" s="22"/>
      <c r="AA102" s="571"/>
      <c r="AB102" s="22"/>
      <c r="AC102" s="22"/>
      <c r="AD102" s="22"/>
      <c r="AE102" s="485"/>
      <c r="AF102" s="449"/>
    </row>
    <row r="103" spans="19:32" ht="19.5" customHeight="1">
      <c r="S103" s="18"/>
      <c r="T103" s="20"/>
      <c r="U103" s="20"/>
      <c r="V103" s="22"/>
      <c r="W103" s="22"/>
      <c r="X103" s="22"/>
      <c r="Y103" s="22"/>
      <c r="Z103" s="22"/>
      <c r="AA103" s="571"/>
      <c r="AB103" s="22"/>
      <c r="AC103" s="22"/>
      <c r="AD103" s="22"/>
      <c r="AE103" s="485"/>
      <c r="AF103" s="449"/>
    </row>
    <row r="104" spans="19:32" ht="19.5" customHeight="1">
      <c r="S104" s="18"/>
      <c r="T104" s="20"/>
      <c r="U104" s="20"/>
      <c r="V104" s="22"/>
      <c r="W104" s="22"/>
      <c r="X104" s="22"/>
      <c r="Y104" s="22"/>
      <c r="Z104" s="22"/>
      <c r="AA104" s="571"/>
      <c r="AB104" s="22"/>
      <c r="AC104" s="22"/>
      <c r="AD104" s="22"/>
      <c r="AE104" s="485"/>
      <c r="AF104" s="449"/>
    </row>
    <row r="105" spans="19:32" ht="19.5" customHeight="1">
      <c r="S105" s="18"/>
      <c r="T105" s="20"/>
      <c r="U105" s="20"/>
      <c r="V105" s="22"/>
      <c r="W105" s="22"/>
      <c r="X105" s="22"/>
      <c r="Y105" s="22"/>
      <c r="Z105" s="22"/>
      <c r="AA105" s="571"/>
      <c r="AB105" s="22"/>
      <c r="AC105" s="22"/>
      <c r="AD105" s="22"/>
      <c r="AE105" s="485"/>
      <c r="AF105" s="449"/>
    </row>
    <row r="106" spans="19:32" ht="19.5" customHeight="1">
      <c r="S106" s="18"/>
      <c r="T106" s="20"/>
      <c r="U106" s="20"/>
      <c r="V106" s="22"/>
      <c r="W106" s="22"/>
      <c r="X106" s="22"/>
      <c r="Y106" s="22"/>
      <c r="Z106" s="22"/>
      <c r="AA106" s="571"/>
      <c r="AB106" s="22"/>
      <c r="AC106" s="22"/>
      <c r="AD106" s="22"/>
      <c r="AE106" s="485"/>
      <c r="AF106" s="449"/>
    </row>
    <row r="107" spans="19:32" ht="19.5" customHeight="1">
      <c r="S107" s="18"/>
      <c r="T107" s="20"/>
      <c r="U107" s="20"/>
      <c r="V107" s="22"/>
      <c r="W107" s="22"/>
      <c r="X107" s="22"/>
      <c r="Y107" s="22"/>
      <c r="Z107" s="22"/>
      <c r="AA107" s="571"/>
      <c r="AB107" s="22"/>
      <c r="AC107" s="22"/>
      <c r="AD107" s="22"/>
      <c r="AE107" s="485"/>
      <c r="AF107" s="449"/>
    </row>
    <row r="108" spans="19:32" ht="19.5" customHeight="1">
      <c r="S108" s="18"/>
      <c r="T108" s="20"/>
      <c r="U108" s="20"/>
      <c r="V108" s="22"/>
      <c r="W108" s="22"/>
      <c r="X108" s="22"/>
      <c r="Y108" s="22"/>
      <c r="Z108" s="22"/>
      <c r="AA108" s="571"/>
      <c r="AB108" s="22"/>
      <c r="AC108" s="22"/>
      <c r="AD108" s="22"/>
      <c r="AE108" s="485"/>
      <c r="AF108" s="449"/>
    </row>
    <row r="109" spans="19:32" ht="19.5" customHeight="1">
      <c r="S109" s="18"/>
      <c r="T109" s="20"/>
      <c r="U109" s="20"/>
      <c r="V109" s="22"/>
      <c r="W109" s="22"/>
      <c r="X109" s="22"/>
      <c r="Y109" s="22"/>
      <c r="Z109" s="22"/>
      <c r="AA109" s="571"/>
      <c r="AB109" s="22"/>
      <c r="AC109" s="22"/>
      <c r="AD109" s="22"/>
      <c r="AE109" s="485"/>
      <c r="AF109" s="449"/>
    </row>
    <row r="110" spans="19:32" ht="19.5" customHeight="1">
      <c r="S110" s="18"/>
      <c r="T110" s="20"/>
      <c r="U110" s="20"/>
      <c r="V110" s="22"/>
      <c r="W110" s="22"/>
      <c r="X110" s="22"/>
      <c r="Y110" s="22"/>
      <c r="Z110" s="22"/>
      <c r="AA110" s="571"/>
      <c r="AB110" s="22"/>
      <c r="AC110" s="22"/>
      <c r="AD110" s="22"/>
      <c r="AE110" s="485"/>
      <c r="AF110" s="449"/>
    </row>
    <row r="111" spans="19:32" ht="19.5" customHeight="1">
      <c r="S111" s="18"/>
      <c r="T111" s="20"/>
      <c r="U111" s="20"/>
      <c r="V111" s="22"/>
      <c r="W111" s="22"/>
      <c r="X111" s="22"/>
      <c r="Y111" s="22"/>
      <c r="Z111" s="22"/>
      <c r="AA111" s="571"/>
      <c r="AB111" s="22"/>
      <c r="AC111" s="22"/>
      <c r="AD111" s="22"/>
      <c r="AE111" s="485"/>
      <c r="AF111" s="449"/>
    </row>
    <row r="112" spans="19:32" ht="19.5" customHeight="1">
      <c r="S112" s="18"/>
      <c r="T112" s="20"/>
      <c r="U112" s="20"/>
      <c r="V112" s="22"/>
      <c r="W112" s="22"/>
      <c r="X112" s="22"/>
      <c r="Y112" s="22"/>
      <c r="Z112" s="22"/>
      <c r="AA112" s="571"/>
      <c r="AB112" s="22"/>
      <c r="AC112" s="22"/>
      <c r="AD112" s="22"/>
      <c r="AE112" s="485"/>
      <c r="AF112" s="449"/>
    </row>
    <row r="113" spans="19:32" ht="19.5" customHeight="1">
      <c r="S113" s="18"/>
      <c r="T113" s="20"/>
      <c r="U113" s="20"/>
      <c r="V113" s="22"/>
      <c r="W113" s="22"/>
      <c r="X113" s="22"/>
      <c r="Y113" s="22"/>
      <c r="Z113" s="22"/>
      <c r="AA113" s="571"/>
      <c r="AB113" s="22"/>
      <c r="AC113" s="22"/>
      <c r="AD113" s="22"/>
      <c r="AE113" s="485"/>
      <c r="AF113" s="449"/>
    </row>
    <row r="114" spans="19:32" ht="19.5" customHeight="1">
      <c r="S114" s="18"/>
      <c r="T114" s="20"/>
      <c r="U114" s="20"/>
      <c r="V114" s="22"/>
      <c r="W114" s="22"/>
      <c r="X114" s="22"/>
      <c r="Y114" s="22"/>
      <c r="Z114" s="22"/>
      <c r="AA114" s="571"/>
      <c r="AB114" s="22"/>
      <c r="AC114" s="22"/>
      <c r="AD114" s="22"/>
      <c r="AE114" s="485"/>
      <c r="AF114" s="449"/>
    </row>
    <row r="115" spans="19:32" ht="19.5" customHeight="1">
      <c r="S115" s="18"/>
      <c r="T115" s="20"/>
      <c r="U115" s="20"/>
      <c r="V115" s="22"/>
      <c r="W115" s="22"/>
      <c r="X115" s="22"/>
      <c r="Y115" s="22"/>
      <c r="Z115" s="22"/>
      <c r="AA115" s="571"/>
      <c r="AB115" s="22"/>
      <c r="AC115" s="22"/>
      <c r="AD115" s="22"/>
      <c r="AE115" s="485"/>
      <c r="AF115" s="449"/>
    </row>
    <row r="116" spans="19:32" ht="19.5" customHeight="1">
      <c r="S116" s="18"/>
      <c r="T116" s="20"/>
      <c r="U116" s="20"/>
      <c r="V116" s="22"/>
      <c r="W116" s="22"/>
      <c r="X116" s="22"/>
      <c r="Y116" s="22"/>
      <c r="Z116" s="22"/>
      <c r="AA116" s="571"/>
      <c r="AB116" s="22"/>
      <c r="AC116" s="22"/>
      <c r="AD116" s="22"/>
      <c r="AE116" s="485"/>
      <c r="AF116" s="449"/>
    </row>
    <row r="117" spans="19:32" ht="19.5" customHeight="1">
      <c r="S117" s="18"/>
      <c r="T117" s="20"/>
      <c r="U117" s="20"/>
      <c r="V117" s="22"/>
      <c r="W117" s="22"/>
      <c r="X117" s="22"/>
      <c r="Y117" s="22"/>
      <c r="Z117" s="22"/>
      <c r="AA117" s="571"/>
      <c r="AB117" s="22"/>
      <c r="AC117" s="22"/>
      <c r="AD117" s="22"/>
      <c r="AE117" s="485"/>
      <c r="AF117" s="449"/>
    </row>
    <row r="118" spans="19:32" ht="19.5" customHeight="1">
      <c r="S118" s="18"/>
      <c r="T118" s="20"/>
      <c r="U118" s="20"/>
      <c r="V118" s="22"/>
      <c r="W118" s="22"/>
      <c r="X118" s="22"/>
      <c r="Y118" s="22"/>
      <c r="Z118" s="22"/>
      <c r="AA118" s="571"/>
      <c r="AB118" s="22"/>
      <c r="AC118" s="22"/>
      <c r="AD118" s="22"/>
      <c r="AE118" s="485"/>
      <c r="AF118" s="449"/>
    </row>
    <row r="119" spans="19:32" ht="19.5" customHeight="1">
      <c r="S119" s="18"/>
      <c r="T119" s="20"/>
      <c r="U119" s="20"/>
      <c r="V119" s="22"/>
      <c r="W119" s="22"/>
      <c r="X119" s="22"/>
      <c r="Y119" s="22"/>
      <c r="Z119" s="22"/>
      <c r="AA119" s="571"/>
      <c r="AB119" s="22"/>
      <c r="AC119" s="22"/>
      <c r="AD119" s="22"/>
      <c r="AE119" s="485"/>
      <c r="AF119" s="449"/>
    </row>
    <row r="120" spans="19:32" ht="19.5" customHeight="1">
      <c r="S120" s="18"/>
      <c r="T120" s="20"/>
      <c r="U120" s="20"/>
      <c r="V120" s="22"/>
      <c r="W120" s="22"/>
      <c r="X120" s="22"/>
      <c r="Y120" s="22"/>
      <c r="Z120" s="22"/>
      <c r="AA120" s="571"/>
      <c r="AB120" s="22"/>
      <c r="AC120" s="22"/>
      <c r="AD120" s="22"/>
      <c r="AE120" s="485"/>
      <c r="AF120" s="449"/>
    </row>
    <row r="121" spans="19:32" ht="19.5" customHeight="1">
      <c r="S121" s="18"/>
      <c r="T121" s="20"/>
      <c r="U121" s="20"/>
      <c r="V121" s="22"/>
      <c r="W121" s="22"/>
      <c r="X121" s="22"/>
      <c r="Y121" s="22"/>
      <c r="Z121" s="22"/>
      <c r="AA121" s="571"/>
      <c r="AB121" s="22"/>
      <c r="AC121" s="22"/>
      <c r="AD121" s="22"/>
      <c r="AE121" s="485"/>
      <c r="AF121" s="449"/>
    </row>
    <row r="122" spans="19:32" ht="19.5" customHeight="1">
      <c r="S122" s="18"/>
      <c r="T122" s="20"/>
      <c r="U122" s="20"/>
      <c r="V122" s="22"/>
      <c r="W122" s="22"/>
      <c r="X122" s="22"/>
      <c r="Y122" s="22"/>
      <c r="Z122" s="22"/>
      <c r="AA122" s="571"/>
      <c r="AB122" s="22"/>
      <c r="AC122" s="22"/>
      <c r="AD122" s="22"/>
      <c r="AE122" s="485"/>
      <c r="AF122" s="449"/>
    </row>
    <row r="123" spans="19:32" ht="19.5" customHeight="1">
      <c r="S123" s="18"/>
      <c r="T123" s="20"/>
      <c r="U123" s="20"/>
      <c r="V123" s="22"/>
      <c r="W123" s="22"/>
      <c r="X123" s="22"/>
      <c r="Y123" s="22"/>
      <c r="Z123" s="22"/>
      <c r="AA123" s="571"/>
      <c r="AB123" s="22"/>
      <c r="AC123" s="22"/>
      <c r="AD123" s="22"/>
      <c r="AE123" s="485"/>
      <c r="AF123" s="449"/>
    </row>
    <row r="124" spans="19:32" ht="19.5" customHeight="1">
      <c r="S124" s="18"/>
      <c r="T124" s="20"/>
      <c r="U124" s="20"/>
      <c r="V124" s="22"/>
      <c r="W124" s="22"/>
      <c r="X124" s="22"/>
      <c r="Y124" s="22"/>
      <c r="Z124" s="22"/>
      <c r="AA124" s="571"/>
      <c r="AB124" s="22"/>
      <c r="AC124" s="22"/>
      <c r="AD124" s="22"/>
      <c r="AE124" s="485"/>
      <c r="AF124" s="449"/>
    </row>
    <row r="125" spans="19:32" ht="19.5" customHeight="1">
      <c r="S125" s="18"/>
      <c r="T125" s="20"/>
      <c r="U125" s="20"/>
      <c r="V125" s="22"/>
      <c r="W125" s="22"/>
      <c r="X125" s="22"/>
      <c r="Y125" s="22"/>
      <c r="Z125" s="22"/>
      <c r="AA125" s="571"/>
      <c r="AB125" s="22"/>
      <c r="AC125" s="22"/>
      <c r="AD125" s="22"/>
      <c r="AE125" s="485"/>
      <c r="AF125" s="449"/>
    </row>
    <row r="126" spans="19:32" ht="19.5" customHeight="1">
      <c r="S126" s="18"/>
      <c r="T126" s="20"/>
      <c r="U126" s="20"/>
      <c r="V126" s="22"/>
      <c r="W126" s="22"/>
      <c r="X126" s="22"/>
      <c r="Y126" s="22"/>
      <c r="Z126" s="22"/>
      <c r="AA126" s="571"/>
      <c r="AB126" s="22"/>
      <c r="AC126" s="22"/>
      <c r="AD126" s="22"/>
      <c r="AE126" s="485"/>
      <c r="AF126" s="449"/>
    </row>
    <row r="127" spans="19:32" ht="19.5" customHeight="1">
      <c r="S127" s="18"/>
      <c r="T127" s="20"/>
      <c r="U127" s="20"/>
      <c r="V127" s="22"/>
      <c r="W127" s="22"/>
      <c r="X127" s="22"/>
      <c r="Y127" s="22"/>
      <c r="Z127" s="22"/>
      <c r="AA127" s="571"/>
      <c r="AB127" s="22"/>
      <c r="AC127" s="22"/>
      <c r="AD127" s="22"/>
      <c r="AE127" s="485"/>
      <c r="AF127" s="449"/>
    </row>
    <row r="128" spans="19:32" ht="19.5" customHeight="1">
      <c r="S128" s="18"/>
      <c r="T128" s="20"/>
      <c r="U128" s="20"/>
      <c r="V128" s="22"/>
      <c r="W128" s="22"/>
      <c r="X128" s="22"/>
      <c r="Y128" s="22"/>
      <c r="Z128" s="22"/>
      <c r="AA128" s="571"/>
      <c r="AB128" s="22"/>
      <c r="AC128" s="22"/>
      <c r="AD128" s="22"/>
      <c r="AE128" s="485"/>
      <c r="AF128" s="449"/>
    </row>
    <row r="129" spans="19:32" ht="19.5" customHeight="1">
      <c r="S129" s="18"/>
      <c r="T129" s="20"/>
      <c r="U129" s="20"/>
      <c r="V129" s="22"/>
      <c r="W129" s="22"/>
      <c r="X129" s="22"/>
      <c r="Y129" s="22"/>
      <c r="Z129" s="22"/>
      <c r="AA129" s="571"/>
      <c r="AB129" s="22"/>
      <c r="AC129" s="22"/>
      <c r="AD129" s="22"/>
      <c r="AE129" s="485"/>
      <c r="AF129" s="449"/>
    </row>
    <row r="130" spans="19:32" ht="19.5" customHeight="1">
      <c r="S130" s="18"/>
      <c r="T130" s="20"/>
      <c r="U130" s="20"/>
      <c r="V130" s="22"/>
      <c r="W130" s="22"/>
      <c r="X130" s="22"/>
      <c r="Y130" s="22"/>
      <c r="Z130" s="22"/>
      <c r="AA130" s="571"/>
      <c r="AB130" s="22"/>
      <c r="AC130" s="22"/>
      <c r="AD130" s="22"/>
      <c r="AE130" s="485"/>
      <c r="AF130" s="449"/>
    </row>
    <row r="131" spans="19:32" ht="19.5" customHeight="1">
      <c r="S131" s="18"/>
      <c r="T131" s="20"/>
      <c r="U131" s="20"/>
      <c r="V131" s="22"/>
      <c r="W131" s="22"/>
      <c r="X131" s="22"/>
      <c r="Y131" s="22"/>
      <c r="Z131" s="22"/>
      <c r="AA131" s="571"/>
      <c r="AB131" s="22"/>
      <c r="AC131" s="22"/>
      <c r="AD131" s="22"/>
      <c r="AE131" s="485"/>
      <c r="AF131" s="449"/>
    </row>
    <row r="132" spans="19:32" ht="19.5" customHeight="1">
      <c r="S132" s="18"/>
      <c r="T132" s="20"/>
      <c r="U132" s="20"/>
      <c r="V132" s="22"/>
      <c r="W132" s="22"/>
      <c r="X132" s="22"/>
      <c r="Y132" s="22"/>
      <c r="Z132" s="22"/>
      <c r="AA132" s="571"/>
      <c r="AB132" s="22"/>
      <c r="AC132" s="22"/>
      <c r="AD132" s="22"/>
      <c r="AE132" s="485"/>
      <c r="AF132" s="449"/>
    </row>
    <row r="133" spans="19:32" ht="19.5" customHeight="1">
      <c r="S133" s="18"/>
      <c r="T133" s="20"/>
      <c r="U133" s="20"/>
      <c r="V133" s="22"/>
      <c r="W133" s="22"/>
      <c r="X133" s="22"/>
      <c r="Y133" s="22"/>
      <c r="Z133" s="22"/>
      <c r="AA133" s="571"/>
      <c r="AB133" s="22"/>
      <c r="AC133" s="22"/>
      <c r="AD133" s="22"/>
      <c r="AE133" s="485"/>
      <c r="AF133" s="449"/>
    </row>
    <row r="134" spans="19:32" ht="19.5" customHeight="1">
      <c r="S134" s="18"/>
      <c r="T134" s="20"/>
      <c r="U134" s="20"/>
      <c r="V134" s="22"/>
      <c r="W134" s="22"/>
      <c r="X134" s="22"/>
      <c r="Y134" s="22"/>
      <c r="Z134" s="22"/>
      <c r="AA134" s="571"/>
      <c r="AB134" s="22"/>
      <c r="AC134" s="22"/>
      <c r="AD134" s="22"/>
      <c r="AE134" s="485"/>
      <c r="AF134" s="449"/>
    </row>
    <row r="135" spans="19:32" ht="19.5" customHeight="1">
      <c r="S135" s="18"/>
      <c r="T135" s="20"/>
      <c r="U135" s="20"/>
      <c r="V135" s="22"/>
      <c r="W135" s="22"/>
      <c r="X135" s="22"/>
      <c r="Y135" s="22"/>
      <c r="Z135" s="22"/>
      <c r="AA135" s="571"/>
      <c r="AB135" s="22"/>
      <c r="AC135" s="22"/>
      <c r="AD135" s="22"/>
      <c r="AE135" s="485"/>
      <c r="AF135" s="449"/>
    </row>
    <row r="136" spans="19:32" ht="19.5" customHeight="1">
      <c r="S136" s="18"/>
      <c r="T136" s="20"/>
      <c r="U136" s="20"/>
      <c r="V136" s="22"/>
      <c r="W136" s="22"/>
      <c r="X136" s="22"/>
      <c r="Y136" s="22"/>
      <c r="Z136" s="22"/>
      <c r="AA136" s="571"/>
      <c r="AB136" s="22"/>
      <c r="AC136" s="22"/>
      <c r="AD136" s="22"/>
      <c r="AE136" s="485"/>
      <c r="AF136" s="449"/>
    </row>
    <row r="137" spans="19:32" ht="19.5" customHeight="1">
      <c r="S137" s="18"/>
      <c r="T137" s="20"/>
      <c r="U137" s="20"/>
      <c r="V137" s="22"/>
      <c r="W137" s="22"/>
      <c r="X137" s="22"/>
      <c r="Y137" s="22"/>
      <c r="Z137" s="22"/>
      <c r="AA137" s="571"/>
      <c r="AB137" s="22"/>
      <c r="AC137" s="22"/>
      <c r="AD137" s="22"/>
      <c r="AE137" s="485"/>
      <c r="AF137" s="449"/>
    </row>
    <row r="138" spans="19:32" ht="19.5" customHeight="1">
      <c r="S138" s="18"/>
      <c r="T138" s="20"/>
      <c r="U138" s="20"/>
      <c r="V138" s="22"/>
      <c r="W138" s="22"/>
      <c r="X138" s="22"/>
      <c r="Y138" s="22"/>
      <c r="Z138" s="22"/>
      <c r="AA138" s="571"/>
      <c r="AB138" s="22"/>
      <c r="AC138" s="22"/>
      <c r="AD138" s="22"/>
      <c r="AE138" s="485"/>
      <c r="AF138" s="449"/>
    </row>
    <row r="139" spans="19:32" ht="19.5" customHeight="1">
      <c r="S139" s="18"/>
      <c r="T139" s="20"/>
      <c r="U139" s="20"/>
      <c r="V139" s="22"/>
      <c r="W139" s="22"/>
      <c r="X139" s="22"/>
      <c r="Y139" s="22"/>
      <c r="Z139" s="22"/>
      <c r="AA139" s="571"/>
      <c r="AB139" s="22"/>
      <c r="AC139" s="22"/>
      <c r="AD139" s="22"/>
      <c r="AE139" s="485"/>
      <c r="AF139" s="449"/>
    </row>
    <row r="140" spans="19:32" ht="19.5" customHeight="1">
      <c r="S140" s="18"/>
      <c r="T140" s="20"/>
      <c r="U140" s="20"/>
      <c r="V140" s="22"/>
      <c r="W140" s="22"/>
      <c r="X140" s="22"/>
      <c r="Y140" s="22"/>
      <c r="Z140" s="22"/>
      <c r="AA140" s="571"/>
      <c r="AB140" s="22"/>
      <c r="AC140" s="22"/>
      <c r="AD140" s="22"/>
      <c r="AE140" s="485"/>
      <c r="AF140" s="449"/>
    </row>
    <row r="141" spans="19:32" ht="19.5" customHeight="1">
      <c r="S141" s="18"/>
      <c r="T141" s="20"/>
      <c r="U141" s="20"/>
      <c r="V141" s="22"/>
      <c r="W141" s="22"/>
      <c r="X141" s="22"/>
      <c r="Y141" s="22"/>
      <c r="Z141" s="22"/>
      <c r="AA141" s="571"/>
      <c r="AB141" s="22"/>
      <c r="AC141" s="22"/>
      <c r="AD141" s="22"/>
      <c r="AE141" s="485"/>
      <c r="AF141" s="449"/>
    </row>
    <row r="142" spans="19:32" ht="19.5" customHeight="1">
      <c r="S142" s="18"/>
      <c r="T142" s="20"/>
      <c r="U142" s="20"/>
      <c r="V142" s="22"/>
      <c r="W142" s="22"/>
      <c r="X142" s="22"/>
      <c r="Y142" s="22"/>
      <c r="Z142" s="22"/>
      <c r="AA142" s="571"/>
      <c r="AB142" s="22"/>
      <c r="AC142" s="22"/>
      <c r="AD142" s="22"/>
      <c r="AE142" s="485"/>
      <c r="AF142" s="449"/>
    </row>
    <row r="143" spans="19:32" ht="19.5" customHeight="1">
      <c r="S143" s="18"/>
      <c r="T143" s="20"/>
      <c r="U143" s="20"/>
      <c r="V143" s="22"/>
      <c r="W143" s="22"/>
      <c r="X143" s="22"/>
      <c r="Y143" s="22"/>
      <c r="Z143" s="22"/>
      <c r="AA143" s="571"/>
      <c r="AB143" s="22"/>
      <c r="AC143" s="22"/>
      <c r="AD143" s="22"/>
      <c r="AE143" s="485"/>
      <c r="AF143" s="449"/>
    </row>
    <row r="144" spans="19:32" ht="19.5" customHeight="1">
      <c r="S144" s="18"/>
      <c r="T144" s="20"/>
      <c r="U144" s="20"/>
      <c r="V144" s="22"/>
      <c r="W144" s="22"/>
      <c r="X144" s="22"/>
      <c r="Y144" s="22"/>
      <c r="Z144" s="22"/>
      <c r="AA144" s="571"/>
      <c r="AB144" s="22"/>
      <c r="AC144" s="22"/>
      <c r="AD144" s="22"/>
      <c r="AE144" s="485"/>
      <c r="AF144" s="449"/>
    </row>
    <row r="145" spans="19:32" ht="19.5" customHeight="1">
      <c r="S145" s="18"/>
      <c r="T145" s="20"/>
      <c r="U145" s="20"/>
      <c r="V145" s="22"/>
      <c r="W145" s="22"/>
      <c r="X145" s="22"/>
      <c r="Y145" s="22"/>
      <c r="Z145" s="22"/>
      <c r="AA145" s="571"/>
      <c r="AB145" s="22"/>
      <c r="AC145" s="22"/>
      <c r="AD145" s="22"/>
      <c r="AE145" s="485"/>
      <c r="AF145" s="449"/>
    </row>
    <row r="146" spans="19:32" ht="19.5" customHeight="1">
      <c r="S146" s="18"/>
      <c r="T146" s="20"/>
      <c r="U146" s="20"/>
      <c r="V146" s="22"/>
      <c r="W146" s="22"/>
      <c r="X146" s="22"/>
      <c r="Y146" s="22"/>
      <c r="Z146" s="22"/>
      <c r="AA146" s="571"/>
      <c r="AB146" s="22"/>
      <c r="AC146" s="22"/>
      <c r="AD146" s="22"/>
      <c r="AE146" s="485"/>
      <c r="AF146" s="449"/>
    </row>
    <row r="147" spans="19:32" ht="19.5" customHeight="1">
      <c r="S147" s="18"/>
      <c r="T147" s="20"/>
      <c r="U147" s="20"/>
      <c r="V147" s="22"/>
      <c r="W147" s="22"/>
      <c r="X147" s="22"/>
      <c r="Y147" s="22"/>
      <c r="Z147" s="22"/>
      <c r="AA147" s="571"/>
      <c r="AB147" s="22"/>
      <c r="AC147" s="22"/>
      <c r="AD147" s="22"/>
      <c r="AE147" s="485"/>
      <c r="AF147" s="449"/>
    </row>
    <row r="148" spans="19:32" ht="19.5" customHeight="1">
      <c r="S148" s="18"/>
      <c r="T148" s="20"/>
      <c r="U148" s="20"/>
      <c r="V148" s="22"/>
      <c r="W148" s="22"/>
      <c r="X148" s="22"/>
      <c r="Y148" s="22"/>
      <c r="Z148" s="22"/>
      <c r="AA148" s="571"/>
      <c r="AB148" s="22"/>
      <c r="AC148" s="22"/>
      <c r="AD148" s="22"/>
      <c r="AE148" s="485"/>
      <c r="AF148" s="449"/>
    </row>
    <row r="149" spans="19:32" ht="19.5" customHeight="1">
      <c r="S149" s="18"/>
      <c r="T149" s="20"/>
      <c r="U149" s="20"/>
      <c r="V149" s="22"/>
      <c r="W149" s="22"/>
      <c r="X149" s="22"/>
      <c r="Y149" s="22"/>
      <c r="Z149" s="22"/>
      <c r="AA149" s="571"/>
      <c r="AB149" s="22"/>
      <c r="AC149" s="22"/>
      <c r="AD149" s="22"/>
      <c r="AE149" s="485"/>
      <c r="AF149" s="449"/>
    </row>
    <row r="150" spans="19:32" ht="19.5" customHeight="1">
      <c r="S150" s="18"/>
      <c r="T150" s="20"/>
      <c r="U150" s="20"/>
      <c r="V150" s="22"/>
      <c r="W150" s="22"/>
      <c r="X150" s="22"/>
      <c r="Y150" s="22"/>
      <c r="Z150" s="22"/>
      <c r="AA150" s="571"/>
      <c r="AB150" s="22"/>
      <c r="AC150" s="22"/>
      <c r="AD150" s="22"/>
      <c r="AE150" s="485"/>
      <c r="AF150" s="449"/>
    </row>
    <row r="151" spans="19:32" ht="19.5" customHeight="1">
      <c r="S151" s="18"/>
      <c r="T151" s="20"/>
      <c r="U151" s="20"/>
      <c r="V151" s="22"/>
      <c r="W151" s="22"/>
      <c r="X151" s="22"/>
      <c r="Y151" s="22"/>
      <c r="Z151" s="22"/>
      <c r="AA151" s="571"/>
      <c r="AB151" s="22"/>
      <c r="AC151" s="22"/>
      <c r="AD151" s="22"/>
      <c r="AE151" s="485"/>
      <c r="AF151" s="449"/>
    </row>
    <row r="152" spans="19:32" ht="19.5" customHeight="1">
      <c r="S152" s="18"/>
      <c r="T152" s="20"/>
      <c r="U152" s="20"/>
      <c r="V152" s="22"/>
      <c r="W152" s="22"/>
      <c r="X152" s="22"/>
      <c r="Y152" s="22"/>
      <c r="Z152" s="22"/>
      <c r="AA152" s="571"/>
      <c r="AB152" s="22"/>
      <c r="AC152" s="22"/>
      <c r="AD152" s="22"/>
      <c r="AE152" s="485"/>
      <c r="AF152" s="449"/>
    </row>
    <row r="153" spans="19:32" ht="19.5" customHeight="1">
      <c r="S153" s="18"/>
      <c r="T153" s="20"/>
      <c r="U153" s="20"/>
      <c r="V153" s="22"/>
      <c r="W153" s="22"/>
      <c r="X153" s="22"/>
      <c r="Y153" s="22"/>
      <c r="Z153" s="22"/>
      <c r="AA153" s="571"/>
      <c r="AB153" s="22"/>
      <c r="AC153" s="22"/>
      <c r="AD153" s="22"/>
      <c r="AE153" s="485"/>
      <c r="AF153" s="449"/>
    </row>
    <row r="154" spans="19:32" ht="19.5" customHeight="1">
      <c r="S154" s="18"/>
      <c r="T154" s="20"/>
      <c r="U154" s="20"/>
      <c r="V154" s="22"/>
      <c r="W154" s="22"/>
      <c r="X154" s="22"/>
      <c r="Y154" s="22"/>
      <c r="Z154" s="22"/>
      <c r="AA154" s="571"/>
      <c r="AB154" s="22"/>
      <c r="AC154" s="22"/>
      <c r="AD154" s="22"/>
      <c r="AE154" s="485"/>
      <c r="AF154" s="449"/>
    </row>
    <row r="155" spans="19:32" ht="19.5" customHeight="1">
      <c r="S155" s="18"/>
      <c r="T155" s="20"/>
      <c r="U155" s="20"/>
      <c r="V155" s="22"/>
      <c r="W155" s="22"/>
      <c r="X155" s="22"/>
      <c r="Y155" s="22"/>
      <c r="Z155" s="22"/>
      <c r="AA155" s="571"/>
      <c r="AB155" s="22"/>
      <c r="AC155" s="22"/>
      <c r="AD155" s="22"/>
      <c r="AE155" s="485"/>
      <c r="AF155" s="449"/>
    </row>
    <row r="156" spans="19:32" ht="19.5" customHeight="1">
      <c r="S156" s="18"/>
      <c r="T156" s="20"/>
      <c r="U156" s="20"/>
      <c r="V156" s="22"/>
      <c r="W156" s="22"/>
      <c r="X156" s="22"/>
      <c r="Y156" s="22"/>
      <c r="Z156" s="22"/>
      <c r="AA156" s="571"/>
      <c r="AB156" s="22"/>
      <c r="AC156" s="22"/>
      <c r="AD156" s="22"/>
      <c r="AE156" s="485"/>
      <c r="AF156" s="449"/>
    </row>
    <row r="157" spans="19:32" ht="19.5" customHeight="1">
      <c r="S157" s="18"/>
      <c r="T157" s="20"/>
      <c r="U157" s="20"/>
      <c r="V157" s="22"/>
      <c r="W157" s="22"/>
      <c r="X157" s="22"/>
      <c r="Y157" s="22"/>
      <c r="Z157" s="22"/>
      <c r="AA157" s="571"/>
      <c r="AB157" s="22"/>
      <c r="AC157" s="22"/>
      <c r="AD157" s="22"/>
      <c r="AE157" s="485"/>
      <c r="AF157" s="449"/>
    </row>
    <row r="158" spans="19:32" ht="19.5" customHeight="1">
      <c r="S158" s="18"/>
      <c r="T158" s="20"/>
      <c r="U158" s="20"/>
      <c r="V158" s="22"/>
      <c r="W158" s="22"/>
      <c r="X158" s="22"/>
      <c r="Y158" s="22"/>
      <c r="Z158" s="22"/>
      <c r="AA158" s="571"/>
      <c r="AB158" s="22"/>
      <c r="AC158" s="22"/>
      <c r="AD158" s="22"/>
      <c r="AE158" s="485"/>
      <c r="AF158" s="449"/>
    </row>
    <row r="159" spans="19:32" ht="19.5" customHeight="1">
      <c r="S159" s="18"/>
      <c r="T159" s="20"/>
      <c r="U159" s="20"/>
      <c r="V159" s="22"/>
      <c r="W159" s="22"/>
      <c r="X159" s="22"/>
      <c r="Y159" s="22"/>
      <c r="Z159" s="22"/>
      <c r="AA159" s="571"/>
      <c r="AB159" s="22"/>
      <c r="AC159" s="22"/>
      <c r="AD159" s="22"/>
      <c r="AE159" s="485"/>
      <c r="AF159" s="449"/>
    </row>
    <row r="160" spans="19:32" ht="19.5" customHeight="1">
      <c r="S160" s="18"/>
      <c r="T160" s="20"/>
      <c r="U160" s="20"/>
      <c r="V160" s="22"/>
      <c r="W160" s="22"/>
      <c r="X160" s="22"/>
      <c r="Y160" s="22"/>
      <c r="Z160" s="22"/>
      <c r="AA160" s="571"/>
      <c r="AB160" s="22"/>
      <c r="AC160" s="22"/>
      <c r="AD160" s="22"/>
      <c r="AE160" s="485"/>
      <c r="AF160" s="449"/>
    </row>
    <row r="161" spans="19:32" ht="19.5" customHeight="1">
      <c r="S161" s="18"/>
      <c r="T161" s="20"/>
      <c r="U161" s="20"/>
      <c r="V161" s="22"/>
      <c r="W161" s="22"/>
      <c r="X161" s="22"/>
      <c r="Y161" s="22"/>
      <c r="Z161" s="22"/>
      <c r="AA161" s="571"/>
      <c r="AB161" s="22"/>
      <c r="AC161" s="22"/>
      <c r="AD161" s="22"/>
      <c r="AE161" s="485"/>
      <c r="AF161" s="449"/>
    </row>
    <row r="162" spans="19:32" ht="19.5" customHeight="1">
      <c r="S162" s="18"/>
      <c r="T162" s="20"/>
      <c r="U162" s="20"/>
      <c r="V162" s="22"/>
      <c r="W162" s="22"/>
      <c r="X162" s="22"/>
      <c r="Y162" s="22"/>
      <c r="Z162" s="22"/>
      <c r="AA162" s="571"/>
      <c r="AB162" s="22"/>
      <c r="AC162" s="22"/>
      <c r="AD162" s="22"/>
      <c r="AE162" s="485"/>
      <c r="AF162" s="449"/>
    </row>
    <row r="163" spans="19:32" ht="19.5" customHeight="1">
      <c r="S163" s="18"/>
      <c r="T163" s="20"/>
      <c r="U163" s="20"/>
      <c r="V163" s="22"/>
      <c r="W163" s="22"/>
      <c r="X163" s="22"/>
      <c r="Y163" s="22"/>
      <c r="Z163" s="22"/>
      <c r="AA163" s="571"/>
      <c r="AB163" s="22"/>
      <c r="AC163" s="22"/>
      <c r="AD163" s="22"/>
      <c r="AE163" s="485"/>
      <c r="AF163" s="449"/>
    </row>
    <row r="164" spans="19:32" ht="19.5" customHeight="1">
      <c r="S164" s="18"/>
      <c r="T164" s="20"/>
      <c r="U164" s="20"/>
      <c r="V164" s="22"/>
      <c r="W164" s="22"/>
      <c r="X164" s="22"/>
      <c r="Y164" s="22"/>
      <c r="Z164" s="22"/>
      <c r="AA164" s="571"/>
      <c r="AB164" s="22"/>
      <c r="AC164" s="22"/>
      <c r="AD164" s="22"/>
      <c r="AE164" s="485"/>
      <c r="AF164" s="449"/>
    </row>
    <row r="165" spans="19:32" ht="19.5" customHeight="1">
      <c r="S165" s="18"/>
      <c r="T165" s="20"/>
      <c r="U165" s="20"/>
      <c r="V165" s="22"/>
      <c r="W165" s="22"/>
      <c r="X165" s="22"/>
      <c r="Y165" s="22"/>
      <c r="Z165" s="22"/>
      <c r="AA165" s="571"/>
      <c r="AB165" s="22"/>
      <c r="AC165" s="22"/>
      <c r="AD165" s="22"/>
      <c r="AE165" s="485"/>
      <c r="AF165" s="449"/>
    </row>
    <row r="166" spans="19:32" ht="19.5" customHeight="1">
      <c r="S166" s="18"/>
      <c r="T166" s="20"/>
      <c r="U166" s="20"/>
      <c r="V166" s="22"/>
      <c r="W166" s="22"/>
      <c r="X166" s="22"/>
      <c r="Y166" s="22"/>
      <c r="Z166" s="22"/>
      <c r="AA166" s="571"/>
      <c r="AB166" s="22"/>
      <c r="AC166" s="22"/>
      <c r="AD166" s="22"/>
      <c r="AE166" s="485"/>
      <c r="AF166" s="449"/>
    </row>
    <row r="167" spans="19:32" ht="19.5" customHeight="1">
      <c r="S167" s="18"/>
      <c r="T167" s="20"/>
      <c r="U167" s="20"/>
      <c r="V167" s="22"/>
      <c r="W167" s="22"/>
      <c r="X167" s="22"/>
      <c r="Y167" s="22"/>
      <c r="Z167" s="22"/>
      <c r="AA167" s="571"/>
      <c r="AB167" s="22"/>
      <c r="AC167" s="22"/>
      <c r="AD167" s="22"/>
      <c r="AE167" s="485"/>
      <c r="AF167" s="449"/>
    </row>
    <row r="168" spans="19:32" ht="19.5" customHeight="1">
      <c r="S168" s="18"/>
      <c r="T168" s="20"/>
      <c r="U168" s="20"/>
      <c r="V168" s="22"/>
      <c r="W168" s="22"/>
      <c r="X168" s="22"/>
      <c r="Y168" s="22"/>
      <c r="Z168" s="22"/>
      <c r="AA168" s="571"/>
      <c r="AB168" s="22"/>
      <c r="AC168" s="22"/>
      <c r="AD168" s="22"/>
      <c r="AE168" s="485"/>
      <c r="AF168" s="449"/>
    </row>
    <row r="169" spans="19:32" ht="19.5" customHeight="1">
      <c r="S169" s="18"/>
      <c r="T169" s="20"/>
      <c r="U169" s="20"/>
      <c r="V169" s="22"/>
      <c r="W169" s="22"/>
      <c r="X169" s="22"/>
      <c r="Y169" s="22"/>
      <c r="Z169" s="22"/>
      <c r="AA169" s="571"/>
      <c r="AB169" s="22"/>
      <c r="AC169" s="22"/>
      <c r="AD169" s="22"/>
      <c r="AE169" s="485"/>
      <c r="AF169" s="449"/>
    </row>
    <row r="170" spans="19:32" ht="19.5" customHeight="1">
      <c r="S170" s="18"/>
      <c r="T170" s="20"/>
      <c r="U170" s="20"/>
      <c r="V170" s="22"/>
      <c r="W170" s="22"/>
      <c r="X170" s="22"/>
      <c r="Y170" s="22"/>
      <c r="Z170" s="22"/>
      <c r="AA170" s="571"/>
      <c r="AB170" s="22"/>
      <c r="AC170" s="22"/>
      <c r="AD170" s="22"/>
      <c r="AE170" s="485"/>
      <c r="AF170" s="449"/>
    </row>
    <row r="171" spans="19:32" ht="19.5" customHeight="1">
      <c r="S171" s="18"/>
      <c r="T171" s="20"/>
      <c r="U171" s="20"/>
      <c r="V171" s="22"/>
      <c r="W171" s="22"/>
      <c r="X171" s="22"/>
      <c r="Y171" s="22"/>
      <c r="Z171" s="22"/>
      <c r="AA171" s="571"/>
      <c r="AB171" s="22"/>
      <c r="AC171" s="22"/>
      <c r="AD171" s="22"/>
      <c r="AE171" s="485"/>
      <c r="AF171" s="449"/>
    </row>
    <row r="172" spans="19:32" ht="19.5" customHeight="1">
      <c r="S172" s="18"/>
      <c r="T172" s="20"/>
      <c r="U172" s="20"/>
      <c r="V172" s="22"/>
      <c r="W172" s="22"/>
      <c r="X172" s="22"/>
      <c r="Y172" s="22"/>
      <c r="Z172" s="22"/>
      <c r="AA172" s="571"/>
      <c r="AB172" s="22"/>
      <c r="AC172" s="22"/>
      <c r="AD172" s="22"/>
      <c r="AE172" s="485"/>
      <c r="AF172" s="449"/>
    </row>
    <row r="173" spans="19:32" ht="19.5" customHeight="1">
      <c r="S173" s="18"/>
      <c r="T173" s="20"/>
      <c r="U173" s="20"/>
      <c r="V173" s="22"/>
      <c r="W173" s="22"/>
      <c r="X173" s="22"/>
      <c r="Y173" s="22"/>
      <c r="Z173" s="22"/>
      <c r="AA173" s="571"/>
      <c r="AB173" s="22"/>
      <c r="AC173" s="22"/>
      <c r="AD173" s="22"/>
      <c r="AE173" s="485"/>
      <c r="AF173" s="449"/>
    </row>
    <row r="174" spans="19:32" ht="19.5" customHeight="1">
      <c r="S174" s="18"/>
      <c r="T174" s="20"/>
      <c r="U174" s="20"/>
      <c r="V174" s="22"/>
      <c r="W174" s="22"/>
      <c r="X174" s="22"/>
      <c r="Y174" s="22"/>
      <c r="Z174" s="22"/>
      <c r="AA174" s="571"/>
      <c r="AB174" s="22"/>
      <c r="AC174" s="22"/>
      <c r="AD174" s="22"/>
      <c r="AE174" s="485"/>
      <c r="AF174" s="449"/>
    </row>
    <row r="175" spans="19:32" ht="19.5" customHeight="1">
      <c r="S175" s="18"/>
      <c r="T175" s="20"/>
      <c r="U175" s="20"/>
      <c r="V175" s="22"/>
      <c r="W175" s="22"/>
      <c r="X175" s="22"/>
      <c r="Y175" s="22"/>
      <c r="Z175" s="22"/>
      <c r="AA175" s="571"/>
      <c r="AB175" s="22"/>
      <c r="AC175" s="22"/>
      <c r="AD175" s="22"/>
      <c r="AE175" s="485"/>
      <c r="AF175" s="449"/>
    </row>
    <row r="176" spans="19:32" ht="19.5" customHeight="1">
      <c r="S176" s="18"/>
      <c r="T176" s="20"/>
      <c r="U176" s="20"/>
      <c r="V176" s="22"/>
      <c r="W176" s="22"/>
      <c r="X176" s="22"/>
      <c r="Y176" s="22"/>
      <c r="Z176" s="22"/>
      <c r="AA176" s="571"/>
      <c r="AB176" s="22"/>
      <c r="AC176" s="22"/>
      <c r="AD176" s="22"/>
      <c r="AE176" s="485"/>
      <c r="AF176" s="449"/>
    </row>
    <row r="177" spans="19:32" ht="19.5" customHeight="1">
      <c r="S177" s="18"/>
      <c r="T177" s="20"/>
      <c r="U177" s="20"/>
      <c r="V177" s="22"/>
      <c r="W177" s="22"/>
      <c r="X177" s="22"/>
      <c r="Y177" s="22"/>
      <c r="Z177" s="22"/>
      <c r="AA177" s="571"/>
      <c r="AB177" s="22"/>
      <c r="AC177" s="22"/>
      <c r="AD177" s="22"/>
      <c r="AE177" s="485"/>
      <c r="AF177" s="449"/>
    </row>
    <row r="178" spans="19:32" ht="19.5" customHeight="1">
      <c r="S178" s="18"/>
      <c r="T178" s="20"/>
      <c r="U178" s="20"/>
      <c r="V178" s="22"/>
      <c r="W178" s="22"/>
      <c r="X178" s="22"/>
      <c r="Y178" s="22"/>
      <c r="Z178" s="22"/>
      <c r="AA178" s="571"/>
      <c r="AB178" s="22"/>
      <c r="AC178" s="22"/>
      <c r="AD178" s="22"/>
      <c r="AE178" s="485"/>
      <c r="AF178" s="449"/>
    </row>
    <row r="179" spans="19:32" ht="19.5" customHeight="1">
      <c r="S179" s="18"/>
      <c r="T179" s="20"/>
      <c r="U179" s="20"/>
      <c r="V179" s="22"/>
      <c r="W179" s="22"/>
      <c r="X179" s="22"/>
      <c r="Y179" s="22"/>
      <c r="Z179" s="22"/>
      <c r="AA179" s="571"/>
      <c r="AB179" s="22"/>
      <c r="AC179" s="22"/>
      <c r="AD179" s="22"/>
      <c r="AE179" s="485"/>
      <c r="AF179" s="449"/>
    </row>
    <row r="180" spans="19:32" ht="19.5" customHeight="1">
      <c r="S180" s="18"/>
      <c r="T180" s="20"/>
      <c r="U180" s="20"/>
      <c r="V180" s="22"/>
      <c r="W180" s="22"/>
      <c r="X180" s="22"/>
      <c r="Y180" s="22"/>
      <c r="Z180" s="22"/>
      <c r="AA180" s="571"/>
      <c r="AB180" s="22"/>
      <c r="AC180" s="22"/>
      <c r="AD180" s="22"/>
      <c r="AE180" s="485"/>
      <c r="AF180" s="449"/>
    </row>
    <row r="181" spans="19:32" ht="19.5" customHeight="1">
      <c r="S181" s="18"/>
      <c r="T181" s="20"/>
      <c r="U181" s="20"/>
      <c r="V181" s="22"/>
      <c r="W181" s="22"/>
      <c r="X181" s="22"/>
      <c r="Y181" s="22"/>
      <c r="Z181" s="22"/>
      <c r="AA181" s="571"/>
      <c r="AB181" s="22"/>
      <c r="AC181" s="22"/>
      <c r="AD181" s="22"/>
      <c r="AE181" s="485"/>
      <c r="AF181" s="449"/>
    </row>
    <row r="182" spans="19:32" ht="19.5" customHeight="1">
      <c r="S182" s="18"/>
      <c r="T182" s="20"/>
      <c r="U182" s="20"/>
      <c r="V182" s="22"/>
      <c r="W182" s="22"/>
      <c r="X182" s="22"/>
      <c r="Y182" s="22"/>
      <c r="Z182" s="22"/>
      <c r="AA182" s="571"/>
      <c r="AB182" s="22"/>
      <c r="AC182" s="22"/>
      <c r="AD182" s="22"/>
      <c r="AE182" s="485"/>
      <c r="AF182" s="449"/>
    </row>
    <row r="183" spans="19:32" ht="19.5" customHeight="1">
      <c r="S183" s="18"/>
      <c r="T183" s="20"/>
      <c r="U183" s="20"/>
      <c r="V183" s="22"/>
      <c r="W183" s="22"/>
      <c r="X183" s="22"/>
      <c r="Y183" s="22"/>
      <c r="Z183" s="22"/>
      <c r="AA183" s="571"/>
      <c r="AB183" s="22"/>
      <c r="AC183" s="22"/>
      <c r="AD183" s="22"/>
      <c r="AE183" s="485"/>
      <c r="AF183" s="449"/>
    </row>
    <row r="184" spans="19:32" ht="19.5" customHeight="1">
      <c r="S184" s="18"/>
      <c r="T184" s="20"/>
      <c r="U184" s="20"/>
      <c r="V184" s="22"/>
      <c r="W184" s="22"/>
      <c r="X184" s="22"/>
      <c r="Y184" s="22"/>
      <c r="Z184" s="22"/>
      <c r="AA184" s="571"/>
      <c r="AB184" s="22"/>
      <c r="AC184" s="22"/>
      <c r="AD184" s="22"/>
      <c r="AE184" s="485"/>
      <c r="AF184" s="449"/>
    </row>
    <row r="185" spans="19:32" ht="19.5" customHeight="1">
      <c r="S185" s="18"/>
      <c r="T185" s="20"/>
      <c r="U185" s="20"/>
      <c r="V185" s="22"/>
      <c r="W185" s="22"/>
      <c r="X185" s="22"/>
      <c r="Y185" s="22"/>
      <c r="Z185" s="22"/>
      <c r="AA185" s="571"/>
      <c r="AB185" s="22"/>
      <c r="AC185" s="22"/>
      <c r="AD185" s="22"/>
      <c r="AE185" s="485"/>
      <c r="AF185" s="449"/>
    </row>
    <row r="186" spans="19:32" ht="19.5" customHeight="1">
      <c r="S186" s="18"/>
      <c r="T186" s="20"/>
      <c r="U186" s="20"/>
      <c r="V186" s="22"/>
      <c r="W186" s="22"/>
      <c r="X186" s="22"/>
      <c r="Y186" s="22"/>
      <c r="Z186" s="22"/>
      <c r="AA186" s="571"/>
      <c r="AB186" s="22"/>
      <c r="AC186" s="22"/>
      <c r="AD186" s="22"/>
      <c r="AE186" s="485"/>
      <c r="AF186" s="449"/>
    </row>
    <row r="187" spans="19:32" ht="19.5" customHeight="1">
      <c r="S187" s="18"/>
      <c r="T187" s="20"/>
      <c r="U187" s="20"/>
      <c r="V187" s="22"/>
      <c r="W187" s="22"/>
      <c r="X187" s="22"/>
      <c r="Y187" s="22"/>
      <c r="Z187" s="22"/>
      <c r="AA187" s="571"/>
      <c r="AB187" s="22"/>
      <c r="AC187" s="22"/>
      <c r="AD187" s="22"/>
      <c r="AE187" s="485"/>
      <c r="AF187" s="449"/>
    </row>
    <row r="188" spans="19:32" ht="19.5" customHeight="1">
      <c r="S188" s="18"/>
      <c r="T188" s="20"/>
      <c r="U188" s="20"/>
      <c r="V188" s="22"/>
      <c r="W188" s="22"/>
      <c r="X188" s="22"/>
      <c r="Y188" s="22"/>
      <c r="Z188" s="22"/>
      <c r="AA188" s="571"/>
      <c r="AB188" s="22"/>
      <c r="AC188" s="22"/>
      <c r="AD188" s="22"/>
      <c r="AE188" s="485"/>
      <c r="AF188" s="449"/>
    </row>
    <row r="189" spans="19:32" ht="19.5" customHeight="1">
      <c r="S189" s="18"/>
      <c r="T189" s="20"/>
      <c r="U189" s="20"/>
      <c r="V189" s="22"/>
      <c r="W189" s="22"/>
      <c r="X189" s="22"/>
      <c r="Y189" s="22"/>
      <c r="Z189" s="22"/>
      <c r="AA189" s="571"/>
      <c r="AB189" s="22"/>
      <c r="AC189" s="22"/>
      <c r="AD189" s="22"/>
      <c r="AE189" s="485"/>
      <c r="AF189" s="449"/>
    </row>
    <row r="190" spans="19:32" ht="19.5" customHeight="1">
      <c r="S190" s="18"/>
      <c r="T190" s="20"/>
      <c r="U190" s="20"/>
      <c r="V190" s="22"/>
      <c r="W190" s="22"/>
      <c r="X190" s="22"/>
      <c r="Y190" s="22"/>
      <c r="Z190" s="22"/>
      <c r="AA190" s="571"/>
      <c r="AB190" s="22"/>
      <c r="AC190" s="22"/>
      <c r="AD190" s="22"/>
      <c r="AE190" s="485"/>
      <c r="AF190" s="449"/>
    </row>
    <row r="191" spans="19:32" ht="19.5" customHeight="1">
      <c r="S191" s="18"/>
      <c r="T191" s="20"/>
      <c r="U191" s="20"/>
      <c r="V191" s="22"/>
      <c r="W191" s="22"/>
      <c r="X191" s="22"/>
      <c r="Y191" s="22"/>
      <c r="Z191" s="22"/>
      <c r="AA191" s="571"/>
      <c r="AB191" s="22"/>
      <c r="AC191" s="22"/>
      <c r="AD191" s="22"/>
      <c r="AE191" s="485"/>
      <c r="AF191" s="449"/>
    </row>
    <row r="192" spans="19:32" ht="19.5" customHeight="1">
      <c r="S192" s="18"/>
      <c r="T192" s="20"/>
      <c r="U192" s="20"/>
      <c r="V192" s="22"/>
      <c r="W192" s="22"/>
      <c r="X192" s="22"/>
      <c r="Y192" s="22"/>
      <c r="Z192" s="22"/>
      <c r="AA192" s="571"/>
      <c r="AB192" s="22"/>
      <c r="AC192" s="22"/>
      <c r="AD192" s="22"/>
      <c r="AE192" s="485"/>
      <c r="AF192" s="449"/>
    </row>
    <row r="193" spans="19:32" ht="19.5" customHeight="1">
      <c r="S193" s="18"/>
      <c r="T193" s="20"/>
      <c r="U193" s="20"/>
      <c r="V193" s="22"/>
      <c r="W193" s="22"/>
      <c r="X193" s="22"/>
      <c r="Y193" s="22"/>
      <c r="Z193" s="22"/>
      <c r="AA193" s="571"/>
      <c r="AB193" s="22"/>
      <c r="AC193" s="22"/>
      <c r="AD193" s="22"/>
      <c r="AE193" s="485"/>
      <c r="AF193" s="449"/>
    </row>
    <row r="194" spans="19:32" ht="19.5" customHeight="1">
      <c r="S194" s="18"/>
      <c r="T194" s="20"/>
      <c r="U194" s="20"/>
      <c r="V194" s="22"/>
      <c r="W194" s="22"/>
      <c r="X194" s="22"/>
      <c r="Y194" s="22"/>
      <c r="Z194" s="22"/>
      <c r="AA194" s="571"/>
      <c r="AB194" s="22"/>
      <c r="AC194" s="22"/>
      <c r="AD194" s="22"/>
      <c r="AE194" s="485"/>
      <c r="AF194" s="449"/>
    </row>
    <row r="195" spans="19:32" ht="19.5" customHeight="1">
      <c r="S195" s="18"/>
      <c r="T195" s="20"/>
      <c r="U195" s="20"/>
      <c r="V195" s="22"/>
      <c r="W195" s="22"/>
      <c r="X195" s="22"/>
      <c r="Y195" s="22"/>
      <c r="Z195" s="22"/>
      <c r="AA195" s="571"/>
      <c r="AB195" s="22"/>
      <c r="AC195" s="22"/>
      <c r="AD195" s="22"/>
      <c r="AE195" s="485"/>
      <c r="AF195" s="449"/>
    </row>
    <row r="196" spans="19:32" ht="19.5" customHeight="1">
      <c r="S196" s="18"/>
      <c r="T196" s="20"/>
      <c r="U196" s="20"/>
      <c r="V196" s="22"/>
      <c r="W196" s="22"/>
      <c r="X196" s="22"/>
      <c r="Y196" s="22"/>
      <c r="Z196" s="22"/>
      <c r="AA196" s="571"/>
      <c r="AB196" s="22"/>
      <c r="AC196" s="22"/>
      <c r="AD196" s="22"/>
      <c r="AE196" s="485"/>
      <c r="AF196" s="449"/>
    </row>
    <row r="197" spans="19:32" ht="19.5" customHeight="1">
      <c r="S197" s="18"/>
      <c r="T197" s="20"/>
      <c r="U197" s="20"/>
      <c r="V197" s="22"/>
      <c r="W197" s="22"/>
      <c r="X197" s="22"/>
      <c r="Y197" s="22"/>
      <c r="Z197" s="22"/>
      <c r="AA197" s="571"/>
      <c r="AB197" s="22"/>
      <c r="AC197" s="22"/>
      <c r="AD197" s="22"/>
      <c r="AE197" s="485"/>
      <c r="AF197" s="449"/>
    </row>
    <row r="198" spans="19:32" ht="19.5" customHeight="1">
      <c r="S198" s="18"/>
      <c r="T198" s="20"/>
      <c r="U198" s="20"/>
      <c r="V198" s="22"/>
      <c r="W198" s="22"/>
      <c r="X198" s="22"/>
      <c r="Y198" s="22"/>
      <c r="Z198" s="22"/>
      <c r="AA198" s="571"/>
      <c r="AB198" s="22"/>
      <c r="AC198" s="22"/>
      <c r="AD198" s="22"/>
      <c r="AE198" s="485"/>
      <c r="AF198" s="449"/>
    </row>
    <row r="199" spans="19:32" ht="19.5" customHeight="1">
      <c r="S199" s="18"/>
      <c r="T199" s="20"/>
      <c r="U199" s="20"/>
      <c r="V199" s="22"/>
      <c r="W199" s="22"/>
      <c r="X199" s="22"/>
      <c r="Y199" s="22"/>
      <c r="Z199" s="22"/>
      <c r="AA199" s="571"/>
      <c r="AB199" s="22"/>
      <c r="AC199" s="22"/>
      <c r="AD199" s="22"/>
      <c r="AE199" s="485"/>
      <c r="AF199" s="449"/>
    </row>
    <row r="200" spans="19:32" ht="19.5" customHeight="1">
      <c r="S200" s="18"/>
      <c r="T200" s="20"/>
      <c r="U200" s="20"/>
      <c r="V200" s="22"/>
      <c r="W200" s="22"/>
      <c r="X200" s="22"/>
      <c r="Y200" s="22"/>
      <c r="Z200" s="22"/>
      <c r="AA200" s="571"/>
      <c r="AB200" s="22"/>
      <c r="AC200" s="22"/>
      <c r="AD200" s="22"/>
      <c r="AE200" s="485"/>
      <c r="AF200" s="449"/>
    </row>
    <row r="201" spans="19:32" ht="19.5" customHeight="1">
      <c r="S201" s="18"/>
      <c r="T201" s="20"/>
      <c r="U201" s="20"/>
      <c r="V201" s="22"/>
      <c r="W201" s="22"/>
      <c r="X201" s="22"/>
      <c r="Y201" s="22"/>
      <c r="Z201" s="22"/>
      <c r="AA201" s="571"/>
      <c r="AB201" s="22"/>
      <c r="AC201" s="22"/>
      <c r="AD201" s="22"/>
      <c r="AE201" s="485"/>
      <c r="AF201" s="449"/>
    </row>
    <row r="202" spans="19:32" ht="19.5" customHeight="1">
      <c r="S202" s="18"/>
      <c r="T202" s="20"/>
      <c r="U202" s="20"/>
      <c r="V202" s="22"/>
      <c r="W202" s="22"/>
      <c r="X202" s="22"/>
      <c r="Y202" s="22"/>
      <c r="Z202" s="22"/>
      <c r="AA202" s="571"/>
      <c r="AB202" s="22"/>
      <c r="AC202" s="22"/>
      <c r="AD202" s="22"/>
      <c r="AE202" s="485"/>
      <c r="AF202" s="449"/>
    </row>
    <row r="203" spans="19:32" ht="19.5" customHeight="1">
      <c r="S203" s="18"/>
      <c r="T203" s="20"/>
      <c r="U203" s="20"/>
      <c r="V203" s="22"/>
      <c r="W203" s="22"/>
      <c r="X203" s="22"/>
      <c r="Y203" s="22"/>
      <c r="Z203" s="22"/>
      <c r="AA203" s="571"/>
      <c r="AB203" s="22"/>
      <c r="AC203" s="22"/>
      <c r="AD203" s="22"/>
      <c r="AE203" s="485"/>
      <c r="AF203" s="449"/>
    </row>
    <row r="204" spans="19:32" ht="19.5" customHeight="1">
      <c r="S204" s="18"/>
      <c r="T204" s="20"/>
      <c r="U204" s="20"/>
      <c r="V204" s="22"/>
      <c r="W204" s="22"/>
      <c r="X204" s="22"/>
      <c r="Y204" s="22"/>
      <c r="Z204" s="22"/>
      <c r="AA204" s="571"/>
      <c r="AB204" s="22"/>
      <c r="AC204" s="22"/>
      <c r="AD204" s="22"/>
      <c r="AE204" s="485"/>
      <c r="AF204" s="449"/>
    </row>
    <row r="205" spans="19:32" ht="19.5" customHeight="1">
      <c r="S205" s="18"/>
      <c r="T205" s="20"/>
      <c r="U205" s="20"/>
      <c r="V205" s="22"/>
      <c r="W205" s="22"/>
      <c r="X205" s="22"/>
      <c r="Y205" s="22"/>
      <c r="Z205" s="22"/>
      <c r="AA205" s="571"/>
      <c r="AB205" s="22"/>
      <c r="AC205" s="22"/>
      <c r="AD205" s="22"/>
      <c r="AE205" s="485"/>
      <c r="AF205" s="449"/>
    </row>
    <row r="206" spans="19:32" ht="19.5" customHeight="1">
      <c r="S206" s="18"/>
      <c r="T206" s="20"/>
      <c r="U206" s="20"/>
      <c r="V206" s="22"/>
      <c r="W206" s="22"/>
      <c r="X206" s="22"/>
      <c r="Y206" s="22"/>
      <c r="Z206" s="22"/>
      <c r="AA206" s="571"/>
      <c r="AB206" s="22"/>
      <c r="AC206" s="22"/>
      <c r="AD206" s="22"/>
      <c r="AE206" s="485"/>
      <c r="AF206" s="449"/>
    </row>
    <row r="207" spans="19:32" ht="19.5" customHeight="1">
      <c r="S207" s="18"/>
      <c r="T207" s="20"/>
      <c r="U207" s="20"/>
      <c r="V207" s="22"/>
      <c r="W207" s="22"/>
      <c r="X207" s="22"/>
      <c r="Y207" s="22"/>
      <c r="Z207" s="22"/>
      <c r="AA207" s="571"/>
      <c r="AB207" s="22"/>
      <c r="AC207" s="22"/>
      <c r="AD207" s="22"/>
      <c r="AE207" s="485"/>
      <c r="AF207" s="449"/>
    </row>
    <row r="208" spans="19:32" ht="19.5" customHeight="1">
      <c r="S208" s="18"/>
      <c r="T208" s="20"/>
      <c r="U208" s="20"/>
      <c r="V208" s="22"/>
      <c r="W208" s="22"/>
      <c r="X208" s="22"/>
      <c r="Y208" s="22"/>
      <c r="Z208" s="22"/>
      <c r="AA208" s="571"/>
      <c r="AB208" s="22"/>
      <c r="AC208" s="22"/>
      <c r="AD208" s="22"/>
      <c r="AE208" s="485"/>
      <c r="AF208" s="449"/>
    </row>
    <row r="209" spans="19:32" ht="19.5" customHeight="1">
      <c r="S209" s="18"/>
      <c r="T209" s="20"/>
      <c r="U209" s="20"/>
      <c r="V209" s="22"/>
      <c r="W209" s="22"/>
      <c r="X209" s="22"/>
      <c r="Y209" s="22"/>
      <c r="Z209" s="22"/>
      <c r="AA209" s="571"/>
      <c r="AB209" s="22"/>
      <c r="AC209" s="22"/>
      <c r="AD209" s="22"/>
      <c r="AE209" s="485"/>
      <c r="AF209" s="449"/>
    </row>
    <row r="210" spans="19:32" ht="19.5" customHeight="1">
      <c r="S210" s="18"/>
      <c r="T210" s="20"/>
      <c r="U210" s="20"/>
      <c r="V210" s="22"/>
      <c r="W210" s="22"/>
      <c r="X210" s="22"/>
      <c r="Y210" s="22"/>
      <c r="Z210" s="22"/>
      <c r="AA210" s="571"/>
      <c r="AB210" s="22"/>
      <c r="AC210" s="22"/>
      <c r="AD210" s="22"/>
      <c r="AE210" s="485"/>
      <c r="AF210" s="449"/>
    </row>
    <row r="211" spans="19:32" ht="19.5" customHeight="1">
      <c r="S211" s="18"/>
      <c r="T211" s="20"/>
      <c r="U211" s="20"/>
      <c r="V211" s="22"/>
      <c r="W211" s="22"/>
      <c r="X211" s="22"/>
      <c r="Y211" s="22"/>
      <c r="Z211" s="22"/>
      <c r="AA211" s="571"/>
      <c r="AB211" s="22"/>
      <c r="AC211" s="22"/>
      <c r="AD211" s="22"/>
      <c r="AE211" s="485"/>
      <c r="AF211" s="449"/>
    </row>
    <row r="212" spans="19:32" ht="19.5" customHeight="1">
      <c r="S212" s="18"/>
      <c r="T212" s="20"/>
      <c r="U212" s="20"/>
      <c r="V212" s="22"/>
      <c r="W212" s="22"/>
      <c r="X212" s="22"/>
      <c r="Y212" s="22"/>
      <c r="Z212" s="22"/>
      <c r="AA212" s="571"/>
      <c r="AB212" s="22"/>
      <c r="AC212" s="22"/>
      <c r="AD212" s="22"/>
      <c r="AE212" s="485"/>
      <c r="AF212" s="449"/>
    </row>
    <row r="213" spans="19:32" ht="19.5" customHeight="1">
      <c r="S213" s="18"/>
      <c r="T213" s="20"/>
      <c r="U213" s="20"/>
      <c r="V213" s="22"/>
      <c r="W213" s="22"/>
      <c r="X213" s="22"/>
      <c r="Y213" s="22"/>
      <c r="Z213" s="22"/>
      <c r="AA213" s="571"/>
      <c r="AB213" s="22"/>
      <c r="AC213" s="22"/>
      <c r="AD213" s="22"/>
      <c r="AE213" s="485"/>
      <c r="AF213" s="449"/>
    </row>
    <row r="214" spans="19:32" ht="19.5" customHeight="1">
      <c r="S214" s="18"/>
      <c r="T214" s="20"/>
      <c r="U214" s="20"/>
      <c r="V214" s="22"/>
      <c r="W214" s="22"/>
      <c r="X214" s="22"/>
      <c r="Y214" s="22"/>
      <c r="Z214" s="22"/>
      <c r="AA214" s="571"/>
      <c r="AB214" s="22"/>
      <c r="AC214" s="22"/>
      <c r="AD214" s="22"/>
      <c r="AE214" s="485"/>
      <c r="AF214" s="449"/>
    </row>
    <row r="215" spans="19:32" ht="19.5" customHeight="1">
      <c r="S215" s="18"/>
      <c r="T215" s="20"/>
      <c r="U215" s="20"/>
      <c r="V215" s="22"/>
      <c r="W215" s="22"/>
      <c r="X215" s="22"/>
      <c r="Y215" s="22"/>
      <c r="Z215" s="22"/>
      <c r="AA215" s="571"/>
      <c r="AB215" s="22"/>
      <c r="AC215" s="22"/>
      <c r="AD215" s="22"/>
      <c r="AE215" s="485"/>
      <c r="AF215" s="449"/>
    </row>
    <row r="216" spans="19:32" ht="19.5" customHeight="1">
      <c r="S216" s="18"/>
      <c r="T216" s="20"/>
      <c r="U216" s="20"/>
      <c r="V216" s="22"/>
      <c r="W216" s="22"/>
      <c r="X216" s="22"/>
      <c r="Y216" s="22"/>
      <c r="Z216" s="22"/>
      <c r="AA216" s="571"/>
      <c r="AB216" s="22"/>
      <c r="AC216" s="22"/>
      <c r="AD216" s="22"/>
      <c r="AE216" s="485"/>
      <c r="AF216" s="449"/>
    </row>
    <row r="217" spans="19:32" ht="19.5" customHeight="1">
      <c r="S217" s="18"/>
      <c r="T217" s="20"/>
      <c r="U217" s="20"/>
      <c r="V217" s="22"/>
      <c r="W217" s="22"/>
      <c r="X217" s="22"/>
      <c r="Y217" s="22"/>
      <c r="Z217" s="22"/>
      <c r="AA217" s="571"/>
      <c r="AB217" s="22"/>
      <c r="AC217" s="22"/>
      <c r="AD217" s="22"/>
      <c r="AE217" s="485"/>
      <c r="AF217" s="449"/>
    </row>
    <row r="218" spans="19:32" ht="19.5" customHeight="1">
      <c r="S218" s="18"/>
      <c r="T218" s="20"/>
      <c r="U218" s="20"/>
      <c r="V218" s="22"/>
      <c r="W218" s="22"/>
      <c r="X218" s="22"/>
      <c r="Y218" s="22"/>
      <c r="Z218" s="22"/>
      <c r="AA218" s="571"/>
      <c r="AB218" s="22"/>
      <c r="AC218" s="22"/>
      <c r="AD218" s="22"/>
      <c r="AE218" s="485"/>
      <c r="AF218" s="449"/>
    </row>
    <row r="219" spans="19:32" ht="19.5" customHeight="1">
      <c r="S219" s="18"/>
      <c r="T219" s="20"/>
      <c r="U219" s="20"/>
      <c r="V219" s="22"/>
      <c r="W219" s="22"/>
      <c r="X219" s="22"/>
      <c r="Y219" s="22"/>
      <c r="Z219" s="22"/>
      <c r="AA219" s="571"/>
      <c r="AB219" s="22"/>
      <c r="AC219" s="22"/>
      <c r="AD219" s="22"/>
      <c r="AE219" s="485"/>
      <c r="AF219" s="449"/>
    </row>
    <row r="220" spans="19:32" ht="19.5" customHeight="1">
      <c r="S220" s="18"/>
      <c r="T220" s="20"/>
      <c r="U220" s="20"/>
      <c r="V220" s="22"/>
      <c r="W220" s="22"/>
      <c r="X220" s="22"/>
      <c r="Y220" s="22"/>
      <c r="Z220" s="22"/>
      <c r="AA220" s="571"/>
      <c r="AB220" s="22"/>
      <c r="AC220" s="22"/>
      <c r="AD220" s="22"/>
      <c r="AE220" s="485"/>
      <c r="AF220" s="449"/>
    </row>
    <row r="221" spans="19:32" ht="19.5" customHeight="1">
      <c r="S221" s="18"/>
      <c r="T221" s="20"/>
      <c r="U221" s="20"/>
      <c r="V221" s="22"/>
      <c r="W221" s="22"/>
      <c r="X221" s="22"/>
      <c r="Y221" s="22"/>
      <c r="Z221" s="22"/>
      <c r="AA221" s="571"/>
      <c r="AB221" s="22"/>
      <c r="AC221" s="22"/>
      <c r="AD221" s="22"/>
      <c r="AE221" s="485"/>
      <c r="AF221" s="449"/>
    </row>
    <row r="222" spans="19:32" ht="19.5" customHeight="1">
      <c r="S222" s="18"/>
      <c r="T222" s="20"/>
      <c r="U222" s="20"/>
      <c r="V222" s="22"/>
      <c r="W222" s="22"/>
      <c r="X222" s="22"/>
      <c r="Y222" s="22"/>
      <c r="Z222" s="22"/>
      <c r="AA222" s="571"/>
      <c r="AB222" s="22"/>
      <c r="AC222" s="22"/>
      <c r="AD222" s="22"/>
      <c r="AE222" s="485"/>
      <c r="AF222" s="449"/>
    </row>
    <row r="223" spans="19:32" ht="19.5" customHeight="1">
      <c r="S223" s="18"/>
      <c r="T223" s="20"/>
      <c r="U223" s="20"/>
      <c r="V223" s="22"/>
      <c r="W223" s="22"/>
      <c r="X223" s="22"/>
      <c r="Y223" s="22"/>
      <c r="Z223" s="22"/>
      <c r="AA223" s="571"/>
      <c r="AB223" s="22"/>
      <c r="AC223" s="22"/>
      <c r="AD223" s="22"/>
      <c r="AE223" s="485"/>
      <c r="AF223" s="449"/>
    </row>
    <row r="224" spans="19:32" ht="19.5" customHeight="1">
      <c r="S224" s="18"/>
      <c r="T224" s="20"/>
      <c r="U224" s="20"/>
      <c r="V224" s="22"/>
      <c r="W224" s="22"/>
      <c r="X224" s="22"/>
      <c r="Y224" s="22"/>
      <c r="Z224" s="22"/>
      <c r="AA224" s="571"/>
      <c r="AB224" s="22"/>
      <c r="AC224" s="22"/>
      <c r="AD224" s="22"/>
      <c r="AE224" s="485"/>
      <c r="AF224" s="449"/>
    </row>
    <row r="225" spans="19:32" ht="19.5" customHeight="1">
      <c r="S225" s="18"/>
      <c r="T225" s="20"/>
      <c r="U225" s="20"/>
      <c r="V225" s="22"/>
      <c r="W225" s="22"/>
      <c r="X225" s="22"/>
      <c r="Y225" s="22"/>
      <c r="Z225" s="22"/>
      <c r="AA225" s="571"/>
      <c r="AB225" s="22"/>
      <c r="AC225" s="22"/>
      <c r="AD225" s="22"/>
      <c r="AE225" s="485"/>
      <c r="AF225" s="449"/>
    </row>
    <row r="226" spans="19:32" ht="19.5" customHeight="1">
      <c r="S226" s="18"/>
      <c r="T226" s="20"/>
      <c r="U226" s="20"/>
      <c r="V226" s="22"/>
      <c r="W226" s="22"/>
      <c r="X226" s="22"/>
      <c r="Y226" s="22"/>
      <c r="Z226" s="22"/>
      <c r="AA226" s="571"/>
      <c r="AB226" s="22"/>
      <c r="AC226" s="22"/>
      <c r="AD226" s="22"/>
      <c r="AE226" s="485"/>
      <c r="AF226" s="449"/>
    </row>
    <row r="227" spans="19:32" ht="19.5" customHeight="1">
      <c r="S227" s="18"/>
      <c r="T227" s="20"/>
      <c r="U227" s="20"/>
      <c r="V227" s="22"/>
      <c r="W227" s="22"/>
      <c r="X227" s="22"/>
      <c r="Y227" s="22"/>
      <c r="Z227" s="22"/>
      <c r="AA227" s="571"/>
      <c r="AB227" s="22"/>
      <c r="AC227" s="22"/>
      <c r="AD227" s="22"/>
      <c r="AE227" s="485"/>
      <c r="AF227" s="449"/>
    </row>
    <row r="228" spans="19:32" ht="19.5" customHeight="1">
      <c r="S228" s="18"/>
      <c r="T228" s="20"/>
      <c r="U228" s="20"/>
      <c r="V228" s="22"/>
      <c r="W228" s="22"/>
      <c r="X228" s="22"/>
      <c r="Y228" s="22"/>
      <c r="Z228" s="22"/>
      <c r="AA228" s="571"/>
      <c r="AB228" s="22"/>
      <c r="AC228" s="22"/>
      <c r="AD228" s="22"/>
      <c r="AE228" s="485"/>
      <c r="AF228" s="449"/>
    </row>
    <row r="229" spans="19:32" ht="19.5" customHeight="1">
      <c r="S229" s="18"/>
      <c r="T229" s="20"/>
      <c r="U229" s="20"/>
      <c r="V229" s="22"/>
      <c r="W229" s="22"/>
      <c r="X229" s="22"/>
      <c r="Y229" s="22"/>
      <c r="Z229" s="22"/>
      <c r="AA229" s="571"/>
      <c r="AB229" s="22"/>
      <c r="AC229" s="22"/>
      <c r="AD229" s="22"/>
      <c r="AE229" s="485"/>
      <c r="AF229" s="449"/>
    </row>
    <row r="230" spans="19:32" ht="19.5" customHeight="1">
      <c r="S230" s="18"/>
      <c r="T230" s="20"/>
      <c r="U230" s="20"/>
      <c r="V230" s="22"/>
      <c r="W230" s="22"/>
      <c r="X230" s="22"/>
      <c r="Y230" s="22"/>
      <c r="Z230" s="22"/>
      <c r="AA230" s="571"/>
      <c r="AB230" s="22"/>
      <c r="AC230" s="22"/>
      <c r="AD230" s="22"/>
      <c r="AE230" s="485"/>
      <c r="AF230" s="449"/>
    </row>
    <row r="231" spans="19:32" ht="19.5" customHeight="1">
      <c r="S231" s="18"/>
      <c r="T231" s="20"/>
      <c r="U231" s="20"/>
      <c r="V231" s="22"/>
      <c r="W231" s="22"/>
      <c r="X231" s="22"/>
      <c r="Y231" s="22"/>
      <c r="Z231" s="22"/>
      <c r="AA231" s="571"/>
      <c r="AB231" s="22"/>
      <c r="AC231" s="22"/>
      <c r="AD231" s="22"/>
      <c r="AE231" s="485"/>
      <c r="AF231" s="449"/>
    </row>
    <row r="232" spans="19:32" ht="19.5" customHeight="1">
      <c r="S232" s="18"/>
      <c r="T232" s="20"/>
      <c r="U232" s="20"/>
      <c r="V232" s="22"/>
      <c r="W232" s="22"/>
      <c r="X232" s="22"/>
      <c r="Y232" s="22"/>
      <c r="Z232" s="22"/>
      <c r="AA232" s="571"/>
      <c r="AB232" s="22"/>
      <c r="AC232" s="22"/>
      <c r="AD232" s="22"/>
      <c r="AE232" s="485"/>
      <c r="AF232" s="449"/>
    </row>
    <row r="233" spans="19:32" ht="19.5" customHeight="1">
      <c r="S233" s="18"/>
      <c r="T233" s="20"/>
      <c r="U233" s="20"/>
      <c r="V233" s="22"/>
      <c r="W233" s="22"/>
      <c r="X233" s="22"/>
      <c r="Y233" s="22"/>
      <c r="Z233" s="22"/>
      <c r="AA233" s="571"/>
      <c r="AB233" s="22"/>
      <c r="AC233" s="22"/>
      <c r="AD233" s="22"/>
      <c r="AE233" s="485"/>
      <c r="AF233" s="449"/>
    </row>
    <row r="234" spans="19:32" ht="19.5" customHeight="1">
      <c r="S234" s="18"/>
      <c r="T234" s="20"/>
      <c r="U234" s="20"/>
      <c r="V234" s="22"/>
      <c r="W234" s="22"/>
      <c r="X234" s="22"/>
      <c r="Y234" s="22"/>
      <c r="Z234" s="22"/>
      <c r="AA234" s="571"/>
      <c r="AB234" s="22"/>
      <c r="AC234" s="22"/>
      <c r="AD234" s="22"/>
      <c r="AE234" s="485"/>
      <c r="AF234" s="449"/>
    </row>
    <row r="235" spans="19:32" ht="19.5" customHeight="1">
      <c r="S235" s="18"/>
      <c r="T235" s="20"/>
      <c r="U235" s="20"/>
      <c r="V235" s="22"/>
      <c r="W235" s="22"/>
      <c r="X235" s="22"/>
      <c r="Y235" s="22"/>
      <c r="Z235" s="22"/>
      <c r="AA235" s="571"/>
      <c r="AB235" s="22"/>
      <c r="AC235" s="22"/>
      <c r="AD235" s="22"/>
      <c r="AE235" s="485"/>
      <c r="AF235" s="449"/>
    </row>
    <row r="236" spans="19:32" ht="19.5" customHeight="1">
      <c r="S236" s="18"/>
      <c r="T236" s="20"/>
      <c r="U236" s="20"/>
      <c r="V236" s="22"/>
      <c r="W236" s="22"/>
      <c r="X236" s="22"/>
      <c r="Y236" s="22"/>
      <c r="Z236" s="22"/>
      <c r="AA236" s="571"/>
      <c r="AB236" s="22"/>
      <c r="AC236" s="22"/>
      <c r="AD236" s="22"/>
      <c r="AE236" s="485"/>
      <c r="AF236" s="449"/>
    </row>
    <row r="237" spans="19:32" ht="19.5" customHeight="1">
      <c r="S237" s="18"/>
      <c r="T237" s="20"/>
      <c r="U237" s="20"/>
      <c r="V237" s="22"/>
      <c r="W237" s="22"/>
      <c r="X237" s="22"/>
      <c r="Y237" s="22"/>
      <c r="Z237" s="22"/>
      <c r="AA237" s="571"/>
      <c r="AB237" s="22"/>
      <c r="AC237" s="22"/>
      <c r="AD237" s="22"/>
      <c r="AE237" s="485"/>
      <c r="AF237" s="449"/>
    </row>
    <row r="238" spans="19:32" ht="19.5" customHeight="1">
      <c r="S238" s="18"/>
      <c r="T238" s="20"/>
      <c r="U238" s="20"/>
      <c r="V238" s="22"/>
      <c r="W238" s="22"/>
      <c r="X238" s="22"/>
      <c r="Y238" s="22"/>
      <c r="Z238" s="22"/>
      <c r="AA238" s="571"/>
      <c r="AB238" s="22"/>
      <c r="AC238" s="22"/>
      <c r="AD238" s="22"/>
      <c r="AE238" s="485"/>
      <c r="AF238" s="449"/>
    </row>
    <row r="239" spans="19:32" ht="19.5" customHeight="1">
      <c r="S239" s="18"/>
      <c r="T239" s="20"/>
      <c r="U239" s="20"/>
      <c r="V239" s="22"/>
      <c r="W239" s="22"/>
      <c r="X239" s="22"/>
      <c r="Y239" s="22"/>
      <c r="Z239" s="22"/>
      <c r="AA239" s="571"/>
      <c r="AB239" s="22"/>
      <c r="AC239" s="22"/>
      <c r="AD239" s="22"/>
      <c r="AE239" s="485"/>
      <c r="AF239" s="449"/>
    </row>
    <row r="240" spans="19:32" ht="19.5" customHeight="1">
      <c r="S240" s="18"/>
      <c r="T240" s="20"/>
      <c r="U240" s="20"/>
      <c r="V240" s="22"/>
      <c r="W240" s="22"/>
      <c r="X240" s="22"/>
      <c r="Y240" s="22"/>
      <c r="Z240" s="22"/>
      <c r="AA240" s="571"/>
      <c r="AB240" s="22"/>
      <c r="AC240" s="22"/>
      <c r="AD240" s="22"/>
      <c r="AE240" s="485"/>
      <c r="AF240" s="449"/>
    </row>
    <row r="241" spans="19:32" ht="19.5" customHeight="1">
      <c r="S241" s="18"/>
      <c r="T241" s="20"/>
      <c r="U241" s="20"/>
      <c r="V241" s="22"/>
      <c r="W241" s="22"/>
      <c r="X241" s="22"/>
      <c r="Y241" s="22"/>
      <c r="Z241" s="22"/>
      <c r="AA241" s="571"/>
      <c r="AB241" s="22"/>
      <c r="AC241" s="22"/>
      <c r="AD241" s="22"/>
      <c r="AE241" s="485"/>
      <c r="AF241" s="449"/>
    </row>
    <row r="242" spans="19:32" ht="19.5" customHeight="1">
      <c r="S242" s="18"/>
      <c r="T242" s="20"/>
      <c r="U242" s="20"/>
      <c r="V242" s="22"/>
      <c r="W242" s="22"/>
      <c r="X242" s="22"/>
      <c r="Y242" s="22"/>
      <c r="Z242" s="22"/>
      <c r="AA242" s="571"/>
      <c r="AB242" s="22"/>
      <c r="AC242" s="22"/>
      <c r="AD242" s="22"/>
      <c r="AE242" s="485"/>
      <c r="AF242" s="449"/>
    </row>
    <row r="243" spans="19:32" ht="19.5" customHeight="1">
      <c r="S243" s="18"/>
      <c r="T243" s="20"/>
      <c r="U243" s="20"/>
      <c r="V243" s="22"/>
      <c r="W243" s="22"/>
      <c r="X243" s="22"/>
      <c r="Y243" s="22"/>
      <c r="Z243" s="22"/>
      <c r="AA243" s="571"/>
      <c r="AB243" s="22"/>
      <c r="AC243" s="22"/>
      <c r="AD243" s="22"/>
      <c r="AE243" s="485"/>
      <c r="AF243" s="449"/>
    </row>
    <row r="244" spans="19:32" ht="19.5" customHeight="1">
      <c r="S244" s="18"/>
      <c r="T244" s="20"/>
      <c r="U244" s="20"/>
      <c r="V244" s="22"/>
      <c r="W244" s="22"/>
      <c r="X244" s="22"/>
      <c r="Y244" s="22"/>
      <c r="Z244" s="22"/>
      <c r="AA244" s="571"/>
      <c r="AB244" s="22"/>
      <c r="AC244" s="22"/>
      <c r="AD244" s="22"/>
      <c r="AE244" s="485"/>
      <c r="AF244" s="449"/>
    </row>
    <row r="245" spans="19:32" ht="19.5" customHeight="1">
      <c r="S245" s="18"/>
      <c r="T245" s="20"/>
      <c r="U245" s="20"/>
      <c r="V245" s="22"/>
      <c r="W245" s="22"/>
      <c r="X245" s="22"/>
      <c r="Y245" s="22"/>
      <c r="Z245" s="22"/>
      <c r="AA245" s="571"/>
      <c r="AB245" s="22"/>
      <c r="AC245" s="22"/>
      <c r="AD245" s="22"/>
      <c r="AE245" s="485"/>
      <c r="AF245" s="449"/>
    </row>
    <row r="246" spans="19:32" ht="19.5" customHeight="1">
      <c r="S246" s="18"/>
      <c r="T246" s="20"/>
      <c r="U246" s="20"/>
      <c r="V246" s="22"/>
      <c r="W246" s="22"/>
      <c r="X246" s="22"/>
      <c r="Y246" s="22"/>
      <c r="Z246" s="22"/>
      <c r="AA246" s="571"/>
      <c r="AB246" s="22"/>
      <c r="AC246" s="22"/>
      <c r="AD246" s="22"/>
      <c r="AE246" s="485"/>
      <c r="AF246" s="449"/>
    </row>
    <row r="247" spans="19:32" ht="19.5" customHeight="1">
      <c r="S247" s="18"/>
      <c r="T247" s="20"/>
      <c r="U247" s="20"/>
      <c r="V247" s="22"/>
      <c r="W247" s="22"/>
      <c r="X247" s="22"/>
      <c r="Y247" s="22"/>
      <c r="Z247" s="22"/>
      <c r="AA247" s="571"/>
      <c r="AB247" s="22"/>
      <c r="AC247" s="22"/>
      <c r="AD247" s="22"/>
      <c r="AE247" s="485"/>
      <c r="AF247" s="449"/>
    </row>
  </sheetData>
  <sheetProtection formatCells="0" formatColumns="0" formatRows="0"/>
  <phoneticPr fontId="5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9"/>
  <dimension ref="A1:APL300"/>
  <sheetViews>
    <sheetView topLeftCell="D4" workbookViewId="0">
      <selection activeCell="V7" sqref="V7"/>
    </sheetView>
  </sheetViews>
  <sheetFormatPr defaultColWidth="9.0703125" defaultRowHeight="19.5" customHeight="1"/>
  <cols>
    <col min="1" max="1" width="9.0703125" style="459"/>
    <col min="2" max="2" width="17.2109375" style="459" bestFit="1" customWidth="1"/>
    <col min="3" max="3" width="16.85546875" style="459" bestFit="1" customWidth="1"/>
    <col min="4" max="4" width="10.0703125" style="459" bestFit="1" customWidth="1"/>
    <col min="5" max="5" width="9.0703125" style="459" customWidth="1"/>
    <col min="6" max="6" width="10.640625" style="459" bestFit="1" customWidth="1"/>
    <col min="7" max="7" width="13.42578125" style="459" bestFit="1" customWidth="1"/>
    <col min="8" max="8" width="8.78515625" style="1148" customWidth="1"/>
    <col min="9" max="9" width="7.2109375" style="12" bestFit="1" customWidth="1"/>
    <col min="10" max="10" width="12.78515625" style="12" bestFit="1" customWidth="1"/>
    <col min="11" max="11" width="10" style="12" customWidth="1"/>
    <col min="12" max="12" width="13.28515625" style="12" bestFit="1" customWidth="1"/>
    <col min="13" max="13" width="7.2109375" style="12" bestFit="1" customWidth="1"/>
    <col min="14" max="14" width="9.42578125" style="12" bestFit="1" customWidth="1"/>
    <col min="15" max="15" width="7.2109375" style="12" bestFit="1" customWidth="1"/>
    <col min="16" max="16" width="8.640625" style="12" bestFit="1" customWidth="1"/>
    <col min="17" max="17" width="7.2109375" style="12" bestFit="1" customWidth="1"/>
    <col min="18" max="18" width="9.85546875" style="12" bestFit="1" customWidth="1"/>
    <col min="19" max="19" width="8.0703125" style="26" customWidth="1"/>
    <col min="20" max="20" width="10.85546875" style="26" customWidth="1"/>
    <col min="21" max="21" width="17.0703125" style="26" customWidth="1"/>
    <col min="22" max="22" width="10.640625" style="12" customWidth="1"/>
    <col min="23" max="23" width="13.28515625" style="12" bestFit="1" customWidth="1"/>
    <col min="24" max="24" width="16.640625" style="12" bestFit="1" customWidth="1"/>
    <col min="25" max="25" width="18.42578125" style="12" bestFit="1" customWidth="1"/>
    <col min="26" max="26" width="18.42578125" style="12" customWidth="1"/>
    <col min="27" max="27" width="18.42578125" style="12" bestFit="1" customWidth="1"/>
    <col min="28" max="28" width="13.28515625" style="475" bestFit="1" customWidth="1"/>
    <col min="29" max="29" width="13.28515625" style="109" customWidth="1"/>
    <col min="30" max="30" width="15.42578125" style="448" customWidth="1"/>
    <col min="31" max="31" width="13.28515625" style="109" customWidth="1"/>
    <col min="32" max="32" width="10.0703125" style="448" bestFit="1" customWidth="1"/>
    <col min="33" max="33" width="12.2109375" style="448" customWidth="1"/>
    <col min="34" max="34" width="20.2109375" style="12" bestFit="1" customWidth="1"/>
    <col min="35" max="35" width="10.42578125" style="12" customWidth="1"/>
    <col min="36" max="36" width="8.28515625" style="448" customWidth="1"/>
    <col min="37" max="38" width="20.42578125" style="448" customWidth="1"/>
    <col min="39" max="39" width="16.42578125" style="448" customWidth="1"/>
    <col min="40" max="45" width="20.42578125" style="448" customWidth="1"/>
    <col min="46" max="46" width="10" style="448" customWidth="1"/>
    <col min="47" max="47" width="9" style="490" customWidth="1"/>
    <col min="48" max="48" width="9" style="448" customWidth="1"/>
    <col min="49" max="49" width="9" style="109" customWidth="1"/>
    <col min="50" max="53" width="12.0703125" style="12" customWidth="1"/>
    <col min="54" max="55" width="16.42578125" style="102" bestFit="1" customWidth="1"/>
    <col min="56" max="56" width="9" style="12" customWidth="1"/>
    <col min="57" max="57" width="8.640625" style="12" customWidth="1"/>
    <col min="58" max="58" width="9.42578125" style="12" customWidth="1"/>
    <col min="59" max="59" width="9.42578125" style="12" bestFit="1" customWidth="1"/>
    <col min="60" max="61" width="9.42578125" style="12" customWidth="1"/>
    <col min="62" max="62" width="12.0703125" style="12" customWidth="1"/>
    <col min="63" max="66" width="8.28515625" style="12" customWidth="1"/>
    <col min="67" max="68" width="12.42578125" style="12" customWidth="1"/>
    <col min="69" max="72" width="9.0703125" style="12" customWidth="1"/>
    <col min="73" max="74" width="13.28515625" style="1546" customWidth="1"/>
    <col min="75" max="75" width="13" style="1546" customWidth="1"/>
    <col min="76" max="76" width="17.42578125" style="1546" customWidth="1"/>
    <col min="77" max="77" width="14.42578125" style="1546" customWidth="1"/>
    <col min="78" max="80" width="11.42578125" style="1546" customWidth="1"/>
    <col min="81" max="83" width="10.42578125" style="12" customWidth="1"/>
    <col min="84" max="84" width="12.2109375" style="12" customWidth="1"/>
    <col min="85" max="85" width="10.42578125" style="12" customWidth="1"/>
    <col min="86" max="86" width="8.85546875" style="566" customWidth="1"/>
    <col min="87" max="87" width="12.28515625" style="12" customWidth="1"/>
    <col min="88" max="88" width="14.640625" style="12" customWidth="1"/>
    <col min="89" max="89" width="19" style="102" bestFit="1" customWidth="1"/>
    <col min="90" max="90" width="17.2109375" style="12" bestFit="1" customWidth="1"/>
    <col min="91" max="91" width="17.2109375" style="12" customWidth="1"/>
    <col min="92" max="92" width="14.28515625" style="12" customWidth="1"/>
    <col min="93" max="93" width="14.85546875" style="12" bestFit="1" customWidth="1"/>
    <col min="94" max="94" width="14.85546875" style="12" customWidth="1"/>
    <col min="95" max="95" width="9.42578125" style="102" bestFit="1" customWidth="1"/>
    <col min="96" max="97" width="9.0703125" style="12"/>
    <col min="98" max="98" width="9.42578125" style="102" bestFit="1" customWidth="1"/>
    <col min="99" max="99" width="15.640625" style="12" customWidth="1"/>
    <col min="100" max="102" width="9.0703125" style="12"/>
    <col min="103" max="103" width="10.2109375" style="12" bestFit="1" customWidth="1"/>
    <col min="104" max="104" width="11.42578125" style="12" customWidth="1"/>
    <col min="105" max="108" width="14.42578125" style="12" customWidth="1"/>
    <col min="109" max="109" width="21.85546875" style="12" bestFit="1" customWidth="1"/>
    <col min="110" max="110" width="18.28515625" style="448" customWidth="1"/>
    <col min="111" max="111" width="24" style="12" bestFit="1" customWidth="1"/>
    <col min="112" max="112" width="20.28515625" style="12" bestFit="1" customWidth="1"/>
    <col min="113" max="113" width="20.0703125" style="12" bestFit="1" customWidth="1"/>
    <col min="114" max="114" width="25.0703125" style="12" bestFit="1" customWidth="1"/>
    <col min="115" max="115" width="23" style="12" bestFit="1" customWidth="1"/>
    <col min="116" max="116" width="9.0703125" style="12"/>
    <col min="117" max="117" width="11.2109375" style="12" bestFit="1" customWidth="1"/>
    <col min="118" max="118" width="11.640625" style="12" bestFit="1" customWidth="1"/>
    <col min="119" max="119" width="12.28515625" style="12" bestFit="1" customWidth="1"/>
    <col min="120" max="120" width="9.640625" style="12" customWidth="1"/>
    <col min="121" max="121" width="9.0703125" style="12" bestFit="1" customWidth="1"/>
    <col min="122" max="126" width="10" style="12" bestFit="1" customWidth="1"/>
    <col min="127" max="127" width="9.0703125" style="12" bestFit="1" customWidth="1"/>
    <col min="128" max="132" width="10" style="12" bestFit="1" customWidth="1"/>
    <col min="133" max="16384" width="9.0703125" style="12"/>
  </cols>
  <sheetData>
    <row r="1" spans="1:1104" s="435" customFormat="1" ht="19.5" customHeight="1">
      <c r="A1" s="459"/>
      <c r="B1" s="459"/>
      <c r="C1" s="459"/>
      <c r="D1" s="459"/>
      <c r="E1" s="459"/>
      <c r="F1" s="459"/>
      <c r="G1" s="459"/>
      <c r="H1" s="1148" t="s">
        <v>4303</v>
      </c>
      <c r="I1" s="435">
        <f ca="1">COUNTIF(庫存管理[檢測],TRUE)</f>
        <v>4</v>
      </c>
      <c r="J1" s="437">
        <f t="array" aca="1" ref="J1" ca="1">SUMPRODUCT(IFERROR(庫存管理[買價],0),IFERROR(庫存管理[投入佔比],0))</f>
        <v>85.053373493975911</v>
      </c>
      <c r="K1" s="437">
        <f t="array" aca="1" ref="K1" ca="1">SUMPRODUCT(IFERROR(庫存管理[買價(含息)],0),IFERROR(庫存管理[投入佔比],0))</f>
        <v>86.307318674698806</v>
      </c>
      <c r="L1" s="436"/>
      <c r="M1" s="437">
        <f t="array" aca="1" ref="M1" ca="1">SUMPRODUCT(IFERROR(庫存管理[距到期年],0),IFERROR(庫存管理[投入佔比],0))</f>
        <v>29.87620481927711</v>
      </c>
      <c r="N1" s="436"/>
      <c r="O1" s="438">
        <f t="array" aca="1" ref="O1" ca="1">SUMPRODUCT(IFERROR(庫存管理[票面利率],0),IFERROR(庫存管理[投入佔比],0))</f>
        <v>4.296385542168675E-2</v>
      </c>
      <c r="P1" s="438">
        <f t="array" aca="1" ref="P1" ca="1">SUMPRODUCT(IFERROR(庫存管理[現金殖利率],0),IFERROR(庫存管理[投入佔比],0))</f>
        <v>5.0237703878955903E-2</v>
      </c>
      <c r="Q1" s="439"/>
      <c r="R1" s="439"/>
      <c r="S1" s="567"/>
      <c r="T1" s="567"/>
      <c r="U1" s="567"/>
      <c r="V1" s="439"/>
      <c r="W1" s="439">
        <f ca="1">SUMIFS(庫存管理[投入面額],庫存管理[檢測],TRUE)</f>
        <v>400000</v>
      </c>
      <c r="X1" s="439">
        <f ca="1">SUMIFS(庫存管理[持有成本(含前手息)],庫存管理[檢測],TRUE)</f>
        <v>332000</v>
      </c>
      <c r="Y1" s="439">
        <f ca="1">SUMIFS(庫存管理[持有成本(不含前手息)],庫存管理[檢測],TRUE)</f>
        <v>327011.40000000002</v>
      </c>
      <c r="Z1" s="439">
        <f ca="1">SUMIFS(庫存管理[部位現值(含前手息)],庫存管理[檢測],TRUE)</f>
        <v>333483.10000000003</v>
      </c>
      <c r="AA1" s="439">
        <f ca="1">SUMIFS(庫存管理[部位現值(不含前手息)],庫存管理[檢測],TRUE)</f>
        <v>328540</v>
      </c>
      <c r="AB1" s="439">
        <f ca="1">SUMIFS(庫存管理[資本利損],庫存管理[檢測],TRUE)</f>
        <v>1483.1000000000058</v>
      </c>
      <c r="AC1" s="481">
        <f t="array" aca="1" ref="AC1" ca="1">SUMPRODUCT(IFERROR(庫存管理[資本報酬],0),IFERROR(庫存管理[投入佔比],0))</f>
        <v>4.467168674698813E-3</v>
      </c>
      <c r="AD1" s="616"/>
      <c r="AE1" s="616">
        <f ca="1">SUMPRODUCT(1/COUNTIF(庫存管理[名稱],庫存管理[名稱]))-IF(COUNTIF(庫存管理[名稱],"")&gt;0,1,0)</f>
        <v>4</v>
      </c>
      <c r="AF1" s="616">
        <f ca="1">SUMPRODUCT(1/COUNTIF(庫存管理[產業],庫存管理[產業]))-IF(COUNTIF(庫存管理[產業],"")&gt;0,1,0)</f>
        <v>3</v>
      </c>
      <c r="AG1" s="1556" cm="1">
        <f t="array" aca="1" ref="AG1" ca="1">SUMPRODUCT((庫存管理[檢測]=TRUE)*(庫存管理[年度配息])*庫存管理[換算匯率(現)])</f>
        <v>533500.42500000005</v>
      </c>
      <c r="AH1" s="439"/>
      <c r="AI1" s="439"/>
      <c r="AJ1" s="439"/>
      <c r="AK1" s="439"/>
      <c r="AL1" s="439"/>
      <c r="AM1" s="439">
        <f ca="1">SUMIFS(庫存管理[前手息],庫存管理[檢測],TRUE)</f>
        <v>4988.6000000000004</v>
      </c>
      <c r="AN1" s="439"/>
      <c r="AO1" s="439"/>
      <c r="AP1" s="439"/>
      <c r="AQ1" s="439"/>
      <c r="AR1" s="439"/>
      <c r="AS1" s="439"/>
      <c r="AT1" s="439">
        <f ca="1">SUMIFS(庫存管理[累計配息],庫存管理[檢測],TRUE)</f>
        <v>8166.9999999999991</v>
      </c>
      <c r="AU1" s="514">
        <f t="array" aca="1" ref="AU1" ca="1">SUMPRODUCT(IFERROR(庫存管理[配息報酬],0),IFERROR(庫存管理[投入佔比],0))</f>
        <v>2.473644578313253E-2</v>
      </c>
      <c r="AV1" s="439">
        <f ca="1">SUMIFS(庫存管理[合計收益],庫存管理[檢測],TRUE)</f>
        <v>9695.6000000000058</v>
      </c>
      <c r="AW1" s="514">
        <f t="array" aca="1" ref="AW1" ca="1">SUMPRODUCT(IFERROR(庫存管理[總報酬],0),IFERROR(庫存管理[投入佔比],0))</f>
        <v>2.9203614457831348E-2</v>
      </c>
      <c r="AX1" s="439"/>
      <c r="AY1" s="439"/>
      <c r="AZ1" s="439"/>
      <c r="BA1" s="439"/>
      <c r="BB1" s="758"/>
      <c r="BC1" s="758"/>
      <c r="BD1" s="439"/>
      <c r="BE1" s="439"/>
      <c r="BF1" s="439"/>
      <c r="BG1" s="439"/>
      <c r="BH1" s="439"/>
      <c r="BI1" s="439"/>
      <c r="BJ1" s="439"/>
      <c r="BK1" s="439"/>
      <c r="BL1" s="439"/>
      <c r="BM1" s="439"/>
      <c r="BN1" s="439"/>
      <c r="BQ1" s="655">
        <f ca="1">IF(BQ3&gt;0,INT(BQ2)-1,INT(BQ2))</f>
        <v>1</v>
      </c>
      <c r="BR1" s="28">
        <f ca="1">IFERROR(AVERAGEIF(庫存管理[檢測],TRUE,庫存管理[對應編碼]),AVERAGEIF(庫存管理[對應編碼],"&lt;&gt;#N/A"))</f>
        <v>1</v>
      </c>
      <c r="BU1" s="1299">
        <f ca="1">SUMIFS(庫存管理[投資面額],庫存管理[檢測],TRUE)</f>
        <v>12992400</v>
      </c>
      <c r="BV1" s="1299">
        <f ca="1">SUMIFS(庫存管理[庫存成本(買)],庫存管理[檢測],TRUE)</f>
        <v>9960000</v>
      </c>
      <c r="BW1" s="1299">
        <f ca="1">SUMIFS(庫存管理[淨投入成本(買)],庫存管理[檢測],TRUE)</f>
        <v>9810342</v>
      </c>
      <c r="BX1" s="1299">
        <f ca="1">SUMIFS(庫存管理[參考贖回金額含前手息(現)],庫存管理[檢測],TRUE)</f>
        <v>10831864.5711</v>
      </c>
      <c r="BY1" s="1299">
        <f ca="1">SUMIFS(庫存管理[參考贖回金額(現)],庫存管理[檢測],TRUE)</f>
        <v>10671307.74</v>
      </c>
      <c r="BZ1" s="1299">
        <f ca="1">SUMIFS(庫存管理[累計利息(台)],庫存管理[檢測],TRUE)</f>
        <v>266750.21250000002</v>
      </c>
      <c r="CA1" s="1299">
        <f ca="1">SUMIFS(庫存管理[資本貢獻(台)],庫存管理[檢測],TRUE)</f>
        <v>48172.571100000197</v>
      </c>
      <c r="CB1" s="1299">
        <f ca="1">SUMIFS(庫存管理[合計],庫存管理[檢測],TRUE)</f>
        <v>314922.78360000026</v>
      </c>
      <c r="CC1" s="576">
        <f t="array" aca="1" ref="CC1" ca="1">SUMPRODUCT(IFERROR(庫存管理[配息報酬率],0),IFERROR(庫存管理[投入佔比],0))</f>
        <v>2.473644578313253E-2</v>
      </c>
      <c r="CD1" s="576">
        <f t="array" aca="1" ref="CD1" ca="1">SUMPRODUCT(IFERROR(庫存管理[資本報酬率],0),IFERROR(庫存管理[投入佔比],0))</f>
        <v>4.467168674698813E-3</v>
      </c>
      <c r="CE1" s="576">
        <f t="array" aca="1" ref="CE1" ca="1">SUMPRODUCT(IFERROR(庫存管理[匯率報酬率],0),IFERROR(庫存管理[投入佔比],0))</f>
        <v>8.5115138915662719E-2</v>
      </c>
      <c r="CF1" s="576">
        <f t="array" aca="1" ref="CF1" ca="1">SUMPRODUCT(IFERROR(庫存管理[換匯總報酬率],0),IFERROR(庫存管理[投入佔比],0))</f>
        <v>0.11431875337349406</v>
      </c>
      <c r="CG1" s="501">
        <f ca="1">SUMIFS(庫存管理[投入佔比],庫存管理[檢測],TRUE)</f>
        <v>1</v>
      </c>
      <c r="CH1" s="501">
        <f ca="1">SUMIFS(庫存管理[現值佔比],庫存管理[檢測],TRUE)</f>
        <v>1</v>
      </c>
      <c r="CI1" s="620">
        <f t="array" aca="1" ref="CI1" ca="1">SUMPRODUCT(IFERROR(庫存管理[投入參考YTM],0),IFERROR(庫存管理[投入佔比],0))</f>
        <v>5.2922917854043447E-2</v>
      </c>
      <c r="CK1" s="746"/>
      <c r="CO1" s="435">
        <f ca="1">SUMIFS(庫存管理[已實現配息(原幣)],庫存管理[檢測],TRUE)</f>
        <v>8212.5</v>
      </c>
      <c r="CQ1" s="746"/>
      <c r="CT1" s="746"/>
      <c r="DF1" s="501"/>
      <c r="DL1" s="435">
        <f t="array" aca="1" ref="DL1" ca="1">SUMPRODUCT(IFERROR(庫存管理[MOD],0),IFERROR(庫存管理[投入佔比],0))</f>
        <v>15.836375301204821</v>
      </c>
      <c r="DO1" s="1559" cm="1">
        <f t="array" aca="1" ref="DO1" ca="1">SUMPRODUCT((庫存管理[檢測]=TRUE)*(庫存管理[增值潛力])*庫存管理[換算匯率(現)])</f>
        <v>1717836.09348438</v>
      </c>
      <c r="DQ1" s="1299">
        <f ca="1">SUMIF(庫存管理[檢測],"TRUE",庫存管理[未來1])</f>
        <v>5787.5</v>
      </c>
      <c r="DR1" s="1299">
        <f ca="1">SUMIF(庫存管理[檢測],"TRUE",庫存管理[未來2])</f>
        <v>0</v>
      </c>
      <c r="DS1" s="1299">
        <f ca="1">SUMIF(庫存管理[檢測],"TRUE",庫存管理[未來3])</f>
        <v>0</v>
      </c>
      <c r="DT1" s="1299">
        <f ca="1">SUMIF(庫存管理[檢測],"TRUE",庫存管理[未來4])</f>
        <v>2424.9999999999995</v>
      </c>
      <c r="DU1" s="1299">
        <f ca="1">SUMIF(庫存管理[檢測],"TRUE",庫存管理[未來5])</f>
        <v>0</v>
      </c>
      <c r="DV1" s="1299">
        <f ca="1">SUMIF(庫存管理[檢測],"TRUE",庫存管理[未來6])</f>
        <v>0</v>
      </c>
      <c r="DW1" s="1299">
        <f ca="1">SUMIF(庫存管理[檢測],"TRUE",庫存管理[未來7])</f>
        <v>5787.5</v>
      </c>
      <c r="DX1" s="1299">
        <f ca="1">SUMIF(庫存管理[檢測],"TRUE",庫存管理[未來8])</f>
        <v>0</v>
      </c>
      <c r="DY1" s="1299">
        <f ca="1">SUMIF(庫存管理[檢測],"TRUE",庫存管理[未來9])</f>
        <v>0</v>
      </c>
      <c r="DZ1" s="1299">
        <f ca="1">SUMIF(庫存管理[檢測],"TRUE",庫存管理[未來10])</f>
        <v>2424.9999999999995</v>
      </c>
      <c r="EA1" s="1299">
        <f ca="1">SUMIF(庫存管理[檢測],"TRUE",庫存管理[未來11])</f>
        <v>0</v>
      </c>
      <c r="EB1" s="1299">
        <f ca="1">SUMIF(庫存管理[檢測],"TRUE",庫存管理[未來12])</f>
        <v>0</v>
      </c>
    </row>
    <row r="2" spans="1:1104" s="840" customFormat="1" ht="19.5" customHeight="1">
      <c r="B2" s="459"/>
      <c r="C2" s="459"/>
      <c r="D2" s="459"/>
      <c r="E2" s="459"/>
      <c r="F2" s="459"/>
      <c r="G2" s="459">
        <f>換券單檔!Z10</f>
        <v>1</v>
      </c>
      <c r="H2" s="1148" t="s">
        <v>4076</v>
      </c>
      <c r="I2" s="841" t="str">
        <f>換券單檔!D3</f>
        <v>XH430</v>
      </c>
      <c r="J2" s="841">
        <f>VLOOKUP(I2,bond!B:I,8,FALSE)</f>
        <v>96</v>
      </c>
      <c r="K2" s="841">
        <f>J2+VLOOKUP(I2,bond!B:K,10,FALSE)</f>
        <v>96.700599999999994</v>
      </c>
      <c r="Q2" s="842"/>
      <c r="R2" s="842"/>
      <c r="S2" s="843"/>
      <c r="T2" s="843"/>
      <c r="U2" s="843"/>
      <c r="V2" s="842"/>
      <c r="W2" s="853">
        <f ca="1">IF(G2=0,0,OFFSET(W6,G2,0))</f>
        <v>100000</v>
      </c>
      <c r="X2" s="842"/>
      <c r="Y2" s="842"/>
      <c r="Z2" s="842"/>
      <c r="AA2" s="842"/>
      <c r="AB2" s="844"/>
      <c r="AC2" s="845"/>
      <c r="AD2" s="846"/>
      <c r="AE2" s="845"/>
      <c r="AF2" s="846"/>
      <c r="AG2" s="1557"/>
      <c r="AH2" s="842"/>
      <c r="AI2" s="842"/>
      <c r="AJ2" s="846"/>
      <c r="AK2" s="846"/>
      <c r="AL2" s="846"/>
      <c r="AM2" s="846"/>
      <c r="AN2" s="846"/>
      <c r="AO2" s="846"/>
      <c r="AP2" s="846"/>
      <c r="AQ2" s="846"/>
      <c r="AR2" s="846"/>
      <c r="AS2" s="846"/>
      <c r="AT2" s="846"/>
      <c r="AU2" s="847"/>
      <c r="AV2" s="846"/>
      <c r="AW2" s="845"/>
      <c r="AX2" s="842"/>
      <c r="AY2" s="842"/>
      <c r="AZ2" s="842"/>
      <c r="BA2" s="842"/>
      <c r="BB2" s="848"/>
      <c r="BC2" s="846"/>
      <c r="BD2" s="842"/>
      <c r="BE2" s="848"/>
      <c r="BF2" s="842"/>
      <c r="BG2" s="842"/>
      <c r="BH2" s="842"/>
      <c r="BI2" s="842"/>
      <c r="BJ2" s="842"/>
      <c r="BK2" s="842"/>
      <c r="BL2" s="842"/>
      <c r="BM2" s="842"/>
      <c r="BN2" s="842"/>
      <c r="BQ2" s="459" cm="1">
        <f t="array" aca="1" ref="BQ2" ca="1">SUMPRODUCT(1/COUNTIF(庫存管理[幣別],庫存管理[幣別]))</f>
        <v>2</v>
      </c>
      <c r="BR2" s="684" t="str">
        <f ca="1">INDEX(B37:B43,MATCH(全美,C37:C43,0))</f>
        <v>USD</v>
      </c>
      <c r="BU2" s="1552"/>
      <c r="BV2" s="1552"/>
      <c r="BW2" s="1552"/>
      <c r="BX2" s="1552"/>
      <c r="BY2" s="1552"/>
      <c r="BZ2" s="1552"/>
      <c r="CA2" s="1552"/>
      <c r="CB2" s="1552"/>
      <c r="CC2" s="850"/>
      <c r="CD2" s="850"/>
      <c r="CE2" s="850"/>
      <c r="CF2" s="850"/>
      <c r="CG2" s="842"/>
      <c r="CH2" s="851"/>
      <c r="CI2" s="850">
        <f ca="1">OFFSET(庫存管理[[#Headers],[投入參考YTM]],G2,0)</f>
        <v>5.0274453752479784E-2</v>
      </c>
      <c r="CK2" s="852"/>
      <c r="CQ2" s="852"/>
      <c r="CT2" s="852"/>
      <c r="DF2" s="849"/>
    </row>
    <row r="3" spans="1:1104" ht="19.5" customHeight="1">
      <c r="H3" s="1148" t="s">
        <v>4077</v>
      </c>
      <c r="I3" s="1150"/>
      <c r="J3" s="1184" t="e">
        <f ca="1">SUMPRODUCT((庫存管理[投組檢測]=TRUE)*庫存管理[換券庫存佔比]*庫存管理[買價])/SUMIF(庫存管理[投組檢測],TRUE,庫存管理[換券庫存佔比])</f>
        <v>#DIV/0!</v>
      </c>
      <c r="K3" s="1184" t="e">
        <f ca="1">SUMPRODUCT((庫存管理[投組檢測]=TRUE)*庫存管理[換券庫存佔比]*庫存管理[買價(含息)])/SUMIF(庫存管理[投組檢測],TRUE,庫存管理[換券庫存佔比])</f>
        <v>#DIV/0!</v>
      </c>
      <c r="L3" s="1148"/>
      <c r="M3" s="1148" t="e" cm="1">
        <f t="array" aca="1" ref="M3" ca="1">SUMPRODUCT((庫存管理[投組檢測]=TRUE)*庫存管理[換券庫存佔比]*庫存管理[距到期年])/SUMIF(庫存管理[投組檢測],TRUE,庫存管理[換券庫存佔比])</f>
        <v>#DIV/0!</v>
      </c>
      <c r="N3" s="1148"/>
      <c r="O3" s="1186" t="e">
        <f ca="1">SUMPRODUCT((庫存管理[投組檢測]=TRUE)*庫存管理[換券庫存佔比]*庫存管理[票面利率])/SUMIF(庫存管理[投組檢測],TRUE,庫存管理[換券庫存佔比])</f>
        <v>#DIV/0!</v>
      </c>
      <c r="P3" s="1148"/>
      <c r="Q3" s="1151"/>
      <c r="R3" s="1151"/>
      <c r="S3" s="1152"/>
      <c r="T3" s="1152"/>
      <c r="U3" s="1152"/>
      <c r="V3" s="1151"/>
      <c r="W3" s="1162">
        <f ca="1">SUMIF(庫存管理[投組檢測],TRUE,庫存管理[投入面額])</f>
        <v>0</v>
      </c>
      <c r="X3" s="1151"/>
      <c r="Y3" s="1151"/>
      <c r="Z3" s="1151">
        <f ca="1">SUMIFS(庫存管理[部位現值(含前手息)],庫存管理[投組檢測],TRUE)</f>
        <v>0</v>
      </c>
      <c r="AA3" s="1151">
        <f ca="1">SUMIFS(庫存管理[部位現值(不含前手息)],庫存管理[投組檢測],TRUE)</f>
        <v>0</v>
      </c>
      <c r="AB3" s="1153"/>
      <c r="AC3" s="1154"/>
      <c r="AD3" s="1155"/>
      <c r="AE3" s="1154"/>
      <c r="AF3" s="1155"/>
      <c r="AG3" s="1558">
        <f ca="1">SUMIF(庫存管理[投組檢測],TRUE,庫存管理[年度配息])</f>
        <v>0</v>
      </c>
      <c r="AH3" s="1151"/>
      <c r="AI3" s="1151"/>
      <c r="AJ3" s="1155"/>
      <c r="AK3" s="1155"/>
      <c r="AL3" s="1155"/>
      <c r="AM3" s="1155"/>
      <c r="AN3" s="1155"/>
      <c r="AO3" s="1155"/>
      <c r="AP3" s="1155"/>
      <c r="AQ3" s="1155"/>
      <c r="AR3" s="1155"/>
      <c r="AS3" s="1155"/>
      <c r="AT3" s="1155"/>
      <c r="AU3" s="1156"/>
      <c r="AV3" s="1155"/>
      <c r="AW3" s="1154"/>
      <c r="AX3" s="1151"/>
      <c r="AY3" s="1151"/>
      <c r="AZ3" s="1151"/>
      <c r="BA3" s="1151"/>
      <c r="BB3" s="1157"/>
      <c r="BC3" s="1157"/>
      <c r="BD3" s="1151"/>
      <c r="BE3" s="1151"/>
      <c r="BF3" s="1151"/>
      <c r="BG3" s="1151"/>
      <c r="BH3" s="1151"/>
      <c r="BI3" s="1151"/>
      <c r="BJ3" s="1151"/>
      <c r="BK3" s="1151"/>
      <c r="BL3" s="1151"/>
      <c r="BM3" s="1151"/>
      <c r="BN3" s="1151"/>
      <c r="BO3" s="1148"/>
      <c r="BP3" s="1148"/>
      <c r="BQ3" s="459">
        <f ca="1">COUNTIF(庫存管理[幣別],"")</f>
        <v>32</v>
      </c>
      <c r="BR3" s="1148"/>
      <c r="BS3" s="1148"/>
      <c r="BT3" s="1148"/>
      <c r="BU3" s="1553"/>
      <c r="BV3" s="1553">
        <f ca="1">SUMIFS(庫存管理[庫存成本(買)],庫存管理[投組檢測],TRUE)</f>
        <v>0</v>
      </c>
      <c r="BW3" s="1553">
        <f ca="1">SUMIFS(庫存管理[淨投入成本(買)],庫存管理[投組檢測],TRUE)</f>
        <v>0</v>
      </c>
      <c r="BX3" s="1553"/>
      <c r="BY3" s="1553"/>
      <c r="BZ3" s="1553"/>
      <c r="CA3" s="1553"/>
      <c r="CB3" s="1553"/>
      <c r="CC3" s="1148"/>
      <c r="CD3" s="1148"/>
      <c r="CE3" s="1148"/>
      <c r="CF3" s="1148"/>
      <c r="CG3" s="1151"/>
      <c r="CH3" s="1158"/>
      <c r="CI3" s="1163" t="e">
        <f ca="1">SUMPRODUCT((庫存管理[投組檢測]=TRUE)*庫存管理[換券庫存佔比]*庫存管理[投入參考YTM])/SUMIF(庫存管理[投組檢測],TRUE,庫存管理[換券庫存佔比])</f>
        <v>#DIV/0!</v>
      </c>
      <c r="CJ3" s="1148"/>
      <c r="CK3" s="1159"/>
      <c r="CL3" s="1159"/>
      <c r="CM3" s="1159"/>
      <c r="CN3" s="1148"/>
      <c r="CO3" s="1148"/>
      <c r="CP3" s="1148"/>
      <c r="CQ3" s="1159"/>
      <c r="CR3" s="1148"/>
      <c r="CS3" s="1148"/>
      <c r="CT3" s="1159"/>
      <c r="CU3" s="1148"/>
      <c r="CV3" s="1148"/>
      <c r="CW3" s="1148"/>
      <c r="CX3" s="1148"/>
      <c r="CY3" s="1148"/>
      <c r="CZ3" s="1148"/>
      <c r="DA3" s="1148"/>
      <c r="DB3" s="1148"/>
      <c r="DC3" s="1148"/>
      <c r="DD3" s="1148"/>
      <c r="DE3" s="1148"/>
      <c r="DF3" s="1160"/>
      <c r="DG3" s="1148"/>
      <c r="DH3" s="1148"/>
      <c r="DI3" s="1148"/>
      <c r="DJ3" s="1148"/>
      <c r="DK3" s="1148"/>
      <c r="DL3" s="1164" t="e">
        <f ca="1">SUMPRODUCT((庫存管理[投組檢測]=TRUE)*庫存管理[換券庫存佔比]*庫存管理[MOD])/SUMIF(庫存管理[投組檢測],TRUE,庫存管理[換券庫存佔比])</f>
        <v>#DIV/0!</v>
      </c>
      <c r="DM3" s="1148" t="e">
        <f ca="1">SUMPRODUCT((庫存管理[投組檢測]=TRUE)*庫存管理[換券庫存佔比]*庫存管理[clean申購價])/SUMIF(庫存管理[投組檢測],TRUE,庫存管理[換券庫存佔比])</f>
        <v>#DIV/0!</v>
      </c>
      <c r="DN3" s="1148"/>
      <c r="DO3" s="1148">
        <f ca="1">SUMIF(庫存管理[投組檢測],TRUE,庫存管理[增值潛力])</f>
        <v>0</v>
      </c>
      <c r="DP3" s="1148"/>
      <c r="DQ3" s="1148"/>
      <c r="DR3" s="1148"/>
      <c r="DS3" s="1148"/>
      <c r="DT3" s="1148"/>
      <c r="DU3" s="1148"/>
      <c r="DV3" s="1148"/>
      <c r="DW3" s="1148"/>
      <c r="DX3" s="1148"/>
      <c r="DY3" s="1148"/>
      <c r="DZ3" s="1148"/>
      <c r="EA3" s="1148"/>
      <c r="EB3" s="1148"/>
      <c r="EC3" s="1148"/>
      <c r="ED3" s="1148"/>
      <c r="EE3" s="1148"/>
      <c r="EF3" s="1148"/>
      <c r="EG3" s="1148"/>
      <c r="EH3" s="1148"/>
      <c r="EI3" s="1148"/>
      <c r="EJ3" s="1148"/>
      <c r="EK3" s="1148"/>
      <c r="EL3" s="1148"/>
      <c r="EM3" s="1148"/>
      <c r="EN3" s="1148"/>
      <c r="EO3" s="1148"/>
      <c r="EP3" s="1148"/>
      <c r="EQ3" s="1148"/>
      <c r="ER3" s="1148"/>
      <c r="ES3" s="1148"/>
      <c r="ET3" s="1148"/>
      <c r="EU3" s="1148"/>
      <c r="EV3" s="1148"/>
      <c r="EW3" s="1148"/>
      <c r="EX3" s="1148"/>
      <c r="EY3" s="1148"/>
      <c r="EZ3" s="1148"/>
      <c r="FA3" s="1148"/>
      <c r="FB3" s="1148"/>
      <c r="FC3" s="1148"/>
      <c r="FD3" s="1148"/>
      <c r="FE3" s="1148"/>
      <c r="FF3" s="1148"/>
      <c r="FG3" s="1148"/>
      <c r="FH3" s="1148"/>
      <c r="FI3" s="1148"/>
      <c r="FJ3" s="1148"/>
      <c r="FK3" s="1148"/>
      <c r="FL3" s="1148"/>
      <c r="FM3" s="1148"/>
      <c r="FN3" s="1148"/>
      <c r="FO3" s="1148"/>
      <c r="FP3" s="1148"/>
      <c r="FQ3" s="1148"/>
      <c r="FR3" s="1148"/>
      <c r="FS3" s="1148"/>
      <c r="FT3" s="1148"/>
      <c r="FU3" s="1148"/>
      <c r="FV3" s="1148"/>
      <c r="FW3" s="1148"/>
      <c r="FX3" s="1148"/>
      <c r="FY3" s="1148"/>
      <c r="FZ3" s="1148"/>
      <c r="GA3" s="1148"/>
      <c r="GB3" s="1148"/>
      <c r="GC3" s="1148"/>
      <c r="GD3" s="1148"/>
      <c r="GE3" s="1148"/>
      <c r="GF3" s="1148"/>
      <c r="GG3" s="1148"/>
      <c r="GH3" s="1148"/>
      <c r="GI3" s="1148"/>
      <c r="GJ3" s="1148"/>
      <c r="GK3" s="1148"/>
      <c r="GL3" s="1148"/>
      <c r="GM3" s="1148"/>
      <c r="GN3" s="1148"/>
      <c r="GO3" s="1148"/>
      <c r="GP3" s="1148"/>
      <c r="GQ3" s="1148"/>
      <c r="GR3" s="1148"/>
      <c r="GS3" s="1148"/>
      <c r="GT3" s="1148"/>
      <c r="GU3" s="1148"/>
      <c r="GV3" s="1148"/>
      <c r="GW3" s="1148"/>
      <c r="GX3" s="1148"/>
      <c r="GY3" s="1148"/>
      <c r="GZ3" s="1148"/>
      <c r="HA3" s="1148"/>
      <c r="HB3" s="1148"/>
      <c r="HC3" s="1148"/>
      <c r="HD3" s="1148"/>
      <c r="HE3" s="1148"/>
      <c r="HF3" s="1148"/>
      <c r="HG3" s="1148"/>
      <c r="HH3" s="1148"/>
      <c r="HI3" s="1148"/>
      <c r="HJ3" s="1148"/>
      <c r="HK3" s="1148"/>
      <c r="HL3" s="1148"/>
      <c r="HM3" s="1148"/>
      <c r="HN3" s="1148"/>
      <c r="HO3" s="1148"/>
      <c r="HP3" s="1148"/>
      <c r="HQ3" s="1148"/>
      <c r="HR3" s="1148"/>
      <c r="HS3" s="1148"/>
      <c r="HT3" s="1148"/>
      <c r="HU3" s="1148"/>
      <c r="HV3" s="1148"/>
      <c r="HW3" s="1148"/>
      <c r="HX3" s="1148"/>
      <c r="HY3" s="1148"/>
      <c r="HZ3" s="1148"/>
      <c r="IA3" s="1148"/>
      <c r="IB3" s="1148"/>
      <c r="IC3" s="1148"/>
      <c r="ID3" s="1148"/>
      <c r="IE3" s="1148"/>
      <c r="IF3" s="1148"/>
      <c r="IG3" s="1148"/>
      <c r="IH3" s="1148"/>
      <c r="II3" s="1148"/>
      <c r="IJ3" s="1148"/>
      <c r="IK3" s="1148"/>
      <c r="IL3" s="1148"/>
      <c r="IM3" s="1148"/>
      <c r="IN3" s="1148"/>
      <c r="IO3" s="1148"/>
      <c r="IP3" s="1148"/>
      <c r="IQ3" s="1148"/>
      <c r="IR3" s="1148"/>
      <c r="IS3" s="1148"/>
      <c r="IT3" s="1148"/>
      <c r="IU3" s="1148"/>
      <c r="IV3" s="1148"/>
      <c r="IW3" s="1148"/>
      <c r="IX3" s="1148"/>
      <c r="IY3" s="1148"/>
      <c r="IZ3" s="1148"/>
      <c r="JA3" s="1148"/>
      <c r="JB3" s="1148"/>
      <c r="JC3" s="1148"/>
      <c r="JD3" s="1148"/>
      <c r="JE3" s="1148"/>
      <c r="JF3" s="1148"/>
      <c r="JG3" s="1148"/>
      <c r="JH3" s="1148"/>
      <c r="JI3" s="1148"/>
      <c r="JJ3" s="1148"/>
      <c r="JK3" s="1148"/>
      <c r="JL3" s="1148"/>
      <c r="JM3" s="1148"/>
      <c r="JN3" s="1148"/>
      <c r="JO3" s="1148"/>
      <c r="JP3" s="1148"/>
      <c r="JQ3" s="1148"/>
      <c r="JR3" s="1148"/>
      <c r="JS3" s="1148"/>
      <c r="JT3" s="1148"/>
      <c r="JU3" s="1148"/>
      <c r="JV3" s="1148"/>
      <c r="JW3" s="1148"/>
      <c r="JX3" s="1148"/>
      <c r="JY3" s="1148"/>
      <c r="JZ3" s="1148"/>
      <c r="KA3" s="1148"/>
      <c r="KB3" s="1148"/>
      <c r="KC3" s="1148"/>
      <c r="KD3" s="1148"/>
      <c r="KE3" s="1148"/>
      <c r="KF3" s="1148"/>
      <c r="KG3" s="1148"/>
      <c r="KH3" s="1148"/>
      <c r="KI3" s="1148"/>
      <c r="KJ3" s="1148"/>
      <c r="KK3" s="1148"/>
      <c r="KL3" s="1148"/>
      <c r="KM3" s="1148"/>
      <c r="KN3" s="1148"/>
      <c r="KO3" s="1148"/>
      <c r="KP3" s="1148"/>
      <c r="KQ3" s="1148"/>
      <c r="KR3" s="1148"/>
      <c r="KS3" s="1148"/>
      <c r="KT3" s="1148"/>
      <c r="KU3" s="1148"/>
      <c r="KV3" s="1148"/>
      <c r="KW3" s="1148"/>
      <c r="KX3" s="1148"/>
      <c r="KY3" s="1148"/>
      <c r="KZ3" s="1148"/>
      <c r="LA3" s="1148"/>
      <c r="LB3" s="1148"/>
      <c r="LC3" s="1148"/>
      <c r="LD3" s="1148"/>
      <c r="LE3" s="1148"/>
      <c r="LF3" s="1148"/>
      <c r="LG3" s="1148"/>
      <c r="LH3" s="1148"/>
      <c r="LI3" s="1148"/>
      <c r="LJ3" s="1148"/>
      <c r="LK3" s="1148"/>
      <c r="LL3" s="1148"/>
      <c r="LM3" s="1148"/>
      <c r="LN3" s="1148"/>
      <c r="LO3" s="1148"/>
      <c r="LP3" s="1148"/>
      <c r="LQ3" s="1148"/>
      <c r="LR3" s="1148"/>
      <c r="LS3" s="1148"/>
      <c r="LT3" s="1148"/>
      <c r="LU3" s="1148"/>
      <c r="LV3" s="1148"/>
      <c r="LW3" s="1148"/>
      <c r="LX3" s="1148"/>
      <c r="LY3" s="1148"/>
      <c r="LZ3" s="1148"/>
      <c r="MA3" s="1148"/>
      <c r="MB3" s="1148"/>
      <c r="MC3" s="1148"/>
      <c r="MD3" s="1148"/>
      <c r="ME3" s="1148"/>
      <c r="MF3" s="1148"/>
      <c r="MG3" s="1148"/>
      <c r="MH3" s="1148"/>
      <c r="MI3" s="1148"/>
      <c r="MJ3" s="1148"/>
      <c r="MK3" s="1148"/>
      <c r="ML3" s="1148"/>
      <c r="MM3" s="1148"/>
      <c r="MN3" s="1148"/>
      <c r="MO3" s="1148"/>
      <c r="MP3" s="1148"/>
      <c r="MQ3" s="1148"/>
      <c r="MR3" s="1148"/>
      <c r="MS3" s="1148"/>
      <c r="MT3" s="1148"/>
      <c r="MU3" s="1148"/>
      <c r="MV3" s="1148"/>
      <c r="MW3" s="1148"/>
      <c r="MX3" s="1148"/>
      <c r="MY3" s="1148"/>
      <c r="MZ3" s="1148"/>
      <c r="NA3" s="1148"/>
      <c r="NB3" s="1148"/>
      <c r="NC3" s="1148"/>
      <c r="ND3" s="1148"/>
      <c r="NE3" s="1148"/>
      <c r="NF3" s="1148"/>
      <c r="NG3" s="1148"/>
      <c r="NH3" s="1148"/>
      <c r="NI3" s="1148"/>
      <c r="NJ3" s="1148"/>
      <c r="NK3" s="1148"/>
      <c r="NL3" s="1148"/>
      <c r="NM3" s="1148"/>
      <c r="NN3" s="1148"/>
      <c r="NO3" s="1148"/>
      <c r="NP3" s="1148"/>
      <c r="NQ3" s="1148"/>
      <c r="NR3" s="1148"/>
      <c r="NS3" s="1148"/>
      <c r="NT3" s="1148"/>
      <c r="NU3" s="1148"/>
      <c r="NV3" s="1148"/>
      <c r="NW3" s="1148"/>
      <c r="NX3" s="1148"/>
      <c r="NY3" s="1148"/>
      <c r="NZ3" s="1148"/>
      <c r="OA3" s="1148"/>
      <c r="OB3" s="1148"/>
      <c r="OC3" s="1148"/>
      <c r="OD3" s="1148"/>
      <c r="OE3" s="1148"/>
      <c r="OF3" s="1148"/>
      <c r="OG3" s="1148"/>
      <c r="OH3" s="1148"/>
      <c r="OI3" s="1148"/>
      <c r="OJ3" s="1148"/>
      <c r="OK3" s="1148"/>
      <c r="OL3" s="1148"/>
      <c r="OM3" s="1148"/>
      <c r="ON3" s="1148"/>
      <c r="OO3" s="1148"/>
      <c r="OP3" s="1148"/>
      <c r="OQ3" s="1148"/>
      <c r="OR3" s="1148"/>
      <c r="OS3" s="1148"/>
      <c r="OT3" s="1148"/>
      <c r="OU3" s="1148"/>
      <c r="OV3" s="1148"/>
      <c r="OW3" s="1148"/>
      <c r="OX3" s="1148"/>
      <c r="OY3" s="1148"/>
      <c r="OZ3" s="1148"/>
      <c r="PA3" s="1148"/>
      <c r="PB3" s="1148"/>
      <c r="PC3" s="1148"/>
      <c r="PD3" s="1148"/>
      <c r="PE3" s="1148"/>
      <c r="PF3" s="1148"/>
      <c r="PG3" s="1148"/>
      <c r="PH3" s="1148"/>
      <c r="PI3" s="1148"/>
      <c r="PJ3" s="1148"/>
      <c r="PK3" s="1148"/>
      <c r="PL3" s="1148"/>
      <c r="PM3" s="1148"/>
      <c r="PN3" s="1148"/>
      <c r="PO3" s="1148"/>
      <c r="PP3" s="1148"/>
      <c r="PQ3" s="1148"/>
      <c r="PR3" s="1148"/>
      <c r="PS3" s="1148"/>
      <c r="PT3" s="1148"/>
      <c r="PU3" s="1148"/>
      <c r="PV3" s="1148"/>
      <c r="PW3" s="1148"/>
      <c r="PX3" s="1148"/>
      <c r="PY3" s="1148"/>
      <c r="PZ3" s="1148"/>
      <c r="QA3" s="1148"/>
      <c r="QB3" s="1148"/>
      <c r="QC3" s="1148"/>
      <c r="QD3" s="1148"/>
      <c r="QE3" s="1148"/>
      <c r="QF3" s="1148"/>
      <c r="QG3" s="1148"/>
      <c r="QH3" s="1148"/>
      <c r="QI3" s="1148"/>
      <c r="QJ3" s="1148"/>
      <c r="QK3" s="1148"/>
      <c r="QL3" s="1148"/>
      <c r="QM3" s="1148"/>
      <c r="QN3" s="1148"/>
      <c r="QO3" s="1148"/>
      <c r="QP3" s="1148"/>
      <c r="QQ3" s="1148"/>
      <c r="QR3" s="1148"/>
      <c r="QS3" s="1148"/>
      <c r="QT3" s="1148"/>
      <c r="QU3" s="1148"/>
      <c r="QV3" s="1148"/>
      <c r="QW3" s="1148"/>
      <c r="QX3" s="1148"/>
      <c r="QY3" s="1148"/>
      <c r="QZ3" s="1148"/>
      <c r="RA3" s="1148"/>
      <c r="RB3" s="1148"/>
      <c r="RC3" s="1148"/>
      <c r="RD3" s="1148"/>
      <c r="RE3" s="1148"/>
      <c r="RF3" s="1148"/>
      <c r="RG3" s="1148"/>
      <c r="RH3" s="1148"/>
      <c r="RI3" s="1148"/>
      <c r="RJ3" s="1148"/>
      <c r="RK3" s="1148"/>
      <c r="RL3" s="1148"/>
      <c r="RM3" s="1148"/>
      <c r="RN3" s="1148"/>
      <c r="RO3" s="1148"/>
      <c r="RP3" s="1148"/>
      <c r="RQ3" s="1148"/>
      <c r="RR3" s="1148"/>
      <c r="RS3" s="1148"/>
      <c r="RT3" s="1148"/>
      <c r="RU3" s="1148"/>
      <c r="RV3" s="1148"/>
      <c r="RW3" s="1148"/>
      <c r="RX3" s="1148"/>
      <c r="RY3" s="1148"/>
      <c r="RZ3" s="1148"/>
      <c r="SA3" s="1148"/>
      <c r="SB3" s="1148"/>
      <c r="SC3" s="1148"/>
      <c r="SD3" s="1148"/>
      <c r="SE3" s="1148"/>
      <c r="SF3" s="1148"/>
      <c r="SG3" s="1148"/>
      <c r="SH3" s="1148"/>
      <c r="SI3" s="1148"/>
      <c r="SJ3" s="1148"/>
      <c r="SK3" s="1148"/>
      <c r="SL3" s="1148"/>
      <c r="SM3" s="1148"/>
      <c r="SN3" s="1148"/>
      <c r="SO3" s="1148"/>
      <c r="SP3" s="1148"/>
      <c r="SQ3" s="1148"/>
      <c r="SR3" s="1148"/>
      <c r="SS3" s="1148"/>
      <c r="ST3" s="1148"/>
      <c r="SU3" s="1148"/>
      <c r="SV3" s="1148"/>
      <c r="SW3" s="1148"/>
      <c r="SX3" s="1148"/>
      <c r="SY3" s="1148"/>
      <c r="SZ3" s="1148"/>
      <c r="TA3" s="1148"/>
      <c r="TB3" s="1148"/>
      <c r="TC3" s="1148"/>
      <c r="TD3" s="1148"/>
      <c r="TE3" s="1148"/>
      <c r="TF3" s="1148"/>
      <c r="TG3" s="1148"/>
      <c r="TH3" s="1148"/>
      <c r="TI3" s="1148"/>
      <c r="TJ3" s="1148"/>
      <c r="TK3" s="1148"/>
      <c r="TL3" s="1148"/>
      <c r="TM3" s="1148"/>
      <c r="TN3" s="1148"/>
      <c r="TO3" s="1148"/>
      <c r="TP3" s="1148"/>
      <c r="TQ3" s="1148"/>
      <c r="TR3" s="1148"/>
      <c r="TS3" s="1148"/>
      <c r="TT3" s="1148"/>
      <c r="TU3" s="1148"/>
      <c r="TV3" s="1148"/>
      <c r="TW3" s="1148"/>
      <c r="TX3" s="1148"/>
      <c r="TY3" s="1148"/>
      <c r="TZ3" s="1148"/>
      <c r="UA3" s="1148"/>
      <c r="UB3" s="1148"/>
      <c r="UC3" s="1148"/>
      <c r="UD3" s="1148"/>
      <c r="UE3" s="1148"/>
      <c r="UF3" s="1148"/>
      <c r="UG3" s="1148"/>
      <c r="UH3" s="1148"/>
      <c r="UI3" s="1148"/>
      <c r="UJ3" s="1148"/>
      <c r="UK3" s="1148"/>
      <c r="UL3" s="1148"/>
      <c r="UM3" s="1148"/>
      <c r="UN3" s="1148"/>
      <c r="UO3" s="1148"/>
      <c r="UP3" s="1148"/>
      <c r="UQ3" s="1148"/>
      <c r="UR3" s="1148"/>
      <c r="US3" s="1148"/>
      <c r="UT3" s="1148"/>
      <c r="UU3" s="1148"/>
      <c r="UV3" s="1148"/>
      <c r="UW3" s="1148"/>
      <c r="UX3" s="1148"/>
      <c r="UY3" s="1148"/>
      <c r="UZ3" s="1148"/>
      <c r="VA3" s="1148"/>
      <c r="VB3" s="1148"/>
      <c r="VC3" s="1148"/>
      <c r="VD3" s="1148"/>
      <c r="VE3" s="1148"/>
      <c r="VF3" s="1148"/>
      <c r="VG3" s="1148"/>
      <c r="VH3" s="1148"/>
      <c r="VI3" s="1148"/>
      <c r="VJ3" s="1148"/>
      <c r="VK3" s="1148"/>
      <c r="VL3" s="1148"/>
      <c r="VM3" s="1148"/>
      <c r="VN3" s="1148"/>
      <c r="VO3" s="1148"/>
      <c r="VP3" s="1148"/>
      <c r="VQ3" s="1148"/>
      <c r="VR3" s="1148"/>
      <c r="VS3" s="1148"/>
      <c r="VT3" s="1148"/>
      <c r="VU3" s="1148"/>
      <c r="VV3" s="1148"/>
      <c r="VW3" s="1148"/>
      <c r="VX3" s="1148"/>
      <c r="VY3" s="1148"/>
      <c r="VZ3" s="1148"/>
      <c r="WA3" s="1148"/>
      <c r="WB3" s="1148"/>
      <c r="WC3" s="1148"/>
      <c r="WD3" s="1148"/>
      <c r="WE3" s="1148"/>
      <c r="WF3" s="1148"/>
      <c r="WG3" s="1148"/>
      <c r="WH3" s="1148"/>
      <c r="WI3" s="1148"/>
      <c r="WJ3" s="1148"/>
      <c r="WK3" s="1148"/>
      <c r="WL3" s="1148"/>
      <c r="WM3" s="1148"/>
      <c r="WN3" s="1148"/>
      <c r="WO3" s="1148"/>
      <c r="WP3" s="1148"/>
      <c r="WQ3" s="1148"/>
      <c r="WR3" s="1148"/>
      <c r="WS3" s="1148"/>
      <c r="WT3" s="1148"/>
      <c r="WU3" s="1148"/>
      <c r="WV3" s="1148"/>
      <c r="WW3" s="1148"/>
      <c r="WX3" s="1148"/>
      <c r="WY3" s="1148"/>
      <c r="WZ3" s="1148"/>
      <c r="XA3" s="1148"/>
      <c r="XB3" s="1148"/>
      <c r="XC3" s="1148"/>
      <c r="XD3" s="1148"/>
      <c r="XE3" s="1148"/>
      <c r="XF3" s="1148"/>
      <c r="XG3" s="1148"/>
      <c r="XH3" s="1148"/>
      <c r="XI3" s="1148"/>
      <c r="XJ3" s="1148"/>
      <c r="XK3" s="1148"/>
      <c r="XL3" s="1148"/>
      <c r="XM3" s="1148"/>
      <c r="XN3" s="1148"/>
      <c r="XO3" s="1148"/>
      <c r="XP3" s="1148"/>
      <c r="XQ3" s="1148"/>
      <c r="XR3" s="1148"/>
      <c r="XS3" s="1148"/>
      <c r="XT3" s="1148"/>
      <c r="XU3" s="1148"/>
      <c r="XV3" s="1148"/>
      <c r="XW3" s="1148"/>
      <c r="XX3" s="1148"/>
      <c r="XY3" s="1148"/>
      <c r="XZ3" s="1148"/>
      <c r="YA3" s="1148"/>
      <c r="YB3" s="1148"/>
      <c r="YC3" s="1148"/>
      <c r="YD3" s="1148"/>
      <c r="YE3" s="1148"/>
      <c r="YF3" s="1148"/>
      <c r="YG3" s="1148"/>
      <c r="YH3" s="1148"/>
      <c r="YI3" s="1148"/>
      <c r="YJ3" s="1148"/>
      <c r="YK3" s="1148"/>
      <c r="YL3" s="1148"/>
      <c r="YM3" s="1148"/>
      <c r="YN3" s="1148"/>
      <c r="YO3" s="1148"/>
      <c r="YP3" s="1148"/>
      <c r="YQ3" s="1148"/>
      <c r="YR3" s="1148"/>
      <c r="YS3" s="1148"/>
      <c r="YT3" s="1148"/>
      <c r="YU3" s="1148"/>
      <c r="YV3" s="1148"/>
      <c r="YW3" s="1148"/>
      <c r="YX3" s="1148"/>
      <c r="YY3" s="1148"/>
      <c r="YZ3" s="1148"/>
      <c r="ZA3" s="1148"/>
      <c r="ZB3" s="1148"/>
      <c r="ZC3" s="1148"/>
      <c r="ZD3" s="1148"/>
      <c r="ZE3" s="1148"/>
      <c r="ZF3" s="1148"/>
      <c r="ZG3" s="1148"/>
      <c r="ZH3" s="1148"/>
      <c r="ZI3" s="1148"/>
      <c r="ZJ3" s="1148"/>
      <c r="ZK3" s="1148"/>
      <c r="ZL3" s="1148"/>
      <c r="ZM3" s="1148"/>
      <c r="ZN3" s="1148"/>
      <c r="ZO3" s="1148"/>
      <c r="ZP3" s="1148"/>
      <c r="ZQ3" s="1148"/>
      <c r="ZR3" s="1148"/>
      <c r="ZS3" s="1148"/>
      <c r="ZT3" s="1148"/>
      <c r="ZU3" s="1148"/>
      <c r="ZV3" s="1148"/>
      <c r="ZW3" s="1148"/>
      <c r="ZX3" s="1148"/>
      <c r="ZY3" s="1148"/>
      <c r="ZZ3" s="1148"/>
      <c r="AAA3" s="1148"/>
      <c r="AAB3" s="1148"/>
      <c r="AAC3" s="1148"/>
      <c r="AAD3" s="1148"/>
      <c r="AAE3" s="1148"/>
      <c r="AAF3" s="1148"/>
      <c r="AAG3" s="1148"/>
      <c r="AAH3" s="1148"/>
      <c r="AAI3" s="1148"/>
      <c r="AAJ3" s="1148"/>
      <c r="AAK3" s="1148"/>
      <c r="AAL3" s="1148"/>
      <c r="AAM3" s="1148"/>
      <c r="AAN3" s="1148"/>
      <c r="AAO3" s="1148"/>
      <c r="AAP3" s="1148"/>
      <c r="AAQ3" s="1148"/>
      <c r="AAR3" s="1148"/>
      <c r="AAS3" s="1148"/>
      <c r="AAT3" s="1148"/>
      <c r="AAU3" s="1148"/>
      <c r="AAV3" s="1148"/>
      <c r="AAW3" s="1148"/>
      <c r="AAX3" s="1148"/>
      <c r="AAY3" s="1148"/>
      <c r="AAZ3" s="1148"/>
      <c r="ABA3" s="1148"/>
      <c r="ABB3" s="1148"/>
      <c r="ABC3" s="1148"/>
      <c r="ABD3" s="1148"/>
      <c r="ABE3" s="1148"/>
      <c r="ABF3" s="1148"/>
      <c r="ABG3" s="1148"/>
      <c r="ABH3" s="1148"/>
      <c r="ABI3" s="1148"/>
      <c r="ABJ3" s="1148"/>
      <c r="ABK3" s="1148"/>
      <c r="ABL3" s="1148"/>
      <c r="ABM3" s="1148"/>
      <c r="ABN3" s="1148"/>
      <c r="ABO3" s="1148"/>
      <c r="ABP3" s="1148"/>
      <c r="ABQ3" s="1148"/>
      <c r="ABR3" s="1148"/>
      <c r="ABS3" s="1148"/>
      <c r="ABT3" s="1148"/>
      <c r="ABU3" s="1148"/>
      <c r="ABV3" s="1148"/>
      <c r="ABW3" s="1148"/>
      <c r="ABX3" s="1148"/>
      <c r="ABY3" s="1148"/>
      <c r="ABZ3" s="1148"/>
      <c r="ACA3" s="1148"/>
      <c r="ACB3" s="1148"/>
      <c r="ACC3" s="1148"/>
      <c r="ACD3" s="1148"/>
      <c r="ACE3" s="1148"/>
      <c r="ACF3" s="1148"/>
      <c r="ACG3" s="1148"/>
      <c r="ACH3" s="1148"/>
      <c r="ACI3" s="1148"/>
      <c r="ACJ3" s="1148"/>
      <c r="ACK3" s="1148"/>
      <c r="ACL3" s="1148"/>
      <c r="ACM3" s="1148"/>
      <c r="ACN3" s="1148"/>
      <c r="ACO3" s="1148"/>
      <c r="ACP3" s="1148"/>
      <c r="ACQ3" s="1148"/>
      <c r="ACR3" s="1148"/>
      <c r="ACS3" s="1148"/>
      <c r="ACT3" s="1148"/>
      <c r="ACU3" s="1148"/>
      <c r="ACV3" s="1148"/>
      <c r="ACW3" s="1148"/>
      <c r="ACX3" s="1148"/>
      <c r="ACY3" s="1148"/>
      <c r="ACZ3" s="1148"/>
      <c r="ADA3" s="1148"/>
      <c r="ADB3" s="1148"/>
      <c r="ADC3" s="1148"/>
      <c r="ADD3" s="1148"/>
      <c r="ADE3" s="1148"/>
      <c r="ADF3" s="1148"/>
      <c r="ADG3" s="1148"/>
      <c r="ADH3" s="1148"/>
      <c r="ADI3" s="1148"/>
      <c r="ADJ3" s="1148"/>
      <c r="ADK3" s="1148"/>
      <c r="ADL3" s="1148"/>
      <c r="ADM3" s="1148"/>
      <c r="ADN3" s="1148"/>
      <c r="ADO3" s="1148"/>
      <c r="ADP3" s="1148"/>
      <c r="ADQ3" s="1148"/>
      <c r="ADR3" s="1148"/>
      <c r="ADS3" s="1148"/>
      <c r="ADT3" s="1148"/>
      <c r="ADU3" s="1148"/>
      <c r="ADV3" s="1148"/>
      <c r="ADW3" s="1148"/>
      <c r="ADX3" s="1148"/>
      <c r="ADY3" s="1148"/>
      <c r="ADZ3" s="1148"/>
      <c r="AEA3" s="1148"/>
      <c r="AEB3" s="1148"/>
      <c r="AEC3" s="1148"/>
      <c r="AED3" s="1148"/>
      <c r="AEE3" s="1148"/>
      <c r="AEF3" s="1148"/>
      <c r="AEG3" s="1148"/>
      <c r="AEH3" s="1148"/>
      <c r="AEI3" s="1148"/>
      <c r="AEJ3" s="1148"/>
      <c r="AEK3" s="1148"/>
      <c r="AEL3" s="1148"/>
      <c r="AEM3" s="1148"/>
      <c r="AEN3" s="1148"/>
      <c r="AEO3" s="1148"/>
      <c r="AEP3" s="1148"/>
      <c r="AEQ3" s="1148"/>
      <c r="AER3" s="1148"/>
      <c r="AES3" s="1148"/>
      <c r="AET3" s="1148"/>
      <c r="AEU3" s="1148"/>
      <c r="AEV3" s="1148"/>
      <c r="AEW3" s="1148"/>
      <c r="AEX3" s="1148"/>
      <c r="AEY3" s="1148"/>
      <c r="AEZ3" s="1148"/>
      <c r="AFA3" s="1148"/>
      <c r="AFB3" s="1148"/>
      <c r="AFC3" s="1148"/>
      <c r="AFD3" s="1148"/>
      <c r="AFE3" s="1148"/>
      <c r="AFF3" s="1148"/>
      <c r="AFG3" s="1148"/>
      <c r="AFH3" s="1148"/>
      <c r="AFI3" s="1148"/>
      <c r="AFJ3" s="1148"/>
      <c r="AFK3" s="1148"/>
      <c r="AFL3" s="1148"/>
      <c r="AFM3" s="1148"/>
      <c r="AFN3" s="1148"/>
      <c r="AFO3" s="1148"/>
      <c r="AFP3" s="1148"/>
      <c r="AFQ3" s="1148"/>
      <c r="AFR3" s="1148"/>
      <c r="AFS3" s="1148"/>
      <c r="AFT3" s="1148"/>
      <c r="AFU3" s="1148"/>
      <c r="AFV3" s="1148"/>
      <c r="AFW3" s="1148"/>
      <c r="AFX3" s="1148"/>
      <c r="AFY3" s="1148"/>
      <c r="AFZ3" s="1148"/>
      <c r="AGA3" s="1148"/>
      <c r="AGB3" s="1148"/>
      <c r="AGC3" s="1148"/>
      <c r="AGD3" s="1148"/>
      <c r="AGE3" s="1148"/>
      <c r="AGF3" s="1148"/>
      <c r="AGG3" s="1148"/>
      <c r="AGH3" s="1148"/>
      <c r="AGI3" s="1148"/>
      <c r="AGJ3" s="1148"/>
      <c r="AGK3" s="1148"/>
      <c r="AGL3" s="1148"/>
      <c r="AGM3" s="1148"/>
      <c r="AGN3" s="1148"/>
      <c r="AGO3" s="1148"/>
      <c r="AGP3" s="1148"/>
      <c r="AGQ3" s="1148"/>
      <c r="AGR3" s="1148"/>
      <c r="AGS3" s="1148"/>
      <c r="AGT3" s="1148"/>
      <c r="AGU3" s="1148"/>
      <c r="AGV3" s="1148"/>
      <c r="AGW3" s="1148"/>
      <c r="AGX3" s="1148"/>
      <c r="AGY3" s="1148"/>
      <c r="AGZ3" s="1148"/>
      <c r="AHA3" s="1148"/>
      <c r="AHB3" s="1148"/>
      <c r="AHC3" s="1148"/>
      <c r="AHD3" s="1148"/>
      <c r="AHE3" s="1148"/>
      <c r="AHF3" s="1148"/>
      <c r="AHG3" s="1148"/>
      <c r="AHH3" s="1148"/>
      <c r="AHI3" s="1148"/>
      <c r="AHJ3" s="1148"/>
      <c r="AHK3" s="1148"/>
      <c r="AHL3" s="1148"/>
      <c r="AHM3" s="1148"/>
      <c r="AHN3" s="1148"/>
      <c r="AHO3" s="1148"/>
      <c r="AHP3" s="1148"/>
      <c r="AHQ3" s="1148"/>
      <c r="AHR3" s="1148"/>
      <c r="AHS3" s="1148"/>
      <c r="AHT3" s="1148"/>
      <c r="AHU3" s="1148"/>
      <c r="AHV3" s="1148"/>
      <c r="AHW3" s="1148"/>
      <c r="AHX3" s="1148"/>
      <c r="AHY3" s="1148"/>
      <c r="AHZ3" s="1148"/>
      <c r="AIA3" s="1148"/>
      <c r="AIB3" s="1148"/>
      <c r="AIC3" s="1148"/>
      <c r="AID3" s="1148"/>
      <c r="AIE3" s="1148"/>
      <c r="AIF3" s="1148"/>
      <c r="AIG3" s="1148"/>
      <c r="AIH3" s="1148"/>
      <c r="AII3" s="1148"/>
      <c r="AIJ3" s="1148"/>
      <c r="AIK3" s="1148"/>
      <c r="AIL3" s="1148"/>
      <c r="AIM3" s="1148"/>
      <c r="AIN3" s="1148"/>
      <c r="AIO3" s="1148"/>
      <c r="AIP3" s="1148"/>
      <c r="AIQ3" s="1148"/>
      <c r="AIR3" s="1148"/>
      <c r="AIS3" s="1148"/>
      <c r="AIT3" s="1148"/>
      <c r="AIU3" s="1148"/>
      <c r="AIV3" s="1148"/>
      <c r="AIW3" s="1148"/>
      <c r="AIX3" s="1148"/>
      <c r="AIY3" s="1148"/>
      <c r="AIZ3" s="1148"/>
      <c r="AJA3" s="1148"/>
      <c r="AJB3" s="1148"/>
      <c r="AJC3" s="1148"/>
      <c r="AJD3" s="1148"/>
      <c r="AJE3" s="1148"/>
      <c r="AJF3" s="1148"/>
      <c r="AJG3" s="1148"/>
      <c r="AJH3" s="1148"/>
      <c r="AJI3" s="1148"/>
      <c r="AJJ3" s="1148"/>
      <c r="AJK3" s="1148"/>
      <c r="AJL3" s="1148"/>
      <c r="AJM3" s="1148"/>
      <c r="AJN3" s="1148"/>
      <c r="AJO3" s="1148"/>
      <c r="AJP3" s="1148"/>
      <c r="AJQ3" s="1148"/>
      <c r="AJR3" s="1148"/>
      <c r="AJS3" s="1148"/>
      <c r="AJT3" s="1148"/>
      <c r="AJU3" s="1148"/>
      <c r="AJV3" s="1148"/>
      <c r="AJW3" s="1148"/>
      <c r="AJX3" s="1148"/>
      <c r="AJY3" s="1148"/>
      <c r="AJZ3" s="1148"/>
      <c r="AKA3" s="1148"/>
      <c r="AKB3" s="1148"/>
      <c r="AKC3" s="1148"/>
      <c r="AKD3" s="1148"/>
      <c r="AKE3" s="1148"/>
      <c r="AKF3" s="1148"/>
      <c r="AKG3" s="1148"/>
      <c r="AKH3" s="1148"/>
      <c r="AKI3" s="1148"/>
      <c r="AKJ3" s="1148"/>
      <c r="AKK3" s="1148"/>
      <c r="AKL3" s="1148"/>
      <c r="AKM3" s="1148"/>
      <c r="AKN3" s="1148"/>
      <c r="AKO3" s="1148"/>
      <c r="AKP3" s="1148"/>
      <c r="AKQ3" s="1148"/>
      <c r="AKR3" s="1148"/>
      <c r="AKS3" s="1148"/>
      <c r="AKT3" s="1148"/>
      <c r="AKU3" s="1148"/>
      <c r="AKV3" s="1148"/>
      <c r="AKW3" s="1148"/>
      <c r="AKX3" s="1148"/>
      <c r="AKY3" s="1148"/>
      <c r="AKZ3" s="1148"/>
      <c r="ALA3" s="1148"/>
      <c r="ALB3" s="1148"/>
      <c r="ALC3" s="1148"/>
      <c r="ALD3" s="1148"/>
      <c r="ALE3" s="1148"/>
      <c r="ALF3" s="1148"/>
      <c r="ALG3" s="1148"/>
      <c r="ALH3" s="1148"/>
      <c r="ALI3" s="1148"/>
      <c r="ALJ3" s="1148"/>
      <c r="ALK3" s="1148"/>
      <c r="ALL3" s="1148"/>
      <c r="ALM3" s="1148"/>
      <c r="ALN3" s="1148"/>
      <c r="ALO3" s="1148"/>
      <c r="ALP3" s="1148"/>
      <c r="ALQ3" s="1148"/>
      <c r="ALR3" s="1148"/>
      <c r="ALS3" s="1148"/>
      <c r="ALT3" s="1148"/>
      <c r="ALU3" s="1148"/>
      <c r="ALV3" s="1148"/>
      <c r="ALW3" s="1148"/>
      <c r="ALX3" s="1148"/>
      <c r="ALY3" s="1148"/>
      <c r="ALZ3" s="1148"/>
      <c r="AMA3" s="1148"/>
      <c r="AMB3" s="1148"/>
      <c r="AMC3" s="1148"/>
      <c r="AMD3" s="1148"/>
      <c r="AME3" s="1148"/>
      <c r="AMF3" s="1148"/>
      <c r="AMG3" s="1148"/>
      <c r="AMH3" s="1148"/>
      <c r="AMI3" s="1148"/>
      <c r="AMJ3" s="1148"/>
      <c r="AMK3" s="1148"/>
      <c r="AML3" s="1148"/>
      <c r="AMM3" s="1148"/>
      <c r="AMN3" s="1148"/>
      <c r="AMO3" s="1148"/>
      <c r="AMP3" s="1148"/>
      <c r="AMQ3" s="1148"/>
      <c r="AMR3" s="1148"/>
      <c r="AMS3" s="1148"/>
      <c r="AMT3" s="1148"/>
      <c r="AMU3" s="1148"/>
      <c r="AMV3" s="1148"/>
      <c r="AMW3" s="1148"/>
      <c r="AMX3" s="1148"/>
      <c r="AMY3" s="1148"/>
      <c r="AMZ3" s="1148"/>
      <c r="ANA3" s="1148"/>
      <c r="ANB3" s="1148"/>
      <c r="ANC3" s="1148"/>
      <c r="AND3" s="1148"/>
      <c r="ANE3" s="1148"/>
      <c r="ANF3" s="1148"/>
      <c r="ANG3" s="1148"/>
      <c r="ANH3" s="1148"/>
      <c r="ANI3" s="1148"/>
      <c r="ANJ3" s="1148"/>
      <c r="ANK3" s="1148"/>
      <c r="ANL3" s="1148"/>
      <c r="ANM3" s="1148"/>
      <c r="ANN3" s="1148"/>
      <c r="ANO3" s="1148"/>
      <c r="ANP3" s="1148"/>
      <c r="ANQ3" s="1148"/>
      <c r="ANR3" s="1148"/>
      <c r="ANS3" s="1148"/>
      <c r="ANT3" s="1148"/>
      <c r="ANU3" s="1148"/>
      <c r="ANV3" s="1148"/>
      <c r="ANW3" s="1148"/>
      <c r="ANX3" s="1148"/>
      <c r="ANY3" s="1148"/>
      <c r="ANZ3" s="1148"/>
      <c r="AOA3" s="1148"/>
      <c r="AOB3" s="1148"/>
      <c r="AOC3" s="1148"/>
      <c r="AOD3" s="1148"/>
      <c r="AOE3" s="1148"/>
      <c r="AOF3" s="1148"/>
      <c r="AOG3" s="1148"/>
      <c r="AOH3" s="1148"/>
      <c r="AOI3" s="1148"/>
      <c r="AOJ3" s="1148"/>
      <c r="AOK3" s="1148"/>
      <c r="AOL3" s="1148"/>
      <c r="AOM3" s="1148"/>
      <c r="AON3" s="1148"/>
      <c r="AOO3" s="1148"/>
      <c r="AOP3" s="1148"/>
      <c r="AOQ3" s="1148"/>
      <c r="AOR3" s="1148"/>
      <c r="AOS3" s="1148"/>
      <c r="AOT3" s="1148"/>
      <c r="AOU3" s="1148"/>
      <c r="AOV3" s="1148"/>
      <c r="AOW3" s="1148"/>
      <c r="AOX3" s="1148"/>
      <c r="AOY3" s="1148"/>
      <c r="AOZ3" s="1148"/>
      <c r="APA3" s="1148"/>
      <c r="APB3" s="1148"/>
      <c r="APC3" s="1148"/>
      <c r="APD3" s="1148"/>
      <c r="APE3" s="1148"/>
      <c r="APF3" s="1148"/>
      <c r="APG3" s="1148"/>
      <c r="APH3" s="1148"/>
      <c r="API3" s="1148"/>
      <c r="APJ3" s="1148"/>
      <c r="APK3" s="1148"/>
      <c r="APL3" s="1148"/>
    </row>
    <row r="4" spans="1:1104" ht="19.5" customHeight="1" thickBot="1">
      <c r="I4" s="427"/>
      <c r="J4" s="1167"/>
      <c r="K4" s="32"/>
      <c r="L4" s="32"/>
      <c r="M4" s="32"/>
      <c r="N4" s="32"/>
      <c r="O4" s="1185"/>
      <c r="P4" s="32"/>
      <c r="Q4" s="127"/>
      <c r="R4" s="127"/>
      <c r="S4" s="568"/>
      <c r="T4" s="568"/>
      <c r="U4" s="568"/>
      <c r="V4" s="127"/>
      <c r="W4" s="127"/>
      <c r="X4" s="127"/>
      <c r="Y4" s="127"/>
      <c r="Z4" s="127"/>
      <c r="AA4" s="127"/>
      <c r="AB4" s="471"/>
      <c r="AC4" s="482"/>
      <c r="AD4" s="446"/>
      <c r="AE4" s="482"/>
      <c r="AF4" s="446"/>
      <c r="AG4" s="446"/>
      <c r="AH4" s="127"/>
      <c r="AI4" s="127"/>
      <c r="AJ4" s="446"/>
      <c r="AK4" s="446"/>
      <c r="AL4" s="446"/>
      <c r="AM4" s="446"/>
      <c r="AN4" s="446"/>
      <c r="AO4" s="446"/>
      <c r="AP4" s="446"/>
      <c r="AQ4" s="446"/>
      <c r="AR4" s="446"/>
      <c r="AS4" s="446"/>
      <c r="AT4" s="446"/>
      <c r="AU4" s="487"/>
      <c r="AV4" s="446"/>
      <c r="AW4" s="482"/>
      <c r="AX4" s="127"/>
      <c r="AY4" s="127"/>
      <c r="AZ4" s="127"/>
      <c r="BA4" s="127"/>
      <c r="BB4" s="757"/>
      <c r="BC4" s="757"/>
      <c r="BD4" s="127"/>
      <c r="BE4" s="127"/>
      <c r="BF4" s="127"/>
      <c r="BG4" s="127"/>
      <c r="BH4" s="127"/>
      <c r="BI4" s="127"/>
      <c r="BJ4" s="127"/>
      <c r="BK4" s="127"/>
      <c r="BL4" s="127"/>
      <c r="BM4" s="127"/>
      <c r="BN4" s="127"/>
      <c r="BQ4" s="12">
        <f ca="1">COUNTIF(庫存管理[幣別],"USD")</f>
        <v>4</v>
      </c>
      <c r="CG4" s="127"/>
      <c r="CH4" s="563"/>
      <c r="CW4" s="423" t="s">
        <v>2296</v>
      </c>
      <c r="DQ4" s="12">
        <f ca="1">MONTH(DQ5)</f>
        <v>8</v>
      </c>
      <c r="DR4" s="12">
        <f t="shared" ref="DR4:EB4" ca="1" si="0">MONTH(DR5)</f>
        <v>9</v>
      </c>
      <c r="DS4" s="12">
        <f t="shared" ca="1" si="0"/>
        <v>10</v>
      </c>
      <c r="DT4" s="12">
        <f t="shared" ca="1" si="0"/>
        <v>11</v>
      </c>
      <c r="DU4" s="12">
        <f t="shared" ca="1" si="0"/>
        <v>12</v>
      </c>
      <c r="DV4" s="12">
        <f t="shared" ca="1" si="0"/>
        <v>1</v>
      </c>
      <c r="DW4" s="12">
        <f t="shared" ca="1" si="0"/>
        <v>2</v>
      </c>
      <c r="DX4" s="12">
        <f t="shared" ca="1" si="0"/>
        <v>3</v>
      </c>
      <c r="DY4" s="12">
        <f t="shared" ca="1" si="0"/>
        <v>4</v>
      </c>
      <c r="DZ4" s="12">
        <f t="shared" ca="1" si="0"/>
        <v>5</v>
      </c>
      <c r="EA4" s="12">
        <f t="shared" ca="1" si="0"/>
        <v>6</v>
      </c>
      <c r="EB4" s="12">
        <f t="shared" ca="1" si="0"/>
        <v>7</v>
      </c>
    </row>
    <row r="5" spans="1:1104" s="424" customFormat="1" ht="19.5" customHeight="1">
      <c r="A5" s="460"/>
      <c r="B5" s="460"/>
      <c r="C5" s="460"/>
      <c r="D5" s="460"/>
      <c r="E5" s="460"/>
      <c r="F5" s="460"/>
      <c r="G5" s="460"/>
      <c r="H5" s="1149"/>
      <c r="I5" s="422"/>
      <c r="J5" s="422"/>
      <c r="K5" s="422"/>
      <c r="L5" s="422"/>
      <c r="M5" s="422"/>
      <c r="N5" s="422"/>
      <c r="O5" s="422"/>
      <c r="P5" s="422"/>
      <c r="Q5" s="423"/>
      <c r="R5" s="423"/>
      <c r="S5" s="569"/>
      <c r="T5" s="569"/>
      <c r="U5" s="569"/>
      <c r="V5" s="423"/>
      <c r="W5" s="423"/>
      <c r="X5" s="423"/>
      <c r="Y5" s="423"/>
      <c r="Z5" s="423"/>
      <c r="AA5" s="423"/>
      <c r="AB5" s="472"/>
      <c r="AC5" s="483"/>
      <c r="AD5" s="447"/>
      <c r="AE5" s="483"/>
      <c r="AF5" s="447"/>
      <c r="AG5" s="447"/>
      <c r="AH5" s="423" t="s">
        <v>2290</v>
      </c>
      <c r="AI5" s="423"/>
      <c r="AJ5" s="447"/>
      <c r="AK5" s="469" t="s">
        <v>2401</v>
      </c>
      <c r="AL5" s="794"/>
      <c r="AM5" s="470"/>
      <c r="AN5" s="468" t="s">
        <v>1983</v>
      </c>
      <c r="AO5" s="1058" t="s">
        <v>3793</v>
      </c>
      <c r="AP5" s="1076" t="s">
        <v>3804</v>
      </c>
      <c r="AQ5" s="1061"/>
      <c r="AR5" s="1061"/>
      <c r="AS5" s="1080"/>
      <c r="AT5" s="1078"/>
      <c r="AU5" s="488"/>
      <c r="AV5" s="447"/>
      <c r="AW5" s="483"/>
      <c r="AX5" s="423"/>
      <c r="AY5" s="423"/>
      <c r="AZ5" s="423"/>
      <c r="BA5" s="423"/>
      <c r="BB5" s="747" t="s">
        <v>2293</v>
      </c>
      <c r="BC5" s="747"/>
      <c r="BD5" s="423" t="s">
        <v>1961</v>
      </c>
      <c r="BE5" s="423"/>
      <c r="BF5" s="423"/>
      <c r="BG5" s="423"/>
      <c r="BH5" s="423"/>
      <c r="BI5" s="423"/>
      <c r="BJ5" s="423" t="s">
        <v>1964</v>
      </c>
      <c r="BK5" s="423"/>
      <c r="BL5" s="423"/>
      <c r="BM5" s="423"/>
      <c r="BN5" s="423"/>
      <c r="BO5" s="480"/>
      <c r="BP5" s="480"/>
      <c r="BQ5" s="423" t="s">
        <v>2014</v>
      </c>
      <c r="BR5" s="423">
        <f ca="1">IF(S7=TRUE,BR8,"")</f>
        <v>1</v>
      </c>
      <c r="BS5" s="423"/>
      <c r="BT5" s="423"/>
      <c r="BU5" s="1547"/>
      <c r="BV5" s="1547"/>
      <c r="BW5" s="1547"/>
      <c r="BX5" s="1547"/>
      <c r="BY5" s="1547"/>
      <c r="BZ5" s="1547"/>
      <c r="CA5" s="1547"/>
      <c r="CB5" s="1547"/>
      <c r="CC5" s="423"/>
      <c r="CD5" s="423"/>
      <c r="CE5" s="423"/>
      <c r="CF5" s="423"/>
      <c r="CG5" s="423"/>
      <c r="CH5" s="564"/>
      <c r="CI5" s="423"/>
      <c r="CJ5" s="423"/>
      <c r="CK5" s="747"/>
      <c r="CL5" s="747" t="s">
        <v>4204</v>
      </c>
      <c r="CM5" s="423" t="s">
        <v>2295</v>
      </c>
      <c r="CN5" s="423"/>
      <c r="CO5" s="423"/>
      <c r="CP5" s="423"/>
      <c r="CQ5" s="747"/>
      <c r="CR5" s="423"/>
      <c r="CS5" s="423"/>
      <c r="CT5" s="747"/>
      <c r="CU5" s="423"/>
      <c r="CV5" s="423"/>
      <c r="CW5" s="2246" t="s">
        <v>2137</v>
      </c>
      <c r="CX5" s="2246"/>
      <c r="CY5" s="2246"/>
      <c r="CZ5" s="2246" t="s">
        <v>3795</v>
      </c>
      <c r="DA5" s="2246"/>
      <c r="DB5" s="2246" t="s">
        <v>3798</v>
      </c>
      <c r="DC5" s="2246"/>
      <c r="DD5" s="2246"/>
      <c r="DE5" s="2245" t="s">
        <v>3810</v>
      </c>
      <c r="DF5" s="2245"/>
      <c r="DG5" s="2245"/>
      <c r="DH5" s="2245"/>
      <c r="DI5" s="2245"/>
      <c r="DJ5" s="2245"/>
      <c r="DK5" s="2245"/>
      <c r="DL5" s="423"/>
      <c r="DM5" s="423"/>
      <c r="DN5" s="423"/>
      <c r="DO5" s="423"/>
      <c r="DP5" s="423"/>
      <c r="DQ5" s="1297">
        <f ca="1">'Tssco-bond portfolio'!AK6</f>
        <v>45505</v>
      </c>
      <c r="DR5" s="1297">
        <f ca="1">'Tssco-bond portfolio'!AL6</f>
        <v>45536</v>
      </c>
      <c r="DS5" s="1297">
        <f ca="1">'Tssco-bond portfolio'!AM6</f>
        <v>45566</v>
      </c>
      <c r="DT5" s="1297">
        <f ca="1">'Tssco-bond portfolio'!AN6</f>
        <v>45597</v>
      </c>
      <c r="DU5" s="1297">
        <f ca="1">'Tssco-bond portfolio'!AO6</f>
        <v>45627</v>
      </c>
      <c r="DV5" s="1297">
        <f ca="1">'Tssco-bond portfolio'!AP6</f>
        <v>45658</v>
      </c>
      <c r="DW5" s="1297">
        <f ca="1">'Tssco-bond portfolio'!AQ6</f>
        <v>45689</v>
      </c>
      <c r="DX5" s="1297">
        <f ca="1">'Tssco-bond portfolio'!AR6</f>
        <v>45717</v>
      </c>
      <c r="DY5" s="1297">
        <f ca="1">'Tssco-bond portfolio'!AS6</f>
        <v>45748</v>
      </c>
      <c r="DZ5" s="1297">
        <f ca="1">'Tssco-bond portfolio'!AT6</f>
        <v>45778</v>
      </c>
      <c r="EA5" s="1297">
        <f ca="1">'Tssco-bond portfolio'!AU6</f>
        <v>45809</v>
      </c>
      <c r="EB5" s="1297">
        <f ca="1">'Tssco-bond portfolio'!AV6</f>
        <v>45839</v>
      </c>
      <c r="EC5" s="423"/>
      <c r="ED5" s="423"/>
      <c r="EE5" s="423"/>
      <c r="EF5" s="423"/>
      <c r="EG5" s="423"/>
      <c r="EH5" s="423"/>
      <c r="EI5" s="423"/>
      <c r="EJ5" s="423"/>
      <c r="EK5" s="423"/>
      <c r="EL5" s="423"/>
      <c r="EM5" s="423"/>
      <c r="EN5" s="423"/>
      <c r="EO5" s="423"/>
      <c r="EP5" s="423"/>
      <c r="EQ5" s="423"/>
      <c r="ER5" s="423"/>
      <c r="ES5" s="423"/>
      <c r="ET5" s="423"/>
      <c r="EU5" s="423"/>
      <c r="EV5" s="423"/>
      <c r="EW5" s="423"/>
      <c r="EX5" s="423"/>
      <c r="EY5" s="423"/>
      <c r="EZ5" s="423"/>
      <c r="FA5" s="423"/>
      <c r="FB5" s="423"/>
      <c r="FC5" s="423"/>
      <c r="FD5" s="423"/>
      <c r="FE5" s="423"/>
      <c r="FF5" s="423"/>
      <c r="FG5" s="423"/>
      <c r="FH5" s="423"/>
      <c r="FI5" s="423"/>
      <c r="FJ5" s="423"/>
      <c r="FK5" s="423"/>
      <c r="FL5" s="423"/>
      <c r="FM5" s="423"/>
      <c r="FN5" s="423"/>
      <c r="FO5" s="423"/>
      <c r="FP5" s="423"/>
      <c r="FQ5" s="423"/>
      <c r="FR5" s="423"/>
      <c r="FS5" s="423"/>
      <c r="FT5" s="423"/>
      <c r="FU5" s="423"/>
      <c r="FV5" s="423"/>
      <c r="FW5" s="423"/>
      <c r="FX5" s="423"/>
      <c r="FY5" s="423"/>
      <c r="FZ5" s="423"/>
      <c r="GA5" s="423"/>
      <c r="GB5" s="423"/>
      <c r="GC5" s="423"/>
      <c r="GD5" s="423"/>
      <c r="GE5" s="423"/>
      <c r="GF5" s="423"/>
      <c r="GG5" s="423"/>
      <c r="GH5" s="423"/>
      <c r="GI5" s="423"/>
      <c r="GJ5" s="423"/>
      <c r="GK5" s="423"/>
      <c r="GL5" s="423"/>
      <c r="GM5" s="423"/>
      <c r="GN5" s="423"/>
      <c r="GO5" s="423"/>
      <c r="GP5" s="423"/>
      <c r="GQ5" s="423"/>
      <c r="GR5" s="423"/>
      <c r="GS5" s="423"/>
      <c r="GT5" s="423"/>
      <c r="GU5" s="423"/>
      <c r="GV5" s="423"/>
      <c r="GW5" s="423"/>
      <c r="GX5" s="423"/>
      <c r="GY5" s="423"/>
      <c r="GZ5" s="423"/>
      <c r="HA5" s="423"/>
      <c r="HB5" s="423"/>
      <c r="HC5" s="423"/>
      <c r="HD5" s="423"/>
      <c r="HE5" s="423"/>
      <c r="HF5" s="423"/>
      <c r="HG5" s="423"/>
      <c r="HH5" s="423"/>
      <c r="HI5" s="423"/>
      <c r="HJ5" s="423"/>
      <c r="HK5" s="423"/>
      <c r="HL5" s="423"/>
      <c r="HM5" s="423"/>
      <c r="HN5" s="423"/>
      <c r="HO5" s="423"/>
      <c r="HP5" s="423"/>
      <c r="HQ5" s="423"/>
      <c r="HR5" s="423"/>
      <c r="HS5" s="423"/>
      <c r="HT5" s="423"/>
      <c r="HU5" s="423"/>
    </row>
    <row r="6" spans="1:1104" s="452" customFormat="1" ht="19.5" customHeight="1" thickBot="1">
      <c r="A6" s="461"/>
      <c r="B6" s="611" t="s">
        <v>1949</v>
      </c>
      <c r="C6" s="611" t="s">
        <v>1950</v>
      </c>
      <c r="D6" s="461"/>
      <c r="E6" s="461"/>
      <c r="F6" s="460"/>
      <c r="G6" s="461"/>
      <c r="H6" s="454" t="s">
        <v>4078</v>
      </c>
      <c r="I6" s="452" t="s">
        <v>17</v>
      </c>
      <c r="J6" s="452" t="s">
        <v>1985</v>
      </c>
      <c r="K6" s="452" t="s">
        <v>2141</v>
      </c>
      <c r="L6" s="452" t="s">
        <v>24</v>
      </c>
      <c r="M6" s="452" t="s">
        <v>20</v>
      </c>
      <c r="N6" s="452" t="s">
        <v>23</v>
      </c>
      <c r="O6" s="452" t="s">
        <v>18</v>
      </c>
      <c r="P6" s="452" t="s">
        <v>2105</v>
      </c>
      <c r="Q6" s="452" t="s">
        <v>19</v>
      </c>
      <c r="R6" s="450" t="s">
        <v>10</v>
      </c>
      <c r="S6" s="450" t="s">
        <v>2101</v>
      </c>
      <c r="T6" s="456" t="s">
        <v>3821</v>
      </c>
      <c r="U6" s="456" t="s">
        <v>3822</v>
      </c>
      <c r="V6" s="456" t="s">
        <v>2153</v>
      </c>
      <c r="W6" s="457" t="s">
        <v>1954</v>
      </c>
      <c r="X6" s="457" t="s">
        <v>1956</v>
      </c>
      <c r="Y6" s="450" t="s">
        <v>1966</v>
      </c>
      <c r="Z6" s="450" t="s">
        <v>2143</v>
      </c>
      <c r="AA6" s="450" t="s">
        <v>2142</v>
      </c>
      <c r="AB6" s="473" t="s">
        <v>1978</v>
      </c>
      <c r="AC6" s="484" t="s">
        <v>1987</v>
      </c>
      <c r="AD6" s="617" t="s">
        <v>2162</v>
      </c>
      <c r="AE6" s="484" t="s">
        <v>2145</v>
      </c>
      <c r="AF6" s="452" t="s">
        <v>30</v>
      </c>
      <c r="AG6" s="452" t="s">
        <v>1940</v>
      </c>
      <c r="AH6" s="454" t="s">
        <v>2294</v>
      </c>
      <c r="AI6" s="452" t="s">
        <v>1952</v>
      </c>
      <c r="AJ6" s="452" t="s">
        <v>2165</v>
      </c>
      <c r="AK6" s="452" t="s">
        <v>3814</v>
      </c>
      <c r="AL6" s="452" t="s">
        <v>2406</v>
      </c>
      <c r="AM6" s="612" t="s">
        <v>117</v>
      </c>
      <c r="AN6" s="450" t="s">
        <v>32</v>
      </c>
      <c r="AO6" s="1059" t="s">
        <v>3794</v>
      </c>
      <c r="AP6" s="1062" t="s">
        <v>3805</v>
      </c>
      <c r="AQ6" s="1062" t="s">
        <v>3806</v>
      </c>
      <c r="AR6" s="1062" t="s">
        <v>3807</v>
      </c>
      <c r="AS6" s="1077" t="s">
        <v>3815</v>
      </c>
      <c r="AT6" s="1079" t="s">
        <v>1955</v>
      </c>
      <c r="AU6" s="736" t="s">
        <v>2111</v>
      </c>
      <c r="AV6" s="738" t="s">
        <v>1988</v>
      </c>
      <c r="AW6" s="486" t="s">
        <v>2112</v>
      </c>
      <c r="AX6" s="705" t="s">
        <v>1957</v>
      </c>
      <c r="AY6" s="705" t="s">
        <v>1958</v>
      </c>
      <c r="AZ6" s="705" t="s">
        <v>1959</v>
      </c>
      <c r="BA6" s="705" t="s">
        <v>1960</v>
      </c>
      <c r="BB6" s="759" t="s">
        <v>2292</v>
      </c>
      <c r="BC6" s="759" t="s">
        <v>2291</v>
      </c>
      <c r="BD6" s="454" t="s">
        <v>2288</v>
      </c>
      <c r="BE6" s="454" t="s">
        <v>1969</v>
      </c>
      <c r="BF6" s="454" t="s">
        <v>1970</v>
      </c>
      <c r="BG6" s="454" t="s">
        <v>1971</v>
      </c>
      <c r="BH6" s="454" t="s">
        <v>1972</v>
      </c>
      <c r="BI6" s="454" t="s">
        <v>1963</v>
      </c>
      <c r="BJ6" s="454" t="s">
        <v>1973</v>
      </c>
      <c r="BK6" s="454" t="s">
        <v>1974</v>
      </c>
      <c r="BL6" s="454" t="s">
        <v>499</v>
      </c>
      <c r="BM6" s="454" t="s">
        <v>1976</v>
      </c>
      <c r="BN6" s="454" t="s">
        <v>1977</v>
      </c>
      <c r="BO6" s="451" t="s">
        <v>2118</v>
      </c>
      <c r="BP6" s="451" t="s">
        <v>2119</v>
      </c>
      <c r="BQ6" s="497" t="s">
        <v>6</v>
      </c>
      <c r="BR6" s="497" t="s">
        <v>2016</v>
      </c>
      <c r="BS6" s="497" t="s">
        <v>2106</v>
      </c>
      <c r="BT6" s="497" t="s">
        <v>2107</v>
      </c>
      <c r="BU6" s="1554" t="s">
        <v>2128</v>
      </c>
      <c r="BV6" s="1554" t="s">
        <v>2284</v>
      </c>
      <c r="BW6" s="1554" t="s">
        <v>2114</v>
      </c>
      <c r="BX6" s="1554" t="s">
        <v>2158</v>
      </c>
      <c r="BY6" s="1554" t="s">
        <v>2113</v>
      </c>
      <c r="BZ6" s="1554" t="s">
        <v>2129</v>
      </c>
      <c r="CA6" s="1554" t="s">
        <v>2130</v>
      </c>
      <c r="CB6" s="1554" t="s">
        <v>2131</v>
      </c>
      <c r="CC6" s="575" t="s">
        <v>1986</v>
      </c>
      <c r="CD6" s="575" t="s">
        <v>2017</v>
      </c>
      <c r="CE6" s="575" t="s">
        <v>2110</v>
      </c>
      <c r="CF6" s="575" t="s">
        <v>2127</v>
      </c>
      <c r="CG6" s="572" t="s">
        <v>1968</v>
      </c>
      <c r="CH6" s="573" t="s">
        <v>1967</v>
      </c>
      <c r="CI6" s="452" t="s">
        <v>2166</v>
      </c>
      <c r="CJ6" s="452" t="s">
        <v>2170</v>
      </c>
      <c r="CK6" s="748" t="s">
        <v>3808</v>
      </c>
      <c r="CL6" s="737" t="s">
        <v>2281</v>
      </c>
      <c r="CM6" s="737" t="s">
        <v>4203</v>
      </c>
      <c r="CN6" s="737" t="s">
        <v>2282</v>
      </c>
      <c r="CO6" s="737" t="s">
        <v>2283</v>
      </c>
      <c r="CP6" s="1318" t="s">
        <v>311</v>
      </c>
      <c r="CQ6" s="761" t="s">
        <v>2287</v>
      </c>
      <c r="CR6" s="756" t="s">
        <v>2289</v>
      </c>
      <c r="CS6" s="756" t="s">
        <v>2393</v>
      </c>
      <c r="CT6" s="761" t="s">
        <v>2398</v>
      </c>
      <c r="CU6" s="756" t="s">
        <v>3474</v>
      </c>
      <c r="CV6" s="756" t="s">
        <v>2138</v>
      </c>
      <c r="CW6" s="1060" t="s">
        <v>3802</v>
      </c>
      <c r="CX6" s="1060" t="s">
        <v>3803</v>
      </c>
      <c r="CY6" s="1060" t="s">
        <v>2297</v>
      </c>
      <c r="CZ6" s="1060" t="s">
        <v>3796</v>
      </c>
      <c r="DA6" s="1060" t="s">
        <v>3797</v>
      </c>
      <c r="DB6" s="1060" t="s">
        <v>3799</v>
      </c>
      <c r="DC6" s="1060" t="s">
        <v>3800</v>
      </c>
      <c r="DD6" s="1060" t="s">
        <v>3801</v>
      </c>
      <c r="DE6" s="1068" t="s">
        <v>3809</v>
      </c>
      <c r="DF6" s="1069" t="s">
        <v>2399</v>
      </c>
      <c r="DG6" s="1070" t="s">
        <v>2395</v>
      </c>
      <c r="DH6" s="1071" t="s">
        <v>2396</v>
      </c>
      <c r="DI6" s="1072" t="s">
        <v>3811</v>
      </c>
      <c r="DJ6" s="1073" t="s">
        <v>3813</v>
      </c>
      <c r="DK6" s="1074" t="s">
        <v>3812</v>
      </c>
      <c r="DL6" s="756" t="s">
        <v>4079</v>
      </c>
      <c r="DM6" s="756" t="s">
        <v>3720</v>
      </c>
      <c r="DN6" s="756" t="s">
        <v>4098</v>
      </c>
      <c r="DO6" s="756" t="s">
        <v>4102</v>
      </c>
      <c r="DP6" s="1295" t="s">
        <v>4184</v>
      </c>
      <c r="DQ6" s="1295" t="s">
        <v>4172</v>
      </c>
      <c r="DR6" s="1296" t="s">
        <v>4173</v>
      </c>
      <c r="DS6" s="1296" t="s">
        <v>4174</v>
      </c>
      <c r="DT6" s="1296" t="s">
        <v>4175</v>
      </c>
      <c r="DU6" s="1296" t="s">
        <v>4176</v>
      </c>
      <c r="DV6" s="1296" t="s">
        <v>4177</v>
      </c>
      <c r="DW6" s="1296" t="s">
        <v>4178</v>
      </c>
      <c r="DX6" s="1296" t="s">
        <v>4179</v>
      </c>
      <c r="DY6" s="1296" t="s">
        <v>4180</v>
      </c>
      <c r="DZ6" s="1296" t="s">
        <v>4181</v>
      </c>
      <c r="EA6" s="1296" t="s">
        <v>4182</v>
      </c>
      <c r="EB6" s="1296" t="s">
        <v>4183</v>
      </c>
      <c r="EC6" s="451"/>
      <c r="ED6" s="451"/>
      <c r="EE6" s="451"/>
      <c r="EF6" s="451"/>
      <c r="EG6" s="451"/>
      <c r="EH6" s="451"/>
      <c r="EI6" s="451"/>
      <c r="EJ6" s="451"/>
      <c r="EK6" s="451"/>
      <c r="EL6" s="451"/>
      <c r="EM6" s="451"/>
      <c r="EN6" s="451"/>
      <c r="EO6" s="451"/>
      <c r="EP6" s="451"/>
      <c r="EQ6" s="451"/>
      <c r="ER6" s="451"/>
      <c r="ES6" s="451"/>
      <c r="ET6" s="451"/>
      <c r="EU6" s="451"/>
      <c r="EV6" s="451"/>
      <c r="EW6" s="451"/>
      <c r="EX6" s="451"/>
      <c r="EY6" s="451"/>
      <c r="EZ6" s="451"/>
      <c r="FA6" s="451"/>
      <c r="FB6" s="451"/>
      <c r="FC6" s="451"/>
      <c r="FD6" s="451"/>
      <c r="FE6" s="451"/>
      <c r="FF6" s="451"/>
      <c r="FG6" s="451"/>
      <c r="FH6" s="451"/>
      <c r="FI6" s="451"/>
      <c r="FJ6" s="451"/>
      <c r="FK6" s="451"/>
      <c r="FL6" s="451"/>
      <c r="FM6" s="451"/>
      <c r="FN6" s="451"/>
      <c r="FO6" s="451"/>
      <c r="FP6" s="451"/>
      <c r="FQ6" s="451"/>
      <c r="FR6" s="451"/>
      <c r="FS6" s="451"/>
      <c r="FT6" s="451"/>
      <c r="FU6" s="451"/>
      <c r="FV6" s="451"/>
      <c r="FW6" s="451"/>
      <c r="FX6" s="451"/>
      <c r="FY6" s="451"/>
      <c r="FZ6" s="451"/>
      <c r="GA6" s="451"/>
      <c r="GB6" s="451"/>
      <c r="GC6" s="451"/>
      <c r="GD6" s="451"/>
      <c r="GE6" s="451"/>
      <c r="GF6" s="451"/>
      <c r="GG6" s="451"/>
      <c r="GH6" s="451"/>
      <c r="GI6" s="451"/>
      <c r="GJ6" s="451"/>
      <c r="GK6" s="451"/>
      <c r="GL6" s="451"/>
      <c r="GM6" s="451"/>
      <c r="GN6" s="451"/>
      <c r="GO6" s="451"/>
      <c r="GP6" s="451"/>
      <c r="GQ6" s="451"/>
      <c r="GR6" s="451"/>
      <c r="GS6" s="451"/>
      <c r="GT6" s="451"/>
      <c r="GU6" s="451"/>
      <c r="GV6" s="451"/>
      <c r="GW6" s="451"/>
      <c r="GX6" s="451"/>
      <c r="GY6" s="451"/>
      <c r="GZ6" s="451"/>
      <c r="HA6" s="451"/>
      <c r="HB6" s="451"/>
      <c r="HC6" s="451"/>
      <c r="HD6" s="451"/>
      <c r="HE6" s="451"/>
      <c r="HF6" s="451"/>
      <c r="HG6" s="451"/>
      <c r="HH6" s="451"/>
      <c r="HI6" s="451"/>
      <c r="HJ6" s="451"/>
      <c r="HK6" s="451"/>
      <c r="HL6" s="451"/>
      <c r="HM6" s="451"/>
      <c r="HN6" s="451"/>
      <c r="HO6" s="451"/>
      <c r="HP6" s="451"/>
      <c r="HQ6" s="451"/>
      <c r="HR6" s="451"/>
      <c r="HS6" s="451"/>
      <c r="HT6" s="451"/>
      <c r="HU6" s="451"/>
    </row>
    <row r="7" spans="1:1104" ht="19.5" customHeight="1">
      <c r="B7" s="613" t="s">
        <v>1943</v>
      </c>
      <c r="C7" s="613">
        <v>4</v>
      </c>
      <c r="F7" s="460"/>
      <c r="G7" s="459">
        <v>1</v>
      </c>
      <c r="H7" s="1166" t="b">
        <f ca="1">IFERROR(IF(VLOOKUP(G7,換券投組!$AH$8:$AH$13,1,FALSE)&gt;0,TRUE,FALSE),FALSE)</f>
        <v>0</v>
      </c>
      <c r="I7" s="1693" t="str">
        <f ca="1">IF(開關=TRUE,'商品代碼-中繼頁'!R2,"")</f>
        <v>XH430</v>
      </c>
      <c r="J7" s="429">
        <f ca="1">IFERROR(VLOOKUP(I7,bond!B:I,8,FALSE),0)</f>
        <v>96</v>
      </c>
      <c r="K7" s="429">
        <f ca="1">IFERROR(庫存管理[[#This Row],[買價]]+VLOOKUP(庫存管理[[#This Row],[商品代號]],bond!B:K,10,FALSE),0)</f>
        <v>96.700599999999994</v>
      </c>
      <c r="L7" s="430" t="str">
        <f ca="1">VLOOKUP(I7,'銀行-TSS'!B:E,4,FALSE)</f>
        <v>Aaa / AA+ / -</v>
      </c>
      <c r="M7" s="431">
        <f ca="1">IFERROR(VLOOKUP($I7,'銀行-TSS'!B:G,6,FALSE),0)</f>
        <v>28.85</v>
      </c>
      <c r="N7" s="432">
        <f ca="1">IFERROR(DATEVALUE(VLOOKUP($I7,'銀行-TSS'!B:F,5,FALSE)),VLOOKUP($I7,'銀行-TSS'!B:F,5,FALSE))</f>
        <v>56014</v>
      </c>
      <c r="O7" s="433">
        <f ca="1">IFERROR(VLOOKUP($I7,'銀行-TSS'!B:H,7,FALSE),0)</f>
        <v>4.8499999999999995E-2</v>
      </c>
      <c r="P7" s="433">
        <f ca="1">庫存管理[[#This Row],[票面利率]]/庫存管理[[#This Row],[成本價(不含前手息)]]*100</f>
        <v>4.9853010710688074E-2</v>
      </c>
      <c r="Q7" s="434">
        <f ca="1">IFERROR(VLOOKUP($I7,'銀行-TSS'!B:I,8,FALSE),"")</f>
        <v>2</v>
      </c>
      <c r="R7" s="440">
        <f ca="1">_xlfn.IFNA(IFERROR(DATEVALUE(VLOOKUP($I7,'銀行-TSS'!B:P,15,FALSE)),VLOOKUP($I7,'銀行-TSS'!B:P,15,FALSE)),"")</f>
        <v>45606</v>
      </c>
      <c r="S7" s="570" t="b">
        <f ca="1">IF(AND(庫存管理[[#This Row],[配息頻率]]&lt;&gt;"",庫存管理[[#This Row],[持有成本(不含前手息)]]&lt;&gt;0,庫存管理[[#This Row],[買進日]]&lt;&gt;""),TRUE,FALSE)</f>
        <v>1</v>
      </c>
      <c r="T7" s="602">
        <f>IFERROR(DATE(LEFT('商品代碼-中繼頁'!S2,4),MID('商品代碼-中繼頁'!S2,5,2),RIGHT('商品代碼-中繼頁'!S2,2)),"")</f>
        <v>45292</v>
      </c>
      <c r="U7" s="602">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45294</v>
      </c>
      <c r="V7" s="442">
        <f ca="1">IFERROR(WORKDAY(庫存管理[[#This Row],[買進日]],VLOOKUP(庫存管理[[#This Row],[商品代號]],'1_重設數據'!R:S,2,FALSE),休USD),庫存管理[[#This Row],[買進日(T+2/公債T+1)]])</f>
        <v>45294</v>
      </c>
      <c r="W7" s="43">
        <f>'商品代碼-中繼頁'!T2</f>
        <v>100000</v>
      </c>
      <c r="X7" s="43">
        <f>'商品代碼-中繼頁'!U2</f>
        <v>98000</v>
      </c>
      <c r="Y7" s="464">
        <f ca="1">IFERROR(ROUND(X7-AM7,2),0)</f>
        <v>97286</v>
      </c>
      <c r="Z7" s="464">
        <f ca="1">ROUND(K7*W7/100,2)</f>
        <v>96700.6</v>
      </c>
      <c r="AA7" s="465">
        <f ca="1">ROUND(J7*W7/100,2)</f>
        <v>96000</v>
      </c>
      <c r="AB7" s="474">
        <f ca="1">IF(MF=2,庫存管理[[#This Row],[部位現值(不含前手息)]]-庫存管理[[#This Row],[持有成本(不含前手息)]],庫存管理[[#This Row],[部位現值(含前手息)]]-庫存管理[[#This Row],[持有成本(含前手息)]])</f>
        <v>-1299.3999999999942</v>
      </c>
      <c r="AC7" s="462">
        <f ca="1">IF(庫存管理[[#This Row],[檢測]]=TRUE,IF(MF=2,IFERROR(庫存管理[[#This Row],[資本利損]]/庫存管理[[#This Row],[持有成本(不含前手息)]],0),IFERROR(庫存管理[[#This Row],[資本利損]]/庫存管理[[#This Row],[持有成本(含前手息)]],0)),0)</f>
        <v>-1.3259183673469328E-2</v>
      </c>
      <c r="AD7" s="618">
        <f ca="1">庫存管理[[#This Row],[持有成本(不含前手息)]]/庫存管理[[#This Row],[投入面額]]*100</f>
        <v>97.286000000000001</v>
      </c>
      <c r="AE7" s="462" t="str">
        <f ca="1">IFERROR(VLOOKUP(庫存管理[[#This Row],[商品代號]],bond!B:AA,26,FALSE),"")</f>
        <v>蘋果公司</v>
      </c>
      <c r="AF7" s="1" t="str">
        <f ca="1">IFERROR(VLOOKUP($I7,'銀行-TSS'!B:Q,16,FALSE),"")</f>
        <v>科技</v>
      </c>
      <c r="AG7" s="466">
        <f t="shared" ref="AG7:AG42" ca="1" si="1">IFERROR(O7*W7,0)</f>
        <v>4849.9999999999991</v>
      </c>
      <c r="AH7" s="458">
        <f ca="1">IF(OR(庫存管理[[#This Row],[起息日]]&gt;庫存管理[[#This Row],[買進前一配息日(複算)]],庫存管理[[#This Row],[判斷]]=TRUE),庫存管理[[#This Row],[起息日]],庫存管理[[#This Row],[買進前一配息日(複算)]])</f>
        <v>45240</v>
      </c>
      <c r="AI7" s="577" t="str">
        <f ca="1">VLOOKUP(I7,bond!B:AP,41,FALSE)</f>
        <v>30/360</v>
      </c>
      <c r="AJ7" s="578">
        <f t="shared" ref="AJ7:AJ18" ca="1" si="2">VLOOKUP(AI7,$B$7:$C$13,2,FALSE)</f>
        <v>0</v>
      </c>
      <c r="AK7" s="579">
        <f ca="1">IFERROR(IF(庫存管理[[#This Row],[買進日是否落入record date]]=1,庫存管理[[#This Row],[record date制度前手息]],庫存管理[[#This Row],[計算前手息(初算)]]),0)</f>
        <v>0.71399999999999997</v>
      </c>
      <c r="AL7" s="579">
        <f ca="1">IF(OR(庫存管理[[#This Row],[買進例外調整]]&lt;庫存管理[[#This Row],[起息日]],庫存管理[[#This Row],[買進例外調整]]&gt;庫存管理[[#This Row],[到期日]]),0,IF(庫存管理[[#This Row],[備註]]&lt;&gt;"",庫存管理[[#This Row],[買進時前手息]],IFERROR(ROUND(ACCRINT(AH7,AH7,V7,O7,100,Q7,AJ7,TRUE),4),0)))</f>
        <v>0.71399999999999997</v>
      </c>
      <c r="AM7" s="580">
        <f ca="1">ROUND(AK7*W7/100,2)</f>
        <v>714</v>
      </c>
      <c r="AN7" s="440">
        <f ca="1">IFERROR(DATEVALUE(VLOOKUP(I7,bond!B:I,7,FALSE)),VLOOKUP(I7,bond!B:I,7,FALSE))</f>
        <v>45475</v>
      </c>
      <c r="AO7" s="1064">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2.4116</v>
      </c>
      <c r="AP7" s="1075">
        <f ca="1">IFERROR(IF(庫存管理[[#This Row],[交割日是否落入record date]]=1,庫存管理[[#This Row],[交_record date制度前手息]],庫存管理[[#This Row],[計算交割前手息(初算)]]),0)</f>
        <v>0.7006</v>
      </c>
      <c r="AQ7" s="1064">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0.7006</v>
      </c>
      <c r="AR7" s="1063">
        <f ca="1">ROUND(庫存管理[[#This Row],[計算交割前手息(複算)]]*庫存管理[[#This Row],[投入面額]]/100,2)</f>
        <v>700.6</v>
      </c>
      <c r="AS7" s="1064">
        <f ca="1">IF(庫存管理[[#This Row],[配息頻率]]=0,0,(100*庫存管理[[#This Row],[票面利率]]/庫存管理[[#This Row],[配息頻率]])*庫存管理[[#This Row],[經過幾次配息]]+庫存管理[[#This Row],[計算交割前手息(複算)]]-庫存管理[[#This Row],[計算前手息(複算)]])</f>
        <v>2.4116</v>
      </c>
      <c r="AT7" s="581">
        <f ca="1">IF(庫存管理[[#This Row],[商品代號]]="XFM90",0,ROUND(AS7*W7/100,2))</f>
        <v>2411.6</v>
      </c>
      <c r="AU7" s="582">
        <f ca="1">IF(MF=2,IFERROR(庫存管理[[#This Row],[累計配息]]/庫存管理[[#This Row],[持有成本(不含前手息)]],0),IFERROR(庫存管理[[#This Row],[已實現配息(原幣)]]/庫存管理[[#This Row],[持有成本(含前手息)]],0))</f>
        <v>2.4744897959183668E-2</v>
      </c>
      <c r="AV7" s="583">
        <f ca="1">IF(MF=2,庫存管理[[#This Row],[資本利損]]+庫存管理[[#This Row],[累計配息]],庫存管理[[#This Row],[資本利損]]+庫存管理[[#This Row],[已實現配息(原幣)]])</f>
        <v>1125.6000000000054</v>
      </c>
      <c r="AW7" s="584">
        <f ca="1">IF(庫存管理[[#This Row],[檢測]]=TRUE,IF(MF=2,IFERROR(庫存管理[[#This Row],[合計收益]]/庫存管理[[#This Row],[持有成本(不含前手息)]],0),IFERROR(庫存管理[[#This Row],[合計收益]]/庫存管理[[#This Row],[持有成本(含前手息)]],0)),0)</f>
        <v>1.148571428571434E-2</v>
      </c>
      <c r="AX7" s="434">
        <f ca="1">IF(Q7=0,0,IF(MOD(MONTH(R7),12/Q7)=0,12/Q7,MOD(MONTH(R7),12/Q7)))</f>
        <v>5</v>
      </c>
      <c r="AY7" s="434">
        <f t="shared" ref="AY7:AY18" ca="1" si="3">IF(Q7&gt;=2,AX7+12/Q7,0)</f>
        <v>11</v>
      </c>
      <c r="AZ7" s="434">
        <f t="shared" ref="AZ7:AZ18" ca="1" si="4">IF(Q7=4,AY7+12/Q7,0)</f>
        <v>0</v>
      </c>
      <c r="BA7" s="434">
        <f t="shared" ref="BA7:BA18" ca="1" si="5">IF(Q7=4,AZ7+12/Q7,0)</f>
        <v>0</v>
      </c>
      <c r="BB7" s="441">
        <f ca="1">IF(AND(庫存管理[[#This Row],[名稱]]="美國國庫債券",DAY(庫存管理[[#This Row],[買進前一配息日(初算)]])&gt;=28),EOMONTH(庫存管理[[#This Row],[買進前一配息日(初算)]],0),庫存管理[[#This Row],[買進前一配息日(初算)]])</f>
        <v>45240</v>
      </c>
      <c r="BC7" s="441">
        <f t="shared" ref="BC7:BC18" ca="1" si="6">INDEX(BE7:BI7,1,MATCH(MIN(BJ7:BN7),BJ7:BN7,0))</f>
        <v>45240</v>
      </c>
      <c r="BD7" s="443">
        <f t="shared" ref="BD7:BD18" ca="1" si="7">YEAR(V7)</f>
        <v>2024</v>
      </c>
      <c r="BE7" s="441">
        <f ca="1">IF(Q7&gt;0,IF(MONTH(DATE(BD7,AX7,DAY(R7)))&lt;&gt;庫存管理[[#This Row],[第一個配息月]],DATE(BD7,AX7+1,0),DATE(BD7,AX7,DAY(R7))),庫存管理[[#This Row],[買進例外調整]]+100)</f>
        <v>45422</v>
      </c>
      <c r="BF7" s="441">
        <f ca="1">IF(AY7&lt;&gt;0,IF(MONTH(DATE(BD7,AY7,DAY(R7)))&lt;&gt;庫存管理[[#This Row],[第二個配息月]],DATE(BD7,AY7+1,0),DATE(BD7,AY7,DAY(R7))),庫存管理[[#This Row],[買進例外調整]]+100)</f>
        <v>45606</v>
      </c>
      <c r="BG7" s="441">
        <f ca="1">IF(AZ7&lt;&gt;0,IF(MONTH(DATE(BD7,AZ7,DAY(R7)))&lt;&gt;庫存管理[[#This Row],[第三個配息月]],DATE(BD7,AZ7+1,0),DATE(BD7,AZ7,DAY(R7))),庫存管理[[#This Row],[買進例外調整]]+100)</f>
        <v>45394</v>
      </c>
      <c r="BH7" s="441">
        <f ca="1">IF(BA7&lt;&gt;0,IF(MONTH(DATE(BD7,BA7,DAY(R7)))&lt;&gt;庫存管理[[#This Row],[第四個配息月]],DATE(BD7,BA7+1,0),DATE(BD7,BA7,DAY(R7))),庫存管理[[#This Row],[買進例外調整]]+100)</f>
        <v>45394</v>
      </c>
      <c r="BI7" s="441">
        <f ca="1">IF(Q7=1,IF(MONTH(DATE(BD7-1,AX7,DAY(R7)))&lt;&gt;庫存管理[[#This Row],[第一個配息月]],DATE(BD7-1,AX7+1,0),DATE(BD7-1,AX7,DAY(R7))),IF(Q7=2,IF(MONTH(DATE(BD7-1,AY7,DAY(R7)))&lt;&gt;庫存管理[[#This Row],[第二個配息月]],DATE(BD7-1,AY7+1,0),DATE(BD7-1,AY7,DAY(R7))),IF(Q7=4,IF(MONTH(DATE(BD7-1,BA7,DAY(R7)))&lt;&gt;庫存管理[[#This Row],[第四個配息月]],DATE(BD7-1,BA7+1,0),DATE(BD7-1,BA7,DAY(R7))),庫存管理[[#This Row],[買進例外調整]]+100)))</f>
        <v>45240</v>
      </c>
      <c r="BJ7" s="445">
        <f ca="1">IFERROR(DATEDIF(BE7,$V7,"d"),10000)</f>
        <v>10000</v>
      </c>
      <c r="BK7" s="445">
        <f ca="1">IFERROR(DATEDIF(BF7,$V7,"d"),10000)</f>
        <v>10000</v>
      </c>
      <c r="BL7" s="445">
        <f ca="1">IFERROR(DATEDIF(BG7,$V7,"d"),10000)</f>
        <v>10000</v>
      </c>
      <c r="BM7" s="445">
        <f t="shared" ref="BJ7:BN18" ca="1" si="8">IFERROR(DATEDIF(BH7,$V7,"d"),10000)</f>
        <v>10000</v>
      </c>
      <c r="BN7" s="455">
        <f t="shared" ca="1" si="8"/>
        <v>54</v>
      </c>
      <c r="BO7" s="479">
        <f ca="1">庫存管理[[#This Row],[年度配息]]/庫存管理[[#This Row],[配息頻率]]</f>
        <v>2424.9999999999995</v>
      </c>
      <c r="BP7" s="479">
        <f ca="1">庫存管理[[#This Row],[單次配息(原幣)]]*庫存管理[[#This Row],[換算匯率(現)]]</f>
        <v>78766.424999999988</v>
      </c>
      <c r="BQ7" s="479" t="str">
        <f ca="1">IF(庫存管理[[#This Row],[商品代號]]&lt;&gt;"",IFERROR(VLOOKUP($I7,'銀行-TSS'!B:C,2,FALSE),""),"")</f>
        <v>USD</v>
      </c>
      <c r="BR7" s="479">
        <f ca="1">VLOOKUP(庫存管理[[#This Row],[幣別]],$B$37:$C$43,2,FALSE)</f>
        <v>1</v>
      </c>
      <c r="BS7" s="500">
        <f ca="1">CHOOSE(庫存管理[[#This Row],[對應編碼]],$D$37,$D$38,$D$39,$D$40,$D$41,$D$42,$D$43)</f>
        <v>30</v>
      </c>
      <c r="BT7" s="500">
        <f ca="1">IF(庫存管理[[#This Row],[商品代號]]="",0,CHOOSE(庫存管理[[#This Row],[對應編碼]],$E$37,$E$38,$E$39,$E$40,$E$41,$E$42,$E$43))</f>
        <v>32.481000000000002</v>
      </c>
      <c r="BU7" s="1555">
        <f ca="1">IF(庫存管理[[#This Row],[檢測]]=TRUE,庫存管理[[#This Row],[投入面額]]*庫存管理[[#This Row],[換算匯率(現)]],0)</f>
        <v>3248100</v>
      </c>
      <c r="BV7" s="1555">
        <f ca="1">IF(庫存管理[[#This Row],[檢測]]=TRUE,IFERROR(庫存管理[[#This Row],[持有成本(含前手息)]]*庫存管理[[#This Row],[換算匯率(買)]],0),0)</f>
        <v>2940000</v>
      </c>
      <c r="BW7" s="1555">
        <f ca="1">IF(庫存管理[[#This Row],[檢測]]=TRUE,庫存管理[[#This Row],[持有成本(不含前手息)]]*庫存管理[[#This Row],[換算匯率(買)]],0)</f>
        <v>2918580</v>
      </c>
      <c r="BX7" s="1555">
        <f ca="1">IF(庫存管理[[#This Row],[檢測]]=TRUE,庫存管理[[#This Row],[部位現值(含前手息)]]*庫存管理[[#This Row],[換算匯率(現)]],0)</f>
        <v>3140932.1886000005</v>
      </c>
      <c r="BY7" s="1555">
        <f ca="1">IF(庫存管理[[#This Row],[檢測]]=TRUE,庫存管理[[#This Row],[部位現值(不含前手息)]]*庫存管理[[#This Row],[換算匯率(現)]],0)</f>
        <v>3118176</v>
      </c>
      <c r="BZ7" s="1555">
        <f ca="1">IF(庫存管理[[#This Row],[檢測]]=TRUE,IF(MF=2,庫存管理[[#This Row],[累計配息]]*庫存管理[[#This Row],[換算匯率(現)]],庫存管理[[#This Row],[已實現配息(原幣)]]*庫存管理[[#This Row],[換算匯率(現)]]),0)</f>
        <v>78766.424999999988</v>
      </c>
      <c r="CA7" s="1555">
        <f ca="1">庫存管理[[#This Row],[資本利損]]*庫存管理[[#This Row],[換算匯率(現)]]</f>
        <v>-42205.81139999981</v>
      </c>
      <c r="CB7" s="1555">
        <f ca="1">庫存管理[[#This Row],[累計利息(台)]]+庫存管理[[#This Row],[資本貢獻(台)]]</f>
        <v>36560.613600000179</v>
      </c>
      <c r="CC7" s="574">
        <f ca="1">IF(庫存管理[[#This Row],[檢測]]=TRUE,IFERROR(庫存管理[[#This Row],[配息報酬]],0),0)</f>
        <v>2.4744897959183668E-2</v>
      </c>
      <c r="CD7" s="574">
        <f ca="1">IF(庫存管理[[#This Row],[檢測]]=TRUE,庫存管理[[#This Row],[資本報酬]],0)</f>
        <v>-1.3259183673469328E-2</v>
      </c>
      <c r="CE7" s="574">
        <f ca="1">IF(S7=TRUE,IFERROR(庫存管理[[#This Row],[換匯總報酬率]]-(庫存管理[[#This Row],[配息報酬率]]+庫存管理[[#This Row],[資本報酬率]]),0),0)</f>
        <v>8.3649868571428629E-2</v>
      </c>
      <c r="CF7"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9.5135582857142964E-2</v>
      </c>
      <c r="CG7" s="585">
        <f ca="1">IF(AND(庫存管理[[#This Row],[檢測]]=TRUE,開關=TRUE),IF(MF=2,IFERROR(BW7/$BW$1,0),IFERROR(BV7/$BV$1,0)),0)</f>
        <v>0.29518072289156627</v>
      </c>
      <c r="CH7" s="574">
        <f ca="1">IF(庫存管理[[#This Row],[檢測]]=TRUE,IF(MF=2,IFERROR(BY7/$BY$1,0),IFERROR(BX7/$BX$1,0)),0)</f>
        <v>0.289971515797952</v>
      </c>
      <c r="CI7"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5.0274453752479784E-2</v>
      </c>
      <c r="CJ7" s="646">
        <f ca="1">DATEDIF(庫存管理[[#This Row],[買進例外調整]],庫存管理[[#This Row],[到期日]],"d")/365.25</f>
        <v>29.349760438056126</v>
      </c>
      <c r="CK7" s="734">
        <f ca="1">DATEVALUE(VLOOKUP(庫存管理[[#This Row],[商品代號]],bond!B:AF,31,FALSE))</f>
        <v>45422</v>
      </c>
      <c r="CL7" s="734">
        <f ca="1">IF(庫存管理[[#This Row],[買下配(國調)]]&lt;庫存管理[[#This Row],[第一票息日]],庫存管理[[#This Row],[第一票息日]],庫存管理[[#This Row],[買下配(國調)]])</f>
        <v>45422</v>
      </c>
      <c r="CM7" s="734">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45422</v>
      </c>
      <c r="CN7" s="735">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1</v>
      </c>
      <c r="CO7" s="735">
        <f ca="1">IF(庫存管理[[#This Row],[商品代號]]="XFM90",0,IFERROR(庫存管理[[#This Row],[單次配息(原幣)]]*庫存管理[[#This Row],[經過幾次配息]],0))</f>
        <v>2424.9999999999995</v>
      </c>
      <c r="CP7" s="735" t="str">
        <f ca="1">VLOOKUP(庫存管理[[#This Row],[商品代號]],bond!B:F,5,FALSE)</f>
        <v>US037833EW60</v>
      </c>
      <c r="CQ7" s="734">
        <f ca="1">IFERROR(VLOOKUP(庫存管理[[#This Row],[ISIN]],'7_發行日例外'!A:C,3,FALSE),IFERROR(DATEVALUE(VLOOKUP(庫存管理[[#This Row],[商品代號]],bond!B:AR,43,FALSE)),""))</f>
        <v>45056</v>
      </c>
      <c r="CR7" s="735">
        <f ca="1">DATEDIF(庫存管理[[#This Row],[起息日]],庫存管理[[#This Row],[買進前一配息日(複算)]],"d")</f>
        <v>184</v>
      </c>
      <c r="CS7"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7" s="734">
        <f ca="1">IFERROR(VLOOKUP(庫存管理[[#This Row],[ISIN]],'7_發行日例外'!A:D,4,FALSE),DATEVALUE(VLOOKUP(庫存管理[[#This Row],[商品代號]],bond!B:AV,44,FALSE)))</f>
        <v>45240</v>
      </c>
      <c r="CU7" s="735" t="str">
        <f ca="1">VLOOKUP(庫存管理[[#This Row],[商品代號]],bond!B:AU,46,FALSE)</f>
        <v>STREET CONVENTION</v>
      </c>
      <c r="CV7" s="735" t="str">
        <f ca="1">IF(庫存管理[[#This Row],[計息基礎]]=1,CHOOSE(庫存管理[[#This Row],[對應編碼]],"沒進位","","沒進位",IF(庫存管理[[#This Row],[計算類型]]="AUSTRALIA:EX-DIV","4捨五入進0.01%","沒進位"),"年/2去計算ACT","沒進位","沒進位"),"")</f>
        <v/>
      </c>
      <c r="CW7" s="735">
        <f ca="1">_xlfn.DAYS(庫存管理[[#This Row],[買進例外調整]],庫存管理[[#This Row],[買進前一個配息日(最終)]])</f>
        <v>54</v>
      </c>
      <c r="CX7" s="735">
        <f ca="1">IF(庫存管理[[#This Row],[備註]]="年/2去計算ACT",365/2,_xlfn.DAYS(庫存管理[[#This Row],[買進時的下個配息日]],庫存管理[[#This Row],[買進前一個配息日(最終)]]))</f>
        <v>182</v>
      </c>
      <c r="CY7" s="767">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0.71950000000000003</v>
      </c>
      <c r="CZ7" s="767">
        <f ca="1">_xlfn.DAYS(庫存管理[[#This Row],[交割日]],庫存管理[[#This Row],[買進前一個配息日(最終)]])</f>
        <v>235</v>
      </c>
      <c r="DA7" s="767">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3.1312000000000002</v>
      </c>
      <c r="DB7" s="767">
        <f ca="1">_xlfn.DAYS(庫存管理[[#This Row],[交割日]],庫存管理[[#This Row],[最近的上一票息日]])</f>
        <v>53</v>
      </c>
      <c r="DC7" s="767">
        <f ca="1">IF(庫存管理[[#This Row],[備註]]="年/2去計算ACT",365/2,_xlfn.DAYS(庫存管理[[#This Row],[下一配息日]],庫存管理[[#This Row],[最近的上一票息日]]))</f>
        <v>184</v>
      </c>
      <c r="DD7" s="767">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0.69850000000000001</v>
      </c>
      <c r="DE7" s="739">
        <f ca="1">CL7-庫存管理[[#This Row],[ex_div_days]]</f>
        <v>45422</v>
      </c>
      <c r="DF7" s="646">
        <f ca="1">IF(VLOOKUP(庫存管理[[#This Row],[商品代號]],bond!B:AT,45,FALSE)="#N/A Field Not Applicable",0,VLOOKUP(庫存管理[[#This Row],[商品代號]],bond!B:AT,45,FALSE))</f>
        <v>0</v>
      </c>
      <c r="DG7" s="793">
        <f ca="1">IF(庫存管理[[#This Row],[ex_div_days]]&lt;&gt;0,IF(AND(庫存管理[[#This Row],[買進例外調整]]-庫存管理[[#This Row],[買進下一個配息日先減n天]]&gt;=0,庫存管理[[#This Row],[買進時的下個配息日]]-庫存管理[[#This Row],[買進例外調整]]&gt;0),1,0),0)</f>
        <v>0</v>
      </c>
      <c r="DH7" s="784">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-1.7110000000000001</v>
      </c>
      <c r="DI7" s="734">
        <f ca="1">庫存管理[[#This Row],[下一配息日]]-庫存管理[[#This Row],[ex_div_days]]</f>
        <v>45606</v>
      </c>
      <c r="DJ7" s="1081">
        <f ca="1">IF(庫存管理[[#This Row],[ex_div_days]]&lt;&gt;0,IF(AND(庫存管理[[#This Row],[交割日]]-庫存管理[[#This Row],[交割下個配息日先減n天]]&gt;=0,庫存管理[[#This Row],[下一配息日]]-庫存管理[[#This Row],[交割日]]&gt;0),1,0),0)</f>
        <v>0</v>
      </c>
      <c r="DK7" s="1067">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-1.7243999999999999</v>
      </c>
      <c r="DL7" s="735">
        <f ca="1">IFERROR(VLOOKUP(庫存管理[[#This Row],[商品代號]],bond!B:X,21,FALSE),0)</f>
        <v>15.2515</v>
      </c>
      <c r="DM7" s="735">
        <f ca="1">IFERROR(VLOOKUP(I7,bond!B:J,9,FALSE),0)</f>
        <v>97.67</v>
      </c>
      <c r="DN7" s="1188">
        <f ca="1">IF(AND(開關=TRUE,庫存管理[[#This Row],[投組檢測]]=TRUE),IF(MF=2,IFERROR(BW7/$BW$3,0),IFERROR(BV7/$BV$3,0)),0)</f>
        <v>0</v>
      </c>
      <c r="DO7" s="735">
        <f ca="1">IFERROR(庫存管理[[#This Row],[clean申購價]]/100*庫存管理[[#This Row],[投入面額]]*庫存管理[[#This Row],[MOD]]*0.01,0)</f>
        <v>14896.140050000002</v>
      </c>
      <c r="DP7" s="1298">
        <f ca="1">IF($C$16=1,庫存管理[[#This Row],[單次配息(台幣)]],庫存管理[[#This Row],[單次配息(原幣)]])</f>
        <v>2424.9999999999995</v>
      </c>
      <c r="DQ7" s="1298" t="str">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
      </c>
      <c r="DR7" s="1298" t="str">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
      </c>
      <c r="DS7" s="1298" t="str">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
      </c>
      <c r="DT7" s="1298">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2424.9999999999995</v>
      </c>
      <c r="DU7" s="1298" t="str">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
      </c>
      <c r="DV7" s="1298" t="str">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
      </c>
      <c r="DW7" s="1298" t="str">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
      </c>
      <c r="DX7" s="1298" t="str">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
      </c>
      <c r="DY7" s="1298" t="str">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
      </c>
      <c r="DZ7" s="1298">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2424.9999999999995</v>
      </c>
      <c r="EA7" s="1298" t="str">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
      </c>
      <c r="EB7" s="1298" t="str">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
      </c>
      <c r="EC7" s="33"/>
      <c r="ED7" s="33"/>
      <c r="EE7" s="33"/>
      <c r="EF7" s="33"/>
      <c r="EG7" s="33"/>
      <c r="EH7" s="33"/>
      <c r="EI7" s="33"/>
      <c r="EJ7" s="33"/>
      <c r="EK7" s="33"/>
      <c r="EL7" s="33"/>
      <c r="EM7" s="33"/>
      <c r="EN7" s="33"/>
      <c r="EO7" s="33"/>
      <c r="EP7" s="33"/>
      <c r="EQ7" s="33"/>
      <c r="ER7" s="33"/>
      <c r="ES7" s="33"/>
      <c r="ET7" s="33"/>
      <c r="EU7" s="33"/>
      <c r="EV7" s="33"/>
      <c r="EW7" s="33"/>
      <c r="EX7" s="33"/>
      <c r="EY7" s="33"/>
      <c r="EZ7" s="33"/>
      <c r="FA7" s="33"/>
      <c r="FB7" s="33"/>
      <c r="FC7" s="33"/>
      <c r="FD7" s="33"/>
      <c r="FE7" s="33"/>
      <c r="FF7" s="33"/>
      <c r="FG7" s="33"/>
      <c r="FH7" s="33"/>
      <c r="FI7" s="33"/>
      <c r="FJ7" s="33"/>
      <c r="FK7" s="33"/>
      <c r="FL7" s="33"/>
      <c r="FM7" s="33"/>
      <c r="FN7" s="33"/>
      <c r="FO7" s="33"/>
      <c r="FP7" s="33"/>
      <c r="FQ7" s="33"/>
      <c r="FR7" s="33"/>
      <c r="FS7" s="33"/>
      <c r="FT7" s="33"/>
      <c r="FU7" s="33"/>
      <c r="FV7" s="33"/>
      <c r="FW7" s="33"/>
      <c r="FX7" s="33"/>
      <c r="FY7" s="33"/>
      <c r="FZ7" s="33"/>
      <c r="GA7" s="33"/>
      <c r="GB7" s="33"/>
      <c r="GC7" s="33"/>
      <c r="GD7" s="33"/>
      <c r="GE7" s="33"/>
      <c r="GF7" s="33"/>
      <c r="GG7" s="33"/>
      <c r="GH7" s="33"/>
      <c r="GI7" s="33"/>
      <c r="GJ7" s="33"/>
      <c r="GK7" s="33"/>
      <c r="GL7" s="33"/>
      <c r="GM7" s="33"/>
      <c r="GN7" s="33"/>
      <c r="GO7" s="33"/>
      <c r="GP7" s="33"/>
      <c r="GQ7" s="33"/>
      <c r="GR7" s="33"/>
      <c r="GS7" s="33"/>
      <c r="GT7" s="33"/>
      <c r="GU7" s="33"/>
      <c r="GV7" s="33"/>
      <c r="GW7" s="33"/>
      <c r="GX7" s="33"/>
      <c r="GY7" s="33"/>
      <c r="GZ7" s="33"/>
      <c r="HA7" s="33"/>
      <c r="HB7" s="33"/>
      <c r="HC7" s="33"/>
      <c r="HD7" s="33"/>
      <c r="HE7" s="33"/>
      <c r="HF7" s="33"/>
      <c r="HG7" s="33"/>
      <c r="HH7" s="33"/>
      <c r="HI7" s="33"/>
      <c r="HJ7" s="33"/>
      <c r="HK7" s="33"/>
      <c r="HL7" s="33"/>
      <c r="HM7" s="33"/>
      <c r="HN7" s="33"/>
      <c r="HO7" s="33"/>
      <c r="HP7" s="33"/>
      <c r="HQ7" s="33"/>
      <c r="HR7" s="33"/>
      <c r="HS7" s="33"/>
      <c r="HT7" s="33"/>
      <c r="HU7" s="33"/>
    </row>
    <row r="8" spans="1:1104" ht="19.5" customHeight="1">
      <c r="B8" s="614" t="s">
        <v>1945</v>
      </c>
      <c r="C8" s="613">
        <v>0</v>
      </c>
      <c r="G8" s="459">
        <v>2</v>
      </c>
      <c r="H8" s="1166" t="b">
        <f ca="1">IFERROR(IF(VLOOKUP(G8,換券投組!$AH$8:$AH$13,1,FALSE)&gt;0,TRUE,FALSE),FALSE)</f>
        <v>0</v>
      </c>
      <c r="I8" s="1693" t="str">
        <f ca="1">IF(開關=TRUE,'商品代碼-中繼頁'!R3,"")</f>
        <v>XG300</v>
      </c>
      <c r="J8" s="429">
        <f ca="1">IFERROR(VLOOKUP(I8,bond!B:I,8,FALSE),0)</f>
        <v>54.46</v>
      </c>
      <c r="K8" s="429">
        <f ca="1">IFERROR(庫存管理[[#This Row],[買價]]+VLOOKUP(庫存管理[[#This Row],[商品代號]],bond!B:K,10,FALSE),0)</f>
        <v>55.316299999999998</v>
      </c>
      <c r="L8" s="430" t="str">
        <f ca="1">VLOOKUP(I8,'銀行-TSS'!B:E,4,FALSE)</f>
        <v>Aa2 / AA+ / -</v>
      </c>
      <c r="M8" s="431">
        <f ca="1">IFERROR(VLOOKUP($I8,'銀行-TSS'!B:G,6,FALSE),0)</f>
        <v>36.119999999999997</v>
      </c>
      <c r="N8" s="432">
        <f ca="1">IFERROR(DATEVALUE(VLOOKUP($I8,'銀行-TSS'!B:F,5,FALSE)),VLOOKUP($I8,'銀行-TSS'!B:F,5,FALSE))</f>
        <v>58668</v>
      </c>
      <c r="O8" s="433">
        <f ca="1">IFERROR(VLOOKUP($I8,'銀行-TSS'!B:H,7,FALSE),0)</f>
        <v>2.2499999999999999E-2</v>
      </c>
      <c r="P8" s="433">
        <f ca="1">庫存管理[[#This Row],[票面利率]]/庫存管理[[#This Row],[成本價(不含前手息)]]*100</f>
        <v>3.9378691752351785E-2</v>
      </c>
      <c r="Q8" s="434">
        <f ca="1">IFERROR(VLOOKUP($I8,'銀行-TSS'!B:I,8,FALSE),"")</f>
        <v>2</v>
      </c>
      <c r="R8" s="440">
        <f ca="1">_xlfn.IFNA(IFERROR(DATEVALUE(VLOOKUP($I8,'銀行-TSS'!B:P,15,FALSE)),VLOOKUP($I8,'銀行-TSS'!B:P,15,FALSE)),"")</f>
        <v>45519</v>
      </c>
      <c r="S8" s="570" t="b">
        <f ca="1">IF(AND(庫存管理[[#This Row],[配息頻率]]&lt;&gt;"",庫存管理[[#This Row],[持有成本(不含前手息)]]&lt;&gt;0,庫存管理[[#This Row],[買進日]]&lt;&gt;""),TRUE,FALSE)</f>
        <v>1</v>
      </c>
      <c r="T8" s="602">
        <f>IFERROR(DATE(LEFT('商品代碼-中繼頁'!S3,4),MID('商品代碼-中繼頁'!S3,5,2),RIGHT('商品代碼-中繼頁'!S3,2)),"")</f>
        <v>45292</v>
      </c>
      <c r="U8" s="602">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45294</v>
      </c>
      <c r="V8" s="442">
        <f ca="1">IFERROR(WORKDAY(庫存管理[[#This Row],[買進日]],VLOOKUP(庫存管理[[#This Row],[商品代號]],'1_重設數據'!R:S,2,FALSE),休USD),庫存管理[[#This Row],[買進日(T+2/公債T+1)]])</f>
        <v>45294</v>
      </c>
      <c r="W8" s="43">
        <f>'商品代碼-中繼頁'!T3</f>
        <v>100000</v>
      </c>
      <c r="X8" s="43">
        <f>'商品代碼-中繼頁'!U3</f>
        <v>58000</v>
      </c>
      <c r="Y8" s="464">
        <f t="shared" ref="Y8:Y42" ca="1" si="9">IFERROR(ROUND(X8-AM8,2),0)</f>
        <v>57137.5</v>
      </c>
      <c r="Z8" s="464">
        <f ca="1">ROUND(K8*W8/100,2)</f>
        <v>55316.3</v>
      </c>
      <c r="AA8" s="465">
        <f t="shared" ref="AA8:AA18" ca="1" si="10">ROUND(J8*W8/100,2)</f>
        <v>54460</v>
      </c>
      <c r="AB8" s="474">
        <f ca="1">IF(MF=2,庫存管理[[#This Row],[部位現值(不含前手息)]]-庫存管理[[#This Row],[持有成本(不含前手息)]],庫存管理[[#This Row],[部位現值(含前手息)]]-庫存管理[[#This Row],[持有成本(含前手息)]])</f>
        <v>-2683.6999999999971</v>
      </c>
      <c r="AC8" s="462">
        <f ca="1">IF(庫存管理[[#This Row],[檢測]]=TRUE,IF(MF=2,IFERROR(庫存管理[[#This Row],[資本利損]]/庫存管理[[#This Row],[持有成本(不含前手息)]],0),IFERROR(庫存管理[[#This Row],[資本利損]]/庫存管理[[#This Row],[持有成本(含前手息)]],0)),0)</f>
        <v>-4.6270689655172365E-2</v>
      </c>
      <c r="AD8" s="618">
        <f ca="1">庫存管理[[#This Row],[持有成本(不含前手息)]]/庫存管理[[#This Row],[投入面額]]*100</f>
        <v>57.137499999999996</v>
      </c>
      <c r="AE8" s="462" t="str">
        <f ca="1">IFERROR(VLOOKUP(庫存管理[[#This Row],[商品代號]],bond!B:AA,26,FALSE),"")</f>
        <v>Alphabet公司</v>
      </c>
      <c r="AF8" s="1" t="str">
        <f ca="1">IFERROR(VLOOKUP($I8,'銀行-TSS'!B:Q,16,FALSE),"")</f>
        <v>通訊</v>
      </c>
      <c r="AG8" s="466">
        <f t="shared" ca="1" si="1"/>
        <v>2250</v>
      </c>
      <c r="AH8" s="458">
        <f ca="1">IF(OR(庫存管理[[#This Row],[起息日]]&gt;庫存管理[[#This Row],[買進前一配息日(複算)]],庫存管理[[#This Row],[判斷]]=TRUE),庫存管理[[#This Row],[起息日]],庫存管理[[#This Row],[買進前一配息日(複算)]])</f>
        <v>45153</v>
      </c>
      <c r="AI8" s="577" t="str">
        <f ca="1">VLOOKUP(I8,bond!B:AP,41,FALSE)</f>
        <v>30/360</v>
      </c>
      <c r="AJ8" s="578">
        <f t="shared" ca="1" si="2"/>
        <v>0</v>
      </c>
      <c r="AK8" s="579">
        <f ca="1">IFERROR(IF(庫存管理[[#This Row],[買進日是否落入record date]]=1,庫存管理[[#This Row],[record date制度前手息]],庫存管理[[#This Row],[計算前手息(初算)]]),0)</f>
        <v>0.86250000000000004</v>
      </c>
      <c r="AL8" s="579">
        <f ca="1">IF(OR(庫存管理[[#This Row],[買進例外調整]]&lt;庫存管理[[#This Row],[起息日]],庫存管理[[#This Row],[買進例外調整]]&gt;庫存管理[[#This Row],[到期日]]),0,IF(庫存管理[[#This Row],[備註]]&lt;&gt;"",庫存管理[[#This Row],[買進時前手息]],IFERROR(ROUND(ACCRINT(AH8,AH8,V8,O8,100,Q8,AJ8,TRUE),4),0)))</f>
        <v>0.86250000000000004</v>
      </c>
      <c r="AM8" s="580">
        <f t="shared" ref="AM8:AM18" ca="1" si="11">ROUND(AK8*W8/100,2)</f>
        <v>862.5</v>
      </c>
      <c r="AN8" s="440">
        <f ca="1">IFERROR(DATEVALUE(VLOOKUP(I8,bond!B:I,7,FALSE)),VLOOKUP(I8,bond!B:I,7,FALSE))</f>
        <v>45475</v>
      </c>
      <c r="AO8" s="1064">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1.1188</v>
      </c>
      <c r="AP8" s="1075">
        <f ca="1">IFERROR(IF(庫存管理[[#This Row],[交割日是否落入record date]]=1,庫存管理[[#This Row],[交_record date制度前手息]],庫存管理[[#This Row],[計算交割前手息(初算)]]),0)</f>
        <v>0.85629999999999995</v>
      </c>
      <c r="AQ8" s="1064">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0.85629999999999995</v>
      </c>
      <c r="AR8" s="1063">
        <f ca="1">ROUND(庫存管理[[#This Row],[計算交割前手息(複算)]]*庫存管理[[#This Row],[投入面額]]/100,2)</f>
        <v>856.3</v>
      </c>
      <c r="AS8" s="1064">
        <f ca="1">IF(庫存管理[[#This Row],[配息頻率]]=0,0,(100*庫存管理[[#This Row],[票面利率]]/庫存管理[[#This Row],[配息頻率]])*庫存管理[[#This Row],[經過幾次配息]]+庫存管理[[#This Row],[計算交割前手息(複算)]]-庫存管理[[#This Row],[計算前手息(複算)]])</f>
        <v>1.1188</v>
      </c>
      <c r="AT8" s="581">
        <f ca="1">IF(庫存管理[[#This Row],[商品代號]]="XFM90",0,ROUND(AS8*W8/100,2))</f>
        <v>1118.8</v>
      </c>
      <c r="AU8" s="582">
        <f ca="1">IF(MF=2,IFERROR(庫存管理[[#This Row],[累計配息]]/庫存管理[[#This Row],[持有成本(不含前手息)]],0),IFERROR(庫存管理[[#This Row],[已實現配息(原幣)]]/庫存管理[[#This Row],[持有成本(含前手息)]],0))</f>
        <v>1.9396551724137932E-2</v>
      </c>
      <c r="AV8" s="583">
        <f ca="1">IF(MF=2,庫存管理[[#This Row],[資本利損]]+庫存管理[[#This Row],[累計配息]],庫存管理[[#This Row],[資本利損]]+庫存管理[[#This Row],[已實現配息(原幣)]])</f>
        <v>-1558.6999999999971</v>
      </c>
      <c r="AW8" s="584">
        <f ca="1">IF(庫存管理[[#This Row],[檢測]]=TRUE,IF(MF=2,IFERROR(庫存管理[[#This Row],[合計收益]]/庫存管理[[#This Row],[持有成本(不含前手息)]],0),IFERROR(庫存管理[[#This Row],[合計收益]]/庫存管理[[#This Row],[持有成本(含前手息)]],0)),0)</f>
        <v>-2.6874137931034433E-2</v>
      </c>
      <c r="AX8" s="434">
        <f t="shared" ref="AX8:AX18" ca="1" si="12">IF(Q8=0,0,IF(MOD(MONTH(R8),12/Q8)=0,12/Q8,MOD(MONTH(R8),12/Q8)))</f>
        <v>2</v>
      </c>
      <c r="AY8" s="434">
        <f t="shared" ca="1" si="3"/>
        <v>8</v>
      </c>
      <c r="AZ8" s="434">
        <f t="shared" ca="1" si="4"/>
        <v>0</v>
      </c>
      <c r="BA8" s="434">
        <f t="shared" ca="1" si="5"/>
        <v>0</v>
      </c>
      <c r="BB8" s="441">
        <f ca="1">IF(AND(庫存管理[[#This Row],[名稱]]="美國國庫債券",DAY(庫存管理[[#This Row],[買進前一配息日(初算)]])&gt;=28),EOMONTH(庫存管理[[#This Row],[買進前一配息日(初算)]],0),庫存管理[[#This Row],[買進前一配息日(初算)]])</f>
        <v>45153</v>
      </c>
      <c r="BC8" s="441">
        <f t="shared" ca="1" si="6"/>
        <v>45153</v>
      </c>
      <c r="BD8" s="444">
        <f t="shared" ca="1" si="7"/>
        <v>2024</v>
      </c>
      <c r="BE8" s="441">
        <f ca="1">IF(Q8&gt;0,IF(MONTH(DATE(BD8,AX8,DAY(R8)))&lt;&gt;庫存管理[[#This Row],[第一個配息月]],DATE(BD8,AX8+1,0),DATE(BD8,AX8,DAY(R8))),庫存管理[[#This Row],[買進例外調整]]+100)</f>
        <v>45337</v>
      </c>
      <c r="BF8" s="441">
        <f ca="1">IF(AY8&lt;&gt;0,IF(MONTH(DATE(BD8,AY8,DAY(R8)))&lt;&gt;庫存管理[[#This Row],[第二個配息月]],DATE(BD8,AY8+1,0),DATE(BD8,AY8,DAY(R8))),庫存管理[[#This Row],[買進例外調整]]+100)</f>
        <v>45519</v>
      </c>
      <c r="BG8" s="441">
        <f ca="1">IF(AZ8&lt;&gt;0,IF(MONTH(DATE(BD8,AZ8,DAY(R8)))&lt;&gt;庫存管理[[#This Row],[第三個配息月]],DATE(BD8,AZ8+1,0),DATE(BD8,AZ8,DAY(R8))),庫存管理[[#This Row],[買進例外調整]]+100)</f>
        <v>45394</v>
      </c>
      <c r="BH8" s="441">
        <f ca="1">IF(BA8&lt;&gt;0,IF(MONTH(DATE(BD8,BA8,DAY(R8)))&lt;&gt;庫存管理[[#This Row],[第四個配息月]],DATE(BD8,BA8+1,0),DATE(BD8,BA8,DAY(R8))),庫存管理[[#This Row],[買進例外調整]]+100)</f>
        <v>45394</v>
      </c>
      <c r="BI8" s="441">
        <f ca="1">IF(Q8=1,IF(MONTH(DATE(BD8-1,AX8,DAY(R8)))&lt;&gt;庫存管理[[#This Row],[第一個配息月]],DATE(BD8-1,AX8+1,0),DATE(BD8-1,AX8,DAY(R8))),IF(Q8=2,IF(MONTH(DATE(BD8-1,AY8,DAY(R8)))&lt;&gt;庫存管理[[#This Row],[第二個配息月]],DATE(BD8-1,AY8+1,0),DATE(BD8-1,AY8,DAY(R8))),IF(Q8=4,IF(MONTH(DATE(BD8-1,BA8,DAY(R8)))&lt;&gt;庫存管理[[#This Row],[第四個配息月]],DATE(BD8-1,BA8+1,0),DATE(BD8-1,BA8,DAY(R8))),庫存管理[[#This Row],[買進例外調整]]+100)))</f>
        <v>45153</v>
      </c>
      <c r="BJ8" s="445">
        <f t="shared" ca="1" si="8"/>
        <v>10000</v>
      </c>
      <c r="BK8" s="445">
        <f t="shared" ca="1" si="8"/>
        <v>10000</v>
      </c>
      <c r="BL8" s="445">
        <f t="shared" ca="1" si="8"/>
        <v>10000</v>
      </c>
      <c r="BM8" s="445">
        <f t="shared" ca="1" si="8"/>
        <v>10000</v>
      </c>
      <c r="BN8" s="455">
        <f t="shared" ca="1" si="8"/>
        <v>141</v>
      </c>
      <c r="BO8" s="479">
        <f ca="1">庫存管理[[#This Row],[年度配息]]/庫存管理[[#This Row],[配息頻率]]</f>
        <v>1125</v>
      </c>
      <c r="BP8" s="479">
        <f ca="1">庫存管理[[#This Row],[單次配息(原幣)]]*庫存管理[[#This Row],[換算匯率(現)]]</f>
        <v>36541.125</v>
      </c>
      <c r="BQ8" s="479" t="str">
        <f ca="1">IF(庫存管理[[#This Row],[商品代號]]&lt;&gt;"",IFERROR(VLOOKUP($I8,'銀行-TSS'!B:C,2,FALSE),""),"")</f>
        <v>USD</v>
      </c>
      <c r="BR8" s="479">
        <f ca="1">VLOOKUP(庫存管理[[#This Row],[幣別]],$B$37:$C$43,2,FALSE)</f>
        <v>1</v>
      </c>
      <c r="BS8" s="500">
        <f ca="1">CHOOSE(庫存管理[[#This Row],[對應編碼]],$D$37,$D$38,$D$39,$D$40,$D$41,$D$42,$D$43)</f>
        <v>30</v>
      </c>
      <c r="BT8" s="500">
        <f ca="1">IF(庫存管理[[#This Row],[商品代號]]="",0,CHOOSE(庫存管理[[#This Row],[對應編碼]],$E$37,$E$38,$E$39,$E$40,$E$41,$E$42,$E$43))</f>
        <v>32.481000000000002</v>
      </c>
      <c r="BU8" s="1555">
        <f ca="1">IF(庫存管理[[#This Row],[檢測]]=TRUE,庫存管理[[#This Row],[投入面額]]*庫存管理[[#This Row],[換算匯率(現)]],0)</f>
        <v>3248100</v>
      </c>
      <c r="BV8" s="1555">
        <f ca="1">IF(庫存管理[[#This Row],[檢測]]=TRUE,IFERROR(庫存管理[[#This Row],[持有成本(含前手息)]]*庫存管理[[#This Row],[換算匯率(買)]],0),0)</f>
        <v>1740000</v>
      </c>
      <c r="BW8" s="1555">
        <f ca="1">IF(庫存管理[[#This Row],[檢測]]=TRUE,庫存管理[[#This Row],[持有成本(不含前手息)]]*庫存管理[[#This Row],[換算匯率(買)]],0)</f>
        <v>1714125</v>
      </c>
      <c r="BX8" s="1555">
        <f ca="1">IF(庫存管理[[#This Row],[檢測]]=TRUE,庫存管理[[#This Row],[部位現值(含前手息)]]*庫存管理[[#This Row],[換算匯率(現)]],0)</f>
        <v>1796728.7403000002</v>
      </c>
      <c r="BY8" s="1555">
        <f ca="1">IF(庫存管理[[#This Row],[檢測]]=TRUE,庫存管理[[#This Row],[部位現值(不含前手息)]]*庫存管理[[#This Row],[換算匯率(現)]],0)</f>
        <v>1768915.26</v>
      </c>
      <c r="BZ8" s="1555">
        <f ca="1">IF(庫存管理[[#This Row],[檢測]]=TRUE,IF(MF=2,庫存管理[[#This Row],[累計配息]]*庫存管理[[#This Row],[換算匯率(現)]],庫存管理[[#This Row],[已實現配息(原幣)]]*庫存管理[[#This Row],[換算匯率(現)]]),0)</f>
        <v>36541.125</v>
      </c>
      <c r="CA8" s="1555">
        <f ca="1">庫存管理[[#This Row],[資本利損]]*庫存管理[[#This Row],[換算匯率(現)]]</f>
        <v>-87169.259699999908</v>
      </c>
      <c r="CB8" s="1555">
        <f ca="1">庫存管理[[#This Row],[累計利息(台)]]+庫存管理[[#This Row],[資本貢獻(台)]]</f>
        <v>-50628.134699999908</v>
      </c>
      <c r="CC8" s="574">
        <f ca="1">IF(庫存管理[[#This Row],[檢測]]=TRUE,IFERROR(庫存管理[[#This Row],[配息報酬]],0),0)</f>
        <v>1.9396551724137932E-2</v>
      </c>
      <c r="CD8" s="574">
        <f ca="1">IF(庫存管理[[#This Row],[檢測]]=TRUE,庫存管理[[#This Row],[資本報酬]],0)</f>
        <v>-4.6270689655172365E-2</v>
      </c>
      <c r="CE8" s="574">
        <f ca="1">IF(S8=TRUE,IFERROR(庫存管理[[#This Row],[換匯總報酬率]]-(庫存管理[[#This Row],[配息報酬率]]+庫存管理[[#This Row],[資本報酬率]]),0),0)</f>
        <v>8.0477508793103558E-2</v>
      </c>
      <c r="CF8"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5.3603370862069122E-2</v>
      </c>
      <c r="CG8" s="585">
        <f ca="1">IF(AND(庫存管理[[#This Row],[檢測]]=TRUE,開關=TRUE),IF(MF=2,IFERROR(BW8/$BW$1,0),IFERROR(BV8/$BV$1,0)),0)</f>
        <v>0.1746987951807229</v>
      </c>
      <c r="CH8" s="574">
        <f ca="1">IF(庫存管理[[#This Row],[檢測]]=TRUE,IF(MF=2,IFERROR(BY8/$BY$1,0),IFERROR(BX8/$BX$1,0)),0)</f>
        <v>0.16587437264437091</v>
      </c>
      <c r="CI8"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4.7209627151226057E-2</v>
      </c>
      <c r="CJ8" s="646">
        <f ca="1">DATEDIF(庫存管理[[#This Row],[買進例外調整]],庫存管理[[#This Row],[到期日]],"d")/365.25</f>
        <v>36.616016427104725</v>
      </c>
      <c r="CK8" s="734">
        <f ca="1">DATEVALUE(VLOOKUP(庫存管理[[#This Row],[商品代號]],bond!B:AF,31,FALSE))</f>
        <v>45337</v>
      </c>
      <c r="CL8" s="734">
        <f ca="1">IF(庫存管理[[#This Row],[買下配(國調)]]&lt;庫存管理[[#This Row],[第一票息日]],庫存管理[[#This Row],[第一票息日]],庫存管理[[#This Row],[買下配(國調)]])</f>
        <v>45337</v>
      </c>
      <c r="CM8" s="734">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45337</v>
      </c>
      <c r="CN8" s="735">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1</v>
      </c>
      <c r="CO8" s="735">
        <f ca="1">IF(庫存管理[[#This Row],[商品代號]]="XFM90",0,IFERROR(庫存管理[[#This Row],[單次配息(原幣)]]*庫存管理[[#This Row],[經過幾次配息]],0))</f>
        <v>1125</v>
      </c>
      <c r="CP8" s="735" t="str">
        <f ca="1">VLOOKUP(庫存管理[[#This Row],[商品代號]],bond!B:F,5,FALSE)</f>
        <v>US02079KAG22</v>
      </c>
      <c r="CQ8" s="734">
        <f ca="1">IFERROR(VLOOKUP(庫存管理[[#This Row],[ISIN]],'7_發行日例外'!A:C,3,FALSE),IFERROR(DATEVALUE(VLOOKUP(庫存管理[[#This Row],[商品代號]],bond!B:AR,43,FALSE)),""))</f>
        <v>44048</v>
      </c>
      <c r="CR8" s="735">
        <f ca="1">DATEDIF(庫存管理[[#This Row],[起息日]],庫存管理[[#This Row],[買進前一配息日(複算)]],"d")</f>
        <v>1105</v>
      </c>
      <c r="CS8"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8" s="734">
        <f ca="1">IFERROR(VLOOKUP(庫存管理[[#This Row],[ISIN]],'7_發行日例外'!A:D,4,FALSE),DATEVALUE(VLOOKUP(庫存管理[[#This Row],[商品代號]],bond!B:AV,44,FALSE)))</f>
        <v>44242</v>
      </c>
      <c r="CU8" s="735" t="str">
        <f ca="1">VLOOKUP(庫存管理[[#This Row],[商品代號]],bond!B:AU,46,FALSE)</f>
        <v>STREET CONVENTION</v>
      </c>
      <c r="CV8" s="735" t="str">
        <f ca="1">IF(庫存管理[[#This Row],[計息基礎]]=1,CHOOSE(庫存管理[[#This Row],[對應編碼]],"沒進位","","沒進位",IF(庫存管理[[#This Row],[計算類型]]="AUSTRALIA:EX-DIV","4捨五入進0.01%","沒進位"),"年/2去計算ACT","沒進位","沒進位"),"")</f>
        <v/>
      </c>
      <c r="CW8" s="735">
        <f ca="1">_xlfn.DAYS(庫存管理[[#This Row],[買進例外調整]],庫存管理[[#This Row],[買進前一個配息日(最終)]])</f>
        <v>141</v>
      </c>
      <c r="CX8" s="735">
        <f ca="1">IF(庫存管理[[#This Row],[備註]]="年/2去計算ACT",365/2,_xlfn.DAYS(庫存管理[[#This Row],[買進時的下個配息日]],庫存管理[[#This Row],[買進前一個配息日(最終)]]))</f>
        <v>184</v>
      </c>
      <c r="CY8" s="767">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0.86209999999999998</v>
      </c>
      <c r="CZ8" s="767">
        <f ca="1">_xlfn.DAYS(庫存管理[[#This Row],[交割日]],庫存管理[[#This Row],[買進前一個配息日(最終)]])</f>
        <v>322</v>
      </c>
      <c r="DA8" s="767">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1.9688000000000001</v>
      </c>
      <c r="DB8" s="767">
        <f ca="1">_xlfn.DAYS(庫存管理[[#This Row],[交割日]],庫存管理[[#This Row],[最近的上一票息日]])</f>
        <v>138</v>
      </c>
      <c r="DC8" s="767">
        <f ca="1">IF(庫存管理[[#This Row],[備註]]="年/2去計算ACT",365/2,_xlfn.DAYS(庫存管理[[#This Row],[下一配息日]],庫存管理[[#This Row],[最近的上一票息日]]))</f>
        <v>182</v>
      </c>
      <c r="DD8" s="767">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0.85299999999999998</v>
      </c>
      <c r="DE8" s="739">
        <f ca="1">CL8-庫存管理[[#This Row],[ex_div_days]]</f>
        <v>45337</v>
      </c>
      <c r="DF8" s="646">
        <f ca="1">IF(VLOOKUP(庫存管理[[#This Row],[商品代號]],bond!B:AT,45,FALSE)="#N/A Field Not Applicable",0,VLOOKUP(庫存管理[[#This Row],[商品代號]],bond!B:AT,45,FALSE))</f>
        <v>0</v>
      </c>
      <c r="DG8" s="793">
        <f ca="1">IF(庫存管理[[#This Row],[ex_div_days]]&lt;&gt;0,IF(AND(庫存管理[[#This Row],[買進例外調整]]-庫存管理[[#This Row],[買進下一個配息日先減n天]]&gt;=0,庫存管理[[#This Row],[買進時的下個配息日]]-庫存管理[[#This Row],[買進例外調整]]&gt;0),1,0),0)</f>
        <v>0</v>
      </c>
      <c r="DH8" s="784">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-0.26250000000000001</v>
      </c>
      <c r="DI8" s="734">
        <f ca="1">庫存管理[[#This Row],[下一配息日]]-庫存管理[[#This Row],[ex_div_days]]</f>
        <v>45519</v>
      </c>
      <c r="DJ8" s="1081">
        <f ca="1">IF(庫存管理[[#This Row],[ex_div_days]]&lt;&gt;0,IF(AND(庫存管理[[#This Row],[交割日]]-庫存管理[[#This Row],[交割下個配息日先減n天]]&gt;=0,庫存管理[[#This Row],[下一配息日]]-庫存管理[[#This Row],[交割日]]&gt;0),1,0),0)</f>
        <v>0</v>
      </c>
      <c r="DK8" s="1067">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-0.26869999999999999</v>
      </c>
      <c r="DL8" s="735">
        <f ca="1">IFERROR(VLOOKUP(庫存管理[[#This Row],[商品代號]],bond!B:X,21,FALSE),0)</f>
        <v>19.9892</v>
      </c>
      <c r="DM8" s="735">
        <f ca="1">IFERROR(VLOOKUP(I8,bond!B:J,9,FALSE),0)</f>
        <v>55.96</v>
      </c>
      <c r="DN8" s="1188">
        <f ca="1">IF(AND(開關=TRUE,庫存管理[[#This Row],[投組檢測]]=TRUE),IF(MF=2,IFERROR(BW8/$BW$3,0),IFERROR(BV8/$BV$3,0)),0)</f>
        <v>0</v>
      </c>
      <c r="DO8" s="735">
        <f ca="1">IFERROR(庫存管理[[#This Row],[clean申購價]]/100*庫存管理[[#This Row],[投入面額]]*庫存管理[[#This Row],[MOD]]*0.01,0)</f>
        <v>11185.956319999999</v>
      </c>
      <c r="DP8" s="1298">
        <f ca="1">IF($C$16=1,庫存管理[[#This Row],[單次配息(台幣)]],庫存管理[[#This Row],[單次配息(原幣)]])</f>
        <v>1125</v>
      </c>
      <c r="DQ8" s="1298">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1125</v>
      </c>
      <c r="DR8" s="1298" t="str">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
      </c>
      <c r="DS8" s="1298" t="str">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
      </c>
      <c r="DT8" s="1298" t="str">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
      </c>
      <c r="DU8" s="1298" t="str">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
      </c>
      <c r="DV8" s="1298" t="str">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
      </c>
      <c r="DW8" s="1298">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1125</v>
      </c>
      <c r="DX8" s="1298" t="str">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
      </c>
      <c r="DY8" s="1298" t="str">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
      </c>
      <c r="DZ8" s="1298" t="str">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
      </c>
      <c r="EA8" s="1298" t="str">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
      </c>
      <c r="EB8" s="1298" t="str">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
      </c>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c r="FK8" s="33"/>
      <c r="FL8" s="33"/>
      <c r="FM8" s="33"/>
      <c r="FN8" s="33"/>
      <c r="FO8" s="33"/>
      <c r="FP8" s="33"/>
      <c r="FQ8" s="33"/>
      <c r="FR8" s="33"/>
      <c r="FS8" s="33"/>
      <c r="FT8" s="33"/>
      <c r="FU8" s="33"/>
      <c r="FV8" s="33"/>
      <c r="FW8" s="33"/>
      <c r="FX8" s="33"/>
      <c r="FY8" s="33"/>
      <c r="FZ8" s="33"/>
      <c r="GA8" s="33"/>
      <c r="GB8" s="33"/>
      <c r="GC8" s="33"/>
      <c r="GD8" s="33"/>
      <c r="GE8" s="33"/>
      <c r="GF8" s="33"/>
      <c r="GG8" s="33"/>
      <c r="GH8" s="33"/>
      <c r="GI8" s="33"/>
      <c r="GJ8" s="33"/>
      <c r="GK8" s="33"/>
      <c r="GL8" s="33"/>
      <c r="GM8" s="33"/>
      <c r="GN8" s="33"/>
      <c r="GO8" s="33"/>
      <c r="GP8" s="33"/>
      <c r="GQ8" s="33"/>
      <c r="GR8" s="33"/>
      <c r="GS8" s="33"/>
      <c r="GT8" s="33"/>
      <c r="GU8" s="33"/>
      <c r="GV8" s="33"/>
      <c r="GW8" s="33"/>
      <c r="GX8" s="33"/>
      <c r="GY8" s="33"/>
      <c r="GZ8" s="33"/>
      <c r="HA8" s="33"/>
      <c r="HB8" s="33"/>
      <c r="HC8" s="33"/>
      <c r="HD8" s="33"/>
      <c r="HE8" s="33"/>
      <c r="HF8" s="33"/>
      <c r="HG8" s="33"/>
      <c r="HH8" s="33"/>
      <c r="HI8" s="33"/>
      <c r="HJ8" s="33"/>
      <c r="HK8" s="33"/>
      <c r="HL8" s="33"/>
      <c r="HM8" s="33"/>
      <c r="HN8" s="33"/>
      <c r="HO8" s="33"/>
      <c r="HP8" s="33"/>
      <c r="HQ8" s="33"/>
      <c r="HR8" s="33"/>
      <c r="HS8" s="33"/>
      <c r="HT8" s="33"/>
      <c r="HU8" s="33"/>
    </row>
    <row r="9" spans="1:1104" ht="19.5" customHeight="1">
      <c r="B9" s="613" t="s">
        <v>1948</v>
      </c>
      <c r="C9" s="613">
        <v>1</v>
      </c>
      <c r="G9" s="459">
        <v>3</v>
      </c>
      <c r="H9" s="1166" t="b">
        <f ca="1">IFERROR(IF(VLOOKUP(G9,換券投組!$AH$8:$AH$13,1,FALSE)&gt;0,TRUE,FALSE),FALSE)</f>
        <v>0</v>
      </c>
      <c r="I9" s="1693" t="str">
        <f ca="1">IF(開關=TRUE,'商品代碼-中繼頁'!R4,"")</f>
        <v>XH750</v>
      </c>
      <c r="J9" s="429">
        <f ca="1">IFERROR(VLOOKUP(I9,bond!B:I,8,FALSE),0)</f>
        <v>92.87</v>
      </c>
      <c r="K9" s="429">
        <f ca="1">IFERROR(庫存管理[[#This Row],[買價]]+VLOOKUP(庫存管理[[#This Row],[商品代號]],bond!B:K,10,FALSE),0)</f>
        <v>94.562700000000007</v>
      </c>
      <c r="L9" s="430" t="str">
        <f ca="1">VLOOKUP(I9,'銀行-TSS'!B:E,4,FALSE)</f>
        <v>A1 / A+ / -</v>
      </c>
      <c r="M9" s="431">
        <f ca="1">IFERROR(VLOOKUP($I9,'銀行-TSS'!B:G,6,FALSE),0)</f>
        <v>28.66</v>
      </c>
      <c r="N9" s="432">
        <f ca="1">IFERROR(DATEVALUE(VLOOKUP($I9,'銀行-TSS'!B:F,5,FALSE)),VLOOKUP($I9,'銀行-TSS'!B:F,5,FALSE))</f>
        <v>55942</v>
      </c>
      <c r="O9" s="433">
        <f ca="1">IFERROR(VLOOKUP($I9,'銀行-TSS'!B:H,7,FALSE),0)</f>
        <v>4.8750000000000002E-2</v>
      </c>
      <c r="P9" s="433">
        <f ca="1">庫存管理[[#This Row],[票面利率]]/庫存管理[[#This Row],[成本價(不含前手息)]]*100</f>
        <v>5.6493115951685935E-2</v>
      </c>
      <c r="Q9" s="434">
        <f ca="1">IFERROR(VLOOKUP($I9,'銀行-TSS'!B:I,8,FALSE),"")</f>
        <v>2</v>
      </c>
      <c r="R9" s="440">
        <f ca="1">_xlfn.IFNA(IFERROR(DATEVALUE(VLOOKUP($I9,'銀行-TSS'!B:P,15,FALSE)),VLOOKUP($I9,'銀行-TSS'!B:P,15,FALSE)),"")</f>
        <v>45531</v>
      </c>
      <c r="S9" s="570" t="b">
        <f ca="1">IF(AND(庫存管理[[#This Row],[配息頻率]]&lt;&gt;"",庫存管理[[#This Row],[持有成本(不含前手息)]]&lt;&gt;0,庫存管理[[#This Row],[買進日]]&lt;&gt;""),TRUE,FALSE)</f>
        <v>1</v>
      </c>
      <c r="T9" s="602">
        <f>IFERROR(DATE(LEFT('商品代碼-中繼頁'!S4,4),MID('商品代碼-中繼頁'!S4,5,2),RIGHT('商品代碼-中繼頁'!S4,2)),"")</f>
        <v>45292</v>
      </c>
      <c r="U9" s="602">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45294</v>
      </c>
      <c r="V9" s="442">
        <f ca="1">IFERROR(WORKDAY(庫存管理[[#This Row],[買進日]],VLOOKUP(庫存管理[[#This Row],[商品代號]],'1_重設數據'!R:S,2,FALSE),休USD),庫存管理[[#This Row],[買進日(T+2/公債T+1)]])</f>
        <v>45294</v>
      </c>
      <c r="W9" s="43">
        <f>'商品代碼-中繼頁'!T4</f>
        <v>100000</v>
      </c>
      <c r="X9" s="43">
        <f>'商品代碼-中繼頁'!U4</f>
        <v>88000</v>
      </c>
      <c r="Y9" s="464">
        <f t="shared" ca="1" si="9"/>
        <v>86293.7</v>
      </c>
      <c r="Z9" s="464">
        <f ca="1">ROUND(K9*W9/100,2)</f>
        <v>94562.7</v>
      </c>
      <c r="AA9" s="465">
        <f t="shared" ca="1" si="10"/>
        <v>92870</v>
      </c>
      <c r="AB9" s="474">
        <f ca="1">IF(MF=2,庫存管理[[#This Row],[部位現值(不含前手息)]]-庫存管理[[#This Row],[持有成本(不含前手息)]],庫存管理[[#This Row],[部位現值(含前手息)]]-庫存管理[[#This Row],[持有成本(含前手息)]])</f>
        <v>6562.6999999999971</v>
      </c>
      <c r="AC9" s="462">
        <f ca="1">IF(庫存管理[[#This Row],[檢測]]=TRUE,IF(MF=2,IFERROR(庫存管理[[#This Row],[資本利損]]/庫存管理[[#This Row],[持有成本(不含前手息)]],0),IFERROR(庫存管理[[#This Row],[資本利損]]/庫存管理[[#This Row],[持有成本(含前手息)]],0)),0)</f>
        <v>7.4576136363636331E-2</v>
      </c>
      <c r="AD9" s="618">
        <f ca="1">庫存管理[[#This Row],[持有成本(不含前手息)]]/庫存管理[[#This Row],[投入面額]]*100</f>
        <v>86.293700000000001</v>
      </c>
      <c r="AE9" s="462" t="str">
        <f ca="1">IFERROR(VLOOKUP(庫存管理[[#This Row],[商品代號]],bond!B:AA,26,FALSE),"")</f>
        <v>禮來公司</v>
      </c>
      <c r="AF9" s="1" t="str">
        <f ca="1">IFERROR(VLOOKUP($I9,'銀行-TSS'!B:Q,16,FALSE),"")</f>
        <v>醫療保健</v>
      </c>
      <c r="AG9" s="466">
        <f t="shared" ca="1" si="1"/>
        <v>4875</v>
      </c>
      <c r="AH9" s="458">
        <f ca="1">IF(OR(庫存管理[[#This Row],[起息日]]&gt;庫存管理[[#This Row],[買進前一配息日(複算)]],庫存管理[[#This Row],[判斷]]=TRUE),庫存管理[[#This Row],[起息日]],庫存管理[[#This Row],[買進前一配息日(複算)]])</f>
        <v>45165</v>
      </c>
      <c r="AI9" s="577" t="str">
        <f ca="1">VLOOKUP(I9,bond!B:AP,41,FALSE)</f>
        <v>30/360</v>
      </c>
      <c r="AJ9" s="578">
        <f t="shared" ca="1" si="2"/>
        <v>0</v>
      </c>
      <c r="AK9" s="579">
        <f ca="1">IFERROR(IF(庫存管理[[#This Row],[買進日是否落入record date]]=1,庫存管理[[#This Row],[record date制度前手息]],庫存管理[[#This Row],[計算前手息(初算)]]),0)</f>
        <v>1.7062999999999999</v>
      </c>
      <c r="AL9" s="579">
        <f ca="1">IF(OR(庫存管理[[#This Row],[買進例外調整]]&lt;庫存管理[[#This Row],[起息日]],庫存管理[[#This Row],[買進例外調整]]&gt;庫存管理[[#This Row],[到期日]]),0,IF(庫存管理[[#This Row],[備註]]&lt;&gt;"",庫存管理[[#This Row],[買進時前手息]],IFERROR(ROUND(ACCRINT(AH9,AH9,V9,O9,100,Q9,AJ9,TRUE),4),0)))</f>
        <v>1.7062999999999999</v>
      </c>
      <c r="AM9" s="580">
        <f t="shared" ca="1" si="11"/>
        <v>1706.3</v>
      </c>
      <c r="AN9" s="440">
        <f ca="1">IFERROR(DATEVALUE(VLOOKUP(I9,bond!B:I,7,FALSE)),VLOOKUP(I9,bond!B:I,7,FALSE))</f>
        <v>45475</v>
      </c>
      <c r="AO9" s="1064">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2.4239000000000006</v>
      </c>
      <c r="AP9" s="1075">
        <f ca="1">IFERROR(IF(庫存管理[[#This Row],[交割日是否落入record date]]=1,庫存管理[[#This Row],[交_record date制度前手息]],庫存管理[[#This Row],[計算交割前手息(初算)]]),0)</f>
        <v>1.6927000000000001</v>
      </c>
      <c r="AQ9" s="1064">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1.6927000000000001</v>
      </c>
      <c r="AR9" s="1063">
        <f ca="1">ROUND(庫存管理[[#This Row],[計算交割前手息(複算)]]*庫存管理[[#This Row],[投入面額]]/100,2)</f>
        <v>1692.7</v>
      </c>
      <c r="AS9" s="1064">
        <f ca="1">IF(庫存管理[[#This Row],[配息頻率]]=0,0,(100*庫存管理[[#This Row],[票面利率]]/庫存管理[[#This Row],[配息頻率]])*庫存管理[[#This Row],[經過幾次配息]]+庫存管理[[#This Row],[計算交割前手息(複算)]]-庫存管理[[#This Row],[計算前手息(複算)]])</f>
        <v>2.4239000000000006</v>
      </c>
      <c r="AT9" s="581">
        <f ca="1">IF(庫存管理[[#This Row],[商品代號]]="XFM90",0,ROUND(AS9*W9/100,2))</f>
        <v>2423.9</v>
      </c>
      <c r="AU9" s="582">
        <f ca="1">IF(MF=2,IFERROR(庫存管理[[#This Row],[累計配息]]/庫存管理[[#This Row],[持有成本(不含前手息)]],0),IFERROR(庫存管理[[#This Row],[已實現配息(原幣)]]/庫存管理[[#This Row],[持有成本(含前手息)]],0))</f>
        <v>2.7698863636363636E-2</v>
      </c>
      <c r="AV9" s="583">
        <f ca="1">IF(MF=2,庫存管理[[#This Row],[資本利損]]+庫存管理[[#This Row],[累計配息]],庫存管理[[#This Row],[資本利損]]+庫存管理[[#This Row],[已實現配息(原幣)]])</f>
        <v>9000.1999999999971</v>
      </c>
      <c r="AW9" s="584">
        <f ca="1">IF(庫存管理[[#This Row],[檢測]]=TRUE,IF(MF=2,IFERROR(庫存管理[[#This Row],[合計收益]]/庫存管理[[#This Row],[持有成本(不含前手息)]],0),IFERROR(庫存管理[[#This Row],[合計收益]]/庫存管理[[#This Row],[持有成本(含前手息)]],0)),0)</f>
        <v>0.10227499999999996</v>
      </c>
      <c r="AX9" s="434">
        <f t="shared" ca="1" si="12"/>
        <v>2</v>
      </c>
      <c r="AY9" s="434">
        <f t="shared" ca="1" si="3"/>
        <v>8</v>
      </c>
      <c r="AZ9" s="434">
        <f t="shared" ca="1" si="4"/>
        <v>0</v>
      </c>
      <c r="BA9" s="434">
        <f t="shared" ca="1" si="5"/>
        <v>0</v>
      </c>
      <c r="BB9" s="441">
        <f ca="1">IF(AND(庫存管理[[#This Row],[名稱]]="美國國庫債券",DAY(庫存管理[[#This Row],[買進前一配息日(初算)]])&gt;=28),EOMONTH(庫存管理[[#This Row],[買進前一配息日(初算)]],0),庫存管理[[#This Row],[買進前一配息日(初算)]])</f>
        <v>45165</v>
      </c>
      <c r="BC9" s="441">
        <f ca="1">INDEX(BE9:BI9,1,MATCH(MIN(BJ9:BN9),BJ9:BN9,0))</f>
        <v>45165</v>
      </c>
      <c r="BD9" s="444">
        <f t="shared" ca="1" si="7"/>
        <v>2024</v>
      </c>
      <c r="BE9" s="441">
        <f ca="1">IF(Q9&gt;0,IF(MONTH(DATE(BD9,AX9,DAY(R9)))&lt;&gt;庫存管理[[#This Row],[第一個配息月]],DATE(BD9,AX9+1,0),DATE(BD9,AX9,DAY(R9))),庫存管理[[#This Row],[買進例外調整]]+100)</f>
        <v>45349</v>
      </c>
      <c r="BF9" s="441">
        <f ca="1">IF(AY9&lt;&gt;0,IF(MONTH(DATE(BD9,AY9,DAY(R9)))&lt;&gt;庫存管理[[#This Row],[第二個配息月]],DATE(BD9,AY9+1,0),DATE(BD9,AY9,DAY(R9))),庫存管理[[#This Row],[買進例外調整]]+100)</f>
        <v>45531</v>
      </c>
      <c r="BG9" s="441">
        <f ca="1">IF(AZ9&lt;&gt;0,IF(MONTH(DATE(BD9,AZ9,DAY(R9)))&lt;&gt;庫存管理[[#This Row],[第三個配息月]],DATE(BD9,AZ9+1,0),DATE(BD9,AZ9,DAY(R9))),庫存管理[[#This Row],[買進例外調整]]+100)</f>
        <v>45394</v>
      </c>
      <c r="BH9" s="441">
        <f ca="1">IF(BA9&lt;&gt;0,IF(MONTH(DATE(BD9,BA9,DAY(R9)))&lt;&gt;庫存管理[[#This Row],[第四個配息月]],DATE(BD9,BA9+1,0),DATE(BD9,BA9,DAY(R9))),庫存管理[[#This Row],[買進例外調整]]+100)</f>
        <v>45394</v>
      </c>
      <c r="BI9" s="441">
        <f ca="1">IF(Q9=1,IF(MONTH(DATE(BD9-1,AX9,DAY(R9)))&lt;&gt;庫存管理[[#This Row],[第一個配息月]],DATE(BD9-1,AX9+1,0),DATE(BD9-1,AX9,DAY(R9))),IF(Q9=2,IF(MONTH(DATE(BD9-1,AY9,DAY(R9)))&lt;&gt;庫存管理[[#This Row],[第二個配息月]],DATE(BD9-1,AY9+1,0),DATE(BD9-1,AY9,DAY(R9))),IF(Q9=4,IF(MONTH(DATE(BD9-1,BA9,DAY(R9)))&lt;&gt;庫存管理[[#This Row],[第四個配息月]],DATE(BD9-1,BA9+1,0),DATE(BD9-1,BA9,DAY(R9))),庫存管理[[#This Row],[買進例外調整]]+100)))</f>
        <v>45165</v>
      </c>
      <c r="BJ9" s="445">
        <f t="shared" ca="1" si="8"/>
        <v>10000</v>
      </c>
      <c r="BK9" s="445">
        <f t="shared" ca="1" si="8"/>
        <v>10000</v>
      </c>
      <c r="BL9" s="445">
        <f t="shared" ca="1" si="8"/>
        <v>10000</v>
      </c>
      <c r="BM9" s="445">
        <f t="shared" ca="1" si="8"/>
        <v>10000</v>
      </c>
      <c r="BN9" s="455">
        <f t="shared" ca="1" si="8"/>
        <v>129</v>
      </c>
      <c r="BO9" s="479">
        <f ca="1">庫存管理[[#This Row],[年度配息]]/庫存管理[[#This Row],[配息頻率]]</f>
        <v>2437.5</v>
      </c>
      <c r="BP9" s="479">
        <f ca="1">庫存管理[[#This Row],[單次配息(原幣)]]*庫存管理[[#This Row],[換算匯率(現)]]</f>
        <v>79172.4375</v>
      </c>
      <c r="BQ9" s="479" t="str">
        <f ca="1">IF(庫存管理[[#This Row],[商品代號]]&lt;&gt;"",IFERROR(VLOOKUP($I9,'銀行-TSS'!B:C,2,FALSE),""),"")</f>
        <v>USD</v>
      </c>
      <c r="BR9" s="479">
        <f ca="1">VLOOKUP(庫存管理[[#This Row],[幣別]],$B$37:$C$43,2,FALSE)</f>
        <v>1</v>
      </c>
      <c r="BS9" s="500">
        <f ca="1">CHOOSE(庫存管理[[#This Row],[對應編碼]],$D$37,$D$38,$D$39,$D$40,$D$41,$D$42,$D$43)</f>
        <v>30</v>
      </c>
      <c r="BT9" s="500">
        <f ca="1">IF(庫存管理[[#This Row],[商品代號]]="",0,CHOOSE(庫存管理[[#This Row],[對應編碼]],$E$37,$E$38,$E$39,$E$40,$E$41,$E$42,$E$43))</f>
        <v>32.481000000000002</v>
      </c>
      <c r="BU9" s="1555">
        <f ca="1">IF(庫存管理[[#This Row],[檢測]]=TRUE,庫存管理[[#This Row],[投入面額]]*庫存管理[[#This Row],[換算匯率(現)]],0)</f>
        <v>3248100</v>
      </c>
      <c r="BV9" s="1555">
        <f ca="1">IF(庫存管理[[#This Row],[檢測]]=TRUE,IFERROR(庫存管理[[#This Row],[持有成本(含前手息)]]*庫存管理[[#This Row],[換算匯率(買)]],0),0)</f>
        <v>2640000</v>
      </c>
      <c r="BW9" s="1555">
        <f ca="1">IF(庫存管理[[#This Row],[檢測]]=TRUE,庫存管理[[#This Row],[持有成本(不含前手息)]]*庫存管理[[#This Row],[換算匯率(買)]],0)</f>
        <v>2588811</v>
      </c>
      <c r="BX9" s="1555">
        <f ca="1">IF(庫存管理[[#This Row],[檢測]]=TRUE,庫存管理[[#This Row],[部位現值(含前手息)]]*庫存管理[[#This Row],[換算匯率(現)]],0)</f>
        <v>3071491.0586999999</v>
      </c>
      <c r="BY9" s="1555">
        <f ca="1">IF(庫存管理[[#This Row],[檢測]]=TRUE,庫存管理[[#This Row],[部位現值(不含前手息)]]*庫存管理[[#This Row],[換算匯率(現)]],0)</f>
        <v>3016510.47</v>
      </c>
      <c r="BZ9" s="1555">
        <f ca="1">IF(庫存管理[[#This Row],[檢測]]=TRUE,IF(MF=2,庫存管理[[#This Row],[累計配息]]*庫存管理[[#This Row],[換算匯率(現)]],庫存管理[[#This Row],[已實現配息(原幣)]]*庫存管理[[#This Row],[換算匯率(現)]]),0)</f>
        <v>79172.4375</v>
      </c>
      <c r="CA9" s="1555">
        <f ca="1">庫存管理[[#This Row],[資本利損]]*庫存管理[[#This Row],[換算匯率(現)]]</f>
        <v>213163.05869999991</v>
      </c>
      <c r="CB9" s="1555">
        <f ca="1">庫存管理[[#This Row],[累計利息(台)]]+庫存管理[[#This Row],[資本貢獻(台)]]</f>
        <v>292335.49619999994</v>
      </c>
      <c r="CC9" s="574">
        <f ca="1">IF(庫存管理[[#This Row],[檢測]]=TRUE,IFERROR(庫存管理[[#This Row],[配息報酬]],0),0)</f>
        <v>2.7698863636363636E-2</v>
      </c>
      <c r="CD9" s="574">
        <f ca="1">IF(庫存管理[[#This Row],[檢測]]=TRUE,庫存管理[[#This Row],[資本報酬]],0)</f>
        <v>7.4576136363636331E-2</v>
      </c>
      <c r="CE9" s="574">
        <f ca="1">IF(S9=TRUE,IFERROR(庫存管理[[#This Row],[換匯總報酬率]]-(庫存管理[[#This Row],[配息報酬率]]+庫存管理[[#This Row],[資本報酬率]]),0),0)</f>
        <v>9.1158142500000025E-2</v>
      </c>
      <c r="CF9"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0.19343314249999999</v>
      </c>
      <c r="CG9" s="585">
        <f ca="1">IF(AND(庫存管理[[#This Row],[檢測]]=TRUE,開關=TRUE),IF(MF=2,IFERROR(BW9/$BW$1,0),IFERROR(BV9/$BV$1,0)),0)</f>
        <v>0.26506024096385544</v>
      </c>
      <c r="CH9" s="574">
        <f ca="1">IF(庫存管理[[#This Row],[檢測]]=TRUE,IF(MF=2,IFERROR(BY9/$BY$1,0),IFERROR(BX9/$BX$1,0)),0)</f>
        <v>0.28356069617920665</v>
      </c>
      <c r="CI9"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5.8609132540860483E-2</v>
      </c>
      <c r="CJ9" s="646">
        <f ca="1">DATEDIF(庫存管理[[#This Row],[買進例外調整]],庫存管理[[#This Row],[到期日]],"d")/365.25</f>
        <v>29.152635181382614</v>
      </c>
      <c r="CK9" s="734">
        <f ca="1">DATEVALUE(VLOOKUP(庫存管理[[#This Row],[商品代號]],bond!B:AF,31,FALSE))</f>
        <v>45349</v>
      </c>
      <c r="CL9" s="734">
        <f ca="1">IF(庫存管理[[#This Row],[買下配(國調)]]&lt;庫存管理[[#This Row],[第一票息日]],庫存管理[[#This Row],[第一票息日]],庫存管理[[#This Row],[買下配(國調)]])</f>
        <v>45349</v>
      </c>
      <c r="CM9" s="734">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45349</v>
      </c>
      <c r="CN9" s="735">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1</v>
      </c>
      <c r="CO9" s="735">
        <f ca="1">IF(庫存管理[[#This Row],[商品代號]]="XFM90",0,IFERROR(庫存管理[[#This Row],[單次配息(原幣)]]*庫存管理[[#This Row],[經過幾次配息]],0))</f>
        <v>2437.5</v>
      </c>
      <c r="CP9" s="735" t="str">
        <f ca="1">VLOOKUP(庫存管理[[#This Row],[商品代號]],bond!B:F,5,FALSE)</f>
        <v>US532457CG18</v>
      </c>
      <c r="CQ9" s="734">
        <f ca="1">IFERROR(VLOOKUP(庫存管理[[#This Row],[ISIN]],'7_發行日例外'!A:C,3,FALSE),IFERROR(DATEVALUE(VLOOKUP(庫存管理[[#This Row],[商品代號]],bond!B:AR,43,FALSE)),""))</f>
        <v>44984</v>
      </c>
      <c r="CR9" s="735">
        <f ca="1">DATEDIF(庫存管理[[#This Row],[起息日]],庫存管理[[#This Row],[買進前一配息日(複算)]],"d")</f>
        <v>181</v>
      </c>
      <c r="CS9"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9" s="734">
        <f ca="1">IFERROR(VLOOKUP(庫存管理[[#This Row],[ISIN]],'7_發行日例外'!A:D,4,FALSE),DATEVALUE(VLOOKUP(庫存管理[[#This Row],[商品代號]],bond!B:AV,44,FALSE)))</f>
        <v>45165</v>
      </c>
      <c r="CU9" s="735" t="str">
        <f ca="1">VLOOKUP(庫存管理[[#This Row],[商品代號]],bond!B:AU,46,FALSE)</f>
        <v>STREET CONVENTION</v>
      </c>
      <c r="CV9" s="735" t="str">
        <f ca="1">IF(庫存管理[[#This Row],[計息基礎]]=1,CHOOSE(庫存管理[[#This Row],[對應編碼]],"沒進位","","沒進位",IF(庫存管理[[#This Row],[計算類型]]="AUSTRALIA:EX-DIV","4捨五入進0.01%","沒進位"),"年/2去計算ACT","沒進位","沒進位"),"")</f>
        <v/>
      </c>
      <c r="CW9" s="735">
        <f ca="1">_xlfn.DAYS(庫存管理[[#This Row],[買進例外調整]],庫存管理[[#This Row],[買進前一個配息日(最終)]])</f>
        <v>129</v>
      </c>
      <c r="CX9" s="735">
        <f ca="1">IF(庫存管理[[#This Row],[備註]]="年/2去計算ACT",365/2,_xlfn.DAYS(庫存管理[[#This Row],[買進時的下個配息日]],庫存管理[[#This Row],[買進前一個配息日(最終)]]))</f>
        <v>184</v>
      </c>
      <c r="CY9" s="767">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1.7089000000000001</v>
      </c>
      <c r="CZ9" s="767">
        <f ca="1">_xlfn.DAYS(庫存管理[[#This Row],[交割日]],庫存管理[[#This Row],[買進前一個配息日(最終)]])</f>
        <v>310</v>
      </c>
      <c r="DA9" s="767">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4.1067</v>
      </c>
      <c r="DB9" s="767">
        <f ca="1">_xlfn.DAYS(庫存管理[[#This Row],[交割日]],庫存管理[[#This Row],[最近的上一票息日]])</f>
        <v>126</v>
      </c>
      <c r="DC9" s="767">
        <f ca="1">IF(庫存管理[[#This Row],[備註]]="年/2去計算ACT",365/2,_xlfn.DAYS(庫存管理[[#This Row],[下一配息日]],庫存管理[[#This Row],[最近的上一票息日]]))</f>
        <v>182</v>
      </c>
      <c r="DD9" s="767">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1.6875</v>
      </c>
      <c r="DE9" s="739">
        <f ca="1">CL9-庫存管理[[#This Row],[ex_div_days]]</f>
        <v>45349</v>
      </c>
      <c r="DF9" s="646">
        <f ca="1">IF(VLOOKUP(庫存管理[[#This Row],[商品代號]],bond!B:AT,45,FALSE)="#N/A Field Not Applicable",0,VLOOKUP(庫存管理[[#This Row],[商品代號]],bond!B:AT,45,FALSE))</f>
        <v>0</v>
      </c>
      <c r="DG9" s="793">
        <f ca="1">IF(庫存管理[[#This Row],[ex_div_days]]&lt;&gt;0,IF(AND(庫存管理[[#This Row],[買進例外調整]]-庫存管理[[#This Row],[買進下一個配息日先減n天]]&gt;=0,庫存管理[[#This Row],[買進時的下個配息日]]-庫存管理[[#This Row],[買進例外調整]]&gt;0),1,0),0)</f>
        <v>0</v>
      </c>
      <c r="DH9" s="784">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-0.73119999999999996</v>
      </c>
      <c r="DI9" s="734">
        <f ca="1">庫存管理[[#This Row],[下一配息日]]-庫存管理[[#This Row],[ex_div_days]]</f>
        <v>45531</v>
      </c>
      <c r="DJ9" s="1081">
        <f ca="1">IF(庫存管理[[#This Row],[ex_div_days]]&lt;&gt;0,IF(AND(庫存管理[[#This Row],[交割日]]-庫存管理[[#This Row],[交割下個配息日先減n天]]&gt;=0,庫存管理[[#This Row],[下一配息日]]-庫存管理[[#This Row],[交割日]]&gt;0),1,0),0)</f>
        <v>0</v>
      </c>
      <c r="DK9" s="1067">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-0.74480000000000002</v>
      </c>
      <c r="DL9" s="735">
        <f ca="1">IFERROR(VLOOKUP(庫存管理[[#This Row],[商品代號]],bond!B:X,21,FALSE),0)</f>
        <v>14.7681</v>
      </c>
      <c r="DM9" s="735">
        <f ca="1">IFERROR(VLOOKUP(I9,bond!B:J,9,FALSE),0)</f>
        <v>94.51</v>
      </c>
      <c r="DN9" s="1188">
        <f ca="1">IF(AND(開關=TRUE,庫存管理[[#This Row],[投組檢測]]=TRUE),IF(MF=2,IFERROR(BW9/$BW$3,0),IFERROR(BV9/$BV$3,0)),0)</f>
        <v>0</v>
      </c>
      <c r="DO9" s="735">
        <f ca="1">IFERROR(庫存管理[[#This Row],[clean申購價]]/100*庫存管理[[#This Row],[投入面額]]*庫存管理[[#This Row],[MOD]]*0.01,0)</f>
        <v>13957.331310000001</v>
      </c>
      <c r="DP9" s="1298">
        <f ca="1">IF($C$16=1,庫存管理[[#This Row],[單次配息(台幣)]],庫存管理[[#This Row],[單次配息(原幣)]])</f>
        <v>2437.5</v>
      </c>
      <c r="DQ9" s="1298">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2437.5</v>
      </c>
      <c r="DR9" s="1298" t="str">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
      </c>
      <c r="DS9" s="1298" t="str">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
      </c>
      <c r="DT9" s="1298" t="str">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
      </c>
      <c r="DU9" s="1298" t="str">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
      </c>
      <c r="DV9" s="1298" t="str">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
      </c>
      <c r="DW9" s="1298">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2437.5</v>
      </c>
      <c r="DX9" s="1298" t="str">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
      </c>
      <c r="DY9" s="1298" t="str">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
      </c>
      <c r="DZ9" s="1298" t="str">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
      </c>
      <c r="EA9" s="1298" t="str">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
      </c>
      <c r="EB9" s="1298" t="str">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
      </c>
      <c r="EC9" s="33"/>
      <c r="ED9" s="33"/>
      <c r="EE9" s="33"/>
      <c r="EF9" s="33"/>
      <c r="EG9" s="33"/>
      <c r="EH9" s="33"/>
      <c r="EI9" s="33"/>
      <c r="EJ9" s="33"/>
      <c r="EK9" s="33"/>
      <c r="EL9" s="33"/>
      <c r="EM9" s="33"/>
      <c r="EN9" s="33"/>
      <c r="EO9" s="33"/>
      <c r="EP9" s="33"/>
      <c r="EQ9" s="33"/>
      <c r="ER9" s="33"/>
      <c r="ES9" s="33"/>
      <c r="ET9" s="33"/>
      <c r="EU9" s="33"/>
      <c r="EV9" s="33"/>
      <c r="EW9" s="33"/>
      <c r="EX9" s="33"/>
      <c r="EY9" s="33"/>
      <c r="EZ9" s="33"/>
      <c r="FA9" s="33"/>
      <c r="FB9" s="33"/>
      <c r="FC9" s="33"/>
      <c r="FD9" s="33"/>
      <c r="FE9" s="33"/>
      <c r="FF9" s="33"/>
      <c r="FG9" s="33"/>
      <c r="FH9" s="33"/>
      <c r="FI9" s="33"/>
      <c r="FJ9" s="33"/>
      <c r="FK9" s="33"/>
      <c r="FL9" s="33"/>
      <c r="FM9" s="33"/>
      <c r="FN9" s="33"/>
      <c r="FO9" s="33"/>
      <c r="FP9" s="33"/>
      <c r="FQ9" s="33"/>
      <c r="FR9" s="33"/>
      <c r="FS9" s="33"/>
      <c r="FT9" s="33"/>
      <c r="FU9" s="33"/>
      <c r="FV9" s="33"/>
      <c r="FW9" s="33"/>
      <c r="FX9" s="33"/>
      <c r="FY9" s="33"/>
      <c r="FZ9" s="33"/>
      <c r="GA9" s="33"/>
      <c r="GB9" s="33"/>
      <c r="GC9" s="33"/>
      <c r="GD9" s="33"/>
      <c r="GE9" s="33"/>
      <c r="GF9" s="33"/>
      <c r="GG9" s="33"/>
      <c r="GH9" s="33"/>
      <c r="GI9" s="33"/>
      <c r="GJ9" s="33"/>
      <c r="GK9" s="33"/>
      <c r="GL9" s="33"/>
      <c r="GM9" s="33"/>
      <c r="GN9" s="33"/>
      <c r="GO9" s="33"/>
      <c r="GP9" s="33"/>
      <c r="GQ9" s="33"/>
      <c r="GR9" s="33"/>
      <c r="GS9" s="33"/>
      <c r="GT9" s="33"/>
      <c r="GU9" s="33"/>
      <c r="GV9" s="33"/>
      <c r="GW9" s="33"/>
      <c r="GX9" s="33"/>
      <c r="GY9" s="33"/>
      <c r="GZ9" s="33"/>
      <c r="HA9" s="33"/>
      <c r="HB9" s="33"/>
      <c r="HC9" s="33"/>
      <c r="HD9" s="33"/>
      <c r="HE9" s="33"/>
      <c r="HF9" s="33"/>
      <c r="HG9" s="33"/>
      <c r="HH9" s="33"/>
      <c r="HI9" s="33"/>
      <c r="HJ9" s="33"/>
      <c r="HK9" s="33"/>
      <c r="HL9" s="33"/>
      <c r="HM9" s="33"/>
      <c r="HN9" s="33"/>
      <c r="HO9" s="33"/>
      <c r="HP9" s="33"/>
      <c r="HQ9" s="33"/>
      <c r="HR9" s="33"/>
      <c r="HS9" s="33"/>
      <c r="HT9" s="33"/>
      <c r="HU9" s="33"/>
    </row>
    <row r="10" spans="1:1104" ht="19.5" customHeight="1">
      <c r="B10" s="613" t="s">
        <v>1947</v>
      </c>
      <c r="C10" s="613">
        <v>2</v>
      </c>
      <c r="G10" s="459">
        <v>4</v>
      </c>
      <c r="H10" s="1166" t="b">
        <f ca="1">IFERROR(IF(VLOOKUP(G10,換券投組!$AH$8:$AH$13,1,FALSE)&gt;0,TRUE,FALSE),FALSE)</f>
        <v>0</v>
      </c>
      <c r="I10" s="1693" t="str">
        <f ca="1">IF(開關=TRUE,'商品代碼-中繼頁'!R5,"")</f>
        <v>XH040</v>
      </c>
      <c r="J10" s="429">
        <f ca="1">IFERROR(VLOOKUP(I10,bond!B:I,8,FALSE),0)</f>
        <v>85.21</v>
      </c>
      <c r="K10" s="429">
        <f ca="1">IFERROR(庫存管理[[#This Row],[買價]]+VLOOKUP(庫存管理[[#This Row],[商品代號]],bond!B:K,10,FALSE),0)</f>
        <v>86.903499999999994</v>
      </c>
      <c r="L10" s="430" t="str">
        <f ca="1">VLOOKUP(I10,'銀行-TSS'!B:E,4,FALSE)</f>
        <v>Aa3 / AA- / -</v>
      </c>
      <c r="M10" s="431">
        <f ca="1">IFERROR(VLOOKUP($I10,'銀行-TSS'!B:G,6,FALSE),0)</f>
        <v>28.12</v>
      </c>
      <c r="N10" s="432">
        <f ca="1">IFERROR(DATEVALUE(VLOOKUP($I10,'銀行-TSS'!B:F,5,FALSE)),VLOOKUP($I10,'銀行-TSS'!B:F,5,FALSE))</f>
        <v>55746</v>
      </c>
      <c r="O10" s="433">
        <f ca="1">IFERROR(VLOOKUP($I10,'銀行-TSS'!B:H,7,FALSE),0)</f>
        <v>4.4500000000000005E-2</v>
      </c>
      <c r="P10" s="433">
        <f ca="1">庫存管理[[#This Row],[票面利率]]/庫存管理[[#This Row],[成本價(不含前手息)]]*100</f>
        <v>5.1567776281604097E-2</v>
      </c>
      <c r="Q10" s="434">
        <f ca="1">IFERROR(VLOOKUP($I10,'銀行-TSS'!B:I,8,FALSE),"")</f>
        <v>2</v>
      </c>
      <c r="R10" s="440">
        <f ca="1">_xlfn.IFNA(IFERROR(DATEVALUE(VLOOKUP($I10,'銀行-TSS'!B:P,15,FALSE)),VLOOKUP($I10,'銀行-TSS'!B:P,15,FALSE)),"")</f>
        <v>45519</v>
      </c>
      <c r="S10" s="570" t="b">
        <f ca="1">IF(AND(庫存管理[[#This Row],[配息頻率]]&lt;&gt;"",庫存管理[[#This Row],[持有成本(不含前手息)]]&lt;&gt;0,庫存管理[[#This Row],[買進日]]&lt;&gt;""),TRUE,FALSE)</f>
        <v>1</v>
      </c>
      <c r="T10" s="602">
        <f>IFERROR(DATE(LEFT('商品代碼-中繼頁'!S5,4),MID('商品代碼-中繼頁'!S5,5,2),RIGHT('商品代碼-中繼頁'!S5,2)),"")</f>
        <v>45292</v>
      </c>
      <c r="U10" s="602">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45294</v>
      </c>
      <c r="V10" s="442">
        <f ca="1">IFERROR(WORKDAY(庫存管理[[#This Row],[買進日]],VLOOKUP(庫存管理[[#This Row],[商品代號]],'1_重設數據'!R:S,2,FALSE),休USD),庫存管理[[#This Row],[買進日(T+2/公債T+1)]])</f>
        <v>45294</v>
      </c>
      <c r="W10" s="43">
        <f>'商品代碼-中繼頁'!T5</f>
        <v>100000</v>
      </c>
      <c r="X10" s="43">
        <f>'商品代碼-中繼頁'!U5</f>
        <v>88000</v>
      </c>
      <c r="Y10" s="464">
        <f t="shared" ca="1" si="9"/>
        <v>86294.2</v>
      </c>
      <c r="Z10" s="464">
        <f t="shared" ref="Z10:Z18" ca="1" si="13">ROUND(K10*W10/100,2)</f>
        <v>86903.5</v>
      </c>
      <c r="AA10" s="465">
        <f t="shared" ca="1" si="10"/>
        <v>85210</v>
      </c>
      <c r="AB10" s="474">
        <f ca="1">IF(MF=2,庫存管理[[#This Row],[部位現值(不含前手息)]]-庫存管理[[#This Row],[持有成本(不含前手息)]],庫存管理[[#This Row],[部位現值(含前手息)]]-庫存管理[[#This Row],[持有成本(含前手息)]])</f>
        <v>-1096.5</v>
      </c>
      <c r="AC10" s="462">
        <f ca="1">IF(庫存管理[[#This Row],[檢測]]=TRUE,IF(MF=2,IFERROR(庫存管理[[#This Row],[資本利損]]/庫存管理[[#This Row],[持有成本(不含前手息)]],0),IFERROR(庫存管理[[#This Row],[資本利損]]/庫存管理[[#This Row],[持有成本(含前手息)]],0)),0)</f>
        <v>-1.2460227272727272E-2</v>
      </c>
      <c r="AD10" s="618">
        <f ca="1">庫存管理[[#This Row],[持有成本(不含前手息)]]/庫存管理[[#This Row],[投入面額]]*100</f>
        <v>86.294200000000004</v>
      </c>
      <c r="AE10" s="462" t="str">
        <f ca="1">IFERROR(VLOOKUP(庫存管理[[#This Row],[商品代號]],bond!B:AA,26,FALSE),"")</f>
        <v>Meta平台公司</v>
      </c>
      <c r="AF10" s="1" t="str">
        <f ca="1">IFERROR(VLOOKUP($I10,'銀行-TSS'!B:Q,16,FALSE),"")</f>
        <v>通訊</v>
      </c>
      <c r="AG10" s="466">
        <f t="shared" ca="1" si="1"/>
        <v>4450.0000000000009</v>
      </c>
      <c r="AH10" s="458">
        <f ca="1">IF(OR(庫存管理[[#This Row],[起息日]]&gt;庫存管理[[#This Row],[買進前一配息日(複算)]],庫存管理[[#This Row],[判斷]]=TRUE),庫存管理[[#This Row],[起息日]],庫存管理[[#This Row],[買進前一配息日(複算)]])</f>
        <v>45153</v>
      </c>
      <c r="AI10" s="577" t="str">
        <f ca="1">VLOOKUP(I10,bond!B:AP,41,FALSE)</f>
        <v>30/360</v>
      </c>
      <c r="AJ10" s="578">
        <f t="shared" ca="1" si="2"/>
        <v>0</v>
      </c>
      <c r="AK10" s="579">
        <f ca="1">IFERROR(IF(庫存管理[[#This Row],[買進日是否落入record date]]=1,庫存管理[[#This Row],[record date制度前手息]],庫存管理[[#This Row],[計算前手息(初算)]]),0)</f>
        <v>1.7058</v>
      </c>
      <c r="AL10" s="579">
        <f ca="1">IF(OR(庫存管理[[#This Row],[買進例外調整]]&lt;庫存管理[[#This Row],[起息日]],庫存管理[[#This Row],[買進例外調整]]&gt;庫存管理[[#This Row],[到期日]]),0,IF(庫存管理[[#This Row],[備註]]&lt;&gt;"",庫存管理[[#This Row],[買進時前手息]],IFERROR(ROUND(ACCRINT(AH10,AH10,V10,O10,100,Q10,AJ10,TRUE),4),0)))</f>
        <v>1.7058</v>
      </c>
      <c r="AM10" s="580">
        <f t="shared" ca="1" si="11"/>
        <v>1705.8</v>
      </c>
      <c r="AN10" s="440">
        <f ca="1">IFERROR(DATEVALUE(VLOOKUP(I10,bond!B:I,7,FALSE)),VLOOKUP(I10,bond!B:I,7,FALSE))</f>
        <v>45475</v>
      </c>
      <c r="AO10" s="1064">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2.2126999999999999</v>
      </c>
      <c r="AP10" s="1075">
        <f ca="1">IFERROR(IF(庫存管理[[#This Row],[交割日是否落入record date]]=1,庫存管理[[#This Row],[交_record date制度前手息]],庫存管理[[#This Row],[計算交割前手息(初算)]]),0)</f>
        <v>1.6935</v>
      </c>
      <c r="AQ10" s="1064">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1.6935</v>
      </c>
      <c r="AR10" s="1063">
        <f ca="1">ROUND(庫存管理[[#This Row],[計算交割前手息(複算)]]*庫存管理[[#This Row],[投入面額]]/100,2)</f>
        <v>1693.5</v>
      </c>
      <c r="AS10" s="1064">
        <f ca="1">IF(庫存管理[[#This Row],[配息頻率]]=0,0,(100*庫存管理[[#This Row],[票面利率]]/庫存管理[[#This Row],[配息頻率]])*庫存管理[[#This Row],[經過幾次配息]]+庫存管理[[#This Row],[計算交割前手息(複算)]]-庫存管理[[#This Row],[計算前手息(複算)]])</f>
        <v>2.2126999999999999</v>
      </c>
      <c r="AT10" s="581">
        <f ca="1">IF(庫存管理[[#This Row],[商品代號]]="XFM90",0,ROUND(AS10*W10/100,2))</f>
        <v>2212.6999999999998</v>
      </c>
      <c r="AU10" s="582">
        <f ca="1">IF(MF=2,IFERROR(庫存管理[[#This Row],[累計配息]]/庫存管理[[#This Row],[持有成本(不含前手息)]],0),IFERROR(庫存管理[[#This Row],[已實現配息(原幣)]]/庫存管理[[#This Row],[持有成本(含前手息)]],0))</f>
        <v>2.5284090909090916E-2</v>
      </c>
      <c r="AV10" s="583">
        <f ca="1">IF(MF=2,庫存管理[[#This Row],[資本利損]]+庫存管理[[#This Row],[累計配息]],庫存管理[[#This Row],[資本利損]]+庫存管理[[#This Row],[已實現配息(原幣)]])</f>
        <v>1128.5000000000005</v>
      </c>
      <c r="AW10" s="584">
        <f ca="1">IF(庫存管理[[#This Row],[檢測]]=TRUE,IF(MF=2,IFERROR(庫存管理[[#This Row],[合計收益]]/庫存管理[[#This Row],[持有成本(不含前手息)]],0),IFERROR(庫存管理[[#This Row],[合計收益]]/庫存管理[[#This Row],[持有成本(含前手息)]],0)),0)</f>
        <v>1.2823863636363642E-2</v>
      </c>
      <c r="AX10" s="434">
        <f t="shared" ca="1" si="12"/>
        <v>2</v>
      </c>
      <c r="AY10" s="434">
        <f t="shared" ca="1" si="3"/>
        <v>8</v>
      </c>
      <c r="AZ10" s="434">
        <f t="shared" ca="1" si="4"/>
        <v>0</v>
      </c>
      <c r="BA10" s="434">
        <f t="shared" ca="1" si="5"/>
        <v>0</v>
      </c>
      <c r="BB10" s="441">
        <f ca="1">IF(AND(庫存管理[[#This Row],[名稱]]="美國國庫債券",DAY(庫存管理[[#This Row],[買進前一配息日(初算)]])&gt;=28),EOMONTH(庫存管理[[#This Row],[買進前一配息日(初算)]],0),庫存管理[[#This Row],[買進前一配息日(初算)]])</f>
        <v>45153</v>
      </c>
      <c r="BC10" s="441">
        <f t="shared" ca="1" si="6"/>
        <v>45153</v>
      </c>
      <c r="BD10" s="444">
        <f t="shared" ca="1" si="7"/>
        <v>2024</v>
      </c>
      <c r="BE10" s="441">
        <f ca="1">IF(Q10&gt;0,IF(MONTH(DATE(BD10,AX10,DAY(R10)))&lt;&gt;庫存管理[[#This Row],[第一個配息月]],DATE(BD10,AX10+1,0),DATE(BD10,AX10,DAY(R10))),庫存管理[[#This Row],[買進例外調整]]+100)</f>
        <v>45337</v>
      </c>
      <c r="BF10" s="441">
        <f ca="1">IF(AY10&lt;&gt;0,IF(MONTH(DATE(BD10,AY10,DAY(R10)))&lt;&gt;庫存管理[[#This Row],[第二個配息月]],DATE(BD10,AY10+1,0),DATE(BD10,AY10,DAY(R10))),庫存管理[[#This Row],[買進例外調整]]+100)</f>
        <v>45519</v>
      </c>
      <c r="BG10" s="441">
        <f ca="1">IF(AZ10&lt;&gt;0,IF(MONTH(DATE(BD10,AZ10,DAY(R10)))&lt;&gt;庫存管理[[#This Row],[第三個配息月]],DATE(BD10,AZ10+1,0),DATE(BD10,AZ10,DAY(R10))),庫存管理[[#This Row],[買進例外調整]]+100)</f>
        <v>45394</v>
      </c>
      <c r="BH10" s="441">
        <f ca="1">IF(BA10&lt;&gt;0,IF(MONTH(DATE(BD10,BA10,DAY(R10)))&lt;&gt;庫存管理[[#This Row],[第四個配息月]],DATE(BD10,BA10+1,0),DATE(BD10,BA10,DAY(R10))),庫存管理[[#This Row],[買進例外調整]]+100)</f>
        <v>45394</v>
      </c>
      <c r="BI10" s="441">
        <f ca="1">IF(Q10=1,IF(MONTH(DATE(BD10-1,AX10,DAY(R10)))&lt;&gt;庫存管理[[#This Row],[第一個配息月]],DATE(BD10-1,AX10+1,0),DATE(BD10-1,AX10,DAY(R10))),IF(Q10=2,IF(MONTH(DATE(BD10-1,AY10,DAY(R10)))&lt;&gt;庫存管理[[#This Row],[第二個配息月]],DATE(BD10-1,AY10+1,0),DATE(BD10-1,AY10,DAY(R10))),IF(Q10=4,IF(MONTH(DATE(BD10-1,BA10,DAY(R10)))&lt;&gt;庫存管理[[#This Row],[第四個配息月]],DATE(BD10-1,BA10+1,0),DATE(BD10-1,BA10,DAY(R10))),庫存管理[[#This Row],[買進例外調整]]+100)))</f>
        <v>45153</v>
      </c>
      <c r="BJ10" s="445">
        <f t="shared" ca="1" si="8"/>
        <v>10000</v>
      </c>
      <c r="BK10" s="445">
        <f t="shared" ca="1" si="8"/>
        <v>10000</v>
      </c>
      <c r="BL10" s="445">
        <f t="shared" ca="1" si="8"/>
        <v>10000</v>
      </c>
      <c r="BM10" s="445">
        <f t="shared" ca="1" si="8"/>
        <v>10000</v>
      </c>
      <c r="BN10" s="455">
        <f t="shared" ca="1" si="8"/>
        <v>141</v>
      </c>
      <c r="BO10" s="479">
        <f ca="1">庫存管理[[#This Row],[年度配息]]/庫存管理[[#This Row],[配息頻率]]</f>
        <v>2225.0000000000005</v>
      </c>
      <c r="BP10" s="479">
        <f ca="1">庫存管理[[#This Row],[單次配息(原幣)]]*庫存管理[[#This Row],[換算匯率(現)]]</f>
        <v>72270.22500000002</v>
      </c>
      <c r="BQ10" s="479" t="str">
        <f ca="1">IF(庫存管理[[#This Row],[商品代號]]&lt;&gt;"",IFERROR(VLOOKUP($I10,'銀行-TSS'!B:C,2,FALSE),""),"")</f>
        <v>USD</v>
      </c>
      <c r="BR10" s="479">
        <f ca="1">VLOOKUP(庫存管理[[#This Row],[幣別]],$B$37:$C$43,2,FALSE)</f>
        <v>1</v>
      </c>
      <c r="BS10" s="500">
        <f ca="1">CHOOSE(庫存管理[[#This Row],[對應編碼]],$D$37,$D$38,$D$39,$D$40,$D$41,$D$42,$D$43)</f>
        <v>30</v>
      </c>
      <c r="BT10" s="500">
        <f ca="1">IF(庫存管理[[#This Row],[商品代號]]="",0,CHOOSE(庫存管理[[#This Row],[對應編碼]],$E$37,$E$38,$E$39,$E$40,$E$41,$E$42,$E$43))</f>
        <v>32.481000000000002</v>
      </c>
      <c r="BU10" s="1555">
        <f ca="1">IF(庫存管理[[#This Row],[檢測]]=TRUE,庫存管理[[#This Row],[投入面額]]*庫存管理[[#This Row],[換算匯率(現)]],0)</f>
        <v>3248100</v>
      </c>
      <c r="BV10" s="1555">
        <f ca="1">IF(庫存管理[[#This Row],[檢測]]=TRUE,IFERROR(庫存管理[[#This Row],[持有成本(含前手息)]]*庫存管理[[#This Row],[換算匯率(買)]],0),0)</f>
        <v>2640000</v>
      </c>
      <c r="BW10" s="1555">
        <f ca="1">IF(庫存管理[[#This Row],[檢測]]=TRUE,庫存管理[[#This Row],[持有成本(不含前手息)]]*庫存管理[[#This Row],[換算匯率(買)]],0)</f>
        <v>2588826</v>
      </c>
      <c r="BX10" s="1555">
        <f ca="1">IF(庫存管理[[#This Row],[檢測]]=TRUE,庫存管理[[#This Row],[部位現值(含前手息)]]*庫存管理[[#This Row],[換算匯率(現)]],0)</f>
        <v>2822712.5835000002</v>
      </c>
      <c r="BY10" s="1555">
        <f ca="1">IF(庫存管理[[#This Row],[檢測]]=TRUE,庫存管理[[#This Row],[部位現值(不含前手息)]]*庫存管理[[#This Row],[換算匯率(現)]],0)</f>
        <v>2767706.0100000002</v>
      </c>
      <c r="BZ10" s="1555">
        <f ca="1">IF(庫存管理[[#This Row],[檢測]]=TRUE,IF(MF=2,庫存管理[[#This Row],[累計配息]]*庫存管理[[#This Row],[換算匯率(現)]],庫存管理[[#This Row],[已實現配息(原幣)]]*庫存管理[[#This Row],[換算匯率(現)]]),0)</f>
        <v>72270.22500000002</v>
      </c>
      <c r="CA10" s="1555">
        <f ca="1">庫存管理[[#This Row],[資本利損]]*庫存管理[[#This Row],[換算匯率(現)]]</f>
        <v>-35615.416499999999</v>
      </c>
      <c r="CB10" s="1555">
        <f ca="1">庫存管理[[#This Row],[累計利息(台)]]+庫存管理[[#This Row],[資本貢獻(台)]]</f>
        <v>36654.808500000021</v>
      </c>
      <c r="CC10" s="574">
        <f ca="1">IF(庫存管理[[#This Row],[檢測]]=TRUE,IFERROR(庫存管理[[#This Row],[配息報酬]],0),0)</f>
        <v>2.5284090909090916E-2</v>
      </c>
      <c r="CD10" s="574">
        <f ca="1">IF(庫存管理[[#This Row],[檢測]]=TRUE,庫存管理[[#This Row],[資本報酬]],0)</f>
        <v>-1.2460227272727272E-2</v>
      </c>
      <c r="CE10" s="574">
        <f ca="1">IF(S10=TRUE,IFERROR(庫存管理[[#This Row],[換匯總報酬率]]-(庫存管理[[#This Row],[配息報酬率]]+庫存管理[[#This Row],[資本報酬率]]),0),0)</f>
        <v>8.3760533522727304E-2</v>
      </c>
      <c r="CF10"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9.6584397159090951E-2</v>
      </c>
      <c r="CG10" s="585">
        <f ca="1">IF(AND(庫存管理[[#This Row],[檢測]]=TRUE,開關=TRUE),IF(MF=2,IFERROR(BW10/$BW$1,0),IFERROR(BV10/$BV$1,0)),0)</f>
        <v>0.26506024096385544</v>
      </c>
      <c r="CH10" s="574">
        <f ca="1">IF(庫存管理[[#This Row],[檢測]]=TRUE,IF(MF=2,IFERROR(BY10/$BY$1,0),IFERROR(BX10/$BX$1,0)),0)</f>
        <v>0.26059341537847047</v>
      </c>
      <c r="CI10"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5.3951707061733779E-2</v>
      </c>
      <c r="CJ10" s="646">
        <f ca="1">DATEDIF(庫存管理[[#This Row],[買進例外調整]],庫存管理[[#This Row],[到期日]],"d")/365.25</f>
        <v>28.616016427104721</v>
      </c>
      <c r="CK10" s="734">
        <f ca="1">DATEVALUE(VLOOKUP(庫存管理[[#This Row],[商品代號]],bond!B:AF,31,FALSE))</f>
        <v>45337</v>
      </c>
      <c r="CL10" s="734">
        <f ca="1">IF(庫存管理[[#This Row],[買下配(國調)]]&lt;庫存管理[[#This Row],[第一票息日]],庫存管理[[#This Row],[第一票息日]],庫存管理[[#This Row],[買下配(國調)]])</f>
        <v>45337</v>
      </c>
      <c r="CM10" s="734">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45337</v>
      </c>
      <c r="CN10" s="735">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1</v>
      </c>
      <c r="CO10" s="735">
        <f ca="1">IF(庫存管理[[#This Row],[商品代號]]="XFM90",0,IFERROR(庫存管理[[#This Row],[單次配息(原幣)]]*庫存管理[[#This Row],[經過幾次配息]],0))</f>
        <v>2225.0000000000005</v>
      </c>
      <c r="CP10" s="735" t="str">
        <f ca="1">VLOOKUP(庫存管理[[#This Row],[商品代號]],bond!B:F,5,FALSE)</f>
        <v>US30303M8J41</v>
      </c>
      <c r="CQ10" s="734">
        <f ca="1">IFERROR(VLOOKUP(庫存管理[[#This Row],[ISIN]],'7_發行日例外'!A:C,3,FALSE),IFERROR(DATEVALUE(VLOOKUP(庫存管理[[#This Row],[商品代號]],bond!B:AR,43,FALSE)),""))</f>
        <v>44782</v>
      </c>
      <c r="CR10" s="735">
        <f ca="1">DATEDIF(庫存管理[[#This Row],[起息日]],庫存管理[[#This Row],[買進前一配息日(複算)]],"d")</f>
        <v>371</v>
      </c>
      <c r="CS10"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0" s="734">
        <f ca="1">IFERROR(VLOOKUP(庫存管理[[#This Row],[ISIN]],'7_發行日例外'!A:D,4,FALSE),DATEVALUE(VLOOKUP(庫存管理[[#This Row],[商品代號]],bond!B:AV,44,FALSE)))</f>
        <v>44972</v>
      </c>
      <c r="CU10" s="735" t="str">
        <f ca="1">VLOOKUP(庫存管理[[#This Row],[商品代號]],bond!B:AU,46,FALSE)</f>
        <v>STREET CONVENTION</v>
      </c>
      <c r="CV10" s="735" t="str">
        <f ca="1">IF(庫存管理[[#This Row],[計息基礎]]=1,CHOOSE(庫存管理[[#This Row],[對應編碼]],"沒進位","","沒進位",IF(庫存管理[[#This Row],[計算類型]]="AUSTRALIA:EX-DIV","4捨五入進0.01%","沒進位"),"年/2去計算ACT","沒進位","沒進位"),"")</f>
        <v/>
      </c>
      <c r="CW10" s="735">
        <f ca="1">_xlfn.DAYS(庫存管理[[#This Row],[買進例外調整]],庫存管理[[#This Row],[買進前一個配息日(最終)]])</f>
        <v>141</v>
      </c>
      <c r="CX10" s="735">
        <f ca="1">IF(庫存管理[[#This Row],[備註]]="年/2去計算ACT",365/2,_xlfn.DAYS(庫存管理[[#This Row],[買進時的下個配息日]],庫存管理[[#This Row],[買進前一個配息日(最終)]]))</f>
        <v>184</v>
      </c>
      <c r="CY10" s="767">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1.7050000000000001</v>
      </c>
      <c r="CZ10" s="767">
        <f ca="1">_xlfn.DAYS(庫存管理[[#This Row],[交割日]],庫存管理[[#This Row],[買進前一個配息日(最終)]])</f>
        <v>322</v>
      </c>
      <c r="DA10" s="767">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3.8938000000000001</v>
      </c>
      <c r="DB10" s="767">
        <f ca="1">_xlfn.DAYS(庫存管理[[#This Row],[交割日]],庫存管理[[#This Row],[最近的上一票息日]])</f>
        <v>138</v>
      </c>
      <c r="DC10" s="767">
        <f ca="1">IF(庫存管理[[#This Row],[備註]]="年/2去計算ACT",365/2,_xlfn.DAYS(庫存管理[[#This Row],[下一配息日]],庫存管理[[#This Row],[最近的上一票息日]]))</f>
        <v>182</v>
      </c>
      <c r="DD10" s="767">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1.6871</v>
      </c>
      <c r="DE10" s="739">
        <f ca="1">CL10-庫存管理[[#This Row],[ex_div_days]]</f>
        <v>45337</v>
      </c>
      <c r="DF10" s="646">
        <f ca="1">IF(VLOOKUP(庫存管理[[#This Row],[商品代號]],bond!B:AT,45,FALSE)="#N/A Field Not Applicable",0,VLOOKUP(庫存管理[[#This Row],[商品代號]],bond!B:AT,45,FALSE))</f>
        <v>0</v>
      </c>
      <c r="DG10" s="793">
        <f ca="1">IF(庫存管理[[#This Row],[ex_div_days]]&lt;&gt;0,IF(AND(庫存管理[[#This Row],[買進例外調整]]-庫存管理[[#This Row],[買進下一個配息日先減n天]]&gt;=0,庫存管理[[#This Row],[買進時的下個配息日]]-庫存管理[[#This Row],[買進例外調整]]&gt;0),1,0),0)</f>
        <v>0</v>
      </c>
      <c r="DH10" s="784">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-0.51919999999999999</v>
      </c>
      <c r="DI10" s="734">
        <f ca="1">庫存管理[[#This Row],[下一配息日]]-庫存管理[[#This Row],[ex_div_days]]</f>
        <v>45519</v>
      </c>
      <c r="DJ10" s="1081">
        <f ca="1">IF(庫存管理[[#This Row],[ex_div_days]]&lt;&gt;0,IF(AND(庫存管理[[#This Row],[交割日]]-庫存管理[[#This Row],[交割下個配息日先減n天]]&gt;=0,庫存管理[[#This Row],[下一配息日]]-庫存管理[[#This Row],[交割日]]&gt;0),1,0),0)</f>
        <v>0</v>
      </c>
      <c r="DK10" s="1067">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-0.53149999999999997</v>
      </c>
      <c r="DL10" s="735">
        <f ca="1">IFERROR(VLOOKUP(庫存管理[[#This Row],[商品代號]],bond!B:X,21,FALSE),0)</f>
        <v>14.818899999999999</v>
      </c>
      <c r="DM10" s="735">
        <f ca="1">IFERROR(VLOOKUP(I10,bond!B:J,9,FALSE),0)</f>
        <v>86.7</v>
      </c>
      <c r="DN10" s="1188">
        <f ca="1">IF(AND(開關=TRUE,庫存管理[[#This Row],[投組檢測]]=TRUE),IF(MF=2,IFERROR(BW10/$BW$3,0),IFERROR(BV10/$BV$3,0)),0)</f>
        <v>0</v>
      </c>
      <c r="DO10" s="735">
        <f ca="1">IFERROR(庫存管理[[#This Row],[clean申購價]]/100*庫存管理[[#This Row],[投入面額]]*庫存管理[[#This Row],[MOD]]*0.01,0)</f>
        <v>12847.986299999999</v>
      </c>
      <c r="DP10" s="1298">
        <f ca="1">IF($C$16=1,庫存管理[[#This Row],[單次配息(台幣)]],庫存管理[[#This Row],[單次配息(原幣)]])</f>
        <v>2225.0000000000005</v>
      </c>
      <c r="DQ10" s="1298">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2225.0000000000005</v>
      </c>
      <c r="DR10" s="1298" t="str">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
      </c>
      <c r="DS10" s="1298" t="str">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
      </c>
      <c r="DT10" s="1298" t="str">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
      </c>
      <c r="DU10" s="1298" t="str">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
      </c>
      <c r="DV10" s="1298" t="str">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
      </c>
      <c r="DW10" s="1298">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2225.0000000000005</v>
      </c>
      <c r="DX10" s="1298" t="str">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
      </c>
      <c r="DY10" s="1298" t="str">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
      </c>
      <c r="DZ10" s="1298" t="str">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
      </c>
      <c r="EA10" s="1298" t="str">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
      </c>
      <c r="EB10" s="1298" t="str">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
      </c>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c r="FD10" s="33"/>
      <c r="FE10" s="33"/>
      <c r="FF10" s="33"/>
      <c r="FG10" s="33"/>
      <c r="FH10" s="33"/>
      <c r="FI10" s="33"/>
      <c r="FJ10" s="33"/>
      <c r="FK10" s="33"/>
      <c r="FL10" s="33"/>
      <c r="FM10" s="33"/>
      <c r="FN10" s="33"/>
      <c r="FO10" s="33"/>
      <c r="FP10" s="33"/>
      <c r="FQ10" s="33"/>
      <c r="FR10" s="33"/>
      <c r="FS10" s="33"/>
      <c r="FT10" s="33"/>
      <c r="FU10" s="33"/>
      <c r="FV10" s="33"/>
      <c r="FW10" s="33"/>
      <c r="FX10" s="33"/>
      <c r="FY10" s="33"/>
      <c r="FZ10" s="33"/>
      <c r="GA10" s="33"/>
      <c r="GB10" s="33"/>
      <c r="GC10" s="33"/>
      <c r="GD10" s="33"/>
      <c r="GE10" s="33"/>
      <c r="GF10" s="33"/>
      <c r="GG10" s="33"/>
      <c r="GH10" s="33"/>
      <c r="GI10" s="33"/>
      <c r="GJ10" s="33"/>
      <c r="GK10" s="33"/>
      <c r="GL10" s="33"/>
      <c r="GM10" s="33"/>
      <c r="GN10" s="33"/>
      <c r="GO10" s="33"/>
      <c r="GP10" s="33"/>
      <c r="GQ10" s="33"/>
      <c r="GR10" s="33"/>
      <c r="GS10" s="33"/>
      <c r="GT10" s="33"/>
      <c r="GU10" s="33"/>
      <c r="GV10" s="33"/>
      <c r="GW10" s="33"/>
      <c r="GX10" s="33"/>
      <c r="GY10" s="33"/>
      <c r="GZ10" s="33"/>
      <c r="HA10" s="33"/>
      <c r="HB10" s="33"/>
      <c r="HC10" s="33"/>
      <c r="HD10" s="33"/>
      <c r="HE10" s="33"/>
      <c r="HF10" s="33"/>
      <c r="HG10" s="33"/>
      <c r="HH10" s="33"/>
      <c r="HI10" s="33"/>
      <c r="HJ10" s="33"/>
      <c r="HK10" s="33"/>
      <c r="HL10" s="33"/>
      <c r="HM10" s="33"/>
      <c r="HN10" s="33"/>
      <c r="HO10" s="33"/>
      <c r="HP10" s="33"/>
      <c r="HQ10" s="33"/>
      <c r="HR10" s="33"/>
      <c r="HS10" s="33"/>
      <c r="HT10" s="33"/>
      <c r="HU10" s="33"/>
    </row>
    <row r="11" spans="1:1104" ht="19.5" customHeight="1">
      <c r="B11" s="613" t="s">
        <v>1951</v>
      </c>
      <c r="C11" s="613">
        <v>3</v>
      </c>
      <c r="G11" s="459">
        <v>5</v>
      </c>
      <c r="H11" s="1166" t="b">
        <f ca="1">IFERROR(IF(VLOOKUP(G11,換券投組!$AH$8:$AH$13,1,FALSE)&gt;0,TRUE,FALSE),FALSE)</f>
        <v>0</v>
      </c>
      <c r="I11" s="1693" t="str">
        <f ca="1">IF(開關=TRUE,'商品代碼-中繼頁'!R6,"")</f>
        <v/>
      </c>
      <c r="J11" s="429">
        <f ca="1">IFERROR(VLOOKUP(I11,bond!B:I,8,FALSE),0)</f>
        <v>0</v>
      </c>
      <c r="K11" s="429">
        <f ca="1">IFERROR(庫存管理[[#This Row],[買價]]+VLOOKUP(庫存管理[[#This Row],[商品代號]],bond!B:K,10,FALSE),0)</f>
        <v>0</v>
      </c>
      <c r="L11" s="430" t="e">
        <f ca="1">VLOOKUP(I11,'銀行-TSS'!B:E,4,FALSE)</f>
        <v>#N/A</v>
      </c>
      <c r="M11" s="431">
        <f ca="1">IFERROR(VLOOKUP($I11,'銀行-TSS'!B:G,6,FALSE),0)</f>
        <v>0</v>
      </c>
      <c r="N11" s="432" t="e">
        <f ca="1">IFERROR(DATEVALUE(VLOOKUP($I11,'銀行-TSS'!B:F,5,FALSE)),VLOOKUP($I11,'銀行-TSS'!B:F,5,FALSE))</f>
        <v>#N/A</v>
      </c>
      <c r="O11" s="433">
        <f ca="1">IFERROR(VLOOKUP($I11,'銀行-TSS'!B:H,7,FALSE),0)</f>
        <v>0</v>
      </c>
      <c r="P11" s="433" t="e">
        <f ca="1">庫存管理[[#This Row],[票面利率]]/庫存管理[[#This Row],[成本價(不含前手息)]]*100</f>
        <v>#VALUE!</v>
      </c>
      <c r="Q11" s="434" t="str">
        <f ca="1">IFERROR(VLOOKUP($I11,'銀行-TSS'!B:I,8,FALSE),"")</f>
        <v/>
      </c>
      <c r="R11" s="440" t="str">
        <f ca="1">_xlfn.IFNA(IFERROR(DATEVALUE(VLOOKUP($I11,'銀行-TSS'!B:P,15,FALSE)),VLOOKUP($I11,'銀行-TSS'!B:P,15,FALSE)),"")</f>
        <v/>
      </c>
      <c r="S11" s="570" t="b">
        <f ca="1">IF(AND(庫存管理[[#This Row],[配息頻率]]&lt;&gt;"",庫存管理[[#This Row],[持有成本(不含前手息)]]&lt;&gt;0,庫存管理[[#This Row],[買進日]]&lt;&gt;""),TRUE,FALSE)</f>
        <v>0</v>
      </c>
      <c r="T11" s="602" t="str">
        <f>IFERROR(DATE(LEFT('商品代碼-中繼頁'!S6,4),MID('商品代碼-中繼頁'!S6,5,2),RIGHT('商品代碼-中繼頁'!S6,2)),"")</f>
        <v/>
      </c>
      <c r="U11"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1" s="442" t="e">
        <f ca="1">IFERROR(WORKDAY(庫存管理[[#This Row],[買進日]],VLOOKUP(庫存管理[[#This Row],[商品代號]],'1_重設數據'!R:S,2,FALSE),休USD),庫存管理[[#This Row],[買進日(T+2/公債T+1)]])</f>
        <v>#N/A</v>
      </c>
      <c r="W11" s="43" t="str">
        <f>'商品代碼-中繼頁'!T6</f>
        <v/>
      </c>
      <c r="X11" s="43" t="str">
        <f>'商品代碼-中繼頁'!U6</f>
        <v/>
      </c>
      <c r="Y11" s="464">
        <f t="shared" ca="1" si="9"/>
        <v>0</v>
      </c>
      <c r="Z11" s="464" t="e">
        <f ca="1">ROUND(K11*W11/100,2)</f>
        <v>#VALUE!</v>
      </c>
      <c r="AA11" s="465" t="e">
        <f t="shared" ca="1" si="10"/>
        <v>#VALUE!</v>
      </c>
      <c r="AB11" s="474" t="e">
        <f ca="1">IF(MF=2,庫存管理[[#This Row],[部位現值(不含前手息)]]-庫存管理[[#This Row],[持有成本(不含前手息)]],庫存管理[[#This Row],[部位現值(含前手息)]]-庫存管理[[#This Row],[持有成本(含前手息)]])</f>
        <v>#VALUE!</v>
      </c>
      <c r="AC11" s="462">
        <f ca="1">IF(庫存管理[[#This Row],[檢測]]=TRUE,IF(MF=2,IFERROR(庫存管理[[#This Row],[資本利損]]/庫存管理[[#This Row],[持有成本(不含前手息)]],0),IFERROR(庫存管理[[#This Row],[資本利損]]/庫存管理[[#This Row],[持有成本(含前手息)]],0)),0)</f>
        <v>0</v>
      </c>
      <c r="AD11" s="618" t="e">
        <f ca="1">庫存管理[[#This Row],[持有成本(不含前手息)]]/庫存管理[[#This Row],[投入面額]]*100</f>
        <v>#VALUE!</v>
      </c>
      <c r="AE11" s="462" t="str">
        <f ca="1">IFERROR(VLOOKUP(庫存管理[[#This Row],[商品代號]],bond!B:AA,26,FALSE),"")</f>
        <v/>
      </c>
      <c r="AF11" s="1" t="str">
        <f ca="1">IFERROR(VLOOKUP($I11,'銀行-TSS'!B:Q,16,FALSE),"")</f>
        <v/>
      </c>
      <c r="AG11" s="466">
        <f t="shared" ca="1" si="1"/>
        <v>0</v>
      </c>
      <c r="AH11" s="458" t="e">
        <f ca="1">IF(OR(庫存管理[[#This Row],[起息日]]&gt;庫存管理[[#This Row],[買進前一配息日(複算)]],庫存管理[[#This Row],[判斷]]=TRUE),庫存管理[[#This Row],[起息日]],庫存管理[[#This Row],[買進前一配息日(複算)]])</f>
        <v>#N/A</v>
      </c>
      <c r="AI11" s="577" t="e">
        <f ca="1">VLOOKUP(I11,bond!B:AP,41,FALSE)</f>
        <v>#N/A</v>
      </c>
      <c r="AJ11" s="578" t="e">
        <f t="shared" ca="1" si="2"/>
        <v>#N/A</v>
      </c>
      <c r="AK11" s="579">
        <f ca="1">IFERROR(IF(庫存管理[[#This Row],[買進日是否落入record date]]=1,庫存管理[[#This Row],[record date制度前手息]],庫存管理[[#This Row],[計算前手息(初算)]]),0)</f>
        <v>0</v>
      </c>
      <c r="AL11" s="579" t="e">
        <f ca="1">IF(OR(庫存管理[[#This Row],[買進例外調整]]&lt;庫存管理[[#This Row],[起息日]],庫存管理[[#This Row],[買進例外調整]]&gt;庫存管理[[#This Row],[到期日]]),0,IF(庫存管理[[#This Row],[備註]]&lt;&gt;"",庫存管理[[#This Row],[買進時前手息]],IFERROR(ROUND(ACCRINT(AH11,AH11,V11,O11,100,Q11,AJ11,TRUE),4),0)))</f>
        <v>#N/A</v>
      </c>
      <c r="AM11" s="580" t="e">
        <f t="shared" ca="1" si="11"/>
        <v>#VALUE!</v>
      </c>
      <c r="AN11" s="440" t="e">
        <f ca="1">IFERROR(DATEVALUE(VLOOKUP(I11,bond!B:I,7,FALSE)),VLOOKUP(I11,bond!B:I,7,FALSE))</f>
        <v>#N/A</v>
      </c>
      <c r="AO11"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1" s="1075">
        <f ca="1">IFERROR(IF(庫存管理[[#This Row],[交割日是否落入record date]]=1,庫存管理[[#This Row],[交_record date制度前手息]],庫存管理[[#This Row],[計算交割前手息(初算)]]),0)</f>
        <v>0</v>
      </c>
      <c r="AQ11"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1" s="1063" t="e">
        <f ca="1">ROUND(庫存管理[[#This Row],[計算交割前手息(複算)]]*庫存管理[[#This Row],[投入面額]]/100,2)</f>
        <v>#VALUE!</v>
      </c>
      <c r="AS11" s="1064" t="e">
        <f ca="1">IF(庫存管理[[#This Row],[配息頻率]]=0,0,(100*庫存管理[[#This Row],[票面利率]]/庫存管理[[#This Row],[配息頻率]])*庫存管理[[#This Row],[經過幾次配息]]+庫存管理[[#This Row],[計算交割前手息(複算)]]-庫存管理[[#This Row],[計算前手息(複算)]])</f>
        <v>#VALUE!</v>
      </c>
      <c r="AT11" s="581" t="e">
        <f ca="1">IF(庫存管理[[#This Row],[商品代號]]="XFM90",0,ROUND(AS11*W11/100,2))</f>
        <v>#VALUE!</v>
      </c>
      <c r="AU11" s="582">
        <f ca="1">IF(MF=2,IFERROR(庫存管理[[#This Row],[累計配息]]/庫存管理[[#This Row],[持有成本(不含前手息)]],0),IFERROR(庫存管理[[#This Row],[已實現配息(原幣)]]/庫存管理[[#This Row],[持有成本(含前手息)]],0))</f>
        <v>0</v>
      </c>
      <c r="AV11" s="583" t="e">
        <f ca="1">IF(MF=2,庫存管理[[#This Row],[資本利損]]+庫存管理[[#This Row],[累計配息]],庫存管理[[#This Row],[資本利損]]+庫存管理[[#This Row],[已實現配息(原幣)]])</f>
        <v>#VALUE!</v>
      </c>
      <c r="AW11" s="584">
        <f ca="1">IF(庫存管理[[#This Row],[檢測]]=TRUE,IF(MF=2,IFERROR(庫存管理[[#This Row],[合計收益]]/庫存管理[[#This Row],[持有成本(不含前手息)]],0),IFERROR(庫存管理[[#This Row],[合計收益]]/庫存管理[[#This Row],[持有成本(含前手息)]],0)),0)</f>
        <v>0</v>
      </c>
      <c r="AX11" s="434" t="e">
        <f t="shared" ca="1" si="12"/>
        <v>#VALUE!</v>
      </c>
      <c r="AY11" s="434" t="e">
        <f t="shared" ca="1" si="3"/>
        <v>#VALUE!</v>
      </c>
      <c r="AZ11" s="434">
        <f t="shared" ca="1" si="4"/>
        <v>0</v>
      </c>
      <c r="BA11" s="434">
        <f t="shared" ca="1" si="5"/>
        <v>0</v>
      </c>
      <c r="BB11" s="441" t="e">
        <f ca="1">IF(AND(庫存管理[[#This Row],[名稱]]="美國國庫債券",DAY(庫存管理[[#This Row],[買進前一配息日(初算)]])&gt;=28),EOMONTH(庫存管理[[#This Row],[買進前一配息日(初算)]],0),庫存管理[[#This Row],[買進前一配息日(初算)]])</f>
        <v>#N/A</v>
      </c>
      <c r="BC11" s="441" t="e">
        <f t="shared" ca="1" si="6"/>
        <v>#N/A</v>
      </c>
      <c r="BD11" s="444" t="e">
        <f t="shared" ca="1" si="7"/>
        <v>#N/A</v>
      </c>
      <c r="BE11" s="441" t="e">
        <f ca="1">IF(Q11&gt;0,IF(MONTH(DATE(BD11,AX11,DAY(R11)))&lt;&gt;庫存管理[[#This Row],[第一個配息月]],DATE(BD11,AX11+1,0),DATE(BD11,AX11,DAY(R11))),庫存管理[[#This Row],[買進例外調整]]+100)</f>
        <v>#N/A</v>
      </c>
      <c r="BF11" s="441" t="e">
        <f ca="1">IF(AY11&lt;&gt;0,IF(MONTH(DATE(BD11,AY11,DAY(R11)))&lt;&gt;庫存管理[[#This Row],[第二個配息月]],DATE(BD11,AY11+1,0),DATE(BD11,AY11,DAY(R11))),庫存管理[[#This Row],[買進例外調整]]+100)</f>
        <v>#VALUE!</v>
      </c>
      <c r="BG11" s="441" t="e">
        <f ca="1">IF(AZ11&lt;&gt;0,IF(MONTH(DATE(BD11,AZ11,DAY(R11)))&lt;&gt;庫存管理[[#This Row],[第三個配息月]],DATE(BD11,AZ11+1,0),DATE(BD11,AZ11,DAY(R11))),庫存管理[[#This Row],[買進例外調整]]+100)</f>
        <v>#N/A</v>
      </c>
      <c r="BH11" s="441" t="e">
        <f ca="1">IF(BA11&lt;&gt;0,IF(MONTH(DATE(BD11,BA11,DAY(R11)))&lt;&gt;庫存管理[[#This Row],[第四個配息月]],DATE(BD11,BA11+1,0),DATE(BD11,BA11,DAY(R11))),庫存管理[[#This Row],[買進例外調整]]+100)</f>
        <v>#N/A</v>
      </c>
      <c r="BI11" s="441" t="e">
        <f ca="1">IF(Q11=1,IF(MONTH(DATE(BD11-1,AX11,DAY(R11)))&lt;&gt;庫存管理[[#This Row],[第一個配息月]],DATE(BD11-1,AX11+1,0),DATE(BD11-1,AX11,DAY(R11))),IF(Q11=2,IF(MONTH(DATE(BD11-1,AY11,DAY(R11)))&lt;&gt;庫存管理[[#This Row],[第二個配息月]],DATE(BD11-1,AY11+1,0),DATE(BD11-1,AY11,DAY(R11))),IF(Q11=4,IF(MONTH(DATE(BD11-1,BA11,DAY(R11)))&lt;&gt;庫存管理[[#This Row],[第四個配息月]],DATE(BD11-1,BA11+1,0),DATE(BD11-1,BA11,DAY(R11))),庫存管理[[#This Row],[買進例外調整]]+100)))</f>
        <v>#N/A</v>
      </c>
      <c r="BJ11" s="445">
        <f t="shared" ca="1" si="8"/>
        <v>10000</v>
      </c>
      <c r="BK11" s="445">
        <f t="shared" ca="1" si="8"/>
        <v>10000</v>
      </c>
      <c r="BL11" s="445">
        <f t="shared" ca="1" si="8"/>
        <v>10000</v>
      </c>
      <c r="BM11" s="445">
        <f t="shared" ca="1" si="8"/>
        <v>10000</v>
      </c>
      <c r="BN11" s="455">
        <f t="shared" ca="1" si="8"/>
        <v>10000</v>
      </c>
      <c r="BO11" s="479" t="e">
        <f ca="1">庫存管理[[#This Row],[年度配息]]/庫存管理[[#This Row],[配息頻率]]</f>
        <v>#VALUE!</v>
      </c>
      <c r="BP11" s="479" t="e">
        <f ca="1">庫存管理[[#This Row],[單次配息(原幣)]]*庫存管理[[#This Row],[換算匯率(現)]]</f>
        <v>#VALUE!</v>
      </c>
      <c r="BQ11" s="479" t="str">
        <f ca="1">IF(庫存管理[[#This Row],[商品代號]]&lt;&gt;"",IFERROR(VLOOKUP($I11,'銀行-TSS'!B:C,2,FALSE),""),"")</f>
        <v/>
      </c>
      <c r="BR11" s="479" t="e">
        <f ca="1">VLOOKUP(庫存管理[[#This Row],[幣別]],$B$37:$C$43,2,FALSE)</f>
        <v>#N/A</v>
      </c>
      <c r="BS11" s="500" t="e">
        <f ca="1">CHOOSE(庫存管理[[#This Row],[對應編碼]],$D$37,$D$38,$D$39,$D$40,$D$41,$D$42,$D$43)</f>
        <v>#N/A</v>
      </c>
      <c r="BT11" s="500">
        <f ca="1">IF(庫存管理[[#This Row],[商品代號]]="",0,CHOOSE(庫存管理[[#This Row],[對應編碼]],$E$37,$E$38,$E$39,$E$40,$E$41,$E$42,$E$43))</f>
        <v>0</v>
      </c>
      <c r="BU11" s="1555">
        <f ca="1">IF(庫存管理[[#This Row],[檢測]]=TRUE,庫存管理[[#This Row],[投入面額]]*庫存管理[[#This Row],[換算匯率(現)]],0)</f>
        <v>0</v>
      </c>
      <c r="BV11" s="1555">
        <f ca="1">IF(庫存管理[[#This Row],[檢測]]=TRUE,IFERROR(庫存管理[[#This Row],[持有成本(含前手息)]]*庫存管理[[#This Row],[換算匯率(買)]],0),0)</f>
        <v>0</v>
      </c>
      <c r="BW11" s="1555">
        <f ca="1">IF(庫存管理[[#This Row],[檢測]]=TRUE,庫存管理[[#This Row],[持有成本(不含前手息)]]*庫存管理[[#This Row],[換算匯率(買)]],0)</f>
        <v>0</v>
      </c>
      <c r="BX11" s="1555">
        <f ca="1">IF(庫存管理[[#This Row],[檢測]]=TRUE,庫存管理[[#This Row],[部位現值(含前手息)]]*庫存管理[[#This Row],[換算匯率(現)]],0)</f>
        <v>0</v>
      </c>
      <c r="BY11" s="1555">
        <f ca="1">IF(庫存管理[[#This Row],[檢測]]=TRUE,庫存管理[[#This Row],[部位現值(不含前手息)]]*庫存管理[[#This Row],[換算匯率(現)]],0)</f>
        <v>0</v>
      </c>
      <c r="BZ11" s="1555">
        <f ca="1">IF(庫存管理[[#This Row],[檢測]]=TRUE,IF(MF=2,庫存管理[[#This Row],[累計配息]]*庫存管理[[#This Row],[換算匯率(現)]],庫存管理[[#This Row],[已實現配息(原幣)]]*庫存管理[[#This Row],[換算匯率(現)]]),0)</f>
        <v>0</v>
      </c>
      <c r="CA11" s="1555" t="e">
        <f ca="1">庫存管理[[#This Row],[資本利損]]*庫存管理[[#This Row],[換算匯率(現)]]</f>
        <v>#VALUE!</v>
      </c>
      <c r="CB11" s="1555" t="e">
        <f ca="1">庫存管理[[#This Row],[累計利息(台)]]+庫存管理[[#This Row],[資本貢獻(台)]]</f>
        <v>#VALUE!</v>
      </c>
      <c r="CC11" s="574">
        <f ca="1">IF(庫存管理[[#This Row],[檢測]]=TRUE,IFERROR(庫存管理[[#This Row],[配息報酬]],0),0)</f>
        <v>0</v>
      </c>
      <c r="CD11" s="574">
        <f ca="1">IF(庫存管理[[#This Row],[檢測]]=TRUE,庫存管理[[#This Row],[資本報酬]],0)</f>
        <v>0</v>
      </c>
      <c r="CE11" s="574">
        <f ca="1">IF(S11=TRUE,IFERROR(庫存管理[[#This Row],[換匯總報酬率]]-(庫存管理[[#This Row],[配息報酬率]]+庫存管理[[#This Row],[資本報酬率]]),0),0)</f>
        <v>0</v>
      </c>
      <c r="CF11"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1" s="585">
        <f ca="1">IF(AND(庫存管理[[#This Row],[檢測]]=TRUE,開關=TRUE),IF(MF=2,IFERROR(BW11/$BW$1,0),IFERROR(BV11/$BV$1,0)),0)</f>
        <v>0</v>
      </c>
      <c r="CH11" s="574">
        <f ca="1">IF(庫存管理[[#This Row],[檢測]]=TRUE,IF(MF=2,IFERROR(BY11/$BY$1,0),IFERROR(BX11/$BX$1,0)),0)</f>
        <v>0</v>
      </c>
      <c r="CI11"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1" s="646" t="e">
        <f ca="1">DATEDIF(庫存管理[[#This Row],[買進例外調整]],庫存管理[[#This Row],[到期日]],"d")/365.25</f>
        <v>#N/A</v>
      </c>
      <c r="CK11" s="734" t="e">
        <f ca="1">DATEVALUE(VLOOKUP(庫存管理[[#This Row],[商品代號]],bond!B:AF,31,FALSE))</f>
        <v>#N/A</v>
      </c>
      <c r="CL11" s="734" t="e">
        <f ca="1">IF(庫存管理[[#This Row],[買下配(國調)]]&lt;庫存管理[[#This Row],[第一票息日]],庫存管理[[#This Row],[第一票息日]],庫存管理[[#This Row],[買下配(國調)]])</f>
        <v>#N/A</v>
      </c>
      <c r="CM11"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1"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1" s="735">
        <f ca="1">IF(庫存管理[[#This Row],[商品代號]]="XFM90",0,IFERROR(庫存管理[[#This Row],[單次配息(原幣)]]*庫存管理[[#This Row],[經過幾次配息]],0))</f>
        <v>0</v>
      </c>
      <c r="CP11" s="735" t="e">
        <f ca="1">VLOOKUP(庫存管理[[#This Row],[商品代號]],bond!B:F,5,FALSE)</f>
        <v>#N/A</v>
      </c>
      <c r="CQ11" s="734" t="str">
        <f ca="1">IFERROR(VLOOKUP(庫存管理[[#This Row],[ISIN]],'7_發行日例外'!A:C,3,FALSE),IFERROR(DATEVALUE(VLOOKUP(庫存管理[[#This Row],[商品代號]],bond!B:AR,43,FALSE)),""))</f>
        <v/>
      </c>
      <c r="CR11" s="735" t="e">
        <f ca="1">DATEDIF(庫存管理[[#This Row],[起息日]],庫存管理[[#This Row],[買進前一配息日(複算)]],"d")</f>
        <v>#VALUE!</v>
      </c>
      <c r="CS11"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1" s="734" t="e">
        <f ca="1">IFERROR(VLOOKUP(庫存管理[[#This Row],[ISIN]],'7_發行日例外'!A:D,4,FALSE),DATEVALUE(VLOOKUP(庫存管理[[#This Row],[商品代號]],bond!B:AV,44,FALSE)))</f>
        <v>#N/A</v>
      </c>
      <c r="CU11" s="735" t="e">
        <f ca="1">VLOOKUP(庫存管理[[#This Row],[商品代號]],bond!B:AU,46,FALSE)</f>
        <v>#N/A</v>
      </c>
      <c r="CV11" s="735" t="e">
        <f ca="1">IF(庫存管理[[#This Row],[計息基礎]]=1,CHOOSE(庫存管理[[#This Row],[對應編碼]],"沒進位","","沒進位",IF(庫存管理[[#This Row],[計算類型]]="AUSTRALIA:EX-DIV","4捨五入進0.01%","沒進位"),"年/2去計算ACT","沒進位","沒進位"),"")</f>
        <v>#N/A</v>
      </c>
      <c r="CW11" s="735" t="e">
        <f ca="1">_xlfn.DAYS(庫存管理[[#This Row],[買進例外調整]],庫存管理[[#This Row],[買進前一個配息日(最終)]])</f>
        <v>#N/A</v>
      </c>
      <c r="CX11" s="735" t="e">
        <f ca="1">IF(庫存管理[[#This Row],[備註]]="年/2去計算ACT",365/2,_xlfn.DAYS(庫存管理[[#This Row],[買進時的下個配息日]],庫存管理[[#This Row],[買進前一個配息日(最終)]]))</f>
        <v>#N/A</v>
      </c>
      <c r="CY11"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1" s="767" t="e">
        <f ca="1">_xlfn.DAYS(庫存管理[[#This Row],[交割日]],庫存管理[[#This Row],[買進前一個配息日(最終)]])</f>
        <v>#N/A</v>
      </c>
      <c r="DA11"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1" s="767" t="e">
        <f ca="1">_xlfn.DAYS(庫存管理[[#This Row],[交割日]],庫存管理[[#This Row],[最近的上一票息日]])</f>
        <v>#N/A</v>
      </c>
      <c r="DC11" s="767" t="e">
        <f ca="1">IF(庫存管理[[#This Row],[備註]]="年/2去計算ACT",365/2,_xlfn.DAYS(庫存管理[[#This Row],[下一配息日]],庫存管理[[#This Row],[最近的上一票息日]]))</f>
        <v>#N/A</v>
      </c>
      <c r="DD11"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1" s="739" t="e">
        <f ca="1">CL11-庫存管理[[#This Row],[ex_div_days]]</f>
        <v>#N/A</v>
      </c>
      <c r="DF11" s="646" t="e">
        <f ca="1">IF(VLOOKUP(庫存管理[[#This Row],[商品代號]],bond!B:AT,45,FALSE)="#N/A Field Not Applicable",0,VLOOKUP(庫存管理[[#This Row],[商品代號]],bond!B:AT,45,FALSE))</f>
        <v>#N/A</v>
      </c>
      <c r="DG11" s="793" t="e">
        <f ca="1">IF(庫存管理[[#This Row],[ex_div_days]]&lt;&gt;0,IF(AND(庫存管理[[#This Row],[買進例外調整]]-庫存管理[[#This Row],[買進下一個配息日先減n天]]&gt;=0,庫存管理[[#This Row],[買進時的下個配息日]]-庫存管理[[#This Row],[買進例外調整]]&gt;0),1,0),0)</f>
        <v>#N/A</v>
      </c>
      <c r="DH11"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1" s="734" t="e">
        <f ca="1">庫存管理[[#This Row],[下一配息日]]-庫存管理[[#This Row],[ex_div_days]]</f>
        <v>#VALUE!</v>
      </c>
      <c r="DJ11" s="1081" t="e">
        <f ca="1">IF(庫存管理[[#This Row],[ex_div_days]]&lt;&gt;0,IF(AND(庫存管理[[#This Row],[交割日]]-庫存管理[[#This Row],[交割下個配息日先減n天]]&gt;=0,庫存管理[[#This Row],[下一配息日]]-庫存管理[[#This Row],[交割日]]&gt;0),1,0),0)</f>
        <v>#N/A</v>
      </c>
      <c r="DK11"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1" s="735">
        <f ca="1">IFERROR(VLOOKUP(庫存管理[[#This Row],[商品代號]],bond!B:X,21,FALSE),0)</f>
        <v>0</v>
      </c>
      <c r="DM11" s="735">
        <f ca="1">IFERROR(VLOOKUP(I11,bond!B:J,9,FALSE),0)</f>
        <v>0</v>
      </c>
      <c r="DN11" s="1188">
        <f ca="1">IF(AND(開關=TRUE,庫存管理[[#This Row],[投組檢測]]=TRUE),IF(MF=2,IFERROR(BW11/$BW$3,0),IFERROR(BV11/$BV$3,0)),0)</f>
        <v>0</v>
      </c>
      <c r="DO11" s="735">
        <f ca="1">IFERROR(庫存管理[[#This Row],[clean申購價]]/100*庫存管理[[#This Row],[投入面額]]*庫存管理[[#This Row],[MOD]]*0.01,0)</f>
        <v>0</v>
      </c>
      <c r="DP11" s="1298" t="e">
        <f ca="1">IF($C$16=1,庫存管理[[#This Row],[單次配息(台幣)]],庫存管理[[#This Row],[單次配息(原幣)]])</f>
        <v>#VALUE!</v>
      </c>
      <c r="DQ11"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1"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1"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1"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1"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1"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1"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1"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1"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1"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1"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1"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c r="GQ11" s="33"/>
      <c r="GR11" s="33"/>
      <c r="GS11" s="33"/>
      <c r="GT11" s="33"/>
      <c r="GU11" s="33"/>
      <c r="GV11" s="33"/>
      <c r="GW11" s="33"/>
      <c r="GX11" s="33"/>
      <c r="GY11" s="33"/>
      <c r="GZ11" s="33"/>
      <c r="HA11" s="33"/>
      <c r="HB11" s="33"/>
      <c r="HC11" s="33"/>
      <c r="HD11" s="33"/>
      <c r="HE11" s="33"/>
      <c r="HF11" s="33"/>
      <c r="HG11" s="33"/>
      <c r="HH11" s="33"/>
      <c r="HI11" s="33"/>
      <c r="HJ11" s="33"/>
      <c r="HK11" s="33"/>
      <c r="HL11" s="33"/>
      <c r="HM11" s="33"/>
      <c r="HN11" s="33"/>
      <c r="HO11" s="33"/>
      <c r="HP11" s="33"/>
      <c r="HQ11" s="33"/>
      <c r="HR11" s="33"/>
      <c r="HS11" s="33"/>
      <c r="HT11" s="33"/>
      <c r="HU11" s="33"/>
    </row>
    <row r="12" spans="1:1104" ht="19.5" customHeight="1">
      <c r="B12" s="613" t="s">
        <v>1944</v>
      </c>
      <c r="C12" s="613">
        <v>4</v>
      </c>
      <c r="G12" s="459">
        <v>6</v>
      </c>
      <c r="H12" s="1166" t="b">
        <f ca="1">IFERROR(IF(VLOOKUP(G12,換券投組!$AH$8:$AH$13,1,FALSE)&gt;0,TRUE,FALSE),FALSE)</f>
        <v>0</v>
      </c>
      <c r="I12" s="1693" t="str">
        <f ca="1">IF(開關=TRUE,'商品代碼-中繼頁'!R7,"")</f>
        <v/>
      </c>
      <c r="J12" s="429">
        <f ca="1">IFERROR(VLOOKUP(I12,bond!B:I,8,FALSE),0)</f>
        <v>0</v>
      </c>
      <c r="K12" s="429">
        <f ca="1">IFERROR(庫存管理[[#This Row],[買價]]+VLOOKUP(庫存管理[[#This Row],[商品代號]],bond!B:K,10,FALSE),0)</f>
        <v>0</v>
      </c>
      <c r="L12" s="430" t="e">
        <f ca="1">VLOOKUP(I12,'銀行-TSS'!B:E,4,FALSE)</f>
        <v>#N/A</v>
      </c>
      <c r="M12" s="431">
        <f ca="1">IFERROR(VLOOKUP($I12,'銀行-TSS'!B:G,6,FALSE),0)</f>
        <v>0</v>
      </c>
      <c r="N12" s="432" t="e">
        <f ca="1">IFERROR(DATEVALUE(VLOOKUP($I12,'銀行-TSS'!B:F,5,FALSE)),VLOOKUP($I12,'銀行-TSS'!B:F,5,FALSE))</f>
        <v>#N/A</v>
      </c>
      <c r="O12" s="433">
        <f ca="1">IFERROR(VLOOKUP($I12,'銀行-TSS'!B:H,7,FALSE),0)</f>
        <v>0</v>
      </c>
      <c r="P12" s="433" t="e">
        <f ca="1">庫存管理[[#This Row],[票面利率]]/庫存管理[[#This Row],[成本價(不含前手息)]]*100</f>
        <v>#VALUE!</v>
      </c>
      <c r="Q12" s="434" t="str">
        <f ca="1">IFERROR(VLOOKUP($I12,'銀行-TSS'!B:I,8,FALSE),"")</f>
        <v/>
      </c>
      <c r="R12" s="440" t="str">
        <f ca="1">_xlfn.IFNA(IFERROR(DATEVALUE(VLOOKUP($I12,'銀行-TSS'!B:P,15,FALSE)),VLOOKUP($I12,'銀行-TSS'!B:P,15,FALSE)),"")</f>
        <v/>
      </c>
      <c r="S12" s="570" t="b">
        <f ca="1">IF(AND(庫存管理[[#This Row],[配息頻率]]&lt;&gt;"",庫存管理[[#This Row],[持有成本(不含前手息)]]&lt;&gt;0,庫存管理[[#This Row],[買進日]]&lt;&gt;""),TRUE,FALSE)</f>
        <v>0</v>
      </c>
      <c r="T12" s="602" t="str">
        <f>IFERROR(DATE(LEFT('商品代碼-中繼頁'!S7,4),MID('商品代碼-中繼頁'!S7,5,2),RIGHT('商品代碼-中繼頁'!S7,2)),"")</f>
        <v/>
      </c>
      <c r="U12"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2" s="442" t="e">
        <f ca="1">IFERROR(WORKDAY(庫存管理[[#This Row],[買進日]],VLOOKUP(庫存管理[[#This Row],[商品代號]],'1_重設數據'!R:S,2,FALSE),休USD),庫存管理[[#This Row],[買進日(T+2/公債T+1)]])</f>
        <v>#N/A</v>
      </c>
      <c r="W12" s="43" t="str">
        <f>'商品代碼-中繼頁'!T7</f>
        <v/>
      </c>
      <c r="X12" s="43" t="str">
        <f>'商品代碼-中繼頁'!U7</f>
        <v/>
      </c>
      <c r="Y12" s="464">
        <f t="shared" ca="1" si="9"/>
        <v>0</v>
      </c>
      <c r="Z12" s="464" t="e">
        <f t="shared" ca="1" si="13"/>
        <v>#VALUE!</v>
      </c>
      <c r="AA12" s="465" t="e">
        <f t="shared" ca="1" si="10"/>
        <v>#VALUE!</v>
      </c>
      <c r="AB12" s="474" t="e">
        <f ca="1">IF(MF=2,庫存管理[[#This Row],[部位現值(不含前手息)]]-庫存管理[[#This Row],[持有成本(不含前手息)]],庫存管理[[#This Row],[部位現值(含前手息)]]-庫存管理[[#This Row],[持有成本(含前手息)]])</f>
        <v>#VALUE!</v>
      </c>
      <c r="AC12" s="462">
        <f ca="1">IF(庫存管理[[#This Row],[檢測]]=TRUE,IF(MF=2,IFERROR(庫存管理[[#This Row],[資本利損]]/庫存管理[[#This Row],[持有成本(不含前手息)]],0),IFERROR(庫存管理[[#This Row],[資本利損]]/庫存管理[[#This Row],[持有成本(含前手息)]],0)),0)</f>
        <v>0</v>
      </c>
      <c r="AD12" s="618" t="e">
        <f ca="1">庫存管理[[#This Row],[持有成本(不含前手息)]]/庫存管理[[#This Row],[投入面額]]*100</f>
        <v>#VALUE!</v>
      </c>
      <c r="AE12" s="462" t="str">
        <f ca="1">IFERROR(VLOOKUP(庫存管理[[#This Row],[商品代號]],bond!B:AA,26,FALSE),"")</f>
        <v/>
      </c>
      <c r="AF12" s="1" t="str">
        <f ca="1">IFERROR(VLOOKUP($I12,'銀行-TSS'!B:Q,16,FALSE),"")</f>
        <v/>
      </c>
      <c r="AG12" s="466">
        <f t="shared" ca="1" si="1"/>
        <v>0</v>
      </c>
      <c r="AH12" s="458" t="e">
        <f ca="1">IF(OR(庫存管理[[#This Row],[起息日]]&gt;庫存管理[[#This Row],[買進前一配息日(複算)]],庫存管理[[#This Row],[判斷]]=TRUE),庫存管理[[#This Row],[起息日]],庫存管理[[#This Row],[買進前一配息日(複算)]])</f>
        <v>#N/A</v>
      </c>
      <c r="AI12" s="577" t="e">
        <f ca="1">VLOOKUP(I12,bond!B:AP,41,FALSE)</f>
        <v>#N/A</v>
      </c>
      <c r="AJ12" s="578" t="e">
        <f t="shared" ca="1" si="2"/>
        <v>#N/A</v>
      </c>
      <c r="AK12" s="579">
        <f ca="1">IFERROR(IF(庫存管理[[#This Row],[買進日是否落入record date]]=1,庫存管理[[#This Row],[record date制度前手息]],庫存管理[[#This Row],[計算前手息(初算)]]),0)</f>
        <v>0</v>
      </c>
      <c r="AL12" s="579" t="e">
        <f ca="1">IF(OR(庫存管理[[#This Row],[買進例外調整]]&lt;庫存管理[[#This Row],[起息日]],庫存管理[[#This Row],[買進例外調整]]&gt;庫存管理[[#This Row],[到期日]]),0,IF(庫存管理[[#This Row],[備註]]&lt;&gt;"",庫存管理[[#This Row],[買進時前手息]],IFERROR(ROUND(ACCRINT(AH12,AH12,V12,O12,100,Q12,AJ12,TRUE),4),0)))</f>
        <v>#N/A</v>
      </c>
      <c r="AM12" s="580" t="e">
        <f t="shared" ca="1" si="11"/>
        <v>#VALUE!</v>
      </c>
      <c r="AN12" s="440" t="e">
        <f ca="1">IFERROR(DATEVALUE(VLOOKUP(I12,bond!B:I,7,FALSE)),VLOOKUP(I12,bond!B:I,7,FALSE))</f>
        <v>#N/A</v>
      </c>
      <c r="AO12"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2" s="1075">
        <f ca="1">IFERROR(IF(庫存管理[[#This Row],[交割日是否落入record date]]=1,庫存管理[[#This Row],[交_record date制度前手息]],庫存管理[[#This Row],[計算交割前手息(初算)]]),0)</f>
        <v>0</v>
      </c>
      <c r="AQ12"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2" s="1063" t="e">
        <f ca="1">ROUND(庫存管理[[#This Row],[計算交割前手息(複算)]]*庫存管理[[#This Row],[投入面額]]/100,2)</f>
        <v>#VALUE!</v>
      </c>
      <c r="AS12" s="1064" t="e">
        <f ca="1">IF(庫存管理[[#This Row],[配息頻率]]=0,0,(100*庫存管理[[#This Row],[票面利率]]/庫存管理[[#This Row],[配息頻率]])*庫存管理[[#This Row],[經過幾次配息]]+庫存管理[[#This Row],[計算交割前手息(複算)]]-庫存管理[[#This Row],[計算前手息(複算)]])</f>
        <v>#VALUE!</v>
      </c>
      <c r="AT12" s="581" t="e">
        <f ca="1">IF(庫存管理[[#This Row],[商品代號]]="XFM90",0,ROUND(AS12*W12/100,2))</f>
        <v>#VALUE!</v>
      </c>
      <c r="AU12" s="582">
        <f ca="1">IF(MF=2,IFERROR(庫存管理[[#This Row],[累計配息]]/庫存管理[[#This Row],[持有成本(不含前手息)]],0),IFERROR(庫存管理[[#This Row],[已實現配息(原幣)]]/庫存管理[[#This Row],[持有成本(含前手息)]],0))</f>
        <v>0</v>
      </c>
      <c r="AV12" s="583" t="e">
        <f ca="1">IF(MF=2,庫存管理[[#This Row],[資本利損]]+庫存管理[[#This Row],[累計配息]],庫存管理[[#This Row],[資本利損]]+庫存管理[[#This Row],[已實現配息(原幣)]])</f>
        <v>#VALUE!</v>
      </c>
      <c r="AW12" s="584">
        <f ca="1">IF(庫存管理[[#This Row],[檢測]]=TRUE,IF(MF=2,IFERROR(庫存管理[[#This Row],[合計收益]]/庫存管理[[#This Row],[持有成本(不含前手息)]],0),IFERROR(庫存管理[[#This Row],[合計收益]]/庫存管理[[#This Row],[持有成本(含前手息)]],0)),0)</f>
        <v>0</v>
      </c>
      <c r="AX12" s="434" t="e">
        <f t="shared" ca="1" si="12"/>
        <v>#VALUE!</v>
      </c>
      <c r="AY12" s="434" t="e">
        <f t="shared" ca="1" si="3"/>
        <v>#VALUE!</v>
      </c>
      <c r="AZ12" s="434">
        <f t="shared" ca="1" si="4"/>
        <v>0</v>
      </c>
      <c r="BA12" s="434">
        <f t="shared" ca="1" si="5"/>
        <v>0</v>
      </c>
      <c r="BB12" s="441" t="e">
        <f ca="1">IF(AND(庫存管理[[#This Row],[名稱]]="美國國庫債券",DAY(庫存管理[[#This Row],[買進前一配息日(初算)]])&gt;=28),EOMONTH(庫存管理[[#This Row],[買進前一配息日(初算)]],0),庫存管理[[#This Row],[買進前一配息日(初算)]])</f>
        <v>#N/A</v>
      </c>
      <c r="BC12" s="441" t="e">
        <f t="shared" ca="1" si="6"/>
        <v>#N/A</v>
      </c>
      <c r="BD12" s="444" t="e">
        <f t="shared" ca="1" si="7"/>
        <v>#N/A</v>
      </c>
      <c r="BE12" s="441" t="e">
        <f ca="1">IF(Q12&gt;0,IF(MONTH(DATE(BD12,AX12,DAY(R12)))&lt;&gt;庫存管理[[#This Row],[第一個配息月]],DATE(BD12,AX12+1,0),DATE(BD12,AX12,DAY(R12))),庫存管理[[#This Row],[買進例外調整]]+100)</f>
        <v>#N/A</v>
      </c>
      <c r="BF12" s="441" t="e">
        <f ca="1">IF(AY12&lt;&gt;0,IF(MONTH(DATE(BD12,AY12,DAY(R12)))&lt;&gt;庫存管理[[#This Row],[第二個配息月]],DATE(BD12,AY12+1,0),DATE(BD12,AY12,DAY(R12))),庫存管理[[#This Row],[買進例外調整]]+100)</f>
        <v>#VALUE!</v>
      </c>
      <c r="BG12" s="441" t="e">
        <f ca="1">IF(AZ12&lt;&gt;0,IF(MONTH(DATE(BD12,AZ12,DAY(R12)))&lt;&gt;庫存管理[[#This Row],[第三個配息月]],DATE(BD12,AZ12+1,0),DATE(BD12,AZ12,DAY(R12))),庫存管理[[#This Row],[買進例外調整]]+100)</f>
        <v>#N/A</v>
      </c>
      <c r="BH12" s="441" t="e">
        <f ca="1">IF(BA12&lt;&gt;0,IF(MONTH(DATE(BD12,BA12,DAY(R12)))&lt;&gt;庫存管理[[#This Row],[第四個配息月]],DATE(BD12,BA12+1,0),DATE(BD12,BA12,DAY(R12))),庫存管理[[#This Row],[買進例外調整]]+100)</f>
        <v>#N/A</v>
      </c>
      <c r="BI12" s="441" t="e">
        <f ca="1">IF(Q12=1,IF(MONTH(DATE(BD12-1,AX12,DAY(R12)))&lt;&gt;庫存管理[[#This Row],[第一個配息月]],DATE(BD12-1,AX12+1,0),DATE(BD12-1,AX12,DAY(R12))),IF(Q12=2,IF(MONTH(DATE(BD12-1,AY12,DAY(R12)))&lt;&gt;庫存管理[[#This Row],[第二個配息月]],DATE(BD12-1,AY12+1,0),DATE(BD12-1,AY12,DAY(R12))),IF(Q12=4,IF(MONTH(DATE(BD12-1,BA12,DAY(R12)))&lt;&gt;庫存管理[[#This Row],[第四個配息月]],DATE(BD12-1,BA12+1,0),DATE(BD12-1,BA12,DAY(R12))),庫存管理[[#This Row],[買進例外調整]]+100)))</f>
        <v>#N/A</v>
      </c>
      <c r="BJ12" s="445">
        <f t="shared" ca="1" si="8"/>
        <v>10000</v>
      </c>
      <c r="BK12" s="445">
        <f t="shared" ca="1" si="8"/>
        <v>10000</v>
      </c>
      <c r="BL12" s="445">
        <f t="shared" ca="1" si="8"/>
        <v>10000</v>
      </c>
      <c r="BM12" s="445">
        <f t="shared" ca="1" si="8"/>
        <v>10000</v>
      </c>
      <c r="BN12" s="455">
        <f t="shared" ca="1" si="8"/>
        <v>10000</v>
      </c>
      <c r="BO12" s="479" t="e">
        <f ca="1">庫存管理[[#This Row],[年度配息]]/庫存管理[[#This Row],[配息頻率]]</f>
        <v>#VALUE!</v>
      </c>
      <c r="BP12" s="479" t="e">
        <f ca="1">庫存管理[[#This Row],[單次配息(原幣)]]*庫存管理[[#This Row],[換算匯率(現)]]</f>
        <v>#VALUE!</v>
      </c>
      <c r="BQ12" s="479" t="str">
        <f ca="1">IF(庫存管理[[#This Row],[商品代號]]&lt;&gt;"",IFERROR(VLOOKUP($I12,'銀行-TSS'!B:C,2,FALSE),""),"")</f>
        <v/>
      </c>
      <c r="BR12" s="479" t="e">
        <f ca="1">VLOOKUP(庫存管理[[#This Row],[幣別]],$B$37:$C$43,2,FALSE)</f>
        <v>#N/A</v>
      </c>
      <c r="BS12" s="500" t="e">
        <f ca="1">CHOOSE(庫存管理[[#This Row],[對應編碼]],$D$37,$D$38,$D$39,$D$40,$D$41,$D$42,$D$43)</f>
        <v>#N/A</v>
      </c>
      <c r="BT12" s="500">
        <f ca="1">IF(庫存管理[[#This Row],[商品代號]]="",0,CHOOSE(庫存管理[[#This Row],[對應編碼]],$E$37,$E$38,$E$39,$E$40,$E$41,$E$42,$E$43))</f>
        <v>0</v>
      </c>
      <c r="BU12" s="1555">
        <f ca="1">IF(庫存管理[[#This Row],[檢測]]=TRUE,庫存管理[[#This Row],[投入面額]]*庫存管理[[#This Row],[換算匯率(現)]],0)</f>
        <v>0</v>
      </c>
      <c r="BV12" s="1555">
        <f ca="1">IF(庫存管理[[#This Row],[檢測]]=TRUE,IFERROR(庫存管理[[#This Row],[持有成本(含前手息)]]*庫存管理[[#This Row],[換算匯率(買)]],0),0)</f>
        <v>0</v>
      </c>
      <c r="BW12" s="1555">
        <f ca="1">IF(庫存管理[[#This Row],[檢測]]=TRUE,庫存管理[[#This Row],[持有成本(不含前手息)]]*庫存管理[[#This Row],[換算匯率(買)]],0)</f>
        <v>0</v>
      </c>
      <c r="BX12" s="1555">
        <f ca="1">IF(庫存管理[[#This Row],[檢測]]=TRUE,庫存管理[[#This Row],[部位現值(含前手息)]]*庫存管理[[#This Row],[換算匯率(現)]],0)</f>
        <v>0</v>
      </c>
      <c r="BY12" s="1555">
        <f ca="1">IF(庫存管理[[#This Row],[檢測]]=TRUE,庫存管理[[#This Row],[部位現值(不含前手息)]]*庫存管理[[#This Row],[換算匯率(現)]],0)</f>
        <v>0</v>
      </c>
      <c r="BZ12" s="1555">
        <f ca="1">IF(庫存管理[[#This Row],[檢測]]=TRUE,IF(MF=2,庫存管理[[#This Row],[累計配息]]*庫存管理[[#This Row],[換算匯率(現)]],庫存管理[[#This Row],[已實現配息(原幣)]]*庫存管理[[#This Row],[換算匯率(現)]]),0)</f>
        <v>0</v>
      </c>
      <c r="CA12" s="1555" t="e">
        <f ca="1">庫存管理[[#This Row],[資本利損]]*庫存管理[[#This Row],[換算匯率(現)]]</f>
        <v>#VALUE!</v>
      </c>
      <c r="CB12" s="1555" t="e">
        <f ca="1">庫存管理[[#This Row],[累計利息(台)]]+庫存管理[[#This Row],[資本貢獻(台)]]</f>
        <v>#VALUE!</v>
      </c>
      <c r="CC12" s="574">
        <f ca="1">IF(庫存管理[[#This Row],[檢測]]=TRUE,IFERROR(庫存管理[[#This Row],[配息報酬]],0),0)</f>
        <v>0</v>
      </c>
      <c r="CD12" s="574">
        <f ca="1">IF(庫存管理[[#This Row],[檢測]]=TRUE,庫存管理[[#This Row],[資本報酬]],0)</f>
        <v>0</v>
      </c>
      <c r="CE12" s="574">
        <f ca="1">IF(S12=TRUE,IFERROR(庫存管理[[#This Row],[換匯總報酬率]]-(庫存管理[[#This Row],[配息報酬率]]+庫存管理[[#This Row],[資本報酬率]]),0),0)</f>
        <v>0</v>
      </c>
      <c r="CF12"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2" s="585">
        <f ca="1">IF(AND(庫存管理[[#This Row],[檢測]]=TRUE,開關=TRUE),IF(MF=2,IFERROR(BW12/$BW$1,0),IFERROR(BV12/$BV$1,0)),0)</f>
        <v>0</v>
      </c>
      <c r="CH12" s="574">
        <f ca="1">IF(庫存管理[[#This Row],[檢測]]=TRUE,IF(MF=2,IFERROR(BY12/$BY$1,0),IFERROR(BX12/$BX$1,0)),0)</f>
        <v>0</v>
      </c>
      <c r="CI12"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2" s="646" t="e">
        <f ca="1">DATEDIF(庫存管理[[#This Row],[買進例外調整]],庫存管理[[#This Row],[到期日]],"d")/365.25</f>
        <v>#N/A</v>
      </c>
      <c r="CK12" s="734" t="e">
        <f ca="1">DATEVALUE(VLOOKUP(庫存管理[[#This Row],[商品代號]],bond!B:AF,31,FALSE))</f>
        <v>#N/A</v>
      </c>
      <c r="CL12" s="734" t="e">
        <f ca="1">IF(庫存管理[[#This Row],[買下配(國調)]]&lt;庫存管理[[#This Row],[第一票息日]],庫存管理[[#This Row],[第一票息日]],庫存管理[[#This Row],[買下配(國調)]])</f>
        <v>#N/A</v>
      </c>
      <c r="CM12"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2"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2" s="735">
        <f ca="1">IF(庫存管理[[#This Row],[商品代號]]="XFM90",0,IFERROR(庫存管理[[#This Row],[單次配息(原幣)]]*庫存管理[[#This Row],[經過幾次配息]],0))</f>
        <v>0</v>
      </c>
      <c r="CP12" s="735" t="e">
        <f ca="1">VLOOKUP(庫存管理[[#This Row],[商品代號]],bond!B:F,5,FALSE)</f>
        <v>#N/A</v>
      </c>
      <c r="CQ12" s="734" t="str">
        <f ca="1">IFERROR(VLOOKUP(庫存管理[[#This Row],[ISIN]],'7_發行日例外'!A:C,3,FALSE),IFERROR(DATEVALUE(VLOOKUP(庫存管理[[#This Row],[商品代號]],bond!B:AR,43,FALSE)),""))</f>
        <v/>
      </c>
      <c r="CR12" s="735" t="e">
        <f ca="1">DATEDIF(庫存管理[[#This Row],[起息日]],庫存管理[[#This Row],[買進前一配息日(複算)]],"d")</f>
        <v>#VALUE!</v>
      </c>
      <c r="CS12"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2" s="734" t="e">
        <f ca="1">IFERROR(VLOOKUP(庫存管理[[#This Row],[ISIN]],'7_發行日例外'!A:D,4,FALSE),DATEVALUE(VLOOKUP(庫存管理[[#This Row],[商品代號]],bond!B:AV,44,FALSE)))</f>
        <v>#N/A</v>
      </c>
      <c r="CU12" s="735" t="e">
        <f ca="1">VLOOKUP(庫存管理[[#This Row],[商品代號]],bond!B:AU,46,FALSE)</f>
        <v>#N/A</v>
      </c>
      <c r="CV12" s="735" t="e">
        <f ca="1">IF(庫存管理[[#This Row],[計息基礎]]=1,CHOOSE(庫存管理[[#This Row],[對應編碼]],"沒進位","","沒進位",IF(庫存管理[[#This Row],[計算類型]]="AUSTRALIA:EX-DIV","4捨五入進0.01%","沒進位"),"年/2去計算ACT","沒進位","沒進位"),"")</f>
        <v>#N/A</v>
      </c>
      <c r="CW12" s="735" t="e">
        <f ca="1">_xlfn.DAYS(庫存管理[[#This Row],[買進例外調整]],庫存管理[[#This Row],[買進前一個配息日(最終)]])</f>
        <v>#N/A</v>
      </c>
      <c r="CX12" s="735" t="e">
        <f ca="1">IF(庫存管理[[#This Row],[備註]]="年/2去計算ACT",365/2,_xlfn.DAYS(庫存管理[[#This Row],[買進時的下個配息日]],庫存管理[[#This Row],[買進前一個配息日(最終)]]))</f>
        <v>#N/A</v>
      </c>
      <c r="CY12"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2" s="767" t="e">
        <f ca="1">_xlfn.DAYS(庫存管理[[#This Row],[交割日]],庫存管理[[#This Row],[買進前一個配息日(最終)]])</f>
        <v>#N/A</v>
      </c>
      <c r="DA12"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2" s="767" t="e">
        <f ca="1">_xlfn.DAYS(庫存管理[[#This Row],[交割日]],庫存管理[[#This Row],[最近的上一票息日]])</f>
        <v>#N/A</v>
      </c>
      <c r="DC12" s="767" t="e">
        <f ca="1">IF(庫存管理[[#This Row],[備註]]="年/2去計算ACT",365/2,_xlfn.DAYS(庫存管理[[#This Row],[下一配息日]],庫存管理[[#This Row],[最近的上一票息日]]))</f>
        <v>#N/A</v>
      </c>
      <c r="DD12"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2" s="739" t="e">
        <f ca="1">CL12-庫存管理[[#This Row],[ex_div_days]]</f>
        <v>#N/A</v>
      </c>
      <c r="DF12" s="646" t="e">
        <f ca="1">IF(VLOOKUP(庫存管理[[#This Row],[商品代號]],bond!B:AT,45,FALSE)="#N/A Field Not Applicable",0,VLOOKUP(庫存管理[[#This Row],[商品代號]],bond!B:AT,45,FALSE))</f>
        <v>#N/A</v>
      </c>
      <c r="DG12" s="793" t="e">
        <f ca="1">IF(庫存管理[[#This Row],[ex_div_days]]&lt;&gt;0,IF(AND(庫存管理[[#This Row],[買進例外調整]]-庫存管理[[#This Row],[買進下一個配息日先減n天]]&gt;=0,庫存管理[[#This Row],[買進時的下個配息日]]-庫存管理[[#This Row],[買進例外調整]]&gt;0),1,0),0)</f>
        <v>#N/A</v>
      </c>
      <c r="DH12"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2" s="734" t="e">
        <f ca="1">庫存管理[[#This Row],[下一配息日]]-庫存管理[[#This Row],[ex_div_days]]</f>
        <v>#VALUE!</v>
      </c>
      <c r="DJ12" s="1081" t="e">
        <f ca="1">IF(庫存管理[[#This Row],[ex_div_days]]&lt;&gt;0,IF(AND(庫存管理[[#This Row],[交割日]]-庫存管理[[#This Row],[交割下個配息日先減n天]]&gt;=0,庫存管理[[#This Row],[下一配息日]]-庫存管理[[#This Row],[交割日]]&gt;0),1,0),0)</f>
        <v>#N/A</v>
      </c>
      <c r="DK12"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2" s="735">
        <f ca="1">IFERROR(VLOOKUP(庫存管理[[#This Row],[商品代號]],bond!B:X,21,FALSE),0)</f>
        <v>0</v>
      </c>
      <c r="DM12" s="735">
        <f ca="1">IFERROR(VLOOKUP(I12,bond!B:J,9,FALSE),0)</f>
        <v>0</v>
      </c>
      <c r="DN12" s="1188">
        <f ca="1">IF(AND(開關=TRUE,庫存管理[[#This Row],[投組檢測]]=TRUE),IF(MF=2,IFERROR(BW12/$BW$3,0),IFERROR(BV12/$BV$3,0)),0)</f>
        <v>0</v>
      </c>
      <c r="DO12" s="735">
        <f ca="1">IFERROR(庫存管理[[#This Row],[clean申購價]]/100*庫存管理[[#This Row],[投入面額]]*庫存管理[[#This Row],[MOD]]*0.01,0)</f>
        <v>0</v>
      </c>
      <c r="DP12" s="1298" t="e">
        <f ca="1">IF($C$16=1,庫存管理[[#This Row],[單次配息(台幣)]],庫存管理[[#This Row],[單次配息(原幣)]])</f>
        <v>#VALUE!</v>
      </c>
      <c r="DQ12"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2"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2"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2"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2"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2"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2"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2"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2"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2"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2"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2"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2" s="33"/>
      <c r="ED12" s="33"/>
      <c r="EE12" s="33"/>
      <c r="EF12" s="33"/>
      <c r="EG12" s="33"/>
      <c r="EH12" s="33"/>
      <c r="EI12" s="33"/>
      <c r="EJ12" s="33"/>
      <c r="EK12" s="33"/>
      <c r="EL12" s="33"/>
      <c r="EM12" s="33"/>
      <c r="EN12" s="33"/>
      <c r="EO12" s="33"/>
      <c r="EP12" s="33"/>
      <c r="EQ12" s="33"/>
      <c r="ER12" s="33"/>
      <c r="ES12" s="33"/>
      <c r="ET12" s="33"/>
      <c r="EU12" s="33"/>
      <c r="EV12" s="33"/>
      <c r="EW12" s="33"/>
      <c r="EX12" s="33"/>
      <c r="EY12" s="33"/>
      <c r="EZ12" s="33"/>
      <c r="FA12" s="33"/>
      <c r="FB12" s="33"/>
      <c r="FC12" s="33"/>
      <c r="FD12" s="33"/>
      <c r="FE12" s="33"/>
      <c r="FF12" s="33"/>
      <c r="FG12" s="33"/>
      <c r="FH12" s="33"/>
      <c r="FI12" s="33"/>
      <c r="FJ12" s="33"/>
      <c r="FK12" s="33"/>
      <c r="FL12" s="33"/>
      <c r="FM12" s="33"/>
      <c r="FN12" s="33"/>
      <c r="FO12" s="33"/>
      <c r="FP12" s="33"/>
      <c r="FQ12" s="33"/>
      <c r="FR12" s="33"/>
      <c r="FS12" s="33"/>
      <c r="FT12" s="33"/>
      <c r="FU12" s="33"/>
      <c r="FV12" s="33"/>
      <c r="FW12" s="33"/>
      <c r="FX12" s="33"/>
      <c r="FY12" s="33"/>
      <c r="FZ12" s="33"/>
      <c r="GA12" s="33"/>
      <c r="GB12" s="33"/>
      <c r="GC12" s="33"/>
      <c r="GD12" s="33"/>
      <c r="GE12" s="33"/>
      <c r="GF12" s="33"/>
      <c r="GG12" s="33"/>
      <c r="GH12" s="33"/>
      <c r="GI12" s="33"/>
      <c r="GJ12" s="33"/>
      <c r="GK12" s="33"/>
      <c r="GL12" s="33"/>
      <c r="GM12" s="33"/>
      <c r="GN12" s="33"/>
      <c r="GO12" s="33"/>
      <c r="GP12" s="33"/>
      <c r="GQ12" s="33"/>
      <c r="GR12" s="33"/>
      <c r="GS12" s="33"/>
      <c r="GT12" s="33"/>
      <c r="GU12" s="33"/>
      <c r="GV12" s="33"/>
      <c r="GW12" s="33"/>
      <c r="GX12" s="33"/>
      <c r="GY12" s="33"/>
      <c r="GZ12" s="33"/>
      <c r="HA12" s="33"/>
      <c r="HB12" s="33"/>
      <c r="HC12" s="33"/>
      <c r="HD12" s="33"/>
      <c r="HE12" s="33"/>
      <c r="HF12" s="33"/>
      <c r="HG12" s="33"/>
      <c r="HH12" s="33"/>
      <c r="HI12" s="33"/>
      <c r="HJ12" s="33"/>
      <c r="HK12" s="33"/>
      <c r="HL12" s="33"/>
      <c r="HM12" s="33"/>
      <c r="HN12" s="33"/>
      <c r="HO12" s="33"/>
      <c r="HP12" s="33"/>
      <c r="HQ12" s="33"/>
      <c r="HR12" s="33"/>
      <c r="HS12" s="33"/>
      <c r="HT12" s="33"/>
      <c r="HU12" s="33"/>
    </row>
    <row r="13" spans="1:1104" ht="19.5" customHeight="1">
      <c r="B13" s="614" t="s">
        <v>1946</v>
      </c>
      <c r="C13" s="614">
        <v>4</v>
      </c>
      <c r="G13" s="459">
        <v>7</v>
      </c>
      <c r="H13" s="1166" t="b">
        <f ca="1">IFERROR(IF(VLOOKUP(G13,換券投組!$AH$8:$AH$13,1,FALSE)&gt;0,TRUE,FALSE),FALSE)</f>
        <v>0</v>
      </c>
      <c r="I13" s="1693" t="str">
        <f ca="1">IF(開關=TRUE,'商品代碼-中繼頁'!R8,"")</f>
        <v/>
      </c>
      <c r="J13" s="429">
        <f ca="1">IFERROR(VLOOKUP(I13,bond!B:I,8,FALSE),0)</f>
        <v>0</v>
      </c>
      <c r="K13" s="429">
        <f ca="1">IFERROR(庫存管理[[#This Row],[買價]]+VLOOKUP(庫存管理[[#This Row],[商品代號]],bond!B:K,10,FALSE),0)</f>
        <v>0</v>
      </c>
      <c r="L13" s="430" t="e">
        <f ca="1">VLOOKUP(I13,'銀行-TSS'!B:E,4,FALSE)</f>
        <v>#N/A</v>
      </c>
      <c r="M13" s="431">
        <f ca="1">IFERROR(VLOOKUP($I13,'銀行-TSS'!B:G,6,FALSE),0)</f>
        <v>0</v>
      </c>
      <c r="N13" s="432" t="e">
        <f ca="1">IFERROR(DATEVALUE(VLOOKUP($I13,'銀行-TSS'!B:F,5,FALSE)),VLOOKUP($I13,'銀行-TSS'!B:F,5,FALSE))</f>
        <v>#N/A</v>
      </c>
      <c r="O13" s="433">
        <f ca="1">IFERROR(VLOOKUP($I13,'銀行-TSS'!B:H,7,FALSE),0)</f>
        <v>0</v>
      </c>
      <c r="P13" s="433" t="e">
        <f ca="1">庫存管理[[#This Row],[票面利率]]/庫存管理[[#This Row],[成本價(不含前手息)]]*100</f>
        <v>#VALUE!</v>
      </c>
      <c r="Q13" s="434" t="str">
        <f ca="1">IFERROR(VLOOKUP($I13,'銀行-TSS'!B:I,8,FALSE),"")</f>
        <v/>
      </c>
      <c r="R13" s="440" t="str">
        <f ca="1">_xlfn.IFNA(IFERROR(DATEVALUE(VLOOKUP($I13,'銀行-TSS'!B:P,15,FALSE)),VLOOKUP($I13,'銀行-TSS'!B:P,15,FALSE)),"")</f>
        <v/>
      </c>
      <c r="S13" s="570" t="b">
        <f ca="1">IF(AND(庫存管理[[#This Row],[配息頻率]]&lt;&gt;"",庫存管理[[#This Row],[持有成本(不含前手息)]]&lt;&gt;0,庫存管理[[#This Row],[買進日]]&lt;&gt;""),TRUE,FALSE)</f>
        <v>0</v>
      </c>
      <c r="T13" s="602" t="str">
        <f>IFERROR(DATE(LEFT('商品代碼-中繼頁'!S8,4),MID('商品代碼-中繼頁'!S8,5,2),RIGHT('商品代碼-中繼頁'!S8,2)),"")</f>
        <v/>
      </c>
      <c r="U13"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3" s="442" t="e">
        <f ca="1">IFERROR(WORKDAY(庫存管理[[#This Row],[買進日]],VLOOKUP(庫存管理[[#This Row],[商品代號]],'1_重設數據'!R:S,2,FALSE),休USD),庫存管理[[#This Row],[買進日(T+2/公債T+1)]])</f>
        <v>#N/A</v>
      </c>
      <c r="W13" s="43" t="str">
        <f>'商品代碼-中繼頁'!T8</f>
        <v/>
      </c>
      <c r="X13" s="43" t="str">
        <f>'商品代碼-中繼頁'!U8</f>
        <v/>
      </c>
      <c r="Y13" s="464">
        <f t="shared" ca="1" si="9"/>
        <v>0</v>
      </c>
      <c r="Z13" s="464" t="e">
        <f t="shared" ca="1" si="13"/>
        <v>#VALUE!</v>
      </c>
      <c r="AA13" s="465" t="e">
        <f t="shared" ca="1" si="10"/>
        <v>#VALUE!</v>
      </c>
      <c r="AB13" s="474" t="e">
        <f ca="1">IF(MF=2,庫存管理[[#This Row],[部位現值(不含前手息)]]-庫存管理[[#This Row],[持有成本(不含前手息)]],庫存管理[[#This Row],[部位現值(含前手息)]]-庫存管理[[#This Row],[持有成本(含前手息)]])</f>
        <v>#VALUE!</v>
      </c>
      <c r="AC13" s="462">
        <f ca="1">IF(庫存管理[[#This Row],[檢測]]=TRUE,IF(MF=2,IFERROR(庫存管理[[#This Row],[資本利損]]/庫存管理[[#This Row],[持有成本(不含前手息)]],0),IFERROR(庫存管理[[#This Row],[資本利損]]/庫存管理[[#This Row],[持有成本(含前手息)]],0)),0)</f>
        <v>0</v>
      </c>
      <c r="AD13" s="618" t="e">
        <f ca="1">庫存管理[[#This Row],[持有成本(不含前手息)]]/庫存管理[[#This Row],[投入面額]]*100</f>
        <v>#VALUE!</v>
      </c>
      <c r="AE13" s="462" t="str">
        <f ca="1">IFERROR(VLOOKUP(庫存管理[[#This Row],[商品代號]],bond!B:AA,26,FALSE),"")</f>
        <v/>
      </c>
      <c r="AF13" s="1" t="str">
        <f ca="1">IFERROR(VLOOKUP($I13,'銀行-TSS'!B:Q,16,FALSE),"")</f>
        <v/>
      </c>
      <c r="AG13" s="466">
        <f t="shared" ca="1" si="1"/>
        <v>0</v>
      </c>
      <c r="AH13" s="458" t="e">
        <f ca="1">IF(OR(庫存管理[[#This Row],[起息日]]&gt;庫存管理[[#This Row],[買進前一配息日(複算)]],庫存管理[[#This Row],[判斷]]=TRUE),庫存管理[[#This Row],[起息日]],庫存管理[[#This Row],[買進前一配息日(複算)]])</f>
        <v>#N/A</v>
      </c>
      <c r="AI13" s="577" t="e">
        <f ca="1">VLOOKUP(I13,bond!B:AP,41,FALSE)</f>
        <v>#N/A</v>
      </c>
      <c r="AJ13" s="578" t="e">
        <f t="shared" ca="1" si="2"/>
        <v>#N/A</v>
      </c>
      <c r="AK13" s="579">
        <f ca="1">IFERROR(IF(庫存管理[[#This Row],[買進日是否落入record date]]=1,庫存管理[[#This Row],[record date制度前手息]],庫存管理[[#This Row],[計算前手息(初算)]]),0)</f>
        <v>0</v>
      </c>
      <c r="AL13" s="579" t="e">
        <f ca="1">IF(OR(庫存管理[[#This Row],[買進例外調整]]&lt;庫存管理[[#This Row],[起息日]],庫存管理[[#This Row],[買進例外調整]]&gt;庫存管理[[#This Row],[到期日]]),0,IF(庫存管理[[#This Row],[備註]]&lt;&gt;"",庫存管理[[#This Row],[買進時前手息]],IFERROR(ROUND(ACCRINT(AH13,AH13,V13,O13,100,Q13,AJ13,TRUE),4),0)))</f>
        <v>#N/A</v>
      </c>
      <c r="AM13" s="580" t="e">
        <f t="shared" ca="1" si="11"/>
        <v>#VALUE!</v>
      </c>
      <c r="AN13" s="440" t="e">
        <f ca="1">IFERROR(DATEVALUE(VLOOKUP(I13,bond!B:I,7,FALSE)),VLOOKUP(I13,bond!B:I,7,FALSE))</f>
        <v>#N/A</v>
      </c>
      <c r="AO13"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3" s="1075">
        <f ca="1">IFERROR(IF(庫存管理[[#This Row],[交割日是否落入record date]]=1,庫存管理[[#This Row],[交_record date制度前手息]],庫存管理[[#This Row],[計算交割前手息(初算)]]),0)</f>
        <v>0</v>
      </c>
      <c r="AQ13"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3" s="1063" t="e">
        <f ca="1">ROUND(庫存管理[[#This Row],[計算交割前手息(複算)]]*庫存管理[[#This Row],[投入面額]]/100,2)</f>
        <v>#VALUE!</v>
      </c>
      <c r="AS13" s="1064" t="e">
        <f ca="1">IF(庫存管理[[#This Row],[配息頻率]]=0,0,(100*庫存管理[[#This Row],[票面利率]]/庫存管理[[#This Row],[配息頻率]])*庫存管理[[#This Row],[經過幾次配息]]+庫存管理[[#This Row],[計算交割前手息(複算)]]-庫存管理[[#This Row],[計算前手息(複算)]])</f>
        <v>#VALUE!</v>
      </c>
      <c r="AT13" s="581" t="e">
        <f ca="1">IF(庫存管理[[#This Row],[商品代號]]="XFM90",0,ROUND(AS13*W13/100,2))</f>
        <v>#VALUE!</v>
      </c>
      <c r="AU13" s="582">
        <f ca="1">IF(MF=2,IFERROR(庫存管理[[#This Row],[累計配息]]/庫存管理[[#This Row],[持有成本(不含前手息)]],0),IFERROR(庫存管理[[#This Row],[已實現配息(原幣)]]/庫存管理[[#This Row],[持有成本(含前手息)]],0))</f>
        <v>0</v>
      </c>
      <c r="AV13" s="583" t="e">
        <f ca="1">IF(MF=2,庫存管理[[#This Row],[資本利損]]+庫存管理[[#This Row],[累計配息]],庫存管理[[#This Row],[資本利損]]+庫存管理[[#This Row],[已實現配息(原幣)]])</f>
        <v>#VALUE!</v>
      </c>
      <c r="AW13" s="584">
        <f ca="1">IF(庫存管理[[#This Row],[檢測]]=TRUE,IF(MF=2,IFERROR(庫存管理[[#This Row],[合計收益]]/庫存管理[[#This Row],[持有成本(不含前手息)]],0),IFERROR(庫存管理[[#This Row],[合計收益]]/庫存管理[[#This Row],[持有成本(含前手息)]],0)),0)</f>
        <v>0</v>
      </c>
      <c r="AX13" s="434" t="e">
        <f t="shared" ca="1" si="12"/>
        <v>#VALUE!</v>
      </c>
      <c r="AY13" s="434" t="e">
        <f t="shared" ca="1" si="3"/>
        <v>#VALUE!</v>
      </c>
      <c r="AZ13" s="434">
        <f t="shared" ca="1" si="4"/>
        <v>0</v>
      </c>
      <c r="BA13" s="434">
        <f t="shared" ca="1" si="5"/>
        <v>0</v>
      </c>
      <c r="BB13" s="441" t="e">
        <f ca="1">IF(AND(庫存管理[[#This Row],[名稱]]="美國國庫債券",DAY(庫存管理[[#This Row],[買進前一配息日(初算)]])&gt;=28),EOMONTH(庫存管理[[#This Row],[買進前一配息日(初算)]],0),庫存管理[[#This Row],[買進前一配息日(初算)]])</f>
        <v>#N/A</v>
      </c>
      <c r="BC13" s="441" t="e">
        <f t="shared" ca="1" si="6"/>
        <v>#N/A</v>
      </c>
      <c r="BD13" s="444" t="e">
        <f t="shared" ca="1" si="7"/>
        <v>#N/A</v>
      </c>
      <c r="BE13" s="441" t="e">
        <f ca="1">IF(Q13&gt;0,IF(MONTH(DATE(BD13,AX13,DAY(R13)))&lt;&gt;庫存管理[[#This Row],[第一個配息月]],DATE(BD13,AX13+1,0),DATE(BD13,AX13,DAY(R13))),庫存管理[[#This Row],[買進例外調整]]+100)</f>
        <v>#N/A</v>
      </c>
      <c r="BF13" s="441" t="e">
        <f ca="1">IF(AY13&lt;&gt;0,IF(MONTH(DATE(BD13,AY13,DAY(R13)))&lt;&gt;庫存管理[[#This Row],[第二個配息月]],DATE(BD13,AY13+1,0),DATE(BD13,AY13,DAY(R13))),庫存管理[[#This Row],[買進例外調整]]+100)</f>
        <v>#VALUE!</v>
      </c>
      <c r="BG13" s="441" t="e">
        <f ca="1">IF(AZ13&lt;&gt;0,IF(MONTH(DATE(BD13,AZ13,DAY(R13)))&lt;&gt;庫存管理[[#This Row],[第三個配息月]],DATE(BD13,AZ13+1,0),DATE(BD13,AZ13,DAY(R13))),庫存管理[[#This Row],[買進例外調整]]+100)</f>
        <v>#N/A</v>
      </c>
      <c r="BH13" s="441" t="e">
        <f ca="1">IF(BA13&lt;&gt;0,IF(MONTH(DATE(BD13,BA13,DAY(R13)))&lt;&gt;庫存管理[[#This Row],[第四個配息月]],DATE(BD13,BA13+1,0),DATE(BD13,BA13,DAY(R13))),庫存管理[[#This Row],[買進例外調整]]+100)</f>
        <v>#N/A</v>
      </c>
      <c r="BI13" s="441" t="e">
        <f ca="1">IF(Q13=1,IF(MONTH(DATE(BD13-1,AX13,DAY(R13)))&lt;&gt;庫存管理[[#This Row],[第一個配息月]],DATE(BD13-1,AX13+1,0),DATE(BD13-1,AX13,DAY(R13))),IF(Q13=2,IF(MONTH(DATE(BD13-1,AY13,DAY(R13)))&lt;&gt;庫存管理[[#This Row],[第二個配息月]],DATE(BD13-1,AY13+1,0),DATE(BD13-1,AY13,DAY(R13))),IF(Q13=4,IF(MONTH(DATE(BD13-1,BA13,DAY(R13)))&lt;&gt;庫存管理[[#This Row],[第四個配息月]],DATE(BD13-1,BA13+1,0),DATE(BD13-1,BA13,DAY(R13))),庫存管理[[#This Row],[買進例外調整]]+100)))</f>
        <v>#N/A</v>
      </c>
      <c r="BJ13" s="445">
        <f t="shared" ca="1" si="8"/>
        <v>10000</v>
      </c>
      <c r="BK13" s="445">
        <f t="shared" ca="1" si="8"/>
        <v>10000</v>
      </c>
      <c r="BL13" s="445">
        <f t="shared" ca="1" si="8"/>
        <v>10000</v>
      </c>
      <c r="BM13" s="445">
        <f t="shared" ca="1" si="8"/>
        <v>10000</v>
      </c>
      <c r="BN13" s="455">
        <f t="shared" ca="1" si="8"/>
        <v>10000</v>
      </c>
      <c r="BO13" s="479" t="e">
        <f ca="1">庫存管理[[#This Row],[年度配息]]/庫存管理[[#This Row],[配息頻率]]</f>
        <v>#VALUE!</v>
      </c>
      <c r="BP13" s="479" t="e">
        <f ca="1">庫存管理[[#This Row],[單次配息(原幣)]]*庫存管理[[#This Row],[換算匯率(現)]]</f>
        <v>#VALUE!</v>
      </c>
      <c r="BQ13" s="479" t="str">
        <f ca="1">IF(庫存管理[[#This Row],[商品代號]]&lt;&gt;"",IFERROR(VLOOKUP($I13,'銀行-TSS'!B:C,2,FALSE),""),"")</f>
        <v/>
      </c>
      <c r="BR13" s="479" t="e">
        <f ca="1">VLOOKUP(庫存管理[[#This Row],[幣別]],$B$37:$C$43,2,FALSE)</f>
        <v>#N/A</v>
      </c>
      <c r="BS13" s="500" t="e">
        <f ca="1">CHOOSE(庫存管理[[#This Row],[對應編碼]],$D$37,$D$38,$D$39,$D$40,$D$41,$D$42,$D$43)</f>
        <v>#N/A</v>
      </c>
      <c r="BT13" s="500">
        <f ca="1">IF(庫存管理[[#This Row],[商品代號]]="",0,CHOOSE(庫存管理[[#This Row],[對應編碼]],$E$37,$E$38,$E$39,$E$40,$E$41,$E$42,$E$43))</f>
        <v>0</v>
      </c>
      <c r="BU13" s="1555">
        <f ca="1">IF(庫存管理[[#This Row],[檢測]]=TRUE,庫存管理[[#This Row],[投入面額]]*庫存管理[[#This Row],[換算匯率(現)]],0)</f>
        <v>0</v>
      </c>
      <c r="BV13" s="1555">
        <f ca="1">IF(庫存管理[[#This Row],[檢測]]=TRUE,IFERROR(庫存管理[[#This Row],[持有成本(含前手息)]]*庫存管理[[#This Row],[換算匯率(買)]],0),0)</f>
        <v>0</v>
      </c>
      <c r="BW13" s="1555">
        <f ca="1">IF(庫存管理[[#This Row],[檢測]]=TRUE,庫存管理[[#This Row],[持有成本(不含前手息)]]*庫存管理[[#This Row],[換算匯率(買)]],0)</f>
        <v>0</v>
      </c>
      <c r="BX13" s="1555">
        <f ca="1">IF(庫存管理[[#This Row],[檢測]]=TRUE,庫存管理[[#This Row],[部位現值(含前手息)]]*庫存管理[[#This Row],[換算匯率(現)]],0)</f>
        <v>0</v>
      </c>
      <c r="BY13" s="1555">
        <f ca="1">IF(庫存管理[[#This Row],[檢測]]=TRUE,庫存管理[[#This Row],[部位現值(不含前手息)]]*庫存管理[[#This Row],[換算匯率(現)]],0)</f>
        <v>0</v>
      </c>
      <c r="BZ13" s="1555">
        <f ca="1">IF(庫存管理[[#This Row],[檢測]]=TRUE,IF(MF=2,庫存管理[[#This Row],[累計配息]]*庫存管理[[#This Row],[換算匯率(現)]],庫存管理[[#This Row],[已實現配息(原幣)]]*庫存管理[[#This Row],[換算匯率(現)]]),0)</f>
        <v>0</v>
      </c>
      <c r="CA13" s="1555" t="e">
        <f ca="1">庫存管理[[#This Row],[資本利損]]*庫存管理[[#This Row],[換算匯率(現)]]</f>
        <v>#VALUE!</v>
      </c>
      <c r="CB13" s="1555" t="e">
        <f ca="1">庫存管理[[#This Row],[累計利息(台)]]+庫存管理[[#This Row],[資本貢獻(台)]]</f>
        <v>#VALUE!</v>
      </c>
      <c r="CC13" s="574">
        <f ca="1">IF(庫存管理[[#This Row],[檢測]]=TRUE,IFERROR(庫存管理[[#This Row],[配息報酬]],0),0)</f>
        <v>0</v>
      </c>
      <c r="CD13" s="574">
        <f ca="1">IF(庫存管理[[#This Row],[檢測]]=TRUE,庫存管理[[#This Row],[資本報酬]],0)</f>
        <v>0</v>
      </c>
      <c r="CE13" s="574">
        <f ca="1">IF(S13=TRUE,IFERROR(庫存管理[[#This Row],[換匯總報酬率]]-(庫存管理[[#This Row],[配息報酬率]]+庫存管理[[#This Row],[資本報酬率]]),0),0)</f>
        <v>0</v>
      </c>
      <c r="CF13"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3" s="585">
        <f ca="1">IF(AND(庫存管理[[#This Row],[檢測]]=TRUE,開關=TRUE),IF(MF=2,IFERROR(BW13/$BW$1,0),IFERROR(BV13/$BV$1,0)),0)</f>
        <v>0</v>
      </c>
      <c r="CH13" s="574">
        <f ca="1">IF(庫存管理[[#This Row],[檢測]]=TRUE,IF(MF=2,IFERROR(BY13/$BY$1,0),IFERROR(BX13/$BX$1,0)),0)</f>
        <v>0</v>
      </c>
      <c r="CI13"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3" s="646" t="e">
        <f ca="1">DATEDIF(庫存管理[[#This Row],[買進例外調整]],庫存管理[[#This Row],[到期日]],"d")/365.25</f>
        <v>#N/A</v>
      </c>
      <c r="CK13" s="734" t="e">
        <f ca="1">DATEVALUE(VLOOKUP(庫存管理[[#This Row],[商品代號]],bond!B:AF,31,FALSE))</f>
        <v>#N/A</v>
      </c>
      <c r="CL13" s="734" t="e">
        <f ca="1">IF(庫存管理[[#This Row],[買下配(國調)]]&lt;庫存管理[[#This Row],[第一票息日]],庫存管理[[#This Row],[第一票息日]],庫存管理[[#This Row],[買下配(國調)]])</f>
        <v>#N/A</v>
      </c>
      <c r="CM13"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3"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3" s="735">
        <f ca="1">IF(庫存管理[[#This Row],[商品代號]]="XFM90",0,IFERROR(庫存管理[[#This Row],[單次配息(原幣)]]*庫存管理[[#This Row],[經過幾次配息]],0))</f>
        <v>0</v>
      </c>
      <c r="CP13" s="735" t="e">
        <f ca="1">VLOOKUP(庫存管理[[#This Row],[商品代號]],bond!B:F,5,FALSE)</f>
        <v>#N/A</v>
      </c>
      <c r="CQ13" s="734" t="str">
        <f ca="1">IFERROR(VLOOKUP(庫存管理[[#This Row],[ISIN]],'7_發行日例外'!A:C,3,FALSE),IFERROR(DATEVALUE(VLOOKUP(庫存管理[[#This Row],[商品代號]],bond!B:AR,43,FALSE)),""))</f>
        <v/>
      </c>
      <c r="CR13" s="735" t="e">
        <f ca="1">DATEDIF(庫存管理[[#This Row],[起息日]],庫存管理[[#This Row],[買進前一配息日(複算)]],"d")</f>
        <v>#VALUE!</v>
      </c>
      <c r="CS13"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3" s="734" t="e">
        <f ca="1">IFERROR(VLOOKUP(庫存管理[[#This Row],[ISIN]],'7_發行日例外'!A:D,4,FALSE),DATEVALUE(VLOOKUP(庫存管理[[#This Row],[商品代號]],bond!B:AV,44,FALSE)))</f>
        <v>#N/A</v>
      </c>
      <c r="CU13" s="735" t="e">
        <f ca="1">VLOOKUP(庫存管理[[#This Row],[商品代號]],bond!B:AU,46,FALSE)</f>
        <v>#N/A</v>
      </c>
      <c r="CV13" s="735" t="e">
        <f ca="1">IF(庫存管理[[#This Row],[計息基礎]]=1,CHOOSE(庫存管理[[#This Row],[對應編碼]],"沒進位","","沒進位",IF(庫存管理[[#This Row],[計算類型]]="AUSTRALIA:EX-DIV","4捨五入進0.01%","沒進位"),"年/2去計算ACT","沒進位","沒進位"),"")</f>
        <v>#N/A</v>
      </c>
      <c r="CW13" s="735" t="e">
        <f ca="1">_xlfn.DAYS(庫存管理[[#This Row],[買進例外調整]],庫存管理[[#This Row],[買進前一個配息日(最終)]])</f>
        <v>#N/A</v>
      </c>
      <c r="CX13" s="735" t="e">
        <f ca="1">IF(庫存管理[[#This Row],[備註]]="年/2去計算ACT",365/2,_xlfn.DAYS(庫存管理[[#This Row],[買進時的下個配息日]],庫存管理[[#This Row],[買進前一個配息日(最終)]]))</f>
        <v>#N/A</v>
      </c>
      <c r="CY13"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3" s="767" t="e">
        <f ca="1">_xlfn.DAYS(庫存管理[[#This Row],[交割日]],庫存管理[[#This Row],[買進前一個配息日(最終)]])</f>
        <v>#N/A</v>
      </c>
      <c r="DA13"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3" s="767" t="e">
        <f ca="1">_xlfn.DAYS(庫存管理[[#This Row],[交割日]],庫存管理[[#This Row],[最近的上一票息日]])</f>
        <v>#N/A</v>
      </c>
      <c r="DC13" s="767" t="e">
        <f ca="1">IF(庫存管理[[#This Row],[備註]]="年/2去計算ACT",365/2,_xlfn.DAYS(庫存管理[[#This Row],[下一配息日]],庫存管理[[#This Row],[最近的上一票息日]]))</f>
        <v>#N/A</v>
      </c>
      <c r="DD13"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3" s="739" t="e">
        <f ca="1">CL13-庫存管理[[#This Row],[ex_div_days]]</f>
        <v>#N/A</v>
      </c>
      <c r="DF13" s="646" t="e">
        <f ca="1">IF(VLOOKUP(庫存管理[[#This Row],[商品代號]],bond!B:AT,45,FALSE)="#N/A Field Not Applicable",0,VLOOKUP(庫存管理[[#This Row],[商品代號]],bond!B:AT,45,FALSE))</f>
        <v>#N/A</v>
      </c>
      <c r="DG13" s="793" t="e">
        <f ca="1">IF(庫存管理[[#This Row],[ex_div_days]]&lt;&gt;0,IF(AND(庫存管理[[#This Row],[買進例外調整]]-庫存管理[[#This Row],[買進下一個配息日先減n天]]&gt;=0,庫存管理[[#This Row],[買進時的下個配息日]]-庫存管理[[#This Row],[買進例外調整]]&gt;0),1,0),0)</f>
        <v>#N/A</v>
      </c>
      <c r="DH13"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3" s="734" t="e">
        <f ca="1">庫存管理[[#This Row],[下一配息日]]-庫存管理[[#This Row],[ex_div_days]]</f>
        <v>#VALUE!</v>
      </c>
      <c r="DJ13" s="1081" t="e">
        <f ca="1">IF(庫存管理[[#This Row],[ex_div_days]]&lt;&gt;0,IF(AND(庫存管理[[#This Row],[交割日]]-庫存管理[[#This Row],[交割下個配息日先減n天]]&gt;=0,庫存管理[[#This Row],[下一配息日]]-庫存管理[[#This Row],[交割日]]&gt;0),1,0),0)</f>
        <v>#N/A</v>
      </c>
      <c r="DK13"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3" s="735">
        <f ca="1">IFERROR(VLOOKUP(庫存管理[[#This Row],[商品代號]],bond!B:X,21,FALSE),0)</f>
        <v>0</v>
      </c>
      <c r="DM13" s="735">
        <f ca="1">IFERROR(VLOOKUP(I13,bond!B:J,9,FALSE),0)</f>
        <v>0</v>
      </c>
      <c r="DN13" s="1188">
        <f ca="1">IF(AND(開關=TRUE,庫存管理[[#This Row],[投組檢測]]=TRUE),IF(MF=2,IFERROR(BW13/$BW$3,0),IFERROR(BV13/$BV$3,0)),0)</f>
        <v>0</v>
      </c>
      <c r="DO13" s="735">
        <f ca="1">IFERROR(庫存管理[[#This Row],[clean申購價]]/100*庫存管理[[#This Row],[投入面額]]*庫存管理[[#This Row],[MOD]]*0.01,0)</f>
        <v>0</v>
      </c>
      <c r="DP13" s="1298" t="e">
        <f ca="1">IF($C$16=1,庫存管理[[#This Row],[單次配息(台幣)]],庫存管理[[#This Row],[單次配息(原幣)]])</f>
        <v>#VALUE!</v>
      </c>
      <c r="DQ13"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3"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3"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3"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3"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3"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3"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3"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3"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3"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3"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3"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3" s="33"/>
      <c r="ED13" s="33"/>
      <c r="EE13" s="33"/>
      <c r="EF13" s="33"/>
      <c r="EG13" s="33"/>
      <c r="EH13" s="33"/>
      <c r="EI13" s="33"/>
      <c r="EJ13" s="33"/>
      <c r="EK13" s="33"/>
      <c r="EL13" s="33"/>
      <c r="EM13" s="33"/>
      <c r="EN13" s="33"/>
      <c r="EO13" s="33"/>
      <c r="EP13" s="33"/>
      <c r="EQ13" s="33"/>
      <c r="ER13" s="33"/>
      <c r="ES13" s="33"/>
      <c r="ET13" s="33"/>
      <c r="EU13" s="33"/>
      <c r="EV13" s="33"/>
      <c r="EW13" s="33"/>
      <c r="EX13" s="33"/>
      <c r="EY13" s="33"/>
      <c r="EZ13" s="33"/>
      <c r="FA13" s="33"/>
      <c r="FB13" s="33"/>
      <c r="FC13" s="33"/>
      <c r="FD13" s="33"/>
      <c r="FE13" s="33"/>
      <c r="FF13" s="33"/>
      <c r="FG13" s="33"/>
      <c r="FH13" s="33"/>
      <c r="FI13" s="33"/>
      <c r="FJ13" s="33"/>
      <c r="FK13" s="33"/>
      <c r="FL13" s="33"/>
      <c r="FM13" s="33"/>
      <c r="FN13" s="33"/>
      <c r="FO13" s="33"/>
      <c r="FP13" s="33"/>
      <c r="FQ13" s="33"/>
      <c r="FR13" s="33"/>
      <c r="FS13" s="33"/>
      <c r="FT13" s="33"/>
      <c r="FU13" s="33"/>
      <c r="FV13" s="33"/>
      <c r="FW13" s="33"/>
      <c r="FX13" s="33"/>
      <c r="FY13" s="33"/>
      <c r="FZ13" s="33"/>
      <c r="GA13" s="33"/>
      <c r="GB13" s="33"/>
      <c r="GC13" s="33"/>
      <c r="GD13" s="33"/>
      <c r="GE13" s="33"/>
      <c r="GF13" s="33"/>
      <c r="GG13" s="33"/>
      <c r="GH13" s="33"/>
      <c r="GI13" s="33"/>
      <c r="GJ13" s="33"/>
      <c r="GK13" s="33"/>
      <c r="GL13" s="33"/>
      <c r="GM13" s="33"/>
      <c r="GN13" s="33"/>
      <c r="GO13" s="33"/>
      <c r="GP13" s="33"/>
      <c r="GQ13" s="33"/>
      <c r="GR13" s="33"/>
      <c r="GS13" s="33"/>
      <c r="GT13" s="33"/>
      <c r="GU13" s="33"/>
      <c r="GV13" s="33"/>
      <c r="GW13" s="33"/>
      <c r="GX13" s="33"/>
      <c r="GY13" s="33"/>
      <c r="GZ13" s="33"/>
      <c r="HA13" s="33"/>
      <c r="HB13" s="33"/>
      <c r="HC13" s="33"/>
      <c r="HD13" s="33"/>
      <c r="HE13" s="33"/>
      <c r="HF13" s="33"/>
      <c r="HG13" s="33"/>
      <c r="HH13" s="33"/>
      <c r="HI13" s="33"/>
      <c r="HJ13" s="33"/>
      <c r="HK13" s="33"/>
      <c r="HL13" s="33"/>
      <c r="HM13" s="33"/>
      <c r="HN13" s="33"/>
      <c r="HO13" s="33"/>
      <c r="HP13" s="33"/>
      <c r="HQ13" s="33"/>
      <c r="HR13" s="33"/>
      <c r="HS13" s="33"/>
      <c r="HT13" s="33"/>
      <c r="HU13" s="33"/>
    </row>
    <row r="14" spans="1:1104" ht="19.5" customHeight="1">
      <c r="G14" s="459">
        <v>8</v>
      </c>
      <c r="H14" s="1166" t="b">
        <f ca="1">IFERROR(IF(VLOOKUP(G14,換券投組!$AH$8:$AH$13,1,FALSE)&gt;0,TRUE,FALSE),FALSE)</f>
        <v>0</v>
      </c>
      <c r="I14" s="1693" t="str">
        <f ca="1">IF(開關=TRUE,'商品代碼-中繼頁'!R9,"")</f>
        <v/>
      </c>
      <c r="J14" s="429">
        <f ca="1">IFERROR(VLOOKUP(I14,bond!B:I,8,FALSE),0)</f>
        <v>0</v>
      </c>
      <c r="K14" s="429">
        <f ca="1">IFERROR(庫存管理[[#This Row],[買價]]+VLOOKUP(庫存管理[[#This Row],[商品代號]],bond!B:K,10,FALSE),0)</f>
        <v>0</v>
      </c>
      <c r="L14" s="430" t="e">
        <f ca="1">VLOOKUP(I14,'銀行-TSS'!B:E,4,FALSE)</f>
        <v>#N/A</v>
      </c>
      <c r="M14" s="431">
        <f ca="1">IFERROR(VLOOKUP($I14,'銀行-TSS'!B:G,6,FALSE),0)</f>
        <v>0</v>
      </c>
      <c r="N14" s="432" t="e">
        <f ca="1">IFERROR(DATEVALUE(VLOOKUP($I14,'銀行-TSS'!B:F,5,FALSE)),VLOOKUP($I14,'銀行-TSS'!B:F,5,FALSE))</f>
        <v>#N/A</v>
      </c>
      <c r="O14" s="433">
        <f ca="1">IFERROR(VLOOKUP($I14,'銀行-TSS'!B:H,7,FALSE),0)</f>
        <v>0</v>
      </c>
      <c r="P14" s="433" t="e">
        <f ca="1">庫存管理[[#This Row],[票面利率]]/庫存管理[[#This Row],[成本價(不含前手息)]]*100</f>
        <v>#VALUE!</v>
      </c>
      <c r="Q14" s="434" t="str">
        <f ca="1">IFERROR(VLOOKUP($I14,'銀行-TSS'!B:I,8,FALSE),"")</f>
        <v/>
      </c>
      <c r="R14" s="440" t="str">
        <f ca="1">_xlfn.IFNA(IFERROR(DATEVALUE(VLOOKUP($I14,'銀行-TSS'!B:P,15,FALSE)),VLOOKUP($I14,'銀行-TSS'!B:P,15,FALSE)),"")</f>
        <v/>
      </c>
      <c r="S14" s="570" t="b">
        <f ca="1">IF(AND(庫存管理[[#This Row],[配息頻率]]&lt;&gt;"",庫存管理[[#This Row],[持有成本(不含前手息)]]&lt;&gt;0,庫存管理[[#This Row],[買進日]]&lt;&gt;""),TRUE,FALSE)</f>
        <v>0</v>
      </c>
      <c r="T14" s="602" t="str">
        <f>IFERROR(DATE(LEFT('商品代碼-中繼頁'!S9,4),MID('商品代碼-中繼頁'!S9,5,2),RIGHT('商品代碼-中繼頁'!S9,2)),"")</f>
        <v/>
      </c>
      <c r="U14"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4" s="442" t="e">
        <f ca="1">IFERROR(WORKDAY(庫存管理[[#This Row],[買進日]],VLOOKUP(庫存管理[[#This Row],[商品代號]],'1_重設數據'!R:S,2,FALSE),休USD),庫存管理[[#This Row],[買進日(T+2/公債T+1)]])</f>
        <v>#N/A</v>
      </c>
      <c r="W14" s="43" t="str">
        <f>'商品代碼-中繼頁'!T9</f>
        <v/>
      </c>
      <c r="X14" s="43" t="str">
        <f>'商品代碼-中繼頁'!U9</f>
        <v/>
      </c>
      <c r="Y14" s="464">
        <f t="shared" ca="1" si="9"/>
        <v>0</v>
      </c>
      <c r="Z14" s="464" t="e">
        <f t="shared" ca="1" si="13"/>
        <v>#VALUE!</v>
      </c>
      <c r="AA14" s="465" t="e">
        <f t="shared" ca="1" si="10"/>
        <v>#VALUE!</v>
      </c>
      <c r="AB14" s="474" t="e">
        <f ca="1">IF(MF=2,庫存管理[[#This Row],[部位現值(不含前手息)]]-庫存管理[[#This Row],[持有成本(不含前手息)]],庫存管理[[#This Row],[部位現值(含前手息)]]-庫存管理[[#This Row],[持有成本(含前手息)]])</f>
        <v>#VALUE!</v>
      </c>
      <c r="AC14" s="462">
        <f ca="1">IF(庫存管理[[#This Row],[檢測]]=TRUE,IF(MF=2,IFERROR(庫存管理[[#This Row],[資本利損]]/庫存管理[[#This Row],[持有成本(不含前手息)]],0),IFERROR(庫存管理[[#This Row],[資本利損]]/庫存管理[[#This Row],[持有成本(含前手息)]],0)),0)</f>
        <v>0</v>
      </c>
      <c r="AD14" s="618" t="e">
        <f ca="1">庫存管理[[#This Row],[持有成本(不含前手息)]]/庫存管理[[#This Row],[投入面額]]*100</f>
        <v>#VALUE!</v>
      </c>
      <c r="AE14" s="462" t="str">
        <f ca="1">IFERROR(VLOOKUP(庫存管理[[#This Row],[商品代號]],bond!B:AA,26,FALSE),"")</f>
        <v/>
      </c>
      <c r="AF14" s="1" t="str">
        <f ca="1">IFERROR(VLOOKUP($I14,'銀行-TSS'!B:Q,16,FALSE),"")</f>
        <v/>
      </c>
      <c r="AG14" s="466">
        <f t="shared" ca="1" si="1"/>
        <v>0</v>
      </c>
      <c r="AH14" s="458" t="e">
        <f ca="1">IF(OR(庫存管理[[#This Row],[起息日]]&gt;庫存管理[[#This Row],[買進前一配息日(複算)]],庫存管理[[#This Row],[判斷]]=TRUE),庫存管理[[#This Row],[起息日]],庫存管理[[#This Row],[買進前一配息日(複算)]])</f>
        <v>#N/A</v>
      </c>
      <c r="AI14" s="577" t="e">
        <f ca="1">VLOOKUP(I14,bond!B:AP,41,FALSE)</f>
        <v>#N/A</v>
      </c>
      <c r="AJ14" s="578" t="e">
        <f t="shared" ca="1" si="2"/>
        <v>#N/A</v>
      </c>
      <c r="AK14" s="579">
        <f ca="1">IFERROR(IF(庫存管理[[#This Row],[買進日是否落入record date]]=1,庫存管理[[#This Row],[record date制度前手息]],庫存管理[[#This Row],[計算前手息(初算)]]),0)</f>
        <v>0</v>
      </c>
      <c r="AL14" s="579" t="e">
        <f ca="1">IF(OR(庫存管理[[#This Row],[買進例外調整]]&lt;庫存管理[[#This Row],[起息日]],庫存管理[[#This Row],[買進例外調整]]&gt;庫存管理[[#This Row],[到期日]]),0,IF(庫存管理[[#This Row],[備註]]&lt;&gt;"",庫存管理[[#This Row],[買進時前手息]],IFERROR(ROUND(ACCRINT(AH14,AH14,V14,O14,100,Q14,AJ14,TRUE),4),0)))</f>
        <v>#N/A</v>
      </c>
      <c r="AM14" s="580" t="e">
        <f t="shared" ca="1" si="11"/>
        <v>#VALUE!</v>
      </c>
      <c r="AN14" s="440" t="e">
        <f ca="1">IFERROR(DATEVALUE(VLOOKUP(I14,bond!B:I,7,FALSE)),VLOOKUP(I14,bond!B:I,7,FALSE))</f>
        <v>#N/A</v>
      </c>
      <c r="AO14"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4" s="1075">
        <f ca="1">IFERROR(IF(庫存管理[[#This Row],[交割日是否落入record date]]=1,庫存管理[[#This Row],[交_record date制度前手息]],庫存管理[[#This Row],[計算交割前手息(初算)]]),0)</f>
        <v>0</v>
      </c>
      <c r="AQ14"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4" s="1063" t="e">
        <f ca="1">ROUND(庫存管理[[#This Row],[計算交割前手息(複算)]]*庫存管理[[#This Row],[投入面額]]/100,2)</f>
        <v>#VALUE!</v>
      </c>
      <c r="AS14" s="1064" t="e">
        <f ca="1">IF(庫存管理[[#This Row],[配息頻率]]=0,0,(100*庫存管理[[#This Row],[票面利率]]/庫存管理[[#This Row],[配息頻率]])*庫存管理[[#This Row],[經過幾次配息]]+庫存管理[[#This Row],[計算交割前手息(複算)]]-庫存管理[[#This Row],[計算前手息(複算)]])</f>
        <v>#VALUE!</v>
      </c>
      <c r="AT14" s="581" t="e">
        <f ca="1">IF(庫存管理[[#This Row],[商品代號]]="XFM90",0,ROUND(AS14*W14/100,2))</f>
        <v>#VALUE!</v>
      </c>
      <c r="AU14" s="582">
        <f ca="1">IF(MF=2,IFERROR(庫存管理[[#This Row],[累計配息]]/庫存管理[[#This Row],[持有成本(不含前手息)]],0),IFERROR(庫存管理[[#This Row],[已實現配息(原幣)]]/庫存管理[[#This Row],[持有成本(含前手息)]],0))</f>
        <v>0</v>
      </c>
      <c r="AV14" s="583" t="e">
        <f ca="1">IF(MF=2,庫存管理[[#This Row],[資本利損]]+庫存管理[[#This Row],[累計配息]],庫存管理[[#This Row],[資本利損]]+庫存管理[[#This Row],[已實現配息(原幣)]])</f>
        <v>#VALUE!</v>
      </c>
      <c r="AW14" s="584">
        <f ca="1">IF(庫存管理[[#This Row],[檢測]]=TRUE,IF(MF=2,IFERROR(庫存管理[[#This Row],[合計收益]]/庫存管理[[#This Row],[持有成本(不含前手息)]],0),IFERROR(庫存管理[[#This Row],[合計收益]]/庫存管理[[#This Row],[持有成本(含前手息)]],0)),0)</f>
        <v>0</v>
      </c>
      <c r="AX14" s="434" t="e">
        <f t="shared" ca="1" si="12"/>
        <v>#VALUE!</v>
      </c>
      <c r="AY14" s="434" t="e">
        <f t="shared" ca="1" si="3"/>
        <v>#VALUE!</v>
      </c>
      <c r="AZ14" s="434">
        <f t="shared" ca="1" si="4"/>
        <v>0</v>
      </c>
      <c r="BA14" s="434">
        <f t="shared" ca="1" si="5"/>
        <v>0</v>
      </c>
      <c r="BB14" s="441" t="e">
        <f ca="1">IF(AND(庫存管理[[#This Row],[名稱]]="美國國庫債券",DAY(庫存管理[[#This Row],[買進前一配息日(初算)]])&gt;=28),EOMONTH(庫存管理[[#This Row],[買進前一配息日(初算)]],0),庫存管理[[#This Row],[買進前一配息日(初算)]])</f>
        <v>#N/A</v>
      </c>
      <c r="BC14" s="441" t="e">
        <f t="shared" ca="1" si="6"/>
        <v>#N/A</v>
      </c>
      <c r="BD14" s="444" t="e">
        <f t="shared" ca="1" si="7"/>
        <v>#N/A</v>
      </c>
      <c r="BE14" s="441" t="e">
        <f ca="1">IF(Q14&gt;0,IF(MONTH(DATE(BD14,AX14,DAY(R14)))&lt;&gt;庫存管理[[#This Row],[第一個配息月]],DATE(BD14,AX14+1,0),DATE(BD14,AX14,DAY(R14))),庫存管理[[#This Row],[買進例外調整]]+100)</f>
        <v>#N/A</v>
      </c>
      <c r="BF14" s="441" t="e">
        <f ca="1">IF(AY14&lt;&gt;0,IF(MONTH(DATE(BD14,AY14,DAY(R14)))&lt;&gt;庫存管理[[#This Row],[第二個配息月]],DATE(BD14,AY14+1,0),DATE(BD14,AY14,DAY(R14))),庫存管理[[#This Row],[買進例外調整]]+100)</f>
        <v>#VALUE!</v>
      </c>
      <c r="BG14" s="441" t="e">
        <f ca="1">IF(AZ14&lt;&gt;0,IF(MONTH(DATE(BD14,AZ14,DAY(R14)))&lt;&gt;庫存管理[[#This Row],[第三個配息月]],DATE(BD14,AZ14+1,0),DATE(BD14,AZ14,DAY(R14))),庫存管理[[#This Row],[買進例外調整]]+100)</f>
        <v>#N/A</v>
      </c>
      <c r="BH14" s="441" t="e">
        <f ca="1">IF(BA14&lt;&gt;0,IF(MONTH(DATE(BD14,BA14,DAY(R14)))&lt;&gt;庫存管理[[#This Row],[第四個配息月]],DATE(BD14,BA14+1,0),DATE(BD14,BA14,DAY(R14))),庫存管理[[#This Row],[買進例外調整]]+100)</f>
        <v>#N/A</v>
      </c>
      <c r="BI14" s="441" t="e">
        <f ca="1">IF(Q14=1,IF(MONTH(DATE(BD14-1,AX14,DAY(R14)))&lt;&gt;庫存管理[[#This Row],[第一個配息月]],DATE(BD14-1,AX14+1,0),DATE(BD14-1,AX14,DAY(R14))),IF(Q14=2,IF(MONTH(DATE(BD14-1,AY14,DAY(R14)))&lt;&gt;庫存管理[[#This Row],[第二個配息月]],DATE(BD14-1,AY14+1,0),DATE(BD14-1,AY14,DAY(R14))),IF(Q14=4,IF(MONTH(DATE(BD14-1,BA14,DAY(R14)))&lt;&gt;庫存管理[[#This Row],[第四個配息月]],DATE(BD14-1,BA14+1,0),DATE(BD14-1,BA14,DAY(R14))),庫存管理[[#This Row],[買進例外調整]]+100)))</f>
        <v>#N/A</v>
      </c>
      <c r="BJ14" s="445">
        <f t="shared" ca="1" si="8"/>
        <v>10000</v>
      </c>
      <c r="BK14" s="445">
        <f t="shared" ca="1" si="8"/>
        <v>10000</v>
      </c>
      <c r="BL14" s="445">
        <f t="shared" ca="1" si="8"/>
        <v>10000</v>
      </c>
      <c r="BM14" s="445">
        <f t="shared" ca="1" si="8"/>
        <v>10000</v>
      </c>
      <c r="BN14" s="455">
        <f t="shared" ca="1" si="8"/>
        <v>10000</v>
      </c>
      <c r="BO14" s="479" t="e">
        <f ca="1">庫存管理[[#This Row],[年度配息]]/庫存管理[[#This Row],[配息頻率]]</f>
        <v>#VALUE!</v>
      </c>
      <c r="BP14" s="479" t="e">
        <f ca="1">庫存管理[[#This Row],[單次配息(原幣)]]*庫存管理[[#This Row],[換算匯率(現)]]</f>
        <v>#VALUE!</v>
      </c>
      <c r="BQ14" s="479" t="str">
        <f ca="1">IF(庫存管理[[#This Row],[商品代號]]&lt;&gt;"",IFERROR(VLOOKUP($I14,'銀行-TSS'!B:C,2,FALSE),""),"")</f>
        <v/>
      </c>
      <c r="BR14" s="479" t="e">
        <f ca="1">VLOOKUP(庫存管理[[#This Row],[幣別]],$B$37:$C$43,2,FALSE)</f>
        <v>#N/A</v>
      </c>
      <c r="BS14" s="500" t="e">
        <f ca="1">CHOOSE(庫存管理[[#This Row],[對應編碼]],$D$37,$D$38,$D$39,$D$40,$D$41,$D$42,$D$43)</f>
        <v>#N/A</v>
      </c>
      <c r="BT14" s="500">
        <f ca="1">IF(庫存管理[[#This Row],[商品代號]]="",0,CHOOSE(庫存管理[[#This Row],[對應編碼]],$E$37,$E$38,$E$39,$E$40,$E$41,$E$42,$E$43))</f>
        <v>0</v>
      </c>
      <c r="BU14" s="1555">
        <f ca="1">IF(庫存管理[[#This Row],[檢測]]=TRUE,庫存管理[[#This Row],[投入面額]]*庫存管理[[#This Row],[換算匯率(現)]],0)</f>
        <v>0</v>
      </c>
      <c r="BV14" s="1555">
        <f ca="1">IF(庫存管理[[#This Row],[檢測]]=TRUE,IFERROR(庫存管理[[#This Row],[持有成本(含前手息)]]*庫存管理[[#This Row],[換算匯率(買)]],0),0)</f>
        <v>0</v>
      </c>
      <c r="BW14" s="1555">
        <f ca="1">IF(庫存管理[[#This Row],[檢測]]=TRUE,庫存管理[[#This Row],[持有成本(不含前手息)]]*庫存管理[[#This Row],[換算匯率(買)]],0)</f>
        <v>0</v>
      </c>
      <c r="BX14" s="1555">
        <f ca="1">IF(庫存管理[[#This Row],[檢測]]=TRUE,庫存管理[[#This Row],[部位現值(含前手息)]]*庫存管理[[#This Row],[換算匯率(現)]],0)</f>
        <v>0</v>
      </c>
      <c r="BY14" s="1555">
        <f ca="1">IF(庫存管理[[#This Row],[檢測]]=TRUE,庫存管理[[#This Row],[部位現值(不含前手息)]]*庫存管理[[#This Row],[換算匯率(現)]],0)</f>
        <v>0</v>
      </c>
      <c r="BZ14" s="1555">
        <f ca="1">IF(庫存管理[[#This Row],[檢測]]=TRUE,IF(MF=2,庫存管理[[#This Row],[累計配息]]*庫存管理[[#This Row],[換算匯率(現)]],庫存管理[[#This Row],[已實現配息(原幣)]]*庫存管理[[#This Row],[換算匯率(現)]]),0)</f>
        <v>0</v>
      </c>
      <c r="CA14" s="1555" t="e">
        <f ca="1">庫存管理[[#This Row],[資本利損]]*庫存管理[[#This Row],[換算匯率(現)]]</f>
        <v>#VALUE!</v>
      </c>
      <c r="CB14" s="1555" t="e">
        <f ca="1">庫存管理[[#This Row],[累計利息(台)]]+庫存管理[[#This Row],[資本貢獻(台)]]</f>
        <v>#VALUE!</v>
      </c>
      <c r="CC14" s="574">
        <f ca="1">IF(庫存管理[[#This Row],[檢測]]=TRUE,IFERROR(庫存管理[[#This Row],[配息報酬]],0),0)</f>
        <v>0</v>
      </c>
      <c r="CD14" s="574">
        <f ca="1">IF(庫存管理[[#This Row],[檢測]]=TRUE,庫存管理[[#This Row],[資本報酬]],0)</f>
        <v>0</v>
      </c>
      <c r="CE14" s="574">
        <f ca="1">IF(S14=TRUE,IFERROR(庫存管理[[#This Row],[換匯總報酬率]]-(庫存管理[[#This Row],[配息報酬率]]+庫存管理[[#This Row],[資本報酬率]]),0),0)</f>
        <v>0</v>
      </c>
      <c r="CF14"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4" s="585">
        <f ca="1">IF(AND(庫存管理[[#This Row],[檢測]]=TRUE,開關=TRUE),IF(MF=2,IFERROR(BW14/$BW$1,0),IFERROR(BV14/$BV$1,0)),0)</f>
        <v>0</v>
      </c>
      <c r="CH14" s="574">
        <f ca="1">IF(庫存管理[[#This Row],[檢測]]=TRUE,IF(MF=2,IFERROR(BY14/$BY$1,0),IFERROR(BX14/$BX$1,0)),0)</f>
        <v>0</v>
      </c>
      <c r="CI14"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4" s="646" t="e">
        <f ca="1">DATEDIF(庫存管理[[#This Row],[買進例外調整]],庫存管理[[#This Row],[到期日]],"d")/365.25</f>
        <v>#N/A</v>
      </c>
      <c r="CK14" s="734" t="e">
        <f ca="1">DATEVALUE(VLOOKUP(庫存管理[[#This Row],[商品代號]],bond!B:AF,31,FALSE))</f>
        <v>#N/A</v>
      </c>
      <c r="CL14" s="734" t="e">
        <f ca="1">IF(庫存管理[[#This Row],[買下配(國調)]]&lt;庫存管理[[#This Row],[第一票息日]],庫存管理[[#This Row],[第一票息日]],庫存管理[[#This Row],[買下配(國調)]])</f>
        <v>#N/A</v>
      </c>
      <c r="CM14"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4"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4" s="735">
        <f ca="1">IF(庫存管理[[#This Row],[商品代號]]="XFM90",0,IFERROR(庫存管理[[#This Row],[單次配息(原幣)]]*庫存管理[[#This Row],[經過幾次配息]],0))</f>
        <v>0</v>
      </c>
      <c r="CP14" s="735" t="e">
        <f ca="1">VLOOKUP(庫存管理[[#This Row],[商品代號]],bond!B:F,5,FALSE)</f>
        <v>#N/A</v>
      </c>
      <c r="CQ14" s="734" t="str">
        <f ca="1">IFERROR(VLOOKUP(庫存管理[[#This Row],[ISIN]],'7_發行日例外'!A:C,3,FALSE),IFERROR(DATEVALUE(VLOOKUP(庫存管理[[#This Row],[商品代號]],bond!B:AR,43,FALSE)),""))</f>
        <v/>
      </c>
      <c r="CR14" s="735" t="e">
        <f ca="1">DATEDIF(庫存管理[[#This Row],[起息日]],庫存管理[[#This Row],[買進前一配息日(複算)]],"d")</f>
        <v>#VALUE!</v>
      </c>
      <c r="CS14"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4" s="734" t="e">
        <f ca="1">IFERROR(VLOOKUP(庫存管理[[#This Row],[ISIN]],'7_發行日例外'!A:D,4,FALSE),DATEVALUE(VLOOKUP(庫存管理[[#This Row],[商品代號]],bond!B:AV,44,FALSE)))</f>
        <v>#N/A</v>
      </c>
      <c r="CU14" s="735" t="e">
        <f ca="1">VLOOKUP(庫存管理[[#This Row],[商品代號]],bond!B:AU,46,FALSE)</f>
        <v>#N/A</v>
      </c>
      <c r="CV14" s="735" t="e">
        <f ca="1">IF(庫存管理[[#This Row],[計息基礎]]=1,CHOOSE(庫存管理[[#This Row],[對應編碼]],"沒進位","","沒進位",IF(庫存管理[[#This Row],[計算類型]]="AUSTRALIA:EX-DIV","4捨五入進0.01%","沒進位"),"年/2去計算ACT","沒進位","沒進位"),"")</f>
        <v>#N/A</v>
      </c>
      <c r="CW14" s="735" t="e">
        <f ca="1">_xlfn.DAYS(庫存管理[[#This Row],[買進例外調整]],庫存管理[[#This Row],[買進前一個配息日(最終)]])</f>
        <v>#N/A</v>
      </c>
      <c r="CX14" s="735" t="e">
        <f ca="1">IF(庫存管理[[#This Row],[備註]]="年/2去計算ACT",365/2,_xlfn.DAYS(庫存管理[[#This Row],[買進時的下個配息日]],庫存管理[[#This Row],[買進前一個配息日(最終)]]))</f>
        <v>#N/A</v>
      </c>
      <c r="CY14"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4" s="767" t="e">
        <f ca="1">_xlfn.DAYS(庫存管理[[#This Row],[交割日]],庫存管理[[#This Row],[買進前一個配息日(最終)]])</f>
        <v>#N/A</v>
      </c>
      <c r="DA14"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4" s="767" t="e">
        <f ca="1">_xlfn.DAYS(庫存管理[[#This Row],[交割日]],庫存管理[[#This Row],[最近的上一票息日]])</f>
        <v>#N/A</v>
      </c>
      <c r="DC14" s="767" t="e">
        <f ca="1">IF(庫存管理[[#This Row],[備註]]="年/2去計算ACT",365/2,_xlfn.DAYS(庫存管理[[#This Row],[下一配息日]],庫存管理[[#This Row],[最近的上一票息日]]))</f>
        <v>#N/A</v>
      </c>
      <c r="DD14"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4" s="739" t="e">
        <f ca="1">CL14-庫存管理[[#This Row],[ex_div_days]]</f>
        <v>#N/A</v>
      </c>
      <c r="DF14" s="646" t="e">
        <f ca="1">IF(VLOOKUP(庫存管理[[#This Row],[商品代號]],bond!B:AT,45,FALSE)="#N/A Field Not Applicable",0,VLOOKUP(庫存管理[[#This Row],[商品代號]],bond!B:AT,45,FALSE))</f>
        <v>#N/A</v>
      </c>
      <c r="DG14" s="793" t="e">
        <f ca="1">IF(庫存管理[[#This Row],[ex_div_days]]&lt;&gt;0,IF(AND(庫存管理[[#This Row],[買進例外調整]]-庫存管理[[#This Row],[買進下一個配息日先減n天]]&gt;=0,庫存管理[[#This Row],[買進時的下個配息日]]-庫存管理[[#This Row],[買進例外調整]]&gt;0),1,0),0)</f>
        <v>#N/A</v>
      </c>
      <c r="DH14"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4" s="734" t="e">
        <f ca="1">庫存管理[[#This Row],[下一配息日]]-庫存管理[[#This Row],[ex_div_days]]</f>
        <v>#VALUE!</v>
      </c>
      <c r="DJ14" s="1081" t="e">
        <f ca="1">IF(庫存管理[[#This Row],[ex_div_days]]&lt;&gt;0,IF(AND(庫存管理[[#This Row],[交割日]]-庫存管理[[#This Row],[交割下個配息日先減n天]]&gt;=0,庫存管理[[#This Row],[下一配息日]]-庫存管理[[#This Row],[交割日]]&gt;0),1,0),0)</f>
        <v>#N/A</v>
      </c>
      <c r="DK14"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4" s="735">
        <f ca="1">IFERROR(VLOOKUP(庫存管理[[#This Row],[商品代號]],bond!B:X,21,FALSE),0)</f>
        <v>0</v>
      </c>
      <c r="DM14" s="735">
        <f ca="1">IFERROR(VLOOKUP(I14,bond!B:J,9,FALSE),0)</f>
        <v>0</v>
      </c>
      <c r="DN14" s="1188">
        <f ca="1">IF(AND(開關=TRUE,庫存管理[[#This Row],[投組檢測]]=TRUE),IF(MF=2,IFERROR(BW14/$BW$3,0),IFERROR(BV14/$BV$3,0)),0)</f>
        <v>0</v>
      </c>
      <c r="DO14" s="735">
        <f ca="1">IFERROR(庫存管理[[#This Row],[clean申購價]]/100*庫存管理[[#This Row],[投入面額]]*庫存管理[[#This Row],[MOD]]*0.01,0)</f>
        <v>0</v>
      </c>
      <c r="DP14" s="1298" t="e">
        <f ca="1">IF($C$16=1,庫存管理[[#This Row],[單次配息(台幣)]],庫存管理[[#This Row],[單次配息(原幣)]])</f>
        <v>#VALUE!</v>
      </c>
      <c r="DQ14"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4"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4"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4"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4"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4"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4"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4"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4"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4"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4"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4"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4" s="33"/>
      <c r="ED14" s="33"/>
      <c r="EE14" s="33"/>
      <c r="EF14" s="33"/>
      <c r="EG14" s="33"/>
      <c r="EH14" s="33"/>
      <c r="EI14" s="33"/>
      <c r="EJ14" s="33"/>
      <c r="EK14" s="33"/>
      <c r="EL14" s="33"/>
      <c r="EM14" s="33"/>
      <c r="EN14" s="33"/>
      <c r="EO14" s="33"/>
      <c r="EP14" s="33"/>
      <c r="EQ14" s="33"/>
      <c r="ER14" s="33"/>
      <c r="ES14" s="33"/>
      <c r="ET14" s="33"/>
      <c r="EU14" s="33"/>
      <c r="EV14" s="33"/>
      <c r="EW14" s="33"/>
      <c r="EX14" s="33"/>
      <c r="EY14" s="33"/>
      <c r="EZ14" s="33"/>
      <c r="FA14" s="33"/>
      <c r="FB14" s="33"/>
      <c r="FC14" s="33"/>
      <c r="FD14" s="33"/>
      <c r="FE14" s="33"/>
      <c r="FF14" s="33"/>
      <c r="FG14" s="33"/>
      <c r="FH14" s="33"/>
      <c r="FI14" s="33"/>
      <c r="FJ14" s="33"/>
      <c r="FK14" s="33"/>
      <c r="FL14" s="33"/>
      <c r="FM14" s="33"/>
      <c r="FN14" s="33"/>
      <c r="FO14" s="33"/>
      <c r="FP14" s="33"/>
      <c r="FQ14" s="33"/>
      <c r="FR14" s="33"/>
      <c r="FS14" s="33"/>
      <c r="FT14" s="33"/>
      <c r="FU14" s="33"/>
      <c r="FV14" s="33"/>
      <c r="FW14" s="33"/>
      <c r="FX14" s="33"/>
      <c r="FY14" s="33"/>
      <c r="FZ14" s="33"/>
      <c r="GA14" s="33"/>
      <c r="GB14" s="33"/>
      <c r="GC14" s="33"/>
      <c r="GD14" s="33"/>
      <c r="GE14" s="33"/>
      <c r="GF14" s="33"/>
      <c r="GG14" s="33"/>
      <c r="GH14" s="33"/>
      <c r="GI14" s="33"/>
      <c r="GJ14" s="33"/>
      <c r="GK14" s="33"/>
      <c r="GL14" s="33"/>
      <c r="GM14" s="33"/>
      <c r="GN14" s="33"/>
      <c r="GO14" s="33"/>
      <c r="GP14" s="33"/>
      <c r="GQ14" s="33"/>
      <c r="GR14" s="33"/>
      <c r="GS14" s="33"/>
      <c r="GT14" s="33"/>
      <c r="GU14" s="33"/>
      <c r="GV14" s="33"/>
      <c r="GW14" s="33"/>
      <c r="GX14" s="33"/>
      <c r="GY14" s="33"/>
      <c r="GZ14" s="33"/>
      <c r="HA14" s="33"/>
      <c r="HB14" s="33"/>
      <c r="HC14" s="33"/>
      <c r="HD14" s="33"/>
      <c r="HE14" s="33"/>
      <c r="HF14" s="33"/>
      <c r="HG14" s="33"/>
      <c r="HH14" s="33"/>
      <c r="HI14" s="33"/>
      <c r="HJ14" s="33"/>
      <c r="HK14" s="33"/>
      <c r="HL14" s="33"/>
      <c r="HM14" s="33"/>
      <c r="HN14" s="33"/>
      <c r="HO14" s="33"/>
      <c r="HP14" s="33"/>
      <c r="HQ14" s="33"/>
      <c r="HR14" s="33"/>
      <c r="HS14" s="33"/>
      <c r="HT14" s="33"/>
      <c r="HU14" s="33"/>
    </row>
    <row r="15" spans="1:1104" ht="19.5" customHeight="1">
      <c r="B15" s="459" t="s">
        <v>2120</v>
      </c>
      <c r="G15" s="459">
        <v>9</v>
      </c>
      <c r="H15" s="1166" t="b">
        <f ca="1">IFERROR(IF(VLOOKUP(G15,換券投組!$AH$8:$AH$13,1,FALSE)&gt;0,TRUE,FALSE),FALSE)</f>
        <v>0</v>
      </c>
      <c r="I15" s="1693" t="str">
        <f ca="1">IF(開關=TRUE,'商品代碼-中繼頁'!R10,"")</f>
        <v/>
      </c>
      <c r="J15" s="429">
        <f ca="1">IFERROR(VLOOKUP(I15,bond!B:I,8,FALSE),0)</f>
        <v>0</v>
      </c>
      <c r="K15" s="429">
        <f ca="1">IFERROR(庫存管理[[#This Row],[買價]]+VLOOKUP(庫存管理[[#This Row],[商品代號]],bond!B:K,10,FALSE),0)</f>
        <v>0</v>
      </c>
      <c r="L15" s="430" t="e">
        <f ca="1">VLOOKUP(I15,'銀行-TSS'!B:E,4,FALSE)</f>
        <v>#N/A</v>
      </c>
      <c r="M15" s="431">
        <f ca="1">IFERROR(VLOOKUP($I15,'銀行-TSS'!B:G,6,FALSE),0)</f>
        <v>0</v>
      </c>
      <c r="N15" s="432" t="e">
        <f ca="1">IFERROR(DATEVALUE(VLOOKUP($I15,'銀行-TSS'!B:F,5,FALSE)),VLOOKUP($I15,'銀行-TSS'!B:F,5,FALSE))</f>
        <v>#N/A</v>
      </c>
      <c r="O15" s="433">
        <f ca="1">IFERROR(VLOOKUP($I15,'銀行-TSS'!B:H,7,FALSE),0)</f>
        <v>0</v>
      </c>
      <c r="P15" s="433" t="e">
        <f ca="1">庫存管理[[#This Row],[票面利率]]/庫存管理[[#This Row],[成本價(不含前手息)]]*100</f>
        <v>#VALUE!</v>
      </c>
      <c r="Q15" s="434" t="str">
        <f ca="1">IFERROR(VLOOKUP($I15,'銀行-TSS'!B:I,8,FALSE),"")</f>
        <v/>
      </c>
      <c r="R15" s="440" t="str">
        <f ca="1">_xlfn.IFNA(IFERROR(DATEVALUE(VLOOKUP($I15,'銀行-TSS'!B:P,15,FALSE)),VLOOKUP($I15,'銀行-TSS'!B:P,15,FALSE)),"")</f>
        <v/>
      </c>
      <c r="S15" s="570" t="b">
        <f ca="1">IF(AND(庫存管理[[#This Row],[配息頻率]]&lt;&gt;"",庫存管理[[#This Row],[持有成本(不含前手息)]]&lt;&gt;0,庫存管理[[#This Row],[買進日]]&lt;&gt;""),TRUE,FALSE)</f>
        <v>0</v>
      </c>
      <c r="T15" s="602" t="str">
        <f>IFERROR(DATE(LEFT('商品代碼-中繼頁'!S10,4),MID('商品代碼-中繼頁'!S10,5,2),RIGHT('商品代碼-中繼頁'!S10,2)),"")</f>
        <v/>
      </c>
      <c r="U15"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5" s="442" t="e">
        <f ca="1">IFERROR(WORKDAY(庫存管理[[#This Row],[買進日]],VLOOKUP(庫存管理[[#This Row],[商品代號]],'1_重設數據'!R:S,2,FALSE),休USD),庫存管理[[#This Row],[買進日(T+2/公債T+1)]])</f>
        <v>#N/A</v>
      </c>
      <c r="W15" s="43" t="str">
        <f>'商品代碼-中繼頁'!T10</f>
        <v/>
      </c>
      <c r="X15" s="43" t="str">
        <f>'商品代碼-中繼頁'!U10</f>
        <v/>
      </c>
      <c r="Y15" s="464">
        <f t="shared" ca="1" si="9"/>
        <v>0</v>
      </c>
      <c r="Z15" s="464" t="e">
        <f t="shared" ca="1" si="13"/>
        <v>#VALUE!</v>
      </c>
      <c r="AA15" s="465" t="e">
        <f t="shared" ca="1" si="10"/>
        <v>#VALUE!</v>
      </c>
      <c r="AB15" s="474" t="e">
        <f ca="1">IF(MF=2,庫存管理[[#This Row],[部位現值(不含前手息)]]-庫存管理[[#This Row],[持有成本(不含前手息)]],庫存管理[[#This Row],[部位現值(含前手息)]]-庫存管理[[#This Row],[持有成本(含前手息)]])</f>
        <v>#VALUE!</v>
      </c>
      <c r="AC15" s="462">
        <f ca="1">IF(庫存管理[[#This Row],[檢測]]=TRUE,IF(MF=2,IFERROR(庫存管理[[#This Row],[資本利損]]/庫存管理[[#This Row],[持有成本(不含前手息)]],0),IFERROR(庫存管理[[#This Row],[資本利損]]/庫存管理[[#This Row],[持有成本(含前手息)]],0)),0)</f>
        <v>0</v>
      </c>
      <c r="AD15" s="618" t="e">
        <f ca="1">庫存管理[[#This Row],[持有成本(不含前手息)]]/庫存管理[[#This Row],[投入面額]]*100</f>
        <v>#VALUE!</v>
      </c>
      <c r="AE15" s="462" t="str">
        <f ca="1">IFERROR(VLOOKUP(庫存管理[[#This Row],[商品代號]],bond!B:AA,26,FALSE),"")</f>
        <v/>
      </c>
      <c r="AF15" s="1" t="str">
        <f ca="1">IFERROR(VLOOKUP($I15,'銀行-TSS'!B:Q,16,FALSE),"")</f>
        <v/>
      </c>
      <c r="AG15" s="466">
        <f t="shared" ca="1" si="1"/>
        <v>0</v>
      </c>
      <c r="AH15" s="458" t="e">
        <f ca="1">IF(OR(庫存管理[[#This Row],[起息日]]&gt;庫存管理[[#This Row],[買進前一配息日(複算)]],庫存管理[[#This Row],[判斷]]=TRUE),庫存管理[[#This Row],[起息日]],庫存管理[[#This Row],[買進前一配息日(複算)]])</f>
        <v>#N/A</v>
      </c>
      <c r="AI15" s="577" t="e">
        <f ca="1">VLOOKUP(I15,bond!B:AP,41,FALSE)</f>
        <v>#N/A</v>
      </c>
      <c r="AJ15" s="578" t="e">
        <f t="shared" ca="1" si="2"/>
        <v>#N/A</v>
      </c>
      <c r="AK15" s="579">
        <f ca="1">IFERROR(IF(庫存管理[[#This Row],[買進日是否落入record date]]=1,庫存管理[[#This Row],[record date制度前手息]],庫存管理[[#This Row],[計算前手息(初算)]]),0)</f>
        <v>0</v>
      </c>
      <c r="AL15" s="579" t="e">
        <f ca="1">IF(OR(庫存管理[[#This Row],[買進例外調整]]&lt;庫存管理[[#This Row],[起息日]],庫存管理[[#This Row],[買進例外調整]]&gt;庫存管理[[#This Row],[到期日]]),0,IF(庫存管理[[#This Row],[備註]]&lt;&gt;"",庫存管理[[#This Row],[買進時前手息]],IFERROR(ROUND(ACCRINT(AH15,AH15,V15,O15,100,Q15,AJ15,TRUE),4),0)))</f>
        <v>#N/A</v>
      </c>
      <c r="AM15" s="580" t="e">
        <f t="shared" ca="1" si="11"/>
        <v>#VALUE!</v>
      </c>
      <c r="AN15" s="440" t="e">
        <f ca="1">IFERROR(DATEVALUE(VLOOKUP(I15,bond!B:I,7,FALSE)),VLOOKUP(I15,bond!B:I,7,FALSE))</f>
        <v>#N/A</v>
      </c>
      <c r="AO15"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5" s="1075">
        <f ca="1">IFERROR(IF(庫存管理[[#This Row],[交割日是否落入record date]]=1,庫存管理[[#This Row],[交_record date制度前手息]],庫存管理[[#This Row],[計算交割前手息(初算)]]),0)</f>
        <v>0</v>
      </c>
      <c r="AQ15"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5" s="1063" t="e">
        <f ca="1">ROUND(庫存管理[[#This Row],[計算交割前手息(複算)]]*庫存管理[[#This Row],[投入面額]]/100,2)</f>
        <v>#VALUE!</v>
      </c>
      <c r="AS15" s="1064" t="e">
        <f ca="1">IF(庫存管理[[#This Row],[配息頻率]]=0,0,(100*庫存管理[[#This Row],[票面利率]]/庫存管理[[#This Row],[配息頻率]])*庫存管理[[#This Row],[經過幾次配息]]+庫存管理[[#This Row],[計算交割前手息(複算)]]-庫存管理[[#This Row],[計算前手息(複算)]])</f>
        <v>#VALUE!</v>
      </c>
      <c r="AT15" s="581" t="e">
        <f ca="1">IF(庫存管理[[#This Row],[商品代號]]="XFM90",0,ROUND(AS15*W15/100,2))</f>
        <v>#VALUE!</v>
      </c>
      <c r="AU15" s="582">
        <f ca="1">IF(MF=2,IFERROR(庫存管理[[#This Row],[累計配息]]/庫存管理[[#This Row],[持有成本(不含前手息)]],0),IFERROR(庫存管理[[#This Row],[已實現配息(原幣)]]/庫存管理[[#This Row],[持有成本(含前手息)]],0))</f>
        <v>0</v>
      </c>
      <c r="AV15" s="583" t="e">
        <f ca="1">IF(MF=2,庫存管理[[#This Row],[資本利損]]+庫存管理[[#This Row],[累計配息]],庫存管理[[#This Row],[資本利損]]+庫存管理[[#This Row],[已實現配息(原幣)]])</f>
        <v>#VALUE!</v>
      </c>
      <c r="AW15" s="584">
        <f ca="1">IF(庫存管理[[#This Row],[檢測]]=TRUE,IF(MF=2,IFERROR(庫存管理[[#This Row],[合計收益]]/庫存管理[[#This Row],[持有成本(不含前手息)]],0),IFERROR(庫存管理[[#This Row],[合計收益]]/庫存管理[[#This Row],[持有成本(含前手息)]],0)),0)</f>
        <v>0</v>
      </c>
      <c r="AX15" s="434" t="e">
        <f t="shared" ca="1" si="12"/>
        <v>#VALUE!</v>
      </c>
      <c r="AY15" s="434" t="e">
        <f t="shared" ca="1" si="3"/>
        <v>#VALUE!</v>
      </c>
      <c r="AZ15" s="434">
        <f t="shared" ca="1" si="4"/>
        <v>0</v>
      </c>
      <c r="BA15" s="434">
        <f t="shared" ca="1" si="5"/>
        <v>0</v>
      </c>
      <c r="BB15" s="441" t="e">
        <f ca="1">IF(AND(庫存管理[[#This Row],[名稱]]="美國國庫債券",DAY(庫存管理[[#This Row],[買進前一配息日(初算)]])&gt;=28),EOMONTH(庫存管理[[#This Row],[買進前一配息日(初算)]],0),庫存管理[[#This Row],[買進前一配息日(初算)]])</f>
        <v>#N/A</v>
      </c>
      <c r="BC15" s="441" t="e">
        <f t="shared" ca="1" si="6"/>
        <v>#N/A</v>
      </c>
      <c r="BD15" s="444" t="e">
        <f t="shared" ca="1" si="7"/>
        <v>#N/A</v>
      </c>
      <c r="BE15" s="441" t="e">
        <f ca="1">IF(Q15&gt;0,IF(MONTH(DATE(BD15,AX15,DAY(R15)))&lt;&gt;庫存管理[[#This Row],[第一個配息月]],DATE(BD15,AX15+1,0),DATE(BD15,AX15,DAY(R15))),庫存管理[[#This Row],[買進例外調整]]+100)</f>
        <v>#N/A</v>
      </c>
      <c r="BF15" s="441" t="e">
        <f ca="1">IF(AY15&lt;&gt;0,IF(MONTH(DATE(BD15,AY15,DAY(R15)))&lt;&gt;庫存管理[[#This Row],[第二個配息月]],DATE(BD15,AY15+1,0),DATE(BD15,AY15,DAY(R15))),庫存管理[[#This Row],[買進例外調整]]+100)</f>
        <v>#VALUE!</v>
      </c>
      <c r="BG15" s="441" t="e">
        <f ca="1">IF(AZ15&lt;&gt;0,IF(MONTH(DATE(BD15,AZ15,DAY(R15)))&lt;&gt;庫存管理[[#This Row],[第三個配息月]],DATE(BD15,AZ15+1,0),DATE(BD15,AZ15,DAY(R15))),庫存管理[[#This Row],[買進例外調整]]+100)</f>
        <v>#N/A</v>
      </c>
      <c r="BH15" s="441" t="e">
        <f ca="1">IF(BA15&lt;&gt;0,IF(MONTH(DATE(BD15,BA15,DAY(R15)))&lt;&gt;庫存管理[[#This Row],[第四個配息月]],DATE(BD15,BA15+1,0),DATE(BD15,BA15,DAY(R15))),庫存管理[[#This Row],[買進例外調整]]+100)</f>
        <v>#N/A</v>
      </c>
      <c r="BI15" s="441" t="e">
        <f ca="1">IF(Q15=1,IF(MONTH(DATE(BD15-1,AX15,DAY(R15)))&lt;&gt;庫存管理[[#This Row],[第一個配息月]],DATE(BD15-1,AX15+1,0),DATE(BD15-1,AX15,DAY(R15))),IF(Q15=2,IF(MONTH(DATE(BD15-1,AY15,DAY(R15)))&lt;&gt;庫存管理[[#This Row],[第二個配息月]],DATE(BD15-1,AY15+1,0),DATE(BD15-1,AY15,DAY(R15))),IF(Q15=4,IF(MONTH(DATE(BD15-1,BA15,DAY(R15)))&lt;&gt;庫存管理[[#This Row],[第四個配息月]],DATE(BD15-1,BA15+1,0),DATE(BD15-1,BA15,DAY(R15))),庫存管理[[#This Row],[買進例外調整]]+100)))</f>
        <v>#N/A</v>
      </c>
      <c r="BJ15" s="445">
        <f t="shared" ca="1" si="8"/>
        <v>10000</v>
      </c>
      <c r="BK15" s="445">
        <f t="shared" ca="1" si="8"/>
        <v>10000</v>
      </c>
      <c r="BL15" s="445">
        <f t="shared" ca="1" si="8"/>
        <v>10000</v>
      </c>
      <c r="BM15" s="445">
        <f t="shared" ca="1" si="8"/>
        <v>10000</v>
      </c>
      <c r="BN15" s="455">
        <f t="shared" ca="1" si="8"/>
        <v>10000</v>
      </c>
      <c r="BO15" s="479" t="e">
        <f ca="1">庫存管理[[#This Row],[年度配息]]/庫存管理[[#This Row],[配息頻率]]</f>
        <v>#VALUE!</v>
      </c>
      <c r="BP15" s="479" t="e">
        <f ca="1">庫存管理[[#This Row],[單次配息(原幣)]]*庫存管理[[#This Row],[換算匯率(現)]]</f>
        <v>#VALUE!</v>
      </c>
      <c r="BQ15" s="479" t="str">
        <f ca="1">IF(庫存管理[[#This Row],[商品代號]]&lt;&gt;"",IFERROR(VLOOKUP($I15,'銀行-TSS'!B:C,2,FALSE),""),"")</f>
        <v/>
      </c>
      <c r="BR15" s="479" t="e">
        <f ca="1">VLOOKUP(庫存管理[[#This Row],[幣別]],$B$37:$C$43,2,FALSE)</f>
        <v>#N/A</v>
      </c>
      <c r="BS15" s="500" t="e">
        <f ca="1">CHOOSE(庫存管理[[#This Row],[對應編碼]],$D$37,$D$38,$D$39,$D$40,$D$41,$D$42,$D$43)</f>
        <v>#N/A</v>
      </c>
      <c r="BT15" s="500">
        <f ca="1">IF(庫存管理[[#This Row],[商品代號]]="",0,CHOOSE(庫存管理[[#This Row],[對應編碼]],$E$37,$E$38,$E$39,$E$40,$E$41,$E$42,$E$43))</f>
        <v>0</v>
      </c>
      <c r="BU15" s="1555">
        <f ca="1">IF(庫存管理[[#This Row],[檢測]]=TRUE,庫存管理[[#This Row],[投入面額]]*庫存管理[[#This Row],[換算匯率(現)]],0)</f>
        <v>0</v>
      </c>
      <c r="BV15" s="1555">
        <f ca="1">IF(庫存管理[[#This Row],[檢測]]=TRUE,IFERROR(庫存管理[[#This Row],[持有成本(含前手息)]]*庫存管理[[#This Row],[換算匯率(買)]],0),0)</f>
        <v>0</v>
      </c>
      <c r="BW15" s="1555">
        <f ca="1">IF(庫存管理[[#This Row],[檢測]]=TRUE,庫存管理[[#This Row],[持有成本(不含前手息)]]*庫存管理[[#This Row],[換算匯率(買)]],0)</f>
        <v>0</v>
      </c>
      <c r="BX15" s="1555">
        <f ca="1">IF(庫存管理[[#This Row],[檢測]]=TRUE,庫存管理[[#This Row],[部位現值(含前手息)]]*庫存管理[[#This Row],[換算匯率(現)]],0)</f>
        <v>0</v>
      </c>
      <c r="BY15" s="1555">
        <f ca="1">IF(庫存管理[[#This Row],[檢測]]=TRUE,庫存管理[[#This Row],[部位現值(不含前手息)]]*庫存管理[[#This Row],[換算匯率(現)]],0)</f>
        <v>0</v>
      </c>
      <c r="BZ15" s="1555">
        <f ca="1">IF(庫存管理[[#This Row],[檢測]]=TRUE,IF(MF=2,庫存管理[[#This Row],[累計配息]]*庫存管理[[#This Row],[換算匯率(現)]],庫存管理[[#This Row],[已實現配息(原幣)]]*庫存管理[[#This Row],[換算匯率(現)]]),0)</f>
        <v>0</v>
      </c>
      <c r="CA15" s="1555" t="e">
        <f ca="1">庫存管理[[#This Row],[資本利損]]*庫存管理[[#This Row],[換算匯率(現)]]</f>
        <v>#VALUE!</v>
      </c>
      <c r="CB15" s="1555" t="e">
        <f ca="1">庫存管理[[#This Row],[累計利息(台)]]+庫存管理[[#This Row],[資本貢獻(台)]]</f>
        <v>#VALUE!</v>
      </c>
      <c r="CC15" s="574">
        <f ca="1">IF(庫存管理[[#This Row],[檢測]]=TRUE,IFERROR(庫存管理[[#This Row],[配息報酬]],0),0)</f>
        <v>0</v>
      </c>
      <c r="CD15" s="574">
        <f ca="1">IF(庫存管理[[#This Row],[檢測]]=TRUE,庫存管理[[#This Row],[資本報酬]],0)</f>
        <v>0</v>
      </c>
      <c r="CE15" s="574">
        <f ca="1">IF(S15=TRUE,IFERROR(庫存管理[[#This Row],[換匯總報酬率]]-(庫存管理[[#This Row],[配息報酬率]]+庫存管理[[#This Row],[資本報酬率]]),0),0)</f>
        <v>0</v>
      </c>
      <c r="CF15"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5" s="585">
        <f ca="1">IF(AND(庫存管理[[#This Row],[檢測]]=TRUE,開關=TRUE),IF(MF=2,IFERROR(BW15/$BW$1,0),IFERROR(BV15/$BV$1,0)),0)</f>
        <v>0</v>
      </c>
      <c r="CH15" s="574">
        <f ca="1">IF(庫存管理[[#This Row],[檢測]]=TRUE,IF(MF=2,IFERROR(BY15/$BY$1,0),IFERROR(BX15/$BX$1,0)),0)</f>
        <v>0</v>
      </c>
      <c r="CI15"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5" s="646" t="e">
        <f ca="1">DATEDIF(庫存管理[[#This Row],[買進例外調整]],庫存管理[[#This Row],[到期日]],"d")/365.25</f>
        <v>#N/A</v>
      </c>
      <c r="CK15" s="734" t="e">
        <f ca="1">DATEVALUE(VLOOKUP(庫存管理[[#This Row],[商品代號]],bond!B:AF,31,FALSE))</f>
        <v>#N/A</v>
      </c>
      <c r="CL15" s="734" t="e">
        <f ca="1">IF(庫存管理[[#This Row],[買下配(國調)]]&lt;庫存管理[[#This Row],[第一票息日]],庫存管理[[#This Row],[第一票息日]],庫存管理[[#This Row],[買下配(國調)]])</f>
        <v>#N/A</v>
      </c>
      <c r="CM15"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5"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5" s="735">
        <f ca="1">IF(庫存管理[[#This Row],[商品代號]]="XFM90",0,IFERROR(庫存管理[[#This Row],[單次配息(原幣)]]*庫存管理[[#This Row],[經過幾次配息]],0))</f>
        <v>0</v>
      </c>
      <c r="CP15" s="735" t="e">
        <f ca="1">VLOOKUP(庫存管理[[#This Row],[商品代號]],bond!B:F,5,FALSE)</f>
        <v>#N/A</v>
      </c>
      <c r="CQ15" s="734" t="str">
        <f ca="1">IFERROR(VLOOKUP(庫存管理[[#This Row],[ISIN]],'7_發行日例外'!A:C,3,FALSE),IFERROR(DATEVALUE(VLOOKUP(庫存管理[[#This Row],[商品代號]],bond!B:AR,43,FALSE)),""))</f>
        <v/>
      </c>
      <c r="CR15" s="735" t="e">
        <f ca="1">DATEDIF(庫存管理[[#This Row],[起息日]],庫存管理[[#This Row],[買進前一配息日(複算)]],"d")</f>
        <v>#VALUE!</v>
      </c>
      <c r="CS15"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5" s="734" t="e">
        <f ca="1">IFERROR(VLOOKUP(庫存管理[[#This Row],[ISIN]],'7_發行日例外'!A:D,4,FALSE),DATEVALUE(VLOOKUP(庫存管理[[#This Row],[商品代號]],bond!B:AV,44,FALSE)))</f>
        <v>#N/A</v>
      </c>
      <c r="CU15" s="735" t="e">
        <f ca="1">VLOOKUP(庫存管理[[#This Row],[商品代號]],bond!B:AU,46,FALSE)</f>
        <v>#N/A</v>
      </c>
      <c r="CV15" s="735" t="e">
        <f ca="1">IF(庫存管理[[#This Row],[計息基礎]]=1,CHOOSE(庫存管理[[#This Row],[對應編碼]],"沒進位","","沒進位",IF(庫存管理[[#This Row],[計算類型]]="AUSTRALIA:EX-DIV","4捨五入進0.01%","沒進位"),"年/2去計算ACT","沒進位","沒進位"),"")</f>
        <v>#N/A</v>
      </c>
      <c r="CW15" s="735" t="e">
        <f ca="1">_xlfn.DAYS(庫存管理[[#This Row],[買進例外調整]],庫存管理[[#This Row],[買進前一個配息日(最終)]])</f>
        <v>#N/A</v>
      </c>
      <c r="CX15" s="735" t="e">
        <f ca="1">IF(庫存管理[[#This Row],[備註]]="年/2去計算ACT",365/2,_xlfn.DAYS(庫存管理[[#This Row],[買進時的下個配息日]],庫存管理[[#This Row],[買進前一個配息日(最終)]]))</f>
        <v>#N/A</v>
      </c>
      <c r="CY15"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5" s="767" t="e">
        <f ca="1">_xlfn.DAYS(庫存管理[[#This Row],[交割日]],庫存管理[[#This Row],[買進前一個配息日(最終)]])</f>
        <v>#N/A</v>
      </c>
      <c r="DA15"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5" s="767" t="e">
        <f ca="1">_xlfn.DAYS(庫存管理[[#This Row],[交割日]],庫存管理[[#This Row],[最近的上一票息日]])</f>
        <v>#N/A</v>
      </c>
      <c r="DC15" s="767" t="e">
        <f ca="1">IF(庫存管理[[#This Row],[備註]]="年/2去計算ACT",365/2,_xlfn.DAYS(庫存管理[[#This Row],[下一配息日]],庫存管理[[#This Row],[最近的上一票息日]]))</f>
        <v>#N/A</v>
      </c>
      <c r="DD15"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5" s="739" t="e">
        <f ca="1">CL15-庫存管理[[#This Row],[ex_div_days]]</f>
        <v>#N/A</v>
      </c>
      <c r="DF15" s="646" t="e">
        <f ca="1">IF(VLOOKUP(庫存管理[[#This Row],[商品代號]],bond!B:AT,45,FALSE)="#N/A Field Not Applicable",0,VLOOKUP(庫存管理[[#This Row],[商品代號]],bond!B:AT,45,FALSE))</f>
        <v>#N/A</v>
      </c>
      <c r="DG15" s="793" t="e">
        <f ca="1">IF(庫存管理[[#This Row],[ex_div_days]]&lt;&gt;0,IF(AND(庫存管理[[#This Row],[買進例外調整]]-庫存管理[[#This Row],[買進下一個配息日先減n天]]&gt;=0,庫存管理[[#This Row],[買進時的下個配息日]]-庫存管理[[#This Row],[買進例外調整]]&gt;0),1,0),0)</f>
        <v>#N/A</v>
      </c>
      <c r="DH15"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5" s="734" t="e">
        <f ca="1">庫存管理[[#This Row],[下一配息日]]-庫存管理[[#This Row],[ex_div_days]]</f>
        <v>#VALUE!</v>
      </c>
      <c r="DJ15" s="1081" t="e">
        <f ca="1">IF(庫存管理[[#This Row],[ex_div_days]]&lt;&gt;0,IF(AND(庫存管理[[#This Row],[交割日]]-庫存管理[[#This Row],[交割下個配息日先減n天]]&gt;=0,庫存管理[[#This Row],[下一配息日]]-庫存管理[[#This Row],[交割日]]&gt;0),1,0),0)</f>
        <v>#N/A</v>
      </c>
      <c r="DK15"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5" s="735">
        <f ca="1">IFERROR(VLOOKUP(庫存管理[[#This Row],[商品代號]],bond!B:X,21,FALSE),0)</f>
        <v>0</v>
      </c>
      <c r="DM15" s="735">
        <f ca="1">IFERROR(VLOOKUP(I15,bond!B:J,9,FALSE),0)</f>
        <v>0</v>
      </c>
      <c r="DN15" s="1188">
        <f ca="1">IF(AND(開關=TRUE,庫存管理[[#This Row],[投組檢測]]=TRUE),IF(MF=2,IFERROR(BW15/$BW$3,0),IFERROR(BV15/$BV$3,0)),0)</f>
        <v>0</v>
      </c>
      <c r="DO15" s="735">
        <f ca="1">IFERROR(庫存管理[[#This Row],[clean申購價]]/100*庫存管理[[#This Row],[投入面額]]*庫存管理[[#This Row],[MOD]]*0.01,0)</f>
        <v>0</v>
      </c>
      <c r="DP15" s="1298" t="e">
        <f ca="1">IF($C$16=1,庫存管理[[#This Row],[單次配息(台幣)]],庫存管理[[#This Row],[單次配息(原幣)]])</f>
        <v>#VALUE!</v>
      </c>
      <c r="DQ15"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5"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5"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5"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5"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5"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5"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5"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5"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5"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5"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5"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5" s="33"/>
      <c r="ED15" s="33"/>
      <c r="EE15" s="33"/>
      <c r="EF15" s="33"/>
      <c r="EG15" s="33"/>
      <c r="EH15" s="33"/>
      <c r="EI15" s="33"/>
      <c r="EJ15" s="33"/>
      <c r="EK15" s="33"/>
      <c r="EL15" s="33"/>
      <c r="EM15" s="33"/>
      <c r="EN15" s="33"/>
      <c r="EO15" s="33"/>
      <c r="EP15" s="33"/>
      <c r="EQ15" s="33"/>
      <c r="ER15" s="33"/>
      <c r="ES15" s="33"/>
      <c r="ET15" s="33"/>
      <c r="EU15" s="33"/>
      <c r="EV15" s="33"/>
      <c r="EW15" s="33"/>
      <c r="EX15" s="33"/>
      <c r="EY15" s="33"/>
      <c r="EZ15" s="33"/>
      <c r="FA15" s="33"/>
      <c r="FB15" s="33"/>
      <c r="FC15" s="33"/>
      <c r="FD15" s="33"/>
      <c r="FE15" s="33"/>
      <c r="FF15" s="33"/>
      <c r="FG15" s="33"/>
      <c r="FH15" s="33"/>
      <c r="FI15" s="33"/>
      <c r="FJ15" s="33"/>
      <c r="FK15" s="33"/>
      <c r="FL15" s="33"/>
      <c r="FM15" s="33"/>
      <c r="FN15" s="33"/>
      <c r="FO15" s="33"/>
      <c r="FP15" s="33"/>
      <c r="FQ15" s="33"/>
      <c r="FR15" s="33"/>
      <c r="FS15" s="33"/>
      <c r="FT15" s="33"/>
      <c r="FU15" s="33"/>
      <c r="FV15" s="33"/>
      <c r="FW15" s="33"/>
      <c r="FX15" s="33"/>
      <c r="FY15" s="33"/>
      <c r="FZ15" s="33"/>
      <c r="GA15" s="33"/>
      <c r="GB15" s="33"/>
      <c r="GC15" s="33"/>
      <c r="GD15" s="33"/>
      <c r="GE15" s="33"/>
      <c r="GF15" s="33"/>
      <c r="GG15" s="33"/>
      <c r="GH15" s="33"/>
      <c r="GI15" s="33"/>
      <c r="GJ15" s="33"/>
      <c r="GK15" s="33"/>
      <c r="GL15" s="33"/>
      <c r="GM15" s="33"/>
      <c r="GN15" s="33"/>
      <c r="GO15" s="33"/>
      <c r="GP15" s="33"/>
      <c r="GQ15" s="33"/>
      <c r="GR15" s="33"/>
      <c r="GS15" s="33"/>
      <c r="GT15" s="33"/>
      <c r="GU15" s="33"/>
      <c r="GV15" s="33"/>
      <c r="GW15" s="33"/>
      <c r="GX15" s="33"/>
      <c r="GY15" s="33"/>
      <c r="GZ15" s="33"/>
      <c r="HA15" s="33"/>
      <c r="HB15" s="33"/>
      <c r="HC15" s="33"/>
      <c r="HD15" s="33"/>
      <c r="HE15" s="33"/>
      <c r="HF15" s="33"/>
      <c r="HG15" s="33"/>
      <c r="HH15" s="33"/>
      <c r="HI15" s="33"/>
      <c r="HJ15" s="33"/>
      <c r="HK15" s="33"/>
      <c r="HL15" s="33"/>
      <c r="HM15" s="33"/>
      <c r="HN15" s="33"/>
      <c r="HO15" s="33"/>
      <c r="HP15" s="33"/>
      <c r="HQ15" s="33"/>
      <c r="HR15" s="33"/>
      <c r="HS15" s="33"/>
      <c r="HT15" s="33"/>
      <c r="HU15" s="33"/>
    </row>
    <row r="16" spans="1:1104" ht="19.5" customHeight="1">
      <c r="B16" s="28" t="s">
        <v>2023</v>
      </c>
      <c r="C16" s="459">
        <f ca="1">IF(BQ1&gt;1,1,IFERROR(CHOOSE(績效圖!A1,1,2),1))</f>
        <v>2</v>
      </c>
      <c r="G16" s="459">
        <v>10</v>
      </c>
      <c r="H16" s="1166" t="b">
        <f ca="1">IFERROR(IF(VLOOKUP(G16,換券投組!$AH$8:$AH$13,1,FALSE)&gt;0,TRUE,FALSE),FALSE)</f>
        <v>0</v>
      </c>
      <c r="I16" s="1693" t="str">
        <f ca="1">IF(開關=TRUE,'商品代碼-中繼頁'!R11,"")</f>
        <v/>
      </c>
      <c r="J16" s="429">
        <f ca="1">IFERROR(VLOOKUP(I16,bond!B:I,8,FALSE),0)</f>
        <v>0</v>
      </c>
      <c r="K16" s="429">
        <f ca="1">IFERROR(庫存管理[[#This Row],[買價]]+VLOOKUP(庫存管理[[#This Row],[商品代號]],bond!B:K,10,FALSE),0)</f>
        <v>0</v>
      </c>
      <c r="L16" s="430" t="e">
        <f ca="1">VLOOKUP(I16,'銀行-TSS'!B:E,4,FALSE)</f>
        <v>#N/A</v>
      </c>
      <c r="M16" s="431">
        <f ca="1">IFERROR(VLOOKUP($I16,'銀行-TSS'!B:G,6,FALSE),0)</f>
        <v>0</v>
      </c>
      <c r="N16" s="432" t="e">
        <f ca="1">IFERROR(DATEVALUE(VLOOKUP($I16,'銀行-TSS'!B:F,5,FALSE)),VLOOKUP($I16,'銀行-TSS'!B:F,5,FALSE))</f>
        <v>#N/A</v>
      </c>
      <c r="O16" s="433">
        <f ca="1">IFERROR(VLOOKUP($I16,'銀行-TSS'!B:H,7,FALSE),0)</f>
        <v>0</v>
      </c>
      <c r="P16" s="433" t="e">
        <f ca="1">庫存管理[[#This Row],[票面利率]]/庫存管理[[#This Row],[成本價(不含前手息)]]*100</f>
        <v>#VALUE!</v>
      </c>
      <c r="Q16" s="434" t="str">
        <f ca="1">IFERROR(VLOOKUP($I16,'銀行-TSS'!B:I,8,FALSE),"")</f>
        <v/>
      </c>
      <c r="R16" s="440" t="str">
        <f ca="1">_xlfn.IFNA(IFERROR(DATEVALUE(VLOOKUP($I16,'銀行-TSS'!B:P,15,FALSE)),VLOOKUP($I16,'銀行-TSS'!B:P,15,FALSE)),"")</f>
        <v/>
      </c>
      <c r="S16" s="570" t="b">
        <f ca="1">IF(AND(庫存管理[[#This Row],[配息頻率]]&lt;&gt;"",庫存管理[[#This Row],[持有成本(不含前手息)]]&lt;&gt;0,庫存管理[[#This Row],[買進日]]&lt;&gt;""),TRUE,FALSE)</f>
        <v>0</v>
      </c>
      <c r="T16" s="602" t="str">
        <f>IFERROR(DATE(LEFT('商品代碼-中繼頁'!S11,4),MID('商品代碼-中繼頁'!S11,5,2),RIGHT('商品代碼-中繼頁'!S11,2)),"")</f>
        <v/>
      </c>
      <c r="U16"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6" s="442" t="e">
        <f ca="1">IFERROR(WORKDAY(庫存管理[[#This Row],[買進日]],VLOOKUP(庫存管理[[#This Row],[商品代號]],'1_重設數據'!R:S,2,FALSE),休USD),庫存管理[[#This Row],[買進日(T+2/公債T+1)]])</f>
        <v>#N/A</v>
      </c>
      <c r="W16" s="43" t="str">
        <f>'商品代碼-中繼頁'!T11</f>
        <v/>
      </c>
      <c r="X16" s="43" t="str">
        <f>'商品代碼-中繼頁'!U11</f>
        <v/>
      </c>
      <c r="Y16" s="464">
        <f t="shared" ca="1" si="9"/>
        <v>0</v>
      </c>
      <c r="Z16" s="464" t="e">
        <f t="shared" ca="1" si="13"/>
        <v>#VALUE!</v>
      </c>
      <c r="AA16" s="465" t="e">
        <f t="shared" ca="1" si="10"/>
        <v>#VALUE!</v>
      </c>
      <c r="AB16" s="474" t="e">
        <f ca="1">IF(MF=2,庫存管理[[#This Row],[部位現值(不含前手息)]]-庫存管理[[#This Row],[持有成本(不含前手息)]],庫存管理[[#This Row],[部位現值(含前手息)]]-庫存管理[[#This Row],[持有成本(含前手息)]])</f>
        <v>#VALUE!</v>
      </c>
      <c r="AC16" s="462">
        <f ca="1">IF(庫存管理[[#This Row],[檢測]]=TRUE,IF(MF=2,IFERROR(庫存管理[[#This Row],[資本利損]]/庫存管理[[#This Row],[持有成本(不含前手息)]],0),IFERROR(庫存管理[[#This Row],[資本利損]]/庫存管理[[#This Row],[持有成本(含前手息)]],0)),0)</f>
        <v>0</v>
      </c>
      <c r="AD16" s="618" t="e">
        <f ca="1">庫存管理[[#This Row],[持有成本(不含前手息)]]/庫存管理[[#This Row],[投入面額]]*100</f>
        <v>#VALUE!</v>
      </c>
      <c r="AE16" s="462" t="str">
        <f ca="1">IFERROR(VLOOKUP(庫存管理[[#This Row],[商品代號]],bond!B:AA,26,FALSE),"")</f>
        <v/>
      </c>
      <c r="AF16" s="1" t="str">
        <f ca="1">IFERROR(VLOOKUP($I16,'銀行-TSS'!B:Q,16,FALSE),"")</f>
        <v/>
      </c>
      <c r="AG16" s="466">
        <f t="shared" ca="1" si="1"/>
        <v>0</v>
      </c>
      <c r="AH16" s="458" t="e">
        <f ca="1">IF(OR(庫存管理[[#This Row],[起息日]]&gt;庫存管理[[#This Row],[買進前一配息日(複算)]],庫存管理[[#This Row],[判斷]]=TRUE),庫存管理[[#This Row],[起息日]],庫存管理[[#This Row],[買進前一配息日(複算)]])</f>
        <v>#N/A</v>
      </c>
      <c r="AI16" s="577" t="e">
        <f ca="1">VLOOKUP(I16,bond!B:AP,41,FALSE)</f>
        <v>#N/A</v>
      </c>
      <c r="AJ16" s="578" t="e">
        <f t="shared" ca="1" si="2"/>
        <v>#N/A</v>
      </c>
      <c r="AK16" s="579">
        <f ca="1">IFERROR(IF(庫存管理[[#This Row],[買進日是否落入record date]]=1,庫存管理[[#This Row],[record date制度前手息]],庫存管理[[#This Row],[計算前手息(初算)]]),0)</f>
        <v>0</v>
      </c>
      <c r="AL16" s="579" t="e">
        <f ca="1">IF(OR(庫存管理[[#This Row],[買進例外調整]]&lt;庫存管理[[#This Row],[起息日]],庫存管理[[#This Row],[買進例外調整]]&gt;庫存管理[[#This Row],[到期日]]),0,IF(庫存管理[[#This Row],[備註]]&lt;&gt;"",庫存管理[[#This Row],[買進時前手息]],IFERROR(ROUND(ACCRINT(AH16,AH16,V16,O16,100,Q16,AJ16,TRUE),4),0)))</f>
        <v>#N/A</v>
      </c>
      <c r="AM16" s="580" t="e">
        <f t="shared" ca="1" si="11"/>
        <v>#VALUE!</v>
      </c>
      <c r="AN16" s="440" t="e">
        <f ca="1">IFERROR(DATEVALUE(VLOOKUP(I16,bond!B:I,7,FALSE)),VLOOKUP(I16,bond!B:I,7,FALSE))</f>
        <v>#N/A</v>
      </c>
      <c r="AO16"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6" s="1075">
        <f ca="1">IFERROR(IF(庫存管理[[#This Row],[交割日是否落入record date]]=1,庫存管理[[#This Row],[交_record date制度前手息]],庫存管理[[#This Row],[計算交割前手息(初算)]]),0)</f>
        <v>0</v>
      </c>
      <c r="AQ16"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6" s="1063" t="e">
        <f ca="1">ROUND(庫存管理[[#This Row],[計算交割前手息(複算)]]*庫存管理[[#This Row],[投入面額]]/100,2)</f>
        <v>#VALUE!</v>
      </c>
      <c r="AS16" s="1064" t="e">
        <f ca="1">IF(庫存管理[[#This Row],[配息頻率]]=0,0,(100*庫存管理[[#This Row],[票面利率]]/庫存管理[[#This Row],[配息頻率]])*庫存管理[[#This Row],[經過幾次配息]]+庫存管理[[#This Row],[計算交割前手息(複算)]]-庫存管理[[#This Row],[計算前手息(複算)]])</f>
        <v>#VALUE!</v>
      </c>
      <c r="AT16" s="581" t="e">
        <f ca="1">IF(庫存管理[[#This Row],[商品代號]]="XFM90",0,ROUND(AS16*W16/100,2))</f>
        <v>#VALUE!</v>
      </c>
      <c r="AU16" s="582">
        <f ca="1">IF(MF=2,IFERROR(庫存管理[[#This Row],[累計配息]]/庫存管理[[#This Row],[持有成本(不含前手息)]],0),IFERROR(庫存管理[[#This Row],[已實現配息(原幣)]]/庫存管理[[#This Row],[持有成本(含前手息)]],0))</f>
        <v>0</v>
      </c>
      <c r="AV16" s="583" t="e">
        <f ca="1">IF(MF=2,庫存管理[[#This Row],[資本利損]]+庫存管理[[#This Row],[累計配息]],庫存管理[[#This Row],[資本利損]]+庫存管理[[#This Row],[已實現配息(原幣)]])</f>
        <v>#VALUE!</v>
      </c>
      <c r="AW16" s="584">
        <f ca="1">IF(庫存管理[[#This Row],[檢測]]=TRUE,IF(MF=2,IFERROR(庫存管理[[#This Row],[合計收益]]/庫存管理[[#This Row],[持有成本(不含前手息)]],0),IFERROR(庫存管理[[#This Row],[合計收益]]/庫存管理[[#This Row],[持有成本(含前手息)]],0)),0)</f>
        <v>0</v>
      </c>
      <c r="AX16" s="434" t="e">
        <f t="shared" ca="1" si="12"/>
        <v>#VALUE!</v>
      </c>
      <c r="AY16" s="434" t="e">
        <f t="shared" ca="1" si="3"/>
        <v>#VALUE!</v>
      </c>
      <c r="AZ16" s="434">
        <f t="shared" ca="1" si="4"/>
        <v>0</v>
      </c>
      <c r="BA16" s="434">
        <f t="shared" ca="1" si="5"/>
        <v>0</v>
      </c>
      <c r="BB16" s="441" t="e">
        <f ca="1">IF(AND(庫存管理[[#This Row],[名稱]]="美國國庫債券",DAY(庫存管理[[#This Row],[買進前一配息日(初算)]])&gt;=28),EOMONTH(庫存管理[[#This Row],[買進前一配息日(初算)]],0),庫存管理[[#This Row],[買進前一配息日(初算)]])</f>
        <v>#N/A</v>
      </c>
      <c r="BC16" s="441" t="e">
        <f t="shared" ca="1" si="6"/>
        <v>#N/A</v>
      </c>
      <c r="BD16" s="444" t="e">
        <f t="shared" ca="1" si="7"/>
        <v>#N/A</v>
      </c>
      <c r="BE16" s="441" t="e">
        <f ca="1">IF(Q16&gt;0,IF(MONTH(DATE(BD16,AX16,DAY(R16)))&lt;&gt;庫存管理[[#This Row],[第一個配息月]],DATE(BD16,AX16+1,0),DATE(BD16,AX16,DAY(R16))),庫存管理[[#This Row],[買進例外調整]]+100)</f>
        <v>#N/A</v>
      </c>
      <c r="BF16" s="441" t="e">
        <f ca="1">IF(AY16&lt;&gt;0,IF(MONTH(DATE(BD16,AY16,DAY(R16)))&lt;&gt;庫存管理[[#This Row],[第二個配息月]],DATE(BD16,AY16+1,0),DATE(BD16,AY16,DAY(R16))),庫存管理[[#This Row],[買進例外調整]]+100)</f>
        <v>#VALUE!</v>
      </c>
      <c r="BG16" s="441" t="e">
        <f ca="1">IF(AZ16&lt;&gt;0,IF(MONTH(DATE(BD16,AZ16,DAY(R16)))&lt;&gt;庫存管理[[#This Row],[第三個配息月]],DATE(BD16,AZ16+1,0),DATE(BD16,AZ16,DAY(R16))),庫存管理[[#This Row],[買進例外調整]]+100)</f>
        <v>#N/A</v>
      </c>
      <c r="BH16" s="441" t="e">
        <f ca="1">IF(BA16&lt;&gt;0,IF(MONTH(DATE(BD16,BA16,DAY(R16)))&lt;&gt;庫存管理[[#This Row],[第四個配息月]],DATE(BD16,BA16+1,0),DATE(BD16,BA16,DAY(R16))),庫存管理[[#This Row],[買進例外調整]]+100)</f>
        <v>#N/A</v>
      </c>
      <c r="BI16" s="441" t="e">
        <f ca="1">IF(Q16=1,IF(MONTH(DATE(BD16-1,AX16,DAY(R16)))&lt;&gt;庫存管理[[#This Row],[第一個配息月]],DATE(BD16-1,AX16+1,0),DATE(BD16-1,AX16,DAY(R16))),IF(Q16=2,IF(MONTH(DATE(BD16-1,AY16,DAY(R16)))&lt;&gt;庫存管理[[#This Row],[第二個配息月]],DATE(BD16-1,AY16+1,0),DATE(BD16-1,AY16,DAY(R16))),IF(Q16=4,IF(MONTH(DATE(BD16-1,BA16,DAY(R16)))&lt;&gt;庫存管理[[#This Row],[第四個配息月]],DATE(BD16-1,BA16+1,0),DATE(BD16-1,BA16,DAY(R16))),庫存管理[[#This Row],[買進例外調整]]+100)))</f>
        <v>#N/A</v>
      </c>
      <c r="BJ16" s="445">
        <f t="shared" ca="1" si="8"/>
        <v>10000</v>
      </c>
      <c r="BK16" s="445">
        <f t="shared" ca="1" si="8"/>
        <v>10000</v>
      </c>
      <c r="BL16" s="445">
        <f t="shared" ca="1" si="8"/>
        <v>10000</v>
      </c>
      <c r="BM16" s="445">
        <f t="shared" ca="1" si="8"/>
        <v>10000</v>
      </c>
      <c r="BN16" s="455">
        <f t="shared" ca="1" si="8"/>
        <v>10000</v>
      </c>
      <c r="BO16" s="479" t="e">
        <f ca="1">庫存管理[[#This Row],[年度配息]]/庫存管理[[#This Row],[配息頻率]]</f>
        <v>#VALUE!</v>
      </c>
      <c r="BP16" s="479" t="e">
        <f ca="1">庫存管理[[#This Row],[單次配息(原幣)]]*庫存管理[[#This Row],[換算匯率(現)]]</f>
        <v>#VALUE!</v>
      </c>
      <c r="BQ16" s="479" t="str">
        <f ca="1">IF(庫存管理[[#This Row],[商品代號]]&lt;&gt;"",IFERROR(VLOOKUP($I16,'銀行-TSS'!B:C,2,FALSE),""),"")</f>
        <v/>
      </c>
      <c r="BR16" s="479" t="e">
        <f ca="1">VLOOKUP(庫存管理[[#This Row],[幣別]],$B$37:$C$43,2,FALSE)</f>
        <v>#N/A</v>
      </c>
      <c r="BS16" s="500" t="e">
        <f ca="1">CHOOSE(庫存管理[[#This Row],[對應編碼]],$D$37,$D$38,$D$39,$D$40,$D$41,$D$42,$D$43)</f>
        <v>#N/A</v>
      </c>
      <c r="BT16" s="500">
        <f ca="1">IF(庫存管理[[#This Row],[商品代號]]="",0,CHOOSE(庫存管理[[#This Row],[對應編碼]],$E$37,$E$38,$E$39,$E$40,$E$41,$E$42,$E$43))</f>
        <v>0</v>
      </c>
      <c r="BU16" s="1555">
        <f ca="1">IF(庫存管理[[#This Row],[檢測]]=TRUE,庫存管理[[#This Row],[投入面額]]*庫存管理[[#This Row],[換算匯率(現)]],0)</f>
        <v>0</v>
      </c>
      <c r="BV16" s="1555">
        <f ca="1">IF(庫存管理[[#This Row],[檢測]]=TRUE,IFERROR(庫存管理[[#This Row],[持有成本(含前手息)]]*庫存管理[[#This Row],[換算匯率(買)]],0),0)</f>
        <v>0</v>
      </c>
      <c r="BW16" s="1555">
        <f ca="1">IF(庫存管理[[#This Row],[檢測]]=TRUE,庫存管理[[#This Row],[持有成本(不含前手息)]]*庫存管理[[#This Row],[換算匯率(買)]],0)</f>
        <v>0</v>
      </c>
      <c r="BX16" s="1555">
        <f ca="1">IF(庫存管理[[#This Row],[檢測]]=TRUE,庫存管理[[#This Row],[部位現值(含前手息)]]*庫存管理[[#This Row],[換算匯率(現)]],0)</f>
        <v>0</v>
      </c>
      <c r="BY16" s="1555">
        <f ca="1">IF(庫存管理[[#This Row],[檢測]]=TRUE,庫存管理[[#This Row],[部位現值(不含前手息)]]*庫存管理[[#This Row],[換算匯率(現)]],0)</f>
        <v>0</v>
      </c>
      <c r="BZ16" s="1555">
        <f ca="1">IF(庫存管理[[#This Row],[檢測]]=TRUE,IF(MF=2,庫存管理[[#This Row],[累計配息]]*庫存管理[[#This Row],[換算匯率(現)]],庫存管理[[#This Row],[已實現配息(原幣)]]*庫存管理[[#This Row],[換算匯率(現)]]),0)</f>
        <v>0</v>
      </c>
      <c r="CA16" s="1555" t="e">
        <f ca="1">庫存管理[[#This Row],[資本利損]]*庫存管理[[#This Row],[換算匯率(現)]]</f>
        <v>#VALUE!</v>
      </c>
      <c r="CB16" s="1555" t="e">
        <f ca="1">庫存管理[[#This Row],[累計利息(台)]]+庫存管理[[#This Row],[資本貢獻(台)]]</f>
        <v>#VALUE!</v>
      </c>
      <c r="CC16" s="574">
        <f ca="1">IF(庫存管理[[#This Row],[檢測]]=TRUE,IFERROR(庫存管理[[#This Row],[配息報酬]],0),0)</f>
        <v>0</v>
      </c>
      <c r="CD16" s="574">
        <f ca="1">IF(庫存管理[[#This Row],[檢測]]=TRUE,庫存管理[[#This Row],[資本報酬]],0)</f>
        <v>0</v>
      </c>
      <c r="CE16" s="574">
        <f ca="1">IF(S16=TRUE,IFERROR(庫存管理[[#This Row],[換匯總報酬率]]-(庫存管理[[#This Row],[配息報酬率]]+庫存管理[[#This Row],[資本報酬率]]),0),0)</f>
        <v>0</v>
      </c>
      <c r="CF16"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6" s="585">
        <f ca="1">IF(AND(庫存管理[[#This Row],[檢測]]=TRUE,開關=TRUE),IF(MF=2,IFERROR(BW16/$BW$1,0),IFERROR(BV16/$BV$1,0)),0)</f>
        <v>0</v>
      </c>
      <c r="CH16" s="574">
        <f ca="1">IF(庫存管理[[#This Row],[檢測]]=TRUE,IF(MF=2,IFERROR(BY16/$BY$1,0),IFERROR(BX16/$BX$1,0)),0)</f>
        <v>0</v>
      </c>
      <c r="CI16"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6" s="646" t="e">
        <f ca="1">DATEDIF(庫存管理[[#This Row],[買進例外調整]],庫存管理[[#This Row],[到期日]],"d")/365.25</f>
        <v>#N/A</v>
      </c>
      <c r="CK16" s="734" t="e">
        <f ca="1">DATEVALUE(VLOOKUP(庫存管理[[#This Row],[商品代號]],bond!B:AF,31,FALSE))</f>
        <v>#N/A</v>
      </c>
      <c r="CL16" s="734" t="e">
        <f ca="1">IF(庫存管理[[#This Row],[買下配(國調)]]&lt;庫存管理[[#This Row],[第一票息日]],庫存管理[[#This Row],[第一票息日]],庫存管理[[#This Row],[買下配(國調)]])</f>
        <v>#N/A</v>
      </c>
      <c r="CM16"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6"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6" s="735">
        <f ca="1">IF(庫存管理[[#This Row],[商品代號]]="XFM90",0,IFERROR(庫存管理[[#This Row],[單次配息(原幣)]]*庫存管理[[#This Row],[經過幾次配息]],0))</f>
        <v>0</v>
      </c>
      <c r="CP16" s="735" t="e">
        <f ca="1">VLOOKUP(庫存管理[[#This Row],[商品代號]],bond!B:F,5,FALSE)</f>
        <v>#N/A</v>
      </c>
      <c r="CQ16" s="734" t="str">
        <f ca="1">IFERROR(VLOOKUP(庫存管理[[#This Row],[ISIN]],'7_發行日例外'!A:C,3,FALSE),IFERROR(DATEVALUE(VLOOKUP(庫存管理[[#This Row],[商品代號]],bond!B:AR,43,FALSE)),""))</f>
        <v/>
      </c>
      <c r="CR16" s="735" t="e">
        <f ca="1">DATEDIF(庫存管理[[#This Row],[起息日]],庫存管理[[#This Row],[買進前一配息日(複算)]],"d")</f>
        <v>#VALUE!</v>
      </c>
      <c r="CS16"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6" s="734" t="e">
        <f ca="1">IFERROR(VLOOKUP(庫存管理[[#This Row],[ISIN]],'7_發行日例外'!A:D,4,FALSE),DATEVALUE(VLOOKUP(庫存管理[[#This Row],[商品代號]],bond!B:AV,44,FALSE)))</f>
        <v>#N/A</v>
      </c>
      <c r="CU16" s="735" t="e">
        <f ca="1">VLOOKUP(庫存管理[[#This Row],[商品代號]],bond!B:AU,46,FALSE)</f>
        <v>#N/A</v>
      </c>
      <c r="CV16" s="735" t="e">
        <f ca="1">IF(庫存管理[[#This Row],[計息基礎]]=1,CHOOSE(庫存管理[[#This Row],[對應編碼]],"沒進位","","沒進位",IF(庫存管理[[#This Row],[計算類型]]="AUSTRALIA:EX-DIV","4捨五入進0.01%","沒進位"),"年/2去計算ACT","沒進位","沒進位"),"")</f>
        <v>#N/A</v>
      </c>
      <c r="CW16" s="735" t="e">
        <f ca="1">_xlfn.DAYS(庫存管理[[#This Row],[買進例外調整]],庫存管理[[#This Row],[買進前一個配息日(最終)]])</f>
        <v>#N/A</v>
      </c>
      <c r="CX16" s="735" t="e">
        <f ca="1">IF(庫存管理[[#This Row],[備註]]="年/2去計算ACT",365/2,_xlfn.DAYS(庫存管理[[#This Row],[買進時的下個配息日]],庫存管理[[#This Row],[買進前一個配息日(最終)]]))</f>
        <v>#N/A</v>
      </c>
      <c r="CY16"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6" s="767" t="e">
        <f ca="1">_xlfn.DAYS(庫存管理[[#This Row],[交割日]],庫存管理[[#This Row],[買進前一個配息日(最終)]])</f>
        <v>#N/A</v>
      </c>
      <c r="DA16"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6" s="767" t="e">
        <f ca="1">_xlfn.DAYS(庫存管理[[#This Row],[交割日]],庫存管理[[#This Row],[最近的上一票息日]])</f>
        <v>#N/A</v>
      </c>
      <c r="DC16" s="767" t="e">
        <f ca="1">IF(庫存管理[[#This Row],[備註]]="年/2去計算ACT",365/2,_xlfn.DAYS(庫存管理[[#This Row],[下一配息日]],庫存管理[[#This Row],[最近的上一票息日]]))</f>
        <v>#N/A</v>
      </c>
      <c r="DD16"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6" s="739" t="e">
        <f ca="1">CL16-庫存管理[[#This Row],[ex_div_days]]</f>
        <v>#N/A</v>
      </c>
      <c r="DF16" s="646" t="e">
        <f ca="1">IF(VLOOKUP(庫存管理[[#This Row],[商品代號]],bond!B:AT,45,FALSE)="#N/A Field Not Applicable",0,VLOOKUP(庫存管理[[#This Row],[商品代號]],bond!B:AT,45,FALSE))</f>
        <v>#N/A</v>
      </c>
      <c r="DG16" s="793" t="e">
        <f ca="1">IF(庫存管理[[#This Row],[ex_div_days]]&lt;&gt;0,IF(AND(庫存管理[[#This Row],[買進例外調整]]-庫存管理[[#This Row],[買進下一個配息日先減n天]]&gt;=0,庫存管理[[#This Row],[買進時的下個配息日]]-庫存管理[[#This Row],[買進例外調整]]&gt;0),1,0),0)</f>
        <v>#N/A</v>
      </c>
      <c r="DH16"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6" s="734" t="e">
        <f ca="1">庫存管理[[#This Row],[下一配息日]]-庫存管理[[#This Row],[ex_div_days]]</f>
        <v>#VALUE!</v>
      </c>
      <c r="DJ16" s="1081" t="e">
        <f ca="1">IF(庫存管理[[#This Row],[ex_div_days]]&lt;&gt;0,IF(AND(庫存管理[[#This Row],[交割日]]-庫存管理[[#This Row],[交割下個配息日先減n天]]&gt;=0,庫存管理[[#This Row],[下一配息日]]-庫存管理[[#This Row],[交割日]]&gt;0),1,0),0)</f>
        <v>#N/A</v>
      </c>
      <c r="DK16"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6" s="735">
        <f ca="1">IFERROR(VLOOKUP(庫存管理[[#This Row],[商品代號]],bond!B:X,21,FALSE),0)</f>
        <v>0</v>
      </c>
      <c r="DM16" s="735">
        <f ca="1">IFERROR(VLOOKUP(I16,bond!B:J,9,FALSE),0)</f>
        <v>0</v>
      </c>
      <c r="DN16" s="1188">
        <f ca="1">IF(AND(開關=TRUE,庫存管理[[#This Row],[投組檢測]]=TRUE),IF(MF=2,IFERROR(BW16/$BW$3,0),IFERROR(BV16/$BV$3,0)),0)</f>
        <v>0</v>
      </c>
      <c r="DO16" s="735">
        <f ca="1">IFERROR(庫存管理[[#This Row],[clean申購價]]/100*庫存管理[[#This Row],[投入面額]]*庫存管理[[#This Row],[MOD]]*0.01,0)</f>
        <v>0</v>
      </c>
      <c r="DP16" s="1298" t="e">
        <f ca="1">IF($C$16=1,庫存管理[[#This Row],[單次配息(台幣)]],庫存管理[[#This Row],[單次配息(原幣)]])</f>
        <v>#VALUE!</v>
      </c>
      <c r="DQ16"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6"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6"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6"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6"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6"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6"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6"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6"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6"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6"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6"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6" s="33"/>
      <c r="ED16" s="33"/>
      <c r="EE16" s="33"/>
      <c r="EF16" s="33"/>
      <c r="EG16" s="33"/>
      <c r="EH16" s="33"/>
      <c r="EI16" s="33"/>
      <c r="EJ16" s="33"/>
      <c r="EK16" s="33"/>
      <c r="EL16" s="33"/>
      <c r="EM16" s="33"/>
      <c r="EN16" s="33"/>
      <c r="EO16" s="33"/>
      <c r="EP16" s="33"/>
      <c r="EQ16" s="33"/>
      <c r="ER16" s="33"/>
      <c r="ES16" s="33"/>
      <c r="ET16" s="33"/>
      <c r="EU16" s="33"/>
      <c r="EV16" s="33"/>
      <c r="EW16" s="33"/>
      <c r="EX16" s="33"/>
      <c r="EY16" s="33"/>
      <c r="EZ16" s="33"/>
      <c r="FA16" s="33"/>
      <c r="FB16" s="33"/>
      <c r="FC16" s="33"/>
      <c r="FD16" s="33"/>
      <c r="FE16" s="33"/>
      <c r="FF16" s="33"/>
      <c r="FG16" s="33"/>
      <c r="FH16" s="33"/>
      <c r="FI16" s="33"/>
      <c r="FJ16" s="33"/>
      <c r="FK16" s="33"/>
      <c r="FL16" s="33"/>
      <c r="FM16" s="33"/>
      <c r="FN16" s="33"/>
      <c r="FO16" s="33"/>
      <c r="FP16" s="33"/>
      <c r="FQ16" s="33"/>
      <c r="FR16" s="33"/>
      <c r="FS16" s="33"/>
      <c r="FT16" s="33"/>
      <c r="FU16" s="33"/>
      <c r="FV16" s="33"/>
      <c r="FW16" s="33"/>
      <c r="FX16" s="33"/>
      <c r="FY16" s="33"/>
      <c r="FZ16" s="33"/>
      <c r="GA16" s="33"/>
      <c r="GB16" s="33"/>
      <c r="GC16" s="33"/>
      <c r="GD16" s="33"/>
      <c r="GE16" s="33"/>
      <c r="GF16" s="33"/>
      <c r="GG16" s="33"/>
      <c r="GH16" s="33"/>
      <c r="GI16" s="33"/>
      <c r="GJ16" s="33"/>
      <c r="GK16" s="33"/>
      <c r="GL16" s="33"/>
      <c r="GM16" s="33"/>
      <c r="GN16" s="33"/>
      <c r="GO16" s="33"/>
      <c r="GP16" s="33"/>
      <c r="GQ16" s="33"/>
      <c r="GR16" s="33"/>
      <c r="GS16" s="33"/>
      <c r="GT16" s="33"/>
      <c r="GU16" s="33"/>
      <c r="GV16" s="33"/>
      <c r="GW16" s="33"/>
      <c r="GX16" s="33"/>
      <c r="GY16" s="33"/>
      <c r="GZ16" s="33"/>
      <c r="HA16" s="33"/>
      <c r="HB16" s="33"/>
      <c r="HC16" s="33"/>
      <c r="HD16" s="33"/>
      <c r="HE16" s="33"/>
      <c r="HF16" s="33"/>
      <c r="HG16" s="33"/>
      <c r="HH16" s="33"/>
      <c r="HI16" s="33"/>
      <c r="HJ16" s="33"/>
      <c r="HK16" s="33"/>
      <c r="HL16" s="33"/>
      <c r="HM16" s="33"/>
      <c r="HN16" s="33"/>
      <c r="HO16" s="33"/>
      <c r="HP16" s="33"/>
      <c r="HQ16" s="33"/>
      <c r="HR16" s="33"/>
      <c r="HS16" s="33"/>
      <c r="HT16" s="33"/>
      <c r="HU16" s="33"/>
    </row>
    <row r="17" spans="2:229" ht="19.5" customHeight="1">
      <c r="B17" s="352" t="s">
        <v>27</v>
      </c>
      <c r="C17" s="352"/>
      <c r="D17" s="352"/>
      <c r="E17" s="587"/>
      <c r="F17" s="1292"/>
      <c r="G17" s="459">
        <v>11</v>
      </c>
      <c r="H17" s="1166" t="b">
        <f ca="1">IFERROR(IF(VLOOKUP(G17,換券投組!$AH$8:$AH$13,1,FALSE)&gt;0,TRUE,FALSE),FALSE)</f>
        <v>0</v>
      </c>
      <c r="I17" s="1693" t="str">
        <f ca="1">IF(開關=TRUE,'商品代碼-中繼頁'!R12,"")</f>
        <v/>
      </c>
      <c r="J17" s="429">
        <f ca="1">IFERROR(VLOOKUP(I17,bond!B:I,8,FALSE),0)</f>
        <v>0</v>
      </c>
      <c r="K17" s="429">
        <f ca="1">IFERROR(庫存管理[[#This Row],[買價]]+VLOOKUP(庫存管理[[#This Row],[商品代號]],bond!B:K,10,FALSE),0)</f>
        <v>0</v>
      </c>
      <c r="L17" s="430" t="e">
        <f ca="1">VLOOKUP(I17,'銀行-TSS'!B:E,4,FALSE)</f>
        <v>#N/A</v>
      </c>
      <c r="M17" s="431">
        <f ca="1">IFERROR(VLOOKUP($I17,'銀行-TSS'!B:G,6,FALSE),0)</f>
        <v>0</v>
      </c>
      <c r="N17" s="432" t="e">
        <f ca="1">IFERROR(DATEVALUE(VLOOKUP($I17,'銀行-TSS'!B:F,5,FALSE)),VLOOKUP($I17,'銀行-TSS'!B:F,5,FALSE))</f>
        <v>#N/A</v>
      </c>
      <c r="O17" s="433">
        <f ca="1">IFERROR(VLOOKUP($I17,'銀行-TSS'!B:H,7,FALSE),0)</f>
        <v>0</v>
      </c>
      <c r="P17" s="433" t="e">
        <f ca="1">庫存管理[[#This Row],[票面利率]]/庫存管理[[#This Row],[成本價(不含前手息)]]*100</f>
        <v>#VALUE!</v>
      </c>
      <c r="Q17" s="434" t="str">
        <f ca="1">IFERROR(VLOOKUP($I17,'銀行-TSS'!B:I,8,FALSE),"")</f>
        <v/>
      </c>
      <c r="R17" s="440" t="str">
        <f ca="1">_xlfn.IFNA(IFERROR(DATEVALUE(VLOOKUP($I17,'銀行-TSS'!B:P,15,FALSE)),VLOOKUP($I17,'銀行-TSS'!B:P,15,FALSE)),"")</f>
        <v/>
      </c>
      <c r="S17" s="570" t="b">
        <f ca="1">IF(AND(庫存管理[[#This Row],[配息頻率]]&lt;&gt;"",庫存管理[[#This Row],[持有成本(不含前手息)]]&lt;&gt;0,庫存管理[[#This Row],[買進日]]&lt;&gt;""),TRUE,FALSE)</f>
        <v>0</v>
      </c>
      <c r="T17" s="602" t="str">
        <f>IFERROR(DATE(LEFT('商品代碼-中繼頁'!S12,4),MID('商品代碼-中繼頁'!S12,5,2),RIGHT('商品代碼-中繼頁'!S12,2)),"")</f>
        <v/>
      </c>
      <c r="U17"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7" s="442" t="e">
        <f ca="1">IFERROR(WORKDAY(庫存管理[[#This Row],[買進日]],VLOOKUP(庫存管理[[#This Row],[商品代號]],'1_重設數據'!R:S,2,FALSE),休USD),庫存管理[[#This Row],[買進日(T+2/公債T+1)]])</f>
        <v>#N/A</v>
      </c>
      <c r="W17" s="43" t="str">
        <f>'商品代碼-中繼頁'!T12</f>
        <v/>
      </c>
      <c r="X17" s="43" t="str">
        <f>'商品代碼-中繼頁'!U12</f>
        <v/>
      </c>
      <c r="Y17" s="464">
        <f t="shared" ca="1" si="9"/>
        <v>0</v>
      </c>
      <c r="Z17" s="464" t="e">
        <f t="shared" ca="1" si="13"/>
        <v>#VALUE!</v>
      </c>
      <c r="AA17" s="465" t="e">
        <f t="shared" ca="1" si="10"/>
        <v>#VALUE!</v>
      </c>
      <c r="AB17" s="474" t="e">
        <f ca="1">IF(MF=2,庫存管理[[#This Row],[部位現值(不含前手息)]]-庫存管理[[#This Row],[持有成本(不含前手息)]],庫存管理[[#This Row],[部位現值(含前手息)]]-庫存管理[[#This Row],[持有成本(含前手息)]])</f>
        <v>#VALUE!</v>
      </c>
      <c r="AC17" s="462">
        <f ca="1">IF(庫存管理[[#This Row],[檢測]]=TRUE,IF(MF=2,IFERROR(庫存管理[[#This Row],[資本利損]]/庫存管理[[#This Row],[持有成本(不含前手息)]],0),IFERROR(庫存管理[[#This Row],[資本利損]]/庫存管理[[#This Row],[持有成本(含前手息)]],0)),0)</f>
        <v>0</v>
      </c>
      <c r="AD17" s="618" t="e">
        <f ca="1">庫存管理[[#This Row],[持有成本(不含前手息)]]/庫存管理[[#This Row],[投入面額]]*100</f>
        <v>#VALUE!</v>
      </c>
      <c r="AE17" s="462" t="str">
        <f ca="1">IFERROR(VLOOKUP(庫存管理[[#This Row],[商品代號]],bond!B:AA,26,FALSE),"")</f>
        <v/>
      </c>
      <c r="AF17" s="1" t="str">
        <f ca="1">IFERROR(VLOOKUP($I17,'銀行-TSS'!B:Q,16,FALSE),"")</f>
        <v/>
      </c>
      <c r="AG17" s="466">
        <f t="shared" ca="1" si="1"/>
        <v>0</v>
      </c>
      <c r="AH17" s="458" t="e">
        <f ca="1">IF(OR(庫存管理[[#This Row],[起息日]]&gt;庫存管理[[#This Row],[買進前一配息日(複算)]],庫存管理[[#This Row],[判斷]]=TRUE),庫存管理[[#This Row],[起息日]],庫存管理[[#This Row],[買進前一配息日(複算)]])</f>
        <v>#N/A</v>
      </c>
      <c r="AI17" s="577" t="e">
        <f ca="1">VLOOKUP(I17,bond!B:AP,41,FALSE)</f>
        <v>#N/A</v>
      </c>
      <c r="AJ17" s="578" t="e">
        <f t="shared" ca="1" si="2"/>
        <v>#N/A</v>
      </c>
      <c r="AK17" s="579">
        <f ca="1">IFERROR(IF(庫存管理[[#This Row],[買進日是否落入record date]]=1,庫存管理[[#This Row],[record date制度前手息]],庫存管理[[#This Row],[計算前手息(初算)]]),0)</f>
        <v>0</v>
      </c>
      <c r="AL17" s="579" t="e">
        <f ca="1">IF(OR(庫存管理[[#This Row],[買進例外調整]]&lt;庫存管理[[#This Row],[起息日]],庫存管理[[#This Row],[買進例外調整]]&gt;庫存管理[[#This Row],[到期日]]),0,IF(庫存管理[[#This Row],[備註]]&lt;&gt;"",庫存管理[[#This Row],[買進時前手息]],IFERROR(ROUND(ACCRINT(AH17,AH17,V17,O17,100,Q17,AJ17,TRUE),4),0)))</f>
        <v>#N/A</v>
      </c>
      <c r="AM17" s="580" t="e">
        <f t="shared" ca="1" si="11"/>
        <v>#VALUE!</v>
      </c>
      <c r="AN17" s="440" t="e">
        <f ca="1">IFERROR(DATEVALUE(VLOOKUP(I17,bond!B:I,7,FALSE)),VLOOKUP(I17,bond!B:I,7,FALSE))</f>
        <v>#N/A</v>
      </c>
      <c r="AO17"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7" s="1075">
        <f ca="1">IFERROR(IF(庫存管理[[#This Row],[交割日是否落入record date]]=1,庫存管理[[#This Row],[交_record date制度前手息]],庫存管理[[#This Row],[計算交割前手息(初算)]]),0)</f>
        <v>0</v>
      </c>
      <c r="AQ17"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7" s="1063" t="e">
        <f ca="1">ROUND(庫存管理[[#This Row],[計算交割前手息(複算)]]*庫存管理[[#This Row],[投入面額]]/100,2)</f>
        <v>#VALUE!</v>
      </c>
      <c r="AS17" s="1064" t="e">
        <f ca="1">IF(庫存管理[[#This Row],[配息頻率]]=0,0,(100*庫存管理[[#This Row],[票面利率]]/庫存管理[[#This Row],[配息頻率]])*庫存管理[[#This Row],[經過幾次配息]]+庫存管理[[#This Row],[計算交割前手息(複算)]]-庫存管理[[#This Row],[計算前手息(複算)]])</f>
        <v>#VALUE!</v>
      </c>
      <c r="AT17" s="581" t="e">
        <f ca="1">IF(庫存管理[[#This Row],[商品代號]]="XFM90",0,ROUND(AS17*W17/100,2))</f>
        <v>#VALUE!</v>
      </c>
      <c r="AU17" s="582">
        <f ca="1">IF(MF=2,IFERROR(庫存管理[[#This Row],[累計配息]]/庫存管理[[#This Row],[持有成本(不含前手息)]],0),IFERROR(庫存管理[[#This Row],[已實現配息(原幣)]]/庫存管理[[#This Row],[持有成本(含前手息)]],0))</f>
        <v>0</v>
      </c>
      <c r="AV17" s="583" t="e">
        <f ca="1">IF(MF=2,庫存管理[[#This Row],[資本利損]]+庫存管理[[#This Row],[累計配息]],庫存管理[[#This Row],[資本利損]]+庫存管理[[#This Row],[已實現配息(原幣)]])</f>
        <v>#VALUE!</v>
      </c>
      <c r="AW17" s="584">
        <f ca="1">IF(庫存管理[[#This Row],[檢測]]=TRUE,IF(MF=2,IFERROR(庫存管理[[#This Row],[合計收益]]/庫存管理[[#This Row],[持有成本(不含前手息)]],0),IFERROR(庫存管理[[#This Row],[合計收益]]/庫存管理[[#This Row],[持有成本(含前手息)]],0)),0)</f>
        <v>0</v>
      </c>
      <c r="AX17" s="434" t="e">
        <f t="shared" ca="1" si="12"/>
        <v>#VALUE!</v>
      </c>
      <c r="AY17" s="434" t="e">
        <f t="shared" ca="1" si="3"/>
        <v>#VALUE!</v>
      </c>
      <c r="AZ17" s="434">
        <f t="shared" ca="1" si="4"/>
        <v>0</v>
      </c>
      <c r="BA17" s="434">
        <f t="shared" ca="1" si="5"/>
        <v>0</v>
      </c>
      <c r="BB17" s="441" t="e">
        <f ca="1">IF(AND(庫存管理[[#This Row],[名稱]]="美國國庫債券",DAY(庫存管理[[#This Row],[買進前一配息日(初算)]])&gt;=28),EOMONTH(庫存管理[[#This Row],[買進前一配息日(初算)]],0),庫存管理[[#This Row],[買進前一配息日(初算)]])</f>
        <v>#N/A</v>
      </c>
      <c r="BC17" s="441" t="e">
        <f t="shared" ca="1" si="6"/>
        <v>#N/A</v>
      </c>
      <c r="BD17" s="444" t="e">
        <f t="shared" ca="1" si="7"/>
        <v>#N/A</v>
      </c>
      <c r="BE17" s="441" t="e">
        <f ca="1">IF(Q17&gt;0,IF(MONTH(DATE(BD17,AX17,DAY(R17)))&lt;&gt;庫存管理[[#This Row],[第一個配息月]],DATE(BD17,AX17+1,0),DATE(BD17,AX17,DAY(R17))),庫存管理[[#This Row],[買進例外調整]]+100)</f>
        <v>#N/A</v>
      </c>
      <c r="BF17" s="441" t="e">
        <f ca="1">IF(AY17&lt;&gt;0,IF(MONTH(DATE(BD17,AY17,DAY(R17)))&lt;&gt;庫存管理[[#This Row],[第二個配息月]],DATE(BD17,AY17+1,0),DATE(BD17,AY17,DAY(R17))),庫存管理[[#This Row],[買進例外調整]]+100)</f>
        <v>#VALUE!</v>
      </c>
      <c r="BG17" s="441" t="e">
        <f ca="1">IF(AZ17&lt;&gt;0,IF(MONTH(DATE(BD17,AZ17,DAY(R17)))&lt;&gt;庫存管理[[#This Row],[第三個配息月]],DATE(BD17,AZ17+1,0),DATE(BD17,AZ17,DAY(R17))),庫存管理[[#This Row],[買進例外調整]]+100)</f>
        <v>#N/A</v>
      </c>
      <c r="BH17" s="441" t="e">
        <f ca="1">IF(BA17&lt;&gt;0,IF(MONTH(DATE(BD17,BA17,DAY(R17)))&lt;&gt;庫存管理[[#This Row],[第四個配息月]],DATE(BD17,BA17+1,0),DATE(BD17,BA17,DAY(R17))),庫存管理[[#This Row],[買進例外調整]]+100)</f>
        <v>#N/A</v>
      </c>
      <c r="BI17" s="441" t="e">
        <f ca="1">IF(Q17=1,IF(MONTH(DATE(BD17-1,AX17,DAY(R17)))&lt;&gt;庫存管理[[#This Row],[第一個配息月]],DATE(BD17-1,AX17+1,0),DATE(BD17-1,AX17,DAY(R17))),IF(Q17=2,IF(MONTH(DATE(BD17-1,AY17,DAY(R17)))&lt;&gt;庫存管理[[#This Row],[第二個配息月]],DATE(BD17-1,AY17+1,0),DATE(BD17-1,AY17,DAY(R17))),IF(Q17=4,IF(MONTH(DATE(BD17-1,BA17,DAY(R17)))&lt;&gt;庫存管理[[#This Row],[第四個配息月]],DATE(BD17-1,BA17+1,0),DATE(BD17-1,BA17,DAY(R17))),庫存管理[[#This Row],[買進例外調整]]+100)))</f>
        <v>#N/A</v>
      </c>
      <c r="BJ17" s="445">
        <f t="shared" ca="1" si="8"/>
        <v>10000</v>
      </c>
      <c r="BK17" s="445">
        <f t="shared" ca="1" si="8"/>
        <v>10000</v>
      </c>
      <c r="BL17" s="445">
        <f t="shared" ca="1" si="8"/>
        <v>10000</v>
      </c>
      <c r="BM17" s="445">
        <f t="shared" ca="1" si="8"/>
        <v>10000</v>
      </c>
      <c r="BN17" s="455">
        <f t="shared" ca="1" si="8"/>
        <v>10000</v>
      </c>
      <c r="BO17" s="479" t="e">
        <f ca="1">庫存管理[[#This Row],[年度配息]]/庫存管理[[#This Row],[配息頻率]]</f>
        <v>#VALUE!</v>
      </c>
      <c r="BP17" s="479" t="e">
        <f ca="1">庫存管理[[#This Row],[單次配息(原幣)]]*庫存管理[[#This Row],[換算匯率(現)]]</f>
        <v>#VALUE!</v>
      </c>
      <c r="BQ17" s="479" t="str">
        <f ca="1">IF(庫存管理[[#This Row],[商品代號]]&lt;&gt;"",IFERROR(VLOOKUP($I17,'銀行-TSS'!B:C,2,FALSE),""),"")</f>
        <v/>
      </c>
      <c r="BR17" s="479" t="e">
        <f ca="1">VLOOKUP(庫存管理[[#This Row],[幣別]],$B$37:$C$43,2,FALSE)</f>
        <v>#N/A</v>
      </c>
      <c r="BS17" s="500" t="e">
        <f ca="1">CHOOSE(庫存管理[[#This Row],[對應編碼]],$D$37,$D$38,$D$39,$D$40,$D$41,$D$42,$D$43)</f>
        <v>#N/A</v>
      </c>
      <c r="BT17" s="500">
        <f ca="1">IF(庫存管理[[#This Row],[商品代號]]="",0,CHOOSE(庫存管理[[#This Row],[對應編碼]],$E$37,$E$38,$E$39,$E$40,$E$41,$E$42,$E$43))</f>
        <v>0</v>
      </c>
      <c r="BU17" s="1555">
        <f ca="1">IF(庫存管理[[#This Row],[檢測]]=TRUE,庫存管理[[#This Row],[投入面額]]*庫存管理[[#This Row],[換算匯率(現)]],0)</f>
        <v>0</v>
      </c>
      <c r="BV17" s="1555">
        <f ca="1">IF(庫存管理[[#This Row],[檢測]]=TRUE,IFERROR(庫存管理[[#This Row],[持有成本(含前手息)]]*庫存管理[[#This Row],[換算匯率(買)]],0),0)</f>
        <v>0</v>
      </c>
      <c r="BW17" s="1555">
        <f ca="1">IF(庫存管理[[#This Row],[檢測]]=TRUE,庫存管理[[#This Row],[持有成本(不含前手息)]]*庫存管理[[#This Row],[換算匯率(買)]],0)</f>
        <v>0</v>
      </c>
      <c r="BX17" s="1555">
        <f ca="1">IF(庫存管理[[#This Row],[檢測]]=TRUE,庫存管理[[#This Row],[部位現值(含前手息)]]*庫存管理[[#This Row],[換算匯率(現)]],0)</f>
        <v>0</v>
      </c>
      <c r="BY17" s="1555">
        <f ca="1">IF(庫存管理[[#This Row],[檢測]]=TRUE,庫存管理[[#This Row],[部位現值(不含前手息)]]*庫存管理[[#This Row],[換算匯率(現)]],0)</f>
        <v>0</v>
      </c>
      <c r="BZ17" s="1555">
        <f ca="1">IF(庫存管理[[#This Row],[檢測]]=TRUE,IF(MF=2,庫存管理[[#This Row],[累計配息]]*庫存管理[[#This Row],[換算匯率(現)]],庫存管理[[#This Row],[已實現配息(原幣)]]*庫存管理[[#This Row],[換算匯率(現)]]),0)</f>
        <v>0</v>
      </c>
      <c r="CA17" s="1555" t="e">
        <f ca="1">庫存管理[[#This Row],[資本利損]]*庫存管理[[#This Row],[換算匯率(現)]]</f>
        <v>#VALUE!</v>
      </c>
      <c r="CB17" s="1555" t="e">
        <f ca="1">庫存管理[[#This Row],[累計利息(台)]]+庫存管理[[#This Row],[資本貢獻(台)]]</f>
        <v>#VALUE!</v>
      </c>
      <c r="CC17" s="574">
        <f ca="1">IF(庫存管理[[#This Row],[檢測]]=TRUE,IFERROR(庫存管理[[#This Row],[配息報酬]],0),0)</f>
        <v>0</v>
      </c>
      <c r="CD17" s="574">
        <f ca="1">IF(庫存管理[[#This Row],[檢測]]=TRUE,庫存管理[[#This Row],[資本報酬]],0)</f>
        <v>0</v>
      </c>
      <c r="CE17" s="574">
        <f ca="1">IF(S17=TRUE,IFERROR(庫存管理[[#This Row],[換匯總報酬率]]-(庫存管理[[#This Row],[配息報酬率]]+庫存管理[[#This Row],[資本報酬率]]),0),0)</f>
        <v>0</v>
      </c>
      <c r="CF17"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7" s="585">
        <f ca="1">IF(AND(庫存管理[[#This Row],[檢測]]=TRUE,開關=TRUE),IF(MF=2,IFERROR(BW17/$BW$1,0),IFERROR(BV17/$BV$1,0)),0)</f>
        <v>0</v>
      </c>
      <c r="CH17" s="574">
        <f ca="1">IF(庫存管理[[#This Row],[檢測]]=TRUE,IF(MF=2,IFERROR(BY17/$BY$1,0),IFERROR(BX17/$BX$1,0)),0)</f>
        <v>0</v>
      </c>
      <c r="CI17"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7" s="646" t="e">
        <f ca="1">DATEDIF(庫存管理[[#This Row],[買進例外調整]],庫存管理[[#This Row],[到期日]],"d")/365.25</f>
        <v>#N/A</v>
      </c>
      <c r="CK17" s="734" t="e">
        <f ca="1">DATEVALUE(VLOOKUP(庫存管理[[#This Row],[商品代號]],bond!B:AF,31,FALSE))</f>
        <v>#N/A</v>
      </c>
      <c r="CL17" s="734" t="e">
        <f ca="1">IF(庫存管理[[#This Row],[買下配(國調)]]&lt;庫存管理[[#This Row],[第一票息日]],庫存管理[[#This Row],[第一票息日]],庫存管理[[#This Row],[買下配(國調)]])</f>
        <v>#N/A</v>
      </c>
      <c r="CM17"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7"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7" s="735">
        <f ca="1">IF(庫存管理[[#This Row],[商品代號]]="XFM90",0,IFERROR(庫存管理[[#This Row],[單次配息(原幣)]]*庫存管理[[#This Row],[經過幾次配息]],0))</f>
        <v>0</v>
      </c>
      <c r="CP17" s="735" t="e">
        <f ca="1">VLOOKUP(庫存管理[[#This Row],[商品代號]],bond!B:F,5,FALSE)</f>
        <v>#N/A</v>
      </c>
      <c r="CQ17" s="734" t="str">
        <f ca="1">IFERROR(VLOOKUP(庫存管理[[#This Row],[ISIN]],'7_發行日例外'!A:C,3,FALSE),IFERROR(DATEVALUE(VLOOKUP(庫存管理[[#This Row],[商品代號]],bond!B:AR,43,FALSE)),""))</f>
        <v/>
      </c>
      <c r="CR17" s="735" t="e">
        <f ca="1">DATEDIF(庫存管理[[#This Row],[起息日]],庫存管理[[#This Row],[買進前一配息日(複算)]],"d")</f>
        <v>#VALUE!</v>
      </c>
      <c r="CS17"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7" s="734" t="e">
        <f ca="1">IFERROR(VLOOKUP(庫存管理[[#This Row],[ISIN]],'7_發行日例外'!A:D,4,FALSE),DATEVALUE(VLOOKUP(庫存管理[[#This Row],[商品代號]],bond!B:AV,44,FALSE)))</f>
        <v>#N/A</v>
      </c>
      <c r="CU17" s="735" t="e">
        <f ca="1">VLOOKUP(庫存管理[[#This Row],[商品代號]],bond!B:AU,46,FALSE)</f>
        <v>#N/A</v>
      </c>
      <c r="CV17" s="735" t="e">
        <f ca="1">IF(庫存管理[[#This Row],[計息基礎]]=1,CHOOSE(庫存管理[[#This Row],[對應編碼]],"沒進位","","沒進位",IF(庫存管理[[#This Row],[計算類型]]="AUSTRALIA:EX-DIV","4捨五入進0.01%","沒進位"),"年/2去計算ACT","沒進位","沒進位"),"")</f>
        <v>#N/A</v>
      </c>
      <c r="CW17" s="735" t="e">
        <f ca="1">_xlfn.DAYS(庫存管理[[#This Row],[買進例外調整]],庫存管理[[#This Row],[買進前一個配息日(最終)]])</f>
        <v>#N/A</v>
      </c>
      <c r="CX17" s="735" t="e">
        <f ca="1">IF(庫存管理[[#This Row],[備註]]="年/2去計算ACT",365/2,_xlfn.DAYS(庫存管理[[#This Row],[買進時的下個配息日]],庫存管理[[#This Row],[買進前一個配息日(最終)]]))</f>
        <v>#N/A</v>
      </c>
      <c r="CY17"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7" s="767" t="e">
        <f ca="1">_xlfn.DAYS(庫存管理[[#This Row],[交割日]],庫存管理[[#This Row],[買進前一個配息日(最終)]])</f>
        <v>#N/A</v>
      </c>
      <c r="DA17"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7" s="767" t="e">
        <f ca="1">_xlfn.DAYS(庫存管理[[#This Row],[交割日]],庫存管理[[#This Row],[最近的上一票息日]])</f>
        <v>#N/A</v>
      </c>
      <c r="DC17" s="767" t="e">
        <f ca="1">IF(庫存管理[[#This Row],[備註]]="年/2去計算ACT",365/2,_xlfn.DAYS(庫存管理[[#This Row],[下一配息日]],庫存管理[[#This Row],[最近的上一票息日]]))</f>
        <v>#N/A</v>
      </c>
      <c r="DD17"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7" s="739" t="e">
        <f ca="1">CL17-庫存管理[[#This Row],[ex_div_days]]</f>
        <v>#N/A</v>
      </c>
      <c r="DF17" s="646" t="e">
        <f ca="1">IF(VLOOKUP(庫存管理[[#This Row],[商品代號]],bond!B:AT,45,FALSE)="#N/A Field Not Applicable",0,VLOOKUP(庫存管理[[#This Row],[商品代號]],bond!B:AT,45,FALSE))</f>
        <v>#N/A</v>
      </c>
      <c r="DG17" s="793" t="e">
        <f ca="1">IF(庫存管理[[#This Row],[ex_div_days]]&lt;&gt;0,IF(AND(庫存管理[[#This Row],[買進例外調整]]-庫存管理[[#This Row],[買進下一個配息日先減n天]]&gt;=0,庫存管理[[#This Row],[買進時的下個配息日]]-庫存管理[[#This Row],[買進例外調整]]&gt;0),1,0),0)</f>
        <v>#N/A</v>
      </c>
      <c r="DH17"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7" s="734" t="e">
        <f ca="1">庫存管理[[#This Row],[下一配息日]]-庫存管理[[#This Row],[ex_div_days]]</f>
        <v>#VALUE!</v>
      </c>
      <c r="DJ17" s="1081" t="e">
        <f ca="1">IF(庫存管理[[#This Row],[ex_div_days]]&lt;&gt;0,IF(AND(庫存管理[[#This Row],[交割日]]-庫存管理[[#This Row],[交割下個配息日先減n天]]&gt;=0,庫存管理[[#This Row],[下一配息日]]-庫存管理[[#This Row],[交割日]]&gt;0),1,0),0)</f>
        <v>#N/A</v>
      </c>
      <c r="DK17"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7" s="735">
        <f ca="1">IFERROR(VLOOKUP(庫存管理[[#This Row],[商品代號]],bond!B:X,21,FALSE),0)</f>
        <v>0</v>
      </c>
      <c r="DM17" s="735">
        <f ca="1">IFERROR(VLOOKUP(I17,bond!B:J,9,FALSE),0)</f>
        <v>0</v>
      </c>
      <c r="DN17" s="1188">
        <f ca="1">IF(AND(開關=TRUE,庫存管理[[#This Row],[投組檢測]]=TRUE),IF(MF=2,IFERROR(BW17/$BW$3,0),IFERROR(BV17/$BV$3,0)),0)</f>
        <v>0</v>
      </c>
      <c r="DO17" s="735">
        <f ca="1">IFERROR(庫存管理[[#This Row],[clean申購價]]/100*庫存管理[[#This Row],[投入面額]]*庫存管理[[#This Row],[MOD]]*0.01,0)</f>
        <v>0</v>
      </c>
      <c r="DP17" s="1298" t="e">
        <f ca="1">IF($C$16=1,庫存管理[[#This Row],[單次配息(台幣)]],庫存管理[[#This Row],[單次配息(原幣)]])</f>
        <v>#VALUE!</v>
      </c>
      <c r="DQ17"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7"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7"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7"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7"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7"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7"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7"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7"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7"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7"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7"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7" s="33"/>
      <c r="ED17" s="33"/>
      <c r="EE17" s="33"/>
      <c r="EF17" s="33"/>
      <c r="EG17" s="33"/>
      <c r="EH17" s="33"/>
      <c r="EI17" s="33"/>
      <c r="EJ17" s="33"/>
      <c r="EK17" s="33"/>
      <c r="EL17" s="33"/>
      <c r="EM17" s="33"/>
      <c r="EN17" s="33"/>
      <c r="EO17" s="33"/>
      <c r="EP17" s="33"/>
      <c r="EQ17" s="33"/>
      <c r="ER17" s="33"/>
      <c r="ES17" s="33"/>
      <c r="ET17" s="33"/>
      <c r="EU17" s="33"/>
      <c r="EV17" s="33"/>
      <c r="EW17" s="33"/>
      <c r="EX17" s="33"/>
      <c r="EY17" s="33"/>
      <c r="EZ17" s="33"/>
      <c r="FA17" s="33"/>
      <c r="FB17" s="33"/>
      <c r="FC17" s="33"/>
      <c r="FD17" s="33"/>
      <c r="FE17" s="33"/>
      <c r="FF17" s="33"/>
      <c r="FG17" s="33"/>
      <c r="FH17" s="33"/>
      <c r="FI17" s="33"/>
      <c r="FJ17" s="33"/>
      <c r="FK17" s="33"/>
      <c r="FL17" s="33"/>
      <c r="FM17" s="33"/>
      <c r="FN17" s="33"/>
      <c r="FO17" s="33"/>
      <c r="FP17" s="33"/>
      <c r="FQ17" s="33"/>
      <c r="FR17" s="33"/>
      <c r="FS17" s="33"/>
      <c r="FT17" s="33"/>
      <c r="FU17" s="33"/>
      <c r="FV17" s="33"/>
      <c r="FW17" s="33"/>
      <c r="FX17" s="33"/>
      <c r="FY17" s="33"/>
      <c r="FZ17" s="33"/>
      <c r="GA17" s="33"/>
      <c r="GB17" s="33"/>
      <c r="GC17" s="33"/>
      <c r="GD17" s="33"/>
      <c r="GE17" s="33"/>
      <c r="GF17" s="33"/>
      <c r="GG17" s="33"/>
      <c r="GH17" s="33"/>
      <c r="GI17" s="33"/>
      <c r="GJ17" s="33"/>
      <c r="GK17" s="33"/>
      <c r="GL17" s="33"/>
      <c r="GM17" s="33"/>
      <c r="GN17" s="33"/>
      <c r="GO17" s="33"/>
      <c r="GP17" s="33"/>
      <c r="GQ17" s="33"/>
      <c r="GR17" s="33"/>
      <c r="GS17" s="33"/>
      <c r="GT17" s="33"/>
      <c r="GU17" s="33"/>
      <c r="GV17" s="33"/>
      <c r="GW17" s="33"/>
      <c r="GX17" s="33"/>
      <c r="GY17" s="33"/>
      <c r="GZ17" s="33"/>
      <c r="HA17" s="33"/>
      <c r="HB17" s="33"/>
      <c r="HC17" s="33"/>
      <c r="HD17" s="33"/>
      <c r="HE17" s="33"/>
      <c r="HF17" s="33"/>
      <c r="HG17" s="33"/>
      <c r="HH17" s="33"/>
      <c r="HI17" s="33"/>
      <c r="HJ17" s="33"/>
      <c r="HK17" s="33"/>
      <c r="HL17" s="33"/>
      <c r="HM17" s="33"/>
      <c r="HN17" s="33"/>
      <c r="HO17" s="33"/>
      <c r="HP17" s="33"/>
      <c r="HQ17" s="33"/>
      <c r="HR17" s="33"/>
      <c r="HS17" s="33"/>
      <c r="HT17" s="33"/>
      <c r="HU17" s="33"/>
    </row>
    <row r="18" spans="2:229" ht="19.5" customHeight="1">
      <c r="B18" s="353" t="s">
        <v>28</v>
      </c>
      <c r="C18" s="354" t="s">
        <v>14</v>
      </c>
      <c r="D18" s="354" t="s">
        <v>29</v>
      </c>
      <c r="E18" s="588" t="s">
        <v>4452</v>
      </c>
      <c r="F18" s="1293"/>
      <c r="G18" s="459">
        <v>12</v>
      </c>
      <c r="H18" s="1166" t="b">
        <f ca="1">IFERROR(IF(VLOOKUP(G18,換券投組!$AH$8:$AH$13,1,FALSE)&gt;0,TRUE,FALSE),FALSE)</f>
        <v>0</v>
      </c>
      <c r="I18" s="1693" t="str">
        <f ca="1">IF(開關=TRUE,'商品代碼-中繼頁'!R13,"")</f>
        <v/>
      </c>
      <c r="J18" s="429">
        <f ca="1">IFERROR(VLOOKUP(I18,bond!B:I,8,FALSE),0)</f>
        <v>0</v>
      </c>
      <c r="K18" s="429">
        <f ca="1">IFERROR(庫存管理[[#This Row],[買價]]+VLOOKUP(庫存管理[[#This Row],[商品代號]],bond!B:K,10,FALSE),0)</f>
        <v>0</v>
      </c>
      <c r="L18" s="430" t="e">
        <f ca="1">VLOOKUP(I18,'銀行-TSS'!B:E,4,FALSE)</f>
        <v>#N/A</v>
      </c>
      <c r="M18" s="431">
        <f ca="1">IFERROR(VLOOKUP($I18,'銀行-TSS'!B:G,6,FALSE),0)</f>
        <v>0</v>
      </c>
      <c r="N18" s="432" t="e">
        <f ca="1">IFERROR(DATEVALUE(VLOOKUP($I18,'銀行-TSS'!B:F,5,FALSE)),VLOOKUP($I18,'銀行-TSS'!B:F,5,FALSE))</f>
        <v>#N/A</v>
      </c>
      <c r="O18" s="433">
        <f ca="1">IFERROR(VLOOKUP($I18,'銀行-TSS'!B:H,7,FALSE),0)</f>
        <v>0</v>
      </c>
      <c r="P18" s="433" t="e">
        <f ca="1">庫存管理[[#This Row],[票面利率]]/庫存管理[[#This Row],[成本價(不含前手息)]]*100</f>
        <v>#VALUE!</v>
      </c>
      <c r="Q18" s="434" t="str">
        <f ca="1">IFERROR(VLOOKUP($I18,'銀行-TSS'!B:I,8,FALSE),"")</f>
        <v/>
      </c>
      <c r="R18" s="440" t="str">
        <f ca="1">_xlfn.IFNA(IFERROR(DATEVALUE(VLOOKUP($I18,'銀行-TSS'!B:P,15,FALSE)),VLOOKUP($I18,'銀行-TSS'!B:P,15,FALSE)),"")</f>
        <v/>
      </c>
      <c r="S18" s="570" t="b">
        <f ca="1">IF(AND(庫存管理[[#This Row],[配息頻率]]&lt;&gt;"",庫存管理[[#This Row],[持有成本(不含前手息)]]&lt;&gt;0,庫存管理[[#This Row],[買進日]]&lt;&gt;""),TRUE,FALSE)</f>
        <v>0</v>
      </c>
      <c r="T18" s="602" t="str">
        <f>IFERROR(DATE(LEFT('商品代碼-中繼頁'!S13,4),MID('商品代碼-中繼頁'!S13,5,2),RIGHT('商品代碼-中繼頁'!S13,2)),"")</f>
        <v/>
      </c>
      <c r="U18"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8" s="442" t="e">
        <f ca="1">IFERROR(WORKDAY(庫存管理[[#This Row],[買進日]],VLOOKUP(庫存管理[[#This Row],[商品代號]],'1_重設數據'!R:S,2,FALSE),休USD),庫存管理[[#This Row],[買進日(T+2/公債T+1)]])</f>
        <v>#N/A</v>
      </c>
      <c r="W18" s="43" t="str">
        <f>'商品代碼-中繼頁'!T13</f>
        <v/>
      </c>
      <c r="X18" s="43" t="str">
        <f>'商品代碼-中繼頁'!U13</f>
        <v/>
      </c>
      <c r="Y18" s="464">
        <f t="shared" ca="1" si="9"/>
        <v>0</v>
      </c>
      <c r="Z18" s="464" t="e">
        <f t="shared" ca="1" si="13"/>
        <v>#VALUE!</v>
      </c>
      <c r="AA18" s="465" t="e">
        <f t="shared" ca="1" si="10"/>
        <v>#VALUE!</v>
      </c>
      <c r="AB18" s="474" t="e">
        <f ca="1">IF(MF=2,庫存管理[[#This Row],[部位現值(不含前手息)]]-庫存管理[[#This Row],[持有成本(不含前手息)]],庫存管理[[#This Row],[部位現值(含前手息)]]-庫存管理[[#This Row],[持有成本(含前手息)]])</f>
        <v>#VALUE!</v>
      </c>
      <c r="AC18" s="462">
        <f ca="1">IF(庫存管理[[#This Row],[檢測]]=TRUE,IF(MF=2,IFERROR(庫存管理[[#This Row],[資本利損]]/庫存管理[[#This Row],[持有成本(不含前手息)]],0),IFERROR(庫存管理[[#This Row],[資本利損]]/庫存管理[[#This Row],[持有成本(含前手息)]],0)),0)</f>
        <v>0</v>
      </c>
      <c r="AD18" s="618" t="e">
        <f ca="1">庫存管理[[#This Row],[持有成本(不含前手息)]]/庫存管理[[#This Row],[投入面額]]*100</f>
        <v>#VALUE!</v>
      </c>
      <c r="AE18" s="462" t="str">
        <f ca="1">IFERROR(VLOOKUP(庫存管理[[#This Row],[商品代號]],bond!B:AA,26,FALSE),"")</f>
        <v/>
      </c>
      <c r="AF18" s="1" t="str">
        <f ca="1">IFERROR(VLOOKUP($I18,'銀行-TSS'!B:Q,16,FALSE),"")</f>
        <v/>
      </c>
      <c r="AG18" s="466">
        <f t="shared" ca="1" si="1"/>
        <v>0</v>
      </c>
      <c r="AH18" s="458" t="e">
        <f ca="1">IF(OR(庫存管理[[#This Row],[起息日]]&gt;庫存管理[[#This Row],[買進前一配息日(複算)]],庫存管理[[#This Row],[判斷]]=TRUE),庫存管理[[#This Row],[起息日]],庫存管理[[#This Row],[買進前一配息日(複算)]])</f>
        <v>#N/A</v>
      </c>
      <c r="AI18" s="577" t="e">
        <f ca="1">VLOOKUP(I18,bond!B:AP,41,FALSE)</f>
        <v>#N/A</v>
      </c>
      <c r="AJ18" s="578" t="e">
        <f t="shared" ca="1" si="2"/>
        <v>#N/A</v>
      </c>
      <c r="AK18" s="579">
        <f ca="1">IFERROR(IF(庫存管理[[#This Row],[買進日是否落入record date]]=1,庫存管理[[#This Row],[record date制度前手息]],庫存管理[[#This Row],[計算前手息(初算)]]),0)</f>
        <v>0</v>
      </c>
      <c r="AL18" s="579" t="e">
        <f ca="1">IF(OR(庫存管理[[#This Row],[買進例外調整]]&lt;庫存管理[[#This Row],[起息日]],庫存管理[[#This Row],[買進例外調整]]&gt;庫存管理[[#This Row],[到期日]]),0,IF(庫存管理[[#This Row],[備註]]&lt;&gt;"",庫存管理[[#This Row],[買進時前手息]],IFERROR(ROUND(ACCRINT(AH18,AH18,V18,O18,100,Q18,AJ18,TRUE),4),0)))</f>
        <v>#N/A</v>
      </c>
      <c r="AM18" s="580" t="e">
        <f t="shared" ca="1" si="11"/>
        <v>#VALUE!</v>
      </c>
      <c r="AN18" s="440" t="e">
        <f ca="1">IFERROR(DATEVALUE(VLOOKUP(I18,bond!B:I,7,FALSE)),VLOOKUP(I18,bond!B:I,7,FALSE))</f>
        <v>#N/A</v>
      </c>
      <c r="AO18"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8" s="1075">
        <f ca="1">IFERROR(IF(庫存管理[[#This Row],[交割日是否落入record date]]=1,庫存管理[[#This Row],[交_record date制度前手息]],庫存管理[[#This Row],[計算交割前手息(初算)]]),0)</f>
        <v>0</v>
      </c>
      <c r="AQ18"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8" s="1063" t="e">
        <f ca="1">ROUND(庫存管理[[#This Row],[計算交割前手息(複算)]]*庫存管理[[#This Row],[投入面額]]/100,2)</f>
        <v>#VALUE!</v>
      </c>
      <c r="AS18" s="1064" t="e">
        <f ca="1">IF(庫存管理[[#This Row],[配息頻率]]=0,0,(100*庫存管理[[#This Row],[票面利率]]/庫存管理[[#This Row],[配息頻率]])*庫存管理[[#This Row],[經過幾次配息]]+庫存管理[[#This Row],[計算交割前手息(複算)]]-庫存管理[[#This Row],[計算前手息(複算)]])</f>
        <v>#VALUE!</v>
      </c>
      <c r="AT18" s="581" t="e">
        <f ca="1">IF(庫存管理[[#This Row],[商品代號]]="XFM90",0,ROUND(AS18*W18/100,2))</f>
        <v>#VALUE!</v>
      </c>
      <c r="AU18" s="582">
        <f ca="1">IF(MF=2,IFERROR(庫存管理[[#This Row],[累計配息]]/庫存管理[[#This Row],[持有成本(不含前手息)]],0),IFERROR(庫存管理[[#This Row],[已實現配息(原幣)]]/庫存管理[[#This Row],[持有成本(含前手息)]],0))</f>
        <v>0</v>
      </c>
      <c r="AV18" s="583" t="e">
        <f ca="1">IF(MF=2,庫存管理[[#This Row],[資本利損]]+庫存管理[[#This Row],[累計配息]],庫存管理[[#This Row],[資本利損]]+庫存管理[[#This Row],[已實現配息(原幣)]])</f>
        <v>#VALUE!</v>
      </c>
      <c r="AW18" s="584">
        <f ca="1">IF(庫存管理[[#This Row],[檢測]]=TRUE,IF(MF=2,IFERROR(庫存管理[[#This Row],[合計收益]]/庫存管理[[#This Row],[持有成本(不含前手息)]],0),IFERROR(庫存管理[[#This Row],[合計收益]]/庫存管理[[#This Row],[持有成本(含前手息)]],0)),0)</f>
        <v>0</v>
      </c>
      <c r="AX18" s="434" t="e">
        <f t="shared" ca="1" si="12"/>
        <v>#VALUE!</v>
      </c>
      <c r="AY18" s="434" t="e">
        <f t="shared" ca="1" si="3"/>
        <v>#VALUE!</v>
      </c>
      <c r="AZ18" s="434">
        <f t="shared" ca="1" si="4"/>
        <v>0</v>
      </c>
      <c r="BA18" s="434">
        <f t="shared" ca="1" si="5"/>
        <v>0</v>
      </c>
      <c r="BB18" s="441" t="e">
        <f ca="1">IF(AND(庫存管理[[#This Row],[名稱]]="美國國庫債券",DAY(庫存管理[[#This Row],[買進前一配息日(初算)]])&gt;=28),EOMONTH(庫存管理[[#This Row],[買進前一配息日(初算)]],0),庫存管理[[#This Row],[買進前一配息日(初算)]])</f>
        <v>#N/A</v>
      </c>
      <c r="BC18" s="441" t="e">
        <f t="shared" ca="1" si="6"/>
        <v>#N/A</v>
      </c>
      <c r="BD18" s="444" t="e">
        <f t="shared" ca="1" si="7"/>
        <v>#N/A</v>
      </c>
      <c r="BE18" s="441" t="e">
        <f ca="1">IF(Q18&gt;0,IF(MONTH(DATE(BD18,AX18,DAY(R18)))&lt;&gt;庫存管理[[#This Row],[第一個配息月]],DATE(BD18,AX18+1,0),DATE(BD18,AX18,DAY(R18))),庫存管理[[#This Row],[買進例外調整]]+100)</f>
        <v>#N/A</v>
      </c>
      <c r="BF18" s="441" t="e">
        <f ca="1">IF(AY18&lt;&gt;0,IF(MONTH(DATE(BD18,AY18,DAY(R18)))&lt;&gt;庫存管理[[#This Row],[第二個配息月]],DATE(BD18,AY18+1,0),DATE(BD18,AY18,DAY(R18))),庫存管理[[#This Row],[買進例外調整]]+100)</f>
        <v>#VALUE!</v>
      </c>
      <c r="BG18" s="441" t="e">
        <f ca="1">IF(AZ18&lt;&gt;0,IF(MONTH(DATE(BD18,AZ18,DAY(R18)))&lt;&gt;庫存管理[[#This Row],[第三個配息月]],DATE(BD18,AZ18+1,0),DATE(BD18,AZ18,DAY(R18))),庫存管理[[#This Row],[買進例外調整]]+100)</f>
        <v>#N/A</v>
      </c>
      <c r="BH18" s="441" t="e">
        <f ca="1">IF(BA18&lt;&gt;0,IF(MONTH(DATE(BD18,BA18,DAY(R18)))&lt;&gt;庫存管理[[#This Row],[第四個配息月]],DATE(BD18,BA18+1,0),DATE(BD18,BA18,DAY(R18))),庫存管理[[#This Row],[買進例外調整]]+100)</f>
        <v>#N/A</v>
      </c>
      <c r="BI18" s="441" t="e">
        <f ca="1">IF(Q18=1,IF(MONTH(DATE(BD18-1,AX18,DAY(R18)))&lt;&gt;庫存管理[[#This Row],[第一個配息月]],DATE(BD18-1,AX18+1,0),DATE(BD18-1,AX18,DAY(R18))),IF(Q18=2,IF(MONTH(DATE(BD18-1,AY18,DAY(R18)))&lt;&gt;庫存管理[[#This Row],[第二個配息月]],DATE(BD18-1,AY18+1,0),DATE(BD18-1,AY18,DAY(R18))),IF(Q18=4,IF(MONTH(DATE(BD18-1,BA18,DAY(R18)))&lt;&gt;庫存管理[[#This Row],[第四個配息月]],DATE(BD18-1,BA18+1,0),DATE(BD18-1,BA18,DAY(R18))),庫存管理[[#This Row],[買進例外調整]]+100)))</f>
        <v>#N/A</v>
      </c>
      <c r="BJ18" s="445">
        <f t="shared" ca="1" si="8"/>
        <v>10000</v>
      </c>
      <c r="BK18" s="445">
        <f t="shared" ca="1" si="8"/>
        <v>10000</v>
      </c>
      <c r="BL18" s="445">
        <f t="shared" ca="1" si="8"/>
        <v>10000</v>
      </c>
      <c r="BM18" s="445">
        <f t="shared" ca="1" si="8"/>
        <v>10000</v>
      </c>
      <c r="BN18" s="455">
        <f t="shared" ca="1" si="8"/>
        <v>10000</v>
      </c>
      <c r="BO18" s="479" t="e">
        <f ca="1">庫存管理[[#This Row],[年度配息]]/庫存管理[[#This Row],[配息頻率]]</f>
        <v>#VALUE!</v>
      </c>
      <c r="BP18" s="479" t="e">
        <f ca="1">庫存管理[[#This Row],[單次配息(原幣)]]*庫存管理[[#This Row],[換算匯率(現)]]</f>
        <v>#VALUE!</v>
      </c>
      <c r="BQ18" s="479" t="str">
        <f ca="1">IF(庫存管理[[#This Row],[商品代號]]&lt;&gt;"",IFERROR(VLOOKUP($I18,'銀行-TSS'!B:C,2,FALSE),""),"")</f>
        <v/>
      </c>
      <c r="BR18" s="479" t="e">
        <f ca="1">VLOOKUP(庫存管理[[#This Row],[幣別]],$B$37:$C$43,2,FALSE)</f>
        <v>#N/A</v>
      </c>
      <c r="BS18" s="500" t="e">
        <f ca="1">CHOOSE(庫存管理[[#This Row],[對應編碼]],$D$37,$D$38,$D$39,$D$40,$D$41,$D$42,$D$43)</f>
        <v>#N/A</v>
      </c>
      <c r="BT18" s="500">
        <f ca="1">IF(庫存管理[[#This Row],[商品代號]]="",0,CHOOSE(庫存管理[[#This Row],[對應編碼]],$E$37,$E$38,$E$39,$E$40,$E$41,$E$42,$E$43))</f>
        <v>0</v>
      </c>
      <c r="BU18" s="1555">
        <f ca="1">IF(庫存管理[[#This Row],[檢測]]=TRUE,庫存管理[[#This Row],[投入面額]]*庫存管理[[#This Row],[換算匯率(現)]],0)</f>
        <v>0</v>
      </c>
      <c r="BV18" s="1555">
        <f ca="1">IF(庫存管理[[#This Row],[檢測]]=TRUE,IFERROR(庫存管理[[#This Row],[持有成本(含前手息)]]*庫存管理[[#This Row],[換算匯率(買)]],0),0)</f>
        <v>0</v>
      </c>
      <c r="BW18" s="1555">
        <f ca="1">IF(庫存管理[[#This Row],[檢測]]=TRUE,庫存管理[[#This Row],[持有成本(不含前手息)]]*庫存管理[[#This Row],[換算匯率(買)]],0)</f>
        <v>0</v>
      </c>
      <c r="BX18" s="1555">
        <f ca="1">IF(庫存管理[[#This Row],[檢測]]=TRUE,庫存管理[[#This Row],[部位現值(含前手息)]]*庫存管理[[#This Row],[換算匯率(現)]],0)</f>
        <v>0</v>
      </c>
      <c r="BY18" s="1555">
        <f ca="1">IF(庫存管理[[#This Row],[檢測]]=TRUE,庫存管理[[#This Row],[部位現值(不含前手息)]]*庫存管理[[#This Row],[換算匯率(現)]],0)</f>
        <v>0</v>
      </c>
      <c r="BZ18" s="1555">
        <f ca="1">IF(庫存管理[[#This Row],[檢測]]=TRUE,IF(MF=2,庫存管理[[#This Row],[累計配息]]*庫存管理[[#This Row],[換算匯率(現)]],庫存管理[[#This Row],[已實現配息(原幣)]]*庫存管理[[#This Row],[換算匯率(現)]]),0)</f>
        <v>0</v>
      </c>
      <c r="CA18" s="1555" t="e">
        <f ca="1">庫存管理[[#This Row],[資本利損]]*庫存管理[[#This Row],[換算匯率(現)]]</f>
        <v>#VALUE!</v>
      </c>
      <c r="CB18" s="1555" t="e">
        <f ca="1">庫存管理[[#This Row],[累計利息(台)]]+庫存管理[[#This Row],[資本貢獻(台)]]</f>
        <v>#VALUE!</v>
      </c>
      <c r="CC18" s="574">
        <f ca="1">IF(庫存管理[[#This Row],[檢測]]=TRUE,IFERROR(庫存管理[[#This Row],[配息報酬]],0),0)</f>
        <v>0</v>
      </c>
      <c r="CD18" s="574">
        <f ca="1">IF(庫存管理[[#This Row],[檢測]]=TRUE,庫存管理[[#This Row],[資本報酬]],0)</f>
        <v>0</v>
      </c>
      <c r="CE18" s="574">
        <f ca="1">IF(S18=TRUE,IFERROR(庫存管理[[#This Row],[換匯總報酬率]]-(庫存管理[[#This Row],[配息報酬率]]+庫存管理[[#This Row],[資本報酬率]]),0),0)</f>
        <v>0</v>
      </c>
      <c r="CF18"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8" s="585">
        <f ca="1">IF(AND(庫存管理[[#This Row],[檢測]]=TRUE,開關=TRUE),IF(MF=2,IFERROR(BW18/$BW$1,0),IFERROR(BV18/$BV$1,0)),0)</f>
        <v>0</v>
      </c>
      <c r="CH18" s="574">
        <f ca="1">IF(庫存管理[[#This Row],[檢測]]=TRUE,IF(MF=2,IFERROR(BY18/$BY$1,0),IFERROR(BX18/$BX$1,0)),0)</f>
        <v>0</v>
      </c>
      <c r="CI18"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8" s="646" t="e">
        <f ca="1">DATEDIF(庫存管理[[#This Row],[買進例外調整]],庫存管理[[#This Row],[到期日]],"d")/365.25</f>
        <v>#N/A</v>
      </c>
      <c r="CK18" s="734" t="e">
        <f ca="1">DATEVALUE(VLOOKUP(庫存管理[[#This Row],[商品代號]],bond!B:AF,31,FALSE))</f>
        <v>#N/A</v>
      </c>
      <c r="CL18" s="734" t="e">
        <f ca="1">IF(庫存管理[[#This Row],[買下配(國調)]]&lt;庫存管理[[#This Row],[第一票息日]],庫存管理[[#This Row],[第一票息日]],庫存管理[[#This Row],[買下配(國調)]])</f>
        <v>#N/A</v>
      </c>
      <c r="CM18"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8"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8" s="735">
        <f ca="1">IF(庫存管理[[#This Row],[商品代號]]="XFM90",0,IFERROR(庫存管理[[#This Row],[單次配息(原幣)]]*庫存管理[[#This Row],[經過幾次配息]],0))</f>
        <v>0</v>
      </c>
      <c r="CP18" s="735" t="e">
        <f ca="1">VLOOKUP(庫存管理[[#This Row],[商品代號]],bond!B:F,5,FALSE)</f>
        <v>#N/A</v>
      </c>
      <c r="CQ18" s="734" t="str">
        <f ca="1">IFERROR(VLOOKUP(庫存管理[[#This Row],[ISIN]],'7_發行日例外'!A:C,3,FALSE),IFERROR(DATEVALUE(VLOOKUP(庫存管理[[#This Row],[商品代號]],bond!B:AR,43,FALSE)),""))</f>
        <v/>
      </c>
      <c r="CR18" s="735" t="e">
        <f ca="1">DATEDIF(庫存管理[[#This Row],[起息日]],庫存管理[[#This Row],[買進前一配息日(複算)]],"d")</f>
        <v>#VALUE!</v>
      </c>
      <c r="CS18"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8" s="734" t="e">
        <f ca="1">IFERROR(VLOOKUP(庫存管理[[#This Row],[ISIN]],'7_發行日例外'!A:D,4,FALSE),DATEVALUE(VLOOKUP(庫存管理[[#This Row],[商品代號]],bond!B:AV,44,FALSE)))</f>
        <v>#N/A</v>
      </c>
      <c r="CU18" s="735" t="e">
        <f ca="1">VLOOKUP(庫存管理[[#This Row],[商品代號]],bond!B:AU,46,FALSE)</f>
        <v>#N/A</v>
      </c>
      <c r="CV18" s="735" t="e">
        <f ca="1">IF(庫存管理[[#This Row],[計息基礎]]=1,CHOOSE(庫存管理[[#This Row],[對應編碼]],"沒進位","","沒進位",IF(庫存管理[[#This Row],[計算類型]]="AUSTRALIA:EX-DIV","4捨五入進0.01%","沒進位"),"年/2去計算ACT","沒進位","沒進位"),"")</f>
        <v>#N/A</v>
      </c>
      <c r="CW18" s="735" t="e">
        <f ca="1">_xlfn.DAYS(庫存管理[[#This Row],[買進例外調整]],庫存管理[[#This Row],[買進前一個配息日(最終)]])</f>
        <v>#N/A</v>
      </c>
      <c r="CX18" s="735" t="e">
        <f ca="1">IF(庫存管理[[#This Row],[備註]]="年/2去計算ACT",365/2,_xlfn.DAYS(庫存管理[[#This Row],[買進時的下個配息日]],庫存管理[[#This Row],[買進前一個配息日(最終)]]))</f>
        <v>#N/A</v>
      </c>
      <c r="CY18"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8" s="767" t="e">
        <f ca="1">_xlfn.DAYS(庫存管理[[#This Row],[交割日]],庫存管理[[#This Row],[買進前一個配息日(最終)]])</f>
        <v>#N/A</v>
      </c>
      <c r="DA18"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8" s="767" t="e">
        <f ca="1">_xlfn.DAYS(庫存管理[[#This Row],[交割日]],庫存管理[[#This Row],[最近的上一票息日]])</f>
        <v>#N/A</v>
      </c>
      <c r="DC18" s="767" t="e">
        <f ca="1">IF(庫存管理[[#This Row],[備註]]="年/2去計算ACT",365/2,_xlfn.DAYS(庫存管理[[#This Row],[下一配息日]],庫存管理[[#This Row],[最近的上一票息日]]))</f>
        <v>#N/A</v>
      </c>
      <c r="DD18"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8" s="739" t="e">
        <f ca="1">CL18-庫存管理[[#This Row],[ex_div_days]]</f>
        <v>#N/A</v>
      </c>
      <c r="DF18" s="646" t="e">
        <f ca="1">IF(VLOOKUP(庫存管理[[#This Row],[商品代號]],bond!B:AT,45,FALSE)="#N/A Field Not Applicable",0,VLOOKUP(庫存管理[[#This Row],[商品代號]],bond!B:AT,45,FALSE))</f>
        <v>#N/A</v>
      </c>
      <c r="DG18" s="793" t="e">
        <f ca="1">IF(庫存管理[[#This Row],[ex_div_days]]&lt;&gt;0,IF(AND(庫存管理[[#This Row],[買進例外調整]]-庫存管理[[#This Row],[買進下一個配息日先減n天]]&gt;=0,庫存管理[[#This Row],[買進時的下個配息日]]-庫存管理[[#This Row],[買進例外調整]]&gt;0),1,0),0)</f>
        <v>#N/A</v>
      </c>
      <c r="DH18"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8" s="734" t="e">
        <f ca="1">庫存管理[[#This Row],[下一配息日]]-庫存管理[[#This Row],[ex_div_days]]</f>
        <v>#VALUE!</v>
      </c>
      <c r="DJ18" s="1081" t="e">
        <f ca="1">IF(庫存管理[[#This Row],[ex_div_days]]&lt;&gt;0,IF(AND(庫存管理[[#This Row],[交割日]]-庫存管理[[#This Row],[交割下個配息日先減n天]]&gt;=0,庫存管理[[#This Row],[下一配息日]]-庫存管理[[#This Row],[交割日]]&gt;0),1,0),0)</f>
        <v>#N/A</v>
      </c>
      <c r="DK18"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8" s="735">
        <f ca="1">IFERROR(VLOOKUP(庫存管理[[#This Row],[商品代號]],bond!B:X,21,FALSE),0)</f>
        <v>0</v>
      </c>
      <c r="DM18" s="735">
        <f ca="1">IFERROR(VLOOKUP(I18,bond!B:J,9,FALSE),0)</f>
        <v>0</v>
      </c>
      <c r="DN18" s="1188">
        <f ca="1">IF(AND(開關=TRUE,庫存管理[[#This Row],[投組檢測]]=TRUE),IF(MF=2,IFERROR(BW18/$BW$3,0),IFERROR(BV18/$BV$3,0)),0)</f>
        <v>0</v>
      </c>
      <c r="DO18" s="735">
        <f ca="1">IFERROR(庫存管理[[#This Row],[clean申購價]]/100*庫存管理[[#This Row],[投入面額]]*庫存管理[[#This Row],[MOD]]*0.01,0)</f>
        <v>0</v>
      </c>
      <c r="DP18" s="1298" t="e">
        <f ca="1">IF($C$16=1,庫存管理[[#This Row],[單次配息(台幣)]],庫存管理[[#This Row],[單次配息(原幣)]])</f>
        <v>#VALUE!</v>
      </c>
      <c r="DQ18"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8"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8"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8"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8"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8"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8"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8"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8"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8"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8"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8"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8" s="33"/>
      <c r="ED18" s="33"/>
      <c r="EE18" s="33"/>
      <c r="EF18" s="33"/>
      <c r="EG18" s="33"/>
      <c r="EH18" s="33"/>
      <c r="EI18" s="33"/>
      <c r="EJ18" s="33"/>
      <c r="EK18" s="33"/>
      <c r="EL18" s="33"/>
      <c r="EM18" s="33"/>
      <c r="EN18" s="33"/>
      <c r="EO18" s="33"/>
      <c r="EP18" s="33"/>
      <c r="EQ18" s="33"/>
      <c r="ER18" s="33"/>
      <c r="ES18" s="33"/>
      <c r="ET18" s="33"/>
      <c r="EU18" s="33"/>
      <c r="EV18" s="33"/>
      <c r="EW18" s="33"/>
      <c r="EX18" s="33"/>
      <c r="EY18" s="33"/>
      <c r="EZ18" s="33"/>
      <c r="FA18" s="33"/>
      <c r="FB18" s="33"/>
      <c r="FC18" s="33"/>
      <c r="FD18" s="33"/>
      <c r="FE18" s="33"/>
      <c r="FF18" s="33"/>
      <c r="FG18" s="33"/>
      <c r="FH18" s="33"/>
      <c r="FI18" s="33"/>
      <c r="FJ18" s="33"/>
      <c r="FK18" s="33"/>
      <c r="FL18" s="33"/>
      <c r="FM18" s="33"/>
      <c r="FN18" s="33"/>
      <c r="FO18" s="33"/>
      <c r="FP18" s="33"/>
      <c r="FQ18" s="33"/>
      <c r="FR18" s="33"/>
      <c r="FS18" s="33"/>
      <c r="FT18" s="33"/>
      <c r="FU18" s="33"/>
      <c r="FV18" s="33"/>
      <c r="FW18" s="33"/>
      <c r="FX18" s="33"/>
      <c r="FY18" s="33"/>
      <c r="FZ18" s="33"/>
      <c r="GA18" s="33"/>
      <c r="GB18" s="33"/>
      <c r="GC18" s="33"/>
      <c r="GD18" s="33"/>
      <c r="GE18" s="33"/>
      <c r="GF18" s="33"/>
      <c r="GG18" s="33"/>
      <c r="GH18" s="33"/>
      <c r="GI18" s="33"/>
      <c r="GJ18" s="33"/>
      <c r="GK18" s="33"/>
      <c r="GL18" s="33"/>
      <c r="GM18" s="33"/>
      <c r="GN18" s="33"/>
      <c r="GO18" s="33"/>
      <c r="GP18" s="33"/>
      <c r="GQ18" s="33"/>
      <c r="GR18" s="33"/>
      <c r="GS18" s="33"/>
      <c r="GT18" s="33"/>
      <c r="GU18" s="33"/>
      <c r="GV18" s="33"/>
      <c r="GW18" s="33"/>
      <c r="GX18" s="33"/>
      <c r="GY18" s="33"/>
      <c r="GZ18" s="33"/>
      <c r="HA18" s="33"/>
      <c r="HB18" s="33"/>
      <c r="HC18" s="33"/>
      <c r="HD18" s="33"/>
      <c r="HE18" s="33"/>
      <c r="HF18" s="33"/>
      <c r="HG18" s="33"/>
      <c r="HH18" s="33"/>
      <c r="HI18" s="33"/>
      <c r="HJ18" s="33"/>
      <c r="HK18" s="33"/>
      <c r="HL18" s="33"/>
      <c r="HM18" s="33"/>
      <c r="HN18" s="33"/>
      <c r="HO18" s="33"/>
      <c r="HP18" s="33"/>
      <c r="HQ18" s="33"/>
      <c r="HR18" s="33"/>
      <c r="HS18" s="33"/>
      <c r="HT18" s="33"/>
      <c r="HU18" s="33"/>
    </row>
    <row r="19" spans="2:229" ht="19.5" customHeight="1">
      <c r="B19" s="12">
        <v>1</v>
      </c>
      <c r="C19" s="604">
        <f ca="1">IFERROR(INDEX($DQ$1:$EB$1,1,MATCH(B19,$DQ$4:$EB$4,0)),0)</f>
        <v>0</v>
      </c>
      <c r="D19" s="26" t="s">
        <v>1788</v>
      </c>
      <c r="E19" s="12" t="str">
        <f t="shared" ref="E19:E32" ca="1" si="14">IF(C19=0,"",IF($C$16=1,TEXT(C19,"#,##0"),TEXT(C19,"#,##0")))</f>
        <v/>
      </c>
      <c r="F19" s="1711"/>
      <c r="G19" s="459">
        <v>13</v>
      </c>
      <c r="H19" s="1166" t="b">
        <f ca="1">IFERROR(IF(VLOOKUP(G19,換券投組!$AH$8:$AH$13,1,FALSE)&gt;0,TRUE,FALSE),FALSE)</f>
        <v>0</v>
      </c>
      <c r="I19" s="1693" t="str">
        <f ca="1">IF(開關=TRUE,'商品代碼-中繼頁'!R14,"")</f>
        <v/>
      </c>
      <c r="J19" s="429">
        <f ca="1">IFERROR(VLOOKUP(I19,bond!B:I,8,FALSE),0)</f>
        <v>0</v>
      </c>
      <c r="K19" s="429">
        <f ca="1">IFERROR(庫存管理[[#This Row],[買價]]+VLOOKUP(庫存管理[[#This Row],[商品代號]],bond!B:K,10,FALSE),0)</f>
        <v>0</v>
      </c>
      <c r="L19" s="430" t="e">
        <f ca="1">VLOOKUP(I19,'銀行-TSS'!B:E,4,FALSE)</f>
        <v>#N/A</v>
      </c>
      <c r="M19" s="431">
        <f ca="1">IFERROR(VLOOKUP($I19,'銀行-TSS'!B:G,6,FALSE),0)</f>
        <v>0</v>
      </c>
      <c r="N19" s="432" t="e">
        <f ca="1">IFERROR(DATEVALUE(VLOOKUP($I19,'銀行-TSS'!B:F,5,FALSE)),VLOOKUP($I19,'銀行-TSS'!B:F,5,FALSE))</f>
        <v>#N/A</v>
      </c>
      <c r="O19" s="433">
        <f ca="1">IFERROR(VLOOKUP($I19,'銀行-TSS'!B:H,7,FALSE),0)</f>
        <v>0</v>
      </c>
      <c r="P19" s="433" t="e">
        <f ca="1">庫存管理[[#This Row],[票面利率]]/庫存管理[[#This Row],[成本價(不含前手息)]]*100</f>
        <v>#VALUE!</v>
      </c>
      <c r="Q19" s="434" t="str">
        <f ca="1">IFERROR(VLOOKUP($I19,'銀行-TSS'!B:I,8,FALSE),"")</f>
        <v/>
      </c>
      <c r="R19" s="440" t="str">
        <f ca="1">_xlfn.IFNA(IFERROR(DATEVALUE(VLOOKUP($I19,'銀行-TSS'!B:P,15,FALSE)),VLOOKUP($I19,'銀行-TSS'!B:P,15,FALSE)),"")</f>
        <v/>
      </c>
      <c r="S19" s="570" t="b">
        <f ca="1">IF(AND(庫存管理[[#This Row],[配息頻率]]&lt;&gt;"",庫存管理[[#This Row],[持有成本(不含前手息)]]&lt;&gt;0,庫存管理[[#This Row],[買進日]]&lt;&gt;""),TRUE,FALSE)</f>
        <v>0</v>
      </c>
      <c r="T19" s="602" t="str">
        <f>IFERROR(DATE(LEFT('商品代碼-中繼頁'!S14,4),MID('商品代碼-中繼頁'!S14,5,2),RIGHT('商品代碼-中繼頁'!S14,2)),"")</f>
        <v/>
      </c>
      <c r="U19"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19" s="442" t="e">
        <f ca="1">IFERROR(WORKDAY(庫存管理[[#This Row],[買進日]],VLOOKUP(庫存管理[[#This Row],[商品代號]],'1_重設數據'!R:S,2,FALSE),休USD),庫存管理[[#This Row],[買進日(T+2/公債T+1)]])</f>
        <v>#N/A</v>
      </c>
      <c r="W19" s="43" t="str">
        <f>'商品代碼-中繼頁'!T14</f>
        <v/>
      </c>
      <c r="X19" s="43" t="str">
        <f>'商品代碼-中繼頁'!U14</f>
        <v/>
      </c>
      <c r="Y19" s="464">
        <f t="shared" ca="1" si="9"/>
        <v>0</v>
      </c>
      <c r="Z19" s="464" t="e">
        <f t="shared" ref="Z19:Z33" ca="1" si="15">ROUND(K19*W19/100,2)</f>
        <v>#VALUE!</v>
      </c>
      <c r="AA19" s="465" t="e">
        <f t="shared" ref="AA19:AA33" ca="1" si="16">ROUND(J19*W19/100,2)</f>
        <v>#VALUE!</v>
      </c>
      <c r="AB19" s="474" t="e">
        <f ca="1">IF(MF=2,庫存管理[[#This Row],[部位現值(不含前手息)]]-庫存管理[[#This Row],[持有成本(不含前手息)]],庫存管理[[#This Row],[部位現值(含前手息)]]-庫存管理[[#This Row],[持有成本(含前手息)]])</f>
        <v>#VALUE!</v>
      </c>
      <c r="AC19" s="462">
        <f ca="1">IF(庫存管理[[#This Row],[檢測]]=TRUE,IF(MF=2,IFERROR(庫存管理[[#This Row],[資本利損]]/庫存管理[[#This Row],[持有成本(不含前手息)]],0),IFERROR(庫存管理[[#This Row],[資本利損]]/庫存管理[[#This Row],[持有成本(含前手息)]],0)),0)</f>
        <v>0</v>
      </c>
      <c r="AD19" s="618" t="e">
        <f ca="1">庫存管理[[#This Row],[持有成本(不含前手息)]]/庫存管理[[#This Row],[投入面額]]*100</f>
        <v>#VALUE!</v>
      </c>
      <c r="AE19" s="462" t="str">
        <f ca="1">IFERROR(VLOOKUP(庫存管理[[#This Row],[商品代號]],bond!B:AA,26,FALSE),"")</f>
        <v/>
      </c>
      <c r="AF19" s="1" t="str">
        <f ca="1">IFERROR(VLOOKUP($I19,'銀行-TSS'!B:Q,16,FALSE),"")</f>
        <v/>
      </c>
      <c r="AG19" s="466">
        <f t="shared" ca="1" si="1"/>
        <v>0</v>
      </c>
      <c r="AH19" s="458" t="e">
        <f ca="1">IF(OR(庫存管理[[#This Row],[起息日]]&gt;庫存管理[[#This Row],[買進前一配息日(複算)]],庫存管理[[#This Row],[判斷]]=TRUE),庫存管理[[#This Row],[起息日]],庫存管理[[#This Row],[買進前一配息日(複算)]])</f>
        <v>#N/A</v>
      </c>
      <c r="AI19" s="577" t="e">
        <f ca="1">VLOOKUP(I19,bond!B:AP,41,FALSE)</f>
        <v>#N/A</v>
      </c>
      <c r="AJ19" s="578" t="e">
        <f t="shared" ref="AJ19:AJ33" ca="1" si="17">VLOOKUP(AI19,$B$7:$C$13,2,FALSE)</f>
        <v>#N/A</v>
      </c>
      <c r="AK19" s="579">
        <f ca="1">IFERROR(IF(庫存管理[[#This Row],[買進日是否落入record date]]=1,庫存管理[[#This Row],[record date制度前手息]],庫存管理[[#This Row],[計算前手息(初算)]]),0)</f>
        <v>0</v>
      </c>
      <c r="AL19" s="579" t="e">
        <f ca="1">IF(OR(庫存管理[[#This Row],[買進例外調整]]&lt;庫存管理[[#This Row],[起息日]],庫存管理[[#This Row],[買進例外調整]]&gt;庫存管理[[#This Row],[到期日]]),0,IF(庫存管理[[#This Row],[備註]]&lt;&gt;"",庫存管理[[#This Row],[買進時前手息]],IFERROR(ROUND(ACCRINT(AH19,AH19,V19,O19,100,Q19,AJ19,TRUE),4),0)))</f>
        <v>#N/A</v>
      </c>
      <c r="AM19" s="580" t="e">
        <f t="shared" ref="AM19:AM33" ca="1" si="18">ROUND(AK19*W19/100,2)</f>
        <v>#VALUE!</v>
      </c>
      <c r="AN19" s="440" t="e">
        <f ca="1">IFERROR(DATEVALUE(VLOOKUP(I19,bond!B:I,7,FALSE)),VLOOKUP(I19,bond!B:I,7,FALSE))</f>
        <v>#N/A</v>
      </c>
      <c r="AO19"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19" s="1075">
        <f ca="1">IFERROR(IF(庫存管理[[#This Row],[交割日是否落入record date]]=1,庫存管理[[#This Row],[交_record date制度前手息]],庫存管理[[#This Row],[計算交割前手息(初算)]]),0)</f>
        <v>0</v>
      </c>
      <c r="AQ19"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19" s="1063" t="e">
        <f ca="1">ROUND(庫存管理[[#This Row],[計算交割前手息(複算)]]*庫存管理[[#This Row],[投入面額]]/100,2)</f>
        <v>#VALUE!</v>
      </c>
      <c r="AS19" s="1064" t="e">
        <f ca="1">IF(庫存管理[[#This Row],[配息頻率]]=0,0,(100*庫存管理[[#This Row],[票面利率]]/庫存管理[[#This Row],[配息頻率]])*庫存管理[[#This Row],[經過幾次配息]]+庫存管理[[#This Row],[計算交割前手息(複算)]]-庫存管理[[#This Row],[計算前手息(複算)]])</f>
        <v>#VALUE!</v>
      </c>
      <c r="AT19" s="581" t="e">
        <f ca="1">IF(庫存管理[[#This Row],[商品代號]]="XFM90",0,ROUND(AS19*W19/100,2))</f>
        <v>#VALUE!</v>
      </c>
      <c r="AU19" s="582">
        <f ca="1">IF(MF=2,IFERROR(庫存管理[[#This Row],[累計配息]]/庫存管理[[#This Row],[持有成本(不含前手息)]],0),IFERROR(庫存管理[[#This Row],[已實現配息(原幣)]]/庫存管理[[#This Row],[持有成本(含前手息)]],0))</f>
        <v>0</v>
      </c>
      <c r="AV19" s="583" t="e">
        <f ca="1">IF(MF=2,庫存管理[[#This Row],[資本利損]]+庫存管理[[#This Row],[累計配息]],庫存管理[[#This Row],[資本利損]]+庫存管理[[#This Row],[已實現配息(原幣)]])</f>
        <v>#VALUE!</v>
      </c>
      <c r="AW19" s="584">
        <f ca="1">IF(庫存管理[[#This Row],[檢測]]=TRUE,IF(MF=2,IFERROR(庫存管理[[#This Row],[合計收益]]/庫存管理[[#This Row],[持有成本(不含前手息)]],0),IFERROR(庫存管理[[#This Row],[合計收益]]/庫存管理[[#This Row],[持有成本(含前手息)]],0)),0)</f>
        <v>0</v>
      </c>
      <c r="AX19" s="434" t="e">
        <f t="shared" ref="AX19:AX33" ca="1" si="19">IF(Q19=0,0,IF(MOD(MONTH(R19),12/Q19)=0,12/Q19,MOD(MONTH(R19),12/Q19)))</f>
        <v>#VALUE!</v>
      </c>
      <c r="AY19" s="434" t="e">
        <f t="shared" ref="AY19:AY33" ca="1" si="20">IF(Q19&gt;=2,AX19+12/Q19,0)</f>
        <v>#VALUE!</v>
      </c>
      <c r="AZ19" s="434">
        <f t="shared" ref="AZ19:AZ33" ca="1" si="21">IF(Q19=4,AY19+12/Q19,0)</f>
        <v>0</v>
      </c>
      <c r="BA19" s="434">
        <f t="shared" ref="BA19:BA33" ca="1" si="22">IF(Q19=4,AZ19+12/Q19,0)</f>
        <v>0</v>
      </c>
      <c r="BB19" s="441" t="e">
        <f ca="1">IF(AND(庫存管理[[#This Row],[名稱]]="美國國庫債券",DAY(庫存管理[[#This Row],[買進前一配息日(初算)]])&gt;=28),EOMONTH(庫存管理[[#This Row],[買進前一配息日(初算)]],0),庫存管理[[#This Row],[買進前一配息日(初算)]])</f>
        <v>#N/A</v>
      </c>
      <c r="BC19" s="441" t="e">
        <f t="shared" ref="BC19:BC33" ca="1" si="23">INDEX(BE19:BI19,1,MATCH(MIN(BJ19:BN19),BJ19:BN19,0))</f>
        <v>#N/A</v>
      </c>
      <c r="BD19" s="444" t="e">
        <f t="shared" ref="BD19:BD33" ca="1" si="24">YEAR(V19)</f>
        <v>#N/A</v>
      </c>
      <c r="BE19" s="441" t="e">
        <f ca="1">IF(Q19&gt;0,IF(MONTH(DATE(BD19,AX19,DAY(R19)))&lt;&gt;庫存管理[[#This Row],[第一個配息月]],DATE(BD19,AX19+1,0),DATE(BD19,AX19,DAY(R19))),庫存管理[[#This Row],[買進例外調整]]+100)</f>
        <v>#N/A</v>
      </c>
      <c r="BF19" s="441" t="e">
        <f ca="1">IF(AY19&lt;&gt;0,IF(MONTH(DATE(BD19,AY19,DAY(R19)))&lt;&gt;庫存管理[[#This Row],[第二個配息月]],DATE(BD19,AY19+1,0),DATE(BD19,AY19,DAY(R19))),庫存管理[[#This Row],[買進例外調整]]+100)</f>
        <v>#VALUE!</v>
      </c>
      <c r="BG19" s="441" t="e">
        <f ca="1">IF(AZ19&lt;&gt;0,IF(MONTH(DATE(BD19,AZ19,DAY(R19)))&lt;&gt;庫存管理[[#This Row],[第三個配息月]],DATE(BD19,AZ19+1,0),DATE(BD19,AZ19,DAY(R19))),庫存管理[[#This Row],[買進例外調整]]+100)</f>
        <v>#N/A</v>
      </c>
      <c r="BH19" s="441" t="e">
        <f ca="1">IF(BA19&lt;&gt;0,IF(MONTH(DATE(BD19,BA19,DAY(R19)))&lt;&gt;庫存管理[[#This Row],[第四個配息月]],DATE(BD19,BA19+1,0),DATE(BD19,BA19,DAY(R19))),庫存管理[[#This Row],[買進例外調整]]+100)</f>
        <v>#N/A</v>
      </c>
      <c r="BI19" s="441" t="e">
        <f ca="1">IF(Q19=1,IF(MONTH(DATE(BD19-1,AX19,DAY(R19)))&lt;&gt;庫存管理[[#This Row],[第一個配息月]],DATE(BD19-1,AX19+1,0),DATE(BD19-1,AX19,DAY(R19))),IF(Q19=2,IF(MONTH(DATE(BD19-1,AY19,DAY(R19)))&lt;&gt;庫存管理[[#This Row],[第二個配息月]],DATE(BD19-1,AY19+1,0),DATE(BD19-1,AY19,DAY(R19))),IF(Q19=4,IF(MONTH(DATE(BD19-1,BA19,DAY(R19)))&lt;&gt;庫存管理[[#This Row],[第四個配息月]],DATE(BD19-1,BA19+1,0),DATE(BD19-1,BA19,DAY(R19))),庫存管理[[#This Row],[買進例外調整]]+100)))</f>
        <v>#N/A</v>
      </c>
      <c r="BJ19" s="445">
        <f t="shared" ref="BJ19:BJ33" ca="1" si="25">IFERROR(DATEDIF(BE19,$V19,"d"),10000)</f>
        <v>10000</v>
      </c>
      <c r="BK19" s="445">
        <f t="shared" ref="BK19:BK33" ca="1" si="26">IFERROR(DATEDIF(BF19,$V19,"d"),10000)</f>
        <v>10000</v>
      </c>
      <c r="BL19" s="445">
        <f t="shared" ref="BL19:BL33" ca="1" si="27">IFERROR(DATEDIF(BG19,$V19,"d"),10000)</f>
        <v>10000</v>
      </c>
      <c r="BM19" s="445">
        <f t="shared" ref="BM19:BM33" ca="1" si="28">IFERROR(DATEDIF(BH19,$V19,"d"),10000)</f>
        <v>10000</v>
      </c>
      <c r="BN19" s="455">
        <f t="shared" ref="BN19:BN33" ca="1" si="29">IFERROR(DATEDIF(BI19,$V19,"d"),10000)</f>
        <v>10000</v>
      </c>
      <c r="BO19" s="479" t="e">
        <f ca="1">庫存管理[[#This Row],[年度配息]]/庫存管理[[#This Row],[配息頻率]]</f>
        <v>#VALUE!</v>
      </c>
      <c r="BP19" s="479" t="e">
        <f ca="1">庫存管理[[#This Row],[單次配息(原幣)]]*庫存管理[[#This Row],[換算匯率(現)]]</f>
        <v>#VALUE!</v>
      </c>
      <c r="BQ19" s="479" t="str">
        <f ca="1">IF(庫存管理[[#This Row],[商品代號]]&lt;&gt;"",IFERROR(VLOOKUP($I19,'銀行-TSS'!B:C,2,FALSE),""),"")</f>
        <v/>
      </c>
      <c r="BR19" s="479" t="e">
        <f ca="1">VLOOKUP(庫存管理[[#This Row],[幣別]],$B$37:$C$43,2,FALSE)</f>
        <v>#N/A</v>
      </c>
      <c r="BS19" s="500" t="e">
        <f ca="1">CHOOSE(庫存管理[[#This Row],[對應編碼]],$D$37,$D$38,$D$39,$D$40,$D$41,$D$42,$D$43)</f>
        <v>#N/A</v>
      </c>
      <c r="BT19" s="500">
        <f ca="1">IF(庫存管理[[#This Row],[商品代號]]="",0,CHOOSE(庫存管理[[#This Row],[對應編碼]],$E$37,$E$38,$E$39,$E$40,$E$41,$E$42,$E$43))</f>
        <v>0</v>
      </c>
      <c r="BU19" s="1555">
        <f ca="1">IF(庫存管理[[#This Row],[檢測]]=TRUE,庫存管理[[#This Row],[投入面額]]*庫存管理[[#This Row],[換算匯率(現)]],0)</f>
        <v>0</v>
      </c>
      <c r="BV19" s="1555">
        <f ca="1">IF(庫存管理[[#This Row],[檢測]]=TRUE,IFERROR(庫存管理[[#This Row],[持有成本(含前手息)]]*庫存管理[[#This Row],[換算匯率(買)]],0),0)</f>
        <v>0</v>
      </c>
      <c r="BW19" s="1555">
        <f ca="1">IF(庫存管理[[#This Row],[檢測]]=TRUE,庫存管理[[#This Row],[持有成本(不含前手息)]]*庫存管理[[#This Row],[換算匯率(買)]],0)</f>
        <v>0</v>
      </c>
      <c r="BX19" s="1555">
        <f ca="1">IF(庫存管理[[#This Row],[檢測]]=TRUE,庫存管理[[#This Row],[部位現值(含前手息)]]*庫存管理[[#This Row],[換算匯率(現)]],0)</f>
        <v>0</v>
      </c>
      <c r="BY19" s="1555">
        <f ca="1">IF(庫存管理[[#This Row],[檢測]]=TRUE,庫存管理[[#This Row],[部位現值(不含前手息)]]*庫存管理[[#This Row],[換算匯率(現)]],0)</f>
        <v>0</v>
      </c>
      <c r="BZ19" s="1555">
        <f ca="1">IF(庫存管理[[#This Row],[檢測]]=TRUE,IF(MF=2,庫存管理[[#This Row],[累計配息]]*庫存管理[[#This Row],[換算匯率(現)]],庫存管理[[#This Row],[已實現配息(原幣)]]*庫存管理[[#This Row],[換算匯率(現)]]),0)</f>
        <v>0</v>
      </c>
      <c r="CA19" s="1555" t="e">
        <f ca="1">庫存管理[[#This Row],[資本利損]]*庫存管理[[#This Row],[換算匯率(現)]]</f>
        <v>#VALUE!</v>
      </c>
      <c r="CB19" s="1555" t="e">
        <f ca="1">庫存管理[[#This Row],[累計利息(台)]]+庫存管理[[#This Row],[資本貢獻(台)]]</f>
        <v>#VALUE!</v>
      </c>
      <c r="CC19" s="574">
        <f ca="1">IF(庫存管理[[#This Row],[檢測]]=TRUE,IFERROR(庫存管理[[#This Row],[配息報酬]],0),0)</f>
        <v>0</v>
      </c>
      <c r="CD19" s="574">
        <f ca="1">IF(庫存管理[[#This Row],[檢測]]=TRUE,庫存管理[[#This Row],[資本報酬]],0)</f>
        <v>0</v>
      </c>
      <c r="CE19" s="574">
        <f ca="1">IF(S19=TRUE,IFERROR(庫存管理[[#This Row],[換匯總報酬率]]-(庫存管理[[#This Row],[配息報酬率]]+庫存管理[[#This Row],[資本報酬率]]),0),0)</f>
        <v>0</v>
      </c>
      <c r="CF19"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19" s="585">
        <f ca="1">IF(AND(庫存管理[[#This Row],[檢測]]=TRUE,開關=TRUE),IF(MF=2,IFERROR(BW19/$BW$1,0),IFERROR(BV19/$BV$1,0)),0)</f>
        <v>0</v>
      </c>
      <c r="CH19" s="574">
        <f ca="1">IF(庫存管理[[#This Row],[檢測]]=TRUE,IF(MF=2,IFERROR(BY19/$BY$1,0),IFERROR(BX19/$BX$1,0)),0)</f>
        <v>0</v>
      </c>
      <c r="CI19"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19" s="646" t="e">
        <f ca="1">DATEDIF(庫存管理[[#This Row],[買進例外調整]],庫存管理[[#This Row],[到期日]],"d")/365.25</f>
        <v>#N/A</v>
      </c>
      <c r="CK19" s="734" t="e">
        <f ca="1">DATEVALUE(VLOOKUP(庫存管理[[#This Row],[商品代號]],bond!B:AF,31,FALSE))</f>
        <v>#N/A</v>
      </c>
      <c r="CL19" s="734" t="e">
        <f ca="1">IF(庫存管理[[#This Row],[買下配(國調)]]&lt;庫存管理[[#This Row],[第一票息日]],庫存管理[[#This Row],[第一票息日]],庫存管理[[#This Row],[買下配(國調)]])</f>
        <v>#N/A</v>
      </c>
      <c r="CM19"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19"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19" s="735">
        <f ca="1">IF(庫存管理[[#This Row],[商品代號]]="XFM90",0,IFERROR(庫存管理[[#This Row],[單次配息(原幣)]]*庫存管理[[#This Row],[經過幾次配息]],0))</f>
        <v>0</v>
      </c>
      <c r="CP19" s="735" t="e">
        <f ca="1">VLOOKUP(庫存管理[[#This Row],[商品代號]],bond!B:F,5,FALSE)</f>
        <v>#N/A</v>
      </c>
      <c r="CQ19" s="734" t="str">
        <f ca="1">IFERROR(VLOOKUP(庫存管理[[#This Row],[ISIN]],'7_發行日例外'!A:C,3,FALSE),IFERROR(DATEVALUE(VLOOKUP(庫存管理[[#This Row],[商品代號]],bond!B:AR,43,FALSE)),""))</f>
        <v/>
      </c>
      <c r="CR19" s="735" t="e">
        <f ca="1">DATEDIF(庫存管理[[#This Row],[起息日]],庫存管理[[#This Row],[買進前一配息日(複算)]],"d")</f>
        <v>#VALUE!</v>
      </c>
      <c r="CS19"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19" s="734" t="e">
        <f ca="1">IFERROR(VLOOKUP(庫存管理[[#This Row],[ISIN]],'7_發行日例外'!A:D,4,FALSE),DATEVALUE(VLOOKUP(庫存管理[[#This Row],[商品代號]],bond!B:AV,44,FALSE)))</f>
        <v>#N/A</v>
      </c>
      <c r="CU19" s="735" t="e">
        <f ca="1">VLOOKUP(庫存管理[[#This Row],[商品代號]],bond!B:AU,46,FALSE)</f>
        <v>#N/A</v>
      </c>
      <c r="CV19" s="735" t="e">
        <f ca="1">IF(庫存管理[[#This Row],[計息基礎]]=1,CHOOSE(庫存管理[[#This Row],[對應編碼]],"沒進位","","沒進位",IF(庫存管理[[#This Row],[計算類型]]="AUSTRALIA:EX-DIV","4捨五入進0.01%","沒進位"),"年/2去計算ACT","沒進位","沒進位"),"")</f>
        <v>#N/A</v>
      </c>
      <c r="CW19" s="735" t="e">
        <f ca="1">_xlfn.DAYS(庫存管理[[#This Row],[買進例外調整]],庫存管理[[#This Row],[買進前一個配息日(最終)]])</f>
        <v>#N/A</v>
      </c>
      <c r="CX19" s="735" t="e">
        <f ca="1">IF(庫存管理[[#This Row],[備註]]="年/2去計算ACT",365/2,_xlfn.DAYS(庫存管理[[#This Row],[買進時的下個配息日]],庫存管理[[#This Row],[買進前一個配息日(最終)]]))</f>
        <v>#N/A</v>
      </c>
      <c r="CY19"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19" s="767" t="e">
        <f ca="1">_xlfn.DAYS(庫存管理[[#This Row],[交割日]],庫存管理[[#This Row],[買進前一個配息日(最終)]])</f>
        <v>#N/A</v>
      </c>
      <c r="DA19"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19" s="767" t="e">
        <f ca="1">_xlfn.DAYS(庫存管理[[#This Row],[交割日]],庫存管理[[#This Row],[最近的上一票息日]])</f>
        <v>#N/A</v>
      </c>
      <c r="DC19" s="767" t="e">
        <f ca="1">IF(庫存管理[[#This Row],[備註]]="年/2去計算ACT",365/2,_xlfn.DAYS(庫存管理[[#This Row],[下一配息日]],庫存管理[[#This Row],[最近的上一票息日]]))</f>
        <v>#N/A</v>
      </c>
      <c r="DD19"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19" s="739" t="e">
        <f ca="1">CL19-庫存管理[[#This Row],[ex_div_days]]</f>
        <v>#N/A</v>
      </c>
      <c r="DF19" s="646" t="e">
        <f ca="1">IF(VLOOKUP(庫存管理[[#This Row],[商品代號]],bond!B:AT,45,FALSE)="#N/A Field Not Applicable",0,VLOOKUP(庫存管理[[#This Row],[商品代號]],bond!B:AT,45,FALSE))</f>
        <v>#N/A</v>
      </c>
      <c r="DG19" s="793" t="e">
        <f ca="1">IF(庫存管理[[#This Row],[ex_div_days]]&lt;&gt;0,IF(AND(庫存管理[[#This Row],[買進例外調整]]-庫存管理[[#This Row],[買進下一個配息日先減n天]]&gt;=0,庫存管理[[#This Row],[買進時的下個配息日]]-庫存管理[[#This Row],[買進例外調整]]&gt;0),1,0),0)</f>
        <v>#N/A</v>
      </c>
      <c r="DH19"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19" s="734" t="e">
        <f ca="1">庫存管理[[#This Row],[下一配息日]]-庫存管理[[#This Row],[ex_div_days]]</f>
        <v>#VALUE!</v>
      </c>
      <c r="DJ19" s="1081" t="e">
        <f ca="1">IF(庫存管理[[#This Row],[ex_div_days]]&lt;&gt;0,IF(AND(庫存管理[[#This Row],[交割日]]-庫存管理[[#This Row],[交割下個配息日先減n天]]&gt;=0,庫存管理[[#This Row],[下一配息日]]-庫存管理[[#This Row],[交割日]]&gt;0),1,0),0)</f>
        <v>#N/A</v>
      </c>
      <c r="DK19"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19" s="735">
        <f ca="1">IFERROR(VLOOKUP(庫存管理[[#This Row],[商品代號]],bond!B:X,21,FALSE),0)</f>
        <v>0</v>
      </c>
      <c r="DM19" s="735">
        <f ca="1">IFERROR(VLOOKUP(I19,bond!B:J,9,FALSE),0)</f>
        <v>0</v>
      </c>
      <c r="DN19" s="1188">
        <f ca="1">IF(AND(開關=TRUE,庫存管理[[#This Row],[投組檢測]]=TRUE),IF(MF=2,IFERROR(BW19/$BW$3,0),IFERROR(BV19/$BV$3,0)),0)</f>
        <v>0</v>
      </c>
      <c r="DO19" s="735">
        <f ca="1">IFERROR(庫存管理[[#This Row],[clean申購價]]/100*庫存管理[[#This Row],[投入面額]]*庫存管理[[#This Row],[MOD]]*0.01,0)</f>
        <v>0</v>
      </c>
      <c r="DP19" s="1298" t="e">
        <f ca="1">IF($C$16=1,庫存管理[[#This Row],[單次配息(台幣)]],庫存管理[[#This Row],[單次配息(原幣)]])</f>
        <v>#VALUE!</v>
      </c>
      <c r="DQ19"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19"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19"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19"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19"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19"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19"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19"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19"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19"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19"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19"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19" s="33"/>
      <c r="ED19" s="33"/>
      <c r="EE19" s="33"/>
      <c r="EF19" s="33"/>
      <c r="EG19" s="33"/>
      <c r="EH19" s="33"/>
      <c r="EI19" s="33"/>
      <c r="EJ19" s="33"/>
      <c r="EK19" s="33"/>
      <c r="EL19" s="33"/>
      <c r="EM19" s="33"/>
      <c r="EN19" s="33"/>
      <c r="EO19" s="33"/>
      <c r="EP19" s="33"/>
      <c r="EQ19" s="33"/>
      <c r="ER19" s="33"/>
      <c r="ES19" s="33"/>
      <c r="ET19" s="33"/>
      <c r="EU19" s="33"/>
      <c r="EV19" s="33"/>
      <c r="EW19" s="33"/>
      <c r="EX19" s="33"/>
      <c r="EY19" s="33"/>
      <c r="EZ19" s="33"/>
      <c r="FA19" s="33"/>
      <c r="FB19" s="33"/>
      <c r="FC19" s="33"/>
      <c r="FD19" s="33"/>
      <c r="FE19" s="33"/>
      <c r="FF19" s="33"/>
      <c r="FG19" s="33"/>
      <c r="FH19" s="33"/>
      <c r="FI19" s="33"/>
      <c r="FJ19" s="33"/>
      <c r="FK19" s="33"/>
      <c r="FL19" s="33"/>
      <c r="FM19" s="33"/>
      <c r="FN19" s="33"/>
      <c r="FO19" s="33"/>
      <c r="FP19" s="33"/>
      <c r="FQ19" s="33"/>
      <c r="FR19" s="33"/>
      <c r="FS19" s="33"/>
      <c r="FT19" s="33"/>
      <c r="FU19" s="33"/>
      <c r="FV19" s="33"/>
      <c r="FW19" s="33"/>
      <c r="FX19" s="33"/>
      <c r="FY19" s="33"/>
      <c r="FZ19" s="33"/>
      <c r="GA19" s="33"/>
      <c r="GB19" s="33"/>
      <c r="GC19" s="33"/>
      <c r="GD19" s="33"/>
      <c r="GE19" s="33"/>
      <c r="GF19" s="33"/>
      <c r="GG19" s="33"/>
      <c r="GH19" s="33"/>
      <c r="GI19" s="33"/>
      <c r="GJ19" s="33"/>
      <c r="GK19" s="33"/>
      <c r="GL19" s="33"/>
      <c r="GM19" s="33"/>
      <c r="GN19" s="33"/>
      <c r="GO19" s="33"/>
      <c r="GP19" s="33"/>
      <c r="GQ19" s="33"/>
      <c r="GR19" s="33"/>
      <c r="GS19" s="33"/>
      <c r="GT19" s="33"/>
      <c r="GU19" s="33"/>
      <c r="GV19" s="33"/>
      <c r="GW19" s="33"/>
      <c r="GX19" s="33"/>
      <c r="GY19" s="33"/>
      <c r="GZ19" s="33"/>
      <c r="HA19" s="33"/>
      <c r="HB19" s="33"/>
      <c r="HC19" s="33"/>
      <c r="HD19" s="33"/>
      <c r="HE19" s="33"/>
      <c r="HF19" s="33"/>
      <c r="HG19" s="33"/>
      <c r="HH19" s="33"/>
      <c r="HI19" s="33"/>
      <c r="HJ19" s="33"/>
      <c r="HK19" s="33"/>
      <c r="HL19" s="33"/>
      <c r="HM19" s="33"/>
      <c r="HN19" s="33"/>
      <c r="HO19" s="33"/>
      <c r="HP19" s="33"/>
      <c r="HQ19" s="33"/>
      <c r="HR19" s="33"/>
      <c r="HS19" s="33"/>
      <c r="HT19" s="33"/>
      <c r="HU19" s="33"/>
    </row>
    <row r="20" spans="2:229" ht="19.5" customHeight="1">
      <c r="B20" s="12">
        <v>2</v>
      </c>
      <c r="C20" s="604">
        <f t="shared" ref="C20:C30" ca="1" si="30">IFERROR(INDEX($DQ$1:$EB$1,1,MATCH(B20,$DQ$4:$EB$4,0)),0)</f>
        <v>5787.5</v>
      </c>
      <c r="D20" s="26" t="s">
        <v>1789</v>
      </c>
      <c r="E20" s="12" t="str">
        <f t="shared" ca="1" si="14"/>
        <v>5,788</v>
      </c>
      <c r="F20" s="1711"/>
      <c r="G20" s="459">
        <v>14</v>
      </c>
      <c r="H20" s="1166" t="b">
        <f ca="1">IFERROR(IF(VLOOKUP(G20,換券投組!$AH$8:$AH$13,1,FALSE)&gt;0,TRUE,FALSE),FALSE)</f>
        <v>0</v>
      </c>
      <c r="I20" s="1693" t="str">
        <f ca="1">IF(開關=TRUE,'商品代碼-中繼頁'!R15,"")</f>
        <v/>
      </c>
      <c r="J20" s="429">
        <f ca="1">IFERROR(VLOOKUP(I20,bond!B:I,8,FALSE),0)</f>
        <v>0</v>
      </c>
      <c r="K20" s="429">
        <f ca="1">IFERROR(庫存管理[[#This Row],[買價]]+VLOOKUP(庫存管理[[#This Row],[商品代號]],bond!B:K,10,FALSE),0)</f>
        <v>0</v>
      </c>
      <c r="L20" s="430" t="e">
        <f ca="1">VLOOKUP(I20,'銀行-TSS'!B:E,4,FALSE)</f>
        <v>#N/A</v>
      </c>
      <c r="M20" s="431">
        <f ca="1">IFERROR(VLOOKUP($I20,'銀行-TSS'!B:G,6,FALSE),0)</f>
        <v>0</v>
      </c>
      <c r="N20" s="432" t="e">
        <f ca="1">IFERROR(DATEVALUE(VLOOKUP($I20,'銀行-TSS'!B:F,5,FALSE)),VLOOKUP($I20,'銀行-TSS'!B:F,5,FALSE))</f>
        <v>#N/A</v>
      </c>
      <c r="O20" s="433">
        <f ca="1">IFERROR(VLOOKUP($I20,'銀行-TSS'!B:H,7,FALSE),0)</f>
        <v>0</v>
      </c>
      <c r="P20" s="433" t="e">
        <f ca="1">庫存管理[[#This Row],[票面利率]]/庫存管理[[#This Row],[成本價(不含前手息)]]*100</f>
        <v>#VALUE!</v>
      </c>
      <c r="Q20" s="434" t="str">
        <f ca="1">IFERROR(VLOOKUP($I20,'銀行-TSS'!B:I,8,FALSE),"")</f>
        <v/>
      </c>
      <c r="R20" s="440" t="str">
        <f ca="1">_xlfn.IFNA(IFERROR(DATEVALUE(VLOOKUP($I20,'銀行-TSS'!B:P,15,FALSE)),VLOOKUP($I20,'銀行-TSS'!B:P,15,FALSE)),"")</f>
        <v/>
      </c>
      <c r="S20" s="570" t="b">
        <f ca="1">IF(AND(庫存管理[[#This Row],[配息頻率]]&lt;&gt;"",庫存管理[[#This Row],[持有成本(不含前手息)]]&lt;&gt;0,庫存管理[[#This Row],[買進日]]&lt;&gt;""),TRUE,FALSE)</f>
        <v>0</v>
      </c>
      <c r="T20" s="602" t="str">
        <f>IFERROR(DATE(LEFT('商品代碼-中繼頁'!S15,4),MID('商品代碼-中繼頁'!S15,5,2),RIGHT('商品代碼-中繼頁'!S15,2)),"")</f>
        <v/>
      </c>
      <c r="U20"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0" s="442" t="e">
        <f ca="1">IFERROR(WORKDAY(庫存管理[[#This Row],[買進日]],VLOOKUP(庫存管理[[#This Row],[商品代號]],'1_重設數據'!R:S,2,FALSE),休USD),庫存管理[[#This Row],[買進日(T+2/公債T+1)]])</f>
        <v>#N/A</v>
      </c>
      <c r="W20" s="43" t="str">
        <f>'商品代碼-中繼頁'!T15</f>
        <v/>
      </c>
      <c r="X20" s="43" t="str">
        <f>'商品代碼-中繼頁'!U15</f>
        <v/>
      </c>
      <c r="Y20" s="464">
        <f t="shared" ca="1" si="9"/>
        <v>0</v>
      </c>
      <c r="Z20" s="464" t="e">
        <f t="shared" ca="1" si="15"/>
        <v>#VALUE!</v>
      </c>
      <c r="AA20" s="465" t="e">
        <f t="shared" ca="1" si="16"/>
        <v>#VALUE!</v>
      </c>
      <c r="AB20" s="474" t="e">
        <f ca="1">IF(MF=2,庫存管理[[#This Row],[部位現值(不含前手息)]]-庫存管理[[#This Row],[持有成本(不含前手息)]],庫存管理[[#This Row],[部位現值(含前手息)]]-庫存管理[[#This Row],[持有成本(含前手息)]])</f>
        <v>#VALUE!</v>
      </c>
      <c r="AC20" s="462">
        <f ca="1">IF(庫存管理[[#This Row],[檢測]]=TRUE,IF(MF=2,IFERROR(庫存管理[[#This Row],[資本利損]]/庫存管理[[#This Row],[持有成本(不含前手息)]],0),IFERROR(庫存管理[[#This Row],[資本利損]]/庫存管理[[#This Row],[持有成本(含前手息)]],0)),0)</f>
        <v>0</v>
      </c>
      <c r="AD20" s="618" t="e">
        <f ca="1">庫存管理[[#This Row],[持有成本(不含前手息)]]/庫存管理[[#This Row],[投入面額]]*100</f>
        <v>#VALUE!</v>
      </c>
      <c r="AE20" s="462" t="str">
        <f ca="1">IFERROR(VLOOKUP(庫存管理[[#This Row],[商品代號]],bond!B:AA,26,FALSE),"")</f>
        <v/>
      </c>
      <c r="AF20" s="1" t="str">
        <f ca="1">IFERROR(VLOOKUP($I20,'銀行-TSS'!B:Q,16,FALSE),"")</f>
        <v/>
      </c>
      <c r="AG20" s="466">
        <f t="shared" ca="1" si="1"/>
        <v>0</v>
      </c>
      <c r="AH20" s="458" t="e">
        <f ca="1">IF(OR(庫存管理[[#This Row],[起息日]]&gt;庫存管理[[#This Row],[買進前一配息日(複算)]],庫存管理[[#This Row],[判斷]]=TRUE),庫存管理[[#This Row],[起息日]],庫存管理[[#This Row],[買進前一配息日(複算)]])</f>
        <v>#N/A</v>
      </c>
      <c r="AI20" s="577" t="e">
        <f ca="1">VLOOKUP(I20,bond!B:AP,41,FALSE)</f>
        <v>#N/A</v>
      </c>
      <c r="AJ20" s="578" t="e">
        <f t="shared" ca="1" si="17"/>
        <v>#N/A</v>
      </c>
      <c r="AK20" s="579">
        <f ca="1">IFERROR(IF(庫存管理[[#This Row],[買進日是否落入record date]]=1,庫存管理[[#This Row],[record date制度前手息]],庫存管理[[#This Row],[計算前手息(初算)]]),0)</f>
        <v>0</v>
      </c>
      <c r="AL20" s="579" t="e">
        <f ca="1">IF(OR(庫存管理[[#This Row],[買進例外調整]]&lt;庫存管理[[#This Row],[起息日]],庫存管理[[#This Row],[買進例外調整]]&gt;庫存管理[[#This Row],[到期日]]),0,IF(庫存管理[[#This Row],[備註]]&lt;&gt;"",庫存管理[[#This Row],[買進時前手息]],IFERROR(ROUND(ACCRINT(AH20,AH20,V20,O20,100,Q20,AJ20,TRUE),4),0)))</f>
        <v>#N/A</v>
      </c>
      <c r="AM20" s="580" t="e">
        <f t="shared" ca="1" si="18"/>
        <v>#VALUE!</v>
      </c>
      <c r="AN20" s="440" t="e">
        <f ca="1">IFERROR(DATEVALUE(VLOOKUP(I20,bond!B:I,7,FALSE)),VLOOKUP(I20,bond!B:I,7,FALSE))</f>
        <v>#N/A</v>
      </c>
      <c r="AO20"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0" s="1075">
        <f ca="1">IFERROR(IF(庫存管理[[#This Row],[交割日是否落入record date]]=1,庫存管理[[#This Row],[交_record date制度前手息]],庫存管理[[#This Row],[計算交割前手息(初算)]]),0)</f>
        <v>0</v>
      </c>
      <c r="AQ20"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0" s="1063" t="e">
        <f ca="1">ROUND(庫存管理[[#This Row],[計算交割前手息(複算)]]*庫存管理[[#This Row],[投入面額]]/100,2)</f>
        <v>#VALUE!</v>
      </c>
      <c r="AS20" s="1064" t="e">
        <f ca="1">IF(庫存管理[[#This Row],[配息頻率]]=0,0,(100*庫存管理[[#This Row],[票面利率]]/庫存管理[[#This Row],[配息頻率]])*庫存管理[[#This Row],[經過幾次配息]]+庫存管理[[#This Row],[計算交割前手息(複算)]]-庫存管理[[#This Row],[計算前手息(複算)]])</f>
        <v>#VALUE!</v>
      </c>
      <c r="AT20" s="581" t="e">
        <f ca="1">IF(庫存管理[[#This Row],[商品代號]]="XFM90",0,ROUND(AS20*W20/100,2))</f>
        <v>#VALUE!</v>
      </c>
      <c r="AU20" s="582">
        <f ca="1">IF(MF=2,IFERROR(庫存管理[[#This Row],[累計配息]]/庫存管理[[#This Row],[持有成本(不含前手息)]],0),IFERROR(庫存管理[[#This Row],[已實現配息(原幣)]]/庫存管理[[#This Row],[持有成本(含前手息)]],0))</f>
        <v>0</v>
      </c>
      <c r="AV20" s="583" t="e">
        <f ca="1">IF(MF=2,庫存管理[[#This Row],[資本利損]]+庫存管理[[#This Row],[累計配息]],庫存管理[[#This Row],[資本利損]]+庫存管理[[#This Row],[已實現配息(原幣)]])</f>
        <v>#VALUE!</v>
      </c>
      <c r="AW20" s="584">
        <f ca="1">IF(庫存管理[[#This Row],[檢測]]=TRUE,IF(MF=2,IFERROR(庫存管理[[#This Row],[合計收益]]/庫存管理[[#This Row],[持有成本(不含前手息)]],0),IFERROR(庫存管理[[#This Row],[合計收益]]/庫存管理[[#This Row],[持有成本(含前手息)]],0)),0)</f>
        <v>0</v>
      </c>
      <c r="AX20" s="434" t="e">
        <f t="shared" ca="1" si="19"/>
        <v>#VALUE!</v>
      </c>
      <c r="AY20" s="434" t="e">
        <f t="shared" ca="1" si="20"/>
        <v>#VALUE!</v>
      </c>
      <c r="AZ20" s="434">
        <f t="shared" ca="1" si="21"/>
        <v>0</v>
      </c>
      <c r="BA20" s="434">
        <f t="shared" ca="1" si="22"/>
        <v>0</v>
      </c>
      <c r="BB20" s="441" t="e">
        <f ca="1">IF(AND(庫存管理[[#This Row],[名稱]]="美國國庫債券",DAY(庫存管理[[#This Row],[買進前一配息日(初算)]])&gt;=28),EOMONTH(庫存管理[[#This Row],[買進前一配息日(初算)]],0),庫存管理[[#This Row],[買進前一配息日(初算)]])</f>
        <v>#N/A</v>
      </c>
      <c r="BC20" s="441" t="e">
        <f t="shared" ca="1" si="23"/>
        <v>#N/A</v>
      </c>
      <c r="BD20" s="444" t="e">
        <f t="shared" ca="1" si="24"/>
        <v>#N/A</v>
      </c>
      <c r="BE20" s="441" t="e">
        <f ca="1">IF(Q20&gt;0,IF(MONTH(DATE(BD20,AX20,DAY(R20)))&lt;&gt;庫存管理[[#This Row],[第一個配息月]],DATE(BD20,AX20+1,0),DATE(BD20,AX20,DAY(R20))),庫存管理[[#This Row],[買進例外調整]]+100)</f>
        <v>#N/A</v>
      </c>
      <c r="BF20" s="441" t="e">
        <f ca="1">IF(AY20&lt;&gt;0,IF(MONTH(DATE(BD20,AY20,DAY(R20)))&lt;&gt;庫存管理[[#This Row],[第二個配息月]],DATE(BD20,AY20+1,0),DATE(BD20,AY20,DAY(R20))),庫存管理[[#This Row],[買進例外調整]]+100)</f>
        <v>#VALUE!</v>
      </c>
      <c r="BG20" s="441" t="e">
        <f ca="1">IF(AZ20&lt;&gt;0,IF(MONTH(DATE(BD20,AZ20,DAY(R20)))&lt;&gt;庫存管理[[#This Row],[第三個配息月]],DATE(BD20,AZ20+1,0),DATE(BD20,AZ20,DAY(R20))),庫存管理[[#This Row],[買進例外調整]]+100)</f>
        <v>#N/A</v>
      </c>
      <c r="BH20" s="441" t="e">
        <f ca="1">IF(BA20&lt;&gt;0,IF(MONTH(DATE(BD20,BA20,DAY(R20)))&lt;&gt;庫存管理[[#This Row],[第四個配息月]],DATE(BD20,BA20+1,0),DATE(BD20,BA20,DAY(R20))),庫存管理[[#This Row],[買進例外調整]]+100)</f>
        <v>#N/A</v>
      </c>
      <c r="BI20" s="441" t="e">
        <f ca="1">IF(Q20=1,IF(MONTH(DATE(BD20-1,AX20,DAY(R20)))&lt;&gt;庫存管理[[#This Row],[第一個配息月]],DATE(BD20-1,AX20+1,0),DATE(BD20-1,AX20,DAY(R20))),IF(Q20=2,IF(MONTH(DATE(BD20-1,AY20,DAY(R20)))&lt;&gt;庫存管理[[#This Row],[第二個配息月]],DATE(BD20-1,AY20+1,0),DATE(BD20-1,AY20,DAY(R20))),IF(Q20=4,IF(MONTH(DATE(BD20-1,BA20,DAY(R20)))&lt;&gt;庫存管理[[#This Row],[第四個配息月]],DATE(BD20-1,BA20+1,0),DATE(BD20-1,BA20,DAY(R20))),庫存管理[[#This Row],[買進例外調整]]+100)))</f>
        <v>#N/A</v>
      </c>
      <c r="BJ20" s="445">
        <f t="shared" ca="1" si="25"/>
        <v>10000</v>
      </c>
      <c r="BK20" s="445">
        <f t="shared" ca="1" si="26"/>
        <v>10000</v>
      </c>
      <c r="BL20" s="445">
        <f t="shared" ca="1" si="27"/>
        <v>10000</v>
      </c>
      <c r="BM20" s="445">
        <f t="shared" ca="1" si="28"/>
        <v>10000</v>
      </c>
      <c r="BN20" s="455">
        <f t="shared" ca="1" si="29"/>
        <v>10000</v>
      </c>
      <c r="BO20" s="479" t="e">
        <f ca="1">庫存管理[[#This Row],[年度配息]]/庫存管理[[#This Row],[配息頻率]]</f>
        <v>#VALUE!</v>
      </c>
      <c r="BP20" s="479" t="e">
        <f ca="1">庫存管理[[#This Row],[單次配息(原幣)]]*庫存管理[[#This Row],[換算匯率(現)]]</f>
        <v>#VALUE!</v>
      </c>
      <c r="BQ20" s="479" t="str">
        <f ca="1">IF(庫存管理[[#This Row],[商品代號]]&lt;&gt;"",IFERROR(VLOOKUP($I20,'銀行-TSS'!B:C,2,FALSE),""),"")</f>
        <v/>
      </c>
      <c r="BR20" s="479" t="e">
        <f ca="1">VLOOKUP(庫存管理[[#This Row],[幣別]],$B$37:$C$43,2,FALSE)</f>
        <v>#N/A</v>
      </c>
      <c r="BS20" s="500" t="e">
        <f ca="1">CHOOSE(庫存管理[[#This Row],[對應編碼]],$D$37,$D$38,$D$39,$D$40,$D$41,$D$42,$D$43)</f>
        <v>#N/A</v>
      </c>
      <c r="BT20" s="500">
        <f ca="1">IF(庫存管理[[#This Row],[商品代號]]="",0,CHOOSE(庫存管理[[#This Row],[對應編碼]],$E$37,$E$38,$E$39,$E$40,$E$41,$E$42,$E$43))</f>
        <v>0</v>
      </c>
      <c r="BU20" s="1555">
        <f ca="1">IF(庫存管理[[#This Row],[檢測]]=TRUE,庫存管理[[#This Row],[投入面額]]*庫存管理[[#This Row],[換算匯率(現)]],0)</f>
        <v>0</v>
      </c>
      <c r="BV20" s="1555">
        <f ca="1">IF(庫存管理[[#This Row],[檢測]]=TRUE,IFERROR(庫存管理[[#This Row],[持有成本(含前手息)]]*庫存管理[[#This Row],[換算匯率(買)]],0),0)</f>
        <v>0</v>
      </c>
      <c r="BW20" s="1555">
        <f ca="1">IF(庫存管理[[#This Row],[檢測]]=TRUE,庫存管理[[#This Row],[持有成本(不含前手息)]]*庫存管理[[#This Row],[換算匯率(買)]],0)</f>
        <v>0</v>
      </c>
      <c r="BX20" s="1555">
        <f ca="1">IF(庫存管理[[#This Row],[檢測]]=TRUE,庫存管理[[#This Row],[部位現值(含前手息)]]*庫存管理[[#This Row],[換算匯率(現)]],0)</f>
        <v>0</v>
      </c>
      <c r="BY20" s="1555">
        <f ca="1">IF(庫存管理[[#This Row],[檢測]]=TRUE,庫存管理[[#This Row],[部位現值(不含前手息)]]*庫存管理[[#This Row],[換算匯率(現)]],0)</f>
        <v>0</v>
      </c>
      <c r="BZ20" s="1555">
        <f ca="1">IF(庫存管理[[#This Row],[檢測]]=TRUE,IF(MF=2,庫存管理[[#This Row],[累計配息]]*庫存管理[[#This Row],[換算匯率(現)]],庫存管理[[#This Row],[已實現配息(原幣)]]*庫存管理[[#This Row],[換算匯率(現)]]),0)</f>
        <v>0</v>
      </c>
      <c r="CA20" s="1555" t="e">
        <f ca="1">庫存管理[[#This Row],[資本利損]]*庫存管理[[#This Row],[換算匯率(現)]]</f>
        <v>#VALUE!</v>
      </c>
      <c r="CB20" s="1555" t="e">
        <f ca="1">庫存管理[[#This Row],[累計利息(台)]]+庫存管理[[#This Row],[資本貢獻(台)]]</f>
        <v>#VALUE!</v>
      </c>
      <c r="CC20" s="574">
        <f ca="1">IF(庫存管理[[#This Row],[檢測]]=TRUE,IFERROR(庫存管理[[#This Row],[配息報酬]],0),0)</f>
        <v>0</v>
      </c>
      <c r="CD20" s="574">
        <f ca="1">IF(庫存管理[[#This Row],[檢測]]=TRUE,庫存管理[[#This Row],[資本報酬]],0)</f>
        <v>0</v>
      </c>
      <c r="CE20" s="574">
        <f ca="1">IF(S20=TRUE,IFERROR(庫存管理[[#This Row],[換匯總報酬率]]-(庫存管理[[#This Row],[配息報酬率]]+庫存管理[[#This Row],[資本報酬率]]),0),0)</f>
        <v>0</v>
      </c>
      <c r="CF20"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0" s="585">
        <f ca="1">IF(AND(庫存管理[[#This Row],[檢測]]=TRUE,開關=TRUE),IF(MF=2,IFERROR(BW20/$BW$1,0),IFERROR(BV20/$BV$1,0)),0)</f>
        <v>0</v>
      </c>
      <c r="CH20" s="574">
        <f ca="1">IF(庫存管理[[#This Row],[檢測]]=TRUE,IF(MF=2,IFERROR(BY20/$BY$1,0),IFERROR(BX20/$BX$1,0)),0)</f>
        <v>0</v>
      </c>
      <c r="CI20"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0" s="646" t="e">
        <f ca="1">DATEDIF(庫存管理[[#This Row],[買進例外調整]],庫存管理[[#This Row],[到期日]],"d")/365.25</f>
        <v>#N/A</v>
      </c>
      <c r="CK20" s="734" t="e">
        <f ca="1">DATEVALUE(VLOOKUP(庫存管理[[#This Row],[商品代號]],bond!B:AF,31,FALSE))</f>
        <v>#N/A</v>
      </c>
      <c r="CL20" s="734" t="e">
        <f ca="1">IF(庫存管理[[#This Row],[買下配(國調)]]&lt;庫存管理[[#This Row],[第一票息日]],庫存管理[[#This Row],[第一票息日]],庫存管理[[#This Row],[買下配(國調)]])</f>
        <v>#N/A</v>
      </c>
      <c r="CM20"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0"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0" s="735">
        <f ca="1">IF(庫存管理[[#This Row],[商品代號]]="XFM90",0,IFERROR(庫存管理[[#This Row],[單次配息(原幣)]]*庫存管理[[#This Row],[經過幾次配息]],0))</f>
        <v>0</v>
      </c>
      <c r="CP20" s="735" t="e">
        <f ca="1">VLOOKUP(庫存管理[[#This Row],[商品代號]],bond!B:F,5,FALSE)</f>
        <v>#N/A</v>
      </c>
      <c r="CQ20" s="734" t="str">
        <f ca="1">IFERROR(VLOOKUP(庫存管理[[#This Row],[ISIN]],'7_發行日例外'!A:C,3,FALSE),IFERROR(DATEVALUE(VLOOKUP(庫存管理[[#This Row],[商品代號]],bond!B:AR,43,FALSE)),""))</f>
        <v/>
      </c>
      <c r="CR20" s="735" t="e">
        <f ca="1">DATEDIF(庫存管理[[#This Row],[起息日]],庫存管理[[#This Row],[買進前一配息日(複算)]],"d")</f>
        <v>#VALUE!</v>
      </c>
      <c r="CS20"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0" s="734" t="e">
        <f ca="1">IFERROR(VLOOKUP(庫存管理[[#This Row],[ISIN]],'7_發行日例外'!A:D,4,FALSE),DATEVALUE(VLOOKUP(庫存管理[[#This Row],[商品代號]],bond!B:AV,44,FALSE)))</f>
        <v>#N/A</v>
      </c>
      <c r="CU20" s="735" t="e">
        <f ca="1">VLOOKUP(庫存管理[[#This Row],[商品代號]],bond!B:AU,46,FALSE)</f>
        <v>#N/A</v>
      </c>
      <c r="CV20" s="735" t="e">
        <f ca="1">IF(庫存管理[[#This Row],[計息基礎]]=1,CHOOSE(庫存管理[[#This Row],[對應編碼]],"沒進位","","沒進位",IF(庫存管理[[#This Row],[計算類型]]="AUSTRALIA:EX-DIV","4捨五入進0.01%","沒進位"),"年/2去計算ACT","沒進位","沒進位"),"")</f>
        <v>#N/A</v>
      </c>
      <c r="CW20" s="735" t="e">
        <f ca="1">_xlfn.DAYS(庫存管理[[#This Row],[買進例外調整]],庫存管理[[#This Row],[買進前一個配息日(最終)]])</f>
        <v>#N/A</v>
      </c>
      <c r="CX20" s="735" t="e">
        <f ca="1">IF(庫存管理[[#This Row],[備註]]="年/2去計算ACT",365/2,_xlfn.DAYS(庫存管理[[#This Row],[買進時的下個配息日]],庫存管理[[#This Row],[買進前一個配息日(最終)]]))</f>
        <v>#N/A</v>
      </c>
      <c r="CY20"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0" s="767" t="e">
        <f ca="1">_xlfn.DAYS(庫存管理[[#This Row],[交割日]],庫存管理[[#This Row],[買進前一個配息日(最終)]])</f>
        <v>#N/A</v>
      </c>
      <c r="DA20"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0" s="767" t="e">
        <f ca="1">_xlfn.DAYS(庫存管理[[#This Row],[交割日]],庫存管理[[#This Row],[最近的上一票息日]])</f>
        <v>#N/A</v>
      </c>
      <c r="DC20" s="767" t="e">
        <f ca="1">IF(庫存管理[[#This Row],[備註]]="年/2去計算ACT",365/2,_xlfn.DAYS(庫存管理[[#This Row],[下一配息日]],庫存管理[[#This Row],[最近的上一票息日]]))</f>
        <v>#N/A</v>
      </c>
      <c r="DD20"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0" s="739" t="e">
        <f ca="1">CL20-庫存管理[[#This Row],[ex_div_days]]</f>
        <v>#N/A</v>
      </c>
      <c r="DF20" s="646" t="e">
        <f ca="1">IF(VLOOKUP(庫存管理[[#This Row],[商品代號]],bond!B:AT,45,FALSE)="#N/A Field Not Applicable",0,VLOOKUP(庫存管理[[#This Row],[商品代號]],bond!B:AT,45,FALSE))</f>
        <v>#N/A</v>
      </c>
      <c r="DG20" s="793" t="e">
        <f ca="1">IF(庫存管理[[#This Row],[ex_div_days]]&lt;&gt;0,IF(AND(庫存管理[[#This Row],[買進例外調整]]-庫存管理[[#This Row],[買進下一個配息日先減n天]]&gt;=0,庫存管理[[#This Row],[買進時的下個配息日]]-庫存管理[[#This Row],[買進例外調整]]&gt;0),1,0),0)</f>
        <v>#N/A</v>
      </c>
      <c r="DH20"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0" s="734" t="e">
        <f ca="1">庫存管理[[#This Row],[下一配息日]]-庫存管理[[#This Row],[ex_div_days]]</f>
        <v>#VALUE!</v>
      </c>
      <c r="DJ20" s="1081" t="e">
        <f ca="1">IF(庫存管理[[#This Row],[ex_div_days]]&lt;&gt;0,IF(AND(庫存管理[[#This Row],[交割日]]-庫存管理[[#This Row],[交割下個配息日先減n天]]&gt;=0,庫存管理[[#This Row],[下一配息日]]-庫存管理[[#This Row],[交割日]]&gt;0),1,0),0)</f>
        <v>#N/A</v>
      </c>
      <c r="DK20"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0" s="735">
        <f ca="1">IFERROR(VLOOKUP(庫存管理[[#This Row],[商品代號]],bond!B:X,21,FALSE),0)</f>
        <v>0</v>
      </c>
      <c r="DM20" s="735">
        <f ca="1">IFERROR(VLOOKUP(I20,bond!B:J,9,FALSE),0)</f>
        <v>0</v>
      </c>
      <c r="DN20" s="1188">
        <f ca="1">IF(AND(開關=TRUE,庫存管理[[#This Row],[投組檢測]]=TRUE),IF(MF=2,IFERROR(BW20/$BW$3,0),IFERROR(BV20/$BV$3,0)),0)</f>
        <v>0</v>
      </c>
      <c r="DO20" s="735">
        <f ca="1">IFERROR(庫存管理[[#This Row],[clean申購價]]/100*庫存管理[[#This Row],[投入面額]]*庫存管理[[#This Row],[MOD]]*0.01,0)</f>
        <v>0</v>
      </c>
      <c r="DP20" s="1298" t="e">
        <f ca="1">IF($C$16=1,庫存管理[[#This Row],[單次配息(台幣)]],庫存管理[[#This Row],[單次配息(原幣)]])</f>
        <v>#VALUE!</v>
      </c>
      <c r="DQ20"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0"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0"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0"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0"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0"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0"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0"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0"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0"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0"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0"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c r="EC20" s="33"/>
      <c r="ED20" s="33"/>
      <c r="EE20" s="33"/>
      <c r="EF20" s="33"/>
      <c r="EG20" s="33"/>
      <c r="EH20" s="33"/>
      <c r="EI20" s="33"/>
      <c r="EJ20" s="33"/>
      <c r="EK20" s="33"/>
      <c r="EL20" s="33"/>
      <c r="EM20" s="33"/>
      <c r="EN20" s="33"/>
      <c r="EO20" s="33"/>
      <c r="EP20" s="33"/>
      <c r="EQ20" s="33"/>
      <c r="ER20" s="33"/>
      <c r="ES20" s="33"/>
      <c r="ET20" s="33"/>
      <c r="EU20" s="33"/>
      <c r="EV20" s="33"/>
      <c r="EW20" s="33"/>
      <c r="EX20" s="33"/>
      <c r="EY20" s="33"/>
      <c r="EZ20" s="33"/>
      <c r="FA20" s="33"/>
      <c r="FB20" s="33"/>
      <c r="FC20" s="33"/>
      <c r="FD20" s="33"/>
      <c r="FE20" s="33"/>
      <c r="FF20" s="33"/>
      <c r="FG20" s="33"/>
      <c r="FH20" s="33"/>
      <c r="FI20" s="33"/>
      <c r="FJ20" s="33"/>
      <c r="FK20" s="33"/>
      <c r="FL20" s="33"/>
      <c r="FM20" s="33"/>
      <c r="FN20" s="33"/>
      <c r="FO20" s="33"/>
      <c r="FP20" s="33"/>
      <c r="FQ20" s="33"/>
      <c r="FR20" s="33"/>
      <c r="FS20" s="33"/>
      <c r="FT20" s="33"/>
      <c r="FU20" s="33"/>
      <c r="FV20" s="33"/>
      <c r="FW20" s="33"/>
      <c r="FX20" s="33"/>
      <c r="FY20" s="33"/>
      <c r="FZ20" s="33"/>
      <c r="GA20" s="33"/>
      <c r="GB20" s="33"/>
      <c r="GC20" s="33"/>
      <c r="GD20" s="33"/>
      <c r="GE20" s="33"/>
      <c r="GF20" s="33"/>
      <c r="GG20" s="33"/>
      <c r="GH20" s="33"/>
      <c r="GI20" s="33"/>
      <c r="GJ20" s="33"/>
      <c r="GK20" s="33"/>
      <c r="GL20" s="33"/>
      <c r="GM20" s="33"/>
      <c r="GN20" s="33"/>
      <c r="GO20" s="33"/>
      <c r="GP20" s="33"/>
      <c r="GQ20" s="33"/>
      <c r="GR20" s="33"/>
      <c r="GS20" s="33"/>
      <c r="GT20" s="33"/>
      <c r="GU20" s="33"/>
      <c r="GV20" s="33"/>
      <c r="GW20" s="33"/>
      <c r="GX20" s="33"/>
      <c r="GY20" s="33"/>
      <c r="GZ20" s="33"/>
      <c r="HA20" s="33"/>
      <c r="HB20" s="33"/>
      <c r="HC20" s="33"/>
      <c r="HD20" s="33"/>
      <c r="HE20" s="33"/>
      <c r="HF20" s="33"/>
      <c r="HG20" s="33"/>
      <c r="HH20" s="33"/>
      <c r="HI20" s="33"/>
      <c r="HJ20" s="33"/>
      <c r="HK20" s="33"/>
      <c r="HL20" s="33"/>
      <c r="HM20" s="33"/>
      <c r="HN20" s="33"/>
      <c r="HO20" s="33"/>
      <c r="HP20" s="33"/>
      <c r="HQ20" s="33"/>
      <c r="HR20" s="33"/>
      <c r="HS20" s="33"/>
      <c r="HT20" s="33"/>
      <c r="HU20" s="33"/>
    </row>
    <row r="21" spans="2:229" ht="19.5" customHeight="1">
      <c r="B21" s="12">
        <v>3</v>
      </c>
      <c r="C21" s="604">
        <f t="shared" ca="1" si="30"/>
        <v>0</v>
      </c>
      <c r="D21" s="26" t="s">
        <v>1790</v>
      </c>
      <c r="E21" s="12" t="str">
        <f t="shared" ca="1" si="14"/>
        <v/>
      </c>
      <c r="F21" s="1711"/>
      <c r="G21" s="459">
        <v>15</v>
      </c>
      <c r="H21" s="1166" t="b">
        <f ca="1">IFERROR(IF(VLOOKUP(G21,換券投組!$AH$8:$AH$13,1,FALSE)&gt;0,TRUE,FALSE),FALSE)</f>
        <v>0</v>
      </c>
      <c r="I21" s="1693" t="str">
        <f ca="1">IF(開關=TRUE,'商品代碼-中繼頁'!R16,"")</f>
        <v/>
      </c>
      <c r="J21" s="429">
        <f ca="1">IFERROR(VLOOKUP(I21,bond!B:I,8,FALSE),0)</f>
        <v>0</v>
      </c>
      <c r="K21" s="429">
        <f ca="1">IFERROR(庫存管理[[#This Row],[買價]]+VLOOKUP(庫存管理[[#This Row],[商品代號]],bond!B:K,10,FALSE),0)</f>
        <v>0</v>
      </c>
      <c r="L21" s="430" t="e">
        <f ca="1">VLOOKUP(I21,'銀行-TSS'!B:E,4,FALSE)</f>
        <v>#N/A</v>
      </c>
      <c r="M21" s="431">
        <f ca="1">IFERROR(VLOOKUP($I21,'銀行-TSS'!B:G,6,FALSE),0)</f>
        <v>0</v>
      </c>
      <c r="N21" s="432" t="e">
        <f ca="1">IFERROR(DATEVALUE(VLOOKUP($I21,'銀行-TSS'!B:F,5,FALSE)),VLOOKUP($I21,'銀行-TSS'!B:F,5,FALSE))</f>
        <v>#N/A</v>
      </c>
      <c r="O21" s="433">
        <f ca="1">IFERROR(VLOOKUP($I21,'銀行-TSS'!B:H,7,FALSE),0)</f>
        <v>0</v>
      </c>
      <c r="P21" s="433" t="e">
        <f ca="1">庫存管理[[#This Row],[票面利率]]/庫存管理[[#This Row],[成本價(不含前手息)]]*100</f>
        <v>#VALUE!</v>
      </c>
      <c r="Q21" s="434" t="str">
        <f ca="1">IFERROR(VLOOKUP($I21,'銀行-TSS'!B:I,8,FALSE),"")</f>
        <v/>
      </c>
      <c r="R21" s="440" t="str">
        <f ca="1">_xlfn.IFNA(IFERROR(DATEVALUE(VLOOKUP($I21,'銀行-TSS'!B:P,15,FALSE)),VLOOKUP($I21,'銀行-TSS'!B:P,15,FALSE)),"")</f>
        <v/>
      </c>
      <c r="S21" s="570" t="b">
        <f ca="1">IF(AND(庫存管理[[#This Row],[配息頻率]]&lt;&gt;"",庫存管理[[#This Row],[持有成本(不含前手息)]]&lt;&gt;0,庫存管理[[#This Row],[買進日]]&lt;&gt;""),TRUE,FALSE)</f>
        <v>0</v>
      </c>
      <c r="T21" s="602" t="str">
        <f>IFERROR(DATE(LEFT('商品代碼-中繼頁'!S16,4),MID('商品代碼-中繼頁'!S16,5,2),RIGHT('商品代碼-中繼頁'!S16,2)),"")</f>
        <v/>
      </c>
      <c r="U21"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1" s="442" t="e">
        <f ca="1">IFERROR(WORKDAY(庫存管理[[#This Row],[買進日]],VLOOKUP(庫存管理[[#This Row],[商品代號]],'1_重設數據'!R:S,2,FALSE),休USD),庫存管理[[#This Row],[買進日(T+2/公債T+1)]])</f>
        <v>#N/A</v>
      </c>
      <c r="W21" s="43" t="str">
        <f>'商品代碼-中繼頁'!T16</f>
        <v/>
      </c>
      <c r="X21" s="43" t="str">
        <f>'商品代碼-中繼頁'!U16</f>
        <v/>
      </c>
      <c r="Y21" s="464">
        <f t="shared" ca="1" si="9"/>
        <v>0</v>
      </c>
      <c r="Z21" s="464" t="e">
        <f t="shared" ca="1" si="15"/>
        <v>#VALUE!</v>
      </c>
      <c r="AA21" s="465" t="e">
        <f t="shared" ca="1" si="16"/>
        <v>#VALUE!</v>
      </c>
      <c r="AB21" s="474" t="e">
        <f ca="1">IF(MF=2,庫存管理[[#This Row],[部位現值(不含前手息)]]-庫存管理[[#This Row],[持有成本(不含前手息)]],庫存管理[[#This Row],[部位現值(含前手息)]]-庫存管理[[#This Row],[持有成本(含前手息)]])</f>
        <v>#VALUE!</v>
      </c>
      <c r="AC21" s="462">
        <f ca="1">IF(庫存管理[[#This Row],[檢測]]=TRUE,IF(MF=2,IFERROR(庫存管理[[#This Row],[資本利損]]/庫存管理[[#This Row],[持有成本(不含前手息)]],0),IFERROR(庫存管理[[#This Row],[資本利損]]/庫存管理[[#This Row],[持有成本(含前手息)]],0)),0)</f>
        <v>0</v>
      </c>
      <c r="AD21" s="618" t="e">
        <f ca="1">庫存管理[[#This Row],[持有成本(不含前手息)]]/庫存管理[[#This Row],[投入面額]]*100</f>
        <v>#VALUE!</v>
      </c>
      <c r="AE21" s="462" t="str">
        <f ca="1">IFERROR(VLOOKUP(庫存管理[[#This Row],[商品代號]],bond!B:AA,26,FALSE),"")</f>
        <v/>
      </c>
      <c r="AF21" s="1" t="str">
        <f ca="1">IFERROR(VLOOKUP($I21,'銀行-TSS'!B:Q,16,FALSE),"")</f>
        <v/>
      </c>
      <c r="AG21" s="466">
        <f t="shared" ca="1" si="1"/>
        <v>0</v>
      </c>
      <c r="AH21" s="458" t="e">
        <f ca="1">IF(OR(庫存管理[[#This Row],[起息日]]&gt;庫存管理[[#This Row],[買進前一配息日(複算)]],庫存管理[[#This Row],[判斷]]=TRUE),庫存管理[[#This Row],[起息日]],庫存管理[[#This Row],[買進前一配息日(複算)]])</f>
        <v>#N/A</v>
      </c>
      <c r="AI21" s="577" t="e">
        <f ca="1">VLOOKUP(I21,bond!B:AP,41,FALSE)</f>
        <v>#N/A</v>
      </c>
      <c r="AJ21" s="578" t="e">
        <f t="shared" ca="1" si="17"/>
        <v>#N/A</v>
      </c>
      <c r="AK21" s="579">
        <f ca="1">IFERROR(IF(庫存管理[[#This Row],[買進日是否落入record date]]=1,庫存管理[[#This Row],[record date制度前手息]],庫存管理[[#This Row],[計算前手息(初算)]]),0)</f>
        <v>0</v>
      </c>
      <c r="AL21" s="579" t="e">
        <f ca="1">IF(OR(庫存管理[[#This Row],[買進例外調整]]&lt;庫存管理[[#This Row],[起息日]],庫存管理[[#This Row],[買進例外調整]]&gt;庫存管理[[#This Row],[到期日]]),0,IF(庫存管理[[#This Row],[備註]]&lt;&gt;"",庫存管理[[#This Row],[買進時前手息]],IFERROR(ROUND(ACCRINT(AH21,AH21,V21,O21,100,Q21,AJ21,TRUE),4),0)))</f>
        <v>#N/A</v>
      </c>
      <c r="AM21" s="580" t="e">
        <f t="shared" ca="1" si="18"/>
        <v>#VALUE!</v>
      </c>
      <c r="AN21" s="440" t="e">
        <f ca="1">IFERROR(DATEVALUE(VLOOKUP(I21,bond!B:I,7,FALSE)),VLOOKUP(I21,bond!B:I,7,FALSE))</f>
        <v>#N/A</v>
      </c>
      <c r="AO21"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1" s="1075">
        <f ca="1">IFERROR(IF(庫存管理[[#This Row],[交割日是否落入record date]]=1,庫存管理[[#This Row],[交_record date制度前手息]],庫存管理[[#This Row],[計算交割前手息(初算)]]),0)</f>
        <v>0</v>
      </c>
      <c r="AQ21"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1" s="1063" t="e">
        <f ca="1">ROUND(庫存管理[[#This Row],[計算交割前手息(複算)]]*庫存管理[[#This Row],[投入面額]]/100,2)</f>
        <v>#VALUE!</v>
      </c>
      <c r="AS21" s="1064" t="e">
        <f ca="1">IF(庫存管理[[#This Row],[配息頻率]]=0,0,(100*庫存管理[[#This Row],[票面利率]]/庫存管理[[#This Row],[配息頻率]])*庫存管理[[#This Row],[經過幾次配息]]+庫存管理[[#This Row],[計算交割前手息(複算)]]-庫存管理[[#This Row],[計算前手息(複算)]])</f>
        <v>#VALUE!</v>
      </c>
      <c r="AT21" s="581" t="e">
        <f ca="1">IF(庫存管理[[#This Row],[商品代號]]="XFM90",0,ROUND(AS21*W21/100,2))</f>
        <v>#VALUE!</v>
      </c>
      <c r="AU21" s="582">
        <f ca="1">IF(MF=2,IFERROR(庫存管理[[#This Row],[累計配息]]/庫存管理[[#This Row],[持有成本(不含前手息)]],0),IFERROR(庫存管理[[#This Row],[已實現配息(原幣)]]/庫存管理[[#This Row],[持有成本(含前手息)]],0))</f>
        <v>0</v>
      </c>
      <c r="AV21" s="583" t="e">
        <f ca="1">IF(MF=2,庫存管理[[#This Row],[資本利損]]+庫存管理[[#This Row],[累計配息]],庫存管理[[#This Row],[資本利損]]+庫存管理[[#This Row],[已實現配息(原幣)]])</f>
        <v>#VALUE!</v>
      </c>
      <c r="AW21" s="584">
        <f ca="1">IF(庫存管理[[#This Row],[檢測]]=TRUE,IF(MF=2,IFERROR(庫存管理[[#This Row],[合計收益]]/庫存管理[[#This Row],[持有成本(不含前手息)]],0),IFERROR(庫存管理[[#This Row],[合計收益]]/庫存管理[[#This Row],[持有成本(含前手息)]],0)),0)</f>
        <v>0</v>
      </c>
      <c r="AX21" s="434" t="e">
        <f t="shared" ca="1" si="19"/>
        <v>#VALUE!</v>
      </c>
      <c r="AY21" s="434" t="e">
        <f t="shared" ca="1" si="20"/>
        <v>#VALUE!</v>
      </c>
      <c r="AZ21" s="434">
        <f t="shared" ca="1" si="21"/>
        <v>0</v>
      </c>
      <c r="BA21" s="434">
        <f t="shared" ca="1" si="22"/>
        <v>0</v>
      </c>
      <c r="BB21" s="441" t="e">
        <f ca="1">IF(AND(庫存管理[[#This Row],[名稱]]="美國國庫債券",DAY(庫存管理[[#This Row],[買進前一配息日(初算)]])&gt;=28),EOMONTH(庫存管理[[#This Row],[買進前一配息日(初算)]],0),庫存管理[[#This Row],[買進前一配息日(初算)]])</f>
        <v>#N/A</v>
      </c>
      <c r="BC21" s="441" t="e">
        <f t="shared" ca="1" si="23"/>
        <v>#N/A</v>
      </c>
      <c r="BD21" s="444" t="e">
        <f t="shared" ca="1" si="24"/>
        <v>#N/A</v>
      </c>
      <c r="BE21" s="441" t="e">
        <f ca="1">IF(Q21&gt;0,IF(MONTH(DATE(BD21,AX21,DAY(R21)))&lt;&gt;庫存管理[[#This Row],[第一個配息月]],DATE(BD21,AX21+1,0),DATE(BD21,AX21,DAY(R21))),庫存管理[[#This Row],[買進例外調整]]+100)</f>
        <v>#N/A</v>
      </c>
      <c r="BF21" s="441" t="e">
        <f ca="1">IF(AY21&lt;&gt;0,IF(MONTH(DATE(BD21,AY21,DAY(R21)))&lt;&gt;庫存管理[[#This Row],[第二個配息月]],DATE(BD21,AY21+1,0),DATE(BD21,AY21,DAY(R21))),庫存管理[[#This Row],[買進例外調整]]+100)</f>
        <v>#VALUE!</v>
      </c>
      <c r="BG21" s="441" t="e">
        <f ca="1">IF(AZ21&lt;&gt;0,IF(MONTH(DATE(BD21,AZ21,DAY(R21)))&lt;&gt;庫存管理[[#This Row],[第三個配息月]],DATE(BD21,AZ21+1,0),DATE(BD21,AZ21,DAY(R21))),庫存管理[[#This Row],[買進例外調整]]+100)</f>
        <v>#N/A</v>
      </c>
      <c r="BH21" s="441" t="e">
        <f ca="1">IF(BA21&lt;&gt;0,IF(MONTH(DATE(BD21,BA21,DAY(R21)))&lt;&gt;庫存管理[[#This Row],[第四個配息月]],DATE(BD21,BA21+1,0),DATE(BD21,BA21,DAY(R21))),庫存管理[[#This Row],[買進例外調整]]+100)</f>
        <v>#N/A</v>
      </c>
      <c r="BI21" s="441" t="e">
        <f ca="1">IF(Q21=1,IF(MONTH(DATE(BD21-1,AX21,DAY(R21)))&lt;&gt;庫存管理[[#This Row],[第一個配息月]],DATE(BD21-1,AX21+1,0),DATE(BD21-1,AX21,DAY(R21))),IF(Q21=2,IF(MONTH(DATE(BD21-1,AY21,DAY(R21)))&lt;&gt;庫存管理[[#This Row],[第二個配息月]],DATE(BD21-1,AY21+1,0),DATE(BD21-1,AY21,DAY(R21))),IF(Q21=4,IF(MONTH(DATE(BD21-1,BA21,DAY(R21)))&lt;&gt;庫存管理[[#This Row],[第四個配息月]],DATE(BD21-1,BA21+1,0),DATE(BD21-1,BA21,DAY(R21))),庫存管理[[#This Row],[買進例外調整]]+100)))</f>
        <v>#N/A</v>
      </c>
      <c r="BJ21" s="445">
        <f t="shared" ca="1" si="25"/>
        <v>10000</v>
      </c>
      <c r="BK21" s="445">
        <f t="shared" ca="1" si="26"/>
        <v>10000</v>
      </c>
      <c r="BL21" s="445">
        <f t="shared" ca="1" si="27"/>
        <v>10000</v>
      </c>
      <c r="BM21" s="445">
        <f t="shared" ca="1" si="28"/>
        <v>10000</v>
      </c>
      <c r="BN21" s="455">
        <f t="shared" ca="1" si="29"/>
        <v>10000</v>
      </c>
      <c r="BO21" s="479" t="e">
        <f ca="1">庫存管理[[#This Row],[年度配息]]/庫存管理[[#This Row],[配息頻率]]</f>
        <v>#VALUE!</v>
      </c>
      <c r="BP21" s="479" t="e">
        <f ca="1">庫存管理[[#This Row],[單次配息(原幣)]]*庫存管理[[#This Row],[換算匯率(現)]]</f>
        <v>#VALUE!</v>
      </c>
      <c r="BQ21" s="479" t="str">
        <f ca="1">IF(庫存管理[[#This Row],[商品代號]]&lt;&gt;"",IFERROR(VLOOKUP($I21,'銀行-TSS'!B:C,2,FALSE),""),"")</f>
        <v/>
      </c>
      <c r="BR21" s="479" t="e">
        <f ca="1">VLOOKUP(庫存管理[[#This Row],[幣別]],$B$37:$C$43,2,FALSE)</f>
        <v>#N/A</v>
      </c>
      <c r="BS21" s="500" t="e">
        <f ca="1">CHOOSE(庫存管理[[#This Row],[對應編碼]],$D$37,$D$38,$D$39,$D$40,$D$41,$D$42,$D$43)</f>
        <v>#N/A</v>
      </c>
      <c r="BT21" s="500">
        <f ca="1">IF(庫存管理[[#This Row],[商品代號]]="",0,CHOOSE(庫存管理[[#This Row],[對應編碼]],$E$37,$E$38,$E$39,$E$40,$E$41,$E$42,$E$43))</f>
        <v>0</v>
      </c>
      <c r="BU21" s="1555">
        <f ca="1">IF(庫存管理[[#This Row],[檢測]]=TRUE,庫存管理[[#This Row],[投入面額]]*庫存管理[[#This Row],[換算匯率(現)]],0)</f>
        <v>0</v>
      </c>
      <c r="BV21" s="1555">
        <f ca="1">IF(庫存管理[[#This Row],[檢測]]=TRUE,IFERROR(庫存管理[[#This Row],[持有成本(含前手息)]]*庫存管理[[#This Row],[換算匯率(買)]],0),0)</f>
        <v>0</v>
      </c>
      <c r="BW21" s="1555">
        <f ca="1">IF(庫存管理[[#This Row],[檢測]]=TRUE,庫存管理[[#This Row],[持有成本(不含前手息)]]*庫存管理[[#This Row],[換算匯率(買)]],0)</f>
        <v>0</v>
      </c>
      <c r="BX21" s="1555">
        <f ca="1">IF(庫存管理[[#This Row],[檢測]]=TRUE,庫存管理[[#This Row],[部位現值(含前手息)]]*庫存管理[[#This Row],[換算匯率(現)]],0)</f>
        <v>0</v>
      </c>
      <c r="BY21" s="1555">
        <f ca="1">IF(庫存管理[[#This Row],[檢測]]=TRUE,庫存管理[[#This Row],[部位現值(不含前手息)]]*庫存管理[[#This Row],[換算匯率(現)]],0)</f>
        <v>0</v>
      </c>
      <c r="BZ21" s="1555">
        <f ca="1">IF(庫存管理[[#This Row],[檢測]]=TRUE,IF(MF=2,庫存管理[[#This Row],[累計配息]]*庫存管理[[#This Row],[換算匯率(現)]],庫存管理[[#This Row],[已實現配息(原幣)]]*庫存管理[[#This Row],[換算匯率(現)]]),0)</f>
        <v>0</v>
      </c>
      <c r="CA21" s="1555" t="e">
        <f ca="1">庫存管理[[#This Row],[資本利損]]*庫存管理[[#This Row],[換算匯率(現)]]</f>
        <v>#VALUE!</v>
      </c>
      <c r="CB21" s="1555" t="e">
        <f ca="1">庫存管理[[#This Row],[累計利息(台)]]+庫存管理[[#This Row],[資本貢獻(台)]]</f>
        <v>#VALUE!</v>
      </c>
      <c r="CC21" s="574">
        <f ca="1">IF(庫存管理[[#This Row],[檢測]]=TRUE,IFERROR(庫存管理[[#This Row],[配息報酬]],0),0)</f>
        <v>0</v>
      </c>
      <c r="CD21" s="574">
        <f ca="1">IF(庫存管理[[#This Row],[檢測]]=TRUE,庫存管理[[#This Row],[資本報酬]],0)</f>
        <v>0</v>
      </c>
      <c r="CE21" s="574">
        <f ca="1">IF(S21=TRUE,IFERROR(庫存管理[[#This Row],[換匯總報酬率]]-(庫存管理[[#This Row],[配息報酬率]]+庫存管理[[#This Row],[資本報酬率]]),0),0)</f>
        <v>0</v>
      </c>
      <c r="CF21"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1" s="585">
        <f ca="1">IF(AND(庫存管理[[#This Row],[檢測]]=TRUE,開關=TRUE),IF(MF=2,IFERROR(BW21/$BW$1,0),IFERROR(BV21/$BV$1,0)),0)</f>
        <v>0</v>
      </c>
      <c r="CH21" s="574">
        <f ca="1">IF(庫存管理[[#This Row],[檢測]]=TRUE,IF(MF=2,IFERROR(BY21/$BY$1,0),IFERROR(BX21/$BX$1,0)),0)</f>
        <v>0</v>
      </c>
      <c r="CI21"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1" s="646" t="e">
        <f ca="1">DATEDIF(庫存管理[[#This Row],[買進例外調整]],庫存管理[[#This Row],[到期日]],"d")/365.25</f>
        <v>#N/A</v>
      </c>
      <c r="CK21" s="734" t="e">
        <f ca="1">DATEVALUE(VLOOKUP(庫存管理[[#This Row],[商品代號]],bond!B:AF,31,FALSE))</f>
        <v>#N/A</v>
      </c>
      <c r="CL21" s="734" t="e">
        <f ca="1">IF(庫存管理[[#This Row],[買下配(國調)]]&lt;庫存管理[[#This Row],[第一票息日]],庫存管理[[#This Row],[第一票息日]],庫存管理[[#This Row],[買下配(國調)]])</f>
        <v>#N/A</v>
      </c>
      <c r="CM21"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1"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1" s="735">
        <f ca="1">IF(庫存管理[[#This Row],[商品代號]]="XFM90",0,IFERROR(庫存管理[[#This Row],[單次配息(原幣)]]*庫存管理[[#This Row],[經過幾次配息]],0))</f>
        <v>0</v>
      </c>
      <c r="CP21" s="735" t="e">
        <f ca="1">VLOOKUP(庫存管理[[#This Row],[商品代號]],bond!B:F,5,FALSE)</f>
        <v>#N/A</v>
      </c>
      <c r="CQ21" s="734" t="str">
        <f ca="1">IFERROR(VLOOKUP(庫存管理[[#This Row],[ISIN]],'7_發行日例外'!A:C,3,FALSE),IFERROR(DATEVALUE(VLOOKUP(庫存管理[[#This Row],[商品代號]],bond!B:AR,43,FALSE)),""))</f>
        <v/>
      </c>
      <c r="CR21" s="735" t="e">
        <f ca="1">DATEDIF(庫存管理[[#This Row],[起息日]],庫存管理[[#This Row],[買進前一配息日(複算)]],"d")</f>
        <v>#VALUE!</v>
      </c>
      <c r="CS21"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1" s="734" t="e">
        <f ca="1">IFERROR(VLOOKUP(庫存管理[[#This Row],[ISIN]],'7_發行日例外'!A:D,4,FALSE),DATEVALUE(VLOOKUP(庫存管理[[#This Row],[商品代號]],bond!B:AV,44,FALSE)))</f>
        <v>#N/A</v>
      </c>
      <c r="CU21" s="735" t="e">
        <f ca="1">VLOOKUP(庫存管理[[#This Row],[商品代號]],bond!B:AU,46,FALSE)</f>
        <v>#N/A</v>
      </c>
      <c r="CV21" s="735" t="e">
        <f ca="1">IF(庫存管理[[#This Row],[計息基礎]]=1,CHOOSE(庫存管理[[#This Row],[對應編碼]],"沒進位","","沒進位",IF(庫存管理[[#This Row],[計算類型]]="AUSTRALIA:EX-DIV","4捨五入進0.01%","沒進位"),"年/2去計算ACT","沒進位","沒進位"),"")</f>
        <v>#N/A</v>
      </c>
      <c r="CW21" s="735" t="e">
        <f ca="1">_xlfn.DAYS(庫存管理[[#This Row],[買進例外調整]],庫存管理[[#This Row],[買進前一個配息日(最終)]])</f>
        <v>#N/A</v>
      </c>
      <c r="CX21" s="735" t="e">
        <f ca="1">IF(庫存管理[[#This Row],[備註]]="年/2去計算ACT",365/2,_xlfn.DAYS(庫存管理[[#This Row],[買進時的下個配息日]],庫存管理[[#This Row],[買進前一個配息日(最終)]]))</f>
        <v>#N/A</v>
      </c>
      <c r="CY21"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1" s="767" t="e">
        <f ca="1">_xlfn.DAYS(庫存管理[[#This Row],[交割日]],庫存管理[[#This Row],[買進前一個配息日(最終)]])</f>
        <v>#N/A</v>
      </c>
      <c r="DA21"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1" s="767" t="e">
        <f ca="1">_xlfn.DAYS(庫存管理[[#This Row],[交割日]],庫存管理[[#This Row],[最近的上一票息日]])</f>
        <v>#N/A</v>
      </c>
      <c r="DC21" s="767" t="e">
        <f ca="1">IF(庫存管理[[#This Row],[備註]]="年/2去計算ACT",365/2,_xlfn.DAYS(庫存管理[[#This Row],[下一配息日]],庫存管理[[#This Row],[最近的上一票息日]]))</f>
        <v>#N/A</v>
      </c>
      <c r="DD21"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1" s="739" t="e">
        <f ca="1">CL21-庫存管理[[#This Row],[ex_div_days]]</f>
        <v>#N/A</v>
      </c>
      <c r="DF21" s="646" t="e">
        <f ca="1">IF(VLOOKUP(庫存管理[[#This Row],[商品代號]],bond!B:AT,45,FALSE)="#N/A Field Not Applicable",0,VLOOKUP(庫存管理[[#This Row],[商品代號]],bond!B:AT,45,FALSE))</f>
        <v>#N/A</v>
      </c>
      <c r="DG21" s="793" t="e">
        <f ca="1">IF(庫存管理[[#This Row],[ex_div_days]]&lt;&gt;0,IF(AND(庫存管理[[#This Row],[買進例外調整]]-庫存管理[[#This Row],[買進下一個配息日先減n天]]&gt;=0,庫存管理[[#This Row],[買進時的下個配息日]]-庫存管理[[#This Row],[買進例外調整]]&gt;0),1,0),0)</f>
        <v>#N/A</v>
      </c>
      <c r="DH21"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1" s="734" t="e">
        <f ca="1">庫存管理[[#This Row],[下一配息日]]-庫存管理[[#This Row],[ex_div_days]]</f>
        <v>#VALUE!</v>
      </c>
      <c r="DJ21" s="1081" t="e">
        <f ca="1">IF(庫存管理[[#This Row],[ex_div_days]]&lt;&gt;0,IF(AND(庫存管理[[#This Row],[交割日]]-庫存管理[[#This Row],[交割下個配息日先減n天]]&gt;=0,庫存管理[[#This Row],[下一配息日]]-庫存管理[[#This Row],[交割日]]&gt;0),1,0),0)</f>
        <v>#N/A</v>
      </c>
      <c r="DK21"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1" s="735">
        <f ca="1">IFERROR(VLOOKUP(庫存管理[[#This Row],[商品代號]],bond!B:X,21,FALSE),0)</f>
        <v>0</v>
      </c>
      <c r="DM21" s="735">
        <f ca="1">IFERROR(VLOOKUP(I21,bond!B:J,9,FALSE),0)</f>
        <v>0</v>
      </c>
      <c r="DN21" s="1188">
        <f ca="1">IF(AND(開關=TRUE,庫存管理[[#This Row],[投組檢測]]=TRUE),IF(MF=2,IFERROR(BW21/$BW$3,0),IFERROR(BV21/$BV$3,0)),0)</f>
        <v>0</v>
      </c>
      <c r="DO21" s="735">
        <f ca="1">IFERROR(庫存管理[[#This Row],[clean申購價]]/100*庫存管理[[#This Row],[投入面額]]*庫存管理[[#This Row],[MOD]]*0.01,0)</f>
        <v>0</v>
      </c>
      <c r="DP21" s="1298" t="e">
        <f ca="1">IF($C$16=1,庫存管理[[#This Row],[單次配息(台幣)]],庫存管理[[#This Row],[單次配息(原幣)]])</f>
        <v>#VALUE!</v>
      </c>
      <c r="DQ21"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1"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1"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1"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1"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1"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1"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1"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1"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1"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1"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1"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22" spans="2:229" ht="19.5" customHeight="1">
      <c r="B22" s="12">
        <v>4</v>
      </c>
      <c r="C22" s="604">
        <f t="shared" ca="1" si="30"/>
        <v>0</v>
      </c>
      <c r="D22" s="26" t="s">
        <v>1791</v>
      </c>
      <c r="E22" s="12" t="str">
        <f t="shared" ca="1" si="14"/>
        <v/>
      </c>
      <c r="F22" s="1711"/>
      <c r="G22" s="459">
        <v>16</v>
      </c>
      <c r="H22" s="1166" t="b">
        <f ca="1">IFERROR(IF(VLOOKUP(G22,換券投組!$AH$8:$AH$13,1,FALSE)&gt;0,TRUE,FALSE),FALSE)</f>
        <v>0</v>
      </c>
      <c r="I22" s="1693" t="str">
        <f ca="1">IF(開關=TRUE,'商品代碼-中繼頁'!R17,"")</f>
        <v/>
      </c>
      <c r="J22" s="429">
        <f ca="1">IFERROR(VLOOKUP(I22,bond!B:I,8,FALSE),0)</f>
        <v>0</v>
      </c>
      <c r="K22" s="429">
        <f ca="1">IFERROR(庫存管理[[#This Row],[買價]]+VLOOKUP(庫存管理[[#This Row],[商品代號]],bond!B:K,10,FALSE),0)</f>
        <v>0</v>
      </c>
      <c r="L22" s="430" t="e">
        <f ca="1">VLOOKUP(I22,'銀行-TSS'!B:E,4,FALSE)</f>
        <v>#N/A</v>
      </c>
      <c r="M22" s="431">
        <f ca="1">IFERROR(VLOOKUP($I22,'銀行-TSS'!B:G,6,FALSE),0)</f>
        <v>0</v>
      </c>
      <c r="N22" s="432" t="e">
        <f ca="1">IFERROR(DATEVALUE(VLOOKUP($I22,'銀行-TSS'!B:F,5,FALSE)),VLOOKUP($I22,'銀行-TSS'!B:F,5,FALSE))</f>
        <v>#N/A</v>
      </c>
      <c r="O22" s="433">
        <f ca="1">IFERROR(VLOOKUP($I22,'銀行-TSS'!B:H,7,FALSE),0)</f>
        <v>0</v>
      </c>
      <c r="P22" s="433" t="e">
        <f ca="1">庫存管理[[#This Row],[票面利率]]/庫存管理[[#This Row],[成本價(不含前手息)]]*100</f>
        <v>#VALUE!</v>
      </c>
      <c r="Q22" s="434" t="str">
        <f ca="1">IFERROR(VLOOKUP($I22,'銀行-TSS'!B:I,8,FALSE),"")</f>
        <v/>
      </c>
      <c r="R22" s="440" t="str">
        <f ca="1">_xlfn.IFNA(IFERROR(DATEVALUE(VLOOKUP($I22,'銀行-TSS'!B:P,15,FALSE)),VLOOKUP($I22,'銀行-TSS'!B:P,15,FALSE)),"")</f>
        <v/>
      </c>
      <c r="S22" s="570" t="b">
        <f ca="1">IF(AND(庫存管理[[#This Row],[配息頻率]]&lt;&gt;"",庫存管理[[#This Row],[持有成本(不含前手息)]]&lt;&gt;0,庫存管理[[#This Row],[買進日]]&lt;&gt;""),TRUE,FALSE)</f>
        <v>0</v>
      </c>
      <c r="T22" s="602" t="str">
        <f>IFERROR(DATE(LEFT('商品代碼-中繼頁'!S17,4),MID('商品代碼-中繼頁'!S17,5,2),RIGHT('商品代碼-中繼頁'!S17,2)),"")</f>
        <v/>
      </c>
      <c r="U22"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2" s="442" t="e">
        <f ca="1">IFERROR(WORKDAY(庫存管理[[#This Row],[買進日]],VLOOKUP(庫存管理[[#This Row],[商品代號]],'1_重設數據'!R:S,2,FALSE),休USD),庫存管理[[#This Row],[買進日(T+2/公債T+1)]])</f>
        <v>#N/A</v>
      </c>
      <c r="W22" s="43" t="str">
        <f>'商品代碼-中繼頁'!T17</f>
        <v/>
      </c>
      <c r="X22" s="43" t="str">
        <f>'商品代碼-中繼頁'!U17</f>
        <v/>
      </c>
      <c r="Y22" s="464">
        <f t="shared" ca="1" si="9"/>
        <v>0</v>
      </c>
      <c r="Z22" s="464" t="e">
        <f t="shared" ca="1" si="15"/>
        <v>#VALUE!</v>
      </c>
      <c r="AA22" s="465" t="e">
        <f t="shared" ca="1" si="16"/>
        <v>#VALUE!</v>
      </c>
      <c r="AB22" s="474" t="e">
        <f ca="1">IF(MF=2,庫存管理[[#This Row],[部位現值(不含前手息)]]-庫存管理[[#This Row],[持有成本(不含前手息)]],庫存管理[[#This Row],[部位現值(含前手息)]]-庫存管理[[#This Row],[持有成本(含前手息)]])</f>
        <v>#VALUE!</v>
      </c>
      <c r="AC22" s="462">
        <f ca="1">IF(庫存管理[[#This Row],[檢測]]=TRUE,IF(MF=2,IFERROR(庫存管理[[#This Row],[資本利損]]/庫存管理[[#This Row],[持有成本(不含前手息)]],0),IFERROR(庫存管理[[#This Row],[資本利損]]/庫存管理[[#This Row],[持有成本(含前手息)]],0)),0)</f>
        <v>0</v>
      </c>
      <c r="AD22" s="618" t="e">
        <f ca="1">庫存管理[[#This Row],[持有成本(不含前手息)]]/庫存管理[[#This Row],[投入面額]]*100</f>
        <v>#VALUE!</v>
      </c>
      <c r="AE22" s="462" t="str">
        <f ca="1">IFERROR(VLOOKUP(庫存管理[[#This Row],[商品代號]],bond!B:AA,26,FALSE),"")</f>
        <v/>
      </c>
      <c r="AF22" s="1" t="str">
        <f ca="1">IFERROR(VLOOKUP($I22,'銀行-TSS'!B:Q,16,FALSE),"")</f>
        <v/>
      </c>
      <c r="AG22" s="466">
        <f t="shared" ca="1" si="1"/>
        <v>0</v>
      </c>
      <c r="AH22" s="458" t="e">
        <f ca="1">IF(OR(庫存管理[[#This Row],[起息日]]&gt;庫存管理[[#This Row],[買進前一配息日(複算)]],庫存管理[[#This Row],[判斷]]=TRUE),庫存管理[[#This Row],[起息日]],庫存管理[[#This Row],[買進前一配息日(複算)]])</f>
        <v>#N/A</v>
      </c>
      <c r="AI22" s="577" t="e">
        <f ca="1">VLOOKUP(I22,bond!B:AP,41,FALSE)</f>
        <v>#N/A</v>
      </c>
      <c r="AJ22" s="578" t="e">
        <f t="shared" ca="1" si="17"/>
        <v>#N/A</v>
      </c>
      <c r="AK22" s="579">
        <f ca="1">IFERROR(IF(庫存管理[[#This Row],[買進日是否落入record date]]=1,庫存管理[[#This Row],[record date制度前手息]],庫存管理[[#This Row],[計算前手息(初算)]]),0)</f>
        <v>0</v>
      </c>
      <c r="AL22" s="579" t="e">
        <f ca="1">IF(OR(庫存管理[[#This Row],[買進例外調整]]&lt;庫存管理[[#This Row],[起息日]],庫存管理[[#This Row],[買進例外調整]]&gt;庫存管理[[#This Row],[到期日]]),0,IF(庫存管理[[#This Row],[備註]]&lt;&gt;"",庫存管理[[#This Row],[買進時前手息]],IFERROR(ROUND(ACCRINT(AH22,AH22,V22,O22,100,Q22,AJ22,TRUE),4),0)))</f>
        <v>#N/A</v>
      </c>
      <c r="AM22" s="580" t="e">
        <f t="shared" ca="1" si="18"/>
        <v>#VALUE!</v>
      </c>
      <c r="AN22" s="440" t="e">
        <f ca="1">IFERROR(DATEVALUE(VLOOKUP(I22,bond!B:I,7,FALSE)),VLOOKUP(I22,bond!B:I,7,FALSE))</f>
        <v>#N/A</v>
      </c>
      <c r="AO22"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2" s="1075">
        <f ca="1">IFERROR(IF(庫存管理[[#This Row],[交割日是否落入record date]]=1,庫存管理[[#This Row],[交_record date制度前手息]],庫存管理[[#This Row],[計算交割前手息(初算)]]),0)</f>
        <v>0</v>
      </c>
      <c r="AQ22"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2" s="1063" t="e">
        <f ca="1">ROUND(庫存管理[[#This Row],[計算交割前手息(複算)]]*庫存管理[[#This Row],[投入面額]]/100,2)</f>
        <v>#VALUE!</v>
      </c>
      <c r="AS22" s="1064" t="e">
        <f ca="1">IF(庫存管理[[#This Row],[配息頻率]]=0,0,(100*庫存管理[[#This Row],[票面利率]]/庫存管理[[#This Row],[配息頻率]])*庫存管理[[#This Row],[經過幾次配息]]+庫存管理[[#This Row],[計算交割前手息(複算)]]-庫存管理[[#This Row],[計算前手息(複算)]])</f>
        <v>#VALUE!</v>
      </c>
      <c r="AT22" s="581" t="e">
        <f ca="1">IF(庫存管理[[#This Row],[商品代號]]="XFM90",0,ROUND(AS22*W22/100,2))</f>
        <v>#VALUE!</v>
      </c>
      <c r="AU22" s="582">
        <f ca="1">IF(MF=2,IFERROR(庫存管理[[#This Row],[累計配息]]/庫存管理[[#This Row],[持有成本(不含前手息)]],0),IFERROR(庫存管理[[#This Row],[已實現配息(原幣)]]/庫存管理[[#This Row],[持有成本(含前手息)]],0))</f>
        <v>0</v>
      </c>
      <c r="AV22" s="583" t="e">
        <f ca="1">IF(MF=2,庫存管理[[#This Row],[資本利損]]+庫存管理[[#This Row],[累計配息]],庫存管理[[#This Row],[資本利損]]+庫存管理[[#This Row],[已實現配息(原幣)]])</f>
        <v>#VALUE!</v>
      </c>
      <c r="AW22" s="584">
        <f ca="1">IF(庫存管理[[#This Row],[檢測]]=TRUE,IF(MF=2,IFERROR(庫存管理[[#This Row],[合計收益]]/庫存管理[[#This Row],[持有成本(不含前手息)]],0),IFERROR(庫存管理[[#This Row],[合計收益]]/庫存管理[[#This Row],[持有成本(含前手息)]],0)),0)</f>
        <v>0</v>
      </c>
      <c r="AX22" s="434" t="e">
        <f t="shared" ca="1" si="19"/>
        <v>#VALUE!</v>
      </c>
      <c r="AY22" s="434" t="e">
        <f t="shared" ca="1" si="20"/>
        <v>#VALUE!</v>
      </c>
      <c r="AZ22" s="434">
        <f t="shared" ca="1" si="21"/>
        <v>0</v>
      </c>
      <c r="BA22" s="434">
        <f t="shared" ca="1" si="22"/>
        <v>0</v>
      </c>
      <c r="BB22" s="441" t="e">
        <f ca="1">IF(AND(庫存管理[[#This Row],[名稱]]="美國國庫債券",DAY(庫存管理[[#This Row],[買進前一配息日(初算)]])&gt;=28),EOMONTH(庫存管理[[#This Row],[買進前一配息日(初算)]],0),庫存管理[[#This Row],[買進前一配息日(初算)]])</f>
        <v>#N/A</v>
      </c>
      <c r="BC22" s="441" t="e">
        <f t="shared" ca="1" si="23"/>
        <v>#N/A</v>
      </c>
      <c r="BD22" s="444" t="e">
        <f t="shared" ca="1" si="24"/>
        <v>#N/A</v>
      </c>
      <c r="BE22" s="441" t="e">
        <f ca="1">IF(Q22&gt;0,IF(MONTH(DATE(BD22,AX22,DAY(R22)))&lt;&gt;庫存管理[[#This Row],[第一個配息月]],DATE(BD22,AX22+1,0),DATE(BD22,AX22,DAY(R22))),庫存管理[[#This Row],[買進例外調整]]+100)</f>
        <v>#N/A</v>
      </c>
      <c r="BF22" s="441" t="e">
        <f ca="1">IF(AY22&lt;&gt;0,IF(MONTH(DATE(BD22,AY22,DAY(R22)))&lt;&gt;庫存管理[[#This Row],[第二個配息月]],DATE(BD22,AY22+1,0),DATE(BD22,AY22,DAY(R22))),庫存管理[[#This Row],[買進例外調整]]+100)</f>
        <v>#VALUE!</v>
      </c>
      <c r="BG22" s="441" t="e">
        <f ca="1">IF(AZ22&lt;&gt;0,IF(MONTH(DATE(BD22,AZ22,DAY(R22)))&lt;&gt;庫存管理[[#This Row],[第三個配息月]],DATE(BD22,AZ22+1,0),DATE(BD22,AZ22,DAY(R22))),庫存管理[[#This Row],[買進例外調整]]+100)</f>
        <v>#N/A</v>
      </c>
      <c r="BH22" s="441" t="e">
        <f ca="1">IF(BA22&lt;&gt;0,IF(MONTH(DATE(BD22,BA22,DAY(R22)))&lt;&gt;庫存管理[[#This Row],[第四個配息月]],DATE(BD22,BA22+1,0),DATE(BD22,BA22,DAY(R22))),庫存管理[[#This Row],[買進例外調整]]+100)</f>
        <v>#N/A</v>
      </c>
      <c r="BI22" s="441" t="e">
        <f ca="1">IF(Q22=1,IF(MONTH(DATE(BD22-1,AX22,DAY(R22)))&lt;&gt;庫存管理[[#This Row],[第一個配息月]],DATE(BD22-1,AX22+1,0),DATE(BD22-1,AX22,DAY(R22))),IF(Q22=2,IF(MONTH(DATE(BD22-1,AY22,DAY(R22)))&lt;&gt;庫存管理[[#This Row],[第二個配息月]],DATE(BD22-1,AY22+1,0),DATE(BD22-1,AY22,DAY(R22))),IF(Q22=4,IF(MONTH(DATE(BD22-1,BA22,DAY(R22)))&lt;&gt;庫存管理[[#This Row],[第四個配息月]],DATE(BD22-1,BA22+1,0),DATE(BD22-1,BA22,DAY(R22))),庫存管理[[#This Row],[買進例外調整]]+100)))</f>
        <v>#N/A</v>
      </c>
      <c r="BJ22" s="445">
        <f t="shared" ca="1" si="25"/>
        <v>10000</v>
      </c>
      <c r="BK22" s="445">
        <f t="shared" ca="1" si="26"/>
        <v>10000</v>
      </c>
      <c r="BL22" s="445">
        <f t="shared" ca="1" si="27"/>
        <v>10000</v>
      </c>
      <c r="BM22" s="445">
        <f t="shared" ca="1" si="28"/>
        <v>10000</v>
      </c>
      <c r="BN22" s="455">
        <f t="shared" ca="1" si="29"/>
        <v>10000</v>
      </c>
      <c r="BO22" s="479" t="e">
        <f ca="1">庫存管理[[#This Row],[年度配息]]/庫存管理[[#This Row],[配息頻率]]</f>
        <v>#VALUE!</v>
      </c>
      <c r="BP22" s="479" t="e">
        <f ca="1">庫存管理[[#This Row],[單次配息(原幣)]]*庫存管理[[#This Row],[換算匯率(現)]]</f>
        <v>#VALUE!</v>
      </c>
      <c r="BQ22" s="479" t="str">
        <f ca="1">IF(庫存管理[[#This Row],[商品代號]]&lt;&gt;"",IFERROR(VLOOKUP($I22,'銀行-TSS'!B:C,2,FALSE),""),"")</f>
        <v/>
      </c>
      <c r="BR22" s="479" t="e">
        <f ca="1">VLOOKUP(庫存管理[[#This Row],[幣別]],$B$37:$C$43,2,FALSE)</f>
        <v>#N/A</v>
      </c>
      <c r="BS22" s="500" t="e">
        <f ca="1">CHOOSE(庫存管理[[#This Row],[對應編碼]],$D$37,$D$38,$D$39,$D$40,$D$41,$D$42,$D$43)</f>
        <v>#N/A</v>
      </c>
      <c r="BT22" s="500">
        <f ca="1">IF(庫存管理[[#This Row],[商品代號]]="",0,CHOOSE(庫存管理[[#This Row],[對應編碼]],$E$37,$E$38,$E$39,$E$40,$E$41,$E$42,$E$43))</f>
        <v>0</v>
      </c>
      <c r="BU22" s="1555">
        <f ca="1">IF(庫存管理[[#This Row],[檢測]]=TRUE,庫存管理[[#This Row],[投入面額]]*庫存管理[[#This Row],[換算匯率(現)]],0)</f>
        <v>0</v>
      </c>
      <c r="BV22" s="1555">
        <f ca="1">IF(庫存管理[[#This Row],[檢測]]=TRUE,IFERROR(庫存管理[[#This Row],[持有成本(含前手息)]]*庫存管理[[#This Row],[換算匯率(買)]],0),0)</f>
        <v>0</v>
      </c>
      <c r="BW22" s="1555">
        <f ca="1">IF(庫存管理[[#This Row],[檢測]]=TRUE,庫存管理[[#This Row],[持有成本(不含前手息)]]*庫存管理[[#This Row],[換算匯率(買)]],0)</f>
        <v>0</v>
      </c>
      <c r="BX22" s="1555">
        <f ca="1">IF(庫存管理[[#This Row],[檢測]]=TRUE,庫存管理[[#This Row],[部位現值(含前手息)]]*庫存管理[[#This Row],[換算匯率(現)]],0)</f>
        <v>0</v>
      </c>
      <c r="BY22" s="1555">
        <f ca="1">IF(庫存管理[[#This Row],[檢測]]=TRUE,庫存管理[[#This Row],[部位現值(不含前手息)]]*庫存管理[[#This Row],[換算匯率(現)]],0)</f>
        <v>0</v>
      </c>
      <c r="BZ22" s="1555">
        <f ca="1">IF(庫存管理[[#This Row],[檢測]]=TRUE,IF(MF=2,庫存管理[[#This Row],[累計配息]]*庫存管理[[#This Row],[換算匯率(現)]],庫存管理[[#This Row],[已實現配息(原幣)]]*庫存管理[[#This Row],[換算匯率(現)]]),0)</f>
        <v>0</v>
      </c>
      <c r="CA22" s="1555" t="e">
        <f ca="1">庫存管理[[#This Row],[資本利損]]*庫存管理[[#This Row],[換算匯率(現)]]</f>
        <v>#VALUE!</v>
      </c>
      <c r="CB22" s="1555" t="e">
        <f ca="1">庫存管理[[#This Row],[累計利息(台)]]+庫存管理[[#This Row],[資本貢獻(台)]]</f>
        <v>#VALUE!</v>
      </c>
      <c r="CC22" s="574">
        <f ca="1">IF(庫存管理[[#This Row],[檢測]]=TRUE,IFERROR(庫存管理[[#This Row],[配息報酬]],0),0)</f>
        <v>0</v>
      </c>
      <c r="CD22" s="574">
        <f ca="1">IF(庫存管理[[#This Row],[檢測]]=TRUE,庫存管理[[#This Row],[資本報酬]],0)</f>
        <v>0</v>
      </c>
      <c r="CE22" s="574">
        <f ca="1">IF(S22=TRUE,IFERROR(庫存管理[[#This Row],[換匯總報酬率]]-(庫存管理[[#This Row],[配息報酬率]]+庫存管理[[#This Row],[資本報酬率]]),0),0)</f>
        <v>0</v>
      </c>
      <c r="CF22"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2" s="585">
        <f ca="1">IF(AND(庫存管理[[#This Row],[檢測]]=TRUE,開關=TRUE),IF(MF=2,IFERROR(BW22/$BW$1,0),IFERROR(BV22/$BV$1,0)),0)</f>
        <v>0</v>
      </c>
      <c r="CH22" s="574">
        <f ca="1">IF(庫存管理[[#This Row],[檢測]]=TRUE,IF(MF=2,IFERROR(BY22/$BY$1,0),IFERROR(BX22/$BX$1,0)),0)</f>
        <v>0</v>
      </c>
      <c r="CI22"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2" s="646" t="e">
        <f ca="1">DATEDIF(庫存管理[[#This Row],[買進例外調整]],庫存管理[[#This Row],[到期日]],"d")/365.25</f>
        <v>#N/A</v>
      </c>
      <c r="CK22" s="734" t="e">
        <f ca="1">DATEVALUE(VLOOKUP(庫存管理[[#This Row],[商品代號]],bond!B:AF,31,FALSE))</f>
        <v>#N/A</v>
      </c>
      <c r="CL22" s="734" t="e">
        <f ca="1">IF(庫存管理[[#This Row],[買下配(國調)]]&lt;庫存管理[[#This Row],[第一票息日]],庫存管理[[#This Row],[第一票息日]],庫存管理[[#This Row],[買下配(國調)]])</f>
        <v>#N/A</v>
      </c>
      <c r="CM22"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2"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2" s="735">
        <f ca="1">IF(庫存管理[[#This Row],[商品代號]]="XFM90",0,IFERROR(庫存管理[[#This Row],[單次配息(原幣)]]*庫存管理[[#This Row],[經過幾次配息]],0))</f>
        <v>0</v>
      </c>
      <c r="CP22" s="735" t="e">
        <f ca="1">VLOOKUP(庫存管理[[#This Row],[商品代號]],bond!B:F,5,FALSE)</f>
        <v>#N/A</v>
      </c>
      <c r="CQ22" s="734" t="str">
        <f ca="1">IFERROR(VLOOKUP(庫存管理[[#This Row],[ISIN]],'7_發行日例外'!A:C,3,FALSE),IFERROR(DATEVALUE(VLOOKUP(庫存管理[[#This Row],[商品代號]],bond!B:AR,43,FALSE)),""))</f>
        <v/>
      </c>
      <c r="CR22" s="735" t="e">
        <f ca="1">DATEDIF(庫存管理[[#This Row],[起息日]],庫存管理[[#This Row],[買進前一配息日(複算)]],"d")</f>
        <v>#VALUE!</v>
      </c>
      <c r="CS22"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2" s="734" t="e">
        <f ca="1">IFERROR(VLOOKUP(庫存管理[[#This Row],[ISIN]],'7_發行日例外'!A:D,4,FALSE),DATEVALUE(VLOOKUP(庫存管理[[#This Row],[商品代號]],bond!B:AV,44,FALSE)))</f>
        <v>#N/A</v>
      </c>
      <c r="CU22" s="735" t="e">
        <f ca="1">VLOOKUP(庫存管理[[#This Row],[商品代號]],bond!B:AU,46,FALSE)</f>
        <v>#N/A</v>
      </c>
      <c r="CV22" s="735" t="e">
        <f ca="1">IF(庫存管理[[#This Row],[計息基礎]]=1,CHOOSE(庫存管理[[#This Row],[對應編碼]],"沒進位","","沒進位",IF(庫存管理[[#This Row],[計算類型]]="AUSTRALIA:EX-DIV","4捨五入進0.01%","沒進位"),"年/2去計算ACT","沒進位","沒進位"),"")</f>
        <v>#N/A</v>
      </c>
      <c r="CW22" s="735" t="e">
        <f ca="1">_xlfn.DAYS(庫存管理[[#This Row],[買進例外調整]],庫存管理[[#This Row],[買進前一個配息日(最終)]])</f>
        <v>#N/A</v>
      </c>
      <c r="CX22" s="735" t="e">
        <f ca="1">IF(庫存管理[[#This Row],[備註]]="年/2去計算ACT",365/2,_xlfn.DAYS(庫存管理[[#This Row],[買進時的下個配息日]],庫存管理[[#This Row],[買進前一個配息日(最終)]]))</f>
        <v>#N/A</v>
      </c>
      <c r="CY22"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2" s="767" t="e">
        <f ca="1">_xlfn.DAYS(庫存管理[[#This Row],[交割日]],庫存管理[[#This Row],[買進前一個配息日(最終)]])</f>
        <v>#N/A</v>
      </c>
      <c r="DA22"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2" s="767" t="e">
        <f ca="1">_xlfn.DAYS(庫存管理[[#This Row],[交割日]],庫存管理[[#This Row],[最近的上一票息日]])</f>
        <v>#N/A</v>
      </c>
      <c r="DC22" s="767" t="e">
        <f ca="1">IF(庫存管理[[#This Row],[備註]]="年/2去計算ACT",365/2,_xlfn.DAYS(庫存管理[[#This Row],[下一配息日]],庫存管理[[#This Row],[最近的上一票息日]]))</f>
        <v>#N/A</v>
      </c>
      <c r="DD22"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2" s="739" t="e">
        <f ca="1">CL22-庫存管理[[#This Row],[ex_div_days]]</f>
        <v>#N/A</v>
      </c>
      <c r="DF22" s="646" t="e">
        <f ca="1">IF(VLOOKUP(庫存管理[[#This Row],[商品代號]],bond!B:AT,45,FALSE)="#N/A Field Not Applicable",0,VLOOKUP(庫存管理[[#This Row],[商品代號]],bond!B:AT,45,FALSE))</f>
        <v>#N/A</v>
      </c>
      <c r="DG22" s="793" t="e">
        <f ca="1">IF(庫存管理[[#This Row],[ex_div_days]]&lt;&gt;0,IF(AND(庫存管理[[#This Row],[買進例外調整]]-庫存管理[[#This Row],[買進下一個配息日先減n天]]&gt;=0,庫存管理[[#This Row],[買進時的下個配息日]]-庫存管理[[#This Row],[買進例外調整]]&gt;0),1,0),0)</f>
        <v>#N/A</v>
      </c>
      <c r="DH22"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2" s="734" t="e">
        <f ca="1">庫存管理[[#This Row],[下一配息日]]-庫存管理[[#This Row],[ex_div_days]]</f>
        <v>#VALUE!</v>
      </c>
      <c r="DJ22" s="1081" t="e">
        <f ca="1">IF(庫存管理[[#This Row],[ex_div_days]]&lt;&gt;0,IF(AND(庫存管理[[#This Row],[交割日]]-庫存管理[[#This Row],[交割下個配息日先減n天]]&gt;=0,庫存管理[[#This Row],[下一配息日]]-庫存管理[[#This Row],[交割日]]&gt;0),1,0),0)</f>
        <v>#N/A</v>
      </c>
      <c r="DK22"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2" s="735">
        <f ca="1">IFERROR(VLOOKUP(庫存管理[[#This Row],[商品代號]],bond!B:X,21,FALSE),0)</f>
        <v>0</v>
      </c>
      <c r="DM22" s="735">
        <f ca="1">IFERROR(VLOOKUP(I22,bond!B:J,9,FALSE),0)</f>
        <v>0</v>
      </c>
      <c r="DN22" s="1188">
        <f ca="1">IF(AND(開關=TRUE,庫存管理[[#This Row],[投組檢測]]=TRUE),IF(MF=2,IFERROR(BW22/$BW$3,0),IFERROR(BV22/$BV$3,0)),0)</f>
        <v>0</v>
      </c>
      <c r="DO22" s="735">
        <f ca="1">IFERROR(庫存管理[[#This Row],[clean申購價]]/100*庫存管理[[#This Row],[投入面額]]*庫存管理[[#This Row],[MOD]]*0.01,0)</f>
        <v>0</v>
      </c>
      <c r="DP22" s="1298" t="e">
        <f ca="1">IF($C$16=1,庫存管理[[#This Row],[單次配息(台幣)]],庫存管理[[#This Row],[單次配息(原幣)]])</f>
        <v>#VALUE!</v>
      </c>
      <c r="DQ22"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2"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2"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2"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2"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2"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2"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2"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2"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2"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2"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2"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23" spans="2:229" ht="19.5" customHeight="1">
      <c r="B23" s="12">
        <v>5</v>
      </c>
      <c r="C23" s="604">
        <f t="shared" ca="1" si="30"/>
        <v>2424.9999999999995</v>
      </c>
      <c r="D23" s="26" t="s">
        <v>1792</v>
      </c>
      <c r="E23" s="12" t="str">
        <f t="shared" ca="1" si="14"/>
        <v>2,425</v>
      </c>
      <c r="F23" s="1711"/>
      <c r="G23" s="459">
        <v>17</v>
      </c>
      <c r="H23" s="1166" t="b">
        <f ca="1">IFERROR(IF(VLOOKUP(G23,換券投組!$AH$8:$AH$13,1,FALSE)&gt;0,TRUE,FALSE),FALSE)</f>
        <v>0</v>
      </c>
      <c r="I23" s="1693" t="str">
        <f ca="1">IF(開關=TRUE,'商品代碼-中繼頁'!R18,"")</f>
        <v/>
      </c>
      <c r="J23" s="429">
        <f ca="1">IFERROR(VLOOKUP(I23,bond!B:I,8,FALSE),0)</f>
        <v>0</v>
      </c>
      <c r="K23" s="429">
        <f ca="1">IFERROR(庫存管理[[#This Row],[買價]]+VLOOKUP(庫存管理[[#This Row],[商品代號]],bond!B:K,10,FALSE),0)</f>
        <v>0</v>
      </c>
      <c r="L23" s="430" t="e">
        <f ca="1">VLOOKUP(I23,'銀行-TSS'!B:E,4,FALSE)</f>
        <v>#N/A</v>
      </c>
      <c r="M23" s="431">
        <f ca="1">IFERROR(VLOOKUP($I23,'銀行-TSS'!B:G,6,FALSE),0)</f>
        <v>0</v>
      </c>
      <c r="N23" s="432" t="e">
        <f ca="1">IFERROR(DATEVALUE(VLOOKUP($I23,'銀行-TSS'!B:F,5,FALSE)),VLOOKUP($I23,'銀行-TSS'!B:F,5,FALSE))</f>
        <v>#N/A</v>
      </c>
      <c r="O23" s="433">
        <f ca="1">IFERROR(VLOOKUP($I23,'銀行-TSS'!B:H,7,FALSE),0)</f>
        <v>0</v>
      </c>
      <c r="P23" s="433" t="e">
        <f ca="1">庫存管理[[#This Row],[票面利率]]/庫存管理[[#This Row],[成本價(不含前手息)]]*100</f>
        <v>#VALUE!</v>
      </c>
      <c r="Q23" s="434" t="str">
        <f ca="1">IFERROR(VLOOKUP($I23,'銀行-TSS'!B:I,8,FALSE),"")</f>
        <v/>
      </c>
      <c r="R23" s="440" t="str">
        <f ca="1">_xlfn.IFNA(IFERROR(DATEVALUE(VLOOKUP($I23,'銀行-TSS'!B:P,15,FALSE)),VLOOKUP($I23,'銀行-TSS'!B:P,15,FALSE)),"")</f>
        <v/>
      </c>
      <c r="S23" s="570" t="b">
        <f ca="1">IF(AND(庫存管理[[#This Row],[配息頻率]]&lt;&gt;"",庫存管理[[#This Row],[持有成本(不含前手息)]]&lt;&gt;0,庫存管理[[#This Row],[買進日]]&lt;&gt;""),TRUE,FALSE)</f>
        <v>0</v>
      </c>
      <c r="T23" s="602" t="str">
        <f>IFERROR(DATE(LEFT('商品代碼-中繼頁'!S18,4),MID('商品代碼-中繼頁'!S18,5,2),RIGHT('商品代碼-中繼頁'!S18,2)),"")</f>
        <v/>
      </c>
      <c r="U23"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3" s="442" t="e">
        <f ca="1">IFERROR(WORKDAY(庫存管理[[#This Row],[買進日]],VLOOKUP(庫存管理[[#This Row],[商品代號]],'1_重設數據'!R:S,2,FALSE),休USD),庫存管理[[#This Row],[買進日(T+2/公債T+1)]])</f>
        <v>#N/A</v>
      </c>
      <c r="W23" s="43" t="str">
        <f>'商品代碼-中繼頁'!T18</f>
        <v/>
      </c>
      <c r="X23" s="43" t="str">
        <f>'商品代碼-中繼頁'!U18</f>
        <v/>
      </c>
      <c r="Y23" s="464">
        <f t="shared" ca="1" si="9"/>
        <v>0</v>
      </c>
      <c r="Z23" s="464" t="e">
        <f t="shared" ca="1" si="15"/>
        <v>#VALUE!</v>
      </c>
      <c r="AA23" s="465" t="e">
        <f t="shared" ca="1" si="16"/>
        <v>#VALUE!</v>
      </c>
      <c r="AB23" s="474" t="e">
        <f ca="1">IF(MF=2,庫存管理[[#This Row],[部位現值(不含前手息)]]-庫存管理[[#This Row],[持有成本(不含前手息)]],庫存管理[[#This Row],[部位現值(含前手息)]]-庫存管理[[#This Row],[持有成本(含前手息)]])</f>
        <v>#VALUE!</v>
      </c>
      <c r="AC23" s="462">
        <f ca="1">IF(庫存管理[[#This Row],[檢測]]=TRUE,IF(MF=2,IFERROR(庫存管理[[#This Row],[資本利損]]/庫存管理[[#This Row],[持有成本(不含前手息)]],0),IFERROR(庫存管理[[#This Row],[資本利損]]/庫存管理[[#This Row],[持有成本(含前手息)]],0)),0)</f>
        <v>0</v>
      </c>
      <c r="AD23" s="618" t="e">
        <f ca="1">庫存管理[[#This Row],[持有成本(不含前手息)]]/庫存管理[[#This Row],[投入面額]]*100</f>
        <v>#VALUE!</v>
      </c>
      <c r="AE23" s="462" t="str">
        <f ca="1">IFERROR(VLOOKUP(庫存管理[[#This Row],[商品代號]],bond!B:AA,26,FALSE),"")</f>
        <v/>
      </c>
      <c r="AF23" s="1" t="str">
        <f ca="1">IFERROR(VLOOKUP($I23,'銀行-TSS'!B:Q,16,FALSE),"")</f>
        <v/>
      </c>
      <c r="AG23" s="466">
        <f t="shared" ca="1" si="1"/>
        <v>0</v>
      </c>
      <c r="AH23" s="458" t="e">
        <f ca="1">IF(OR(庫存管理[[#This Row],[起息日]]&gt;庫存管理[[#This Row],[買進前一配息日(複算)]],庫存管理[[#This Row],[判斷]]=TRUE),庫存管理[[#This Row],[起息日]],庫存管理[[#This Row],[買進前一配息日(複算)]])</f>
        <v>#N/A</v>
      </c>
      <c r="AI23" s="577" t="e">
        <f ca="1">VLOOKUP(I23,bond!B:AP,41,FALSE)</f>
        <v>#N/A</v>
      </c>
      <c r="AJ23" s="578" t="e">
        <f t="shared" ca="1" si="17"/>
        <v>#N/A</v>
      </c>
      <c r="AK23" s="579">
        <f ca="1">IFERROR(IF(庫存管理[[#This Row],[買進日是否落入record date]]=1,庫存管理[[#This Row],[record date制度前手息]],庫存管理[[#This Row],[計算前手息(初算)]]),0)</f>
        <v>0</v>
      </c>
      <c r="AL23" s="579" t="e">
        <f ca="1">IF(OR(庫存管理[[#This Row],[買進例外調整]]&lt;庫存管理[[#This Row],[起息日]],庫存管理[[#This Row],[買進例外調整]]&gt;庫存管理[[#This Row],[到期日]]),0,IF(庫存管理[[#This Row],[備註]]&lt;&gt;"",庫存管理[[#This Row],[買進時前手息]],IFERROR(ROUND(ACCRINT(AH23,AH23,V23,O23,100,Q23,AJ23,TRUE),4),0)))</f>
        <v>#N/A</v>
      </c>
      <c r="AM23" s="580" t="e">
        <f t="shared" ca="1" si="18"/>
        <v>#VALUE!</v>
      </c>
      <c r="AN23" s="440" t="e">
        <f ca="1">IFERROR(DATEVALUE(VLOOKUP(I23,bond!B:I,7,FALSE)),VLOOKUP(I23,bond!B:I,7,FALSE))</f>
        <v>#N/A</v>
      </c>
      <c r="AO23"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3" s="1075">
        <f ca="1">IFERROR(IF(庫存管理[[#This Row],[交割日是否落入record date]]=1,庫存管理[[#This Row],[交_record date制度前手息]],庫存管理[[#This Row],[計算交割前手息(初算)]]),0)</f>
        <v>0</v>
      </c>
      <c r="AQ23"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3" s="1063" t="e">
        <f ca="1">ROUND(庫存管理[[#This Row],[計算交割前手息(複算)]]*庫存管理[[#This Row],[投入面額]]/100,2)</f>
        <v>#VALUE!</v>
      </c>
      <c r="AS23" s="1064" t="e">
        <f ca="1">IF(庫存管理[[#This Row],[配息頻率]]=0,0,(100*庫存管理[[#This Row],[票面利率]]/庫存管理[[#This Row],[配息頻率]])*庫存管理[[#This Row],[經過幾次配息]]+庫存管理[[#This Row],[計算交割前手息(複算)]]-庫存管理[[#This Row],[計算前手息(複算)]])</f>
        <v>#VALUE!</v>
      </c>
      <c r="AT23" s="581" t="e">
        <f ca="1">IF(庫存管理[[#This Row],[商品代號]]="XFM90",0,ROUND(AS23*W23/100,2))</f>
        <v>#VALUE!</v>
      </c>
      <c r="AU23" s="582">
        <f ca="1">IF(MF=2,IFERROR(庫存管理[[#This Row],[累計配息]]/庫存管理[[#This Row],[持有成本(不含前手息)]],0),IFERROR(庫存管理[[#This Row],[已實現配息(原幣)]]/庫存管理[[#This Row],[持有成本(含前手息)]],0))</f>
        <v>0</v>
      </c>
      <c r="AV23" s="583" t="e">
        <f ca="1">IF(MF=2,庫存管理[[#This Row],[資本利損]]+庫存管理[[#This Row],[累計配息]],庫存管理[[#This Row],[資本利損]]+庫存管理[[#This Row],[已實現配息(原幣)]])</f>
        <v>#VALUE!</v>
      </c>
      <c r="AW23" s="584">
        <f ca="1">IF(庫存管理[[#This Row],[檢測]]=TRUE,IF(MF=2,IFERROR(庫存管理[[#This Row],[合計收益]]/庫存管理[[#This Row],[持有成本(不含前手息)]],0),IFERROR(庫存管理[[#This Row],[合計收益]]/庫存管理[[#This Row],[持有成本(含前手息)]],0)),0)</f>
        <v>0</v>
      </c>
      <c r="AX23" s="434" t="e">
        <f t="shared" ca="1" si="19"/>
        <v>#VALUE!</v>
      </c>
      <c r="AY23" s="434" t="e">
        <f t="shared" ca="1" si="20"/>
        <v>#VALUE!</v>
      </c>
      <c r="AZ23" s="434">
        <f t="shared" ca="1" si="21"/>
        <v>0</v>
      </c>
      <c r="BA23" s="434">
        <f t="shared" ca="1" si="22"/>
        <v>0</v>
      </c>
      <c r="BB23" s="441" t="e">
        <f ca="1">IF(AND(庫存管理[[#This Row],[名稱]]="美國國庫債券",DAY(庫存管理[[#This Row],[買進前一配息日(初算)]])&gt;=28),EOMONTH(庫存管理[[#This Row],[買進前一配息日(初算)]],0),庫存管理[[#This Row],[買進前一配息日(初算)]])</f>
        <v>#N/A</v>
      </c>
      <c r="BC23" s="441" t="e">
        <f t="shared" ca="1" si="23"/>
        <v>#N/A</v>
      </c>
      <c r="BD23" s="444" t="e">
        <f t="shared" ca="1" si="24"/>
        <v>#N/A</v>
      </c>
      <c r="BE23" s="441" t="e">
        <f ca="1">IF(Q23&gt;0,IF(MONTH(DATE(BD23,AX23,DAY(R23)))&lt;&gt;庫存管理[[#This Row],[第一個配息月]],DATE(BD23,AX23+1,0),DATE(BD23,AX23,DAY(R23))),庫存管理[[#This Row],[買進例外調整]]+100)</f>
        <v>#N/A</v>
      </c>
      <c r="BF23" s="441" t="e">
        <f ca="1">IF(AY23&lt;&gt;0,IF(MONTH(DATE(BD23,AY23,DAY(R23)))&lt;&gt;庫存管理[[#This Row],[第二個配息月]],DATE(BD23,AY23+1,0),DATE(BD23,AY23,DAY(R23))),庫存管理[[#This Row],[買進例外調整]]+100)</f>
        <v>#VALUE!</v>
      </c>
      <c r="BG23" s="441" t="e">
        <f ca="1">IF(AZ23&lt;&gt;0,IF(MONTH(DATE(BD23,AZ23,DAY(R23)))&lt;&gt;庫存管理[[#This Row],[第三個配息月]],DATE(BD23,AZ23+1,0),DATE(BD23,AZ23,DAY(R23))),庫存管理[[#This Row],[買進例外調整]]+100)</f>
        <v>#N/A</v>
      </c>
      <c r="BH23" s="441" t="e">
        <f ca="1">IF(BA23&lt;&gt;0,IF(MONTH(DATE(BD23,BA23,DAY(R23)))&lt;&gt;庫存管理[[#This Row],[第四個配息月]],DATE(BD23,BA23+1,0),DATE(BD23,BA23,DAY(R23))),庫存管理[[#This Row],[買進例外調整]]+100)</f>
        <v>#N/A</v>
      </c>
      <c r="BI23" s="441" t="e">
        <f ca="1">IF(Q23=1,IF(MONTH(DATE(BD23-1,AX23,DAY(R23)))&lt;&gt;庫存管理[[#This Row],[第一個配息月]],DATE(BD23-1,AX23+1,0),DATE(BD23-1,AX23,DAY(R23))),IF(Q23=2,IF(MONTH(DATE(BD23-1,AY23,DAY(R23)))&lt;&gt;庫存管理[[#This Row],[第二個配息月]],DATE(BD23-1,AY23+1,0),DATE(BD23-1,AY23,DAY(R23))),IF(Q23=4,IF(MONTH(DATE(BD23-1,BA23,DAY(R23)))&lt;&gt;庫存管理[[#This Row],[第四個配息月]],DATE(BD23-1,BA23+1,0),DATE(BD23-1,BA23,DAY(R23))),庫存管理[[#This Row],[買進例外調整]]+100)))</f>
        <v>#N/A</v>
      </c>
      <c r="BJ23" s="445">
        <f t="shared" ca="1" si="25"/>
        <v>10000</v>
      </c>
      <c r="BK23" s="445">
        <f t="shared" ca="1" si="26"/>
        <v>10000</v>
      </c>
      <c r="BL23" s="445">
        <f t="shared" ca="1" si="27"/>
        <v>10000</v>
      </c>
      <c r="BM23" s="445">
        <f t="shared" ca="1" si="28"/>
        <v>10000</v>
      </c>
      <c r="BN23" s="455">
        <f t="shared" ca="1" si="29"/>
        <v>10000</v>
      </c>
      <c r="BO23" s="479" t="e">
        <f ca="1">庫存管理[[#This Row],[年度配息]]/庫存管理[[#This Row],[配息頻率]]</f>
        <v>#VALUE!</v>
      </c>
      <c r="BP23" s="479" t="e">
        <f ca="1">庫存管理[[#This Row],[單次配息(原幣)]]*庫存管理[[#This Row],[換算匯率(現)]]</f>
        <v>#VALUE!</v>
      </c>
      <c r="BQ23" s="479" t="str">
        <f ca="1">IF(庫存管理[[#This Row],[商品代號]]&lt;&gt;"",IFERROR(VLOOKUP($I23,'銀行-TSS'!B:C,2,FALSE),""),"")</f>
        <v/>
      </c>
      <c r="BR23" s="479" t="e">
        <f ca="1">VLOOKUP(庫存管理[[#This Row],[幣別]],$B$37:$C$43,2,FALSE)</f>
        <v>#N/A</v>
      </c>
      <c r="BS23" s="500" t="e">
        <f ca="1">CHOOSE(庫存管理[[#This Row],[對應編碼]],$D$37,$D$38,$D$39,$D$40,$D$41,$D$42,$D$43)</f>
        <v>#N/A</v>
      </c>
      <c r="BT23" s="500">
        <f ca="1">IF(庫存管理[[#This Row],[商品代號]]="",0,CHOOSE(庫存管理[[#This Row],[對應編碼]],$E$37,$E$38,$E$39,$E$40,$E$41,$E$42,$E$43))</f>
        <v>0</v>
      </c>
      <c r="BU23" s="1555">
        <f ca="1">IF(庫存管理[[#This Row],[檢測]]=TRUE,庫存管理[[#This Row],[投入面額]]*庫存管理[[#This Row],[換算匯率(現)]],0)</f>
        <v>0</v>
      </c>
      <c r="BV23" s="1555">
        <f ca="1">IF(庫存管理[[#This Row],[檢測]]=TRUE,IFERROR(庫存管理[[#This Row],[持有成本(含前手息)]]*庫存管理[[#This Row],[換算匯率(買)]],0),0)</f>
        <v>0</v>
      </c>
      <c r="BW23" s="1555">
        <f ca="1">IF(庫存管理[[#This Row],[檢測]]=TRUE,庫存管理[[#This Row],[持有成本(不含前手息)]]*庫存管理[[#This Row],[換算匯率(買)]],0)</f>
        <v>0</v>
      </c>
      <c r="BX23" s="1555">
        <f ca="1">IF(庫存管理[[#This Row],[檢測]]=TRUE,庫存管理[[#This Row],[部位現值(含前手息)]]*庫存管理[[#This Row],[換算匯率(現)]],0)</f>
        <v>0</v>
      </c>
      <c r="BY23" s="1555">
        <f ca="1">IF(庫存管理[[#This Row],[檢測]]=TRUE,庫存管理[[#This Row],[部位現值(不含前手息)]]*庫存管理[[#This Row],[換算匯率(現)]],0)</f>
        <v>0</v>
      </c>
      <c r="BZ23" s="1555">
        <f ca="1">IF(庫存管理[[#This Row],[檢測]]=TRUE,IF(MF=2,庫存管理[[#This Row],[累計配息]]*庫存管理[[#This Row],[換算匯率(現)]],庫存管理[[#This Row],[已實現配息(原幣)]]*庫存管理[[#This Row],[換算匯率(現)]]),0)</f>
        <v>0</v>
      </c>
      <c r="CA23" s="1555" t="e">
        <f ca="1">庫存管理[[#This Row],[資本利損]]*庫存管理[[#This Row],[換算匯率(現)]]</f>
        <v>#VALUE!</v>
      </c>
      <c r="CB23" s="1555" t="e">
        <f ca="1">庫存管理[[#This Row],[累計利息(台)]]+庫存管理[[#This Row],[資本貢獻(台)]]</f>
        <v>#VALUE!</v>
      </c>
      <c r="CC23" s="574">
        <f ca="1">IF(庫存管理[[#This Row],[檢測]]=TRUE,IFERROR(庫存管理[[#This Row],[配息報酬]],0),0)</f>
        <v>0</v>
      </c>
      <c r="CD23" s="574">
        <f ca="1">IF(庫存管理[[#This Row],[檢測]]=TRUE,庫存管理[[#This Row],[資本報酬]],0)</f>
        <v>0</v>
      </c>
      <c r="CE23" s="574">
        <f ca="1">IF(S23=TRUE,IFERROR(庫存管理[[#This Row],[換匯總報酬率]]-(庫存管理[[#This Row],[配息報酬率]]+庫存管理[[#This Row],[資本報酬率]]),0),0)</f>
        <v>0</v>
      </c>
      <c r="CF23"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3" s="585">
        <f ca="1">IF(AND(庫存管理[[#This Row],[檢測]]=TRUE,開關=TRUE),IF(MF=2,IFERROR(BW23/$BW$1,0),IFERROR(BV23/$BV$1,0)),0)</f>
        <v>0</v>
      </c>
      <c r="CH23" s="574">
        <f ca="1">IF(庫存管理[[#This Row],[檢測]]=TRUE,IF(MF=2,IFERROR(BY23/$BY$1,0),IFERROR(BX23/$BX$1,0)),0)</f>
        <v>0</v>
      </c>
      <c r="CI23"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3" s="646" t="e">
        <f ca="1">DATEDIF(庫存管理[[#This Row],[買進例外調整]],庫存管理[[#This Row],[到期日]],"d")/365.25</f>
        <v>#N/A</v>
      </c>
      <c r="CK23" s="734" t="e">
        <f ca="1">DATEVALUE(VLOOKUP(庫存管理[[#This Row],[商品代號]],bond!B:AF,31,FALSE))</f>
        <v>#N/A</v>
      </c>
      <c r="CL23" s="734" t="e">
        <f ca="1">IF(庫存管理[[#This Row],[買下配(國調)]]&lt;庫存管理[[#This Row],[第一票息日]],庫存管理[[#This Row],[第一票息日]],庫存管理[[#This Row],[買下配(國調)]])</f>
        <v>#N/A</v>
      </c>
      <c r="CM23"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3"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3" s="735">
        <f ca="1">IF(庫存管理[[#This Row],[商品代號]]="XFM90",0,IFERROR(庫存管理[[#This Row],[單次配息(原幣)]]*庫存管理[[#This Row],[經過幾次配息]],0))</f>
        <v>0</v>
      </c>
      <c r="CP23" s="735" t="e">
        <f ca="1">VLOOKUP(庫存管理[[#This Row],[商品代號]],bond!B:F,5,FALSE)</f>
        <v>#N/A</v>
      </c>
      <c r="CQ23" s="734" t="str">
        <f ca="1">IFERROR(VLOOKUP(庫存管理[[#This Row],[ISIN]],'7_發行日例外'!A:C,3,FALSE),IFERROR(DATEVALUE(VLOOKUP(庫存管理[[#This Row],[商品代號]],bond!B:AR,43,FALSE)),""))</f>
        <v/>
      </c>
      <c r="CR23" s="735" t="e">
        <f ca="1">DATEDIF(庫存管理[[#This Row],[起息日]],庫存管理[[#This Row],[買進前一配息日(複算)]],"d")</f>
        <v>#VALUE!</v>
      </c>
      <c r="CS23"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3" s="734" t="e">
        <f ca="1">IFERROR(VLOOKUP(庫存管理[[#This Row],[ISIN]],'7_發行日例外'!A:D,4,FALSE),DATEVALUE(VLOOKUP(庫存管理[[#This Row],[商品代號]],bond!B:AV,44,FALSE)))</f>
        <v>#N/A</v>
      </c>
      <c r="CU23" s="735" t="e">
        <f ca="1">VLOOKUP(庫存管理[[#This Row],[商品代號]],bond!B:AU,46,FALSE)</f>
        <v>#N/A</v>
      </c>
      <c r="CV23" s="735" t="e">
        <f ca="1">IF(庫存管理[[#This Row],[計息基礎]]=1,CHOOSE(庫存管理[[#This Row],[對應編碼]],"沒進位","","沒進位",IF(庫存管理[[#This Row],[計算類型]]="AUSTRALIA:EX-DIV","4捨五入進0.01%","沒進位"),"年/2去計算ACT","沒進位","沒進位"),"")</f>
        <v>#N/A</v>
      </c>
      <c r="CW23" s="735" t="e">
        <f ca="1">_xlfn.DAYS(庫存管理[[#This Row],[買進例外調整]],庫存管理[[#This Row],[買進前一個配息日(最終)]])</f>
        <v>#N/A</v>
      </c>
      <c r="CX23" s="735" t="e">
        <f ca="1">IF(庫存管理[[#This Row],[備註]]="年/2去計算ACT",365/2,_xlfn.DAYS(庫存管理[[#This Row],[買進時的下個配息日]],庫存管理[[#This Row],[買進前一個配息日(最終)]]))</f>
        <v>#N/A</v>
      </c>
      <c r="CY23"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3" s="767" t="e">
        <f ca="1">_xlfn.DAYS(庫存管理[[#This Row],[交割日]],庫存管理[[#This Row],[買進前一個配息日(最終)]])</f>
        <v>#N/A</v>
      </c>
      <c r="DA23"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3" s="767" t="e">
        <f ca="1">_xlfn.DAYS(庫存管理[[#This Row],[交割日]],庫存管理[[#This Row],[最近的上一票息日]])</f>
        <v>#N/A</v>
      </c>
      <c r="DC23" s="767" t="e">
        <f ca="1">IF(庫存管理[[#This Row],[備註]]="年/2去計算ACT",365/2,_xlfn.DAYS(庫存管理[[#This Row],[下一配息日]],庫存管理[[#This Row],[最近的上一票息日]]))</f>
        <v>#N/A</v>
      </c>
      <c r="DD23"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3" s="739" t="e">
        <f ca="1">CL23-庫存管理[[#This Row],[ex_div_days]]</f>
        <v>#N/A</v>
      </c>
      <c r="DF23" s="646" t="e">
        <f ca="1">IF(VLOOKUP(庫存管理[[#This Row],[商品代號]],bond!B:AT,45,FALSE)="#N/A Field Not Applicable",0,VLOOKUP(庫存管理[[#This Row],[商品代號]],bond!B:AT,45,FALSE))</f>
        <v>#N/A</v>
      </c>
      <c r="DG23" s="793" t="e">
        <f ca="1">IF(庫存管理[[#This Row],[ex_div_days]]&lt;&gt;0,IF(AND(庫存管理[[#This Row],[買進例外調整]]-庫存管理[[#This Row],[買進下一個配息日先減n天]]&gt;=0,庫存管理[[#This Row],[買進時的下個配息日]]-庫存管理[[#This Row],[買進例外調整]]&gt;0),1,0),0)</f>
        <v>#N/A</v>
      </c>
      <c r="DH23"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3" s="734" t="e">
        <f ca="1">庫存管理[[#This Row],[下一配息日]]-庫存管理[[#This Row],[ex_div_days]]</f>
        <v>#VALUE!</v>
      </c>
      <c r="DJ23" s="1081" t="e">
        <f ca="1">IF(庫存管理[[#This Row],[ex_div_days]]&lt;&gt;0,IF(AND(庫存管理[[#This Row],[交割日]]-庫存管理[[#This Row],[交割下個配息日先減n天]]&gt;=0,庫存管理[[#This Row],[下一配息日]]-庫存管理[[#This Row],[交割日]]&gt;0),1,0),0)</f>
        <v>#N/A</v>
      </c>
      <c r="DK23"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3" s="735">
        <f ca="1">IFERROR(VLOOKUP(庫存管理[[#This Row],[商品代號]],bond!B:X,21,FALSE),0)</f>
        <v>0</v>
      </c>
      <c r="DM23" s="735">
        <f ca="1">IFERROR(VLOOKUP(I23,bond!B:J,9,FALSE),0)</f>
        <v>0</v>
      </c>
      <c r="DN23" s="1188">
        <f ca="1">IF(AND(開關=TRUE,庫存管理[[#This Row],[投組檢測]]=TRUE),IF(MF=2,IFERROR(BW23/$BW$3,0),IFERROR(BV23/$BV$3,0)),0)</f>
        <v>0</v>
      </c>
      <c r="DO23" s="735">
        <f ca="1">IFERROR(庫存管理[[#This Row],[clean申購價]]/100*庫存管理[[#This Row],[投入面額]]*庫存管理[[#This Row],[MOD]]*0.01,0)</f>
        <v>0</v>
      </c>
      <c r="DP23" s="1298" t="e">
        <f ca="1">IF($C$16=1,庫存管理[[#This Row],[單次配息(台幣)]],庫存管理[[#This Row],[單次配息(原幣)]])</f>
        <v>#VALUE!</v>
      </c>
      <c r="DQ23"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3"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3"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3"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3"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3"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3"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3"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3"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3"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3"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3"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24" spans="2:229" ht="19.5" customHeight="1">
      <c r="B24" s="12">
        <v>6</v>
      </c>
      <c r="C24" s="604">
        <f t="shared" ca="1" si="30"/>
        <v>0</v>
      </c>
      <c r="D24" s="26" t="s">
        <v>1793</v>
      </c>
      <c r="E24" s="12" t="str">
        <f t="shared" ca="1" si="14"/>
        <v/>
      </c>
      <c r="F24" s="1711"/>
      <c r="G24" s="459">
        <v>18</v>
      </c>
      <c r="H24" s="1166" t="b">
        <f ca="1">IFERROR(IF(VLOOKUP(G24,換券投組!$AH$8:$AH$13,1,FALSE)&gt;0,TRUE,FALSE),FALSE)</f>
        <v>0</v>
      </c>
      <c r="I24" s="1693" t="str">
        <f ca="1">IF(開關=TRUE,'商品代碼-中繼頁'!R19,"")</f>
        <v/>
      </c>
      <c r="J24" s="429">
        <f ca="1">IFERROR(VLOOKUP(I24,bond!B:I,8,FALSE),0)</f>
        <v>0</v>
      </c>
      <c r="K24" s="429">
        <f ca="1">IFERROR(庫存管理[[#This Row],[買價]]+VLOOKUP(庫存管理[[#This Row],[商品代號]],bond!B:K,10,FALSE),0)</f>
        <v>0</v>
      </c>
      <c r="L24" s="430" t="e">
        <f ca="1">VLOOKUP(I24,'銀行-TSS'!B:E,4,FALSE)</f>
        <v>#N/A</v>
      </c>
      <c r="M24" s="431">
        <f ca="1">IFERROR(VLOOKUP($I24,'銀行-TSS'!B:G,6,FALSE),0)</f>
        <v>0</v>
      </c>
      <c r="N24" s="432" t="e">
        <f ca="1">IFERROR(DATEVALUE(VLOOKUP($I24,'銀行-TSS'!B:F,5,FALSE)),VLOOKUP($I24,'銀行-TSS'!B:F,5,FALSE))</f>
        <v>#N/A</v>
      </c>
      <c r="O24" s="433">
        <f ca="1">IFERROR(VLOOKUP($I24,'銀行-TSS'!B:H,7,FALSE),0)</f>
        <v>0</v>
      </c>
      <c r="P24" s="433" t="e">
        <f ca="1">庫存管理[[#This Row],[票面利率]]/庫存管理[[#This Row],[成本價(不含前手息)]]*100</f>
        <v>#VALUE!</v>
      </c>
      <c r="Q24" s="434" t="str">
        <f ca="1">IFERROR(VLOOKUP($I24,'銀行-TSS'!B:I,8,FALSE),"")</f>
        <v/>
      </c>
      <c r="R24" s="440" t="str">
        <f ca="1">_xlfn.IFNA(IFERROR(DATEVALUE(VLOOKUP($I24,'銀行-TSS'!B:P,15,FALSE)),VLOOKUP($I24,'銀行-TSS'!B:P,15,FALSE)),"")</f>
        <v/>
      </c>
      <c r="S24" s="570" t="b">
        <f ca="1">IF(AND(庫存管理[[#This Row],[配息頻率]]&lt;&gt;"",庫存管理[[#This Row],[持有成本(不含前手息)]]&lt;&gt;0,庫存管理[[#This Row],[買進日]]&lt;&gt;""),TRUE,FALSE)</f>
        <v>0</v>
      </c>
      <c r="T24" s="602" t="str">
        <f>IFERROR(DATE(LEFT('商品代碼-中繼頁'!S19,4),MID('商品代碼-中繼頁'!S19,5,2),RIGHT('商品代碼-中繼頁'!S19,2)),"")</f>
        <v/>
      </c>
      <c r="U24"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4" s="442" t="e">
        <f ca="1">IFERROR(WORKDAY(庫存管理[[#This Row],[買進日]],VLOOKUP(庫存管理[[#This Row],[商品代號]],'1_重設數據'!R:S,2,FALSE),休USD),庫存管理[[#This Row],[買進日(T+2/公債T+1)]])</f>
        <v>#N/A</v>
      </c>
      <c r="W24" s="43" t="str">
        <f>'商品代碼-中繼頁'!T19</f>
        <v/>
      </c>
      <c r="X24" s="43" t="str">
        <f>'商品代碼-中繼頁'!U19</f>
        <v/>
      </c>
      <c r="Y24" s="464">
        <f t="shared" ca="1" si="9"/>
        <v>0</v>
      </c>
      <c r="Z24" s="464" t="e">
        <f t="shared" ca="1" si="15"/>
        <v>#VALUE!</v>
      </c>
      <c r="AA24" s="465" t="e">
        <f t="shared" ca="1" si="16"/>
        <v>#VALUE!</v>
      </c>
      <c r="AB24" s="474" t="e">
        <f ca="1">IF(MF=2,庫存管理[[#This Row],[部位現值(不含前手息)]]-庫存管理[[#This Row],[持有成本(不含前手息)]],庫存管理[[#This Row],[部位現值(含前手息)]]-庫存管理[[#This Row],[持有成本(含前手息)]])</f>
        <v>#VALUE!</v>
      </c>
      <c r="AC24" s="462">
        <f ca="1">IF(庫存管理[[#This Row],[檢測]]=TRUE,IF(MF=2,IFERROR(庫存管理[[#This Row],[資本利損]]/庫存管理[[#This Row],[持有成本(不含前手息)]],0),IFERROR(庫存管理[[#This Row],[資本利損]]/庫存管理[[#This Row],[持有成本(含前手息)]],0)),0)</f>
        <v>0</v>
      </c>
      <c r="AD24" s="618" t="e">
        <f ca="1">庫存管理[[#This Row],[持有成本(不含前手息)]]/庫存管理[[#This Row],[投入面額]]*100</f>
        <v>#VALUE!</v>
      </c>
      <c r="AE24" s="462" t="str">
        <f ca="1">IFERROR(VLOOKUP(庫存管理[[#This Row],[商品代號]],bond!B:AA,26,FALSE),"")</f>
        <v/>
      </c>
      <c r="AF24" s="1" t="str">
        <f ca="1">IFERROR(VLOOKUP($I24,'銀行-TSS'!B:Q,16,FALSE),"")</f>
        <v/>
      </c>
      <c r="AG24" s="466">
        <f t="shared" ca="1" si="1"/>
        <v>0</v>
      </c>
      <c r="AH24" s="458" t="e">
        <f ca="1">IF(OR(庫存管理[[#This Row],[起息日]]&gt;庫存管理[[#This Row],[買進前一配息日(複算)]],庫存管理[[#This Row],[判斷]]=TRUE),庫存管理[[#This Row],[起息日]],庫存管理[[#This Row],[買進前一配息日(複算)]])</f>
        <v>#N/A</v>
      </c>
      <c r="AI24" s="577" t="e">
        <f ca="1">VLOOKUP(I24,bond!B:AP,41,FALSE)</f>
        <v>#N/A</v>
      </c>
      <c r="AJ24" s="578" t="e">
        <f t="shared" ca="1" si="17"/>
        <v>#N/A</v>
      </c>
      <c r="AK24" s="579">
        <f ca="1">IFERROR(IF(庫存管理[[#This Row],[買進日是否落入record date]]=1,庫存管理[[#This Row],[record date制度前手息]],庫存管理[[#This Row],[計算前手息(初算)]]),0)</f>
        <v>0</v>
      </c>
      <c r="AL24" s="579" t="e">
        <f ca="1">IF(OR(庫存管理[[#This Row],[買進例外調整]]&lt;庫存管理[[#This Row],[起息日]],庫存管理[[#This Row],[買進例外調整]]&gt;庫存管理[[#This Row],[到期日]]),0,IF(庫存管理[[#This Row],[備註]]&lt;&gt;"",庫存管理[[#This Row],[買進時前手息]],IFERROR(ROUND(ACCRINT(AH24,AH24,V24,O24,100,Q24,AJ24,TRUE),4),0)))</f>
        <v>#N/A</v>
      </c>
      <c r="AM24" s="580" t="e">
        <f t="shared" ca="1" si="18"/>
        <v>#VALUE!</v>
      </c>
      <c r="AN24" s="440" t="e">
        <f ca="1">IFERROR(DATEVALUE(VLOOKUP(I24,bond!B:I,7,FALSE)),VLOOKUP(I24,bond!B:I,7,FALSE))</f>
        <v>#N/A</v>
      </c>
      <c r="AO24"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4" s="1075">
        <f ca="1">IFERROR(IF(庫存管理[[#This Row],[交割日是否落入record date]]=1,庫存管理[[#This Row],[交_record date制度前手息]],庫存管理[[#This Row],[計算交割前手息(初算)]]),0)</f>
        <v>0</v>
      </c>
      <c r="AQ24"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4" s="1063" t="e">
        <f ca="1">ROUND(庫存管理[[#This Row],[計算交割前手息(複算)]]*庫存管理[[#This Row],[投入面額]]/100,2)</f>
        <v>#VALUE!</v>
      </c>
      <c r="AS24" s="1064" t="e">
        <f ca="1">IF(庫存管理[[#This Row],[配息頻率]]=0,0,(100*庫存管理[[#This Row],[票面利率]]/庫存管理[[#This Row],[配息頻率]])*庫存管理[[#This Row],[經過幾次配息]]+庫存管理[[#This Row],[計算交割前手息(複算)]]-庫存管理[[#This Row],[計算前手息(複算)]])</f>
        <v>#VALUE!</v>
      </c>
      <c r="AT24" s="581" t="e">
        <f ca="1">IF(庫存管理[[#This Row],[商品代號]]="XFM90",0,ROUND(AS24*W24/100,2))</f>
        <v>#VALUE!</v>
      </c>
      <c r="AU24" s="582">
        <f ca="1">IF(MF=2,IFERROR(庫存管理[[#This Row],[累計配息]]/庫存管理[[#This Row],[持有成本(不含前手息)]],0),IFERROR(庫存管理[[#This Row],[已實現配息(原幣)]]/庫存管理[[#This Row],[持有成本(含前手息)]],0))</f>
        <v>0</v>
      </c>
      <c r="AV24" s="583" t="e">
        <f ca="1">IF(MF=2,庫存管理[[#This Row],[資本利損]]+庫存管理[[#This Row],[累計配息]],庫存管理[[#This Row],[資本利損]]+庫存管理[[#This Row],[已實現配息(原幣)]])</f>
        <v>#VALUE!</v>
      </c>
      <c r="AW24" s="584">
        <f ca="1">IF(庫存管理[[#This Row],[檢測]]=TRUE,IF(MF=2,IFERROR(庫存管理[[#This Row],[合計收益]]/庫存管理[[#This Row],[持有成本(不含前手息)]],0),IFERROR(庫存管理[[#This Row],[合計收益]]/庫存管理[[#This Row],[持有成本(含前手息)]],0)),0)</f>
        <v>0</v>
      </c>
      <c r="AX24" s="434" t="e">
        <f t="shared" ca="1" si="19"/>
        <v>#VALUE!</v>
      </c>
      <c r="AY24" s="434" t="e">
        <f t="shared" ca="1" si="20"/>
        <v>#VALUE!</v>
      </c>
      <c r="AZ24" s="434">
        <f t="shared" ca="1" si="21"/>
        <v>0</v>
      </c>
      <c r="BA24" s="434">
        <f t="shared" ca="1" si="22"/>
        <v>0</v>
      </c>
      <c r="BB24" s="441" t="e">
        <f ca="1">IF(AND(庫存管理[[#This Row],[名稱]]="美國國庫債券",DAY(庫存管理[[#This Row],[買進前一配息日(初算)]])&gt;=28),EOMONTH(庫存管理[[#This Row],[買進前一配息日(初算)]],0),庫存管理[[#This Row],[買進前一配息日(初算)]])</f>
        <v>#N/A</v>
      </c>
      <c r="BC24" s="441" t="e">
        <f t="shared" ca="1" si="23"/>
        <v>#N/A</v>
      </c>
      <c r="BD24" s="444" t="e">
        <f t="shared" ca="1" si="24"/>
        <v>#N/A</v>
      </c>
      <c r="BE24" s="441" t="e">
        <f ca="1">IF(Q24&gt;0,IF(MONTH(DATE(BD24,AX24,DAY(R24)))&lt;&gt;庫存管理[[#This Row],[第一個配息月]],DATE(BD24,AX24+1,0),DATE(BD24,AX24,DAY(R24))),庫存管理[[#This Row],[買進例外調整]]+100)</f>
        <v>#N/A</v>
      </c>
      <c r="BF24" s="441" t="e">
        <f ca="1">IF(AY24&lt;&gt;0,IF(MONTH(DATE(BD24,AY24,DAY(R24)))&lt;&gt;庫存管理[[#This Row],[第二個配息月]],DATE(BD24,AY24+1,0),DATE(BD24,AY24,DAY(R24))),庫存管理[[#This Row],[買進例外調整]]+100)</f>
        <v>#VALUE!</v>
      </c>
      <c r="BG24" s="441" t="e">
        <f ca="1">IF(AZ24&lt;&gt;0,IF(MONTH(DATE(BD24,AZ24,DAY(R24)))&lt;&gt;庫存管理[[#This Row],[第三個配息月]],DATE(BD24,AZ24+1,0),DATE(BD24,AZ24,DAY(R24))),庫存管理[[#This Row],[買進例外調整]]+100)</f>
        <v>#N/A</v>
      </c>
      <c r="BH24" s="441" t="e">
        <f ca="1">IF(BA24&lt;&gt;0,IF(MONTH(DATE(BD24,BA24,DAY(R24)))&lt;&gt;庫存管理[[#This Row],[第四個配息月]],DATE(BD24,BA24+1,0),DATE(BD24,BA24,DAY(R24))),庫存管理[[#This Row],[買進例外調整]]+100)</f>
        <v>#N/A</v>
      </c>
      <c r="BI24" s="441" t="e">
        <f ca="1">IF(Q24=1,IF(MONTH(DATE(BD24-1,AX24,DAY(R24)))&lt;&gt;庫存管理[[#This Row],[第一個配息月]],DATE(BD24-1,AX24+1,0),DATE(BD24-1,AX24,DAY(R24))),IF(Q24=2,IF(MONTH(DATE(BD24-1,AY24,DAY(R24)))&lt;&gt;庫存管理[[#This Row],[第二個配息月]],DATE(BD24-1,AY24+1,0),DATE(BD24-1,AY24,DAY(R24))),IF(Q24=4,IF(MONTH(DATE(BD24-1,BA24,DAY(R24)))&lt;&gt;庫存管理[[#This Row],[第四個配息月]],DATE(BD24-1,BA24+1,0),DATE(BD24-1,BA24,DAY(R24))),庫存管理[[#This Row],[買進例外調整]]+100)))</f>
        <v>#N/A</v>
      </c>
      <c r="BJ24" s="445">
        <f t="shared" ca="1" si="25"/>
        <v>10000</v>
      </c>
      <c r="BK24" s="445">
        <f t="shared" ca="1" si="26"/>
        <v>10000</v>
      </c>
      <c r="BL24" s="445">
        <f t="shared" ca="1" si="27"/>
        <v>10000</v>
      </c>
      <c r="BM24" s="445">
        <f t="shared" ca="1" si="28"/>
        <v>10000</v>
      </c>
      <c r="BN24" s="455">
        <f t="shared" ca="1" si="29"/>
        <v>10000</v>
      </c>
      <c r="BO24" s="479" t="e">
        <f ca="1">庫存管理[[#This Row],[年度配息]]/庫存管理[[#This Row],[配息頻率]]</f>
        <v>#VALUE!</v>
      </c>
      <c r="BP24" s="479" t="e">
        <f ca="1">庫存管理[[#This Row],[單次配息(原幣)]]*庫存管理[[#This Row],[換算匯率(現)]]</f>
        <v>#VALUE!</v>
      </c>
      <c r="BQ24" s="479" t="str">
        <f ca="1">IF(庫存管理[[#This Row],[商品代號]]&lt;&gt;"",IFERROR(VLOOKUP($I24,'銀行-TSS'!B:C,2,FALSE),""),"")</f>
        <v/>
      </c>
      <c r="BR24" s="479" t="e">
        <f ca="1">VLOOKUP(庫存管理[[#This Row],[幣別]],$B$37:$C$43,2,FALSE)</f>
        <v>#N/A</v>
      </c>
      <c r="BS24" s="500" t="e">
        <f ca="1">CHOOSE(庫存管理[[#This Row],[對應編碼]],$D$37,$D$38,$D$39,$D$40,$D$41,$D$42,$D$43)</f>
        <v>#N/A</v>
      </c>
      <c r="BT24" s="500">
        <f ca="1">IF(庫存管理[[#This Row],[商品代號]]="",0,CHOOSE(庫存管理[[#This Row],[對應編碼]],$E$37,$E$38,$E$39,$E$40,$E$41,$E$42,$E$43))</f>
        <v>0</v>
      </c>
      <c r="BU24" s="1555">
        <f ca="1">IF(庫存管理[[#This Row],[檢測]]=TRUE,庫存管理[[#This Row],[投入面額]]*庫存管理[[#This Row],[換算匯率(現)]],0)</f>
        <v>0</v>
      </c>
      <c r="BV24" s="1555">
        <f ca="1">IF(庫存管理[[#This Row],[檢測]]=TRUE,IFERROR(庫存管理[[#This Row],[持有成本(含前手息)]]*庫存管理[[#This Row],[換算匯率(買)]],0),0)</f>
        <v>0</v>
      </c>
      <c r="BW24" s="1555">
        <f ca="1">IF(庫存管理[[#This Row],[檢測]]=TRUE,庫存管理[[#This Row],[持有成本(不含前手息)]]*庫存管理[[#This Row],[換算匯率(買)]],0)</f>
        <v>0</v>
      </c>
      <c r="BX24" s="1555">
        <f ca="1">IF(庫存管理[[#This Row],[檢測]]=TRUE,庫存管理[[#This Row],[部位現值(含前手息)]]*庫存管理[[#This Row],[換算匯率(現)]],0)</f>
        <v>0</v>
      </c>
      <c r="BY24" s="1555">
        <f ca="1">IF(庫存管理[[#This Row],[檢測]]=TRUE,庫存管理[[#This Row],[部位現值(不含前手息)]]*庫存管理[[#This Row],[換算匯率(現)]],0)</f>
        <v>0</v>
      </c>
      <c r="BZ24" s="1555">
        <f ca="1">IF(庫存管理[[#This Row],[檢測]]=TRUE,IF(MF=2,庫存管理[[#This Row],[累計配息]]*庫存管理[[#This Row],[換算匯率(現)]],庫存管理[[#This Row],[已實現配息(原幣)]]*庫存管理[[#This Row],[換算匯率(現)]]),0)</f>
        <v>0</v>
      </c>
      <c r="CA24" s="1555" t="e">
        <f ca="1">庫存管理[[#This Row],[資本利損]]*庫存管理[[#This Row],[換算匯率(現)]]</f>
        <v>#VALUE!</v>
      </c>
      <c r="CB24" s="1555" t="e">
        <f ca="1">庫存管理[[#This Row],[累計利息(台)]]+庫存管理[[#This Row],[資本貢獻(台)]]</f>
        <v>#VALUE!</v>
      </c>
      <c r="CC24" s="574">
        <f ca="1">IF(庫存管理[[#This Row],[檢測]]=TRUE,IFERROR(庫存管理[[#This Row],[配息報酬]],0),0)</f>
        <v>0</v>
      </c>
      <c r="CD24" s="574">
        <f ca="1">IF(庫存管理[[#This Row],[檢測]]=TRUE,庫存管理[[#This Row],[資本報酬]],0)</f>
        <v>0</v>
      </c>
      <c r="CE24" s="574">
        <f ca="1">IF(S24=TRUE,IFERROR(庫存管理[[#This Row],[換匯總報酬率]]-(庫存管理[[#This Row],[配息報酬率]]+庫存管理[[#This Row],[資本報酬率]]),0),0)</f>
        <v>0</v>
      </c>
      <c r="CF24"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4" s="585">
        <f ca="1">IF(AND(庫存管理[[#This Row],[檢測]]=TRUE,開關=TRUE),IF(MF=2,IFERROR(BW24/$BW$1,0),IFERROR(BV24/$BV$1,0)),0)</f>
        <v>0</v>
      </c>
      <c r="CH24" s="574">
        <f ca="1">IF(庫存管理[[#This Row],[檢測]]=TRUE,IF(MF=2,IFERROR(BY24/$BY$1,0),IFERROR(BX24/$BX$1,0)),0)</f>
        <v>0</v>
      </c>
      <c r="CI24"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4" s="646" t="e">
        <f ca="1">DATEDIF(庫存管理[[#This Row],[買進例外調整]],庫存管理[[#This Row],[到期日]],"d")/365.25</f>
        <v>#N/A</v>
      </c>
      <c r="CK24" s="734" t="e">
        <f ca="1">DATEVALUE(VLOOKUP(庫存管理[[#This Row],[商品代號]],bond!B:AF,31,FALSE))</f>
        <v>#N/A</v>
      </c>
      <c r="CL24" s="734" t="e">
        <f ca="1">IF(庫存管理[[#This Row],[買下配(國調)]]&lt;庫存管理[[#This Row],[第一票息日]],庫存管理[[#This Row],[第一票息日]],庫存管理[[#This Row],[買下配(國調)]])</f>
        <v>#N/A</v>
      </c>
      <c r="CM24"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4"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4" s="735">
        <f ca="1">IF(庫存管理[[#This Row],[商品代號]]="XFM90",0,IFERROR(庫存管理[[#This Row],[單次配息(原幣)]]*庫存管理[[#This Row],[經過幾次配息]],0))</f>
        <v>0</v>
      </c>
      <c r="CP24" s="735" t="e">
        <f ca="1">VLOOKUP(庫存管理[[#This Row],[商品代號]],bond!B:F,5,FALSE)</f>
        <v>#N/A</v>
      </c>
      <c r="CQ24" s="734" t="str">
        <f ca="1">IFERROR(VLOOKUP(庫存管理[[#This Row],[ISIN]],'7_發行日例外'!A:C,3,FALSE),IFERROR(DATEVALUE(VLOOKUP(庫存管理[[#This Row],[商品代號]],bond!B:AR,43,FALSE)),""))</f>
        <v/>
      </c>
      <c r="CR24" s="735" t="e">
        <f ca="1">DATEDIF(庫存管理[[#This Row],[起息日]],庫存管理[[#This Row],[買進前一配息日(複算)]],"d")</f>
        <v>#VALUE!</v>
      </c>
      <c r="CS24"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4" s="734" t="e">
        <f ca="1">IFERROR(VLOOKUP(庫存管理[[#This Row],[ISIN]],'7_發行日例外'!A:D,4,FALSE),DATEVALUE(VLOOKUP(庫存管理[[#This Row],[商品代號]],bond!B:AV,44,FALSE)))</f>
        <v>#N/A</v>
      </c>
      <c r="CU24" s="735" t="e">
        <f ca="1">VLOOKUP(庫存管理[[#This Row],[商品代號]],bond!B:AU,46,FALSE)</f>
        <v>#N/A</v>
      </c>
      <c r="CV24" s="735" t="e">
        <f ca="1">IF(庫存管理[[#This Row],[計息基礎]]=1,CHOOSE(庫存管理[[#This Row],[對應編碼]],"沒進位","","沒進位",IF(庫存管理[[#This Row],[計算類型]]="AUSTRALIA:EX-DIV","4捨五入進0.01%","沒進位"),"年/2去計算ACT","沒進位","沒進位"),"")</f>
        <v>#N/A</v>
      </c>
      <c r="CW24" s="735" t="e">
        <f ca="1">_xlfn.DAYS(庫存管理[[#This Row],[買進例外調整]],庫存管理[[#This Row],[買進前一個配息日(最終)]])</f>
        <v>#N/A</v>
      </c>
      <c r="CX24" s="735" t="e">
        <f ca="1">IF(庫存管理[[#This Row],[備註]]="年/2去計算ACT",365/2,_xlfn.DAYS(庫存管理[[#This Row],[買進時的下個配息日]],庫存管理[[#This Row],[買進前一個配息日(最終)]]))</f>
        <v>#N/A</v>
      </c>
      <c r="CY24"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4" s="767" t="e">
        <f ca="1">_xlfn.DAYS(庫存管理[[#This Row],[交割日]],庫存管理[[#This Row],[買進前一個配息日(最終)]])</f>
        <v>#N/A</v>
      </c>
      <c r="DA24"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4" s="767" t="e">
        <f ca="1">_xlfn.DAYS(庫存管理[[#This Row],[交割日]],庫存管理[[#This Row],[最近的上一票息日]])</f>
        <v>#N/A</v>
      </c>
      <c r="DC24" s="767" t="e">
        <f ca="1">IF(庫存管理[[#This Row],[備註]]="年/2去計算ACT",365/2,_xlfn.DAYS(庫存管理[[#This Row],[下一配息日]],庫存管理[[#This Row],[最近的上一票息日]]))</f>
        <v>#N/A</v>
      </c>
      <c r="DD24"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4" s="739" t="e">
        <f ca="1">CL24-庫存管理[[#This Row],[ex_div_days]]</f>
        <v>#N/A</v>
      </c>
      <c r="DF24" s="646" t="e">
        <f ca="1">IF(VLOOKUP(庫存管理[[#This Row],[商品代號]],bond!B:AT,45,FALSE)="#N/A Field Not Applicable",0,VLOOKUP(庫存管理[[#This Row],[商品代號]],bond!B:AT,45,FALSE))</f>
        <v>#N/A</v>
      </c>
      <c r="DG24" s="793" t="e">
        <f ca="1">IF(庫存管理[[#This Row],[ex_div_days]]&lt;&gt;0,IF(AND(庫存管理[[#This Row],[買進例外調整]]-庫存管理[[#This Row],[買進下一個配息日先減n天]]&gt;=0,庫存管理[[#This Row],[買進時的下個配息日]]-庫存管理[[#This Row],[買進例外調整]]&gt;0),1,0),0)</f>
        <v>#N/A</v>
      </c>
      <c r="DH24"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4" s="734" t="e">
        <f ca="1">庫存管理[[#This Row],[下一配息日]]-庫存管理[[#This Row],[ex_div_days]]</f>
        <v>#VALUE!</v>
      </c>
      <c r="DJ24" s="1081" t="e">
        <f ca="1">IF(庫存管理[[#This Row],[ex_div_days]]&lt;&gt;0,IF(AND(庫存管理[[#This Row],[交割日]]-庫存管理[[#This Row],[交割下個配息日先減n天]]&gt;=0,庫存管理[[#This Row],[下一配息日]]-庫存管理[[#This Row],[交割日]]&gt;0),1,0),0)</f>
        <v>#N/A</v>
      </c>
      <c r="DK24"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4" s="735">
        <f ca="1">IFERROR(VLOOKUP(庫存管理[[#This Row],[商品代號]],bond!B:X,21,FALSE),0)</f>
        <v>0</v>
      </c>
      <c r="DM24" s="735">
        <f ca="1">IFERROR(VLOOKUP(I24,bond!B:J,9,FALSE),0)</f>
        <v>0</v>
      </c>
      <c r="DN24" s="1188">
        <f ca="1">IF(AND(開關=TRUE,庫存管理[[#This Row],[投組檢測]]=TRUE),IF(MF=2,IFERROR(BW24/$BW$3,0),IFERROR(BV24/$BV$3,0)),0)</f>
        <v>0</v>
      </c>
      <c r="DO24" s="735">
        <f ca="1">IFERROR(庫存管理[[#This Row],[clean申購價]]/100*庫存管理[[#This Row],[投入面額]]*庫存管理[[#This Row],[MOD]]*0.01,0)</f>
        <v>0</v>
      </c>
      <c r="DP24" s="1298" t="e">
        <f ca="1">IF($C$16=1,庫存管理[[#This Row],[單次配息(台幣)]],庫存管理[[#This Row],[單次配息(原幣)]])</f>
        <v>#VALUE!</v>
      </c>
      <c r="DQ24"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4"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4"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4"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4"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4"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4"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4"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4"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4"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4"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4"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25" spans="2:229" ht="19.5" customHeight="1">
      <c r="B25" s="12">
        <v>7</v>
      </c>
      <c r="C25" s="604">
        <f t="shared" ca="1" si="30"/>
        <v>0</v>
      </c>
      <c r="D25" s="26" t="s">
        <v>1794</v>
      </c>
      <c r="E25" s="12" t="str">
        <f t="shared" ca="1" si="14"/>
        <v/>
      </c>
      <c r="F25" s="1711"/>
      <c r="G25" s="459">
        <v>19</v>
      </c>
      <c r="H25" s="1166" t="b">
        <f ca="1">IFERROR(IF(VLOOKUP(G25,換券投組!$AH$8:$AH$13,1,FALSE)&gt;0,TRUE,FALSE),FALSE)</f>
        <v>0</v>
      </c>
      <c r="I25" s="1693" t="str">
        <f ca="1">IF(開關=TRUE,'商品代碼-中繼頁'!R20,"")</f>
        <v/>
      </c>
      <c r="J25" s="429">
        <f ca="1">IFERROR(VLOOKUP(I25,bond!B:I,8,FALSE),0)</f>
        <v>0</v>
      </c>
      <c r="K25" s="429">
        <f ca="1">IFERROR(庫存管理[[#This Row],[買價]]+VLOOKUP(庫存管理[[#This Row],[商品代號]],bond!B:K,10,FALSE),0)</f>
        <v>0</v>
      </c>
      <c r="L25" s="430" t="e">
        <f ca="1">VLOOKUP(I25,'銀行-TSS'!B:E,4,FALSE)</f>
        <v>#N/A</v>
      </c>
      <c r="M25" s="431">
        <f ca="1">IFERROR(VLOOKUP($I25,'銀行-TSS'!B:G,6,FALSE),0)</f>
        <v>0</v>
      </c>
      <c r="N25" s="432" t="e">
        <f ca="1">IFERROR(DATEVALUE(VLOOKUP($I25,'銀行-TSS'!B:F,5,FALSE)),VLOOKUP($I25,'銀行-TSS'!B:F,5,FALSE))</f>
        <v>#N/A</v>
      </c>
      <c r="O25" s="433">
        <f ca="1">IFERROR(VLOOKUP($I25,'銀行-TSS'!B:H,7,FALSE),0)</f>
        <v>0</v>
      </c>
      <c r="P25" s="433" t="e">
        <f ca="1">庫存管理[[#This Row],[票面利率]]/庫存管理[[#This Row],[成本價(不含前手息)]]*100</f>
        <v>#VALUE!</v>
      </c>
      <c r="Q25" s="434" t="str">
        <f ca="1">IFERROR(VLOOKUP($I25,'銀行-TSS'!B:I,8,FALSE),"")</f>
        <v/>
      </c>
      <c r="R25" s="440" t="str">
        <f ca="1">_xlfn.IFNA(IFERROR(DATEVALUE(VLOOKUP($I25,'銀行-TSS'!B:P,15,FALSE)),VLOOKUP($I25,'銀行-TSS'!B:P,15,FALSE)),"")</f>
        <v/>
      </c>
      <c r="S25" s="570" t="b">
        <f ca="1">IF(AND(庫存管理[[#This Row],[配息頻率]]&lt;&gt;"",庫存管理[[#This Row],[持有成本(不含前手息)]]&lt;&gt;0,庫存管理[[#This Row],[買進日]]&lt;&gt;""),TRUE,FALSE)</f>
        <v>0</v>
      </c>
      <c r="T25" s="602" t="str">
        <f>IFERROR(DATE(LEFT('商品代碼-中繼頁'!S20,4),MID('商品代碼-中繼頁'!S20,5,2),RIGHT('商品代碼-中繼頁'!S20,2)),"")</f>
        <v/>
      </c>
      <c r="U25"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5" s="442" t="e">
        <f ca="1">IFERROR(WORKDAY(庫存管理[[#This Row],[買進日]],VLOOKUP(庫存管理[[#This Row],[商品代號]],'1_重設數據'!R:S,2,FALSE),休USD),庫存管理[[#This Row],[買進日(T+2/公債T+1)]])</f>
        <v>#N/A</v>
      </c>
      <c r="W25" s="43" t="str">
        <f>'商品代碼-中繼頁'!T20</f>
        <v/>
      </c>
      <c r="X25" s="43" t="str">
        <f>'商品代碼-中繼頁'!U20</f>
        <v/>
      </c>
      <c r="Y25" s="464">
        <f t="shared" ca="1" si="9"/>
        <v>0</v>
      </c>
      <c r="Z25" s="464" t="e">
        <f t="shared" ca="1" si="15"/>
        <v>#VALUE!</v>
      </c>
      <c r="AA25" s="465" t="e">
        <f t="shared" ca="1" si="16"/>
        <v>#VALUE!</v>
      </c>
      <c r="AB25" s="474" t="e">
        <f ca="1">IF(MF=2,庫存管理[[#This Row],[部位現值(不含前手息)]]-庫存管理[[#This Row],[持有成本(不含前手息)]],庫存管理[[#This Row],[部位現值(含前手息)]]-庫存管理[[#This Row],[持有成本(含前手息)]])</f>
        <v>#VALUE!</v>
      </c>
      <c r="AC25" s="462">
        <f ca="1">IF(庫存管理[[#This Row],[檢測]]=TRUE,IF(MF=2,IFERROR(庫存管理[[#This Row],[資本利損]]/庫存管理[[#This Row],[持有成本(不含前手息)]],0),IFERROR(庫存管理[[#This Row],[資本利損]]/庫存管理[[#This Row],[持有成本(含前手息)]],0)),0)</f>
        <v>0</v>
      </c>
      <c r="AD25" s="618" t="e">
        <f ca="1">庫存管理[[#This Row],[持有成本(不含前手息)]]/庫存管理[[#This Row],[投入面額]]*100</f>
        <v>#VALUE!</v>
      </c>
      <c r="AE25" s="462" t="str">
        <f ca="1">IFERROR(VLOOKUP(庫存管理[[#This Row],[商品代號]],bond!B:AA,26,FALSE),"")</f>
        <v/>
      </c>
      <c r="AF25" s="1" t="str">
        <f ca="1">IFERROR(VLOOKUP($I25,'銀行-TSS'!B:Q,16,FALSE),"")</f>
        <v/>
      </c>
      <c r="AG25" s="466">
        <f t="shared" ca="1" si="1"/>
        <v>0</v>
      </c>
      <c r="AH25" s="458" t="e">
        <f ca="1">IF(OR(庫存管理[[#This Row],[起息日]]&gt;庫存管理[[#This Row],[買進前一配息日(複算)]],庫存管理[[#This Row],[判斷]]=TRUE),庫存管理[[#This Row],[起息日]],庫存管理[[#This Row],[買進前一配息日(複算)]])</f>
        <v>#N/A</v>
      </c>
      <c r="AI25" s="577" t="e">
        <f ca="1">VLOOKUP(I25,bond!B:AP,41,FALSE)</f>
        <v>#N/A</v>
      </c>
      <c r="AJ25" s="578" t="e">
        <f t="shared" ca="1" si="17"/>
        <v>#N/A</v>
      </c>
      <c r="AK25" s="579">
        <f ca="1">IFERROR(IF(庫存管理[[#This Row],[買進日是否落入record date]]=1,庫存管理[[#This Row],[record date制度前手息]],庫存管理[[#This Row],[計算前手息(初算)]]),0)</f>
        <v>0</v>
      </c>
      <c r="AL25" s="579" t="e">
        <f ca="1">IF(OR(庫存管理[[#This Row],[買進例外調整]]&lt;庫存管理[[#This Row],[起息日]],庫存管理[[#This Row],[買進例外調整]]&gt;庫存管理[[#This Row],[到期日]]),0,IF(庫存管理[[#This Row],[備註]]&lt;&gt;"",庫存管理[[#This Row],[買進時前手息]],IFERROR(ROUND(ACCRINT(AH25,AH25,V25,O25,100,Q25,AJ25,TRUE),4),0)))</f>
        <v>#N/A</v>
      </c>
      <c r="AM25" s="580" t="e">
        <f t="shared" ca="1" si="18"/>
        <v>#VALUE!</v>
      </c>
      <c r="AN25" s="440" t="e">
        <f ca="1">IFERROR(DATEVALUE(VLOOKUP(I25,bond!B:I,7,FALSE)),VLOOKUP(I25,bond!B:I,7,FALSE))</f>
        <v>#N/A</v>
      </c>
      <c r="AO25"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5" s="1075">
        <f ca="1">IFERROR(IF(庫存管理[[#This Row],[交割日是否落入record date]]=1,庫存管理[[#This Row],[交_record date制度前手息]],庫存管理[[#This Row],[計算交割前手息(初算)]]),0)</f>
        <v>0</v>
      </c>
      <c r="AQ25"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5" s="1063" t="e">
        <f ca="1">ROUND(庫存管理[[#This Row],[計算交割前手息(複算)]]*庫存管理[[#This Row],[投入面額]]/100,2)</f>
        <v>#VALUE!</v>
      </c>
      <c r="AS25" s="1064" t="e">
        <f ca="1">IF(庫存管理[[#This Row],[配息頻率]]=0,0,(100*庫存管理[[#This Row],[票面利率]]/庫存管理[[#This Row],[配息頻率]])*庫存管理[[#This Row],[經過幾次配息]]+庫存管理[[#This Row],[計算交割前手息(複算)]]-庫存管理[[#This Row],[計算前手息(複算)]])</f>
        <v>#VALUE!</v>
      </c>
      <c r="AT25" s="581" t="e">
        <f ca="1">IF(庫存管理[[#This Row],[商品代號]]="XFM90",0,ROUND(AS25*W25/100,2))</f>
        <v>#VALUE!</v>
      </c>
      <c r="AU25" s="582">
        <f ca="1">IF(MF=2,IFERROR(庫存管理[[#This Row],[累計配息]]/庫存管理[[#This Row],[持有成本(不含前手息)]],0),IFERROR(庫存管理[[#This Row],[已實現配息(原幣)]]/庫存管理[[#This Row],[持有成本(含前手息)]],0))</f>
        <v>0</v>
      </c>
      <c r="AV25" s="583" t="e">
        <f ca="1">IF(MF=2,庫存管理[[#This Row],[資本利損]]+庫存管理[[#This Row],[累計配息]],庫存管理[[#This Row],[資本利損]]+庫存管理[[#This Row],[已實現配息(原幣)]])</f>
        <v>#VALUE!</v>
      </c>
      <c r="AW25" s="584">
        <f ca="1">IF(庫存管理[[#This Row],[檢測]]=TRUE,IF(MF=2,IFERROR(庫存管理[[#This Row],[合計收益]]/庫存管理[[#This Row],[持有成本(不含前手息)]],0),IFERROR(庫存管理[[#This Row],[合計收益]]/庫存管理[[#This Row],[持有成本(含前手息)]],0)),0)</f>
        <v>0</v>
      </c>
      <c r="AX25" s="434" t="e">
        <f t="shared" ca="1" si="19"/>
        <v>#VALUE!</v>
      </c>
      <c r="AY25" s="434" t="e">
        <f t="shared" ca="1" si="20"/>
        <v>#VALUE!</v>
      </c>
      <c r="AZ25" s="434">
        <f t="shared" ca="1" si="21"/>
        <v>0</v>
      </c>
      <c r="BA25" s="434">
        <f t="shared" ca="1" si="22"/>
        <v>0</v>
      </c>
      <c r="BB25" s="441" t="e">
        <f ca="1">IF(AND(庫存管理[[#This Row],[名稱]]="美國國庫債券",DAY(庫存管理[[#This Row],[買進前一配息日(初算)]])&gt;=28),EOMONTH(庫存管理[[#This Row],[買進前一配息日(初算)]],0),庫存管理[[#This Row],[買進前一配息日(初算)]])</f>
        <v>#N/A</v>
      </c>
      <c r="BC25" s="441" t="e">
        <f t="shared" ca="1" si="23"/>
        <v>#N/A</v>
      </c>
      <c r="BD25" s="444" t="e">
        <f t="shared" ca="1" si="24"/>
        <v>#N/A</v>
      </c>
      <c r="BE25" s="441" t="e">
        <f ca="1">IF(Q25&gt;0,IF(MONTH(DATE(BD25,AX25,DAY(R25)))&lt;&gt;庫存管理[[#This Row],[第一個配息月]],DATE(BD25,AX25+1,0),DATE(BD25,AX25,DAY(R25))),庫存管理[[#This Row],[買進例外調整]]+100)</f>
        <v>#N/A</v>
      </c>
      <c r="BF25" s="441" t="e">
        <f ca="1">IF(AY25&lt;&gt;0,IF(MONTH(DATE(BD25,AY25,DAY(R25)))&lt;&gt;庫存管理[[#This Row],[第二個配息月]],DATE(BD25,AY25+1,0),DATE(BD25,AY25,DAY(R25))),庫存管理[[#This Row],[買進例外調整]]+100)</f>
        <v>#VALUE!</v>
      </c>
      <c r="BG25" s="441" t="e">
        <f ca="1">IF(AZ25&lt;&gt;0,IF(MONTH(DATE(BD25,AZ25,DAY(R25)))&lt;&gt;庫存管理[[#This Row],[第三個配息月]],DATE(BD25,AZ25+1,0),DATE(BD25,AZ25,DAY(R25))),庫存管理[[#This Row],[買進例外調整]]+100)</f>
        <v>#N/A</v>
      </c>
      <c r="BH25" s="441" t="e">
        <f ca="1">IF(BA25&lt;&gt;0,IF(MONTH(DATE(BD25,BA25,DAY(R25)))&lt;&gt;庫存管理[[#This Row],[第四個配息月]],DATE(BD25,BA25+1,0),DATE(BD25,BA25,DAY(R25))),庫存管理[[#This Row],[買進例外調整]]+100)</f>
        <v>#N/A</v>
      </c>
      <c r="BI25" s="441" t="e">
        <f ca="1">IF(Q25=1,IF(MONTH(DATE(BD25-1,AX25,DAY(R25)))&lt;&gt;庫存管理[[#This Row],[第一個配息月]],DATE(BD25-1,AX25+1,0),DATE(BD25-1,AX25,DAY(R25))),IF(Q25=2,IF(MONTH(DATE(BD25-1,AY25,DAY(R25)))&lt;&gt;庫存管理[[#This Row],[第二個配息月]],DATE(BD25-1,AY25+1,0),DATE(BD25-1,AY25,DAY(R25))),IF(Q25=4,IF(MONTH(DATE(BD25-1,BA25,DAY(R25)))&lt;&gt;庫存管理[[#This Row],[第四個配息月]],DATE(BD25-1,BA25+1,0),DATE(BD25-1,BA25,DAY(R25))),庫存管理[[#This Row],[買進例外調整]]+100)))</f>
        <v>#N/A</v>
      </c>
      <c r="BJ25" s="445">
        <f t="shared" ca="1" si="25"/>
        <v>10000</v>
      </c>
      <c r="BK25" s="445">
        <f t="shared" ca="1" si="26"/>
        <v>10000</v>
      </c>
      <c r="BL25" s="445">
        <f t="shared" ca="1" si="27"/>
        <v>10000</v>
      </c>
      <c r="BM25" s="445">
        <f t="shared" ca="1" si="28"/>
        <v>10000</v>
      </c>
      <c r="BN25" s="455">
        <f t="shared" ca="1" si="29"/>
        <v>10000</v>
      </c>
      <c r="BO25" s="479" t="e">
        <f ca="1">庫存管理[[#This Row],[年度配息]]/庫存管理[[#This Row],[配息頻率]]</f>
        <v>#VALUE!</v>
      </c>
      <c r="BP25" s="479" t="e">
        <f ca="1">庫存管理[[#This Row],[單次配息(原幣)]]*庫存管理[[#This Row],[換算匯率(現)]]</f>
        <v>#VALUE!</v>
      </c>
      <c r="BQ25" s="479" t="str">
        <f ca="1">IF(庫存管理[[#This Row],[商品代號]]&lt;&gt;"",IFERROR(VLOOKUP($I25,'銀行-TSS'!B:C,2,FALSE),""),"")</f>
        <v/>
      </c>
      <c r="BR25" s="479" t="e">
        <f ca="1">VLOOKUP(庫存管理[[#This Row],[幣別]],$B$37:$C$43,2,FALSE)</f>
        <v>#N/A</v>
      </c>
      <c r="BS25" s="500" t="e">
        <f ca="1">CHOOSE(庫存管理[[#This Row],[對應編碼]],$D$37,$D$38,$D$39,$D$40,$D$41,$D$42,$D$43)</f>
        <v>#N/A</v>
      </c>
      <c r="BT25" s="500">
        <f ca="1">IF(庫存管理[[#This Row],[商品代號]]="",0,CHOOSE(庫存管理[[#This Row],[對應編碼]],$E$37,$E$38,$E$39,$E$40,$E$41,$E$42,$E$43))</f>
        <v>0</v>
      </c>
      <c r="BU25" s="1555">
        <f ca="1">IF(庫存管理[[#This Row],[檢測]]=TRUE,庫存管理[[#This Row],[投入面額]]*庫存管理[[#This Row],[換算匯率(現)]],0)</f>
        <v>0</v>
      </c>
      <c r="BV25" s="1555">
        <f ca="1">IF(庫存管理[[#This Row],[檢測]]=TRUE,IFERROR(庫存管理[[#This Row],[持有成本(含前手息)]]*庫存管理[[#This Row],[換算匯率(買)]],0),0)</f>
        <v>0</v>
      </c>
      <c r="BW25" s="1555">
        <f ca="1">IF(庫存管理[[#This Row],[檢測]]=TRUE,庫存管理[[#This Row],[持有成本(不含前手息)]]*庫存管理[[#This Row],[換算匯率(買)]],0)</f>
        <v>0</v>
      </c>
      <c r="BX25" s="1555">
        <f ca="1">IF(庫存管理[[#This Row],[檢測]]=TRUE,庫存管理[[#This Row],[部位現值(含前手息)]]*庫存管理[[#This Row],[換算匯率(現)]],0)</f>
        <v>0</v>
      </c>
      <c r="BY25" s="1555">
        <f ca="1">IF(庫存管理[[#This Row],[檢測]]=TRUE,庫存管理[[#This Row],[部位現值(不含前手息)]]*庫存管理[[#This Row],[換算匯率(現)]],0)</f>
        <v>0</v>
      </c>
      <c r="BZ25" s="1555">
        <f ca="1">IF(庫存管理[[#This Row],[檢測]]=TRUE,IF(MF=2,庫存管理[[#This Row],[累計配息]]*庫存管理[[#This Row],[換算匯率(現)]],庫存管理[[#This Row],[已實現配息(原幣)]]*庫存管理[[#This Row],[換算匯率(現)]]),0)</f>
        <v>0</v>
      </c>
      <c r="CA25" s="1555" t="e">
        <f ca="1">庫存管理[[#This Row],[資本利損]]*庫存管理[[#This Row],[換算匯率(現)]]</f>
        <v>#VALUE!</v>
      </c>
      <c r="CB25" s="1555" t="e">
        <f ca="1">庫存管理[[#This Row],[累計利息(台)]]+庫存管理[[#This Row],[資本貢獻(台)]]</f>
        <v>#VALUE!</v>
      </c>
      <c r="CC25" s="574">
        <f ca="1">IF(庫存管理[[#This Row],[檢測]]=TRUE,IFERROR(庫存管理[[#This Row],[配息報酬]],0),0)</f>
        <v>0</v>
      </c>
      <c r="CD25" s="574">
        <f ca="1">IF(庫存管理[[#This Row],[檢測]]=TRUE,庫存管理[[#This Row],[資本報酬]],0)</f>
        <v>0</v>
      </c>
      <c r="CE25" s="574">
        <f ca="1">IF(S25=TRUE,IFERROR(庫存管理[[#This Row],[換匯總報酬率]]-(庫存管理[[#This Row],[配息報酬率]]+庫存管理[[#This Row],[資本報酬率]]),0),0)</f>
        <v>0</v>
      </c>
      <c r="CF25"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5" s="585">
        <f ca="1">IF(AND(庫存管理[[#This Row],[檢測]]=TRUE,開關=TRUE),IF(MF=2,IFERROR(BW25/$BW$1,0),IFERROR(BV25/$BV$1,0)),0)</f>
        <v>0</v>
      </c>
      <c r="CH25" s="574">
        <f ca="1">IF(庫存管理[[#This Row],[檢測]]=TRUE,IF(MF=2,IFERROR(BY25/$BY$1,0),IFERROR(BX25/$BX$1,0)),0)</f>
        <v>0</v>
      </c>
      <c r="CI25"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5" s="646" t="e">
        <f ca="1">DATEDIF(庫存管理[[#This Row],[買進例外調整]],庫存管理[[#This Row],[到期日]],"d")/365.25</f>
        <v>#N/A</v>
      </c>
      <c r="CK25" s="734" t="e">
        <f ca="1">DATEVALUE(VLOOKUP(庫存管理[[#This Row],[商品代號]],bond!B:AF,31,FALSE))</f>
        <v>#N/A</v>
      </c>
      <c r="CL25" s="734" t="e">
        <f ca="1">IF(庫存管理[[#This Row],[買下配(國調)]]&lt;庫存管理[[#This Row],[第一票息日]],庫存管理[[#This Row],[第一票息日]],庫存管理[[#This Row],[買下配(國調)]])</f>
        <v>#N/A</v>
      </c>
      <c r="CM25"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5"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5" s="735">
        <f ca="1">IF(庫存管理[[#This Row],[商品代號]]="XFM90",0,IFERROR(庫存管理[[#This Row],[單次配息(原幣)]]*庫存管理[[#This Row],[經過幾次配息]],0))</f>
        <v>0</v>
      </c>
      <c r="CP25" s="735" t="e">
        <f ca="1">VLOOKUP(庫存管理[[#This Row],[商品代號]],bond!B:F,5,FALSE)</f>
        <v>#N/A</v>
      </c>
      <c r="CQ25" s="734" t="str">
        <f ca="1">IFERROR(VLOOKUP(庫存管理[[#This Row],[ISIN]],'7_發行日例外'!A:C,3,FALSE),IFERROR(DATEVALUE(VLOOKUP(庫存管理[[#This Row],[商品代號]],bond!B:AR,43,FALSE)),""))</f>
        <v/>
      </c>
      <c r="CR25" s="735" t="e">
        <f ca="1">DATEDIF(庫存管理[[#This Row],[起息日]],庫存管理[[#This Row],[買進前一配息日(複算)]],"d")</f>
        <v>#VALUE!</v>
      </c>
      <c r="CS25"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5" s="734" t="e">
        <f ca="1">IFERROR(VLOOKUP(庫存管理[[#This Row],[ISIN]],'7_發行日例外'!A:D,4,FALSE),DATEVALUE(VLOOKUP(庫存管理[[#This Row],[商品代號]],bond!B:AV,44,FALSE)))</f>
        <v>#N/A</v>
      </c>
      <c r="CU25" s="735" t="e">
        <f ca="1">VLOOKUP(庫存管理[[#This Row],[商品代號]],bond!B:AU,46,FALSE)</f>
        <v>#N/A</v>
      </c>
      <c r="CV25" s="735" t="e">
        <f ca="1">IF(庫存管理[[#This Row],[計息基礎]]=1,CHOOSE(庫存管理[[#This Row],[對應編碼]],"沒進位","","沒進位",IF(庫存管理[[#This Row],[計算類型]]="AUSTRALIA:EX-DIV","4捨五入進0.01%","沒進位"),"年/2去計算ACT","沒進位","沒進位"),"")</f>
        <v>#N/A</v>
      </c>
      <c r="CW25" s="735" t="e">
        <f ca="1">_xlfn.DAYS(庫存管理[[#This Row],[買進例外調整]],庫存管理[[#This Row],[買進前一個配息日(最終)]])</f>
        <v>#N/A</v>
      </c>
      <c r="CX25" s="735" t="e">
        <f ca="1">IF(庫存管理[[#This Row],[備註]]="年/2去計算ACT",365/2,_xlfn.DAYS(庫存管理[[#This Row],[買進時的下個配息日]],庫存管理[[#This Row],[買進前一個配息日(最終)]]))</f>
        <v>#N/A</v>
      </c>
      <c r="CY25"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5" s="767" t="e">
        <f ca="1">_xlfn.DAYS(庫存管理[[#This Row],[交割日]],庫存管理[[#This Row],[買進前一個配息日(最終)]])</f>
        <v>#N/A</v>
      </c>
      <c r="DA25"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5" s="767" t="e">
        <f ca="1">_xlfn.DAYS(庫存管理[[#This Row],[交割日]],庫存管理[[#This Row],[最近的上一票息日]])</f>
        <v>#N/A</v>
      </c>
      <c r="DC25" s="767" t="e">
        <f ca="1">IF(庫存管理[[#This Row],[備註]]="年/2去計算ACT",365/2,_xlfn.DAYS(庫存管理[[#This Row],[下一配息日]],庫存管理[[#This Row],[最近的上一票息日]]))</f>
        <v>#N/A</v>
      </c>
      <c r="DD25"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5" s="739" t="e">
        <f ca="1">CL25-庫存管理[[#This Row],[ex_div_days]]</f>
        <v>#N/A</v>
      </c>
      <c r="DF25" s="646" t="e">
        <f ca="1">IF(VLOOKUP(庫存管理[[#This Row],[商品代號]],bond!B:AT,45,FALSE)="#N/A Field Not Applicable",0,VLOOKUP(庫存管理[[#This Row],[商品代號]],bond!B:AT,45,FALSE))</f>
        <v>#N/A</v>
      </c>
      <c r="DG25" s="793" t="e">
        <f ca="1">IF(庫存管理[[#This Row],[ex_div_days]]&lt;&gt;0,IF(AND(庫存管理[[#This Row],[買進例外調整]]-庫存管理[[#This Row],[買進下一個配息日先減n天]]&gt;=0,庫存管理[[#This Row],[買進時的下個配息日]]-庫存管理[[#This Row],[買進例外調整]]&gt;0),1,0),0)</f>
        <v>#N/A</v>
      </c>
      <c r="DH25"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5" s="734" t="e">
        <f ca="1">庫存管理[[#This Row],[下一配息日]]-庫存管理[[#This Row],[ex_div_days]]</f>
        <v>#VALUE!</v>
      </c>
      <c r="DJ25" s="1081" t="e">
        <f ca="1">IF(庫存管理[[#This Row],[ex_div_days]]&lt;&gt;0,IF(AND(庫存管理[[#This Row],[交割日]]-庫存管理[[#This Row],[交割下個配息日先減n天]]&gt;=0,庫存管理[[#This Row],[下一配息日]]-庫存管理[[#This Row],[交割日]]&gt;0),1,0),0)</f>
        <v>#N/A</v>
      </c>
      <c r="DK25"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5" s="735">
        <f ca="1">IFERROR(VLOOKUP(庫存管理[[#This Row],[商品代號]],bond!B:X,21,FALSE),0)</f>
        <v>0</v>
      </c>
      <c r="DM25" s="735">
        <f ca="1">IFERROR(VLOOKUP(I25,bond!B:J,9,FALSE),0)</f>
        <v>0</v>
      </c>
      <c r="DN25" s="1188">
        <f ca="1">IF(AND(開關=TRUE,庫存管理[[#This Row],[投組檢測]]=TRUE),IF(MF=2,IFERROR(BW25/$BW$3,0),IFERROR(BV25/$BV$3,0)),0)</f>
        <v>0</v>
      </c>
      <c r="DO25" s="735">
        <f ca="1">IFERROR(庫存管理[[#This Row],[clean申購價]]/100*庫存管理[[#This Row],[投入面額]]*庫存管理[[#This Row],[MOD]]*0.01,0)</f>
        <v>0</v>
      </c>
      <c r="DP25" s="1298" t="e">
        <f ca="1">IF($C$16=1,庫存管理[[#This Row],[單次配息(台幣)]],庫存管理[[#This Row],[單次配息(原幣)]])</f>
        <v>#VALUE!</v>
      </c>
      <c r="DQ25"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5"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5"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5"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5"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5"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5"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5"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5"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5"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5"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5"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26" spans="2:229" ht="19.5" customHeight="1">
      <c r="B26" s="12">
        <v>8</v>
      </c>
      <c r="C26" s="604">
        <f t="shared" ca="1" si="30"/>
        <v>5787.5</v>
      </c>
      <c r="D26" s="26" t="s">
        <v>1795</v>
      </c>
      <c r="E26" s="12" t="str">
        <f t="shared" ca="1" si="14"/>
        <v>5,788</v>
      </c>
      <c r="F26" s="1711"/>
      <c r="G26" s="459">
        <v>20</v>
      </c>
      <c r="H26" s="1166" t="b">
        <f ca="1">IFERROR(IF(VLOOKUP(G26,換券投組!$AH$8:$AH$13,1,FALSE)&gt;0,TRUE,FALSE),FALSE)</f>
        <v>0</v>
      </c>
      <c r="I26" s="1693" t="str">
        <f ca="1">IF(開關=TRUE,'商品代碼-中繼頁'!R21,"")</f>
        <v/>
      </c>
      <c r="J26" s="429">
        <f ca="1">IFERROR(VLOOKUP(I26,bond!B:I,8,FALSE),0)</f>
        <v>0</v>
      </c>
      <c r="K26" s="429">
        <f ca="1">IFERROR(庫存管理[[#This Row],[買價]]+VLOOKUP(庫存管理[[#This Row],[商品代號]],bond!B:K,10,FALSE),0)</f>
        <v>0</v>
      </c>
      <c r="L26" s="430" t="e">
        <f ca="1">VLOOKUP(I26,'銀行-TSS'!B:E,4,FALSE)</f>
        <v>#N/A</v>
      </c>
      <c r="M26" s="431">
        <f ca="1">IFERROR(VLOOKUP($I26,'銀行-TSS'!B:G,6,FALSE),0)</f>
        <v>0</v>
      </c>
      <c r="N26" s="432" t="e">
        <f ca="1">IFERROR(DATEVALUE(VLOOKUP($I26,'銀行-TSS'!B:F,5,FALSE)),VLOOKUP($I26,'銀行-TSS'!B:F,5,FALSE))</f>
        <v>#N/A</v>
      </c>
      <c r="O26" s="433">
        <f ca="1">IFERROR(VLOOKUP($I26,'銀行-TSS'!B:H,7,FALSE),0)</f>
        <v>0</v>
      </c>
      <c r="P26" s="433" t="e">
        <f ca="1">庫存管理[[#This Row],[票面利率]]/庫存管理[[#This Row],[成本價(不含前手息)]]*100</f>
        <v>#VALUE!</v>
      </c>
      <c r="Q26" s="434" t="str">
        <f ca="1">IFERROR(VLOOKUP($I26,'銀行-TSS'!B:I,8,FALSE),"")</f>
        <v/>
      </c>
      <c r="R26" s="440" t="str">
        <f ca="1">_xlfn.IFNA(IFERROR(DATEVALUE(VLOOKUP($I26,'銀行-TSS'!B:P,15,FALSE)),VLOOKUP($I26,'銀行-TSS'!B:P,15,FALSE)),"")</f>
        <v/>
      </c>
      <c r="S26" s="570" t="b">
        <f ca="1">IF(AND(庫存管理[[#This Row],[配息頻率]]&lt;&gt;"",庫存管理[[#This Row],[持有成本(不含前手息)]]&lt;&gt;0,庫存管理[[#This Row],[買進日]]&lt;&gt;""),TRUE,FALSE)</f>
        <v>0</v>
      </c>
      <c r="T26" s="602" t="str">
        <f>IFERROR(DATE(LEFT('商品代碼-中繼頁'!S21,4),MID('商品代碼-中繼頁'!S21,5,2),RIGHT('商品代碼-中繼頁'!S21,2)),"")</f>
        <v/>
      </c>
      <c r="U26"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6" s="442" t="e">
        <f ca="1">IFERROR(WORKDAY(庫存管理[[#This Row],[買進日]],VLOOKUP(庫存管理[[#This Row],[商品代號]],'1_重設數據'!R:S,2,FALSE),休USD),庫存管理[[#This Row],[買進日(T+2/公債T+1)]])</f>
        <v>#N/A</v>
      </c>
      <c r="W26" s="43" t="str">
        <f>'商品代碼-中繼頁'!T21</f>
        <v/>
      </c>
      <c r="X26" s="43" t="str">
        <f>'商品代碼-中繼頁'!U21</f>
        <v/>
      </c>
      <c r="Y26" s="464">
        <f t="shared" ca="1" si="9"/>
        <v>0</v>
      </c>
      <c r="Z26" s="464" t="e">
        <f t="shared" ca="1" si="15"/>
        <v>#VALUE!</v>
      </c>
      <c r="AA26" s="465" t="e">
        <f t="shared" ca="1" si="16"/>
        <v>#VALUE!</v>
      </c>
      <c r="AB26" s="474" t="e">
        <f ca="1">IF(MF=2,庫存管理[[#This Row],[部位現值(不含前手息)]]-庫存管理[[#This Row],[持有成本(不含前手息)]],庫存管理[[#This Row],[部位現值(含前手息)]]-庫存管理[[#This Row],[持有成本(含前手息)]])</f>
        <v>#VALUE!</v>
      </c>
      <c r="AC26" s="462">
        <f ca="1">IF(庫存管理[[#This Row],[檢測]]=TRUE,IF(MF=2,IFERROR(庫存管理[[#This Row],[資本利損]]/庫存管理[[#This Row],[持有成本(不含前手息)]],0),IFERROR(庫存管理[[#This Row],[資本利損]]/庫存管理[[#This Row],[持有成本(含前手息)]],0)),0)</f>
        <v>0</v>
      </c>
      <c r="AD26" s="618" t="e">
        <f ca="1">庫存管理[[#This Row],[持有成本(不含前手息)]]/庫存管理[[#This Row],[投入面額]]*100</f>
        <v>#VALUE!</v>
      </c>
      <c r="AE26" s="462" t="str">
        <f ca="1">IFERROR(VLOOKUP(庫存管理[[#This Row],[商品代號]],bond!B:AA,26,FALSE),"")</f>
        <v/>
      </c>
      <c r="AF26" s="1" t="str">
        <f ca="1">IFERROR(VLOOKUP($I26,'銀行-TSS'!B:Q,16,FALSE),"")</f>
        <v/>
      </c>
      <c r="AG26" s="466">
        <f t="shared" ca="1" si="1"/>
        <v>0</v>
      </c>
      <c r="AH26" s="458" t="e">
        <f ca="1">IF(OR(庫存管理[[#This Row],[起息日]]&gt;庫存管理[[#This Row],[買進前一配息日(複算)]],庫存管理[[#This Row],[判斷]]=TRUE),庫存管理[[#This Row],[起息日]],庫存管理[[#This Row],[買進前一配息日(複算)]])</f>
        <v>#N/A</v>
      </c>
      <c r="AI26" s="577" t="e">
        <f ca="1">VLOOKUP(I26,bond!B:AP,41,FALSE)</f>
        <v>#N/A</v>
      </c>
      <c r="AJ26" s="578" t="e">
        <f t="shared" ca="1" si="17"/>
        <v>#N/A</v>
      </c>
      <c r="AK26" s="579">
        <f ca="1">IFERROR(IF(庫存管理[[#This Row],[買進日是否落入record date]]=1,庫存管理[[#This Row],[record date制度前手息]],庫存管理[[#This Row],[計算前手息(初算)]]),0)</f>
        <v>0</v>
      </c>
      <c r="AL26" s="579" t="e">
        <f ca="1">IF(OR(庫存管理[[#This Row],[買進例外調整]]&lt;庫存管理[[#This Row],[起息日]],庫存管理[[#This Row],[買進例外調整]]&gt;庫存管理[[#This Row],[到期日]]),0,IF(庫存管理[[#This Row],[備註]]&lt;&gt;"",庫存管理[[#This Row],[買進時前手息]],IFERROR(ROUND(ACCRINT(AH26,AH26,V26,O26,100,Q26,AJ26,TRUE),4),0)))</f>
        <v>#N/A</v>
      </c>
      <c r="AM26" s="580" t="e">
        <f t="shared" ca="1" si="18"/>
        <v>#VALUE!</v>
      </c>
      <c r="AN26" s="440" t="e">
        <f ca="1">IFERROR(DATEVALUE(VLOOKUP(I26,bond!B:I,7,FALSE)),VLOOKUP(I26,bond!B:I,7,FALSE))</f>
        <v>#N/A</v>
      </c>
      <c r="AO26"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6" s="1075">
        <f ca="1">IFERROR(IF(庫存管理[[#This Row],[交割日是否落入record date]]=1,庫存管理[[#This Row],[交_record date制度前手息]],庫存管理[[#This Row],[計算交割前手息(初算)]]),0)</f>
        <v>0</v>
      </c>
      <c r="AQ26"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6" s="1063" t="e">
        <f ca="1">ROUND(庫存管理[[#This Row],[計算交割前手息(複算)]]*庫存管理[[#This Row],[投入面額]]/100,2)</f>
        <v>#VALUE!</v>
      </c>
      <c r="AS26" s="1064" t="e">
        <f ca="1">IF(庫存管理[[#This Row],[配息頻率]]=0,0,(100*庫存管理[[#This Row],[票面利率]]/庫存管理[[#This Row],[配息頻率]])*庫存管理[[#This Row],[經過幾次配息]]+庫存管理[[#This Row],[計算交割前手息(複算)]]-庫存管理[[#This Row],[計算前手息(複算)]])</f>
        <v>#VALUE!</v>
      </c>
      <c r="AT26" s="581" t="e">
        <f ca="1">IF(庫存管理[[#This Row],[商品代號]]="XFM90",0,ROUND(AS26*W26/100,2))</f>
        <v>#VALUE!</v>
      </c>
      <c r="AU26" s="582">
        <f ca="1">IF(MF=2,IFERROR(庫存管理[[#This Row],[累計配息]]/庫存管理[[#This Row],[持有成本(不含前手息)]],0),IFERROR(庫存管理[[#This Row],[已實現配息(原幣)]]/庫存管理[[#This Row],[持有成本(含前手息)]],0))</f>
        <v>0</v>
      </c>
      <c r="AV26" s="583" t="e">
        <f ca="1">IF(MF=2,庫存管理[[#This Row],[資本利損]]+庫存管理[[#This Row],[累計配息]],庫存管理[[#This Row],[資本利損]]+庫存管理[[#This Row],[已實現配息(原幣)]])</f>
        <v>#VALUE!</v>
      </c>
      <c r="AW26" s="584">
        <f ca="1">IF(庫存管理[[#This Row],[檢測]]=TRUE,IF(MF=2,IFERROR(庫存管理[[#This Row],[合計收益]]/庫存管理[[#This Row],[持有成本(不含前手息)]],0),IFERROR(庫存管理[[#This Row],[合計收益]]/庫存管理[[#This Row],[持有成本(含前手息)]],0)),0)</f>
        <v>0</v>
      </c>
      <c r="AX26" s="434" t="e">
        <f t="shared" ca="1" si="19"/>
        <v>#VALUE!</v>
      </c>
      <c r="AY26" s="434" t="e">
        <f t="shared" ca="1" si="20"/>
        <v>#VALUE!</v>
      </c>
      <c r="AZ26" s="434">
        <f t="shared" ca="1" si="21"/>
        <v>0</v>
      </c>
      <c r="BA26" s="434">
        <f t="shared" ca="1" si="22"/>
        <v>0</v>
      </c>
      <c r="BB26" s="441" t="e">
        <f ca="1">IF(AND(庫存管理[[#This Row],[名稱]]="美國國庫債券",DAY(庫存管理[[#This Row],[買進前一配息日(初算)]])&gt;=28),EOMONTH(庫存管理[[#This Row],[買進前一配息日(初算)]],0),庫存管理[[#This Row],[買進前一配息日(初算)]])</f>
        <v>#N/A</v>
      </c>
      <c r="BC26" s="441" t="e">
        <f t="shared" ca="1" si="23"/>
        <v>#N/A</v>
      </c>
      <c r="BD26" s="444" t="e">
        <f t="shared" ca="1" si="24"/>
        <v>#N/A</v>
      </c>
      <c r="BE26" s="441" t="e">
        <f ca="1">IF(Q26&gt;0,IF(MONTH(DATE(BD26,AX26,DAY(R26)))&lt;&gt;庫存管理[[#This Row],[第一個配息月]],DATE(BD26,AX26+1,0),DATE(BD26,AX26,DAY(R26))),庫存管理[[#This Row],[買進例外調整]]+100)</f>
        <v>#N/A</v>
      </c>
      <c r="BF26" s="441" t="e">
        <f ca="1">IF(AY26&lt;&gt;0,IF(MONTH(DATE(BD26,AY26,DAY(R26)))&lt;&gt;庫存管理[[#This Row],[第二個配息月]],DATE(BD26,AY26+1,0),DATE(BD26,AY26,DAY(R26))),庫存管理[[#This Row],[買進例外調整]]+100)</f>
        <v>#VALUE!</v>
      </c>
      <c r="BG26" s="441" t="e">
        <f ca="1">IF(AZ26&lt;&gt;0,IF(MONTH(DATE(BD26,AZ26,DAY(R26)))&lt;&gt;庫存管理[[#This Row],[第三個配息月]],DATE(BD26,AZ26+1,0),DATE(BD26,AZ26,DAY(R26))),庫存管理[[#This Row],[買進例外調整]]+100)</f>
        <v>#N/A</v>
      </c>
      <c r="BH26" s="441" t="e">
        <f ca="1">IF(BA26&lt;&gt;0,IF(MONTH(DATE(BD26,BA26,DAY(R26)))&lt;&gt;庫存管理[[#This Row],[第四個配息月]],DATE(BD26,BA26+1,0),DATE(BD26,BA26,DAY(R26))),庫存管理[[#This Row],[買進例外調整]]+100)</f>
        <v>#N/A</v>
      </c>
      <c r="BI26" s="441" t="e">
        <f ca="1">IF(Q26=1,IF(MONTH(DATE(BD26-1,AX26,DAY(R26)))&lt;&gt;庫存管理[[#This Row],[第一個配息月]],DATE(BD26-1,AX26+1,0),DATE(BD26-1,AX26,DAY(R26))),IF(Q26=2,IF(MONTH(DATE(BD26-1,AY26,DAY(R26)))&lt;&gt;庫存管理[[#This Row],[第二個配息月]],DATE(BD26-1,AY26+1,0),DATE(BD26-1,AY26,DAY(R26))),IF(Q26=4,IF(MONTH(DATE(BD26-1,BA26,DAY(R26)))&lt;&gt;庫存管理[[#This Row],[第四個配息月]],DATE(BD26-1,BA26+1,0),DATE(BD26-1,BA26,DAY(R26))),庫存管理[[#This Row],[買進例外調整]]+100)))</f>
        <v>#N/A</v>
      </c>
      <c r="BJ26" s="445">
        <f t="shared" ca="1" si="25"/>
        <v>10000</v>
      </c>
      <c r="BK26" s="445">
        <f t="shared" ca="1" si="26"/>
        <v>10000</v>
      </c>
      <c r="BL26" s="445">
        <f t="shared" ca="1" si="27"/>
        <v>10000</v>
      </c>
      <c r="BM26" s="445">
        <f t="shared" ca="1" si="28"/>
        <v>10000</v>
      </c>
      <c r="BN26" s="455">
        <f t="shared" ca="1" si="29"/>
        <v>10000</v>
      </c>
      <c r="BO26" s="479" t="e">
        <f ca="1">庫存管理[[#This Row],[年度配息]]/庫存管理[[#This Row],[配息頻率]]</f>
        <v>#VALUE!</v>
      </c>
      <c r="BP26" s="479" t="e">
        <f ca="1">庫存管理[[#This Row],[單次配息(原幣)]]*庫存管理[[#This Row],[換算匯率(現)]]</f>
        <v>#VALUE!</v>
      </c>
      <c r="BQ26" s="479" t="str">
        <f ca="1">IF(庫存管理[[#This Row],[商品代號]]&lt;&gt;"",IFERROR(VLOOKUP($I26,'銀行-TSS'!B:C,2,FALSE),""),"")</f>
        <v/>
      </c>
      <c r="BR26" s="479" t="e">
        <f ca="1">VLOOKUP(庫存管理[[#This Row],[幣別]],$B$37:$C$43,2,FALSE)</f>
        <v>#N/A</v>
      </c>
      <c r="BS26" s="500" t="e">
        <f ca="1">CHOOSE(庫存管理[[#This Row],[對應編碼]],$D$37,$D$38,$D$39,$D$40,$D$41,$D$42,$D$43)</f>
        <v>#N/A</v>
      </c>
      <c r="BT26" s="500">
        <f ca="1">IF(庫存管理[[#This Row],[商品代號]]="",0,CHOOSE(庫存管理[[#This Row],[對應編碼]],$E$37,$E$38,$E$39,$E$40,$E$41,$E$42,$E$43))</f>
        <v>0</v>
      </c>
      <c r="BU26" s="1555">
        <f ca="1">IF(庫存管理[[#This Row],[檢測]]=TRUE,庫存管理[[#This Row],[投入面額]]*庫存管理[[#This Row],[換算匯率(現)]],0)</f>
        <v>0</v>
      </c>
      <c r="BV26" s="1555">
        <f ca="1">IF(庫存管理[[#This Row],[檢測]]=TRUE,IFERROR(庫存管理[[#This Row],[持有成本(含前手息)]]*庫存管理[[#This Row],[換算匯率(買)]],0),0)</f>
        <v>0</v>
      </c>
      <c r="BW26" s="1555">
        <f ca="1">IF(庫存管理[[#This Row],[檢測]]=TRUE,庫存管理[[#This Row],[持有成本(不含前手息)]]*庫存管理[[#This Row],[換算匯率(買)]],0)</f>
        <v>0</v>
      </c>
      <c r="BX26" s="1555">
        <f ca="1">IF(庫存管理[[#This Row],[檢測]]=TRUE,庫存管理[[#This Row],[部位現值(含前手息)]]*庫存管理[[#This Row],[換算匯率(現)]],0)</f>
        <v>0</v>
      </c>
      <c r="BY26" s="1555">
        <f ca="1">IF(庫存管理[[#This Row],[檢測]]=TRUE,庫存管理[[#This Row],[部位現值(不含前手息)]]*庫存管理[[#This Row],[換算匯率(現)]],0)</f>
        <v>0</v>
      </c>
      <c r="BZ26" s="1555">
        <f ca="1">IF(庫存管理[[#This Row],[檢測]]=TRUE,IF(MF=2,庫存管理[[#This Row],[累計配息]]*庫存管理[[#This Row],[換算匯率(現)]],庫存管理[[#This Row],[已實現配息(原幣)]]*庫存管理[[#This Row],[換算匯率(現)]]),0)</f>
        <v>0</v>
      </c>
      <c r="CA26" s="1555" t="e">
        <f ca="1">庫存管理[[#This Row],[資本利損]]*庫存管理[[#This Row],[換算匯率(現)]]</f>
        <v>#VALUE!</v>
      </c>
      <c r="CB26" s="1555" t="e">
        <f ca="1">庫存管理[[#This Row],[累計利息(台)]]+庫存管理[[#This Row],[資本貢獻(台)]]</f>
        <v>#VALUE!</v>
      </c>
      <c r="CC26" s="574">
        <f ca="1">IF(庫存管理[[#This Row],[檢測]]=TRUE,IFERROR(庫存管理[[#This Row],[配息報酬]],0),0)</f>
        <v>0</v>
      </c>
      <c r="CD26" s="574">
        <f ca="1">IF(庫存管理[[#This Row],[檢測]]=TRUE,庫存管理[[#This Row],[資本報酬]],0)</f>
        <v>0</v>
      </c>
      <c r="CE26" s="574">
        <f ca="1">IF(S26=TRUE,IFERROR(庫存管理[[#This Row],[換匯總報酬率]]-(庫存管理[[#This Row],[配息報酬率]]+庫存管理[[#This Row],[資本報酬率]]),0),0)</f>
        <v>0</v>
      </c>
      <c r="CF26"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6" s="585">
        <f ca="1">IF(AND(庫存管理[[#This Row],[檢測]]=TRUE,開關=TRUE),IF(MF=2,IFERROR(BW26/$BW$1,0),IFERROR(BV26/$BV$1,0)),0)</f>
        <v>0</v>
      </c>
      <c r="CH26" s="574">
        <f ca="1">IF(庫存管理[[#This Row],[檢測]]=TRUE,IF(MF=2,IFERROR(BY26/$BY$1,0),IFERROR(BX26/$BX$1,0)),0)</f>
        <v>0</v>
      </c>
      <c r="CI26"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6" s="646" t="e">
        <f ca="1">DATEDIF(庫存管理[[#This Row],[買進例外調整]],庫存管理[[#This Row],[到期日]],"d")/365.25</f>
        <v>#N/A</v>
      </c>
      <c r="CK26" s="734" t="e">
        <f ca="1">DATEVALUE(VLOOKUP(庫存管理[[#This Row],[商品代號]],bond!B:AF,31,FALSE))</f>
        <v>#N/A</v>
      </c>
      <c r="CL26" s="734" t="e">
        <f ca="1">IF(庫存管理[[#This Row],[買下配(國調)]]&lt;庫存管理[[#This Row],[第一票息日]],庫存管理[[#This Row],[第一票息日]],庫存管理[[#This Row],[買下配(國調)]])</f>
        <v>#N/A</v>
      </c>
      <c r="CM26"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6"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6" s="735">
        <f ca="1">IF(庫存管理[[#This Row],[商品代號]]="XFM90",0,IFERROR(庫存管理[[#This Row],[單次配息(原幣)]]*庫存管理[[#This Row],[經過幾次配息]],0))</f>
        <v>0</v>
      </c>
      <c r="CP26" s="735" t="e">
        <f ca="1">VLOOKUP(庫存管理[[#This Row],[商品代號]],bond!B:F,5,FALSE)</f>
        <v>#N/A</v>
      </c>
      <c r="CQ26" s="734" t="str">
        <f ca="1">IFERROR(VLOOKUP(庫存管理[[#This Row],[ISIN]],'7_發行日例外'!A:C,3,FALSE),IFERROR(DATEVALUE(VLOOKUP(庫存管理[[#This Row],[商品代號]],bond!B:AR,43,FALSE)),""))</f>
        <v/>
      </c>
      <c r="CR26" s="735" t="e">
        <f ca="1">DATEDIF(庫存管理[[#This Row],[起息日]],庫存管理[[#This Row],[買進前一配息日(複算)]],"d")</f>
        <v>#VALUE!</v>
      </c>
      <c r="CS26"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6" s="734" t="e">
        <f ca="1">IFERROR(VLOOKUP(庫存管理[[#This Row],[ISIN]],'7_發行日例外'!A:D,4,FALSE),DATEVALUE(VLOOKUP(庫存管理[[#This Row],[商品代號]],bond!B:AV,44,FALSE)))</f>
        <v>#N/A</v>
      </c>
      <c r="CU26" s="735" t="e">
        <f ca="1">VLOOKUP(庫存管理[[#This Row],[商品代號]],bond!B:AU,46,FALSE)</f>
        <v>#N/A</v>
      </c>
      <c r="CV26" s="735" t="e">
        <f ca="1">IF(庫存管理[[#This Row],[計息基礎]]=1,CHOOSE(庫存管理[[#This Row],[對應編碼]],"沒進位","","沒進位",IF(庫存管理[[#This Row],[計算類型]]="AUSTRALIA:EX-DIV","4捨五入進0.01%","沒進位"),"年/2去計算ACT","沒進位","沒進位"),"")</f>
        <v>#N/A</v>
      </c>
      <c r="CW26" s="735" t="e">
        <f ca="1">_xlfn.DAYS(庫存管理[[#This Row],[買進例外調整]],庫存管理[[#This Row],[買進前一個配息日(最終)]])</f>
        <v>#N/A</v>
      </c>
      <c r="CX26" s="735" t="e">
        <f ca="1">IF(庫存管理[[#This Row],[備註]]="年/2去計算ACT",365/2,_xlfn.DAYS(庫存管理[[#This Row],[買進時的下個配息日]],庫存管理[[#This Row],[買進前一個配息日(最終)]]))</f>
        <v>#N/A</v>
      </c>
      <c r="CY26"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6" s="767" t="e">
        <f ca="1">_xlfn.DAYS(庫存管理[[#This Row],[交割日]],庫存管理[[#This Row],[買進前一個配息日(最終)]])</f>
        <v>#N/A</v>
      </c>
      <c r="DA26"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6" s="767" t="e">
        <f ca="1">_xlfn.DAYS(庫存管理[[#This Row],[交割日]],庫存管理[[#This Row],[最近的上一票息日]])</f>
        <v>#N/A</v>
      </c>
      <c r="DC26" s="767" t="e">
        <f ca="1">IF(庫存管理[[#This Row],[備註]]="年/2去計算ACT",365/2,_xlfn.DAYS(庫存管理[[#This Row],[下一配息日]],庫存管理[[#This Row],[最近的上一票息日]]))</f>
        <v>#N/A</v>
      </c>
      <c r="DD26"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6" s="739" t="e">
        <f ca="1">CL26-庫存管理[[#This Row],[ex_div_days]]</f>
        <v>#N/A</v>
      </c>
      <c r="DF26" s="646" t="e">
        <f ca="1">IF(VLOOKUP(庫存管理[[#This Row],[商品代號]],bond!B:AT,45,FALSE)="#N/A Field Not Applicable",0,VLOOKUP(庫存管理[[#This Row],[商品代號]],bond!B:AT,45,FALSE))</f>
        <v>#N/A</v>
      </c>
      <c r="DG26" s="793" t="e">
        <f ca="1">IF(庫存管理[[#This Row],[ex_div_days]]&lt;&gt;0,IF(AND(庫存管理[[#This Row],[買進例外調整]]-庫存管理[[#This Row],[買進下一個配息日先減n天]]&gt;=0,庫存管理[[#This Row],[買進時的下個配息日]]-庫存管理[[#This Row],[買進例外調整]]&gt;0),1,0),0)</f>
        <v>#N/A</v>
      </c>
      <c r="DH26"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6" s="734" t="e">
        <f ca="1">庫存管理[[#This Row],[下一配息日]]-庫存管理[[#This Row],[ex_div_days]]</f>
        <v>#VALUE!</v>
      </c>
      <c r="DJ26" s="1081" t="e">
        <f ca="1">IF(庫存管理[[#This Row],[ex_div_days]]&lt;&gt;0,IF(AND(庫存管理[[#This Row],[交割日]]-庫存管理[[#This Row],[交割下個配息日先減n天]]&gt;=0,庫存管理[[#This Row],[下一配息日]]-庫存管理[[#This Row],[交割日]]&gt;0),1,0),0)</f>
        <v>#N/A</v>
      </c>
      <c r="DK26"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6" s="735">
        <f ca="1">IFERROR(VLOOKUP(庫存管理[[#This Row],[商品代號]],bond!B:X,21,FALSE),0)</f>
        <v>0</v>
      </c>
      <c r="DM26" s="735">
        <f ca="1">IFERROR(VLOOKUP(I26,bond!B:J,9,FALSE),0)</f>
        <v>0</v>
      </c>
      <c r="DN26" s="1188">
        <f ca="1">IF(AND(開關=TRUE,庫存管理[[#This Row],[投組檢測]]=TRUE),IF(MF=2,IFERROR(BW26/$BW$3,0),IFERROR(BV26/$BV$3,0)),0)</f>
        <v>0</v>
      </c>
      <c r="DO26" s="735">
        <f ca="1">IFERROR(庫存管理[[#This Row],[clean申購價]]/100*庫存管理[[#This Row],[投入面額]]*庫存管理[[#This Row],[MOD]]*0.01,0)</f>
        <v>0</v>
      </c>
      <c r="DP26" s="1298" t="e">
        <f ca="1">IF($C$16=1,庫存管理[[#This Row],[單次配息(台幣)]],庫存管理[[#This Row],[單次配息(原幣)]])</f>
        <v>#VALUE!</v>
      </c>
      <c r="DQ26"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6"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6"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6"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6"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6"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6"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6"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6"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6"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6"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6"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27" spans="2:229" ht="19.5" customHeight="1">
      <c r="B27" s="12">
        <v>9</v>
      </c>
      <c r="C27" s="604">
        <f t="shared" ca="1" si="30"/>
        <v>0</v>
      </c>
      <c r="D27" s="26" t="s">
        <v>1796</v>
      </c>
      <c r="E27" s="12" t="str">
        <f t="shared" ca="1" si="14"/>
        <v/>
      </c>
      <c r="F27" s="1711"/>
      <c r="G27" s="459">
        <v>21</v>
      </c>
      <c r="H27" s="1166" t="b">
        <f ca="1">IFERROR(IF(VLOOKUP(G27,換券投組!$AH$8:$AH$13,1,FALSE)&gt;0,TRUE,FALSE),FALSE)</f>
        <v>0</v>
      </c>
      <c r="I27" s="1693" t="str">
        <f ca="1">IF(開關=TRUE,'商品代碼-中繼頁'!R22,"")</f>
        <v/>
      </c>
      <c r="J27" s="429">
        <f ca="1">IFERROR(VLOOKUP(I27,bond!B:I,8,FALSE),0)</f>
        <v>0</v>
      </c>
      <c r="K27" s="429">
        <f ca="1">IFERROR(庫存管理[[#This Row],[買價]]+VLOOKUP(庫存管理[[#This Row],[商品代號]],bond!B:K,10,FALSE),0)</f>
        <v>0</v>
      </c>
      <c r="L27" s="430" t="e">
        <f ca="1">VLOOKUP(I27,'銀行-TSS'!B:E,4,FALSE)</f>
        <v>#N/A</v>
      </c>
      <c r="M27" s="431">
        <f ca="1">IFERROR(VLOOKUP($I27,'銀行-TSS'!B:G,6,FALSE),0)</f>
        <v>0</v>
      </c>
      <c r="N27" s="432" t="e">
        <f ca="1">IFERROR(DATEVALUE(VLOOKUP($I27,'銀行-TSS'!B:F,5,FALSE)),VLOOKUP($I27,'銀行-TSS'!B:F,5,FALSE))</f>
        <v>#N/A</v>
      </c>
      <c r="O27" s="433">
        <f ca="1">IFERROR(VLOOKUP($I27,'銀行-TSS'!B:H,7,FALSE),0)</f>
        <v>0</v>
      </c>
      <c r="P27" s="433" t="e">
        <f ca="1">庫存管理[[#This Row],[票面利率]]/庫存管理[[#This Row],[成本價(不含前手息)]]*100</f>
        <v>#VALUE!</v>
      </c>
      <c r="Q27" s="434" t="str">
        <f ca="1">IFERROR(VLOOKUP($I27,'銀行-TSS'!B:I,8,FALSE),"")</f>
        <v/>
      </c>
      <c r="R27" s="440" t="str">
        <f ca="1">_xlfn.IFNA(IFERROR(DATEVALUE(VLOOKUP($I27,'銀行-TSS'!B:P,15,FALSE)),VLOOKUP($I27,'銀行-TSS'!B:P,15,FALSE)),"")</f>
        <v/>
      </c>
      <c r="S27" s="570" t="b">
        <f ca="1">IF(AND(庫存管理[[#This Row],[配息頻率]]&lt;&gt;"",庫存管理[[#This Row],[持有成本(不含前手息)]]&lt;&gt;0,庫存管理[[#This Row],[買進日]]&lt;&gt;""),TRUE,FALSE)</f>
        <v>0</v>
      </c>
      <c r="T27" s="602" t="str">
        <f>IFERROR(DATE(LEFT('商品代碼-中繼頁'!S22,4),MID('商品代碼-中繼頁'!S22,5,2),RIGHT('商品代碼-中繼頁'!S22,2)),"")</f>
        <v/>
      </c>
      <c r="U27"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7" s="442" t="e">
        <f ca="1">IFERROR(WORKDAY(庫存管理[[#This Row],[買進日]],VLOOKUP(庫存管理[[#This Row],[商品代號]],'1_重設數據'!R:S,2,FALSE),休USD),庫存管理[[#This Row],[買進日(T+2/公債T+1)]])</f>
        <v>#N/A</v>
      </c>
      <c r="W27" s="43" t="str">
        <f>'商品代碼-中繼頁'!T22</f>
        <v/>
      </c>
      <c r="X27" s="43" t="str">
        <f>'商品代碼-中繼頁'!U22</f>
        <v/>
      </c>
      <c r="Y27" s="464">
        <f t="shared" ca="1" si="9"/>
        <v>0</v>
      </c>
      <c r="Z27" s="464" t="e">
        <f t="shared" ca="1" si="15"/>
        <v>#VALUE!</v>
      </c>
      <c r="AA27" s="465" t="e">
        <f t="shared" ca="1" si="16"/>
        <v>#VALUE!</v>
      </c>
      <c r="AB27" s="474" t="e">
        <f ca="1">IF(MF=2,庫存管理[[#This Row],[部位現值(不含前手息)]]-庫存管理[[#This Row],[持有成本(不含前手息)]],庫存管理[[#This Row],[部位現值(含前手息)]]-庫存管理[[#This Row],[持有成本(含前手息)]])</f>
        <v>#VALUE!</v>
      </c>
      <c r="AC27" s="462">
        <f ca="1">IF(庫存管理[[#This Row],[檢測]]=TRUE,IF(MF=2,IFERROR(庫存管理[[#This Row],[資本利損]]/庫存管理[[#This Row],[持有成本(不含前手息)]],0),IFERROR(庫存管理[[#This Row],[資本利損]]/庫存管理[[#This Row],[持有成本(含前手息)]],0)),0)</f>
        <v>0</v>
      </c>
      <c r="AD27" s="618" t="e">
        <f ca="1">庫存管理[[#This Row],[持有成本(不含前手息)]]/庫存管理[[#This Row],[投入面額]]*100</f>
        <v>#VALUE!</v>
      </c>
      <c r="AE27" s="462" t="str">
        <f ca="1">IFERROR(VLOOKUP(庫存管理[[#This Row],[商品代號]],bond!B:AA,26,FALSE),"")</f>
        <v/>
      </c>
      <c r="AF27" s="1" t="str">
        <f ca="1">IFERROR(VLOOKUP($I27,'銀行-TSS'!B:Q,16,FALSE),"")</f>
        <v/>
      </c>
      <c r="AG27" s="466">
        <f t="shared" ca="1" si="1"/>
        <v>0</v>
      </c>
      <c r="AH27" s="458" t="e">
        <f ca="1">IF(OR(庫存管理[[#This Row],[起息日]]&gt;庫存管理[[#This Row],[買進前一配息日(複算)]],庫存管理[[#This Row],[判斷]]=TRUE),庫存管理[[#This Row],[起息日]],庫存管理[[#This Row],[買進前一配息日(複算)]])</f>
        <v>#N/A</v>
      </c>
      <c r="AI27" s="577" t="e">
        <f ca="1">VLOOKUP(I27,bond!B:AP,41,FALSE)</f>
        <v>#N/A</v>
      </c>
      <c r="AJ27" s="578" t="e">
        <f t="shared" ca="1" si="17"/>
        <v>#N/A</v>
      </c>
      <c r="AK27" s="579">
        <f ca="1">IFERROR(IF(庫存管理[[#This Row],[買進日是否落入record date]]=1,庫存管理[[#This Row],[record date制度前手息]],庫存管理[[#This Row],[計算前手息(初算)]]),0)</f>
        <v>0</v>
      </c>
      <c r="AL27" s="579" t="e">
        <f ca="1">IF(OR(庫存管理[[#This Row],[買進例外調整]]&lt;庫存管理[[#This Row],[起息日]],庫存管理[[#This Row],[買進例外調整]]&gt;庫存管理[[#This Row],[到期日]]),0,IF(庫存管理[[#This Row],[備註]]&lt;&gt;"",庫存管理[[#This Row],[買進時前手息]],IFERROR(ROUND(ACCRINT(AH27,AH27,V27,O27,100,Q27,AJ27,TRUE),4),0)))</f>
        <v>#N/A</v>
      </c>
      <c r="AM27" s="580" t="e">
        <f t="shared" ca="1" si="18"/>
        <v>#VALUE!</v>
      </c>
      <c r="AN27" s="440" t="e">
        <f ca="1">IFERROR(DATEVALUE(VLOOKUP(I27,bond!B:I,7,FALSE)),VLOOKUP(I27,bond!B:I,7,FALSE))</f>
        <v>#N/A</v>
      </c>
      <c r="AO27"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7" s="1075">
        <f ca="1">IFERROR(IF(庫存管理[[#This Row],[交割日是否落入record date]]=1,庫存管理[[#This Row],[交_record date制度前手息]],庫存管理[[#This Row],[計算交割前手息(初算)]]),0)</f>
        <v>0</v>
      </c>
      <c r="AQ27"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7" s="1063" t="e">
        <f ca="1">ROUND(庫存管理[[#This Row],[計算交割前手息(複算)]]*庫存管理[[#This Row],[投入面額]]/100,2)</f>
        <v>#VALUE!</v>
      </c>
      <c r="AS27" s="1064" t="e">
        <f ca="1">IF(庫存管理[[#This Row],[配息頻率]]=0,0,(100*庫存管理[[#This Row],[票面利率]]/庫存管理[[#This Row],[配息頻率]])*庫存管理[[#This Row],[經過幾次配息]]+庫存管理[[#This Row],[計算交割前手息(複算)]]-庫存管理[[#This Row],[計算前手息(複算)]])</f>
        <v>#VALUE!</v>
      </c>
      <c r="AT27" s="581" t="e">
        <f ca="1">IF(庫存管理[[#This Row],[商品代號]]="XFM90",0,ROUND(AS27*W27/100,2))</f>
        <v>#VALUE!</v>
      </c>
      <c r="AU27" s="582">
        <f ca="1">IF(MF=2,IFERROR(庫存管理[[#This Row],[累計配息]]/庫存管理[[#This Row],[持有成本(不含前手息)]],0),IFERROR(庫存管理[[#This Row],[已實現配息(原幣)]]/庫存管理[[#This Row],[持有成本(含前手息)]],0))</f>
        <v>0</v>
      </c>
      <c r="AV27" s="583" t="e">
        <f ca="1">IF(MF=2,庫存管理[[#This Row],[資本利損]]+庫存管理[[#This Row],[累計配息]],庫存管理[[#This Row],[資本利損]]+庫存管理[[#This Row],[已實現配息(原幣)]])</f>
        <v>#VALUE!</v>
      </c>
      <c r="AW27" s="584">
        <f ca="1">IF(庫存管理[[#This Row],[檢測]]=TRUE,IF(MF=2,IFERROR(庫存管理[[#This Row],[合計收益]]/庫存管理[[#This Row],[持有成本(不含前手息)]],0),IFERROR(庫存管理[[#This Row],[合計收益]]/庫存管理[[#This Row],[持有成本(含前手息)]],0)),0)</f>
        <v>0</v>
      </c>
      <c r="AX27" s="434" t="e">
        <f t="shared" ca="1" si="19"/>
        <v>#VALUE!</v>
      </c>
      <c r="AY27" s="434" t="e">
        <f t="shared" ca="1" si="20"/>
        <v>#VALUE!</v>
      </c>
      <c r="AZ27" s="434">
        <f t="shared" ca="1" si="21"/>
        <v>0</v>
      </c>
      <c r="BA27" s="434">
        <f t="shared" ca="1" si="22"/>
        <v>0</v>
      </c>
      <c r="BB27" s="441" t="e">
        <f ca="1">IF(AND(庫存管理[[#This Row],[名稱]]="美國國庫債券",DAY(庫存管理[[#This Row],[買進前一配息日(初算)]])&gt;=28),EOMONTH(庫存管理[[#This Row],[買進前一配息日(初算)]],0),庫存管理[[#This Row],[買進前一配息日(初算)]])</f>
        <v>#N/A</v>
      </c>
      <c r="BC27" s="441" t="e">
        <f t="shared" ca="1" si="23"/>
        <v>#N/A</v>
      </c>
      <c r="BD27" s="444" t="e">
        <f t="shared" ca="1" si="24"/>
        <v>#N/A</v>
      </c>
      <c r="BE27" s="441" t="e">
        <f ca="1">IF(Q27&gt;0,IF(MONTH(DATE(BD27,AX27,DAY(R27)))&lt;&gt;庫存管理[[#This Row],[第一個配息月]],DATE(BD27,AX27+1,0),DATE(BD27,AX27,DAY(R27))),庫存管理[[#This Row],[買進例外調整]]+100)</f>
        <v>#N/A</v>
      </c>
      <c r="BF27" s="441" t="e">
        <f ca="1">IF(AY27&lt;&gt;0,IF(MONTH(DATE(BD27,AY27,DAY(R27)))&lt;&gt;庫存管理[[#This Row],[第二個配息月]],DATE(BD27,AY27+1,0),DATE(BD27,AY27,DAY(R27))),庫存管理[[#This Row],[買進例外調整]]+100)</f>
        <v>#VALUE!</v>
      </c>
      <c r="BG27" s="441" t="e">
        <f ca="1">IF(AZ27&lt;&gt;0,IF(MONTH(DATE(BD27,AZ27,DAY(R27)))&lt;&gt;庫存管理[[#This Row],[第三個配息月]],DATE(BD27,AZ27+1,0),DATE(BD27,AZ27,DAY(R27))),庫存管理[[#This Row],[買進例外調整]]+100)</f>
        <v>#N/A</v>
      </c>
      <c r="BH27" s="441" t="e">
        <f ca="1">IF(BA27&lt;&gt;0,IF(MONTH(DATE(BD27,BA27,DAY(R27)))&lt;&gt;庫存管理[[#This Row],[第四個配息月]],DATE(BD27,BA27+1,0),DATE(BD27,BA27,DAY(R27))),庫存管理[[#This Row],[買進例外調整]]+100)</f>
        <v>#N/A</v>
      </c>
      <c r="BI27" s="441" t="e">
        <f ca="1">IF(Q27=1,IF(MONTH(DATE(BD27-1,AX27,DAY(R27)))&lt;&gt;庫存管理[[#This Row],[第一個配息月]],DATE(BD27-1,AX27+1,0),DATE(BD27-1,AX27,DAY(R27))),IF(Q27=2,IF(MONTH(DATE(BD27-1,AY27,DAY(R27)))&lt;&gt;庫存管理[[#This Row],[第二個配息月]],DATE(BD27-1,AY27+1,0),DATE(BD27-1,AY27,DAY(R27))),IF(Q27=4,IF(MONTH(DATE(BD27-1,BA27,DAY(R27)))&lt;&gt;庫存管理[[#This Row],[第四個配息月]],DATE(BD27-1,BA27+1,0),DATE(BD27-1,BA27,DAY(R27))),庫存管理[[#This Row],[買進例外調整]]+100)))</f>
        <v>#N/A</v>
      </c>
      <c r="BJ27" s="445">
        <f t="shared" ca="1" si="25"/>
        <v>10000</v>
      </c>
      <c r="BK27" s="445">
        <f t="shared" ca="1" si="26"/>
        <v>10000</v>
      </c>
      <c r="BL27" s="445">
        <f t="shared" ca="1" si="27"/>
        <v>10000</v>
      </c>
      <c r="BM27" s="445">
        <f t="shared" ca="1" si="28"/>
        <v>10000</v>
      </c>
      <c r="BN27" s="455">
        <f t="shared" ca="1" si="29"/>
        <v>10000</v>
      </c>
      <c r="BO27" s="479" t="e">
        <f ca="1">庫存管理[[#This Row],[年度配息]]/庫存管理[[#This Row],[配息頻率]]</f>
        <v>#VALUE!</v>
      </c>
      <c r="BP27" s="479" t="e">
        <f ca="1">庫存管理[[#This Row],[單次配息(原幣)]]*庫存管理[[#This Row],[換算匯率(現)]]</f>
        <v>#VALUE!</v>
      </c>
      <c r="BQ27" s="479" t="str">
        <f ca="1">IF(庫存管理[[#This Row],[商品代號]]&lt;&gt;"",IFERROR(VLOOKUP($I27,'銀行-TSS'!B:C,2,FALSE),""),"")</f>
        <v/>
      </c>
      <c r="BR27" s="479" t="e">
        <f ca="1">VLOOKUP(庫存管理[[#This Row],[幣別]],$B$37:$C$43,2,FALSE)</f>
        <v>#N/A</v>
      </c>
      <c r="BS27" s="500" t="e">
        <f ca="1">CHOOSE(庫存管理[[#This Row],[對應編碼]],$D$37,$D$38,$D$39,$D$40,$D$41,$D$42,$D$43)</f>
        <v>#N/A</v>
      </c>
      <c r="BT27" s="500">
        <f ca="1">IF(庫存管理[[#This Row],[商品代號]]="",0,CHOOSE(庫存管理[[#This Row],[對應編碼]],$E$37,$E$38,$E$39,$E$40,$E$41,$E$42,$E$43))</f>
        <v>0</v>
      </c>
      <c r="BU27" s="1555">
        <f ca="1">IF(庫存管理[[#This Row],[檢測]]=TRUE,庫存管理[[#This Row],[投入面額]]*庫存管理[[#This Row],[換算匯率(現)]],0)</f>
        <v>0</v>
      </c>
      <c r="BV27" s="1555">
        <f ca="1">IF(庫存管理[[#This Row],[檢測]]=TRUE,IFERROR(庫存管理[[#This Row],[持有成本(含前手息)]]*庫存管理[[#This Row],[換算匯率(買)]],0),0)</f>
        <v>0</v>
      </c>
      <c r="BW27" s="1555">
        <f ca="1">IF(庫存管理[[#This Row],[檢測]]=TRUE,庫存管理[[#This Row],[持有成本(不含前手息)]]*庫存管理[[#This Row],[換算匯率(買)]],0)</f>
        <v>0</v>
      </c>
      <c r="BX27" s="1555">
        <f ca="1">IF(庫存管理[[#This Row],[檢測]]=TRUE,庫存管理[[#This Row],[部位現值(含前手息)]]*庫存管理[[#This Row],[換算匯率(現)]],0)</f>
        <v>0</v>
      </c>
      <c r="BY27" s="1555">
        <f ca="1">IF(庫存管理[[#This Row],[檢測]]=TRUE,庫存管理[[#This Row],[部位現值(不含前手息)]]*庫存管理[[#This Row],[換算匯率(現)]],0)</f>
        <v>0</v>
      </c>
      <c r="BZ27" s="1555">
        <f ca="1">IF(庫存管理[[#This Row],[檢測]]=TRUE,IF(MF=2,庫存管理[[#This Row],[累計配息]]*庫存管理[[#This Row],[換算匯率(現)]],庫存管理[[#This Row],[已實現配息(原幣)]]*庫存管理[[#This Row],[換算匯率(現)]]),0)</f>
        <v>0</v>
      </c>
      <c r="CA27" s="1555" t="e">
        <f ca="1">庫存管理[[#This Row],[資本利損]]*庫存管理[[#This Row],[換算匯率(現)]]</f>
        <v>#VALUE!</v>
      </c>
      <c r="CB27" s="1555" t="e">
        <f ca="1">庫存管理[[#This Row],[累計利息(台)]]+庫存管理[[#This Row],[資本貢獻(台)]]</f>
        <v>#VALUE!</v>
      </c>
      <c r="CC27" s="574">
        <f ca="1">IF(庫存管理[[#This Row],[檢測]]=TRUE,IFERROR(庫存管理[[#This Row],[配息報酬]],0),0)</f>
        <v>0</v>
      </c>
      <c r="CD27" s="574">
        <f ca="1">IF(庫存管理[[#This Row],[檢測]]=TRUE,庫存管理[[#This Row],[資本報酬]],0)</f>
        <v>0</v>
      </c>
      <c r="CE27" s="574">
        <f ca="1">IF(S27=TRUE,IFERROR(庫存管理[[#This Row],[換匯總報酬率]]-(庫存管理[[#This Row],[配息報酬率]]+庫存管理[[#This Row],[資本報酬率]]),0),0)</f>
        <v>0</v>
      </c>
      <c r="CF27"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7" s="585">
        <f ca="1">IF(AND(庫存管理[[#This Row],[檢測]]=TRUE,開關=TRUE),IF(MF=2,IFERROR(BW27/$BW$1,0),IFERROR(BV27/$BV$1,0)),0)</f>
        <v>0</v>
      </c>
      <c r="CH27" s="574">
        <f ca="1">IF(庫存管理[[#This Row],[檢測]]=TRUE,IF(MF=2,IFERROR(BY27/$BY$1,0),IFERROR(BX27/$BX$1,0)),0)</f>
        <v>0</v>
      </c>
      <c r="CI27"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7" s="646" t="e">
        <f ca="1">DATEDIF(庫存管理[[#This Row],[買進例外調整]],庫存管理[[#This Row],[到期日]],"d")/365.25</f>
        <v>#N/A</v>
      </c>
      <c r="CK27" s="734" t="e">
        <f ca="1">DATEVALUE(VLOOKUP(庫存管理[[#This Row],[商品代號]],bond!B:AF,31,FALSE))</f>
        <v>#N/A</v>
      </c>
      <c r="CL27" s="734" t="e">
        <f ca="1">IF(庫存管理[[#This Row],[買下配(國調)]]&lt;庫存管理[[#This Row],[第一票息日]],庫存管理[[#This Row],[第一票息日]],庫存管理[[#This Row],[買下配(國調)]])</f>
        <v>#N/A</v>
      </c>
      <c r="CM27"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7"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7" s="735">
        <f ca="1">IF(庫存管理[[#This Row],[商品代號]]="XFM90",0,IFERROR(庫存管理[[#This Row],[單次配息(原幣)]]*庫存管理[[#This Row],[經過幾次配息]],0))</f>
        <v>0</v>
      </c>
      <c r="CP27" s="735" t="e">
        <f ca="1">VLOOKUP(庫存管理[[#This Row],[商品代號]],bond!B:F,5,FALSE)</f>
        <v>#N/A</v>
      </c>
      <c r="CQ27" s="734" t="str">
        <f ca="1">IFERROR(VLOOKUP(庫存管理[[#This Row],[ISIN]],'7_發行日例外'!A:C,3,FALSE),IFERROR(DATEVALUE(VLOOKUP(庫存管理[[#This Row],[商品代號]],bond!B:AR,43,FALSE)),""))</f>
        <v/>
      </c>
      <c r="CR27" s="735" t="e">
        <f ca="1">DATEDIF(庫存管理[[#This Row],[起息日]],庫存管理[[#This Row],[買進前一配息日(複算)]],"d")</f>
        <v>#VALUE!</v>
      </c>
      <c r="CS27"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7" s="734" t="e">
        <f ca="1">IFERROR(VLOOKUP(庫存管理[[#This Row],[ISIN]],'7_發行日例外'!A:D,4,FALSE),DATEVALUE(VLOOKUP(庫存管理[[#This Row],[商品代號]],bond!B:AV,44,FALSE)))</f>
        <v>#N/A</v>
      </c>
      <c r="CU27" s="735" t="e">
        <f ca="1">VLOOKUP(庫存管理[[#This Row],[商品代號]],bond!B:AU,46,FALSE)</f>
        <v>#N/A</v>
      </c>
      <c r="CV27" s="735" t="e">
        <f ca="1">IF(庫存管理[[#This Row],[計息基礎]]=1,CHOOSE(庫存管理[[#This Row],[對應編碼]],"沒進位","","沒進位",IF(庫存管理[[#This Row],[計算類型]]="AUSTRALIA:EX-DIV","4捨五入進0.01%","沒進位"),"年/2去計算ACT","沒進位","沒進位"),"")</f>
        <v>#N/A</v>
      </c>
      <c r="CW27" s="735" t="e">
        <f ca="1">_xlfn.DAYS(庫存管理[[#This Row],[買進例外調整]],庫存管理[[#This Row],[買進前一個配息日(最終)]])</f>
        <v>#N/A</v>
      </c>
      <c r="CX27" s="735" t="e">
        <f ca="1">IF(庫存管理[[#This Row],[備註]]="年/2去計算ACT",365/2,_xlfn.DAYS(庫存管理[[#This Row],[買進時的下個配息日]],庫存管理[[#This Row],[買進前一個配息日(最終)]]))</f>
        <v>#N/A</v>
      </c>
      <c r="CY27"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7" s="767" t="e">
        <f ca="1">_xlfn.DAYS(庫存管理[[#This Row],[交割日]],庫存管理[[#This Row],[買進前一個配息日(最終)]])</f>
        <v>#N/A</v>
      </c>
      <c r="DA27"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7" s="767" t="e">
        <f ca="1">_xlfn.DAYS(庫存管理[[#This Row],[交割日]],庫存管理[[#This Row],[最近的上一票息日]])</f>
        <v>#N/A</v>
      </c>
      <c r="DC27" s="767" t="e">
        <f ca="1">IF(庫存管理[[#This Row],[備註]]="年/2去計算ACT",365/2,_xlfn.DAYS(庫存管理[[#This Row],[下一配息日]],庫存管理[[#This Row],[最近的上一票息日]]))</f>
        <v>#N/A</v>
      </c>
      <c r="DD27"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7" s="739" t="e">
        <f ca="1">CL27-庫存管理[[#This Row],[ex_div_days]]</f>
        <v>#N/A</v>
      </c>
      <c r="DF27" s="646" t="e">
        <f ca="1">IF(VLOOKUP(庫存管理[[#This Row],[商品代號]],bond!B:AT,45,FALSE)="#N/A Field Not Applicable",0,VLOOKUP(庫存管理[[#This Row],[商品代號]],bond!B:AT,45,FALSE))</f>
        <v>#N/A</v>
      </c>
      <c r="DG27" s="793" t="e">
        <f ca="1">IF(庫存管理[[#This Row],[ex_div_days]]&lt;&gt;0,IF(AND(庫存管理[[#This Row],[買進例外調整]]-庫存管理[[#This Row],[買進下一個配息日先減n天]]&gt;=0,庫存管理[[#This Row],[買進時的下個配息日]]-庫存管理[[#This Row],[買進例外調整]]&gt;0),1,0),0)</f>
        <v>#N/A</v>
      </c>
      <c r="DH27"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7" s="734" t="e">
        <f ca="1">庫存管理[[#This Row],[下一配息日]]-庫存管理[[#This Row],[ex_div_days]]</f>
        <v>#VALUE!</v>
      </c>
      <c r="DJ27" s="1081" t="e">
        <f ca="1">IF(庫存管理[[#This Row],[ex_div_days]]&lt;&gt;0,IF(AND(庫存管理[[#This Row],[交割日]]-庫存管理[[#This Row],[交割下個配息日先減n天]]&gt;=0,庫存管理[[#This Row],[下一配息日]]-庫存管理[[#This Row],[交割日]]&gt;0),1,0),0)</f>
        <v>#N/A</v>
      </c>
      <c r="DK27"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7" s="735">
        <f ca="1">IFERROR(VLOOKUP(庫存管理[[#This Row],[商品代號]],bond!B:X,21,FALSE),0)</f>
        <v>0</v>
      </c>
      <c r="DM27" s="735">
        <f ca="1">IFERROR(VLOOKUP(I27,bond!B:J,9,FALSE),0)</f>
        <v>0</v>
      </c>
      <c r="DN27" s="1188">
        <f ca="1">IF(AND(開關=TRUE,庫存管理[[#This Row],[投組檢測]]=TRUE),IF(MF=2,IFERROR(BW27/$BW$3,0),IFERROR(BV27/$BV$3,0)),0)</f>
        <v>0</v>
      </c>
      <c r="DO27" s="735">
        <f ca="1">IFERROR(庫存管理[[#This Row],[clean申購價]]/100*庫存管理[[#This Row],[投入面額]]*庫存管理[[#This Row],[MOD]]*0.01,0)</f>
        <v>0</v>
      </c>
      <c r="DP27" s="1298" t="e">
        <f ca="1">IF($C$16=1,庫存管理[[#This Row],[單次配息(台幣)]],庫存管理[[#This Row],[單次配息(原幣)]])</f>
        <v>#VALUE!</v>
      </c>
      <c r="DQ27"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7"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7"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7"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7"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7"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7"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7"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7"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7"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7"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7"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28" spans="2:229" ht="19.5" customHeight="1">
      <c r="B28" s="12">
        <v>10</v>
      </c>
      <c r="C28" s="604">
        <f t="shared" ca="1" si="30"/>
        <v>0</v>
      </c>
      <c r="D28" s="26" t="s">
        <v>1797</v>
      </c>
      <c r="E28" s="12" t="str">
        <f t="shared" ca="1" si="14"/>
        <v/>
      </c>
      <c r="F28" s="1711"/>
      <c r="G28" s="459">
        <v>22</v>
      </c>
      <c r="H28" s="1166" t="b">
        <f ca="1">IFERROR(IF(VLOOKUP(G28,換券投組!$AH$8:$AH$13,1,FALSE)&gt;0,TRUE,FALSE),FALSE)</f>
        <v>0</v>
      </c>
      <c r="I28" s="1693" t="str">
        <f ca="1">IF(開關=TRUE,'商品代碼-中繼頁'!R23,"")</f>
        <v/>
      </c>
      <c r="J28" s="429">
        <f ca="1">IFERROR(VLOOKUP(I28,bond!B:I,8,FALSE),0)</f>
        <v>0</v>
      </c>
      <c r="K28" s="429">
        <f ca="1">IFERROR(庫存管理[[#This Row],[買價]]+VLOOKUP(庫存管理[[#This Row],[商品代號]],bond!B:K,10,FALSE),0)</f>
        <v>0</v>
      </c>
      <c r="L28" s="430" t="e">
        <f ca="1">VLOOKUP(I28,'銀行-TSS'!B:E,4,FALSE)</f>
        <v>#N/A</v>
      </c>
      <c r="M28" s="431">
        <f ca="1">IFERROR(VLOOKUP($I28,'銀行-TSS'!B:G,6,FALSE),0)</f>
        <v>0</v>
      </c>
      <c r="N28" s="432" t="e">
        <f ca="1">IFERROR(DATEVALUE(VLOOKUP($I28,'銀行-TSS'!B:F,5,FALSE)),VLOOKUP($I28,'銀行-TSS'!B:F,5,FALSE))</f>
        <v>#N/A</v>
      </c>
      <c r="O28" s="433">
        <f ca="1">IFERROR(VLOOKUP($I28,'銀行-TSS'!B:H,7,FALSE),0)</f>
        <v>0</v>
      </c>
      <c r="P28" s="433" t="e">
        <f ca="1">庫存管理[[#This Row],[票面利率]]/庫存管理[[#This Row],[成本價(不含前手息)]]*100</f>
        <v>#VALUE!</v>
      </c>
      <c r="Q28" s="434" t="str">
        <f ca="1">IFERROR(VLOOKUP($I28,'銀行-TSS'!B:I,8,FALSE),"")</f>
        <v/>
      </c>
      <c r="R28" s="440" t="str">
        <f ca="1">_xlfn.IFNA(IFERROR(DATEVALUE(VLOOKUP($I28,'銀行-TSS'!B:P,15,FALSE)),VLOOKUP($I28,'銀行-TSS'!B:P,15,FALSE)),"")</f>
        <v/>
      </c>
      <c r="S28" s="570" t="b">
        <f ca="1">IF(AND(庫存管理[[#This Row],[配息頻率]]&lt;&gt;"",庫存管理[[#This Row],[持有成本(不含前手息)]]&lt;&gt;0,庫存管理[[#This Row],[買進日]]&lt;&gt;""),TRUE,FALSE)</f>
        <v>0</v>
      </c>
      <c r="T28" s="602" t="str">
        <f>IFERROR(DATE(LEFT('商品代碼-中繼頁'!S23,4),MID('商品代碼-中繼頁'!S23,5,2),RIGHT('商品代碼-中繼頁'!S23,2)),"")</f>
        <v/>
      </c>
      <c r="U28"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8" s="442" t="e">
        <f ca="1">IFERROR(WORKDAY(庫存管理[[#This Row],[買進日]],VLOOKUP(庫存管理[[#This Row],[商品代號]],'1_重設數據'!R:S,2,FALSE),休USD),庫存管理[[#This Row],[買進日(T+2/公債T+1)]])</f>
        <v>#N/A</v>
      </c>
      <c r="W28" s="43" t="str">
        <f>'商品代碼-中繼頁'!T23</f>
        <v/>
      </c>
      <c r="X28" s="43" t="str">
        <f>'商品代碼-中繼頁'!U23</f>
        <v/>
      </c>
      <c r="Y28" s="464">
        <f t="shared" ca="1" si="9"/>
        <v>0</v>
      </c>
      <c r="Z28" s="464" t="e">
        <f t="shared" ca="1" si="15"/>
        <v>#VALUE!</v>
      </c>
      <c r="AA28" s="465" t="e">
        <f t="shared" ca="1" si="16"/>
        <v>#VALUE!</v>
      </c>
      <c r="AB28" s="474" t="e">
        <f ca="1">IF(MF=2,庫存管理[[#This Row],[部位現值(不含前手息)]]-庫存管理[[#This Row],[持有成本(不含前手息)]],庫存管理[[#This Row],[部位現值(含前手息)]]-庫存管理[[#This Row],[持有成本(含前手息)]])</f>
        <v>#VALUE!</v>
      </c>
      <c r="AC28" s="462">
        <f ca="1">IF(庫存管理[[#This Row],[檢測]]=TRUE,IF(MF=2,IFERROR(庫存管理[[#This Row],[資本利損]]/庫存管理[[#This Row],[持有成本(不含前手息)]],0),IFERROR(庫存管理[[#This Row],[資本利損]]/庫存管理[[#This Row],[持有成本(含前手息)]],0)),0)</f>
        <v>0</v>
      </c>
      <c r="AD28" s="618" t="e">
        <f ca="1">庫存管理[[#This Row],[持有成本(不含前手息)]]/庫存管理[[#This Row],[投入面額]]*100</f>
        <v>#VALUE!</v>
      </c>
      <c r="AE28" s="462" t="str">
        <f ca="1">IFERROR(VLOOKUP(庫存管理[[#This Row],[商品代號]],bond!B:AA,26,FALSE),"")</f>
        <v/>
      </c>
      <c r="AF28" s="1" t="str">
        <f ca="1">IFERROR(VLOOKUP($I28,'銀行-TSS'!B:Q,16,FALSE),"")</f>
        <v/>
      </c>
      <c r="AG28" s="466">
        <f t="shared" ca="1" si="1"/>
        <v>0</v>
      </c>
      <c r="AH28" s="458" t="e">
        <f ca="1">IF(OR(庫存管理[[#This Row],[起息日]]&gt;庫存管理[[#This Row],[買進前一配息日(複算)]],庫存管理[[#This Row],[判斷]]=TRUE),庫存管理[[#This Row],[起息日]],庫存管理[[#This Row],[買進前一配息日(複算)]])</f>
        <v>#N/A</v>
      </c>
      <c r="AI28" s="577" t="e">
        <f ca="1">VLOOKUP(I28,bond!B:AP,41,FALSE)</f>
        <v>#N/A</v>
      </c>
      <c r="AJ28" s="578" t="e">
        <f t="shared" ca="1" si="17"/>
        <v>#N/A</v>
      </c>
      <c r="AK28" s="579">
        <f ca="1">IFERROR(IF(庫存管理[[#This Row],[買進日是否落入record date]]=1,庫存管理[[#This Row],[record date制度前手息]],庫存管理[[#This Row],[計算前手息(初算)]]),0)</f>
        <v>0</v>
      </c>
      <c r="AL28" s="579" t="e">
        <f ca="1">IF(OR(庫存管理[[#This Row],[買進例外調整]]&lt;庫存管理[[#This Row],[起息日]],庫存管理[[#This Row],[買進例外調整]]&gt;庫存管理[[#This Row],[到期日]]),0,IF(庫存管理[[#This Row],[備註]]&lt;&gt;"",庫存管理[[#This Row],[買進時前手息]],IFERROR(ROUND(ACCRINT(AH28,AH28,V28,O28,100,Q28,AJ28,TRUE),4),0)))</f>
        <v>#N/A</v>
      </c>
      <c r="AM28" s="580" t="e">
        <f t="shared" ca="1" si="18"/>
        <v>#VALUE!</v>
      </c>
      <c r="AN28" s="440" t="e">
        <f ca="1">IFERROR(DATEVALUE(VLOOKUP(I28,bond!B:I,7,FALSE)),VLOOKUP(I28,bond!B:I,7,FALSE))</f>
        <v>#N/A</v>
      </c>
      <c r="AO28"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8" s="1075">
        <f ca="1">IFERROR(IF(庫存管理[[#This Row],[交割日是否落入record date]]=1,庫存管理[[#This Row],[交_record date制度前手息]],庫存管理[[#This Row],[計算交割前手息(初算)]]),0)</f>
        <v>0</v>
      </c>
      <c r="AQ28"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8" s="1063" t="e">
        <f ca="1">ROUND(庫存管理[[#This Row],[計算交割前手息(複算)]]*庫存管理[[#This Row],[投入面額]]/100,2)</f>
        <v>#VALUE!</v>
      </c>
      <c r="AS28" s="1064" t="e">
        <f ca="1">IF(庫存管理[[#This Row],[配息頻率]]=0,0,(100*庫存管理[[#This Row],[票面利率]]/庫存管理[[#This Row],[配息頻率]])*庫存管理[[#This Row],[經過幾次配息]]+庫存管理[[#This Row],[計算交割前手息(複算)]]-庫存管理[[#This Row],[計算前手息(複算)]])</f>
        <v>#VALUE!</v>
      </c>
      <c r="AT28" s="581" t="e">
        <f ca="1">IF(庫存管理[[#This Row],[商品代號]]="XFM90",0,ROUND(AS28*W28/100,2))</f>
        <v>#VALUE!</v>
      </c>
      <c r="AU28" s="582">
        <f ca="1">IF(MF=2,IFERROR(庫存管理[[#This Row],[累計配息]]/庫存管理[[#This Row],[持有成本(不含前手息)]],0),IFERROR(庫存管理[[#This Row],[已實現配息(原幣)]]/庫存管理[[#This Row],[持有成本(含前手息)]],0))</f>
        <v>0</v>
      </c>
      <c r="AV28" s="583" t="e">
        <f ca="1">IF(MF=2,庫存管理[[#This Row],[資本利損]]+庫存管理[[#This Row],[累計配息]],庫存管理[[#This Row],[資本利損]]+庫存管理[[#This Row],[已實現配息(原幣)]])</f>
        <v>#VALUE!</v>
      </c>
      <c r="AW28" s="584">
        <f ca="1">IF(庫存管理[[#This Row],[檢測]]=TRUE,IF(MF=2,IFERROR(庫存管理[[#This Row],[合計收益]]/庫存管理[[#This Row],[持有成本(不含前手息)]],0),IFERROR(庫存管理[[#This Row],[合計收益]]/庫存管理[[#This Row],[持有成本(含前手息)]],0)),0)</f>
        <v>0</v>
      </c>
      <c r="AX28" s="434" t="e">
        <f t="shared" ca="1" si="19"/>
        <v>#VALUE!</v>
      </c>
      <c r="AY28" s="434" t="e">
        <f t="shared" ca="1" si="20"/>
        <v>#VALUE!</v>
      </c>
      <c r="AZ28" s="434">
        <f t="shared" ca="1" si="21"/>
        <v>0</v>
      </c>
      <c r="BA28" s="434">
        <f t="shared" ca="1" si="22"/>
        <v>0</v>
      </c>
      <c r="BB28" s="441" t="e">
        <f ca="1">IF(AND(庫存管理[[#This Row],[名稱]]="美國國庫債券",DAY(庫存管理[[#This Row],[買進前一配息日(初算)]])&gt;=28),EOMONTH(庫存管理[[#This Row],[買進前一配息日(初算)]],0),庫存管理[[#This Row],[買進前一配息日(初算)]])</f>
        <v>#N/A</v>
      </c>
      <c r="BC28" s="441" t="e">
        <f t="shared" ca="1" si="23"/>
        <v>#N/A</v>
      </c>
      <c r="BD28" s="444" t="e">
        <f t="shared" ca="1" si="24"/>
        <v>#N/A</v>
      </c>
      <c r="BE28" s="441" t="e">
        <f ca="1">IF(Q28&gt;0,IF(MONTH(DATE(BD28,AX28,DAY(R28)))&lt;&gt;庫存管理[[#This Row],[第一個配息月]],DATE(BD28,AX28+1,0),DATE(BD28,AX28,DAY(R28))),庫存管理[[#This Row],[買進例外調整]]+100)</f>
        <v>#N/A</v>
      </c>
      <c r="BF28" s="441" t="e">
        <f ca="1">IF(AY28&lt;&gt;0,IF(MONTH(DATE(BD28,AY28,DAY(R28)))&lt;&gt;庫存管理[[#This Row],[第二個配息月]],DATE(BD28,AY28+1,0),DATE(BD28,AY28,DAY(R28))),庫存管理[[#This Row],[買進例外調整]]+100)</f>
        <v>#VALUE!</v>
      </c>
      <c r="BG28" s="441" t="e">
        <f ca="1">IF(AZ28&lt;&gt;0,IF(MONTH(DATE(BD28,AZ28,DAY(R28)))&lt;&gt;庫存管理[[#This Row],[第三個配息月]],DATE(BD28,AZ28+1,0),DATE(BD28,AZ28,DAY(R28))),庫存管理[[#This Row],[買進例外調整]]+100)</f>
        <v>#N/A</v>
      </c>
      <c r="BH28" s="441" t="e">
        <f ca="1">IF(BA28&lt;&gt;0,IF(MONTH(DATE(BD28,BA28,DAY(R28)))&lt;&gt;庫存管理[[#This Row],[第四個配息月]],DATE(BD28,BA28+1,0),DATE(BD28,BA28,DAY(R28))),庫存管理[[#This Row],[買進例外調整]]+100)</f>
        <v>#N/A</v>
      </c>
      <c r="BI28" s="441" t="e">
        <f ca="1">IF(Q28=1,IF(MONTH(DATE(BD28-1,AX28,DAY(R28)))&lt;&gt;庫存管理[[#This Row],[第一個配息月]],DATE(BD28-1,AX28+1,0),DATE(BD28-1,AX28,DAY(R28))),IF(Q28=2,IF(MONTH(DATE(BD28-1,AY28,DAY(R28)))&lt;&gt;庫存管理[[#This Row],[第二個配息月]],DATE(BD28-1,AY28+1,0),DATE(BD28-1,AY28,DAY(R28))),IF(Q28=4,IF(MONTH(DATE(BD28-1,BA28,DAY(R28)))&lt;&gt;庫存管理[[#This Row],[第四個配息月]],DATE(BD28-1,BA28+1,0),DATE(BD28-1,BA28,DAY(R28))),庫存管理[[#This Row],[買進例外調整]]+100)))</f>
        <v>#N/A</v>
      </c>
      <c r="BJ28" s="445">
        <f t="shared" ca="1" si="25"/>
        <v>10000</v>
      </c>
      <c r="BK28" s="445">
        <f t="shared" ca="1" si="26"/>
        <v>10000</v>
      </c>
      <c r="BL28" s="445">
        <f t="shared" ca="1" si="27"/>
        <v>10000</v>
      </c>
      <c r="BM28" s="445">
        <f t="shared" ca="1" si="28"/>
        <v>10000</v>
      </c>
      <c r="BN28" s="455">
        <f t="shared" ca="1" si="29"/>
        <v>10000</v>
      </c>
      <c r="BO28" s="479" t="e">
        <f ca="1">庫存管理[[#This Row],[年度配息]]/庫存管理[[#This Row],[配息頻率]]</f>
        <v>#VALUE!</v>
      </c>
      <c r="BP28" s="479" t="e">
        <f ca="1">庫存管理[[#This Row],[單次配息(原幣)]]*庫存管理[[#This Row],[換算匯率(現)]]</f>
        <v>#VALUE!</v>
      </c>
      <c r="BQ28" s="479" t="str">
        <f ca="1">IF(庫存管理[[#This Row],[商品代號]]&lt;&gt;"",IFERROR(VLOOKUP($I28,'銀行-TSS'!B:C,2,FALSE),""),"")</f>
        <v/>
      </c>
      <c r="BR28" s="479" t="e">
        <f ca="1">VLOOKUP(庫存管理[[#This Row],[幣別]],$B$37:$C$43,2,FALSE)</f>
        <v>#N/A</v>
      </c>
      <c r="BS28" s="500" t="e">
        <f ca="1">CHOOSE(庫存管理[[#This Row],[對應編碼]],$D$37,$D$38,$D$39,$D$40,$D$41,$D$42,$D$43)</f>
        <v>#N/A</v>
      </c>
      <c r="BT28" s="500">
        <f ca="1">IF(庫存管理[[#This Row],[商品代號]]="",0,CHOOSE(庫存管理[[#This Row],[對應編碼]],$E$37,$E$38,$E$39,$E$40,$E$41,$E$42,$E$43))</f>
        <v>0</v>
      </c>
      <c r="BU28" s="1555">
        <f ca="1">IF(庫存管理[[#This Row],[檢測]]=TRUE,庫存管理[[#This Row],[投入面額]]*庫存管理[[#This Row],[換算匯率(現)]],0)</f>
        <v>0</v>
      </c>
      <c r="BV28" s="1555">
        <f ca="1">IF(庫存管理[[#This Row],[檢測]]=TRUE,IFERROR(庫存管理[[#This Row],[持有成本(含前手息)]]*庫存管理[[#This Row],[換算匯率(買)]],0),0)</f>
        <v>0</v>
      </c>
      <c r="BW28" s="1555">
        <f ca="1">IF(庫存管理[[#This Row],[檢測]]=TRUE,庫存管理[[#This Row],[持有成本(不含前手息)]]*庫存管理[[#This Row],[換算匯率(買)]],0)</f>
        <v>0</v>
      </c>
      <c r="BX28" s="1555">
        <f ca="1">IF(庫存管理[[#This Row],[檢測]]=TRUE,庫存管理[[#This Row],[部位現值(含前手息)]]*庫存管理[[#This Row],[換算匯率(現)]],0)</f>
        <v>0</v>
      </c>
      <c r="BY28" s="1555">
        <f ca="1">IF(庫存管理[[#This Row],[檢測]]=TRUE,庫存管理[[#This Row],[部位現值(不含前手息)]]*庫存管理[[#This Row],[換算匯率(現)]],0)</f>
        <v>0</v>
      </c>
      <c r="BZ28" s="1555">
        <f ca="1">IF(庫存管理[[#This Row],[檢測]]=TRUE,IF(MF=2,庫存管理[[#This Row],[累計配息]]*庫存管理[[#This Row],[換算匯率(現)]],庫存管理[[#This Row],[已實現配息(原幣)]]*庫存管理[[#This Row],[換算匯率(現)]]),0)</f>
        <v>0</v>
      </c>
      <c r="CA28" s="1555" t="e">
        <f ca="1">庫存管理[[#This Row],[資本利損]]*庫存管理[[#This Row],[換算匯率(現)]]</f>
        <v>#VALUE!</v>
      </c>
      <c r="CB28" s="1555" t="e">
        <f ca="1">庫存管理[[#This Row],[累計利息(台)]]+庫存管理[[#This Row],[資本貢獻(台)]]</f>
        <v>#VALUE!</v>
      </c>
      <c r="CC28" s="574">
        <f ca="1">IF(庫存管理[[#This Row],[檢測]]=TRUE,IFERROR(庫存管理[[#This Row],[配息報酬]],0),0)</f>
        <v>0</v>
      </c>
      <c r="CD28" s="574">
        <f ca="1">IF(庫存管理[[#This Row],[檢測]]=TRUE,庫存管理[[#This Row],[資本報酬]],0)</f>
        <v>0</v>
      </c>
      <c r="CE28" s="574">
        <f ca="1">IF(S28=TRUE,IFERROR(庫存管理[[#This Row],[換匯總報酬率]]-(庫存管理[[#This Row],[配息報酬率]]+庫存管理[[#This Row],[資本報酬率]]),0),0)</f>
        <v>0</v>
      </c>
      <c r="CF28"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8" s="585">
        <f ca="1">IF(AND(庫存管理[[#This Row],[檢測]]=TRUE,開關=TRUE),IF(MF=2,IFERROR(BW28/$BW$1,0),IFERROR(BV28/$BV$1,0)),0)</f>
        <v>0</v>
      </c>
      <c r="CH28" s="574">
        <f ca="1">IF(庫存管理[[#This Row],[檢測]]=TRUE,IF(MF=2,IFERROR(BY28/$BY$1,0),IFERROR(BX28/$BX$1,0)),0)</f>
        <v>0</v>
      </c>
      <c r="CI28"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8" s="646" t="e">
        <f ca="1">DATEDIF(庫存管理[[#This Row],[買進例外調整]],庫存管理[[#This Row],[到期日]],"d")/365.25</f>
        <v>#N/A</v>
      </c>
      <c r="CK28" s="734" t="e">
        <f ca="1">DATEVALUE(VLOOKUP(庫存管理[[#This Row],[商品代號]],bond!B:AF,31,FALSE))</f>
        <v>#N/A</v>
      </c>
      <c r="CL28" s="734" t="e">
        <f ca="1">IF(庫存管理[[#This Row],[買下配(國調)]]&lt;庫存管理[[#This Row],[第一票息日]],庫存管理[[#This Row],[第一票息日]],庫存管理[[#This Row],[買下配(國調)]])</f>
        <v>#N/A</v>
      </c>
      <c r="CM28"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8"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8" s="735">
        <f ca="1">IF(庫存管理[[#This Row],[商品代號]]="XFM90",0,IFERROR(庫存管理[[#This Row],[單次配息(原幣)]]*庫存管理[[#This Row],[經過幾次配息]],0))</f>
        <v>0</v>
      </c>
      <c r="CP28" s="735" t="e">
        <f ca="1">VLOOKUP(庫存管理[[#This Row],[商品代號]],bond!B:F,5,FALSE)</f>
        <v>#N/A</v>
      </c>
      <c r="CQ28" s="734" t="str">
        <f ca="1">IFERROR(VLOOKUP(庫存管理[[#This Row],[ISIN]],'7_發行日例外'!A:C,3,FALSE),IFERROR(DATEVALUE(VLOOKUP(庫存管理[[#This Row],[商品代號]],bond!B:AR,43,FALSE)),""))</f>
        <v/>
      </c>
      <c r="CR28" s="735" t="e">
        <f ca="1">DATEDIF(庫存管理[[#This Row],[起息日]],庫存管理[[#This Row],[買進前一配息日(複算)]],"d")</f>
        <v>#VALUE!</v>
      </c>
      <c r="CS28"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8" s="734" t="e">
        <f ca="1">IFERROR(VLOOKUP(庫存管理[[#This Row],[ISIN]],'7_發行日例外'!A:D,4,FALSE),DATEVALUE(VLOOKUP(庫存管理[[#This Row],[商品代號]],bond!B:AV,44,FALSE)))</f>
        <v>#N/A</v>
      </c>
      <c r="CU28" s="735" t="e">
        <f ca="1">VLOOKUP(庫存管理[[#This Row],[商品代號]],bond!B:AU,46,FALSE)</f>
        <v>#N/A</v>
      </c>
      <c r="CV28" s="735" t="e">
        <f ca="1">IF(庫存管理[[#This Row],[計息基礎]]=1,CHOOSE(庫存管理[[#This Row],[對應編碼]],"沒進位","","沒進位",IF(庫存管理[[#This Row],[計算類型]]="AUSTRALIA:EX-DIV","4捨五入進0.01%","沒進位"),"年/2去計算ACT","沒進位","沒進位"),"")</f>
        <v>#N/A</v>
      </c>
      <c r="CW28" s="735" t="e">
        <f ca="1">_xlfn.DAYS(庫存管理[[#This Row],[買進例外調整]],庫存管理[[#This Row],[買進前一個配息日(最終)]])</f>
        <v>#N/A</v>
      </c>
      <c r="CX28" s="735" t="e">
        <f ca="1">IF(庫存管理[[#This Row],[備註]]="年/2去計算ACT",365/2,_xlfn.DAYS(庫存管理[[#This Row],[買進時的下個配息日]],庫存管理[[#This Row],[買進前一個配息日(最終)]]))</f>
        <v>#N/A</v>
      </c>
      <c r="CY28"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8" s="767" t="e">
        <f ca="1">_xlfn.DAYS(庫存管理[[#This Row],[交割日]],庫存管理[[#This Row],[買進前一個配息日(最終)]])</f>
        <v>#N/A</v>
      </c>
      <c r="DA28"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8" s="767" t="e">
        <f ca="1">_xlfn.DAYS(庫存管理[[#This Row],[交割日]],庫存管理[[#This Row],[最近的上一票息日]])</f>
        <v>#N/A</v>
      </c>
      <c r="DC28" s="767" t="e">
        <f ca="1">IF(庫存管理[[#This Row],[備註]]="年/2去計算ACT",365/2,_xlfn.DAYS(庫存管理[[#This Row],[下一配息日]],庫存管理[[#This Row],[最近的上一票息日]]))</f>
        <v>#N/A</v>
      </c>
      <c r="DD28"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8" s="739" t="e">
        <f ca="1">CL28-庫存管理[[#This Row],[ex_div_days]]</f>
        <v>#N/A</v>
      </c>
      <c r="DF28" s="646" t="e">
        <f ca="1">IF(VLOOKUP(庫存管理[[#This Row],[商品代號]],bond!B:AT,45,FALSE)="#N/A Field Not Applicable",0,VLOOKUP(庫存管理[[#This Row],[商品代號]],bond!B:AT,45,FALSE))</f>
        <v>#N/A</v>
      </c>
      <c r="DG28" s="793" t="e">
        <f ca="1">IF(庫存管理[[#This Row],[ex_div_days]]&lt;&gt;0,IF(AND(庫存管理[[#This Row],[買進例外調整]]-庫存管理[[#This Row],[買進下一個配息日先減n天]]&gt;=0,庫存管理[[#This Row],[買進時的下個配息日]]-庫存管理[[#This Row],[買進例外調整]]&gt;0),1,0),0)</f>
        <v>#N/A</v>
      </c>
      <c r="DH28"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8" s="734" t="e">
        <f ca="1">庫存管理[[#This Row],[下一配息日]]-庫存管理[[#This Row],[ex_div_days]]</f>
        <v>#VALUE!</v>
      </c>
      <c r="DJ28" s="1081" t="e">
        <f ca="1">IF(庫存管理[[#This Row],[ex_div_days]]&lt;&gt;0,IF(AND(庫存管理[[#This Row],[交割日]]-庫存管理[[#This Row],[交割下個配息日先減n天]]&gt;=0,庫存管理[[#This Row],[下一配息日]]-庫存管理[[#This Row],[交割日]]&gt;0),1,0),0)</f>
        <v>#N/A</v>
      </c>
      <c r="DK28"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8" s="735">
        <f ca="1">IFERROR(VLOOKUP(庫存管理[[#This Row],[商品代號]],bond!B:X,21,FALSE),0)</f>
        <v>0</v>
      </c>
      <c r="DM28" s="735">
        <f ca="1">IFERROR(VLOOKUP(I28,bond!B:J,9,FALSE),0)</f>
        <v>0</v>
      </c>
      <c r="DN28" s="1188">
        <f ca="1">IF(AND(開關=TRUE,庫存管理[[#This Row],[投組檢測]]=TRUE),IF(MF=2,IFERROR(BW28/$BW$3,0),IFERROR(BV28/$BV$3,0)),0)</f>
        <v>0</v>
      </c>
      <c r="DO28" s="735">
        <f ca="1">IFERROR(庫存管理[[#This Row],[clean申購價]]/100*庫存管理[[#This Row],[投入面額]]*庫存管理[[#This Row],[MOD]]*0.01,0)</f>
        <v>0</v>
      </c>
      <c r="DP28" s="1298" t="e">
        <f ca="1">IF($C$16=1,庫存管理[[#This Row],[單次配息(台幣)]],庫存管理[[#This Row],[單次配息(原幣)]])</f>
        <v>#VALUE!</v>
      </c>
      <c r="DQ28"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8"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8"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8"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8"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8"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8"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8"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8"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8"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8"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8"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29" spans="2:229" ht="19.5" customHeight="1">
      <c r="B29" s="12">
        <v>11</v>
      </c>
      <c r="C29" s="604">
        <f t="shared" ca="1" si="30"/>
        <v>2424.9999999999995</v>
      </c>
      <c r="D29" s="26" t="s">
        <v>1798</v>
      </c>
      <c r="E29" s="12" t="str">
        <f t="shared" ca="1" si="14"/>
        <v>2,425</v>
      </c>
      <c r="F29" s="1711"/>
      <c r="G29" s="459">
        <v>23</v>
      </c>
      <c r="H29" s="1166" t="b">
        <f ca="1">IFERROR(IF(VLOOKUP(G29,換券投組!$AH$8:$AH$13,1,FALSE)&gt;0,TRUE,FALSE),FALSE)</f>
        <v>0</v>
      </c>
      <c r="I29" s="1693" t="str">
        <f ca="1">IF(開關=TRUE,'商品代碼-中繼頁'!R24,"")</f>
        <v/>
      </c>
      <c r="J29" s="429">
        <f ca="1">IFERROR(VLOOKUP(I29,bond!B:I,8,FALSE),0)</f>
        <v>0</v>
      </c>
      <c r="K29" s="429">
        <f ca="1">IFERROR(庫存管理[[#This Row],[買價]]+VLOOKUP(庫存管理[[#This Row],[商品代號]],bond!B:K,10,FALSE),0)</f>
        <v>0</v>
      </c>
      <c r="L29" s="430" t="e">
        <f ca="1">VLOOKUP(I29,'銀行-TSS'!B:E,4,FALSE)</f>
        <v>#N/A</v>
      </c>
      <c r="M29" s="431">
        <f ca="1">IFERROR(VLOOKUP($I29,'銀行-TSS'!B:G,6,FALSE),0)</f>
        <v>0</v>
      </c>
      <c r="N29" s="432" t="e">
        <f ca="1">IFERROR(DATEVALUE(VLOOKUP($I29,'銀行-TSS'!B:F,5,FALSE)),VLOOKUP($I29,'銀行-TSS'!B:F,5,FALSE))</f>
        <v>#N/A</v>
      </c>
      <c r="O29" s="433">
        <f ca="1">IFERROR(VLOOKUP($I29,'銀行-TSS'!B:H,7,FALSE),0)</f>
        <v>0</v>
      </c>
      <c r="P29" s="433" t="e">
        <f ca="1">庫存管理[[#This Row],[票面利率]]/庫存管理[[#This Row],[成本價(不含前手息)]]*100</f>
        <v>#VALUE!</v>
      </c>
      <c r="Q29" s="434" t="str">
        <f ca="1">IFERROR(VLOOKUP($I29,'銀行-TSS'!B:I,8,FALSE),"")</f>
        <v/>
      </c>
      <c r="R29" s="440" t="str">
        <f ca="1">_xlfn.IFNA(IFERROR(DATEVALUE(VLOOKUP($I29,'銀行-TSS'!B:P,15,FALSE)),VLOOKUP($I29,'銀行-TSS'!B:P,15,FALSE)),"")</f>
        <v/>
      </c>
      <c r="S29" s="570" t="b">
        <f ca="1">IF(AND(庫存管理[[#This Row],[配息頻率]]&lt;&gt;"",庫存管理[[#This Row],[持有成本(不含前手息)]]&lt;&gt;0,庫存管理[[#This Row],[買進日]]&lt;&gt;""),TRUE,FALSE)</f>
        <v>0</v>
      </c>
      <c r="T29" s="602" t="str">
        <f>IFERROR(DATE(LEFT('商品代碼-中繼頁'!S24,4),MID('商品代碼-中繼頁'!S24,5,2),RIGHT('商品代碼-中繼頁'!S24,2)),"")</f>
        <v/>
      </c>
      <c r="U29"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29" s="442" t="e">
        <f ca="1">IFERROR(WORKDAY(庫存管理[[#This Row],[買進日]],VLOOKUP(庫存管理[[#This Row],[商品代號]],'1_重設數據'!R:S,2,FALSE),休USD),庫存管理[[#This Row],[買進日(T+2/公債T+1)]])</f>
        <v>#N/A</v>
      </c>
      <c r="W29" s="43" t="str">
        <f>'商品代碼-中繼頁'!T24</f>
        <v/>
      </c>
      <c r="X29" s="43" t="str">
        <f>'商品代碼-中繼頁'!U24</f>
        <v/>
      </c>
      <c r="Y29" s="464">
        <f t="shared" ca="1" si="9"/>
        <v>0</v>
      </c>
      <c r="Z29" s="464" t="e">
        <f t="shared" ca="1" si="15"/>
        <v>#VALUE!</v>
      </c>
      <c r="AA29" s="465" t="e">
        <f t="shared" ca="1" si="16"/>
        <v>#VALUE!</v>
      </c>
      <c r="AB29" s="474" t="e">
        <f ca="1">IF(MF=2,庫存管理[[#This Row],[部位現值(不含前手息)]]-庫存管理[[#This Row],[持有成本(不含前手息)]],庫存管理[[#This Row],[部位現值(含前手息)]]-庫存管理[[#This Row],[持有成本(含前手息)]])</f>
        <v>#VALUE!</v>
      </c>
      <c r="AC29" s="462">
        <f ca="1">IF(庫存管理[[#This Row],[檢測]]=TRUE,IF(MF=2,IFERROR(庫存管理[[#This Row],[資本利損]]/庫存管理[[#This Row],[持有成本(不含前手息)]],0),IFERROR(庫存管理[[#This Row],[資本利損]]/庫存管理[[#This Row],[持有成本(含前手息)]],0)),0)</f>
        <v>0</v>
      </c>
      <c r="AD29" s="618" t="e">
        <f ca="1">庫存管理[[#This Row],[持有成本(不含前手息)]]/庫存管理[[#This Row],[投入面額]]*100</f>
        <v>#VALUE!</v>
      </c>
      <c r="AE29" s="462" t="str">
        <f ca="1">IFERROR(VLOOKUP(庫存管理[[#This Row],[商品代號]],bond!B:AA,26,FALSE),"")</f>
        <v/>
      </c>
      <c r="AF29" s="1" t="str">
        <f ca="1">IFERROR(VLOOKUP($I29,'銀行-TSS'!B:Q,16,FALSE),"")</f>
        <v/>
      </c>
      <c r="AG29" s="466">
        <f t="shared" ca="1" si="1"/>
        <v>0</v>
      </c>
      <c r="AH29" s="458" t="e">
        <f ca="1">IF(OR(庫存管理[[#This Row],[起息日]]&gt;庫存管理[[#This Row],[買進前一配息日(複算)]],庫存管理[[#This Row],[判斷]]=TRUE),庫存管理[[#This Row],[起息日]],庫存管理[[#This Row],[買進前一配息日(複算)]])</f>
        <v>#N/A</v>
      </c>
      <c r="AI29" s="577" t="e">
        <f ca="1">VLOOKUP(I29,bond!B:AP,41,FALSE)</f>
        <v>#N/A</v>
      </c>
      <c r="AJ29" s="578" t="e">
        <f t="shared" ca="1" si="17"/>
        <v>#N/A</v>
      </c>
      <c r="AK29" s="579">
        <f ca="1">IFERROR(IF(庫存管理[[#This Row],[買進日是否落入record date]]=1,庫存管理[[#This Row],[record date制度前手息]],庫存管理[[#This Row],[計算前手息(初算)]]),0)</f>
        <v>0</v>
      </c>
      <c r="AL29" s="579" t="e">
        <f ca="1">IF(OR(庫存管理[[#This Row],[買進例外調整]]&lt;庫存管理[[#This Row],[起息日]],庫存管理[[#This Row],[買進例外調整]]&gt;庫存管理[[#This Row],[到期日]]),0,IF(庫存管理[[#This Row],[備註]]&lt;&gt;"",庫存管理[[#This Row],[買進時前手息]],IFERROR(ROUND(ACCRINT(AH29,AH29,V29,O29,100,Q29,AJ29,TRUE),4),0)))</f>
        <v>#N/A</v>
      </c>
      <c r="AM29" s="580" t="e">
        <f t="shared" ca="1" si="18"/>
        <v>#VALUE!</v>
      </c>
      <c r="AN29" s="440" t="e">
        <f ca="1">IFERROR(DATEVALUE(VLOOKUP(I29,bond!B:I,7,FALSE)),VLOOKUP(I29,bond!B:I,7,FALSE))</f>
        <v>#N/A</v>
      </c>
      <c r="AO29"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29" s="1075">
        <f ca="1">IFERROR(IF(庫存管理[[#This Row],[交割日是否落入record date]]=1,庫存管理[[#This Row],[交_record date制度前手息]],庫存管理[[#This Row],[計算交割前手息(初算)]]),0)</f>
        <v>0</v>
      </c>
      <c r="AQ29"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29" s="1063" t="e">
        <f ca="1">ROUND(庫存管理[[#This Row],[計算交割前手息(複算)]]*庫存管理[[#This Row],[投入面額]]/100,2)</f>
        <v>#VALUE!</v>
      </c>
      <c r="AS29" s="1064" t="e">
        <f ca="1">IF(庫存管理[[#This Row],[配息頻率]]=0,0,(100*庫存管理[[#This Row],[票面利率]]/庫存管理[[#This Row],[配息頻率]])*庫存管理[[#This Row],[經過幾次配息]]+庫存管理[[#This Row],[計算交割前手息(複算)]]-庫存管理[[#This Row],[計算前手息(複算)]])</f>
        <v>#VALUE!</v>
      </c>
      <c r="AT29" s="581" t="e">
        <f ca="1">IF(庫存管理[[#This Row],[商品代號]]="XFM90",0,ROUND(AS29*W29/100,2))</f>
        <v>#VALUE!</v>
      </c>
      <c r="AU29" s="582">
        <f ca="1">IF(MF=2,IFERROR(庫存管理[[#This Row],[累計配息]]/庫存管理[[#This Row],[持有成本(不含前手息)]],0),IFERROR(庫存管理[[#This Row],[已實現配息(原幣)]]/庫存管理[[#This Row],[持有成本(含前手息)]],0))</f>
        <v>0</v>
      </c>
      <c r="AV29" s="583" t="e">
        <f ca="1">IF(MF=2,庫存管理[[#This Row],[資本利損]]+庫存管理[[#This Row],[累計配息]],庫存管理[[#This Row],[資本利損]]+庫存管理[[#This Row],[已實現配息(原幣)]])</f>
        <v>#VALUE!</v>
      </c>
      <c r="AW29" s="584">
        <f ca="1">IF(庫存管理[[#This Row],[檢測]]=TRUE,IF(MF=2,IFERROR(庫存管理[[#This Row],[合計收益]]/庫存管理[[#This Row],[持有成本(不含前手息)]],0),IFERROR(庫存管理[[#This Row],[合計收益]]/庫存管理[[#This Row],[持有成本(含前手息)]],0)),0)</f>
        <v>0</v>
      </c>
      <c r="AX29" s="434" t="e">
        <f t="shared" ca="1" si="19"/>
        <v>#VALUE!</v>
      </c>
      <c r="AY29" s="434" t="e">
        <f t="shared" ca="1" si="20"/>
        <v>#VALUE!</v>
      </c>
      <c r="AZ29" s="434">
        <f t="shared" ca="1" si="21"/>
        <v>0</v>
      </c>
      <c r="BA29" s="434">
        <f t="shared" ca="1" si="22"/>
        <v>0</v>
      </c>
      <c r="BB29" s="441" t="e">
        <f ca="1">IF(AND(庫存管理[[#This Row],[名稱]]="美國國庫債券",DAY(庫存管理[[#This Row],[買進前一配息日(初算)]])&gt;=28),EOMONTH(庫存管理[[#This Row],[買進前一配息日(初算)]],0),庫存管理[[#This Row],[買進前一配息日(初算)]])</f>
        <v>#N/A</v>
      </c>
      <c r="BC29" s="441" t="e">
        <f t="shared" ca="1" si="23"/>
        <v>#N/A</v>
      </c>
      <c r="BD29" s="444" t="e">
        <f t="shared" ca="1" si="24"/>
        <v>#N/A</v>
      </c>
      <c r="BE29" s="441" t="e">
        <f ca="1">IF(Q29&gt;0,IF(MONTH(DATE(BD29,AX29,DAY(R29)))&lt;&gt;庫存管理[[#This Row],[第一個配息月]],DATE(BD29,AX29+1,0),DATE(BD29,AX29,DAY(R29))),庫存管理[[#This Row],[買進例外調整]]+100)</f>
        <v>#N/A</v>
      </c>
      <c r="BF29" s="441" t="e">
        <f ca="1">IF(AY29&lt;&gt;0,IF(MONTH(DATE(BD29,AY29,DAY(R29)))&lt;&gt;庫存管理[[#This Row],[第二個配息月]],DATE(BD29,AY29+1,0),DATE(BD29,AY29,DAY(R29))),庫存管理[[#This Row],[買進例外調整]]+100)</f>
        <v>#VALUE!</v>
      </c>
      <c r="BG29" s="441" t="e">
        <f ca="1">IF(AZ29&lt;&gt;0,IF(MONTH(DATE(BD29,AZ29,DAY(R29)))&lt;&gt;庫存管理[[#This Row],[第三個配息月]],DATE(BD29,AZ29+1,0),DATE(BD29,AZ29,DAY(R29))),庫存管理[[#This Row],[買進例外調整]]+100)</f>
        <v>#N/A</v>
      </c>
      <c r="BH29" s="441" t="e">
        <f ca="1">IF(BA29&lt;&gt;0,IF(MONTH(DATE(BD29,BA29,DAY(R29)))&lt;&gt;庫存管理[[#This Row],[第四個配息月]],DATE(BD29,BA29+1,0),DATE(BD29,BA29,DAY(R29))),庫存管理[[#This Row],[買進例外調整]]+100)</f>
        <v>#N/A</v>
      </c>
      <c r="BI29" s="441" t="e">
        <f ca="1">IF(Q29=1,IF(MONTH(DATE(BD29-1,AX29,DAY(R29)))&lt;&gt;庫存管理[[#This Row],[第一個配息月]],DATE(BD29-1,AX29+1,0),DATE(BD29-1,AX29,DAY(R29))),IF(Q29=2,IF(MONTH(DATE(BD29-1,AY29,DAY(R29)))&lt;&gt;庫存管理[[#This Row],[第二個配息月]],DATE(BD29-1,AY29+1,0),DATE(BD29-1,AY29,DAY(R29))),IF(Q29=4,IF(MONTH(DATE(BD29-1,BA29,DAY(R29)))&lt;&gt;庫存管理[[#This Row],[第四個配息月]],DATE(BD29-1,BA29+1,0),DATE(BD29-1,BA29,DAY(R29))),庫存管理[[#This Row],[買進例外調整]]+100)))</f>
        <v>#N/A</v>
      </c>
      <c r="BJ29" s="445">
        <f t="shared" ca="1" si="25"/>
        <v>10000</v>
      </c>
      <c r="BK29" s="445">
        <f t="shared" ca="1" si="26"/>
        <v>10000</v>
      </c>
      <c r="BL29" s="445">
        <f t="shared" ca="1" si="27"/>
        <v>10000</v>
      </c>
      <c r="BM29" s="445">
        <f t="shared" ca="1" si="28"/>
        <v>10000</v>
      </c>
      <c r="BN29" s="455">
        <f t="shared" ca="1" si="29"/>
        <v>10000</v>
      </c>
      <c r="BO29" s="479" t="e">
        <f ca="1">庫存管理[[#This Row],[年度配息]]/庫存管理[[#This Row],[配息頻率]]</f>
        <v>#VALUE!</v>
      </c>
      <c r="BP29" s="479" t="e">
        <f ca="1">庫存管理[[#This Row],[單次配息(原幣)]]*庫存管理[[#This Row],[換算匯率(現)]]</f>
        <v>#VALUE!</v>
      </c>
      <c r="BQ29" s="479" t="str">
        <f ca="1">IF(庫存管理[[#This Row],[商品代號]]&lt;&gt;"",IFERROR(VLOOKUP($I29,'銀行-TSS'!B:C,2,FALSE),""),"")</f>
        <v/>
      </c>
      <c r="BR29" s="479" t="e">
        <f ca="1">VLOOKUP(庫存管理[[#This Row],[幣別]],$B$37:$C$43,2,FALSE)</f>
        <v>#N/A</v>
      </c>
      <c r="BS29" s="500" t="e">
        <f ca="1">CHOOSE(庫存管理[[#This Row],[對應編碼]],$D$37,$D$38,$D$39,$D$40,$D$41,$D$42,$D$43)</f>
        <v>#N/A</v>
      </c>
      <c r="BT29" s="500">
        <f ca="1">IF(庫存管理[[#This Row],[商品代號]]="",0,CHOOSE(庫存管理[[#This Row],[對應編碼]],$E$37,$E$38,$E$39,$E$40,$E$41,$E$42,$E$43))</f>
        <v>0</v>
      </c>
      <c r="BU29" s="1555">
        <f ca="1">IF(庫存管理[[#This Row],[檢測]]=TRUE,庫存管理[[#This Row],[投入面額]]*庫存管理[[#This Row],[換算匯率(現)]],0)</f>
        <v>0</v>
      </c>
      <c r="BV29" s="1555">
        <f ca="1">IF(庫存管理[[#This Row],[檢測]]=TRUE,IFERROR(庫存管理[[#This Row],[持有成本(含前手息)]]*庫存管理[[#This Row],[換算匯率(買)]],0),0)</f>
        <v>0</v>
      </c>
      <c r="BW29" s="1555">
        <f ca="1">IF(庫存管理[[#This Row],[檢測]]=TRUE,庫存管理[[#This Row],[持有成本(不含前手息)]]*庫存管理[[#This Row],[換算匯率(買)]],0)</f>
        <v>0</v>
      </c>
      <c r="BX29" s="1555">
        <f ca="1">IF(庫存管理[[#This Row],[檢測]]=TRUE,庫存管理[[#This Row],[部位現值(含前手息)]]*庫存管理[[#This Row],[換算匯率(現)]],0)</f>
        <v>0</v>
      </c>
      <c r="BY29" s="1555">
        <f ca="1">IF(庫存管理[[#This Row],[檢測]]=TRUE,庫存管理[[#This Row],[部位現值(不含前手息)]]*庫存管理[[#This Row],[換算匯率(現)]],0)</f>
        <v>0</v>
      </c>
      <c r="BZ29" s="1555">
        <f ca="1">IF(庫存管理[[#This Row],[檢測]]=TRUE,IF(MF=2,庫存管理[[#This Row],[累計配息]]*庫存管理[[#This Row],[換算匯率(現)]],庫存管理[[#This Row],[已實現配息(原幣)]]*庫存管理[[#This Row],[換算匯率(現)]]),0)</f>
        <v>0</v>
      </c>
      <c r="CA29" s="1555" t="e">
        <f ca="1">庫存管理[[#This Row],[資本利損]]*庫存管理[[#This Row],[換算匯率(現)]]</f>
        <v>#VALUE!</v>
      </c>
      <c r="CB29" s="1555" t="e">
        <f ca="1">庫存管理[[#This Row],[累計利息(台)]]+庫存管理[[#This Row],[資本貢獻(台)]]</f>
        <v>#VALUE!</v>
      </c>
      <c r="CC29" s="574">
        <f ca="1">IF(庫存管理[[#This Row],[檢測]]=TRUE,IFERROR(庫存管理[[#This Row],[配息報酬]],0),0)</f>
        <v>0</v>
      </c>
      <c r="CD29" s="574">
        <f ca="1">IF(庫存管理[[#This Row],[檢測]]=TRUE,庫存管理[[#This Row],[資本報酬]],0)</f>
        <v>0</v>
      </c>
      <c r="CE29" s="574">
        <f ca="1">IF(S29=TRUE,IFERROR(庫存管理[[#This Row],[換匯總報酬率]]-(庫存管理[[#This Row],[配息報酬率]]+庫存管理[[#This Row],[資本報酬率]]),0),0)</f>
        <v>0</v>
      </c>
      <c r="CF29"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29" s="585">
        <f ca="1">IF(AND(庫存管理[[#This Row],[檢測]]=TRUE,開關=TRUE),IF(MF=2,IFERROR(BW29/$BW$1,0),IFERROR(BV29/$BV$1,0)),0)</f>
        <v>0</v>
      </c>
      <c r="CH29" s="574">
        <f ca="1">IF(庫存管理[[#This Row],[檢測]]=TRUE,IF(MF=2,IFERROR(BY29/$BY$1,0),IFERROR(BX29/$BX$1,0)),0)</f>
        <v>0</v>
      </c>
      <c r="CI29"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29" s="646" t="e">
        <f ca="1">DATEDIF(庫存管理[[#This Row],[買進例外調整]],庫存管理[[#This Row],[到期日]],"d")/365.25</f>
        <v>#N/A</v>
      </c>
      <c r="CK29" s="734" t="e">
        <f ca="1">DATEVALUE(VLOOKUP(庫存管理[[#This Row],[商品代號]],bond!B:AF,31,FALSE))</f>
        <v>#N/A</v>
      </c>
      <c r="CL29" s="734" t="e">
        <f ca="1">IF(庫存管理[[#This Row],[買下配(國調)]]&lt;庫存管理[[#This Row],[第一票息日]],庫存管理[[#This Row],[第一票息日]],庫存管理[[#This Row],[買下配(國調)]])</f>
        <v>#N/A</v>
      </c>
      <c r="CM29"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29"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29" s="735">
        <f ca="1">IF(庫存管理[[#This Row],[商品代號]]="XFM90",0,IFERROR(庫存管理[[#This Row],[單次配息(原幣)]]*庫存管理[[#This Row],[經過幾次配息]],0))</f>
        <v>0</v>
      </c>
      <c r="CP29" s="735" t="e">
        <f ca="1">VLOOKUP(庫存管理[[#This Row],[商品代號]],bond!B:F,5,FALSE)</f>
        <v>#N/A</v>
      </c>
      <c r="CQ29" s="734" t="str">
        <f ca="1">IFERROR(VLOOKUP(庫存管理[[#This Row],[ISIN]],'7_發行日例外'!A:C,3,FALSE),IFERROR(DATEVALUE(VLOOKUP(庫存管理[[#This Row],[商品代號]],bond!B:AR,43,FALSE)),""))</f>
        <v/>
      </c>
      <c r="CR29" s="735" t="e">
        <f ca="1">DATEDIF(庫存管理[[#This Row],[起息日]],庫存管理[[#This Row],[買進前一配息日(複算)]],"d")</f>
        <v>#VALUE!</v>
      </c>
      <c r="CS29"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29" s="734" t="e">
        <f ca="1">IFERROR(VLOOKUP(庫存管理[[#This Row],[ISIN]],'7_發行日例外'!A:D,4,FALSE),DATEVALUE(VLOOKUP(庫存管理[[#This Row],[商品代號]],bond!B:AV,44,FALSE)))</f>
        <v>#N/A</v>
      </c>
      <c r="CU29" s="735" t="e">
        <f ca="1">VLOOKUP(庫存管理[[#This Row],[商品代號]],bond!B:AU,46,FALSE)</f>
        <v>#N/A</v>
      </c>
      <c r="CV29" s="735" t="e">
        <f ca="1">IF(庫存管理[[#This Row],[計息基礎]]=1,CHOOSE(庫存管理[[#This Row],[對應編碼]],"沒進位","","沒進位",IF(庫存管理[[#This Row],[計算類型]]="AUSTRALIA:EX-DIV","4捨五入進0.01%","沒進位"),"年/2去計算ACT","沒進位","沒進位"),"")</f>
        <v>#N/A</v>
      </c>
      <c r="CW29" s="735" t="e">
        <f ca="1">_xlfn.DAYS(庫存管理[[#This Row],[買進例外調整]],庫存管理[[#This Row],[買進前一個配息日(最終)]])</f>
        <v>#N/A</v>
      </c>
      <c r="CX29" s="735" t="e">
        <f ca="1">IF(庫存管理[[#This Row],[備註]]="年/2去計算ACT",365/2,_xlfn.DAYS(庫存管理[[#This Row],[買進時的下個配息日]],庫存管理[[#This Row],[買進前一個配息日(最終)]]))</f>
        <v>#N/A</v>
      </c>
      <c r="CY29"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29" s="767" t="e">
        <f ca="1">_xlfn.DAYS(庫存管理[[#This Row],[交割日]],庫存管理[[#This Row],[買進前一個配息日(最終)]])</f>
        <v>#N/A</v>
      </c>
      <c r="DA29"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29" s="767" t="e">
        <f ca="1">_xlfn.DAYS(庫存管理[[#This Row],[交割日]],庫存管理[[#This Row],[最近的上一票息日]])</f>
        <v>#N/A</v>
      </c>
      <c r="DC29" s="767" t="e">
        <f ca="1">IF(庫存管理[[#This Row],[備註]]="年/2去計算ACT",365/2,_xlfn.DAYS(庫存管理[[#This Row],[下一配息日]],庫存管理[[#This Row],[最近的上一票息日]]))</f>
        <v>#N/A</v>
      </c>
      <c r="DD29"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29" s="739" t="e">
        <f ca="1">CL29-庫存管理[[#This Row],[ex_div_days]]</f>
        <v>#N/A</v>
      </c>
      <c r="DF29" s="646" t="e">
        <f ca="1">IF(VLOOKUP(庫存管理[[#This Row],[商品代號]],bond!B:AT,45,FALSE)="#N/A Field Not Applicable",0,VLOOKUP(庫存管理[[#This Row],[商品代號]],bond!B:AT,45,FALSE))</f>
        <v>#N/A</v>
      </c>
      <c r="DG29" s="793" t="e">
        <f ca="1">IF(庫存管理[[#This Row],[ex_div_days]]&lt;&gt;0,IF(AND(庫存管理[[#This Row],[買進例外調整]]-庫存管理[[#This Row],[買進下一個配息日先減n天]]&gt;=0,庫存管理[[#This Row],[買進時的下個配息日]]-庫存管理[[#This Row],[買進例外調整]]&gt;0),1,0),0)</f>
        <v>#N/A</v>
      </c>
      <c r="DH29"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29" s="734" t="e">
        <f ca="1">庫存管理[[#This Row],[下一配息日]]-庫存管理[[#This Row],[ex_div_days]]</f>
        <v>#VALUE!</v>
      </c>
      <c r="DJ29" s="1081" t="e">
        <f ca="1">IF(庫存管理[[#This Row],[ex_div_days]]&lt;&gt;0,IF(AND(庫存管理[[#This Row],[交割日]]-庫存管理[[#This Row],[交割下個配息日先減n天]]&gt;=0,庫存管理[[#This Row],[下一配息日]]-庫存管理[[#This Row],[交割日]]&gt;0),1,0),0)</f>
        <v>#N/A</v>
      </c>
      <c r="DK29"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29" s="735">
        <f ca="1">IFERROR(VLOOKUP(庫存管理[[#This Row],[商品代號]],bond!B:X,21,FALSE),0)</f>
        <v>0</v>
      </c>
      <c r="DM29" s="735">
        <f ca="1">IFERROR(VLOOKUP(I29,bond!B:J,9,FALSE),0)</f>
        <v>0</v>
      </c>
      <c r="DN29" s="1188">
        <f ca="1">IF(AND(開關=TRUE,庫存管理[[#This Row],[投組檢測]]=TRUE),IF(MF=2,IFERROR(BW29/$BW$3,0),IFERROR(BV29/$BV$3,0)),0)</f>
        <v>0</v>
      </c>
      <c r="DO29" s="735">
        <f ca="1">IFERROR(庫存管理[[#This Row],[clean申購價]]/100*庫存管理[[#This Row],[投入面額]]*庫存管理[[#This Row],[MOD]]*0.01,0)</f>
        <v>0</v>
      </c>
      <c r="DP29" s="1298" t="e">
        <f ca="1">IF($C$16=1,庫存管理[[#This Row],[單次配息(台幣)]],庫存管理[[#This Row],[單次配息(原幣)]])</f>
        <v>#VALUE!</v>
      </c>
      <c r="DQ29"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29"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29"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29"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29"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29"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29"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29"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29"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29"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29"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29"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0" spans="2:229" ht="19.5" customHeight="1">
      <c r="B30" s="12">
        <v>12</v>
      </c>
      <c r="C30" s="604">
        <f t="shared" ca="1" si="30"/>
        <v>0</v>
      </c>
      <c r="D30" s="26" t="s">
        <v>1799</v>
      </c>
      <c r="E30" s="12" t="str">
        <f t="shared" ca="1" si="14"/>
        <v/>
      </c>
      <c r="F30" s="1711"/>
      <c r="G30" s="459">
        <v>24</v>
      </c>
      <c r="H30" s="1166" t="b">
        <f ca="1">IFERROR(IF(VLOOKUP(G30,換券投組!$AH$8:$AH$13,1,FALSE)&gt;0,TRUE,FALSE),FALSE)</f>
        <v>0</v>
      </c>
      <c r="I30" s="1693" t="str">
        <f ca="1">IF(開關=TRUE,'商品代碼-中繼頁'!R25,"")</f>
        <v/>
      </c>
      <c r="J30" s="429">
        <f ca="1">IFERROR(VLOOKUP(I30,bond!B:I,8,FALSE),0)</f>
        <v>0</v>
      </c>
      <c r="K30" s="429">
        <f ca="1">IFERROR(庫存管理[[#This Row],[買價]]+VLOOKUP(庫存管理[[#This Row],[商品代號]],bond!B:K,10,FALSE),0)</f>
        <v>0</v>
      </c>
      <c r="L30" s="430" t="e">
        <f ca="1">VLOOKUP(I30,'銀行-TSS'!B:E,4,FALSE)</f>
        <v>#N/A</v>
      </c>
      <c r="M30" s="431">
        <f ca="1">IFERROR(VLOOKUP($I30,'銀行-TSS'!B:G,6,FALSE),0)</f>
        <v>0</v>
      </c>
      <c r="N30" s="432" t="e">
        <f ca="1">IFERROR(DATEVALUE(VLOOKUP($I30,'銀行-TSS'!B:F,5,FALSE)),VLOOKUP($I30,'銀行-TSS'!B:F,5,FALSE))</f>
        <v>#N/A</v>
      </c>
      <c r="O30" s="433">
        <f ca="1">IFERROR(VLOOKUP($I30,'銀行-TSS'!B:H,7,FALSE),0)</f>
        <v>0</v>
      </c>
      <c r="P30" s="433" t="e">
        <f ca="1">庫存管理[[#This Row],[票面利率]]/庫存管理[[#This Row],[成本價(不含前手息)]]*100</f>
        <v>#VALUE!</v>
      </c>
      <c r="Q30" s="434" t="str">
        <f ca="1">IFERROR(VLOOKUP($I30,'銀行-TSS'!B:I,8,FALSE),"")</f>
        <v/>
      </c>
      <c r="R30" s="440" t="str">
        <f ca="1">_xlfn.IFNA(IFERROR(DATEVALUE(VLOOKUP($I30,'銀行-TSS'!B:P,15,FALSE)),VLOOKUP($I30,'銀行-TSS'!B:P,15,FALSE)),"")</f>
        <v/>
      </c>
      <c r="S30" s="570" t="b">
        <f ca="1">IF(AND(庫存管理[[#This Row],[配息頻率]]&lt;&gt;"",庫存管理[[#This Row],[持有成本(不含前手息)]]&lt;&gt;0,庫存管理[[#This Row],[買進日]]&lt;&gt;""),TRUE,FALSE)</f>
        <v>0</v>
      </c>
      <c r="T30" s="602" t="str">
        <f>IFERROR(DATE(LEFT('商品代碼-中繼頁'!S25,4),MID('商品代碼-中繼頁'!S25,5,2),RIGHT('商品代碼-中繼頁'!S25,2)),"")</f>
        <v/>
      </c>
      <c r="U30"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0" s="442" t="e">
        <f ca="1">IFERROR(WORKDAY(庫存管理[[#This Row],[買進日]],VLOOKUP(庫存管理[[#This Row],[商品代號]],'1_重設數據'!R:S,2,FALSE),休USD),庫存管理[[#This Row],[買進日(T+2/公債T+1)]])</f>
        <v>#N/A</v>
      </c>
      <c r="W30" s="43" t="str">
        <f>'商品代碼-中繼頁'!T25</f>
        <v/>
      </c>
      <c r="X30" s="43" t="str">
        <f>'商品代碼-中繼頁'!U25</f>
        <v/>
      </c>
      <c r="Y30" s="464">
        <f t="shared" ca="1" si="9"/>
        <v>0</v>
      </c>
      <c r="Z30" s="464" t="e">
        <f t="shared" ca="1" si="15"/>
        <v>#VALUE!</v>
      </c>
      <c r="AA30" s="465" t="e">
        <f t="shared" ca="1" si="16"/>
        <v>#VALUE!</v>
      </c>
      <c r="AB30" s="474" t="e">
        <f ca="1">IF(MF=2,庫存管理[[#This Row],[部位現值(不含前手息)]]-庫存管理[[#This Row],[持有成本(不含前手息)]],庫存管理[[#This Row],[部位現值(含前手息)]]-庫存管理[[#This Row],[持有成本(含前手息)]])</f>
        <v>#VALUE!</v>
      </c>
      <c r="AC30" s="462">
        <f ca="1">IF(庫存管理[[#This Row],[檢測]]=TRUE,IF(MF=2,IFERROR(庫存管理[[#This Row],[資本利損]]/庫存管理[[#This Row],[持有成本(不含前手息)]],0),IFERROR(庫存管理[[#This Row],[資本利損]]/庫存管理[[#This Row],[持有成本(含前手息)]],0)),0)</f>
        <v>0</v>
      </c>
      <c r="AD30" s="618" t="e">
        <f ca="1">庫存管理[[#This Row],[持有成本(不含前手息)]]/庫存管理[[#This Row],[投入面額]]*100</f>
        <v>#VALUE!</v>
      </c>
      <c r="AE30" s="462" t="str">
        <f ca="1">IFERROR(VLOOKUP(庫存管理[[#This Row],[商品代號]],bond!B:AA,26,FALSE),"")</f>
        <v/>
      </c>
      <c r="AF30" s="1" t="str">
        <f ca="1">IFERROR(VLOOKUP($I30,'銀行-TSS'!B:Q,16,FALSE),"")</f>
        <v/>
      </c>
      <c r="AG30" s="466">
        <f t="shared" ca="1" si="1"/>
        <v>0</v>
      </c>
      <c r="AH30" s="458" t="e">
        <f ca="1">IF(OR(庫存管理[[#This Row],[起息日]]&gt;庫存管理[[#This Row],[買進前一配息日(複算)]],庫存管理[[#This Row],[判斷]]=TRUE),庫存管理[[#This Row],[起息日]],庫存管理[[#This Row],[買進前一配息日(複算)]])</f>
        <v>#N/A</v>
      </c>
      <c r="AI30" s="577" t="e">
        <f ca="1">VLOOKUP(I30,bond!B:AP,41,FALSE)</f>
        <v>#N/A</v>
      </c>
      <c r="AJ30" s="578" t="e">
        <f t="shared" ca="1" si="17"/>
        <v>#N/A</v>
      </c>
      <c r="AK30" s="579">
        <f ca="1">IFERROR(IF(庫存管理[[#This Row],[買進日是否落入record date]]=1,庫存管理[[#This Row],[record date制度前手息]],庫存管理[[#This Row],[計算前手息(初算)]]),0)</f>
        <v>0</v>
      </c>
      <c r="AL30" s="579" t="e">
        <f ca="1">IF(OR(庫存管理[[#This Row],[買進例外調整]]&lt;庫存管理[[#This Row],[起息日]],庫存管理[[#This Row],[買進例外調整]]&gt;庫存管理[[#This Row],[到期日]]),0,IF(庫存管理[[#This Row],[備註]]&lt;&gt;"",庫存管理[[#This Row],[買進時前手息]],IFERROR(ROUND(ACCRINT(AH30,AH30,V30,O30,100,Q30,AJ30,TRUE),4),0)))</f>
        <v>#N/A</v>
      </c>
      <c r="AM30" s="580" t="e">
        <f t="shared" ca="1" si="18"/>
        <v>#VALUE!</v>
      </c>
      <c r="AN30" s="440" t="e">
        <f ca="1">IFERROR(DATEVALUE(VLOOKUP(I30,bond!B:I,7,FALSE)),VLOOKUP(I30,bond!B:I,7,FALSE))</f>
        <v>#N/A</v>
      </c>
      <c r="AO30"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0" s="1075">
        <f ca="1">IFERROR(IF(庫存管理[[#This Row],[交割日是否落入record date]]=1,庫存管理[[#This Row],[交_record date制度前手息]],庫存管理[[#This Row],[計算交割前手息(初算)]]),0)</f>
        <v>0</v>
      </c>
      <c r="AQ30"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0" s="1063" t="e">
        <f ca="1">ROUND(庫存管理[[#This Row],[計算交割前手息(複算)]]*庫存管理[[#This Row],[投入面額]]/100,2)</f>
        <v>#VALUE!</v>
      </c>
      <c r="AS30" s="1064" t="e">
        <f ca="1">IF(庫存管理[[#This Row],[配息頻率]]=0,0,(100*庫存管理[[#This Row],[票面利率]]/庫存管理[[#This Row],[配息頻率]])*庫存管理[[#This Row],[經過幾次配息]]+庫存管理[[#This Row],[計算交割前手息(複算)]]-庫存管理[[#This Row],[計算前手息(複算)]])</f>
        <v>#VALUE!</v>
      </c>
      <c r="AT30" s="581" t="e">
        <f ca="1">IF(庫存管理[[#This Row],[商品代號]]="XFM90",0,ROUND(AS30*W30/100,2))</f>
        <v>#VALUE!</v>
      </c>
      <c r="AU30" s="582">
        <f ca="1">IF(MF=2,IFERROR(庫存管理[[#This Row],[累計配息]]/庫存管理[[#This Row],[持有成本(不含前手息)]],0),IFERROR(庫存管理[[#This Row],[已實現配息(原幣)]]/庫存管理[[#This Row],[持有成本(含前手息)]],0))</f>
        <v>0</v>
      </c>
      <c r="AV30" s="583" t="e">
        <f ca="1">IF(MF=2,庫存管理[[#This Row],[資本利損]]+庫存管理[[#This Row],[累計配息]],庫存管理[[#This Row],[資本利損]]+庫存管理[[#This Row],[已實現配息(原幣)]])</f>
        <v>#VALUE!</v>
      </c>
      <c r="AW30" s="584">
        <f ca="1">IF(庫存管理[[#This Row],[檢測]]=TRUE,IF(MF=2,IFERROR(庫存管理[[#This Row],[合計收益]]/庫存管理[[#This Row],[持有成本(不含前手息)]],0),IFERROR(庫存管理[[#This Row],[合計收益]]/庫存管理[[#This Row],[持有成本(含前手息)]],0)),0)</f>
        <v>0</v>
      </c>
      <c r="AX30" s="434" t="e">
        <f t="shared" ca="1" si="19"/>
        <v>#VALUE!</v>
      </c>
      <c r="AY30" s="434" t="e">
        <f t="shared" ca="1" si="20"/>
        <v>#VALUE!</v>
      </c>
      <c r="AZ30" s="434">
        <f t="shared" ca="1" si="21"/>
        <v>0</v>
      </c>
      <c r="BA30" s="434">
        <f t="shared" ca="1" si="22"/>
        <v>0</v>
      </c>
      <c r="BB30" s="441" t="e">
        <f ca="1">IF(AND(庫存管理[[#This Row],[名稱]]="美國國庫債券",DAY(庫存管理[[#This Row],[買進前一配息日(初算)]])&gt;=28),EOMONTH(庫存管理[[#This Row],[買進前一配息日(初算)]],0),庫存管理[[#This Row],[買進前一配息日(初算)]])</f>
        <v>#N/A</v>
      </c>
      <c r="BC30" s="441" t="e">
        <f t="shared" ca="1" si="23"/>
        <v>#N/A</v>
      </c>
      <c r="BD30" s="444" t="e">
        <f t="shared" ca="1" si="24"/>
        <v>#N/A</v>
      </c>
      <c r="BE30" s="441" t="e">
        <f ca="1">IF(Q30&gt;0,IF(MONTH(DATE(BD30,AX30,DAY(R30)))&lt;&gt;庫存管理[[#This Row],[第一個配息月]],DATE(BD30,AX30+1,0),DATE(BD30,AX30,DAY(R30))),庫存管理[[#This Row],[買進例外調整]]+100)</f>
        <v>#N/A</v>
      </c>
      <c r="BF30" s="441" t="e">
        <f ca="1">IF(AY30&lt;&gt;0,IF(MONTH(DATE(BD30,AY30,DAY(R30)))&lt;&gt;庫存管理[[#This Row],[第二個配息月]],DATE(BD30,AY30+1,0),DATE(BD30,AY30,DAY(R30))),庫存管理[[#This Row],[買進例外調整]]+100)</f>
        <v>#VALUE!</v>
      </c>
      <c r="BG30" s="441" t="e">
        <f ca="1">IF(AZ30&lt;&gt;0,IF(MONTH(DATE(BD30,AZ30,DAY(R30)))&lt;&gt;庫存管理[[#This Row],[第三個配息月]],DATE(BD30,AZ30+1,0),DATE(BD30,AZ30,DAY(R30))),庫存管理[[#This Row],[買進例外調整]]+100)</f>
        <v>#N/A</v>
      </c>
      <c r="BH30" s="441" t="e">
        <f ca="1">IF(BA30&lt;&gt;0,IF(MONTH(DATE(BD30,BA30,DAY(R30)))&lt;&gt;庫存管理[[#This Row],[第四個配息月]],DATE(BD30,BA30+1,0),DATE(BD30,BA30,DAY(R30))),庫存管理[[#This Row],[買進例外調整]]+100)</f>
        <v>#N/A</v>
      </c>
      <c r="BI30" s="441" t="e">
        <f ca="1">IF(Q30=1,IF(MONTH(DATE(BD30-1,AX30,DAY(R30)))&lt;&gt;庫存管理[[#This Row],[第一個配息月]],DATE(BD30-1,AX30+1,0),DATE(BD30-1,AX30,DAY(R30))),IF(Q30=2,IF(MONTH(DATE(BD30-1,AY30,DAY(R30)))&lt;&gt;庫存管理[[#This Row],[第二個配息月]],DATE(BD30-1,AY30+1,0),DATE(BD30-1,AY30,DAY(R30))),IF(Q30=4,IF(MONTH(DATE(BD30-1,BA30,DAY(R30)))&lt;&gt;庫存管理[[#This Row],[第四個配息月]],DATE(BD30-1,BA30+1,0),DATE(BD30-1,BA30,DAY(R30))),庫存管理[[#This Row],[買進例外調整]]+100)))</f>
        <v>#N/A</v>
      </c>
      <c r="BJ30" s="445">
        <f t="shared" ca="1" si="25"/>
        <v>10000</v>
      </c>
      <c r="BK30" s="445">
        <f t="shared" ca="1" si="26"/>
        <v>10000</v>
      </c>
      <c r="BL30" s="445">
        <f t="shared" ca="1" si="27"/>
        <v>10000</v>
      </c>
      <c r="BM30" s="445">
        <f t="shared" ca="1" si="28"/>
        <v>10000</v>
      </c>
      <c r="BN30" s="455">
        <f t="shared" ca="1" si="29"/>
        <v>10000</v>
      </c>
      <c r="BO30" s="479" t="e">
        <f ca="1">庫存管理[[#This Row],[年度配息]]/庫存管理[[#This Row],[配息頻率]]</f>
        <v>#VALUE!</v>
      </c>
      <c r="BP30" s="479" t="e">
        <f ca="1">庫存管理[[#This Row],[單次配息(原幣)]]*庫存管理[[#This Row],[換算匯率(現)]]</f>
        <v>#VALUE!</v>
      </c>
      <c r="BQ30" s="479" t="str">
        <f ca="1">IF(庫存管理[[#This Row],[商品代號]]&lt;&gt;"",IFERROR(VLOOKUP($I30,'銀行-TSS'!B:C,2,FALSE),""),"")</f>
        <v/>
      </c>
      <c r="BR30" s="479" t="e">
        <f ca="1">VLOOKUP(庫存管理[[#This Row],[幣別]],$B$37:$C$43,2,FALSE)</f>
        <v>#N/A</v>
      </c>
      <c r="BS30" s="500" t="e">
        <f ca="1">CHOOSE(庫存管理[[#This Row],[對應編碼]],$D$37,$D$38,$D$39,$D$40,$D$41,$D$42,$D$43)</f>
        <v>#N/A</v>
      </c>
      <c r="BT30" s="500">
        <f ca="1">IF(庫存管理[[#This Row],[商品代號]]="",0,CHOOSE(庫存管理[[#This Row],[對應編碼]],$E$37,$E$38,$E$39,$E$40,$E$41,$E$42,$E$43))</f>
        <v>0</v>
      </c>
      <c r="BU30" s="1555">
        <f ca="1">IF(庫存管理[[#This Row],[檢測]]=TRUE,庫存管理[[#This Row],[投入面額]]*庫存管理[[#This Row],[換算匯率(現)]],0)</f>
        <v>0</v>
      </c>
      <c r="BV30" s="1555">
        <f ca="1">IF(庫存管理[[#This Row],[檢測]]=TRUE,IFERROR(庫存管理[[#This Row],[持有成本(含前手息)]]*庫存管理[[#This Row],[換算匯率(買)]],0),0)</f>
        <v>0</v>
      </c>
      <c r="BW30" s="1555">
        <f ca="1">IF(庫存管理[[#This Row],[檢測]]=TRUE,庫存管理[[#This Row],[持有成本(不含前手息)]]*庫存管理[[#This Row],[換算匯率(買)]],0)</f>
        <v>0</v>
      </c>
      <c r="BX30" s="1555">
        <f ca="1">IF(庫存管理[[#This Row],[檢測]]=TRUE,庫存管理[[#This Row],[部位現值(含前手息)]]*庫存管理[[#This Row],[換算匯率(現)]],0)</f>
        <v>0</v>
      </c>
      <c r="BY30" s="1555">
        <f ca="1">IF(庫存管理[[#This Row],[檢測]]=TRUE,庫存管理[[#This Row],[部位現值(不含前手息)]]*庫存管理[[#This Row],[換算匯率(現)]],0)</f>
        <v>0</v>
      </c>
      <c r="BZ30" s="1555">
        <f ca="1">IF(庫存管理[[#This Row],[檢測]]=TRUE,IF(MF=2,庫存管理[[#This Row],[累計配息]]*庫存管理[[#This Row],[換算匯率(現)]],庫存管理[[#This Row],[已實現配息(原幣)]]*庫存管理[[#This Row],[換算匯率(現)]]),0)</f>
        <v>0</v>
      </c>
      <c r="CA30" s="1555" t="e">
        <f ca="1">庫存管理[[#This Row],[資本利損]]*庫存管理[[#This Row],[換算匯率(現)]]</f>
        <v>#VALUE!</v>
      </c>
      <c r="CB30" s="1555" t="e">
        <f ca="1">庫存管理[[#This Row],[累計利息(台)]]+庫存管理[[#This Row],[資本貢獻(台)]]</f>
        <v>#VALUE!</v>
      </c>
      <c r="CC30" s="574">
        <f ca="1">IF(庫存管理[[#This Row],[檢測]]=TRUE,IFERROR(庫存管理[[#This Row],[配息報酬]],0),0)</f>
        <v>0</v>
      </c>
      <c r="CD30" s="574">
        <f ca="1">IF(庫存管理[[#This Row],[檢測]]=TRUE,庫存管理[[#This Row],[資本報酬]],0)</f>
        <v>0</v>
      </c>
      <c r="CE30" s="574">
        <f ca="1">IF(S30=TRUE,IFERROR(庫存管理[[#This Row],[換匯總報酬率]]-(庫存管理[[#This Row],[配息報酬率]]+庫存管理[[#This Row],[資本報酬率]]),0),0)</f>
        <v>0</v>
      </c>
      <c r="CF30"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0" s="585">
        <f ca="1">IF(AND(庫存管理[[#This Row],[檢測]]=TRUE,開關=TRUE),IF(MF=2,IFERROR(BW30/$BW$1,0),IFERROR(BV30/$BV$1,0)),0)</f>
        <v>0</v>
      </c>
      <c r="CH30" s="574">
        <f ca="1">IF(庫存管理[[#This Row],[檢測]]=TRUE,IF(MF=2,IFERROR(BY30/$BY$1,0),IFERROR(BX30/$BX$1,0)),0)</f>
        <v>0</v>
      </c>
      <c r="CI30"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0" s="646" t="e">
        <f ca="1">DATEDIF(庫存管理[[#This Row],[買進例外調整]],庫存管理[[#This Row],[到期日]],"d")/365.25</f>
        <v>#N/A</v>
      </c>
      <c r="CK30" s="734" t="e">
        <f ca="1">DATEVALUE(VLOOKUP(庫存管理[[#This Row],[商品代號]],bond!B:AF,31,FALSE))</f>
        <v>#N/A</v>
      </c>
      <c r="CL30" s="734" t="e">
        <f ca="1">IF(庫存管理[[#This Row],[買下配(國調)]]&lt;庫存管理[[#This Row],[第一票息日]],庫存管理[[#This Row],[第一票息日]],庫存管理[[#This Row],[買下配(國調)]])</f>
        <v>#N/A</v>
      </c>
      <c r="CM30"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0"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0" s="735">
        <f ca="1">IF(庫存管理[[#This Row],[商品代號]]="XFM90",0,IFERROR(庫存管理[[#This Row],[單次配息(原幣)]]*庫存管理[[#This Row],[經過幾次配息]],0))</f>
        <v>0</v>
      </c>
      <c r="CP30" s="735" t="e">
        <f ca="1">VLOOKUP(庫存管理[[#This Row],[商品代號]],bond!B:F,5,FALSE)</f>
        <v>#N/A</v>
      </c>
      <c r="CQ30" s="734" t="str">
        <f ca="1">IFERROR(VLOOKUP(庫存管理[[#This Row],[ISIN]],'7_發行日例外'!A:C,3,FALSE),IFERROR(DATEVALUE(VLOOKUP(庫存管理[[#This Row],[商品代號]],bond!B:AR,43,FALSE)),""))</f>
        <v/>
      </c>
      <c r="CR30" s="735" t="e">
        <f ca="1">DATEDIF(庫存管理[[#This Row],[起息日]],庫存管理[[#This Row],[買進前一配息日(複算)]],"d")</f>
        <v>#VALUE!</v>
      </c>
      <c r="CS30"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0" s="734" t="e">
        <f ca="1">IFERROR(VLOOKUP(庫存管理[[#This Row],[ISIN]],'7_發行日例外'!A:D,4,FALSE),DATEVALUE(VLOOKUP(庫存管理[[#This Row],[商品代號]],bond!B:AV,44,FALSE)))</f>
        <v>#N/A</v>
      </c>
      <c r="CU30" s="735" t="e">
        <f ca="1">VLOOKUP(庫存管理[[#This Row],[商品代號]],bond!B:AU,46,FALSE)</f>
        <v>#N/A</v>
      </c>
      <c r="CV30" s="735" t="e">
        <f ca="1">IF(庫存管理[[#This Row],[計息基礎]]=1,CHOOSE(庫存管理[[#This Row],[對應編碼]],"沒進位","","沒進位",IF(庫存管理[[#This Row],[計算類型]]="AUSTRALIA:EX-DIV","4捨五入進0.01%","沒進位"),"年/2去計算ACT","沒進位","沒進位"),"")</f>
        <v>#N/A</v>
      </c>
      <c r="CW30" s="735" t="e">
        <f ca="1">_xlfn.DAYS(庫存管理[[#This Row],[買進例外調整]],庫存管理[[#This Row],[買進前一個配息日(最終)]])</f>
        <v>#N/A</v>
      </c>
      <c r="CX30" s="735" t="e">
        <f ca="1">IF(庫存管理[[#This Row],[備註]]="年/2去計算ACT",365/2,_xlfn.DAYS(庫存管理[[#This Row],[買進時的下個配息日]],庫存管理[[#This Row],[買進前一個配息日(最終)]]))</f>
        <v>#N/A</v>
      </c>
      <c r="CY30"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0" s="767" t="e">
        <f ca="1">_xlfn.DAYS(庫存管理[[#This Row],[交割日]],庫存管理[[#This Row],[買進前一個配息日(最終)]])</f>
        <v>#N/A</v>
      </c>
      <c r="DA30"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0" s="767" t="e">
        <f ca="1">_xlfn.DAYS(庫存管理[[#This Row],[交割日]],庫存管理[[#This Row],[最近的上一票息日]])</f>
        <v>#N/A</v>
      </c>
      <c r="DC30" s="767" t="e">
        <f ca="1">IF(庫存管理[[#This Row],[備註]]="年/2去計算ACT",365/2,_xlfn.DAYS(庫存管理[[#This Row],[下一配息日]],庫存管理[[#This Row],[最近的上一票息日]]))</f>
        <v>#N/A</v>
      </c>
      <c r="DD30"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0" s="739" t="e">
        <f ca="1">CL30-庫存管理[[#This Row],[ex_div_days]]</f>
        <v>#N/A</v>
      </c>
      <c r="DF30" s="646" t="e">
        <f ca="1">IF(VLOOKUP(庫存管理[[#This Row],[商品代號]],bond!B:AT,45,FALSE)="#N/A Field Not Applicable",0,VLOOKUP(庫存管理[[#This Row],[商品代號]],bond!B:AT,45,FALSE))</f>
        <v>#N/A</v>
      </c>
      <c r="DG30" s="793" t="e">
        <f ca="1">IF(庫存管理[[#This Row],[ex_div_days]]&lt;&gt;0,IF(AND(庫存管理[[#This Row],[買進例外調整]]-庫存管理[[#This Row],[買進下一個配息日先減n天]]&gt;=0,庫存管理[[#This Row],[買進時的下個配息日]]-庫存管理[[#This Row],[買進例外調整]]&gt;0),1,0),0)</f>
        <v>#N/A</v>
      </c>
      <c r="DH30"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0" s="734" t="e">
        <f ca="1">庫存管理[[#This Row],[下一配息日]]-庫存管理[[#This Row],[ex_div_days]]</f>
        <v>#VALUE!</v>
      </c>
      <c r="DJ30" s="1081" t="e">
        <f ca="1">IF(庫存管理[[#This Row],[ex_div_days]]&lt;&gt;0,IF(AND(庫存管理[[#This Row],[交割日]]-庫存管理[[#This Row],[交割下個配息日先減n天]]&gt;=0,庫存管理[[#This Row],[下一配息日]]-庫存管理[[#This Row],[交割日]]&gt;0),1,0),0)</f>
        <v>#N/A</v>
      </c>
      <c r="DK30"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0" s="735">
        <f ca="1">IFERROR(VLOOKUP(庫存管理[[#This Row],[商品代號]],bond!B:X,21,FALSE),0)</f>
        <v>0</v>
      </c>
      <c r="DM30" s="735">
        <f ca="1">IFERROR(VLOOKUP(I30,bond!B:J,9,FALSE),0)</f>
        <v>0</v>
      </c>
      <c r="DN30" s="1188">
        <f ca="1">IF(AND(開關=TRUE,庫存管理[[#This Row],[投組檢測]]=TRUE),IF(MF=2,IFERROR(BW30/$BW$3,0),IFERROR(BV30/$BV$3,0)),0)</f>
        <v>0</v>
      </c>
      <c r="DO30" s="735">
        <f ca="1">IFERROR(庫存管理[[#This Row],[clean申購價]]/100*庫存管理[[#This Row],[投入面額]]*庫存管理[[#This Row],[MOD]]*0.01,0)</f>
        <v>0</v>
      </c>
      <c r="DP30" s="1298" t="e">
        <f ca="1">IF($C$16=1,庫存管理[[#This Row],[單次配息(台幣)]],庫存管理[[#This Row],[單次配息(原幣)]])</f>
        <v>#VALUE!</v>
      </c>
      <c r="DQ30"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0"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0"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0"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0"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0"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0"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0"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0"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0"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0"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0"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1" spans="2:229" ht="19.5" customHeight="1">
      <c r="B31" s="12"/>
      <c r="C31" s="12"/>
      <c r="D31" s="12"/>
      <c r="E31" s="12" t="str">
        <f t="shared" si="14"/>
        <v/>
      </c>
      <c r="F31" s="1293"/>
      <c r="G31" s="459">
        <v>25</v>
      </c>
      <c r="H31" s="1166" t="b">
        <f ca="1">IFERROR(IF(VLOOKUP(G31,換券投組!$AH$8:$AH$13,1,FALSE)&gt;0,TRUE,FALSE),FALSE)</f>
        <v>0</v>
      </c>
      <c r="I31" s="1693" t="str">
        <f ca="1">IF(開關=TRUE,'商品代碼-中繼頁'!R26,"")</f>
        <v/>
      </c>
      <c r="J31" s="429">
        <f ca="1">IFERROR(VLOOKUP(I31,bond!B:I,8,FALSE),0)</f>
        <v>0</v>
      </c>
      <c r="K31" s="429">
        <f ca="1">IFERROR(庫存管理[[#This Row],[買價]]+VLOOKUP(庫存管理[[#This Row],[商品代號]],bond!B:K,10,FALSE),0)</f>
        <v>0</v>
      </c>
      <c r="L31" s="430" t="e">
        <f ca="1">VLOOKUP(I31,'銀行-TSS'!B:E,4,FALSE)</f>
        <v>#N/A</v>
      </c>
      <c r="M31" s="431">
        <f ca="1">IFERROR(VLOOKUP($I31,'銀行-TSS'!B:G,6,FALSE),0)</f>
        <v>0</v>
      </c>
      <c r="N31" s="432" t="e">
        <f ca="1">IFERROR(DATEVALUE(VLOOKUP($I31,'銀行-TSS'!B:F,5,FALSE)),VLOOKUP($I31,'銀行-TSS'!B:F,5,FALSE))</f>
        <v>#N/A</v>
      </c>
      <c r="O31" s="433">
        <f ca="1">IFERROR(VLOOKUP($I31,'銀行-TSS'!B:H,7,FALSE),0)</f>
        <v>0</v>
      </c>
      <c r="P31" s="433" t="e">
        <f ca="1">庫存管理[[#This Row],[票面利率]]/庫存管理[[#This Row],[成本價(不含前手息)]]*100</f>
        <v>#VALUE!</v>
      </c>
      <c r="Q31" s="434" t="str">
        <f ca="1">IFERROR(VLOOKUP($I31,'銀行-TSS'!B:I,8,FALSE),"")</f>
        <v/>
      </c>
      <c r="R31" s="440" t="str">
        <f ca="1">_xlfn.IFNA(IFERROR(DATEVALUE(VLOOKUP($I31,'銀行-TSS'!B:P,15,FALSE)),VLOOKUP($I31,'銀行-TSS'!B:P,15,FALSE)),"")</f>
        <v/>
      </c>
      <c r="S31" s="570" t="b">
        <f ca="1">IF(AND(庫存管理[[#This Row],[配息頻率]]&lt;&gt;"",庫存管理[[#This Row],[持有成本(不含前手息)]]&lt;&gt;0,庫存管理[[#This Row],[買進日]]&lt;&gt;""),TRUE,FALSE)</f>
        <v>0</v>
      </c>
      <c r="T31" s="602" t="str">
        <f>IFERROR(DATE(LEFT('商品代碼-中繼頁'!S26,4),MID('商品代碼-中繼頁'!S26,5,2),RIGHT('商品代碼-中繼頁'!S26,2)),"")</f>
        <v/>
      </c>
      <c r="U31"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1" s="442" t="e">
        <f ca="1">IFERROR(WORKDAY(庫存管理[[#This Row],[買進日]],VLOOKUP(庫存管理[[#This Row],[商品代號]],'1_重設數據'!R:S,2,FALSE),休USD),庫存管理[[#This Row],[買進日(T+2/公債T+1)]])</f>
        <v>#N/A</v>
      </c>
      <c r="W31" s="43" t="str">
        <f>'商品代碼-中繼頁'!T26</f>
        <v/>
      </c>
      <c r="X31" s="43" t="str">
        <f>'商品代碼-中繼頁'!U26</f>
        <v/>
      </c>
      <c r="Y31" s="464">
        <f t="shared" ca="1" si="9"/>
        <v>0</v>
      </c>
      <c r="Z31" s="464" t="e">
        <f t="shared" ca="1" si="15"/>
        <v>#VALUE!</v>
      </c>
      <c r="AA31" s="465" t="e">
        <f t="shared" ca="1" si="16"/>
        <v>#VALUE!</v>
      </c>
      <c r="AB31" s="474" t="e">
        <f ca="1">IF(MF=2,庫存管理[[#This Row],[部位現值(不含前手息)]]-庫存管理[[#This Row],[持有成本(不含前手息)]],庫存管理[[#This Row],[部位現值(含前手息)]]-庫存管理[[#This Row],[持有成本(含前手息)]])</f>
        <v>#VALUE!</v>
      </c>
      <c r="AC31" s="462">
        <f ca="1">IF(庫存管理[[#This Row],[檢測]]=TRUE,IF(MF=2,IFERROR(庫存管理[[#This Row],[資本利損]]/庫存管理[[#This Row],[持有成本(不含前手息)]],0),IFERROR(庫存管理[[#This Row],[資本利損]]/庫存管理[[#This Row],[持有成本(含前手息)]],0)),0)</f>
        <v>0</v>
      </c>
      <c r="AD31" s="618" t="e">
        <f ca="1">庫存管理[[#This Row],[持有成本(不含前手息)]]/庫存管理[[#This Row],[投入面額]]*100</f>
        <v>#VALUE!</v>
      </c>
      <c r="AE31" s="462" t="str">
        <f ca="1">IFERROR(VLOOKUP(庫存管理[[#This Row],[商品代號]],bond!B:AA,26,FALSE),"")</f>
        <v/>
      </c>
      <c r="AF31" s="1" t="str">
        <f ca="1">IFERROR(VLOOKUP($I31,'銀行-TSS'!B:Q,16,FALSE),"")</f>
        <v/>
      </c>
      <c r="AG31" s="466">
        <f t="shared" ca="1" si="1"/>
        <v>0</v>
      </c>
      <c r="AH31" s="458" t="e">
        <f ca="1">IF(OR(庫存管理[[#This Row],[起息日]]&gt;庫存管理[[#This Row],[買進前一配息日(複算)]],庫存管理[[#This Row],[判斷]]=TRUE),庫存管理[[#This Row],[起息日]],庫存管理[[#This Row],[買進前一配息日(複算)]])</f>
        <v>#N/A</v>
      </c>
      <c r="AI31" s="577" t="e">
        <f ca="1">VLOOKUP(I31,bond!B:AP,41,FALSE)</f>
        <v>#N/A</v>
      </c>
      <c r="AJ31" s="578" t="e">
        <f t="shared" ca="1" si="17"/>
        <v>#N/A</v>
      </c>
      <c r="AK31" s="579">
        <f ca="1">IFERROR(IF(庫存管理[[#This Row],[買進日是否落入record date]]=1,庫存管理[[#This Row],[record date制度前手息]],庫存管理[[#This Row],[計算前手息(初算)]]),0)</f>
        <v>0</v>
      </c>
      <c r="AL31" s="579" t="e">
        <f ca="1">IF(OR(庫存管理[[#This Row],[買進例外調整]]&lt;庫存管理[[#This Row],[起息日]],庫存管理[[#This Row],[買進例外調整]]&gt;庫存管理[[#This Row],[到期日]]),0,IF(庫存管理[[#This Row],[備註]]&lt;&gt;"",庫存管理[[#This Row],[買進時前手息]],IFERROR(ROUND(ACCRINT(AH31,AH31,V31,O31,100,Q31,AJ31,TRUE),4),0)))</f>
        <v>#N/A</v>
      </c>
      <c r="AM31" s="580" t="e">
        <f t="shared" ca="1" si="18"/>
        <v>#VALUE!</v>
      </c>
      <c r="AN31" s="440" t="e">
        <f ca="1">IFERROR(DATEVALUE(VLOOKUP(I31,bond!B:I,7,FALSE)),VLOOKUP(I31,bond!B:I,7,FALSE))</f>
        <v>#N/A</v>
      </c>
      <c r="AO31"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1" s="1075">
        <f ca="1">IFERROR(IF(庫存管理[[#This Row],[交割日是否落入record date]]=1,庫存管理[[#This Row],[交_record date制度前手息]],庫存管理[[#This Row],[計算交割前手息(初算)]]),0)</f>
        <v>0</v>
      </c>
      <c r="AQ31"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1" s="1063" t="e">
        <f ca="1">ROUND(庫存管理[[#This Row],[計算交割前手息(複算)]]*庫存管理[[#This Row],[投入面額]]/100,2)</f>
        <v>#VALUE!</v>
      </c>
      <c r="AS31" s="1064" t="e">
        <f ca="1">IF(庫存管理[[#This Row],[配息頻率]]=0,0,(100*庫存管理[[#This Row],[票面利率]]/庫存管理[[#This Row],[配息頻率]])*庫存管理[[#This Row],[經過幾次配息]]+庫存管理[[#This Row],[計算交割前手息(複算)]]-庫存管理[[#This Row],[計算前手息(複算)]])</f>
        <v>#VALUE!</v>
      </c>
      <c r="AT31" s="581" t="e">
        <f ca="1">IF(庫存管理[[#This Row],[商品代號]]="XFM90",0,ROUND(AS31*W31/100,2))</f>
        <v>#VALUE!</v>
      </c>
      <c r="AU31" s="582">
        <f ca="1">IF(MF=2,IFERROR(庫存管理[[#This Row],[累計配息]]/庫存管理[[#This Row],[持有成本(不含前手息)]],0),IFERROR(庫存管理[[#This Row],[已實現配息(原幣)]]/庫存管理[[#This Row],[持有成本(含前手息)]],0))</f>
        <v>0</v>
      </c>
      <c r="AV31" s="583" t="e">
        <f ca="1">IF(MF=2,庫存管理[[#This Row],[資本利損]]+庫存管理[[#This Row],[累計配息]],庫存管理[[#This Row],[資本利損]]+庫存管理[[#This Row],[已實現配息(原幣)]])</f>
        <v>#VALUE!</v>
      </c>
      <c r="AW31" s="584">
        <f ca="1">IF(庫存管理[[#This Row],[檢測]]=TRUE,IF(MF=2,IFERROR(庫存管理[[#This Row],[合計收益]]/庫存管理[[#This Row],[持有成本(不含前手息)]],0),IFERROR(庫存管理[[#This Row],[合計收益]]/庫存管理[[#This Row],[持有成本(含前手息)]],0)),0)</f>
        <v>0</v>
      </c>
      <c r="AX31" s="434" t="e">
        <f t="shared" ca="1" si="19"/>
        <v>#VALUE!</v>
      </c>
      <c r="AY31" s="434" t="e">
        <f t="shared" ca="1" si="20"/>
        <v>#VALUE!</v>
      </c>
      <c r="AZ31" s="434">
        <f t="shared" ca="1" si="21"/>
        <v>0</v>
      </c>
      <c r="BA31" s="434">
        <f t="shared" ca="1" si="22"/>
        <v>0</v>
      </c>
      <c r="BB31" s="441" t="e">
        <f ca="1">IF(AND(庫存管理[[#This Row],[名稱]]="美國國庫債券",DAY(庫存管理[[#This Row],[買進前一配息日(初算)]])&gt;=28),EOMONTH(庫存管理[[#This Row],[買進前一配息日(初算)]],0),庫存管理[[#This Row],[買進前一配息日(初算)]])</f>
        <v>#N/A</v>
      </c>
      <c r="BC31" s="441" t="e">
        <f t="shared" ca="1" si="23"/>
        <v>#N/A</v>
      </c>
      <c r="BD31" s="444" t="e">
        <f t="shared" ca="1" si="24"/>
        <v>#N/A</v>
      </c>
      <c r="BE31" s="441" t="e">
        <f ca="1">IF(Q31&gt;0,IF(MONTH(DATE(BD31,AX31,DAY(R31)))&lt;&gt;庫存管理[[#This Row],[第一個配息月]],DATE(BD31,AX31+1,0),DATE(BD31,AX31,DAY(R31))),庫存管理[[#This Row],[買進例外調整]]+100)</f>
        <v>#N/A</v>
      </c>
      <c r="BF31" s="441" t="e">
        <f ca="1">IF(AY31&lt;&gt;0,IF(MONTH(DATE(BD31,AY31,DAY(R31)))&lt;&gt;庫存管理[[#This Row],[第二個配息月]],DATE(BD31,AY31+1,0),DATE(BD31,AY31,DAY(R31))),庫存管理[[#This Row],[買進例外調整]]+100)</f>
        <v>#VALUE!</v>
      </c>
      <c r="BG31" s="441" t="e">
        <f ca="1">IF(AZ31&lt;&gt;0,IF(MONTH(DATE(BD31,AZ31,DAY(R31)))&lt;&gt;庫存管理[[#This Row],[第三個配息月]],DATE(BD31,AZ31+1,0),DATE(BD31,AZ31,DAY(R31))),庫存管理[[#This Row],[買進例外調整]]+100)</f>
        <v>#N/A</v>
      </c>
      <c r="BH31" s="441" t="e">
        <f ca="1">IF(BA31&lt;&gt;0,IF(MONTH(DATE(BD31,BA31,DAY(R31)))&lt;&gt;庫存管理[[#This Row],[第四個配息月]],DATE(BD31,BA31+1,0),DATE(BD31,BA31,DAY(R31))),庫存管理[[#This Row],[買進例外調整]]+100)</f>
        <v>#N/A</v>
      </c>
      <c r="BI31" s="441" t="e">
        <f ca="1">IF(Q31=1,IF(MONTH(DATE(BD31-1,AX31,DAY(R31)))&lt;&gt;庫存管理[[#This Row],[第一個配息月]],DATE(BD31-1,AX31+1,0),DATE(BD31-1,AX31,DAY(R31))),IF(Q31=2,IF(MONTH(DATE(BD31-1,AY31,DAY(R31)))&lt;&gt;庫存管理[[#This Row],[第二個配息月]],DATE(BD31-1,AY31+1,0),DATE(BD31-1,AY31,DAY(R31))),IF(Q31=4,IF(MONTH(DATE(BD31-1,BA31,DAY(R31)))&lt;&gt;庫存管理[[#This Row],[第四個配息月]],DATE(BD31-1,BA31+1,0),DATE(BD31-1,BA31,DAY(R31))),庫存管理[[#This Row],[買進例外調整]]+100)))</f>
        <v>#N/A</v>
      </c>
      <c r="BJ31" s="445">
        <f t="shared" ca="1" si="25"/>
        <v>10000</v>
      </c>
      <c r="BK31" s="445">
        <f t="shared" ca="1" si="26"/>
        <v>10000</v>
      </c>
      <c r="BL31" s="445">
        <f t="shared" ca="1" si="27"/>
        <v>10000</v>
      </c>
      <c r="BM31" s="445">
        <f t="shared" ca="1" si="28"/>
        <v>10000</v>
      </c>
      <c r="BN31" s="455">
        <f t="shared" ca="1" si="29"/>
        <v>10000</v>
      </c>
      <c r="BO31" s="479" t="e">
        <f ca="1">庫存管理[[#This Row],[年度配息]]/庫存管理[[#This Row],[配息頻率]]</f>
        <v>#VALUE!</v>
      </c>
      <c r="BP31" s="479" t="e">
        <f ca="1">庫存管理[[#This Row],[單次配息(原幣)]]*庫存管理[[#This Row],[換算匯率(現)]]</f>
        <v>#VALUE!</v>
      </c>
      <c r="BQ31" s="479" t="str">
        <f ca="1">IF(庫存管理[[#This Row],[商品代號]]&lt;&gt;"",IFERROR(VLOOKUP($I31,'銀行-TSS'!B:C,2,FALSE),""),"")</f>
        <v/>
      </c>
      <c r="BR31" s="479" t="e">
        <f ca="1">VLOOKUP(庫存管理[[#This Row],[幣別]],$B$37:$C$43,2,FALSE)</f>
        <v>#N/A</v>
      </c>
      <c r="BS31" s="500" t="e">
        <f ca="1">CHOOSE(庫存管理[[#This Row],[對應編碼]],$D$37,$D$38,$D$39,$D$40,$D$41,$D$42,$D$43)</f>
        <v>#N/A</v>
      </c>
      <c r="BT31" s="500">
        <f ca="1">IF(庫存管理[[#This Row],[商品代號]]="",0,CHOOSE(庫存管理[[#This Row],[對應編碼]],$E$37,$E$38,$E$39,$E$40,$E$41,$E$42,$E$43))</f>
        <v>0</v>
      </c>
      <c r="BU31" s="1555">
        <f ca="1">IF(庫存管理[[#This Row],[檢測]]=TRUE,庫存管理[[#This Row],[投入面額]]*庫存管理[[#This Row],[換算匯率(現)]],0)</f>
        <v>0</v>
      </c>
      <c r="BV31" s="1555">
        <f ca="1">IF(庫存管理[[#This Row],[檢測]]=TRUE,IFERROR(庫存管理[[#This Row],[持有成本(含前手息)]]*庫存管理[[#This Row],[換算匯率(買)]],0),0)</f>
        <v>0</v>
      </c>
      <c r="BW31" s="1555">
        <f ca="1">IF(庫存管理[[#This Row],[檢測]]=TRUE,庫存管理[[#This Row],[持有成本(不含前手息)]]*庫存管理[[#This Row],[換算匯率(買)]],0)</f>
        <v>0</v>
      </c>
      <c r="BX31" s="1555">
        <f ca="1">IF(庫存管理[[#This Row],[檢測]]=TRUE,庫存管理[[#This Row],[部位現值(含前手息)]]*庫存管理[[#This Row],[換算匯率(現)]],0)</f>
        <v>0</v>
      </c>
      <c r="BY31" s="1555">
        <f ca="1">IF(庫存管理[[#This Row],[檢測]]=TRUE,庫存管理[[#This Row],[部位現值(不含前手息)]]*庫存管理[[#This Row],[換算匯率(現)]],0)</f>
        <v>0</v>
      </c>
      <c r="BZ31" s="1555">
        <f ca="1">IF(庫存管理[[#This Row],[檢測]]=TRUE,IF(MF=2,庫存管理[[#This Row],[累計配息]]*庫存管理[[#This Row],[換算匯率(現)]],庫存管理[[#This Row],[已實現配息(原幣)]]*庫存管理[[#This Row],[換算匯率(現)]]),0)</f>
        <v>0</v>
      </c>
      <c r="CA31" s="1555" t="e">
        <f ca="1">庫存管理[[#This Row],[資本利損]]*庫存管理[[#This Row],[換算匯率(現)]]</f>
        <v>#VALUE!</v>
      </c>
      <c r="CB31" s="1555" t="e">
        <f ca="1">庫存管理[[#This Row],[累計利息(台)]]+庫存管理[[#This Row],[資本貢獻(台)]]</f>
        <v>#VALUE!</v>
      </c>
      <c r="CC31" s="574">
        <f ca="1">IF(庫存管理[[#This Row],[檢測]]=TRUE,IFERROR(庫存管理[[#This Row],[配息報酬]],0),0)</f>
        <v>0</v>
      </c>
      <c r="CD31" s="574">
        <f ca="1">IF(庫存管理[[#This Row],[檢測]]=TRUE,庫存管理[[#This Row],[資本報酬]],0)</f>
        <v>0</v>
      </c>
      <c r="CE31" s="574">
        <f ca="1">IF(S31=TRUE,IFERROR(庫存管理[[#This Row],[換匯總報酬率]]-(庫存管理[[#This Row],[配息報酬率]]+庫存管理[[#This Row],[資本報酬率]]),0),0)</f>
        <v>0</v>
      </c>
      <c r="CF31"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1" s="585">
        <f ca="1">IF(AND(庫存管理[[#This Row],[檢測]]=TRUE,開關=TRUE),IF(MF=2,IFERROR(BW31/$BW$1,0),IFERROR(BV31/$BV$1,0)),0)</f>
        <v>0</v>
      </c>
      <c r="CH31" s="574">
        <f ca="1">IF(庫存管理[[#This Row],[檢測]]=TRUE,IF(MF=2,IFERROR(BY31/$BY$1,0),IFERROR(BX31/$BX$1,0)),0)</f>
        <v>0</v>
      </c>
      <c r="CI31"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1" s="646" t="e">
        <f ca="1">DATEDIF(庫存管理[[#This Row],[買進例外調整]],庫存管理[[#This Row],[到期日]],"d")/365.25</f>
        <v>#N/A</v>
      </c>
      <c r="CK31" s="734" t="e">
        <f ca="1">DATEVALUE(VLOOKUP(庫存管理[[#This Row],[商品代號]],bond!B:AF,31,FALSE))</f>
        <v>#N/A</v>
      </c>
      <c r="CL31" s="734" t="e">
        <f ca="1">IF(庫存管理[[#This Row],[買下配(國調)]]&lt;庫存管理[[#This Row],[第一票息日]],庫存管理[[#This Row],[第一票息日]],庫存管理[[#This Row],[買下配(國調)]])</f>
        <v>#N/A</v>
      </c>
      <c r="CM31"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1"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1" s="735">
        <f ca="1">IF(庫存管理[[#This Row],[商品代號]]="XFM90",0,IFERROR(庫存管理[[#This Row],[單次配息(原幣)]]*庫存管理[[#This Row],[經過幾次配息]],0))</f>
        <v>0</v>
      </c>
      <c r="CP31" s="735" t="e">
        <f ca="1">VLOOKUP(庫存管理[[#This Row],[商品代號]],bond!B:F,5,FALSE)</f>
        <v>#N/A</v>
      </c>
      <c r="CQ31" s="734" t="str">
        <f ca="1">IFERROR(VLOOKUP(庫存管理[[#This Row],[ISIN]],'7_發行日例外'!A:C,3,FALSE),IFERROR(DATEVALUE(VLOOKUP(庫存管理[[#This Row],[商品代號]],bond!B:AR,43,FALSE)),""))</f>
        <v/>
      </c>
      <c r="CR31" s="735" t="e">
        <f ca="1">DATEDIF(庫存管理[[#This Row],[起息日]],庫存管理[[#This Row],[買進前一配息日(複算)]],"d")</f>
        <v>#VALUE!</v>
      </c>
      <c r="CS31"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1" s="734" t="e">
        <f ca="1">IFERROR(VLOOKUP(庫存管理[[#This Row],[ISIN]],'7_發行日例外'!A:D,4,FALSE),DATEVALUE(VLOOKUP(庫存管理[[#This Row],[商品代號]],bond!B:AV,44,FALSE)))</f>
        <v>#N/A</v>
      </c>
      <c r="CU31" s="735" t="e">
        <f ca="1">VLOOKUP(庫存管理[[#This Row],[商品代號]],bond!B:AU,46,FALSE)</f>
        <v>#N/A</v>
      </c>
      <c r="CV31" s="735" t="e">
        <f ca="1">IF(庫存管理[[#This Row],[計息基礎]]=1,CHOOSE(庫存管理[[#This Row],[對應編碼]],"沒進位","","沒進位",IF(庫存管理[[#This Row],[計算類型]]="AUSTRALIA:EX-DIV","4捨五入進0.01%","沒進位"),"年/2去計算ACT","沒進位","沒進位"),"")</f>
        <v>#N/A</v>
      </c>
      <c r="CW31" s="735" t="e">
        <f ca="1">_xlfn.DAYS(庫存管理[[#This Row],[買進例外調整]],庫存管理[[#This Row],[買進前一個配息日(最終)]])</f>
        <v>#N/A</v>
      </c>
      <c r="CX31" s="735" t="e">
        <f ca="1">IF(庫存管理[[#This Row],[備註]]="年/2去計算ACT",365/2,_xlfn.DAYS(庫存管理[[#This Row],[買進時的下個配息日]],庫存管理[[#This Row],[買進前一個配息日(最終)]]))</f>
        <v>#N/A</v>
      </c>
      <c r="CY31"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1" s="767" t="e">
        <f ca="1">_xlfn.DAYS(庫存管理[[#This Row],[交割日]],庫存管理[[#This Row],[買進前一個配息日(最終)]])</f>
        <v>#N/A</v>
      </c>
      <c r="DA31"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1" s="767" t="e">
        <f ca="1">_xlfn.DAYS(庫存管理[[#This Row],[交割日]],庫存管理[[#This Row],[最近的上一票息日]])</f>
        <v>#N/A</v>
      </c>
      <c r="DC31" s="767" t="e">
        <f ca="1">IF(庫存管理[[#This Row],[備註]]="年/2去計算ACT",365/2,_xlfn.DAYS(庫存管理[[#This Row],[下一配息日]],庫存管理[[#This Row],[最近的上一票息日]]))</f>
        <v>#N/A</v>
      </c>
      <c r="DD31"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1" s="739" t="e">
        <f ca="1">CL31-庫存管理[[#This Row],[ex_div_days]]</f>
        <v>#N/A</v>
      </c>
      <c r="DF31" s="646" t="e">
        <f ca="1">IF(VLOOKUP(庫存管理[[#This Row],[商品代號]],bond!B:AT,45,FALSE)="#N/A Field Not Applicable",0,VLOOKUP(庫存管理[[#This Row],[商品代號]],bond!B:AT,45,FALSE))</f>
        <v>#N/A</v>
      </c>
      <c r="DG31" s="793" t="e">
        <f ca="1">IF(庫存管理[[#This Row],[ex_div_days]]&lt;&gt;0,IF(AND(庫存管理[[#This Row],[買進例外調整]]-庫存管理[[#This Row],[買進下一個配息日先減n天]]&gt;=0,庫存管理[[#This Row],[買進時的下個配息日]]-庫存管理[[#This Row],[買進例外調整]]&gt;0),1,0),0)</f>
        <v>#N/A</v>
      </c>
      <c r="DH31"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1" s="734" t="e">
        <f ca="1">庫存管理[[#This Row],[下一配息日]]-庫存管理[[#This Row],[ex_div_days]]</f>
        <v>#VALUE!</v>
      </c>
      <c r="DJ31" s="1081" t="e">
        <f ca="1">IF(庫存管理[[#This Row],[ex_div_days]]&lt;&gt;0,IF(AND(庫存管理[[#This Row],[交割日]]-庫存管理[[#This Row],[交割下個配息日先減n天]]&gt;=0,庫存管理[[#This Row],[下一配息日]]-庫存管理[[#This Row],[交割日]]&gt;0),1,0),0)</f>
        <v>#N/A</v>
      </c>
      <c r="DK31"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1" s="735">
        <f ca="1">IFERROR(VLOOKUP(庫存管理[[#This Row],[商品代號]],bond!B:X,21,FALSE),0)</f>
        <v>0</v>
      </c>
      <c r="DM31" s="735">
        <f ca="1">IFERROR(VLOOKUP(I31,bond!B:J,9,FALSE),0)</f>
        <v>0</v>
      </c>
      <c r="DN31" s="1188">
        <f ca="1">IF(AND(開關=TRUE,庫存管理[[#This Row],[投組檢測]]=TRUE),IF(MF=2,IFERROR(BW31/$BW$3,0),IFERROR(BV31/$BV$3,0)),0)</f>
        <v>0</v>
      </c>
      <c r="DO31" s="735">
        <f ca="1">IFERROR(庫存管理[[#This Row],[clean申購價]]/100*庫存管理[[#This Row],[投入面額]]*庫存管理[[#This Row],[MOD]]*0.01,0)</f>
        <v>0</v>
      </c>
      <c r="DP31" s="1298" t="e">
        <f ca="1">IF($C$16=1,庫存管理[[#This Row],[單次配息(台幣)]],庫存管理[[#This Row],[單次配息(原幣)]])</f>
        <v>#VALUE!</v>
      </c>
      <c r="DQ31"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1"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1"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1"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1"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1"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1"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1"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1"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1"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1"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1"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2" spans="2:229" ht="19.5" customHeight="1">
      <c r="B32" s="12" t="s">
        <v>211</v>
      </c>
      <c r="C32" s="27">
        <f ca="1">SUM(C19:C30)</f>
        <v>16425</v>
      </c>
      <c r="D32" s="27"/>
      <c r="E32" s="12" t="str">
        <f t="shared" ca="1" si="14"/>
        <v>16,425</v>
      </c>
      <c r="F32" s="1712"/>
      <c r="G32" s="459">
        <v>26</v>
      </c>
      <c r="H32" s="1166" t="b">
        <f ca="1">IFERROR(IF(VLOOKUP(G32,換券投組!$AH$8:$AH$13,1,FALSE)&gt;0,TRUE,FALSE),FALSE)</f>
        <v>0</v>
      </c>
      <c r="I32" s="1693" t="str">
        <f ca="1">IF(開關=TRUE,'商品代碼-中繼頁'!R27,"")</f>
        <v/>
      </c>
      <c r="J32" s="429">
        <f ca="1">IFERROR(VLOOKUP(I32,bond!B:I,8,FALSE),0)</f>
        <v>0</v>
      </c>
      <c r="K32" s="429">
        <f ca="1">IFERROR(庫存管理[[#This Row],[買價]]+VLOOKUP(庫存管理[[#This Row],[商品代號]],bond!B:K,10,FALSE),0)</f>
        <v>0</v>
      </c>
      <c r="L32" s="430" t="e">
        <f ca="1">VLOOKUP(I32,'銀行-TSS'!B:E,4,FALSE)</f>
        <v>#N/A</v>
      </c>
      <c r="M32" s="431">
        <f ca="1">IFERROR(VLOOKUP($I32,'銀行-TSS'!B:G,6,FALSE),0)</f>
        <v>0</v>
      </c>
      <c r="N32" s="432" t="e">
        <f ca="1">IFERROR(DATEVALUE(VLOOKUP($I32,'銀行-TSS'!B:F,5,FALSE)),VLOOKUP($I32,'銀行-TSS'!B:F,5,FALSE))</f>
        <v>#N/A</v>
      </c>
      <c r="O32" s="433">
        <f ca="1">IFERROR(VLOOKUP($I32,'銀行-TSS'!B:H,7,FALSE),0)</f>
        <v>0</v>
      </c>
      <c r="P32" s="433" t="e">
        <f ca="1">庫存管理[[#This Row],[票面利率]]/庫存管理[[#This Row],[成本價(不含前手息)]]*100</f>
        <v>#VALUE!</v>
      </c>
      <c r="Q32" s="434" t="str">
        <f ca="1">IFERROR(VLOOKUP($I32,'銀行-TSS'!B:I,8,FALSE),"")</f>
        <v/>
      </c>
      <c r="R32" s="440" t="str">
        <f ca="1">_xlfn.IFNA(IFERROR(DATEVALUE(VLOOKUP($I32,'銀行-TSS'!B:P,15,FALSE)),VLOOKUP($I32,'銀行-TSS'!B:P,15,FALSE)),"")</f>
        <v/>
      </c>
      <c r="S32" s="570" t="b">
        <f ca="1">IF(AND(庫存管理[[#This Row],[配息頻率]]&lt;&gt;"",庫存管理[[#This Row],[持有成本(不含前手息)]]&lt;&gt;0,庫存管理[[#This Row],[買進日]]&lt;&gt;""),TRUE,FALSE)</f>
        <v>0</v>
      </c>
      <c r="T32" s="602" t="str">
        <f>IFERROR(DATE(LEFT('商品代碼-中繼頁'!S27,4),MID('商品代碼-中繼頁'!S27,5,2),RIGHT('商品代碼-中繼頁'!S27,2)),"")</f>
        <v/>
      </c>
      <c r="U32"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2" s="442" t="e">
        <f ca="1">IFERROR(WORKDAY(庫存管理[[#This Row],[買進日]],VLOOKUP(庫存管理[[#This Row],[商品代號]],'1_重設數據'!R:S,2,FALSE),休USD),庫存管理[[#This Row],[買進日(T+2/公債T+1)]])</f>
        <v>#N/A</v>
      </c>
      <c r="W32" s="43" t="str">
        <f>'商品代碼-中繼頁'!T27</f>
        <v/>
      </c>
      <c r="X32" s="43" t="str">
        <f>'商品代碼-中繼頁'!U27</f>
        <v/>
      </c>
      <c r="Y32" s="464">
        <f t="shared" ca="1" si="9"/>
        <v>0</v>
      </c>
      <c r="Z32" s="464" t="e">
        <f t="shared" ca="1" si="15"/>
        <v>#VALUE!</v>
      </c>
      <c r="AA32" s="465" t="e">
        <f t="shared" ca="1" si="16"/>
        <v>#VALUE!</v>
      </c>
      <c r="AB32" s="474" t="e">
        <f ca="1">IF(MF=2,庫存管理[[#This Row],[部位現值(不含前手息)]]-庫存管理[[#This Row],[持有成本(不含前手息)]],庫存管理[[#This Row],[部位現值(含前手息)]]-庫存管理[[#This Row],[持有成本(含前手息)]])</f>
        <v>#VALUE!</v>
      </c>
      <c r="AC32" s="462">
        <f ca="1">IF(庫存管理[[#This Row],[檢測]]=TRUE,IF(MF=2,IFERROR(庫存管理[[#This Row],[資本利損]]/庫存管理[[#This Row],[持有成本(不含前手息)]],0),IFERROR(庫存管理[[#This Row],[資本利損]]/庫存管理[[#This Row],[持有成本(含前手息)]],0)),0)</f>
        <v>0</v>
      </c>
      <c r="AD32" s="618" t="e">
        <f ca="1">庫存管理[[#This Row],[持有成本(不含前手息)]]/庫存管理[[#This Row],[投入面額]]*100</f>
        <v>#VALUE!</v>
      </c>
      <c r="AE32" s="462" t="str">
        <f ca="1">IFERROR(VLOOKUP(庫存管理[[#This Row],[商品代號]],bond!B:AA,26,FALSE),"")</f>
        <v/>
      </c>
      <c r="AF32" s="1" t="str">
        <f ca="1">IFERROR(VLOOKUP($I32,'銀行-TSS'!B:Q,16,FALSE),"")</f>
        <v/>
      </c>
      <c r="AG32" s="466">
        <f t="shared" ca="1" si="1"/>
        <v>0</v>
      </c>
      <c r="AH32" s="458" t="e">
        <f ca="1">IF(OR(庫存管理[[#This Row],[起息日]]&gt;庫存管理[[#This Row],[買進前一配息日(複算)]],庫存管理[[#This Row],[判斷]]=TRUE),庫存管理[[#This Row],[起息日]],庫存管理[[#This Row],[買進前一配息日(複算)]])</f>
        <v>#N/A</v>
      </c>
      <c r="AI32" s="577" t="e">
        <f ca="1">VLOOKUP(I32,bond!B:AP,41,FALSE)</f>
        <v>#N/A</v>
      </c>
      <c r="AJ32" s="578" t="e">
        <f t="shared" ca="1" si="17"/>
        <v>#N/A</v>
      </c>
      <c r="AK32" s="579">
        <f ca="1">IFERROR(IF(庫存管理[[#This Row],[買進日是否落入record date]]=1,庫存管理[[#This Row],[record date制度前手息]],庫存管理[[#This Row],[計算前手息(初算)]]),0)</f>
        <v>0</v>
      </c>
      <c r="AL32" s="579" t="e">
        <f ca="1">IF(OR(庫存管理[[#This Row],[買進例外調整]]&lt;庫存管理[[#This Row],[起息日]],庫存管理[[#This Row],[買進例外調整]]&gt;庫存管理[[#This Row],[到期日]]),0,IF(庫存管理[[#This Row],[備註]]&lt;&gt;"",庫存管理[[#This Row],[買進時前手息]],IFERROR(ROUND(ACCRINT(AH32,AH32,V32,O32,100,Q32,AJ32,TRUE),4),0)))</f>
        <v>#N/A</v>
      </c>
      <c r="AM32" s="580" t="e">
        <f t="shared" ca="1" si="18"/>
        <v>#VALUE!</v>
      </c>
      <c r="AN32" s="440" t="e">
        <f ca="1">IFERROR(DATEVALUE(VLOOKUP(I32,bond!B:I,7,FALSE)),VLOOKUP(I32,bond!B:I,7,FALSE))</f>
        <v>#N/A</v>
      </c>
      <c r="AO32"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2" s="1075">
        <f ca="1">IFERROR(IF(庫存管理[[#This Row],[交割日是否落入record date]]=1,庫存管理[[#This Row],[交_record date制度前手息]],庫存管理[[#This Row],[計算交割前手息(初算)]]),0)</f>
        <v>0</v>
      </c>
      <c r="AQ32"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2" s="1063" t="e">
        <f ca="1">ROUND(庫存管理[[#This Row],[計算交割前手息(複算)]]*庫存管理[[#This Row],[投入面額]]/100,2)</f>
        <v>#VALUE!</v>
      </c>
      <c r="AS32" s="1064" t="e">
        <f ca="1">IF(庫存管理[[#This Row],[配息頻率]]=0,0,(100*庫存管理[[#This Row],[票面利率]]/庫存管理[[#This Row],[配息頻率]])*庫存管理[[#This Row],[經過幾次配息]]+庫存管理[[#This Row],[計算交割前手息(複算)]]-庫存管理[[#This Row],[計算前手息(複算)]])</f>
        <v>#VALUE!</v>
      </c>
      <c r="AT32" s="581" t="e">
        <f ca="1">IF(庫存管理[[#This Row],[商品代號]]="XFM90",0,ROUND(AS32*W32/100,2))</f>
        <v>#VALUE!</v>
      </c>
      <c r="AU32" s="582">
        <f ca="1">IF(MF=2,IFERROR(庫存管理[[#This Row],[累計配息]]/庫存管理[[#This Row],[持有成本(不含前手息)]],0),IFERROR(庫存管理[[#This Row],[已實現配息(原幣)]]/庫存管理[[#This Row],[持有成本(含前手息)]],0))</f>
        <v>0</v>
      </c>
      <c r="AV32" s="583" t="e">
        <f ca="1">IF(MF=2,庫存管理[[#This Row],[資本利損]]+庫存管理[[#This Row],[累計配息]],庫存管理[[#This Row],[資本利損]]+庫存管理[[#This Row],[已實現配息(原幣)]])</f>
        <v>#VALUE!</v>
      </c>
      <c r="AW32" s="584">
        <f ca="1">IF(庫存管理[[#This Row],[檢測]]=TRUE,IF(MF=2,IFERROR(庫存管理[[#This Row],[合計收益]]/庫存管理[[#This Row],[持有成本(不含前手息)]],0),IFERROR(庫存管理[[#This Row],[合計收益]]/庫存管理[[#This Row],[持有成本(含前手息)]],0)),0)</f>
        <v>0</v>
      </c>
      <c r="AX32" s="434" t="e">
        <f t="shared" ca="1" si="19"/>
        <v>#VALUE!</v>
      </c>
      <c r="AY32" s="434" t="e">
        <f t="shared" ca="1" si="20"/>
        <v>#VALUE!</v>
      </c>
      <c r="AZ32" s="434">
        <f t="shared" ca="1" si="21"/>
        <v>0</v>
      </c>
      <c r="BA32" s="434">
        <f t="shared" ca="1" si="22"/>
        <v>0</v>
      </c>
      <c r="BB32" s="441" t="e">
        <f ca="1">IF(AND(庫存管理[[#This Row],[名稱]]="美國國庫債券",DAY(庫存管理[[#This Row],[買進前一配息日(初算)]])&gt;=28),EOMONTH(庫存管理[[#This Row],[買進前一配息日(初算)]],0),庫存管理[[#This Row],[買進前一配息日(初算)]])</f>
        <v>#N/A</v>
      </c>
      <c r="BC32" s="441" t="e">
        <f t="shared" ca="1" si="23"/>
        <v>#N/A</v>
      </c>
      <c r="BD32" s="444" t="e">
        <f t="shared" ca="1" si="24"/>
        <v>#N/A</v>
      </c>
      <c r="BE32" s="441" t="e">
        <f ca="1">IF(Q32&gt;0,IF(MONTH(DATE(BD32,AX32,DAY(R32)))&lt;&gt;庫存管理[[#This Row],[第一個配息月]],DATE(BD32,AX32+1,0),DATE(BD32,AX32,DAY(R32))),庫存管理[[#This Row],[買進例外調整]]+100)</f>
        <v>#N/A</v>
      </c>
      <c r="BF32" s="441" t="e">
        <f ca="1">IF(AY32&lt;&gt;0,IF(MONTH(DATE(BD32,AY32,DAY(R32)))&lt;&gt;庫存管理[[#This Row],[第二個配息月]],DATE(BD32,AY32+1,0),DATE(BD32,AY32,DAY(R32))),庫存管理[[#This Row],[買進例外調整]]+100)</f>
        <v>#VALUE!</v>
      </c>
      <c r="BG32" s="441" t="e">
        <f ca="1">IF(AZ32&lt;&gt;0,IF(MONTH(DATE(BD32,AZ32,DAY(R32)))&lt;&gt;庫存管理[[#This Row],[第三個配息月]],DATE(BD32,AZ32+1,0),DATE(BD32,AZ32,DAY(R32))),庫存管理[[#This Row],[買進例外調整]]+100)</f>
        <v>#N/A</v>
      </c>
      <c r="BH32" s="441" t="e">
        <f ca="1">IF(BA32&lt;&gt;0,IF(MONTH(DATE(BD32,BA32,DAY(R32)))&lt;&gt;庫存管理[[#This Row],[第四個配息月]],DATE(BD32,BA32+1,0),DATE(BD32,BA32,DAY(R32))),庫存管理[[#This Row],[買進例外調整]]+100)</f>
        <v>#N/A</v>
      </c>
      <c r="BI32" s="441" t="e">
        <f ca="1">IF(Q32=1,IF(MONTH(DATE(BD32-1,AX32,DAY(R32)))&lt;&gt;庫存管理[[#This Row],[第一個配息月]],DATE(BD32-1,AX32+1,0),DATE(BD32-1,AX32,DAY(R32))),IF(Q32=2,IF(MONTH(DATE(BD32-1,AY32,DAY(R32)))&lt;&gt;庫存管理[[#This Row],[第二個配息月]],DATE(BD32-1,AY32+1,0),DATE(BD32-1,AY32,DAY(R32))),IF(Q32=4,IF(MONTH(DATE(BD32-1,BA32,DAY(R32)))&lt;&gt;庫存管理[[#This Row],[第四個配息月]],DATE(BD32-1,BA32+1,0),DATE(BD32-1,BA32,DAY(R32))),庫存管理[[#This Row],[買進例外調整]]+100)))</f>
        <v>#N/A</v>
      </c>
      <c r="BJ32" s="445">
        <f t="shared" ca="1" si="25"/>
        <v>10000</v>
      </c>
      <c r="BK32" s="445">
        <f t="shared" ca="1" si="26"/>
        <v>10000</v>
      </c>
      <c r="BL32" s="445">
        <f t="shared" ca="1" si="27"/>
        <v>10000</v>
      </c>
      <c r="BM32" s="445">
        <f t="shared" ca="1" si="28"/>
        <v>10000</v>
      </c>
      <c r="BN32" s="455">
        <f t="shared" ca="1" si="29"/>
        <v>10000</v>
      </c>
      <c r="BO32" s="479" t="e">
        <f ca="1">庫存管理[[#This Row],[年度配息]]/庫存管理[[#This Row],[配息頻率]]</f>
        <v>#VALUE!</v>
      </c>
      <c r="BP32" s="479" t="e">
        <f ca="1">庫存管理[[#This Row],[單次配息(原幣)]]*庫存管理[[#This Row],[換算匯率(現)]]</f>
        <v>#VALUE!</v>
      </c>
      <c r="BQ32" s="479" t="str">
        <f ca="1">IF(庫存管理[[#This Row],[商品代號]]&lt;&gt;"",IFERROR(VLOOKUP($I32,'銀行-TSS'!B:C,2,FALSE),""),"")</f>
        <v/>
      </c>
      <c r="BR32" s="479" t="e">
        <f ca="1">VLOOKUP(庫存管理[[#This Row],[幣別]],$B$37:$C$43,2,FALSE)</f>
        <v>#N/A</v>
      </c>
      <c r="BS32" s="500" t="e">
        <f ca="1">CHOOSE(庫存管理[[#This Row],[對應編碼]],$D$37,$D$38,$D$39,$D$40,$D$41,$D$42,$D$43)</f>
        <v>#N/A</v>
      </c>
      <c r="BT32" s="500">
        <f ca="1">IF(庫存管理[[#This Row],[商品代號]]="",0,CHOOSE(庫存管理[[#This Row],[對應編碼]],$E$37,$E$38,$E$39,$E$40,$E$41,$E$42,$E$43))</f>
        <v>0</v>
      </c>
      <c r="BU32" s="1555">
        <f ca="1">IF(庫存管理[[#This Row],[檢測]]=TRUE,庫存管理[[#This Row],[投入面額]]*庫存管理[[#This Row],[換算匯率(現)]],0)</f>
        <v>0</v>
      </c>
      <c r="BV32" s="1555">
        <f ca="1">IF(庫存管理[[#This Row],[檢測]]=TRUE,IFERROR(庫存管理[[#This Row],[持有成本(含前手息)]]*庫存管理[[#This Row],[換算匯率(買)]],0),0)</f>
        <v>0</v>
      </c>
      <c r="BW32" s="1555">
        <f ca="1">IF(庫存管理[[#This Row],[檢測]]=TRUE,庫存管理[[#This Row],[持有成本(不含前手息)]]*庫存管理[[#This Row],[換算匯率(買)]],0)</f>
        <v>0</v>
      </c>
      <c r="BX32" s="1555">
        <f ca="1">IF(庫存管理[[#This Row],[檢測]]=TRUE,庫存管理[[#This Row],[部位現值(含前手息)]]*庫存管理[[#This Row],[換算匯率(現)]],0)</f>
        <v>0</v>
      </c>
      <c r="BY32" s="1555">
        <f ca="1">IF(庫存管理[[#This Row],[檢測]]=TRUE,庫存管理[[#This Row],[部位現值(不含前手息)]]*庫存管理[[#This Row],[換算匯率(現)]],0)</f>
        <v>0</v>
      </c>
      <c r="BZ32" s="1555">
        <f ca="1">IF(庫存管理[[#This Row],[檢測]]=TRUE,IF(MF=2,庫存管理[[#This Row],[累計配息]]*庫存管理[[#This Row],[換算匯率(現)]],庫存管理[[#This Row],[已實現配息(原幣)]]*庫存管理[[#This Row],[換算匯率(現)]]),0)</f>
        <v>0</v>
      </c>
      <c r="CA32" s="1555" t="e">
        <f ca="1">庫存管理[[#This Row],[資本利損]]*庫存管理[[#This Row],[換算匯率(現)]]</f>
        <v>#VALUE!</v>
      </c>
      <c r="CB32" s="1555" t="e">
        <f ca="1">庫存管理[[#This Row],[累計利息(台)]]+庫存管理[[#This Row],[資本貢獻(台)]]</f>
        <v>#VALUE!</v>
      </c>
      <c r="CC32" s="574">
        <f ca="1">IF(庫存管理[[#This Row],[檢測]]=TRUE,IFERROR(庫存管理[[#This Row],[配息報酬]],0),0)</f>
        <v>0</v>
      </c>
      <c r="CD32" s="574">
        <f ca="1">IF(庫存管理[[#This Row],[檢測]]=TRUE,庫存管理[[#This Row],[資本報酬]],0)</f>
        <v>0</v>
      </c>
      <c r="CE32" s="574">
        <f ca="1">IF(S32=TRUE,IFERROR(庫存管理[[#This Row],[換匯總報酬率]]-(庫存管理[[#This Row],[配息報酬率]]+庫存管理[[#This Row],[資本報酬率]]),0),0)</f>
        <v>0</v>
      </c>
      <c r="CF32"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2" s="585">
        <f ca="1">IF(AND(庫存管理[[#This Row],[檢測]]=TRUE,開關=TRUE),IF(MF=2,IFERROR(BW32/$BW$1,0),IFERROR(BV32/$BV$1,0)),0)</f>
        <v>0</v>
      </c>
      <c r="CH32" s="574">
        <f ca="1">IF(庫存管理[[#This Row],[檢測]]=TRUE,IF(MF=2,IFERROR(BY32/$BY$1,0),IFERROR(BX32/$BX$1,0)),0)</f>
        <v>0</v>
      </c>
      <c r="CI32"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2" s="646" t="e">
        <f ca="1">DATEDIF(庫存管理[[#This Row],[買進例外調整]],庫存管理[[#This Row],[到期日]],"d")/365.25</f>
        <v>#N/A</v>
      </c>
      <c r="CK32" s="734" t="e">
        <f ca="1">DATEVALUE(VLOOKUP(庫存管理[[#This Row],[商品代號]],bond!B:AF,31,FALSE))</f>
        <v>#N/A</v>
      </c>
      <c r="CL32" s="734" t="e">
        <f ca="1">IF(庫存管理[[#This Row],[買下配(國調)]]&lt;庫存管理[[#This Row],[第一票息日]],庫存管理[[#This Row],[第一票息日]],庫存管理[[#This Row],[買下配(國調)]])</f>
        <v>#N/A</v>
      </c>
      <c r="CM32"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2"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2" s="735">
        <f ca="1">IF(庫存管理[[#This Row],[商品代號]]="XFM90",0,IFERROR(庫存管理[[#This Row],[單次配息(原幣)]]*庫存管理[[#This Row],[經過幾次配息]],0))</f>
        <v>0</v>
      </c>
      <c r="CP32" s="735" t="e">
        <f ca="1">VLOOKUP(庫存管理[[#This Row],[商品代號]],bond!B:F,5,FALSE)</f>
        <v>#N/A</v>
      </c>
      <c r="CQ32" s="734" t="str">
        <f ca="1">IFERROR(VLOOKUP(庫存管理[[#This Row],[ISIN]],'7_發行日例外'!A:C,3,FALSE),IFERROR(DATEVALUE(VLOOKUP(庫存管理[[#This Row],[商品代號]],bond!B:AR,43,FALSE)),""))</f>
        <v/>
      </c>
      <c r="CR32" s="735" t="e">
        <f ca="1">DATEDIF(庫存管理[[#This Row],[起息日]],庫存管理[[#This Row],[買進前一配息日(複算)]],"d")</f>
        <v>#VALUE!</v>
      </c>
      <c r="CS32"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2" s="734" t="e">
        <f ca="1">IFERROR(VLOOKUP(庫存管理[[#This Row],[ISIN]],'7_發行日例外'!A:D,4,FALSE),DATEVALUE(VLOOKUP(庫存管理[[#This Row],[商品代號]],bond!B:AV,44,FALSE)))</f>
        <v>#N/A</v>
      </c>
      <c r="CU32" s="735" t="e">
        <f ca="1">VLOOKUP(庫存管理[[#This Row],[商品代號]],bond!B:AU,46,FALSE)</f>
        <v>#N/A</v>
      </c>
      <c r="CV32" s="735" t="e">
        <f ca="1">IF(庫存管理[[#This Row],[計息基礎]]=1,CHOOSE(庫存管理[[#This Row],[對應編碼]],"沒進位","","沒進位",IF(庫存管理[[#This Row],[計算類型]]="AUSTRALIA:EX-DIV","4捨五入進0.01%","沒進位"),"年/2去計算ACT","沒進位","沒進位"),"")</f>
        <v>#N/A</v>
      </c>
      <c r="CW32" s="735" t="e">
        <f ca="1">_xlfn.DAYS(庫存管理[[#This Row],[買進例外調整]],庫存管理[[#This Row],[買進前一個配息日(最終)]])</f>
        <v>#N/A</v>
      </c>
      <c r="CX32" s="735" t="e">
        <f ca="1">IF(庫存管理[[#This Row],[備註]]="年/2去計算ACT",365/2,_xlfn.DAYS(庫存管理[[#This Row],[買進時的下個配息日]],庫存管理[[#This Row],[買進前一個配息日(最終)]]))</f>
        <v>#N/A</v>
      </c>
      <c r="CY32"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2" s="767" t="e">
        <f ca="1">_xlfn.DAYS(庫存管理[[#This Row],[交割日]],庫存管理[[#This Row],[買進前一個配息日(最終)]])</f>
        <v>#N/A</v>
      </c>
      <c r="DA32"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2" s="767" t="e">
        <f ca="1">_xlfn.DAYS(庫存管理[[#This Row],[交割日]],庫存管理[[#This Row],[最近的上一票息日]])</f>
        <v>#N/A</v>
      </c>
      <c r="DC32" s="767" t="e">
        <f ca="1">IF(庫存管理[[#This Row],[備註]]="年/2去計算ACT",365/2,_xlfn.DAYS(庫存管理[[#This Row],[下一配息日]],庫存管理[[#This Row],[最近的上一票息日]]))</f>
        <v>#N/A</v>
      </c>
      <c r="DD32"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2" s="739" t="e">
        <f ca="1">CL32-庫存管理[[#This Row],[ex_div_days]]</f>
        <v>#N/A</v>
      </c>
      <c r="DF32" s="646" t="e">
        <f ca="1">IF(VLOOKUP(庫存管理[[#This Row],[商品代號]],bond!B:AT,45,FALSE)="#N/A Field Not Applicable",0,VLOOKUP(庫存管理[[#This Row],[商品代號]],bond!B:AT,45,FALSE))</f>
        <v>#N/A</v>
      </c>
      <c r="DG32" s="793" t="e">
        <f ca="1">IF(庫存管理[[#This Row],[ex_div_days]]&lt;&gt;0,IF(AND(庫存管理[[#This Row],[買進例外調整]]-庫存管理[[#This Row],[買進下一個配息日先減n天]]&gt;=0,庫存管理[[#This Row],[買進時的下個配息日]]-庫存管理[[#This Row],[買進例外調整]]&gt;0),1,0),0)</f>
        <v>#N/A</v>
      </c>
      <c r="DH32"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2" s="734" t="e">
        <f ca="1">庫存管理[[#This Row],[下一配息日]]-庫存管理[[#This Row],[ex_div_days]]</f>
        <v>#VALUE!</v>
      </c>
      <c r="DJ32" s="1081" t="e">
        <f ca="1">IF(庫存管理[[#This Row],[ex_div_days]]&lt;&gt;0,IF(AND(庫存管理[[#This Row],[交割日]]-庫存管理[[#This Row],[交割下個配息日先減n天]]&gt;=0,庫存管理[[#This Row],[下一配息日]]-庫存管理[[#This Row],[交割日]]&gt;0),1,0),0)</f>
        <v>#N/A</v>
      </c>
      <c r="DK32"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2" s="735">
        <f ca="1">IFERROR(VLOOKUP(庫存管理[[#This Row],[商品代號]],bond!B:X,21,FALSE),0)</f>
        <v>0</v>
      </c>
      <c r="DM32" s="735">
        <f ca="1">IFERROR(VLOOKUP(I32,bond!B:J,9,FALSE),0)</f>
        <v>0</v>
      </c>
      <c r="DN32" s="1188">
        <f ca="1">IF(AND(開關=TRUE,庫存管理[[#This Row],[投組檢測]]=TRUE),IF(MF=2,IFERROR(BW32/$BW$3,0),IFERROR(BV32/$BV$3,0)),0)</f>
        <v>0</v>
      </c>
      <c r="DO32" s="735">
        <f ca="1">IFERROR(庫存管理[[#This Row],[clean申購價]]/100*庫存管理[[#This Row],[投入面額]]*庫存管理[[#This Row],[MOD]]*0.01,0)</f>
        <v>0</v>
      </c>
      <c r="DP32" s="1298" t="e">
        <f ca="1">IF($C$16=1,庫存管理[[#This Row],[單次配息(台幣)]],庫存管理[[#This Row],[單次配息(原幣)]])</f>
        <v>#VALUE!</v>
      </c>
      <c r="DQ32"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2"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2"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2"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2"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2"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2"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2"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2"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2"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2"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2"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3" spans="1:132" ht="19.5" customHeight="1">
      <c r="G33" s="459">
        <v>27</v>
      </c>
      <c r="H33" s="1166" t="b">
        <f ca="1">IFERROR(IF(VLOOKUP(G33,換券投組!$AH$8:$AH$13,1,FALSE)&gt;0,TRUE,FALSE),FALSE)</f>
        <v>0</v>
      </c>
      <c r="I33" s="1693" t="str">
        <f ca="1">IF(開關=TRUE,'商品代碼-中繼頁'!R28,"")</f>
        <v/>
      </c>
      <c r="J33" s="429">
        <f ca="1">IFERROR(VLOOKUP(I33,bond!B:I,8,FALSE),0)</f>
        <v>0</v>
      </c>
      <c r="K33" s="429">
        <f ca="1">IFERROR(庫存管理[[#This Row],[買價]]+VLOOKUP(庫存管理[[#This Row],[商品代號]],bond!B:K,10,FALSE),0)</f>
        <v>0</v>
      </c>
      <c r="L33" s="430" t="e">
        <f ca="1">VLOOKUP(I33,'銀行-TSS'!B:E,4,FALSE)</f>
        <v>#N/A</v>
      </c>
      <c r="M33" s="431">
        <f ca="1">IFERROR(VLOOKUP($I33,'銀行-TSS'!B:G,6,FALSE),0)</f>
        <v>0</v>
      </c>
      <c r="N33" s="432" t="e">
        <f ca="1">IFERROR(DATEVALUE(VLOOKUP($I33,'銀行-TSS'!B:F,5,FALSE)),VLOOKUP($I33,'銀行-TSS'!B:F,5,FALSE))</f>
        <v>#N/A</v>
      </c>
      <c r="O33" s="433">
        <f ca="1">IFERROR(VLOOKUP($I33,'銀行-TSS'!B:H,7,FALSE),0)</f>
        <v>0</v>
      </c>
      <c r="P33" s="433" t="e">
        <f ca="1">庫存管理[[#This Row],[票面利率]]/庫存管理[[#This Row],[成本價(不含前手息)]]*100</f>
        <v>#VALUE!</v>
      </c>
      <c r="Q33" s="434" t="str">
        <f ca="1">IFERROR(VLOOKUP($I33,'銀行-TSS'!B:I,8,FALSE),"")</f>
        <v/>
      </c>
      <c r="R33" s="440" t="str">
        <f ca="1">_xlfn.IFNA(IFERROR(DATEVALUE(VLOOKUP($I33,'銀行-TSS'!B:P,15,FALSE)),VLOOKUP($I33,'銀行-TSS'!B:P,15,FALSE)),"")</f>
        <v/>
      </c>
      <c r="S33" s="570" t="b">
        <f ca="1">IF(AND(庫存管理[[#This Row],[配息頻率]]&lt;&gt;"",庫存管理[[#This Row],[持有成本(不含前手息)]]&lt;&gt;0,庫存管理[[#This Row],[買進日]]&lt;&gt;""),TRUE,FALSE)</f>
        <v>0</v>
      </c>
      <c r="T33" s="602" t="str">
        <f>IFERROR(DATE(LEFT('商品代碼-中繼頁'!S28,4),MID('商品代碼-中繼頁'!S28,5,2),RIGHT('商品代碼-中繼頁'!S28,2)),"")</f>
        <v/>
      </c>
      <c r="U33"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3" s="442" t="e">
        <f ca="1">IFERROR(WORKDAY(庫存管理[[#This Row],[買進日]],VLOOKUP(庫存管理[[#This Row],[商品代號]],'1_重設數據'!R:S,2,FALSE),休USD),庫存管理[[#This Row],[買進日(T+2/公債T+1)]])</f>
        <v>#N/A</v>
      </c>
      <c r="W33" s="43" t="str">
        <f>'商品代碼-中繼頁'!T28</f>
        <v/>
      </c>
      <c r="X33" s="43" t="str">
        <f>'商品代碼-中繼頁'!U28</f>
        <v/>
      </c>
      <c r="Y33" s="464">
        <f t="shared" ca="1" si="9"/>
        <v>0</v>
      </c>
      <c r="Z33" s="464" t="e">
        <f t="shared" ca="1" si="15"/>
        <v>#VALUE!</v>
      </c>
      <c r="AA33" s="465" t="e">
        <f t="shared" ca="1" si="16"/>
        <v>#VALUE!</v>
      </c>
      <c r="AB33" s="474" t="e">
        <f ca="1">IF(MF=2,庫存管理[[#This Row],[部位現值(不含前手息)]]-庫存管理[[#This Row],[持有成本(不含前手息)]],庫存管理[[#This Row],[部位現值(含前手息)]]-庫存管理[[#This Row],[持有成本(含前手息)]])</f>
        <v>#VALUE!</v>
      </c>
      <c r="AC33" s="462">
        <f ca="1">IF(庫存管理[[#This Row],[檢測]]=TRUE,IF(MF=2,IFERROR(庫存管理[[#This Row],[資本利損]]/庫存管理[[#This Row],[持有成本(不含前手息)]],0),IFERROR(庫存管理[[#This Row],[資本利損]]/庫存管理[[#This Row],[持有成本(含前手息)]],0)),0)</f>
        <v>0</v>
      </c>
      <c r="AD33" s="618" t="e">
        <f ca="1">庫存管理[[#This Row],[持有成本(不含前手息)]]/庫存管理[[#This Row],[投入面額]]*100</f>
        <v>#VALUE!</v>
      </c>
      <c r="AE33" s="462" t="str">
        <f ca="1">IFERROR(VLOOKUP(庫存管理[[#This Row],[商品代號]],bond!B:AA,26,FALSE),"")</f>
        <v/>
      </c>
      <c r="AF33" s="1" t="str">
        <f ca="1">IFERROR(VLOOKUP($I33,'銀行-TSS'!B:Q,16,FALSE),"")</f>
        <v/>
      </c>
      <c r="AG33" s="466">
        <f t="shared" ca="1" si="1"/>
        <v>0</v>
      </c>
      <c r="AH33" s="458" t="e">
        <f ca="1">IF(OR(庫存管理[[#This Row],[起息日]]&gt;庫存管理[[#This Row],[買進前一配息日(複算)]],庫存管理[[#This Row],[判斷]]=TRUE),庫存管理[[#This Row],[起息日]],庫存管理[[#This Row],[買進前一配息日(複算)]])</f>
        <v>#N/A</v>
      </c>
      <c r="AI33" s="577" t="e">
        <f ca="1">VLOOKUP(I33,bond!B:AP,41,FALSE)</f>
        <v>#N/A</v>
      </c>
      <c r="AJ33" s="578" t="e">
        <f t="shared" ca="1" si="17"/>
        <v>#N/A</v>
      </c>
      <c r="AK33" s="579">
        <f ca="1">IFERROR(IF(庫存管理[[#This Row],[買進日是否落入record date]]=1,庫存管理[[#This Row],[record date制度前手息]],庫存管理[[#This Row],[計算前手息(初算)]]),0)</f>
        <v>0</v>
      </c>
      <c r="AL33" s="579" t="e">
        <f ca="1">IF(OR(庫存管理[[#This Row],[買進例外調整]]&lt;庫存管理[[#This Row],[起息日]],庫存管理[[#This Row],[買進例外調整]]&gt;庫存管理[[#This Row],[到期日]]),0,IF(庫存管理[[#This Row],[備註]]&lt;&gt;"",庫存管理[[#This Row],[買進時前手息]],IFERROR(ROUND(ACCRINT(AH33,AH33,V33,O33,100,Q33,AJ33,TRUE),4),0)))</f>
        <v>#N/A</v>
      </c>
      <c r="AM33" s="580" t="e">
        <f t="shared" ca="1" si="18"/>
        <v>#VALUE!</v>
      </c>
      <c r="AN33" s="440" t="e">
        <f ca="1">IFERROR(DATEVALUE(VLOOKUP(I33,bond!B:I,7,FALSE)),VLOOKUP(I33,bond!B:I,7,FALSE))</f>
        <v>#N/A</v>
      </c>
      <c r="AO33"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3" s="1075">
        <f ca="1">IFERROR(IF(庫存管理[[#This Row],[交割日是否落入record date]]=1,庫存管理[[#This Row],[交_record date制度前手息]],庫存管理[[#This Row],[計算交割前手息(初算)]]),0)</f>
        <v>0</v>
      </c>
      <c r="AQ33"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3" s="1063" t="e">
        <f ca="1">ROUND(庫存管理[[#This Row],[計算交割前手息(複算)]]*庫存管理[[#This Row],[投入面額]]/100,2)</f>
        <v>#VALUE!</v>
      </c>
      <c r="AS33" s="1064" t="e">
        <f ca="1">IF(庫存管理[[#This Row],[配息頻率]]=0,0,(100*庫存管理[[#This Row],[票面利率]]/庫存管理[[#This Row],[配息頻率]])*庫存管理[[#This Row],[經過幾次配息]]+庫存管理[[#This Row],[計算交割前手息(複算)]]-庫存管理[[#This Row],[計算前手息(複算)]])</f>
        <v>#VALUE!</v>
      </c>
      <c r="AT33" s="581" t="e">
        <f ca="1">IF(庫存管理[[#This Row],[商品代號]]="XFM90",0,ROUND(AS33*W33/100,2))</f>
        <v>#VALUE!</v>
      </c>
      <c r="AU33" s="582">
        <f ca="1">IF(MF=2,IFERROR(庫存管理[[#This Row],[累計配息]]/庫存管理[[#This Row],[持有成本(不含前手息)]],0),IFERROR(庫存管理[[#This Row],[已實現配息(原幣)]]/庫存管理[[#This Row],[持有成本(含前手息)]],0))</f>
        <v>0</v>
      </c>
      <c r="AV33" s="583" t="e">
        <f ca="1">IF(MF=2,庫存管理[[#This Row],[資本利損]]+庫存管理[[#This Row],[累計配息]],庫存管理[[#This Row],[資本利損]]+庫存管理[[#This Row],[已實現配息(原幣)]])</f>
        <v>#VALUE!</v>
      </c>
      <c r="AW33" s="584">
        <f ca="1">IF(庫存管理[[#This Row],[檢測]]=TRUE,IF(MF=2,IFERROR(庫存管理[[#This Row],[合計收益]]/庫存管理[[#This Row],[持有成本(不含前手息)]],0),IFERROR(庫存管理[[#This Row],[合計收益]]/庫存管理[[#This Row],[持有成本(含前手息)]],0)),0)</f>
        <v>0</v>
      </c>
      <c r="AX33" s="434" t="e">
        <f t="shared" ca="1" si="19"/>
        <v>#VALUE!</v>
      </c>
      <c r="AY33" s="434" t="e">
        <f t="shared" ca="1" si="20"/>
        <v>#VALUE!</v>
      </c>
      <c r="AZ33" s="434">
        <f t="shared" ca="1" si="21"/>
        <v>0</v>
      </c>
      <c r="BA33" s="434">
        <f t="shared" ca="1" si="22"/>
        <v>0</v>
      </c>
      <c r="BB33" s="441" t="e">
        <f ca="1">IF(AND(庫存管理[[#This Row],[名稱]]="美國國庫債券",DAY(庫存管理[[#This Row],[買進前一配息日(初算)]])&gt;=28),EOMONTH(庫存管理[[#This Row],[買進前一配息日(初算)]],0),庫存管理[[#This Row],[買進前一配息日(初算)]])</f>
        <v>#N/A</v>
      </c>
      <c r="BC33" s="441" t="e">
        <f t="shared" ca="1" si="23"/>
        <v>#N/A</v>
      </c>
      <c r="BD33" s="444" t="e">
        <f t="shared" ca="1" si="24"/>
        <v>#N/A</v>
      </c>
      <c r="BE33" s="441" t="e">
        <f ca="1">IF(Q33&gt;0,IF(MONTH(DATE(BD33,AX33,DAY(R33)))&lt;&gt;庫存管理[[#This Row],[第一個配息月]],DATE(BD33,AX33+1,0),DATE(BD33,AX33,DAY(R33))),庫存管理[[#This Row],[買進例外調整]]+100)</f>
        <v>#N/A</v>
      </c>
      <c r="BF33" s="441" t="e">
        <f ca="1">IF(AY33&lt;&gt;0,IF(MONTH(DATE(BD33,AY33,DAY(R33)))&lt;&gt;庫存管理[[#This Row],[第二個配息月]],DATE(BD33,AY33+1,0),DATE(BD33,AY33,DAY(R33))),庫存管理[[#This Row],[買進例外調整]]+100)</f>
        <v>#VALUE!</v>
      </c>
      <c r="BG33" s="441" t="e">
        <f ca="1">IF(AZ33&lt;&gt;0,IF(MONTH(DATE(BD33,AZ33,DAY(R33)))&lt;&gt;庫存管理[[#This Row],[第三個配息月]],DATE(BD33,AZ33+1,0),DATE(BD33,AZ33,DAY(R33))),庫存管理[[#This Row],[買進例外調整]]+100)</f>
        <v>#N/A</v>
      </c>
      <c r="BH33" s="441" t="e">
        <f ca="1">IF(BA33&lt;&gt;0,IF(MONTH(DATE(BD33,BA33,DAY(R33)))&lt;&gt;庫存管理[[#This Row],[第四個配息月]],DATE(BD33,BA33+1,0),DATE(BD33,BA33,DAY(R33))),庫存管理[[#This Row],[買進例外調整]]+100)</f>
        <v>#N/A</v>
      </c>
      <c r="BI33" s="441" t="e">
        <f ca="1">IF(Q33=1,IF(MONTH(DATE(BD33-1,AX33,DAY(R33)))&lt;&gt;庫存管理[[#This Row],[第一個配息月]],DATE(BD33-1,AX33+1,0),DATE(BD33-1,AX33,DAY(R33))),IF(Q33=2,IF(MONTH(DATE(BD33-1,AY33,DAY(R33)))&lt;&gt;庫存管理[[#This Row],[第二個配息月]],DATE(BD33-1,AY33+1,0),DATE(BD33-1,AY33,DAY(R33))),IF(Q33=4,IF(MONTH(DATE(BD33-1,BA33,DAY(R33)))&lt;&gt;庫存管理[[#This Row],[第四個配息月]],DATE(BD33-1,BA33+1,0),DATE(BD33-1,BA33,DAY(R33))),庫存管理[[#This Row],[買進例外調整]]+100)))</f>
        <v>#N/A</v>
      </c>
      <c r="BJ33" s="445">
        <f t="shared" ca="1" si="25"/>
        <v>10000</v>
      </c>
      <c r="BK33" s="445">
        <f t="shared" ca="1" si="26"/>
        <v>10000</v>
      </c>
      <c r="BL33" s="445">
        <f t="shared" ca="1" si="27"/>
        <v>10000</v>
      </c>
      <c r="BM33" s="445">
        <f t="shared" ca="1" si="28"/>
        <v>10000</v>
      </c>
      <c r="BN33" s="455">
        <f t="shared" ca="1" si="29"/>
        <v>10000</v>
      </c>
      <c r="BO33" s="479" t="e">
        <f ca="1">庫存管理[[#This Row],[年度配息]]/庫存管理[[#This Row],[配息頻率]]</f>
        <v>#VALUE!</v>
      </c>
      <c r="BP33" s="479" t="e">
        <f ca="1">庫存管理[[#This Row],[單次配息(原幣)]]*庫存管理[[#This Row],[換算匯率(現)]]</f>
        <v>#VALUE!</v>
      </c>
      <c r="BQ33" s="479" t="str">
        <f ca="1">IF(庫存管理[[#This Row],[商品代號]]&lt;&gt;"",IFERROR(VLOOKUP($I33,'銀行-TSS'!B:C,2,FALSE),""),"")</f>
        <v/>
      </c>
      <c r="BR33" s="479" t="e">
        <f ca="1">VLOOKUP(庫存管理[[#This Row],[幣別]],$B$37:$C$43,2,FALSE)</f>
        <v>#N/A</v>
      </c>
      <c r="BS33" s="500" t="e">
        <f ca="1">CHOOSE(庫存管理[[#This Row],[對應編碼]],$D$37,$D$38,$D$39,$D$40,$D$41,$D$42,$D$43)</f>
        <v>#N/A</v>
      </c>
      <c r="BT33" s="500">
        <f ca="1">IF(庫存管理[[#This Row],[商品代號]]="",0,CHOOSE(庫存管理[[#This Row],[對應編碼]],$E$37,$E$38,$E$39,$E$40,$E$41,$E$42,$E$43))</f>
        <v>0</v>
      </c>
      <c r="BU33" s="1555">
        <f ca="1">IF(庫存管理[[#This Row],[檢測]]=TRUE,庫存管理[[#This Row],[投入面額]]*庫存管理[[#This Row],[換算匯率(現)]],0)</f>
        <v>0</v>
      </c>
      <c r="BV33" s="1555">
        <f ca="1">IF(庫存管理[[#This Row],[檢測]]=TRUE,IFERROR(庫存管理[[#This Row],[持有成本(含前手息)]]*庫存管理[[#This Row],[換算匯率(買)]],0),0)</f>
        <v>0</v>
      </c>
      <c r="BW33" s="1555">
        <f ca="1">IF(庫存管理[[#This Row],[檢測]]=TRUE,庫存管理[[#This Row],[持有成本(不含前手息)]]*庫存管理[[#This Row],[換算匯率(買)]],0)</f>
        <v>0</v>
      </c>
      <c r="BX33" s="1555">
        <f ca="1">IF(庫存管理[[#This Row],[檢測]]=TRUE,庫存管理[[#This Row],[部位現值(含前手息)]]*庫存管理[[#This Row],[換算匯率(現)]],0)</f>
        <v>0</v>
      </c>
      <c r="BY33" s="1555">
        <f ca="1">IF(庫存管理[[#This Row],[檢測]]=TRUE,庫存管理[[#This Row],[部位現值(不含前手息)]]*庫存管理[[#This Row],[換算匯率(現)]],0)</f>
        <v>0</v>
      </c>
      <c r="BZ33" s="1555">
        <f ca="1">IF(庫存管理[[#This Row],[檢測]]=TRUE,IF(MF=2,庫存管理[[#This Row],[累計配息]]*庫存管理[[#This Row],[換算匯率(現)]],庫存管理[[#This Row],[已實現配息(原幣)]]*庫存管理[[#This Row],[換算匯率(現)]]),0)</f>
        <v>0</v>
      </c>
      <c r="CA33" s="1555" t="e">
        <f ca="1">庫存管理[[#This Row],[資本利損]]*庫存管理[[#This Row],[換算匯率(現)]]</f>
        <v>#VALUE!</v>
      </c>
      <c r="CB33" s="1555" t="e">
        <f ca="1">庫存管理[[#This Row],[累計利息(台)]]+庫存管理[[#This Row],[資本貢獻(台)]]</f>
        <v>#VALUE!</v>
      </c>
      <c r="CC33" s="574">
        <f ca="1">IF(庫存管理[[#This Row],[檢測]]=TRUE,IFERROR(庫存管理[[#This Row],[配息報酬]],0),0)</f>
        <v>0</v>
      </c>
      <c r="CD33" s="574">
        <f ca="1">IF(庫存管理[[#This Row],[檢測]]=TRUE,庫存管理[[#This Row],[資本報酬]],0)</f>
        <v>0</v>
      </c>
      <c r="CE33" s="574">
        <f ca="1">IF(S33=TRUE,IFERROR(庫存管理[[#This Row],[換匯總報酬率]]-(庫存管理[[#This Row],[配息報酬率]]+庫存管理[[#This Row],[資本報酬率]]),0),0)</f>
        <v>0</v>
      </c>
      <c r="CF33"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3" s="585">
        <f ca="1">IF(AND(庫存管理[[#This Row],[檢測]]=TRUE,開關=TRUE),IF(MF=2,IFERROR(BW33/$BW$1,0),IFERROR(BV33/$BV$1,0)),0)</f>
        <v>0</v>
      </c>
      <c r="CH33" s="574">
        <f ca="1">IF(庫存管理[[#This Row],[檢測]]=TRUE,IF(MF=2,IFERROR(BY33/$BY$1,0),IFERROR(BX33/$BX$1,0)),0)</f>
        <v>0</v>
      </c>
      <c r="CI33"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3" s="646" t="e">
        <f ca="1">DATEDIF(庫存管理[[#This Row],[買進例外調整]],庫存管理[[#This Row],[到期日]],"d")/365.25</f>
        <v>#N/A</v>
      </c>
      <c r="CK33" s="734" t="e">
        <f ca="1">DATEVALUE(VLOOKUP(庫存管理[[#This Row],[商品代號]],bond!B:AF,31,FALSE))</f>
        <v>#N/A</v>
      </c>
      <c r="CL33" s="734" t="e">
        <f ca="1">IF(庫存管理[[#This Row],[買下配(國調)]]&lt;庫存管理[[#This Row],[第一票息日]],庫存管理[[#This Row],[第一票息日]],庫存管理[[#This Row],[買下配(國調)]])</f>
        <v>#N/A</v>
      </c>
      <c r="CM33"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3"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3" s="735">
        <f ca="1">IF(庫存管理[[#This Row],[商品代號]]="XFM90",0,IFERROR(庫存管理[[#This Row],[單次配息(原幣)]]*庫存管理[[#This Row],[經過幾次配息]],0))</f>
        <v>0</v>
      </c>
      <c r="CP33" s="735" t="e">
        <f ca="1">VLOOKUP(庫存管理[[#This Row],[商品代號]],bond!B:F,5,FALSE)</f>
        <v>#N/A</v>
      </c>
      <c r="CQ33" s="734" t="str">
        <f ca="1">IFERROR(VLOOKUP(庫存管理[[#This Row],[ISIN]],'7_發行日例外'!A:C,3,FALSE),IFERROR(DATEVALUE(VLOOKUP(庫存管理[[#This Row],[商品代號]],bond!B:AR,43,FALSE)),""))</f>
        <v/>
      </c>
      <c r="CR33" s="735" t="e">
        <f ca="1">DATEDIF(庫存管理[[#This Row],[起息日]],庫存管理[[#This Row],[買進前一配息日(複算)]],"d")</f>
        <v>#VALUE!</v>
      </c>
      <c r="CS33"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3" s="734" t="e">
        <f ca="1">IFERROR(VLOOKUP(庫存管理[[#This Row],[ISIN]],'7_發行日例外'!A:D,4,FALSE),DATEVALUE(VLOOKUP(庫存管理[[#This Row],[商品代號]],bond!B:AV,44,FALSE)))</f>
        <v>#N/A</v>
      </c>
      <c r="CU33" s="735" t="e">
        <f ca="1">VLOOKUP(庫存管理[[#This Row],[商品代號]],bond!B:AU,46,FALSE)</f>
        <v>#N/A</v>
      </c>
      <c r="CV33" s="735" t="e">
        <f ca="1">IF(庫存管理[[#This Row],[計息基礎]]=1,CHOOSE(庫存管理[[#This Row],[對應編碼]],"沒進位","","沒進位",IF(庫存管理[[#This Row],[計算類型]]="AUSTRALIA:EX-DIV","4捨五入進0.01%","沒進位"),"年/2去計算ACT","沒進位","沒進位"),"")</f>
        <v>#N/A</v>
      </c>
      <c r="CW33" s="735" t="e">
        <f ca="1">_xlfn.DAYS(庫存管理[[#This Row],[買進例外調整]],庫存管理[[#This Row],[買進前一個配息日(最終)]])</f>
        <v>#N/A</v>
      </c>
      <c r="CX33" s="735" t="e">
        <f ca="1">IF(庫存管理[[#This Row],[備註]]="年/2去計算ACT",365/2,_xlfn.DAYS(庫存管理[[#This Row],[買進時的下個配息日]],庫存管理[[#This Row],[買進前一個配息日(最終)]]))</f>
        <v>#N/A</v>
      </c>
      <c r="CY33"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3" s="767" t="e">
        <f ca="1">_xlfn.DAYS(庫存管理[[#This Row],[交割日]],庫存管理[[#This Row],[買進前一個配息日(最終)]])</f>
        <v>#N/A</v>
      </c>
      <c r="DA33"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3" s="767" t="e">
        <f ca="1">_xlfn.DAYS(庫存管理[[#This Row],[交割日]],庫存管理[[#This Row],[最近的上一票息日]])</f>
        <v>#N/A</v>
      </c>
      <c r="DC33" s="767" t="e">
        <f ca="1">IF(庫存管理[[#This Row],[備註]]="年/2去計算ACT",365/2,_xlfn.DAYS(庫存管理[[#This Row],[下一配息日]],庫存管理[[#This Row],[最近的上一票息日]]))</f>
        <v>#N/A</v>
      </c>
      <c r="DD33"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3" s="739" t="e">
        <f ca="1">CL33-庫存管理[[#This Row],[ex_div_days]]</f>
        <v>#N/A</v>
      </c>
      <c r="DF33" s="646" t="e">
        <f ca="1">IF(VLOOKUP(庫存管理[[#This Row],[商品代號]],bond!B:AT,45,FALSE)="#N/A Field Not Applicable",0,VLOOKUP(庫存管理[[#This Row],[商品代號]],bond!B:AT,45,FALSE))</f>
        <v>#N/A</v>
      </c>
      <c r="DG33" s="793" t="e">
        <f ca="1">IF(庫存管理[[#This Row],[ex_div_days]]&lt;&gt;0,IF(AND(庫存管理[[#This Row],[買進例外調整]]-庫存管理[[#This Row],[買進下一個配息日先減n天]]&gt;=0,庫存管理[[#This Row],[買進時的下個配息日]]-庫存管理[[#This Row],[買進例外調整]]&gt;0),1,0),0)</f>
        <v>#N/A</v>
      </c>
      <c r="DH33"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3" s="734" t="e">
        <f ca="1">庫存管理[[#This Row],[下一配息日]]-庫存管理[[#This Row],[ex_div_days]]</f>
        <v>#VALUE!</v>
      </c>
      <c r="DJ33" s="1081" t="e">
        <f ca="1">IF(庫存管理[[#This Row],[ex_div_days]]&lt;&gt;0,IF(AND(庫存管理[[#This Row],[交割日]]-庫存管理[[#This Row],[交割下個配息日先減n天]]&gt;=0,庫存管理[[#This Row],[下一配息日]]-庫存管理[[#This Row],[交割日]]&gt;0),1,0),0)</f>
        <v>#N/A</v>
      </c>
      <c r="DK33"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3" s="735">
        <f ca="1">IFERROR(VLOOKUP(庫存管理[[#This Row],[商品代號]],bond!B:X,21,FALSE),0)</f>
        <v>0</v>
      </c>
      <c r="DM33" s="735">
        <f ca="1">IFERROR(VLOOKUP(I33,bond!B:J,9,FALSE),0)</f>
        <v>0</v>
      </c>
      <c r="DN33" s="1188">
        <f ca="1">IF(AND(開關=TRUE,庫存管理[[#This Row],[投組檢測]]=TRUE),IF(MF=2,IFERROR(BW33/$BW$3,0),IFERROR(BV33/$BV$3,0)),0)</f>
        <v>0</v>
      </c>
      <c r="DO33" s="735">
        <f ca="1">IFERROR(庫存管理[[#This Row],[clean申購價]]/100*庫存管理[[#This Row],[投入面額]]*庫存管理[[#This Row],[MOD]]*0.01,0)</f>
        <v>0</v>
      </c>
      <c r="DP33" s="1298" t="e">
        <f ca="1">IF($C$16=1,庫存管理[[#This Row],[單次配息(台幣)]],庫存管理[[#This Row],[單次配息(原幣)]])</f>
        <v>#VALUE!</v>
      </c>
      <c r="DQ33"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3"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3"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3"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3"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3"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3"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3"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3"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3"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3"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3"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4" spans="1:132" ht="19.5" customHeight="1">
      <c r="G34" s="459">
        <v>28</v>
      </c>
      <c r="H34" s="1166" t="b">
        <f ca="1">IFERROR(IF(VLOOKUP(G34,換券投組!$AH$8:$AH$13,1,FALSE)&gt;0,TRUE,FALSE),FALSE)</f>
        <v>0</v>
      </c>
      <c r="I34" s="1693" t="str">
        <f ca="1">IF(開關=TRUE,'商品代碼-中繼頁'!R29,"")</f>
        <v/>
      </c>
      <c r="J34" s="429">
        <f ca="1">IFERROR(VLOOKUP(I34,bond!B:I,8,FALSE),0)</f>
        <v>0</v>
      </c>
      <c r="K34" s="429">
        <f ca="1">IFERROR(庫存管理[[#This Row],[買價]]+VLOOKUP(庫存管理[[#This Row],[商品代號]],bond!B:K,10,FALSE),0)</f>
        <v>0</v>
      </c>
      <c r="L34" s="430" t="e">
        <f ca="1">VLOOKUP(I34,'銀行-TSS'!B:E,4,FALSE)</f>
        <v>#N/A</v>
      </c>
      <c r="M34" s="431">
        <f ca="1">IFERROR(VLOOKUP($I34,'銀行-TSS'!B:G,6,FALSE),0)</f>
        <v>0</v>
      </c>
      <c r="N34" s="432" t="e">
        <f ca="1">IFERROR(DATEVALUE(VLOOKUP($I34,'銀行-TSS'!B:F,5,FALSE)),VLOOKUP($I34,'銀行-TSS'!B:F,5,FALSE))</f>
        <v>#N/A</v>
      </c>
      <c r="O34" s="433">
        <f ca="1">IFERROR(VLOOKUP($I34,'銀行-TSS'!B:H,7,FALSE),0)</f>
        <v>0</v>
      </c>
      <c r="P34" s="433" t="e">
        <f ca="1">庫存管理[[#This Row],[票面利率]]/庫存管理[[#This Row],[成本價(不含前手息)]]*100</f>
        <v>#VALUE!</v>
      </c>
      <c r="Q34" s="434" t="str">
        <f ca="1">IFERROR(VLOOKUP($I34,'銀行-TSS'!B:I,8,FALSE),"")</f>
        <v/>
      </c>
      <c r="R34" s="440" t="str">
        <f ca="1">_xlfn.IFNA(IFERROR(DATEVALUE(VLOOKUP($I34,'銀行-TSS'!B:P,15,FALSE)),VLOOKUP($I34,'銀行-TSS'!B:P,15,FALSE)),"")</f>
        <v/>
      </c>
      <c r="S34" s="570" t="b">
        <f ca="1">IF(AND(庫存管理[[#This Row],[配息頻率]]&lt;&gt;"",庫存管理[[#This Row],[持有成本(不含前手息)]]&lt;&gt;0,庫存管理[[#This Row],[買進日]]&lt;&gt;""),TRUE,FALSE)</f>
        <v>0</v>
      </c>
      <c r="T34" s="602" t="str">
        <f>IFERROR(DATE(LEFT('商品代碼-中繼頁'!S29,4),MID('商品代碼-中繼頁'!S29,5,2),RIGHT('商品代碼-中繼頁'!S29,2)),"")</f>
        <v/>
      </c>
      <c r="U34"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4" s="442" t="e">
        <f ca="1">IFERROR(WORKDAY(庫存管理[[#This Row],[買進日]],VLOOKUP(庫存管理[[#This Row],[商品代號]],'1_重設數據'!R:S,2,FALSE),休USD),庫存管理[[#This Row],[買進日(T+2/公債T+1)]])</f>
        <v>#N/A</v>
      </c>
      <c r="W34" s="43" t="str">
        <f>'商品代碼-中繼頁'!T29</f>
        <v/>
      </c>
      <c r="X34" s="43" t="str">
        <f>'商品代碼-中繼頁'!U29</f>
        <v/>
      </c>
      <c r="Y34" s="464">
        <f t="shared" ca="1" si="9"/>
        <v>0</v>
      </c>
      <c r="Z34" s="464" t="e">
        <f t="shared" ref="Z34:Z42" ca="1" si="31">ROUND(K34*W34/100,2)</f>
        <v>#VALUE!</v>
      </c>
      <c r="AA34" s="465" t="e">
        <f t="shared" ref="AA34:AA42" ca="1" si="32">ROUND(J34*W34/100,2)</f>
        <v>#VALUE!</v>
      </c>
      <c r="AB34" s="474" t="e">
        <f ca="1">IF(MF=2,庫存管理[[#This Row],[部位現值(不含前手息)]]-庫存管理[[#This Row],[持有成本(不含前手息)]],庫存管理[[#This Row],[部位現值(含前手息)]]-庫存管理[[#This Row],[持有成本(含前手息)]])</f>
        <v>#VALUE!</v>
      </c>
      <c r="AC34" s="462">
        <f ca="1">IF(庫存管理[[#This Row],[檢測]]=TRUE,IF(MF=2,IFERROR(庫存管理[[#This Row],[資本利損]]/庫存管理[[#This Row],[持有成本(不含前手息)]],0),IFERROR(庫存管理[[#This Row],[資本利損]]/庫存管理[[#This Row],[持有成本(含前手息)]],0)),0)</f>
        <v>0</v>
      </c>
      <c r="AD34" s="618" t="e">
        <f ca="1">庫存管理[[#This Row],[持有成本(不含前手息)]]/庫存管理[[#This Row],[投入面額]]*100</f>
        <v>#VALUE!</v>
      </c>
      <c r="AE34" s="462" t="str">
        <f ca="1">IFERROR(VLOOKUP(庫存管理[[#This Row],[商品代號]],bond!B:AA,26,FALSE),"")</f>
        <v/>
      </c>
      <c r="AF34" s="1" t="str">
        <f ca="1">IFERROR(VLOOKUP($I34,'銀行-TSS'!B:Q,16,FALSE),"")</f>
        <v/>
      </c>
      <c r="AG34" s="466">
        <f t="shared" ca="1" si="1"/>
        <v>0</v>
      </c>
      <c r="AH34" s="458" t="e">
        <f ca="1">IF(OR(庫存管理[[#This Row],[起息日]]&gt;庫存管理[[#This Row],[買進前一配息日(複算)]],庫存管理[[#This Row],[判斷]]=TRUE),庫存管理[[#This Row],[起息日]],庫存管理[[#This Row],[買進前一配息日(複算)]])</f>
        <v>#N/A</v>
      </c>
      <c r="AI34" s="577" t="e">
        <f ca="1">VLOOKUP(I34,bond!B:AP,41,FALSE)</f>
        <v>#N/A</v>
      </c>
      <c r="AJ34" s="578" t="e">
        <f t="shared" ref="AJ34:AJ42" ca="1" si="33">VLOOKUP(AI34,$B$7:$C$13,2,FALSE)</f>
        <v>#N/A</v>
      </c>
      <c r="AK34" s="579">
        <f ca="1">IFERROR(IF(庫存管理[[#This Row],[買進日是否落入record date]]=1,庫存管理[[#This Row],[record date制度前手息]],庫存管理[[#This Row],[計算前手息(初算)]]),0)</f>
        <v>0</v>
      </c>
      <c r="AL34" s="579" t="e">
        <f ca="1">IF(OR(庫存管理[[#This Row],[買進例外調整]]&lt;庫存管理[[#This Row],[起息日]],庫存管理[[#This Row],[買進例外調整]]&gt;庫存管理[[#This Row],[到期日]]),0,IF(庫存管理[[#This Row],[備註]]&lt;&gt;"",庫存管理[[#This Row],[買進時前手息]],IFERROR(ROUND(ACCRINT(AH34,AH34,V34,O34,100,Q34,AJ34,TRUE),4),0)))</f>
        <v>#N/A</v>
      </c>
      <c r="AM34" s="580" t="e">
        <f t="shared" ref="AM34:AM42" ca="1" si="34">ROUND(AK34*W34/100,2)</f>
        <v>#VALUE!</v>
      </c>
      <c r="AN34" s="440" t="e">
        <f ca="1">IFERROR(DATEVALUE(VLOOKUP(I34,bond!B:I,7,FALSE)),VLOOKUP(I34,bond!B:I,7,FALSE))</f>
        <v>#N/A</v>
      </c>
      <c r="AO34"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4" s="1075">
        <f ca="1">IFERROR(IF(庫存管理[[#This Row],[交割日是否落入record date]]=1,庫存管理[[#This Row],[交_record date制度前手息]],庫存管理[[#This Row],[計算交割前手息(初算)]]),0)</f>
        <v>0</v>
      </c>
      <c r="AQ34"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4" s="1063" t="e">
        <f ca="1">ROUND(庫存管理[[#This Row],[計算交割前手息(複算)]]*庫存管理[[#This Row],[投入面額]]/100,2)</f>
        <v>#VALUE!</v>
      </c>
      <c r="AS34" s="1064" t="e">
        <f ca="1">IF(庫存管理[[#This Row],[配息頻率]]=0,0,(100*庫存管理[[#This Row],[票面利率]]/庫存管理[[#This Row],[配息頻率]])*庫存管理[[#This Row],[經過幾次配息]]+庫存管理[[#This Row],[計算交割前手息(複算)]]-庫存管理[[#This Row],[計算前手息(複算)]])</f>
        <v>#VALUE!</v>
      </c>
      <c r="AT34" s="581" t="e">
        <f ca="1">IF(庫存管理[[#This Row],[商品代號]]="XFM90",0,ROUND(AS34*W34/100,2))</f>
        <v>#VALUE!</v>
      </c>
      <c r="AU34" s="582">
        <f ca="1">IF(MF=2,IFERROR(庫存管理[[#This Row],[累計配息]]/庫存管理[[#This Row],[持有成本(不含前手息)]],0),IFERROR(庫存管理[[#This Row],[已實現配息(原幣)]]/庫存管理[[#This Row],[持有成本(含前手息)]],0))</f>
        <v>0</v>
      </c>
      <c r="AV34" s="583" t="e">
        <f ca="1">IF(MF=2,庫存管理[[#This Row],[資本利損]]+庫存管理[[#This Row],[累計配息]],庫存管理[[#This Row],[資本利損]]+庫存管理[[#This Row],[已實現配息(原幣)]])</f>
        <v>#VALUE!</v>
      </c>
      <c r="AW34" s="584">
        <f ca="1">IF(庫存管理[[#This Row],[檢測]]=TRUE,IF(MF=2,IFERROR(庫存管理[[#This Row],[合計收益]]/庫存管理[[#This Row],[持有成本(不含前手息)]],0),IFERROR(庫存管理[[#This Row],[合計收益]]/庫存管理[[#This Row],[持有成本(含前手息)]],0)),0)</f>
        <v>0</v>
      </c>
      <c r="AX34" s="434" t="e">
        <f t="shared" ref="AX34:AX42" ca="1" si="35">IF(Q34=0,0,IF(MOD(MONTH(R34),12/Q34)=0,12/Q34,MOD(MONTH(R34),12/Q34)))</f>
        <v>#VALUE!</v>
      </c>
      <c r="AY34" s="434" t="e">
        <f t="shared" ref="AY34:AY42" ca="1" si="36">IF(Q34&gt;=2,AX34+12/Q34,0)</f>
        <v>#VALUE!</v>
      </c>
      <c r="AZ34" s="434">
        <f t="shared" ref="AZ34:AZ42" ca="1" si="37">IF(Q34=4,AY34+12/Q34,0)</f>
        <v>0</v>
      </c>
      <c r="BA34" s="434">
        <f t="shared" ref="BA34:BA42" ca="1" si="38">IF(Q34=4,AZ34+12/Q34,0)</f>
        <v>0</v>
      </c>
      <c r="BB34" s="441" t="e">
        <f ca="1">IF(AND(庫存管理[[#This Row],[名稱]]="美國國庫債券",DAY(庫存管理[[#This Row],[買進前一配息日(初算)]])&gt;=28),EOMONTH(庫存管理[[#This Row],[買進前一配息日(初算)]],0),庫存管理[[#This Row],[買進前一配息日(初算)]])</f>
        <v>#N/A</v>
      </c>
      <c r="BC34" s="441" t="e">
        <f t="shared" ref="BC34:BC42" ca="1" si="39">INDEX(BE34:BI34,1,MATCH(MIN(BJ34:BN34),BJ34:BN34,0))</f>
        <v>#N/A</v>
      </c>
      <c r="BD34" s="444" t="e">
        <f t="shared" ref="BD34:BD42" ca="1" si="40">YEAR(V34)</f>
        <v>#N/A</v>
      </c>
      <c r="BE34" s="441" t="e">
        <f ca="1">IF(Q34&gt;0,IF(MONTH(DATE(BD34,AX34,DAY(R34)))&lt;&gt;庫存管理[[#This Row],[第一個配息月]],DATE(BD34,AX34+1,0),DATE(BD34,AX34,DAY(R34))),庫存管理[[#This Row],[買進例外調整]]+100)</f>
        <v>#N/A</v>
      </c>
      <c r="BF34" s="441" t="e">
        <f ca="1">IF(AY34&lt;&gt;0,IF(MONTH(DATE(BD34,AY34,DAY(R34)))&lt;&gt;庫存管理[[#This Row],[第二個配息月]],DATE(BD34,AY34+1,0),DATE(BD34,AY34,DAY(R34))),庫存管理[[#This Row],[買進例外調整]]+100)</f>
        <v>#VALUE!</v>
      </c>
      <c r="BG34" s="441" t="e">
        <f ca="1">IF(AZ34&lt;&gt;0,IF(MONTH(DATE(BD34,AZ34,DAY(R34)))&lt;&gt;庫存管理[[#This Row],[第三個配息月]],DATE(BD34,AZ34+1,0),DATE(BD34,AZ34,DAY(R34))),庫存管理[[#This Row],[買進例外調整]]+100)</f>
        <v>#N/A</v>
      </c>
      <c r="BH34" s="441" t="e">
        <f ca="1">IF(BA34&lt;&gt;0,IF(MONTH(DATE(BD34,BA34,DAY(R34)))&lt;&gt;庫存管理[[#This Row],[第四個配息月]],DATE(BD34,BA34+1,0),DATE(BD34,BA34,DAY(R34))),庫存管理[[#This Row],[買進例外調整]]+100)</f>
        <v>#N/A</v>
      </c>
      <c r="BI34" s="441" t="e">
        <f ca="1">IF(Q34=1,IF(MONTH(DATE(BD34-1,AX34,DAY(R34)))&lt;&gt;庫存管理[[#This Row],[第一個配息月]],DATE(BD34-1,AX34+1,0),DATE(BD34-1,AX34,DAY(R34))),IF(Q34=2,IF(MONTH(DATE(BD34-1,AY34,DAY(R34)))&lt;&gt;庫存管理[[#This Row],[第二個配息月]],DATE(BD34-1,AY34+1,0),DATE(BD34-1,AY34,DAY(R34))),IF(Q34=4,IF(MONTH(DATE(BD34-1,BA34,DAY(R34)))&lt;&gt;庫存管理[[#This Row],[第四個配息月]],DATE(BD34-1,BA34+1,0),DATE(BD34-1,BA34,DAY(R34))),庫存管理[[#This Row],[買進例外調整]]+100)))</f>
        <v>#N/A</v>
      </c>
      <c r="BJ34" s="445">
        <f t="shared" ref="BJ34:BJ42" ca="1" si="41">IFERROR(DATEDIF(BE34,$V34,"d"),10000)</f>
        <v>10000</v>
      </c>
      <c r="BK34" s="445">
        <f t="shared" ref="BK34:BK42" ca="1" si="42">IFERROR(DATEDIF(BF34,$V34,"d"),10000)</f>
        <v>10000</v>
      </c>
      <c r="BL34" s="445">
        <f t="shared" ref="BL34:BL42" ca="1" si="43">IFERROR(DATEDIF(BG34,$V34,"d"),10000)</f>
        <v>10000</v>
      </c>
      <c r="BM34" s="445">
        <f t="shared" ref="BM34:BM42" ca="1" si="44">IFERROR(DATEDIF(BH34,$V34,"d"),10000)</f>
        <v>10000</v>
      </c>
      <c r="BN34" s="455">
        <f t="shared" ref="BN34:BN42" ca="1" si="45">IFERROR(DATEDIF(BI34,$V34,"d"),10000)</f>
        <v>10000</v>
      </c>
      <c r="BO34" s="479" t="e">
        <f ca="1">庫存管理[[#This Row],[年度配息]]/庫存管理[[#This Row],[配息頻率]]</f>
        <v>#VALUE!</v>
      </c>
      <c r="BP34" s="479" t="e">
        <f ca="1">庫存管理[[#This Row],[單次配息(原幣)]]*庫存管理[[#This Row],[換算匯率(現)]]</f>
        <v>#VALUE!</v>
      </c>
      <c r="BQ34" s="479" t="str">
        <f ca="1">IF(庫存管理[[#This Row],[商品代號]]&lt;&gt;"",IFERROR(VLOOKUP($I34,'銀行-TSS'!B:C,2,FALSE),""),"")</f>
        <v/>
      </c>
      <c r="BR34" s="479" t="e">
        <f ca="1">VLOOKUP(庫存管理[[#This Row],[幣別]],$B$37:$C$43,2,FALSE)</f>
        <v>#N/A</v>
      </c>
      <c r="BS34" s="500" t="e">
        <f ca="1">CHOOSE(庫存管理[[#This Row],[對應編碼]],$D$37,$D$38,$D$39,$D$40,$D$41,$D$42,$D$43)</f>
        <v>#N/A</v>
      </c>
      <c r="BT34" s="500">
        <f ca="1">IF(庫存管理[[#This Row],[商品代號]]="",0,CHOOSE(庫存管理[[#This Row],[對應編碼]],$E$37,$E$38,$E$39,$E$40,$E$41,$E$42,$E$43))</f>
        <v>0</v>
      </c>
      <c r="BU34" s="1555">
        <f ca="1">IF(庫存管理[[#This Row],[檢測]]=TRUE,庫存管理[[#This Row],[投入面額]]*庫存管理[[#This Row],[換算匯率(現)]],0)</f>
        <v>0</v>
      </c>
      <c r="BV34" s="1555">
        <f ca="1">IF(庫存管理[[#This Row],[檢測]]=TRUE,IFERROR(庫存管理[[#This Row],[持有成本(含前手息)]]*庫存管理[[#This Row],[換算匯率(買)]],0),0)</f>
        <v>0</v>
      </c>
      <c r="BW34" s="1555">
        <f ca="1">IF(庫存管理[[#This Row],[檢測]]=TRUE,庫存管理[[#This Row],[持有成本(不含前手息)]]*庫存管理[[#This Row],[換算匯率(買)]],0)</f>
        <v>0</v>
      </c>
      <c r="BX34" s="1555">
        <f ca="1">IF(庫存管理[[#This Row],[檢測]]=TRUE,庫存管理[[#This Row],[部位現值(含前手息)]]*庫存管理[[#This Row],[換算匯率(現)]],0)</f>
        <v>0</v>
      </c>
      <c r="BY34" s="1555">
        <f ca="1">IF(庫存管理[[#This Row],[檢測]]=TRUE,庫存管理[[#This Row],[部位現值(不含前手息)]]*庫存管理[[#This Row],[換算匯率(現)]],0)</f>
        <v>0</v>
      </c>
      <c r="BZ34" s="1555">
        <f ca="1">IF(庫存管理[[#This Row],[檢測]]=TRUE,IF(MF=2,庫存管理[[#This Row],[累計配息]]*庫存管理[[#This Row],[換算匯率(現)]],庫存管理[[#This Row],[已實現配息(原幣)]]*庫存管理[[#This Row],[換算匯率(現)]]),0)</f>
        <v>0</v>
      </c>
      <c r="CA34" s="1555" t="e">
        <f ca="1">庫存管理[[#This Row],[資本利損]]*庫存管理[[#This Row],[換算匯率(現)]]</f>
        <v>#VALUE!</v>
      </c>
      <c r="CB34" s="1555" t="e">
        <f ca="1">庫存管理[[#This Row],[累計利息(台)]]+庫存管理[[#This Row],[資本貢獻(台)]]</f>
        <v>#VALUE!</v>
      </c>
      <c r="CC34" s="574">
        <f ca="1">IF(庫存管理[[#This Row],[檢測]]=TRUE,IFERROR(庫存管理[[#This Row],[配息報酬]],0),0)</f>
        <v>0</v>
      </c>
      <c r="CD34" s="574">
        <f ca="1">IF(庫存管理[[#This Row],[檢測]]=TRUE,庫存管理[[#This Row],[資本報酬]],0)</f>
        <v>0</v>
      </c>
      <c r="CE34" s="574">
        <f ca="1">IF(S34=TRUE,IFERROR(庫存管理[[#This Row],[換匯總報酬率]]-(庫存管理[[#This Row],[配息報酬率]]+庫存管理[[#This Row],[資本報酬率]]),0),0)</f>
        <v>0</v>
      </c>
      <c r="CF34"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4" s="585">
        <f ca="1">IF(AND(庫存管理[[#This Row],[檢測]]=TRUE,開關=TRUE),IF(MF=2,IFERROR(BW34/$BW$1,0),IFERROR(BV34/$BV$1,0)),0)</f>
        <v>0</v>
      </c>
      <c r="CH34" s="574">
        <f ca="1">IF(庫存管理[[#This Row],[檢測]]=TRUE,IF(MF=2,IFERROR(BY34/$BY$1,0),IFERROR(BX34/$BX$1,0)),0)</f>
        <v>0</v>
      </c>
      <c r="CI34"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4" s="646" t="e">
        <f ca="1">DATEDIF(庫存管理[[#This Row],[買進例外調整]],庫存管理[[#This Row],[到期日]],"d")/365.25</f>
        <v>#N/A</v>
      </c>
      <c r="CK34" s="734" t="e">
        <f ca="1">DATEVALUE(VLOOKUP(庫存管理[[#This Row],[商品代號]],bond!B:AF,31,FALSE))</f>
        <v>#N/A</v>
      </c>
      <c r="CL34" s="734" t="e">
        <f ca="1">IF(庫存管理[[#This Row],[買下配(國調)]]&lt;庫存管理[[#This Row],[第一票息日]],庫存管理[[#This Row],[第一票息日]],庫存管理[[#This Row],[買下配(國調)]])</f>
        <v>#N/A</v>
      </c>
      <c r="CM34"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4"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4" s="735">
        <f ca="1">IF(庫存管理[[#This Row],[商品代號]]="XFM90",0,IFERROR(庫存管理[[#This Row],[單次配息(原幣)]]*庫存管理[[#This Row],[經過幾次配息]],0))</f>
        <v>0</v>
      </c>
      <c r="CP34" s="735" t="e">
        <f ca="1">VLOOKUP(庫存管理[[#This Row],[商品代號]],bond!B:F,5,FALSE)</f>
        <v>#N/A</v>
      </c>
      <c r="CQ34" s="734" t="str">
        <f ca="1">IFERROR(VLOOKUP(庫存管理[[#This Row],[ISIN]],'7_發行日例外'!A:C,3,FALSE),IFERROR(DATEVALUE(VLOOKUP(庫存管理[[#This Row],[商品代號]],bond!B:AR,43,FALSE)),""))</f>
        <v/>
      </c>
      <c r="CR34" s="735" t="e">
        <f ca="1">DATEDIF(庫存管理[[#This Row],[起息日]],庫存管理[[#This Row],[買進前一配息日(複算)]],"d")</f>
        <v>#VALUE!</v>
      </c>
      <c r="CS34"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4" s="734" t="e">
        <f ca="1">IFERROR(VLOOKUP(庫存管理[[#This Row],[ISIN]],'7_發行日例外'!A:D,4,FALSE),DATEVALUE(VLOOKUP(庫存管理[[#This Row],[商品代號]],bond!B:AV,44,FALSE)))</f>
        <v>#N/A</v>
      </c>
      <c r="CU34" s="735" t="e">
        <f ca="1">VLOOKUP(庫存管理[[#This Row],[商品代號]],bond!B:AU,46,FALSE)</f>
        <v>#N/A</v>
      </c>
      <c r="CV34" s="735" t="e">
        <f ca="1">IF(庫存管理[[#This Row],[計息基礎]]=1,CHOOSE(庫存管理[[#This Row],[對應編碼]],"沒進位","","沒進位",IF(庫存管理[[#This Row],[計算類型]]="AUSTRALIA:EX-DIV","4捨五入進0.01%","沒進位"),"年/2去計算ACT","沒進位","沒進位"),"")</f>
        <v>#N/A</v>
      </c>
      <c r="CW34" s="735" t="e">
        <f ca="1">_xlfn.DAYS(庫存管理[[#This Row],[買進例外調整]],庫存管理[[#This Row],[買進前一個配息日(最終)]])</f>
        <v>#N/A</v>
      </c>
      <c r="CX34" s="735" t="e">
        <f ca="1">IF(庫存管理[[#This Row],[備註]]="年/2去計算ACT",365/2,_xlfn.DAYS(庫存管理[[#This Row],[買進時的下個配息日]],庫存管理[[#This Row],[買進前一個配息日(最終)]]))</f>
        <v>#N/A</v>
      </c>
      <c r="CY34"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4" s="767" t="e">
        <f ca="1">_xlfn.DAYS(庫存管理[[#This Row],[交割日]],庫存管理[[#This Row],[買進前一個配息日(最終)]])</f>
        <v>#N/A</v>
      </c>
      <c r="DA34"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4" s="767" t="e">
        <f ca="1">_xlfn.DAYS(庫存管理[[#This Row],[交割日]],庫存管理[[#This Row],[最近的上一票息日]])</f>
        <v>#N/A</v>
      </c>
      <c r="DC34" s="767" t="e">
        <f ca="1">IF(庫存管理[[#This Row],[備註]]="年/2去計算ACT",365/2,_xlfn.DAYS(庫存管理[[#This Row],[下一配息日]],庫存管理[[#This Row],[最近的上一票息日]]))</f>
        <v>#N/A</v>
      </c>
      <c r="DD34"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4" s="739" t="e">
        <f ca="1">CL34-庫存管理[[#This Row],[ex_div_days]]</f>
        <v>#N/A</v>
      </c>
      <c r="DF34" s="646" t="e">
        <f ca="1">IF(VLOOKUP(庫存管理[[#This Row],[商品代號]],bond!B:AT,45,FALSE)="#N/A Field Not Applicable",0,VLOOKUP(庫存管理[[#This Row],[商品代號]],bond!B:AT,45,FALSE))</f>
        <v>#N/A</v>
      </c>
      <c r="DG34" s="793" t="e">
        <f ca="1">IF(庫存管理[[#This Row],[ex_div_days]]&lt;&gt;0,IF(AND(庫存管理[[#This Row],[買進例外調整]]-庫存管理[[#This Row],[買進下一個配息日先減n天]]&gt;=0,庫存管理[[#This Row],[買進時的下個配息日]]-庫存管理[[#This Row],[買進例外調整]]&gt;0),1,0),0)</f>
        <v>#N/A</v>
      </c>
      <c r="DH34"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4" s="734" t="e">
        <f ca="1">庫存管理[[#This Row],[下一配息日]]-庫存管理[[#This Row],[ex_div_days]]</f>
        <v>#VALUE!</v>
      </c>
      <c r="DJ34" s="1081" t="e">
        <f ca="1">IF(庫存管理[[#This Row],[ex_div_days]]&lt;&gt;0,IF(AND(庫存管理[[#This Row],[交割日]]-庫存管理[[#This Row],[交割下個配息日先減n天]]&gt;=0,庫存管理[[#This Row],[下一配息日]]-庫存管理[[#This Row],[交割日]]&gt;0),1,0),0)</f>
        <v>#N/A</v>
      </c>
      <c r="DK34"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4" s="735">
        <f ca="1">IFERROR(VLOOKUP(庫存管理[[#This Row],[商品代號]],bond!B:X,21,FALSE),0)</f>
        <v>0</v>
      </c>
      <c r="DM34" s="735">
        <f ca="1">IFERROR(VLOOKUP(I34,bond!B:J,9,FALSE),0)</f>
        <v>0</v>
      </c>
      <c r="DN34" s="1188">
        <f ca="1">IF(AND(開關=TRUE,庫存管理[[#This Row],[投組檢測]]=TRUE),IF(MF=2,IFERROR(BW34/$BW$3,0),IFERROR(BV34/$BV$3,0)),0)</f>
        <v>0</v>
      </c>
      <c r="DO34" s="735">
        <f ca="1">IFERROR(庫存管理[[#This Row],[clean申購價]]/100*庫存管理[[#This Row],[投入面額]]*庫存管理[[#This Row],[MOD]]*0.01,0)</f>
        <v>0</v>
      </c>
      <c r="DP34" s="1298" t="e">
        <f ca="1">IF($C$16=1,庫存管理[[#This Row],[單次配息(台幣)]],庫存管理[[#This Row],[單次配息(原幣)]])</f>
        <v>#VALUE!</v>
      </c>
      <c r="DQ34"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4"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4"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4"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4"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4"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4"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4"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4"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4"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4"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4"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5" spans="1:132" ht="19.5" customHeight="1">
      <c r="G35" s="459">
        <v>29</v>
      </c>
      <c r="H35" s="1166" t="b">
        <f ca="1">IFERROR(IF(VLOOKUP(G35,換券投組!$AH$8:$AH$13,1,FALSE)&gt;0,TRUE,FALSE),FALSE)</f>
        <v>0</v>
      </c>
      <c r="I35" s="1693" t="str">
        <f ca="1">IF(開關=TRUE,'商品代碼-中繼頁'!R30,"")</f>
        <v/>
      </c>
      <c r="J35" s="429">
        <f ca="1">IFERROR(VLOOKUP(I35,bond!B:I,8,FALSE),0)</f>
        <v>0</v>
      </c>
      <c r="K35" s="429">
        <f ca="1">IFERROR(庫存管理[[#This Row],[買價]]+VLOOKUP(庫存管理[[#This Row],[商品代號]],bond!B:K,10,FALSE),0)</f>
        <v>0</v>
      </c>
      <c r="L35" s="430" t="e">
        <f ca="1">VLOOKUP(I35,'銀行-TSS'!B:E,4,FALSE)</f>
        <v>#N/A</v>
      </c>
      <c r="M35" s="431">
        <f ca="1">IFERROR(VLOOKUP($I35,'銀行-TSS'!B:G,6,FALSE),0)</f>
        <v>0</v>
      </c>
      <c r="N35" s="432" t="e">
        <f ca="1">IFERROR(DATEVALUE(VLOOKUP($I35,'銀行-TSS'!B:F,5,FALSE)),VLOOKUP($I35,'銀行-TSS'!B:F,5,FALSE))</f>
        <v>#N/A</v>
      </c>
      <c r="O35" s="433">
        <f ca="1">IFERROR(VLOOKUP($I35,'銀行-TSS'!B:H,7,FALSE),0)</f>
        <v>0</v>
      </c>
      <c r="P35" s="433" t="e">
        <f ca="1">庫存管理[[#This Row],[票面利率]]/庫存管理[[#This Row],[成本價(不含前手息)]]*100</f>
        <v>#VALUE!</v>
      </c>
      <c r="Q35" s="434" t="str">
        <f ca="1">IFERROR(VLOOKUP($I35,'銀行-TSS'!B:I,8,FALSE),"")</f>
        <v/>
      </c>
      <c r="R35" s="440" t="str">
        <f ca="1">_xlfn.IFNA(IFERROR(DATEVALUE(VLOOKUP($I35,'銀行-TSS'!B:P,15,FALSE)),VLOOKUP($I35,'銀行-TSS'!B:P,15,FALSE)),"")</f>
        <v/>
      </c>
      <c r="S35" s="570" t="b">
        <f ca="1">IF(AND(庫存管理[[#This Row],[配息頻率]]&lt;&gt;"",庫存管理[[#This Row],[持有成本(不含前手息)]]&lt;&gt;0,庫存管理[[#This Row],[買進日]]&lt;&gt;""),TRUE,FALSE)</f>
        <v>0</v>
      </c>
      <c r="T35" s="602" t="str">
        <f>IFERROR(DATE(LEFT('商品代碼-中繼頁'!S30,4),MID('商品代碼-中繼頁'!S30,5,2),RIGHT('商品代碼-中繼頁'!S30,2)),"")</f>
        <v/>
      </c>
      <c r="U35"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5" s="442" t="e">
        <f ca="1">IFERROR(WORKDAY(庫存管理[[#This Row],[買進日]],VLOOKUP(庫存管理[[#This Row],[商品代號]],'1_重設數據'!R:S,2,FALSE),休USD),庫存管理[[#This Row],[買進日(T+2/公債T+1)]])</f>
        <v>#N/A</v>
      </c>
      <c r="W35" s="43" t="str">
        <f>'商品代碼-中繼頁'!T30</f>
        <v/>
      </c>
      <c r="X35" s="43" t="str">
        <f>'商品代碼-中繼頁'!U30</f>
        <v/>
      </c>
      <c r="Y35" s="464">
        <f t="shared" ca="1" si="9"/>
        <v>0</v>
      </c>
      <c r="Z35" s="464" t="e">
        <f t="shared" ca="1" si="31"/>
        <v>#VALUE!</v>
      </c>
      <c r="AA35" s="465" t="e">
        <f t="shared" ca="1" si="32"/>
        <v>#VALUE!</v>
      </c>
      <c r="AB35" s="474" t="e">
        <f ca="1">IF(MF=2,庫存管理[[#This Row],[部位現值(不含前手息)]]-庫存管理[[#This Row],[持有成本(不含前手息)]],庫存管理[[#This Row],[部位現值(含前手息)]]-庫存管理[[#This Row],[持有成本(含前手息)]])</f>
        <v>#VALUE!</v>
      </c>
      <c r="AC35" s="462">
        <f ca="1">IF(庫存管理[[#This Row],[檢測]]=TRUE,IF(MF=2,IFERROR(庫存管理[[#This Row],[資本利損]]/庫存管理[[#This Row],[持有成本(不含前手息)]],0),IFERROR(庫存管理[[#This Row],[資本利損]]/庫存管理[[#This Row],[持有成本(含前手息)]],0)),0)</f>
        <v>0</v>
      </c>
      <c r="AD35" s="618" t="e">
        <f ca="1">庫存管理[[#This Row],[持有成本(不含前手息)]]/庫存管理[[#This Row],[投入面額]]*100</f>
        <v>#VALUE!</v>
      </c>
      <c r="AE35" s="462" t="str">
        <f ca="1">IFERROR(VLOOKUP(庫存管理[[#This Row],[商品代號]],bond!B:AA,26,FALSE),"")</f>
        <v/>
      </c>
      <c r="AF35" s="1" t="str">
        <f ca="1">IFERROR(VLOOKUP($I35,'銀行-TSS'!B:Q,16,FALSE),"")</f>
        <v/>
      </c>
      <c r="AG35" s="466">
        <f t="shared" ca="1" si="1"/>
        <v>0</v>
      </c>
      <c r="AH35" s="458" t="e">
        <f ca="1">IF(OR(庫存管理[[#This Row],[起息日]]&gt;庫存管理[[#This Row],[買進前一配息日(複算)]],庫存管理[[#This Row],[判斷]]=TRUE),庫存管理[[#This Row],[起息日]],庫存管理[[#This Row],[買進前一配息日(複算)]])</f>
        <v>#N/A</v>
      </c>
      <c r="AI35" s="577" t="e">
        <f ca="1">VLOOKUP(I35,bond!B:AP,41,FALSE)</f>
        <v>#N/A</v>
      </c>
      <c r="AJ35" s="578" t="e">
        <f t="shared" ca="1" si="33"/>
        <v>#N/A</v>
      </c>
      <c r="AK35" s="579">
        <f ca="1">IFERROR(IF(庫存管理[[#This Row],[買進日是否落入record date]]=1,庫存管理[[#This Row],[record date制度前手息]],庫存管理[[#This Row],[計算前手息(初算)]]),0)</f>
        <v>0</v>
      </c>
      <c r="AL35" s="579" t="e">
        <f ca="1">IF(OR(庫存管理[[#This Row],[買進例外調整]]&lt;庫存管理[[#This Row],[起息日]],庫存管理[[#This Row],[買進例外調整]]&gt;庫存管理[[#This Row],[到期日]]),0,IF(庫存管理[[#This Row],[備註]]&lt;&gt;"",庫存管理[[#This Row],[買進時前手息]],IFERROR(ROUND(ACCRINT(AH35,AH35,V35,O35,100,Q35,AJ35,TRUE),4),0)))</f>
        <v>#N/A</v>
      </c>
      <c r="AM35" s="580" t="e">
        <f t="shared" ca="1" si="34"/>
        <v>#VALUE!</v>
      </c>
      <c r="AN35" s="440" t="e">
        <f ca="1">IFERROR(DATEVALUE(VLOOKUP(I35,bond!B:I,7,FALSE)),VLOOKUP(I35,bond!B:I,7,FALSE))</f>
        <v>#N/A</v>
      </c>
      <c r="AO35"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5" s="1075">
        <f ca="1">IFERROR(IF(庫存管理[[#This Row],[交割日是否落入record date]]=1,庫存管理[[#This Row],[交_record date制度前手息]],庫存管理[[#This Row],[計算交割前手息(初算)]]),0)</f>
        <v>0</v>
      </c>
      <c r="AQ35"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5" s="1063" t="e">
        <f ca="1">ROUND(庫存管理[[#This Row],[計算交割前手息(複算)]]*庫存管理[[#This Row],[投入面額]]/100,2)</f>
        <v>#VALUE!</v>
      </c>
      <c r="AS35" s="1064" t="e">
        <f ca="1">IF(庫存管理[[#This Row],[配息頻率]]=0,0,(100*庫存管理[[#This Row],[票面利率]]/庫存管理[[#This Row],[配息頻率]])*庫存管理[[#This Row],[經過幾次配息]]+庫存管理[[#This Row],[計算交割前手息(複算)]]-庫存管理[[#This Row],[計算前手息(複算)]])</f>
        <v>#VALUE!</v>
      </c>
      <c r="AT35" s="581" t="e">
        <f ca="1">IF(庫存管理[[#This Row],[商品代號]]="XFM90",0,ROUND(AS35*W35/100,2))</f>
        <v>#VALUE!</v>
      </c>
      <c r="AU35" s="582">
        <f ca="1">IF(MF=2,IFERROR(庫存管理[[#This Row],[累計配息]]/庫存管理[[#This Row],[持有成本(不含前手息)]],0),IFERROR(庫存管理[[#This Row],[已實現配息(原幣)]]/庫存管理[[#This Row],[持有成本(含前手息)]],0))</f>
        <v>0</v>
      </c>
      <c r="AV35" s="583" t="e">
        <f ca="1">IF(MF=2,庫存管理[[#This Row],[資本利損]]+庫存管理[[#This Row],[累計配息]],庫存管理[[#This Row],[資本利損]]+庫存管理[[#This Row],[已實現配息(原幣)]])</f>
        <v>#VALUE!</v>
      </c>
      <c r="AW35" s="584">
        <f ca="1">IF(庫存管理[[#This Row],[檢測]]=TRUE,IF(MF=2,IFERROR(庫存管理[[#This Row],[合計收益]]/庫存管理[[#This Row],[持有成本(不含前手息)]],0),IFERROR(庫存管理[[#This Row],[合計收益]]/庫存管理[[#This Row],[持有成本(含前手息)]],0)),0)</f>
        <v>0</v>
      </c>
      <c r="AX35" s="434" t="e">
        <f t="shared" ca="1" si="35"/>
        <v>#VALUE!</v>
      </c>
      <c r="AY35" s="434" t="e">
        <f t="shared" ca="1" si="36"/>
        <v>#VALUE!</v>
      </c>
      <c r="AZ35" s="434">
        <f t="shared" ca="1" si="37"/>
        <v>0</v>
      </c>
      <c r="BA35" s="434">
        <f t="shared" ca="1" si="38"/>
        <v>0</v>
      </c>
      <c r="BB35" s="441" t="e">
        <f ca="1">IF(AND(庫存管理[[#This Row],[名稱]]="美國國庫債券",DAY(庫存管理[[#This Row],[買進前一配息日(初算)]])&gt;=28),EOMONTH(庫存管理[[#This Row],[買進前一配息日(初算)]],0),庫存管理[[#This Row],[買進前一配息日(初算)]])</f>
        <v>#N/A</v>
      </c>
      <c r="BC35" s="441" t="e">
        <f t="shared" ca="1" si="39"/>
        <v>#N/A</v>
      </c>
      <c r="BD35" s="444" t="e">
        <f t="shared" ca="1" si="40"/>
        <v>#N/A</v>
      </c>
      <c r="BE35" s="441" t="e">
        <f ca="1">IF(Q35&gt;0,IF(MONTH(DATE(BD35,AX35,DAY(R35)))&lt;&gt;庫存管理[[#This Row],[第一個配息月]],DATE(BD35,AX35+1,0),DATE(BD35,AX35,DAY(R35))),庫存管理[[#This Row],[買進例外調整]]+100)</f>
        <v>#N/A</v>
      </c>
      <c r="BF35" s="441" t="e">
        <f ca="1">IF(AY35&lt;&gt;0,IF(MONTH(DATE(BD35,AY35,DAY(R35)))&lt;&gt;庫存管理[[#This Row],[第二個配息月]],DATE(BD35,AY35+1,0),DATE(BD35,AY35,DAY(R35))),庫存管理[[#This Row],[買進例外調整]]+100)</f>
        <v>#VALUE!</v>
      </c>
      <c r="BG35" s="441" t="e">
        <f ca="1">IF(AZ35&lt;&gt;0,IF(MONTH(DATE(BD35,AZ35,DAY(R35)))&lt;&gt;庫存管理[[#This Row],[第三個配息月]],DATE(BD35,AZ35+1,0),DATE(BD35,AZ35,DAY(R35))),庫存管理[[#This Row],[買進例外調整]]+100)</f>
        <v>#N/A</v>
      </c>
      <c r="BH35" s="441" t="e">
        <f ca="1">IF(BA35&lt;&gt;0,IF(MONTH(DATE(BD35,BA35,DAY(R35)))&lt;&gt;庫存管理[[#This Row],[第四個配息月]],DATE(BD35,BA35+1,0),DATE(BD35,BA35,DAY(R35))),庫存管理[[#This Row],[買進例外調整]]+100)</f>
        <v>#N/A</v>
      </c>
      <c r="BI35" s="441" t="e">
        <f ca="1">IF(Q35=1,IF(MONTH(DATE(BD35-1,AX35,DAY(R35)))&lt;&gt;庫存管理[[#This Row],[第一個配息月]],DATE(BD35-1,AX35+1,0),DATE(BD35-1,AX35,DAY(R35))),IF(Q35=2,IF(MONTH(DATE(BD35-1,AY35,DAY(R35)))&lt;&gt;庫存管理[[#This Row],[第二個配息月]],DATE(BD35-1,AY35+1,0),DATE(BD35-1,AY35,DAY(R35))),IF(Q35=4,IF(MONTH(DATE(BD35-1,BA35,DAY(R35)))&lt;&gt;庫存管理[[#This Row],[第四個配息月]],DATE(BD35-1,BA35+1,0),DATE(BD35-1,BA35,DAY(R35))),庫存管理[[#This Row],[買進例外調整]]+100)))</f>
        <v>#N/A</v>
      </c>
      <c r="BJ35" s="445">
        <f t="shared" ca="1" si="41"/>
        <v>10000</v>
      </c>
      <c r="BK35" s="445">
        <f t="shared" ca="1" si="42"/>
        <v>10000</v>
      </c>
      <c r="BL35" s="445">
        <f t="shared" ca="1" si="43"/>
        <v>10000</v>
      </c>
      <c r="BM35" s="445">
        <f t="shared" ca="1" si="44"/>
        <v>10000</v>
      </c>
      <c r="BN35" s="455">
        <f t="shared" ca="1" si="45"/>
        <v>10000</v>
      </c>
      <c r="BO35" s="479" t="e">
        <f ca="1">庫存管理[[#This Row],[年度配息]]/庫存管理[[#This Row],[配息頻率]]</f>
        <v>#VALUE!</v>
      </c>
      <c r="BP35" s="479" t="e">
        <f ca="1">庫存管理[[#This Row],[單次配息(原幣)]]*庫存管理[[#This Row],[換算匯率(現)]]</f>
        <v>#VALUE!</v>
      </c>
      <c r="BQ35" s="479" t="str">
        <f ca="1">IF(庫存管理[[#This Row],[商品代號]]&lt;&gt;"",IFERROR(VLOOKUP($I35,'銀行-TSS'!B:C,2,FALSE),""),"")</f>
        <v/>
      </c>
      <c r="BR35" s="479" t="e">
        <f ca="1">VLOOKUP(庫存管理[[#This Row],[幣別]],$B$37:$C$43,2,FALSE)</f>
        <v>#N/A</v>
      </c>
      <c r="BS35" s="500" t="e">
        <f ca="1">CHOOSE(庫存管理[[#This Row],[對應編碼]],$D$37,$D$38,$D$39,$D$40,$D$41,$D$42,$D$43)</f>
        <v>#N/A</v>
      </c>
      <c r="BT35" s="500">
        <f ca="1">IF(庫存管理[[#This Row],[商品代號]]="",0,CHOOSE(庫存管理[[#This Row],[對應編碼]],$E$37,$E$38,$E$39,$E$40,$E$41,$E$42,$E$43))</f>
        <v>0</v>
      </c>
      <c r="BU35" s="1555">
        <f ca="1">IF(庫存管理[[#This Row],[檢測]]=TRUE,庫存管理[[#This Row],[投入面額]]*庫存管理[[#This Row],[換算匯率(現)]],0)</f>
        <v>0</v>
      </c>
      <c r="BV35" s="1555">
        <f ca="1">IF(庫存管理[[#This Row],[檢測]]=TRUE,IFERROR(庫存管理[[#This Row],[持有成本(含前手息)]]*庫存管理[[#This Row],[換算匯率(買)]],0),0)</f>
        <v>0</v>
      </c>
      <c r="BW35" s="1555">
        <f ca="1">IF(庫存管理[[#This Row],[檢測]]=TRUE,庫存管理[[#This Row],[持有成本(不含前手息)]]*庫存管理[[#This Row],[換算匯率(買)]],0)</f>
        <v>0</v>
      </c>
      <c r="BX35" s="1555">
        <f ca="1">IF(庫存管理[[#This Row],[檢測]]=TRUE,庫存管理[[#This Row],[部位現值(含前手息)]]*庫存管理[[#This Row],[換算匯率(現)]],0)</f>
        <v>0</v>
      </c>
      <c r="BY35" s="1555">
        <f ca="1">IF(庫存管理[[#This Row],[檢測]]=TRUE,庫存管理[[#This Row],[部位現值(不含前手息)]]*庫存管理[[#This Row],[換算匯率(現)]],0)</f>
        <v>0</v>
      </c>
      <c r="BZ35" s="1555">
        <f ca="1">IF(庫存管理[[#This Row],[檢測]]=TRUE,IF(MF=2,庫存管理[[#This Row],[累計配息]]*庫存管理[[#This Row],[換算匯率(現)]],庫存管理[[#This Row],[已實現配息(原幣)]]*庫存管理[[#This Row],[換算匯率(現)]]),0)</f>
        <v>0</v>
      </c>
      <c r="CA35" s="1555" t="e">
        <f ca="1">庫存管理[[#This Row],[資本利損]]*庫存管理[[#This Row],[換算匯率(現)]]</f>
        <v>#VALUE!</v>
      </c>
      <c r="CB35" s="1555" t="e">
        <f ca="1">庫存管理[[#This Row],[累計利息(台)]]+庫存管理[[#This Row],[資本貢獻(台)]]</f>
        <v>#VALUE!</v>
      </c>
      <c r="CC35" s="574">
        <f ca="1">IF(庫存管理[[#This Row],[檢測]]=TRUE,IFERROR(庫存管理[[#This Row],[配息報酬]],0),0)</f>
        <v>0</v>
      </c>
      <c r="CD35" s="574">
        <f ca="1">IF(庫存管理[[#This Row],[檢測]]=TRUE,庫存管理[[#This Row],[資本報酬]],0)</f>
        <v>0</v>
      </c>
      <c r="CE35" s="574">
        <f ca="1">IF(S35=TRUE,IFERROR(庫存管理[[#This Row],[換匯總報酬率]]-(庫存管理[[#This Row],[配息報酬率]]+庫存管理[[#This Row],[資本報酬率]]),0),0)</f>
        <v>0</v>
      </c>
      <c r="CF35"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5" s="585">
        <f ca="1">IF(AND(庫存管理[[#This Row],[檢測]]=TRUE,開關=TRUE),IF(MF=2,IFERROR(BW35/$BW$1,0),IFERROR(BV35/$BV$1,0)),0)</f>
        <v>0</v>
      </c>
      <c r="CH35" s="574">
        <f ca="1">IF(庫存管理[[#This Row],[檢測]]=TRUE,IF(MF=2,IFERROR(BY35/$BY$1,0),IFERROR(BX35/$BX$1,0)),0)</f>
        <v>0</v>
      </c>
      <c r="CI35"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5" s="646" t="e">
        <f ca="1">DATEDIF(庫存管理[[#This Row],[買進例外調整]],庫存管理[[#This Row],[到期日]],"d")/365.25</f>
        <v>#N/A</v>
      </c>
      <c r="CK35" s="734" t="e">
        <f ca="1">DATEVALUE(VLOOKUP(庫存管理[[#This Row],[商品代號]],bond!B:AF,31,FALSE))</f>
        <v>#N/A</v>
      </c>
      <c r="CL35" s="734" t="e">
        <f ca="1">IF(庫存管理[[#This Row],[買下配(國調)]]&lt;庫存管理[[#This Row],[第一票息日]],庫存管理[[#This Row],[第一票息日]],庫存管理[[#This Row],[買下配(國調)]])</f>
        <v>#N/A</v>
      </c>
      <c r="CM35"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5"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5" s="735">
        <f ca="1">IF(庫存管理[[#This Row],[商品代號]]="XFM90",0,IFERROR(庫存管理[[#This Row],[單次配息(原幣)]]*庫存管理[[#This Row],[經過幾次配息]],0))</f>
        <v>0</v>
      </c>
      <c r="CP35" s="735" t="e">
        <f ca="1">VLOOKUP(庫存管理[[#This Row],[商品代號]],bond!B:F,5,FALSE)</f>
        <v>#N/A</v>
      </c>
      <c r="CQ35" s="734" t="str">
        <f ca="1">IFERROR(VLOOKUP(庫存管理[[#This Row],[ISIN]],'7_發行日例外'!A:C,3,FALSE),IFERROR(DATEVALUE(VLOOKUP(庫存管理[[#This Row],[商品代號]],bond!B:AR,43,FALSE)),""))</f>
        <v/>
      </c>
      <c r="CR35" s="735" t="e">
        <f ca="1">DATEDIF(庫存管理[[#This Row],[起息日]],庫存管理[[#This Row],[買進前一配息日(複算)]],"d")</f>
        <v>#VALUE!</v>
      </c>
      <c r="CS35"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5" s="734" t="e">
        <f ca="1">IFERROR(VLOOKUP(庫存管理[[#This Row],[ISIN]],'7_發行日例外'!A:D,4,FALSE),DATEVALUE(VLOOKUP(庫存管理[[#This Row],[商品代號]],bond!B:AV,44,FALSE)))</f>
        <v>#N/A</v>
      </c>
      <c r="CU35" s="735" t="e">
        <f ca="1">VLOOKUP(庫存管理[[#This Row],[商品代號]],bond!B:AU,46,FALSE)</f>
        <v>#N/A</v>
      </c>
      <c r="CV35" s="735" t="e">
        <f ca="1">IF(庫存管理[[#This Row],[計息基礎]]=1,CHOOSE(庫存管理[[#This Row],[對應編碼]],"沒進位","","沒進位",IF(庫存管理[[#This Row],[計算類型]]="AUSTRALIA:EX-DIV","4捨五入進0.01%","沒進位"),"年/2去計算ACT","沒進位","沒進位"),"")</f>
        <v>#N/A</v>
      </c>
      <c r="CW35" s="735" t="e">
        <f ca="1">_xlfn.DAYS(庫存管理[[#This Row],[買進例外調整]],庫存管理[[#This Row],[買進前一個配息日(最終)]])</f>
        <v>#N/A</v>
      </c>
      <c r="CX35" s="735" t="e">
        <f ca="1">IF(庫存管理[[#This Row],[備註]]="年/2去計算ACT",365/2,_xlfn.DAYS(庫存管理[[#This Row],[買進時的下個配息日]],庫存管理[[#This Row],[買進前一個配息日(最終)]]))</f>
        <v>#N/A</v>
      </c>
      <c r="CY35"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5" s="767" t="e">
        <f ca="1">_xlfn.DAYS(庫存管理[[#This Row],[交割日]],庫存管理[[#This Row],[買進前一個配息日(最終)]])</f>
        <v>#N/A</v>
      </c>
      <c r="DA35"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5" s="767" t="e">
        <f ca="1">_xlfn.DAYS(庫存管理[[#This Row],[交割日]],庫存管理[[#This Row],[最近的上一票息日]])</f>
        <v>#N/A</v>
      </c>
      <c r="DC35" s="767" t="e">
        <f ca="1">IF(庫存管理[[#This Row],[備註]]="年/2去計算ACT",365/2,_xlfn.DAYS(庫存管理[[#This Row],[下一配息日]],庫存管理[[#This Row],[最近的上一票息日]]))</f>
        <v>#N/A</v>
      </c>
      <c r="DD35"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5" s="739" t="e">
        <f ca="1">CL35-庫存管理[[#This Row],[ex_div_days]]</f>
        <v>#N/A</v>
      </c>
      <c r="DF35" s="646" t="e">
        <f ca="1">IF(VLOOKUP(庫存管理[[#This Row],[商品代號]],bond!B:AT,45,FALSE)="#N/A Field Not Applicable",0,VLOOKUP(庫存管理[[#This Row],[商品代號]],bond!B:AT,45,FALSE))</f>
        <v>#N/A</v>
      </c>
      <c r="DG35" s="793" t="e">
        <f ca="1">IF(庫存管理[[#This Row],[ex_div_days]]&lt;&gt;0,IF(AND(庫存管理[[#This Row],[買進例外調整]]-庫存管理[[#This Row],[買進下一個配息日先減n天]]&gt;=0,庫存管理[[#This Row],[買進時的下個配息日]]-庫存管理[[#This Row],[買進例外調整]]&gt;0),1,0),0)</f>
        <v>#N/A</v>
      </c>
      <c r="DH35"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5" s="734" t="e">
        <f ca="1">庫存管理[[#This Row],[下一配息日]]-庫存管理[[#This Row],[ex_div_days]]</f>
        <v>#VALUE!</v>
      </c>
      <c r="DJ35" s="1081" t="e">
        <f ca="1">IF(庫存管理[[#This Row],[ex_div_days]]&lt;&gt;0,IF(AND(庫存管理[[#This Row],[交割日]]-庫存管理[[#This Row],[交割下個配息日先減n天]]&gt;=0,庫存管理[[#This Row],[下一配息日]]-庫存管理[[#This Row],[交割日]]&gt;0),1,0),0)</f>
        <v>#N/A</v>
      </c>
      <c r="DK35"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5" s="735">
        <f ca="1">IFERROR(VLOOKUP(庫存管理[[#This Row],[商品代號]],bond!B:X,21,FALSE),0)</f>
        <v>0</v>
      </c>
      <c r="DM35" s="735">
        <f ca="1">IFERROR(VLOOKUP(I35,bond!B:J,9,FALSE),0)</f>
        <v>0</v>
      </c>
      <c r="DN35" s="1188">
        <f ca="1">IF(AND(開關=TRUE,庫存管理[[#This Row],[投組檢測]]=TRUE),IF(MF=2,IFERROR(BW35/$BW$3,0),IFERROR(BV35/$BV$3,0)),0)</f>
        <v>0</v>
      </c>
      <c r="DO35" s="735">
        <f ca="1">IFERROR(庫存管理[[#This Row],[clean申購價]]/100*庫存管理[[#This Row],[投入面額]]*庫存管理[[#This Row],[MOD]]*0.01,0)</f>
        <v>0</v>
      </c>
      <c r="DP35" s="1298" t="e">
        <f ca="1">IF($C$16=1,庫存管理[[#This Row],[單次配息(台幣)]],庫存管理[[#This Row],[單次配息(原幣)]])</f>
        <v>#VALUE!</v>
      </c>
      <c r="DQ35"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5"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5"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5"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5"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5"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5"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5"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5"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5"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5"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5"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6" spans="1:132" ht="19.5" customHeight="1">
      <c r="A36" s="459" t="s">
        <v>2117</v>
      </c>
      <c r="B36" s="496" t="s">
        <v>2188</v>
      </c>
      <c r="C36" s="12" t="s">
        <v>2015</v>
      </c>
      <c r="D36" s="496" t="s">
        <v>2108</v>
      </c>
      <c r="E36" s="12" t="s">
        <v>2109</v>
      </c>
      <c r="G36" s="459">
        <v>30</v>
      </c>
      <c r="H36" s="1166" t="b">
        <f ca="1">IFERROR(IF(VLOOKUP(G36,換券投組!$AH$8:$AH$13,1,FALSE)&gt;0,TRUE,FALSE),FALSE)</f>
        <v>0</v>
      </c>
      <c r="I36" s="1693" t="str">
        <f ca="1">IF(開關=TRUE,'商品代碼-中繼頁'!R31,"")</f>
        <v/>
      </c>
      <c r="J36" s="429">
        <f ca="1">IFERROR(VLOOKUP(I36,bond!B:I,8,FALSE),0)</f>
        <v>0</v>
      </c>
      <c r="K36" s="429">
        <f ca="1">IFERROR(庫存管理[[#This Row],[買價]]+VLOOKUP(庫存管理[[#This Row],[商品代號]],bond!B:K,10,FALSE),0)</f>
        <v>0</v>
      </c>
      <c r="L36" s="430" t="e">
        <f ca="1">VLOOKUP(I36,'銀行-TSS'!B:E,4,FALSE)</f>
        <v>#N/A</v>
      </c>
      <c r="M36" s="431">
        <f ca="1">IFERROR(VLOOKUP($I36,'銀行-TSS'!B:G,6,FALSE),0)</f>
        <v>0</v>
      </c>
      <c r="N36" s="432" t="e">
        <f ca="1">IFERROR(DATEVALUE(VLOOKUP($I36,'銀行-TSS'!B:F,5,FALSE)),VLOOKUP($I36,'銀行-TSS'!B:F,5,FALSE))</f>
        <v>#N/A</v>
      </c>
      <c r="O36" s="433">
        <f ca="1">IFERROR(VLOOKUP($I36,'銀行-TSS'!B:H,7,FALSE),0)</f>
        <v>0</v>
      </c>
      <c r="P36" s="433" t="e">
        <f ca="1">庫存管理[[#This Row],[票面利率]]/庫存管理[[#This Row],[成本價(不含前手息)]]*100</f>
        <v>#VALUE!</v>
      </c>
      <c r="Q36" s="434" t="str">
        <f ca="1">IFERROR(VLOOKUP($I36,'銀行-TSS'!B:I,8,FALSE),"")</f>
        <v/>
      </c>
      <c r="R36" s="440" t="str">
        <f ca="1">_xlfn.IFNA(IFERROR(DATEVALUE(VLOOKUP($I36,'銀行-TSS'!B:P,15,FALSE)),VLOOKUP($I36,'銀行-TSS'!B:P,15,FALSE)),"")</f>
        <v/>
      </c>
      <c r="S36" s="570" t="b">
        <f ca="1">IF(AND(庫存管理[[#This Row],[配息頻率]]&lt;&gt;"",庫存管理[[#This Row],[持有成本(不含前手息)]]&lt;&gt;0,庫存管理[[#This Row],[買進日]]&lt;&gt;""),TRUE,FALSE)</f>
        <v>0</v>
      </c>
      <c r="T36" s="602" t="str">
        <f>IFERROR(DATE(LEFT('商品代碼-中繼頁'!S31,4),MID('商品代碼-中繼頁'!S31,5,2),RIGHT('商品代碼-中繼頁'!S31,2)),"")</f>
        <v/>
      </c>
      <c r="U36"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6" s="442" t="e">
        <f ca="1">IFERROR(WORKDAY(庫存管理[[#This Row],[買進日]],VLOOKUP(庫存管理[[#This Row],[商品代號]],'1_重設數據'!R:S,2,FALSE),休USD),庫存管理[[#This Row],[買進日(T+2/公債T+1)]])</f>
        <v>#N/A</v>
      </c>
      <c r="W36" s="43" t="str">
        <f>'商品代碼-中繼頁'!T31</f>
        <v/>
      </c>
      <c r="X36" s="43" t="str">
        <f>'商品代碼-中繼頁'!U31</f>
        <v/>
      </c>
      <c r="Y36" s="464">
        <f t="shared" ca="1" si="9"/>
        <v>0</v>
      </c>
      <c r="Z36" s="464" t="e">
        <f t="shared" ca="1" si="31"/>
        <v>#VALUE!</v>
      </c>
      <c r="AA36" s="465" t="e">
        <f t="shared" ca="1" si="32"/>
        <v>#VALUE!</v>
      </c>
      <c r="AB36" s="474" t="e">
        <f ca="1">IF(MF=2,庫存管理[[#This Row],[部位現值(不含前手息)]]-庫存管理[[#This Row],[持有成本(不含前手息)]],庫存管理[[#This Row],[部位現值(含前手息)]]-庫存管理[[#This Row],[持有成本(含前手息)]])</f>
        <v>#VALUE!</v>
      </c>
      <c r="AC36" s="462">
        <f ca="1">IF(庫存管理[[#This Row],[檢測]]=TRUE,IF(MF=2,IFERROR(庫存管理[[#This Row],[資本利損]]/庫存管理[[#This Row],[持有成本(不含前手息)]],0),IFERROR(庫存管理[[#This Row],[資本利損]]/庫存管理[[#This Row],[持有成本(含前手息)]],0)),0)</f>
        <v>0</v>
      </c>
      <c r="AD36" s="618" t="e">
        <f ca="1">庫存管理[[#This Row],[持有成本(不含前手息)]]/庫存管理[[#This Row],[投入面額]]*100</f>
        <v>#VALUE!</v>
      </c>
      <c r="AE36" s="462" t="str">
        <f ca="1">IFERROR(VLOOKUP(庫存管理[[#This Row],[商品代號]],bond!B:AA,26,FALSE),"")</f>
        <v/>
      </c>
      <c r="AF36" s="1" t="str">
        <f ca="1">IFERROR(VLOOKUP($I36,'銀行-TSS'!B:Q,16,FALSE),"")</f>
        <v/>
      </c>
      <c r="AG36" s="466">
        <f t="shared" ca="1" si="1"/>
        <v>0</v>
      </c>
      <c r="AH36" s="458" t="e">
        <f ca="1">IF(OR(庫存管理[[#This Row],[起息日]]&gt;庫存管理[[#This Row],[買進前一配息日(複算)]],庫存管理[[#This Row],[判斷]]=TRUE),庫存管理[[#This Row],[起息日]],庫存管理[[#This Row],[買進前一配息日(複算)]])</f>
        <v>#N/A</v>
      </c>
      <c r="AI36" s="577" t="e">
        <f ca="1">VLOOKUP(I36,bond!B:AP,41,FALSE)</f>
        <v>#N/A</v>
      </c>
      <c r="AJ36" s="578" t="e">
        <f t="shared" ca="1" si="33"/>
        <v>#N/A</v>
      </c>
      <c r="AK36" s="579">
        <f ca="1">IFERROR(IF(庫存管理[[#This Row],[買進日是否落入record date]]=1,庫存管理[[#This Row],[record date制度前手息]],庫存管理[[#This Row],[計算前手息(初算)]]),0)</f>
        <v>0</v>
      </c>
      <c r="AL36" s="579" t="e">
        <f ca="1">IF(OR(庫存管理[[#This Row],[買進例外調整]]&lt;庫存管理[[#This Row],[起息日]],庫存管理[[#This Row],[買進例外調整]]&gt;庫存管理[[#This Row],[到期日]]),0,IF(庫存管理[[#This Row],[備註]]&lt;&gt;"",庫存管理[[#This Row],[買進時前手息]],IFERROR(ROUND(ACCRINT(AH36,AH36,V36,O36,100,Q36,AJ36,TRUE),4),0)))</f>
        <v>#N/A</v>
      </c>
      <c r="AM36" s="580" t="e">
        <f t="shared" ca="1" si="34"/>
        <v>#VALUE!</v>
      </c>
      <c r="AN36" s="440" t="e">
        <f ca="1">IFERROR(DATEVALUE(VLOOKUP(I36,bond!B:I,7,FALSE)),VLOOKUP(I36,bond!B:I,7,FALSE))</f>
        <v>#N/A</v>
      </c>
      <c r="AO36"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6" s="1075">
        <f ca="1">IFERROR(IF(庫存管理[[#This Row],[交割日是否落入record date]]=1,庫存管理[[#This Row],[交_record date制度前手息]],庫存管理[[#This Row],[計算交割前手息(初算)]]),0)</f>
        <v>0</v>
      </c>
      <c r="AQ36"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6" s="1063" t="e">
        <f ca="1">ROUND(庫存管理[[#This Row],[計算交割前手息(複算)]]*庫存管理[[#This Row],[投入面額]]/100,2)</f>
        <v>#VALUE!</v>
      </c>
      <c r="AS36" s="1064" t="e">
        <f ca="1">IF(庫存管理[[#This Row],[配息頻率]]=0,0,(100*庫存管理[[#This Row],[票面利率]]/庫存管理[[#This Row],[配息頻率]])*庫存管理[[#This Row],[經過幾次配息]]+庫存管理[[#This Row],[計算交割前手息(複算)]]-庫存管理[[#This Row],[計算前手息(複算)]])</f>
        <v>#VALUE!</v>
      </c>
      <c r="AT36" s="581" t="e">
        <f ca="1">IF(庫存管理[[#This Row],[商品代號]]="XFM90",0,ROUND(AS36*W36/100,2))</f>
        <v>#VALUE!</v>
      </c>
      <c r="AU36" s="582">
        <f ca="1">IF(MF=2,IFERROR(庫存管理[[#This Row],[累計配息]]/庫存管理[[#This Row],[持有成本(不含前手息)]],0),IFERROR(庫存管理[[#This Row],[已實現配息(原幣)]]/庫存管理[[#This Row],[持有成本(含前手息)]],0))</f>
        <v>0</v>
      </c>
      <c r="AV36" s="583" t="e">
        <f ca="1">IF(MF=2,庫存管理[[#This Row],[資本利損]]+庫存管理[[#This Row],[累計配息]],庫存管理[[#This Row],[資本利損]]+庫存管理[[#This Row],[已實現配息(原幣)]])</f>
        <v>#VALUE!</v>
      </c>
      <c r="AW36" s="584">
        <f ca="1">IF(庫存管理[[#This Row],[檢測]]=TRUE,IF(MF=2,IFERROR(庫存管理[[#This Row],[合計收益]]/庫存管理[[#This Row],[持有成本(不含前手息)]],0),IFERROR(庫存管理[[#This Row],[合計收益]]/庫存管理[[#This Row],[持有成本(含前手息)]],0)),0)</f>
        <v>0</v>
      </c>
      <c r="AX36" s="434" t="e">
        <f t="shared" ca="1" si="35"/>
        <v>#VALUE!</v>
      </c>
      <c r="AY36" s="434" t="e">
        <f t="shared" ca="1" si="36"/>
        <v>#VALUE!</v>
      </c>
      <c r="AZ36" s="434">
        <f t="shared" ca="1" si="37"/>
        <v>0</v>
      </c>
      <c r="BA36" s="434">
        <f t="shared" ca="1" si="38"/>
        <v>0</v>
      </c>
      <c r="BB36" s="441" t="e">
        <f ca="1">IF(AND(庫存管理[[#This Row],[名稱]]="美國國庫債券",DAY(庫存管理[[#This Row],[買進前一配息日(初算)]])&gt;=28),EOMONTH(庫存管理[[#This Row],[買進前一配息日(初算)]],0),庫存管理[[#This Row],[買進前一配息日(初算)]])</f>
        <v>#N/A</v>
      </c>
      <c r="BC36" s="441" t="e">
        <f t="shared" ca="1" si="39"/>
        <v>#N/A</v>
      </c>
      <c r="BD36" s="444" t="e">
        <f t="shared" ca="1" si="40"/>
        <v>#N/A</v>
      </c>
      <c r="BE36" s="441" t="e">
        <f ca="1">IF(Q36&gt;0,IF(MONTH(DATE(BD36,AX36,DAY(R36)))&lt;&gt;庫存管理[[#This Row],[第一個配息月]],DATE(BD36,AX36+1,0),DATE(BD36,AX36,DAY(R36))),庫存管理[[#This Row],[買進例外調整]]+100)</f>
        <v>#N/A</v>
      </c>
      <c r="BF36" s="441" t="e">
        <f ca="1">IF(AY36&lt;&gt;0,IF(MONTH(DATE(BD36,AY36,DAY(R36)))&lt;&gt;庫存管理[[#This Row],[第二個配息月]],DATE(BD36,AY36+1,0),DATE(BD36,AY36,DAY(R36))),庫存管理[[#This Row],[買進例外調整]]+100)</f>
        <v>#VALUE!</v>
      </c>
      <c r="BG36" s="441" t="e">
        <f ca="1">IF(AZ36&lt;&gt;0,IF(MONTH(DATE(BD36,AZ36,DAY(R36)))&lt;&gt;庫存管理[[#This Row],[第三個配息月]],DATE(BD36,AZ36+1,0),DATE(BD36,AZ36,DAY(R36))),庫存管理[[#This Row],[買進例外調整]]+100)</f>
        <v>#N/A</v>
      </c>
      <c r="BH36" s="441" t="e">
        <f ca="1">IF(BA36&lt;&gt;0,IF(MONTH(DATE(BD36,BA36,DAY(R36)))&lt;&gt;庫存管理[[#This Row],[第四個配息月]],DATE(BD36,BA36+1,0),DATE(BD36,BA36,DAY(R36))),庫存管理[[#This Row],[買進例外調整]]+100)</f>
        <v>#N/A</v>
      </c>
      <c r="BI36" s="441" t="e">
        <f ca="1">IF(Q36=1,IF(MONTH(DATE(BD36-1,AX36,DAY(R36)))&lt;&gt;庫存管理[[#This Row],[第一個配息月]],DATE(BD36-1,AX36+1,0),DATE(BD36-1,AX36,DAY(R36))),IF(Q36=2,IF(MONTH(DATE(BD36-1,AY36,DAY(R36)))&lt;&gt;庫存管理[[#This Row],[第二個配息月]],DATE(BD36-1,AY36+1,0),DATE(BD36-1,AY36,DAY(R36))),IF(Q36=4,IF(MONTH(DATE(BD36-1,BA36,DAY(R36)))&lt;&gt;庫存管理[[#This Row],[第四個配息月]],DATE(BD36-1,BA36+1,0),DATE(BD36-1,BA36,DAY(R36))),庫存管理[[#This Row],[買進例外調整]]+100)))</f>
        <v>#N/A</v>
      </c>
      <c r="BJ36" s="445">
        <f t="shared" ca="1" si="41"/>
        <v>10000</v>
      </c>
      <c r="BK36" s="445">
        <f t="shared" ca="1" si="42"/>
        <v>10000</v>
      </c>
      <c r="BL36" s="445">
        <f t="shared" ca="1" si="43"/>
        <v>10000</v>
      </c>
      <c r="BM36" s="445">
        <f t="shared" ca="1" si="44"/>
        <v>10000</v>
      </c>
      <c r="BN36" s="455">
        <f t="shared" ca="1" si="45"/>
        <v>10000</v>
      </c>
      <c r="BO36" s="479" t="e">
        <f ca="1">庫存管理[[#This Row],[年度配息]]/庫存管理[[#This Row],[配息頻率]]</f>
        <v>#VALUE!</v>
      </c>
      <c r="BP36" s="479" t="e">
        <f ca="1">庫存管理[[#This Row],[單次配息(原幣)]]*庫存管理[[#This Row],[換算匯率(現)]]</f>
        <v>#VALUE!</v>
      </c>
      <c r="BQ36" s="479" t="str">
        <f ca="1">IF(庫存管理[[#This Row],[商品代號]]&lt;&gt;"",IFERROR(VLOOKUP($I36,'銀行-TSS'!B:C,2,FALSE),""),"")</f>
        <v/>
      </c>
      <c r="BR36" s="479" t="e">
        <f ca="1">VLOOKUP(庫存管理[[#This Row],[幣別]],$B$37:$C$43,2,FALSE)</f>
        <v>#N/A</v>
      </c>
      <c r="BS36" s="500" t="e">
        <f ca="1">CHOOSE(庫存管理[[#This Row],[對應編碼]],$D$37,$D$38,$D$39,$D$40,$D$41,$D$42,$D$43)</f>
        <v>#N/A</v>
      </c>
      <c r="BT36" s="500">
        <f ca="1">IF(庫存管理[[#This Row],[商品代號]]="",0,CHOOSE(庫存管理[[#This Row],[對應編碼]],$E$37,$E$38,$E$39,$E$40,$E$41,$E$42,$E$43))</f>
        <v>0</v>
      </c>
      <c r="BU36" s="1555">
        <f ca="1">IF(庫存管理[[#This Row],[檢測]]=TRUE,庫存管理[[#This Row],[投入面額]]*庫存管理[[#This Row],[換算匯率(現)]],0)</f>
        <v>0</v>
      </c>
      <c r="BV36" s="1555">
        <f ca="1">IF(庫存管理[[#This Row],[檢測]]=TRUE,IFERROR(庫存管理[[#This Row],[持有成本(含前手息)]]*庫存管理[[#This Row],[換算匯率(買)]],0),0)</f>
        <v>0</v>
      </c>
      <c r="BW36" s="1555">
        <f ca="1">IF(庫存管理[[#This Row],[檢測]]=TRUE,庫存管理[[#This Row],[持有成本(不含前手息)]]*庫存管理[[#This Row],[換算匯率(買)]],0)</f>
        <v>0</v>
      </c>
      <c r="BX36" s="1555">
        <f ca="1">IF(庫存管理[[#This Row],[檢測]]=TRUE,庫存管理[[#This Row],[部位現值(含前手息)]]*庫存管理[[#This Row],[換算匯率(現)]],0)</f>
        <v>0</v>
      </c>
      <c r="BY36" s="1555">
        <f ca="1">IF(庫存管理[[#This Row],[檢測]]=TRUE,庫存管理[[#This Row],[部位現值(不含前手息)]]*庫存管理[[#This Row],[換算匯率(現)]],0)</f>
        <v>0</v>
      </c>
      <c r="BZ36" s="1555">
        <f ca="1">IF(庫存管理[[#This Row],[檢測]]=TRUE,IF(MF=2,庫存管理[[#This Row],[累計配息]]*庫存管理[[#This Row],[換算匯率(現)]],庫存管理[[#This Row],[已實現配息(原幣)]]*庫存管理[[#This Row],[換算匯率(現)]]),0)</f>
        <v>0</v>
      </c>
      <c r="CA36" s="1555" t="e">
        <f ca="1">庫存管理[[#This Row],[資本利損]]*庫存管理[[#This Row],[換算匯率(現)]]</f>
        <v>#VALUE!</v>
      </c>
      <c r="CB36" s="1555" t="e">
        <f ca="1">庫存管理[[#This Row],[累計利息(台)]]+庫存管理[[#This Row],[資本貢獻(台)]]</f>
        <v>#VALUE!</v>
      </c>
      <c r="CC36" s="574">
        <f ca="1">IF(庫存管理[[#This Row],[檢測]]=TRUE,IFERROR(庫存管理[[#This Row],[配息報酬]],0),0)</f>
        <v>0</v>
      </c>
      <c r="CD36" s="574">
        <f ca="1">IF(庫存管理[[#This Row],[檢測]]=TRUE,庫存管理[[#This Row],[資本報酬]],0)</f>
        <v>0</v>
      </c>
      <c r="CE36" s="574">
        <f ca="1">IF(S36=TRUE,IFERROR(庫存管理[[#This Row],[換匯總報酬率]]-(庫存管理[[#This Row],[配息報酬率]]+庫存管理[[#This Row],[資本報酬率]]),0),0)</f>
        <v>0</v>
      </c>
      <c r="CF36"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6" s="585">
        <f ca="1">IF(AND(庫存管理[[#This Row],[檢測]]=TRUE,開關=TRUE),IF(MF=2,IFERROR(BW36/$BW$1,0),IFERROR(BV36/$BV$1,0)),0)</f>
        <v>0</v>
      </c>
      <c r="CH36" s="574">
        <f ca="1">IF(庫存管理[[#This Row],[檢測]]=TRUE,IF(MF=2,IFERROR(BY36/$BY$1,0),IFERROR(BX36/$BX$1,0)),0)</f>
        <v>0</v>
      </c>
      <c r="CI36"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6" s="646" t="e">
        <f ca="1">DATEDIF(庫存管理[[#This Row],[買進例外調整]],庫存管理[[#This Row],[到期日]],"d")/365.25</f>
        <v>#N/A</v>
      </c>
      <c r="CK36" s="734" t="e">
        <f ca="1">DATEVALUE(VLOOKUP(庫存管理[[#This Row],[商品代號]],bond!B:AF,31,FALSE))</f>
        <v>#N/A</v>
      </c>
      <c r="CL36" s="734" t="e">
        <f ca="1">IF(庫存管理[[#This Row],[買下配(國調)]]&lt;庫存管理[[#This Row],[第一票息日]],庫存管理[[#This Row],[第一票息日]],庫存管理[[#This Row],[買下配(國調)]])</f>
        <v>#N/A</v>
      </c>
      <c r="CM36"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6"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6" s="735">
        <f ca="1">IF(庫存管理[[#This Row],[商品代號]]="XFM90",0,IFERROR(庫存管理[[#This Row],[單次配息(原幣)]]*庫存管理[[#This Row],[經過幾次配息]],0))</f>
        <v>0</v>
      </c>
      <c r="CP36" s="735" t="e">
        <f ca="1">VLOOKUP(庫存管理[[#This Row],[商品代號]],bond!B:F,5,FALSE)</f>
        <v>#N/A</v>
      </c>
      <c r="CQ36" s="734" t="str">
        <f ca="1">IFERROR(VLOOKUP(庫存管理[[#This Row],[ISIN]],'7_發行日例外'!A:C,3,FALSE),IFERROR(DATEVALUE(VLOOKUP(庫存管理[[#This Row],[商品代號]],bond!B:AR,43,FALSE)),""))</f>
        <v/>
      </c>
      <c r="CR36" s="735" t="e">
        <f ca="1">DATEDIF(庫存管理[[#This Row],[起息日]],庫存管理[[#This Row],[買進前一配息日(複算)]],"d")</f>
        <v>#VALUE!</v>
      </c>
      <c r="CS36"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6" s="734" t="e">
        <f ca="1">IFERROR(VLOOKUP(庫存管理[[#This Row],[ISIN]],'7_發行日例外'!A:D,4,FALSE),DATEVALUE(VLOOKUP(庫存管理[[#This Row],[商品代號]],bond!B:AV,44,FALSE)))</f>
        <v>#N/A</v>
      </c>
      <c r="CU36" s="735" t="e">
        <f ca="1">VLOOKUP(庫存管理[[#This Row],[商品代號]],bond!B:AU,46,FALSE)</f>
        <v>#N/A</v>
      </c>
      <c r="CV36" s="735" t="e">
        <f ca="1">IF(庫存管理[[#This Row],[計息基礎]]=1,CHOOSE(庫存管理[[#This Row],[對應編碼]],"沒進位","","沒進位",IF(庫存管理[[#This Row],[計算類型]]="AUSTRALIA:EX-DIV","4捨五入進0.01%","沒進位"),"年/2去計算ACT","沒進位","沒進位"),"")</f>
        <v>#N/A</v>
      </c>
      <c r="CW36" s="735" t="e">
        <f ca="1">_xlfn.DAYS(庫存管理[[#This Row],[買進例外調整]],庫存管理[[#This Row],[買進前一個配息日(最終)]])</f>
        <v>#N/A</v>
      </c>
      <c r="CX36" s="735" t="e">
        <f ca="1">IF(庫存管理[[#This Row],[備註]]="年/2去計算ACT",365/2,_xlfn.DAYS(庫存管理[[#This Row],[買進時的下個配息日]],庫存管理[[#This Row],[買進前一個配息日(最終)]]))</f>
        <v>#N/A</v>
      </c>
      <c r="CY36"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6" s="767" t="e">
        <f ca="1">_xlfn.DAYS(庫存管理[[#This Row],[交割日]],庫存管理[[#This Row],[買進前一個配息日(最終)]])</f>
        <v>#N/A</v>
      </c>
      <c r="DA36"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6" s="767" t="e">
        <f ca="1">_xlfn.DAYS(庫存管理[[#This Row],[交割日]],庫存管理[[#This Row],[最近的上一票息日]])</f>
        <v>#N/A</v>
      </c>
      <c r="DC36" s="767" t="e">
        <f ca="1">IF(庫存管理[[#This Row],[備註]]="年/2去計算ACT",365/2,_xlfn.DAYS(庫存管理[[#This Row],[下一配息日]],庫存管理[[#This Row],[最近的上一票息日]]))</f>
        <v>#N/A</v>
      </c>
      <c r="DD36"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6" s="739" t="e">
        <f ca="1">CL36-庫存管理[[#This Row],[ex_div_days]]</f>
        <v>#N/A</v>
      </c>
      <c r="DF36" s="646" t="e">
        <f ca="1">IF(VLOOKUP(庫存管理[[#This Row],[商品代號]],bond!B:AT,45,FALSE)="#N/A Field Not Applicable",0,VLOOKUP(庫存管理[[#This Row],[商品代號]],bond!B:AT,45,FALSE))</f>
        <v>#N/A</v>
      </c>
      <c r="DG36" s="793" t="e">
        <f ca="1">IF(庫存管理[[#This Row],[ex_div_days]]&lt;&gt;0,IF(AND(庫存管理[[#This Row],[買進例外調整]]-庫存管理[[#This Row],[買進下一個配息日先減n天]]&gt;=0,庫存管理[[#This Row],[買進時的下個配息日]]-庫存管理[[#This Row],[買進例外調整]]&gt;0),1,0),0)</f>
        <v>#N/A</v>
      </c>
      <c r="DH36"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6" s="734" t="e">
        <f ca="1">庫存管理[[#This Row],[下一配息日]]-庫存管理[[#This Row],[ex_div_days]]</f>
        <v>#VALUE!</v>
      </c>
      <c r="DJ36" s="1081" t="e">
        <f ca="1">IF(庫存管理[[#This Row],[ex_div_days]]&lt;&gt;0,IF(AND(庫存管理[[#This Row],[交割日]]-庫存管理[[#This Row],[交割下個配息日先減n天]]&gt;=0,庫存管理[[#This Row],[下一配息日]]-庫存管理[[#This Row],[交割日]]&gt;0),1,0),0)</f>
        <v>#N/A</v>
      </c>
      <c r="DK36"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6" s="735">
        <f ca="1">IFERROR(VLOOKUP(庫存管理[[#This Row],[商品代號]],bond!B:X,21,FALSE),0)</f>
        <v>0</v>
      </c>
      <c r="DM36" s="735">
        <f ca="1">IFERROR(VLOOKUP(I36,bond!B:J,9,FALSE),0)</f>
        <v>0</v>
      </c>
      <c r="DN36" s="1188">
        <f ca="1">IF(AND(開關=TRUE,庫存管理[[#This Row],[投組檢測]]=TRUE),IF(MF=2,IFERROR(BW36/$BW$3,0),IFERROR(BV36/$BV$3,0)),0)</f>
        <v>0</v>
      </c>
      <c r="DO36" s="735">
        <f ca="1">IFERROR(庫存管理[[#This Row],[clean申購價]]/100*庫存管理[[#This Row],[投入面額]]*庫存管理[[#This Row],[MOD]]*0.01,0)</f>
        <v>0</v>
      </c>
      <c r="DP36" s="1298" t="e">
        <f ca="1">IF($C$16=1,庫存管理[[#This Row],[單次配息(台幣)]],庫存管理[[#This Row],[單次配息(原幣)]])</f>
        <v>#VALUE!</v>
      </c>
      <c r="DQ36"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6"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6"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6"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6"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6"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6"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6"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6"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6"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6"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6"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7" spans="1:132" ht="19.5" customHeight="1">
      <c r="A37" s="459" t="s">
        <v>2172</v>
      </c>
      <c r="B37" s="495" t="s">
        <v>1993</v>
      </c>
      <c r="C37" s="12">
        <v>1</v>
      </c>
      <c r="D37" s="12">
        <f>庫存管理!G12</f>
        <v>30</v>
      </c>
      <c r="E37" s="12">
        <f>庫存管理!H12</f>
        <v>32.481000000000002</v>
      </c>
      <c r="G37" s="459">
        <v>31</v>
      </c>
      <c r="H37" s="1166" t="b">
        <f ca="1">IFERROR(IF(VLOOKUP(G37,換券投組!$AH$8:$AH$13,1,FALSE)&gt;0,TRUE,FALSE),FALSE)</f>
        <v>0</v>
      </c>
      <c r="I37" s="1693" t="str">
        <f ca="1">IF(開關=TRUE,'商品代碼-中繼頁'!R32,"")</f>
        <v/>
      </c>
      <c r="J37" s="429">
        <f ca="1">IFERROR(VLOOKUP(I37,bond!B:I,8,FALSE),0)</f>
        <v>0</v>
      </c>
      <c r="K37" s="429">
        <f ca="1">IFERROR(庫存管理[[#This Row],[買價]]+VLOOKUP(庫存管理[[#This Row],[商品代號]],bond!B:K,10,FALSE),0)</f>
        <v>0</v>
      </c>
      <c r="L37" s="430" t="e">
        <f ca="1">VLOOKUP(I37,'銀行-TSS'!B:E,4,FALSE)</f>
        <v>#N/A</v>
      </c>
      <c r="M37" s="431">
        <f ca="1">IFERROR(VLOOKUP($I37,'銀行-TSS'!B:G,6,FALSE),0)</f>
        <v>0</v>
      </c>
      <c r="N37" s="432" t="e">
        <f ca="1">IFERROR(DATEVALUE(VLOOKUP($I37,'銀行-TSS'!B:F,5,FALSE)),VLOOKUP($I37,'銀行-TSS'!B:F,5,FALSE))</f>
        <v>#N/A</v>
      </c>
      <c r="O37" s="433">
        <f ca="1">IFERROR(VLOOKUP($I37,'銀行-TSS'!B:H,7,FALSE),0)</f>
        <v>0</v>
      </c>
      <c r="P37" s="433" t="e">
        <f ca="1">庫存管理[[#This Row],[票面利率]]/庫存管理[[#This Row],[成本價(不含前手息)]]*100</f>
        <v>#VALUE!</v>
      </c>
      <c r="Q37" s="434" t="str">
        <f ca="1">IFERROR(VLOOKUP($I37,'銀行-TSS'!B:I,8,FALSE),"")</f>
        <v/>
      </c>
      <c r="R37" s="440" t="str">
        <f ca="1">_xlfn.IFNA(IFERROR(DATEVALUE(VLOOKUP($I37,'銀行-TSS'!B:P,15,FALSE)),VLOOKUP($I37,'銀行-TSS'!B:P,15,FALSE)),"")</f>
        <v/>
      </c>
      <c r="S37" s="570" t="b">
        <f ca="1">IF(AND(庫存管理[[#This Row],[配息頻率]]&lt;&gt;"",庫存管理[[#This Row],[持有成本(不含前手息)]]&lt;&gt;0,庫存管理[[#This Row],[買進日]]&lt;&gt;""),TRUE,FALSE)</f>
        <v>0</v>
      </c>
      <c r="T37" s="602" t="str">
        <f>IFERROR(DATE(LEFT('商品代碼-中繼頁'!S32,4),MID('商品代碼-中繼頁'!S32,5,2),RIGHT('商品代碼-中繼頁'!S32,2)),"")</f>
        <v/>
      </c>
      <c r="U37"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7" s="442" t="e">
        <f ca="1">IFERROR(WORKDAY(庫存管理[[#This Row],[買進日]],VLOOKUP(庫存管理[[#This Row],[商品代號]],'1_重設數據'!R:S,2,FALSE),休USD),庫存管理[[#This Row],[買進日(T+2/公債T+1)]])</f>
        <v>#N/A</v>
      </c>
      <c r="W37" s="43" t="str">
        <f>'商品代碼-中繼頁'!T32</f>
        <v/>
      </c>
      <c r="X37" s="43" t="str">
        <f>'商品代碼-中繼頁'!U32</f>
        <v/>
      </c>
      <c r="Y37" s="464">
        <f t="shared" ca="1" si="9"/>
        <v>0</v>
      </c>
      <c r="Z37" s="464" t="e">
        <f t="shared" ca="1" si="31"/>
        <v>#VALUE!</v>
      </c>
      <c r="AA37" s="465" t="e">
        <f t="shared" ca="1" si="32"/>
        <v>#VALUE!</v>
      </c>
      <c r="AB37" s="474" t="e">
        <f ca="1">IF(MF=2,庫存管理[[#This Row],[部位現值(不含前手息)]]-庫存管理[[#This Row],[持有成本(不含前手息)]],庫存管理[[#This Row],[部位現值(含前手息)]]-庫存管理[[#This Row],[持有成本(含前手息)]])</f>
        <v>#VALUE!</v>
      </c>
      <c r="AC37" s="462">
        <f ca="1">IF(庫存管理[[#This Row],[檢測]]=TRUE,IF(MF=2,IFERROR(庫存管理[[#This Row],[資本利損]]/庫存管理[[#This Row],[持有成本(不含前手息)]],0),IFERROR(庫存管理[[#This Row],[資本利損]]/庫存管理[[#This Row],[持有成本(含前手息)]],0)),0)</f>
        <v>0</v>
      </c>
      <c r="AD37" s="618" t="e">
        <f ca="1">庫存管理[[#This Row],[持有成本(不含前手息)]]/庫存管理[[#This Row],[投入面額]]*100</f>
        <v>#VALUE!</v>
      </c>
      <c r="AE37" s="462" t="str">
        <f ca="1">IFERROR(VLOOKUP(庫存管理[[#This Row],[商品代號]],bond!B:AA,26,FALSE),"")</f>
        <v/>
      </c>
      <c r="AF37" s="1" t="str">
        <f ca="1">IFERROR(VLOOKUP($I37,'銀行-TSS'!B:Q,16,FALSE),"")</f>
        <v/>
      </c>
      <c r="AG37" s="466">
        <f t="shared" ca="1" si="1"/>
        <v>0</v>
      </c>
      <c r="AH37" s="458" t="e">
        <f ca="1">IF(OR(庫存管理[[#This Row],[起息日]]&gt;庫存管理[[#This Row],[買進前一配息日(複算)]],庫存管理[[#This Row],[判斷]]=TRUE),庫存管理[[#This Row],[起息日]],庫存管理[[#This Row],[買進前一配息日(複算)]])</f>
        <v>#N/A</v>
      </c>
      <c r="AI37" s="577" t="e">
        <f ca="1">VLOOKUP(I37,bond!B:AP,41,FALSE)</f>
        <v>#N/A</v>
      </c>
      <c r="AJ37" s="578" t="e">
        <f t="shared" ca="1" si="33"/>
        <v>#N/A</v>
      </c>
      <c r="AK37" s="579">
        <f ca="1">IFERROR(IF(庫存管理[[#This Row],[買進日是否落入record date]]=1,庫存管理[[#This Row],[record date制度前手息]],庫存管理[[#This Row],[計算前手息(初算)]]),0)</f>
        <v>0</v>
      </c>
      <c r="AL37" s="579" t="e">
        <f ca="1">IF(OR(庫存管理[[#This Row],[買進例外調整]]&lt;庫存管理[[#This Row],[起息日]],庫存管理[[#This Row],[買進例外調整]]&gt;庫存管理[[#This Row],[到期日]]),0,IF(庫存管理[[#This Row],[備註]]&lt;&gt;"",庫存管理[[#This Row],[買進時前手息]],IFERROR(ROUND(ACCRINT(AH37,AH37,V37,O37,100,Q37,AJ37,TRUE),4),0)))</f>
        <v>#N/A</v>
      </c>
      <c r="AM37" s="580" t="e">
        <f t="shared" ca="1" si="34"/>
        <v>#VALUE!</v>
      </c>
      <c r="AN37" s="440" t="e">
        <f ca="1">IFERROR(DATEVALUE(VLOOKUP(I37,bond!B:I,7,FALSE)),VLOOKUP(I37,bond!B:I,7,FALSE))</f>
        <v>#N/A</v>
      </c>
      <c r="AO37"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7" s="1075">
        <f ca="1">IFERROR(IF(庫存管理[[#This Row],[交割日是否落入record date]]=1,庫存管理[[#This Row],[交_record date制度前手息]],庫存管理[[#This Row],[計算交割前手息(初算)]]),0)</f>
        <v>0</v>
      </c>
      <c r="AQ37"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7" s="1063" t="e">
        <f ca="1">ROUND(庫存管理[[#This Row],[計算交割前手息(複算)]]*庫存管理[[#This Row],[投入面額]]/100,2)</f>
        <v>#VALUE!</v>
      </c>
      <c r="AS37" s="1064" t="e">
        <f ca="1">IF(庫存管理[[#This Row],[配息頻率]]=0,0,(100*庫存管理[[#This Row],[票面利率]]/庫存管理[[#This Row],[配息頻率]])*庫存管理[[#This Row],[經過幾次配息]]+庫存管理[[#This Row],[計算交割前手息(複算)]]-庫存管理[[#This Row],[計算前手息(複算)]])</f>
        <v>#VALUE!</v>
      </c>
      <c r="AT37" s="581" t="e">
        <f ca="1">IF(庫存管理[[#This Row],[商品代號]]="XFM90",0,ROUND(AS37*W37/100,2))</f>
        <v>#VALUE!</v>
      </c>
      <c r="AU37" s="582">
        <f ca="1">IF(MF=2,IFERROR(庫存管理[[#This Row],[累計配息]]/庫存管理[[#This Row],[持有成本(不含前手息)]],0),IFERROR(庫存管理[[#This Row],[已實現配息(原幣)]]/庫存管理[[#This Row],[持有成本(含前手息)]],0))</f>
        <v>0</v>
      </c>
      <c r="AV37" s="583" t="e">
        <f ca="1">IF(MF=2,庫存管理[[#This Row],[資本利損]]+庫存管理[[#This Row],[累計配息]],庫存管理[[#This Row],[資本利損]]+庫存管理[[#This Row],[已實現配息(原幣)]])</f>
        <v>#VALUE!</v>
      </c>
      <c r="AW37" s="584">
        <f ca="1">IF(庫存管理[[#This Row],[檢測]]=TRUE,IF(MF=2,IFERROR(庫存管理[[#This Row],[合計收益]]/庫存管理[[#This Row],[持有成本(不含前手息)]],0),IFERROR(庫存管理[[#This Row],[合計收益]]/庫存管理[[#This Row],[持有成本(含前手息)]],0)),0)</f>
        <v>0</v>
      </c>
      <c r="AX37" s="434" t="e">
        <f t="shared" ca="1" si="35"/>
        <v>#VALUE!</v>
      </c>
      <c r="AY37" s="434" t="e">
        <f t="shared" ca="1" si="36"/>
        <v>#VALUE!</v>
      </c>
      <c r="AZ37" s="434">
        <f t="shared" ca="1" si="37"/>
        <v>0</v>
      </c>
      <c r="BA37" s="434">
        <f t="shared" ca="1" si="38"/>
        <v>0</v>
      </c>
      <c r="BB37" s="441" t="e">
        <f ca="1">IF(AND(庫存管理[[#This Row],[名稱]]="美國國庫債券",DAY(庫存管理[[#This Row],[買進前一配息日(初算)]])&gt;=28),EOMONTH(庫存管理[[#This Row],[買進前一配息日(初算)]],0),庫存管理[[#This Row],[買進前一配息日(初算)]])</f>
        <v>#N/A</v>
      </c>
      <c r="BC37" s="441" t="e">
        <f t="shared" ca="1" si="39"/>
        <v>#N/A</v>
      </c>
      <c r="BD37" s="444" t="e">
        <f t="shared" ca="1" si="40"/>
        <v>#N/A</v>
      </c>
      <c r="BE37" s="441" t="e">
        <f ca="1">IF(Q37&gt;0,IF(MONTH(DATE(BD37,AX37,DAY(R37)))&lt;&gt;庫存管理[[#This Row],[第一個配息月]],DATE(BD37,AX37+1,0),DATE(BD37,AX37,DAY(R37))),庫存管理[[#This Row],[買進例外調整]]+100)</f>
        <v>#N/A</v>
      </c>
      <c r="BF37" s="441" t="e">
        <f ca="1">IF(AY37&lt;&gt;0,IF(MONTH(DATE(BD37,AY37,DAY(R37)))&lt;&gt;庫存管理[[#This Row],[第二個配息月]],DATE(BD37,AY37+1,0),DATE(BD37,AY37,DAY(R37))),庫存管理[[#This Row],[買進例外調整]]+100)</f>
        <v>#VALUE!</v>
      </c>
      <c r="BG37" s="441" t="e">
        <f ca="1">IF(AZ37&lt;&gt;0,IF(MONTH(DATE(BD37,AZ37,DAY(R37)))&lt;&gt;庫存管理[[#This Row],[第三個配息月]],DATE(BD37,AZ37+1,0),DATE(BD37,AZ37,DAY(R37))),庫存管理[[#This Row],[買進例外調整]]+100)</f>
        <v>#N/A</v>
      </c>
      <c r="BH37" s="441" t="e">
        <f ca="1">IF(BA37&lt;&gt;0,IF(MONTH(DATE(BD37,BA37,DAY(R37)))&lt;&gt;庫存管理[[#This Row],[第四個配息月]],DATE(BD37,BA37+1,0),DATE(BD37,BA37,DAY(R37))),庫存管理[[#This Row],[買進例外調整]]+100)</f>
        <v>#N/A</v>
      </c>
      <c r="BI37" s="441" t="e">
        <f ca="1">IF(Q37=1,IF(MONTH(DATE(BD37-1,AX37,DAY(R37)))&lt;&gt;庫存管理[[#This Row],[第一個配息月]],DATE(BD37-1,AX37+1,0),DATE(BD37-1,AX37,DAY(R37))),IF(Q37=2,IF(MONTH(DATE(BD37-1,AY37,DAY(R37)))&lt;&gt;庫存管理[[#This Row],[第二個配息月]],DATE(BD37-1,AY37+1,0),DATE(BD37-1,AY37,DAY(R37))),IF(Q37=4,IF(MONTH(DATE(BD37-1,BA37,DAY(R37)))&lt;&gt;庫存管理[[#This Row],[第四個配息月]],DATE(BD37-1,BA37+1,0),DATE(BD37-1,BA37,DAY(R37))),庫存管理[[#This Row],[買進例外調整]]+100)))</f>
        <v>#N/A</v>
      </c>
      <c r="BJ37" s="445">
        <f t="shared" ca="1" si="41"/>
        <v>10000</v>
      </c>
      <c r="BK37" s="445">
        <f t="shared" ca="1" si="42"/>
        <v>10000</v>
      </c>
      <c r="BL37" s="445">
        <f t="shared" ca="1" si="43"/>
        <v>10000</v>
      </c>
      <c r="BM37" s="445">
        <f t="shared" ca="1" si="44"/>
        <v>10000</v>
      </c>
      <c r="BN37" s="455">
        <f t="shared" ca="1" si="45"/>
        <v>10000</v>
      </c>
      <c r="BO37" s="479" t="e">
        <f ca="1">庫存管理[[#This Row],[年度配息]]/庫存管理[[#This Row],[配息頻率]]</f>
        <v>#VALUE!</v>
      </c>
      <c r="BP37" s="479" t="e">
        <f ca="1">庫存管理[[#This Row],[單次配息(原幣)]]*庫存管理[[#This Row],[換算匯率(現)]]</f>
        <v>#VALUE!</v>
      </c>
      <c r="BQ37" s="479" t="str">
        <f ca="1">IF(庫存管理[[#This Row],[商品代號]]&lt;&gt;"",IFERROR(VLOOKUP($I37,'銀行-TSS'!B:C,2,FALSE),""),"")</f>
        <v/>
      </c>
      <c r="BR37" s="479" t="e">
        <f ca="1">VLOOKUP(庫存管理[[#This Row],[幣別]],$B$37:$C$43,2,FALSE)</f>
        <v>#N/A</v>
      </c>
      <c r="BS37" s="500" t="e">
        <f ca="1">CHOOSE(庫存管理[[#This Row],[對應編碼]],$D$37,$D$38,$D$39,$D$40,$D$41,$D$42,$D$43)</f>
        <v>#N/A</v>
      </c>
      <c r="BT37" s="500">
        <f ca="1">IF(庫存管理[[#This Row],[商品代號]]="",0,CHOOSE(庫存管理[[#This Row],[對應編碼]],$E$37,$E$38,$E$39,$E$40,$E$41,$E$42,$E$43))</f>
        <v>0</v>
      </c>
      <c r="BU37" s="1555">
        <f ca="1">IF(庫存管理[[#This Row],[檢測]]=TRUE,庫存管理[[#This Row],[投入面額]]*庫存管理[[#This Row],[換算匯率(現)]],0)</f>
        <v>0</v>
      </c>
      <c r="BV37" s="1555">
        <f ca="1">IF(庫存管理[[#This Row],[檢測]]=TRUE,IFERROR(庫存管理[[#This Row],[持有成本(含前手息)]]*庫存管理[[#This Row],[換算匯率(買)]],0),0)</f>
        <v>0</v>
      </c>
      <c r="BW37" s="1555">
        <f ca="1">IF(庫存管理[[#This Row],[檢測]]=TRUE,庫存管理[[#This Row],[持有成本(不含前手息)]]*庫存管理[[#This Row],[換算匯率(買)]],0)</f>
        <v>0</v>
      </c>
      <c r="BX37" s="1555">
        <f ca="1">IF(庫存管理[[#This Row],[檢測]]=TRUE,庫存管理[[#This Row],[部位現值(含前手息)]]*庫存管理[[#This Row],[換算匯率(現)]],0)</f>
        <v>0</v>
      </c>
      <c r="BY37" s="1555">
        <f ca="1">IF(庫存管理[[#This Row],[檢測]]=TRUE,庫存管理[[#This Row],[部位現值(不含前手息)]]*庫存管理[[#This Row],[換算匯率(現)]],0)</f>
        <v>0</v>
      </c>
      <c r="BZ37" s="1555">
        <f ca="1">IF(庫存管理[[#This Row],[檢測]]=TRUE,IF(MF=2,庫存管理[[#This Row],[累計配息]]*庫存管理[[#This Row],[換算匯率(現)]],庫存管理[[#This Row],[已實現配息(原幣)]]*庫存管理[[#This Row],[換算匯率(現)]]),0)</f>
        <v>0</v>
      </c>
      <c r="CA37" s="1555" t="e">
        <f ca="1">庫存管理[[#This Row],[資本利損]]*庫存管理[[#This Row],[換算匯率(現)]]</f>
        <v>#VALUE!</v>
      </c>
      <c r="CB37" s="1555" t="e">
        <f ca="1">庫存管理[[#This Row],[累計利息(台)]]+庫存管理[[#This Row],[資本貢獻(台)]]</f>
        <v>#VALUE!</v>
      </c>
      <c r="CC37" s="574">
        <f ca="1">IF(庫存管理[[#This Row],[檢測]]=TRUE,IFERROR(庫存管理[[#This Row],[配息報酬]],0),0)</f>
        <v>0</v>
      </c>
      <c r="CD37" s="574">
        <f ca="1">IF(庫存管理[[#This Row],[檢測]]=TRUE,庫存管理[[#This Row],[資本報酬]],0)</f>
        <v>0</v>
      </c>
      <c r="CE37" s="574">
        <f ca="1">IF(S37=TRUE,IFERROR(庫存管理[[#This Row],[換匯總報酬率]]-(庫存管理[[#This Row],[配息報酬率]]+庫存管理[[#This Row],[資本報酬率]]),0),0)</f>
        <v>0</v>
      </c>
      <c r="CF37"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7" s="585">
        <f ca="1">IF(AND(庫存管理[[#This Row],[檢測]]=TRUE,開關=TRUE),IF(MF=2,IFERROR(BW37/$BW$1,0),IFERROR(BV37/$BV$1,0)),0)</f>
        <v>0</v>
      </c>
      <c r="CH37" s="574">
        <f ca="1">IF(庫存管理[[#This Row],[檢測]]=TRUE,IF(MF=2,IFERROR(BY37/$BY$1,0),IFERROR(BX37/$BX$1,0)),0)</f>
        <v>0</v>
      </c>
      <c r="CI37"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7" s="646" t="e">
        <f ca="1">DATEDIF(庫存管理[[#This Row],[買進例外調整]],庫存管理[[#This Row],[到期日]],"d")/365.25</f>
        <v>#N/A</v>
      </c>
      <c r="CK37" s="734" t="e">
        <f ca="1">DATEVALUE(VLOOKUP(庫存管理[[#This Row],[商品代號]],bond!B:AF,31,FALSE))</f>
        <v>#N/A</v>
      </c>
      <c r="CL37" s="734" t="e">
        <f ca="1">IF(庫存管理[[#This Row],[買下配(國調)]]&lt;庫存管理[[#This Row],[第一票息日]],庫存管理[[#This Row],[第一票息日]],庫存管理[[#This Row],[買下配(國調)]])</f>
        <v>#N/A</v>
      </c>
      <c r="CM37"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7"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7" s="735">
        <f ca="1">IF(庫存管理[[#This Row],[商品代號]]="XFM90",0,IFERROR(庫存管理[[#This Row],[單次配息(原幣)]]*庫存管理[[#This Row],[經過幾次配息]],0))</f>
        <v>0</v>
      </c>
      <c r="CP37" s="735" t="e">
        <f ca="1">VLOOKUP(庫存管理[[#This Row],[商品代號]],bond!B:F,5,FALSE)</f>
        <v>#N/A</v>
      </c>
      <c r="CQ37" s="734" t="str">
        <f ca="1">IFERROR(VLOOKUP(庫存管理[[#This Row],[ISIN]],'7_發行日例外'!A:C,3,FALSE),IFERROR(DATEVALUE(VLOOKUP(庫存管理[[#This Row],[商品代號]],bond!B:AR,43,FALSE)),""))</f>
        <v/>
      </c>
      <c r="CR37" s="735" t="e">
        <f ca="1">DATEDIF(庫存管理[[#This Row],[起息日]],庫存管理[[#This Row],[買進前一配息日(複算)]],"d")</f>
        <v>#VALUE!</v>
      </c>
      <c r="CS37"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7" s="734" t="e">
        <f ca="1">IFERROR(VLOOKUP(庫存管理[[#This Row],[ISIN]],'7_發行日例外'!A:D,4,FALSE),DATEVALUE(VLOOKUP(庫存管理[[#This Row],[商品代號]],bond!B:AV,44,FALSE)))</f>
        <v>#N/A</v>
      </c>
      <c r="CU37" s="735" t="e">
        <f ca="1">VLOOKUP(庫存管理[[#This Row],[商品代號]],bond!B:AU,46,FALSE)</f>
        <v>#N/A</v>
      </c>
      <c r="CV37" s="735" t="e">
        <f ca="1">IF(庫存管理[[#This Row],[計息基礎]]=1,CHOOSE(庫存管理[[#This Row],[對應編碼]],"沒進位","","沒進位",IF(庫存管理[[#This Row],[計算類型]]="AUSTRALIA:EX-DIV","4捨五入進0.01%","沒進位"),"年/2去計算ACT","沒進位","沒進位"),"")</f>
        <v>#N/A</v>
      </c>
      <c r="CW37" s="735" t="e">
        <f ca="1">_xlfn.DAYS(庫存管理[[#This Row],[買進例外調整]],庫存管理[[#This Row],[買進前一個配息日(最終)]])</f>
        <v>#N/A</v>
      </c>
      <c r="CX37" s="735" t="e">
        <f ca="1">IF(庫存管理[[#This Row],[備註]]="年/2去計算ACT",365/2,_xlfn.DAYS(庫存管理[[#This Row],[買進時的下個配息日]],庫存管理[[#This Row],[買進前一個配息日(最終)]]))</f>
        <v>#N/A</v>
      </c>
      <c r="CY37"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7" s="767" t="e">
        <f ca="1">_xlfn.DAYS(庫存管理[[#This Row],[交割日]],庫存管理[[#This Row],[買進前一個配息日(最終)]])</f>
        <v>#N/A</v>
      </c>
      <c r="DA37"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7" s="767" t="e">
        <f ca="1">_xlfn.DAYS(庫存管理[[#This Row],[交割日]],庫存管理[[#This Row],[最近的上一票息日]])</f>
        <v>#N/A</v>
      </c>
      <c r="DC37" s="767" t="e">
        <f ca="1">IF(庫存管理[[#This Row],[備註]]="年/2去計算ACT",365/2,_xlfn.DAYS(庫存管理[[#This Row],[下一配息日]],庫存管理[[#This Row],[最近的上一票息日]]))</f>
        <v>#N/A</v>
      </c>
      <c r="DD37"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7" s="739" t="e">
        <f ca="1">CL37-庫存管理[[#This Row],[ex_div_days]]</f>
        <v>#N/A</v>
      </c>
      <c r="DF37" s="646" t="e">
        <f ca="1">IF(VLOOKUP(庫存管理[[#This Row],[商品代號]],bond!B:AT,45,FALSE)="#N/A Field Not Applicable",0,VLOOKUP(庫存管理[[#This Row],[商品代號]],bond!B:AT,45,FALSE))</f>
        <v>#N/A</v>
      </c>
      <c r="DG37" s="793" t="e">
        <f ca="1">IF(庫存管理[[#This Row],[ex_div_days]]&lt;&gt;0,IF(AND(庫存管理[[#This Row],[買進例外調整]]-庫存管理[[#This Row],[買進下一個配息日先減n天]]&gt;=0,庫存管理[[#This Row],[買進時的下個配息日]]-庫存管理[[#This Row],[買進例外調整]]&gt;0),1,0),0)</f>
        <v>#N/A</v>
      </c>
      <c r="DH37"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7" s="734" t="e">
        <f ca="1">庫存管理[[#This Row],[下一配息日]]-庫存管理[[#This Row],[ex_div_days]]</f>
        <v>#VALUE!</v>
      </c>
      <c r="DJ37" s="1081" t="e">
        <f ca="1">IF(庫存管理[[#This Row],[ex_div_days]]&lt;&gt;0,IF(AND(庫存管理[[#This Row],[交割日]]-庫存管理[[#This Row],[交割下個配息日先減n天]]&gt;=0,庫存管理[[#This Row],[下一配息日]]-庫存管理[[#This Row],[交割日]]&gt;0),1,0),0)</f>
        <v>#N/A</v>
      </c>
      <c r="DK37"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7" s="735">
        <f ca="1">IFERROR(VLOOKUP(庫存管理[[#This Row],[商品代號]],bond!B:X,21,FALSE),0)</f>
        <v>0</v>
      </c>
      <c r="DM37" s="735">
        <f ca="1">IFERROR(VLOOKUP(I37,bond!B:J,9,FALSE),0)</f>
        <v>0</v>
      </c>
      <c r="DN37" s="1188">
        <f ca="1">IF(AND(開關=TRUE,庫存管理[[#This Row],[投組檢測]]=TRUE),IF(MF=2,IFERROR(BW37/$BW$3,0),IFERROR(BV37/$BV$3,0)),0)</f>
        <v>0</v>
      </c>
      <c r="DO37" s="735">
        <f ca="1">IFERROR(庫存管理[[#This Row],[clean申購價]]/100*庫存管理[[#This Row],[投入面額]]*庫存管理[[#This Row],[MOD]]*0.01,0)</f>
        <v>0</v>
      </c>
      <c r="DP37" s="1298" t="e">
        <f ca="1">IF($C$16=1,庫存管理[[#This Row],[單次配息(台幣)]],庫存管理[[#This Row],[單次配息(原幣)]])</f>
        <v>#VALUE!</v>
      </c>
      <c r="DQ37"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7"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7"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7"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7"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7"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7"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7"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7"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7"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7"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7"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8" spans="1:132" ht="19.5" customHeight="1">
      <c r="A38" s="459" t="s">
        <v>2173</v>
      </c>
      <c r="B38" s="495" t="s">
        <v>1994</v>
      </c>
      <c r="C38" s="12">
        <v>2</v>
      </c>
      <c r="D38" s="12">
        <f>庫存管理!G13</f>
        <v>4.1333000000000002</v>
      </c>
      <c r="E38" s="12">
        <f>庫存管理!H13</f>
        <v>4.4691000000000001</v>
      </c>
      <c r="G38" s="459">
        <v>32</v>
      </c>
      <c r="H38" s="1166" t="b">
        <f ca="1">IFERROR(IF(VLOOKUP(G38,換券投組!$AH$8:$AH$13,1,FALSE)&gt;0,TRUE,FALSE),FALSE)</f>
        <v>0</v>
      </c>
      <c r="I38" s="1693" t="str">
        <f ca="1">IF(開關=TRUE,'商品代碼-中繼頁'!R33,"")</f>
        <v/>
      </c>
      <c r="J38" s="429">
        <f ca="1">IFERROR(VLOOKUP(I38,bond!B:I,8,FALSE),0)</f>
        <v>0</v>
      </c>
      <c r="K38" s="429">
        <f ca="1">IFERROR(庫存管理[[#This Row],[買價]]+VLOOKUP(庫存管理[[#This Row],[商品代號]],bond!B:K,10,FALSE),0)</f>
        <v>0</v>
      </c>
      <c r="L38" s="430" t="e">
        <f ca="1">VLOOKUP(I38,'銀行-TSS'!B:E,4,FALSE)</f>
        <v>#N/A</v>
      </c>
      <c r="M38" s="431">
        <f ca="1">IFERROR(VLOOKUP($I38,'銀行-TSS'!B:G,6,FALSE),0)</f>
        <v>0</v>
      </c>
      <c r="N38" s="432" t="e">
        <f ca="1">IFERROR(DATEVALUE(VLOOKUP($I38,'銀行-TSS'!B:F,5,FALSE)),VLOOKUP($I38,'銀行-TSS'!B:F,5,FALSE))</f>
        <v>#N/A</v>
      </c>
      <c r="O38" s="433">
        <f ca="1">IFERROR(VLOOKUP($I38,'銀行-TSS'!B:H,7,FALSE),0)</f>
        <v>0</v>
      </c>
      <c r="P38" s="433" t="e">
        <f ca="1">庫存管理[[#This Row],[票面利率]]/庫存管理[[#This Row],[成本價(不含前手息)]]*100</f>
        <v>#VALUE!</v>
      </c>
      <c r="Q38" s="434" t="str">
        <f ca="1">IFERROR(VLOOKUP($I38,'銀行-TSS'!B:I,8,FALSE),"")</f>
        <v/>
      </c>
      <c r="R38" s="440" t="str">
        <f ca="1">_xlfn.IFNA(IFERROR(DATEVALUE(VLOOKUP($I38,'銀行-TSS'!B:P,15,FALSE)),VLOOKUP($I38,'銀行-TSS'!B:P,15,FALSE)),"")</f>
        <v/>
      </c>
      <c r="S38" s="570" t="b">
        <f ca="1">IF(AND(庫存管理[[#This Row],[配息頻率]]&lt;&gt;"",庫存管理[[#This Row],[持有成本(不含前手息)]]&lt;&gt;0,庫存管理[[#This Row],[買進日]]&lt;&gt;""),TRUE,FALSE)</f>
        <v>0</v>
      </c>
      <c r="T38" s="602" t="str">
        <f>IFERROR(DATE(LEFT('商品代碼-中繼頁'!S33,4),MID('商品代碼-中繼頁'!S33,5,2),RIGHT('商品代碼-中繼頁'!S33,2)),"")</f>
        <v/>
      </c>
      <c r="U38"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8" s="442" t="e">
        <f ca="1">IFERROR(WORKDAY(庫存管理[[#This Row],[買進日]],VLOOKUP(庫存管理[[#This Row],[商品代號]],'1_重設數據'!R:S,2,FALSE),休USD),庫存管理[[#This Row],[買進日(T+2/公債T+1)]])</f>
        <v>#N/A</v>
      </c>
      <c r="W38" s="43" t="str">
        <f>'商品代碼-中繼頁'!T33</f>
        <v/>
      </c>
      <c r="X38" s="43" t="str">
        <f>'商品代碼-中繼頁'!U33</f>
        <v/>
      </c>
      <c r="Y38" s="464">
        <f t="shared" ca="1" si="9"/>
        <v>0</v>
      </c>
      <c r="Z38" s="464" t="e">
        <f t="shared" ca="1" si="31"/>
        <v>#VALUE!</v>
      </c>
      <c r="AA38" s="465" t="e">
        <f t="shared" ca="1" si="32"/>
        <v>#VALUE!</v>
      </c>
      <c r="AB38" s="474" t="e">
        <f ca="1">IF(MF=2,庫存管理[[#This Row],[部位現值(不含前手息)]]-庫存管理[[#This Row],[持有成本(不含前手息)]],庫存管理[[#This Row],[部位現值(含前手息)]]-庫存管理[[#This Row],[持有成本(含前手息)]])</f>
        <v>#VALUE!</v>
      </c>
      <c r="AC38" s="462">
        <f ca="1">IF(庫存管理[[#This Row],[檢測]]=TRUE,IF(MF=2,IFERROR(庫存管理[[#This Row],[資本利損]]/庫存管理[[#This Row],[持有成本(不含前手息)]],0),IFERROR(庫存管理[[#This Row],[資本利損]]/庫存管理[[#This Row],[持有成本(含前手息)]],0)),0)</f>
        <v>0</v>
      </c>
      <c r="AD38" s="618" t="e">
        <f ca="1">庫存管理[[#This Row],[持有成本(不含前手息)]]/庫存管理[[#This Row],[投入面額]]*100</f>
        <v>#VALUE!</v>
      </c>
      <c r="AE38" s="462" t="str">
        <f ca="1">IFERROR(VLOOKUP(庫存管理[[#This Row],[商品代號]],bond!B:AA,26,FALSE),"")</f>
        <v/>
      </c>
      <c r="AF38" s="1" t="str">
        <f ca="1">IFERROR(VLOOKUP($I38,'銀行-TSS'!B:Q,16,FALSE),"")</f>
        <v/>
      </c>
      <c r="AG38" s="466">
        <f t="shared" ca="1" si="1"/>
        <v>0</v>
      </c>
      <c r="AH38" s="458" t="e">
        <f ca="1">IF(OR(庫存管理[[#This Row],[起息日]]&gt;庫存管理[[#This Row],[買進前一配息日(複算)]],庫存管理[[#This Row],[判斷]]=TRUE),庫存管理[[#This Row],[起息日]],庫存管理[[#This Row],[買進前一配息日(複算)]])</f>
        <v>#N/A</v>
      </c>
      <c r="AI38" s="577" t="e">
        <f ca="1">VLOOKUP(I38,bond!B:AP,41,FALSE)</f>
        <v>#N/A</v>
      </c>
      <c r="AJ38" s="578" t="e">
        <f t="shared" ca="1" si="33"/>
        <v>#N/A</v>
      </c>
      <c r="AK38" s="579">
        <f ca="1">IFERROR(IF(庫存管理[[#This Row],[買進日是否落入record date]]=1,庫存管理[[#This Row],[record date制度前手息]],庫存管理[[#This Row],[計算前手息(初算)]]),0)</f>
        <v>0</v>
      </c>
      <c r="AL38" s="579" t="e">
        <f ca="1">IF(OR(庫存管理[[#This Row],[買進例外調整]]&lt;庫存管理[[#This Row],[起息日]],庫存管理[[#This Row],[買進例外調整]]&gt;庫存管理[[#This Row],[到期日]]),0,IF(庫存管理[[#This Row],[備註]]&lt;&gt;"",庫存管理[[#This Row],[買進時前手息]],IFERROR(ROUND(ACCRINT(AH38,AH38,V38,O38,100,Q38,AJ38,TRUE),4),0)))</f>
        <v>#N/A</v>
      </c>
      <c r="AM38" s="580" t="e">
        <f t="shared" ca="1" si="34"/>
        <v>#VALUE!</v>
      </c>
      <c r="AN38" s="440" t="e">
        <f ca="1">IFERROR(DATEVALUE(VLOOKUP(I38,bond!B:I,7,FALSE)),VLOOKUP(I38,bond!B:I,7,FALSE))</f>
        <v>#N/A</v>
      </c>
      <c r="AO38"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8" s="1075">
        <f ca="1">IFERROR(IF(庫存管理[[#This Row],[交割日是否落入record date]]=1,庫存管理[[#This Row],[交_record date制度前手息]],庫存管理[[#This Row],[計算交割前手息(初算)]]),0)</f>
        <v>0</v>
      </c>
      <c r="AQ38"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8" s="1063" t="e">
        <f ca="1">ROUND(庫存管理[[#This Row],[計算交割前手息(複算)]]*庫存管理[[#This Row],[投入面額]]/100,2)</f>
        <v>#VALUE!</v>
      </c>
      <c r="AS38" s="1064" t="e">
        <f ca="1">IF(庫存管理[[#This Row],[配息頻率]]=0,0,(100*庫存管理[[#This Row],[票面利率]]/庫存管理[[#This Row],[配息頻率]])*庫存管理[[#This Row],[經過幾次配息]]+庫存管理[[#This Row],[計算交割前手息(複算)]]-庫存管理[[#This Row],[計算前手息(複算)]])</f>
        <v>#VALUE!</v>
      </c>
      <c r="AT38" s="581" t="e">
        <f ca="1">IF(庫存管理[[#This Row],[商品代號]]="XFM90",0,ROUND(AS38*W38/100,2))</f>
        <v>#VALUE!</v>
      </c>
      <c r="AU38" s="582">
        <f ca="1">IF(MF=2,IFERROR(庫存管理[[#This Row],[累計配息]]/庫存管理[[#This Row],[持有成本(不含前手息)]],0),IFERROR(庫存管理[[#This Row],[已實現配息(原幣)]]/庫存管理[[#This Row],[持有成本(含前手息)]],0))</f>
        <v>0</v>
      </c>
      <c r="AV38" s="583" t="e">
        <f ca="1">IF(MF=2,庫存管理[[#This Row],[資本利損]]+庫存管理[[#This Row],[累計配息]],庫存管理[[#This Row],[資本利損]]+庫存管理[[#This Row],[已實現配息(原幣)]])</f>
        <v>#VALUE!</v>
      </c>
      <c r="AW38" s="584">
        <f ca="1">IF(庫存管理[[#This Row],[檢測]]=TRUE,IF(MF=2,IFERROR(庫存管理[[#This Row],[合計收益]]/庫存管理[[#This Row],[持有成本(不含前手息)]],0),IFERROR(庫存管理[[#This Row],[合計收益]]/庫存管理[[#This Row],[持有成本(含前手息)]],0)),0)</f>
        <v>0</v>
      </c>
      <c r="AX38" s="434" t="e">
        <f t="shared" ca="1" si="35"/>
        <v>#VALUE!</v>
      </c>
      <c r="AY38" s="434" t="e">
        <f t="shared" ca="1" si="36"/>
        <v>#VALUE!</v>
      </c>
      <c r="AZ38" s="434">
        <f t="shared" ca="1" si="37"/>
        <v>0</v>
      </c>
      <c r="BA38" s="434">
        <f t="shared" ca="1" si="38"/>
        <v>0</v>
      </c>
      <c r="BB38" s="441" t="e">
        <f ca="1">IF(AND(庫存管理[[#This Row],[名稱]]="美國國庫債券",DAY(庫存管理[[#This Row],[買進前一配息日(初算)]])&gt;=28),EOMONTH(庫存管理[[#This Row],[買進前一配息日(初算)]],0),庫存管理[[#This Row],[買進前一配息日(初算)]])</f>
        <v>#N/A</v>
      </c>
      <c r="BC38" s="441" t="e">
        <f t="shared" ca="1" si="39"/>
        <v>#N/A</v>
      </c>
      <c r="BD38" s="444" t="e">
        <f t="shared" ca="1" si="40"/>
        <v>#N/A</v>
      </c>
      <c r="BE38" s="441" t="e">
        <f ca="1">IF(Q38&gt;0,IF(MONTH(DATE(BD38,AX38,DAY(R38)))&lt;&gt;庫存管理[[#This Row],[第一個配息月]],DATE(BD38,AX38+1,0),DATE(BD38,AX38,DAY(R38))),庫存管理[[#This Row],[買進例外調整]]+100)</f>
        <v>#N/A</v>
      </c>
      <c r="BF38" s="441" t="e">
        <f ca="1">IF(AY38&lt;&gt;0,IF(MONTH(DATE(BD38,AY38,DAY(R38)))&lt;&gt;庫存管理[[#This Row],[第二個配息月]],DATE(BD38,AY38+1,0),DATE(BD38,AY38,DAY(R38))),庫存管理[[#This Row],[買進例外調整]]+100)</f>
        <v>#VALUE!</v>
      </c>
      <c r="BG38" s="441" t="e">
        <f ca="1">IF(AZ38&lt;&gt;0,IF(MONTH(DATE(BD38,AZ38,DAY(R38)))&lt;&gt;庫存管理[[#This Row],[第三個配息月]],DATE(BD38,AZ38+1,0),DATE(BD38,AZ38,DAY(R38))),庫存管理[[#This Row],[買進例外調整]]+100)</f>
        <v>#N/A</v>
      </c>
      <c r="BH38" s="441" t="e">
        <f ca="1">IF(BA38&lt;&gt;0,IF(MONTH(DATE(BD38,BA38,DAY(R38)))&lt;&gt;庫存管理[[#This Row],[第四個配息月]],DATE(BD38,BA38+1,0),DATE(BD38,BA38,DAY(R38))),庫存管理[[#This Row],[買進例外調整]]+100)</f>
        <v>#N/A</v>
      </c>
      <c r="BI38" s="441" t="e">
        <f ca="1">IF(Q38=1,IF(MONTH(DATE(BD38-1,AX38,DAY(R38)))&lt;&gt;庫存管理[[#This Row],[第一個配息月]],DATE(BD38-1,AX38+1,0),DATE(BD38-1,AX38,DAY(R38))),IF(Q38=2,IF(MONTH(DATE(BD38-1,AY38,DAY(R38)))&lt;&gt;庫存管理[[#This Row],[第二個配息月]],DATE(BD38-1,AY38+1,0),DATE(BD38-1,AY38,DAY(R38))),IF(Q38=4,IF(MONTH(DATE(BD38-1,BA38,DAY(R38)))&lt;&gt;庫存管理[[#This Row],[第四個配息月]],DATE(BD38-1,BA38+1,0),DATE(BD38-1,BA38,DAY(R38))),庫存管理[[#This Row],[買進例外調整]]+100)))</f>
        <v>#N/A</v>
      </c>
      <c r="BJ38" s="445">
        <f t="shared" ca="1" si="41"/>
        <v>10000</v>
      </c>
      <c r="BK38" s="445">
        <f t="shared" ca="1" si="42"/>
        <v>10000</v>
      </c>
      <c r="BL38" s="445">
        <f t="shared" ca="1" si="43"/>
        <v>10000</v>
      </c>
      <c r="BM38" s="445">
        <f t="shared" ca="1" si="44"/>
        <v>10000</v>
      </c>
      <c r="BN38" s="455">
        <f t="shared" ca="1" si="45"/>
        <v>10000</v>
      </c>
      <c r="BO38" s="479" t="e">
        <f ca="1">庫存管理[[#This Row],[年度配息]]/庫存管理[[#This Row],[配息頻率]]</f>
        <v>#VALUE!</v>
      </c>
      <c r="BP38" s="479" t="e">
        <f ca="1">庫存管理[[#This Row],[單次配息(原幣)]]*庫存管理[[#This Row],[換算匯率(現)]]</f>
        <v>#VALUE!</v>
      </c>
      <c r="BQ38" s="479" t="str">
        <f ca="1">IF(庫存管理[[#This Row],[商品代號]]&lt;&gt;"",IFERROR(VLOOKUP($I38,'銀行-TSS'!B:C,2,FALSE),""),"")</f>
        <v/>
      </c>
      <c r="BR38" s="479" t="e">
        <f ca="1">VLOOKUP(庫存管理[[#This Row],[幣別]],$B$37:$C$43,2,FALSE)</f>
        <v>#N/A</v>
      </c>
      <c r="BS38" s="500" t="e">
        <f ca="1">CHOOSE(庫存管理[[#This Row],[對應編碼]],$D$37,$D$38,$D$39,$D$40,$D$41,$D$42,$D$43)</f>
        <v>#N/A</v>
      </c>
      <c r="BT38" s="500">
        <f ca="1">IF(庫存管理[[#This Row],[商品代號]]="",0,CHOOSE(庫存管理[[#This Row],[對應編碼]],$E$37,$E$38,$E$39,$E$40,$E$41,$E$42,$E$43))</f>
        <v>0</v>
      </c>
      <c r="BU38" s="1555">
        <f ca="1">IF(庫存管理[[#This Row],[檢測]]=TRUE,庫存管理[[#This Row],[投入面額]]*庫存管理[[#This Row],[換算匯率(現)]],0)</f>
        <v>0</v>
      </c>
      <c r="BV38" s="1555">
        <f ca="1">IF(庫存管理[[#This Row],[檢測]]=TRUE,IFERROR(庫存管理[[#This Row],[持有成本(含前手息)]]*庫存管理[[#This Row],[換算匯率(買)]],0),0)</f>
        <v>0</v>
      </c>
      <c r="BW38" s="1555">
        <f ca="1">IF(庫存管理[[#This Row],[檢測]]=TRUE,庫存管理[[#This Row],[持有成本(不含前手息)]]*庫存管理[[#This Row],[換算匯率(買)]],0)</f>
        <v>0</v>
      </c>
      <c r="BX38" s="1555">
        <f ca="1">IF(庫存管理[[#This Row],[檢測]]=TRUE,庫存管理[[#This Row],[部位現值(含前手息)]]*庫存管理[[#This Row],[換算匯率(現)]],0)</f>
        <v>0</v>
      </c>
      <c r="BY38" s="1555">
        <f ca="1">IF(庫存管理[[#This Row],[檢測]]=TRUE,庫存管理[[#This Row],[部位現值(不含前手息)]]*庫存管理[[#This Row],[換算匯率(現)]],0)</f>
        <v>0</v>
      </c>
      <c r="BZ38" s="1555">
        <f ca="1">IF(庫存管理[[#This Row],[檢測]]=TRUE,IF(MF=2,庫存管理[[#This Row],[累計配息]]*庫存管理[[#This Row],[換算匯率(現)]],庫存管理[[#This Row],[已實現配息(原幣)]]*庫存管理[[#This Row],[換算匯率(現)]]),0)</f>
        <v>0</v>
      </c>
      <c r="CA38" s="1555" t="e">
        <f ca="1">庫存管理[[#This Row],[資本利損]]*庫存管理[[#This Row],[換算匯率(現)]]</f>
        <v>#VALUE!</v>
      </c>
      <c r="CB38" s="1555" t="e">
        <f ca="1">庫存管理[[#This Row],[累計利息(台)]]+庫存管理[[#This Row],[資本貢獻(台)]]</f>
        <v>#VALUE!</v>
      </c>
      <c r="CC38" s="574">
        <f ca="1">IF(庫存管理[[#This Row],[檢測]]=TRUE,IFERROR(庫存管理[[#This Row],[配息報酬]],0),0)</f>
        <v>0</v>
      </c>
      <c r="CD38" s="574">
        <f ca="1">IF(庫存管理[[#This Row],[檢測]]=TRUE,庫存管理[[#This Row],[資本報酬]],0)</f>
        <v>0</v>
      </c>
      <c r="CE38" s="574">
        <f ca="1">IF(S38=TRUE,IFERROR(庫存管理[[#This Row],[換匯總報酬率]]-(庫存管理[[#This Row],[配息報酬率]]+庫存管理[[#This Row],[資本報酬率]]),0),0)</f>
        <v>0</v>
      </c>
      <c r="CF38"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8" s="585">
        <f ca="1">IF(AND(庫存管理[[#This Row],[檢測]]=TRUE,開關=TRUE),IF(MF=2,IFERROR(BW38/$BW$1,0),IFERROR(BV38/$BV$1,0)),0)</f>
        <v>0</v>
      </c>
      <c r="CH38" s="574">
        <f ca="1">IF(庫存管理[[#This Row],[檢測]]=TRUE,IF(MF=2,IFERROR(BY38/$BY$1,0),IFERROR(BX38/$BX$1,0)),0)</f>
        <v>0</v>
      </c>
      <c r="CI38"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8" s="646" t="e">
        <f ca="1">DATEDIF(庫存管理[[#This Row],[買進例外調整]],庫存管理[[#This Row],[到期日]],"d")/365.25</f>
        <v>#N/A</v>
      </c>
      <c r="CK38" s="734" t="e">
        <f ca="1">DATEVALUE(VLOOKUP(庫存管理[[#This Row],[商品代號]],bond!B:AF,31,FALSE))</f>
        <v>#N/A</v>
      </c>
      <c r="CL38" s="734" t="e">
        <f ca="1">IF(庫存管理[[#This Row],[買下配(國調)]]&lt;庫存管理[[#This Row],[第一票息日]],庫存管理[[#This Row],[第一票息日]],庫存管理[[#This Row],[買下配(國調)]])</f>
        <v>#N/A</v>
      </c>
      <c r="CM38"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8"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8" s="735">
        <f ca="1">IF(庫存管理[[#This Row],[商品代號]]="XFM90",0,IFERROR(庫存管理[[#This Row],[單次配息(原幣)]]*庫存管理[[#This Row],[經過幾次配息]],0))</f>
        <v>0</v>
      </c>
      <c r="CP38" s="735" t="e">
        <f ca="1">VLOOKUP(庫存管理[[#This Row],[商品代號]],bond!B:F,5,FALSE)</f>
        <v>#N/A</v>
      </c>
      <c r="CQ38" s="734" t="str">
        <f ca="1">IFERROR(VLOOKUP(庫存管理[[#This Row],[ISIN]],'7_發行日例外'!A:C,3,FALSE),IFERROR(DATEVALUE(VLOOKUP(庫存管理[[#This Row],[商品代號]],bond!B:AR,43,FALSE)),""))</f>
        <v/>
      </c>
      <c r="CR38" s="735" t="e">
        <f ca="1">DATEDIF(庫存管理[[#This Row],[起息日]],庫存管理[[#This Row],[買進前一配息日(複算)]],"d")</f>
        <v>#VALUE!</v>
      </c>
      <c r="CS38"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8" s="734" t="e">
        <f ca="1">IFERROR(VLOOKUP(庫存管理[[#This Row],[ISIN]],'7_發行日例外'!A:D,4,FALSE),DATEVALUE(VLOOKUP(庫存管理[[#This Row],[商品代號]],bond!B:AV,44,FALSE)))</f>
        <v>#N/A</v>
      </c>
      <c r="CU38" s="735" t="e">
        <f ca="1">VLOOKUP(庫存管理[[#This Row],[商品代號]],bond!B:AU,46,FALSE)</f>
        <v>#N/A</v>
      </c>
      <c r="CV38" s="735" t="e">
        <f ca="1">IF(庫存管理[[#This Row],[計息基礎]]=1,CHOOSE(庫存管理[[#This Row],[對應編碼]],"沒進位","","沒進位",IF(庫存管理[[#This Row],[計算類型]]="AUSTRALIA:EX-DIV","4捨五入進0.01%","沒進位"),"年/2去計算ACT","沒進位","沒進位"),"")</f>
        <v>#N/A</v>
      </c>
      <c r="CW38" s="735" t="e">
        <f ca="1">_xlfn.DAYS(庫存管理[[#This Row],[買進例外調整]],庫存管理[[#This Row],[買進前一個配息日(最終)]])</f>
        <v>#N/A</v>
      </c>
      <c r="CX38" s="735" t="e">
        <f ca="1">IF(庫存管理[[#This Row],[備註]]="年/2去計算ACT",365/2,_xlfn.DAYS(庫存管理[[#This Row],[買進時的下個配息日]],庫存管理[[#This Row],[買進前一個配息日(最終)]]))</f>
        <v>#N/A</v>
      </c>
      <c r="CY38"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8" s="767" t="e">
        <f ca="1">_xlfn.DAYS(庫存管理[[#This Row],[交割日]],庫存管理[[#This Row],[買進前一個配息日(最終)]])</f>
        <v>#N/A</v>
      </c>
      <c r="DA38"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8" s="767" t="e">
        <f ca="1">_xlfn.DAYS(庫存管理[[#This Row],[交割日]],庫存管理[[#This Row],[最近的上一票息日]])</f>
        <v>#N/A</v>
      </c>
      <c r="DC38" s="767" t="e">
        <f ca="1">IF(庫存管理[[#This Row],[備註]]="年/2去計算ACT",365/2,_xlfn.DAYS(庫存管理[[#This Row],[下一配息日]],庫存管理[[#This Row],[最近的上一票息日]]))</f>
        <v>#N/A</v>
      </c>
      <c r="DD38"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8" s="739" t="e">
        <f ca="1">CL38-庫存管理[[#This Row],[ex_div_days]]</f>
        <v>#N/A</v>
      </c>
      <c r="DF38" s="646" t="e">
        <f ca="1">IF(VLOOKUP(庫存管理[[#This Row],[商品代號]],bond!B:AT,45,FALSE)="#N/A Field Not Applicable",0,VLOOKUP(庫存管理[[#This Row],[商品代號]],bond!B:AT,45,FALSE))</f>
        <v>#N/A</v>
      </c>
      <c r="DG38" s="793" t="e">
        <f ca="1">IF(庫存管理[[#This Row],[ex_div_days]]&lt;&gt;0,IF(AND(庫存管理[[#This Row],[買進例外調整]]-庫存管理[[#This Row],[買進下一個配息日先減n天]]&gt;=0,庫存管理[[#This Row],[買進時的下個配息日]]-庫存管理[[#This Row],[買進例外調整]]&gt;0),1,0),0)</f>
        <v>#N/A</v>
      </c>
      <c r="DH38"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8" s="734" t="e">
        <f ca="1">庫存管理[[#This Row],[下一配息日]]-庫存管理[[#This Row],[ex_div_days]]</f>
        <v>#VALUE!</v>
      </c>
      <c r="DJ38" s="1081" t="e">
        <f ca="1">IF(庫存管理[[#This Row],[ex_div_days]]&lt;&gt;0,IF(AND(庫存管理[[#This Row],[交割日]]-庫存管理[[#This Row],[交割下個配息日先減n天]]&gt;=0,庫存管理[[#This Row],[下一配息日]]-庫存管理[[#This Row],[交割日]]&gt;0),1,0),0)</f>
        <v>#N/A</v>
      </c>
      <c r="DK38"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8" s="735">
        <f ca="1">IFERROR(VLOOKUP(庫存管理[[#This Row],[商品代號]],bond!B:X,21,FALSE),0)</f>
        <v>0</v>
      </c>
      <c r="DM38" s="735">
        <f ca="1">IFERROR(VLOOKUP(I38,bond!B:J,9,FALSE),0)</f>
        <v>0</v>
      </c>
      <c r="DN38" s="1188">
        <f ca="1">IF(AND(開關=TRUE,庫存管理[[#This Row],[投組檢測]]=TRUE),IF(MF=2,IFERROR(BW38/$BW$3,0),IFERROR(BV38/$BV$3,0)),0)</f>
        <v>0</v>
      </c>
      <c r="DO38" s="735">
        <f ca="1">IFERROR(庫存管理[[#This Row],[clean申購價]]/100*庫存管理[[#This Row],[投入面額]]*庫存管理[[#This Row],[MOD]]*0.01,0)</f>
        <v>0</v>
      </c>
      <c r="DP38" s="1298" t="e">
        <f ca="1">IF($C$16=1,庫存管理[[#This Row],[單次配息(台幣)]],庫存管理[[#This Row],[單次配息(原幣)]])</f>
        <v>#VALUE!</v>
      </c>
      <c r="DQ38"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8"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8"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8"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8"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8"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8"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8"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8"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8"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8"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8"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39" spans="1:132" ht="19.5" customHeight="1">
      <c r="A39" s="459" t="s">
        <v>2174</v>
      </c>
      <c r="B39" s="495" t="s">
        <v>530</v>
      </c>
      <c r="C39" s="12">
        <v>3</v>
      </c>
      <c r="D39" s="12">
        <f>庫存管理!G14</f>
        <v>1.6482000000000001</v>
      </c>
      <c r="E39" s="12">
        <f>庫存管理!H14</f>
        <v>1.7963</v>
      </c>
      <c r="G39" s="459">
        <v>33</v>
      </c>
      <c r="H39" s="1166" t="b">
        <f ca="1">IFERROR(IF(VLOOKUP(G39,換券投組!$AH$8:$AH$13,1,FALSE)&gt;0,TRUE,FALSE),FALSE)</f>
        <v>0</v>
      </c>
      <c r="I39" s="1693" t="str">
        <f ca="1">IF(開關=TRUE,'商品代碼-中繼頁'!R34,"")</f>
        <v/>
      </c>
      <c r="J39" s="429">
        <f ca="1">IFERROR(VLOOKUP(I39,bond!B:I,8,FALSE),0)</f>
        <v>0</v>
      </c>
      <c r="K39" s="429">
        <f ca="1">IFERROR(庫存管理[[#This Row],[買價]]+VLOOKUP(庫存管理[[#This Row],[商品代號]],bond!B:K,10,FALSE),0)</f>
        <v>0</v>
      </c>
      <c r="L39" s="430" t="e">
        <f ca="1">VLOOKUP(I39,'銀行-TSS'!B:E,4,FALSE)</f>
        <v>#N/A</v>
      </c>
      <c r="M39" s="431">
        <f ca="1">IFERROR(VLOOKUP($I39,'銀行-TSS'!B:G,6,FALSE),0)</f>
        <v>0</v>
      </c>
      <c r="N39" s="432" t="e">
        <f ca="1">IFERROR(DATEVALUE(VLOOKUP($I39,'銀行-TSS'!B:F,5,FALSE)),VLOOKUP($I39,'銀行-TSS'!B:F,5,FALSE))</f>
        <v>#N/A</v>
      </c>
      <c r="O39" s="433">
        <f ca="1">IFERROR(VLOOKUP($I39,'銀行-TSS'!B:H,7,FALSE),0)</f>
        <v>0</v>
      </c>
      <c r="P39" s="433" t="e">
        <f ca="1">庫存管理[[#This Row],[票面利率]]/庫存管理[[#This Row],[成本價(不含前手息)]]*100</f>
        <v>#VALUE!</v>
      </c>
      <c r="Q39" s="434" t="str">
        <f ca="1">IFERROR(VLOOKUP($I39,'銀行-TSS'!B:I,8,FALSE),"")</f>
        <v/>
      </c>
      <c r="R39" s="440" t="str">
        <f ca="1">_xlfn.IFNA(IFERROR(DATEVALUE(VLOOKUP($I39,'銀行-TSS'!B:P,15,FALSE)),VLOOKUP($I39,'銀行-TSS'!B:P,15,FALSE)),"")</f>
        <v/>
      </c>
      <c r="S39" s="570" t="b">
        <f ca="1">IF(AND(庫存管理[[#This Row],[配息頻率]]&lt;&gt;"",庫存管理[[#This Row],[持有成本(不含前手息)]]&lt;&gt;0,庫存管理[[#This Row],[買進日]]&lt;&gt;""),TRUE,FALSE)</f>
        <v>0</v>
      </c>
      <c r="T39" s="602" t="str">
        <f>IFERROR(DATE(LEFT('商品代碼-中繼頁'!S34,4),MID('商品代碼-中繼頁'!S34,5,2),RIGHT('商品代碼-中繼頁'!S34,2)),"")</f>
        <v/>
      </c>
      <c r="U39"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39" s="442" t="e">
        <f ca="1">IFERROR(WORKDAY(庫存管理[[#This Row],[買進日]],VLOOKUP(庫存管理[[#This Row],[商品代號]],'1_重設數據'!R:S,2,FALSE),休USD),庫存管理[[#This Row],[買進日(T+2/公債T+1)]])</f>
        <v>#N/A</v>
      </c>
      <c r="W39" s="43" t="str">
        <f>'商品代碼-中繼頁'!T34</f>
        <v/>
      </c>
      <c r="X39" s="43" t="str">
        <f>'商品代碼-中繼頁'!U34</f>
        <v/>
      </c>
      <c r="Y39" s="464">
        <f t="shared" ca="1" si="9"/>
        <v>0</v>
      </c>
      <c r="Z39" s="464" t="e">
        <f t="shared" ca="1" si="31"/>
        <v>#VALUE!</v>
      </c>
      <c r="AA39" s="465" t="e">
        <f t="shared" ca="1" si="32"/>
        <v>#VALUE!</v>
      </c>
      <c r="AB39" s="474" t="e">
        <f ca="1">IF(MF=2,庫存管理[[#This Row],[部位現值(不含前手息)]]-庫存管理[[#This Row],[持有成本(不含前手息)]],庫存管理[[#This Row],[部位現值(含前手息)]]-庫存管理[[#This Row],[持有成本(含前手息)]])</f>
        <v>#VALUE!</v>
      </c>
      <c r="AC39" s="462">
        <f ca="1">IF(庫存管理[[#This Row],[檢測]]=TRUE,IF(MF=2,IFERROR(庫存管理[[#This Row],[資本利損]]/庫存管理[[#This Row],[持有成本(不含前手息)]],0),IFERROR(庫存管理[[#This Row],[資本利損]]/庫存管理[[#This Row],[持有成本(含前手息)]],0)),0)</f>
        <v>0</v>
      </c>
      <c r="AD39" s="618" t="e">
        <f ca="1">庫存管理[[#This Row],[持有成本(不含前手息)]]/庫存管理[[#This Row],[投入面額]]*100</f>
        <v>#VALUE!</v>
      </c>
      <c r="AE39" s="462" t="str">
        <f ca="1">IFERROR(VLOOKUP(庫存管理[[#This Row],[商品代號]],bond!B:AA,26,FALSE),"")</f>
        <v/>
      </c>
      <c r="AF39" s="1" t="str">
        <f ca="1">IFERROR(VLOOKUP($I39,'銀行-TSS'!B:Q,16,FALSE),"")</f>
        <v/>
      </c>
      <c r="AG39" s="466">
        <f t="shared" ca="1" si="1"/>
        <v>0</v>
      </c>
      <c r="AH39" s="458" t="e">
        <f ca="1">IF(OR(庫存管理[[#This Row],[起息日]]&gt;庫存管理[[#This Row],[買進前一配息日(複算)]],庫存管理[[#This Row],[判斷]]=TRUE),庫存管理[[#This Row],[起息日]],庫存管理[[#This Row],[買進前一配息日(複算)]])</f>
        <v>#N/A</v>
      </c>
      <c r="AI39" s="577" t="e">
        <f ca="1">VLOOKUP(I39,bond!B:AP,41,FALSE)</f>
        <v>#N/A</v>
      </c>
      <c r="AJ39" s="578" t="e">
        <f t="shared" ca="1" si="33"/>
        <v>#N/A</v>
      </c>
      <c r="AK39" s="579">
        <f ca="1">IFERROR(IF(庫存管理[[#This Row],[買進日是否落入record date]]=1,庫存管理[[#This Row],[record date制度前手息]],庫存管理[[#This Row],[計算前手息(初算)]]),0)</f>
        <v>0</v>
      </c>
      <c r="AL39" s="579" t="e">
        <f ca="1">IF(OR(庫存管理[[#This Row],[買進例外調整]]&lt;庫存管理[[#This Row],[起息日]],庫存管理[[#This Row],[買進例外調整]]&gt;庫存管理[[#This Row],[到期日]]),0,IF(庫存管理[[#This Row],[備註]]&lt;&gt;"",庫存管理[[#This Row],[買進時前手息]],IFERROR(ROUND(ACCRINT(AH39,AH39,V39,O39,100,Q39,AJ39,TRUE),4),0)))</f>
        <v>#N/A</v>
      </c>
      <c r="AM39" s="580" t="e">
        <f t="shared" ca="1" si="34"/>
        <v>#VALUE!</v>
      </c>
      <c r="AN39" s="440" t="e">
        <f ca="1">IFERROR(DATEVALUE(VLOOKUP(I39,bond!B:I,7,FALSE)),VLOOKUP(I39,bond!B:I,7,FALSE))</f>
        <v>#N/A</v>
      </c>
      <c r="AO39"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39" s="1075">
        <f ca="1">IFERROR(IF(庫存管理[[#This Row],[交割日是否落入record date]]=1,庫存管理[[#This Row],[交_record date制度前手息]],庫存管理[[#This Row],[計算交割前手息(初算)]]),0)</f>
        <v>0</v>
      </c>
      <c r="AQ39"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39" s="1063" t="e">
        <f ca="1">ROUND(庫存管理[[#This Row],[計算交割前手息(複算)]]*庫存管理[[#This Row],[投入面額]]/100,2)</f>
        <v>#VALUE!</v>
      </c>
      <c r="AS39" s="1064" t="e">
        <f ca="1">IF(庫存管理[[#This Row],[配息頻率]]=0,0,(100*庫存管理[[#This Row],[票面利率]]/庫存管理[[#This Row],[配息頻率]])*庫存管理[[#This Row],[經過幾次配息]]+庫存管理[[#This Row],[計算交割前手息(複算)]]-庫存管理[[#This Row],[計算前手息(複算)]])</f>
        <v>#VALUE!</v>
      </c>
      <c r="AT39" s="581" t="e">
        <f ca="1">IF(庫存管理[[#This Row],[商品代號]]="XFM90",0,ROUND(AS39*W39/100,2))</f>
        <v>#VALUE!</v>
      </c>
      <c r="AU39" s="582">
        <f ca="1">IF(MF=2,IFERROR(庫存管理[[#This Row],[累計配息]]/庫存管理[[#This Row],[持有成本(不含前手息)]],0),IFERROR(庫存管理[[#This Row],[已實現配息(原幣)]]/庫存管理[[#This Row],[持有成本(含前手息)]],0))</f>
        <v>0</v>
      </c>
      <c r="AV39" s="583" t="e">
        <f ca="1">IF(MF=2,庫存管理[[#This Row],[資本利損]]+庫存管理[[#This Row],[累計配息]],庫存管理[[#This Row],[資本利損]]+庫存管理[[#This Row],[已實現配息(原幣)]])</f>
        <v>#VALUE!</v>
      </c>
      <c r="AW39" s="584">
        <f ca="1">IF(庫存管理[[#This Row],[檢測]]=TRUE,IF(MF=2,IFERROR(庫存管理[[#This Row],[合計收益]]/庫存管理[[#This Row],[持有成本(不含前手息)]],0),IFERROR(庫存管理[[#This Row],[合計收益]]/庫存管理[[#This Row],[持有成本(含前手息)]],0)),0)</f>
        <v>0</v>
      </c>
      <c r="AX39" s="434" t="e">
        <f t="shared" ca="1" si="35"/>
        <v>#VALUE!</v>
      </c>
      <c r="AY39" s="434" t="e">
        <f t="shared" ca="1" si="36"/>
        <v>#VALUE!</v>
      </c>
      <c r="AZ39" s="434">
        <f t="shared" ca="1" si="37"/>
        <v>0</v>
      </c>
      <c r="BA39" s="434">
        <f t="shared" ca="1" si="38"/>
        <v>0</v>
      </c>
      <c r="BB39" s="441" t="e">
        <f ca="1">IF(AND(庫存管理[[#This Row],[名稱]]="美國國庫債券",DAY(庫存管理[[#This Row],[買進前一配息日(初算)]])&gt;=28),EOMONTH(庫存管理[[#This Row],[買進前一配息日(初算)]],0),庫存管理[[#This Row],[買進前一配息日(初算)]])</f>
        <v>#N/A</v>
      </c>
      <c r="BC39" s="441" t="e">
        <f t="shared" ca="1" si="39"/>
        <v>#N/A</v>
      </c>
      <c r="BD39" s="444" t="e">
        <f t="shared" ca="1" si="40"/>
        <v>#N/A</v>
      </c>
      <c r="BE39" s="441" t="e">
        <f ca="1">IF(Q39&gt;0,IF(MONTH(DATE(BD39,AX39,DAY(R39)))&lt;&gt;庫存管理[[#This Row],[第一個配息月]],DATE(BD39,AX39+1,0),DATE(BD39,AX39,DAY(R39))),庫存管理[[#This Row],[買進例外調整]]+100)</f>
        <v>#N/A</v>
      </c>
      <c r="BF39" s="441" t="e">
        <f ca="1">IF(AY39&lt;&gt;0,IF(MONTH(DATE(BD39,AY39,DAY(R39)))&lt;&gt;庫存管理[[#This Row],[第二個配息月]],DATE(BD39,AY39+1,0),DATE(BD39,AY39,DAY(R39))),庫存管理[[#This Row],[買進例外調整]]+100)</f>
        <v>#VALUE!</v>
      </c>
      <c r="BG39" s="441" t="e">
        <f ca="1">IF(AZ39&lt;&gt;0,IF(MONTH(DATE(BD39,AZ39,DAY(R39)))&lt;&gt;庫存管理[[#This Row],[第三個配息月]],DATE(BD39,AZ39+1,0),DATE(BD39,AZ39,DAY(R39))),庫存管理[[#This Row],[買進例外調整]]+100)</f>
        <v>#N/A</v>
      </c>
      <c r="BH39" s="441" t="e">
        <f ca="1">IF(BA39&lt;&gt;0,IF(MONTH(DATE(BD39,BA39,DAY(R39)))&lt;&gt;庫存管理[[#This Row],[第四個配息月]],DATE(BD39,BA39+1,0),DATE(BD39,BA39,DAY(R39))),庫存管理[[#This Row],[買進例外調整]]+100)</f>
        <v>#N/A</v>
      </c>
      <c r="BI39" s="441" t="e">
        <f ca="1">IF(Q39=1,IF(MONTH(DATE(BD39-1,AX39,DAY(R39)))&lt;&gt;庫存管理[[#This Row],[第一個配息月]],DATE(BD39-1,AX39+1,0),DATE(BD39-1,AX39,DAY(R39))),IF(Q39=2,IF(MONTH(DATE(BD39-1,AY39,DAY(R39)))&lt;&gt;庫存管理[[#This Row],[第二個配息月]],DATE(BD39-1,AY39+1,0),DATE(BD39-1,AY39,DAY(R39))),IF(Q39=4,IF(MONTH(DATE(BD39-1,BA39,DAY(R39)))&lt;&gt;庫存管理[[#This Row],[第四個配息月]],DATE(BD39-1,BA39+1,0),DATE(BD39-1,BA39,DAY(R39))),庫存管理[[#This Row],[買進例外調整]]+100)))</f>
        <v>#N/A</v>
      </c>
      <c r="BJ39" s="445">
        <f t="shared" ca="1" si="41"/>
        <v>10000</v>
      </c>
      <c r="BK39" s="445">
        <f t="shared" ca="1" si="42"/>
        <v>10000</v>
      </c>
      <c r="BL39" s="445">
        <f t="shared" ca="1" si="43"/>
        <v>10000</v>
      </c>
      <c r="BM39" s="445">
        <f t="shared" ca="1" si="44"/>
        <v>10000</v>
      </c>
      <c r="BN39" s="455">
        <f t="shared" ca="1" si="45"/>
        <v>10000</v>
      </c>
      <c r="BO39" s="479" t="e">
        <f ca="1">庫存管理[[#This Row],[年度配息]]/庫存管理[[#This Row],[配息頻率]]</f>
        <v>#VALUE!</v>
      </c>
      <c r="BP39" s="479" t="e">
        <f ca="1">庫存管理[[#This Row],[單次配息(原幣)]]*庫存管理[[#This Row],[換算匯率(現)]]</f>
        <v>#VALUE!</v>
      </c>
      <c r="BQ39" s="479" t="str">
        <f ca="1">IF(庫存管理[[#This Row],[商品代號]]&lt;&gt;"",IFERROR(VLOOKUP($I39,'銀行-TSS'!B:C,2,FALSE),""),"")</f>
        <v/>
      </c>
      <c r="BR39" s="479" t="e">
        <f ca="1">VLOOKUP(庫存管理[[#This Row],[幣別]],$B$37:$C$43,2,FALSE)</f>
        <v>#N/A</v>
      </c>
      <c r="BS39" s="500" t="e">
        <f ca="1">CHOOSE(庫存管理[[#This Row],[對應編碼]],$D$37,$D$38,$D$39,$D$40,$D$41,$D$42,$D$43)</f>
        <v>#N/A</v>
      </c>
      <c r="BT39" s="500">
        <f ca="1">IF(庫存管理[[#This Row],[商品代號]]="",0,CHOOSE(庫存管理[[#This Row],[對應編碼]],$E$37,$E$38,$E$39,$E$40,$E$41,$E$42,$E$43))</f>
        <v>0</v>
      </c>
      <c r="BU39" s="1555">
        <f ca="1">IF(庫存管理[[#This Row],[檢測]]=TRUE,庫存管理[[#This Row],[投入面額]]*庫存管理[[#This Row],[換算匯率(現)]],0)</f>
        <v>0</v>
      </c>
      <c r="BV39" s="1555">
        <f ca="1">IF(庫存管理[[#This Row],[檢測]]=TRUE,IFERROR(庫存管理[[#This Row],[持有成本(含前手息)]]*庫存管理[[#This Row],[換算匯率(買)]],0),0)</f>
        <v>0</v>
      </c>
      <c r="BW39" s="1555">
        <f ca="1">IF(庫存管理[[#This Row],[檢測]]=TRUE,庫存管理[[#This Row],[持有成本(不含前手息)]]*庫存管理[[#This Row],[換算匯率(買)]],0)</f>
        <v>0</v>
      </c>
      <c r="BX39" s="1555">
        <f ca="1">IF(庫存管理[[#This Row],[檢測]]=TRUE,庫存管理[[#This Row],[部位現值(含前手息)]]*庫存管理[[#This Row],[換算匯率(現)]],0)</f>
        <v>0</v>
      </c>
      <c r="BY39" s="1555">
        <f ca="1">IF(庫存管理[[#This Row],[檢測]]=TRUE,庫存管理[[#This Row],[部位現值(不含前手息)]]*庫存管理[[#This Row],[換算匯率(現)]],0)</f>
        <v>0</v>
      </c>
      <c r="BZ39" s="1555">
        <f ca="1">IF(庫存管理[[#This Row],[檢測]]=TRUE,IF(MF=2,庫存管理[[#This Row],[累計配息]]*庫存管理[[#This Row],[換算匯率(現)]],庫存管理[[#This Row],[已實現配息(原幣)]]*庫存管理[[#This Row],[換算匯率(現)]]),0)</f>
        <v>0</v>
      </c>
      <c r="CA39" s="1555" t="e">
        <f ca="1">庫存管理[[#This Row],[資本利損]]*庫存管理[[#This Row],[換算匯率(現)]]</f>
        <v>#VALUE!</v>
      </c>
      <c r="CB39" s="1555" t="e">
        <f ca="1">庫存管理[[#This Row],[累計利息(台)]]+庫存管理[[#This Row],[資本貢獻(台)]]</f>
        <v>#VALUE!</v>
      </c>
      <c r="CC39" s="574">
        <f ca="1">IF(庫存管理[[#This Row],[檢測]]=TRUE,IFERROR(庫存管理[[#This Row],[配息報酬]],0),0)</f>
        <v>0</v>
      </c>
      <c r="CD39" s="574">
        <f ca="1">IF(庫存管理[[#This Row],[檢測]]=TRUE,庫存管理[[#This Row],[資本報酬]],0)</f>
        <v>0</v>
      </c>
      <c r="CE39" s="574">
        <f ca="1">IF(S39=TRUE,IFERROR(庫存管理[[#This Row],[換匯總報酬率]]-(庫存管理[[#This Row],[配息報酬率]]+庫存管理[[#This Row],[資本報酬率]]),0),0)</f>
        <v>0</v>
      </c>
      <c r="CF39"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39" s="585">
        <f ca="1">IF(AND(庫存管理[[#This Row],[檢測]]=TRUE,開關=TRUE),IF(MF=2,IFERROR(BW39/$BW$1,0),IFERROR(BV39/$BV$1,0)),0)</f>
        <v>0</v>
      </c>
      <c r="CH39" s="574">
        <f ca="1">IF(庫存管理[[#This Row],[檢測]]=TRUE,IF(MF=2,IFERROR(BY39/$BY$1,0),IFERROR(BX39/$BX$1,0)),0)</f>
        <v>0</v>
      </c>
      <c r="CI39"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39" s="646" t="e">
        <f ca="1">DATEDIF(庫存管理[[#This Row],[買進例外調整]],庫存管理[[#This Row],[到期日]],"d")/365.25</f>
        <v>#N/A</v>
      </c>
      <c r="CK39" s="734" t="e">
        <f ca="1">DATEVALUE(VLOOKUP(庫存管理[[#This Row],[商品代號]],bond!B:AF,31,FALSE))</f>
        <v>#N/A</v>
      </c>
      <c r="CL39" s="734" t="e">
        <f ca="1">IF(庫存管理[[#This Row],[買下配(國調)]]&lt;庫存管理[[#This Row],[第一票息日]],庫存管理[[#This Row],[第一票息日]],庫存管理[[#This Row],[買下配(國調)]])</f>
        <v>#N/A</v>
      </c>
      <c r="CM39"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39"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39" s="735">
        <f ca="1">IF(庫存管理[[#This Row],[商品代號]]="XFM90",0,IFERROR(庫存管理[[#This Row],[單次配息(原幣)]]*庫存管理[[#This Row],[經過幾次配息]],0))</f>
        <v>0</v>
      </c>
      <c r="CP39" s="735" t="e">
        <f ca="1">VLOOKUP(庫存管理[[#This Row],[商品代號]],bond!B:F,5,FALSE)</f>
        <v>#N/A</v>
      </c>
      <c r="CQ39" s="734" t="str">
        <f ca="1">IFERROR(VLOOKUP(庫存管理[[#This Row],[ISIN]],'7_發行日例外'!A:C,3,FALSE),IFERROR(DATEVALUE(VLOOKUP(庫存管理[[#This Row],[商品代號]],bond!B:AR,43,FALSE)),""))</f>
        <v/>
      </c>
      <c r="CR39" s="735" t="e">
        <f ca="1">DATEDIF(庫存管理[[#This Row],[起息日]],庫存管理[[#This Row],[買進前一配息日(複算)]],"d")</f>
        <v>#VALUE!</v>
      </c>
      <c r="CS39"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39" s="734" t="e">
        <f ca="1">IFERROR(VLOOKUP(庫存管理[[#This Row],[ISIN]],'7_發行日例外'!A:D,4,FALSE),DATEVALUE(VLOOKUP(庫存管理[[#This Row],[商品代號]],bond!B:AV,44,FALSE)))</f>
        <v>#N/A</v>
      </c>
      <c r="CU39" s="735" t="e">
        <f ca="1">VLOOKUP(庫存管理[[#This Row],[商品代號]],bond!B:AU,46,FALSE)</f>
        <v>#N/A</v>
      </c>
      <c r="CV39" s="735" t="e">
        <f ca="1">IF(庫存管理[[#This Row],[計息基礎]]=1,CHOOSE(庫存管理[[#This Row],[對應編碼]],"沒進位","","沒進位",IF(庫存管理[[#This Row],[計算類型]]="AUSTRALIA:EX-DIV","4捨五入進0.01%","沒進位"),"年/2去計算ACT","沒進位","沒進位"),"")</f>
        <v>#N/A</v>
      </c>
      <c r="CW39" s="735" t="e">
        <f ca="1">_xlfn.DAYS(庫存管理[[#This Row],[買進例外調整]],庫存管理[[#This Row],[買進前一個配息日(最終)]])</f>
        <v>#N/A</v>
      </c>
      <c r="CX39" s="735" t="e">
        <f ca="1">IF(庫存管理[[#This Row],[備註]]="年/2去計算ACT",365/2,_xlfn.DAYS(庫存管理[[#This Row],[買進時的下個配息日]],庫存管理[[#This Row],[買進前一個配息日(最終)]]))</f>
        <v>#N/A</v>
      </c>
      <c r="CY39"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39" s="767" t="e">
        <f ca="1">_xlfn.DAYS(庫存管理[[#This Row],[交割日]],庫存管理[[#This Row],[買進前一個配息日(最終)]])</f>
        <v>#N/A</v>
      </c>
      <c r="DA39"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39" s="767" t="e">
        <f ca="1">_xlfn.DAYS(庫存管理[[#This Row],[交割日]],庫存管理[[#This Row],[最近的上一票息日]])</f>
        <v>#N/A</v>
      </c>
      <c r="DC39" s="767" t="e">
        <f ca="1">IF(庫存管理[[#This Row],[備註]]="年/2去計算ACT",365/2,_xlfn.DAYS(庫存管理[[#This Row],[下一配息日]],庫存管理[[#This Row],[最近的上一票息日]]))</f>
        <v>#N/A</v>
      </c>
      <c r="DD39"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39" s="739" t="e">
        <f ca="1">CL39-庫存管理[[#This Row],[ex_div_days]]</f>
        <v>#N/A</v>
      </c>
      <c r="DF39" s="646" t="e">
        <f ca="1">IF(VLOOKUP(庫存管理[[#This Row],[商品代號]],bond!B:AT,45,FALSE)="#N/A Field Not Applicable",0,VLOOKUP(庫存管理[[#This Row],[商品代號]],bond!B:AT,45,FALSE))</f>
        <v>#N/A</v>
      </c>
      <c r="DG39" s="793" t="e">
        <f ca="1">IF(庫存管理[[#This Row],[ex_div_days]]&lt;&gt;0,IF(AND(庫存管理[[#This Row],[買進例外調整]]-庫存管理[[#This Row],[買進下一個配息日先減n天]]&gt;=0,庫存管理[[#This Row],[買進時的下個配息日]]-庫存管理[[#This Row],[買進例外調整]]&gt;0),1,0),0)</f>
        <v>#N/A</v>
      </c>
      <c r="DH39"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39" s="734" t="e">
        <f ca="1">庫存管理[[#This Row],[下一配息日]]-庫存管理[[#This Row],[ex_div_days]]</f>
        <v>#VALUE!</v>
      </c>
      <c r="DJ39" s="1081" t="e">
        <f ca="1">IF(庫存管理[[#This Row],[ex_div_days]]&lt;&gt;0,IF(AND(庫存管理[[#This Row],[交割日]]-庫存管理[[#This Row],[交割下個配息日先減n天]]&gt;=0,庫存管理[[#This Row],[下一配息日]]-庫存管理[[#This Row],[交割日]]&gt;0),1,0),0)</f>
        <v>#N/A</v>
      </c>
      <c r="DK39"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39" s="735">
        <f ca="1">IFERROR(VLOOKUP(庫存管理[[#This Row],[商品代號]],bond!B:X,21,FALSE),0)</f>
        <v>0</v>
      </c>
      <c r="DM39" s="735">
        <f ca="1">IFERROR(VLOOKUP(I39,bond!B:J,9,FALSE),0)</f>
        <v>0</v>
      </c>
      <c r="DN39" s="1188">
        <f ca="1">IF(AND(開關=TRUE,庫存管理[[#This Row],[投組檢測]]=TRUE),IF(MF=2,IFERROR(BW39/$BW$3,0),IFERROR(BV39/$BV$3,0)),0)</f>
        <v>0</v>
      </c>
      <c r="DO39" s="735">
        <f ca="1">IFERROR(庫存管理[[#This Row],[clean申購價]]/100*庫存管理[[#This Row],[投入面額]]*庫存管理[[#This Row],[MOD]]*0.01,0)</f>
        <v>0</v>
      </c>
      <c r="DP39" s="1298" t="e">
        <f ca="1">IF($C$16=1,庫存管理[[#This Row],[單次配息(台幣)]],庫存管理[[#This Row],[單次配息(原幣)]])</f>
        <v>#VALUE!</v>
      </c>
      <c r="DQ39"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39"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39"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39"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39"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39"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39"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39"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39"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39"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39"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39"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40" spans="1:132" ht="19.5" customHeight="1">
      <c r="A40" s="459" t="s">
        <v>2175</v>
      </c>
      <c r="B40" s="495" t="s">
        <v>534</v>
      </c>
      <c r="C40" s="12">
        <v>4</v>
      </c>
      <c r="D40" s="12">
        <f>庫存管理!G15</f>
        <v>20.780999999999999</v>
      </c>
      <c r="E40" s="12">
        <f>庫存管理!H15</f>
        <v>21.670999999999999</v>
      </c>
      <c r="G40" s="459">
        <v>34</v>
      </c>
      <c r="H40" s="1166" t="b">
        <f ca="1">IFERROR(IF(VLOOKUP(G40,換券投組!$AH$8:$AH$13,1,FALSE)&gt;0,TRUE,FALSE),FALSE)</f>
        <v>0</v>
      </c>
      <c r="I40" s="1693" t="str">
        <f ca="1">IF(開關=TRUE,'商品代碼-中繼頁'!R35,"")</f>
        <v/>
      </c>
      <c r="J40" s="429">
        <f ca="1">IFERROR(VLOOKUP(I40,bond!B:I,8,FALSE),0)</f>
        <v>0</v>
      </c>
      <c r="K40" s="429">
        <f ca="1">IFERROR(庫存管理[[#This Row],[買價]]+VLOOKUP(庫存管理[[#This Row],[商品代號]],bond!B:K,10,FALSE),0)</f>
        <v>0</v>
      </c>
      <c r="L40" s="430" t="e">
        <f ca="1">VLOOKUP(I40,'銀行-TSS'!B:E,4,FALSE)</f>
        <v>#N/A</v>
      </c>
      <c r="M40" s="431">
        <f ca="1">IFERROR(VLOOKUP($I40,'銀行-TSS'!B:G,6,FALSE),0)</f>
        <v>0</v>
      </c>
      <c r="N40" s="432" t="e">
        <f ca="1">IFERROR(DATEVALUE(VLOOKUP($I40,'銀行-TSS'!B:F,5,FALSE)),VLOOKUP($I40,'銀行-TSS'!B:F,5,FALSE))</f>
        <v>#N/A</v>
      </c>
      <c r="O40" s="433">
        <f ca="1">IFERROR(VLOOKUP($I40,'銀行-TSS'!B:H,7,FALSE),0)</f>
        <v>0</v>
      </c>
      <c r="P40" s="433" t="e">
        <f ca="1">庫存管理[[#This Row],[票面利率]]/庫存管理[[#This Row],[成本價(不含前手息)]]*100</f>
        <v>#VALUE!</v>
      </c>
      <c r="Q40" s="434" t="str">
        <f ca="1">IFERROR(VLOOKUP($I40,'銀行-TSS'!B:I,8,FALSE),"")</f>
        <v/>
      </c>
      <c r="R40" s="440" t="str">
        <f ca="1">_xlfn.IFNA(IFERROR(DATEVALUE(VLOOKUP($I40,'銀行-TSS'!B:P,15,FALSE)),VLOOKUP($I40,'銀行-TSS'!B:P,15,FALSE)),"")</f>
        <v/>
      </c>
      <c r="S40" s="570" t="b">
        <f ca="1">IF(AND(庫存管理[[#This Row],[配息頻率]]&lt;&gt;"",庫存管理[[#This Row],[持有成本(不含前手息)]]&lt;&gt;0,庫存管理[[#This Row],[買進日]]&lt;&gt;""),TRUE,FALSE)</f>
        <v>0</v>
      </c>
      <c r="T40" s="602" t="str">
        <f>IFERROR(DATE(LEFT('商品代碼-中繼頁'!S35,4),MID('商品代碼-中繼頁'!S35,5,2),RIGHT('商品代碼-中繼頁'!S35,2)),"")</f>
        <v/>
      </c>
      <c r="U40"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40" s="442" t="e">
        <f ca="1">IFERROR(WORKDAY(庫存管理[[#This Row],[買進日]],VLOOKUP(庫存管理[[#This Row],[商品代號]],'1_重設數據'!R:S,2,FALSE),休USD),庫存管理[[#This Row],[買進日(T+2/公債T+1)]])</f>
        <v>#N/A</v>
      </c>
      <c r="W40" s="43" t="str">
        <f>'商品代碼-中繼頁'!T35</f>
        <v/>
      </c>
      <c r="X40" s="43" t="str">
        <f>'商品代碼-中繼頁'!U35</f>
        <v/>
      </c>
      <c r="Y40" s="464">
        <f t="shared" ca="1" si="9"/>
        <v>0</v>
      </c>
      <c r="Z40" s="464" t="e">
        <f t="shared" ca="1" si="31"/>
        <v>#VALUE!</v>
      </c>
      <c r="AA40" s="465" t="e">
        <f t="shared" ca="1" si="32"/>
        <v>#VALUE!</v>
      </c>
      <c r="AB40" s="474" t="e">
        <f ca="1">IF(MF=2,庫存管理[[#This Row],[部位現值(不含前手息)]]-庫存管理[[#This Row],[持有成本(不含前手息)]],庫存管理[[#This Row],[部位現值(含前手息)]]-庫存管理[[#This Row],[持有成本(含前手息)]])</f>
        <v>#VALUE!</v>
      </c>
      <c r="AC40" s="462">
        <f ca="1">IF(庫存管理[[#This Row],[檢測]]=TRUE,IF(MF=2,IFERROR(庫存管理[[#This Row],[資本利損]]/庫存管理[[#This Row],[持有成本(不含前手息)]],0),IFERROR(庫存管理[[#This Row],[資本利損]]/庫存管理[[#This Row],[持有成本(含前手息)]],0)),0)</f>
        <v>0</v>
      </c>
      <c r="AD40" s="618" t="e">
        <f ca="1">庫存管理[[#This Row],[持有成本(不含前手息)]]/庫存管理[[#This Row],[投入面額]]*100</f>
        <v>#VALUE!</v>
      </c>
      <c r="AE40" s="462" t="str">
        <f ca="1">IFERROR(VLOOKUP(庫存管理[[#This Row],[商品代號]],bond!B:AA,26,FALSE),"")</f>
        <v/>
      </c>
      <c r="AF40" s="1" t="str">
        <f ca="1">IFERROR(VLOOKUP($I40,'銀行-TSS'!B:Q,16,FALSE),"")</f>
        <v/>
      </c>
      <c r="AG40" s="466">
        <f t="shared" ca="1" si="1"/>
        <v>0</v>
      </c>
      <c r="AH40" s="458" t="e">
        <f ca="1">IF(OR(庫存管理[[#This Row],[起息日]]&gt;庫存管理[[#This Row],[買進前一配息日(複算)]],庫存管理[[#This Row],[判斷]]=TRUE),庫存管理[[#This Row],[起息日]],庫存管理[[#This Row],[買進前一配息日(複算)]])</f>
        <v>#N/A</v>
      </c>
      <c r="AI40" s="577" t="e">
        <f ca="1">VLOOKUP(I40,bond!B:AP,41,FALSE)</f>
        <v>#N/A</v>
      </c>
      <c r="AJ40" s="578" t="e">
        <f t="shared" ca="1" si="33"/>
        <v>#N/A</v>
      </c>
      <c r="AK40" s="579">
        <f ca="1">IFERROR(IF(庫存管理[[#This Row],[買進日是否落入record date]]=1,庫存管理[[#This Row],[record date制度前手息]],庫存管理[[#This Row],[計算前手息(初算)]]),0)</f>
        <v>0</v>
      </c>
      <c r="AL40" s="579" t="e">
        <f ca="1">IF(OR(庫存管理[[#This Row],[買進例外調整]]&lt;庫存管理[[#This Row],[起息日]],庫存管理[[#This Row],[買進例外調整]]&gt;庫存管理[[#This Row],[到期日]]),0,IF(庫存管理[[#This Row],[備註]]&lt;&gt;"",庫存管理[[#This Row],[買進時前手息]],IFERROR(ROUND(ACCRINT(AH40,AH40,V40,O40,100,Q40,AJ40,TRUE),4),0)))</f>
        <v>#N/A</v>
      </c>
      <c r="AM40" s="580" t="e">
        <f t="shared" ca="1" si="34"/>
        <v>#VALUE!</v>
      </c>
      <c r="AN40" s="440" t="e">
        <f ca="1">IFERROR(DATEVALUE(VLOOKUP(I40,bond!B:I,7,FALSE)),VLOOKUP(I40,bond!B:I,7,FALSE))</f>
        <v>#N/A</v>
      </c>
      <c r="AO40"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40" s="1075">
        <f ca="1">IFERROR(IF(庫存管理[[#This Row],[交割日是否落入record date]]=1,庫存管理[[#This Row],[交_record date制度前手息]],庫存管理[[#This Row],[計算交割前手息(初算)]]),0)</f>
        <v>0</v>
      </c>
      <c r="AQ40"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40" s="1063" t="e">
        <f ca="1">ROUND(庫存管理[[#This Row],[計算交割前手息(複算)]]*庫存管理[[#This Row],[投入面額]]/100,2)</f>
        <v>#VALUE!</v>
      </c>
      <c r="AS40" s="1064" t="e">
        <f ca="1">IF(庫存管理[[#This Row],[配息頻率]]=0,0,(100*庫存管理[[#This Row],[票面利率]]/庫存管理[[#This Row],[配息頻率]])*庫存管理[[#This Row],[經過幾次配息]]+庫存管理[[#This Row],[計算交割前手息(複算)]]-庫存管理[[#This Row],[計算前手息(複算)]])</f>
        <v>#VALUE!</v>
      </c>
      <c r="AT40" s="581" t="e">
        <f ca="1">IF(庫存管理[[#This Row],[商品代號]]="XFM90",0,ROUND(AS40*W40/100,2))</f>
        <v>#VALUE!</v>
      </c>
      <c r="AU40" s="582">
        <f ca="1">IF(MF=2,IFERROR(庫存管理[[#This Row],[累計配息]]/庫存管理[[#This Row],[持有成本(不含前手息)]],0),IFERROR(庫存管理[[#This Row],[已實現配息(原幣)]]/庫存管理[[#This Row],[持有成本(含前手息)]],0))</f>
        <v>0</v>
      </c>
      <c r="AV40" s="583" t="e">
        <f ca="1">IF(MF=2,庫存管理[[#This Row],[資本利損]]+庫存管理[[#This Row],[累計配息]],庫存管理[[#This Row],[資本利損]]+庫存管理[[#This Row],[已實現配息(原幣)]])</f>
        <v>#VALUE!</v>
      </c>
      <c r="AW40" s="584">
        <f ca="1">IF(庫存管理[[#This Row],[檢測]]=TRUE,IF(MF=2,IFERROR(庫存管理[[#This Row],[合計收益]]/庫存管理[[#This Row],[持有成本(不含前手息)]],0),IFERROR(庫存管理[[#This Row],[合計收益]]/庫存管理[[#This Row],[持有成本(含前手息)]],0)),0)</f>
        <v>0</v>
      </c>
      <c r="AX40" s="434" t="e">
        <f t="shared" ca="1" si="35"/>
        <v>#VALUE!</v>
      </c>
      <c r="AY40" s="434" t="e">
        <f t="shared" ca="1" si="36"/>
        <v>#VALUE!</v>
      </c>
      <c r="AZ40" s="434">
        <f t="shared" ca="1" si="37"/>
        <v>0</v>
      </c>
      <c r="BA40" s="434">
        <f t="shared" ca="1" si="38"/>
        <v>0</v>
      </c>
      <c r="BB40" s="441" t="e">
        <f ca="1">IF(AND(庫存管理[[#This Row],[名稱]]="美國國庫債券",DAY(庫存管理[[#This Row],[買進前一配息日(初算)]])&gt;=28),EOMONTH(庫存管理[[#This Row],[買進前一配息日(初算)]],0),庫存管理[[#This Row],[買進前一配息日(初算)]])</f>
        <v>#N/A</v>
      </c>
      <c r="BC40" s="441" t="e">
        <f t="shared" ca="1" si="39"/>
        <v>#N/A</v>
      </c>
      <c r="BD40" s="444" t="e">
        <f t="shared" ca="1" si="40"/>
        <v>#N/A</v>
      </c>
      <c r="BE40" s="441" t="e">
        <f ca="1">IF(Q40&gt;0,IF(MONTH(DATE(BD40,AX40,DAY(R40)))&lt;&gt;庫存管理[[#This Row],[第一個配息月]],DATE(BD40,AX40+1,0),DATE(BD40,AX40,DAY(R40))),庫存管理[[#This Row],[買進例外調整]]+100)</f>
        <v>#N/A</v>
      </c>
      <c r="BF40" s="441" t="e">
        <f ca="1">IF(AY40&lt;&gt;0,IF(MONTH(DATE(BD40,AY40,DAY(R40)))&lt;&gt;庫存管理[[#This Row],[第二個配息月]],DATE(BD40,AY40+1,0),DATE(BD40,AY40,DAY(R40))),庫存管理[[#This Row],[買進例外調整]]+100)</f>
        <v>#VALUE!</v>
      </c>
      <c r="BG40" s="441" t="e">
        <f ca="1">IF(AZ40&lt;&gt;0,IF(MONTH(DATE(BD40,AZ40,DAY(R40)))&lt;&gt;庫存管理[[#This Row],[第三個配息月]],DATE(BD40,AZ40+1,0),DATE(BD40,AZ40,DAY(R40))),庫存管理[[#This Row],[買進例外調整]]+100)</f>
        <v>#N/A</v>
      </c>
      <c r="BH40" s="441" t="e">
        <f ca="1">IF(BA40&lt;&gt;0,IF(MONTH(DATE(BD40,BA40,DAY(R40)))&lt;&gt;庫存管理[[#This Row],[第四個配息月]],DATE(BD40,BA40+1,0),DATE(BD40,BA40,DAY(R40))),庫存管理[[#This Row],[買進例外調整]]+100)</f>
        <v>#N/A</v>
      </c>
      <c r="BI40" s="441" t="e">
        <f ca="1">IF(Q40=1,IF(MONTH(DATE(BD40-1,AX40,DAY(R40)))&lt;&gt;庫存管理[[#This Row],[第一個配息月]],DATE(BD40-1,AX40+1,0),DATE(BD40-1,AX40,DAY(R40))),IF(Q40=2,IF(MONTH(DATE(BD40-1,AY40,DAY(R40)))&lt;&gt;庫存管理[[#This Row],[第二個配息月]],DATE(BD40-1,AY40+1,0),DATE(BD40-1,AY40,DAY(R40))),IF(Q40=4,IF(MONTH(DATE(BD40-1,BA40,DAY(R40)))&lt;&gt;庫存管理[[#This Row],[第四個配息月]],DATE(BD40-1,BA40+1,0),DATE(BD40-1,BA40,DAY(R40))),庫存管理[[#This Row],[買進例外調整]]+100)))</f>
        <v>#N/A</v>
      </c>
      <c r="BJ40" s="445">
        <f t="shared" ca="1" si="41"/>
        <v>10000</v>
      </c>
      <c r="BK40" s="445">
        <f t="shared" ca="1" si="42"/>
        <v>10000</v>
      </c>
      <c r="BL40" s="445">
        <f t="shared" ca="1" si="43"/>
        <v>10000</v>
      </c>
      <c r="BM40" s="445">
        <f t="shared" ca="1" si="44"/>
        <v>10000</v>
      </c>
      <c r="BN40" s="455">
        <f t="shared" ca="1" si="45"/>
        <v>10000</v>
      </c>
      <c r="BO40" s="479" t="e">
        <f ca="1">庫存管理[[#This Row],[年度配息]]/庫存管理[[#This Row],[配息頻率]]</f>
        <v>#VALUE!</v>
      </c>
      <c r="BP40" s="479" t="e">
        <f ca="1">庫存管理[[#This Row],[單次配息(原幣)]]*庫存管理[[#This Row],[換算匯率(現)]]</f>
        <v>#VALUE!</v>
      </c>
      <c r="BQ40" s="479" t="str">
        <f ca="1">IF(庫存管理[[#This Row],[商品代號]]&lt;&gt;"",IFERROR(VLOOKUP($I40,'銀行-TSS'!B:C,2,FALSE),""),"")</f>
        <v/>
      </c>
      <c r="BR40" s="479" t="e">
        <f ca="1">VLOOKUP(庫存管理[[#This Row],[幣別]],$B$37:$C$43,2,FALSE)</f>
        <v>#N/A</v>
      </c>
      <c r="BS40" s="500" t="e">
        <f ca="1">CHOOSE(庫存管理[[#This Row],[對應編碼]],$D$37,$D$38,$D$39,$D$40,$D$41,$D$42,$D$43)</f>
        <v>#N/A</v>
      </c>
      <c r="BT40" s="500">
        <f ca="1">IF(庫存管理[[#This Row],[商品代號]]="",0,CHOOSE(庫存管理[[#This Row],[對應編碼]],$E$37,$E$38,$E$39,$E$40,$E$41,$E$42,$E$43))</f>
        <v>0</v>
      </c>
      <c r="BU40" s="1555">
        <f ca="1">IF(庫存管理[[#This Row],[檢測]]=TRUE,庫存管理[[#This Row],[投入面額]]*庫存管理[[#This Row],[換算匯率(現)]],0)</f>
        <v>0</v>
      </c>
      <c r="BV40" s="1555">
        <f ca="1">IF(庫存管理[[#This Row],[檢測]]=TRUE,IFERROR(庫存管理[[#This Row],[持有成本(含前手息)]]*庫存管理[[#This Row],[換算匯率(買)]],0),0)</f>
        <v>0</v>
      </c>
      <c r="BW40" s="1555">
        <f ca="1">IF(庫存管理[[#This Row],[檢測]]=TRUE,庫存管理[[#This Row],[持有成本(不含前手息)]]*庫存管理[[#This Row],[換算匯率(買)]],0)</f>
        <v>0</v>
      </c>
      <c r="BX40" s="1555">
        <f ca="1">IF(庫存管理[[#This Row],[檢測]]=TRUE,庫存管理[[#This Row],[部位現值(含前手息)]]*庫存管理[[#This Row],[換算匯率(現)]],0)</f>
        <v>0</v>
      </c>
      <c r="BY40" s="1555">
        <f ca="1">IF(庫存管理[[#This Row],[檢測]]=TRUE,庫存管理[[#This Row],[部位現值(不含前手息)]]*庫存管理[[#This Row],[換算匯率(現)]],0)</f>
        <v>0</v>
      </c>
      <c r="BZ40" s="1555">
        <f ca="1">IF(庫存管理[[#This Row],[檢測]]=TRUE,IF(MF=2,庫存管理[[#This Row],[累計配息]]*庫存管理[[#This Row],[換算匯率(現)]],庫存管理[[#This Row],[已實現配息(原幣)]]*庫存管理[[#This Row],[換算匯率(現)]]),0)</f>
        <v>0</v>
      </c>
      <c r="CA40" s="1555" t="e">
        <f ca="1">庫存管理[[#This Row],[資本利損]]*庫存管理[[#This Row],[換算匯率(現)]]</f>
        <v>#VALUE!</v>
      </c>
      <c r="CB40" s="1555" t="e">
        <f ca="1">庫存管理[[#This Row],[累計利息(台)]]+庫存管理[[#This Row],[資本貢獻(台)]]</f>
        <v>#VALUE!</v>
      </c>
      <c r="CC40" s="574">
        <f ca="1">IF(庫存管理[[#This Row],[檢測]]=TRUE,IFERROR(庫存管理[[#This Row],[配息報酬]],0),0)</f>
        <v>0</v>
      </c>
      <c r="CD40" s="574">
        <f ca="1">IF(庫存管理[[#This Row],[檢測]]=TRUE,庫存管理[[#This Row],[資本報酬]],0)</f>
        <v>0</v>
      </c>
      <c r="CE40" s="574">
        <f ca="1">IF(S40=TRUE,IFERROR(庫存管理[[#This Row],[換匯總報酬率]]-(庫存管理[[#This Row],[配息報酬率]]+庫存管理[[#This Row],[資本報酬率]]),0),0)</f>
        <v>0</v>
      </c>
      <c r="CF40"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40" s="585">
        <f ca="1">IF(AND(庫存管理[[#This Row],[檢測]]=TRUE,開關=TRUE),IF(MF=2,IFERROR(BW40/$BW$1,0),IFERROR(BV40/$BV$1,0)),0)</f>
        <v>0</v>
      </c>
      <c r="CH40" s="574">
        <f ca="1">IF(庫存管理[[#This Row],[檢測]]=TRUE,IF(MF=2,IFERROR(BY40/$BY$1,0),IFERROR(BX40/$BX$1,0)),0)</f>
        <v>0</v>
      </c>
      <c r="CI40"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40" s="646" t="e">
        <f ca="1">DATEDIF(庫存管理[[#This Row],[買進例外調整]],庫存管理[[#This Row],[到期日]],"d")/365.25</f>
        <v>#N/A</v>
      </c>
      <c r="CK40" s="734" t="e">
        <f ca="1">DATEVALUE(VLOOKUP(庫存管理[[#This Row],[商品代號]],bond!B:AF,31,FALSE))</f>
        <v>#N/A</v>
      </c>
      <c r="CL40" s="734" t="e">
        <f ca="1">IF(庫存管理[[#This Row],[買下配(國調)]]&lt;庫存管理[[#This Row],[第一票息日]],庫存管理[[#This Row],[第一票息日]],庫存管理[[#This Row],[買下配(國調)]])</f>
        <v>#N/A</v>
      </c>
      <c r="CM40"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40"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40" s="735">
        <f ca="1">IF(庫存管理[[#This Row],[商品代號]]="XFM90",0,IFERROR(庫存管理[[#This Row],[單次配息(原幣)]]*庫存管理[[#This Row],[經過幾次配息]],0))</f>
        <v>0</v>
      </c>
      <c r="CP40" s="735" t="e">
        <f ca="1">VLOOKUP(庫存管理[[#This Row],[商品代號]],bond!B:F,5,FALSE)</f>
        <v>#N/A</v>
      </c>
      <c r="CQ40" s="734" t="str">
        <f ca="1">IFERROR(VLOOKUP(庫存管理[[#This Row],[ISIN]],'7_發行日例外'!A:C,3,FALSE),IFERROR(DATEVALUE(VLOOKUP(庫存管理[[#This Row],[商品代號]],bond!B:AR,43,FALSE)),""))</f>
        <v/>
      </c>
      <c r="CR40" s="735" t="e">
        <f ca="1">DATEDIF(庫存管理[[#This Row],[起息日]],庫存管理[[#This Row],[買進前一配息日(複算)]],"d")</f>
        <v>#VALUE!</v>
      </c>
      <c r="CS40"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40" s="734" t="e">
        <f ca="1">IFERROR(VLOOKUP(庫存管理[[#This Row],[ISIN]],'7_發行日例外'!A:D,4,FALSE),DATEVALUE(VLOOKUP(庫存管理[[#This Row],[商品代號]],bond!B:AV,44,FALSE)))</f>
        <v>#N/A</v>
      </c>
      <c r="CU40" s="735" t="e">
        <f ca="1">VLOOKUP(庫存管理[[#This Row],[商品代號]],bond!B:AU,46,FALSE)</f>
        <v>#N/A</v>
      </c>
      <c r="CV40" s="735" t="e">
        <f ca="1">IF(庫存管理[[#This Row],[計息基礎]]=1,CHOOSE(庫存管理[[#This Row],[對應編碼]],"沒進位","","沒進位",IF(庫存管理[[#This Row],[計算類型]]="AUSTRALIA:EX-DIV","4捨五入進0.01%","沒進位"),"年/2去計算ACT","沒進位","沒進位"),"")</f>
        <v>#N/A</v>
      </c>
      <c r="CW40" s="735" t="e">
        <f ca="1">_xlfn.DAYS(庫存管理[[#This Row],[買進例外調整]],庫存管理[[#This Row],[買進前一個配息日(最終)]])</f>
        <v>#N/A</v>
      </c>
      <c r="CX40" s="735" t="e">
        <f ca="1">IF(庫存管理[[#This Row],[備註]]="年/2去計算ACT",365/2,_xlfn.DAYS(庫存管理[[#This Row],[買進時的下個配息日]],庫存管理[[#This Row],[買進前一個配息日(最終)]]))</f>
        <v>#N/A</v>
      </c>
      <c r="CY40"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40" s="767" t="e">
        <f ca="1">_xlfn.DAYS(庫存管理[[#This Row],[交割日]],庫存管理[[#This Row],[買進前一個配息日(最終)]])</f>
        <v>#N/A</v>
      </c>
      <c r="DA40"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40" s="767" t="e">
        <f ca="1">_xlfn.DAYS(庫存管理[[#This Row],[交割日]],庫存管理[[#This Row],[最近的上一票息日]])</f>
        <v>#N/A</v>
      </c>
      <c r="DC40" s="767" t="e">
        <f ca="1">IF(庫存管理[[#This Row],[備註]]="年/2去計算ACT",365/2,_xlfn.DAYS(庫存管理[[#This Row],[下一配息日]],庫存管理[[#This Row],[最近的上一票息日]]))</f>
        <v>#N/A</v>
      </c>
      <c r="DD40"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40" s="739" t="e">
        <f ca="1">CL40-庫存管理[[#This Row],[ex_div_days]]</f>
        <v>#N/A</v>
      </c>
      <c r="DF40" s="646" t="e">
        <f ca="1">IF(VLOOKUP(庫存管理[[#This Row],[商品代號]],bond!B:AT,45,FALSE)="#N/A Field Not Applicable",0,VLOOKUP(庫存管理[[#This Row],[商品代號]],bond!B:AT,45,FALSE))</f>
        <v>#N/A</v>
      </c>
      <c r="DG40" s="793" t="e">
        <f ca="1">IF(庫存管理[[#This Row],[ex_div_days]]&lt;&gt;0,IF(AND(庫存管理[[#This Row],[買進例外調整]]-庫存管理[[#This Row],[買進下一個配息日先減n天]]&gt;=0,庫存管理[[#This Row],[買進時的下個配息日]]-庫存管理[[#This Row],[買進例外調整]]&gt;0),1,0),0)</f>
        <v>#N/A</v>
      </c>
      <c r="DH40"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40" s="734" t="e">
        <f ca="1">庫存管理[[#This Row],[下一配息日]]-庫存管理[[#This Row],[ex_div_days]]</f>
        <v>#VALUE!</v>
      </c>
      <c r="DJ40" s="1081" t="e">
        <f ca="1">IF(庫存管理[[#This Row],[ex_div_days]]&lt;&gt;0,IF(AND(庫存管理[[#This Row],[交割日]]-庫存管理[[#This Row],[交割下個配息日先減n天]]&gt;=0,庫存管理[[#This Row],[下一配息日]]-庫存管理[[#This Row],[交割日]]&gt;0),1,0),0)</f>
        <v>#N/A</v>
      </c>
      <c r="DK40"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40" s="735">
        <f ca="1">IFERROR(VLOOKUP(庫存管理[[#This Row],[商品代號]],bond!B:X,21,FALSE),0)</f>
        <v>0</v>
      </c>
      <c r="DM40" s="735">
        <f ca="1">IFERROR(VLOOKUP(I40,bond!B:J,9,FALSE),0)</f>
        <v>0</v>
      </c>
      <c r="DN40" s="1188">
        <f ca="1">IF(AND(開關=TRUE,庫存管理[[#This Row],[投組檢測]]=TRUE),IF(MF=2,IFERROR(BW40/$BW$3,0),IFERROR(BV40/$BV$3,0)),0)</f>
        <v>0</v>
      </c>
      <c r="DO40" s="735">
        <f ca="1">IFERROR(庫存管理[[#This Row],[clean申購價]]/100*庫存管理[[#This Row],[投入面額]]*庫存管理[[#This Row],[MOD]]*0.01,0)</f>
        <v>0</v>
      </c>
      <c r="DP40" s="1298" t="e">
        <f ca="1">IF($C$16=1,庫存管理[[#This Row],[單次配息(台幣)]],庫存管理[[#This Row],[單次配息(原幣)]])</f>
        <v>#VALUE!</v>
      </c>
      <c r="DQ40"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40"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40"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40"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40"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40"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40"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40"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40"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40"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40"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40"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41" spans="1:132" ht="19.5" customHeight="1">
      <c r="A41" s="459" t="s">
        <v>2176</v>
      </c>
      <c r="B41" s="495" t="s">
        <v>533</v>
      </c>
      <c r="C41" s="12">
        <v>5</v>
      </c>
      <c r="D41" s="12">
        <f>庫存管理!G16</f>
        <v>22.942900000000002</v>
      </c>
      <c r="E41" s="12">
        <f>庫存管理!H16</f>
        <v>23.761500000000002</v>
      </c>
      <c r="G41" s="459">
        <v>35</v>
      </c>
      <c r="H41" s="1166" t="b">
        <f ca="1">IFERROR(IF(VLOOKUP(G41,換券投組!$AH$8:$AH$13,1,FALSE)&gt;0,TRUE,FALSE),FALSE)</f>
        <v>0</v>
      </c>
      <c r="I41" s="1693" t="str">
        <f ca="1">IF(開關=TRUE,'商品代碼-中繼頁'!R36,"")</f>
        <v/>
      </c>
      <c r="J41" s="429">
        <f ca="1">IFERROR(VLOOKUP(I41,bond!B:I,8,FALSE),0)</f>
        <v>0</v>
      </c>
      <c r="K41" s="429">
        <f ca="1">IFERROR(庫存管理[[#This Row],[買價]]+VLOOKUP(庫存管理[[#This Row],[商品代號]],bond!B:K,10,FALSE),0)</f>
        <v>0</v>
      </c>
      <c r="L41" s="430" t="e">
        <f ca="1">VLOOKUP(I41,'銀行-TSS'!B:E,4,FALSE)</f>
        <v>#N/A</v>
      </c>
      <c r="M41" s="431">
        <f ca="1">IFERROR(VLOOKUP($I41,'銀行-TSS'!B:G,6,FALSE),0)</f>
        <v>0</v>
      </c>
      <c r="N41" s="432" t="e">
        <f ca="1">IFERROR(DATEVALUE(VLOOKUP($I41,'銀行-TSS'!B:F,5,FALSE)),VLOOKUP($I41,'銀行-TSS'!B:F,5,FALSE))</f>
        <v>#N/A</v>
      </c>
      <c r="O41" s="433">
        <f ca="1">IFERROR(VLOOKUP($I41,'銀行-TSS'!B:H,7,FALSE),0)</f>
        <v>0</v>
      </c>
      <c r="P41" s="433" t="e">
        <f ca="1">庫存管理[[#This Row],[票面利率]]/庫存管理[[#This Row],[成本價(不含前手息)]]*100</f>
        <v>#VALUE!</v>
      </c>
      <c r="Q41" s="434" t="str">
        <f ca="1">IFERROR(VLOOKUP($I41,'銀行-TSS'!B:I,8,FALSE),"")</f>
        <v/>
      </c>
      <c r="R41" s="440" t="str">
        <f ca="1">_xlfn.IFNA(IFERROR(DATEVALUE(VLOOKUP($I41,'銀行-TSS'!B:P,15,FALSE)),VLOOKUP($I41,'銀行-TSS'!B:P,15,FALSE)),"")</f>
        <v/>
      </c>
      <c r="S41" s="570" t="b">
        <f ca="1">IF(AND(庫存管理[[#This Row],[配息頻率]]&lt;&gt;"",庫存管理[[#This Row],[持有成本(不含前手息)]]&lt;&gt;0,庫存管理[[#This Row],[買進日]]&lt;&gt;""),TRUE,FALSE)</f>
        <v>0</v>
      </c>
      <c r="T41" s="602" t="str">
        <f>IFERROR(DATE(LEFT('商品代碼-中繼頁'!S36,4),MID('商品代碼-中繼頁'!S36,5,2),RIGHT('商品代碼-中繼頁'!S36,2)),"")</f>
        <v/>
      </c>
      <c r="U41"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41" s="442" t="e">
        <f ca="1">IFERROR(WORKDAY(庫存管理[[#This Row],[買進日]],VLOOKUP(庫存管理[[#This Row],[商品代號]],'1_重設數據'!R:S,2,FALSE),休USD),庫存管理[[#This Row],[買進日(T+2/公債T+1)]])</f>
        <v>#N/A</v>
      </c>
      <c r="W41" s="43" t="str">
        <f>'商品代碼-中繼頁'!T36</f>
        <v/>
      </c>
      <c r="X41" s="43" t="str">
        <f>'商品代碼-中繼頁'!U36</f>
        <v/>
      </c>
      <c r="Y41" s="464">
        <f t="shared" ca="1" si="9"/>
        <v>0</v>
      </c>
      <c r="Z41" s="464" t="e">
        <f t="shared" ca="1" si="31"/>
        <v>#VALUE!</v>
      </c>
      <c r="AA41" s="465" t="e">
        <f t="shared" ca="1" si="32"/>
        <v>#VALUE!</v>
      </c>
      <c r="AB41" s="474" t="e">
        <f ca="1">IF(MF=2,庫存管理[[#This Row],[部位現值(不含前手息)]]-庫存管理[[#This Row],[持有成本(不含前手息)]],庫存管理[[#This Row],[部位現值(含前手息)]]-庫存管理[[#This Row],[持有成本(含前手息)]])</f>
        <v>#VALUE!</v>
      </c>
      <c r="AC41" s="462">
        <f ca="1">IF(庫存管理[[#This Row],[檢測]]=TRUE,IF(MF=2,IFERROR(庫存管理[[#This Row],[資本利損]]/庫存管理[[#This Row],[持有成本(不含前手息)]],0),IFERROR(庫存管理[[#This Row],[資本利損]]/庫存管理[[#This Row],[持有成本(含前手息)]],0)),0)</f>
        <v>0</v>
      </c>
      <c r="AD41" s="618" t="e">
        <f ca="1">庫存管理[[#This Row],[持有成本(不含前手息)]]/庫存管理[[#This Row],[投入面額]]*100</f>
        <v>#VALUE!</v>
      </c>
      <c r="AE41" s="462" t="str">
        <f ca="1">IFERROR(VLOOKUP(庫存管理[[#This Row],[商品代號]],bond!B:AA,26,FALSE),"")</f>
        <v/>
      </c>
      <c r="AF41" s="1" t="str">
        <f ca="1">IFERROR(VLOOKUP($I41,'銀行-TSS'!B:Q,16,FALSE),"")</f>
        <v/>
      </c>
      <c r="AG41" s="466">
        <f t="shared" ca="1" si="1"/>
        <v>0</v>
      </c>
      <c r="AH41" s="458" t="e">
        <f ca="1">IF(OR(庫存管理[[#This Row],[起息日]]&gt;庫存管理[[#This Row],[買進前一配息日(複算)]],庫存管理[[#This Row],[判斷]]=TRUE),庫存管理[[#This Row],[起息日]],庫存管理[[#This Row],[買進前一配息日(複算)]])</f>
        <v>#N/A</v>
      </c>
      <c r="AI41" s="577" t="e">
        <f ca="1">VLOOKUP(I41,bond!B:AP,41,FALSE)</f>
        <v>#N/A</v>
      </c>
      <c r="AJ41" s="578" t="e">
        <f t="shared" ca="1" si="33"/>
        <v>#N/A</v>
      </c>
      <c r="AK41" s="579">
        <f ca="1">IFERROR(IF(庫存管理[[#This Row],[買進日是否落入record date]]=1,庫存管理[[#This Row],[record date制度前手息]],庫存管理[[#This Row],[計算前手息(初算)]]),0)</f>
        <v>0</v>
      </c>
      <c r="AL41" s="579" t="e">
        <f ca="1">IF(OR(庫存管理[[#This Row],[買進例外調整]]&lt;庫存管理[[#This Row],[起息日]],庫存管理[[#This Row],[買進例外調整]]&gt;庫存管理[[#This Row],[到期日]]),0,IF(庫存管理[[#This Row],[備註]]&lt;&gt;"",庫存管理[[#This Row],[買進時前手息]],IFERROR(ROUND(ACCRINT(AH41,AH41,V41,O41,100,Q41,AJ41,TRUE),4),0)))</f>
        <v>#N/A</v>
      </c>
      <c r="AM41" s="580" t="e">
        <f t="shared" ca="1" si="34"/>
        <v>#VALUE!</v>
      </c>
      <c r="AN41" s="440" t="e">
        <f ca="1">IFERROR(DATEVALUE(VLOOKUP(I41,bond!B:I,7,FALSE)),VLOOKUP(I41,bond!B:I,7,FALSE))</f>
        <v>#N/A</v>
      </c>
      <c r="AO41"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41" s="1075">
        <f ca="1">IFERROR(IF(庫存管理[[#This Row],[交割日是否落入record date]]=1,庫存管理[[#This Row],[交_record date制度前手息]],庫存管理[[#This Row],[計算交割前手息(初算)]]),0)</f>
        <v>0</v>
      </c>
      <c r="AQ41"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41" s="1063" t="e">
        <f ca="1">ROUND(庫存管理[[#This Row],[計算交割前手息(複算)]]*庫存管理[[#This Row],[投入面額]]/100,2)</f>
        <v>#VALUE!</v>
      </c>
      <c r="AS41" s="1064" t="e">
        <f ca="1">IF(庫存管理[[#This Row],[配息頻率]]=0,0,(100*庫存管理[[#This Row],[票面利率]]/庫存管理[[#This Row],[配息頻率]])*庫存管理[[#This Row],[經過幾次配息]]+庫存管理[[#This Row],[計算交割前手息(複算)]]-庫存管理[[#This Row],[計算前手息(複算)]])</f>
        <v>#VALUE!</v>
      </c>
      <c r="AT41" s="581" t="e">
        <f ca="1">IF(庫存管理[[#This Row],[商品代號]]="XFM90",0,ROUND(AS41*W41/100,2))</f>
        <v>#VALUE!</v>
      </c>
      <c r="AU41" s="582">
        <f ca="1">IF(MF=2,IFERROR(庫存管理[[#This Row],[累計配息]]/庫存管理[[#This Row],[持有成本(不含前手息)]],0),IFERROR(庫存管理[[#This Row],[已實現配息(原幣)]]/庫存管理[[#This Row],[持有成本(含前手息)]],0))</f>
        <v>0</v>
      </c>
      <c r="AV41" s="583" t="e">
        <f ca="1">IF(MF=2,庫存管理[[#This Row],[資本利損]]+庫存管理[[#This Row],[累計配息]],庫存管理[[#This Row],[資本利損]]+庫存管理[[#This Row],[已實現配息(原幣)]])</f>
        <v>#VALUE!</v>
      </c>
      <c r="AW41" s="584">
        <f ca="1">IF(庫存管理[[#This Row],[檢測]]=TRUE,IF(MF=2,IFERROR(庫存管理[[#This Row],[合計收益]]/庫存管理[[#This Row],[持有成本(不含前手息)]],0),IFERROR(庫存管理[[#This Row],[合計收益]]/庫存管理[[#This Row],[持有成本(含前手息)]],0)),0)</f>
        <v>0</v>
      </c>
      <c r="AX41" s="434" t="e">
        <f t="shared" ca="1" si="35"/>
        <v>#VALUE!</v>
      </c>
      <c r="AY41" s="434" t="e">
        <f t="shared" ca="1" si="36"/>
        <v>#VALUE!</v>
      </c>
      <c r="AZ41" s="434">
        <f t="shared" ca="1" si="37"/>
        <v>0</v>
      </c>
      <c r="BA41" s="434">
        <f t="shared" ca="1" si="38"/>
        <v>0</v>
      </c>
      <c r="BB41" s="441" t="e">
        <f ca="1">IF(AND(庫存管理[[#This Row],[名稱]]="美國國庫債券",DAY(庫存管理[[#This Row],[買進前一配息日(初算)]])&gt;=28),EOMONTH(庫存管理[[#This Row],[買進前一配息日(初算)]],0),庫存管理[[#This Row],[買進前一配息日(初算)]])</f>
        <v>#N/A</v>
      </c>
      <c r="BC41" s="441" t="e">
        <f t="shared" ca="1" si="39"/>
        <v>#N/A</v>
      </c>
      <c r="BD41" s="444" t="e">
        <f t="shared" ca="1" si="40"/>
        <v>#N/A</v>
      </c>
      <c r="BE41" s="441" t="e">
        <f ca="1">IF(Q41&gt;0,IF(MONTH(DATE(BD41,AX41,DAY(R41)))&lt;&gt;庫存管理[[#This Row],[第一個配息月]],DATE(BD41,AX41+1,0),DATE(BD41,AX41,DAY(R41))),庫存管理[[#This Row],[買進例外調整]]+100)</f>
        <v>#N/A</v>
      </c>
      <c r="BF41" s="441" t="e">
        <f ca="1">IF(AY41&lt;&gt;0,IF(MONTH(DATE(BD41,AY41,DAY(R41)))&lt;&gt;庫存管理[[#This Row],[第二個配息月]],DATE(BD41,AY41+1,0),DATE(BD41,AY41,DAY(R41))),庫存管理[[#This Row],[買進例外調整]]+100)</f>
        <v>#VALUE!</v>
      </c>
      <c r="BG41" s="441" t="e">
        <f ca="1">IF(AZ41&lt;&gt;0,IF(MONTH(DATE(BD41,AZ41,DAY(R41)))&lt;&gt;庫存管理[[#This Row],[第三個配息月]],DATE(BD41,AZ41+1,0),DATE(BD41,AZ41,DAY(R41))),庫存管理[[#This Row],[買進例外調整]]+100)</f>
        <v>#N/A</v>
      </c>
      <c r="BH41" s="441" t="e">
        <f ca="1">IF(BA41&lt;&gt;0,IF(MONTH(DATE(BD41,BA41,DAY(R41)))&lt;&gt;庫存管理[[#This Row],[第四個配息月]],DATE(BD41,BA41+1,0),DATE(BD41,BA41,DAY(R41))),庫存管理[[#This Row],[買進例外調整]]+100)</f>
        <v>#N/A</v>
      </c>
      <c r="BI41" s="441" t="e">
        <f ca="1">IF(Q41=1,IF(MONTH(DATE(BD41-1,AX41,DAY(R41)))&lt;&gt;庫存管理[[#This Row],[第一個配息月]],DATE(BD41-1,AX41+1,0),DATE(BD41-1,AX41,DAY(R41))),IF(Q41=2,IF(MONTH(DATE(BD41-1,AY41,DAY(R41)))&lt;&gt;庫存管理[[#This Row],[第二個配息月]],DATE(BD41-1,AY41+1,0),DATE(BD41-1,AY41,DAY(R41))),IF(Q41=4,IF(MONTH(DATE(BD41-1,BA41,DAY(R41)))&lt;&gt;庫存管理[[#This Row],[第四個配息月]],DATE(BD41-1,BA41+1,0),DATE(BD41-1,BA41,DAY(R41))),庫存管理[[#This Row],[買進例外調整]]+100)))</f>
        <v>#N/A</v>
      </c>
      <c r="BJ41" s="445">
        <f t="shared" ca="1" si="41"/>
        <v>10000</v>
      </c>
      <c r="BK41" s="445">
        <f t="shared" ca="1" si="42"/>
        <v>10000</v>
      </c>
      <c r="BL41" s="445">
        <f t="shared" ca="1" si="43"/>
        <v>10000</v>
      </c>
      <c r="BM41" s="445">
        <f t="shared" ca="1" si="44"/>
        <v>10000</v>
      </c>
      <c r="BN41" s="455">
        <f t="shared" ca="1" si="45"/>
        <v>10000</v>
      </c>
      <c r="BO41" s="479" t="e">
        <f ca="1">庫存管理[[#This Row],[年度配息]]/庫存管理[[#This Row],[配息頻率]]</f>
        <v>#VALUE!</v>
      </c>
      <c r="BP41" s="479" t="e">
        <f ca="1">庫存管理[[#This Row],[單次配息(原幣)]]*庫存管理[[#This Row],[換算匯率(現)]]</f>
        <v>#VALUE!</v>
      </c>
      <c r="BQ41" s="479" t="str">
        <f ca="1">IF(庫存管理[[#This Row],[商品代號]]&lt;&gt;"",IFERROR(VLOOKUP($I41,'銀行-TSS'!B:C,2,FALSE),""),"")</f>
        <v/>
      </c>
      <c r="BR41" s="479" t="e">
        <f ca="1">VLOOKUP(庫存管理[[#This Row],[幣別]],$B$37:$C$43,2,FALSE)</f>
        <v>#N/A</v>
      </c>
      <c r="BS41" s="500" t="e">
        <f ca="1">CHOOSE(庫存管理[[#This Row],[對應編碼]],$D$37,$D$38,$D$39,$D$40,$D$41,$D$42,$D$43)</f>
        <v>#N/A</v>
      </c>
      <c r="BT41" s="500">
        <f ca="1">IF(庫存管理[[#This Row],[商品代號]]="",0,CHOOSE(庫存管理[[#This Row],[對應編碼]],$E$37,$E$38,$E$39,$E$40,$E$41,$E$42,$E$43))</f>
        <v>0</v>
      </c>
      <c r="BU41" s="1555">
        <f ca="1">IF(庫存管理[[#This Row],[檢測]]=TRUE,庫存管理[[#This Row],[投入面額]]*庫存管理[[#This Row],[換算匯率(現)]],0)</f>
        <v>0</v>
      </c>
      <c r="BV41" s="1555">
        <f ca="1">IF(庫存管理[[#This Row],[檢測]]=TRUE,IFERROR(庫存管理[[#This Row],[持有成本(含前手息)]]*庫存管理[[#This Row],[換算匯率(買)]],0),0)</f>
        <v>0</v>
      </c>
      <c r="BW41" s="1555">
        <f ca="1">IF(庫存管理[[#This Row],[檢測]]=TRUE,庫存管理[[#This Row],[持有成本(不含前手息)]]*庫存管理[[#This Row],[換算匯率(買)]],0)</f>
        <v>0</v>
      </c>
      <c r="BX41" s="1555">
        <f ca="1">IF(庫存管理[[#This Row],[檢測]]=TRUE,庫存管理[[#This Row],[部位現值(含前手息)]]*庫存管理[[#This Row],[換算匯率(現)]],0)</f>
        <v>0</v>
      </c>
      <c r="BY41" s="1555">
        <f ca="1">IF(庫存管理[[#This Row],[檢測]]=TRUE,庫存管理[[#This Row],[部位現值(不含前手息)]]*庫存管理[[#This Row],[換算匯率(現)]],0)</f>
        <v>0</v>
      </c>
      <c r="BZ41" s="1555">
        <f ca="1">IF(庫存管理[[#This Row],[檢測]]=TRUE,IF(MF=2,庫存管理[[#This Row],[累計配息]]*庫存管理[[#This Row],[換算匯率(現)]],庫存管理[[#This Row],[已實現配息(原幣)]]*庫存管理[[#This Row],[換算匯率(現)]]),0)</f>
        <v>0</v>
      </c>
      <c r="CA41" s="1555" t="e">
        <f ca="1">庫存管理[[#This Row],[資本利損]]*庫存管理[[#This Row],[換算匯率(現)]]</f>
        <v>#VALUE!</v>
      </c>
      <c r="CB41" s="1555" t="e">
        <f ca="1">庫存管理[[#This Row],[累計利息(台)]]+庫存管理[[#This Row],[資本貢獻(台)]]</f>
        <v>#VALUE!</v>
      </c>
      <c r="CC41" s="574">
        <f ca="1">IF(庫存管理[[#This Row],[檢測]]=TRUE,IFERROR(庫存管理[[#This Row],[配息報酬]],0),0)</f>
        <v>0</v>
      </c>
      <c r="CD41" s="574">
        <f ca="1">IF(庫存管理[[#This Row],[檢測]]=TRUE,庫存管理[[#This Row],[資本報酬]],0)</f>
        <v>0</v>
      </c>
      <c r="CE41" s="574">
        <f ca="1">IF(S41=TRUE,IFERROR(庫存管理[[#This Row],[換匯總報酬率]]-(庫存管理[[#This Row],[配息報酬率]]+庫存管理[[#This Row],[資本報酬率]]),0),0)</f>
        <v>0</v>
      </c>
      <c r="CF41"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41" s="585">
        <f ca="1">IF(AND(庫存管理[[#This Row],[檢測]]=TRUE,開關=TRUE),IF(MF=2,IFERROR(BW41/$BW$1,0),IFERROR(BV41/$BV$1,0)),0)</f>
        <v>0</v>
      </c>
      <c r="CH41" s="574">
        <f ca="1">IF(庫存管理[[#This Row],[檢測]]=TRUE,IF(MF=2,IFERROR(BY41/$BY$1,0),IFERROR(BX41/$BX$1,0)),0)</f>
        <v>0</v>
      </c>
      <c r="CI41"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41" s="646" t="e">
        <f ca="1">DATEDIF(庫存管理[[#This Row],[買進例外調整]],庫存管理[[#This Row],[到期日]],"d")/365.25</f>
        <v>#N/A</v>
      </c>
      <c r="CK41" s="734" t="e">
        <f ca="1">DATEVALUE(VLOOKUP(庫存管理[[#This Row],[商品代號]],bond!B:AF,31,FALSE))</f>
        <v>#N/A</v>
      </c>
      <c r="CL41" s="734" t="e">
        <f ca="1">IF(庫存管理[[#This Row],[買下配(國調)]]&lt;庫存管理[[#This Row],[第一票息日]],庫存管理[[#This Row],[第一票息日]],庫存管理[[#This Row],[買下配(國調)]])</f>
        <v>#N/A</v>
      </c>
      <c r="CM41"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41"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41" s="735">
        <f ca="1">IF(庫存管理[[#This Row],[商品代號]]="XFM90",0,IFERROR(庫存管理[[#This Row],[單次配息(原幣)]]*庫存管理[[#This Row],[經過幾次配息]],0))</f>
        <v>0</v>
      </c>
      <c r="CP41" s="735" t="e">
        <f ca="1">VLOOKUP(庫存管理[[#This Row],[商品代號]],bond!B:F,5,FALSE)</f>
        <v>#N/A</v>
      </c>
      <c r="CQ41" s="734" t="str">
        <f ca="1">IFERROR(VLOOKUP(庫存管理[[#This Row],[ISIN]],'7_發行日例外'!A:C,3,FALSE),IFERROR(DATEVALUE(VLOOKUP(庫存管理[[#This Row],[商品代號]],bond!B:AR,43,FALSE)),""))</f>
        <v/>
      </c>
      <c r="CR41" s="735" t="e">
        <f ca="1">DATEDIF(庫存管理[[#This Row],[起息日]],庫存管理[[#This Row],[買進前一配息日(複算)]],"d")</f>
        <v>#VALUE!</v>
      </c>
      <c r="CS41"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41" s="734" t="e">
        <f ca="1">IFERROR(VLOOKUP(庫存管理[[#This Row],[ISIN]],'7_發行日例外'!A:D,4,FALSE),DATEVALUE(VLOOKUP(庫存管理[[#This Row],[商品代號]],bond!B:AV,44,FALSE)))</f>
        <v>#N/A</v>
      </c>
      <c r="CU41" s="735" t="e">
        <f ca="1">VLOOKUP(庫存管理[[#This Row],[商品代號]],bond!B:AU,46,FALSE)</f>
        <v>#N/A</v>
      </c>
      <c r="CV41" s="735" t="e">
        <f ca="1">IF(庫存管理[[#This Row],[計息基礎]]=1,CHOOSE(庫存管理[[#This Row],[對應編碼]],"沒進位","","沒進位",IF(庫存管理[[#This Row],[計算類型]]="AUSTRALIA:EX-DIV","4捨五入進0.01%","沒進位"),"年/2去計算ACT","沒進位","沒進位"),"")</f>
        <v>#N/A</v>
      </c>
      <c r="CW41" s="735" t="e">
        <f ca="1">_xlfn.DAYS(庫存管理[[#This Row],[買進例外調整]],庫存管理[[#This Row],[買進前一個配息日(最終)]])</f>
        <v>#N/A</v>
      </c>
      <c r="CX41" s="735" t="e">
        <f ca="1">IF(庫存管理[[#This Row],[備註]]="年/2去計算ACT",365/2,_xlfn.DAYS(庫存管理[[#This Row],[買進時的下個配息日]],庫存管理[[#This Row],[買進前一個配息日(最終)]]))</f>
        <v>#N/A</v>
      </c>
      <c r="CY41"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41" s="767" t="e">
        <f ca="1">_xlfn.DAYS(庫存管理[[#This Row],[交割日]],庫存管理[[#This Row],[買進前一個配息日(最終)]])</f>
        <v>#N/A</v>
      </c>
      <c r="DA41"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41" s="767" t="e">
        <f ca="1">_xlfn.DAYS(庫存管理[[#This Row],[交割日]],庫存管理[[#This Row],[最近的上一票息日]])</f>
        <v>#N/A</v>
      </c>
      <c r="DC41" s="767" t="e">
        <f ca="1">IF(庫存管理[[#This Row],[備註]]="年/2去計算ACT",365/2,_xlfn.DAYS(庫存管理[[#This Row],[下一配息日]],庫存管理[[#This Row],[最近的上一票息日]]))</f>
        <v>#N/A</v>
      </c>
      <c r="DD41"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41" s="739" t="e">
        <f ca="1">CL41-庫存管理[[#This Row],[ex_div_days]]</f>
        <v>#N/A</v>
      </c>
      <c r="DF41" s="646" t="e">
        <f ca="1">IF(VLOOKUP(庫存管理[[#This Row],[商品代號]],bond!B:AT,45,FALSE)="#N/A Field Not Applicable",0,VLOOKUP(庫存管理[[#This Row],[商品代號]],bond!B:AT,45,FALSE))</f>
        <v>#N/A</v>
      </c>
      <c r="DG41" s="793" t="e">
        <f ca="1">IF(庫存管理[[#This Row],[ex_div_days]]&lt;&gt;0,IF(AND(庫存管理[[#This Row],[買進例外調整]]-庫存管理[[#This Row],[買進下一個配息日先減n天]]&gt;=0,庫存管理[[#This Row],[買進時的下個配息日]]-庫存管理[[#This Row],[買進例外調整]]&gt;0),1,0),0)</f>
        <v>#N/A</v>
      </c>
      <c r="DH41"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41" s="734" t="e">
        <f ca="1">庫存管理[[#This Row],[下一配息日]]-庫存管理[[#This Row],[ex_div_days]]</f>
        <v>#VALUE!</v>
      </c>
      <c r="DJ41" s="1081" t="e">
        <f ca="1">IF(庫存管理[[#This Row],[ex_div_days]]&lt;&gt;0,IF(AND(庫存管理[[#This Row],[交割日]]-庫存管理[[#This Row],[交割下個配息日先減n天]]&gt;=0,庫存管理[[#This Row],[下一配息日]]-庫存管理[[#This Row],[交割日]]&gt;0),1,0),0)</f>
        <v>#N/A</v>
      </c>
      <c r="DK41"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41" s="735">
        <f ca="1">IFERROR(VLOOKUP(庫存管理[[#This Row],[商品代號]],bond!B:X,21,FALSE),0)</f>
        <v>0</v>
      </c>
      <c r="DM41" s="735">
        <f ca="1">IFERROR(VLOOKUP(I41,bond!B:J,9,FALSE),0)</f>
        <v>0</v>
      </c>
      <c r="DN41" s="1188">
        <f ca="1">IF(AND(開關=TRUE,庫存管理[[#This Row],[投組檢測]]=TRUE),IF(MF=2,IFERROR(BW41/$BW$3,0),IFERROR(BV41/$BV$3,0)),0)</f>
        <v>0</v>
      </c>
      <c r="DO41" s="735">
        <f ca="1">IFERROR(庫存管理[[#This Row],[clean申購價]]/100*庫存管理[[#This Row],[投入面額]]*庫存管理[[#This Row],[MOD]]*0.01,0)</f>
        <v>0</v>
      </c>
      <c r="DP41" s="1298" t="e">
        <f ca="1">IF($C$16=1,庫存管理[[#This Row],[單次配息(台幣)]],庫存管理[[#This Row],[單次配息(原幣)]])</f>
        <v>#VALUE!</v>
      </c>
      <c r="DQ41"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41"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41"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41"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41"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41"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41"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41"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41"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41"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41"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41"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42" spans="1:132" ht="19.5" customHeight="1">
      <c r="A42" s="459" t="s">
        <v>2177</v>
      </c>
      <c r="B42" s="495" t="s">
        <v>531</v>
      </c>
      <c r="C42" s="12">
        <v>6</v>
      </c>
      <c r="D42" s="12">
        <f>庫存管理!G17</f>
        <v>19.486899999999999</v>
      </c>
      <c r="E42" s="12">
        <f>庫存管理!H17</f>
        <v>19.813199999999998</v>
      </c>
      <c r="G42" s="459">
        <v>36</v>
      </c>
      <c r="H42" s="1166" t="b">
        <f ca="1">IFERROR(IF(VLOOKUP(G42,換券投組!$AH$8:$AH$13,1,FALSE)&gt;0,TRUE,FALSE),FALSE)</f>
        <v>0</v>
      </c>
      <c r="I42" s="1693" t="str">
        <f ca="1">IF(開關=TRUE,'商品代碼-中繼頁'!R37,"")</f>
        <v/>
      </c>
      <c r="J42" s="429">
        <f ca="1">IFERROR(VLOOKUP(I42,bond!B:I,8,FALSE),0)</f>
        <v>0</v>
      </c>
      <c r="K42" s="429">
        <f ca="1">IFERROR(庫存管理[[#This Row],[買價]]+VLOOKUP(庫存管理[[#This Row],[商品代號]],bond!B:K,10,FALSE),0)</f>
        <v>0</v>
      </c>
      <c r="L42" s="430" t="e">
        <f ca="1">VLOOKUP(I42,'銀行-TSS'!B:E,4,FALSE)</f>
        <v>#N/A</v>
      </c>
      <c r="M42" s="431">
        <f ca="1">IFERROR(VLOOKUP($I42,'銀行-TSS'!B:G,6,FALSE),0)</f>
        <v>0</v>
      </c>
      <c r="N42" s="432" t="e">
        <f ca="1">IFERROR(DATEVALUE(VLOOKUP($I42,'銀行-TSS'!B:F,5,FALSE)),VLOOKUP($I42,'銀行-TSS'!B:F,5,FALSE))</f>
        <v>#N/A</v>
      </c>
      <c r="O42" s="433">
        <f ca="1">IFERROR(VLOOKUP($I42,'銀行-TSS'!B:H,7,FALSE),0)</f>
        <v>0</v>
      </c>
      <c r="P42" s="433" t="e">
        <f ca="1">庫存管理[[#This Row],[票面利率]]/庫存管理[[#This Row],[成本價(不含前手息)]]*100</f>
        <v>#VALUE!</v>
      </c>
      <c r="Q42" s="434" t="str">
        <f ca="1">IFERROR(VLOOKUP($I42,'銀行-TSS'!B:I,8,FALSE),"")</f>
        <v/>
      </c>
      <c r="R42" s="440" t="str">
        <f ca="1">_xlfn.IFNA(IFERROR(DATEVALUE(VLOOKUP($I42,'銀行-TSS'!B:P,15,FALSE)),VLOOKUP($I42,'銀行-TSS'!B:P,15,FALSE)),"")</f>
        <v/>
      </c>
      <c r="S42" s="570" t="b">
        <f ca="1">IF(AND(庫存管理[[#This Row],[配息頻率]]&lt;&gt;"",庫存管理[[#This Row],[持有成本(不含前手息)]]&lt;&gt;0,庫存管理[[#This Row],[買進日]]&lt;&gt;""),TRUE,FALSE)</f>
        <v>0</v>
      </c>
      <c r="T42" s="602" t="str">
        <f>IFERROR(DATE(LEFT('商品代碼-中繼頁'!S37,4),MID('商品代碼-中繼頁'!S37,5,2),RIGHT('商品代碼-中繼頁'!S37,2)),"")</f>
        <v/>
      </c>
      <c r="U42" s="602" t="e">
        <f ca="1">IF(AND(庫存管理[[#This Row],[配息頻率]]&lt;&gt;0,庫存管理[[#This Row],[買進日]]&lt;庫存管理[[#This Row],[起息日]]),庫存管理[[#This Row],[起息日]],CHOOSE(庫存管理[[#This Row],[對應編碼]],IF(庫存管理[[#This Row],[名稱]]="美國國庫債券",WORKDAY(庫存管理[[#This Row],[買進日]],1,休USD),IF(AND(庫存管理[[#This Row],[買進日]]&gt;=DATE(2024,5,28),LEFT(庫存管理[[#This Row],[ISIN]],2)="US"),WORKDAY(庫存管理[[#This Row],[買進日]],1,休USD),WORKDAY(庫存管理[[#This Row],[買進日]],2,休USD))),WORKDAY(庫存管理[[#This Row],[買進日]],2,休CNY),WORKDAY(庫存管理[[#This Row],[買進日]],2,休ZAR),WORKDAY(庫存管理[[#This Row],[買進日]],2,休AUD),WORKDAY(庫存管理[[#This Row],[買進日]],2,休CAD),WORKDAY(庫存管理[[#This Row],[買進日]],2,休NZD),WORKDAY(庫存管理[[#This Row],[買進日]],2,休EUR)))</f>
        <v>#N/A</v>
      </c>
      <c r="V42" s="442" t="e">
        <f ca="1">IFERROR(WORKDAY(庫存管理[[#This Row],[買進日]],VLOOKUP(庫存管理[[#This Row],[商品代號]],'1_重設數據'!R:S,2,FALSE),休USD),庫存管理[[#This Row],[買進日(T+2/公債T+1)]])</f>
        <v>#N/A</v>
      </c>
      <c r="W42" s="43" t="str">
        <f>'商品代碼-中繼頁'!T37</f>
        <v/>
      </c>
      <c r="X42" s="43" t="str">
        <f>'商品代碼-中繼頁'!U37</f>
        <v/>
      </c>
      <c r="Y42" s="464">
        <f t="shared" ca="1" si="9"/>
        <v>0</v>
      </c>
      <c r="Z42" s="464" t="e">
        <f t="shared" ca="1" si="31"/>
        <v>#VALUE!</v>
      </c>
      <c r="AA42" s="465" t="e">
        <f t="shared" ca="1" si="32"/>
        <v>#VALUE!</v>
      </c>
      <c r="AB42" s="474" t="e">
        <f ca="1">IF(MF=2,庫存管理[[#This Row],[部位現值(不含前手息)]]-庫存管理[[#This Row],[持有成本(不含前手息)]],庫存管理[[#This Row],[部位現值(含前手息)]]-庫存管理[[#This Row],[持有成本(含前手息)]])</f>
        <v>#VALUE!</v>
      </c>
      <c r="AC42" s="462">
        <f ca="1">IF(庫存管理[[#This Row],[檢測]]=TRUE,IF(MF=2,IFERROR(庫存管理[[#This Row],[資本利損]]/庫存管理[[#This Row],[持有成本(不含前手息)]],0),IFERROR(庫存管理[[#This Row],[資本利損]]/庫存管理[[#This Row],[持有成本(含前手息)]],0)),0)</f>
        <v>0</v>
      </c>
      <c r="AD42" s="618" t="e">
        <f ca="1">庫存管理[[#This Row],[持有成本(不含前手息)]]/庫存管理[[#This Row],[投入面額]]*100</f>
        <v>#VALUE!</v>
      </c>
      <c r="AE42" s="462" t="str">
        <f ca="1">IFERROR(VLOOKUP(庫存管理[[#This Row],[商品代號]],bond!B:AA,26,FALSE),"")</f>
        <v/>
      </c>
      <c r="AF42" s="1" t="str">
        <f ca="1">IFERROR(VLOOKUP($I42,'銀行-TSS'!B:Q,16,FALSE),"")</f>
        <v/>
      </c>
      <c r="AG42" s="466">
        <f t="shared" ca="1" si="1"/>
        <v>0</v>
      </c>
      <c r="AH42" s="458" t="e">
        <f ca="1">IF(OR(庫存管理[[#This Row],[起息日]]&gt;庫存管理[[#This Row],[買進前一配息日(複算)]],庫存管理[[#This Row],[判斷]]=TRUE),庫存管理[[#This Row],[起息日]],庫存管理[[#This Row],[買進前一配息日(複算)]])</f>
        <v>#N/A</v>
      </c>
      <c r="AI42" s="577" t="e">
        <f ca="1">VLOOKUP(I42,bond!B:AP,41,FALSE)</f>
        <v>#N/A</v>
      </c>
      <c r="AJ42" s="578" t="e">
        <f t="shared" ca="1" si="33"/>
        <v>#N/A</v>
      </c>
      <c r="AK42" s="579">
        <f ca="1">IFERROR(IF(庫存管理[[#This Row],[買進日是否落入record date]]=1,庫存管理[[#This Row],[record date制度前手息]],庫存管理[[#This Row],[計算前手息(初算)]]),0)</f>
        <v>0</v>
      </c>
      <c r="AL42" s="579" t="e">
        <f ca="1">IF(OR(庫存管理[[#This Row],[買進例外調整]]&lt;庫存管理[[#This Row],[起息日]],庫存管理[[#This Row],[買進例外調整]]&gt;庫存管理[[#This Row],[到期日]]),0,IF(庫存管理[[#This Row],[備註]]&lt;&gt;"",庫存管理[[#This Row],[買進時前手息]],IFERROR(ROUND(ACCRINT(AH42,AH42,V42,O42,100,Q42,AJ42,TRUE),4),0)))</f>
        <v>#N/A</v>
      </c>
      <c r="AM42" s="580" t="e">
        <f t="shared" ca="1" si="34"/>
        <v>#VALUE!</v>
      </c>
      <c r="AN42" s="440" t="e">
        <f ca="1">IFERROR(DATEVALUE(VLOOKUP(I42,bond!B:I,7,FALSE)),VLOOKUP(I42,bond!B:I,7,FALSE))</f>
        <v>#N/A</v>
      </c>
      <c r="AO42" s="1064" t="e">
        <f ca="1">MAX(IF(庫存管理[[#This Row],[備註]]&lt;&gt;"",IFERROR(庫存管理[[#This Row],[評價時前手息]],0),IFERROR(ROUND(ACCRINT(庫存管理[[#This Row],[買進前一個配息日(最終)]],庫存管理[[#This Row],[買進前一個配息日(最終)]],庫存管理[[#This Row],[交割日]],庫存管理[[#This Row],[票面利率]],100,庫存管理[[#This Row],[配息頻率]],庫存管理[[#This Row],[計息基礎]],TRUE),4),0))-庫存管理[[#This Row],[計算前手息(複算)]],0)</f>
        <v>#N/A</v>
      </c>
      <c r="AP42" s="1075">
        <f ca="1">IFERROR(IF(庫存管理[[#This Row],[交割日是否落入record date]]=1,庫存管理[[#This Row],[交_record date制度前手息]],庫存管理[[#This Row],[計算交割前手息(初算)]]),0)</f>
        <v>0</v>
      </c>
      <c r="AQ42" s="1064" t="e">
        <f ca="1">IF(OR(庫存管理[[#This Row],[交割日]]&lt;庫存管理[[#This Row],[起息日]],庫存管理[[#This Row],[交割日]]&gt;庫存管理[[#This Row],[到期日]]),0,IF(庫存管理[[#This Row],[備註]]&lt;&gt;"",庫存管理[[#This Row],[至交割日前手息]],IFERROR(ROUND(ACCRINT(庫存管理[[#This Row],[最近的上一票息日]],庫存管理[[#This Row],[最近的上一票息日]],庫存管理[[#This Row],[交割日]],庫存管理[[#This Row],[票面利率]],100,庫存管理[[#This Row],[配息頻率]],庫存管理[[#This Row],[計息基礎]],TRUE),4),0)))</f>
        <v>#N/A</v>
      </c>
      <c r="AR42" s="1063" t="e">
        <f ca="1">ROUND(庫存管理[[#This Row],[計算交割前手息(複算)]]*庫存管理[[#This Row],[投入面額]]/100,2)</f>
        <v>#VALUE!</v>
      </c>
      <c r="AS42" s="1064" t="e">
        <f ca="1">IF(庫存管理[[#This Row],[配息頻率]]=0,0,(100*庫存管理[[#This Row],[票面利率]]/庫存管理[[#This Row],[配息頻率]])*庫存管理[[#This Row],[經過幾次配息]]+庫存管理[[#This Row],[計算交割前手息(複算)]]-庫存管理[[#This Row],[計算前手息(複算)]])</f>
        <v>#VALUE!</v>
      </c>
      <c r="AT42" s="581" t="e">
        <f ca="1">IF(庫存管理[[#This Row],[商品代號]]="XFM90",0,ROUND(AS42*W42/100,2))</f>
        <v>#VALUE!</v>
      </c>
      <c r="AU42" s="582">
        <f ca="1">IF(MF=2,IFERROR(庫存管理[[#This Row],[累計配息]]/庫存管理[[#This Row],[持有成本(不含前手息)]],0),IFERROR(庫存管理[[#This Row],[已實現配息(原幣)]]/庫存管理[[#This Row],[持有成本(含前手息)]],0))</f>
        <v>0</v>
      </c>
      <c r="AV42" s="583" t="e">
        <f ca="1">IF(MF=2,庫存管理[[#This Row],[資本利損]]+庫存管理[[#This Row],[累計配息]],庫存管理[[#This Row],[資本利損]]+庫存管理[[#This Row],[已實現配息(原幣)]])</f>
        <v>#VALUE!</v>
      </c>
      <c r="AW42" s="584">
        <f ca="1">IF(庫存管理[[#This Row],[檢測]]=TRUE,IF(MF=2,IFERROR(庫存管理[[#This Row],[合計收益]]/庫存管理[[#This Row],[持有成本(不含前手息)]],0),IFERROR(庫存管理[[#This Row],[合計收益]]/庫存管理[[#This Row],[持有成本(含前手息)]],0)),0)</f>
        <v>0</v>
      </c>
      <c r="AX42" s="434" t="e">
        <f t="shared" ca="1" si="35"/>
        <v>#VALUE!</v>
      </c>
      <c r="AY42" s="434" t="e">
        <f t="shared" ca="1" si="36"/>
        <v>#VALUE!</v>
      </c>
      <c r="AZ42" s="434">
        <f t="shared" ca="1" si="37"/>
        <v>0</v>
      </c>
      <c r="BA42" s="434">
        <f t="shared" ca="1" si="38"/>
        <v>0</v>
      </c>
      <c r="BB42" s="441" t="e">
        <f ca="1">IF(AND(庫存管理[[#This Row],[名稱]]="美國國庫債券",DAY(庫存管理[[#This Row],[買進前一配息日(初算)]])&gt;=28),EOMONTH(庫存管理[[#This Row],[買進前一配息日(初算)]],0),庫存管理[[#This Row],[買進前一配息日(初算)]])</f>
        <v>#N/A</v>
      </c>
      <c r="BC42" s="441" t="e">
        <f t="shared" ca="1" si="39"/>
        <v>#N/A</v>
      </c>
      <c r="BD42" s="444" t="e">
        <f t="shared" ca="1" si="40"/>
        <v>#N/A</v>
      </c>
      <c r="BE42" s="441" t="e">
        <f ca="1">IF(Q42&gt;0,IF(MONTH(DATE(BD42,AX42,DAY(R42)))&lt;&gt;庫存管理[[#This Row],[第一個配息月]],DATE(BD42,AX42+1,0),DATE(BD42,AX42,DAY(R42))),庫存管理[[#This Row],[買進例外調整]]+100)</f>
        <v>#N/A</v>
      </c>
      <c r="BF42" s="441" t="e">
        <f ca="1">IF(AY42&lt;&gt;0,IF(MONTH(DATE(BD42,AY42,DAY(R42)))&lt;&gt;庫存管理[[#This Row],[第二個配息月]],DATE(BD42,AY42+1,0),DATE(BD42,AY42,DAY(R42))),庫存管理[[#This Row],[買進例外調整]]+100)</f>
        <v>#VALUE!</v>
      </c>
      <c r="BG42" s="441" t="e">
        <f ca="1">IF(AZ42&lt;&gt;0,IF(MONTH(DATE(BD42,AZ42,DAY(R42)))&lt;&gt;庫存管理[[#This Row],[第三個配息月]],DATE(BD42,AZ42+1,0),DATE(BD42,AZ42,DAY(R42))),庫存管理[[#This Row],[買進例外調整]]+100)</f>
        <v>#N/A</v>
      </c>
      <c r="BH42" s="441" t="e">
        <f ca="1">IF(BA42&lt;&gt;0,IF(MONTH(DATE(BD42,BA42,DAY(R42)))&lt;&gt;庫存管理[[#This Row],[第四個配息月]],DATE(BD42,BA42+1,0),DATE(BD42,BA42,DAY(R42))),庫存管理[[#This Row],[買進例外調整]]+100)</f>
        <v>#N/A</v>
      </c>
      <c r="BI42" s="441" t="e">
        <f ca="1">IF(Q42=1,IF(MONTH(DATE(BD42-1,AX42,DAY(R42)))&lt;&gt;庫存管理[[#This Row],[第一個配息月]],DATE(BD42-1,AX42+1,0),DATE(BD42-1,AX42,DAY(R42))),IF(Q42=2,IF(MONTH(DATE(BD42-1,AY42,DAY(R42)))&lt;&gt;庫存管理[[#This Row],[第二個配息月]],DATE(BD42-1,AY42+1,0),DATE(BD42-1,AY42,DAY(R42))),IF(Q42=4,IF(MONTH(DATE(BD42-1,BA42,DAY(R42)))&lt;&gt;庫存管理[[#This Row],[第四個配息月]],DATE(BD42-1,BA42+1,0),DATE(BD42-1,BA42,DAY(R42))),庫存管理[[#This Row],[買進例外調整]]+100)))</f>
        <v>#N/A</v>
      </c>
      <c r="BJ42" s="445">
        <f t="shared" ca="1" si="41"/>
        <v>10000</v>
      </c>
      <c r="BK42" s="445">
        <f t="shared" ca="1" si="42"/>
        <v>10000</v>
      </c>
      <c r="BL42" s="445">
        <f t="shared" ca="1" si="43"/>
        <v>10000</v>
      </c>
      <c r="BM42" s="445">
        <f t="shared" ca="1" si="44"/>
        <v>10000</v>
      </c>
      <c r="BN42" s="455">
        <f t="shared" ca="1" si="45"/>
        <v>10000</v>
      </c>
      <c r="BO42" s="479" t="e">
        <f ca="1">庫存管理[[#This Row],[年度配息]]/庫存管理[[#This Row],[配息頻率]]</f>
        <v>#VALUE!</v>
      </c>
      <c r="BP42" s="479" t="e">
        <f ca="1">庫存管理[[#This Row],[單次配息(原幣)]]*庫存管理[[#This Row],[換算匯率(現)]]</f>
        <v>#VALUE!</v>
      </c>
      <c r="BQ42" s="479" t="str">
        <f ca="1">IF(庫存管理[[#This Row],[商品代號]]&lt;&gt;"",IFERROR(VLOOKUP($I42,'銀行-TSS'!B:C,2,FALSE),""),"")</f>
        <v/>
      </c>
      <c r="BR42" s="479" t="e">
        <f ca="1">VLOOKUP(庫存管理[[#This Row],[幣別]],$B$37:$C$43,2,FALSE)</f>
        <v>#N/A</v>
      </c>
      <c r="BS42" s="500" t="e">
        <f ca="1">CHOOSE(庫存管理[[#This Row],[對應編碼]],$D$37,$D$38,$D$39,$D$40,$D$41,$D$42,$D$43)</f>
        <v>#N/A</v>
      </c>
      <c r="BT42" s="500">
        <f ca="1">IF(庫存管理[[#This Row],[商品代號]]="",0,CHOOSE(庫存管理[[#This Row],[對應編碼]],$E$37,$E$38,$E$39,$E$40,$E$41,$E$42,$E$43))</f>
        <v>0</v>
      </c>
      <c r="BU42" s="1555">
        <f ca="1">IF(庫存管理[[#This Row],[檢測]]=TRUE,庫存管理[[#This Row],[投入面額]]*庫存管理[[#This Row],[換算匯率(現)]],0)</f>
        <v>0</v>
      </c>
      <c r="BV42" s="1555">
        <f ca="1">IF(庫存管理[[#This Row],[檢測]]=TRUE,IFERROR(庫存管理[[#This Row],[持有成本(含前手息)]]*庫存管理[[#This Row],[換算匯率(買)]],0),0)</f>
        <v>0</v>
      </c>
      <c r="BW42" s="1555">
        <f ca="1">IF(庫存管理[[#This Row],[檢測]]=TRUE,庫存管理[[#This Row],[持有成本(不含前手息)]]*庫存管理[[#This Row],[換算匯率(買)]],0)</f>
        <v>0</v>
      </c>
      <c r="BX42" s="1555">
        <f ca="1">IF(庫存管理[[#This Row],[檢測]]=TRUE,庫存管理[[#This Row],[部位現值(含前手息)]]*庫存管理[[#This Row],[換算匯率(現)]],0)</f>
        <v>0</v>
      </c>
      <c r="BY42" s="1555">
        <f ca="1">IF(庫存管理[[#This Row],[檢測]]=TRUE,庫存管理[[#This Row],[部位現值(不含前手息)]]*庫存管理[[#This Row],[換算匯率(現)]],0)</f>
        <v>0</v>
      </c>
      <c r="BZ42" s="1555">
        <f ca="1">IF(庫存管理[[#This Row],[檢測]]=TRUE,IF(MF=2,庫存管理[[#This Row],[累計配息]]*庫存管理[[#This Row],[換算匯率(現)]],庫存管理[[#This Row],[已實現配息(原幣)]]*庫存管理[[#This Row],[換算匯率(現)]]),0)</f>
        <v>0</v>
      </c>
      <c r="CA42" s="1555" t="e">
        <f ca="1">庫存管理[[#This Row],[資本利損]]*庫存管理[[#This Row],[換算匯率(現)]]</f>
        <v>#VALUE!</v>
      </c>
      <c r="CB42" s="1555" t="e">
        <f ca="1">庫存管理[[#This Row],[累計利息(台)]]+庫存管理[[#This Row],[資本貢獻(台)]]</f>
        <v>#VALUE!</v>
      </c>
      <c r="CC42" s="574">
        <f ca="1">IF(庫存管理[[#This Row],[檢測]]=TRUE,IFERROR(庫存管理[[#This Row],[配息報酬]],0),0)</f>
        <v>0</v>
      </c>
      <c r="CD42" s="574">
        <f ca="1">IF(庫存管理[[#This Row],[檢測]]=TRUE,庫存管理[[#This Row],[資本報酬]],0)</f>
        <v>0</v>
      </c>
      <c r="CE42" s="574">
        <f ca="1">IF(S42=TRUE,IFERROR(庫存管理[[#This Row],[換匯總報酬率]]-(庫存管理[[#This Row],[配息報酬率]]+庫存管理[[#This Row],[資本報酬率]]),0),0)</f>
        <v>0</v>
      </c>
      <c r="CF42" s="574">
        <f ca="1">IF(庫存管理[[#This Row],[檢測]]=TRUE,IF(MF=2,IFERROR((庫存管理[[#This Row],[參考贖回金額(現)]]+庫存管理[[#This Row],[累計利息(台)]])/庫存管理[[#This Row],[淨投入成本(買)]]-1,0),IFERROR(((庫存管理[[#This Row],[參考贖回金額含前手息(現)]]+庫存管理[[#This Row],[累計利息(台)]])/庫存管理[[#This Row],[庫存成本(買)]])-1,0)),0)</f>
        <v>0</v>
      </c>
      <c r="CG42" s="585">
        <f ca="1">IF(AND(庫存管理[[#This Row],[檢測]]=TRUE,開關=TRUE),IF(MF=2,IFERROR(BW42/$BW$1,0),IFERROR(BV42/$BV$1,0)),0)</f>
        <v>0</v>
      </c>
      <c r="CH42" s="574">
        <f ca="1">IF(庫存管理[[#This Row],[檢測]]=TRUE,IF(MF=2,IFERROR(BY42/$BY$1,0),IFERROR(BX42/$BX$1,0)),0)</f>
        <v>0</v>
      </c>
      <c r="CI42" s="619">
        <f ca="1">IFERROR(IF(庫存管理[[#This Row],[票面利率]]=0,(100/庫存管理[[#This Row],[成本價(不含前手息)]])^(1/庫存管理[[#This Row],[投入時的剩餘年期]])-1,YIELD(庫存管理[[#This Row],[買進例外調整]],庫存管理[[#This Row],[到期日]],庫存管理[[#This Row],[票面利率]],庫存管理[[#This Row],[成本價(不含前手息)]],100,庫存管理[[#This Row],[配息頻率]],庫存管理[[#This Row],[計息基礎]])),0)</f>
        <v>0</v>
      </c>
      <c r="CJ42" s="646" t="e">
        <f ca="1">DATEDIF(庫存管理[[#This Row],[買進例外調整]],庫存管理[[#This Row],[到期日]],"d")/365.25</f>
        <v>#N/A</v>
      </c>
      <c r="CK42" s="734" t="e">
        <f ca="1">DATEVALUE(VLOOKUP(庫存管理[[#This Row],[商品代號]],bond!B:AF,31,FALSE))</f>
        <v>#N/A</v>
      </c>
      <c r="CL42" s="734" t="e">
        <f ca="1">IF(庫存管理[[#This Row],[買下配(國調)]]&lt;庫存管理[[#This Row],[第一票息日]],庫存管理[[#This Row],[第一票息日]],庫存管理[[#This Row],[買下配(國調)]])</f>
        <v>#N/A</v>
      </c>
      <c r="CM42" s="734" t="e">
        <f ca="1">IF(AND(庫存管理[[#This Row],[名稱]]="美國國庫債券",DAY(庫存管理[[#This Row],[買進前一配息日(複算)]])&gt;=28),EOMONTH(EDATE(庫存管理[[#This Row],[買進前一配息日(複算)]],12/庫存管理[[#This Row],[配息頻率]]),0),EDATE(庫存管理[[#This Row],[買進前一配息日(複算)]],12/庫存管理[[#This Row],[配息頻率]]))</f>
        <v>#N/A</v>
      </c>
      <c r="CN42" s="735" t="e">
        <f ca="1">IF(庫存管理[[#This Row],[買進時的下個配息日]]&gt;庫存管理[[#This Row],[最近的上一票息日]],0,IF(庫存管理[[#This Row],[名稱]]="美國國庫債券",ROUND(DATEDIF(庫存管理[[#This Row],[買進時的下個配息日]],庫存管理[[#This Row],[最近的上一票息日]],"M")/(12/庫存管理[[#This Row],[配息頻率]]),0)+1,DATEDIF(庫存管理[[#This Row],[買進時的下個配息日]],庫存管理[[#This Row],[最近的上一票息日]],"M")/(12/庫存管理[[#This Row],[配息頻率]])+1))</f>
        <v>#N/A</v>
      </c>
      <c r="CO42" s="735">
        <f ca="1">IF(庫存管理[[#This Row],[商品代號]]="XFM90",0,IFERROR(庫存管理[[#This Row],[單次配息(原幣)]]*庫存管理[[#This Row],[經過幾次配息]],0))</f>
        <v>0</v>
      </c>
      <c r="CP42" s="735" t="e">
        <f ca="1">VLOOKUP(庫存管理[[#This Row],[商品代號]],bond!B:F,5,FALSE)</f>
        <v>#N/A</v>
      </c>
      <c r="CQ42" s="734" t="str">
        <f ca="1">IFERROR(VLOOKUP(庫存管理[[#This Row],[ISIN]],'7_發行日例外'!A:C,3,FALSE),IFERROR(DATEVALUE(VLOOKUP(庫存管理[[#This Row],[商品代號]],bond!B:AR,43,FALSE)),""))</f>
        <v/>
      </c>
      <c r="CR42" s="735" t="e">
        <f ca="1">DATEDIF(庫存管理[[#This Row],[起息日]],庫存管理[[#This Row],[買進前一配息日(複算)]],"d")</f>
        <v>#VALUE!</v>
      </c>
      <c r="CS42" s="735" t="b">
        <f ca="1">IFERROR(IF(DATEDIF(庫存管理[[#This Row],[買進例外調整]],庫存管理[[#This Row],[第一票息日]],"d")&gt;0,IF(AND(庫存管理[[#This Row],[差異天數]]&lt;200,庫存管理[[#This Row],[配息頻率]]=1),TRUE,IF(AND(庫存管理[[#This Row],[差異天數]]&lt;93,庫存管理[[#This Row],[配息頻率]]=2),TRUE,IF(AND(庫存管理[[#This Row],[差異天數]]&lt;60,庫存管理[[#This Row],[配息頻率]]=4),TRUE)))),FALSE)</f>
        <v>0</v>
      </c>
      <c r="CT42" s="734" t="e">
        <f ca="1">IFERROR(VLOOKUP(庫存管理[[#This Row],[ISIN]],'7_發行日例外'!A:D,4,FALSE),DATEVALUE(VLOOKUP(庫存管理[[#This Row],[商品代號]],bond!B:AV,44,FALSE)))</f>
        <v>#N/A</v>
      </c>
      <c r="CU42" s="735" t="e">
        <f ca="1">VLOOKUP(庫存管理[[#This Row],[商品代號]],bond!B:AU,46,FALSE)</f>
        <v>#N/A</v>
      </c>
      <c r="CV42" s="735" t="e">
        <f ca="1">IF(庫存管理[[#This Row],[計息基礎]]=1,CHOOSE(庫存管理[[#This Row],[對應編碼]],"沒進位","","沒進位",IF(庫存管理[[#This Row],[計算類型]]="AUSTRALIA:EX-DIV","4捨五入進0.01%","沒進位"),"年/2去計算ACT","沒進位","沒進位"),"")</f>
        <v>#N/A</v>
      </c>
      <c r="CW42" s="735" t="e">
        <f ca="1">_xlfn.DAYS(庫存管理[[#This Row],[買進例外調整]],庫存管理[[#This Row],[買進前一個配息日(最終)]])</f>
        <v>#N/A</v>
      </c>
      <c r="CX42" s="735" t="e">
        <f ca="1">IF(庫存管理[[#This Row],[備註]]="年/2去計算ACT",365/2,_xlfn.DAYS(庫存管理[[#This Row],[買進時的下個配息日]],庫存管理[[#This Row],[買進前一個配息日(最終)]]))</f>
        <v>#N/A</v>
      </c>
      <c r="CY42" s="767" t="e">
        <f ca="1">IF(庫存管理[[#This Row],[備註]]="4捨五入進0.01%",ROUND(100*庫存管理[[#This Row],[票面利率]]/庫存管理[[#This Row],[配息頻率]]*庫存管理[[#This Row],[應計息日數]]/庫存管理[[#This Row],[區間日數]],3),ROUND(100*庫存管理[[#This Row],[票面利率]]/庫存管理[[#This Row],[配息頻率]]*庫存管理[[#This Row],[應計息日數]]/庫存管理[[#This Row],[區間日數]],4))</f>
        <v>#N/A</v>
      </c>
      <c r="CZ42" s="767" t="e">
        <f ca="1">_xlfn.DAYS(庫存管理[[#This Row],[交割日]],庫存管理[[#This Row],[買進前一個配息日(最終)]])</f>
        <v>#N/A</v>
      </c>
      <c r="DA42" s="767" t="e">
        <f ca="1">IF(庫存管理[[#This Row],[備註]]="4捨五入進0.01%",ROUND(100*庫存管理[[#This Row],[票面利率]]/庫存管理[[#This Row],[配息頻率]]*庫存管理[[#This Row],[應計息日數2]]/庫存管理[[#This Row],[區間日數]],3),ROUND(100*庫存管理[[#This Row],[票面利率]]/庫存管理[[#This Row],[配息頻率]]*庫存管理[[#This Row],[應計息日數2]]/庫存管理[[#This Row],[區間日數]],4))</f>
        <v>#N/A</v>
      </c>
      <c r="DB42" s="767" t="e">
        <f ca="1">_xlfn.DAYS(庫存管理[[#This Row],[交割日]],庫存管理[[#This Row],[最近的上一票息日]])</f>
        <v>#N/A</v>
      </c>
      <c r="DC42" s="767" t="e">
        <f ca="1">IF(庫存管理[[#This Row],[備註]]="年/2去計算ACT",365/2,_xlfn.DAYS(庫存管理[[#This Row],[下一配息日]],庫存管理[[#This Row],[最近的上一票息日]]))</f>
        <v>#N/A</v>
      </c>
      <c r="DD42" s="767" t="e">
        <f ca="1">IF(庫存管理[[#This Row],[備註]]="4捨五入進0.01%",ROUND(100*庫存管理[[#This Row],[票面利率]]/庫存管理[[#This Row],[配息頻率]]*庫存管理[[#This Row],[應計息日數3]]/庫存管理[[#This Row],[區間日數3]],3),ROUND(100*庫存管理[[#This Row],[票面利率]]/庫存管理[[#This Row],[配息頻率]]*庫存管理[[#This Row],[應計息日數3]]/庫存管理[[#This Row],[區間日數3]],4))</f>
        <v>#N/A</v>
      </c>
      <c r="DE42" s="739" t="e">
        <f ca="1">CL42-庫存管理[[#This Row],[ex_div_days]]</f>
        <v>#N/A</v>
      </c>
      <c r="DF42" s="646" t="e">
        <f ca="1">IF(VLOOKUP(庫存管理[[#This Row],[商品代號]],bond!B:AT,45,FALSE)="#N/A Field Not Applicable",0,VLOOKUP(庫存管理[[#This Row],[商品代號]],bond!B:AT,45,FALSE))</f>
        <v>#N/A</v>
      </c>
      <c r="DG42" s="793" t="e">
        <f ca="1">IF(庫存管理[[#This Row],[ex_div_days]]&lt;&gt;0,IF(AND(庫存管理[[#This Row],[買進例外調整]]-庫存管理[[#This Row],[買進下一個配息日先減n天]]&gt;=0,庫存管理[[#This Row],[買進時的下個配息日]]-庫存管理[[#This Row],[買進例外調整]]&gt;0),1,0),0)</f>
        <v>#N/A</v>
      </c>
      <c r="DH42" s="784" t="e">
        <f ca="1">IF(AND(庫存管理[[#This Row],[對應編碼]]=4,庫存管理[[#This Row],[計算類型]]="AUSTRALIA:EX-DIV"),ROUND(庫存管理[[#This Row],[計算前手息(初算)]]-庫存管理[[#This Row],[票面利率]]/庫存管理[[#This Row],[配息頻率]]*100,3),ROUND(庫存管理[[#This Row],[計算前手息(初算)]]-庫存管理[[#This Row],[票面利率]]/庫存管理[[#This Row],[配息頻率]]*100,4))</f>
        <v>#N/A</v>
      </c>
      <c r="DI42" s="734" t="e">
        <f ca="1">庫存管理[[#This Row],[下一配息日]]-庫存管理[[#This Row],[ex_div_days]]</f>
        <v>#VALUE!</v>
      </c>
      <c r="DJ42" s="1081" t="e">
        <f ca="1">IF(庫存管理[[#This Row],[ex_div_days]]&lt;&gt;0,IF(AND(庫存管理[[#This Row],[交割日]]-庫存管理[[#This Row],[交割下個配息日先減n天]]&gt;=0,庫存管理[[#This Row],[下一配息日]]-庫存管理[[#This Row],[交割日]]&gt;0),1,0),0)</f>
        <v>#N/A</v>
      </c>
      <c r="DK42" s="1067" t="e">
        <f ca="1">IF(AND(庫存管理[[#This Row],[對應編碼]]=4,庫存管理[[#This Row],[計算類型]]="AUSTRALIA:EX-DIV"),ROUND(庫存管理[[#This Row],[計算交割前手息(初算)]]-庫存管理[[#This Row],[票面利率]]/庫存管理[[#This Row],[配息頻率]]*100,3),ROUND(庫存管理[[#This Row],[計算交割前手息(初算)]]-庫存管理[[#This Row],[票面利率]]/庫存管理[[#This Row],[配息頻率]]*100,4))</f>
        <v>#N/A</v>
      </c>
      <c r="DL42" s="735">
        <f ca="1">IFERROR(VLOOKUP(庫存管理[[#This Row],[商品代號]],bond!B:X,21,FALSE),0)</f>
        <v>0</v>
      </c>
      <c r="DM42" s="735">
        <f ca="1">IFERROR(VLOOKUP(I42,bond!B:J,9,FALSE),0)</f>
        <v>0</v>
      </c>
      <c r="DN42" s="1188">
        <f ca="1">IF(AND(開關=TRUE,庫存管理[[#This Row],[投組檢測]]=TRUE),IF(MF=2,IFERROR(BW42/$BW$3,0),IFERROR(BV42/$BV$3,0)),0)</f>
        <v>0</v>
      </c>
      <c r="DO42" s="735">
        <f ca="1">IFERROR(庫存管理[[#This Row],[clean申購價]]/100*庫存管理[[#This Row],[投入面額]]*庫存管理[[#This Row],[MOD]]*0.01,0)</f>
        <v>0</v>
      </c>
      <c r="DP42" s="1298" t="e">
        <f ca="1">IF($C$16=1,庫存管理[[#This Row],[單次配息(台幣)]],庫存管理[[#This Row],[單次配息(原幣)]])</f>
        <v>#VALUE!</v>
      </c>
      <c r="DQ42" s="1298" t="e">
        <f ca="1">IF(DQ$5&lt;=庫存管理[[#This Row],[到期日]],IF(庫存管理[[#This Row],[配息頻率]]=12,庫存管理[[#This Row],[單次配息]],IF(OR(DQ$4=庫存管理[[#This Row],[第一個配息月]],DQ$4=庫存管理[[#This Row],[第二個配息月]],DQ$4=庫存管理[[#This Row],[第三個配息月]],DQ$4=庫存管理[[#This Row],[第四個配息月]]),庫存管理[[#This Row],[單次配息]],"")),"")</f>
        <v>#N/A</v>
      </c>
      <c r="DR42" s="1298" t="e">
        <f ca="1">IF(DR$5&lt;=庫存管理[[#This Row],[到期日]],IF(庫存管理[[#This Row],[配息頻率]]=12,庫存管理[[#This Row],[單次配息]],IF(OR(DR$4=庫存管理[[#This Row],[第一個配息月]],DR$4=庫存管理[[#This Row],[第二個配息月]],DR$4=庫存管理[[#This Row],[第三個配息月]],DR$4=庫存管理[[#This Row],[第四個配息月]]),庫存管理[[#This Row],[單次配息]],"")),"")</f>
        <v>#N/A</v>
      </c>
      <c r="DS42" s="1298" t="e">
        <f ca="1">IF(DS$5&lt;=庫存管理[[#This Row],[到期日]],IF(庫存管理[[#This Row],[配息頻率]]=12,庫存管理[[#This Row],[單次配息]],IF(OR(DS$4=庫存管理[[#This Row],[第一個配息月]],DS$4=庫存管理[[#This Row],[第二個配息月]],DS$4=庫存管理[[#This Row],[第三個配息月]],DS$4=庫存管理[[#This Row],[第四個配息月]]),庫存管理[[#This Row],[單次配息]],"")),"")</f>
        <v>#N/A</v>
      </c>
      <c r="DT42" s="1298" t="e">
        <f ca="1">IF(DT$5&lt;=庫存管理[[#This Row],[到期日]],IF(庫存管理[[#This Row],[配息頻率]]=12,庫存管理[[#This Row],[單次配息]],IF(OR(DT$4=庫存管理[[#This Row],[第一個配息月]],DT$4=庫存管理[[#This Row],[第二個配息月]],DT$4=庫存管理[[#This Row],[第三個配息月]],DT$4=庫存管理[[#This Row],[第四個配息月]]),庫存管理[[#This Row],[單次配息]],"")),"")</f>
        <v>#N/A</v>
      </c>
      <c r="DU42" s="1298" t="e">
        <f ca="1">IF(DU$5&lt;=庫存管理[[#This Row],[到期日]],IF(庫存管理[[#This Row],[配息頻率]]=12,庫存管理[[#This Row],[單次配息]],IF(OR(DU$4=庫存管理[[#This Row],[第一個配息月]],DU$4=庫存管理[[#This Row],[第二個配息月]],DU$4=庫存管理[[#This Row],[第三個配息月]],DU$4=庫存管理[[#This Row],[第四個配息月]]),庫存管理[[#This Row],[單次配息]],"")),"")</f>
        <v>#N/A</v>
      </c>
      <c r="DV42" s="1298" t="e">
        <f ca="1">IF(DV$5&lt;=庫存管理[[#This Row],[到期日]],IF(庫存管理[[#This Row],[配息頻率]]=12,庫存管理[[#This Row],[單次配息]],IF(OR(DV$4=庫存管理[[#This Row],[第一個配息月]],DV$4=庫存管理[[#This Row],[第二個配息月]],DV$4=庫存管理[[#This Row],[第三個配息月]],DV$4=庫存管理[[#This Row],[第四個配息月]]),庫存管理[[#This Row],[單次配息]],"")),"")</f>
        <v>#N/A</v>
      </c>
      <c r="DW42" s="1298" t="e">
        <f ca="1">IF(DW$5&lt;=庫存管理[[#This Row],[到期日]],IF(庫存管理[[#This Row],[配息頻率]]=12,庫存管理[[#This Row],[單次配息]],IF(OR(DW$4=庫存管理[[#This Row],[第一個配息月]],DW$4=庫存管理[[#This Row],[第二個配息月]],DW$4=庫存管理[[#This Row],[第三個配息月]],DW$4=庫存管理[[#This Row],[第四個配息月]]),庫存管理[[#This Row],[單次配息]],"")),"")</f>
        <v>#N/A</v>
      </c>
      <c r="DX42" s="1298" t="e">
        <f ca="1">IF(DX$5&lt;=庫存管理[[#This Row],[到期日]],IF(庫存管理[[#This Row],[配息頻率]]=12,庫存管理[[#This Row],[單次配息]],IF(OR(DX$4=庫存管理[[#This Row],[第一個配息月]],DX$4=庫存管理[[#This Row],[第二個配息月]],DX$4=庫存管理[[#This Row],[第三個配息月]],DX$4=庫存管理[[#This Row],[第四個配息月]]),庫存管理[[#This Row],[單次配息]],"")),"")</f>
        <v>#N/A</v>
      </c>
      <c r="DY42" s="1298" t="e">
        <f ca="1">IF(DY$5&lt;=庫存管理[[#This Row],[到期日]],IF(庫存管理[[#This Row],[配息頻率]]=12,庫存管理[[#This Row],[單次配息]],IF(OR(DY$4=庫存管理[[#This Row],[第一個配息月]],DY$4=庫存管理[[#This Row],[第二個配息月]],DY$4=庫存管理[[#This Row],[第三個配息月]],DY$4=庫存管理[[#This Row],[第四個配息月]]),庫存管理[[#This Row],[單次配息]],"")),"")</f>
        <v>#N/A</v>
      </c>
      <c r="DZ42" s="1298" t="e">
        <f ca="1">IF(DZ$5&lt;=庫存管理[[#This Row],[到期日]],IF(庫存管理[[#This Row],[配息頻率]]=12,庫存管理[[#This Row],[單次配息]],IF(OR(DZ$4=庫存管理[[#This Row],[第一個配息月]],DZ$4=庫存管理[[#This Row],[第二個配息月]],DZ$4=庫存管理[[#This Row],[第三個配息月]],DZ$4=庫存管理[[#This Row],[第四個配息月]]),庫存管理[[#This Row],[單次配息]],"")),"")</f>
        <v>#N/A</v>
      </c>
      <c r="EA42" s="1298" t="e">
        <f ca="1">IF(EA$5&lt;=庫存管理[[#This Row],[到期日]],IF(庫存管理[[#This Row],[配息頻率]]=12,庫存管理[[#This Row],[單次配息]],IF(OR(EA$4=庫存管理[[#This Row],[第一個配息月]],EA$4=庫存管理[[#This Row],[第二個配息月]],EA$4=庫存管理[[#This Row],[第三個配息月]],EA$4=庫存管理[[#This Row],[第四個配息月]]),庫存管理[[#This Row],[單次配息]],"")),"")</f>
        <v>#N/A</v>
      </c>
      <c r="EB42" s="1298" t="e">
        <f ca="1">IF(EB$5&lt;=庫存管理[[#This Row],[到期日]],IF(庫存管理[[#This Row],[配息頻率]]=12,庫存管理[[#This Row],[單次配息]],IF(OR(EB$4=庫存管理[[#This Row],[第一個配息月]],EB$4=庫存管理[[#This Row],[第二個配息月]],EB$4=庫存管理[[#This Row],[第三個配息月]],EB$4=庫存管理[[#This Row],[第四個配息月]]),庫存管理[[#This Row],[單次配息]],"")),"")</f>
        <v>#N/A</v>
      </c>
    </row>
    <row r="43" spans="1:132" ht="19.5" customHeight="1">
      <c r="A43" s="459" t="s">
        <v>2178</v>
      </c>
      <c r="B43" s="495" t="s">
        <v>532</v>
      </c>
      <c r="C43" s="12">
        <v>7</v>
      </c>
      <c r="D43" s="12">
        <f>庫存管理!G18</f>
        <v>33.7042</v>
      </c>
      <c r="E43" s="12">
        <f>庫存管理!H18</f>
        <v>34.927900000000001</v>
      </c>
      <c r="H43" s="1703"/>
      <c r="I43" s="428"/>
      <c r="J43" s="429"/>
      <c r="K43" s="429"/>
      <c r="L43" s="430"/>
      <c r="M43" s="431"/>
      <c r="N43" s="432"/>
      <c r="O43" s="433"/>
      <c r="P43" s="433"/>
      <c r="Q43" s="434"/>
      <c r="R43" s="440"/>
      <c r="S43" s="570"/>
      <c r="T43" s="570"/>
      <c r="U43" s="570"/>
      <c r="V43" s="782"/>
      <c r="W43" s="783"/>
      <c r="X43" s="783"/>
      <c r="Y43" s="464"/>
      <c r="Z43" s="464"/>
      <c r="AA43" s="465"/>
      <c r="AB43" s="474"/>
      <c r="AC43" s="462"/>
      <c r="AD43" s="618"/>
      <c r="AE43" s="462"/>
      <c r="AF43" s="1"/>
      <c r="AG43" s="466"/>
      <c r="AH43" s="440"/>
      <c r="AI43" s="577"/>
      <c r="AJ43" s="578"/>
      <c r="AK43" s="579"/>
      <c r="AL43" s="579"/>
      <c r="AM43" s="580"/>
      <c r="AN43" s="440"/>
      <c r="AO43" s="1064"/>
      <c r="AP43" s="1075"/>
      <c r="AQ43" s="1064"/>
      <c r="AR43" s="1063"/>
      <c r="AS43" s="1064"/>
      <c r="AT43" s="581"/>
      <c r="AU43" s="582"/>
      <c r="AV43" s="583"/>
      <c r="AW43" s="584"/>
      <c r="AX43" s="434"/>
      <c r="AY43" s="434"/>
      <c r="AZ43" s="434"/>
      <c r="BA43" s="434"/>
      <c r="BB43" s="441"/>
      <c r="BC43" s="441"/>
      <c r="BD43" s="444"/>
      <c r="BE43" s="441"/>
      <c r="BF43" s="441"/>
      <c r="BG43" s="441"/>
      <c r="BH43" s="441"/>
      <c r="BI43" s="441"/>
      <c r="BJ43" s="445"/>
      <c r="BK43" s="445"/>
      <c r="BL43" s="445"/>
      <c r="BM43" s="445"/>
      <c r="BN43" s="455"/>
      <c r="BO43" s="479"/>
      <c r="BP43" s="479"/>
      <c r="BQ43" s="479"/>
      <c r="BR43" s="479"/>
      <c r="BS43" s="500"/>
      <c r="BT43" s="500"/>
      <c r="BU43" s="1555"/>
      <c r="BV43" s="1555"/>
      <c r="BW43" s="1555"/>
      <c r="BX43" s="1555"/>
      <c r="BY43" s="1555"/>
      <c r="BZ43" s="1555"/>
      <c r="CA43" s="1555"/>
      <c r="CB43" s="1555"/>
      <c r="CC43" s="574"/>
      <c r="CD43" s="574"/>
      <c r="CE43" s="574"/>
      <c r="CF43" s="574"/>
      <c r="CG43" s="585"/>
      <c r="CH43" s="574"/>
      <c r="CI43" s="619"/>
      <c r="CJ43" s="646"/>
      <c r="CK43" s="734"/>
      <c r="CL43" s="734"/>
      <c r="CM43" s="734"/>
      <c r="CN43" s="735"/>
      <c r="CO43" s="735"/>
      <c r="CP43" s="735"/>
      <c r="CQ43" s="734"/>
      <c r="CR43" s="735"/>
      <c r="CS43" s="735"/>
      <c r="CT43" s="734"/>
      <c r="CU43" s="735"/>
      <c r="CV43" s="735"/>
      <c r="CW43" s="735"/>
      <c r="CX43" s="735"/>
      <c r="CY43" s="767"/>
      <c r="CZ43" s="767"/>
      <c r="DA43" s="767"/>
      <c r="DB43" s="767"/>
      <c r="DC43" s="767"/>
      <c r="DD43" s="767"/>
      <c r="DE43" s="739"/>
      <c r="DF43" s="646"/>
      <c r="DG43" s="793"/>
      <c r="DH43" s="784"/>
      <c r="DI43" s="734"/>
      <c r="DJ43" s="1081"/>
      <c r="DK43" s="1067"/>
      <c r="DL43" s="735"/>
      <c r="DM43" s="735"/>
      <c r="DN43" s="1188"/>
      <c r="DO43" s="735"/>
      <c r="DP43" s="1298"/>
      <c r="DQ43" s="1298"/>
      <c r="DR43" s="1298"/>
      <c r="DS43" s="1298"/>
      <c r="DT43" s="1298"/>
      <c r="DU43" s="1298"/>
      <c r="DV43" s="1298"/>
      <c r="DW43" s="1298"/>
      <c r="DX43" s="1298"/>
      <c r="DY43" s="1298"/>
      <c r="DZ43" s="1298"/>
      <c r="EA43" s="1298"/>
      <c r="EB43" s="1298"/>
    </row>
    <row r="44" spans="1:132" ht="19.5" customHeight="1">
      <c r="B44" s="684" t="s">
        <v>2189</v>
      </c>
      <c r="H44" s="1703"/>
      <c r="I44" s="428"/>
      <c r="J44" s="429"/>
      <c r="K44" s="429"/>
      <c r="L44" s="430"/>
      <c r="M44" s="431"/>
      <c r="N44" s="432"/>
      <c r="O44" s="433"/>
      <c r="P44" s="433"/>
      <c r="Q44" s="434"/>
      <c r="R44" s="440"/>
      <c r="S44" s="570"/>
      <c r="T44" s="570"/>
      <c r="U44" s="570"/>
      <c r="V44" s="782"/>
      <c r="W44" s="783"/>
      <c r="X44" s="783"/>
      <c r="Y44" s="464"/>
      <c r="Z44" s="464"/>
      <c r="AA44" s="465"/>
      <c r="AB44" s="474"/>
      <c r="AC44" s="462"/>
      <c r="AD44" s="618"/>
      <c r="AE44" s="462"/>
      <c r="AF44" s="1"/>
      <c r="AG44" s="466"/>
      <c r="AH44" s="440"/>
      <c r="AI44" s="577"/>
      <c r="AJ44" s="578"/>
      <c r="AK44" s="579"/>
      <c r="AL44" s="579"/>
      <c r="AM44" s="580"/>
      <c r="AN44" s="440"/>
      <c r="AO44" s="1064"/>
      <c r="AP44" s="1075"/>
      <c r="AQ44" s="1064"/>
      <c r="AR44" s="1063"/>
      <c r="AS44" s="1064"/>
      <c r="AT44" s="581"/>
      <c r="AU44" s="582"/>
      <c r="AV44" s="583"/>
      <c r="AW44" s="584"/>
      <c r="AX44" s="434"/>
      <c r="AY44" s="434"/>
      <c r="AZ44" s="434"/>
      <c r="BA44" s="434"/>
      <c r="BB44" s="441"/>
      <c r="BC44" s="441"/>
      <c r="BD44" s="444"/>
      <c r="BE44" s="441"/>
      <c r="BF44" s="441"/>
      <c r="BG44" s="441"/>
      <c r="BH44" s="441"/>
      <c r="BI44" s="441"/>
      <c r="BJ44" s="445"/>
      <c r="BK44" s="445"/>
      <c r="BL44" s="445"/>
      <c r="BM44" s="445"/>
      <c r="BN44" s="455"/>
      <c r="BO44" s="479"/>
      <c r="BP44" s="479"/>
      <c r="BQ44" s="479"/>
      <c r="BR44" s="479"/>
      <c r="BS44" s="500"/>
      <c r="BT44" s="500"/>
      <c r="BU44" s="1555"/>
      <c r="BV44" s="1555"/>
      <c r="BW44" s="1555"/>
      <c r="BX44" s="1555"/>
      <c r="BY44" s="1555"/>
      <c r="BZ44" s="1555"/>
      <c r="CA44" s="1555"/>
      <c r="CB44" s="1555"/>
      <c r="CC44" s="574"/>
      <c r="CD44" s="574"/>
      <c r="CE44" s="574"/>
      <c r="CF44" s="574"/>
      <c r="CG44" s="585"/>
      <c r="CH44" s="574"/>
      <c r="CI44" s="619"/>
      <c r="CJ44" s="646"/>
      <c r="CK44" s="734"/>
      <c r="CL44" s="734"/>
      <c r="CM44" s="734"/>
      <c r="CN44" s="735"/>
      <c r="CO44" s="735"/>
      <c r="CP44" s="735"/>
      <c r="CQ44" s="734"/>
      <c r="CR44" s="735"/>
      <c r="CS44" s="735"/>
      <c r="CT44" s="734"/>
      <c r="CU44" s="735"/>
      <c r="CV44" s="735"/>
      <c r="CW44" s="735"/>
      <c r="CX44" s="735"/>
      <c r="CY44" s="767"/>
      <c r="CZ44" s="767"/>
      <c r="DA44" s="767"/>
      <c r="DB44" s="767"/>
      <c r="DC44" s="767"/>
      <c r="DD44" s="767"/>
      <c r="DE44" s="739"/>
      <c r="DF44" s="646"/>
      <c r="DG44" s="793"/>
      <c r="DH44" s="784"/>
      <c r="DI44" s="734"/>
      <c r="DJ44" s="1081"/>
      <c r="DK44" s="1067"/>
      <c r="DL44" s="735"/>
      <c r="DM44" s="735"/>
      <c r="DN44" s="1188"/>
      <c r="DO44" s="735"/>
      <c r="DP44" s="1298"/>
      <c r="DQ44" s="1298"/>
      <c r="DR44" s="1298"/>
      <c r="DS44" s="1298"/>
      <c r="DT44" s="1298"/>
      <c r="DU44" s="1298"/>
      <c r="DV44" s="1298"/>
      <c r="DW44" s="1298"/>
      <c r="DX44" s="1298"/>
      <c r="DY44" s="1298"/>
      <c r="DZ44" s="1298"/>
      <c r="EA44" s="1298"/>
      <c r="EB44" s="1298"/>
    </row>
    <row r="45" spans="1:132" ht="19.5" customHeight="1">
      <c r="H45" s="1703"/>
      <c r="I45" s="428"/>
      <c r="J45" s="429"/>
      <c r="K45" s="429"/>
      <c r="L45" s="430"/>
      <c r="M45" s="431"/>
      <c r="N45" s="432"/>
      <c r="O45" s="433"/>
      <c r="P45" s="433"/>
      <c r="Q45" s="434"/>
      <c r="R45" s="440"/>
      <c r="S45" s="570"/>
      <c r="T45" s="570"/>
      <c r="U45" s="570"/>
      <c r="V45" s="782"/>
      <c r="W45" s="783"/>
      <c r="X45" s="783"/>
      <c r="Y45" s="464"/>
      <c r="Z45" s="464"/>
      <c r="AA45" s="465"/>
      <c r="AB45" s="474"/>
      <c r="AC45" s="462"/>
      <c r="AD45" s="618"/>
      <c r="AE45" s="462"/>
      <c r="AF45" s="1"/>
      <c r="AG45" s="466"/>
      <c r="AH45" s="440"/>
      <c r="AI45" s="577"/>
      <c r="AJ45" s="578"/>
      <c r="AK45" s="579"/>
      <c r="AL45" s="579"/>
      <c r="AM45" s="580"/>
      <c r="AN45" s="440"/>
      <c r="AO45" s="1064"/>
      <c r="AP45" s="1075"/>
      <c r="AQ45" s="1064"/>
      <c r="AR45" s="1063"/>
      <c r="AS45" s="1064"/>
      <c r="AT45" s="581"/>
      <c r="AU45" s="582"/>
      <c r="AV45" s="583"/>
      <c r="AW45" s="584"/>
      <c r="AX45" s="434"/>
      <c r="AY45" s="434"/>
      <c r="AZ45" s="434"/>
      <c r="BA45" s="434"/>
      <c r="BB45" s="441"/>
      <c r="BC45" s="441"/>
      <c r="BD45" s="444"/>
      <c r="BE45" s="441"/>
      <c r="BF45" s="441"/>
      <c r="BG45" s="441"/>
      <c r="BH45" s="441"/>
      <c r="BI45" s="441"/>
      <c r="BJ45" s="445"/>
      <c r="BK45" s="445"/>
      <c r="BL45" s="445"/>
      <c r="BM45" s="445"/>
      <c r="BN45" s="455"/>
      <c r="BO45" s="479"/>
      <c r="BP45" s="479"/>
      <c r="BQ45" s="479"/>
      <c r="BR45" s="479"/>
      <c r="BS45" s="500"/>
      <c r="BT45" s="500"/>
      <c r="BU45" s="1555"/>
      <c r="BV45" s="1555"/>
      <c r="BW45" s="1555"/>
      <c r="BX45" s="1555"/>
      <c r="BY45" s="1555"/>
      <c r="BZ45" s="1555"/>
      <c r="CA45" s="1555"/>
      <c r="CB45" s="1555"/>
      <c r="CC45" s="574"/>
      <c r="CD45" s="574"/>
      <c r="CE45" s="574"/>
      <c r="CF45" s="574"/>
      <c r="CG45" s="585"/>
      <c r="CH45" s="574"/>
      <c r="CI45" s="619"/>
      <c r="CJ45" s="646"/>
      <c r="CK45" s="734"/>
      <c r="CL45" s="734"/>
      <c r="CM45" s="734"/>
      <c r="CN45" s="735"/>
      <c r="CO45" s="735"/>
      <c r="CP45" s="735"/>
      <c r="CQ45" s="734"/>
      <c r="CR45" s="735"/>
      <c r="CS45" s="735"/>
      <c r="CT45" s="734"/>
      <c r="CU45" s="735"/>
      <c r="CV45" s="735"/>
      <c r="CW45" s="735"/>
      <c r="CX45" s="735"/>
      <c r="CY45" s="767"/>
      <c r="CZ45" s="767"/>
      <c r="DA45" s="767"/>
      <c r="DB45" s="767"/>
      <c r="DC45" s="767"/>
      <c r="DD45" s="767"/>
      <c r="DE45" s="739"/>
      <c r="DF45" s="646"/>
      <c r="DG45" s="793"/>
      <c r="DH45" s="784"/>
      <c r="DI45" s="734"/>
      <c r="DJ45" s="1081"/>
      <c r="DK45" s="1067"/>
      <c r="DL45" s="735"/>
      <c r="DM45" s="735"/>
      <c r="DN45" s="1188"/>
      <c r="DO45" s="735"/>
      <c r="DP45" s="1298"/>
      <c r="DQ45" s="1298"/>
      <c r="DR45" s="1298"/>
      <c r="DS45" s="1298"/>
      <c r="DT45" s="1298"/>
      <c r="DU45" s="1298"/>
      <c r="DV45" s="1298"/>
      <c r="DW45" s="1298"/>
      <c r="DX45" s="1298"/>
      <c r="DY45" s="1298"/>
      <c r="DZ45" s="1298"/>
      <c r="EA45" s="1298"/>
      <c r="EB45" s="1298"/>
    </row>
    <row r="46" spans="1:132" ht="19.5" customHeight="1">
      <c r="H46" s="1703"/>
      <c r="I46" s="428"/>
      <c r="J46" s="429"/>
      <c r="K46" s="429"/>
      <c r="L46" s="430"/>
      <c r="M46" s="431"/>
      <c r="N46" s="432"/>
      <c r="O46" s="433"/>
      <c r="P46" s="433"/>
      <c r="Q46" s="434"/>
      <c r="R46" s="440"/>
      <c r="S46" s="570"/>
      <c r="T46" s="570"/>
      <c r="U46" s="570"/>
      <c r="V46" s="782"/>
      <c r="W46" s="783"/>
      <c r="X46" s="783"/>
      <c r="Y46" s="464"/>
      <c r="Z46" s="464"/>
      <c r="AA46" s="465"/>
      <c r="AB46" s="474"/>
      <c r="AC46" s="462"/>
      <c r="AD46" s="618"/>
      <c r="AE46" s="462"/>
      <c r="AF46" s="1"/>
      <c r="AG46" s="466"/>
      <c r="AH46" s="440"/>
      <c r="AI46" s="577"/>
      <c r="AJ46" s="578"/>
      <c r="AK46" s="579"/>
      <c r="AL46" s="579"/>
      <c r="AM46" s="580"/>
      <c r="AN46" s="440"/>
      <c r="AO46" s="1064"/>
      <c r="AP46" s="1075"/>
      <c r="AQ46" s="1064"/>
      <c r="AR46" s="1063"/>
      <c r="AS46" s="1064"/>
      <c r="AT46" s="581"/>
      <c r="AU46" s="582"/>
      <c r="AV46" s="583"/>
      <c r="AW46" s="584"/>
      <c r="AX46" s="434"/>
      <c r="AY46" s="434"/>
      <c r="AZ46" s="434"/>
      <c r="BA46" s="434"/>
      <c r="BB46" s="441"/>
      <c r="BC46" s="441"/>
      <c r="BD46" s="444"/>
      <c r="BE46" s="441"/>
      <c r="BF46" s="441"/>
      <c r="BG46" s="441"/>
      <c r="BH46" s="441"/>
      <c r="BI46" s="441"/>
      <c r="BJ46" s="445"/>
      <c r="BK46" s="445"/>
      <c r="BL46" s="445"/>
      <c r="BM46" s="445"/>
      <c r="BN46" s="455"/>
      <c r="BO46" s="479"/>
      <c r="BP46" s="479"/>
      <c r="BQ46" s="479"/>
      <c r="BR46" s="479"/>
      <c r="BS46" s="500"/>
      <c r="BT46" s="500"/>
      <c r="BU46" s="1555"/>
      <c r="BV46" s="1555"/>
      <c r="BW46" s="1555"/>
      <c r="BX46" s="1555"/>
      <c r="BY46" s="1555"/>
      <c r="BZ46" s="1555"/>
      <c r="CA46" s="1555"/>
      <c r="CB46" s="1555"/>
      <c r="CC46" s="574"/>
      <c r="CD46" s="574"/>
      <c r="CE46" s="574"/>
      <c r="CF46" s="574"/>
      <c r="CG46" s="585"/>
      <c r="CH46" s="574"/>
      <c r="CI46" s="619"/>
      <c r="CJ46" s="646"/>
      <c r="CK46" s="734"/>
      <c r="CL46" s="734"/>
      <c r="CM46" s="734"/>
      <c r="CN46" s="735"/>
      <c r="CO46" s="735"/>
      <c r="CP46" s="735"/>
      <c r="CQ46" s="734"/>
      <c r="CR46" s="735"/>
      <c r="CS46" s="735"/>
      <c r="CT46" s="734"/>
      <c r="CU46" s="735"/>
      <c r="CV46" s="735"/>
      <c r="CW46" s="735"/>
      <c r="CX46" s="735"/>
      <c r="CY46" s="767"/>
      <c r="CZ46" s="767"/>
      <c r="DA46" s="767"/>
      <c r="DB46" s="767"/>
      <c r="DC46" s="767"/>
      <c r="DD46" s="767"/>
      <c r="DE46" s="739"/>
      <c r="DF46" s="646"/>
      <c r="DG46" s="793"/>
      <c r="DH46" s="784"/>
      <c r="DI46" s="734"/>
      <c r="DJ46" s="1081"/>
      <c r="DK46" s="1067"/>
      <c r="DL46" s="735"/>
      <c r="DM46" s="735"/>
      <c r="DN46" s="1188"/>
      <c r="DO46" s="735"/>
      <c r="DP46" s="1298"/>
      <c r="DQ46" s="1298"/>
      <c r="DR46" s="1298"/>
      <c r="DS46" s="1298"/>
      <c r="DT46" s="1298"/>
      <c r="DU46" s="1298"/>
      <c r="DV46" s="1298"/>
      <c r="DW46" s="1298"/>
      <c r="DX46" s="1298"/>
      <c r="DY46" s="1298"/>
      <c r="DZ46" s="1298"/>
      <c r="EA46" s="1298"/>
      <c r="EB46" s="1298"/>
    </row>
    <row r="47" spans="1:132" ht="19.5" customHeight="1">
      <c r="B47" s="459" t="s">
        <v>2024</v>
      </c>
      <c r="H47" s="1703"/>
      <c r="I47" s="428"/>
      <c r="J47" s="429"/>
      <c r="K47" s="429"/>
      <c r="L47" s="430"/>
      <c r="M47" s="431"/>
      <c r="N47" s="432"/>
      <c r="O47" s="433"/>
      <c r="P47" s="433"/>
      <c r="Q47" s="434"/>
      <c r="R47" s="440"/>
      <c r="S47" s="570"/>
      <c r="T47" s="570"/>
      <c r="U47" s="570"/>
      <c r="V47" s="782"/>
      <c r="W47" s="783"/>
      <c r="X47" s="783"/>
      <c r="Y47" s="464"/>
      <c r="Z47" s="464"/>
      <c r="AA47" s="465"/>
      <c r="AB47" s="474"/>
      <c r="AC47" s="462"/>
      <c r="AD47" s="618"/>
      <c r="AE47" s="462"/>
      <c r="AF47" s="1"/>
      <c r="AG47" s="466"/>
      <c r="AH47" s="440"/>
      <c r="AI47" s="577"/>
      <c r="AJ47" s="578"/>
      <c r="AK47" s="579"/>
      <c r="AL47" s="579"/>
      <c r="AM47" s="580"/>
      <c r="AN47" s="440"/>
      <c r="AO47" s="1064"/>
      <c r="AP47" s="1075"/>
      <c r="AQ47" s="1064"/>
      <c r="AR47" s="1063"/>
      <c r="AS47" s="1064"/>
      <c r="AT47" s="581"/>
      <c r="AU47" s="582"/>
      <c r="AV47" s="583"/>
      <c r="AW47" s="584"/>
      <c r="AX47" s="434"/>
      <c r="AY47" s="434"/>
      <c r="AZ47" s="434"/>
      <c r="BA47" s="434"/>
      <c r="BB47" s="441"/>
      <c r="BC47" s="441"/>
      <c r="BD47" s="444"/>
      <c r="BE47" s="441"/>
      <c r="BF47" s="441"/>
      <c r="BG47" s="441"/>
      <c r="BH47" s="441"/>
      <c r="BI47" s="441"/>
      <c r="BJ47" s="445"/>
      <c r="BK47" s="445"/>
      <c r="BL47" s="445"/>
      <c r="BM47" s="445"/>
      <c r="BN47" s="455"/>
      <c r="BO47" s="479"/>
      <c r="BP47" s="479"/>
      <c r="BQ47" s="479"/>
      <c r="BR47" s="479"/>
      <c r="BS47" s="500"/>
      <c r="BT47" s="500"/>
      <c r="BU47" s="1555"/>
      <c r="BV47" s="1555"/>
      <c r="BW47" s="1555"/>
      <c r="BX47" s="1555"/>
      <c r="BY47" s="1555"/>
      <c r="BZ47" s="1555"/>
      <c r="CA47" s="1555"/>
      <c r="CB47" s="1555"/>
      <c r="CC47" s="574"/>
      <c r="CD47" s="574"/>
      <c r="CE47" s="574"/>
      <c r="CF47" s="574"/>
      <c r="CG47" s="585"/>
      <c r="CH47" s="574"/>
      <c r="CI47" s="619"/>
      <c r="CJ47" s="646"/>
      <c r="CK47" s="734"/>
      <c r="CL47" s="734"/>
      <c r="CM47" s="734"/>
      <c r="CN47" s="735"/>
      <c r="CO47" s="735"/>
      <c r="CP47" s="735"/>
      <c r="CQ47" s="734"/>
      <c r="CR47" s="735"/>
      <c r="CS47" s="735"/>
      <c r="CT47" s="734"/>
      <c r="CU47" s="735"/>
      <c r="CV47" s="735"/>
      <c r="CW47" s="735"/>
      <c r="CX47" s="735"/>
      <c r="CY47" s="767"/>
      <c r="CZ47" s="767"/>
      <c r="DA47" s="767"/>
      <c r="DB47" s="767"/>
      <c r="DC47" s="767"/>
      <c r="DD47" s="767"/>
      <c r="DE47" s="739"/>
      <c r="DF47" s="646"/>
      <c r="DG47" s="793"/>
      <c r="DH47" s="784"/>
      <c r="DI47" s="734"/>
      <c r="DJ47" s="1081"/>
      <c r="DK47" s="1067"/>
      <c r="DL47" s="735"/>
      <c r="DM47" s="735"/>
      <c r="DN47" s="1188"/>
      <c r="DO47" s="735"/>
      <c r="DP47" s="1298"/>
      <c r="DQ47" s="1298"/>
      <c r="DR47" s="1298"/>
      <c r="DS47" s="1298"/>
      <c r="DT47" s="1298"/>
      <c r="DU47" s="1298"/>
      <c r="DV47" s="1298"/>
      <c r="DW47" s="1298"/>
      <c r="DX47" s="1298"/>
      <c r="DY47" s="1298"/>
      <c r="DZ47" s="1298"/>
      <c r="EA47" s="1298"/>
      <c r="EB47" s="1298"/>
    </row>
    <row r="48" spans="1:132" ht="19.5" customHeight="1">
      <c r="B48" s="28" t="s">
        <v>2023</v>
      </c>
      <c r="C48" s="459">
        <v>1</v>
      </c>
      <c r="D48" s="459" t="str">
        <f>IF(C48=1,"產業結構圖","庫存結構圖")</f>
        <v>產業結構圖</v>
      </c>
      <c r="H48" s="917"/>
      <c r="I48" s="428"/>
      <c r="J48" s="429"/>
      <c r="K48" s="429"/>
      <c r="L48" s="430"/>
      <c r="M48" s="431"/>
      <c r="N48" s="432"/>
      <c r="O48" s="433"/>
      <c r="P48" s="433"/>
      <c r="Q48" s="434"/>
      <c r="R48" s="440"/>
      <c r="S48" s="570"/>
      <c r="T48" s="570"/>
      <c r="U48" s="570"/>
      <c r="V48" s="782"/>
      <c r="W48" s="783"/>
      <c r="X48" s="783"/>
      <c r="Y48" s="464"/>
      <c r="Z48" s="464"/>
      <c r="AA48" s="465"/>
      <c r="AB48" s="474"/>
      <c r="AC48" s="462"/>
      <c r="AD48" s="618"/>
      <c r="AE48" s="462"/>
      <c r="AF48" s="1"/>
      <c r="AG48" s="466"/>
      <c r="AH48" s="440"/>
      <c r="AI48" s="577"/>
      <c r="AJ48" s="578"/>
      <c r="AK48" s="579"/>
      <c r="AL48" s="579"/>
      <c r="AM48" s="580"/>
      <c r="AN48" s="440"/>
      <c r="AO48" s="440"/>
      <c r="AP48" s="440"/>
      <c r="AQ48" s="440"/>
      <c r="AR48" s="440"/>
      <c r="AS48" s="440"/>
      <c r="AT48" s="581"/>
      <c r="AU48" s="582"/>
      <c r="AV48" s="583"/>
      <c r="AW48" s="584"/>
      <c r="AX48" s="434"/>
      <c r="AY48" s="434"/>
      <c r="AZ48" s="434"/>
      <c r="BA48" s="434"/>
      <c r="BB48" s="441"/>
      <c r="BC48" s="441"/>
      <c r="BD48" s="444"/>
      <c r="BE48" s="441"/>
      <c r="BF48" s="441"/>
      <c r="BG48" s="441"/>
      <c r="BH48" s="441"/>
      <c r="BI48" s="441"/>
      <c r="BJ48" s="445"/>
      <c r="BK48" s="445"/>
      <c r="BL48" s="445"/>
      <c r="BM48" s="445"/>
      <c r="BN48" s="455"/>
      <c r="BO48" s="479"/>
      <c r="BP48" s="479"/>
      <c r="BQ48" s="479"/>
      <c r="BR48" s="479"/>
      <c r="BS48" s="500"/>
      <c r="BT48" s="500"/>
      <c r="BU48" s="1555"/>
      <c r="BV48" s="1555"/>
      <c r="BW48" s="1555"/>
      <c r="BX48" s="1555"/>
      <c r="BY48" s="1555"/>
      <c r="BZ48" s="1555"/>
      <c r="CA48" s="1555"/>
      <c r="CB48" s="1555"/>
      <c r="CC48" s="574"/>
      <c r="CD48" s="574"/>
      <c r="CE48" s="574"/>
      <c r="CF48" s="574"/>
      <c r="CG48" s="585"/>
      <c r="CH48" s="574"/>
      <c r="CI48" s="619"/>
      <c r="CJ48" s="646"/>
      <c r="CK48" s="762"/>
      <c r="CL48" s="33"/>
      <c r="CM48" s="33"/>
      <c r="CN48" s="33"/>
      <c r="CO48" s="33"/>
      <c r="CP48" s="33"/>
      <c r="CQ48" s="762"/>
      <c r="CR48" s="33"/>
      <c r="CS48" s="33"/>
      <c r="CT48" s="762"/>
      <c r="CU48" s="33"/>
      <c r="CV48" s="33"/>
      <c r="CW48" s="33"/>
      <c r="CX48" s="33"/>
      <c r="CY48" s="33"/>
      <c r="CZ48" s="33"/>
      <c r="DA48" s="33"/>
      <c r="DB48" s="33"/>
      <c r="DC48" s="33"/>
      <c r="DD48" s="33"/>
      <c r="DE48" s="33"/>
      <c r="DF48" s="802"/>
      <c r="DG48" s="33"/>
      <c r="DH48" s="33"/>
      <c r="DI48" s="33"/>
      <c r="DJ48" s="33"/>
      <c r="DK48" s="33"/>
      <c r="DL48" s="33"/>
      <c r="DM48" s="33"/>
      <c r="DN48" s="33"/>
      <c r="DO48" s="33"/>
      <c r="DP48" s="33"/>
      <c r="DQ48" s="33"/>
      <c r="DR48" s="33"/>
      <c r="DS48" s="33"/>
      <c r="DT48" s="33"/>
      <c r="DU48" s="33"/>
      <c r="DV48" s="33"/>
      <c r="DW48" s="33"/>
      <c r="DX48" s="33"/>
      <c r="DY48" s="33"/>
      <c r="DZ48" s="33"/>
      <c r="EA48" s="33"/>
      <c r="EB48" s="33"/>
    </row>
    <row r="49" spans="2:132" ht="19.5" customHeight="1">
      <c r="B49" s="435" t="s">
        <v>1981</v>
      </c>
      <c r="C49" s="435" t="s">
        <v>1982</v>
      </c>
      <c r="D49" s="435" t="s">
        <v>2022</v>
      </c>
      <c r="E49" s="435" t="s">
        <v>2019</v>
      </c>
      <c r="H49" s="917"/>
      <c r="I49" s="428"/>
      <c r="J49" s="429"/>
      <c r="K49" s="429"/>
      <c r="L49" s="430"/>
      <c r="M49" s="431"/>
      <c r="N49" s="432"/>
      <c r="O49" s="433"/>
      <c r="P49" s="433"/>
      <c r="Q49" s="434"/>
      <c r="R49" s="440"/>
      <c r="S49" s="570"/>
      <c r="T49" s="570"/>
      <c r="U49" s="570"/>
      <c r="V49" s="782"/>
      <c r="W49" s="783"/>
      <c r="X49" s="783"/>
      <c r="Y49" s="464"/>
      <c r="Z49" s="464"/>
      <c r="AA49" s="465"/>
      <c r="AB49" s="474"/>
      <c r="AC49" s="462"/>
      <c r="AD49" s="618"/>
      <c r="AE49" s="462"/>
      <c r="AF49" s="1"/>
      <c r="AG49" s="466"/>
      <c r="AH49" s="440"/>
      <c r="AI49" s="577"/>
      <c r="AJ49" s="578"/>
      <c r="AK49" s="579"/>
      <c r="AL49" s="579"/>
      <c r="AM49" s="580"/>
      <c r="AN49" s="440"/>
      <c r="AO49" s="440"/>
      <c r="AP49" s="440"/>
      <c r="AQ49" s="440"/>
      <c r="AR49" s="440"/>
      <c r="AS49" s="440"/>
      <c r="AT49" s="581"/>
      <c r="AU49" s="582"/>
      <c r="AV49" s="583"/>
      <c r="AW49" s="584"/>
      <c r="AX49" s="434"/>
      <c r="AY49" s="434"/>
      <c r="AZ49" s="434"/>
      <c r="BA49" s="434"/>
      <c r="BB49" s="441"/>
      <c r="BC49" s="441"/>
      <c r="BD49" s="444"/>
      <c r="BE49" s="441"/>
      <c r="BF49" s="441"/>
      <c r="BG49" s="441"/>
      <c r="BH49" s="441"/>
      <c r="BI49" s="441"/>
      <c r="BJ49" s="445"/>
      <c r="BK49" s="445"/>
      <c r="BL49" s="445"/>
      <c r="BM49" s="445"/>
      <c r="BN49" s="455"/>
      <c r="BO49" s="479"/>
      <c r="BP49" s="479"/>
      <c r="BQ49" s="479"/>
      <c r="BR49" s="479"/>
      <c r="BS49" s="500"/>
      <c r="BT49" s="500"/>
      <c r="BU49" s="1555"/>
      <c r="BV49" s="1555"/>
      <c r="BW49" s="1555"/>
      <c r="BX49" s="1555"/>
      <c r="BY49" s="1555"/>
      <c r="BZ49" s="1555"/>
      <c r="CA49" s="1555"/>
      <c r="CB49" s="1555"/>
      <c r="CC49" s="574"/>
      <c r="CD49" s="574"/>
      <c r="CE49" s="574"/>
      <c r="CF49" s="574"/>
      <c r="CG49" s="585"/>
      <c r="CH49" s="574"/>
      <c r="CI49" s="619"/>
      <c r="CJ49" s="646"/>
      <c r="CK49" s="762"/>
      <c r="CL49" s="33"/>
      <c r="CM49" s="33"/>
      <c r="CN49" s="33"/>
      <c r="CO49" s="33"/>
      <c r="CP49" s="33"/>
      <c r="CQ49" s="762"/>
      <c r="CR49" s="33"/>
      <c r="CS49" s="33"/>
      <c r="CT49" s="762"/>
      <c r="CU49" s="33"/>
      <c r="CV49" s="33"/>
      <c r="CW49" s="33"/>
      <c r="CX49" s="33"/>
      <c r="CY49" s="33"/>
      <c r="CZ49" s="33"/>
      <c r="DA49" s="33"/>
      <c r="DB49" s="33"/>
      <c r="DC49" s="33"/>
      <c r="DD49" s="33"/>
      <c r="DE49" s="33"/>
      <c r="DF49" s="802"/>
      <c r="DG49" s="33"/>
      <c r="DH49" s="33"/>
      <c r="DI49" s="33"/>
      <c r="DJ49" s="33"/>
      <c r="DK49" s="33"/>
      <c r="DL49" s="33"/>
      <c r="DM49" s="33"/>
      <c r="DN49" s="33"/>
      <c r="DO49" s="33"/>
      <c r="DP49" s="33"/>
      <c r="DQ49" s="33"/>
      <c r="DR49" s="33"/>
      <c r="DS49" s="33"/>
      <c r="DT49" s="33"/>
      <c r="DU49" s="33"/>
      <c r="DV49" s="33"/>
      <c r="DW49" s="33"/>
      <c r="DX49" s="33"/>
      <c r="DY49" s="33"/>
      <c r="DZ49" s="33"/>
      <c r="EA49" s="33"/>
      <c r="EB49" s="33"/>
    </row>
    <row r="50" spans="2:132" ht="19.5" customHeight="1">
      <c r="B50" s="502">
        <v>1</v>
      </c>
      <c r="C50" s="502" t="str">
        <f ca="1">IFERROR(CHOOSE($C$48,C83,C100),"")</f>
        <v>通訊</v>
      </c>
      <c r="D50" s="504">
        <f ca="1">CHOOSE($C$48,D83,D100)</f>
        <v>0.43975903614457834</v>
      </c>
      <c r="E50" s="504">
        <f ca="1">CHOOSE($C$48,E83,E100)</f>
        <v>0.42646778802284135</v>
      </c>
      <c r="H50" s="917"/>
      <c r="I50" s="428"/>
      <c r="J50" s="429"/>
      <c r="K50" s="429"/>
      <c r="L50" s="430"/>
      <c r="M50" s="431"/>
      <c r="N50" s="432"/>
      <c r="O50" s="433"/>
      <c r="P50" s="433"/>
      <c r="Q50" s="434"/>
      <c r="R50" s="440"/>
      <c r="S50" s="570"/>
      <c r="T50" s="570"/>
      <c r="U50" s="570"/>
      <c r="V50" s="782"/>
      <c r="W50" s="783"/>
      <c r="X50" s="783"/>
      <c r="Y50" s="464"/>
      <c r="Z50" s="464"/>
      <c r="AA50" s="465"/>
      <c r="AB50" s="474"/>
      <c r="AC50" s="462"/>
      <c r="AD50" s="618"/>
      <c r="AE50" s="462"/>
      <c r="AF50" s="1"/>
      <c r="AG50" s="466"/>
      <c r="AH50" s="440"/>
      <c r="AI50" s="577"/>
      <c r="AJ50" s="578"/>
      <c r="AK50" s="579"/>
      <c r="AL50" s="579"/>
      <c r="AM50" s="580"/>
      <c r="AN50" s="440"/>
      <c r="AO50" s="440"/>
      <c r="AP50" s="440"/>
      <c r="AQ50" s="440"/>
      <c r="AR50" s="440"/>
      <c r="AS50" s="440"/>
      <c r="AT50" s="581"/>
      <c r="AU50" s="582"/>
      <c r="AV50" s="583"/>
      <c r="AW50" s="584"/>
      <c r="AX50" s="434"/>
      <c r="AY50" s="434"/>
      <c r="AZ50" s="434"/>
      <c r="BA50" s="434"/>
      <c r="BB50" s="441"/>
      <c r="BC50" s="441"/>
      <c r="BD50" s="444"/>
      <c r="BE50" s="441"/>
      <c r="BF50" s="441"/>
      <c r="BG50" s="441"/>
      <c r="BH50" s="441"/>
      <c r="BI50" s="441"/>
      <c r="BJ50" s="445"/>
      <c r="BK50" s="445"/>
      <c r="BL50" s="445"/>
      <c r="BM50" s="445"/>
      <c r="BN50" s="455"/>
      <c r="BO50" s="479"/>
      <c r="BP50" s="479"/>
      <c r="BQ50" s="479"/>
      <c r="BR50" s="479"/>
      <c r="BS50" s="500"/>
      <c r="BT50" s="500"/>
      <c r="BU50" s="1555"/>
      <c r="BV50" s="1555"/>
      <c r="BW50" s="1555"/>
      <c r="BX50" s="1555"/>
      <c r="BY50" s="1555"/>
      <c r="BZ50" s="1555"/>
      <c r="CA50" s="1555"/>
      <c r="CB50" s="1555"/>
      <c r="CC50" s="574"/>
      <c r="CD50" s="574"/>
      <c r="CE50" s="574"/>
      <c r="CF50" s="574"/>
      <c r="CG50" s="585"/>
      <c r="CH50" s="574"/>
      <c r="CI50" s="619"/>
      <c r="CJ50" s="646"/>
    </row>
    <row r="51" spans="2:132" ht="19.5" customHeight="1">
      <c r="B51" s="502">
        <v>2</v>
      </c>
      <c r="C51" s="502" t="str">
        <f t="shared" ref="C51:C61" ca="1" si="46">IFERROR(CHOOSE($C$48,C84,C101),"")</f>
        <v>科技</v>
      </c>
      <c r="D51" s="504">
        <f t="shared" ref="D51:E61" ca="1" si="47">CHOOSE($C$48,D84,D101)</f>
        <v>0.29518072289156627</v>
      </c>
      <c r="E51" s="504">
        <f t="shared" ca="1" si="47"/>
        <v>0.289971515797952</v>
      </c>
      <c r="H51" s="917"/>
      <c r="I51" s="428"/>
      <c r="J51" s="429"/>
      <c r="K51" s="429"/>
      <c r="L51" s="430"/>
      <c r="M51" s="431"/>
      <c r="N51" s="432"/>
      <c r="O51" s="433"/>
      <c r="P51" s="433"/>
      <c r="Q51" s="434"/>
      <c r="R51" s="440"/>
      <c r="S51" s="570"/>
      <c r="T51" s="570"/>
      <c r="U51" s="570"/>
      <c r="V51" s="782"/>
      <c r="W51" s="783"/>
      <c r="X51" s="783"/>
      <c r="Y51" s="464"/>
      <c r="Z51" s="464"/>
      <c r="AA51" s="465"/>
      <c r="AB51" s="474"/>
      <c r="AC51" s="462"/>
      <c r="AD51" s="618"/>
      <c r="AE51" s="462"/>
      <c r="AF51" s="1"/>
      <c r="AG51" s="466"/>
      <c r="AH51" s="440"/>
      <c r="AI51" s="577"/>
      <c r="AJ51" s="578"/>
      <c r="AK51" s="579"/>
      <c r="AL51" s="579"/>
      <c r="AM51" s="580"/>
      <c r="AN51" s="440"/>
      <c r="AO51" s="440"/>
      <c r="AP51" s="440"/>
      <c r="AQ51" s="440"/>
      <c r="AR51" s="440"/>
      <c r="AS51" s="440"/>
      <c r="AT51" s="581"/>
      <c r="AU51" s="582"/>
      <c r="AV51" s="583"/>
      <c r="AW51" s="584"/>
      <c r="AX51" s="434"/>
      <c r="AY51" s="434"/>
      <c r="AZ51" s="434"/>
      <c r="BA51" s="434"/>
      <c r="BB51" s="441"/>
      <c r="BC51" s="441"/>
      <c r="BD51" s="444"/>
      <c r="BE51" s="441"/>
      <c r="BF51" s="441"/>
      <c r="BG51" s="441"/>
      <c r="BH51" s="441"/>
      <c r="BI51" s="441"/>
      <c r="BJ51" s="445"/>
      <c r="BK51" s="445"/>
      <c r="BL51" s="445"/>
      <c r="BM51" s="445"/>
      <c r="BN51" s="455"/>
      <c r="BO51" s="479"/>
      <c r="BP51" s="479"/>
      <c r="BQ51" s="479"/>
      <c r="BR51" s="479"/>
      <c r="BS51" s="500"/>
      <c r="BT51" s="500"/>
      <c r="BU51" s="1555"/>
      <c r="BV51" s="1555"/>
      <c r="BW51" s="1555"/>
      <c r="BX51" s="1555"/>
      <c r="BY51" s="1555"/>
      <c r="BZ51" s="1555"/>
      <c r="CA51" s="1555"/>
      <c r="CB51" s="1555"/>
      <c r="CC51" s="574"/>
      <c r="CD51" s="574"/>
      <c r="CE51" s="574"/>
      <c r="CF51" s="574"/>
      <c r="CG51" s="585"/>
      <c r="CH51" s="574"/>
      <c r="CI51" s="619"/>
      <c r="CJ51" s="646"/>
    </row>
    <row r="52" spans="2:132" ht="19.5" customHeight="1">
      <c r="B52" s="502">
        <v>3</v>
      </c>
      <c r="C52" s="502" t="str">
        <f t="shared" ca="1" si="46"/>
        <v>醫療保健</v>
      </c>
      <c r="D52" s="504">
        <f t="shared" ca="1" si="47"/>
        <v>0.26506024096385544</v>
      </c>
      <c r="E52" s="504">
        <f t="shared" ca="1" si="47"/>
        <v>0.28356069617920665</v>
      </c>
      <c r="H52" s="917"/>
      <c r="I52" s="428"/>
      <c r="J52" s="429"/>
      <c r="K52" s="429"/>
      <c r="L52" s="430"/>
      <c r="M52" s="431"/>
      <c r="N52" s="432"/>
      <c r="O52" s="433"/>
      <c r="P52" s="433"/>
      <c r="Q52" s="434"/>
      <c r="R52" s="440"/>
      <c r="S52" s="570"/>
      <c r="T52" s="570"/>
      <c r="U52" s="570"/>
      <c r="V52" s="782"/>
      <c r="W52" s="783"/>
      <c r="X52" s="783"/>
      <c r="Y52" s="464"/>
      <c r="Z52" s="464"/>
      <c r="AA52" s="465"/>
      <c r="AB52" s="474"/>
      <c r="AC52" s="462"/>
      <c r="AD52" s="618"/>
      <c r="AE52" s="462"/>
      <c r="AF52" s="1"/>
      <c r="AG52" s="466"/>
      <c r="AH52" s="440"/>
      <c r="AI52" s="577"/>
      <c r="AJ52" s="578"/>
      <c r="AK52" s="579"/>
      <c r="AL52" s="579"/>
      <c r="AM52" s="580"/>
      <c r="AN52" s="440"/>
      <c r="AO52" s="440"/>
      <c r="AP52" s="440"/>
      <c r="AQ52" s="440"/>
      <c r="AR52" s="440"/>
      <c r="AS52" s="440"/>
      <c r="AT52" s="581"/>
      <c r="AU52" s="582"/>
      <c r="AV52" s="583"/>
      <c r="AW52" s="584"/>
      <c r="AX52" s="434"/>
      <c r="AY52" s="434"/>
      <c r="AZ52" s="434"/>
      <c r="BA52" s="434"/>
      <c r="BB52" s="441"/>
      <c r="BC52" s="441"/>
      <c r="BD52" s="444"/>
      <c r="BE52" s="441"/>
      <c r="BF52" s="441"/>
      <c r="BG52" s="441"/>
      <c r="BH52" s="441"/>
      <c r="BI52" s="441"/>
      <c r="BJ52" s="445"/>
      <c r="BK52" s="445"/>
      <c r="BL52" s="445"/>
      <c r="BM52" s="445"/>
      <c r="BN52" s="455"/>
      <c r="BO52" s="479"/>
      <c r="BP52" s="479"/>
      <c r="BQ52" s="479"/>
      <c r="BR52" s="479"/>
      <c r="BS52" s="500"/>
      <c r="BT52" s="500"/>
      <c r="BU52" s="1555"/>
      <c r="BV52" s="1555"/>
      <c r="BW52" s="1555"/>
      <c r="BX52" s="1555"/>
      <c r="BY52" s="1555"/>
      <c r="BZ52" s="1555"/>
      <c r="CA52" s="1555"/>
      <c r="CB52" s="1555"/>
      <c r="CC52" s="574"/>
      <c r="CD52" s="574"/>
      <c r="CE52" s="574"/>
      <c r="CF52" s="574"/>
      <c r="CG52" s="585"/>
      <c r="CH52" s="574"/>
      <c r="CI52" s="619"/>
      <c r="CJ52" s="646"/>
    </row>
    <row r="53" spans="2:132" ht="19.5" customHeight="1">
      <c r="B53" s="502">
        <v>4</v>
      </c>
      <c r="C53" s="502" t="str">
        <f t="shared" ca="1" si="46"/>
        <v/>
      </c>
      <c r="D53" s="504" t="e">
        <f t="shared" ca="1" si="47"/>
        <v>#N/A</v>
      </c>
      <c r="E53" s="504" t="e">
        <f t="shared" ca="1" si="47"/>
        <v>#N/A</v>
      </c>
      <c r="H53" s="917"/>
      <c r="I53" s="428"/>
      <c r="J53" s="429"/>
      <c r="K53" s="429"/>
      <c r="L53" s="430"/>
      <c r="M53" s="431"/>
      <c r="N53" s="432"/>
      <c r="O53" s="433"/>
      <c r="P53" s="433"/>
      <c r="Q53" s="434"/>
      <c r="R53" s="440"/>
      <c r="S53" s="570"/>
      <c r="T53" s="570"/>
      <c r="U53" s="570"/>
      <c r="V53" s="782"/>
      <c r="W53" s="783"/>
      <c r="X53" s="783"/>
      <c r="Y53" s="464"/>
      <c r="Z53" s="464"/>
      <c r="AA53" s="465"/>
      <c r="AB53" s="474"/>
      <c r="AC53" s="462"/>
      <c r="AD53" s="618"/>
      <c r="AE53" s="462"/>
      <c r="AF53" s="1"/>
      <c r="AG53" s="466"/>
      <c r="AH53" s="440"/>
      <c r="AI53" s="577"/>
      <c r="AJ53" s="578"/>
      <c r="AK53" s="579"/>
      <c r="AL53" s="579"/>
      <c r="AM53" s="580"/>
      <c r="AN53" s="440"/>
      <c r="AO53" s="440"/>
      <c r="AP53" s="440"/>
      <c r="AQ53" s="440"/>
      <c r="AR53" s="440"/>
      <c r="AS53" s="440"/>
      <c r="AT53" s="581"/>
      <c r="AU53" s="582"/>
      <c r="AV53" s="583"/>
      <c r="AW53" s="584"/>
      <c r="AX53" s="434"/>
      <c r="AY53" s="434"/>
      <c r="AZ53" s="434"/>
      <c r="BA53" s="434"/>
      <c r="BB53" s="441"/>
      <c r="BC53" s="441"/>
      <c r="BD53" s="444"/>
      <c r="BE53" s="441"/>
      <c r="BF53" s="441"/>
      <c r="BG53" s="441"/>
      <c r="BH53" s="441"/>
      <c r="BI53" s="441"/>
      <c r="BJ53" s="445"/>
      <c r="BK53" s="445"/>
      <c r="BL53" s="445"/>
      <c r="BM53" s="445"/>
      <c r="BN53" s="455"/>
      <c r="BO53" s="479"/>
      <c r="BP53" s="479"/>
      <c r="BQ53" s="479"/>
      <c r="BR53" s="479"/>
      <c r="BS53" s="500"/>
      <c r="BT53" s="500"/>
      <c r="BU53" s="1555"/>
      <c r="BV53" s="1555"/>
      <c r="BW53" s="1555"/>
      <c r="BX53" s="1555"/>
      <c r="BY53" s="1555"/>
      <c r="BZ53" s="1555"/>
      <c r="CA53" s="1555"/>
      <c r="CB53" s="1555"/>
      <c r="CC53" s="574"/>
      <c r="CD53" s="574"/>
      <c r="CE53" s="574"/>
      <c r="CF53" s="574"/>
      <c r="CG53" s="585"/>
      <c r="CH53" s="574"/>
      <c r="CI53" s="619"/>
      <c r="CJ53" s="646"/>
    </row>
    <row r="54" spans="2:132" ht="19.5" customHeight="1">
      <c r="B54" s="502">
        <v>5</v>
      </c>
      <c r="C54" s="502" t="str">
        <f ca="1">IFERROR(CHOOSE($C$48,C87,C104),"")</f>
        <v/>
      </c>
      <c r="D54" s="504" t="e">
        <f t="shared" ca="1" si="47"/>
        <v>#N/A</v>
      </c>
      <c r="E54" s="504" t="e">
        <f t="shared" ca="1" si="47"/>
        <v>#N/A</v>
      </c>
      <c r="H54" s="917"/>
      <c r="I54" s="428"/>
      <c r="J54" s="429"/>
      <c r="K54" s="429"/>
      <c r="L54" s="430"/>
      <c r="M54" s="431"/>
      <c r="N54" s="432"/>
      <c r="O54" s="433"/>
      <c r="P54" s="433"/>
      <c r="Q54" s="434"/>
      <c r="R54" s="440"/>
      <c r="S54" s="570"/>
      <c r="T54" s="570"/>
      <c r="U54" s="570"/>
      <c r="V54" s="782"/>
      <c r="W54" s="783"/>
      <c r="X54" s="783"/>
      <c r="Y54" s="464"/>
      <c r="Z54" s="464"/>
      <c r="AA54" s="465"/>
      <c r="AB54" s="474"/>
      <c r="AC54" s="462"/>
      <c r="AD54" s="618"/>
      <c r="AE54" s="462"/>
      <c r="AF54" s="1"/>
      <c r="AG54" s="466"/>
      <c r="AH54" s="440"/>
      <c r="AI54" s="577"/>
      <c r="AJ54" s="578"/>
      <c r="AK54" s="579"/>
      <c r="AL54" s="579"/>
      <c r="AM54" s="580"/>
      <c r="AN54" s="440"/>
      <c r="AO54" s="440"/>
      <c r="AP54" s="440"/>
      <c r="AQ54" s="440"/>
      <c r="AR54" s="440"/>
      <c r="AS54" s="440"/>
      <c r="AT54" s="581"/>
      <c r="AU54" s="582"/>
      <c r="AV54" s="583"/>
      <c r="AW54" s="584"/>
      <c r="AX54" s="434"/>
      <c r="AY54" s="434"/>
      <c r="AZ54" s="434"/>
      <c r="BA54" s="434"/>
      <c r="BB54" s="441"/>
      <c r="BC54" s="441"/>
      <c r="BD54" s="444"/>
      <c r="BE54" s="441"/>
      <c r="BF54" s="441"/>
      <c r="BG54" s="441"/>
      <c r="BH54" s="441"/>
      <c r="BI54" s="441"/>
      <c r="BJ54" s="445"/>
      <c r="BK54" s="445"/>
      <c r="BL54" s="445"/>
      <c r="BM54" s="445"/>
      <c r="BN54" s="455"/>
      <c r="BO54" s="479"/>
      <c r="BP54" s="479"/>
      <c r="BQ54" s="479"/>
      <c r="BR54" s="479"/>
      <c r="BS54" s="500"/>
      <c r="BT54" s="500"/>
      <c r="BU54" s="1555"/>
      <c r="BV54" s="1555"/>
      <c r="BW54" s="1555"/>
      <c r="BX54" s="1555"/>
      <c r="BY54" s="1555"/>
      <c r="BZ54" s="1555"/>
      <c r="CA54" s="1555"/>
      <c r="CB54" s="1555"/>
      <c r="CC54" s="574"/>
      <c r="CD54" s="574"/>
      <c r="CE54" s="574"/>
      <c r="CF54" s="574"/>
      <c r="CG54" s="585"/>
      <c r="CH54" s="574"/>
      <c r="CI54" s="619"/>
      <c r="CJ54" s="646"/>
    </row>
    <row r="55" spans="2:132" ht="19.5" customHeight="1">
      <c r="B55" s="502">
        <v>6</v>
      </c>
      <c r="C55" s="502" t="str">
        <f t="shared" ca="1" si="46"/>
        <v/>
      </c>
      <c r="D55" s="504" t="e">
        <f t="shared" ca="1" si="47"/>
        <v>#N/A</v>
      </c>
      <c r="E55" s="504" t="e">
        <f t="shared" ca="1" si="47"/>
        <v>#N/A</v>
      </c>
      <c r="H55" s="917"/>
      <c r="I55" s="428"/>
      <c r="J55" s="429"/>
      <c r="K55" s="429"/>
      <c r="L55" s="430"/>
      <c r="M55" s="431"/>
      <c r="N55" s="432"/>
      <c r="O55" s="433"/>
      <c r="P55" s="433"/>
      <c r="Q55" s="434"/>
      <c r="R55" s="440"/>
      <c r="S55" s="570"/>
      <c r="T55" s="570"/>
      <c r="U55" s="570"/>
      <c r="V55" s="782"/>
      <c r="W55" s="783"/>
      <c r="X55" s="783"/>
      <c r="Y55" s="464"/>
      <c r="Z55" s="464"/>
      <c r="AA55" s="465"/>
      <c r="AB55" s="474"/>
      <c r="AC55" s="462"/>
      <c r="AD55" s="618"/>
      <c r="AE55" s="462"/>
      <c r="AF55" s="1"/>
      <c r="AG55" s="466"/>
      <c r="AH55" s="440"/>
      <c r="AI55" s="577"/>
      <c r="AJ55" s="578"/>
      <c r="AK55" s="579"/>
      <c r="AL55" s="579"/>
      <c r="AM55" s="580"/>
      <c r="AN55" s="440"/>
      <c r="AO55" s="440"/>
      <c r="AP55" s="440"/>
      <c r="AQ55" s="440"/>
      <c r="AR55" s="440"/>
      <c r="AS55" s="440"/>
      <c r="AT55" s="581"/>
      <c r="AU55" s="582"/>
      <c r="AV55" s="583"/>
      <c r="AW55" s="584"/>
      <c r="AX55" s="434"/>
      <c r="AY55" s="434"/>
      <c r="AZ55" s="434"/>
      <c r="BA55" s="434"/>
      <c r="BB55" s="441"/>
      <c r="BC55" s="441"/>
      <c r="BD55" s="444"/>
      <c r="BE55" s="441"/>
      <c r="BF55" s="441"/>
      <c r="BG55" s="441"/>
      <c r="BH55" s="441"/>
      <c r="BI55" s="441"/>
      <c r="BJ55" s="445"/>
      <c r="BK55" s="445"/>
      <c r="BL55" s="445"/>
      <c r="BM55" s="445"/>
      <c r="BN55" s="455"/>
      <c r="BO55" s="479"/>
      <c r="BP55" s="479"/>
      <c r="BQ55" s="479"/>
      <c r="BR55" s="479"/>
      <c r="BS55" s="500"/>
      <c r="BT55" s="500"/>
      <c r="BU55" s="1555"/>
      <c r="BV55" s="1555"/>
      <c r="BW55" s="1555"/>
      <c r="BX55" s="1555"/>
      <c r="BY55" s="1555"/>
      <c r="BZ55" s="1555"/>
      <c r="CA55" s="1555"/>
      <c r="CB55" s="1555"/>
      <c r="CC55" s="574"/>
      <c r="CD55" s="574"/>
      <c r="CE55" s="574"/>
      <c r="CF55" s="574"/>
      <c r="CG55" s="585"/>
      <c r="CH55" s="574"/>
      <c r="CI55" s="619"/>
      <c r="CJ55" s="646"/>
    </row>
    <row r="56" spans="2:132" ht="19.5" customHeight="1">
      <c r="B56" s="502">
        <v>7</v>
      </c>
      <c r="C56" s="502" t="str">
        <f t="shared" ca="1" si="46"/>
        <v/>
      </c>
      <c r="D56" s="504" t="e">
        <f t="shared" ca="1" si="47"/>
        <v>#N/A</v>
      </c>
      <c r="E56" s="504" t="e">
        <f t="shared" ca="1" si="47"/>
        <v>#N/A</v>
      </c>
      <c r="H56" s="917"/>
      <c r="I56" s="428"/>
      <c r="J56" s="429"/>
      <c r="K56" s="429"/>
      <c r="L56" s="430"/>
      <c r="M56" s="431"/>
      <c r="N56" s="432"/>
      <c r="O56" s="433"/>
      <c r="P56" s="433"/>
      <c r="Q56" s="434"/>
      <c r="R56" s="440"/>
      <c r="S56" s="570"/>
      <c r="T56" s="570"/>
      <c r="U56" s="570"/>
      <c r="V56" s="782"/>
      <c r="W56" s="783"/>
      <c r="X56" s="783"/>
      <c r="Y56" s="464"/>
      <c r="Z56" s="464"/>
      <c r="AA56" s="465"/>
      <c r="AB56" s="474"/>
      <c r="AC56" s="462"/>
      <c r="AD56" s="618"/>
      <c r="AE56" s="462"/>
      <c r="AF56" s="1"/>
      <c r="AG56" s="466"/>
      <c r="AH56" s="440"/>
      <c r="AI56" s="577"/>
      <c r="AJ56" s="578"/>
      <c r="AK56" s="579"/>
      <c r="AL56" s="579"/>
      <c r="AM56" s="580"/>
      <c r="AN56" s="440"/>
      <c r="AO56" s="440"/>
      <c r="AP56" s="440"/>
      <c r="AQ56" s="440"/>
      <c r="AR56" s="440"/>
      <c r="AS56" s="440"/>
      <c r="AT56" s="581"/>
      <c r="AU56" s="582"/>
      <c r="AV56" s="583"/>
      <c r="AW56" s="584"/>
      <c r="AX56" s="434"/>
      <c r="AY56" s="434"/>
      <c r="AZ56" s="434"/>
      <c r="BA56" s="434"/>
      <c r="BB56" s="441"/>
      <c r="BC56" s="441"/>
      <c r="BD56" s="444"/>
      <c r="BE56" s="441"/>
      <c r="BF56" s="441"/>
      <c r="BG56" s="441"/>
      <c r="BH56" s="441"/>
      <c r="BI56" s="441"/>
      <c r="BJ56" s="445"/>
      <c r="BK56" s="445"/>
      <c r="BL56" s="445"/>
      <c r="BM56" s="445"/>
      <c r="BN56" s="455"/>
      <c r="BO56" s="479"/>
      <c r="BP56" s="479"/>
      <c r="BQ56" s="479"/>
      <c r="BR56" s="479"/>
      <c r="BS56" s="500"/>
      <c r="BT56" s="500"/>
      <c r="BU56" s="1555"/>
      <c r="BV56" s="1555"/>
      <c r="BW56" s="1555"/>
      <c r="BX56" s="1555"/>
      <c r="BY56" s="1555"/>
      <c r="BZ56" s="1555"/>
      <c r="CA56" s="1555"/>
      <c r="CB56" s="1555"/>
      <c r="CC56" s="574"/>
      <c r="CD56" s="574"/>
      <c r="CE56" s="574"/>
      <c r="CF56" s="574"/>
      <c r="CG56" s="585"/>
      <c r="CH56" s="574"/>
      <c r="CI56" s="619"/>
      <c r="CJ56" s="646"/>
    </row>
    <row r="57" spans="2:132" ht="19.5" customHeight="1">
      <c r="B57" s="502">
        <v>8</v>
      </c>
      <c r="C57" s="502" t="str">
        <f t="shared" ca="1" si="46"/>
        <v/>
      </c>
      <c r="D57" s="504" t="e">
        <f t="shared" ca="1" si="47"/>
        <v>#N/A</v>
      </c>
      <c r="E57" s="504" t="e">
        <f t="shared" ca="1" si="47"/>
        <v>#N/A</v>
      </c>
      <c r="H57" s="917"/>
      <c r="I57" s="428"/>
      <c r="J57" s="429"/>
      <c r="K57" s="429"/>
      <c r="L57" s="430"/>
      <c r="M57" s="431"/>
      <c r="N57" s="432"/>
      <c r="O57" s="433"/>
      <c r="P57" s="433"/>
      <c r="Q57" s="434"/>
      <c r="R57" s="440"/>
      <c r="S57" s="570"/>
      <c r="T57" s="570"/>
      <c r="U57" s="570"/>
      <c r="V57" s="782"/>
      <c r="W57" s="783"/>
      <c r="X57" s="783"/>
      <c r="Y57" s="464"/>
      <c r="Z57" s="464"/>
      <c r="AA57" s="465"/>
      <c r="AB57" s="474"/>
      <c r="AC57" s="462"/>
      <c r="AD57" s="618"/>
      <c r="AE57" s="462"/>
      <c r="AF57" s="1"/>
      <c r="AG57" s="466"/>
      <c r="AH57" s="440"/>
      <c r="AI57" s="577"/>
      <c r="AJ57" s="578"/>
      <c r="AK57" s="579"/>
      <c r="AL57" s="579"/>
      <c r="AM57" s="580"/>
      <c r="AN57" s="440"/>
      <c r="AO57" s="440"/>
      <c r="AP57" s="440"/>
      <c r="AQ57" s="440"/>
      <c r="AR57" s="440"/>
      <c r="AS57" s="440"/>
      <c r="AT57" s="581"/>
      <c r="AU57" s="582"/>
      <c r="AV57" s="583"/>
      <c r="AW57" s="584"/>
      <c r="AX57" s="434"/>
      <c r="AY57" s="434"/>
      <c r="AZ57" s="434"/>
      <c r="BA57" s="434"/>
      <c r="BB57" s="441"/>
      <c r="BC57" s="441"/>
      <c r="BD57" s="444"/>
      <c r="BE57" s="441"/>
      <c r="BF57" s="441"/>
      <c r="BG57" s="441"/>
      <c r="BH57" s="441"/>
      <c r="BI57" s="441"/>
      <c r="BJ57" s="445"/>
      <c r="BK57" s="445"/>
      <c r="BL57" s="445"/>
      <c r="BM57" s="445"/>
      <c r="BN57" s="455"/>
      <c r="BO57" s="479"/>
      <c r="BP57" s="479"/>
      <c r="BQ57" s="479"/>
      <c r="BR57" s="479"/>
      <c r="BS57" s="500"/>
      <c r="BT57" s="500"/>
      <c r="BU57" s="1555"/>
      <c r="BV57" s="1555"/>
      <c r="BW57" s="1555"/>
      <c r="BX57" s="1555"/>
      <c r="BY57" s="1555"/>
      <c r="BZ57" s="1555"/>
      <c r="CA57" s="1555"/>
      <c r="CB57" s="1555"/>
      <c r="CC57" s="574"/>
      <c r="CD57" s="574"/>
      <c r="CE57" s="574"/>
      <c r="CF57" s="574"/>
      <c r="CG57" s="585"/>
      <c r="CH57" s="574"/>
      <c r="CI57" s="619"/>
      <c r="CJ57" s="646"/>
    </row>
    <row r="58" spans="2:132" ht="19.5" customHeight="1">
      <c r="B58" s="502">
        <v>9</v>
      </c>
      <c r="C58" s="502" t="str">
        <f t="shared" ca="1" si="46"/>
        <v/>
      </c>
      <c r="D58" s="504" t="e">
        <f t="shared" ca="1" si="47"/>
        <v>#N/A</v>
      </c>
      <c r="E58" s="504" t="e">
        <f t="shared" ca="1" si="47"/>
        <v>#N/A</v>
      </c>
      <c r="H58" s="917"/>
      <c r="I58" s="428"/>
      <c r="J58" s="429"/>
      <c r="K58" s="429"/>
      <c r="L58" s="430"/>
      <c r="M58" s="431"/>
      <c r="N58" s="432"/>
      <c r="O58" s="433"/>
      <c r="P58" s="433"/>
      <c r="Q58" s="434"/>
      <c r="R58" s="440"/>
      <c r="S58" s="570"/>
      <c r="T58" s="570"/>
      <c r="U58" s="570"/>
      <c r="V58" s="782"/>
      <c r="W58" s="783"/>
      <c r="X58" s="783"/>
      <c r="Y58" s="464"/>
      <c r="Z58" s="464"/>
      <c r="AA58" s="465"/>
      <c r="AB58" s="474"/>
      <c r="AC58" s="462"/>
      <c r="AD58" s="618"/>
      <c r="AE58" s="462"/>
      <c r="AF58" s="1"/>
      <c r="AG58" s="466"/>
      <c r="AH58" s="440"/>
      <c r="AI58" s="577"/>
      <c r="AJ58" s="578"/>
      <c r="AK58" s="579"/>
      <c r="AL58" s="579"/>
      <c r="AM58" s="580"/>
      <c r="AN58" s="440"/>
      <c r="AO58" s="440"/>
      <c r="AP58" s="440"/>
      <c r="AQ58" s="440"/>
      <c r="AR58" s="440"/>
      <c r="AS58" s="440"/>
      <c r="AT58" s="581"/>
      <c r="AU58" s="582"/>
      <c r="AV58" s="583"/>
      <c r="AW58" s="584"/>
      <c r="AX58" s="434"/>
      <c r="AY58" s="434"/>
      <c r="AZ58" s="434"/>
      <c r="BA58" s="434"/>
      <c r="BB58" s="441"/>
      <c r="BC58" s="441"/>
      <c r="BD58" s="444"/>
      <c r="BE58" s="441"/>
      <c r="BF58" s="441"/>
      <c r="BG58" s="441"/>
      <c r="BH58" s="441"/>
      <c r="BI58" s="441"/>
      <c r="BJ58" s="445"/>
      <c r="BK58" s="445"/>
      <c r="BL58" s="445"/>
      <c r="BM58" s="445"/>
      <c r="BN58" s="455"/>
      <c r="BO58" s="479"/>
      <c r="BP58" s="479"/>
      <c r="BQ58" s="479"/>
      <c r="BR58" s="479"/>
      <c r="BS58" s="500"/>
      <c r="BT58" s="500"/>
      <c r="BU58" s="1555"/>
      <c r="BV58" s="1555"/>
      <c r="BW58" s="1555"/>
      <c r="BX58" s="1555"/>
      <c r="BY58" s="1555"/>
      <c r="BZ58" s="1555"/>
      <c r="CA58" s="1555"/>
      <c r="CB58" s="1555"/>
      <c r="CC58" s="574"/>
      <c r="CD58" s="574"/>
      <c r="CE58" s="574"/>
      <c r="CF58" s="574"/>
      <c r="CG58" s="585"/>
      <c r="CH58" s="574"/>
      <c r="CI58" s="619"/>
      <c r="CJ58" s="646"/>
    </row>
    <row r="59" spans="2:132" ht="19.5" customHeight="1">
      <c r="B59" s="502">
        <v>10</v>
      </c>
      <c r="C59" s="502" t="str">
        <f t="shared" ca="1" si="46"/>
        <v/>
      </c>
      <c r="D59" s="504" t="e">
        <f t="shared" ca="1" si="47"/>
        <v>#N/A</v>
      </c>
      <c r="E59" s="504" t="e">
        <f t="shared" ca="1" si="47"/>
        <v>#N/A</v>
      </c>
      <c r="H59" s="917"/>
      <c r="I59" s="428"/>
      <c r="J59" s="429"/>
      <c r="K59" s="429"/>
      <c r="L59" s="430"/>
      <c r="M59" s="431"/>
      <c r="N59" s="432"/>
      <c r="O59" s="433"/>
      <c r="P59" s="433"/>
      <c r="Q59" s="434"/>
      <c r="R59" s="440"/>
      <c r="S59" s="570"/>
      <c r="T59" s="570"/>
      <c r="U59" s="570"/>
      <c r="V59" s="782"/>
      <c r="W59" s="783"/>
      <c r="X59" s="783"/>
      <c r="Y59" s="464"/>
      <c r="Z59" s="464"/>
      <c r="AA59" s="465"/>
      <c r="AB59" s="474"/>
      <c r="AC59" s="462"/>
      <c r="AD59" s="618"/>
      <c r="AE59" s="462"/>
      <c r="AF59" s="1"/>
      <c r="AG59" s="466"/>
      <c r="AH59" s="440"/>
      <c r="AI59" s="577"/>
      <c r="AJ59" s="578"/>
      <c r="AK59" s="579"/>
      <c r="AL59" s="579"/>
      <c r="AM59" s="580"/>
      <c r="AN59" s="440"/>
      <c r="AO59" s="440"/>
      <c r="AP59" s="440"/>
      <c r="AQ59" s="440"/>
      <c r="AR59" s="440"/>
      <c r="AS59" s="440"/>
      <c r="AT59" s="581"/>
      <c r="AU59" s="582"/>
      <c r="AV59" s="583"/>
      <c r="AW59" s="584"/>
      <c r="AX59" s="434"/>
      <c r="AY59" s="434"/>
      <c r="AZ59" s="434"/>
      <c r="BA59" s="434"/>
      <c r="BB59" s="441"/>
      <c r="BC59" s="441"/>
      <c r="BD59" s="444"/>
      <c r="BE59" s="441"/>
      <c r="BF59" s="441"/>
      <c r="BG59" s="441"/>
      <c r="BH59" s="441"/>
      <c r="BI59" s="441"/>
      <c r="BJ59" s="445"/>
      <c r="BK59" s="445"/>
      <c r="BL59" s="445"/>
      <c r="BM59" s="445"/>
      <c r="BN59" s="455"/>
      <c r="BO59" s="479"/>
      <c r="BP59" s="479"/>
      <c r="BQ59" s="479"/>
      <c r="BR59" s="479"/>
      <c r="BS59" s="500"/>
      <c r="BT59" s="500"/>
      <c r="BU59" s="1555"/>
      <c r="BV59" s="1555"/>
      <c r="BW59" s="1555"/>
      <c r="BX59" s="1555"/>
      <c r="BY59" s="1555"/>
      <c r="BZ59" s="1555"/>
      <c r="CA59" s="1555"/>
      <c r="CB59" s="1555"/>
      <c r="CC59" s="574"/>
      <c r="CD59" s="574"/>
      <c r="CE59" s="574"/>
      <c r="CF59" s="574"/>
      <c r="CG59" s="585"/>
      <c r="CH59" s="574"/>
      <c r="CI59" s="619"/>
      <c r="CJ59" s="646"/>
    </row>
    <row r="60" spans="2:132" ht="19.5" customHeight="1">
      <c r="B60" s="502">
        <v>11</v>
      </c>
      <c r="C60" s="502" t="str">
        <f t="shared" ca="1" si="46"/>
        <v/>
      </c>
      <c r="D60" s="504" t="e">
        <f t="shared" ca="1" si="47"/>
        <v>#N/A</v>
      </c>
      <c r="E60" s="504" t="e">
        <f t="shared" ca="1" si="47"/>
        <v>#N/A</v>
      </c>
      <c r="H60" s="12"/>
      <c r="I60" s="428"/>
      <c r="J60" s="429"/>
      <c r="K60" s="429"/>
      <c r="L60" s="430"/>
      <c r="M60" s="431"/>
      <c r="N60" s="432"/>
      <c r="O60" s="433"/>
      <c r="P60" s="433"/>
      <c r="Q60" s="434"/>
      <c r="R60" s="440"/>
      <c r="S60" s="570"/>
      <c r="T60" s="570"/>
      <c r="U60" s="570"/>
      <c r="V60" s="782"/>
      <c r="W60" s="783"/>
      <c r="X60" s="783"/>
      <c r="Y60" s="464"/>
      <c r="Z60" s="464"/>
      <c r="AA60" s="465"/>
      <c r="AB60" s="474"/>
      <c r="AC60" s="462"/>
      <c r="AD60" s="618"/>
      <c r="AE60" s="462"/>
      <c r="AF60" s="1"/>
      <c r="AG60" s="466"/>
      <c r="AH60" s="440"/>
      <c r="AI60" s="577"/>
      <c r="AJ60" s="578"/>
      <c r="AK60" s="579"/>
      <c r="AL60" s="579"/>
      <c r="AM60" s="580"/>
      <c r="AN60" s="440"/>
      <c r="AO60" s="440"/>
      <c r="AP60" s="440"/>
      <c r="AQ60" s="440"/>
      <c r="AR60" s="440"/>
      <c r="AS60" s="440"/>
      <c r="AT60" s="581"/>
      <c r="AU60" s="582"/>
      <c r="AV60" s="583"/>
      <c r="AW60" s="584"/>
      <c r="AX60" s="434"/>
      <c r="AY60" s="434"/>
      <c r="AZ60" s="434"/>
      <c r="BA60" s="434"/>
      <c r="BB60" s="441"/>
      <c r="BC60" s="441"/>
      <c r="BD60" s="444"/>
      <c r="BE60" s="441"/>
      <c r="BF60" s="441"/>
      <c r="BG60" s="441"/>
      <c r="BH60" s="441"/>
      <c r="BI60" s="441"/>
      <c r="BJ60" s="445"/>
      <c r="BK60" s="445"/>
      <c r="BL60" s="445"/>
      <c r="BM60" s="445"/>
      <c r="BN60" s="455"/>
      <c r="BO60" s="479"/>
      <c r="BP60" s="479"/>
      <c r="BQ60" s="479"/>
      <c r="BR60" s="479"/>
      <c r="BS60" s="500"/>
      <c r="BT60" s="500"/>
      <c r="BU60" s="1555"/>
      <c r="BV60" s="1555"/>
      <c r="BW60" s="1555"/>
      <c r="BX60" s="1555"/>
      <c r="BY60" s="1555"/>
      <c r="BZ60" s="1555"/>
      <c r="CA60" s="1555"/>
      <c r="CB60" s="1555"/>
      <c r="CC60" s="574"/>
      <c r="CD60" s="574"/>
      <c r="CE60" s="574"/>
      <c r="CF60" s="574"/>
      <c r="CG60" s="585"/>
      <c r="CH60" s="574"/>
      <c r="CI60" s="619"/>
      <c r="CJ60" s="646"/>
    </row>
    <row r="61" spans="2:132" ht="19.5" customHeight="1">
      <c r="B61" s="502">
        <v>12</v>
      </c>
      <c r="C61" s="502" t="str">
        <f t="shared" ca="1" si="46"/>
        <v/>
      </c>
      <c r="D61" s="504" t="e">
        <f t="shared" ca="1" si="47"/>
        <v>#N/A</v>
      </c>
      <c r="E61" s="504" t="e">
        <f t="shared" ca="1" si="47"/>
        <v>#N/A</v>
      </c>
      <c r="H61" s="12"/>
      <c r="I61" s="428"/>
      <c r="J61" s="429"/>
      <c r="K61" s="429"/>
      <c r="L61" s="430"/>
      <c r="M61" s="431"/>
      <c r="N61" s="432"/>
      <c r="O61" s="433"/>
      <c r="P61" s="433"/>
      <c r="Q61" s="434"/>
      <c r="R61" s="440"/>
      <c r="S61" s="570"/>
      <c r="T61" s="570"/>
      <c r="U61" s="570"/>
      <c r="V61" s="782"/>
      <c r="W61" s="783"/>
      <c r="X61" s="783"/>
      <c r="Y61" s="464"/>
      <c r="Z61" s="464"/>
      <c r="AA61" s="465"/>
      <c r="AB61" s="474"/>
      <c r="AC61" s="462"/>
      <c r="AD61" s="618"/>
      <c r="AE61" s="462"/>
      <c r="AF61" s="1"/>
      <c r="AG61" s="466"/>
      <c r="AH61" s="440"/>
      <c r="AI61" s="577"/>
      <c r="AJ61" s="578"/>
      <c r="AK61" s="579"/>
      <c r="AL61" s="579"/>
      <c r="AM61" s="580"/>
      <c r="AN61" s="440"/>
      <c r="AO61" s="440"/>
      <c r="AP61" s="440"/>
      <c r="AQ61" s="440"/>
      <c r="AR61" s="440"/>
      <c r="AS61" s="440"/>
      <c r="AT61" s="581"/>
      <c r="AU61" s="582"/>
      <c r="AV61" s="583"/>
      <c r="AW61" s="584"/>
      <c r="AX61" s="434"/>
      <c r="AY61" s="434"/>
      <c r="AZ61" s="434"/>
      <c r="BA61" s="434"/>
      <c r="BB61" s="441"/>
      <c r="BC61" s="441"/>
      <c r="BD61" s="444"/>
      <c r="BE61" s="441"/>
      <c r="BF61" s="441"/>
      <c r="BG61" s="441"/>
      <c r="BH61" s="441"/>
      <c r="BI61" s="441"/>
      <c r="BJ61" s="445"/>
      <c r="BK61" s="445"/>
      <c r="BL61" s="445"/>
      <c r="BM61" s="445"/>
      <c r="BN61" s="455"/>
      <c r="BO61" s="479"/>
      <c r="BP61" s="479"/>
      <c r="BQ61" s="479"/>
      <c r="BR61" s="479"/>
      <c r="BS61" s="500"/>
      <c r="BT61" s="500"/>
      <c r="BU61" s="1555"/>
      <c r="BV61" s="1555"/>
      <c r="BW61" s="1555"/>
      <c r="BX61" s="1555"/>
      <c r="BY61" s="1555"/>
      <c r="BZ61" s="1555"/>
      <c r="CA61" s="1555"/>
      <c r="CB61" s="1555"/>
      <c r="CC61" s="574"/>
      <c r="CD61" s="574"/>
      <c r="CE61" s="574"/>
      <c r="CF61" s="574"/>
      <c r="CG61" s="585"/>
      <c r="CH61" s="574"/>
      <c r="CI61" s="619"/>
      <c r="CJ61" s="646"/>
    </row>
    <row r="62" spans="2:132" ht="19.5" customHeight="1">
      <c r="H62" s="12"/>
      <c r="I62" s="428"/>
      <c r="J62" s="429"/>
      <c r="K62" s="429"/>
      <c r="L62" s="430"/>
      <c r="M62" s="431"/>
      <c r="N62" s="432"/>
      <c r="O62" s="433"/>
      <c r="P62" s="433"/>
      <c r="Q62" s="434"/>
      <c r="R62" s="440"/>
      <c r="S62" s="570"/>
      <c r="T62" s="570"/>
      <c r="U62" s="570"/>
      <c r="V62" s="782"/>
      <c r="W62" s="783"/>
      <c r="X62" s="783"/>
      <c r="Y62" s="464"/>
      <c r="Z62" s="464"/>
      <c r="AA62" s="465"/>
      <c r="AB62" s="474"/>
      <c r="AC62" s="462"/>
      <c r="AD62" s="618"/>
      <c r="AE62" s="462"/>
      <c r="AF62" s="1"/>
      <c r="AG62" s="466"/>
      <c r="AH62" s="440"/>
      <c r="AI62" s="577"/>
      <c r="AJ62" s="578"/>
      <c r="AK62" s="579"/>
      <c r="AL62" s="579"/>
      <c r="AM62" s="580"/>
      <c r="AN62" s="440"/>
      <c r="AO62" s="440"/>
      <c r="AP62" s="440"/>
      <c r="AQ62" s="440"/>
      <c r="AR62" s="440"/>
      <c r="AS62" s="440"/>
      <c r="AT62" s="581"/>
      <c r="AU62" s="582"/>
      <c r="AV62" s="583"/>
      <c r="AW62" s="584"/>
      <c r="AX62" s="434"/>
      <c r="AY62" s="434"/>
      <c r="AZ62" s="434"/>
      <c r="BA62" s="434"/>
      <c r="BB62" s="441"/>
      <c r="BC62" s="441"/>
      <c r="BD62" s="444"/>
      <c r="BE62" s="441"/>
      <c r="BF62" s="441"/>
      <c r="BG62" s="441"/>
      <c r="BH62" s="441"/>
      <c r="BI62" s="441"/>
      <c r="BJ62" s="445"/>
      <c r="BK62" s="445"/>
      <c r="BL62" s="445"/>
      <c r="BM62" s="445"/>
      <c r="BN62" s="455"/>
      <c r="BO62" s="479"/>
      <c r="BP62" s="479"/>
      <c r="BQ62" s="479"/>
      <c r="BR62" s="479"/>
      <c r="BS62" s="500"/>
      <c r="BT62" s="500"/>
      <c r="BU62" s="1555"/>
      <c r="BV62" s="1555"/>
      <c r="BW62" s="1555"/>
      <c r="BX62" s="1555"/>
      <c r="BY62" s="1555"/>
      <c r="BZ62" s="1555"/>
      <c r="CA62" s="1555"/>
      <c r="CB62" s="1555"/>
      <c r="CC62" s="574"/>
      <c r="CD62" s="574"/>
      <c r="CE62" s="574"/>
      <c r="CF62" s="574"/>
      <c r="CG62" s="585"/>
      <c r="CH62" s="574"/>
      <c r="CI62" s="619"/>
      <c r="CJ62" s="646"/>
    </row>
    <row r="63" spans="2:132" ht="19.5" customHeight="1">
      <c r="H63" s="12"/>
      <c r="I63" s="428"/>
      <c r="J63" s="429"/>
      <c r="K63" s="429"/>
      <c r="L63" s="430"/>
      <c r="M63" s="431"/>
      <c r="N63" s="432"/>
      <c r="O63" s="433"/>
      <c r="P63" s="433"/>
      <c r="Q63" s="434"/>
      <c r="R63" s="440"/>
      <c r="S63" s="570"/>
      <c r="T63" s="570"/>
      <c r="U63" s="570"/>
      <c r="V63" s="782"/>
      <c r="W63" s="783"/>
      <c r="X63" s="783"/>
      <c r="Y63" s="464"/>
      <c r="Z63" s="464"/>
      <c r="AA63" s="465"/>
      <c r="AB63" s="474"/>
      <c r="AC63" s="462"/>
      <c r="AD63" s="618"/>
      <c r="AE63" s="462"/>
      <c r="AF63" s="1"/>
      <c r="AG63" s="466"/>
      <c r="AH63" s="440"/>
      <c r="AI63" s="577"/>
      <c r="AJ63" s="578"/>
      <c r="AK63" s="579"/>
      <c r="AL63" s="579"/>
      <c r="AM63" s="580"/>
      <c r="AN63" s="440"/>
      <c r="AO63" s="440"/>
      <c r="AP63" s="440"/>
      <c r="AQ63" s="440"/>
      <c r="AR63" s="440"/>
      <c r="AS63" s="440"/>
      <c r="AT63" s="581"/>
      <c r="AU63" s="582"/>
      <c r="AV63" s="583"/>
      <c r="AW63" s="584"/>
      <c r="AX63" s="434"/>
      <c r="AY63" s="434"/>
      <c r="AZ63" s="434"/>
      <c r="BA63" s="434"/>
      <c r="BB63" s="441"/>
      <c r="BC63" s="441"/>
      <c r="BD63" s="444"/>
      <c r="BE63" s="441"/>
      <c r="BF63" s="441"/>
      <c r="BG63" s="441"/>
      <c r="BH63" s="441"/>
      <c r="BI63" s="441"/>
      <c r="BJ63" s="445"/>
      <c r="BK63" s="445"/>
      <c r="BL63" s="445"/>
      <c r="BM63" s="445"/>
      <c r="BN63" s="455"/>
      <c r="BO63" s="479"/>
      <c r="BP63" s="479"/>
      <c r="BQ63" s="479"/>
      <c r="BR63" s="479"/>
      <c r="BS63" s="500"/>
      <c r="BT63" s="500"/>
      <c r="BU63" s="1555"/>
      <c r="BV63" s="1555"/>
      <c r="BW63" s="1555"/>
      <c r="BX63" s="1555"/>
      <c r="BY63" s="1555"/>
      <c r="BZ63" s="1555"/>
      <c r="CA63" s="1555"/>
      <c r="CB63" s="1555"/>
      <c r="CC63" s="574"/>
      <c r="CD63" s="574"/>
      <c r="CE63" s="574"/>
      <c r="CF63" s="574"/>
      <c r="CG63" s="585"/>
      <c r="CH63" s="574"/>
      <c r="CI63" s="619"/>
      <c r="CJ63" s="646"/>
    </row>
    <row r="64" spans="2:132" ht="19.5" customHeight="1">
      <c r="H64" s="12"/>
      <c r="I64" s="428"/>
      <c r="J64" s="429"/>
      <c r="K64" s="429"/>
      <c r="L64" s="430"/>
      <c r="M64" s="431"/>
      <c r="N64" s="432"/>
      <c r="O64" s="433"/>
      <c r="P64" s="433"/>
      <c r="Q64" s="434"/>
      <c r="R64" s="440"/>
      <c r="S64" s="570"/>
      <c r="T64" s="570"/>
      <c r="U64" s="570"/>
      <c r="V64" s="782"/>
      <c r="W64" s="783"/>
      <c r="X64" s="783"/>
      <c r="Y64" s="464"/>
      <c r="Z64" s="464"/>
      <c r="AA64" s="465"/>
      <c r="AB64" s="474"/>
      <c r="AC64" s="462"/>
      <c r="AD64" s="618"/>
      <c r="AE64" s="462"/>
      <c r="AF64" s="1"/>
      <c r="AG64" s="466"/>
      <c r="AH64" s="440"/>
      <c r="AI64" s="577"/>
      <c r="AJ64" s="578"/>
      <c r="AK64" s="579"/>
      <c r="AL64" s="579"/>
      <c r="AM64" s="580"/>
      <c r="AN64" s="440"/>
      <c r="AO64" s="440"/>
      <c r="AP64" s="440"/>
      <c r="AQ64" s="440"/>
      <c r="AR64" s="440"/>
      <c r="AS64" s="440"/>
      <c r="AT64" s="581"/>
      <c r="AU64" s="582"/>
      <c r="AV64" s="583"/>
      <c r="AW64" s="584"/>
      <c r="AX64" s="434"/>
      <c r="AY64" s="434"/>
      <c r="AZ64" s="434"/>
      <c r="BA64" s="434"/>
      <c r="BB64" s="441"/>
      <c r="BC64" s="441"/>
      <c r="BD64" s="444"/>
      <c r="BE64" s="441"/>
      <c r="BF64" s="441"/>
      <c r="BG64" s="441"/>
      <c r="BH64" s="441"/>
      <c r="BI64" s="441"/>
      <c r="BJ64" s="445"/>
      <c r="BK64" s="445"/>
      <c r="BL64" s="445"/>
      <c r="BM64" s="445"/>
      <c r="BN64" s="455"/>
      <c r="BO64" s="479"/>
      <c r="BP64" s="479"/>
      <c r="BQ64" s="479"/>
      <c r="BR64" s="479"/>
      <c r="BS64" s="500"/>
      <c r="BT64" s="500"/>
      <c r="BU64" s="1555"/>
      <c r="BV64" s="1555"/>
      <c r="BW64" s="1555"/>
      <c r="BX64" s="1555"/>
      <c r="BY64" s="1555"/>
      <c r="BZ64" s="1555"/>
      <c r="CA64" s="1555"/>
      <c r="CB64" s="1555"/>
      <c r="CC64" s="574"/>
      <c r="CD64" s="574"/>
      <c r="CE64" s="574"/>
      <c r="CF64" s="574"/>
      <c r="CG64" s="585"/>
      <c r="CH64" s="574"/>
      <c r="CI64" s="619"/>
      <c r="CJ64" s="646"/>
    </row>
    <row r="65" spans="2:88" ht="19.5" customHeight="1">
      <c r="B65" s="459" t="s">
        <v>2120</v>
      </c>
      <c r="H65" s="12"/>
      <c r="I65" s="428"/>
      <c r="J65" s="429"/>
      <c r="K65" s="429"/>
      <c r="L65" s="430"/>
      <c r="M65" s="431"/>
      <c r="N65" s="432"/>
      <c r="O65" s="433"/>
      <c r="P65" s="433"/>
      <c r="Q65" s="434"/>
      <c r="R65" s="440"/>
      <c r="S65" s="570"/>
      <c r="T65" s="570"/>
      <c r="U65" s="570"/>
      <c r="V65" s="782"/>
      <c r="W65" s="783"/>
      <c r="X65" s="783"/>
      <c r="Y65" s="464"/>
      <c r="Z65" s="464"/>
      <c r="AA65" s="465"/>
      <c r="AB65" s="474"/>
      <c r="AC65" s="462"/>
      <c r="AD65" s="618"/>
      <c r="AE65" s="462"/>
      <c r="AF65" s="1"/>
      <c r="AG65" s="466"/>
      <c r="AH65" s="440"/>
      <c r="AI65" s="577"/>
      <c r="AJ65" s="578"/>
      <c r="AK65" s="579"/>
      <c r="AL65" s="579"/>
      <c r="AM65" s="580"/>
      <c r="AN65" s="440"/>
      <c r="AO65" s="440"/>
      <c r="AP65" s="440"/>
      <c r="AQ65" s="440"/>
      <c r="AR65" s="440"/>
      <c r="AS65" s="440"/>
      <c r="AT65" s="581"/>
      <c r="AU65" s="582"/>
      <c r="AV65" s="583"/>
      <c r="AW65" s="584"/>
      <c r="AX65" s="434"/>
      <c r="AY65" s="434"/>
      <c r="AZ65" s="434"/>
      <c r="BA65" s="434"/>
      <c r="BB65" s="441"/>
      <c r="BC65" s="441"/>
      <c r="BD65" s="444"/>
      <c r="BE65" s="441"/>
      <c r="BF65" s="441"/>
      <c r="BG65" s="441"/>
      <c r="BH65" s="441"/>
      <c r="BI65" s="441"/>
      <c r="BJ65" s="445"/>
      <c r="BK65" s="445"/>
      <c r="BL65" s="445"/>
      <c r="BM65" s="445"/>
      <c r="BN65" s="455"/>
      <c r="BO65" s="479"/>
      <c r="BP65" s="479"/>
      <c r="BQ65" s="479"/>
      <c r="BR65" s="479"/>
      <c r="BS65" s="500"/>
      <c r="BT65" s="500"/>
      <c r="BU65" s="1555"/>
      <c r="BV65" s="1555"/>
      <c r="BW65" s="1555"/>
      <c r="BX65" s="1555"/>
      <c r="BY65" s="1555"/>
      <c r="BZ65" s="1555"/>
      <c r="CA65" s="1555"/>
      <c r="CB65" s="1555"/>
      <c r="CC65" s="574"/>
      <c r="CD65" s="574"/>
      <c r="CE65" s="574"/>
      <c r="CF65" s="574"/>
      <c r="CG65" s="585"/>
      <c r="CH65" s="574"/>
      <c r="CI65" s="619"/>
      <c r="CJ65" s="646"/>
    </row>
    <row r="66" spans="2:88" ht="19.5" customHeight="1">
      <c r="B66" s="28" t="s">
        <v>2023</v>
      </c>
      <c r="C66" s="459">
        <f ca="1">C16</f>
        <v>2</v>
      </c>
      <c r="H66" s="12"/>
      <c r="I66" s="428"/>
      <c r="J66" s="429"/>
      <c r="K66" s="429"/>
      <c r="L66" s="430"/>
      <c r="M66" s="431"/>
      <c r="N66" s="432"/>
      <c r="O66" s="433"/>
      <c r="P66" s="433"/>
      <c r="Q66" s="434"/>
      <c r="R66" s="440"/>
      <c r="S66" s="570"/>
      <c r="T66" s="570"/>
      <c r="U66" s="570"/>
      <c r="V66" s="782"/>
      <c r="W66" s="783"/>
      <c r="X66" s="783"/>
      <c r="Y66" s="464"/>
      <c r="Z66" s="464"/>
      <c r="AA66" s="465"/>
      <c r="AB66" s="474"/>
      <c r="AC66" s="462"/>
      <c r="AD66" s="618"/>
      <c r="AE66" s="462"/>
      <c r="AF66" s="1"/>
      <c r="AG66" s="466"/>
      <c r="AH66" s="440"/>
      <c r="AI66" s="577"/>
      <c r="AJ66" s="578"/>
      <c r="AK66" s="579"/>
      <c r="AL66" s="579"/>
      <c r="AM66" s="580"/>
      <c r="AN66" s="440"/>
      <c r="AO66" s="440"/>
      <c r="AP66" s="440"/>
      <c r="AQ66" s="440"/>
      <c r="AR66" s="440"/>
      <c r="AS66" s="440"/>
      <c r="AT66" s="581"/>
      <c r="AU66" s="582"/>
      <c r="AV66" s="583"/>
      <c r="AW66" s="584"/>
      <c r="AX66" s="434"/>
      <c r="AY66" s="434"/>
      <c r="AZ66" s="434"/>
      <c r="BA66" s="434"/>
      <c r="BB66" s="441"/>
      <c r="BC66" s="441"/>
      <c r="BD66" s="444"/>
      <c r="BE66" s="441"/>
      <c r="BF66" s="441"/>
      <c r="BG66" s="441"/>
      <c r="BH66" s="441"/>
      <c r="BI66" s="441"/>
      <c r="BJ66" s="445"/>
      <c r="BK66" s="445"/>
      <c r="BL66" s="445"/>
      <c r="BM66" s="445"/>
      <c r="BN66" s="455"/>
      <c r="BO66" s="479"/>
      <c r="BP66" s="479"/>
      <c r="BQ66" s="479"/>
      <c r="BR66" s="479"/>
      <c r="BS66" s="500"/>
      <c r="BT66" s="500"/>
      <c r="BU66" s="1555"/>
      <c r="BV66" s="1555"/>
      <c r="BW66" s="1555"/>
      <c r="BX66" s="1555"/>
      <c r="BY66" s="1555"/>
      <c r="BZ66" s="1555"/>
      <c r="CA66" s="1555"/>
      <c r="CB66" s="1555"/>
      <c r="CC66" s="574"/>
      <c r="CD66" s="574"/>
      <c r="CE66" s="574"/>
      <c r="CF66" s="574"/>
      <c r="CG66" s="585"/>
      <c r="CH66" s="574"/>
      <c r="CI66" s="619"/>
      <c r="CJ66" s="646"/>
    </row>
    <row r="67" spans="2:88" ht="19.5" customHeight="1">
      <c r="B67" s="12" t="s">
        <v>30</v>
      </c>
      <c r="C67" s="12" t="s">
        <v>1979</v>
      </c>
      <c r="D67" s="109" t="s">
        <v>2238</v>
      </c>
      <c r="E67" s="109" t="s">
        <v>2239</v>
      </c>
      <c r="F67" s="12" t="s">
        <v>1981</v>
      </c>
      <c r="H67" s="12"/>
      <c r="I67" s="18"/>
      <c r="J67" s="19"/>
      <c r="K67" s="19"/>
      <c r="L67" s="20"/>
      <c r="M67" s="22"/>
      <c r="N67" s="22"/>
      <c r="O67" s="22"/>
      <c r="P67" s="22"/>
      <c r="Q67" s="22"/>
      <c r="R67" s="22"/>
      <c r="S67" s="571"/>
      <c r="T67" s="571"/>
      <c r="U67" s="571"/>
      <c r="V67" s="22"/>
      <c r="W67" s="22"/>
      <c r="X67" s="22"/>
      <c r="Y67" s="22"/>
      <c r="Z67" s="22"/>
      <c r="AA67" s="22"/>
      <c r="AB67" s="476"/>
      <c r="AC67" s="485"/>
      <c r="AD67" s="449"/>
      <c r="AE67" s="485"/>
      <c r="AF67" s="449"/>
      <c r="AG67" s="449"/>
      <c r="AH67" s="22"/>
      <c r="AI67" s="22"/>
      <c r="AJ67" s="449"/>
      <c r="AK67" s="449"/>
      <c r="AL67" s="449"/>
      <c r="AM67" s="449"/>
      <c r="AN67" s="449"/>
      <c r="AO67" s="449"/>
      <c r="AP67" s="449"/>
      <c r="AQ67" s="449"/>
      <c r="AR67" s="449"/>
      <c r="AS67" s="449"/>
      <c r="AT67" s="449"/>
      <c r="AU67" s="489"/>
      <c r="AV67" s="449"/>
      <c r="AW67" s="485"/>
      <c r="AX67" s="22"/>
      <c r="AY67" s="22"/>
      <c r="AZ67" s="22"/>
      <c r="BA67" s="22"/>
      <c r="BB67" s="760"/>
      <c r="BC67" s="760"/>
      <c r="BD67" s="22"/>
      <c r="BE67" s="22"/>
      <c r="BF67" s="22"/>
      <c r="BG67" s="22"/>
      <c r="BH67" s="22"/>
      <c r="BI67" s="22"/>
      <c r="BJ67" s="22"/>
      <c r="BK67" s="22"/>
      <c r="BL67" s="22"/>
      <c r="BM67" s="22"/>
      <c r="BN67" s="22"/>
      <c r="CG67" s="22"/>
      <c r="CH67" s="565"/>
    </row>
    <row r="68" spans="2:88" ht="19.5" customHeight="1">
      <c r="B68" s="12" t="s">
        <v>163</v>
      </c>
      <c r="C68" s="12" t="s">
        <v>163</v>
      </c>
      <c r="D68" s="562">
        <f ca="1">SUMIFS($CG$7:$CG$42,$AF$7:$AF$42,$B68)</f>
        <v>0</v>
      </c>
      <c r="E68" s="562">
        <f t="shared" ref="E68:E78" ca="1" si="48">SUMIFS($CH$7:$CH$42,$AF$7:$AF$42,$B68)</f>
        <v>0</v>
      </c>
      <c r="F68" s="12">
        <f ca="1">IF(D68=0,0,RANK(D68,$D$68:$D$78))</f>
        <v>0</v>
      </c>
      <c r="H68" s="12"/>
      <c r="I68" s="18"/>
      <c r="J68" s="19"/>
      <c r="K68" s="19"/>
      <c r="L68" s="20"/>
      <c r="M68" s="22"/>
      <c r="N68" s="22"/>
      <c r="O68" s="22"/>
      <c r="P68" s="22"/>
      <c r="Q68" s="22"/>
      <c r="R68" s="22"/>
      <c r="S68" s="571"/>
      <c r="T68" s="571"/>
      <c r="U68" s="571"/>
      <c r="V68" s="22"/>
      <c r="W68" s="22"/>
      <c r="X68" s="22"/>
      <c r="Y68" s="22"/>
      <c r="Z68" s="22"/>
      <c r="AA68" s="22"/>
      <c r="AB68" s="476"/>
      <c r="AC68" s="485"/>
      <c r="AD68" s="449"/>
      <c r="AE68" s="485"/>
      <c r="AF68" s="449"/>
      <c r="AG68" s="449"/>
      <c r="AH68" s="22"/>
      <c r="AI68" s="22"/>
      <c r="AJ68" s="449"/>
      <c r="AK68" s="449"/>
      <c r="AL68" s="449"/>
      <c r="AM68" s="449"/>
      <c r="AN68" s="449"/>
      <c r="AO68" s="449"/>
      <c r="AP68" s="449"/>
      <c r="AQ68" s="449"/>
      <c r="AR68" s="449"/>
      <c r="AS68" s="449"/>
      <c r="AT68" s="449"/>
      <c r="AU68" s="489"/>
      <c r="AV68" s="449"/>
      <c r="AW68" s="485"/>
      <c r="AX68" s="22"/>
      <c r="AY68" s="22"/>
      <c r="AZ68" s="22"/>
      <c r="BA68" s="22"/>
      <c r="BB68" s="760"/>
      <c r="BC68" s="760"/>
      <c r="BD68" s="22"/>
      <c r="BE68" s="22"/>
      <c r="BF68" s="22"/>
      <c r="BG68" s="22"/>
      <c r="BH68" s="22"/>
      <c r="BI68" s="22"/>
      <c r="BJ68" s="22"/>
      <c r="BK68" s="22"/>
      <c r="BL68" s="22"/>
      <c r="BM68" s="22"/>
      <c r="BN68" s="22"/>
      <c r="CG68" s="22"/>
      <c r="CH68" s="565"/>
    </row>
    <row r="69" spans="2:88" ht="19.5" customHeight="1">
      <c r="B69" s="12" t="s">
        <v>165</v>
      </c>
      <c r="C69" s="12" t="s">
        <v>165</v>
      </c>
      <c r="D69" s="562">
        <f t="shared" ref="D69:D78" ca="1" si="49">SUMIFS($CG$7:$CG$42,$AF$7:$AF$42,$B69)</f>
        <v>0.29518072289156627</v>
      </c>
      <c r="E69" s="562">
        <f t="shared" ca="1" si="48"/>
        <v>0.289971515797952</v>
      </c>
      <c r="F69" s="12">
        <f t="shared" ref="F69:F78" ca="1" si="50">IF(D69=0,0,RANK(D69,$D$68:$D$78))</f>
        <v>2</v>
      </c>
      <c r="H69" s="12"/>
      <c r="I69" s="18"/>
      <c r="J69" s="19"/>
      <c r="K69" s="19"/>
      <c r="L69" s="20"/>
      <c r="M69" s="22"/>
      <c r="N69" s="22"/>
      <c r="O69" s="22"/>
      <c r="P69" s="22"/>
      <c r="Q69" s="22"/>
      <c r="R69" s="22"/>
      <c r="S69" s="571"/>
      <c r="T69" s="571"/>
      <c r="U69" s="571"/>
      <c r="V69" s="22"/>
      <c r="W69" s="22"/>
      <c r="X69" s="22"/>
      <c r="Y69" s="22"/>
      <c r="Z69" s="22"/>
      <c r="AA69" s="22"/>
      <c r="AB69" s="476"/>
      <c r="AC69" s="485"/>
      <c r="AD69" s="449"/>
      <c r="AE69" s="485"/>
      <c r="AF69" s="449"/>
      <c r="AG69" s="449"/>
      <c r="AH69" s="22"/>
      <c r="AI69" s="22"/>
      <c r="AJ69" s="449"/>
      <c r="AK69" s="449"/>
      <c r="AL69" s="449"/>
      <c r="AM69" s="449"/>
      <c r="AN69" s="449"/>
      <c r="AO69" s="449"/>
      <c r="AP69" s="449"/>
      <c r="AQ69" s="449"/>
      <c r="AR69" s="449"/>
      <c r="AS69" s="449"/>
      <c r="AT69" s="449"/>
      <c r="AU69" s="489"/>
      <c r="AV69" s="449"/>
      <c r="AW69" s="485"/>
      <c r="AX69" s="22"/>
      <c r="AY69" s="22"/>
      <c r="AZ69" s="22"/>
      <c r="BA69" s="22"/>
      <c r="BB69" s="760"/>
      <c r="BC69" s="760"/>
      <c r="BD69" s="22"/>
      <c r="BE69" s="22"/>
      <c r="BF69" s="22"/>
      <c r="BG69" s="22"/>
      <c r="BH69" s="22"/>
      <c r="BI69" s="22"/>
      <c r="BJ69" s="22"/>
      <c r="BK69" s="22"/>
      <c r="BL69" s="22"/>
      <c r="BM69" s="22"/>
      <c r="BN69" s="22"/>
      <c r="CG69" s="22"/>
      <c r="CH69" s="565"/>
    </row>
    <row r="70" spans="2:88" ht="19.5" customHeight="1">
      <c r="B70" s="12" t="s">
        <v>167</v>
      </c>
      <c r="C70" s="12" t="s">
        <v>167</v>
      </c>
      <c r="D70" s="562">
        <f t="shared" ca="1" si="49"/>
        <v>0.26506024096385544</v>
      </c>
      <c r="E70" s="562">
        <f t="shared" ca="1" si="48"/>
        <v>0.28356069617920665</v>
      </c>
      <c r="F70" s="12">
        <f t="shared" ca="1" si="50"/>
        <v>3</v>
      </c>
      <c r="H70" s="12"/>
      <c r="I70" s="18"/>
      <c r="J70" s="19"/>
      <c r="K70" s="19"/>
      <c r="L70" s="20"/>
      <c r="M70" s="22"/>
      <c r="N70" s="22"/>
      <c r="O70" s="22"/>
      <c r="P70" s="22"/>
      <c r="Q70" s="22"/>
      <c r="R70" s="22"/>
      <c r="S70" s="571"/>
      <c r="T70" s="571"/>
      <c r="U70" s="571"/>
      <c r="V70" s="22"/>
      <c r="W70" s="22"/>
      <c r="X70" s="22"/>
      <c r="Y70" s="22"/>
      <c r="Z70" s="22"/>
      <c r="AA70" s="22"/>
      <c r="AB70" s="476"/>
      <c r="AC70" s="485"/>
      <c r="AD70" s="449"/>
      <c r="AE70" s="485"/>
      <c r="AF70" s="449"/>
      <c r="AG70" s="449"/>
      <c r="AH70" s="22"/>
      <c r="AI70" s="22"/>
      <c r="AJ70" s="449"/>
      <c r="AK70" s="449"/>
      <c r="AL70" s="449"/>
      <c r="AM70" s="449"/>
      <c r="AN70" s="449"/>
      <c r="AO70" s="449"/>
      <c r="AP70" s="449"/>
      <c r="AQ70" s="449"/>
      <c r="AR70" s="449"/>
      <c r="AS70" s="449"/>
      <c r="AT70" s="449"/>
      <c r="AU70" s="489"/>
      <c r="AV70" s="449"/>
      <c r="AW70" s="485"/>
      <c r="AX70" s="22"/>
      <c r="AY70" s="22"/>
      <c r="AZ70" s="22"/>
      <c r="BA70" s="22"/>
      <c r="BB70" s="760"/>
      <c r="BC70" s="760"/>
      <c r="BD70" s="22"/>
      <c r="BE70" s="22"/>
      <c r="BF70" s="22"/>
      <c r="BG70" s="22"/>
      <c r="BH70" s="22"/>
      <c r="BI70" s="22"/>
      <c r="BJ70" s="22"/>
      <c r="BK70" s="22"/>
      <c r="BL70" s="22"/>
      <c r="BM70" s="22"/>
      <c r="BN70" s="22"/>
      <c r="CG70" s="22"/>
      <c r="CH70" s="565"/>
    </row>
    <row r="71" spans="2:88" ht="19.5" customHeight="1">
      <c r="B71" s="12" t="s">
        <v>171</v>
      </c>
      <c r="C71" s="12" t="s">
        <v>171</v>
      </c>
      <c r="D71" s="562">
        <f t="shared" ca="1" si="49"/>
        <v>0</v>
      </c>
      <c r="E71" s="562">
        <f t="shared" ca="1" si="48"/>
        <v>0</v>
      </c>
      <c r="F71" s="12">
        <f t="shared" ca="1" si="50"/>
        <v>0</v>
      </c>
      <c r="H71" s="12"/>
      <c r="I71" s="18"/>
      <c r="J71" s="19"/>
      <c r="K71" s="19"/>
      <c r="L71" s="20"/>
      <c r="M71" s="22"/>
      <c r="N71" s="22"/>
      <c r="O71" s="22"/>
      <c r="P71" s="22"/>
      <c r="Q71" s="22"/>
      <c r="R71" s="22"/>
      <c r="S71" s="571"/>
      <c r="T71" s="571"/>
      <c r="U71" s="571"/>
      <c r="V71" s="22"/>
      <c r="W71" s="22"/>
      <c r="X71" s="22"/>
      <c r="Y71" s="22"/>
      <c r="Z71" s="22"/>
      <c r="AA71" s="22"/>
      <c r="AB71" s="476"/>
      <c r="AC71" s="485"/>
      <c r="AD71" s="449"/>
      <c r="AE71" s="485"/>
      <c r="AF71" s="449"/>
      <c r="AG71" s="449"/>
      <c r="AH71" s="22"/>
      <c r="AI71" s="22"/>
      <c r="AJ71" s="449"/>
      <c r="AK71" s="449"/>
      <c r="AL71" s="449"/>
      <c r="AM71" s="449"/>
      <c r="AN71" s="449"/>
      <c r="AO71" s="449"/>
      <c r="AP71" s="449"/>
      <c r="AQ71" s="449"/>
      <c r="AR71" s="449"/>
      <c r="AS71" s="449"/>
      <c r="AT71" s="449"/>
      <c r="AU71" s="489"/>
      <c r="AV71" s="449"/>
      <c r="AW71" s="485"/>
      <c r="AX71" s="22"/>
      <c r="AY71" s="22"/>
      <c r="AZ71" s="22"/>
      <c r="BA71" s="22"/>
      <c r="BB71" s="760"/>
      <c r="BC71" s="760"/>
      <c r="BD71" s="22"/>
      <c r="BE71" s="22"/>
      <c r="BF71" s="22"/>
      <c r="BG71" s="22"/>
      <c r="BH71" s="22"/>
      <c r="BI71" s="22"/>
      <c r="BJ71" s="22"/>
      <c r="BK71" s="22"/>
      <c r="BL71" s="22"/>
      <c r="BM71" s="22"/>
      <c r="BN71" s="22"/>
      <c r="CG71" s="22"/>
      <c r="CH71" s="565"/>
    </row>
    <row r="72" spans="2:88" ht="19.5" customHeight="1">
      <c r="B72" s="12" t="s">
        <v>166</v>
      </c>
      <c r="C72" s="12" t="s">
        <v>166</v>
      </c>
      <c r="D72" s="562">
        <f t="shared" ca="1" si="49"/>
        <v>0</v>
      </c>
      <c r="E72" s="562">
        <f t="shared" ca="1" si="48"/>
        <v>0</v>
      </c>
      <c r="F72" s="12">
        <f t="shared" ca="1" si="50"/>
        <v>0</v>
      </c>
      <c r="H72" s="12"/>
      <c r="I72" s="18"/>
      <c r="J72" s="19"/>
      <c r="K72" s="19"/>
      <c r="L72" s="20"/>
      <c r="M72" s="22"/>
      <c r="N72" s="22"/>
      <c r="O72" s="22"/>
      <c r="P72" s="22"/>
      <c r="Q72" s="22"/>
      <c r="R72" s="22"/>
      <c r="S72" s="571"/>
      <c r="T72" s="571"/>
      <c r="U72" s="571"/>
      <c r="V72" s="22"/>
      <c r="W72" s="22"/>
      <c r="X72" s="22"/>
      <c r="Y72" s="22"/>
      <c r="Z72" s="22"/>
      <c r="AA72" s="22"/>
      <c r="AB72" s="476"/>
      <c r="AC72" s="485"/>
      <c r="AD72" s="449"/>
      <c r="AE72" s="485"/>
      <c r="AF72" s="449"/>
      <c r="AG72" s="449"/>
      <c r="AH72" s="22"/>
      <c r="AI72" s="22"/>
      <c r="AJ72" s="449"/>
      <c r="AK72" s="449"/>
      <c r="AL72" s="449"/>
      <c r="AM72" s="449"/>
      <c r="AN72" s="449"/>
      <c r="AO72" s="449"/>
      <c r="AP72" s="449"/>
      <c r="AQ72" s="449"/>
      <c r="AR72" s="449"/>
      <c r="AS72" s="449"/>
      <c r="AT72" s="449"/>
      <c r="AU72" s="489"/>
      <c r="AV72" s="449"/>
      <c r="AW72" s="485"/>
      <c r="AX72" s="22"/>
      <c r="AY72" s="22"/>
      <c r="AZ72" s="22"/>
      <c r="BA72" s="22"/>
      <c r="BB72" s="760"/>
      <c r="BC72" s="760"/>
      <c r="BD72" s="22"/>
      <c r="BE72" s="22"/>
      <c r="BF72" s="22"/>
      <c r="BG72" s="22"/>
      <c r="BH72" s="22"/>
      <c r="BI72" s="22"/>
      <c r="BJ72" s="22"/>
      <c r="BK72" s="22"/>
      <c r="BL72" s="22"/>
      <c r="BM72" s="22"/>
      <c r="BN72" s="22"/>
      <c r="CG72" s="22"/>
      <c r="CH72" s="565"/>
    </row>
    <row r="73" spans="2:88" ht="19.5" customHeight="1">
      <c r="B73" s="12" t="s">
        <v>164</v>
      </c>
      <c r="C73" s="12" t="s">
        <v>164</v>
      </c>
      <c r="D73" s="562">
        <f t="shared" ca="1" si="49"/>
        <v>0.43975903614457834</v>
      </c>
      <c r="E73" s="562">
        <f t="shared" ca="1" si="48"/>
        <v>0.42646778802284135</v>
      </c>
      <c r="F73" s="12">
        <f t="shared" ca="1" si="50"/>
        <v>1</v>
      </c>
      <c r="H73" s="12"/>
      <c r="I73" s="18"/>
      <c r="J73" s="19"/>
      <c r="K73" s="19"/>
      <c r="L73" s="20"/>
      <c r="M73" s="22"/>
      <c r="N73" s="22"/>
      <c r="O73" s="22"/>
      <c r="P73" s="22"/>
      <c r="Q73" s="22"/>
      <c r="R73" s="22"/>
      <c r="S73" s="571"/>
      <c r="T73" s="571"/>
      <c r="U73" s="571"/>
      <c r="V73" s="22"/>
      <c r="W73" s="22"/>
      <c r="X73" s="22"/>
      <c r="Y73" s="22"/>
      <c r="Z73" s="22"/>
      <c r="AA73" s="22"/>
      <c r="AB73" s="476"/>
      <c r="AC73" s="485"/>
      <c r="AD73" s="449"/>
      <c r="AE73" s="485"/>
      <c r="AF73" s="449"/>
      <c r="AG73" s="449"/>
      <c r="AH73" s="22"/>
      <c r="AI73" s="22"/>
      <c r="AJ73" s="449"/>
      <c r="AK73" s="449"/>
      <c r="AL73" s="449"/>
      <c r="AM73" s="449"/>
      <c r="AN73" s="449"/>
      <c r="AO73" s="449"/>
      <c r="AP73" s="449"/>
      <c r="AQ73" s="449"/>
      <c r="AR73" s="449"/>
      <c r="AS73" s="449"/>
      <c r="AT73" s="449"/>
      <c r="AU73" s="489"/>
      <c r="AV73" s="449"/>
      <c r="AW73" s="485"/>
      <c r="AX73" s="22"/>
      <c r="AY73" s="22"/>
      <c r="AZ73" s="22"/>
      <c r="BA73" s="22"/>
      <c r="BB73" s="760"/>
      <c r="BC73" s="760"/>
      <c r="BD73" s="22"/>
      <c r="BE73" s="22"/>
      <c r="BF73" s="22"/>
      <c r="BG73" s="22"/>
      <c r="BH73" s="22"/>
      <c r="BI73" s="22"/>
      <c r="BJ73" s="22"/>
      <c r="BK73" s="22"/>
      <c r="BL73" s="22"/>
      <c r="BM73" s="22"/>
      <c r="BN73" s="22"/>
      <c r="CG73" s="22"/>
      <c r="CH73" s="565"/>
    </row>
    <row r="74" spans="2:88" ht="19.5" customHeight="1">
      <c r="B74" s="12" t="s">
        <v>170</v>
      </c>
      <c r="C74" s="12" t="s">
        <v>170</v>
      </c>
      <c r="D74" s="562">
        <f t="shared" ca="1" si="49"/>
        <v>0</v>
      </c>
      <c r="E74" s="562">
        <f t="shared" ca="1" si="48"/>
        <v>0</v>
      </c>
      <c r="F74" s="12">
        <f t="shared" ca="1" si="50"/>
        <v>0</v>
      </c>
      <c r="H74" s="12"/>
      <c r="I74" s="18"/>
      <c r="J74" s="19"/>
      <c r="K74" s="19"/>
      <c r="L74" s="20"/>
      <c r="M74" s="22"/>
      <c r="N74" s="22"/>
      <c r="O74" s="22"/>
      <c r="P74" s="22"/>
      <c r="Q74" s="22"/>
      <c r="R74" s="22"/>
      <c r="S74" s="571"/>
      <c r="T74" s="571"/>
      <c r="U74" s="571"/>
      <c r="V74" s="22"/>
      <c r="W74" s="22"/>
      <c r="X74" s="22"/>
      <c r="Y74" s="22"/>
      <c r="Z74" s="22"/>
      <c r="AA74" s="22"/>
      <c r="AB74" s="476"/>
      <c r="AC74" s="485"/>
      <c r="AD74" s="449"/>
      <c r="AE74" s="485"/>
      <c r="AF74" s="449"/>
      <c r="AG74" s="449"/>
      <c r="AH74" s="22"/>
      <c r="AI74" s="22"/>
      <c r="AJ74" s="449"/>
      <c r="AK74" s="449"/>
      <c r="AL74" s="449"/>
      <c r="AM74" s="449"/>
      <c r="AN74" s="449"/>
      <c r="AO74" s="449"/>
      <c r="AP74" s="449"/>
      <c r="AQ74" s="449"/>
      <c r="AR74" s="449"/>
      <c r="AS74" s="449"/>
      <c r="AT74" s="449"/>
      <c r="AU74" s="489"/>
      <c r="AV74" s="449"/>
      <c r="AW74" s="485"/>
      <c r="AX74" s="22"/>
      <c r="AY74" s="22"/>
      <c r="AZ74" s="22"/>
      <c r="BA74" s="22"/>
      <c r="BB74" s="760"/>
      <c r="BC74" s="760"/>
      <c r="BD74" s="22"/>
      <c r="BE74" s="22"/>
      <c r="BF74" s="22"/>
      <c r="BG74" s="22"/>
      <c r="BH74" s="22"/>
      <c r="BI74" s="22"/>
      <c r="BJ74" s="22"/>
      <c r="BK74" s="22"/>
      <c r="BL74" s="22"/>
      <c r="BM74" s="22"/>
      <c r="BN74" s="22"/>
      <c r="CG74" s="22"/>
      <c r="CH74" s="565"/>
    </row>
    <row r="75" spans="2:88" ht="19.5" customHeight="1">
      <c r="B75" s="12" t="s">
        <v>162</v>
      </c>
      <c r="C75" s="12" t="s">
        <v>162</v>
      </c>
      <c r="D75" s="562">
        <f t="shared" ca="1" si="49"/>
        <v>0</v>
      </c>
      <c r="E75" s="562">
        <f t="shared" ca="1" si="48"/>
        <v>0</v>
      </c>
      <c r="F75" s="12">
        <f t="shared" ca="1" si="50"/>
        <v>0</v>
      </c>
      <c r="H75" s="12"/>
      <c r="I75" s="18"/>
      <c r="J75" s="19"/>
      <c r="K75" s="19"/>
      <c r="L75" s="20"/>
      <c r="M75" s="22"/>
      <c r="N75" s="22"/>
      <c r="O75" s="22"/>
      <c r="P75" s="22"/>
      <c r="Q75" s="22"/>
      <c r="R75" s="22"/>
      <c r="S75" s="571"/>
      <c r="T75" s="571"/>
      <c r="U75" s="571"/>
      <c r="V75" s="22"/>
      <c r="W75" s="22"/>
      <c r="X75" s="22"/>
      <c r="Y75" s="22"/>
      <c r="Z75" s="22"/>
      <c r="AA75" s="22"/>
      <c r="AB75" s="476"/>
      <c r="AC75" s="485"/>
      <c r="AD75" s="449"/>
      <c r="AE75" s="485"/>
      <c r="AF75" s="449"/>
      <c r="AG75" s="449"/>
      <c r="AH75" s="22"/>
      <c r="AI75" s="22"/>
      <c r="AJ75" s="449"/>
      <c r="AK75" s="449"/>
      <c r="AL75" s="449"/>
      <c r="AM75" s="449"/>
      <c r="AN75" s="449"/>
      <c r="AO75" s="449"/>
      <c r="AP75" s="449"/>
      <c r="AQ75" s="449"/>
      <c r="AR75" s="449"/>
      <c r="AS75" s="449"/>
      <c r="AT75" s="449"/>
      <c r="AU75" s="489"/>
      <c r="AV75" s="449"/>
      <c r="AW75" s="485"/>
      <c r="AX75" s="22"/>
      <c r="AY75" s="22"/>
      <c r="AZ75" s="22"/>
      <c r="BA75" s="22"/>
      <c r="BB75" s="760"/>
      <c r="BC75" s="760"/>
      <c r="BD75" s="22"/>
      <c r="BE75" s="22"/>
      <c r="BF75" s="22"/>
      <c r="BG75" s="22"/>
      <c r="BH75" s="22"/>
      <c r="BI75" s="22"/>
      <c r="BJ75" s="22"/>
      <c r="BK75" s="22"/>
      <c r="BL75" s="22"/>
      <c r="BM75" s="22"/>
      <c r="BN75" s="22"/>
      <c r="CG75" s="22"/>
      <c r="CH75" s="565"/>
    </row>
    <row r="76" spans="2:88" ht="19.5" customHeight="1">
      <c r="B76" s="12" t="s">
        <v>168</v>
      </c>
      <c r="C76" s="12" t="s">
        <v>173</v>
      </c>
      <c r="D76" s="562">
        <f t="shared" ca="1" si="49"/>
        <v>0</v>
      </c>
      <c r="E76" s="562">
        <f t="shared" ca="1" si="48"/>
        <v>0</v>
      </c>
      <c r="F76" s="12">
        <f t="shared" ca="1" si="50"/>
        <v>0</v>
      </c>
      <c r="H76" s="12"/>
      <c r="I76" s="18"/>
      <c r="J76" s="19"/>
      <c r="K76" s="19"/>
      <c r="L76" s="20"/>
      <c r="M76" s="22"/>
      <c r="N76" s="22"/>
      <c r="O76" s="22"/>
      <c r="P76" s="22"/>
      <c r="Q76" s="22"/>
      <c r="R76" s="22"/>
      <c r="S76" s="571"/>
      <c r="T76" s="571"/>
      <c r="U76" s="571"/>
      <c r="V76" s="22"/>
      <c r="W76" s="22"/>
      <c r="X76" s="22"/>
      <c r="Y76" s="22"/>
      <c r="Z76" s="22"/>
      <c r="AA76" s="22"/>
      <c r="AB76" s="476"/>
      <c r="AC76" s="485"/>
      <c r="AD76" s="449"/>
      <c r="AE76" s="485"/>
      <c r="AF76" s="449"/>
      <c r="AG76" s="449"/>
      <c r="AH76" s="22"/>
      <c r="AI76" s="22"/>
      <c r="AJ76" s="449"/>
      <c r="AK76" s="449"/>
      <c r="AL76" s="449"/>
      <c r="AM76" s="449"/>
      <c r="AN76" s="449"/>
      <c r="AO76" s="449"/>
      <c r="AP76" s="449"/>
      <c r="AQ76" s="449"/>
      <c r="AR76" s="449"/>
      <c r="AS76" s="449"/>
      <c r="AT76" s="449"/>
      <c r="AU76" s="489"/>
      <c r="AV76" s="449"/>
      <c r="AW76" s="485"/>
      <c r="AX76" s="22"/>
      <c r="AY76" s="22"/>
      <c r="AZ76" s="22"/>
      <c r="BA76" s="22"/>
      <c r="BB76" s="760"/>
      <c r="BC76" s="760"/>
      <c r="BD76" s="22"/>
      <c r="BE76" s="22"/>
      <c r="BF76" s="22"/>
      <c r="BG76" s="22"/>
      <c r="BH76" s="22"/>
      <c r="BI76" s="22"/>
      <c r="BJ76" s="22"/>
      <c r="BK76" s="22"/>
      <c r="BL76" s="22"/>
      <c r="BM76" s="22"/>
      <c r="BN76" s="22"/>
      <c r="CG76" s="22"/>
      <c r="CH76" s="565"/>
    </row>
    <row r="77" spans="2:88" ht="19.5" customHeight="1">
      <c r="B77" s="12" t="s">
        <v>169</v>
      </c>
      <c r="C77" s="12" t="s">
        <v>169</v>
      </c>
      <c r="D77" s="562">
        <f t="shared" ca="1" si="49"/>
        <v>0</v>
      </c>
      <c r="E77" s="562">
        <f t="shared" ca="1" si="48"/>
        <v>0</v>
      </c>
      <c r="F77" s="12">
        <f t="shared" ca="1" si="50"/>
        <v>0</v>
      </c>
      <c r="H77" s="12"/>
      <c r="I77" s="18"/>
      <c r="J77" s="19"/>
      <c r="K77" s="19"/>
      <c r="L77" s="20"/>
      <c r="M77" s="22"/>
      <c r="N77" s="22"/>
      <c r="O77" s="22"/>
      <c r="P77" s="22"/>
      <c r="Q77" s="22"/>
      <c r="R77" s="22"/>
      <c r="S77" s="571"/>
      <c r="T77" s="571"/>
      <c r="U77" s="571"/>
      <c r="V77" s="22"/>
      <c r="W77" s="22"/>
      <c r="X77" s="22"/>
      <c r="Y77" s="22"/>
      <c r="Z77" s="22"/>
      <c r="AA77" s="22"/>
      <c r="AB77" s="476"/>
      <c r="AC77" s="485"/>
      <c r="AD77" s="449"/>
      <c r="AE77" s="485"/>
      <c r="AF77" s="449"/>
      <c r="AG77" s="449"/>
      <c r="AH77" s="22"/>
      <c r="AI77" s="22"/>
      <c r="AJ77" s="449"/>
      <c r="AK77" s="449"/>
      <c r="AL77" s="449"/>
      <c r="AM77" s="449"/>
      <c r="AN77" s="449"/>
      <c r="AO77" s="449"/>
      <c r="AP77" s="449"/>
      <c r="AQ77" s="449"/>
      <c r="AR77" s="449"/>
      <c r="AS77" s="449"/>
      <c r="AT77" s="449"/>
      <c r="AU77" s="489"/>
      <c r="AV77" s="449"/>
      <c r="AW77" s="485"/>
      <c r="AX77" s="22"/>
      <c r="AY77" s="22"/>
      <c r="AZ77" s="22"/>
      <c r="BA77" s="22"/>
      <c r="BB77" s="760"/>
      <c r="BC77" s="760"/>
      <c r="BD77" s="22"/>
      <c r="BE77" s="22"/>
      <c r="BF77" s="22"/>
      <c r="BG77" s="22"/>
      <c r="BH77" s="22"/>
      <c r="BI77" s="22"/>
      <c r="BJ77" s="22"/>
      <c r="BK77" s="22"/>
      <c r="BL77" s="22"/>
      <c r="BM77" s="22"/>
      <c r="BN77" s="22"/>
      <c r="CG77" s="22"/>
      <c r="CH77" s="565"/>
    </row>
    <row r="78" spans="2:88" ht="19.5" customHeight="1">
      <c r="B78" s="12" t="s">
        <v>172</v>
      </c>
      <c r="C78" s="12" t="s">
        <v>172</v>
      </c>
      <c r="D78" s="562">
        <f t="shared" ca="1" si="49"/>
        <v>0</v>
      </c>
      <c r="E78" s="562">
        <f t="shared" ca="1" si="48"/>
        <v>0</v>
      </c>
      <c r="F78" s="12">
        <f t="shared" ca="1" si="50"/>
        <v>0</v>
      </c>
      <c r="H78" s="12"/>
      <c r="I78" s="18"/>
      <c r="J78" s="19"/>
      <c r="K78" s="19"/>
      <c r="L78" s="20"/>
      <c r="M78" s="22"/>
      <c r="N78" s="22"/>
      <c r="O78" s="22"/>
      <c r="P78" s="22"/>
      <c r="Q78" s="22"/>
      <c r="R78" s="22"/>
      <c r="S78" s="571"/>
      <c r="T78" s="571"/>
      <c r="U78" s="571"/>
      <c r="V78" s="22"/>
      <c r="W78" s="22"/>
      <c r="X78" s="22"/>
      <c r="Y78" s="22"/>
      <c r="Z78" s="22"/>
      <c r="AA78" s="22"/>
      <c r="AB78" s="476"/>
      <c r="AC78" s="485"/>
      <c r="AD78" s="449"/>
      <c r="AE78" s="485"/>
      <c r="AF78" s="449"/>
      <c r="AG78" s="449"/>
      <c r="AH78" s="22"/>
      <c r="AI78" s="22"/>
      <c r="AJ78" s="449"/>
      <c r="AK78" s="449"/>
      <c r="AL78" s="449"/>
      <c r="AM78" s="449"/>
      <c r="AN78" s="449"/>
      <c r="AO78" s="449"/>
      <c r="AP78" s="449"/>
      <c r="AQ78" s="449"/>
      <c r="AR78" s="449"/>
      <c r="AS78" s="449"/>
      <c r="AT78" s="449"/>
      <c r="AU78" s="489"/>
      <c r="AV78" s="449"/>
      <c r="AW78" s="485"/>
      <c r="AX78" s="22"/>
      <c r="AY78" s="22"/>
      <c r="AZ78" s="22"/>
      <c r="BA78" s="22"/>
      <c r="BB78" s="760"/>
      <c r="BC78" s="760"/>
      <c r="BD78" s="22"/>
      <c r="BE78" s="22"/>
      <c r="BF78" s="22"/>
      <c r="BG78" s="22"/>
      <c r="BH78" s="22"/>
      <c r="BI78" s="22"/>
      <c r="BJ78" s="22"/>
      <c r="BK78" s="22"/>
      <c r="BL78" s="22"/>
      <c r="BM78" s="22"/>
      <c r="BN78" s="22"/>
      <c r="CG78" s="22"/>
      <c r="CH78" s="565"/>
    </row>
    <row r="79" spans="2:88" ht="19.5" customHeight="1">
      <c r="B79" s="459" t="s">
        <v>3539</v>
      </c>
      <c r="C79" s="477"/>
      <c r="D79" s="477"/>
      <c r="F79" s="459">
        <f ca="1">MAX(F68:F78)</f>
        <v>3</v>
      </c>
      <c r="H79" s="12"/>
      <c r="I79" s="18"/>
      <c r="J79" s="19"/>
      <c r="K79" s="19"/>
      <c r="L79" s="20"/>
      <c r="M79" s="22"/>
      <c r="N79" s="22"/>
      <c r="O79" s="22"/>
      <c r="P79" s="22"/>
      <c r="Q79" s="22"/>
      <c r="R79" s="22"/>
      <c r="S79" s="571"/>
      <c r="T79" s="571"/>
      <c r="U79" s="571"/>
      <c r="V79" s="22"/>
      <c r="W79" s="22"/>
      <c r="X79" s="22"/>
      <c r="Y79" s="22"/>
      <c r="Z79" s="22"/>
      <c r="AA79" s="22"/>
      <c r="AB79" s="476"/>
      <c r="AC79" s="485"/>
      <c r="AD79" s="449"/>
      <c r="AE79" s="485"/>
      <c r="AF79" s="449"/>
      <c r="AG79" s="449"/>
      <c r="AH79" s="22"/>
      <c r="AI79" s="22"/>
      <c r="AJ79" s="449"/>
      <c r="AK79" s="449"/>
      <c r="AL79" s="449"/>
      <c r="AM79" s="449"/>
      <c r="AN79" s="449"/>
      <c r="AO79" s="449"/>
      <c r="AP79" s="449"/>
      <c r="AQ79" s="449"/>
      <c r="AR79" s="449"/>
      <c r="AS79" s="449"/>
      <c r="AT79" s="449"/>
      <c r="AU79" s="489"/>
      <c r="AV79" s="449"/>
      <c r="AW79" s="485"/>
      <c r="AX79" s="22"/>
      <c r="AY79" s="22"/>
      <c r="AZ79" s="22"/>
      <c r="BA79" s="22"/>
      <c r="BB79" s="760"/>
      <c r="BC79" s="760"/>
      <c r="BD79" s="22"/>
      <c r="BE79" s="22"/>
      <c r="BF79" s="22"/>
      <c r="BG79" s="22"/>
      <c r="BH79" s="22"/>
      <c r="BI79" s="22"/>
      <c r="BJ79" s="22"/>
      <c r="BK79" s="22"/>
      <c r="BL79" s="22"/>
      <c r="BM79" s="22"/>
      <c r="BN79" s="22"/>
      <c r="CG79" s="22"/>
      <c r="CH79" s="565"/>
    </row>
    <row r="80" spans="2:88" ht="19.5" customHeight="1">
      <c r="H80" s="12"/>
      <c r="I80" s="18"/>
      <c r="J80" s="19"/>
      <c r="K80" s="19"/>
      <c r="L80" s="20"/>
      <c r="M80" s="22"/>
      <c r="N80" s="22"/>
      <c r="O80" s="22"/>
      <c r="P80" s="22"/>
      <c r="Q80" s="22"/>
      <c r="R80" s="22"/>
      <c r="S80" s="571"/>
      <c r="T80" s="571"/>
      <c r="U80" s="571"/>
      <c r="V80" s="22"/>
      <c r="W80" s="22"/>
      <c r="X80" s="22"/>
      <c r="Y80" s="22"/>
      <c r="Z80" s="22"/>
      <c r="AA80" s="22"/>
      <c r="AB80" s="476"/>
      <c r="AC80" s="485"/>
      <c r="AD80" s="449"/>
      <c r="AE80" s="485"/>
      <c r="AF80" s="449"/>
      <c r="AG80" s="449"/>
      <c r="AH80" s="22"/>
      <c r="AI80" s="22"/>
      <c r="AJ80" s="449"/>
      <c r="AK80" s="449"/>
      <c r="AL80" s="449"/>
      <c r="AM80" s="449"/>
      <c r="AN80" s="449"/>
      <c r="AO80" s="449"/>
      <c r="AP80" s="449"/>
      <c r="AQ80" s="449"/>
      <c r="AR80" s="449"/>
      <c r="AS80" s="449"/>
      <c r="AT80" s="449"/>
      <c r="AU80" s="489"/>
      <c r="AV80" s="449"/>
      <c r="AW80" s="485"/>
      <c r="AX80" s="22"/>
      <c r="AY80" s="22"/>
      <c r="AZ80" s="22"/>
      <c r="BA80" s="22"/>
      <c r="BB80" s="760"/>
      <c r="BC80" s="760"/>
      <c r="BD80" s="22"/>
      <c r="BE80" s="22"/>
      <c r="BF80" s="22"/>
      <c r="BG80" s="22"/>
      <c r="BH80" s="22"/>
      <c r="BI80" s="22"/>
      <c r="BJ80" s="22"/>
      <c r="BK80" s="22"/>
      <c r="BL80" s="22"/>
      <c r="BM80" s="22"/>
      <c r="BN80" s="22"/>
      <c r="CG80" s="22"/>
      <c r="CH80" s="565"/>
    </row>
    <row r="81" spans="2:86" ht="19.5" customHeight="1">
      <c r="B81" s="459" t="s">
        <v>2020</v>
      </c>
      <c r="H81" s="12"/>
      <c r="I81" s="18"/>
      <c r="J81" s="19"/>
      <c r="K81" s="19"/>
      <c r="L81" s="20"/>
      <c r="M81" s="22"/>
      <c r="N81" s="22"/>
      <c r="O81" s="22"/>
      <c r="P81" s="22"/>
      <c r="Q81" s="22"/>
      <c r="R81" s="22"/>
      <c r="S81" s="571"/>
      <c r="T81" s="571"/>
      <c r="U81" s="571"/>
      <c r="V81" s="22"/>
      <c r="W81" s="22"/>
      <c r="X81" s="22"/>
      <c r="Y81" s="22"/>
      <c r="Z81" s="22"/>
      <c r="AA81" s="22"/>
      <c r="AB81" s="476"/>
      <c r="AC81" s="485"/>
      <c r="AD81" s="449"/>
      <c r="AE81" s="485"/>
      <c r="AF81" s="449"/>
      <c r="AG81" s="449"/>
      <c r="AH81" s="22"/>
      <c r="AI81" s="22"/>
      <c r="AJ81" s="449"/>
      <c r="AK81" s="449"/>
      <c r="AL81" s="449"/>
      <c r="AM81" s="449"/>
      <c r="AN81" s="449"/>
      <c r="AO81" s="449"/>
      <c r="AP81" s="449"/>
      <c r="AQ81" s="449"/>
      <c r="AR81" s="449"/>
      <c r="AS81" s="449"/>
      <c r="AT81" s="449"/>
      <c r="AU81" s="489"/>
      <c r="AV81" s="449"/>
      <c r="AW81" s="485"/>
      <c r="AX81" s="22"/>
      <c r="AY81" s="22"/>
      <c r="AZ81" s="22"/>
      <c r="BA81" s="22"/>
      <c r="BB81" s="760"/>
      <c r="BC81" s="760"/>
      <c r="BD81" s="22"/>
      <c r="BE81" s="22"/>
      <c r="BF81" s="22"/>
      <c r="BG81" s="22"/>
      <c r="BH81" s="22"/>
      <c r="BI81" s="22"/>
      <c r="BJ81" s="22"/>
      <c r="BK81" s="22"/>
      <c r="BL81" s="22"/>
      <c r="BM81" s="22"/>
      <c r="BN81" s="22"/>
      <c r="CG81" s="22"/>
      <c r="CH81" s="565"/>
    </row>
    <row r="82" spans="2:86" ht="19.5" customHeight="1">
      <c r="B82" s="12" t="s">
        <v>1981</v>
      </c>
      <c r="C82" s="12" t="s">
        <v>1982</v>
      </c>
      <c r="D82" s="109" t="s">
        <v>2022</v>
      </c>
      <c r="E82" s="12" t="s">
        <v>2019</v>
      </c>
      <c r="F82" s="12"/>
      <c r="H82" s="12"/>
      <c r="I82" s="18"/>
      <c r="J82" s="19"/>
      <c r="K82" s="19"/>
      <c r="L82" s="20"/>
      <c r="M82" s="22"/>
      <c r="N82" s="22"/>
      <c r="O82" s="22"/>
      <c r="P82" s="22"/>
      <c r="Q82" s="22"/>
      <c r="R82" s="22"/>
      <c r="S82" s="571"/>
      <c r="T82" s="571"/>
      <c r="U82" s="571"/>
      <c r="V82" s="22"/>
      <c r="W82" s="22"/>
      <c r="X82" s="22"/>
      <c r="Y82" s="22"/>
      <c r="Z82" s="22"/>
      <c r="AA82" s="22"/>
      <c r="AB82" s="476"/>
      <c r="AC82" s="485"/>
      <c r="AD82" s="449"/>
      <c r="AE82" s="485"/>
      <c r="AF82" s="449"/>
      <c r="AG82" s="449"/>
      <c r="AH82" s="22"/>
      <c r="AI82" s="22"/>
      <c r="AJ82" s="449"/>
      <c r="AK82" s="449"/>
      <c r="AL82" s="449"/>
      <c r="AM82" s="449"/>
      <c r="AN82" s="449"/>
      <c r="AO82" s="449"/>
      <c r="AP82" s="449"/>
      <c r="AQ82" s="449"/>
      <c r="AR82" s="449"/>
      <c r="AS82" s="449"/>
      <c r="AT82" s="449"/>
      <c r="AU82" s="489"/>
      <c r="AV82" s="449"/>
      <c r="AW82" s="485"/>
      <c r="AX82" s="22"/>
      <c r="AY82" s="22"/>
      <c r="AZ82" s="22"/>
      <c r="BA82" s="22"/>
      <c r="BB82" s="760"/>
      <c r="BC82" s="760"/>
      <c r="BD82" s="22"/>
      <c r="BE82" s="22"/>
      <c r="BF82" s="22"/>
      <c r="BG82" s="22"/>
      <c r="BH82" s="22"/>
      <c r="BI82" s="22"/>
      <c r="BJ82" s="22"/>
      <c r="BK82" s="22"/>
      <c r="BL82" s="22"/>
      <c r="BM82" s="22"/>
      <c r="BN82" s="22"/>
      <c r="CG82" s="22"/>
      <c r="CH82" s="565"/>
    </row>
    <row r="83" spans="2:86" ht="19.5" customHeight="1">
      <c r="B83" s="26">
        <v>1</v>
      </c>
      <c r="C83" s="12" t="str">
        <f ca="1">INDEX($C$68:$C$78,MATCH(B83,$F$68:$F$78,0))</f>
        <v>通訊</v>
      </c>
      <c r="D83" s="109">
        <f ca="1">VLOOKUP(F83,$B$68:$E$78,3,FALSE)</f>
        <v>0.43975903614457834</v>
      </c>
      <c r="E83" s="109">
        <f ca="1">VLOOKUP(F83,$B$68:$E$78,4,FALSE)</f>
        <v>0.42646778802284135</v>
      </c>
      <c r="F83" s="12" t="str">
        <f ca="1">INDEX($B$68:$B$78,MATCH(B83,$F$68:$F$78,0))</f>
        <v>通訊</v>
      </c>
      <c r="H83" s="12"/>
      <c r="I83" s="18"/>
      <c r="J83" s="19"/>
      <c r="K83" s="19"/>
      <c r="L83" s="20"/>
      <c r="M83" s="22"/>
      <c r="N83" s="22"/>
      <c r="O83" s="22"/>
      <c r="P83" s="22"/>
      <c r="Q83" s="22"/>
      <c r="R83" s="22"/>
      <c r="S83" s="571"/>
      <c r="T83" s="571"/>
      <c r="U83" s="571"/>
      <c r="V83" s="22"/>
      <c r="W83" s="22"/>
      <c r="X83" s="22"/>
      <c r="Y83" s="22"/>
      <c r="Z83" s="22"/>
      <c r="AA83" s="22"/>
      <c r="AB83" s="476"/>
      <c r="AC83" s="485"/>
      <c r="AD83" s="449"/>
      <c r="AE83" s="485"/>
      <c r="AF83" s="449"/>
      <c r="AG83" s="449"/>
      <c r="AH83" s="22"/>
      <c r="AI83" s="22"/>
      <c r="AJ83" s="449"/>
      <c r="AK83" s="449"/>
      <c r="AL83" s="449"/>
      <c r="AM83" s="449"/>
      <c r="AN83" s="449"/>
      <c r="AO83" s="449"/>
      <c r="AP83" s="449"/>
      <c r="AQ83" s="449"/>
      <c r="AR83" s="449"/>
      <c r="AS83" s="449"/>
      <c r="AT83" s="449"/>
      <c r="AU83" s="489"/>
      <c r="AV83" s="449"/>
      <c r="AW83" s="485"/>
      <c r="AX83" s="22"/>
      <c r="AY83" s="22"/>
      <c r="AZ83" s="22"/>
      <c r="BA83" s="22"/>
      <c r="BB83" s="760"/>
      <c r="BC83" s="760"/>
      <c r="BD83" s="22"/>
      <c r="BE83" s="22"/>
      <c r="BF83" s="22"/>
      <c r="BG83" s="22"/>
      <c r="BH83" s="22"/>
      <c r="BI83" s="22"/>
      <c r="BJ83" s="22"/>
      <c r="BK83" s="22"/>
      <c r="BL83" s="22"/>
      <c r="BM83" s="22"/>
      <c r="BN83" s="22"/>
      <c r="CG83" s="22"/>
      <c r="CH83" s="565"/>
    </row>
    <row r="84" spans="2:86" ht="19.5" customHeight="1">
      <c r="B84" s="26">
        <v>2</v>
      </c>
      <c r="C84" s="12" t="str">
        <f t="shared" ref="C84:C94" ca="1" si="51">INDEX($C$68:$C$78,MATCH(B84,$F$68:$F$78,0))</f>
        <v>科技</v>
      </c>
      <c r="D84" s="109">
        <f t="shared" ref="D84:D94" ca="1" si="52">VLOOKUP(F84,$B$68:$E$78,3,FALSE)</f>
        <v>0.29518072289156627</v>
      </c>
      <c r="E84" s="109">
        <f t="shared" ref="E84:E94" ca="1" si="53">VLOOKUP(F84,$B$68:$E$78,4,FALSE)</f>
        <v>0.289971515797952</v>
      </c>
      <c r="F84" s="12" t="str">
        <f t="shared" ref="F84:F94" ca="1" si="54">INDEX($B$68:$B$78,MATCH(B84,$F$68:$F$78,0))</f>
        <v>科技</v>
      </c>
      <c r="H84" s="12"/>
      <c r="I84" s="18"/>
      <c r="J84" s="19"/>
      <c r="K84" s="19"/>
      <c r="L84" s="20"/>
      <c r="M84" s="22"/>
      <c r="N84" s="22"/>
      <c r="O84" s="22"/>
      <c r="P84" s="22"/>
      <c r="Q84" s="22"/>
      <c r="R84" s="22"/>
      <c r="S84" s="571"/>
      <c r="T84" s="571"/>
      <c r="U84" s="571"/>
      <c r="V84" s="22"/>
      <c r="W84" s="22"/>
      <c r="X84" s="22"/>
      <c r="Y84" s="22"/>
      <c r="Z84" s="22"/>
      <c r="AA84" s="22"/>
      <c r="AB84" s="476"/>
      <c r="AC84" s="485"/>
      <c r="AD84" s="449"/>
      <c r="AE84" s="485"/>
      <c r="AF84" s="449"/>
      <c r="AG84" s="449"/>
      <c r="AH84" s="22"/>
      <c r="AI84" s="22"/>
      <c r="AJ84" s="449"/>
      <c r="AK84" s="449"/>
      <c r="AL84" s="449"/>
      <c r="AM84" s="449"/>
      <c r="AN84" s="449"/>
      <c r="AO84" s="449"/>
      <c r="AP84" s="449"/>
      <c r="AQ84" s="449"/>
      <c r="AR84" s="449"/>
      <c r="AS84" s="449"/>
      <c r="AT84" s="449"/>
      <c r="AU84" s="489"/>
      <c r="AV84" s="449"/>
      <c r="AW84" s="485"/>
      <c r="AX84" s="22"/>
      <c r="AY84" s="22"/>
      <c r="AZ84" s="22"/>
      <c r="BA84" s="22"/>
      <c r="BB84" s="760"/>
      <c r="BC84" s="760"/>
      <c r="BD84" s="22"/>
      <c r="BE84" s="22"/>
      <c r="BF84" s="22"/>
      <c r="BG84" s="22"/>
      <c r="BH84" s="22"/>
      <c r="BI84" s="22"/>
      <c r="BJ84" s="22"/>
      <c r="BK84" s="22"/>
      <c r="BL84" s="22"/>
      <c r="BM84" s="22"/>
      <c r="BN84" s="22"/>
      <c r="CG84" s="22"/>
      <c r="CH84" s="565"/>
    </row>
    <row r="85" spans="2:86" ht="19.5" customHeight="1">
      <c r="B85" s="26">
        <v>3</v>
      </c>
      <c r="C85" s="12" t="str">
        <f t="shared" ca="1" si="51"/>
        <v>醫療保健</v>
      </c>
      <c r="D85" s="109">
        <f t="shared" ca="1" si="52"/>
        <v>0.26506024096385544</v>
      </c>
      <c r="E85" s="109">
        <f t="shared" ca="1" si="53"/>
        <v>0.28356069617920665</v>
      </c>
      <c r="F85" s="12" t="str">
        <f t="shared" ca="1" si="54"/>
        <v>醫療保健</v>
      </c>
      <c r="H85" s="12"/>
      <c r="I85" s="18"/>
      <c r="J85" s="19"/>
      <c r="K85" s="19"/>
      <c r="L85" s="20"/>
      <c r="M85" s="22"/>
      <c r="N85" s="22"/>
      <c r="O85" s="22"/>
      <c r="P85" s="22"/>
      <c r="Q85" s="22"/>
      <c r="R85" s="22"/>
      <c r="S85" s="571"/>
      <c r="T85" s="571"/>
      <c r="U85" s="571"/>
      <c r="V85" s="22"/>
      <c r="W85" s="22"/>
      <c r="X85" s="22"/>
      <c r="Y85" s="22"/>
      <c r="Z85" s="22"/>
      <c r="AA85" s="22"/>
      <c r="AB85" s="476"/>
      <c r="AC85" s="485"/>
      <c r="AD85" s="449"/>
      <c r="AE85" s="485"/>
      <c r="AF85" s="449"/>
      <c r="AG85" s="449"/>
      <c r="AH85" s="22"/>
      <c r="AI85" s="22"/>
      <c r="AJ85" s="449"/>
      <c r="AK85" s="449"/>
      <c r="AL85" s="449"/>
      <c r="AM85" s="449"/>
      <c r="AN85" s="449"/>
      <c r="AO85" s="449"/>
      <c r="AP85" s="449"/>
      <c r="AQ85" s="449"/>
      <c r="AR85" s="449"/>
      <c r="AS85" s="449"/>
      <c r="AT85" s="449"/>
      <c r="AU85" s="489"/>
      <c r="AV85" s="449"/>
      <c r="AW85" s="485"/>
      <c r="AX85" s="22"/>
      <c r="AY85" s="22"/>
      <c r="AZ85" s="22"/>
      <c r="BA85" s="22"/>
      <c r="BB85" s="760"/>
      <c r="BC85" s="760"/>
      <c r="BD85" s="22"/>
      <c r="BE85" s="22"/>
      <c r="BF85" s="22"/>
      <c r="BG85" s="22"/>
      <c r="BH85" s="22"/>
      <c r="BI85" s="22"/>
      <c r="BJ85" s="22"/>
      <c r="BK85" s="22"/>
      <c r="BL85" s="22"/>
      <c r="BM85" s="22"/>
      <c r="BN85" s="22"/>
      <c r="CG85" s="22"/>
      <c r="CH85" s="565"/>
    </row>
    <row r="86" spans="2:86" ht="19.5" customHeight="1">
      <c r="B86" s="26">
        <v>4</v>
      </c>
      <c r="C86" s="12" t="e">
        <f t="shared" ca="1" si="51"/>
        <v>#N/A</v>
      </c>
      <c r="D86" s="109" t="e">
        <f t="shared" ca="1" si="52"/>
        <v>#N/A</v>
      </c>
      <c r="E86" s="109" t="e">
        <f t="shared" ca="1" si="53"/>
        <v>#N/A</v>
      </c>
      <c r="F86" s="12" t="e">
        <f t="shared" ca="1" si="54"/>
        <v>#N/A</v>
      </c>
      <c r="H86" s="12"/>
      <c r="I86" s="18"/>
      <c r="J86" s="19"/>
      <c r="K86" s="19"/>
      <c r="L86" s="20"/>
      <c r="M86" s="22"/>
      <c r="N86" s="22"/>
      <c r="O86" s="22"/>
      <c r="P86" s="22"/>
      <c r="Q86" s="22"/>
      <c r="R86" s="22"/>
      <c r="S86" s="571"/>
      <c r="T86" s="571"/>
      <c r="U86" s="571"/>
      <c r="V86" s="22"/>
      <c r="W86" s="22"/>
      <c r="X86" s="22"/>
      <c r="Y86" s="22"/>
      <c r="Z86" s="22"/>
      <c r="AA86" s="22"/>
      <c r="AB86" s="476"/>
      <c r="AC86" s="485"/>
      <c r="AD86" s="449"/>
      <c r="AE86" s="485"/>
      <c r="AF86" s="449"/>
      <c r="AG86" s="449"/>
      <c r="AH86" s="22"/>
      <c r="AI86" s="22"/>
      <c r="AJ86" s="449"/>
      <c r="AK86" s="449"/>
      <c r="AL86" s="449"/>
      <c r="AM86" s="449"/>
      <c r="AN86" s="449"/>
      <c r="AO86" s="449"/>
      <c r="AP86" s="449"/>
      <c r="AQ86" s="449"/>
      <c r="AR86" s="449"/>
      <c r="AS86" s="449"/>
      <c r="AT86" s="449"/>
      <c r="AU86" s="489"/>
      <c r="AV86" s="449"/>
      <c r="AW86" s="485"/>
      <c r="AX86" s="22"/>
      <c r="AY86" s="22"/>
      <c r="AZ86" s="22"/>
      <c r="BA86" s="22"/>
      <c r="BB86" s="760"/>
      <c r="BC86" s="760"/>
      <c r="BD86" s="22"/>
      <c r="BE86" s="22"/>
      <c r="BF86" s="22"/>
      <c r="BG86" s="22"/>
      <c r="BH86" s="22"/>
      <c r="BI86" s="22"/>
      <c r="BJ86" s="22"/>
      <c r="BK86" s="22"/>
      <c r="BL86" s="22"/>
      <c r="BM86" s="22"/>
      <c r="BN86" s="22"/>
      <c r="CG86" s="22"/>
      <c r="CH86" s="565"/>
    </row>
    <row r="87" spans="2:86" ht="19.5" customHeight="1">
      <c r="B87" s="26">
        <v>5</v>
      </c>
      <c r="C87" s="12" t="e">
        <f t="shared" ca="1" si="51"/>
        <v>#N/A</v>
      </c>
      <c r="D87" s="109" t="e">
        <f t="shared" ca="1" si="52"/>
        <v>#N/A</v>
      </c>
      <c r="E87" s="109" t="e">
        <f t="shared" ca="1" si="53"/>
        <v>#N/A</v>
      </c>
      <c r="F87" s="12" t="e">
        <f t="shared" ca="1" si="54"/>
        <v>#N/A</v>
      </c>
      <c r="H87" s="12"/>
      <c r="I87" s="18"/>
      <c r="J87" s="19"/>
      <c r="K87" s="19"/>
      <c r="L87" s="20"/>
      <c r="M87" s="22"/>
      <c r="N87" s="22"/>
      <c r="O87" s="22"/>
      <c r="P87" s="22"/>
      <c r="Q87" s="22"/>
      <c r="R87" s="22"/>
      <c r="S87" s="571"/>
      <c r="T87" s="571"/>
      <c r="U87" s="571"/>
      <c r="V87" s="22"/>
      <c r="W87" s="22"/>
      <c r="X87" s="22"/>
      <c r="Y87" s="22"/>
      <c r="Z87" s="22"/>
      <c r="AA87" s="22"/>
      <c r="AB87" s="476"/>
      <c r="AC87" s="485"/>
      <c r="AD87" s="449"/>
      <c r="AE87" s="485"/>
      <c r="AF87" s="449"/>
      <c r="AG87" s="449"/>
      <c r="AH87" s="22"/>
      <c r="AI87" s="22"/>
      <c r="AJ87" s="449"/>
      <c r="AK87" s="449"/>
      <c r="AL87" s="449"/>
      <c r="AM87" s="449"/>
      <c r="AN87" s="449"/>
      <c r="AO87" s="449"/>
      <c r="AP87" s="449"/>
      <c r="AQ87" s="449"/>
      <c r="AR87" s="449"/>
      <c r="AS87" s="449"/>
      <c r="AT87" s="449"/>
      <c r="AU87" s="489"/>
      <c r="AV87" s="449"/>
      <c r="AW87" s="485"/>
      <c r="AX87" s="22"/>
      <c r="AY87" s="22"/>
      <c r="AZ87" s="22"/>
      <c r="BA87" s="22"/>
      <c r="BB87" s="760"/>
      <c r="BC87" s="760"/>
      <c r="BD87" s="22"/>
      <c r="BE87" s="22"/>
      <c r="BF87" s="22"/>
      <c r="BG87" s="22"/>
      <c r="BH87" s="22"/>
      <c r="BI87" s="22"/>
      <c r="BJ87" s="22"/>
      <c r="BK87" s="22"/>
      <c r="BL87" s="22"/>
      <c r="BM87" s="22"/>
      <c r="BN87" s="22"/>
      <c r="CG87" s="22"/>
      <c r="CH87" s="565"/>
    </row>
    <row r="88" spans="2:86" ht="19.5" customHeight="1">
      <c r="B88" s="26">
        <v>6</v>
      </c>
      <c r="C88" s="12" t="e">
        <f t="shared" ca="1" si="51"/>
        <v>#N/A</v>
      </c>
      <c r="D88" s="109" t="e">
        <f t="shared" ca="1" si="52"/>
        <v>#N/A</v>
      </c>
      <c r="E88" s="109" t="e">
        <f t="shared" ca="1" si="53"/>
        <v>#N/A</v>
      </c>
      <c r="F88" s="12" t="e">
        <f t="shared" ca="1" si="54"/>
        <v>#N/A</v>
      </c>
      <c r="H88" s="12"/>
      <c r="I88" s="18"/>
      <c r="J88" s="19"/>
      <c r="K88" s="19"/>
      <c r="L88" s="20"/>
      <c r="M88" s="22"/>
      <c r="N88" s="22"/>
      <c r="O88" s="22"/>
      <c r="P88" s="22"/>
      <c r="Q88" s="22"/>
      <c r="R88" s="22"/>
      <c r="S88" s="571"/>
      <c r="T88" s="571"/>
      <c r="U88" s="571"/>
      <c r="V88" s="22"/>
      <c r="W88" s="22"/>
      <c r="X88" s="22"/>
      <c r="Y88" s="22"/>
      <c r="Z88" s="22"/>
      <c r="AA88" s="22"/>
      <c r="AB88" s="476"/>
      <c r="AC88" s="485"/>
      <c r="AD88" s="449"/>
      <c r="AE88" s="485"/>
      <c r="AF88" s="449"/>
      <c r="AG88" s="449"/>
      <c r="AH88" s="22"/>
      <c r="AI88" s="22"/>
      <c r="AJ88" s="449"/>
      <c r="AK88" s="449"/>
      <c r="AL88" s="449"/>
      <c r="AM88" s="449"/>
      <c r="AN88" s="449"/>
      <c r="AO88" s="449"/>
      <c r="AP88" s="449"/>
      <c r="AQ88" s="449"/>
      <c r="AR88" s="449"/>
      <c r="AS88" s="449"/>
      <c r="AT88" s="449"/>
      <c r="AU88" s="489"/>
      <c r="AV88" s="449"/>
      <c r="AW88" s="485"/>
      <c r="AX88" s="22"/>
      <c r="AY88" s="22"/>
      <c r="AZ88" s="22"/>
      <c r="BA88" s="22"/>
      <c r="BB88" s="760"/>
      <c r="BC88" s="760"/>
      <c r="BD88" s="22"/>
      <c r="BE88" s="22"/>
      <c r="BF88" s="22"/>
      <c r="BG88" s="22"/>
      <c r="BH88" s="22"/>
      <c r="BI88" s="22"/>
      <c r="BJ88" s="22"/>
      <c r="BK88" s="22"/>
      <c r="BL88" s="22"/>
      <c r="BM88" s="22"/>
      <c r="BN88" s="22"/>
      <c r="CG88" s="22"/>
      <c r="CH88" s="565"/>
    </row>
    <row r="89" spans="2:86" ht="19.5" customHeight="1">
      <c r="B89" s="26">
        <v>7</v>
      </c>
      <c r="C89" s="12" t="e">
        <f t="shared" ca="1" si="51"/>
        <v>#N/A</v>
      </c>
      <c r="D89" s="109" t="e">
        <f t="shared" ca="1" si="52"/>
        <v>#N/A</v>
      </c>
      <c r="E89" s="109" t="e">
        <f t="shared" ca="1" si="53"/>
        <v>#N/A</v>
      </c>
      <c r="F89" s="12" t="e">
        <f t="shared" ca="1" si="54"/>
        <v>#N/A</v>
      </c>
      <c r="H89" s="12"/>
      <c r="I89" s="18"/>
      <c r="J89" s="19"/>
      <c r="K89" s="19"/>
      <c r="L89" s="20"/>
      <c r="M89" s="22"/>
      <c r="N89" s="22"/>
      <c r="O89" s="22"/>
      <c r="P89" s="22"/>
      <c r="Q89" s="22"/>
      <c r="R89" s="22"/>
      <c r="S89" s="571"/>
      <c r="T89" s="571"/>
      <c r="U89" s="571"/>
      <c r="V89" s="22"/>
      <c r="W89" s="22"/>
      <c r="X89" s="22"/>
      <c r="Y89" s="22"/>
      <c r="Z89" s="22"/>
      <c r="AA89" s="22"/>
      <c r="AB89" s="476"/>
      <c r="AC89" s="485"/>
      <c r="AD89" s="449"/>
      <c r="AE89" s="485"/>
      <c r="AF89" s="449"/>
      <c r="AG89" s="449"/>
      <c r="AH89" s="22"/>
      <c r="AI89" s="22"/>
      <c r="AJ89" s="449"/>
      <c r="AK89" s="449"/>
      <c r="AL89" s="449"/>
      <c r="AM89" s="449"/>
      <c r="AN89" s="449"/>
      <c r="AO89" s="449"/>
      <c r="AP89" s="449"/>
      <c r="AQ89" s="449"/>
      <c r="AR89" s="449"/>
      <c r="AS89" s="449"/>
      <c r="AT89" s="449"/>
      <c r="AU89" s="489"/>
      <c r="AV89" s="449"/>
      <c r="AW89" s="485"/>
      <c r="AX89" s="22"/>
      <c r="AY89" s="22"/>
      <c r="AZ89" s="22"/>
      <c r="BA89" s="22"/>
      <c r="BB89" s="760"/>
      <c r="BC89" s="760"/>
      <c r="BD89" s="22"/>
      <c r="BE89" s="22"/>
      <c r="BF89" s="22"/>
      <c r="BG89" s="22"/>
      <c r="BH89" s="22"/>
      <c r="BI89" s="22"/>
      <c r="BJ89" s="22"/>
      <c r="BK89" s="22"/>
      <c r="BL89" s="22"/>
      <c r="BM89" s="22"/>
      <c r="BN89" s="22"/>
      <c r="CG89" s="22"/>
      <c r="CH89" s="565"/>
    </row>
    <row r="90" spans="2:86" ht="19.5" customHeight="1">
      <c r="B90" s="26">
        <v>8</v>
      </c>
      <c r="C90" s="12" t="e">
        <f t="shared" ca="1" si="51"/>
        <v>#N/A</v>
      </c>
      <c r="D90" s="109" t="e">
        <f t="shared" ca="1" si="52"/>
        <v>#N/A</v>
      </c>
      <c r="E90" s="109" t="e">
        <f t="shared" ca="1" si="53"/>
        <v>#N/A</v>
      </c>
      <c r="F90" s="12" t="e">
        <f t="shared" ca="1" si="54"/>
        <v>#N/A</v>
      </c>
      <c r="H90" s="12"/>
      <c r="I90" s="18"/>
      <c r="J90" s="19"/>
      <c r="K90" s="19"/>
      <c r="L90" s="20"/>
      <c r="M90" s="22"/>
      <c r="N90" s="22"/>
      <c r="O90" s="22"/>
      <c r="P90" s="22"/>
      <c r="Q90" s="22"/>
      <c r="R90" s="22"/>
      <c r="S90" s="571"/>
      <c r="T90" s="571"/>
      <c r="U90" s="571"/>
      <c r="V90" s="22"/>
      <c r="W90" s="22"/>
      <c r="X90" s="22"/>
      <c r="Y90" s="22"/>
      <c r="Z90" s="22"/>
      <c r="AA90" s="22"/>
      <c r="AB90" s="476"/>
      <c r="AC90" s="485"/>
      <c r="AD90" s="449"/>
      <c r="AE90" s="485"/>
      <c r="AF90" s="449"/>
      <c r="AG90" s="449"/>
      <c r="AH90" s="22"/>
      <c r="AI90" s="22"/>
      <c r="AJ90" s="449"/>
      <c r="AK90" s="449"/>
      <c r="AL90" s="449"/>
      <c r="AM90" s="449"/>
      <c r="AN90" s="449"/>
      <c r="AO90" s="449"/>
      <c r="AP90" s="449"/>
      <c r="AQ90" s="449"/>
      <c r="AR90" s="449"/>
      <c r="AS90" s="449"/>
      <c r="AT90" s="449"/>
      <c r="AU90" s="489"/>
      <c r="AV90" s="449"/>
      <c r="AW90" s="485"/>
      <c r="AX90" s="22"/>
      <c r="AY90" s="22"/>
      <c r="AZ90" s="22"/>
      <c r="BA90" s="22"/>
      <c r="BB90" s="760"/>
      <c r="BC90" s="760"/>
      <c r="BD90" s="22"/>
      <c r="BE90" s="22"/>
      <c r="BF90" s="22"/>
      <c r="BG90" s="22"/>
      <c r="BH90" s="22"/>
      <c r="BI90" s="22"/>
      <c r="BJ90" s="22"/>
      <c r="BK90" s="22"/>
      <c r="BL90" s="22"/>
      <c r="BM90" s="22"/>
      <c r="BN90" s="22"/>
      <c r="CG90" s="22"/>
      <c r="CH90" s="565"/>
    </row>
    <row r="91" spans="2:86" ht="19.5" customHeight="1">
      <c r="B91" s="26">
        <v>9</v>
      </c>
      <c r="C91" s="12" t="e">
        <f t="shared" ca="1" si="51"/>
        <v>#N/A</v>
      </c>
      <c r="D91" s="109" t="e">
        <f t="shared" ca="1" si="52"/>
        <v>#N/A</v>
      </c>
      <c r="E91" s="109" t="e">
        <f t="shared" ca="1" si="53"/>
        <v>#N/A</v>
      </c>
      <c r="F91" s="12" t="e">
        <f t="shared" ca="1" si="54"/>
        <v>#N/A</v>
      </c>
      <c r="H91" s="12"/>
      <c r="I91" s="18"/>
      <c r="J91" s="19"/>
      <c r="K91" s="19"/>
      <c r="L91" s="20"/>
      <c r="M91" s="22"/>
      <c r="N91" s="22"/>
      <c r="O91" s="22"/>
      <c r="P91" s="22"/>
      <c r="Q91" s="22"/>
      <c r="R91" s="22"/>
      <c r="S91" s="571"/>
      <c r="T91" s="571"/>
      <c r="U91" s="571"/>
      <c r="V91" s="22"/>
      <c r="W91" s="22"/>
      <c r="X91" s="22"/>
      <c r="Y91" s="22"/>
      <c r="Z91" s="22"/>
      <c r="AA91" s="22"/>
      <c r="AB91" s="476"/>
      <c r="AC91" s="485"/>
      <c r="AD91" s="449"/>
      <c r="AE91" s="485"/>
      <c r="AF91" s="449"/>
      <c r="AG91" s="449"/>
      <c r="AH91" s="22"/>
      <c r="AI91" s="22"/>
      <c r="AJ91" s="449"/>
      <c r="AK91" s="449"/>
      <c r="AL91" s="449"/>
      <c r="AM91" s="449"/>
      <c r="AN91" s="449"/>
      <c r="AO91" s="449"/>
      <c r="AP91" s="449"/>
      <c r="AQ91" s="449"/>
      <c r="AR91" s="449"/>
      <c r="AS91" s="449"/>
      <c r="AT91" s="449"/>
      <c r="AU91" s="489"/>
      <c r="AV91" s="449"/>
      <c r="AW91" s="485"/>
      <c r="AX91" s="22"/>
      <c r="AY91" s="22"/>
      <c r="AZ91" s="22"/>
      <c r="BA91" s="22"/>
      <c r="BB91" s="760"/>
      <c r="BC91" s="760"/>
      <c r="BD91" s="22"/>
      <c r="BE91" s="22"/>
      <c r="BF91" s="22"/>
      <c r="BG91" s="22"/>
      <c r="BH91" s="22"/>
      <c r="BI91" s="22"/>
      <c r="BJ91" s="22"/>
      <c r="BK91" s="22"/>
      <c r="BL91" s="22"/>
      <c r="BM91" s="22"/>
      <c r="BN91" s="22"/>
      <c r="CG91" s="22"/>
      <c r="CH91" s="565"/>
    </row>
    <row r="92" spans="2:86" ht="19.5" customHeight="1">
      <c r="B92" s="26">
        <v>10</v>
      </c>
      <c r="C92" s="12" t="e">
        <f t="shared" ca="1" si="51"/>
        <v>#N/A</v>
      </c>
      <c r="D92" s="109" t="e">
        <f t="shared" ca="1" si="52"/>
        <v>#N/A</v>
      </c>
      <c r="E92" s="109" t="e">
        <f t="shared" ca="1" si="53"/>
        <v>#N/A</v>
      </c>
      <c r="F92" s="12" t="e">
        <f t="shared" ca="1" si="54"/>
        <v>#N/A</v>
      </c>
      <c r="H92" s="12"/>
      <c r="I92" s="18"/>
      <c r="J92" s="19"/>
      <c r="K92" s="19"/>
      <c r="L92" s="20"/>
      <c r="M92" s="22"/>
      <c r="N92" s="22"/>
      <c r="O92" s="22"/>
      <c r="P92" s="22"/>
      <c r="Q92" s="22"/>
      <c r="R92" s="22"/>
      <c r="S92" s="571"/>
      <c r="T92" s="571"/>
      <c r="U92" s="571"/>
      <c r="V92" s="22"/>
      <c r="W92" s="22"/>
      <c r="X92" s="22"/>
      <c r="Y92" s="22"/>
      <c r="Z92" s="22"/>
      <c r="AA92" s="22"/>
      <c r="AB92" s="476"/>
      <c r="AC92" s="485"/>
      <c r="AD92" s="449"/>
      <c r="AE92" s="485"/>
      <c r="AF92" s="449"/>
      <c r="AG92" s="449"/>
      <c r="AH92" s="22"/>
      <c r="AI92" s="22"/>
      <c r="AJ92" s="449"/>
      <c r="AK92" s="449"/>
      <c r="AL92" s="449"/>
      <c r="AM92" s="449"/>
      <c r="AN92" s="449"/>
      <c r="AO92" s="449"/>
      <c r="AP92" s="449"/>
      <c r="AQ92" s="449"/>
      <c r="AR92" s="449"/>
      <c r="AS92" s="449"/>
      <c r="AT92" s="449"/>
      <c r="AU92" s="489"/>
      <c r="AV92" s="449"/>
      <c r="AW92" s="485"/>
      <c r="AX92" s="22"/>
      <c r="AY92" s="22"/>
      <c r="AZ92" s="22"/>
      <c r="BA92" s="22"/>
      <c r="BB92" s="760"/>
      <c r="BC92" s="760"/>
      <c r="BD92" s="22"/>
      <c r="BE92" s="22"/>
      <c r="BF92" s="22"/>
      <c r="BG92" s="22"/>
      <c r="BH92" s="22"/>
      <c r="BI92" s="22"/>
      <c r="BJ92" s="22"/>
      <c r="BK92" s="22"/>
      <c r="BL92" s="22"/>
      <c r="BM92" s="22"/>
      <c r="BN92" s="22"/>
      <c r="CG92" s="22"/>
      <c r="CH92" s="565"/>
    </row>
    <row r="93" spans="2:86" ht="19.5" customHeight="1">
      <c r="B93" s="26">
        <v>11</v>
      </c>
      <c r="C93" s="12" t="e">
        <f t="shared" ca="1" si="51"/>
        <v>#N/A</v>
      </c>
      <c r="D93" s="109" t="e">
        <f t="shared" ca="1" si="52"/>
        <v>#N/A</v>
      </c>
      <c r="E93" s="109" t="e">
        <f t="shared" ca="1" si="53"/>
        <v>#N/A</v>
      </c>
      <c r="F93" s="12" t="e">
        <f t="shared" ca="1" si="54"/>
        <v>#N/A</v>
      </c>
      <c r="H93" s="12"/>
      <c r="I93" s="18"/>
      <c r="J93" s="19"/>
      <c r="K93" s="19"/>
      <c r="L93" s="20"/>
      <c r="M93" s="22"/>
      <c r="N93" s="22"/>
      <c r="O93" s="22"/>
      <c r="P93" s="22"/>
      <c r="Q93" s="22"/>
      <c r="R93" s="22"/>
      <c r="S93" s="571"/>
      <c r="T93" s="571"/>
      <c r="U93" s="571"/>
      <c r="V93" s="22"/>
      <c r="W93" s="22"/>
      <c r="X93" s="22"/>
      <c r="Y93" s="22"/>
      <c r="Z93" s="22"/>
      <c r="AA93" s="22"/>
      <c r="AB93" s="476"/>
      <c r="AC93" s="485"/>
      <c r="AD93" s="449"/>
      <c r="AE93" s="485"/>
      <c r="AF93" s="449"/>
      <c r="AG93" s="449"/>
      <c r="AH93" s="22"/>
      <c r="AI93" s="22"/>
      <c r="AJ93" s="449"/>
      <c r="AK93" s="449"/>
      <c r="AL93" s="449"/>
      <c r="AM93" s="449"/>
      <c r="AN93" s="449"/>
      <c r="AO93" s="449"/>
      <c r="AP93" s="449"/>
      <c r="AQ93" s="449"/>
      <c r="AR93" s="449"/>
      <c r="AS93" s="449"/>
      <c r="AT93" s="449"/>
      <c r="AU93" s="489"/>
      <c r="AV93" s="449"/>
      <c r="AW93" s="485"/>
      <c r="AX93" s="22"/>
      <c r="AY93" s="22"/>
      <c r="AZ93" s="22"/>
      <c r="BA93" s="22"/>
      <c r="BB93" s="760"/>
      <c r="BC93" s="760"/>
      <c r="BD93" s="22"/>
      <c r="BE93" s="22"/>
      <c r="BF93" s="22"/>
      <c r="BG93" s="22"/>
      <c r="BH93" s="22"/>
      <c r="BI93" s="22"/>
      <c r="BJ93" s="22"/>
      <c r="BK93" s="22"/>
      <c r="BL93" s="22"/>
      <c r="BM93" s="22"/>
      <c r="BN93" s="22"/>
      <c r="CG93" s="22"/>
      <c r="CH93" s="565"/>
    </row>
    <row r="94" spans="2:86" ht="19.5" customHeight="1">
      <c r="B94" s="26">
        <v>12</v>
      </c>
      <c r="C94" s="12" t="e">
        <f t="shared" ca="1" si="51"/>
        <v>#N/A</v>
      </c>
      <c r="D94" s="109" t="e">
        <f t="shared" ca="1" si="52"/>
        <v>#N/A</v>
      </c>
      <c r="E94" s="109" t="e">
        <f t="shared" ca="1" si="53"/>
        <v>#N/A</v>
      </c>
      <c r="F94" s="12" t="e">
        <f t="shared" ca="1" si="54"/>
        <v>#N/A</v>
      </c>
      <c r="H94" s="12"/>
      <c r="I94" s="18"/>
      <c r="J94" s="19"/>
      <c r="K94" s="19"/>
      <c r="L94" s="20"/>
      <c r="M94" s="22"/>
      <c r="N94" s="22"/>
      <c r="O94" s="22"/>
      <c r="P94" s="22"/>
      <c r="Q94" s="22"/>
      <c r="R94" s="22"/>
      <c r="S94" s="571"/>
      <c r="T94" s="571"/>
      <c r="U94" s="571"/>
      <c r="V94" s="22"/>
      <c r="W94" s="22"/>
      <c r="X94" s="22"/>
      <c r="Y94" s="22"/>
      <c r="Z94" s="22"/>
      <c r="AA94" s="22"/>
      <c r="AB94" s="476"/>
      <c r="AC94" s="485"/>
      <c r="AD94" s="449"/>
      <c r="AE94" s="485"/>
      <c r="AF94" s="449"/>
      <c r="AG94" s="449"/>
      <c r="AH94" s="22"/>
      <c r="AI94" s="22"/>
      <c r="AJ94" s="449"/>
      <c r="AK94" s="449"/>
      <c r="AL94" s="449"/>
      <c r="AM94" s="449"/>
      <c r="AN94" s="449"/>
      <c r="AO94" s="449"/>
      <c r="AP94" s="449"/>
      <c r="AQ94" s="449"/>
      <c r="AR94" s="449"/>
      <c r="AS94" s="449"/>
      <c r="AT94" s="449"/>
      <c r="AU94" s="489"/>
      <c r="AV94" s="449"/>
      <c r="AW94" s="485"/>
      <c r="AX94" s="22"/>
      <c r="AY94" s="22"/>
      <c r="AZ94" s="22"/>
      <c r="BA94" s="22"/>
      <c r="BB94" s="760"/>
      <c r="BC94" s="760"/>
      <c r="BD94" s="22"/>
      <c r="BE94" s="22"/>
      <c r="BF94" s="22"/>
      <c r="BG94" s="22"/>
      <c r="BH94" s="22"/>
      <c r="BI94" s="22"/>
      <c r="BJ94" s="22"/>
      <c r="BK94" s="22"/>
      <c r="BL94" s="22"/>
      <c r="BM94" s="22"/>
      <c r="BN94" s="22"/>
      <c r="CG94" s="22"/>
      <c r="CH94" s="565"/>
    </row>
    <row r="95" spans="2:86" ht="19.5" customHeight="1">
      <c r="H95" s="12"/>
      <c r="I95" s="18"/>
      <c r="J95" s="19"/>
      <c r="K95" s="19"/>
      <c r="L95" s="20"/>
      <c r="M95" s="22"/>
      <c r="N95" s="22"/>
      <c r="O95" s="22"/>
      <c r="P95" s="22"/>
      <c r="Q95" s="22"/>
      <c r="R95" s="22"/>
      <c r="S95" s="571"/>
      <c r="T95" s="571"/>
      <c r="U95" s="571"/>
      <c r="V95" s="22"/>
      <c r="W95" s="22"/>
      <c r="X95" s="22"/>
      <c r="Y95" s="22"/>
      <c r="Z95" s="22"/>
      <c r="AA95" s="22"/>
      <c r="AB95" s="476"/>
      <c r="AC95" s="485"/>
      <c r="AD95" s="449"/>
      <c r="AE95" s="485"/>
      <c r="AF95" s="449"/>
      <c r="AG95" s="449"/>
      <c r="AH95" s="22"/>
      <c r="AI95" s="22"/>
      <c r="AJ95" s="449"/>
      <c r="AK95" s="449"/>
      <c r="AL95" s="449"/>
      <c r="AM95" s="449"/>
      <c r="AN95" s="449"/>
      <c r="AO95" s="449"/>
      <c r="AP95" s="449"/>
      <c r="AQ95" s="449"/>
      <c r="AR95" s="449"/>
      <c r="AS95" s="449"/>
      <c r="AT95" s="449"/>
      <c r="AU95" s="489"/>
      <c r="AV95" s="449"/>
      <c r="AW95" s="485"/>
      <c r="AX95" s="22"/>
      <c r="AY95" s="22"/>
      <c r="AZ95" s="22"/>
      <c r="BA95" s="22"/>
      <c r="BB95" s="760"/>
      <c r="BC95" s="760"/>
      <c r="BD95" s="22"/>
      <c r="BE95" s="22"/>
      <c r="BF95" s="22"/>
      <c r="BG95" s="22"/>
      <c r="BH95" s="22"/>
      <c r="BI95" s="22"/>
      <c r="BJ95" s="22"/>
      <c r="BK95" s="22"/>
      <c r="BL95" s="22"/>
      <c r="BM95" s="22"/>
      <c r="BN95" s="22"/>
      <c r="CG95" s="22"/>
      <c r="CH95" s="565"/>
    </row>
    <row r="96" spans="2:86" ht="19.5" customHeight="1">
      <c r="H96" s="12"/>
      <c r="I96" s="18"/>
      <c r="J96" s="19"/>
      <c r="K96" s="19"/>
      <c r="L96" s="20"/>
      <c r="M96" s="22"/>
      <c r="N96" s="22"/>
      <c r="O96" s="22"/>
      <c r="P96" s="22"/>
      <c r="Q96" s="22"/>
      <c r="R96" s="22"/>
      <c r="S96" s="571"/>
      <c r="T96" s="571"/>
      <c r="U96" s="571"/>
      <c r="V96" s="22"/>
      <c r="W96" s="22"/>
      <c r="X96" s="22"/>
      <c r="Y96" s="22"/>
      <c r="Z96" s="22"/>
      <c r="AA96" s="22"/>
      <c r="AB96" s="476"/>
      <c r="AC96" s="485"/>
      <c r="AD96" s="449"/>
      <c r="AE96" s="485"/>
      <c r="AF96" s="449"/>
      <c r="AG96" s="449"/>
      <c r="AH96" s="22"/>
      <c r="AI96" s="22"/>
      <c r="AJ96" s="449"/>
      <c r="AK96" s="449"/>
      <c r="AL96" s="449"/>
      <c r="AM96" s="449"/>
      <c r="AN96" s="449"/>
      <c r="AO96" s="449"/>
      <c r="AP96" s="449"/>
      <c r="AQ96" s="449"/>
      <c r="AR96" s="449"/>
      <c r="AS96" s="449"/>
      <c r="AT96" s="449"/>
      <c r="AU96" s="489"/>
      <c r="AV96" s="449"/>
      <c r="AW96" s="485"/>
      <c r="AX96" s="22"/>
      <c r="AY96" s="22"/>
      <c r="AZ96" s="22"/>
      <c r="BA96" s="22"/>
      <c r="BB96" s="760"/>
      <c r="BC96" s="760"/>
      <c r="BD96" s="22"/>
      <c r="BE96" s="22"/>
      <c r="BF96" s="22"/>
      <c r="BG96" s="22"/>
      <c r="BH96" s="22"/>
      <c r="BI96" s="22"/>
      <c r="BJ96" s="22"/>
      <c r="BK96" s="22"/>
      <c r="BL96" s="22"/>
      <c r="BM96" s="22"/>
      <c r="BN96" s="22"/>
      <c r="CG96" s="22"/>
      <c r="CH96" s="565"/>
    </row>
    <row r="97" spans="2:86" ht="19.5" customHeight="1">
      <c r="H97" s="12"/>
      <c r="I97" s="18"/>
      <c r="J97" s="19"/>
      <c r="K97" s="19"/>
      <c r="L97" s="20"/>
      <c r="M97" s="22"/>
      <c r="N97" s="22"/>
      <c r="O97" s="22"/>
      <c r="P97" s="22"/>
      <c r="Q97" s="22"/>
      <c r="R97" s="22"/>
      <c r="S97" s="571"/>
      <c r="T97" s="571"/>
      <c r="U97" s="571"/>
      <c r="V97" s="22"/>
      <c r="W97" s="22"/>
      <c r="X97" s="22"/>
      <c r="Y97" s="22"/>
      <c r="Z97" s="22"/>
      <c r="AA97" s="22"/>
      <c r="AB97" s="476"/>
      <c r="AC97" s="485"/>
      <c r="AD97" s="449"/>
      <c r="AE97" s="485"/>
      <c r="AF97" s="449"/>
      <c r="AG97" s="449"/>
      <c r="AH97" s="22"/>
      <c r="AI97" s="22"/>
      <c r="AJ97" s="449"/>
      <c r="AK97" s="449"/>
      <c r="AL97" s="449"/>
      <c r="AM97" s="449"/>
      <c r="AN97" s="449"/>
      <c r="AO97" s="449"/>
      <c r="AP97" s="449"/>
      <c r="AQ97" s="449"/>
      <c r="AR97" s="449"/>
      <c r="AS97" s="449"/>
      <c r="AT97" s="449"/>
      <c r="AU97" s="489"/>
      <c r="AV97" s="449"/>
      <c r="AW97" s="485"/>
      <c r="AX97" s="22"/>
      <c r="AY97" s="22"/>
      <c r="AZ97" s="22"/>
      <c r="BA97" s="22"/>
      <c r="BB97" s="760"/>
      <c r="BC97" s="760"/>
      <c r="BD97" s="22"/>
      <c r="BE97" s="22"/>
      <c r="BF97" s="22"/>
      <c r="BG97" s="22"/>
      <c r="BH97" s="22"/>
      <c r="BI97" s="22"/>
      <c r="BJ97" s="22"/>
      <c r="BK97" s="22"/>
      <c r="BL97" s="22"/>
      <c r="BM97" s="22"/>
      <c r="BN97" s="22"/>
      <c r="CG97" s="22"/>
      <c r="CH97" s="565"/>
    </row>
    <row r="98" spans="2:86" ht="19.5" customHeight="1">
      <c r="B98" s="459" t="s">
        <v>2021</v>
      </c>
      <c r="H98" s="12"/>
      <c r="I98" s="18"/>
      <c r="J98" s="19"/>
      <c r="K98" s="19"/>
      <c r="L98" s="20"/>
      <c r="M98" s="22"/>
      <c r="N98" s="22"/>
      <c r="O98" s="22"/>
      <c r="P98" s="22"/>
      <c r="Q98" s="22"/>
      <c r="R98" s="22"/>
      <c r="S98" s="571"/>
      <c r="T98" s="571"/>
      <c r="U98" s="571"/>
      <c r="V98" s="22"/>
      <c r="W98" s="22"/>
      <c r="X98" s="22"/>
      <c r="Y98" s="22"/>
      <c r="Z98" s="22"/>
      <c r="AA98" s="22"/>
      <c r="AB98" s="476"/>
      <c r="AC98" s="485"/>
      <c r="AD98" s="449"/>
      <c r="AE98" s="485"/>
      <c r="AF98" s="449"/>
      <c r="AG98" s="449"/>
      <c r="AH98" s="22"/>
      <c r="AI98" s="22"/>
      <c r="AJ98" s="449"/>
      <c r="AK98" s="449"/>
      <c r="AL98" s="449"/>
      <c r="AM98" s="449"/>
      <c r="AN98" s="449"/>
      <c r="AO98" s="449"/>
      <c r="AP98" s="449"/>
      <c r="AQ98" s="449"/>
      <c r="AR98" s="449"/>
      <c r="AS98" s="449"/>
      <c r="AT98" s="449"/>
      <c r="AU98" s="489"/>
      <c r="AV98" s="449"/>
      <c r="AW98" s="485"/>
      <c r="AX98" s="22"/>
      <c r="AY98" s="22"/>
      <c r="AZ98" s="22"/>
      <c r="BA98" s="22"/>
      <c r="BB98" s="760"/>
      <c r="BC98" s="760"/>
      <c r="BD98" s="22"/>
      <c r="BE98" s="22"/>
      <c r="BF98" s="22"/>
      <c r="BG98" s="22"/>
      <c r="BH98" s="22"/>
      <c r="BI98" s="22"/>
      <c r="BJ98" s="22"/>
      <c r="BK98" s="22"/>
      <c r="BL98" s="22"/>
      <c r="BM98" s="22"/>
      <c r="BN98" s="22"/>
      <c r="CG98" s="22"/>
      <c r="CH98" s="565"/>
    </row>
    <row r="99" spans="2:86" ht="19.5" customHeight="1">
      <c r="B99" s="12" t="s">
        <v>1981</v>
      </c>
      <c r="C99" s="12" t="s">
        <v>1982</v>
      </c>
      <c r="D99" s="109" t="s">
        <v>2022</v>
      </c>
      <c r="E99" s="12" t="s">
        <v>2019</v>
      </c>
      <c r="F99" s="12"/>
      <c r="H99" s="12"/>
      <c r="I99" s="18"/>
      <c r="J99" s="19"/>
      <c r="K99" s="19"/>
      <c r="L99" s="20"/>
      <c r="M99" s="22"/>
      <c r="N99" s="22"/>
      <c r="O99" s="22"/>
      <c r="P99" s="22"/>
      <c r="Q99" s="22"/>
      <c r="R99" s="22"/>
      <c r="S99" s="571"/>
      <c r="T99" s="571"/>
      <c r="U99" s="571"/>
      <c r="V99" s="22"/>
      <c r="W99" s="22"/>
      <c r="X99" s="22"/>
      <c r="Y99" s="22"/>
      <c r="Z99" s="22"/>
      <c r="AA99" s="22"/>
      <c r="AB99" s="476"/>
      <c r="AC99" s="485"/>
      <c r="AD99" s="449"/>
      <c r="AE99" s="485"/>
      <c r="AF99" s="449"/>
      <c r="AG99" s="449"/>
      <c r="AH99" s="22"/>
      <c r="AI99" s="22"/>
      <c r="AJ99" s="449"/>
      <c r="AK99" s="449"/>
      <c r="AL99" s="449"/>
      <c r="AM99" s="449"/>
      <c r="AN99" s="449"/>
      <c r="AO99" s="449"/>
      <c r="AP99" s="449"/>
      <c r="AQ99" s="449"/>
      <c r="AR99" s="449"/>
      <c r="AS99" s="449"/>
      <c r="AT99" s="449"/>
      <c r="AU99" s="489"/>
      <c r="AV99" s="449"/>
      <c r="AW99" s="485"/>
      <c r="AX99" s="22"/>
      <c r="AY99" s="22"/>
      <c r="AZ99" s="22"/>
      <c r="BA99" s="22"/>
      <c r="BB99" s="760"/>
      <c r="BC99" s="760"/>
      <c r="BD99" s="22"/>
      <c r="BE99" s="22"/>
      <c r="BF99" s="22"/>
      <c r="BG99" s="22"/>
      <c r="BH99" s="22"/>
      <c r="BI99" s="22"/>
      <c r="BJ99" s="22"/>
      <c r="BK99" s="22"/>
      <c r="BL99" s="22"/>
      <c r="BM99" s="22"/>
      <c r="BN99" s="22"/>
      <c r="CG99" s="22"/>
      <c r="CH99" s="565"/>
    </row>
    <row r="100" spans="2:86" ht="19.5" customHeight="1">
      <c r="B100" s="12">
        <v>1</v>
      </c>
      <c r="C100" s="26" t="str">
        <f t="shared" ref="C100:C111" ca="1" si="55">I7</f>
        <v>XH430</v>
      </c>
      <c r="D100" s="109">
        <f t="shared" ref="D100:E111" ca="1" si="56">CG7</f>
        <v>0.29518072289156627</v>
      </c>
      <c r="E100" s="109">
        <f t="shared" ca="1" si="56"/>
        <v>0.289971515797952</v>
      </c>
      <c r="F100" s="12"/>
      <c r="H100" s="12"/>
      <c r="I100" s="18"/>
      <c r="J100" s="19"/>
      <c r="K100" s="19"/>
      <c r="L100" s="20"/>
      <c r="M100" s="22"/>
      <c r="N100" s="22"/>
      <c r="O100" s="22"/>
      <c r="P100" s="22"/>
      <c r="Q100" s="22"/>
      <c r="R100" s="22"/>
      <c r="S100" s="571"/>
      <c r="T100" s="571"/>
      <c r="U100" s="571"/>
      <c r="V100" s="22"/>
      <c r="W100" s="22"/>
      <c r="X100" s="22"/>
      <c r="Y100" s="22"/>
      <c r="Z100" s="22"/>
      <c r="AA100" s="22"/>
      <c r="AB100" s="476"/>
      <c r="AC100" s="485"/>
      <c r="AD100" s="449"/>
      <c r="AE100" s="485"/>
      <c r="AF100" s="449"/>
      <c r="AG100" s="449"/>
      <c r="AH100" s="22"/>
      <c r="AI100" s="22"/>
      <c r="AJ100" s="449"/>
      <c r="AK100" s="449"/>
      <c r="AL100" s="449"/>
      <c r="AM100" s="449"/>
      <c r="AN100" s="449"/>
      <c r="AO100" s="449"/>
      <c r="AP100" s="449"/>
      <c r="AQ100" s="449"/>
      <c r="AR100" s="449"/>
      <c r="AS100" s="449"/>
      <c r="AT100" s="449"/>
      <c r="AU100" s="489"/>
      <c r="AV100" s="449"/>
      <c r="AW100" s="485"/>
      <c r="AX100" s="22"/>
      <c r="AY100" s="22"/>
      <c r="AZ100" s="22"/>
      <c r="BA100" s="22"/>
      <c r="BB100" s="760"/>
      <c r="BC100" s="760"/>
      <c r="BD100" s="22"/>
      <c r="BE100" s="22"/>
      <c r="BF100" s="22"/>
      <c r="BG100" s="22"/>
      <c r="BH100" s="22"/>
      <c r="BI100" s="22"/>
      <c r="BJ100" s="22"/>
      <c r="BK100" s="22"/>
      <c r="BL100" s="22"/>
      <c r="BM100" s="22"/>
      <c r="BN100" s="22"/>
      <c r="CG100" s="22"/>
      <c r="CH100" s="565"/>
    </row>
    <row r="101" spans="2:86" ht="19.5" customHeight="1">
      <c r="B101" s="12">
        <v>2</v>
      </c>
      <c r="C101" s="26" t="str">
        <f t="shared" ca="1" si="55"/>
        <v>XG300</v>
      </c>
      <c r="D101" s="109">
        <f t="shared" ca="1" si="56"/>
        <v>0.1746987951807229</v>
      </c>
      <c r="E101" s="109">
        <f t="shared" ca="1" si="56"/>
        <v>0.16587437264437091</v>
      </c>
      <c r="F101" s="12"/>
      <c r="H101" s="12"/>
      <c r="I101" s="18"/>
      <c r="J101" s="19"/>
      <c r="K101" s="19"/>
      <c r="L101" s="20"/>
      <c r="M101" s="22"/>
      <c r="N101" s="22"/>
      <c r="O101" s="22"/>
      <c r="P101" s="22"/>
      <c r="Q101" s="22"/>
      <c r="R101" s="22"/>
      <c r="S101" s="571"/>
      <c r="T101" s="571"/>
      <c r="U101" s="571"/>
      <c r="V101" s="22"/>
      <c r="W101" s="22"/>
      <c r="X101" s="22"/>
      <c r="Y101" s="22"/>
      <c r="Z101" s="22"/>
      <c r="AA101" s="22"/>
      <c r="AB101" s="476"/>
      <c r="AC101" s="485"/>
      <c r="AD101" s="449"/>
      <c r="AE101" s="485"/>
      <c r="AF101" s="449"/>
      <c r="AG101" s="449"/>
      <c r="AH101" s="22"/>
      <c r="AI101" s="22"/>
      <c r="AJ101" s="449"/>
      <c r="AK101" s="449"/>
      <c r="AL101" s="449"/>
      <c r="AM101" s="449"/>
      <c r="AN101" s="449"/>
      <c r="AO101" s="449"/>
      <c r="AP101" s="449"/>
      <c r="AQ101" s="449"/>
      <c r="AR101" s="449"/>
      <c r="AS101" s="449"/>
      <c r="AT101" s="449"/>
      <c r="AU101" s="489"/>
      <c r="AV101" s="449"/>
      <c r="AW101" s="485"/>
      <c r="AX101" s="22"/>
      <c r="AY101" s="22"/>
      <c r="AZ101" s="22"/>
      <c r="BA101" s="22"/>
      <c r="BB101" s="760"/>
      <c r="BC101" s="760"/>
      <c r="BD101" s="22"/>
      <c r="BE101" s="22"/>
      <c r="BF101" s="22"/>
      <c r="BG101" s="22"/>
      <c r="BH101" s="22"/>
      <c r="BI101" s="22"/>
      <c r="BJ101" s="22"/>
      <c r="BK101" s="22"/>
      <c r="BL101" s="22"/>
      <c r="BM101" s="22"/>
      <c r="BN101" s="22"/>
      <c r="CG101" s="22"/>
      <c r="CH101" s="565"/>
    </row>
    <row r="102" spans="2:86" ht="19.5" customHeight="1">
      <c r="B102" s="12">
        <v>3</v>
      </c>
      <c r="C102" s="26" t="str">
        <f t="shared" ca="1" si="55"/>
        <v>XH750</v>
      </c>
      <c r="D102" s="109">
        <f t="shared" ca="1" si="56"/>
        <v>0.26506024096385544</v>
      </c>
      <c r="E102" s="109">
        <f t="shared" ca="1" si="56"/>
        <v>0.28356069617920665</v>
      </c>
      <c r="F102" s="12"/>
      <c r="H102" s="12"/>
      <c r="I102" s="18"/>
      <c r="J102" s="19"/>
      <c r="K102" s="19"/>
      <c r="L102" s="20"/>
      <c r="M102" s="22"/>
      <c r="N102" s="22"/>
      <c r="O102" s="22"/>
      <c r="P102" s="22"/>
      <c r="Q102" s="22"/>
      <c r="R102" s="22"/>
      <c r="S102" s="571"/>
      <c r="T102" s="571"/>
      <c r="U102" s="571"/>
      <c r="V102" s="22"/>
      <c r="W102" s="22"/>
      <c r="X102" s="22"/>
      <c r="Y102" s="22"/>
      <c r="Z102" s="22"/>
      <c r="AA102" s="22"/>
      <c r="AB102" s="476"/>
      <c r="AC102" s="485"/>
      <c r="AD102" s="449"/>
      <c r="AE102" s="485"/>
      <c r="AF102" s="449"/>
      <c r="AG102" s="449"/>
      <c r="AH102" s="22"/>
      <c r="AI102" s="22"/>
      <c r="AJ102" s="449"/>
      <c r="AK102" s="449"/>
      <c r="AL102" s="449"/>
      <c r="AM102" s="449"/>
      <c r="AN102" s="449"/>
      <c r="AO102" s="449"/>
      <c r="AP102" s="449"/>
      <c r="AQ102" s="449"/>
      <c r="AR102" s="449"/>
      <c r="AS102" s="449"/>
      <c r="AT102" s="449"/>
      <c r="AU102" s="489"/>
      <c r="AV102" s="449"/>
      <c r="AW102" s="485"/>
      <c r="AX102" s="22"/>
      <c r="AY102" s="22"/>
      <c r="AZ102" s="22"/>
      <c r="BA102" s="22"/>
      <c r="BB102" s="760"/>
      <c r="BC102" s="760"/>
      <c r="BD102" s="22"/>
      <c r="BE102" s="22"/>
      <c r="BF102" s="22"/>
      <c r="BG102" s="22"/>
      <c r="BH102" s="22"/>
      <c r="BI102" s="22"/>
      <c r="BJ102" s="22"/>
      <c r="BK102" s="22"/>
      <c r="BL102" s="22"/>
      <c r="BM102" s="22"/>
      <c r="BN102" s="22"/>
      <c r="CG102" s="22"/>
      <c r="CH102" s="565"/>
    </row>
    <row r="103" spans="2:86" ht="19.5" customHeight="1">
      <c r="B103" s="12">
        <v>4</v>
      </c>
      <c r="C103" s="26" t="str">
        <f t="shared" ca="1" si="55"/>
        <v>XH040</v>
      </c>
      <c r="D103" s="109">
        <f t="shared" ca="1" si="56"/>
        <v>0.26506024096385544</v>
      </c>
      <c r="E103" s="109">
        <f t="shared" ca="1" si="56"/>
        <v>0.26059341537847047</v>
      </c>
      <c r="F103" s="12"/>
      <c r="H103" s="12"/>
      <c r="I103" s="18"/>
      <c r="J103" s="19"/>
      <c r="K103" s="19"/>
      <c r="L103" s="20"/>
      <c r="M103" s="22"/>
      <c r="N103" s="22"/>
      <c r="O103" s="22"/>
      <c r="P103" s="22"/>
      <c r="Q103" s="22"/>
      <c r="R103" s="22"/>
      <c r="S103" s="571"/>
      <c r="T103" s="571"/>
      <c r="U103" s="571"/>
      <c r="V103" s="22"/>
      <c r="W103" s="22"/>
      <c r="X103" s="22"/>
      <c r="Y103" s="22"/>
      <c r="Z103" s="22"/>
      <c r="AA103" s="22"/>
      <c r="AB103" s="476"/>
      <c r="AC103" s="485"/>
      <c r="AD103" s="449"/>
      <c r="AE103" s="485"/>
      <c r="AF103" s="449"/>
      <c r="AG103" s="449"/>
      <c r="AH103" s="22"/>
      <c r="AI103" s="22"/>
      <c r="AJ103" s="449"/>
      <c r="AK103" s="449"/>
      <c r="AL103" s="449"/>
      <c r="AM103" s="449"/>
      <c r="AN103" s="449"/>
      <c r="AO103" s="449"/>
      <c r="AP103" s="449"/>
      <c r="AQ103" s="449"/>
      <c r="AR103" s="449"/>
      <c r="AS103" s="449"/>
      <c r="AT103" s="449"/>
      <c r="AU103" s="489"/>
      <c r="AV103" s="449"/>
      <c r="AW103" s="485"/>
      <c r="AX103" s="22"/>
      <c r="AY103" s="22"/>
      <c r="AZ103" s="22"/>
      <c r="BA103" s="22"/>
      <c r="BB103" s="760"/>
      <c r="BC103" s="760"/>
      <c r="BD103" s="22"/>
      <c r="BE103" s="22"/>
      <c r="BF103" s="22"/>
      <c r="BG103" s="22"/>
      <c r="BH103" s="22"/>
      <c r="BI103" s="22"/>
      <c r="BJ103" s="22"/>
      <c r="BK103" s="22"/>
      <c r="BL103" s="22"/>
      <c r="BM103" s="22"/>
      <c r="BN103" s="22"/>
      <c r="CG103" s="22"/>
      <c r="CH103" s="565"/>
    </row>
    <row r="104" spans="2:86" ht="19.5" customHeight="1">
      <c r="B104" s="12">
        <v>5</v>
      </c>
      <c r="C104" s="26" t="str">
        <f t="shared" ca="1" si="55"/>
        <v/>
      </c>
      <c r="D104" s="109">
        <f t="shared" ca="1" si="56"/>
        <v>0</v>
      </c>
      <c r="E104" s="109">
        <f t="shared" ca="1" si="56"/>
        <v>0</v>
      </c>
      <c r="F104" s="12"/>
      <c r="H104" s="12"/>
      <c r="I104" s="18"/>
      <c r="J104" s="19"/>
      <c r="K104" s="19"/>
      <c r="L104" s="20"/>
      <c r="M104" s="22"/>
      <c r="N104" s="22"/>
      <c r="O104" s="22"/>
      <c r="P104" s="22"/>
      <c r="Q104" s="22"/>
      <c r="R104" s="22"/>
      <c r="S104" s="571"/>
      <c r="T104" s="571"/>
      <c r="U104" s="571"/>
      <c r="V104" s="22"/>
      <c r="W104" s="22"/>
      <c r="X104" s="22"/>
      <c r="Y104" s="22"/>
      <c r="Z104" s="22"/>
      <c r="AA104" s="22"/>
      <c r="AB104" s="476"/>
      <c r="AC104" s="485"/>
      <c r="AD104" s="449"/>
      <c r="AE104" s="485"/>
      <c r="AF104" s="449"/>
      <c r="AG104" s="449"/>
      <c r="AH104" s="22"/>
      <c r="AI104" s="22"/>
      <c r="AJ104" s="449"/>
      <c r="AK104" s="449"/>
      <c r="AL104" s="449"/>
      <c r="AM104" s="449"/>
      <c r="AN104" s="449"/>
      <c r="AO104" s="449"/>
      <c r="AP104" s="449"/>
      <c r="AQ104" s="449"/>
      <c r="AR104" s="449"/>
      <c r="AS104" s="449"/>
      <c r="AT104" s="449"/>
      <c r="AU104" s="489"/>
      <c r="AV104" s="449"/>
      <c r="AW104" s="485"/>
      <c r="AX104" s="22"/>
      <c r="AY104" s="22"/>
      <c r="AZ104" s="22"/>
      <c r="BA104" s="22"/>
      <c r="BB104" s="760"/>
      <c r="BC104" s="760"/>
      <c r="BD104" s="22"/>
      <c r="BE104" s="22"/>
      <c r="BF104" s="22"/>
      <c r="BG104" s="22"/>
      <c r="BH104" s="22"/>
      <c r="BI104" s="22"/>
      <c r="BJ104" s="22"/>
      <c r="BK104" s="22"/>
      <c r="BL104" s="22"/>
      <c r="BM104" s="22"/>
      <c r="BN104" s="22"/>
      <c r="CG104" s="22"/>
      <c r="CH104" s="565"/>
    </row>
    <row r="105" spans="2:86" ht="19.5" customHeight="1">
      <c r="B105" s="12">
        <v>6</v>
      </c>
      <c r="C105" s="26" t="str">
        <f t="shared" ca="1" si="55"/>
        <v/>
      </c>
      <c r="D105" s="109">
        <f t="shared" ca="1" si="56"/>
        <v>0</v>
      </c>
      <c r="E105" s="109">
        <f t="shared" ca="1" si="56"/>
        <v>0</v>
      </c>
      <c r="F105" s="12"/>
      <c r="H105" s="12"/>
      <c r="I105" s="18"/>
      <c r="J105" s="19"/>
      <c r="K105" s="19"/>
      <c r="L105" s="20"/>
      <c r="M105" s="22"/>
      <c r="N105" s="22"/>
      <c r="O105" s="22"/>
      <c r="P105" s="22"/>
      <c r="Q105" s="22"/>
      <c r="R105" s="22"/>
      <c r="S105" s="571"/>
      <c r="T105" s="571"/>
      <c r="U105" s="571"/>
      <c r="V105" s="22"/>
      <c r="W105" s="22"/>
      <c r="X105" s="22"/>
      <c r="Y105" s="22"/>
      <c r="Z105" s="22"/>
      <c r="AA105" s="22"/>
      <c r="AB105" s="476"/>
      <c r="AC105" s="485"/>
      <c r="AD105" s="449"/>
      <c r="AE105" s="485"/>
      <c r="AF105" s="449"/>
      <c r="AG105" s="449"/>
      <c r="AH105" s="22"/>
      <c r="AI105" s="22"/>
      <c r="AJ105" s="449"/>
      <c r="AK105" s="449"/>
      <c r="AL105" s="449"/>
      <c r="AM105" s="449"/>
      <c r="AN105" s="449"/>
      <c r="AO105" s="449"/>
      <c r="AP105" s="449"/>
      <c r="AQ105" s="449"/>
      <c r="AR105" s="449"/>
      <c r="AS105" s="449"/>
      <c r="AT105" s="449"/>
      <c r="AU105" s="489"/>
      <c r="AV105" s="449"/>
      <c r="AW105" s="485"/>
      <c r="AX105" s="22"/>
      <c r="AY105" s="22"/>
      <c r="AZ105" s="22"/>
      <c r="BA105" s="22"/>
      <c r="BB105" s="760"/>
      <c r="BC105" s="760"/>
      <c r="BD105" s="22"/>
      <c r="BE105" s="22"/>
      <c r="BF105" s="22"/>
      <c r="BG105" s="22"/>
      <c r="BH105" s="22"/>
      <c r="BI105" s="22"/>
      <c r="BJ105" s="22"/>
      <c r="BK105" s="22"/>
      <c r="BL105" s="22"/>
      <c r="BM105" s="22"/>
      <c r="BN105" s="22"/>
      <c r="CG105" s="22"/>
      <c r="CH105" s="565"/>
    </row>
    <row r="106" spans="2:86" ht="19.5" customHeight="1">
      <c r="B106" s="12">
        <v>7</v>
      </c>
      <c r="C106" s="26" t="str">
        <f t="shared" ca="1" si="55"/>
        <v/>
      </c>
      <c r="D106" s="109">
        <f t="shared" ca="1" si="56"/>
        <v>0</v>
      </c>
      <c r="E106" s="109">
        <f t="shared" ca="1" si="56"/>
        <v>0</v>
      </c>
      <c r="F106" s="12"/>
      <c r="H106" s="12"/>
      <c r="I106" s="18"/>
      <c r="J106" s="19"/>
      <c r="K106" s="19"/>
      <c r="L106" s="20"/>
      <c r="M106" s="22"/>
      <c r="N106" s="22"/>
      <c r="O106" s="22"/>
      <c r="P106" s="22"/>
      <c r="Q106" s="22"/>
      <c r="R106" s="22"/>
      <c r="S106" s="571"/>
      <c r="T106" s="571"/>
      <c r="U106" s="571"/>
      <c r="V106" s="22"/>
      <c r="W106" s="22"/>
      <c r="X106" s="22"/>
      <c r="Y106" s="22"/>
      <c r="Z106" s="22"/>
      <c r="AA106" s="22"/>
      <c r="AB106" s="476"/>
      <c r="AC106" s="485"/>
      <c r="AD106" s="449"/>
      <c r="AE106" s="485"/>
      <c r="AF106" s="449"/>
      <c r="AG106" s="449"/>
      <c r="AH106" s="22"/>
      <c r="AI106" s="22"/>
      <c r="AJ106" s="449"/>
      <c r="AK106" s="449"/>
      <c r="AL106" s="449"/>
      <c r="AM106" s="449"/>
      <c r="AN106" s="449"/>
      <c r="AO106" s="449"/>
      <c r="AP106" s="449"/>
      <c r="AQ106" s="449"/>
      <c r="AR106" s="449"/>
      <c r="AS106" s="449"/>
      <c r="AT106" s="449"/>
      <c r="AU106" s="489"/>
      <c r="AV106" s="449"/>
      <c r="AW106" s="485"/>
      <c r="AX106" s="22"/>
      <c r="AY106" s="22"/>
      <c r="AZ106" s="22"/>
      <c r="BA106" s="22"/>
      <c r="BB106" s="760"/>
      <c r="BC106" s="760"/>
      <c r="BD106" s="22"/>
      <c r="BE106" s="22"/>
      <c r="BF106" s="22"/>
      <c r="BG106" s="22"/>
      <c r="BH106" s="22"/>
      <c r="BI106" s="22"/>
      <c r="BJ106" s="22"/>
      <c r="BK106" s="22"/>
      <c r="BL106" s="22"/>
      <c r="BM106" s="22"/>
      <c r="BN106" s="22"/>
      <c r="CG106" s="22"/>
      <c r="CH106" s="565"/>
    </row>
    <row r="107" spans="2:86" ht="19.5" customHeight="1">
      <c r="B107" s="12">
        <v>8</v>
      </c>
      <c r="C107" s="26" t="str">
        <f t="shared" ca="1" si="55"/>
        <v/>
      </c>
      <c r="D107" s="109">
        <f t="shared" ca="1" si="56"/>
        <v>0</v>
      </c>
      <c r="E107" s="109">
        <f t="shared" ca="1" si="56"/>
        <v>0</v>
      </c>
      <c r="F107" s="12"/>
      <c r="H107" s="12"/>
      <c r="I107" s="18"/>
      <c r="J107" s="19"/>
      <c r="K107" s="19"/>
      <c r="L107" s="20"/>
      <c r="M107" s="22"/>
      <c r="N107" s="22"/>
      <c r="O107" s="22"/>
      <c r="P107" s="22"/>
      <c r="Q107" s="22"/>
      <c r="R107" s="22"/>
      <c r="S107" s="571"/>
      <c r="T107" s="571"/>
      <c r="U107" s="571"/>
      <c r="V107" s="22"/>
      <c r="W107" s="22"/>
      <c r="X107" s="22"/>
      <c r="Y107" s="22"/>
      <c r="Z107" s="22"/>
      <c r="AA107" s="22"/>
      <c r="AB107" s="476"/>
      <c r="AC107" s="485"/>
      <c r="AD107" s="449"/>
      <c r="AE107" s="485"/>
      <c r="AF107" s="449"/>
      <c r="AG107" s="449"/>
      <c r="AH107" s="22"/>
      <c r="AI107" s="22"/>
      <c r="AJ107" s="449"/>
      <c r="AK107" s="449"/>
      <c r="AL107" s="449"/>
      <c r="AM107" s="449"/>
      <c r="AN107" s="449"/>
      <c r="AO107" s="449"/>
      <c r="AP107" s="449"/>
      <c r="AQ107" s="449"/>
      <c r="AR107" s="449"/>
      <c r="AS107" s="449"/>
      <c r="AT107" s="449"/>
      <c r="AU107" s="489"/>
      <c r="AV107" s="449"/>
      <c r="AW107" s="485"/>
      <c r="AX107" s="22"/>
      <c r="AY107" s="22"/>
      <c r="AZ107" s="22"/>
      <c r="BA107" s="22"/>
      <c r="BB107" s="760"/>
      <c r="BC107" s="760"/>
      <c r="BD107" s="22"/>
      <c r="BE107" s="22"/>
      <c r="BF107" s="22"/>
      <c r="BG107" s="22"/>
      <c r="BH107" s="22"/>
      <c r="BI107" s="22"/>
      <c r="BJ107" s="22"/>
      <c r="BK107" s="22"/>
      <c r="BL107" s="22"/>
      <c r="BM107" s="22"/>
      <c r="BN107" s="22"/>
      <c r="CG107" s="22"/>
      <c r="CH107" s="565"/>
    </row>
    <row r="108" spans="2:86" ht="19.5" customHeight="1">
      <c r="B108" s="12">
        <v>9</v>
      </c>
      <c r="C108" s="26" t="str">
        <f t="shared" ca="1" si="55"/>
        <v/>
      </c>
      <c r="D108" s="109">
        <f t="shared" ca="1" si="56"/>
        <v>0</v>
      </c>
      <c r="E108" s="109">
        <f t="shared" ca="1" si="56"/>
        <v>0</v>
      </c>
      <c r="F108" s="12"/>
      <c r="H108" s="12"/>
      <c r="I108" s="18"/>
      <c r="J108" s="19"/>
      <c r="K108" s="19"/>
      <c r="L108" s="20"/>
      <c r="M108" s="22"/>
      <c r="N108" s="22"/>
      <c r="O108" s="22"/>
      <c r="P108" s="22"/>
      <c r="Q108" s="22"/>
      <c r="R108" s="22"/>
      <c r="S108" s="571"/>
      <c r="T108" s="571"/>
      <c r="U108" s="571"/>
      <c r="V108" s="22"/>
      <c r="W108" s="22"/>
      <c r="X108" s="22"/>
      <c r="Y108" s="22"/>
      <c r="Z108" s="22"/>
      <c r="AA108" s="22"/>
      <c r="AB108" s="476"/>
      <c r="AC108" s="485"/>
      <c r="AD108" s="449"/>
      <c r="AE108" s="485"/>
      <c r="AF108" s="449"/>
      <c r="AG108" s="449"/>
      <c r="AH108" s="22"/>
      <c r="AI108" s="22"/>
      <c r="AJ108" s="449"/>
      <c r="AK108" s="449"/>
      <c r="AL108" s="449"/>
      <c r="AM108" s="449"/>
      <c r="AN108" s="449"/>
      <c r="AO108" s="449"/>
      <c r="AP108" s="449"/>
      <c r="AQ108" s="449"/>
      <c r="AR108" s="449"/>
      <c r="AS108" s="449"/>
      <c r="AT108" s="449"/>
      <c r="AU108" s="489"/>
      <c r="AV108" s="449"/>
      <c r="AW108" s="485"/>
      <c r="AX108" s="22"/>
      <c r="AY108" s="22"/>
      <c r="AZ108" s="22"/>
      <c r="BA108" s="22"/>
      <c r="BB108" s="760"/>
      <c r="BC108" s="760"/>
      <c r="BD108" s="22"/>
      <c r="BE108" s="22"/>
      <c r="BF108" s="22"/>
      <c r="BG108" s="22"/>
      <c r="BH108" s="22"/>
      <c r="BI108" s="22"/>
      <c r="BJ108" s="22"/>
      <c r="BK108" s="22"/>
      <c r="BL108" s="22"/>
      <c r="BM108" s="22"/>
      <c r="BN108" s="22"/>
      <c r="CG108" s="22"/>
      <c r="CH108" s="565"/>
    </row>
    <row r="109" spans="2:86" ht="19.5" customHeight="1">
      <c r="B109" s="12">
        <v>10</v>
      </c>
      <c r="C109" s="26" t="str">
        <f t="shared" ca="1" si="55"/>
        <v/>
      </c>
      <c r="D109" s="109">
        <f t="shared" ca="1" si="56"/>
        <v>0</v>
      </c>
      <c r="E109" s="109">
        <f t="shared" ca="1" si="56"/>
        <v>0</v>
      </c>
      <c r="F109" s="12"/>
      <c r="H109" s="12"/>
      <c r="I109" s="18"/>
      <c r="J109" s="19"/>
      <c r="K109" s="19"/>
      <c r="L109" s="20"/>
      <c r="M109" s="22"/>
      <c r="N109" s="22"/>
      <c r="O109" s="22"/>
      <c r="P109" s="22"/>
      <c r="Q109" s="22"/>
      <c r="R109" s="22"/>
      <c r="S109" s="571"/>
      <c r="T109" s="571"/>
      <c r="U109" s="571"/>
      <c r="V109" s="22"/>
      <c r="W109" s="22"/>
      <c r="X109" s="22"/>
      <c r="Y109" s="22"/>
      <c r="Z109" s="22"/>
      <c r="AA109" s="22"/>
      <c r="AB109" s="476"/>
      <c r="AC109" s="485"/>
      <c r="AD109" s="449"/>
      <c r="AE109" s="485"/>
      <c r="AF109" s="449"/>
      <c r="AG109" s="449"/>
      <c r="AH109" s="22"/>
      <c r="AI109" s="22"/>
      <c r="AJ109" s="449"/>
      <c r="AK109" s="449"/>
      <c r="AL109" s="449"/>
      <c r="AM109" s="449"/>
      <c r="AN109" s="449"/>
      <c r="AO109" s="449"/>
      <c r="AP109" s="449"/>
      <c r="AQ109" s="449"/>
      <c r="AR109" s="449"/>
      <c r="AS109" s="449"/>
      <c r="AT109" s="449"/>
      <c r="AU109" s="489"/>
      <c r="AV109" s="449"/>
      <c r="AW109" s="485"/>
      <c r="AX109" s="22"/>
      <c r="AY109" s="22"/>
      <c r="AZ109" s="22"/>
      <c r="BA109" s="22"/>
      <c r="BB109" s="760"/>
      <c r="BC109" s="760"/>
      <c r="BD109" s="22"/>
      <c r="BE109" s="22"/>
      <c r="BF109" s="22"/>
      <c r="BG109" s="22"/>
      <c r="BH109" s="22"/>
      <c r="BI109" s="22"/>
      <c r="BJ109" s="22"/>
      <c r="BK109" s="22"/>
      <c r="BL109" s="22"/>
      <c r="BM109" s="22"/>
      <c r="BN109" s="22"/>
      <c r="CG109" s="22"/>
      <c r="CH109" s="565"/>
    </row>
    <row r="110" spans="2:86" ht="19.5" customHeight="1">
      <c r="B110" s="12">
        <v>11</v>
      </c>
      <c r="C110" s="26" t="str">
        <f t="shared" ca="1" si="55"/>
        <v/>
      </c>
      <c r="D110" s="109">
        <f t="shared" ca="1" si="56"/>
        <v>0</v>
      </c>
      <c r="E110" s="109">
        <f t="shared" ca="1" si="56"/>
        <v>0</v>
      </c>
      <c r="F110" s="12"/>
      <c r="H110" s="12"/>
      <c r="I110" s="18"/>
      <c r="J110" s="19"/>
      <c r="K110" s="19"/>
      <c r="L110" s="20"/>
      <c r="M110" s="22"/>
      <c r="N110" s="22"/>
      <c r="O110" s="22"/>
      <c r="P110" s="22"/>
      <c r="Q110" s="22"/>
      <c r="R110" s="22"/>
      <c r="S110" s="571"/>
      <c r="T110" s="571"/>
      <c r="U110" s="571"/>
      <c r="V110" s="22"/>
      <c r="W110" s="22"/>
      <c r="X110" s="22"/>
      <c r="Y110" s="22"/>
      <c r="Z110" s="22"/>
      <c r="AA110" s="22"/>
      <c r="AB110" s="476"/>
      <c r="AC110" s="485"/>
      <c r="AD110" s="449"/>
      <c r="AE110" s="485"/>
      <c r="AF110" s="449"/>
      <c r="AG110" s="449"/>
      <c r="AH110" s="22"/>
      <c r="AI110" s="22"/>
      <c r="AJ110" s="449"/>
      <c r="AK110" s="449"/>
      <c r="AL110" s="449"/>
      <c r="AM110" s="449"/>
      <c r="AN110" s="449"/>
      <c r="AO110" s="449"/>
      <c r="AP110" s="449"/>
      <c r="AQ110" s="449"/>
      <c r="AR110" s="449"/>
      <c r="AS110" s="449"/>
      <c r="AT110" s="449"/>
      <c r="AU110" s="489"/>
      <c r="AV110" s="449"/>
      <c r="AW110" s="485"/>
      <c r="AX110" s="22"/>
      <c r="AY110" s="22"/>
      <c r="AZ110" s="22"/>
      <c r="BA110" s="22"/>
      <c r="BB110" s="760"/>
      <c r="BC110" s="760"/>
      <c r="BD110" s="22"/>
      <c r="BE110" s="22"/>
      <c r="BF110" s="22"/>
      <c r="BG110" s="22"/>
      <c r="BH110" s="22"/>
      <c r="BI110" s="22"/>
      <c r="BJ110" s="22"/>
      <c r="BK110" s="22"/>
      <c r="BL110" s="22"/>
      <c r="BM110" s="22"/>
      <c r="BN110" s="22"/>
      <c r="CG110" s="22"/>
      <c r="CH110" s="565"/>
    </row>
    <row r="111" spans="2:86" ht="19.5" customHeight="1">
      <c r="B111" s="12">
        <v>12</v>
      </c>
      <c r="C111" s="26" t="str">
        <f t="shared" ca="1" si="55"/>
        <v/>
      </c>
      <c r="D111" s="109">
        <f t="shared" ca="1" si="56"/>
        <v>0</v>
      </c>
      <c r="E111" s="109">
        <f t="shared" ca="1" si="56"/>
        <v>0</v>
      </c>
      <c r="F111" s="12"/>
      <c r="H111" s="12"/>
      <c r="I111" s="18"/>
      <c r="J111" s="19"/>
      <c r="K111" s="19"/>
      <c r="L111" s="20"/>
      <c r="M111" s="22"/>
      <c r="N111" s="22"/>
      <c r="O111" s="22"/>
      <c r="P111" s="22"/>
      <c r="Q111" s="22"/>
      <c r="R111" s="22"/>
      <c r="S111" s="571"/>
      <c r="T111" s="571"/>
      <c r="U111" s="571"/>
      <c r="V111" s="22"/>
      <c r="W111" s="22"/>
      <c r="X111" s="22"/>
      <c r="Y111" s="22"/>
      <c r="Z111" s="22"/>
      <c r="AA111" s="22"/>
      <c r="AB111" s="476"/>
      <c r="AC111" s="485"/>
      <c r="AD111" s="449"/>
      <c r="AE111" s="485"/>
      <c r="AF111" s="449"/>
      <c r="AG111" s="449"/>
      <c r="AH111" s="22"/>
      <c r="AI111" s="22"/>
      <c r="AJ111" s="449"/>
      <c r="AK111" s="449"/>
      <c r="AL111" s="449"/>
      <c r="AM111" s="449"/>
      <c r="AN111" s="449"/>
      <c r="AO111" s="449"/>
      <c r="AP111" s="449"/>
      <c r="AQ111" s="449"/>
      <c r="AR111" s="449"/>
      <c r="AS111" s="449"/>
      <c r="AT111" s="449"/>
      <c r="AU111" s="489"/>
      <c r="AV111" s="449"/>
      <c r="AW111" s="485"/>
      <c r="AX111" s="22"/>
      <c r="AY111" s="22"/>
      <c r="AZ111" s="22"/>
      <c r="BA111" s="22"/>
      <c r="BB111" s="760"/>
      <c r="BC111" s="760"/>
      <c r="BD111" s="22"/>
      <c r="BE111" s="22"/>
      <c r="BF111" s="22"/>
      <c r="BG111" s="22"/>
      <c r="BH111" s="22"/>
      <c r="BI111" s="22"/>
      <c r="BJ111" s="22"/>
      <c r="BK111" s="22"/>
      <c r="BL111" s="22"/>
      <c r="BM111" s="22"/>
      <c r="BN111" s="22"/>
      <c r="CG111" s="22"/>
      <c r="CH111" s="565"/>
    </row>
    <row r="112" spans="2:86" ht="19.5" customHeight="1">
      <c r="H112" s="12"/>
      <c r="I112" s="18"/>
      <c r="J112" s="19"/>
      <c r="K112" s="19"/>
      <c r="L112" s="20"/>
      <c r="M112" s="22"/>
      <c r="N112" s="22"/>
      <c r="O112" s="22"/>
      <c r="P112" s="22"/>
      <c r="Q112" s="22"/>
      <c r="R112" s="22"/>
      <c r="S112" s="571"/>
      <c r="T112" s="571"/>
      <c r="U112" s="571"/>
      <c r="V112" s="22"/>
      <c r="W112" s="22"/>
      <c r="X112" s="22"/>
      <c r="Y112" s="22"/>
      <c r="Z112" s="22"/>
      <c r="AA112" s="22"/>
      <c r="AB112" s="476"/>
      <c r="AC112" s="485"/>
      <c r="AD112" s="449"/>
      <c r="AE112" s="485"/>
      <c r="AF112" s="449"/>
      <c r="AG112" s="449"/>
      <c r="AH112" s="22"/>
      <c r="AI112" s="22"/>
      <c r="AJ112" s="449"/>
      <c r="AK112" s="449"/>
      <c r="AL112" s="449"/>
      <c r="AM112" s="449"/>
      <c r="AN112" s="449"/>
      <c r="AO112" s="449"/>
      <c r="AP112" s="449"/>
      <c r="AQ112" s="449"/>
      <c r="AR112" s="449"/>
      <c r="AS112" s="449"/>
      <c r="AT112" s="449"/>
      <c r="AU112" s="489"/>
      <c r="AV112" s="449"/>
      <c r="AW112" s="485"/>
      <c r="AX112" s="22"/>
      <c r="AY112" s="22"/>
      <c r="AZ112" s="22"/>
      <c r="BA112" s="22"/>
      <c r="BB112" s="760"/>
      <c r="BC112" s="760"/>
      <c r="BD112" s="22"/>
      <c r="BE112" s="22"/>
      <c r="BF112" s="22"/>
      <c r="BG112" s="22"/>
      <c r="BH112" s="22"/>
      <c r="BI112" s="22"/>
      <c r="BJ112" s="22"/>
      <c r="BK112" s="22"/>
      <c r="BL112" s="22"/>
      <c r="BM112" s="22"/>
      <c r="BN112" s="22"/>
      <c r="CG112" s="22"/>
      <c r="CH112" s="565"/>
    </row>
    <row r="113" spans="8:86" ht="19.5" customHeight="1">
      <c r="H113" s="12"/>
      <c r="I113" s="18"/>
      <c r="J113" s="19"/>
      <c r="K113" s="19"/>
      <c r="L113" s="20"/>
      <c r="M113" s="22"/>
      <c r="N113" s="22"/>
      <c r="O113" s="22"/>
      <c r="P113" s="22"/>
      <c r="Q113" s="22"/>
      <c r="R113" s="22"/>
      <c r="S113" s="571"/>
      <c r="T113" s="571"/>
      <c r="U113" s="571"/>
      <c r="V113" s="22"/>
      <c r="W113" s="22"/>
      <c r="X113" s="22"/>
      <c r="Y113" s="22"/>
      <c r="Z113" s="22"/>
      <c r="AA113" s="22"/>
      <c r="AB113" s="476"/>
      <c r="AC113" s="485"/>
      <c r="AD113" s="449"/>
      <c r="AE113" s="485"/>
      <c r="AF113" s="449"/>
      <c r="AG113" s="449"/>
      <c r="AH113" s="22"/>
      <c r="AI113" s="22"/>
      <c r="AJ113" s="449"/>
      <c r="AK113" s="449"/>
      <c r="AL113" s="449"/>
      <c r="AM113" s="449"/>
      <c r="AN113" s="449"/>
      <c r="AO113" s="449"/>
      <c r="AP113" s="449"/>
      <c r="AQ113" s="449"/>
      <c r="AR113" s="449"/>
      <c r="AS113" s="449"/>
      <c r="AT113" s="449"/>
      <c r="AU113" s="489"/>
      <c r="AV113" s="449"/>
      <c r="AW113" s="485"/>
      <c r="AX113" s="22"/>
      <c r="AY113" s="22"/>
      <c r="AZ113" s="22"/>
      <c r="BA113" s="22"/>
      <c r="BB113" s="760"/>
      <c r="BC113" s="760"/>
      <c r="BD113" s="22"/>
      <c r="BE113" s="22"/>
      <c r="BF113" s="22"/>
      <c r="BG113" s="22"/>
      <c r="BH113" s="22"/>
      <c r="BI113" s="22"/>
      <c r="BJ113" s="22"/>
      <c r="BK113" s="22"/>
      <c r="BL113" s="22"/>
      <c r="BM113" s="22"/>
      <c r="BN113" s="22"/>
      <c r="CG113" s="22"/>
      <c r="CH113" s="565"/>
    </row>
    <row r="114" spans="8:86" ht="19.5" customHeight="1">
      <c r="H114" s="12"/>
      <c r="I114" s="18"/>
      <c r="J114" s="19"/>
      <c r="K114" s="19"/>
      <c r="L114" s="20"/>
      <c r="M114" s="22"/>
      <c r="N114" s="22"/>
      <c r="O114" s="22"/>
      <c r="P114" s="22"/>
      <c r="Q114" s="22"/>
      <c r="R114" s="22"/>
      <c r="S114" s="571"/>
      <c r="T114" s="571"/>
      <c r="U114" s="571"/>
      <c r="V114" s="22"/>
      <c r="W114" s="22"/>
      <c r="X114" s="22"/>
      <c r="Y114" s="22"/>
      <c r="Z114" s="22"/>
      <c r="AA114" s="22"/>
      <c r="AB114" s="476"/>
      <c r="AC114" s="485"/>
      <c r="AD114" s="449"/>
      <c r="AE114" s="485"/>
      <c r="AF114" s="449"/>
      <c r="AG114" s="449"/>
      <c r="AH114" s="22"/>
      <c r="AI114" s="22"/>
      <c r="AJ114" s="449"/>
      <c r="AK114" s="449"/>
      <c r="AL114" s="449"/>
      <c r="AM114" s="449"/>
      <c r="AN114" s="449"/>
      <c r="AO114" s="449"/>
      <c r="AP114" s="449"/>
      <c r="AQ114" s="449"/>
      <c r="AR114" s="449"/>
      <c r="AS114" s="449"/>
      <c r="AT114" s="449"/>
      <c r="AU114" s="489"/>
      <c r="AV114" s="449"/>
      <c r="AW114" s="485"/>
      <c r="AX114" s="22"/>
      <c r="AY114" s="22"/>
      <c r="AZ114" s="22"/>
      <c r="BA114" s="22"/>
      <c r="BB114" s="760"/>
      <c r="BC114" s="760"/>
      <c r="BD114" s="22"/>
      <c r="BE114" s="22"/>
      <c r="BF114" s="22"/>
      <c r="BG114" s="22"/>
      <c r="BH114" s="22"/>
      <c r="BI114" s="22"/>
      <c r="BJ114" s="22"/>
      <c r="BK114" s="22"/>
      <c r="BL114" s="22"/>
      <c r="BM114" s="22"/>
      <c r="BN114" s="22"/>
      <c r="CG114" s="22"/>
      <c r="CH114" s="565"/>
    </row>
    <row r="115" spans="8:86" ht="19.5" customHeight="1">
      <c r="H115" s="12"/>
      <c r="I115" s="18"/>
      <c r="J115" s="19"/>
      <c r="K115" s="19"/>
      <c r="L115" s="20"/>
      <c r="M115" s="22"/>
      <c r="N115" s="22"/>
      <c r="O115" s="22"/>
      <c r="P115" s="22"/>
      <c r="Q115" s="22"/>
      <c r="R115" s="22"/>
      <c r="S115" s="571"/>
      <c r="T115" s="571"/>
      <c r="U115" s="571"/>
      <c r="V115" s="22"/>
      <c r="W115" s="22"/>
      <c r="X115" s="22"/>
      <c r="Y115" s="22"/>
      <c r="Z115" s="22"/>
      <c r="AA115" s="22"/>
      <c r="AB115" s="476"/>
      <c r="AC115" s="485"/>
      <c r="AD115" s="449"/>
      <c r="AE115" s="485"/>
      <c r="AF115" s="449"/>
      <c r="AG115" s="449"/>
      <c r="AH115" s="22"/>
      <c r="AI115" s="22"/>
      <c r="AJ115" s="449"/>
      <c r="AK115" s="449"/>
      <c r="AL115" s="449"/>
      <c r="AM115" s="449"/>
      <c r="AN115" s="449"/>
      <c r="AO115" s="449"/>
      <c r="AP115" s="449"/>
      <c r="AQ115" s="449"/>
      <c r="AR115" s="449"/>
      <c r="AS115" s="449"/>
      <c r="AT115" s="449"/>
      <c r="AU115" s="489"/>
      <c r="AV115" s="449"/>
      <c r="AW115" s="485"/>
      <c r="AX115" s="22"/>
      <c r="AY115" s="22"/>
      <c r="AZ115" s="22"/>
      <c r="BA115" s="22"/>
      <c r="BB115" s="760"/>
      <c r="BC115" s="760"/>
      <c r="BD115" s="22"/>
      <c r="BE115" s="22"/>
      <c r="BF115" s="22"/>
      <c r="BG115" s="22"/>
      <c r="BH115" s="22"/>
      <c r="BI115" s="22"/>
      <c r="BJ115" s="22"/>
      <c r="BK115" s="22"/>
      <c r="BL115" s="22"/>
      <c r="BM115" s="22"/>
      <c r="BN115" s="22"/>
      <c r="CG115" s="22"/>
      <c r="CH115" s="565"/>
    </row>
    <row r="116" spans="8:86" ht="19.5" customHeight="1">
      <c r="H116" s="12"/>
    </row>
    <row r="117" spans="8:86" ht="19.5" customHeight="1">
      <c r="H117" s="12"/>
    </row>
    <row r="118" spans="8:86" ht="19.5" customHeight="1">
      <c r="H118" s="12"/>
    </row>
    <row r="119" spans="8:86" ht="19.5" customHeight="1">
      <c r="H119" s="12"/>
    </row>
    <row r="120" spans="8:86" ht="19.5" customHeight="1">
      <c r="H120" s="12"/>
    </row>
    <row r="121" spans="8:86" ht="19.5" customHeight="1">
      <c r="H121" s="12"/>
    </row>
    <row r="122" spans="8:86" ht="19.5" customHeight="1">
      <c r="H122" s="12"/>
    </row>
    <row r="123" spans="8:86" ht="19.5" customHeight="1">
      <c r="H123" s="12"/>
    </row>
    <row r="124" spans="8:86" ht="19.5" customHeight="1">
      <c r="H124" s="12"/>
    </row>
    <row r="125" spans="8:86" ht="19.5" customHeight="1">
      <c r="H125" s="12"/>
    </row>
    <row r="126" spans="8:86" ht="19.5" customHeight="1">
      <c r="H126" s="12"/>
    </row>
    <row r="127" spans="8:86" ht="19.5" customHeight="1">
      <c r="H127" s="12"/>
    </row>
    <row r="128" spans="8:86" ht="19.5" customHeight="1">
      <c r="H128" s="12"/>
    </row>
    <row r="129" spans="8:86" ht="19.5" customHeight="1">
      <c r="H129" s="12"/>
    </row>
    <row r="130" spans="8:86" ht="19.5" customHeight="1">
      <c r="H130" s="12"/>
      <c r="I130" s="18"/>
      <c r="J130" s="19"/>
      <c r="K130" s="19"/>
      <c r="L130" s="20"/>
      <c r="M130" s="22"/>
      <c r="N130" s="22"/>
      <c r="O130" s="22"/>
      <c r="P130" s="22"/>
      <c r="Q130" s="22"/>
      <c r="R130" s="22"/>
      <c r="S130" s="571"/>
      <c r="T130" s="571"/>
      <c r="U130" s="571"/>
      <c r="V130" s="22"/>
      <c r="W130" s="22"/>
      <c r="X130" s="22"/>
      <c r="Y130" s="22"/>
      <c r="Z130" s="22"/>
      <c r="AA130" s="22"/>
      <c r="AB130" s="476"/>
      <c r="AC130" s="485"/>
      <c r="AD130" s="449"/>
      <c r="AE130" s="485"/>
      <c r="AF130" s="449"/>
      <c r="AG130" s="449"/>
      <c r="AH130" s="22"/>
      <c r="AI130" s="22"/>
      <c r="AJ130" s="449"/>
      <c r="AK130" s="449"/>
      <c r="AL130" s="449"/>
      <c r="AM130" s="449"/>
      <c r="AN130" s="449"/>
      <c r="AO130" s="449"/>
      <c r="AP130" s="449"/>
      <c r="AQ130" s="449"/>
      <c r="AR130" s="449"/>
      <c r="AS130" s="449"/>
      <c r="AT130" s="449"/>
      <c r="AU130" s="489"/>
      <c r="AV130" s="449"/>
      <c r="AW130" s="485"/>
      <c r="AX130" s="22"/>
      <c r="AY130" s="22"/>
      <c r="AZ130" s="22"/>
      <c r="BA130" s="22"/>
      <c r="BB130" s="760"/>
      <c r="BC130" s="760"/>
      <c r="BD130" s="22"/>
      <c r="BE130" s="22"/>
      <c r="BF130" s="22"/>
      <c r="BG130" s="22"/>
      <c r="BH130" s="22"/>
      <c r="BI130" s="22"/>
      <c r="BJ130" s="22"/>
      <c r="BK130" s="22"/>
      <c r="BL130" s="22"/>
      <c r="BM130" s="22"/>
      <c r="BN130" s="22"/>
      <c r="CG130" s="22"/>
      <c r="CH130" s="565"/>
    </row>
    <row r="131" spans="8:86" ht="19.5" customHeight="1">
      <c r="H131" s="12"/>
      <c r="I131" s="18"/>
      <c r="J131" s="19"/>
      <c r="K131" s="19"/>
      <c r="L131" s="20"/>
      <c r="M131" s="22"/>
      <c r="N131" s="22"/>
      <c r="O131" s="22"/>
      <c r="P131" s="22"/>
      <c r="Q131" s="22"/>
      <c r="R131" s="22"/>
      <c r="S131" s="571"/>
      <c r="T131" s="571"/>
      <c r="U131" s="571"/>
      <c r="V131" s="22"/>
      <c r="W131" s="22"/>
      <c r="X131" s="22"/>
      <c r="Y131" s="22"/>
      <c r="Z131" s="22"/>
      <c r="AA131" s="22"/>
      <c r="AB131" s="476"/>
      <c r="AC131" s="485"/>
      <c r="AD131" s="449"/>
      <c r="AE131" s="485"/>
      <c r="AF131" s="449"/>
      <c r="AG131" s="449"/>
      <c r="AH131" s="22"/>
      <c r="AI131" s="22"/>
      <c r="AJ131" s="449"/>
      <c r="AK131" s="449"/>
      <c r="AL131" s="449"/>
      <c r="AM131" s="449"/>
      <c r="AN131" s="449"/>
      <c r="AO131" s="449"/>
      <c r="AP131" s="449"/>
      <c r="AQ131" s="449"/>
      <c r="AR131" s="449"/>
      <c r="AS131" s="449"/>
      <c r="AT131" s="449"/>
      <c r="AU131" s="489"/>
      <c r="AV131" s="449"/>
      <c r="AW131" s="485"/>
      <c r="AX131" s="22"/>
      <c r="AY131" s="22"/>
      <c r="AZ131" s="22"/>
      <c r="BA131" s="22"/>
      <c r="BB131" s="760"/>
      <c r="BC131" s="760"/>
      <c r="BD131" s="22"/>
      <c r="BE131" s="22"/>
      <c r="BF131" s="22"/>
      <c r="BG131" s="22"/>
      <c r="BH131" s="22"/>
      <c r="BI131" s="22"/>
      <c r="BJ131" s="22"/>
      <c r="BK131" s="22"/>
      <c r="BL131" s="22"/>
      <c r="BM131" s="22"/>
      <c r="BN131" s="22"/>
      <c r="CG131" s="22"/>
      <c r="CH131" s="565"/>
    </row>
    <row r="132" spans="8:86" ht="19.5" customHeight="1">
      <c r="H132" s="12"/>
      <c r="I132" s="18"/>
      <c r="J132" s="19"/>
      <c r="K132" s="19"/>
      <c r="L132" s="20"/>
      <c r="M132" s="22"/>
      <c r="N132" s="22"/>
      <c r="O132" s="22"/>
      <c r="P132" s="22"/>
      <c r="Q132" s="22"/>
      <c r="R132" s="22"/>
      <c r="S132" s="571"/>
      <c r="T132" s="571"/>
      <c r="U132" s="571"/>
      <c r="V132" s="22"/>
      <c r="W132" s="22"/>
      <c r="X132" s="22"/>
      <c r="Y132" s="22"/>
      <c r="Z132" s="22"/>
      <c r="AA132" s="22"/>
      <c r="AB132" s="476"/>
      <c r="AC132" s="485"/>
      <c r="AD132" s="449"/>
      <c r="AE132" s="485"/>
      <c r="AF132" s="449"/>
      <c r="AG132" s="449"/>
      <c r="AH132" s="22"/>
      <c r="AI132" s="22"/>
      <c r="AJ132" s="449"/>
      <c r="AK132" s="449"/>
      <c r="AL132" s="449"/>
      <c r="AM132" s="449"/>
      <c r="AN132" s="449"/>
      <c r="AO132" s="449"/>
      <c r="AP132" s="449"/>
      <c r="AQ132" s="449"/>
      <c r="AR132" s="449"/>
      <c r="AS132" s="449"/>
      <c r="AT132" s="449"/>
      <c r="AU132" s="489"/>
      <c r="AV132" s="449"/>
      <c r="AW132" s="485"/>
      <c r="AX132" s="22"/>
      <c r="AY132" s="22"/>
      <c r="AZ132" s="22"/>
      <c r="BA132" s="22"/>
      <c r="BB132" s="760"/>
      <c r="BC132" s="760"/>
      <c r="BD132" s="22"/>
      <c r="BE132" s="22"/>
      <c r="BF132" s="22"/>
      <c r="BG132" s="22"/>
      <c r="BH132" s="22"/>
      <c r="BI132" s="22"/>
      <c r="BJ132" s="22"/>
      <c r="BK132" s="22"/>
      <c r="BL132" s="22"/>
      <c r="BM132" s="22"/>
      <c r="BN132" s="22"/>
      <c r="CG132" s="22"/>
      <c r="CH132" s="565"/>
    </row>
    <row r="133" spans="8:86" ht="19.5" customHeight="1">
      <c r="H133" s="12"/>
      <c r="I133" s="18"/>
      <c r="J133" s="19"/>
      <c r="K133" s="19"/>
      <c r="L133" s="20"/>
      <c r="M133" s="22"/>
      <c r="N133" s="22"/>
      <c r="O133" s="22"/>
      <c r="P133" s="22"/>
      <c r="Q133" s="22"/>
      <c r="R133" s="22"/>
      <c r="S133" s="571"/>
      <c r="T133" s="571"/>
      <c r="U133" s="571"/>
      <c r="V133" s="22"/>
      <c r="W133" s="22"/>
      <c r="X133" s="22"/>
      <c r="Y133" s="22"/>
      <c r="Z133" s="22"/>
      <c r="AA133" s="22"/>
      <c r="AB133" s="476"/>
      <c r="AC133" s="485"/>
      <c r="AD133" s="449"/>
      <c r="AE133" s="485"/>
      <c r="AF133" s="449"/>
      <c r="AG133" s="449"/>
      <c r="AH133" s="22"/>
      <c r="AI133" s="22"/>
      <c r="AJ133" s="449"/>
      <c r="AK133" s="449"/>
      <c r="AL133" s="449"/>
      <c r="AM133" s="449"/>
      <c r="AN133" s="449"/>
      <c r="AO133" s="449"/>
      <c r="AP133" s="449"/>
      <c r="AQ133" s="449"/>
      <c r="AR133" s="449"/>
      <c r="AS133" s="449"/>
      <c r="AT133" s="449"/>
      <c r="AU133" s="489"/>
      <c r="AV133" s="449"/>
      <c r="AW133" s="485"/>
      <c r="AX133" s="22"/>
      <c r="AY133" s="22"/>
      <c r="AZ133" s="22"/>
      <c r="BA133" s="22"/>
      <c r="BB133" s="760"/>
      <c r="BC133" s="760"/>
      <c r="BD133" s="22"/>
      <c r="BE133" s="22"/>
      <c r="BF133" s="22"/>
      <c r="BG133" s="22"/>
      <c r="BH133" s="22"/>
      <c r="BI133" s="22"/>
      <c r="BJ133" s="22"/>
      <c r="BK133" s="22"/>
      <c r="BL133" s="22"/>
      <c r="BM133" s="22"/>
      <c r="BN133" s="22"/>
      <c r="CG133" s="22"/>
      <c r="CH133" s="565"/>
    </row>
    <row r="134" spans="8:86" ht="19.5" customHeight="1">
      <c r="H134" s="12"/>
      <c r="I134" s="18"/>
      <c r="J134" s="19"/>
      <c r="K134" s="19"/>
      <c r="L134" s="20"/>
      <c r="M134" s="22"/>
      <c r="N134" s="22"/>
      <c r="O134" s="22"/>
      <c r="P134" s="22"/>
      <c r="Q134" s="22"/>
      <c r="R134" s="22"/>
      <c r="S134" s="571"/>
      <c r="T134" s="571"/>
      <c r="U134" s="571"/>
      <c r="V134" s="22"/>
      <c r="W134" s="22"/>
      <c r="X134" s="22"/>
      <c r="Y134" s="22"/>
      <c r="Z134" s="22"/>
      <c r="AA134" s="22"/>
      <c r="AB134" s="476"/>
      <c r="AC134" s="485"/>
      <c r="AD134" s="449"/>
      <c r="AE134" s="485"/>
      <c r="AF134" s="449"/>
      <c r="AG134" s="449"/>
      <c r="AH134" s="22"/>
      <c r="AI134" s="22"/>
      <c r="AJ134" s="449"/>
      <c r="AK134" s="449"/>
      <c r="AL134" s="449"/>
      <c r="AM134" s="449"/>
      <c r="AN134" s="449"/>
      <c r="AO134" s="449"/>
      <c r="AP134" s="449"/>
      <c r="AQ134" s="449"/>
      <c r="AR134" s="449"/>
      <c r="AS134" s="449"/>
      <c r="AT134" s="449"/>
      <c r="AU134" s="489"/>
      <c r="AV134" s="449"/>
      <c r="AW134" s="485"/>
      <c r="AX134" s="22"/>
      <c r="AY134" s="22"/>
      <c r="AZ134" s="22"/>
      <c r="BA134" s="22"/>
      <c r="BB134" s="760"/>
      <c r="BC134" s="760"/>
      <c r="BD134" s="22"/>
      <c r="BE134" s="22"/>
      <c r="BF134" s="22"/>
      <c r="BG134" s="22"/>
      <c r="BH134" s="22"/>
      <c r="BI134" s="22"/>
      <c r="BJ134" s="22"/>
      <c r="BK134" s="22"/>
      <c r="BL134" s="22"/>
      <c r="BM134" s="22"/>
      <c r="BN134" s="22"/>
      <c r="CG134" s="22"/>
      <c r="CH134" s="565"/>
    </row>
    <row r="135" spans="8:86" ht="19.5" customHeight="1">
      <c r="H135" s="12"/>
      <c r="I135" s="18"/>
      <c r="J135" s="19"/>
      <c r="K135" s="19"/>
      <c r="L135" s="20"/>
      <c r="M135" s="22"/>
      <c r="N135" s="22"/>
      <c r="O135" s="22"/>
      <c r="P135" s="22"/>
      <c r="Q135" s="22"/>
      <c r="R135" s="22"/>
      <c r="S135" s="571"/>
      <c r="T135" s="571"/>
      <c r="U135" s="571"/>
      <c r="V135" s="22"/>
      <c r="W135" s="22"/>
      <c r="X135" s="22"/>
      <c r="Y135" s="22"/>
      <c r="Z135" s="22"/>
      <c r="AA135" s="22"/>
      <c r="AB135" s="476"/>
      <c r="AC135" s="485"/>
      <c r="AD135" s="449"/>
      <c r="AE135" s="485"/>
      <c r="AF135" s="449"/>
      <c r="AG135" s="449"/>
      <c r="AH135" s="22"/>
      <c r="AI135" s="22"/>
      <c r="AJ135" s="449"/>
      <c r="AK135" s="449"/>
      <c r="AL135" s="449"/>
      <c r="AM135" s="449"/>
      <c r="AN135" s="449"/>
      <c r="AO135" s="449"/>
      <c r="AP135" s="449"/>
      <c r="AQ135" s="449"/>
      <c r="AR135" s="449"/>
      <c r="AS135" s="449"/>
      <c r="AT135" s="449"/>
      <c r="AU135" s="489"/>
      <c r="AV135" s="449"/>
      <c r="AW135" s="485"/>
      <c r="AX135" s="22"/>
      <c r="AY135" s="22"/>
      <c r="AZ135" s="22"/>
      <c r="BA135" s="22"/>
      <c r="BB135" s="760"/>
      <c r="BC135" s="760"/>
      <c r="BD135" s="22"/>
      <c r="BE135" s="22"/>
      <c r="BF135" s="22"/>
      <c r="BG135" s="22"/>
      <c r="BH135" s="22"/>
      <c r="BI135" s="22"/>
      <c r="BJ135" s="22"/>
      <c r="BK135" s="22"/>
      <c r="BL135" s="22"/>
      <c r="BM135" s="22"/>
      <c r="BN135" s="22"/>
      <c r="CG135" s="22"/>
      <c r="CH135" s="565"/>
    </row>
    <row r="136" spans="8:86" ht="19.5" customHeight="1">
      <c r="H136" s="12"/>
      <c r="I136" s="18"/>
      <c r="J136" s="19"/>
      <c r="K136" s="19"/>
      <c r="L136" s="20"/>
      <c r="M136" s="22"/>
      <c r="N136" s="22"/>
      <c r="O136" s="22"/>
      <c r="P136" s="22"/>
      <c r="Q136" s="22"/>
      <c r="R136" s="22"/>
      <c r="S136" s="571"/>
      <c r="T136" s="571"/>
      <c r="U136" s="571"/>
      <c r="V136" s="22"/>
      <c r="W136" s="22"/>
      <c r="X136" s="22"/>
      <c r="Y136" s="22"/>
      <c r="Z136" s="22"/>
      <c r="AA136" s="22"/>
      <c r="AB136" s="476"/>
      <c r="AC136" s="485"/>
      <c r="AD136" s="449"/>
      <c r="AE136" s="485"/>
      <c r="AF136" s="449"/>
      <c r="AG136" s="449"/>
      <c r="AH136" s="22"/>
      <c r="AI136" s="22"/>
      <c r="AJ136" s="449"/>
      <c r="AK136" s="449"/>
      <c r="AL136" s="449"/>
      <c r="AM136" s="449"/>
      <c r="AN136" s="449"/>
      <c r="AO136" s="449"/>
      <c r="AP136" s="449"/>
      <c r="AQ136" s="449"/>
      <c r="AR136" s="449"/>
      <c r="AS136" s="449"/>
      <c r="AT136" s="449"/>
      <c r="AU136" s="489"/>
      <c r="AV136" s="449"/>
      <c r="AW136" s="485"/>
      <c r="AX136" s="22"/>
      <c r="AY136" s="22"/>
      <c r="AZ136" s="22"/>
      <c r="BA136" s="22"/>
      <c r="BB136" s="760"/>
      <c r="BC136" s="760"/>
      <c r="BD136" s="22"/>
      <c r="BE136" s="22"/>
      <c r="BF136" s="22"/>
      <c r="BG136" s="22"/>
      <c r="BH136" s="22"/>
      <c r="BI136" s="22"/>
      <c r="BJ136" s="22"/>
      <c r="BK136" s="22"/>
      <c r="BL136" s="22"/>
      <c r="BM136" s="22"/>
      <c r="BN136" s="22"/>
      <c r="CG136" s="22"/>
      <c r="CH136" s="565"/>
    </row>
    <row r="137" spans="8:86" ht="19.5" customHeight="1">
      <c r="H137" s="12"/>
      <c r="I137" s="18"/>
      <c r="J137" s="19"/>
      <c r="K137" s="19"/>
      <c r="L137" s="20"/>
      <c r="M137" s="22"/>
      <c r="N137" s="22"/>
      <c r="O137" s="22"/>
      <c r="P137" s="22"/>
      <c r="Q137" s="22"/>
      <c r="R137" s="22"/>
      <c r="S137" s="571"/>
      <c r="T137" s="571"/>
      <c r="U137" s="571"/>
      <c r="V137" s="22"/>
      <c r="W137" s="22"/>
      <c r="X137" s="22"/>
      <c r="Y137" s="22"/>
      <c r="Z137" s="22"/>
      <c r="AA137" s="22"/>
      <c r="AB137" s="476"/>
      <c r="AC137" s="485"/>
      <c r="AD137" s="449"/>
      <c r="AE137" s="485"/>
      <c r="AF137" s="449"/>
      <c r="AG137" s="449"/>
      <c r="AH137" s="22"/>
      <c r="AI137" s="22"/>
      <c r="AJ137" s="449"/>
      <c r="AK137" s="449"/>
      <c r="AL137" s="449"/>
      <c r="AM137" s="449"/>
      <c r="AN137" s="449"/>
      <c r="AO137" s="449"/>
      <c r="AP137" s="449"/>
      <c r="AQ137" s="449"/>
      <c r="AR137" s="449"/>
      <c r="AS137" s="449"/>
      <c r="AT137" s="449"/>
      <c r="AU137" s="489"/>
      <c r="AV137" s="449"/>
      <c r="AW137" s="485"/>
      <c r="AX137" s="22"/>
      <c r="AY137" s="22"/>
      <c r="AZ137" s="22"/>
      <c r="BA137" s="22"/>
      <c r="BB137" s="760"/>
      <c r="BC137" s="760"/>
      <c r="BD137" s="22"/>
      <c r="BE137" s="22"/>
      <c r="BF137" s="22"/>
      <c r="BG137" s="22"/>
      <c r="BH137" s="22"/>
      <c r="BI137" s="22"/>
      <c r="BJ137" s="22"/>
      <c r="BK137" s="22"/>
      <c r="BL137" s="22"/>
      <c r="BM137" s="22"/>
      <c r="BN137" s="22"/>
      <c r="CG137" s="22"/>
      <c r="CH137" s="565"/>
    </row>
    <row r="138" spans="8:86" ht="19.5" customHeight="1">
      <c r="H138" s="12"/>
      <c r="I138" s="18"/>
      <c r="J138" s="19"/>
      <c r="K138" s="19"/>
      <c r="L138" s="20"/>
      <c r="M138" s="22"/>
      <c r="N138" s="22"/>
      <c r="O138" s="22"/>
      <c r="P138" s="22"/>
      <c r="Q138" s="22"/>
      <c r="R138" s="22"/>
      <c r="S138" s="571"/>
      <c r="T138" s="571"/>
      <c r="U138" s="571"/>
      <c r="V138" s="22"/>
      <c r="W138" s="22"/>
      <c r="X138" s="22"/>
      <c r="Y138" s="22"/>
      <c r="Z138" s="22"/>
      <c r="AA138" s="22"/>
      <c r="AB138" s="476"/>
      <c r="AC138" s="485"/>
      <c r="AD138" s="449"/>
      <c r="AE138" s="485"/>
      <c r="AF138" s="449"/>
      <c r="AG138" s="449"/>
      <c r="AH138" s="22"/>
      <c r="AI138" s="22"/>
      <c r="AJ138" s="449"/>
      <c r="AK138" s="449"/>
      <c r="AL138" s="449"/>
      <c r="AM138" s="449"/>
      <c r="AN138" s="449"/>
      <c r="AO138" s="449"/>
      <c r="AP138" s="449"/>
      <c r="AQ138" s="449"/>
      <c r="AR138" s="449"/>
      <c r="AS138" s="449"/>
      <c r="AT138" s="449"/>
      <c r="AU138" s="489"/>
      <c r="AV138" s="449"/>
      <c r="AW138" s="485"/>
      <c r="AX138" s="22"/>
      <c r="AY138" s="22"/>
      <c r="AZ138" s="22"/>
      <c r="BA138" s="22"/>
      <c r="BB138" s="760"/>
      <c r="BC138" s="760"/>
      <c r="BD138" s="22"/>
      <c r="BE138" s="22"/>
      <c r="BF138" s="22"/>
      <c r="BG138" s="22"/>
      <c r="BH138" s="22"/>
      <c r="BI138" s="22"/>
      <c r="BJ138" s="22"/>
      <c r="BK138" s="22"/>
      <c r="BL138" s="22"/>
      <c r="BM138" s="22"/>
      <c r="BN138" s="22"/>
      <c r="CG138" s="22"/>
      <c r="CH138" s="565"/>
    </row>
    <row r="139" spans="8:86" ht="19.5" customHeight="1">
      <c r="H139" s="12"/>
      <c r="I139" s="18"/>
      <c r="J139" s="19"/>
      <c r="K139" s="19"/>
      <c r="L139" s="20"/>
      <c r="M139" s="22"/>
      <c r="N139" s="22"/>
      <c r="O139" s="22"/>
      <c r="P139" s="22"/>
      <c r="Q139" s="22"/>
      <c r="R139" s="22"/>
      <c r="S139" s="571"/>
      <c r="T139" s="571"/>
      <c r="U139" s="571"/>
      <c r="V139" s="22"/>
      <c r="W139" s="22"/>
      <c r="X139" s="22"/>
      <c r="Y139" s="22"/>
      <c r="Z139" s="22"/>
      <c r="AA139" s="22"/>
      <c r="AB139" s="476"/>
      <c r="AC139" s="485"/>
      <c r="AD139" s="449"/>
      <c r="AE139" s="485"/>
      <c r="AF139" s="449"/>
      <c r="AG139" s="449"/>
      <c r="AH139" s="22"/>
      <c r="AI139" s="22"/>
      <c r="AJ139" s="449"/>
      <c r="AK139" s="449"/>
      <c r="AL139" s="449"/>
      <c r="AM139" s="449"/>
      <c r="AN139" s="449"/>
      <c r="AO139" s="449"/>
      <c r="AP139" s="449"/>
      <c r="AQ139" s="449"/>
      <c r="AR139" s="449"/>
      <c r="AS139" s="449"/>
      <c r="AT139" s="449"/>
      <c r="AU139" s="489"/>
      <c r="AV139" s="449"/>
      <c r="AW139" s="485"/>
      <c r="AX139" s="22"/>
      <c r="AY139" s="22"/>
      <c r="AZ139" s="22"/>
      <c r="BA139" s="22"/>
      <c r="BB139" s="760"/>
      <c r="BC139" s="760"/>
      <c r="BD139" s="22"/>
      <c r="BE139" s="22"/>
      <c r="BF139" s="22"/>
      <c r="BG139" s="22"/>
      <c r="BH139" s="22"/>
      <c r="BI139" s="22"/>
      <c r="BJ139" s="22"/>
      <c r="BK139" s="22"/>
      <c r="BL139" s="22"/>
      <c r="BM139" s="22"/>
      <c r="BN139" s="22"/>
      <c r="CG139" s="22"/>
      <c r="CH139" s="565"/>
    </row>
    <row r="140" spans="8:86" ht="19.5" customHeight="1">
      <c r="H140" s="12"/>
      <c r="I140" s="18"/>
      <c r="J140" s="19"/>
      <c r="K140" s="19"/>
      <c r="L140" s="20"/>
      <c r="M140" s="22"/>
      <c r="N140" s="22"/>
      <c r="O140" s="22"/>
      <c r="P140" s="22"/>
      <c r="Q140" s="22"/>
      <c r="R140" s="22"/>
      <c r="S140" s="571"/>
      <c r="T140" s="571"/>
      <c r="U140" s="571"/>
      <c r="V140" s="22"/>
      <c r="W140" s="22"/>
      <c r="X140" s="22"/>
      <c r="Y140" s="22"/>
      <c r="Z140" s="22"/>
      <c r="AA140" s="22"/>
      <c r="AB140" s="476"/>
      <c r="AC140" s="485"/>
      <c r="AD140" s="449"/>
      <c r="AE140" s="485"/>
      <c r="AF140" s="449"/>
      <c r="AG140" s="449"/>
      <c r="AH140" s="22"/>
      <c r="AI140" s="22"/>
      <c r="AJ140" s="449"/>
      <c r="AK140" s="449"/>
      <c r="AL140" s="449"/>
      <c r="AM140" s="449"/>
      <c r="AN140" s="449"/>
      <c r="AO140" s="449"/>
      <c r="AP140" s="449"/>
      <c r="AQ140" s="449"/>
      <c r="AR140" s="449"/>
      <c r="AS140" s="449"/>
      <c r="AT140" s="449"/>
      <c r="AU140" s="489"/>
      <c r="AV140" s="449"/>
      <c r="AW140" s="485"/>
      <c r="AX140" s="22"/>
      <c r="AY140" s="22"/>
      <c r="AZ140" s="22"/>
      <c r="BA140" s="22"/>
      <c r="BB140" s="760"/>
      <c r="BC140" s="760"/>
      <c r="BD140" s="22"/>
      <c r="BE140" s="22"/>
      <c r="BF140" s="22"/>
      <c r="BG140" s="22"/>
      <c r="BH140" s="22"/>
      <c r="BI140" s="22"/>
      <c r="BJ140" s="22"/>
      <c r="BK140" s="22"/>
      <c r="BL140" s="22"/>
      <c r="BM140" s="22"/>
      <c r="BN140" s="22"/>
      <c r="CG140" s="22"/>
      <c r="CH140" s="565"/>
    </row>
    <row r="141" spans="8:86" ht="19.5" customHeight="1">
      <c r="H141" s="12"/>
      <c r="I141" s="18"/>
      <c r="J141" s="19"/>
      <c r="K141" s="19"/>
      <c r="L141" s="20"/>
      <c r="M141" s="22"/>
      <c r="N141" s="22"/>
      <c r="O141" s="22"/>
      <c r="P141" s="22"/>
      <c r="Q141" s="22"/>
      <c r="R141" s="22"/>
      <c r="S141" s="571"/>
      <c r="T141" s="571"/>
      <c r="U141" s="571"/>
      <c r="V141" s="22"/>
      <c r="W141" s="22"/>
      <c r="X141" s="22"/>
      <c r="Y141" s="22"/>
      <c r="Z141" s="22"/>
      <c r="AA141" s="22"/>
      <c r="AB141" s="476"/>
      <c r="AC141" s="485"/>
      <c r="AD141" s="449"/>
      <c r="AE141" s="485"/>
      <c r="AF141" s="449"/>
      <c r="AG141" s="449"/>
      <c r="AH141" s="22"/>
      <c r="AI141" s="22"/>
      <c r="AJ141" s="449"/>
      <c r="AK141" s="449"/>
      <c r="AL141" s="449"/>
      <c r="AM141" s="449"/>
      <c r="AN141" s="449"/>
      <c r="AO141" s="449"/>
      <c r="AP141" s="449"/>
      <c r="AQ141" s="449"/>
      <c r="AR141" s="449"/>
      <c r="AS141" s="449"/>
      <c r="AT141" s="449"/>
      <c r="AU141" s="489"/>
      <c r="AV141" s="449"/>
      <c r="AW141" s="485"/>
      <c r="AX141" s="22"/>
      <c r="AY141" s="22"/>
      <c r="AZ141" s="22"/>
      <c r="BA141" s="22"/>
      <c r="BB141" s="760"/>
      <c r="BC141" s="760"/>
      <c r="BD141" s="22"/>
      <c r="BE141" s="22"/>
      <c r="BF141" s="22"/>
      <c r="BG141" s="22"/>
      <c r="BH141" s="22"/>
      <c r="BI141" s="22"/>
      <c r="BJ141" s="22"/>
      <c r="BK141" s="22"/>
      <c r="BL141" s="22"/>
      <c r="BM141" s="22"/>
      <c r="BN141" s="22"/>
      <c r="CG141" s="22"/>
      <c r="CH141" s="565"/>
    </row>
    <row r="142" spans="8:86" ht="19.5" customHeight="1">
      <c r="H142" s="12"/>
      <c r="I142" s="18"/>
      <c r="J142" s="19"/>
      <c r="K142" s="19"/>
      <c r="L142" s="20"/>
      <c r="M142" s="22"/>
      <c r="N142" s="22"/>
      <c r="O142" s="22"/>
      <c r="P142" s="22"/>
      <c r="Q142" s="22"/>
      <c r="R142" s="22"/>
      <c r="S142" s="571"/>
      <c r="T142" s="571"/>
      <c r="U142" s="571"/>
      <c r="V142" s="22"/>
      <c r="W142" s="22"/>
      <c r="X142" s="22"/>
      <c r="Y142" s="22"/>
      <c r="Z142" s="22"/>
      <c r="AA142" s="22"/>
      <c r="AB142" s="476"/>
      <c r="AC142" s="485"/>
      <c r="AD142" s="449"/>
      <c r="AE142" s="485"/>
      <c r="AF142" s="449"/>
      <c r="AG142" s="449"/>
      <c r="AH142" s="22"/>
      <c r="AI142" s="22"/>
      <c r="AJ142" s="449"/>
      <c r="AK142" s="449"/>
      <c r="AL142" s="449"/>
      <c r="AM142" s="449"/>
      <c r="AN142" s="449"/>
      <c r="AO142" s="449"/>
      <c r="AP142" s="449"/>
      <c r="AQ142" s="449"/>
      <c r="AR142" s="449"/>
      <c r="AS142" s="449"/>
      <c r="AT142" s="449"/>
      <c r="AU142" s="489"/>
      <c r="AV142" s="449"/>
      <c r="AW142" s="485"/>
      <c r="AX142" s="22"/>
      <c r="AY142" s="22"/>
      <c r="AZ142" s="22"/>
      <c r="BA142" s="22"/>
      <c r="BB142" s="760"/>
      <c r="BC142" s="760"/>
      <c r="BD142" s="22"/>
      <c r="BE142" s="22"/>
      <c r="BF142" s="22"/>
      <c r="BG142" s="22"/>
      <c r="BH142" s="22"/>
      <c r="BI142" s="22"/>
      <c r="BJ142" s="22"/>
      <c r="BK142" s="22"/>
      <c r="BL142" s="22"/>
      <c r="BM142" s="22"/>
      <c r="BN142" s="22"/>
      <c r="CG142" s="22"/>
      <c r="CH142" s="565"/>
    </row>
    <row r="143" spans="8:86" ht="19.5" customHeight="1">
      <c r="H143" s="12"/>
      <c r="I143" s="18"/>
      <c r="J143" s="19"/>
      <c r="K143" s="19"/>
      <c r="L143" s="20"/>
      <c r="M143" s="22"/>
      <c r="N143" s="22"/>
      <c r="O143" s="22"/>
      <c r="P143" s="22"/>
      <c r="Q143" s="22"/>
      <c r="R143" s="22"/>
      <c r="S143" s="571"/>
      <c r="T143" s="571"/>
      <c r="U143" s="571"/>
      <c r="V143" s="22"/>
      <c r="W143" s="22"/>
      <c r="X143" s="22"/>
      <c r="Y143" s="22"/>
      <c r="Z143" s="22"/>
      <c r="AA143" s="22"/>
      <c r="AB143" s="476"/>
      <c r="AC143" s="485"/>
      <c r="AD143" s="449"/>
      <c r="AE143" s="485"/>
      <c r="AF143" s="449"/>
      <c r="AG143" s="449"/>
      <c r="AH143" s="22"/>
      <c r="AI143" s="22"/>
      <c r="AJ143" s="449"/>
      <c r="AK143" s="449"/>
      <c r="AL143" s="449"/>
      <c r="AM143" s="449"/>
      <c r="AN143" s="449"/>
      <c r="AO143" s="449"/>
      <c r="AP143" s="449"/>
      <c r="AQ143" s="449"/>
      <c r="AR143" s="449"/>
      <c r="AS143" s="449"/>
      <c r="AT143" s="449"/>
      <c r="AU143" s="489"/>
      <c r="AV143" s="449"/>
      <c r="AW143" s="485"/>
      <c r="AX143" s="22"/>
      <c r="AY143" s="22"/>
      <c r="AZ143" s="22"/>
      <c r="BA143" s="22"/>
      <c r="BB143" s="760"/>
      <c r="BC143" s="760"/>
      <c r="BD143" s="22"/>
      <c r="BE143" s="22"/>
      <c r="BF143" s="22"/>
      <c r="BG143" s="22"/>
      <c r="BH143" s="22"/>
      <c r="BI143" s="22"/>
      <c r="BJ143" s="22"/>
      <c r="BK143" s="22"/>
      <c r="BL143" s="22"/>
      <c r="BM143" s="22"/>
      <c r="BN143" s="22"/>
      <c r="CG143" s="22"/>
      <c r="CH143" s="565"/>
    </row>
    <row r="144" spans="8:86" ht="19.5" customHeight="1">
      <c r="H144" s="12"/>
      <c r="I144" s="18"/>
      <c r="J144" s="19"/>
      <c r="K144" s="19"/>
      <c r="L144" s="20"/>
      <c r="M144" s="22"/>
      <c r="N144" s="22"/>
      <c r="O144" s="22"/>
      <c r="P144" s="22"/>
      <c r="Q144" s="22"/>
      <c r="R144" s="22"/>
      <c r="S144" s="571"/>
      <c r="T144" s="571"/>
      <c r="U144" s="571"/>
      <c r="V144" s="22"/>
      <c r="W144" s="22"/>
      <c r="X144" s="22"/>
      <c r="Y144" s="22"/>
      <c r="Z144" s="22"/>
      <c r="AA144" s="22"/>
      <c r="AB144" s="476"/>
      <c r="AC144" s="485"/>
      <c r="AD144" s="449"/>
      <c r="AE144" s="485"/>
      <c r="AF144" s="449"/>
      <c r="AG144" s="449"/>
      <c r="AH144" s="22"/>
      <c r="AI144" s="22"/>
      <c r="AJ144" s="449"/>
      <c r="AK144" s="449"/>
      <c r="AL144" s="449"/>
      <c r="AM144" s="449"/>
      <c r="AN144" s="449"/>
      <c r="AO144" s="449"/>
      <c r="AP144" s="449"/>
      <c r="AQ144" s="449"/>
      <c r="AR144" s="449"/>
      <c r="AS144" s="449"/>
      <c r="AT144" s="449"/>
      <c r="AU144" s="489"/>
      <c r="AV144" s="449"/>
      <c r="AW144" s="485"/>
      <c r="AX144" s="22"/>
      <c r="AY144" s="22"/>
      <c r="AZ144" s="22"/>
      <c r="BA144" s="22"/>
      <c r="BB144" s="760"/>
      <c r="BC144" s="760"/>
      <c r="BD144" s="22"/>
      <c r="BE144" s="22"/>
      <c r="BF144" s="22"/>
      <c r="BG144" s="22"/>
      <c r="BH144" s="22"/>
      <c r="BI144" s="22"/>
      <c r="BJ144" s="22"/>
      <c r="BK144" s="22"/>
      <c r="BL144" s="22"/>
      <c r="BM144" s="22"/>
      <c r="BN144" s="22"/>
      <c r="CG144" s="22"/>
      <c r="CH144" s="565"/>
    </row>
    <row r="145" spans="8:86" ht="19.5" customHeight="1">
      <c r="H145" s="12"/>
      <c r="I145" s="18"/>
      <c r="J145" s="19"/>
      <c r="K145" s="19"/>
      <c r="L145" s="20"/>
      <c r="M145" s="22"/>
      <c r="N145" s="22"/>
      <c r="O145" s="22"/>
      <c r="P145" s="22"/>
      <c r="Q145" s="22"/>
      <c r="R145" s="22"/>
      <c r="S145" s="571"/>
      <c r="T145" s="571"/>
      <c r="U145" s="571"/>
      <c r="V145" s="22"/>
      <c r="W145" s="22"/>
      <c r="X145" s="22"/>
      <c r="Y145" s="22"/>
      <c r="Z145" s="22"/>
      <c r="AA145" s="22"/>
      <c r="AB145" s="476"/>
      <c r="AC145" s="485"/>
      <c r="AD145" s="449"/>
      <c r="AE145" s="485"/>
      <c r="AF145" s="449"/>
      <c r="AG145" s="449"/>
      <c r="AH145" s="22"/>
      <c r="AI145" s="22"/>
      <c r="AJ145" s="449"/>
      <c r="AK145" s="449"/>
      <c r="AL145" s="449"/>
      <c r="AM145" s="449"/>
      <c r="AN145" s="449"/>
      <c r="AO145" s="449"/>
      <c r="AP145" s="449"/>
      <c r="AQ145" s="449"/>
      <c r="AR145" s="449"/>
      <c r="AS145" s="449"/>
      <c r="AT145" s="449"/>
      <c r="AU145" s="489"/>
      <c r="AV145" s="449"/>
      <c r="AW145" s="485"/>
      <c r="AX145" s="22"/>
      <c r="AY145" s="22"/>
      <c r="AZ145" s="22"/>
      <c r="BA145" s="22"/>
      <c r="BB145" s="760"/>
      <c r="BC145" s="760"/>
      <c r="BD145" s="22"/>
      <c r="BE145" s="22"/>
      <c r="BF145" s="22"/>
      <c r="BG145" s="22"/>
      <c r="BH145" s="22"/>
      <c r="BI145" s="22"/>
      <c r="BJ145" s="22"/>
      <c r="BK145" s="22"/>
      <c r="BL145" s="22"/>
      <c r="BM145" s="22"/>
      <c r="BN145" s="22"/>
      <c r="CG145" s="22"/>
      <c r="CH145" s="565"/>
    </row>
    <row r="146" spans="8:86" ht="19.5" customHeight="1">
      <c r="H146" s="12"/>
      <c r="I146" s="18"/>
      <c r="J146" s="19"/>
      <c r="K146" s="19"/>
      <c r="L146" s="20"/>
      <c r="M146" s="22"/>
      <c r="N146" s="22"/>
      <c r="O146" s="22"/>
      <c r="P146" s="22"/>
      <c r="Q146" s="22"/>
      <c r="R146" s="22"/>
      <c r="S146" s="571"/>
      <c r="T146" s="571"/>
      <c r="U146" s="571"/>
      <c r="V146" s="22"/>
      <c r="W146" s="22"/>
      <c r="X146" s="22"/>
      <c r="Y146" s="22"/>
      <c r="Z146" s="22"/>
      <c r="AA146" s="22"/>
      <c r="AB146" s="476"/>
      <c r="AC146" s="485"/>
      <c r="AD146" s="449"/>
      <c r="AE146" s="485"/>
      <c r="AF146" s="449"/>
      <c r="AG146" s="449"/>
      <c r="AH146" s="22"/>
      <c r="AI146" s="22"/>
      <c r="AJ146" s="449"/>
      <c r="AK146" s="449"/>
      <c r="AL146" s="449"/>
      <c r="AM146" s="449"/>
      <c r="AN146" s="449"/>
      <c r="AO146" s="449"/>
      <c r="AP146" s="449"/>
      <c r="AQ146" s="449"/>
      <c r="AR146" s="449"/>
      <c r="AS146" s="449"/>
      <c r="AT146" s="449"/>
      <c r="AU146" s="489"/>
      <c r="AV146" s="449"/>
      <c r="AW146" s="485"/>
      <c r="AX146" s="22"/>
      <c r="AY146" s="22"/>
      <c r="AZ146" s="22"/>
      <c r="BA146" s="22"/>
      <c r="BB146" s="760"/>
      <c r="BC146" s="760"/>
      <c r="BD146" s="22"/>
      <c r="BE146" s="22"/>
      <c r="BF146" s="22"/>
      <c r="BG146" s="22"/>
      <c r="BH146" s="22"/>
      <c r="BI146" s="22"/>
      <c r="BJ146" s="22"/>
      <c r="BK146" s="22"/>
      <c r="BL146" s="22"/>
      <c r="BM146" s="22"/>
      <c r="BN146" s="22"/>
      <c r="CG146" s="22"/>
      <c r="CH146" s="565"/>
    </row>
    <row r="147" spans="8:86" ht="19.5" customHeight="1">
      <c r="H147" s="12"/>
      <c r="I147" s="18"/>
      <c r="J147" s="19"/>
      <c r="K147" s="19"/>
      <c r="L147" s="20"/>
      <c r="M147" s="22"/>
      <c r="N147" s="22"/>
      <c r="O147" s="22"/>
      <c r="P147" s="22"/>
      <c r="Q147" s="22"/>
      <c r="R147" s="22"/>
      <c r="S147" s="571"/>
      <c r="T147" s="571"/>
      <c r="U147" s="571"/>
      <c r="V147" s="22"/>
      <c r="W147" s="22"/>
      <c r="X147" s="22"/>
      <c r="Y147" s="22"/>
      <c r="Z147" s="22"/>
      <c r="AA147" s="22"/>
      <c r="AB147" s="476"/>
      <c r="AC147" s="485"/>
      <c r="AD147" s="449"/>
      <c r="AE147" s="485"/>
      <c r="AF147" s="449"/>
      <c r="AG147" s="449"/>
      <c r="AH147" s="22"/>
      <c r="AI147" s="22"/>
      <c r="AJ147" s="449"/>
      <c r="AK147" s="449"/>
      <c r="AL147" s="449"/>
      <c r="AM147" s="449"/>
      <c r="AN147" s="449"/>
      <c r="AO147" s="449"/>
      <c r="AP147" s="449"/>
      <c r="AQ147" s="449"/>
      <c r="AR147" s="449"/>
      <c r="AS147" s="449"/>
      <c r="AT147" s="449"/>
      <c r="AU147" s="489"/>
      <c r="AV147" s="449"/>
      <c r="AW147" s="485"/>
      <c r="AX147" s="22"/>
      <c r="AY147" s="22"/>
      <c r="AZ147" s="22"/>
      <c r="BA147" s="22"/>
      <c r="BB147" s="760"/>
      <c r="BC147" s="760"/>
      <c r="BD147" s="22"/>
      <c r="BE147" s="22"/>
      <c r="BF147" s="22"/>
      <c r="BG147" s="22"/>
      <c r="BH147" s="22"/>
      <c r="BI147" s="22"/>
      <c r="BJ147" s="22"/>
      <c r="BK147" s="22"/>
      <c r="BL147" s="22"/>
      <c r="BM147" s="22"/>
      <c r="BN147" s="22"/>
      <c r="CG147" s="22"/>
      <c r="CH147" s="565"/>
    </row>
    <row r="148" spans="8:86" ht="19.5" customHeight="1">
      <c r="H148" s="12"/>
      <c r="I148" s="18"/>
      <c r="J148" s="19"/>
      <c r="K148" s="19"/>
      <c r="L148" s="20"/>
      <c r="M148" s="22"/>
      <c r="N148" s="22"/>
      <c r="O148" s="22"/>
      <c r="P148" s="22"/>
      <c r="Q148" s="22"/>
      <c r="R148" s="22"/>
      <c r="S148" s="571"/>
      <c r="T148" s="571"/>
      <c r="U148" s="571"/>
      <c r="V148" s="22"/>
      <c r="W148" s="22"/>
      <c r="X148" s="22"/>
      <c r="Y148" s="22"/>
      <c r="Z148" s="22"/>
      <c r="AA148" s="22"/>
      <c r="AB148" s="476"/>
      <c r="AC148" s="485"/>
      <c r="AD148" s="449"/>
      <c r="AE148" s="485"/>
      <c r="AF148" s="449"/>
      <c r="AG148" s="449"/>
      <c r="AH148" s="22"/>
      <c r="AI148" s="22"/>
      <c r="AJ148" s="449"/>
      <c r="AK148" s="449"/>
      <c r="AL148" s="449"/>
      <c r="AM148" s="449"/>
      <c r="AN148" s="449"/>
      <c r="AO148" s="449"/>
      <c r="AP148" s="449"/>
      <c r="AQ148" s="449"/>
      <c r="AR148" s="449"/>
      <c r="AS148" s="449"/>
      <c r="AT148" s="449"/>
      <c r="AU148" s="489"/>
      <c r="AV148" s="449"/>
      <c r="AW148" s="485"/>
      <c r="AX148" s="22"/>
      <c r="AY148" s="22"/>
      <c r="AZ148" s="22"/>
      <c r="BA148" s="22"/>
      <c r="BB148" s="760"/>
      <c r="BC148" s="760"/>
      <c r="BD148" s="22"/>
      <c r="BE148" s="22"/>
      <c r="BF148" s="22"/>
      <c r="BG148" s="22"/>
      <c r="BH148" s="22"/>
      <c r="BI148" s="22"/>
      <c r="BJ148" s="22"/>
      <c r="BK148" s="22"/>
      <c r="BL148" s="22"/>
      <c r="BM148" s="22"/>
      <c r="BN148" s="22"/>
      <c r="CG148" s="22"/>
      <c r="CH148" s="565"/>
    </row>
    <row r="149" spans="8:86" ht="19.5" customHeight="1">
      <c r="H149" s="12"/>
      <c r="I149" s="18"/>
      <c r="J149" s="19"/>
      <c r="K149" s="19"/>
      <c r="L149" s="20"/>
      <c r="M149" s="22"/>
      <c r="N149" s="22"/>
      <c r="O149" s="22"/>
      <c r="P149" s="22"/>
      <c r="Q149" s="22"/>
      <c r="R149" s="22"/>
      <c r="S149" s="571"/>
      <c r="T149" s="571"/>
      <c r="U149" s="571"/>
      <c r="V149" s="22"/>
      <c r="W149" s="22"/>
      <c r="X149" s="22"/>
      <c r="Y149" s="22"/>
      <c r="Z149" s="22"/>
      <c r="AA149" s="22"/>
      <c r="AB149" s="476"/>
      <c r="AC149" s="485"/>
      <c r="AD149" s="449"/>
      <c r="AE149" s="485"/>
      <c r="AF149" s="449"/>
      <c r="AG149" s="449"/>
      <c r="AH149" s="22"/>
      <c r="AI149" s="22"/>
      <c r="AJ149" s="449"/>
      <c r="AK149" s="449"/>
      <c r="AL149" s="449"/>
      <c r="AM149" s="449"/>
      <c r="AN149" s="449"/>
      <c r="AO149" s="449"/>
      <c r="AP149" s="449"/>
      <c r="AQ149" s="449"/>
      <c r="AR149" s="449"/>
      <c r="AS149" s="449"/>
      <c r="AT149" s="449"/>
      <c r="AU149" s="489"/>
      <c r="AV149" s="449"/>
      <c r="AW149" s="485"/>
      <c r="AX149" s="22"/>
      <c r="AY149" s="22"/>
      <c r="AZ149" s="22"/>
      <c r="BA149" s="22"/>
      <c r="BB149" s="760"/>
      <c r="BC149" s="760"/>
      <c r="BD149" s="22"/>
      <c r="BE149" s="22"/>
      <c r="BF149" s="22"/>
      <c r="BG149" s="22"/>
      <c r="BH149" s="22"/>
      <c r="BI149" s="22"/>
      <c r="BJ149" s="22"/>
      <c r="BK149" s="22"/>
      <c r="BL149" s="22"/>
      <c r="BM149" s="22"/>
      <c r="BN149" s="22"/>
      <c r="CG149" s="22"/>
      <c r="CH149" s="565"/>
    </row>
    <row r="150" spans="8:86" ht="19.5" customHeight="1">
      <c r="H150" s="12"/>
      <c r="I150" s="18"/>
      <c r="J150" s="19"/>
      <c r="K150" s="19"/>
      <c r="L150" s="20"/>
      <c r="M150" s="22"/>
      <c r="N150" s="22"/>
      <c r="O150" s="22"/>
      <c r="P150" s="22"/>
      <c r="Q150" s="22"/>
      <c r="R150" s="22"/>
      <c r="S150" s="571"/>
      <c r="T150" s="571"/>
      <c r="U150" s="571"/>
      <c r="V150" s="22"/>
      <c r="W150" s="22"/>
      <c r="X150" s="22"/>
      <c r="Y150" s="22"/>
      <c r="Z150" s="22"/>
      <c r="AA150" s="22"/>
      <c r="AB150" s="476"/>
      <c r="AC150" s="485"/>
      <c r="AD150" s="449"/>
      <c r="AE150" s="485"/>
      <c r="AF150" s="449"/>
      <c r="AG150" s="449"/>
      <c r="AH150" s="22"/>
      <c r="AI150" s="22"/>
      <c r="AJ150" s="449"/>
      <c r="AK150" s="449"/>
      <c r="AL150" s="449"/>
      <c r="AM150" s="449"/>
      <c r="AN150" s="449"/>
      <c r="AO150" s="449"/>
      <c r="AP150" s="449"/>
      <c r="AQ150" s="449"/>
      <c r="AR150" s="449"/>
      <c r="AS150" s="449"/>
      <c r="AT150" s="449"/>
      <c r="AU150" s="489"/>
      <c r="AV150" s="449"/>
      <c r="AW150" s="485"/>
      <c r="AX150" s="22"/>
      <c r="AY150" s="22"/>
      <c r="AZ150" s="22"/>
      <c r="BA150" s="22"/>
      <c r="BB150" s="760"/>
      <c r="BC150" s="760"/>
      <c r="BD150" s="22"/>
      <c r="BE150" s="22"/>
      <c r="BF150" s="22"/>
      <c r="BG150" s="22"/>
      <c r="BH150" s="22"/>
      <c r="BI150" s="22"/>
      <c r="BJ150" s="22"/>
      <c r="BK150" s="22"/>
      <c r="BL150" s="22"/>
      <c r="BM150" s="22"/>
      <c r="BN150" s="22"/>
      <c r="CG150" s="22"/>
      <c r="CH150" s="565"/>
    </row>
    <row r="151" spans="8:86" ht="19.5" customHeight="1">
      <c r="H151" s="12"/>
      <c r="I151" s="18"/>
      <c r="J151" s="19"/>
      <c r="K151" s="19"/>
      <c r="L151" s="20"/>
      <c r="M151" s="22"/>
      <c r="N151" s="22"/>
      <c r="O151" s="22"/>
      <c r="P151" s="22"/>
      <c r="Q151" s="22"/>
      <c r="R151" s="22"/>
      <c r="S151" s="571"/>
      <c r="T151" s="571"/>
      <c r="U151" s="571"/>
      <c r="V151" s="22"/>
      <c r="W151" s="22"/>
      <c r="X151" s="22"/>
      <c r="Y151" s="22"/>
      <c r="Z151" s="22"/>
      <c r="AA151" s="22"/>
      <c r="AB151" s="476"/>
      <c r="AC151" s="485"/>
      <c r="AD151" s="449"/>
      <c r="AE151" s="485"/>
      <c r="AF151" s="449"/>
      <c r="AG151" s="449"/>
      <c r="AH151" s="22"/>
      <c r="AI151" s="22"/>
      <c r="AJ151" s="449"/>
      <c r="AK151" s="449"/>
      <c r="AL151" s="449"/>
      <c r="AM151" s="449"/>
      <c r="AN151" s="449"/>
      <c r="AO151" s="449"/>
      <c r="AP151" s="449"/>
      <c r="AQ151" s="449"/>
      <c r="AR151" s="449"/>
      <c r="AS151" s="449"/>
      <c r="AT151" s="449"/>
      <c r="AU151" s="489"/>
      <c r="AV151" s="449"/>
      <c r="AW151" s="485"/>
      <c r="AX151" s="22"/>
      <c r="AY151" s="22"/>
      <c r="AZ151" s="22"/>
      <c r="BA151" s="22"/>
      <c r="BB151" s="760"/>
      <c r="BC151" s="760"/>
      <c r="BD151" s="22"/>
      <c r="BE151" s="22"/>
      <c r="BF151" s="22"/>
      <c r="BG151" s="22"/>
      <c r="BH151" s="22"/>
      <c r="BI151" s="22"/>
      <c r="BJ151" s="22"/>
      <c r="BK151" s="22"/>
      <c r="BL151" s="22"/>
      <c r="BM151" s="22"/>
      <c r="BN151" s="22"/>
      <c r="CG151" s="22"/>
      <c r="CH151" s="565"/>
    </row>
    <row r="152" spans="8:86" ht="19.5" customHeight="1">
      <c r="H152" s="12"/>
      <c r="I152" s="18"/>
      <c r="J152" s="19"/>
      <c r="K152" s="19"/>
      <c r="L152" s="20"/>
      <c r="M152" s="22"/>
      <c r="N152" s="22"/>
      <c r="O152" s="22"/>
      <c r="P152" s="22"/>
      <c r="Q152" s="22"/>
      <c r="R152" s="22"/>
      <c r="S152" s="571"/>
      <c r="T152" s="571"/>
      <c r="U152" s="571"/>
      <c r="V152" s="22"/>
      <c r="W152" s="22"/>
      <c r="X152" s="22"/>
      <c r="Y152" s="22"/>
      <c r="Z152" s="22"/>
      <c r="AA152" s="22"/>
      <c r="AB152" s="476"/>
      <c r="AC152" s="485"/>
      <c r="AD152" s="449"/>
      <c r="AE152" s="485"/>
      <c r="AF152" s="449"/>
      <c r="AG152" s="449"/>
      <c r="AH152" s="22"/>
      <c r="AI152" s="22"/>
      <c r="AJ152" s="449"/>
      <c r="AK152" s="449"/>
      <c r="AL152" s="449"/>
      <c r="AM152" s="449"/>
      <c r="AN152" s="449"/>
      <c r="AO152" s="449"/>
      <c r="AP152" s="449"/>
      <c r="AQ152" s="449"/>
      <c r="AR152" s="449"/>
      <c r="AS152" s="449"/>
      <c r="AT152" s="449"/>
      <c r="AU152" s="489"/>
      <c r="AV152" s="449"/>
      <c r="AW152" s="485"/>
      <c r="AX152" s="22"/>
      <c r="AY152" s="22"/>
      <c r="AZ152" s="22"/>
      <c r="BA152" s="22"/>
      <c r="BB152" s="760"/>
      <c r="BC152" s="760"/>
      <c r="BD152" s="22"/>
      <c r="BE152" s="22"/>
      <c r="BF152" s="22"/>
      <c r="BG152" s="22"/>
      <c r="BH152" s="22"/>
      <c r="BI152" s="22"/>
      <c r="BJ152" s="22"/>
      <c r="BK152" s="22"/>
      <c r="BL152" s="22"/>
      <c r="BM152" s="22"/>
      <c r="BN152" s="22"/>
      <c r="CG152" s="22"/>
      <c r="CH152" s="565"/>
    </row>
    <row r="153" spans="8:86" ht="19.5" customHeight="1">
      <c r="H153" s="12"/>
      <c r="I153" s="18"/>
      <c r="J153" s="19"/>
      <c r="K153" s="19"/>
      <c r="L153" s="20"/>
      <c r="M153" s="22"/>
      <c r="N153" s="22"/>
      <c r="O153" s="22"/>
      <c r="P153" s="22"/>
      <c r="Q153" s="22"/>
      <c r="R153" s="22"/>
      <c r="S153" s="571"/>
      <c r="T153" s="571"/>
      <c r="U153" s="571"/>
      <c r="V153" s="22"/>
      <c r="W153" s="22"/>
      <c r="X153" s="22"/>
      <c r="Y153" s="22"/>
      <c r="Z153" s="22"/>
      <c r="AA153" s="22"/>
      <c r="AB153" s="476"/>
      <c r="AC153" s="485"/>
      <c r="AD153" s="449"/>
      <c r="AE153" s="485"/>
      <c r="AF153" s="449"/>
      <c r="AG153" s="449"/>
      <c r="AH153" s="22"/>
      <c r="AI153" s="22"/>
      <c r="AJ153" s="449"/>
      <c r="AK153" s="449"/>
      <c r="AL153" s="449"/>
      <c r="AM153" s="449"/>
      <c r="AN153" s="449"/>
      <c r="AO153" s="449"/>
      <c r="AP153" s="449"/>
      <c r="AQ153" s="449"/>
      <c r="AR153" s="449"/>
      <c r="AS153" s="449"/>
      <c r="AT153" s="449"/>
      <c r="AU153" s="489"/>
      <c r="AV153" s="449"/>
      <c r="AW153" s="485"/>
      <c r="AX153" s="22"/>
      <c r="AY153" s="22"/>
      <c r="AZ153" s="22"/>
      <c r="BA153" s="22"/>
      <c r="BB153" s="760"/>
      <c r="BC153" s="760"/>
      <c r="BD153" s="22"/>
      <c r="BE153" s="22"/>
      <c r="BF153" s="22"/>
      <c r="BG153" s="22"/>
      <c r="BH153" s="22"/>
      <c r="BI153" s="22"/>
      <c r="BJ153" s="22"/>
      <c r="BK153" s="22"/>
      <c r="BL153" s="22"/>
      <c r="BM153" s="22"/>
      <c r="BN153" s="22"/>
      <c r="CG153" s="22"/>
      <c r="CH153" s="565"/>
    </row>
    <row r="154" spans="8:86" ht="19.5" customHeight="1">
      <c r="I154" s="18"/>
      <c r="J154" s="19"/>
      <c r="K154" s="19"/>
      <c r="L154" s="20"/>
      <c r="M154" s="22"/>
      <c r="N154" s="22"/>
      <c r="O154" s="22"/>
      <c r="P154" s="22"/>
      <c r="Q154" s="22"/>
      <c r="R154" s="22"/>
      <c r="S154" s="571"/>
      <c r="T154" s="571"/>
      <c r="U154" s="571"/>
      <c r="V154" s="22"/>
      <c r="W154" s="22"/>
      <c r="X154" s="22"/>
      <c r="Y154" s="22"/>
      <c r="Z154" s="22"/>
      <c r="AA154" s="22"/>
      <c r="AB154" s="476"/>
      <c r="AC154" s="485"/>
      <c r="AD154" s="449"/>
      <c r="AE154" s="485"/>
      <c r="AF154" s="449"/>
      <c r="AG154" s="449"/>
      <c r="AH154" s="22"/>
      <c r="AI154" s="22"/>
      <c r="AJ154" s="449"/>
      <c r="AK154" s="449"/>
      <c r="AL154" s="449"/>
      <c r="AM154" s="449"/>
      <c r="AN154" s="449"/>
      <c r="AO154" s="449"/>
      <c r="AP154" s="449"/>
      <c r="AQ154" s="449"/>
      <c r="AR154" s="449"/>
      <c r="AS154" s="449"/>
      <c r="AT154" s="449"/>
      <c r="AU154" s="489"/>
      <c r="AV154" s="449"/>
      <c r="AW154" s="485"/>
      <c r="AX154" s="22"/>
      <c r="AY154" s="22"/>
      <c r="AZ154" s="22"/>
      <c r="BA154" s="22"/>
      <c r="BB154" s="760"/>
      <c r="BC154" s="760"/>
      <c r="BD154" s="22"/>
      <c r="BE154" s="22"/>
      <c r="BF154" s="22"/>
      <c r="BG154" s="22"/>
      <c r="BH154" s="22"/>
      <c r="BI154" s="22"/>
      <c r="BJ154" s="22"/>
      <c r="BK154" s="22"/>
      <c r="BL154" s="22"/>
      <c r="BM154" s="22"/>
      <c r="BN154" s="22"/>
      <c r="CG154" s="22"/>
      <c r="CH154" s="565"/>
    </row>
    <row r="155" spans="8:86" ht="19.5" customHeight="1">
      <c r="I155" s="18"/>
      <c r="J155" s="19"/>
      <c r="K155" s="19"/>
      <c r="L155" s="20"/>
      <c r="M155" s="22"/>
      <c r="N155" s="22"/>
      <c r="O155" s="22"/>
      <c r="P155" s="22"/>
      <c r="Q155" s="22"/>
      <c r="R155" s="22"/>
      <c r="S155" s="571"/>
      <c r="T155" s="571"/>
      <c r="U155" s="571"/>
      <c r="V155" s="22"/>
      <c r="W155" s="22"/>
      <c r="X155" s="22"/>
      <c r="Y155" s="22"/>
      <c r="Z155" s="22"/>
      <c r="AA155" s="22"/>
      <c r="AB155" s="476"/>
      <c r="AC155" s="485"/>
      <c r="AD155" s="449"/>
      <c r="AE155" s="485"/>
      <c r="AF155" s="449"/>
      <c r="AG155" s="449"/>
      <c r="AH155" s="22"/>
      <c r="AI155" s="22"/>
      <c r="AJ155" s="449"/>
      <c r="AK155" s="449"/>
      <c r="AL155" s="449"/>
      <c r="AM155" s="449"/>
      <c r="AN155" s="449"/>
      <c r="AO155" s="449"/>
      <c r="AP155" s="449"/>
      <c r="AQ155" s="449"/>
      <c r="AR155" s="449"/>
      <c r="AS155" s="449"/>
      <c r="AT155" s="449"/>
      <c r="AU155" s="489"/>
      <c r="AV155" s="449"/>
      <c r="AW155" s="485"/>
      <c r="AX155" s="22"/>
      <c r="AY155" s="22"/>
      <c r="AZ155" s="22"/>
      <c r="BA155" s="22"/>
      <c r="BB155" s="760"/>
      <c r="BC155" s="760"/>
      <c r="BD155" s="22"/>
      <c r="BE155" s="22"/>
      <c r="BF155" s="22"/>
      <c r="BG155" s="22"/>
      <c r="BH155" s="22"/>
      <c r="BI155" s="22"/>
      <c r="BJ155" s="22"/>
      <c r="BK155" s="22"/>
      <c r="BL155" s="22"/>
      <c r="BM155" s="22"/>
      <c r="BN155" s="22"/>
      <c r="CG155" s="22"/>
      <c r="CH155" s="565"/>
    </row>
    <row r="156" spans="8:86" ht="19.5" customHeight="1">
      <c r="I156" s="18"/>
      <c r="J156" s="19"/>
      <c r="K156" s="19"/>
      <c r="L156" s="20"/>
      <c r="M156" s="22"/>
      <c r="N156" s="22"/>
      <c r="O156" s="22"/>
      <c r="P156" s="22"/>
      <c r="Q156" s="22"/>
      <c r="R156" s="22"/>
      <c r="S156" s="571"/>
      <c r="T156" s="571"/>
      <c r="U156" s="571"/>
      <c r="V156" s="22"/>
      <c r="W156" s="22"/>
      <c r="X156" s="22"/>
      <c r="Y156" s="22"/>
      <c r="Z156" s="22"/>
      <c r="AA156" s="22"/>
      <c r="AB156" s="476"/>
      <c r="AC156" s="485"/>
      <c r="AD156" s="449"/>
      <c r="AE156" s="485"/>
      <c r="AF156" s="449"/>
      <c r="AG156" s="449"/>
      <c r="AH156" s="22"/>
      <c r="AI156" s="22"/>
      <c r="AJ156" s="449"/>
      <c r="AK156" s="449"/>
      <c r="AL156" s="449"/>
      <c r="AM156" s="449"/>
      <c r="AN156" s="449"/>
      <c r="AO156" s="449"/>
      <c r="AP156" s="449"/>
      <c r="AQ156" s="449"/>
      <c r="AR156" s="449"/>
      <c r="AS156" s="449"/>
      <c r="AT156" s="449"/>
      <c r="AU156" s="489"/>
      <c r="AV156" s="449"/>
      <c r="AW156" s="485"/>
      <c r="AX156" s="22"/>
      <c r="AY156" s="22"/>
      <c r="AZ156" s="22"/>
      <c r="BA156" s="22"/>
      <c r="BB156" s="760"/>
      <c r="BC156" s="760"/>
      <c r="BD156" s="22"/>
      <c r="BE156" s="22"/>
      <c r="BF156" s="22"/>
      <c r="BG156" s="22"/>
      <c r="BH156" s="22"/>
      <c r="BI156" s="22"/>
      <c r="BJ156" s="22"/>
      <c r="BK156" s="22"/>
      <c r="BL156" s="22"/>
      <c r="BM156" s="22"/>
      <c r="BN156" s="22"/>
      <c r="CG156" s="22"/>
      <c r="CH156" s="565"/>
    </row>
    <row r="157" spans="8:86" ht="19.5" customHeight="1">
      <c r="I157" s="18"/>
      <c r="J157" s="19"/>
      <c r="K157" s="19"/>
      <c r="L157" s="20"/>
      <c r="M157" s="22"/>
      <c r="N157" s="22"/>
      <c r="O157" s="22"/>
      <c r="P157" s="22"/>
      <c r="Q157" s="22"/>
      <c r="R157" s="22"/>
      <c r="S157" s="571"/>
      <c r="T157" s="571"/>
      <c r="U157" s="571"/>
      <c r="V157" s="22"/>
      <c r="W157" s="22"/>
      <c r="X157" s="22"/>
      <c r="Y157" s="22"/>
      <c r="Z157" s="22"/>
      <c r="AA157" s="22"/>
      <c r="AB157" s="476"/>
      <c r="AC157" s="485"/>
      <c r="AD157" s="449"/>
      <c r="AE157" s="485"/>
      <c r="AF157" s="449"/>
      <c r="AG157" s="449"/>
      <c r="AH157" s="22"/>
      <c r="AI157" s="22"/>
      <c r="AJ157" s="449"/>
      <c r="AK157" s="449"/>
      <c r="AL157" s="449"/>
      <c r="AM157" s="449"/>
      <c r="AN157" s="449"/>
      <c r="AO157" s="449"/>
      <c r="AP157" s="449"/>
      <c r="AQ157" s="449"/>
      <c r="AR157" s="449"/>
      <c r="AS157" s="449"/>
      <c r="AT157" s="449"/>
      <c r="AU157" s="489"/>
      <c r="AV157" s="449"/>
      <c r="AW157" s="485"/>
      <c r="AX157" s="22"/>
      <c r="AY157" s="22"/>
      <c r="AZ157" s="22"/>
      <c r="BA157" s="22"/>
      <c r="BB157" s="760"/>
      <c r="BC157" s="760"/>
      <c r="BD157" s="22"/>
      <c r="BE157" s="22"/>
      <c r="BF157" s="22"/>
      <c r="BG157" s="22"/>
      <c r="BH157" s="22"/>
      <c r="BI157" s="22"/>
      <c r="BJ157" s="22"/>
      <c r="BK157" s="22"/>
      <c r="BL157" s="22"/>
      <c r="BM157" s="22"/>
      <c r="BN157" s="22"/>
      <c r="CG157" s="22"/>
      <c r="CH157" s="565"/>
    </row>
    <row r="158" spans="8:86" ht="19.5" customHeight="1">
      <c r="I158" s="18"/>
      <c r="J158" s="19"/>
      <c r="K158" s="19"/>
      <c r="L158" s="20"/>
      <c r="M158" s="22"/>
      <c r="N158" s="22"/>
      <c r="O158" s="22"/>
      <c r="P158" s="22"/>
      <c r="Q158" s="22"/>
      <c r="R158" s="22"/>
      <c r="S158" s="571"/>
      <c r="T158" s="571"/>
      <c r="U158" s="571"/>
      <c r="V158" s="22"/>
      <c r="W158" s="22"/>
      <c r="X158" s="22"/>
      <c r="Y158" s="22"/>
      <c r="Z158" s="22"/>
      <c r="AA158" s="22"/>
      <c r="AB158" s="476"/>
      <c r="AC158" s="485"/>
      <c r="AD158" s="449"/>
      <c r="AE158" s="485"/>
      <c r="AF158" s="449"/>
      <c r="AG158" s="449"/>
      <c r="AH158" s="22"/>
      <c r="AI158" s="22"/>
      <c r="AJ158" s="449"/>
      <c r="AK158" s="449"/>
      <c r="AL158" s="449"/>
      <c r="AM158" s="449"/>
      <c r="AN158" s="449"/>
      <c r="AO158" s="449"/>
      <c r="AP158" s="449"/>
      <c r="AQ158" s="449"/>
      <c r="AR158" s="449"/>
      <c r="AS158" s="449"/>
      <c r="AT158" s="449"/>
      <c r="AU158" s="489"/>
      <c r="AV158" s="449"/>
      <c r="AW158" s="485"/>
      <c r="AX158" s="22"/>
      <c r="AY158" s="22"/>
      <c r="AZ158" s="22"/>
      <c r="BA158" s="22"/>
      <c r="BB158" s="760"/>
      <c r="BC158" s="760"/>
      <c r="BD158" s="22"/>
      <c r="BE158" s="22"/>
      <c r="BF158" s="22"/>
      <c r="BG158" s="22"/>
      <c r="BH158" s="22"/>
      <c r="BI158" s="22"/>
      <c r="BJ158" s="22"/>
      <c r="BK158" s="22"/>
      <c r="BL158" s="22"/>
      <c r="BM158" s="22"/>
      <c r="BN158" s="22"/>
      <c r="CG158" s="22"/>
      <c r="CH158" s="565"/>
    </row>
    <row r="159" spans="8:86" ht="19.5" customHeight="1">
      <c r="I159" s="18"/>
      <c r="J159" s="19"/>
      <c r="K159" s="19"/>
      <c r="L159" s="20"/>
      <c r="M159" s="22"/>
      <c r="N159" s="22"/>
      <c r="O159" s="22"/>
      <c r="P159" s="22"/>
      <c r="Q159" s="22"/>
      <c r="R159" s="22"/>
      <c r="S159" s="571"/>
      <c r="T159" s="571"/>
      <c r="U159" s="571"/>
      <c r="V159" s="22"/>
      <c r="W159" s="22"/>
      <c r="X159" s="22"/>
      <c r="Y159" s="22"/>
      <c r="Z159" s="22"/>
      <c r="AA159" s="22"/>
      <c r="AB159" s="476"/>
      <c r="AC159" s="485"/>
      <c r="AD159" s="449"/>
      <c r="AE159" s="485"/>
      <c r="AF159" s="449"/>
      <c r="AG159" s="449"/>
      <c r="AH159" s="22"/>
      <c r="AI159" s="22"/>
      <c r="AJ159" s="449"/>
      <c r="AK159" s="449"/>
      <c r="AL159" s="449"/>
      <c r="AM159" s="449"/>
      <c r="AN159" s="449"/>
      <c r="AO159" s="449"/>
      <c r="AP159" s="449"/>
      <c r="AQ159" s="449"/>
      <c r="AR159" s="449"/>
      <c r="AS159" s="449"/>
      <c r="AT159" s="449"/>
      <c r="AU159" s="489"/>
      <c r="AV159" s="449"/>
      <c r="AW159" s="485"/>
      <c r="AX159" s="22"/>
      <c r="AY159" s="22"/>
      <c r="AZ159" s="22"/>
      <c r="BA159" s="22"/>
      <c r="BB159" s="760"/>
      <c r="BC159" s="760"/>
      <c r="BD159" s="22"/>
      <c r="BE159" s="22"/>
      <c r="BF159" s="22"/>
      <c r="BG159" s="22"/>
      <c r="BH159" s="22"/>
      <c r="BI159" s="22"/>
      <c r="BJ159" s="22"/>
      <c r="BK159" s="22"/>
      <c r="BL159" s="22"/>
      <c r="BM159" s="22"/>
      <c r="BN159" s="22"/>
      <c r="CG159" s="22"/>
      <c r="CH159" s="565"/>
    </row>
    <row r="160" spans="8:86" ht="19.5" customHeight="1">
      <c r="I160" s="18"/>
      <c r="J160" s="19"/>
      <c r="K160" s="19"/>
      <c r="L160" s="20"/>
      <c r="M160" s="22"/>
      <c r="N160" s="22"/>
      <c r="O160" s="22"/>
      <c r="P160" s="22"/>
      <c r="Q160" s="22"/>
      <c r="R160" s="22"/>
      <c r="S160" s="571"/>
      <c r="T160" s="571"/>
      <c r="U160" s="571"/>
      <c r="V160" s="22"/>
      <c r="W160" s="22"/>
      <c r="X160" s="22"/>
      <c r="Y160" s="22"/>
      <c r="Z160" s="22"/>
      <c r="AA160" s="22"/>
      <c r="AB160" s="476"/>
      <c r="AC160" s="485"/>
      <c r="AD160" s="449"/>
      <c r="AE160" s="485"/>
      <c r="AF160" s="449"/>
      <c r="AG160" s="449"/>
      <c r="AH160" s="22"/>
      <c r="AI160" s="22"/>
      <c r="AJ160" s="449"/>
      <c r="AK160" s="449"/>
      <c r="AL160" s="449"/>
      <c r="AM160" s="449"/>
      <c r="AN160" s="449"/>
      <c r="AO160" s="449"/>
      <c r="AP160" s="449"/>
      <c r="AQ160" s="449"/>
      <c r="AR160" s="449"/>
      <c r="AS160" s="449"/>
      <c r="AT160" s="449"/>
      <c r="AU160" s="489"/>
      <c r="AV160" s="449"/>
      <c r="AW160" s="485"/>
      <c r="AX160" s="22"/>
      <c r="AY160" s="22"/>
      <c r="AZ160" s="22"/>
      <c r="BA160" s="22"/>
      <c r="BB160" s="760"/>
      <c r="BC160" s="760"/>
      <c r="BD160" s="22"/>
      <c r="BE160" s="22"/>
      <c r="BF160" s="22"/>
      <c r="BG160" s="22"/>
      <c r="BH160" s="22"/>
      <c r="BI160" s="22"/>
      <c r="BJ160" s="22"/>
      <c r="BK160" s="22"/>
      <c r="BL160" s="22"/>
      <c r="BM160" s="22"/>
      <c r="BN160" s="22"/>
      <c r="CG160" s="22"/>
      <c r="CH160" s="565"/>
    </row>
    <row r="161" spans="9:86" ht="19.5" customHeight="1">
      <c r="I161" s="18"/>
      <c r="J161" s="19"/>
      <c r="K161" s="19"/>
      <c r="L161" s="20"/>
      <c r="M161" s="22"/>
      <c r="N161" s="22"/>
      <c r="O161" s="22"/>
      <c r="P161" s="22"/>
      <c r="Q161" s="22"/>
      <c r="R161" s="22"/>
      <c r="S161" s="571"/>
      <c r="T161" s="571"/>
      <c r="U161" s="571"/>
      <c r="V161" s="22"/>
      <c r="W161" s="22"/>
      <c r="X161" s="22"/>
      <c r="Y161" s="22"/>
      <c r="Z161" s="22"/>
      <c r="AA161" s="22"/>
      <c r="AB161" s="476"/>
      <c r="AC161" s="485"/>
      <c r="AD161" s="449"/>
      <c r="AE161" s="485"/>
      <c r="AF161" s="449"/>
      <c r="AG161" s="449"/>
      <c r="AH161" s="22"/>
      <c r="AI161" s="22"/>
      <c r="AJ161" s="449"/>
      <c r="AK161" s="449"/>
      <c r="AL161" s="449"/>
      <c r="AM161" s="449"/>
      <c r="AN161" s="449"/>
      <c r="AO161" s="449"/>
      <c r="AP161" s="449"/>
      <c r="AQ161" s="449"/>
      <c r="AR161" s="449"/>
      <c r="AS161" s="449"/>
      <c r="AT161" s="449"/>
      <c r="AU161" s="489"/>
      <c r="AV161" s="449"/>
      <c r="AW161" s="485"/>
      <c r="AX161" s="22"/>
      <c r="AY161" s="22"/>
      <c r="AZ161" s="22"/>
      <c r="BA161" s="22"/>
      <c r="BB161" s="760"/>
      <c r="BC161" s="760"/>
      <c r="BD161" s="22"/>
      <c r="BE161" s="22"/>
      <c r="BF161" s="22"/>
      <c r="BG161" s="22"/>
      <c r="BH161" s="22"/>
      <c r="BI161" s="22"/>
      <c r="BJ161" s="22"/>
      <c r="BK161" s="22"/>
      <c r="BL161" s="22"/>
      <c r="BM161" s="22"/>
      <c r="BN161" s="22"/>
      <c r="CG161" s="22"/>
      <c r="CH161" s="565"/>
    </row>
    <row r="162" spans="9:86" ht="19.5" customHeight="1">
      <c r="I162" s="18"/>
      <c r="J162" s="19"/>
      <c r="K162" s="19"/>
      <c r="L162" s="20"/>
      <c r="M162" s="22"/>
      <c r="N162" s="22"/>
      <c r="O162" s="22"/>
      <c r="P162" s="22"/>
      <c r="Q162" s="22"/>
      <c r="R162" s="22"/>
      <c r="S162" s="571"/>
      <c r="T162" s="571"/>
      <c r="U162" s="571"/>
      <c r="V162" s="22"/>
      <c r="W162" s="22"/>
      <c r="X162" s="22"/>
      <c r="Y162" s="22"/>
      <c r="Z162" s="22"/>
      <c r="AA162" s="22"/>
      <c r="AB162" s="476"/>
      <c r="AC162" s="485"/>
      <c r="AD162" s="449"/>
      <c r="AE162" s="485"/>
      <c r="AF162" s="449"/>
      <c r="AG162" s="449"/>
      <c r="AH162" s="22"/>
      <c r="AI162" s="22"/>
      <c r="AJ162" s="449"/>
      <c r="AK162" s="449"/>
      <c r="AL162" s="449"/>
      <c r="AM162" s="449"/>
      <c r="AN162" s="449"/>
      <c r="AO162" s="449"/>
      <c r="AP162" s="449"/>
      <c r="AQ162" s="449"/>
      <c r="AR162" s="449"/>
      <c r="AS162" s="449"/>
      <c r="AT162" s="449"/>
      <c r="AU162" s="489"/>
      <c r="AV162" s="449"/>
      <c r="AW162" s="485"/>
      <c r="AX162" s="22"/>
      <c r="AY162" s="22"/>
      <c r="AZ162" s="22"/>
      <c r="BA162" s="22"/>
      <c r="BB162" s="760"/>
      <c r="BC162" s="760"/>
      <c r="BD162" s="22"/>
      <c r="BE162" s="22"/>
      <c r="BF162" s="22"/>
      <c r="BG162" s="22"/>
      <c r="BH162" s="22"/>
      <c r="BI162" s="22"/>
      <c r="BJ162" s="22"/>
      <c r="BK162" s="22"/>
      <c r="BL162" s="22"/>
      <c r="BM162" s="22"/>
      <c r="BN162" s="22"/>
      <c r="CG162" s="22"/>
      <c r="CH162" s="565"/>
    </row>
    <row r="163" spans="9:86" ht="19.5" customHeight="1">
      <c r="I163" s="18"/>
      <c r="J163" s="19"/>
      <c r="K163" s="19"/>
      <c r="L163" s="20"/>
      <c r="M163" s="22"/>
      <c r="N163" s="22"/>
      <c r="O163" s="22"/>
      <c r="P163" s="22"/>
      <c r="Q163" s="22"/>
      <c r="R163" s="22"/>
      <c r="S163" s="571"/>
      <c r="T163" s="571"/>
      <c r="U163" s="571"/>
      <c r="V163" s="22"/>
      <c r="W163" s="22"/>
      <c r="X163" s="22"/>
      <c r="Y163" s="22"/>
      <c r="Z163" s="22"/>
      <c r="AA163" s="22"/>
      <c r="AB163" s="476"/>
      <c r="AC163" s="485"/>
      <c r="AD163" s="449"/>
      <c r="AE163" s="485"/>
      <c r="AF163" s="449"/>
      <c r="AG163" s="449"/>
      <c r="AH163" s="22"/>
      <c r="AI163" s="22"/>
      <c r="AJ163" s="449"/>
      <c r="AK163" s="449"/>
      <c r="AL163" s="449"/>
      <c r="AM163" s="449"/>
      <c r="AN163" s="449"/>
      <c r="AO163" s="449"/>
      <c r="AP163" s="449"/>
      <c r="AQ163" s="449"/>
      <c r="AR163" s="449"/>
      <c r="AS163" s="449"/>
      <c r="AT163" s="449"/>
      <c r="AU163" s="489"/>
      <c r="AV163" s="449"/>
      <c r="AW163" s="485"/>
      <c r="AX163" s="22"/>
      <c r="AY163" s="22"/>
      <c r="AZ163" s="22"/>
      <c r="BA163" s="22"/>
      <c r="BB163" s="760"/>
      <c r="BC163" s="760"/>
      <c r="BD163" s="22"/>
      <c r="BE163" s="22"/>
      <c r="BF163" s="22"/>
      <c r="BG163" s="22"/>
      <c r="BH163" s="22"/>
      <c r="BI163" s="22"/>
      <c r="BJ163" s="22"/>
      <c r="BK163" s="22"/>
      <c r="BL163" s="22"/>
      <c r="BM163" s="22"/>
      <c r="BN163" s="22"/>
      <c r="CG163" s="22"/>
      <c r="CH163" s="565"/>
    </row>
    <row r="164" spans="9:86" ht="19.5" customHeight="1">
      <c r="I164" s="18"/>
      <c r="J164" s="19"/>
      <c r="K164" s="19"/>
      <c r="L164" s="20"/>
      <c r="M164" s="22"/>
      <c r="N164" s="22"/>
      <c r="O164" s="22"/>
      <c r="P164" s="22"/>
      <c r="Q164" s="22"/>
      <c r="R164" s="22"/>
      <c r="S164" s="571"/>
      <c r="T164" s="571"/>
      <c r="U164" s="571"/>
      <c r="V164" s="22"/>
      <c r="W164" s="22"/>
      <c r="X164" s="22"/>
      <c r="Y164" s="22"/>
      <c r="Z164" s="22"/>
      <c r="AA164" s="22"/>
      <c r="AB164" s="476"/>
      <c r="AC164" s="485"/>
      <c r="AD164" s="449"/>
      <c r="AE164" s="485"/>
      <c r="AF164" s="449"/>
      <c r="AG164" s="449"/>
      <c r="AH164" s="22"/>
      <c r="AI164" s="22"/>
      <c r="AJ164" s="449"/>
      <c r="AK164" s="449"/>
      <c r="AL164" s="449"/>
      <c r="AM164" s="449"/>
      <c r="AN164" s="449"/>
      <c r="AO164" s="449"/>
      <c r="AP164" s="449"/>
      <c r="AQ164" s="449"/>
      <c r="AR164" s="449"/>
      <c r="AS164" s="449"/>
      <c r="AT164" s="449"/>
      <c r="AU164" s="489"/>
      <c r="AV164" s="449"/>
      <c r="AW164" s="485"/>
      <c r="AX164" s="22"/>
      <c r="AY164" s="22"/>
      <c r="AZ164" s="22"/>
      <c r="BA164" s="22"/>
      <c r="BB164" s="760"/>
      <c r="BC164" s="760"/>
      <c r="BD164" s="22"/>
      <c r="BE164" s="22"/>
      <c r="BF164" s="22"/>
      <c r="BG164" s="22"/>
      <c r="BH164" s="22"/>
      <c r="BI164" s="22"/>
      <c r="BJ164" s="22"/>
      <c r="BK164" s="22"/>
      <c r="BL164" s="22"/>
      <c r="BM164" s="22"/>
      <c r="BN164" s="22"/>
      <c r="CG164" s="22"/>
      <c r="CH164" s="565"/>
    </row>
    <row r="165" spans="9:86" ht="19.5" customHeight="1">
      <c r="I165" s="18"/>
      <c r="J165" s="19"/>
      <c r="K165" s="19"/>
      <c r="L165" s="20"/>
      <c r="M165" s="22"/>
      <c r="N165" s="22"/>
      <c r="O165" s="22"/>
      <c r="P165" s="22"/>
      <c r="Q165" s="22"/>
      <c r="R165" s="22"/>
      <c r="S165" s="571"/>
      <c r="T165" s="571"/>
      <c r="U165" s="571"/>
      <c r="V165" s="22"/>
      <c r="W165" s="22"/>
      <c r="X165" s="22"/>
      <c r="Y165" s="22"/>
      <c r="Z165" s="22"/>
      <c r="AA165" s="22"/>
      <c r="AB165" s="476"/>
      <c r="AC165" s="485"/>
      <c r="AD165" s="449"/>
      <c r="AE165" s="485"/>
      <c r="AF165" s="449"/>
      <c r="AG165" s="449"/>
      <c r="AH165" s="22"/>
      <c r="AI165" s="22"/>
      <c r="AJ165" s="449"/>
      <c r="AK165" s="449"/>
      <c r="AL165" s="449"/>
      <c r="AM165" s="449"/>
      <c r="AN165" s="449"/>
      <c r="AO165" s="449"/>
      <c r="AP165" s="449"/>
      <c r="AQ165" s="449"/>
      <c r="AR165" s="449"/>
      <c r="AS165" s="449"/>
      <c r="AT165" s="449"/>
      <c r="AU165" s="489"/>
      <c r="AV165" s="449"/>
      <c r="AW165" s="485"/>
      <c r="AX165" s="22"/>
      <c r="AY165" s="22"/>
      <c r="AZ165" s="22"/>
      <c r="BA165" s="22"/>
      <c r="BB165" s="760"/>
      <c r="BC165" s="760"/>
      <c r="BD165" s="22"/>
      <c r="BE165" s="22"/>
      <c r="BF165" s="22"/>
      <c r="BG165" s="22"/>
      <c r="BH165" s="22"/>
      <c r="BI165" s="22"/>
      <c r="BJ165" s="22"/>
      <c r="BK165" s="22"/>
      <c r="BL165" s="22"/>
      <c r="BM165" s="22"/>
      <c r="BN165" s="22"/>
      <c r="CG165" s="22"/>
      <c r="CH165" s="565"/>
    </row>
    <row r="166" spans="9:86" ht="19.5" customHeight="1">
      <c r="I166" s="18"/>
      <c r="J166" s="19"/>
      <c r="K166" s="19"/>
      <c r="L166" s="20"/>
      <c r="M166" s="22"/>
      <c r="N166" s="22"/>
      <c r="O166" s="22"/>
      <c r="P166" s="22"/>
      <c r="Q166" s="22"/>
      <c r="R166" s="22"/>
      <c r="S166" s="571"/>
      <c r="T166" s="571"/>
      <c r="U166" s="571"/>
      <c r="V166" s="22"/>
      <c r="W166" s="22"/>
      <c r="X166" s="22"/>
      <c r="Y166" s="22"/>
      <c r="Z166" s="22"/>
      <c r="AA166" s="22"/>
      <c r="AB166" s="476"/>
      <c r="AC166" s="485"/>
      <c r="AD166" s="449"/>
      <c r="AE166" s="485"/>
      <c r="AF166" s="449"/>
      <c r="AG166" s="449"/>
      <c r="AH166" s="22"/>
      <c r="AI166" s="22"/>
      <c r="AJ166" s="449"/>
      <c r="AK166" s="449"/>
      <c r="AL166" s="449"/>
      <c r="AM166" s="449"/>
      <c r="AN166" s="449"/>
      <c r="AO166" s="449"/>
      <c r="AP166" s="449"/>
      <c r="AQ166" s="449"/>
      <c r="AR166" s="449"/>
      <c r="AS166" s="449"/>
      <c r="AT166" s="449"/>
      <c r="AU166" s="489"/>
      <c r="AV166" s="449"/>
      <c r="AW166" s="485"/>
      <c r="AX166" s="22"/>
      <c r="AY166" s="22"/>
      <c r="AZ166" s="22"/>
      <c r="BA166" s="22"/>
      <c r="BB166" s="760"/>
      <c r="BC166" s="760"/>
      <c r="BD166" s="22"/>
      <c r="BE166" s="22"/>
      <c r="BF166" s="22"/>
      <c r="BG166" s="22"/>
      <c r="BH166" s="22"/>
      <c r="BI166" s="22"/>
      <c r="BJ166" s="22"/>
      <c r="BK166" s="22"/>
      <c r="BL166" s="22"/>
      <c r="BM166" s="22"/>
      <c r="BN166" s="22"/>
      <c r="CG166" s="22"/>
      <c r="CH166" s="565"/>
    </row>
    <row r="167" spans="9:86" ht="19.5" customHeight="1">
      <c r="I167" s="18"/>
      <c r="J167" s="19"/>
      <c r="K167" s="19"/>
      <c r="L167" s="20"/>
      <c r="M167" s="22"/>
      <c r="N167" s="22"/>
      <c r="O167" s="22"/>
      <c r="P167" s="22"/>
      <c r="Q167" s="22"/>
      <c r="R167" s="22"/>
      <c r="S167" s="571"/>
      <c r="T167" s="571"/>
      <c r="U167" s="571"/>
      <c r="V167" s="22"/>
      <c r="W167" s="22"/>
      <c r="X167" s="22"/>
      <c r="Y167" s="22"/>
      <c r="Z167" s="22"/>
      <c r="AA167" s="22"/>
      <c r="AB167" s="476"/>
      <c r="AC167" s="485"/>
      <c r="AD167" s="449"/>
      <c r="AE167" s="485"/>
      <c r="AF167" s="449"/>
      <c r="AG167" s="449"/>
      <c r="AH167" s="22"/>
      <c r="AI167" s="22"/>
      <c r="AJ167" s="449"/>
      <c r="AK167" s="449"/>
      <c r="AL167" s="449"/>
      <c r="AM167" s="449"/>
      <c r="AN167" s="449"/>
      <c r="AO167" s="449"/>
      <c r="AP167" s="449"/>
      <c r="AQ167" s="449"/>
      <c r="AR167" s="449"/>
      <c r="AS167" s="449"/>
      <c r="AT167" s="449"/>
      <c r="AU167" s="489"/>
      <c r="AV167" s="449"/>
      <c r="AW167" s="485"/>
      <c r="AX167" s="22"/>
      <c r="AY167" s="22"/>
      <c r="AZ167" s="22"/>
      <c r="BA167" s="22"/>
      <c r="BB167" s="760"/>
      <c r="BC167" s="760"/>
      <c r="BD167" s="22"/>
      <c r="BE167" s="22"/>
      <c r="BF167" s="22"/>
      <c r="BG167" s="22"/>
      <c r="BH167" s="22"/>
      <c r="BI167" s="22"/>
      <c r="BJ167" s="22"/>
      <c r="BK167" s="22"/>
      <c r="BL167" s="22"/>
      <c r="BM167" s="22"/>
      <c r="BN167" s="22"/>
      <c r="CG167" s="22"/>
      <c r="CH167" s="565"/>
    </row>
    <row r="168" spans="9:86" ht="19.5" customHeight="1">
      <c r="I168" s="18"/>
      <c r="J168" s="19"/>
      <c r="K168" s="19"/>
      <c r="L168" s="20"/>
      <c r="M168" s="22"/>
      <c r="N168" s="22"/>
      <c r="O168" s="22"/>
      <c r="P168" s="22"/>
      <c r="Q168" s="22"/>
      <c r="R168" s="22"/>
      <c r="S168" s="571"/>
      <c r="T168" s="571"/>
      <c r="U168" s="571"/>
      <c r="V168" s="22"/>
      <c r="W168" s="22"/>
      <c r="X168" s="22"/>
      <c r="Y168" s="22"/>
      <c r="Z168" s="22"/>
      <c r="AA168" s="22"/>
      <c r="AB168" s="476"/>
      <c r="AC168" s="485"/>
      <c r="AD168" s="449"/>
      <c r="AE168" s="485"/>
      <c r="AF168" s="449"/>
      <c r="AG168" s="449"/>
      <c r="AH168" s="22"/>
      <c r="AI168" s="22"/>
      <c r="AJ168" s="449"/>
      <c r="AK168" s="449"/>
      <c r="AL168" s="449"/>
      <c r="AM168" s="449"/>
      <c r="AN168" s="449"/>
      <c r="AO168" s="449"/>
      <c r="AP168" s="449"/>
      <c r="AQ168" s="449"/>
      <c r="AR168" s="449"/>
      <c r="AS168" s="449"/>
      <c r="AT168" s="449"/>
      <c r="AU168" s="489"/>
      <c r="AV168" s="449"/>
      <c r="AW168" s="485"/>
      <c r="AX168" s="22"/>
      <c r="AY168" s="22"/>
      <c r="AZ168" s="22"/>
      <c r="BA168" s="22"/>
      <c r="BB168" s="760"/>
      <c r="BC168" s="760"/>
      <c r="BD168" s="22"/>
      <c r="BE168" s="22"/>
      <c r="BF168" s="22"/>
      <c r="BG168" s="22"/>
      <c r="BH168" s="22"/>
      <c r="BI168" s="22"/>
      <c r="BJ168" s="22"/>
      <c r="BK168" s="22"/>
      <c r="BL168" s="22"/>
      <c r="BM168" s="22"/>
      <c r="BN168" s="22"/>
      <c r="CG168" s="22"/>
      <c r="CH168" s="565"/>
    </row>
    <row r="169" spans="9:86" ht="19.5" customHeight="1">
      <c r="I169" s="18"/>
      <c r="J169" s="19"/>
      <c r="K169" s="19"/>
      <c r="L169" s="20"/>
      <c r="M169" s="22"/>
      <c r="N169" s="22"/>
      <c r="O169" s="22"/>
      <c r="P169" s="22"/>
      <c r="Q169" s="22"/>
      <c r="R169" s="22"/>
      <c r="S169" s="571"/>
      <c r="T169" s="571"/>
      <c r="U169" s="571"/>
      <c r="V169" s="22"/>
      <c r="W169" s="22"/>
      <c r="X169" s="22"/>
      <c r="Y169" s="22"/>
      <c r="Z169" s="22"/>
      <c r="AA169" s="22"/>
      <c r="AB169" s="476"/>
      <c r="AC169" s="485"/>
      <c r="AD169" s="449"/>
      <c r="AE169" s="485"/>
      <c r="AF169" s="449"/>
      <c r="AG169" s="449"/>
      <c r="AH169" s="22"/>
      <c r="AI169" s="22"/>
      <c r="AJ169" s="449"/>
      <c r="AK169" s="449"/>
      <c r="AL169" s="449"/>
      <c r="AM169" s="449"/>
      <c r="AN169" s="449"/>
      <c r="AO169" s="449"/>
      <c r="AP169" s="449"/>
      <c r="AQ169" s="449"/>
      <c r="AR169" s="449"/>
      <c r="AS169" s="449"/>
      <c r="AT169" s="449"/>
      <c r="AU169" s="489"/>
      <c r="AV169" s="449"/>
      <c r="AW169" s="485"/>
      <c r="AX169" s="22"/>
      <c r="AY169" s="22"/>
      <c r="AZ169" s="22"/>
      <c r="BA169" s="22"/>
      <c r="BB169" s="760"/>
      <c r="BC169" s="760"/>
      <c r="BD169" s="22"/>
      <c r="BE169" s="22"/>
      <c r="BF169" s="22"/>
      <c r="BG169" s="22"/>
      <c r="BH169" s="22"/>
      <c r="BI169" s="22"/>
      <c r="BJ169" s="22"/>
      <c r="BK169" s="22"/>
      <c r="BL169" s="22"/>
      <c r="BM169" s="22"/>
      <c r="BN169" s="22"/>
      <c r="CG169" s="22"/>
      <c r="CH169" s="565"/>
    </row>
    <row r="170" spans="9:86" ht="19.5" customHeight="1">
      <c r="I170" s="18"/>
      <c r="J170" s="19"/>
      <c r="K170" s="19"/>
      <c r="L170" s="20"/>
      <c r="M170" s="22"/>
      <c r="N170" s="22"/>
      <c r="O170" s="22"/>
      <c r="P170" s="22"/>
      <c r="Q170" s="22"/>
      <c r="R170" s="22"/>
      <c r="S170" s="571"/>
      <c r="T170" s="571"/>
      <c r="U170" s="571"/>
      <c r="V170" s="22"/>
      <c r="W170" s="22"/>
      <c r="X170" s="22"/>
      <c r="Y170" s="22"/>
      <c r="Z170" s="22"/>
      <c r="AA170" s="22"/>
      <c r="AB170" s="476"/>
      <c r="AC170" s="485"/>
      <c r="AD170" s="449"/>
      <c r="AE170" s="485"/>
      <c r="AF170" s="449"/>
      <c r="AG170" s="449"/>
      <c r="AH170" s="22"/>
      <c r="AI170" s="22"/>
      <c r="AJ170" s="449"/>
      <c r="AK170" s="449"/>
      <c r="AL170" s="449"/>
      <c r="AM170" s="449"/>
      <c r="AN170" s="449"/>
      <c r="AO170" s="449"/>
      <c r="AP170" s="449"/>
      <c r="AQ170" s="449"/>
      <c r="AR170" s="449"/>
      <c r="AS170" s="449"/>
      <c r="AT170" s="449"/>
      <c r="AU170" s="489"/>
      <c r="AV170" s="449"/>
      <c r="AW170" s="485"/>
      <c r="AX170" s="22"/>
      <c r="AY170" s="22"/>
      <c r="AZ170" s="22"/>
      <c r="BA170" s="22"/>
      <c r="BB170" s="760"/>
      <c r="BC170" s="760"/>
      <c r="BD170" s="22"/>
      <c r="BE170" s="22"/>
      <c r="BF170" s="22"/>
      <c r="BG170" s="22"/>
      <c r="BH170" s="22"/>
      <c r="BI170" s="22"/>
      <c r="BJ170" s="22"/>
      <c r="BK170" s="22"/>
      <c r="BL170" s="22"/>
      <c r="BM170" s="22"/>
      <c r="BN170" s="22"/>
      <c r="CG170" s="22"/>
      <c r="CH170" s="565"/>
    </row>
    <row r="171" spans="9:86" ht="19.5" customHeight="1">
      <c r="I171" s="18"/>
      <c r="J171" s="19"/>
      <c r="K171" s="19"/>
      <c r="L171" s="20"/>
      <c r="M171" s="22"/>
      <c r="N171" s="22"/>
      <c r="O171" s="22"/>
      <c r="P171" s="22"/>
      <c r="Q171" s="22"/>
      <c r="R171" s="22"/>
      <c r="S171" s="571"/>
      <c r="T171" s="571"/>
      <c r="U171" s="571"/>
      <c r="V171" s="22"/>
      <c r="W171" s="22"/>
      <c r="X171" s="22"/>
      <c r="Y171" s="22"/>
      <c r="Z171" s="22"/>
      <c r="AA171" s="22"/>
      <c r="AB171" s="476"/>
      <c r="AC171" s="485"/>
      <c r="AD171" s="449"/>
      <c r="AE171" s="485"/>
      <c r="AF171" s="449"/>
      <c r="AG171" s="449"/>
      <c r="AH171" s="22"/>
      <c r="AI171" s="22"/>
      <c r="AJ171" s="449"/>
      <c r="AK171" s="449"/>
      <c r="AL171" s="449"/>
      <c r="AM171" s="449"/>
      <c r="AN171" s="449"/>
      <c r="AO171" s="449"/>
      <c r="AP171" s="449"/>
      <c r="AQ171" s="449"/>
      <c r="AR171" s="449"/>
      <c r="AS171" s="449"/>
      <c r="AT171" s="449"/>
      <c r="AU171" s="489"/>
      <c r="AV171" s="449"/>
      <c r="AW171" s="485"/>
      <c r="AX171" s="22"/>
      <c r="AY171" s="22"/>
      <c r="AZ171" s="22"/>
      <c r="BA171" s="22"/>
      <c r="BB171" s="760"/>
      <c r="BC171" s="760"/>
      <c r="BD171" s="22"/>
      <c r="BE171" s="22"/>
      <c r="BF171" s="22"/>
      <c r="BG171" s="22"/>
      <c r="BH171" s="22"/>
      <c r="BI171" s="22"/>
      <c r="BJ171" s="22"/>
      <c r="BK171" s="22"/>
      <c r="BL171" s="22"/>
      <c r="BM171" s="22"/>
      <c r="BN171" s="22"/>
      <c r="CG171" s="22"/>
      <c r="CH171" s="565"/>
    </row>
    <row r="172" spans="9:86" ht="19.5" customHeight="1">
      <c r="I172" s="18"/>
      <c r="J172" s="19"/>
      <c r="K172" s="19"/>
      <c r="L172" s="20"/>
      <c r="M172" s="22"/>
      <c r="N172" s="22"/>
      <c r="O172" s="22"/>
      <c r="P172" s="22"/>
      <c r="Q172" s="22"/>
      <c r="R172" s="22"/>
      <c r="S172" s="571"/>
      <c r="T172" s="571"/>
      <c r="U172" s="571"/>
      <c r="V172" s="22"/>
      <c r="W172" s="22"/>
      <c r="X172" s="22"/>
      <c r="Y172" s="22"/>
      <c r="Z172" s="22"/>
      <c r="AA172" s="22"/>
      <c r="AB172" s="476"/>
      <c r="AC172" s="485"/>
      <c r="AD172" s="449"/>
      <c r="AE172" s="485"/>
      <c r="AF172" s="449"/>
      <c r="AG172" s="449"/>
      <c r="AH172" s="22"/>
      <c r="AI172" s="22"/>
      <c r="AJ172" s="449"/>
      <c r="AK172" s="449"/>
      <c r="AL172" s="449"/>
      <c r="AM172" s="449"/>
      <c r="AN172" s="449"/>
      <c r="AO172" s="449"/>
      <c r="AP172" s="449"/>
      <c r="AQ172" s="449"/>
      <c r="AR172" s="449"/>
      <c r="AS172" s="449"/>
      <c r="AT172" s="449"/>
      <c r="AU172" s="489"/>
      <c r="AV172" s="449"/>
      <c r="AW172" s="485"/>
      <c r="AX172" s="22"/>
      <c r="AY172" s="22"/>
      <c r="AZ172" s="22"/>
      <c r="BA172" s="22"/>
      <c r="BB172" s="760"/>
      <c r="BC172" s="760"/>
      <c r="BD172" s="22"/>
      <c r="BE172" s="22"/>
      <c r="BF172" s="22"/>
      <c r="BG172" s="22"/>
      <c r="BH172" s="22"/>
      <c r="BI172" s="22"/>
      <c r="BJ172" s="22"/>
      <c r="BK172" s="22"/>
      <c r="BL172" s="22"/>
      <c r="BM172" s="22"/>
      <c r="BN172" s="22"/>
      <c r="CG172" s="22"/>
      <c r="CH172" s="565"/>
    </row>
    <row r="173" spans="9:86" ht="19.5" customHeight="1">
      <c r="I173" s="18"/>
      <c r="J173" s="19"/>
      <c r="K173" s="19"/>
      <c r="L173" s="20"/>
      <c r="M173" s="22"/>
      <c r="N173" s="22"/>
      <c r="O173" s="22"/>
      <c r="P173" s="22"/>
      <c r="Q173" s="22"/>
      <c r="R173" s="22"/>
      <c r="S173" s="571"/>
      <c r="T173" s="571"/>
      <c r="U173" s="571"/>
      <c r="V173" s="22"/>
      <c r="W173" s="22"/>
      <c r="X173" s="22"/>
      <c r="Y173" s="22"/>
      <c r="Z173" s="22"/>
      <c r="AA173" s="22"/>
      <c r="AB173" s="476"/>
      <c r="AC173" s="485"/>
      <c r="AD173" s="449"/>
      <c r="AE173" s="485"/>
      <c r="AF173" s="449"/>
      <c r="AG173" s="449"/>
      <c r="AH173" s="22"/>
      <c r="AI173" s="22"/>
      <c r="AJ173" s="449"/>
      <c r="AK173" s="449"/>
      <c r="AL173" s="449"/>
      <c r="AM173" s="449"/>
      <c r="AN173" s="449"/>
      <c r="AO173" s="449"/>
      <c r="AP173" s="449"/>
      <c r="AQ173" s="449"/>
      <c r="AR173" s="449"/>
      <c r="AS173" s="449"/>
      <c r="AT173" s="449"/>
      <c r="AU173" s="489"/>
      <c r="AV173" s="449"/>
      <c r="AW173" s="485"/>
      <c r="AX173" s="22"/>
      <c r="AY173" s="22"/>
      <c r="AZ173" s="22"/>
      <c r="BA173" s="22"/>
      <c r="BB173" s="760"/>
      <c r="BC173" s="760"/>
      <c r="BD173" s="22"/>
      <c r="BE173" s="22"/>
      <c r="BF173" s="22"/>
      <c r="BG173" s="22"/>
      <c r="BH173" s="22"/>
      <c r="BI173" s="22"/>
      <c r="BJ173" s="22"/>
      <c r="BK173" s="22"/>
      <c r="BL173" s="22"/>
      <c r="BM173" s="22"/>
      <c r="BN173" s="22"/>
      <c r="CG173" s="22"/>
      <c r="CH173" s="565"/>
    </row>
    <row r="174" spans="9:86" ht="19.5" customHeight="1">
      <c r="I174" s="18"/>
      <c r="J174" s="19"/>
      <c r="K174" s="19"/>
      <c r="L174" s="20"/>
      <c r="M174" s="22"/>
      <c r="N174" s="22"/>
      <c r="O174" s="22"/>
      <c r="P174" s="22"/>
      <c r="Q174" s="22"/>
      <c r="R174" s="22"/>
      <c r="S174" s="571"/>
      <c r="T174" s="571"/>
      <c r="U174" s="571"/>
      <c r="V174" s="22"/>
      <c r="W174" s="22"/>
      <c r="X174" s="22"/>
      <c r="Y174" s="22"/>
      <c r="Z174" s="22"/>
      <c r="AA174" s="22"/>
      <c r="AB174" s="476"/>
      <c r="AC174" s="485"/>
      <c r="AD174" s="449"/>
      <c r="AE174" s="485"/>
      <c r="AF174" s="449"/>
      <c r="AG174" s="449"/>
      <c r="AH174" s="22"/>
      <c r="AI174" s="22"/>
      <c r="AJ174" s="449"/>
      <c r="AK174" s="449"/>
      <c r="AL174" s="449"/>
      <c r="AM174" s="449"/>
      <c r="AN174" s="449"/>
      <c r="AO174" s="449"/>
      <c r="AP174" s="449"/>
      <c r="AQ174" s="449"/>
      <c r="AR174" s="449"/>
      <c r="AS174" s="449"/>
      <c r="AT174" s="449"/>
      <c r="AU174" s="489"/>
      <c r="AV174" s="449"/>
      <c r="AW174" s="485"/>
      <c r="AX174" s="22"/>
      <c r="AY174" s="22"/>
      <c r="AZ174" s="22"/>
      <c r="BA174" s="22"/>
      <c r="BB174" s="760"/>
      <c r="BC174" s="760"/>
      <c r="BD174" s="22"/>
      <c r="BE174" s="22"/>
      <c r="BF174" s="22"/>
      <c r="BG174" s="22"/>
      <c r="BH174" s="22"/>
      <c r="BI174" s="22"/>
      <c r="BJ174" s="22"/>
      <c r="BK174" s="22"/>
      <c r="BL174" s="22"/>
      <c r="BM174" s="22"/>
      <c r="BN174" s="22"/>
      <c r="CG174" s="22"/>
      <c r="CH174" s="565"/>
    </row>
    <row r="175" spans="9:86" ht="19.5" customHeight="1">
      <c r="I175" s="18"/>
      <c r="J175" s="19"/>
      <c r="K175" s="19"/>
      <c r="L175" s="20"/>
      <c r="M175" s="22"/>
      <c r="N175" s="22"/>
      <c r="O175" s="22"/>
      <c r="P175" s="22"/>
      <c r="Q175" s="22"/>
      <c r="R175" s="22"/>
      <c r="S175" s="571"/>
      <c r="T175" s="571"/>
      <c r="U175" s="571"/>
      <c r="V175" s="22"/>
      <c r="W175" s="22"/>
      <c r="X175" s="22"/>
      <c r="Y175" s="22"/>
      <c r="Z175" s="22"/>
      <c r="AA175" s="22"/>
      <c r="AB175" s="476"/>
      <c r="AC175" s="485"/>
      <c r="AD175" s="449"/>
      <c r="AE175" s="485"/>
      <c r="AF175" s="449"/>
      <c r="AG175" s="449"/>
      <c r="AH175" s="22"/>
      <c r="AI175" s="22"/>
      <c r="AJ175" s="449"/>
      <c r="AK175" s="449"/>
      <c r="AL175" s="449"/>
      <c r="AM175" s="449"/>
      <c r="AN175" s="449"/>
      <c r="AO175" s="449"/>
      <c r="AP175" s="449"/>
      <c r="AQ175" s="449"/>
      <c r="AR175" s="449"/>
      <c r="AS175" s="449"/>
      <c r="AT175" s="449"/>
      <c r="AU175" s="489"/>
      <c r="AV175" s="449"/>
      <c r="AW175" s="485"/>
      <c r="AX175" s="22"/>
      <c r="AY175" s="22"/>
      <c r="AZ175" s="22"/>
      <c r="BA175" s="22"/>
      <c r="BB175" s="760"/>
      <c r="BC175" s="760"/>
      <c r="BD175" s="22"/>
      <c r="BE175" s="22"/>
      <c r="BF175" s="22"/>
      <c r="BG175" s="22"/>
      <c r="BH175" s="22"/>
      <c r="BI175" s="22"/>
      <c r="BJ175" s="22"/>
      <c r="BK175" s="22"/>
      <c r="BL175" s="22"/>
      <c r="BM175" s="22"/>
      <c r="BN175" s="22"/>
      <c r="CG175" s="22"/>
      <c r="CH175" s="565"/>
    </row>
    <row r="176" spans="9:86" ht="19.5" customHeight="1">
      <c r="I176" s="18"/>
      <c r="J176" s="19"/>
      <c r="K176" s="19"/>
      <c r="L176" s="20"/>
      <c r="M176" s="22"/>
      <c r="N176" s="22"/>
      <c r="O176" s="22"/>
      <c r="P176" s="22"/>
      <c r="Q176" s="22"/>
      <c r="R176" s="22"/>
      <c r="S176" s="571"/>
      <c r="T176" s="571"/>
      <c r="U176" s="571"/>
      <c r="V176" s="22"/>
      <c r="W176" s="22"/>
      <c r="X176" s="22"/>
      <c r="Y176" s="22"/>
      <c r="Z176" s="22"/>
      <c r="AA176" s="22"/>
      <c r="AB176" s="476"/>
      <c r="AC176" s="485"/>
      <c r="AD176" s="449"/>
      <c r="AE176" s="485"/>
      <c r="AF176" s="449"/>
      <c r="AG176" s="449"/>
      <c r="AH176" s="22"/>
      <c r="AI176" s="22"/>
      <c r="AJ176" s="449"/>
      <c r="AK176" s="449"/>
      <c r="AL176" s="449"/>
      <c r="AM176" s="449"/>
      <c r="AN176" s="449"/>
      <c r="AO176" s="449"/>
      <c r="AP176" s="449"/>
      <c r="AQ176" s="449"/>
      <c r="AR176" s="449"/>
      <c r="AS176" s="449"/>
      <c r="AT176" s="449"/>
      <c r="AU176" s="489"/>
      <c r="AV176" s="449"/>
      <c r="AW176" s="485"/>
      <c r="AX176" s="22"/>
      <c r="AY176" s="22"/>
      <c r="AZ176" s="22"/>
      <c r="BA176" s="22"/>
      <c r="BB176" s="760"/>
      <c r="BC176" s="760"/>
      <c r="BD176" s="22"/>
      <c r="BE176" s="22"/>
      <c r="BF176" s="22"/>
      <c r="BG176" s="22"/>
      <c r="BH176" s="22"/>
      <c r="BI176" s="22"/>
      <c r="BJ176" s="22"/>
      <c r="BK176" s="22"/>
      <c r="BL176" s="22"/>
      <c r="BM176" s="22"/>
      <c r="BN176" s="22"/>
      <c r="CG176" s="22"/>
      <c r="CH176" s="565"/>
    </row>
    <row r="177" spans="9:86" ht="19.5" customHeight="1">
      <c r="I177" s="18"/>
      <c r="J177" s="19"/>
      <c r="K177" s="19"/>
      <c r="L177" s="20"/>
      <c r="M177" s="22"/>
      <c r="N177" s="22"/>
      <c r="O177" s="22"/>
      <c r="P177" s="22"/>
      <c r="Q177" s="22"/>
      <c r="R177" s="22"/>
      <c r="S177" s="571"/>
      <c r="T177" s="571"/>
      <c r="U177" s="571"/>
      <c r="V177" s="22"/>
      <c r="W177" s="22"/>
      <c r="X177" s="22"/>
      <c r="Y177" s="22"/>
      <c r="Z177" s="22"/>
      <c r="AA177" s="22"/>
      <c r="AB177" s="476"/>
      <c r="AC177" s="485"/>
      <c r="AD177" s="449"/>
      <c r="AE177" s="485"/>
      <c r="AF177" s="449"/>
      <c r="AG177" s="449"/>
      <c r="AH177" s="22"/>
      <c r="AI177" s="22"/>
      <c r="AJ177" s="449"/>
      <c r="AK177" s="449"/>
      <c r="AL177" s="449"/>
      <c r="AM177" s="449"/>
      <c r="AN177" s="449"/>
      <c r="AO177" s="449"/>
      <c r="AP177" s="449"/>
      <c r="AQ177" s="449"/>
      <c r="AR177" s="449"/>
      <c r="AS177" s="449"/>
      <c r="AT177" s="449"/>
      <c r="AU177" s="489"/>
      <c r="AV177" s="449"/>
      <c r="AW177" s="485"/>
      <c r="AX177" s="22"/>
      <c r="AY177" s="22"/>
      <c r="AZ177" s="22"/>
      <c r="BA177" s="22"/>
      <c r="BB177" s="760"/>
      <c r="BC177" s="760"/>
      <c r="BD177" s="22"/>
      <c r="BE177" s="22"/>
      <c r="BF177" s="22"/>
      <c r="BG177" s="22"/>
      <c r="BH177" s="22"/>
      <c r="BI177" s="22"/>
      <c r="BJ177" s="22"/>
      <c r="BK177" s="22"/>
      <c r="BL177" s="22"/>
      <c r="BM177" s="22"/>
      <c r="BN177" s="22"/>
      <c r="CG177" s="22"/>
      <c r="CH177" s="565"/>
    </row>
    <row r="178" spans="9:86" ht="19.5" customHeight="1">
      <c r="I178" s="18"/>
      <c r="J178" s="19"/>
      <c r="K178" s="19"/>
      <c r="L178" s="20"/>
      <c r="M178" s="22"/>
      <c r="N178" s="22"/>
      <c r="O178" s="22"/>
      <c r="P178" s="22"/>
      <c r="Q178" s="22"/>
      <c r="R178" s="22"/>
      <c r="S178" s="571"/>
      <c r="T178" s="571"/>
      <c r="U178" s="571"/>
      <c r="V178" s="22"/>
      <c r="W178" s="22"/>
      <c r="X178" s="22"/>
      <c r="Y178" s="22"/>
      <c r="Z178" s="22"/>
      <c r="AA178" s="22"/>
      <c r="AB178" s="476"/>
      <c r="AC178" s="485"/>
      <c r="AD178" s="449"/>
      <c r="AE178" s="485"/>
      <c r="AF178" s="449"/>
      <c r="AG178" s="449"/>
      <c r="AH178" s="22"/>
      <c r="AI178" s="22"/>
      <c r="AJ178" s="449"/>
      <c r="AK178" s="449"/>
      <c r="AL178" s="449"/>
      <c r="AM178" s="449"/>
      <c r="AN178" s="449"/>
      <c r="AO178" s="449"/>
      <c r="AP178" s="449"/>
      <c r="AQ178" s="449"/>
      <c r="AR178" s="449"/>
      <c r="AS178" s="449"/>
      <c r="AT178" s="449"/>
      <c r="AU178" s="489"/>
      <c r="AV178" s="449"/>
      <c r="AW178" s="485"/>
      <c r="AX178" s="22"/>
      <c r="AY178" s="22"/>
      <c r="AZ178" s="22"/>
      <c r="BA178" s="22"/>
      <c r="BB178" s="760"/>
      <c r="BC178" s="760"/>
      <c r="BD178" s="22"/>
      <c r="BE178" s="22"/>
      <c r="BF178" s="22"/>
      <c r="BG178" s="22"/>
      <c r="BH178" s="22"/>
      <c r="BI178" s="22"/>
      <c r="BJ178" s="22"/>
      <c r="BK178" s="22"/>
      <c r="BL178" s="22"/>
      <c r="BM178" s="22"/>
      <c r="BN178" s="22"/>
      <c r="CG178" s="22"/>
      <c r="CH178" s="565"/>
    </row>
    <row r="179" spans="9:86" ht="19.5" customHeight="1">
      <c r="I179" s="18"/>
      <c r="J179" s="19"/>
      <c r="K179" s="19"/>
      <c r="L179" s="20"/>
      <c r="M179" s="22"/>
      <c r="N179" s="22"/>
      <c r="O179" s="22"/>
      <c r="P179" s="22"/>
      <c r="Q179" s="22"/>
      <c r="R179" s="22"/>
      <c r="S179" s="571"/>
      <c r="T179" s="571"/>
      <c r="U179" s="571"/>
      <c r="V179" s="22"/>
      <c r="W179" s="22"/>
      <c r="X179" s="22"/>
      <c r="Y179" s="22"/>
      <c r="Z179" s="22"/>
      <c r="AA179" s="22"/>
      <c r="AB179" s="476"/>
      <c r="AC179" s="485"/>
      <c r="AD179" s="449"/>
      <c r="AE179" s="485"/>
      <c r="AF179" s="449"/>
      <c r="AG179" s="449"/>
      <c r="AH179" s="22"/>
      <c r="AI179" s="22"/>
      <c r="AJ179" s="449"/>
      <c r="AK179" s="449"/>
      <c r="AL179" s="449"/>
      <c r="AM179" s="449"/>
      <c r="AN179" s="449"/>
      <c r="AO179" s="449"/>
      <c r="AP179" s="449"/>
      <c r="AQ179" s="449"/>
      <c r="AR179" s="449"/>
      <c r="AS179" s="449"/>
      <c r="AT179" s="449"/>
      <c r="AU179" s="489"/>
      <c r="AV179" s="449"/>
      <c r="AW179" s="485"/>
      <c r="AX179" s="22"/>
      <c r="AY179" s="22"/>
      <c r="AZ179" s="22"/>
      <c r="BA179" s="22"/>
      <c r="BB179" s="760"/>
      <c r="BC179" s="760"/>
      <c r="BD179" s="22"/>
      <c r="BE179" s="22"/>
      <c r="BF179" s="22"/>
      <c r="BG179" s="22"/>
      <c r="BH179" s="22"/>
      <c r="BI179" s="22"/>
      <c r="BJ179" s="22"/>
      <c r="BK179" s="22"/>
      <c r="BL179" s="22"/>
      <c r="BM179" s="22"/>
      <c r="BN179" s="22"/>
      <c r="CG179" s="22"/>
      <c r="CH179" s="565"/>
    </row>
    <row r="180" spans="9:86" ht="19.5" customHeight="1">
      <c r="I180" s="18"/>
      <c r="J180" s="19"/>
      <c r="K180" s="19"/>
      <c r="L180" s="20"/>
      <c r="M180" s="22"/>
      <c r="N180" s="22"/>
      <c r="O180" s="22"/>
      <c r="P180" s="22"/>
      <c r="Q180" s="22"/>
      <c r="R180" s="22"/>
      <c r="S180" s="571"/>
      <c r="T180" s="571"/>
      <c r="U180" s="571"/>
      <c r="V180" s="22"/>
      <c r="W180" s="22"/>
      <c r="X180" s="22"/>
      <c r="Y180" s="22"/>
      <c r="Z180" s="22"/>
      <c r="AA180" s="22"/>
      <c r="AB180" s="476"/>
      <c r="AC180" s="485"/>
      <c r="AD180" s="449"/>
      <c r="AE180" s="485"/>
      <c r="AF180" s="449"/>
      <c r="AG180" s="449"/>
      <c r="AH180" s="22"/>
      <c r="AI180" s="22"/>
      <c r="AJ180" s="449"/>
      <c r="AK180" s="449"/>
      <c r="AL180" s="449"/>
      <c r="AM180" s="449"/>
      <c r="AN180" s="449"/>
      <c r="AO180" s="449"/>
      <c r="AP180" s="449"/>
      <c r="AQ180" s="449"/>
      <c r="AR180" s="449"/>
      <c r="AS180" s="449"/>
      <c r="AT180" s="449"/>
      <c r="AU180" s="489"/>
      <c r="AV180" s="449"/>
      <c r="AW180" s="485"/>
      <c r="AX180" s="22"/>
      <c r="AY180" s="22"/>
      <c r="AZ180" s="22"/>
      <c r="BA180" s="22"/>
      <c r="BB180" s="760"/>
      <c r="BC180" s="760"/>
      <c r="BD180" s="22"/>
      <c r="BE180" s="22"/>
      <c r="BF180" s="22"/>
      <c r="BG180" s="22"/>
      <c r="BH180" s="22"/>
      <c r="BI180" s="22"/>
      <c r="BJ180" s="22"/>
      <c r="BK180" s="22"/>
      <c r="BL180" s="22"/>
      <c r="BM180" s="22"/>
      <c r="BN180" s="22"/>
      <c r="CG180" s="22"/>
      <c r="CH180" s="565"/>
    </row>
    <row r="181" spans="9:86" ht="19.5" customHeight="1">
      <c r="I181" s="18"/>
      <c r="J181" s="19"/>
      <c r="K181" s="19"/>
      <c r="L181" s="20"/>
      <c r="M181" s="22"/>
      <c r="N181" s="22"/>
      <c r="O181" s="22"/>
      <c r="P181" s="22"/>
      <c r="Q181" s="22"/>
      <c r="R181" s="22"/>
      <c r="S181" s="571"/>
      <c r="T181" s="571"/>
      <c r="U181" s="571"/>
      <c r="V181" s="22"/>
      <c r="W181" s="22"/>
      <c r="X181" s="22"/>
      <c r="Y181" s="22"/>
      <c r="Z181" s="22"/>
      <c r="AA181" s="22"/>
      <c r="AB181" s="476"/>
      <c r="AC181" s="485"/>
      <c r="AD181" s="449"/>
      <c r="AE181" s="485"/>
      <c r="AF181" s="449"/>
      <c r="AG181" s="449"/>
      <c r="AH181" s="22"/>
      <c r="AI181" s="22"/>
      <c r="AJ181" s="449"/>
      <c r="AK181" s="449"/>
      <c r="AL181" s="449"/>
      <c r="AM181" s="449"/>
      <c r="AN181" s="449"/>
      <c r="AO181" s="449"/>
      <c r="AP181" s="449"/>
      <c r="AQ181" s="449"/>
      <c r="AR181" s="449"/>
      <c r="AS181" s="449"/>
      <c r="AT181" s="449"/>
      <c r="AU181" s="489"/>
      <c r="AV181" s="449"/>
      <c r="AW181" s="485"/>
      <c r="AX181" s="22"/>
      <c r="AY181" s="22"/>
      <c r="AZ181" s="22"/>
      <c r="BA181" s="22"/>
      <c r="BB181" s="760"/>
      <c r="BC181" s="760"/>
      <c r="BD181" s="22"/>
      <c r="BE181" s="22"/>
      <c r="BF181" s="22"/>
      <c r="BG181" s="22"/>
      <c r="BH181" s="22"/>
      <c r="BI181" s="22"/>
      <c r="BJ181" s="22"/>
      <c r="BK181" s="22"/>
      <c r="BL181" s="22"/>
      <c r="BM181" s="22"/>
      <c r="BN181" s="22"/>
      <c r="CG181" s="22"/>
      <c r="CH181" s="565"/>
    </row>
    <row r="182" spans="9:86" ht="19.5" customHeight="1">
      <c r="I182" s="18"/>
      <c r="J182" s="19"/>
      <c r="K182" s="19"/>
      <c r="L182" s="20"/>
      <c r="M182" s="22"/>
      <c r="N182" s="22"/>
      <c r="O182" s="22"/>
      <c r="P182" s="22"/>
      <c r="Q182" s="22"/>
      <c r="R182" s="22"/>
      <c r="S182" s="571"/>
      <c r="T182" s="571"/>
      <c r="U182" s="571"/>
      <c r="V182" s="22"/>
      <c r="W182" s="22"/>
      <c r="X182" s="22"/>
      <c r="Y182" s="22"/>
      <c r="Z182" s="22"/>
      <c r="AA182" s="22"/>
      <c r="AB182" s="476"/>
      <c r="AC182" s="485"/>
      <c r="AD182" s="449"/>
      <c r="AE182" s="485"/>
      <c r="AF182" s="449"/>
      <c r="AG182" s="449"/>
      <c r="AH182" s="22"/>
      <c r="AI182" s="22"/>
      <c r="AJ182" s="449"/>
      <c r="AK182" s="449"/>
      <c r="AL182" s="449"/>
      <c r="AM182" s="449"/>
      <c r="AN182" s="449"/>
      <c r="AO182" s="449"/>
      <c r="AP182" s="449"/>
      <c r="AQ182" s="449"/>
      <c r="AR182" s="449"/>
      <c r="AS182" s="449"/>
      <c r="AT182" s="449"/>
      <c r="AU182" s="489"/>
      <c r="AV182" s="449"/>
      <c r="AW182" s="485"/>
      <c r="AX182" s="22"/>
      <c r="AY182" s="22"/>
      <c r="AZ182" s="22"/>
      <c r="BA182" s="22"/>
      <c r="BB182" s="760"/>
      <c r="BC182" s="760"/>
      <c r="BD182" s="22"/>
      <c r="BE182" s="22"/>
      <c r="BF182" s="22"/>
      <c r="BG182" s="22"/>
      <c r="BH182" s="22"/>
      <c r="BI182" s="22"/>
      <c r="BJ182" s="22"/>
      <c r="BK182" s="22"/>
      <c r="BL182" s="22"/>
      <c r="BM182" s="22"/>
      <c r="BN182" s="22"/>
      <c r="CG182" s="22"/>
      <c r="CH182" s="565"/>
    </row>
    <row r="183" spans="9:86" ht="19.5" customHeight="1">
      <c r="I183" s="18"/>
      <c r="J183" s="19"/>
      <c r="K183" s="19"/>
      <c r="L183" s="20"/>
      <c r="M183" s="22"/>
      <c r="N183" s="22"/>
      <c r="O183" s="22"/>
      <c r="P183" s="22"/>
      <c r="Q183" s="22"/>
      <c r="R183" s="22"/>
      <c r="S183" s="571"/>
      <c r="T183" s="571"/>
      <c r="U183" s="571"/>
      <c r="V183" s="22"/>
      <c r="W183" s="22"/>
      <c r="X183" s="22"/>
      <c r="Y183" s="22"/>
      <c r="Z183" s="22"/>
      <c r="AA183" s="22"/>
      <c r="AB183" s="476"/>
      <c r="AC183" s="485"/>
      <c r="AD183" s="449"/>
      <c r="AE183" s="485"/>
      <c r="AF183" s="449"/>
      <c r="AG183" s="449"/>
      <c r="AH183" s="22"/>
      <c r="AI183" s="22"/>
      <c r="AJ183" s="449"/>
      <c r="AK183" s="449"/>
      <c r="AL183" s="449"/>
      <c r="AM183" s="449"/>
      <c r="AN183" s="449"/>
      <c r="AO183" s="449"/>
      <c r="AP183" s="449"/>
      <c r="AQ183" s="449"/>
      <c r="AR183" s="449"/>
      <c r="AS183" s="449"/>
      <c r="AT183" s="449"/>
      <c r="AU183" s="489"/>
      <c r="AV183" s="449"/>
      <c r="AW183" s="485"/>
      <c r="AX183" s="22"/>
      <c r="AY183" s="22"/>
      <c r="AZ183" s="22"/>
      <c r="BA183" s="22"/>
      <c r="BB183" s="760"/>
      <c r="BC183" s="760"/>
      <c r="BD183" s="22"/>
      <c r="BE183" s="22"/>
      <c r="BF183" s="22"/>
      <c r="BG183" s="22"/>
      <c r="BH183" s="22"/>
      <c r="BI183" s="22"/>
      <c r="BJ183" s="22"/>
      <c r="BK183" s="22"/>
      <c r="BL183" s="22"/>
      <c r="BM183" s="22"/>
      <c r="BN183" s="22"/>
      <c r="CG183" s="22"/>
      <c r="CH183" s="565"/>
    </row>
    <row r="184" spans="9:86" ht="19.5" customHeight="1">
      <c r="I184" s="18"/>
      <c r="J184" s="19"/>
      <c r="K184" s="19"/>
      <c r="L184" s="20"/>
      <c r="M184" s="22"/>
      <c r="N184" s="22"/>
      <c r="O184" s="22"/>
      <c r="P184" s="22"/>
      <c r="Q184" s="22"/>
      <c r="R184" s="22"/>
      <c r="S184" s="571"/>
      <c r="T184" s="571"/>
      <c r="U184" s="571"/>
      <c r="V184" s="22"/>
      <c r="W184" s="22"/>
      <c r="X184" s="22"/>
      <c r="Y184" s="22"/>
      <c r="Z184" s="22"/>
      <c r="AA184" s="22"/>
      <c r="AB184" s="476"/>
      <c r="AC184" s="485"/>
      <c r="AD184" s="449"/>
      <c r="AE184" s="485"/>
      <c r="AF184" s="449"/>
      <c r="AG184" s="449"/>
      <c r="AH184" s="22"/>
      <c r="AI184" s="22"/>
      <c r="AJ184" s="449"/>
      <c r="AK184" s="449"/>
      <c r="AL184" s="449"/>
      <c r="AM184" s="449"/>
      <c r="AN184" s="449"/>
      <c r="AO184" s="449"/>
      <c r="AP184" s="449"/>
      <c r="AQ184" s="449"/>
      <c r="AR184" s="449"/>
      <c r="AS184" s="449"/>
      <c r="AT184" s="449"/>
      <c r="AU184" s="489"/>
      <c r="AV184" s="449"/>
      <c r="AW184" s="485"/>
      <c r="AX184" s="22"/>
      <c r="AY184" s="22"/>
      <c r="AZ184" s="22"/>
      <c r="BA184" s="22"/>
      <c r="BB184" s="760"/>
      <c r="BC184" s="760"/>
      <c r="BD184" s="22"/>
      <c r="BE184" s="22"/>
      <c r="BF184" s="22"/>
      <c r="BG184" s="22"/>
      <c r="BH184" s="22"/>
      <c r="BI184" s="22"/>
      <c r="BJ184" s="22"/>
      <c r="BK184" s="22"/>
      <c r="BL184" s="22"/>
      <c r="BM184" s="22"/>
      <c r="BN184" s="22"/>
      <c r="CG184" s="22"/>
      <c r="CH184" s="565"/>
    </row>
    <row r="185" spans="9:86" ht="19.5" customHeight="1">
      <c r="I185" s="18"/>
      <c r="J185" s="19"/>
      <c r="K185" s="19"/>
      <c r="L185" s="20"/>
      <c r="M185" s="22"/>
      <c r="N185" s="22"/>
      <c r="O185" s="22"/>
      <c r="P185" s="22"/>
      <c r="Q185" s="22"/>
      <c r="R185" s="22"/>
      <c r="S185" s="571"/>
      <c r="T185" s="571"/>
      <c r="U185" s="571"/>
      <c r="V185" s="22"/>
      <c r="W185" s="22"/>
      <c r="X185" s="22"/>
      <c r="Y185" s="22"/>
      <c r="Z185" s="22"/>
      <c r="AA185" s="22"/>
      <c r="AB185" s="476"/>
      <c r="AC185" s="485"/>
      <c r="AD185" s="449"/>
      <c r="AE185" s="485"/>
      <c r="AF185" s="449"/>
      <c r="AG185" s="449"/>
      <c r="AH185" s="22"/>
      <c r="AI185" s="22"/>
      <c r="AJ185" s="449"/>
      <c r="AK185" s="449"/>
      <c r="AL185" s="449"/>
      <c r="AM185" s="449"/>
      <c r="AN185" s="449"/>
      <c r="AO185" s="449"/>
      <c r="AP185" s="449"/>
      <c r="AQ185" s="449"/>
      <c r="AR185" s="449"/>
      <c r="AS185" s="449"/>
      <c r="AT185" s="449"/>
      <c r="AU185" s="489"/>
      <c r="AV185" s="449"/>
      <c r="AW185" s="485"/>
      <c r="AX185" s="22"/>
      <c r="AY185" s="22"/>
      <c r="AZ185" s="22"/>
      <c r="BA185" s="22"/>
      <c r="BB185" s="760"/>
      <c r="BC185" s="760"/>
      <c r="BD185" s="22"/>
      <c r="BE185" s="22"/>
      <c r="BF185" s="22"/>
      <c r="BG185" s="22"/>
      <c r="BH185" s="22"/>
      <c r="BI185" s="22"/>
      <c r="BJ185" s="22"/>
      <c r="BK185" s="22"/>
      <c r="BL185" s="22"/>
      <c r="BM185" s="22"/>
      <c r="BN185" s="22"/>
      <c r="CG185" s="22"/>
      <c r="CH185" s="565"/>
    </row>
    <row r="186" spans="9:86" ht="19.5" customHeight="1">
      <c r="I186" s="18"/>
      <c r="J186" s="19"/>
      <c r="K186" s="19"/>
      <c r="L186" s="20"/>
      <c r="M186" s="22"/>
      <c r="N186" s="22"/>
      <c r="O186" s="22"/>
      <c r="P186" s="22"/>
      <c r="Q186" s="22"/>
      <c r="R186" s="22"/>
      <c r="S186" s="571"/>
      <c r="T186" s="571"/>
      <c r="U186" s="571"/>
      <c r="V186" s="22"/>
      <c r="W186" s="22"/>
      <c r="X186" s="22"/>
      <c r="Y186" s="22"/>
      <c r="Z186" s="22"/>
      <c r="AA186" s="22"/>
      <c r="AB186" s="476"/>
      <c r="AC186" s="485"/>
      <c r="AD186" s="449"/>
      <c r="AE186" s="485"/>
      <c r="AF186" s="449"/>
      <c r="AG186" s="449"/>
      <c r="AH186" s="22"/>
      <c r="AI186" s="22"/>
      <c r="AJ186" s="449"/>
      <c r="AK186" s="449"/>
      <c r="AL186" s="449"/>
      <c r="AM186" s="449"/>
      <c r="AN186" s="449"/>
      <c r="AO186" s="449"/>
      <c r="AP186" s="449"/>
      <c r="AQ186" s="449"/>
      <c r="AR186" s="449"/>
      <c r="AS186" s="449"/>
      <c r="AT186" s="449"/>
      <c r="AU186" s="489"/>
      <c r="AV186" s="449"/>
      <c r="AW186" s="485"/>
      <c r="AX186" s="22"/>
      <c r="AY186" s="22"/>
      <c r="AZ186" s="22"/>
      <c r="BA186" s="22"/>
      <c r="BB186" s="760"/>
      <c r="BC186" s="760"/>
      <c r="BD186" s="22"/>
      <c r="BE186" s="22"/>
      <c r="BF186" s="22"/>
      <c r="BG186" s="22"/>
      <c r="BH186" s="22"/>
      <c r="BI186" s="22"/>
      <c r="BJ186" s="22"/>
      <c r="BK186" s="22"/>
      <c r="BL186" s="22"/>
      <c r="BM186" s="22"/>
      <c r="BN186" s="22"/>
      <c r="CG186" s="22"/>
      <c r="CH186" s="565"/>
    </row>
    <row r="187" spans="9:86" ht="19.5" customHeight="1">
      <c r="I187" s="18"/>
      <c r="J187" s="19"/>
      <c r="K187" s="19"/>
      <c r="L187" s="20"/>
      <c r="M187" s="22"/>
      <c r="N187" s="22"/>
      <c r="O187" s="22"/>
      <c r="P187" s="22"/>
      <c r="Q187" s="22"/>
      <c r="R187" s="22"/>
      <c r="S187" s="571"/>
      <c r="T187" s="571"/>
      <c r="U187" s="571"/>
      <c r="V187" s="22"/>
      <c r="W187" s="22"/>
      <c r="X187" s="22"/>
      <c r="Y187" s="22"/>
      <c r="Z187" s="22"/>
      <c r="AA187" s="22"/>
      <c r="AB187" s="476"/>
      <c r="AC187" s="485"/>
      <c r="AD187" s="449"/>
      <c r="AE187" s="485"/>
      <c r="AF187" s="449"/>
      <c r="AG187" s="449"/>
      <c r="AH187" s="22"/>
      <c r="AI187" s="22"/>
      <c r="AJ187" s="449"/>
      <c r="AK187" s="449"/>
      <c r="AL187" s="449"/>
      <c r="AM187" s="449"/>
      <c r="AN187" s="449"/>
      <c r="AO187" s="449"/>
      <c r="AP187" s="449"/>
      <c r="AQ187" s="449"/>
      <c r="AR187" s="449"/>
      <c r="AS187" s="449"/>
      <c r="AT187" s="449"/>
      <c r="AU187" s="489"/>
      <c r="AV187" s="449"/>
      <c r="AW187" s="485"/>
      <c r="AX187" s="22"/>
      <c r="AY187" s="22"/>
      <c r="AZ187" s="22"/>
      <c r="BA187" s="22"/>
      <c r="BB187" s="760"/>
      <c r="BC187" s="760"/>
      <c r="BD187" s="22"/>
      <c r="BE187" s="22"/>
      <c r="BF187" s="22"/>
      <c r="BG187" s="22"/>
      <c r="BH187" s="22"/>
      <c r="BI187" s="22"/>
      <c r="BJ187" s="22"/>
      <c r="BK187" s="22"/>
      <c r="BL187" s="22"/>
      <c r="BM187" s="22"/>
      <c r="BN187" s="22"/>
      <c r="CG187" s="22"/>
      <c r="CH187" s="565"/>
    </row>
    <row r="188" spans="9:86" ht="19.5" customHeight="1">
      <c r="I188" s="18"/>
      <c r="J188" s="19"/>
      <c r="K188" s="19"/>
      <c r="L188" s="20"/>
      <c r="M188" s="22"/>
      <c r="N188" s="22"/>
      <c r="O188" s="22"/>
      <c r="P188" s="22"/>
      <c r="Q188" s="22"/>
      <c r="R188" s="22"/>
      <c r="S188" s="571"/>
      <c r="T188" s="571"/>
      <c r="U188" s="571"/>
      <c r="V188" s="22"/>
      <c r="W188" s="22"/>
      <c r="X188" s="22"/>
      <c r="Y188" s="22"/>
      <c r="Z188" s="22"/>
      <c r="AA188" s="22"/>
      <c r="AB188" s="476"/>
      <c r="AC188" s="485"/>
      <c r="AD188" s="449"/>
      <c r="AE188" s="485"/>
      <c r="AF188" s="449"/>
      <c r="AG188" s="449"/>
      <c r="AH188" s="22"/>
      <c r="AI188" s="22"/>
      <c r="AJ188" s="449"/>
      <c r="AK188" s="449"/>
      <c r="AL188" s="449"/>
      <c r="AM188" s="449"/>
      <c r="AN188" s="449"/>
      <c r="AO188" s="449"/>
      <c r="AP188" s="449"/>
      <c r="AQ188" s="449"/>
      <c r="AR188" s="449"/>
      <c r="AS188" s="449"/>
      <c r="AT188" s="449"/>
      <c r="AU188" s="489"/>
      <c r="AV188" s="449"/>
      <c r="AW188" s="485"/>
      <c r="AX188" s="22"/>
      <c r="AY188" s="22"/>
      <c r="AZ188" s="22"/>
      <c r="BA188" s="22"/>
      <c r="BB188" s="760"/>
      <c r="BC188" s="760"/>
      <c r="BD188" s="22"/>
      <c r="BE188" s="22"/>
      <c r="BF188" s="22"/>
      <c r="BG188" s="22"/>
      <c r="BH188" s="22"/>
      <c r="BI188" s="22"/>
      <c r="BJ188" s="22"/>
      <c r="BK188" s="22"/>
      <c r="BL188" s="22"/>
      <c r="BM188" s="22"/>
      <c r="BN188" s="22"/>
      <c r="CG188" s="22"/>
      <c r="CH188" s="565"/>
    </row>
    <row r="189" spans="9:86" ht="19.5" customHeight="1">
      <c r="I189" s="18"/>
      <c r="J189" s="19"/>
      <c r="K189" s="19"/>
      <c r="L189" s="20"/>
      <c r="M189" s="22"/>
      <c r="N189" s="22"/>
      <c r="O189" s="22"/>
      <c r="P189" s="22"/>
      <c r="Q189" s="22"/>
      <c r="R189" s="22"/>
      <c r="S189" s="571"/>
      <c r="T189" s="571"/>
      <c r="U189" s="571"/>
      <c r="V189" s="22"/>
      <c r="W189" s="22"/>
      <c r="X189" s="22"/>
      <c r="Y189" s="22"/>
      <c r="Z189" s="22"/>
      <c r="AA189" s="22"/>
      <c r="AB189" s="476"/>
      <c r="AC189" s="485"/>
      <c r="AD189" s="449"/>
      <c r="AE189" s="485"/>
      <c r="AF189" s="449"/>
      <c r="AG189" s="449"/>
      <c r="AH189" s="22"/>
      <c r="AI189" s="22"/>
      <c r="AJ189" s="449"/>
      <c r="AK189" s="449"/>
      <c r="AL189" s="449"/>
      <c r="AM189" s="449"/>
      <c r="AN189" s="449"/>
      <c r="AO189" s="449"/>
      <c r="AP189" s="449"/>
      <c r="AQ189" s="449"/>
      <c r="AR189" s="449"/>
      <c r="AS189" s="449"/>
      <c r="AT189" s="449"/>
      <c r="AU189" s="489"/>
      <c r="AV189" s="449"/>
      <c r="AW189" s="485"/>
      <c r="AX189" s="22"/>
      <c r="AY189" s="22"/>
      <c r="AZ189" s="22"/>
      <c r="BA189" s="22"/>
      <c r="BB189" s="760"/>
      <c r="BC189" s="760"/>
      <c r="BD189" s="22"/>
      <c r="BE189" s="22"/>
      <c r="BF189" s="22"/>
      <c r="BG189" s="22"/>
      <c r="BH189" s="22"/>
      <c r="BI189" s="22"/>
      <c r="BJ189" s="22"/>
      <c r="BK189" s="22"/>
      <c r="BL189" s="22"/>
      <c r="BM189" s="22"/>
      <c r="BN189" s="22"/>
      <c r="CG189" s="22"/>
      <c r="CH189" s="565"/>
    </row>
    <row r="190" spans="9:86" ht="19.5" customHeight="1">
      <c r="I190" s="18"/>
      <c r="J190" s="19"/>
      <c r="K190" s="19"/>
      <c r="L190" s="20"/>
      <c r="M190" s="22"/>
      <c r="N190" s="22"/>
      <c r="O190" s="22"/>
      <c r="P190" s="22"/>
      <c r="Q190" s="22"/>
      <c r="R190" s="22"/>
      <c r="S190" s="571"/>
      <c r="T190" s="571"/>
      <c r="U190" s="571"/>
      <c r="V190" s="22"/>
      <c r="W190" s="22"/>
      <c r="X190" s="22"/>
      <c r="Y190" s="22"/>
      <c r="Z190" s="22"/>
      <c r="AA190" s="22"/>
      <c r="AB190" s="476"/>
      <c r="AC190" s="485"/>
      <c r="AD190" s="449"/>
      <c r="AE190" s="485"/>
      <c r="AF190" s="449"/>
      <c r="AG190" s="449"/>
      <c r="AH190" s="22"/>
      <c r="AI190" s="22"/>
      <c r="AJ190" s="449"/>
      <c r="AK190" s="449"/>
      <c r="AL190" s="449"/>
      <c r="AM190" s="449"/>
      <c r="AN190" s="449"/>
      <c r="AO190" s="449"/>
      <c r="AP190" s="449"/>
      <c r="AQ190" s="449"/>
      <c r="AR190" s="449"/>
      <c r="AS190" s="449"/>
      <c r="AT190" s="449"/>
      <c r="AU190" s="489"/>
      <c r="AV190" s="449"/>
      <c r="AW190" s="485"/>
      <c r="AX190" s="22"/>
      <c r="AY190" s="22"/>
      <c r="AZ190" s="22"/>
      <c r="BA190" s="22"/>
      <c r="BB190" s="760"/>
      <c r="BC190" s="760"/>
      <c r="BD190" s="22"/>
      <c r="BE190" s="22"/>
      <c r="BF190" s="22"/>
      <c r="BG190" s="22"/>
      <c r="BH190" s="22"/>
      <c r="BI190" s="22"/>
      <c r="BJ190" s="22"/>
      <c r="BK190" s="22"/>
      <c r="BL190" s="22"/>
      <c r="BM190" s="22"/>
      <c r="BN190" s="22"/>
      <c r="CG190" s="22"/>
      <c r="CH190" s="565"/>
    </row>
    <row r="191" spans="9:86" ht="19.5" customHeight="1">
      <c r="I191" s="18"/>
      <c r="J191" s="19"/>
      <c r="K191" s="19"/>
      <c r="L191" s="20"/>
      <c r="M191" s="22"/>
      <c r="N191" s="22"/>
      <c r="O191" s="22"/>
      <c r="P191" s="22"/>
      <c r="Q191" s="22"/>
      <c r="R191" s="22"/>
      <c r="S191" s="571"/>
      <c r="T191" s="571"/>
      <c r="U191" s="571"/>
      <c r="V191" s="22"/>
      <c r="W191" s="22"/>
      <c r="X191" s="22"/>
      <c r="Y191" s="22"/>
      <c r="Z191" s="22"/>
      <c r="AA191" s="22"/>
      <c r="AB191" s="476"/>
      <c r="AC191" s="485"/>
      <c r="AD191" s="449"/>
      <c r="AE191" s="485"/>
      <c r="AF191" s="449"/>
      <c r="AG191" s="449"/>
      <c r="AH191" s="22"/>
      <c r="AI191" s="22"/>
      <c r="AJ191" s="449"/>
      <c r="AK191" s="449"/>
      <c r="AL191" s="449"/>
      <c r="AM191" s="449"/>
      <c r="AN191" s="449"/>
      <c r="AO191" s="449"/>
      <c r="AP191" s="449"/>
      <c r="AQ191" s="449"/>
      <c r="AR191" s="449"/>
      <c r="AS191" s="449"/>
      <c r="AT191" s="449"/>
      <c r="AU191" s="489"/>
      <c r="AV191" s="449"/>
      <c r="AW191" s="485"/>
      <c r="AX191" s="22"/>
      <c r="AY191" s="22"/>
      <c r="AZ191" s="22"/>
      <c r="BA191" s="22"/>
      <c r="BB191" s="760"/>
      <c r="BC191" s="760"/>
      <c r="BD191" s="22"/>
      <c r="BE191" s="22"/>
      <c r="BF191" s="22"/>
      <c r="BG191" s="22"/>
      <c r="BH191" s="22"/>
      <c r="BI191" s="22"/>
      <c r="BJ191" s="22"/>
      <c r="BK191" s="22"/>
      <c r="BL191" s="22"/>
      <c r="BM191" s="22"/>
      <c r="BN191" s="22"/>
      <c r="CG191" s="22"/>
      <c r="CH191" s="565"/>
    </row>
    <row r="192" spans="9:86" ht="19.5" customHeight="1">
      <c r="I192" s="18"/>
      <c r="J192" s="19"/>
      <c r="K192" s="19"/>
      <c r="L192" s="20"/>
      <c r="M192" s="22"/>
      <c r="N192" s="22"/>
      <c r="O192" s="22"/>
      <c r="P192" s="22"/>
      <c r="Q192" s="22"/>
      <c r="R192" s="22"/>
      <c r="S192" s="571"/>
      <c r="T192" s="571"/>
      <c r="U192" s="571"/>
      <c r="V192" s="22"/>
      <c r="W192" s="22"/>
      <c r="X192" s="22"/>
      <c r="Y192" s="22"/>
      <c r="Z192" s="22"/>
      <c r="AA192" s="22"/>
      <c r="AB192" s="476"/>
      <c r="AC192" s="485"/>
      <c r="AD192" s="449"/>
      <c r="AE192" s="485"/>
      <c r="AF192" s="449"/>
      <c r="AG192" s="449"/>
      <c r="AH192" s="22"/>
      <c r="AI192" s="22"/>
      <c r="AJ192" s="449"/>
      <c r="AK192" s="449"/>
      <c r="AL192" s="449"/>
      <c r="AM192" s="449"/>
      <c r="AN192" s="449"/>
      <c r="AO192" s="449"/>
      <c r="AP192" s="449"/>
      <c r="AQ192" s="449"/>
      <c r="AR192" s="449"/>
      <c r="AS192" s="449"/>
      <c r="AT192" s="449"/>
      <c r="AU192" s="489"/>
      <c r="AV192" s="449"/>
      <c r="AW192" s="485"/>
      <c r="AX192" s="22"/>
      <c r="AY192" s="22"/>
      <c r="AZ192" s="22"/>
      <c r="BA192" s="22"/>
      <c r="BB192" s="760"/>
      <c r="BC192" s="760"/>
      <c r="BD192" s="22"/>
      <c r="BE192" s="22"/>
      <c r="BF192" s="22"/>
      <c r="BG192" s="22"/>
      <c r="BH192" s="22"/>
      <c r="BI192" s="22"/>
      <c r="BJ192" s="22"/>
      <c r="BK192" s="22"/>
      <c r="BL192" s="22"/>
      <c r="BM192" s="22"/>
      <c r="BN192" s="22"/>
      <c r="CG192" s="22"/>
      <c r="CH192" s="565"/>
    </row>
    <row r="193" spans="9:86" ht="19.5" customHeight="1">
      <c r="I193" s="18"/>
      <c r="J193" s="19"/>
      <c r="K193" s="19"/>
      <c r="L193" s="20"/>
      <c r="M193" s="22"/>
      <c r="N193" s="22"/>
      <c r="O193" s="22"/>
      <c r="P193" s="22"/>
      <c r="Q193" s="22"/>
      <c r="R193" s="22"/>
      <c r="S193" s="571"/>
      <c r="T193" s="571"/>
      <c r="U193" s="571"/>
      <c r="V193" s="22"/>
      <c r="W193" s="22"/>
      <c r="X193" s="22"/>
      <c r="Y193" s="22"/>
      <c r="Z193" s="22"/>
      <c r="AA193" s="22"/>
      <c r="AB193" s="476"/>
      <c r="AC193" s="485"/>
      <c r="AD193" s="449"/>
      <c r="AE193" s="485"/>
      <c r="AF193" s="449"/>
      <c r="AG193" s="449"/>
      <c r="AH193" s="22"/>
      <c r="AI193" s="22"/>
      <c r="AJ193" s="449"/>
      <c r="AK193" s="449"/>
      <c r="AL193" s="449"/>
      <c r="AM193" s="449"/>
      <c r="AN193" s="449"/>
      <c r="AO193" s="449"/>
      <c r="AP193" s="449"/>
      <c r="AQ193" s="449"/>
      <c r="AR193" s="449"/>
      <c r="AS193" s="449"/>
      <c r="AT193" s="449"/>
      <c r="AU193" s="489"/>
      <c r="AV193" s="449"/>
      <c r="AW193" s="485"/>
      <c r="AX193" s="22"/>
      <c r="AY193" s="22"/>
      <c r="AZ193" s="22"/>
      <c r="BA193" s="22"/>
      <c r="BB193" s="760"/>
      <c r="BC193" s="760"/>
      <c r="BD193" s="22"/>
      <c r="BE193" s="22"/>
      <c r="BF193" s="22"/>
      <c r="BG193" s="22"/>
      <c r="BH193" s="22"/>
      <c r="BI193" s="22"/>
      <c r="BJ193" s="22"/>
      <c r="BK193" s="22"/>
      <c r="BL193" s="22"/>
      <c r="BM193" s="22"/>
      <c r="BN193" s="22"/>
      <c r="CG193" s="22"/>
      <c r="CH193" s="565"/>
    </row>
    <row r="194" spans="9:86" ht="19.5" customHeight="1">
      <c r="I194" s="18"/>
      <c r="J194" s="19"/>
      <c r="K194" s="19"/>
      <c r="L194" s="20"/>
      <c r="M194" s="22"/>
      <c r="N194" s="22"/>
      <c r="O194" s="22"/>
      <c r="P194" s="22"/>
      <c r="Q194" s="22"/>
      <c r="R194" s="22"/>
      <c r="S194" s="571"/>
      <c r="T194" s="571"/>
      <c r="U194" s="571"/>
      <c r="V194" s="22"/>
      <c r="W194" s="22"/>
      <c r="X194" s="22"/>
      <c r="Y194" s="22"/>
      <c r="Z194" s="22"/>
      <c r="AA194" s="22"/>
      <c r="AB194" s="476"/>
      <c r="AC194" s="485"/>
      <c r="AD194" s="449"/>
      <c r="AE194" s="485"/>
      <c r="AF194" s="449"/>
      <c r="AG194" s="449"/>
      <c r="AH194" s="22"/>
      <c r="AI194" s="22"/>
      <c r="AJ194" s="449"/>
      <c r="AK194" s="449"/>
      <c r="AL194" s="449"/>
      <c r="AM194" s="449"/>
      <c r="AN194" s="449"/>
      <c r="AO194" s="449"/>
      <c r="AP194" s="449"/>
      <c r="AQ194" s="449"/>
      <c r="AR194" s="449"/>
      <c r="AS194" s="449"/>
      <c r="AT194" s="449"/>
      <c r="AU194" s="489"/>
      <c r="AV194" s="449"/>
      <c r="AW194" s="485"/>
      <c r="AX194" s="22"/>
      <c r="AY194" s="22"/>
      <c r="AZ194" s="22"/>
      <c r="BA194" s="22"/>
      <c r="BB194" s="760"/>
      <c r="BC194" s="760"/>
      <c r="BD194" s="22"/>
      <c r="BE194" s="22"/>
      <c r="BF194" s="22"/>
      <c r="BG194" s="22"/>
      <c r="BH194" s="22"/>
      <c r="BI194" s="22"/>
      <c r="BJ194" s="22"/>
      <c r="BK194" s="22"/>
      <c r="BL194" s="22"/>
      <c r="BM194" s="22"/>
      <c r="BN194" s="22"/>
      <c r="CG194" s="22"/>
      <c r="CH194" s="565"/>
    </row>
    <row r="195" spans="9:86" ht="19.5" customHeight="1">
      <c r="I195" s="18"/>
      <c r="J195" s="19"/>
      <c r="K195" s="19"/>
      <c r="L195" s="20"/>
      <c r="M195" s="22"/>
      <c r="N195" s="22"/>
      <c r="O195" s="22"/>
      <c r="P195" s="22"/>
      <c r="Q195" s="22"/>
      <c r="R195" s="22"/>
      <c r="S195" s="571"/>
      <c r="T195" s="571"/>
      <c r="U195" s="571"/>
      <c r="V195" s="22"/>
      <c r="W195" s="22"/>
      <c r="X195" s="22"/>
      <c r="Y195" s="22"/>
      <c r="Z195" s="22"/>
      <c r="AA195" s="22"/>
      <c r="AB195" s="476"/>
      <c r="AC195" s="485"/>
      <c r="AD195" s="449"/>
      <c r="AE195" s="485"/>
      <c r="AF195" s="449"/>
      <c r="AG195" s="449"/>
      <c r="AH195" s="22"/>
      <c r="AI195" s="22"/>
      <c r="AJ195" s="449"/>
      <c r="AK195" s="449"/>
      <c r="AL195" s="449"/>
      <c r="AM195" s="449"/>
      <c r="AN195" s="449"/>
      <c r="AO195" s="449"/>
      <c r="AP195" s="449"/>
      <c r="AQ195" s="449"/>
      <c r="AR195" s="449"/>
      <c r="AS195" s="449"/>
      <c r="AT195" s="449"/>
      <c r="AU195" s="489"/>
      <c r="AV195" s="449"/>
      <c r="AW195" s="485"/>
      <c r="AX195" s="22"/>
      <c r="AY195" s="22"/>
      <c r="AZ195" s="22"/>
      <c r="BA195" s="22"/>
      <c r="BB195" s="760"/>
      <c r="BC195" s="760"/>
      <c r="BD195" s="22"/>
      <c r="BE195" s="22"/>
      <c r="BF195" s="22"/>
      <c r="BG195" s="22"/>
      <c r="BH195" s="22"/>
      <c r="BI195" s="22"/>
      <c r="BJ195" s="22"/>
      <c r="BK195" s="22"/>
      <c r="BL195" s="22"/>
      <c r="BM195" s="22"/>
      <c r="BN195" s="22"/>
      <c r="CG195" s="22"/>
      <c r="CH195" s="565"/>
    </row>
    <row r="196" spans="9:86" ht="19.5" customHeight="1">
      <c r="I196" s="18"/>
      <c r="J196" s="19"/>
      <c r="K196" s="19"/>
      <c r="L196" s="20"/>
      <c r="M196" s="22"/>
      <c r="N196" s="22"/>
      <c r="O196" s="22"/>
      <c r="P196" s="22"/>
      <c r="Q196" s="22"/>
      <c r="R196" s="22"/>
      <c r="S196" s="571"/>
      <c r="T196" s="571"/>
      <c r="U196" s="571"/>
      <c r="V196" s="22"/>
      <c r="W196" s="22"/>
      <c r="X196" s="22"/>
      <c r="Y196" s="22"/>
      <c r="Z196" s="22"/>
      <c r="AA196" s="22"/>
      <c r="AB196" s="476"/>
      <c r="AC196" s="485"/>
      <c r="AD196" s="449"/>
      <c r="AE196" s="485"/>
      <c r="AF196" s="449"/>
      <c r="AG196" s="449"/>
      <c r="AH196" s="22"/>
      <c r="AI196" s="22"/>
      <c r="AJ196" s="449"/>
      <c r="AK196" s="449"/>
      <c r="AL196" s="449"/>
      <c r="AM196" s="449"/>
      <c r="AN196" s="449"/>
      <c r="AO196" s="449"/>
      <c r="AP196" s="449"/>
      <c r="AQ196" s="449"/>
      <c r="AR196" s="449"/>
      <c r="AS196" s="449"/>
      <c r="AT196" s="449"/>
      <c r="AU196" s="489"/>
      <c r="AV196" s="449"/>
      <c r="AW196" s="485"/>
      <c r="AX196" s="22"/>
      <c r="AY196" s="22"/>
      <c r="AZ196" s="22"/>
      <c r="BA196" s="22"/>
      <c r="BB196" s="760"/>
      <c r="BC196" s="760"/>
      <c r="BD196" s="22"/>
      <c r="BE196" s="22"/>
      <c r="BF196" s="22"/>
      <c r="BG196" s="22"/>
      <c r="BH196" s="22"/>
      <c r="BI196" s="22"/>
      <c r="BJ196" s="22"/>
      <c r="BK196" s="22"/>
      <c r="BL196" s="22"/>
      <c r="BM196" s="22"/>
      <c r="BN196" s="22"/>
      <c r="CG196" s="22"/>
      <c r="CH196" s="565"/>
    </row>
    <row r="197" spans="9:86" ht="19.5" customHeight="1">
      <c r="I197" s="18"/>
      <c r="J197" s="19"/>
      <c r="K197" s="19"/>
      <c r="L197" s="20"/>
      <c r="M197" s="22"/>
      <c r="N197" s="22"/>
      <c r="O197" s="22"/>
      <c r="P197" s="22"/>
      <c r="Q197" s="22"/>
      <c r="R197" s="22"/>
      <c r="S197" s="571"/>
      <c r="T197" s="571"/>
      <c r="U197" s="571"/>
      <c r="V197" s="22"/>
      <c r="W197" s="22"/>
      <c r="X197" s="22"/>
      <c r="Y197" s="22"/>
      <c r="Z197" s="22"/>
      <c r="AA197" s="22"/>
      <c r="AB197" s="476"/>
      <c r="AC197" s="485"/>
      <c r="AD197" s="449"/>
      <c r="AE197" s="485"/>
      <c r="AF197" s="449"/>
      <c r="AG197" s="449"/>
      <c r="AH197" s="22"/>
      <c r="AI197" s="22"/>
      <c r="AJ197" s="449"/>
      <c r="AK197" s="449"/>
      <c r="AL197" s="449"/>
      <c r="AM197" s="449"/>
      <c r="AN197" s="449"/>
      <c r="AO197" s="449"/>
      <c r="AP197" s="449"/>
      <c r="AQ197" s="449"/>
      <c r="AR197" s="449"/>
      <c r="AS197" s="449"/>
      <c r="AT197" s="449"/>
      <c r="AU197" s="489"/>
      <c r="AV197" s="449"/>
      <c r="AW197" s="485"/>
      <c r="AX197" s="22"/>
      <c r="AY197" s="22"/>
      <c r="AZ197" s="22"/>
      <c r="BA197" s="22"/>
      <c r="BB197" s="760"/>
      <c r="BC197" s="760"/>
      <c r="BD197" s="22"/>
      <c r="BE197" s="22"/>
      <c r="BF197" s="22"/>
      <c r="BG197" s="22"/>
      <c r="BH197" s="22"/>
      <c r="BI197" s="22"/>
      <c r="BJ197" s="22"/>
      <c r="BK197" s="22"/>
      <c r="BL197" s="22"/>
      <c r="BM197" s="22"/>
      <c r="BN197" s="22"/>
      <c r="CG197" s="22"/>
      <c r="CH197" s="565"/>
    </row>
    <row r="198" spans="9:86" ht="19.5" customHeight="1">
      <c r="I198" s="18"/>
      <c r="J198" s="19"/>
      <c r="K198" s="19"/>
      <c r="L198" s="20"/>
      <c r="M198" s="22"/>
      <c r="N198" s="22"/>
      <c r="O198" s="22"/>
      <c r="P198" s="22"/>
      <c r="Q198" s="22"/>
      <c r="R198" s="22"/>
      <c r="S198" s="571"/>
      <c r="T198" s="571"/>
      <c r="U198" s="571"/>
      <c r="V198" s="22"/>
      <c r="W198" s="22"/>
      <c r="X198" s="22"/>
      <c r="Y198" s="22"/>
      <c r="Z198" s="22"/>
      <c r="AA198" s="22"/>
      <c r="AB198" s="476"/>
      <c r="AC198" s="485"/>
      <c r="AD198" s="449"/>
      <c r="AE198" s="485"/>
      <c r="AF198" s="449"/>
      <c r="AG198" s="449"/>
      <c r="AH198" s="22"/>
      <c r="AI198" s="22"/>
      <c r="AJ198" s="449"/>
      <c r="AK198" s="449"/>
      <c r="AL198" s="449"/>
      <c r="AM198" s="449"/>
      <c r="AN198" s="449"/>
      <c r="AO198" s="449"/>
      <c r="AP198" s="449"/>
      <c r="AQ198" s="449"/>
      <c r="AR198" s="449"/>
      <c r="AS198" s="449"/>
      <c r="AT198" s="449"/>
      <c r="AU198" s="489"/>
      <c r="AV198" s="449"/>
      <c r="AW198" s="485"/>
      <c r="AX198" s="22"/>
      <c r="AY198" s="22"/>
      <c r="AZ198" s="22"/>
      <c r="BA198" s="22"/>
      <c r="BB198" s="760"/>
      <c r="BC198" s="760"/>
      <c r="BD198" s="22"/>
      <c r="BE198" s="22"/>
      <c r="BF198" s="22"/>
      <c r="BG198" s="22"/>
      <c r="BH198" s="22"/>
      <c r="BI198" s="22"/>
      <c r="BJ198" s="22"/>
      <c r="BK198" s="22"/>
      <c r="BL198" s="22"/>
      <c r="BM198" s="22"/>
      <c r="BN198" s="22"/>
      <c r="CG198" s="22"/>
      <c r="CH198" s="565"/>
    </row>
    <row r="199" spans="9:86" ht="19.5" customHeight="1">
      <c r="I199" s="18"/>
      <c r="J199" s="19"/>
      <c r="K199" s="19"/>
      <c r="L199" s="20"/>
      <c r="M199" s="22"/>
      <c r="N199" s="22"/>
      <c r="O199" s="22"/>
      <c r="P199" s="22"/>
      <c r="Q199" s="22"/>
      <c r="R199" s="22"/>
      <c r="S199" s="571"/>
      <c r="T199" s="571"/>
      <c r="U199" s="571"/>
      <c r="V199" s="22"/>
      <c r="W199" s="22"/>
      <c r="X199" s="22"/>
      <c r="Y199" s="22"/>
      <c r="Z199" s="22"/>
      <c r="AA199" s="22"/>
      <c r="AB199" s="476"/>
      <c r="AC199" s="485"/>
      <c r="AD199" s="449"/>
      <c r="AE199" s="485"/>
      <c r="AF199" s="449"/>
      <c r="AG199" s="449"/>
      <c r="AH199" s="22"/>
      <c r="AI199" s="22"/>
      <c r="AJ199" s="449"/>
      <c r="AK199" s="449"/>
      <c r="AL199" s="449"/>
      <c r="AM199" s="449"/>
      <c r="AN199" s="449"/>
      <c r="AO199" s="449"/>
      <c r="AP199" s="449"/>
      <c r="AQ199" s="449"/>
      <c r="AR199" s="449"/>
      <c r="AS199" s="449"/>
      <c r="AT199" s="449"/>
      <c r="AU199" s="489"/>
      <c r="AV199" s="449"/>
      <c r="AW199" s="485"/>
      <c r="AX199" s="22"/>
      <c r="AY199" s="22"/>
      <c r="AZ199" s="22"/>
      <c r="BA199" s="22"/>
      <c r="BB199" s="760"/>
      <c r="BC199" s="760"/>
      <c r="BD199" s="22"/>
      <c r="BE199" s="22"/>
      <c r="BF199" s="22"/>
      <c r="BG199" s="22"/>
      <c r="BH199" s="22"/>
      <c r="BI199" s="22"/>
      <c r="BJ199" s="22"/>
      <c r="BK199" s="22"/>
      <c r="BL199" s="22"/>
      <c r="BM199" s="22"/>
      <c r="BN199" s="22"/>
      <c r="CG199" s="22"/>
      <c r="CH199" s="565"/>
    </row>
    <row r="200" spans="9:86" ht="19.5" customHeight="1">
      <c r="I200" s="18"/>
      <c r="J200" s="19"/>
      <c r="K200" s="19"/>
      <c r="L200" s="20"/>
      <c r="M200" s="22"/>
      <c r="N200" s="22"/>
      <c r="O200" s="22"/>
      <c r="P200" s="22"/>
      <c r="Q200" s="22"/>
      <c r="R200" s="22"/>
      <c r="S200" s="571"/>
      <c r="T200" s="571"/>
      <c r="U200" s="571"/>
      <c r="V200" s="22"/>
      <c r="W200" s="22"/>
      <c r="X200" s="22"/>
      <c r="Y200" s="22"/>
      <c r="Z200" s="22"/>
      <c r="AA200" s="22"/>
      <c r="AB200" s="476"/>
      <c r="AC200" s="485"/>
      <c r="AD200" s="449"/>
      <c r="AE200" s="485"/>
      <c r="AF200" s="449"/>
      <c r="AG200" s="449"/>
      <c r="AH200" s="22"/>
      <c r="AI200" s="22"/>
      <c r="AJ200" s="449"/>
      <c r="AK200" s="449"/>
      <c r="AL200" s="449"/>
      <c r="AM200" s="449"/>
      <c r="AN200" s="449"/>
      <c r="AO200" s="449"/>
      <c r="AP200" s="449"/>
      <c r="AQ200" s="449"/>
      <c r="AR200" s="449"/>
      <c r="AS200" s="449"/>
      <c r="AT200" s="449"/>
      <c r="AU200" s="489"/>
      <c r="AV200" s="449"/>
      <c r="AW200" s="485"/>
      <c r="AX200" s="22"/>
      <c r="AY200" s="22"/>
      <c r="AZ200" s="22"/>
      <c r="BA200" s="22"/>
      <c r="BB200" s="760"/>
      <c r="BC200" s="760"/>
      <c r="BD200" s="22"/>
      <c r="BE200" s="22"/>
      <c r="BF200" s="22"/>
      <c r="BG200" s="22"/>
      <c r="BH200" s="22"/>
      <c r="BI200" s="22"/>
      <c r="BJ200" s="22"/>
      <c r="BK200" s="22"/>
      <c r="BL200" s="22"/>
      <c r="BM200" s="22"/>
      <c r="BN200" s="22"/>
      <c r="CG200" s="22"/>
      <c r="CH200" s="565"/>
    </row>
    <row r="201" spans="9:86" ht="19.5" customHeight="1">
      <c r="I201" s="18"/>
      <c r="J201" s="19"/>
      <c r="K201" s="19"/>
      <c r="L201" s="20"/>
      <c r="M201" s="22"/>
      <c r="N201" s="22"/>
      <c r="O201" s="22"/>
      <c r="P201" s="22"/>
      <c r="Q201" s="22"/>
      <c r="R201" s="22"/>
      <c r="S201" s="571"/>
      <c r="T201" s="571"/>
      <c r="U201" s="571"/>
      <c r="V201" s="22"/>
      <c r="W201" s="22"/>
      <c r="X201" s="22"/>
      <c r="Y201" s="22"/>
      <c r="Z201" s="22"/>
      <c r="AA201" s="22"/>
      <c r="AB201" s="476"/>
      <c r="AC201" s="485"/>
      <c r="AD201" s="449"/>
      <c r="AE201" s="485"/>
      <c r="AF201" s="449"/>
      <c r="AG201" s="449"/>
      <c r="AH201" s="22"/>
      <c r="AI201" s="22"/>
      <c r="AJ201" s="449"/>
      <c r="AK201" s="449"/>
      <c r="AL201" s="449"/>
      <c r="AM201" s="449"/>
      <c r="AN201" s="449"/>
      <c r="AO201" s="449"/>
      <c r="AP201" s="449"/>
      <c r="AQ201" s="449"/>
      <c r="AR201" s="449"/>
      <c r="AS201" s="449"/>
      <c r="AT201" s="449"/>
      <c r="AU201" s="489"/>
      <c r="AV201" s="449"/>
      <c r="AW201" s="485"/>
      <c r="AX201" s="22"/>
      <c r="AY201" s="22"/>
      <c r="AZ201" s="22"/>
      <c r="BA201" s="22"/>
      <c r="BB201" s="760"/>
      <c r="BC201" s="760"/>
      <c r="BD201" s="22"/>
      <c r="BE201" s="22"/>
      <c r="BF201" s="22"/>
      <c r="BG201" s="22"/>
      <c r="BH201" s="22"/>
      <c r="BI201" s="22"/>
      <c r="BJ201" s="22"/>
      <c r="BK201" s="22"/>
      <c r="BL201" s="22"/>
      <c r="BM201" s="22"/>
      <c r="BN201" s="22"/>
      <c r="CG201" s="22"/>
      <c r="CH201" s="565"/>
    </row>
    <row r="202" spans="9:86" ht="19.5" customHeight="1">
      <c r="I202" s="18"/>
      <c r="J202" s="19"/>
      <c r="K202" s="19"/>
      <c r="L202" s="20"/>
      <c r="M202" s="22"/>
      <c r="N202" s="22"/>
      <c r="O202" s="22"/>
      <c r="P202" s="22"/>
      <c r="Q202" s="22"/>
      <c r="R202" s="22"/>
      <c r="S202" s="571"/>
      <c r="T202" s="571"/>
      <c r="U202" s="571"/>
      <c r="V202" s="22"/>
      <c r="W202" s="22"/>
      <c r="X202" s="22"/>
      <c r="Y202" s="22"/>
      <c r="Z202" s="22"/>
      <c r="AA202" s="22"/>
      <c r="AB202" s="476"/>
      <c r="AC202" s="485"/>
      <c r="AD202" s="449"/>
      <c r="AE202" s="485"/>
      <c r="AF202" s="449"/>
      <c r="AG202" s="449"/>
      <c r="AH202" s="22"/>
      <c r="AI202" s="22"/>
      <c r="AJ202" s="449"/>
      <c r="AK202" s="449"/>
      <c r="AL202" s="449"/>
      <c r="AM202" s="449"/>
      <c r="AN202" s="449"/>
      <c r="AO202" s="449"/>
      <c r="AP202" s="449"/>
      <c r="AQ202" s="449"/>
      <c r="AR202" s="449"/>
      <c r="AS202" s="449"/>
      <c r="AT202" s="449"/>
      <c r="AU202" s="489"/>
      <c r="AV202" s="449"/>
      <c r="AW202" s="485"/>
      <c r="AX202" s="22"/>
      <c r="AY202" s="22"/>
      <c r="AZ202" s="22"/>
      <c r="BA202" s="22"/>
      <c r="BB202" s="760"/>
      <c r="BC202" s="760"/>
      <c r="BD202" s="22"/>
      <c r="BE202" s="22"/>
      <c r="BF202" s="22"/>
      <c r="BG202" s="22"/>
      <c r="BH202" s="22"/>
      <c r="BI202" s="22"/>
      <c r="BJ202" s="22"/>
      <c r="BK202" s="22"/>
      <c r="BL202" s="22"/>
      <c r="BM202" s="22"/>
      <c r="BN202" s="22"/>
      <c r="CG202" s="22"/>
      <c r="CH202" s="565"/>
    </row>
    <row r="203" spans="9:86" ht="19.5" customHeight="1">
      <c r="I203" s="18"/>
      <c r="J203" s="19"/>
      <c r="K203" s="19"/>
      <c r="L203" s="20"/>
      <c r="M203" s="22"/>
      <c r="N203" s="22"/>
      <c r="O203" s="22"/>
      <c r="P203" s="22"/>
      <c r="Q203" s="22"/>
      <c r="R203" s="22"/>
      <c r="S203" s="571"/>
      <c r="T203" s="571"/>
      <c r="U203" s="571"/>
      <c r="V203" s="22"/>
      <c r="W203" s="22"/>
      <c r="X203" s="22"/>
      <c r="Y203" s="22"/>
      <c r="Z203" s="22"/>
      <c r="AA203" s="22"/>
      <c r="AB203" s="476"/>
      <c r="AC203" s="485"/>
      <c r="AD203" s="449"/>
      <c r="AE203" s="485"/>
      <c r="AF203" s="449"/>
      <c r="AG203" s="449"/>
      <c r="AH203" s="22"/>
      <c r="AI203" s="22"/>
      <c r="AJ203" s="449"/>
      <c r="AK203" s="449"/>
      <c r="AL203" s="449"/>
      <c r="AM203" s="449"/>
      <c r="AN203" s="449"/>
      <c r="AO203" s="449"/>
      <c r="AP203" s="449"/>
      <c r="AQ203" s="449"/>
      <c r="AR203" s="449"/>
      <c r="AS203" s="449"/>
      <c r="AT203" s="449"/>
      <c r="AU203" s="489"/>
      <c r="AV203" s="449"/>
      <c r="AW203" s="485"/>
      <c r="AX203" s="22"/>
      <c r="AY203" s="22"/>
      <c r="AZ203" s="22"/>
      <c r="BA203" s="22"/>
      <c r="BB203" s="760"/>
      <c r="BC203" s="760"/>
      <c r="BD203" s="22"/>
      <c r="BE203" s="22"/>
      <c r="BF203" s="22"/>
      <c r="BG203" s="22"/>
      <c r="BH203" s="22"/>
      <c r="BI203" s="22"/>
      <c r="BJ203" s="22"/>
      <c r="BK203" s="22"/>
      <c r="BL203" s="22"/>
      <c r="BM203" s="22"/>
      <c r="BN203" s="22"/>
      <c r="CG203" s="22"/>
      <c r="CH203" s="565"/>
    </row>
    <row r="204" spans="9:86" ht="19.5" customHeight="1">
      <c r="I204" s="18"/>
      <c r="J204" s="19"/>
      <c r="K204" s="19"/>
      <c r="L204" s="20"/>
      <c r="M204" s="22"/>
      <c r="N204" s="22"/>
      <c r="O204" s="22"/>
      <c r="P204" s="22"/>
      <c r="Q204" s="22"/>
      <c r="R204" s="22"/>
      <c r="S204" s="571"/>
      <c r="T204" s="571"/>
      <c r="U204" s="571"/>
      <c r="V204" s="22"/>
      <c r="W204" s="22"/>
      <c r="X204" s="22"/>
      <c r="Y204" s="22"/>
      <c r="Z204" s="22"/>
      <c r="AA204" s="22"/>
      <c r="AB204" s="476"/>
      <c r="AC204" s="485"/>
      <c r="AD204" s="449"/>
      <c r="AE204" s="485"/>
      <c r="AF204" s="449"/>
      <c r="AG204" s="449"/>
      <c r="AH204" s="22"/>
      <c r="AI204" s="22"/>
      <c r="AJ204" s="449"/>
      <c r="AK204" s="449"/>
      <c r="AL204" s="449"/>
      <c r="AM204" s="449"/>
      <c r="AN204" s="449"/>
      <c r="AO204" s="449"/>
      <c r="AP204" s="449"/>
      <c r="AQ204" s="449"/>
      <c r="AR204" s="449"/>
      <c r="AS204" s="449"/>
      <c r="AT204" s="449"/>
      <c r="AU204" s="489"/>
      <c r="AV204" s="449"/>
      <c r="AW204" s="485"/>
      <c r="AX204" s="22"/>
      <c r="AY204" s="22"/>
      <c r="AZ204" s="22"/>
      <c r="BA204" s="22"/>
      <c r="BB204" s="760"/>
      <c r="BC204" s="760"/>
      <c r="BD204" s="22"/>
      <c r="BE204" s="22"/>
      <c r="BF204" s="22"/>
      <c r="BG204" s="22"/>
      <c r="BH204" s="22"/>
      <c r="BI204" s="22"/>
      <c r="BJ204" s="22"/>
      <c r="BK204" s="22"/>
      <c r="BL204" s="22"/>
      <c r="BM204" s="22"/>
      <c r="BN204" s="22"/>
      <c r="CG204" s="22"/>
      <c r="CH204" s="565"/>
    </row>
    <row r="205" spans="9:86" ht="19.5" customHeight="1">
      <c r="I205" s="18"/>
      <c r="J205" s="19"/>
      <c r="K205" s="19"/>
      <c r="L205" s="20"/>
      <c r="M205" s="22"/>
      <c r="N205" s="22"/>
      <c r="O205" s="22"/>
      <c r="P205" s="22"/>
      <c r="Q205" s="22"/>
      <c r="R205" s="22"/>
      <c r="S205" s="571"/>
      <c r="T205" s="571"/>
      <c r="U205" s="571"/>
      <c r="V205" s="22"/>
      <c r="W205" s="22"/>
      <c r="X205" s="22"/>
      <c r="Y205" s="22"/>
      <c r="Z205" s="22"/>
      <c r="AA205" s="22"/>
      <c r="AB205" s="476"/>
      <c r="AC205" s="485"/>
      <c r="AD205" s="449"/>
      <c r="AE205" s="485"/>
      <c r="AF205" s="449"/>
      <c r="AG205" s="449"/>
      <c r="AH205" s="22"/>
      <c r="AI205" s="22"/>
      <c r="AJ205" s="449"/>
      <c r="AK205" s="449"/>
      <c r="AL205" s="449"/>
      <c r="AM205" s="449"/>
      <c r="AN205" s="449"/>
      <c r="AO205" s="449"/>
      <c r="AP205" s="449"/>
      <c r="AQ205" s="449"/>
      <c r="AR205" s="449"/>
      <c r="AS205" s="449"/>
      <c r="AT205" s="449"/>
      <c r="AU205" s="489"/>
      <c r="AV205" s="449"/>
      <c r="AW205" s="485"/>
      <c r="AX205" s="22"/>
      <c r="AY205" s="22"/>
      <c r="AZ205" s="22"/>
      <c r="BA205" s="22"/>
      <c r="BB205" s="760"/>
      <c r="BC205" s="760"/>
      <c r="BD205" s="22"/>
      <c r="BE205" s="22"/>
      <c r="BF205" s="22"/>
      <c r="BG205" s="22"/>
      <c r="BH205" s="22"/>
      <c r="BI205" s="22"/>
      <c r="BJ205" s="22"/>
      <c r="BK205" s="22"/>
      <c r="BL205" s="22"/>
      <c r="BM205" s="22"/>
      <c r="BN205" s="22"/>
      <c r="CG205" s="22"/>
      <c r="CH205" s="565"/>
    </row>
    <row r="206" spans="9:86" ht="19.5" customHeight="1">
      <c r="I206" s="18"/>
      <c r="J206" s="19"/>
      <c r="K206" s="19"/>
      <c r="L206" s="20"/>
      <c r="M206" s="22"/>
      <c r="N206" s="22"/>
      <c r="O206" s="22"/>
      <c r="P206" s="22"/>
      <c r="Q206" s="22"/>
      <c r="R206" s="22"/>
      <c r="S206" s="571"/>
      <c r="T206" s="571"/>
      <c r="U206" s="571"/>
      <c r="V206" s="22"/>
      <c r="W206" s="22"/>
      <c r="X206" s="22"/>
      <c r="Y206" s="22"/>
      <c r="Z206" s="22"/>
      <c r="AA206" s="22"/>
      <c r="AB206" s="476"/>
      <c r="AC206" s="485"/>
      <c r="AD206" s="449"/>
      <c r="AE206" s="485"/>
      <c r="AF206" s="449"/>
      <c r="AG206" s="449"/>
      <c r="AH206" s="22"/>
      <c r="AI206" s="22"/>
      <c r="AJ206" s="449"/>
      <c r="AK206" s="449"/>
      <c r="AL206" s="449"/>
      <c r="AM206" s="449"/>
      <c r="AN206" s="449"/>
      <c r="AO206" s="449"/>
      <c r="AP206" s="449"/>
      <c r="AQ206" s="449"/>
      <c r="AR206" s="449"/>
      <c r="AS206" s="449"/>
      <c r="AT206" s="449"/>
      <c r="AU206" s="489"/>
      <c r="AV206" s="449"/>
      <c r="AW206" s="485"/>
      <c r="AX206" s="22"/>
      <c r="AY206" s="22"/>
      <c r="AZ206" s="22"/>
      <c r="BA206" s="22"/>
      <c r="BB206" s="760"/>
      <c r="BC206" s="760"/>
      <c r="BD206" s="22"/>
      <c r="BE206" s="22"/>
      <c r="BF206" s="22"/>
      <c r="BG206" s="22"/>
      <c r="BH206" s="22"/>
      <c r="BI206" s="22"/>
      <c r="BJ206" s="22"/>
      <c r="BK206" s="22"/>
      <c r="BL206" s="22"/>
      <c r="BM206" s="22"/>
      <c r="BN206" s="22"/>
      <c r="CG206" s="22"/>
      <c r="CH206" s="565"/>
    </row>
    <row r="207" spans="9:86" ht="19.5" customHeight="1">
      <c r="I207" s="18"/>
      <c r="J207" s="19"/>
      <c r="K207" s="19"/>
      <c r="L207" s="20"/>
      <c r="M207" s="22"/>
      <c r="N207" s="22"/>
      <c r="O207" s="22"/>
      <c r="P207" s="22"/>
      <c r="Q207" s="22"/>
      <c r="R207" s="22"/>
      <c r="S207" s="571"/>
      <c r="T207" s="571"/>
      <c r="U207" s="571"/>
      <c r="V207" s="22"/>
      <c r="W207" s="22"/>
      <c r="X207" s="22"/>
      <c r="Y207" s="22"/>
      <c r="Z207" s="22"/>
      <c r="AA207" s="22"/>
      <c r="AB207" s="476"/>
      <c r="AC207" s="485"/>
      <c r="AD207" s="449"/>
      <c r="AE207" s="485"/>
      <c r="AF207" s="449"/>
      <c r="AG207" s="449"/>
      <c r="AH207" s="22"/>
      <c r="AI207" s="22"/>
      <c r="AJ207" s="449"/>
      <c r="AK207" s="449"/>
      <c r="AL207" s="449"/>
      <c r="AM207" s="449"/>
      <c r="AN207" s="449"/>
      <c r="AO207" s="449"/>
      <c r="AP207" s="449"/>
      <c r="AQ207" s="449"/>
      <c r="AR207" s="449"/>
      <c r="AS207" s="449"/>
      <c r="AT207" s="449"/>
      <c r="AU207" s="489"/>
      <c r="AV207" s="449"/>
      <c r="AW207" s="485"/>
      <c r="AX207" s="22"/>
      <c r="AY207" s="22"/>
      <c r="AZ207" s="22"/>
      <c r="BA207" s="22"/>
      <c r="BB207" s="760"/>
      <c r="BC207" s="760"/>
      <c r="BD207" s="22"/>
      <c r="BE207" s="22"/>
      <c r="BF207" s="22"/>
      <c r="BG207" s="22"/>
      <c r="BH207" s="22"/>
      <c r="BI207" s="22"/>
      <c r="BJ207" s="22"/>
      <c r="BK207" s="22"/>
      <c r="BL207" s="22"/>
      <c r="BM207" s="22"/>
      <c r="BN207" s="22"/>
      <c r="CG207" s="22"/>
      <c r="CH207" s="565"/>
    </row>
    <row r="208" spans="9:86" ht="19.5" customHeight="1">
      <c r="I208" s="18"/>
      <c r="J208" s="19"/>
      <c r="K208" s="19"/>
      <c r="L208" s="20"/>
      <c r="M208" s="22"/>
      <c r="N208" s="22"/>
      <c r="O208" s="22"/>
      <c r="P208" s="22"/>
      <c r="Q208" s="22"/>
      <c r="R208" s="22"/>
      <c r="S208" s="571"/>
      <c r="T208" s="571"/>
      <c r="U208" s="571"/>
      <c r="V208" s="22"/>
      <c r="W208" s="22"/>
      <c r="X208" s="22"/>
      <c r="Y208" s="22"/>
      <c r="Z208" s="22"/>
      <c r="AA208" s="22"/>
      <c r="AB208" s="476"/>
      <c r="AC208" s="485"/>
      <c r="AD208" s="449"/>
      <c r="AE208" s="485"/>
      <c r="AF208" s="449"/>
      <c r="AG208" s="449"/>
      <c r="AH208" s="22"/>
      <c r="AI208" s="22"/>
      <c r="AJ208" s="449"/>
      <c r="AK208" s="449"/>
      <c r="AL208" s="449"/>
      <c r="AM208" s="449"/>
      <c r="AN208" s="449"/>
      <c r="AO208" s="449"/>
      <c r="AP208" s="449"/>
      <c r="AQ208" s="449"/>
      <c r="AR208" s="449"/>
      <c r="AS208" s="449"/>
      <c r="AT208" s="449"/>
      <c r="AU208" s="489"/>
      <c r="AV208" s="449"/>
      <c r="AW208" s="485"/>
      <c r="AX208" s="22"/>
      <c r="AY208" s="22"/>
      <c r="AZ208" s="22"/>
      <c r="BA208" s="22"/>
      <c r="BB208" s="760"/>
      <c r="BC208" s="760"/>
      <c r="BD208" s="22"/>
      <c r="BE208" s="22"/>
      <c r="BF208" s="22"/>
      <c r="BG208" s="22"/>
      <c r="BH208" s="22"/>
      <c r="BI208" s="22"/>
      <c r="BJ208" s="22"/>
      <c r="BK208" s="22"/>
      <c r="BL208" s="22"/>
      <c r="BM208" s="22"/>
      <c r="BN208" s="22"/>
      <c r="CG208" s="22"/>
      <c r="CH208" s="565"/>
    </row>
    <row r="209" spans="9:86" ht="19.5" customHeight="1">
      <c r="I209" s="18"/>
      <c r="J209" s="19"/>
      <c r="K209" s="19"/>
      <c r="L209" s="20"/>
      <c r="M209" s="22"/>
      <c r="N209" s="22"/>
      <c r="O209" s="22"/>
      <c r="P209" s="22"/>
      <c r="Q209" s="22"/>
      <c r="R209" s="22"/>
      <c r="S209" s="571"/>
      <c r="T209" s="571"/>
      <c r="U209" s="571"/>
      <c r="V209" s="22"/>
      <c r="W209" s="22"/>
      <c r="X209" s="22"/>
      <c r="Y209" s="22"/>
      <c r="Z209" s="22"/>
      <c r="AA209" s="22"/>
      <c r="AB209" s="476"/>
      <c r="AC209" s="485"/>
      <c r="AD209" s="449"/>
      <c r="AE209" s="485"/>
      <c r="AF209" s="449"/>
      <c r="AG209" s="449"/>
      <c r="AH209" s="22"/>
      <c r="AI209" s="22"/>
      <c r="AJ209" s="449"/>
      <c r="AK209" s="449"/>
      <c r="AL209" s="449"/>
      <c r="AM209" s="449"/>
      <c r="AN209" s="449"/>
      <c r="AO209" s="449"/>
      <c r="AP209" s="449"/>
      <c r="AQ209" s="449"/>
      <c r="AR209" s="449"/>
      <c r="AS209" s="449"/>
      <c r="AT209" s="449"/>
      <c r="AU209" s="489"/>
      <c r="AV209" s="449"/>
      <c r="AW209" s="485"/>
      <c r="AX209" s="22"/>
      <c r="AY209" s="22"/>
      <c r="AZ209" s="22"/>
      <c r="BA209" s="22"/>
      <c r="BB209" s="760"/>
      <c r="BC209" s="760"/>
      <c r="BD209" s="22"/>
      <c r="BE209" s="22"/>
      <c r="BF209" s="22"/>
      <c r="BG209" s="22"/>
      <c r="BH209" s="22"/>
      <c r="BI209" s="22"/>
      <c r="BJ209" s="22"/>
      <c r="BK209" s="22"/>
      <c r="BL209" s="22"/>
      <c r="BM209" s="22"/>
      <c r="BN209" s="22"/>
      <c r="CG209" s="22"/>
      <c r="CH209" s="565"/>
    </row>
    <row r="210" spans="9:86" ht="19.5" customHeight="1">
      <c r="I210" s="18"/>
      <c r="J210" s="19"/>
      <c r="K210" s="19"/>
      <c r="L210" s="20"/>
      <c r="M210" s="22"/>
      <c r="N210" s="22"/>
      <c r="O210" s="22"/>
      <c r="P210" s="22"/>
      <c r="Q210" s="22"/>
      <c r="R210" s="22"/>
      <c r="S210" s="571"/>
      <c r="T210" s="571"/>
      <c r="U210" s="571"/>
      <c r="V210" s="22"/>
      <c r="W210" s="22"/>
      <c r="X210" s="22"/>
      <c r="Y210" s="22"/>
      <c r="Z210" s="22"/>
      <c r="AA210" s="22"/>
      <c r="AB210" s="476"/>
      <c r="AC210" s="485"/>
      <c r="AD210" s="449"/>
      <c r="AE210" s="485"/>
      <c r="AF210" s="449"/>
      <c r="AG210" s="449"/>
      <c r="AH210" s="22"/>
      <c r="AI210" s="22"/>
      <c r="AJ210" s="449"/>
      <c r="AK210" s="449"/>
      <c r="AL210" s="449"/>
      <c r="AM210" s="449"/>
      <c r="AN210" s="449"/>
      <c r="AO210" s="449"/>
      <c r="AP210" s="449"/>
      <c r="AQ210" s="449"/>
      <c r="AR210" s="449"/>
      <c r="AS210" s="449"/>
      <c r="AT210" s="449"/>
      <c r="AU210" s="489"/>
      <c r="AV210" s="449"/>
      <c r="AW210" s="485"/>
      <c r="AX210" s="22"/>
      <c r="AY210" s="22"/>
      <c r="AZ210" s="22"/>
      <c r="BA210" s="22"/>
      <c r="BB210" s="760"/>
      <c r="BC210" s="760"/>
      <c r="BD210" s="22"/>
      <c r="BE210" s="22"/>
      <c r="BF210" s="22"/>
      <c r="BG210" s="22"/>
      <c r="BH210" s="22"/>
      <c r="BI210" s="22"/>
      <c r="BJ210" s="22"/>
      <c r="BK210" s="22"/>
      <c r="BL210" s="22"/>
      <c r="BM210" s="22"/>
      <c r="BN210" s="22"/>
      <c r="CG210" s="22"/>
      <c r="CH210" s="565"/>
    </row>
    <row r="211" spans="9:86" ht="19.5" customHeight="1">
      <c r="I211" s="18"/>
      <c r="J211" s="19"/>
      <c r="K211" s="19"/>
      <c r="L211" s="20"/>
      <c r="M211" s="22"/>
      <c r="N211" s="22"/>
      <c r="O211" s="22"/>
      <c r="P211" s="22"/>
      <c r="Q211" s="22"/>
      <c r="R211" s="22"/>
      <c r="S211" s="571"/>
      <c r="T211" s="571"/>
      <c r="U211" s="571"/>
      <c r="V211" s="22"/>
      <c r="W211" s="22"/>
      <c r="X211" s="22"/>
      <c r="Y211" s="22"/>
      <c r="Z211" s="22"/>
      <c r="AA211" s="22"/>
      <c r="AB211" s="476"/>
      <c r="AC211" s="485"/>
      <c r="AD211" s="449"/>
      <c r="AE211" s="485"/>
      <c r="AF211" s="449"/>
      <c r="AG211" s="449"/>
      <c r="AH211" s="22"/>
      <c r="AI211" s="22"/>
      <c r="AJ211" s="449"/>
      <c r="AK211" s="449"/>
      <c r="AL211" s="449"/>
      <c r="AM211" s="449"/>
      <c r="AN211" s="449"/>
      <c r="AO211" s="449"/>
      <c r="AP211" s="449"/>
      <c r="AQ211" s="449"/>
      <c r="AR211" s="449"/>
      <c r="AS211" s="449"/>
      <c r="AT211" s="449"/>
      <c r="AU211" s="489"/>
      <c r="AV211" s="449"/>
      <c r="AW211" s="485"/>
      <c r="AX211" s="22"/>
      <c r="AY211" s="22"/>
      <c r="AZ211" s="22"/>
      <c r="BA211" s="22"/>
      <c r="BB211" s="760"/>
      <c r="BC211" s="760"/>
      <c r="BD211" s="22"/>
      <c r="BE211" s="22"/>
      <c r="BF211" s="22"/>
      <c r="BG211" s="22"/>
      <c r="BH211" s="22"/>
      <c r="BI211" s="22"/>
      <c r="BJ211" s="22"/>
      <c r="BK211" s="22"/>
      <c r="BL211" s="22"/>
      <c r="BM211" s="22"/>
      <c r="BN211" s="22"/>
      <c r="CG211" s="22"/>
      <c r="CH211" s="565"/>
    </row>
    <row r="212" spans="9:86" ht="19.5" customHeight="1">
      <c r="I212" s="18"/>
      <c r="J212" s="19"/>
      <c r="K212" s="19"/>
      <c r="L212" s="20"/>
      <c r="M212" s="22"/>
      <c r="N212" s="22"/>
      <c r="O212" s="22"/>
      <c r="P212" s="22"/>
      <c r="Q212" s="22"/>
      <c r="R212" s="22"/>
      <c r="S212" s="571"/>
      <c r="T212" s="571"/>
      <c r="U212" s="571"/>
      <c r="V212" s="22"/>
      <c r="W212" s="22"/>
      <c r="X212" s="22"/>
      <c r="Y212" s="22"/>
      <c r="Z212" s="22"/>
      <c r="AA212" s="22"/>
      <c r="AB212" s="476"/>
      <c r="AC212" s="485"/>
      <c r="AD212" s="449"/>
      <c r="AE212" s="485"/>
      <c r="AF212" s="449"/>
      <c r="AG212" s="449"/>
      <c r="AH212" s="22"/>
      <c r="AI212" s="22"/>
      <c r="AJ212" s="449"/>
      <c r="AK212" s="449"/>
      <c r="AL212" s="449"/>
      <c r="AM212" s="449"/>
      <c r="AN212" s="449"/>
      <c r="AO212" s="449"/>
      <c r="AP212" s="449"/>
      <c r="AQ212" s="449"/>
      <c r="AR212" s="449"/>
      <c r="AS212" s="449"/>
      <c r="AT212" s="449"/>
      <c r="AU212" s="489"/>
      <c r="AV212" s="449"/>
      <c r="AW212" s="485"/>
      <c r="AX212" s="22"/>
      <c r="AY212" s="22"/>
      <c r="AZ212" s="22"/>
      <c r="BA212" s="22"/>
      <c r="BB212" s="760"/>
      <c r="BC212" s="760"/>
      <c r="BD212" s="22"/>
      <c r="BE212" s="22"/>
      <c r="BF212" s="22"/>
      <c r="BG212" s="22"/>
      <c r="BH212" s="22"/>
      <c r="BI212" s="22"/>
      <c r="BJ212" s="22"/>
      <c r="BK212" s="22"/>
      <c r="BL212" s="22"/>
      <c r="BM212" s="22"/>
      <c r="BN212" s="22"/>
      <c r="CG212" s="22"/>
      <c r="CH212" s="565"/>
    </row>
    <row r="213" spans="9:86" ht="19.5" customHeight="1">
      <c r="I213" s="18"/>
      <c r="J213" s="19"/>
      <c r="K213" s="19"/>
      <c r="L213" s="20"/>
      <c r="M213" s="22"/>
      <c r="N213" s="22"/>
      <c r="O213" s="22"/>
      <c r="P213" s="22"/>
      <c r="Q213" s="22"/>
      <c r="R213" s="22"/>
      <c r="S213" s="571"/>
      <c r="T213" s="571"/>
      <c r="U213" s="571"/>
      <c r="V213" s="22"/>
      <c r="W213" s="22"/>
      <c r="X213" s="22"/>
      <c r="Y213" s="22"/>
      <c r="Z213" s="22"/>
      <c r="AA213" s="22"/>
      <c r="AB213" s="476"/>
      <c r="AC213" s="485"/>
      <c r="AD213" s="449"/>
      <c r="AE213" s="485"/>
      <c r="AF213" s="449"/>
      <c r="AG213" s="449"/>
      <c r="AH213" s="22"/>
      <c r="AI213" s="22"/>
      <c r="AJ213" s="449"/>
      <c r="AK213" s="449"/>
      <c r="AL213" s="449"/>
      <c r="AM213" s="449"/>
      <c r="AN213" s="449"/>
      <c r="AO213" s="449"/>
      <c r="AP213" s="449"/>
      <c r="AQ213" s="449"/>
      <c r="AR213" s="449"/>
      <c r="AS213" s="449"/>
      <c r="AT213" s="449"/>
      <c r="AU213" s="489"/>
      <c r="AV213" s="449"/>
      <c r="AW213" s="485"/>
      <c r="AX213" s="22"/>
      <c r="AY213" s="22"/>
      <c r="AZ213" s="22"/>
      <c r="BA213" s="22"/>
      <c r="BB213" s="760"/>
      <c r="BC213" s="760"/>
      <c r="BD213" s="22"/>
      <c r="BE213" s="22"/>
      <c r="BF213" s="22"/>
      <c r="BG213" s="22"/>
      <c r="BH213" s="22"/>
      <c r="BI213" s="22"/>
      <c r="BJ213" s="22"/>
      <c r="BK213" s="22"/>
      <c r="BL213" s="22"/>
      <c r="BM213" s="22"/>
      <c r="BN213" s="22"/>
      <c r="CG213" s="22"/>
      <c r="CH213" s="565"/>
    </row>
    <row r="214" spans="9:86" ht="19.5" customHeight="1">
      <c r="I214" s="18"/>
      <c r="J214" s="19"/>
      <c r="K214" s="19"/>
      <c r="L214" s="20"/>
      <c r="M214" s="22"/>
      <c r="N214" s="22"/>
      <c r="O214" s="22"/>
      <c r="P214" s="22"/>
      <c r="Q214" s="22"/>
      <c r="R214" s="22"/>
      <c r="S214" s="571"/>
      <c r="T214" s="571"/>
      <c r="U214" s="571"/>
      <c r="V214" s="22"/>
      <c r="W214" s="22"/>
      <c r="X214" s="22"/>
      <c r="Y214" s="22"/>
      <c r="Z214" s="22"/>
      <c r="AA214" s="22"/>
      <c r="AB214" s="476"/>
      <c r="AC214" s="485"/>
      <c r="AD214" s="449"/>
      <c r="AE214" s="485"/>
      <c r="AF214" s="449"/>
      <c r="AG214" s="449"/>
      <c r="AH214" s="22"/>
      <c r="AI214" s="22"/>
      <c r="AJ214" s="449"/>
      <c r="AK214" s="449"/>
      <c r="AL214" s="449"/>
      <c r="AM214" s="449"/>
      <c r="AN214" s="449"/>
      <c r="AO214" s="449"/>
      <c r="AP214" s="449"/>
      <c r="AQ214" s="449"/>
      <c r="AR214" s="449"/>
      <c r="AS214" s="449"/>
      <c r="AT214" s="449"/>
      <c r="AU214" s="489"/>
      <c r="AV214" s="449"/>
      <c r="AW214" s="485"/>
      <c r="AX214" s="22"/>
      <c r="AY214" s="22"/>
      <c r="AZ214" s="22"/>
      <c r="BA214" s="22"/>
      <c r="BB214" s="760"/>
      <c r="BC214" s="760"/>
      <c r="BD214" s="22"/>
      <c r="BE214" s="22"/>
      <c r="BF214" s="22"/>
      <c r="BG214" s="22"/>
      <c r="BH214" s="22"/>
      <c r="BI214" s="22"/>
      <c r="BJ214" s="22"/>
      <c r="BK214" s="22"/>
      <c r="BL214" s="22"/>
      <c r="BM214" s="22"/>
      <c r="BN214" s="22"/>
      <c r="CG214" s="22"/>
      <c r="CH214" s="565"/>
    </row>
    <row r="215" spans="9:86" ht="19.5" customHeight="1">
      <c r="I215" s="18"/>
      <c r="J215" s="19"/>
      <c r="K215" s="19"/>
      <c r="L215" s="20"/>
      <c r="M215" s="22"/>
      <c r="N215" s="22"/>
      <c r="O215" s="22"/>
      <c r="P215" s="22"/>
      <c r="Q215" s="22"/>
      <c r="R215" s="22"/>
      <c r="S215" s="571"/>
      <c r="T215" s="571"/>
      <c r="U215" s="571"/>
      <c r="V215" s="22"/>
      <c r="W215" s="22"/>
      <c r="X215" s="22"/>
      <c r="Y215" s="22"/>
      <c r="Z215" s="22"/>
      <c r="AA215" s="22"/>
      <c r="AB215" s="476"/>
      <c r="AC215" s="485"/>
      <c r="AD215" s="449"/>
      <c r="AE215" s="485"/>
      <c r="AF215" s="449"/>
      <c r="AG215" s="449"/>
      <c r="AH215" s="22"/>
      <c r="AI215" s="22"/>
      <c r="AJ215" s="449"/>
      <c r="AK215" s="449"/>
      <c r="AL215" s="449"/>
      <c r="AM215" s="449"/>
      <c r="AN215" s="449"/>
      <c r="AO215" s="449"/>
      <c r="AP215" s="449"/>
      <c r="AQ215" s="449"/>
      <c r="AR215" s="449"/>
      <c r="AS215" s="449"/>
      <c r="AT215" s="449"/>
      <c r="AU215" s="489"/>
      <c r="AV215" s="449"/>
      <c r="AW215" s="485"/>
      <c r="AX215" s="22"/>
      <c r="AY215" s="22"/>
      <c r="AZ215" s="22"/>
      <c r="BA215" s="22"/>
      <c r="BB215" s="760"/>
      <c r="BC215" s="760"/>
      <c r="BD215" s="22"/>
      <c r="BE215" s="22"/>
      <c r="BF215" s="22"/>
      <c r="BG215" s="22"/>
      <c r="BH215" s="22"/>
      <c r="BI215" s="22"/>
      <c r="BJ215" s="22"/>
      <c r="BK215" s="22"/>
      <c r="BL215" s="22"/>
      <c r="BM215" s="22"/>
      <c r="BN215" s="22"/>
      <c r="CG215" s="22"/>
      <c r="CH215" s="565"/>
    </row>
    <row r="216" spans="9:86" ht="19.5" customHeight="1">
      <c r="I216" s="18"/>
      <c r="J216" s="19"/>
      <c r="K216" s="19"/>
      <c r="L216" s="20"/>
      <c r="M216" s="22"/>
      <c r="N216" s="22"/>
      <c r="O216" s="22"/>
      <c r="P216" s="22"/>
      <c r="Q216" s="22"/>
      <c r="R216" s="22"/>
      <c r="S216" s="571"/>
      <c r="T216" s="571"/>
      <c r="U216" s="571"/>
      <c r="V216" s="22"/>
      <c r="W216" s="22"/>
      <c r="X216" s="22"/>
      <c r="Y216" s="22"/>
      <c r="Z216" s="22"/>
      <c r="AA216" s="22"/>
      <c r="AB216" s="476"/>
      <c r="AC216" s="485"/>
      <c r="AD216" s="449"/>
      <c r="AE216" s="485"/>
      <c r="AF216" s="449"/>
      <c r="AG216" s="449"/>
      <c r="AH216" s="22"/>
      <c r="AI216" s="22"/>
      <c r="AJ216" s="449"/>
      <c r="AK216" s="449"/>
      <c r="AL216" s="449"/>
      <c r="AM216" s="449"/>
      <c r="AN216" s="449"/>
      <c r="AO216" s="449"/>
      <c r="AP216" s="449"/>
      <c r="AQ216" s="449"/>
      <c r="AR216" s="449"/>
      <c r="AS216" s="449"/>
      <c r="AT216" s="449"/>
      <c r="AU216" s="489"/>
      <c r="AV216" s="449"/>
      <c r="AW216" s="485"/>
      <c r="AX216" s="22"/>
      <c r="AY216" s="22"/>
      <c r="AZ216" s="22"/>
      <c r="BA216" s="22"/>
      <c r="BB216" s="760"/>
      <c r="BC216" s="760"/>
      <c r="BD216" s="22"/>
      <c r="BE216" s="22"/>
      <c r="BF216" s="22"/>
      <c r="BG216" s="22"/>
      <c r="BH216" s="22"/>
      <c r="BI216" s="22"/>
      <c r="BJ216" s="22"/>
      <c r="BK216" s="22"/>
      <c r="BL216" s="22"/>
      <c r="BM216" s="22"/>
      <c r="BN216" s="22"/>
      <c r="CG216" s="22"/>
      <c r="CH216" s="565"/>
    </row>
    <row r="217" spans="9:86" ht="19.5" customHeight="1">
      <c r="I217" s="18"/>
      <c r="J217" s="19"/>
      <c r="K217" s="19"/>
      <c r="L217" s="20"/>
      <c r="M217" s="22"/>
      <c r="N217" s="22"/>
      <c r="O217" s="22"/>
      <c r="P217" s="22"/>
      <c r="Q217" s="22"/>
      <c r="R217" s="22"/>
      <c r="S217" s="571"/>
      <c r="T217" s="571"/>
      <c r="U217" s="571"/>
      <c r="V217" s="22"/>
      <c r="W217" s="22"/>
      <c r="X217" s="22"/>
      <c r="Y217" s="22"/>
      <c r="Z217" s="22"/>
      <c r="AA217" s="22"/>
      <c r="AB217" s="476"/>
      <c r="AC217" s="485"/>
      <c r="AD217" s="449"/>
      <c r="AE217" s="485"/>
      <c r="AF217" s="449"/>
      <c r="AG217" s="449"/>
      <c r="AH217" s="22"/>
      <c r="AI217" s="22"/>
      <c r="AJ217" s="449"/>
      <c r="AK217" s="449"/>
      <c r="AL217" s="449"/>
      <c r="AM217" s="449"/>
      <c r="AN217" s="449"/>
      <c r="AO217" s="449"/>
      <c r="AP217" s="449"/>
      <c r="AQ217" s="449"/>
      <c r="AR217" s="449"/>
      <c r="AS217" s="449"/>
      <c r="AT217" s="449"/>
      <c r="AU217" s="489"/>
      <c r="AV217" s="449"/>
      <c r="AW217" s="485"/>
      <c r="AX217" s="22"/>
      <c r="AY217" s="22"/>
      <c r="AZ217" s="22"/>
      <c r="BA217" s="22"/>
      <c r="BB217" s="760"/>
      <c r="BC217" s="760"/>
      <c r="BD217" s="22"/>
      <c r="BE217" s="22"/>
      <c r="BF217" s="22"/>
      <c r="BG217" s="22"/>
      <c r="BH217" s="22"/>
      <c r="BI217" s="22"/>
      <c r="BJ217" s="22"/>
      <c r="BK217" s="22"/>
      <c r="BL217" s="22"/>
      <c r="BM217" s="22"/>
      <c r="BN217" s="22"/>
      <c r="CG217" s="22"/>
      <c r="CH217" s="565"/>
    </row>
    <row r="218" spans="9:86" ht="19.5" customHeight="1">
      <c r="I218" s="18"/>
      <c r="J218" s="19"/>
      <c r="K218" s="19"/>
      <c r="L218" s="20"/>
      <c r="M218" s="22"/>
      <c r="N218" s="22"/>
      <c r="O218" s="22"/>
      <c r="P218" s="22"/>
      <c r="Q218" s="22"/>
      <c r="R218" s="22"/>
      <c r="S218" s="571"/>
      <c r="T218" s="571"/>
      <c r="U218" s="571"/>
      <c r="V218" s="22"/>
      <c r="W218" s="22"/>
      <c r="X218" s="22"/>
      <c r="Y218" s="22"/>
      <c r="Z218" s="22"/>
      <c r="AA218" s="22"/>
      <c r="AB218" s="476"/>
      <c r="AC218" s="485"/>
      <c r="AD218" s="449"/>
      <c r="AE218" s="485"/>
      <c r="AF218" s="449"/>
      <c r="AG218" s="449"/>
      <c r="AH218" s="22"/>
      <c r="AI218" s="22"/>
      <c r="AJ218" s="449"/>
      <c r="AK218" s="449"/>
      <c r="AL218" s="449"/>
      <c r="AM218" s="449"/>
      <c r="AN218" s="449"/>
      <c r="AO218" s="449"/>
      <c r="AP218" s="449"/>
      <c r="AQ218" s="449"/>
      <c r="AR218" s="449"/>
      <c r="AS218" s="449"/>
      <c r="AT218" s="449"/>
      <c r="AU218" s="489"/>
      <c r="AV218" s="449"/>
      <c r="AW218" s="485"/>
      <c r="AX218" s="22"/>
      <c r="AY218" s="22"/>
      <c r="AZ218" s="22"/>
      <c r="BA218" s="22"/>
      <c r="BB218" s="760"/>
      <c r="BC218" s="760"/>
      <c r="BD218" s="22"/>
      <c r="BE218" s="22"/>
      <c r="BF218" s="22"/>
      <c r="BG218" s="22"/>
      <c r="BH218" s="22"/>
      <c r="BI218" s="22"/>
      <c r="BJ218" s="22"/>
      <c r="BK218" s="22"/>
      <c r="BL218" s="22"/>
      <c r="BM218" s="22"/>
      <c r="BN218" s="22"/>
      <c r="CG218" s="22"/>
      <c r="CH218" s="565"/>
    </row>
    <row r="219" spans="9:86" ht="19.5" customHeight="1">
      <c r="I219" s="18"/>
      <c r="J219" s="19"/>
      <c r="K219" s="19"/>
      <c r="L219" s="20"/>
      <c r="M219" s="22"/>
      <c r="N219" s="22"/>
      <c r="O219" s="22"/>
      <c r="P219" s="22"/>
      <c r="Q219" s="22"/>
      <c r="R219" s="22"/>
      <c r="S219" s="571"/>
      <c r="T219" s="571"/>
      <c r="U219" s="571"/>
      <c r="V219" s="22"/>
      <c r="W219" s="22"/>
      <c r="X219" s="22"/>
      <c r="Y219" s="22"/>
      <c r="Z219" s="22"/>
      <c r="AA219" s="22"/>
      <c r="AB219" s="476"/>
      <c r="AC219" s="485"/>
      <c r="AD219" s="449"/>
      <c r="AE219" s="485"/>
      <c r="AF219" s="449"/>
      <c r="AG219" s="449"/>
      <c r="AH219" s="22"/>
      <c r="AI219" s="22"/>
      <c r="AJ219" s="449"/>
      <c r="AK219" s="449"/>
      <c r="AL219" s="449"/>
      <c r="AM219" s="449"/>
      <c r="AN219" s="449"/>
      <c r="AO219" s="449"/>
      <c r="AP219" s="449"/>
      <c r="AQ219" s="449"/>
      <c r="AR219" s="449"/>
      <c r="AS219" s="449"/>
      <c r="AT219" s="449"/>
      <c r="AU219" s="489"/>
      <c r="AV219" s="449"/>
      <c r="AW219" s="485"/>
      <c r="AX219" s="22"/>
      <c r="AY219" s="22"/>
      <c r="AZ219" s="22"/>
      <c r="BA219" s="22"/>
      <c r="BB219" s="760"/>
      <c r="BC219" s="760"/>
      <c r="BD219" s="22"/>
      <c r="BE219" s="22"/>
      <c r="BF219" s="22"/>
      <c r="BG219" s="22"/>
      <c r="BH219" s="22"/>
      <c r="BI219" s="22"/>
      <c r="BJ219" s="22"/>
      <c r="BK219" s="22"/>
      <c r="BL219" s="22"/>
      <c r="BM219" s="22"/>
      <c r="BN219" s="22"/>
      <c r="CG219" s="22"/>
      <c r="CH219" s="565"/>
    </row>
    <row r="220" spans="9:86" ht="19.5" customHeight="1">
      <c r="I220" s="18"/>
      <c r="J220" s="19"/>
      <c r="K220" s="19"/>
      <c r="L220" s="20"/>
      <c r="M220" s="22"/>
      <c r="N220" s="22"/>
      <c r="O220" s="22"/>
      <c r="P220" s="22"/>
      <c r="Q220" s="22"/>
      <c r="R220" s="22"/>
      <c r="S220" s="571"/>
      <c r="T220" s="571"/>
      <c r="U220" s="571"/>
      <c r="V220" s="22"/>
      <c r="W220" s="22"/>
      <c r="X220" s="22"/>
      <c r="Y220" s="22"/>
      <c r="Z220" s="22"/>
      <c r="AA220" s="22"/>
      <c r="AB220" s="476"/>
      <c r="AC220" s="485"/>
      <c r="AD220" s="449"/>
      <c r="AE220" s="485"/>
      <c r="AF220" s="449"/>
      <c r="AG220" s="449"/>
      <c r="AH220" s="22"/>
      <c r="AI220" s="22"/>
      <c r="AJ220" s="449"/>
      <c r="AK220" s="449"/>
      <c r="AL220" s="449"/>
      <c r="AM220" s="449"/>
      <c r="AN220" s="449"/>
      <c r="AO220" s="449"/>
      <c r="AP220" s="449"/>
      <c r="AQ220" s="449"/>
      <c r="AR220" s="449"/>
      <c r="AS220" s="449"/>
      <c r="AT220" s="449"/>
      <c r="AU220" s="489"/>
      <c r="AV220" s="449"/>
      <c r="AW220" s="485"/>
      <c r="AX220" s="22"/>
      <c r="AY220" s="22"/>
      <c r="AZ220" s="22"/>
      <c r="BA220" s="22"/>
      <c r="BB220" s="760"/>
      <c r="BC220" s="760"/>
      <c r="BD220" s="22"/>
      <c r="BE220" s="22"/>
      <c r="BF220" s="22"/>
      <c r="BG220" s="22"/>
      <c r="BH220" s="22"/>
      <c r="BI220" s="22"/>
      <c r="BJ220" s="22"/>
      <c r="BK220" s="22"/>
      <c r="BL220" s="22"/>
      <c r="BM220" s="22"/>
      <c r="BN220" s="22"/>
      <c r="CG220" s="22"/>
      <c r="CH220" s="565"/>
    </row>
    <row r="221" spans="9:86" ht="19.5" customHeight="1">
      <c r="I221" s="18"/>
      <c r="J221" s="19"/>
      <c r="K221" s="19"/>
      <c r="L221" s="20"/>
      <c r="M221" s="22"/>
      <c r="N221" s="22"/>
      <c r="O221" s="22"/>
      <c r="P221" s="22"/>
      <c r="Q221" s="22"/>
      <c r="R221" s="22"/>
      <c r="S221" s="571"/>
      <c r="T221" s="571"/>
      <c r="U221" s="571"/>
      <c r="V221" s="22"/>
      <c r="W221" s="22"/>
      <c r="X221" s="22"/>
      <c r="Y221" s="22"/>
      <c r="Z221" s="22"/>
      <c r="AA221" s="22"/>
      <c r="AB221" s="476"/>
      <c r="AC221" s="485"/>
      <c r="AD221" s="449"/>
      <c r="AE221" s="485"/>
      <c r="AF221" s="449"/>
      <c r="AG221" s="449"/>
      <c r="AH221" s="22"/>
      <c r="AI221" s="22"/>
      <c r="AJ221" s="449"/>
      <c r="AK221" s="449"/>
      <c r="AL221" s="449"/>
      <c r="AM221" s="449"/>
      <c r="AN221" s="449"/>
      <c r="AO221" s="449"/>
      <c r="AP221" s="449"/>
      <c r="AQ221" s="449"/>
      <c r="AR221" s="449"/>
      <c r="AS221" s="449"/>
      <c r="AT221" s="449"/>
      <c r="AU221" s="489"/>
      <c r="AV221" s="449"/>
      <c r="AW221" s="485"/>
      <c r="AX221" s="22"/>
      <c r="AY221" s="22"/>
      <c r="AZ221" s="22"/>
      <c r="BA221" s="22"/>
      <c r="BB221" s="760"/>
      <c r="BC221" s="760"/>
      <c r="BD221" s="22"/>
      <c r="BE221" s="22"/>
      <c r="BF221" s="22"/>
      <c r="BG221" s="22"/>
      <c r="BH221" s="22"/>
      <c r="BI221" s="22"/>
      <c r="BJ221" s="22"/>
      <c r="BK221" s="22"/>
      <c r="BL221" s="22"/>
      <c r="BM221" s="22"/>
      <c r="BN221" s="22"/>
      <c r="CG221" s="22"/>
      <c r="CH221" s="565"/>
    </row>
    <row r="222" spans="9:86" ht="19.5" customHeight="1">
      <c r="I222" s="18"/>
      <c r="J222" s="19"/>
      <c r="K222" s="19"/>
      <c r="L222" s="20"/>
      <c r="M222" s="22"/>
      <c r="N222" s="22"/>
      <c r="O222" s="22"/>
      <c r="P222" s="22"/>
      <c r="Q222" s="22"/>
      <c r="R222" s="22"/>
      <c r="S222" s="571"/>
      <c r="T222" s="571"/>
      <c r="U222" s="571"/>
      <c r="V222" s="22"/>
      <c r="W222" s="22"/>
      <c r="X222" s="22"/>
      <c r="Y222" s="22"/>
      <c r="Z222" s="22"/>
      <c r="AA222" s="22"/>
      <c r="AB222" s="476"/>
      <c r="AC222" s="485"/>
      <c r="AD222" s="449"/>
      <c r="AE222" s="485"/>
      <c r="AF222" s="449"/>
      <c r="AG222" s="449"/>
      <c r="AH222" s="22"/>
      <c r="AI222" s="22"/>
      <c r="AJ222" s="449"/>
      <c r="AK222" s="449"/>
      <c r="AL222" s="449"/>
      <c r="AM222" s="449"/>
      <c r="AN222" s="449"/>
      <c r="AO222" s="449"/>
      <c r="AP222" s="449"/>
      <c r="AQ222" s="449"/>
      <c r="AR222" s="449"/>
      <c r="AS222" s="449"/>
      <c r="AT222" s="449"/>
      <c r="AU222" s="489"/>
      <c r="AV222" s="449"/>
      <c r="AW222" s="485"/>
      <c r="AX222" s="22"/>
      <c r="AY222" s="22"/>
      <c r="AZ222" s="22"/>
      <c r="BA222" s="22"/>
      <c r="BB222" s="760"/>
      <c r="BC222" s="760"/>
      <c r="BD222" s="22"/>
      <c r="BE222" s="22"/>
      <c r="BF222" s="22"/>
      <c r="BG222" s="22"/>
      <c r="BH222" s="22"/>
      <c r="BI222" s="22"/>
      <c r="BJ222" s="22"/>
      <c r="BK222" s="22"/>
      <c r="BL222" s="22"/>
      <c r="BM222" s="22"/>
      <c r="BN222" s="22"/>
      <c r="CG222" s="22"/>
      <c r="CH222" s="565"/>
    </row>
    <row r="223" spans="9:86" ht="19.5" customHeight="1">
      <c r="I223" s="18"/>
      <c r="J223" s="19"/>
      <c r="K223" s="19"/>
      <c r="L223" s="20"/>
      <c r="M223" s="22"/>
      <c r="N223" s="22"/>
      <c r="O223" s="22"/>
      <c r="P223" s="22"/>
      <c r="Q223" s="22"/>
      <c r="R223" s="22"/>
      <c r="S223" s="571"/>
      <c r="T223" s="571"/>
      <c r="U223" s="571"/>
      <c r="V223" s="22"/>
      <c r="W223" s="22"/>
      <c r="X223" s="22"/>
      <c r="Y223" s="22"/>
      <c r="Z223" s="22"/>
      <c r="AA223" s="22"/>
      <c r="AB223" s="476"/>
      <c r="AC223" s="485"/>
      <c r="AD223" s="449"/>
      <c r="AE223" s="485"/>
      <c r="AF223" s="449"/>
      <c r="AG223" s="449"/>
      <c r="AH223" s="22"/>
      <c r="AI223" s="22"/>
      <c r="AJ223" s="449"/>
      <c r="AK223" s="449"/>
      <c r="AL223" s="449"/>
      <c r="AM223" s="449"/>
      <c r="AN223" s="449"/>
      <c r="AO223" s="449"/>
      <c r="AP223" s="449"/>
      <c r="AQ223" s="449"/>
      <c r="AR223" s="449"/>
      <c r="AS223" s="449"/>
      <c r="AT223" s="449"/>
      <c r="AU223" s="489"/>
      <c r="AV223" s="449"/>
      <c r="AW223" s="485"/>
      <c r="AX223" s="22"/>
      <c r="AY223" s="22"/>
      <c r="AZ223" s="22"/>
      <c r="BA223" s="22"/>
      <c r="BB223" s="760"/>
      <c r="BC223" s="760"/>
      <c r="BD223" s="22"/>
      <c r="BE223" s="22"/>
      <c r="BF223" s="22"/>
      <c r="BG223" s="22"/>
      <c r="BH223" s="22"/>
      <c r="BI223" s="22"/>
      <c r="BJ223" s="22"/>
      <c r="BK223" s="22"/>
      <c r="BL223" s="22"/>
      <c r="BM223" s="22"/>
      <c r="BN223" s="22"/>
      <c r="CG223" s="22"/>
      <c r="CH223" s="565"/>
    </row>
    <row r="224" spans="9:86" ht="19.5" customHeight="1">
      <c r="I224" s="18"/>
      <c r="J224" s="19"/>
      <c r="K224" s="19"/>
      <c r="L224" s="20"/>
      <c r="M224" s="22"/>
      <c r="N224" s="22"/>
      <c r="O224" s="22"/>
      <c r="P224" s="22"/>
      <c r="Q224" s="22"/>
      <c r="R224" s="22"/>
      <c r="S224" s="571"/>
      <c r="T224" s="571"/>
      <c r="U224" s="571"/>
      <c r="V224" s="22"/>
      <c r="W224" s="22"/>
      <c r="X224" s="22"/>
      <c r="Y224" s="22"/>
      <c r="Z224" s="22"/>
      <c r="AA224" s="22"/>
      <c r="AB224" s="476"/>
      <c r="AC224" s="485"/>
      <c r="AD224" s="449"/>
      <c r="AE224" s="485"/>
      <c r="AF224" s="449"/>
      <c r="AG224" s="449"/>
      <c r="AH224" s="22"/>
      <c r="AI224" s="22"/>
      <c r="AJ224" s="449"/>
      <c r="AK224" s="449"/>
      <c r="AL224" s="449"/>
      <c r="AM224" s="449"/>
      <c r="AN224" s="449"/>
      <c r="AO224" s="449"/>
      <c r="AP224" s="449"/>
      <c r="AQ224" s="449"/>
      <c r="AR224" s="449"/>
      <c r="AS224" s="449"/>
      <c r="AT224" s="449"/>
      <c r="AU224" s="489"/>
      <c r="AV224" s="449"/>
      <c r="AW224" s="485"/>
      <c r="AX224" s="22"/>
      <c r="AY224" s="22"/>
      <c r="AZ224" s="22"/>
      <c r="BA224" s="22"/>
      <c r="BB224" s="760"/>
      <c r="BC224" s="760"/>
      <c r="BD224" s="22"/>
      <c r="BE224" s="22"/>
      <c r="BF224" s="22"/>
      <c r="BG224" s="22"/>
      <c r="BH224" s="22"/>
      <c r="BI224" s="22"/>
      <c r="BJ224" s="22"/>
      <c r="BK224" s="22"/>
      <c r="BL224" s="22"/>
      <c r="BM224" s="22"/>
      <c r="BN224" s="22"/>
      <c r="CG224" s="22"/>
      <c r="CH224" s="565"/>
    </row>
    <row r="225" spans="9:86" ht="19.5" customHeight="1">
      <c r="I225" s="18"/>
      <c r="J225" s="19"/>
      <c r="K225" s="19"/>
      <c r="L225" s="20"/>
      <c r="M225" s="22"/>
      <c r="N225" s="22"/>
      <c r="O225" s="22"/>
      <c r="P225" s="22"/>
      <c r="Q225" s="22"/>
      <c r="R225" s="22"/>
      <c r="S225" s="571"/>
      <c r="T225" s="571"/>
      <c r="U225" s="571"/>
      <c r="V225" s="22"/>
      <c r="W225" s="22"/>
      <c r="X225" s="22"/>
      <c r="Y225" s="22"/>
      <c r="Z225" s="22"/>
      <c r="AA225" s="22"/>
      <c r="AB225" s="476"/>
      <c r="AC225" s="485"/>
      <c r="AD225" s="449"/>
      <c r="AE225" s="485"/>
      <c r="AF225" s="449"/>
      <c r="AG225" s="449"/>
      <c r="AH225" s="22"/>
      <c r="AI225" s="22"/>
      <c r="AJ225" s="449"/>
      <c r="AK225" s="449"/>
      <c r="AL225" s="449"/>
      <c r="AM225" s="449"/>
      <c r="AN225" s="449"/>
      <c r="AO225" s="449"/>
      <c r="AP225" s="449"/>
      <c r="AQ225" s="449"/>
      <c r="AR225" s="449"/>
      <c r="AS225" s="449"/>
      <c r="AT225" s="449"/>
      <c r="AU225" s="489"/>
      <c r="AV225" s="449"/>
      <c r="AW225" s="485"/>
      <c r="AX225" s="22"/>
      <c r="AY225" s="22"/>
      <c r="AZ225" s="22"/>
      <c r="BA225" s="22"/>
      <c r="BB225" s="760"/>
      <c r="BC225" s="760"/>
      <c r="BD225" s="22"/>
      <c r="BE225" s="22"/>
      <c r="BF225" s="22"/>
      <c r="BG225" s="22"/>
      <c r="BH225" s="22"/>
      <c r="BI225" s="22"/>
      <c r="BJ225" s="22"/>
      <c r="BK225" s="22"/>
      <c r="BL225" s="22"/>
      <c r="BM225" s="22"/>
      <c r="BN225" s="22"/>
      <c r="CG225" s="22"/>
      <c r="CH225" s="565"/>
    </row>
    <row r="226" spans="9:86" ht="19.5" customHeight="1">
      <c r="I226" s="18"/>
      <c r="J226" s="19"/>
      <c r="K226" s="19"/>
      <c r="L226" s="20"/>
      <c r="M226" s="22"/>
      <c r="N226" s="22"/>
      <c r="O226" s="22"/>
      <c r="P226" s="22"/>
      <c r="Q226" s="22"/>
      <c r="R226" s="22"/>
      <c r="S226" s="571"/>
      <c r="T226" s="571"/>
      <c r="U226" s="571"/>
      <c r="V226" s="22"/>
      <c r="W226" s="22"/>
      <c r="X226" s="22"/>
      <c r="Y226" s="22"/>
      <c r="Z226" s="22"/>
      <c r="AA226" s="22"/>
      <c r="AB226" s="476"/>
      <c r="AC226" s="485"/>
      <c r="AD226" s="449"/>
      <c r="AE226" s="485"/>
      <c r="AF226" s="449"/>
      <c r="AG226" s="449"/>
      <c r="AH226" s="22"/>
      <c r="AI226" s="22"/>
      <c r="AJ226" s="449"/>
      <c r="AK226" s="449"/>
      <c r="AL226" s="449"/>
      <c r="AM226" s="449"/>
      <c r="AN226" s="449"/>
      <c r="AO226" s="449"/>
      <c r="AP226" s="449"/>
      <c r="AQ226" s="449"/>
      <c r="AR226" s="449"/>
      <c r="AS226" s="449"/>
      <c r="AT226" s="449"/>
      <c r="AU226" s="489"/>
      <c r="AV226" s="449"/>
      <c r="AW226" s="485"/>
      <c r="AX226" s="22"/>
      <c r="AY226" s="22"/>
      <c r="AZ226" s="22"/>
      <c r="BA226" s="22"/>
      <c r="BB226" s="760"/>
      <c r="BC226" s="760"/>
      <c r="BD226" s="22"/>
      <c r="BE226" s="22"/>
      <c r="BF226" s="22"/>
      <c r="BG226" s="22"/>
      <c r="BH226" s="22"/>
      <c r="BI226" s="22"/>
      <c r="BJ226" s="22"/>
      <c r="BK226" s="22"/>
      <c r="BL226" s="22"/>
      <c r="BM226" s="22"/>
      <c r="BN226" s="22"/>
      <c r="CG226" s="22"/>
      <c r="CH226" s="565"/>
    </row>
    <row r="227" spans="9:86" ht="19.5" customHeight="1">
      <c r="I227" s="18"/>
      <c r="J227" s="19"/>
      <c r="K227" s="19"/>
      <c r="L227" s="20"/>
      <c r="M227" s="22"/>
      <c r="N227" s="22"/>
      <c r="O227" s="22"/>
      <c r="P227" s="22"/>
      <c r="Q227" s="22"/>
      <c r="R227" s="22"/>
      <c r="S227" s="571"/>
      <c r="T227" s="571"/>
      <c r="U227" s="571"/>
      <c r="V227" s="22"/>
      <c r="W227" s="22"/>
      <c r="X227" s="22"/>
      <c r="Y227" s="22"/>
      <c r="Z227" s="22"/>
      <c r="AA227" s="22"/>
      <c r="AB227" s="476"/>
      <c r="AC227" s="485"/>
      <c r="AD227" s="449"/>
      <c r="AE227" s="485"/>
      <c r="AF227" s="449"/>
      <c r="AG227" s="449"/>
      <c r="AH227" s="22"/>
      <c r="AI227" s="22"/>
      <c r="AJ227" s="449"/>
      <c r="AK227" s="449"/>
      <c r="AL227" s="449"/>
      <c r="AM227" s="449"/>
      <c r="AN227" s="449"/>
      <c r="AO227" s="449"/>
      <c r="AP227" s="449"/>
      <c r="AQ227" s="449"/>
      <c r="AR227" s="449"/>
      <c r="AS227" s="449"/>
      <c r="AT227" s="449"/>
      <c r="AU227" s="489"/>
      <c r="AV227" s="449"/>
      <c r="AW227" s="485"/>
      <c r="AX227" s="22"/>
      <c r="AY227" s="22"/>
      <c r="AZ227" s="22"/>
      <c r="BA227" s="22"/>
      <c r="BB227" s="760"/>
      <c r="BC227" s="760"/>
      <c r="BD227" s="22"/>
      <c r="BE227" s="22"/>
      <c r="BF227" s="22"/>
      <c r="BG227" s="22"/>
      <c r="BH227" s="22"/>
      <c r="BI227" s="22"/>
      <c r="BJ227" s="22"/>
      <c r="BK227" s="22"/>
      <c r="BL227" s="22"/>
      <c r="BM227" s="22"/>
      <c r="BN227" s="22"/>
      <c r="CG227" s="22"/>
      <c r="CH227" s="565"/>
    </row>
    <row r="228" spans="9:86" ht="19.5" customHeight="1">
      <c r="I228" s="18"/>
      <c r="J228" s="19"/>
      <c r="K228" s="19"/>
      <c r="L228" s="20"/>
      <c r="M228" s="22"/>
      <c r="N228" s="22"/>
      <c r="O228" s="22"/>
      <c r="P228" s="22"/>
      <c r="Q228" s="22"/>
      <c r="R228" s="22"/>
      <c r="S228" s="571"/>
      <c r="T228" s="571"/>
      <c r="U228" s="571"/>
      <c r="V228" s="22"/>
      <c r="W228" s="22"/>
      <c r="X228" s="22"/>
      <c r="Y228" s="22"/>
      <c r="Z228" s="22"/>
      <c r="AA228" s="22"/>
      <c r="AB228" s="476"/>
      <c r="AC228" s="485"/>
      <c r="AD228" s="449"/>
      <c r="AE228" s="485"/>
      <c r="AF228" s="449"/>
      <c r="AG228" s="449"/>
      <c r="AH228" s="22"/>
      <c r="AI228" s="22"/>
      <c r="AJ228" s="449"/>
      <c r="AK228" s="449"/>
      <c r="AL228" s="449"/>
      <c r="AM228" s="449"/>
      <c r="AN228" s="449"/>
      <c r="AO228" s="449"/>
      <c r="AP228" s="449"/>
      <c r="AQ228" s="449"/>
      <c r="AR228" s="449"/>
      <c r="AS228" s="449"/>
      <c r="AT228" s="449"/>
      <c r="AU228" s="489"/>
      <c r="AV228" s="449"/>
      <c r="AW228" s="485"/>
      <c r="AX228" s="22"/>
      <c r="AY228" s="22"/>
      <c r="AZ228" s="22"/>
      <c r="BA228" s="22"/>
      <c r="BB228" s="760"/>
      <c r="BC228" s="760"/>
      <c r="BD228" s="22"/>
      <c r="BE228" s="22"/>
      <c r="BF228" s="22"/>
      <c r="BG228" s="22"/>
      <c r="BH228" s="22"/>
      <c r="BI228" s="22"/>
      <c r="BJ228" s="22"/>
      <c r="BK228" s="22"/>
      <c r="BL228" s="22"/>
      <c r="BM228" s="22"/>
      <c r="BN228" s="22"/>
      <c r="CG228" s="22"/>
      <c r="CH228" s="565"/>
    </row>
    <row r="229" spans="9:86" ht="19.5" customHeight="1">
      <c r="I229" s="18"/>
      <c r="J229" s="19"/>
      <c r="K229" s="19"/>
      <c r="L229" s="20"/>
      <c r="M229" s="22"/>
      <c r="N229" s="22"/>
      <c r="O229" s="22"/>
      <c r="P229" s="22"/>
      <c r="Q229" s="22"/>
      <c r="R229" s="22"/>
      <c r="S229" s="571"/>
      <c r="T229" s="571"/>
      <c r="U229" s="571"/>
      <c r="V229" s="22"/>
      <c r="W229" s="22"/>
      <c r="X229" s="22"/>
      <c r="Y229" s="22"/>
      <c r="Z229" s="22"/>
      <c r="AA229" s="22"/>
      <c r="AB229" s="476"/>
      <c r="AC229" s="485"/>
      <c r="AD229" s="449"/>
      <c r="AE229" s="485"/>
      <c r="AF229" s="449"/>
      <c r="AG229" s="449"/>
      <c r="AH229" s="22"/>
      <c r="AI229" s="22"/>
      <c r="AJ229" s="449"/>
      <c r="AK229" s="449"/>
      <c r="AL229" s="449"/>
      <c r="AM229" s="449"/>
      <c r="AN229" s="449"/>
      <c r="AO229" s="449"/>
      <c r="AP229" s="449"/>
      <c r="AQ229" s="449"/>
      <c r="AR229" s="449"/>
      <c r="AS229" s="449"/>
      <c r="AT229" s="449"/>
      <c r="AU229" s="489"/>
      <c r="AV229" s="449"/>
      <c r="AW229" s="485"/>
      <c r="AX229" s="22"/>
      <c r="AY229" s="22"/>
      <c r="AZ229" s="22"/>
      <c r="BA229" s="22"/>
      <c r="BB229" s="760"/>
      <c r="BC229" s="760"/>
      <c r="BD229" s="22"/>
      <c r="BE229" s="22"/>
      <c r="BF229" s="22"/>
      <c r="BG229" s="22"/>
      <c r="BH229" s="22"/>
      <c r="BI229" s="22"/>
      <c r="BJ229" s="22"/>
      <c r="BK229" s="22"/>
      <c r="BL229" s="22"/>
      <c r="BM229" s="22"/>
      <c r="BN229" s="22"/>
      <c r="CG229" s="22"/>
      <c r="CH229" s="565"/>
    </row>
    <row r="230" spans="9:86" ht="19.5" customHeight="1">
      <c r="I230" s="18"/>
      <c r="J230" s="19"/>
      <c r="K230" s="19"/>
      <c r="L230" s="20"/>
      <c r="M230" s="22"/>
      <c r="N230" s="22"/>
      <c r="O230" s="22"/>
      <c r="P230" s="22"/>
      <c r="Q230" s="22"/>
      <c r="R230" s="22"/>
      <c r="S230" s="571"/>
      <c r="T230" s="571"/>
      <c r="U230" s="571"/>
      <c r="V230" s="22"/>
      <c r="W230" s="22"/>
      <c r="X230" s="22"/>
      <c r="Y230" s="22"/>
      <c r="Z230" s="22"/>
      <c r="AA230" s="22"/>
      <c r="AB230" s="476"/>
      <c r="AC230" s="485"/>
      <c r="AD230" s="449"/>
      <c r="AE230" s="485"/>
      <c r="AF230" s="449"/>
      <c r="AG230" s="449"/>
      <c r="AH230" s="22"/>
      <c r="AI230" s="22"/>
      <c r="AJ230" s="449"/>
      <c r="AK230" s="449"/>
      <c r="AL230" s="449"/>
      <c r="AM230" s="449"/>
      <c r="AN230" s="449"/>
      <c r="AO230" s="449"/>
      <c r="AP230" s="449"/>
      <c r="AQ230" s="449"/>
      <c r="AR230" s="449"/>
      <c r="AS230" s="449"/>
      <c r="AT230" s="449"/>
      <c r="AU230" s="489"/>
      <c r="AV230" s="449"/>
      <c r="AW230" s="485"/>
      <c r="AX230" s="22"/>
      <c r="AY230" s="22"/>
      <c r="AZ230" s="22"/>
      <c r="BA230" s="22"/>
      <c r="BB230" s="760"/>
      <c r="BC230" s="760"/>
      <c r="BD230" s="22"/>
      <c r="BE230" s="22"/>
      <c r="BF230" s="22"/>
      <c r="BG230" s="22"/>
      <c r="BH230" s="22"/>
      <c r="BI230" s="22"/>
      <c r="BJ230" s="22"/>
      <c r="BK230" s="22"/>
      <c r="BL230" s="22"/>
      <c r="BM230" s="22"/>
      <c r="BN230" s="22"/>
      <c r="CG230" s="22"/>
      <c r="CH230" s="565"/>
    </row>
    <row r="231" spans="9:86" ht="19.5" customHeight="1">
      <c r="I231" s="18"/>
      <c r="J231" s="19"/>
      <c r="K231" s="19"/>
      <c r="L231" s="20"/>
      <c r="M231" s="22"/>
      <c r="N231" s="22"/>
      <c r="O231" s="22"/>
      <c r="P231" s="22"/>
      <c r="Q231" s="22"/>
      <c r="R231" s="22"/>
      <c r="S231" s="571"/>
      <c r="T231" s="571"/>
      <c r="U231" s="571"/>
      <c r="V231" s="22"/>
      <c r="W231" s="22"/>
      <c r="X231" s="22"/>
      <c r="Y231" s="22"/>
      <c r="Z231" s="22"/>
      <c r="AA231" s="22"/>
      <c r="AB231" s="476"/>
      <c r="AC231" s="485"/>
      <c r="AD231" s="449"/>
      <c r="AE231" s="485"/>
      <c r="AF231" s="449"/>
      <c r="AG231" s="449"/>
      <c r="AH231" s="22"/>
      <c r="AI231" s="22"/>
      <c r="AJ231" s="449"/>
      <c r="AK231" s="449"/>
      <c r="AL231" s="449"/>
      <c r="AM231" s="449"/>
      <c r="AN231" s="449"/>
      <c r="AO231" s="449"/>
      <c r="AP231" s="449"/>
      <c r="AQ231" s="449"/>
      <c r="AR231" s="449"/>
      <c r="AS231" s="449"/>
      <c r="AT231" s="449"/>
      <c r="AU231" s="489"/>
      <c r="AV231" s="449"/>
      <c r="AW231" s="485"/>
      <c r="AX231" s="22"/>
      <c r="AY231" s="22"/>
      <c r="AZ231" s="22"/>
      <c r="BA231" s="22"/>
      <c r="BB231" s="760"/>
      <c r="BC231" s="760"/>
      <c r="BD231" s="22"/>
      <c r="BE231" s="22"/>
      <c r="BF231" s="22"/>
      <c r="BG231" s="22"/>
      <c r="BH231" s="22"/>
      <c r="BI231" s="22"/>
      <c r="BJ231" s="22"/>
      <c r="BK231" s="22"/>
      <c r="BL231" s="22"/>
      <c r="BM231" s="22"/>
      <c r="BN231" s="22"/>
      <c r="CG231" s="22"/>
      <c r="CH231" s="565"/>
    </row>
    <row r="232" spans="9:86" ht="19.5" customHeight="1">
      <c r="I232" s="18"/>
      <c r="J232" s="19"/>
      <c r="K232" s="19"/>
      <c r="L232" s="20"/>
      <c r="M232" s="22"/>
      <c r="N232" s="22"/>
      <c r="O232" s="22"/>
      <c r="P232" s="22"/>
      <c r="Q232" s="22"/>
      <c r="R232" s="22"/>
      <c r="S232" s="571"/>
      <c r="T232" s="571"/>
      <c r="U232" s="571"/>
      <c r="V232" s="22"/>
      <c r="W232" s="22"/>
      <c r="X232" s="22"/>
      <c r="Y232" s="22"/>
      <c r="Z232" s="22"/>
      <c r="AA232" s="22"/>
      <c r="AB232" s="476"/>
      <c r="AC232" s="485"/>
      <c r="AD232" s="449"/>
      <c r="AE232" s="485"/>
      <c r="AF232" s="449"/>
      <c r="AG232" s="449"/>
      <c r="AH232" s="22"/>
      <c r="AI232" s="22"/>
      <c r="AJ232" s="449"/>
      <c r="AK232" s="449"/>
      <c r="AL232" s="449"/>
      <c r="AM232" s="449"/>
      <c r="AN232" s="449"/>
      <c r="AO232" s="449"/>
      <c r="AP232" s="449"/>
      <c r="AQ232" s="449"/>
      <c r="AR232" s="449"/>
      <c r="AS232" s="449"/>
      <c r="AT232" s="449"/>
      <c r="AU232" s="489"/>
      <c r="AV232" s="449"/>
      <c r="AW232" s="485"/>
      <c r="AX232" s="22"/>
      <c r="AY232" s="22"/>
      <c r="AZ232" s="22"/>
      <c r="BA232" s="22"/>
      <c r="BB232" s="760"/>
      <c r="BC232" s="760"/>
      <c r="BD232" s="22"/>
      <c r="BE232" s="22"/>
      <c r="BF232" s="22"/>
      <c r="BG232" s="22"/>
      <c r="BH232" s="22"/>
      <c r="BI232" s="22"/>
      <c r="BJ232" s="22"/>
      <c r="BK232" s="22"/>
      <c r="BL232" s="22"/>
      <c r="BM232" s="22"/>
      <c r="BN232" s="22"/>
      <c r="CG232" s="22"/>
      <c r="CH232" s="565"/>
    </row>
    <row r="233" spans="9:86" ht="19.5" customHeight="1">
      <c r="I233" s="18"/>
      <c r="J233" s="19"/>
      <c r="K233" s="19"/>
      <c r="L233" s="20"/>
      <c r="M233" s="22"/>
      <c r="N233" s="22"/>
      <c r="O233" s="22"/>
      <c r="P233" s="22"/>
      <c r="Q233" s="22"/>
      <c r="R233" s="22"/>
      <c r="S233" s="571"/>
      <c r="T233" s="571"/>
      <c r="U233" s="571"/>
      <c r="V233" s="22"/>
      <c r="W233" s="22"/>
      <c r="X233" s="22"/>
      <c r="Y233" s="22"/>
      <c r="Z233" s="22"/>
      <c r="AA233" s="22"/>
      <c r="AB233" s="476"/>
      <c r="AC233" s="485"/>
      <c r="AD233" s="449"/>
      <c r="AE233" s="485"/>
      <c r="AF233" s="449"/>
      <c r="AG233" s="449"/>
      <c r="AH233" s="22"/>
      <c r="AI233" s="22"/>
      <c r="AJ233" s="449"/>
      <c r="AK233" s="449"/>
      <c r="AL233" s="449"/>
      <c r="AM233" s="449"/>
      <c r="AN233" s="449"/>
      <c r="AO233" s="449"/>
      <c r="AP233" s="449"/>
      <c r="AQ233" s="449"/>
      <c r="AR233" s="449"/>
      <c r="AS233" s="449"/>
      <c r="AT233" s="449"/>
      <c r="AU233" s="489"/>
      <c r="AV233" s="449"/>
      <c r="AW233" s="485"/>
      <c r="AX233" s="22"/>
      <c r="AY233" s="22"/>
      <c r="AZ233" s="22"/>
      <c r="BA233" s="22"/>
      <c r="BB233" s="760"/>
      <c r="BC233" s="760"/>
      <c r="BD233" s="22"/>
      <c r="BE233" s="22"/>
      <c r="BF233" s="22"/>
      <c r="BG233" s="22"/>
      <c r="BH233" s="22"/>
      <c r="BI233" s="22"/>
      <c r="BJ233" s="22"/>
      <c r="BK233" s="22"/>
      <c r="BL233" s="22"/>
      <c r="BM233" s="22"/>
      <c r="BN233" s="22"/>
      <c r="CG233" s="22"/>
      <c r="CH233" s="565"/>
    </row>
    <row r="234" spans="9:86" ht="19.5" customHeight="1">
      <c r="I234" s="18"/>
      <c r="J234" s="19"/>
      <c r="K234" s="19"/>
      <c r="L234" s="20"/>
      <c r="M234" s="22"/>
      <c r="N234" s="22"/>
      <c r="O234" s="22"/>
      <c r="P234" s="22"/>
      <c r="Q234" s="22"/>
      <c r="R234" s="22"/>
      <c r="S234" s="571"/>
      <c r="T234" s="571"/>
      <c r="U234" s="571"/>
      <c r="V234" s="22"/>
      <c r="W234" s="22"/>
      <c r="X234" s="22"/>
      <c r="Y234" s="22"/>
      <c r="Z234" s="22"/>
      <c r="AA234" s="22"/>
      <c r="AB234" s="476"/>
      <c r="AC234" s="485"/>
      <c r="AD234" s="449"/>
      <c r="AE234" s="485"/>
      <c r="AF234" s="449"/>
      <c r="AG234" s="449"/>
      <c r="AH234" s="22"/>
      <c r="AI234" s="22"/>
      <c r="AJ234" s="449"/>
      <c r="AK234" s="449"/>
      <c r="AL234" s="449"/>
      <c r="AM234" s="449"/>
      <c r="AN234" s="449"/>
      <c r="AO234" s="449"/>
      <c r="AP234" s="449"/>
      <c r="AQ234" s="449"/>
      <c r="AR234" s="449"/>
      <c r="AS234" s="449"/>
      <c r="AT234" s="449"/>
      <c r="AU234" s="489"/>
      <c r="AV234" s="449"/>
      <c r="AW234" s="485"/>
      <c r="AX234" s="22"/>
      <c r="AY234" s="22"/>
      <c r="AZ234" s="22"/>
      <c r="BA234" s="22"/>
      <c r="BB234" s="760"/>
      <c r="BC234" s="760"/>
      <c r="BD234" s="22"/>
      <c r="BE234" s="22"/>
      <c r="BF234" s="22"/>
      <c r="BG234" s="22"/>
      <c r="BH234" s="22"/>
      <c r="BI234" s="22"/>
      <c r="BJ234" s="22"/>
      <c r="BK234" s="22"/>
      <c r="BL234" s="22"/>
      <c r="BM234" s="22"/>
      <c r="BN234" s="22"/>
      <c r="CG234" s="22"/>
      <c r="CH234" s="565"/>
    </row>
    <row r="235" spans="9:86" ht="19.5" customHeight="1">
      <c r="I235" s="18"/>
      <c r="J235" s="19"/>
      <c r="K235" s="19"/>
      <c r="L235" s="20"/>
      <c r="M235" s="22"/>
      <c r="N235" s="22"/>
      <c r="O235" s="22"/>
      <c r="P235" s="22"/>
      <c r="Q235" s="22"/>
      <c r="R235" s="22"/>
      <c r="S235" s="571"/>
      <c r="T235" s="571"/>
      <c r="U235" s="571"/>
      <c r="V235" s="22"/>
      <c r="W235" s="22"/>
      <c r="X235" s="22"/>
      <c r="Y235" s="22"/>
      <c r="Z235" s="22"/>
      <c r="AA235" s="22"/>
      <c r="AB235" s="476"/>
      <c r="AC235" s="485"/>
      <c r="AD235" s="449"/>
      <c r="AE235" s="485"/>
      <c r="AF235" s="449"/>
      <c r="AG235" s="449"/>
      <c r="AH235" s="22"/>
      <c r="AI235" s="22"/>
      <c r="AJ235" s="449"/>
      <c r="AK235" s="449"/>
      <c r="AL235" s="449"/>
      <c r="AM235" s="449"/>
      <c r="AN235" s="449"/>
      <c r="AO235" s="449"/>
      <c r="AP235" s="449"/>
      <c r="AQ235" s="449"/>
      <c r="AR235" s="449"/>
      <c r="AS235" s="449"/>
      <c r="AT235" s="449"/>
      <c r="AU235" s="489"/>
      <c r="AV235" s="449"/>
      <c r="AW235" s="485"/>
      <c r="AX235" s="22"/>
      <c r="AY235" s="22"/>
      <c r="AZ235" s="22"/>
      <c r="BA235" s="22"/>
      <c r="BB235" s="760"/>
      <c r="BC235" s="760"/>
      <c r="BD235" s="22"/>
      <c r="BE235" s="22"/>
      <c r="BF235" s="22"/>
      <c r="BG235" s="22"/>
      <c r="BH235" s="22"/>
      <c r="BI235" s="22"/>
      <c r="BJ235" s="22"/>
      <c r="BK235" s="22"/>
      <c r="BL235" s="22"/>
      <c r="BM235" s="22"/>
      <c r="BN235" s="22"/>
      <c r="CG235" s="22"/>
      <c r="CH235" s="565"/>
    </row>
    <row r="236" spans="9:86" ht="19.5" customHeight="1">
      <c r="I236" s="18"/>
      <c r="J236" s="19"/>
      <c r="K236" s="19"/>
      <c r="L236" s="20"/>
      <c r="M236" s="22"/>
      <c r="N236" s="22"/>
      <c r="O236" s="22"/>
      <c r="P236" s="22"/>
      <c r="Q236" s="22"/>
      <c r="R236" s="22"/>
      <c r="S236" s="571"/>
      <c r="T236" s="571"/>
      <c r="U236" s="571"/>
      <c r="V236" s="22"/>
      <c r="W236" s="22"/>
      <c r="X236" s="22"/>
      <c r="Y236" s="22"/>
      <c r="Z236" s="22"/>
      <c r="AA236" s="22"/>
      <c r="AB236" s="476"/>
      <c r="AC236" s="485"/>
      <c r="AD236" s="449"/>
      <c r="AE236" s="485"/>
      <c r="AF236" s="449"/>
      <c r="AG236" s="449"/>
      <c r="AH236" s="22"/>
      <c r="AI236" s="22"/>
      <c r="AJ236" s="449"/>
      <c r="AK236" s="449"/>
      <c r="AL236" s="449"/>
      <c r="AM236" s="449"/>
      <c r="AN236" s="449"/>
      <c r="AO236" s="449"/>
      <c r="AP236" s="449"/>
      <c r="AQ236" s="449"/>
      <c r="AR236" s="449"/>
      <c r="AS236" s="449"/>
      <c r="AT236" s="449"/>
      <c r="AU236" s="489"/>
      <c r="AV236" s="449"/>
      <c r="AW236" s="485"/>
      <c r="AX236" s="22"/>
      <c r="AY236" s="22"/>
      <c r="AZ236" s="22"/>
      <c r="BA236" s="22"/>
      <c r="BB236" s="760"/>
      <c r="BC236" s="760"/>
      <c r="BD236" s="22"/>
      <c r="BE236" s="22"/>
      <c r="BF236" s="22"/>
      <c r="BG236" s="22"/>
      <c r="BH236" s="22"/>
      <c r="BI236" s="22"/>
      <c r="BJ236" s="22"/>
      <c r="BK236" s="22"/>
      <c r="BL236" s="22"/>
      <c r="BM236" s="22"/>
      <c r="BN236" s="22"/>
      <c r="CG236" s="22"/>
      <c r="CH236" s="565"/>
    </row>
    <row r="237" spans="9:86" ht="19.5" customHeight="1">
      <c r="I237" s="18"/>
      <c r="J237" s="19"/>
      <c r="K237" s="19"/>
      <c r="L237" s="20"/>
      <c r="M237" s="22"/>
      <c r="N237" s="22"/>
      <c r="O237" s="22"/>
      <c r="P237" s="22"/>
      <c r="Q237" s="22"/>
      <c r="R237" s="22"/>
      <c r="S237" s="571"/>
      <c r="T237" s="571"/>
      <c r="U237" s="571"/>
      <c r="V237" s="22"/>
      <c r="W237" s="22"/>
      <c r="X237" s="22"/>
      <c r="Y237" s="22"/>
      <c r="Z237" s="22"/>
      <c r="AA237" s="22"/>
      <c r="AB237" s="476"/>
      <c r="AC237" s="485"/>
      <c r="AD237" s="449"/>
      <c r="AE237" s="485"/>
      <c r="AF237" s="449"/>
      <c r="AG237" s="449"/>
      <c r="AH237" s="22"/>
      <c r="AI237" s="22"/>
      <c r="AJ237" s="449"/>
      <c r="AK237" s="449"/>
      <c r="AL237" s="449"/>
      <c r="AM237" s="449"/>
      <c r="AN237" s="449"/>
      <c r="AO237" s="449"/>
      <c r="AP237" s="449"/>
      <c r="AQ237" s="449"/>
      <c r="AR237" s="449"/>
      <c r="AS237" s="449"/>
      <c r="AT237" s="449"/>
      <c r="AU237" s="489"/>
      <c r="AV237" s="449"/>
      <c r="AW237" s="485"/>
      <c r="AX237" s="22"/>
      <c r="AY237" s="22"/>
      <c r="AZ237" s="22"/>
      <c r="BA237" s="22"/>
      <c r="BB237" s="760"/>
      <c r="BC237" s="760"/>
      <c r="BD237" s="22"/>
      <c r="BE237" s="22"/>
      <c r="BF237" s="22"/>
      <c r="BG237" s="22"/>
      <c r="BH237" s="22"/>
      <c r="BI237" s="22"/>
      <c r="BJ237" s="22"/>
      <c r="BK237" s="22"/>
      <c r="BL237" s="22"/>
      <c r="BM237" s="22"/>
      <c r="BN237" s="22"/>
      <c r="CG237" s="22"/>
      <c r="CH237" s="565"/>
    </row>
    <row r="238" spans="9:86" ht="19.5" customHeight="1">
      <c r="I238" s="18"/>
      <c r="J238" s="19"/>
      <c r="K238" s="19"/>
      <c r="L238" s="20"/>
      <c r="M238" s="22"/>
      <c r="N238" s="22"/>
      <c r="O238" s="22"/>
      <c r="P238" s="22"/>
      <c r="Q238" s="22"/>
      <c r="R238" s="22"/>
      <c r="S238" s="571"/>
      <c r="T238" s="571"/>
      <c r="U238" s="571"/>
      <c r="V238" s="22"/>
      <c r="W238" s="22"/>
      <c r="X238" s="22"/>
      <c r="Y238" s="22"/>
      <c r="Z238" s="22"/>
      <c r="AA238" s="22"/>
      <c r="AB238" s="476"/>
      <c r="AC238" s="485"/>
      <c r="AD238" s="449"/>
      <c r="AE238" s="485"/>
      <c r="AF238" s="449"/>
      <c r="AG238" s="449"/>
      <c r="AH238" s="22"/>
      <c r="AI238" s="22"/>
      <c r="AJ238" s="449"/>
      <c r="AK238" s="449"/>
      <c r="AL238" s="449"/>
      <c r="AM238" s="449"/>
      <c r="AN238" s="449"/>
      <c r="AO238" s="449"/>
      <c r="AP238" s="449"/>
      <c r="AQ238" s="449"/>
      <c r="AR238" s="449"/>
      <c r="AS238" s="449"/>
      <c r="AT238" s="449"/>
      <c r="AU238" s="489"/>
      <c r="AV238" s="449"/>
      <c r="AW238" s="485"/>
      <c r="AX238" s="22"/>
      <c r="AY238" s="22"/>
      <c r="AZ238" s="22"/>
      <c r="BA238" s="22"/>
      <c r="BB238" s="760"/>
      <c r="BC238" s="760"/>
      <c r="BD238" s="22"/>
      <c r="BE238" s="22"/>
      <c r="BF238" s="22"/>
      <c r="BG238" s="22"/>
      <c r="BH238" s="22"/>
      <c r="BI238" s="22"/>
      <c r="BJ238" s="22"/>
      <c r="BK238" s="22"/>
      <c r="BL238" s="22"/>
      <c r="BM238" s="22"/>
      <c r="BN238" s="22"/>
      <c r="CG238" s="22"/>
      <c r="CH238" s="565"/>
    </row>
    <row r="239" spans="9:86" ht="19.5" customHeight="1">
      <c r="I239" s="18"/>
      <c r="J239" s="19"/>
      <c r="K239" s="19"/>
      <c r="L239" s="20"/>
      <c r="M239" s="22"/>
      <c r="N239" s="22"/>
      <c r="O239" s="22"/>
      <c r="P239" s="22"/>
      <c r="Q239" s="22"/>
      <c r="R239" s="22"/>
      <c r="S239" s="571"/>
      <c r="T239" s="571"/>
      <c r="U239" s="571"/>
      <c r="V239" s="22"/>
      <c r="W239" s="22"/>
      <c r="X239" s="22"/>
      <c r="Y239" s="22"/>
      <c r="Z239" s="22"/>
      <c r="AA239" s="22"/>
      <c r="AB239" s="476"/>
      <c r="AC239" s="485"/>
      <c r="AD239" s="449"/>
      <c r="AE239" s="485"/>
      <c r="AF239" s="449"/>
      <c r="AG239" s="449"/>
      <c r="AH239" s="22"/>
      <c r="AI239" s="22"/>
      <c r="AJ239" s="449"/>
      <c r="AK239" s="449"/>
      <c r="AL239" s="449"/>
      <c r="AM239" s="449"/>
      <c r="AN239" s="449"/>
      <c r="AO239" s="449"/>
      <c r="AP239" s="449"/>
      <c r="AQ239" s="449"/>
      <c r="AR239" s="449"/>
      <c r="AS239" s="449"/>
      <c r="AT239" s="449"/>
      <c r="AU239" s="489"/>
      <c r="AV239" s="449"/>
      <c r="AW239" s="485"/>
      <c r="AX239" s="22"/>
      <c r="AY239" s="22"/>
      <c r="AZ239" s="22"/>
      <c r="BA239" s="22"/>
      <c r="BB239" s="760"/>
      <c r="BC239" s="760"/>
      <c r="BD239" s="22"/>
      <c r="BE239" s="22"/>
      <c r="BF239" s="22"/>
      <c r="BG239" s="22"/>
      <c r="BH239" s="22"/>
      <c r="BI239" s="22"/>
      <c r="BJ239" s="22"/>
      <c r="BK239" s="22"/>
      <c r="BL239" s="22"/>
      <c r="BM239" s="22"/>
      <c r="BN239" s="22"/>
      <c r="CG239" s="22"/>
      <c r="CH239" s="565"/>
    </row>
    <row r="240" spans="9:86" ht="19.5" customHeight="1">
      <c r="I240" s="18"/>
      <c r="J240" s="19"/>
      <c r="K240" s="19"/>
      <c r="L240" s="20"/>
      <c r="M240" s="22"/>
      <c r="N240" s="22"/>
      <c r="O240" s="22"/>
      <c r="P240" s="22"/>
      <c r="Q240" s="22"/>
      <c r="R240" s="22"/>
      <c r="S240" s="571"/>
      <c r="T240" s="571"/>
      <c r="U240" s="571"/>
      <c r="V240" s="22"/>
      <c r="W240" s="22"/>
      <c r="X240" s="22"/>
      <c r="Y240" s="22"/>
      <c r="Z240" s="22"/>
      <c r="AA240" s="22"/>
      <c r="AB240" s="476"/>
      <c r="AC240" s="485"/>
      <c r="AD240" s="449"/>
      <c r="AE240" s="485"/>
      <c r="AF240" s="449"/>
      <c r="AG240" s="449"/>
      <c r="AH240" s="22"/>
      <c r="AI240" s="22"/>
      <c r="AJ240" s="449"/>
      <c r="AK240" s="449"/>
      <c r="AL240" s="449"/>
      <c r="AM240" s="449"/>
      <c r="AN240" s="449"/>
      <c r="AO240" s="449"/>
      <c r="AP240" s="449"/>
      <c r="AQ240" s="449"/>
      <c r="AR240" s="449"/>
      <c r="AS240" s="449"/>
      <c r="AT240" s="449"/>
      <c r="AU240" s="489"/>
      <c r="AV240" s="449"/>
      <c r="AW240" s="485"/>
      <c r="AX240" s="22"/>
      <c r="AY240" s="22"/>
      <c r="AZ240" s="22"/>
      <c r="BA240" s="22"/>
      <c r="BB240" s="760"/>
      <c r="BC240" s="760"/>
      <c r="BD240" s="22"/>
      <c r="BE240" s="22"/>
      <c r="BF240" s="22"/>
      <c r="BG240" s="22"/>
      <c r="BH240" s="22"/>
      <c r="BI240" s="22"/>
      <c r="BJ240" s="22"/>
      <c r="BK240" s="22"/>
      <c r="BL240" s="22"/>
      <c r="BM240" s="22"/>
      <c r="BN240" s="22"/>
      <c r="CG240" s="22"/>
      <c r="CH240" s="565"/>
    </row>
    <row r="241" spans="9:86" ht="19.5" customHeight="1">
      <c r="I241" s="18"/>
      <c r="J241" s="19"/>
      <c r="K241" s="19"/>
      <c r="L241" s="20"/>
      <c r="M241" s="22"/>
      <c r="N241" s="22"/>
      <c r="O241" s="22"/>
      <c r="P241" s="22"/>
      <c r="Q241" s="22"/>
      <c r="R241" s="22"/>
      <c r="S241" s="571"/>
      <c r="T241" s="571"/>
      <c r="U241" s="571"/>
      <c r="V241" s="22"/>
      <c r="W241" s="22"/>
      <c r="X241" s="22"/>
      <c r="Y241" s="22"/>
      <c r="Z241" s="22"/>
      <c r="AA241" s="22"/>
      <c r="AB241" s="476"/>
      <c r="AC241" s="485"/>
      <c r="AD241" s="449"/>
      <c r="AE241" s="485"/>
      <c r="AF241" s="449"/>
      <c r="AG241" s="449"/>
      <c r="AH241" s="22"/>
      <c r="AI241" s="22"/>
      <c r="AJ241" s="449"/>
      <c r="AK241" s="449"/>
      <c r="AL241" s="449"/>
      <c r="AM241" s="449"/>
      <c r="AN241" s="449"/>
      <c r="AO241" s="449"/>
      <c r="AP241" s="449"/>
      <c r="AQ241" s="449"/>
      <c r="AR241" s="449"/>
      <c r="AS241" s="449"/>
      <c r="AT241" s="449"/>
      <c r="AU241" s="489"/>
      <c r="AV241" s="449"/>
      <c r="AW241" s="485"/>
      <c r="AX241" s="22"/>
      <c r="AY241" s="22"/>
      <c r="AZ241" s="22"/>
      <c r="BA241" s="22"/>
      <c r="BB241" s="760"/>
      <c r="BC241" s="760"/>
      <c r="BD241" s="22"/>
      <c r="BE241" s="22"/>
      <c r="BF241" s="22"/>
      <c r="BG241" s="22"/>
      <c r="BH241" s="22"/>
      <c r="BI241" s="22"/>
      <c r="BJ241" s="22"/>
      <c r="BK241" s="22"/>
      <c r="BL241" s="22"/>
      <c r="BM241" s="22"/>
      <c r="BN241" s="22"/>
      <c r="CG241" s="22"/>
      <c r="CH241" s="565"/>
    </row>
    <row r="242" spans="9:86" ht="19.5" customHeight="1">
      <c r="I242" s="18"/>
      <c r="J242" s="19"/>
      <c r="K242" s="19"/>
      <c r="L242" s="20"/>
      <c r="M242" s="22"/>
      <c r="N242" s="22"/>
      <c r="O242" s="22"/>
      <c r="P242" s="22"/>
      <c r="Q242" s="22"/>
      <c r="R242" s="22"/>
      <c r="S242" s="571"/>
      <c r="T242" s="571"/>
      <c r="U242" s="571"/>
      <c r="V242" s="22"/>
      <c r="W242" s="22"/>
      <c r="X242" s="22"/>
      <c r="Y242" s="22"/>
      <c r="Z242" s="22"/>
      <c r="AA242" s="22"/>
      <c r="AB242" s="476"/>
      <c r="AC242" s="485"/>
      <c r="AD242" s="449"/>
      <c r="AE242" s="485"/>
      <c r="AF242" s="449"/>
      <c r="AG242" s="449"/>
      <c r="AH242" s="22"/>
      <c r="AI242" s="22"/>
      <c r="AJ242" s="449"/>
      <c r="AK242" s="449"/>
      <c r="AL242" s="449"/>
      <c r="AM242" s="449"/>
      <c r="AN242" s="449"/>
      <c r="AO242" s="449"/>
      <c r="AP242" s="449"/>
      <c r="AQ242" s="449"/>
      <c r="AR242" s="449"/>
      <c r="AS242" s="449"/>
      <c r="AT242" s="449"/>
      <c r="AU242" s="489"/>
      <c r="AV242" s="449"/>
      <c r="AW242" s="485"/>
      <c r="AX242" s="22"/>
      <c r="AY242" s="22"/>
      <c r="AZ242" s="22"/>
      <c r="BA242" s="22"/>
      <c r="BB242" s="760"/>
      <c r="BC242" s="760"/>
      <c r="BD242" s="22"/>
      <c r="BE242" s="22"/>
      <c r="BF242" s="22"/>
      <c r="BG242" s="22"/>
      <c r="BH242" s="22"/>
      <c r="BI242" s="22"/>
      <c r="BJ242" s="22"/>
      <c r="BK242" s="22"/>
      <c r="BL242" s="22"/>
      <c r="BM242" s="22"/>
      <c r="BN242" s="22"/>
      <c r="CG242" s="22"/>
      <c r="CH242" s="565"/>
    </row>
    <row r="243" spans="9:86" ht="19.5" customHeight="1">
      <c r="I243" s="18"/>
      <c r="J243" s="19"/>
      <c r="K243" s="19"/>
      <c r="L243" s="20"/>
      <c r="M243" s="22"/>
      <c r="N243" s="22"/>
      <c r="O243" s="22"/>
      <c r="P243" s="22"/>
      <c r="Q243" s="22"/>
      <c r="R243" s="22"/>
      <c r="S243" s="571"/>
      <c r="T243" s="571"/>
      <c r="U243" s="571"/>
      <c r="V243" s="22"/>
      <c r="W243" s="22"/>
      <c r="X243" s="22"/>
      <c r="Y243" s="22"/>
      <c r="Z243" s="22"/>
      <c r="AA243" s="22"/>
      <c r="AB243" s="476"/>
      <c r="AC243" s="485"/>
      <c r="AD243" s="449"/>
      <c r="AE243" s="485"/>
      <c r="AF243" s="449"/>
      <c r="AG243" s="449"/>
      <c r="AH243" s="22"/>
      <c r="AI243" s="22"/>
      <c r="AJ243" s="449"/>
      <c r="AK243" s="449"/>
      <c r="AL243" s="449"/>
      <c r="AM243" s="449"/>
      <c r="AN243" s="449"/>
      <c r="AO243" s="449"/>
      <c r="AP243" s="449"/>
      <c r="AQ243" s="449"/>
      <c r="AR243" s="449"/>
      <c r="AS243" s="449"/>
      <c r="AT243" s="449"/>
      <c r="AU243" s="489"/>
      <c r="AV243" s="449"/>
      <c r="AW243" s="485"/>
      <c r="AX243" s="22"/>
      <c r="AY243" s="22"/>
      <c r="AZ243" s="22"/>
      <c r="BA243" s="22"/>
      <c r="BB243" s="760"/>
      <c r="BC243" s="760"/>
      <c r="BD243" s="22"/>
      <c r="BE243" s="22"/>
      <c r="BF243" s="22"/>
      <c r="BG243" s="22"/>
      <c r="BH243" s="22"/>
      <c r="BI243" s="22"/>
      <c r="BJ243" s="22"/>
      <c r="BK243" s="22"/>
      <c r="BL243" s="22"/>
      <c r="BM243" s="22"/>
      <c r="BN243" s="22"/>
      <c r="CG243" s="22"/>
      <c r="CH243" s="565"/>
    </row>
    <row r="244" spans="9:86" ht="19.5" customHeight="1">
      <c r="I244" s="18"/>
      <c r="J244" s="19"/>
      <c r="K244" s="19"/>
      <c r="L244" s="20"/>
      <c r="M244" s="22"/>
      <c r="N244" s="22"/>
      <c r="O244" s="22"/>
      <c r="P244" s="22"/>
      <c r="Q244" s="22"/>
      <c r="R244" s="22"/>
      <c r="S244" s="571"/>
      <c r="T244" s="571"/>
      <c r="U244" s="571"/>
      <c r="V244" s="22"/>
      <c r="W244" s="22"/>
      <c r="X244" s="22"/>
      <c r="Y244" s="22"/>
      <c r="Z244" s="22"/>
      <c r="AA244" s="22"/>
      <c r="AB244" s="476"/>
      <c r="AC244" s="485"/>
      <c r="AD244" s="449"/>
      <c r="AE244" s="485"/>
      <c r="AF244" s="449"/>
      <c r="AG244" s="449"/>
      <c r="AH244" s="22"/>
      <c r="AI244" s="22"/>
      <c r="AJ244" s="449"/>
      <c r="AK244" s="449"/>
      <c r="AL244" s="449"/>
      <c r="AM244" s="449"/>
      <c r="AN244" s="449"/>
      <c r="AO244" s="449"/>
      <c r="AP244" s="449"/>
      <c r="AQ244" s="449"/>
      <c r="AR244" s="449"/>
      <c r="AS244" s="449"/>
      <c r="AT244" s="449"/>
      <c r="AU244" s="489"/>
      <c r="AV244" s="449"/>
      <c r="AW244" s="485"/>
      <c r="AX244" s="22"/>
      <c r="AY244" s="22"/>
      <c r="AZ244" s="22"/>
      <c r="BA244" s="22"/>
      <c r="BB244" s="760"/>
      <c r="BC244" s="760"/>
      <c r="BD244" s="22"/>
      <c r="BE244" s="22"/>
      <c r="BF244" s="22"/>
      <c r="BG244" s="22"/>
      <c r="BH244" s="22"/>
      <c r="BI244" s="22"/>
      <c r="BJ244" s="22"/>
      <c r="BK244" s="22"/>
      <c r="BL244" s="22"/>
      <c r="BM244" s="22"/>
      <c r="BN244" s="22"/>
      <c r="CG244" s="22"/>
      <c r="CH244" s="565"/>
    </row>
    <row r="245" spans="9:86" ht="19.5" customHeight="1">
      <c r="I245" s="18"/>
      <c r="J245" s="19"/>
      <c r="K245" s="19"/>
      <c r="L245" s="20"/>
      <c r="M245" s="22"/>
      <c r="N245" s="22"/>
      <c r="O245" s="22"/>
      <c r="P245" s="22"/>
      <c r="Q245" s="22"/>
      <c r="R245" s="22"/>
      <c r="S245" s="571"/>
      <c r="T245" s="571"/>
      <c r="U245" s="571"/>
      <c r="V245" s="22"/>
      <c r="W245" s="22"/>
      <c r="X245" s="22"/>
      <c r="Y245" s="22"/>
      <c r="Z245" s="22"/>
      <c r="AA245" s="22"/>
      <c r="AB245" s="476"/>
      <c r="AC245" s="485"/>
      <c r="AD245" s="449"/>
      <c r="AE245" s="485"/>
      <c r="AF245" s="449"/>
      <c r="AG245" s="449"/>
      <c r="AH245" s="22"/>
      <c r="AI245" s="22"/>
      <c r="AJ245" s="449"/>
      <c r="AK245" s="449"/>
      <c r="AL245" s="449"/>
      <c r="AM245" s="449"/>
      <c r="AN245" s="449"/>
      <c r="AO245" s="449"/>
      <c r="AP245" s="449"/>
      <c r="AQ245" s="449"/>
      <c r="AR245" s="449"/>
      <c r="AS245" s="449"/>
      <c r="AT245" s="449"/>
      <c r="AU245" s="489"/>
      <c r="AV245" s="449"/>
      <c r="AW245" s="485"/>
      <c r="AX245" s="22"/>
      <c r="AY245" s="22"/>
      <c r="AZ245" s="22"/>
      <c r="BA245" s="22"/>
      <c r="BB245" s="760"/>
      <c r="BC245" s="760"/>
      <c r="BD245" s="22"/>
      <c r="BE245" s="22"/>
      <c r="BF245" s="22"/>
      <c r="BG245" s="22"/>
      <c r="BH245" s="22"/>
      <c r="BI245" s="22"/>
      <c r="BJ245" s="22"/>
      <c r="BK245" s="22"/>
      <c r="BL245" s="22"/>
      <c r="BM245" s="22"/>
      <c r="BN245" s="22"/>
      <c r="CG245" s="22"/>
      <c r="CH245" s="565"/>
    </row>
    <row r="246" spans="9:86" ht="19.5" customHeight="1">
      <c r="I246" s="18"/>
      <c r="J246" s="19"/>
      <c r="K246" s="19"/>
      <c r="L246" s="20"/>
      <c r="M246" s="22"/>
      <c r="N246" s="22"/>
      <c r="O246" s="22"/>
      <c r="P246" s="22"/>
      <c r="Q246" s="22"/>
      <c r="R246" s="22"/>
      <c r="S246" s="571"/>
      <c r="T246" s="571"/>
      <c r="U246" s="571"/>
      <c r="V246" s="22"/>
      <c r="W246" s="22"/>
      <c r="X246" s="22"/>
      <c r="Y246" s="22"/>
      <c r="Z246" s="22"/>
      <c r="AA246" s="22"/>
      <c r="AB246" s="476"/>
      <c r="AC246" s="485"/>
      <c r="AD246" s="449"/>
      <c r="AE246" s="485"/>
      <c r="AF246" s="449"/>
      <c r="AG246" s="449"/>
      <c r="AH246" s="22"/>
      <c r="AI246" s="22"/>
      <c r="AJ246" s="449"/>
      <c r="AK246" s="449"/>
      <c r="AL246" s="449"/>
      <c r="AM246" s="449"/>
      <c r="AN246" s="449"/>
      <c r="AO246" s="449"/>
      <c r="AP246" s="449"/>
      <c r="AQ246" s="449"/>
      <c r="AR246" s="449"/>
      <c r="AS246" s="449"/>
      <c r="AT246" s="449"/>
      <c r="AU246" s="489"/>
      <c r="AV246" s="449"/>
      <c r="AW246" s="485"/>
      <c r="AX246" s="22"/>
      <c r="AY246" s="22"/>
      <c r="AZ246" s="22"/>
      <c r="BA246" s="22"/>
      <c r="BB246" s="760"/>
      <c r="BC246" s="760"/>
      <c r="BD246" s="22"/>
      <c r="BE246" s="22"/>
      <c r="BF246" s="22"/>
      <c r="BG246" s="22"/>
      <c r="BH246" s="22"/>
      <c r="BI246" s="22"/>
      <c r="BJ246" s="22"/>
      <c r="BK246" s="22"/>
      <c r="BL246" s="22"/>
      <c r="BM246" s="22"/>
      <c r="BN246" s="22"/>
      <c r="CG246" s="22"/>
      <c r="CH246" s="565"/>
    </row>
    <row r="247" spans="9:86" ht="19.5" customHeight="1">
      <c r="I247" s="18"/>
      <c r="J247" s="19"/>
      <c r="K247" s="19"/>
      <c r="L247" s="20"/>
      <c r="M247" s="22"/>
      <c r="N247" s="22"/>
      <c r="O247" s="22"/>
      <c r="P247" s="22"/>
      <c r="Q247" s="22"/>
      <c r="R247" s="22"/>
      <c r="S247" s="571"/>
      <c r="T247" s="571"/>
      <c r="U247" s="571"/>
      <c r="V247" s="22"/>
      <c r="W247" s="22"/>
      <c r="X247" s="22"/>
      <c r="Y247" s="22"/>
      <c r="Z247" s="22"/>
      <c r="AA247" s="22"/>
      <c r="AB247" s="476"/>
      <c r="AC247" s="485"/>
      <c r="AD247" s="449"/>
      <c r="AE247" s="485"/>
      <c r="AF247" s="449"/>
      <c r="AG247" s="449"/>
      <c r="AH247" s="22"/>
      <c r="AI247" s="22"/>
      <c r="AJ247" s="449"/>
      <c r="AK247" s="449"/>
      <c r="AL247" s="449"/>
      <c r="AM247" s="449"/>
      <c r="AN247" s="449"/>
      <c r="AO247" s="449"/>
      <c r="AP247" s="449"/>
      <c r="AQ247" s="449"/>
      <c r="AR247" s="449"/>
      <c r="AS247" s="449"/>
      <c r="AT247" s="449"/>
      <c r="AU247" s="489"/>
      <c r="AV247" s="449"/>
      <c r="AW247" s="485"/>
      <c r="AX247" s="22"/>
      <c r="AY247" s="22"/>
      <c r="AZ247" s="22"/>
      <c r="BA247" s="22"/>
      <c r="BB247" s="760"/>
      <c r="BC247" s="760"/>
      <c r="BD247" s="22"/>
      <c r="BE247" s="22"/>
      <c r="BF247" s="22"/>
      <c r="BG247" s="22"/>
      <c r="BH247" s="22"/>
      <c r="BI247" s="22"/>
      <c r="BJ247" s="22"/>
      <c r="BK247" s="22"/>
      <c r="BL247" s="22"/>
      <c r="BM247" s="22"/>
      <c r="BN247" s="22"/>
      <c r="CG247" s="22"/>
      <c r="CH247" s="565"/>
    </row>
    <row r="248" spans="9:86" ht="19.5" customHeight="1">
      <c r="I248" s="18"/>
      <c r="J248" s="19"/>
      <c r="K248" s="19"/>
      <c r="L248" s="20"/>
      <c r="M248" s="22"/>
      <c r="N248" s="22"/>
      <c r="O248" s="22"/>
      <c r="P248" s="22"/>
      <c r="Q248" s="22"/>
      <c r="R248" s="22"/>
      <c r="S248" s="571"/>
      <c r="T248" s="571"/>
      <c r="U248" s="571"/>
      <c r="V248" s="22"/>
      <c r="W248" s="22"/>
      <c r="X248" s="22"/>
      <c r="Y248" s="22"/>
      <c r="Z248" s="22"/>
      <c r="AA248" s="22"/>
      <c r="AB248" s="476"/>
      <c r="AC248" s="485"/>
      <c r="AD248" s="449"/>
      <c r="AE248" s="485"/>
      <c r="AF248" s="449"/>
      <c r="AG248" s="449"/>
      <c r="AH248" s="22"/>
      <c r="AI248" s="22"/>
      <c r="AJ248" s="449"/>
      <c r="AK248" s="449"/>
      <c r="AL248" s="449"/>
      <c r="AM248" s="449"/>
      <c r="AN248" s="449"/>
      <c r="AO248" s="449"/>
      <c r="AP248" s="449"/>
      <c r="AQ248" s="449"/>
      <c r="AR248" s="449"/>
      <c r="AS248" s="449"/>
      <c r="AT248" s="449"/>
      <c r="AU248" s="489"/>
      <c r="AV248" s="449"/>
      <c r="AW248" s="485"/>
      <c r="AX248" s="22"/>
      <c r="AY248" s="22"/>
      <c r="AZ248" s="22"/>
      <c r="BA248" s="22"/>
      <c r="BB248" s="760"/>
      <c r="BC248" s="760"/>
      <c r="BD248" s="22"/>
      <c r="BE248" s="22"/>
      <c r="BF248" s="22"/>
      <c r="BG248" s="22"/>
      <c r="BH248" s="22"/>
      <c r="BI248" s="22"/>
      <c r="BJ248" s="22"/>
      <c r="BK248" s="22"/>
      <c r="BL248" s="22"/>
      <c r="BM248" s="22"/>
      <c r="BN248" s="22"/>
      <c r="CG248" s="22"/>
      <c r="CH248" s="565"/>
    </row>
    <row r="249" spans="9:86" ht="19.5" customHeight="1">
      <c r="I249" s="18"/>
      <c r="J249" s="19"/>
      <c r="K249" s="19"/>
      <c r="L249" s="20"/>
      <c r="M249" s="22"/>
      <c r="N249" s="22"/>
      <c r="O249" s="22"/>
      <c r="P249" s="22"/>
      <c r="Q249" s="22"/>
      <c r="R249" s="22"/>
      <c r="S249" s="571"/>
      <c r="T249" s="571"/>
      <c r="U249" s="571"/>
      <c r="V249" s="22"/>
      <c r="W249" s="22"/>
      <c r="X249" s="22"/>
      <c r="Y249" s="22"/>
      <c r="Z249" s="22"/>
      <c r="AA249" s="22"/>
      <c r="AB249" s="476"/>
      <c r="AC249" s="485"/>
      <c r="AD249" s="449"/>
      <c r="AE249" s="485"/>
      <c r="AF249" s="449"/>
      <c r="AG249" s="449"/>
      <c r="AH249" s="22"/>
      <c r="AI249" s="22"/>
      <c r="AJ249" s="449"/>
      <c r="AK249" s="449"/>
      <c r="AL249" s="449"/>
      <c r="AM249" s="449"/>
      <c r="AN249" s="449"/>
      <c r="AO249" s="449"/>
      <c r="AP249" s="449"/>
      <c r="AQ249" s="449"/>
      <c r="AR249" s="449"/>
      <c r="AS249" s="449"/>
      <c r="AT249" s="449"/>
      <c r="AU249" s="489"/>
      <c r="AV249" s="449"/>
      <c r="AW249" s="485"/>
      <c r="AX249" s="22"/>
      <c r="AY249" s="22"/>
      <c r="AZ249" s="22"/>
      <c r="BA249" s="22"/>
      <c r="BB249" s="760"/>
      <c r="BC249" s="760"/>
      <c r="BD249" s="22"/>
      <c r="BE249" s="22"/>
      <c r="BF249" s="22"/>
      <c r="BG249" s="22"/>
      <c r="BH249" s="22"/>
      <c r="BI249" s="22"/>
      <c r="BJ249" s="22"/>
      <c r="BK249" s="22"/>
      <c r="BL249" s="22"/>
      <c r="BM249" s="22"/>
      <c r="BN249" s="22"/>
      <c r="CG249" s="22"/>
      <c r="CH249" s="565"/>
    </row>
    <row r="250" spans="9:86" ht="19.5" customHeight="1">
      <c r="I250" s="18"/>
      <c r="J250" s="19"/>
      <c r="K250" s="19"/>
      <c r="L250" s="20"/>
      <c r="M250" s="22"/>
      <c r="N250" s="22"/>
      <c r="O250" s="22"/>
      <c r="P250" s="22"/>
      <c r="Q250" s="22"/>
      <c r="R250" s="22"/>
      <c r="S250" s="571"/>
      <c r="T250" s="571"/>
      <c r="U250" s="571"/>
      <c r="V250" s="22"/>
      <c r="W250" s="22"/>
      <c r="X250" s="22"/>
      <c r="Y250" s="22"/>
      <c r="Z250" s="22"/>
      <c r="AA250" s="22"/>
      <c r="AB250" s="476"/>
      <c r="AC250" s="485"/>
      <c r="AD250" s="449"/>
      <c r="AE250" s="485"/>
      <c r="AF250" s="449"/>
      <c r="AG250" s="449"/>
      <c r="AH250" s="22"/>
      <c r="AI250" s="22"/>
      <c r="AJ250" s="449"/>
      <c r="AK250" s="449"/>
      <c r="AL250" s="449"/>
      <c r="AM250" s="449"/>
      <c r="AN250" s="449"/>
      <c r="AO250" s="449"/>
      <c r="AP250" s="449"/>
      <c r="AQ250" s="449"/>
      <c r="AR250" s="449"/>
      <c r="AS250" s="449"/>
      <c r="AT250" s="449"/>
      <c r="AU250" s="489"/>
      <c r="AV250" s="449"/>
      <c r="AW250" s="485"/>
      <c r="AX250" s="22"/>
      <c r="AY250" s="22"/>
      <c r="AZ250" s="22"/>
      <c r="BA250" s="22"/>
      <c r="BB250" s="760"/>
      <c r="BC250" s="760"/>
      <c r="BD250" s="22"/>
      <c r="BE250" s="22"/>
      <c r="BF250" s="22"/>
      <c r="BG250" s="22"/>
      <c r="BH250" s="22"/>
      <c r="BI250" s="22"/>
      <c r="BJ250" s="22"/>
      <c r="BK250" s="22"/>
      <c r="BL250" s="22"/>
      <c r="BM250" s="22"/>
      <c r="BN250" s="22"/>
      <c r="CG250" s="22"/>
      <c r="CH250" s="565"/>
    </row>
    <row r="251" spans="9:86" ht="19.5" customHeight="1">
      <c r="I251" s="18"/>
      <c r="J251" s="19"/>
      <c r="K251" s="19"/>
      <c r="L251" s="20"/>
      <c r="M251" s="22"/>
      <c r="N251" s="22"/>
      <c r="O251" s="22"/>
      <c r="P251" s="22"/>
      <c r="Q251" s="22"/>
      <c r="R251" s="22"/>
      <c r="S251" s="571"/>
      <c r="T251" s="571"/>
      <c r="U251" s="571"/>
      <c r="V251" s="22"/>
      <c r="W251" s="22"/>
      <c r="X251" s="22"/>
      <c r="Y251" s="22"/>
      <c r="Z251" s="22"/>
      <c r="AA251" s="22"/>
      <c r="AB251" s="476"/>
      <c r="AC251" s="485"/>
      <c r="AD251" s="449"/>
      <c r="AE251" s="485"/>
      <c r="AF251" s="449"/>
      <c r="AG251" s="449"/>
      <c r="AH251" s="22"/>
      <c r="AI251" s="22"/>
      <c r="AJ251" s="449"/>
      <c r="AK251" s="449"/>
      <c r="AL251" s="449"/>
      <c r="AM251" s="449"/>
      <c r="AN251" s="449"/>
      <c r="AO251" s="449"/>
      <c r="AP251" s="449"/>
      <c r="AQ251" s="449"/>
      <c r="AR251" s="449"/>
      <c r="AS251" s="449"/>
      <c r="AT251" s="449"/>
      <c r="AU251" s="489"/>
      <c r="AV251" s="449"/>
      <c r="AW251" s="485"/>
      <c r="AX251" s="22"/>
      <c r="AY251" s="22"/>
      <c r="AZ251" s="22"/>
      <c r="BA251" s="22"/>
      <c r="BB251" s="760"/>
      <c r="BC251" s="760"/>
      <c r="BD251" s="22"/>
      <c r="BE251" s="22"/>
      <c r="BF251" s="22"/>
      <c r="BG251" s="22"/>
      <c r="BH251" s="22"/>
      <c r="BI251" s="22"/>
      <c r="BJ251" s="22"/>
      <c r="BK251" s="22"/>
      <c r="BL251" s="22"/>
      <c r="BM251" s="22"/>
      <c r="BN251" s="22"/>
      <c r="CG251" s="22"/>
      <c r="CH251" s="565"/>
    </row>
    <row r="252" spans="9:86" ht="19.5" customHeight="1">
      <c r="I252" s="18"/>
      <c r="J252" s="19"/>
      <c r="K252" s="19"/>
      <c r="L252" s="20"/>
      <c r="M252" s="22"/>
      <c r="N252" s="22"/>
      <c r="O252" s="22"/>
      <c r="P252" s="22"/>
      <c r="Q252" s="22"/>
      <c r="R252" s="22"/>
      <c r="S252" s="571"/>
      <c r="T252" s="571"/>
      <c r="U252" s="571"/>
      <c r="V252" s="22"/>
      <c r="W252" s="22"/>
      <c r="X252" s="22"/>
      <c r="Y252" s="22"/>
      <c r="Z252" s="22"/>
      <c r="AA252" s="22"/>
      <c r="AB252" s="476"/>
      <c r="AC252" s="485"/>
      <c r="AD252" s="449"/>
      <c r="AE252" s="485"/>
      <c r="AF252" s="449"/>
      <c r="AG252" s="449"/>
      <c r="AH252" s="22"/>
      <c r="AI252" s="22"/>
      <c r="AJ252" s="449"/>
      <c r="AK252" s="449"/>
      <c r="AL252" s="449"/>
      <c r="AM252" s="449"/>
      <c r="AN252" s="449"/>
      <c r="AO252" s="449"/>
      <c r="AP252" s="449"/>
      <c r="AQ252" s="449"/>
      <c r="AR252" s="449"/>
      <c r="AS252" s="449"/>
      <c r="AT252" s="449"/>
      <c r="AU252" s="489"/>
      <c r="AV252" s="449"/>
      <c r="AW252" s="485"/>
      <c r="AX252" s="22"/>
      <c r="AY252" s="22"/>
      <c r="AZ252" s="22"/>
      <c r="BA252" s="22"/>
      <c r="BB252" s="760"/>
      <c r="BC252" s="760"/>
      <c r="BD252" s="22"/>
      <c r="BE252" s="22"/>
      <c r="BF252" s="22"/>
      <c r="BG252" s="22"/>
      <c r="BH252" s="22"/>
      <c r="BI252" s="22"/>
      <c r="BJ252" s="22"/>
      <c r="BK252" s="22"/>
      <c r="BL252" s="22"/>
      <c r="BM252" s="22"/>
      <c r="BN252" s="22"/>
      <c r="CG252" s="22"/>
      <c r="CH252" s="565"/>
    </row>
    <row r="253" spans="9:86" ht="19.5" customHeight="1">
      <c r="I253" s="18"/>
      <c r="J253" s="19"/>
      <c r="K253" s="19"/>
      <c r="L253" s="20"/>
      <c r="M253" s="22"/>
      <c r="N253" s="22"/>
      <c r="O253" s="22"/>
      <c r="P253" s="22"/>
      <c r="Q253" s="22"/>
      <c r="R253" s="22"/>
      <c r="S253" s="571"/>
      <c r="T253" s="571"/>
      <c r="U253" s="571"/>
      <c r="V253" s="22"/>
      <c r="W253" s="22"/>
      <c r="X253" s="22"/>
      <c r="Y253" s="22"/>
      <c r="Z253" s="22"/>
      <c r="AA253" s="22"/>
      <c r="AB253" s="476"/>
      <c r="AC253" s="485"/>
      <c r="AD253" s="449"/>
      <c r="AE253" s="485"/>
      <c r="AF253" s="449"/>
      <c r="AG253" s="449"/>
      <c r="AH253" s="22"/>
      <c r="AI253" s="22"/>
      <c r="AJ253" s="449"/>
      <c r="AK253" s="449"/>
      <c r="AL253" s="449"/>
      <c r="AM253" s="449"/>
      <c r="AN253" s="449"/>
      <c r="AO253" s="449"/>
      <c r="AP253" s="449"/>
      <c r="AQ253" s="449"/>
      <c r="AR253" s="449"/>
      <c r="AS253" s="449"/>
      <c r="AT253" s="449"/>
      <c r="AU253" s="489"/>
      <c r="AV253" s="449"/>
      <c r="AW253" s="485"/>
      <c r="AX253" s="22"/>
      <c r="AY253" s="22"/>
      <c r="AZ253" s="22"/>
      <c r="BA253" s="22"/>
      <c r="BB253" s="760"/>
      <c r="BC253" s="760"/>
      <c r="BD253" s="22"/>
      <c r="BE253" s="22"/>
      <c r="BF253" s="22"/>
      <c r="BG253" s="22"/>
      <c r="BH253" s="22"/>
      <c r="BI253" s="22"/>
      <c r="BJ253" s="22"/>
      <c r="BK253" s="22"/>
      <c r="BL253" s="22"/>
      <c r="BM253" s="22"/>
      <c r="BN253" s="22"/>
      <c r="CG253" s="22"/>
      <c r="CH253" s="565"/>
    </row>
    <row r="254" spans="9:86" ht="19.5" customHeight="1">
      <c r="I254" s="18"/>
      <c r="J254" s="19"/>
      <c r="K254" s="19"/>
      <c r="L254" s="20"/>
      <c r="M254" s="22"/>
      <c r="N254" s="22"/>
      <c r="O254" s="22"/>
      <c r="P254" s="22"/>
      <c r="Q254" s="22"/>
      <c r="R254" s="22"/>
      <c r="S254" s="571"/>
      <c r="T254" s="571"/>
      <c r="U254" s="571"/>
      <c r="V254" s="22"/>
      <c r="W254" s="22"/>
      <c r="X254" s="22"/>
      <c r="Y254" s="22"/>
      <c r="Z254" s="22"/>
      <c r="AA254" s="22"/>
      <c r="AB254" s="476"/>
      <c r="AC254" s="485"/>
      <c r="AD254" s="449"/>
      <c r="AE254" s="485"/>
      <c r="AF254" s="449"/>
      <c r="AG254" s="449"/>
      <c r="AH254" s="22"/>
      <c r="AI254" s="22"/>
      <c r="AJ254" s="449"/>
      <c r="AK254" s="449"/>
      <c r="AL254" s="449"/>
      <c r="AM254" s="449"/>
      <c r="AN254" s="449"/>
      <c r="AO254" s="449"/>
      <c r="AP254" s="449"/>
      <c r="AQ254" s="449"/>
      <c r="AR254" s="449"/>
      <c r="AS254" s="449"/>
      <c r="AT254" s="449"/>
      <c r="AU254" s="489"/>
      <c r="AV254" s="449"/>
      <c r="AW254" s="485"/>
      <c r="AX254" s="22"/>
      <c r="AY254" s="22"/>
      <c r="AZ254" s="22"/>
      <c r="BA254" s="22"/>
      <c r="BB254" s="760"/>
      <c r="BC254" s="760"/>
      <c r="BD254" s="22"/>
      <c r="BE254" s="22"/>
      <c r="BF254" s="22"/>
      <c r="BG254" s="22"/>
      <c r="BH254" s="22"/>
      <c r="BI254" s="22"/>
      <c r="BJ254" s="22"/>
      <c r="BK254" s="22"/>
      <c r="BL254" s="22"/>
      <c r="BM254" s="22"/>
      <c r="BN254" s="22"/>
      <c r="CG254" s="22"/>
      <c r="CH254" s="565"/>
    </row>
    <row r="255" spans="9:86" ht="19.5" customHeight="1">
      <c r="I255" s="18"/>
      <c r="J255" s="19"/>
      <c r="K255" s="19"/>
      <c r="L255" s="20"/>
      <c r="M255" s="22"/>
      <c r="N255" s="22"/>
      <c r="O255" s="22"/>
      <c r="P255" s="22"/>
      <c r="Q255" s="22"/>
      <c r="R255" s="22"/>
      <c r="S255" s="571"/>
      <c r="T255" s="571"/>
      <c r="U255" s="571"/>
      <c r="V255" s="22"/>
      <c r="W255" s="22"/>
      <c r="X255" s="22"/>
      <c r="Y255" s="22"/>
      <c r="Z255" s="22"/>
      <c r="AA255" s="22"/>
      <c r="AB255" s="476"/>
      <c r="AC255" s="485"/>
      <c r="AD255" s="449"/>
      <c r="AE255" s="485"/>
      <c r="AF255" s="449"/>
      <c r="AG255" s="449"/>
      <c r="AH255" s="22"/>
      <c r="AI255" s="22"/>
      <c r="AJ255" s="449"/>
      <c r="AK255" s="449"/>
      <c r="AL255" s="449"/>
      <c r="AM255" s="449"/>
      <c r="AN255" s="449"/>
      <c r="AO255" s="449"/>
      <c r="AP255" s="449"/>
      <c r="AQ255" s="449"/>
      <c r="AR255" s="449"/>
      <c r="AS255" s="449"/>
      <c r="AT255" s="449"/>
      <c r="AU255" s="489"/>
      <c r="AV255" s="449"/>
      <c r="AW255" s="485"/>
      <c r="AX255" s="22"/>
      <c r="AY255" s="22"/>
      <c r="AZ255" s="22"/>
      <c r="BA255" s="22"/>
      <c r="BB255" s="760"/>
      <c r="BC255" s="760"/>
      <c r="BD255" s="22"/>
      <c r="BE255" s="22"/>
      <c r="BF255" s="22"/>
      <c r="BG255" s="22"/>
      <c r="BH255" s="22"/>
      <c r="BI255" s="22"/>
      <c r="BJ255" s="22"/>
      <c r="BK255" s="22"/>
      <c r="BL255" s="22"/>
      <c r="BM255" s="22"/>
      <c r="BN255" s="22"/>
      <c r="CG255" s="22"/>
      <c r="CH255" s="565"/>
    </row>
    <row r="256" spans="9:86" ht="19.5" customHeight="1">
      <c r="I256" s="18"/>
      <c r="J256" s="19"/>
      <c r="K256" s="19"/>
      <c r="L256" s="20"/>
      <c r="M256" s="22"/>
      <c r="N256" s="22"/>
      <c r="O256" s="22"/>
      <c r="P256" s="22"/>
      <c r="Q256" s="22"/>
      <c r="R256" s="22"/>
      <c r="S256" s="571"/>
      <c r="T256" s="571"/>
      <c r="U256" s="571"/>
      <c r="V256" s="22"/>
      <c r="W256" s="22"/>
      <c r="X256" s="22"/>
      <c r="Y256" s="22"/>
      <c r="Z256" s="22"/>
      <c r="AA256" s="22"/>
      <c r="AB256" s="476"/>
      <c r="AC256" s="485"/>
      <c r="AD256" s="449"/>
      <c r="AE256" s="485"/>
      <c r="AF256" s="449"/>
      <c r="AG256" s="449"/>
      <c r="AH256" s="22"/>
      <c r="AI256" s="22"/>
      <c r="AJ256" s="449"/>
      <c r="AK256" s="449"/>
      <c r="AL256" s="449"/>
      <c r="AM256" s="449"/>
      <c r="AN256" s="449"/>
      <c r="AO256" s="449"/>
      <c r="AP256" s="449"/>
      <c r="AQ256" s="449"/>
      <c r="AR256" s="449"/>
      <c r="AS256" s="449"/>
      <c r="AT256" s="449"/>
      <c r="AU256" s="489"/>
      <c r="AV256" s="449"/>
      <c r="AW256" s="485"/>
      <c r="AX256" s="22"/>
      <c r="AY256" s="22"/>
      <c r="AZ256" s="22"/>
      <c r="BA256" s="22"/>
      <c r="BB256" s="760"/>
      <c r="BC256" s="760"/>
      <c r="BD256" s="22"/>
      <c r="BE256" s="22"/>
      <c r="BF256" s="22"/>
      <c r="BG256" s="22"/>
      <c r="BH256" s="22"/>
      <c r="BI256" s="22"/>
      <c r="BJ256" s="22"/>
      <c r="BK256" s="22"/>
      <c r="BL256" s="22"/>
      <c r="BM256" s="22"/>
      <c r="BN256" s="22"/>
      <c r="CG256" s="22"/>
      <c r="CH256" s="565"/>
    </row>
    <row r="257" spans="9:86" ht="19.5" customHeight="1">
      <c r="I257" s="18"/>
      <c r="J257" s="19"/>
      <c r="K257" s="19"/>
      <c r="L257" s="20"/>
      <c r="M257" s="22"/>
      <c r="N257" s="22"/>
      <c r="O257" s="22"/>
      <c r="P257" s="22"/>
      <c r="Q257" s="22"/>
      <c r="R257" s="22"/>
      <c r="S257" s="571"/>
      <c r="T257" s="571"/>
      <c r="U257" s="571"/>
      <c r="V257" s="22"/>
      <c r="W257" s="22"/>
      <c r="X257" s="22"/>
      <c r="Y257" s="22"/>
      <c r="Z257" s="22"/>
      <c r="AA257" s="22"/>
      <c r="AB257" s="476"/>
      <c r="AC257" s="485"/>
      <c r="AD257" s="449"/>
      <c r="AE257" s="485"/>
      <c r="AF257" s="449"/>
      <c r="AG257" s="449"/>
      <c r="AH257" s="22"/>
      <c r="AI257" s="22"/>
      <c r="AJ257" s="449"/>
      <c r="AK257" s="449"/>
      <c r="AL257" s="449"/>
      <c r="AM257" s="449"/>
      <c r="AN257" s="449"/>
      <c r="AO257" s="449"/>
      <c r="AP257" s="449"/>
      <c r="AQ257" s="449"/>
      <c r="AR257" s="449"/>
      <c r="AS257" s="449"/>
      <c r="AT257" s="449"/>
      <c r="AU257" s="489"/>
      <c r="AV257" s="449"/>
      <c r="AW257" s="485"/>
      <c r="AX257" s="22"/>
      <c r="AY257" s="22"/>
      <c r="AZ257" s="22"/>
      <c r="BA257" s="22"/>
      <c r="BB257" s="760"/>
      <c r="BC257" s="760"/>
      <c r="BD257" s="22"/>
      <c r="BE257" s="22"/>
      <c r="BF257" s="22"/>
      <c r="BG257" s="22"/>
      <c r="BH257" s="22"/>
      <c r="BI257" s="22"/>
      <c r="BJ257" s="22"/>
      <c r="BK257" s="22"/>
      <c r="BL257" s="22"/>
      <c r="BM257" s="22"/>
      <c r="BN257" s="22"/>
      <c r="CG257" s="22"/>
      <c r="CH257" s="565"/>
    </row>
    <row r="258" spans="9:86" ht="19.5" customHeight="1">
      <c r="I258" s="18"/>
      <c r="J258" s="19"/>
      <c r="K258" s="19"/>
      <c r="L258" s="20"/>
      <c r="M258" s="22"/>
      <c r="N258" s="22"/>
      <c r="O258" s="22"/>
      <c r="P258" s="22"/>
      <c r="Q258" s="22"/>
      <c r="R258" s="22"/>
      <c r="S258" s="571"/>
      <c r="T258" s="571"/>
      <c r="U258" s="571"/>
      <c r="V258" s="22"/>
      <c r="W258" s="22"/>
      <c r="X258" s="22"/>
      <c r="Y258" s="22"/>
      <c r="Z258" s="22"/>
      <c r="AA258" s="22"/>
      <c r="AB258" s="476"/>
      <c r="AC258" s="485"/>
      <c r="AD258" s="449"/>
      <c r="AE258" s="485"/>
      <c r="AF258" s="449"/>
      <c r="AG258" s="449"/>
      <c r="AH258" s="22"/>
      <c r="AI258" s="22"/>
      <c r="AJ258" s="449"/>
      <c r="AK258" s="449"/>
      <c r="AL258" s="449"/>
      <c r="AM258" s="449"/>
      <c r="AN258" s="449"/>
      <c r="AO258" s="449"/>
      <c r="AP258" s="449"/>
      <c r="AQ258" s="449"/>
      <c r="AR258" s="449"/>
      <c r="AS258" s="449"/>
      <c r="AT258" s="449"/>
      <c r="AU258" s="489"/>
      <c r="AV258" s="449"/>
      <c r="AW258" s="485"/>
      <c r="AX258" s="22"/>
      <c r="AY258" s="22"/>
      <c r="AZ258" s="22"/>
      <c r="BA258" s="22"/>
      <c r="BB258" s="760"/>
      <c r="BC258" s="760"/>
      <c r="BD258" s="22"/>
      <c r="BE258" s="22"/>
      <c r="BF258" s="22"/>
      <c r="BG258" s="22"/>
      <c r="BH258" s="22"/>
      <c r="BI258" s="22"/>
      <c r="BJ258" s="22"/>
      <c r="BK258" s="22"/>
      <c r="BL258" s="22"/>
      <c r="BM258" s="22"/>
      <c r="BN258" s="22"/>
      <c r="CG258" s="22"/>
      <c r="CH258" s="565"/>
    </row>
    <row r="259" spans="9:86" ht="19.5" customHeight="1">
      <c r="I259" s="18"/>
      <c r="J259" s="19"/>
      <c r="K259" s="19"/>
      <c r="L259" s="20"/>
      <c r="M259" s="22"/>
      <c r="N259" s="22"/>
      <c r="O259" s="22"/>
      <c r="P259" s="22"/>
      <c r="Q259" s="22"/>
      <c r="R259" s="22"/>
      <c r="S259" s="571"/>
      <c r="T259" s="571"/>
      <c r="U259" s="571"/>
      <c r="V259" s="22"/>
      <c r="W259" s="22"/>
      <c r="X259" s="22"/>
      <c r="Y259" s="22"/>
      <c r="Z259" s="22"/>
      <c r="AA259" s="22"/>
      <c r="AB259" s="476"/>
      <c r="AC259" s="485"/>
      <c r="AD259" s="449"/>
      <c r="AE259" s="485"/>
      <c r="AF259" s="449"/>
      <c r="AG259" s="449"/>
      <c r="AH259" s="22"/>
      <c r="AI259" s="22"/>
      <c r="AJ259" s="449"/>
      <c r="AK259" s="449"/>
      <c r="AL259" s="449"/>
      <c r="AM259" s="449"/>
      <c r="AN259" s="449"/>
      <c r="AO259" s="449"/>
      <c r="AP259" s="449"/>
      <c r="AQ259" s="449"/>
      <c r="AR259" s="449"/>
      <c r="AS259" s="449"/>
      <c r="AT259" s="449"/>
      <c r="AU259" s="489"/>
      <c r="AV259" s="449"/>
      <c r="AW259" s="485"/>
      <c r="AX259" s="22"/>
      <c r="AY259" s="22"/>
      <c r="AZ259" s="22"/>
      <c r="BA259" s="22"/>
      <c r="BB259" s="760"/>
      <c r="BC259" s="760"/>
      <c r="BD259" s="22"/>
      <c r="BE259" s="22"/>
      <c r="BF259" s="22"/>
      <c r="BG259" s="22"/>
      <c r="BH259" s="22"/>
      <c r="BI259" s="22"/>
      <c r="BJ259" s="22"/>
      <c r="BK259" s="22"/>
      <c r="BL259" s="22"/>
      <c r="BM259" s="22"/>
      <c r="BN259" s="22"/>
      <c r="CG259" s="22"/>
      <c r="CH259" s="565"/>
    </row>
    <row r="260" spans="9:86" ht="19.5" customHeight="1">
      <c r="I260" s="18"/>
      <c r="J260" s="19"/>
      <c r="K260" s="19"/>
      <c r="L260" s="20"/>
      <c r="M260" s="22"/>
      <c r="N260" s="22"/>
      <c r="O260" s="22"/>
      <c r="P260" s="22"/>
      <c r="Q260" s="22"/>
      <c r="R260" s="22"/>
      <c r="S260" s="571"/>
      <c r="T260" s="571"/>
      <c r="U260" s="571"/>
      <c r="V260" s="22"/>
      <c r="W260" s="22"/>
      <c r="X260" s="22"/>
      <c r="Y260" s="22"/>
      <c r="Z260" s="22"/>
      <c r="AA260" s="22"/>
      <c r="AB260" s="476"/>
      <c r="AC260" s="485"/>
      <c r="AD260" s="449"/>
      <c r="AE260" s="485"/>
      <c r="AF260" s="449"/>
      <c r="AG260" s="449"/>
      <c r="AH260" s="22"/>
      <c r="AI260" s="22"/>
      <c r="AJ260" s="449"/>
      <c r="AK260" s="449"/>
      <c r="AL260" s="449"/>
      <c r="AM260" s="449"/>
      <c r="AN260" s="449"/>
      <c r="AO260" s="449"/>
      <c r="AP260" s="449"/>
      <c r="AQ260" s="449"/>
      <c r="AR260" s="449"/>
      <c r="AS260" s="449"/>
      <c r="AT260" s="449"/>
      <c r="AU260" s="489"/>
      <c r="AV260" s="449"/>
      <c r="AW260" s="485"/>
      <c r="AX260" s="22"/>
      <c r="AY260" s="22"/>
      <c r="AZ260" s="22"/>
      <c r="BA260" s="22"/>
      <c r="BB260" s="760"/>
      <c r="BC260" s="760"/>
      <c r="BD260" s="22"/>
      <c r="BE260" s="22"/>
      <c r="BF260" s="22"/>
      <c r="BG260" s="22"/>
      <c r="BH260" s="22"/>
      <c r="BI260" s="22"/>
      <c r="BJ260" s="22"/>
      <c r="BK260" s="22"/>
      <c r="BL260" s="22"/>
      <c r="BM260" s="22"/>
      <c r="BN260" s="22"/>
      <c r="CG260" s="22"/>
      <c r="CH260" s="565"/>
    </row>
    <row r="261" spans="9:86" ht="19.5" customHeight="1">
      <c r="I261" s="18"/>
      <c r="J261" s="19"/>
      <c r="K261" s="19"/>
      <c r="L261" s="20"/>
      <c r="M261" s="22"/>
      <c r="N261" s="22"/>
      <c r="O261" s="22"/>
      <c r="P261" s="22"/>
      <c r="Q261" s="22"/>
      <c r="R261" s="22"/>
      <c r="S261" s="571"/>
      <c r="T261" s="571"/>
      <c r="U261" s="571"/>
      <c r="V261" s="22"/>
      <c r="W261" s="22"/>
      <c r="X261" s="22"/>
      <c r="Y261" s="22"/>
      <c r="Z261" s="22"/>
      <c r="AA261" s="22"/>
      <c r="AB261" s="476"/>
      <c r="AC261" s="485"/>
      <c r="AD261" s="449"/>
      <c r="AE261" s="485"/>
      <c r="AF261" s="449"/>
      <c r="AG261" s="449"/>
      <c r="AH261" s="22"/>
      <c r="AI261" s="22"/>
      <c r="AJ261" s="449"/>
      <c r="AK261" s="449"/>
      <c r="AL261" s="449"/>
      <c r="AM261" s="449"/>
      <c r="AN261" s="449"/>
      <c r="AO261" s="449"/>
      <c r="AP261" s="449"/>
      <c r="AQ261" s="449"/>
      <c r="AR261" s="449"/>
      <c r="AS261" s="449"/>
      <c r="AT261" s="449"/>
      <c r="AU261" s="489"/>
      <c r="AV261" s="449"/>
      <c r="AW261" s="485"/>
      <c r="AX261" s="22"/>
      <c r="AY261" s="22"/>
      <c r="AZ261" s="22"/>
      <c r="BA261" s="22"/>
      <c r="BB261" s="760"/>
      <c r="BC261" s="760"/>
      <c r="BD261" s="22"/>
      <c r="BE261" s="22"/>
      <c r="BF261" s="22"/>
      <c r="BG261" s="22"/>
      <c r="BH261" s="22"/>
      <c r="BI261" s="22"/>
      <c r="BJ261" s="22"/>
      <c r="BK261" s="22"/>
      <c r="BL261" s="22"/>
      <c r="BM261" s="22"/>
      <c r="BN261" s="22"/>
      <c r="CG261" s="22"/>
      <c r="CH261" s="565"/>
    </row>
    <row r="262" spans="9:86" ht="19.5" customHeight="1">
      <c r="I262" s="18"/>
      <c r="J262" s="19"/>
      <c r="K262" s="19"/>
      <c r="L262" s="20"/>
      <c r="M262" s="22"/>
      <c r="N262" s="22"/>
      <c r="O262" s="22"/>
      <c r="P262" s="22"/>
      <c r="Q262" s="22"/>
      <c r="R262" s="22"/>
      <c r="S262" s="571"/>
      <c r="T262" s="571"/>
      <c r="U262" s="571"/>
      <c r="V262" s="22"/>
      <c r="W262" s="22"/>
      <c r="X262" s="22"/>
      <c r="Y262" s="22"/>
      <c r="Z262" s="22"/>
      <c r="AA262" s="22"/>
      <c r="AB262" s="476"/>
      <c r="AC262" s="485"/>
      <c r="AD262" s="449"/>
      <c r="AE262" s="485"/>
      <c r="AF262" s="449"/>
      <c r="AG262" s="449"/>
      <c r="AH262" s="22"/>
      <c r="AI262" s="22"/>
      <c r="AJ262" s="449"/>
      <c r="AK262" s="449"/>
      <c r="AL262" s="449"/>
      <c r="AM262" s="449"/>
      <c r="AN262" s="449"/>
      <c r="AO262" s="449"/>
      <c r="AP262" s="449"/>
      <c r="AQ262" s="449"/>
      <c r="AR262" s="449"/>
      <c r="AS262" s="449"/>
      <c r="AT262" s="449"/>
      <c r="AU262" s="489"/>
      <c r="AV262" s="449"/>
      <c r="AW262" s="485"/>
      <c r="AX262" s="22"/>
      <c r="AY262" s="22"/>
      <c r="AZ262" s="22"/>
      <c r="BA262" s="22"/>
      <c r="BB262" s="760"/>
      <c r="BC262" s="760"/>
      <c r="BD262" s="22"/>
      <c r="BE262" s="22"/>
      <c r="BF262" s="22"/>
      <c r="BG262" s="22"/>
      <c r="BH262" s="22"/>
      <c r="BI262" s="22"/>
      <c r="BJ262" s="22"/>
      <c r="BK262" s="22"/>
      <c r="BL262" s="22"/>
      <c r="BM262" s="22"/>
      <c r="BN262" s="22"/>
      <c r="CG262" s="22"/>
      <c r="CH262" s="565"/>
    </row>
    <row r="263" spans="9:86" ht="19.5" customHeight="1">
      <c r="I263" s="18"/>
      <c r="J263" s="19"/>
      <c r="K263" s="19"/>
      <c r="L263" s="20"/>
      <c r="M263" s="22"/>
      <c r="N263" s="22"/>
      <c r="O263" s="22"/>
      <c r="P263" s="22"/>
      <c r="Q263" s="22"/>
      <c r="R263" s="22"/>
      <c r="S263" s="571"/>
      <c r="T263" s="571"/>
      <c r="U263" s="571"/>
      <c r="V263" s="22"/>
      <c r="W263" s="22"/>
      <c r="X263" s="22"/>
      <c r="Y263" s="22"/>
      <c r="Z263" s="22"/>
      <c r="AA263" s="22"/>
      <c r="AB263" s="476"/>
      <c r="AC263" s="485"/>
      <c r="AD263" s="449"/>
      <c r="AE263" s="485"/>
      <c r="AF263" s="449"/>
      <c r="AG263" s="449"/>
      <c r="AH263" s="22"/>
      <c r="AI263" s="22"/>
      <c r="AJ263" s="449"/>
      <c r="AK263" s="449"/>
      <c r="AL263" s="449"/>
      <c r="AM263" s="449"/>
      <c r="AN263" s="449"/>
      <c r="AO263" s="449"/>
      <c r="AP263" s="449"/>
      <c r="AQ263" s="449"/>
      <c r="AR263" s="449"/>
      <c r="AS263" s="449"/>
      <c r="AT263" s="449"/>
      <c r="AU263" s="489"/>
      <c r="AV263" s="449"/>
      <c r="AW263" s="485"/>
      <c r="AX263" s="22"/>
      <c r="AY263" s="22"/>
      <c r="AZ263" s="22"/>
      <c r="BA263" s="22"/>
      <c r="BB263" s="760"/>
      <c r="BC263" s="760"/>
      <c r="BD263" s="22"/>
      <c r="BE263" s="22"/>
      <c r="BF263" s="22"/>
      <c r="BG263" s="22"/>
      <c r="BH263" s="22"/>
      <c r="BI263" s="22"/>
      <c r="BJ263" s="22"/>
      <c r="BK263" s="22"/>
      <c r="BL263" s="22"/>
      <c r="BM263" s="22"/>
      <c r="BN263" s="22"/>
      <c r="CG263" s="22"/>
      <c r="CH263" s="565"/>
    </row>
    <row r="264" spans="9:86" ht="19.5" customHeight="1">
      <c r="I264" s="18"/>
      <c r="J264" s="19"/>
      <c r="K264" s="19"/>
      <c r="L264" s="20"/>
      <c r="M264" s="22"/>
      <c r="N264" s="22"/>
      <c r="O264" s="22"/>
      <c r="P264" s="22"/>
      <c r="Q264" s="22"/>
      <c r="R264" s="22"/>
      <c r="S264" s="571"/>
      <c r="T264" s="571"/>
      <c r="U264" s="571"/>
      <c r="V264" s="22"/>
      <c r="W264" s="22"/>
      <c r="X264" s="22"/>
      <c r="Y264" s="22"/>
      <c r="Z264" s="22"/>
      <c r="AA264" s="22"/>
      <c r="AB264" s="476"/>
      <c r="AC264" s="485"/>
      <c r="AD264" s="449"/>
      <c r="AE264" s="485"/>
      <c r="AF264" s="449"/>
      <c r="AG264" s="449"/>
      <c r="AH264" s="22"/>
      <c r="AI264" s="22"/>
      <c r="AJ264" s="449"/>
      <c r="AK264" s="449"/>
      <c r="AL264" s="449"/>
      <c r="AM264" s="449"/>
      <c r="AN264" s="449"/>
      <c r="AO264" s="449"/>
      <c r="AP264" s="449"/>
      <c r="AQ264" s="449"/>
      <c r="AR264" s="449"/>
      <c r="AS264" s="449"/>
      <c r="AT264" s="449"/>
      <c r="AU264" s="489"/>
      <c r="AV264" s="449"/>
      <c r="AW264" s="485"/>
      <c r="AX264" s="22"/>
      <c r="AY264" s="22"/>
      <c r="AZ264" s="22"/>
      <c r="BA264" s="22"/>
      <c r="BB264" s="760"/>
      <c r="BC264" s="760"/>
      <c r="BD264" s="22"/>
      <c r="BE264" s="22"/>
      <c r="BF264" s="22"/>
      <c r="BG264" s="22"/>
      <c r="BH264" s="22"/>
      <c r="BI264" s="22"/>
      <c r="BJ264" s="22"/>
      <c r="BK264" s="22"/>
      <c r="BL264" s="22"/>
      <c r="BM264" s="22"/>
      <c r="BN264" s="22"/>
      <c r="CG264" s="22"/>
      <c r="CH264" s="565"/>
    </row>
    <row r="265" spans="9:86" ht="19.5" customHeight="1">
      <c r="I265" s="18"/>
      <c r="J265" s="19"/>
      <c r="K265" s="19"/>
      <c r="L265" s="20"/>
      <c r="M265" s="22"/>
      <c r="N265" s="22"/>
      <c r="O265" s="22"/>
      <c r="P265" s="22"/>
      <c r="Q265" s="22"/>
      <c r="R265" s="22"/>
      <c r="S265" s="571"/>
      <c r="T265" s="571"/>
      <c r="U265" s="571"/>
      <c r="V265" s="22"/>
      <c r="W265" s="22"/>
      <c r="X265" s="22"/>
      <c r="Y265" s="22"/>
      <c r="Z265" s="22"/>
      <c r="AA265" s="22"/>
      <c r="AB265" s="476"/>
      <c r="AC265" s="485"/>
      <c r="AD265" s="449"/>
      <c r="AE265" s="485"/>
      <c r="AF265" s="449"/>
      <c r="AG265" s="449"/>
      <c r="AH265" s="22"/>
      <c r="AI265" s="22"/>
      <c r="AJ265" s="449"/>
      <c r="AK265" s="449"/>
      <c r="AL265" s="449"/>
      <c r="AM265" s="449"/>
      <c r="AN265" s="449"/>
      <c r="AO265" s="449"/>
      <c r="AP265" s="449"/>
      <c r="AQ265" s="449"/>
      <c r="AR265" s="449"/>
      <c r="AS265" s="449"/>
      <c r="AT265" s="449"/>
      <c r="AU265" s="489"/>
      <c r="AV265" s="449"/>
      <c r="AW265" s="485"/>
      <c r="AX265" s="22"/>
      <c r="AY265" s="22"/>
      <c r="AZ265" s="22"/>
      <c r="BA265" s="22"/>
      <c r="BB265" s="760"/>
      <c r="BC265" s="760"/>
      <c r="BD265" s="22"/>
      <c r="BE265" s="22"/>
      <c r="BF265" s="22"/>
      <c r="BG265" s="22"/>
      <c r="BH265" s="22"/>
      <c r="BI265" s="22"/>
      <c r="BJ265" s="22"/>
      <c r="BK265" s="22"/>
      <c r="BL265" s="22"/>
      <c r="BM265" s="22"/>
      <c r="BN265" s="22"/>
      <c r="CG265" s="22"/>
      <c r="CH265" s="565"/>
    </row>
    <row r="266" spans="9:86" ht="19.5" customHeight="1">
      <c r="I266" s="18"/>
      <c r="J266" s="19"/>
      <c r="K266" s="19"/>
      <c r="L266" s="20"/>
      <c r="M266" s="22"/>
      <c r="N266" s="22"/>
      <c r="O266" s="22"/>
      <c r="P266" s="22"/>
      <c r="Q266" s="22"/>
      <c r="R266" s="22"/>
      <c r="S266" s="571"/>
      <c r="T266" s="571"/>
      <c r="U266" s="571"/>
      <c r="V266" s="22"/>
      <c r="W266" s="22"/>
      <c r="X266" s="22"/>
      <c r="Y266" s="22"/>
      <c r="Z266" s="22"/>
      <c r="AA266" s="22"/>
      <c r="AB266" s="476"/>
      <c r="AC266" s="485"/>
      <c r="AD266" s="449"/>
      <c r="AE266" s="485"/>
      <c r="AF266" s="449"/>
      <c r="AG266" s="449"/>
      <c r="AH266" s="22"/>
      <c r="AI266" s="22"/>
      <c r="AJ266" s="449"/>
      <c r="AK266" s="449"/>
      <c r="AL266" s="449"/>
      <c r="AM266" s="449"/>
      <c r="AN266" s="449"/>
      <c r="AO266" s="449"/>
      <c r="AP266" s="449"/>
      <c r="AQ266" s="449"/>
      <c r="AR266" s="449"/>
      <c r="AS266" s="449"/>
      <c r="AT266" s="449"/>
      <c r="AU266" s="489"/>
      <c r="AV266" s="449"/>
      <c r="AW266" s="485"/>
      <c r="AX266" s="22"/>
      <c r="AY266" s="22"/>
      <c r="AZ266" s="22"/>
      <c r="BA266" s="22"/>
      <c r="BB266" s="760"/>
      <c r="BC266" s="760"/>
      <c r="BD266" s="22"/>
      <c r="BE266" s="22"/>
      <c r="BF266" s="22"/>
      <c r="BG266" s="22"/>
      <c r="BH266" s="22"/>
      <c r="BI266" s="22"/>
      <c r="BJ266" s="22"/>
      <c r="BK266" s="22"/>
      <c r="BL266" s="22"/>
      <c r="BM266" s="22"/>
      <c r="BN266" s="22"/>
      <c r="CG266" s="22"/>
      <c r="CH266" s="565"/>
    </row>
    <row r="267" spans="9:86" ht="19.5" customHeight="1">
      <c r="I267" s="18"/>
      <c r="J267" s="19"/>
      <c r="K267" s="19"/>
      <c r="L267" s="20"/>
      <c r="M267" s="22"/>
      <c r="N267" s="22"/>
      <c r="O267" s="22"/>
      <c r="P267" s="22"/>
      <c r="Q267" s="22"/>
      <c r="R267" s="22"/>
      <c r="S267" s="571"/>
      <c r="T267" s="571"/>
      <c r="U267" s="571"/>
      <c r="V267" s="22"/>
      <c r="W267" s="22"/>
      <c r="X267" s="22"/>
      <c r="Y267" s="22"/>
      <c r="Z267" s="22"/>
      <c r="AA267" s="22"/>
      <c r="AB267" s="476"/>
      <c r="AC267" s="485"/>
      <c r="AD267" s="449"/>
      <c r="AE267" s="485"/>
      <c r="AF267" s="449"/>
      <c r="AG267" s="449"/>
      <c r="AH267" s="22"/>
      <c r="AI267" s="22"/>
      <c r="AJ267" s="449"/>
      <c r="AK267" s="449"/>
      <c r="AL267" s="449"/>
      <c r="AM267" s="449"/>
      <c r="AN267" s="449"/>
      <c r="AO267" s="449"/>
      <c r="AP267" s="449"/>
      <c r="AQ267" s="449"/>
      <c r="AR267" s="449"/>
      <c r="AS267" s="449"/>
      <c r="AT267" s="449"/>
      <c r="AU267" s="489"/>
      <c r="AV267" s="449"/>
      <c r="AW267" s="485"/>
      <c r="AX267" s="22"/>
      <c r="AY267" s="22"/>
      <c r="AZ267" s="22"/>
      <c r="BA267" s="22"/>
      <c r="BB267" s="760"/>
      <c r="BC267" s="760"/>
      <c r="BD267" s="22"/>
      <c r="BE267" s="22"/>
      <c r="BF267" s="22"/>
      <c r="BG267" s="22"/>
      <c r="BH267" s="22"/>
      <c r="BI267" s="22"/>
      <c r="BJ267" s="22"/>
      <c r="BK267" s="22"/>
      <c r="BL267" s="22"/>
      <c r="BM267" s="22"/>
      <c r="BN267" s="22"/>
      <c r="CG267" s="22"/>
      <c r="CH267" s="565"/>
    </row>
    <row r="268" spans="9:86" ht="19.5" customHeight="1">
      <c r="I268" s="18"/>
      <c r="J268" s="19"/>
      <c r="K268" s="19"/>
      <c r="L268" s="20"/>
      <c r="M268" s="22"/>
      <c r="N268" s="22"/>
      <c r="O268" s="22"/>
      <c r="P268" s="22"/>
      <c r="Q268" s="22"/>
      <c r="R268" s="22"/>
      <c r="S268" s="571"/>
      <c r="T268" s="571"/>
      <c r="U268" s="571"/>
      <c r="V268" s="22"/>
      <c r="W268" s="22"/>
      <c r="X268" s="22"/>
      <c r="Y268" s="22"/>
      <c r="Z268" s="22"/>
      <c r="AA268" s="22"/>
      <c r="AB268" s="476"/>
      <c r="AC268" s="485"/>
      <c r="AD268" s="449"/>
      <c r="AE268" s="485"/>
      <c r="AF268" s="449"/>
      <c r="AG268" s="449"/>
      <c r="AH268" s="22"/>
      <c r="AI268" s="22"/>
      <c r="AJ268" s="449"/>
      <c r="AK268" s="449"/>
      <c r="AL268" s="449"/>
      <c r="AM268" s="449"/>
      <c r="AN268" s="449"/>
      <c r="AO268" s="449"/>
      <c r="AP268" s="449"/>
      <c r="AQ268" s="449"/>
      <c r="AR268" s="449"/>
      <c r="AS268" s="449"/>
      <c r="AT268" s="449"/>
      <c r="AU268" s="489"/>
      <c r="AV268" s="449"/>
      <c r="AW268" s="485"/>
      <c r="AX268" s="22"/>
      <c r="AY268" s="22"/>
      <c r="AZ268" s="22"/>
      <c r="BA268" s="22"/>
      <c r="BB268" s="760"/>
      <c r="BC268" s="760"/>
      <c r="BD268" s="22"/>
      <c r="BE268" s="22"/>
      <c r="BF268" s="22"/>
      <c r="BG268" s="22"/>
      <c r="BH268" s="22"/>
      <c r="BI268" s="22"/>
      <c r="BJ268" s="22"/>
      <c r="BK268" s="22"/>
      <c r="BL268" s="22"/>
      <c r="BM268" s="22"/>
      <c r="BN268" s="22"/>
      <c r="CG268" s="22"/>
      <c r="CH268" s="565"/>
    </row>
    <row r="269" spans="9:86" ht="19.5" customHeight="1">
      <c r="I269" s="18"/>
      <c r="J269" s="19"/>
      <c r="K269" s="19"/>
      <c r="L269" s="20"/>
      <c r="M269" s="22"/>
      <c r="N269" s="22"/>
      <c r="O269" s="22"/>
      <c r="P269" s="22"/>
      <c r="Q269" s="22"/>
      <c r="R269" s="22"/>
      <c r="S269" s="571"/>
      <c r="T269" s="571"/>
      <c r="U269" s="571"/>
      <c r="V269" s="22"/>
      <c r="W269" s="22"/>
      <c r="X269" s="22"/>
      <c r="Y269" s="22"/>
      <c r="Z269" s="22"/>
      <c r="AA269" s="22"/>
      <c r="AB269" s="476"/>
      <c r="AC269" s="485"/>
      <c r="AD269" s="449"/>
      <c r="AE269" s="485"/>
      <c r="AF269" s="449"/>
      <c r="AG269" s="449"/>
      <c r="AH269" s="22"/>
      <c r="AI269" s="22"/>
      <c r="AJ269" s="449"/>
      <c r="AK269" s="449"/>
      <c r="AL269" s="449"/>
      <c r="AM269" s="449"/>
      <c r="AN269" s="449"/>
      <c r="AO269" s="449"/>
      <c r="AP269" s="449"/>
      <c r="AQ269" s="449"/>
      <c r="AR269" s="449"/>
      <c r="AS269" s="449"/>
      <c r="AT269" s="449"/>
      <c r="AU269" s="489"/>
      <c r="AV269" s="449"/>
      <c r="AW269" s="485"/>
      <c r="AX269" s="22"/>
      <c r="AY269" s="22"/>
      <c r="AZ269" s="22"/>
      <c r="BA269" s="22"/>
      <c r="BB269" s="760"/>
      <c r="BC269" s="760"/>
      <c r="BD269" s="22"/>
      <c r="BE269" s="22"/>
      <c r="BF269" s="22"/>
      <c r="BG269" s="22"/>
      <c r="BH269" s="22"/>
      <c r="BI269" s="22"/>
      <c r="BJ269" s="22"/>
      <c r="BK269" s="22"/>
      <c r="BL269" s="22"/>
      <c r="BM269" s="22"/>
      <c r="BN269" s="22"/>
      <c r="CG269" s="22"/>
      <c r="CH269" s="565"/>
    </row>
    <row r="270" spans="9:86" ht="19.5" customHeight="1">
      <c r="I270" s="18"/>
      <c r="J270" s="19"/>
      <c r="K270" s="19"/>
      <c r="L270" s="20"/>
      <c r="M270" s="22"/>
      <c r="N270" s="22"/>
      <c r="O270" s="22"/>
      <c r="P270" s="22"/>
      <c r="Q270" s="22"/>
      <c r="R270" s="22"/>
      <c r="S270" s="571"/>
      <c r="T270" s="571"/>
      <c r="U270" s="571"/>
      <c r="V270" s="22"/>
      <c r="W270" s="22"/>
      <c r="X270" s="22"/>
      <c r="Y270" s="22"/>
      <c r="Z270" s="22"/>
      <c r="AA270" s="22"/>
      <c r="AB270" s="476"/>
      <c r="AC270" s="485"/>
      <c r="AD270" s="449"/>
      <c r="AE270" s="485"/>
      <c r="AF270" s="449"/>
      <c r="AG270" s="449"/>
      <c r="AH270" s="22"/>
      <c r="AI270" s="22"/>
      <c r="AJ270" s="449"/>
      <c r="AK270" s="449"/>
      <c r="AL270" s="449"/>
      <c r="AM270" s="449"/>
      <c r="AN270" s="449"/>
      <c r="AO270" s="449"/>
      <c r="AP270" s="449"/>
      <c r="AQ270" s="449"/>
      <c r="AR270" s="449"/>
      <c r="AS270" s="449"/>
      <c r="AT270" s="449"/>
      <c r="AU270" s="489"/>
      <c r="AV270" s="449"/>
      <c r="AW270" s="485"/>
      <c r="AX270" s="22"/>
      <c r="AY270" s="22"/>
      <c r="AZ270" s="22"/>
      <c r="BA270" s="22"/>
      <c r="BB270" s="760"/>
      <c r="BC270" s="760"/>
      <c r="BD270" s="22"/>
      <c r="BE270" s="22"/>
      <c r="BF270" s="22"/>
      <c r="BG270" s="22"/>
      <c r="BH270" s="22"/>
      <c r="BI270" s="22"/>
      <c r="BJ270" s="22"/>
      <c r="BK270" s="22"/>
      <c r="BL270" s="22"/>
      <c r="BM270" s="22"/>
      <c r="BN270" s="22"/>
      <c r="CG270" s="22"/>
      <c r="CH270" s="565"/>
    </row>
    <row r="271" spans="9:86" ht="19.5" customHeight="1">
      <c r="I271" s="18"/>
      <c r="J271" s="19"/>
      <c r="K271" s="19"/>
      <c r="L271" s="20"/>
      <c r="M271" s="22"/>
      <c r="N271" s="22"/>
      <c r="O271" s="22"/>
      <c r="P271" s="22"/>
      <c r="Q271" s="22"/>
      <c r="R271" s="22"/>
      <c r="S271" s="571"/>
      <c r="T271" s="571"/>
      <c r="U271" s="571"/>
      <c r="V271" s="22"/>
      <c r="W271" s="22"/>
      <c r="X271" s="22"/>
      <c r="Y271" s="22"/>
      <c r="Z271" s="22"/>
      <c r="AA271" s="22"/>
      <c r="AB271" s="476"/>
      <c r="AC271" s="485"/>
      <c r="AD271" s="449"/>
      <c r="AE271" s="485"/>
      <c r="AF271" s="449"/>
      <c r="AG271" s="449"/>
      <c r="AH271" s="22"/>
      <c r="AI271" s="22"/>
      <c r="AJ271" s="449"/>
      <c r="AK271" s="449"/>
      <c r="AL271" s="449"/>
      <c r="AM271" s="449"/>
      <c r="AN271" s="449"/>
      <c r="AO271" s="449"/>
      <c r="AP271" s="449"/>
      <c r="AQ271" s="449"/>
      <c r="AR271" s="449"/>
      <c r="AS271" s="449"/>
      <c r="AT271" s="449"/>
      <c r="AU271" s="489"/>
      <c r="AV271" s="449"/>
      <c r="AW271" s="485"/>
      <c r="AX271" s="22"/>
      <c r="AY271" s="22"/>
      <c r="AZ271" s="22"/>
      <c r="BA271" s="22"/>
      <c r="BB271" s="760"/>
      <c r="BC271" s="760"/>
      <c r="BD271" s="22"/>
      <c r="BE271" s="22"/>
      <c r="BF271" s="22"/>
      <c r="BG271" s="22"/>
      <c r="BH271" s="22"/>
      <c r="BI271" s="22"/>
      <c r="BJ271" s="22"/>
      <c r="BK271" s="22"/>
      <c r="BL271" s="22"/>
      <c r="BM271" s="22"/>
      <c r="BN271" s="22"/>
      <c r="CG271" s="22"/>
      <c r="CH271" s="565"/>
    </row>
    <row r="272" spans="9:86" ht="19.5" customHeight="1">
      <c r="I272" s="18"/>
      <c r="J272" s="19"/>
      <c r="K272" s="19"/>
      <c r="L272" s="20"/>
      <c r="M272" s="22"/>
      <c r="N272" s="22"/>
      <c r="O272" s="22"/>
      <c r="P272" s="22"/>
      <c r="Q272" s="22"/>
      <c r="R272" s="22"/>
      <c r="S272" s="571"/>
      <c r="T272" s="571"/>
      <c r="U272" s="571"/>
      <c r="V272" s="22"/>
      <c r="W272" s="22"/>
      <c r="X272" s="22"/>
      <c r="Y272" s="22"/>
      <c r="Z272" s="22"/>
      <c r="AA272" s="22"/>
      <c r="AB272" s="476"/>
      <c r="AC272" s="485"/>
      <c r="AD272" s="449"/>
      <c r="AE272" s="485"/>
      <c r="AF272" s="449"/>
      <c r="AG272" s="449"/>
      <c r="AH272" s="22"/>
      <c r="AI272" s="22"/>
      <c r="AJ272" s="449"/>
      <c r="AK272" s="449"/>
      <c r="AL272" s="449"/>
      <c r="AM272" s="449"/>
      <c r="AN272" s="449"/>
      <c r="AO272" s="449"/>
      <c r="AP272" s="449"/>
      <c r="AQ272" s="449"/>
      <c r="AR272" s="449"/>
      <c r="AS272" s="449"/>
      <c r="AT272" s="449"/>
      <c r="AU272" s="489"/>
      <c r="AV272" s="449"/>
      <c r="AW272" s="485"/>
      <c r="AX272" s="22"/>
      <c r="AY272" s="22"/>
      <c r="AZ272" s="22"/>
      <c r="BA272" s="22"/>
      <c r="BB272" s="760"/>
      <c r="BC272" s="760"/>
      <c r="BD272" s="22"/>
      <c r="BE272" s="22"/>
      <c r="BF272" s="22"/>
      <c r="BG272" s="22"/>
      <c r="BH272" s="22"/>
      <c r="BI272" s="22"/>
      <c r="BJ272" s="22"/>
      <c r="BK272" s="22"/>
      <c r="BL272" s="22"/>
      <c r="BM272" s="22"/>
      <c r="BN272" s="22"/>
      <c r="CG272" s="22"/>
      <c r="CH272" s="565"/>
    </row>
    <row r="273" spans="9:86" ht="19.5" customHeight="1">
      <c r="I273" s="18"/>
      <c r="J273" s="19"/>
      <c r="K273" s="19"/>
      <c r="L273" s="20"/>
      <c r="M273" s="22"/>
      <c r="N273" s="22"/>
      <c r="O273" s="22"/>
      <c r="P273" s="22"/>
      <c r="Q273" s="22"/>
      <c r="R273" s="22"/>
      <c r="S273" s="571"/>
      <c r="T273" s="571"/>
      <c r="U273" s="571"/>
      <c r="V273" s="22"/>
      <c r="W273" s="22"/>
      <c r="X273" s="22"/>
      <c r="Y273" s="22"/>
      <c r="Z273" s="22"/>
      <c r="AA273" s="22"/>
      <c r="AB273" s="476"/>
      <c r="AC273" s="485"/>
      <c r="AD273" s="449"/>
      <c r="AE273" s="485"/>
      <c r="AF273" s="449"/>
      <c r="AG273" s="449"/>
      <c r="AH273" s="22"/>
      <c r="AI273" s="22"/>
      <c r="AJ273" s="449"/>
      <c r="AK273" s="449"/>
      <c r="AL273" s="449"/>
      <c r="AM273" s="449"/>
      <c r="AN273" s="449"/>
      <c r="AO273" s="449"/>
      <c r="AP273" s="449"/>
      <c r="AQ273" s="449"/>
      <c r="AR273" s="449"/>
      <c r="AS273" s="449"/>
      <c r="AT273" s="449"/>
      <c r="AU273" s="489"/>
      <c r="AV273" s="449"/>
      <c r="AW273" s="485"/>
      <c r="AX273" s="22"/>
      <c r="AY273" s="22"/>
      <c r="AZ273" s="22"/>
      <c r="BA273" s="22"/>
      <c r="BB273" s="760"/>
      <c r="BC273" s="760"/>
      <c r="BD273" s="22"/>
      <c r="BE273" s="22"/>
      <c r="BF273" s="22"/>
      <c r="BG273" s="22"/>
      <c r="BH273" s="22"/>
      <c r="BI273" s="22"/>
      <c r="BJ273" s="22"/>
      <c r="BK273" s="22"/>
      <c r="BL273" s="22"/>
      <c r="BM273" s="22"/>
      <c r="BN273" s="22"/>
      <c r="CG273" s="22"/>
      <c r="CH273" s="565"/>
    </row>
    <row r="274" spans="9:86" ht="19.5" customHeight="1">
      <c r="I274" s="18"/>
      <c r="J274" s="19"/>
      <c r="K274" s="19"/>
      <c r="L274" s="20"/>
      <c r="M274" s="22"/>
      <c r="N274" s="22"/>
      <c r="O274" s="22"/>
      <c r="P274" s="22"/>
      <c r="Q274" s="22"/>
      <c r="R274" s="22"/>
      <c r="S274" s="571"/>
      <c r="T274" s="571"/>
      <c r="U274" s="571"/>
      <c r="V274" s="22"/>
      <c r="W274" s="22"/>
      <c r="X274" s="22"/>
      <c r="Y274" s="22"/>
      <c r="Z274" s="22"/>
      <c r="AA274" s="22"/>
      <c r="AB274" s="476"/>
      <c r="AC274" s="485"/>
      <c r="AD274" s="449"/>
      <c r="AE274" s="485"/>
      <c r="AF274" s="449"/>
      <c r="AG274" s="449"/>
      <c r="AH274" s="22"/>
      <c r="AI274" s="22"/>
      <c r="AJ274" s="449"/>
      <c r="AK274" s="449"/>
      <c r="AL274" s="449"/>
      <c r="AM274" s="449"/>
      <c r="AN274" s="449"/>
      <c r="AO274" s="449"/>
      <c r="AP274" s="449"/>
      <c r="AQ274" s="449"/>
      <c r="AR274" s="449"/>
      <c r="AS274" s="449"/>
      <c r="AT274" s="449"/>
      <c r="AU274" s="489"/>
      <c r="AV274" s="449"/>
      <c r="AW274" s="485"/>
      <c r="AX274" s="22"/>
      <c r="AY274" s="22"/>
      <c r="AZ274" s="22"/>
      <c r="BA274" s="22"/>
      <c r="BB274" s="760"/>
      <c r="BC274" s="760"/>
      <c r="BD274" s="22"/>
      <c r="BE274" s="22"/>
      <c r="BF274" s="22"/>
      <c r="BG274" s="22"/>
      <c r="BH274" s="22"/>
      <c r="BI274" s="22"/>
      <c r="BJ274" s="22"/>
      <c r="BK274" s="22"/>
      <c r="BL274" s="22"/>
      <c r="BM274" s="22"/>
      <c r="BN274" s="22"/>
      <c r="CG274" s="22"/>
      <c r="CH274" s="565"/>
    </row>
    <row r="275" spans="9:86" ht="19.5" customHeight="1">
      <c r="I275" s="18"/>
      <c r="J275" s="19"/>
      <c r="K275" s="19"/>
      <c r="L275" s="20"/>
      <c r="M275" s="22"/>
      <c r="N275" s="22"/>
      <c r="O275" s="22"/>
      <c r="P275" s="22"/>
      <c r="Q275" s="22"/>
      <c r="R275" s="22"/>
      <c r="S275" s="571"/>
      <c r="T275" s="571"/>
      <c r="U275" s="571"/>
      <c r="V275" s="22"/>
      <c r="W275" s="22"/>
      <c r="X275" s="22"/>
      <c r="Y275" s="22"/>
      <c r="Z275" s="22"/>
      <c r="AA275" s="22"/>
      <c r="AB275" s="476"/>
      <c r="AC275" s="485"/>
      <c r="AD275" s="449"/>
      <c r="AE275" s="485"/>
      <c r="AF275" s="449"/>
      <c r="AG275" s="449"/>
      <c r="AH275" s="22"/>
      <c r="AI275" s="22"/>
      <c r="AJ275" s="449"/>
      <c r="AK275" s="449"/>
      <c r="AL275" s="449"/>
      <c r="AM275" s="449"/>
      <c r="AN275" s="449"/>
      <c r="AO275" s="449"/>
      <c r="AP275" s="449"/>
      <c r="AQ275" s="449"/>
      <c r="AR275" s="449"/>
      <c r="AS275" s="449"/>
      <c r="AT275" s="449"/>
      <c r="AU275" s="489"/>
      <c r="AV275" s="449"/>
      <c r="AW275" s="485"/>
      <c r="AX275" s="22"/>
      <c r="AY275" s="22"/>
      <c r="AZ275" s="22"/>
      <c r="BA275" s="22"/>
      <c r="BB275" s="760"/>
      <c r="BC275" s="760"/>
      <c r="BD275" s="22"/>
      <c r="BE275" s="22"/>
      <c r="BF275" s="22"/>
      <c r="BG275" s="22"/>
      <c r="BH275" s="22"/>
      <c r="BI275" s="22"/>
      <c r="BJ275" s="22"/>
      <c r="BK275" s="22"/>
      <c r="BL275" s="22"/>
      <c r="BM275" s="22"/>
      <c r="BN275" s="22"/>
      <c r="CG275" s="22"/>
      <c r="CH275" s="565"/>
    </row>
    <row r="276" spans="9:86" ht="19.5" customHeight="1">
      <c r="I276" s="18"/>
      <c r="J276" s="19"/>
      <c r="K276" s="19"/>
      <c r="L276" s="20"/>
      <c r="M276" s="22"/>
      <c r="N276" s="22"/>
      <c r="O276" s="22"/>
      <c r="P276" s="22"/>
      <c r="Q276" s="22"/>
      <c r="R276" s="22"/>
      <c r="S276" s="571"/>
      <c r="T276" s="571"/>
      <c r="U276" s="571"/>
      <c r="V276" s="22"/>
      <c r="W276" s="22"/>
      <c r="X276" s="22"/>
      <c r="Y276" s="22"/>
      <c r="Z276" s="22"/>
      <c r="AA276" s="22"/>
      <c r="AB276" s="476"/>
      <c r="AC276" s="485"/>
      <c r="AD276" s="449"/>
      <c r="AE276" s="485"/>
      <c r="AF276" s="449"/>
      <c r="AG276" s="449"/>
      <c r="AH276" s="22"/>
      <c r="AI276" s="22"/>
      <c r="AJ276" s="449"/>
      <c r="AK276" s="449"/>
      <c r="AL276" s="449"/>
      <c r="AM276" s="449"/>
      <c r="AN276" s="449"/>
      <c r="AO276" s="449"/>
      <c r="AP276" s="449"/>
      <c r="AQ276" s="449"/>
      <c r="AR276" s="449"/>
      <c r="AS276" s="449"/>
      <c r="AT276" s="449"/>
      <c r="AU276" s="489"/>
      <c r="AV276" s="449"/>
      <c r="AW276" s="485"/>
      <c r="AX276" s="22"/>
      <c r="AY276" s="22"/>
      <c r="AZ276" s="22"/>
      <c r="BA276" s="22"/>
      <c r="BB276" s="760"/>
      <c r="BC276" s="760"/>
      <c r="BD276" s="22"/>
      <c r="BE276" s="22"/>
      <c r="BF276" s="22"/>
      <c r="BG276" s="22"/>
      <c r="BH276" s="22"/>
      <c r="BI276" s="22"/>
      <c r="BJ276" s="22"/>
      <c r="BK276" s="22"/>
      <c r="BL276" s="22"/>
      <c r="BM276" s="22"/>
      <c r="BN276" s="22"/>
      <c r="CG276" s="22"/>
      <c r="CH276" s="565"/>
    </row>
    <row r="277" spans="9:86" ht="19.5" customHeight="1">
      <c r="I277" s="18"/>
      <c r="J277" s="19"/>
      <c r="K277" s="19"/>
      <c r="L277" s="20"/>
      <c r="M277" s="22"/>
      <c r="N277" s="22"/>
      <c r="O277" s="22"/>
      <c r="P277" s="22"/>
      <c r="Q277" s="22"/>
      <c r="R277" s="22"/>
      <c r="S277" s="571"/>
      <c r="T277" s="571"/>
      <c r="U277" s="571"/>
      <c r="V277" s="22"/>
      <c r="W277" s="22"/>
      <c r="X277" s="22"/>
      <c r="Y277" s="22"/>
      <c r="Z277" s="22"/>
      <c r="AA277" s="22"/>
      <c r="AB277" s="476"/>
      <c r="AC277" s="485"/>
      <c r="AD277" s="449"/>
      <c r="AE277" s="485"/>
      <c r="AF277" s="449"/>
      <c r="AG277" s="449"/>
      <c r="AH277" s="22"/>
      <c r="AI277" s="22"/>
      <c r="AJ277" s="449"/>
      <c r="AK277" s="449"/>
      <c r="AL277" s="449"/>
      <c r="AM277" s="449"/>
      <c r="AN277" s="449"/>
      <c r="AO277" s="449"/>
      <c r="AP277" s="449"/>
      <c r="AQ277" s="449"/>
      <c r="AR277" s="449"/>
      <c r="AS277" s="449"/>
      <c r="AT277" s="449"/>
      <c r="AU277" s="489"/>
      <c r="AV277" s="449"/>
      <c r="AW277" s="485"/>
      <c r="AX277" s="22"/>
      <c r="AY277" s="22"/>
      <c r="AZ277" s="22"/>
      <c r="BA277" s="22"/>
      <c r="BB277" s="760"/>
      <c r="BC277" s="760"/>
      <c r="BD277" s="22"/>
      <c r="BE277" s="22"/>
      <c r="BF277" s="22"/>
      <c r="BG277" s="22"/>
      <c r="BH277" s="22"/>
      <c r="BI277" s="22"/>
      <c r="BJ277" s="22"/>
      <c r="BK277" s="22"/>
      <c r="BL277" s="22"/>
      <c r="BM277" s="22"/>
      <c r="BN277" s="22"/>
      <c r="CG277" s="22"/>
      <c r="CH277" s="565"/>
    </row>
    <row r="278" spans="9:86" ht="19.5" customHeight="1">
      <c r="I278" s="18"/>
      <c r="J278" s="19"/>
      <c r="K278" s="19"/>
      <c r="L278" s="20"/>
      <c r="M278" s="22"/>
      <c r="N278" s="22"/>
      <c r="O278" s="22"/>
      <c r="P278" s="22"/>
      <c r="Q278" s="22"/>
      <c r="R278" s="22"/>
      <c r="S278" s="571"/>
      <c r="T278" s="571"/>
      <c r="U278" s="571"/>
      <c r="V278" s="22"/>
      <c r="W278" s="22"/>
      <c r="X278" s="22"/>
      <c r="Y278" s="22"/>
      <c r="Z278" s="22"/>
      <c r="AA278" s="22"/>
      <c r="AB278" s="476"/>
      <c r="AC278" s="485"/>
      <c r="AD278" s="449"/>
      <c r="AE278" s="485"/>
      <c r="AF278" s="449"/>
      <c r="AG278" s="449"/>
      <c r="AH278" s="22"/>
      <c r="AI278" s="22"/>
      <c r="AJ278" s="449"/>
      <c r="AK278" s="449"/>
      <c r="AL278" s="449"/>
      <c r="AM278" s="449"/>
      <c r="AN278" s="449"/>
      <c r="AO278" s="449"/>
      <c r="AP278" s="449"/>
      <c r="AQ278" s="449"/>
      <c r="AR278" s="449"/>
      <c r="AS278" s="449"/>
      <c r="AT278" s="449"/>
      <c r="AU278" s="489"/>
      <c r="AV278" s="449"/>
      <c r="AW278" s="485"/>
      <c r="AX278" s="22"/>
      <c r="AY278" s="22"/>
      <c r="AZ278" s="22"/>
      <c r="BA278" s="22"/>
      <c r="BB278" s="760"/>
      <c r="BC278" s="760"/>
      <c r="BD278" s="22"/>
      <c r="BE278" s="22"/>
      <c r="BF278" s="22"/>
      <c r="BG278" s="22"/>
      <c r="BH278" s="22"/>
      <c r="BI278" s="22"/>
      <c r="BJ278" s="22"/>
      <c r="BK278" s="22"/>
      <c r="BL278" s="22"/>
      <c r="BM278" s="22"/>
      <c r="BN278" s="22"/>
      <c r="CG278" s="22"/>
      <c r="CH278" s="565"/>
    </row>
    <row r="279" spans="9:86" ht="19.5" customHeight="1">
      <c r="I279" s="18"/>
      <c r="J279" s="19"/>
      <c r="K279" s="19"/>
      <c r="L279" s="20"/>
      <c r="M279" s="22"/>
      <c r="N279" s="22"/>
      <c r="O279" s="22"/>
      <c r="P279" s="22"/>
      <c r="Q279" s="22"/>
      <c r="R279" s="22"/>
      <c r="S279" s="571"/>
      <c r="T279" s="571"/>
      <c r="U279" s="571"/>
      <c r="V279" s="22"/>
      <c r="W279" s="22"/>
      <c r="X279" s="22"/>
      <c r="Y279" s="22"/>
      <c r="Z279" s="22"/>
      <c r="AA279" s="22"/>
      <c r="AB279" s="476"/>
      <c r="AC279" s="485"/>
      <c r="AD279" s="449"/>
      <c r="AE279" s="485"/>
      <c r="AF279" s="449"/>
      <c r="AG279" s="449"/>
      <c r="AH279" s="22"/>
      <c r="AI279" s="22"/>
      <c r="AJ279" s="449"/>
      <c r="AK279" s="449"/>
      <c r="AL279" s="449"/>
      <c r="AM279" s="449"/>
      <c r="AN279" s="449"/>
      <c r="AO279" s="449"/>
      <c r="AP279" s="449"/>
      <c r="AQ279" s="449"/>
      <c r="AR279" s="449"/>
      <c r="AS279" s="449"/>
      <c r="AT279" s="449"/>
      <c r="AU279" s="489"/>
      <c r="AV279" s="449"/>
      <c r="AW279" s="485"/>
      <c r="AX279" s="22"/>
      <c r="AY279" s="22"/>
      <c r="AZ279" s="22"/>
      <c r="BA279" s="22"/>
      <c r="BB279" s="760"/>
      <c r="BC279" s="760"/>
      <c r="BD279" s="22"/>
      <c r="BE279" s="22"/>
      <c r="BF279" s="22"/>
      <c r="BG279" s="22"/>
      <c r="BH279" s="22"/>
      <c r="BI279" s="22"/>
      <c r="BJ279" s="22"/>
      <c r="BK279" s="22"/>
      <c r="BL279" s="22"/>
      <c r="BM279" s="22"/>
      <c r="BN279" s="22"/>
      <c r="CG279" s="22"/>
      <c r="CH279" s="565"/>
    </row>
    <row r="280" spans="9:86" ht="19.5" customHeight="1">
      <c r="I280" s="18"/>
      <c r="J280" s="19"/>
      <c r="K280" s="19"/>
      <c r="L280" s="20"/>
      <c r="M280" s="22"/>
      <c r="N280" s="22"/>
      <c r="O280" s="22"/>
      <c r="P280" s="22"/>
      <c r="Q280" s="22"/>
      <c r="R280" s="22"/>
      <c r="S280" s="571"/>
      <c r="T280" s="571"/>
      <c r="U280" s="571"/>
      <c r="V280" s="22"/>
      <c r="W280" s="22"/>
      <c r="X280" s="22"/>
      <c r="Y280" s="22"/>
      <c r="Z280" s="22"/>
      <c r="AA280" s="22"/>
      <c r="AB280" s="476"/>
      <c r="AC280" s="485"/>
      <c r="AD280" s="449"/>
      <c r="AE280" s="485"/>
      <c r="AF280" s="449"/>
      <c r="AG280" s="449"/>
      <c r="AH280" s="22"/>
      <c r="AI280" s="22"/>
      <c r="AJ280" s="449"/>
      <c r="AK280" s="449"/>
      <c r="AL280" s="449"/>
      <c r="AM280" s="449"/>
      <c r="AN280" s="449"/>
      <c r="AO280" s="449"/>
      <c r="AP280" s="449"/>
      <c r="AQ280" s="449"/>
      <c r="AR280" s="449"/>
      <c r="AS280" s="449"/>
      <c r="AT280" s="449"/>
      <c r="AU280" s="489"/>
      <c r="AV280" s="449"/>
      <c r="AW280" s="485"/>
      <c r="AX280" s="22"/>
      <c r="AY280" s="22"/>
      <c r="AZ280" s="22"/>
      <c r="BA280" s="22"/>
      <c r="BB280" s="760"/>
      <c r="BC280" s="760"/>
      <c r="BD280" s="22"/>
      <c r="BE280" s="22"/>
      <c r="BF280" s="22"/>
      <c r="BG280" s="22"/>
      <c r="BH280" s="22"/>
      <c r="BI280" s="22"/>
      <c r="BJ280" s="22"/>
      <c r="BK280" s="22"/>
      <c r="BL280" s="22"/>
      <c r="BM280" s="22"/>
      <c r="BN280" s="22"/>
      <c r="CG280" s="22"/>
      <c r="CH280" s="565"/>
    </row>
    <row r="281" spans="9:86" ht="19.5" customHeight="1">
      <c r="I281" s="18"/>
      <c r="J281" s="19"/>
      <c r="K281" s="19"/>
      <c r="L281" s="20"/>
      <c r="M281" s="22"/>
      <c r="N281" s="22"/>
      <c r="O281" s="22"/>
      <c r="P281" s="22"/>
      <c r="Q281" s="22"/>
      <c r="R281" s="22"/>
      <c r="S281" s="571"/>
      <c r="T281" s="571"/>
      <c r="U281" s="571"/>
      <c r="V281" s="22"/>
      <c r="W281" s="22"/>
      <c r="X281" s="22"/>
      <c r="Y281" s="22"/>
      <c r="Z281" s="22"/>
      <c r="AA281" s="22"/>
      <c r="AB281" s="476"/>
      <c r="AC281" s="485"/>
      <c r="AD281" s="449"/>
      <c r="AE281" s="485"/>
      <c r="AF281" s="449"/>
      <c r="AG281" s="449"/>
      <c r="AH281" s="22"/>
      <c r="AI281" s="22"/>
      <c r="AJ281" s="449"/>
      <c r="AK281" s="449"/>
      <c r="AL281" s="449"/>
      <c r="AM281" s="449"/>
      <c r="AN281" s="449"/>
      <c r="AO281" s="449"/>
      <c r="AP281" s="449"/>
      <c r="AQ281" s="449"/>
      <c r="AR281" s="449"/>
      <c r="AS281" s="449"/>
      <c r="AT281" s="449"/>
      <c r="AU281" s="489"/>
      <c r="AV281" s="449"/>
      <c r="AW281" s="485"/>
      <c r="AX281" s="22"/>
      <c r="AY281" s="22"/>
      <c r="AZ281" s="22"/>
      <c r="BA281" s="22"/>
      <c r="BB281" s="760"/>
      <c r="BC281" s="760"/>
      <c r="BD281" s="22"/>
      <c r="BE281" s="22"/>
      <c r="BF281" s="22"/>
      <c r="BG281" s="22"/>
      <c r="BH281" s="22"/>
      <c r="BI281" s="22"/>
      <c r="BJ281" s="22"/>
      <c r="BK281" s="22"/>
      <c r="BL281" s="22"/>
      <c r="BM281" s="22"/>
      <c r="BN281" s="22"/>
      <c r="CG281" s="22"/>
      <c r="CH281" s="565"/>
    </row>
    <row r="282" spans="9:86" ht="19.5" customHeight="1">
      <c r="I282" s="18"/>
      <c r="J282" s="19"/>
      <c r="K282" s="19"/>
      <c r="L282" s="20"/>
      <c r="M282" s="22"/>
      <c r="N282" s="22"/>
      <c r="O282" s="22"/>
      <c r="P282" s="22"/>
      <c r="Q282" s="22"/>
      <c r="R282" s="22"/>
      <c r="S282" s="571"/>
      <c r="T282" s="571"/>
      <c r="U282" s="571"/>
      <c r="V282" s="22"/>
      <c r="W282" s="22"/>
      <c r="X282" s="22"/>
      <c r="Y282" s="22"/>
      <c r="Z282" s="22"/>
      <c r="AA282" s="22"/>
      <c r="AB282" s="476"/>
      <c r="AC282" s="485"/>
      <c r="AD282" s="449"/>
      <c r="AE282" s="485"/>
      <c r="AF282" s="449"/>
      <c r="AG282" s="449"/>
      <c r="AH282" s="22"/>
      <c r="AI282" s="22"/>
      <c r="AJ282" s="449"/>
      <c r="AK282" s="449"/>
      <c r="AL282" s="449"/>
      <c r="AM282" s="449"/>
      <c r="AN282" s="449"/>
      <c r="AO282" s="449"/>
      <c r="AP282" s="449"/>
      <c r="AQ282" s="449"/>
      <c r="AR282" s="449"/>
      <c r="AS282" s="449"/>
      <c r="AT282" s="449"/>
      <c r="AU282" s="489"/>
      <c r="AV282" s="449"/>
      <c r="AW282" s="485"/>
      <c r="AX282" s="22"/>
      <c r="AY282" s="22"/>
      <c r="AZ282" s="22"/>
      <c r="BA282" s="22"/>
      <c r="BB282" s="760"/>
      <c r="BC282" s="760"/>
      <c r="BD282" s="22"/>
      <c r="BE282" s="22"/>
      <c r="BF282" s="22"/>
      <c r="BG282" s="22"/>
      <c r="BH282" s="22"/>
      <c r="BI282" s="22"/>
      <c r="BJ282" s="22"/>
      <c r="BK282" s="22"/>
      <c r="BL282" s="22"/>
      <c r="BM282" s="22"/>
      <c r="BN282" s="22"/>
      <c r="CG282" s="22"/>
      <c r="CH282" s="565"/>
    </row>
    <row r="283" spans="9:86" ht="19.5" customHeight="1">
      <c r="I283" s="18"/>
      <c r="J283" s="19"/>
      <c r="K283" s="19"/>
      <c r="L283" s="20"/>
      <c r="M283" s="22"/>
      <c r="N283" s="22"/>
      <c r="O283" s="22"/>
      <c r="P283" s="22"/>
      <c r="Q283" s="22"/>
      <c r="R283" s="22"/>
      <c r="S283" s="571"/>
      <c r="T283" s="571"/>
      <c r="U283" s="571"/>
      <c r="V283" s="22"/>
      <c r="W283" s="22"/>
      <c r="X283" s="22"/>
      <c r="Y283" s="22"/>
      <c r="Z283" s="22"/>
      <c r="AA283" s="22"/>
      <c r="AB283" s="476"/>
      <c r="AC283" s="485"/>
      <c r="AD283" s="449"/>
      <c r="AE283" s="485"/>
      <c r="AF283" s="449"/>
      <c r="AG283" s="449"/>
      <c r="AH283" s="22"/>
      <c r="AI283" s="22"/>
      <c r="AJ283" s="449"/>
      <c r="AK283" s="449"/>
      <c r="AL283" s="449"/>
      <c r="AM283" s="449"/>
      <c r="AN283" s="449"/>
      <c r="AO283" s="449"/>
      <c r="AP283" s="449"/>
      <c r="AQ283" s="449"/>
      <c r="AR283" s="449"/>
      <c r="AS283" s="449"/>
      <c r="AT283" s="449"/>
      <c r="AU283" s="489"/>
      <c r="AV283" s="449"/>
      <c r="AW283" s="485"/>
      <c r="AX283" s="22"/>
      <c r="AY283" s="22"/>
      <c r="AZ283" s="22"/>
      <c r="BA283" s="22"/>
      <c r="BB283" s="760"/>
      <c r="BC283" s="760"/>
      <c r="BD283" s="22"/>
      <c r="BE283" s="22"/>
      <c r="BF283" s="22"/>
      <c r="BG283" s="22"/>
      <c r="BH283" s="22"/>
      <c r="BI283" s="22"/>
      <c r="BJ283" s="22"/>
      <c r="BK283" s="22"/>
      <c r="BL283" s="22"/>
      <c r="BM283" s="22"/>
      <c r="BN283" s="22"/>
      <c r="CG283" s="22"/>
      <c r="CH283" s="565"/>
    </row>
    <row r="284" spans="9:86" ht="19.5" customHeight="1">
      <c r="I284" s="18"/>
      <c r="J284" s="19"/>
      <c r="K284" s="19"/>
      <c r="L284" s="20"/>
      <c r="M284" s="22"/>
      <c r="N284" s="22"/>
      <c r="O284" s="22"/>
      <c r="P284" s="22"/>
      <c r="Q284" s="22"/>
      <c r="R284" s="22"/>
      <c r="S284" s="571"/>
      <c r="T284" s="571"/>
      <c r="U284" s="571"/>
      <c r="V284" s="22"/>
      <c r="W284" s="22"/>
      <c r="X284" s="22"/>
      <c r="Y284" s="22"/>
      <c r="Z284" s="22"/>
      <c r="AA284" s="22"/>
      <c r="AB284" s="476"/>
      <c r="AC284" s="485"/>
      <c r="AD284" s="449"/>
      <c r="AE284" s="485"/>
      <c r="AF284" s="449"/>
      <c r="AG284" s="449"/>
      <c r="AH284" s="22"/>
      <c r="AI284" s="22"/>
      <c r="AJ284" s="449"/>
      <c r="AK284" s="449"/>
      <c r="AL284" s="449"/>
      <c r="AM284" s="449"/>
      <c r="AN284" s="449"/>
      <c r="AO284" s="449"/>
      <c r="AP284" s="449"/>
      <c r="AQ284" s="449"/>
      <c r="AR284" s="449"/>
      <c r="AS284" s="449"/>
      <c r="AT284" s="449"/>
      <c r="AU284" s="489"/>
      <c r="AV284" s="449"/>
      <c r="AW284" s="485"/>
      <c r="AX284" s="22"/>
      <c r="AY284" s="22"/>
      <c r="AZ284" s="22"/>
      <c r="BA284" s="22"/>
      <c r="BB284" s="760"/>
      <c r="BC284" s="760"/>
      <c r="BD284" s="22"/>
      <c r="BE284" s="22"/>
      <c r="BF284" s="22"/>
      <c r="BG284" s="22"/>
      <c r="BH284" s="22"/>
      <c r="BI284" s="22"/>
      <c r="BJ284" s="22"/>
      <c r="BK284" s="22"/>
      <c r="BL284" s="22"/>
      <c r="BM284" s="22"/>
      <c r="BN284" s="22"/>
      <c r="CG284" s="22"/>
      <c r="CH284" s="565"/>
    </row>
    <row r="285" spans="9:86" ht="19.5" customHeight="1">
      <c r="I285" s="18"/>
      <c r="J285" s="19"/>
      <c r="K285" s="19"/>
      <c r="L285" s="20"/>
      <c r="M285" s="22"/>
      <c r="N285" s="22"/>
      <c r="O285" s="22"/>
      <c r="P285" s="22"/>
      <c r="Q285" s="22"/>
      <c r="R285" s="22"/>
      <c r="S285" s="571"/>
      <c r="T285" s="571"/>
      <c r="U285" s="571"/>
      <c r="V285" s="22"/>
      <c r="W285" s="22"/>
      <c r="X285" s="22"/>
      <c r="Y285" s="22"/>
      <c r="Z285" s="22"/>
      <c r="AA285" s="22"/>
      <c r="AB285" s="476"/>
      <c r="AC285" s="485"/>
      <c r="AD285" s="449"/>
      <c r="AE285" s="485"/>
      <c r="AF285" s="449"/>
      <c r="AG285" s="449"/>
      <c r="AH285" s="22"/>
      <c r="AI285" s="22"/>
      <c r="AJ285" s="449"/>
      <c r="AK285" s="449"/>
      <c r="AL285" s="449"/>
      <c r="AM285" s="449"/>
      <c r="AN285" s="449"/>
      <c r="AO285" s="449"/>
      <c r="AP285" s="449"/>
      <c r="AQ285" s="449"/>
      <c r="AR285" s="449"/>
      <c r="AS285" s="449"/>
      <c r="AT285" s="449"/>
      <c r="AU285" s="489"/>
      <c r="AV285" s="449"/>
      <c r="AW285" s="485"/>
      <c r="AX285" s="22"/>
      <c r="AY285" s="22"/>
      <c r="AZ285" s="22"/>
      <c r="BA285" s="22"/>
      <c r="BB285" s="760"/>
      <c r="BC285" s="760"/>
      <c r="BD285" s="22"/>
      <c r="BE285" s="22"/>
      <c r="BF285" s="22"/>
      <c r="BG285" s="22"/>
      <c r="BH285" s="22"/>
      <c r="BI285" s="22"/>
      <c r="BJ285" s="22"/>
      <c r="BK285" s="22"/>
      <c r="BL285" s="22"/>
      <c r="BM285" s="22"/>
      <c r="BN285" s="22"/>
      <c r="CG285" s="22"/>
      <c r="CH285" s="565"/>
    </row>
    <row r="286" spans="9:86" ht="19.5" customHeight="1">
      <c r="I286" s="18"/>
      <c r="J286" s="19"/>
      <c r="K286" s="19"/>
      <c r="L286" s="20"/>
      <c r="M286" s="22"/>
      <c r="N286" s="22"/>
      <c r="O286" s="22"/>
      <c r="P286" s="22"/>
      <c r="Q286" s="22"/>
      <c r="R286" s="22"/>
      <c r="S286" s="571"/>
      <c r="T286" s="571"/>
      <c r="U286" s="571"/>
      <c r="V286" s="22"/>
      <c r="W286" s="22"/>
      <c r="X286" s="22"/>
      <c r="Y286" s="22"/>
      <c r="Z286" s="22"/>
      <c r="AA286" s="22"/>
      <c r="AB286" s="476"/>
      <c r="AC286" s="485"/>
      <c r="AD286" s="449"/>
      <c r="AE286" s="485"/>
      <c r="AF286" s="449"/>
      <c r="AG286" s="449"/>
      <c r="AH286" s="22"/>
      <c r="AI286" s="22"/>
      <c r="AJ286" s="449"/>
      <c r="AK286" s="449"/>
      <c r="AL286" s="449"/>
      <c r="AM286" s="449"/>
      <c r="AN286" s="449"/>
      <c r="AO286" s="449"/>
      <c r="AP286" s="449"/>
      <c r="AQ286" s="449"/>
      <c r="AR286" s="449"/>
      <c r="AS286" s="449"/>
      <c r="AT286" s="449"/>
      <c r="AU286" s="489"/>
      <c r="AV286" s="449"/>
      <c r="AW286" s="485"/>
      <c r="AX286" s="22"/>
      <c r="AY286" s="22"/>
      <c r="AZ286" s="22"/>
      <c r="BA286" s="22"/>
      <c r="BB286" s="760"/>
      <c r="BC286" s="760"/>
      <c r="BD286" s="22"/>
      <c r="BE286" s="22"/>
      <c r="BF286" s="22"/>
      <c r="BG286" s="22"/>
      <c r="BH286" s="22"/>
      <c r="BI286" s="22"/>
      <c r="BJ286" s="22"/>
      <c r="BK286" s="22"/>
      <c r="BL286" s="22"/>
      <c r="BM286" s="22"/>
      <c r="BN286" s="22"/>
      <c r="CG286" s="22"/>
      <c r="CH286" s="565"/>
    </row>
    <row r="287" spans="9:86" ht="19.5" customHeight="1">
      <c r="I287" s="18"/>
      <c r="J287" s="19"/>
      <c r="K287" s="19"/>
      <c r="L287" s="20"/>
      <c r="M287" s="22"/>
      <c r="N287" s="22"/>
      <c r="O287" s="22"/>
      <c r="P287" s="22"/>
      <c r="Q287" s="22"/>
      <c r="R287" s="22"/>
      <c r="S287" s="571"/>
      <c r="T287" s="571"/>
      <c r="U287" s="571"/>
      <c r="V287" s="22"/>
      <c r="W287" s="22"/>
      <c r="X287" s="22"/>
      <c r="Y287" s="22"/>
      <c r="Z287" s="22"/>
      <c r="AA287" s="22"/>
      <c r="AB287" s="476"/>
      <c r="AC287" s="485"/>
      <c r="AD287" s="449"/>
      <c r="AE287" s="485"/>
      <c r="AF287" s="449"/>
      <c r="AG287" s="449"/>
      <c r="AH287" s="22"/>
      <c r="AI287" s="22"/>
      <c r="AJ287" s="449"/>
      <c r="AK287" s="449"/>
      <c r="AL287" s="449"/>
      <c r="AM287" s="449"/>
      <c r="AN287" s="449"/>
      <c r="AO287" s="449"/>
      <c r="AP287" s="449"/>
      <c r="AQ287" s="449"/>
      <c r="AR287" s="449"/>
      <c r="AS287" s="449"/>
      <c r="AT287" s="449"/>
      <c r="AU287" s="489"/>
      <c r="AV287" s="449"/>
      <c r="AW287" s="485"/>
      <c r="AX287" s="22"/>
      <c r="AY287" s="22"/>
      <c r="AZ287" s="22"/>
      <c r="BA287" s="22"/>
      <c r="BB287" s="760"/>
      <c r="BC287" s="760"/>
      <c r="BD287" s="22"/>
      <c r="BE287" s="22"/>
      <c r="BF287" s="22"/>
      <c r="BG287" s="22"/>
      <c r="BH287" s="22"/>
      <c r="BI287" s="22"/>
      <c r="BJ287" s="22"/>
      <c r="BK287" s="22"/>
      <c r="BL287" s="22"/>
      <c r="BM287" s="22"/>
      <c r="BN287" s="22"/>
      <c r="CG287" s="22"/>
      <c r="CH287" s="565"/>
    </row>
    <row r="288" spans="9:86" ht="19.5" customHeight="1">
      <c r="I288" s="18"/>
      <c r="J288" s="19"/>
      <c r="K288" s="19"/>
      <c r="L288" s="20"/>
      <c r="M288" s="22"/>
      <c r="N288" s="22"/>
      <c r="O288" s="22"/>
      <c r="P288" s="22"/>
      <c r="Q288" s="22"/>
      <c r="R288" s="22"/>
      <c r="S288" s="571"/>
      <c r="T288" s="571"/>
      <c r="U288" s="571"/>
      <c r="V288" s="22"/>
      <c r="W288" s="22"/>
      <c r="X288" s="22"/>
      <c r="Y288" s="22"/>
      <c r="Z288" s="22"/>
      <c r="AA288" s="22"/>
      <c r="AB288" s="476"/>
      <c r="AC288" s="485"/>
      <c r="AD288" s="449"/>
      <c r="AE288" s="485"/>
      <c r="AF288" s="449"/>
      <c r="AG288" s="449"/>
      <c r="AH288" s="22"/>
      <c r="AI288" s="22"/>
      <c r="AJ288" s="449"/>
      <c r="AK288" s="449"/>
      <c r="AL288" s="449"/>
      <c r="AM288" s="449"/>
      <c r="AN288" s="449"/>
      <c r="AO288" s="449"/>
      <c r="AP288" s="449"/>
      <c r="AQ288" s="449"/>
      <c r="AR288" s="449"/>
      <c r="AS288" s="449"/>
      <c r="AT288" s="449"/>
      <c r="AU288" s="489"/>
      <c r="AV288" s="449"/>
      <c r="AW288" s="485"/>
      <c r="AX288" s="22"/>
      <c r="AY288" s="22"/>
      <c r="AZ288" s="22"/>
      <c r="BA288" s="22"/>
      <c r="BB288" s="760"/>
      <c r="BC288" s="760"/>
      <c r="BD288" s="22"/>
      <c r="BE288" s="22"/>
      <c r="BF288" s="22"/>
      <c r="BG288" s="22"/>
      <c r="BH288" s="22"/>
      <c r="BI288" s="22"/>
      <c r="BJ288" s="22"/>
      <c r="BK288" s="22"/>
      <c r="BL288" s="22"/>
      <c r="BM288" s="22"/>
      <c r="BN288" s="22"/>
      <c r="CG288" s="22"/>
      <c r="CH288" s="565"/>
    </row>
    <row r="289" spans="9:86" ht="19.5" customHeight="1">
      <c r="I289" s="18"/>
      <c r="J289" s="19"/>
      <c r="K289" s="19"/>
      <c r="L289" s="20"/>
      <c r="M289" s="22"/>
      <c r="N289" s="22"/>
      <c r="O289" s="22"/>
      <c r="P289" s="22"/>
      <c r="Q289" s="22"/>
      <c r="R289" s="22"/>
      <c r="S289" s="571"/>
      <c r="T289" s="571"/>
      <c r="U289" s="571"/>
      <c r="V289" s="22"/>
      <c r="W289" s="22"/>
      <c r="X289" s="22"/>
      <c r="Y289" s="22"/>
      <c r="Z289" s="22"/>
      <c r="AA289" s="22"/>
      <c r="AB289" s="476"/>
      <c r="AC289" s="485"/>
      <c r="AD289" s="449"/>
      <c r="AE289" s="485"/>
      <c r="AF289" s="449"/>
      <c r="AG289" s="449"/>
      <c r="AH289" s="22"/>
      <c r="AI289" s="22"/>
      <c r="AJ289" s="449"/>
      <c r="AK289" s="449"/>
      <c r="AL289" s="449"/>
      <c r="AM289" s="449"/>
      <c r="AN289" s="449"/>
      <c r="AO289" s="449"/>
      <c r="AP289" s="449"/>
      <c r="AQ289" s="449"/>
      <c r="AR289" s="449"/>
      <c r="AS289" s="449"/>
      <c r="AT289" s="449"/>
      <c r="AU289" s="489"/>
      <c r="AV289" s="449"/>
      <c r="AW289" s="485"/>
      <c r="AX289" s="22"/>
      <c r="AY289" s="22"/>
      <c r="AZ289" s="22"/>
      <c r="BA289" s="22"/>
      <c r="BB289" s="760"/>
      <c r="BC289" s="760"/>
      <c r="BD289" s="22"/>
      <c r="BE289" s="22"/>
      <c r="BF289" s="22"/>
      <c r="BG289" s="22"/>
      <c r="BH289" s="22"/>
      <c r="BI289" s="22"/>
      <c r="BJ289" s="22"/>
      <c r="BK289" s="22"/>
      <c r="BL289" s="22"/>
      <c r="BM289" s="22"/>
      <c r="BN289" s="22"/>
      <c r="CG289" s="22"/>
      <c r="CH289" s="565"/>
    </row>
    <row r="290" spans="9:86" ht="19.5" customHeight="1">
      <c r="I290" s="18"/>
      <c r="J290" s="19"/>
      <c r="K290" s="19"/>
      <c r="L290" s="20"/>
      <c r="M290" s="22"/>
      <c r="N290" s="22"/>
      <c r="O290" s="22"/>
      <c r="P290" s="22"/>
      <c r="Q290" s="22"/>
      <c r="R290" s="22"/>
      <c r="S290" s="571"/>
      <c r="T290" s="571"/>
      <c r="U290" s="571"/>
      <c r="V290" s="22"/>
      <c r="W290" s="22"/>
      <c r="X290" s="22"/>
      <c r="Y290" s="22"/>
      <c r="Z290" s="22"/>
      <c r="AA290" s="22"/>
      <c r="AB290" s="476"/>
      <c r="AC290" s="485"/>
      <c r="AD290" s="449"/>
      <c r="AE290" s="485"/>
      <c r="AF290" s="449"/>
      <c r="AG290" s="449"/>
      <c r="AH290" s="22"/>
      <c r="AI290" s="22"/>
      <c r="AJ290" s="449"/>
      <c r="AK290" s="449"/>
      <c r="AL290" s="449"/>
      <c r="AM290" s="449"/>
      <c r="AN290" s="449"/>
      <c r="AO290" s="449"/>
      <c r="AP290" s="449"/>
      <c r="AQ290" s="449"/>
      <c r="AR290" s="449"/>
      <c r="AS290" s="449"/>
      <c r="AT290" s="449"/>
      <c r="AU290" s="489"/>
      <c r="AV290" s="449"/>
      <c r="AW290" s="485"/>
      <c r="AX290" s="22"/>
      <c r="AY290" s="22"/>
      <c r="AZ290" s="22"/>
      <c r="BA290" s="22"/>
      <c r="BB290" s="760"/>
      <c r="BC290" s="760"/>
      <c r="BD290" s="22"/>
      <c r="BE290" s="22"/>
      <c r="BF290" s="22"/>
      <c r="BG290" s="22"/>
      <c r="BH290" s="22"/>
      <c r="BI290" s="22"/>
      <c r="BJ290" s="22"/>
      <c r="BK290" s="22"/>
      <c r="BL290" s="22"/>
      <c r="BM290" s="22"/>
      <c r="BN290" s="22"/>
      <c r="CG290" s="22"/>
      <c r="CH290" s="565"/>
    </row>
    <row r="291" spans="9:86" ht="19.5" customHeight="1">
      <c r="I291" s="18"/>
      <c r="J291" s="19"/>
      <c r="K291" s="19"/>
      <c r="L291" s="20"/>
      <c r="M291" s="22"/>
      <c r="N291" s="22"/>
      <c r="O291" s="22"/>
      <c r="P291" s="22"/>
      <c r="Q291" s="22"/>
      <c r="R291" s="22"/>
      <c r="S291" s="571"/>
      <c r="T291" s="571"/>
      <c r="U291" s="571"/>
      <c r="V291" s="22"/>
      <c r="W291" s="22"/>
      <c r="X291" s="22"/>
      <c r="Y291" s="22"/>
      <c r="Z291" s="22"/>
      <c r="AA291" s="22"/>
      <c r="AB291" s="476"/>
      <c r="AC291" s="485"/>
      <c r="AD291" s="449"/>
      <c r="AE291" s="485"/>
      <c r="AF291" s="449"/>
      <c r="AG291" s="449"/>
      <c r="AH291" s="22"/>
      <c r="AI291" s="22"/>
      <c r="AJ291" s="449"/>
      <c r="AK291" s="449"/>
      <c r="AL291" s="449"/>
      <c r="AM291" s="449"/>
      <c r="AN291" s="449"/>
      <c r="AO291" s="449"/>
      <c r="AP291" s="449"/>
      <c r="AQ291" s="449"/>
      <c r="AR291" s="449"/>
      <c r="AS291" s="449"/>
      <c r="AT291" s="449"/>
      <c r="AU291" s="489"/>
      <c r="AV291" s="449"/>
      <c r="AW291" s="485"/>
      <c r="AX291" s="22"/>
      <c r="AY291" s="22"/>
      <c r="AZ291" s="22"/>
      <c r="BA291" s="22"/>
      <c r="BB291" s="760"/>
      <c r="BC291" s="760"/>
      <c r="BD291" s="22"/>
      <c r="BE291" s="22"/>
      <c r="BF291" s="22"/>
      <c r="BG291" s="22"/>
      <c r="BH291" s="22"/>
      <c r="BI291" s="22"/>
      <c r="BJ291" s="22"/>
      <c r="BK291" s="22"/>
      <c r="BL291" s="22"/>
      <c r="BM291" s="22"/>
      <c r="BN291" s="22"/>
      <c r="CG291" s="22"/>
      <c r="CH291" s="565"/>
    </row>
    <row r="292" spans="9:86" ht="19.5" customHeight="1">
      <c r="I292" s="18"/>
      <c r="J292" s="19"/>
      <c r="K292" s="19"/>
      <c r="L292" s="20"/>
      <c r="M292" s="22"/>
      <c r="N292" s="22"/>
      <c r="O292" s="22"/>
      <c r="P292" s="22"/>
      <c r="Q292" s="22"/>
      <c r="R292" s="22"/>
      <c r="S292" s="571"/>
      <c r="T292" s="571"/>
      <c r="U292" s="571"/>
      <c r="V292" s="22"/>
      <c r="W292" s="22"/>
      <c r="X292" s="22"/>
      <c r="Y292" s="22"/>
      <c r="Z292" s="22"/>
      <c r="AA292" s="22"/>
      <c r="AB292" s="476"/>
      <c r="AC292" s="485"/>
      <c r="AD292" s="449"/>
      <c r="AE292" s="485"/>
      <c r="AF292" s="449"/>
      <c r="AG292" s="449"/>
      <c r="AH292" s="22"/>
      <c r="AI292" s="22"/>
      <c r="AJ292" s="449"/>
      <c r="AK292" s="449"/>
      <c r="AL292" s="449"/>
      <c r="AM292" s="449"/>
      <c r="AN292" s="449"/>
      <c r="AO292" s="449"/>
      <c r="AP292" s="449"/>
      <c r="AQ292" s="449"/>
      <c r="AR292" s="449"/>
      <c r="AS292" s="449"/>
      <c r="AT292" s="449"/>
      <c r="AU292" s="489"/>
      <c r="AV292" s="449"/>
      <c r="AW292" s="485"/>
      <c r="AX292" s="22"/>
      <c r="AY292" s="22"/>
      <c r="AZ292" s="22"/>
      <c r="BA292" s="22"/>
      <c r="BB292" s="760"/>
      <c r="BC292" s="760"/>
      <c r="BD292" s="22"/>
      <c r="BE292" s="22"/>
      <c r="BF292" s="22"/>
      <c r="BG292" s="22"/>
      <c r="BH292" s="22"/>
      <c r="BI292" s="22"/>
      <c r="BJ292" s="22"/>
      <c r="BK292" s="22"/>
      <c r="BL292" s="22"/>
      <c r="BM292" s="22"/>
      <c r="BN292" s="22"/>
      <c r="CG292" s="22"/>
      <c r="CH292" s="565"/>
    </row>
    <row r="293" spans="9:86" ht="19.5" customHeight="1">
      <c r="I293" s="18"/>
      <c r="J293" s="19"/>
      <c r="K293" s="19"/>
      <c r="L293" s="20"/>
      <c r="M293" s="22"/>
      <c r="N293" s="22"/>
      <c r="O293" s="22"/>
      <c r="P293" s="22"/>
      <c r="Q293" s="22"/>
      <c r="R293" s="22"/>
      <c r="S293" s="571"/>
      <c r="T293" s="571"/>
      <c r="U293" s="571"/>
      <c r="V293" s="22"/>
      <c r="W293" s="22"/>
      <c r="X293" s="22"/>
      <c r="Y293" s="22"/>
      <c r="Z293" s="22"/>
      <c r="AA293" s="22"/>
      <c r="AB293" s="476"/>
      <c r="AC293" s="485"/>
      <c r="AD293" s="449"/>
      <c r="AE293" s="485"/>
      <c r="AF293" s="449"/>
      <c r="AG293" s="449"/>
      <c r="AH293" s="22"/>
      <c r="AI293" s="22"/>
      <c r="AJ293" s="449"/>
      <c r="AK293" s="449"/>
      <c r="AL293" s="449"/>
      <c r="AM293" s="449"/>
      <c r="AN293" s="449"/>
      <c r="AO293" s="449"/>
      <c r="AP293" s="449"/>
      <c r="AQ293" s="449"/>
      <c r="AR293" s="449"/>
      <c r="AS293" s="449"/>
      <c r="AT293" s="449"/>
      <c r="AU293" s="489"/>
      <c r="AV293" s="449"/>
      <c r="AW293" s="485"/>
      <c r="AX293" s="22"/>
      <c r="AY293" s="22"/>
      <c r="AZ293" s="22"/>
      <c r="BA293" s="22"/>
      <c r="BB293" s="760"/>
      <c r="BC293" s="760"/>
      <c r="BD293" s="22"/>
      <c r="BE293" s="22"/>
      <c r="BF293" s="22"/>
      <c r="BG293" s="22"/>
      <c r="BH293" s="22"/>
      <c r="BI293" s="22"/>
      <c r="BJ293" s="22"/>
      <c r="BK293" s="22"/>
      <c r="BL293" s="22"/>
      <c r="BM293" s="22"/>
      <c r="BN293" s="22"/>
      <c r="CG293" s="22"/>
      <c r="CH293" s="565"/>
    </row>
    <row r="294" spans="9:86" ht="19.5" customHeight="1">
      <c r="I294" s="18"/>
      <c r="J294" s="19"/>
      <c r="K294" s="19"/>
      <c r="L294" s="20"/>
      <c r="M294" s="22"/>
      <c r="N294" s="22"/>
      <c r="O294" s="22"/>
      <c r="P294" s="22"/>
      <c r="Q294" s="22"/>
      <c r="R294" s="22"/>
      <c r="S294" s="571"/>
      <c r="T294" s="571"/>
      <c r="U294" s="571"/>
      <c r="V294" s="22"/>
      <c r="W294" s="22"/>
      <c r="X294" s="22"/>
      <c r="Y294" s="22"/>
      <c r="Z294" s="22"/>
      <c r="AA294" s="22"/>
      <c r="AB294" s="476"/>
      <c r="AC294" s="485"/>
      <c r="AD294" s="449"/>
      <c r="AE294" s="485"/>
      <c r="AF294" s="449"/>
      <c r="AG294" s="449"/>
      <c r="AH294" s="22"/>
      <c r="AI294" s="22"/>
      <c r="AJ294" s="449"/>
      <c r="AK294" s="449"/>
      <c r="AL294" s="449"/>
      <c r="AM294" s="449"/>
      <c r="AN294" s="449"/>
      <c r="AO294" s="449"/>
      <c r="AP294" s="449"/>
      <c r="AQ294" s="449"/>
      <c r="AR294" s="449"/>
      <c r="AS294" s="449"/>
      <c r="AT294" s="449"/>
      <c r="AU294" s="489"/>
      <c r="AV294" s="449"/>
      <c r="AW294" s="485"/>
      <c r="AX294" s="22"/>
      <c r="AY294" s="22"/>
      <c r="AZ294" s="22"/>
      <c r="BA294" s="22"/>
      <c r="BB294" s="760"/>
      <c r="BC294" s="760"/>
      <c r="BD294" s="22"/>
      <c r="BE294" s="22"/>
      <c r="BF294" s="22"/>
      <c r="BG294" s="22"/>
      <c r="BH294" s="22"/>
      <c r="BI294" s="22"/>
      <c r="BJ294" s="22"/>
      <c r="BK294" s="22"/>
      <c r="BL294" s="22"/>
      <c r="BM294" s="22"/>
      <c r="BN294" s="22"/>
      <c r="CG294" s="22"/>
      <c r="CH294" s="565"/>
    </row>
    <row r="295" spans="9:86" ht="19.5" customHeight="1">
      <c r="I295" s="18"/>
      <c r="J295" s="19"/>
      <c r="K295" s="19"/>
      <c r="L295" s="20"/>
      <c r="M295" s="22"/>
      <c r="N295" s="22"/>
      <c r="O295" s="22"/>
      <c r="P295" s="22"/>
      <c r="Q295" s="22"/>
      <c r="R295" s="22"/>
      <c r="S295" s="571"/>
      <c r="T295" s="571"/>
      <c r="U295" s="571"/>
      <c r="V295" s="22"/>
      <c r="W295" s="22"/>
      <c r="X295" s="22"/>
      <c r="Y295" s="22"/>
      <c r="Z295" s="22"/>
      <c r="AA295" s="22"/>
      <c r="AB295" s="476"/>
      <c r="AC295" s="485"/>
      <c r="AD295" s="449"/>
      <c r="AE295" s="485"/>
      <c r="AF295" s="449"/>
      <c r="AG295" s="449"/>
      <c r="AH295" s="22"/>
      <c r="AI295" s="22"/>
      <c r="AJ295" s="449"/>
      <c r="AK295" s="449"/>
      <c r="AL295" s="449"/>
      <c r="AM295" s="449"/>
      <c r="AN295" s="449"/>
      <c r="AO295" s="449"/>
      <c r="AP295" s="449"/>
      <c r="AQ295" s="449"/>
      <c r="AR295" s="449"/>
      <c r="AS295" s="449"/>
      <c r="AT295" s="449"/>
      <c r="AU295" s="489"/>
      <c r="AV295" s="449"/>
      <c r="AW295" s="485"/>
      <c r="AX295" s="22"/>
      <c r="AY295" s="22"/>
      <c r="AZ295" s="22"/>
      <c r="BA295" s="22"/>
      <c r="BB295" s="760"/>
      <c r="BC295" s="760"/>
      <c r="BD295" s="22"/>
      <c r="BE295" s="22"/>
      <c r="BF295" s="22"/>
      <c r="BG295" s="22"/>
      <c r="BH295" s="22"/>
      <c r="BI295" s="22"/>
      <c r="BJ295" s="22"/>
      <c r="BK295" s="22"/>
      <c r="BL295" s="22"/>
      <c r="BM295" s="22"/>
      <c r="BN295" s="22"/>
      <c r="CG295" s="22"/>
      <c r="CH295" s="565"/>
    </row>
    <row r="296" spans="9:86" ht="19.5" customHeight="1">
      <c r="I296" s="18"/>
      <c r="J296" s="19"/>
      <c r="K296" s="19"/>
      <c r="L296" s="20"/>
      <c r="M296" s="22"/>
      <c r="N296" s="22"/>
      <c r="O296" s="22"/>
      <c r="P296" s="22"/>
      <c r="Q296" s="22"/>
      <c r="R296" s="22"/>
      <c r="S296" s="571"/>
      <c r="T296" s="571"/>
      <c r="U296" s="571"/>
      <c r="V296" s="22"/>
      <c r="W296" s="22"/>
      <c r="X296" s="22"/>
      <c r="Y296" s="22"/>
      <c r="Z296" s="22"/>
      <c r="AA296" s="22"/>
      <c r="AB296" s="476"/>
      <c r="AC296" s="485"/>
      <c r="AD296" s="449"/>
      <c r="AE296" s="485"/>
      <c r="AF296" s="449"/>
      <c r="AG296" s="449"/>
      <c r="AH296" s="22"/>
      <c r="AI296" s="22"/>
      <c r="AJ296" s="449"/>
      <c r="AK296" s="449"/>
      <c r="AL296" s="449"/>
      <c r="AM296" s="449"/>
      <c r="AN296" s="449"/>
      <c r="AO296" s="449"/>
      <c r="AP296" s="449"/>
      <c r="AQ296" s="449"/>
      <c r="AR296" s="449"/>
      <c r="AS296" s="449"/>
      <c r="AT296" s="449"/>
      <c r="AU296" s="489"/>
      <c r="AV296" s="449"/>
      <c r="AW296" s="485"/>
      <c r="AX296" s="22"/>
      <c r="AY296" s="22"/>
      <c r="AZ296" s="22"/>
      <c r="BA296" s="22"/>
      <c r="BB296" s="760"/>
      <c r="BC296" s="760"/>
      <c r="BD296" s="22"/>
      <c r="BE296" s="22"/>
      <c r="BF296" s="22"/>
      <c r="BG296" s="22"/>
      <c r="BH296" s="22"/>
      <c r="BI296" s="22"/>
      <c r="BJ296" s="22"/>
      <c r="BK296" s="22"/>
      <c r="BL296" s="22"/>
      <c r="BM296" s="22"/>
      <c r="BN296" s="22"/>
      <c r="CG296" s="22"/>
      <c r="CH296" s="565"/>
    </row>
    <row r="297" spans="9:86" ht="19.5" customHeight="1">
      <c r="I297" s="18"/>
      <c r="J297" s="19"/>
      <c r="K297" s="19"/>
      <c r="L297" s="20"/>
      <c r="M297" s="22"/>
      <c r="N297" s="22"/>
      <c r="O297" s="22"/>
      <c r="P297" s="22"/>
      <c r="Q297" s="22"/>
      <c r="R297" s="22"/>
      <c r="S297" s="571"/>
      <c r="T297" s="571"/>
      <c r="U297" s="571"/>
      <c r="V297" s="22"/>
      <c r="W297" s="22"/>
      <c r="X297" s="22"/>
      <c r="Y297" s="22"/>
      <c r="Z297" s="22"/>
      <c r="AA297" s="22"/>
      <c r="AB297" s="476"/>
      <c r="AC297" s="485"/>
      <c r="AD297" s="449"/>
      <c r="AE297" s="485"/>
      <c r="AF297" s="449"/>
      <c r="AG297" s="449"/>
      <c r="AH297" s="22"/>
      <c r="AI297" s="22"/>
      <c r="AJ297" s="449"/>
      <c r="AK297" s="449"/>
      <c r="AL297" s="449"/>
      <c r="AM297" s="449"/>
      <c r="AN297" s="449"/>
      <c r="AO297" s="449"/>
      <c r="AP297" s="449"/>
      <c r="AQ297" s="449"/>
      <c r="AR297" s="449"/>
      <c r="AS297" s="449"/>
      <c r="AT297" s="449"/>
      <c r="AU297" s="489"/>
      <c r="AV297" s="449"/>
      <c r="AW297" s="485"/>
      <c r="AX297" s="22"/>
      <c r="AY297" s="22"/>
      <c r="AZ297" s="22"/>
      <c r="BA297" s="22"/>
      <c r="BB297" s="760"/>
      <c r="BC297" s="760"/>
      <c r="BD297" s="22"/>
      <c r="BE297" s="22"/>
      <c r="BF297" s="22"/>
      <c r="BG297" s="22"/>
      <c r="BH297" s="22"/>
      <c r="BI297" s="22"/>
      <c r="BJ297" s="22"/>
      <c r="BK297" s="22"/>
      <c r="BL297" s="22"/>
      <c r="BM297" s="22"/>
      <c r="BN297" s="22"/>
      <c r="CG297" s="22"/>
      <c r="CH297" s="565"/>
    </row>
    <row r="298" spans="9:86" ht="19.5" customHeight="1">
      <c r="I298" s="18"/>
      <c r="J298" s="19"/>
      <c r="K298" s="19"/>
      <c r="L298" s="20"/>
      <c r="M298" s="22"/>
      <c r="N298" s="22"/>
      <c r="O298" s="22"/>
      <c r="P298" s="22"/>
      <c r="Q298" s="22"/>
      <c r="R298" s="22"/>
      <c r="S298" s="571"/>
      <c r="T298" s="571"/>
      <c r="U298" s="571"/>
      <c r="V298" s="22"/>
      <c r="W298" s="22"/>
      <c r="X298" s="22"/>
      <c r="Y298" s="22"/>
      <c r="Z298" s="22"/>
      <c r="AA298" s="22"/>
      <c r="AB298" s="476"/>
      <c r="AC298" s="485"/>
      <c r="AD298" s="449"/>
      <c r="AE298" s="485"/>
      <c r="AF298" s="449"/>
      <c r="AG298" s="449"/>
      <c r="AH298" s="22"/>
      <c r="AI298" s="22"/>
      <c r="AJ298" s="449"/>
      <c r="AK298" s="449"/>
      <c r="AL298" s="449"/>
      <c r="AM298" s="449"/>
      <c r="AN298" s="449"/>
      <c r="AO298" s="449"/>
      <c r="AP298" s="449"/>
      <c r="AQ298" s="449"/>
      <c r="AR298" s="449"/>
      <c r="AS298" s="449"/>
      <c r="AT298" s="449"/>
      <c r="AU298" s="489"/>
      <c r="AV298" s="449"/>
      <c r="AW298" s="485"/>
      <c r="AX298" s="22"/>
      <c r="AY298" s="22"/>
      <c r="AZ298" s="22"/>
      <c r="BA298" s="22"/>
      <c r="BB298" s="760"/>
      <c r="BC298" s="760"/>
      <c r="BD298" s="22"/>
      <c r="BE298" s="22"/>
      <c r="BF298" s="22"/>
      <c r="BG298" s="22"/>
      <c r="BH298" s="22"/>
      <c r="BI298" s="22"/>
      <c r="BJ298" s="22"/>
      <c r="BK298" s="22"/>
      <c r="BL298" s="22"/>
      <c r="BM298" s="22"/>
      <c r="BN298" s="22"/>
      <c r="CG298" s="22"/>
      <c r="CH298" s="565"/>
    </row>
    <row r="299" spans="9:86" ht="19.5" customHeight="1">
      <c r="I299" s="18"/>
      <c r="J299" s="19"/>
      <c r="K299" s="19"/>
      <c r="L299" s="20"/>
      <c r="M299" s="22"/>
      <c r="N299" s="22"/>
      <c r="O299" s="22"/>
      <c r="P299" s="22"/>
      <c r="Q299" s="22"/>
      <c r="R299" s="22"/>
      <c r="S299" s="571"/>
      <c r="T299" s="571"/>
      <c r="U299" s="571"/>
      <c r="V299" s="22"/>
      <c r="W299" s="22"/>
      <c r="X299" s="22"/>
      <c r="Y299" s="22"/>
      <c r="Z299" s="22"/>
      <c r="AA299" s="22"/>
      <c r="AB299" s="476"/>
      <c r="AC299" s="485"/>
      <c r="AD299" s="449"/>
      <c r="AE299" s="485"/>
      <c r="AF299" s="449"/>
      <c r="AG299" s="449"/>
      <c r="AH299" s="22"/>
      <c r="AI299" s="22"/>
      <c r="AJ299" s="449"/>
      <c r="AK299" s="449"/>
      <c r="AL299" s="449"/>
      <c r="AM299" s="449"/>
      <c r="AN299" s="449"/>
      <c r="AO299" s="449"/>
      <c r="AP299" s="449"/>
      <c r="AQ299" s="449"/>
      <c r="AR299" s="449"/>
      <c r="AS299" s="449"/>
      <c r="AT299" s="449"/>
      <c r="AU299" s="489"/>
      <c r="AV299" s="449"/>
      <c r="AW299" s="485"/>
      <c r="AX299" s="22"/>
      <c r="AY299" s="22"/>
      <c r="AZ299" s="22"/>
      <c r="BA299" s="22"/>
      <c r="BB299" s="760"/>
      <c r="BC299" s="760"/>
      <c r="BD299" s="22"/>
      <c r="BE299" s="22"/>
      <c r="BF299" s="22"/>
      <c r="BG299" s="22"/>
      <c r="BH299" s="22"/>
      <c r="BI299" s="22"/>
      <c r="BJ299" s="22"/>
      <c r="BK299" s="22"/>
      <c r="BL299" s="22"/>
      <c r="BM299" s="22"/>
      <c r="BN299" s="22"/>
      <c r="CG299" s="22"/>
      <c r="CH299" s="565"/>
    </row>
    <row r="300" spans="9:86" ht="19.5" customHeight="1">
      <c r="I300" s="18"/>
      <c r="J300" s="19"/>
      <c r="K300" s="19"/>
      <c r="L300" s="20"/>
      <c r="M300" s="22"/>
      <c r="N300" s="22"/>
      <c r="O300" s="22"/>
      <c r="P300" s="22"/>
      <c r="Q300" s="22"/>
      <c r="R300" s="22"/>
      <c r="S300" s="571"/>
      <c r="T300" s="571"/>
      <c r="U300" s="571"/>
      <c r="V300" s="22"/>
      <c r="W300" s="22"/>
      <c r="X300" s="22"/>
      <c r="Y300" s="22"/>
      <c r="Z300" s="22"/>
      <c r="AA300" s="22"/>
      <c r="AB300" s="476"/>
      <c r="AC300" s="485"/>
      <c r="AD300" s="449"/>
      <c r="AE300" s="485"/>
      <c r="AF300" s="449"/>
      <c r="AG300" s="449"/>
      <c r="AH300" s="22"/>
      <c r="AI300" s="22"/>
      <c r="AJ300" s="449"/>
      <c r="AK300" s="449"/>
      <c r="AL300" s="449"/>
      <c r="AM300" s="449"/>
      <c r="AN300" s="449"/>
      <c r="AO300" s="449"/>
      <c r="AP300" s="449"/>
      <c r="AQ300" s="449"/>
      <c r="AR300" s="449"/>
      <c r="AS300" s="449"/>
      <c r="AT300" s="449"/>
      <c r="AU300" s="489"/>
      <c r="AV300" s="449"/>
      <c r="AW300" s="485"/>
      <c r="AX300" s="22"/>
      <c r="AY300" s="22"/>
      <c r="AZ300" s="22"/>
      <c r="BA300" s="22"/>
      <c r="BB300" s="760"/>
      <c r="BC300" s="760"/>
      <c r="BD300" s="22"/>
      <c r="BE300" s="22"/>
      <c r="BF300" s="22"/>
      <c r="BG300" s="22"/>
      <c r="BH300" s="22"/>
      <c r="BI300" s="22"/>
      <c r="BJ300" s="22"/>
      <c r="BK300" s="22"/>
      <c r="BL300" s="22"/>
      <c r="BM300" s="22"/>
      <c r="BN300" s="22"/>
      <c r="CG300" s="22"/>
      <c r="CH300" s="565"/>
    </row>
  </sheetData>
  <sheetProtection formatCells="0" formatColumns="0" formatRows="0"/>
  <mergeCells count="4">
    <mergeCell ref="DE5:DK5"/>
    <mergeCell ref="CW5:CY5"/>
    <mergeCell ref="CZ5:DA5"/>
    <mergeCell ref="DB5:DD5"/>
  </mergeCells>
  <phoneticPr fontId="5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7"/>
  <dimension ref="A1:IE271"/>
  <sheetViews>
    <sheetView topLeftCell="E1" workbookViewId="0">
      <selection activeCell="U7" sqref="U7:U36"/>
    </sheetView>
  </sheetViews>
  <sheetFormatPr defaultColWidth="9.0703125" defaultRowHeight="19.5" customHeight="1"/>
  <cols>
    <col min="1" max="1" width="9.0703125" style="459"/>
    <col min="2" max="2" width="15" style="459" customWidth="1"/>
    <col min="3" max="3" width="17" style="459" bestFit="1" customWidth="1"/>
    <col min="4" max="4" width="10.0703125" style="459" bestFit="1" customWidth="1"/>
    <col min="5" max="5" width="9.0703125" style="459" customWidth="1"/>
    <col min="6" max="6" width="10.640625" style="459" bestFit="1" customWidth="1"/>
    <col min="7" max="7" width="13.42578125" style="459" bestFit="1" customWidth="1"/>
    <col min="8" max="8" width="7.2109375" style="12" bestFit="1" customWidth="1"/>
    <col min="9" max="9" width="5.640625" style="12" bestFit="1" customWidth="1"/>
    <col min="10" max="10" width="10" style="12" customWidth="1"/>
    <col min="11" max="11" width="13.28515625" style="12" bestFit="1" customWidth="1"/>
    <col min="12" max="12" width="7.28515625" style="12" bestFit="1" customWidth="1"/>
    <col min="13" max="13" width="9.640625" style="12" customWidth="1"/>
    <col min="14" max="14" width="7.28515625" style="12" bestFit="1" customWidth="1"/>
    <col min="15" max="15" width="8.640625" style="12" bestFit="1" customWidth="1"/>
    <col min="16" max="16" width="7.28515625" style="12" bestFit="1" customWidth="1"/>
    <col min="17" max="17" width="8.85546875" style="12" bestFit="1" customWidth="1"/>
    <col min="18" max="18" width="8.0703125" style="26" customWidth="1"/>
    <col min="19" max="19" width="15" style="26" customWidth="1"/>
    <col min="20" max="20" width="17.0703125" style="26" customWidth="1"/>
    <col min="21" max="21" width="10.640625" style="12" customWidth="1"/>
    <col min="22" max="22" width="13.28515625" style="12" customWidth="1"/>
    <col min="23" max="23" width="16.640625" style="12" customWidth="1"/>
    <col min="24" max="26" width="18.42578125" style="12" customWidth="1"/>
    <col min="27" max="27" width="13.28515625" style="475" customWidth="1"/>
    <col min="28" max="28" width="13.28515625" style="109" customWidth="1"/>
    <col min="29" max="29" width="15.42578125" style="448" customWidth="1"/>
    <col min="30" max="30" width="13.28515625" style="109" customWidth="1"/>
    <col min="31" max="32" width="10.0703125" style="448" customWidth="1"/>
    <col min="33" max="33" width="20.2109375" style="12" customWidth="1"/>
    <col min="34" max="34" width="10.42578125" style="12" customWidth="1"/>
    <col min="35" max="35" width="8.28515625" style="448" customWidth="1"/>
    <col min="36" max="36" width="20.42578125" style="448" customWidth="1"/>
    <col min="37" max="37" width="12.28515625" style="448" customWidth="1"/>
    <col min="38" max="38" width="16.42578125" style="448" customWidth="1"/>
    <col min="39" max="39" width="20.42578125" style="448" customWidth="1"/>
    <col min="40" max="40" width="15.28515625" style="766" bestFit="1" customWidth="1"/>
    <col min="41" max="42" width="18.42578125" style="766" bestFit="1" customWidth="1"/>
    <col min="43" max="43" width="9.85546875" style="766" bestFit="1" customWidth="1"/>
    <col min="44" max="44" width="9" style="448" customWidth="1"/>
    <col min="45" max="45" width="9" style="490" customWidth="1"/>
    <col min="46" max="46" width="10.0703125" style="448" bestFit="1" customWidth="1"/>
    <col min="47" max="47" width="9" style="109" customWidth="1"/>
    <col min="48" max="51" width="12.0703125" style="12" customWidth="1"/>
    <col min="52" max="53" width="16.42578125" style="102" customWidth="1"/>
    <col min="54" max="54" width="9" style="12" customWidth="1"/>
    <col min="55" max="55" width="8.640625" style="12" customWidth="1"/>
    <col min="56" max="56" width="9.42578125" style="12" customWidth="1"/>
    <col min="57" max="57" width="9.42578125" style="12" bestFit="1" customWidth="1"/>
    <col min="58" max="59" width="9.42578125" style="12" customWidth="1"/>
    <col min="60" max="60" width="12.0703125" style="12" customWidth="1"/>
    <col min="61" max="64" width="8.28515625" style="12" customWidth="1"/>
    <col min="65" max="66" width="12.42578125" style="12" customWidth="1"/>
    <col min="67" max="70" width="9.0703125" style="12" customWidth="1"/>
    <col min="71" max="72" width="13.28515625" style="12" customWidth="1"/>
    <col min="73" max="73" width="13" style="12" customWidth="1"/>
    <col min="74" max="74" width="17.42578125" style="12" customWidth="1"/>
    <col min="75" max="75" width="14.42578125" style="12" customWidth="1"/>
    <col min="76" max="78" width="11.42578125" style="12" customWidth="1"/>
    <col min="79" max="81" width="10.42578125" style="12" customWidth="1"/>
    <col min="82" max="82" width="12.2109375" style="12" customWidth="1"/>
    <col min="83" max="83" width="10.42578125" style="12" customWidth="1"/>
    <col min="84" max="84" width="8.85546875" style="566" customWidth="1"/>
    <col min="85" max="85" width="12.28515625" style="12" customWidth="1"/>
    <col min="86" max="86" width="14.640625" style="12" customWidth="1"/>
    <col min="87" max="87" width="16.85546875" style="102" customWidth="1"/>
    <col min="88" max="89" width="17.2109375" style="12" customWidth="1"/>
    <col min="90" max="90" width="11.640625" style="448" customWidth="1"/>
    <col min="91" max="92" width="14.85546875" style="448" customWidth="1"/>
    <col min="93" max="93" width="9.0703125" style="102" customWidth="1"/>
    <col min="94" max="95" width="9.0703125" style="12" customWidth="1"/>
    <col min="96" max="96" width="9.0703125" style="102" customWidth="1"/>
    <col min="97" max="98" width="9.0703125" style="12" customWidth="1"/>
    <col min="99" max="99" width="10.85546875" style="12" customWidth="1"/>
    <col min="100" max="100" width="7.2109375" style="12" customWidth="1"/>
    <col min="101" max="105" width="10.42578125" style="12" customWidth="1"/>
    <col min="106" max="106" width="12.85546875" style="12" customWidth="1"/>
    <col min="107" max="107" width="18.28515625" style="12" customWidth="1"/>
    <col min="108" max="108" width="18.28515625" style="448" customWidth="1"/>
    <col min="109" max="109" width="24" style="12" customWidth="1"/>
    <col min="110" max="110" width="20.42578125" style="12" bestFit="1" customWidth="1"/>
    <col min="111" max="111" width="20.0703125" style="12" bestFit="1" customWidth="1"/>
    <col min="112" max="112" width="24" style="927" bestFit="1" customWidth="1"/>
    <col min="113" max="113" width="23" style="12" bestFit="1" customWidth="1"/>
    <col min="114" max="16384" width="9.0703125" style="12"/>
  </cols>
  <sheetData>
    <row r="1" spans="1:239" s="435" customFormat="1" ht="19.5" customHeight="1">
      <c r="A1" s="459"/>
      <c r="B1" s="459"/>
      <c r="C1" s="459"/>
      <c r="D1" s="459"/>
      <c r="E1" s="459"/>
      <c r="F1" s="459"/>
      <c r="G1" s="459"/>
      <c r="H1" s="435">
        <f ca="1">(LOOKUP(2,1/(H:H&lt;&gt;0),ROW(H:H)))-6</f>
        <v>5</v>
      </c>
      <c r="I1" s="437">
        <f t="array" aca="1" ref="I1" ca="1">SUMPRODUCT(IFERROR(庫存Pro[買價],0),IFERROR(庫存Pro[投入佔比],0))</f>
        <v>72.791963055429633</v>
      </c>
      <c r="J1" s="437"/>
      <c r="K1" s="436"/>
      <c r="L1" s="437">
        <f t="array" aca="1" ref="L1" ca="1">SUMPRODUCT(IFERROR(庫存Pro[距到期年],0),IFERROR(庫存Pro[投入佔比],0))</f>
        <v>26.296470503725747</v>
      </c>
      <c r="M1" s="436"/>
      <c r="N1" s="438">
        <f t="array" aca="1" ref="N1" ca="1">SUMPRODUCT(IFERROR(庫存Pro[票面利率],0),IFERROR(庫存Pro[投入佔比],0))</f>
        <v>4.0650191874237775E-2</v>
      </c>
      <c r="O1" s="438">
        <f t="array" aca="1" ref="O1" ca="1">SUMPRODUCT(IFERROR(庫存Pro[現金殖利率],0),IFERROR(庫存Pro[投入佔比],0))</f>
        <v>5.5317977481832016E-2</v>
      </c>
      <c r="P1" s="439"/>
      <c r="Q1" s="439"/>
      <c r="R1" s="567"/>
      <c r="S1" s="567"/>
      <c r="T1" s="567"/>
      <c r="U1" s="439"/>
      <c r="V1" s="439">
        <f>SUMIFS(庫存Pro[投入面額],庫存Pro[檢測],TRUE)</f>
        <v>1700000</v>
      </c>
      <c r="W1" s="439">
        <f>SUMIFS(庫存Pro[持有成本(含前手息)],庫存Pro[檢測],TRUE)</f>
        <v>1252904</v>
      </c>
      <c r="X1" s="439">
        <f ca="1">SUMIFS(庫存Pro[持有成本(不含前手息)],庫存Pro[檢測],TRUE)</f>
        <v>1236907.9000000001</v>
      </c>
      <c r="Y1" s="439">
        <f ca="1">SUMIFS(庫存Pro[部位現值(含前手息)],庫存Pro[檢測],TRUE)</f>
        <v>1251341.1000000001</v>
      </c>
      <c r="Z1" s="439">
        <f ca="1">SUMIFS(庫存Pro[部位現值(不含前手息)],庫存Pro[檢測],TRUE)</f>
        <v>1231150</v>
      </c>
      <c r="AA1" s="439">
        <f ca="1">SUMIFS(庫存Pro[資本利損],庫存Pro[檢測],TRUE)</f>
        <v>-1562.8999999999942</v>
      </c>
      <c r="AB1" s="481">
        <f t="array" aca="1" ref="AB1" ca="1">SUMPRODUCT(IFERROR(庫存Pro[資本報酬],0),IFERROR(庫存Pro[投入佔比],0))</f>
        <v>-1.2474219892346055E-3</v>
      </c>
      <c r="AC1" s="616"/>
      <c r="AD1" s="481"/>
      <c r="AE1" s="439"/>
      <c r="AF1" s="439"/>
      <c r="AG1" s="439"/>
      <c r="AH1" s="439"/>
      <c r="AI1" s="439"/>
      <c r="AJ1" s="439"/>
      <c r="AK1" s="439"/>
      <c r="AL1" s="439">
        <f ca="1">SUMIFS(庫存Pro[前手息],庫存Pro[檢測],TRUE)</f>
        <v>15996.1</v>
      </c>
      <c r="AM1" s="439"/>
      <c r="AN1" s="763"/>
      <c r="AO1" s="763"/>
      <c r="AP1" s="763"/>
      <c r="AQ1" s="763"/>
      <c r="AR1" s="439">
        <f ca="1">SUMIFS(庫存Pro[累計配息],庫存Pro[檢測],TRUE)</f>
        <v>57232.5</v>
      </c>
      <c r="AS1" s="514">
        <f t="array" aca="1" ref="AS1" ca="1">SUMPRODUCT(IFERROR(庫存Pro[配息報酬],0),IFERROR(庫存Pro[投入佔比],0))</f>
        <v>4.2331655098874307E-2</v>
      </c>
      <c r="AT1" s="439">
        <f ca="1">SUMIFS(庫存Pro[合計收益],庫存Pro[檢測],TRUE)</f>
        <v>51474.600000000006</v>
      </c>
      <c r="AU1" s="514">
        <f t="array" aca="1" ref="AU1" ca="1">SUMPRODUCT(IFERROR(庫存Pro[總報酬],0),IFERROR(庫存Pro[投入佔比],0))</f>
        <v>4.1084233109639691E-2</v>
      </c>
      <c r="AV1" s="439"/>
      <c r="AW1" s="439"/>
      <c r="AX1" s="439"/>
      <c r="AY1" s="439"/>
      <c r="AZ1" s="758"/>
      <c r="BA1" s="758"/>
      <c r="BB1" s="439"/>
      <c r="BC1" s="439"/>
      <c r="BD1" s="439"/>
      <c r="BE1" s="439"/>
      <c r="BF1" s="439"/>
      <c r="BG1" s="439"/>
      <c r="BH1" s="439"/>
      <c r="BI1" s="439"/>
      <c r="BJ1" s="439"/>
      <c r="BK1" s="439"/>
      <c r="BL1" s="439"/>
      <c r="BO1" s="655">
        <f ca="1">IF(BO3&gt;0,INT(BO2)-1,INT(BO2))</f>
        <v>1</v>
      </c>
      <c r="BP1" s="28">
        <f ca="1">IFERROR(AVERAGEIF(庫存Pro[檢測],TRUE,庫存Pro[對應編碼]),AVERAGEIF(庫存Pro[對應編碼],"&lt;&gt;#N/A"))</f>
        <v>1</v>
      </c>
      <c r="BS1" s="501">
        <f ca="1">SUMIFS(庫存Pro[投資面額],庫存Pro[檢測],TRUE)</f>
        <v>55217700</v>
      </c>
      <c r="BT1" s="501">
        <f ca="1">SUMIFS(庫存Pro[庫存成本(買)],庫存Pro[檢測],TRUE)</f>
        <v>37587120</v>
      </c>
      <c r="BU1" s="501">
        <f ca="1">SUMIFS(庫存Pro[淨投入成本(買)],庫存Pro[檢測],TRUE)</f>
        <v>37107237</v>
      </c>
      <c r="BV1" s="501">
        <f ca="1">SUMIFS(庫存Pro[參考贖回金額含前手息(現)],庫存Pro[檢測],TRUE)</f>
        <v>40644810.269099995</v>
      </c>
      <c r="BW1" s="501">
        <f ca="1">SUMIFS(庫存Pro[參考贖回金額(現)],庫存Pro[檢測],TRUE)</f>
        <v>39988983.149999999</v>
      </c>
      <c r="BX1" s="501">
        <f ca="1">SUMIFS(庫存Pro[累計利息(台)],庫存Pro[檢測],TRUE)</f>
        <v>1722711.0375000001</v>
      </c>
      <c r="BY1" s="501">
        <f ca="1">SUMIFS(庫存Pro[資本貢獻(台)],庫存Pro[檢測],TRUE)</f>
        <v>-50764.554899999814</v>
      </c>
      <c r="BZ1" s="501">
        <f ca="1">SUMIFS(庫存Pro[合計],庫存Pro[檢測],TRUE)</f>
        <v>1671946.4826000005</v>
      </c>
      <c r="CA1" s="576">
        <f t="array" aca="1" ref="CA1" ca="1">SUMPRODUCT(IFERROR(庫存Pro[配息報酬率],0),IFERROR(庫存Pro[投入佔比],0))</f>
        <v>4.2331655098874307E-2</v>
      </c>
      <c r="CB1" s="576">
        <f t="array" aca="1" ref="CB1" ca="1">SUMPRODUCT(IFERROR(庫存Pro[資本報酬率],0),IFERROR(庫存Pro[投入佔比],0))</f>
        <v>-1.2474219892346055E-3</v>
      </c>
      <c r="CC1" s="576">
        <f t="array" aca="1" ref="CC1" ca="1">SUMPRODUCT(IFERROR(庫存Pro[匯率報酬率],0),IFERROR(庫存Pro[投入佔比],0))</f>
        <v>8.6097666078167268E-2</v>
      </c>
      <c r="CD1" s="576">
        <f t="array" aca="1" ref="CD1" ca="1">SUMPRODUCT(IFERROR(庫存Pro[換匯總報酬率],0),IFERROR(庫存Pro[投入佔比],0))</f>
        <v>0.12718189918780695</v>
      </c>
      <c r="CE1" s="501">
        <f ca="1">SUMIFS(庫存Pro[投入佔比],庫存Pro[檢測],TRUE)</f>
        <v>0.99999999999999989</v>
      </c>
      <c r="CF1" s="501">
        <f ca="1">SUMIFS(庫存Pro[現值佔比],庫存Pro[檢測],TRUE)</f>
        <v>1.0000000000000002</v>
      </c>
      <c r="CG1" s="620">
        <f t="array" aca="1" ref="CG1" ca="1">SUMPRODUCT(IFERROR(庫存Pro[投入參考YTM],0),IFERROR(庫存Pro[投入佔比],0))</f>
        <v>6.0880406108782606E-2</v>
      </c>
      <c r="CI1" s="746"/>
      <c r="CL1" s="501"/>
      <c r="CM1" s="439">
        <f ca="1">SUMIFS(庫存Pro[已實現配息(原幣)],庫存Pro[檢測],TRUE)</f>
        <v>53037.5</v>
      </c>
      <c r="CN1" s="439"/>
      <c r="CO1" s="746"/>
      <c r="CR1" s="746"/>
      <c r="DD1" s="501"/>
      <c r="DH1" s="1082"/>
    </row>
    <row r="2" spans="1:239" ht="19.5" customHeight="1">
      <c r="H2" s="425"/>
      <c r="I2" s="425"/>
      <c r="J2" s="425"/>
      <c r="P2" s="127"/>
      <c r="Q2" s="127"/>
      <c r="R2" s="568"/>
      <c r="S2" s="568"/>
      <c r="T2" s="568"/>
      <c r="U2" s="127"/>
      <c r="V2" s="127"/>
      <c r="W2" s="127"/>
      <c r="X2" s="127"/>
      <c r="Y2" s="127"/>
      <c r="Z2" s="127"/>
      <c r="AA2" s="471"/>
      <c r="AB2" s="482"/>
      <c r="AC2" s="446"/>
      <c r="AD2" s="482"/>
      <c r="AE2" s="446"/>
      <c r="AF2" s="446"/>
      <c r="AG2" s="127"/>
      <c r="AH2" s="127"/>
      <c r="AI2" s="446"/>
      <c r="AJ2" s="446"/>
      <c r="AK2" s="446"/>
      <c r="AL2" s="446"/>
      <c r="AM2" s="446"/>
      <c r="AN2" s="764"/>
      <c r="AO2" s="764"/>
      <c r="AP2" s="764"/>
      <c r="AQ2" s="764"/>
      <c r="AR2" s="446"/>
      <c r="AS2" s="487"/>
      <c r="AT2" s="446"/>
      <c r="AU2" s="482"/>
      <c r="AV2" s="127"/>
      <c r="AW2" s="127"/>
      <c r="AX2" s="127"/>
      <c r="AY2" s="127"/>
      <c r="AZ2" s="757"/>
      <c r="BA2" s="757"/>
      <c r="BB2" s="127"/>
      <c r="BC2" s="127"/>
      <c r="BD2" s="127"/>
      <c r="BE2" s="127"/>
      <c r="BF2" s="127"/>
      <c r="BG2" s="127"/>
      <c r="BH2" s="127"/>
      <c r="BI2" s="127"/>
      <c r="BJ2" s="127"/>
      <c r="BK2" s="127"/>
      <c r="BL2" s="127"/>
      <c r="BO2" s="1090">
        <f ca="1">SUMPRODUCT(1/COUNTIF(庫存Pro[幣別],庫存Pro[幣別]))</f>
        <v>2.0000000000000009</v>
      </c>
      <c r="BP2" s="657" t="str">
        <f ca="1">INDEX(B37:B43,MATCH(全美,C37:C43,0))</f>
        <v>USD</v>
      </c>
      <c r="BV2" s="448"/>
      <c r="CA2" s="566"/>
      <c r="CB2" s="566"/>
      <c r="CC2" s="566"/>
      <c r="CD2" s="566"/>
      <c r="CE2" s="127"/>
      <c r="CF2" s="563"/>
    </row>
    <row r="3" spans="1:239" ht="19.5" customHeight="1">
      <c r="H3" s="426"/>
      <c r="I3" s="26"/>
      <c r="J3" s="26"/>
      <c r="P3" s="127"/>
      <c r="Q3" s="127"/>
      <c r="R3" s="568"/>
      <c r="S3" s="568"/>
      <c r="T3" s="568"/>
      <c r="U3" s="127"/>
      <c r="V3" s="127"/>
      <c r="W3" s="127"/>
      <c r="X3" s="127"/>
      <c r="Y3" s="127"/>
      <c r="Z3" s="127"/>
      <c r="AA3" s="471"/>
      <c r="AB3" s="482"/>
      <c r="AC3" s="446"/>
      <c r="AD3" s="482"/>
      <c r="AE3" s="446"/>
      <c r="AF3" s="446"/>
      <c r="AG3" s="127"/>
      <c r="AH3" s="127"/>
      <c r="AI3" s="446"/>
      <c r="AJ3" s="446"/>
      <c r="AK3" s="446"/>
      <c r="AL3" s="446"/>
      <c r="AM3" s="446"/>
      <c r="AN3" s="764"/>
      <c r="AO3" s="764"/>
      <c r="AP3" s="764"/>
      <c r="AQ3" s="764"/>
      <c r="AR3" s="446"/>
      <c r="AS3" s="487"/>
      <c r="AT3" s="446"/>
      <c r="AU3" s="482"/>
      <c r="AV3" s="127"/>
      <c r="AW3" s="127"/>
      <c r="AX3" s="127"/>
      <c r="AY3" s="127"/>
      <c r="AZ3" s="757"/>
      <c r="BA3" s="757"/>
      <c r="BB3" s="127"/>
      <c r="BC3" s="127"/>
      <c r="BD3" s="127"/>
      <c r="BE3" s="127"/>
      <c r="BF3" s="127"/>
      <c r="BG3" s="127"/>
      <c r="BH3" s="127"/>
      <c r="BI3" s="127"/>
      <c r="BJ3" s="127"/>
      <c r="BK3" s="127"/>
      <c r="BL3" s="127"/>
      <c r="BO3" s="656">
        <f ca="1">COUNTIF(庫存Pro[幣別],"")</f>
        <v>25</v>
      </c>
      <c r="CE3" s="127"/>
      <c r="CF3" s="563"/>
    </row>
    <row r="4" spans="1:239" ht="19.5" customHeight="1">
      <c r="H4" s="427"/>
      <c r="I4" s="32"/>
      <c r="J4" s="32"/>
      <c r="K4" s="32"/>
      <c r="L4" s="32"/>
      <c r="M4" s="32"/>
      <c r="N4" s="32"/>
      <c r="O4" s="32"/>
      <c r="P4" s="127"/>
      <c r="Q4" s="127"/>
      <c r="R4" s="568"/>
      <c r="S4" s="568"/>
      <c r="T4" s="568"/>
      <c r="U4" s="127"/>
      <c r="V4" s="127"/>
      <c r="W4" s="127"/>
      <c r="X4" s="127"/>
      <c r="Y4" s="127"/>
      <c r="Z4" s="127"/>
      <c r="AA4" s="471"/>
      <c r="AB4" s="482"/>
      <c r="AC4" s="446"/>
      <c r="AD4" s="482"/>
      <c r="AE4" s="446"/>
      <c r="AF4" s="446"/>
      <c r="AG4" s="127"/>
      <c r="AH4" s="127"/>
      <c r="AI4" s="446"/>
      <c r="AJ4" s="446"/>
      <c r="AK4" s="446"/>
      <c r="AL4" s="446"/>
      <c r="AM4" s="446"/>
      <c r="AN4" s="764"/>
      <c r="AO4" s="764"/>
      <c r="AP4" s="764"/>
      <c r="AQ4" s="764"/>
      <c r="AR4" s="446"/>
      <c r="AS4" s="487"/>
      <c r="AT4" s="446"/>
      <c r="AU4" s="482"/>
      <c r="AV4" s="127"/>
      <c r="AW4" s="127"/>
      <c r="AX4" s="127"/>
      <c r="AY4" s="127"/>
      <c r="AZ4" s="757"/>
      <c r="BA4" s="757"/>
      <c r="BB4" s="127"/>
      <c r="BC4" s="127"/>
      <c r="BD4" s="127"/>
      <c r="BE4" s="127"/>
      <c r="BF4" s="127"/>
      <c r="BG4" s="127"/>
      <c r="BH4" s="127"/>
      <c r="BI4" s="127"/>
      <c r="BJ4" s="127"/>
      <c r="BK4" s="127"/>
      <c r="BL4" s="127"/>
      <c r="CE4" s="127"/>
      <c r="CF4" s="563"/>
      <c r="CU4" s="423" t="s">
        <v>2296</v>
      </c>
    </row>
    <row r="5" spans="1:239" s="424" customFormat="1" ht="19.5" customHeight="1">
      <c r="A5" s="460"/>
      <c r="B5" s="460"/>
      <c r="C5" s="460"/>
      <c r="D5" s="460"/>
      <c r="E5" s="460"/>
      <c r="F5" s="460"/>
      <c r="G5" s="460"/>
      <c r="H5" s="422"/>
      <c r="I5" s="422"/>
      <c r="J5" s="422"/>
      <c r="K5" s="422"/>
      <c r="L5" s="422"/>
      <c r="M5" s="422"/>
      <c r="N5" s="422"/>
      <c r="O5" s="422"/>
      <c r="P5" s="423"/>
      <c r="Q5" s="423"/>
      <c r="R5" s="569"/>
      <c r="S5" s="569"/>
      <c r="T5" s="569"/>
      <c r="U5" s="423"/>
      <c r="V5" s="423"/>
      <c r="W5" s="423"/>
      <c r="X5" s="423"/>
      <c r="Y5" s="423"/>
      <c r="Z5" s="423"/>
      <c r="AA5" s="472"/>
      <c r="AB5" s="483"/>
      <c r="AC5" s="447"/>
      <c r="AD5" s="483"/>
      <c r="AE5" s="447"/>
      <c r="AF5" s="447"/>
      <c r="AG5" s="423" t="s">
        <v>2290</v>
      </c>
      <c r="AH5" s="423"/>
      <c r="AI5" s="447"/>
      <c r="AJ5" s="469" t="s">
        <v>2402</v>
      </c>
      <c r="AK5" s="794"/>
      <c r="AL5" s="470"/>
      <c r="AM5" s="468" t="s">
        <v>1983</v>
      </c>
      <c r="AN5" s="1058" t="s">
        <v>3793</v>
      </c>
      <c r="AO5" s="1076" t="s">
        <v>3804</v>
      </c>
      <c r="AP5" s="1061"/>
      <c r="AQ5" s="1061"/>
      <c r="AR5" s="467"/>
      <c r="AS5" s="488"/>
      <c r="AT5" s="447"/>
      <c r="AU5" s="483"/>
      <c r="AV5" s="423"/>
      <c r="AW5" s="423"/>
      <c r="AX5" s="423"/>
      <c r="AY5" s="423"/>
      <c r="AZ5" s="747" t="s">
        <v>2293</v>
      </c>
      <c r="BA5" s="747"/>
      <c r="BB5" s="423" t="s">
        <v>1961</v>
      </c>
      <c r="BC5" s="423"/>
      <c r="BD5" s="423"/>
      <c r="BE5" s="423"/>
      <c r="BF5" s="423"/>
      <c r="BG5" s="423"/>
      <c r="BH5" s="423" t="s">
        <v>1964</v>
      </c>
      <c r="BI5" s="423"/>
      <c r="BJ5" s="423"/>
      <c r="BK5" s="423"/>
      <c r="BL5" s="423"/>
      <c r="BM5" s="480"/>
      <c r="BN5" s="480"/>
      <c r="BO5" s="423" t="s">
        <v>2014</v>
      </c>
      <c r="BP5" s="423"/>
      <c r="BQ5" s="423"/>
      <c r="BR5" s="423"/>
      <c r="BS5" s="423"/>
      <c r="BT5" s="423"/>
      <c r="BU5" s="423"/>
      <c r="BV5" s="423"/>
      <c r="BW5" s="423"/>
      <c r="BX5" s="423"/>
      <c r="BY5" s="423"/>
      <c r="BZ5" s="423"/>
      <c r="CA5" s="423"/>
      <c r="CB5" s="423"/>
      <c r="CC5" s="423"/>
      <c r="CD5" s="423"/>
      <c r="CE5" s="423"/>
      <c r="CF5" s="564"/>
      <c r="CG5" s="423"/>
      <c r="CH5" s="423"/>
      <c r="CI5" s="747"/>
      <c r="CJ5" s="747" t="s">
        <v>4204</v>
      </c>
      <c r="CK5" s="423" t="s">
        <v>2295</v>
      </c>
      <c r="CL5" s="447"/>
      <c r="CM5" s="447"/>
      <c r="CN5" s="447"/>
      <c r="CO5" s="747"/>
      <c r="CP5" s="423"/>
      <c r="CQ5" s="423"/>
      <c r="CR5" s="747"/>
      <c r="CS5" s="423"/>
      <c r="CT5" s="423"/>
      <c r="CU5" s="1088" t="s">
        <v>2137</v>
      </c>
      <c r="CV5" s="1089"/>
      <c r="CW5" s="1089"/>
      <c r="CX5" s="2246" t="s">
        <v>3795</v>
      </c>
      <c r="CY5" s="2246"/>
      <c r="CZ5" s="2246" t="s">
        <v>3798</v>
      </c>
      <c r="DA5" s="2246"/>
      <c r="DB5" s="2246"/>
      <c r="DC5" s="2247" t="s">
        <v>3810</v>
      </c>
      <c r="DD5" s="2248"/>
      <c r="DE5" s="2248"/>
      <c r="DF5" s="2248"/>
      <c r="DG5" s="2248"/>
      <c r="DH5" s="2248"/>
      <c r="DI5" s="2249"/>
      <c r="DJ5" s="423"/>
      <c r="DK5" s="423"/>
      <c r="DL5" s="423"/>
      <c r="DM5" s="423"/>
      <c r="DN5" s="423"/>
      <c r="DO5" s="423"/>
      <c r="DP5" s="423"/>
      <c r="DQ5" s="423"/>
      <c r="DR5" s="423"/>
      <c r="DS5" s="423"/>
      <c r="DT5" s="423"/>
      <c r="DU5" s="423"/>
      <c r="DV5" s="423"/>
      <c r="DW5" s="423"/>
      <c r="DX5" s="423"/>
      <c r="DY5" s="423"/>
      <c r="DZ5" s="423"/>
      <c r="EA5" s="423"/>
      <c r="EB5" s="423"/>
      <c r="EC5" s="423"/>
      <c r="ED5" s="423"/>
      <c r="EE5" s="423"/>
      <c r="EF5" s="423"/>
      <c r="EG5" s="423"/>
      <c r="EH5" s="423"/>
      <c r="EI5" s="423"/>
      <c r="EJ5" s="423"/>
      <c r="EK5" s="423"/>
      <c r="EL5" s="423"/>
      <c r="EM5" s="423"/>
      <c r="EN5" s="423"/>
      <c r="EO5" s="423"/>
      <c r="EP5" s="423"/>
      <c r="EQ5" s="423"/>
      <c r="ER5" s="423"/>
      <c r="ES5" s="423"/>
      <c r="ET5" s="423"/>
      <c r="EU5" s="423"/>
      <c r="EV5" s="423"/>
      <c r="EW5" s="423"/>
      <c r="EX5" s="423"/>
      <c r="EY5" s="423"/>
      <c r="EZ5" s="423"/>
      <c r="FA5" s="423"/>
      <c r="FB5" s="423"/>
      <c r="FC5" s="423"/>
      <c r="FD5" s="423"/>
      <c r="FE5" s="423"/>
      <c r="FF5" s="423"/>
      <c r="FG5" s="423"/>
      <c r="FH5" s="423"/>
      <c r="FI5" s="423"/>
      <c r="FJ5" s="423"/>
      <c r="FK5" s="423"/>
      <c r="FL5" s="423"/>
      <c r="FM5" s="423"/>
      <c r="FN5" s="423"/>
      <c r="FO5" s="423"/>
      <c r="FP5" s="423"/>
      <c r="FQ5" s="423"/>
      <c r="FR5" s="423"/>
      <c r="FS5" s="423"/>
      <c r="FT5" s="423"/>
      <c r="FU5" s="423"/>
      <c r="FV5" s="423"/>
      <c r="FW5" s="423"/>
      <c r="FX5" s="423"/>
      <c r="FY5" s="423"/>
      <c r="FZ5" s="423"/>
      <c r="GA5" s="423"/>
      <c r="GB5" s="423"/>
      <c r="GC5" s="423"/>
      <c r="GD5" s="423"/>
      <c r="GE5" s="423"/>
      <c r="GF5" s="423"/>
      <c r="GG5" s="423"/>
      <c r="GH5" s="423"/>
      <c r="GI5" s="423"/>
      <c r="GJ5" s="423"/>
      <c r="GK5" s="423"/>
      <c r="GL5" s="423"/>
      <c r="GM5" s="423"/>
      <c r="GN5" s="423"/>
      <c r="GO5" s="423"/>
      <c r="GP5" s="423"/>
      <c r="GQ5" s="423"/>
      <c r="GR5" s="423"/>
      <c r="GS5" s="423"/>
      <c r="GT5" s="423"/>
      <c r="GU5" s="423"/>
      <c r="GV5" s="423"/>
      <c r="GW5" s="423"/>
      <c r="GX5" s="423"/>
      <c r="GY5" s="423"/>
      <c r="GZ5" s="423"/>
      <c r="HA5" s="423"/>
      <c r="HB5" s="423"/>
      <c r="HC5" s="423"/>
      <c r="HD5" s="423"/>
      <c r="HE5" s="423"/>
      <c r="HF5" s="423"/>
      <c r="HG5" s="423"/>
      <c r="HH5" s="423"/>
      <c r="HI5" s="423"/>
      <c r="HJ5" s="423"/>
      <c r="HK5" s="423"/>
      <c r="HL5" s="423"/>
      <c r="HM5" s="423"/>
      <c r="HN5" s="423"/>
      <c r="HO5" s="423"/>
      <c r="HP5" s="423"/>
      <c r="HQ5" s="423"/>
      <c r="HR5" s="423"/>
      <c r="HS5" s="423"/>
      <c r="HT5" s="423"/>
      <c r="HU5" s="423"/>
      <c r="HV5" s="423"/>
      <c r="HW5" s="423"/>
      <c r="HX5" s="423"/>
      <c r="HY5" s="423"/>
      <c r="HZ5" s="423"/>
      <c r="IA5" s="423"/>
      <c r="IB5" s="423"/>
      <c r="IC5" s="423"/>
      <c r="ID5" s="423"/>
      <c r="IE5" s="423"/>
    </row>
    <row r="6" spans="1:239" s="452" customFormat="1" ht="19.5" customHeight="1" thickBot="1">
      <c r="A6" s="461"/>
      <c r="B6" s="611" t="s">
        <v>1949</v>
      </c>
      <c r="C6" s="611" t="s">
        <v>1950</v>
      </c>
      <c r="D6" s="461"/>
      <c r="E6" s="461"/>
      <c r="F6" s="461"/>
      <c r="G6" s="461"/>
      <c r="H6" s="452" t="s">
        <v>17</v>
      </c>
      <c r="I6" s="452" t="s">
        <v>1985</v>
      </c>
      <c r="J6" s="452" t="s">
        <v>2141</v>
      </c>
      <c r="K6" s="452" t="s">
        <v>24</v>
      </c>
      <c r="L6" s="452" t="s">
        <v>20</v>
      </c>
      <c r="M6" s="452" t="s">
        <v>23</v>
      </c>
      <c r="N6" s="452" t="s">
        <v>18</v>
      </c>
      <c r="O6" s="452" t="s">
        <v>2105</v>
      </c>
      <c r="P6" s="452" t="s">
        <v>19</v>
      </c>
      <c r="Q6" s="450" t="s">
        <v>10</v>
      </c>
      <c r="R6" s="450" t="s">
        <v>2101</v>
      </c>
      <c r="S6" s="456" t="s">
        <v>3821</v>
      </c>
      <c r="T6" s="456" t="s">
        <v>3823</v>
      </c>
      <c r="U6" s="456" t="s">
        <v>2153</v>
      </c>
      <c r="V6" s="457" t="s">
        <v>1954</v>
      </c>
      <c r="W6" s="457" t="s">
        <v>1956</v>
      </c>
      <c r="X6" s="450" t="s">
        <v>1966</v>
      </c>
      <c r="Y6" s="450" t="s">
        <v>2143</v>
      </c>
      <c r="Z6" s="450" t="s">
        <v>2142</v>
      </c>
      <c r="AA6" s="473" t="s">
        <v>1978</v>
      </c>
      <c r="AB6" s="484" t="s">
        <v>1987</v>
      </c>
      <c r="AC6" s="617" t="s">
        <v>2162</v>
      </c>
      <c r="AD6" s="484" t="s">
        <v>2145</v>
      </c>
      <c r="AE6" s="452" t="s">
        <v>30</v>
      </c>
      <c r="AF6" s="452" t="s">
        <v>1940</v>
      </c>
      <c r="AG6" s="454" t="s">
        <v>2294</v>
      </c>
      <c r="AH6" s="452" t="s">
        <v>1952</v>
      </c>
      <c r="AI6" s="452" t="s">
        <v>2165</v>
      </c>
      <c r="AJ6" s="452" t="s">
        <v>3814</v>
      </c>
      <c r="AK6" s="452" t="s">
        <v>2405</v>
      </c>
      <c r="AL6" s="612" t="s">
        <v>1965</v>
      </c>
      <c r="AM6" s="450" t="s">
        <v>1984</v>
      </c>
      <c r="AN6" s="1059" t="s">
        <v>3794</v>
      </c>
      <c r="AO6" s="1062" t="s">
        <v>3805</v>
      </c>
      <c r="AP6" s="1062" t="s">
        <v>3806</v>
      </c>
      <c r="AQ6" s="1062" t="s">
        <v>2139</v>
      </c>
      <c r="AR6" s="453" t="s">
        <v>1955</v>
      </c>
      <c r="AS6" s="736" t="s">
        <v>2111</v>
      </c>
      <c r="AT6" s="738" t="s">
        <v>1988</v>
      </c>
      <c r="AU6" s="486" t="s">
        <v>2112</v>
      </c>
      <c r="AV6" s="705" t="s">
        <v>1957</v>
      </c>
      <c r="AW6" s="705" t="s">
        <v>1958</v>
      </c>
      <c r="AX6" s="705" t="s">
        <v>1959</v>
      </c>
      <c r="AY6" s="705" t="s">
        <v>1960</v>
      </c>
      <c r="AZ6" s="759" t="s">
        <v>2292</v>
      </c>
      <c r="BA6" s="759" t="s">
        <v>2291</v>
      </c>
      <c r="BB6" s="454" t="s">
        <v>1962</v>
      </c>
      <c r="BC6" s="454" t="s">
        <v>1969</v>
      </c>
      <c r="BD6" s="454" t="s">
        <v>1970</v>
      </c>
      <c r="BE6" s="454" t="s">
        <v>1971</v>
      </c>
      <c r="BF6" s="454" t="s">
        <v>1972</v>
      </c>
      <c r="BG6" s="454" t="s">
        <v>1963</v>
      </c>
      <c r="BH6" s="454" t="s">
        <v>1973</v>
      </c>
      <c r="BI6" s="454" t="s">
        <v>1974</v>
      </c>
      <c r="BJ6" s="454" t="s">
        <v>1975</v>
      </c>
      <c r="BK6" s="454" t="s">
        <v>1976</v>
      </c>
      <c r="BL6" s="454" t="s">
        <v>1977</v>
      </c>
      <c r="BM6" s="451" t="s">
        <v>2118</v>
      </c>
      <c r="BN6" s="451" t="s">
        <v>2119</v>
      </c>
      <c r="BO6" s="497" t="s">
        <v>6</v>
      </c>
      <c r="BP6" s="497" t="s">
        <v>2016</v>
      </c>
      <c r="BQ6" s="497" t="s">
        <v>2106</v>
      </c>
      <c r="BR6" s="497" t="s">
        <v>2107</v>
      </c>
      <c r="BS6" s="497" t="s">
        <v>2128</v>
      </c>
      <c r="BT6" s="497" t="s">
        <v>2284</v>
      </c>
      <c r="BU6" s="499" t="s">
        <v>2114</v>
      </c>
      <c r="BV6" s="499" t="s">
        <v>2158</v>
      </c>
      <c r="BW6" s="499" t="s">
        <v>2113</v>
      </c>
      <c r="BX6" s="499" t="s">
        <v>2129</v>
      </c>
      <c r="BY6" s="499" t="s">
        <v>2130</v>
      </c>
      <c r="BZ6" s="499" t="s">
        <v>2131</v>
      </c>
      <c r="CA6" s="575" t="s">
        <v>1986</v>
      </c>
      <c r="CB6" s="575" t="s">
        <v>2017</v>
      </c>
      <c r="CC6" s="575" t="s">
        <v>2110</v>
      </c>
      <c r="CD6" s="575" t="s">
        <v>2127</v>
      </c>
      <c r="CE6" s="572" t="s">
        <v>1968</v>
      </c>
      <c r="CF6" s="573" t="s">
        <v>1967</v>
      </c>
      <c r="CG6" s="452" t="s">
        <v>2166</v>
      </c>
      <c r="CH6" s="452" t="s">
        <v>2170</v>
      </c>
      <c r="CI6" s="748" t="s">
        <v>3808</v>
      </c>
      <c r="CJ6" s="737" t="s">
        <v>2281</v>
      </c>
      <c r="CK6" s="737" t="s">
        <v>4203</v>
      </c>
      <c r="CL6" s="740" t="s">
        <v>2282</v>
      </c>
      <c r="CM6" s="740" t="s">
        <v>2283</v>
      </c>
      <c r="CN6" s="1319" t="s">
        <v>311</v>
      </c>
      <c r="CO6" s="761" t="s">
        <v>2287</v>
      </c>
      <c r="CP6" s="756" t="s">
        <v>2289</v>
      </c>
      <c r="CQ6" s="756" t="s">
        <v>2394</v>
      </c>
      <c r="CR6" s="761" t="s">
        <v>2398</v>
      </c>
      <c r="CS6" s="756" t="s">
        <v>3474</v>
      </c>
      <c r="CT6" s="756" t="s">
        <v>2138</v>
      </c>
      <c r="CU6" s="1060" t="s">
        <v>3802</v>
      </c>
      <c r="CV6" s="1060" t="s">
        <v>3803</v>
      </c>
      <c r="CW6" s="1060" t="s">
        <v>2297</v>
      </c>
      <c r="CX6" s="1060" t="s">
        <v>3796</v>
      </c>
      <c r="CY6" s="1060" t="s">
        <v>3797</v>
      </c>
      <c r="CZ6" s="1060" t="s">
        <v>3799</v>
      </c>
      <c r="DA6" s="1060" t="s">
        <v>3800</v>
      </c>
      <c r="DB6" s="1060" t="s">
        <v>3801</v>
      </c>
      <c r="DC6" s="1085" t="s">
        <v>3809</v>
      </c>
      <c r="DD6" s="1086" t="s">
        <v>2399</v>
      </c>
      <c r="DE6" s="1087" t="s">
        <v>2395</v>
      </c>
      <c r="DF6" s="1087" t="s">
        <v>2396</v>
      </c>
      <c r="DG6" s="1072" t="s">
        <v>3811</v>
      </c>
      <c r="DH6" s="1083" t="s">
        <v>3813</v>
      </c>
      <c r="DI6" s="1074" t="s">
        <v>3812</v>
      </c>
      <c r="DJ6" s="451"/>
      <c r="DK6" s="451"/>
      <c r="DL6" s="451"/>
      <c r="DM6" s="451"/>
      <c r="DN6" s="451"/>
      <c r="DO6" s="451"/>
      <c r="DP6" s="451"/>
      <c r="DQ6" s="451"/>
      <c r="DR6" s="451"/>
      <c r="DS6" s="451"/>
      <c r="DT6" s="451"/>
      <c r="DU6" s="451"/>
      <c r="DV6" s="451"/>
      <c r="DW6" s="451"/>
      <c r="DX6" s="451"/>
      <c r="DY6" s="451"/>
      <c r="DZ6" s="451"/>
      <c r="EA6" s="451"/>
      <c r="EB6" s="451"/>
      <c r="EC6" s="451"/>
      <c r="ED6" s="451"/>
      <c r="EE6" s="451"/>
      <c r="EF6" s="451"/>
      <c r="EG6" s="451"/>
      <c r="EH6" s="451"/>
      <c r="EI6" s="451"/>
      <c r="EJ6" s="451"/>
      <c r="EK6" s="451"/>
      <c r="EL6" s="451"/>
      <c r="EM6" s="451"/>
      <c r="EN6" s="451"/>
      <c r="EO6" s="451"/>
      <c r="EP6" s="451"/>
      <c r="EQ6" s="451"/>
      <c r="ER6" s="451"/>
      <c r="ES6" s="451"/>
      <c r="ET6" s="451"/>
      <c r="EU6" s="451"/>
      <c r="EV6" s="451"/>
      <c r="EW6" s="451"/>
      <c r="EX6" s="451"/>
      <c r="EY6" s="451"/>
      <c r="EZ6" s="451"/>
      <c r="FA6" s="451"/>
      <c r="FB6" s="451"/>
      <c r="FC6" s="451"/>
      <c r="FD6" s="451"/>
      <c r="FE6" s="451"/>
      <c r="FF6" s="451"/>
      <c r="FG6" s="451"/>
      <c r="FH6" s="451"/>
      <c r="FI6" s="451"/>
      <c r="FJ6" s="451"/>
      <c r="FK6" s="451"/>
      <c r="FL6" s="451"/>
      <c r="FM6" s="451"/>
      <c r="FN6" s="451"/>
      <c r="FO6" s="451"/>
      <c r="FP6" s="451"/>
      <c r="FQ6" s="451"/>
      <c r="FR6" s="451"/>
      <c r="FS6" s="451"/>
      <c r="FT6" s="451"/>
      <c r="FU6" s="451"/>
      <c r="FV6" s="451"/>
      <c r="FW6" s="451"/>
      <c r="FX6" s="451"/>
      <c r="FY6" s="451"/>
      <c r="FZ6" s="451"/>
      <c r="GA6" s="451"/>
      <c r="GB6" s="451"/>
      <c r="GC6" s="451"/>
      <c r="GD6" s="451"/>
      <c r="GE6" s="451"/>
      <c r="GF6" s="451"/>
      <c r="GG6" s="451"/>
      <c r="GH6" s="451"/>
      <c r="GI6" s="451"/>
      <c r="GJ6" s="451"/>
      <c r="GK6" s="451"/>
      <c r="GL6" s="451"/>
      <c r="GM6" s="451"/>
      <c r="GN6" s="451"/>
      <c r="GO6" s="451"/>
      <c r="GP6" s="451"/>
      <c r="GQ6" s="451"/>
      <c r="GR6" s="451"/>
      <c r="GS6" s="451"/>
      <c r="GT6" s="451"/>
      <c r="GU6" s="451"/>
      <c r="GV6" s="451"/>
      <c r="GW6" s="451"/>
      <c r="GX6" s="451"/>
      <c r="GY6" s="451"/>
      <c r="GZ6" s="451"/>
      <c r="HA6" s="451"/>
      <c r="HB6" s="451"/>
      <c r="HC6" s="451"/>
      <c r="HD6" s="451"/>
      <c r="HE6" s="451"/>
      <c r="HF6" s="451"/>
      <c r="HG6" s="451"/>
      <c r="HH6" s="451"/>
      <c r="HI6" s="451"/>
      <c r="HJ6" s="451"/>
      <c r="HK6" s="451"/>
      <c r="HL6" s="451"/>
      <c r="HM6" s="451"/>
      <c r="HN6" s="451"/>
      <c r="HO6" s="451"/>
      <c r="HP6" s="451"/>
      <c r="HQ6" s="451"/>
      <c r="HR6" s="451"/>
      <c r="HS6" s="451"/>
      <c r="HT6" s="451"/>
      <c r="HU6" s="451"/>
      <c r="HV6" s="451"/>
      <c r="HW6" s="451"/>
      <c r="HX6" s="451"/>
      <c r="HY6" s="451"/>
      <c r="HZ6" s="451"/>
      <c r="IA6" s="451"/>
      <c r="IB6" s="451"/>
      <c r="IC6" s="451"/>
      <c r="ID6" s="451"/>
      <c r="IE6" s="451"/>
    </row>
    <row r="7" spans="1:239" ht="19.5" customHeight="1" thickTop="1">
      <c r="B7" s="613" t="s">
        <v>1943</v>
      </c>
      <c r="C7" s="613">
        <v>4</v>
      </c>
      <c r="H7" s="428" t="str">
        <f ca="1">IF(開關=TRUE,'庫存管理(Pro)'!B7,0)</f>
        <v>XFV30</v>
      </c>
      <c r="I7" s="429">
        <f ca="1">VLOOKUP(H7,bond!B:I,8,FALSE)</f>
        <v>80.59</v>
      </c>
      <c r="J7" s="429">
        <f ca="1">庫存Pro[[#This Row],[買價]]+VLOOKUP(庫存Pro[[#This Row],[商品代號]],bond!B:K,10,FALSE)</f>
        <v>82.824399999999997</v>
      </c>
      <c r="K7" s="430" t="str">
        <f ca="1">VLOOKUP(H7,'銀行-TSS'!B:E,4,FALSE)</f>
        <v>Baa2 / BBB / BBB</v>
      </c>
      <c r="L7" s="431">
        <f ca="1">VLOOKUP($H7,'銀行-TSS'!B:G,6,FALSE)</f>
        <v>25.04</v>
      </c>
      <c r="M7" s="432">
        <f ca="1">IFERROR(DATEVALUE(VLOOKUP($H7,'銀行-TSS'!B:F,5,FALSE)),VLOOKUP($H7,'銀行-TSS'!B:F,5,FALSE))</f>
        <v>54621</v>
      </c>
      <c r="N7" s="433">
        <f ca="1">VLOOKUP($H7,'銀行-TSS'!B:H,7,FALSE)</f>
        <v>4.8750000000000002E-2</v>
      </c>
      <c r="O7" s="433">
        <f ca="1">庫存Pro[[#This Row],[票面利率]]/庫存Pro[[#This Row],[成本價(不含前手息)]]*100</f>
        <v>6.0497531700706611E-2</v>
      </c>
      <c r="P7" s="434">
        <f ca="1">IFERROR(VLOOKUP($H7,'銀行-TSS'!B:I,8,FALSE),"")</f>
        <v>2</v>
      </c>
      <c r="Q7" s="440">
        <f ca="1">_xlfn.IFNA(IFERROR(DATEVALUE(VLOOKUP($H7,'銀行-TSS'!B:P,15,FALSE)),VLOOKUP($H7,'銀行-TSS'!B:P,15,FALSE)),"")</f>
        <v>45490</v>
      </c>
      <c r="R7" s="570" t="b">
        <f>IF(AND('2_Check_code'!C28,庫存Pro[[#This Row],[投入面額]]&gt;0),TRUE,FALSE)</f>
        <v>1</v>
      </c>
      <c r="S7" s="602">
        <f>'庫存管理(Pro)'!AE7</f>
        <v>45168</v>
      </c>
      <c r="T7" s="602">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45170</v>
      </c>
      <c r="U7" s="442">
        <f ca="1">IFERROR(WORKDAY(庫存Pro[[#This Row],[買進日]],VLOOKUP(庫存Pro[[#This Row],[商品代號]],'1_重設數據'!R:S,2,FALSE),休USD),庫存Pro[[#This Row],[買進日(T+2/公債T+1)]])</f>
        <v>45170</v>
      </c>
      <c r="V7" s="43">
        <f>'庫存管理(Pro)'!J7</f>
        <v>500000</v>
      </c>
      <c r="W7" s="43">
        <f>'庫存管理(Pro)'!K7</f>
        <v>405888</v>
      </c>
      <c r="X7" s="464">
        <f ca="1">ROUND(W7-AL7,2)</f>
        <v>402909</v>
      </c>
      <c r="Y7" s="464">
        <f ca="1">ROUND(J7*V7/100,2)</f>
        <v>414122</v>
      </c>
      <c r="Z7" s="465">
        <f ca="1">ROUND(I7*V7/100,2)</f>
        <v>402950</v>
      </c>
      <c r="AA7" s="474">
        <f ca="1">IF(MF_Pro=2,庫存Pro[[#This Row],[部位現值(不含前手息)]]-庫存Pro[[#This Row],[持有成本(不含前手息)]],庫存Pro[[#This Row],[部位現值(含前手息)]]-庫存Pro[[#This Row],[持有成本(含前手息)]])</f>
        <v>8234</v>
      </c>
      <c r="AB7" s="462">
        <f ca="1">IF(MF_Pro=2,IFERROR(庫存Pro[[#This Row],[資本利損]]/庫存Pro[[#This Row],[持有成本(不含前手息)]],0),IFERROR(庫存Pro[[#This Row],[資本利損]]/庫存Pro[[#This Row],[持有成本(含前手息)]],0))</f>
        <v>2.0286384421318197E-2</v>
      </c>
      <c r="AC7" s="618">
        <f ca="1">庫存Pro[[#This Row],[持有成本(不含前手息)]]/庫存Pro[[#This Row],[投入面額]]*100</f>
        <v>80.581800000000001</v>
      </c>
      <c r="AD7" s="462" t="str">
        <f ca="1">VLOOKUP(庫存Pro[[#This Row],[商品代號]],bond!B:AA,26,FALSE)</f>
        <v>國家電力公司</v>
      </c>
      <c r="AE7" s="1" t="str">
        <f ca="1">IFERROR(VLOOKUP($H7,'銀行-TSS'!B:Q,16,FALSE),"")</f>
        <v>公用事業</v>
      </c>
      <c r="AF7" s="466">
        <f ca="1">N7*V7</f>
        <v>24375</v>
      </c>
      <c r="AG7" s="458">
        <f ca="1">IF(OR(庫存Pro[[#This Row],[起息日]]&gt;庫存Pro[[#This Row],[買進前一配息日(複算)]],庫存Pro[[#This Row],[判斷]]=TRUE),庫存Pro[[#This Row],[起息日]],庫存Pro[[#This Row],[買進前一配息日(複算)]])</f>
        <v>45124</v>
      </c>
      <c r="AH7" s="577" t="str">
        <f ca="1">VLOOKUP(H7,bond!B:AP,41,FALSE)</f>
        <v>ISMA-30/360</v>
      </c>
      <c r="AI7" s="578">
        <f ca="1">VLOOKUP(AH7,$B$7:$C$13,2,FALSE)</f>
        <v>4</v>
      </c>
      <c r="AJ7" s="579">
        <f ca="1">IFERROR(IF(庫存Pro[[#This Row],[買進日是否落入record date]]=1,庫存Pro[[#This Row],[record date制度前手息]],庫存Pro[[#This Row],[前手息(初算)]]),0)</f>
        <v>0.5958</v>
      </c>
      <c r="AK7" s="579">
        <f ca="1">IF(OR(庫存Pro[[#This Row],[買進例外調整]]&lt;庫存Pro[[#This Row],[起息日]],庫存Pro[[#This Row],[買進例外調整]]&gt;庫存Pro[[#This Row],[到期日]]),0,IF(庫存Pro[[#This Row],[備註]]&lt;&gt;"",庫存Pro[[#This Row],[買進時前手息]],IFERROR(ROUND(ACCRINT(AG7,AG7,U7,N7,100,P7,AI7,TRUE),4),0)))</f>
        <v>0.5958</v>
      </c>
      <c r="AL7" s="580">
        <f ca="1">ROUND(AJ7*V7/100,2)</f>
        <v>2979</v>
      </c>
      <c r="AM7" s="440">
        <f ca="1">DATEVALUE(VLOOKUP(H7,bond!B:I,7,FALSE))</f>
        <v>45475</v>
      </c>
      <c r="AN7" s="579">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4.0761000000000003</v>
      </c>
      <c r="AO7" s="579">
        <f ca="1">IFERROR(IF(庫存Pro[[#This Row],[交割日是否落入record date]]=1,庫存Pro[[#This Row],[交_record date制度前手息]],庫存Pro[[#This Row],[計算交割前手息(初算)]]),0)</f>
        <v>2.2343999999999999</v>
      </c>
      <c r="AP7" s="579">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2.2343999999999999</v>
      </c>
      <c r="AQ7" s="579">
        <f ca="1">IF(庫存Pro[[#This Row],[配息頻率]]=0,0,(100*庫存Pro[[#This Row],[票面利率]]/庫存Pro[[#This Row],[配息頻率]])*庫存Pro[[#This Row],[經過幾次配息]]+庫存Pro[[#This Row],[計算交割前手息(複算)]]-庫存Pro[[#This Row],[計算前手息(複算)]])</f>
        <v>4.0761000000000003</v>
      </c>
      <c r="AR7" s="581">
        <f ca="1">IF(庫存Pro[[#This Row],[商品代號]]="XFM90",0,ROUND(AQ7*V7/100,2))</f>
        <v>20380.5</v>
      </c>
      <c r="AS7" s="582">
        <f ca="1">IF(MF_Pro=2,IFERROR(庫存Pro[[#This Row],[累計配息]]/庫存Pro[[#This Row],[持有成本(不含前手息)]],0),IFERROR(庫存Pro[[#This Row],[已實現配息(原幣)]]/庫存Pro[[#This Row],[持有成本(含前手息)]],0))</f>
        <v>3.0026756149479659E-2</v>
      </c>
      <c r="AT7" s="583">
        <f ca="1">IF(MF_Pro=2,庫存Pro[[#This Row],[資本利損]]+庫存Pro[[#This Row],[累計配息]],庫存Pro[[#This Row],[資本利損]]+庫存Pro[[#This Row],[已實現配息(原幣)]])</f>
        <v>20421.5</v>
      </c>
      <c r="AU7" s="584">
        <f ca="1">IF(MF_Pro=2,IFERROR(庫存Pro[[#This Row],[合計收益]]/庫存Pro[[#This Row],[持有成本(不含前手息)]],0),IFERROR(庫存Pro[[#This Row],[合計收益]]/庫存Pro[[#This Row],[持有成本(含前手息)]],0))</f>
        <v>5.0313140570797853E-2</v>
      </c>
      <c r="AV7" s="434">
        <f t="shared" ref="AV7:AV36" ca="1" si="0">IF(P7=0,0,IF(MOD(MONTH(Q7),12/P7)=0,12/P7,MOD(MONTH(Q7),12/P7)))</f>
        <v>1</v>
      </c>
      <c r="AW7" s="434">
        <f t="shared" ref="AW7:AW36" ca="1" si="1">IF(P7&gt;=2,AV7+12/P7,0)</f>
        <v>7</v>
      </c>
      <c r="AX7" s="434">
        <f t="shared" ref="AX7:AX36" ca="1" si="2">IF(P7=4,AW7+12/P7,0)</f>
        <v>0</v>
      </c>
      <c r="AY7" s="434">
        <f t="shared" ref="AY7:AY36" ca="1" si="3">IF(P7=4,AX7+12/P7,0)</f>
        <v>0</v>
      </c>
      <c r="AZ7" s="441">
        <f ca="1">IF(AND(庫存Pro[[#This Row],[名稱]]="美國國庫債券",DAY(庫存Pro[[#This Row],[買進前一配息日(初算)]])&gt;=28),EOMONTH(庫存Pro[[#This Row],[買進前一配息日(初算)]],0),庫存Pro[[#This Row],[買進前一配息日(初算)]])</f>
        <v>45124</v>
      </c>
      <c r="BA7" s="441">
        <f t="shared" ref="BA7:BA36" ca="1" si="4">INDEX(BC7:BG7,1,MATCH(MIN(BH7:BL7),BH7:BL7,0))</f>
        <v>45124</v>
      </c>
      <c r="BB7" s="443">
        <f t="shared" ref="BB7:BB36" ca="1" si="5">YEAR(U7)</f>
        <v>2023</v>
      </c>
      <c r="BC7" s="441">
        <f ca="1">IF(P7&gt;0,IF(MONTH(DATE(BB7,AV7,DAY(Q7)))&lt;&gt;庫存Pro[[#This Row],[第一個配息月]],DATE(BB7,AV7+1,0),DATE(BB7,AV7,DAY(Q7))),庫存Pro[[#This Row],[買進例外調整]]+100)</f>
        <v>44943</v>
      </c>
      <c r="BD7" s="441">
        <f ca="1">IF(AW7&lt;&gt;0,IF(MONTH(DATE(BB7,AW7,DAY(Q7)))&lt;&gt;庫存Pro[[#This Row],[第二個配息月]],DATE(BB7,AW7+1,0),DATE(BB7,AW7,DAY(Q7))),庫存Pro[[#This Row],[買進例外調整]]+100)</f>
        <v>45124</v>
      </c>
      <c r="BE7" s="441">
        <f ca="1">IF(AX7&lt;&gt;0,IF(MONTH(DATE(BB7,AX7,DAY(Q7)))&lt;&gt;庫存Pro[[#This Row],[第三個配息月]],DATE(BB7,AX7+1,0),DATE(BB7,AX7,DAY(Q7))),庫存Pro[[#This Row],[買進例外調整]]+100)</f>
        <v>45270</v>
      </c>
      <c r="BF7" s="441">
        <f ca="1">IF(AY7&lt;&gt;0,IF(MONTH(DATE(BB7,AY7,DAY(Q7)))&lt;&gt;庫存Pro[[#This Row],[第四個配息月]],DATE(BB7,AY7+1,0),DATE(BB7,AY7,DAY(Q7))),庫存Pro[[#This Row],[買進例外調整]]+100)</f>
        <v>45270</v>
      </c>
      <c r="BG7" s="441">
        <f ca="1">IF(P7=1,IF(MONTH(DATE(BB7-1,AV7,DAY(Q7)))&lt;&gt;庫存Pro[[#This Row],[第一個配息月]],DATE(BB7-1,AV7+1,0),DATE(BB7-1,AV7,DAY(Q7))),IF(P7=2,IF(MONTH(DATE(BB7-1,AW7,DAY(Q7)))&lt;&gt;庫存Pro[[#This Row],[第二個配息月]],DATE(BB7-1,AW7+1,0),DATE(BB7-1,AW7,DAY(Q7))),IF(P7=4,IF(MONTH(DATE(BB7-1,AY7,DAY(Q7)))&lt;&gt;庫存Pro[[#This Row],[第四個配息月]],DATE(BB7-1,AY7+1,0),DATE(BB7-1,AY7,DAY(Q7))),庫存Pro[[#This Row],[買進例外調整]]+100)))</f>
        <v>44759</v>
      </c>
      <c r="BH7" s="445">
        <f t="shared" ref="BH7:BL8" ca="1" si="6">IFERROR(DATEDIF(BC7,$U7,"d"),10000)</f>
        <v>227</v>
      </c>
      <c r="BI7" s="445">
        <f t="shared" ca="1" si="6"/>
        <v>46</v>
      </c>
      <c r="BJ7" s="445">
        <f t="shared" ca="1" si="6"/>
        <v>10000</v>
      </c>
      <c r="BK7" s="445">
        <f t="shared" ca="1" si="6"/>
        <v>10000</v>
      </c>
      <c r="BL7" s="455">
        <f t="shared" ca="1" si="6"/>
        <v>411</v>
      </c>
      <c r="BM7" s="479">
        <f ca="1">庫存Pro[[#This Row],[年度配息]]/庫存Pro[[#This Row],[配息頻率]]</f>
        <v>12187.5</v>
      </c>
      <c r="BN7" s="479">
        <f ca="1">庫存Pro[[#This Row],[單次配息(原幣)]]*庫存Pro[[#This Row],[換算匯率(現)]]</f>
        <v>395862.1875</v>
      </c>
      <c r="BO7" s="479" t="str">
        <f ca="1">IFERROR(VLOOKUP($H7,'銀行-TSS'!B:C,2,FALSE),"")</f>
        <v>USD</v>
      </c>
      <c r="BP7" s="479">
        <f ca="1">VLOOKUP(庫存Pro[[#This Row],[幣別]],$B$37:$C$43,2,FALSE)</f>
        <v>1</v>
      </c>
      <c r="BQ7" s="500">
        <f ca="1">CHOOSE(庫存Pro[[#This Row],[對應編碼]],$D$37,$D$38,$D$39,$D$40,$D$41,$D$42,$D$43)</f>
        <v>30</v>
      </c>
      <c r="BR7" s="500">
        <f ca="1">CHOOSE(庫存Pro[[#This Row],[對應編碼]],$E$37,$E$38,$E$39,$E$40,$E$41,$E$42,$E$43)</f>
        <v>32.481000000000002</v>
      </c>
      <c r="BS7" s="595">
        <f ca="1">庫存Pro[[#This Row],[投入面額]]*庫存Pro[[#This Row],[換算匯率(現)]]</f>
        <v>16240500</v>
      </c>
      <c r="BT7" s="595">
        <f ca="1">庫存Pro[[#This Row],[持有成本(含前手息)]]*庫存Pro[[#This Row],[換算匯率(買)]]</f>
        <v>12176640</v>
      </c>
      <c r="BU7" s="498">
        <f ca="1">庫存Pro[[#This Row],[持有成本(不含前手息)]]*庫存Pro[[#This Row],[換算匯率(買)]]</f>
        <v>12087270</v>
      </c>
      <c r="BV7" s="498">
        <f ca="1">庫存Pro[[#This Row],[部位現值(含前手息)]]*庫存Pro[[#This Row],[換算匯率(現)]]</f>
        <v>13451096.682</v>
      </c>
      <c r="BW7" s="498">
        <f ca="1">庫存Pro[[#This Row],[部位現值(不含前手息)]]*庫存Pro[[#This Row],[換算匯率(現)]]</f>
        <v>13088218.950000001</v>
      </c>
      <c r="BX7" s="498">
        <f ca="1">IF(MF_Pro=2,庫存Pro[[#This Row],[累計配息]]*庫存Pro[[#This Row],[換算匯率(現)]],庫存Pro[[#This Row],[已實現配息(原幣)]]*庫存Pro[[#This Row],[換算匯率(現)]])</f>
        <v>395862.1875</v>
      </c>
      <c r="BY7" s="498">
        <f ca="1">庫存Pro[[#This Row],[資本利損]]*庫存Pro[[#This Row],[換算匯率(現)]]</f>
        <v>267448.554</v>
      </c>
      <c r="BZ7" s="498">
        <f ca="1">庫存Pro[[#This Row],[累計利息(台)]]+庫存Pro[[#This Row],[資本貢獻(台)]]</f>
        <v>663310.7415</v>
      </c>
      <c r="CA7" s="574">
        <f ca="1">IFERROR(庫存Pro[[#This Row],[配息報酬]],0)</f>
        <v>3.0026756149479659E-2</v>
      </c>
      <c r="CB7" s="574">
        <f ca="1">庫存Pro[[#This Row],[資本報酬]]</f>
        <v>2.0286384421318197E-2</v>
      </c>
      <c r="CC7" s="574">
        <f ca="1">IFERROR(庫存Pro[[#This Row],[換匯總報酬率]]-(庫存Pro[[#This Row],[配息報酬率]]+庫存Pro[[#This Row],[資本報酬率]]),0)</f>
        <v>8.6860896725205E-2</v>
      </c>
      <c r="CD7" s="574">
        <f ca="1">IF(MF_Pro=2,IFERROR((庫存Pro[[#This Row],[參考贖回金額(現)]]+庫存Pro[[#This Row],[累計利息(台)]])/庫存Pro[[#This Row],[淨投入成本(買)]]-1,0),IFERROR(((庫存Pro[[#This Row],[參考贖回金額含前手息(現)]]+庫存Pro[[#This Row],[累計利息(台)]])/庫存Pro[[#This Row],[庫存成本(買)]])-1,0))</f>
        <v>0.13717403729600286</v>
      </c>
      <c r="CE7" s="585">
        <f t="shared" ref="CE7:CE36" ca="1" si="7">IF(開關=TRUE,IF(MF_Pro=2,IFERROR(BU7/$BU$1,0),IFERROR(BT7/$BT$1,0)),0)</f>
        <v>0.32395778128252445</v>
      </c>
      <c r="CF7" s="574">
        <f t="shared" ref="CF7:CF36" ca="1" si="8">IF(MF_Pro=2,IFERROR(BW7/$BW$1,0),IFERROR(BV7/$BV$1,0))</f>
        <v>0.33094253836943421</v>
      </c>
      <c r="CG7" s="619">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6.4233792119846811E-2</v>
      </c>
      <c r="CH7" s="646">
        <f ca="1">DATEDIF(庫存Pro[[#This Row],[買進例外調整]],庫存Pro[[#This Row],[到期日]],"d")/365.25</f>
        <v>25.87542778918549</v>
      </c>
      <c r="CI7" s="739">
        <f ca="1">DATEVALUE(VLOOKUP(庫存Pro[[#This Row],[商品代號]],bond!B:AF,31,FALSE))</f>
        <v>45308</v>
      </c>
      <c r="CJ7" s="739">
        <f ca="1">IF(庫存Pro[[#This Row],[買下配(國調)]]&lt;庫存Pro[[#This Row],[第一票息日]],庫存Pro[[#This Row],[第一票息日]],庫存Pro[[#This Row],[買下配(國調)]])</f>
        <v>45308</v>
      </c>
      <c r="CK7" s="739">
        <f ca="1">IF(AND(庫存Pro[[#This Row],[名稱]]="美國國庫債券",DAY(庫存Pro[[#This Row],[買進前一配息日(複算)]])&gt;=28),EOMONTH(EDATE(庫存Pro[[#This Row],[買進前一配息日(複算)]],12/庫存Pro[[#This Row],[配息頻率]]),0),EDATE(庫存Pro[[#This Row],[買進前一配息日(複算)]],12/庫存Pro[[#This Row],[配息頻率]]))</f>
        <v>45308</v>
      </c>
      <c r="CL7" s="646">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1</v>
      </c>
      <c r="CM7" s="646">
        <f ca="1">IF(庫存Pro[[#This Row],[商品代號]]="XFM90",0,IFERROR(庫存Pro[[#This Row],[單次配息(原幣)]]*庫存Pro[[#This Row],[經過幾次配息]],0))</f>
        <v>12187.5</v>
      </c>
      <c r="CN7" s="646" t="str">
        <f ca="1">VLOOKUP(庫存Pro[[#This Row],[商品代號]],bond!B:F,5,FALSE)</f>
        <v>US71568QAK31</v>
      </c>
      <c r="CO7" s="739">
        <f ca="1">IFERROR(VLOOKUP(庫存Pro[[#This Row],[ISIN]],'7_發行日例外'!A:C,3,FALSE),IFERROR(DATEVALUE(VLOOKUP(庫存Pro[[#This Row],[商品代號]],bond!B:AR,43,FALSE)),""))</f>
        <v>43663</v>
      </c>
      <c r="CP7" s="646">
        <f ca="1">DATEDIF(庫存Pro[[#This Row],[起息日]],庫存Pro[[#This Row],[買進前一配息日(複算)]],"d")</f>
        <v>1461</v>
      </c>
      <c r="CQ7"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7" s="739">
        <f ca="1">IFERROR(VLOOKUP(庫存Pro[[#This Row],[ISIN]],'7_發行日例外'!A:D,4,FALSE),DATEVALUE(VLOOKUP(庫存Pro[[#This Row],[商品代號]],bond!B:AV,44,FALSE)))</f>
        <v>43847</v>
      </c>
      <c r="CS7" s="646" t="str">
        <f ca="1">VLOOKUP(庫存Pro[[#This Row],[商品代號]],bond!B:AU,46,FALSE)</f>
        <v>STREET CONVENTION</v>
      </c>
      <c r="CT7" s="646" t="str">
        <f ca="1">IF(庫存Pro[[#This Row],[計息基礎]]=1,CHOOSE(庫存Pro[[#This Row],[對應編碼]],"沒進位","","沒進位",IF(庫存Pro[[#This Row],[計算類型]]="AUSTRALIA:EX-DIV","4捨五入進0.01%","沒進位"),"年/2去計算ACT","沒進位","沒進位"),"")</f>
        <v/>
      </c>
      <c r="CU7" s="646">
        <f ca="1">_xlfn.DAYS(庫存Pro[[#This Row],[買進例外調整]],庫存Pro[[#This Row],[買進前一個配息日(最終)]])</f>
        <v>46</v>
      </c>
      <c r="CV7" s="646">
        <f ca="1">IF(庫存Pro[[#This Row],[備註]]="年/2去計算ACT",365/2,_xlfn.DAYS(庫存Pro[[#This Row],[買進時的下個配息日]],庫存Pro[[#This Row],[買進前一個配息日(最終)]]))</f>
        <v>184</v>
      </c>
      <c r="CW7" s="768">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0.60940000000000005</v>
      </c>
      <c r="CX7" s="768">
        <f ca="1">_xlfn.DAYS(庫存Pro[[#This Row],[交割日]],庫存Pro[[#This Row],[買進前一個配息日(最終)]])</f>
        <v>351</v>
      </c>
      <c r="CY7" s="768">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4.6497999999999999</v>
      </c>
      <c r="CZ7" s="768">
        <f ca="1">_xlfn.DAYS(庫存Pro[[#This Row],[交割日]],庫存Pro[[#This Row],[最近的上一票息日]])</f>
        <v>167</v>
      </c>
      <c r="DA7" s="768">
        <f ca="1">IF(庫存Pro[[#This Row],[備註]]="年/2去計算ACT",365/2,_xlfn.DAYS(庫存Pro[[#This Row],[下一配息日]],庫存Pro[[#This Row],[最近的上一票息日]]))</f>
        <v>182</v>
      </c>
      <c r="DB7" s="768">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2.2366000000000001</v>
      </c>
      <c r="DC7" s="739">
        <f ca="1">CJ7-庫存Pro[[#This Row],[ex_div_days]]</f>
        <v>45308</v>
      </c>
      <c r="DD7" s="646">
        <f ca="1">IF(VLOOKUP(庫存Pro[[#This Row],[商品代號]],bond!B:AT,45,FALSE)="#N/A Field Not Applicable",0,VLOOKUP(庫存Pro[[#This Row],[商品代號]],bond!B:AT,45,FALSE))</f>
        <v>0</v>
      </c>
      <c r="DE7" s="793">
        <f ca="1">IF(庫存Pro[[#This Row],[ex_div_days]]&lt;&gt;0,IF(AND(庫存Pro[[#This Row],[買進例外調整]]-庫存Pro[[#This Row],[買進下一個配息日先減n天]]&gt;=0,庫存Pro[[#This Row],[買進時的下個配息日]]-庫存Pro[[#This Row],[買進例外調整]]&gt;0),1,0),0)</f>
        <v>0</v>
      </c>
      <c r="DF7" s="784">
        <f ca="1">IF(庫存Pro[[#This Row],[對應編碼]]=4,ROUND(庫存Pro[[#This Row],[前手息(初算)]]-庫存Pro[[#This Row],[票面利率]]/庫存Pro[[#This Row],[配息頻率]]*100,3),ROUND(庫存Pro[[#This Row],[前手息(初算)]]-庫存Pro[[#This Row],[票面利率]]/庫存Pro[[#This Row],[配息頻率]]*100,4))</f>
        <v>-1.8416999999999999</v>
      </c>
      <c r="DG7" s="734">
        <f ca="1">庫存Pro[[#This Row],[下一配息日]]-庫存Pro[[#This Row],[ex_div_days]]</f>
        <v>45490</v>
      </c>
      <c r="DH7" s="1084">
        <f ca="1">IF(庫存Pro[[#This Row],[ex_div_days]]&lt;&gt;0,IF(AND(庫存Pro[[#This Row],[交割日]]-庫存Pro[[#This Row],[交割下個配息日先減n天]]&gt;=0,庫存Pro[[#This Row],[下一配息日]]-庫存Pro[[#This Row],[交割日]]&gt;0),1,0),0)</f>
        <v>0</v>
      </c>
      <c r="DI7" s="1067">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-0.2031</v>
      </c>
      <c r="DJ7" s="33"/>
      <c r="DK7" s="33"/>
      <c r="DL7" s="33"/>
      <c r="DM7" s="33"/>
      <c r="DN7" s="33"/>
      <c r="DO7" s="33"/>
      <c r="DP7" s="33"/>
      <c r="DQ7" s="33"/>
      <c r="DR7" s="33"/>
      <c r="DS7" s="33"/>
      <c r="DT7" s="33"/>
      <c r="DU7" s="33"/>
      <c r="DV7" s="33"/>
      <c r="DW7" s="33"/>
      <c r="DX7" s="33"/>
      <c r="DY7" s="33"/>
      <c r="DZ7" s="33"/>
      <c r="EA7" s="33"/>
      <c r="EB7" s="33"/>
      <c r="EC7" s="33"/>
      <c r="ED7" s="33"/>
      <c r="EE7" s="33"/>
      <c r="EF7" s="33"/>
      <c r="EG7" s="33"/>
      <c r="EH7" s="33"/>
      <c r="EI7" s="33"/>
      <c r="EJ7" s="33"/>
      <c r="EK7" s="33"/>
      <c r="EL7" s="33"/>
      <c r="EM7" s="33"/>
      <c r="EN7" s="33"/>
      <c r="EO7" s="33"/>
      <c r="EP7" s="33"/>
      <c r="EQ7" s="33"/>
      <c r="ER7" s="33"/>
      <c r="ES7" s="33"/>
      <c r="ET7" s="33"/>
      <c r="EU7" s="33"/>
      <c r="EV7" s="33"/>
      <c r="EW7" s="33"/>
      <c r="EX7" s="33"/>
      <c r="EY7" s="33"/>
      <c r="EZ7" s="33"/>
      <c r="FA7" s="33"/>
      <c r="FB7" s="33"/>
      <c r="FC7" s="33"/>
      <c r="FD7" s="33"/>
      <c r="FE7" s="33"/>
      <c r="FF7" s="33"/>
      <c r="FG7" s="33"/>
      <c r="FH7" s="33"/>
      <c r="FI7" s="33"/>
      <c r="FJ7" s="33"/>
      <c r="FK7" s="33"/>
      <c r="FL7" s="33"/>
      <c r="FM7" s="33"/>
      <c r="FN7" s="33"/>
      <c r="FO7" s="33"/>
      <c r="FP7" s="33"/>
      <c r="FQ7" s="33"/>
      <c r="FR7" s="33"/>
      <c r="FS7" s="33"/>
      <c r="FT7" s="33"/>
      <c r="FU7" s="33"/>
      <c r="FV7" s="33"/>
      <c r="FW7" s="33"/>
      <c r="FX7" s="33"/>
      <c r="FY7" s="33"/>
      <c r="FZ7" s="33"/>
      <c r="GA7" s="33"/>
      <c r="GB7" s="33"/>
      <c r="GC7" s="33"/>
      <c r="GD7" s="33"/>
      <c r="GE7" s="33"/>
      <c r="GF7" s="33"/>
      <c r="GG7" s="33"/>
      <c r="GH7" s="33"/>
      <c r="GI7" s="33"/>
      <c r="GJ7" s="33"/>
      <c r="GK7" s="33"/>
      <c r="GL7" s="33"/>
      <c r="GM7" s="33"/>
      <c r="GN7" s="33"/>
      <c r="GO7" s="33"/>
      <c r="GP7" s="33"/>
      <c r="GQ7" s="33"/>
      <c r="GR7" s="33"/>
      <c r="GS7" s="33"/>
      <c r="GT7" s="33"/>
      <c r="GU7" s="33"/>
      <c r="GV7" s="33"/>
      <c r="GW7" s="33"/>
      <c r="GX7" s="33"/>
      <c r="GY7" s="33"/>
      <c r="GZ7" s="33"/>
      <c r="HA7" s="33"/>
      <c r="HB7" s="33"/>
      <c r="HC7" s="33"/>
      <c r="HD7" s="33"/>
      <c r="HE7" s="33"/>
      <c r="HF7" s="33"/>
      <c r="HG7" s="33"/>
      <c r="HH7" s="33"/>
      <c r="HI7" s="33"/>
      <c r="HJ7" s="33"/>
      <c r="HK7" s="33"/>
      <c r="HL7" s="33"/>
      <c r="HM7" s="33"/>
      <c r="HN7" s="33"/>
      <c r="HO7" s="33"/>
      <c r="HP7" s="33"/>
      <c r="HQ7" s="33"/>
      <c r="HR7" s="33"/>
      <c r="HS7" s="33"/>
      <c r="HT7" s="33"/>
      <c r="HU7" s="33"/>
      <c r="HV7" s="33"/>
      <c r="HW7" s="33"/>
      <c r="HX7" s="33"/>
      <c r="HY7" s="33"/>
      <c r="HZ7" s="33"/>
      <c r="IA7" s="33"/>
      <c r="IB7" s="33"/>
      <c r="IC7" s="33"/>
      <c r="ID7" s="33"/>
      <c r="IE7" s="33"/>
    </row>
    <row r="8" spans="1:239" ht="19.5" customHeight="1">
      <c r="B8" s="614" t="s">
        <v>1945</v>
      </c>
      <c r="C8" s="613">
        <v>0</v>
      </c>
      <c r="H8" s="428" t="str">
        <f ca="1">IF(開關=TRUE,'庫存管理(Pro)'!B8,0)</f>
        <v>XG500</v>
      </c>
      <c r="I8" s="429">
        <f ca="1">VLOOKUP(H8,bond!B:I,8,FALSE)</f>
        <v>72.55</v>
      </c>
      <c r="J8" s="429">
        <f ca="1">庫存Pro[[#This Row],[買價]]+VLOOKUP(庫存Pro[[#This Row],[商品代號]],bond!B:K,10,FALSE)</f>
        <v>72.744799999999998</v>
      </c>
      <c r="K8" s="430" t="str">
        <f ca="1">VLOOKUP(H8,'銀行-TSS'!B:E,4,FALSE)</f>
        <v>Baa2 / BBB / BBB</v>
      </c>
      <c r="L8" s="431">
        <f ca="1">VLOOKUP($H8,'銀行-TSS'!B:G,6,FALSE)</f>
        <v>26.95</v>
      </c>
      <c r="M8" s="432">
        <f ca="1">IFERROR(DATEVALUE(VLOOKUP($H8,'銀行-TSS'!B:F,5,FALSE)),VLOOKUP($H8,'銀行-TSS'!B:F,5,FALSE))</f>
        <v>55319</v>
      </c>
      <c r="N8" s="433">
        <f ca="1">VLOOKUP($H8,'銀行-TSS'!B:H,7,FALSE)</f>
        <v>4.1250000000000002E-2</v>
      </c>
      <c r="O8" s="433">
        <f ca="1">庫存Pro[[#This Row],[票面利率]]/庫存Pro[[#This Row],[成本價(不含前手息)]]*100</f>
        <v>5.8567461196394804E-2</v>
      </c>
      <c r="P8" s="434">
        <f ca="1">IFERROR(VLOOKUP($H8,'銀行-TSS'!B:I,8,FALSE),"")</f>
        <v>2</v>
      </c>
      <c r="Q8" s="440">
        <f ca="1">_xlfn.IFNA(IFERROR(DATEVALUE(VLOOKUP($H8,'銀行-TSS'!B:P,15,FALSE)),VLOOKUP($H8,'銀行-TSS'!B:P,15,FALSE)),"")</f>
        <v>45641</v>
      </c>
      <c r="R8" s="570" t="b">
        <f>IF(AND('2_Check_code'!C29,庫存Pro[[#This Row],[投入面額]]&gt;0),TRUE,FALSE)</f>
        <v>1</v>
      </c>
      <c r="S8" s="602">
        <f>'庫存管理(Pro)'!AE8</f>
        <v>45168</v>
      </c>
      <c r="T8" s="602">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45170</v>
      </c>
      <c r="U8" s="442">
        <f ca="1">IFERROR(WORKDAY(庫存Pro[[#This Row],[買進日]],VLOOKUP(庫存Pro[[#This Row],[商品代號]],'1_重設數據'!R:S,2,FALSE),休USD),庫存Pro[[#This Row],[買進日(T+2/公債T+1)]])</f>
        <v>45170</v>
      </c>
      <c r="V8" s="43">
        <f>'庫存管理(Pro)'!J8</f>
        <v>500000</v>
      </c>
      <c r="W8" s="43">
        <f>'庫存管理(Pro)'!K8</f>
        <v>356512</v>
      </c>
      <c r="X8" s="464">
        <f t="shared" ref="X8:X36" ca="1" si="9">ROUND(W8-AL8,2)</f>
        <v>352158</v>
      </c>
      <c r="Y8" s="464">
        <f ca="1">ROUND(J8*V8/100,2)</f>
        <v>363724</v>
      </c>
      <c r="Z8" s="465">
        <f ca="1">ROUND(I8*V8/100,2)</f>
        <v>362750</v>
      </c>
      <c r="AA8" s="474">
        <f ca="1">IF(MF_Pro=2,庫存Pro[[#This Row],[部位現值(不含前手息)]]-庫存Pro[[#This Row],[持有成本(不含前手息)]],庫存Pro[[#This Row],[部位現值(含前手息)]]-庫存Pro[[#This Row],[持有成本(含前手息)]])</f>
        <v>7212</v>
      </c>
      <c r="AB8" s="462">
        <f ca="1">IF(MF_Pro=2,IFERROR(庫存Pro[[#This Row],[資本利損]]/庫存Pro[[#This Row],[持有成本(不含前手息)]],0),IFERROR(庫存Pro[[#This Row],[資本利損]]/庫存Pro[[#This Row],[持有成本(含前手息)]],0))</f>
        <v>2.02293330939772E-2</v>
      </c>
      <c r="AC8" s="618">
        <f ca="1">庫存Pro[[#This Row],[持有成本(不含前手息)]]/庫存Pro[[#This Row],[投入面額]]*100</f>
        <v>70.431600000000003</v>
      </c>
      <c r="AD8" s="462" t="str">
        <f ca="1">VLOOKUP(庫存Pro[[#This Row],[商品代號]],bond!B:AA,26,FALSE)</f>
        <v>Unum集團</v>
      </c>
      <c r="AE8" s="1" t="str">
        <f ca="1">IFERROR(VLOOKUP($H8,'銀行-TSS'!B:Q,16,FALSE),"")</f>
        <v>金融</v>
      </c>
      <c r="AF8" s="466">
        <f ca="1">N8*V8</f>
        <v>20625</v>
      </c>
      <c r="AG8" s="458">
        <f ca="1">IF(OR(庫存Pro[[#This Row],[起息日]]&gt;庫存Pro[[#This Row],[買進前一配息日(複算)]],庫存Pro[[#This Row],[判斷]]=TRUE),庫存Pro[[#This Row],[起息日]],庫存Pro[[#This Row],[買進前一配息日(複算)]])</f>
        <v>45092</v>
      </c>
      <c r="AH8" s="577" t="str">
        <f ca="1">VLOOKUP(H8,bond!B:AP,41,FALSE)</f>
        <v>30/360</v>
      </c>
      <c r="AI8" s="578">
        <f ca="1">VLOOKUP(AH8,$B$7:$C$13,2,FALSE)</f>
        <v>0</v>
      </c>
      <c r="AJ8" s="579">
        <f ca="1">IFERROR(IF(庫存Pro[[#This Row],[買進日是否落入record date]]=1,庫存Pro[[#This Row],[record date制度前手息]],庫存Pro[[#This Row],[前手息(初算)]]),0)</f>
        <v>0.87080000000000002</v>
      </c>
      <c r="AK8" s="579">
        <f ca="1">IF(OR(庫存Pro[[#This Row],[買進例外調整]]&lt;庫存Pro[[#This Row],[起息日]],庫存Pro[[#This Row],[買進例外調整]]&gt;庫存Pro[[#This Row],[到期日]]),0,IF(庫存Pro[[#This Row],[備註]]&lt;&gt;"",庫存Pro[[#This Row],[買進時前手息]],IFERROR(ROUND(ACCRINT(AG8,AG8,U8,N8,100,P8,AI8,TRUE),4),0)))</f>
        <v>0.87080000000000002</v>
      </c>
      <c r="AL8" s="580">
        <f t="shared" ref="AL8:AL36" ca="1" si="10">ROUND(AJ8*V8/100,2)</f>
        <v>4354</v>
      </c>
      <c r="AM8" s="440">
        <f ca="1">DATEVALUE(VLOOKUP(H8,bond!B:I,7,FALSE))</f>
        <v>45475</v>
      </c>
      <c r="AN8" s="579">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3.4489999999999998</v>
      </c>
      <c r="AO8" s="579">
        <f ca="1">IFERROR(IF(庫存Pro[[#This Row],[交割日是否落入record date]]=1,庫存Pro[[#This Row],[交_record date制度前手息]],庫存Pro[[#This Row],[計算交割前手息(初算)]]),0)</f>
        <v>0.1948</v>
      </c>
      <c r="AP8" s="579">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0.1948</v>
      </c>
      <c r="AQ8" s="579">
        <f ca="1">IF(庫存Pro[[#This Row],[配息頻率]]=0,0,(100*庫存Pro[[#This Row],[票面利率]]/庫存Pro[[#This Row],[配息頻率]])*庫存Pro[[#This Row],[經過幾次配息]]+庫存Pro[[#This Row],[計算交割前手息(複算)]]-庫存Pro[[#This Row],[計算前手息(複算)]])</f>
        <v>3.4489999999999998</v>
      </c>
      <c r="AR8" s="581">
        <f ca="1">IF(庫存Pro[[#This Row],[商品代號]]="XFM90",0,ROUND(AQ8*V8/100,2))</f>
        <v>17245</v>
      </c>
      <c r="AS8" s="582">
        <f ca="1">IF(MF_Pro=2,IFERROR(庫存Pro[[#This Row],[累計配息]]/庫存Pro[[#This Row],[持有成本(不含前手息)]],0),IFERROR(庫存Pro[[#This Row],[已實現配息(原幣)]]/庫存Pro[[#This Row],[持有成本(含前手息)]],0))</f>
        <v>5.7852190108607843E-2</v>
      </c>
      <c r="AT8" s="583">
        <f ca="1">IF(MF_Pro=2,庫存Pro[[#This Row],[資本利損]]+庫存Pro[[#This Row],[累計配息]],庫存Pro[[#This Row],[資本利損]]+庫存Pro[[#This Row],[已實現配息(原幣)]])</f>
        <v>27837</v>
      </c>
      <c r="AU8" s="584">
        <f ca="1">IF(MF_Pro=2,IFERROR(庫存Pro[[#This Row],[合計收益]]/庫存Pro[[#This Row],[持有成本(不含前手息)]],0),IFERROR(庫存Pro[[#This Row],[合計收益]]/庫存Pro[[#This Row],[持有成本(含前手息)]],0))</f>
        <v>7.8081523202585046E-2</v>
      </c>
      <c r="AV8" s="434">
        <f t="shared" ca="1" si="0"/>
        <v>6</v>
      </c>
      <c r="AW8" s="434">
        <f t="shared" ca="1" si="1"/>
        <v>12</v>
      </c>
      <c r="AX8" s="434">
        <f t="shared" ca="1" si="2"/>
        <v>0</v>
      </c>
      <c r="AY8" s="434">
        <f t="shared" ca="1" si="3"/>
        <v>0</v>
      </c>
      <c r="AZ8" s="441">
        <f ca="1">IF(AND(庫存Pro[[#This Row],[名稱]]="美國國庫債券",DAY(庫存Pro[[#This Row],[買進前一配息日(初算)]])&gt;=28),EOMONTH(庫存Pro[[#This Row],[買進前一配息日(初算)]],0),庫存Pro[[#This Row],[買進前一配息日(初算)]])</f>
        <v>45092</v>
      </c>
      <c r="BA8" s="441">
        <f t="shared" ca="1" si="4"/>
        <v>45092</v>
      </c>
      <c r="BB8" s="444">
        <f t="shared" ca="1" si="5"/>
        <v>2023</v>
      </c>
      <c r="BC8" s="441">
        <f ca="1">IF(P8&gt;0,IF(MONTH(DATE(BB8,AV8,DAY(Q8)))&lt;&gt;庫存Pro[[#This Row],[第一個配息月]],DATE(BB8,AV8+1,0),DATE(BB8,AV8,DAY(Q8))),庫存Pro[[#This Row],[買進例外調整]]+100)</f>
        <v>45092</v>
      </c>
      <c r="BD8" s="441">
        <f ca="1">IF(AW8&lt;&gt;0,IF(MONTH(DATE(BB8,AW8,DAY(Q8)))&lt;&gt;庫存Pro[[#This Row],[第二個配息月]],DATE(BB8,AW8+1,0),DATE(BB8,AW8,DAY(Q8))),庫存Pro[[#This Row],[買進例外調整]]+100)</f>
        <v>45275</v>
      </c>
      <c r="BE8" s="441">
        <f ca="1">IF(AX8&lt;&gt;0,IF(MONTH(DATE(BB8,AX8,DAY(Q8)))&lt;&gt;庫存Pro[[#This Row],[第三個配息月]],DATE(BB8,AX8+1,0),DATE(BB8,AX8,DAY(Q8))),庫存Pro[[#This Row],[買進例外調整]]+100)</f>
        <v>45270</v>
      </c>
      <c r="BF8" s="441">
        <f ca="1">IF(AY8&lt;&gt;0,IF(MONTH(DATE(BB8,AY8,DAY(Q8)))&lt;&gt;庫存Pro[[#This Row],[第四個配息月]],DATE(BB8,AY8+1,0),DATE(BB8,AY8,DAY(Q8))),庫存Pro[[#This Row],[買進例外調整]]+100)</f>
        <v>45270</v>
      </c>
      <c r="BG8" s="441">
        <f ca="1">IF(P8=1,IF(MONTH(DATE(BB8-1,AV8,DAY(Q8)))&lt;&gt;庫存Pro[[#This Row],[第一個配息月]],DATE(BB8-1,AV8+1,0),DATE(BB8-1,AV8,DAY(Q8))),IF(P8=2,IF(MONTH(DATE(BB8-1,AW8,DAY(Q8)))&lt;&gt;庫存Pro[[#This Row],[第二個配息月]],DATE(BB8-1,AW8+1,0),DATE(BB8-1,AW8,DAY(Q8))),IF(P8=4,IF(MONTH(DATE(BB8-1,AY8,DAY(Q8)))&lt;&gt;庫存Pro[[#This Row],[第四個配息月]],DATE(BB8-1,AY8+1,0),DATE(BB8-1,AY8,DAY(Q8))),庫存Pro[[#This Row],[買進例外調整]]+100)))</f>
        <v>44910</v>
      </c>
      <c r="BH8" s="445">
        <f t="shared" ca="1" si="6"/>
        <v>78</v>
      </c>
      <c r="BI8" s="445">
        <f t="shared" ca="1" si="6"/>
        <v>10000</v>
      </c>
      <c r="BJ8" s="445">
        <f t="shared" ca="1" si="6"/>
        <v>10000</v>
      </c>
      <c r="BK8" s="445">
        <f t="shared" ca="1" si="6"/>
        <v>10000</v>
      </c>
      <c r="BL8" s="455">
        <f t="shared" ca="1" si="6"/>
        <v>260</v>
      </c>
      <c r="BM8" s="479">
        <f ca="1">庫存Pro[[#This Row],[年度配息]]/庫存Pro[[#This Row],[配息頻率]]</f>
        <v>10312.5</v>
      </c>
      <c r="BN8" s="479">
        <f ca="1">庫存Pro[[#This Row],[單次配息(原幣)]]*庫存Pro[[#This Row],[換算匯率(現)]]</f>
        <v>334960.3125</v>
      </c>
      <c r="BO8" s="479" t="str">
        <f ca="1">IFERROR(VLOOKUP($H8,'銀行-TSS'!B:C,2,FALSE),"")</f>
        <v>USD</v>
      </c>
      <c r="BP8" s="479">
        <f ca="1">VLOOKUP(庫存Pro[[#This Row],[幣別]],$B$37:$C$43,2,FALSE)</f>
        <v>1</v>
      </c>
      <c r="BQ8" s="500">
        <f ca="1">CHOOSE(庫存Pro[[#This Row],[對應編碼]],$D$37,$D$38,$D$39,$D$40,$D$41,$D$42,$D$43)</f>
        <v>30</v>
      </c>
      <c r="BR8" s="500">
        <f ca="1">CHOOSE(庫存Pro[[#This Row],[對應編碼]],$E$37,$E$38,$E$39,$E$40,$E$41,$E$42,$E$43)</f>
        <v>32.481000000000002</v>
      </c>
      <c r="BS8" s="595">
        <f ca="1">庫存Pro[[#This Row],[投入面額]]*庫存Pro[[#This Row],[換算匯率(現)]]</f>
        <v>16240500</v>
      </c>
      <c r="BT8" s="595">
        <f ca="1">庫存Pro[[#This Row],[持有成本(含前手息)]]*庫存Pro[[#This Row],[換算匯率(買)]]</f>
        <v>10695360</v>
      </c>
      <c r="BU8" s="498">
        <f ca="1">庫存Pro[[#This Row],[持有成本(不含前手息)]]*庫存Pro[[#This Row],[換算匯率(買)]]</f>
        <v>10564740</v>
      </c>
      <c r="BV8" s="498">
        <f ca="1">庫存Pro[[#This Row],[部位現值(含前手息)]]*庫存Pro[[#This Row],[換算匯率(現)]]</f>
        <v>11814119.244000001</v>
      </c>
      <c r="BW8" s="498">
        <f ca="1">庫存Pro[[#This Row],[部位現值(不含前手息)]]*庫存Pro[[#This Row],[換算匯率(現)]]</f>
        <v>11782482.75</v>
      </c>
      <c r="BX8" s="498">
        <f ca="1">IF(MF_Pro=2,庫存Pro[[#This Row],[累計配息]]*庫存Pro[[#This Row],[換算匯率(現)]],庫存Pro[[#This Row],[已實現配息(原幣)]]*庫存Pro[[#This Row],[換算匯率(現)]])</f>
        <v>669920.625</v>
      </c>
      <c r="BY8" s="498">
        <f ca="1">庫存Pro[[#This Row],[資本利損]]*庫存Pro[[#This Row],[換算匯率(現)]]</f>
        <v>234252.97200000001</v>
      </c>
      <c r="BZ8" s="498">
        <f ca="1">庫存Pro[[#This Row],[累計利息(台)]]+庫存Pro[[#This Row],[資本貢獻(台)]]</f>
        <v>904173.59700000007</v>
      </c>
      <c r="CA8" s="574">
        <f ca="1">IFERROR(庫存Pro[[#This Row],[配息報酬]],0)</f>
        <v>5.7852190108607843E-2</v>
      </c>
      <c r="CB8" s="574">
        <f ca="1">庫存Pro[[#This Row],[資本報酬]]</f>
        <v>2.02293330939772E-2</v>
      </c>
      <c r="CC8" s="574">
        <f ca="1">IFERROR(庫存Pro[[#This Row],[換匯總報酬率]]-(庫存Pro[[#This Row],[配息報酬率]]+庫存Pro[[#This Row],[資本報酬率]]),0)</f>
        <v>8.9157341968853887E-2</v>
      </c>
      <c r="CD8" s="574">
        <f ca="1">IF(MF_Pro=2,IFERROR((庫存Pro[[#This Row],[參考贖回金額(現)]]+庫存Pro[[#This Row],[累計利息(台)]])/庫存Pro[[#This Row],[淨投入成本(買)]]-1,0),IFERROR(((庫存Pro[[#This Row],[參考贖回金額含前手息(現)]]+庫存Pro[[#This Row],[累計利息(台)]])/庫存Pro[[#This Row],[庫存成本(買)]])-1,0))</f>
        <v>0.16723886517143893</v>
      </c>
      <c r="CE8" s="585">
        <f t="shared" ca="1" si="7"/>
        <v>0.28454853683921516</v>
      </c>
      <c r="CF8" s="574">
        <f t="shared" ca="1" si="8"/>
        <v>0.29066734881480361</v>
      </c>
      <c r="CG8" s="619">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6.4187508589079983E-2</v>
      </c>
      <c r="CH8" s="646">
        <f ca="1">DATEDIF(庫存Pro[[#This Row],[買進例外調整]],庫存Pro[[#This Row],[到期日]],"d")/365.25</f>
        <v>27.786447638603697</v>
      </c>
      <c r="CI8" s="739">
        <f ca="1">DATEVALUE(VLOOKUP(庫存Pro[[#This Row],[商品代號]],bond!B:AF,31,FALSE))</f>
        <v>45458</v>
      </c>
      <c r="CJ8" s="739">
        <f ca="1">IF(庫存Pro[[#This Row],[買下配(國調)]]&lt;庫存Pro[[#This Row],[第一票息日]],庫存Pro[[#This Row],[第一票息日]],庫存Pro[[#This Row],[買下配(國調)]])</f>
        <v>45275</v>
      </c>
      <c r="CK8" s="739">
        <f ca="1">IF(AND(庫存Pro[[#This Row],[名稱]]="美國國庫債券",DAY(庫存Pro[[#This Row],[買進前一配息日(複算)]])&gt;=28),EOMONTH(EDATE(庫存Pro[[#This Row],[買進前一配息日(複算)]],12/庫存Pro[[#This Row],[配息頻率]]),0),EDATE(庫存Pro[[#This Row],[買進前一配息日(複算)]],12/庫存Pro[[#This Row],[配息頻率]]))</f>
        <v>45275</v>
      </c>
      <c r="CL8" s="646">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2</v>
      </c>
      <c r="CM8" s="646">
        <f ca="1">IF(庫存Pro[[#This Row],[商品代號]]="XFM90",0,IFERROR(庫存Pro[[#This Row],[單次配息(原幣)]]*庫存Pro[[#This Row],[經過幾次配息]],0))</f>
        <v>20625</v>
      </c>
      <c r="CN8" s="646" t="str">
        <f ca="1">VLOOKUP(庫存Pro[[#This Row],[商品代號]],bond!B:F,5,FALSE)</f>
        <v>US91529YAR71</v>
      </c>
      <c r="CO8" s="739">
        <f ca="1">IFERROR(VLOOKUP(庫存Pro[[#This Row],[ISIN]],'7_發行日例外'!A:C,3,FALSE),IFERROR(DATEVALUE(VLOOKUP(庫存Pro[[#This Row],[商品代號]],bond!B:AR,43,FALSE)),""))</f>
        <v>44361</v>
      </c>
      <c r="CP8" s="646">
        <f ca="1">DATEDIF(庫存Pro[[#This Row],[起息日]],庫存Pro[[#This Row],[買進前一配息日(複算)]],"d")</f>
        <v>731</v>
      </c>
      <c r="CQ8"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8" s="739">
        <f ca="1">IFERROR(VLOOKUP(庫存Pro[[#This Row],[ISIN]],'7_發行日例外'!A:D,4,FALSE),DATEVALUE(VLOOKUP(庫存Pro[[#This Row],[商品代號]],bond!B:AV,44,FALSE)))</f>
        <v>44545</v>
      </c>
      <c r="CS8" s="646" t="str">
        <f ca="1">VLOOKUP(庫存Pro[[#This Row],[商品代號]],bond!B:AU,46,FALSE)</f>
        <v>STREET CONVENTION</v>
      </c>
      <c r="CT8" s="646" t="str">
        <f ca="1">IF(庫存Pro[[#This Row],[計息基礎]]=1,CHOOSE(庫存Pro[[#This Row],[對應編碼]],"沒進位","","沒進位",IF(庫存Pro[[#This Row],[計算類型]]="AUSTRALIA:EX-DIV","4捨五入進0.01%","沒進位"),"年/2去計算ACT","沒進位","沒進位"),"")</f>
        <v/>
      </c>
      <c r="CU8" s="646">
        <f ca="1">_xlfn.DAYS(庫存Pro[[#This Row],[買進例外調整]],庫存Pro[[#This Row],[買進前一個配息日(最終)]])</f>
        <v>78</v>
      </c>
      <c r="CV8" s="646">
        <f ca="1">IF(庫存Pro[[#This Row],[備註]]="年/2去計算ACT",365/2,_xlfn.DAYS(庫存Pro[[#This Row],[買進時的下個配息日]],庫存Pro[[#This Row],[買進前一個配息日(最終)]]))</f>
        <v>183</v>
      </c>
      <c r="CW8" s="768">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0.87909999999999999</v>
      </c>
      <c r="CX8" s="768">
        <f ca="1">_xlfn.DAYS(庫存Pro[[#This Row],[交割日]],庫存Pro[[#This Row],[買進前一個配息日(最終)]])</f>
        <v>383</v>
      </c>
      <c r="CY8" s="768">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4.3166000000000002</v>
      </c>
      <c r="CZ8" s="768">
        <f ca="1">_xlfn.DAYS(庫存Pro[[#This Row],[交割日]],庫存Pro[[#This Row],[最近的上一票息日]])</f>
        <v>17</v>
      </c>
      <c r="DA8" s="768">
        <f ca="1">IF(庫存Pro[[#This Row],[備註]]="年/2去計算ACT",365/2,_xlfn.DAYS(庫存Pro[[#This Row],[下一配息日]],庫存Pro[[#This Row],[最近的上一票息日]]))</f>
        <v>183</v>
      </c>
      <c r="DB8" s="768">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0.19159999999999999</v>
      </c>
      <c r="DC8" s="739">
        <f ca="1">CJ8-庫存Pro[[#This Row],[ex_div_days]]</f>
        <v>45275</v>
      </c>
      <c r="DD8" s="646">
        <f ca="1">IF(VLOOKUP(庫存Pro[[#This Row],[商品代號]],bond!B:AT,45,FALSE)="#N/A Field Not Applicable",0,VLOOKUP(庫存Pro[[#This Row],[商品代號]],bond!B:AT,45,FALSE))</f>
        <v>0</v>
      </c>
      <c r="DE8" s="793">
        <f ca="1">IF(庫存Pro[[#This Row],[ex_div_days]]&lt;&gt;0,IF(AND(庫存Pro[[#This Row],[買進例外調整]]-庫存Pro[[#This Row],[買進下一個配息日先減n天]]&gt;=0,庫存Pro[[#This Row],[買進時的下個配息日]]-庫存Pro[[#This Row],[買進例外調整]]&gt;0),1,0),0)</f>
        <v>0</v>
      </c>
      <c r="DF8" s="784">
        <f ca="1">IF(庫存Pro[[#This Row],[對應編碼]]=4,ROUND(庫存Pro[[#This Row],[前手息(初算)]]-庫存Pro[[#This Row],[票面利率]]/庫存Pro[[#This Row],[配息頻率]]*100,3),ROUND(庫存Pro[[#This Row],[前手息(初算)]]-庫存Pro[[#This Row],[票面利率]]/庫存Pro[[#This Row],[配息頻率]]*100,4))</f>
        <v>-1.1917</v>
      </c>
      <c r="DG8" s="734">
        <f ca="1">庫存Pro[[#This Row],[下一配息日]]-庫存Pro[[#This Row],[ex_div_days]]</f>
        <v>45641</v>
      </c>
      <c r="DH8" s="1084">
        <f ca="1">IF(庫存Pro[[#This Row],[ex_div_days]]&lt;&gt;0,IF(AND(庫存Pro[[#This Row],[交割日]]-庫存Pro[[#This Row],[交割下個配息日先減n天]]&gt;=0,庫存Pro[[#This Row],[下一配息日]]-庫存Pro[[#This Row],[交割日]]&gt;0),1,0),0)</f>
        <v>0</v>
      </c>
      <c r="DI8" s="1067">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-1.8676999999999999</v>
      </c>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c r="FK8" s="33"/>
      <c r="FL8" s="33"/>
      <c r="FM8" s="33"/>
      <c r="FN8" s="33"/>
      <c r="FO8" s="33"/>
      <c r="FP8" s="33"/>
      <c r="FQ8" s="33"/>
      <c r="FR8" s="33"/>
      <c r="FS8" s="33"/>
      <c r="FT8" s="33"/>
      <c r="FU8" s="33"/>
      <c r="FV8" s="33"/>
      <c r="FW8" s="33"/>
      <c r="FX8" s="33"/>
      <c r="FY8" s="33"/>
      <c r="FZ8" s="33"/>
      <c r="GA8" s="33"/>
      <c r="GB8" s="33"/>
      <c r="GC8" s="33"/>
      <c r="GD8" s="33"/>
      <c r="GE8" s="33"/>
      <c r="GF8" s="33"/>
      <c r="GG8" s="33"/>
      <c r="GH8" s="33"/>
      <c r="GI8" s="33"/>
      <c r="GJ8" s="33"/>
      <c r="GK8" s="33"/>
      <c r="GL8" s="33"/>
      <c r="GM8" s="33"/>
      <c r="GN8" s="33"/>
      <c r="GO8" s="33"/>
      <c r="GP8" s="33"/>
      <c r="GQ8" s="33"/>
      <c r="GR8" s="33"/>
      <c r="GS8" s="33"/>
      <c r="GT8" s="33"/>
      <c r="GU8" s="33"/>
      <c r="GV8" s="33"/>
      <c r="GW8" s="33"/>
      <c r="GX8" s="33"/>
      <c r="GY8" s="33"/>
      <c r="GZ8" s="33"/>
      <c r="HA8" s="33"/>
      <c r="HB8" s="33"/>
      <c r="HC8" s="33"/>
      <c r="HD8" s="33"/>
      <c r="HE8" s="33"/>
      <c r="HF8" s="33"/>
      <c r="HG8" s="33"/>
      <c r="HH8" s="33"/>
      <c r="HI8" s="33"/>
      <c r="HJ8" s="33"/>
      <c r="HK8" s="33"/>
      <c r="HL8" s="33"/>
      <c r="HM8" s="33"/>
      <c r="HN8" s="33"/>
      <c r="HO8" s="33"/>
      <c r="HP8" s="33"/>
      <c r="HQ8" s="33"/>
      <c r="HR8" s="33"/>
      <c r="HS8" s="33"/>
      <c r="HT8" s="33"/>
      <c r="HU8" s="33"/>
      <c r="HV8" s="33"/>
      <c r="HW8" s="33"/>
      <c r="HX8" s="33"/>
      <c r="HY8" s="33"/>
      <c r="HZ8" s="33"/>
      <c r="IA8" s="33"/>
      <c r="IB8" s="33"/>
      <c r="IC8" s="33"/>
      <c r="ID8" s="33"/>
      <c r="IE8" s="33"/>
    </row>
    <row r="9" spans="1:239" ht="19.5" customHeight="1">
      <c r="B9" s="613" t="s">
        <v>1948</v>
      </c>
      <c r="C9" s="613">
        <v>1</v>
      </c>
      <c r="H9" s="428" t="str">
        <f ca="1">IF(開關=TRUE,'庫存管理(Pro)'!B9,0)</f>
        <v>XG440</v>
      </c>
      <c r="I9" s="429">
        <f ca="1">VLOOKUP(H9,bond!B:I,8,FALSE)</f>
        <v>67.13</v>
      </c>
      <c r="J9" s="429">
        <f ca="1">庫存Pro[[#This Row],[買價]]+VLOOKUP(庫存Pro[[#This Row],[商品代號]],bond!B:K,10,FALSE)</f>
        <v>68.140599999999992</v>
      </c>
      <c r="K9" s="430" t="str">
        <f ca="1">VLOOKUP(H9,'銀行-TSS'!B:E,4,FALSE)</f>
        <v>Baa1 / A- / BBB+</v>
      </c>
      <c r="L9" s="431">
        <f ca="1">VLOOKUP($H9,'銀行-TSS'!B:G,6,FALSE)</f>
        <v>26.7</v>
      </c>
      <c r="M9" s="432">
        <f ca="1">IFERROR(DATEVALUE(VLOOKUP($H9,'銀行-TSS'!B:F,5,FALSE)),VLOOKUP($H9,'銀行-TSS'!B:F,5,FALSE))</f>
        <v>55227</v>
      </c>
      <c r="N9" s="433">
        <f ca="1">VLOOKUP($H9,'銀行-TSS'!B:H,7,FALSE)</f>
        <v>3.4000000000000002E-2</v>
      </c>
      <c r="O9" s="433">
        <f ca="1">庫存Pro[[#This Row],[票面利率]]/庫存Pro[[#This Row],[成本價(不含前手息)]]*100</f>
        <v>4.8826301867175223E-2</v>
      </c>
      <c r="P9" s="434">
        <f ca="1">IFERROR(VLOOKUP($H9,'銀行-TSS'!B:I,8,FALSE),"")</f>
        <v>2</v>
      </c>
      <c r="Q9" s="440">
        <f ca="1">_xlfn.IFNA(IFERROR(DATEVALUE(VLOOKUP($H9,'銀行-TSS'!B:P,15,FALSE)),VLOOKUP($H9,'銀行-TSS'!B:P,15,FALSE)),"")</f>
        <v>45550</v>
      </c>
      <c r="R9" s="570" t="b">
        <f>IF(AND('2_Check_code'!C30,庫存Pro[[#This Row],[投入面額]]&gt;0),TRUE,FALSE)</f>
        <v>1</v>
      </c>
      <c r="S9" s="602">
        <f>'庫存管理(Pro)'!AE9</f>
        <v>45168</v>
      </c>
      <c r="T9" s="602">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45170</v>
      </c>
      <c r="U9" s="442">
        <f ca="1">IFERROR(WORKDAY(庫存Pro[[#This Row],[買進日]],VLOOKUP(庫存Pro[[#This Row],[商品代號]],'1_重設數據'!R:S,2,FALSE),休USD),庫存Pro[[#This Row],[買進日(T+2/公債T+1)]])</f>
        <v>45170</v>
      </c>
      <c r="V9" s="43">
        <f>'庫存管理(Pro)'!J9</f>
        <v>500000</v>
      </c>
      <c r="W9" s="43">
        <f>'庫存管理(Pro)'!K9</f>
        <v>356012</v>
      </c>
      <c r="X9" s="464">
        <f t="shared" ca="1" si="9"/>
        <v>348173</v>
      </c>
      <c r="Y9" s="464">
        <f t="shared" ref="Y9:Y36" ca="1" si="11">ROUND(J9*V9/100,2)</f>
        <v>340703</v>
      </c>
      <c r="Z9" s="465">
        <f t="shared" ref="Z9:Z36" ca="1" si="12">ROUND(I9*V9/100,2)</f>
        <v>335650</v>
      </c>
      <c r="AA9" s="474">
        <f ca="1">IF(MF_Pro=2,庫存Pro[[#This Row],[部位現值(不含前手息)]]-庫存Pro[[#This Row],[持有成本(不含前手息)]],庫存Pro[[#This Row],[部位現值(含前手息)]]-庫存Pro[[#This Row],[持有成本(含前手息)]])</f>
        <v>-15309</v>
      </c>
      <c r="AB9" s="462">
        <f ca="1">IF(MF_Pro=2,IFERROR(庫存Pro[[#This Row],[資本利損]]/庫存Pro[[#This Row],[持有成本(不含前手息)]],0),IFERROR(庫存Pro[[#This Row],[資本利損]]/庫存Pro[[#This Row],[持有成本(含前手息)]],0))</f>
        <v>-4.3001359504735798E-2</v>
      </c>
      <c r="AC9" s="618">
        <f ca="1">庫存Pro[[#This Row],[持有成本(不含前手息)]]/庫存Pro[[#This Row],[投入面額]]*100</f>
        <v>69.634600000000006</v>
      </c>
      <c r="AD9" s="462" t="str">
        <f ca="1">VLOOKUP(庫存Pro[[#This Row],[商品代號]],bond!B:AA,26,FALSE)</f>
        <v>信諾集團</v>
      </c>
      <c r="AE9" s="1" t="str">
        <f ca="1">IFERROR(VLOOKUP($H9,'銀行-TSS'!B:Q,16,FALSE),"")</f>
        <v>醫療保健</v>
      </c>
      <c r="AF9" s="466">
        <f t="shared" ref="AF9:AF36" ca="1" si="13">N9*V9</f>
        <v>17000</v>
      </c>
      <c r="AG9" s="458">
        <f ca="1">IF(OR(庫存Pro[[#This Row],[起息日]]&gt;庫存Pro[[#This Row],[買進前一配息日(複算)]],庫存Pro[[#This Row],[判斷]]=TRUE),庫存Pro[[#This Row],[起息日]],庫存Pro[[#This Row],[買進前一配息日(複算)]])</f>
        <v>45000</v>
      </c>
      <c r="AH9" s="577" t="str">
        <f ca="1">VLOOKUP(H9,bond!B:AP,41,FALSE)</f>
        <v>30/360</v>
      </c>
      <c r="AI9" s="578">
        <f t="shared" ref="AI9:AI36" ca="1" si="14">VLOOKUP(AH9,$B$7:$C$13,2,FALSE)</f>
        <v>0</v>
      </c>
      <c r="AJ9" s="579">
        <f ca="1">IFERROR(IF(庫存Pro[[#This Row],[買進日是否落入record date]]=1,庫存Pro[[#This Row],[record date制度前手息]],庫存Pro[[#This Row],[前手息(初算)]]),0)</f>
        <v>1.5678000000000001</v>
      </c>
      <c r="AK9" s="579">
        <f ca="1">IF(OR(庫存Pro[[#This Row],[買進例外調整]]&lt;庫存Pro[[#This Row],[起息日]],庫存Pro[[#This Row],[買進例外調整]]&gt;庫存Pro[[#This Row],[到期日]]),0,IF(庫存Pro[[#This Row],[備註]]&lt;&gt;"",庫存Pro[[#This Row],[買進時前手息]],IFERROR(ROUND(ACCRINT(AG9,AG9,U9,N9,100,P9,AI9,TRUE),4),0)))</f>
        <v>1.5678000000000001</v>
      </c>
      <c r="AL9" s="580">
        <f t="shared" ca="1" si="10"/>
        <v>7839</v>
      </c>
      <c r="AM9" s="440">
        <f ca="1">DATEVALUE(VLOOKUP(H9,bond!B:I,7,FALSE))</f>
        <v>45475</v>
      </c>
      <c r="AN9" s="579">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2.8427999999999995</v>
      </c>
      <c r="AO9" s="579">
        <f ca="1">IFERROR(IF(庫存Pro[[#This Row],[交割日是否落入record date]]=1,庫存Pro[[#This Row],[交_record date制度前手息]],庫存Pro[[#This Row],[計算交割前手息(初算)]]),0)</f>
        <v>1.0105999999999999</v>
      </c>
      <c r="AP9" s="579">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1.0105999999999999</v>
      </c>
      <c r="AQ9" s="579">
        <f ca="1">IF(庫存Pro[[#This Row],[配息頻率]]=0,0,(100*庫存Pro[[#This Row],[票面利率]]/庫存Pro[[#This Row],[配息頻率]])*庫存Pro[[#This Row],[經過幾次配息]]+庫存Pro[[#This Row],[計算交割前手息(複算)]]-庫存Pro[[#This Row],[計算前手息(複算)]])</f>
        <v>2.8428000000000004</v>
      </c>
      <c r="AR9" s="581">
        <f ca="1">IF(庫存Pro[[#This Row],[商品代號]]="XFM90",0,ROUND(AQ9*V9/100,2))</f>
        <v>14214</v>
      </c>
      <c r="AS9" s="582">
        <f ca="1">IF(MF_Pro=2,IFERROR(庫存Pro[[#This Row],[累計配息]]/庫存Pro[[#This Row],[持有成本(不含前手息)]],0),IFERROR(庫存Pro[[#This Row],[已實現配息(原幣)]]/庫存Pro[[#This Row],[持有成本(含前手息)]],0))</f>
        <v>4.7751199397773107E-2</v>
      </c>
      <c r="AT9" s="583">
        <f ca="1">IF(MF_Pro=2,庫存Pro[[#This Row],[資本利損]]+庫存Pro[[#This Row],[累計配息]],庫存Pro[[#This Row],[資本利損]]+庫存Pro[[#This Row],[已實現配息(原幣)]])</f>
        <v>1691</v>
      </c>
      <c r="AU9" s="584">
        <f ca="1">IF(MF_Pro=2,IFERROR(庫存Pro[[#This Row],[合計收益]]/庫存Pro[[#This Row],[持有成本(不含前手息)]],0),IFERROR(庫存Pro[[#This Row],[合計收益]]/庫存Pro[[#This Row],[持有成本(含前手息)]],0))</f>
        <v>4.749839893037313E-3</v>
      </c>
      <c r="AV9" s="434">
        <f t="shared" ca="1" si="0"/>
        <v>3</v>
      </c>
      <c r="AW9" s="434">
        <f t="shared" ca="1" si="1"/>
        <v>9</v>
      </c>
      <c r="AX9" s="434">
        <f t="shared" ca="1" si="2"/>
        <v>0</v>
      </c>
      <c r="AY9" s="434">
        <f t="shared" ca="1" si="3"/>
        <v>0</v>
      </c>
      <c r="AZ9" s="441">
        <f ca="1">IF(AND(庫存Pro[[#This Row],[名稱]]="美國國庫債券",DAY(庫存Pro[[#This Row],[買進前一配息日(初算)]])&gt;=28),EOMONTH(庫存Pro[[#This Row],[買進前一配息日(初算)]],0),庫存Pro[[#This Row],[買進前一配息日(初算)]])</f>
        <v>45000</v>
      </c>
      <c r="BA9" s="441">
        <f t="shared" ca="1" si="4"/>
        <v>45000</v>
      </c>
      <c r="BB9" s="444">
        <f t="shared" ca="1" si="5"/>
        <v>2023</v>
      </c>
      <c r="BC9" s="441">
        <f ca="1">IF(P9&gt;0,IF(MONTH(DATE(BB9,AV9,DAY(Q9)))&lt;&gt;庫存Pro[[#This Row],[第一個配息月]],DATE(BB9,AV9+1,0),DATE(BB9,AV9,DAY(Q9))),庫存Pro[[#This Row],[買進例外調整]]+100)</f>
        <v>45000</v>
      </c>
      <c r="BD9" s="441">
        <f ca="1">IF(AW9&lt;&gt;0,IF(MONTH(DATE(BB9,AW9,DAY(Q9)))&lt;&gt;庫存Pro[[#This Row],[第二個配息月]],DATE(BB9,AW9+1,0),DATE(BB9,AW9,DAY(Q9))),庫存Pro[[#This Row],[買進例外調整]]+100)</f>
        <v>45184</v>
      </c>
      <c r="BE9" s="441">
        <f ca="1">IF(AX9&lt;&gt;0,IF(MONTH(DATE(BB9,AX9,DAY(Q9)))&lt;&gt;庫存Pro[[#This Row],[第三個配息月]],DATE(BB9,AX9+1,0),DATE(BB9,AX9,DAY(Q9))),庫存Pro[[#This Row],[買進例外調整]]+100)</f>
        <v>45270</v>
      </c>
      <c r="BF9" s="441">
        <f ca="1">IF(AY9&lt;&gt;0,IF(MONTH(DATE(BB9,AY9,DAY(Q9)))&lt;&gt;庫存Pro[[#This Row],[第四個配息月]],DATE(BB9,AY9+1,0),DATE(BB9,AY9,DAY(Q9))),庫存Pro[[#This Row],[買進例外調整]]+100)</f>
        <v>45270</v>
      </c>
      <c r="BG9" s="441">
        <f ca="1">IF(P9=1,IF(MONTH(DATE(BB9-1,AV9,DAY(Q9)))&lt;&gt;庫存Pro[[#This Row],[第一個配息月]],DATE(BB9-1,AV9+1,0),DATE(BB9-1,AV9,DAY(Q9))),IF(P9=2,IF(MONTH(DATE(BB9-1,AW9,DAY(Q9)))&lt;&gt;庫存Pro[[#This Row],[第二個配息月]],DATE(BB9-1,AW9+1,0),DATE(BB9-1,AW9,DAY(Q9))),IF(P9=4,IF(MONTH(DATE(BB9-1,AY9,DAY(Q9)))&lt;&gt;庫存Pro[[#This Row],[第四個配息月]],DATE(BB9-1,AY9+1,0),DATE(BB9-1,AY9,DAY(Q9))),庫存Pro[[#This Row],[買進例外調整]]+100)))</f>
        <v>44819</v>
      </c>
      <c r="BH9" s="445">
        <f t="shared" ref="BH9:BH36" ca="1" si="15">IFERROR(DATEDIF(BC9,$U9,"d"),10000)</f>
        <v>170</v>
      </c>
      <c r="BI9" s="445">
        <f t="shared" ref="BI9:BI36" ca="1" si="16">IFERROR(DATEDIF(BD9,$U9,"d"),10000)</f>
        <v>10000</v>
      </c>
      <c r="BJ9" s="445">
        <f t="shared" ref="BJ9:BJ36" ca="1" si="17">IFERROR(DATEDIF(BE9,$U9,"d"),10000)</f>
        <v>10000</v>
      </c>
      <c r="BK9" s="445">
        <f t="shared" ref="BK9:BK36" ca="1" si="18">IFERROR(DATEDIF(BF9,$U9,"d"),10000)</f>
        <v>10000</v>
      </c>
      <c r="BL9" s="455">
        <f t="shared" ref="BL9:BL36" ca="1" si="19">IFERROR(DATEDIF(BG9,$U9,"d"),10000)</f>
        <v>351</v>
      </c>
      <c r="BM9" s="479">
        <f ca="1">庫存Pro[[#This Row],[年度配息]]/庫存Pro[[#This Row],[配息頻率]]</f>
        <v>8500</v>
      </c>
      <c r="BN9" s="479">
        <f ca="1">庫存Pro[[#This Row],[單次配息(原幣)]]*庫存Pro[[#This Row],[換算匯率(現)]]</f>
        <v>276088.5</v>
      </c>
      <c r="BO9" s="479" t="str">
        <f ca="1">IFERROR(VLOOKUP($H9,'銀行-TSS'!B:C,2,FALSE),"")</f>
        <v>USD</v>
      </c>
      <c r="BP9" s="479">
        <f ca="1">VLOOKUP(庫存Pro[[#This Row],[幣別]],$B$37:$C$43,2,FALSE)</f>
        <v>1</v>
      </c>
      <c r="BQ9" s="500">
        <f ca="1">CHOOSE(庫存Pro[[#This Row],[對應編碼]],$D$37,$D$38,$D$39,$D$40,$D$41,$D$42,$D$43)</f>
        <v>30</v>
      </c>
      <c r="BR9" s="500">
        <f ca="1">CHOOSE(庫存Pro[[#This Row],[對應編碼]],$E$37,$E$38,$E$39,$E$40,$E$41,$E$42,$E$43)</f>
        <v>32.481000000000002</v>
      </c>
      <c r="BS9" s="595">
        <f ca="1">庫存Pro[[#This Row],[投入面額]]*庫存Pro[[#This Row],[換算匯率(現)]]</f>
        <v>16240500</v>
      </c>
      <c r="BT9" s="595">
        <f ca="1">庫存Pro[[#This Row],[持有成本(含前手息)]]*庫存Pro[[#This Row],[換算匯率(買)]]</f>
        <v>10680360</v>
      </c>
      <c r="BU9" s="498">
        <f ca="1">庫存Pro[[#This Row],[持有成本(不含前手息)]]*庫存Pro[[#This Row],[換算匯率(買)]]</f>
        <v>10445190</v>
      </c>
      <c r="BV9" s="498">
        <f ca="1">庫存Pro[[#This Row],[部位現值(含前手息)]]*庫存Pro[[#This Row],[換算匯率(現)]]</f>
        <v>11066374.143000001</v>
      </c>
      <c r="BW9" s="498">
        <f ca="1">庫存Pro[[#This Row],[部位現值(不含前手息)]]*庫存Pro[[#This Row],[換算匯率(現)]]</f>
        <v>10902247.65</v>
      </c>
      <c r="BX9" s="498">
        <f ca="1">IF(MF_Pro=2,庫存Pro[[#This Row],[累計配息]]*庫存Pro[[#This Row],[換算匯率(現)]],庫存Pro[[#This Row],[已實現配息(原幣)]]*庫存Pro[[#This Row],[換算匯率(現)]])</f>
        <v>552177</v>
      </c>
      <c r="BY9" s="498">
        <f ca="1">庫存Pro[[#This Row],[資本利損]]*庫存Pro[[#This Row],[換算匯率(現)]]</f>
        <v>-497251.62900000002</v>
      </c>
      <c r="BZ9" s="498">
        <f ca="1">庫存Pro[[#This Row],[累計利息(台)]]+庫存Pro[[#This Row],[資本貢獻(台)]]</f>
        <v>54925.370999999985</v>
      </c>
      <c r="CA9" s="574">
        <f ca="1">IFERROR(庫存Pro[[#This Row],[配息報酬]],0)</f>
        <v>4.7751199397773107E-2</v>
      </c>
      <c r="CB9" s="574">
        <f ca="1">庫存Pro[[#This Row],[資本報酬]]</f>
        <v>-4.3001359504735798E-2</v>
      </c>
      <c r="CC9" s="574">
        <f ca="1">IFERROR(庫存Pro[[#This Row],[換匯總報酬率]]-(庫存Pro[[#This Row],[配息報酬率]]+庫存Pro[[#This Row],[資本報酬率]]),0)</f>
        <v>8.30928117591542E-2</v>
      </c>
      <c r="CD9" s="574">
        <f ca="1">IF(MF_Pro=2,IFERROR((庫存Pro[[#This Row],[參考贖回金額(現)]]+庫存Pro[[#This Row],[累計利息(台)]])/庫存Pro[[#This Row],[淨投入成本(買)]]-1,0),IFERROR(((庫存Pro[[#This Row],[參考贖回金額含前手息(現)]]+庫存Pro[[#This Row],[累計利息(台)]])/庫存Pro[[#This Row],[庫存成本(買)]])-1,0))</f>
        <v>8.7842651652191517E-2</v>
      </c>
      <c r="CE9" s="585">
        <f t="shared" ca="1" si="7"/>
        <v>0.28414946396531576</v>
      </c>
      <c r="CF9" s="574">
        <f t="shared" ca="1" si="8"/>
        <v>0.27227028665485381</v>
      </c>
      <c r="CG9" s="619">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5.5687158265393839E-2</v>
      </c>
      <c r="CH9" s="646">
        <f ca="1">DATEDIF(庫存Pro[[#This Row],[買進例外調整]],庫存Pro[[#This Row],[到期日]],"d")/365.25</f>
        <v>27.534565366187543</v>
      </c>
      <c r="CI9" s="739">
        <f ca="1">DATEVALUE(VLOOKUP(庫存Pro[[#This Row],[商品代號]],bond!B:AF,31,FALSE))</f>
        <v>45366</v>
      </c>
      <c r="CJ9" s="739">
        <f ca="1">IF(庫存Pro[[#This Row],[買下配(國調)]]&lt;庫存Pro[[#This Row],[第一票息日]],庫存Pro[[#This Row],[第一票息日]],庫存Pro[[#This Row],[買下配(國調)]])</f>
        <v>45184</v>
      </c>
      <c r="CK9" s="739">
        <f ca="1">IF(AND(庫存Pro[[#This Row],[名稱]]="美國國庫債券",DAY(庫存Pro[[#This Row],[買進前一配息日(複算)]])&gt;=28),EOMONTH(EDATE(庫存Pro[[#This Row],[買進前一配息日(複算)]],12/庫存Pro[[#This Row],[配息頻率]]),0),EDATE(庫存Pro[[#This Row],[買進前一配息日(複算)]],12/庫存Pro[[#This Row],[配息頻率]]))</f>
        <v>45184</v>
      </c>
      <c r="CL9" s="646">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2</v>
      </c>
      <c r="CM9" s="646">
        <f ca="1">IF(庫存Pro[[#This Row],[商品代號]]="XFM90",0,IFERROR(庫存Pro[[#This Row],[單次配息(原幣)]]*庫存Pro[[#This Row],[經過幾次配息]],0))</f>
        <v>17000</v>
      </c>
      <c r="CN9" s="646" t="str">
        <f ca="1">VLOOKUP(庫存Pro[[#This Row],[商品代號]],bond!B:F,5,FALSE)</f>
        <v>US125523CQ19</v>
      </c>
      <c r="CO9" s="739">
        <f ca="1">IFERROR(VLOOKUP(庫存Pro[[#This Row],[ISIN]],'7_發行日例外'!A:C,3,FALSE),IFERROR(DATEVALUE(VLOOKUP(庫存Pro[[#This Row],[商品代號]],bond!B:AR,43,FALSE)),""))</f>
        <v>44258</v>
      </c>
      <c r="CP9" s="646">
        <f ca="1">DATEDIF(庫存Pro[[#This Row],[起息日]],庫存Pro[[#This Row],[買進前一配息日(複算)]],"d")</f>
        <v>742</v>
      </c>
      <c r="CQ9"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9" s="739">
        <f ca="1">IFERROR(VLOOKUP(庫存Pro[[#This Row],[ISIN]],'7_發行日例外'!A:D,4,FALSE),DATEVALUE(VLOOKUP(庫存Pro[[#This Row],[商品代號]],bond!B:AV,44,FALSE)))</f>
        <v>44454</v>
      </c>
      <c r="CS9" s="646" t="str">
        <f ca="1">VLOOKUP(庫存Pro[[#This Row],[商品代號]],bond!B:AU,46,FALSE)</f>
        <v>STREET CONVENTION</v>
      </c>
      <c r="CT9" s="646" t="str">
        <f ca="1">IF(庫存Pro[[#This Row],[計息基礎]]=1,CHOOSE(庫存Pro[[#This Row],[對應編碼]],"沒進位","","沒進位",IF(庫存Pro[[#This Row],[計算類型]]="AUSTRALIA:EX-DIV","4捨五入進0.01%","沒進位"),"年/2去計算ACT","沒進位","沒進位"),"")</f>
        <v/>
      </c>
      <c r="CU9" s="646">
        <f ca="1">_xlfn.DAYS(庫存Pro[[#This Row],[買進例外調整]],庫存Pro[[#This Row],[買進前一個配息日(最終)]])</f>
        <v>170</v>
      </c>
      <c r="CV9" s="646">
        <f ca="1">IF(庫存Pro[[#This Row],[備註]]="年/2去計算ACT",365/2,_xlfn.DAYS(庫存Pro[[#This Row],[買進時的下個配息日]],庫存Pro[[#This Row],[買進前一個配息日(最終)]]))</f>
        <v>184</v>
      </c>
      <c r="CW9" s="768">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1.5707</v>
      </c>
      <c r="CX9" s="768">
        <f ca="1">_xlfn.DAYS(庫存Pro[[#This Row],[交割日]],庫存Pro[[#This Row],[買進前一個配息日(最終)]])</f>
        <v>475</v>
      </c>
      <c r="CY9" s="768">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4.3886000000000003</v>
      </c>
      <c r="CZ9" s="768">
        <f ca="1">_xlfn.DAYS(庫存Pro[[#This Row],[交割日]],庫存Pro[[#This Row],[最近的上一票息日]])</f>
        <v>109</v>
      </c>
      <c r="DA9" s="768">
        <f ca="1">IF(庫存Pro[[#This Row],[備註]]="年/2去計算ACT",365/2,_xlfn.DAYS(庫存Pro[[#This Row],[下一配息日]],庫存Pro[[#This Row],[最近的上一票息日]]))</f>
        <v>184</v>
      </c>
      <c r="DB9" s="768">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1.0071000000000001</v>
      </c>
      <c r="DC9" s="739">
        <f ca="1">CJ9-庫存Pro[[#This Row],[ex_div_days]]</f>
        <v>45184</v>
      </c>
      <c r="DD9" s="646">
        <f ca="1">IF(VLOOKUP(庫存Pro[[#This Row],[商品代號]],bond!B:AT,45,FALSE)="#N/A Field Not Applicable",0,VLOOKUP(庫存Pro[[#This Row],[商品代號]],bond!B:AT,45,FALSE))</f>
        <v>0</v>
      </c>
      <c r="DE9" s="793">
        <f ca="1">IF(庫存Pro[[#This Row],[ex_div_days]]&lt;&gt;0,IF(AND(庫存Pro[[#This Row],[買進例外調整]]-庫存Pro[[#This Row],[買進下一個配息日先減n天]]&gt;=0,庫存Pro[[#This Row],[買進時的下個配息日]]-庫存Pro[[#This Row],[買進例外調整]]&gt;0),1,0),0)</f>
        <v>0</v>
      </c>
      <c r="DF9" s="784">
        <f ca="1">IF(庫存Pro[[#This Row],[對應編碼]]=4,ROUND(庫存Pro[[#This Row],[前手息(初算)]]-庫存Pro[[#This Row],[票面利率]]/庫存Pro[[#This Row],[配息頻率]]*100,3),ROUND(庫存Pro[[#This Row],[前手息(初算)]]-庫存Pro[[#This Row],[票面利率]]/庫存Pro[[#This Row],[配息頻率]]*100,4))</f>
        <v>-0.13220000000000001</v>
      </c>
      <c r="DG9" s="734">
        <f ca="1">庫存Pro[[#This Row],[下一配息日]]-庫存Pro[[#This Row],[ex_div_days]]</f>
        <v>45550</v>
      </c>
      <c r="DH9" s="1084">
        <f ca="1">IF(庫存Pro[[#This Row],[ex_div_days]]&lt;&gt;0,IF(AND(庫存Pro[[#This Row],[交割日]]-庫存Pro[[#This Row],[交割下個配息日先減n天]]&gt;=0,庫存Pro[[#This Row],[下一配息日]]-庫存Pro[[#This Row],[交割日]]&gt;0),1,0),0)</f>
        <v>0</v>
      </c>
      <c r="DI9" s="1067">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-0.68940000000000001</v>
      </c>
      <c r="DJ9" s="33"/>
      <c r="DK9" s="33"/>
      <c r="DL9" s="33"/>
      <c r="DM9" s="33"/>
      <c r="DN9" s="33"/>
      <c r="DO9" s="33"/>
      <c r="DP9" s="33"/>
      <c r="DQ9" s="33"/>
      <c r="DR9" s="33"/>
      <c r="DS9" s="33"/>
      <c r="DT9" s="33"/>
      <c r="DU9" s="33"/>
      <c r="DV9" s="33"/>
      <c r="DW9" s="33"/>
      <c r="DX9" s="33"/>
      <c r="DY9" s="33"/>
      <c r="DZ9" s="33"/>
      <c r="EA9" s="33"/>
      <c r="EB9" s="33"/>
      <c r="EC9" s="33"/>
      <c r="ED9" s="33"/>
      <c r="EE9" s="33"/>
      <c r="EF9" s="33"/>
      <c r="EG9" s="33"/>
      <c r="EH9" s="33"/>
      <c r="EI9" s="33"/>
      <c r="EJ9" s="33"/>
      <c r="EK9" s="33"/>
      <c r="EL9" s="33"/>
      <c r="EM9" s="33"/>
      <c r="EN9" s="33"/>
      <c r="EO9" s="33"/>
      <c r="EP9" s="33"/>
      <c r="EQ9" s="33"/>
      <c r="ER9" s="33"/>
      <c r="ES9" s="33"/>
      <c r="ET9" s="33"/>
      <c r="EU9" s="33"/>
      <c r="EV9" s="33"/>
      <c r="EW9" s="33"/>
      <c r="EX9" s="33"/>
      <c r="EY9" s="33"/>
      <c r="EZ9" s="33"/>
      <c r="FA9" s="33"/>
      <c r="FB9" s="33"/>
      <c r="FC9" s="33"/>
      <c r="FD9" s="33"/>
      <c r="FE9" s="33"/>
      <c r="FF9" s="33"/>
      <c r="FG9" s="33"/>
      <c r="FH9" s="33"/>
      <c r="FI9" s="33"/>
      <c r="FJ9" s="33"/>
      <c r="FK9" s="33"/>
      <c r="FL9" s="33"/>
      <c r="FM9" s="33"/>
      <c r="FN9" s="33"/>
      <c r="FO9" s="33"/>
      <c r="FP9" s="33"/>
      <c r="FQ9" s="33"/>
      <c r="FR9" s="33"/>
      <c r="FS9" s="33"/>
      <c r="FT9" s="33"/>
      <c r="FU9" s="33"/>
      <c r="FV9" s="33"/>
      <c r="FW9" s="33"/>
      <c r="FX9" s="33"/>
      <c r="FY9" s="33"/>
      <c r="FZ9" s="33"/>
      <c r="GA9" s="33"/>
      <c r="GB9" s="33"/>
      <c r="GC9" s="33"/>
      <c r="GD9" s="33"/>
      <c r="GE9" s="33"/>
      <c r="GF9" s="33"/>
      <c r="GG9" s="33"/>
      <c r="GH9" s="33"/>
      <c r="GI9" s="33"/>
      <c r="GJ9" s="33"/>
      <c r="GK9" s="33"/>
      <c r="GL9" s="33"/>
      <c r="GM9" s="33"/>
      <c r="GN9" s="33"/>
      <c r="GO9" s="33"/>
      <c r="GP9" s="33"/>
      <c r="GQ9" s="33"/>
      <c r="GR9" s="33"/>
      <c r="GS9" s="33"/>
      <c r="GT9" s="33"/>
      <c r="GU9" s="33"/>
      <c r="GV9" s="33"/>
      <c r="GW9" s="33"/>
      <c r="GX9" s="33"/>
      <c r="GY9" s="33"/>
      <c r="GZ9" s="33"/>
      <c r="HA9" s="33"/>
      <c r="HB9" s="33"/>
      <c r="HC9" s="33"/>
      <c r="HD9" s="33"/>
      <c r="HE9" s="33"/>
      <c r="HF9" s="33"/>
      <c r="HG9" s="33"/>
      <c r="HH9" s="33"/>
      <c r="HI9" s="33"/>
      <c r="HJ9" s="33"/>
      <c r="HK9" s="33"/>
      <c r="HL9" s="33"/>
      <c r="HM9" s="33"/>
      <c r="HN9" s="33"/>
      <c r="HO9" s="33"/>
      <c r="HP9" s="33"/>
      <c r="HQ9" s="33"/>
      <c r="HR9" s="33"/>
      <c r="HS9" s="33"/>
      <c r="HT9" s="33"/>
      <c r="HU9" s="33"/>
      <c r="HV9" s="33"/>
      <c r="HW9" s="33"/>
      <c r="HX9" s="33"/>
      <c r="HY9" s="33"/>
      <c r="HZ9" s="33"/>
      <c r="IA9" s="33"/>
      <c r="IB9" s="33"/>
      <c r="IC9" s="33"/>
      <c r="ID9" s="33"/>
      <c r="IE9" s="33"/>
    </row>
    <row r="10" spans="1:239" ht="19.5" customHeight="1">
      <c r="B10" s="613" t="s">
        <v>1947</v>
      </c>
      <c r="C10" s="613">
        <v>2</v>
      </c>
      <c r="H10" s="428" t="str">
        <f ca="1">IF(開關=TRUE,'庫存管理(Pro)'!B10,0)</f>
        <v>XH240</v>
      </c>
      <c r="I10" s="429">
        <f ca="1">VLOOKUP(H10,bond!B:I,8,FALSE)</f>
        <v>63.75</v>
      </c>
      <c r="J10" s="429">
        <f ca="1">庫存Pro[[#This Row],[買價]]+VLOOKUP(庫存Pro[[#This Row],[商品代號]],bond!B:K,10,FALSE)</f>
        <v>65.118499999999997</v>
      </c>
      <c r="K10" s="430" t="str">
        <f ca="1">VLOOKUP(H10,'銀行-TSS'!B:E,4,FALSE)</f>
        <v>A2 / A / A</v>
      </c>
      <c r="L10" s="431">
        <f ca="1">VLOOKUP($H10,'銀行-TSS'!B:G,6,FALSE)</f>
        <v>27.54</v>
      </c>
      <c r="M10" s="432">
        <f ca="1">IFERROR(DATEVALUE(VLOOKUP($H10,'銀行-TSS'!B:F,5,FALSE)),VLOOKUP($H10,'銀行-TSS'!B:F,5,FALSE))</f>
        <v>55533</v>
      </c>
      <c r="N10" s="433">
        <f ca="1">VLOOKUP($H10,'銀行-TSS'!B:H,7,FALSE)</f>
        <v>2.9500000000000002E-2</v>
      </c>
      <c r="O10" s="433">
        <f ca="1">庫存Pro[[#This Row],[票面利率]]/庫存Pro[[#This Row],[成本價(不含前手息)]]*100</f>
        <v>4.3624146186732049E-2</v>
      </c>
      <c r="P10" s="434">
        <f ca="1">IFERROR(VLOOKUP($H10,'銀行-TSS'!B:I,8,FALSE),"")</f>
        <v>2</v>
      </c>
      <c r="Q10" s="440">
        <f ca="1">_xlfn.IFNA(IFERROR(DATEVALUE(VLOOKUP($H10,'銀行-TSS'!B:P,15,FALSE)),VLOOKUP($H10,'銀行-TSS'!B:P,15,FALSE)),"")</f>
        <v>45488</v>
      </c>
      <c r="R10" s="570" t="b">
        <f>IF(AND('2_Check_code'!C31,庫存Pro[[#This Row],[投入面額]]&gt;0),TRUE,FALSE)</f>
        <v>1</v>
      </c>
      <c r="S10" s="602">
        <f>'庫存管理(Pro)'!AE10</f>
        <v>45168</v>
      </c>
      <c r="T10" s="602">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45170</v>
      </c>
      <c r="U10" s="442">
        <f ca="1">IFERROR(WORKDAY(庫存Pro[[#This Row],[買進日]],VLOOKUP(庫存Pro[[#This Row],[商品代號]],'1_重設數據'!R:S,2,FALSE),休USD),庫存Pro[[#This Row],[買進日(T+2/公債T+1)]])</f>
        <v>45170</v>
      </c>
      <c r="V10" s="43">
        <f>'庫存管理(Pro)'!J10</f>
        <v>100000</v>
      </c>
      <c r="W10" s="43">
        <f>'庫存管理(Pro)'!K10</f>
        <v>68000</v>
      </c>
      <c r="X10" s="464">
        <f t="shared" ca="1" si="9"/>
        <v>67623.100000000006</v>
      </c>
      <c r="Y10" s="464">
        <f t="shared" ca="1" si="11"/>
        <v>65118.5</v>
      </c>
      <c r="Z10" s="465">
        <f t="shared" ca="1" si="12"/>
        <v>63750</v>
      </c>
      <c r="AA10" s="474">
        <f ca="1">IF(MF_Pro=2,庫存Pro[[#This Row],[部位現值(不含前手息)]]-庫存Pro[[#This Row],[持有成本(不含前手息)]],庫存Pro[[#This Row],[部位現值(含前手息)]]-庫存Pro[[#This Row],[持有成本(含前手息)]])</f>
        <v>-2881.5</v>
      </c>
      <c r="AB10" s="462">
        <f ca="1">IF(MF_Pro=2,IFERROR(庫存Pro[[#This Row],[資本利損]]/庫存Pro[[#This Row],[持有成本(不含前手息)]],0),IFERROR(庫存Pro[[#This Row],[資本利損]]/庫存Pro[[#This Row],[持有成本(含前手息)]],0))</f>
        <v>-4.2375000000000003E-2</v>
      </c>
      <c r="AC10" s="618">
        <f ca="1">庫存Pro[[#This Row],[持有成本(不含前手息)]]/庫存Pro[[#This Row],[投入面額]]*100</f>
        <v>67.623100000000008</v>
      </c>
      <c r="AD10" s="462" t="str">
        <f ca="1">VLOOKUP(庫存Pro[[#This Row],[商品代號]],bond!B:AA,26,FALSE)</f>
        <v>目標百貨公司</v>
      </c>
      <c r="AE10" s="1" t="str">
        <f ca="1">IFERROR(VLOOKUP($H10,'銀行-TSS'!B:Q,16,FALSE),"")</f>
        <v>核心消費</v>
      </c>
      <c r="AF10" s="466">
        <f t="shared" ca="1" si="13"/>
        <v>2950</v>
      </c>
      <c r="AG10" s="458">
        <f ca="1">IF(OR(庫存Pro[[#This Row],[起息日]]&gt;庫存Pro[[#This Row],[買進前一配息日(複算)]],庫存Pro[[#This Row],[判斷]]=TRUE),庫存Pro[[#This Row],[起息日]],庫存Pro[[#This Row],[買進前一配息日(複算)]])</f>
        <v>45122</v>
      </c>
      <c r="AH10" s="577" t="str">
        <f ca="1">VLOOKUP(H10,bond!B:AP,41,FALSE)</f>
        <v>30/360</v>
      </c>
      <c r="AI10" s="578">
        <f t="shared" ca="1" si="14"/>
        <v>0</v>
      </c>
      <c r="AJ10" s="579">
        <f ca="1">IFERROR(IF(庫存Pro[[#This Row],[買進日是否落入record date]]=1,庫存Pro[[#This Row],[record date制度前手息]],庫存Pro[[#This Row],[前手息(初算)]]),0)</f>
        <v>0.37690000000000001</v>
      </c>
      <c r="AK10" s="579">
        <f ca="1">IF(OR(庫存Pro[[#This Row],[買進例外調整]]&lt;庫存Pro[[#This Row],[起息日]],庫存Pro[[#This Row],[買進例外調整]]&gt;庫存Pro[[#This Row],[到期日]]),0,IF(庫存Pro[[#This Row],[備註]]&lt;&gt;"",庫存Pro[[#This Row],[買進時前手息]],IFERROR(ROUND(ACCRINT(AG10,AG10,U10,N10,100,P10,AI10,TRUE),4),0)))</f>
        <v>0.37690000000000001</v>
      </c>
      <c r="AL10" s="580">
        <f t="shared" ca="1" si="10"/>
        <v>376.9</v>
      </c>
      <c r="AM10" s="440">
        <f ca="1">DATEVALUE(VLOOKUP(H10,bond!B:I,7,FALSE))</f>
        <v>45475</v>
      </c>
      <c r="AN10" s="579">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2.4666000000000001</v>
      </c>
      <c r="AO10" s="579">
        <f ca="1">IFERROR(IF(庫存Pro[[#This Row],[交割日是否落入record date]]=1,庫存Pro[[#This Row],[交_record date制度前手息]],庫存Pro[[#This Row],[計算交割前手息(初算)]]),0)</f>
        <v>1.3685</v>
      </c>
      <c r="AP10" s="579">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1.3685</v>
      </c>
      <c r="AQ10" s="579">
        <f ca="1">IF(庫存Pro[[#This Row],[配息頻率]]=0,0,(100*庫存Pro[[#This Row],[票面利率]]/庫存Pro[[#This Row],[配息頻率]])*庫存Pro[[#This Row],[經過幾次配息]]+庫存Pro[[#This Row],[計算交割前手息(複算)]]-庫存Pro[[#This Row],[計算前手息(複算)]])</f>
        <v>2.4666000000000001</v>
      </c>
      <c r="AR10" s="581">
        <f ca="1">IF(庫存Pro[[#This Row],[商品代號]]="XFM90",0,ROUND(AQ10*V10/100,2))</f>
        <v>2466.6</v>
      </c>
      <c r="AS10" s="582">
        <f ca="1">IF(MF_Pro=2,IFERROR(庫存Pro[[#This Row],[累計配息]]/庫存Pro[[#This Row],[持有成本(不含前手息)]],0),IFERROR(庫存Pro[[#This Row],[已實現配息(原幣)]]/庫存Pro[[#This Row],[持有成本(含前手息)]],0))</f>
        <v>2.1691176470588235E-2</v>
      </c>
      <c r="AT10" s="583">
        <f ca="1">IF(MF_Pro=2,庫存Pro[[#This Row],[資本利損]]+庫存Pro[[#This Row],[累計配息]],庫存Pro[[#This Row],[資本利損]]+庫存Pro[[#This Row],[已實現配息(原幣)]])</f>
        <v>-1406.5</v>
      </c>
      <c r="AU10" s="584">
        <f ca="1">IF(MF_Pro=2,IFERROR(庫存Pro[[#This Row],[合計收益]]/庫存Pro[[#This Row],[持有成本(不含前手息)]],0),IFERROR(庫存Pro[[#This Row],[合計收益]]/庫存Pro[[#This Row],[持有成本(含前手息)]],0))</f>
        <v>-2.0683823529411765E-2</v>
      </c>
      <c r="AV10" s="434">
        <f t="shared" ca="1" si="0"/>
        <v>1</v>
      </c>
      <c r="AW10" s="434">
        <f t="shared" ca="1" si="1"/>
        <v>7</v>
      </c>
      <c r="AX10" s="434">
        <f t="shared" ca="1" si="2"/>
        <v>0</v>
      </c>
      <c r="AY10" s="434">
        <f t="shared" ca="1" si="3"/>
        <v>0</v>
      </c>
      <c r="AZ10" s="441">
        <f ca="1">IF(AND(庫存Pro[[#This Row],[名稱]]="美國國庫債券",DAY(庫存Pro[[#This Row],[買進前一配息日(初算)]])&gt;=28),EOMONTH(庫存Pro[[#This Row],[買進前一配息日(初算)]],0),庫存Pro[[#This Row],[買進前一配息日(初算)]])</f>
        <v>45122</v>
      </c>
      <c r="BA10" s="441">
        <f t="shared" ca="1" si="4"/>
        <v>45122</v>
      </c>
      <c r="BB10" s="444">
        <f t="shared" ca="1" si="5"/>
        <v>2023</v>
      </c>
      <c r="BC10" s="441">
        <f ca="1">IF(P10&gt;0,IF(MONTH(DATE(BB10,AV10,DAY(Q10)))&lt;&gt;庫存Pro[[#This Row],[第一個配息月]],DATE(BB10,AV10+1,0),DATE(BB10,AV10,DAY(Q10))),庫存Pro[[#This Row],[買進例外調整]]+100)</f>
        <v>44941</v>
      </c>
      <c r="BD10" s="441">
        <f ca="1">IF(AW10&lt;&gt;0,IF(MONTH(DATE(BB10,AW10,DAY(Q10)))&lt;&gt;庫存Pro[[#This Row],[第二個配息月]],DATE(BB10,AW10+1,0),DATE(BB10,AW10,DAY(Q10))),庫存Pro[[#This Row],[買進例外調整]]+100)</f>
        <v>45122</v>
      </c>
      <c r="BE10" s="441">
        <f ca="1">IF(AX10&lt;&gt;0,IF(MONTH(DATE(BB10,AX10,DAY(Q10)))&lt;&gt;庫存Pro[[#This Row],[第三個配息月]],DATE(BB10,AX10+1,0),DATE(BB10,AX10,DAY(Q10))),庫存Pro[[#This Row],[買進例外調整]]+100)</f>
        <v>45270</v>
      </c>
      <c r="BF10" s="441">
        <f ca="1">IF(AY10&lt;&gt;0,IF(MONTH(DATE(BB10,AY10,DAY(Q10)))&lt;&gt;庫存Pro[[#This Row],[第四個配息月]],DATE(BB10,AY10+1,0),DATE(BB10,AY10,DAY(Q10))),庫存Pro[[#This Row],[買進例外調整]]+100)</f>
        <v>45270</v>
      </c>
      <c r="BG10" s="441">
        <f ca="1">IF(P10=1,IF(MONTH(DATE(BB10-1,AV10,DAY(Q10)))&lt;&gt;庫存Pro[[#This Row],[第一個配息月]],DATE(BB10-1,AV10+1,0),DATE(BB10-1,AV10,DAY(Q10))),IF(P10=2,IF(MONTH(DATE(BB10-1,AW10,DAY(Q10)))&lt;&gt;庫存Pro[[#This Row],[第二個配息月]],DATE(BB10-1,AW10+1,0),DATE(BB10-1,AW10,DAY(Q10))),IF(P10=4,IF(MONTH(DATE(BB10-1,AY10,DAY(Q10)))&lt;&gt;庫存Pro[[#This Row],[第四個配息月]],DATE(BB10-1,AY10+1,0),DATE(BB10-1,AY10,DAY(Q10))),庫存Pro[[#This Row],[買進例外調整]]+100)))</f>
        <v>44757</v>
      </c>
      <c r="BH10" s="445">
        <f t="shared" ca="1" si="15"/>
        <v>229</v>
      </c>
      <c r="BI10" s="445">
        <f t="shared" ca="1" si="16"/>
        <v>48</v>
      </c>
      <c r="BJ10" s="445">
        <f t="shared" ca="1" si="17"/>
        <v>10000</v>
      </c>
      <c r="BK10" s="445">
        <f t="shared" ca="1" si="18"/>
        <v>10000</v>
      </c>
      <c r="BL10" s="455">
        <f t="shared" ca="1" si="19"/>
        <v>413</v>
      </c>
      <c r="BM10" s="479">
        <f ca="1">庫存Pro[[#This Row],[年度配息]]/庫存Pro[[#This Row],[配息頻率]]</f>
        <v>1475</v>
      </c>
      <c r="BN10" s="479">
        <f ca="1">庫存Pro[[#This Row],[單次配息(原幣)]]*庫存Pro[[#This Row],[換算匯率(現)]]</f>
        <v>47909.475000000006</v>
      </c>
      <c r="BO10" s="479" t="str">
        <f ca="1">IFERROR(VLOOKUP($H10,'銀行-TSS'!B:C,2,FALSE),"")</f>
        <v>USD</v>
      </c>
      <c r="BP10" s="479">
        <f ca="1">VLOOKUP(庫存Pro[[#This Row],[幣別]],$B$37:$C$43,2,FALSE)</f>
        <v>1</v>
      </c>
      <c r="BQ10" s="500">
        <f ca="1">CHOOSE(庫存Pro[[#This Row],[對應編碼]],$D$37,$D$38,$D$39,$D$40,$D$41,$D$42,$D$43)</f>
        <v>30</v>
      </c>
      <c r="BR10" s="500">
        <f ca="1">CHOOSE(庫存Pro[[#This Row],[對應編碼]],$E$37,$E$38,$E$39,$E$40,$E$41,$E$42,$E$43)</f>
        <v>32.481000000000002</v>
      </c>
      <c r="BS10" s="595">
        <f ca="1">庫存Pro[[#This Row],[投入面額]]*庫存Pro[[#This Row],[換算匯率(現)]]</f>
        <v>3248100</v>
      </c>
      <c r="BT10" s="595">
        <f ca="1">庫存Pro[[#This Row],[持有成本(含前手息)]]*庫存Pro[[#This Row],[換算匯率(買)]]</f>
        <v>2040000</v>
      </c>
      <c r="BU10" s="498">
        <f ca="1">庫存Pro[[#This Row],[持有成本(不含前手息)]]*庫存Pro[[#This Row],[換算匯率(買)]]</f>
        <v>2028693.0000000002</v>
      </c>
      <c r="BV10" s="498">
        <f ca="1">庫存Pro[[#This Row],[部位現值(含前手息)]]*庫存Pro[[#This Row],[換算匯率(現)]]</f>
        <v>2115113.9985000002</v>
      </c>
      <c r="BW10" s="498">
        <f ca="1">庫存Pro[[#This Row],[部位現值(不含前手息)]]*庫存Pro[[#This Row],[換算匯率(現)]]</f>
        <v>2070663.75</v>
      </c>
      <c r="BX10" s="498">
        <f ca="1">IF(MF_Pro=2,庫存Pro[[#This Row],[累計配息]]*庫存Pro[[#This Row],[換算匯率(現)]],庫存Pro[[#This Row],[已實現配息(原幣)]]*庫存Pro[[#This Row],[換算匯率(現)]])</f>
        <v>47909.475000000006</v>
      </c>
      <c r="BY10" s="498">
        <f ca="1">庫存Pro[[#This Row],[資本利損]]*庫存Pro[[#This Row],[換算匯率(現)]]</f>
        <v>-93594.001499999998</v>
      </c>
      <c r="BZ10" s="498">
        <f ca="1">庫存Pro[[#This Row],[累計利息(台)]]+庫存Pro[[#This Row],[資本貢獻(台)]]</f>
        <v>-45684.526499999993</v>
      </c>
      <c r="CA10" s="574">
        <f ca="1">IFERROR(庫存Pro[[#This Row],[配息報酬]],0)</f>
        <v>2.1691176470588235E-2</v>
      </c>
      <c r="CB10" s="574">
        <f ca="1">庫存Pro[[#This Row],[資本報酬]]</f>
        <v>-4.2375000000000003E-2</v>
      </c>
      <c r="CC10" s="574">
        <f ca="1">IFERROR(庫存Pro[[#This Row],[換匯總報酬率]]-(庫存Pro[[#This Row],[配息報酬率]]+庫存Pro[[#This Row],[資本報酬率]]),0)</f>
        <v>8.098944779411775E-2</v>
      </c>
      <c r="CD10" s="574">
        <f ca="1">IF(MF_Pro=2,IFERROR((庫存Pro[[#This Row],[參考贖回金額(現)]]+庫存Pro[[#This Row],[累計利息(台)]])/庫存Pro[[#This Row],[淨投入成本(買)]]-1,0),IFERROR(((庫存Pro[[#This Row],[參考贖回金額含前手息(現)]]+庫存Pro[[#This Row],[累計利息(台)]])/庫存Pro[[#This Row],[庫存成本(買)]])-1,0))</f>
        <v>6.0305624264705981E-2</v>
      </c>
      <c r="CE10" s="585">
        <f t="shared" ca="1" si="7"/>
        <v>5.4273910850312551E-2</v>
      </c>
      <c r="CF10" s="574">
        <f t="shared" ca="1" si="8"/>
        <v>5.2038968431549169E-2</v>
      </c>
      <c r="CG10" s="619">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5.1278245183928248E-2</v>
      </c>
      <c r="CH10" s="646">
        <f ca="1">DATEDIF(庫存Pro[[#This Row],[買進例外調整]],庫存Pro[[#This Row],[到期日]],"d")/365.25</f>
        <v>28.372347707049965</v>
      </c>
      <c r="CI10" s="739">
        <f ca="1">DATEVALUE(VLOOKUP(庫存Pro[[#This Row],[商品代號]],bond!B:AF,31,FALSE))</f>
        <v>45306</v>
      </c>
      <c r="CJ10" s="739">
        <f ca="1">IF(庫存Pro[[#This Row],[買下配(國調)]]&lt;庫存Pro[[#This Row],[第一票息日]],庫存Pro[[#This Row],[第一票息日]],庫存Pro[[#This Row],[買下配(國調)]])</f>
        <v>45306</v>
      </c>
      <c r="CK10" s="739">
        <f ca="1">IF(AND(庫存Pro[[#This Row],[名稱]]="美國國庫債券",DAY(庫存Pro[[#This Row],[買進前一配息日(複算)]])&gt;=28),EOMONTH(EDATE(庫存Pro[[#This Row],[買進前一配息日(複算)]],12/庫存Pro[[#This Row],[配息頻率]]),0),EDATE(庫存Pro[[#This Row],[買進前一配息日(複算)]],12/庫存Pro[[#This Row],[配息頻率]]))</f>
        <v>45306</v>
      </c>
      <c r="CL10" s="646">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1</v>
      </c>
      <c r="CM10" s="646">
        <f ca="1">IF(庫存Pro[[#This Row],[商品代號]]="XFM90",0,IFERROR(庫存Pro[[#This Row],[單次配息(原幣)]]*庫存Pro[[#This Row],[經過幾次配息]],0))</f>
        <v>1475</v>
      </c>
      <c r="CN10" s="646" t="str">
        <f ca="1">VLOOKUP(庫存Pro[[#This Row],[商品代號]],bond!B:F,5,FALSE)</f>
        <v>US87612EBN58</v>
      </c>
      <c r="CO10" s="739">
        <f ca="1">IFERROR(VLOOKUP(庫存Pro[[#This Row],[ISIN]],'7_發行日例外'!A:C,3,FALSE),IFERROR(DATEVALUE(VLOOKUP(庫存Pro[[#This Row],[商品代號]],bond!B:AR,43,FALSE)),""))</f>
        <v>44585</v>
      </c>
      <c r="CP10" s="646">
        <f ca="1">DATEDIF(庫存Pro[[#This Row],[起息日]],庫存Pro[[#This Row],[買進前一配息日(複算)]],"d")</f>
        <v>537</v>
      </c>
      <c r="CQ10"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0" s="739">
        <f ca="1">IFERROR(VLOOKUP(庫存Pro[[#This Row],[ISIN]],'7_發行日例外'!A:D,4,FALSE),DATEVALUE(VLOOKUP(庫存Pro[[#This Row],[商品代號]],bond!B:AV,44,FALSE)))</f>
        <v>44757</v>
      </c>
      <c r="CS10" s="646" t="str">
        <f ca="1">VLOOKUP(庫存Pro[[#This Row],[商品代號]],bond!B:AU,46,FALSE)</f>
        <v>STREET CONVENTION</v>
      </c>
      <c r="CT10" s="646" t="str">
        <f ca="1">IF(庫存Pro[[#This Row],[計息基礎]]=1,CHOOSE(庫存Pro[[#This Row],[對應編碼]],"沒進位","","沒進位",IF(庫存Pro[[#This Row],[計算類型]]="AUSTRALIA:EX-DIV","4捨五入進0.01%","沒進位"),"年/2去計算ACT","沒進位","沒進位"),"")</f>
        <v/>
      </c>
      <c r="CU10" s="646">
        <f ca="1">_xlfn.DAYS(庫存Pro[[#This Row],[買進例外調整]],庫存Pro[[#This Row],[買進前一個配息日(最終)]])</f>
        <v>48</v>
      </c>
      <c r="CV10" s="646">
        <f ca="1">IF(庫存Pro[[#This Row],[備註]]="年/2去計算ACT",365/2,_xlfn.DAYS(庫存Pro[[#This Row],[買進時的下個配息日]],庫存Pro[[#This Row],[買進前一個配息日(最終)]]))</f>
        <v>184</v>
      </c>
      <c r="CW10" s="768">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0.38479999999999998</v>
      </c>
      <c r="CX10" s="768">
        <f ca="1">_xlfn.DAYS(庫存Pro[[#This Row],[交割日]],庫存Pro[[#This Row],[買進前一個配息日(最終)]])</f>
        <v>353</v>
      </c>
      <c r="CY10" s="768">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2.8298000000000001</v>
      </c>
      <c r="CZ10" s="768">
        <f ca="1">_xlfn.DAYS(庫存Pro[[#This Row],[交割日]],庫存Pro[[#This Row],[最近的上一票息日]])</f>
        <v>169</v>
      </c>
      <c r="DA10" s="768">
        <f ca="1">IF(庫存Pro[[#This Row],[備註]]="年/2去計算ACT",365/2,_xlfn.DAYS(庫存Pro[[#This Row],[下一配息日]],庫存Pro[[#This Row],[最近的上一票息日]]))</f>
        <v>182</v>
      </c>
      <c r="DB10" s="768">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1.3695999999999999</v>
      </c>
      <c r="DC10" s="739">
        <f ca="1">CJ10-庫存Pro[[#This Row],[ex_div_days]]</f>
        <v>45306</v>
      </c>
      <c r="DD10" s="646">
        <f ca="1">IF(VLOOKUP(庫存Pro[[#This Row],[商品代號]],bond!B:AT,45,FALSE)="#N/A Field Not Applicable",0,VLOOKUP(庫存Pro[[#This Row],[商品代號]],bond!B:AT,45,FALSE))</f>
        <v>0</v>
      </c>
      <c r="DE10" s="793">
        <f ca="1">IF(庫存Pro[[#This Row],[ex_div_days]]&lt;&gt;0,IF(AND(庫存Pro[[#This Row],[買進例外調整]]-庫存Pro[[#This Row],[買進下一個配息日先減n天]]&gt;=0,庫存Pro[[#This Row],[買進時的下個配息日]]-庫存Pro[[#This Row],[買進例外調整]]&gt;0),1,0),0)</f>
        <v>0</v>
      </c>
      <c r="DF10" s="784">
        <f ca="1">IF(庫存Pro[[#This Row],[對應編碼]]=4,ROUND(庫存Pro[[#This Row],[前手息(初算)]]-庫存Pro[[#This Row],[票面利率]]/庫存Pro[[#This Row],[配息頻率]]*100,3),ROUND(庫存Pro[[#This Row],[前手息(初算)]]-庫存Pro[[#This Row],[票面利率]]/庫存Pro[[#This Row],[配息頻率]]*100,4))</f>
        <v>-1.0981000000000001</v>
      </c>
      <c r="DG10" s="734">
        <f ca="1">庫存Pro[[#This Row],[下一配息日]]-庫存Pro[[#This Row],[ex_div_days]]</f>
        <v>45488</v>
      </c>
      <c r="DH10" s="1084">
        <f ca="1">IF(庫存Pro[[#This Row],[ex_div_days]]&lt;&gt;0,IF(AND(庫存Pro[[#This Row],[交割日]]-庫存Pro[[#This Row],[交割下個配息日先減n天]]&gt;=0,庫存Pro[[#This Row],[下一配息日]]-庫存Pro[[#This Row],[交割日]]&gt;0),1,0),0)</f>
        <v>0</v>
      </c>
      <c r="DI10" s="1067">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-0.1065</v>
      </c>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c r="FD10" s="33"/>
      <c r="FE10" s="33"/>
      <c r="FF10" s="33"/>
      <c r="FG10" s="33"/>
      <c r="FH10" s="33"/>
      <c r="FI10" s="33"/>
      <c r="FJ10" s="33"/>
      <c r="FK10" s="33"/>
      <c r="FL10" s="33"/>
      <c r="FM10" s="33"/>
      <c r="FN10" s="33"/>
      <c r="FO10" s="33"/>
      <c r="FP10" s="33"/>
      <c r="FQ10" s="33"/>
      <c r="FR10" s="33"/>
      <c r="FS10" s="33"/>
      <c r="FT10" s="33"/>
      <c r="FU10" s="33"/>
      <c r="FV10" s="33"/>
      <c r="FW10" s="33"/>
      <c r="FX10" s="33"/>
      <c r="FY10" s="33"/>
      <c r="FZ10" s="33"/>
      <c r="GA10" s="33"/>
      <c r="GB10" s="33"/>
      <c r="GC10" s="33"/>
      <c r="GD10" s="33"/>
      <c r="GE10" s="33"/>
      <c r="GF10" s="33"/>
      <c r="GG10" s="33"/>
      <c r="GH10" s="33"/>
      <c r="GI10" s="33"/>
      <c r="GJ10" s="33"/>
      <c r="GK10" s="33"/>
      <c r="GL10" s="33"/>
      <c r="GM10" s="33"/>
      <c r="GN10" s="33"/>
      <c r="GO10" s="33"/>
      <c r="GP10" s="33"/>
      <c r="GQ10" s="33"/>
      <c r="GR10" s="33"/>
      <c r="GS10" s="33"/>
      <c r="GT10" s="33"/>
      <c r="GU10" s="33"/>
      <c r="GV10" s="33"/>
      <c r="GW10" s="33"/>
      <c r="GX10" s="33"/>
      <c r="GY10" s="33"/>
      <c r="GZ10" s="33"/>
      <c r="HA10" s="33"/>
      <c r="HB10" s="33"/>
      <c r="HC10" s="33"/>
      <c r="HD10" s="33"/>
      <c r="HE10" s="33"/>
      <c r="HF10" s="33"/>
      <c r="HG10" s="33"/>
      <c r="HH10" s="33"/>
      <c r="HI10" s="33"/>
      <c r="HJ10" s="33"/>
      <c r="HK10" s="33"/>
      <c r="HL10" s="33"/>
      <c r="HM10" s="33"/>
      <c r="HN10" s="33"/>
      <c r="HO10" s="33"/>
      <c r="HP10" s="33"/>
      <c r="HQ10" s="33"/>
      <c r="HR10" s="33"/>
      <c r="HS10" s="33"/>
      <c r="HT10" s="33"/>
      <c r="HU10" s="33"/>
      <c r="HV10" s="33"/>
      <c r="HW10" s="33"/>
      <c r="HX10" s="33"/>
      <c r="HY10" s="33"/>
      <c r="HZ10" s="33"/>
      <c r="IA10" s="33"/>
      <c r="IB10" s="33"/>
      <c r="IC10" s="33"/>
      <c r="ID10" s="33"/>
      <c r="IE10" s="33"/>
    </row>
    <row r="11" spans="1:239" ht="19.5" customHeight="1">
      <c r="B11" s="613" t="s">
        <v>1951</v>
      </c>
      <c r="C11" s="613">
        <v>3</v>
      </c>
      <c r="H11" s="428" t="str">
        <f ca="1">IF(開關=TRUE,'庫存管理(Pro)'!B11,0)</f>
        <v>XG490</v>
      </c>
      <c r="I11" s="429">
        <f ca="1">VLOOKUP(H11,bond!B:I,8,FALSE)</f>
        <v>66.05</v>
      </c>
      <c r="J11" s="429">
        <f ca="1">庫存Pro[[#This Row],[買價]]+VLOOKUP(庫存Pro[[#This Row],[商品代號]],bond!B:K,10,FALSE)</f>
        <v>67.673599999999993</v>
      </c>
      <c r="K11" s="430" t="str">
        <f ca="1">VLOOKUP(H11,'銀行-TSS'!B:E,4,FALSE)</f>
        <v>Baa3 / BBB- / WD</v>
      </c>
      <c r="L11" s="431">
        <f ca="1">VLOOKUP($H11,'銀行-TSS'!B:G,6,FALSE)</f>
        <v>27.03</v>
      </c>
      <c r="M11" s="432">
        <f ca="1">IFERROR(DATEVALUE(VLOOKUP($H11,'銀行-TSS'!B:F,5,FALSE)),VLOOKUP($H11,'銀行-TSS'!B:F,5,FALSE))</f>
        <v>55349</v>
      </c>
      <c r="N11" s="433">
        <f ca="1">VLOOKUP($H11,'銀行-TSS'!B:H,7,FALSE)</f>
        <v>3.5000000000000003E-2</v>
      </c>
      <c r="O11" s="433">
        <f ca="1">庫存Pro[[#This Row],[票面利率]]/庫存Pro[[#This Row],[成本價(不含前手息)]]*100</f>
        <v>5.2994331120693829E-2</v>
      </c>
      <c r="P11" s="434">
        <f ca="1">IFERROR(VLOOKUP($H11,'銀行-TSS'!B:I,8,FALSE),"")</f>
        <v>2</v>
      </c>
      <c r="Q11" s="440">
        <f ca="1">_xlfn.IFNA(IFERROR(DATEVALUE(VLOOKUP($H11,'銀行-TSS'!B:P,15,FALSE)),VLOOKUP($H11,'銀行-TSS'!B:P,15,FALSE)),"")</f>
        <v>45488</v>
      </c>
      <c r="R11" s="570" t="b">
        <f>IF(AND('2_Check_code'!C32,庫存Pro[[#This Row],[投入面額]]&gt;0),TRUE,FALSE)</f>
        <v>1</v>
      </c>
      <c r="S11" s="602">
        <f>'庫存管理(Pro)'!AE11</f>
        <v>45168</v>
      </c>
      <c r="T11" s="602">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45170</v>
      </c>
      <c r="U11" s="442">
        <f ca="1">IFERROR(WORKDAY(庫存Pro[[#This Row],[買進日]],VLOOKUP(庫存Pro[[#This Row],[商品代號]],'1_重設數據'!R:S,2,FALSE),休USD),庫存Pro[[#This Row],[買進日(T+2/公債T+1)]])</f>
        <v>45170</v>
      </c>
      <c r="V11" s="43">
        <f>'庫存管理(Pro)'!J11</f>
        <v>100000</v>
      </c>
      <c r="W11" s="43">
        <f>'庫存管理(Pro)'!K11</f>
        <v>66492</v>
      </c>
      <c r="X11" s="464">
        <f t="shared" ca="1" si="9"/>
        <v>66044.800000000003</v>
      </c>
      <c r="Y11" s="464">
        <f t="shared" ca="1" si="11"/>
        <v>67673.600000000006</v>
      </c>
      <c r="Z11" s="465">
        <f t="shared" ca="1" si="12"/>
        <v>66050</v>
      </c>
      <c r="AA11" s="474">
        <f ca="1">IF(MF_Pro=2,庫存Pro[[#This Row],[部位現值(不含前手息)]]-庫存Pro[[#This Row],[持有成本(不含前手息)]],庫存Pro[[#This Row],[部位現值(含前手息)]]-庫存Pro[[#This Row],[持有成本(含前手息)]])</f>
        <v>1181.6000000000058</v>
      </c>
      <c r="AB11" s="462">
        <f ca="1">IF(MF_Pro=2,IFERROR(庫存Pro[[#This Row],[資本利損]]/庫存Pro[[#This Row],[持有成本(不含前手息)]],0),IFERROR(庫存Pro[[#This Row],[資本利損]]/庫存Pro[[#This Row],[持有成本(含前手息)]],0))</f>
        <v>1.7770558864224354E-2</v>
      </c>
      <c r="AC11" s="618">
        <f ca="1">庫存Pro[[#This Row],[持有成本(不含前手息)]]/庫存Pro[[#This Row],[投入面額]]*100</f>
        <v>66.044800000000009</v>
      </c>
      <c r="AD11" s="462" t="str">
        <f ca="1">VLOOKUP(庫存Pro[[#This Row],[商品代號]],bond!B:AA,26,FALSE)</f>
        <v>美國醫院公司</v>
      </c>
      <c r="AE11" s="1" t="str">
        <f ca="1">IFERROR(VLOOKUP($H11,'銀行-TSS'!B:Q,16,FALSE),"")</f>
        <v>醫療保健</v>
      </c>
      <c r="AF11" s="466">
        <f t="shared" ca="1" si="13"/>
        <v>3500.0000000000005</v>
      </c>
      <c r="AG11" s="458">
        <f ca="1">IF(OR(庫存Pro[[#This Row],[起息日]]&gt;庫存Pro[[#This Row],[買進前一配息日(複算)]],庫存Pro[[#This Row],[判斷]]=TRUE),庫存Pro[[#This Row],[起息日]],庫存Pro[[#This Row],[買進前一配息日(複算)]])</f>
        <v>45122</v>
      </c>
      <c r="AH11" s="577" t="str">
        <f ca="1">VLOOKUP(H11,bond!B:AP,41,FALSE)</f>
        <v>30/360</v>
      </c>
      <c r="AI11" s="578">
        <f t="shared" ca="1" si="14"/>
        <v>0</v>
      </c>
      <c r="AJ11" s="579">
        <f ca="1">IFERROR(IF(庫存Pro[[#This Row],[買進日是否落入record date]]=1,庫存Pro[[#This Row],[record date制度前手息]],庫存Pro[[#This Row],[前手息(初算)]]),0)</f>
        <v>0.44719999999999999</v>
      </c>
      <c r="AK11" s="579">
        <f ca="1">IF(OR(庫存Pro[[#This Row],[買進例外調整]]&lt;庫存Pro[[#This Row],[起息日]],庫存Pro[[#This Row],[買進例外調整]]&gt;庫存Pro[[#This Row],[到期日]]),0,IF(庫存Pro[[#This Row],[備註]]&lt;&gt;"",庫存Pro[[#This Row],[買進時前手息]],IFERROR(ROUND(ACCRINT(AG11,AG11,U11,N11,100,P11,AI11,TRUE),4),0)))</f>
        <v>0.44719999999999999</v>
      </c>
      <c r="AL11" s="580">
        <f t="shared" ca="1" si="10"/>
        <v>447.2</v>
      </c>
      <c r="AM11" s="440">
        <f ca="1">DATEVALUE(VLOOKUP(H11,bond!B:I,7,FALSE))</f>
        <v>45475</v>
      </c>
      <c r="AN11" s="579">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2.9264000000000001</v>
      </c>
      <c r="AO11" s="579">
        <f ca="1">IFERROR(IF(庫存Pro[[#This Row],[交割日是否落入record date]]=1,庫存Pro[[#This Row],[交_record date制度前手息]],庫存Pro[[#This Row],[計算交割前手息(初算)]]),0)</f>
        <v>1.6235999999999999</v>
      </c>
      <c r="AP11" s="579">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1.6235999999999999</v>
      </c>
      <c r="AQ11" s="579">
        <f ca="1">IF(庫存Pro[[#This Row],[配息頻率]]=0,0,(100*庫存Pro[[#This Row],[票面利率]]/庫存Pro[[#This Row],[配息頻率]])*庫存Pro[[#This Row],[經過幾次配息]]+庫存Pro[[#This Row],[計算交割前手息(複算)]]-庫存Pro[[#This Row],[計算前手息(複算)]])</f>
        <v>2.9264000000000001</v>
      </c>
      <c r="AR11" s="581">
        <f ca="1">IF(庫存Pro[[#This Row],[商品代號]]="XFM90",0,ROUND(AQ11*V11/100,2))</f>
        <v>2926.4</v>
      </c>
      <c r="AS11" s="582">
        <f ca="1">IF(MF_Pro=2,IFERROR(庫存Pro[[#This Row],[累計配息]]/庫存Pro[[#This Row],[持有成本(不含前手息)]],0),IFERROR(庫存Pro[[#This Row],[已實現配息(原幣)]]/庫存Pro[[#This Row],[持有成本(含前手息)]],0))</f>
        <v>2.6318955663839263E-2</v>
      </c>
      <c r="AT11" s="583">
        <f ca="1">IF(MF_Pro=2,庫存Pro[[#This Row],[資本利損]]+庫存Pro[[#This Row],[累計配息]],庫存Pro[[#This Row],[資本利損]]+庫存Pro[[#This Row],[已實現配息(原幣)]])</f>
        <v>2931.6000000000058</v>
      </c>
      <c r="AU11" s="584">
        <f ca="1">IF(MF_Pro=2,IFERROR(庫存Pro[[#This Row],[合計收益]]/庫存Pro[[#This Row],[持有成本(不含前手息)]],0),IFERROR(庫存Pro[[#This Row],[合計收益]]/庫存Pro[[#This Row],[持有成本(含前手息)]],0))</f>
        <v>4.4089514528063617E-2</v>
      </c>
      <c r="AV11" s="434">
        <f t="shared" ca="1" si="0"/>
        <v>1</v>
      </c>
      <c r="AW11" s="434">
        <f t="shared" ca="1" si="1"/>
        <v>7</v>
      </c>
      <c r="AX11" s="434">
        <f t="shared" ca="1" si="2"/>
        <v>0</v>
      </c>
      <c r="AY11" s="434">
        <f t="shared" ca="1" si="3"/>
        <v>0</v>
      </c>
      <c r="AZ11" s="441">
        <f ca="1">IF(AND(庫存Pro[[#This Row],[名稱]]="美國國庫債券",DAY(庫存Pro[[#This Row],[買進前一配息日(初算)]])&gt;=28),EOMONTH(庫存Pro[[#This Row],[買進前一配息日(初算)]],0),庫存Pro[[#This Row],[買進前一配息日(初算)]])</f>
        <v>45122</v>
      </c>
      <c r="BA11" s="441">
        <f t="shared" ca="1" si="4"/>
        <v>45122</v>
      </c>
      <c r="BB11" s="444">
        <f t="shared" ca="1" si="5"/>
        <v>2023</v>
      </c>
      <c r="BC11" s="441">
        <f ca="1">IF(P11&gt;0,IF(MONTH(DATE(BB11,AV11,DAY(Q11)))&lt;&gt;庫存Pro[[#This Row],[第一個配息月]],DATE(BB11,AV11+1,0),DATE(BB11,AV11,DAY(Q11))),庫存Pro[[#This Row],[買進例外調整]]+100)</f>
        <v>44941</v>
      </c>
      <c r="BD11" s="441">
        <f ca="1">IF(AW11&lt;&gt;0,IF(MONTH(DATE(BB11,AW11,DAY(Q11)))&lt;&gt;庫存Pro[[#This Row],[第二個配息月]],DATE(BB11,AW11+1,0),DATE(BB11,AW11,DAY(Q11))),庫存Pro[[#This Row],[買進例外調整]]+100)</f>
        <v>45122</v>
      </c>
      <c r="BE11" s="441">
        <f ca="1">IF(AX11&lt;&gt;0,IF(MONTH(DATE(BB11,AX11,DAY(Q11)))&lt;&gt;庫存Pro[[#This Row],[第三個配息月]],DATE(BB11,AX11+1,0),DATE(BB11,AX11,DAY(Q11))),庫存Pro[[#This Row],[買進例外調整]]+100)</f>
        <v>45270</v>
      </c>
      <c r="BF11" s="441">
        <f ca="1">IF(AY11&lt;&gt;0,IF(MONTH(DATE(BB11,AY11,DAY(Q11)))&lt;&gt;庫存Pro[[#This Row],[第四個配息月]],DATE(BB11,AY11+1,0),DATE(BB11,AY11,DAY(Q11))),庫存Pro[[#This Row],[買進例外調整]]+100)</f>
        <v>45270</v>
      </c>
      <c r="BG11" s="441">
        <f ca="1">IF(P11=1,IF(MONTH(DATE(BB11-1,AV11,DAY(Q11)))&lt;&gt;庫存Pro[[#This Row],[第一個配息月]],DATE(BB11-1,AV11+1,0),DATE(BB11-1,AV11,DAY(Q11))),IF(P11=2,IF(MONTH(DATE(BB11-1,AW11,DAY(Q11)))&lt;&gt;庫存Pro[[#This Row],[第二個配息月]],DATE(BB11-1,AW11+1,0),DATE(BB11-1,AW11,DAY(Q11))),IF(P11=4,IF(MONTH(DATE(BB11-1,AY11,DAY(Q11)))&lt;&gt;庫存Pro[[#This Row],[第四個配息月]],DATE(BB11-1,AY11+1,0),DATE(BB11-1,AY11,DAY(Q11))),庫存Pro[[#This Row],[買進例外調整]]+100)))</f>
        <v>44757</v>
      </c>
      <c r="BH11" s="445">
        <f t="shared" ca="1" si="15"/>
        <v>229</v>
      </c>
      <c r="BI11" s="445">
        <f t="shared" ca="1" si="16"/>
        <v>48</v>
      </c>
      <c r="BJ11" s="445">
        <f t="shared" ca="1" si="17"/>
        <v>10000</v>
      </c>
      <c r="BK11" s="445">
        <f t="shared" ca="1" si="18"/>
        <v>10000</v>
      </c>
      <c r="BL11" s="455">
        <f t="shared" ca="1" si="19"/>
        <v>413</v>
      </c>
      <c r="BM11" s="479">
        <f ca="1">庫存Pro[[#This Row],[年度配息]]/庫存Pro[[#This Row],[配息頻率]]</f>
        <v>1750.0000000000002</v>
      </c>
      <c r="BN11" s="479">
        <f ca="1">庫存Pro[[#This Row],[單次配息(原幣)]]*庫存Pro[[#This Row],[換算匯率(現)]]</f>
        <v>56841.750000000007</v>
      </c>
      <c r="BO11" s="479" t="str">
        <f ca="1">IFERROR(VLOOKUP($H11,'銀行-TSS'!B:C,2,FALSE),"")</f>
        <v>USD</v>
      </c>
      <c r="BP11" s="479">
        <f ca="1">VLOOKUP(庫存Pro[[#This Row],[幣別]],$B$37:$C$43,2,FALSE)</f>
        <v>1</v>
      </c>
      <c r="BQ11" s="500">
        <f ca="1">CHOOSE(庫存Pro[[#This Row],[對應編碼]],$D$37,$D$38,$D$39,$D$40,$D$41,$D$42,$D$43)</f>
        <v>30</v>
      </c>
      <c r="BR11" s="500">
        <f ca="1">CHOOSE(庫存Pro[[#This Row],[對應編碼]],$E$37,$E$38,$E$39,$E$40,$E$41,$E$42,$E$43)</f>
        <v>32.481000000000002</v>
      </c>
      <c r="BS11" s="595">
        <f ca="1">庫存Pro[[#This Row],[投入面額]]*庫存Pro[[#This Row],[換算匯率(現)]]</f>
        <v>3248100</v>
      </c>
      <c r="BT11" s="595">
        <f ca="1">庫存Pro[[#This Row],[持有成本(含前手息)]]*庫存Pro[[#This Row],[換算匯率(買)]]</f>
        <v>1994760</v>
      </c>
      <c r="BU11" s="498">
        <f ca="1">庫存Pro[[#This Row],[持有成本(不含前手息)]]*庫存Pro[[#This Row],[換算匯率(買)]]</f>
        <v>1981344</v>
      </c>
      <c r="BV11" s="498">
        <f ca="1">庫存Pro[[#This Row],[部位現值(含前手息)]]*庫存Pro[[#This Row],[換算匯率(現)]]</f>
        <v>2198106.2016000003</v>
      </c>
      <c r="BW11" s="498">
        <f ca="1">庫存Pro[[#This Row],[部位現值(不含前手息)]]*庫存Pro[[#This Row],[換算匯率(現)]]</f>
        <v>2145370.0500000003</v>
      </c>
      <c r="BX11" s="498">
        <f ca="1">IF(MF_Pro=2,庫存Pro[[#This Row],[累計配息]]*庫存Pro[[#This Row],[換算匯率(現)]],庫存Pro[[#This Row],[已實現配息(原幣)]]*庫存Pro[[#This Row],[換算匯率(現)]])</f>
        <v>56841.750000000007</v>
      </c>
      <c r="BY11" s="498">
        <f ca="1">庫存Pro[[#This Row],[資本利損]]*庫存Pro[[#This Row],[換算匯率(現)]]</f>
        <v>38379.549600000188</v>
      </c>
      <c r="BZ11" s="498">
        <f ca="1">庫存Pro[[#This Row],[累計利息(台)]]+庫存Pro[[#This Row],[資本貢獻(台)]]</f>
        <v>95221.299600000202</v>
      </c>
      <c r="CA11" s="574">
        <f ca="1">IFERROR(庫存Pro[[#This Row],[配息報酬]],0)</f>
        <v>2.6318955663839263E-2</v>
      </c>
      <c r="CB11" s="574">
        <f ca="1">庫存Pro[[#This Row],[資本報酬]]</f>
        <v>1.7770558864224354E-2</v>
      </c>
      <c r="CC11" s="574">
        <f ca="1">IFERROR(庫存Pro[[#This Row],[換匯總報酬率]]-(庫存Pro[[#This Row],[配息報酬率]]+庫存Pro[[#This Row],[資本報酬率]]),0)</f>
        <v>8.6346202851470905E-2</v>
      </c>
      <c r="CD11" s="574">
        <f ca="1">IF(MF_Pro=2,IFERROR((庫存Pro[[#This Row],[參考贖回金額(現)]]+庫存Pro[[#This Row],[累計利息(台)]])/庫存Pro[[#This Row],[淨投入成本(買)]]-1,0),IFERROR(((庫存Pro[[#This Row],[參考贖回金額含前手息(現)]]+庫存Pro[[#This Row],[累計利息(台)]])/庫存Pro[[#This Row],[庫存成本(買)]])-1,0))</f>
        <v>0.13043571737953452</v>
      </c>
      <c r="CE11" s="585">
        <f t="shared" ca="1" si="7"/>
        <v>5.3070307062632091E-2</v>
      </c>
      <c r="CF11" s="574">
        <f t="shared" ca="1" si="8"/>
        <v>5.408085772935934E-2</v>
      </c>
      <c r="CG11" s="619">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6.0304165860271618E-2</v>
      </c>
      <c r="CH11" s="646">
        <f ca="1">DATEDIF(庫存Pro[[#This Row],[買進例外調整]],庫存Pro[[#This Row],[到期日]],"d")/365.25</f>
        <v>27.868583162217661</v>
      </c>
      <c r="CI11" s="739">
        <f ca="1">DATEVALUE(VLOOKUP(庫存Pro[[#This Row],[商品代號]],bond!B:AF,31,FALSE))</f>
        <v>45306</v>
      </c>
      <c r="CJ11" s="739">
        <f ca="1">IF(庫存Pro[[#This Row],[買下配(國調)]]&lt;庫存Pro[[#This Row],[第一票息日]],庫存Pro[[#This Row],[第一票息日]],庫存Pro[[#This Row],[買下配(國調)]])</f>
        <v>45306</v>
      </c>
      <c r="CK11" s="739">
        <f ca="1">IF(AND(庫存Pro[[#This Row],[名稱]]="美國國庫債券",DAY(庫存Pro[[#This Row],[買進前一配息日(複算)]])&gt;=28),EOMONTH(EDATE(庫存Pro[[#This Row],[買進前一配息日(複算)]],12/庫存Pro[[#This Row],[配息頻率]]),0),EDATE(庫存Pro[[#This Row],[買進前一配息日(複算)]],12/庫存Pro[[#This Row],[配息頻率]]))</f>
        <v>45306</v>
      </c>
      <c r="CL11" s="646">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1</v>
      </c>
      <c r="CM11" s="646">
        <f ca="1">IF(庫存Pro[[#This Row],[商品代號]]="XFM90",0,IFERROR(庫存Pro[[#This Row],[單次配息(原幣)]]*庫存Pro[[#This Row],[經過幾次配息]],0))</f>
        <v>1750.0000000000002</v>
      </c>
      <c r="CN11" s="646" t="str">
        <f ca="1">VLOOKUP(庫存Pro[[#This Row],[商品代號]],bond!B:F,5,FALSE)</f>
        <v>US404119CB31</v>
      </c>
      <c r="CO11" s="739">
        <f ca="1">IFERROR(VLOOKUP(庫存Pro[[#This Row],[ISIN]],'7_發行日例外'!A:C,3,FALSE),IFERROR(DATEVALUE(VLOOKUP(庫存Pro[[#This Row],[商品代號]],bond!B:AR,43,FALSE)),""))</f>
        <v>44377</v>
      </c>
      <c r="CP11" s="646">
        <f ca="1">DATEDIF(庫存Pro[[#This Row],[起息日]],庫存Pro[[#This Row],[買進前一配息日(複算)]],"d")</f>
        <v>745</v>
      </c>
      <c r="CQ11"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1" s="739">
        <f ca="1">IFERROR(VLOOKUP(庫存Pro[[#This Row],[ISIN]],'7_發行日例外'!A:D,4,FALSE),DATEVALUE(VLOOKUP(庫存Pro[[#This Row],[商品代號]],bond!B:AV,44,FALSE)))</f>
        <v>44576</v>
      </c>
      <c r="CS11" s="646" t="str">
        <f ca="1">VLOOKUP(庫存Pro[[#This Row],[商品代號]],bond!B:AU,46,FALSE)</f>
        <v>STREET CONVENTION</v>
      </c>
      <c r="CT11" s="646" t="str">
        <f ca="1">IF(庫存Pro[[#This Row],[計息基礎]]=1,CHOOSE(庫存Pro[[#This Row],[對應編碼]],"沒進位","","沒進位",IF(庫存Pro[[#This Row],[計算類型]]="AUSTRALIA:EX-DIV","4捨五入進0.01%","沒進位"),"年/2去計算ACT","沒進位","沒進位"),"")</f>
        <v/>
      </c>
      <c r="CU11" s="646">
        <f ca="1">_xlfn.DAYS(庫存Pro[[#This Row],[買進例外調整]],庫存Pro[[#This Row],[買進前一個配息日(最終)]])</f>
        <v>48</v>
      </c>
      <c r="CV11" s="646">
        <f ca="1">IF(庫存Pro[[#This Row],[備註]]="年/2去計算ACT",365/2,_xlfn.DAYS(庫存Pro[[#This Row],[買進時的下個配息日]],庫存Pro[[#This Row],[買進前一個配息日(最終)]]))</f>
        <v>184</v>
      </c>
      <c r="CW11" s="768">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0.45650000000000002</v>
      </c>
      <c r="CX11" s="768">
        <f ca="1">_xlfn.DAYS(庫存Pro[[#This Row],[交割日]],庫存Pro[[#This Row],[買進前一個配息日(最終)]])</f>
        <v>353</v>
      </c>
      <c r="CY11" s="768">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3.3573</v>
      </c>
      <c r="CZ11" s="768">
        <f ca="1">_xlfn.DAYS(庫存Pro[[#This Row],[交割日]],庫存Pro[[#This Row],[最近的上一票息日]])</f>
        <v>169</v>
      </c>
      <c r="DA11" s="768">
        <f ca="1">IF(庫存Pro[[#This Row],[備註]]="年/2去計算ACT",365/2,_xlfn.DAYS(庫存Pro[[#This Row],[下一配息日]],庫存Pro[[#This Row],[最近的上一票息日]]))</f>
        <v>182</v>
      </c>
      <c r="DB11" s="768">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1.625</v>
      </c>
      <c r="DC11" s="739">
        <f ca="1">CJ11-庫存Pro[[#This Row],[ex_div_days]]</f>
        <v>45306</v>
      </c>
      <c r="DD11" s="646">
        <f ca="1">IF(VLOOKUP(庫存Pro[[#This Row],[商品代號]],bond!B:AT,45,FALSE)="#N/A Field Not Applicable",0,VLOOKUP(庫存Pro[[#This Row],[商品代號]],bond!B:AT,45,FALSE))</f>
        <v>0</v>
      </c>
      <c r="DE11" s="793">
        <f ca="1">IF(庫存Pro[[#This Row],[ex_div_days]]&lt;&gt;0,IF(AND(庫存Pro[[#This Row],[買進例外調整]]-庫存Pro[[#This Row],[買進下一個配息日先減n天]]&gt;=0,庫存Pro[[#This Row],[買進時的下個配息日]]-庫存Pro[[#This Row],[買進例外調整]]&gt;0),1,0),0)</f>
        <v>0</v>
      </c>
      <c r="DF11" s="784">
        <f ca="1">IF(庫存Pro[[#This Row],[對應編碼]]=4,ROUND(庫存Pro[[#This Row],[前手息(初算)]]-庫存Pro[[#This Row],[票面利率]]/庫存Pro[[#This Row],[配息頻率]]*100,3),ROUND(庫存Pro[[#This Row],[前手息(初算)]]-庫存Pro[[#This Row],[票面利率]]/庫存Pro[[#This Row],[配息頻率]]*100,4))</f>
        <v>-1.3028</v>
      </c>
      <c r="DG11" s="734">
        <f ca="1">庫存Pro[[#This Row],[下一配息日]]-庫存Pro[[#This Row],[ex_div_days]]</f>
        <v>45488</v>
      </c>
      <c r="DH11" s="1084">
        <f ca="1">IF(庫存Pro[[#This Row],[ex_div_days]]&lt;&gt;0,IF(AND(庫存Pro[[#This Row],[交割日]]-庫存Pro[[#This Row],[交割下個配息日先減n天]]&gt;=0,庫存Pro[[#This Row],[下一配息日]]-庫存Pro[[#This Row],[交割日]]&gt;0),1,0),0)</f>
        <v>0</v>
      </c>
      <c r="DI11" s="1067">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-0.12640000000000001</v>
      </c>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c r="GQ11" s="33"/>
      <c r="GR11" s="33"/>
      <c r="GS11" s="33"/>
      <c r="GT11" s="33"/>
      <c r="GU11" s="33"/>
      <c r="GV11" s="33"/>
      <c r="GW11" s="33"/>
      <c r="GX11" s="33"/>
      <c r="GY11" s="33"/>
      <c r="GZ11" s="33"/>
      <c r="HA11" s="33"/>
      <c r="HB11" s="33"/>
      <c r="HC11" s="33"/>
      <c r="HD11" s="33"/>
      <c r="HE11" s="33"/>
      <c r="HF11" s="33"/>
      <c r="HG11" s="33"/>
      <c r="HH11" s="33"/>
      <c r="HI11" s="33"/>
      <c r="HJ11" s="33"/>
      <c r="HK11" s="33"/>
      <c r="HL11" s="33"/>
      <c r="HM11" s="33"/>
      <c r="HN11" s="33"/>
      <c r="HO11" s="33"/>
      <c r="HP11" s="33"/>
      <c r="HQ11" s="33"/>
      <c r="HR11" s="33"/>
      <c r="HS11" s="33"/>
      <c r="HT11" s="33"/>
      <c r="HU11" s="33"/>
      <c r="HV11" s="33"/>
      <c r="HW11" s="33"/>
      <c r="HX11" s="33"/>
      <c r="HY11" s="33"/>
      <c r="HZ11" s="33"/>
      <c r="IA11" s="33"/>
      <c r="IB11" s="33"/>
      <c r="IC11" s="33"/>
      <c r="ID11" s="33"/>
      <c r="IE11" s="33"/>
    </row>
    <row r="12" spans="1:239" s="792" customFormat="1" ht="19.5" customHeight="1">
      <c r="A12" s="785"/>
      <c r="B12" s="786" t="s">
        <v>1944</v>
      </c>
      <c r="C12" s="786">
        <v>4</v>
      </c>
      <c r="D12" s="785"/>
      <c r="E12" s="785"/>
      <c r="F12" s="785"/>
      <c r="G12" s="785"/>
      <c r="H12" s="428">
        <f ca="1">IF(開關=TRUE,'庫存管理(Pro)'!B12,0)</f>
        <v>0</v>
      </c>
      <c r="I12" s="787" t="e">
        <f ca="1">VLOOKUP(H12,bond!B:I,8,FALSE)</f>
        <v>#N/A</v>
      </c>
      <c r="J12" s="787" t="e">
        <f ca="1">庫存Pro[[#This Row],[買價]]+VLOOKUP(庫存Pro[[#This Row],[商品代號]],bond!B:K,10,FALSE)</f>
        <v>#N/A</v>
      </c>
      <c r="K12" s="496" t="e">
        <f ca="1">VLOOKUP(H12,'銀行-TSS'!B:E,4,FALSE)</f>
        <v>#N/A</v>
      </c>
      <c r="L12" s="431" t="e">
        <f ca="1">VLOOKUP($H12,'銀行-TSS'!B:G,6,FALSE)</f>
        <v>#N/A</v>
      </c>
      <c r="M12" s="432" t="e">
        <f ca="1">IFERROR(DATEVALUE(VLOOKUP($H12,'銀行-TSS'!B:F,5,FALSE)),VLOOKUP($H12,'銀行-TSS'!B:F,5,FALSE))</f>
        <v>#N/A</v>
      </c>
      <c r="N12" s="433" t="e">
        <f ca="1">VLOOKUP($H12,'銀行-TSS'!B:H,7,FALSE)</f>
        <v>#N/A</v>
      </c>
      <c r="O12" s="433" t="e">
        <f ca="1">庫存Pro[[#This Row],[票面利率]]/庫存Pro[[#This Row],[成本價(不含前手息)]]*100</f>
        <v>#N/A</v>
      </c>
      <c r="P12" s="434" t="str">
        <f ca="1">IFERROR(VLOOKUP($H12,'銀行-TSS'!B:I,8,FALSE),"")</f>
        <v/>
      </c>
      <c r="Q12" s="440" t="str">
        <f ca="1">_xlfn.IFNA(IFERROR(DATEVALUE(VLOOKUP($H12,'銀行-TSS'!B:P,15,FALSE)),VLOOKUP($H12,'銀行-TSS'!B:P,15,FALSE)),"")</f>
        <v/>
      </c>
      <c r="R12" s="570" t="b">
        <f>IF(AND('2_Check_code'!C33,庫存Pro[[#This Row],[投入面額]]&gt;0),TRUE,FALSE)</f>
        <v>0</v>
      </c>
      <c r="S12" s="602">
        <f>'庫存管理(Pro)'!AE12</f>
        <v>0</v>
      </c>
      <c r="T12"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12" s="442" t="str">
        <f ca="1">IFERROR(WORKDAY(庫存Pro[[#This Row],[買進日]],VLOOKUP(庫存Pro[[#This Row],[商品代號]],'1_重設數據'!R:S,2,FALSE),休USD),庫存Pro[[#This Row],[買進日(T+2/公債T+1)]])</f>
        <v/>
      </c>
      <c r="V12" s="43">
        <f>'庫存管理(Pro)'!J12</f>
        <v>0</v>
      </c>
      <c r="W12" s="43">
        <f>'庫存管理(Pro)'!K12</f>
        <v>0</v>
      </c>
      <c r="X12" s="464">
        <f t="shared" ca="1" si="9"/>
        <v>0</v>
      </c>
      <c r="Y12" s="464" t="e">
        <f t="shared" ca="1" si="11"/>
        <v>#N/A</v>
      </c>
      <c r="Z12" s="465" t="e">
        <f t="shared" ca="1" si="12"/>
        <v>#N/A</v>
      </c>
      <c r="AA12" s="788" t="e">
        <f ca="1">IF(MF_Pro=2,庫存Pro[[#This Row],[部位現值(不含前手息)]]-庫存Pro[[#This Row],[持有成本(不含前手息)]],庫存Pro[[#This Row],[部位現值(含前手息)]]-庫存Pro[[#This Row],[持有成本(含前手息)]])</f>
        <v>#N/A</v>
      </c>
      <c r="AB12" s="789">
        <f ca="1">IF(MF_Pro=2,IFERROR(庫存Pro[[#This Row],[資本利損]]/庫存Pro[[#This Row],[持有成本(不含前手息)]],0),IFERROR(庫存Pro[[#This Row],[資本利損]]/庫存Pro[[#This Row],[持有成本(含前手息)]],0))</f>
        <v>0</v>
      </c>
      <c r="AC12" s="790" t="e">
        <f ca="1">庫存Pro[[#This Row],[持有成本(不含前手息)]]/庫存Pro[[#This Row],[投入面額]]*100</f>
        <v>#DIV/0!</v>
      </c>
      <c r="AD12" s="789" t="e">
        <f ca="1">VLOOKUP(庫存Pro[[#This Row],[商品代號]],bond!B:AA,26,FALSE)</f>
        <v>#N/A</v>
      </c>
      <c r="AE12" s="791" t="str">
        <f ca="1">IFERROR(VLOOKUP($H12,'銀行-TSS'!B:Q,16,FALSE),"")</f>
        <v/>
      </c>
      <c r="AF12" s="466" t="e">
        <f t="shared" ca="1" si="13"/>
        <v>#N/A</v>
      </c>
      <c r="AG12" s="458" t="e">
        <f ca="1">IF(OR(庫存Pro[[#This Row],[起息日]]&gt;庫存Pro[[#This Row],[買進前一配息日(複算)]],庫存Pro[[#This Row],[判斷]]=TRUE),庫存Pro[[#This Row],[起息日]],庫存Pro[[#This Row],[買進前一配息日(複算)]])</f>
        <v>#N/A</v>
      </c>
      <c r="AH12" s="577" t="e">
        <f ca="1">VLOOKUP(H12,bond!B:AP,41,FALSE)</f>
        <v>#N/A</v>
      </c>
      <c r="AI12" s="578" t="e">
        <f t="shared" ca="1" si="14"/>
        <v>#N/A</v>
      </c>
      <c r="AJ12" s="579">
        <f ca="1">IFERROR(IF(庫存Pro[[#This Row],[買進日是否落入record date]]=1,庫存Pro[[#This Row],[record date制度前手息]],庫存Pro[[#This Row],[前手息(初算)]]),0)</f>
        <v>0</v>
      </c>
      <c r="AK12" s="579" t="e">
        <f ca="1">IF(OR(庫存Pro[[#This Row],[買進例外調整]]&lt;庫存Pro[[#This Row],[起息日]],庫存Pro[[#This Row],[買進例外調整]]&gt;庫存Pro[[#This Row],[到期日]]),0,IF(庫存Pro[[#This Row],[備註]]&lt;&gt;"",庫存Pro[[#This Row],[買進時前手息]],IFERROR(ROUND(ACCRINT(AG12,AG12,U12,N12,100,P12,AI12,TRUE),4),0)))</f>
        <v>#N/A</v>
      </c>
      <c r="AL12" s="580">
        <f t="shared" ca="1" si="10"/>
        <v>0</v>
      </c>
      <c r="AM12" s="440" t="e">
        <f ca="1">DATEVALUE(VLOOKUP(H12,bond!B:I,7,FALSE))</f>
        <v>#N/A</v>
      </c>
      <c r="AN12"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12" s="579">
        <f ca="1">IFERROR(IF(庫存Pro[[#This Row],[交割日是否落入record date]]=1,庫存Pro[[#This Row],[交_record date制度前手息]],庫存Pro[[#This Row],[計算交割前手息(初算)]]),0)</f>
        <v>0</v>
      </c>
      <c r="AP12"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12" s="579" t="e">
        <f ca="1">IF(庫存Pro[[#This Row],[配息頻率]]=0,0,(100*庫存Pro[[#This Row],[票面利率]]/庫存Pro[[#This Row],[配息頻率]])*庫存Pro[[#This Row],[經過幾次配息]]+庫存Pro[[#This Row],[計算交割前手息(複算)]]-庫存Pro[[#This Row],[計算前手息(複算)]])</f>
        <v>#N/A</v>
      </c>
      <c r="AR12" s="581" t="e">
        <f ca="1">IF(庫存Pro[[#This Row],[商品代號]]="XFM90",0,ROUND(AQ12*V12/100,2))</f>
        <v>#N/A</v>
      </c>
      <c r="AS12" s="582">
        <f ca="1">IF(MF_Pro=2,IFERROR(庫存Pro[[#This Row],[累計配息]]/庫存Pro[[#This Row],[持有成本(不含前手息)]],0),IFERROR(庫存Pro[[#This Row],[已實現配息(原幣)]]/庫存Pro[[#This Row],[持有成本(含前手息)]],0))</f>
        <v>0</v>
      </c>
      <c r="AT12" s="583" t="e">
        <f ca="1">IF(MF_Pro=2,庫存Pro[[#This Row],[資本利損]]+庫存Pro[[#This Row],[累計配息]],庫存Pro[[#This Row],[資本利損]]+庫存Pro[[#This Row],[已實現配息(原幣)]])</f>
        <v>#N/A</v>
      </c>
      <c r="AU12" s="584">
        <f ca="1">IF(MF_Pro=2,IFERROR(庫存Pro[[#This Row],[合計收益]]/庫存Pro[[#This Row],[持有成本(不含前手息)]],0),IFERROR(庫存Pro[[#This Row],[合計收益]]/庫存Pro[[#This Row],[持有成本(含前手息)]],0))</f>
        <v>0</v>
      </c>
      <c r="AV12" s="434" t="e">
        <f t="shared" ca="1" si="0"/>
        <v>#VALUE!</v>
      </c>
      <c r="AW12" s="434" t="e">
        <f t="shared" ca="1" si="1"/>
        <v>#VALUE!</v>
      </c>
      <c r="AX12" s="434">
        <f t="shared" ca="1" si="2"/>
        <v>0</v>
      </c>
      <c r="AY12" s="434">
        <f t="shared" ca="1" si="3"/>
        <v>0</v>
      </c>
      <c r="AZ12" s="441" t="e">
        <f ca="1">IF(AND(庫存Pro[[#This Row],[名稱]]="美國國庫債券",DAY(庫存Pro[[#This Row],[買進前一配息日(初算)]])&gt;=28),EOMONTH(庫存Pro[[#This Row],[買進前一配息日(初算)]],0),庫存Pro[[#This Row],[買進前一配息日(初算)]])</f>
        <v>#N/A</v>
      </c>
      <c r="BA12" s="441" t="e">
        <f t="shared" ca="1" si="4"/>
        <v>#VALUE!</v>
      </c>
      <c r="BB12" s="444" t="e">
        <f t="shared" ca="1" si="5"/>
        <v>#VALUE!</v>
      </c>
      <c r="BC12" s="441" t="e">
        <f ca="1">IF(P12&gt;0,IF(MONTH(DATE(BB12,AV12,DAY(Q12)))&lt;&gt;庫存Pro[[#This Row],[第一個配息月]],DATE(BB12,AV12+1,0),DATE(BB12,AV12,DAY(Q12))),庫存Pro[[#This Row],[買進例外調整]]+100)</f>
        <v>#VALUE!</v>
      </c>
      <c r="BD12" s="441" t="e">
        <f ca="1">IF(AW12&lt;&gt;0,IF(MONTH(DATE(BB12,AW12,DAY(Q12)))&lt;&gt;庫存Pro[[#This Row],[第二個配息月]],DATE(BB12,AW12+1,0),DATE(BB12,AW12,DAY(Q12))),庫存Pro[[#This Row],[買進例外調整]]+100)</f>
        <v>#VALUE!</v>
      </c>
      <c r="BE12" s="441" t="e">
        <f ca="1">IF(AX12&lt;&gt;0,IF(MONTH(DATE(BB12,AX12,DAY(Q12)))&lt;&gt;庫存Pro[[#This Row],[第三個配息月]],DATE(BB12,AX12+1,0),DATE(BB12,AX12,DAY(Q12))),庫存Pro[[#This Row],[買進例外調整]]+100)</f>
        <v>#VALUE!</v>
      </c>
      <c r="BF12" s="441" t="e">
        <f ca="1">IF(AY12&lt;&gt;0,IF(MONTH(DATE(BB12,AY12,DAY(Q12)))&lt;&gt;庫存Pro[[#This Row],[第四個配息月]],DATE(BB12,AY12+1,0),DATE(BB12,AY12,DAY(Q12))),庫存Pro[[#This Row],[買進例外調整]]+100)</f>
        <v>#VALUE!</v>
      </c>
      <c r="BG12" s="441" t="e">
        <f ca="1">IF(P12=1,IF(MONTH(DATE(BB12-1,AV12,DAY(Q12)))&lt;&gt;庫存Pro[[#This Row],[第一個配息月]],DATE(BB12-1,AV12+1,0),DATE(BB12-1,AV12,DAY(Q12))),IF(P12=2,IF(MONTH(DATE(BB12-1,AW12,DAY(Q12)))&lt;&gt;庫存Pro[[#This Row],[第二個配息月]],DATE(BB12-1,AW12+1,0),DATE(BB12-1,AW12,DAY(Q12))),IF(P12=4,IF(MONTH(DATE(BB12-1,AY12,DAY(Q12)))&lt;&gt;庫存Pro[[#This Row],[第四個配息月]],DATE(BB12-1,AY12+1,0),DATE(BB12-1,AY12,DAY(Q12))),庫存Pro[[#This Row],[買進例外調整]]+100)))</f>
        <v>#VALUE!</v>
      </c>
      <c r="BH12" s="445">
        <f t="shared" ca="1" si="15"/>
        <v>10000</v>
      </c>
      <c r="BI12" s="445">
        <f t="shared" ca="1" si="16"/>
        <v>10000</v>
      </c>
      <c r="BJ12" s="445">
        <f t="shared" ca="1" si="17"/>
        <v>10000</v>
      </c>
      <c r="BK12" s="445">
        <f t="shared" ca="1" si="18"/>
        <v>10000</v>
      </c>
      <c r="BL12" s="455">
        <f t="shared" ca="1" si="19"/>
        <v>10000</v>
      </c>
      <c r="BM12" s="479" t="e">
        <f ca="1">庫存Pro[[#This Row],[年度配息]]/庫存Pro[[#This Row],[配息頻率]]</f>
        <v>#N/A</v>
      </c>
      <c r="BN12" s="479" t="e">
        <f ca="1">庫存Pro[[#This Row],[單次配息(原幣)]]*庫存Pro[[#This Row],[換算匯率(現)]]</f>
        <v>#N/A</v>
      </c>
      <c r="BO12" s="479" t="str">
        <f ca="1">IFERROR(VLOOKUP($H12,'銀行-TSS'!B:C,2,FALSE),"")</f>
        <v/>
      </c>
      <c r="BP12" s="479" t="e">
        <f ca="1">VLOOKUP(庫存Pro[[#This Row],[幣別]],$B$37:$C$43,2,FALSE)</f>
        <v>#N/A</v>
      </c>
      <c r="BQ12" s="500" t="e">
        <f ca="1">CHOOSE(庫存Pro[[#This Row],[對應編碼]],$D$37,$D$38,$D$39,$D$40,$D$41,$D$42,$D$43)</f>
        <v>#N/A</v>
      </c>
      <c r="BR12" s="500" t="e">
        <f ca="1">CHOOSE(庫存Pro[[#This Row],[對應編碼]],$E$37,$E$38,$E$39,$E$40,$E$41,$E$42,$E$43)</f>
        <v>#N/A</v>
      </c>
      <c r="BS12" s="595" t="e">
        <f ca="1">庫存Pro[[#This Row],[投入面額]]*庫存Pro[[#This Row],[換算匯率(現)]]</f>
        <v>#N/A</v>
      </c>
      <c r="BT12" s="595" t="e">
        <f ca="1">庫存Pro[[#This Row],[持有成本(含前手息)]]*庫存Pro[[#This Row],[換算匯率(買)]]</f>
        <v>#N/A</v>
      </c>
      <c r="BU12" s="498" t="e">
        <f ca="1">庫存Pro[[#This Row],[持有成本(不含前手息)]]*庫存Pro[[#This Row],[換算匯率(買)]]</f>
        <v>#N/A</v>
      </c>
      <c r="BV12" s="498" t="e">
        <f ca="1">庫存Pro[[#This Row],[部位現值(含前手息)]]*庫存Pro[[#This Row],[換算匯率(現)]]</f>
        <v>#N/A</v>
      </c>
      <c r="BW12" s="498" t="e">
        <f ca="1">庫存Pro[[#This Row],[部位現值(不含前手息)]]*庫存Pro[[#This Row],[換算匯率(現)]]</f>
        <v>#N/A</v>
      </c>
      <c r="BX12" s="498" t="e">
        <f ca="1">IF(MF_Pro=2,庫存Pro[[#This Row],[累計配息]]*庫存Pro[[#This Row],[換算匯率(現)]],庫存Pro[[#This Row],[已實現配息(原幣)]]*庫存Pro[[#This Row],[換算匯率(現)]])</f>
        <v>#N/A</v>
      </c>
      <c r="BY12" s="498" t="e">
        <f ca="1">庫存Pro[[#This Row],[資本利損]]*庫存Pro[[#This Row],[換算匯率(現)]]</f>
        <v>#N/A</v>
      </c>
      <c r="BZ12" s="498" t="e">
        <f ca="1">庫存Pro[[#This Row],[累計利息(台)]]+庫存Pro[[#This Row],[資本貢獻(台)]]</f>
        <v>#N/A</v>
      </c>
      <c r="CA12" s="574">
        <f ca="1">IFERROR(庫存Pro[[#This Row],[配息報酬]],0)</f>
        <v>0</v>
      </c>
      <c r="CB12" s="574">
        <f ca="1">庫存Pro[[#This Row],[資本報酬]]</f>
        <v>0</v>
      </c>
      <c r="CC12" s="574">
        <f ca="1">IFERROR(庫存Pro[[#This Row],[換匯總報酬率]]-(庫存Pro[[#This Row],[配息報酬率]]+庫存Pro[[#This Row],[資本報酬率]]),0)</f>
        <v>0</v>
      </c>
      <c r="CD12" s="574">
        <f ca="1">IF(MF_Pro=2,IFERROR((庫存Pro[[#This Row],[參考贖回金額(現)]]+庫存Pro[[#This Row],[累計利息(台)]])/庫存Pro[[#This Row],[淨投入成本(買)]]-1,0),IFERROR(((庫存Pro[[#This Row],[參考贖回金額含前手息(現)]]+庫存Pro[[#This Row],[累計利息(台)]])/庫存Pro[[#This Row],[庫存成本(買)]])-1,0))</f>
        <v>0</v>
      </c>
      <c r="CE12" s="585">
        <f t="shared" ca="1" si="7"/>
        <v>0</v>
      </c>
      <c r="CF12" s="574">
        <f t="shared" ca="1" si="8"/>
        <v>0</v>
      </c>
      <c r="CG12"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12" s="646" t="e">
        <f ca="1">DATEDIF(庫存Pro[[#This Row],[買進例外調整]],庫存Pro[[#This Row],[到期日]],"d")/365.25</f>
        <v>#VALUE!</v>
      </c>
      <c r="CI12" s="739" t="e">
        <f ca="1">DATEVALUE(VLOOKUP(庫存Pro[[#This Row],[商品代號]],bond!B:AF,31,FALSE))</f>
        <v>#N/A</v>
      </c>
      <c r="CJ12" s="739" t="e">
        <f ca="1">IF(庫存Pro[[#This Row],[買下配(國調)]]&lt;庫存Pro[[#This Row],[第一票息日]],庫存Pro[[#This Row],[第一票息日]],庫存Pro[[#This Row],[買下配(國調)]])</f>
        <v>#N/A</v>
      </c>
      <c r="CK12"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12"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12" s="646">
        <f ca="1">IF(庫存Pro[[#This Row],[商品代號]]="XFM90",0,IFERROR(庫存Pro[[#This Row],[單次配息(原幣)]]*庫存Pro[[#This Row],[經過幾次配息]],0))</f>
        <v>0</v>
      </c>
      <c r="CN12" s="646" t="e">
        <f ca="1">VLOOKUP(庫存Pro[[#This Row],[商品代號]],bond!B:F,5,FALSE)</f>
        <v>#N/A</v>
      </c>
      <c r="CO12" s="739" t="str">
        <f ca="1">IFERROR(VLOOKUP(庫存Pro[[#This Row],[ISIN]],'7_發行日例外'!A:C,3,FALSE),IFERROR(DATEVALUE(VLOOKUP(庫存Pro[[#This Row],[商品代號]],bond!B:AR,43,FALSE)),""))</f>
        <v/>
      </c>
      <c r="CP12" s="646" t="e">
        <f ca="1">DATEDIF(庫存Pro[[#This Row],[起息日]],庫存Pro[[#This Row],[買進前一配息日(複算)]],"d")</f>
        <v>#VALUE!</v>
      </c>
      <c r="CQ12"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2" s="739" t="e">
        <f ca="1">IFERROR(VLOOKUP(庫存Pro[[#This Row],[ISIN]],'7_發行日例外'!A:D,4,FALSE),DATEVALUE(VLOOKUP(庫存Pro[[#This Row],[商品代號]],bond!B:AV,44,FALSE)))</f>
        <v>#N/A</v>
      </c>
      <c r="CS12" s="646" t="e">
        <f ca="1">VLOOKUP(庫存Pro[[#This Row],[商品代號]],bond!B:AU,46,FALSE)</f>
        <v>#N/A</v>
      </c>
      <c r="CT12" s="646" t="e">
        <f ca="1">IF(庫存Pro[[#This Row],[計息基礎]]=1,CHOOSE(庫存Pro[[#This Row],[對應編碼]],"沒進位","","沒進位",IF(庫存Pro[[#This Row],[計算類型]]="AUSTRALIA:EX-DIV","4捨五入進0.01%","沒進位"),"年/2去計算ACT","沒進位","沒進位"),"")</f>
        <v>#N/A</v>
      </c>
      <c r="CU12" s="646" t="e">
        <f ca="1">_xlfn.DAYS(庫存Pro[[#This Row],[買進例外調整]],庫存Pro[[#This Row],[買進前一個配息日(最終)]])</f>
        <v>#N/A</v>
      </c>
      <c r="CV12" s="646" t="e">
        <f ca="1">IF(庫存Pro[[#This Row],[備註]]="年/2去計算ACT",365/2,_xlfn.DAYS(庫存Pro[[#This Row],[買進時的下個配息日]],庫存Pro[[#This Row],[買進前一個配息日(最終)]]))</f>
        <v>#N/A</v>
      </c>
      <c r="CW12"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12" s="768" t="e">
        <f ca="1">_xlfn.DAYS(庫存Pro[[#This Row],[交割日]],庫存Pro[[#This Row],[買進前一個配息日(最終)]])</f>
        <v>#N/A</v>
      </c>
      <c r="CY12"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12" s="768" t="e">
        <f ca="1">_xlfn.DAYS(庫存Pro[[#This Row],[交割日]],庫存Pro[[#This Row],[最近的上一票息日]])</f>
        <v>#N/A</v>
      </c>
      <c r="DA12" s="768" t="e">
        <f ca="1">IF(庫存Pro[[#This Row],[備註]]="年/2去計算ACT",365/2,_xlfn.DAYS(庫存Pro[[#This Row],[下一配息日]],庫存Pro[[#This Row],[最近的上一票息日]]))</f>
        <v>#N/A</v>
      </c>
      <c r="DB12"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12" s="739" t="e">
        <f ca="1">CJ12-庫存Pro[[#This Row],[ex_div_days]]</f>
        <v>#N/A</v>
      </c>
      <c r="DD12" s="646" t="e">
        <f ca="1">IF(VLOOKUP(庫存Pro[[#This Row],[商品代號]],bond!B:AT,45,FALSE)="#N/A Field Not Applicable",0,VLOOKUP(庫存Pro[[#This Row],[商品代號]],bond!B:AT,45,FALSE))</f>
        <v>#N/A</v>
      </c>
      <c r="DE12" s="793" t="e">
        <f ca="1">IF(庫存Pro[[#This Row],[ex_div_days]]&lt;&gt;0,IF(AND(庫存Pro[[#This Row],[買進例外調整]]-庫存Pro[[#This Row],[買進下一個配息日先減n天]]&gt;=0,庫存Pro[[#This Row],[買進時的下個配息日]]-庫存Pro[[#This Row],[買進例外調整]]&gt;0),1,0),0)</f>
        <v>#N/A</v>
      </c>
      <c r="DF12" s="784" t="e">
        <f ca="1">IF(庫存Pro[[#This Row],[對應編碼]]=4,ROUND(庫存Pro[[#This Row],[前手息(初算)]]-庫存Pro[[#This Row],[票面利率]]/庫存Pro[[#This Row],[配息頻率]]*100,3),ROUND(庫存Pro[[#This Row],[前手息(初算)]]-庫存Pro[[#This Row],[票面利率]]/庫存Pro[[#This Row],[配息頻率]]*100,4))</f>
        <v>#N/A</v>
      </c>
      <c r="DG12" s="734" t="e">
        <f ca="1">庫存Pro[[#This Row],[下一配息日]]-庫存Pro[[#This Row],[ex_div_days]]</f>
        <v>#VALUE!</v>
      </c>
      <c r="DH12" s="1084" t="e">
        <f ca="1">IF(庫存Pro[[#This Row],[ex_div_days]]&lt;&gt;0,IF(AND(庫存Pro[[#This Row],[交割日]]-庫存Pro[[#This Row],[交割下個配息日先減n天]]&gt;=0,庫存Pro[[#This Row],[下一配息日]]-庫存Pro[[#This Row],[交割日]]&gt;0),1,0),0)</f>
        <v>#N/A</v>
      </c>
      <c r="DI12"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12" s="423"/>
      <c r="DK12" s="423"/>
      <c r="DL12" s="423"/>
      <c r="DM12" s="423"/>
      <c r="DN12" s="423"/>
      <c r="DO12" s="423"/>
      <c r="DP12" s="423"/>
      <c r="DQ12" s="423"/>
      <c r="DR12" s="423"/>
      <c r="DS12" s="423"/>
      <c r="DT12" s="423"/>
      <c r="DU12" s="423"/>
      <c r="DV12" s="423"/>
      <c r="DW12" s="423"/>
      <c r="DX12" s="423"/>
      <c r="DY12" s="423"/>
      <c r="DZ12" s="423"/>
      <c r="EA12" s="423"/>
      <c r="EB12" s="423"/>
      <c r="EC12" s="423"/>
      <c r="ED12" s="423"/>
      <c r="EE12" s="423"/>
      <c r="EF12" s="423"/>
      <c r="EG12" s="423"/>
      <c r="EH12" s="423"/>
      <c r="EI12" s="423"/>
      <c r="EJ12" s="423"/>
      <c r="EK12" s="423"/>
      <c r="EL12" s="423"/>
      <c r="EM12" s="423"/>
      <c r="EN12" s="423"/>
      <c r="EO12" s="423"/>
      <c r="EP12" s="423"/>
      <c r="EQ12" s="423"/>
      <c r="ER12" s="423"/>
      <c r="ES12" s="423"/>
      <c r="ET12" s="423"/>
      <c r="EU12" s="423"/>
      <c r="EV12" s="423"/>
      <c r="EW12" s="423"/>
      <c r="EX12" s="423"/>
      <c r="EY12" s="423"/>
      <c r="EZ12" s="423"/>
      <c r="FA12" s="423"/>
      <c r="FB12" s="423"/>
      <c r="FC12" s="423"/>
      <c r="FD12" s="423"/>
      <c r="FE12" s="423"/>
      <c r="FF12" s="423"/>
      <c r="FG12" s="423"/>
      <c r="FH12" s="423"/>
      <c r="FI12" s="423"/>
      <c r="FJ12" s="423"/>
      <c r="FK12" s="423"/>
      <c r="FL12" s="423"/>
      <c r="FM12" s="423"/>
      <c r="FN12" s="423"/>
      <c r="FO12" s="423"/>
      <c r="FP12" s="423"/>
      <c r="FQ12" s="423"/>
      <c r="FR12" s="423"/>
      <c r="FS12" s="423"/>
      <c r="FT12" s="423"/>
      <c r="FU12" s="423"/>
      <c r="FV12" s="423"/>
      <c r="FW12" s="423"/>
      <c r="FX12" s="423"/>
      <c r="FY12" s="423"/>
      <c r="FZ12" s="423"/>
      <c r="GA12" s="423"/>
      <c r="GB12" s="423"/>
      <c r="GC12" s="423"/>
      <c r="GD12" s="423"/>
      <c r="GE12" s="423"/>
      <c r="GF12" s="423"/>
      <c r="GG12" s="423"/>
      <c r="GH12" s="423"/>
      <c r="GI12" s="423"/>
      <c r="GJ12" s="423"/>
      <c r="GK12" s="423"/>
      <c r="GL12" s="423"/>
      <c r="GM12" s="423"/>
      <c r="GN12" s="423"/>
      <c r="GO12" s="423"/>
      <c r="GP12" s="423"/>
      <c r="GQ12" s="423"/>
      <c r="GR12" s="423"/>
      <c r="GS12" s="423"/>
      <c r="GT12" s="423"/>
      <c r="GU12" s="423"/>
      <c r="GV12" s="423"/>
      <c r="GW12" s="423"/>
      <c r="GX12" s="423"/>
      <c r="GY12" s="423"/>
      <c r="GZ12" s="423"/>
      <c r="HA12" s="423"/>
      <c r="HB12" s="423"/>
      <c r="HC12" s="423"/>
      <c r="HD12" s="423"/>
      <c r="HE12" s="423"/>
      <c r="HF12" s="423"/>
      <c r="HG12" s="423"/>
      <c r="HH12" s="423"/>
      <c r="HI12" s="423"/>
      <c r="HJ12" s="423"/>
      <c r="HK12" s="423"/>
      <c r="HL12" s="423"/>
      <c r="HM12" s="423"/>
      <c r="HN12" s="423"/>
      <c r="HO12" s="423"/>
      <c r="HP12" s="423"/>
      <c r="HQ12" s="423"/>
      <c r="HR12" s="423"/>
      <c r="HS12" s="423"/>
      <c r="HT12" s="423"/>
      <c r="HU12" s="423"/>
      <c r="HV12" s="423"/>
      <c r="HW12" s="423"/>
      <c r="HX12" s="423"/>
      <c r="HY12" s="423"/>
      <c r="HZ12" s="423"/>
      <c r="IA12" s="423"/>
      <c r="IB12" s="423"/>
      <c r="IC12" s="423"/>
      <c r="ID12" s="423"/>
      <c r="IE12" s="423"/>
    </row>
    <row r="13" spans="1:239" ht="19.5" customHeight="1">
      <c r="B13" s="614" t="s">
        <v>1946</v>
      </c>
      <c r="C13" s="614">
        <v>4</v>
      </c>
      <c r="H13" s="428">
        <f ca="1">IF(開關=TRUE,'庫存管理(Pro)'!B13,0)</f>
        <v>0</v>
      </c>
      <c r="I13" s="429" t="e">
        <f ca="1">VLOOKUP(H13,bond!B:I,8,FALSE)</f>
        <v>#N/A</v>
      </c>
      <c r="J13" s="429" t="e">
        <f ca="1">庫存Pro[[#This Row],[買價]]+VLOOKUP(庫存Pro[[#This Row],[商品代號]],bond!B:K,10,FALSE)</f>
        <v>#N/A</v>
      </c>
      <c r="K13" s="430" t="e">
        <f ca="1">VLOOKUP(H13,'銀行-TSS'!B:E,4,FALSE)</f>
        <v>#N/A</v>
      </c>
      <c r="L13" s="431" t="e">
        <f ca="1">VLOOKUP($H13,'銀行-TSS'!B:G,6,FALSE)</f>
        <v>#N/A</v>
      </c>
      <c r="M13" s="432" t="e">
        <f ca="1">IFERROR(DATEVALUE(VLOOKUP($H13,'銀行-TSS'!B:F,5,FALSE)),VLOOKUP($H13,'銀行-TSS'!B:F,5,FALSE))</f>
        <v>#N/A</v>
      </c>
      <c r="N13" s="433" t="e">
        <f ca="1">VLOOKUP($H13,'銀行-TSS'!B:H,7,FALSE)</f>
        <v>#N/A</v>
      </c>
      <c r="O13" s="433" t="e">
        <f ca="1">庫存Pro[[#This Row],[票面利率]]/庫存Pro[[#This Row],[成本價(不含前手息)]]*100</f>
        <v>#N/A</v>
      </c>
      <c r="P13" s="434" t="str">
        <f ca="1">IFERROR(VLOOKUP($H13,'銀行-TSS'!B:I,8,FALSE),"")</f>
        <v/>
      </c>
      <c r="Q13" s="440" t="str">
        <f ca="1">_xlfn.IFNA(IFERROR(DATEVALUE(VLOOKUP($H13,'銀行-TSS'!B:P,15,FALSE)),VLOOKUP($H13,'銀行-TSS'!B:P,15,FALSE)),"")</f>
        <v/>
      </c>
      <c r="R13" s="570" t="b">
        <f>IF(AND('2_Check_code'!C34,庫存Pro[[#This Row],[投入面額]]&gt;0),TRUE,FALSE)</f>
        <v>0</v>
      </c>
      <c r="S13" s="602">
        <f>'庫存管理(Pro)'!AE13</f>
        <v>0</v>
      </c>
      <c r="T13"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13" s="442" t="str">
        <f ca="1">IFERROR(WORKDAY(庫存Pro[[#This Row],[買進日]],VLOOKUP(庫存Pro[[#This Row],[商品代號]],'1_重設數據'!R:S,2,FALSE),休USD),庫存Pro[[#This Row],[買進日(T+2/公債T+1)]])</f>
        <v/>
      </c>
      <c r="V13" s="43">
        <f>'庫存管理(Pro)'!J13</f>
        <v>0</v>
      </c>
      <c r="W13" s="43">
        <f>'庫存管理(Pro)'!K13</f>
        <v>0</v>
      </c>
      <c r="X13" s="464">
        <f t="shared" ca="1" si="9"/>
        <v>0</v>
      </c>
      <c r="Y13" s="464" t="e">
        <f t="shared" ca="1" si="11"/>
        <v>#N/A</v>
      </c>
      <c r="Z13" s="465" t="e">
        <f t="shared" ca="1" si="12"/>
        <v>#N/A</v>
      </c>
      <c r="AA13" s="474" t="e">
        <f ca="1">IF(MF_Pro=2,庫存Pro[[#This Row],[部位現值(不含前手息)]]-庫存Pro[[#This Row],[持有成本(不含前手息)]],庫存Pro[[#This Row],[部位現值(含前手息)]]-庫存Pro[[#This Row],[持有成本(含前手息)]])</f>
        <v>#N/A</v>
      </c>
      <c r="AB13" s="462">
        <f ca="1">IF(MF_Pro=2,IFERROR(庫存Pro[[#This Row],[資本利損]]/庫存Pro[[#This Row],[持有成本(不含前手息)]],0),IFERROR(庫存Pro[[#This Row],[資本利損]]/庫存Pro[[#This Row],[持有成本(含前手息)]],0))</f>
        <v>0</v>
      </c>
      <c r="AC13" s="618" t="e">
        <f ca="1">庫存Pro[[#This Row],[持有成本(不含前手息)]]/庫存Pro[[#This Row],[投入面額]]*100</f>
        <v>#DIV/0!</v>
      </c>
      <c r="AD13" s="462" t="e">
        <f ca="1">VLOOKUP(庫存Pro[[#This Row],[商品代號]],bond!B:AA,26,FALSE)</f>
        <v>#N/A</v>
      </c>
      <c r="AE13" s="1" t="str">
        <f ca="1">IFERROR(VLOOKUP($H13,'銀行-TSS'!B:Q,16,FALSE),"")</f>
        <v/>
      </c>
      <c r="AF13" s="466" t="e">
        <f t="shared" ca="1" si="13"/>
        <v>#N/A</v>
      </c>
      <c r="AG13" s="458" t="e">
        <f ca="1">IF(OR(庫存Pro[[#This Row],[起息日]]&gt;庫存Pro[[#This Row],[買進前一配息日(複算)]],庫存Pro[[#This Row],[判斷]]=TRUE),庫存Pro[[#This Row],[起息日]],庫存Pro[[#This Row],[買進前一配息日(複算)]])</f>
        <v>#N/A</v>
      </c>
      <c r="AH13" s="577" t="e">
        <f ca="1">VLOOKUP(H13,bond!B:AP,41,FALSE)</f>
        <v>#N/A</v>
      </c>
      <c r="AI13" s="578" t="e">
        <f t="shared" ca="1" si="14"/>
        <v>#N/A</v>
      </c>
      <c r="AJ13" s="579">
        <f ca="1">IFERROR(IF(庫存Pro[[#This Row],[買進日是否落入record date]]=1,庫存Pro[[#This Row],[record date制度前手息]],庫存Pro[[#This Row],[前手息(初算)]]),0)</f>
        <v>0</v>
      </c>
      <c r="AK13" s="579" t="e">
        <f ca="1">IF(OR(庫存Pro[[#This Row],[買進例外調整]]&lt;庫存Pro[[#This Row],[起息日]],庫存Pro[[#This Row],[買進例外調整]]&gt;庫存Pro[[#This Row],[到期日]]),0,IF(庫存Pro[[#This Row],[備註]]&lt;&gt;"",庫存Pro[[#This Row],[買進時前手息]],IFERROR(ROUND(ACCRINT(AG13,AG13,U13,N13,100,P13,AI13,TRUE),4),0)))</f>
        <v>#N/A</v>
      </c>
      <c r="AL13" s="580">
        <f t="shared" ca="1" si="10"/>
        <v>0</v>
      </c>
      <c r="AM13" s="440" t="e">
        <f ca="1">DATEVALUE(VLOOKUP(H13,bond!B:I,7,FALSE))</f>
        <v>#N/A</v>
      </c>
      <c r="AN13"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13" s="579">
        <f ca="1">IFERROR(IF(庫存Pro[[#This Row],[交割日是否落入record date]]=1,庫存Pro[[#This Row],[交_record date制度前手息]],庫存Pro[[#This Row],[計算交割前手息(初算)]]),0)</f>
        <v>0</v>
      </c>
      <c r="AP13"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13" s="579" t="e">
        <f ca="1">IF(庫存Pro[[#This Row],[配息頻率]]=0,0,(100*庫存Pro[[#This Row],[票面利率]]/庫存Pro[[#This Row],[配息頻率]])*庫存Pro[[#This Row],[經過幾次配息]]+庫存Pro[[#This Row],[計算交割前手息(複算)]]-庫存Pro[[#This Row],[計算前手息(複算)]])</f>
        <v>#N/A</v>
      </c>
      <c r="AR13" s="581" t="e">
        <f ca="1">IF(庫存Pro[[#This Row],[商品代號]]="XFM90",0,ROUND(AQ13*V13/100,2))</f>
        <v>#N/A</v>
      </c>
      <c r="AS13" s="582">
        <f ca="1">IF(MF_Pro=2,IFERROR(庫存Pro[[#This Row],[累計配息]]/庫存Pro[[#This Row],[持有成本(不含前手息)]],0),IFERROR(庫存Pro[[#This Row],[已實現配息(原幣)]]/庫存Pro[[#This Row],[持有成本(含前手息)]],0))</f>
        <v>0</v>
      </c>
      <c r="AT13" s="583" t="e">
        <f ca="1">IF(MF_Pro=2,庫存Pro[[#This Row],[資本利損]]+庫存Pro[[#This Row],[累計配息]],庫存Pro[[#This Row],[資本利損]]+庫存Pro[[#This Row],[已實現配息(原幣)]])</f>
        <v>#N/A</v>
      </c>
      <c r="AU13" s="584">
        <f ca="1">IF(MF_Pro=2,IFERROR(庫存Pro[[#This Row],[合計收益]]/庫存Pro[[#This Row],[持有成本(不含前手息)]],0),IFERROR(庫存Pro[[#This Row],[合計收益]]/庫存Pro[[#This Row],[持有成本(含前手息)]],0))</f>
        <v>0</v>
      </c>
      <c r="AV13" s="434" t="e">
        <f t="shared" ca="1" si="0"/>
        <v>#VALUE!</v>
      </c>
      <c r="AW13" s="434" t="e">
        <f t="shared" ca="1" si="1"/>
        <v>#VALUE!</v>
      </c>
      <c r="AX13" s="434">
        <f t="shared" ca="1" si="2"/>
        <v>0</v>
      </c>
      <c r="AY13" s="434">
        <f t="shared" ca="1" si="3"/>
        <v>0</v>
      </c>
      <c r="AZ13" s="441" t="e">
        <f ca="1">IF(AND(庫存Pro[[#This Row],[名稱]]="美國國庫債券",DAY(庫存Pro[[#This Row],[買進前一配息日(初算)]])&gt;=28),EOMONTH(庫存Pro[[#This Row],[買進前一配息日(初算)]],0),庫存Pro[[#This Row],[買進前一配息日(初算)]])</f>
        <v>#N/A</v>
      </c>
      <c r="BA13" s="441" t="e">
        <f t="shared" ca="1" si="4"/>
        <v>#VALUE!</v>
      </c>
      <c r="BB13" s="444" t="e">
        <f t="shared" ca="1" si="5"/>
        <v>#VALUE!</v>
      </c>
      <c r="BC13" s="441" t="e">
        <f ca="1">IF(P13&gt;0,IF(MONTH(DATE(BB13,AV13,DAY(Q13)))&lt;&gt;庫存Pro[[#This Row],[第一個配息月]],DATE(BB13,AV13+1,0),DATE(BB13,AV13,DAY(Q13))),庫存Pro[[#This Row],[買進例外調整]]+100)</f>
        <v>#VALUE!</v>
      </c>
      <c r="BD13" s="441" t="e">
        <f ca="1">IF(AW13&lt;&gt;0,IF(MONTH(DATE(BB13,AW13,DAY(Q13)))&lt;&gt;庫存Pro[[#This Row],[第二個配息月]],DATE(BB13,AW13+1,0),DATE(BB13,AW13,DAY(Q13))),庫存Pro[[#This Row],[買進例外調整]]+100)</f>
        <v>#VALUE!</v>
      </c>
      <c r="BE13" s="441" t="e">
        <f ca="1">IF(AX13&lt;&gt;0,IF(MONTH(DATE(BB13,AX13,DAY(Q13)))&lt;&gt;庫存Pro[[#This Row],[第三個配息月]],DATE(BB13,AX13+1,0),DATE(BB13,AX13,DAY(Q13))),庫存Pro[[#This Row],[買進例外調整]]+100)</f>
        <v>#VALUE!</v>
      </c>
      <c r="BF13" s="441" t="e">
        <f ca="1">IF(AY13&lt;&gt;0,IF(MONTH(DATE(BB13,AY13,DAY(Q13)))&lt;&gt;庫存Pro[[#This Row],[第四個配息月]],DATE(BB13,AY13+1,0),DATE(BB13,AY13,DAY(Q13))),庫存Pro[[#This Row],[買進例外調整]]+100)</f>
        <v>#VALUE!</v>
      </c>
      <c r="BG13" s="441" t="e">
        <f ca="1">IF(P13=1,IF(MONTH(DATE(BB13-1,AV13,DAY(Q13)))&lt;&gt;庫存Pro[[#This Row],[第一個配息月]],DATE(BB13-1,AV13+1,0),DATE(BB13-1,AV13,DAY(Q13))),IF(P13=2,IF(MONTH(DATE(BB13-1,AW13,DAY(Q13)))&lt;&gt;庫存Pro[[#This Row],[第二個配息月]],DATE(BB13-1,AW13+1,0),DATE(BB13-1,AW13,DAY(Q13))),IF(P13=4,IF(MONTH(DATE(BB13-1,AY13,DAY(Q13)))&lt;&gt;庫存Pro[[#This Row],[第四個配息月]],DATE(BB13-1,AY13+1,0),DATE(BB13-1,AY13,DAY(Q13))),庫存Pro[[#This Row],[買進例外調整]]+100)))</f>
        <v>#VALUE!</v>
      </c>
      <c r="BH13" s="445">
        <f t="shared" ca="1" si="15"/>
        <v>10000</v>
      </c>
      <c r="BI13" s="445">
        <f t="shared" ca="1" si="16"/>
        <v>10000</v>
      </c>
      <c r="BJ13" s="445">
        <f t="shared" ca="1" si="17"/>
        <v>10000</v>
      </c>
      <c r="BK13" s="445">
        <f t="shared" ca="1" si="18"/>
        <v>10000</v>
      </c>
      <c r="BL13" s="455">
        <f t="shared" ca="1" si="19"/>
        <v>10000</v>
      </c>
      <c r="BM13" s="479" t="e">
        <f ca="1">庫存Pro[[#This Row],[年度配息]]/庫存Pro[[#This Row],[配息頻率]]</f>
        <v>#N/A</v>
      </c>
      <c r="BN13" s="479" t="e">
        <f ca="1">庫存Pro[[#This Row],[單次配息(原幣)]]*庫存Pro[[#This Row],[換算匯率(現)]]</f>
        <v>#N/A</v>
      </c>
      <c r="BO13" s="479" t="str">
        <f ca="1">IFERROR(VLOOKUP($H13,'銀行-TSS'!B:C,2,FALSE),"")</f>
        <v/>
      </c>
      <c r="BP13" s="479" t="e">
        <f ca="1">VLOOKUP(庫存Pro[[#This Row],[幣別]],$B$37:$C$43,2,FALSE)</f>
        <v>#N/A</v>
      </c>
      <c r="BQ13" s="500" t="e">
        <f ca="1">CHOOSE(庫存Pro[[#This Row],[對應編碼]],$D$37,$D$38,$D$39,$D$40,$D$41,$D$42,$D$43)</f>
        <v>#N/A</v>
      </c>
      <c r="BR13" s="500" t="e">
        <f ca="1">CHOOSE(庫存Pro[[#This Row],[對應編碼]],$E$37,$E$38,$E$39,$E$40,$E$41,$E$42,$E$43)</f>
        <v>#N/A</v>
      </c>
      <c r="BS13" s="595" t="e">
        <f ca="1">庫存Pro[[#This Row],[投入面額]]*庫存Pro[[#This Row],[換算匯率(現)]]</f>
        <v>#N/A</v>
      </c>
      <c r="BT13" s="595" t="e">
        <f ca="1">庫存Pro[[#This Row],[持有成本(含前手息)]]*庫存Pro[[#This Row],[換算匯率(買)]]</f>
        <v>#N/A</v>
      </c>
      <c r="BU13" s="498" t="e">
        <f ca="1">庫存Pro[[#This Row],[持有成本(不含前手息)]]*庫存Pro[[#This Row],[換算匯率(買)]]</f>
        <v>#N/A</v>
      </c>
      <c r="BV13" s="498" t="e">
        <f ca="1">庫存Pro[[#This Row],[部位現值(含前手息)]]*庫存Pro[[#This Row],[換算匯率(現)]]</f>
        <v>#N/A</v>
      </c>
      <c r="BW13" s="498" t="e">
        <f ca="1">庫存Pro[[#This Row],[部位現值(不含前手息)]]*庫存Pro[[#This Row],[換算匯率(現)]]</f>
        <v>#N/A</v>
      </c>
      <c r="BX13" s="498" t="e">
        <f ca="1">IF(MF_Pro=2,庫存Pro[[#This Row],[累計配息]]*庫存Pro[[#This Row],[換算匯率(現)]],庫存Pro[[#This Row],[已實現配息(原幣)]]*庫存Pro[[#This Row],[換算匯率(現)]])</f>
        <v>#N/A</v>
      </c>
      <c r="BY13" s="498" t="e">
        <f ca="1">庫存Pro[[#This Row],[資本利損]]*庫存Pro[[#This Row],[換算匯率(現)]]</f>
        <v>#N/A</v>
      </c>
      <c r="BZ13" s="498" t="e">
        <f ca="1">庫存Pro[[#This Row],[累計利息(台)]]+庫存Pro[[#This Row],[資本貢獻(台)]]</f>
        <v>#N/A</v>
      </c>
      <c r="CA13" s="574">
        <f ca="1">IFERROR(庫存Pro[[#This Row],[配息報酬]],0)</f>
        <v>0</v>
      </c>
      <c r="CB13" s="574">
        <f ca="1">庫存Pro[[#This Row],[資本報酬]]</f>
        <v>0</v>
      </c>
      <c r="CC13" s="574">
        <f ca="1">IFERROR(庫存Pro[[#This Row],[換匯總報酬率]]-(庫存Pro[[#This Row],[配息報酬率]]+庫存Pro[[#This Row],[資本報酬率]]),0)</f>
        <v>0</v>
      </c>
      <c r="CD13" s="574">
        <f ca="1">IF(MF_Pro=2,IFERROR((庫存Pro[[#This Row],[參考贖回金額(現)]]+庫存Pro[[#This Row],[累計利息(台)]])/庫存Pro[[#This Row],[淨投入成本(買)]]-1,0),IFERROR(((庫存Pro[[#This Row],[參考贖回金額含前手息(現)]]+庫存Pro[[#This Row],[累計利息(台)]])/庫存Pro[[#This Row],[庫存成本(買)]])-1,0))</f>
        <v>0</v>
      </c>
      <c r="CE13" s="585">
        <f t="shared" ca="1" si="7"/>
        <v>0</v>
      </c>
      <c r="CF13" s="574">
        <f t="shared" ca="1" si="8"/>
        <v>0</v>
      </c>
      <c r="CG13"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13" s="646" t="e">
        <f ca="1">DATEDIF(庫存Pro[[#This Row],[買進例外調整]],庫存Pro[[#This Row],[到期日]],"d")/365.25</f>
        <v>#VALUE!</v>
      </c>
      <c r="CI13" s="739" t="e">
        <f ca="1">DATEVALUE(VLOOKUP(庫存Pro[[#This Row],[商品代號]],bond!B:AF,31,FALSE))</f>
        <v>#N/A</v>
      </c>
      <c r="CJ13" s="739" t="e">
        <f ca="1">IF(庫存Pro[[#This Row],[買下配(國調)]]&lt;庫存Pro[[#This Row],[第一票息日]],庫存Pro[[#This Row],[第一票息日]],庫存Pro[[#This Row],[買下配(國調)]])</f>
        <v>#N/A</v>
      </c>
      <c r="CK13"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13"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13" s="646">
        <f ca="1">IF(庫存Pro[[#This Row],[商品代號]]="XFM90",0,IFERROR(庫存Pro[[#This Row],[單次配息(原幣)]]*庫存Pro[[#This Row],[經過幾次配息]],0))</f>
        <v>0</v>
      </c>
      <c r="CN13" s="646" t="e">
        <f ca="1">VLOOKUP(庫存Pro[[#This Row],[商品代號]],bond!B:F,5,FALSE)</f>
        <v>#N/A</v>
      </c>
      <c r="CO13" s="739" t="str">
        <f ca="1">IFERROR(VLOOKUP(庫存Pro[[#This Row],[ISIN]],'7_發行日例外'!A:C,3,FALSE),IFERROR(DATEVALUE(VLOOKUP(庫存Pro[[#This Row],[商品代號]],bond!B:AR,43,FALSE)),""))</f>
        <v/>
      </c>
      <c r="CP13" s="646" t="e">
        <f ca="1">DATEDIF(庫存Pro[[#This Row],[起息日]],庫存Pro[[#This Row],[買進前一配息日(複算)]],"d")</f>
        <v>#VALUE!</v>
      </c>
      <c r="CQ13"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3" s="739" t="e">
        <f ca="1">IFERROR(VLOOKUP(庫存Pro[[#This Row],[ISIN]],'7_發行日例外'!A:D,4,FALSE),DATEVALUE(VLOOKUP(庫存Pro[[#This Row],[商品代號]],bond!B:AV,44,FALSE)))</f>
        <v>#N/A</v>
      </c>
      <c r="CS13" s="646" t="e">
        <f ca="1">VLOOKUP(庫存Pro[[#This Row],[商品代號]],bond!B:AU,46,FALSE)</f>
        <v>#N/A</v>
      </c>
      <c r="CT13" s="646" t="e">
        <f ca="1">IF(庫存Pro[[#This Row],[計息基礎]]=1,CHOOSE(庫存Pro[[#This Row],[對應編碼]],"沒進位","","沒進位",IF(庫存Pro[[#This Row],[計算類型]]="AUSTRALIA:EX-DIV","4捨五入進0.01%","沒進位"),"年/2去計算ACT","沒進位","沒進位"),"")</f>
        <v>#N/A</v>
      </c>
      <c r="CU13" s="646" t="e">
        <f ca="1">_xlfn.DAYS(庫存Pro[[#This Row],[買進例外調整]],庫存Pro[[#This Row],[買進前一個配息日(最終)]])</f>
        <v>#N/A</v>
      </c>
      <c r="CV13" s="646" t="e">
        <f ca="1">IF(庫存Pro[[#This Row],[備註]]="年/2去計算ACT",365/2,_xlfn.DAYS(庫存Pro[[#This Row],[買進時的下個配息日]],庫存Pro[[#This Row],[買進前一個配息日(最終)]]))</f>
        <v>#N/A</v>
      </c>
      <c r="CW13"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13" s="768" t="e">
        <f ca="1">_xlfn.DAYS(庫存Pro[[#This Row],[交割日]],庫存Pro[[#This Row],[買進前一個配息日(最終)]])</f>
        <v>#N/A</v>
      </c>
      <c r="CY13"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13" s="768" t="e">
        <f ca="1">_xlfn.DAYS(庫存Pro[[#This Row],[交割日]],庫存Pro[[#This Row],[最近的上一票息日]])</f>
        <v>#N/A</v>
      </c>
      <c r="DA13" s="768" t="e">
        <f ca="1">IF(庫存Pro[[#This Row],[備註]]="年/2去計算ACT",365/2,_xlfn.DAYS(庫存Pro[[#This Row],[下一配息日]],庫存Pro[[#This Row],[最近的上一票息日]]))</f>
        <v>#N/A</v>
      </c>
      <c r="DB13"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13" s="739" t="e">
        <f ca="1">CJ13-庫存Pro[[#This Row],[ex_div_days]]</f>
        <v>#N/A</v>
      </c>
      <c r="DD13" s="646" t="e">
        <f ca="1">IF(VLOOKUP(庫存Pro[[#This Row],[商品代號]],bond!B:AT,45,FALSE)="#N/A Field Not Applicable",0,VLOOKUP(庫存Pro[[#This Row],[商品代號]],bond!B:AT,45,FALSE))</f>
        <v>#N/A</v>
      </c>
      <c r="DE13" s="793" t="e">
        <f ca="1">IF(庫存Pro[[#This Row],[ex_div_days]]&lt;&gt;0,IF(AND(庫存Pro[[#This Row],[買進例外調整]]-庫存Pro[[#This Row],[買進下一個配息日先減n天]]&gt;=0,庫存Pro[[#This Row],[買進時的下個配息日]]-庫存Pro[[#This Row],[買進例外調整]]&gt;0),1,0),0)</f>
        <v>#N/A</v>
      </c>
      <c r="DF13" s="784" t="e">
        <f ca="1">IF(庫存Pro[[#This Row],[對應編碼]]=4,ROUND(庫存Pro[[#This Row],[前手息(初算)]]-庫存Pro[[#This Row],[票面利率]]/庫存Pro[[#This Row],[配息頻率]]*100,3),ROUND(庫存Pro[[#This Row],[前手息(初算)]]-庫存Pro[[#This Row],[票面利率]]/庫存Pro[[#This Row],[配息頻率]]*100,4))</f>
        <v>#N/A</v>
      </c>
      <c r="DG13" s="734" t="e">
        <f ca="1">庫存Pro[[#This Row],[下一配息日]]-庫存Pro[[#This Row],[ex_div_days]]</f>
        <v>#VALUE!</v>
      </c>
      <c r="DH13" s="1084" t="e">
        <f ca="1">IF(庫存Pro[[#This Row],[ex_div_days]]&lt;&gt;0,IF(AND(庫存Pro[[#This Row],[交割日]]-庫存Pro[[#This Row],[交割下個配息日先減n天]]&gt;=0,庫存Pro[[#This Row],[下一配息日]]-庫存Pro[[#This Row],[交割日]]&gt;0),1,0),0)</f>
        <v>#N/A</v>
      </c>
      <c r="DI13"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13" s="33"/>
      <c r="DK13" s="33"/>
      <c r="DL13" s="33"/>
      <c r="DM13" s="33"/>
      <c r="DN13" s="33"/>
      <c r="DO13" s="33"/>
      <c r="DP13" s="33"/>
      <c r="DQ13" s="33"/>
      <c r="DR13" s="33"/>
      <c r="DS13" s="33"/>
      <c r="DT13" s="33"/>
      <c r="DU13" s="33"/>
      <c r="DV13" s="33"/>
      <c r="DW13" s="33"/>
      <c r="DX13" s="33"/>
      <c r="DY13" s="33"/>
      <c r="DZ13" s="33"/>
      <c r="EA13" s="33"/>
      <c r="EB13" s="33"/>
      <c r="EC13" s="33"/>
      <c r="ED13" s="33"/>
      <c r="EE13" s="33"/>
      <c r="EF13" s="33"/>
      <c r="EG13" s="33"/>
      <c r="EH13" s="33"/>
      <c r="EI13" s="33"/>
      <c r="EJ13" s="33"/>
      <c r="EK13" s="33"/>
      <c r="EL13" s="33"/>
      <c r="EM13" s="33"/>
      <c r="EN13" s="33"/>
      <c r="EO13" s="33"/>
      <c r="EP13" s="33"/>
      <c r="EQ13" s="33"/>
      <c r="ER13" s="33"/>
      <c r="ES13" s="33"/>
      <c r="ET13" s="33"/>
      <c r="EU13" s="33"/>
      <c r="EV13" s="33"/>
      <c r="EW13" s="33"/>
      <c r="EX13" s="33"/>
      <c r="EY13" s="33"/>
      <c r="EZ13" s="33"/>
      <c r="FA13" s="33"/>
      <c r="FB13" s="33"/>
      <c r="FC13" s="33"/>
      <c r="FD13" s="33"/>
      <c r="FE13" s="33"/>
      <c r="FF13" s="33"/>
      <c r="FG13" s="33"/>
      <c r="FH13" s="33"/>
      <c r="FI13" s="33"/>
      <c r="FJ13" s="33"/>
      <c r="FK13" s="33"/>
      <c r="FL13" s="33"/>
      <c r="FM13" s="33"/>
      <c r="FN13" s="33"/>
      <c r="FO13" s="33"/>
      <c r="FP13" s="33"/>
      <c r="FQ13" s="33"/>
      <c r="FR13" s="33"/>
      <c r="FS13" s="33"/>
      <c r="FT13" s="33"/>
      <c r="FU13" s="33"/>
      <c r="FV13" s="33"/>
      <c r="FW13" s="33"/>
      <c r="FX13" s="33"/>
      <c r="FY13" s="33"/>
      <c r="FZ13" s="33"/>
      <c r="GA13" s="33"/>
      <c r="GB13" s="33"/>
      <c r="GC13" s="33"/>
      <c r="GD13" s="33"/>
      <c r="GE13" s="33"/>
      <c r="GF13" s="33"/>
      <c r="GG13" s="33"/>
      <c r="GH13" s="33"/>
      <c r="GI13" s="33"/>
      <c r="GJ13" s="33"/>
      <c r="GK13" s="33"/>
      <c r="GL13" s="33"/>
      <c r="GM13" s="33"/>
      <c r="GN13" s="33"/>
      <c r="GO13" s="33"/>
      <c r="GP13" s="33"/>
      <c r="GQ13" s="33"/>
      <c r="GR13" s="33"/>
      <c r="GS13" s="33"/>
      <c r="GT13" s="33"/>
      <c r="GU13" s="33"/>
      <c r="GV13" s="33"/>
      <c r="GW13" s="33"/>
      <c r="GX13" s="33"/>
      <c r="GY13" s="33"/>
      <c r="GZ13" s="33"/>
      <c r="HA13" s="33"/>
      <c r="HB13" s="33"/>
      <c r="HC13" s="33"/>
      <c r="HD13" s="33"/>
      <c r="HE13" s="33"/>
      <c r="HF13" s="33"/>
      <c r="HG13" s="33"/>
      <c r="HH13" s="33"/>
      <c r="HI13" s="33"/>
      <c r="HJ13" s="33"/>
      <c r="HK13" s="33"/>
      <c r="HL13" s="33"/>
      <c r="HM13" s="33"/>
      <c r="HN13" s="33"/>
      <c r="HO13" s="33"/>
      <c r="HP13" s="33"/>
      <c r="HQ13" s="33"/>
      <c r="HR13" s="33"/>
      <c r="HS13" s="33"/>
      <c r="HT13" s="33"/>
      <c r="HU13" s="33"/>
      <c r="HV13" s="33"/>
      <c r="HW13" s="33"/>
      <c r="HX13" s="33"/>
      <c r="HY13" s="33"/>
      <c r="HZ13" s="33"/>
      <c r="IA13" s="33"/>
      <c r="IB13" s="33"/>
      <c r="IC13" s="33"/>
      <c r="ID13" s="33"/>
      <c r="IE13" s="33"/>
    </row>
    <row r="14" spans="1:239" ht="19.5" customHeight="1">
      <c r="H14" s="428">
        <f ca="1">IF(開關=TRUE,'庫存管理(Pro)'!B14,0)</f>
        <v>0</v>
      </c>
      <c r="I14" s="429" t="e">
        <f ca="1">VLOOKUP(H14,bond!B:I,8,FALSE)</f>
        <v>#N/A</v>
      </c>
      <c r="J14" s="429" t="e">
        <f ca="1">庫存Pro[[#This Row],[買價]]+VLOOKUP(庫存Pro[[#This Row],[商品代號]],bond!B:K,10,FALSE)</f>
        <v>#N/A</v>
      </c>
      <c r="K14" s="430" t="e">
        <f ca="1">VLOOKUP(H14,'銀行-TSS'!B:E,4,FALSE)</f>
        <v>#N/A</v>
      </c>
      <c r="L14" s="431" t="e">
        <f ca="1">VLOOKUP($H14,'銀行-TSS'!B:G,6,FALSE)</f>
        <v>#N/A</v>
      </c>
      <c r="M14" s="432" t="e">
        <f ca="1">IFERROR(DATEVALUE(VLOOKUP($H14,'銀行-TSS'!B:F,5,FALSE)),VLOOKUP($H14,'銀行-TSS'!B:F,5,FALSE))</f>
        <v>#N/A</v>
      </c>
      <c r="N14" s="433" t="e">
        <f ca="1">VLOOKUP($H14,'銀行-TSS'!B:H,7,FALSE)</f>
        <v>#N/A</v>
      </c>
      <c r="O14" s="433" t="e">
        <f ca="1">庫存Pro[[#This Row],[票面利率]]/庫存Pro[[#This Row],[成本價(不含前手息)]]*100</f>
        <v>#N/A</v>
      </c>
      <c r="P14" s="434" t="str">
        <f ca="1">IFERROR(VLOOKUP($H14,'銀行-TSS'!B:I,8,FALSE),"")</f>
        <v/>
      </c>
      <c r="Q14" s="440" t="str">
        <f ca="1">_xlfn.IFNA(IFERROR(DATEVALUE(VLOOKUP($H14,'銀行-TSS'!B:P,15,FALSE)),VLOOKUP($H14,'銀行-TSS'!B:P,15,FALSE)),"")</f>
        <v/>
      </c>
      <c r="R14" s="570" t="b">
        <f>IF(AND('2_Check_code'!C35,庫存Pro[[#This Row],[投入面額]]&gt;0),TRUE,FALSE)</f>
        <v>0</v>
      </c>
      <c r="S14" s="602">
        <f>'庫存管理(Pro)'!AE14</f>
        <v>0</v>
      </c>
      <c r="T14"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14" s="442" t="str">
        <f ca="1">IFERROR(WORKDAY(庫存Pro[[#This Row],[買進日]],VLOOKUP(庫存Pro[[#This Row],[商品代號]],'1_重設數據'!R:S,2,FALSE),休USD),庫存Pro[[#This Row],[買進日(T+2/公債T+1)]])</f>
        <v/>
      </c>
      <c r="V14" s="43">
        <f>'庫存管理(Pro)'!J14</f>
        <v>0</v>
      </c>
      <c r="W14" s="43">
        <f>'庫存管理(Pro)'!K14</f>
        <v>0</v>
      </c>
      <c r="X14" s="464">
        <f t="shared" ca="1" si="9"/>
        <v>0</v>
      </c>
      <c r="Y14" s="464" t="e">
        <f t="shared" ca="1" si="11"/>
        <v>#N/A</v>
      </c>
      <c r="Z14" s="465" t="e">
        <f t="shared" ca="1" si="12"/>
        <v>#N/A</v>
      </c>
      <c r="AA14" s="474" t="e">
        <f ca="1">IF(MF_Pro=2,庫存Pro[[#This Row],[部位現值(不含前手息)]]-庫存Pro[[#This Row],[持有成本(不含前手息)]],庫存Pro[[#This Row],[部位現值(含前手息)]]-庫存Pro[[#This Row],[持有成本(含前手息)]])</f>
        <v>#N/A</v>
      </c>
      <c r="AB14" s="462">
        <f ca="1">IF(MF_Pro=2,IFERROR(庫存Pro[[#This Row],[資本利損]]/庫存Pro[[#This Row],[持有成本(不含前手息)]],0),IFERROR(庫存Pro[[#This Row],[資本利損]]/庫存Pro[[#This Row],[持有成本(含前手息)]],0))</f>
        <v>0</v>
      </c>
      <c r="AC14" s="618" t="e">
        <f ca="1">庫存Pro[[#This Row],[持有成本(不含前手息)]]/庫存Pro[[#This Row],[投入面額]]*100</f>
        <v>#DIV/0!</v>
      </c>
      <c r="AD14" s="462" t="e">
        <f ca="1">VLOOKUP(庫存Pro[[#This Row],[商品代號]],bond!B:AA,26,FALSE)</f>
        <v>#N/A</v>
      </c>
      <c r="AE14" s="1" t="str">
        <f ca="1">IFERROR(VLOOKUP($H14,'銀行-TSS'!B:Q,16,FALSE),"")</f>
        <v/>
      </c>
      <c r="AF14" s="466" t="e">
        <f t="shared" ca="1" si="13"/>
        <v>#N/A</v>
      </c>
      <c r="AG14" s="458" t="e">
        <f ca="1">IF(OR(庫存Pro[[#This Row],[起息日]]&gt;庫存Pro[[#This Row],[買進前一配息日(複算)]],庫存Pro[[#This Row],[判斷]]=TRUE),庫存Pro[[#This Row],[起息日]],庫存Pro[[#This Row],[買進前一配息日(複算)]])</f>
        <v>#N/A</v>
      </c>
      <c r="AH14" s="577" t="e">
        <f ca="1">VLOOKUP(H14,bond!B:AP,41,FALSE)</f>
        <v>#N/A</v>
      </c>
      <c r="AI14" s="578" t="e">
        <f t="shared" ca="1" si="14"/>
        <v>#N/A</v>
      </c>
      <c r="AJ14" s="579">
        <f ca="1">IFERROR(IF(庫存Pro[[#This Row],[買進日是否落入record date]]=1,庫存Pro[[#This Row],[record date制度前手息]],庫存Pro[[#This Row],[前手息(初算)]]),0)</f>
        <v>0</v>
      </c>
      <c r="AK14" s="579" t="e">
        <f ca="1">IF(OR(庫存Pro[[#This Row],[買進例外調整]]&lt;庫存Pro[[#This Row],[起息日]],庫存Pro[[#This Row],[買進例外調整]]&gt;庫存Pro[[#This Row],[到期日]]),0,IF(庫存Pro[[#This Row],[備註]]&lt;&gt;"",庫存Pro[[#This Row],[買進時前手息]],IFERROR(ROUND(ACCRINT(AG14,AG14,U14,N14,100,P14,AI14,TRUE),4),0)))</f>
        <v>#N/A</v>
      </c>
      <c r="AL14" s="580">
        <f t="shared" ca="1" si="10"/>
        <v>0</v>
      </c>
      <c r="AM14" s="440" t="e">
        <f ca="1">DATEVALUE(VLOOKUP(H14,bond!B:I,7,FALSE))</f>
        <v>#N/A</v>
      </c>
      <c r="AN14"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14" s="579">
        <f ca="1">IFERROR(IF(庫存Pro[[#This Row],[交割日是否落入record date]]=1,庫存Pro[[#This Row],[交_record date制度前手息]],庫存Pro[[#This Row],[計算交割前手息(初算)]]),0)</f>
        <v>0</v>
      </c>
      <c r="AP14"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14" s="579" t="e">
        <f ca="1">IF(庫存Pro[[#This Row],[配息頻率]]=0,0,(100*庫存Pro[[#This Row],[票面利率]]/庫存Pro[[#This Row],[配息頻率]])*庫存Pro[[#This Row],[經過幾次配息]]+庫存Pro[[#This Row],[計算交割前手息(複算)]]-庫存Pro[[#This Row],[計算前手息(複算)]])</f>
        <v>#N/A</v>
      </c>
      <c r="AR14" s="581" t="e">
        <f ca="1">IF(庫存Pro[[#This Row],[商品代號]]="XFM90",0,ROUND(AQ14*V14/100,2))</f>
        <v>#N/A</v>
      </c>
      <c r="AS14" s="582">
        <f ca="1">IF(MF_Pro=2,IFERROR(庫存Pro[[#This Row],[累計配息]]/庫存Pro[[#This Row],[持有成本(不含前手息)]],0),IFERROR(庫存Pro[[#This Row],[已實現配息(原幣)]]/庫存Pro[[#This Row],[持有成本(含前手息)]],0))</f>
        <v>0</v>
      </c>
      <c r="AT14" s="583" t="e">
        <f ca="1">IF(MF_Pro=2,庫存Pro[[#This Row],[資本利損]]+庫存Pro[[#This Row],[累計配息]],庫存Pro[[#This Row],[資本利損]]+庫存Pro[[#This Row],[已實現配息(原幣)]])</f>
        <v>#N/A</v>
      </c>
      <c r="AU14" s="584">
        <f ca="1">IF(MF_Pro=2,IFERROR(庫存Pro[[#This Row],[合計收益]]/庫存Pro[[#This Row],[持有成本(不含前手息)]],0),IFERROR(庫存Pro[[#This Row],[合計收益]]/庫存Pro[[#This Row],[持有成本(含前手息)]],0))</f>
        <v>0</v>
      </c>
      <c r="AV14" s="434" t="e">
        <f t="shared" ca="1" si="0"/>
        <v>#VALUE!</v>
      </c>
      <c r="AW14" s="434" t="e">
        <f t="shared" ca="1" si="1"/>
        <v>#VALUE!</v>
      </c>
      <c r="AX14" s="434">
        <f t="shared" ca="1" si="2"/>
        <v>0</v>
      </c>
      <c r="AY14" s="434">
        <f t="shared" ca="1" si="3"/>
        <v>0</v>
      </c>
      <c r="AZ14" s="441" t="e">
        <f ca="1">IF(AND(庫存Pro[[#This Row],[名稱]]="美國國庫債券",DAY(庫存Pro[[#This Row],[買進前一配息日(初算)]])&gt;=28),EOMONTH(庫存Pro[[#This Row],[買進前一配息日(初算)]],0),庫存Pro[[#This Row],[買進前一配息日(初算)]])</f>
        <v>#N/A</v>
      </c>
      <c r="BA14" s="441" t="e">
        <f t="shared" ca="1" si="4"/>
        <v>#VALUE!</v>
      </c>
      <c r="BB14" s="444" t="e">
        <f t="shared" ca="1" si="5"/>
        <v>#VALUE!</v>
      </c>
      <c r="BC14" s="441" t="e">
        <f ca="1">IF(P14&gt;0,IF(MONTH(DATE(BB14,AV14,DAY(Q14)))&lt;&gt;庫存Pro[[#This Row],[第一個配息月]],DATE(BB14,AV14+1,0),DATE(BB14,AV14,DAY(Q14))),庫存Pro[[#This Row],[買進例外調整]]+100)</f>
        <v>#VALUE!</v>
      </c>
      <c r="BD14" s="441" t="e">
        <f ca="1">IF(AW14&lt;&gt;0,IF(MONTH(DATE(BB14,AW14,DAY(Q14)))&lt;&gt;庫存Pro[[#This Row],[第二個配息月]],DATE(BB14,AW14+1,0),DATE(BB14,AW14,DAY(Q14))),庫存Pro[[#This Row],[買進例外調整]]+100)</f>
        <v>#VALUE!</v>
      </c>
      <c r="BE14" s="441" t="e">
        <f ca="1">IF(AX14&lt;&gt;0,IF(MONTH(DATE(BB14,AX14,DAY(Q14)))&lt;&gt;庫存Pro[[#This Row],[第三個配息月]],DATE(BB14,AX14+1,0),DATE(BB14,AX14,DAY(Q14))),庫存Pro[[#This Row],[買進例外調整]]+100)</f>
        <v>#VALUE!</v>
      </c>
      <c r="BF14" s="441" t="e">
        <f ca="1">IF(AY14&lt;&gt;0,IF(MONTH(DATE(BB14,AY14,DAY(Q14)))&lt;&gt;庫存Pro[[#This Row],[第四個配息月]],DATE(BB14,AY14+1,0),DATE(BB14,AY14,DAY(Q14))),庫存Pro[[#This Row],[買進例外調整]]+100)</f>
        <v>#VALUE!</v>
      </c>
      <c r="BG14" s="441" t="e">
        <f ca="1">IF(P14=1,IF(MONTH(DATE(BB14-1,AV14,DAY(Q14)))&lt;&gt;庫存Pro[[#This Row],[第一個配息月]],DATE(BB14-1,AV14+1,0),DATE(BB14-1,AV14,DAY(Q14))),IF(P14=2,IF(MONTH(DATE(BB14-1,AW14,DAY(Q14)))&lt;&gt;庫存Pro[[#This Row],[第二個配息月]],DATE(BB14-1,AW14+1,0),DATE(BB14-1,AW14,DAY(Q14))),IF(P14=4,IF(MONTH(DATE(BB14-1,AY14,DAY(Q14)))&lt;&gt;庫存Pro[[#This Row],[第四個配息月]],DATE(BB14-1,AY14+1,0),DATE(BB14-1,AY14,DAY(Q14))),庫存Pro[[#This Row],[買進例外調整]]+100)))</f>
        <v>#VALUE!</v>
      </c>
      <c r="BH14" s="445">
        <f t="shared" ca="1" si="15"/>
        <v>10000</v>
      </c>
      <c r="BI14" s="445">
        <f t="shared" ca="1" si="16"/>
        <v>10000</v>
      </c>
      <c r="BJ14" s="445">
        <f t="shared" ca="1" si="17"/>
        <v>10000</v>
      </c>
      <c r="BK14" s="445">
        <f t="shared" ca="1" si="18"/>
        <v>10000</v>
      </c>
      <c r="BL14" s="455">
        <f t="shared" ca="1" si="19"/>
        <v>10000</v>
      </c>
      <c r="BM14" s="479" t="e">
        <f ca="1">庫存Pro[[#This Row],[年度配息]]/庫存Pro[[#This Row],[配息頻率]]</f>
        <v>#N/A</v>
      </c>
      <c r="BN14" s="479" t="e">
        <f ca="1">庫存Pro[[#This Row],[單次配息(原幣)]]*庫存Pro[[#This Row],[換算匯率(現)]]</f>
        <v>#N/A</v>
      </c>
      <c r="BO14" s="479" t="str">
        <f ca="1">IFERROR(VLOOKUP($H14,'銀行-TSS'!B:C,2,FALSE),"")</f>
        <v/>
      </c>
      <c r="BP14" s="479" t="e">
        <f ca="1">VLOOKUP(庫存Pro[[#This Row],[幣別]],$B$37:$C$43,2,FALSE)</f>
        <v>#N/A</v>
      </c>
      <c r="BQ14" s="500" t="e">
        <f ca="1">CHOOSE(庫存Pro[[#This Row],[對應編碼]],$D$37,$D$38,$D$39,$D$40,$D$41,$D$42,$D$43)</f>
        <v>#N/A</v>
      </c>
      <c r="BR14" s="500" t="e">
        <f ca="1">CHOOSE(庫存Pro[[#This Row],[對應編碼]],$E$37,$E$38,$E$39,$E$40,$E$41,$E$42,$E$43)</f>
        <v>#N/A</v>
      </c>
      <c r="BS14" s="595" t="e">
        <f ca="1">庫存Pro[[#This Row],[投入面額]]*庫存Pro[[#This Row],[換算匯率(現)]]</f>
        <v>#N/A</v>
      </c>
      <c r="BT14" s="595" t="e">
        <f ca="1">庫存Pro[[#This Row],[持有成本(含前手息)]]*庫存Pro[[#This Row],[換算匯率(買)]]</f>
        <v>#N/A</v>
      </c>
      <c r="BU14" s="498" t="e">
        <f ca="1">庫存Pro[[#This Row],[持有成本(不含前手息)]]*庫存Pro[[#This Row],[換算匯率(買)]]</f>
        <v>#N/A</v>
      </c>
      <c r="BV14" s="498" t="e">
        <f ca="1">庫存Pro[[#This Row],[部位現值(含前手息)]]*庫存Pro[[#This Row],[換算匯率(現)]]</f>
        <v>#N/A</v>
      </c>
      <c r="BW14" s="498" t="e">
        <f ca="1">庫存Pro[[#This Row],[部位現值(不含前手息)]]*庫存Pro[[#This Row],[換算匯率(現)]]</f>
        <v>#N/A</v>
      </c>
      <c r="BX14" s="498" t="e">
        <f ca="1">IF(MF_Pro=2,庫存Pro[[#This Row],[累計配息]]*庫存Pro[[#This Row],[換算匯率(現)]],庫存Pro[[#This Row],[已實現配息(原幣)]]*庫存Pro[[#This Row],[換算匯率(現)]])</f>
        <v>#N/A</v>
      </c>
      <c r="BY14" s="498" t="e">
        <f ca="1">庫存Pro[[#This Row],[資本利損]]*庫存Pro[[#This Row],[換算匯率(現)]]</f>
        <v>#N/A</v>
      </c>
      <c r="BZ14" s="498" t="e">
        <f ca="1">庫存Pro[[#This Row],[累計利息(台)]]+庫存Pro[[#This Row],[資本貢獻(台)]]</f>
        <v>#N/A</v>
      </c>
      <c r="CA14" s="574">
        <f ca="1">IFERROR(庫存Pro[[#This Row],[配息報酬]],0)</f>
        <v>0</v>
      </c>
      <c r="CB14" s="574">
        <f ca="1">庫存Pro[[#This Row],[資本報酬]]</f>
        <v>0</v>
      </c>
      <c r="CC14" s="574">
        <f ca="1">IFERROR(庫存Pro[[#This Row],[換匯總報酬率]]-(庫存Pro[[#This Row],[配息報酬率]]+庫存Pro[[#This Row],[資本報酬率]]),0)</f>
        <v>0</v>
      </c>
      <c r="CD14" s="574">
        <f ca="1">IF(MF_Pro=2,IFERROR((庫存Pro[[#This Row],[參考贖回金額(現)]]+庫存Pro[[#This Row],[累計利息(台)]])/庫存Pro[[#This Row],[淨投入成本(買)]]-1,0),IFERROR(((庫存Pro[[#This Row],[參考贖回金額含前手息(現)]]+庫存Pro[[#This Row],[累計利息(台)]])/庫存Pro[[#This Row],[庫存成本(買)]])-1,0))</f>
        <v>0</v>
      </c>
      <c r="CE14" s="585">
        <f t="shared" ca="1" si="7"/>
        <v>0</v>
      </c>
      <c r="CF14" s="574">
        <f t="shared" ca="1" si="8"/>
        <v>0</v>
      </c>
      <c r="CG14"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14" s="646" t="e">
        <f ca="1">DATEDIF(庫存Pro[[#This Row],[買進例外調整]],庫存Pro[[#This Row],[到期日]],"d")/365.25</f>
        <v>#VALUE!</v>
      </c>
      <c r="CI14" s="739" t="e">
        <f ca="1">DATEVALUE(VLOOKUP(庫存Pro[[#This Row],[商品代號]],bond!B:AF,31,FALSE))</f>
        <v>#N/A</v>
      </c>
      <c r="CJ14" s="739" t="e">
        <f ca="1">IF(庫存Pro[[#This Row],[買下配(國調)]]&lt;庫存Pro[[#This Row],[第一票息日]],庫存Pro[[#This Row],[第一票息日]],庫存Pro[[#This Row],[買下配(國調)]])</f>
        <v>#N/A</v>
      </c>
      <c r="CK14"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14"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14" s="646">
        <f ca="1">IF(庫存Pro[[#This Row],[商品代號]]="XFM90",0,IFERROR(庫存Pro[[#This Row],[單次配息(原幣)]]*庫存Pro[[#This Row],[經過幾次配息]],0))</f>
        <v>0</v>
      </c>
      <c r="CN14" s="646" t="e">
        <f ca="1">VLOOKUP(庫存Pro[[#This Row],[商品代號]],bond!B:F,5,FALSE)</f>
        <v>#N/A</v>
      </c>
      <c r="CO14" s="739" t="str">
        <f ca="1">IFERROR(VLOOKUP(庫存Pro[[#This Row],[ISIN]],'7_發行日例外'!A:C,3,FALSE),IFERROR(DATEVALUE(VLOOKUP(庫存Pro[[#This Row],[商品代號]],bond!B:AR,43,FALSE)),""))</f>
        <v/>
      </c>
      <c r="CP14" s="646" t="e">
        <f ca="1">DATEDIF(庫存Pro[[#This Row],[起息日]],庫存Pro[[#This Row],[買進前一配息日(複算)]],"d")</f>
        <v>#VALUE!</v>
      </c>
      <c r="CQ14"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4" s="739" t="e">
        <f ca="1">IFERROR(VLOOKUP(庫存Pro[[#This Row],[ISIN]],'7_發行日例外'!A:D,4,FALSE),DATEVALUE(VLOOKUP(庫存Pro[[#This Row],[商品代號]],bond!B:AV,44,FALSE)))</f>
        <v>#N/A</v>
      </c>
      <c r="CS14" s="646" t="e">
        <f ca="1">VLOOKUP(庫存Pro[[#This Row],[商品代號]],bond!B:AU,46,FALSE)</f>
        <v>#N/A</v>
      </c>
      <c r="CT14" s="646" t="e">
        <f ca="1">IF(庫存Pro[[#This Row],[計息基礎]]=1,CHOOSE(庫存Pro[[#This Row],[對應編碼]],"沒進位","","沒進位",IF(庫存Pro[[#This Row],[計算類型]]="AUSTRALIA:EX-DIV","4捨五入進0.01%","沒進位"),"年/2去計算ACT","沒進位","沒進位"),"")</f>
        <v>#N/A</v>
      </c>
      <c r="CU14" s="646" t="e">
        <f ca="1">_xlfn.DAYS(庫存Pro[[#This Row],[買進例外調整]],庫存Pro[[#This Row],[買進前一個配息日(最終)]])</f>
        <v>#N/A</v>
      </c>
      <c r="CV14" s="646" t="e">
        <f ca="1">IF(庫存Pro[[#This Row],[備註]]="年/2去計算ACT",365/2,_xlfn.DAYS(庫存Pro[[#This Row],[買進時的下個配息日]],庫存Pro[[#This Row],[買進前一個配息日(最終)]]))</f>
        <v>#N/A</v>
      </c>
      <c r="CW14"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14" s="768" t="e">
        <f ca="1">_xlfn.DAYS(庫存Pro[[#This Row],[交割日]],庫存Pro[[#This Row],[買進前一個配息日(最終)]])</f>
        <v>#N/A</v>
      </c>
      <c r="CY14"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14" s="768" t="e">
        <f ca="1">_xlfn.DAYS(庫存Pro[[#This Row],[交割日]],庫存Pro[[#This Row],[最近的上一票息日]])</f>
        <v>#N/A</v>
      </c>
      <c r="DA14" s="768" t="e">
        <f ca="1">IF(庫存Pro[[#This Row],[備註]]="年/2去計算ACT",365/2,_xlfn.DAYS(庫存Pro[[#This Row],[下一配息日]],庫存Pro[[#This Row],[最近的上一票息日]]))</f>
        <v>#N/A</v>
      </c>
      <c r="DB14"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14" s="739" t="e">
        <f ca="1">CJ14-庫存Pro[[#This Row],[ex_div_days]]</f>
        <v>#N/A</v>
      </c>
      <c r="DD14" s="646" t="e">
        <f ca="1">IF(VLOOKUP(庫存Pro[[#This Row],[商品代號]],bond!B:AT,45,FALSE)="#N/A Field Not Applicable",0,VLOOKUP(庫存Pro[[#This Row],[商品代號]],bond!B:AT,45,FALSE))</f>
        <v>#N/A</v>
      </c>
      <c r="DE14" s="793" t="e">
        <f ca="1">IF(庫存Pro[[#This Row],[ex_div_days]]&lt;&gt;0,IF(AND(庫存Pro[[#This Row],[買進例外調整]]-庫存Pro[[#This Row],[買進下一個配息日先減n天]]&gt;=0,庫存Pro[[#This Row],[買進時的下個配息日]]-庫存Pro[[#This Row],[買進例外調整]]&gt;0),1,0),0)</f>
        <v>#N/A</v>
      </c>
      <c r="DF14" s="784" t="e">
        <f ca="1">IF(庫存Pro[[#This Row],[對應編碼]]=4,ROUND(庫存Pro[[#This Row],[前手息(初算)]]-庫存Pro[[#This Row],[票面利率]]/庫存Pro[[#This Row],[配息頻率]]*100,3),ROUND(庫存Pro[[#This Row],[前手息(初算)]]-庫存Pro[[#This Row],[票面利率]]/庫存Pro[[#This Row],[配息頻率]]*100,4))</f>
        <v>#N/A</v>
      </c>
      <c r="DG14" s="734" t="e">
        <f ca="1">庫存Pro[[#This Row],[下一配息日]]-庫存Pro[[#This Row],[ex_div_days]]</f>
        <v>#VALUE!</v>
      </c>
      <c r="DH14" s="1084" t="e">
        <f ca="1">IF(庫存Pro[[#This Row],[ex_div_days]]&lt;&gt;0,IF(AND(庫存Pro[[#This Row],[交割日]]-庫存Pro[[#This Row],[交割下個配息日先減n天]]&gt;=0,庫存Pro[[#This Row],[下一配息日]]-庫存Pro[[#This Row],[交割日]]&gt;0),1,0),0)</f>
        <v>#N/A</v>
      </c>
      <c r="DI14"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14" s="33"/>
      <c r="DK14" s="33"/>
      <c r="DL14" s="33"/>
      <c r="DM14" s="33"/>
      <c r="DN14" s="33"/>
      <c r="DO14" s="33"/>
      <c r="DP14" s="33"/>
      <c r="DQ14" s="33"/>
      <c r="DR14" s="33"/>
      <c r="DS14" s="33"/>
      <c r="DT14" s="33"/>
      <c r="DU14" s="33"/>
      <c r="DV14" s="33"/>
      <c r="DW14" s="33"/>
      <c r="DX14" s="33"/>
      <c r="DY14" s="33"/>
      <c r="DZ14" s="33"/>
      <c r="EA14" s="33"/>
      <c r="EB14" s="33"/>
      <c r="EC14" s="33"/>
      <c r="ED14" s="33"/>
      <c r="EE14" s="33"/>
      <c r="EF14" s="33"/>
      <c r="EG14" s="33"/>
      <c r="EH14" s="33"/>
      <c r="EI14" s="33"/>
      <c r="EJ14" s="33"/>
      <c r="EK14" s="33"/>
      <c r="EL14" s="33"/>
      <c r="EM14" s="33"/>
      <c r="EN14" s="33"/>
      <c r="EO14" s="33"/>
      <c r="EP14" s="33"/>
      <c r="EQ14" s="33"/>
      <c r="ER14" s="33"/>
      <c r="ES14" s="33"/>
      <c r="ET14" s="33"/>
      <c r="EU14" s="33"/>
      <c r="EV14" s="33"/>
      <c r="EW14" s="33"/>
      <c r="EX14" s="33"/>
      <c r="EY14" s="33"/>
      <c r="EZ14" s="33"/>
      <c r="FA14" s="33"/>
      <c r="FB14" s="33"/>
      <c r="FC14" s="33"/>
      <c r="FD14" s="33"/>
      <c r="FE14" s="33"/>
      <c r="FF14" s="33"/>
      <c r="FG14" s="33"/>
      <c r="FH14" s="33"/>
      <c r="FI14" s="33"/>
      <c r="FJ14" s="33"/>
      <c r="FK14" s="33"/>
      <c r="FL14" s="33"/>
      <c r="FM14" s="33"/>
      <c r="FN14" s="33"/>
      <c r="FO14" s="33"/>
      <c r="FP14" s="33"/>
      <c r="FQ14" s="33"/>
      <c r="FR14" s="33"/>
      <c r="FS14" s="33"/>
      <c r="FT14" s="33"/>
      <c r="FU14" s="33"/>
      <c r="FV14" s="33"/>
      <c r="FW14" s="33"/>
      <c r="FX14" s="33"/>
      <c r="FY14" s="33"/>
      <c r="FZ14" s="33"/>
      <c r="GA14" s="33"/>
      <c r="GB14" s="33"/>
      <c r="GC14" s="33"/>
      <c r="GD14" s="33"/>
      <c r="GE14" s="33"/>
      <c r="GF14" s="33"/>
      <c r="GG14" s="33"/>
      <c r="GH14" s="33"/>
      <c r="GI14" s="33"/>
      <c r="GJ14" s="33"/>
      <c r="GK14" s="33"/>
      <c r="GL14" s="33"/>
      <c r="GM14" s="33"/>
      <c r="GN14" s="33"/>
      <c r="GO14" s="33"/>
      <c r="GP14" s="33"/>
      <c r="GQ14" s="33"/>
      <c r="GR14" s="33"/>
      <c r="GS14" s="33"/>
      <c r="GT14" s="33"/>
      <c r="GU14" s="33"/>
      <c r="GV14" s="33"/>
      <c r="GW14" s="33"/>
      <c r="GX14" s="33"/>
      <c r="GY14" s="33"/>
      <c r="GZ14" s="33"/>
      <c r="HA14" s="33"/>
      <c r="HB14" s="33"/>
      <c r="HC14" s="33"/>
      <c r="HD14" s="33"/>
      <c r="HE14" s="33"/>
      <c r="HF14" s="33"/>
      <c r="HG14" s="33"/>
      <c r="HH14" s="33"/>
      <c r="HI14" s="33"/>
      <c r="HJ14" s="33"/>
      <c r="HK14" s="33"/>
      <c r="HL14" s="33"/>
      <c r="HM14" s="33"/>
      <c r="HN14" s="33"/>
      <c r="HO14" s="33"/>
      <c r="HP14" s="33"/>
      <c r="HQ14" s="33"/>
      <c r="HR14" s="33"/>
      <c r="HS14" s="33"/>
      <c r="HT14" s="33"/>
      <c r="HU14" s="33"/>
      <c r="HV14" s="33"/>
      <c r="HW14" s="33"/>
      <c r="HX14" s="33"/>
      <c r="HY14" s="33"/>
      <c r="HZ14" s="33"/>
      <c r="IA14" s="33"/>
      <c r="IB14" s="33"/>
      <c r="IC14" s="33"/>
      <c r="ID14" s="33"/>
      <c r="IE14" s="33"/>
    </row>
    <row r="15" spans="1:239" ht="19.5" customHeight="1">
      <c r="B15" s="459" t="s">
        <v>2120</v>
      </c>
      <c r="H15" s="428">
        <f ca="1">IF(開關=TRUE,'庫存管理(Pro)'!B15,0)</f>
        <v>0</v>
      </c>
      <c r="I15" s="429" t="e">
        <f ca="1">VLOOKUP(H15,bond!B:I,8,FALSE)</f>
        <v>#N/A</v>
      </c>
      <c r="J15" s="429" t="e">
        <f ca="1">庫存Pro[[#This Row],[買價]]+VLOOKUP(庫存Pro[[#This Row],[商品代號]],bond!B:K,10,FALSE)</f>
        <v>#N/A</v>
      </c>
      <c r="K15" s="430" t="e">
        <f ca="1">VLOOKUP(H15,'銀行-TSS'!B:E,4,FALSE)</f>
        <v>#N/A</v>
      </c>
      <c r="L15" s="431" t="e">
        <f ca="1">VLOOKUP($H15,'銀行-TSS'!B:G,6,FALSE)</f>
        <v>#N/A</v>
      </c>
      <c r="M15" s="432" t="e">
        <f ca="1">IFERROR(DATEVALUE(VLOOKUP($H15,'銀行-TSS'!B:F,5,FALSE)),VLOOKUP($H15,'銀行-TSS'!B:F,5,FALSE))</f>
        <v>#N/A</v>
      </c>
      <c r="N15" s="433" t="e">
        <f ca="1">VLOOKUP($H15,'銀行-TSS'!B:H,7,FALSE)</f>
        <v>#N/A</v>
      </c>
      <c r="O15" s="433" t="e">
        <f ca="1">庫存Pro[[#This Row],[票面利率]]/庫存Pro[[#This Row],[成本價(不含前手息)]]*100</f>
        <v>#N/A</v>
      </c>
      <c r="P15" s="434" t="str">
        <f ca="1">IFERROR(VLOOKUP($H15,'銀行-TSS'!B:I,8,FALSE),"")</f>
        <v/>
      </c>
      <c r="Q15" s="440" t="str">
        <f ca="1">_xlfn.IFNA(IFERROR(DATEVALUE(VLOOKUP($H15,'銀行-TSS'!B:P,15,FALSE)),VLOOKUP($H15,'銀行-TSS'!B:P,15,FALSE)),"")</f>
        <v/>
      </c>
      <c r="R15" s="570" t="b">
        <f>IF(AND('2_Check_code'!C36,庫存Pro[[#This Row],[投入面額]]&gt;0),TRUE,FALSE)</f>
        <v>0</v>
      </c>
      <c r="S15" s="602">
        <f>'庫存管理(Pro)'!AE15</f>
        <v>0</v>
      </c>
      <c r="T15"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15" s="442" t="str">
        <f ca="1">IFERROR(WORKDAY(庫存Pro[[#This Row],[買進日]],VLOOKUP(庫存Pro[[#This Row],[商品代號]],'1_重設數據'!R:S,2,FALSE),休USD),庫存Pro[[#This Row],[買進日(T+2/公債T+1)]])</f>
        <v/>
      </c>
      <c r="V15" s="43">
        <f>'庫存管理(Pro)'!J15</f>
        <v>0</v>
      </c>
      <c r="W15" s="43">
        <f>'庫存管理(Pro)'!K15</f>
        <v>0</v>
      </c>
      <c r="X15" s="464">
        <f t="shared" ca="1" si="9"/>
        <v>0</v>
      </c>
      <c r="Y15" s="464" t="e">
        <f t="shared" ca="1" si="11"/>
        <v>#N/A</v>
      </c>
      <c r="Z15" s="465" t="e">
        <f t="shared" ca="1" si="12"/>
        <v>#N/A</v>
      </c>
      <c r="AA15" s="474" t="e">
        <f ca="1">IF(MF_Pro=2,庫存Pro[[#This Row],[部位現值(不含前手息)]]-庫存Pro[[#This Row],[持有成本(不含前手息)]],庫存Pro[[#This Row],[部位現值(含前手息)]]-庫存Pro[[#This Row],[持有成本(含前手息)]])</f>
        <v>#N/A</v>
      </c>
      <c r="AB15" s="462">
        <f ca="1">IF(MF_Pro=2,IFERROR(庫存Pro[[#This Row],[資本利損]]/庫存Pro[[#This Row],[持有成本(不含前手息)]],0),IFERROR(庫存Pro[[#This Row],[資本利損]]/庫存Pro[[#This Row],[持有成本(含前手息)]],0))</f>
        <v>0</v>
      </c>
      <c r="AC15" s="618" t="e">
        <f ca="1">庫存Pro[[#This Row],[持有成本(不含前手息)]]/庫存Pro[[#This Row],[投入面額]]*100</f>
        <v>#DIV/0!</v>
      </c>
      <c r="AD15" s="462" t="e">
        <f ca="1">VLOOKUP(庫存Pro[[#This Row],[商品代號]],bond!B:AA,26,FALSE)</f>
        <v>#N/A</v>
      </c>
      <c r="AE15" s="1" t="str">
        <f ca="1">IFERROR(VLOOKUP($H15,'銀行-TSS'!B:Q,16,FALSE),"")</f>
        <v/>
      </c>
      <c r="AF15" s="466" t="e">
        <f t="shared" ca="1" si="13"/>
        <v>#N/A</v>
      </c>
      <c r="AG15" s="458" t="e">
        <f ca="1">IF(OR(庫存Pro[[#This Row],[起息日]]&gt;庫存Pro[[#This Row],[買進前一配息日(複算)]],庫存Pro[[#This Row],[判斷]]=TRUE),庫存Pro[[#This Row],[起息日]],庫存Pro[[#This Row],[買進前一配息日(複算)]])</f>
        <v>#N/A</v>
      </c>
      <c r="AH15" s="577" t="e">
        <f ca="1">VLOOKUP(H15,bond!B:AP,41,FALSE)</f>
        <v>#N/A</v>
      </c>
      <c r="AI15" s="578" t="e">
        <f t="shared" ca="1" si="14"/>
        <v>#N/A</v>
      </c>
      <c r="AJ15" s="579">
        <f ca="1">IFERROR(IF(庫存Pro[[#This Row],[買進日是否落入record date]]=1,庫存Pro[[#This Row],[record date制度前手息]],庫存Pro[[#This Row],[前手息(初算)]]),0)</f>
        <v>0</v>
      </c>
      <c r="AK15" s="579" t="e">
        <f ca="1">IF(OR(庫存Pro[[#This Row],[買進例外調整]]&lt;庫存Pro[[#This Row],[起息日]],庫存Pro[[#This Row],[買進例外調整]]&gt;庫存Pro[[#This Row],[到期日]]),0,IF(庫存Pro[[#This Row],[備註]]&lt;&gt;"",庫存Pro[[#This Row],[買進時前手息]],IFERROR(ROUND(ACCRINT(AG15,AG15,U15,N15,100,P15,AI15,TRUE),4),0)))</f>
        <v>#N/A</v>
      </c>
      <c r="AL15" s="580">
        <f t="shared" ca="1" si="10"/>
        <v>0</v>
      </c>
      <c r="AM15" s="440" t="e">
        <f ca="1">DATEVALUE(VLOOKUP(H15,bond!B:I,7,FALSE))</f>
        <v>#N/A</v>
      </c>
      <c r="AN15"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15" s="579">
        <f ca="1">IFERROR(IF(庫存Pro[[#This Row],[交割日是否落入record date]]=1,庫存Pro[[#This Row],[交_record date制度前手息]],庫存Pro[[#This Row],[計算交割前手息(初算)]]),0)</f>
        <v>0</v>
      </c>
      <c r="AP15"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15" s="579" t="e">
        <f ca="1">IF(庫存Pro[[#This Row],[配息頻率]]=0,0,(100*庫存Pro[[#This Row],[票面利率]]/庫存Pro[[#This Row],[配息頻率]])*庫存Pro[[#This Row],[經過幾次配息]]+庫存Pro[[#This Row],[計算交割前手息(複算)]]-庫存Pro[[#This Row],[計算前手息(複算)]])</f>
        <v>#N/A</v>
      </c>
      <c r="AR15" s="581" t="e">
        <f ca="1">IF(庫存Pro[[#This Row],[商品代號]]="XFM90",0,ROUND(AQ15*V15/100,2))</f>
        <v>#N/A</v>
      </c>
      <c r="AS15" s="582">
        <f ca="1">IF(MF_Pro=2,IFERROR(庫存Pro[[#This Row],[累計配息]]/庫存Pro[[#This Row],[持有成本(不含前手息)]],0),IFERROR(庫存Pro[[#This Row],[已實現配息(原幣)]]/庫存Pro[[#This Row],[持有成本(含前手息)]],0))</f>
        <v>0</v>
      </c>
      <c r="AT15" s="583" t="e">
        <f ca="1">IF(MF_Pro=2,庫存Pro[[#This Row],[資本利損]]+庫存Pro[[#This Row],[累計配息]],庫存Pro[[#This Row],[資本利損]]+庫存Pro[[#This Row],[已實現配息(原幣)]])</f>
        <v>#N/A</v>
      </c>
      <c r="AU15" s="584">
        <f ca="1">IF(MF_Pro=2,IFERROR(庫存Pro[[#This Row],[合計收益]]/庫存Pro[[#This Row],[持有成本(不含前手息)]],0),IFERROR(庫存Pro[[#This Row],[合計收益]]/庫存Pro[[#This Row],[持有成本(含前手息)]],0))</f>
        <v>0</v>
      </c>
      <c r="AV15" s="434" t="e">
        <f t="shared" ca="1" si="0"/>
        <v>#VALUE!</v>
      </c>
      <c r="AW15" s="434" t="e">
        <f t="shared" ca="1" si="1"/>
        <v>#VALUE!</v>
      </c>
      <c r="AX15" s="434">
        <f t="shared" ca="1" si="2"/>
        <v>0</v>
      </c>
      <c r="AY15" s="434">
        <f t="shared" ca="1" si="3"/>
        <v>0</v>
      </c>
      <c r="AZ15" s="441" t="e">
        <f ca="1">IF(AND(庫存Pro[[#This Row],[名稱]]="美國國庫債券",DAY(庫存Pro[[#This Row],[買進前一配息日(初算)]])&gt;=28),EOMONTH(庫存Pro[[#This Row],[買進前一配息日(初算)]],0),庫存Pro[[#This Row],[買進前一配息日(初算)]])</f>
        <v>#N/A</v>
      </c>
      <c r="BA15" s="441" t="e">
        <f t="shared" ca="1" si="4"/>
        <v>#VALUE!</v>
      </c>
      <c r="BB15" s="444" t="e">
        <f t="shared" ca="1" si="5"/>
        <v>#VALUE!</v>
      </c>
      <c r="BC15" s="441" t="e">
        <f ca="1">IF(P15&gt;0,IF(MONTH(DATE(BB15,AV15,DAY(Q15)))&lt;&gt;庫存Pro[[#This Row],[第一個配息月]],DATE(BB15,AV15+1,0),DATE(BB15,AV15,DAY(Q15))),庫存Pro[[#This Row],[買進例外調整]]+100)</f>
        <v>#VALUE!</v>
      </c>
      <c r="BD15" s="441" t="e">
        <f ca="1">IF(AW15&lt;&gt;0,IF(MONTH(DATE(BB15,AW15,DAY(Q15)))&lt;&gt;庫存Pro[[#This Row],[第二個配息月]],DATE(BB15,AW15+1,0),DATE(BB15,AW15,DAY(Q15))),庫存Pro[[#This Row],[買進例外調整]]+100)</f>
        <v>#VALUE!</v>
      </c>
      <c r="BE15" s="441" t="e">
        <f ca="1">IF(AX15&lt;&gt;0,IF(MONTH(DATE(BB15,AX15,DAY(Q15)))&lt;&gt;庫存Pro[[#This Row],[第三個配息月]],DATE(BB15,AX15+1,0),DATE(BB15,AX15,DAY(Q15))),庫存Pro[[#This Row],[買進例外調整]]+100)</f>
        <v>#VALUE!</v>
      </c>
      <c r="BF15" s="441" t="e">
        <f ca="1">IF(AY15&lt;&gt;0,IF(MONTH(DATE(BB15,AY15,DAY(Q15)))&lt;&gt;庫存Pro[[#This Row],[第四個配息月]],DATE(BB15,AY15+1,0),DATE(BB15,AY15,DAY(Q15))),庫存Pro[[#This Row],[買進例外調整]]+100)</f>
        <v>#VALUE!</v>
      </c>
      <c r="BG15" s="441" t="e">
        <f ca="1">IF(P15=1,IF(MONTH(DATE(BB15-1,AV15,DAY(Q15)))&lt;&gt;庫存Pro[[#This Row],[第一個配息月]],DATE(BB15-1,AV15+1,0),DATE(BB15-1,AV15,DAY(Q15))),IF(P15=2,IF(MONTH(DATE(BB15-1,AW15,DAY(Q15)))&lt;&gt;庫存Pro[[#This Row],[第二個配息月]],DATE(BB15-1,AW15+1,0),DATE(BB15-1,AW15,DAY(Q15))),IF(P15=4,IF(MONTH(DATE(BB15-1,AY15,DAY(Q15)))&lt;&gt;庫存Pro[[#This Row],[第四個配息月]],DATE(BB15-1,AY15+1,0),DATE(BB15-1,AY15,DAY(Q15))),庫存Pro[[#This Row],[買進例外調整]]+100)))</f>
        <v>#VALUE!</v>
      </c>
      <c r="BH15" s="445">
        <f t="shared" ca="1" si="15"/>
        <v>10000</v>
      </c>
      <c r="BI15" s="445">
        <f t="shared" ca="1" si="16"/>
        <v>10000</v>
      </c>
      <c r="BJ15" s="445">
        <f t="shared" ca="1" si="17"/>
        <v>10000</v>
      </c>
      <c r="BK15" s="445">
        <f t="shared" ca="1" si="18"/>
        <v>10000</v>
      </c>
      <c r="BL15" s="455">
        <f t="shared" ca="1" si="19"/>
        <v>10000</v>
      </c>
      <c r="BM15" s="479" t="e">
        <f ca="1">庫存Pro[[#This Row],[年度配息]]/庫存Pro[[#This Row],[配息頻率]]</f>
        <v>#N/A</v>
      </c>
      <c r="BN15" s="479" t="e">
        <f ca="1">庫存Pro[[#This Row],[單次配息(原幣)]]*庫存Pro[[#This Row],[換算匯率(現)]]</f>
        <v>#N/A</v>
      </c>
      <c r="BO15" s="479" t="str">
        <f ca="1">IFERROR(VLOOKUP($H15,'銀行-TSS'!B:C,2,FALSE),"")</f>
        <v/>
      </c>
      <c r="BP15" s="479" t="e">
        <f ca="1">VLOOKUP(庫存Pro[[#This Row],[幣別]],$B$37:$C$43,2,FALSE)</f>
        <v>#N/A</v>
      </c>
      <c r="BQ15" s="500" t="e">
        <f ca="1">CHOOSE(庫存Pro[[#This Row],[對應編碼]],$D$37,$D$38,$D$39,$D$40,$D$41,$D$42,$D$43)</f>
        <v>#N/A</v>
      </c>
      <c r="BR15" s="500" t="e">
        <f ca="1">CHOOSE(庫存Pro[[#This Row],[對應編碼]],$E$37,$E$38,$E$39,$E$40,$E$41,$E$42,$E$43)</f>
        <v>#N/A</v>
      </c>
      <c r="BS15" s="595" t="e">
        <f ca="1">庫存Pro[[#This Row],[投入面額]]*庫存Pro[[#This Row],[換算匯率(現)]]</f>
        <v>#N/A</v>
      </c>
      <c r="BT15" s="595" t="e">
        <f ca="1">庫存Pro[[#This Row],[持有成本(含前手息)]]*庫存Pro[[#This Row],[換算匯率(買)]]</f>
        <v>#N/A</v>
      </c>
      <c r="BU15" s="498" t="e">
        <f ca="1">庫存Pro[[#This Row],[持有成本(不含前手息)]]*庫存Pro[[#This Row],[換算匯率(買)]]</f>
        <v>#N/A</v>
      </c>
      <c r="BV15" s="498" t="e">
        <f ca="1">庫存Pro[[#This Row],[部位現值(含前手息)]]*庫存Pro[[#This Row],[換算匯率(現)]]</f>
        <v>#N/A</v>
      </c>
      <c r="BW15" s="498" t="e">
        <f ca="1">庫存Pro[[#This Row],[部位現值(不含前手息)]]*庫存Pro[[#This Row],[換算匯率(現)]]</f>
        <v>#N/A</v>
      </c>
      <c r="BX15" s="498" t="e">
        <f ca="1">IF(MF_Pro=2,庫存Pro[[#This Row],[累計配息]]*庫存Pro[[#This Row],[換算匯率(現)]],庫存Pro[[#This Row],[已實現配息(原幣)]]*庫存Pro[[#This Row],[換算匯率(現)]])</f>
        <v>#N/A</v>
      </c>
      <c r="BY15" s="498" t="e">
        <f ca="1">庫存Pro[[#This Row],[資本利損]]*庫存Pro[[#This Row],[換算匯率(現)]]</f>
        <v>#N/A</v>
      </c>
      <c r="BZ15" s="498" t="e">
        <f ca="1">庫存Pro[[#This Row],[累計利息(台)]]+庫存Pro[[#This Row],[資本貢獻(台)]]</f>
        <v>#N/A</v>
      </c>
      <c r="CA15" s="574">
        <f ca="1">IFERROR(庫存Pro[[#This Row],[配息報酬]],0)</f>
        <v>0</v>
      </c>
      <c r="CB15" s="574">
        <f ca="1">庫存Pro[[#This Row],[資本報酬]]</f>
        <v>0</v>
      </c>
      <c r="CC15" s="574">
        <f ca="1">IFERROR(庫存Pro[[#This Row],[換匯總報酬率]]-(庫存Pro[[#This Row],[配息報酬率]]+庫存Pro[[#This Row],[資本報酬率]]),0)</f>
        <v>0</v>
      </c>
      <c r="CD15" s="574">
        <f ca="1">IF(MF_Pro=2,IFERROR((庫存Pro[[#This Row],[參考贖回金額(現)]]+庫存Pro[[#This Row],[累計利息(台)]])/庫存Pro[[#This Row],[淨投入成本(買)]]-1,0),IFERROR(((庫存Pro[[#This Row],[參考贖回金額含前手息(現)]]+庫存Pro[[#This Row],[累計利息(台)]])/庫存Pro[[#This Row],[庫存成本(買)]])-1,0))</f>
        <v>0</v>
      </c>
      <c r="CE15" s="585">
        <f t="shared" ca="1" si="7"/>
        <v>0</v>
      </c>
      <c r="CF15" s="574">
        <f t="shared" ca="1" si="8"/>
        <v>0</v>
      </c>
      <c r="CG15"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15" s="646" t="e">
        <f ca="1">DATEDIF(庫存Pro[[#This Row],[買進例外調整]],庫存Pro[[#This Row],[到期日]],"d")/365.25</f>
        <v>#VALUE!</v>
      </c>
      <c r="CI15" s="739" t="e">
        <f ca="1">DATEVALUE(VLOOKUP(庫存Pro[[#This Row],[商品代號]],bond!B:AF,31,FALSE))</f>
        <v>#N/A</v>
      </c>
      <c r="CJ15" s="739" t="e">
        <f ca="1">IF(庫存Pro[[#This Row],[買下配(國調)]]&lt;庫存Pro[[#This Row],[第一票息日]],庫存Pro[[#This Row],[第一票息日]],庫存Pro[[#This Row],[買下配(國調)]])</f>
        <v>#N/A</v>
      </c>
      <c r="CK15"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15"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15" s="646">
        <f ca="1">IF(庫存Pro[[#This Row],[商品代號]]="XFM90",0,IFERROR(庫存Pro[[#This Row],[單次配息(原幣)]]*庫存Pro[[#This Row],[經過幾次配息]],0))</f>
        <v>0</v>
      </c>
      <c r="CN15" s="646" t="e">
        <f ca="1">VLOOKUP(庫存Pro[[#This Row],[商品代號]],bond!B:F,5,FALSE)</f>
        <v>#N/A</v>
      </c>
      <c r="CO15" s="739" t="str">
        <f ca="1">IFERROR(VLOOKUP(庫存Pro[[#This Row],[ISIN]],'7_發行日例外'!A:C,3,FALSE),IFERROR(DATEVALUE(VLOOKUP(庫存Pro[[#This Row],[商品代號]],bond!B:AR,43,FALSE)),""))</f>
        <v/>
      </c>
      <c r="CP15" s="646" t="e">
        <f ca="1">DATEDIF(庫存Pro[[#This Row],[起息日]],庫存Pro[[#This Row],[買進前一配息日(複算)]],"d")</f>
        <v>#VALUE!</v>
      </c>
      <c r="CQ15"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5" s="739" t="e">
        <f ca="1">IFERROR(VLOOKUP(庫存Pro[[#This Row],[ISIN]],'7_發行日例外'!A:D,4,FALSE),DATEVALUE(VLOOKUP(庫存Pro[[#This Row],[商品代號]],bond!B:AV,44,FALSE)))</f>
        <v>#N/A</v>
      </c>
      <c r="CS15" s="646" t="e">
        <f ca="1">VLOOKUP(庫存Pro[[#This Row],[商品代號]],bond!B:AU,46,FALSE)</f>
        <v>#N/A</v>
      </c>
      <c r="CT15" s="646" t="e">
        <f ca="1">IF(庫存Pro[[#This Row],[計息基礎]]=1,CHOOSE(庫存Pro[[#This Row],[對應編碼]],"沒進位","","沒進位",IF(庫存Pro[[#This Row],[計算類型]]="AUSTRALIA:EX-DIV","4捨五入進0.01%","沒進位"),"年/2去計算ACT","沒進位","沒進位"),"")</f>
        <v>#N/A</v>
      </c>
      <c r="CU15" s="646" t="e">
        <f ca="1">_xlfn.DAYS(庫存Pro[[#This Row],[買進例外調整]],庫存Pro[[#This Row],[買進前一個配息日(最終)]])</f>
        <v>#N/A</v>
      </c>
      <c r="CV15" s="646" t="e">
        <f ca="1">IF(庫存Pro[[#This Row],[備註]]="年/2去計算ACT",365/2,_xlfn.DAYS(庫存Pro[[#This Row],[買進時的下個配息日]],庫存Pro[[#This Row],[買進前一個配息日(最終)]]))</f>
        <v>#N/A</v>
      </c>
      <c r="CW15"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15" s="768" t="e">
        <f ca="1">_xlfn.DAYS(庫存Pro[[#This Row],[交割日]],庫存Pro[[#This Row],[買進前一個配息日(最終)]])</f>
        <v>#N/A</v>
      </c>
      <c r="CY15"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15" s="768" t="e">
        <f ca="1">_xlfn.DAYS(庫存Pro[[#This Row],[交割日]],庫存Pro[[#This Row],[最近的上一票息日]])</f>
        <v>#N/A</v>
      </c>
      <c r="DA15" s="768" t="e">
        <f ca="1">IF(庫存Pro[[#This Row],[備註]]="年/2去計算ACT",365/2,_xlfn.DAYS(庫存Pro[[#This Row],[下一配息日]],庫存Pro[[#This Row],[最近的上一票息日]]))</f>
        <v>#N/A</v>
      </c>
      <c r="DB15"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15" s="739" t="e">
        <f ca="1">CJ15-庫存Pro[[#This Row],[ex_div_days]]</f>
        <v>#N/A</v>
      </c>
      <c r="DD15" s="646" t="e">
        <f ca="1">IF(VLOOKUP(庫存Pro[[#This Row],[商品代號]],bond!B:AT,45,FALSE)="#N/A Field Not Applicable",0,VLOOKUP(庫存Pro[[#This Row],[商品代號]],bond!B:AT,45,FALSE))</f>
        <v>#N/A</v>
      </c>
      <c r="DE15" s="793" t="e">
        <f ca="1">IF(庫存Pro[[#This Row],[ex_div_days]]&lt;&gt;0,IF(AND(庫存Pro[[#This Row],[買進例外調整]]-庫存Pro[[#This Row],[買進下一個配息日先減n天]]&gt;=0,庫存Pro[[#This Row],[買進時的下個配息日]]-庫存Pro[[#This Row],[買進例外調整]]&gt;0),1,0),0)</f>
        <v>#N/A</v>
      </c>
      <c r="DF15" s="784" t="e">
        <f ca="1">IF(庫存Pro[[#This Row],[對應編碼]]=4,ROUND(庫存Pro[[#This Row],[前手息(初算)]]-庫存Pro[[#This Row],[票面利率]]/庫存Pro[[#This Row],[配息頻率]]*100,3),ROUND(庫存Pro[[#This Row],[前手息(初算)]]-庫存Pro[[#This Row],[票面利率]]/庫存Pro[[#This Row],[配息頻率]]*100,4))</f>
        <v>#N/A</v>
      </c>
      <c r="DG15" s="734" t="e">
        <f ca="1">庫存Pro[[#This Row],[下一配息日]]-庫存Pro[[#This Row],[ex_div_days]]</f>
        <v>#VALUE!</v>
      </c>
      <c r="DH15" s="1084" t="e">
        <f ca="1">IF(庫存Pro[[#This Row],[ex_div_days]]&lt;&gt;0,IF(AND(庫存Pro[[#This Row],[交割日]]-庫存Pro[[#This Row],[交割下個配息日先減n天]]&gt;=0,庫存Pro[[#This Row],[下一配息日]]-庫存Pro[[#This Row],[交割日]]&gt;0),1,0),0)</f>
        <v>#N/A</v>
      </c>
      <c r="DI15"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15" s="33"/>
      <c r="DK15" s="33"/>
      <c r="DL15" s="33"/>
      <c r="DM15" s="33"/>
      <c r="DN15" s="33"/>
      <c r="DO15" s="33"/>
      <c r="DP15" s="33"/>
      <c r="DQ15" s="33"/>
      <c r="DR15" s="33"/>
      <c r="DS15" s="33"/>
      <c r="DT15" s="33"/>
      <c r="DU15" s="33"/>
      <c r="DV15" s="33"/>
      <c r="DW15" s="33"/>
      <c r="DX15" s="33"/>
      <c r="DY15" s="33"/>
      <c r="DZ15" s="33"/>
      <c r="EA15" s="33"/>
      <c r="EB15" s="33"/>
      <c r="EC15" s="33"/>
      <c r="ED15" s="33"/>
      <c r="EE15" s="33"/>
      <c r="EF15" s="33"/>
      <c r="EG15" s="33"/>
      <c r="EH15" s="33"/>
      <c r="EI15" s="33"/>
      <c r="EJ15" s="33"/>
      <c r="EK15" s="33"/>
      <c r="EL15" s="33"/>
      <c r="EM15" s="33"/>
      <c r="EN15" s="33"/>
      <c r="EO15" s="33"/>
      <c r="EP15" s="33"/>
      <c r="EQ15" s="33"/>
      <c r="ER15" s="33"/>
      <c r="ES15" s="33"/>
      <c r="ET15" s="33"/>
      <c r="EU15" s="33"/>
      <c r="EV15" s="33"/>
      <c r="EW15" s="33"/>
      <c r="EX15" s="33"/>
      <c r="EY15" s="33"/>
      <c r="EZ15" s="33"/>
      <c r="FA15" s="33"/>
      <c r="FB15" s="33"/>
      <c r="FC15" s="33"/>
      <c r="FD15" s="33"/>
      <c r="FE15" s="33"/>
      <c r="FF15" s="33"/>
      <c r="FG15" s="33"/>
      <c r="FH15" s="33"/>
      <c r="FI15" s="33"/>
      <c r="FJ15" s="33"/>
      <c r="FK15" s="33"/>
      <c r="FL15" s="33"/>
      <c r="FM15" s="33"/>
      <c r="FN15" s="33"/>
      <c r="FO15" s="33"/>
      <c r="FP15" s="33"/>
      <c r="FQ15" s="33"/>
      <c r="FR15" s="33"/>
      <c r="FS15" s="33"/>
      <c r="FT15" s="33"/>
      <c r="FU15" s="33"/>
      <c r="FV15" s="33"/>
      <c r="FW15" s="33"/>
      <c r="FX15" s="33"/>
      <c r="FY15" s="33"/>
      <c r="FZ15" s="33"/>
      <c r="GA15" s="33"/>
      <c r="GB15" s="33"/>
      <c r="GC15" s="33"/>
      <c r="GD15" s="33"/>
      <c r="GE15" s="33"/>
      <c r="GF15" s="33"/>
      <c r="GG15" s="33"/>
      <c r="GH15" s="33"/>
      <c r="GI15" s="33"/>
      <c r="GJ15" s="33"/>
      <c r="GK15" s="33"/>
      <c r="GL15" s="33"/>
      <c r="GM15" s="33"/>
      <c r="GN15" s="33"/>
      <c r="GO15" s="33"/>
      <c r="GP15" s="33"/>
      <c r="GQ15" s="33"/>
      <c r="GR15" s="33"/>
      <c r="GS15" s="33"/>
      <c r="GT15" s="33"/>
      <c r="GU15" s="33"/>
      <c r="GV15" s="33"/>
      <c r="GW15" s="33"/>
      <c r="GX15" s="33"/>
      <c r="GY15" s="33"/>
      <c r="GZ15" s="33"/>
      <c r="HA15" s="33"/>
      <c r="HB15" s="33"/>
      <c r="HC15" s="33"/>
      <c r="HD15" s="33"/>
      <c r="HE15" s="33"/>
      <c r="HF15" s="33"/>
      <c r="HG15" s="33"/>
      <c r="HH15" s="33"/>
      <c r="HI15" s="33"/>
      <c r="HJ15" s="33"/>
      <c r="HK15" s="33"/>
      <c r="HL15" s="33"/>
      <c r="HM15" s="33"/>
      <c r="HN15" s="33"/>
      <c r="HO15" s="33"/>
      <c r="HP15" s="33"/>
      <c r="HQ15" s="33"/>
      <c r="HR15" s="33"/>
      <c r="HS15" s="33"/>
      <c r="HT15" s="33"/>
      <c r="HU15" s="33"/>
      <c r="HV15" s="33"/>
      <c r="HW15" s="33"/>
      <c r="HX15" s="33"/>
      <c r="HY15" s="33"/>
      <c r="HZ15" s="33"/>
      <c r="IA15" s="33"/>
      <c r="IB15" s="33"/>
      <c r="IC15" s="33"/>
      <c r="ID15" s="33"/>
      <c r="IE15" s="33"/>
    </row>
    <row r="16" spans="1:239" ht="19.5" customHeight="1">
      <c r="B16" s="28" t="s">
        <v>2023</v>
      </c>
      <c r="C16" s="459">
        <f ca="1">IF(BO1&gt;1,1,IFERROR(CHOOSE('績效圖(Pro)'!A1,1,2),1))</f>
        <v>1</v>
      </c>
      <c r="H16" s="428">
        <f ca="1">IF(開關=TRUE,'庫存管理(Pro)'!B16,0)</f>
        <v>0</v>
      </c>
      <c r="I16" s="429" t="e">
        <f ca="1">VLOOKUP(H16,bond!B:I,8,FALSE)</f>
        <v>#N/A</v>
      </c>
      <c r="J16" s="429" t="e">
        <f ca="1">庫存Pro[[#This Row],[買價]]+VLOOKUP(庫存Pro[[#This Row],[商品代號]],bond!B:K,10,FALSE)</f>
        <v>#N/A</v>
      </c>
      <c r="K16" s="430" t="e">
        <f ca="1">VLOOKUP(H16,'銀行-TSS'!B:E,4,FALSE)</f>
        <v>#N/A</v>
      </c>
      <c r="L16" s="431" t="e">
        <f ca="1">VLOOKUP($H16,'銀行-TSS'!B:G,6,FALSE)</f>
        <v>#N/A</v>
      </c>
      <c r="M16" s="432" t="e">
        <f ca="1">IFERROR(DATEVALUE(VLOOKUP($H16,'銀行-TSS'!B:F,5,FALSE)),VLOOKUP($H16,'銀行-TSS'!B:F,5,FALSE))</f>
        <v>#N/A</v>
      </c>
      <c r="N16" s="433" t="e">
        <f ca="1">VLOOKUP($H16,'銀行-TSS'!B:H,7,FALSE)</f>
        <v>#N/A</v>
      </c>
      <c r="O16" s="433" t="e">
        <f ca="1">庫存Pro[[#This Row],[票面利率]]/庫存Pro[[#This Row],[成本價(不含前手息)]]*100</f>
        <v>#N/A</v>
      </c>
      <c r="P16" s="434" t="str">
        <f ca="1">IFERROR(VLOOKUP($H16,'銀行-TSS'!B:I,8,FALSE),"")</f>
        <v/>
      </c>
      <c r="Q16" s="440" t="str">
        <f ca="1">_xlfn.IFNA(IFERROR(DATEVALUE(VLOOKUP($H16,'銀行-TSS'!B:P,15,FALSE)),VLOOKUP($H16,'銀行-TSS'!B:P,15,FALSE)),"")</f>
        <v/>
      </c>
      <c r="R16" s="570" t="b">
        <f>IF(AND('2_Check_code'!C37,庫存Pro[[#This Row],[投入面額]]&gt;0),TRUE,FALSE)</f>
        <v>0</v>
      </c>
      <c r="S16" s="602">
        <f>'庫存管理(Pro)'!AE16</f>
        <v>0</v>
      </c>
      <c r="T16"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16" s="442" t="str">
        <f ca="1">IFERROR(WORKDAY(庫存Pro[[#This Row],[買進日]],VLOOKUP(庫存Pro[[#This Row],[商品代號]],'1_重設數據'!R:S,2,FALSE),休USD),庫存Pro[[#This Row],[買進日(T+2/公債T+1)]])</f>
        <v/>
      </c>
      <c r="V16" s="43">
        <f>'庫存管理(Pro)'!J16</f>
        <v>0</v>
      </c>
      <c r="W16" s="43">
        <f>'庫存管理(Pro)'!K16</f>
        <v>0</v>
      </c>
      <c r="X16" s="464">
        <f t="shared" ca="1" si="9"/>
        <v>0</v>
      </c>
      <c r="Y16" s="464" t="e">
        <f t="shared" ca="1" si="11"/>
        <v>#N/A</v>
      </c>
      <c r="Z16" s="465" t="e">
        <f t="shared" ca="1" si="12"/>
        <v>#N/A</v>
      </c>
      <c r="AA16" s="474" t="e">
        <f ca="1">IF(MF_Pro=2,庫存Pro[[#This Row],[部位現值(不含前手息)]]-庫存Pro[[#This Row],[持有成本(不含前手息)]],庫存Pro[[#This Row],[部位現值(含前手息)]]-庫存Pro[[#This Row],[持有成本(含前手息)]])</f>
        <v>#N/A</v>
      </c>
      <c r="AB16" s="462">
        <f ca="1">IF(MF_Pro=2,IFERROR(庫存Pro[[#This Row],[資本利損]]/庫存Pro[[#This Row],[持有成本(不含前手息)]],0),IFERROR(庫存Pro[[#This Row],[資本利損]]/庫存Pro[[#This Row],[持有成本(含前手息)]],0))</f>
        <v>0</v>
      </c>
      <c r="AC16" s="618" t="e">
        <f ca="1">庫存Pro[[#This Row],[持有成本(不含前手息)]]/庫存Pro[[#This Row],[投入面額]]*100</f>
        <v>#DIV/0!</v>
      </c>
      <c r="AD16" s="462" t="e">
        <f ca="1">VLOOKUP(庫存Pro[[#This Row],[商品代號]],bond!B:AA,26,FALSE)</f>
        <v>#N/A</v>
      </c>
      <c r="AE16" s="1" t="str">
        <f ca="1">IFERROR(VLOOKUP($H16,'銀行-TSS'!B:Q,16,FALSE),"")</f>
        <v/>
      </c>
      <c r="AF16" s="466" t="e">
        <f t="shared" ca="1" si="13"/>
        <v>#N/A</v>
      </c>
      <c r="AG16" s="458" t="e">
        <f ca="1">IF(OR(庫存Pro[[#This Row],[起息日]]&gt;庫存Pro[[#This Row],[買進前一配息日(複算)]],庫存Pro[[#This Row],[判斷]]=TRUE),庫存Pro[[#This Row],[起息日]],庫存Pro[[#This Row],[買進前一配息日(複算)]])</f>
        <v>#N/A</v>
      </c>
      <c r="AH16" s="577" t="e">
        <f ca="1">VLOOKUP(H16,bond!B:AP,41,FALSE)</f>
        <v>#N/A</v>
      </c>
      <c r="AI16" s="578" t="e">
        <f t="shared" ca="1" si="14"/>
        <v>#N/A</v>
      </c>
      <c r="AJ16" s="579">
        <f ca="1">IFERROR(IF(庫存Pro[[#This Row],[買進日是否落入record date]]=1,庫存Pro[[#This Row],[record date制度前手息]],庫存Pro[[#This Row],[前手息(初算)]]),0)</f>
        <v>0</v>
      </c>
      <c r="AK16" s="579" t="e">
        <f ca="1">IF(OR(庫存Pro[[#This Row],[買進例外調整]]&lt;庫存Pro[[#This Row],[起息日]],庫存Pro[[#This Row],[買進例外調整]]&gt;庫存Pro[[#This Row],[到期日]]),0,IF(庫存Pro[[#This Row],[備註]]&lt;&gt;"",庫存Pro[[#This Row],[買進時前手息]],IFERROR(ROUND(ACCRINT(AG16,AG16,U16,N16,100,P16,AI16,TRUE),4),0)))</f>
        <v>#N/A</v>
      </c>
      <c r="AL16" s="580">
        <f t="shared" ca="1" si="10"/>
        <v>0</v>
      </c>
      <c r="AM16" s="440" t="e">
        <f ca="1">DATEVALUE(VLOOKUP(H16,bond!B:I,7,FALSE))</f>
        <v>#N/A</v>
      </c>
      <c r="AN16"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16" s="579">
        <f ca="1">IFERROR(IF(庫存Pro[[#This Row],[交割日是否落入record date]]=1,庫存Pro[[#This Row],[交_record date制度前手息]],庫存Pro[[#This Row],[計算交割前手息(初算)]]),0)</f>
        <v>0</v>
      </c>
      <c r="AP16"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16" s="579" t="e">
        <f ca="1">IF(庫存Pro[[#This Row],[配息頻率]]=0,0,(100*庫存Pro[[#This Row],[票面利率]]/庫存Pro[[#This Row],[配息頻率]])*庫存Pro[[#This Row],[經過幾次配息]]+庫存Pro[[#This Row],[計算交割前手息(複算)]]-庫存Pro[[#This Row],[計算前手息(複算)]])</f>
        <v>#N/A</v>
      </c>
      <c r="AR16" s="581" t="e">
        <f ca="1">IF(庫存Pro[[#This Row],[商品代號]]="XFM90",0,ROUND(AQ16*V16/100,2))</f>
        <v>#N/A</v>
      </c>
      <c r="AS16" s="582">
        <f ca="1">IF(MF_Pro=2,IFERROR(庫存Pro[[#This Row],[累計配息]]/庫存Pro[[#This Row],[持有成本(不含前手息)]],0),IFERROR(庫存Pro[[#This Row],[已實現配息(原幣)]]/庫存Pro[[#This Row],[持有成本(含前手息)]],0))</f>
        <v>0</v>
      </c>
      <c r="AT16" s="583" t="e">
        <f ca="1">IF(MF_Pro=2,庫存Pro[[#This Row],[資本利損]]+庫存Pro[[#This Row],[累計配息]],庫存Pro[[#This Row],[資本利損]]+庫存Pro[[#This Row],[已實現配息(原幣)]])</f>
        <v>#N/A</v>
      </c>
      <c r="AU16" s="584">
        <f ca="1">IF(MF_Pro=2,IFERROR(庫存Pro[[#This Row],[合計收益]]/庫存Pro[[#This Row],[持有成本(不含前手息)]],0),IFERROR(庫存Pro[[#This Row],[合計收益]]/庫存Pro[[#This Row],[持有成本(含前手息)]],0))</f>
        <v>0</v>
      </c>
      <c r="AV16" s="434" t="e">
        <f t="shared" ca="1" si="0"/>
        <v>#VALUE!</v>
      </c>
      <c r="AW16" s="434" t="e">
        <f t="shared" ca="1" si="1"/>
        <v>#VALUE!</v>
      </c>
      <c r="AX16" s="434">
        <f t="shared" ca="1" si="2"/>
        <v>0</v>
      </c>
      <c r="AY16" s="434">
        <f t="shared" ca="1" si="3"/>
        <v>0</v>
      </c>
      <c r="AZ16" s="441" t="e">
        <f ca="1">IF(AND(庫存Pro[[#This Row],[名稱]]="美國國庫債券",DAY(庫存Pro[[#This Row],[買進前一配息日(初算)]])&gt;=28),EOMONTH(庫存Pro[[#This Row],[買進前一配息日(初算)]],0),庫存Pro[[#This Row],[買進前一配息日(初算)]])</f>
        <v>#N/A</v>
      </c>
      <c r="BA16" s="441" t="e">
        <f t="shared" ca="1" si="4"/>
        <v>#VALUE!</v>
      </c>
      <c r="BB16" s="444" t="e">
        <f t="shared" ca="1" si="5"/>
        <v>#VALUE!</v>
      </c>
      <c r="BC16" s="441" t="e">
        <f ca="1">IF(P16&gt;0,IF(MONTH(DATE(BB16,AV16,DAY(Q16)))&lt;&gt;庫存Pro[[#This Row],[第一個配息月]],DATE(BB16,AV16+1,0),DATE(BB16,AV16,DAY(Q16))),庫存Pro[[#This Row],[買進例外調整]]+100)</f>
        <v>#VALUE!</v>
      </c>
      <c r="BD16" s="441" t="e">
        <f ca="1">IF(AW16&lt;&gt;0,IF(MONTH(DATE(BB16,AW16,DAY(Q16)))&lt;&gt;庫存Pro[[#This Row],[第二個配息月]],DATE(BB16,AW16+1,0),DATE(BB16,AW16,DAY(Q16))),庫存Pro[[#This Row],[買進例外調整]]+100)</f>
        <v>#VALUE!</v>
      </c>
      <c r="BE16" s="441" t="e">
        <f ca="1">IF(AX16&lt;&gt;0,IF(MONTH(DATE(BB16,AX16,DAY(Q16)))&lt;&gt;庫存Pro[[#This Row],[第三個配息月]],DATE(BB16,AX16+1,0),DATE(BB16,AX16,DAY(Q16))),庫存Pro[[#This Row],[買進例外調整]]+100)</f>
        <v>#VALUE!</v>
      </c>
      <c r="BF16" s="441" t="e">
        <f ca="1">IF(AY16&lt;&gt;0,IF(MONTH(DATE(BB16,AY16,DAY(Q16)))&lt;&gt;庫存Pro[[#This Row],[第四個配息月]],DATE(BB16,AY16+1,0),DATE(BB16,AY16,DAY(Q16))),庫存Pro[[#This Row],[買進例外調整]]+100)</f>
        <v>#VALUE!</v>
      </c>
      <c r="BG16" s="441" t="e">
        <f ca="1">IF(P16=1,IF(MONTH(DATE(BB16-1,AV16,DAY(Q16)))&lt;&gt;庫存Pro[[#This Row],[第一個配息月]],DATE(BB16-1,AV16+1,0),DATE(BB16-1,AV16,DAY(Q16))),IF(P16=2,IF(MONTH(DATE(BB16-1,AW16,DAY(Q16)))&lt;&gt;庫存Pro[[#This Row],[第二個配息月]],DATE(BB16-1,AW16+1,0),DATE(BB16-1,AW16,DAY(Q16))),IF(P16=4,IF(MONTH(DATE(BB16-1,AY16,DAY(Q16)))&lt;&gt;庫存Pro[[#This Row],[第四個配息月]],DATE(BB16-1,AY16+1,0),DATE(BB16-1,AY16,DAY(Q16))),庫存Pro[[#This Row],[買進例外調整]]+100)))</f>
        <v>#VALUE!</v>
      </c>
      <c r="BH16" s="445">
        <f t="shared" ca="1" si="15"/>
        <v>10000</v>
      </c>
      <c r="BI16" s="445">
        <f t="shared" ca="1" si="16"/>
        <v>10000</v>
      </c>
      <c r="BJ16" s="445">
        <f t="shared" ca="1" si="17"/>
        <v>10000</v>
      </c>
      <c r="BK16" s="445">
        <f t="shared" ca="1" si="18"/>
        <v>10000</v>
      </c>
      <c r="BL16" s="455">
        <f t="shared" ca="1" si="19"/>
        <v>10000</v>
      </c>
      <c r="BM16" s="479" t="e">
        <f ca="1">庫存Pro[[#This Row],[年度配息]]/庫存Pro[[#This Row],[配息頻率]]</f>
        <v>#N/A</v>
      </c>
      <c r="BN16" s="479" t="e">
        <f ca="1">庫存Pro[[#This Row],[單次配息(原幣)]]*庫存Pro[[#This Row],[換算匯率(現)]]</f>
        <v>#N/A</v>
      </c>
      <c r="BO16" s="479" t="str">
        <f ca="1">IFERROR(VLOOKUP($H16,'銀行-TSS'!B:C,2,FALSE),"")</f>
        <v/>
      </c>
      <c r="BP16" s="479" t="e">
        <f ca="1">VLOOKUP(庫存Pro[[#This Row],[幣別]],$B$37:$C$43,2,FALSE)</f>
        <v>#N/A</v>
      </c>
      <c r="BQ16" s="500" t="e">
        <f ca="1">CHOOSE(庫存Pro[[#This Row],[對應編碼]],$D$37,$D$38,$D$39,$D$40,$D$41,$D$42,$D$43)</f>
        <v>#N/A</v>
      </c>
      <c r="BR16" s="500" t="e">
        <f ca="1">CHOOSE(庫存Pro[[#This Row],[對應編碼]],$E$37,$E$38,$E$39,$E$40,$E$41,$E$42,$E$43)</f>
        <v>#N/A</v>
      </c>
      <c r="BS16" s="595" t="e">
        <f ca="1">庫存Pro[[#This Row],[投入面額]]*庫存Pro[[#This Row],[換算匯率(現)]]</f>
        <v>#N/A</v>
      </c>
      <c r="BT16" s="595" t="e">
        <f ca="1">庫存Pro[[#This Row],[持有成本(含前手息)]]*庫存Pro[[#This Row],[換算匯率(買)]]</f>
        <v>#N/A</v>
      </c>
      <c r="BU16" s="498" t="e">
        <f ca="1">庫存Pro[[#This Row],[持有成本(不含前手息)]]*庫存Pro[[#This Row],[換算匯率(買)]]</f>
        <v>#N/A</v>
      </c>
      <c r="BV16" s="498" t="e">
        <f ca="1">庫存Pro[[#This Row],[部位現值(含前手息)]]*庫存Pro[[#This Row],[換算匯率(現)]]</f>
        <v>#N/A</v>
      </c>
      <c r="BW16" s="498" t="e">
        <f ca="1">庫存Pro[[#This Row],[部位現值(不含前手息)]]*庫存Pro[[#This Row],[換算匯率(現)]]</f>
        <v>#N/A</v>
      </c>
      <c r="BX16" s="498" t="e">
        <f ca="1">IF(MF_Pro=2,庫存Pro[[#This Row],[累計配息]]*庫存Pro[[#This Row],[換算匯率(現)]],庫存Pro[[#This Row],[已實現配息(原幣)]]*庫存Pro[[#This Row],[換算匯率(現)]])</f>
        <v>#N/A</v>
      </c>
      <c r="BY16" s="498" t="e">
        <f ca="1">庫存Pro[[#This Row],[資本利損]]*庫存Pro[[#This Row],[換算匯率(現)]]</f>
        <v>#N/A</v>
      </c>
      <c r="BZ16" s="498" t="e">
        <f ca="1">庫存Pro[[#This Row],[累計利息(台)]]+庫存Pro[[#This Row],[資本貢獻(台)]]</f>
        <v>#N/A</v>
      </c>
      <c r="CA16" s="574">
        <f ca="1">IFERROR(庫存Pro[[#This Row],[配息報酬]],0)</f>
        <v>0</v>
      </c>
      <c r="CB16" s="574">
        <f ca="1">庫存Pro[[#This Row],[資本報酬]]</f>
        <v>0</v>
      </c>
      <c r="CC16" s="574">
        <f ca="1">IFERROR(庫存Pro[[#This Row],[換匯總報酬率]]-(庫存Pro[[#This Row],[配息報酬率]]+庫存Pro[[#This Row],[資本報酬率]]),0)</f>
        <v>0</v>
      </c>
      <c r="CD16" s="574">
        <f ca="1">IF(MF_Pro=2,IFERROR((庫存Pro[[#This Row],[參考贖回金額(現)]]+庫存Pro[[#This Row],[累計利息(台)]])/庫存Pro[[#This Row],[淨投入成本(買)]]-1,0),IFERROR(((庫存Pro[[#This Row],[參考贖回金額含前手息(現)]]+庫存Pro[[#This Row],[累計利息(台)]])/庫存Pro[[#This Row],[庫存成本(買)]])-1,0))</f>
        <v>0</v>
      </c>
      <c r="CE16" s="585">
        <f t="shared" ca="1" si="7"/>
        <v>0</v>
      </c>
      <c r="CF16" s="574">
        <f t="shared" ca="1" si="8"/>
        <v>0</v>
      </c>
      <c r="CG16"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16" s="646" t="e">
        <f ca="1">DATEDIF(庫存Pro[[#This Row],[買進例外調整]],庫存Pro[[#This Row],[到期日]],"d")/365.25</f>
        <v>#VALUE!</v>
      </c>
      <c r="CI16" s="739" t="e">
        <f ca="1">DATEVALUE(VLOOKUP(庫存Pro[[#This Row],[商品代號]],bond!B:AF,31,FALSE))</f>
        <v>#N/A</v>
      </c>
      <c r="CJ16" s="739" t="e">
        <f ca="1">IF(庫存Pro[[#This Row],[買下配(國調)]]&lt;庫存Pro[[#This Row],[第一票息日]],庫存Pro[[#This Row],[第一票息日]],庫存Pro[[#This Row],[買下配(國調)]])</f>
        <v>#N/A</v>
      </c>
      <c r="CK16"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16"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16" s="646">
        <f ca="1">IF(庫存Pro[[#This Row],[商品代號]]="XFM90",0,IFERROR(庫存Pro[[#This Row],[單次配息(原幣)]]*庫存Pro[[#This Row],[經過幾次配息]],0))</f>
        <v>0</v>
      </c>
      <c r="CN16" s="646" t="e">
        <f ca="1">VLOOKUP(庫存Pro[[#This Row],[商品代號]],bond!B:F,5,FALSE)</f>
        <v>#N/A</v>
      </c>
      <c r="CO16" s="739" t="str">
        <f ca="1">IFERROR(VLOOKUP(庫存Pro[[#This Row],[ISIN]],'7_發行日例外'!A:C,3,FALSE),IFERROR(DATEVALUE(VLOOKUP(庫存Pro[[#This Row],[商品代號]],bond!B:AR,43,FALSE)),""))</f>
        <v/>
      </c>
      <c r="CP16" s="646" t="e">
        <f ca="1">DATEDIF(庫存Pro[[#This Row],[起息日]],庫存Pro[[#This Row],[買進前一配息日(複算)]],"d")</f>
        <v>#VALUE!</v>
      </c>
      <c r="CQ16"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6" s="739" t="e">
        <f ca="1">IFERROR(VLOOKUP(庫存Pro[[#This Row],[ISIN]],'7_發行日例外'!A:D,4,FALSE),DATEVALUE(VLOOKUP(庫存Pro[[#This Row],[商品代號]],bond!B:AV,44,FALSE)))</f>
        <v>#N/A</v>
      </c>
      <c r="CS16" s="646" t="e">
        <f ca="1">VLOOKUP(庫存Pro[[#This Row],[商品代號]],bond!B:AU,46,FALSE)</f>
        <v>#N/A</v>
      </c>
      <c r="CT16" s="646" t="e">
        <f ca="1">IF(庫存Pro[[#This Row],[計息基礎]]=1,CHOOSE(庫存Pro[[#This Row],[對應編碼]],"沒進位","","沒進位",IF(庫存Pro[[#This Row],[計算類型]]="AUSTRALIA:EX-DIV","4捨五入進0.01%","沒進位"),"年/2去計算ACT","沒進位","沒進位"),"")</f>
        <v>#N/A</v>
      </c>
      <c r="CU16" s="646" t="e">
        <f ca="1">_xlfn.DAYS(庫存Pro[[#This Row],[買進例外調整]],庫存Pro[[#This Row],[買進前一個配息日(最終)]])</f>
        <v>#N/A</v>
      </c>
      <c r="CV16" s="646" t="e">
        <f ca="1">IF(庫存Pro[[#This Row],[備註]]="年/2去計算ACT",365/2,_xlfn.DAYS(庫存Pro[[#This Row],[買進時的下個配息日]],庫存Pro[[#This Row],[買進前一個配息日(最終)]]))</f>
        <v>#N/A</v>
      </c>
      <c r="CW16"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16" s="768" t="e">
        <f ca="1">_xlfn.DAYS(庫存Pro[[#This Row],[交割日]],庫存Pro[[#This Row],[買進前一個配息日(最終)]])</f>
        <v>#N/A</v>
      </c>
      <c r="CY16"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16" s="768" t="e">
        <f ca="1">_xlfn.DAYS(庫存Pro[[#This Row],[交割日]],庫存Pro[[#This Row],[最近的上一票息日]])</f>
        <v>#N/A</v>
      </c>
      <c r="DA16" s="768" t="e">
        <f ca="1">IF(庫存Pro[[#This Row],[備註]]="年/2去計算ACT",365/2,_xlfn.DAYS(庫存Pro[[#This Row],[下一配息日]],庫存Pro[[#This Row],[最近的上一票息日]]))</f>
        <v>#N/A</v>
      </c>
      <c r="DB16"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16" s="739" t="e">
        <f ca="1">CJ16-庫存Pro[[#This Row],[ex_div_days]]</f>
        <v>#N/A</v>
      </c>
      <c r="DD16" s="646" t="e">
        <f ca="1">IF(VLOOKUP(庫存Pro[[#This Row],[商品代號]],bond!B:AT,45,FALSE)="#N/A Field Not Applicable",0,VLOOKUP(庫存Pro[[#This Row],[商品代號]],bond!B:AT,45,FALSE))</f>
        <v>#N/A</v>
      </c>
      <c r="DE16" s="793" t="e">
        <f ca="1">IF(庫存Pro[[#This Row],[ex_div_days]]&lt;&gt;0,IF(AND(庫存Pro[[#This Row],[買進例外調整]]-庫存Pro[[#This Row],[買進下一個配息日先減n天]]&gt;=0,庫存Pro[[#This Row],[買進時的下個配息日]]-庫存Pro[[#This Row],[買進例外調整]]&gt;0),1,0),0)</f>
        <v>#N/A</v>
      </c>
      <c r="DF16" s="784" t="e">
        <f ca="1">IF(庫存Pro[[#This Row],[對應編碼]]=4,ROUND(庫存Pro[[#This Row],[前手息(初算)]]-庫存Pro[[#This Row],[票面利率]]/庫存Pro[[#This Row],[配息頻率]]*100,3),ROUND(庫存Pro[[#This Row],[前手息(初算)]]-庫存Pro[[#This Row],[票面利率]]/庫存Pro[[#This Row],[配息頻率]]*100,4))</f>
        <v>#N/A</v>
      </c>
      <c r="DG16" s="734" t="e">
        <f ca="1">庫存Pro[[#This Row],[下一配息日]]-庫存Pro[[#This Row],[ex_div_days]]</f>
        <v>#VALUE!</v>
      </c>
      <c r="DH16" s="1084" t="e">
        <f ca="1">IF(庫存Pro[[#This Row],[ex_div_days]]&lt;&gt;0,IF(AND(庫存Pro[[#This Row],[交割日]]-庫存Pro[[#This Row],[交割下個配息日先減n天]]&gt;=0,庫存Pro[[#This Row],[下一配息日]]-庫存Pro[[#This Row],[交割日]]&gt;0),1,0),0)</f>
        <v>#N/A</v>
      </c>
      <c r="DI16"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16" s="33"/>
      <c r="DK16" s="33"/>
      <c r="DL16" s="33"/>
      <c r="DM16" s="33"/>
      <c r="DN16" s="33"/>
      <c r="DO16" s="33"/>
      <c r="DP16" s="33"/>
      <c r="DQ16" s="33"/>
      <c r="DR16" s="33"/>
      <c r="DS16" s="33"/>
      <c r="DT16" s="33"/>
      <c r="DU16" s="33"/>
      <c r="DV16" s="33"/>
      <c r="DW16" s="33"/>
      <c r="DX16" s="33"/>
      <c r="DY16" s="33"/>
      <c r="DZ16" s="33"/>
      <c r="EA16" s="33"/>
      <c r="EB16" s="33"/>
      <c r="EC16" s="33"/>
      <c r="ED16" s="33"/>
      <c r="EE16" s="33"/>
      <c r="EF16" s="33"/>
      <c r="EG16" s="33"/>
      <c r="EH16" s="33"/>
      <c r="EI16" s="33"/>
      <c r="EJ16" s="33"/>
      <c r="EK16" s="33"/>
      <c r="EL16" s="33"/>
      <c r="EM16" s="33"/>
      <c r="EN16" s="33"/>
      <c r="EO16" s="33"/>
      <c r="EP16" s="33"/>
      <c r="EQ16" s="33"/>
      <c r="ER16" s="33"/>
      <c r="ES16" s="33"/>
      <c r="ET16" s="33"/>
      <c r="EU16" s="33"/>
      <c r="EV16" s="33"/>
      <c r="EW16" s="33"/>
      <c r="EX16" s="33"/>
      <c r="EY16" s="33"/>
      <c r="EZ16" s="33"/>
      <c r="FA16" s="33"/>
      <c r="FB16" s="33"/>
      <c r="FC16" s="33"/>
      <c r="FD16" s="33"/>
      <c r="FE16" s="33"/>
      <c r="FF16" s="33"/>
      <c r="FG16" s="33"/>
      <c r="FH16" s="33"/>
      <c r="FI16" s="33"/>
      <c r="FJ16" s="33"/>
      <c r="FK16" s="33"/>
      <c r="FL16" s="33"/>
      <c r="FM16" s="33"/>
      <c r="FN16" s="33"/>
      <c r="FO16" s="33"/>
      <c r="FP16" s="33"/>
      <c r="FQ16" s="33"/>
      <c r="FR16" s="33"/>
      <c r="FS16" s="33"/>
      <c r="FT16" s="33"/>
      <c r="FU16" s="33"/>
      <c r="FV16" s="33"/>
      <c r="FW16" s="33"/>
      <c r="FX16" s="33"/>
      <c r="FY16" s="33"/>
      <c r="FZ16" s="33"/>
      <c r="GA16" s="33"/>
      <c r="GB16" s="33"/>
      <c r="GC16" s="33"/>
      <c r="GD16" s="33"/>
      <c r="GE16" s="33"/>
      <c r="GF16" s="33"/>
      <c r="GG16" s="33"/>
      <c r="GH16" s="33"/>
      <c r="GI16" s="33"/>
      <c r="GJ16" s="33"/>
      <c r="GK16" s="33"/>
      <c r="GL16" s="33"/>
      <c r="GM16" s="33"/>
      <c r="GN16" s="33"/>
      <c r="GO16" s="33"/>
      <c r="GP16" s="33"/>
      <c r="GQ16" s="33"/>
      <c r="GR16" s="33"/>
      <c r="GS16" s="33"/>
      <c r="GT16" s="33"/>
      <c r="GU16" s="33"/>
      <c r="GV16" s="33"/>
      <c r="GW16" s="33"/>
      <c r="GX16" s="33"/>
      <c r="GY16" s="33"/>
      <c r="GZ16" s="33"/>
      <c r="HA16" s="33"/>
      <c r="HB16" s="33"/>
      <c r="HC16" s="33"/>
      <c r="HD16" s="33"/>
      <c r="HE16" s="33"/>
      <c r="HF16" s="33"/>
      <c r="HG16" s="33"/>
      <c r="HH16" s="33"/>
      <c r="HI16" s="33"/>
      <c r="HJ16" s="33"/>
      <c r="HK16" s="33"/>
      <c r="HL16" s="33"/>
      <c r="HM16" s="33"/>
      <c r="HN16" s="33"/>
      <c r="HO16" s="33"/>
      <c r="HP16" s="33"/>
      <c r="HQ16" s="33"/>
      <c r="HR16" s="33"/>
      <c r="HS16" s="33"/>
      <c r="HT16" s="33"/>
      <c r="HU16" s="33"/>
      <c r="HV16" s="33"/>
      <c r="HW16" s="33"/>
      <c r="HX16" s="33"/>
      <c r="HY16" s="33"/>
      <c r="HZ16" s="33"/>
      <c r="IA16" s="33"/>
      <c r="IB16" s="33"/>
      <c r="IC16" s="33"/>
      <c r="ID16" s="33"/>
      <c r="IE16" s="33"/>
    </row>
    <row r="17" spans="2:239" ht="19.5" customHeight="1">
      <c r="B17" s="352" t="s">
        <v>27</v>
      </c>
      <c r="C17" s="352"/>
      <c r="D17" s="352"/>
      <c r="E17" s="587"/>
      <c r="F17" s="587"/>
      <c r="H17" s="428">
        <f ca="1">IF(開關=TRUE,'庫存管理(Pro)'!B17,0)</f>
        <v>0</v>
      </c>
      <c r="I17" s="429" t="e">
        <f ca="1">VLOOKUP(H17,bond!B:I,8,FALSE)</f>
        <v>#N/A</v>
      </c>
      <c r="J17" s="429" t="e">
        <f ca="1">庫存Pro[[#This Row],[買價]]+VLOOKUP(庫存Pro[[#This Row],[商品代號]],bond!B:K,10,FALSE)</f>
        <v>#N/A</v>
      </c>
      <c r="K17" s="430" t="e">
        <f ca="1">VLOOKUP(H17,'銀行-TSS'!B:E,4,FALSE)</f>
        <v>#N/A</v>
      </c>
      <c r="L17" s="431" t="e">
        <f ca="1">VLOOKUP($H17,'銀行-TSS'!B:G,6,FALSE)</f>
        <v>#N/A</v>
      </c>
      <c r="M17" s="432" t="e">
        <f ca="1">IFERROR(DATEVALUE(VLOOKUP($H17,'銀行-TSS'!B:F,5,FALSE)),VLOOKUP($H17,'銀行-TSS'!B:F,5,FALSE))</f>
        <v>#N/A</v>
      </c>
      <c r="N17" s="433" t="e">
        <f ca="1">VLOOKUP($H17,'銀行-TSS'!B:H,7,FALSE)</f>
        <v>#N/A</v>
      </c>
      <c r="O17" s="433" t="e">
        <f ca="1">庫存Pro[[#This Row],[票面利率]]/庫存Pro[[#This Row],[成本價(不含前手息)]]*100</f>
        <v>#N/A</v>
      </c>
      <c r="P17" s="434" t="str">
        <f ca="1">IFERROR(VLOOKUP($H17,'銀行-TSS'!B:I,8,FALSE),"")</f>
        <v/>
      </c>
      <c r="Q17" s="440" t="str">
        <f ca="1">_xlfn.IFNA(IFERROR(DATEVALUE(VLOOKUP($H17,'銀行-TSS'!B:P,15,FALSE)),VLOOKUP($H17,'銀行-TSS'!B:P,15,FALSE)),"")</f>
        <v/>
      </c>
      <c r="R17" s="570" t="b">
        <f>IF(AND('2_Check_code'!C38,庫存Pro[[#This Row],[投入面額]]&gt;0),TRUE,FALSE)</f>
        <v>0</v>
      </c>
      <c r="S17" s="602">
        <f>'庫存管理(Pro)'!AE17</f>
        <v>0</v>
      </c>
      <c r="T17"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17" s="442" t="str">
        <f ca="1">IFERROR(WORKDAY(庫存Pro[[#This Row],[買進日]],VLOOKUP(庫存Pro[[#This Row],[商品代號]],'1_重設數據'!R:S,2,FALSE),休USD),庫存Pro[[#This Row],[買進日(T+2/公債T+1)]])</f>
        <v/>
      </c>
      <c r="V17" s="43">
        <f>'庫存管理(Pro)'!J17</f>
        <v>0</v>
      </c>
      <c r="W17" s="43">
        <f>'庫存管理(Pro)'!K17</f>
        <v>0</v>
      </c>
      <c r="X17" s="464">
        <f t="shared" ca="1" si="9"/>
        <v>0</v>
      </c>
      <c r="Y17" s="464" t="e">
        <f t="shared" ca="1" si="11"/>
        <v>#N/A</v>
      </c>
      <c r="Z17" s="465" t="e">
        <f t="shared" ca="1" si="12"/>
        <v>#N/A</v>
      </c>
      <c r="AA17" s="474" t="e">
        <f ca="1">IF(MF_Pro=2,庫存Pro[[#This Row],[部位現值(不含前手息)]]-庫存Pro[[#This Row],[持有成本(不含前手息)]],庫存Pro[[#This Row],[部位現值(含前手息)]]-庫存Pro[[#This Row],[持有成本(含前手息)]])</f>
        <v>#N/A</v>
      </c>
      <c r="AB17" s="462">
        <f ca="1">IF(MF_Pro=2,IFERROR(庫存Pro[[#This Row],[資本利損]]/庫存Pro[[#This Row],[持有成本(不含前手息)]],0),IFERROR(庫存Pro[[#This Row],[資本利損]]/庫存Pro[[#This Row],[持有成本(含前手息)]],0))</f>
        <v>0</v>
      </c>
      <c r="AC17" s="618" t="e">
        <f ca="1">庫存Pro[[#This Row],[持有成本(不含前手息)]]/庫存Pro[[#This Row],[投入面額]]*100</f>
        <v>#DIV/0!</v>
      </c>
      <c r="AD17" s="462" t="e">
        <f ca="1">VLOOKUP(庫存Pro[[#This Row],[商品代號]],bond!B:AA,26,FALSE)</f>
        <v>#N/A</v>
      </c>
      <c r="AE17" s="1" t="str">
        <f ca="1">IFERROR(VLOOKUP($H17,'銀行-TSS'!B:Q,16,FALSE),"")</f>
        <v/>
      </c>
      <c r="AF17" s="466" t="e">
        <f t="shared" ca="1" si="13"/>
        <v>#N/A</v>
      </c>
      <c r="AG17" s="458" t="e">
        <f ca="1">IF(OR(庫存Pro[[#This Row],[起息日]]&gt;庫存Pro[[#This Row],[買進前一配息日(複算)]],庫存Pro[[#This Row],[判斷]]=TRUE),庫存Pro[[#This Row],[起息日]],庫存Pro[[#This Row],[買進前一配息日(複算)]])</f>
        <v>#N/A</v>
      </c>
      <c r="AH17" s="577" t="e">
        <f ca="1">VLOOKUP(H17,bond!B:AP,41,FALSE)</f>
        <v>#N/A</v>
      </c>
      <c r="AI17" s="578" t="e">
        <f t="shared" ca="1" si="14"/>
        <v>#N/A</v>
      </c>
      <c r="AJ17" s="579">
        <f ca="1">IFERROR(IF(庫存Pro[[#This Row],[買進日是否落入record date]]=1,庫存Pro[[#This Row],[record date制度前手息]],庫存Pro[[#This Row],[前手息(初算)]]),0)</f>
        <v>0</v>
      </c>
      <c r="AK17" s="579" t="e">
        <f ca="1">IF(OR(庫存Pro[[#This Row],[買進例外調整]]&lt;庫存Pro[[#This Row],[起息日]],庫存Pro[[#This Row],[買進例外調整]]&gt;庫存Pro[[#This Row],[到期日]]),0,IF(庫存Pro[[#This Row],[備註]]&lt;&gt;"",庫存Pro[[#This Row],[買進時前手息]],IFERROR(ROUND(ACCRINT(AG17,AG17,U17,N17,100,P17,AI17,TRUE),4),0)))</f>
        <v>#N/A</v>
      </c>
      <c r="AL17" s="580">
        <f t="shared" ca="1" si="10"/>
        <v>0</v>
      </c>
      <c r="AM17" s="440" t="e">
        <f ca="1">DATEVALUE(VLOOKUP(H17,bond!B:I,7,FALSE))</f>
        <v>#N/A</v>
      </c>
      <c r="AN17"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17" s="579">
        <f ca="1">IFERROR(IF(庫存Pro[[#This Row],[交割日是否落入record date]]=1,庫存Pro[[#This Row],[交_record date制度前手息]],庫存Pro[[#This Row],[計算交割前手息(初算)]]),0)</f>
        <v>0</v>
      </c>
      <c r="AP17"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17" s="579" t="e">
        <f ca="1">IF(庫存Pro[[#This Row],[配息頻率]]=0,0,(100*庫存Pro[[#This Row],[票面利率]]/庫存Pro[[#This Row],[配息頻率]])*庫存Pro[[#This Row],[經過幾次配息]]+庫存Pro[[#This Row],[計算交割前手息(複算)]]-庫存Pro[[#This Row],[計算前手息(複算)]])</f>
        <v>#N/A</v>
      </c>
      <c r="AR17" s="581" t="e">
        <f ca="1">IF(庫存Pro[[#This Row],[商品代號]]="XFM90",0,ROUND(AQ17*V17/100,2))</f>
        <v>#N/A</v>
      </c>
      <c r="AS17" s="582">
        <f ca="1">IF(MF_Pro=2,IFERROR(庫存Pro[[#This Row],[累計配息]]/庫存Pro[[#This Row],[持有成本(不含前手息)]],0),IFERROR(庫存Pro[[#This Row],[已實現配息(原幣)]]/庫存Pro[[#This Row],[持有成本(含前手息)]],0))</f>
        <v>0</v>
      </c>
      <c r="AT17" s="583" t="e">
        <f ca="1">IF(MF_Pro=2,庫存Pro[[#This Row],[資本利損]]+庫存Pro[[#This Row],[累計配息]],庫存Pro[[#This Row],[資本利損]]+庫存Pro[[#This Row],[已實現配息(原幣)]])</f>
        <v>#N/A</v>
      </c>
      <c r="AU17" s="584">
        <f ca="1">IF(MF_Pro=2,IFERROR(庫存Pro[[#This Row],[合計收益]]/庫存Pro[[#This Row],[持有成本(不含前手息)]],0),IFERROR(庫存Pro[[#This Row],[合計收益]]/庫存Pro[[#This Row],[持有成本(含前手息)]],0))</f>
        <v>0</v>
      </c>
      <c r="AV17" s="434" t="e">
        <f t="shared" ca="1" si="0"/>
        <v>#VALUE!</v>
      </c>
      <c r="AW17" s="434" t="e">
        <f t="shared" ca="1" si="1"/>
        <v>#VALUE!</v>
      </c>
      <c r="AX17" s="434">
        <f t="shared" ca="1" si="2"/>
        <v>0</v>
      </c>
      <c r="AY17" s="434">
        <f t="shared" ca="1" si="3"/>
        <v>0</v>
      </c>
      <c r="AZ17" s="441" t="e">
        <f ca="1">IF(AND(庫存Pro[[#This Row],[名稱]]="美國國庫債券",DAY(庫存Pro[[#This Row],[買進前一配息日(初算)]])&gt;=28),EOMONTH(庫存Pro[[#This Row],[買進前一配息日(初算)]],0),庫存Pro[[#This Row],[買進前一配息日(初算)]])</f>
        <v>#N/A</v>
      </c>
      <c r="BA17" s="441" t="e">
        <f t="shared" ca="1" si="4"/>
        <v>#VALUE!</v>
      </c>
      <c r="BB17" s="444" t="e">
        <f t="shared" ca="1" si="5"/>
        <v>#VALUE!</v>
      </c>
      <c r="BC17" s="441" t="e">
        <f ca="1">IF(P17&gt;0,IF(MONTH(DATE(BB17,AV17,DAY(Q17)))&lt;&gt;庫存Pro[[#This Row],[第一個配息月]],DATE(BB17,AV17+1,0),DATE(BB17,AV17,DAY(Q17))),庫存Pro[[#This Row],[買進例外調整]]+100)</f>
        <v>#VALUE!</v>
      </c>
      <c r="BD17" s="441" t="e">
        <f ca="1">IF(AW17&lt;&gt;0,IF(MONTH(DATE(BB17,AW17,DAY(Q17)))&lt;&gt;庫存Pro[[#This Row],[第二個配息月]],DATE(BB17,AW17+1,0),DATE(BB17,AW17,DAY(Q17))),庫存Pro[[#This Row],[買進例外調整]]+100)</f>
        <v>#VALUE!</v>
      </c>
      <c r="BE17" s="441" t="e">
        <f ca="1">IF(AX17&lt;&gt;0,IF(MONTH(DATE(BB17,AX17,DAY(Q17)))&lt;&gt;庫存Pro[[#This Row],[第三個配息月]],DATE(BB17,AX17+1,0),DATE(BB17,AX17,DAY(Q17))),庫存Pro[[#This Row],[買進例外調整]]+100)</f>
        <v>#VALUE!</v>
      </c>
      <c r="BF17" s="441" t="e">
        <f ca="1">IF(AY17&lt;&gt;0,IF(MONTH(DATE(BB17,AY17,DAY(Q17)))&lt;&gt;庫存Pro[[#This Row],[第四個配息月]],DATE(BB17,AY17+1,0),DATE(BB17,AY17,DAY(Q17))),庫存Pro[[#This Row],[買進例外調整]]+100)</f>
        <v>#VALUE!</v>
      </c>
      <c r="BG17" s="441" t="e">
        <f ca="1">IF(P17=1,IF(MONTH(DATE(BB17-1,AV17,DAY(Q17)))&lt;&gt;庫存Pro[[#This Row],[第一個配息月]],DATE(BB17-1,AV17+1,0),DATE(BB17-1,AV17,DAY(Q17))),IF(P17=2,IF(MONTH(DATE(BB17-1,AW17,DAY(Q17)))&lt;&gt;庫存Pro[[#This Row],[第二個配息月]],DATE(BB17-1,AW17+1,0),DATE(BB17-1,AW17,DAY(Q17))),IF(P17=4,IF(MONTH(DATE(BB17-1,AY17,DAY(Q17)))&lt;&gt;庫存Pro[[#This Row],[第四個配息月]],DATE(BB17-1,AY17+1,0),DATE(BB17-1,AY17,DAY(Q17))),庫存Pro[[#This Row],[買進例外調整]]+100)))</f>
        <v>#VALUE!</v>
      </c>
      <c r="BH17" s="445">
        <f t="shared" ca="1" si="15"/>
        <v>10000</v>
      </c>
      <c r="BI17" s="445">
        <f t="shared" ca="1" si="16"/>
        <v>10000</v>
      </c>
      <c r="BJ17" s="445">
        <f t="shared" ca="1" si="17"/>
        <v>10000</v>
      </c>
      <c r="BK17" s="445">
        <f t="shared" ca="1" si="18"/>
        <v>10000</v>
      </c>
      <c r="BL17" s="455">
        <f t="shared" ca="1" si="19"/>
        <v>10000</v>
      </c>
      <c r="BM17" s="479" t="e">
        <f ca="1">庫存Pro[[#This Row],[年度配息]]/庫存Pro[[#This Row],[配息頻率]]</f>
        <v>#N/A</v>
      </c>
      <c r="BN17" s="479" t="e">
        <f ca="1">庫存Pro[[#This Row],[單次配息(原幣)]]*庫存Pro[[#This Row],[換算匯率(現)]]</f>
        <v>#N/A</v>
      </c>
      <c r="BO17" s="479" t="str">
        <f ca="1">IFERROR(VLOOKUP($H17,'銀行-TSS'!B:C,2,FALSE),"")</f>
        <v/>
      </c>
      <c r="BP17" s="479" t="e">
        <f ca="1">VLOOKUP(庫存Pro[[#This Row],[幣別]],$B$37:$C$43,2,FALSE)</f>
        <v>#N/A</v>
      </c>
      <c r="BQ17" s="500" t="e">
        <f ca="1">CHOOSE(庫存Pro[[#This Row],[對應編碼]],$D$37,$D$38,$D$39,$D$40,$D$41,$D$42,$D$43)</f>
        <v>#N/A</v>
      </c>
      <c r="BR17" s="500" t="e">
        <f ca="1">CHOOSE(庫存Pro[[#This Row],[對應編碼]],$E$37,$E$38,$E$39,$E$40,$E$41,$E$42,$E$43)</f>
        <v>#N/A</v>
      </c>
      <c r="BS17" s="595" t="e">
        <f ca="1">庫存Pro[[#This Row],[投入面額]]*庫存Pro[[#This Row],[換算匯率(現)]]</f>
        <v>#N/A</v>
      </c>
      <c r="BT17" s="595" t="e">
        <f ca="1">庫存Pro[[#This Row],[持有成本(含前手息)]]*庫存Pro[[#This Row],[換算匯率(買)]]</f>
        <v>#N/A</v>
      </c>
      <c r="BU17" s="498" t="e">
        <f ca="1">庫存Pro[[#This Row],[持有成本(不含前手息)]]*庫存Pro[[#This Row],[換算匯率(買)]]</f>
        <v>#N/A</v>
      </c>
      <c r="BV17" s="498" t="e">
        <f ca="1">庫存Pro[[#This Row],[部位現值(含前手息)]]*庫存Pro[[#This Row],[換算匯率(現)]]</f>
        <v>#N/A</v>
      </c>
      <c r="BW17" s="498" t="e">
        <f ca="1">庫存Pro[[#This Row],[部位現值(不含前手息)]]*庫存Pro[[#This Row],[換算匯率(現)]]</f>
        <v>#N/A</v>
      </c>
      <c r="BX17" s="498" t="e">
        <f ca="1">IF(MF_Pro=2,庫存Pro[[#This Row],[累計配息]]*庫存Pro[[#This Row],[換算匯率(現)]],庫存Pro[[#This Row],[已實現配息(原幣)]]*庫存Pro[[#This Row],[換算匯率(現)]])</f>
        <v>#N/A</v>
      </c>
      <c r="BY17" s="498" t="e">
        <f ca="1">庫存Pro[[#This Row],[資本利損]]*庫存Pro[[#This Row],[換算匯率(現)]]</f>
        <v>#N/A</v>
      </c>
      <c r="BZ17" s="498" t="e">
        <f ca="1">庫存Pro[[#This Row],[累計利息(台)]]+庫存Pro[[#This Row],[資本貢獻(台)]]</f>
        <v>#N/A</v>
      </c>
      <c r="CA17" s="574">
        <f ca="1">IFERROR(庫存Pro[[#This Row],[配息報酬]],0)</f>
        <v>0</v>
      </c>
      <c r="CB17" s="574">
        <f ca="1">庫存Pro[[#This Row],[資本報酬]]</f>
        <v>0</v>
      </c>
      <c r="CC17" s="574">
        <f ca="1">IFERROR(庫存Pro[[#This Row],[換匯總報酬率]]-(庫存Pro[[#This Row],[配息報酬率]]+庫存Pro[[#This Row],[資本報酬率]]),0)</f>
        <v>0</v>
      </c>
      <c r="CD17" s="574">
        <f ca="1">IF(MF_Pro=2,IFERROR((庫存Pro[[#This Row],[參考贖回金額(現)]]+庫存Pro[[#This Row],[累計利息(台)]])/庫存Pro[[#This Row],[淨投入成本(買)]]-1,0),IFERROR(((庫存Pro[[#This Row],[參考贖回金額含前手息(現)]]+庫存Pro[[#This Row],[累計利息(台)]])/庫存Pro[[#This Row],[庫存成本(買)]])-1,0))</f>
        <v>0</v>
      </c>
      <c r="CE17" s="585">
        <f t="shared" ca="1" si="7"/>
        <v>0</v>
      </c>
      <c r="CF17" s="574">
        <f t="shared" ca="1" si="8"/>
        <v>0</v>
      </c>
      <c r="CG17"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17" s="646" t="e">
        <f ca="1">DATEDIF(庫存Pro[[#This Row],[買進例外調整]],庫存Pro[[#This Row],[到期日]],"d")/365.25</f>
        <v>#VALUE!</v>
      </c>
      <c r="CI17" s="739" t="e">
        <f ca="1">DATEVALUE(VLOOKUP(庫存Pro[[#This Row],[商品代號]],bond!B:AF,31,FALSE))</f>
        <v>#N/A</v>
      </c>
      <c r="CJ17" s="739" t="e">
        <f ca="1">IF(庫存Pro[[#This Row],[買下配(國調)]]&lt;庫存Pro[[#This Row],[第一票息日]],庫存Pro[[#This Row],[第一票息日]],庫存Pro[[#This Row],[買下配(國調)]])</f>
        <v>#N/A</v>
      </c>
      <c r="CK17"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17"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17" s="646">
        <f ca="1">IF(庫存Pro[[#This Row],[商品代號]]="XFM90",0,IFERROR(庫存Pro[[#This Row],[單次配息(原幣)]]*庫存Pro[[#This Row],[經過幾次配息]],0))</f>
        <v>0</v>
      </c>
      <c r="CN17" s="646" t="e">
        <f ca="1">VLOOKUP(庫存Pro[[#This Row],[商品代號]],bond!B:F,5,FALSE)</f>
        <v>#N/A</v>
      </c>
      <c r="CO17" s="739" t="str">
        <f ca="1">IFERROR(VLOOKUP(庫存Pro[[#This Row],[ISIN]],'7_發行日例外'!A:C,3,FALSE),IFERROR(DATEVALUE(VLOOKUP(庫存Pro[[#This Row],[商品代號]],bond!B:AR,43,FALSE)),""))</f>
        <v/>
      </c>
      <c r="CP17" s="646" t="e">
        <f ca="1">DATEDIF(庫存Pro[[#This Row],[起息日]],庫存Pro[[#This Row],[買進前一配息日(複算)]],"d")</f>
        <v>#VALUE!</v>
      </c>
      <c r="CQ17"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7" s="739" t="e">
        <f ca="1">IFERROR(VLOOKUP(庫存Pro[[#This Row],[ISIN]],'7_發行日例外'!A:D,4,FALSE),DATEVALUE(VLOOKUP(庫存Pro[[#This Row],[商品代號]],bond!B:AV,44,FALSE)))</f>
        <v>#N/A</v>
      </c>
      <c r="CS17" s="646" t="e">
        <f ca="1">VLOOKUP(庫存Pro[[#This Row],[商品代號]],bond!B:AU,46,FALSE)</f>
        <v>#N/A</v>
      </c>
      <c r="CT17" s="646" t="e">
        <f ca="1">IF(庫存Pro[[#This Row],[計息基礎]]=1,CHOOSE(庫存Pro[[#This Row],[對應編碼]],"沒進位","","沒進位",IF(庫存Pro[[#This Row],[計算類型]]="AUSTRALIA:EX-DIV","4捨五入進0.01%","沒進位"),"年/2去計算ACT","沒進位","沒進位"),"")</f>
        <v>#N/A</v>
      </c>
      <c r="CU17" s="646" t="e">
        <f ca="1">_xlfn.DAYS(庫存Pro[[#This Row],[買進例外調整]],庫存Pro[[#This Row],[買進前一個配息日(最終)]])</f>
        <v>#N/A</v>
      </c>
      <c r="CV17" s="646" t="e">
        <f ca="1">IF(庫存Pro[[#This Row],[備註]]="年/2去計算ACT",365/2,_xlfn.DAYS(庫存Pro[[#This Row],[買進時的下個配息日]],庫存Pro[[#This Row],[買進前一個配息日(最終)]]))</f>
        <v>#N/A</v>
      </c>
      <c r="CW17"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17" s="768" t="e">
        <f ca="1">_xlfn.DAYS(庫存Pro[[#This Row],[交割日]],庫存Pro[[#This Row],[買進前一個配息日(最終)]])</f>
        <v>#N/A</v>
      </c>
      <c r="CY17"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17" s="768" t="e">
        <f ca="1">_xlfn.DAYS(庫存Pro[[#This Row],[交割日]],庫存Pro[[#This Row],[最近的上一票息日]])</f>
        <v>#N/A</v>
      </c>
      <c r="DA17" s="768" t="e">
        <f ca="1">IF(庫存Pro[[#This Row],[備註]]="年/2去計算ACT",365/2,_xlfn.DAYS(庫存Pro[[#This Row],[下一配息日]],庫存Pro[[#This Row],[最近的上一票息日]]))</f>
        <v>#N/A</v>
      </c>
      <c r="DB17"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17" s="739" t="e">
        <f ca="1">CJ17-庫存Pro[[#This Row],[ex_div_days]]</f>
        <v>#N/A</v>
      </c>
      <c r="DD17" s="646" t="e">
        <f ca="1">IF(VLOOKUP(庫存Pro[[#This Row],[商品代號]],bond!B:AT,45,FALSE)="#N/A Field Not Applicable",0,VLOOKUP(庫存Pro[[#This Row],[商品代號]],bond!B:AT,45,FALSE))</f>
        <v>#N/A</v>
      </c>
      <c r="DE17" s="793" t="e">
        <f ca="1">IF(庫存Pro[[#This Row],[ex_div_days]]&lt;&gt;0,IF(AND(庫存Pro[[#This Row],[買進例外調整]]-庫存Pro[[#This Row],[買進下一個配息日先減n天]]&gt;=0,庫存Pro[[#This Row],[買進時的下個配息日]]-庫存Pro[[#This Row],[買進例外調整]]&gt;0),1,0),0)</f>
        <v>#N/A</v>
      </c>
      <c r="DF17" s="784" t="e">
        <f ca="1">IF(庫存Pro[[#This Row],[對應編碼]]=4,ROUND(庫存Pro[[#This Row],[前手息(初算)]]-庫存Pro[[#This Row],[票面利率]]/庫存Pro[[#This Row],[配息頻率]]*100,3),ROUND(庫存Pro[[#This Row],[前手息(初算)]]-庫存Pro[[#This Row],[票面利率]]/庫存Pro[[#This Row],[配息頻率]]*100,4))</f>
        <v>#N/A</v>
      </c>
      <c r="DG17" s="734" t="e">
        <f ca="1">庫存Pro[[#This Row],[下一配息日]]-庫存Pro[[#This Row],[ex_div_days]]</f>
        <v>#VALUE!</v>
      </c>
      <c r="DH17" s="1084" t="e">
        <f ca="1">IF(庫存Pro[[#This Row],[ex_div_days]]&lt;&gt;0,IF(AND(庫存Pro[[#This Row],[交割日]]-庫存Pro[[#This Row],[交割下個配息日先減n天]]&gt;=0,庫存Pro[[#This Row],[下一配息日]]-庫存Pro[[#This Row],[交割日]]&gt;0),1,0),0)</f>
        <v>#N/A</v>
      </c>
      <c r="DI17"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17" s="33"/>
      <c r="DK17" s="33"/>
      <c r="DL17" s="33"/>
      <c r="DM17" s="33"/>
      <c r="DN17" s="33"/>
      <c r="DO17" s="33"/>
      <c r="DP17" s="33"/>
      <c r="DQ17" s="33"/>
      <c r="DR17" s="33"/>
      <c r="DS17" s="33"/>
      <c r="DT17" s="33"/>
      <c r="DU17" s="33"/>
      <c r="DV17" s="33"/>
      <c r="DW17" s="33"/>
      <c r="DX17" s="33"/>
      <c r="DY17" s="33"/>
      <c r="DZ17" s="33"/>
      <c r="EA17" s="33"/>
      <c r="EB17" s="33"/>
      <c r="EC17" s="33"/>
      <c r="ED17" s="33"/>
      <c r="EE17" s="33"/>
      <c r="EF17" s="33"/>
      <c r="EG17" s="33"/>
      <c r="EH17" s="33"/>
      <c r="EI17" s="33"/>
      <c r="EJ17" s="33"/>
      <c r="EK17" s="33"/>
      <c r="EL17" s="33"/>
      <c r="EM17" s="33"/>
      <c r="EN17" s="33"/>
      <c r="EO17" s="33"/>
      <c r="EP17" s="33"/>
      <c r="EQ17" s="33"/>
      <c r="ER17" s="33"/>
      <c r="ES17" s="33"/>
      <c r="ET17" s="33"/>
      <c r="EU17" s="33"/>
      <c r="EV17" s="33"/>
      <c r="EW17" s="33"/>
      <c r="EX17" s="33"/>
      <c r="EY17" s="33"/>
      <c r="EZ17" s="33"/>
      <c r="FA17" s="33"/>
      <c r="FB17" s="33"/>
      <c r="FC17" s="33"/>
      <c r="FD17" s="33"/>
      <c r="FE17" s="33"/>
      <c r="FF17" s="33"/>
      <c r="FG17" s="33"/>
      <c r="FH17" s="33"/>
      <c r="FI17" s="33"/>
      <c r="FJ17" s="33"/>
      <c r="FK17" s="33"/>
      <c r="FL17" s="33"/>
      <c r="FM17" s="33"/>
      <c r="FN17" s="33"/>
      <c r="FO17" s="33"/>
      <c r="FP17" s="33"/>
      <c r="FQ17" s="33"/>
      <c r="FR17" s="33"/>
      <c r="FS17" s="33"/>
      <c r="FT17" s="33"/>
      <c r="FU17" s="33"/>
      <c r="FV17" s="33"/>
      <c r="FW17" s="33"/>
      <c r="FX17" s="33"/>
      <c r="FY17" s="33"/>
      <c r="FZ17" s="33"/>
      <c r="GA17" s="33"/>
      <c r="GB17" s="33"/>
      <c r="GC17" s="33"/>
      <c r="GD17" s="33"/>
      <c r="GE17" s="33"/>
      <c r="GF17" s="33"/>
      <c r="GG17" s="33"/>
      <c r="GH17" s="33"/>
      <c r="GI17" s="33"/>
      <c r="GJ17" s="33"/>
      <c r="GK17" s="33"/>
      <c r="GL17" s="33"/>
      <c r="GM17" s="33"/>
      <c r="GN17" s="33"/>
      <c r="GO17" s="33"/>
      <c r="GP17" s="33"/>
      <c r="GQ17" s="33"/>
      <c r="GR17" s="33"/>
      <c r="GS17" s="33"/>
      <c r="GT17" s="33"/>
      <c r="GU17" s="33"/>
      <c r="GV17" s="33"/>
      <c r="GW17" s="33"/>
      <c r="GX17" s="33"/>
      <c r="GY17" s="33"/>
      <c r="GZ17" s="33"/>
      <c r="HA17" s="33"/>
      <c r="HB17" s="33"/>
      <c r="HC17" s="33"/>
      <c r="HD17" s="33"/>
      <c r="HE17" s="33"/>
      <c r="HF17" s="33"/>
      <c r="HG17" s="33"/>
      <c r="HH17" s="33"/>
      <c r="HI17" s="33"/>
      <c r="HJ17" s="33"/>
      <c r="HK17" s="33"/>
      <c r="HL17" s="33"/>
      <c r="HM17" s="33"/>
      <c r="HN17" s="33"/>
      <c r="HO17" s="33"/>
      <c r="HP17" s="33"/>
      <c r="HQ17" s="33"/>
      <c r="HR17" s="33"/>
      <c r="HS17" s="33"/>
      <c r="HT17" s="33"/>
      <c r="HU17" s="33"/>
      <c r="HV17" s="33"/>
      <c r="HW17" s="33"/>
      <c r="HX17" s="33"/>
      <c r="HY17" s="33"/>
      <c r="HZ17" s="33"/>
      <c r="IA17" s="33"/>
      <c r="IB17" s="33"/>
      <c r="IC17" s="33"/>
      <c r="ID17" s="33"/>
      <c r="IE17" s="33"/>
    </row>
    <row r="18" spans="2:239" ht="19.5" customHeight="1">
      <c r="B18" s="353" t="s">
        <v>28</v>
      </c>
      <c r="C18" s="354" t="s">
        <v>14</v>
      </c>
      <c r="D18" s="354" t="s">
        <v>29</v>
      </c>
      <c r="E18" s="588" t="s">
        <v>2116</v>
      </c>
      <c r="F18" s="588" t="s">
        <v>2117</v>
      </c>
      <c r="H18" s="428">
        <f ca="1">IF(開關=TRUE,'庫存管理(Pro)'!B18,0)</f>
        <v>0</v>
      </c>
      <c r="I18" s="429" t="e">
        <f ca="1">VLOOKUP(H18,bond!B:I,8,FALSE)</f>
        <v>#N/A</v>
      </c>
      <c r="J18" s="429" t="e">
        <f ca="1">庫存Pro[[#This Row],[買價]]+VLOOKUP(庫存Pro[[#This Row],[商品代號]],bond!B:K,10,FALSE)</f>
        <v>#N/A</v>
      </c>
      <c r="K18" s="430" t="e">
        <f ca="1">VLOOKUP(H18,'銀行-TSS'!B:E,4,FALSE)</f>
        <v>#N/A</v>
      </c>
      <c r="L18" s="431" t="e">
        <f ca="1">VLOOKUP($H18,'銀行-TSS'!B:G,6,FALSE)</f>
        <v>#N/A</v>
      </c>
      <c r="M18" s="432" t="e">
        <f ca="1">IFERROR(DATEVALUE(VLOOKUP($H18,'銀行-TSS'!B:F,5,FALSE)),VLOOKUP($H18,'銀行-TSS'!B:F,5,FALSE))</f>
        <v>#N/A</v>
      </c>
      <c r="N18" s="433" t="e">
        <f ca="1">VLOOKUP($H18,'銀行-TSS'!B:H,7,FALSE)</f>
        <v>#N/A</v>
      </c>
      <c r="O18" s="433" t="e">
        <f ca="1">庫存Pro[[#This Row],[票面利率]]/庫存Pro[[#This Row],[成本價(不含前手息)]]*100</f>
        <v>#N/A</v>
      </c>
      <c r="P18" s="434" t="str">
        <f ca="1">IFERROR(VLOOKUP($H18,'銀行-TSS'!B:I,8,FALSE),"")</f>
        <v/>
      </c>
      <c r="Q18" s="440" t="str">
        <f ca="1">_xlfn.IFNA(IFERROR(DATEVALUE(VLOOKUP($H18,'銀行-TSS'!B:P,15,FALSE)),VLOOKUP($H18,'銀行-TSS'!B:P,15,FALSE)),"")</f>
        <v/>
      </c>
      <c r="R18" s="570" t="b">
        <f>IF(AND('2_Check_code'!C39,庫存Pro[[#This Row],[投入面額]]&gt;0),TRUE,FALSE)</f>
        <v>0</v>
      </c>
      <c r="S18" s="602">
        <f>'庫存管理(Pro)'!AE18</f>
        <v>0</v>
      </c>
      <c r="T18"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18" s="442" t="str">
        <f ca="1">IFERROR(WORKDAY(庫存Pro[[#This Row],[買進日]],VLOOKUP(庫存Pro[[#This Row],[商品代號]],'1_重設數據'!R:S,2,FALSE),休USD),庫存Pro[[#This Row],[買進日(T+2/公債T+1)]])</f>
        <v/>
      </c>
      <c r="V18" s="43">
        <f>'庫存管理(Pro)'!J18</f>
        <v>0</v>
      </c>
      <c r="W18" s="43">
        <f>'庫存管理(Pro)'!K18</f>
        <v>0</v>
      </c>
      <c r="X18" s="464">
        <f t="shared" ca="1" si="9"/>
        <v>0</v>
      </c>
      <c r="Y18" s="464" t="e">
        <f t="shared" ca="1" si="11"/>
        <v>#N/A</v>
      </c>
      <c r="Z18" s="465" t="e">
        <f t="shared" ca="1" si="12"/>
        <v>#N/A</v>
      </c>
      <c r="AA18" s="474" t="e">
        <f ca="1">IF(MF_Pro=2,庫存Pro[[#This Row],[部位現值(不含前手息)]]-庫存Pro[[#This Row],[持有成本(不含前手息)]],庫存Pro[[#This Row],[部位現值(含前手息)]]-庫存Pro[[#This Row],[持有成本(含前手息)]])</f>
        <v>#N/A</v>
      </c>
      <c r="AB18" s="462">
        <f ca="1">IF(MF_Pro=2,IFERROR(庫存Pro[[#This Row],[資本利損]]/庫存Pro[[#This Row],[持有成本(不含前手息)]],0),IFERROR(庫存Pro[[#This Row],[資本利損]]/庫存Pro[[#This Row],[持有成本(含前手息)]],0))</f>
        <v>0</v>
      </c>
      <c r="AC18" s="618" t="e">
        <f ca="1">庫存Pro[[#This Row],[持有成本(不含前手息)]]/庫存Pro[[#This Row],[投入面額]]*100</f>
        <v>#DIV/0!</v>
      </c>
      <c r="AD18" s="462" t="e">
        <f ca="1">VLOOKUP(庫存Pro[[#This Row],[商品代號]],bond!B:AA,26,FALSE)</f>
        <v>#N/A</v>
      </c>
      <c r="AE18" s="1" t="str">
        <f ca="1">IFERROR(VLOOKUP($H18,'銀行-TSS'!B:Q,16,FALSE),"")</f>
        <v/>
      </c>
      <c r="AF18" s="466" t="e">
        <f t="shared" ca="1" si="13"/>
        <v>#N/A</v>
      </c>
      <c r="AG18" s="458" t="e">
        <f ca="1">IF(OR(庫存Pro[[#This Row],[起息日]]&gt;庫存Pro[[#This Row],[買進前一配息日(複算)]],庫存Pro[[#This Row],[判斷]]=TRUE),庫存Pro[[#This Row],[起息日]],庫存Pro[[#This Row],[買進前一配息日(複算)]])</f>
        <v>#N/A</v>
      </c>
      <c r="AH18" s="577" t="e">
        <f ca="1">VLOOKUP(H18,bond!B:AP,41,FALSE)</f>
        <v>#N/A</v>
      </c>
      <c r="AI18" s="578" t="e">
        <f t="shared" ca="1" si="14"/>
        <v>#N/A</v>
      </c>
      <c r="AJ18" s="579">
        <f ca="1">IFERROR(IF(庫存Pro[[#This Row],[買進日是否落入record date]]=1,庫存Pro[[#This Row],[record date制度前手息]],庫存Pro[[#This Row],[前手息(初算)]]),0)</f>
        <v>0</v>
      </c>
      <c r="AK18" s="579" t="e">
        <f ca="1">IF(OR(庫存Pro[[#This Row],[買進例外調整]]&lt;庫存Pro[[#This Row],[起息日]],庫存Pro[[#This Row],[買進例外調整]]&gt;庫存Pro[[#This Row],[到期日]]),0,IF(庫存Pro[[#This Row],[備註]]&lt;&gt;"",庫存Pro[[#This Row],[買進時前手息]],IFERROR(ROUND(ACCRINT(AG18,AG18,U18,N18,100,P18,AI18,TRUE),4),0)))</f>
        <v>#N/A</v>
      </c>
      <c r="AL18" s="580">
        <f t="shared" ca="1" si="10"/>
        <v>0</v>
      </c>
      <c r="AM18" s="440" t="e">
        <f ca="1">DATEVALUE(VLOOKUP(H18,bond!B:I,7,FALSE))</f>
        <v>#N/A</v>
      </c>
      <c r="AN18"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18" s="579">
        <f ca="1">IFERROR(IF(庫存Pro[[#This Row],[交割日是否落入record date]]=1,庫存Pro[[#This Row],[交_record date制度前手息]],庫存Pro[[#This Row],[計算交割前手息(初算)]]),0)</f>
        <v>0</v>
      </c>
      <c r="AP18"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18" s="579" t="e">
        <f ca="1">IF(庫存Pro[[#This Row],[配息頻率]]=0,0,(100*庫存Pro[[#This Row],[票面利率]]/庫存Pro[[#This Row],[配息頻率]])*庫存Pro[[#This Row],[經過幾次配息]]+庫存Pro[[#This Row],[計算交割前手息(複算)]]-庫存Pro[[#This Row],[計算前手息(複算)]])</f>
        <v>#N/A</v>
      </c>
      <c r="AR18" s="581" t="e">
        <f ca="1">IF(庫存Pro[[#This Row],[商品代號]]="XFM90",0,ROUND(AQ18*V18/100,2))</f>
        <v>#N/A</v>
      </c>
      <c r="AS18" s="582">
        <f ca="1">IF(MF_Pro=2,IFERROR(庫存Pro[[#This Row],[累計配息]]/庫存Pro[[#This Row],[持有成本(不含前手息)]],0),IFERROR(庫存Pro[[#This Row],[已實現配息(原幣)]]/庫存Pro[[#This Row],[持有成本(含前手息)]],0))</f>
        <v>0</v>
      </c>
      <c r="AT18" s="583" t="e">
        <f ca="1">IF(MF_Pro=2,庫存Pro[[#This Row],[資本利損]]+庫存Pro[[#This Row],[累計配息]],庫存Pro[[#This Row],[資本利損]]+庫存Pro[[#This Row],[已實現配息(原幣)]])</f>
        <v>#N/A</v>
      </c>
      <c r="AU18" s="584">
        <f ca="1">IF(MF_Pro=2,IFERROR(庫存Pro[[#This Row],[合計收益]]/庫存Pro[[#This Row],[持有成本(不含前手息)]],0),IFERROR(庫存Pro[[#This Row],[合計收益]]/庫存Pro[[#This Row],[持有成本(含前手息)]],0))</f>
        <v>0</v>
      </c>
      <c r="AV18" s="434" t="e">
        <f t="shared" ca="1" si="0"/>
        <v>#VALUE!</v>
      </c>
      <c r="AW18" s="434" t="e">
        <f t="shared" ca="1" si="1"/>
        <v>#VALUE!</v>
      </c>
      <c r="AX18" s="434">
        <f t="shared" ca="1" si="2"/>
        <v>0</v>
      </c>
      <c r="AY18" s="434">
        <f t="shared" ca="1" si="3"/>
        <v>0</v>
      </c>
      <c r="AZ18" s="441" t="e">
        <f ca="1">IF(AND(庫存Pro[[#This Row],[名稱]]="美國國庫債券",DAY(庫存Pro[[#This Row],[買進前一配息日(初算)]])&gt;=28),EOMONTH(庫存Pro[[#This Row],[買進前一配息日(初算)]],0),庫存Pro[[#This Row],[買進前一配息日(初算)]])</f>
        <v>#N/A</v>
      </c>
      <c r="BA18" s="441" t="e">
        <f t="shared" ca="1" si="4"/>
        <v>#VALUE!</v>
      </c>
      <c r="BB18" s="444" t="e">
        <f t="shared" ca="1" si="5"/>
        <v>#VALUE!</v>
      </c>
      <c r="BC18" s="441" t="e">
        <f ca="1">IF(P18&gt;0,IF(MONTH(DATE(BB18,AV18,DAY(Q18)))&lt;&gt;庫存Pro[[#This Row],[第一個配息月]],DATE(BB18,AV18+1,0),DATE(BB18,AV18,DAY(Q18))),庫存Pro[[#This Row],[買進例外調整]]+100)</f>
        <v>#VALUE!</v>
      </c>
      <c r="BD18" s="441" t="e">
        <f ca="1">IF(AW18&lt;&gt;0,IF(MONTH(DATE(BB18,AW18,DAY(Q18)))&lt;&gt;庫存Pro[[#This Row],[第二個配息月]],DATE(BB18,AW18+1,0),DATE(BB18,AW18,DAY(Q18))),庫存Pro[[#This Row],[買進例外調整]]+100)</f>
        <v>#VALUE!</v>
      </c>
      <c r="BE18" s="441" t="e">
        <f ca="1">IF(AX18&lt;&gt;0,IF(MONTH(DATE(BB18,AX18,DAY(Q18)))&lt;&gt;庫存Pro[[#This Row],[第三個配息月]],DATE(BB18,AX18+1,0),DATE(BB18,AX18,DAY(Q18))),庫存Pro[[#This Row],[買進例外調整]]+100)</f>
        <v>#VALUE!</v>
      </c>
      <c r="BF18" s="441" t="e">
        <f ca="1">IF(AY18&lt;&gt;0,IF(MONTH(DATE(BB18,AY18,DAY(Q18)))&lt;&gt;庫存Pro[[#This Row],[第四個配息月]],DATE(BB18,AY18+1,0),DATE(BB18,AY18,DAY(Q18))),庫存Pro[[#This Row],[買進例外調整]]+100)</f>
        <v>#VALUE!</v>
      </c>
      <c r="BG18" s="441" t="e">
        <f ca="1">IF(P18=1,IF(MONTH(DATE(BB18-1,AV18,DAY(Q18)))&lt;&gt;庫存Pro[[#This Row],[第一個配息月]],DATE(BB18-1,AV18+1,0),DATE(BB18-1,AV18,DAY(Q18))),IF(P18=2,IF(MONTH(DATE(BB18-1,AW18,DAY(Q18)))&lt;&gt;庫存Pro[[#This Row],[第二個配息月]],DATE(BB18-1,AW18+1,0),DATE(BB18-1,AW18,DAY(Q18))),IF(P18=4,IF(MONTH(DATE(BB18-1,AY18,DAY(Q18)))&lt;&gt;庫存Pro[[#This Row],[第四個配息月]],DATE(BB18-1,AY18+1,0),DATE(BB18-1,AY18,DAY(Q18))),庫存Pro[[#This Row],[買進例外調整]]+100)))</f>
        <v>#VALUE!</v>
      </c>
      <c r="BH18" s="445">
        <f t="shared" ca="1" si="15"/>
        <v>10000</v>
      </c>
      <c r="BI18" s="445">
        <f t="shared" ca="1" si="16"/>
        <v>10000</v>
      </c>
      <c r="BJ18" s="445">
        <f t="shared" ca="1" si="17"/>
        <v>10000</v>
      </c>
      <c r="BK18" s="445">
        <f t="shared" ca="1" si="18"/>
        <v>10000</v>
      </c>
      <c r="BL18" s="455">
        <f t="shared" ca="1" si="19"/>
        <v>10000</v>
      </c>
      <c r="BM18" s="479" t="e">
        <f ca="1">庫存Pro[[#This Row],[年度配息]]/庫存Pro[[#This Row],[配息頻率]]</f>
        <v>#N/A</v>
      </c>
      <c r="BN18" s="479" t="e">
        <f ca="1">庫存Pro[[#This Row],[單次配息(原幣)]]*庫存Pro[[#This Row],[換算匯率(現)]]</f>
        <v>#N/A</v>
      </c>
      <c r="BO18" s="479" t="str">
        <f ca="1">IFERROR(VLOOKUP($H18,'銀行-TSS'!B:C,2,FALSE),"")</f>
        <v/>
      </c>
      <c r="BP18" s="479" t="e">
        <f ca="1">VLOOKUP(庫存Pro[[#This Row],[幣別]],$B$37:$C$43,2,FALSE)</f>
        <v>#N/A</v>
      </c>
      <c r="BQ18" s="500" t="e">
        <f ca="1">CHOOSE(庫存Pro[[#This Row],[對應編碼]],$D$37,$D$38,$D$39,$D$40,$D$41,$D$42,$D$43)</f>
        <v>#N/A</v>
      </c>
      <c r="BR18" s="500" t="e">
        <f ca="1">CHOOSE(庫存Pro[[#This Row],[對應編碼]],$E$37,$E$38,$E$39,$E$40,$E$41,$E$42,$E$43)</f>
        <v>#N/A</v>
      </c>
      <c r="BS18" s="595" t="e">
        <f ca="1">庫存Pro[[#This Row],[投入面額]]*庫存Pro[[#This Row],[換算匯率(現)]]</f>
        <v>#N/A</v>
      </c>
      <c r="BT18" s="595" t="e">
        <f ca="1">庫存Pro[[#This Row],[持有成本(含前手息)]]*庫存Pro[[#This Row],[換算匯率(買)]]</f>
        <v>#N/A</v>
      </c>
      <c r="BU18" s="498" t="e">
        <f ca="1">庫存Pro[[#This Row],[持有成本(不含前手息)]]*庫存Pro[[#This Row],[換算匯率(買)]]</f>
        <v>#N/A</v>
      </c>
      <c r="BV18" s="498" t="e">
        <f ca="1">庫存Pro[[#This Row],[部位現值(含前手息)]]*庫存Pro[[#This Row],[換算匯率(現)]]</f>
        <v>#N/A</v>
      </c>
      <c r="BW18" s="498" t="e">
        <f ca="1">庫存Pro[[#This Row],[部位現值(不含前手息)]]*庫存Pro[[#This Row],[換算匯率(現)]]</f>
        <v>#N/A</v>
      </c>
      <c r="BX18" s="498" t="e">
        <f ca="1">IF(MF_Pro=2,庫存Pro[[#This Row],[累計配息]]*庫存Pro[[#This Row],[換算匯率(現)]],庫存Pro[[#This Row],[已實現配息(原幣)]]*庫存Pro[[#This Row],[換算匯率(現)]])</f>
        <v>#N/A</v>
      </c>
      <c r="BY18" s="498" t="e">
        <f ca="1">庫存Pro[[#This Row],[資本利損]]*庫存Pro[[#This Row],[換算匯率(現)]]</f>
        <v>#N/A</v>
      </c>
      <c r="BZ18" s="498" t="e">
        <f ca="1">庫存Pro[[#This Row],[累計利息(台)]]+庫存Pro[[#This Row],[資本貢獻(台)]]</f>
        <v>#N/A</v>
      </c>
      <c r="CA18" s="574">
        <f ca="1">IFERROR(庫存Pro[[#This Row],[配息報酬]],0)</f>
        <v>0</v>
      </c>
      <c r="CB18" s="574">
        <f ca="1">庫存Pro[[#This Row],[資本報酬]]</f>
        <v>0</v>
      </c>
      <c r="CC18" s="574">
        <f ca="1">IFERROR(庫存Pro[[#This Row],[換匯總報酬率]]-(庫存Pro[[#This Row],[配息報酬率]]+庫存Pro[[#This Row],[資本報酬率]]),0)</f>
        <v>0</v>
      </c>
      <c r="CD18" s="574">
        <f ca="1">IF(MF_Pro=2,IFERROR((庫存Pro[[#This Row],[參考贖回金額(現)]]+庫存Pro[[#This Row],[累計利息(台)]])/庫存Pro[[#This Row],[淨投入成本(買)]]-1,0),IFERROR(((庫存Pro[[#This Row],[參考贖回金額含前手息(現)]]+庫存Pro[[#This Row],[累計利息(台)]])/庫存Pro[[#This Row],[庫存成本(買)]])-1,0))</f>
        <v>0</v>
      </c>
      <c r="CE18" s="585">
        <f t="shared" ca="1" si="7"/>
        <v>0</v>
      </c>
      <c r="CF18" s="574">
        <f t="shared" ca="1" si="8"/>
        <v>0</v>
      </c>
      <c r="CG18"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18" s="646" t="e">
        <f ca="1">DATEDIF(庫存Pro[[#This Row],[買進例外調整]],庫存Pro[[#This Row],[到期日]],"d")/365.25</f>
        <v>#VALUE!</v>
      </c>
      <c r="CI18" s="739" t="e">
        <f ca="1">DATEVALUE(VLOOKUP(庫存Pro[[#This Row],[商品代號]],bond!B:AF,31,FALSE))</f>
        <v>#N/A</v>
      </c>
      <c r="CJ18" s="739" t="e">
        <f ca="1">IF(庫存Pro[[#This Row],[買下配(國調)]]&lt;庫存Pro[[#This Row],[第一票息日]],庫存Pro[[#This Row],[第一票息日]],庫存Pro[[#This Row],[買下配(國調)]])</f>
        <v>#N/A</v>
      </c>
      <c r="CK18"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18"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18" s="646">
        <f ca="1">IF(庫存Pro[[#This Row],[商品代號]]="XFM90",0,IFERROR(庫存Pro[[#This Row],[單次配息(原幣)]]*庫存Pro[[#This Row],[經過幾次配息]],0))</f>
        <v>0</v>
      </c>
      <c r="CN18" s="646" t="e">
        <f ca="1">VLOOKUP(庫存Pro[[#This Row],[商品代號]],bond!B:F,5,FALSE)</f>
        <v>#N/A</v>
      </c>
      <c r="CO18" s="739" t="str">
        <f ca="1">IFERROR(VLOOKUP(庫存Pro[[#This Row],[ISIN]],'7_發行日例外'!A:C,3,FALSE),IFERROR(DATEVALUE(VLOOKUP(庫存Pro[[#This Row],[商品代號]],bond!B:AR,43,FALSE)),""))</f>
        <v/>
      </c>
      <c r="CP18" s="646" t="e">
        <f ca="1">DATEDIF(庫存Pro[[#This Row],[起息日]],庫存Pro[[#This Row],[買進前一配息日(複算)]],"d")</f>
        <v>#VALUE!</v>
      </c>
      <c r="CQ18"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8" s="739" t="e">
        <f ca="1">IFERROR(VLOOKUP(庫存Pro[[#This Row],[ISIN]],'7_發行日例外'!A:D,4,FALSE),DATEVALUE(VLOOKUP(庫存Pro[[#This Row],[商品代號]],bond!B:AV,44,FALSE)))</f>
        <v>#N/A</v>
      </c>
      <c r="CS18" s="646" t="e">
        <f ca="1">VLOOKUP(庫存Pro[[#This Row],[商品代號]],bond!B:AU,46,FALSE)</f>
        <v>#N/A</v>
      </c>
      <c r="CT18" s="646" t="e">
        <f ca="1">IF(庫存Pro[[#This Row],[計息基礎]]=1,CHOOSE(庫存Pro[[#This Row],[對應編碼]],"沒進位","","沒進位",IF(庫存Pro[[#This Row],[計算類型]]="AUSTRALIA:EX-DIV","4捨五入進0.01%","沒進位"),"年/2去計算ACT","沒進位","沒進位"),"")</f>
        <v>#N/A</v>
      </c>
      <c r="CU18" s="646" t="e">
        <f ca="1">_xlfn.DAYS(庫存Pro[[#This Row],[買進例外調整]],庫存Pro[[#This Row],[買進前一個配息日(最終)]])</f>
        <v>#N/A</v>
      </c>
      <c r="CV18" s="646" t="e">
        <f ca="1">IF(庫存Pro[[#This Row],[備註]]="年/2去計算ACT",365/2,_xlfn.DAYS(庫存Pro[[#This Row],[買進時的下個配息日]],庫存Pro[[#This Row],[買進前一個配息日(最終)]]))</f>
        <v>#N/A</v>
      </c>
      <c r="CW18"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18" s="768" t="e">
        <f ca="1">_xlfn.DAYS(庫存Pro[[#This Row],[交割日]],庫存Pro[[#This Row],[買進前一個配息日(最終)]])</f>
        <v>#N/A</v>
      </c>
      <c r="CY18"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18" s="768" t="e">
        <f ca="1">_xlfn.DAYS(庫存Pro[[#This Row],[交割日]],庫存Pro[[#This Row],[最近的上一票息日]])</f>
        <v>#N/A</v>
      </c>
      <c r="DA18" s="768" t="e">
        <f ca="1">IF(庫存Pro[[#This Row],[備註]]="年/2去計算ACT",365/2,_xlfn.DAYS(庫存Pro[[#This Row],[下一配息日]],庫存Pro[[#This Row],[最近的上一票息日]]))</f>
        <v>#N/A</v>
      </c>
      <c r="DB18"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18" s="739" t="e">
        <f ca="1">CJ18-庫存Pro[[#This Row],[ex_div_days]]</f>
        <v>#N/A</v>
      </c>
      <c r="DD18" s="646" t="e">
        <f ca="1">IF(VLOOKUP(庫存Pro[[#This Row],[商品代號]],bond!B:AT,45,FALSE)="#N/A Field Not Applicable",0,VLOOKUP(庫存Pro[[#This Row],[商品代號]],bond!B:AT,45,FALSE))</f>
        <v>#N/A</v>
      </c>
      <c r="DE18" s="793" t="e">
        <f ca="1">IF(庫存Pro[[#This Row],[ex_div_days]]&lt;&gt;0,IF(AND(庫存Pro[[#This Row],[買進例外調整]]-庫存Pro[[#This Row],[買進下一個配息日先減n天]]&gt;=0,庫存Pro[[#This Row],[買進時的下個配息日]]-庫存Pro[[#This Row],[買進例外調整]]&gt;0),1,0),0)</f>
        <v>#N/A</v>
      </c>
      <c r="DF18" s="784" t="e">
        <f ca="1">IF(庫存Pro[[#This Row],[對應編碼]]=4,ROUND(庫存Pro[[#This Row],[前手息(初算)]]-庫存Pro[[#This Row],[票面利率]]/庫存Pro[[#This Row],[配息頻率]]*100,3),ROUND(庫存Pro[[#This Row],[前手息(初算)]]-庫存Pro[[#This Row],[票面利率]]/庫存Pro[[#This Row],[配息頻率]]*100,4))</f>
        <v>#N/A</v>
      </c>
      <c r="DG18" s="734" t="e">
        <f ca="1">庫存Pro[[#This Row],[下一配息日]]-庫存Pro[[#This Row],[ex_div_days]]</f>
        <v>#VALUE!</v>
      </c>
      <c r="DH18" s="1084" t="e">
        <f ca="1">IF(庫存Pro[[#This Row],[ex_div_days]]&lt;&gt;0,IF(AND(庫存Pro[[#This Row],[交割日]]-庫存Pro[[#This Row],[交割下個配息日先減n天]]&gt;=0,庫存Pro[[#This Row],[下一配息日]]-庫存Pro[[#This Row],[交割日]]&gt;0),1,0),0)</f>
        <v>#N/A</v>
      </c>
      <c r="DI18"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18" s="33"/>
      <c r="DK18" s="33"/>
      <c r="DL18" s="33"/>
      <c r="DM18" s="33"/>
      <c r="DN18" s="33"/>
      <c r="DO18" s="33"/>
      <c r="DP18" s="33"/>
      <c r="DQ18" s="33"/>
      <c r="DR18" s="33"/>
      <c r="DS18" s="33"/>
      <c r="DT18" s="33"/>
      <c r="DU18" s="33"/>
      <c r="DV18" s="33"/>
      <c r="DW18" s="33"/>
      <c r="DX18" s="33"/>
      <c r="DY18" s="33"/>
      <c r="DZ18" s="33"/>
      <c r="EA18" s="33"/>
      <c r="EB18" s="33"/>
      <c r="EC18" s="33"/>
      <c r="ED18" s="33"/>
      <c r="EE18" s="33"/>
      <c r="EF18" s="33"/>
      <c r="EG18" s="33"/>
      <c r="EH18" s="33"/>
      <c r="EI18" s="33"/>
      <c r="EJ18" s="33"/>
      <c r="EK18" s="33"/>
      <c r="EL18" s="33"/>
      <c r="EM18" s="33"/>
      <c r="EN18" s="33"/>
      <c r="EO18" s="33"/>
      <c r="EP18" s="33"/>
      <c r="EQ18" s="33"/>
      <c r="ER18" s="33"/>
      <c r="ES18" s="33"/>
      <c r="ET18" s="33"/>
      <c r="EU18" s="33"/>
      <c r="EV18" s="33"/>
      <c r="EW18" s="33"/>
      <c r="EX18" s="33"/>
      <c r="EY18" s="33"/>
      <c r="EZ18" s="33"/>
      <c r="FA18" s="33"/>
      <c r="FB18" s="33"/>
      <c r="FC18" s="33"/>
      <c r="FD18" s="33"/>
      <c r="FE18" s="33"/>
      <c r="FF18" s="33"/>
      <c r="FG18" s="33"/>
      <c r="FH18" s="33"/>
      <c r="FI18" s="33"/>
      <c r="FJ18" s="33"/>
      <c r="FK18" s="33"/>
      <c r="FL18" s="33"/>
      <c r="FM18" s="33"/>
      <c r="FN18" s="33"/>
      <c r="FO18" s="33"/>
      <c r="FP18" s="33"/>
      <c r="FQ18" s="33"/>
      <c r="FR18" s="33"/>
      <c r="FS18" s="33"/>
      <c r="FT18" s="33"/>
      <c r="FU18" s="33"/>
      <c r="FV18" s="33"/>
      <c r="FW18" s="33"/>
      <c r="FX18" s="33"/>
      <c r="FY18" s="33"/>
      <c r="FZ18" s="33"/>
      <c r="GA18" s="33"/>
      <c r="GB18" s="33"/>
      <c r="GC18" s="33"/>
      <c r="GD18" s="33"/>
      <c r="GE18" s="33"/>
      <c r="GF18" s="33"/>
      <c r="GG18" s="33"/>
      <c r="GH18" s="33"/>
      <c r="GI18" s="33"/>
      <c r="GJ18" s="33"/>
      <c r="GK18" s="33"/>
      <c r="GL18" s="33"/>
      <c r="GM18" s="33"/>
      <c r="GN18" s="33"/>
      <c r="GO18" s="33"/>
      <c r="GP18" s="33"/>
      <c r="GQ18" s="33"/>
      <c r="GR18" s="33"/>
      <c r="GS18" s="33"/>
      <c r="GT18" s="33"/>
      <c r="GU18" s="33"/>
      <c r="GV18" s="33"/>
      <c r="GW18" s="33"/>
      <c r="GX18" s="33"/>
      <c r="GY18" s="33"/>
      <c r="GZ18" s="33"/>
      <c r="HA18" s="33"/>
      <c r="HB18" s="33"/>
      <c r="HC18" s="33"/>
      <c r="HD18" s="33"/>
      <c r="HE18" s="33"/>
      <c r="HF18" s="33"/>
      <c r="HG18" s="33"/>
      <c r="HH18" s="33"/>
      <c r="HI18" s="33"/>
      <c r="HJ18" s="33"/>
      <c r="HK18" s="33"/>
      <c r="HL18" s="33"/>
      <c r="HM18" s="33"/>
      <c r="HN18" s="33"/>
      <c r="HO18" s="33"/>
      <c r="HP18" s="33"/>
      <c r="HQ18" s="33"/>
      <c r="HR18" s="33"/>
      <c r="HS18" s="33"/>
      <c r="HT18" s="33"/>
      <c r="HU18" s="33"/>
      <c r="HV18" s="33"/>
      <c r="HW18" s="33"/>
      <c r="HX18" s="33"/>
      <c r="HY18" s="33"/>
      <c r="HZ18" s="33"/>
      <c r="IA18" s="33"/>
      <c r="IB18" s="33"/>
      <c r="IC18" s="33"/>
      <c r="ID18" s="33"/>
      <c r="IE18" s="33"/>
    </row>
    <row r="19" spans="2:239" ht="19.5" customHeight="1">
      <c r="B19" s="12">
        <v>1</v>
      </c>
      <c r="C19" s="604">
        <f ca="1">CHOOSE($C$16,F19,E19)</f>
        <v>500613</v>
      </c>
      <c r="D19" s="26" t="s">
        <v>1788</v>
      </c>
      <c r="E19" s="702">
        <f t="shared" ref="E19:E30" ca="1" si="20">SUMIFS($BM$7:$BM$36,$AV$7:$AV$36,$B19)+SUMIFS($BM$7:$BM$36,$AW$7:$AW$36,$B19)+SUMIFS($BM$7:$BM$36,$AX$7:$AX$36,$B19)+SUMIFS($BM$7:$BM$36,$AY$7:$AY$36,$B19)</f>
        <v>15412.5</v>
      </c>
      <c r="F19" s="701">
        <f t="shared" ref="F19:F30" ca="1" si="21">ROUND(SUMIFS($BN$7:$BN$36,$AV$7:$AV$36,$B19)+SUMIFS($BN$7:$BN$36,$AW$7:$AW$36,$B19)+SUMIFS($BN$7:$BN$36,$AX$7:$AX$36,$B19)+SUMIFS($BN$7:$BN$36,$AY$7:$AY$36,$B19),0)</f>
        <v>500613</v>
      </c>
      <c r="G19" s="605" t="str">
        <f ca="1">IF($C$16=1,TEXT(C19,"#,##0"),TEXT(C19,"#,##0"))</f>
        <v>500,613</v>
      </c>
      <c r="H19" s="428">
        <f ca="1">IF(開關=TRUE,'庫存管理(Pro)'!B19,0)</f>
        <v>0</v>
      </c>
      <c r="I19" s="429" t="e">
        <f ca="1">VLOOKUP(H19,bond!B:I,8,FALSE)</f>
        <v>#N/A</v>
      </c>
      <c r="J19" s="429" t="e">
        <f ca="1">庫存Pro[[#This Row],[買價]]+VLOOKUP(庫存Pro[[#This Row],[商品代號]],bond!B:K,10,FALSE)</f>
        <v>#N/A</v>
      </c>
      <c r="K19" s="430" t="e">
        <f ca="1">VLOOKUP(H19,'銀行-TSS'!B:E,4,FALSE)</f>
        <v>#N/A</v>
      </c>
      <c r="L19" s="431" t="e">
        <f ca="1">VLOOKUP($H19,'銀行-TSS'!B:G,6,FALSE)</f>
        <v>#N/A</v>
      </c>
      <c r="M19" s="432" t="e">
        <f ca="1">IFERROR(DATEVALUE(VLOOKUP($H19,'銀行-TSS'!B:F,5,FALSE)),VLOOKUP($H19,'銀行-TSS'!B:F,5,FALSE))</f>
        <v>#N/A</v>
      </c>
      <c r="N19" s="433" t="e">
        <f ca="1">VLOOKUP($H19,'銀行-TSS'!B:H,7,FALSE)</f>
        <v>#N/A</v>
      </c>
      <c r="O19" s="433" t="e">
        <f ca="1">庫存Pro[[#This Row],[票面利率]]/庫存Pro[[#This Row],[成本價(不含前手息)]]*100</f>
        <v>#N/A</v>
      </c>
      <c r="P19" s="434" t="str">
        <f ca="1">IFERROR(VLOOKUP($H19,'銀行-TSS'!B:I,8,FALSE),"")</f>
        <v/>
      </c>
      <c r="Q19" s="440" t="str">
        <f ca="1">_xlfn.IFNA(IFERROR(DATEVALUE(VLOOKUP($H19,'銀行-TSS'!B:P,15,FALSE)),VLOOKUP($H19,'銀行-TSS'!B:P,15,FALSE)),"")</f>
        <v/>
      </c>
      <c r="R19" s="570" t="b">
        <f>IF(AND('2_Check_code'!C40,庫存Pro[[#This Row],[投入面額]]&gt;0),TRUE,FALSE)</f>
        <v>0</v>
      </c>
      <c r="S19" s="602">
        <f>'庫存管理(Pro)'!AE19</f>
        <v>0</v>
      </c>
      <c r="T19"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19" s="442" t="str">
        <f ca="1">IFERROR(WORKDAY(庫存Pro[[#This Row],[買進日]],VLOOKUP(庫存Pro[[#This Row],[商品代號]],'1_重設數據'!R:S,2,FALSE),休USD),庫存Pro[[#This Row],[買進日(T+2/公債T+1)]])</f>
        <v/>
      </c>
      <c r="V19" s="43">
        <f>'庫存管理(Pro)'!J19</f>
        <v>0</v>
      </c>
      <c r="W19" s="43">
        <f>'庫存管理(Pro)'!K19</f>
        <v>0</v>
      </c>
      <c r="X19" s="464">
        <f t="shared" ca="1" si="9"/>
        <v>0</v>
      </c>
      <c r="Y19" s="464" t="e">
        <f t="shared" ca="1" si="11"/>
        <v>#N/A</v>
      </c>
      <c r="Z19" s="465" t="e">
        <f t="shared" ca="1" si="12"/>
        <v>#N/A</v>
      </c>
      <c r="AA19" s="474" t="e">
        <f ca="1">IF(MF_Pro=2,庫存Pro[[#This Row],[部位現值(不含前手息)]]-庫存Pro[[#This Row],[持有成本(不含前手息)]],庫存Pro[[#This Row],[部位現值(含前手息)]]-庫存Pro[[#This Row],[持有成本(含前手息)]])</f>
        <v>#N/A</v>
      </c>
      <c r="AB19" s="462">
        <f ca="1">IF(MF_Pro=2,IFERROR(庫存Pro[[#This Row],[資本利損]]/庫存Pro[[#This Row],[持有成本(不含前手息)]],0),IFERROR(庫存Pro[[#This Row],[資本利損]]/庫存Pro[[#This Row],[持有成本(含前手息)]],0))</f>
        <v>0</v>
      </c>
      <c r="AC19" s="618" t="e">
        <f ca="1">庫存Pro[[#This Row],[持有成本(不含前手息)]]/庫存Pro[[#This Row],[投入面額]]*100</f>
        <v>#DIV/0!</v>
      </c>
      <c r="AD19" s="462" t="e">
        <f ca="1">VLOOKUP(庫存Pro[[#This Row],[商品代號]],bond!B:AA,26,FALSE)</f>
        <v>#N/A</v>
      </c>
      <c r="AE19" s="1" t="str">
        <f ca="1">IFERROR(VLOOKUP($H19,'銀行-TSS'!B:Q,16,FALSE),"")</f>
        <v/>
      </c>
      <c r="AF19" s="466" t="e">
        <f t="shared" ca="1" si="13"/>
        <v>#N/A</v>
      </c>
      <c r="AG19" s="458" t="e">
        <f ca="1">IF(OR(庫存Pro[[#This Row],[起息日]]&gt;庫存Pro[[#This Row],[買進前一配息日(複算)]],庫存Pro[[#This Row],[判斷]]=TRUE),庫存Pro[[#This Row],[起息日]],庫存Pro[[#This Row],[買進前一配息日(複算)]])</f>
        <v>#N/A</v>
      </c>
      <c r="AH19" s="577" t="e">
        <f ca="1">VLOOKUP(H19,bond!B:AP,41,FALSE)</f>
        <v>#N/A</v>
      </c>
      <c r="AI19" s="578" t="e">
        <f t="shared" ca="1" si="14"/>
        <v>#N/A</v>
      </c>
      <c r="AJ19" s="579">
        <f ca="1">IFERROR(IF(庫存Pro[[#This Row],[買進日是否落入record date]]=1,庫存Pro[[#This Row],[record date制度前手息]],庫存Pro[[#This Row],[前手息(初算)]]),0)</f>
        <v>0</v>
      </c>
      <c r="AK19" s="579" t="e">
        <f ca="1">IF(OR(庫存Pro[[#This Row],[買進例外調整]]&lt;庫存Pro[[#This Row],[起息日]],庫存Pro[[#This Row],[買進例外調整]]&gt;庫存Pro[[#This Row],[到期日]]),0,IF(庫存Pro[[#This Row],[備註]]&lt;&gt;"",庫存Pro[[#This Row],[買進時前手息]],IFERROR(ROUND(ACCRINT(AG19,AG19,U19,N19,100,P19,AI19,TRUE),4),0)))</f>
        <v>#N/A</v>
      </c>
      <c r="AL19" s="580">
        <f t="shared" ca="1" si="10"/>
        <v>0</v>
      </c>
      <c r="AM19" s="440" t="e">
        <f ca="1">DATEVALUE(VLOOKUP(H19,bond!B:I,7,FALSE))</f>
        <v>#N/A</v>
      </c>
      <c r="AN19"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19" s="579">
        <f ca="1">IFERROR(IF(庫存Pro[[#This Row],[交割日是否落入record date]]=1,庫存Pro[[#This Row],[交_record date制度前手息]],庫存Pro[[#This Row],[計算交割前手息(初算)]]),0)</f>
        <v>0</v>
      </c>
      <c r="AP19"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19" s="579" t="e">
        <f ca="1">IF(庫存Pro[[#This Row],[配息頻率]]=0,0,(100*庫存Pro[[#This Row],[票面利率]]/庫存Pro[[#This Row],[配息頻率]])*庫存Pro[[#This Row],[經過幾次配息]]+庫存Pro[[#This Row],[計算交割前手息(複算)]]-庫存Pro[[#This Row],[計算前手息(複算)]])</f>
        <v>#N/A</v>
      </c>
      <c r="AR19" s="581" t="e">
        <f ca="1">IF(庫存Pro[[#This Row],[商品代號]]="XFM90",0,ROUND(AQ19*V19/100,2))</f>
        <v>#N/A</v>
      </c>
      <c r="AS19" s="582">
        <f ca="1">IF(MF_Pro=2,IFERROR(庫存Pro[[#This Row],[累計配息]]/庫存Pro[[#This Row],[持有成本(不含前手息)]],0),IFERROR(庫存Pro[[#This Row],[已實現配息(原幣)]]/庫存Pro[[#This Row],[持有成本(含前手息)]],0))</f>
        <v>0</v>
      </c>
      <c r="AT19" s="583" t="e">
        <f ca="1">IF(MF_Pro=2,庫存Pro[[#This Row],[資本利損]]+庫存Pro[[#This Row],[累計配息]],庫存Pro[[#This Row],[資本利損]]+庫存Pro[[#This Row],[已實現配息(原幣)]])</f>
        <v>#N/A</v>
      </c>
      <c r="AU19" s="584">
        <f ca="1">IF(MF_Pro=2,IFERROR(庫存Pro[[#This Row],[合計收益]]/庫存Pro[[#This Row],[持有成本(不含前手息)]],0),IFERROR(庫存Pro[[#This Row],[合計收益]]/庫存Pro[[#This Row],[持有成本(含前手息)]],0))</f>
        <v>0</v>
      </c>
      <c r="AV19" s="434" t="e">
        <f t="shared" ca="1" si="0"/>
        <v>#VALUE!</v>
      </c>
      <c r="AW19" s="434" t="e">
        <f t="shared" ca="1" si="1"/>
        <v>#VALUE!</v>
      </c>
      <c r="AX19" s="434">
        <f t="shared" ca="1" si="2"/>
        <v>0</v>
      </c>
      <c r="AY19" s="434">
        <f t="shared" ca="1" si="3"/>
        <v>0</v>
      </c>
      <c r="AZ19" s="441" t="e">
        <f ca="1">IF(AND(庫存Pro[[#This Row],[名稱]]="美國國庫債券",DAY(庫存Pro[[#This Row],[買進前一配息日(初算)]])&gt;=28),EOMONTH(庫存Pro[[#This Row],[買進前一配息日(初算)]],0),庫存Pro[[#This Row],[買進前一配息日(初算)]])</f>
        <v>#N/A</v>
      </c>
      <c r="BA19" s="441" t="e">
        <f t="shared" ca="1" si="4"/>
        <v>#VALUE!</v>
      </c>
      <c r="BB19" s="444" t="e">
        <f t="shared" ca="1" si="5"/>
        <v>#VALUE!</v>
      </c>
      <c r="BC19" s="441" t="e">
        <f ca="1">IF(P19&gt;0,IF(MONTH(DATE(BB19,AV19,DAY(Q19)))&lt;&gt;庫存Pro[[#This Row],[第一個配息月]],DATE(BB19,AV19+1,0),DATE(BB19,AV19,DAY(Q19))),庫存Pro[[#This Row],[買進例外調整]]+100)</f>
        <v>#VALUE!</v>
      </c>
      <c r="BD19" s="441" t="e">
        <f ca="1">IF(AW19&lt;&gt;0,IF(MONTH(DATE(BB19,AW19,DAY(Q19)))&lt;&gt;庫存Pro[[#This Row],[第二個配息月]],DATE(BB19,AW19+1,0),DATE(BB19,AW19,DAY(Q19))),庫存Pro[[#This Row],[買進例外調整]]+100)</f>
        <v>#VALUE!</v>
      </c>
      <c r="BE19" s="441" t="e">
        <f ca="1">IF(AX19&lt;&gt;0,IF(MONTH(DATE(BB19,AX19,DAY(Q19)))&lt;&gt;庫存Pro[[#This Row],[第三個配息月]],DATE(BB19,AX19+1,0),DATE(BB19,AX19,DAY(Q19))),庫存Pro[[#This Row],[買進例外調整]]+100)</f>
        <v>#VALUE!</v>
      </c>
      <c r="BF19" s="441" t="e">
        <f ca="1">IF(AY19&lt;&gt;0,IF(MONTH(DATE(BB19,AY19,DAY(Q19)))&lt;&gt;庫存Pro[[#This Row],[第四個配息月]],DATE(BB19,AY19+1,0),DATE(BB19,AY19,DAY(Q19))),庫存Pro[[#This Row],[買進例外調整]]+100)</f>
        <v>#VALUE!</v>
      </c>
      <c r="BG19" s="441" t="e">
        <f ca="1">IF(P19=1,IF(MONTH(DATE(BB19-1,AV19,DAY(Q19)))&lt;&gt;庫存Pro[[#This Row],[第一個配息月]],DATE(BB19-1,AV19+1,0),DATE(BB19-1,AV19,DAY(Q19))),IF(P19=2,IF(MONTH(DATE(BB19-1,AW19,DAY(Q19)))&lt;&gt;庫存Pro[[#This Row],[第二個配息月]],DATE(BB19-1,AW19+1,0),DATE(BB19-1,AW19,DAY(Q19))),IF(P19=4,IF(MONTH(DATE(BB19-1,AY19,DAY(Q19)))&lt;&gt;庫存Pro[[#This Row],[第四個配息月]],DATE(BB19-1,AY19+1,0),DATE(BB19-1,AY19,DAY(Q19))),庫存Pro[[#This Row],[買進例外調整]]+100)))</f>
        <v>#VALUE!</v>
      </c>
      <c r="BH19" s="445">
        <f t="shared" ca="1" si="15"/>
        <v>10000</v>
      </c>
      <c r="BI19" s="445">
        <f t="shared" ca="1" si="16"/>
        <v>10000</v>
      </c>
      <c r="BJ19" s="445">
        <f t="shared" ca="1" si="17"/>
        <v>10000</v>
      </c>
      <c r="BK19" s="445">
        <f t="shared" ca="1" si="18"/>
        <v>10000</v>
      </c>
      <c r="BL19" s="455">
        <f t="shared" ca="1" si="19"/>
        <v>10000</v>
      </c>
      <c r="BM19" s="479" t="e">
        <f ca="1">庫存Pro[[#This Row],[年度配息]]/庫存Pro[[#This Row],[配息頻率]]</f>
        <v>#N/A</v>
      </c>
      <c r="BN19" s="479" t="e">
        <f ca="1">庫存Pro[[#This Row],[單次配息(原幣)]]*庫存Pro[[#This Row],[換算匯率(現)]]</f>
        <v>#N/A</v>
      </c>
      <c r="BO19" s="479" t="str">
        <f ca="1">IFERROR(VLOOKUP($H19,'銀行-TSS'!B:C,2,FALSE),"")</f>
        <v/>
      </c>
      <c r="BP19" s="479" t="e">
        <f ca="1">VLOOKUP(庫存Pro[[#This Row],[幣別]],$B$37:$C$43,2,FALSE)</f>
        <v>#N/A</v>
      </c>
      <c r="BQ19" s="500" t="e">
        <f ca="1">CHOOSE(庫存Pro[[#This Row],[對應編碼]],$D$37,$D$38,$D$39,$D$40,$D$41,$D$42,$D$43)</f>
        <v>#N/A</v>
      </c>
      <c r="BR19" s="500" t="e">
        <f ca="1">CHOOSE(庫存Pro[[#This Row],[對應編碼]],$E$37,$E$38,$E$39,$E$40,$E$41,$E$42,$E$43)</f>
        <v>#N/A</v>
      </c>
      <c r="BS19" s="595" t="e">
        <f ca="1">庫存Pro[[#This Row],[投入面額]]*庫存Pro[[#This Row],[換算匯率(現)]]</f>
        <v>#N/A</v>
      </c>
      <c r="BT19" s="595" t="e">
        <f ca="1">庫存Pro[[#This Row],[持有成本(含前手息)]]*庫存Pro[[#This Row],[換算匯率(買)]]</f>
        <v>#N/A</v>
      </c>
      <c r="BU19" s="498" t="e">
        <f ca="1">庫存Pro[[#This Row],[持有成本(不含前手息)]]*庫存Pro[[#This Row],[換算匯率(買)]]</f>
        <v>#N/A</v>
      </c>
      <c r="BV19" s="498" t="e">
        <f ca="1">庫存Pro[[#This Row],[部位現值(含前手息)]]*庫存Pro[[#This Row],[換算匯率(現)]]</f>
        <v>#N/A</v>
      </c>
      <c r="BW19" s="498" t="e">
        <f ca="1">庫存Pro[[#This Row],[部位現值(不含前手息)]]*庫存Pro[[#This Row],[換算匯率(現)]]</f>
        <v>#N/A</v>
      </c>
      <c r="BX19" s="498" t="e">
        <f ca="1">IF(MF_Pro=2,庫存Pro[[#This Row],[累計配息]]*庫存Pro[[#This Row],[換算匯率(現)]],庫存Pro[[#This Row],[已實現配息(原幣)]]*庫存Pro[[#This Row],[換算匯率(現)]])</f>
        <v>#N/A</v>
      </c>
      <c r="BY19" s="498" t="e">
        <f ca="1">庫存Pro[[#This Row],[資本利損]]*庫存Pro[[#This Row],[換算匯率(現)]]</f>
        <v>#N/A</v>
      </c>
      <c r="BZ19" s="498" t="e">
        <f ca="1">庫存Pro[[#This Row],[累計利息(台)]]+庫存Pro[[#This Row],[資本貢獻(台)]]</f>
        <v>#N/A</v>
      </c>
      <c r="CA19" s="574">
        <f ca="1">IFERROR(庫存Pro[[#This Row],[配息報酬]],0)</f>
        <v>0</v>
      </c>
      <c r="CB19" s="574">
        <f ca="1">庫存Pro[[#This Row],[資本報酬]]</f>
        <v>0</v>
      </c>
      <c r="CC19" s="574">
        <f ca="1">IFERROR(庫存Pro[[#This Row],[換匯總報酬率]]-(庫存Pro[[#This Row],[配息報酬率]]+庫存Pro[[#This Row],[資本報酬率]]),0)</f>
        <v>0</v>
      </c>
      <c r="CD19" s="574">
        <f ca="1">IF(MF_Pro=2,IFERROR((庫存Pro[[#This Row],[參考贖回金額(現)]]+庫存Pro[[#This Row],[累計利息(台)]])/庫存Pro[[#This Row],[淨投入成本(買)]]-1,0),IFERROR(((庫存Pro[[#This Row],[參考贖回金額含前手息(現)]]+庫存Pro[[#This Row],[累計利息(台)]])/庫存Pro[[#This Row],[庫存成本(買)]])-1,0))</f>
        <v>0</v>
      </c>
      <c r="CE19" s="585">
        <f t="shared" ca="1" si="7"/>
        <v>0</v>
      </c>
      <c r="CF19" s="574">
        <f t="shared" ca="1" si="8"/>
        <v>0</v>
      </c>
      <c r="CG19"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19" s="646" t="e">
        <f ca="1">DATEDIF(庫存Pro[[#This Row],[買進例外調整]],庫存Pro[[#This Row],[到期日]],"d")/365.25</f>
        <v>#VALUE!</v>
      </c>
      <c r="CI19" s="739" t="e">
        <f ca="1">DATEVALUE(VLOOKUP(庫存Pro[[#This Row],[商品代號]],bond!B:AF,31,FALSE))</f>
        <v>#N/A</v>
      </c>
      <c r="CJ19" s="739" t="e">
        <f ca="1">IF(庫存Pro[[#This Row],[買下配(國調)]]&lt;庫存Pro[[#This Row],[第一票息日]],庫存Pro[[#This Row],[第一票息日]],庫存Pro[[#This Row],[買下配(國調)]])</f>
        <v>#N/A</v>
      </c>
      <c r="CK19"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19"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19" s="646">
        <f ca="1">IF(庫存Pro[[#This Row],[商品代號]]="XFM90",0,IFERROR(庫存Pro[[#This Row],[單次配息(原幣)]]*庫存Pro[[#This Row],[經過幾次配息]],0))</f>
        <v>0</v>
      </c>
      <c r="CN19" s="646" t="e">
        <f ca="1">VLOOKUP(庫存Pro[[#This Row],[商品代號]],bond!B:F,5,FALSE)</f>
        <v>#N/A</v>
      </c>
      <c r="CO19" s="739" t="str">
        <f ca="1">IFERROR(VLOOKUP(庫存Pro[[#This Row],[ISIN]],'7_發行日例外'!A:C,3,FALSE),IFERROR(DATEVALUE(VLOOKUP(庫存Pro[[#This Row],[商品代號]],bond!B:AR,43,FALSE)),""))</f>
        <v/>
      </c>
      <c r="CP19" s="646" t="e">
        <f ca="1">DATEDIF(庫存Pro[[#This Row],[起息日]],庫存Pro[[#This Row],[買進前一配息日(複算)]],"d")</f>
        <v>#VALUE!</v>
      </c>
      <c r="CQ19"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19" s="739" t="e">
        <f ca="1">IFERROR(VLOOKUP(庫存Pro[[#This Row],[ISIN]],'7_發行日例外'!A:D,4,FALSE),DATEVALUE(VLOOKUP(庫存Pro[[#This Row],[商品代號]],bond!B:AV,44,FALSE)))</f>
        <v>#N/A</v>
      </c>
      <c r="CS19" s="646" t="e">
        <f ca="1">VLOOKUP(庫存Pro[[#This Row],[商品代號]],bond!B:AU,46,FALSE)</f>
        <v>#N/A</v>
      </c>
      <c r="CT19" s="646" t="e">
        <f ca="1">IF(庫存Pro[[#This Row],[計息基礎]]=1,CHOOSE(庫存Pro[[#This Row],[對應編碼]],"沒進位","","沒進位",IF(庫存Pro[[#This Row],[計算類型]]="AUSTRALIA:EX-DIV","4捨五入進0.01%","沒進位"),"年/2去計算ACT","沒進位","沒進位"),"")</f>
        <v>#N/A</v>
      </c>
      <c r="CU19" s="646" t="e">
        <f ca="1">_xlfn.DAYS(庫存Pro[[#This Row],[買進例外調整]],庫存Pro[[#This Row],[買進前一個配息日(最終)]])</f>
        <v>#N/A</v>
      </c>
      <c r="CV19" s="646" t="e">
        <f ca="1">IF(庫存Pro[[#This Row],[備註]]="年/2去計算ACT",365/2,_xlfn.DAYS(庫存Pro[[#This Row],[買進時的下個配息日]],庫存Pro[[#This Row],[買進前一個配息日(最終)]]))</f>
        <v>#N/A</v>
      </c>
      <c r="CW19"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19" s="768" t="e">
        <f ca="1">_xlfn.DAYS(庫存Pro[[#This Row],[交割日]],庫存Pro[[#This Row],[買進前一個配息日(最終)]])</f>
        <v>#N/A</v>
      </c>
      <c r="CY19"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19" s="768" t="e">
        <f ca="1">_xlfn.DAYS(庫存Pro[[#This Row],[交割日]],庫存Pro[[#This Row],[最近的上一票息日]])</f>
        <v>#N/A</v>
      </c>
      <c r="DA19" s="768" t="e">
        <f ca="1">IF(庫存Pro[[#This Row],[備註]]="年/2去計算ACT",365/2,_xlfn.DAYS(庫存Pro[[#This Row],[下一配息日]],庫存Pro[[#This Row],[最近的上一票息日]]))</f>
        <v>#N/A</v>
      </c>
      <c r="DB19"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19" s="739" t="e">
        <f ca="1">CJ19-庫存Pro[[#This Row],[ex_div_days]]</f>
        <v>#N/A</v>
      </c>
      <c r="DD19" s="646" t="e">
        <f ca="1">IF(VLOOKUP(庫存Pro[[#This Row],[商品代號]],bond!B:AT,45,FALSE)="#N/A Field Not Applicable",0,VLOOKUP(庫存Pro[[#This Row],[商品代號]],bond!B:AT,45,FALSE))</f>
        <v>#N/A</v>
      </c>
      <c r="DE19" s="793" t="e">
        <f ca="1">IF(庫存Pro[[#This Row],[ex_div_days]]&lt;&gt;0,IF(AND(庫存Pro[[#This Row],[買進例外調整]]-庫存Pro[[#This Row],[買進下一個配息日先減n天]]&gt;=0,庫存Pro[[#This Row],[買進時的下個配息日]]-庫存Pro[[#This Row],[買進例外調整]]&gt;0),1,0),0)</f>
        <v>#N/A</v>
      </c>
      <c r="DF19" s="784" t="e">
        <f ca="1">IF(庫存Pro[[#This Row],[對應編碼]]=4,ROUND(庫存Pro[[#This Row],[前手息(初算)]]-庫存Pro[[#This Row],[票面利率]]/庫存Pro[[#This Row],[配息頻率]]*100,3),ROUND(庫存Pro[[#This Row],[前手息(初算)]]-庫存Pro[[#This Row],[票面利率]]/庫存Pro[[#This Row],[配息頻率]]*100,4))</f>
        <v>#N/A</v>
      </c>
      <c r="DG19" s="734" t="e">
        <f ca="1">庫存Pro[[#This Row],[下一配息日]]-庫存Pro[[#This Row],[ex_div_days]]</f>
        <v>#VALUE!</v>
      </c>
      <c r="DH19" s="1084" t="e">
        <f ca="1">IF(庫存Pro[[#This Row],[ex_div_days]]&lt;&gt;0,IF(AND(庫存Pro[[#This Row],[交割日]]-庫存Pro[[#This Row],[交割下個配息日先減n天]]&gt;=0,庫存Pro[[#This Row],[下一配息日]]-庫存Pro[[#This Row],[交割日]]&gt;0),1,0),0)</f>
        <v>#N/A</v>
      </c>
      <c r="DI19"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19" s="33"/>
      <c r="DK19" s="33"/>
      <c r="DL19" s="33"/>
      <c r="DM19" s="33"/>
      <c r="DN19" s="33"/>
      <c r="DO19" s="33"/>
      <c r="DP19" s="33"/>
      <c r="DQ19" s="33"/>
      <c r="DR19" s="33"/>
      <c r="DS19" s="33"/>
      <c r="DT19" s="33"/>
      <c r="DU19" s="33"/>
      <c r="DV19" s="33"/>
      <c r="DW19" s="33"/>
      <c r="DX19" s="33"/>
      <c r="DY19" s="33"/>
      <c r="DZ19" s="33"/>
      <c r="EA19" s="33"/>
      <c r="EB19" s="33"/>
      <c r="EC19" s="33"/>
      <c r="ED19" s="33"/>
      <c r="EE19" s="33"/>
      <c r="EF19" s="33"/>
      <c r="EG19" s="33"/>
      <c r="EH19" s="33"/>
      <c r="EI19" s="33"/>
      <c r="EJ19" s="33"/>
      <c r="EK19" s="33"/>
      <c r="EL19" s="33"/>
      <c r="EM19" s="33"/>
      <c r="EN19" s="33"/>
      <c r="EO19" s="33"/>
      <c r="EP19" s="33"/>
      <c r="EQ19" s="33"/>
      <c r="ER19" s="33"/>
      <c r="ES19" s="33"/>
      <c r="ET19" s="33"/>
      <c r="EU19" s="33"/>
      <c r="EV19" s="33"/>
      <c r="EW19" s="33"/>
      <c r="EX19" s="33"/>
      <c r="EY19" s="33"/>
      <c r="EZ19" s="33"/>
      <c r="FA19" s="33"/>
      <c r="FB19" s="33"/>
      <c r="FC19" s="33"/>
      <c r="FD19" s="33"/>
      <c r="FE19" s="33"/>
      <c r="FF19" s="33"/>
      <c r="FG19" s="33"/>
      <c r="FH19" s="33"/>
      <c r="FI19" s="33"/>
      <c r="FJ19" s="33"/>
      <c r="FK19" s="33"/>
      <c r="FL19" s="33"/>
      <c r="FM19" s="33"/>
      <c r="FN19" s="33"/>
      <c r="FO19" s="33"/>
      <c r="FP19" s="33"/>
      <c r="FQ19" s="33"/>
      <c r="FR19" s="33"/>
      <c r="FS19" s="33"/>
      <c r="FT19" s="33"/>
      <c r="FU19" s="33"/>
      <c r="FV19" s="33"/>
      <c r="FW19" s="33"/>
      <c r="FX19" s="33"/>
      <c r="FY19" s="33"/>
      <c r="FZ19" s="33"/>
      <c r="GA19" s="33"/>
      <c r="GB19" s="33"/>
      <c r="GC19" s="33"/>
      <c r="GD19" s="33"/>
      <c r="GE19" s="33"/>
      <c r="GF19" s="33"/>
      <c r="GG19" s="33"/>
      <c r="GH19" s="33"/>
      <c r="GI19" s="33"/>
      <c r="GJ19" s="33"/>
      <c r="GK19" s="33"/>
      <c r="GL19" s="33"/>
      <c r="GM19" s="33"/>
      <c r="GN19" s="33"/>
      <c r="GO19" s="33"/>
      <c r="GP19" s="33"/>
      <c r="GQ19" s="33"/>
      <c r="GR19" s="33"/>
      <c r="GS19" s="33"/>
      <c r="GT19" s="33"/>
      <c r="GU19" s="33"/>
      <c r="GV19" s="33"/>
      <c r="GW19" s="33"/>
      <c r="GX19" s="33"/>
      <c r="GY19" s="33"/>
      <c r="GZ19" s="33"/>
      <c r="HA19" s="33"/>
      <c r="HB19" s="33"/>
      <c r="HC19" s="33"/>
      <c r="HD19" s="33"/>
      <c r="HE19" s="33"/>
      <c r="HF19" s="33"/>
      <c r="HG19" s="33"/>
      <c r="HH19" s="33"/>
      <c r="HI19" s="33"/>
      <c r="HJ19" s="33"/>
      <c r="HK19" s="33"/>
      <c r="HL19" s="33"/>
      <c r="HM19" s="33"/>
      <c r="HN19" s="33"/>
      <c r="HO19" s="33"/>
      <c r="HP19" s="33"/>
      <c r="HQ19" s="33"/>
      <c r="HR19" s="33"/>
      <c r="HS19" s="33"/>
      <c r="HT19" s="33"/>
      <c r="HU19" s="33"/>
      <c r="HV19" s="33"/>
      <c r="HW19" s="33"/>
      <c r="HX19" s="33"/>
      <c r="HY19" s="33"/>
      <c r="HZ19" s="33"/>
      <c r="IA19" s="33"/>
      <c r="IB19" s="33"/>
      <c r="IC19" s="33"/>
      <c r="ID19" s="33"/>
      <c r="IE19" s="33"/>
    </row>
    <row r="20" spans="2:239" ht="19.5" customHeight="1">
      <c r="B20" s="12">
        <v>2</v>
      </c>
      <c r="C20" s="604">
        <f t="shared" ref="C20:C30" ca="1" si="22">CHOOSE($C$16,F20,E20)</f>
        <v>0</v>
      </c>
      <c r="D20" s="26" t="s">
        <v>1789</v>
      </c>
      <c r="E20" s="702">
        <f t="shared" ca="1" si="20"/>
        <v>0</v>
      </c>
      <c r="F20" s="701">
        <f t="shared" ca="1" si="21"/>
        <v>0</v>
      </c>
      <c r="G20" s="605" t="str">
        <f t="shared" ref="G20:G30" ca="1" si="23">IF($C$16=1,TEXT(C20,"#,##0"),TEXT(C20,"#,##0"))</f>
        <v>0</v>
      </c>
      <c r="H20" s="428">
        <f ca="1">IF(開關=TRUE,'庫存管理(Pro)'!B20,0)</f>
        <v>0</v>
      </c>
      <c r="I20" s="429" t="e">
        <f ca="1">VLOOKUP(H20,bond!B:I,8,FALSE)</f>
        <v>#N/A</v>
      </c>
      <c r="J20" s="429" t="e">
        <f ca="1">庫存Pro[[#This Row],[買價]]+VLOOKUP(庫存Pro[[#This Row],[商品代號]],bond!B:K,10,FALSE)</f>
        <v>#N/A</v>
      </c>
      <c r="K20" s="430" t="e">
        <f ca="1">VLOOKUP(H20,'銀行-TSS'!B:E,4,FALSE)</f>
        <v>#N/A</v>
      </c>
      <c r="L20" s="431" t="e">
        <f ca="1">VLOOKUP($H20,'銀行-TSS'!B:G,6,FALSE)</f>
        <v>#N/A</v>
      </c>
      <c r="M20" s="432" t="e">
        <f ca="1">IFERROR(DATEVALUE(VLOOKUP($H20,'銀行-TSS'!B:F,5,FALSE)),VLOOKUP($H20,'銀行-TSS'!B:F,5,FALSE))</f>
        <v>#N/A</v>
      </c>
      <c r="N20" s="433" t="e">
        <f ca="1">VLOOKUP($H20,'銀行-TSS'!B:H,7,FALSE)</f>
        <v>#N/A</v>
      </c>
      <c r="O20" s="433" t="e">
        <f ca="1">庫存Pro[[#This Row],[票面利率]]/庫存Pro[[#This Row],[成本價(不含前手息)]]*100</f>
        <v>#N/A</v>
      </c>
      <c r="P20" s="434" t="str">
        <f ca="1">IFERROR(VLOOKUP($H20,'銀行-TSS'!B:I,8,FALSE),"")</f>
        <v/>
      </c>
      <c r="Q20" s="440" t="str">
        <f ca="1">_xlfn.IFNA(IFERROR(DATEVALUE(VLOOKUP($H20,'銀行-TSS'!B:P,15,FALSE)),VLOOKUP($H20,'銀行-TSS'!B:P,15,FALSE)),"")</f>
        <v/>
      </c>
      <c r="R20" s="570" t="b">
        <f>IF(AND('2_Check_code'!C41,庫存Pro[[#This Row],[投入面額]]&gt;0),TRUE,FALSE)</f>
        <v>0</v>
      </c>
      <c r="S20" s="602">
        <f>'庫存管理(Pro)'!AE20</f>
        <v>0</v>
      </c>
      <c r="T20"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0" s="442" t="str">
        <f ca="1">IFERROR(WORKDAY(庫存Pro[[#This Row],[買進日]],VLOOKUP(庫存Pro[[#This Row],[商品代號]],'1_重設數據'!R:S,2,FALSE),休USD),庫存Pro[[#This Row],[買進日(T+2/公債T+1)]])</f>
        <v/>
      </c>
      <c r="V20" s="43">
        <f>'庫存管理(Pro)'!J20</f>
        <v>0</v>
      </c>
      <c r="W20" s="43">
        <f>'庫存管理(Pro)'!K20</f>
        <v>0</v>
      </c>
      <c r="X20" s="464">
        <f t="shared" ca="1" si="9"/>
        <v>0</v>
      </c>
      <c r="Y20" s="464" t="e">
        <f t="shared" ca="1" si="11"/>
        <v>#N/A</v>
      </c>
      <c r="Z20" s="465" t="e">
        <f t="shared" ca="1" si="12"/>
        <v>#N/A</v>
      </c>
      <c r="AA20" s="474" t="e">
        <f ca="1">IF(MF_Pro=2,庫存Pro[[#This Row],[部位現值(不含前手息)]]-庫存Pro[[#This Row],[持有成本(不含前手息)]],庫存Pro[[#This Row],[部位現值(含前手息)]]-庫存Pro[[#This Row],[持有成本(含前手息)]])</f>
        <v>#N/A</v>
      </c>
      <c r="AB20" s="462">
        <f ca="1">IF(MF_Pro=2,IFERROR(庫存Pro[[#This Row],[資本利損]]/庫存Pro[[#This Row],[持有成本(不含前手息)]],0),IFERROR(庫存Pro[[#This Row],[資本利損]]/庫存Pro[[#This Row],[持有成本(含前手息)]],0))</f>
        <v>0</v>
      </c>
      <c r="AC20" s="618" t="e">
        <f ca="1">庫存Pro[[#This Row],[持有成本(不含前手息)]]/庫存Pro[[#This Row],[投入面額]]*100</f>
        <v>#DIV/0!</v>
      </c>
      <c r="AD20" s="462" t="e">
        <f ca="1">VLOOKUP(庫存Pro[[#This Row],[商品代號]],bond!B:AA,26,FALSE)</f>
        <v>#N/A</v>
      </c>
      <c r="AE20" s="1" t="str">
        <f ca="1">IFERROR(VLOOKUP($H20,'銀行-TSS'!B:Q,16,FALSE),"")</f>
        <v/>
      </c>
      <c r="AF20" s="466" t="e">
        <f t="shared" ca="1" si="13"/>
        <v>#N/A</v>
      </c>
      <c r="AG20" s="458" t="e">
        <f ca="1">IF(OR(庫存Pro[[#This Row],[起息日]]&gt;庫存Pro[[#This Row],[買進前一配息日(複算)]],庫存Pro[[#This Row],[判斷]]=TRUE),庫存Pro[[#This Row],[起息日]],庫存Pro[[#This Row],[買進前一配息日(複算)]])</f>
        <v>#N/A</v>
      </c>
      <c r="AH20" s="577" t="e">
        <f ca="1">VLOOKUP(H20,bond!B:AP,41,FALSE)</f>
        <v>#N/A</v>
      </c>
      <c r="AI20" s="578" t="e">
        <f t="shared" ca="1" si="14"/>
        <v>#N/A</v>
      </c>
      <c r="AJ20" s="579">
        <f ca="1">IFERROR(IF(庫存Pro[[#This Row],[買進日是否落入record date]]=1,庫存Pro[[#This Row],[record date制度前手息]],庫存Pro[[#This Row],[前手息(初算)]]),0)</f>
        <v>0</v>
      </c>
      <c r="AK20" s="579" t="e">
        <f ca="1">IF(OR(庫存Pro[[#This Row],[買進例外調整]]&lt;庫存Pro[[#This Row],[起息日]],庫存Pro[[#This Row],[買進例外調整]]&gt;庫存Pro[[#This Row],[到期日]]),0,IF(庫存Pro[[#This Row],[備註]]&lt;&gt;"",庫存Pro[[#This Row],[買進時前手息]],IFERROR(ROUND(ACCRINT(AG20,AG20,U20,N20,100,P20,AI20,TRUE),4),0)))</f>
        <v>#N/A</v>
      </c>
      <c r="AL20" s="580">
        <f t="shared" ca="1" si="10"/>
        <v>0</v>
      </c>
      <c r="AM20" s="440" t="e">
        <f ca="1">DATEVALUE(VLOOKUP(H20,bond!B:I,7,FALSE))</f>
        <v>#N/A</v>
      </c>
      <c r="AN20"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0" s="579">
        <f ca="1">IFERROR(IF(庫存Pro[[#This Row],[交割日是否落入record date]]=1,庫存Pro[[#This Row],[交_record date制度前手息]],庫存Pro[[#This Row],[計算交割前手息(初算)]]),0)</f>
        <v>0</v>
      </c>
      <c r="AP20"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0" s="579" t="e">
        <f ca="1">IF(庫存Pro[[#This Row],[配息頻率]]=0,0,(100*庫存Pro[[#This Row],[票面利率]]/庫存Pro[[#This Row],[配息頻率]])*庫存Pro[[#This Row],[經過幾次配息]]+庫存Pro[[#This Row],[計算交割前手息(複算)]]-庫存Pro[[#This Row],[計算前手息(複算)]])</f>
        <v>#N/A</v>
      </c>
      <c r="AR20" s="581" t="e">
        <f ca="1">IF(庫存Pro[[#This Row],[商品代號]]="XFM90",0,ROUND(AQ20*V20/100,2))</f>
        <v>#N/A</v>
      </c>
      <c r="AS20" s="582">
        <f ca="1">IF(MF_Pro=2,IFERROR(庫存Pro[[#This Row],[累計配息]]/庫存Pro[[#This Row],[持有成本(不含前手息)]],0),IFERROR(庫存Pro[[#This Row],[已實現配息(原幣)]]/庫存Pro[[#This Row],[持有成本(含前手息)]],0))</f>
        <v>0</v>
      </c>
      <c r="AT20" s="583" t="e">
        <f ca="1">IF(MF_Pro=2,庫存Pro[[#This Row],[資本利損]]+庫存Pro[[#This Row],[累計配息]],庫存Pro[[#This Row],[資本利損]]+庫存Pro[[#This Row],[已實現配息(原幣)]])</f>
        <v>#N/A</v>
      </c>
      <c r="AU20" s="584">
        <f ca="1">IF(MF_Pro=2,IFERROR(庫存Pro[[#This Row],[合計收益]]/庫存Pro[[#This Row],[持有成本(不含前手息)]],0),IFERROR(庫存Pro[[#This Row],[合計收益]]/庫存Pro[[#This Row],[持有成本(含前手息)]],0))</f>
        <v>0</v>
      </c>
      <c r="AV20" s="434" t="e">
        <f t="shared" ca="1" si="0"/>
        <v>#VALUE!</v>
      </c>
      <c r="AW20" s="434" t="e">
        <f t="shared" ca="1" si="1"/>
        <v>#VALUE!</v>
      </c>
      <c r="AX20" s="434">
        <f t="shared" ca="1" si="2"/>
        <v>0</v>
      </c>
      <c r="AY20" s="434">
        <f t="shared" ca="1" si="3"/>
        <v>0</v>
      </c>
      <c r="AZ20" s="441" t="e">
        <f ca="1">IF(AND(庫存Pro[[#This Row],[名稱]]="美國國庫債券",DAY(庫存Pro[[#This Row],[買進前一配息日(初算)]])&gt;=28),EOMONTH(庫存Pro[[#This Row],[買進前一配息日(初算)]],0),庫存Pro[[#This Row],[買進前一配息日(初算)]])</f>
        <v>#N/A</v>
      </c>
      <c r="BA20" s="441" t="e">
        <f t="shared" ca="1" si="4"/>
        <v>#VALUE!</v>
      </c>
      <c r="BB20" s="444" t="e">
        <f t="shared" ca="1" si="5"/>
        <v>#VALUE!</v>
      </c>
      <c r="BC20" s="441" t="e">
        <f ca="1">IF(P20&gt;0,IF(MONTH(DATE(BB20,AV20,DAY(Q20)))&lt;&gt;庫存Pro[[#This Row],[第一個配息月]],DATE(BB20,AV20+1,0),DATE(BB20,AV20,DAY(Q20))),庫存Pro[[#This Row],[買進例外調整]]+100)</f>
        <v>#VALUE!</v>
      </c>
      <c r="BD20" s="441" t="e">
        <f ca="1">IF(AW20&lt;&gt;0,IF(MONTH(DATE(BB20,AW20,DAY(Q20)))&lt;&gt;庫存Pro[[#This Row],[第二個配息月]],DATE(BB20,AW20+1,0),DATE(BB20,AW20,DAY(Q20))),庫存Pro[[#This Row],[買進例外調整]]+100)</f>
        <v>#VALUE!</v>
      </c>
      <c r="BE20" s="441" t="e">
        <f ca="1">IF(AX20&lt;&gt;0,IF(MONTH(DATE(BB20,AX20,DAY(Q20)))&lt;&gt;庫存Pro[[#This Row],[第三個配息月]],DATE(BB20,AX20+1,0),DATE(BB20,AX20,DAY(Q20))),庫存Pro[[#This Row],[買進例外調整]]+100)</f>
        <v>#VALUE!</v>
      </c>
      <c r="BF20" s="441" t="e">
        <f ca="1">IF(AY20&lt;&gt;0,IF(MONTH(DATE(BB20,AY20,DAY(Q20)))&lt;&gt;庫存Pro[[#This Row],[第四個配息月]],DATE(BB20,AY20+1,0),DATE(BB20,AY20,DAY(Q20))),庫存Pro[[#This Row],[買進例外調整]]+100)</f>
        <v>#VALUE!</v>
      </c>
      <c r="BG20" s="441" t="e">
        <f ca="1">IF(P20=1,IF(MONTH(DATE(BB20-1,AV20,DAY(Q20)))&lt;&gt;庫存Pro[[#This Row],[第一個配息月]],DATE(BB20-1,AV20+1,0),DATE(BB20-1,AV20,DAY(Q20))),IF(P20=2,IF(MONTH(DATE(BB20-1,AW20,DAY(Q20)))&lt;&gt;庫存Pro[[#This Row],[第二個配息月]],DATE(BB20-1,AW20+1,0),DATE(BB20-1,AW20,DAY(Q20))),IF(P20=4,IF(MONTH(DATE(BB20-1,AY20,DAY(Q20)))&lt;&gt;庫存Pro[[#This Row],[第四個配息月]],DATE(BB20-1,AY20+1,0),DATE(BB20-1,AY20,DAY(Q20))),庫存Pro[[#This Row],[買進例外調整]]+100)))</f>
        <v>#VALUE!</v>
      </c>
      <c r="BH20" s="445">
        <f t="shared" ca="1" si="15"/>
        <v>10000</v>
      </c>
      <c r="BI20" s="445">
        <f t="shared" ca="1" si="16"/>
        <v>10000</v>
      </c>
      <c r="BJ20" s="445">
        <f t="shared" ca="1" si="17"/>
        <v>10000</v>
      </c>
      <c r="BK20" s="445">
        <f t="shared" ca="1" si="18"/>
        <v>10000</v>
      </c>
      <c r="BL20" s="455">
        <f t="shared" ca="1" si="19"/>
        <v>10000</v>
      </c>
      <c r="BM20" s="479" t="e">
        <f ca="1">庫存Pro[[#This Row],[年度配息]]/庫存Pro[[#This Row],[配息頻率]]</f>
        <v>#N/A</v>
      </c>
      <c r="BN20" s="479" t="e">
        <f ca="1">庫存Pro[[#This Row],[單次配息(原幣)]]*庫存Pro[[#This Row],[換算匯率(現)]]</f>
        <v>#N/A</v>
      </c>
      <c r="BO20" s="479" t="str">
        <f ca="1">IFERROR(VLOOKUP($H20,'銀行-TSS'!B:C,2,FALSE),"")</f>
        <v/>
      </c>
      <c r="BP20" s="479" t="e">
        <f ca="1">VLOOKUP(庫存Pro[[#This Row],[幣別]],$B$37:$C$43,2,FALSE)</f>
        <v>#N/A</v>
      </c>
      <c r="BQ20" s="500" t="e">
        <f ca="1">CHOOSE(庫存Pro[[#This Row],[對應編碼]],$D$37,$D$38,$D$39,$D$40,$D$41,$D$42,$D$43)</f>
        <v>#N/A</v>
      </c>
      <c r="BR20" s="500" t="e">
        <f ca="1">CHOOSE(庫存Pro[[#This Row],[對應編碼]],$E$37,$E$38,$E$39,$E$40,$E$41,$E$42,$E$43)</f>
        <v>#N/A</v>
      </c>
      <c r="BS20" s="595" t="e">
        <f ca="1">庫存Pro[[#This Row],[投入面額]]*庫存Pro[[#This Row],[換算匯率(現)]]</f>
        <v>#N/A</v>
      </c>
      <c r="BT20" s="595" t="e">
        <f ca="1">庫存Pro[[#This Row],[持有成本(含前手息)]]*庫存Pro[[#This Row],[換算匯率(買)]]</f>
        <v>#N/A</v>
      </c>
      <c r="BU20" s="498" t="e">
        <f ca="1">庫存Pro[[#This Row],[持有成本(不含前手息)]]*庫存Pro[[#This Row],[換算匯率(買)]]</f>
        <v>#N/A</v>
      </c>
      <c r="BV20" s="498" t="e">
        <f ca="1">庫存Pro[[#This Row],[部位現值(含前手息)]]*庫存Pro[[#This Row],[換算匯率(現)]]</f>
        <v>#N/A</v>
      </c>
      <c r="BW20" s="498" t="e">
        <f ca="1">庫存Pro[[#This Row],[部位現值(不含前手息)]]*庫存Pro[[#This Row],[換算匯率(現)]]</f>
        <v>#N/A</v>
      </c>
      <c r="BX20" s="498" t="e">
        <f ca="1">IF(MF_Pro=2,庫存Pro[[#This Row],[累計配息]]*庫存Pro[[#This Row],[換算匯率(現)]],庫存Pro[[#This Row],[已實現配息(原幣)]]*庫存Pro[[#This Row],[換算匯率(現)]])</f>
        <v>#N/A</v>
      </c>
      <c r="BY20" s="498" t="e">
        <f ca="1">庫存Pro[[#This Row],[資本利損]]*庫存Pro[[#This Row],[換算匯率(現)]]</f>
        <v>#N/A</v>
      </c>
      <c r="BZ20" s="498" t="e">
        <f ca="1">庫存Pro[[#This Row],[累計利息(台)]]+庫存Pro[[#This Row],[資本貢獻(台)]]</f>
        <v>#N/A</v>
      </c>
      <c r="CA20" s="574">
        <f ca="1">IFERROR(庫存Pro[[#This Row],[配息報酬]],0)</f>
        <v>0</v>
      </c>
      <c r="CB20" s="574">
        <f ca="1">庫存Pro[[#This Row],[資本報酬]]</f>
        <v>0</v>
      </c>
      <c r="CC20" s="574">
        <f ca="1">IFERROR(庫存Pro[[#This Row],[換匯總報酬率]]-(庫存Pro[[#This Row],[配息報酬率]]+庫存Pro[[#This Row],[資本報酬率]]),0)</f>
        <v>0</v>
      </c>
      <c r="CD20" s="574">
        <f ca="1">IF(MF_Pro=2,IFERROR((庫存Pro[[#This Row],[參考贖回金額(現)]]+庫存Pro[[#This Row],[累計利息(台)]])/庫存Pro[[#This Row],[淨投入成本(買)]]-1,0),IFERROR(((庫存Pro[[#This Row],[參考贖回金額含前手息(現)]]+庫存Pro[[#This Row],[累計利息(台)]])/庫存Pro[[#This Row],[庫存成本(買)]])-1,0))</f>
        <v>0</v>
      </c>
      <c r="CE20" s="585">
        <f t="shared" ca="1" si="7"/>
        <v>0</v>
      </c>
      <c r="CF20" s="574">
        <f t="shared" ca="1" si="8"/>
        <v>0</v>
      </c>
      <c r="CG20"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0" s="646" t="e">
        <f ca="1">DATEDIF(庫存Pro[[#This Row],[買進例外調整]],庫存Pro[[#This Row],[到期日]],"d")/365.25</f>
        <v>#VALUE!</v>
      </c>
      <c r="CI20" s="739" t="e">
        <f ca="1">DATEVALUE(VLOOKUP(庫存Pro[[#This Row],[商品代號]],bond!B:AF,31,FALSE))</f>
        <v>#N/A</v>
      </c>
      <c r="CJ20" s="739" t="e">
        <f ca="1">IF(庫存Pro[[#This Row],[買下配(國調)]]&lt;庫存Pro[[#This Row],[第一票息日]],庫存Pro[[#This Row],[第一票息日]],庫存Pro[[#This Row],[買下配(國調)]])</f>
        <v>#N/A</v>
      </c>
      <c r="CK20"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0"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0" s="646">
        <f ca="1">IF(庫存Pro[[#This Row],[商品代號]]="XFM90",0,IFERROR(庫存Pro[[#This Row],[單次配息(原幣)]]*庫存Pro[[#This Row],[經過幾次配息]],0))</f>
        <v>0</v>
      </c>
      <c r="CN20" s="646" t="e">
        <f ca="1">VLOOKUP(庫存Pro[[#This Row],[商品代號]],bond!B:F,5,FALSE)</f>
        <v>#N/A</v>
      </c>
      <c r="CO20" s="739" t="str">
        <f ca="1">IFERROR(VLOOKUP(庫存Pro[[#This Row],[ISIN]],'7_發行日例外'!A:C,3,FALSE),IFERROR(DATEVALUE(VLOOKUP(庫存Pro[[#This Row],[商品代號]],bond!B:AR,43,FALSE)),""))</f>
        <v/>
      </c>
      <c r="CP20" s="646" t="e">
        <f ca="1">DATEDIF(庫存Pro[[#This Row],[起息日]],庫存Pro[[#This Row],[買進前一配息日(複算)]],"d")</f>
        <v>#VALUE!</v>
      </c>
      <c r="CQ20"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0" s="739" t="e">
        <f ca="1">IFERROR(VLOOKUP(庫存Pro[[#This Row],[ISIN]],'7_發行日例外'!A:D,4,FALSE),DATEVALUE(VLOOKUP(庫存Pro[[#This Row],[商品代號]],bond!B:AV,44,FALSE)))</f>
        <v>#N/A</v>
      </c>
      <c r="CS20" s="646" t="e">
        <f ca="1">VLOOKUP(庫存Pro[[#This Row],[商品代號]],bond!B:AU,46,FALSE)</f>
        <v>#N/A</v>
      </c>
      <c r="CT20" s="646" t="e">
        <f ca="1">IF(庫存Pro[[#This Row],[計息基礎]]=1,CHOOSE(庫存Pro[[#This Row],[對應編碼]],"沒進位","","沒進位",IF(庫存Pro[[#This Row],[計算類型]]="AUSTRALIA:EX-DIV","4捨五入進0.01%","沒進位"),"年/2去計算ACT","沒進位","沒進位"),"")</f>
        <v>#N/A</v>
      </c>
      <c r="CU20" s="646" t="e">
        <f ca="1">_xlfn.DAYS(庫存Pro[[#This Row],[買進例外調整]],庫存Pro[[#This Row],[買進前一個配息日(最終)]])</f>
        <v>#N/A</v>
      </c>
      <c r="CV20" s="646" t="e">
        <f ca="1">IF(庫存Pro[[#This Row],[備註]]="年/2去計算ACT",365/2,_xlfn.DAYS(庫存Pro[[#This Row],[買進時的下個配息日]],庫存Pro[[#This Row],[買進前一個配息日(最終)]]))</f>
        <v>#N/A</v>
      </c>
      <c r="CW20"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0" s="768" t="e">
        <f ca="1">_xlfn.DAYS(庫存Pro[[#This Row],[交割日]],庫存Pro[[#This Row],[買進前一個配息日(最終)]])</f>
        <v>#N/A</v>
      </c>
      <c r="CY20"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0" s="768" t="e">
        <f ca="1">_xlfn.DAYS(庫存Pro[[#This Row],[交割日]],庫存Pro[[#This Row],[最近的上一票息日]])</f>
        <v>#N/A</v>
      </c>
      <c r="DA20" s="768" t="e">
        <f ca="1">IF(庫存Pro[[#This Row],[備註]]="年/2去計算ACT",365/2,_xlfn.DAYS(庫存Pro[[#This Row],[下一配息日]],庫存Pro[[#This Row],[最近的上一票息日]]))</f>
        <v>#N/A</v>
      </c>
      <c r="DB20"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0" s="739" t="e">
        <f ca="1">CJ20-庫存Pro[[#This Row],[ex_div_days]]</f>
        <v>#N/A</v>
      </c>
      <c r="DD20" s="646" t="e">
        <f ca="1">IF(VLOOKUP(庫存Pro[[#This Row],[商品代號]],bond!B:AT,45,FALSE)="#N/A Field Not Applicable",0,VLOOKUP(庫存Pro[[#This Row],[商品代號]],bond!B:AT,45,FALSE))</f>
        <v>#N/A</v>
      </c>
      <c r="DE20" s="793" t="e">
        <f ca="1">IF(庫存Pro[[#This Row],[ex_div_days]]&lt;&gt;0,IF(AND(庫存Pro[[#This Row],[買進例外調整]]-庫存Pro[[#This Row],[買進下一個配息日先減n天]]&gt;=0,庫存Pro[[#This Row],[買進時的下個配息日]]-庫存Pro[[#This Row],[買進例外調整]]&gt;0),1,0),0)</f>
        <v>#N/A</v>
      </c>
      <c r="DF20" s="784" t="e">
        <f ca="1">IF(庫存Pro[[#This Row],[對應編碼]]=4,ROUND(庫存Pro[[#This Row],[前手息(初算)]]-庫存Pro[[#This Row],[票面利率]]/庫存Pro[[#This Row],[配息頻率]]*100,3),ROUND(庫存Pro[[#This Row],[前手息(初算)]]-庫存Pro[[#This Row],[票面利率]]/庫存Pro[[#This Row],[配息頻率]]*100,4))</f>
        <v>#N/A</v>
      </c>
      <c r="DG20" s="734" t="e">
        <f ca="1">庫存Pro[[#This Row],[下一配息日]]-庫存Pro[[#This Row],[ex_div_days]]</f>
        <v>#VALUE!</v>
      </c>
      <c r="DH20" s="1084" t="e">
        <f ca="1">IF(庫存Pro[[#This Row],[ex_div_days]]&lt;&gt;0,IF(AND(庫存Pro[[#This Row],[交割日]]-庫存Pro[[#This Row],[交割下個配息日先減n天]]&gt;=0,庫存Pro[[#This Row],[下一配息日]]-庫存Pro[[#This Row],[交割日]]&gt;0),1,0),0)</f>
        <v>#N/A</v>
      </c>
      <c r="DI20"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c r="DJ20" s="33"/>
      <c r="DK20" s="33"/>
      <c r="DL20" s="33"/>
      <c r="DM20" s="33"/>
      <c r="DN20" s="33"/>
      <c r="DO20" s="33"/>
      <c r="DP20" s="33"/>
      <c r="DQ20" s="33"/>
      <c r="DR20" s="33"/>
      <c r="DS20" s="33"/>
      <c r="DT20" s="33"/>
      <c r="DU20" s="33"/>
      <c r="DV20" s="33"/>
      <c r="DW20" s="33"/>
      <c r="DX20" s="33"/>
      <c r="DY20" s="33"/>
      <c r="DZ20" s="33"/>
      <c r="EA20" s="33"/>
      <c r="EB20" s="33"/>
      <c r="EC20" s="33"/>
      <c r="ED20" s="33"/>
      <c r="EE20" s="33"/>
      <c r="EF20" s="33"/>
      <c r="EG20" s="33"/>
      <c r="EH20" s="33"/>
      <c r="EI20" s="33"/>
      <c r="EJ20" s="33"/>
      <c r="EK20" s="33"/>
      <c r="EL20" s="33"/>
      <c r="EM20" s="33"/>
      <c r="EN20" s="33"/>
      <c r="EO20" s="33"/>
      <c r="EP20" s="33"/>
      <c r="EQ20" s="33"/>
      <c r="ER20" s="33"/>
      <c r="ES20" s="33"/>
      <c r="ET20" s="33"/>
      <c r="EU20" s="33"/>
      <c r="EV20" s="33"/>
      <c r="EW20" s="33"/>
      <c r="EX20" s="33"/>
      <c r="EY20" s="33"/>
      <c r="EZ20" s="33"/>
      <c r="FA20" s="33"/>
      <c r="FB20" s="33"/>
      <c r="FC20" s="33"/>
      <c r="FD20" s="33"/>
      <c r="FE20" s="33"/>
      <c r="FF20" s="33"/>
      <c r="FG20" s="33"/>
      <c r="FH20" s="33"/>
      <c r="FI20" s="33"/>
      <c r="FJ20" s="33"/>
      <c r="FK20" s="33"/>
      <c r="FL20" s="33"/>
      <c r="FM20" s="33"/>
      <c r="FN20" s="33"/>
      <c r="FO20" s="33"/>
      <c r="FP20" s="33"/>
      <c r="FQ20" s="33"/>
      <c r="FR20" s="33"/>
      <c r="FS20" s="33"/>
      <c r="FT20" s="33"/>
      <c r="FU20" s="33"/>
      <c r="FV20" s="33"/>
      <c r="FW20" s="33"/>
      <c r="FX20" s="33"/>
      <c r="FY20" s="33"/>
      <c r="FZ20" s="33"/>
      <c r="GA20" s="33"/>
      <c r="GB20" s="33"/>
      <c r="GC20" s="33"/>
      <c r="GD20" s="33"/>
      <c r="GE20" s="33"/>
      <c r="GF20" s="33"/>
      <c r="GG20" s="33"/>
      <c r="GH20" s="33"/>
      <c r="GI20" s="33"/>
      <c r="GJ20" s="33"/>
      <c r="GK20" s="33"/>
      <c r="GL20" s="33"/>
      <c r="GM20" s="33"/>
      <c r="GN20" s="33"/>
      <c r="GO20" s="33"/>
      <c r="GP20" s="33"/>
      <c r="GQ20" s="33"/>
      <c r="GR20" s="33"/>
      <c r="GS20" s="33"/>
      <c r="GT20" s="33"/>
      <c r="GU20" s="33"/>
      <c r="GV20" s="33"/>
      <c r="GW20" s="33"/>
      <c r="GX20" s="33"/>
      <c r="GY20" s="33"/>
      <c r="GZ20" s="33"/>
      <c r="HA20" s="33"/>
      <c r="HB20" s="33"/>
      <c r="HC20" s="33"/>
      <c r="HD20" s="33"/>
      <c r="HE20" s="33"/>
      <c r="HF20" s="33"/>
      <c r="HG20" s="33"/>
      <c r="HH20" s="33"/>
      <c r="HI20" s="33"/>
      <c r="HJ20" s="33"/>
      <c r="HK20" s="33"/>
      <c r="HL20" s="33"/>
      <c r="HM20" s="33"/>
      <c r="HN20" s="33"/>
      <c r="HO20" s="33"/>
      <c r="HP20" s="33"/>
      <c r="HQ20" s="33"/>
      <c r="HR20" s="33"/>
      <c r="HS20" s="33"/>
      <c r="HT20" s="33"/>
      <c r="HU20" s="33"/>
      <c r="HV20" s="33"/>
      <c r="HW20" s="33"/>
      <c r="HX20" s="33"/>
      <c r="HY20" s="33"/>
      <c r="HZ20" s="33"/>
      <c r="IA20" s="33"/>
      <c r="IB20" s="33"/>
      <c r="IC20" s="33"/>
      <c r="ID20" s="33"/>
      <c r="IE20" s="33"/>
    </row>
    <row r="21" spans="2:239" ht="19.5" customHeight="1">
      <c r="B21" s="12">
        <v>3</v>
      </c>
      <c r="C21" s="604">
        <f t="shared" ca="1" si="22"/>
        <v>276089</v>
      </c>
      <c r="D21" s="26" t="s">
        <v>1790</v>
      </c>
      <c r="E21" s="702">
        <f t="shared" ca="1" si="20"/>
        <v>8500</v>
      </c>
      <c r="F21" s="701">
        <f t="shared" ca="1" si="21"/>
        <v>276089</v>
      </c>
      <c r="G21" s="605" t="str">
        <f t="shared" ca="1" si="23"/>
        <v>276,089</v>
      </c>
      <c r="H21" s="428">
        <f ca="1">IF(開關=TRUE,'庫存管理(Pro)'!B21,0)</f>
        <v>0</v>
      </c>
      <c r="I21" s="429" t="e">
        <f ca="1">VLOOKUP(H21,bond!B:I,8,FALSE)</f>
        <v>#N/A</v>
      </c>
      <c r="J21" s="429" t="e">
        <f ca="1">庫存Pro[[#This Row],[買價]]+VLOOKUP(庫存Pro[[#This Row],[商品代號]],bond!B:K,10,FALSE)</f>
        <v>#N/A</v>
      </c>
      <c r="K21" s="430" t="e">
        <f ca="1">VLOOKUP(H21,'銀行-TSS'!B:E,4,FALSE)</f>
        <v>#N/A</v>
      </c>
      <c r="L21" s="431" t="e">
        <f ca="1">VLOOKUP($H21,'銀行-TSS'!B:G,6,FALSE)</f>
        <v>#N/A</v>
      </c>
      <c r="M21" s="432" t="e">
        <f ca="1">IFERROR(DATEVALUE(VLOOKUP($H21,'銀行-TSS'!B:F,5,FALSE)),VLOOKUP($H21,'銀行-TSS'!B:F,5,FALSE))</f>
        <v>#N/A</v>
      </c>
      <c r="N21" s="433" t="e">
        <f ca="1">VLOOKUP($H21,'銀行-TSS'!B:H,7,FALSE)</f>
        <v>#N/A</v>
      </c>
      <c r="O21" s="433" t="e">
        <f ca="1">庫存Pro[[#This Row],[票面利率]]/庫存Pro[[#This Row],[成本價(不含前手息)]]*100</f>
        <v>#N/A</v>
      </c>
      <c r="P21" s="434" t="str">
        <f ca="1">IFERROR(VLOOKUP($H21,'銀行-TSS'!B:I,8,FALSE),"")</f>
        <v/>
      </c>
      <c r="Q21" s="440" t="str">
        <f ca="1">_xlfn.IFNA(IFERROR(DATEVALUE(VLOOKUP($H21,'銀行-TSS'!B:P,15,FALSE)),VLOOKUP($H21,'銀行-TSS'!B:P,15,FALSE)),"")</f>
        <v/>
      </c>
      <c r="R21" s="570" t="b">
        <f>IF(AND('2_Check_code'!C42,庫存Pro[[#This Row],[投入面額]]&gt;0),TRUE,FALSE)</f>
        <v>0</v>
      </c>
      <c r="S21" s="602">
        <f>'庫存管理(Pro)'!AE21</f>
        <v>0</v>
      </c>
      <c r="T21"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1" s="442" t="str">
        <f ca="1">IFERROR(WORKDAY(庫存Pro[[#This Row],[買進日]],VLOOKUP(庫存Pro[[#This Row],[商品代號]],'1_重設數據'!R:S,2,FALSE),休USD),庫存Pro[[#This Row],[買進日(T+2/公債T+1)]])</f>
        <v/>
      </c>
      <c r="V21" s="43">
        <f>'庫存管理(Pro)'!J21</f>
        <v>0</v>
      </c>
      <c r="W21" s="43">
        <f>'庫存管理(Pro)'!K21</f>
        <v>0</v>
      </c>
      <c r="X21" s="464">
        <f t="shared" ca="1" si="9"/>
        <v>0</v>
      </c>
      <c r="Y21" s="464" t="e">
        <f t="shared" ca="1" si="11"/>
        <v>#N/A</v>
      </c>
      <c r="Z21" s="465" t="e">
        <f t="shared" ca="1" si="12"/>
        <v>#N/A</v>
      </c>
      <c r="AA21" s="474" t="e">
        <f ca="1">IF(MF_Pro=2,庫存Pro[[#This Row],[部位現值(不含前手息)]]-庫存Pro[[#This Row],[持有成本(不含前手息)]],庫存Pro[[#This Row],[部位現值(含前手息)]]-庫存Pro[[#This Row],[持有成本(含前手息)]])</f>
        <v>#N/A</v>
      </c>
      <c r="AB21" s="462">
        <f ca="1">IF(MF_Pro=2,IFERROR(庫存Pro[[#This Row],[資本利損]]/庫存Pro[[#This Row],[持有成本(不含前手息)]],0),IFERROR(庫存Pro[[#This Row],[資本利損]]/庫存Pro[[#This Row],[持有成本(含前手息)]],0))</f>
        <v>0</v>
      </c>
      <c r="AC21" s="618" t="e">
        <f ca="1">庫存Pro[[#This Row],[持有成本(不含前手息)]]/庫存Pro[[#This Row],[投入面額]]*100</f>
        <v>#DIV/0!</v>
      </c>
      <c r="AD21" s="462" t="e">
        <f ca="1">VLOOKUP(庫存Pro[[#This Row],[商品代號]],bond!B:AA,26,FALSE)</f>
        <v>#N/A</v>
      </c>
      <c r="AE21" s="1" t="str">
        <f ca="1">IFERROR(VLOOKUP($H21,'銀行-TSS'!B:Q,16,FALSE),"")</f>
        <v/>
      </c>
      <c r="AF21" s="466" t="e">
        <f t="shared" ca="1" si="13"/>
        <v>#N/A</v>
      </c>
      <c r="AG21" s="458" t="e">
        <f ca="1">IF(OR(庫存Pro[[#This Row],[起息日]]&gt;庫存Pro[[#This Row],[買進前一配息日(複算)]],庫存Pro[[#This Row],[判斷]]=TRUE),庫存Pro[[#This Row],[起息日]],庫存Pro[[#This Row],[買進前一配息日(複算)]])</f>
        <v>#N/A</v>
      </c>
      <c r="AH21" s="577" t="e">
        <f ca="1">VLOOKUP(H21,bond!B:AP,41,FALSE)</f>
        <v>#N/A</v>
      </c>
      <c r="AI21" s="578" t="e">
        <f t="shared" ca="1" si="14"/>
        <v>#N/A</v>
      </c>
      <c r="AJ21" s="579">
        <f ca="1">IFERROR(IF(庫存Pro[[#This Row],[買進日是否落入record date]]=1,庫存Pro[[#This Row],[record date制度前手息]],庫存Pro[[#This Row],[前手息(初算)]]),0)</f>
        <v>0</v>
      </c>
      <c r="AK21" s="579" t="e">
        <f ca="1">IF(OR(庫存Pro[[#This Row],[買進例外調整]]&lt;庫存Pro[[#This Row],[起息日]],庫存Pro[[#This Row],[買進例外調整]]&gt;庫存Pro[[#This Row],[到期日]]),0,IF(庫存Pro[[#This Row],[備註]]&lt;&gt;"",庫存Pro[[#This Row],[買進時前手息]],IFERROR(ROUND(ACCRINT(AG21,AG21,U21,N21,100,P21,AI21,TRUE),4),0)))</f>
        <v>#N/A</v>
      </c>
      <c r="AL21" s="580">
        <f t="shared" ca="1" si="10"/>
        <v>0</v>
      </c>
      <c r="AM21" s="440" t="e">
        <f ca="1">DATEVALUE(VLOOKUP(H21,bond!B:I,7,FALSE))</f>
        <v>#N/A</v>
      </c>
      <c r="AN21"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1" s="579">
        <f ca="1">IFERROR(IF(庫存Pro[[#This Row],[交割日是否落入record date]]=1,庫存Pro[[#This Row],[交_record date制度前手息]],庫存Pro[[#This Row],[計算交割前手息(初算)]]),0)</f>
        <v>0</v>
      </c>
      <c r="AP21"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1" s="579" t="e">
        <f ca="1">IF(庫存Pro[[#This Row],[配息頻率]]=0,0,(100*庫存Pro[[#This Row],[票面利率]]/庫存Pro[[#This Row],[配息頻率]])*庫存Pro[[#This Row],[經過幾次配息]]+庫存Pro[[#This Row],[計算交割前手息(複算)]]-庫存Pro[[#This Row],[計算前手息(複算)]])</f>
        <v>#N/A</v>
      </c>
      <c r="AR21" s="581" t="e">
        <f ca="1">IF(庫存Pro[[#This Row],[商品代號]]="XFM90",0,ROUND(AQ21*V21/100,2))</f>
        <v>#N/A</v>
      </c>
      <c r="AS21" s="582">
        <f ca="1">IF(MF_Pro=2,IFERROR(庫存Pro[[#This Row],[累計配息]]/庫存Pro[[#This Row],[持有成本(不含前手息)]],0),IFERROR(庫存Pro[[#This Row],[已實現配息(原幣)]]/庫存Pro[[#This Row],[持有成本(含前手息)]],0))</f>
        <v>0</v>
      </c>
      <c r="AT21" s="583" t="e">
        <f ca="1">IF(MF_Pro=2,庫存Pro[[#This Row],[資本利損]]+庫存Pro[[#This Row],[累計配息]],庫存Pro[[#This Row],[資本利損]]+庫存Pro[[#This Row],[已實現配息(原幣)]])</f>
        <v>#N/A</v>
      </c>
      <c r="AU21" s="584">
        <f ca="1">IF(MF_Pro=2,IFERROR(庫存Pro[[#This Row],[合計收益]]/庫存Pro[[#This Row],[持有成本(不含前手息)]],0),IFERROR(庫存Pro[[#This Row],[合計收益]]/庫存Pro[[#This Row],[持有成本(含前手息)]],0))</f>
        <v>0</v>
      </c>
      <c r="AV21" s="434" t="e">
        <f t="shared" ca="1" si="0"/>
        <v>#VALUE!</v>
      </c>
      <c r="AW21" s="434" t="e">
        <f t="shared" ca="1" si="1"/>
        <v>#VALUE!</v>
      </c>
      <c r="AX21" s="434">
        <f t="shared" ca="1" si="2"/>
        <v>0</v>
      </c>
      <c r="AY21" s="434">
        <f t="shared" ca="1" si="3"/>
        <v>0</v>
      </c>
      <c r="AZ21" s="441" t="e">
        <f ca="1">IF(AND(庫存Pro[[#This Row],[名稱]]="美國國庫債券",DAY(庫存Pro[[#This Row],[買進前一配息日(初算)]])&gt;=28),EOMONTH(庫存Pro[[#This Row],[買進前一配息日(初算)]],0),庫存Pro[[#This Row],[買進前一配息日(初算)]])</f>
        <v>#N/A</v>
      </c>
      <c r="BA21" s="441" t="e">
        <f t="shared" ca="1" si="4"/>
        <v>#VALUE!</v>
      </c>
      <c r="BB21" s="444" t="e">
        <f t="shared" ca="1" si="5"/>
        <v>#VALUE!</v>
      </c>
      <c r="BC21" s="441" t="e">
        <f ca="1">IF(P21&gt;0,IF(MONTH(DATE(BB21,AV21,DAY(Q21)))&lt;&gt;庫存Pro[[#This Row],[第一個配息月]],DATE(BB21,AV21+1,0),DATE(BB21,AV21,DAY(Q21))),庫存Pro[[#This Row],[買進例外調整]]+100)</f>
        <v>#VALUE!</v>
      </c>
      <c r="BD21" s="441" t="e">
        <f ca="1">IF(AW21&lt;&gt;0,IF(MONTH(DATE(BB21,AW21,DAY(Q21)))&lt;&gt;庫存Pro[[#This Row],[第二個配息月]],DATE(BB21,AW21+1,0),DATE(BB21,AW21,DAY(Q21))),庫存Pro[[#This Row],[買進例外調整]]+100)</f>
        <v>#VALUE!</v>
      </c>
      <c r="BE21" s="441" t="e">
        <f ca="1">IF(AX21&lt;&gt;0,IF(MONTH(DATE(BB21,AX21,DAY(Q21)))&lt;&gt;庫存Pro[[#This Row],[第三個配息月]],DATE(BB21,AX21+1,0),DATE(BB21,AX21,DAY(Q21))),庫存Pro[[#This Row],[買進例外調整]]+100)</f>
        <v>#VALUE!</v>
      </c>
      <c r="BF21" s="441" t="e">
        <f ca="1">IF(AY21&lt;&gt;0,IF(MONTH(DATE(BB21,AY21,DAY(Q21)))&lt;&gt;庫存Pro[[#This Row],[第四個配息月]],DATE(BB21,AY21+1,0),DATE(BB21,AY21,DAY(Q21))),庫存Pro[[#This Row],[買進例外調整]]+100)</f>
        <v>#VALUE!</v>
      </c>
      <c r="BG21" s="441" t="e">
        <f ca="1">IF(P21=1,IF(MONTH(DATE(BB21-1,AV21,DAY(Q21)))&lt;&gt;庫存Pro[[#This Row],[第一個配息月]],DATE(BB21-1,AV21+1,0),DATE(BB21-1,AV21,DAY(Q21))),IF(P21=2,IF(MONTH(DATE(BB21-1,AW21,DAY(Q21)))&lt;&gt;庫存Pro[[#This Row],[第二個配息月]],DATE(BB21-1,AW21+1,0),DATE(BB21-1,AW21,DAY(Q21))),IF(P21=4,IF(MONTH(DATE(BB21-1,AY21,DAY(Q21)))&lt;&gt;庫存Pro[[#This Row],[第四個配息月]],DATE(BB21-1,AY21+1,0),DATE(BB21-1,AY21,DAY(Q21))),庫存Pro[[#This Row],[買進例外調整]]+100)))</f>
        <v>#VALUE!</v>
      </c>
      <c r="BH21" s="445">
        <f t="shared" ca="1" si="15"/>
        <v>10000</v>
      </c>
      <c r="BI21" s="445">
        <f t="shared" ca="1" si="16"/>
        <v>10000</v>
      </c>
      <c r="BJ21" s="445">
        <f t="shared" ca="1" si="17"/>
        <v>10000</v>
      </c>
      <c r="BK21" s="445">
        <f t="shared" ca="1" si="18"/>
        <v>10000</v>
      </c>
      <c r="BL21" s="455">
        <f t="shared" ca="1" si="19"/>
        <v>10000</v>
      </c>
      <c r="BM21" s="479" t="e">
        <f ca="1">庫存Pro[[#This Row],[年度配息]]/庫存Pro[[#This Row],[配息頻率]]</f>
        <v>#N/A</v>
      </c>
      <c r="BN21" s="479" t="e">
        <f ca="1">庫存Pro[[#This Row],[單次配息(原幣)]]*庫存Pro[[#This Row],[換算匯率(現)]]</f>
        <v>#N/A</v>
      </c>
      <c r="BO21" s="479" t="str">
        <f ca="1">IFERROR(VLOOKUP($H21,'銀行-TSS'!B:C,2,FALSE),"")</f>
        <v/>
      </c>
      <c r="BP21" s="479" t="e">
        <f ca="1">VLOOKUP(庫存Pro[[#This Row],[幣別]],$B$37:$C$43,2,FALSE)</f>
        <v>#N/A</v>
      </c>
      <c r="BQ21" s="500" t="e">
        <f ca="1">CHOOSE(庫存Pro[[#This Row],[對應編碼]],$D$37,$D$38,$D$39,$D$40,$D$41,$D$42,$D$43)</f>
        <v>#N/A</v>
      </c>
      <c r="BR21" s="500" t="e">
        <f ca="1">CHOOSE(庫存Pro[[#This Row],[對應編碼]],$E$37,$E$38,$E$39,$E$40,$E$41,$E$42,$E$43)</f>
        <v>#N/A</v>
      </c>
      <c r="BS21" s="595" t="e">
        <f ca="1">庫存Pro[[#This Row],[投入面額]]*庫存Pro[[#This Row],[換算匯率(現)]]</f>
        <v>#N/A</v>
      </c>
      <c r="BT21" s="595" t="e">
        <f ca="1">庫存Pro[[#This Row],[持有成本(含前手息)]]*庫存Pro[[#This Row],[換算匯率(買)]]</f>
        <v>#N/A</v>
      </c>
      <c r="BU21" s="498" t="e">
        <f ca="1">庫存Pro[[#This Row],[持有成本(不含前手息)]]*庫存Pro[[#This Row],[換算匯率(買)]]</f>
        <v>#N/A</v>
      </c>
      <c r="BV21" s="498" t="e">
        <f ca="1">庫存Pro[[#This Row],[部位現值(含前手息)]]*庫存Pro[[#This Row],[換算匯率(現)]]</f>
        <v>#N/A</v>
      </c>
      <c r="BW21" s="498" t="e">
        <f ca="1">庫存Pro[[#This Row],[部位現值(不含前手息)]]*庫存Pro[[#This Row],[換算匯率(現)]]</f>
        <v>#N/A</v>
      </c>
      <c r="BX21" s="498" t="e">
        <f ca="1">IF(MF_Pro=2,庫存Pro[[#This Row],[累計配息]]*庫存Pro[[#This Row],[換算匯率(現)]],庫存Pro[[#This Row],[已實現配息(原幣)]]*庫存Pro[[#This Row],[換算匯率(現)]])</f>
        <v>#N/A</v>
      </c>
      <c r="BY21" s="498" t="e">
        <f ca="1">庫存Pro[[#This Row],[資本利損]]*庫存Pro[[#This Row],[換算匯率(現)]]</f>
        <v>#N/A</v>
      </c>
      <c r="BZ21" s="498" t="e">
        <f ca="1">庫存Pro[[#This Row],[累計利息(台)]]+庫存Pro[[#This Row],[資本貢獻(台)]]</f>
        <v>#N/A</v>
      </c>
      <c r="CA21" s="574">
        <f ca="1">IFERROR(庫存Pro[[#This Row],[配息報酬]],0)</f>
        <v>0</v>
      </c>
      <c r="CB21" s="574">
        <f ca="1">庫存Pro[[#This Row],[資本報酬]]</f>
        <v>0</v>
      </c>
      <c r="CC21" s="574">
        <f ca="1">IFERROR(庫存Pro[[#This Row],[換匯總報酬率]]-(庫存Pro[[#This Row],[配息報酬率]]+庫存Pro[[#This Row],[資本報酬率]]),0)</f>
        <v>0</v>
      </c>
      <c r="CD21" s="574">
        <f ca="1">IF(MF_Pro=2,IFERROR((庫存Pro[[#This Row],[參考贖回金額(現)]]+庫存Pro[[#This Row],[累計利息(台)]])/庫存Pro[[#This Row],[淨投入成本(買)]]-1,0),IFERROR(((庫存Pro[[#This Row],[參考贖回金額含前手息(現)]]+庫存Pro[[#This Row],[累計利息(台)]])/庫存Pro[[#This Row],[庫存成本(買)]])-1,0))</f>
        <v>0</v>
      </c>
      <c r="CE21" s="585">
        <f t="shared" ca="1" si="7"/>
        <v>0</v>
      </c>
      <c r="CF21" s="574">
        <f t="shared" ca="1" si="8"/>
        <v>0</v>
      </c>
      <c r="CG21"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1" s="646" t="e">
        <f ca="1">DATEDIF(庫存Pro[[#This Row],[買進例外調整]],庫存Pro[[#This Row],[到期日]],"d")/365.25</f>
        <v>#VALUE!</v>
      </c>
      <c r="CI21" s="739" t="e">
        <f ca="1">DATEVALUE(VLOOKUP(庫存Pro[[#This Row],[商品代號]],bond!B:AF,31,FALSE))</f>
        <v>#N/A</v>
      </c>
      <c r="CJ21" s="739" t="e">
        <f ca="1">IF(庫存Pro[[#This Row],[買下配(國調)]]&lt;庫存Pro[[#This Row],[第一票息日]],庫存Pro[[#This Row],[第一票息日]],庫存Pro[[#This Row],[買下配(國調)]])</f>
        <v>#N/A</v>
      </c>
      <c r="CK21"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1"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1" s="646">
        <f ca="1">IF(庫存Pro[[#This Row],[商品代號]]="XFM90",0,IFERROR(庫存Pro[[#This Row],[單次配息(原幣)]]*庫存Pro[[#This Row],[經過幾次配息]],0))</f>
        <v>0</v>
      </c>
      <c r="CN21" s="646" t="e">
        <f ca="1">VLOOKUP(庫存Pro[[#This Row],[商品代號]],bond!B:F,5,FALSE)</f>
        <v>#N/A</v>
      </c>
      <c r="CO21" s="739" t="str">
        <f ca="1">IFERROR(VLOOKUP(庫存Pro[[#This Row],[ISIN]],'7_發行日例外'!A:C,3,FALSE),IFERROR(DATEVALUE(VLOOKUP(庫存Pro[[#This Row],[商品代號]],bond!B:AR,43,FALSE)),""))</f>
        <v/>
      </c>
      <c r="CP21" s="646" t="e">
        <f ca="1">DATEDIF(庫存Pro[[#This Row],[起息日]],庫存Pro[[#This Row],[買進前一配息日(複算)]],"d")</f>
        <v>#VALUE!</v>
      </c>
      <c r="CQ21"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1" s="739" t="e">
        <f ca="1">IFERROR(VLOOKUP(庫存Pro[[#This Row],[ISIN]],'7_發行日例外'!A:D,4,FALSE),DATEVALUE(VLOOKUP(庫存Pro[[#This Row],[商品代號]],bond!B:AV,44,FALSE)))</f>
        <v>#N/A</v>
      </c>
      <c r="CS21" s="646" t="e">
        <f ca="1">VLOOKUP(庫存Pro[[#This Row],[商品代號]],bond!B:AU,46,FALSE)</f>
        <v>#N/A</v>
      </c>
      <c r="CT21" s="646" t="e">
        <f ca="1">IF(庫存Pro[[#This Row],[計息基礎]]=1,CHOOSE(庫存Pro[[#This Row],[對應編碼]],"沒進位","","沒進位",IF(庫存Pro[[#This Row],[計算類型]]="AUSTRALIA:EX-DIV","4捨五入進0.01%","沒進位"),"年/2去計算ACT","沒進位","沒進位"),"")</f>
        <v>#N/A</v>
      </c>
      <c r="CU21" s="646" t="e">
        <f ca="1">_xlfn.DAYS(庫存Pro[[#This Row],[買進例外調整]],庫存Pro[[#This Row],[買進前一個配息日(最終)]])</f>
        <v>#N/A</v>
      </c>
      <c r="CV21" s="646" t="e">
        <f ca="1">IF(庫存Pro[[#This Row],[備註]]="年/2去計算ACT",365/2,_xlfn.DAYS(庫存Pro[[#This Row],[買進時的下個配息日]],庫存Pro[[#This Row],[買進前一個配息日(最終)]]))</f>
        <v>#N/A</v>
      </c>
      <c r="CW21"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1" s="768" t="e">
        <f ca="1">_xlfn.DAYS(庫存Pro[[#This Row],[交割日]],庫存Pro[[#This Row],[買進前一個配息日(最終)]])</f>
        <v>#N/A</v>
      </c>
      <c r="CY21"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1" s="768" t="e">
        <f ca="1">_xlfn.DAYS(庫存Pro[[#This Row],[交割日]],庫存Pro[[#This Row],[最近的上一票息日]])</f>
        <v>#N/A</v>
      </c>
      <c r="DA21" s="768" t="e">
        <f ca="1">IF(庫存Pro[[#This Row],[備註]]="年/2去計算ACT",365/2,_xlfn.DAYS(庫存Pro[[#This Row],[下一配息日]],庫存Pro[[#This Row],[最近的上一票息日]]))</f>
        <v>#N/A</v>
      </c>
      <c r="DB21"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1" s="739" t="e">
        <f ca="1">CJ21-庫存Pro[[#This Row],[ex_div_days]]</f>
        <v>#N/A</v>
      </c>
      <c r="DD21" s="646" t="e">
        <f ca="1">IF(VLOOKUP(庫存Pro[[#This Row],[商品代號]],bond!B:AT,45,FALSE)="#N/A Field Not Applicable",0,VLOOKUP(庫存Pro[[#This Row],[商品代號]],bond!B:AT,45,FALSE))</f>
        <v>#N/A</v>
      </c>
      <c r="DE21" s="793" t="e">
        <f ca="1">IF(庫存Pro[[#This Row],[ex_div_days]]&lt;&gt;0,IF(AND(庫存Pro[[#This Row],[買進例外調整]]-庫存Pro[[#This Row],[買進下一個配息日先減n天]]&gt;=0,庫存Pro[[#This Row],[買進時的下個配息日]]-庫存Pro[[#This Row],[買進例外調整]]&gt;0),1,0),0)</f>
        <v>#N/A</v>
      </c>
      <c r="DF21" s="784" t="e">
        <f ca="1">IF(庫存Pro[[#This Row],[對應編碼]]=4,ROUND(庫存Pro[[#This Row],[前手息(初算)]]-庫存Pro[[#This Row],[票面利率]]/庫存Pro[[#This Row],[配息頻率]]*100,3),ROUND(庫存Pro[[#This Row],[前手息(初算)]]-庫存Pro[[#This Row],[票面利率]]/庫存Pro[[#This Row],[配息頻率]]*100,4))</f>
        <v>#N/A</v>
      </c>
      <c r="DG21" s="734" t="e">
        <f ca="1">庫存Pro[[#This Row],[下一配息日]]-庫存Pro[[#This Row],[ex_div_days]]</f>
        <v>#VALUE!</v>
      </c>
      <c r="DH21" s="1084" t="e">
        <f ca="1">IF(庫存Pro[[#This Row],[ex_div_days]]&lt;&gt;0,IF(AND(庫存Pro[[#This Row],[交割日]]-庫存Pro[[#This Row],[交割下個配息日先減n天]]&gt;=0,庫存Pro[[#This Row],[下一配息日]]-庫存Pro[[#This Row],[交割日]]&gt;0),1,0),0)</f>
        <v>#N/A</v>
      </c>
      <c r="DI21"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22" spans="2:239" ht="19.5" customHeight="1">
      <c r="B22" s="12">
        <v>4</v>
      </c>
      <c r="C22" s="604">
        <f t="shared" ca="1" si="22"/>
        <v>0</v>
      </c>
      <c r="D22" s="26" t="s">
        <v>1791</v>
      </c>
      <c r="E22" s="702">
        <f t="shared" ca="1" si="20"/>
        <v>0</v>
      </c>
      <c r="F22" s="701">
        <f t="shared" ca="1" si="21"/>
        <v>0</v>
      </c>
      <c r="G22" s="605" t="str">
        <f t="shared" ca="1" si="23"/>
        <v>0</v>
      </c>
      <c r="H22" s="428">
        <f ca="1">IF(開關=TRUE,'庫存管理(Pro)'!B22,0)</f>
        <v>0</v>
      </c>
      <c r="I22" s="429" t="e">
        <f ca="1">VLOOKUP(H22,bond!B:I,8,FALSE)</f>
        <v>#N/A</v>
      </c>
      <c r="J22" s="429" t="e">
        <f ca="1">庫存Pro[[#This Row],[買價]]+VLOOKUP(庫存Pro[[#This Row],[商品代號]],bond!B:K,10,FALSE)</f>
        <v>#N/A</v>
      </c>
      <c r="K22" s="430" t="e">
        <f ca="1">VLOOKUP(H22,'銀行-TSS'!B:E,4,FALSE)</f>
        <v>#N/A</v>
      </c>
      <c r="L22" s="431" t="e">
        <f ca="1">VLOOKUP($H22,'銀行-TSS'!B:G,6,FALSE)</f>
        <v>#N/A</v>
      </c>
      <c r="M22" s="432" t="e">
        <f ca="1">IFERROR(DATEVALUE(VLOOKUP($H22,'銀行-TSS'!B:F,5,FALSE)),VLOOKUP($H22,'銀行-TSS'!B:F,5,FALSE))</f>
        <v>#N/A</v>
      </c>
      <c r="N22" s="433" t="e">
        <f ca="1">VLOOKUP($H22,'銀行-TSS'!B:H,7,FALSE)</f>
        <v>#N/A</v>
      </c>
      <c r="O22" s="433" t="e">
        <f ca="1">庫存Pro[[#This Row],[票面利率]]/庫存Pro[[#This Row],[成本價(不含前手息)]]*100</f>
        <v>#N/A</v>
      </c>
      <c r="P22" s="434" t="str">
        <f ca="1">IFERROR(VLOOKUP($H22,'銀行-TSS'!B:I,8,FALSE),"")</f>
        <v/>
      </c>
      <c r="Q22" s="440" t="str">
        <f ca="1">_xlfn.IFNA(IFERROR(DATEVALUE(VLOOKUP($H22,'銀行-TSS'!B:P,15,FALSE)),VLOOKUP($H22,'銀行-TSS'!B:P,15,FALSE)),"")</f>
        <v/>
      </c>
      <c r="R22" s="570" t="b">
        <f>IF(AND('2_Check_code'!C43,庫存Pro[[#This Row],[投入面額]]&gt;0),TRUE,FALSE)</f>
        <v>0</v>
      </c>
      <c r="S22" s="602">
        <f>'庫存管理(Pro)'!AE22</f>
        <v>0</v>
      </c>
      <c r="T22"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2" s="442" t="str">
        <f ca="1">IFERROR(WORKDAY(庫存Pro[[#This Row],[買進日]],VLOOKUP(庫存Pro[[#This Row],[商品代號]],'1_重設數據'!R:S,2,FALSE),休USD),庫存Pro[[#This Row],[買進日(T+2/公債T+1)]])</f>
        <v/>
      </c>
      <c r="V22" s="43">
        <f>'庫存管理(Pro)'!J22</f>
        <v>0</v>
      </c>
      <c r="W22" s="43">
        <f>'庫存管理(Pro)'!K22</f>
        <v>0</v>
      </c>
      <c r="X22" s="464">
        <f t="shared" ca="1" si="9"/>
        <v>0</v>
      </c>
      <c r="Y22" s="464" t="e">
        <f t="shared" ca="1" si="11"/>
        <v>#N/A</v>
      </c>
      <c r="Z22" s="465" t="e">
        <f t="shared" ca="1" si="12"/>
        <v>#N/A</v>
      </c>
      <c r="AA22" s="474" t="e">
        <f ca="1">IF(MF_Pro=2,庫存Pro[[#This Row],[部位現值(不含前手息)]]-庫存Pro[[#This Row],[持有成本(不含前手息)]],庫存Pro[[#This Row],[部位現值(含前手息)]]-庫存Pro[[#This Row],[持有成本(含前手息)]])</f>
        <v>#N/A</v>
      </c>
      <c r="AB22" s="462">
        <f ca="1">IF(MF_Pro=2,IFERROR(庫存Pro[[#This Row],[資本利損]]/庫存Pro[[#This Row],[持有成本(不含前手息)]],0),IFERROR(庫存Pro[[#This Row],[資本利損]]/庫存Pro[[#This Row],[持有成本(含前手息)]],0))</f>
        <v>0</v>
      </c>
      <c r="AC22" s="618" t="e">
        <f ca="1">庫存Pro[[#This Row],[持有成本(不含前手息)]]/庫存Pro[[#This Row],[投入面額]]*100</f>
        <v>#DIV/0!</v>
      </c>
      <c r="AD22" s="462" t="e">
        <f ca="1">VLOOKUP(庫存Pro[[#This Row],[商品代號]],bond!B:AA,26,FALSE)</f>
        <v>#N/A</v>
      </c>
      <c r="AE22" s="1" t="str">
        <f ca="1">IFERROR(VLOOKUP($H22,'銀行-TSS'!B:Q,16,FALSE),"")</f>
        <v/>
      </c>
      <c r="AF22" s="466" t="e">
        <f t="shared" ca="1" si="13"/>
        <v>#N/A</v>
      </c>
      <c r="AG22" s="458" t="e">
        <f ca="1">IF(OR(庫存Pro[[#This Row],[起息日]]&gt;庫存Pro[[#This Row],[買進前一配息日(複算)]],庫存Pro[[#This Row],[判斷]]=TRUE),庫存Pro[[#This Row],[起息日]],庫存Pro[[#This Row],[買進前一配息日(複算)]])</f>
        <v>#N/A</v>
      </c>
      <c r="AH22" s="577" t="e">
        <f ca="1">VLOOKUP(H22,bond!B:AP,41,FALSE)</f>
        <v>#N/A</v>
      </c>
      <c r="AI22" s="578" t="e">
        <f t="shared" ca="1" si="14"/>
        <v>#N/A</v>
      </c>
      <c r="AJ22" s="579">
        <f ca="1">IFERROR(IF(庫存Pro[[#This Row],[買進日是否落入record date]]=1,庫存Pro[[#This Row],[record date制度前手息]],庫存Pro[[#This Row],[前手息(初算)]]),0)</f>
        <v>0</v>
      </c>
      <c r="AK22" s="579" t="e">
        <f ca="1">IF(OR(庫存Pro[[#This Row],[買進例外調整]]&lt;庫存Pro[[#This Row],[起息日]],庫存Pro[[#This Row],[買進例外調整]]&gt;庫存Pro[[#This Row],[到期日]]),0,IF(庫存Pro[[#This Row],[備註]]&lt;&gt;"",庫存Pro[[#This Row],[買進時前手息]],IFERROR(ROUND(ACCRINT(AG22,AG22,U22,N22,100,P22,AI22,TRUE),4),0)))</f>
        <v>#N/A</v>
      </c>
      <c r="AL22" s="580">
        <f t="shared" ca="1" si="10"/>
        <v>0</v>
      </c>
      <c r="AM22" s="440" t="e">
        <f ca="1">DATEVALUE(VLOOKUP(H22,bond!B:I,7,FALSE))</f>
        <v>#N/A</v>
      </c>
      <c r="AN22"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2" s="579">
        <f ca="1">IFERROR(IF(庫存Pro[[#This Row],[交割日是否落入record date]]=1,庫存Pro[[#This Row],[交_record date制度前手息]],庫存Pro[[#This Row],[計算交割前手息(初算)]]),0)</f>
        <v>0</v>
      </c>
      <c r="AP22"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2" s="579" t="e">
        <f ca="1">IF(庫存Pro[[#This Row],[配息頻率]]=0,0,(100*庫存Pro[[#This Row],[票面利率]]/庫存Pro[[#This Row],[配息頻率]])*庫存Pro[[#This Row],[經過幾次配息]]+庫存Pro[[#This Row],[計算交割前手息(複算)]]-庫存Pro[[#This Row],[計算前手息(複算)]])</f>
        <v>#N/A</v>
      </c>
      <c r="AR22" s="581" t="e">
        <f ca="1">IF(庫存Pro[[#This Row],[商品代號]]="XFM90",0,ROUND(AQ22*V22/100,2))</f>
        <v>#N/A</v>
      </c>
      <c r="AS22" s="582">
        <f ca="1">IF(MF_Pro=2,IFERROR(庫存Pro[[#This Row],[累計配息]]/庫存Pro[[#This Row],[持有成本(不含前手息)]],0),IFERROR(庫存Pro[[#This Row],[已實現配息(原幣)]]/庫存Pro[[#This Row],[持有成本(含前手息)]],0))</f>
        <v>0</v>
      </c>
      <c r="AT22" s="583" t="e">
        <f ca="1">IF(MF_Pro=2,庫存Pro[[#This Row],[資本利損]]+庫存Pro[[#This Row],[累計配息]],庫存Pro[[#This Row],[資本利損]]+庫存Pro[[#This Row],[已實現配息(原幣)]])</f>
        <v>#N/A</v>
      </c>
      <c r="AU22" s="584">
        <f ca="1">IF(MF_Pro=2,IFERROR(庫存Pro[[#This Row],[合計收益]]/庫存Pro[[#This Row],[持有成本(不含前手息)]],0),IFERROR(庫存Pro[[#This Row],[合計收益]]/庫存Pro[[#This Row],[持有成本(含前手息)]],0))</f>
        <v>0</v>
      </c>
      <c r="AV22" s="434" t="e">
        <f t="shared" ca="1" si="0"/>
        <v>#VALUE!</v>
      </c>
      <c r="AW22" s="434" t="e">
        <f t="shared" ca="1" si="1"/>
        <v>#VALUE!</v>
      </c>
      <c r="AX22" s="434">
        <f t="shared" ca="1" si="2"/>
        <v>0</v>
      </c>
      <c r="AY22" s="434">
        <f t="shared" ca="1" si="3"/>
        <v>0</v>
      </c>
      <c r="AZ22" s="441" t="e">
        <f ca="1">IF(AND(庫存Pro[[#This Row],[名稱]]="美國國庫債券",DAY(庫存Pro[[#This Row],[買進前一配息日(初算)]])&gt;=28),EOMONTH(庫存Pro[[#This Row],[買進前一配息日(初算)]],0),庫存Pro[[#This Row],[買進前一配息日(初算)]])</f>
        <v>#N/A</v>
      </c>
      <c r="BA22" s="441" t="e">
        <f t="shared" ca="1" si="4"/>
        <v>#VALUE!</v>
      </c>
      <c r="BB22" s="444" t="e">
        <f t="shared" ca="1" si="5"/>
        <v>#VALUE!</v>
      </c>
      <c r="BC22" s="441" t="e">
        <f ca="1">IF(P22&gt;0,IF(MONTH(DATE(BB22,AV22,DAY(Q22)))&lt;&gt;庫存Pro[[#This Row],[第一個配息月]],DATE(BB22,AV22+1,0),DATE(BB22,AV22,DAY(Q22))),庫存Pro[[#This Row],[買進例外調整]]+100)</f>
        <v>#VALUE!</v>
      </c>
      <c r="BD22" s="441" t="e">
        <f ca="1">IF(AW22&lt;&gt;0,IF(MONTH(DATE(BB22,AW22,DAY(Q22)))&lt;&gt;庫存Pro[[#This Row],[第二個配息月]],DATE(BB22,AW22+1,0),DATE(BB22,AW22,DAY(Q22))),庫存Pro[[#This Row],[買進例外調整]]+100)</f>
        <v>#VALUE!</v>
      </c>
      <c r="BE22" s="441" t="e">
        <f ca="1">IF(AX22&lt;&gt;0,IF(MONTH(DATE(BB22,AX22,DAY(Q22)))&lt;&gt;庫存Pro[[#This Row],[第三個配息月]],DATE(BB22,AX22+1,0),DATE(BB22,AX22,DAY(Q22))),庫存Pro[[#This Row],[買進例外調整]]+100)</f>
        <v>#VALUE!</v>
      </c>
      <c r="BF22" s="441" t="e">
        <f ca="1">IF(AY22&lt;&gt;0,IF(MONTH(DATE(BB22,AY22,DAY(Q22)))&lt;&gt;庫存Pro[[#This Row],[第四個配息月]],DATE(BB22,AY22+1,0),DATE(BB22,AY22,DAY(Q22))),庫存Pro[[#This Row],[買進例外調整]]+100)</f>
        <v>#VALUE!</v>
      </c>
      <c r="BG22" s="441" t="e">
        <f ca="1">IF(P22=1,IF(MONTH(DATE(BB22-1,AV22,DAY(Q22)))&lt;&gt;庫存Pro[[#This Row],[第一個配息月]],DATE(BB22-1,AV22+1,0),DATE(BB22-1,AV22,DAY(Q22))),IF(P22=2,IF(MONTH(DATE(BB22-1,AW22,DAY(Q22)))&lt;&gt;庫存Pro[[#This Row],[第二個配息月]],DATE(BB22-1,AW22+1,0),DATE(BB22-1,AW22,DAY(Q22))),IF(P22=4,IF(MONTH(DATE(BB22-1,AY22,DAY(Q22)))&lt;&gt;庫存Pro[[#This Row],[第四個配息月]],DATE(BB22-1,AY22+1,0),DATE(BB22-1,AY22,DAY(Q22))),庫存Pro[[#This Row],[買進例外調整]]+100)))</f>
        <v>#VALUE!</v>
      </c>
      <c r="BH22" s="445">
        <f t="shared" ca="1" si="15"/>
        <v>10000</v>
      </c>
      <c r="BI22" s="445">
        <f t="shared" ca="1" si="16"/>
        <v>10000</v>
      </c>
      <c r="BJ22" s="445">
        <f t="shared" ca="1" si="17"/>
        <v>10000</v>
      </c>
      <c r="BK22" s="445">
        <f t="shared" ca="1" si="18"/>
        <v>10000</v>
      </c>
      <c r="BL22" s="455">
        <f t="shared" ca="1" si="19"/>
        <v>10000</v>
      </c>
      <c r="BM22" s="479" t="e">
        <f ca="1">庫存Pro[[#This Row],[年度配息]]/庫存Pro[[#This Row],[配息頻率]]</f>
        <v>#N/A</v>
      </c>
      <c r="BN22" s="479" t="e">
        <f ca="1">庫存Pro[[#This Row],[單次配息(原幣)]]*庫存Pro[[#This Row],[換算匯率(現)]]</f>
        <v>#N/A</v>
      </c>
      <c r="BO22" s="479" t="str">
        <f ca="1">IFERROR(VLOOKUP($H22,'銀行-TSS'!B:C,2,FALSE),"")</f>
        <v/>
      </c>
      <c r="BP22" s="479" t="e">
        <f ca="1">VLOOKUP(庫存Pro[[#This Row],[幣別]],$B$37:$C$43,2,FALSE)</f>
        <v>#N/A</v>
      </c>
      <c r="BQ22" s="500" t="e">
        <f ca="1">CHOOSE(庫存Pro[[#This Row],[對應編碼]],$D$37,$D$38,$D$39,$D$40,$D$41,$D$42,$D$43)</f>
        <v>#N/A</v>
      </c>
      <c r="BR22" s="500" t="e">
        <f ca="1">CHOOSE(庫存Pro[[#This Row],[對應編碼]],$E$37,$E$38,$E$39,$E$40,$E$41,$E$42,$E$43)</f>
        <v>#N/A</v>
      </c>
      <c r="BS22" s="595" t="e">
        <f ca="1">庫存Pro[[#This Row],[投入面額]]*庫存Pro[[#This Row],[換算匯率(現)]]</f>
        <v>#N/A</v>
      </c>
      <c r="BT22" s="595" t="e">
        <f ca="1">庫存Pro[[#This Row],[持有成本(含前手息)]]*庫存Pro[[#This Row],[換算匯率(買)]]</f>
        <v>#N/A</v>
      </c>
      <c r="BU22" s="498" t="e">
        <f ca="1">庫存Pro[[#This Row],[持有成本(不含前手息)]]*庫存Pro[[#This Row],[換算匯率(買)]]</f>
        <v>#N/A</v>
      </c>
      <c r="BV22" s="498" t="e">
        <f ca="1">庫存Pro[[#This Row],[部位現值(含前手息)]]*庫存Pro[[#This Row],[換算匯率(現)]]</f>
        <v>#N/A</v>
      </c>
      <c r="BW22" s="498" t="e">
        <f ca="1">庫存Pro[[#This Row],[部位現值(不含前手息)]]*庫存Pro[[#This Row],[換算匯率(現)]]</f>
        <v>#N/A</v>
      </c>
      <c r="BX22" s="498" t="e">
        <f ca="1">IF(MF_Pro=2,庫存Pro[[#This Row],[累計配息]]*庫存Pro[[#This Row],[換算匯率(現)]],庫存Pro[[#This Row],[已實現配息(原幣)]]*庫存Pro[[#This Row],[換算匯率(現)]])</f>
        <v>#N/A</v>
      </c>
      <c r="BY22" s="498" t="e">
        <f ca="1">庫存Pro[[#This Row],[資本利損]]*庫存Pro[[#This Row],[換算匯率(現)]]</f>
        <v>#N/A</v>
      </c>
      <c r="BZ22" s="498" t="e">
        <f ca="1">庫存Pro[[#This Row],[累計利息(台)]]+庫存Pro[[#This Row],[資本貢獻(台)]]</f>
        <v>#N/A</v>
      </c>
      <c r="CA22" s="574">
        <f ca="1">IFERROR(庫存Pro[[#This Row],[配息報酬]],0)</f>
        <v>0</v>
      </c>
      <c r="CB22" s="574">
        <f ca="1">庫存Pro[[#This Row],[資本報酬]]</f>
        <v>0</v>
      </c>
      <c r="CC22" s="574">
        <f ca="1">IFERROR(庫存Pro[[#This Row],[換匯總報酬率]]-(庫存Pro[[#This Row],[配息報酬率]]+庫存Pro[[#This Row],[資本報酬率]]),0)</f>
        <v>0</v>
      </c>
      <c r="CD22" s="574">
        <f ca="1">IF(MF_Pro=2,IFERROR((庫存Pro[[#This Row],[參考贖回金額(現)]]+庫存Pro[[#This Row],[累計利息(台)]])/庫存Pro[[#This Row],[淨投入成本(買)]]-1,0),IFERROR(((庫存Pro[[#This Row],[參考贖回金額含前手息(現)]]+庫存Pro[[#This Row],[累計利息(台)]])/庫存Pro[[#This Row],[庫存成本(買)]])-1,0))</f>
        <v>0</v>
      </c>
      <c r="CE22" s="585">
        <f t="shared" ca="1" si="7"/>
        <v>0</v>
      </c>
      <c r="CF22" s="574">
        <f t="shared" ca="1" si="8"/>
        <v>0</v>
      </c>
      <c r="CG22"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2" s="646" t="e">
        <f ca="1">DATEDIF(庫存Pro[[#This Row],[買進例外調整]],庫存Pro[[#This Row],[到期日]],"d")/365.25</f>
        <v>#VALUE!</v>
      </c>
      <c r="CI22" s="739" t="e">
        <f ca="1">DATEVALUE(VLOOKUP(庫存Pro[[#This Row],[商品代號]],bond!B:AF,31,FALSE))</f>
        <v>#N/A</v>
      </c>
      <c r="CJ22" s="739" t="e">
        <f ca="1">IF(庫存Pro[[#This Row],[買下配(國調)]]&lt;庫存Pro[[#This Row],[第一票息日]],庫存Pro[[#This Row],[第一票息日]],庫存Pro[[#This Row],[買下配(國調)]])</f>
        <v>#N/A</v>
      </c>
      <c r="CK22"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2"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2" s="646">
        <f ca="1">IF(庫存Pro[[#This Row],[商品代號]]="XFM90",0,IFERROR(庫存Pro[[#This Row],[單次配息(原幣)]]*庫存Pro[[#This Row],[經過幾次配息]],0))</f>
        <v>0</v>
      </c>
      <c r="CN22" s="646" t="e">
        <f ca="1">VLOOKUP(庫存Pro[[#This Row],[商品代號]],bond!B:F,5,FALSE)</f>
        <v>#N/A</v>
      </c>
      <c r="CO22" s="739" t="str">
        <f ca="1">IFERROR(VLOOKUP(庫存Pro[[#This Row],[ISIN]],'7_發行日例外'!A:C,3,FALSE),IFERROR(DATEVALUE(VLOOKUP(庫存Pro[[#This Row],[商品代號]],bond!B:AR,43,FALSE)),""))</f>
        <v/>
      </c>
      <c r="CP22" s="646" t="e">
        <f ca="1">DATEDIF(庫存Pro[[#This Row],[起息日]],庫存Pro[[#This Row],[買進前一配息日(複算)]],"d")</f>
        <v>#VALUE!</v>
      </c>
      <c r="CQ22"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2" s="739" t="e">
        <f ca="1">IFERROR(VLOOKUP(庫存Pro[[#This Row],[ISIN]],'7_發行日例外'!A:D,4,FALSE),DATEVALUE(VLOOKUP(庫存Pro[[#This Row],[商品代號]],bond!B:AV,44,FALSE)))</f>
        <v>#N/A</v>
      </c>
      <c r="CS22" s="646" t="e">
        <f ca="1">VLOOKUP(庫存Pro[[#This Row],[商品代號]],bond!B:AU,46,FALSE)</f>
        <v>#N/A</v>
      </c>
      <c r="CT22" s="646" t="e">
        <f ca="1">IF(庫存Pro[[#This Row],[計息基礎]]=1,CHOOSE(庫存Pro[[#This Row],[對應編碼]],"沒進位","","沒進位",IF(庫存Pro[[#This Row],[計算類型]]="AUSTRALIA:EX-DIV","4捨五入進0.01%","沒進位"),"年/2去計算ACT","沒進位","沒進位"),"")</f>
        <v>#N/A</v>
      </c>
      <c r="CU22" s="646" t="e">
        <f ca="1">_xlfn.DAYS(庫存Pro[[#This Row],[買進例外調整]],庫存Pro[[#This Row],[買進前一個配息日(最終)]])</f>
        <v>#N/A</v>
      </c>
      <c r="CV22" s="646" t="e">
        <f ca="1">IF(庫存Pro[[#This Row],[備註]]="年/2去計算ACT",365/2,_xlfn.DAYS(庫存Pro[[#This Row],[買進時的下個配息日]],庫存Pro[[#This Row],[買進前一個配息日(最終)]]))</f>
        <v>#N/A</v>
      </c>
      <c r="CW22"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2" s="768" t="e">
        <f ca="1">_xlfn.DAYS(庫存Pro[[#This Row],[交割日]],庫存Pro[[#This Row],[買進前一個配息日(最終)]])</f>
        <v>#N/A</v>
      </c>
      <c r="CY22"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2" s="768" t="e">
        <f ca="1">_xlfn.DAYS(庫存Pro[[#This Row],[交割日]],庫存Pro[[#This Row],[最近的上一票息日]])</f>
        <v>#N/A</v>
      </c>
      <c r="DA22" s="768" t="e">
        <f ca="1">IF(庫存Pro[[#This Row],[備註]]="年/2去計算ACT",365/2,_xlfn.DAYS(庫存Pro[[#This Row],[下一配息日]],庫存Pro[[#This Row],[最近的上一票息日]]))</f>
        <v>#N/A</v>
      </c>
      <c r="DB22"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2" s="739" t="e">
        <f ca="1">CJ22-庫存Pro[[#This Row],[ex_div_days]]</f>
        <v>#N/A</v>
      </c>
      <c r="DD22" s="646" t="e">
        <f ca="1">IF(VLOOKUP(庫存Pro[[#This Row],[商品代號]],bond!B:AT,45,FALSE)="#N/A Field Not Applicable",0,VLOOKUP(庫存Pro[[#This Row],[商品代號]],bond!B:AT,45,FALSE))</f>
        <v>#N/A</v>
      </c>
      <c r="DE22" s="793" t="e">
        <f ca="1">IF(庫存Pro[[#This Row],[ex_div_days]]&lt;&gt;0,IF(AND(庫存Pro[[#This Row],[買進例外調整]]-庫存Pro[[#This Row],[買進下一個配息日先減n天]]&gt;=0,庫存Pro[[#This Row],[買進時的下個配息日]]-庫存Pro[[#This Row],[買進例外調整]]&gt;0),1,0),0)</f>
        <v>#N/A</v>
      </c>
      <c r="DF22" s="784" t="e">
        <f ca="1">IF(庫存Pro[[#This Row],[對應編碼]]=4,ROUND(庫存Pro[[#This Row],[前手息(初算)]]-庫存Pro[[#This Row],[票面利率]]/庫存Pro[[#This Row],[配息頻率]]*100,3),ROUND(庫存Pro[[#This Row],[前手息(初算)]]-庫存Pro[[#This Row],[票面利率]]/庫存Pro[[#This Row],[配息頻率]]*100,4))</f>
        <v>#N/A</v>
      </c>
      <c r="DG22" s="734" t="e">
        <f ca="1">庫存Pro[[#This Row],[下一配息日]]-庫存Pro[[#This Row],[ex_div_days]]</f>
        <v>#VALUE!</v>
      </c>
      <c r="DH22" s="1084" t="e">
        <f ca="1">IF(庫存Pro[[#This Row],[ex_div_days]]&lt;&gt;0,IF(AND(庫存Pro[[#This Row],[交割日]]-庫存Pro[[#This Row],[交割下個配息日先減n天]]&gt;=0,庫存Pro[[#This Row],[下一配息日]]-庫存Pro[[#This Row],[交割日]]&gt;0),1,0),0)</f>
        <v>#N/A</v>
      </c>
      <c r="DI22"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23" spans="2:239" ht="19.5" customHeight="1">
      <c r="B23" s="12">
        <v>5</v>
      </c>
      <c r="C23" s="604">
        <f t="shared" ca="1" si="22"/>
        <v>0</v>
      </c>
      <c r="D23" s="26" t="s">
        <v>1792</v>
      </c>
      <c r="E23" s="702">
        <f t="shared" ca="1" si="20"/>
        <v>0</v>
      </c>
      <c r="F23" s="701">
        <f t="shared" ca="1" si="21"/>
        <v>0</v>
      </c>
      <c r="G23" s="605" t="str">
        <f t="shared" ca="1" si="23"/>
        <v>0</v>
      </c>
      <c r="H23" s="428">
        <f ca="1">IF(開關=TRUE,'庫存管理(Pro)'!B23,0)</f>
        <v>0</v>
      </c>
      <c r="I23" s="429" t="e">
        <f ca="1">VLOOKUP(H23,bond!B:I,8,FALSE)</f>
        <v>#N/A</v>
      </c>
      <c r="J23" s="429" t="e">
        <f ca="1">庫存Pro[[#This Row],[買價]]+VLOOKUP(庫存Pro[[#This Row],[商品代號]],bond!B:K,10,FALSE)</f>
        <v>#N/A</v>
      </c>
      <c r="K23" s="430" t="e">
        <f ca="1">VLOOKUP(H23,'銀行-TSS'!B:E,4,FALSE)</f>
        <v>#N/A</v>
      </c>
      <c r="L23" s="431" t="e">
        <f ca="1">VLOOKUP($H23,'銀行-TSS'!B:G,6,FALSE)</f>
        <v>#N/A</v>
      </c>
      <c r="M23" s="432" t="e">
        <f ca="1">IFERROR(DATEVALUE(VLOOKUP($H23,'銀行-TSS'!B:F,5,FALSE)),VLOOKUP($H23,'銀行-TSS'!B:F,5,FALSE))</f>
        <v>#N/A</v>
      </c>
      <c r="N23" s="433" t="e">
        <f ca="1">VLOOKUP($H23,'銀行-TSS'!B:H,7,FALSE)</f>
        <v>#N/A</v>
      </c>
      <c r="O23" s="433" t="e">
        <f ca="1">庫存Pro[[#This Row],[票面利率]]/庫存Pro[[#This Row],[成本價(不含前手息)]]*100</f>
        <v>#N/A</v>
      </c>
      <c r="P23" s="434" t="str">
        <f ca="1">IFERROR(VLOOKUP($H23,'銀行-TSS'!B:I,8,FALSE),"")</f>
        <v/>
      </c>
      <c r="Q23" s="440" t="str">
        <f ca="1">_xlfn.IFNA(IFERROR(DATEVALUE(VLOOKUP($H23,'銀行-TSS'!B:P,15,FALSE)),VLOOKUP($H23,'銀行-TSS'!B:P,15,FALSE)),"")</f>
        <v/>
      </c>
      <c r="R23" s="570" t="b">
        <f>IF(AND('2_Check_code'!C44,庫存Pro[[#This Row],[投入面額]]&gt;0),TRUE,FALSE)</f>
        <v>0</v>
      </c>
      <c r="S23" s="602">
        <f>'庫存管理(Pro)'!AE23</f>
        <v>0</v>
      </c>
      <c r="T23"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3" s="442" t="str">
        <f ca="1">IFERROR(WORKDAY(庫存Pro[[#This Row],[買進日]],VLOOKUP(庫存Pro[[#This Row],[商品代號]],'1_重設數據'!R:S,2,FALSE),休USD),庫存Pro[[#This Row],[買進日(T+2/公債T+1)]])</f>
        <v/>
      </c>
      <c r="V23" s="43">
        <f>'庫存管理(Pro)'!J23</f>
        <v>0</v>
      </c>
      <c r="W23" s="43">
        <f>'庫存管理(Pro)'!K23</f>
        <v>0</v>
      </c>
      <c r="X23" s="464">
        <f t="shared" ca="1" si="9"/>
        <v>0</v>
      </c>
      <c r="Y23" s="464" t="e">
        <f t="shared" ca="1" si="11"/>
        <v>#N/A</v>
      </c>
      <c r="Z23" s="465" t="e">
        <f t="shared" ca="1" si="12"/>
        <v>#N/A</v>
      </c>
      <c r="AA23" s="474" t="e">
        <f ca="1">IF(MF_Pro=2,庫存Pro[[#This Row],[部位現值(不含前手息)]]-庫存Pro[[#This Row],[持有成本(不含前手息)]],庫存Pro[[#This Row],[部位現值(含前手息)]]-庫存Pro[[#This Row],[持有成本(含前手息)]])</f>
        <v>#N/A</v>
      </c>
      <c r="AB23" s="462">
        <f ca="1">IF(MF_Pro=2,IFERROR(庫存Pro[[#This Row],[資本利損]]/庫存Pro[[#This Row],[持有成本(不含前手息)]],0),IFERROR(庫存Pro[[#This Row],[資本利損]]/庫存Pro[[#This Row],[持有成本(含前手息)]],0))</f>
        <v>0</v>
      </c>
      <c r="AC23" s="618" t="e">
        <f ca="1">庫存Pro[[#This Row],[持有成本(不含前手息)]]/庫存Pro[[#This Row],[投入面額]]*100</f>
        <v>#DIV/0!</v>
      </c>
      <c r="AD23" s="462" t="e">
        <f ca="1">VLOOKUP(庫存Pro[[#This Row],[商品代號]],bond!B:AA,26,FALSE)</f>
        <v>#N/A</v>
      </c>
      <c r="AE23" s="1" t="str">
        <f ca="1">IFERROR(VLOOKUP($H23,'銀行-TSS'!B:Q,16,FALSE),"")</f>
        <v/>
      </c>
      <c r="AF23" s="466" t="e">
        <f t="shared" ca="1" si="13"/>
        <v>#N/A</v>
      </c>
      <c r="AG23" s="458" t="e">
        <f ca="1">IF(OR(庫存Pro[[#This Row],[起息日]]&gt;庫存Pro[[#This Row],[買進前一配息日(複算)]],庫存Pro[[#This Row],[判斷]]=TRUE),庫存Pro[[#This Row],[起息日]],庫存Pro[[#This Row],[買進前一配息日(複算)]])</f>
        <v>#N/A</v>
      </c>
      <c r="AH23" s="577" t="e">
        <f ca="1">VLOOKUP(H23,bond!B:AP,41,FALSE)</f>
        <v>#N/A</v>
      </c>
      <c r="AI23" s="578" t="e">
        <f t="shared" ca="1" si="14"/>
        <v>#N/A</v>
      </c>
      <c r="AJ23" s="579">
        <f ca="1">IFERROR(IF(庫存Pro[[#This Row],[買進日是否落入record date]]=1,庫存Pro[[#This Row],[record date制度前手息]],庫存Pro[[#This Row],[前手息(初算)]]),0)</f>
        <v>0</v>
      </c>
      <c r="AK23" s="579" t="e">
        <f ca="1">IF(OR(庫存Pro[[#This Row],[買進例外調整]]&lt;庫存Pro[[#This Row],[起息日]],庫存Pro[[#This Row],[買進例外調整]]&gt;庫存Pro[[#This Row],[到期日]]),0,IF(庫存Pro[[#This Row],[備註]]&lt;&gt;"",庫存Pro[[#This Row],[買進時前手息]],IFERROR(ROUND(ACCRINT(AG23,AG23,U23,N23,100,P23,AI23,TRUE),4),0)))</f>
        <v>#N/A</v>
      </c>
      <c r="AL23" s="580">
        <f t="shared" ca="1" si="10"/>
        <v>0</v>
      </c>
      <c r="AM23" s="440" t="e">
        <f ca="1">DATEVALUE(VLOOKUP(H23,bond!B:I,7,FALSE))</f>
        <v>#N/A</v>
      </c>
      <c r="AN23"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3" s="579">
        <f ca="1">IFERROR(IF(庫存Pro[[#This Row],[交割日是否落入record date]]=1,庫存Pro[[#This Row],[交_record date制度前手息]],庫存Pro[[#This Row],[計算交割前手息(初算)]]),0)</f>
        <v>0</v>
      </c>
      <c r="AP23"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3" s="579" t="e">
        <f ca="1">IF(庫存Pro[[#This Row],[配息頻率]]=0,0,(100*庫存Pro[[#This Row],[票面利率]]/庫存Pro[[#This Row],[配息頻率]])*庫存Pro[[#This Row],[經過幾次配息]]+庫存Pro[[#This Row],[計算交割前手息(複算)]]-庫存Pro[[#This Row],[計算前手息(複算)]])</f>
        <v>#N/A</v>
      </c>
      <c r="AR23" s="581" t="e">
        <f ca="1">IF(庫存Pro[[#This Row],[商品代號]]="XFM90",0,ROUND(AQ23*V23/100,2))</f>
        <v>#N/A</v>
      </c>
      <c r="AS23" s="582">
        <f ca="1">IF(MF_Pro=2,IFERROR(庫存Pro[[#This Row],[累計配息]]/庫存Pro[[#This Row],[持有成本(不含前手息)]],0),IFERROR(庫存Pro[[#This Row],[已實現配息(原幣)]]/庫存Pro[[#This Row],[持有成本(含前手息)]],0))</f>
        <v>0</v>
      </c>
      <c r="AT23" s="583" t="e">
        <f ca="1">IF(MF_Pro=2,庫存Pro[[#This Row],[資本利損]]+庫存Pro[[#This Row],[累計配息]],庫存Pro[[#This Row],[資本利損]]+庫存Pro[[#This Row],[已實現配息(原幣)]])</f>
        <v>#N/A</v>
      </c>
      <c r="AU23" s="584">
        <f ca="1">IF(MF_Pro=2,IFERROR(庫存Pro[[#This Row],[合計收益]]/庫存Pro[[#This Row],[持有成本(不含前手息)]],0),IFERROR(庫存Pro[[#This Row],[合計收益]]/庫存Pro[[#This Row],[持有成本(含前手息)]],0))</f>
        <v>0</v>
      </c>
      <c r="AV23" s="434" t="e">
        <f t="shared" ca="1" si="0"/>
        <v>#VALUE!</v>
      </c>
      <c r="AW23" s="434" t="e">
        <f t="shared" ca="1" si="1"/>
        <v>#VALUE!</v>
      </c>
      <c r="AX23" s="434">
        <f t="shared" ca="1" si="2"/>
        <v>0</v>
      </c>
      <c r="AY23" s="434">
        <f t="shared" ca="1" si="3"/>
        <v>0</v>
      </c>
      <c r="AZ23" s="441" t="e">
        <f ca="1">IF(AND(庫存Pro[[#This Row],[名稱]]="美國國庫債券",DAY(庫存Pro[[#This Row],[買進前一配息日(初算)]])&gt;=28),EOMONTH(庫存Pro[[#This Row],[買進前一配息日(初算)]],0),庫存Pro[[#This Row],[買進前一配息日(初算)]])</f>
        <v>#N/A</v>
      </c>
      <c r="BA23" s="441" t="e">
        <f t="shared" ca="1" si="4"/>
        <v>#VALUE!</v>
      </c>
      <c r="BB23" s="444" t="e">
        <f t="shared" ca="1" si="5"/>
        <v>#VALUE!</v>
      </c>
      <c r="BC23" s="441" t="e">
        <f ca="1">IF(P23&gt;0,IF(MONTH(DATE(BB23,AV23,DAY(Q23)))&lt;&gt;庫存Pro[[#This Row],[第一個配息月]],DATE(BB23,AV23+1,0),DATE(BB23,AV23,DAY(Q23))),庫存Pro[[#This Row],[買進例外調整]]+100)</f>
        <v>#VALUE!</v>
      </c>
      <c r="BD23" s="441" t="e">
        <f ca="1">IF(AW23&lt;&gt;0,IF(MONTH(DATE(BB23,AW23,DAY(Q23)))&lt;&gt;庫存Pro[[#This Row],[第二個配息月]],DATE(BB23,AW23+1,0),DATE(BB23,AW23,DAY(Q23))),庫存Pro[[#This Row],[買進例外調整]]+100)</f>
        <v>#VALUE!</v>
      </c>
      <c r="BE23" s="441" t="e">
        <f ca="1">IF(AX23&lt;&gt;0,IF(MONTH(DATE(BB23,AX23,DAY(Q23)))&lt;&gt;庫存Pro[[#This Row],[第三個配息月]],DATE(BB23,AX23+1,0),DATE(BB23,AX23,DAY(Q23))),庫存Pro[[#This Row],[買進例外調整]]+100)</f>
        <v>#VALUE!</v>
      </c>
      <c r="BF23" s="441" t="e">
        <f ca="1">IF(AY23&lt;&gt;0,IF(MONTH(DATE(BB23,AY23,DAY(Q23)))&lt;&gt;庫存Pro[[#This Row],[第四個配息月]],DATE(BB23,AY23+1,0),DATE(BB23,AY23,DAY(Q23))),庫存Pro[[#This Row],[買進例外調整]]+100)</f>
        <v>#VALUE!</v>
      </c>
      <c r="BG23" s="441" t="e">
        <f ca="1">IF(P23=1,IF(MONTH(DATE(BB23-1,AV23,DAY(Q23)))&lt;&gt;庫存Pro[[#This Row],[第一個配息月]],DATE(BB23-1,AV23+1,0),DATE(BB23-1,AV23,DAY(Q23))),IF(P23=2,IF(MONTH(DATE(BB23-1,AW23,DAY(Q23)))&lt;&gt;庫存Pro[[#This Row],[第二個配息月]],DATE(BB23-1,AW23+1,0),DATE(BB23-1,AW23,DAY(Q23))),IF(P23=4,IF(MONTH(DATE(BB23-1,AY23,DAY(Q23)))&lt;&gt;庫存Pro[[#This Row],[第四個配息月]],DATE(BB23-1,AY23+1,0),DATE(BB23-1,AY23,DAY(Q23))),庫存Pro[[#This Row],[買進例外調整]]+100)))</f>
        <v>#VALUE!</v>
      </c>
      <c r="BH23" s="445">
        <f t="shared" ca="1" si="15"/>
        <v>10000</v>
      </c>
      <c r="BI23" s="445">
        <f t="shared" ca="1" si="16"/>
        <v>10000</v>
      </c>
      <c r="BJ23" s="445">
        <f t="shared" ca="1" si="17"/>
        <v>10000</v>
      </c>
      <c r="BK23" s="445">
        <f t="shared" ca="1" si="18"/>
        <v>10000</v>
      </c>
      <c r="BL23" s="455">
        <f t="shared" ca="1" si="19"/>
        <v>10000</v>
      </c>
      <c r="BM23" s="479" t="e">
        <f ca="1">庫存Pro[[#This Row],[年度配息]]/庫存Pro[[#This Row],[配息頻率]]</f>
        <v>#N/A</v>
      </c>
      <c r="BN23" s="479" t="e">
        <f ca="1">庫存Pro[[#This Row],[單次配息(原幣)]]*庫存Pro[[#This Row],[換算匯率(現)]]</f>
        <v>#N/A</v>
      </c>
      <c r="BO23" s="479" t="str">
        <f ca="1">IFERROR(VLOOKUP($H23,'銀行-TSS'!B:C,2,FALSE),"")</f>
        <v/>
      </c>
      <c r="BP23" s="479" t="e">
        <f ca="1">VLOOKUP(庫存Pro[[#This Row],[幣別]],$B$37:$C$43,2,FALSE)</f>
        <v>#N/A</v>
      </c>
      <c r="BQ23" s="500" t="e">
        <f ca="1">CHOOSE(庫存Pro[[#This Row],[對應編碼]],$D$37,$D$38,$D$39,$D$40,$D$41,$D$42,$D$43)</f>
        <v>#N/A</v>
      </c>
      <c r="BR23" s="500" t="e">
        <f ca="1">CHOOSE(庫存Pro[[#This Row],[對應編碼]],$E$37,$E$38,$E$39,$E$40,$E$41,$E$42,$E$43)</f>
        <v>#N/A</v>
      </c>
      <c r="BS23" s="595" t="e">
        <f ca="1">庫存Pro[[#This Row],[投入面額]]*庫存Pro[[#This Row],[換算匯率(現)]]</f>
        <v>#N/A</v>
      </c>
      <c r="BT23" s="595" t="e">
        <f ca="1">庫存Pro[[#This Row],[持有成本(含前手息)]]*庫存Pro[[#This Row],[換算匯率(買)]]</f>
        <v>#N/A</v>
      </c>
      <c r="BU23" s="498" t="e">
        <f ca="1">庫存Pro[[#This Row],[持有成本(不含前手息)]]*庫存Pro[[#This Row],[換算匯率(買)]]</f>
        <v>#N/A</v>
      </c>
      <c r="BV23" s="498" t="e">
        <f ca="1">庫存Pro[[#This Row],[部位現值(含前手息)]]*庫存Pro[[#This Row],[換算匯率(現)]]</f>
        <v>#N/A</v>
      </c>
      <c r="BW23" s="498" t="e">
        <f ca="1">庫存Pro[[#This Row],[部位現值(不含前手息)]]*庫存Pro[[#This Row],[換算匯率(現)]]</f>
        <v>#N/A</v>
      </c>
      <c r="BX23" s="498" t="e">
        <f ca="1">IF(MF_Pro=2,庫存Pro[[#This Row],[累計配息]]*庫存Pro[[#This Row],[換算匯率(現)]],庫存Pro[[#This Row],[已實現配息(原幣)]]*庫存Pro[[#This Row],[換算匯率(現)]])</f>
        <v>#N/A</v>
      </c>
      <c r="BY23" s="498" t="e">
        <f ca="1">庫存Pro[[#This Row],[資本利損]]*庫存Pro[[#This Row],[換算匯率(現)]]</f>
        <v>#N/A</v>
      </c>
      <c r="BZ23" s="498" t="e">
        <f ca="1">庫存Pro[[#This Row],[累計利息(台)]]+庫存Pro[[#This Row],[資本貢獻(台)]]</f>
        <v>#N/A</v>
      </c>
      <c r="CA23" s="574">
        <f ca="1">IFERROR(庫存Pro[[#This Row],[配息報酬]],0)</f>
        <v>0</v>
      </c>
      <c r="CB23" s="574">
        <f ca="1">庫存Pro[[#This Row],[資本報酬]]</f>
        <v>0</v>
      </c>
      <c r="CC23" s="574">
        <f ca="1">IFERROR(庫存Pro[[#This Row],[換匯總報酬率]]-(庫存Pro[[#This Row],[配息報酬率]]+庫存Pro[[#This Row],[資本報酬率]]),0)</f>
        <v>0</v>
      </c>
      <c r="CD23" s="574">
        <f ca="1">IF(MF_Pro=2,IFERROR((庫存Pro[[#This Row],[參考贖回金額(現)]]+庫存Pro[[#This Row],[累計利息(台)]])/庫存Pro[[#This Row],[淨投入成本(買)]]-1,0),IFERROR(((庫存Pro[[#This Row],[參考贖回金額含前手息(現)]]+庫存Pro[[#This Row],[累計利息(台)]])/庫存Pro[[#This Row],[庫存成本(買)]])-1,0))</f>
        <v>0</v>
      </c>
      <c r="CE23" s="585">
        <f t="shared" ca="1" si="7"/>
        <v>0</v>
      </c>
      <c r="CF23" s="574">
        <f t="shared" ca="1" si="8"/>
        <v>0</v>
      </c>
      <c r="CG23"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3" s="646" t="e">
        <f ca="1">DATEDIF(庫存Pro[[#This Row],[買進例外調整]],庫存Pro[[#This Row],[到期日]],"d")/365.25</f>
        <v>#VALUE!</v>
      </c>
      <c r="CI23" s="739" t="e">
        <f ca="1">DATEVALUE(VLOOKUP(庫存Pro[[#This Row],[商品代號]],bond!B:AF,31,FALSE))</f>
        <v>#N/A</v>
      </c>
      <c r="CJ23" s="739" t="e">
        <f ca="1">IF(庫存Pro[[#This Row],[買下配(國調)]]&lt;庫存Pro[[#This Row],[第一票息日]],庫存Pro[[#This Row],[第一票息日]],庫存Pro[[#This Row],[買下配(國調)]])</f>
        <v>#N/A</v>
      </c>
      <c r="CK23"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3"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3" s="646">
        <f ca="1">IF(庫存Pro[[#This Row],[商品代號]]="XFM90",0,IFERROR(庫存Pro[[#This Row],[單次配息(原幣)]]*庫存Pro[[#This Row],[經過幾次配息]],0))</f>
        <v>0</v>
      </c>
      <c r="CN23" s="646" t="e">
        <f ca="1">VLOOKUP(庫存Pro[[#This Row],[商品代號]],bond!B:F,5,FALSE)</f>
        <v>#N/A</v>
      </c>
      <c r="CO23" s="739" t="str">
        <f ca="1">IFERROR(VLOOKUP(庫存Pro[[#This Row],[ISIN]],'7_發行日例外'!A:C,3,FALSE),IFERROR(DATEVALUE(VLOOKUP(庫存Pro[[#This Row],[商品代號]],bond!B:AR,43,FALSE)),""))</f>
        <v/>
      </c>
      <c r="CP23" s="646" t="e">
        <f ca="1">DATEDIF(庫存Pro[[#This Row],[起息日]],庫存Pro[[#This Row],[買進前一配息日(複算)]],"d")</f>
        <v>#VALUE!</v>
      </c>
      <c r="CQ23"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3" s="739" t="e">
        <f ca="1">IFERROR(VLOOKUP(庫存Pro[[#This Row],[ISIN]],'7_發行日例外'!A:D,4,FALSE),DATEVALUE(VLOOKUP(庫存Pro[[#This Row],[商品代號]],bond!B:AV,44,FALSE)))</f>
        <v>#N/A</v>
      </c>
      <c r="CS23" s="646" t="e">
        <f ca="1">VLOOKUP(庫存Pro[[#This Row],[商品代號]],bond!B:AU,46,FALSE)</f>
        <v>#N/A</v>
      </c>
      <c r="CT23" s="646" t="e">
        <f ca="1">IF(庫存Pro[[#This Row],[計息基礎]]=1,CHOOSE(庫存Pro[[#This Row],[對應編碼]],"沒進位","","沒進位",IF(庫存Pro[[#This Row],[計算類型]]="AUSTRALIA:EX-DIV","4捨五入進0.01%","沒進位"),"年/2去計算ACT","沒進位","沒進位"),"")</f>
        <v>#N/A</v>
      </c>
      <c r="CU23" s="646" t="e">
        <f ca="1">_xlfn.DAYS(庫存Pro[[#This Row],[買進例外調整]],庫存Pro[[#This Row],[買進前一個配息日(最終)]])</f>
        <v>#N/A</v>
      </c>
      <c r="CV23" s="646" t="e">
        <f ca="1">IF(庫存Pro[[#This Row],[備註]]="年/2去計算ACT",365/2,_xlfn.DAYS(庫存Pro[[#This Row],[買進時的下個配息日]],庫存Pro[[#This Row],[買進前一個配息日(最終)]]))</f>
        <v>#N/A</v>
      </c>
      <c r="CW23"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3" s="768" t="e">
        <f ca="1">_xlfn.DAYS(庫存Pro[[#This Row],[交割日]],庫存Pro[[#This Row],[買進前一個配息日(最終)]])</f>
        <v>#N/A</v>
      </c>
      <c r="CY23"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3" s="768" t="e">
        <f ca="1">_xlfn.DAYS(庫存Pro[[#This Row],[交割日]],庫存Pro[[#This Row],[最近的上一票息日]])</f>
        <v>#N/A</v>
      </c>
      <c r="DA23" s="768" t="e">
        <f ca="1">IF(庫存Pro[[#This Row],[備註]]="年/2去計算ACT",365/2,_xlfn.DAYS(庫存Pro[[#This Row],[下一配息日]],庫存Pro[[#This Row],[最近的上一票息日]]))</f>
        <v>#N/A</v>
      </c>
      <c r="DB23"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3" s="739" t="e">
        <f ca="1">CJ23-庫存Pro[[#This Row],[ex_div_days]]</f>
        <v>#N/A</v>
      </c>
      <c r="DD23" s="646" t="e">
        <f ca="1">IF(VLOOKUP(庫存Pro[[#This Row],[商品代號]],bond!B:AT,45,FALSE)="#N/A Field Not Applicable",0,VLOOKUP(庫存Pro[[#This Row],[商品代號]],bond!B:AT,45,FALSE))</f>
        <v>#N/A</v>
      </c>
      <c r="DE23" s="793" t="e">
        <f ca="1">IF(庫存Pro[[#This Row],[ex_div_days]]&lt;&gt;0,IF(AND(庫存Pro[[#This Row],[買進例外調整]]-庫存Pro[[#This Row],[買進下一個配息日先減n天]]&gt;=0,庫存Pro[[#This Row],[買進時的下個配息日]]-庫存Pro[[#This Row],[買進例外調整]]&gt;0),1,0),0)</f>
        <v>#N/A</v>
      </c>
      <c r="DF23" s="784" t="e">
        <f ca="1">IF(庫存Pro[[#This Row],[對應編碼]]=4,ROUND(庫存Pro[[#This Row],[前手息(初算)]]-庫存Pro[[#This Row],[票面利率]]/庫存Pro[[#This Row],[配息頻率]]*100,3),ROUND(庫存Pro[[#This Row],[前手息(初算)]]-庫存Pro[[#This Row],[票面利率]]/庫存Pro[[#This Row],[配息頻率]]*100,4))</f>
        <v>#N/A</v>
      </c>
      <c r="DG23" s="734" t="e">
        <f ca="1">庫存Pro[[#This Row],[下一配息日]]-庫存Pro[[#This Row],[ex_div_days]]</f>
        <v>#VALUE!</v>
      </c>
      <c r="DH23" s="1084" t="e">
        <f ca="1">IF(庫存Pro[[#This Row],[ex_div_days]]&lt;&gt;0,IF(AND(庫存Pro[[#This Row],[交割日]]-庫存Pro[[#This Row],[交割下個配息日先減n天]]&gt;=0,庫存Pro[[#This Row],[下一配息日]]-庫存Pro[[#This Row],[交割日]]&gt;0),1,0),0)</f>
        <v>#N/A</v>
      </c>
      <c r="DI23"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24" spans="2:239" ht="19.5" customHeight="1">
      <c r="B24" s="12">
        <v>6</v>
      </c>
      <c r="C24" s="604">
        <f t="shared" ca="1" si="22"/>
        <v>334960</v>
      </c>
      <c r="D24" s="26" t="s">
        <v>1793</v>
      </c>
      <c r="E24" s="702">
        <f t="shared" ca="1" si="20"/>
        <v>10312.5</v>
      </c>
      <c r="F24" s="701">
        <f t="shared" ca="1" si="21"/>
        <v>334960</v>
      </c>
      <c r="G24" s="605" t="str">
        <f t="shared" ca="1" si="23"/>
        <v>334,960</v>
      </c>
      <c r="H24" s="428">
        <f ca="1">IF(開關=TRUE,'庫存管理(Pro)'!B24,0)</f>
        <v>0</v>
      </c>
      <c r="I24" s="429" t="e">
        <f ca="1">VLOOKUP(H24,bond!B:I,8,FALSE)</f>
        <v>#N/A</v>
      </c>
      <c r="J24" s="429" t="e">
        <f ca="1">庫存Pro[[#This Row],[買價]]+VLOOKUP(庫存Pro[[#This Row],[商品代號]],bond!B:K,10,FALSE)</f>
        <v>#N/A</v>
      </c>
      <c r="K24" s="430" t="e">
        <f ca="1">VLOOKUP(H24,'銀行-TSS'!B:E,4,FALSE)</f>
        <v>#N/A</v>
      </c>
      <c r="L24" s="431" t="e">
        <f ca="1">VLOOKUP($H24,'銀行-TSS'!B:G,6,FALSE)</f>
        <v>#N/A</v>
      </c>
      <c r="M24" s="432" t="e">
        <f ca="1">IFERROR(DATEVALUE(VLOOKUP($H24,'銀行-TSS'!B:F,5,FALSE)),VLOOKUP($H24,'銀行-TSS'!B:F,5,FALSE))</f>
        <v>#N/A</v>
      </c>
      <c r="N24" s="433" t="e">
        <f ca="1">VLOOKUP($H24,'銀行-TSS'!B:H,7,FALSE)</f>
        <v>#N/A</v>
      </c>
      <c r="O24" s="433" t="e">
        <f ca="1">庫存Pro[[#This Row],[票面利率]]/庫存Pro[[#This Row],[成本價(不含前手息)]]*100</f>
        <v>#N/A</v>
      </c>
      <c r="P24" s="434" t="str">
        <f ca="1">IFERROR(VLOOKUP($H24,'銀行-TSS'!B:I,8,FALSE),"")</f>
        <v/>
      </c>
      <c r="Q24" s="440" t="str">
        <f ca="1">_xlfn.IFNA(IFERROR(DATEVALUE(VLOOKUP($H24,'銀行-TSS'!B:P,15,FALSE)),VLOOKUP($H24,'銀行-TSS'!B:P,15,FALSE)),"")</f>
        <v/>
      </c>
      <c r="R24" s="570" t="b">
        <f>IF(AND('2_Check_code'!C45,庫存Pro[[#This Row],[投入面額]]&gt;0),TRUE,FALSE)</f>
        <v>0</v>
      </c>
      <c r="S24" s="602">
        <f>'庫存管理(Pro)'!AE24</f>
        <v>0</v>
      </c>
      <c r="T24"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4" s="442" t="str">
        <f ca="1">IFERROR(WORKDAY(庫存Pro[[#This Row],[買進日]],VLOOKUP(庫存Pro[[#This Row],[商品代號]],'1_重設數據'!R:S,2,FALSE),休USD),庫存Pro[[#This Row],[買進日(T+2/公債T+1)]])</f>
        <v/>
      </c>
      <c r="V24" s="43">
        <f>'庫存管理(Pro)'!J24</f>
        <v>0</v>
      </c>
      <c r="W24" s="43">
        <f>'庫存管理(Pro)'!K24</f>
        <v>0</v>
      </c>
      <c r="X24" s="464">
        <f t="shared" ca="1" si="9"/>
        <v>0</v>
      </c>
      <c r="Y24" s="464" t="e">
        <f t="shared" ca="1" si="11"/>
        <v>#N/A</v>
      </c>
      <c r="Z24" s="465" t="e">
        <f t="shared" ca="1" si="12"/>
        <v>#N/A</v>
      </c>
      <c r="AA24" s="474" t="e">
        <f ca="1">IF(MF_Pro=2,庫存Pro[[#This Row],[部位現值(不含前手息)]]-庫存Pro[[#This Row],[持有成本(不含前手息)]],庫存Pro[[#This Row],[部位現值(含前手息)]]-庫存Pro[[#This Row],[持有成本(含前手息)]])</f>
        <v>#N/A</v>
      </c>
      <c r="AB24" s="462">
        <f ca="1">IF(MF_Pro=2,IFERROR(庫存Pro[[#This Row],[資本利損]]/庫存Pro[[#This Row],[持有成本(不含前手息)]],0),IFERROR(庫存Pro[[#This Row],[資本利損]]/庫存Pro[[#This Row],[持有成本(含前手息)]],0))</f>
        <v>0</v>
      </c>
      <c r="AC24" s="618" t="e">
        <f ca="1">庫存Pro[[#This Row],[持有成本(不含前手息)]]/庫存Pro[[#This Row],[投入面額]]*100</f>
        <v>#DIV/0!</v>
      </c>
      <c r="AD24" s="462" t="e">
        <f ca="1">VLOOKUP(庫存Pro[[#This Row],[商品代號]],bond!B:AA,26,FALSE)</f>
        <v>#N/A</v>
      </c>
      <c r="AE24" s="1" t="str">
        <f ca="1">IFERROR(VLOOKUP($H24,'銀行-TSS'!B:Q,16,FALSE),"")</f>
        <v/>
      </c>
      <c r="AF24" s="466" t="e">
        <f t="shared" ca="1" si="13"/>
        <v>#N/A</v>
      </c>
      <c r="AG24" s="458" t="e">
        <f ca="1">IF(OR(庫存Pro[[#This Row],[起息日]]&gt;庫存Pro[[#This Row],[買進前一配息日(複算)]],庫存Pro[[#This Row],[判斷]]=TRUE),庫存Pro[[#This Row],[起息日]],庫存Pro[[#This Row],[買進前一配息日(複算)]])</f>
        <v>#N/A</v>
      </c>
      <c r="AH24" s="577" t="e">
        <f ca="1">VLOOKUP(H24,bond!B:AP,41,FALSE)</f>
        <v>#N/A</v>
      </c>
      <c r="AI24" s="578" t="e">
        <f t="shared" ca="1" si="14"/>
        <v>#N/A</v>
      </c>
      <c r="AJ24" s="579">
        <f ca="1">IFERROR(IF(庫存Pro[[#This Row],[買進日是否落入record date]]=1,庫存Pro[[#This Row],[record date制度前手息]],庫存Pro[[#This Row],[前手息(初算)]]),0)</f>
        <v>0</v>
      </c>
      <c r="AK24" s="579" t="e">
        <f ca="1">IF(OR(庫存Pro[[#This Row],[買進例外調整]]&lt;庫存Pro[[#This Row],[起息日]],庫存Pro[[#This Row],[買進例外調整]]&gt;庫存Pro[[#This Row],[到期日]]),0,IF(庫存Pro[[#This Row],[備註]]&lt;&gt;"",庫存Pro[[#This Row],[買進時前手息]],IFERROR(ROUND(ACCRINT(AG24,AG24,U24,N24,100,P24,AI24,TRUE),4),0)))</f>
        <v>#N/A</v>
      </c>
      <c r="AL24" s="580">
        <f t="shared" ca="1" si="10"/>
        <v>0</v>
      </c>
      <c r="AM24" s="440" t="e">
        <f ca="1">DATEVALUE(VLOOKUP(H24,bond!B:I,7,FALSE))</f>
        <v>#N/A</v>
      </c>
      <c r="AN24"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4" s="579">
        <f ca="1">IFERROR(IF(庫存Pro[[#This Row],[交割日是否落入record date]]=1,庫存Pro[[#This Row],[交_record date制度前手息]],庫存Pro[[#This Row],[計算交割前手息(初算)]]),0)</f>
        <v>0</v>
      </c>
      <c r="AP24"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4" s="579" t="e">
        <f ca="1">IF(庫存Pro[[#This Row],[配息頻率]]=0,0,(100*庫存Pro[[#This Row],[票面利率]]/庫存Pro[[#This Row],[配息頻率]])*庫存Pro[[#This Row],[經過幾次配息]]+庫存Pro[[#This Row],[計算交割前手息(複算)]]-庫存Pro[[#This Row],[計算前手息(複算)]])</f>
        <v>#N/A</v>
      </c>
      <c r="AR24" s="581" t="e">
        <f ca="1">IF(庫存Pro[[#This Row],[商品代號]]="XFM90",0,ROUND(AQ24*V24/100,2))</f>
        <v>#N/A</v>
      </c>
      <c r="AS24" s="582">
        <f ca="1">IF(MF_Pro=2,IFERROR(庫存Pro[[#This Row],[累計配息]]/庫存Pro[[#This Row],[持有成本(不含前手息)]],0),IFERROR(庫存Pro[[#This Row],[已實現配息(原幣)]]/庫存Pro[[#This Row],[持有成本(含前手息)]],0))</f>
        <v>0</v>
      </c>
      <c r="AT24" s="583" t="e">
        <f ca="1">IF(MF_Pro=2,庫存Pro[[#This Row],[資本利損]]+庫存Pro[[#This Row],[累計配息]],庫存Pro[[#This Row],[資本利損]]+庫存Pro[[#This Row],[已實現配息(原幣)]])</f>
        <v>#N/A</v>
      </c>
      <c r="AU24" s="584">
        <f ca="1">IF(MF_Pro=2,IFERROR(庫存Pro[[#This Row],[合計收益]]/庫存Pro[[#This Row],[持有成本(不含前手息)]],0),IFERROR(庫存Pro[[#This Row],[合計收益]]/庫存Pro[[#This Row],[持有成本(含前手息)]],0))</f>
        <v>0</v>
      </c>
      <c r="AV24" s="434" t="e">
        <f t="shared" ca="1" si="0"/>
        <v>#VALUE!</v>
      </c>
      <c r="AW24" s="434" t="e">
        <f t="shared" ca="1" si="1"/>
        <v>#VALUE!</v>
      </c>
      <c r="AX24" s="434">
        <f t="shared" ca="1" si="2"/>
        <v>0</v>
      </c>
      <c r="AY24" s="434">
        <f t="shared" ca="1" si="3"/>
        <v>0</v>
      </c>
      <c r="AZ24" s="441" t="e">
        <f ca="1">IF(AND(庫存Pro[[#This Row],[名稱]]="美國國庫債券",DAY(庫存Pro[[#This Row],[買進前一配息日(初算)]])&gt;=28),EOMONTH(庫存Pro[[#This Row],[買進前一配息日(初算)]],0),庫存Pro[[#This Row],[買進前一配息日(初算)]])</f>
        <v>#N/A</v>
      </c>
      <c r="BA24" s="441" t="e">
        <f t="shared" ca="1" si="4"/>
        <v>#VALUE!</v>
      </c>
      <c r="BB24" s="444" t="e">
        <f t="shared" ca="1" si="5"/>
        <v>#VALUE!</v>
      </c>
      <c r="BC24" s="441" t="e">
        <f ca="1">IF(P24&gt;0,IF(MONTH(DATE(BB24,AV24,DAY(Q24)))&lt;&gt;庫存Pro[[#This Row],[第一個配息月]],DATE(BB24,AV24+1,0),DATE(BB24,AV24,DAY(Q24))),庫存Pro[[#This Row],[買進例外調整]]+100)</f>
        <v>#VALUE!</v>
      </c>
      <c r="BD24" s="441" t="e">
        <f ca="1">IF(AW24&lt;&gt;0,IF(MONTH(DATE(BB24,AW24,DAY(Q24)))&lt;&gt;庫存Pro[[#This Row],[第二個配息月]],DATE(BB24,AW24+1,0),DATE(BB24,AW24,DAY(Q24))),庫存Pro[[#This Row],[買進例外調整]]+100)</f>
        <v>#VALUE!</v>
      </c>
      <c r="BE24" s="441" t="e">
        <f ca="1">IF(AX24&lt;&gt;0,IF(MONTH(DATE(BB24,AX24,DAY(Q24)))&lt;&gt;庫存Pro[[#This Row],[第三個配息月]],DATE(BB24,AX24+1,0),DATE(BB24,AX24,DAY(Q24))),庫存Pro[[#This Row],[買進例外調整]]+100)</f>
        <v>#VALUE!</v>
      </c>
      <c r="BF24" s="441" t="e">
        <f ca="1">IF(AY24&lt;&gt;0,IF(MONTH(DATE(BB24,AY24,DAY(Q24)))&lt;&gt;庫存Pro[[#This Row],[第四個配息月]],DATE(BB24,AY24+1,0),DATE(BB24,AY24,DAY(Q24))),庫存Pro[[#This Row],[買進例外調整]]+100)</f>
        <v>#VALUE!</v>
      </c>
      <c r="BG24" s="441" t="e">
        <f ca="1">IF(P24=1,IF(MONTH(DATE(BB24-1,AV24,DAY(Q24)))&lt;&gt;庫存Pro[[#This Row],[第一個配息月]],DATE(BB24-1,AV24+1,0),DATE(BB24-1,AV24,DAY(Q24))),IF(P24=2,IF(MONTH(DATE(BB24-1,AW24,DAY(Q24)))&lt;&gt;庫存Pro[[#This Row],[第二個配息月]],DATE(BB24-1,AW24+1,0),DATE(BB24-1,AW24,DAY(Q24))),IF(P24=4,IF(MONTH(DATE(BB24-1,AY24,DAY(Q24)))&lt;&gt;庫存Pro[[#This Row],[第四個配息月]],DATE(BB24-1,AY24+1,0),DATE(BB24-1,AY24,DAY(Q24))),庫存Pro[[#This Row],[買進例外調整]]+100)))</f>
        <v>#VALUE!</v>
      </c>
      <c r="BH24" s="445">
        <f t="shared" ca="1" si="15"/>
        <v>10000</v>
      </c>
      <c r="BI24" s="445">
        <f t="shared" ca="1" si="16"/>
        <v>10000</v>
      </c>
      <c r="BJ24" s="445">
        <f t="shared" ca="1" si="17"/>
        <v>10000</v>
      </c>
      <c r="BK24" s="445">
        <f t="shared" ca="1" si="18"/>
        <v>10000</v>
      </c>
      <c r="BL24" s="455">
        <f t="shared" ca="1" si="19"/>
        <v>10000</v>
      </c>
      <c r="BM24" s="479" t="e">
        <f ca="1">庫存Pro[[#This Row],[年度配息]]/庫存Pro[[#This Row],[配息頻率]]</f>
        <v>#N/A</v>
      </c>
      <c r="BN24" s="479" t="e">
        <f ca="1">庫存Pro[[#This Row],[單次配息(原幣)]]*庫存Pro[[#This Row],[換算匯率(現)]]</f>
        <v>#N/A</v>
      </c>
      <c r="BO24" s="479" t="str">
        <f ca="1">IFERROR(VLOOKUP($H24,'銀行-TSS'!B:C,2,FALSE),"")</f>
        <v/>
      </c>
      <c r="BP24" s="479" t="e">
        <f ca="1">VLOOKUP(庫存Pro[[#This Row],[幣別]],$B$37:$C$43,2,FALSE)</f>
        <v>#N/A</v>
      </c>
      <c r="BQ24" s="500" t="e">
        <f ca="1">CHOOSE(庫存Pro[[#This Row],[對應編碼]],$D$37,$D$38,$D$39,$D$40,$D$41,$D$42,$D$43)</f>
        <v>#N/A</v>
      </c>
      <c r="BR24" s="500" t="e">
        <f ca="1">CHOOSE(庫存Pro[[#This Row],[對應編碼]],$E$37,$E$38,$E$39,$E$40,$E$41,$E$42,$E$43)</f>
        <v>#N/A</v>
      </c>
      <c r="BS24" s="595" t="e">
        <f ca="1">庫存Pro[[#This Row],[投入面額]]*庫存Pro[[#This Row],[換算匯率(現)]]</f>
        <v>#N/A</v>
      </c>
      <c r="BT24" s="595" t="e">
        <f ca="1">庫存Pro[[#This Row],[持有成本(含前手息)]]*庫存Pro[[#This Row],[換算匯率(買)]]</f>
        <v>#N/A</v>
      </c>
      <c r="BU24" s="498" t="e">
        <f ca="1">庫存Pro[[#This Row],[持有成本(不含前手息)]]*庫存Pro[[#This Row],[換算匯率(買)]]</f>
        <v>#N/A</v>
      </c>
      <c r="BV24" s="498" t="e">
        <f ca="1">庫存Pro[[#This Row],[部位現值(含前手息)]]*庫存Pro[[#This Row],[換算匯率(現)]]</f>
        <v>#N/A</v>
      </c>
      <c r="BW24" s="498" t="e">
        <f ca="1">庫存Pro[[#This Row],[部位現值(不含前手息)]]*庫存Pro[[#This Row],[換算匯率(現)]]</f>
        <v>#N/A</v>
      </c>
      <c r="BX24" s="498" t="e">
        <f ca="1">IF(MF_Pro=2,庫存Pro[[#This Row],[累計配息]]*庫存Pro[[#This Row],[換算匯率(現)]],庫存Pro[[#This Row],[已實現配息(原幣)]]*庫存Pro[[#This Row],[換算匯率(現)]])</f>
        <v>#N/A</v>
      </c>
      <c r="BY24" s="498" t="e">
        <f ca="1">庫存Pro[[#This Row],[資本利損]]*庫存Pro[[#This Row],[換算匯率(現)]]</f>
        <v>#N/A</v>
      </c>
      <c r="BZ24" s="498" t="e">
        <f ca="1">庫存Pro[[#This Row],[累計利息(台)]]+庫存Pro[[#This Row],[資本貢獻(台)]]</f>
        <v>#N/A</v>
      </c>
      <c r="CA24" s="574">
        <f ca="1">IFERROR(庫存Pro[[#This Row],[配息報酬]],0)</f>
        <v>0</v>
      </c>
      <c r="CB24" s="574">
        <f ca="1">庫存Pro[[#This Row],[資本報酬]]</f>
        <v>0</v>
      </c>
      <c r="CC24" s="574">
        <f ca="1">IFERROR(庫存Pro[[#This Row],[換匯總報酬率]]-(庫存Pro[[#This Row],[配息報酬率]]+庫存Pro[[#This Row],[資本報酬率]]),0)</f>
        <v>0</v>
      </c>
      <c r="CD24" s="574">
        <f ca="1">IF(MF_Pro=2,IFERROR((庫存Pro[[#This Row],[參考贖回金額(現)]]+庫存Pro[[#This Row],[累計利息(台)]])/庫存Pro[[#This Row],[淨投入成本(買)]]-1,0),IFERROR(((庫存Pro[[#This Row],[參考贖回金額含前手息(現)]]+庫存Pro[[#This Row],[累計利息(台)]])/庫存Pro[[#This Row],[庫存成本(買)]])-1,0))</f>
        <v>0</v>
      </c>
      <c r="CE24" s="585">
        <f t="shared" ca="1" si="7"/>
        <v>0</v>
      </c>
      <c r="CF24" s="574">
        <f t="shared" ca="1" si="8"/>
        <v>0</v>
      </c>
      <c r="CG24"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4" s="646" t="e">
        <f ca="1">DATEDIF(庫存Pro[[#This Row],[買進例外調整]],庫存Pro[[#This Row],[到期日]],"d")/365.25</f>
        <v>#VALUE!</v>
      </c>
      <c r="CI24" s="739" t="e">
        <f ca="1">DATEVALUE(VLOOKUP(庫存Pro[[#This Row],[商品代號]],bond!B:AF,31,FALSE))</f>
        <v>#N/A</v>
      </c>
      <c r="CJ24" s="739" t="e">
        <f ca="1">IF(庫存Pro[[#This Row],[買下配(國調)]]&lt;庫存Pro[[#This Row],[第一票息日]],庫存Pro[[#This Row],[第一票息日]],庫存Pro[[#This Row],[買下配(國調)]])</f>
        <v>#N/A</v>
      </c>
      <c r="CK24"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4"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4" s="646">
        <f ca="1">IF(庫存Pro[[#This Row],[商品代號]]="XFM90",0,IFERROR(庫存Pro[[#This Row],[單次配息(原幣)]]*庫存Pro[[#This Row],[經過幾次配息]],0))</f>
        <v>0</v>
      </c>
      <c r="CN24" s="646" t="e">
        <f ca="1">VLOOKUP(庫存Pro[[#This Row],[商品代號]],bond!B:F,5,FALSE)</f>
        <v>#N/A</v>
      </c>
      <c r="CO24" s="739" t="str">
        <f ca="1">IFERROR(VLOOKUP(庫存Pro[[#This Row],[ISIN]],'7_發行日例外'!A:C,3,FALSE),IFERROR(DATEVALUE(VLOOKUP(庫存Pro[[#This Row],[商品代號]],bond!B:AR,43,FALSE)),""))</f>
        <v/>
      </c>
      <c r="CP24" s="646" t="e">
        <f ca="1">DATEDIF(庫存Pro[[#This Row],[起息日]],庫存Pro[[#This Row],[買進前一配息日(複算)]],"d")</f>
        <v>#VALUE!</v>
      </c>
      <c r="CQ24"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4" s="739" t="e">
        <f ca="1">IFERROR(VLOOKUP(庫存Pro[[#This Row],[ISIN]],'7_發行日例外'!A:D,4,FALSE),DATEVALUE(VLOOKUP(庫存Pro[[#This Row],[商品代號]],bond!B:AV,44,FALSE)))</f>
        <v>#N/A</v>
      </c>
      <c r="CS24" s="646" t="e">
        <f ca="1">VLOOKUP(庫存Pro[[#This Row],[商品代號]],bond!B:AU,46,FALSE)</f>
        <v>#N/A</v>
      </c>
      <c r="CT24" s="646" t="e">
        <f ca="1">IF(庫存Pro[[#This Row],[計息基礎]]=1,CHOOSE(庫存Pro[[#This Row],[對應編碼]],"沒進位","","沒進位",IF(庫存Pro[[#This Row],[計算類型]]="AUSTRALIA:EX-DIV","4捨五入進0.01%","沒進位"),"年/2去計算ACT","沒進位","沒進位"),"")</f>
        <v>#N/A</v>
      </c>
      <c r="CU24" s="646" t="e">
        <f ca="1">_xlfn.DAYS(庫存Pro[[#This Row],[買進例外調整]],庫存Pro[[#This Row],[買進前一個配息日(最終)]])</f>
        <v>#N/A</v>
      </c>
      <c r="CV24" s="646" t="e">
        <f ca="1">IF(庫存Pro[[#This Row],[備註]]="年/2去計算ACT",365/2,_xlfn.DAYS(庫存Pro[[#This Row],[買進時的下個配息日]],庫存Pro[[#This Row],[買進前一個配息日(最終)]]))</f>
        <v>#N/A</v>
      </c>
      <c r="CW24"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4" s="768" t="e">
        <f ca="1">_xlfn.DAYS(庫存Pro[[#This Row],[交割日]],庫存Pro[[#This Row],[買進前一個配息日(最終)]])</f>
        <v>#N/A</v>
      </c>
      <c r="CY24"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4" s="768" t="e">
        <f ca="1">_xlfn.DAYS(庫存Pro[[#This Row],[交割日]],庫存Pro[[#This Row],[最近的上一票息日]])</f>
        <v>#N/A</v>
      </c>
      <c r="DA24" s="768" t="e">
        <f ca="1">IF(庫存Pro[[#This Row],[備註]]="年/2去計算ACT",365/2,_xlfn.DAYS(庫存Pro[[#This Row],[下一配息日]],庫存Pro[[#This Row],[最近的上一票息日]]))</f>
        <v>#N/A</v>
      </c>
      <c r="DB24"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4" s="739" t="e">
        <f ca="1">CJ24-庫存Pro[[#This Row],[ex_div_days]]</f>
        <v>#N/A</v>
      </c>
      <c r="DD24" s="646" t="e">
        <f ca="1">IF(VLOOKUP(庫存Pro[[#This Row],[商品代號]],bond!B:AT,45,FALSE)="#N/A Field Not Applicable",0,VLOOKUP(庫存Pro[[#This Row],[商品代號]],bond!B:AT,45,FALSE))</f>
        <v>#N/A</v>
      </c>
      <c r="DE24" s="793" t="e">
        <f ca="1">IF(庫存Pro[[#This Row],[ex_div_days]]&lt;&gt;0,IF(AND(庫存Pro[[#This Row],[買進例外調整]]-庫存Pro[[#This Row],[買進下一個配息日先減n天]]&gt;=0,庫存Pro[[#This Row],[買進時的下個配息日]]-庫存Pro[[#This Row],[買進例外調整]]&gt;0),1,0),0)</f>
        <v>#N/A</v>
      </c>
      <c r="DF24" s="784" t="e">
        <f ca="1">IF(庫存Pro[[#This Row],[對應編碼]]=4,ROUND(庫存Pro[[#This Row],[前手息(初算)]]-庫存Pro[[#This Row],[票面利率]]/庫存Pro[[#This Row],[配息頻率]]*100,3),ROUND(庫存Pro[[#This Row],[前手息(初算)]]-庫存Pro[[#This Row],[票面利率]]/庫存Pro[[#This Row],[配息頻率]]*100,4))</f>
        <v>#N/A</v>
      </c>
      <c r="DG24" s="734" t="e">
        <f ca="1">庫存Pro[[#This Row],[下一配息日]]-庫存Pro[[#This Row],[ex_div_days]]</f>
        <v>#VALUE!</v>
      </c>
      <c r="DH24" s="1084" t="e">
        <f ca="1">IF(庫存Pro[[#This Row],[ex_div_days]]&lt;&gt;0,IF(AND(庫存Pro[[#This Row],[交割日]]-庫存Pro[[#This Row],[交割下個配息日先減n天]]&gt;=0,庫存Pro[[#This Row],[下一配息日]]-庫存Pro[[#This Row],[交割日]]&gt;0),1,0),0)</f>
        <v>#N/A</v>
      </c>
      <c r="DI24"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25" spans="2:239" ht="19.5" customHeight="1">
      <c r="B25" s="12">
        <v>7</v>
      </c>
      <c r="C25" s="604">
        <f t="shared" ca="1" si="22"/>
        <v>500613</v>
      </c>
      <c r="D25" s="26" t="s">
        <v>1794</v>
      </c>
      <c r="E25" s="702">
        <f t="shared" ca="1" si="20"/>
        <v>15412.5</v>
      </c>
      <c r="F25" s="701">
        <f t="shared" ca="1" si="21"/>
        <v>500613</v>
      </c>
      <c r="G25" s="605" t="str">
        <f t="shared" ca="1" si="23"/>
        <v>500,613</v>
      </c>
      <c r="H25" s="428">
        <f ca="1">IF(開關=TRUE,'庫存管理(Pro)'!B25,0)</f>
        <v>0</v>
      </c>
      <c r="I25" s="429" t="e">
        <f ca="1">VLOOKUP(H25,bond!B:I,8,FALSE)</f>
        <v>#N/A</v>
      </c>
      <c r="J25" s="429" t="e">
        <f ca="1">庫存Pro[[#This Row],[買價]]+VLOOKUP(庫存Pro[[#This Row],[商品代號]],bond!B:K,10,FALSE)</f>
        <v>#N/A</v>
      </c>
      <c r="K25" s="430" t="e">
        <f ca="1">VLOOKUP(H25,'銀行-TSS'!B:E,4,FALSE)</f>
        <v>#N/A</v>
      </c>
      <c r="L25" s="431" t="e">
        <f ca="1">VLOOKUP($H25,'銀行-TSS'!B:G,6,FALSE)</f>
        <v>#N/A</v>
      </c>
      <c r="M25" s="432" t="e">
        <f ca="1">IFERROR(DATEVALUE(VLOOKUP($H25,'銀行-TSS'!B:F,5,FALSE)),VLOOKUP($H25,'銀行-TSS'!B:F,5,FALSE))</f>
        <v>#N/A</v>
      </c>
      <c r="N25" s="433" t="e">
        <f ca="1">VLOOKUP($H25,'銀行-TSS'!B:H,7,FALSE)</f>
        <v>#N/A</v>
      </c>
      <c r="O25" s="433" t="e">
        <f ca="1">庫存Pro[[#This Row],[票面利率]]/庫存Pro[[#This Row],[成本價(不含前手息)]]*100</f>
        <v>#N/A</v>
      </c>
      <c r="P25" s="434" t="str">
        <f ca="1">IFERROR(VLOOKUP($H25,'銀行-TSS'!B:I,8,FALSE),"")</f>
        <v/>
      </c>
      <c r="Q25" s="440" t="str">
        <f ca="1">_xlfn.IFNA(IFERROR(DATEVALUE(VLOOKUP($H25,'銀行-TSS'!B:P,15,FALSE)),VLOOKUP($H25,'銀行-TSS'!B:P,15,FALSE)),"")</f>
        <v/>
      </c>
      <c r="R25" s="570" t="b">
        <f>IF(AND('2_Check_code'!C46,庫存Pro[[#This Row],[投入面額]]&gt;0),TRUE,FALSE)</f>
        <v>0</v>
      </c>
      <c r="S25" s="602">
        <f>'庫存管理(Pro)'!AE25</f>
        <v>0</v>
      </c>
      <c r="T25"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5" s="442" t="str">
        <f ca="1">IFERROR(WORKDAY(庫存Pro[[#This Row],[買進日]],VLOOKUP(庫存Pro[[#This Row],[商品代號]],'1_重設數據'!R:S,2,FALSE),休USD),庫存Pro[[#This Row],[買進日(T+2/公債T+1)]])</f>
        <v/>
      </c>
      <c r="V25" s="43">
        <f>'庫存管理(Pro)'!J25</f>
        <v>0</v>
      </c>
      <c r="W25" s="43">
        <f>'庫存管理(Pro)'!K25</f>
        <v>0</v>
      </c>
      <c r="X25" s="464">
        <f t="shared" ca="1" si="9"/>
        <v>0</v>
      </c>
      <c r="Y25" s="464" t="e">
        <f t="shared" ca="1" si="11"/>
        <v>#N/A</v>
      </c>
      <c r="Z25" s="465" t="e">
        <f t="shared" ca="1" si="12"/>
        <v>#N/A</v>
      </c>
      <c r="AA25" s="474" t="e">
        <f ca="1">IF(MF_Pro=2,庫存Pro[[#This Row],[部位現值(不含前手息)]]-庫存Pro[[#This Row],[持有成本(不含前手息)]],庫存Pro[[#This Row],[部位現值(含前手息)]]-庫存Pro[[#This Row],[持有成本(含前手息)]])</f>
        <v>#N/A</v>
      </c>
      <c r="AB25" s="462">
        <f ca="1">IF(MF_Pro=2,IFERROR(庫存Pro[[#This Row],[資本利損]]/庫存Pro[[#This Row],[持有成本(不含前手息)]],0),IFERROR(庫存Pro[[#This Row],[資本利損]]/庫存Pro[[#This Row],[持有成本(含前手息)]],0))</f>
        <v>0</v>
      </c>
      <c r="AC25" s="618" t="e">
        <f ca="1">庫存Pro[[#This Row],[持有成本(不含前手息)]]/庫存Pro[[#This Row],[投入面額]]*100</f>
        <v>#DIV/0!</v>
      </c>
      <c r="AD25" s="462" t="e">
        <f ca="1">VLOOKUP(庫存Pro[[#This Row],[商品代號]],bond!B:AA,26,FALSE)</f>
        <v>#N/A</v>
      </c>
      <c r="AE25" s="1" t="str">
        <f ca="1">IFERROR(VLOOKUP($H25,'銀行-TSS'!B:Q,16,FALSE),"")</f>
        <v/>
      </c>
      <c r="AF25" s="466" t="e">
        <f t="shared" ca="1" si="13"/>
        <v>#N/A</v>
      </c>
      <c r="AG25" s="458" t="e">
        <f ca="1">IF(OR(庫存Pro[[#This Row],[起息日]]&gt;庫存Pro[[#This Row],[買進前一配息日(複算)]],庫存Pro[[#This Row],[判斷]]=TRUE),庫存Pro[[#This Row],[起息日]],庫存Pro[[#This Row],[買進前一配息日(複算)]])</f>
        <v>#N/A</v>
      </c>
      <c r="AH25" s="577" t="e">
        <f ca="1">VLOOKUP(H25,bond!B:AP,41,FALSE)</f>
        <v>#N/A</v>
      </c>
      <c r="AI25" s="578" t="e">
        <f t="shared" ca="1" si="14"/>
        <v>#N/A</v>
      </c>
      <c r="AJ25" s="579">
        <f ca="1">IFERROR(IF(庫存Pro[[#This Row],[買進日是否落入record date]]=1,庫存Pro[[#This Row],[record date制度前手息]],庫存Pro[[#This Row],[前手息(初算)]]),0)</f>
        <v>0</v>
      </c>
      <c r="AK25" s="579" t="e">
        <f ca="1">IF(OR(庫存Pro[[#This Row],[買進例外調整]]&lt;庫存Pro[[#This Row],[起息日]],庫存Pro[[#This Row],[買進例外調整]]&gt;庫存Pro[[#This Row],[到期日]]),0,IF(庫存Pro[[#This Row],[備註]]&lt;&gt;"",庫存Pro[[#This Row],[買進時前手息]],IFERROR(ROUND(ACCRINT(AG25,AG25,U25,N25,100,P25,AI25,TRUE),4),0)))</f>
        <v>#N/A</v>
      </c>
      <c r="AL25" s="580">
        <f t="shared" ca="1" si="10"/>
        <v>0</v>
      </c>
      <c r="AM25" s="440" t="e">
        <f ca="1">DATEVALUE(VLOOKUP(H25,bond!B:I,7,FALSE))</f>
        <v>#N/A</v>
      </c>
      <c r="AN25"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5" s="579">
        <f ca="1">IFERROR(IF(庫存Pro[[#This Row],[交割日是否落入record date]]=1,庫存Pro[[#This Row],[交_record date制度前手息]],庫存Pro[[#This Row],[計算交割前手息(初算)]]),0)</f>
        <v>0</v>
      </c>
      <c r="AP25"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5" s="579" t="e">
        <f ca="1">IF(庫存Pro[[#This Row],[配息頻率]]=0,0,(100*庫存Pro[[#This Row],[票面利率]]/庫存Pro[[#This Row],[配息頻率]])*庫存Pro[[#This Row],[經過幾次配息]]+庫存Pro[[#This Row],[計算交割前手息(複算)]]-庫存Pro[[#This Row],[計算前手息(複算)]])</f>
        <v>#N/A</v>
      </c>
      <c r="AR25" s="581" t="e">
        <f ca="1">IF(庫存Pro[[#This Row],[商品代號]]="XFM90",0,ROUND(AQ25*V25/100,2))</f>
        <v>#N/A</v>
      </c>
      <c r="AS25" s="582">
        <f ca="1">IF(MF_Pro=2,IFERROR(庫存Pro[[#This Row],[累計配息]]/庫存Pro[[#This Row],[持有成本(不含前手息)]],0),IFERROR(庫存Pro[[#This Row],[已實現配息(原幣)]]/庫存Pro[[#This Row],[持有成本(含前手息)]],0))</f>
        <v>0</v>
      </c>
      <c r="AT25" s="583" t="e">
        <f ca="1">IF(MF_Pro=2,庫存Pro[[#This Row],[資本利損]]+庫存Pro[[#This Row],[累計配息]],庫存Pro[[#This Row],[資本利損]]+庫存Pro[[#This Row],[已實現配息(原幣)]])</f>
        <v>#N/A</v>
      </c>
      <c r="AU25" s="584">
        <f ca="1">IF(MF_Pro=2,IFERROR(庫存Pro[[#This Row],[合計收益]]/庫存Pro[[#This Row],[持有成本(不含前手息)]],0),IFERROR(庫存Pro[[#This Row],[合計收益]]/庫存Pro[[#This Row],[持有成本(含前手息)]],0))</f>
        <v>0</v>
      </c>
      <c r="AV25" s="434" t="e">
        <f t="shared" ca="1" si="0"/>
        <v>#VALUE!</v>
      </c>
      <c r="AW25" s="434" t="e">
        <f t="shared" ca="1" si="1"/>
        <v>#VALUE!</v>
      </c>
      <c r="AX25" s="434">
        <f t="shared" ca="1" si="2"/>
        <v>0</v>
      </c>
      <c r="AY25" s="434">
        <f t="shared" ca="1" si="3"/>
        <v>0</v>
      </c>
      <c r="AZ25" s="441" t="e">
        <f ca="1">IF(AND(庫存Pro[[#This Row],[名稱]]="美國國庫債券",DAY(庫存Pro[[#This Row],[買進前一配息日(初算)]])&gt;=28),EOMONTH(庫存Pro[[#This Row],[買進前一配息日(初算)]],0),庫存Pro[[#This Row],[買進前一配息日(初算)]])</f>
        <v>#N/A</v>
      </c>
      <c r="BA25" s="441" t="e">
        <f t="shared" ca="1" si="4"/>
        <v>#VALUE!</v>
      </c>
      <c r="BB25" s="444" t="e">
        <f t="shared" ca="1" si="5"/>
        <v>#VALUE!</v>
      </c>
      <c r="BC25" s="441" t="e">
        <f ca="1">IF(P25&gt;0,IF(MONTH(DATE(BB25,AV25,DAY(Q25)))&lt;&gt;庫存Pro[[#This Row],[第一個配息月]],DATE(BB25,AV25+1,0),DATE(BB25,AV25,DAY(Q25))),庫存Pro[[#This Row],[買進例外調整]]+100)</f>
        <v>#VALUE!</v>
      </c>
      <c r="BD25" s="441" t="e">
        <f ca="1">IF(AW25&lt;&gt;0,IF(MONTH(DATE(BB25,AW25,DAY(Q25)))&lt;&gt;庫存Pro[[#This Row],[第二個配息月]],DATE(BB25,AW25+1,0),DATE(BB25,AW25,DAY(Q25))),庫存Pro[[#This Row],[買進例外調整]]+100)</f>
        <v>#VALUE!</v>
      </c>
      <c r="BE25" s="441" t="e">
        <f ca="1">IF(AX25&lt;&gt;0,IF(MONTH(DATE(BB25,AX25,DAY(Q25)))&lt;&gt;庫存Pro[[#This Row],[第三個配息月]],DATE(BB25,AX25+1,0),DATE(BB25,AX25,DAY(Q25))),庫存Pro[[#This Row],[買進例外調整]]+100)</f>
        <v>#VALUE!</v>
      </c>
      <c r="BF25" s="441" t="e">
        <f ca="1">IF(AY25&lt;&gt;0,IF(MONTH(DATE(BB25,AY25,DAY(Q25)))&lt;&gt;庫存Pro[[#This Row],[第四個配息月]],DATE(BB25,AY25+1,0),DATE(BB25,AY25,DAY(Q25))),庫存Pro[[#This Row],[買進例外調整]]+100)</f>
        <v>#VALUE!</v>
      </c>
      <c r="BG25" s="441" t="e">
        <f ca="1">IF(P25=1,IF(MONTH(DATE(BB25-1,AV25,DAY(Q25)))&lt;&gt;庫存Pro[[#This Row],[第一個配息月]],DATE(BB25-1,AV25+1,0),DATE(BB25-1,AV25,DAY(Q25))),IF(P25=2,IF(MONTH(DATE(BB25-1,AW25,DAY(Q25)))&lt;&gt;庫存Pro[[#This Row],[第二個配息月]],DATE(BB25-1,AW25+1,0),DATE(BB25-1,AW25,DAY(Q25))),IF(P25=4,IF(MONTH(DATE(BB25-1,AY25,DAY(Q25)))&lt;&gt;庫存Pro[[#This Row],[第四個配息月]],DATE(BB25-1,AY25+1,0),DATE(BB25-1,AY25,DAY(Q25))),庫存Pro[[#This Row],[買進例外調整]]+100)))</f>
        <v>#VALUE!</v>
      </c>
      <c r="BH25" s="445">
        <f t="shared" ca="1" si="15"/>
        <v>10000</v>
      </c>
      <c r="BI25" s="445">
        <f t="shared" ca="1" si="16"/>
        <v>10000</v>
      </c>
      <c r="BJ25" s="445">
        <f t="shared" ca="1" si="17"/>
        <v>10000</v>
      </c>
      <c r="BK25" s="445">
        <f t="shared" ca="1" si="18"/>
        <v>10000</v>
      </c>
      <c r="BL25" s="455">
        <f t="shared" ca="1" si="19"/>
        <v>10000</v>
      </c>
      <c r="BM25" s="479" t="e">
        <f ca="1">庫存Pro[[#This Row],[年度配息]]/庫存Pro[[#This Row],[配息頻率]]</f>
        <v>#N/A</v>
      </c>
      <c r="BN25" s="479" t="e">
        <f ca="1">庫存Pro[[#This Row],[單次配息(原幣)]]*庫存Pro[[#This Row],[換算匯率(現)]]</f>
        <v>#N/A</v>
      </c>
      <c r="BO25" s="479" t="str">
        <f ca="1">IFERROR(VLOOKUP($H25,'銀行-TSS'!B:C,2,FALSE),"")</f>
        <v/>
      </c>
      <c r="BP25" s="479" t="e">
        <f ca="1">VLOOKUP(庫存Pro[[#This Row],[幣別]],$B$37:$C$43,2,FALSE)</f>
        <v>#N/A</v>
      </c>
      <c r="BQ25" s="500" t="e">
        <f ca="1">CHOOSE(庫存Pro[[#This Row],[對應編碼]],$D$37,$D$38,$D$39,$D$40,$D$41,$D$42,$D$43)</f>
        <v>#N/A</v>
      </c>
      <c r="BR25" s="500" t="e">
        <f ca="1">CHOOSE(庫存Pro[[#This Row],[對應編碼]],$E$37,$E$38,$E$39,$E$40,$E$41,$E$42,$E$43)</f>
        <v>#N/A</v>
      </c>
      <c r="BS25" s="595" t="e">
        <f ca="1">庫存Pro[[#This Row],[投入面額]]*庫存Pro[[#This Row],[換算匯率(現)]]</f>
        <v>#N/A</v>
      </c>
      <c r="BT25" s="595" t="e">
        <f ca="1">庫存Pro[[#This Row],[持有成本(含前手息)]]*庫存Pro[[#This Row],[換算匯率(買)]]</f>
        <v>#N/A</v>
      </c>
      <c r="BU25" s="498" t="e">
        <f ca="1">庫存Pro[[#This Row],[持有成本(不含前手息)]]*庫存Pro[[#This Row],[換算匯率(買)]]</f>
        <v>#N/A</v>
      </c>
      <c r="BV25" s="498" t="e">
        <f ca="1">庫存Pro[[#This Row],[部位現值(含前手息)]]*庫存Pro[[#This Row],[換算匯率(現)]]</f>
        <v>#N/A</v>
      </c>
      <c r="BW25" s="498" t="e">
        <f ca="1">庫存Pro[[#This Row],[部位現值(不含前手息)]]*庫存Pro[[#This Row],[換算匯率(現)]]</f>
        <v>#N/A</v>
      </c>
      <c r="BX25" s="498" t="e">
        <f ca="1">IF(MF_Pro=2,庫存Pro[[#This Row],[累計配息]]*庫存Pro[[#This Row],[換算匯率(現)]],庫存Pro[[#This Row],[已實現配息(原幣)]]*庫存Pro[[#This Row],[換算匯率(現)]])</f>
        <v>#N/A</v>
      </c>
      <c r="BY25" s="498" t="e">
        <f ca="1">庫存Pro[[#This Row],[資本利損]]*庫存Pro[[#This Row],[換算匯率(現)]]</f>
        <v>#N/A</v>
      </c>
      <c r="BZ25" s="498" t="e">
        <f ca="1">庫存Pro[[#This Row],[累計利息(台)]]+庫存Pro[[#This Row],[資本貢獻(台)]]</f>
        <v>#N/A</v>
      </c>
      <c r="CA25" s="574">
        <f ca="1">IFERROR(庫存Pro[[#This Row],[配息報酬]],0)</f>
        <v>0</v>
      </c>
      <c r="CB25" s="574">
        <f ca="1">庫存Pro[[#This Row],[資本報酬]]</f>
        <v>0</v>
      </c>
      <c r="CC25" s="574">
        <f ca="1">IFERROR(庫存Pro[[#This Row],[換匯總報酬率]]-(庫存Pro[[#This Row],[配息報酬率]]+庫存Pro[[#This Row],[資本報酬率]]),0)</f>
        <v>0</v>
      </c>
      <c r="CD25" s="574">
        <f ca="1">IF(MF_Pro=2,IFERROR((庫存Pro[[#This Row],[參考贖回金額(現)]]+庫存Pro[[#This Row],[累計利息(台)]])/庫存Pro[[#This Row],[淨投入成本(買)]]-1,0),IFERROR(((庫存Pro[[#This Row],[參考贖回金額含前手息(現)]]+庫存Pro[[#This Row],[累計利息(台)]])/庫存Pro[[#This Row],[庫存成本(買)]])-1,0))</f>
        <v>0</v>
      </c>
      <c r="CE25" s="585">
        <f t="shared" ca="1" si="7"/>
        <v>0</v>
      </c>
      <c r="CF25" s="574">
        <f t="shared" ca="1" si="8"/>
        <v>0</v>
      </c>
      <c r="CG25"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5" s="646" t="e">
        <f ca="1">DATEDIF(庫存Pro[[#This Row],[買進例外調整]],庫存Pro[[#This Row],[到期日]],"d")/365.25</f>
        <v>#VALUE!</v>
      </c>
      <c r="CI25" s="739" t="e">
        <f ca="1">DATEVALUE(VLOOKUP(庫存Pro[[#This Row],[商品代號]],bond!B:AF,31,FALSE))</f>
        <v>#N/A</v>
      </c>
      <c r="CJ25" s="739" t="e">
        <f ca="1">IF(庫存Pro[[#This Row],[買下配(國調)]]&lt;庫存Pro[[#This Row],[第一票息日]],庫存Pro[[#This Row],[第一票息日]],庫存Pro[[#This Row],[買下配(國調)]])</f>
        <v>#N/A</v>
      </c>
      <c r="CK25"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5"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5" s="646">
        <f ca="1">IF(庫存Pro[[#This Row],[商品代號]]="XFM90",0,IFERROR(庫存Pro[[#This Row],[單次配息(原幣)]]*庫存Pro[[#This Row],[經過幾次配息]],0))</f>
        <v>0</v>
      </c>
      <c r="CN25" s="646" t="e">
        <f ca="1">VLOOKUP(庫存Pro[[#This Row],[商品代號]],bond!B:F,5,FALSE)</f>
        <v>#N/A</v>
      </c>
      <c r="CO25" s="739" t="str">
        <f ca="1">IFERROR(VLOOKUP(庫存Pro[[#This Row],[ISIN]],'7_發行日例外'!A:C,3,FALSE),IFERROR(DATEVALUE(VLOOKUP(庫存Pro[[#This Row],[商品代號]],bond!B:AR,43,FALSE)),""))</f>
        <v/>
      </c>
      <c r="CP25" s="646" t="e">
        <f ca="1">DATEDIF(庫存Pro[[#This Row],[起息日]],庫存Pro[[#This Row],[買進前一配息日(複算)]],"d")</f>
        <v>#VALUE!</v>
      </c>
      <c r="CQ25"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5" s="739" t="e">
        <f ca="1">IFERROR(VLOOKUP(庫存Pro[[#This Row],[ISIN]],'7_發行日例外'!A:D,4,FALSE),DATEVALUE(VLOOKUP(庫存Pro[[#This Row],[商品代號]],bond!B:AV,44,FALSE)))</f>
        <v>#N/A</v>
      </c>
      <c r="CS25" s="646" t="e">
        <f ca="1">VLOOKUP(庫存Pro[[#This Row],[商品代號]],bond!B:AU,46,FALSE)</f>
        <v>#N/A</v>
      </c>
      <c r="CT25" s="646" t="e">
        <f ca="1">IF(庫存Pro[[#This Row],[計息基礎]]=1,CHOOSE(庫存Pro[[#This Row],[對應編碼]],"沒進位","","沒進位",IF(庫存Pro[[#This Row],[計算類型]]="AUSTRALIA:EX-DIV","4捨五入進0.01%","沒進位"),"年/2去計算ACT","沒進位","沒進位"),"")</f>
        <v>#N/A</v>
      </c>
      <c r="CU25" s="646" t="e">
        <f ca="1">_xlfn.DAYS(庫存Pro[[#This Row],[買進例外調整]],庫存Pro[[#This Row],[買進前一個配息日(最終)]])</f>
        <v>#N/A</v>
      </c>
      <c r="CV25" s="646" t="e">
        <f ca="1">IF(庫存Pro[[#This Row],[備註]]="年/2去計算ACT",365/2,_xlfn.DAYS(庫存Pro[[#This Row],[買進時的下個配息日]],庫存Pro[[#This Row],[買進前一個配息日(最終)]]))</f>
        <v>#N/A</v>
      </c>
      <c r="CW25"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5" s="768" t="e">
        <f ca="1">_xlfn.DAYS(庫存Pro[[#This Row],[交割日]],庫存Pro[[#This Row],[買進前一個配息日(最終)]])</f>
        <v>#N/A</v>
      </c>
      <c r="CY25"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5" s="768" t="e">
        <f ca="1">_xlfn.DAYS(庫存Pro[[#This Row],[交割日]],庫存Pro[[#This Row],[最近的上一票息日]])</f>
        <v>#N/A</v>
      </c>
      <c r="DA25" s="768" t="e">
        <f ca="1">IF(庫存Pro[[#This Row],[備註]]="年/2去計算ACT",365/2,_xlfn.DAYS(庫存Pro[[#This Row],[下一配息日]],庫存Pro[[#This Row],[最近的上一票息日]]))</f>
        <v>#N/A</v>
      </c>
      <c r="DB25"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5" s="739" t="e">
        <f ca="1">CJ25-庫存Pro[[#This Row],[ex_div_days]]</f>
        <v>#N/A</v>
      </c>
      <c r="DD25" s="646" t="e">
        <f ca="1">IF(VLOOKUP(庫存Pro[[#This Row],[商品代號]],bond!B:AT,45,FALSE)="#N/A Field Not Applicable",0,VLOOKUP(庫存Pro[[#This Row],[商品代號]],bond!B:AT,45,FALSE))</f>
        <v>#N/A</v>
      </c>
      <c r="DE25" s="793" t="e">
        <f ca="1">IF(庫存Pro[[#This Row],[ex_div_days]]&lt;&gt;0,IF(AND(庫存Pro[[#This Row],[買進例外調整]]-庫存Pro[[#This Row],[買進下一個配息日先減n天]]&gt;=0,庫存Pro[[#This Row],[買進時的下個配息日]]-庫存Pro[[#This Row],[買進例外調整]]&gt;0),1,0),0)</f>
        <v>#N/A</v>
      </c>
      <c r="DF25" s="784" t="e">
        <f ca="1">IF(庫存Pro[[#This Row],[對應編碼]]=4,ROUND(庫存Pro[[#This Row],[前手息(初算)]]-庫存Pro[[#This Row],[票面利率]]/庫存Pro[[#This Row],[配息頻率]]*100,3),ROUND(庫存Pro[[#This Row],[前手息(初算)]]-庫存Pro[[#This Row],[票面利率]]/庫存Pro[[#This Row],[配息頻率]]*100,4))</f>
        <v>#N/A</v>
      </c>
      <c r="DG25" s="734" t="e">
        <f ca="1">庫存Pro[[#This Row],[下一配息日]]-庫存Pro[[#This Row],[ex_div_days]]</f>
        <v>#VALUE!</v>
      </c>
      <c r="DH25" s="1084" t="e">
        <f ca="1">IF(庫存Pro[[#This Row],[ex_div_days]]&lt;&gt;0,IF(AND(庫存Pro[[#This Row],[交割日]]-庫存Pro[[#This Row],[交割下個配息日先減n天]]&gt;=0,庫存Pro[[#This Row],[下一配息日]]-庫存Pro[[#This Row],[交割日]]&gt;0),1,0),0)</f>
        <v>#N/A</v>
      </c>
      <c r="DI25"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26" spans="2:239" ht="19.5" customHeight="1">
      <c r="B26" s="12">
        <v>8</v>
      </c>
      <c r="C26" s="604">
        <f t="shared" ca="1" si="22"/>
        <v>0</v>
      </c>
      <c r="D26" s="26" t="s">
        <v>1795</v>
      </c>
      <c r="E26" s="702">
        <f t="shared" ca="1" si="20"/>
        <v>0</v>
      </c>
      <c r="F26" s="701">
        <f t="shared" ca="1" si="21"/>
        <v>0</v>
      </c>
      <c r="G26" s="605" t="str">
        <f t="shared" ca="1" si="23"/>
        <v>0</v>
      </c>
      <c r="H26" s="428">
        <f ca="1">IF(開關=TRUE,'庫存管理(Pro)'!B26,0)</f>
        <v>0</v>
      </c>
      <c r="I26" s="429" t="e">
        <f ca="1">VLOOKUP(H26,bond!B:I,8,FALSE)</f>
        <v>#N/A</v>
      </c>
      <c r="J26" s="429" t="e">
        <f ca="1">庫存Pro[[#This Row],[買價]]+VLOOKUP(庫存Pro[[#This Row],[商品代號]],bond!B:K,10,FALSE)</f>
        <v>#N/A</v>
      </c>
      <c r="K26" s="430" t="e">
        <f ca="1">VLOOKUP(H26,'銀行-TSS'!B:E,4,FALSE)</f>
        <v>#N/A</v>
      </c>
      <c r="L26" s="431" t="e">
        <f ca="1">VLOOKUP($H26,'銀行-TSS'!B:G,6,FALSE)</f>
        <v>#N/A</v>
      </c>
      <c r="M26" s="432" t="e">
        <f ca="1">IFERROR(DATEVALUE(VLOOKUP($H26,'銀行-TSS'!B:F,5,FALSE)),VLOOKUP($H26,'銀行-TSS'!B:F,5,FALSE))</f>
        <v>#N/A</v>
      </c>
      <c r="N26" s="433" t="e">
        <f ca="1">VLOOKUP($H26,'銀行-TSS'!B:H,7,FALSE)</f>
        <v>#N/A</v>
      </c>
      <c r="O26" s="433" t="e">
        <f ca="1">庫存Pro[[#This Row],[票面利率]]/庫存Pro[[#This Row],[成本價(不含前手息)]]*100</f>
        <v>#N/A</v>
      </c>
      <c r="P26" s="434" t="str">
        <f ca="1">IFERROR(VLOOKUP($H26,'銀行-TSS'!B:I,8,FALSE),"")</f>
        <v/>
      </c>
      <c r="Q26" s="440" t="str">
        <f ca="1">_xlfn.IFNA(IFERROR(DATEVALUE(VLOOKUP($H26,'銀行-TSS'!B:P,15,FALSE)),VLOOKUP($H26,'銀行-TSS'!B:P,15,FALSE)),"")</f>
        <v/>
      </c>
      <c r="R26" s="570" t="b">
        <f>IF(AND('2_Check_code'!C47,庫存Pro[[#This Row],[投入面額]]&gt;0),TRUE,FALSE)</f>
        <v>0</v>
      </c>
      <c r="S26" s="602">
        <f>'庫存管理(Pro)'!AE26</f>
        <v>0</v>
      </c>
      <c r="T26"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6" s="442" t="str">
        <f ca="1">IFERROR(WORKDAY(庫存Pro[[#This Row],[買進日]],VLOOKUP(庫存Pro[[#This Row],[商品代號]],'1_重設數據'!R:S,2,FALSE),休USD),庫存Pro[[#This Row],[買進日(T+2/公債T+1)]])</f>
        <v/>
      </c>
      <c r="V26" s="43">
        <f>'庫存管理(Pro)'!J26</f>
        <v>0</v>
      </c>
      <c r="W26" s="43">
        <f>'庫存管理(Pro)'!K26</f>
        <v>0</v>
      </c>
      <c r="X26" s="464">
        <f t="shared" ca="1" si="9"/>
        <v>0</v>
      </c>
      <c r="Y26" s="464" t="e">
        <f t="shared" ca="1" si="11"/>
        <v>#N/A</v>
      </c>
      <c r="Z26" s="465" t="e">
        <f t="shared" ca="1" si="12"/>
        <v>#N/A</v>
      </c>
      <c r="AA26" s="474" t="e">
        <f ca="1">IF(MF_Pro=2,庫存Pro[[#This Row],[部位現值(不含前手息)]]-庫存Pro[[#This Row],[持有成本(不含前手息)]],庫存Pro[[#This Row],[部位現值(含前手息)]]-庫存Pro[[#This Row],[持有成本(含前手息)]])</f>
        <v>#N/A</v>
      </c>
      <c r="AB26" s="462">
        <f ca="1">IF(MF_Pro=2,IFERROR(庫存Pro[[#This Row],[資本利損]]/庫存Pro[[#This Row],[持有成本(不含前手息)]],0),IFERROR(庫存Pro[[#This Row],[資本利損]]/庫存Pro[[#This Row],[持有成本(含前手息)]],0))</f>
        <v>0</v>
      </c>
      <c r="AC26" s="618" t="e">
        <f ca="1">庫存Pro[[#This Row],[持有成本(不含前手息)]]/庫存Pro[[#This Row],[投入面額]]*100</f>
        <v>#DIV/0!</v>
      </c>
      <c r="AD26" s="462" t="e">
        <f ca="1">VLOOKUP(庫存Pro[[#This Row],[商品代號]],bond!B:AA,26,FALSE)</f>
        <v>#N/A</v>
      </c>
      <c r="AE26" s="1" t="str">
        <f ca="1">IFERROR(VLOOKUP($H26,'銀行-TSS'!B:Q,16,FALSE),"")</f>
        <v/>
      </c>
      <c r="AF26" s="466" t="e">
        <f t="shared" ca="1" si="13"/>
        <v>#N/A</v>
      </c>
      <c r="AG26" s="458" t="e">
        <f ca="1">IF(OR(庫存Pro[[#This Row],[起息日]]&gt;庫存Pro[[#This Row],[買進前一配息日(複算)]],庫存Pro[[#This Row],[判斷]]=TRUE),庫存Pro[[#This Row],[起息日]],庫存Pro[[#This Row],[買進前一配息日(複算)]])</f>
        <v>#N/A</v>
      </c>
      <c r="AH26" s="577" t="e">
        <f ca="1">VLOOKUP(H26,bond!B:AP,41,FALSE)</f>
        <v>#N/A</v>
      </c>
      <c r="AI26" s="578" t="e">
        <f t="shared" ca="1" si="14"/>
        <v>#N/A</v>
      </c>
      <c r="AJ26" s="579">
        <f ca="1">IFERROR(IF(庫存Pro[[#This Row],[買進日是否落入record date]]=1,庫存Pro[[#This Row],[record date制度前手息]],庫存Pro[[#This Row],[前手息(初算)]]),0)</f>
        <v>0</v>
      </c>
      <c r="AK26" s="579" t="e">
        <f ca="1">IF(OR(庫存Pro[[#This Row],[買進例外調整]]&lt;庫存Pro[[#This Row],[起息日]],庫存Pro[[#This Row],[買進例外調整]]&gt;庫存Pro[[#This Row],[到期日]]),0,IF(庫存Pro[[#This Row],[備註]]&lt;&gt;"",庫存Pro[[#This Row],[買進時前手息]],IFERROR(ROUND(ACCRINT(AG26,AG26,U26,N26,100,P26,AI26,TRUE),4),0)))</f>
        <v>#N/A</v>
      </c>
      <c r="AL26" s="580">
        <f t="shared" ca="1" si="10"/>
        <v>0</v>
      </c>
      <c r="AM26" s="440" t="e">
        <f ca="1">DATEVALUE(VLOOKUP(H26,bond!B:I,7,FALSE))</f>
        <v>#N/A</v>
      </c>
      <c r="AN26"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6" s="579">
        <f ca="1">IFERROR(IF(庫存Pro[[#This Row],[交割日是否落入record date]]=1,庫存Pro[[#This Row],[交_record date制度前手息]],庫存Pro[[#This Row],[計算交割前手息(初算)]]),0)</f>
        <v>0</v>
      </c>
      <c r="AP26"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6" s="579" t="e">
        <f ca="1">IF(庫存Pro[[#This Row],[配息頻率]]=0,0,(100*庫存Pro[[#This Row],[票面利率]]/庫存Pro[[#This Row],[配息頻率]])*庫存Pro[[#This Row],[經過幾次配息]]+庫存Pro[[#This Row],[計算交割前手息(複算)]]-庫存Pro[[#This Row],[計算前手息(複算)]])</f>
        <v>#N/A</v>
      </c>
      <c r="AR26" s="581" t="e">
        <f ca="1">IF(庫存Pro[[#This Row],[商品代號]]="XFM90",0,ROUND(AQ26*V26/100,2))</f>
        <v>#N/A</v>
      </c>
      <c r="AS26" s="582">
        <f ca="1">IF(MF_Pro=2,IFERROR(庫存Pro[[#This Row],[累計配息]]/庫存Pro[[#This Row],[持有成本(不含前手息)]],0),IFERROR(庫存Pro[[#This Row],[已實現配息(原幣)]]/庫存Pro[[#This Row],[持有成本(含前手息)]],0))</f>
        <v>0</v>
      </c>
      <c r="AT26" s="583" t="e">
        <f ca="1">IF(MF_Pro=2,庫存Pro[[#This Row],[資本利損]]+庫存Pro[[#This Row],[累計配息]],庫存Pro[[#This Row],[資本利損]]+庫存Pro[[#This Row],[已實現配息(原幣)]])</f>
        <v>#N/A</v>
      </c>
      <c r="AU26" s="584">
        <f ca="1">IF(MF_Pro=2,IFERROR(庫存Pro[[#This Row],[合計收益]]/庫存Pro[[#This Row],[持有成本(不含前手息)]],0),IFERROR(庫存Pro[[#This Row],[合計收益]]/庫存Pro[[#This Row],[持有成本(含前手息)]],0))</f>
        <v>0</v>
      </c>
      <c r="AV26" s="434" t="e">
        <f t="shared" ca="1" si="0"/>
        <v>#VALUE!</v>
      </c>
      <c r="AW26" s="434" t="e">
        <f t="shared" ca="1" si="1"/>
        <v>#VALUE!</v>
      </c>
      <c r="AX26" s="434">
        <f t="shared" ca="1" si="2"/>
        <v>0</v>
      </c>
      <c r="AY26" s="434">
        <f t="shared" ca="1" si="3"/>
        <v>0</v>
      </c>
      <c r="AZ26" s="441" t="e">
        <f ca="1">IF(AND(庫存Pro[[#This Row],[名稱]]="美國國庫債券",DAY(庫存Pro[[#This Row],[買進前一配息日(初算)]])&gt;=28),EOMONTH(庫存Pro[[#This Row],[買進前一配息日(初算)]],0),庫存Pro[[#This Row],[買進前一配息日(初算)]])</f>
        <v>#N/A</v>
      </c>
      <c r="BA26" s="441" t="e">
        <f t="shared" ca="1" si="4"/>
        <v>#VALUE!</v>
      </c>
      <c r="BB26" s="444" t="e">
        <f t="shared" ca="1" si="5"/>
        <v>#VALUE!</v>
      </c>
      <c r="BC26" s="441" t="e">
        <f ca="1">IF(P26&gt;0,IF(MONTH(DATE(BB26,AV26,DAY(Q26)))&lt;&gt;庫存Pro[[#This Row],[第一個配息月]],DATE(BB26,AV26+1,0),DATE(BB26,AV26,DAY(Q26))),庫存Pro[[#This Row],[買進例外調整]]+100)</f>
        <v>#VALUE!</v>
      </c>
      <c r="BD26" s="441" t="e">
        <f ca="1">IF(AW26&lt;&gt;0,IF(MONTH(DATE(BB26,AW26,DAY(Q26)))&lt;&gt;庫存Pro[[#This Row],[第二個配息月]],DATE(BB26,AW26+1,0),DATE(BB26,AW26,DAY(Q26))),庫存Pro[[#This Row],[買進例外調整]]+100)</f>
        <v>#VALUE!</v>
      </c>
      <c r="BE26" s="441" t="e">
        <f ca="1">IF(AX26&lt;&gt;0,IF(MONTH(DATE(BB26,AX26,DAY(Q26)))&lt;&gt;庫存Pro[[#This Row],[第三個配息月]],DATE(BB26,AX26+1,0),DATE(BB26,AX26,DAY(Q26))),庫存Pro[[#This Row],[買進例外調整]]+100)</f>
        <v>#VALUE!</v>
      </c>
      <c r="BF26" s="441" t="e">
        <f ca="1">IF(AY26&lt;&gt;0,IF(MONTH(DATE(BB26,AY26,DAY(Q26)))&lt;&gt;庫存Pro[[#This Row],[第四個配息月]],DATE(BB26,AY26+1,0),DATE(BB26,AY26,DAY(Q26))),庫存Pro[[#This Row],[買進例外調整]]+100)</f>
        <v>#VALUE!</v>
      </c>
      <c r="BG26" s="441" t="e">
        <f ca="1">IF(P26=1,IF(MONTH(DATE(BB26-1,AV26,DAY(Q26)))&lt;&gt;庫存Pro[[#This Row],[第一個配息月]],DATE(BB26-1,AV26+1,0),DATE(BB26-1,AV26,DAY(Q26))),IF(P26=2,IF(MONTH(DATE(BB26-1,AW26,DAY(Q26)))&lt;&gt;庫存Pro[[#This Row],[第二個配息月]],DATE(BB26-1,AW26+1,0),DATE(BB26-1,AW26,DAY(Q26))),IF(P26=4,IF(MONTH(DATE(BB26-1,AY26,DAY(Q26)))&lt;&gt;庫存Pro[[#This Row],[第四個配息月]],DATE(BB26-1,AY26+1,0),DATE(BB26-1,AY26,DAY(Q26))),庫存Pro[[#This Row],[買進例外調整]]+100)))</f>
        <v>#VALUE!</v>
      </c>
      <c r="BH26" s="445">
        <f t="shared" ca="1" si="15"/>
        <v>10000</v>
      </c>
      <c r="BI26" s="445">
        <f t="shared" ca="1" si="16"/>
        <v>10000</v>
      </c>
      <c r="BJ26" s="445">
        <f t="shared" ca="1" si="17"/>
        <v>10000</v>
      </c>
      <c r="BK26" s="445">
        <f t="shared" ca="1" si="18"/>
        <v>10000</v>
      </c>
      <c r="BL26" s="455">
        <f t="shared" ca="1" si="19"/>
        <v>10000</v>
      </c>
      <c r="BM26" s="479" t="e">
        <f ca="1">庫存Pro[[#This Row],[年度配息]]/庫存Pro[[#This Row],[配息頻率]]</f>
        <v>#N/A</v>
      </c>
      <c r="BN26" s="479" t="e">
        <f ca="1">庫存Pro[[#This Row],[單次配息(原幣)]]*庫存Pro[[#This Row],[換算匯率(現)]]</f>
        <v>#N/A</v>
      </c>
      <c r="BO26" s="479" t="str">
        <f ca="1">IFERROR(VLOOKUP($H26,'銀行-TSS'!B:C,2,FALSE),"")</f>
        <v/>
      </c>
      <c r="BP26" s="479" t="e">
        <f ca="1">VLOOKUP(庫存Pro[[#This Row],[幣別]],$B$37:$C$43,2,FALSE)</f>
        <v>#N/A</v>
      </c>
      <c r="BQ26" s="500" t="e">
        <f ca="1">CHOOSE(庫存Pro[[#This Row],[對應編碼]],$D$37,$D$38,$D$39,$D$40,$D$41,$D$42,$D$43)</f>
        <v>#N/A</v>
      </c>
      <c r="BR26" s="500" t="e">
        <f ca="1">CHOOSE(庫存Pro[[#This Row],[對應編碼]],$E$37,$E$38,$E$39,$E$40,$E$41,$E$42,$E$43)</f>
        <v>#N/A</v>
      </c>
      <c r="BS26" s="595" t="e">
        <f ca="1">庫存Pro[[#This Row],[投入面額]]*庫存Pro[[#This Row],[換算匯率(現)]]</f>
        <v>#N/A</v>
      </c>
      <c r="BT26" s="595" t="e">
        <f ca="1">庫存Pro[[#This Row],[持有成本(含前手息)]]*庫存Pro[[#This Row],[換算匯率(買)]]</f>
        <v>#N/A</v>
      </c>
      <c r="BU26" s="498" t="e">
        <f ca="1">庫存Pro[[#This Row],[持有成本(不含前手息)]]*庫存Pro[[#This Row],[換算匯率(買)]]</f>
        <v>#N/A</v>
      </c>
      <c r="BV26" s="498" t="e">
        <f ca="1">庫存Pro[[#This Row],[部位現值(含前手息)]]*庫存Pro[[#This Row],[換算匯率(現)]]</f>
        <v>#N/A</v>
      </c>
      <c r="BW26" s="498" t="e">
        <f ca="1">庫存Pro[[#This Row],[部位現值(不含前手息)]]*庫存Pro[[#This Row],[換算匯率(現)]]</f>
        <v>#N/A</v>
      </c>
      <c r="BX26" s="498" t="e">
        <f ca="1">IF(MF_Pro=2,庫存Pro[[#This Row],[累計配息]]*庫存Pro[[#This Row],[換算匯率(現)]],庫存Pro[[#This Row],[已實現配息(原幣)]]*庫存Pro[[#This Row],[換算匯率(現)]])</f>
        <v>#N/A</v>
      </c>
      <c r="BY26" s="498" t="e">
        <f ca="1">庫存Pro[[#This Row],[資本利損]]*庫存Pro[[#This Row],[換算匯率(現)]]</f>
        <v>#N/A</v>
      </c>
      <c r="BZ26" s="498" t="e">
        <f ca="1">庫存Pro[[#This Row],[累計利息(台)]]+庫存Pro[[#This Row],[資本貢獻(台)]]</f>
        <v>#N/A</v>
      </c>
      <c r="CA26" s="574">
        <f ca="1">IFERROR(庫存Pro[[#This Row],[配息報酬]],0)</f>
        <v>0</v>
      </c>
      <c r="CB26" s="574">
        <f ca="1">庫存Pro[[#This Row],[資本報酬]]</f>
        <v>0</v>
      </c>
      <c r="CC26" s="574">
        <f ca="1">IFERROR(庫存Pro[[#This Row],[換匯總報酬率]]-(庫存Pro[[#This Row],[配息報酬率]]+庫存Pro[[#This Row],[資本報酬率]]),0)</f>
        <v>0</v>
      </c>
      <c r="CD26" s="574">
        <f ca="1">IF(MF_Pro=2,IFERROR((庫存Pro[[#This Row],[參考贖回金額(現)]]+庫存Pro[[#This Row],[累計利息(台)]])/庫存Pro[[#This Row],[淨投入成本(買)]]-1,0),IFERROR(((庫存Pro[[#This Row],[參考贖回金額含前手息(現)]]+庫存Pro[[#This Row],[累計利息(台)]])/庫存Pro[[#This Row],[庫存成本(買)]])-1,0))</f>
        <v>0</v>
      </c>
      <c r="CE26" s="585">
        <f t="shared" ca="1" si="7"/>
        <v>0</v>
      </c>
      <c r="CF26" s="574">
        <f t="shared" ca="1" si="8"/>
        <v>0</v>
      </c>
      <c r="CG26"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6" s="646" t="e">
        <f ca="1">DATEDIF(庫存Pro[[#This Row],[買進例外調整]],庫存Pro[[#This Row],[到期日]],"d")/365.25</f>
        <v>#VALUE!</v>
      </c>
      <c r="CI26" s="739" t="e">
        <f ca="1">DATEVALUE(VLOOKUP(庫存Pro[[#This Row],[商品代號]],bond!B:AF,31,FALSE))</f>
        <v>#N/A</v>
      </c>
      <c r="CJ26" s="739" t="e">
        <f ca="1">IF(庫存Pro[[#This Row],[買下配(國調)]]&lt;庫存Pro[[#This Row],[第一票息日]],庫存Pro[[#This Row],[第一票息日]],庫存Pro[[#This Row],[買下配(國調)]])</f>
        <v>#N/A</v>
      </c>
      <c r="CK26"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6"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6" s="646">
        <f ca="1">IF(庫存Pro[[#This Row],[商品代號]]="XFM90",0,IFERROR(庫存Pro[[#This Row],[單次配息(原幣)]]*庫存Pro[[#This Row],[經過幾次配息]],0))</f>
        <v>0</v>
      </c>
      <c r="CN26" s="646" t="e">
        <f ca="1">VLOOKUP(庫存Pro[[#This Row],[商品代號]],bond!B:F,5,FALSE)</f>
        <v>#N/A</v>
      </c>
      <c r="CO26" s="739" t="str">
        <f ca="1">IFERROR(VLOOKUP(庫存Pro[[#This Row],[ISIN]],'7_發行日例外'!A:C,3,FALSE),IFERROR(DATEVALUE(VLOOKUP(庫存Pro[[#This Row],[商品代號]],bond!B:AR,43,FALSE)),""))</f>
        <v/>
      </c>
      <c r="CP26" s="646" t="e">
        <f ca="1">DATEDIF(庫存Pro[[#This Row],[起息日]],庫存Pro[[#This Row],[買進前一配息日(複算)]],"d")</f>
        <v>#VALUE!</v>
      </c>
      <c r="CQ26"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6" s="739" t="e">
        <f ca="1">IFERROR(VLOOKUP(庫存Pro[[#This Row],[ISIN]],'7_發行日例外'!A:D,4,FALSE),DATEVALUE(VLOOKUP(庫存Pro[[#This Row],[商品代號]],bond!B:AV,44,FALSE)))</f>
        <v>#N/A</v>
      </c>
      <c r="CS26" s="646" t="e">
        <f ca="1">VLOOKUP(庫存Pro[[#This Row],[商品代號]],bond!B:AU,46,FALSE)</f>
        <v>#N/A</v>
      </c>
      <c r="CT26" s="646" t="e">
        <f ca="1">IF(庫存Pro[[#This Row],[計息基礎]]=1,CHOOSE(庫存Pro[[#This Row],[對應編碼]],"沒進位","","沒進位",IF(庫存Pro[[#This Row],[計算類型]]="AUSTRALIA:EX-DIV","4捨五入進0.01%","沒進位"),"年/2去計算ACT","沒進位","沒進位"),"")</f>
        <v>#N/A</v>
      </c>
      <c r="CU26" s="646" t="e">
        <f ca="1">_xlfn.DAYS(庫存Pro[[#This Row],[買進例外調整]],庫存Pro[[#This Row],[買進前一個配息日(最終)]])</f>
        <v>#N/A</v>
      </c>
      <c r="CV26" s="646" t="e">
        <f ca="1">IF(庫存Pro[[#This Row],[備註]]="年/2去計算ACT",365/2,_xlfn.DAYS(庫存Pro[[#This Row],[買進時的下個配息日]],庫存Pro[[#This Row],[買進前一個配息日(最終)]]))</f>
        <v>#N/A</v>
      </c>
      <c r="CW26"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6" s="768" t="e">
        <f ca="1">_xlfn.DAYS(庫存Pro[[#This Row],[交割日]],庫存Pro[[#This Row],[買進前一個配息日(最終)]])</f>
        <v>#N/A</v>
      </c>
      <c r="CY26"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6" s="768" t="e">
        <f ca="1">_xlfn.DAYS(庫存Pro[[#This Row],[交割日]],庫存Pro[[#This Row],[最近的上一票息日]])</f>
        <v>#N/A</v>
      </c>
      <c r="DA26" s="768" t="e">
        <f ca="1">IF(庫存Pro[[#This Row],[備註]]="年/2去計算ACT",365/2,_xlfn.DAYS(庫存Pro[[#This Row],[下一配息日]],庫存Pro[[#This Row],[最近的上一票息日]]))</f>
        <v>#N/A</v>
      </c>
      <c r="DB26"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6" s="739" t="e">
        <f ca="1">CJ26-庫存Pro[[#This Row],[ex_div_days]]</f>
        <v>#N/A</v>
      </c>
      <c r="DD26" s="646" t="e">
        <f ca="1">IF(VLOOKUP(庫存Pro[[#This Row],[商品代號]],bond!B:AT,45,FALSE)="#N/A Field Not Applicable",0,VLOOKUP(庫存Pro[[#This Row],[商品代號]],bond!B:AT,45,FALSE))</f>
        <v>#N/A</v>
      </c>
      <c r="DE26" s="793" t="e">
        <f ca="1">IF(庫存Pro[[#This Row],[ex_div_days]]&lt;&gt;0,IF(AND(庫存Pro[[#This Row],[買進例外調整]]-庫存Pro[[#This Row],[買進下一個配息日先減n天]]&gt;=0,庫存Pro[[#This Row],[買進時的下個配息日]]-庫存Pro[[#This Row],[買進例外調整]]&gt;0),1,0),0)</f>
        <v>#N/A</v>
      </c>
      <c r="DF26" s="784" t="e">
        <f ca="1">IF(庫存Pro[[#This Row],[對應編碼]]=4,ROUND(庫存Pro[[#This Row],[前手息(初算)]]-庫存Pro[[#This Row],[票面利率]]/庫存Pro[[#This Row],[配息頻率]]*100,3),ROUND(庫存Pro[[#This Row],[前手息(初算)]]-庫存Pro[[#This Row],[票面利率]]/庫存Pro[[#This Row],[配息頻率]]*100,4))</f>
        <v>#N/A</v>
      </c>
      <c r="DG26" s="734" t="e">
        <f ca="1">庫存Pro[[#This Row],[下一配息日]]-庫存Pro[[#This Row],[ex_div_days]]</f>
        <v>#VALUE!</v>
      </c>
      <c r="DH26" s="1084" t="e">
        <f ca="1">IF(庫存Pro[[#This Row],[ex_div_days]]&lt;&gt;0,IF(AND(庫存Pro[[#This Row],[交割日]]-庫存Pro[[#This Row],[交割下個配息日先減n天]]&gt;=0,庫存Pro[[#This Row],[下一配息日]]-庫存Pro[[#This Row],[交割日]]&gt;0),1,0),0)</f>
        <v>#N/A</v>
      </c>
      <c r="DI26"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27" spans="2:239" ht="19.5" customHeight="1">
      <c r="B27" s="12">
        <v>9</v>
      </c>
      <c r="C27" s="604">
        <f t="shared" ca="1" si="22"/>
        <v>276089</v>
      </c>
      <c r="D27" s="26" t="s">
        <v>1796</v>
      </c>
      <c r="E27" s="702">
        <f t="shared" ca="1" si="20"/>
        <v>8500</v>
      </c>
      <c r="F27" s="701">
        <f t="shared" ca="1" si="21"/>
        <v>276089</v>
      </c>
      <c r="G27" s="605" t="str">
        <f t="shared" ca="1" si="23"/>
        <v>276,089</v>
      </c>
      <c r="H27" s="428">
        <f ca="1">IF(開關=TRUE,'庫存管理(Pro)'!B27,0)</f>
        <v>0</v>
      </c>
      <c r="I27" s="429" t="e">
        <f ca="1">VLOOKUP(H27,bond!B:I,8,FALSE)</f>
        <v>#N/A</v>
      </c>
      <c r="J27" s="429" t="e">
        <f ca="1">庫存Pro[[#This Row],[買價]]+VLOOKUP(庫存Pro[[#This Row],[商品代號]],bond!B:K,10,FALSE)</f>
        <v>#N/A</v>
      </c>
      <c r="K27" s="430" t="e">
        <f ca="1">VLOOKUP(H27,'銀行-TSS'!B:E,4,FALSE)</f>
        <v>#N/A</v>
      </c>
      <c r="L27" s="431" t="e">
        <f ca="1">VLOOKUP($H27,'銀行-TSS'!B:G,6,FALSE)</f>
        <v>#N/A</v>
      </c>
      <c r="M27" s="432" t="e">
        <f ca="1">IFERROR(DATEVALUE(VLOOKUP($H27,'銀行-TSS'!B:F,5,FALSE)),VLOOKUP($H27,'銀行-TSS'!B:F,5,FALSE))</f>
        <v>#N/A</v>
      </c>
      <c r="N27" s="433" t="e">
        <f ca="1">VLOOKUP($H27,'銀行-TSS'!B:H,7,FALSE)</f>
        <v>#N/A</v>
      </c>
      <c r="O27" s="433" t="e">
        <f ca="1">庫存Pro[[#This Row],[票面利率]]/庫存Pro[[#This Row],[成本價(不含前手息)]]*100</f>
        <v>#N/A</v>
      </c>
      <c r="P27" s="434" t="str">
        <f ca="1">IFERROR(VLOOKUP($H27,'銀行-TSS'!B:I,8,FALSE),"")</f>
        <v/>
      </c>
      <c r="Q27" s="440" t="str">
        <f ca="1">_xlfn.IFNA(IFERROR(DATEVALUE(VLOOKUP($H27,'銀行-TSS'!B:P,15,FALSE)),VLOOKUP($H27,'銀行-TSS'!B:P,15,FALSE)),"")</f>
        <v/>
      </c>
      <c r="R27" s="570" t="b">
        <f>IF(AND('2_Check_code'!C48,庫存Pro[[#This Row],[投入面額]]&gt;0),TRUE,FALSE)</f>
        <v>0</v>
      </c>
      <c r="S27" s="602">
        <f>'庫存管理(Pro)'!AE27</f>
        <v>0</v>
      </c>
      <c r="T27"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7" s="442" t="str">
        <f ca="1">IFERROR(WORKDAY(庫存Pro[[#This Row],[買進日]],VLOOKUP(庫存Pro[[#This Row],[商品代號]],'1_重設數據'!R:S,2,FALSE),休USD),庫存Pro[[#This Row],[買進日(T+2/公債T+1)]])</f>
        <v/>
      </c>
      <c r="V27" s="43">
        <f>'庫存管理(Pro)'!J27</f>
        <v>0</v>
      </c>
      <c r="W27" s="43">
        <f>'庫存管理(Pro)'!K27</f>
        <v>0</v>
      </c>
      <c r="X27" s="464">
        <f t="shared" ca="1" si="9"/>
        <v>0</v>
      </c>
      <c r="Y27" s="464" t="e">
        <f t="shared" ca="1" si="11"/>
        <v>#N/A</v>
      </c>
      <c r="Z27" s="465" t="e">
        <f t="shared" ca="1" si="12"/>
        <v>#N/A</v>
      </c>
      <c r="AA27" s="474" t="e">
        <f ca="1">IF(MF_Pro=2,庫存Pro[[#This Row],[部位現值(不含前手息)]]-庫存Pro[[#This Row],[持有成本(不含前手息)]],庫存Pro[[#This Row],[部位現值(含前手息)]]-庫存Pro[[#This Row],[持有成本(含前手息)]])</f>
        <v>#N/A</v>
      </c>
      <c r="AB27" s="462">
        <f ca="1">IF(MF_Pro=2,IFERROR(庫存Pro[[#This Row],[資本利損]]/庫存Pro[[#This Row],[持有成本(不含前手息)]],0),IFERROR(庫存Pro[[#This Row],[資本利損]]/庫存Pro[[#This Row],[持有成本(含前手息)]],0))</f>
        <v>0</v>
      </c>
      <c r="AC27" s="618" t="e">
        <f ca="1">庫存Pro[[#This Row],[持有成本(不含前手息)]]/庫存Pro[[#This Row],[投入面額]]*100</f>
        <v>#DIV/0!</v>
      </c>
      <c r="AD27" s="462" t="e">
        <f ca="1">VLOOKUP(庫存Pro[[#This Row],[商品代號]],bond!B:AA,26,FALSE)</f>
        <v>#N/A</v>
      </c>
      <c r="AE27" s="1" t="str">
        <f ca="1">IFERROR(VLOOKUP($H27,'銀行-TSS'!B:Q,16,FALSE),"")</f>
        <v/>
      </c>
      <c r="AF27" s="466" t="e">
        <f t="shared" ca="1" si="13"/>
        <v>#N/A</v>
      </c>
      <c r="AG27" s="458" t="e">
        <f ca="1">IF(OR(庫存Pro[[#This Row],[起息日]]&gt;庫存Pro[[#This Row],[買進前一配息日(複算)]],庫存Pro[[#This Row],[判斷]]=TRUE),庫存Pro[[#This Row],[起息日]],庫存Pro[[#This Row],[買進前一配息日(複算)]])</f>
        <v>#N/A</v>
      </c>
      <c r="AH27" s="577" t="e">
        <f ca="1">VLOOKUP(H27,bond!B:AP,41,FALSE)</f>
        <v>#N/A</v>
      </c>
      <c r="AI27" s="578" t="e">
        <f t="shared" ca="1" si="14"/>
        <v>#N/A</v>
      </c>
      <c r="AJ27" s="579">
        <f ca="1">IFERROR(IF(庫存Pro[[#This Row],[買進日是否落入record date]]=1,庫存Pro[[#This Row],[record date制度前手息]],庫存Pro[[#This Row],[前手息(初算)]]),0)</f>
        <v>0</v>
      </c>
      <c r="AK27" s="579" t="e">
        <f ca="1">IF(OR(庫存Pro[[#This Row],[買進例外調整]]&lt;庫存Pro[[#This Row],[起息日]],庫存Pro[[#This Row],[買進例外調整]]&gt;庫存Pro[[#This Row],[到期日]]),0,IF(庫存Pro[[#This Row],[備註]]&lt;&gt;"",庫存Pro[[#This Row],[買進時前手息]],IFERROR(ROUND(ACCRINT(AG27,AG27,U27,N27,100,P27,AI27,TRUE),4),0)))</f>
        <v>#N/A</v>
      </c>
      <c r="AL27" s="580">
        <f t="shared" ca="1" si="10"/>
        <v>0</v>
      </c>
      <c r="AM27" s="440" t="e">
        <f ca="1">DATEVALUE(VLOOKUP(H27,bond!B:I,7,FALSE))</f>
        <v>#N/A</v>
      </c>
      <c r="AN27"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7" s="579">
        <f ca="1">IFERROR(IF(庫存Pro[[#This Row],[交割日是否落入record date]]=1,庫存Pro[[#This Row],[交_record date制度前手息]],庫存Pro[[#This Row],[計算交割前手息(初算)]]),0)</f>
        <v>0</v>
      </c>
      <c r="AP27"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7" s="579" t="e">
        <f ca="1">IF(庫存Pro[[#This Row],[配息頻率]]=0,0,(100*庫存Pro[[#This Row],[票面利率]]/庫存Pro[[#This Row],[配息頻率]])*庫存Pro[[#This Row],[經過幾次配息]]+庫存Pro[[#This Row],[計算交割前手息(複算)]]-庫存Pro[[#This Row],[計算前手息(複算)]])</f>
        <v>#N/A</v>
      </c>
      <c r="AR27" s="581" t="e">
        <f ca="1">IF(庫存Pro[[#This Row],[商品代號]]="XFM90",0,ROUND(AQ27*V27/100,2))</f>
        <v>#N/A</v>
      </c>
      <c r="AS27" s="582">
        <f ca="1">IF(MF_Pro=2,IFERROR(庫存Pro[[#This Row],[累計配息]]/庫存Pro[[#This Row],[持有成本(不含前手息)]],0),IFERROR(庫存Pro[[#This Row],[已實現配息(原幣)]]/庫存Pro[[#This Row],[持有成本(含前手息)]],0))</f>
        <v>0</v>
      </c>
      <c r="AT27" s="583" t="e">
        <f ca="1">IF(MF_Pro=2,庫存Pro[[#This Row],[資本利損]]+庫存Pro[[#This Row],[累計配息]],庫存Pro[[#This Row],[資本利損]]+庫存Pro[[#This Row],[已實現配息(原幣)]])</f>
        <v>#N/A</v>
      </c>
      <c r="AU27" s="584">
        <f ca="1">IF(MF_Pro=2,IFERROR(庫存Pro[[#This Row],[合計收益]]/庫存Pro[[#This Row],[持有成本(不含前手息)]],0),IFERROR(庫存Pro[[#This Row],[合計收益]]/庫存Pro[[#This Row],[持有成本(含前手息)]],0))</f>
        <v>0</v>
      </c>
      <c r="AV27" s="434" t="e">
        <f t="shared" ca="1" si="0"/>
        <v>#VALUE!</v>
      </c>
      <c r="AW27" s="434" t="e">
        <f t="shared" ca="1" si="1"/>
        <v>#VALUE!</v>
      </c>
      <c r="AX27" s="434">
        <f t="shared" ca="1" si="2"/>
        <v>0</v>
      </c>
      <c r="AY27" s="434">
        <f t="shared" ca="1" si="3"/>
        <v>0</v>
      </c>
      <c r="AZ27" s="441" t="e">
        <f ca="1">IF(AND(庫存Pro[[#This Row],[名稱]]="美國國庫債券",DAY(庫存Pro[[#This Row],[買進前一配息日(初算)]])&gt;=28),EOMONTH(庫存Pro[[#This Row],[買進前一配息日(初算)]],0),庫存Pro[[#This Row],[買進前一配息日(初算)]])</f>
        <v>#N/A</v>
      </c>
      <c r="BA27" s="441" t="e">
        <f t="shared" ca="1" si="4"/>
        <v>#VALUE!</v>
      </c>
      <c r="BB27" s="444" t="e">
        <f t="shared" ca="1" si="5"/>
        <v>#VALUE!</v>
      </c>
      <c r="BC27" s="441" t="e">
        <f ca="1">IF(P27&gt;0,IF(MONTH(DATE(BB27,AV27,DAY(Q27)))&lt;&gt;庫存Pro[[#This Row],[第一個配息月]],DATE(BB27,AV27+1,0),DATE(BB27,AV27,DAY(Q27))),庫存Pro[[#This Row],[買進例外調整]]+100)</f>
        <v>#VALUE!</v>
      </c>
      <c r="BD27" s="441" t="e">
        <f ca="1">IF(AW27&lt;&gt;0,IF(MONTH(DATE(BB27,AW27,DAY(Q27)))&lt;&gt;庫存Pro[[#This Row],[第二個配息月]],DATE(BB27,AW27+1,0),DATE(BB27,AW27,DAY(Q27))),庫存Pro[[#This Row],[買進例外調整]]+100)</f>
        <v>#VALUE!</v>
      </c>
      <c r="BE27" s="441" t="e">
        <f ca="1">IF(AX27&lt;&gt;0,IF(MONTH(DATE(BB27,AX27,DAY(Q27)))&lt;&gt;庫存Pro[[#This Row],[第三個配息月]],DATE(BB27,AX27+1,0),DATE(BB27,AX27,DAY(Q27))),庫存Pro[[#This Row],[買進例外調整]]+100)</f>
        <v>#VALUE!</v>
      </c>
      <c r="BF27" s="441" t="e">
        <f ca="1">IF(AY27&lt;&gt;0,IF(MONTH(DATE(BB27,AY27,DAY(Q27)))&lt;&gt;庫存Pro[[#This Row],[第四個配息月]],DATE(BB27,AY27+1,0),DATE(BB27,AY27,DAY(Q27))),庫存Pro[[#This Row],[買進例外調整]]+100)</f>
        <v>#VALUE!</v>
      </c>
      <c r="BG27" s="441" t="e">
        <f ca="1">IF(P27=1,IF(MONTH(DATE(BB27-1,AV27,DAY(Q27)))&lt;&gt;庫存Pro[[#This Row],[第一個配息月]],DATE(BB27-1,AV27+1,0),DATE(BB27-1,AV27,DAY(Q27))),IF(P27=2,IF(MONTH(DATE(BB27-1,AW27,DAY(Q27)))&lt;&gt;庫存Pro[[#This Row],[第二個配息月]],DATE(BB27-1,AW27+1,0),DATE(BB27-1,AW27,DAY(Q27))),IF(P27=4,IF(MONTH(DATE(BB27-1,AY27,DAY(Q27)))&lt;&gt;庫存Pro[[#This Row],[第四個配息月]],DATE(BB27-1,AY27+1,0),DATE(BB27-1,AY27,DAY(Q27))),庫存Pro[[#This Row],[買進例外調整]]+100)))</f>
        <v>#VALUE!</v>
      </c>
      <c r="BH27" s="445">
        <f t="shared" ca="1" si="15"/>
        <v>10000</v>
      </c>
      <c r="BI27" s="445">
        <f t="shared" ca="1" si="16"/>
        <v>10000</v>
      </c>
      <c r="BJ27" s="445">
        <f t="shared" ca="1" si="17"/>
        <v>10000</v>
      </c>
      <c r="BK27" s="445">
        <f t="shared" ca="1" si="18"/>
        <v>10000</v>
      </c>
      <c r="BL27" s="455">
        <f t="shared" ca="1" si="19"/>
        <v>10000</v>
      </c>
      <c r="BM27" s="479" t="e">
        <f ca="1">庫存Pro[[#This Row],[年度配息]]/庫存Pro[[#This Row],[配息頻率]]</f>
        <v>#N/A</v>
      </c>
      <c r="BN27" s="479" t="e">
        <f ca="1">庫存Pro[[#This Row],[單次配息(原幣)]]*庫存Pro[[#This Row],[換算匯率(現)]]</f>
        <v>#N/A</v>
      </c>
      <c r="BO27" s="479" t="str">
        <f ca="1">IFERROR(VLOOKUP($H27,'銀行-TSS'!B:C,2,FALSE),"")</f>
        <v/>
      </c>
      <c r="BP27" s="479" t="e">
        <f ca="1">VLOOKUP(庫存Pro[[#This Row],[幣別]],$B$37:$C$43,2,FALSE)</f>
        <v>#N/A</v>
      </c>
      <c r="BQ27" s="500" t="e">
        <f ca="1">CHOOSE(庫存Pro[[#This Row],[對應編碼]],$D$37,$D$38,$D$39,$D$40,$D$41,$D$42,$D$43)</f>
        <v>#N/A</v>
      </c>
      <c r="BR27" s="500" t="e">
        <f ca="1">CHOOSE(庫存Pro[[#This Row],[對應編碼]],$E$37,$E$38,$E$39,$E$40,$E$41,$E$42,$E$43)</f>
        <v>#N/A</v>
      </c>
      <c r="BS27" s="595" t="e">
        <f ca="1">庫存Pro[[#This Row],[投入面額]]*庫存Pro[[#This Row],[換算匯率(現)]]</f>
        <v>#N/A</v>
      </c>
      <c r="BT27" s="595" t="e">
        <f ca="1">庫存Pro[[#This Row],[持有成本(含前手息)]]*庫存Pro[[#This Row],[換算匯率(買)]]</f>
        <v>#N/A</v>
      </c>
      <c r="BU27" s="498" t="e">
        <f ca="1">庫存Pro[[#This Row],[持有成本(不含前手息)]]*庫存Pro[[#This Row],[換算匯率(買)]]</f>
        <v>#N/A</v>
      </c>
      <c r="BV27" s="498" t="e">
        <f ca="1">庫存Pro[[#This Row],[部位現值(含前手息)]]*庫存Pro[[#This Row],[換算匯率(現)]]</f>
        <v>#N/A</v>
      </c>
      <c r="BW27" s="498" t="e">
        <f ca="1">庫存Pro[[#This Row],[部位現值(不含前手息)]]*庫存Pro[[#This Row],[換算匯率(現)]]</f>
        <v>#N/A</v>
      </c>
      <c r="BX27" s="498" t="e">
        <f ca="1">IF(MF_Pro=2,庫存Pro[[#This Row],[累計配息]]*庫存Pro[[#This Row],[換算匯率(現)]],庫存Pro[[#This Row],[已實現配息(原幣)]]*庫存Pro[[#This Row],[換算匯率(現)]])</f>
        <v>#N/A</v>
      </c>
      <c r="BY27" s="498" t="e">
        <f ca="1">庫存Pro[[#This Row],[資本利損]]*庫存Pro[[#This Row],[換算匯率(現)]]</f>
        <v>#N/A</v>
      </c>
      <c r="BZ27" s="498" t="e">
        <f ca="1">庫存Pro[[#This Row],[累計利息(台)]]+庫存Pro[[#This Row],[資本貢獻(台)]]</f>
        <v>#N/A</v>
      </c>
      <c r="CA27" s="574">
        <f ca="1">IFERROR(庫存Pro[[#This Row],[配息報酬]],0)</f>
        <v>0</v>
      </c>
      <c r="CB27" s="574">
        <f ca="1">庫存Pro[[#This Row],[資本報酬]]</f>
        <v>0</v>
      </c>
      <c r="CC27" s="574">
        <f ca="1">IFERROR(庫存Pro[[#This Row],[換匯總報酬率]]-(庫存Pro[[#This Row],[配息報酬率]]+庫存Pro[[#This Row],[資本報酬率]]),0)</f>
        <v>0</v>
      </c>
      <c r="CD27" s="574">
        <f ca="1">IF(MF_Pro=2,IFERROR((庫存Pro[[#This Row],[參考贖回金額(現)]]+庫存Pro[[#This Row],[累計利息(台)]])/庫存Pro[[#This Row],[淨投入成本(買)]]-1,0),IFERROR(((庫存Pro[[#This Row],[參考贖回金額含前手息(現)]]+庫存Pro[[#This Row],[累計利息(台)]])/庫存Pro[[#This Row],[庫存成本(買)]])-1,0))</f>
        <v>0</v>
      </c>
      <c r="CE27" s="585">
        <f t="shared" ca="1" si="7"/>
        <v>0</v>
      </c>
      <c r="CF27" s="574">
        <f t="shared" ca="1" si="8"/>
        <v>0</v>
      </c>
      <c r="CG27"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7" s="646" t="e">
        <f ca="1">DATEDIF(庫存Pro[[#This Row],[買進例外調整]],庫存Pro[[#This Row],[到期日]],"d")/365.25</f>
        <v>#VALUE!</v>
      </c>
      <c r="CI27" s="739" t="e">
        <f ca="1">DATEVALUE(VLOOKUP(庫存Pro[[#This Row],[商品代號]],bond!B:AF,31,FALSE))</f>
        <v>#N/A</v>
      </c>
      <c r="CJ27" s="739" t="e">
        <f ca="1">IF(庫存Pro[[#This Row],[買下配(國調)]]&lt;庫存Pro[[#This Row],[第一票息日]],庫存Pro[[#This Row],[第一票息日]],庫存Pro[[#This Row],[買下配(國調)]])</f>
        <v>#N/A</v>
      </c>
      <c r="CK27"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7"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7" s="646">
        <f ca="1">IF(庫存Pro[[#This Row],[商品代號]]="XFM90",0,IFERROR(庫存Pro[[#This Row],[單次配息(原幣)]]*庫存Pro[[#This Row],[經過幾次配息]],0))</f>
        <v>0</v>
      </c>
      <c r="CN27" s="646" t="e">
        <f ca="1">VLOOKUP(庫存Pro[[#This Row],[商品代號]],bond!B:F,5,FALSE)</f>
        <v>#N/A</v>
      </c>
      <c r="CO27" s="739" t="str">
        <f ca="1">IFERROR(VLOOKUP(庫存Pro[[#This Row],[ISIN]],'7_發行日例外'!A:C,3,FALSE),IFERROR(DATEVALUE(VLOOKUP(庫存Pro[[#This Row],[商品代號]],bond!B:AR,43,FALSE)),""))</f>
        <v/>
      </c>
      <c r="CP27" s="646" t="e">
        <f ca="1">DATEDIF(庫存Pro[[#This Row],[起息日]],庫存Pro[[#This Row],[買進前一配息日(複算)]],"d")</f>
        <v>#VALUE!</v>
      </c>
      <c r="CQ27"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7" s="739" t="e">
        <f ca="1">IFERROR(VLOOKUP(庫存Pro[[#This Row],[ISIN]],'7_發行日例外'!A:D,4,FALSE),DATEVALUE(VLOOKUP(庫存Pro[[#This Row],[商品代號]],bond!B:AV,44,FALSE)))</f>
        <v>#N/A</v>
      </c>
      <c r="CS27" s="646" t="e">
        <f ca="1">VLOOKUP(庫存Pro[[#This Row],[商品代號]],bond!B:AU,46,FALSE)</f>
        <v>#N/A</v>
      </c>
      <c r="CT27" s="646" t="e">
        <f ca="1">IF(庫存Pro[[#This Row],[計息基礎]]=1,CHOOSE(庫存Pro[[#This Row],[對應編碼]],"沒進位","","沒進位",IF(庫存Pro[[#This Row],[計算類型]]="AUSTRALIA:EX-DIV","4捨五入進0.01%","沒進位"),"年/2去計算ACT","沒進位","沒進位"),"")</f>
        <v>#N/A</v>
      </c>
      <c r="CU27" s="646" t="e">
        <f ca="1">_xlfn.DAYS(庫存Pro[[#This Row],[買進例外調整]],庫存Pro[[#This Row],[買進前一個配息日(最終)]])</f>
        <v>#N/A</v>
      </c>
      <c r="CV27" s="646" t="e">
        <f ca="1">IF(庫存Pro[[#This Row],[備註]]="年/2去計算ACT",365/2,_xlfn.DAYS(庫存Pro[[#This Row],[買進時的下個配息日]],庫存Pro[[#This Row],[買進前一個配息日(最終)]]))</f>
        <v>#N/A</v>
      </c>
      <c r="CW27"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7" s="768" t="e">
        <f ca="1">_xlfn.DAYS(庫存Pro[[#This Row],[交割日]],庫存Pro[[#This Row],[買進前一個配息日(最終)]])</f>
        <v>#N/A</v>
      </c>
      <c r="CY27"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7" s="768" t="e">
        <f ca="1">_xlfn.DAYS(庫存Pro[[#This Row],[交割日]],庫存Pro[[#This Row],[最近的上一票息日]])</f>
        <v>#N/A</v>
      </c>
      <c r="DA27" s="768" t="e">
        <f ca="1">IF(庫存Pro[[#This Row],[備註]]="年/2去計算ACT",365/2,_xlfn.DAYS(庫存Pro[[#This Row],[下一配息日]],庫存Pro[[#This Row],[最近的上一票息日]]))</f>
        <v>#N/A</v>
      </c>
      <c r="DB27"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7" s="739" t="e">
        <f ca="1">CJ27-庫存Pro[[#This Row],[ex_div_days]]</f>
        <v>#N/A</v>
      </c>
      <c r="DD27" s="646" t="e">
        <f ca="1">IF(VLOOKUP(庫存Pro[[#This Row],[商品代號]],bond!B:AT,45,FALSE)="#N/A Field Not Applicable",0,VLOOKUP(庫存Pro[[#This Row],[商品代號]],bond!B:AT,45,FALSE))</f>
        <v>#N/A</v>
      </c>
      <c r="DE27" s="793" t="e">
        <f ca="1">IF(庫存Pro[[#This Row],[ex_div_days]]&lt;&gt;0,IF(AND(庫存Pro[[#This Row],[買進例外調整]]-庫存Pro[[#This Row],[買進下一個配息日先減n天]]&gt;=0,庫存Pro[[#This Row],[買進時的下個配息日]]-庫存Pro[[#This Row],[買進例外調整]]&gt;0),1,0),0)</f>
        <v>#N/A</v>
      </c>
      <c r="DF27" s="784" t="e">
        <f ca="1">IF(庫存Pro[[#This Row],[對應編碼]]=4,ROUND(庫存Pro[[#This Row],[前手息(初算)]]-庫存Pro[[#This Row],[票面利率]]/庫存Pro[[#This Row],[配息頻率]]*100,3),ROUND(庫存Pro[[#This Row],[前手息(初算)]]-庫存Pro[[#This Row],[票面利率]]/庫存Pro[[#This Row],[配息頻率]]*100,4))</f>
        <v>#N/A</v>
      </c>
      <c r="DG27" s="734" t="e">
        <f ca="1">庫存Pro[[#This Row],[下一配息日]]-庫存Pro[[#This Row],[ex_div_days]]</f>
        <v>#VALUE!</v>
      </c>
      <c r="DH27" s="1084" t="e">
        <f ca="1">IF(庫存Pro[[#This Row],[ex_div_days]]&lt;&gt;0,IF(AND(庫存Pro[[#This Row],[交割日]]-庫存Pro[[#This Row],[交割下個配息日先減n天]]&gt;=0,庫存Pro[[#This Row],[下一配息日]]-庫存Pro[[#This Row],[交割日]]&gt;0),1,0),0)</f>
        <v>#N/A</v>
      </c>
      <c r="DI27"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28" spans="2:239" ht="19.5" customHeight="1">
      <c r="B28" s="12">
        <v>10</v>
      </c>
      <c r="C28" s="604">
        <f t="shared" ca="1" si="22"/>
        <v>0</v>
      </c>
      <c r="D28" s="26" t="s">
        <v>1797</v>
      </c>
      <c r="E28" s="702">
        <f t="shared" ca="1" si="20"/>
        <v>0</v>
      </c>
      <c r="F28" s="701">
        <f t="shared" ca="1" si="21"/>
        <v>0</v>
      </c>
      <c r="G28" s="605" t="str">
        <f t="shared" ca="1" si="23"/>
        <v>0</v>
      </c>
      <c r="H28" s="428">
        <f ca="1">IF(開關=TRUE,'庫存管理(Pro)'!B28,0)</f>
        <v>0</v>
      </c>
      <c r="I28" s="429" t="e">
        <f ca="1">VLOOKUP(H28,bond!B:I,8,FALSE)</f>
        <v>#N/A</v>
      </c>
      <c r="J28" s="429" t="e">
        <f ca="1">庫存Pro[[#This Row],[買價]]+VLOOKUP(庫存Pro[[#This Row],[商品代號]],bond!B:K,10,FALSE)</f>
        <v>#N/A</v>
      </c>
      <c r="K28" s="430" t="e">
        <f ca="1">VLOOKUP(H28,'銀行-TSS'!B:E,4,FALSE)</f>
        <v>#N/A</v>
      </c>
      <c r="L28" s="431" t="e">
        <f ca="1">VLOOKUP($H28,'銀行-TSS'!B:G,6,FALSE)</f>
        <v>#N/A</v>
      </c>
      <c r="M28" s="432" t="e">
        <f ca="1">IFERROR(DATEVALUE(VLOOKUP($H28,'銀行-TSS'!B:F,5,FALSE)),VLOOKUP($H28,'銀行-TSS'!B:F,5,FALSE))</f>
        <v>#N/A</v>
      </c>
      <c r="N28" s="433" t="e">
        <f ca="1">VLOOKUP($H28,'銀行-TSS'!B:H,7,FALSE)</f>
        <v>#N/A</v>
      </c>
      <c r="O28" s="433" t="e">
        <f ca="1">庫存Pro[[#This Row],[票面利率]]/庫存Pro[[#This Row],[成本價(不含前手息)]]*100</f>
        <v>#N/A</v>
      </c>
      <c r="P28" s="434" t="str">
        <f ca="1">IFERROR(VLOOKUP($H28,'銀行-TSS'!B:I,8,FALSE),"")</f>
        <v/>
      </c>
      <c r="Q28" s="440" t="str">
        <f ca="1">_xlfn.IFNA(IFERROR(DATEVALUE(VLOOKUP($H28,'銀行-TSS'!B:P,15,FALSE)),VLOOKUP($H28,'銀行-TSS'!B:P,15,FALSE)),"")</f>
        <v/>
      </c>
      <c r="R28" s="570" t="b">
        <f>IF(AND('2_Check_code'!C49,庫存Pro[[#This Row],[投入面額]]&gt;0),TRUE,FALSE)</f>
        <v>0</v>
      </c>
      <c r="S28" s="602">
        <f>'庫存管理(Pro)'!AE28</f>
        <v>0</v>
      </c>
      <c r="T28"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8" s="442" t="str">
        <f ca="1">IFERROR(WORKDAY(庫存Pro[[#This Row],[買進日]],VLOOKUP(庫存Pro[[#This Row],[商品代號]],'1_重設數據'!R:S,2,FALSE),休USD),庫存Pro[[#This Row],[買進日(T+2/公債T+1)]])</f>
        <v/>
      </c>
      <c r="V28" s="43">
        <f>'庫存管理(Pro)'!J28</f>
        <v>0</v>
      </c>
      <c r="W28" s="43">
        <f>'庫存管理(Pro)'!K28</f>
        <v>0</v>
      </c>
      <c r="X28" s="464">
        <f t="shared" ca="1" si="9"/>
        <v>0</v>
      </c>
      <c r="Y28" s="464" t="e">
        <f t="shared" ca="1" si="11"/>
        <v>#N/A</v>
      </c>
      <c r="Z28" s="465" t="e">
        <f t="shared" ca="1" si="12"/>
        <v>#N/A</v>
      </c>
      <c r="AA28" s="474" t="e">
        <f ca="1">IF(MF_Pro=2,庫存Pro[[#This Row],[部位現值(不含前手息)]]-庫存Pro[[#This Row],[持有成本(不含前手息)]],庫存Pro[[#This Row],[部位現值(含前手息)]]-庫存Pro[[#This Row],[持有成本(含前手息)]])</f>
        <v>#N/A</v>
      </c>
      <c r="AB28" s="462">
        <f ca="1">IF(MF_Pro=2,IFERROR(庫存Pro[[#This Row],[資本利損]]/庫存Pro[[#This Row],[持有成本(不含前手息)]],0),IFERROR(庫存Pro[[#This Row],[資本利損]]/庫存Pro[[#This Row],[持有成本(含前手息)]],0))</f>
        <v>0</v>
      </c>
      <c r="AC28" s="618" t="e">
        <f ca="1">庫存Pro[[#This Row],[持有成本(不含前手息)]]/庫存Pro[[#This Row],[投入面額]]*100</f>
        <v>#DIV/0!</v>
      </c>
      <c r="AD28" s="462" t="e">
        <f ca="1">VLOOKUP(庫存Pro[[#This Row],[商品代號]],bond!B:AA,26,FALSE)</f>
        <v>#N/A</v>
      </c>
      <c r="AE28" s="1" t="str">
        <f ca="1">IFERROR(VLOOKUP($H28,'銀行-TSS'!B:Q,16,FALSE),"")</f>
        <v/>
      </c>
      <c r="AF28" s="466" t="e">
        <f t="shared" ca="1" si="13"/>
        <v>#N/A</v>
      </c>
      <c r="AG28" s="458" t="e">
        <f ca="1">IF(OR(庫存Pro[[#This Row],[起息日]]&gt;庫存Pro[[#This Row],[買進前一配息日(複算)]],庫存Pro[[#This Row],[判斷]]=TRUE),庫存Pro[[#This Row],[起息日]],庫存Pro[[#This Row],[買進前一配息日(複算)]])</f>
        <v>#N/A</v>
      </c>
      <c r="AH28" s="577" t="e">
        <f ca="1">VLOOKUP(H28,bond!B:AP,41,FALSE)</f>
        <v>#N/A</v>
      </c>
      <c r="AI28" s="578" t="e">
        <f t="shared" ca="1" si="14"/>
        <v>#N/A</v>
      </c>
      <c r="AJ28" s="579">
        <f ca="1">IFERROR(IF(庫存Pro[[#This Row],[買進日是否落入record date]]=1,庫存Pro[[#This Row],[record date制度前手息]],庫存Pro[[#This Row],[前手息(初算)]]),0)</f>
        <v>0</v>
      </c>
      <c r="AK28" s="579" t="e">
        <f ca="1">IF(OR(庫存Pro[[#This Row],[買進例外調整]]&lt;庫存Pro[[#This Row],[起息日]],庫存Pro[[#This Row],[買進例外調整]]&gt;庫存Pro[[#This Row],[到期日]]),0,IF(庫存Pro[[#This Row],[備註]]&lt;&gt;"",庫存Pro[[#This Row],[買進時前手息]],IFERROR(ROUND(ACCRINT(AG28,AG28,U28,N28,100,P28,AI28,TRUE),4),0)))</f>
        <v>#N/A</v>
      </c>
      <c r="AL28" s="580">
        <f t="shared" ca="1" si="10"/>
        <v>0</v>
      </c>
      <c r="AM28" s="440" t="e">
        <f ca="1">DATEVALUE(VLOOKUP(H28,bond!B:I,7,FALSE))</f>
        <v>#N/A</v>
      </c>
      <c r="AN28"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8" s="579">
        <f ca="1">IFERROR(IF(庫存Pro[[#This Row],[交割日是否落入record date]]=1,庫存Pro[[#This Row],[交_record date制度前手息]],庫存Pro[[#This Row],[計算交割前手息(初算)]]),0)</f>
        <v>0</v>
      </c>
      <c r="AP28"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8" s="579" t="e">
        <f ca="1">IF(庫存Pro[[#This Row],[配息頻率]]=0,0,(100*庫存Pro[[#This Row],[票面利率]]/庫存Pro[[#This Row],[配息頻率]])*庫存Pro[[#This Row],[經過幾次配息]]+庫存Pro[[#This Row],[計算交割前手息(複算)]]-庫存Pro[[#This Row],[計算前手息(複算)]])</f>
        <v>#N/A</v>
      </c>
      <c r="AR28" s="581" t="e">
        <f ca="1">IF(庫存Pro[[#This Row],[商品代號]]="XFM90",0,ROUND(AQ28*V28/100,2))</f>
        <v>#N/A</v>
      </c>
      <c r="AS28" s="582">
        <f ca="1">IF(MF_Pro=2,IFERROR(庫存Pro[[#This Row],[累計配息]]/庫存Pro[[#This Row],[持有成本(不含前手息)]],0),IFERROR(庫存Pro[[#This Row],[已實現配息(原幣)]]/庫存Pro[[#This Row],[持有成本(含前手息)]],0))</f>
        <v>0</v>
      </c>
      <c r="AT28" s="583" t="e">
        <f ca="1">IF(MF_Pro=2,庫存Pro[[#This Row],[資本利損]]+庫存Pro[[#This Row],[累計配息]],庫存Pro[[#This Row],[資本利損]]+庫存Pro[[#This Row],[已實現配息(原幣)]])</f>
        <v>#N/A</v>
      </c>
      <c r="AU28" s="584">
        <f ca="1">IF(MF_Pro=2,IFERROR(庫存Pro[[#This Row],[合計收益]]/庫存Pro[[#This Row],[持有成本(不含前手息)]],0),IFERROR(庫存Pro[[#This Row],[合計收益]]/庫存Pro[[#This Row],[持有成本(含前手息)]],0))</f>
        <v>0</v>
      </c>
      <c r="AV28" s="434" t="e">
        <f t="shared" ca="1" si="0"/>
        <v>#VALUE!</v>
      </c>
      <c r="AW28" s="434" t="e">
        <f t="shared" ca="1" si="1"/>
        <v>#VALUE!</v>
      </c>
      <c r="AX28" s="434">
        <f t="shared" ca="1" si="2"/>
        <v>0</v>
      </c>
      <c r="AY28" s="434">
        <f t="shared" ca="1" si="3"/>
        <v>0</v>
      </c>
      <c r="AZ28" s="441" t="e">
        <f ca="1">IF(AND(庫存Pro[[#This Row],[名稱]]="美國國庫債券",DAY(庫存Pro[[#This Row],[買進前一配息日(初算)]])&gt;=28),EOMONTH(庫存Pro[[#This Row],[買進前一配息日(初算)]],0),庫存Pro[[#This Row],[買進前一配息日(初算)]])</f>
        <v>#N/A</v>
      </c>
      <c r="BA28" s="441" t="e">
        <f t="shared" ca="1" si="4"/>
        <v>#VALUE!</v>
      </c>
      <c r="BB28" s="444" t="e">
        <f t="shared" ca="1" si="5"/>
        <v>#VALUE!</v>
      </c>
      <c r="BC28" s="441" t="e">
        <f ca="1">IF(P28&gt;0,IF(MONTH(DATE(BB28,AV28,DAY(Q28)))&lt;&gt;庫存Pro[[#This Row],[第一個配息月]],DATE(BB28,AV28+1,0),DATE(BB28,AV28,DAY(Q28))),庫存Pro[[#This Row],[買進例外調整]]+100)</f>
        <v>#VALUE!</v>
      </c>
      <c r="BD28" s="441" t="e">
        <f ca="1">IF(AW28&lt;&gt;0,IF(MONTH(DATE(BB28,AW28,DAY(Q28)))&lt;&gt;庫存Pro[[#This Row],[第二個配息月]],DATE(BB28,AW28+1,0),DATE(BB28,AW28,DAY(Q28))),庫存Pro[[#This Row],[買進例外調整]]+100)</f>
        <v>#VALUE!</v>
      </c>
      <c r="BE28" s="441" t="e">
        <f ca="1">IF(AX28&lt;&gt;0,IF(MONTH(DATE(BB28,AX28,DAY(Q28)))&lt;&gt;庫存Pro[[#This Row],[第三個配息月]],DATE(BB28,AX28+1,0),DATE(BB28,AX28,DAY(Q28))),庫存Pro[[#This Row],[買進例外調整]]+100)</f>
        <v>#VALUE!</v>
      </c>
      <c r="BF28" s="441" t="e">
        <f ca="1">IF(AY28&lt;&gt;0,IF(MONTH(DATE(BB28,AY28,DAY(Q28)))&lt;&gt;庫存Pro[[#This Row],[第四個配息月]],DATE(BB28,AY28+1,0),DATE(BB28,AY28,DAY(Q28))),庫存Pro[[#This Row],[買進例外調整]]+100)</f>
        <v>#VALUE!</v>
      </c>
      <c r="BG28" s="441" t="e">
        <f ca="1">IF(P28=1,IF(MONTH(DATE(BB28-1,AV28,DAY(Q28)))&lt;&gt;庫存Pro[[#This Row],[第一個配息月]],DATE(BB28-1,AV28+1,0),DATE(BB28-1,AV28,DAY(Q28))),IF(P28=2,IF(MONTH(DATE(BB28-1,AW28,DAY(Q28)))&lt;&gt;庫存Pro[[#This Row],[第二個配息月]],DATE(BB28-1,AW28+1,0),DATE(BB28-1,AW28,DAY(Q28))),IF(P28=4,IF(MONTH(DATE(BB28-1,AY28,DAY(Q28)))&lt;&gt;庫存Pro[[#This Row],[第四個配息月]],DATE(BB28-1,AY28+1,0),DATE(BB28-1,AY28,DAY(Q28))),庫存Pro[[#This Row],[買進例外調整]]+100)))</f>
        <v>#VALUE!</v>
      </c>
      <c r="BH28" s="445">
        <f t="shared" ca="1" si="15"/>
        <v>10000</v>
      </c>
      <c r="BI28" s="445">
        <f t="shared" ca="1" si="16"/>
        <v>10000</v>
      </c>
      <c r="BJ28" s="445">
        <f t="shared" ca="1" si="17"/>
        <v>10000</v>
      </c>
      <c r="BK28" s="445">
        <f t="shared" ca="1" si="18"/>
        <v>10000</v>
      </c>
      <c r="BL28" s="455">
        <f t="shared" ca="1" si="19"/>
        <v>10000</v>
      </c>
      <c r="BM28" s="479" t="e">
        <f ca="1">庫存Pro[[#This Row],[年度配息]]/庫存Pro[[#This Row],[配息頻率]]</f>
        <v>#N/A</v>
      </c>
      <c r="BN28" s="479" t="e">
        <f ca="1">庫存Pro[[#This Row],[單次配息(原幣)]]*庫存Pro[[#This Row],[換算匯率(現)]]</f>
        <v>#N/A</v>
      </c>
      <c r="BO28" s="479" t="str">
        <f ca="1">IFERROR(VLOOKUP($H28,'銀行-TSS'!B:C,2,FALSE),"")</f>
        <v/>
      </c>
      <c r="BP28" s="479" t="e">
        <f ca="1">VLOOKUP(庫存Pro[[#This Row],[幣別]],$B$37:$C$43,2,FALSE)</f>
        <v>#N/A</v>
      </c>
      <c r="BQ28" s="500" t="e">
        <f ca="1">CHOOSE(庫存Pro[[#This Row],[對應編碼]],$D$37,$D$38,$D$39,$D$40,$D$41,$D$42,$D$43)</f>
        <v>#N/A</v>
      </c>
      <c r="BR28" s="500" t="e">
        <f ca="1">CHOOSE(庫存Pro[[#This Row],[對應編碼]],$E$37,$E$38,$E$39,$E$40,$E$41,$E$42,$E$43)</f>
        <v>#N/A</v>
      </c>
      <c r="BS28" s="595" t="e">
        <f ca="1">庫存Pro[[#This Row],[投入面額]]*庫存Pro[[#This Row],[換算匯率(現)]]</f>
        <v>#N/A</v>
      </c>
      <c r="BT28" s="595" t="e">
        <f ca="1">庫存Pro[[#This Row],[持有成本(含前手息)]]*庫存Pro[[#This Row],[換算匯率(買)]]</f>
        <v>#N/A</v>
      </c>
      <c r="BU28" s="498" t="e">
        <f ca="1">庫存Pro[[#This Row],[持有成本(不含前手息)]]*庫存Pro[[#This Row],[換算匯率(買)]]</f>
        <v>#N/A</v>
      </c>
      <c r="BV28" s="498" t="e">
        <f ca="1">庫存Pro[[#This Row],[部位現值(含前手息)]]*庫存Pro[[#This Row],[換算匯率(現)]]</f>
        <v>#N/A</v>
      </c>
      <c r="BW28" s="498" t="e">
        <f ca="1">庫存Pro[[#This Row],[部位現值(不含前手息)]]*庫存Pro[[#This Row],[換算匯率(現)]]</f>
        <v>#N/A</v>
      </c>
      <c r="BX28" s="498" t="e">
        <f ca="1">IF(MF_Pro=2,庫存Pro[[#This Row],[累計配息]]*庫存Pro[[#This Row],[換算匯率(現)]],庫存Pro[[#This Row],[已實現配息(原幣)]]*庫存Pro[[#This Row],[換算匯率(現)]])</f>
        <v>#N/A</v>
      </c>
      <c r="BY28" s="498" t="e">
        <f ca="1">庫存Pro[[#This Row],[資本利損]]*庫存Pro[[#This Row],[換算匯率(現)]]</f>
        <v>#N/A</v>
      </c>
      <c r="BZ28" s="498" t="e">
        <f ca="1">庫存Pro[[#This Row],[累計利息(台)]]+庫存Pro[[#This Row],[資本貢獻(台)]]</f>
        <v>#N/A</v>
      </c>
      <c r="CA28" s="574">
        <f ca="1">IFERROR(庫存Pro[[#This Row],[配息報酬]],0)</f>
        <v>0</v>
      </c>
      <c r="CB28" s="574">
        <f ca="1">庫存Pro[[#This Row],[資本報酬]]</f>
        <v>0</v>
      </c>
      <c r="CC28" s="574">
        <f ca="1">IFERROR(庫存Pro[[#This Row],[換匯總報酬率]]-(庫存Pro[[#This Row],[配息報酬率]]+庫存Pro[[#This Row],[資本報酬率]]),0)</f>
        <v>0</v>
      </c>
      <c r="CD28" s="574">
        <f ca="1">IF(MF_Pro=2,IFERROR((庫存Pro[[#This Row],[參考贖回金額(現)]]+庫存Pro[[#This Row],[累計利息(台)]])/庫存Pro[[#This Row],[淨投入成本(買)]]-1,0),IFERROR(((庫存Pro[[#This Row],[參考贖回金額含前手息(現)]]+庫存Pro[[#This Row],[累計利息(台)]])/庫存Pro[[#This Row],[庫存成本(買)]])-1,0))</f>
        <v>0</v>
      </c>
      <c r="CE28" s="585">
        <f t="shared" ca="1" si="7"/>
        <v>0</v>
      </c>
      <c r="CF28" s="574">
        <f t="shared" ca="1" si="8"/>
        <v>0</v>
      </c>
      <c r="CG28"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8" s="646" t="e">
        <f ca="1">DATEDIF(庫存Pro[[#This Row],[買進例外調整]],庫存Pro[[#This Row],[到期日]],"d")/365.25</f>
        <v>#VALUE!</v>
      </c>
      <c r="CI28" s="739" t="e">
        <f ca="1">DATEVALUE(VLOOKUP(庫存Pro[[#This Row],[商品代號]],bond!B:AF,31,FALSE))</f>
        <v>#N/A</v>
      </c>
      <c r="CJ28" s="739" t="e">
        <f ca="1">IF(庫存Pro[[#This Row],[買下配(國調)]]&lt;庫存Pro[[#This Row],[第一票息日]],庫存Pro[[#This Row],[第一票息日]],庫存Pro[[#This Row],[買下配(國調)]])</f>
        <v>#N/A</v>
      </c>
      <c r="CK28"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8"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8" s="646">
        <f ca="1">IF(庫存Pro[[#This Row],[商品代號]]="XFM90",0,IFERROR(庫存Pro[[#This Row],[單次配息(原幣)]]*庫存Pro[[#This Row],[經過幾次配息]],0))</f>
        <v>0</v>
      </c>
      <c r="CN28" s="646" t="e">
        <f ca="1">VLOOKUP(庫存Pro[[#This Row],[商品代號]],bond!B:F,5,FALSE)</f>
        <v>#N/A</v>
      </c>
      <c r="CO28" s="739" t="str">
        <f ca="1">IFERROR(VLOOKUP(庫存Pro[[#This Row],[ISIN]],'7_發行日例外'!A:C,3,FALSE),IFERROR(DATEVALUE(VLOOKUP(庫存Pro[[#This Row],[商品代號]],bond!B:AR,43,FALSE)),""))</f>
        <v/>
      </c>
      <c r="CP28" s="646" t="e">
        <f ca="1">DATEDIF(庫存Pro[[#This Row],[起息日]],庫存Pro[[#This Row],[買進前一配息日(複算)]],"d")</f>
        <v>#VALUE!</v>
      </c>
      <c r="CQ28"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8" s="739" t="e">
        <f ca="1">IFERROR(VLOOKUP(庫存Pro[[#This Row],[ISIN]],'7_發行日例外'!A:D,4,FALSE),DATEVALUE(VLOOKUP(庫存Pro[[#This Row],[商品代號]],bond!B:AV,44,FALSE)))</f>
        <v>#N/A</v>
      </c>
      <c r="CS28" s="646" t="e">
        <f ca="1">VLOOKUP(庫存Pro[[#This Row],[商品代號]],bond!B:AU,46,FALSE)</f>
        <v>#N/A</v>
      </c>
      <c r="CT28" s="646" t="e">
        <f ca="1">IF(庫存Pro[[#This Row],[計息基礎]]=1,CHOOSE(庫存Pro[[#This Row],[對應編碼]],"沒進位","","沒進位",IF(庫存Pro[[#This Row],[計算類型]]="AUSTRALIA:EX-DIV","4捨五入進0.01%","沒進位"),"年/2去計算ACT","沒進位","沒進位"),"")</f>
        <v>#N/A</v>
      </c>
      <c r="CU28" s="646" t="e">
        <f ca="1">_xlfn.DAYS(庫存Pro[[#This Row],[買進例外調整]],庫存Pro[[#This Row],[買進前一個配息日(最終)]])</f>
        <v>#N/A</v>
      </c>
      <c r="CV28" s="646" t="e">
        <f ca="1">IF(庫存Pro[[#This Row],[備註]]="年/2去計算ACT",365/2,_xlfn.DAYS(庫存Pro[[#This Row],[買進時的下個配息日]],庫存Pro[[#This Row],[買進前一個配息日(最終)]]))</f>
        <v>#N/A</v>
      </c>
      <c r="CW28"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8" s="768" t="e">
        <f ca="1">_xlfn.DAYS(庫存Pro[[#This Row],[交割日]],庫存Pro[[#This Row],[買進前一個配息日(最終)]])</f>
        <v>#N/A</v>
      </c>
      <c r="CY28"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8" s="768" t="e">
        <f ca="1">_xlfn.DAYS(庫存Pro[[#This Row],[交割日]],庫存Pro[[#This Row],[最近的上一票息日]])</f>
        <v>#N/A</v>
      </c>
      <c r="DA28" s="768" t="e">
        <f ca="1">IF(庫存Pro[[#This Row],[備註]]="年/2去計算ACT",365/2,_xlfn.DAYS(庫存Pro[[#This Row],[下一配息日]],庫存Pro[[#This Row],[最近的上一票息日]]))</f>
        <v>#N/A</v>
      </c>
      <c r="DB28"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8" s="739" t="e">
        <f ca="1">CJ28-庫存Pro[[#This Row],[ex_div_days]]</f>
        <v>#N/A</v>
      </c>
      <c r="DD28" s="646" t="e">
        <f ca="1">IF(VLOOKUP(庫存Pro[[#This Row],[商品代號]],bond!B:AT,45,FALSE)="#N/A Field Not Applicable",0,VLOOKUP(庫存Pro[[#This Row],[商品代號]],bond!B:AT,45,FALSE))</f>
        <v>#N/A</v>
      </c>
      <c r="DE28" s="793" t="e">
        <f ca="1">IF(庫存Pro[[#This Row],[ex_div_days]]&lt;&gt;0,IF(AND(庫存Pro[[#This Row],[買進例外調整]]-庫存Pro[[#This Row],[買進下一個配息日先減n天]]&gt;=0,庫存Pro[[#This Row],[買進時的下個配息日]]-庫存Pro[[#This Row],[買進例外調整]]&gt;0),1,0),0)</f>
        <v>#N/A</v>
      </c>
      <c r="DF28" s="784" t="e">
        <f ca="1">IF(庫存Pro[[#This Row],[對應編碼]]=4,ROUND(庫存Pro[[#This Row],[前手息(初算)]]-庫存Pro[[#This Row],[票面利率]]/庫存Pro[[#This Row],[配息頻率]]*100,3),ROUND(庫存Pro[[#This Row],[前手息(初算)]]-庫存Pro[[#This Row],[票面利率]]/庫存Pro[[#This Row],[配息頻率]]*100,4))</f>
        <v>#N/A</v>
      </c>
      <c r="DG28" s="734" t="e">
        <f ca="1">庫存Pro[[#This Row],[下一配息日]]-庫存Pro[[#This Row],[ex_div_days]]</f>
        <v>#VALUE!</v>
      </c>
      <c r="DH28" s="1084" t="e">
        <f ca="1">IF(庫存Pro[[#This Row],[ex_div_days]]&lt;&gt;0,IF(AND(庫存Pro[[#This Row],[交割日]]-庫存Pro[[#This Row],[交割下個配息日先減n天]]&gt;=0,庫存Pro[[#This Row],[下一配息日]]-庫存Pro[[#This Row],[交割日]]&gt;0),1,0),0)</f>
        <v>#N/A</v>
      </c>
      <c r="DI28"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29" spans="2:239" ht="19.5" customHeight="1">
      <c r="B29" s="12">
        <v>11</v>
      </c>
      <c r="C29" s="604">
        <f t="shared" ca="1" si="22"/>
        <v>0</v>
      </c>
      <c r="D29" s="26" t="s">
        <v>1798</v>
      </c>
      <c r="E29" s="702">
        <f t="shared" ca="1" si="20"/>
        <v>0</v>
      </c>
      <c r="F29" s="701">
        <f t="shared" ca="1" si="21"/>
        <v>0</v>
      </c>
      <c r="G29" s="605" t="str">
        <f t="shared" ca="1" si="23"/>
        <v>0</v>
      </c>
      <c r="H29" s="428">
        <f ca="1">IF(開關=TRUE,'庫存管理(Pro)'!B29,0)</f>
        <v>0</v>
      </c>
      <c r="I29" s="429" t="e">
        <f ca="1">VLOOKUP(H29,bond!B:I,8,FALSE)</f>
        <v>#N/A</v>
      </c>
      <c r="J29" s="429" t="e">
        <f ca="1">庫存Pro[[#This Row],[買價]]+VLOOKUP(庫存Pro[[#This Row],[商品代號]],bond!B:K,10,FALSE)</f>
        <v>#N/A</v>
      </c>
      <c r="K29" s="430" t="e">
        <f ca="1">VLOOKUP(H29,'銀行-TSS'!B:E,4,FALSE)</f>
        <v>#N/A</v>
      </c>
      <c r="L29" s="431" t="e">
        <f ca="1">VLOOKUP($H29,'銀行-TSS'!B:G,6,FALSE)</f>
        <v>#N/A</v>
      </c>
      <c r="M29" s="432" t="e">
        <f ca="1">IFERROR(DATEVALUE(VLOOKUP($H29,'銀行-TSS'!B:F,5,FALSE)),VLOOKUP($H29,'銀行-TSS'!B:F,5,FALSE))</f>
        <v>#N/A</v>
      </c>
      <c r="N29" s="433" t="e">
        <f ca="1">VLOOKUP($H29,'銀行-TSS'!B:H,7,FALSE)</f>
        <v>#N/A</v>
      </c>
      <c r="O29" s="433" t="e">
        <f ca="1">庫存Pro[[#This Row],[票面利率]]/庫存Pro[[#This Row],[成本價(不含前手息)]]*100</f>
        <v>#N/A</v>
      </c>
      <c r="P29" s="434" t="str">
        <f ca="1">IFERROR(VLOOKUP($H29,'銀行-TSS'!B:I,8,FALSE),"")</f>
        <v/>
      </c>
      <c r="Q29" s="440" t="str">
        <f ca="1">_xlfn.IFNA(IFERROR(DATEVALUE(VLOOKUP($H29,'銀行-TSS'!B:P,15,FALSE)),VLOOKUP($H29,'銀行-TSS'!B:P,15,FALSE)),"")</f>
        <v/>
      </c>
      <c r="R29" s="570" t="b">
        <f>IF(AND('2_Check_code'!C50,庫存Pro[[#This Row],[投入面額]]&gt;0),TRUE,FALSE)</f>
        <v>0</v>
      </c>
      <c r="S29" s="602">
        <f>'庫存管理(Pro)'!AE29</f>
        <v>0</v>
      </c>
      <c r="T29"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29" s="442" t="str">
        <f ca="1">IFERROR(WORKDAY(庫存Pro[[#This Row],[買進日]],VLOOKUP(庫存Pro[[#This Row],[商品代號]],'1_重設數據'!R:S,2,FALSE),休USD),庫存Pro[[#This Row],[買進日(T+2/公債T+1)]])</f>
        <v/>
      </c>
      <c r="V29" s="43">
        <f>'庫存管理(Pro)'!J29</f>
        <v>0</v>
      </c>
      <c r="W29" s="43">
        <f>'庫存管理(Pro)'!K29</f>
        <v>0</v>
      </c>
      <c r="X29" s="464">
        <f t="shared" ca="1" si="9"/>
        <v>0</v>
      </c>
      <c r="Y29" s="464" t="e">
        <f t="shared" ca="1" si="11"/>
        <v>#N/A</v>
      </c>
      <c r="Z29" s="465" t="e">
        <f t="shared" ca="1" si="12"/>
        <v>#N/A</v>
      </c>
      <c r="AA29" s="474" t="e">
        <f ca="1">IF(MF_Pro=2,庫存Pro[[#This Row],[部位現值(不含前手息)]]-庫存Pro[[#This Row],[持有成本(不含前手息)]],庫存Pro[[#This Row],[部位現值(含前手息)]]-庫存Pro[[#This Row],[持有成本(含前手息)]])</f>
        <v>#N/A</v>
      </c>
      <c r="AB29" s="462">
        <f ca="1">IF(MF_Pro=2,IFERROR(庫存Pro[[#This Row],[資本利損]]/庫存Pro[[#This Row],[持有成本(不含前手息)]],0),IFERROR(庫存Pro[[#This Row],[資本利損]]/庫存Pro[[#This Row],[持有成本(含前手息)]],0))</f>
        <v>0</v>
      </c>
      <c r="AC29" s="618" t="e">
        <f ca="1">庫存Pro[[#This Row],[持有成本(不含前手息)]]/庫存Pro[[#This Row],[投入面額]]*100</f>
        <v>#DIV/0!</v>
      </c>
      <c r="AD29" s="462" t="e">
        <f ca="1">VLOOKUP(庫存Pro[[#This Row],[商品代號]],bond!B:AA,26,FALSE)</f>
        <v>#N/A</v>
      </c>
      <c r="AE29" s="1" t="str">
        <f ca="1">IFERROR(VLOOKUP($H29,'銀行-TSS'!B:Q,16,FALSE),"")</f>
        <v/>
      </c>
      <c r="AF29" s="466" t="e">
        <f t="shared" ca="1" si="13"/>
        <v>#N/A</v>
      </c>
      <c r="AG29" s="458" t="e">
        <f ca="1">IF(OR(庫存Pro[[#This Row],[起息日]]&gt;庫存Pro[[#This Row],[買進前一配息日(複算)]],庫存Pro[[#This Row],[判斷]]=TRUE),庫存Pro[[#This Row],[起息日]],庫存Pro[[#This Row],[買進前一配息日(複算)]])</f>
        <v>#N/A</v>
      </c>
      <c r="AH29" s="577" t="e">
        <f ca="1">VLOOKUP(H29,bond!B:AP,41,FALSE)</f>
        <v>#N/A</v>
      </c>
      <c r="AI29" s="578" t="e">
        <f t="shared" ca="1" si="14"/>
        <v>#N/A</v>
      </c>
      <c r="AJ29" s="579">
        <f ca="1">IFERROR(IF(庫存Pro[[#This Row],[買進日是否落入record date]]=1,庫存Pro[[#This Row],[record date制度前手息]],庫存Pro[[#This Row],[前手息(初算)]]),0)</f>
        <v>0</v>
      </c>
      <c r="AK29" s="579" t="e">
        <f ca="1">IF(OR(庫存Pro[[#This Row],[買進例外調整]]&lt;庫存Pro[[#This Row],[起息日]],庫存Pro[[#This Row],[買進例外調整]]&gt;庫存Pro[[#This Row],[到期日]]),0,IF(庫存Pro[[#This Row],[備註]]&lt;&gt;"",庫存Pro[[#This Row],[買進時前手息]],IFERROR(ROUND(ACCRINT(AG29,AG29,U29,N29,100,P29,AI29,TRUE),4),0)))</f>
        <v>#N/A</v>
      </c>
      <c r="AL29" s="580">
        <f t="shared" ca="1" si="10"/>
        <v>0</v>
      </c>
      <c r="AM29" s="440" t="e">
        <f ca="1">DATEVALUE(VLOOKUP(H29,bond!B:I,7,FALSE))</f>
        <v>#N/A</v>
      </c>
      <c r="AN29"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29" s="579">
        <f ca="1">IFERROR(IF(庫存Pro[[#This Row],[交割日是否落入record date]]=1,庫存Pro[[#This Row],[交_record date制度前手息]],庫存Pro[[#This Row],[計算交割前手息(初算)]]),0)</f>
        <v>0</v>
      </c>
      <c r="AP29"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29" s="579" t="e">
        <f ca="1">IF(庫存Pro[[#This Row],[配息頻率]]=0,0,(100*庫存Pro[[#This Row],[票面利率]]/庫存Pro[[#This Row],[配息頻率]])*庫存Pro[[#This Row],[經過幾次配息]]+庫存Pro[[#This Row],[計算交割前手息(複算)]]-庫存Pro[[#This Row],[計算前手息(複算)]])</f>
        <v>#N/A</v>
      </c>
      <c r="AR29" s="581" t="e">
        <f ca="1">IF(庫存Pro[[#This Row],[商品代號]]="XFM90",0,ROUND(AQ29*V29/100,2))</f>
        <v>#N/A</v>
      </c>
      <c r="AS29" s="582">
        <f ca="1">IF(MF_Pro=2,IFERROR(庫存Pro[[#This Row],[累計配息]]/庫存Pro[[#This Row],[持有成本(不含前手息)]],0),IFERROR(庫存Pro[[#This Row],[已實現配息(原幣)]]/庫存Pro[[#This Row],[持有成本(含前手息)]],0))</f>
        <v>0</v>
      </c>
      <c r="AT29" s="583" t="e">
        <f ca="1">IF(MF_Pro=2,庫存Pro[[#This Row],[資本利損]]+庫存Pro[[#This Row],[累計配息]],庫存Pro[[#This Row],[資本利損]]+庫存Pro[[#This Row],[已實現配息(原幣)]])</f>
        <v>#N/A</v>
      </c>
      <c r="AU29" s="584">
        <f ca="1">IF(MF_Pro=2,IFERROR(庫存Pro[[#This Row],[合計收益]]/庫存Pro[[#This Row],[持有成本(不含前手息)]],0),IFERROR(庫存Pro[[#This Row],[合計收益]]/庫存Pro[[#This Row],[持有成本(含前手息)]],0))</f>
        <v>0</v>
      </c>
      <c r="AV29" s="434" t="e">
        <f t="shared" ca="1" si="0"/>
        <v>#VALUE!</v>
      </c>
      <c r="AW29" s="434" t="e">
        <f t="shared" ca="1" si="1"/>
        <v>#VALUE!</v>
      </c>
      <c r="AX29" s="434">
        <f t="shared" ca="1" si="2"/>
        <v>0</v>
      </c>
      <c r="AY29" s="434">
        <f t="shared" ca="1" si="3"/>
        <v>0</v>
      </c>
      <c r="AZ29" s="441" t="e">
        <f ca="1">IF(AND(庫存Pro[[#This Row],[名稱]]="美國國庫債券",DAY(庫存Pro[[#This Row],[買進前一配息日(初算)]])&gt;=28),EOMONTH(庫存Pro[[#This Row],[買進前一配息日(初算)]],0),庫存Pro[[#This Row],[買進前一配息日(初算)]])</f>
        <v>#N/A</v>
      </c>
      <c r="BA29" s="441" t="e">
        <f t="shared" ca="1" si="4"/>
        <v>#VALUE!</v>
      </c>
      <c r="BB29" s="444" t="e">
        <f t="shared" ca="1" si="5"/>
        <v>#VALUE!</v>
      </c>
      <c r="BC29" s="441" t="e">
        <f ca="1">IF(P29&gt;0,IF(MONTH(DATE(BB29,AV29,DAY(Q29)))&lt;&gt;庫存Pro[[#This Row],[第一個配息月]],DATE(BB29,AV29+1,0),DATE(BB29,AV29,DAY(Q29))),庫存Pro[[#This Row],[買進例外調整]]+100)</f>
        <v>#VALUE!</v>
      </c>
      <c r="BD29" s="441" t="e">
        <f ca="1">IF(AW29&lt;&gt;0,IF(MONTH(DATE(BB29,AW29,DAY(Q29)))&lt;&gt;庫存Pro[[#This Row],[第二個配息月]],DATE(BB29,AW29+1,0),DATE(BB29,AW29,DAY(Q29))),庫存Pro[[#This Row],[買進例外調整]]+100)</f>
        <v>#VALUE!</v>
      </c>
      <c r="BE29" s="441" t="e">
        <f ca="1">IF(AX29&lt;&gt;0,IF(MONTH(DATE(BB29,AX29,DAY(Q29)))&lt;&gt;庫存Pro[[#This Row],[第三個配息月]],DATE(BB29,AX29+1,0),DATE(BB29,AX29,DAY(Q29))),庫存Pro[[#This Row],[買進例外調整]]+100)</f>
        <v>#VALUE!</v>
      </c>
      <c r="BF29" s="441" t="e">
        <f ca="1">IF(AY29&lt;&gt;0,IF(MONTH(DATE(BB29,AY29,DAY(Q29)))&lt;&gt;庫存Pro[[#This Row],[第四個配息月]],DATE(BB29,AY29+1,0),DATE(BB29,AY29,DAY(Q29))),庫存Pro[[#This Row],[買進例外調整]]+100)</f>
        <v>#VALUE!</v>
      </c>
      <c r="BG29" s="441" t="e">
        <f ca="1">IF(P29=1,IF(MONTH(DATE(BB29-1,AV29,DAY(Q29)))&lt;&gt;庫存Pro[[#This Row],[第一個配息月]],DATE(BB29-1,AV29+1,0),DATE(BB29-1,AV29,DAY(Q29))),IF(P29=2,IF(MONTH(DATE(BB29-1,AW29,DAY(Q29)))&lt;&gt;庫存Pro[[#This Row],[第二個配息月]],DATE(BB29-1,AW29+1,0),DATE(BB29-1,AW29,DAY(Q29))),IF(P29=4,IF(MONTH(DATE(BB29-1,AY29,DAY(Q29)))&lt;&gt;庫存Pro[[#This Row],[第四個配息月]],DATE(BB29-1,AY29+1,0),DATE(BB29-1,AY29,DAY(Q29))),庫存Pro[[#This Row],[買進例外調整]]+100)))</f>
        <v>#VALUE!</v>
      </c>
      <c r="BH29" s="445">
        <f t="shared" ca="1" si="15"/>
        <v>10000</v>
      </c>
      <c r="BI29" s="445">
        <f t="shared" ca="1" si="16"/>
        <v>10000</v>
      </c>
      <c r="BJ29" s="445">
        <f t="shared" ca="1" si="17"/>
        <v>10000</v>
      </c>
      <c r="BK29" s="445">
        <f t="shared" ca="1" si="18"/>
        <v>10000</v>
      </c>
      <c r="BL29" s="455">
        <f t="shared" ca="1" si="19"/>
        <v>10000</v>
      </c>
      <c r="BM29" s="479" t="e">
        <f ca="1">庫存Pro[[#This Row],[年度配息]]/庫存Pro[[#This Row],[配息頻率]]</f>
        <v>#N/A</v>
      </c>
      <c r="BN29" s="479" t="e">
        <f ca="1">庫存Pro[[#This Row],[單次配息(原幣)]]*庫存Pro[[#This Row],[換算匯率(現)]]</f>
        <v>#N/A</v>
      </c>
      <c r="BO29" s="479" t="str">
        <f ca="1">IFERROR(VLOOKUP($H29,'銀行-TSS'!B:C,2,FALSE),"")</f>
        <v/>
      </c>
      <c r="BP29" s="479" t="e">
        <f ca="1">VLOOKUP(庫存Pro[[#This Row],[幣別]],$B$37:$C$43,2,FALSE)</f>
        <v>#N/A</v>
      </c>
      <c r="BQ29" s="500" t="e">
        <f ca="1">CHOOSE(庫存Pro[[#This Row],[對應編碼]],$D$37,$D$38,$D$39,$D$40,$D$41,$D$42,$D$43)</f>
        <v>#N/A</v>
      </c>
      <c r="BR29" s="500" t="e">
        <f ca="1">CHOOSE(庫存Pro[[#This Row],[對應編碼]],$E$37,$E$38,$E$39,$E$40,$E$41,$E$42,$E$43)</f>
        <v>#N/A</v>
      </c>
      <c r="BS29" s="595" t="e">
        <f ca="1">庫存Pro[[#This Row],[投入面額]]*庫存Pro[[#This Row],[換算匯率(現)]]</f>
        <v>#N/A</v>
      </c>
      <c r="BT29" s="595" t="e">
        <f ca="1">庫存Pro[[#This Row],[持有成本(含前手息)]]*庫存Pro[[#This Row],[換算匯率(買)]]</f>
        <v>#N/A</v>
      </c>
      <c r="BU29" s="498" t="e">
        <f ca="1">庫存Pro[[#This Row],[持有成本(不含前手息)]]*庫存Pro[[#This Row],[換算匯率(買)]]</f>
        <v>#N/A</v>
      </c>
      <c r="BV29" s="498" t="e">
        <f ca="1">庫存Pro[[#This Row],[部位現值(含前手息)]]*庫存Pro[[#This Row],[換算匯率(現)]]</f>
        <v>#N/A</v>
      </c>
      <c r="BW29" s="498" t="e">
        <f ca="1">庫存Pro[[#This Row],[部位現值(不含前手息)]]*庫存Pro[[#This Row],[換算匯率(現)]]</f>
        <v>#N/A</v>
      </c>
      <c r="BX29" s="498" t="e">
        <f ca="1">IF(MF_Pro=2,庫存Pro[[#This Row],[累計配息]]*庫存Pro[[#This Row],[換算匯率(現)]],庫存Pro[[#This Row],[已實現配息(原幣)]]*庫存Pro[[#This Row],[換算匯率(現)]])</f>
        <v>#N/A</v>
      </c>
      <c r="BY29" s="498" t="e">
        <f ca="1">庫存Pro[[#This Row],[資本利損]]*庫存Pro[[#This Row],[換算匯率(現)]]</f>
        <v>#N/A</v>
      </c>
      <c r="BZ29" s="498" t="e">
        <f ca="1">庫存Pro[[#This Row],[累計利息(台)]]+庫存Pro[[#This Row],[資本貢獻(台)]]</f>
        <v>#N/A</v>
      </c>
      <c r="CA29" s="574">
        <f ca="1">IFERROR(庫存Pro[[#This Row],[配息報酬]],0)</f>
        <v>0</v>
      </c>
      <c r="CB29" s="574">
        <f ca="1">庫存Pro[[#This Row],[資本報酬]]</f>
        <v>0</v>
      </c>
      <c r="CC29" s="574">
        <f ca="1">IFERROR(庫存Pro[[#This Row],[換匯總報酬率]]-(庫存Pro[[#This Row],[配息報酬率]]+庫存Pro[[#This Row],[資本報酬率]]),0)</f>
        <v>0</v>
      </c>
      <c r="CD29" s="574">
        <f ca="1">IF(MF_Pro=2,IFERROR((庫存Pro[[#This Row],[參考贖回金額(現)]]+庫存Pro[[#This Row],[累計利息(台)]])/庫存Pro[[#This Row],[淨投入成本(買)]]-1,0),IFERROR(((庫存Pro[[#This Row],[參考贖回金額含前手息(現)]]+庫存Pro[[#This Row],[累計利息(台)]])/庫存Pro[[#This Row],[庫存成本(買)]])-1,0))</f>
        <v>0</v>
      </c>
      <c r="CE29" s="585">
        <f t="shared" ca="1" si="7"/>
        <v>0</v>
      </c>
      <c r="CF29" s="574">
        <f t="shared" ca="1" si="8"/>
        <v>0</v>
      </c>
      <c r="CG29"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29" s="646" t="e">
        <f ca="1">DATEDIF(庫存Pro[[#This Row],[買進例外調整]],庫存Pro[[#This Row],[到期日]],"d")/365.25</f>
        <v>#VALUE!</v>
      </c>
      <c r="CI29" s="739" t="e">
        <f ca="1">DATEVALUE(VLOOKUP(庫存Pro[[#This Row],[商品代號]],bond!B:AF,31,FALSE))</f>
        <v>#N/A</v>
      </c>
      <c r="CJ29" s="739" t="e">
        <f ca="1">IF(庫存Pro[[#This Row],[買下配(國調)]]&lt;庫存Pro[[#This Row],[第一票息日]],庫存Pro[[#This Row],[第一票息日]],庫存Pro[[#This Row],[買下配(國調)]])</f>
        <v>#N/A</v>
      </c>
      <c r="CK29"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29"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29" s="646">
        <f ca="1">IF(庫存Pro[[#This Row],[商品代號]]="XFM90",0,IFERROR(庫存Pro[[#This Row],[單次配息(原幣)]]*庫存Pro[[#This Row],[經過幾次配息]],0))</f>
        <v>0</v>
      </c>
      <c r="CN29" s="646" t="e">
        <f ca="1">VLOOKUP(庫存Pro[[#This Row],[商品代號]],bond!B:F,5,FALSE)</f>
        <v>#N/A</v>
      </c>
      <c r="CO29" s="739" t="str">
        <f ca="1">IFERROR(VLOOKUP(庫存Pro[[#This Row],[ISIN]],'7_發行日例外'!A:C,3,FALSE),IFERROR(DATEVALUE(VLOOKUP(庫存Pro[[#This Row],[商品代號]],bond!B:AR,43,FALSE)),""))</f>
        <v/>
      </c>
      <c r="CP29" s="646" t="e">
        <f ca="1">DATEDIF(庫存Pro[[#This Row],[起息日]],庫存Pro[[#This Row],[買進前一配息日(複算)]],"d")</f>
        <v>#VALUE!</v>
      </c>
      <c r="CQ29"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29" s="739" t="e">
        <f ca="1">IFERROR(VLOOKUP(庫存Pro[[#This Row],[ISIN]],'7_發行日例外'!A:D,4,FALSE),DATEVALUE(VLOOKUP(庫存Pro[[#This Row],[商品代號]],bond!B:AV,44,FALSE)))</f>
        <v>#N/A</v>
      </c>
      <c r="CS29" s="646" t="e">
        <f ca="1">VLOOKUP(庫存Pro[[#This Row],[商品代號]],bond!B:AU,46,FALSE)</f>
        <v>#N/A</v>
      </c>
      <c r="CT29" s="646" t="e">
        <f ca="1">IF(庫存Pro[[#This Row],[計息基礎]]=1,CHOOSE(庫存Pro[[#This Row],[對應編碼]],"沒進位","","沒進位",IF(庫存Pro[[#This Row],[計算類型]]="AUSTRALIA:EX-DIV","4捨五入進0.01%","沒進位"),"年/2去計算ACT","沒進位","沒進位"),"")</f>
        <v>#N/A</v>
      </c>
      <c r="CU29" s="646" t="e">
        <f ca="1">_xlfn.DAYS(庫存Pro[[#This Row],[買進例外調整]],庫存Pro[[#This Row],[買進前一個配息日(最終)]])</f>
        <v>#N/A</v>
      </c>
      <c r="CV29" s="646" t="e">
        <f ca="1">IF(庫存Pro[[#This Row],[備註]]="年/2去計算ACT",365/2,_xlfn.DAYS(庫存Pro[[#This Row],[買進時的下個配息日]],庫存Pro[[#This Row],[買進前一個配息日(最終)]]))</f>
        <v>#N/A</v>
      </c>
      <c r="CW29"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29" s="768" t="e">
        <f ca="1">_xlfn.DAYS(庫存Pro[[#This Row],[交割日]],庫存Pro[[#This Row],[買進前一個配息日(最終)]])</f>
        <v>#N/A</v>
      </c>
      <c r="CY29"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29" s="768" t="e">
        <f ca="1">_xlfn.DAYS(庫存Pro[[#This Row],[交割日]],庫存Pro[[#This Row],[最近的上一票息日]])</f>
        <v>#N/A</v>
      </c>
      <c r="DA29" s="768" t="e">
        <f ca="1">IF(庫存Pro[[#This Row],[備註]]="年/2去計算ACT",365/2,_xlfn.DAYS(庫存Pro[[#This Row],[下一配息日]],庫存Pro[[#This Row],[最近的上一票息日]]))</f>
        <v>#N/A</v>
      </c>
      <c r="DB29"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29" s="739" t="e">
        <f ca="1">CJ29-庫存Pro[[#This Row],[ex_div_days]]</f>
        <v>#N/A</v>
      </c>
      <c r="DD29" s="646" t="e">
        <f ca="1">IF(VLOOKUP(庫存Pro[[#This Row],[商品代號]],bond!B:AT,45,FALSE)="#N/A Field Not Applicable",0,VLOOKUP(庫存Pro[[#This Row],[商品代號]],bond!B:AT,45,FALSE))</f>
        <v>#N/A</v>
      </c>
      <c r="DE29" s="793" t="e">
        <f ca="1">IF(庫存Pro[[#This Row],[ex_div_days]]&lt;&gt;0,IF(AND(庫存Pro[[#This Row],[買進例外調整]]-庫存Pro[[#This Row],[買進下一個配息日先減n天]]&gt;=0,庫存Pro[[#This Row],[買進時的下個配息日]]-庫存Pro[[#This Row],[買進例外調整]]&gt;0),1,0),0)</f>
        <v>#N/A</v>
      </c>
      <c r="DF29" s="784" t="e">
        <f ca="1">IF(庫存Pro[[#This Row],[對應編碼]]=4,ROUND(庫存Pro[[#This Row],[前手息(初算)]]-庫存Pro[[#This Row],[票面利率]]/庫存Pro[[#This Row],[配息頻率]]*100,3),ROUND(庫存Pro[[#This Row],[前手息(初算)]]-庫存Pro[[#This Row],[票面利率]]/庫存Pro[[#This Row],[配息頻率]]*100,4))</f>
        <v>#N/A</v>
      </c>
      <c r="DG29" s="734" t="e">
        <f ca="1">庫存Pro[[#This Row],[下一配息日]]-庫存Pro[[#This Row],[ex_div_days]]</f>
        <v>#VALUE!</v>
      </c>
      <c r="DH29" s="1084" t="e">
        <f ca="1">IF(庫存Pro[[#This Row],[ex_div_days]]&lt;&gt;0,IF(AND(庫存Pro[[#This Row],[交割日]]-庫存Pro[[#This Row],[交割下個配息日先減n天]]&gt;=0,庫存Pro[[#This Row],[下一配息日]]-庫存Pro[[#This Row],[交割日]]&gt;0),1,0),0)</f>
        <v>#N/A</v>
      </c>
      <c r="DI29"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30" spans="2:239" ht="19.5" customHeight="1">
      <c r="B30" s="12">
        <v>12</v>
      </c>
      <c r="C30" s="604">
        <f t="shared" ca="1" si="22"/>
        <v>334960</v>
      </c>
      <c r="D30" s="26" t="s">
        <v>1799</v>
      </c>
      <c r="E30" s="702">
        <f t="shared" ca="1" si="20"/>
        <v>10312.5</v>
      </c>
      <c r="F30" s="701">
        <f t="shared" ca="1" si="21"/>
        <v>334960</v>
      </c>
      <c r="G30" s="605" t="str">
        <f t="shared" ca="1" si="23"/>
        <v>334,960</v>
      </c>
      <c r="H30" s="428">
        <f ca="1">IF(開關=TRUE,'庫存管理(Pro)'!B30,0)</f>
        <v>0</v>
      </c>
      <c r="I30" s="429" t="e">
        <f ca="1">VLOOKUP(H30,bond!B:I,8,FALSE)</f>
        <v>#N/A</v>
      </c>
      <c r="J30" s="429" t="e">
        <f ca="1">庫存Pro[[#This Row],[買價]]+VLOOKUP(庫存Pro[[#This Row],[商品代號]],bond!B:K,10,FALSE)</f>
        <v>#N/A</v>
      </c>
      <c r="K30" s="430" t="e">
        <f ca="1">VLOOKUP(H30,'銀行-TSS'!B:E,4,FALSE)</f>
        <v>#N/A</v>
      </c>
      <c r="L30" s="431" t="e">
        <f ca="1">VLOOKUP($H30,'銀行-TSS'!B:G,6,FALSE)</f>
        <v>#N/A</v>
      </c>
      <c r="M30" s="432" t="e">
        <f ca="1">IFERROR(DATEVALUE(VLOOKUP($H30,'銀行-TSS'!B:F,5,FALSE)),VLOOKUP($H30,'銀行-TSS'!B:F,5,FALSE))</f>
        <v>#N/A</v>
      </c>
      <c r="N30" s="433" t="e">
        <f ca="1">VLOOKUP($H30,'銀行-TSS'!B:H,7,FALSE)</f>
        <v>#N/A</v>
      </c>
      <c r="O30" s="433" t="e">
        <f ca="1">庫存Pro[[#This Row],[票面利率]]/庫存Pro[[#This Row],[成本價(不含前手息)]]*100</f>
        <v>#N/A</v>
      </c>
      <c r="P30" s="434" t="str">
        <f ca="1">IFERROR(VLOOKUP($H30,'銀行-TSS'!B:I,8,FALSE),"")</f>
        <v/>
      </c>
      <c r="Q30" s="440" t="str">
        <f ca="1">_xlfn.IFNA(IFERROR(DATEVALUE(VLOOKUP($H30,'銀行-TSS'!B:P,15,FALSE)),VLOOKUP($H30,'銀行-TSS'!B:P,15,FALSE)),"")</f>
        <v/>
      </c>
      <c r="R30" s="570" t="b">
        <f>IF(AND('2_Check_code'!C51,庫存Pro[[#This Row],[投入面額]]&gt;0),TRUE,FALSE)</f>
        <v>0</v>
      </c>
      <c r="S30" s="602">
        <f>'庫存管理(Pro)'!AE30</f>
        <v>0</v>
      </c>
      <c r="T30"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30" s="442" t="str">
        <f ca="1">IFERROR(WORKDAY(庫存Pro[[#This Row],[買進日]],VLOOKUP(庫存Pro[[#This Row],[商品代號]],'1_重設數據'!R:S,2,FALSE),休USD),庫存Pro[[#This Row],[買進日(T+2/公債T+1)]])</f>
        <v/>
      </c>
      <c r="V30" s="43">
        <f>'庫存管理(Pro)'!J30</f>
        <v>0</v>
      </c>
      <c r="W30" s="43">
        <f>'庫存管理(Pro)'!K30</f>
        <v>0</v>
      </c>
      <c r="X30" s="464">
        <f t="shared" ca="1" si="9"/>
        <v>0</v>
      </c>
      <c r="Y30" s="464" t="e">
        <f t="shared" ca="1" si="11"/>
        <v>#N/A</v>
      </c>
      <c r="Z30" s="465" t="e">
        <f t="shared" ca="1" si="12"/>
        <v>#N/A</v>
      </c>
      <c r="AA30" s="474" t="e">
        <f ca="1">IF(MF_Pro=2,庫存Pro[[#This Row],[部位現值(不含前手息)]]-庫存Pro[[#This Row],[持有成本(不含前手息)]],庫存Pro[[#This Row],[部位現值(含前手息)]]-庫存Pro[[#This Row],[持有成本(含前手息)]])</f>
        <v>#N/A</v>
      </c>
      <c r="AB30" s="462">
        <f ca="1">IF(MF_Pro=2,IFERROR(庫存Pro[[#This Row],[資本利損]]/庫存Pro[[#This Row],[持有成本(不含前手息)]],0),IFERROR(庫存Pro[[#This Row],[資本利損]]/庫存Pro[[#This Row],[持有成本(含前手息)]],0))</f>
        <v>0</v>
      </c>
      <c r="AC30" s="618" t="e">
        <f ca="1">庫存Pro[[#This Row],[持有成本(不含前手息)]]/庫存Pro[[#This Row],[投入面額]]*100</f>
        <v>#DIV/0!</v>
      </c>
      <c r="AD30" s="462" t="e">
        <f ca="1">VLOOKUP(庫存Pro[[#This Row],[商品代號]],bond!B:AA,26,FALSE)</f>
        <v>#N/A</v>
      </c>
      <c r="AE30" s="1" t="str">
        <f ca="1">IFERROR(VLOOKUP($H30,'銀行-TSS'!B:Q,16,FALSE),"")</f>
        <v/>
      </c>
      <c r="AF30" s="466" t="e">
        <f t="shared" ca="1" si="13"/>
        <v>#N/A</v>
      </c>
      <c r="AG30" s="458" t="e">
        <f ca="1">IF(OR(庫存Pro[[#This Row],[起息日]]&gt;庫存Pro[[#This Row],[買進前一配息日(複算)]],庫存Pro[[#This Row],[判斷]]=TRUE),庫存Pro[[#This Row],[起息日]],庫存Pro[[#This Row],[買進前一配息日(複算)]])</f>
        <v>#N/A</v>
      </c>
      <c r="AH30" s="577" t="e">
        <f ca="1">VLOOKUP(H30,bond!B:AP,41,FALSE)</f>
        <v>#N/A</v>
      </c>
      <c r="AI30" s="578" t="e">
        <f t="shared" ca="1" si="14"/>
        <v>#N/A</v>
      </c>
      <c r="AJ30" s="579">
        <f ca="1">IFERROR(IF(庫存Pro[[#This Row],[買進日是否落入record date]]=1,庫存Pro[[#This Row],[record date制度前手息]],庫存Pro[[#This Row],[前手息(初算)]]),0)</f>
        <v>0</v>
      </c>
      <c r="AK30" s="579" t="e">
        <f ca="1">IF(OR(庫存Pro[[#This Row],[買進例外調整]]&lt;庫存Pro[[#This Row],[起息日]],庫存Pro[[#This Row],[買進例外調整]]&gt;庫存Pro[[#This Row],[到期日]]),0,IF(庫存Pro[[#This Row],[備註]]&lt;&gt;"",庫存Pro[[#This Row],[買進時前手息]],IFERROR(ROUND(ACCRINT(AG30,AG30,U30,N30,100,P30,AI30,TRUE),4),0)))</f>
        <v>#N/A</v>
      </c>
      <c r="AL30" s="580">
        <f t="shared" ca="1" si="10"/>
        <v>0</v>
      </c>
      <c r="AM30" s="440" t="e">
        <f ca="1">DATEVALUE(VLOOKUP(H30,bond!B:I,7,FALSE))</f>
        <v>#N/A</v>
      </c>
      <c r="AN30"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30" s="579">
        <f ca="1">IFERROR(IF(庫存Pro[[#This Row],[交割日是否落入record date]]=1,庫存Pro[[#This Row],[交_record date制度前手息]],庫存Pro[[#This Row],[計算交割前手息(初算)]]),0)</f>
        <v>0</v>
      </c>
      <c r="AP30"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30" s="579" t="e">
        <f ca="1">IF(庫存Pro[[#This Row],[配息頻率]]=0,0,(100*庫存Pro[[#This Row],[票面利率]]/庫存Pro[[#This Row],[配息頻率]])*庫存Pro[[#This Row],[經過幾次配息]]+庫存Pro[[#This Row],[計算交割前手息(複算)]]-庫存Pro[[#This Row],[計算前手息(複算)]])</f>
        <v>#N/A</v>
      </c>
      <c r="AR30" s="581" t="e">
        <f ca="1">IF(庫存Pro[[#This Row],[商品代號]]="XFM90",0,ROUND(AQ30*V30/100,2))</f>
        <v>#N/A</v>
      </c>
      <c r="AS30" s="582">
        <f ca="1">IF(MF_Pro=2,IFERROR(庫存Pro[[#This Row],[累計配息]]/庫存Pro[[#This Row],[持有成本(不含前手息)]],0),IFERROR(庫存Pro[[#This Row],[已實現配息(原幣)]]/庫存Pro[[#This Row],[持有成本(含前手息)]],0))</f>
        <v>0</v>
      </c>
      <c r="AT30" s="583" t="e">
        <f ca="1">IF(MF_Pro=2,庫存Pro[[#This Row],[資本利損]]+庫存Pro[[#This Row],[累計配息]],庫存Pro[[#This Row],[資本利損]]+庫存Pro[[#This Row],[已實現配息(原幣)]])</f>
        <v>#N/A</v>
      </c>
      <c r="AU30" s="584">
        <f ca="1">IF(MF_Pro=2,IFERROR(庫存Pro[[#This Row],[合計收益]]/庫存Pro[[#This Row],[持有成本(不含前手息)]],0),IFERROR(庫存Pro[[#This Row],[合計收益]]/庫存Pro[[#This Row],[持有成本(含前手息)]],0))</f>
        <v>0</v>
      </c>
      <c r="AV30" s="434" t="e">
        <f t="shared" ca="1" si="0"/>
        <v>#VALUE!</v>
      </c>
      <c r="AW30" s="434" t="e">
        <f t="shared" ca="1" si="1"/>
        <v>#VALUE!</v>
      </c>
      <c r="AX30" s="434">
        <f t="shared" ca="1" si="2"/>
        <v>0</v>
      </c>
      <c r="AY30" s="434">
        <f t="shared" ca="1" si="3"/>
        <v>0</v>
      </c>
      <c r="AZ30" s="441" t="e">
        <f ca="1">IF(AND(庫存Pro[[#This Row],[名稱]]="美國國庫債券",DAY(庫存Pro[[#This Row],[買進前一配息日(初算)]])&gt;=28),EOMONTH(庫存Pro[[#This Row],[買進前一配息日(初算)]],0),庫存Pro[[#This Row],[買進前一配息日(初算)]])</f>
        <v>#N/A</v>
      </c>
      <c r="BA30" s="441" t="e">
        <f t="shared" ca="1" si="4"/>
        <v>#VALUE!</v>
      </c>
      <c r="BB30" s="444" t="e">
        <f t="shared" ca="1" si="5"/>
        <v>#VALUE!</v>
      </c>
      <c r="BC30" s="441" t="e">
        <f ca="1">IF(P30&gt;0,IF(MONTH(DATE(BB30,AV30,DAY(Q30)))&lt;&gt;庫存Pro[[#This Row],[第一個配息月]],DATE(BB30,AV30+1,0),DATE(BB30,AV30,DAY(Q30))),庫存Pro[[#This Row],[買進例外調整]]+100)</f>
        <v>#VALUE!</v>
      </c>
      <c r="BD30" s="441" t="e">
        <f ca="1">IF(AW30&lt;&gt;0,IF(MONTH(DATE(BB30,AW30,DAY(Q30)))&lt;&gt;庫存Pro[[#This Row],[第二個配息月]],DATE(BB30,AW30+1,0),DATE(BB30,AW30,DAY(Q30))),庫存Pro[[#This Row],[買進例外調整]]+100)</f>
        <v>#VALUE!</v>
      </c>
      <c r="BE30" s="441" t="e">
        <f ca="1">IF(AX30&lt;&gt;0,IF(MONTH(DATE(BB30,AX30,DAY(Q30)))&lt;&gt;庫存Pro[[#This Row],[第三個配息月]],DATE(BB30,AX30+1,0),DATE(BB30,AX30,DAY(Q30))),庫存Pro[[#This Row],[買進例外調整]]+100)</f>
        <v>#VALUE!</v>
      </c>
      <c r="BF30" s="441" t="e">
        <f ca="1">IF(AY30&lt;&gt;0,IF(MONTH(DATE(BB30,AY30,DAY(Q30)))&lt;&gt;庫存Pro[[#This Row],[第四個配息月]],DATE(BB30,AY30+1,0),DATE(BB30,AY30,DAY(Q30))),庫存Pro[[#This Row],[買進例外調整]]+100)</f>
        <v>#VALUE!</v>
      </c>
      <c r="BG30" s="441" t="e">
        <f ca="1">IF(P30=1,IF(MONTH(DATE(BB30-1,AV30,DAY(Q30)))&lt;&gt;庫存Pro[[#This Row],[第一個配息月]],DATE(BB30-1,AV30+1,0),DATE(BB30-1,AV30,DAY(Q30))),IF(P30=2,IF(MONTH(DATE(BB30-1,AW30,DAY(Q30)))&lt;&gt;庫存Pro[[#This Row],[第二個配息月]],DATE(BB30-1,AW30+1,0),DATE(BB30-1,AW30,DAY(Q30))),IF(P30=4,IF(MONTH(DATE(BB30-1,AY30,DAY(Q30)))&lt;&gt;庫存Pro[[#This Row],[第四個配息月]],DATE(BB30-1,AY30+1,0),DATE(BB30-1,AY30,DAY(Q30))),庫存Pro[[#This Row],[買進例外調整]]+100)))</f>
        <v>#VALUE!</v>
      </c>
      <c r="BH30" s="445">
        <f t="shared" ca="1" si="15"/>
        <v>10000</v>
      </c>
      <c r="BI30" s="445">
        <f t="shared" ca="1" si="16"/>
        <v>10000</v>
      </c>
      <c r="BJ30" s="445">
        <f t="shared" ca="1" si="17"/>
        <v>10000</v>
      </c>
      <c r="BK30" s="445">
        <f t="shared" ca="1" si="18"/>
        <v>10000</v>
      </c>
      <c r="BL30" s="455">
        <f t="shared" ca="1" si="19"/>
        <v>10000</v>
      </c>
      <c r="BM30" s="479" t="e">
        <f ca="1">庫存Pro[[#This Row],[年度配息]]/庫存Pro[[#This Row],[配息頻率]]</f>
        <v>#N/A</v>
      </c>
      <c r="BN30" s="479" t="e">
        <f ca="1">庫存Pro[[#This Row],[單次配息(原幣)]]*庫存Pro[[#This Row],[換算匯率(現)]]</f>
        <v>#N/A</v>
      </c>
      <c r="BO30" s="479" t="str">
        <f ca="1">IFERROR(VLOOKUP($H30,'銀行-TSS'!B:C,2,FALSE),"")</f>
        <v/>
      </c>
      <c r="BP30" s="479" t="e">
        <f ca="1">VLOOKUP(庫存Pro[[#This Row],[幣別]],$B$37:$C$43,2,FALSE)</f>
        <v>#N/A</v>
      </c>
      <c r="BQ30" s="500" t="e">
        <f ca="1">CHOOSE(庫存Pro[[#This Row],[對應編碼]],$D$37,$D$38,$D$39,$D$40,$D$41,$D$42,$D$43)</f>
        <v>#N/A</v>
      </c>
      <c r="BR30" s="500" t="e">
        <f ca="1">CHOOSE(庫存Pro[[#This Row],[對應編碼]],$E$37,$E$38,$E$39,$E$40,$E$41,$E$42,$E$43)</f>
        <v>#N/A</v>
      </c>
      <c r="BS30" s="595" t="e">
        <f ca="1">庫存Pro[[#This Row],[投入面額]]*庫存Pro[[#This Row],[換算匯率(現)]]</f>
        <v>#N/A</v>
      </c>
      <c r="BT30" s="595" t="e">
        <f ca="1">庫存Pro[[#This Row],[持有成本(含前手息)]]*庫存Pro[[#This Row],[換算匯率(買)]]</f>
        <v>#N/A</v>
      </c>
      <c r="BU30" s="498" t="e">
        <f ca="1">庫存Pro[[#This Row],[持有成本(不含前手息)]]*庫存Pro[[#This Row],[換算匯率(買)]]</f>
        <v>#N/A</v>
      </c>
      <c r="BV30" s="498" t="e">
        <f ca="1">庫存Pro[[#This Row],[部位現值(含前手息)]]*庫存Pro[[#This Row],[換算匯率(現)]]</f>
        <v>#N/A</v>
      </c>
      <c r="BW30" s="498" t="e">
        <f ca="1">庫存Pro[[#This Row],[部位現值(不含前手息)]]*庫存Pro[[#This Row],[換算匯率(現)]]</f>
        <v>#N/A</v>
      </c>
      <c r="BX30" s="498" t="e">
        <f ca="1">IF(MF_Pro=2,庫存Pro[[#This Row],[累計配息]]*庫存Pro[[#This Row],[換算匯率(現)]],庫存Pro[[#This Row],[已實現配息(原幣)]]*庫存Pro[[#This Row],[換算匯率(現)]])</f>
        <v>#N/A</v>
      </c>
      <c r="BY30" s="498" t="e">
        <f ca="1">庫存Pro[[#This Row],[資本利損]]*庫存Pro[[#This Row],[換算匯率(現)]]</f>
        <v>#N/A</v>
      </c>
      <c r="BZ30" s="498" t="e">
        <f ca="1">庫存Pro[[#This Row],[累計利息(台)]]+庫存Pro[[#This Row],[資本貢獻(台)]]</f>
        <v>#N/A</v>
      </c>
      <c r="CA30" s="574">
        <f ca="1">IFERROR(庫存Pro[[#This Row],[配息報酬]],0)</f>
        <v>0</v>
      </c>
      <c r="CB30" s="574">
        <f ca="1">庫存Pro[[#This Row],[資本報酬]]</f>
        <v>0</v>
      </c>
      <c r="CC30" s="574">
        <f ca="1">IFERROR(庫存Pro[[#This Row],[換匯總報酬率]]-(庫存Pro[[#This Row],[配息報酬率]]+庫存Pro[[#This Row],[資本報酬率]]),0)</f>
        <v>0</v>
      </c>
      <c r="CD30" s="574">
        <f ca="1">IF(MF_Pro=2,IFERROR((庫存Pro[[#This Row],[參考贖回金額(現)]]+庫存Pro[[#This Row],[累計利息(台)]])/庫存Pro[[#This Row],[淨投入成本(買)]]-1,0),IFERROR(((庫存Pro[[#This Row],[參考贖回金額含前手息(現)]]+庫存Pro[[#This Row],[累計利息(台)]])/庫存Pro[[#This Row],[庫存成本(買)]])-1,0))</f>
        <v>0</v>
      </c>
      <c r="CE30" s="585">
        <f t="shared" ca="1" si="7"/>
        <v>0</v>
      </c>
      <c r="CF30" s="574">
        <f t="shared" ca="1" si="8"/>
        <v>0</v>
      </c>
      <c r="CG30"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30" s="646" t="e">
        <f ca="1">DATEDIF(庫存Pro[[#This Row],[買進例外調整]],庫存Pro[[#This Row],[到期日]],"d")/365.25</f>
        <v>#VALUE!</v>
      </c>
      <c r="CI30" s="739" t="e">
        <f ca="1">DATEVALUE(VLOOKUP(庫存Pro[[#This Row],[商品代號]],bond!B:AF,31,FALSE))</f>
        <v>#N/A</v>
      </c>
      <c r="CJ30" s="739" t="e">
        <f ca="1">IF(庫存Pro[[#This Row],[買下配(國調)]]&lt;庫存Pro[[#This Row],[第一票息日]],庫存Pro[[#This Row],[第一票息日]],庫存Pro[[#This Row],[買下配(國調)]])</f>
        <v>#N/A</v>
      </c>
      <c r="CK30"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30"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30" s="646">
        <f ca="1">IF(庫存Pro[[#This Row],[商品代號]]="XFM90",0,IFERROR(庫存Pro[[#This Row],[單次配息(原幣)]]*庫存Pro[[#This Row],[經過幾次配息]],0))</f>
        <v>0</v>
      </c>
      <c r="CN30" s="646" t="e">
        <f ca="1">VLOOKUP(庫存Pro[[#This Row],[商品代號]],bond!B:F,5,FALSE)</f>
        <v>#N/A</v>
      </c>
      <c r="CO30" s="739" t="str">
        <f ca="1">IFERROR(VLOOKUP(庫存Pro[[#This Row],[ISIN]],'7_發行日例外'!A:C,3,FALSE),IFERROR(DATEVALUE(VLOOKUP(庫存Pro[[#This Row],[商品代號]],bond!B:AR,43,FALSE)),""))</f>
        <v/>
      </c>
      <c r="CP30" s="646" t="e">
        <f ca="1">DATEDIF(庫存Pro[[#This Row],[起息日]],庫存Pro[[#This Row],[買進前一配息日(複算)]],"d")</f>
        <v>#VALUE!</v>
      </c>
      <c r="CQ30"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30" s="739" t="e">
        <f ca="1">IFERROR(VLOOKUP(庫存Pro[[#This Row],[ISIN]],'7_發行日例外'!A:D,4,FALSE),DATEVALUE(VLOOKUP(庫存Pro[[#This Row],[商品代號]],bond!B:AV,44,FALSE)))</f>
        <v>#N/A</v>
      </c>
      <c r="CS30" s="646" t="e">
        <f ca="1">VLOOKUP(庫存Pro[[#This Row],[商品代號]],bond!B:AU,46,FALSE)</f>
        <v>#N/A</v>
      </c>
      <c r="CT30" s="646" t="e">
        <f ca="1">IF(庫存Pro[[#This Row],[計息基礎]]=1,CHOOSE(庫存Pro[[#This Row],[對應編碼]],"沒進位","","沒進位",IF(庫存Pro[[#This Row],[計算類型]]="AUSTRALIA:EX-DIV","4捨五入進0.01%","沒進位"),"年/2去計算ACT","沒進位","沒進位"),"")</f>
        <v>#N/A</v>
      </c>
      <c r="CU30" s="646" t="e">
        <f ca="1">_xlfn.DAYS(庫存Pro[[#This Row],[買進例外調整]],庫存Pro[[#This Row],[買進前一個配息日(最終)]])</f>
        <v>#N/A</v>
      </c>
      <c r="CV30" s="646" t="e">
        <f ca="1">IF(庫存Pro[[#This Row],[備註]]="年/2去計算ACT",365/2,_xlfn.DAYS(庫存Pro[[#This Row],[買進時的下個配息日]],庫存Pro[[#This Row],[買進前一個配息日(最終)]]))</f>
        <v>#N/A</v>
      </c>
      <c r="CW30"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30" s="768" t="e">
        <f ca="1">_xlfn.DAYS(庫存Pro[[#This Row],[交割日]],庫存Pro[[#This Row],[買進前一個配息日(最終)]])</f>
        <v>#N/A</v>
      </c>
      <c r="CY30"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30" s="768" t="e">
        <f ca="1">_xlfn.DAYS(庫存Pro[[#This Row],[交割日]],庫存Pro[[#This Row],[最近的上一票息日]])</f>
        <v>#N/A</v>
      </c>
      <c r="DA30" s="768" t="e">
        <f ca="1">IF(庫存Pro[[#This Row],[備註]]="年/2去計算ACT",365/2,_xlfn.DAYS(庫存Pro[[#This Row],[下一配息日]],庫存Pro[[#This Row],[最近的上一票息日]]))</f>
        <v>#N/A</v>
      </c>
      <c r="DB30"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30" s="739" t="e">
        <f ca="1">CJ30-庫存Pro[[#This Row],[ex_div_days]]</f>
        <v>#N/A</v>
      </c>
      <c r="DD30" s="646" t="e">
        <f ca="1">IF(VLOOKUP(庫存Pro[[#This Row],[商品代號]],bond!B:AT,45,FALSE)="#N/A Field Not Applicable",0,VLOOKUP(庫存Pro[[#This Row],[商品代號]],bond!B:AT,45,FALSE))</f>
        <v>#N/A</v>
      </c>
      <c r="DE30" s="793" t="e">
        <f ca="1">IF(庫存Pro[[#This Row],[ex_div_days]]&lt;&gt;0,IF(AND(庫存Pro[[#This Row],[買進例外調整]]-庫存Pro[[#This Row],[買進下一個配息日先減n天]]&gt;=0,庫存Pro[[#This Row],[買進時的下個配息日]]-庫存Pro[[#This Row],[買進例外調整]]&gt;0),1,0),0)</f>
        <v>#N/A</v>
      </c>
      <c r="DF30" s="784" t="e">
        <f ca="1">IF(庫存Pro[[#This Row],[對應編碼]]=4,ROUND(庫存Pro[[#This Row],[前手息(初算)]]-庫存Pro[[#This Row],[票面利率]]/庫存Pro[[#This Row],[配息頻率]]*100,3),ROUND(庫存Pro[[#This Row],[前手息(初算)]]-庫存Pro[[#This Row],[票面利率]]/庫存Pro[[#This Row],[配息頻率]]*100,4))</f>
        <v>#N/A</v>
      </c>
      <c r="DG30" s="734" t="e">
        <f ca="1">庫存Pro[[#This Row],[下一配息日]]-庫存Pro[[#This Row],[ex_div_days]]</f>
        <v>#VALUE!</v>
      </c>
      <c r="DH30" s="1084" t="e">
        <f ca="1">IF(庫存Pro[[#This Row],[ex_div_days]]&lt;&gt;0,IF(AND(庫存Pro[[#This Row],[交割日]]-庫存Pro[[#This Row],[交割下個配息日先減n天]]&gt;=0,庫存Pro[[#This Row],[下一配息日]]-庫存Pro[[#This Row],[交割日]]&gt;0),1,0),0)</f>
        <v>#N/A</v>
      </c>
      <c r="DI30"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31" spans="2:239" ht="19.5" customHeight="1">
      <c r="B31" s="12"/>
      <c r="C31" s="12"/>
      <c r="D31" s="12"/>
      <c r="E31" s="603"/>
      <c r="F31" s="588"/>
      <c r="H31" s="428">
        <f ca="1">IF(開關=TRUE,'庫存管理(Pro)'!B31,0)</f>
        <v>0</v>
      </c>
      <c r="I31" s="429" t="e">
        <f ca="1">VLOOKUP(H31,bond!B:I,8,FALSE)</f>
        <v>#N/A</v>
      </c>
      <c r="J31" s="429" t="e">
        <f ca="1">庫存Pro[[#This Row],[買價]]+VLOOKUP(庫存Pro[[#This Row],[商品代號]],bond!B:K,10,FALSE)</f>
        <v>#N/A</v>
      </c>
      <c r="K31" s="430" t="e">
        <f ca="1">VLOOKUP(H31,'銀行-TSS'!B:E,4,FALSE)</f>
        <v>#N/A</v>
      </c>
      <c r="L31" s="431" t="e">
        <f ca="1">VLOOKUP($H31,'銀行-TSS'!B:G,6,FALSE)</f>
        <v>#N/A</v>
      </c>
      <c r="M31" s="432" t="e">
        <f ca="1">IFERROR(DATEVALUE(VLOOKUP($H31,'銀行-TSS'!B:F,5,FALSE)),VLOOKUP($H31,'銀行-TSS'!B:F,5,FALSE))</f>
        <v>#N/A</v>
      </c>
      <c r="N31" s="433" t="e">
        <f ca="1">VLOOKUP($H31,'銀行-TSS'!B:H,7,FALSE)</f>
        <v>#N/A</v>
      </c>
      <c r="O31" s="433" t="e">
        <f ca="1">庫存Pro[[#This Row],[票面利率]]/庫存Pro[[#This Row],[成本價(不含前手息)]]*100</f>
        <v>#N/A</v>
      </c>
      <c r="P31" s="434" t="str">
        <f ca="1">IFERROR(VLOOKUP($H31,'銀行-TSS'!B:I,8,FALSE),"")</f>
        <v/>
      </c>
      <c r="Q31" s="440" t="str">
        <f ca="1">_xlfn.IFNA(IFERROR(DATEVALUE(VLOOKUP($H31,'銀行-TSS'!B:P,15,FALSE)),VLOOKUP($H31,'銀行-TSS'!B:P,15,FALSE)),"")</f>
        <v/>
      </c>
      <c r="R31" s="570" t="b">
        <f>IF(AND('2_Check_code'!C52,庫存Pro[[#This Row],[投入面額]]&gt;0),TRUE,FALSE)</f>
        <v>0</v>
      </c>
      <c r="S31" s="602">
        <f>'庫存管理(Pro)'!AE31</f>
        <v>0</v>
      </c>
      <c r="T31"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31" s="442" t="str">
        <f ca="1">IFERROR(WORKDAY(庫存Pro[[#This Row],[買進日]],VLOOKUP(庫存Pro[[#This Row],[商品代號]],'1_重設數據'!R:S,2,FALSE),休USD),庫存Pro[[#This Row],[買進日(T+2/公債T+1)]])</f>
        <v/>
      </c>
      <c r="V31" s="43">
        <f>'庫存管理(Pro)'!J31</f>
        <v>0</v>
      </c>
      <c r="W31" s="43">
        <f>'庫存管理(Pro)'!K31</f>
        <v>0</v>
      </c>
      <c r="X31" s="464">
        <f t="shared" ca="1" si="9"/>
        <v>0</v>
      </c>
      <c r="Y31" s="464" t="e">
        <f t="shared" ca="1" si="11"/>
        <v>#N/A</v>
      </c>
      <c r="Z31" s="465" t="e">
        <f t="shared" ca="1" si="12"/>
        <v>#N/A</v>
      </c>
      <c r="AA31" s="474" t="e">
        <f ca="1">IF(MF_Pro=2,庫存Pro[[#This Row],[部位現值(不含前手息)]]-庫存Pro[[#This Row],[持有成本(不含前手息)]],庫存Pro[[#This Row],[部位現值(含前手息)]]-庫存Pro[[#This Row],[持有成本(含前手息)]])</f>
        <v>#N/A</v>
      </c>
      <c r="AB31" s="462">
        <f ca="1">IF(MF_Pro=2,IFERROR(庫存Pro[[#This Row],[資本利損]]/庫存Pro[[#This Row],[持有成本(不含前手息)]],0),IFERROR(庫存Pro[[#This Row],[資本利損]]/庫存Pro[[#This Row],[持有成本(含前手息)]],0))</f>
        <v>0</v>
      </c>
      <c r="AC31" s="618" t="e">
        <f ca="1">庫存Pro[[#This Row],[持有成本(不含前手息)]]/庫存Pro[[#This Row],[投入面額]]*100</f>
        <v>#DIV/0!</v>
      </c>
      <c r="AD31" s="462" t="e">
        <f ca="1">VLOOKUP(庫存Pro[[#This Row],[商品代號]],bond!B:AA,26,FALSE)</f>
        <v>#N/A</v>
      </c>
      <c r="AE31" s="1" t="str">
        <f ca="1">IFERROR(VLOOKUP($H31,'銀行-TSS'!B:Q,16,FALSE),"")</f>
        <v/>
      </c>
      <c r="AF31" s="466" t="e">
        <f t="shared" ca="1" si="13"/>
        <v>#N/A</v>
      </c>
      <c r="AG31" s="458" t="e">
        <f ca="1">IF(OR(庫存Pro[[#This Row],[起息日]]&gt;庫存Pro[[#This Row],[買進前一配息日(複算)]],庫存Pro[[#This Row],[判斷]]=TRUE),庫存Pro[[#This Row],[起息日]],庫存Pro[[#This Row],[買進前一配息日(複算)]])</f>
        <v>#N/A</v>
      </c>
      <c r="AH31" s="577" t="e">
        <f ca="1">VLOOKUP(H31,bond!B:AP,41,FALSE)</f>
        <v>#N/A</v>
      </c>
      <c r="AI31" s="578" t="e">
        <f t="shared" ca="1" si="14"/>
        <v>#N/A</v>
      </c>
      <c r="AJ31" s="579">
        <f ca="1">IFERROR(IF(庫存Pro[[#This Row],[買進日是否落入record date]]=1,庫存Pro[[#This Row],[record date制度前手息]],庫存Pro[[#This Row],[前手息(初算)]]),0)</f>
        <v>0</v>
      </c>
      <c r="AK31" s="579" t="e">
        <f ca="1">IF(OR(庫存Pro[[#This Row],[買進例外調整]]&lt;庫存Pro[[#This Row],[起息日]],庫存Pro[[#This Row],[買進例外調整]]&gt;庫存Pro[[#This Row],[到期日]]),0,IF(庫存Pro[[#This Row],[備註]]&lt;&gt;"",庫存Pro[[#This Row],[買進時前手息]],IFERROR(ROUND(ACCRINT(AG31,AG31,U31,N31,100,P31,AI31,TRUE),4),0)))</f>
        <v>#N/A</v>
      </c>
      <c r="AL31" s="580">
        <f t="shared" ca="1" si="10"/>
        <v>0</v>
      </c>
      <c r="AM31" s="440" t="e">
        <f ca="1">DATEVALUE(VLOOKUP(H31,bond!B:I,7,FALSE))</f>
        <v>#N/A</v>
      </c>
      <c r="AN31"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31" s="579">
        <f ca="1">IFERROR(IF(庫存Pro[[#This Row],[交割日是否落入record date]]=1,庫存Pro[[#This Row],[交_record date制度前手息]],庫存Pro[[#This Row],[計算交割前手息(初算)]]),0)</f>
        <v>0</v>
      </c>
      <c r="AP31"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31" s="579" t="e">
        <f ca="1">IF(庫存Pro[[#This Row],[配息頻率]]=0,0,(100*庫存Pro[[#This Row],[票面利率]]/庫存Pro[[#This Row],[配息頻率]])*庫存Pro[[#This Row],[經過幾次配息]]+庫存Pro[[#This Row],[計算交割前手息(複算)]]-庫存Pro[[#This Row],[計算前手息(複算)]])</f>
        <v>#N/A</v>
      </c>
      <c r="AR31" s="581" t="e">
        <f ca="1">IF(庫存Pro[[#This Row],[商品代號]]="XFM90",0,ROUND(AQ31*V31/100,2))</f>
        <v>#N/A</v>
      </c>
      <c r="AS31" s="582">
        <f ca="1">IF(MF_Pro=2,IFERROR(庫存Pro[[#This Row],[累計配息]]/庫存Pro[[#This Row],[持有成本(不含前手息)]],0),IFERROR(庫存Pro[[#This Row],[已實現配息(原幣)]]/庫存Pro[[#This Row],[持有成本(含前手息)]],0))</f>
        <v>0</v>
      </c>
      <c r="AT31" s="583" t="e">
        <f ca="1">IF(MF_Pro=2,庫存Pro[[#This Row],[資本利損]]+庫存Pro[[#This Row],[累計配息]],庫存Pro[[#This Row],[資本利損]]+庫存Pro[[#This Row],[已實現配息(原幣)]])</f>
        <v>#N/A</v>
      </c>
      <c r="AU31" s="584">
        <f ca="1">IF(MF_Pro=2,IFERROR(庫存Pro[[#This Row],[合計收益]]/庫存Pro[[#This Row],[持有成本(不含前手息)]],0),IFERROR(庫存Pro[[#This Row],[合計收益]]/庫存Pro[[#This Row],[持有成本(含前手息)]],0))</f>
        <v>0</v>
      </c>
      <c r="AV31" s="434" t="e">
        <f t="shared" ca="1" si="0"/>
        <v>#VALUE!</v>
      </c>
      <c r="AW31" s="434" t="e">
        <f t="shared" ca="1" si="1"/>
        <v>#VALUE!</v>
      </c>
      <c r="AX31" s="434">
        <f t="shared" ca="1" si="2"/>
        <v>0</v>
      </c>
      <c r="AY31" s="434">
        <f t="shared" ca="1" si="3"/>
        <v>0</v>
      </c>
      <c r="AZ31" s="441" t="e">
        <f ca="1">IF(AND(庫存Pro[[#This Row],[名稱]]="美國國庫債券",DAY(庫存Pro[[#This Row],[買進前一配息日(初算)]])&gt;=28),EOMONTH(庫存Pro[[#This Row],[買進前一配息日(初算)]],0),庫存Pro[[#This Row],[買進前一配息日(初算)]])</f>
        <v>#N/A</v>
      </c>
      <c r="BA31" s="441" t="e">
        <f t="shared" ca="1" si="4"/>
        <v>#VALUE!</v>
      </c>
      <c r="BB31" s="444" t="e">
        <f t="shared" ca="1" si="5"/>
        <v>#VALUE!</v>
      </c>
      <c r="BC31" s="441" t="e">
        <f ca="1">IF(P31&gt;0,IF(MONTH(DATE(BB31,AV31,DAY(Q31)))&lt;&gt;庫存Pro[[#This Row],[第一個配息月]],DATE(BB31,AV31+1,0),DATE(BB31,AV31,DAY(Q31))),庫存Pro[[#This Row],[買進例外調整]]+100)</f>
        <v>#VALUE!</v>
      </c>
      <c r="BD31" s="441" t="e">
        <f ca="1">IF(AW31&lt;&gt;0,IF(MONTH(DATE(BB31,AW31,DAY(Q31)))&lt;&gt;庫存Pro[[#This Row],[第二個配息月]],DATE(BB31,AW31+1,0),DATE(BB31,AW31,DAY(Q31))),庫存Pro[[#This Row],[買進例外調整]]+100)</f>
        <v>#VALUE!</v>
      </c>
      <c r="BE31" s="441" t="e">
        <f ca="1">IF(AX31&lt;&gt;0,IF(MONTH(DATE(BB31,AX31,DAY(Q31)))&lt;&gt;庫存Pro[[#This Row],[第三個配息月]],DATE(BB31,AX31+1,0),DATE(BB31,AX31,DAY(Q31))),庫存Pro[[#This Row],[買進例外調整]]+100)</f>
        <v>#VALUE!</v>
      </c>
      <c r="BF31" s="441" t="e">
        <f ca="1">IF(AY31&lt;&gt;0,IF(MONTH(DATE(BB31,AY31,DAY(Q31)))&lt;&gt;庫存Pro[[#This Row],[第四個配息月]],DATE(BB31,AY31+1,0),DATE(BB31,AY31,DAY(Q31))),庫存Pro[[#This Row],[買進例外調整]]+100)</f>
        <v>#VALUE!</v>
      </c>
      <c r="BG31" s="441" t="e">
        <f ca="1">IF(P31=1,IF(MONTH(DATE(BB31-1,AV31,DAY(Q31)))&lt;&gt;庫存Pro[[#This Row],[第一個配息月]],DATE(BB31-1,AV31+1,0),DATE(BB31-1,AV31,DAY(Q31))),IF(P31=2,IF(MONTH(DATE(BB31-1,AW31,DAY(Q31)))&lt;&gt;庫存Pro[[#This Row],[第二個配息月]],DATE(BB31-1,AW31+1,0),DATE(BB31-1,AW31,DAY(Q31))),IF(P31=4,IF(MONTH(DATE(BB31-1,AY31,DAY(Q31)))&lt;&gt;庫存Pro[[#This Row],[第四個配息月]],DATE(BB31-1,AY31+1,0),DATE(BB31-1,AY31,DAY(Q31))),庫存Pro[[#This Row],[買進例外調整]]+100)))</f>
        <v>#VALUE!</v>
      </c>
      <c r="BH31" s="445">
        <f t="shared" ca="1" si="15"/>
        <v>10000</v>
      </c>
      <c r="BI31" s="445">
        <f t="shared" ca="1" si="16"/>
        <v>10000</v>
      </c>
      <c r="BJ31" s="445">
        <f t="shared" ca="1" si="17"/>
        <v>10000</v>
      </c>
      <c r="BK31" s="445">
        <f t="shared" ca="1" si="18"/>
        <v>10000</v>
      </c>
      <c r="BL31" s="455">
        <f t="shared" ca="1" si="19"/>
        <v>10000</v>
      </c>
      <c r="BM31" s="479" t="e">
        <f ca="1">庫存Pro[[#This Row],[年度配息]]/庫存Pro[[#This Row],[配息頻率]]</f>
        <v>#N/A</v>
      </c>
      <c r="BN31" s="479" t="e">
        <f ca="1">庫存Pro[[#This Row],[單次配息(原幣)]]*庫存Pro[[#This Row],[換算匯率(現)]]</f>
        <v>#N/A</v>
      </c>
      <c r="BO31" s="479" t="str">
        <f ca="1">IFERROR(VLOOKUP($H31,'銀行-TSS'!B:C,2,FALSE),"")</f>
        <v/>
      </c>
      <c r="BP31" s="479" t="e">
        <f ca="1">VLOOKUP(庫存Pro[[#This Row],[幣別]],$B$37:$C$43,2,FALSE)</f>
        <v>#N/A</v>
      </c>
      <c r="BQ31" s="500" t="e">
        <f ca="1">CHOOSE(庫存Pro[[#This Row],[對應編碼]],$D$37,$D$38,$D$39,$D$40,$D$41,$D$42,$D$43)</f>
        <v>#N/A</v>
      </c>
      <c r="BR31" s="500" t="e">
        <f ca="1">CHOOSE(庫存Pro[[#This Row],[對應編碼]],$E$37,$E$38,$E$39,$E$40,$E$41,$E$42,$E$43)</f>
        <v>#N/A</v>
      </c>
      <c r="BS31" s="595" t="e">
        <f ca="1">庫存Pro[[#This Row],[投入面額]]*庫存Pro[[#This Row],[換算匯率(現)]]</f>
        <v>#N/A</v>
      </c>
      <c r="BT31" s="595" t="e">
        <f ca="1">庫存Pro[[#This Row],[持有成本(含前手息)]]*庫存Pro[[#This Row],[換算匯率(買)]]</f>
        <v>#N/A</v>
      </c>
      <c r="BU31" s="498" t="e">
        <f ca="1">庫存Pro[[#This Row],[持有成本(不含前手息)]]*庫存Pro[[#This Row],[換算匯率(買)]]</f>
        <v>#N/A</v>
      </c>
      <c r="BV31" s="498" t="e">
        <f ca="1">庫存Pro[[#This Row],[部位現值(含前手息)]]*庫存Pro[[#This Row],[換算匯率(現)]]</f>
        <v>#N/A</v>
      </c>
      <c r="BW31" s="498" t="e">
        <f ca="1">庫存Pro[[#This Row],[部位現值(不含前手息)]]*庫存Pro[[#This Row],[換算匯率(現)]]</f>
        <v>#N/A</v>
      </c>
      <c r="BX31" s="498" t="e">
        <f ca="1">IF(MF_Pro=2,庫存Pro[[#This Row],[累計配息]]*庫存Pro[[#This Row],[換算匯率(現)]],庫存Pro[[#This Row],[已實現配息(原幣)]]*庫存Pro[[#This Row],[換算匯率(現)]])</f>
        <v>#N/A</v>
      </c>
      <c r="BY31" s="498" t="e">
        <f ca="1">庫存Pro[[#This Row],[資本利損]]*庫存Pro[[#This Row],[換算匯率(現)]]</f>
        <v>#N/A</v>
      </c>
      <c r="BZ31" s="498" t="e">
        <f ca="1">庫存Pro[[#This Row],[累計利息(台)]]+庫存Pro[[#This Row],[資本貢獻(台)]]</f>
        <v>#N/A</v>
      </c>
      <c r="CA31" s="574">
        <f ca="1">IFERROR(庫存Pro[[#This Row],[配息報酬]],0)</f>
        <v>0</v>
      </c>
      <c r="CB31" s="574">
        <f ca="1">庫存Pro[[#This Row],[資本報酬]]</f>
        <v>0</v>
      </c>
      <c r="CC31" s="574">
        <f ca="1">IFERROR(庫存Pro[[#This Row],[換匯總報酬率]]-(庫存Pro[[#This Row],[配息報酬率]]+庫存Pro[[#This Row],[資本報酬率]]),0)</f>
        <v>0</v>
      </c>
      <c r="CD31" s="574">
        <f ca="1">IF(MF_Pro=2,IFERROR((庫存Pro[[#This Row],[參考贖回金額(現)]]+庫存Pro[[#This Row],[累計利息(台)]])/庫存Pro[[#This Row],[淨投入成本(買)]]-1,0),IFERROR(((庫存Pro[[#This Row],[參考贖回金額含前手息(現)]]+庫存Pro[[#This Row],[累計利息(台)]])/庫存Pro[[#This Row],[庫存成本(買)]])-1,0))</f>
        <v>0</v>
      </c>
      <c r="CE31" s="585">
        <f t="shared" ca="1" si="7"/>
        <v>0</v>
      </c>
      <c r="CF31" s="574">
        <f t="shared" ca="1" si="8"/>
        <v>0</v>
      </c>
      <c r="CG31"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31" s="646" t="e">
        <f ca="1">DATEDIF(庫存Pro[[#This Row],[買進例外調整]],庫存Pro[[#This Row],[到期日]],"d")/365.25</f>
        <v>#VALUE!</v>
      </c>
      <c r="CI31" s="739" t="e">
        <f ca="1">DATEVALUE(VLOOKUP(庫存Pro[[#This Row],[商品代號]],bond!B:AF,31,FALSE))</f>
        <v>#N/A</v>
      </c>
      <c r="CJ31" s="739" t="e">
        <f ca="1">IF(庫存Pro[[#This Row],[買下配(國調)]]&lt;庫存Pro[[#This Row],[第一票息日]],庫存Pro[[#This Row],[第一票息日]],庫存Pro[[#This Row],[買下配(國調)]])</f>
        <v>#N/A</v>
      </c>
      <c r="CK31"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31"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31" s="646">
        <f ca="1">IF(庫存Pro[[#This Row],[商品代號]]="XFM90",0,IFERROR(庫存Pro[[#This Row],[單次配息(原幣)]]*庫存Pro[[#This Row],[經過幾次配息]],0))</f>
        <v>0</v>
      </c>
      <c r="CN31" s="646" t="e">
        <f ca="1">VLOOKUP(庫存Pro[[#This Row],[商品代號]],bond!B:F,5,FALSE)</f>
        <v>#N/A</v>
      </c>
      <c r="CO31" s="739" t="str">
        <f ca="1">IFERROR(VLOOKUP(庫存Pro[[#This Row],[ISIN]],'7_發行日例外'!A:C,3,FALSE),IFERROR(DATEVALUE(VLOOKUP(庫存Pro[[#This Row],[商品代號]],bond!B:AR,43,FALSE)),""))</f>
        <v/>
      </c>
      <c r="CP31" s="646" t="e">
        <f ca="1">DATEDIF(庫存Pro[[#This Row],[起息日]],庫存Pro[[#This Row],[買進前一配息日(複算)]],"d")</f>
        <v>#VALUE!</v>
      </c>
      <c r="CQ31"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31" s="739" t="e">
        <f ca="1">IFERROR(VLOOKUP(庫存Pro[[#This Row],[ISIN]],'7_發行日例外'!A:D,4,FALSE),DATEVALUE(VLOOKUP(庫存Pro[[#This Row],[商品代號]],bond!B:AV,44,FALSE)))</f>
        <v>#N/A</v>
      </c>
      <c r="CS31" s="646" t="e">
        <f ca="1">VLOOKUP(庫存Pro[[#This Row],[商品代號]],bond!B:AU,46,FALSE)</f>
        <v>#N/A</v>
      </c>
      <c r="CT31" s="646" t="e">
        <f ca="1">IF(庫存Pro[[#This Row],[計息基礎]]=1,CHOOSE(庫存Pro[[#This Row],[對應編碼]],"沒進位","","沒進位",IF(庫存Pro[[#This Row],[計算類型]]="AUSTRALIA:EX-DIV","4捨五入進0.01%","沒進位"),"年/2去計算ACT","沒進位","沒進位"),"")</f>
        <v>#N/A</v>
      </c>
      <c r="CU31" s="646" t="e">
        <f ca="1">_xlfn.DAYS(庫存Pro[[#This Row],[買進例外調整]],庫存Pro[[#This Row],[買進前一個配息日(最終)]])</f>
        <v>#N/A</v>
      </c>
      <c r="CV31" s="646" t="e">
        <f ca="1">IF(庫存Pro[[#This Row],[備註]]="年/2去計算ACT",365/2,_xlfn.DAYS(庫存Pro[[#This Row],[買進時的下個配息日]],庫存Pro[[#This Row],[買進前一個配息日(最終)]]))</f>
        <v>#N/A</v>
      </c>
      <c r="CW31"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31" s="768" t="e">
        <f ca="1">_xlfn.DAYS(庫存Pro[[#This Row],[交割日]],庫存Pro[[#This Row],[買進前一個配息日(最終)]])</f>
        <v>#N/A</v>
      </c>
      <c r="CY31"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31" s="768" t="e">
        <f ca="1">_xlfn.DAYS(庫存Pro[[#This Row],[交割日]],庫存Pro[[#This Row],[最近的上一票息日]])</f>
        <v>#N/A</v>
      </c>
      <c r="DA31" s="768" t="e">
        <f ca="1">IF(庫存Pro[[#This Row],[備註]]="年/2去計算ACT",365/2,_xlfn.DAYS(庫存Pro[[#This Row],[下一配息日]],庫存Pro[[#This Row],[最近的上一票息日]]))</f>
        <v>#N/A</v>
      </c>
      <c r="DB31"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31" s="739" t="e">
        <f ca="1">CJ31-庫存Pro[[#This Row],[ex_div_days]]</f>
        <v>#N/A</v>
      </c>
      <c r="DD31" s="646" t="e">
        <f ca="1">IF(VLOOKUP(庫存Pro[[#This Row],[商品代號]],bond!B:AT,45,FALSE)="#N/A Field Not Applicable",0,VLOOKUP(庫存Pro[[#This Row],[商品代號]],bond!B:AT,45,FALSE))</f>
        <v>#N/A</v>
      </c>
      <c r="DE31" s="793" t="e">
        <f ca="1">IF(庫存Pro[[#This Row],[ex_div_days]]&lt;&gt;0,IF(AND(庫存Pro[[#This Row],[買進例外調整]]-庫存Pro[[#This Row],[買進下一個配息日先減n天]]&gt;=0,庫存Pro[[#This Row],[買進時的下個配息日]]-庫存Pro[[#This Row],[買進例外調整]]&gt;0),1,0),0)</f>
        <v>#N/A</v>
      </c>
      <c r="DF31" s="784" t="e">
        <f ca="1">IF(庫存Pro[[#This Row],[對應編碼]]=4,ROUND(庫存Pro[[#This Row],[前手息(初算)]]-庫存Pro[[#This Row],[票面利率]]/庫存Pro[[#This Row],[配息頻率]]*100,3),ROUND(庫存Pro[[#This Row],[前手息(初算)]]-庫存Pro[[#This Row],[票面利率]]/庫存Pro[[#This Row],[配息頻率]]*100,4))</f>
        <v>#N/A</v>
      </c>
      <c r="DG31" s="734" t="e">
        <f ca="1">庫存Pro[[#This Row],[下一配息日]]-庫存Pro[[#This Row],[ex_div_days]]</f>
        <v>#VALUE!</v>
      </c>
      <c r="DH31" s="1084" t="e">
        <f ca="1">IF(庫存Pro[[#This Row],[ex_div_days]]&lt;&gt;0,IF(AND(庫存Pro[[#This Row],[交割日]]-庫存Pro[[#This Row],[交割下個配息日先減n天]]&gt;=0,庫存Pro[[#This Row],[下一配息日]]-庫存Pro[[#This Row],[交割日]]&gt;0),1,0),0)</f>
        <v>#N/A</v>
      </c>
      <c r="DI31"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32" spans="2:239" ht="19.5" customHeight="1">
      <c r="B32" s="12" t="s">
        <v>211</v>
      </c>
      <c r="C32" s="27">
        <f ca="1">SUM(C19:C30)</f>
        <v>2223324</v>
      </c>
      <c r="D32" s="27"/>
      <c r="E32" s="589">
        <f ca="1">SUM(E19:E30)</f>
        <v>68450</v>
      </c>
      <c r="F32" s="589">
        <f ca="1">SUM(F19:F30)</f>
        <v>2223324</v>
      </c>
      <c r="H32" s="428">
        <f ca="1">IF(開關=TRUE,'庫存管理(Pro)'!B32,0)</f>
        <v>0</v>
      </c>
      <c r="I32" s="429" t="e">
        <f ca="1">VLOOKUP(H32,bond!B:I,8,FALSE)</f>
        <v>#N/A</v>
      </c>
      <c r="J32" s="429" t="e">
        <f ca="1">庫存Pro[[#This Row],[買價]]+VLOOKUP(庫存Pro[[#This Row],[商品代號]],bond!B:K,10,FALSE)</f>
        <v>#N/A</v>
      </c>
      <c r="K32" s="430" t="e">
        <f ca="1">VLOOKUP(H32,'銀行-TSS'!B:E,4,FALSE)</f>
        <v>#N/A</v>
      </c>
      <c r="L32" s="431" t="e">
        <f ca="1">VLOOKUP($H32,'銀行-TSS'!B:G,6,FALSE)</f>
        <v>#N/A</v>
      </c>
      <c r="M32" s="432" t="e">
        <f ca="1">IFERROR(DATEVALUE(VLOOKUP($H32,'銀行-TSS'!B:F,5,FALSE)),VLOOKUP($H32,'銀行-TSS'!B:F,5,FALSE))</f>
        <v>#N/A</v>
      </c>
      <c r="N32" s="433" t="e">
        <f ca="1">VLOOKUP($H32,'銀行-TSS'!B:H,7,FALSE)</f>
        <v>#N/A</v>
      </c>
      <c r="O32" s="433" t="e">
        <f ca="1">庫存Pro[[#This Row],[票面利率]]/庫存Pro[[#This Row],[成本價(不含前手息)]]*100</f>
        <v>#N/A</v>
      </c>
      <c r="P32" s="434" t="str">
        <f ca="1">IFERROR(VLOOKUP($H32,'銀行-TSS'!B:I,8,FALSE),"")</f>
        <v/>
      </c>
      <c r="Q32" s="440" t="str">
        <f ca="1">_xlfn.IFNA(IFERROR(DATEVALUE(VLOOKUP($H32,'銀行-TSS'!B:P,15,FALSE)),VLOOKUP($H32,'銀行-TSS'!B:P,15,FALSE)),"")</f>
        <v/>
      </c>
      <c r="R32" s="570" t="b">
        <f>IF(AND('2_Check_code'!C53,庫存Pro[[#This Row],[投入面額]]&gt;0),TRUE,FALSE)</f>
        <v>0</v>
      </c>
      <c r="S32" s="602">
        <f>'庫存管理(Pro)'!AE32</f>
        <v>0</v>
      </c>
      <c r="T32"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32" s="442" t="str">
        <f ca="1">IFERROR(WORKDAY(庫存Pro[[#This Row],[買進日]],VLOOKUP(庫存Pro[[#This Row],[商品代號]],'1_重設數據'!R:S,2,FALSE),休USD),庫存Pro[[#This Row],[買進日(T+2/公債T+1)]])</f>
        <v/>
      </c>
      <c r="V32" s="43">
        <f>'庫存管理(Pro)'!J32</f>
        <v>0</v>
      </c>
      <c r="W32" s="43">
        <f>'庫存管理(Pro)'!K32</f>
        <v>0</v>
      </c>
      <c r="X32" s="464">
        <f t="shared" ca="1" si="9"/>
        <v>0</v>
      </c>
      <c r="Y32" s="464" t="e">
        <f t="shared" ca="1" si="11"/>
        <v>#N/A</v>
      </c>
      <c r="Z32" s="465" t="e">
        <f t="shared" ca="1" si="12"/>
        <v>#N/A</v>
      </c>
      <c r="AA32" s="474" t="e">
        <f ca="1">IF(MF_Pro=2,庫存Pro[[#This Row],[部位現值(不含前手息)]]-庫存Pro[[#This Row],[持有成本(不含前手息)]],庫存Pro[[#This Row],[部位現值(含前手息)]]-庫存Pro[[#This Row],[持有成本(含前手息)]])</f>
        <v>#N/A</v>
      </c>
      <c r="AB32" s="462">
        <f ca="1">IF(MF_Pro=2,IFERROR(庫存Pro[[#This Row],[資本利損]]/庫存Pro[[#This Row],[持有成本(不含前手息)]],0),IFERROR(庫存Pro[[#This Row],[資本利損]]/庫存Pro[[#This Row],[持有成本(含前手息)]],0))</f>
        <v>0</v>
      </c>
      <c r="AC32" s="618" t="e">
        <f ca="1">庫存Pro[[#This Row],[持有成本(不含前手息)]]/庫存Pro[[#This Row],[投入面額]]*100</f>
        <v>#DIV/0!</v>
      </c>
      <c r="AD32" s="462" t="e">
        <f ca="1">VLOOKUP(庫存Pro[[#This Row],[商品代號]],bond!B:AA,26,FALSE)</f>
        <v>#N/A</v>
      </c>
      <c r="AE32" s="1" t="str">
        <f ca="1">IFERROR(VLOOKUP($H32,'銀行-TSS'!B:Q,16,FALSE),"")</f>
        <v/>
      </c>
      <c r="AF32" s="466" t="e">
        <f t="shared" ca="1" si="13"/>
        <v>#N/A</v>
      </c>
      <c r="AG32" s="458" t="e">
        <f ca="1">IF(OR(庫存Pro[[#This Row],[起息日]]&gt;庫存Pro[[#This Row],[買進前一配息日(複算)]],庫存Pro[[#This Row],[判斷]]=TRUE),庫存Pro[[#This Row],[起息日]],庫存Pro[[#This Row],[買進前一配息日(複算)]])</f>
        <v>#N/A</v>
      </c>
      <c r="AH32" s="577" t="e">
        <f ca="1">VLOOKUP(H32,bond!B:AP,41,FALSE)</f>
        <v>#N/A</v>
      </c>
      <c r="AI32" s="578" t="e">
        <f t="shared" ca="1" si="14"/>
        <v>#N/A</v>
      </c>
      <c r="AJ32" s="579">
        <f ca="1">IFERROR(IF(庫存Pro[[#This Row],[買進日是否落入record date]]=1,庫存Pro[[#This Row],[record date制度前手息]],庫存Pro[[#This Row],[前手息(初算)]]),0)</f>
        <v>0</v>
      </c>
      <c r="AK32" s="579" t="e">
        <f ca="1">IF(OR(庫存Pro[[#This Row],[買進例外調整]]&lt;庫存Pro[[#This Row],[起息日]],庫存Pro[[#This Row],[買進例外調整]]&gt;庫存Pro[[#This Row],[到期日]]),0,IF(庫存Pro[[#This Row],[備註]]&lt;&gt;"",庫存Pro[[#This Row],[買進時前手息]],IFERROR(ROUND(ACCRINT(AG32,AG32,U32,N32,100,P32,AI32,TRUE),4),0)))</f>
        <v>#N/A</v>
      </c>
      <c r="AL32" s="580">
        <f t="shared" ca="1" si="10"/>
        <v>0</v>
      </c>
      <c r="AM32" s="440" t="e">
        <f ca="1">DATEVALUE(VLOOKUP(H32,bond!B:I,7,FALSE))</f>
        <v>#N/A</v>
      </c>
      <c r="AN32"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32" s="579">
        <f ca="1">IFERROR(IF(庫存Pro[[#This Row],[交割日是否落入record date]]=1,庫存Pro[[#This Row],[交_record date制度前手息]],庫存Pro[[#This Row],[計算交割前手息(初算)]]),0)</f>
        <v>0</v>
      </c>
      <c r="AP32"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32" s="579" t="e">
        <f ca="1">IF(庫存Pro[[#This Row],[配息頻率]]=0,0,(100*庫存Pro[[#This Row],[票面利率]]/庫存Pro[[#This Row],[配息頻率]])*庫存Pro[[#This Row],[經過幾次配息]]+庫存Pro[[#This Row],[計算交割前手息(複算)]]-庫存Pro[[#This Row],[計算前手息(複算)]])</f>
        <v>#N/A</v>
      </c>
      <c r="AR32" s="581" t="e">
        <f ca="1">IF(庫存Pro[[#This Row],[商品代號]]="XFM90",0,ROUND(AQ32*V32/100,2))</f>
        <v>#N/A</v>
      </c>
      <c r="AS32" s="582">
        <f ca="1">IF(MF_Pro=2,IFERROR(庫存Pro[[#This Row],[累計配息]]/庫存Pro[[#This Row],[持有成本(不含前手息)]],0),IFERROR(庫存Pro[[#This Row],[已實現配息(原幣)]]/庫存Pro[[#This Row],[持有成本(含前手息)]],0))</f>
        <v>0</v>
      </c>
      <c r="AT32" s="583" t="e">
        <f ca="1">IF(MF_Pro=2,庫存Pro[[#This Row],[資本利損]]+庫存Pro[[#This Row],[累計配息]],庫存Pro[[#This Row],[資本利損]]+庫存Pro[[#This Row],[已實現配息(原幣)]])</f>
        <v>#N/A</v>
      </c>
      <c r="AU32" s="584">
        <f ca="1">IF(MF_Pro=2,IFERROR(庫存Pro[[#This Row],[合計收益]]/庫存Pro[[#This Row],[持有成本(不含前手息)]],0),IFERROR(庫存Pro[[#This Row],[合計收益]]/庫存Pro[[#This Row],[持有成本(含前手息)]],0))</f>
        <v>0</v>
      </c>
      <c r="AV32" s="434" t="e">
        <f t="shared" ca="1" si="0"/>
        <v>#VALUE!</v>
      </c>
      <c r="AW32" s="434" t="e">
        <f t="shared" ca="1" si="1"/>
        <v>#VALUE!</v>
      </c>
      <c r="AX32" s="434">
        <f t="shared" ca="1" si="2"/>
        <v>0</v>
      </c>
      <c r="AY32" s="434">
        <f t="shared" ca="1" si="3"/>
        <v>0</v>
      </c>
      <c r="AZ32" s="441" t="e">
        <f ca="1">IF(AND(庫存Pro[[#This Row],[名稱]]="美國國庫債券",DAY(庫存Pro[[#This Row],[買進前一配息日(初算)]])&gt;=28),EOMONTH(庫存Pro[[#This Row],[買進前一配息日(初算)]],0),庫存Pro[[#This Row],[買進前一配息日(初算)]])</f>
        <v>#N/A</v>
      </c>
      <c r="BA32" s="441" t="e">
        <f t="shared" ca="1" si="4"/>
        <v>#VALUE!</v>
      </c>
      <c r="BB32" s="444" t="e">
        <f t="shared" ca="1" si="5"/>
        <v>#VALUE!</v>
      </c>
      <c r="BC32" s="441" t="e">
        <f ca="1">IF(P32&gt;0,IF(MONTH(DATE(BB32,AV32,DAY(Q32)))&lt;&gt;庫存Pro[[#This Row],[第一個配息月]],DATE(BB32,AV32+1,0),DATE(BB32,AV32,DAY(Q32))),庫存Pro[[#This Row],[買進例外調整]]+100)</f>
        <v>#VALUE!</v>
      </c>
      <c r="BD32" s="441" t="e">
        <f ca="1">IF(AW32&lt;&gt;0,IF(MONTH(DATE(BB32,AW32,DAY(Q32)))&lt;&gt;庫存Pro[[#This Row],[第二個配息月]],DATE(BB32,AW32+1,0),DATE(BB32,AW32,DAY(Q32))),庫存Pro[[#This Row],[買進例外調整]]+100)</f>
        <v>#VALUE!</v>
      </c>
      <c r="BE32" s="441" t="e">
        <f ca="1">IF(AX32&lt;&gt;0,IF(MONTH(DATE(BB32,AX32,DAY(Q32)))&lt;&gt;庫存Pro[[#This Row],[第三個配息月]],DATE(BB32,AX32+1,0),DATE(BB32,AX32,DAY(Q32))),庫存Pro[[#This Row],[買進例外調整]]+100)</f>
        <v>#VALUE!</v>
      </c>
      <c r="BF32" s="441" t="e">
        <f ca="1">IF(AY32&lt;&gt;0,IF(MONTH(DATE(BB32,AY32,DAY(Q32)))&lt;&gt;庫存Pro[[#This Row],[第四個配息月]],DATE(BB32,AY32+1,0),DATE(BB32,AY32,DAY(Q32))),庫存Pro[[#This Row],[買進例外調整]]+100)</f>
        <v>#VALUE!</v>
      </c>
      <c r="BG32" s="441" t="e">
        <f ca="1">IF(P32=1,IF(MONTH(DATE(BB32-1,AV32,DAY(Q32)))&lt;&gt;庫存Pro[[#This Row],[第一個配息月]],DATE(BB32-1,AV32+1,0),DATE(BB32-1,AV32,DAY(Q32))),IF(P32=2,IF(MONTH(DATE(BB32-1,AW32,DAY(Q32)))&lt;&gt;庫存Pro[[#This Row],[第二個配息月]],DATE(BB32-1,AW32+1,0),DATE(BB32-1,AW32,DAY(Q32))),IF(P32=4,IF(MONTH(DATE(BB32-1,AY32,DAY(Q32)))&lt;&gt;庫存Pro[[#This Row],[第四個配息月]],DATE(BB32-1,AY32+1,0),DATE(BB32-1,AY32,DAY(Q32))),庫存Pro[[#This Row],[買進例外調整]]+100)))</f>
        <v>#VALUE!</v>
      </c>
      <c r="BH32" s="445">
        <f t="shared" ca="1" si="15"/>
        <v>10000</v>
      </c>
      <c r="BI32" s="445">
        <f t="shared" ca="1" si="16"/>
        <v>10000</v>
      </c>
      <c r="BJ32" s="445">
        <f t="shared" ca="1" si="17"/>
        <v>10000</v>
      </c>
      <c r="BK32" s="445">
        <f t="shared" ca="1" si="18"/>
        <v>10000</v>
      </c>
      <c r="BL32" s="455">
        <f t="shared" ca="1" si="19"/>
        <v>10000</v>
      </c>
      <c r="BM32" s="479" t="e">
        <f ca="1">庫存Pro[[#This Row],[年度配息]]/庫存Pro[[#This Row],[配息頻率]]</f>
        <v>#N/A</v>
      </c>
      <c r="BN32" s="479" t="e">
        <f ca="1">庫存Pro[[#This Row],[單次配息(原幣)]]*庫存Pro[[#This Row],[換算匯率(現)]]</f>
        <v>#N/A</v>
      </c>
      <c r="BO32" s="479" t="str">
        <f ca="1">IFERROR(VLOOKUP($H32,'銀行-TSS'!B:C,2,FALSE),"")</f>
        <v/>
      </c>
      <c r="BP32" s="479" t="e">
        <f ca="1">VLOOKUP(庫存Pro[[#This Row],[幣別]],$B$37:$C$43,2,FALSE)</f>
        <v>#N/A</v>
      </c>
      <c r="BQ32" s="500" t="e">
        <f ca="1">CHOOSE(庫存Pro[[#This Row],[對應編碼]],$D$37,$D$38,$D$39,$D$40,$D$41,$D$42,$D$43)</f>
        <v>#N/A</v>
      </c>
      <c r="BR32" s="500" t="e">
        <f ca="1">CHOOSE(庫存Pro[[#This Row],[對應編碼]],$E$37,$E$38,$E$39,$E$40,$E$41,$E$42,$E$43)</f>
        <v>#N/A</v>
      </c>
      <c r="BS32" s="595" t="e">
        <f ca="1">庫存Pro[[#This Row],[投入面額]]*庫存Pro[[#This Row],[換算匯率(現)]]</f>
        <v>#N/A</v>
      </c>
      <c r="BT32" s="595" t="e">
        <f ca="1">庫存Pro[[#This Row],[持有成本(含前手息)]]*庫存Pro[[#This Row],[換算匯率(買)]]</f>
        <v>#N/A</v>
      </c>
      <c r="BU32" s="498" t="e">
        <f ca="1">庫存Pro[[#This Row],[持有成本(不含前手息)]]*庫存Pro[[#This Row],[換算匯率(買)]]</f>
        <v>#N/A</v>
      </c>
      <c r="BV32" s="498" t="e">
        <f ca="1">庫存Pro[[#This Row],[部位現值(含前手息)]]*庫存Pro[[#This Row],[換算匯率(現)]]</f>
        <v>#N/A</v>
      </c>
      <c r="BW32" s="498" t="e">
        <f ca="1">庫存Pro[[#This Row],[部位現值(不含前手息)]]*庫存Pro[[#This Row],[換算匯率(現)]]</f>
        <v>#N/A</v>
      </c>
      <c r="BX32" s="498" t="e">
        <f ca="1">IF(MF_Pro=2,庫存Pro[[#This Row],[累計配息]]*庫存Pro[[#This Row],[換算匯率(現)]],庫存Pro[[#This Row],[已實現配息(原幣)]]*庫存Pro[[#This Row],[換算匯率(現)]])</f>
        <v>#N/A</v>
      </c>
      <c r="BY32" s="498" t="e">
        <f ca="1">庫存Pro[[#This Row],[資本利損]]*庫存Pro[[#This Row],[換算匯率(現)]]</f>
        <v>#N/A</v>
      </c>
      <c r="BZ32" s="498" t="e">
        <f ca="1">庫存Pro[[#This Row],[累計利息(台)]]+庫存Pro[[#This Row],[資本貢獻(台)]]</f>
        <v>#N/A</v>
      </c>
      <c r="CA32" s="574">
        <f ca="1">IFERROR(庫存Pro[[#This Row],[配息報酬]],0)</f>
        <v>0</v>
      </c>
      <c r="CB32" s="574">
        <f ca="1">庫存Pro[[#This Row],[資本報酬]]</f>
        <v>0</v>
      </c>
      <c r="CC32" s="574">
        <f ca="1">IFERROR(庫存Pro[[#This Row],[換匯總報酬率]]-(庫存Pro[[#This Row],[配息報酬率]]+庫存Pro[[#This Row],[資本報酬率]]),0)</f>
        <v>0</v>
      </c>
      <c r="CD32" s="574">
        <f ca="1">IF(MF_Pro=2,IFERROR((庫存Pro[[#This Row],[參考贖回金額(現)]]+庫存Pro[[#This Row],[累計利息(台)]])/庫存Pro[[#This Row],[淨投入成本(買)]]-1,0),IFERROR(((庫存Pro[[#This Row],[參考贖回金額含前手息(現)]]+庫存Pro[[#This Row],[累計利息(台)]])/庫存Pro[[#This Row],[庫存成本(買)]])-1,0))</f>
        <v>0</v>
      </c>
      <c r="CE32" s="585">
        <f t="shared" ca="1" si="7"/>
        <v>0</v>
      </c>
      <c r="CF32" s="574">
        <f t="shared" ca="1" si="8"/>
        <v>0</v>
      </c>
      <c r="CG32"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32" s="646" t="e">
        <f ca="1">DATEDIF(庫存Pro[[#This Row],[買進例外調整]],庫存Pro[[#This Row],[到期日]],"d")/365.25</f>
        <v>#VALUE!</v>
      </c>
      <c r="CI32" s="739" t="e">
        <f ca="1">DATEVALUE(VLOOKUP(庫存Pro[[#This Row],[商品代號]],bond!B:AF,31,FALSE))</f>
        <v>#N/A</v>
      </c>
      <c r="CJ32" s="739" t="e">
        <f ca="1">IF(庫存Pro[[#This Row],[買下配(國調)]]&lt;庫存Pro[[#This Row],[第一票息日]],庫存Pro[[#This Row],[第一票息日]],庫存Pro[[#This Row],[買下配(國調)]])</f>
        <v>#N/A</v>
      </c>
      <c r="CK32"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32"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32" s="646">
        <f ca="1">IF(庫存Pro[[#This Row],[商品代號]]="XFM90",0,IFERROR(庫存Pro[[#This Row],[單次配息(原幣)]]*庫存Pro[[#This Row],[經過幾次配息]],0))</f>
        <v>0</v>
      </c>
      <c r="CN32" s="646" t="e">
        <f ca="1">VLOOKUP(庫存Pro[[#This Row],[商品代號]],bond!B:F,5,FALSE)</f>
        <v>#N/A</v>
      </c>
      <c r="CO32" s="739" t="str">
        <f ca="1">IFERROR(VLOOKUP(庫存Pro[[#This Row],[ISIN]],'7_發行日例外'!A:C,3,FALSE),IFERROR(DATEVALUE(VLOOKUP(庫存Pro[[#This Row],[商品代號]],bond!B:AR,43,FALSE)),""))</f>
        <v/>
      </c>
      <c r="CP32" s="646" t="e">
        <f ca="1">DATEDIF(庫存Pro[[#This Row],[起息日]],庫存Pro[[#This Row],[買進前一配息日(複算)]],"d")</f>
        <v>#VALUE!</v>
      </c>
      <c r="CQ32"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32" s="739" t="e">
        <f ca="1">IFERROR(VLOOKUP(庫存Pro[[#This Row],[ISIN]],'7_發行日例外'!A:D,4,FALSE),DATEVALUE(VLOOKUP(庫存Pro[[#This Row],[商品代號]],bond!B:AV,44,FALSE)))</f>
        <v>#N/A</v>
      </c>
      <c r="CS32" s="646" t="e">
        <f ca="1">VLOOKUP(庫存Pro[[#This Row],[商品代號]],bond!B:AU,46,FALSE)</f>
        <v>#N/A</v>
      </c>
      <c r="CT32" s="646" t="e">
        <f ca="1">IF(庫存Pro[[#This Row],[計息基礎]]=1,CHOOSE(庫存Pro[[#This Row],[對應編碼]],"沒進位","","沒進位",IF(庫存Pro[[#This Row],[計算類型]]="AUSTRALIA:EX-DIV","4捨五入進0.01%","沒進位"),"年/2去計算ACT","沒進位","沒進位"),"")</f>
        <v>#N/A</v>
      </c>
      <c r="CU32" s="646" t="e">
        <f ca="1">_xlfn.DAYS(庫存Pro[[#This Row],[買進例外調整]],庫存Pro[[#This Row],[買進前一個配息日(最終)]])</f>
        <v>#N/A</v>
      </c>
      <c r="CV32" s="646" t="e">
        <f ca="1">IF(庫存Pro[[#This Row],[備註]]="年/2去計算ACT",365/2,_xlfn.DAYS(庫存Pro[[#This Row],[買進時的下個配息日]],庫存Pro[[#This Row],[買進前一個配息日(最終)]]))</f>
        <v>#N/A</v>
      </c>
      <c r="CW32"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32" s="768" t="e">
        <f ca="1">_xlfn.DAYS(庫存Pro[[#This Row],[交割日]],庫存Pro[[#This Row],[買進前一個配息日(最終)]])</f>
        <v>#N/A</v>
      </c>
      <c r="CY32"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32" s="768" t="e">
        <f ca="1">_xlfn.DAYS(庫存Pro[[#This Row],[交割日]],庫存Pro[[#This Row],[最近的上一票息日]])</f>
        <v>#N/A</v>
      </c>
      <c r="DA32" s="768" t="e">
        <f ca="1">IF(庫存Pro[[#This Row],[備註]]="年/2去計算ACT",365/2,_xlfn.DAYS(庫存Pro[[#This Row],[下一配息日]],庫存Pro[[#This Row],[最近的上一票息日]]))</f>
        <v>#N/A</v>
      </c>
      <c r="DB32"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32" s="739" t="e">
        <f ca="1">CJ32-庫存Pro[[#This Row],[ex_div_days]]</f>
        <v>#N/A</v>
      </c>
      <c r="DD32" s="646" t="e">
        <f ca="1">IF(VLOOKUP(庫存Pro[[#This Row],[商品代號]],bond!B:AT,45,FALSE)="#N/A Field Not Applicable",0,VLOOKUP(庫存Pro[[#This Row],[商品代號]],bond!B:AT,45,FALSE))</f>
        <v>#N/A</v>
      </c>
      <c r="DE32" s="793" t="e">
        <f ca="1">IF(庫存Pro[[#This Row],[ex_div_days]]&lt;&gt;0,IF(AND(庫存Pro[[#This Row],[買進例外調整]]-庫存Pro[[#This Row],[買進下一個配息日先減n天]]&gt;=0,庫存Pro[[#This Row],[買進時的下個配息日]]-庫存Pro[[#This Row],[買進例外調整]]&gt;0),1,0),0)</f>
        <v>#N/A</v>
      </c>
      <c r="DF32" s="784" t="e">
        <f ca="1">IF(庫存Pro[[#This Row],[對應編碼]]=4,ROUND(庫存Pro[[#This Row],[前手息(初算)]]-庫存Pro[[#This Row],[票面利率]]/庫存Pro[[#This Row],[配息頻率]]*100,3),ROUND(庫存Pro[[#This Row],[前手息(初算)]]-庫存Pro[[#This Row],[票面利率]]/庫存Pro[[#This Row],[配息頻率]]*100,4))</f>
        <v>#N/A</v>
      </c>
      <c r="DG32" s="734" t="e">
        <f ca="1">庫存Pro[[#This Row],[下一配息日]]-庫存Pro[[#This Row],[ex_div_days]]</f>
        <v>#VALUE!</v>
      </c>
      <c r="DH32" s="1084" t="e">
        <f ca="1">IF(庫存Pro[[#This Row],[ex_div_days]]&lt;&gt;0,IF(AND(庫存Pro[[#This Row],[交割日]]-庫存Pro[[#This Row],[交割下個配息日先減n天]]&gt;=0,庫存Pro[[#This Row],[下一配息日]]-庫存Pro[[#This Row],[交割日]]&gt;0),1,0),0)</f>
        <v>#N/A</v>
      </c>
      <c r="DI32"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33" spans="1:113" ht="19.5" customHeight="1">
      <c r="H33" s="428">
        <f ca="1">IF(開關=TRUE,'庫存管理(Pro)'!B33,0)</f>
        <v>0</v>
      </c>
      <c r="I33" s="429" t="e">
        <f ca="1">VLOOKUP(H33,bond!B:I,8,FALSE)</f>
        <v>#N/A</v>
      </c>
      <c r="J33" s="429" t="e">
        <f ca="1">庫存Pro[[#This Row],[買價]]+VLOOKUP(庫存Pro[[#This Row],[商品代號]],bond!B:K,10,FALSE)</f>
        <v>#N/A</v>
      </c>
      <c r="K33" s="430" t="e">
        <f ca="1">VLOOKUP(H33,'銀行-TSS'!B:E,4,FALSE)</f>
        <v>#N/A</v>
      </c>
      <c r="L33" s="431" t="e">
        <f ca="1">VLOOKUP($H33,'銀行-TSS'!B:G,6,FALSE)</f>
        <v>#N/A</v>
      </c>
      <c r="M33" s="432" t="e">
        <f ca="1">IFERROR(DATEVALUE(VLOOKUP($H33,'銀行-TSS'!B:F,5,FALSE)),VLOOKUP($H33,'銀行-TSS'!B:F,5,FALSE))</f>
        <v>#N/A</v>
      </c>
      <c r="N33" s="433" t="e">
        <f ca="1">VLOOKUP($H33,'銀行-TSS'!B:H,7,FALSE)</f>
        <v>#N/A</v>
      </c>
      <c r="O33" s="433" t="e">
        <f ca="1">庫存Pro[[#This Row],[票面利率]]/庫存Pro[[#This Row],[成本價(不含前手息)]]*100</f>
        <v>#N/A</v>
      </c>
      <c r="P33" s="434" t="str">
        <f ca="1">IFERROR(VLOOKUP($H33,'銀行-TSS'!B:I,8,FALSE),"")</f>
        <v/>
      </c>
      <c r="Q33" s="440" t="str">
        <f ca="1">_xlfn.IFNA(IFERROR(DATEVALUE(VLOOKUP($H33,'銀行-TSS'!B:P,15,FALSE)),VLOOKUP($H33,'銀行-TSS'!B:P,15,FALSE)),"")</f>
        <v/>
      </c>
      <c r="R33" s="570" t="b">
        <f>IF(AND('2_Check_code'!C54,庫存Pro[[#This Row],[投入面額]]&gt;0),TRUE,FALSE)</f>
        <v>0</v>
      </c>
      <c r="S33" s="602">
        <f>'庫存管理(Pro)'!AE33</f>
        <v>0</v>
      </c>
      <c r="T33"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33" s="442" t="str">
        <f ca="1">IFERROR(WORKDAY(庫存Pro[[#This Row],[買進日]],VLOOKUP(庫存Pro[[#This Row],[商品代號]],'1_重設數據'!R:S,2,FALSE),休USD),庫存Pro[[#This Row],[買進日(T+2/公債T+1)]])</f>
        <v/>
      </c>
      <c r="V33" s="43">
        <f>'庫存管理(Pro)'!J33</f>
        <v>0</v>
      </c>
      <c r="W33" s="43">
        <f>'庫存管理(Pro)'!K33</f>
        <v>0</v>
      </c>
      <c r="X33" s="464">
        <f t="shared" ca="1" si="9"/>
        <v>0</v>
      </c>
      <c r="Y33" s="464" t="e">
        <f t="shared" ca="1" si="11"/>
        <v>#N/A</v>
      </c>
      <c r="Z33" s="465" t="e">
        <f t="shared" ca="1" si="12"/>
        <v>#N/A</v>
      </c>
      <c r="AA33" s="474" t="e">
        <f ca="1">IF(MF_Pro=2,庫存Pro[[#This Row],[部位現值(不含前手息)]]-庫存Pro[[#This Row],[持有成本(不含前手息)]],庫存Pro[[#This Row],[部位現值(含前手息)]]-庫存Pro[[#This Row],[持有成本(含前手息)]])</f>
        <v>#N/A</v>
      </c>
      <c r="AB33" s="462">
        <f ca="1">IF(MF_Pro=2,IFERROR(庫存Pro[[#This Row],[資本利損]]/庫存Pro[[#This Row],[持有成本(不含前手息)]],0),IFERROR(庫存Pro[[#This Row],[資本利損]]/庫存Pro[[#This Row],[持有成本(含前手息)]],0))</f>
        <v>0</v>
      </c>
      <c r="AC33" s="618" t="e">
        <f ca="1">庫存Pro[[#This Row],[持有成本(不含前手息)]]/庫存Pro[[#This Row],[投入面額]]*100</f>
        <v>#DIV/0!</v>
      </c>
      <c r="AD33" s="462" t="e">
        <f ca="1">VLOOKUP(庫存Pro[[#This Row],[商品代號]],bond!B:AA,26,FALSE)</f>
        <v>#N/A</v>
      </c>
      <c r="AE33" s="1" t="str">
        <f ca="1">IFERROR(VLOOKUP($H33,'銀行-TSS'!B:Q,16,FALSE),"")</f>
        <v/>
      </c>
      <c r="AF33" s="466" t="e">
        <f t="shared" ca="1" si="13"/>
        <v>#N/A</v>
      </c>
      <c r="AG33" s="458" t="e">
        <f ca="1">IF(OR(庫存Pro[[#This Row],[起息日]]&gt;庫存Pro[[#This Row],[買進前一配息日(複算)]],庫存Pro[[#This Row],[判斷]]=TRUE),庫存Pro[[#This Row],[起息日]],庫存Pro[[#This Row],[買進前一配息日(複算)]])</f>
        <v>#N/A</v>
      </c>
      <c r="AH33" s="577" t="e">
        <f ca="1">VLOOKUP(H33,bond!B:AP,41,FALSE)</f>
        <v>#N/A</v>
      </c>
      <c r="AI33" s="578" t="e">
        <f t="shared" ca="1" si="14"/>
        <v>#N/A</v>
      </c>
      <c r="AJ33" s="579">
        <f ca="1">IFERROR(IF(庫存Pro[[#This Row],[買進日是否落入record date]]=1,庫存Pro[[#This Row],[record date制度前手息]],庫存Pro[[#This Row],[前手息(初算)]]),0)</f>
        <v>0</v>
      </c>
      <c r="AK33" s="579" t="e">
        <f ca="1">IF(OR(庫存Pro[[#This Row],[買進例外調整]]&lt;庫存Pro[[#This Row],[起息日]],庫存Pro[[#This Row],[買進例外調整]]&gt;庫存Pro[[#This Row],[到期日]]),0,IF(庫存Pro[[#This Row],[備註]]&lt;&gt;"",庫存Pro[[#This Row],[買進時前手息]],IFERROR(ROUND(ACCRINT(AG33,AG33,U33,N33,100,P33,AI33,TRUE),4),0)))</f>
        <v>#N/A</v>
      </c>
      <c r="AL33" s="580">
        <f t="shared" ca="1" si="10"/>
        <v>0</v>
      </c>
      <c r="AM33" s="440" t="e">
        <f ca="1">DATEVALUE(VLOOKUP(H33,bond!B:I,7,FALSE))</f>
        <v>#N/A</v>
      </c>
      <c r="AN33"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33" s="579">
        <f ca="1">IFERROR(IF(庫存Pro[[#This Row],[交割日是否落入record date]]=1,庫存Pro[[#This Row],[交_record date制度前手息]],庫存Pro[[#This Row],[計算交割前手息(初算)]]),0)</f>
        <v>0</v>
      </c>
      <c r="AP33"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33" s="579" t="e">
        <f ca="1">IF(庫存Pro[[#This Row],[配息頻率]]=0,0,(100*庫存Pro[[#This Row],[票面利率]]/庫存Pro[[#This Row],[配息頻率]])*庫存Pro[[#This Row],[經過幾次配息]]+庫存Pro[[#This Row],[計算交割前手息(複算)]]-庫存Pro[[#This Row],[計算前手息(複算)]])</f>
        <v>#N/A</v>
      </c>
      <c r="AR33" s="581" t="e">
        <f ca="1">IF(庫存Pro[[#This Row],[商品代號]]="XFM90",0,ROUND(AQ33*V33/100,2))</f>
        <v>#N/A</v>
      </c>
      <c r="AS33" s="582">
        <f ca="1">IF(MF_Pro=2,IFERROR(庫存Pro[[#This Row],[累計配息]]/庫存Pro[[#This Row],[持有成本(不含前手息)]],0),IFERROR(庫存Pro[[#This Row],[已實現配息(原幣)]]/庫存Pro[[#This Row],[持有成本(含前手息)]],0))</f>
        <v>0</v>
      </c>
      <c r="AT33" s="583" t="e">
        <f ca="1">IF(MF_Pro=2,庫存Pro[[#This Row],[資本利損]]+庫存Pro[[#This Row],[累計配息]],庫存Pro[[#This Row],[資本利損]]+庫存Pro[[#This Row],[已實現配息(原幣)]])</f>
        <v>#N/A</v>
      </c>
      <c r="AU33" s="584">
        <f ca="1">IF(MF_Pro=2,IFERROR(庫存Pro[[#This Row],[合計收益]]/庫存Pro[[#This Row],[持有成本(不含前手息)]],0),IFERROR(庫存Pro[[#This Row],[合計收益]]/庫存Pro[[#This Row],[持有成本(含前手息)]],0))</f>
        <v>0</v>
      </c>
      <c r="AV33" s="434" t="e">
        <f t="shared" ca="1" si="0"/>
        <v>#VALUE!</v>
      </c>
      <c r="AW33" s="434" t="e">
        <f t="shared" ca="1" si="1"/>
        <v>#VALUE!</v>
      </c>
      <c r="AX33" s="434">
        <f t="shared" ca="1" si="2"/>
        <v>0</v>
      </c>
      <c r="AY33" s="434">
        <f t="shared" ca="1" si="3"/>
        <v>0</v>
      </c>
      <c r="AZ33" s="441" t="e">
        <f ca="1">IF(AND(庫存Pro[[#This Row],[名稱]]="美國國庫債券",DAY(庫存Pro[[#This Row],[買進前一配息日(初算)]])&gt;=28),EOMONTH(庫存Pro[[#This Row],[買進前一配息日(初算)]],0),庫存Pro[[#This Row],[買進前一配息日(初算)]])</f>
        <v>#N/A</v>
      </c>
      <c r="BA33" s="441" t="e">
        <f t="shared" ca="1" si="4"/>
        <v>#VALUE!</v>
      </c>
      <c r="BB33" s="444" t="e">
        <f t="shared" ca="1" si="5"/>
        <v>#VALUE!</v>
      </c>
      <c r="BC33" s="441" t="e">
        <f ca="1">IF(P33&gt;0,IF(MONTH(DATE(BB33,AV33,DAY(Q33)))&lt;&gt;庫存Pro[[#This Row],[第一個配息月]],DATE(BB33,AV33+1,0),DATE(BB33,AV33,DAY(Q33))),庫存Pro[[#This Row],[買進例外調整]]+100)</f>
        <v>#VALUE!</v>
      </c>
      <c r="BD33" s="441" t="e">
        <f ca="1">IF(AW33&lt;&gt;0,IF(MONTH(DATE(BB33,AW33,DAY(Q33)))&lt;&gt;庫存Pro[[#This Row],[第二個配息月]],DATE(BB33,AW33+1,0),DATE(BB33,AW33,DAY(Q33))),庫存Pro[[#This Row],[買進例外調整]]+100)</f>
        <v>#VALUE!</v>
      </c>
      <c r="BE33" s="441" t="e">
        <f ca="1">IF(AX33&lt;&gt;0,IF(MONTH(DATE(BB33,AX33,DAY(Q33)))&lt;&gt;庫存Pro[[#This Row],[第三個配息月]],DATE(BB33,AX33+1,0),DATE(BB33,AX33,DAY(Q33))),庫存Pro[[#This Row],[買進例外調整]]+100)</f>
        <v>#VALUE!</v>
      </c>
      <c r="BF33" s="441" t="e">
        <f ca="1">IF(AY33&lt;&gt;0,IF(MONTH(DATE(BB33,AY33,DAY(Q33)))&lt;&gt;庫存Pro[[#This Row],[第四個配息月]],DATE(BB33,AY33+1,0),DATE(BB33,AY33,DAY(Q33))),庫存Pro[[#This Row],[買進例外調整]]+100)</f>
        <v>#VALUE!</v>
      </c>
      <c r="BG33" s="441" t="e">
        <f ca="1">IF(P33=1,IF(MONTH(DATE(BB33-1,AV33,DAY(Q33)))&lt;&gt;庫存Pro[[#This Row],[第一個配息月]],DATE(BB33-1,AV33+1,0),DATE(BB33-1,AV33,DAY(Q33))),IF(P33=2,IF(MONTH(DATE(BB33-1,AW33,DAY(Q33)))&lt;&gt;庫存Pro[[#This Row],[第二個配息月]],DATE(BB33-1,AW33+1,0),DATE(BB33-1,AW33,DAY(Q33))),IF(P33=4,IF(MONTH(DATE(BB33-1,AY33,DAY(Q33)))&lt;&gt;庫存Pro[[#This Row],[第四個配息月]],DATE(BB33-1,AY33+1,0),DATE(BB33-1,AY33,DAY(Q33))),庫存Pro[[#This Row],[買進例外調整]]+100)))</f>
        <v>#VALUE!</v>
      </c>
      <c r="BH33" s="445">
        <f t="shared" ca="1" si="15"/>
        <v>10000</v>
      </c>
      <c r="BI33" s="445">
        <f t="shared" ca="1" si="16"/>
        <v>10000</v>
      </c>
      <c r="BJ33" s="445">
        <f t="shared" ca="1" si="17"/>
        <v>10000</v>
      </c>
      <c r="BK33" s="445">
        <f t="shared" ca="1" si="18"/>
        <v>10000</v>
      </c>
      <c r="BL33" s="455">
        <f t="shared" ca="1" si="19"/>
        <v>10000</v>
      </c>
      <c r="BM33" s="479" t="e">
        <f ca="1">庫存Pro[[#This Row],[年度配息]]/庫存Pro[[#This Row],[配息頻率]]</f>
        <v>#N/A</v>
      </c>
      <c r="BN33" s="479" t="e">
        <f ca="1">庫存Pro[[#This Row],[單次配息(原幣)]]*庫存Pro[[#This Row],[換算匯率(現)]]</f>
        <v>#N/A</v>
      </c>
      <c r="BO33" s="479" t="str">
        <f ca="1">IFERROR(VLOOKUP($H33,'銀行-TSS'!B:C,2,FALSE),"")</f>
        <v/>
      </c>
      <c r="BP33" s="479" t="e">
        <f ca="1">VLOOKUP(庫存Pro[[#This Row],[幣別]],$B$37:$C$43,2,FALSE)</f>
        <v>#N/A</v>
      </c>
      <c r="BQ33" s="500" t="e">
        <f ca="1">CHOOSE(庫存Pro[[#This Row],[對應編碼]],$D$37,$D$38,$D$39,$D$40,$D$41,$D$42,$D$43)</f>
        <v>#N/A</v>
      </c>
      <c r="BR33" s="500" t="e">
        <f ca="1">CHOOSE(庫存Pro[[#This Row],[對應編碼]],$E$37,$E$38,$E$39,$E$40,$E$41,$E$42,$E$43)</f>
        <v>#N/A</v>
      </c>
      <c r="BS33" s="595" t="e">
        <f ca="1">庫存Pro[[#This Row],[投入面額]]*庫存Pro[[#This Row],[換算匯率(現)]]</f>
        <v>#N/A</v>
      </c>
      <c r="BT33" s="595" t="e">
        <f ca="1">庫存Pro[[#This Row],[持有成本(含前手息)]]*庫存Pro[[#This Row],[換算匯率(買)]]</f>
        <v>#N/A</v>
      </c>
      <c r="BU33" s="498" t="e">
        <f ca="1">庫存Pro[[#This Row],[持有成本(不含前手息)]]*庫存Pro[[#This Row],[換算匯率(買)]]</f>
        <v>#N/A</v>
      </c>
      <c r="BV33" s="498" t="e">
        <f ca="1">庫存Pro[[#This Row],[部位現值(含前手息)]]*庫存Pro[[#This Row],[換算匯率(現)]]</f>
        <v>#N/A</v>
      </c>
      <c r="BW33" s="498" t="e">
        <f ca="1">庫存Pro[[#This Row],[部位現值(不含前手息)]]*庫存Pro[[#This Row],[換算匯率(現)]]</f>
        <v>#N/A</v>
      </c>
      <c r="BX33" s="498" t="e">
        <f ca="1">IF(MF_Pro=2,庫存Pro[[#This Row],[累計配息]]*庫存Pro[[#This Row],[換算匯率(現)]],庫存Pro[[#This Row],[已實現配息(原幣)]]*庫存Pro[[#This Row],[換算匯率(現)]])</f>
        <v>#N/A</v>
      </c>
      <c r="BY33" s="498" t="e">
        <f ca="1">庫存Pro[[#This Row],[資本利損]]*庫存Pro[[#This Row],[換算匯率(現)]]</f>
        <v>#N/A</v>
      </c>
      <c r="BZ33" s="498" t="e">
        <f ca="1">庫存Pro[[#This Row],[累計利息(台)]]+庫存Pro[[#This Row],[資本貢獻(台)]]</f>
        <v>#N/A</v>
      </c>
      <c r="CA33" s="574">
        <f ca="1">IFERROR(庫存Pro[[#This Row],[配息報酬]],0)</f>
        <v>0</v>
      </c>
      <c r="CB33" s="574">
        <f ca="1">庫存Pro[[#This Row],[資本報酬]]</f>
        <v>0</v>
      </c>
      <c r="CC33" s="574">
        <f ca="1">IFERROR(庫存Pro[[#This Row],[換匯總報酬率]]-(庫存Pro[[#This Row],[配息報酬率]]+庫存Pro[[#This Row],[資本報酬率]]),0)</f>
        <v>0</v>
      </c>
      <c r="CD33" s="574">
        <f ca="1">IF(MF_Pro=2,IFERROR((庫存Pro[[#This Row],[參考贖回金額(現)]]+庫存Pro[[#This Row],[累計利息(台)]])/庫存Pro[[#This Row],[淨投入成本(買)]]-1,0),IFERROR(((庫存Pro[[#This Row],[參考贖回金額含前手息(現)]]+庫存Pro[[#This Row],[累計利息(台)]])/庫存Pro[[#This Row],[庫存成本(買)]])-1,0))</f>
        <v>0</v>
      </c>
      <c r="CE33" s="585">
        <f t="shared" ca="1" si="7"/>
        <v>0</v>
      </c>
      <c r="CF33" s="574">
        <f t="shared" ca="1" si="8"/>
        <v>0</v>
      </c>
      <c r="CG33"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33" s="646" t="e">
        <f ca="1">DATEDIF(庫存Pro[[#This Row],[買進例外調整]],庫存Pro[[#This Row],[到期日]],"d")/365.25</f>
        <v>#VALUE!</v>
      </c>
      <c r="CI33" s="739" t="e">
        <f ca="1">DATEVALUE(VLOOKUP(庫存Pro[[#This Row],[商品代號]],bond!B:AF,31,FALSE))</f>
        <v>#N/A</v>
      </c>
      <c r="CJ33" s="739" t="e">
        <f ca="1">IF(庫存Pro[[#This Row],[買下配(國調)]]&lt;庫存Pro[[#This Row],[第一票息日]],庫存Pro[[#This Row],[第一票息日]],庫存Pro[[#This Row],[買下配(國調)]])</f>
        <v>#N/A</v>
      </c>
      <c r="CK33"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33"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33" s="646">
        <f ca="1">IF(庫存Pro[[#This Row],[商品代號]]="XFM90",0,IFERROR(庫存Pro[[#This Row],[單次配息(原幣)]]*庫存Pro[[#This Row],[經過幾次配息]],0))</f>
        <v>0</v>
      </c>
      <c r="CN33" s="646" t="e">
        <f ca="1">VLOOKUP(庫存Pro[[#This Row],[商品代號]],bond!B:F,5,FALSE)</f>
        <v>#N/A</v>
      </c>
      <c r="CO33" s="739" t="str">
        <f ca="1">IFERROR(VLOOKUP(庫存Pro[[#This Row],[ISIN]],'7_發行日例外'!A:C,3,FALSE),IFERROR(DATEVALUE(VLOOKUP(庫存Pro[[#This Row],[商品代號]],bond!B:AR,43,FALSE)),""))</f>
        <v/>
      </c>
      <c r="CP33" s="646" t="e">
        <f ca="1">DATEDIF(庫存Pro[[#This Row],[起息日]],庫存Pro[[#This Row],[買進前一配息日(複算)]],"d")</f>
        <v>#VALUE!</v>
      </c>
      <c r="CQ33"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33" s="739" t="e">
        <f ca="1">IFERROR(VLOOKUP(庫存Pro[[#This Row],[ISIN]],'7_發行日例外'!A:D,4,FALSE),DATEVALUE(VLOOKUP(庫存Pro[[#This Row],[商品代號]],bond!B:AV,44,FALSE)))</f>
        <v>#N/A</v>
      </c>
      <c r="CS33" s="646" t="e">
        <f ca="1">VLOOKUP(庫存Pro[[#This Row],[商品代號]],bond!B:AU,46,FALSE)</f>
        <v>#N/A</v>
      </c>
      <c r="CT33" s="646" t="e">
        <f ca="1">IF(庫存Pro[[#This Row],[計息基礎]]=1,CHOOSE(庫存Pro[[#This Row],[對應編碼]],"沒進位","","沒進位",IF(庫存Pro[[#This Row],[計算類型]]="AUSTRALIA:EX-DIV","4捨五入進0.01%","沒進位"),"年/2去計算ACT","沒進位","沒進位"),"")</f>
        <v>#N/A</v>
      </c>
      <c r="CU33" s="646" t="e">
        <f ca="1">_xlfn.DAYS(庫存Pro[[#This Row],[買進例外調整]],庫存Pro[[#This Row],[買進前一個配息日(最終)]])</f>
        <v>#N/A</v>
      </c>
      <c r="CV33" s="646" t="e">
        <f ca="1">IF(庫存Pro[[#This Row],[備註]]="年/2去計算ACT",365/2,_xlfn.DAYS(庫存Pro[[#This Row],[買進時的下個配息日]],庫存Pro[[#This Row],[買進前一個配息日(最終)]]))</f>
        <v>#N/A</v>
      </c>
      <c r="CW33"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33" s="768" t="e">
        <f ca="1">_xlfn.DAYS(庫存Pro[[#This Row],[交割日]],庫存Pro[[#This Row],[買進前一個配息日(最終)]])</f>
        <v>#N/A</v>
      </c>
      <c r="CY33"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33" s="768" t="e">
        <f ca="1">_xlfn.DAYS(庫存Pro[[#This Row],[交割日]],庫存Pro[[#This Row],[最近的上一票息日]])</f>
        <v>#N/A</v>
      </c>
      <c r="DA33" s="768" t="e">
        <f ca="1">IF(庫存Pro[[#This Row],[備註]]="年/2去計算ACT",365/2,_xlfn.DAYS(庫存Pro[[#This Row],[下一配息日]],庫存Pro[[#This Row],[最近的上一票息日]]))</f>
        <v>#N/A</v>
      </c>
      <c r="DB33"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33" s="739" t="e">
        <f ca="1">CJ33-庫存Pro[[#This Row],[ex_div_days]]</f>
        <v>#N/A</v>
      </c>
      <c r="DD33" s="646" t="e">
        <f ca="1">IF(VLOOKUP(庫存Pro[[#This Row],[商品代號]],bond!B:AT,45,FALSE)="#N/A Field Not Applicable",0,VLOOKUP(庫存Pro[[#This Row],[商品代號]],bond!B:AT,45,FALSE))</f>
        <v>#N/A</v>
      </c>
      <c r="DE33" s="793" t="e">
        <f ca="1">IF(庫存Pro[[#This Row],[ex_div_days]]&lt;&gt;0,IF(AND(庫存Pro[[#This Row],[買進例外調整]]-庫存Pro[[#This Row],[買進下一個配息日先減n天]]&gt;=0,庫存Pro[[#This Row],[買進時的下個配息日]]-庫存Pro[[#This Row],[買進例外調整]]&gt;0),1,0),0)</f>
        <v>#N/A</v>
      </c>
      <c r="DF33" s="784" t="e">
        <f ca="1">IF(庫存Pro[[#This Row],[對應編碼]]=4,ROUND(庫存Pro[[#This Row],[前手息(初算)]]-庫存Pro[[#This Row],[票面利率]]/庫存Pro[[#This Row],[配息頻率]]*100,3),ROUND(庫存Pro[[#This Row],[前手息(初算)]]-庫存Pro[[#This Row],[票面利率]]/庫存Pro[[#This Row],[配息頻率]]*100,4))</f>
        <v>#N/A</v>
      </c>
      <c r="DG33" s="734" t="e">
        <f ca="1">庫存Pro[[#This Row],[下一配息日]]-庫存Pro[[#This Row],[ex_div_days]]</f>
        <v>#VALUE!</v>
      </c>
      <c r="DH33" s="1084" t="e">
        <f ca="1">IF(庫存Pro[[#This Row],[ex_div_days]]&lt;&gt;0,IF(AND(庫存Pro[[#This Row],[交割日]]-庫存Pro[[#This Row],[交割下個配息日先減n天]]&gt;=0,庫存Pro[[#This Row],[下一配息日]]-庫存Pro[[#This Row],[交割日]]&gt;0),1,0),0)</f>
        <v>#N/A</v>
      </c>
      <c r="DI33"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34" spans="1:113" ht="19.5" customHeight="1">
      <c r="H34" s="428">
        <f ca="1">IF(開關=TRUE,'庫存管理(Pro)'!B34,0)</f>
        <v>0</v>
      </c>
      <c r="I34" s="429" t="e">
        <f ca="1">VLOOKUP(H34,bond!B:I,8,FALSE)</f>
        <v>#N/A</v>
      </c>
      <c r="J34" s="429" t="e">
        <f ca="1">庫存Pro[[#This Row],[買價]]+VLOOKUP(庫存Pro[[#This Row],[商品代號]],bond!B:K,10,FALSE)</f>
        <v>#N/A</v>
      </c>
      <c r="K34" s="430" t="e">
        <f ca="1">VLOOKUP(H34,'銀行-TSS'!B:E,4,FALSE)</f>
        <v>#N/A</v>
      </c>
      <c r="L34" s="431" t="e">
        <f ca="1">VLOOKUP($H34,'銀行-TSS'!B:G,6,FALSE)</f>
        <v>#N/A</v>
      </c>
      <c r="M34" s="432" t="e">
        <f ca="1">IFERROR(DATEVALUE(VLOOKUP($H34,'銀行-TSS'!B:F,5,FALSE)),VLOOKUP($H34,'銀行-TSS'!B:F,5,FALSE))</f>
        <v>#N/A</v>
      </c>
      <c r="N34" s="433" t="e">
        <f ca="1">VLOOKUP($H34,'銀行-TSS'!B:H,7,FALSE)</f>
        <v>#N/A</v>
      </c>
      <c r="O34" s="433" t="e">
        <f ca="1">庫存Pro[[#This Row],[票面利率]]/庫存Pro[[#This Row],[成本價(不含前手息)]]*100</f>
        <v>#N/A</v>
      </c>
      <c r="P34" s="434" t="str">
        <f ca="1">IFERROR(VLOOKUP($H34,'銀行-TSS'!B:I,8,FALSE),"")</f>
        <v/>
      </c>
      <c r="Q34" s="440" t="str">
        <f ca="1">_xlfn.IFNA(IFERROR(DATEVALUE(VLOOKUP($H34,'銀行-TSS'!B:P,15,FALSE)),VLOOKUP($H34,'銀行-TSS'!B:P,15,FALSE)),"")</f>
        <v/>
      </c>
      <c r="R34" s="570" t="b">
        <f>IF(AND('2_Check_code'!C55,庫存Pro[[#This Row],[投入面額]]&gt;0),TRUE,FALSE)</f>
        <v>0</v>
      </c>
      <c r="S34" s="602">
        <f>'庫存管理(Pro)'!AE34</f>
        <v>0</v>
      </c>
      <c r="T34"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34" s="442" t="str">
        <f ca="1">IFERROR(WORKDAY(庫存Pro[[#This Row],[買進日]],VLOOKUP(庫存Pro[[#This Row],[商品代號]],'1_重設數據'!R:S,2,FALSE),休USD),庫存Pro[[#This Row],[買進日(T+2/公債T+1)]])</f>
        <v/>
      </c>
      <c r="V34" s="43">
        <f>'庫存管理(Pro)'!J34</f>
        <v>0</v>
      </c>
      <c r="W34" s="43">
        <f>'庫存管理(Pro)'!K34</f>
        <v>0</v>
      </c>
      <c r="X34" s="464">
        <f t="shared" ca="1" si="9"/>
        <v>0</v>
      </c>
      <c r="Y34" s="464" t="e">
        <f t="shared" ca="1" si="11"/>
        <v>#N/A</v>
      </c>
      <c r="Z34" s="465" t="e">
        <f t="shared" ca="1" si="12"/>
        <v>#N/A</v>
      </c>
      <c r="AA34" s="474" t="e">
        <f ca="1">IF(MF_Pro=2,庫存Pro[[#This Row],[部位現值(不含前手息)]]-庫存Pro[[#This Row],[持有成本(不含前手息)]],庫存Pro[[#This Row],[部位現值(含前手息)]]-庫存Pro[[#This Row],[持有成本(含前手息)]])</f>
        <v>#N/A</v>
      </c>
      <c r="AB34" s="462">
        <f ca="1">IF(MF_Pro=2,IFERROR(庫存Pro[[#This Row],[資本利損]]/庫存Pro[[#This Row],[持有成本(不含前手息)]],0),IFERROR(庫存Pro[[#This Row],[資本利損]]/庫存Pro[[#This Row],[持有成本(含前手息)]],0))</f>
        <v>0</v>
      </c>
      <c r="AC34" s="618" t="e">
        <f ca="1">庫存Pro[[#This Row],[持有成本(不含前手息)]]/庫存Pro[[#This Row],[投入面額]]*100</f>
        <v>#DIV/0!</v>
      </c>
      <c r="AD34" s="462" t="e">
        <f ca="1">VLOOKUP(庫存Pro[[#This Row],[商品代號]],bond!B:AA,26,FALSE)</f>
        <v>#N/A</v>
      </c>
      <c r="AE34" s="1" t="str">
        <f ca="1">IFERROR(VLOOKUP($H34,'銀行-TSS'!B:Q,16,FALSE),"")</f>
        <v/>
      </c>
      <c r="AF34" s="466" t="e">
        <f t="shared" ca="1" si="13"/>
        <v>#N/A</v>
      </c>
      <c r="AG34" s="458" t="e">
        <f ca="1">IF(OR(庫存Pro[[#This Row],[起息日]]&gt;庫存Pro[[#This Row],[買進前一配息日(複算)]],庫存Pro[[#This Row],[判斷]]=TRUE),庫存Pro[[#This Row],[起息日]],庫存Pro[[#This Row],[買進前一配息日(複算)]])</f>
        <v>#N/A</v>
      </c>
      <c r="AH34" s="577" t="e">
        <f ca="1">VLOOKUP(H34,bond!B:AP,41,FALSE)</f>
        <v>#N/A</v>
      </c>
      <c r="AI34" s="578" t="e">
        <f t="shared" ca="1" si="14"/>
        <v>#N/A</v>
      </c>
      <c r="AJ34" s="579">
        <f ca="1">IFERROR(IF(庫存Pro[[#This Row],[買進日是否落入record date]]=1,庫存Pro[[#This Row],[record date制度前手息]],庫存Pro[[#This Row],[前手息(初算)]]),0)</f>
        <v>0</v>
      </c>
      <c r="AK34" s="579" t="e">
        <f ca="1">IF(OR(庫存Pro[[#This Row],[買進例外調整]]&lt;庫存Pro[[#This Row],[起息日]],庫存Pro[[#This Row],[買進例外調整]]&gt;庫存Pro[[#This Row],[到期日]]),0,IF(庫存Pro[[#This Row],[備註]]&lt;&gt;"",庫存Pro[[#This Row],[買進時前手息]],IFERROR(ROUND(ACCRINT(AG34,AG34,U34,N34,100,P34,AI34,TRUE),4),0)))</f>
        <v>#N/A</v>
      </c>
      <c r="AL34" s="580">
        <f t="shared" ca="1" si="10"/>
        <v>0</v>
      </c>
      <c r="AM34" s="440" t="e">
        <f ca="1">DATEVALUE(VLOOKUP(H34,bond!B:I,7,FALSE))</f>
        <v>#N/A</v>
      </c>
      <c r="AN34"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34" s="579">
        <f ca="1">IFERROR(IF(庫存Pro[[#This Row],[交割日是否落入record date]]=1,庫存Pro[[#This Row],[交_record date制度前手息]],庫存Pro[[#This Row],[計算交割前手息(初算)]]),0)</f>
        <v>0</v>
      </c>
      <c r="AP34"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34" s="579" t="e">
        <f ca="1">IF(庫存Pro[[#This Row],[配息頻率]]=0,0,(100*庫存Pro[[#This Row],[票面利率]]/庫存Pro[[#This Row],[配息頻率]])*庫存Pro[[#This Row],[經過幾次配息]]+庫存Pro[[#This Row],[計算交割前手息(複算)]]-庫存Pro[[#This Row],[計算前手息(複算)]])</f>
        <v>#N/A</v>
      </c>
      <c r="AR34" s="581" t="e">
        <f ca="1">IF(庫存Pro[[#This Row],[商品代號]]="XFM90",0,ROUND(AQ34*V34/100,2))</f>
        <v>#N/A</v>
      </c>
      <c r="AS34" s="582">
        <f ca="1">IF(MF_Pro=2,IFERROR(庫存Pro[[#This Row],[累計配息]]/庫存Pro[[#This Row],[持有成本(不含前手息)]],0),IFERROR(庫存Pro[[#This Row],[已實現配息(原幣)]]/庫存Pro[[#This Row],[持有成本(含前手息)]],0))</f>
        <v>0</v>
      </c>
      <c r="AT34" s="583" t="e">
        <f ca="1">IF(MF_Pro=2,庫存Pro[[#This Row],[資本利損]]+庫存Pro[[#This Row],[累計配息]],庫存Pro[[#This Row],[資本利損]]+庫存Pro[[#This Row],[已實現配息(原幣)]])</f>
        <v>#N/A</v>
      </c>
      <c r="AU34" s="584">
        <f ca="1">IF(MF_Pro=2,IFERROR(庫存Pro[[#This Row],[合計收益]]/庫存Pro[[#This Row],[持有成本(不含前手息)]],0),IFERROR(庫存Pro[[#This Row],[合計收益]]/庫存Pro[[#This Row],[持有成本(含前手息)]],0))</f>
        <v>0</v>
      </c>
      <c r="AV34" s="434" t="e">
        <f t="shared" ca="1" si="0"/>
        <v>#VALUE!</v>
      </c>
      <c r="AW34" s="434" t="e">
        <f t="shared" ca="1" si="1"/>
        <v>#VALUE!</v>
      </c>
      <c r="AX34" s="434">
        <f t="shared" ca="1" si="2"/>
        <v>0</v>
      </c>
      <c r="AY34" s="434">
        <f t="shared" ca="1" si="3"/>
        <v>0</v>
      </c>
      <c r="AZ34" s="441" t="e">
        <f ca="1">IF(AND(庫存Pro[[#This Row],[名稱]]="美國國庫債券",DAY(庫存Pro[[#This Row],[買進前一配息日(初算)]])&gt;=28),EOMONTH(庫存Pro[[#This Row],[買進前一配息日(初算)]],0),庫存Pro[[#This Row],[買進前一配息日(初算)]])</f>
        <v>#N/A</v>
      </c>
      <c r="BA34" s="441" t="e">
        <f t="shared" ca="1" si="4"/>
        <v>#VALUE!</v>
      </c>
      <c r="BB34" s="444" t="e">
        <f t="shared" ca="1" si="5"/>
        <v>#VALUE!</v>
      </c>
      <c r="BC34" s="441" t="e">
        <f ca="1">IF(P34&gt;0,IF(MONTH(DATE(BB34,AV34,DAY(Q34)))&lt;&gt;庫存Pro[[#This Row],[第一個配息月]],DATE(BB34,AV34+1,0),DATE(BB34,AV34,DAY(Q34))),庫存Pro[[#This Row],[買進例外調整]]+100)</f>
        <v>#VALUE!</v>
      </c>
      <c r="BD34" s="441" t="e">
        <f ca="1">IF(AW34&lt;&gt;0,IF(MONTH(DATE(BB34,AW34,DAY(Q34)))&lt;&gt;庫存Pro[[#This Row],[第二個配息月]],DATE(BB34,AW34+1,0),DATE(BB34,AW34,DAY(Q34))),庫存Pro[[#This Row],[買進例外調整]]+100)</f>
        <v>#VALUE!</v>
      </c>
      <c r="BE34" s="441" t="e">
        <f ca="1">IF(AX34&lt;&gt;0,IF(MONTH(DATE(BB34,AX34,DAY(Q34)))&lt;&gt;庫存Pro[[#This Row],[第三個配息月]],DATE(BB34,AX34+1,0),DATE(BB34,AX34,DAY(Q34))),庫存Pro[[#This Row],[買進例外調整]]+100)</f>
        <v>#VALUE!</v>
      </c>
      <c r="BF34" s="441" t="e">
        <f ca="1">IF(AY34&lt;&gt;0,IF(MONTH(DATE(BB34,AY34,DAY(Q34)))&lt;&gt;庫存Pro[[#This Row],[第四個配息月]],DATE(BB34,AY34+1,0),DATE(BB34,AY34,DAY(Q34))),庫存Pro[[#This Row],[買進例外調整]]+100)</f>
        <v>#VALUE!</v>
      </c>
      <c r="BG34" s="441" t="e">
        <f ca="1">IF(P34=1,IF(MONTH(DATE(BB34-1,AV34,DAY(Q34)))&lt;&gt;庫存Pro[[#This Row],[第一個配息月]],DATE(BB34-1,AV34+1,0),DATE(BB34-1,AV34,DAY(Q34))),IF(P34=2,IF(MONTH(DATE(BB34-1,AW34,DAY(Q34)))&lt;&gt;庫存Pro[[#This Row],[第二個配息月]],DATE(BB34-1,AW34+1,0),DATE(BB34-1,AW34,DAY(Q34))),IF(P34=4,IF(MONTH(DATE(BB34-1,AY34,DAY(Q34)))&lt;&gt;庫存Pro[[#This Row],[第四個配息月]],DATE(BB34-1,AY34+1,0),DATE(BB34-1,AY34,DAY(Q34))),庫存Pro[[#This Row],[買進例外調整]]+100)))</f>
        <v>#VALUE!</v>
      </c>
      <c r="BH34" s="445">
        <f t="shared" ca="1" si="15"/>
        <v>10000</v>
      </c>
      <c r="BI34" s="445">
        <f t="shared" ca="1" si="16"/>
        <v>10000</v>
      </c>
      <c r="BJ34" s="445">
        <f t="shared" ca="1" si="17"/>
        <v>10000</v>
      </c>
      <c r="BK34" s="445">
        <f t="shared" ca="1" si="18"/>
        <v>10000</v>
      </c>
      <c r="BL34" s="455">
        <f t="shared" ca="1" si="19"/>
        <v>10000</v>
      </c>
      <c r="BM34" s="479" t="e">
        <f ca="1">庫存Pro[[#This Row],[年度配息]]/庫存Pro[[#This Row],[配息頻率]]</f>
        <v>#N/A</v>
      </c>
      <c r="BN34" s="479" t="e">
        <f ca="1">庫存Pro[[#This Row],[單次配息(原幣)]]*庫存Pro[[#This Row],[換算匯率(現)]]</f>
        <v>#N/A</v>
      </c>
      <c r="BO34" s="479" t="str">
        <f ca="1">IFERROR(VLOOKUP($H34,'銀行-TSS'!B:C,2,FALSE),"")</f>
        <v/>
      </c>
      <c r="BP34" s="479" t="e">
        <f ca="1">VLOOKUP(庫存Pro[[#This Row],[幣別]],$B$37:$C$43,2,FALSE)</f>
        <v>#N/A</v>
      </c>
      <c r="BQ34" s="500" t="e">
        <f ca="1">CHOOSE(庫存Pro[[#This Row],[對應編碼]],$D$37,$D$38,$D$39,$D$40,$D$41,$D$42,$D$43)</f>
        <v>#N/A</v>
      </c>
      <c r="BR34" s="500" t="e">
        <f ca="1">CHOOSE(庫存Pro[[#This Row],[對應編碼]],$E$37,$E$38,$E$39,$E$40,$E$41,$E$42,$E$43)</f>
        <v>#N/A</v>
      </c>
      <c r="BS34" s="595" t="e">
        <f ca="1">庫存Pro[[#This Row],[投入面額]]*庫存Pro[[#This Row],[換算匯率(現)]]</f>
        <v>#N/A</v>
      </c>
      <c r="BT34" s="595" t="e">
        <f ca="1">庫存Pro[[#This Row],[持有成本(含前手息)]]*庫存Pro[[#This Row],[換算匯率(買)]]</f>
        <v>#N/A</v>
      </c>
      <c r="BU34" s="498" t="e">
        <f ca="1">庫存Pro[[#This Row],[持有成本(不含前手息)]]*庫存Pro[[#This Row],[換算匯率(買)]]</f>
        <v>#N/A</v>
      </c>
      <c r="BV34" s="498" t="e">
        <f ca="1">庫存Pro[[#This Row],[部位現值(含前手息)]]*庫存Pro[[#This Row],[換算匯率(現)]]</f>
        <v>#N/A</v>
      </c>
      <c r="BW34" s="498" t="e">
        <f ca="1">庫存Pro[[#This Row],[部位現值(不含前手息)]]*庫存Pro[[#This Row],[換算匯率(現)]]</f>
        <v>#N/A</v>
      </c>
      <c r="BX34" s="498" t="e">
        <f ca="1">IF(MF_Pro=2,庫存Pro[[#This Row],[累計配息]]*庫存Pro[[#This Row],[換算匯率(現)]],庫存Pro[[#This Row],[已實現配息(原幣)]]*庫存Pro[[#This Row],[換算匯率(現)]])</f>
        <v>#N/A</v>
      </c>
      <c r="BY34" s="498" t="e">
        <f ca="1">庫存Pro[[#This Row],[資本利損]]*庫存Pro[[#This Row],[換算匯率(現)]]</f>
        <v>#N/A</v>
      </c>
      <c r="BZ34" s="498" t="e">
        <f ca="1">庫存Pro[[#This Row],[累計利息(台)]]+庫存Pro[[#This Row],[資本貢獻(台)]]</f>
        <v>#N/A</v>
      </c>
      <c r="CA34" s="574">
        <f ca="1">IFERROR(庫存Pro[[#This Row],[配息報酬]],0)</f>
        <v>0</v>
      </c>
      <c r="CB34" s="574">
        <f ca="1">庫存Pro[[#This Row],[資本報酬]]</f>
        <v>0</v>
      </c>
      <c r="CC34" s="574">
        <f ca="1">IFERROR(庫存Pro[[#This Row],[換匯總報酬率]]-(庫存Pro[[#This Row],[配息報酬率]]+庫存Pro[[#This Row],[資本報酬率]]),0)</f>
        <v>0</v>
      </c>
      <c r="CD34" s="574">
        <f ca="1">IF(MF_Pro=2,IFERROR((庫存Pro[[#This Row],[參考贖回金額(現)]]+庫存Pro[[#This Row],[累計利息(台)]])/庫存Pro[[#This Row],[淨投入成本(買)]]-1,0),IFERROR(((庫存Pro[[#This Row],[參考贖回金額含前手息(現)]]+庫存Pro[[#This Row],[累計利息(台)]])/庫存Pro[[#This Row],[庫存成本(買)]])-1,0))</f>
        <v>0</v>
      </c>
      <c r="CE34" s="585">
        <f t="shared" ca="1" si="7"/>
        <v>0</v>
      </c>
      <c r="CF34" s="574">
        <f t="shared" ca="1" si="8"/>
        <v>0</v>
      </c>
      <c r="CG34"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34" s="646" t="e">
        <f ca="1">DATEDIF(庫存Pro[[#This Row],[買進例外調整]],庫存Pro[[#This Row],[到期日]],"d")/365.25</f>
        <v>#VALUE!</v>
      </c>
      <c r="CI34" s="739" t="e">
        <f ca="1">DATEVALUE(VLOOKUP(庫存Pro[[#This Row],[商品代號]],bond!B:AF,31,FALSE))</f>
        <v>#N/A</v>
      </c>
      <c r="CJ34" s="739" t="e">
        <f ca="1">IF(庫存Pro[[#This Row],[買下配(國調)]]&lt;庫存Pro[[#This Row],[第一票息日]],庫存Pro[[#This Row],[第一票息日]],庫存Pro[[#This Row],[買下配(國調)]])</f>
        <v>#N/A</v>
      </c>
      <c r="CK34"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34"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34" s="646">
        <f ca="1">IF(庫存Pro[[#This Row],[商品代號]]="XFM90",0,IFERROR(庫存Pro[[#This Row],[單次配息(原幣)]]*庫存Pro[[#This Row],[經過幾次配息]],0))</f>
        <v>0</v>
      </c>
      <c r="CN34" s="646" t="e">
        <f ca="1">VLOOKUP(庫存Pro[[#This Row],[商品代號]],bond!B:F,5,FALSE)</f>
        <v>#N/A</v>
      </c>
      <c r="CO34" s="739" t="str">
        <f ca="1">IFERROR(VLOOKUP(庫存Pro[[#This Row],[ISIN]],'7_發行日例外'!A:C,3,FALSE),IFERROR(DATEVALUE(VLOOKUP(庫存Pro[[#This Row],[商品代號]],bond!B:AR,43,FALSE)),""))</f>
        <v/>
      </c>
      <c r="CP34" s="646" t="e">
        <f ca="1">DATEDIF(庫存Pro[[#This Row],[起息日]],庫存Pro[[#This Row],[買進前一配息日(複算)]],"d")</f>
        <v>#VALUE!</v>
      </c>
      <c r="CQ34"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34" s="739" t="e">
        <f ca="1">IFERROR(VLOOKUP(庫存Pro[[#This Row],[ISIN]],'7_發行日例外'!A:D,4,FALSE),DATEVALUE(VLOOKUP(庫存Pro[[#This Row],[商品代號]],bond!B:AV,44,FALSE)))</f>
        <v>#N/A</v>
      </c>
      <c r="CS34" s="646" t="e">
        <f ca="1">VLOOKUP(庫存Pro[[#This Row],[商品代號]],bond!B:AU,46,FALSE)</f>
        <v>#N/A</v>
      </c>
      <c r="CT34" s="646" t="e">
        <f ca="1">IF(庫存Pro[[#This Row],[計息基礎]]=1,CHOOSE(庫存Pro[[#This Row],[對應編碼]],"沒進位","","沒進位",IF(庫存Pro[[#This Row],[計算類型]]="AUSTRALIA:EX-DIV","4捨五入進0.01%","沒進位"),"年/2去計算ACT","沒進位","沒進位"),"")</f>
        <v>#N/A</v>
      </c>
      <c r="CU34" s="646" t="e">
        <f ca="1">_xlfn.DAYS(庫存Pro[[#This Row],[買進例外調整]],庫存Pro[[#This Row],[買進前一個配息日(最終)]])</f>
        <v>#N/A</v>
      </c>
      <c r="CV34" s="646" t="e">
        <f ca="1">IF(庫存Pro[[#This Row],[備註]]="年/2去計算ACT",365/2,_xlfn.DAYS(庫存Pro[[#This Row],[買進時的下個配息日]],庫存Pro[[#This Row],[買進前一個配息日(最終)]]))</f>
        <v>#N/A</v>
      </c>
      <c r="CW34"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34" s="768" t="e">
        <f ca="1">_xlfn.DAYS(庫存Pro[[#This Row],[交割日]],庫存Pro[[#This Row],[買進前一個配息日(最終)]])</f>
        <v>#N/A</v>
      </c>
      <c r="CY34"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34" s="768" t="e">
        <f ca="1">_xlfn.DAYS(庫存Pro[[#This Row],[交割日]],庫存Pro[[#This Row],[最近的上一票息日]])</f>
        <v>#N/A</v>
      </c>
      <c r="DA34" s="768" t="e">
        <f ca="1">IF(庫存Pro[[#This Row],[備註]]="年/2去計算ACT",365/2,_xlfn.DAYS(庫存Pro[[#This Row],[下一配息日]],庫存Pro[[#This Row],[最近的上一票息日]]))</f>
        <v>#N/A</v>
      </c>
      <c r="DB34"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34" s="739" t="e">
        <f ca="1">CJ34-庫存Pro[[#This Row],[ex_div_days]]</f>
        <v>#N/A</v>
      </c>
      <c r="DD34" s="646" t="e">
        <f ca="1">IF(VLOOKUP(庫存Pro[[#This Row],[商品代號]],bond!B:AT,45,FALSE)="#N/A Field Not Applicable",0,VLOOKUP(庫存Pro[[#This Row],[商品代號]],bond!B:AT,45,FALSE))</f>
        <v>#N/A</v>
      </c>
      <c r="DE34" s="793" t="e">
        <f ca="1">IF(庫存Pro[[#This Row],[ex_div_days]]&lt;&gt;0,IF(AND(庫存Pro[[#This Row],[買進例外調整]]-庫存Pro[[#This Row],[買進下一個配息日先減n天]]&gt;=0,庫存Pro[[#This Row],[買進時的下個配息日]]-庫存Pro[[#This Row],[買進例外調整]]&gt;0),1,0),0)</f>
        <v>#N/A</v>
      </c>
      <c r="DF34" s="784" t="e">
        <f ca="1">IF(庫存Pro[[#This Row],[對應編碼]]=4,ROUND(庫存Pro[[#This Row],[前手息(初算)]]-庫存Pro[[#This Row],[票面利率]]/庫存Pro[[#This Row],[配息頻率]]*100,3),ROUND(庫存Pro[[#This Row],[前手息(初算)]]-庫存Pro[[#This Row],[票面利率]]/庫存Pro[[#This Row],[配息頻率]]*100,4))</f>
        <v>#N/A</v>
      </c>
      <c r="DG34" s="734" t="e">
        <f ca="1">庫存Pro[[#This Row],[下一配息日]]-庫存Pro[[#This Row],[ex_div_days]]</f>
        <v>#VALUE!</v>
      </c>
      <c r="DH34" s="1084" t="e">
        <f ca="1">IF(庫存Pro[[#This Row],[ex_div_days]]&lt;&gt;0,IF(AND(庫存Pro[[#This Row],[交割日]]-庫存Pro[[#This Row],[交割下個配息日先減n天]]&gt;=0,庫存Pro[[#This Row],[下一配息日]]-庫存Pro[[#This Row],[交割日]]&gt;0),1,0),0)</f>
        <v>#N/A</v>
      </c>
      <c r="DI34"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35" spans="1:113" ht="19.5" customHeight="1">
      <c r="H35" s="428">
        <f ca="1">IF(開關=TRUE,'庫存管理(Pro)'!B35,0)</f>
        <v>0</v>
      </c>
      <c r="I35" s="429" t="e">
        <f ca="1">VLOOKUP(H35,bond!B:I,8,FALSE)</f>
        <v>#N/A</v>
      </c>
      <c r="J35" s="429" t="e">
        <f ca="1">庫存Pro[[#This Row],[買價]]+VLOOKUP(庫存Pro[[#This Row],[商品代號]],bond!B:K,10,FALSE)</f>
        <v>#N/A</v>
      </c>
      <c r="K35" s="430" t="e">
        <f ca="1">VLOOKUP(H35,'銀行-TSS'!B:E,4,FALSE)</f>
        <v>#N/A</v>
      </c>
      <c r="L35" s="431" t="e">
        <f ca="1">VLOOKUP($H35,'銀行-TSS'!B:G,6,FALSE)</f>
        <v>#N/A</v>
      </c>
      <c r="M35" s="432" t="e">
        <f ca="1">IFERROR(DATEVALUE(VLOOKUP($H35,'銀行-TSS'!B:F,5,FALSE)),VLOOKUP($H35,'銀行-TSS'!B:F,5,FALSE))</f>
        <v>#N/A</v>
      </c>
      <c r="N35" s="433" t="e">
        <f ca="1">VLOOKUP($H35,'銀行-TSS'!B:H,7,FALSE)</f>
        <v>#N/A</v>
      </c>
      <c r="O35" s="433" t="e">
        <f ca="1">庫存Pro[[#This Row],[票面利率]]/庫存Pro[[#This Row],[成本價(不含前手息)]]*100</f>
        <v>#N/A</v>
      </c>
      <c r="P35" s="434" t="str">
        <f ca="1">IFERROR(VLOOKUP($H35,'銀行-TSS'!B:I,8,FALSE),"")</f>
        <v/>
      </c>
      <c r="Q35" s="440" t="str">
        <f ca="1">_xlfn.IFNA(IFERROR(DATEVALUE(VLOOKUP($H35,'銀行-TSS'!B:P,15,FALSE)),VLOOKUP($H35,'銀行-TSS'!B:P,15,FALSE)),"")</f>
        <v/>
      </c>
      <c r="R35" s="570" t="b">
        <f>IF(AND('2_Check_code'!C56,庫存Pro[[#This Row],[投入面額]]&gt;0),TRUE,FALSE)</f>
        <v>0</v>
      </c>
      <c r="S35" s="602">
        <f>'庫存管理(Pro)'!AE35</f>
        <v>0</v>
      </c>
      <c r="T35"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35" s="442" t="str">
        <f ca="1">IFERROR(WORKDAY(庫存Pro[[#This Row],[買進日]],VLOOKUP(庫存Pro[[#This Row],[商品代號]],'1_重設數據'!R:S,2,FALSE),休USD),庫存Pro[[#This Row],[買進日(T+2/公債T+1)]])</f>
        <v/>
      </c>
      <c r="V35" s="43">
        <f>'庫存管理(Pro)'!J35</f>
        <v>0</v>
      </c>
      <c r="W35" s="43">
        <f>'庫存管理(Pro)'!K35</f>
        <v>0</v>
      </c>
      <c r="X35" s="464">
        <f t="shared" ca="1" si="9"/>
        <v>0</v>
      </c>
      <c r="Y35" s="464" t="e">
        <f t="shared" ca="1" si="11"/>
        <v>#N/A</v>
      </c>
      <c r="Z35" s="465" t="e">
        <f t="shared" ca="1" si="12"/>
        <v>#N/A</v>
      </c>
      <c r="AA35" s="474" t="e">
        <f ca="1">IF(MF_Pro=2,庫存Pro[[#This Row],[部位現值(不含前手息)]]-庫存Pro[[#This Row],[持有成本(不含前手息)]],庫存Pro[[#This Row],[部位現值(含前手息)]]-庫存Pro[[#This Row],[持有成本(含前手息)]])</f>
        <v>#N/A</v>
      </c>
      <c r="AB35" s="462">
        <f ca="1">IF(MF_Pro=2,IFERROR(庫存Pro[[#This Row],[資本利損]]/庫存Pro[[#This Row],[持有成本(不含前手息)]],0),IFERROR(庫存Pro[[#This Row],[資本利損]]/庫存Pro[[#This Row],[持有成本(含前手息)]],0))</f>
        <v>0</v>
      </c>
      <c r="AC35" s="618" t="e">
        <f ca="1">庫存Pro[[#This Row],[持有成本(不含前手息)]]/庫存Pro[[#This Row],[投入面額]]*100</f>
        <v>#DIV/0!</v>
      </c>
      <c r="AD35" s="462" t="e">
        <f ca="1">VLOOKUP(庫存Pro[[#This Row],[商品代號]],bond!B:AA,26,FALSE)</f>
        <v>#N/A</v>
      </c>
      <c r="AE35" s="1" t="str">
        <f ca="1">IFERROR(VLOOKUP($H35,'銀行-TSS'!B:Q,16,FALSE),"")</f>
        <v/>
      </c>
      <c r="AF35" s="466" t="e">
        <f t="shared" ca="1" si="13"/>
        <v>#N/A</v>
      </c>
      <c r="AG35" s="458" t="e">
        <f ca="1">IF(OR(庫存Pro[[#This Row],[起息日]]&gt;庫存Pro[[#This Row],[買進前一配息日(複算)]],庫存Pro[[#This Row],[判斷]]=TRUE),庫存Pro[[#This Row],[起息日]],庫存Pro[[#This Row],[買進前一配息日(複算)]])</f>
        <v>#N/A</v>
      </c>
      <c r="AH35" s="577" t="e">
        <f ca="1">VLOOKUP(H35,bond!B:AP,41,FALSE)</f>
        <v>#N/A</v>
      </c>
      <c r="AI35" s="578" t="e">
        <f t="shared" ca="1" si="14"/>
        <v>#N/A</v>
      </c>
      <c r="AJ35" s="579">
        <f ca="1">IFERROR(IF(庫存Pro[[#This Row],[買進日是否落入record date]]=1,庫存Pro[[#This Row],[record date制度前手息]],庫存Pro[[#This Row],[前手息(初算)]]),0)</f>
        <v>0</v>
      </c>
      <c r="AK35" s="579" t="e">
        <f ca="1">IF(OR(庫存Pro[[#This Row],[買進例外調整]]&lt;庫存Pro[[#This Row],[起息日]],庫存Pro[[#This Row],[買進例外調整]]&gt;庫存Pro[[#This Row],[到期日]]),0,IF(庫存Pro[[#This Row],[備註]]&lt;&gt;"",庫存Pro[[#This Row],[買進時前手息]],IFERROR(ROUND(ACCRINT(AG35,AG35,U35,N35,100,P35,AI35,TRUE),4),0)))</f>
        <v>#N/A</v>
      </c>
      <c r="AL35" s="580">
        <f t="shared" ca="1" si="10"/>
        <v>0</v>
      </c>
      <c r="AM35" s="440" t="e">
        <f ca="1">DATEVALUE(VLOOKUP(H35,bond!B:I,7,FALSE))</f>
        <v>#N/A</v>
      </c>
      <c r="AN35"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35" s="579">
        <f ca="1">IFERROR(IF(庫存Pro[[#This Row],[交割日是否落入record date]]=1,庫存Pro[[#This Row],[交_record date制度前手息]],庫存Pro[[#This Row],[計算交割前手息(初算)]]),0)</f>
        <v>0</v>
      </c>
      <c r="AP35"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35" s="579" t="e">
        <f ca="1">IF(庫存Pro[[#This Row],[配息頻率]]=0,0,(100*庫存Pro[[#This Row],[票面利率]]/庫存Pro[[#This Row],[配息頻率]])*庫存Pro[[#This Row],[經過幾次配息]]+庫存Pro[[#This Row],[計算交割前手息(複算)]]-庫存Pro[[#This Row],[計算前手息(複算)]])</f>
        <v>#N/A</v>
      </c>
      <c r="AR35" s="581" t="e">
        <f ca="1">IF(庫存Pro[[#This Row],[商品代號]]="XFM90",0,ROUND(AQ35*V35/100,2))</f>
        <v>#N/A</v>
      </c>
      <c r="AS35" s="582">
        <f ca="1">IF(MF_Pro=2,IFERROR(庫存Pro[[#This Row],[累計配息]]/庫存Pro[[#This Row],[持有成本(不含前手息)]],0),IFERROR(庫存Pro[[#This Row],[已實現配息(原幣)]]/庫存Pro[[#This Row],[持有成本(含前手息)]],0))</f>
        <v>0</v>
      </c>
      <c r="AT35" s="583" t="e">
        <f ca="1">IF(MF_Pro=2,庫存Pro[[#This Row],[資本利損]]+庫存Pro[[#This Row],[累計配息]],庫存Pro[[#This Row],[資本利損]]+庫存Pro[[#This Row],[已實現配息(原幣)]])</f>
        <v>#N/A</v>
      </c>
      <c r="AU35" s="584">
        <f ca="1">IF(MF_Pro=2,IFERROR(庫存Pro[[#This Row],[合計收益]]/庫存Pro[[#This Row],[持有成本(不含前手息)]],0),IFERROR(庫存Pro[[#This Row],[合計收益]]/庫存Pro[[#This Row],[持有成本(含前手息)]],0))</f>
        <v>0</v>
      </c>
      <c r="AV35" s="434" t="e">
        <f t="shared" ca="1" si="0"/>
        <v>#VALUE!</v>
      </c>
      <c r="AW35" s="434" t="e">
        <f t="shared" ca="1" si="1"/>
        <v>#VALUE!</v>
      </c>
      <c r="AX35" s="434">
        <f t="shared" ca="1" si="2"/>
        <v>0</v>
      </c>
      <c r="AY35" s="434">
        <f t="shared" ca="1" si="3"/>
        <v>0</v>
      </c>
      <c r="AZ35" s="441" t="e">
        <f ca="1">IF(AND(庫存Pro[[#This Row],[名稱]]="美國國庫債券",DAY(庫存Pro[[#This Row],[買進前一配息日(初算)]])&gt;=28),EOMONTH(庫存Pro[[#This Row],[買進前一配息日(初算)]],0),庫存Pro[[#This Row],[買進前一配息日(初算)]])</f>
        <v>#N/A</v>
      </c>
      <c r="BA35" s="441" t="e">
        <f t="shared" ca="1" si="4"/>
        <v>#VALUE!</v>
      </c>
      <c r="BB35" s="444" t="e">
        <f t="shared" ca="1" si="5"/>
        <v>#VALUE!</v>
      </c>
      <c r="BC35" s="441" t="e">
        <f ca="1">IF(P35&gt;0,IF(MONTH(DATE(BB35,AV35,DAY(Q35)))&lt;&gt;庫存Pro[[#This Row],[第一個配息月]],DATE(BB35,AV35+1,0),DATE(BB35,AV35,DAY(Q35))),庫存Pro[[#This Row],[買進例外調整]]+100)</f>
        <v>#VALUE!</v>
      </c>
      <c r="BD35" s="441" t="e">
        <f ca="1">IF(AW35&lt;&gt;0,IF(MONTH(DATE(BB35,AW35,DAY(Q35)))&lt;&gt;庫存Pro[[#This Row],[第二個配息月]],DATE(BB35,AW35+1,0),DATE(BB35,AW35,DAY(Q35))),庫存Pro[[#This Row],[買進例外調整]]+100)</f>
        <v>#VALUE!</v>
      </c>
      <c r="BE35" s="441" t="e">
        <f ca="1">IF(AX35&lt;&gt;0,IF(MONTH(DATE(BB35,AX35,DAY(Q35)))&lt;&gt;庫存Pro[[#This Row],[第三個配息月]],DATE(BB35,AX35+1,0),DATE(BB35,AX35,DAY(Q35))),庫存Pro[[#This Row],[買進例外調整]]+100)</f>
        <v>#VALUE!</v>
      </c>
      <c r="BF35" s="441" t="e">
        <f ca="1">IF(AY35&lt;&gt;0,IF(MONTH(DATE(BB35,AY35,DAY(Q35)))&lt;&gt;庫存Pro[[#This Row],[第四個配息月]],DATE(BB35,AY35+1,0),DATE(BB35,AY35,DAY(Q35))),庫存Pro[[#This Row],[買進例外調整]]+100)</f>
        <v>#VALUE!</v>
      </c>
      <c r="BG35" s="441" t="e">
        <f ca="1">IF(P35=1,IF(MONTH(DATE(BB35-1,AV35,DAY(Q35)))&lt;&gt;庫存Pro[[#This Row],[第一個配息月]],DATE(BB35-1,AV35+1,0),DATE(BB35-1,AV35,DAY(Q35))),IF(P35=2,IF(MONTH(DATE(BB35-1,AW35,DAY(Q35)))&lt;&gt;庫存Pro[[#This Row],[第二個配息月]],DATE(BB35-1,AW35+1,0),DATE(BB35-1,AW35,DAY(Q35))),IF(P35=4,IF(MONTH(DATE(BB35-1,AY35,DAY(Q35)))&lt;&gt;庫存Pro[[#This Row],[第四個配息月]],DATE(BB35-1,AY35+1,0),DATE(BB35-1,AY35,DAY(Q35))),庫存Pro[[#This Row],[買進例外調整]]+100)))</f>
        <v>#VALUE!</v>
      </c>
      <c r="BH35" s="445">
        <f t="shared" ca="1" si="15"/>
        <v>10000</v>
      </c>
      <c r="BI35" s="445">
        <f t="shared" ca="1" si="16"/>
        <v>10000</v>
      </c>
      <c r="BJ35" s="445">
        <f t="shared" ca="1" si="17"/>
        <v>10000</v>
      </c>
      <c r="BK35" s="445">
        <f t="shared" ca="1" si="18"/>
        <v>10000</v>
      </c>
      <c r="BL35" s="455">
        <f t="shared" ca="1" si="19"/>
        <v>10000</v>
      </c>
      <c r="BM35" s="479" t="e">
        <f ca="1">庫存Pro[[#This Row],[年度配息]]/庫存Pro[[#This Row],[配息頻率]]</f>
        <v>#N/A</v>
      </c>
      <c r="BN35" s="479" t="e">
        <f ca="1">庫存Pro[[#This Row],[單次配息(原幣)]]*庫存Pro[[#This Row],[換算匯率(現)]]</f>
        <v>#N/A</v>
      </c>
      <c r="BO35" s="479" t="str">
        <f ca="1">IFERROR(VLOOKUP($H35,'銀行-TSS'!B:C,2,FALSE),"")</f>
        <v/>
      </c>
      <c r="BP35" s="479" t="e">
        <f ca="1">VLOOKUP(庫存Pro[[#This Row],[幣別]],$B$37:$C$43,2,FALSE)</f>
        <v>#N/A</v>
      </c>
      <c r="BQ35" s="500" t="e">
        <f ca="1">CHOOSE(庫存Pro[[#This Row],[對應編碼]],$D$37,$D$38,$D$39,$D$40,$D$41,$D$42,$D$43)</f>
        <v>#N/A</v>
      </c>
      <c r="BR35" s="500" t="e">
        <f ca="1">CHOOSE(庫存Pro[[#This Row],[對應編碼]],$E$37,$E$38,$E$39,$E$40,$E$41,$E$42,$E$43)</f>
        <v>#N/A</v>
      </c>
      <c r="BS35" s="595" t="e">
        <f ca="1">庫存Pro[[#This Row],[投入面額]]*庫存Pro[[#This Row],[換算匯率(現)]]</f>
        <v>#N/A</v>
      </c>
      <c r="BT35" s="595" t="e">
        <f ca="1">庫存Pro[[#This Row],[持有成本(含前手息)]]*庫存Pro[[#This Row],[換算匯率(買)]]</f>
        <v>#N/A</v>
      </c>
      <c r="BU35" s="498" t="e">
        <f ca="1">庫存Pro[[#This Row],[持有成本(不含前手息)]]*庫存Pro[[#This Row],[換算匯率(買)]]</f>
        <v>#N/A</v>
      </c>
      <c r="BV35" s="498" t="e">
        <f ca="1">庫存Pro[[#This Row],[部位現值(含前手息)]]*庫存Pro[[#This Row],[換算匯率(現)]]</f>
        <v>#N/A</v>
      </c>
      <c r="BW35" s="498" t="e">
        <f ca="1">庫存Pro[[#This Row],[部位現值(不含前手息)]]*庫存Pro[[#This Row],[換算匯率(現)]]</f>
        <v>#N/A</v>
      </c>
      <c r="BX35" s="498" t="e">
        <f ca="1">IF(MF_Pro=2,庫存Pro[[#This Row],[累計配息]]*庫存Pro[[#This Row],[換算匯率(現)]],庫存Pro[[#This Row],[已實現配息(原幣)]]*庫存Pro[[#This Row],[換算匯率(現)]])</f>
        <v>#N/A</v>
      </c>
      <c r="BY35" s="498" t="e">
        <f ca="1">庫存Pro[[#This Row],[資本利損]]*庫存Pro[[#This Row],[換算匯率(現)]]</f>
        <v>#N/A</v>
      </c>
      <c r="BZ35" s="498" t="e">
        <f ca="1">庫存Pro[[#This Row],[累計利息(台)]]+庫存Pro[[#This Row],[資本貢獻(台)]]</f>
        <v>#N/A</v>
      </c>
      <c r="CA35" s="574">
        <f ca="1">IFERROR(庫存Pro[[#This Row],[配息報酬]],0)</f>
        <v>0</v>
      </c>
      <c r="CB35" s="574">
        <f ca="1">庫存Pro[[#This Row],[資本報酬]]</f>
        <v>0</v>
      </c>
      <c r="CC35" s="574">
        <f ca="1">IFERROR(庫存Pro[[#This Row],[換匯總報酬率]]-(庫存Pro[[#This Row],[配息報酬率]]+庫存Pro[[#This Row],[資本報酬率]]),0)</f>
        <v>0</v>
      </c>
      <c r="CD35" s="574">
        <f ca="1">IF(MF_Pro=2,IFERROR((庫存Pro[[#This Row],[參考贖回金額(現)]]+庫存Pro[[#This Row],[累計利息(台)]])/庫存Pro[[#This Row],[淨投入成本(買)]]-1,0),IFERROR(((庫存Pro[[#This Row],[參考贖回金額含前手息(現)]]+庫存Pro[[#This Row],[累計利息(台)]])/庫存Pro[[#This Row],[庫存成本(買)]])-1,0))</f>
        <v>0</v>
      </c>
      <c r="CE35" s="585">
        <f t="shared" ca="1" si="7"/>
        <v>0</v>
      </c>
      <c r="CF35" s="574">
        <f t="shared" ca="1" si="8"/>
        <v>0</v>
      </c>
      <c r="CG35"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35" s="646" t="e">
        <f ca="1">DATEDIF(庫存Pro[[#This Row],[買進例外調整]],庫存Pro[[#This Row],[到期日]],"d")/365.25</f>
        <v>#VALUE!</v>
      </c>
      <c r="CI35" s="739" t="e">
        <f ca="1">DATEVALUE(VLOOKUP(庫存Pro[[#This Row],[商品代號]],bond!B:AF,31,FALSE))</f>
        <v>#N/A</v>
      </c>
      <c r="CJ35" s="739" t="e">
        <f ca="1">IF(庫存Pro[[#This Row],[買下配(國調)]]&lt;庫存Pro[[#This Row],[第一票息日]],庫存Pro[[#This Row],[第一票息日]],庫存Pro[[#This Row],[買下配(國調)]])</f>
        <v>#N/A</v>
      </c>
      <c r="CK35"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35"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35" s="646">
        <f ca="1">IF(庫存Pro[[#This Row],[商品代號]]="XFM90",0,IFERROR(庫存Pro[[#This Row],[單次配息(原幣)]]*庫存Pro[[#This Row],[經過幾次配息]],0))</f>
        <v>0</v>
      </c>
      <c r="CN35" s="646" t="e">
        <f ca="1">VLOOKUP(庫存Pro[[#This Row],[商品代號]],bond!B:F,5,FALSE)</f>
        <v>#N/A</v>
      </c>
      <c r="CO35" s="739" t="str">
        <f ca="1">IFERROR(VLOOKUP(庫存Pro[[#This Row],[ISIN]],'7_發行日例外'!A:C,3,FALSE),IFERROR(DATEVALUE(VLOOKUP(庫存Pro[[#This Row],[商品代號]],bond!B:AR,43,FALSE)),""))</f>
        <v/>
      </c>
      <c r="CP35" s="646" t="e">
        <f ca="1">DATEDIF(庫存Pro[[#This Row],[起息日]],庫存Pro[[#This Row],[買進前一配息日(複算)]],"d")</f>
        <v>#VALUE!</v>
      </c>
      <c r="CQ35"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35" s="739" t="e">
        <f ca="1">IFERROR(VLOOKUP(庫存Pro[[#This Row],[ISIN]],'7_發行日例外'!A:D,4,FALSE),DATEVALUE(VLOOKUP(庫存Pro[[#This Row],[商品代號]],bond!B:AV,44,FALSE)))</f>
        <v>#N/A</v>
      </c>
      <c r="CS35" s="646" t="e">
        <f ca="1">VLOOKUP(庫存Pro[[#This Row],[商品代號]],bond!B:AU,46,FALSE)</f>
        <v>#N/A</v>
      </c>
      <c r="CT35" s="646" t="e">
        <f ca="1">IF(庫存Pro[[#This Row],[計息基礎]]=1,CHOOSE(庫存Pro[[#This Row],[對應編碼]],"沒進位","","沒進位",IF(庫存Pro[[#This Row],[計算類型]]="AUSTRALIA:EX-DIV","4捨五入進0.01%","沒進位"),"年/2去計算ACT","沒進位","沒進位"),"")</f>
        <v>#N/A</v>
      </c>
      <c r="CU35" s="646" t="e">
        <f ca="1">_xlfn.DAYS(庫存Pro[[#This Row],[買進例外調整]],庫存Pro[[#This Row],[買進前一個配息日(最終)]])</f>
        <v>#N/A</v>
      </c>
      <c r="CV35" s="646" t="e">
        <f ca="1">IF(庫存Pro[[#This Row],[備註]]="年/2去計算ACT",365/2,_xlfn.DAYS(庫存Pro[[#This Row],[買進時的下個配息日]],庫存Pro[[#This Row],[買進前一個配息日(最終)]]))</f>
        <v>#N/A</v>
      </c>
      <c r="CW35"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35" s="768" t="e">
        <f ca="1">_xlfn.DAYS(庫存Pro[[#This Row],[交割日]],庫存Pro[[#This Row],[買進前一個配息日(最終)]])</f>
        <v>#N/A</v>
      </c>
      <c r="CY35"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35" s="768" t="e">
        <f ca="1">_xlfn.DAYS(庫存Pro[[#This Row],[交割日]],庫存Pro[[#This Row],[最近的上一票息日]])</f>
        <v>#N/A</v>
      </c>
      <c r="DA35" s="768" t="e">
        <f ca="1">IF(庫存Pro[[#This Row],[備註]]="年/2去計算ACT",365/2,_xlfn.DAYS(庫存Pro[[#This Row],[下一配息日]],庫存Pro[[#This Row],[最近的上一票息日]]))</f>
        <v>#N/A</v>
      </c>
      <c r="DB35"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35" s="739" t="e">
        <f ca="1">CJ35-庫存Pro[[#This Row],[ex_div_days]]</f>
        <v>#N/A</v>
      </c>
      <c r="DD35" s="646" t="e">
        <f ca="1">IF(VLOOKUP(庫存Pro[[#This Row],[商品代號]],bond!B:AT,45,FALSE)="#N/A Field Not Applicable",0,VLOOKUP(庫存Pro[[#This Row],[商品代號]],bond!B:AT,45,FALSE))</f>
        <v>#N/A</v>
      </c>
      <c r="DE35" s="793" t="e">
        <f ca="1">IF(庫存Pro[[#This Row],[ex_div_days]]&lt;&gt;0,IF(AND(庫存Pro[[#This Row],[買進例外調整]]-庫存Pro[[#This Row],[買進下一個配息日先減n天]]&gt;=0,庫存Pro[[#This Row],[買進時的下個配息日]]-庫存Pro[[#This Row],[買進例外調整]]&gt;0),1,0),0)</f>
        <v>#N/A</v>
      </c>
      <c r="DF35" s="784" t="e">
        <f ca="1">IF(庫存Pro[[#This Row],[對應編碼]]=4,ROUND(庫存Pro[[#This Row],[前手息(初算)]]-庫存Pro[[#This Row],[票面利率]]/庫存Pro[[#This Row],[配息頻率]]*100,3),ROUND(庫存Pro[[#This Row],[前手息(初算)]]-庫存Pro[[#This Row],[票面利率]]/庫存Pro[[#This Row],[配息頻率]]*100,4))</f>
        <v>#N/A</v>
      </c>
      <c r="DG35" s="734" t="e">
        <f ca="1">庫存Pro[[#This Row],[下一配息日]]-庫存Pro[[#This Row],[ex_div_days]]</f>
        <v>#VALUE!</v>
      </c>
      <c r="DH35" s="1084" t="e">
        <f ca="1">IF(庫存Pro[[#This Row],[ex_div_days]]&lt;&gt;0,IF(AND(庫存Pro[[#This Row],[交割日]]-庫存Pro[[#This Row],[交割下個配息日先減n天]]&gt;=0,庫存Pro[[#This Row],[下一配息日]]-庫存Pro[[#This Row],[交割日]]&gt;0),1,0),0)</f>
        <v>#N/A</v>
      </c>
      <c r="DI35"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36" spans="1:113" ht="19.5" customHeight="1">
      <c r="A36" s="459" t="s">
        <v>2117</v>
      </c>
      <c r="B36" s="496" t="s">
        <v>2188</v>
      </c>
      <c r="C36" s="12" t="s">
        <v>2015</v>
      </c>
      <c r="D36" s="496" t="s">
        <v>2108</v>
      </c>
      <c r="E36" s="12" t="s">
        <v>2109</v>
      </c>
      <c r="H36" s="428">
        <f ca="1">IF(開關=TRUE,'庫存管理(Pro)'!B36,0)</f>
        <v>0</v>
      </c>
      <c r="I36" s="429" t="e">
        <f ca="1">VLOOKUP(H36,bond!B:I,8,FALSE)</f>
        <v>#N/A</v>
      </c>
      <c r="J36" s="429" t="e">
        <f ca="1">庫存Pro[[#This Row],[買價]]+VLOOKUP(庫存Pro[[#This Row],[商品代號]],bond!B:K,10,FALSE)</f>
        <v>#N/A</v>
      </c>
      <c r="K36" s="430" t="e">
        <f ca="1">VLOOKUP(H36,'銀行-TSS'!B:E,4,FALSE)</f>
        <v>#N/A</v>
      </c>
      <c r="L36" s="431" t="e">
        <f ca="1">VLOOKUP($H36,'銀行-TSS'!B:G,6,FALSE)</f>
        <v>#N/A</v>
      </c>
      <c r="M36" s="432" t="e">
        <f ca="1">IFERROR(DATEVALUE(VLOOKUP($H36,'銀行-TSS'!B:F,5,FALSE)),VLOOKUP($H36,'銀行-TSS'!B:F,5,FALSE))</f>
        <v>#N/A</v>
      </c>
      <c r="N36" s="433" t="e">
        <f ca="1">VLOOKUP($H36,'銀行-TSS'!B:H,7,FALSE)</f>
        <v>#N/A</v>
      </c>
      <c r="O36" s="433" t="e">
        <f ca="1">庫存Pro[[#This Row],[票面利率]]/庫存Pro[[#This Row],[成本價(不含前手息)]]*100</f>
        <v>#N/A</v>
      </c>
      <c r="P36" s="434" t="str">
        <f ca="1">IFERROR(VLOOKUP($H36,'銀行-TSS'!B:I,8,FALSE),"")</f>
        <v/>
      </c>
      <c r="Q36" s="440" t="str">
        <f ca="1">_xlfn.IFNA(IFERROR(DATEVALUE(VLOOKUP($H36,'銀行-TSS'!B:P,15,FALSE)),VLOOKUP($H36,'銀行-TSS'!B:P,15,FALSE)),"")</f>
        <v/>
      </c>
      <c r="R36" s="570" t="b">
        <f>IF(AND('2_Check_code'!C57,庫存Pro[[#This Row],[投入面額]]&gt;0),TRUE,FALSE)</f>
        <v>0</v>
      </c>
      <c r="S36" s="602">
        <f>'庫存管理(Pro)'!AE36</f>
        <v>0</v>
      </c>
      <c r="T36" s="602" t="str">
        <f ca="1">IF(AND(庫存Pro[[#This Row],[配息頻率]]&lt;&gt;0,庫存Pro[[#This Row],[買進日]]&lt;庫存Pro[[#This Row],[起息日]]),庫存Pro[[#This Row],[起息日]],CHOOSE(庫存Pro[[#This Row],[對應編碼]],IF(庫存Pro[[#This Row],[名稱]]="美國國庫債券",WORKDAY(庫存Pro[[#This Row],[買進日]],1,休USD),IF(AND(庫存Pro[[#This Row],[買進日]]&gt;=DATE(2024,5,28),LEFT(庫存Pro[[#This Row],[ISIN]],2)="US"),WORKDAY(庫存Pro[[#This Row],[買進日]],1,休USD),WORKDAY(庫存Pro[[#This Row],[買進日]],2,休USD))),WORKDAY(庫存Pro[[#This Row],[買進日]],2,休CNY),WORKDAY(庫存Pro[[#This Row],[買進日]],2,休ZAR),WORKDAY(庫存Pro[[#This Row],[買進日]],2,休AUD),WORKDAY(庫存Pro[[#This Row],[買進日]],2,休CAD),WORKDAY(庫存Pro[[#This Row],[買進日]],2,休NZD),WORKDAY(庫存Pro[[#This Row],[買進日]],2,休EUR)))</f>
        <v/>
      </c>
      <c r="U36" s="442" t="str">
        <f ca="1">IFERROR(WORKDAY(庫存Pro[[#This Row],[買進日]],VLOOKUP(庫存Pro[[#This Row],[商品代號]],'1_重設數據'!R:S,2,FALSE),休USD),庫存Pro[[#This Row],[買進日(T+2/公債T+1)]])</f>
        <v/>
      </c>
      <c r="V36" s="43">
        <f>'庫存管理(Pro)'!J36</f>
        <v>0</v>
      </c>
      <c r="W36" s="43">
        <f>'庫存管理(Pro)'!K36</f>
        <v>0</v>
      </c>
      <c r="X36" s="464">
        <f t="shared" ca="1" si="9"/>
        <v>0</v>
      </c>
      <c r="Y36" s="464" t="e">
        <f t="shared" ca="1" si="11"/>
        <v>#N/A</v>
      </c>
      <c r="Z36" s="465" t="e">
        <f t="shared" ca="1" si="12"/>
        <v>#N/A</v>
      </c>
      <c r="AA36" s="474" t="e">
        <f ca="1">IF(MF_Pro=2,庫存Pro[[#This Row],[部位現值(不含前手息)]]-庫存Pro[[#This Row],[持有成本(不含前手息)]],庫存Pro[[#This Row],[部位現值(含前手息)]]-庫存Pro[[#This Row],[持有成本(含前手息)]])</f>
        <v>#N/A</v>
      </c>
      <c r="AB36" s="462">
        <f ca="1">IF(MF_Pro=2,IFERROR(庫存Pro[[#This Row],[資本利損]]/庫存Pro[[#This Row],[持有成本(不含前手息)]],0),IFERROR(庫存Pro[[#This Row],[資本利損]]/庫存Pro[[#This Row],[持有成本(含前手息)]],0))</f>
        <v>0</v>
      </c>
      <c r="AC36" s="618" t="e">
        <f ca="1">庫存Pro[[#This Row],[持有成本(不含前手息)]]/庫存Pro[[#This Row],[投入面額]]*100</f>
        <v>#DIV/0!</v>
      </c>
      <c r="AD36" s="462" t="e">
        <f ca="1">VLOOKUP(庫存Pro[[#This Row],[商品代號]],bond!B:AA,26,FALSE)</f>
        <v>#N/A</v>
      </c>
      <c r="AE36" s="1" t="str">
        <f ca="1">IFERROR(VLOOKUP($H36,'銀行-TSS'!B:Q,16,FALSE),"")</f>
        <v/>
      </c>
      <c r="AF36" s="466" t="e">
        <f t="shared" ca="1" si="13"/>
        <v>#N/A</v>
      </c>
      <c r="AG36" s="458" t="e">
        <f ca="1">IF(OR(庫存Pro[[#This Row],[起息日]]&gt;庫存Pro[[#This Row],[買進前一配息日(複算)]],庫存Pro[[#This Row],[判斷]]=TRUE),庫存Pro[[#This Row],[起息日]],庫存Pro[[#This Row],[買進前一配息日(複算)]])</f>
        <v>#N/A</v>
      </c>
      <c r="AH36" s="577" t="e">
        <f ca="1">VLOOKUP(H36,bond!B:AP,41,FALSE)</f>
        <v>#N/A</v>
      </c>
      <c r="AI36" s="578" t="e">
        <f t="shared" ca="1" si="14"/>
        <v>#N/A</v>
      </c>
      <c r="AJ36" s="579">
        <f ca="1">IFERROR(IF(庫存Pro[[#This Row],[買進日是否落入record date]]=1,庫存Pro[[#This Row],[record date制度前手息]],庫存Pro[[#This Row],[前手息(初算)]]),0)</f>
        <v>0</v>
      </c>
      <c r="AK36" s="579" t="e">
        <f ca="1">IF(OR(庫存Pro[[#This Row],[買進例外調整]]&lt;庫存Pro[[#This Row],[起息日]],庫存Pro[[#This Row],[買進例外調整]]&gt;庫存Pro[[#This Row],[到期日]]),0,IF(庫存Pro[[#This Row],[備註]]&lt;&gt;"",庫存Pro[[#This Row],[買進時前手息]],IFERROR(ROUND(ACCRINT(AG36,AG36,U36,N36,100,P36,AI36,TRUE),4),0)))</f>
        <v>#N/A</v>
      </c>
      <c r="AL36" s="580">
        <f t="shared" ca="1" si="10"/>
        <v>0</v>
      </c>
      <c r="AM36" s="440" t="e">
        <f ca="1">DATEVALUE(VLOOKUP(H36,bond!B:I,7,FALSE))</f>
        <v>#N/A</v>
      </c>
      <c r="AN36" s="579" t="e">
        <f ca="1">MAX(IF(庫存Pro[[#This Row],[備註]]&lt;&gt;"",IFERROR(庫存Pro[[#This Row],[評價時前手息]],0),IFERROR(ROUND(ACCRINT(庫存Pro[[#This Row],[買進前一個配息日(最終)]],庫存Pro[[#This Row],[買進前一個配息日(最終)]],庫存Pro[[#This Row],[交割日]],庫存Pro[[#This Row],[票面利率]],100,庫存Pro[[#This Row],[配息頻率]],庫存Pro[[#This Row],[計息基礎]],TRUE),4),0))-庫存Pro[[#This Row],[計算前手息(複算)]],0)</f>
        <v>#N/A</v>
      </c>
      <c r="AO36" s="579">
        <f ca="1">IFERROR(IF(庫存Pro[[#This Row],[交割日是否落入record date]]=1,庫存Pro[[#This Row],[交_record date制度前手息]],庫存Pro[[#This Row],[計算交割前手息(初算)]]),0)</f>
        <v>0</v>
      </c>
      <c r="AP36" s="579" t="e">
        <f ca="1">IF(OR(庫存Pro[[#This Row],[交割日]]&lt;庫存Pro[[#This Row],[起息日]],庫存Pro[[#This Row],[交割日]]&gt;庫存Pro[[#This Row],[到期日]]),0,IF(庫存Pro[[#This Row],[備註]]&lt;&gt;"",庫存Pro[[#This Row],[至交割日前手息]],IFERROR(ROUND(ACCRINT(庫存Pro[[#This Row],[最近的上一票息日]],庫存Pro[[#This Row],[最近的上一票息日]],庫存Pro[[#This Row],[交割日]],庫存Pro[[#This Row],[票面利率]],100,庫存Pro[[#This Row],[配息頻率]],庫存Pro[[#This Row],[計息基礎]],TRUE),4),0)))</f>
        <v>#N/A</v>
      </c>
      <c r="AQ36" s="579" t="e">
        <f ca="1">IF(庫存Pro[[#This Row],[配息頻率]]=0,0,(100*庫存Pro[[#This Row],[票面利率]]/庫存Pro[[#This Row],[配息頻率]])*庫存Pro[[#This Row],[經過幾次配息]]+庫存Pro[[#This Row],[計算交割前手息(複算)]]-庫存Pro[[#This Row],[計算前手息(複算)]])</f>
        <v>#N/A</v>
      </c>
      <c r="AR36" s="581" t="e">
        <f ca="1">IF(庫存Pro[[#This Row],[商品代號]]="XFM90",0,ROUND(AQ36*V36/100,2))</f>
        <v>#N/A</v>
      </c>
      <c r="AS36" s="582">
        <f ca="1">IF(MF_Pro=2,IFERROR(庫存Pro[[#This Row],[累計配息]]/庫存Pro[[#This Row],[持有成本(不含前手息)]],0),IFERROR(庫存Pro[[#This Row],[已實現配息(原幣)]]/庫存Pro[[#This Row],[持有成本(含前手息)]],0))</f>
        <v>0</v>
      </c>
      <c r="AT36" s="583" t="e">
        <f ca="1">IF(MF_Pro=2,庫存Pro[[#This Row],[資本利損]]+庫存Pro[[#This Row],[累計配息]],庫存Pro[[#This Row],[資本利損]]+庫存Pro[[#This Row],[已實現配息(原幣)]])</f>
        <v>#N/A</v>
      </c>
      <c r="AU36" s="584">
        <f ca="1">IF(MF_Pro=2,IFERROR(庫存Pro[[#This Row],[合計收益]]/庫存Pro[[#This Row],[持有成本(不含前手息)]],0),IFERROR(庫存Pro[[#This Row],[合計收益]]/庫存Pro[[#This Row],[持有成本(含前手息)]],0))</f>
        <v>0</v>
      </c>
      <c r="AV36" s="434" t="e">
        <f t="shared" ca="1" si="0"/>
        <v>#VALUE!</v>
      </c>
      <c r="AW36" s="434" t="e">
        <f t="shared" ca="1" si="1"/>
        <v>#VALUE!</v>
      </c>
      <c r="AX36" s="434">
        <f t="shared" ca="1" si="2"/>
        <v>0</v>
      </c>
      <c r="AY36" s="434">
        <f t="shared" ca="1" si="3"/>
        <v>0</v>
      </c>
      <c r="AZ36" s="441" t="e">
        <f ca="1">IF(AND(庫存Pro[[#This Row],[名稱]]="美國國庫債券",DAY(庫存Pro[[#This Row],[買進前一配息日(初算)]])&gt;=28),EOMONTH(庫存Pro[[#This Row],[買進前一配息日(初算)]],0),庫存Pro[[#This Row],[買進前一配息日(初算)]])</f>
        <v>#N/A</v>
      </c>
      <c r="BA36" s="441" t="e">
        <f t="shared" ca="1" si="4"/>
        <v>#VALUE!</v>
      </c>
      <c r="BB36" s="444" t="e">
        <f t="shared" ca="1" si="5"/>
        <v>#VALUE!</v>
      </c>
      <c r="BC36" s="441" t="e">
        <f ca="1">IF(P36&gt;0,IF(MONTH(DATE(BB36,AV36,DAY(Q36)))&lt;&gt;庫存Pro[[#This Row],[第一個配息月]],DATE(BB36,AV36+1,0),DATE(BB36,AV36,DAY(Q36))),庫存Pro[[#This Row],[買進例外調整]]+100)</f>
        <v>#VALUE!</v>
      </c>
      <c r="BD36" s="441" t="e">
        <f ca="1">IF(AW36&lt;&gt;0,IF(MONTH(DATE(BB36,AW36,DAY(Q36)))&lt;&gt;庫存Pro[[#This Row],[第二個配息月]],DATE(BB36,AW36+1,0),DATE(BB36,AW36,DAY(Q36))),庫存Pro[[#This Row],[買進例外調整]]+100)</f>
        <v>#VALUE!</v>
      </c>
      <c r="BE36" s="441" t="e">
        <f ca="1">IF(AX36&lt;&gt;0,IF(MONTH(DATE(BB36,AX36,DAY(Q36)))&lt;&gt;庫存Pro[[#This Row],[第三個配息月]],DATE(BB36,AX36+1,0),DATE(BB36,AX36,DAY(Q36))),庫存Pro[[#This Row],[買進例外調整]]+100)</f>
        <v>#VALUE!</v>
      </c>
      <c r="BF36" s="441" t="e">
        <f ca="1">IF(AY36&lt;&gt;0,IF(MONTH(DATE(BB36,AY36,DAY(Q36)))&lt;&gt;庫存Pro[[#This Row],[第四個配息月]],DATE(BB36,AY36+1,0),DATE(BB36,AY36,DAY(Q36))),庫存Pro[[#This Row],[買進例外調整]]+100)</f>
        <v>#VALUE!</v>
      </c>
      <c r="BG36" s="441" t="e">
        <f ca="1">IF(P36=1,IF(MONTH(DATE(BB36-1,AV36,DAY(Q36)))&lt;&gt;庫存Pro[[#This Row],[第一個配息月]],DATE(BB36-1,AV36+1,0),DATE(BB36-1,AV36,DAY(Q36))),IF(P36=2,IF(MONTH(DATE(BB36-1,AW36,DAY(Q36)))&lt;&gt;庫存Pro[[#This Row],[第二個配息月]],DATE(BB36-1,AW36+1,0),DATE(BB36-1,AW36,DAY(Q36))),IF(P36=4,IF(MONTH(DATE(BB36-1,AY36,DAY(Q36)))&lt;&gt;庫存Pro[[#This Row],[第四個配息月]],DATE(BB36-1,AY36+1,0),DATE(BB36-1,AY36,DAY(Q36))),庫存Pro[[#This Row],[買進例外調整]]+100)))</f>
        <v>#VALUE!</v>
      </c>
      <c r="BH36" s="445">
        <f t="shared" ca="1" si="15"/>
        <v>10000</v>
      </c>
      <c r="BI36" s="445">
        <f t="shared" ca="1" si="16"/>
        <v>10000</v>
      </c>
      <c r="BJ36" s="445">
        <f t="shared" ca="1" si="17"/>
        <v>10000</v>
      </c>
      <c r="BK36" s="445">
        <f t="shared" ca="1" si="18"/>
        <v>10000</v>
      </c>
      <c r="BL36" s="455">
        <f t="shared" ca="1" si="19"/>
        <v>10000</v>
      </c>
      <c r="BM36" s="479" t="e">
        <f ca="1">庫存Pro[[#This Row],[年度配息]]/庫存Pro[[#This Row],[配息頻率]]</f>
        <v>#N/A</v>
      </c>
      <c r="BN36" s="479" t="e">
        <f ca="1">庫存Pro[[#This Row],[單次配息(原幣)]]*庫存Pro[[#This Row],[換算匯率(現)]]</f>
        <v>#N/A</v>
      </c>
      <c r="BO36" s="479" t="str">
        <f ca="1">IFERROR(VLOOKUP($H36,'銀行-TSS'!B:C,2,FALSE),"")</f>
        <v/>
      </c>
      <c r="BP36" s="479" t="e">
        <f ca="1">VLOOKUP(庫存Pro[[#This Row],[幣別]],$B$37:$C$43,2,FALSE)</f>
        <v>#N/A</v>
      </c>
      <c r="BQ36" s="500" t="e">
        <f ca="1">CHOOSE(庫存Pro[[#This Row],[對應編碼]],$D$37,$D$38,$D$39,$D$40,$D$41,$D$42,$D$43)</f>
        <v>#N/A</v>
      </c>
      <c r="BR36" s="500" t="e">
        <f ca="1">CHOOSE(庫存Pro[[#This Row],[對應編碼]],$E$37,$E$38,$E$39,$E$40,$E$41,$E$42,$E$43)</f>
        <v>#N/A</v>
      </c>
      <c r="BS36" s="595" t="e">
        <f ca="1">庫存Pro[[#This Row],[投入面額]]*庫存Pro[[#This Row],[換算匯率(現)]]</f>
        <v>#N/A</v>
      </c>
      <c r="BT36" s="595" t="e">
        <f ca="1">庫存Pro[[#This Row],[持有成本(含前手息)]]*庫存Pro[[#This Row],[換算匯率(買)]]</f>
        <v>#N/A</v>
      </c>
      <c r="BU36" s="498" t="e">
        <f ca="1">庫存Pro[[#This Row],[持有成本(不含前手息)]]*庫存Pro[[#This Row],[換算匯率(買)]]</f>
        <v>#N/A</v>
      </c>
      <c r="BV36" s="498" t="e">
        <f ca="1">庫存Pro[[#This Row],[部位現值(含前手息)]]*庫存Pro[[#This Row],[換算匯率(現)]]</f>
        <v>#N/A</v>
      </c>
      <c r="BW36" s="498" t="e">
        <f ca="1">庫存Pro[[#This Row],[部位現值(不含前手息)]]*庫存Pro[[#This Row],[換算匯率(現)]]</f>
        <v>#N/A</v>
      </c>
      <c r="BX36" s="498" t="e">
        <f ca="1">IF(MF_Pro=2,庫存Pro[[#This Row],[累計配息]]*庫存Pro[[#This Row],[換算匯率(現)]],庫存Pro[[#This Row],[已實現配息(原幣)]]*庫存Pro[[#This Row],[換算匯率(現)]])</f>
        <v>#N/A</v>
      </c>
      <c r="BY36" s="498" t="e">
        <f ca="1">庫存Pro[[#This Row],[資本利損]]*庫存Pro[[#This Row],[換算匯率(現)]]</f>
        <v>#N/A</v>
      </c>
      <c r="BZ36" s="498" t="e">
        <f ca="1">庫存Pro[[#This Row],[累計利息(台)]]+庫存Pro[[#This Row],[資本貢獻(台)]]</f>
        <v>#N/A</v>
      </c>
      <c r="CA36" s="574">
        <f ca="1">IFERROR(庫存Pro[[#This Row],[配息報酬]],0)</f>
        <v>0</v>
      </c>
      <c r="CB36" s="574">
        <f ca="1">庫存Pro[[#This Row],[資本報酬]]</f>
        <v>0</v>
      </c>
      <c r="CC36" s="574">
        <f ca="1">IFERROR(庫存Pro[[#This Row],[換匯總報酬率]]-(庫存Pro[[#This Row],[配息報酬率]]+庫存Pro[[#This Row],[資本報酬率]]),0)</f>
        <v>0</v>
      </c>
      <c r="CD36" s="574">
        <f ca="1">IF(MF_Pro=2,IFERROR((庫存Pro[[#This Row],[參考贖回金額(現)]]+庫存Pro[[#This Row],[累計利息(台)]])/庫存Pro[[#This Row],[淨投入成本(買)]]-1,0),IFERROR(((庫存Pro[[#This Row],[參考贖回金額含前手息(現)]]+庫存Pro[[#This Row],[累計利息(台)]])/庫存Pro[[#This Row],[庫存成本(買)]])-1,0))</f>
        <v>0</v>
      </c>
      <c r="CE36" s="585">
        <f t="shared" ca="1" si="7"/>
        <v>0</v>
      </c>
      <c r="CF36" s="574">
        <f t="shared" ca="1" si="8"/>
        <v>0</v>
      </c>
      <c r="CG36" s="619" t="e">
        <f ca="1">IF(庫存Pro[[#This Row],[票面利率]]=0,(100/庫存Pro[[#This Row],[成本價(不含前手息)]])^(1/庫存Pro[[#This Row],[投入時的剩餘年期]])-1,YIELD(庫存Pro[[#This Row],[買進例外調整]],庫存Pro[[#This Row],[到期日]],庫存Pro[[#This Row],[票面利率]],庫存Pro[[#This Row],[成本價(不含前手息)]],100,庫存Pro[[#This Row],[配息頻率]],庫存Pro[[#This Row],[計息基礎]]))</f>
        <v>#N/A</v>
      </c>
      <c r="CH36" s="646" t="e">
        <f ca="1">DATEDIF(庫存Pro[[#This Row],[買進例外調整]],庫存Pro[[#This Row],[到期日]],"d")/365.25</f>
        <v>#VALUE!</v>
      </c>
      <c r="CI36" s="739" t="e">
        <f ca="1">DATEVALUE(VLOOKUP(庫存Pro[[#This Row],[商品代號]],bond!B:AF,31,FALSE))</f>
        <v>#N/A</v>
      </c>
      <c r="CJ36" s="739" t="e">
        <f ca="1">IF(庫存Pro[[#This Row],[買下配(國調)]]&lt;庫存Pro[[#This Row],[第一票息日]],庫存Pro[[#This Row],[第一票息日]],庫存Pro[[#This Row],[買下配(國調)]])</f>
        <v>#N/A</v>
      </c>
      <c r="CK36" s="739" t="e">
        <f ca="1">IF(AND(庫存Pro[[#This Row],[名稱]]="美國國庫債券",DAY(庫存Pro[[#This Row],[買進前一配息日(複算)]])&gt;=28),EOMONTH(EDATE(庫存Pro[[#This Row],[買進前一配息日(複算)]],12/庫存Pro[[#This Row],[配息頻率]]),0),EDATE(庫存Pro[[#This Row],[買進前一配息日(複算)]],12/庫存Pro[[#This Row],[配息頻率]]))</f>
        <v>#N/A</v>
      </c>
      <c r="CL36" s="646" t="e">
        <f ca="1">IF(庫存Pro[[#This Row],[買進時的下個配息日]]&gt;庫存Pro[[#This Row],[最近的上一票息日]],0,IF(庫存Pro[[#This Row],[名稱]]="美國國庫債券",ROUND(DATEDIF(庫存Pro[[#This Row],[買進時的下個配息日]],庫存Pro[[#This Row],[最近的上一票息日]],"M")/(12/庫存Pro[[#This Row],[配息頻率]]),0)+1,DATEDIF(庫存Pro[[#This Row],[買進時的下個配息日]],庫存Pro[[#This Row],[最近的上一票息日]],"M")/(12/庫存Pro[[#This Row],[配息頻率]])+1))</f>
        <v>#N/A</v>
      </c>
      <c r="CM36" s="646">
        <f ca="1">IF(庫存Pro[[#This Row],[商品代號]]="XFM90",0,IFERROR(庫存Pro[[#This Row],[單次配息(原幣)]]*庫存Pro[[#This Row],[經過幾次配息]],0))</f>
        <v>0</v>
      </c>
      <c r="CN36" s="646" t="e">
        <f ca="1">VLOOKUP(庫存Pro[[#This Row],[商品代號]],bond!B:F,5,FALSE)</f>
        <v>#N/A</v>
      </c>
      <c r="CO36" s="739" t="str">
        <f ca="1">IFERROR(VLOOKUP(庫存Pro[[#This Row],[ISIN]],'7_發行日例外'!A:C,3,FALSE),IFERROR(DATEVALUE(VLOOKUP(庫存Pro[[#This Row],[商品代號]],bond!B:AR,43,FALSE)),""))</f>
        <v/>
      </c>
      <c r="CP36" s="646" t="e">
        <f ca="1">DATEDIF(庫存Pro[[#This Row],[起息日]],庫存Pro[[#This Row],[買進前一配息日(複算)]],"d")</f>
        <v>#VALUE!</v>
      </c>
      <c r="CQ36" s="646" t="b">
        <f ca="1">IFERROR(IF(DATEDIF(庫存Pro[[#This Row],[買進例外調整]],庫存Pro[[#This Row],[第一票息日]],"d")&gt;0,IF(AND(庫存Pro[[#This Row],[差異天數]]&lt;200,庫存Pro[[#This Row],[配息頻率]]=1),TRUE,IF(AND(庫存Pro[[#This Row],[差異天數]]&lt;93,庫存Pro[[#This Row],[配息頻率]]=2),TRUE,IF(AND(庫存Pro[[#This Row],[差異天數]]&lt;60,庫存Pro[[#This Row],[配息頻率]]=4),TRUE)))),FALSE)</f>
        <v>0</v>
      </c>
      <c r="CR36" s="739" t="e">
        <f ca="1">IFERROR(VLOOKUP(庫存Pro[[#This Row],[ISIN]],'7_發行日例外'!A:D,4,FALSE),DATEVALUE(VLOOKUP(庫存Pro[[#This Row],[商品代號]],bond!B:AV,44,FALSE)))</f>
        <v>#N/A</v>
      </c>
      <c r="CS36" s="646" t="e">
        <f ca="1">VLOOKUP(庫存Pro[[#This Row],[商品代號]],bond!B:AU,46,FALSE)</f>
        <v>#N/A</v>
      </c>
      <c r="CT36" s="646" t="e">
        <f ca="1">IF(庫存Pro[[#This Row],[計息基礎]]=1,CHOOSE(庫存Pro[[#This Row],[對應編碼]],"沒進位","","沒進位",IF(庫存Pro[[#This Row],[計算類型]]="AUSTRALIA:EX-DIV","4捨五入進0.01%","沒進位"),"年/2去計算ACT","沒進位","沒進位"),"")</f>
        <v>#N/A</v>
      </c>
      <c r="CU36" s="646" t="e">
        <f ca="1">_xlfn.DAYS(庫存Pro[[#This Row],[買進例外調整]],庫存Pro[[#This Row],[買進前一個配息日(最終)]])</f>
        <v>#N/A</v>
      </c>
      <c r="CV36" s="646" t="e">
        <f ca="1">IF(庫存Pro[[#This Row],[備註]]="年/2去計算ACT",365/2,_xlfn.DAYS(庫存Pro[[#This Row],[買進時的下個配息日]],庫存Pro[[#This Row],[買進前一個配息日(最終)]]))</f>
        <v>#N/A</v>
      </c>
      <c r="CW36" s="768" t="e">
        <f ca="1">IF(庫存Pro[[#This Row],[備註]]="4捨五入進0.01%",ROUND(100*庫存Pro[[#This Row],[票面利率]]/庫存Pro[[#This Row],[配息頻率]]*庫存Pro[[#This Row],[應計息日數]]/庫存Pro[[#This Row],[區間日數]],3),ROUND(100*庫存Pro[[#This Row],[票面利率]]/庫存Pro[[#This Row],[配息頻率]]*庫存Pro[[#This Row],[應計息日數]]/庫存Pro[[#This Row],[區間日數]],4))</f>
        <v>#N/A</v>
      </c>
      <c r="CX36" s="768" t="e">
        <f ca="1">_xlfn.DAYS(庫存Pro[[#This Row],[交割日]],庫存Pro[[#This Row],[買進前一個配息日(最終)]])</f>
        <v>#N/A</v>
      </c>
      <c r="CY36" s="768" t="e">
        <f ca="1">IF(庫存Pro[[#This Row],[備註]]="4捨五入進0.01%",ROUND(100*庫存Pro[[#This Row],[票面利率]]/庫存Pro[[#This Row],[配息頻率]]*庫存Pro[[#This Row],[應計息日數2]]/庫存Pro[[#This Row],[區間日數]],3),ROUND(100*庫存Pro[[#This Row],[票面利率]]/庫存Pro[[#This Row],[配息頻率]]*庫存Pro[[#This Row],[應計息日數2]]/庫存Pro[[#This Row],[區間日數]],4))</f>
        <v>#N/A</v>
      </c>
      <c r="CZ36" s="768" t="e">
        <f ca="1">_xlfn.DAYS(庫存Pro[[#This Row],[交割日]],庫存Pro[[#This Row],[最近的上一票息日]])</f>
        <v>#N/A</v>
      </c>
      <c r="DA36" s="768" t="e">
        <f ca="1">IF(庫存Pro[[#This Row],[備註]]="年/2去計算ACT",365/2,_xlfn.DAYS(庫存Pro[[#This Row],[下一配息日]],庫存Pro[[#This Row],[最近的上一票息日]]))</f>
        <v>#N/A</v>
      </c>
      <c r="DB36" s="768" t="e">
        <f ca="1">IF(庫存Pro[[#This Row],[備註]]="4捨五入進0.01%",ROUND(100*庫存Pro[[#This Row],[票面利率]]/庫存Pro[[#This Row],[配息頻率]]*庫存Pro[[#This Row],[應計息日數3]]/庫存Pro[[#This Row],[區間日數3]],3),ROUND(100*庫存Pro[[#This Row],[票面利率]]/庫存Pro[[#This Row],[配息頻率]]*庫存Pro[[#This Row],[應計息日數3]]/庫存Pro[[#This Row],[區間日數3]],4))</f>
        <v>#N/A</v>
      </c>
      <c r="DC36" s="739" t="e">
        <f ca="1">CJ36-庫存Pro[[#This Row],[ex_div_days]]</f>
        <v>#N/A</v>
      </c>
      <c r="DD36" s="646" t="e">
        <f ca="1">IF(VLOOKUP(庫存Pro[[#This Row],[商品代號]],bond!B:AT,45,FALSE)="#N/A Field Not Applicable",0,VLOOKUP(庫存Pro[[#This Row],[商品代號]],bond!B:AT,45,FALSE))</f>
        <v>#N/A</v>
      </c>
      <c r="DE36" s="793" t="e">
        <f ca="1">IF(庫存Pro[[#This Row],[ex_div_days]]&lt;&gt;0,IF(AND(庫存Pro[[#This Row],[買進例外調整]]-庫存Pro[[#This Row],[買進下一個配息日先減n天]]&gt;=0,庫存Pro[[#This Row],[買進時的下個配息日]]-庫存Pro[[#This Row],[買進例外調整]]&gt;0),1,0),0)</f>
        <v>#N/A</v>
      </c>
      <c r="DF36" s="784" t="e">
        <f ca="1">IF(庫存Pro[[#This Row],[對應編碼]]=4,ROUND(庫存Pro[[#This Row],[前手息(初算)]]-庫存Pro[[#This Row],[票面利率]]/庫存Pro[[#This Row],[配息頻率]]*100,3),ROUND(庫存Pro[[#This Row],[前手息(初算)]]-庫存Pro[[#This Row],[票面利率]]/庫存Pro[[#This Row],[配息頻率]]*100,4))</f>
        <v>#N/A</v>
      </c>
      <c r="DG36" s="734" t="e">
        <f ca="1">庫存Pro[[#This Row],[下一配息日]]-庫存Pro[[#This Row],[ex_div_days]]</f>
        <v>#VALUE!</v>
      </c>
      <c r="DH36" s="1084" t="e">
        <f ca="1">IF(庫存Pro[[#This Row],[ex_div_days]]&lt;&gt;0,IF(AND(庫存Pro[[#This Row],[交割日]]-庫存Pro[[#This Row],[交割下個配息日先減n天]]&gt;=0,庫存Pro[[#This Row],[下一配息日]]-庫存Pro[[#This Row],[交割日]]&gt;0),1,0),0)</f>
        <v>#N/A</v>
      </c>
      <c r="DI36" s="1067" t="e">
        <f ca="1">IF(AND(庫存Pro[[#This Row],[對應編碼]]=4,庫存Pro[[#This Row],[計算類型]]="AUSTRALIA:EX-DIV"),ROUND(庫存Pro[[#This Row],[計算交割前手息(初算)]]-庫存Pro[[#This Row],[票面利率]]/庫存Pro[[#This Row],[配息頻率]]*100,3),ROUND(庫存Pro[[#This Row],[計算交割前手息(初算)]]-庫存Pro[[#This Row],[票面利率]]/庫存Pro[[#This Row],[配息頻率]]*100,4))</f>
        <v>#N/A</v>
      </c>
    </row>
    <row r="37" spans="1:113" ht="19.5" customHeight="1">
      <c r="A37" s="459" t="s">
        <v>2172</v>
      </c>
      <c r="B37" s="495" t="s">
        <v>1993</v>
      </c>
      <c r="C37" s="12">
        <v>1</v>
      </c>
      <c r="D37" s="12">
        <f>'庫存管理(Pro)'!AA45</f>
        <v>30</v>
      </c>
      <c r="E37" s="12">
        <f>'庫存管理(Pro)'!AB45</f>
        <v>32.481000000000002</v>
      </c>
      <c r="H37" s="428"/>
      <c r="I37" s="429"/>
      <c r="J37" s="429"/>
      <c r="K37" s="430"/>
      <c r="L37" s="431"/>
      <c r="M37" s="432"/>
      <c r="N37" s="433"/>
      <c r="O37" s="433"/>
      <c r="P37" s="434"/>
      <c r="Q37" s="440"/>
      <c r="R37" s="570"/>
      <c r="S37" s="570"/>
      <c r="T37" s="570"/>
      <c r="U37" s="782"/>
      <c r="V37" s="783"/>
      <c r="W37" s="783"/>
      <c r="X37" s="464"/>
      <c r="Y37" s="464"/>
      <c r="Z37" s="465"/>
      <c r="AA37" s="474"/>
      <c r="AB37" s="462"/>
      <c r="AC37" s="618"/>
      <c r="AD37" s="462"/>
      <c r="AE37" s="1"/>
      <c r="AF37" s="466"/>
      <c r="AG37" s="440"/>
      <c r="AH37" s="577"/>
      <c r="AI37" s="578"/>
      <c r="AJ37" s="579"/>
      <c r="AK37" s="579"/>
      <c r="AL37" s="580"/>
      <c r="AM37" s="440"/>
      <c r="AN37" s="579"/>
      <c r="AO37" s="579"/>
      <c r="AP37" s="579"/>
      <c r="AQ37" s="579"/>
      <c r="AR37" s="581"/>
      <c r="AS37" s="582"/>
      <c r="AT37" s="583"/>
      <c r="AU37" s="584"/>
      <c r="AV37" s="434"/>
      <c r="AW37" s="434"/>
      <c r="AX37" s="434"/>
      <c r="AY37" s="434"/>
      <c r="AZ37" s="441"/>
      <c r="BA37" s="441"/>
      <c r="BB37" s="444"/>
      <c r="BC37" s="441"/>
      <c r="BD37" s="441"/>
      <c r="BE37" s="441"/>
      <c r="BF37" s="441"/>
      <c r="BG37" s="441"/>
      <c r="BH37" s="445"/>
      <c r="BI37" s="445"/>
      <c r="BJ37" s="445"/>
      <c r="BK37" s="445"/>
      <c r="BL37" s="455"/>
      <c r="BM37" s="479"/>
      <c r="BN37" s="479"/>
      <c r="BO37" s="479"/>
      <c r="BP37" s="479"/>
      <c r="BQ37" s="500"/>
      <c r="BR37" s="500"/>
      <c r="BS37" s="595"/>
      <c r="BT37" s="595"/>
      <c r="BU37" s="498"/>
      <c r="BV37" s="498"/>
      <c r="BW37" s="498"/>
      <c r="BX37" s="498"/>
      <c r="BY37" s="498"/>
      <c r="BZ37" s="498"/>
      <c r="CA37" s="574"/>
      <c r="CB37" s="574"/>
      <c r="CC37" s="574"/>
      <c r="CD37" s="574"/>
      <c r="CE37" s="585"/>
      <c r="CF37" s="574"/>
      <c r="CG37" s="619"/>
      <c r="CH37" s="646"/>
    </row>
    <row r="38" spans="1:113" ht="19.5" customHeight="1">
      <c r="A38" s="459" t="s">
        <v>2173</v>
      </c>
      <c r="B38" s="495" t="s">
        <v>1994</v>
      </c>
      <c r="C38" s="12">
        <v>2</v>
      </c>
      <c r="D38" s="12">
        <f>'庫存管理(Pro)'!AA46</f>
        <v>4.1333000000000002</v>
      </c>
      <c r="E38" s="12">
        <f>'庫存管理(Pro)'!AB46</f>
        <v>4.4691000000000001</v>
      </c>
      <c r="H38" s="18"/>
      <c r="I38" s="19"/>
      <c r="J38" s="19"/>
      <c r="K38" s="20"/>
      <c r="L38" s="22"/>
      <c r="M38" s="22"/>
      <c r="N38" s="22"/>
      <c r="O38" s="22"/>
      <c r="P38" s="22"/>
      <c r="Q38" s="22"/>
      <c r="R38" s="571"/>
      <c r="S38" s="571"/>
      <c r="T38" s="571"/>
      <c r="U38" s="22"/>
      <c r="V38" s="22"/>
      <c r="W38" s="22"/>
      <c r="X38" s="22"/>
      <c r="Y38" s="22"/>
      <c r="Z38" s="22"/>
      <c r="AA38" s="476"/>
      <c r="AB38" s="485"/>
      <c r="AC38" s="449"/>
      <c r="AD38" s="485"/>
      <c r="AE38" s="449"/>
      <c r="AF38" s="449"/>
      <c r="AG38" s="22"/>
      <c r="AH38" s="22"/>
      <c r="AI38" s="449"/>
      <c r="AJ38" s="449"/>
      <c r="AK38" s="449"/>
      <c r="AL38" s="449"/>
      <c r="AM38" s="449"/>
      <c r="AN38" s="765"/>
      <c r="AO38" s="765"/>
      <c r="AP38" s="765"/>
      <c r="AQ38" s="765"/>
      <c r="AR38" s="449"/>
      <c r="AS38" s="489"/>
      <c r="AT38" s="449"/>
      <c r="AU38" s="485"/>
      <c r="AV38" s="22"/>
      <c r="AW38" s="22"/>
      <c r="AX38" s="22"/>
      <c r="AY38" s="22"/>
      <c r="AZ38" s="760"/>
      <c r="BA38" s="760"/>
      <c r="BB38" s="22"/>
      <c r="BC38" s="22"/>
      <c r="BD38" s="22"/>
      <c r="BE38" s="22"/>
      <c r="BF38" s="22"/>
      <c r="BG38" s="22"/>
      <c r="BH38" s="22"/>
      <c r="BI38" s="22"/>
      <c r="BJ38" s="22"/>
      <c r="BK38" s="22"/>
      <c r="BL38" s="22"/>
      <c r="CE38" s="22"/>
      <c r="CF38" s="565"/>
    </row>
    <row r="39" spans="1:113" ht="19.5" customHeight="1">
      <c r="A39" s="459" t="s">
        <v>2174</v>
      </c>
      <c r="B39" s="495" t="s">
        <v>530</v>
      </c>
      <c r="C39" s="12">
        <v>3</v>
      </c>
      <c r="D39" s="12">
        <f>'庫存管理(Pro)'!AA47</f>
        <v>1.6482000000000001</v>
      </c>
      <c r="E39" s="12">
        <f>'庫存管理(Pro)'!AB47</f>
        <v>1.7963</v>
      </c>
      <c r="H39" s="18"/>
      <c r="I39" s="19"/>
      <c r="J39" s="19"/>
      <c r="K39" s="20"/>
      <c r="L39" s="22"/>
      <c r="M39" s="22"/>
      <c r="N39" s="22"/>
      <c r="O39" s="22"/>
      <c r="P39" s="22"/>
      <c r="Q39" s="22"/>
      <c r="R39" s="571"/>
      <c r="S39" s="571"/>
      <c r="T39" s="571"/>
      <c r="U39" s="22"/>
      <c r="V39" s="22"/>
      <c r="W39" s="22"/>
      <c r="X39" s="22"/>
      <c r="Y39" s="22"/>
      <c r="Z39" s="22"/>
      <c r="AA39" s="476"/>
      <c r="AB39" s="485"/>
      <c r="AC39" s="449"/>
      <c r="AD39" s="485"/>
      <c r="AE39" s="449"/>
      <c r="AF39" s="449"/>
      <c r="AG39" s="22"/>
      <c r="AH39" s="22"/>
      <c r="AI39" s="449"/>
      <c r="AJ39" s="449"/>
      <c r="AK39" s="449"/>
      <c r="AL39" s="449"/>
      <c r="AM39" s="449"/>
      <c r="AN39" s="765"/>
      <c r="AO39" s="765"/>
      <c r="AP39" s="765"/>
      <c r="AQ39" s="765"/>
      <c r="AR39" s="449"/>
      <c r="AS39" s="489"/>
      <c r="AT39" s="449"/>
      <c r="AU39" s="485"/>
      <c r="AV39" s="22"/>
      <c r="AW39" s="22"/>
      <c r="AX39" s="22"/>
      <c r="AY39" s="22"/>
      <c r="AZ39" s="760"/>
      <c r="BA39" s="760"/>
      <c r="BB39" s="22"/>
      <c r="BC39" s="22"/>
      <c r="BD39" s="22"/>
      <c r="BE39" s="22"/>
      <c r="BF39" s="22"/>
      <c r="BG39" s="22"/>
      <c r="BH39" s="22"/>
      <c r="BI39" s="22"/>
      <c r="BJ39" s="22"/>
      <c r="BK39" s="22"/>
      <c r="BL39" s="22"/>
      <c r="CE39" s="22"/>
      <c r="CF39" s="565"/>
    </row>
    <row r="40" spans="1:113" ht="19.5" customHeight="1">
      <c r="A40" s="459" t="s">
        <v>2175</v>
      </c>
      <c r="B40" s="495" t="s">
        <v>534</v>
      </c>
      <c r="C40" s="12">
        <v>4</v>
      </c>
      <c r="D40" s="12">
        <f>'庫存管理(Pro)'!AA48</f>
        <v>20.780999999999999</v>
      </c>
      <c r="E40" s="12">
        <f>'庫存管理(Pro)'!AB48</f>
        <v>21.670999999999999</v>
      </c>
      <c r="H40" s="18"/>
      <c r="I40" s="19"/>
      <c r="J40" s="19"/>
      <c r="K40" s="20"/>
      <c r="L40" s="22"/>
      <c r="M40" s="22"/>
      <c r="N40" s="22"/>
      <c r="O40" s="22"/>
      <c r="P40" s="22"/>
      <c r="Q40" s="22"/>
      <c r="R40" s="571"/>
      <c r="S40" s="571"/>
      <c r="T40" s="571"/>
      <c r="U40" s="22"/>
      <c r="V40" s="22"/>
      <c r="W40" s="22"/>
      <c r="X40" s="22"/>
      <c r="Y40" s="22"/>
      <c r="Z40" s="22"/>
      <c r="AA40" s="476"/>
      <c r="AB40" s="485"/>
      <c r="AC40" s="449"/>
      <c r="AD40" s="485"/>
      <c r="AE40" s="449"/>
      <c r="AF40" s="449"/>
      <c r="AG40" s="22"/>
      <c r="AH40" s="22"/>
      <c r="AI40" s="449"/>
      <c r="AJ40" s="449"/>
      <c r="AK40" s="449"/>
      <c r="AL40" s="449"/>
      <c r="AM40" s="449"/>
      <c r="AN40" s="765"/>
      <c r="AO40" s="765"/>
      <c r="AP40" s="765"/>
      <c r="AQ40" s="765"/>
      <c r="AR40" s="449"/>
      <c r="AS40" s="489"/>
      <c r="AT40" s="449"/>
      <c r="AU40" s="485"/>
      <c r="AV40" s="22"/>
      <c r="AW40" s="22"/>
      <c r="AX40" s="22"/>
      <c r="AY40" s="22"/>
      <c r="AZ40" s="760"/>
      <c r="BA40" s="760"/>
      <c r="BB40" s="22"/>
      <c r="BC40" s="22"/>
      <c r="BD40" s="22"/>
      <c r="BE40" s="22"/>
      <c r="BF40" s="22"/>
      <c r="BG40" s="22"/>
      <c r="BH40" s="22"/>
      <c r="BI40" s="22"/>
      <c r="BJ40" s="22"/>
      <c r="BK40" s="22"/>
      <c r="BL40" s="22"/>
      <c r="CE40" s="22"/>
      <c r="CF40" s="565"/>
    </row>
    <row r="41" spans="1:113" ht="19.5" customHeight="1">
      <c r="A41" s="459" t="s">
        <v>2176</v>
      </c>
      <c r="B41" s="495" t="s">
        <v>533</v>
      </c>
      <c r="C41" s="12">
        <v>5</v>
      </c>
      <c r="D41" s="12">
        <f>'庫存管理(Pro)'!AA49</f>
        <v>22.942900000000002</v>
      </c>
      <c r="E41" s="12">
        <f>'庫存管理(Pro)'!AB49</f>
        <v>23.761500000000002</v>
      </c>
      <c r="H41" s="18"/>
      <c r="I41" s="19"/>
      <c r="J41" s="19"/>
      <c r="K41" s="20"/>
      <c r="L41" s="22"/>
      <c r="M41" s="22"/>
      <c r="N41" s="22"/>
      <c r="O41" s="22"/>
      <c r="P41" s="22"/>
      <c r="Q41" s="22"/>
      <c r="R41" s="571"/>
      <c r="S41" s="571"/>
      <c r="T41" s="571"/>
      <c r="U41" s="22"/>
      <c r="V41" s="22"/>
      <c r="W41" s="22"/>
      <c r="X41" s="22"/>
      <c r="Y41" s="22"/>
      <c r="Z41" s="22"/>
      <c r="AA41" s="476"/>
      <c r="AB41" s="485"/>
      <c r="AC41" s="449"/>
      <c r="AD41" s="485"/>
      <c r="AE41" s="449"/>
      <c r="AF41" s="449"/>
      <c r="AG41" s="22"/>
      <c r="AH41" s="22"/>
      <c r="AI41" s="449"/>
      <c r="AJ41" s="449"/>
      <c r="AK41" s="449"/>
      <c r="AL41" s="449"/>
      <c r="AM41" s="449"/>
      <c r="AN41" s="765"/>
      <c r="AO41" s="765"/>
      <c r="AP41" s="765"/>
      <c r="AQ41" s="765"/>
      <c r="AR41" s="449"/>
      <c r="AS41" s="489"/>
      <c r="AT41" s="449"/>
      <c r="AU41" s="485"/>
      <c r="AV41" s="22"/>
      <c r="AW41" s="22"/>
      <c r="AX41" s="22"/>
      <c r="AY41" s="22"/>
      <c r="AZ41" s="760"/>
      <c r="BA41" s="760"/>
      <c r="BB41" s="22"/>
      <c r="BC41" s="22"/>
      <c r="BD41" s="22"/>
      <c r="BE41" s="22"/>
      <c r="BF41" s="22"/>
      <c r="BG41" s="22"/>
      <c r="BH41" s="22"/>
      <c r="BI41" s="22"/>
      <c r="BJ41" s="22"/>
      <c r="BK41" s="22"/>
      <c r="BL41" s="22"/>
      <c r="CE41" s="22"/>
      <c r="CF41" s="565"/>
    </row>
    <row r="42" spans="1:113" ht="19.5" customHeight="1">
      <c r="A42" s="459" t="s">
        <v>2177</v>
      </c>
      <c r="B42" s="495" t="s">
        <v>531</v>
      </c>
      <c r="C42" s="12">
        <v>6</v>
      </c>
      <c r="D42" s="12">
        <f>'庫存管理(Pro)'!AA50</f>
        <v>19.486899999999999</v>
      </c>
      <c r="E42" s="12">
        <f>'庫存管理(Pro)'!AB50</f>
        <v>19.813199999999998</v>
      </c>
      <c r="H42" s="18"/>
      <c r="I42" s="19"/>
      <c r="J42" s="19"/>
      <c r="K42" s="20"/>
      <c r="L42" s="22"/>
      <c r="M42" s="22"/>
      <c r="N42" s="22"/>
      <c r="O42" s="22"/>
      <c r="P42" s="22"/>
      <c r="Q42" s="22"/>
      <c r="R42" s="571"/>
      <c r="S42" s="571"/>
      <c r="T42" s="571"/>
      <c r="U42" s="22"/>
      <c r="V42" s="22"/>
      <c r="W42" s="22"/>
      <c r="X42" s="22"/>
      <c r="Y42" s="22"/>
      <c r="Z42" s="22"/>
      <c r="AA42" s="476"/>
      <c r="AB42" s="485"/>
      <c r="AC42" s="449"/>
      <c r="AD42" s="485"/>
      <c r="AE42" s="449"/>
      <c r="AF42" s="449"/>
      <c r="AG42" s="22"/>
      <c r="AH42" s="22"/>
      <c r="AI42" s="449"/>
      <c r="AJ42" s="449"/>
      <c r="AK42" s="449"/>
      <c r="AL42" s="449"/>
      <c r="AM42" s="449"/>
      <c r="AN42" s="765"/>
      <c r="AO42" s="765"/>
      <c r="AP42" s="765"/>
      <c r="AQ42" s="765"/>
      <c r="AR42" s="449"/>
      <c r="AS42" s="489"/>
      <c r="AT42" s="449"/>
      <c r="AU42" s="485"/>
      <c r="AV42" s="22"/>
      <c r="AW42" s="22"/>
      <c r="AX42" s="22"/>
      <c r="AY42" s="22"/>
      <c r="AZ42" s="760"/>
      <c r="BA42" s="760"/>
      <c r="BB42" s="22"/>
      <c r="BC42" s="22"/>
      <c r="BD42" s="22"/>
      <c r="BE42" s="22"/>
      <c r="BF42" s="22"/>
      <c r="BG42" s="22"/>
      <c r="BH42" s="22"/>
      <c r="BI42" s="22"/>
      <c r="BJ42" s="22"/>
      <c r="BK42" s="22"/>
      <c r="BL42" s="22"/>
      <c r="CE42" s="22"/>
      <c r="CF42" s="565"/>
    </row>
    <row r="43" spans="1:113" ht="19.5" customHeight="1">
      <c r="A43" s="459" t="s">
        <v>2178</v>
      </c>
      <c r="B43" s="495" t="s">
        <v>532</v>
      </c>
      <c r="C43" s="12">
        <v>7</v>
      </c>
      <c r="D43" s="12">
        <f>'庫存管理(Pro)'!AA51</f>
        <v>33.7042</v>
      </c>
      <c r="E43" s="12">
        <f>'庫存管理(Pro)'!AB51</f>
        <v>34.927900000000001</v>
      </c>
      <c r="H43" s="18"/>
      <c r="I43" s="19"/>
      <c r="J43" s="19"/>
      <c r="K43" s="20"/>
      <c r="L43" s="22"/>
      <c r="M43" s="22"/>
      <c r="N43" s="22"/>
      <c r="O43" s="22"/>
      <c r="P43" s="22"/>
      <c r="Q43" s="22"/>
      <c r="R43" s="571"/>
      <c r="S43" s="571"/>
      <c r="T43" s="571"/>
      <c r="U43" s="22"/>
      <c r="V43" s="22"/>
      <c r="W43" s="22"/>
      <c r="X43" s="22"/>
      <c r="Y43" s="22"/>
      <c r="Z43" s="22"/>
      <c r="AA43" s="476"/>
      <c r="AB43" s="485"/>
      <c r="AC43" s="449"/>
      <c r="AD43" s="485"/>
      <c r="AE43" s="449"/>
      <c r="AF43" s="449"/>
      <c r="AG43" s="22"/>
      <c r="AH43" s="22"/>
      <c r="AI43" s="449"/>
      <c r="AJ43" s="449"/>
      <c r="AK43" s="449"/>
      <c r="AL43" s="449"/>
      <c r="AM43" s="449"/>
      <c r="AN43" s="765"/>
      <c r="AO43" s="765"/>
      <c r="AP43" s="765"/>
      <c r="AQ43" s="765"/>
      <c r="AR43" s="449"/>
      <c r="AS43" s="489"/>
      <c r="AT43" s="449"/>
      <c r="AU43" s="485"/>
      <c r="AV43" s="22"/>
      <c r="AW43" s="22"/>
      <c r="AX43" s="22"/>
      <c r="AY43" s="22"/>
      <c r="AZ43" s="760"/>
      <c r="BA43" s="760"/>
      <c r="BB43" s="22"/>
      <c r="BC43" s="22"/>
      <c r="BD43" s="22"/>
      <c r="BE43" s="22"/>
      <c r="BF43" s="22"/>
      <c r="BG43" s="22"/>
      <c r="BH43" s="22"/>
      <c r="BI43" s="22"/>
      <c r="BJ43" s="22"/>
      <c r="BK43" s="22"/>
      <c r="BL43" s="22"/>
      <c r="CE43" s="22"/>
      <c r="CF43" s="565"/>
    </row>
    <row r="44" spans="1:113" ht="19.5" customHeight="1">
      <c r="B44" s="684" t="s">
        <v>2189</v>
      </c>
      <c r="H44" s="18"/>
      <c r="I44" s="19"/>
      <c r="J44" s="19"/>
      <c r="K44" s="20"/>
      <c r="L44" s="22"/>
      <c r="M44" s="22"/>
      <c r="N44" s="22"/>
      <c r="O44" s="22"/>
      <c r="P44" s="22"/>
      <c r="Q44" s="22"/>
      <c r="R44" s="571"/>
      <c r="S44" s="571"/>
      <c r="T44" s="571"/>
      <c r="U44" s="22"/>
      <c r="V44" s="22"/>
      <c r="W44" s="22"/>
      <c r="X44" s="22"/>
      <c r="Y44" s="22"/>
      <c r="Z44" s="22"/>
      <c r="AA44" s="476"/>
      <c r="AB44" s="485"/>
      <c r="AC44" s="449"/>
      <c r="AD44" s="485"/>
      <c r="AE44" s="449"/>
      <c r="AF44" s="449"/>
      <c r="AG44" s="22"/>
      <c r="AH44" s="22"/>
      <c r="AI44" s="449"/>
      <c r="AJ44" s="449"/>
      <c r="AK44" s="449"/>
      <c r="AL44" s="449"/>
      <c r="AM44" s="449"/>
      <c r="AN44" s="765"/>
      <c r="AO44" s="765"/>
      <c r="AP44" s="765"/>
      <c r="AQ44" s="765"/>
      <c r="AR44" s="449"/>
      <c r="AS44" s="489"/>
      <c r="AT44" s="449"/>
      <c r="AU44" s="485"/>
      <c r="AV44" s="22"/>
      <c r="AW44" s="22"/>
      <c r="AX44" s="22"/>
      <c r="AY44" s="22"/>
      <c r="AZ44" s="760"/>
      <c r="BA44" s="760"/>
      <c r="BB44" s="22"/>
      <c r="BC44" s="22"/>
      <c r="BD44" s="22"/>
      <c r="BE44" s="22"/>
      <c r="BF44" s="22"/>
      <c r="BG44" s="22"/>
      <c r="BH44" s="22"/>
      <c r="BI44" s="22"/>
      <c r="BJ44" s="22"/>
      <c r="BK44" s="22"/>
      <c r="BL44" s="22"/>
      <c r="CE44" s="22"/>
      <c r="CF44" s="565"/>
    </row>
    <row r="45" spans="1:113" ht="19.5" customHeight="1">
      <c r="H45" s="18"/>
      <c r="I45" s="19"/>
      <c r="J45" s="19"/>
      <c r="K45" s="20"/>
      <c r="L45" s="22"/>
      <c r="M45" s="22"/>
      <c r="N45" s="22"/>
      <c r="O45" s="22"/>
      <c r="P45" s="22"/>
      <c r="Q45" s="22"/>
      <c r="R45" s="571"/>
      <c r="S45" s="571"/>
      <c r="T45" s="571"/>
      <c r="U45" s="22"/>
      <c r="V45" s="22"/>
      <c r="W45" s="22"/>
      <c r="X45" s="22"/>
      <c r="Y45" s="22"/>
      <c r="Z45" s="22"/>
      <c r="AA45" s="476"/>
      <c r="AB45" s="485"/>
      <c r="AC45" s="449"/>
      <c r="AD45" s="485"/>
      <c r="AE45" s="449"/>
      <c r="AF45" s="449"/>
      <c r="AG45" s="22"/>
      <c r="AH45" s="22"/>
      <c r="AI45" s="449"/>
      <c r="AJ45" s="449"/>
      <c r="AK45" s="449"/>
      <c r="AL45" s="449"/>
      <c r="AM45" s="449"/>
      <c r="AN45" s="765"/>
      <c r="AO45" s="765"/>
      <c r="AP45" s="765"/>
      <c r="AQ45" s="765"/>
      <c r="AR45" s="449"/>
      <c r="AS45" s="489"/>
      <c r="AT45" s="449"/>
      <c r="AU45" s="485"/>
      <c r="AV45" s="22"/>
      <c r="AW45" s="22"/>
      <c r="AX45" s="22"/>
      <c r="AY45" s="22"/>
      <c r="AZ45" s="760"/>
      <c r="BA45" s="760"/>
      <c r="BB45" s="22"/>
      <c r="BC45" s="22"/>
      <c r="BD45" s="22"/>
      <c r="BE45" s="22"/>
      <c r="BF45" s="22"/>
      <c r="BG45" s="22"/>
      <c r="BH45" s="22"/>
      <c r="BI45" s="22"/>
      <c r="BJ45" s="22"/>
      <c r="BK45" s="22"/>
      <c r="BL45" s="22"/>
      <c r="CE45" s="22"/>
      <c r="CF45" s="565"/>
    </row>
    <row r="46" spans="1:113" ht="19.5" customHeight="1">
      <c r="H46" s="18"/>
      <c r="I46" s="19"/>
      <c r="J46" s="19"/>
      <c r="K46" s="20"/>
      <c r="L46" s="22"/>
      <c r="M46" s="22"/>
      <c r="N46" s="22"/>
      <c r="O46" s="22"/>
      <c r="P46" s="22"/>
      <c r="Q46" s="22"/>
      <c r="R46" s="571"/>
      <c r="S46" s="571"/>
      <c r="T46" s="571"/>
      <c r="U46" s="22"/>
      <c r="V46" s="22"/>
      <c r="W46" s="22"/>
      <c r="X46" s="22"/>
      <c r="Y46" s="22"/>
      <c r="Z46" s="22"/>
      <c r="AA46" s="476"/>
      <c r="AB46" s="485"/>
      <c r="AC46" s="449"/>
      <c r="AD46" s="485"/>
      <c r="AE46" s="449"/>
      <c r="AF46" s="449"/>
      <c r="AG46" s="22"/>
      <c r="AH46" s="22"/>
      <c r="AI46" s="449"/>
      <c r="AJ46" s="449"/>
      <c r="AK46" s="449"/>
      <c r="AL46" s="449"/>
      <c r="AM46" s="449"/>
      <c r="AN46" s="765"/>
      <c r="AO46" s="765"/>
      <c r="AP46" s="765"/>
      <c r="AQ46" s="765"/>
      <c r="AR46" s="449"/>
      <c r="AS46" s="489"/>
      <c r="AT46" s="449"/>
      <c r="AU46" s="485"/>
      <c r="AV46" s="22"/>
      <c r="AW46" s="22"/>
      <c r="AX46" s="22"/>
      <c r="AY46" s="22"/>
      <c r="AZ46" s="760"/>
      <c r="BA46" s="760"/>
      <c r="BB46" s="22"/>
      <c r="BC46" s="22"/>
      <c r="BD46" s="22"/>
      <c r="BE46" s="22"/>
      <c r="BF46" s="22"/>
      <c r="BG46" s="22"/>
      <c r="BH46" s="22"/>
      <c r="BI46" s="22"/>
      <c r="BJ46" s="22"/>
      <c r="BK46" s="22"/>
      <c r="BL46" s="22"/>
      <c r="CE46" s="22"/>
      <c r="CF46" s="565"/>
    </row>
    <row r="47" spans="1:113" ht="19.5" customHeight="1">
      <c r="B47" s="459" t="s">
        <v>2024</v>
      </c>
      <c r="H47" s="18"/>
      <c r="I47" s="19"/>
      <c r="J47" s="19"/>
      <c r="K47" s="20"/>
      <c r="L47" s="22"/>
      <c r="M47" s="22"/>
      <c r="N47" s="22"/>
      <c r="O47" s="22"/>
      <c r="P47" s="22"/>
      <c r="Q47" s="22"/>
      <c r="R47" s="571"/>
      <c r="S47" s="571"/>
      <c r="T47" s="571"/>
      <c r="U47" s="22"/>
      <c r="V47" s="22"/>
      <c r="W47" s="22"/>
      <c r="X47" s="22"/>
      <c r="Y47" s="22"/>
      <c r="Z47" s="22"/>
      <c r="AA47" s="476"/>
      <c r="AB47" s="485"/>
      <c r="AC47" s="449"/>
      <c r="AD47" s="485"/>
      <c r="AE47" s="449"/>
      <c r="AF47" s="449"/>
      <c r="AG47" s="22"/>
      <c r="AH47" s="22"/>
      <c r="AI47" s="449"/>
      <c r="AJ47" s="449"/>
      <c r="AK47" s="449"/>
      <c r="AL47" s="449"/>
      <c r="AM47" s="449"/>
      <c r="AN47" s="765"/>
      <c r="AO47" s="765"/>
      <c r="AP47" s="765"/>
      <c r="AQ47" s="765"/>
      <c r="AR47" s="449"/>
      <c r="AS47" s="489"/>
      <c r="AT47" s="449"/>
      <c r="AU47" s="485"/>
      <c r="AV47" s="22"/>
      <c r="AW47" s="22"/>
      <c r="AX47" s="22"/>
      <c r="AY47" s="22"/>
      <c r="AZ47" s="760"/>
      <c r="BA47" s="760"/>
      <c r="BB47" s="22"/>
      <c r="BC47" s="22"/>
      <c r="BD47" s="22"/>
      <c r="BE47" s="22"/>
      <c r="BF47" s="22"/>
      <c r="BG47" s="22"/>
      <c r="BH47" s="22"/>
      <c r="BI47" s="22"/>
      <c r="BJ47" s="22"/>
      <c r="BK47" s="22"/>
      <c r="BL47" s="22"/>
      <c r="CE47" s="22"/>
      <c r="CF47" s="565"/>
    </row>
    <row r="48" spans="1:113" ht="19.5" customHeight="1">
      <c r="B48" s="28" t="s">
        <v>2023</v>
      </c>
      <c r="C48" s="459">
        <v>1</v>
      </c>
      <c r="D48" s="459" t="str">
        <f>IF(C48=1,"產業結構圖","庫存結構圖")</f>
        <v>產業結構圖</v>
      </c>
      <c r="H48" s="18"/>
      <c r="I48" s="19"/>
      <c r="J48" s="19"/>
      <c r="K48" s="20"/>
      <c r="L48" s="22"/>
      <c r="M48" s="22"/>
      <c r="N48" s="22"/>
      <c r="O48" s="22"/>
      <c r="P48" s="22"/>
      <c r="Q48" s="22"/>
      <c r="R48" s="571"/>
      <c r="S48" s="571"/>
      <c r="T48" s="571"/>
      <c r="U48" s="22"/>
      <c r="V48" s="22"/>
      <c r="W48" s="22"/>
      <c r="X48" s="22"/>
      <c r="Y48" s="22"/>
      <c r="Z48" s="22"/>
      <c r="AA48" s="476"/>
      <c r="AB48" s="485"/>
      <c r="AC48" s="449"/>
      <c r="AD48" s="485"/>
      <c r="AE48" s="449"/>
      <c r="AF48" s="449"/>
      <c r="AG48" s="22"/>
      <c r="AH48" s="22"/>
      <c r="AI48" s="449"/>
      <c r="AJ48" s="449"/>
      <c r="AK48" s="449"/>
      <c r="AL48" s="449"/>
      <c r="AM48" s="449"/>
      <c r="AN48" s="765"/>
      <c r="AO48" s="765"/>
      <c r="AP48" s="765"/>
      <c r="AQ48" s="765"/>
      <c r="AR48" s="449"/>
      <c r="AS48" s="489"/>
      <c r="AT48" s="449"/>
      <c r="AU48" s="485"/>
      <c r="AV48" s="22"/>
      <c r="AW48" s="22"/>
      <c r="AX48" s="22"/>
      <c r="AY48" s="22"/>
      <c r="AZ48" s="760"/>
      <c r="BA48" s="760"/>
      <c r="BB48" s="22"/>
      <c r="BC48" s="22"/>
      <c r="BD48" s="22"/>
      <c r="BE48" s="22"/>
      <c r="BF48" s="22"/>
      <c r="BG48" s="22"/>
      <c r="BH48" s="22"/>
      <c r="BI48" s="22"/>
      <c r="BJ48" s="22"/>
      <c r="BK48" s="22"/>
      <c r="BL48" s="22"/>
      <c r="CE48" s="22"/>
      <c r="CF48" s="565"/>
    </row>
    <row r="49" spans="2:84" ht="19.5" customHeight="1">
      <c r="B49" s="435" t="s">
        <v>1981</v>
      </c>
      <c r="C49" s="435" t="s">
        <v>1982</v>
      </c>
      <c r="D49" s="435" t="s">
        <v>2022</v>
      </c>
      <c r="E49" s="435" t="s">
        <v>2019</v>
      </c>
      <c r="H49" s="18"/>
      <c r="I49" s="19"/>
      <c r="J49" s="19"/>
      <c r="K49" s="20"/>
      <c r="L49" s="22"/>
      <c r="M49" s="22"/>
      <c r="N49" s="22"/>
      <c r="O49" s="22"/>
      <c r="P49" s="22"/>
      <c r="Q49" s="22"/>
      <c r="R49" s="571"/>
      <c r="S49" s="571"/>
      <c r="T49" s="571"/>
      <c r="U49" s="22"/>
      <c r="V49" s="22"/>
      <c r="W49" s="22"/>
      <c r="X49" s="22"/>
      <c r="Y49" s="22"/>
      <c r="Z49" s="22"/>
      <c r="AA49" s="476"/>
      <c r="AB49" s="485"/>
      <c r="AC49" s="449"/>
      <c r="AD49" s="485"/>
      <c r="AE49" s="449"/>
      <c r="AF49" s="449"/>
      <c r="AG49" s="22"/>
      <c r="AH49" s="22"/>
      <c r="AI49" s="449"/>
      <c r="AJ49" s="449"/>
      <c r="AK49" s="449"/>
      <c r="AL49" s="449"/>
      <c r="AM49" s="449"/>
      <c r="AN49" s="765"/>
      <c r="AO49" s="765"/>
      <c r="AP49" s="765"/>
      <c r="AQ49" s="765"/>
      <c r="AR49" s="449"/>
      <c r="AS49" s="489"/>
      <c r="AT49" s="449"/>
      <c r="AU49" s="485"/>
      <c r="AV49" s="22"/>
      <c r="AW49" s="22"/>
      <c r="AX49" s="22"/>
      <c r="AY49" s="22"/>
      <c r="AZ49" s="760"/>
      <c r="BA49" s="760"/>
      <c r="BB49" s="22"/>
      <c r="BC49" s="22"/>
      <c r="BD49" s="22"/>
      <c r="BE49" s="22"/>
      <c r="BF49" s="22"/>
      <c r="BG49" s="22"/>
      <c r="BH49" s="22"/>
      <c r="BI49" s="22"/>
      <c r="BJ49" s="22"/>
      <c r="BK49" s="22"/>
      <c r="BL49" s="22"/>
      <c r="CE49" s="22"/>
      <c r="CF49" s="565"/>
    </row>
    <row r="50" spans="2:84" ht="19.5" customHeight="1">
      <c r="B50" s="502">
        <v>1</v>
      </c>
      <c r="C50" s="502" t="str">
        <f ca="1">IFERROR(CHOOSE($C$48,C83,C100),"")</f>
        <v>醫療保健</v>
      </c>
      <c r="D50" s="504">
        <f ca="1">CHOOSE($C$48,D83,D100)</f>
        <v>33.721977102794789</v>
      </c>
      <c r="E50" s="504">
        <f ca="1">CHOOSE($C$48,E83,E100)</f>
        <v>32.635114438421311</v>
      </c>
      <c r="H50" s="18"/>
      <c r="I50" s="19"/>
      <c r="J50" s="19"/>
      <c r="K50" s="20"/>
      <c r="L50" s="22"/>
      <c r="M50" s="22"/>
      <c r="N50" s="22"/>
      <c r="O50" s="22"/>
      <c r="P50" s="22"/>
      <c r="Q50" s="22"/>
      <c r="R50" s="571"/>
      <c r="S50" s="571"/>
      <c r="T50" s="571"/>
      <c r="U50" s="22"/>
      <c r="V50" s="22"/>
      <c r="W50" s="22"/>
      <c r="X50" s="22"/>
      <c r="Y50" s="22"/>
      <c r="Z50" s="22"/>
      <c r="AA50" s="476"/>
      <c r="AB50" s="485"/>
      <c r="AC50" s="449"/>
      <c r="AD50" s="485"/>
      <c r="AE50" s="449"/>
      <c r="AF50" s="449"/>
      <c r="AG50" s="22"/>
      <c r="AH50" s="22"/>
      <c r="AI50" s="449"/>
      <c r="AJ50" s="449"/>
      <c r="AK50" s="449"/>
      <c r="AL50" s="449"/>
      <c r="AM50" s="449"/>
      <c r="AN50" s="765"/>
      <c r="AO50" s="765"/>
      <c r="AP50" s="765"/>
      <c r="AQ50" s="765"/>
      <c r="AR50" s="449"/>
      <c r="AS50" s="489"/>
      <c r="AT50" s="449"/>
      <c r="AU50" s="485"/>
      <c r="AV50" s="22"/>
      <c r="AW50" s="22"/>
      <c r="AX50" s="22"/>
      <c r="AY50" s="22"/>
      <c r="AZ50" s="760"/>
      <c r="BA50" s="760"/>
      <c r="BB50" s="22"/>
      <c r="BC50" s="22"/>
      <c r="BD50" s="22"/>
      <c r="BE50" s="22"/>
      <c r="BF50" s="22"/>
      <c r="BG50" s="22"/>
      <c r="BH50" s="22"/>
      <c r="BI50" s="22"/>
      <c r="BJ50" s="22"/>
      <c r="BK50" s="22"/>
      <c r="BL50" s="22"/>
      <c r="CE50" s="22"/>
      <c r="CF50" s="565"/>
    </row>
    <row r="51" spans="2:84" ht="19.5" customHeight="1">
      <c r="B51" s="502">
        <v>2</v>
      </c>
      <c r="C51" s="502" t="str">
        <f t="shared" ref="C51:C61" ca="1" si="24">IFERROR(CHOOSE($C$48,C84,C101),"")</f>
        <v>公用</v>
      </c>
      <c r="D51" s="504">
        <f t="shared" ref="D51:E60" ca="1" si="25">CHOOSE($C$48,D84,D101)</f>
        <v>32.395778128252445</v>
      </c>
      <c r="E51" s="504">
        <f t="shared" ca="1" si="25"/>
        <v>33.094253836943423</v>
      </c>
      <c r="H51" s="18"/>
      <c r="I51" s="19"/>
      <c r="J51" s="19"/>
      <c r="K51" s="20"/>
      <c r="L51" s="22"/>
      <c r="M51" s="22"/>
      <c r="N51" s="22"/>
      <c r="O51" s="22"/>
      <c r="P51" s="22"/>
      <c r="Q51" s="22"/>
      <c r="R51" s="571"/>
      <c r="S51" s="571"/>
      <c r="T51" s="571"/>
      <c r="U51" s="22"/>
      <c r="V51" s="22"/>
      <c r="W51" s="22"/>
      <c r="X51" s="22"/>
      <c r="Y51" s="22"/>
      <c r="Z51" s="22"/>
      <c r="AA51" s="476"/>
      <c r="AB51" s="485"/>
      <c r="AC51" s="449"/>
      <c r="AD51" s="485"/>
      <c r="AE51" s="449"/>
      <c r="AF51" s="449"/>
      <c r="AG51" s="22"/>
      <c r="AH51" s="22"/>
      <c r="AI51" s="449"/>
      <c r="AJ51" s="449"/>
      <c r="AK51" s="449"/>
      <c r="AL51" s="449"/>
      <c r="AM51" s="449"/>
      <c r="AN51" s="765"/>
      <c r="AO51" s="765"/>
      <c r="AP51" s="765"/>
      <c r="AQ51" s="765"/>
      <c r="AR51" s="449"/>
      <c r="AS51" s="489"/>
      <c r="AT51" s="449"/>
      <c r="AU51" s="485"/>
      <c r="AV51" s="22"/>
      <c r="AW51" s="22"/>
      <c r="AX51" s="22"/>
      <c r="AY51" s="22"/>
      <c r="AZ51" s="760"/>
      <c r="BA51" s="760"/>
      <c r="BB51" s="22"/>
      <c r="BC51" s="22"/>
      <c r="BD51" s="22"/>
      <c r="BE51" s="22"/>
      <c r="BF51" s="22"/>
      <c r="BG51" s="22"/>
      <c r="BH51" s="22"/>
      <c r="BI51" s="22"/>
      <c r="BJ51" s="22"/>
      <c r="BK51" s="22"/>
      <c r="BL51" s="22"/>
      <c r="CE51" s="22"/>
      <c r="CF51" s="565"/>
    </row>
    <row r="52" spans="2:84" ht="19.5" customHeight="1">
      <c r="B52" s="502">
        <v>3</v>
      </c>
      <c r="C52" s="502" t="str">
        <f t="shared" ca="1" si="24"/>
        <v>金融</v>
      </c>
      <c r="D52" s="504">
        <f t="shared" ca="1" si="25"/>
        <v>28.454853683921517</v>
      </c>
      <c r="E52" s="504">
        <f t="shared" ca="1" si="25"/>
        <v>29.066734881480361</v>
      </c>
      <c r="H52" s="18"/>
      <c r="I52" s="19"/>
      <c r="J52" s="19"/>
      <c r="K52" s="20"/>
      <c r="L52" s="22"/>
      <c r="M52" s="22"/>
      <c r="N52" s="22"/>
      <c r="O52" s="22"/>
      <c r="P52" s="22"/>
      <c r="Q52" s="22"/>
      <c r="R52" s="571"/>
      <c r="S52" s="571"/>
      <c r="T52" s="571"/>
      <c r="U52" s="22"/>
      <c r="V52" s="22"/>
      <c r="W52" s="22"/>
      <c r="X52" s="22"/>
      <c r="Y52" s="22"/>
      <c r="Z52" s="22"/>
      <c r="AA52" s="476"/>
      <c r="AB52" s="485"/>
      <c r="AC52" s="449"/>
      <c r="AD52" s="485"/>
      <c r="AE52" s="449"/>
      <c r="AF52" s="449"/>
      <c r="AG52" s="22"/>
      <c r="AH52" s="22"/>
      <c r="AI52" s="449"/>
      <c r="AJ52" s="449"/>
      <c r="AK52" s="449"/>
      <c r="AL52" s="449"/>
      <c r="AM52" s="449"/>
      <c r="AN52" s="765"/>
      <c r="AO52" s="765"/>
      <c r="AP52" s="765"/>
      <c r="AQ52" s="765"/>
      <c r="AR52" s="449"/>
      <c r="AS52" s="489"/>
      <c r="AT52" s="449"/>
      <c r="AU52" s="485"/>
      <c r="AV52" s="22"/>
      <c r="AW52" s="22"/>
      <c r="AX52" s="22"/>
      <c r="AY52" s="22"/>
      <c r="AZ52" s="760"/>
      <c r="BA52" s="760"/>
      <c r="BB52" s="22"/>
      <c r="BC52" s="22"/>
      <c r="BD52" s="22"/>
      <c r="BE52" s="22"/>
      <c r="BF52" s="22"/>
      <c r="BG52" s="22"/>
      <c r="BH52" s="22"/>
      <c r="BI52" s="22"/>
      <c r="BJ52" s="22"/>
      <c r="BK52" s="22"/>
      <c r="BL52" s="22"/>
      <c r="CE52" s="22"/>
      <c r="CF52" s="565"/>
    </row>
    <row r="53" spans="2:84" ht="19.5" customHeight="1">
      <c r="B53" s="502">
        <v>4</v>
      </c>
      <c r="C53" s="502" t="str">
        <f t="shared" ca="1" si="24"/>
        <v>核心消費</v>
      </c>
      <c r="D53" s="504">
        <f t="shared" ca="1" si="25"/>
        <v>5.427391085031255</v>
      </c>
      <c r="E53" s="504">
        <f t="shared" ca="1" si="25"/>
        <v>5.2038968431549169</v>
      </c>
      <c r="H53" s="18"/>
      <c r="I53" s="19"/>
      <c r="J53" s="19"/>
      <c r="K53" s="20"/>
      <c r="L53" s="22"/>
      <c r="M53" s="22"/>
      <c r="N53" s="22"/>
      <c r="O53" s="22"/>
      <c r="P53" s="22"/>
      <c r="Q53" s="22"/>
      <c r="R53" s="571"/>
      <c r="S53" s="571"/>
      <c r="T53" s="571"/>
      <c r="U53" s="22"/>
      <c r="V53" s="22"/>
      <c r="W53" s="22"/>
      <c r="X53" s="22"/>
      <c r="Y53" s="22"/>
      <c r="Z53" s="22"/>
      <c r="AA53" s="476"/>
      <c r="AB53" s="485"/>
      <c r="AC53" s="449"/>
      <c r="AD53" s="485"/>
      <c r="AE53" s="449"/>
      <c r="AF53" s="449"/>
      <c r="AG53" s="22"/>
      <c r="AH53" s="22"/>
      <c r="AI53" s="449"/>
      <c r="AJ53" s="449"/>
      <c r="AK53" s="449"/>
      <c r="AL53" s="449"/>
      <c r="AM53" s="449"/>
      <c r="AN53" s="765"/>
      <c r="AO53" s="765"/>
      <c r="AP53" s="765"/>
      <c r="AQ53" s="765"/>
      <c r="AR53" s="449"/>
      <c r="AS53" s="489"/>
      <c r="AT53" s="449"/>
      <c r="AU53" s="485"/>
      <c r="AV53" s="22"/>
      <c r="AW53" s="22"/>
      <c r="AX53" s="22"/>
      <c r="AY53" s="22"/>
      <c r="AZ53" s="760"/>
      <c r="BA53" s="760"/>
      <c r="BB53" s="22"/>
      <c r="BC53" s="22"/>
      <c r="BD53" s="22"/>
      <c r="BE53" s="22"/>
      <c r="BF53" s="22"/>
      <c r="BG53" s="22"/>
      <c r="BH53" s="22"/>
      <c r="BI53" s="22"/>
      <c r="BJ53" s="22"/>
      <c r="BK53" s="22"/>
      <c r="BL53" s="22"/>
      <c r="CE53" s="22"/>
      <c r="CF53" s="565"/>
    </row>
    <row r="54" spans="2:84" ht="19.5" customHeight="1">
      <c r="B54" s="502">
        <v>5</v>
      </c>
      <c r="C54" s="502" t="str">
        <f t="shared" ca="1" si="24"/>
        <v>政府</v>
      </c>
      <c r="D54" s="504">
        <f t="shared" ca="1" si="25"/>
        <v>0</v>
      </c>
      <c r="E54" s="504">
        <f t="shared" ca="1" si="25"/>
        <v>0</v>
      </c>
      <c r="H54" s="18"/>
      <c r="I54" s="19"/>
      <c r="J54" s="19"/>
      <c r="K54" s="20"/>
      <c r="L54" s="22"/>
      <c r="M54" s="22"/>
      <c r="N54" s="22"/>
      <c r="O54" s="22"/>
      <c r="P54" s="22"/>
      <c r="Q54" s="22"/>
      <c r="R54" s="571"/>
      <c r="S54" s="571"/>
      <c r="T54" s="571"/>
      <c r="U54" s="22"/>
      <c r="V54" s="22"/>
      <c r="W54" s="22"/>
      <c r="X54" s="22"/>
      <c r="Y54" s="22"/>
      <c r="Z54" s="22"/>
      <c r="AA54" s="476"/>
      <c r="AB54" s="485"/>
      <c r="AC54" s="449"/>
      <c r="AD54" s="485"/>
      <c r="AE54" s="449"/>
      <c r="AF54" s="449"/>
      <c r="AG54" s="22"/>
      <c r="AH54" s="22"/>
      <c r="AI54" s="449"/>
      <c r="AJ54" s="449"/>
      <c r="AK54" s="449"/>
      <c r="AL54" s="449"/>
      <c r="AM54" s="449"/>
      <c r="AN54" s="765"/>
      <c r="AO54" s="765"/>
      <c r="AP54" s="765"/>
      <c r="AQ54" s="765"/>
      <c r="AR54" s="449"/>
      <c r="AS54" s="489"/>
      <c r="AT54" s="449"/>
      <c r="AU54" s="485"/>
      <c r="AV54" s="22"/>
      <c r="AW54" s="22"/>
      <c r="AX54" s="22"/>
      <c r="AY54" s="22"/>
      <c r="AZ54" s="760"/>
      <c r="BA54" s="760"/>
      <c r="BB54" s="22"/>
      <c r="BC54" s="22"/>
      <c r="BD54" s="22"/>
      <c r="BE54" s="22"/>
      <c r="BF54" s="22"/>
      <c r="BG54" s="22"/>
      <c r="BH54" s="22"/>
      <c r="BI54" s="22"/>
      <c r="BJ54" s="22"/>
      <c r="BK54" s="22"/>
      <c r="BL54" s="22"/>
      <c r="CE54" s="22"/>
      <c r="CF54" s="565"/>
    </row>
    <row r="55" spans="2:84" ht="19.5" customHeight="1">
      <c r="B55" s="502">
        <v>6</v>
      </c>
      <c r="C55" s="502" t="str">
        <f t="shared" ca="1" si="24"/>
        <v/>
      </c>
      <c r="D55" s="504" t="e">
        <f t="shared" ca="1" si="25"/>
        <v>#N/A</v>
      </c>
      <c r="E55" s="504" t="e">
        <f t="shared" ca="1" si="25"/>
        <v>#N/A</v>
      </c>
      <c r="H55" s="18"/>
      <c r="I55" s="19"/>
      <c r="J55" s="19"/>
      <c r="K55" s="20"/>
      <c r="L55" s="22"/>
      <c r="M55" s="22"/>
      <c r="N55" s="22"/>
      <c r="O55" s="22"/>
      <c r="P55" s="22"/>
      <c r="Q55" s="22"/>
      <c r="R55" s="571"/>
      <c r="S55" s="571"/>
      <c r="T55" s="571"/>
      <c r="U55" s="22"/>
      <c r="V55" s="22"/>
      <c r="W55" s="22"/>
      <c r="X55" s="22"/>
      <c r="Y55" s="22"/>
      <c r="Z55" s="22"/>
      <c r="AA55" s="476"/>
      <c r="AB55" s="485"/>
      <c r="AC55" s="449"/>
      <c r="AD55" s="485"/>
      <c r="AE55" s="449"/>
      <c r="AF55" s="449"/>
      <c r="AG55" s="22"/>
      <c r="AH55" s="22"/>
      <c r="AI55" s="449"/>
      <c r="AJ55" s="449"/>
      <c r="AK55" s="449"/>
      <c r="AL55" s="449"/>
      <c r="AM55" s="449"/>
      <c r="AN55" s="765"/>
      <c r="AO55" s="765"/>
      <c r="AP55" s="765"/>
      <c r="AQ55" s="765"/>
      <c r="AR55" s="449"/>
      <c r="AS55" s="489"/>
      <c r="AT55" s="449"/>
      <c r="AU55" s="485"/>
      <c r="AV55" s="22"/>
      <c r="AW55" s="22"/>
      <c r="AX55" s="22"/>
      <c r="AY55" s="22"/>
      <c r="AZ55" s="760"/>
      <c r="BA55" s="760"/>
      <c r="BB55" s="22"/>
      <c r="BC55" s="22"/>
      <c r="BD55" s="22"/>
      <c r="BE55" s="22"/>
      <c r="BF55" s="22"/>
      <c r="BG55" s="22"/>
      <c r="BH55" s="22"/>
      <c r="BI55" s="22"/>
      <c r="BJ55" s="22"/>
      <c r="BK55" s="22"/>
      <c r="BL55" s="22"/>
      <c r="CE55" s="22"/>
      <c r="CF55" s="565"/>
    </row>
    <row r="56" spans="2:84" ht="19.5" customHeight="1">
      <c r="B56" s="502">
        <v>7</v>
      </c>
      <c r="C56" s="502" t="str">
        <f t="shared" ca="1" si="24"/>
        <v/>
      </c>
      <c r="D56" s="504" t="e">
        <f t="shared" ca="1" si="25"/>
        <v>#N/A</v>
      </c>
      <c r="E56" s="504" t="e">
        <f t="shared" ca="1" si="25"/>
        <v>#N/A</v>
      </c>
      <c r="H56" s="18"/>
      <c r="I56" s="19"/>
      <c r="J56" s="19"/>
      <c r="K56" s="20"/>
      <c r="L56" s="22"/>
      <c r="M56" s="22"/>
      <c r="N56" s="22"/>
      <c r="O56" s="22"/>
      <c r="P56" s="22"/>
      <c r="Q56" s="22"/>
      <c r="R56" s="571"/>
      <c r="S56" s="571"/>
      <c r="T56" s="571"/>
      <c r="U56" s="22"/>
      <c r="V56" s="22"/>
      <c r="W56" s="22"/>
      <c r="X56" s="22"/>
      <c r="Y56" s="22"/>
      <c r="Z56" s="22"/>
      <c r="AA56" s="476"/>
      <c r="AB56" s="485"/>
      <c r="AC56" s="449"/>
      <c r="AD56" s="485"/>
      <c r="AE56" s="449"/>
      <c r="AF56" s="449"/>
      <c r="AG56" s="22"/>
      <c r="AH56" s="22"/>
      <c r="AI56" s="449"/>
      <c r="AJ56" s="449"/>
      <c r="AK56" s="449"/>
      <c r="AL56" s="449"/>
      <c r="AM56" s="449"/>
      <c r="AN56" s="765"/>
      <c r="AO56" s="765"/>
      <c r="AP56" s="765"/>
      <c r="AQ56" s="765"/>
      <c r="AR56" s="449"/>
      <c r="AS56" s="489"/>
      <c r="AT56" s="449"/>
      <c r="AU56" s="485"/>
      <c r="AV56" s="22"/>
      <c r="AW56" s="22"/>
      <c r="AX56" s="22"/>
      <c r="AY56" s="22"/>
      <c r="AZ56" s="760"/>
      <c r="BA56" s="760"/>
      <c r="BB56" s="22"/>
      <c r="BC56" s="22"/>
      <c r="BD56" s="22"/>
      <c r="BE56" s="22"/>
      <c r="BF56" s="22"/>
      <c r="BG56" s="22"/>
      <c r="BH56" s="22"/>
      <c r="BI56" s="22"/>
      <c r="BJ56" s="22"/>
      <c r="BK56" s="22"/>
      <c r="BL56" s="22"/>
      <c r="CE56" s="22"/>
      <c r="CF56" s="565"/>
    </row>
    <row r="57" spans="2:84" ht="19.5" customHeight="1">
      <c r="B57" s="502">
        <v>8</v>
      </c>
      <c r="C57" s="502" t="str">
        <f t="shared" ca="1" si="24"/>
        <v/>
      </c>
      <c r="D57" s="504" t="e">
        <f t="shared" ca="1" si="25"/>
        <v>#N/A</v>
      </c>
      <c r="E57" s="504" t="e">
        <f t="shared" ca="1" si="25"/>
        <v>#N/A</v>
      </c>
      <c r="H57" s="18"/>
      <c r="I57" s="19"/>
      <c r="J57" s="19"/>
      <c r="K57" s="20"/>
      <c r="L57" s="22"/>
      <c r="M57" s="22"/>
      <c r="N57" s="22"/>
      <c r="O57" s="22"/>
      <c r="P57" s="22"/>
      <c r="Q57" s="22"/>
      <c r="R57" s="571"/>
      <c r="S57" s="571"/>
      <c r="T57" s="571"/>
      <c r="U57" s="22"/>
      <c r="V57" s="22"/>
      <c r="W57" s="22"/>
      <c r="X57" s="22"/>
      <c r="Y57" s="22"/>
      <c r="Z57" s="22"/>
      <c r="AA57" s="476"/>
      <c r="AB57" s="485"/>
      <c r="AC57" s="449"/>
      <c r="AD57" s="485"/>
      <c r="AE57" s="449"/>
      <c r="AF57" s="449"/>
      <c r="AG57" s="22"/>
      <c r="AH57" s="22"/>
      <c r="AI57" s="449"/>
      <c r="AJ57" s="449"/>
      <c r="AK57" s="449"/>
      <c r="AL57" s="449"/>
      <c r="AM57" s="449"/>
      <c r="AN57" s="765"/>
      <c r="AO57" s="765"/>
      <c r="AP57" s="765"/>
      <c r="AQ57" s="765"/>
      <c r="AR57" s="449"/>
      <c r="AS57" s="489"/>
      <c r="AT57" s="449"/>
      <c r="AU57" s="485"/>
      <c r="AV57" s="22"/>
      <c r="AW57" s="22"/>
      <c r="AX57" s="22"/>
      <c r="AY57" s="22"/>
      <c r="AZ57" s="760"/>
      <c r="BA57" s="760"/>
      <c r="BB57" s="22"/>
      <c r="BC57" s="22"/>
      <c r="BD57" s="22"/>
      <c r="BE57" s="22"/>
      <c r="BF57" s="22"/>
      <c r="BG57" s="22"/>
      <c r="BH57" s="22"/>
      <c r="BI57" s="22"/>
      <c r="BJ57" s="22"/>
      <c r="BK57" s="22"/>
      <c r="BL57" s="22"/>
      <c r="CE57" s="22"/>
      <c r="CF57" s="565"/>
    </row>
    <row r="58" spans="2:84" ht="19.5" customHeight="1">
      <c r="B58" s="502">
        <v>9</v>
      </c>
      <c r="C58" s="502" t="str">
        <f t="shared" ca="1" si="24"/>
        <v/>
      </c>
      <c r="D58" s="504" t="e">
        <f t="shared" ca="1" si="25"/>
        <v>#N/A</v>
      </c>
      <c r="E58" s="504" t="e">
        <f t="shared" ca="1" si="25"/>
        <v>#N/A</v>
      </c>
      <c r="H58" s="18"/>
      <c r="I58" s="19"/>
      <c r="J58" s="19"/>
      <c r="K58" s="20"/>
      <c r="L58" s="22"/>
      <c r="M58" s="22"/>
      <c r="N58" s="22"/>
      <c r="O58" s="22"/>
      <c r="P58" s="22"/>
      <c r="Q58" s="22"/>
      <c r="R58" s="571"/>
      <c r="S58" s="571"/>
      <c r="T58" s="571"/>
      <c r="U58" s="22"/>
      <c r="V58" s="22"/>
      <c r="W58" s="22"/>
      <c r="X58" s="22"/>
      <c r="Y58" s="22"/>
      <c r="Z58" s="22"/>
      <c r="AA58" s="476"/>
      <c r="AB58" s="485"/>
      <c r="AC58" s="449"/>
      <c r="AD58" s="485"/>
      <c r="AE58" s="449"/>
      <c r="AF58" s="449"/>
      <c r="AG58" s="22"/>
      <c r="AH58" s="22"/>
      <c r="AI58" s="449"/>
      <c r="AJ58" s="449"/>
      <c r="AK58" s="449"/>
      <c r="AL58" s="449"/>
      <c r="AM58" s="449"/>
      <c r="AN58" s="765"/>
      <c r="AO58" s="765"/>
      <c r="AP58" s="765"/>
      <c r="AQ58" s="765"/>
      <c r="AR58" s="449"/>
      <c r="AS58" s="489"/>
      <c r="AT58" s="449"/>
      <c r="AU58" s="485"/>
      <c r="AV58" s="22"/>
      <c r="AW58" s="22"/>
      <c r="AX58" s="22"/>
      <c r="AY58" s="22"/>
      <c r="AZ58" s="760"/>
      <c r="BA58" s="760"/>
      <c r="BB58" s="22"/>
      <c r="BC58" s="22"/>
      <c r="BD58" s="22"/>
      <c r="BE58" s="22"/>
      <c r="BF58" s="22"/>
      <c r="BG58" s="22"/>
      <c r="BH58" s="22"/>
      <c r="BI58" s="22"/>
      <c r="BJ58" s="22"/>
      <c r="BK58" s="22"/>
      <c r="BL58" s="22"/>
      <c r="CE58" s="22"/>
      <c r="CF58" s="565"/>
    </row>
    <row r="59" spans="2:84" ht="19.5" customHeight="1">
      <c r="B59" s="502">
        <v>10</v>
      </c>
      <c r="C59" s="502" t="str">
        <f t="shared" ca="1" si="24"/>
        <v/>
      </c>
      <c r="D59" s="504" t="e">
        <f t="shared" ca="1" si="25"/>
        <v>#N/A</v>
      </c>
      <c r="E59" s="504" t="e">
        <f t="shared" ca="1" si="25"/>
        <v>#N/A</v>
      </c>
      <c r="H59" s="18"/>
      <c r="I59" s="19"/>
      <c r="J59" s="19"/>
      <c r="K59" s="20"/>
      <c r="L59" s="22"/>
      <c r="M59" s="22"/>
      <c r="N59" s="22"/>
      <c r="O59" s="22"/>
      <c r="P59" s="22"/>
      <c r="Q59" s="22"/>
      <c r="R59" s="571"/>
      <c r="S59" s="571"/>
      <c r="T59" s="571"/>
      <c r="U59" s="22"/>
      <c r="V59" s="22"/>
      <c r="W59" s="22"/>
      <c r="X59" s="22"/>
      <c r="Y59" s="22"/>
      <c r="Z59" s="22"/>
      <c r="AA59" s="476"/>
      <c r="AB59" s="485"/>
      <c r="AC59" s="449"/>
      <c r="AD59" s="485"/>
      <c r="AE59" s="449"/>
      <c r="AF59" s="449"/>
      <c r="AG59" s="22"/>
      <c r="AH59" s="22"/>
      <c r="AI59" s="449"/>
      <c r="AJ59" s="449"/>
      <c r="AK59" s="449"/>
      <c r="AL59" s="449"/>
      <c r="AM59" s="449"/>
      <c r="AN59" s="765"/>
      <c r="AO59" s="765"/>
      <c r="AP59" s="765"/>
      <c r="AQ59" s="765"/>
      <c r="AR59" s="449"/>
      <c r="AS59" s="489"/>
      <c r="AT59" s="449"/>
      <c r="AU59" s="485"/>
      <c r="AV59" s="22"/>
      <c r="AW59" s="22"/>
      <c r="AX59" s="22"/>
      <c r="AY59" s="22"/>
      <c r="AZ59" s="760"/>
      <c r="BA59" s="760"/>
      <c r="BB59" s="22"/>
      <c r="BC59" s="22"/>
      <c r="BD59" s="22"/>
      <c r="BE59" s="22"/>
      <c r="BF59" s="22"/>
      <c r="BG59" s="22"/>
      <c r="BH59" s="22"/>
      <c r="BI59" s="22"/>
      <c r="BJ59" s="22"/>
      <c r="BK59" s="22"/>
      <c r="BL59" s="22"/>
      <c r="CE59" s="22"/>
      <c r="CF59" s="565"/>
    </row>
    <row r="60" spans="2:84" ht="19.5" customHeight="1">
      <c r="B60" s="502">
        <v>11</v>
      </c>
      <c r="C60" s="502" t="str">
        <f t="shared" ca="1" si="24"/>
        <v/>
      </c>
      <c r="D60" s="504" t="e">
        <f t="shared" ca="1" si="25"/>
        <v>#N/A</v>
      </c>
      <c r="E60" s="504" t="e">
        <f t="shared" ca="1" si="25"/>
        <v>#N/A</v>
      </c>
      <c r="H60" s="18"/>
      <c r="I60" s="19"/>
      <c r="J60" s="19"/>
      <c r="K60" s="20"/>
      <c r="L60" s="22"/>
      <c r="M60" s="22"/>
      <c r="N60" s="22"/>
      <c r="O60" s="22"/>
      <c r="P60" s="22"/>
      <c r="Q60" s="22"/>
      <c r="R60" s="571"/>
      <c r="S60" s="571"/>
      <c r="T60" s="571"/>
      <c r="U60" s="22"/>
      <c r="V60" s="22"/>
      <c r="W60" s="22"/>
      <c r="X60" s="22"/>
      <c r="Y60" s="22"/>
      <c r="Z60" s="22"/>
      <c r="AA60" s="476"/>
      <c r="AB60" s="485"/>
      <c r="AC60" s="449"/>
      <c r="AD60" s="485"/>
      <c r="AE60" s="449"/>
      <c r="AF60" s="449"/>
      <c r="AG60" s="22"/>
      <c r="AH60" s="22"/>
      <c r="AI60" s="449"/>
      <c r="AJ60" s="449"/>
      <c r="AK60" s="449"/>
      <c r="AL60" s="449"/>
      <c r="AM60" s="449"/>
      <c r="AN60" s="765"/>
      <c r="AO60" s="765"/>
      <c r="AP60" s="765"/>
      <c r="AQ60" s="765"/>
      <c r="AR60" s="449"/>
      <c r="AS60" s="489"/>
      <c r="AT60" s="449"/>
      <c r="AU60" s="485"/>
      <c r="AV60" s="22"/>
      <c r="AW60" s="22"/>
      <c r="AX60" s="22"/>
      <c r="AY60" s="22"/>
      <c r="AZ60" s="760"/>
      <c r="BA60" s="760"/>
      <c r="BB60" s="22"/>
      <c r="BC60" s="22"/>
      <c r="BD60" s="22"/>
      <c r="BE60" s="22"/>
      <c r="BF60" s="22"/>
      <c r="BG60" s="22"/>
      <c r="BH60" s="22"/>
      <c r="BI60" s="22"/>
      <c r="BJ60" s="22"/>
      <c r="BK60" s="22"/>
      <c r="BL60" s="22"/>
      <c r="CE60" s="22"/>
      <c r="CF60" s="565"/>
    </row>
    <row r="61" spans="2:84" ht="19.5" customHeight="1">
      <c r="B61" s="502">
        <v>12</v>
      </c>
      <c r="C61" s="502" t="str">
        <f t="shared" ca="1" si="24"/>
        <v/>
      </c>
      <c r="D61" s="504" t="e">
        <f ca="1">CHOOSE($C$48,D94,D111)</f>
        <v>#N/A</v>
      </c>
      <c r="E61" s="504" t="e">
        <f ca="1">CHOOSE($C$48,E94,E111)</f>
        <v>#N/A</v>
      </c>
      <c r="H61" s="18"/>
      <c r="I61" s="19"/>
      <c r="J61" s="19"/>
      <c r="K61" s="20"/>
      <c r="L61" s="22"/>
      <c r="M61" s="22"/>
      <c r="N61" s="22"/>
      <c r="O61" s="22"/>
      <c r="P61" s="22"/>
      <c r="Q61" s="22"/>
      <c r="R61" s="571"/>
      <c r="S61" s="571"/>
      <c r="T61" s="571"/>
      <c r="U61" s="22"/>
      <c r="V61" s="22"/>
      <c r="W61" s="22"/>
      <c r="X61" s="22"/>
      <c r="Y61" s="22"/>
      <c r="Z61" s="22"/>
      <c r="AA61" s="476"/>
      <c r="AB61" s="485"/>
      <c r="AC61" s="449"/>
      <c r="AD61" s="485"/>
      <c r="AE61" s="449"/>
      <c r="AF61" s="449"/>
      <c r="AG61" s="22"/>
      <c r="AH61" s="22"/>
      <c r="AI61" s="449"/>
      <c r="AJ61" s="449"/>
      <c r="AK61" s="449"/>
      <c r="AL61" s="449"/>
      <c r="AM61" s="449"/>
      <c r="AN61" s="765"/>
      <c r="AO61" s="765"/>
      <c r="AP61" s="765"/>
      <c r="AQ61" s="765"/>
      <c r="AR61" s="449"/>
      <c r="AS61" s="489"/>
      <c r="AT61" s="449"/>
      <c r="AU61" s="485"/>
      <c r="AV61" s="22"/>
      <c r="AW61" s="22"/>
      <c r="AX61" s="22"/>
      <c r="AY61" s="22"/>
      <c r="AZ61" s="760"/>
      <c r="BA61" s="760"/>
      <c r="BB61" s="22"/>
      <c r="BC61" s="22"/>
      <c r="BD61" s="22"/>
      <c r="BE61" s="22"/>
      <c r="BF61" s="22"/>
      <c r="BG61" s="22"/>
      <c r="BH61" s="22"/>
      <c r="BI61" s="22"/>
      <c r="BJ61" s="22"/>
      <c r="BK61" s="22"/>
      <c r="BL61" s="22"/>
      <c r="CE61" s="22"/>
      <c r="CF61" s="565"/>
    </row>
    <row r="62" spans="2:84" ht="19.5" customHeight="1">
      <c r="H62" s="18"/>
      <c r="I62" s="19"/>
      <c r="J62" s="19"/>
      <c r="K62" s="20"/>
      <c r="L62" s="22"/>
      <c r="M62" s="22"/>
      <c r="N62" s="22"/>
      <c r="O62" s="22"/>
      <c r="P62" s="22"/>
      <c r="Q62" s="22"/>
      <c r="R62" s="571"/>
      <c r="S62" s="571"/>
      <c r="T62" s="571"/>
      <c r="U62" s="22"/>
      <c r="V62" s="22"/>
      <c r="W62" s="22"/>
      <c r="X62" s="22"/>
      <c r="Y62" s="22"/>
      <c r="Z62" s="22"/>
      <c r="AA62" s="476"/>
      <c r="AB62" s="485"/>
      <c r="AC62" s="449"/>
      <c r="AD62" s="485"/>
      <c r="AE62" s="449"/>
      <c r="AF62" s="449"/>
      <c r="AG62" s="22"/>
      <c r="AH62" s="22"/>
      <c r="AI62" s="449"/>
      <c r="AJ62" s="449"/>
      <c r="AK62" s="449"/>
      <c r="AL62" s="449"/>
      <c r="AM62" s="449"/>
      <c r="AN62" s="765"/>
      <c r="AO62" s="765"/>
      <c r="AP62" s="765"/>
      <c r="AQ62" s="765"/>
      <c r="AR62" s="449"/>
      <c r="AS62" s="489"/>
      <c r="AT62" s="449"/>
      <c r="AU62" s="485"/>
      <c r="AV62" s="22"/>
      <c r="AW62" s="22"/>
      <c r="AX62" s="22"/>
      <c r="AY62" s="22"/>
      <c r="AZ62" s="760"/>
      <c r="BA62" s="760"/>
      <c r="BB62" s="22"/>
      <c r="BC62" s="22"/>
      <c r="BD62" s="22"/>
      <c r="BE62" s="22"/>
      <c r="BF62" s="22"/>
      <c r="BG62" s="22"/>
      <c r="BH62" s="22"/>
      <c r="BI62" s="22"/>
      <c r="BJ62" s="22"/>
      <c r="BK62" s="22"/>
      <c r="BL62" s="22"/>
      <c r="CE62" s="22"/>
      <c r="CF62" s="565"/>
    </row>
    <row r="63" spans="2:84" ht="19.5" customHeight="1">
      <c r="H63" s="18"/>
      <c r="I63" s="19"/>
      <c r="J63" s="19"/>
      <c r="K63" s="20"/>
      <c r="L63" s="22"/>
      <c r="M63" s="22"/>
      <c r="N63" s="22"/>
      <c r="O63" s="22"/>
      <c r="P63" s="22"/>
      <c r="Q63" s="22"/>
      <c r="R63" s="571"/>
      <c r="S63" s="571"/>
      <c r="T63" s="571"/>
      <c r="U63" s="22"/>
      <c r="V63" s="22"/>
      <c r="W63" s="22"/>
      <c r="X63" s="22"/>
      <c r="Y63" s="22"/>
      <c r="Z63" s="22"/>
      <c r="AA63" s="476"/>
      <c r="AB63" s="485"/>
      <c r="AC63" s="449"/>
      <c r="AD63" s="485"/>
      <c r="AE63" s="449"/>
      <c r="AF63" s="449"/>
      <c r="AG63" s="22"/>
      <c r="AH63" s="22"/>
      <c r="AI63" s="449"/>
      <c r="AJ63" s="449"/>
      <c r="AK63" s="449"/>
      <c r="AL63" s="449"/>
      <c r="AM63" s="449"/>
      <c r="AN63" s="765"/>
      <c r="AO63" s="765"/>
      <c r="AP63" s="765"/>
      <c r="AQ63" s="765"/>
      <c r="AR63" s="449"/>
      <c r="AS63" s="489"/>
      <c r="AT63" s="449"/>
      <c r="AU63" s="485"/>
      <c r="AV63" s="22"/>
      <c r="AW63" s="22"/>
      <c r="AX63" s="22"/>
      <c r="AY63" s="22"/>
      <c r="AZ63" s="760"/>
      <c r="BA63" s="760"/>
      <c r="BB63" s="22"/>
      <c r="BC63" s="22"/>
      <c r="BD63" s="22"/>
      <c r="BE63" s="22"/>
      <c r="BF63" s="22"/>
      <c r="BG63" s="22"/>
      <c r="BH63" s="22"/>
      <c r="BI63" s="22"/>
      <c r="BJ63" s="22"/>
      <c r="BK63" s="22"/>
      <c r="BL63" s="22"/>
      <c r="CE63" s="22"/>
      <c r="CF63" s="565"/>
    </row>
    <row r="64" spans="2:84" ht="19.5" customHeight="1">
      <c r="H64" s="18"/>
      <c r="I64" s="19"/>
      <c r="J64" s="19"/>
      <c r="K64" s="20"/>
      <c r="L64" s="22"/>
      <c r="M64" s="22"/>
      <c r="N64" s="22"/>
      <c r="O64" s="22"/>
      <c r="P64" s="22"/>
      <c r="Q64" s="22"/>
      <c r="R64" s="571"/>
      <c r="S64" s="571"/>
      <c r="T64" s="571"/>
      <c r="U64" s="22"/>
      <c r="V64" s="22"/>
      <c r="W64" s="22"/>
      <c r="X64" s="22"/>
      <c r="Y64" s="22"/>
      <c r="Z64" s="22"/>
      <c r="AA64" s="476"/>
      <c r="AB64" s="485"/>
      <c r="AC64" s="449"/>
      <c r="AD64" s="485"/>
      <c r="AE64" s="449"/>
      <c r="AF64" s="449"/>
      <c r="AG64" s="22"/>
      <c r="AH64" s="22"/>
      <c r="AI64" s="449"/>
      <c r="AJ64" s="449"/>
      <c r="AK64" s="449"/>
      <c r="AL64" s="449"/>
      <c r="AM64" s="449"/>
      <c r="AN64" s="765"/>
      <c r="AO64" s="765"/>
      <c r="AP64" s="765"/>
      <c r="AQ64" s="765"/>
      <c r="AR64" s="449"/>
      <c r="AS64" s="489"/>
      <c r="AT64" s="449"/>
      <c r="AU64" s="485"/>
      <c r="AV64" s="22"/>
      <c r="AW64" s="22"/>
      <c r="AX64" s="22"/>
      <c r="AY64" s="22"/>
      <c r="AZ64" s="760"/>
      <c r="BA64" s="760"/>
      <c r="BB64" s="22"/>
      <c r="BC64" s="22"/>
      <c r="BD64" s="22"/>
      <c r="BE64" s="22"/>
      <c r="BF64" s="22"/>
      <c r="BG64" s="22"/>
      <c r="BH64" s="22"/>
      <c r="BI64" s="22"/>
      <c r="BJ64" s="22"/>
      <c r="BK64" s="22"/>
      <c r="BL64" s="22"/>
      <c r="CE64" s="22"/>
      <c r="CF64" s="565"/>
    </row>
    <row r="65" spans="2:84" ht="19.5" customHeight="1">
      <c r="B65" s="459" t="s">
        <v>2120</v>
      </c>
      <c r="H65" s="18"/>
      <c r="I65" s="19"/>
      <c r="J65" s="19"/>
      <c r="K65" s="20"/>
      <c r="L65" s="22"/>
      <c r="M65" s="22"/>
      <c r="N65" s="22"/>
      <c r="O65" s="22"/>
      <c r="P65" s="22"/>
      <c r="Q65" s="22"/>
      <c r="R65" s="571"/>
      <c r="S65" s="571"/>
      <c r="T65" s="571"/>
      <c r="U65" s="22"/>
      <c r="V65" s="22"/>
      <c r="W65" s="22"/>
      <c r="X65" s="22"/>
      <c r="Y65" s="22"/>
      <c r="Z65" s="22"/>
      <c r="AA65" s="476"/>
      <c r="AB65" s="485"/>
      <c r="AC65" s="449"/>
      <c r="AD65" s="485"/>
      <c r="AE65" s="449"/>
      <c r="AF65" s="449"/>
      <c r="AG65" s="22"/>
      <c r="AH65" s="22"/>
      <c r="AI65" s="449"/>
      <c r="AJ65" s="449"/>
      <c r="AK65" s="449"/>
      <c r="AL65" s="449"/>
      <c r="AM65" s="449"/>
      <c r="AN65" s="765"/>
      <c r="AO65" s="765"/>
      <c r="AP65" s="765"/>
      <c r="AQ65" s="765"/>
      <c r="AR65" s="449"/>
      <c r="AS65" s="489"/>
      <c r="AT65" s="449"/>
      <c r="AU65" s="485"/>
      <c r="AV65" s="22"/>
      <c r="AW65" s="22"/>
      <c r="AX65" s="22"/>
      <c r="AY65" s="22"/>
      <c r="AZ65" s="760"/>
      <c r="BA65" s="760"/>
      <c r="BB65" s="22"/>
      <c r="BC65" s="22"/>
      <c r="BD65" s="22"/>
      <c r="BE65" s="22"/>
      <c r="BF65" s="22"/>
      <c r="BG65" s="22"/>
      <c r="BH65" s="22"/>
      <c r="BI65" s="22"/>
      <c r="BJ65" s="22"/>
      <c r="BK65" s="22"/>
      <c r="BL65" s="22"/>
      <c r="CE65" s="22"/>
      <c r="CF65" s="565"/>
    </row>
    <row r="66" spans="2:84" ht="19.5" customHeight="1">
      <c r="B66" s="28" t="s">
        <v>2023</v>
      </c>
      <c r="C66" s="459">
        <f ca="1">C16</f>
        <v>1</v>
      </c>
      <c r="H66" s="18"/>
      <c r="I66" s="19"/>
      <c r="J66" s="19"/>
      <c r="K66" s="20"/>
      <c r="L66" s="22"/>
      <c r="M66" s="22"/>
      <c r="N66" s="22"/>
      <c r="O66" s="22"/>
      <c r="P66" s="22"/>
      <c r="Q66" s="22"/>
      <c r="R66" s="571"/>
      <c r="S66" s="571"/>
      <c r="T66" s="571"/>
      <c r="U66" s="22"/>
      <c r="V66" s="22"/>
      <c r="W66" s="22"/>
      <c r="X66" s="22"/>
      <c r="Y66" s="22"/>
      <c r="Z66" s="22"/>
      <c r="AA66" s="476"/>
      <c r="AB66" s="485"/>
      <c r="AC66" s="449"/>
      <c r="AD66" s="485"/>
      <c r="AE66" s="449"/>
      <c r="AF66" s="449"/>
      <c r="AG66" s="22"/>
      <c r="AH66" s="22"/>
      <c r="AI66" s="449"/>
      <c r="AJ66" s="449"/>
      <c r="AK66" s="449"/>
      <c r="AL66" s="449"/>
      <c r="AM66" s="449"/>
      <c r="AN66" s="765"/>
      <c r="AO66" s="765"/>
      <c r="AP66" s="765"/>
      <c r="AQ66" s="765"/>
      <c r="AR66" s="449"/>
      <c r="AS66" s="489"/>
      <c r="AT66" s="449"/>
      <c r="AU66" s="485"/>
      <c r="AV66" s="22"/>
      <c r="AW66" s="22"/>
      <c r="AX66" s="22"/>
      <c r="AY66" s="22"/>
      <c r="AZ66" s="760"/>
      <c r="BA66" s="760"/>
      <c r="BB66" s="22"/>
      <c r="BC66" s="22"/>
      <c r="BD66" s="22"/>
      <c r="BE66" s="22"/>
      <c r="BF66" s="22"/>
      <c r="BG66" s="22"/>
      <c r="BH66" s="22"/>
      <c r="BI66" s="22"/>
      <c r="BJ66" s="22"/>
      <c r="BK66" s="22"/>
      <c r="BL66" s="22"/>
      <c r="CE66" s="22"/>
      <c r="CF66" s="565"/>
    </row>
    <row r="67" spans="2:84" ht="19.5" customHeight="1">
      <c r="B67" s="12" t="s">
        <v>1980</v>
      </c>
      <c r="C67" s="12" t="s">
        <v>1979</v>
      </c>
      <c r="D67" s="109" t="s">
        <v>2238</v>
      </c>
      <c r="E67" s="109" t="s">
        <v>2239</v>
      </c>
      <c r="F67" s="12" t="s">
        <v>1981</v>
      </c>
      <c r="H67" s="18"/>
      <c r="I67" s="19"/>
      <c r="J67" s="19"/>
      <c r="K67" s="20"/>
      <c r="L67" s="22"/>
      <c r="M67" s="22"/>
      <c r="N67" s="22"/>
      <c r="O67" s="22"/>
      <c r="P67" s="22"/>
      <c r="Q67" s="22"/>
      <c r="R67" s="571"/>
      <c r="S67" s="571"/>
      <c r="T67" s="571"/>
      <c r="U67" s="22"/>
      <c r="V67" s="22"/>
      <c r="W67" s="22"/>
      <c r="X67" s="22"/>
      <c r="Y67" s="22"/>
      <c r="Z67" s="22"/>
      <c r="AA67" s="476"/>
      <c r="AB67" s="485"/>
      <c r="AC67" s="449"/>
      <c r="AD67" s="485"/>
      <c r="AE67" s="449"/>
      <c r="AF67" s="449"/>
      <c r="AG67" s="22"/>
      <c r="AH67" s="22"/>
      <c r="AI67" s="449"/>
      <c r="AJ67" s="449"/>
      <c r="AK67" s="449"/>
      <c r="AL67" s="449"/>
      <c r="AM67" s="449"/>
      <c r="AN67" s="765"/>
      <c r="AO67" s="765"/>
      <c r="AP67" s="765"/>
      <c r="AQ67" s="765"/>
      <c r="AR67" s="449"/>
      <c r="AS67" s="489"/>
      <c r="AT67" s="449"/>
      <c r="AU67" s="485"/>
      <c r="AV67" s="22"/>
      <c r="AW67" s="22"/>
      <c r="AX67" s="22"/>
      <c r="AY67" s="22"/>
      <c r="AZ67" s="760"/>
      <c r="BA67" s="760"/>
      <c r="BB67" s="22"/>
      <c r="BC67" s="22"/>
      <c r="BD67" s="22"/>
      <c r="BE67" s="22"/>
      <c r="BF67" s="22"/>
      <c r="BG67" s="22"/>
      <c r="BH67" s="22"/>
      <c r="BI67" s="22"/>
      <c r="BJ67" s="22"/>
      <c r="BK67" s="22"/>
      <c r="BL67" s="22"/>
      <c r="CE67" s="22"/>
      <c r="CF67" s="565"/>
    </row>
    <row r="68" spans="2:84" ht="19.5" customHeight="1">
      <c r="B68" s="12" t="s">
        <v>163</v>
      </c>
      <c r="C68" s="12" t="s">
        <v>163</v>
      </c>
      <c r="D68" s="562">
        <f t="shared" ref="D68:D78" ca="1" si="26">SUMIFS($CE$7:$CE$36,$AE$7:$AE$36,$B68)*100</f>
        <v>0</v>
      </c>
      <c r="E68" s="562">
        <f t="shared" ref="E68:E78" ca="1" si="27">SUMIFS($CF$7:$CF$36,$AE$7:$AE$36,$B68)*100</f>
        <v>0</v>
      </c>
      <c r="F68" s="12">
        <f t="shared" ref="F68:F78" ca="1" si="28">RANK(D68,$D$68:$D$78)</f>
        <v>5</v>
      </c>
      <c r="H68" s="18"/>
      <c r="I68" s="19"/>
      <c r="J68" s="19"/>
      <c r="K68" s="20"/>
      <c r="L68" s="22"/>
      <c r="M68" s="22"/>
      <c r="N68" s="22"/>
      <c r="O68" s="22"/>
      <c r="P68" s="22"/>
      <c r="Q68" s="22"/>
      <c r="R68" s="571"/>
      <c r="S68" s="571"/>
      <c r="T68" s="571"/>
      <c r="U68" s="22"/>
      <c r="V68" s="22"/>
      <c r="W68" s="22"/>
      <c r="X68" s="22"/>
      <c r="Y68" s="22"/>
      <c r="Z68" s="22"/>
      <c r="AA68" s="476"/>
      <c r="AB68" s="485"/>
      <c r="AC68" s="449"/>
      <c r="AD68" s="485"/>
      <c r="AE68" s="449"/>
      <c r="AF68" s="449"/>
      <c r="AG68" s="22"/>
      <c r="AH68" s="22"/>
      <c r="AI68" s="449"/>
      <c r="AJ68" s="449"/>
      <c r="AK68" s="449"/>
      <c r="AL68" s="449"/>
      <c r="AM68" s="449"/>
      <c r="AN68" s="765"/>
      <c r="AO68" s="765"/>
      <c r="AP68" s="765"/>
      <c r="AQ68" s="765"/>
      <c r="AR68" s="449"/>
      <c r="AS68" s="489"/>
      <c r="AT68" s="449"/>
      <c r="AU68" s="485"/>
      <c r="AV68" s="22"/>
      <c r="AW68" s="22"/>
      <c r="AX68" s="22"/>
      <c r="AY68" s="22"/>
      <c r="AZ68" s="760"/>
      <c r="BA68" s="760"/>
      <c r="BB68" s="22"/>
      <c r="BC68" s="22"/>
      <c r="BD68" s="22"/>
      <c r="BE68" s="22"/>
      <c r="BF68" s="22"/>
      <c r="BG68" s="22"/>
      <c r="BH68" s="22"/>
      <c r="BI68" s="22"/>
      <c r="BJ68" s="22"/>
      <c r="BK68" s="22"/>
      <c r="BL68" s="22"/>
      <c r="CE68" s="22"/>
      <c r="CF68" s="565"/>
    </row>
    <row r="69" spans="2:84" ht="19.5" customHeight="1">
      <c r="B69" s="12" t="s">
        <v>165</v>
      </c>
      <c r="C69" s="12" t="s">
        <v>165</v>
      </c>
      <c r="D69" s="562">
        <f t="shared" ca="1" si="26"/>
        <v>0</v>
      </c>
      <c r="E69" s="562">
        <f t="shared" ca="1" si="27"/>
        <v>0</v>
      </c>
      <c r="F69" s="12">
        <f t="shared" ca="1" si="28"/>
        <v>5</v>
      </c>
      <c r="H69" s="18"/>
      <c r="I69" s="19"/>
      <c r="J69" s="19"/>
      <c r="K69" s="20"/>
      <c r="L69" s="22"/>
      <c r="M69" s="22"/>
      <c r="N69" s="22"/>
      <c r="O69" s="22"/>
      <c r="P69" s="22"/>
      <c r="Q69" s="22"/>
      <c r="R69" s="571"/>
      <c r="S69" s="571"/>
      <c r="T69" s="571"/>
      <c r="U69" s="22"/>
      <c r="V69" s="22"/>
      <c r="W69" s="22"/>
      <c r="X69" s="22"/>
      <c r="Y69" s="22"/>
      <c r="Z69" s="22"/>
      <c r="AA69" s="476"/>
      <c r="AB69" s="485"/>
      <c r="AC69" s="449"/>
      <c r="AD69" s="485"/>
      <c r="AE69" s="449"/>
      <c r="AF69" s="449"/>
      <c r="AG69" s="22"/>
      <c r="AH69" s="22"/>
      <c r="AI69" s="449"/>
      <c r="AJ69" s="449"/>
      <c r="AK69" s="449"/>
      <c r="AL69" s="449"/>
      <c r="AM69" s="449"/>
      <c r="AN69" s="765"/>
      <c r="AO69" s="765"/>
      <c r="AP69" s="765"/>
      <c r="AQ69" s="765"/>
      <c r="AR69" s="449"/>
      <c r="AS69" s="489"/>
      <c r="AT69" s="449"/>
      <c r="AU69" s="485"/>
      <c r="AV69" s="22"/>
      <c r="AW69" s="22"/>
      <c r="AX69" s="22"/>
      <c r="AY69" s="22"/>
      <c r="AZ69" s="760"/>
      <c r="BA69" s="760"/>
      <c r="BB69" s="22"/>
      <c r="BC69" s="22"/>
      <c r="BD69" s="22"/>
      <c r="BE69" s="22"/>
      <c r="BF69" s="22"/>
      <c r="BG69" s="22"/>
      <c r="BH69" s="22"/>
      <c r="BI69" s="22"/>
      <c r="BJ69" s="22"/>
      <c r="BK69" s="22"/>
      <c r="BL69" s="22"/>
      <c r="CE69" s="22"/>
      <c r="CF69" s="565"/>
    </row>
    <row r="70" spans="2:84" ht="19.5" customHeight="1">
      <c r="B70" s="12" t="s">
        <v>167</v>
      </c>
      <c r="C70" s="12" t="s">
        <v>167</v>
      </c>
      <c r="D70" s="562">
        <f t="shared" ca="1" si="26"/>
        <v>33.721977102794789</v>
      </c>
      <c r="E70" s="562">
        <f t="shared" ca="1" si="27"/>
        <v>32.635114438421311</v>
      </c>
      <c r="F70" s="12">
        <f t="shared" ca="1" si="28"/>
        <v>1</v>
      </c>
      <c r="H70" s="18"/>
      <c r="I70" s="19"/>
      <c r="J70" s="19"/>
      <c r="K70" s="20"/>
      <c r="L70" s="22"/>
      <c r="M70" s="22"/>
      <c r="N70" s="22"/>
      <c r="O70" s="22"/>
      <c r="P70" s="22"/>
      <c r="Q70" s="22"/>
      <c r="R70" s="571"/>
      <c r="S70" s="571"/>
      <c r="T70" s="571"/>
      <c r="U70" s="22"/>
      <c r="V70" s="22"/>
      <c r="W70" s="22"/>
      <c r="X70" s="22"/>
      <c r="Y70" s="22"/>
      <c r="Z70" s="22"/>
      <c r="AA70" s="476"/>
      <c r="AB70" s="485"/>
      <c r="AC70" s="449"/>
      <c r="AD70" s="485"/>
      <c r="AE70" s="449"/>
      <c r="AF70" s="449"/>
      <c r="AG70" s="22"/>
      <c r="AH70" s="22"/>
      <c r="AI70" s="449"/>
      <c r="AJ70" s="449"/>
      <c r="AK70" s="449"/>
      <c r="AL70" s="449"/>
      <c r="AM70" s="449"/>
      <c r="AN70" s="765"/>
      <c r="AO70" s="765"/>
      <c r="AP70" s="765"/>
      <c r="AQ70" s="765"/>
      <c r="AR70" s="449"/>
      <c r="AS70" s="489"/>
      <c r="AT70" s="449"/>
      <c r="AU70" s="485"/>
      <c r="AV70" s="22"/>
      <c r="AW70" s="22"/>
      <c r="AX70" s="22"/>
      <c r="AY70" s="22"/>
      <c r="AZ70" s="760"/>
      <c r="BA70" s="760"/>
      <c r="BB70" s="22"/>
      <c r="BC70" s="22"/>
      <c r="BD70" s="22"/>
      <c r="BE70" s="22"/>
      <c r="BF70" s="22"/>
      <c r="BG70" s="22"/>
      <c r="BH70" s="22"/>
      <c r="BI70" s="22"/>
      <c r="BJ70" s="22"/>
      <c r="BK70" s="22"/>
      <c r="BL70" s="22"/>
      <c r="CE70" s="22"/>
      <c r="CF70" s="565"/>
    </row>
    <row r="71" spans="2:84" ht="19.5" customHeight="1">
      <c r="B71" s="12" t="s">
        <v>171</v>
      </c>
      <c r="C71" s="12" t="s">
        <v>171</v>
      </c>
      <c r="D71" s="562">
        <f t="shared" ca="1" si="26"/>
        <v>0</v>
      </c>
      <c r="E71" s="562">
        <f t="shared" ca="1" si="27"/>
        <v>0</v>
      </c>
      <c r="F71" s="12">
        <f t="shared" ca="1" si="28"/>
        <v>5</v>
      </c>
      <c r="H71" s="18"/>
      <c r="I71" s="19"/>
      <c r="J71" s="19"/>
      <c r="K71" s="20"/>
      <c r="L71" s="22"/>
      <c r="M71" s="22"/>
      <c r="N71" s="22"/>
      <c r="O71" s="22"/>
      <c r="P71" s="22"/>
      <c r="Q71" s="22"/>
      <c r="R71" s="571"/>
      <c r="S71" s="571"/>
      <c r="T71" s="571"/>
      <c r="U71" s="22"/>
      <c r="V71" s="22"/>
      <c r="W71" s="22"/>
      <c r="X71" s="22"/>
      <c r="Y71" s="22"/>
      <c r="Z71" s="22"/>
      <c r="AA71" s="476"/>
      <c r="AB71" s="485"/>
      <c r="AC71" s="449"/>
      <c r="AD71" s="485"/>
      <c r="AE71" s="449"/>
      <c r="AF71" s="449"/>
      <c r="AG71" s="22"/>
      <c r="AH71" s="22"/>
      <c r="AI71" s="449"/>
      <c r="AJ71" s="449"/>
      <c r="AK71" s="449"/>
      <c r="AL71" s="449"/>
      <c r="AM71" s="449"/>
      <c r="AN71" s="765"/>
      <c r="AO71" s="765"/>
      <c r="AP71" s="765"/>
      <c r="AQ71" s="765"/>
      <c r="AR71" s="449"/>
      <c r="AS71" s="489"/>
      <c r="AT71" s="449"/>
      <c r="AU71" s="485"/>
      <c r="AV71" s="22"/>
      <c r="AW71" s="22"/>
      <c r="AX71" s="22"/>
      <c r="AY71" s="22"/>
      <c r="AZ71" s="760"/>
      <c r="BA71" s="760"/>
      <c r="BB71" s="22"/>
      <c r="BC71" s="22"/>
      <c r="BD71" s="22"/>
      <c r="BE71" s="22"/>
      <c r="BF71" s="22"/>
      <c r="BG71" s="22"/>
      <c r="BH71" s="22"/>
      <c r="BI71" s="22"/>
      <c r="BJ71" s="22"/>
      <c r="BK71" s="22"/>
      <c r="BL71" s="22"/>
      <c r="CE71" s="22"/>
      <c r="CF71" s="565"/>
    </row>
    <row r="72" spans="2:84" ht="19.5" customHeight="1">
      <c r="B72" s="12" t="s">
        <v>166</v>
      </c>
      <c r="C72" s="12" t="s">
        <v>166</v>
      </c>
      <c r="D72" s="562">
        <f t="shared" ca="1" si="26"/>
        <v>5.427391085031255</v>
      </c>
      <c r="E72" s="562">
        <f t="shared" ca="1" si="27"/>
        <v>5.2038968431549169</v>
      </c>
      <c r="F72" s="12">
        <f t="shared" ca="1" si="28"/>
        <v>4</v>
      </c>
      <c r="H72" s="18"/>
      <c r="I72" s="19"/>
      <c r="J72" s="19"/>
      <c r="K72" s="20"/>
      <c r="L72" s="22"/>
      <c r="M72" s="22"/>
      <c r="N72" s="22"/>
      <c r="O72" s="22"/>
      <c r="P72" s="22"/>
      <c r="Q72" s="22"/>
      <c r="R72" s="571"/>
      <c r="S72" s="571"/>
      <c r="T72" s="571"/>
      <c r="U72" s="22"/>
      <c r="V72" s="22"/>
      <c r="W72" s="22"/>
      <c r="X72" s="22"/>
      <c r="Y72" s="22"/>
      <c r="Z72" s="22"/>
      <c r="AA72" s="476"/>
      <c r="AB72" s="485"/>
      <c r="AC72" s="449"/>
      <c r="AD72" s="485"/>
      <c r="AE72" s="449"/>
      <c r="AF72" s="449"/>
      <c r="AG72" s="22"/>
      <c r="AH72" s="22"/>
      <c r="AI72" s="449"/>
      <c r="AJ72" s="449"/>
      <c r="AK72" s="449"/>
      <c r="AL72" s="449"/>
      <c r="AM72" s="449"/>
      <c r="AN72" s="765"/>
      <c r="AO72" s="765"/>
      <c r="AP72" s="765"/>
      <c r="AQ72" s="765"/>
      <c r="AR72" s="449"/>
      <c r="AS72" s="489"/>
      <c r="AT72" s="449"/>
      <c r="AU72" s="485"/>
      <c r="AV72" s="22"/>
      <c r="AW72" s="22"/>
      <c r="AX72" s="22"/>
      <c r="AY72" s="22"/>
      <c r="AZ72" s="760"/>
      <c r="BA72" s="760"/>
      <c r="BB72" s="22"/>
      <c r="BC72" s="22"/>
      <c r="BD72" s="22"/>
      <c r="BE72" s="22"/>
      <c r="BF72" s="22"/>
      <c r="BG72" s="22"/>
      <c r="BH72" s="22"/>
      <c r="BI72" s="22"/>
      <c r="BJ72" s="22"/>
      <c r="BK72" s="22"/>
      <c r="BL72" s="22"/>
      <c r="CE72" s="22"/>
      <c r="CF72" s="565"/>
    </row>
    <row r="73" spans="2:84" ht="19.5" customHeight="1">
      <c r="B73" s="12" t="s">
        <v>164</v>
      </c>
      <c r="C73" s="12" t="s">
        <v>164</v>
      </c>
      <c r="D73" s="562">
        <f t="shared" ca="1" si="26"/>
        <v>0</v>
      </c>
      <c r="E73" s="562">
        <f t="shared" ca="1" si="27"/>
        <v>0</v>
      </c>
      <c r="F73" s="12">
        <f t="shared" ca="1" si="28"/>
        <v>5</v>
      </c>
      <c r="H73" s="18"/>
      <c r="I73" s="19"/>
      <c r="J73" s="19"/>
      <c r="K73" s="20"/>
      <c r="L73" s="22"/>
      <c r="M73" s="22"/>
      <c r="N73" s="22"/>
      <c r="O73" s="22"/>
      <c r="P73" s="22"/>
      <c r="Q73" s="22"/>
      <c r="R73" s="571"/>
      <c r="S73" s="571"/>
      <c r="T73" s="571"/>
      <c r="U73" s="22"/>
      <c r="V73" s="22"/>
      <c r="W73" s="22"/>
      <c r="X73" s="22"/>
      <c r="Y73" s="22"/>
      <c r="Z73" s="22"/>
      <c r="AA73" s="476"/>
      <c r="AB73" s="485"/>
      <c r="AC73" s="449"/>
      <c r="AD73" s="485"/>
      <c r="AE73" s="449"/>
      <c r="AF73" s="449"/>
      <c r="AG73" s="22"/>
      <c r="AH73" s="22"/>
      <c r="AI73" s="449"/>
      <c r="AJ73" s="449"/>
      <c r="AK73" s="449"/>
      <c r="AL73" s="449"/>
      <c r="AM73" s="449"/>
      <c r="AN73" s="765"/>
      <c r="AO73" s="765"/>
      <c r="AP73" s="765"/>
      <c r="AQ73" s="765"/>
      <c r="AR73" s="449"/>
      <c r="AS73" s="489"/>
      <c r="AT73" s="449"/>
      <c r="AU73" s="485"/>
      <c r="AV73" s="22"/>
      <c r="AW73" s="22"/>
      <c r="AX73" s="22"/>
      <c r="AY73" s="22"/>
      <c r="AZ73" s="760"/>
      <c r="BA73" s="760"/>
      <c r="BB73" s="22"/>
      <c r="BC73" s="22"/>
      <c r="BD73" s="22"/>
      <c r="BE73" s="22"/>
      <c r="BF73" s="22"/>
      <c r="BG73" s="22"/>
      <c r="BH73" s="22"/>
      <c r="BI73" s="22"/>
      <c r="BJ73" s="22"/>
      <c r="BK73" s="22"/>
      <c r="BL73" s="22"/>
      <c r="CE73" s="22"/>
      <c r="CF73" s="565"/>
    </row>
    <row r="74" spans="2:84" ht="19.5" customHeight="1">
      <c r="B74" s="12" t="s">
        <v>170</v>
      </c>
      <c r="C74" s="12" t="s">
        <v>4298</v>
      </c>
      <c r="D74" s="562">
        <f t="shared" ca="1" si="26"/>
        <v>0</v>
      </c>
      <c r="E74" s="562">
        <f t="shared" ca="1" si="27"/>
        <v>0</v>
      </c>
      <c r="F74" s="12">
        <f t="shared" ca="1" si="28"/>
        <v>5</v>
      </c>
      <c r="H74" s="18"/>
      <c r="I74" s="19"/>
      <c r="J74" s="19"/>
      <c r="K74" s="20"/>
      <c r="L74" s="22"/>
      <c r="M74" s="22"/>
      <c r="N74" s="22"/>
      <c r="O74" s="22"/>
      <c r="P74" s="22"/>
      <c r="Q74" s="22"/>
      <c r="R74" s="571"/>
      <c r="S74" s="571"/>
      <c r="T74" s="571"/>
      <c r="U74" s="22"/>
      <c r="V74" s="22"/>
      <c r="W74" s="22"/>
      <c r="X74" s="22"/>
      <c r="Y74" s="22"/>
      <c r="Z74" s="22"/>
      <c r="AA74" s="476"/>
      <c r="AB74" s="485"/>
      <c r="AC74" s="449"/>
      <c r="AD74" s="485"/>
      <c r="AE74" s="449"/>
      <c r="AF74" s="449"/>
      <c r="AG74" s="22"/>
      <c r="AH74" s="22"/>
      <c r="AI74" s="449"/>
      <c r="AJ74" s="449"/>
      <c r="AK74" s="449"/>
      <c r="AL74" s="449"/>
      <c r="AM74" s="449"/>
      <c r="AN74" s="765"/>
      <c r="AO74" s="765"/>
      <c r="AP74" s="765"/>
      <c r="AQ74" s="765"/>
      <c r="AR74" s="449"/>
      <c r="AS74" s="489"/>
      <c r="AT74" s="449"/>
      <c r="AU74" s="485"/>
      <c r="AV74" s="22"/>
      <c r="AW74" s="22"/>
      <c r="AX74" s="22"/>
      <c r="AY74" s="22"/>
      <c r="AZ74" s="760"/>
      <c r="BA74" s="760"/>
      <c r="BB74" s="22"/>
      <c r="BC74" s="22"/>
      <c r="BD74" s="22"/>
      <c r="BE74" s="22"/>
      <c r="BF74" s="22"/>
      <c r="BG74" s="22"/>
      <c r="BH74" s="22"/>
      <c r="BI74" s="22"/>
      <c r="BJ74" s="22"/>
      <c r="BK74" s="22"/>
      <c r="BL74" s="22"/>
      <c r="CE74" s="22"/>
      <c r="CF74" s="565"/>
    </row>
    <row r="75" spans="2:84" ht="19.5" customHeight="1">
      <c r="B75" s="12" t="s">
        <v>162</v>
      </c>
      <c r="C75" s="12" t="s">
        <v>162</v>
      </c>
      <c r="D75" s="562">
        <f t="shared" ca="1" si="26"/>
        <v>28.454853683921517</v>
      </c>
      <c r="E75" s="562">
        <f t="shared" ca="1" si="27"/>
        <v>29.066734881480361</v>
      </c>
      <c r="F75" s="12">
        <f t="shared" ca="1" si="28"/>
        <v>3</v>
      </c>
      <c r="H75" s="18"/>
      <c r="I75" s="19"/>
      <c r="J75" s="19"/>
      <c r="K75" s="20"/>
      <c r="L75" s="22"/>
      <c r="M75" s="22"/>
      <c r="N75" s="22"/>
      <c r="O75" s="22"/>
      <c r="P75" s="22"/>
      <c r="Q75" s="22"/>
      <c r="R75" s="571"/>
      <c r="S75" s="571"/>
      <c r="T75" s="571"/>
      <c r="U75" s="22"/>
      <c r="V75" s="22"/>
      <c r="W75" s="22"/>
      <c r="X75" s="22"/>
      <c r="Y75" s="22"/>
      <c r="Z75" s="22"/>
      <c r="AA75" s="476"/>
      <c r="AB75" s="485"/>
      <c r="AC75" s="449"/>
      <c r="AD75" s="485"/>
      <c r="AE75" s="449"/>
      <c r="AF75" s="449"/>
      <c r="AG75" s="22"/>
      <c r="AH75" s="22"/>
      <c r="AI75" s="449"/>
      <c r="AJ75" s="449"/>
      <c r="AK75" s="449"/>
      <c r="AL75" s="449"/>
      <c r="AM75" s="449"/>
      <c r="AN75" s="765"/>
      <c r="AO75" s="765"/>
      <c r="AP75" s="765"/>
      <c r="AQ75" s="765"/>
      <c r="AR75" s="449"/>
      <c r="AS75" s="489"/>
      <c r="AT75" s="449"/>
      <c r="AU75" s="485"/>
      <c r="AV75" s="22"/>
      <c r="AW75" s="22"/>
      <c r="AX75" s="22"/>
      <c r="AY75" s="22"/>
      <c r="AZ75" s="760"/>
      <c r="BA75" s="760"/>
      <c r="BB75" s="22"/>
      <c r="BC75" s="22"/>
      <c r="BD75" s="22"/>
      <c r="BE75" s="22"/>
      <c r="BF75" s="22"/>
      <c r="BG75" s="22"/>
      <c r="BH75" s="22"/>
      <c r="BI75" s="22"/>
      <c r="BJ75" s="22"/>
      <c r="BK75" s="22"/>
      <c r="BL75" s="22"/>
      <c r="CE75" s="22"/>
      <c r="CF75" s="565"/>
    </row>
    <row r="76" spans="2:84" ht="19.5" customHeight="1">
      <c r="B76" s="12" t="s">
        <v>168</v>
      </c>
      <c r="C76" s="12" t="s">
        <v>173</v>
      </c>
      <c r="D76" s="562">
        <f t="shared" ca="1" si="26"/>
        <v>32.395778128252445</v>
      </c>
      <c r="E76" s="562">
        <f t="shared" ca="1" si="27"/>
        <v>33.094253836943423</v>
      </c>
      <c r="F76" s="12">
        <f t="shared" ca="1" si="28"/>
        <v>2</v>
      </c>
      <c r="H76" s="18"/>
      <c r="I76" s="19"/>
      <c r="J76" s="19"/>
      <c r="K76" s="20"/>
      <c r="L76" s="22"/>
      <c r="M76" s="22"/>
      <c r="N76" s="22"/>
      <c r="O76" s="22"/>
      <c r="P76" s="22"/>
      <c r="Q76" s="22"/>
      <c r="R76" s="571"/>
      <c r="S76" s="571"/>
      <c r="T76" s="571"/>
      <c r="U76" s="22"/>
      <c r="V76" s="22"/>
      <c r="W76" s="22"/>
      <c r="X76" s="22"/>
      <c r="Y76" s="22"/>
      <c r="Z76" s="22"/>
      <c r="AA76" s="476"/>
      <c r="AB76" s="485"/>
      <c r="AC76" s="449"/>
      <c r="AD76" s="485"/>
      <c r="AE76" s="449"/>
      <c r="AF76" s="449"/>
      <c r="AG76" s="22"/>
      <c r="AH76" s="22"/>
      <c r="AI76" s="449"/>
      <c r="AJ76" s="449"/>
      <c r="AK76" s="449"/>
      <c r="AL76" s="449"/>
      <c r="AM76" s="449"/>
      <c r="AN76" s="765"/>
      <c r="AO76" s="765"/>
      <c r="AP76" s="765"/>
      <c r="AQ76" s="765"/>
      <c r="AR76" s="449"/>
      <c r="AS76" s="489"/>
      <c r="AT76" s="449"/>
      <c r="AU76" s="485"/>
      <c r="AV76" s="22"/>
      <c r="AW76" s="22"/>
      <c r="AX76" s="22"/>
      <c r="AY76" s="22"/>
      <c r="AZ76" s="760"/>
      <c r="BA76" s="760"/>
      <c r="BB76" s="22"/>
      <c r="BC76" s="22"/>
      <c r="BD76" s="22"/>
      <c r="BE76" s="22"/>
      <c r="BF76" s="22"/>
      <c r="BG76" s="22"/>
      <c r="BH76" s="22"/>
      <c r="BI76" s="22"/>
      <c r="BJ76" s="22"/>
      <c r="BK76" s="22"/>
      <c r="BL76" s="22"/>
      <c r="CE76" s="22"/>
      <c r="CF76" s="565"/>
    </row>
    <row r="77" spans="2:84" ht="19.5" customHeight="1">
      <c r="B77" s="12" t="s">
        <v>169</v>
      </c>
      <c r="C77" s="12" t="s">
        <v>169</v>
      </c>
      <c r="D77" s="562">
        <f t="shared" ca="1" si="26"/>
        <v>0</v>
      </c>
      <c r="E77" s="562">
        <f t="shared" ca="1" si="27"/>
        <v>0</v>
      </c>
      <c r="F77" s="12">
        <f t="shared" ca="1" si="28"/>
        <v>5</v>
      </c>
      <c r="H77" s="18"/>
      <c r="I77" s="19"/>
      <c r="J77" s="19"/>
      <c r="K77" s="20"/>
      <c r="L77" s="22"/>
      <c r="M77" s="22"/>
      <c r="N77" s="22"/>
      <c r="O77" s="22"/>
      <c r="P77" s="22"/>
      <c r="Q77" s="22"/>
      <c r="R77" s="571"/>
      <c r="S77" s="571"/>
      <c r="T77" s="571"/>
      <c r="U77" s="22"/>
      <c r="V77" s="22"/>
      <c r="W77" s="22"/>
      <c r="X77" s="22"/>
      <c r="Y77" s="22"/>
      <c r="Z77" s="22"/>
      <c r="AA77" s="476"/>
      <c r="AB77" s="485"/>
      <c r="AC77" s="449"/>
      <c r="AD77" s="485"/>
      <c r="AE77" s="449"/>
      <c r="AF77" s="449"/>
      <c r="AG77" s="22"/>
      <c r="AH77" s="22"/>
      <c r="AI77" s="449"/>
      <c r="AJ77" s="449"/>
      <c r="AK77" s="449"/>
      <c r="AL77" s="449"/>
      <c r="AM77" s="449"/>
      <c r="AN77" s="765"/>
      <c r="AO77" s="765"/>
      <c r="AP77" s="765"/>
      <c r="AQ77" s="765"/>
      <c r="AR77" s="449"/>
      <c r="AS77" s="489"/>
      <c r="AT77" s="449"/>
      <c r="AU77" s="485"/>
      <c r="AV77" s="22"/>
      <c r="AW77" s="22"/>
      <c r="AX77" s="22"/>
      <c r="AY77" s="22"/>
      <c r="AZ77" s="760"/>
      <c r="BA77" s="760"/>
      <c r="BB77" s="22"/>
      <c r="BC77" s="22"/>
      <c r="BD77" s="22"/>
      <c r="BE77" s="22"/>
      <c r="BF77" s="22"/>
      <c r="BG77" s="22"/>
      <c r="BH77" s="22"/>
      <c r="BI77" s="22"/>
      <c r="BJ77" s="22"/>
      <c r="BK77" s="22"/>
      <c r="BL77" s="22"/>
      <c r="CE77" s="22"/>
      <c r="CF77" s="565"/>
    </row>
    <row r="78" spans="2:84" ht="19.5" customHeight="1">
      <c r="B78" s="12" t="s">
        <v>172</v>
      </c>
      <c r="C78" s="12" t="s">
        <v>172</v>
      </c>
      <c r="D78" s="562">
        <f t="shared" ca="1" si="26"/>
        <v>0</v>
      </c>
      <c r="E78" s="562">
        <f t="shared" ca="1" si="27"/>
        <v>0</v>
      </c>
      <c r="F78" s="12">
        <f t="shared" ca="1" si="28"/>
        <v>5</v>
      </c>
      <c r="H78" s="18"/>
      <c r="I78" s="19"/>
      <c r="J78" s="19"/>
      <c r="K78" s="20"/>
      <c r="L78" s="22"/>
      <c r="M78" s="22"/>
      <c r="N78" s="22"/>
      <c r="O78" s="22"/>
      <c r="P78" s="22"/>
      <c r="Q78" s="22"/>
      <c r="R78" s="571"/>
      <c r="S78" s="571"/>
      <c r="T78" s="571"/>
      <c r="U78" s="22"/>
      <c r="V78" s="22"/>
      <c r="W78" s="22"/>
      <c r="X78" s="22"/>
      <c r="Y78" s="22"/>
      <c r="Z78" s="22"/>
      <c r="AA78" s="476"/>
      <c r="AB78" s="485"/>
      <c r="AC78" s="449"/>
      <c r="AD78" s="485"/>
      <c r="AE78" s="449"/>
      <c r="AF78" s="449"/>
      <c r="AG78" s="22"/>
      <c r="AH78" s="22"/>
      <c r="AI78" s="449"/>
      <c r="AJ78" s="449"/>
      <c r="AK78" s="449"/>
      <c r="AL78" s="449"/>
      <c r="AM78" s="449"/>
      <c r="AN78" s="765"/>
      <c r="AO78" s="765"/>
      <c r="AP78" s="765"/>
      <c r="AQ78" s="765"/>
      <c r="AR78" s="449"/>
      <c r="AS78" s="489"/>
      <c r="AT78" s="449"/>
      <c r="AU78" s="485"/>
      <c r="AV78" s="22"/>
      <c r="AW78" s="22"/>
      <c r="AX78" s="22"/>
      <c r="AY78" s="22"/>
      <c r="AZ78" s="760"/>
      <c r="BA78" s="760"/>
      <c r="BB78" s="22"/>
      <c r="BC78" s="22"/>
      <c r="BD78" s="22"/>
      <c r="BE78" s="22"/>
      <c r="BF78" s="22"/>
      <c r="BG78" s="22"/>
      <c r="BH78" s="22"/>
      <c r="BI78" s="22"/>
      <c r="BJ78" s="22"/>
      <c r="BK78" s="22"/>
      <c r="BL78" s="22"/>
      <c r="CE78" s="22"/>
      <c r="CF78" s="565"/>
    </row>
    <row r="79" spans="2:84" ht="19.5" customHeight="1">
      <c r="C79" s="477"/>
      <c r="D79" s="477"/>
      <c r="H79" s="18"/>
      <c r="I79" s="19"/>
      <c r="J79" s="19"/>
      <c r="K79" s="20"/>
      <c r="L79" s="22"/>
      <c r="M79" s="22"/>
      <c r="N79" s="22"/>
      <c r="O79" s="22"/>
      <c r="P79" s="22"/>
      <c r="Q79" s="22"/>
      <c r="R79" s="571"/>
      <c r="S79" s="571"/>
      <c r="T79" s="571"/>
      <c r="U79" s="22"/>
      <c r="V79" s="22"/>
      <c r="W79" s="22"/>
      <c r="X79" s="22"/>
      <c r="Y79" s="22"/>
      <c r="Z79" s="22"/>
      <c r="AA79" s="476"/>
      <c r="AB79" s="485"/>
      <c r="AC79" s="449"/>
      <c r="AD79" s="485"/>
      <c r="AE79" s="449"/>
      <c r="AF79" s="449"/>
      <c r="AG79" s="22"/>
      <c r="AH79" s="22"/>
      <c r="AI79" s="449"/>
      <c r="AJ79" s="449"/>
      <c r="AK79" s="449"/>
      <c r="AL79" s="449"/>
      <c r="AM79" s="449"/>
      <c r="AN79" s="765"/>
      <c r="AO79" s="765"/>
      <c r="AP79" s="765"/>
      <c r="AQ79" s="765"/>
      <c r="AR79" s="449"/>
      <c r="AS79" s="489"/>
      <c r="AT79" s="449"/>
      <c r="AU79" s="485"/>
      <c r="AV79" s="22"/>
      <c r="AW79" s="22"/>
      <c r="AX79" s="22"/>
      <c r="AY79" s="22"/>
      <c r="AZ79" s="760"/>
      <c r="BA79" s="760"/>
      <c r="BB79" s="22"/>
      <c r="BC79" s="22"/>
      <c r="BD79" s="22"/>
      <c r="BE79" s="22"/>
      <c r="BF79" s="22"/>
      <c r="BG79" s="22"/>
      <c r="BH79" s="22"/>
      <c r="BI79" s="22"/>
      <c r="BJ79" s="22"/>
      <c r="BK79" s="22"/>
      <c r="BL79" s="22"/>
      <c r="CE79" s="22"/>
      <c r="CF79" s="565"/>
    </row>
    <row r="80" spans="2:84" ht="19.5" customHeight="1">
      <c r="H80" s="18"/>
      <c r="I80" s="19"/>
      <c r="J80" s="19"/>
      <c r="K80" s="20"/>
      <c r="L80" s="22"/>
      <c r="M80" s="22"/>
      <c r="N80" s="22"/>
      <c r="O80" s="22"/>
      <c r="P80" s="22"/>
      <c r="Q80" s="22"/>
      <c r="R80" s="571"/>
      <c r="S80" s="571"/>
      <c r="T80" s="571"/>
      <c r="U80" s="22"/>
      <c r="V80" s="22"/>
      <c r="W80" s="22"/>
      <c r="X80" s="22"/>
      <c r="Y80" s="22"/>
      <c r="Z80" s="22"/>
      <c r="AA80" s="476"/>
      <c r="AB80" s="485"/>
      <c r="AC80" s="449"/>
      <c r="AD80" s="485"/>
      <c r="AE80" s="449"/>
      <c r="AF80" s="449"/>
      <c r="AG80" s="22"/>
      <c r="AH80" s="22"/>
      <c r="AI80" s="449"/>
      <c r="AJ80" s="449"/>
      <c r="AK80" s="449"/>
      <c r="AL80" s="449"/>
      <c r="AM80" s="449"/>
      <c r="AN80" s="765"/>
      <c r="AO80" s="765"/>
      <c r="AP80" s="765"/>
      <c r="AQ80" s="765"/>
      <c r="AR80" s="449"/>
      <c r="AS80" s="489"/>
      <c r="AT80" s="449"/>
      <c r="AU80" s="485"/>
      <c r="AV80" s="22"/>
      <c r="AW80" s="22"/>
      <c r="AX80" s="22"/>
      <c r="AY80" s="22"/>
      <c r="AZ80" s="760"/>
      <c r="BA80" s="760"/>
      <c r="BB80" s="22"/>
      <c r="BC80" s="22"/>
      <c r="BD80" s="22"/>
      <c r="BE80" s="22"/>
      <c r="BF80" s="22"/>
      <c r="BG80" s="22"/>
      <c r="BH80" s="22"/>
      <c r="BI80" s="22"/>
      <c r="BJ80" s="22"/>
      <c r="BK80" s="22"/>
      <c r="BL80" s="22"/>
      <c r="CE80" s="22"/>
      <c r="CF80" s="565"/>
    </row>
    <row r="81" spans="2:84" ht="19.5" customHeight="1">
      <c r="B81" s="459" t="s">
        <v>2020</v>
      </c>
      <c r="H81" s="18"/>
      <c r="I81" s="19"/>
      <c r="J81" s="19"/>
      <c r="K81" s="20"/>
      <c r="L81" s="22"/>
      <c r="M81" s="22"/>
      <c r="N81" s="22"/>
      <c r="O81" s="22"/>
      <c r="P81" s="22"/>
      <c r="Q81" s="22"/>
      <c r="R81" s="571"/>
      <c r="S81" s="571"/>
      <c r="T81" s="571"/>
      <c r="U81" s="22"/>
      <c r="V81" s="22"/>
      <c r="W81" s="22"/>
      <c r="X81" s="22"/>
      <c r="Y81" s="22"/>
      <c r="Z81" s="22"/>
      <c r="AA81" s="476"/>
      <c r="AB81" s="485"/>
      <c r="AC81" s="449"/>
      <c r="AD81" s="485"/>
      <c r="AE81" s="449"/>
      <c r="AF81" s="449"/>
      <c r="AG81" s="22"/>
      <c r="AH81" s="22"/>
      <c r="AI81" s="449"/>
      <c r="AJ81" s="449"/>
      <c r="AK81" s="449"/>
      <c r="AL81" s="449"/>
      <c r="AM81" s="449"/>
      <c r="AN81" s="765"/>
      <c r="AO81" s="765"/>
      <c r="AP81" s="765"/>
      <c r="AQ81" s="765"/>
      <c r="AR81" s="449"/>
      <c r="AS81" s="489"/>
      <c r="AT81" s="449"/>
      <c r="AU81" s="485"/>
      <c r="AV81" s="22"/>
      <c r="AW81" s="22"/>
      <c r="AX81" s="22"/>
      <c r="AY81" s="22"/>
      <c r="AZ81" s="760"/>
      <c r="BA81" s="760"/>
      <c r="BB81" s="22"/>
      <c r="BC81" s="22"/>
      <c r="BD81" s="22"/>
      <c r="BE81" s="22"/>
      <c r="BF81" s="22"/>
      <c r="BG81" s="22"/>
      <c r="BH81" s="22"/>
      <c r="BI81" s="22"/>
      <c r="BJ81" s="22"/>
      <c r="BK81" s="22"/>
      <c r="BL81" s="22"/>
      <c r="CE81" s="22"/>
      <c r="CF81" s="565"/>
    </row>
    <row r="82" spans="2:84" ht="19.5" customHeight="1">
      <c r="B82" s="12" t="s">
        <v>1981</v>
      </c>
      <c r="C82" s="12" t="s">
        <v>1982</v>
      </c>
      <c r="D82" s="109" t="s">
        <v>2022</v>
      </c>
      <c r="E82" s="12" t="s">
        <v>2019</v>
      </c>
      <c r="F82" s="12"/>
      <c r="H82" s="18"/>
      <c r="I82" s="19"/>
      <c r="J82" s="19"/>
      <c r="K82" s="20"/>
      <c r="L82" s="22"/>
      <c r="M82" s="22"/>
      <c r="N82" s="22"/>
      <c r="O82" s="22"/>
      <c r="P82" s="22"/>
      <c r="Q82" s="22"/>
      <c r="R82" s="571"/>
      <c r="S82" s="571"/>
      <c r="T82" s="571"/>
      <c r="U82" s="22"/>
      <c r="V82" s="22"/>
      <c r="W82" s="22"/>
      <c r="X82" s="22"/>
      <c r="Y82" s="22"/>
      <c r="Z82" s="22"/>
      <c r="AA82" s="476"/>
      <c r="AB82" s="485"/>
      <c r="AC82" s="449"/>
      <c r="AD82" s="485"/>
      <c r="AE82" s="449"/>
      <c r="AF82" s="449"/>
      <c r="AG82" s="22"/>
      <c r="AH82" s="22"/>
      <c r="AI82" s="449"/>
      <c r="AJ82" s="449"/>
      <c r="AK82" s="449"/>
      <c r="AL82" s="449"/>
      <c r="AM82" s="449"/>
      <c r="AN82" s="765"/>
      <c r="AO82" s="765"/>
      <c r="AP82" s="765"/>
      <c r="AQ82" s="765"/>
      <c r="AR82" s="449"/>
      <c r="AS82" s="489"/>
      <c r="AT82" s="449"/>
      <c r="AU82" s="485"/>
      <c r="AV82" s="22"/>
      <c r="AW82" s="22"/>
      <c r="AX82" s="22"/>
      <c r="AY82" s="22"/>
      <c r="AZ82" s="760"/>
      <c r="BA82" s="760"/>
      <c r="BB82" s="22"/>
      <c r="BC82" s="22"/>
      <c r="BD82" s="22"/>
      <c r="BE82" s="22"/>
      <c r="BF82" s="22"/>
      <c r="BG82" s="22"/>
      <c r="BH82" s="22"/>
      <c r="BI82" s="22"/>
      <c r="BJ82" s="22"/>
      <c r="BK82" s="22"/>
      <c r="BL82" s="22"/>
      <c r="CE82" s="22"/>
      <c r="CF82" s="565"/>
    </row>
    <row r="83" spans="2:84" ht="19.5" customHeight="1">
      <c r="B83" s="26">
        <v>1</v>
      </c>
      <c r="C83" s="12" t="str">
        <f ca="1">INDEX($C$68:$C$78,MATCH(B83,$F$68:$F$78,0))</f>
        <v>醫療保健</v>
      </c>
      <c r="D83" s="109">
        <f ca="1">VLOOKUP(F83,$B$68:$E$78,3,FALSE)</f>
        <v>33.721977102794789</v>
      </c>
      <c r="E83" s="109">
        <f ca="1">VLOOKUP(F83,$B$68:$E$78,4,FALSE)</f>
        <v>32.635114438421311</v>
      </c>
      <c r="F83" s="12" t="str">
        <f ca="1">INDEX($B$68:$B$78,MATCH(B83,$F$68:$F$78,0))</f>
        <v>醫療保健</v>
      </c>
      <c r="H83" s="18"/>
      <c r="I83" s="19"/>
      <c r="J83" s="19"/>
      <c r="K83" s="20"/>
      <c r="L83" s="22"/>
      <c r="M83" s="22"/>
      <c r="N83" s="22"/>
      <c r="O83" s="22"/>
      <c r="P83" s="22"/>
      <c r="Q83" s="22"/>
      <c r="R83" s="571"/>
      <c r="S83" s="571"/>
      <c r="T83" s="571"/>
      <c r="U83" s="22"/>
      <c r="V83" s="22"/>
      <c r="W83" s="22"/>
      <c r="X83" s="22"/>
      <c r="Y83" s="22"/>
      <c r="Z83" s="22"/>
      <c r="AA83" s="476"/>
      <c r="AB83" s="485"/>
      <c r="AC83" s="449"/>
      <c r="AD83" s="485"/>
      <c r="AE83" s="449"/>
      <c r="AF83" s="449"/>
      <c r="AG83" s="22"/>
      <c r="AH83" s="22"/>
      <c r="AI83" s="449"/>
      <c r="AJ83" s="449"/>
      <c r="AK83" s="449"/>
      <c r="AL83" s="449"/>
      <c r="AM83" s="449"/>
      <c r="AN83" s="765"/>
      <c r="AO83" s="765"/>
      <c r="AP83" s="765"/>
      <c r="AQ83" s="765"/>
      <c r="AR83" s="449"/>
      <c r="AS83" s="489"/>
      <c r="AT83" s="449"/>
      <c r="AU83" s="485"/>
      <c r="AV83" s="22"/>
      <c r="AW83" s="22"/>
      <c r="AX83" s="22"/>
      <c r="AY83" s="22"/>
      <c r="AZ83" s="760"/>
      <c r="BA83" s="760"/>
      <c r="BB83" s="22"/>
      <c r="BC83" s="22"/>
      <c r="BD83" s="22"/>
      <c r="BE83" s="22"/>
      <c r="BF83" s="22"/>
      <c r="BG83" s="22"/>
      <c r="BH83" s="22"/>
      <c r="BI83" s="22"/>
      <c r="BJ83" s="22"/>
      <c r="BK83" s="22"/>
      <c r="BL83" s="22"/>
      <c r="CE83" s="22"/>
      <c r="CF83" s="565"/>
    </row>
    <row r="84" spans="2:84" ht="19.5" customHeight="1">
      <c r="B84" s="26">
        <v>2</v>
      </c>
      <c r="C84" s="12" t="str">
        <f t="shared" ref="C84:C94" ca="1" si="29">INDEX($C$68:$C$78,MATCH(B84,$F$68:$F$78,0))</f>
        <v>公用</v>
      </c>
      <c r="D84" s="109">
        <f t="shared" ref="D84:D94" ca="1" si="30">VLOOKUP(F84,$B$68:$E$78,3,FALSE)</f>
        <v>32.395778128252445</v>
      </c>
      <c r="E84" s="109">
        <f t="shared" ref="E84:E94" ca="1" si="31">VLOOKUP(F84,$B$68:$E$78,4,FALSE)</f>
        <v>33.094253836943423</v>
      </c>
      <c r="F84" s="12" t="str">
        <f t="shared" ref="F84:F94" ca="1" si="32">INDEX($B$68:$B$78,MATCH(B84,$F$68:$F$78,0))</f>
        <v>公用事業</v>
      </c>
      <c r="H84" s="18"/>
      <c r="I84" s="19"/>
      <c r="J84" s="19"/>
      <c r="K84" s="20"/>
      <c r="L84" s="22"/>
      <c r="M84" s="22"/>
      <c r="N84" s="22"/>
      <c r="O84" s="22"/>
      <c r="P84" s="22"/>
      <c r="Q84" s="22"/>
      <c r="R84" s="571"/>
      <c r="S84" s="571"/>
      <c r="T84" s="571"/>
      <c r="U84" s="22"/>
      <c r="V84" s="22"/>
      <c r="W84" s="22"/>
      <c r="X84" s="22"/>
      <c r="Y84" s="22"/>
      <c r="Z84" s="22"/>
      <c r="AA84" s="476"/>
      <c r="AB84" s="485"/>
      <c r="AC84" s="449"/>
      <c r="AD84" s="485"/>
      <c r="AE84" s="449"/>
      <c r="AF84" s="449"/>
      <c r="AG84" s="22"/>
      <c r="AH84" s="22"/>
      <c r="AI84" s="449"/>
      <c r="AJ84" s="449"/>
      <c r="AK84" s="449"/>
      <c r="AL84" s="449"/>
      <c r="AM84" s="449"/>
      <c r="AN84" s="765"/>
      <c r="AO84" s="765"/>
      <c r="AP84" s="765"/>
      <c r="AQ84" s="765"/>
      <c r="AR84" s="449"/>
      <c r="AS84" s="489"/>
      <c r="AT84" s="449"/>
      <c r="AU84" s="485"/>
      <c r="AV84" s="22"/>
      <c r="AW84" s="22"/>
      <c r="AX84" s="22"/>
      <c r="AY84" s="22"/>
      <c r="AZ84" s="760"/>
      <c r="BA84" s="760"/>
      <c r="BB84" s="22"/>
      <c r="BC84" s="22"/>
      <c r="BD84" s="22"/>
      <c r="BE84" s="22"/>
      <c r="BF84" s="22"/>
      <c r="BG84" s="22"/>
      <c r="BH84" s="22"/>
      <c r="BI84" s="22"/>
      <c r="BJ84" s="22"/>
      <c r="BK84" s="22"/>
      <c r="BL84" s="22"/>
      <c r="CE84" s="22"/>
      <c r="CF84" s="565"/>
    </row>
    <row r="85" spans="2:84" ht="19.5" customHeight="1">
      <c r="B85" s="26">
        <v>3</v>
      </c>
      <c r="C85" s="12" t="str">
        <f t="shared" ca="1" si="29"/>
        <v>金融</v>
      </c>
      <c r="D85" s="109">
        <f t="shared" ca="1" si="30"/>
        <v>28.454853683921517</v>
      </c>
      <c r="E85" s="109">
        <f t="shared" ca="1" si="31"/>
        <v>29.066734881480361</v>
      </c>
      <c r="F85" s="12" t="str">
        <f t="shared" ca="1" si="32"/>
        <v>金融</v>
      </c>
      <c r="H85" s="18"/>
      <c r="I85" s="19"/>
      <c r="J85" s="19"/>
      <c r="K85" s="20"/>
      <c r="L85" s="22"/>
      <c r="M85" s="22"/>
      <c r="N85" s="22"/>
      <c r="O85" s="22"/>
      <c r="P85" s="22"/>
      <c r="Q85" s="22"/>
      <c r="R85" s="571"/>
      <c r="S85" s="571"/>
      <c r="T85" s="571"/>
      <c r="U85" s="22"/>
      <c r="V85" s="22"/>
      <c r="W85" s="22"/>
      <c r="X85" s="22"/>
      <c r="Y85" s="22"/>
      <c r="Z85" s="22"/>
      <c r="AA85" s="476"/>
      <c r="AB85" s="485"/>
      <c r="AC85" s="449"/>
      <c r="AD85" s="485"/>
      <c r="AE85" s="449"/>
      <c r="AF85" s="449"/>
      <c r="AG85" s="22"/>
      <c r="AH85" s="22"/>
      <c r="AI85" s="449"/>
      <c r="AJ85" s="449"/>
      <c r="AK85" s="449"/>
      <c r="AL85" s="449"/>
      <c r="AM85" s="449"/>
      <c r="AN85" s="765"/>
      <c r="AO85" s="765"/>
      <c r="AP85" s="765"/>
      <c r="AQ85" s="765"/>
      <c r="AR85" s="449"/>
      <c r="AS85" s="489"/>
      <c r="AT85" s="449"/>
      <c r="AU85" s="485"/>
      <c r="AV85" s="22"/>
      <c r="AW85" s="22"/>
      <c r="AX85" s="22"/>
      <c r="AY85" s="22"/>
      <c r="AZ85" s="760"/>
      <c r="BA85" s="760"/>
      <c r="BB85" s="22"/>
      <c r="BC85" s="22"/>
      <c r="BD85" s="22"/>
      <c r="BE85" s="22"/>
      <c r="BF85" s="22"/>
      <c r="BG85" s="22"/>
      <c r="BH85" s="22"/>
      <c r="BI85" s="22"/>
      <c r="BJ85" s="22"/>
      <c r="BK85" s="22"/>
      <c r="BL85" s="22"/>
      <c r="CE85" s="22"/>
      <c r="CF85" s="565"/>
    </row>
    <row r="86" spans="2:84" ht="19.5" customHeight="1">
      <c r="B86" s="26">
        <v>4</v>
      </c>
      <c r="C86" s="12" t="str">
        <f t="shared" ca="1" si="29"/>
        <v>核心消費</v>
      </c>
      <c r="D86" s="109">
        <f t="shared" ca="1" si="30"/>
        <v>5.427391085031255</v>
      </c>
      <c r="E86" s="109">
        <f t="shared" ca="1" si="31"/>
        <v>5.2038968431549169</v>
      </c>
      <c r="F86" s="12" t="str">
        <f t="shared" ca="1" si="32"/>
        <v>核心消費</v>
      </c>
      <c r="H86" s="18"/>
      <c r="I86" s="19"/>
      <c r="J86" s="19"/>
      <c r="K86" s="20"/>
      <c r="L86" s="22"/>
      <c r="M86" s="22"/>
      <c r="N86" s="22"/>
      <c r="O86" s="22"/>
      <c r="P86" s="22"/>
      <c r="Q86" s="22"/>
      <c r="R86" s="571"/>
      <c r="S86" s="571"/>
      <c r="T86" s="571"/>
      <c r="U86" s="22"/>
      <c r="V86" s="22"/>
      <c r="W86" s="22"/>
      <c r="X86" s="22"/>
      <c r="Y86" s="22"/>
      <c r="Z86" s="22"/>
      <c r="AA86" s="476"/>
      <c r="AB86" s="485"/>
      <c r="AC86" s="449"/>
      <c r="AD86" s="485"/>
      <c r="AE86" s="449"/>
      <c r="AF86" s="449"/>
      <c r="AG86" s="22"/>
      <c r="AH86" s="22"/>
      <c r="AI86" s="449"/>
      <c r="AJ86" s="449"/>
      <c r="AK86" s="449"/>
      <c r="AL86" s="449"/>
      <c r="AM86" s="449"/>
      <c r="AN86" s="765"/>
      <c r="AO86" s="765"/>
      <c r="AP86" s="765"/>
      <c r="AQ86" s="765"/>
      <c r="AR86" s="449"/>
      <c r="AS86" s="489"/>
      <c r="AT86" s="449"/>
      <c r="AU86" s="485"/>
      <c r="AV86" s="22"/>
      <c r="AW86" s="22"/>
      <c r="AX86" s="22"/>
      <c r="AY86" s="22"/>
      <c r="AZ86" s="760"/>
      <c r="BA86" s="760"/>
      <c r="BB86" s="22"/>
      <c r="BC86" s="22"/>
      <c r="BD86" s="22"/>
      <c r="BE86" s="22"/>
      <c r="BF86" s="22"/>
      <c r="BG86" s="22"/>
      <c r="BH86" s="22"/>
      <c r="BI86" s="22"/>
      <c r="BJ86" s="22"/>
      <c r="BK86" s="22"/>
      <c r="BL86" s="22"/>
      <c r="CE86" s="22"/>
      <c r="CF86" s="565"/>
    </row>
    <row r="87" spans="2:84" ht="19.5" customHeight="1">
      <c r="B87" s="26">
        <v>5</v>
      </c>
      <c r="C87" s="12" t="str">
        <f t="shared" ca="1" si="29"/>
        <v>政府</v>
      </c>
      <c r="D87" s="109">
        <f t="shared" ca="1" si="30"/>
        <v>0</v>
      </c>
      <c r="E87" s="109">
        <f t="shared" ca="1" si="31"/>
        <v>0</v>
      </c>
      <c r="F87" s="12" t="str">
        <f t="shared" ca="1" si="32"/>
        <v>政府</v>
      </c>
    </row>
    <row r="88" spans="2:84" ht="19.5" customHeight="1">
      <c r="B88" s="26">
        <v>6</v>
      </c>
      <c r="C88" s="12" t="e">
        <f t="shared" ca="1" si="29"/>
        <v>#N/A</v>
      </c>
      <c r="D88" s="109" t="e">
        <f t="shared" ca="1" si="30"/>
        <v>#N/A</v>
      </c>
      <c r="E88" s="109" t="e">
        <f t="shared" ca="1" si="31"/>
        <v>#N/A</v>
      </c>
      <c r="F88" s="12" t="e">
        <f t="shared" ca="1" si="32"/>
        <v>#N/A</v>
      </c>
    </row>
    <row r="89" spans="2:84" ht="19.5" customHeight="1">
      <c r="B89" s="26">
        <v>7</v>
      </c>
      <c r="C89" s="12" t="e">
        <f t="shared" ca="1" si="29"/>
        <v>#N/A</v>
      </c>
      <c r="D89" s="109" t="e">
        <f t="shared" ca="1" si="30"/>
        <v>#N/A</v>
      </c>
      <c r="E89" s="109" t="e">
        <f t="shared" ca="1" si="31"/>
        <v>#N/A</v>
      </c>
      <c r="F89" s="12" t="e">
        <f t="shared" ca="1" si="32"/>
        <v>#N/A</v>
      </c>
    </row>
    <row r="90" spans="2:84" ht="19.5" customHeight="1">
      <c r="B90" s="26">
        <v>8</v>
      </c>
      <c r="C90" s="12" t="e">
        <f t="shared" ca="1" si="29"/>
        <v>#N/A</v>
      </c>
      <c r="D90" s="109" t="e">
        <f t="shared" ca="1" si="30"/>
        <v>#N/A</v>
      </c>
      <c r="E90" s="109" t="e">
        <f t="shared" ca="1" si="31"/>
        <v>#N/A</v>
      </c>
      <c r="F90" s="12" t="e">
        <f t="shared" ca="1" si="32"/>
        <v>#N/A</v>
      </c>
    </row>
    <row r="91" spans="2:84" ht="19.5" customHeight="1">
      <c r="B91" s="26">
        <v>9</v>
      </c>
      <c r="C91" s="12" t="e">
        <f t="shared" ca="1" si="29"/>
        <v>#N/A</v>
      </c>
      <c r="D91" s="109" t="e">
        <f t="shared" ca="1" si="30"/>
        <v>#N/A</v>
      </c>
      <c r="E91" s="109" t="e">
        <f t="shared" ca="1" si="31"/>
        <v>#N/A</v>
      </c>
      <c r="F91" s="12" t="e">
        <f t="shared" ca="1" si="32"/>
        <v>#N/A</v>
      </c>
    </row>
    <row r="92" spans="2:84" ht="19.5" customHeight="1">
      <c r="B92" s="26">
        <v>10</v>
      </c>
      <c r="C92" s="12" t="e">
        <f t="shared" ca="1" si="29"/>
        <v>#N/A</v>
      </c>
      <c r="D92" s="109" t="e">
        <f t="shared" ca="1" si="30"/>
        <v>#N/A</v>
      </c>
      <c r="E92" s="109" t="e">
        <f t="shared" ca="1" si="31"/>
        <v>#N/A</v>
      </c>
      <c r="F92" s="12" t="e">
        <f t="shared" ca="1" si="32"/>
        <v>#N/A</v>
      </c>
    </row>
    <row r="93" spans="2:84" ht="19.5" customHeight="1">
      <c r="B93" s="26">
        <v>11</v>
      </c>
      <c r="C93" s="12" t="e">
        <f t="shared" ca="1" si="29"/>
        <v>#N/A</v>
      </c>
      <c r="D93" s="109" t="e">
        <f t="shared" ca="1" si="30"/>
        <v>#N/A</v>
      </c>
      <c r="E93" s="109" t="e">
        <f t="shared" ca="1" si="31"/>
        <v>#N/A</v>
      </c>
      <c r="F93" s="12" t="e">
        <f t="shared" ca="1" si="32"/>
        <v>#N/A</v>
      </c>
    </row>
    <row r="94" spans="2:84" ht="19.5" customHeight="1">
      <c r="B94" s="26">
        <v>12</v>
      </c>
      <c r="C94" s="12" t="e">
        <f t="shared" ca="1" si="29"/>
        <v>#N/A</v>
      </c>
      <c r="D94" s="109" t="e">
        <f t="shared" ca="1" si="30"/>
        <v>#N/A</v>
      </c>
      <c r="E94" s="109" t="e">
        <f t="shared" ca="1" si="31"/>
        <v>#N/A</v>
      </c>
      <c r="F94" s="12" t="e">
        <f t="shared" ca="1" si="32"/>
        <v>#N/A</v>
      </c>
    </row>
    <row r="98" spans="2:84" ht="19.5" customHeight="1">
      <c r="B98" s="459" t="s">
        <v>2021</v>
      </c>
    </row>
    <row r="99" spans="2:84" ht="19.5" customHeight="1">
      <c r="B99" s="12" t="s">
        <v>1981</v>
      </c>
      <c r="C99" s="12" t="s">
        <v>1982</v>
      </c>
      <c r="D99" s="109" t="s">
        <v>2022</v>
      </c>
      <c r="E99" s="12" t="s">
        <v>2019</v>
      </c>
      <c r="F99" s="12"/>
    </row>
    <row r="100" spans="2:84" ht="19.5" customHeight="1">
      <c r="B100" s="12">
        <v>1</v>
      </c>
      <c r="C100" s="26" t="str">
        <f t="shared" ref="C100:C111" ca="1" si="33">H7</f>
        <v>XFV30</v>
      </c>
      <c r="D100" s="109">
        <f t="shared" ref="D100:D111" ca="1" si="34">CE7</f>
        <v>0.32395778128252445</v>
      </c>
      <c r="E100" s="109">
        <f t="shared" ref="E100:E111" ca="1" si="35">CF7</f>
        <v>0.33094253836943421</v>
      </c>
      <c r="F100" s="12"/>
    </row>
    <row r="101" spans="2:84" ht="19.5" customHeight="1">
      <c r="B101" s="12">
        <v>2</v>
      </c>
      <c r="C101" s="26" t="str">
        <f t="shared" ca="1" si="33"/>
        <v>XG500</v>
      </c>
      <c r="D101" s="109">
        <f t="shared" ca="1" si="34"/>
        <v>0.28454853683921516</v>
      </c>
      <c r="E101" s="109">
        <f t="shared" ca="1" si="35"/>
        <v>0.29066734881480361</v>
      </c>
      <c r="F101" s="12"/>
      <c r="H101" s="18"/>
      <c r="I101" s="19"/>
      <c r="J101" s="19"/>
      <c r="K101" s="20"/>
      <c r="L101" s="22"/>
      <c r="M101" s="22"/>
      <c r="N101" s="22"/>
      <c r="O101" s="22"/>
      <c r="P101" s="22"/>
      <c r="Q101" s="22"/>
      <c r="R101" s="571"/>
      <c r="S101" s="571"/>
      <c r="T101" s="571"/>
      <c r="U101" s="22"/>
      <c r="V101" s="22"/>
      <c r="W101" s="22"/>
      <c r="X101" s="22"/>
      <c r="Y101" s="22"/>
      <c r="Z101" s="22"/>
      <c r="AA101" s="476"/>
      <c r="AB101" s="485"/>
      <c r="AC101" s="449"/>
      <c r="AD101" s="485"/>
      <c r="AE101" s="449"/>
      <c r="AF101" s="449"/>
      <c r="AG101" s="22"/>
      <c r="AH101" s="22"/>
      <c r="AI101" s="449"/>
      <c r="AJ101" s="449"/>
      <c r="AK101" s="449"/>
      <c r="AL101" s="449"/>
      <c r="AM101" s="449"/>
      <c r="AN101" s="765"/>
      <c r="AO101" s="765"/>
      <c r="AP101" s="765"/>
      <c r="AQ101" s="765"/>
      <c r="AR101" s="449"/>
      <c r="AS101" s="489"/>
      <c r="AT101" s="449"/>
      <c r="AU101" s="485"/>
      <c r="AV101" s="22"/>
      <c r="AW101" s="22"/>
      <c r="AX101" s="22"/>
      <c r="AY101" s="22"/>
      <c r="AZ101" s="760"/>
      <c r="BA101" s="760"/>
      <c r="BB101" s="22"/>
      <c r="BC101" s="22"/>
      <c r="BD101" s="22"/>
      <c r="BE101" s="22"/>
      <c r="BF101" s="22"/>
      <c r="BG101" s="22"/>
      <c r="BH101" s="22"/>
      <c r="BI101" s="22"/>
      <c r="BJ101" s="22"/>
      <c r="BK101" s="22"/>
      <c r="BL101" s="22"/>
      <c r="CE101" s="22"/>
      <c r="CF101" s="565"/>
    </row>
    <row r="102" spans="2:84" ht="19.5" customHeight="1">
      <c r="B102" s="12">
        <v>3</v>
      </c>
      <c r="C102" s="26" t="str">
        <f t="shared" ca="1" si="33"/>
        <v>XG440</v>
      </c>
      <c r="D102" s="109">
        <f t="shared" ca="1" si="34"/>
        <v>0.28414946396531576</v>
      </c>
      <c r="E102" s="109">
        <f t="shared" ca="1" si="35"/>
        <v>0.27227028665485381</v>
      </c>
      <c r="F102" s="12"/>
      <c r="H102" s="18"/>
      <c r="I102" s="19"/>
      <c r="J102" s="19"/>
      <c r="K102" s="20"/>
      <c r="L102" s="22"/>
      <c r="M102" s="22"/>
      <c r="N102" s="22"/>
      <c r="O102" s="22"/>
      <c r="P102" s="22"/>
      <c r="Q102" s="22"/>
      <c r="R102" s="571"/>
      <c r="S102" s="571"/>
      <c r="T102" s="571"/>
      <c r="U102" s="22"/>
      <c r="V102" s="22"/>
      <c r="W102" s="22"/>
      <c r="X102" s="22"/>
      <c r="Y102" s="22"/>
      <c r="Z102" s="22"/>
      <c r="AA102" s="476"/>
      <c r="AB102" s="485"/>
      <c r="AC102" s="449"/>
      <c r="AD102" s="485"/>
      <c r="AE102" s="449"/>
      <c r="AF102" s="449"/>
      <c r="AG102" s="22"/>
      <c r="AH102" s="22"/>
      <c r="AI102" s="449"/>
      <c r="AJ102" s="449"/>
      <c r="AK102" s="449"/>
      <c r="AL102" s="449"/>
      <c r="AM102" s="449"/>
      <c r="AN102" s="765"/>
      <c r="AO102" s="765"/>
      <c r="AP102" s="765"/>
      <c r="AQ102" s="765"/>
      <c r="AR102" s="449"/>
      <c r="AS102" s="489"/>
      <c r="AT102" s="449"/>
      <c r="AU102" s="485"/>
      <c r="AV102" s="22"/>
      <c r="AW102" s="22"/>
      <c r="AX102" s="22"/>
      <c r="AY102" s="22"/>
      <c r="AZ102" s="760"/>
      <c r="BA102" s="760"/>
      <c r="BB102" s="22"/>
      <c r="BC102" s="22"/>
      <c r="BD102" s="22"/>
      <c r="BE102" s="22"/>
      <c r="BF102" s="22"/>
      <c r="BG102" s="22"/>
      <c r="BH102" s="22"/>
      <c r="BI102" s="22"/>
      <c r="BJ102" s="22"/>
      <c r="BK102" s="22"/>
      <c r="BL102" s="22"/>
      <c r="CE102" s="22"/>
      <c r="CF102" s="565"/>
    </row>
    <row r="103" spans="2:84" ht="19.5" customHeight="1">
      <c r="B103" s="12">
        <v>4</v>
      </c>
      <c r="C103" s="26" t="str">
        <f t="shared" ca="1" si="33"/>
        <v>XH240</v>
      </c>
      <c r="D103" s="109">
        <f t="shared" ca="1" si="34"/>
        <v>5.4273910850312551E-2</v>
      </c>
      <c r="E103" s="109">
        <f t="shared" ca="1" si="35"/>
        <v>5.2038968431549169E-2</v>
      </c>
      <c r="F103" s="12"/>
      <c r="H103" s="18"/>
      <c r="I103" s="19"/>
      <c r="J103" s="19"/>
      <c r="K103" s="20"/>
      <c r="L103" s="22"/>
      <c r="M103" s="22"/>
      <c r="N103" s="22"/>
      <c r="O103" s="22"/>
      <c r="P103" s="22"/>
      <c r="Q103" s="22"/>
      <c r="R103" s="571"/>
      <c r="S103" s="571"/>
      <c r="T103" s="571"/>
      <c r="U103" s="22"/>
      <c r="V103" s="22"/>
      <c r="W103" s="22"/>
      <c r="X103" s="22"/>
      <c r="Y103" s="22"/>
      <c r="Z103" s="22"/>
      <c r="AA103" s="476"/>
      <c r="AB103" s="485"/>
      <c r="AC103" s="449"/>
      <c r="AD103" s="485"/>
      <c r="AE103" s="449"/>
      <c r="AF103" s="449"/>
      <c r="AG103" s="22"/>
      <c r="AH103" s="22"/>
      <c r="AI103" s="449"/>
      <c r="AJ103" s="449"/>
      <c r="AK103" s="449"/>
      <c r="AL103" s="449"/>
      <c r="AM103" s="449"/>
      <c r="AN103" s="765"/>
      <c r="AO103" s="765"/>
      <c r="AP103" s="765"/>
      <c r="AQ103" s="765"/>
      <c r="AR103" s="449"/>
      <c r="AS103" s="489"/>
      <c r="AT103" s="449"/>
      <c r="AU103" s="485"/>
      <c r="AV103" s="22"/>
      <c r="AW103" s="22"/>
      <c r="AX103" s="22"/>
      <c r="AY103" s="22"/>
      <c r="AZ103" s="760"/>
      <c r="BA103" s="760"/>
      <c r="BB103" s="22"/>
      <c r="BC103" s="22"/>
      <c r="BD103" s="22"/>
      <c r="BE103" s="22"/>
      <c r="BF103" s="22"/>
      <c r="BG103" s="22"/>
      <c r="BH103" s="22"/>
      <c r="BI103" s="22"/>
      <c r="BJ103" s="22"/>
      <c r="BK103" s="22"/>
      <c r="BL103" s="22"/>
      <c r="CE103" s="22"/>
      <c r="CF103" s="565"/>
    </row>
    <row r="104" spans="2:84" ht="19.5" customHeight="1">
      <c r="B104" s="12">
        <v>5</v>
      </c>
      <c r="C104" s="26" t="str">
        <f t="shared" ca="1" si="33"/>
        <v>XG490</v>
      </c>
      <c r="D104" s="109">
        <f t="shared" ca="1" si="34"/>
        <v>5.3070307062632091E-2</v>
      </c>
      <c r="E104" s="109">
        <f t="shared" ca="1" si="35"/>
        <v>5.408085772935934E-2</v>
      </c>
      <c r="F104" s="12"/>
      <c r="H104" s="18"/>
      <c r="I104" s="19"/>
      <c r="J104" s="19"/>
      <c r="K104" s="20"/>
      <c r="L104" s="22"/>
      <c r="M104" s="22"/>
      <c r="N104" s="22"/>
      <c r="O104" s="22"/>
      <c r="P104" s="22"/>
      <c r="Q104" s="22"/>
      <c r="R104" s="571"/>
      <c r="S104" s="571"/>
      <c r="T104" s="571"/>
      <c r="U104" s="22"/>
      <c r="V104" s="22"/>
      <c r="W104" s="22"/>
      <c r="X104" s="22"/>
      <c r="Y104" s="22"/>
      <c r="Z104" s="22"/>
      <c r="AA104" s="476"/>
      <c r="AB104" s="485"/>
      <c r="AC104" s="449"/>
      <c r="AD104" s="485"/>
      <c r="AE104" s="449"/>
      <c r="AF104" s="449"/>
      <c r="AG104" s="22"/>
      <c r="AH104" s="22"/>
      <c r="AI104" s="449"/>
      <c r="AJ104" s="449"/>
      <c r="AK104" s="449"/>
      <c r="AL104" s="449"/>
      <c r="AM104" s="449"/>
      <c r="AN104" s="765"/>
      <c r="AO104" s="765"/>
      <c r="AP104" s="765"/>
      <c r="AQ104" s="765"/>
      <c r="AR104" s="449"/>
      <c r="AS104" s="489"/>
      <c r="AT104" s="449"/>
      <c r="AU104" s="485"/>
      <c r="AV104" s="22"/>
      <c r="AW104" s="22"/>
      <c r="AX104" s="22"/>
      <c r="AY104" s="22"/>
      <c r="AZ104" s="760"/>
      <c r="BA104" s="760"/>
      <c r="BB104" s="22"/>
      <c r="BC104" s="22"/>
      <c r="BD104" s="22"/>
      <c r="BE104" s="22"/>
      <c r="BF104" s="22"/>
      <c r="BG104" s="22"/>
      <c r="BH104" s="22"/>
      <c r="BI104" s="22"/>
      <c r="BJ104" s="22"/>
      <c r="BK104" s="22"/>
      <c r="BL104" s="22"/>
      <c r="CE104" s="22"/>
      <c r="CF104" s="565"/>
    </row>
    <row r="105" spans="2:84" ht="19.5" customHeight="1">
      <c r="B105" s="12">
        <v>6</v>
      </c>
      <c r="C105" s="26">
        <f t="shared" ca="1" si="33"/>
        <v>0</v>
      </c>
      <c r="D105" s="109">
        <f t="shared" ca="1" si="34"/>
        <v>0</v>
      </c>
      <c r="E105" s="109">
        <f t="shared" ca="1" si="35"/>
        <v>0</v>
      </c>
      <c r="F105" s="12"/>
      <c r="H105" s="18"/>
      <c r="I105" s="19"/>
      <c r="J105" s="19"/>
      <c r="K105" s="20"/>
      <c r="L105" s="22"/>
      <c r="M105" s="22"/>
      <c r="N105" s="22"/>
      <c r="O105" s="22"/>
      <c r="P105" s="22"/>
      <c r="Q105" s="22"/>
      <c r="R105" s="571"/>
      <c r="S105" s="571"/>
      <c r="T105" s="571"/>
      <c r="U105" s="22"/>
      <c r="V105" s="22"/>
      <c r="W105" s="22"/>
      <c r="X105" s="22"/>
      <c r="Y105" s="22"/>
      <c r="Z105" s="22"/>
      <c r="AA105" s="476"/>
      <c r="AB105" s="485"/>
      <c r="AC105" s="449"/>
      <c r="AD105" s="485"/>
      <c r="AE105" s="449"/>
      <c r="AF105" s="449"/>
      <c r="AG105" s="22"/>
      <c r="AH105" s="22"/>
      <c r="AI105" s="449"/>
      <c r="AJ105" s="449"/>
      <c r="AK105" s="449"/>
      <c r="AL105" s="449"/>
      <c r="AM105" s="449"/>
      <c r="AN105" s="765"/>
      <c r="AO105" s="765"/>
      <c r="AP105" s="765"/>
      <c r="AQ105" s="765"/>
      <c r="AR105" s="449"/>
      <c r="AS105" s="489"/>
      <c r="AT105" s="449"/>
      <c r="AU105" s="485"/>
      <c r="AV105" s="22"/>
      <c r="AW105" s="22"/>
      <c r="AX105" s="22"/>
      <c r="AY105" s="22"/>
      <c r="AZ105" s="760"/>
      <c r="BA105" s="760"/>
      <c r="BB105" s="22"/>
      <c r="BC105" s="22"/>
      <c r="BD105" s="22"/>
      <c r="BE105" s="22"/>
      <c r="BF105" s="22"/>
      <c r="BG105" s="22"/>
      <c r="BH105" s="22"/>
      <c r="BI105" s="22"/>
      <c r="BJ105" s="22"/>
      <c r="BK105" s="22"/>
      <c r="BL105" s="22"/>
      <c r="CE105" s="22"/>
      <c r="CF105" s="565"/>
    </row>
    <row r="106" spans="2:84" ht="19.5" customHeight="1">
      <c r="B106" s="12">
        <v>7</v>
      </c>
      <c r="C106" s="26">
        <f t="shared" ca="1" si="33"/>
        <v>0</v>
      </c>
      <c r="D106" s="109">
        <f t="shared" ca="1" si="34"/>
        <v>0</v>
      </c>
      <c r="E106" s="109">
        <f t="shared" ca="1" si="35"/>
        <v>0</v>
      </c>
      <c r="F106" s="12"/>
      <c r="H106" s="18"/>
      <c r="I106" s="19"/>
      <c r="J106" s="19"/>
      <c r="K106" s="20"/>
      <c r="L106" s="22"/>
      <c r="M106" s="22"/>
      <c r="N106" s="22"/>
      <c r="O106" s="22"/>
      <c r="P106" s="22"/>
      <c r="Q106" s="22"/>
      <c r="R106" s="571"/>
      <c r="S106" s="571"/>
      <c r="T106" s="571"/>
      <c r="U106" s="22"/>
      <c r="V106" s="22"/>
      <c r="W106" s="22"/>
      <c r="X106" s="22"/>
      <c r="Y106" s="22"/>
      <c r="Z106" s="22"/>
      <c r="AA106" s="476"/>
      <c r="AB106" s="485"/>
      <c r="AC106" s="449"/>
      <c r="AD106" s="485"/>
      <c r="AE106" s="449"/>
      <c r="AF106" s="449"/>
      <c r="AG106" s="22"/>
      <c r="AH106" s="22"/>
      <c r="AI106" s="449"/>
      <c r="AJ106" s="449"/>
      <c r="AK106" s="449"/>
      <c r="AL106" s="449"/>
      <c r="AM106" s="449"/>
      <c r="AN106" s="765"/>
      <c r="AO106" s="765"/>
      <c r="AP106" s="765"/>
      <c r="AQ106" s="765"/>
      <c r="AR106" s="449"/>
      <c r="AS106" s="489"/>
      <c r="AT106" s="449"/>
      <c r="AU106" s="485"/>
      <c r="AV106" s="22"/>
      <c r="AW106" s="22"/>
      <c r="AX106" s="22"/>
      <c r="AY106" s="22"/>
      <c r="AZ106" s="760"/>
      <c r="BA106" s="760"/>
      <c r="BB106" s="22"/>
      <c r="BC106" s="22"/>
      <c r="BD106" s="22"/>
      <c r="BE106" s="22"/>
      <c r="BF106" s="22"/>
      <c r="BG106" s="22"/>
      <c r="BH106" s="22"/>
      <c r="BI106" s="22"/>
      <c r="BJ106" s="22"/>
      <c r="BK106" s="22"/>
      <c r="BL106" s="22"/>
      <c r="CE106" s="22"/>
      <c r="CF106" s="565"/>
    </row>
    <row r="107" spans="2:84" ht="19.5" customHeight="1">
      <c r="B107" s="12">
        <v>8</v>
      </c>
      <c r="C107" s="26">
        <f t="shared" ca="1" si="33"/>
        <v>0</v>
      </c>
      <c r="D107" s="109">
        <f t="shared" ca="1" si="34"/>
        <v>0</v>
      </c>
      <c r="E107" s="109">
        <f t="shared" ca="1" si="35"/>
        <v>0</v>
      </c>
      <c r="F107" s="12"/>
      <c r="H107" s="18"/>
      <c r="I107" s="19"/>
      <c r="J107" s="19"/>
      <c r="K107" s="20"/>
      <c r="L107" s="22"/>
      <c r="M107" s="22"/>
      <c r="N107" s="22"/>
      <c r="O107" s="22"/>
      <c r="P107" s="22"/>
      <c r="Q107" s="22"/>
      <c r="R107" s="571"/>
      <c r="S107" s="571"/>
      <c r="T107" s="571"/>
      <c r="U107" s="22"/>
      <c r="V107" s="22"/>
      <c r="W107" s="22"/>
      <c r="X107" s="22"/>
      <c r="Y107" s="22"/>
      <c r="Z107" s="22"/>
      <c r="AA107" s="476"/>
      <c r="AB107" s="485"/>
      <c r="AC107" s="449"/>
      <c r="AD107" s="485"/>
      <c r="AE107" s="449"/>
      <c r="AF107" s="449"/>
      <c r="AG107" s="22"/>
      <c r="AH107" s="22"/>
      <c r="AI107" s="449"/>
      <c r="AJ107" s="449"/>
      <c r="AK107" s="449"/>
      <c r="AL107" s="449"/>
      <c r="AM107" s="449"/>
      <c r="AN107" s="765"/>
      <c r="AO107" s="765"/>
      <c r="AP107" s="765"/>
      <c r="AQ107" s="765"/>
      <c r="AR107" s="449"/>
      <c r="AS107" s="489"/>
      <c r="AT107" s="449"/>
      <c r="AU107" s="485"/>
      <c r="AV107" s="22"/>
      <c r="AW107" s="22"/>
      <c r="AX107" s="22"/>
      <c r="AY107" s="22"/>
      <c r="AZ107" s="760"/>
      <c r="BA107" s="760"/>
      <c r="BB107" s="22"/>
      <c r="BC107" s="22"/>
      <c r="BD107" s="22"/>
      <c r="BE107" s="22"/>
      <c r="BF107" s="22"/>
      <c r="BG107" s="22"/>
      <c r="BH107" s="22"/>
      <c r="BI107" s="22"/>
      <c r="BJ107" s="22"/>
      <c r="BK107" s="22"/>
      <c r="BL107" s="22"/>
      <c r="CE107" s="22"/>
      <c r="CF107" s="565"/>
    </row>
    <row r="108" spans="2:84" ht="19.5" customHeight="1">
      <c r="B108" s="12">
        <v>9</v>
      </c>
      <c r="C108" s="26">
        <f t="shared" ca="1" si="33"/>
        <v>0</v>
      </c>
      <c r="D108" s="109">
        <f t="shared" ca="1" si="34"/>
        <v>0</v>
      </c>
      <c r="E108" s="109">
        <f t="shared" ca="1" si="35"/>
        <v>0</v>
      </c>
      <c r="F108" s="12"/>
      <c r="H108" s="18"/>
      <c r="I108" s="19"/>
      <c r="J108" s="19"/>
      <c r="K108" s="20"/>
      <c r="L108" s="22"/>
      <c r="M108" s="22"/>
      <c r="N108" s="22"/>
      <c r="O108" s="22"/>
      <c r="P108" s="22"/>
      <c r="Q108" s="22"/>
      <c r="R108" s="571"/>
      <c r="S108" s="571"/>
      <c r="T108" s="571"/>
      <c r="U108" s="22"/>
      <c r="V108" s="22"/>
      <c r="W108" s="22"/>
      <c r="X108" s="22"/>
      <c r="Y108" s="22"/>
      <c r="Z108" s="22"/>
      <c r="AA108" s="476"/>
      <c r="AB108" s="485"/>
      <c r="AC108" s="449"/>
      <c r="AD108" s="485"/>
      <c r="AE108" s="449"/>
      <c r="AF108" s="449"/>
      <c r="AG108" s="22"/>
      <c r="AH108" s="22"/>
      <c r="AI108" s="449"/>
      <c r="AJ108" s="449"/>
      <c r="AK108" s="449"/>
      <c r="AL108" s="449"/>
      <c r="AM108" s="449"/>
      <c r="AN108" s="765"/>
      <c r="AO108" s="765"/>
      <c r="AP108" s="765"/>
      <c r="AQ108" s="765"/>
      <c r="AR108" s="449"/>
      <c r="AS108" s="489"/>
      <c r="AT108" s="449"/>
      <c r="AU108" s="485"/>
      <c r="AV108" s="22"/>
      <c r="AW108" s="22"/>
      <c r="AX108" s="22"/>
      <c r="AY108" s="22"/>
      <c r="AZ108" s="760"/>
      <c r="BA108" s="760"/>
      <c r="BB108" s="22"/>
      <c r="BC108" s="22"/>
      <c r="BD108" s="22"/>
      <c r="BE108" s="22"/>
      <c r="BF108" s="22"/>
      <c r="BG108" s="22"/>
      <c r="BH108" s="22"/>
      <c r="BI108" s="22"/>
      <c r="BJ108" s="22"/>
      <c r="BK108" s="22"/>
      <c r="BL108" s="22"/>
      <c r="CE108" s="22"/>
      <c r="CF108" s="565"/>
    </row>
    <row r="109" spans="2:84" ht="19.5" customHeight="1">
      <c r="B109" s="12">
        <v>10</v>
      </c>
      <c r="C109" s="26">
        <f t="shared" ca="1" si="33"/>
        <v>0</v>
      </c>
      <c r="D109" s="109">
        <f t="shared" ca="1" si="34"/>
        <v>0</v>
      </c>
      <c r="E109" s="109">
        <f t="shared" ca="1" si="35"/>
        <v>0</v>
      </c>
      <c r="F109" s="12"/>
      <c r="H109" s="18"/>
      <c r="I109" s="19"/>
      <c r="J109" s="19"/>
      <c r="K109" s="20"/>
      <c r="L109" s="22"/>
      <c r="M109" s="22"/>
      <c r="N109" s="22"/>
      <c r="O109" s="22"/>
      <c r="P109" s="22"/>
      <c r="Q109" s="22"/>
      <c r="R109" s="571"/>
      <c r="S109" s="571"/>
      <c r="T109" s="571"/>
      <c r="U109" s="22"/>
      <c r="V109" s="22"/>
      <c r="W109" s="22"/>
      <c r="X109" s="22"/>
      <c r="Y109" s="22"/>
      <c r="Z109" s="22"/>
      <c r="AA109" s="476"/>
      <c r="AB109" s="485"/>
      <c r="AC109" s="449"/>
      <c r="AD109" s="485"/>
      <c r="AE109" s="449"/>
      <c r="AF109" s="449"/>
      <c r="AG109" s="22"/>
      <c r="AH109" s="22"/>
      <c r="AI109" s="449"/>
      <c r="AJ109" s="449"/>
      <c r="AK109" s="449"/>
      <c r="AL109" s="449"/>
      <c r="AM109" s="449"/>
      <c r="AN109" s="765"/>
      <c r="AO109" s="765"/>
      <c r="AP109" s="765"/>
      <c r="AQ109" s="765"/>
      <c r="AR109" s="449"/>
      <c r="AS109" s="489"/>
      <c r="AT109" s="449"/>
      <c r="AU109" s="485"/>
      <c r="AV109" s="22"/>
      <c r="AW109" s="22"/>
      <c r="AX109" s="22"/>
      <c r="AY109" s="22"/>
      <c r="AZ109" s="760"/>
      <c r="BA109" s="760"/>
      <c r="BB109" s="22"/>
      <c r="BC109" s="22"/>
      <c r="BD109" s="22"/>
      <c r="BE109" s="22"/>
      <c r="BF109" s="22"/>
      <c r="BG109" s="22"/>
      <c r="BH109" s="22"/>
      <c r="BI109" s="22"/>
      <c r="BJ109" s="22"/>
      <c r="BK109" s="22"/>
      <c r="BL109" s="22"/>
      <c r="CE109" s="22"/>
      <c r="CF109" s="565"/>
    </row>
    <row r="110" spans="2:84" ht="19.5" customHeight="1">
      <c r="B110" s="12">
        <v>11</v>
      </c>
      <c r="C110" s="26">
        <f t="shared" ca="1" si="33"/>
        <v>0</v>
      </c>
      <c r="D110" s="109">
        <f t="shared" ca="1" si="34"/>
        <v>0</v>
      </c>
      <c r="E110" s="109">
        <f t="shared" ca="1" si="35"/>
        <v>0</v>
      </c>
      <c r="F110" s="12"/>
      <c r="H110" s="18"/>
      <c r="I110" s="19"/>
      <c r="J110" s="19"/>
      <c r="K110" s="20"/>
      <c r="L110" s="22"/>
      <c r="M110" s="22"/>
      <c r="N110" s="22"/>
      <c r="O110" s="22"/>
      <c r="P110" s="22"/>
      <c r="Q110" s="22"/>
      <c r="R110" s="571"/>
      <c r="S110" s="571"/>
      <c r="T110" s="571"/>
      <c r="U110" s="22"/>
      <c r="V110" s="22"/>
      <c r="W110" s="22"/>
      <c r="X110" s="22"/>
      <c r="Y110" s="22"/>
      <c r="Z110" s="22"/>
      <c r="AA110" s="476"/>
      <c r="AB110" s="485"/>
      <c r="AC110" s="449"/>
      <c r="AD110" s="485"/>
      <c r="AE110" s="449"/>
      <c r="AF110" s="449"/>
      <c r="AG110" s="22"/>
      <c r="AH110" s="22"/>
      <c r="AI110" s="449"/>
      <c r="AJ110" s="449"/>
      <c r="AK110" s="449"/>
      <c r="AL110" s="449"/>
      <c r="AM110" s="449"/>
      <c r="AN110" s="765"/>
      <c r="AO110" s="765"/>
      <c r="AP110" s="765"/>
      <c r="AQ110" s="765"/>
      <c r="AR110" s="449"/>
      <c r="AS110" s="489"/>
      <c r="AT110" s="449"/>
      <c r="AU110" s="485"/>
      <c r="AV110" s="22"/>
      <c r="AW110" s="22"/>
      <c r="AX110" s="22"/>
      <c r="AY110" s="22"/>
      <c r="AZ110" s="760"/>
      <c r="BA110" s="760"/>
      <c r="BB110" s="22"/>
      <c r="BC110" s="22"/>
      <c r="BD110" s="22"/>
      <c r="BE110" s="22"/>
      <c r="BF110" s="22"/>
      <c r="BG110" s="22"/>
      <c r="BH110" s="22"/>
      <c r="BI110" s="22"/>
      <c r="BJ110" s="22"/>
      <c r="BK110" s="22"/>
      <c r="BL110" s="22"/>
      <c r="CE110" s="22"/>
      <c r="CF110" s="565"/>
    </row>
    <row r="111" spans="2:84" ht="19.5" customHeight="1">
      <c r="B111" s="12">
        <v>12</v>
      </c>
      <c r="C111" s="26">
        <f t="shared" ca="1" si="33"/>
        <v>0</v>
      </c>
      <c r="D111" s="109">
        <f t="shared" ca="1" si="34"/>
        <v>0</v>
      </c>
      <c r="E111" s="109">
        <f t="shared" ca="1" si="35"/>
        <v>0</v>
      </c>
      <c r="F111" s="12"/>
      <c r="H111" s="18"/>
      <c r="I111" s="19"/>
      <c r="J111" s="19"/>
      <c r="K111" s="20"/>
      <c r="L111" s="22"/>
      <c r="M111" s="22"/>
      <c r="N111" s="22"/>
      <c r="O111" s="22"/>
      <c r="P111" s="22"/>
      <c r="Q111" s="22"/>
      <c r="R111" s="571"/>
      <c r="S111" s="571"/>
      <c r="T111" s="571"/>
      <c r="U111" s="22"/>
      <c r="V111" s="22"/>
      <c r="W111" s="22"/>
      <c r="X111" s="22"/>
      <c r="Y111" s="22"/>
      <c r="Z111" s="22"/>
      <c r="AA111" s="476"/>
      <c r="AB111" s="485"/>
      <c r="AC111" s="449"/>
      <c r="AD111" s="485"/>
      <c r="AE111" s="449"/>
      <c r="AF111" s="449"/>
      <c r="AG111" s="22"/>
      <c r="AH111" s="22"/>
      <c r="AI111" s="449"/>
      <c r="AJ111" s="449"/>
      <c r="AK111" s="449"/>
      <c r="AL111" s="449"/>
      <c r="AM111" s="449"/>
      <c r="AN111" s="765"/>
      <c r="AO111" s="765"/>
      <c r="AP111" s="765"/>
      <c r="AQ111" s="765"/>
      <c r="AR111" s="449"/>
      <c r="AS111" s="489"/>
      <c r="AT111" s="449"/>
      <c r="AU111" s="485"/>
      <c r="AV111" s="22"/>
      <c r="AW111" s="22"/>
      <c r="AX111" s="22"/>
      <c r="AY111" s="22"/>
      <c r="AZ111" s="760"/>
      <c r="BA111" s="760"/>
      <c r="BB111" s="22"/>
      <c r="BC111" s="22"/>
      <c r="BD111" s="22"/>
      <c r="BE111" s="22"/>
      <c r="BF111" s="22"/>
      <c r="BG111" s="22"/>
      <c r="BH111" s="22"/>
      <c r="BI111" s="22"/>
      <c r="BJ111" s="22"/>
      <c r="BK111" s="22"/>
      <c r="BL111" s="22"/>
      <c r="CE111" s="22"/>
      <c r="CF111" s="565"/>
    </row>
    <row r="112" spans="2:84" ht="19.5" customHeight="1">
      <c r="H112" s="18"/>
      <c r="I112" s="19"/>
      <c r="J112" s="19"/>
      <c r="K112" s="20"/>
      <c r="L112" s="22"/>
      <c r="M112" s="22"/>
      <c r="N112" s="22"/>
      <c r="O112" s="22"/>
      <c r="P112" s="22"/>
      <c r="Q112" s="22"/>
      <c r="R112" s="571"/>
      <c r="S112" s="571"/>
      <c r="T112" s="571"/>
      <c r="U112" s="22"/>
      <c r="V112" s="22"/>
      <c r="W112" s="22"/>
      <c r="X112" s="22"/>
      <c r="Y112" s="22"/>
      <c r="Z112" s="22"/>
      <c r="AA112" s="476"/>
      <c r="AB112" s="485"/>
      <c r="AC112" s="449"/>
      <c r="AD112" s="485"/>
      <c r="AE112" s="449"/>
      <c r="AF112" s="449"/>
      <c r="AG112" s="22"/>
      <c r="AH112" s="22"/>
      <c r="AI112" s="449"/>
      <c r="AJ112" s="449"/>
      <c r="AK112" s="449"/>
      <c r="AL112" s="449"/>
      <c r="AM112" s="449"/>
      <c r="AN112" s="765"/>
      <c r="AO112" s="765"/>
      <c r="AP112" s="765"/>
      <c r="AQ112" s="765"/>
      <c r="AR112" s="449"/>
      <c r="AS112" s="489"/>
      <c r="AT112" s="449"/>
      <c r="AU112" s="485"/>
      <c r="AV112" s="22"/>
      <c r="AW112" s="22"/>
      <c r="AX112" s="22"/>
      <c r="AY112" s="22"/>
      <c r="AZ112" s="760"/>
      <c r="BA112" s="760"/>
      <c r="BB112" s="22"/>
      <c r="BC112" s="22"/>
      <c r="BD112" s="22"/>
      <c r="BE112" s="22"/>
      <c r="BF112" s="22"/>
      <c r="BG112" s="22"/>
      <c r="BH112" s="22"/>
      <c r="BI112" s="22"/>
      <c r="BJ112" s="22"/>
      <c r="BK112" s="22"/>
      <c r="BL112" s="22"/>
      <c r="CE112" s="22"/>
      <c r="CF112" s="565"/>
    </row>
    <row r="113" spans="8:84" ht="19.5" customHeight="1">
      <c r="H113" s="18"/>
      <c r="I113" s="19"/>
      <c r="J113" s="19"/>
      <c r="K113" s="20"/>
      <c r="L113" s="22"/>
      <c r="M113" s="22"/>
      <c r="N113" s="22"/>
      <c r="O113" s="22"/>
      <c r="P113" s="22"/>
      <c r="Q113" s="22"/>
      <c r="R113" s="571"/>
      <c r="S113" s="571"/>
      <c r="T113" s="571"/>
      <c r="U113" s="22"/>
      <c r="V113" s="22"/>
      <c r="W113" s="22"/>
      <c r="X113" s="22"/>
      <c r="Y113" s="22"/>
      <c r="Z113" s="22"/>
      <c r="AA113" s="476"/>
      <c r="AB113" s="485"/>
      <c r="AC113" s="449"/>
      <c r="AD113" s="485"/>
      <c r="AE113" s="449"/>
      <c r="AF113" s="449"/>
      <c r="AG113" s="22"/>
      <c r="AH113" s="22"/>
      <c r="AI113" s="449"/>
      <c r="AJ113" s="449"/>
      <c r="AK113" s="449"/>
      <c r="AL113" s="449"/>
      <c r="AM113" s="449"/>
      <c r="AN113" s="765"/>
      <c r="AO113" s="765"/>
      <c r="AP113" s="765"/>
      <c r="AQ113" s="765"/>
      <c r="AR113" s="449"/>
      <c r="AS113" s="489"/>
      <c r="AT113" s="449"/>
      <c r="AU113" s="485"/>
      <c r="AV113" s="22"/>
      <c r="AW113" s="22"/>
      <c r="AX113" s="22"/>
      <c r="AY113" s="22"/>
      <c r="AZ113" s="760"/>
      <c r="BA113" s="760"/>
      <c r="BB113" s="22"/>
      <c r="BC113" s="22"/>
      <c r="BD113" s="22"/>
      <c r="BE113" s="22"/>
      <c r="BF113" s="22"/>
      <c r="BG113" s="22"/>
      <c r="BH113" s="22"/>
      <c r="BI113" s="22"/>
      <c r="BJ113" s="22"/>
      <c r="BK113" s="22"/>
      <c r="BL113" s="22"/>
      <c r="CE113" s="22"/>
      <c r="CF113" s="565"/>
    </row>
    <row r="114" spans="8:84" ht="19.5" customHeight="1">
      <c r="H114" s="18"/>
      <c r="I114" s="19"/>
      <c r="J114" s="19"/>
      <c r="K114" s="20"/>
      <c r="L114" s="22"/>
      <c r="M114" s="22"/>
      <c r="N114" s="22"/>
      <c r="O114" s="22"/>
      <c r="P114" s="22"/>
      <c r="Q114" s="22"/>
      <c r="R114" s="571"/>
      <c r="S114" s="571"/>
      <c r="T114" s="571"/>
      <c r="U114" s="22"/>
      <c r="V114" s="22"/>
      <c r="W114" s="22"/>
      <c r="X114" s="22"/>
      <c r="Y114" s="22"/>
      <c r="Z114" s="22"/>
      <c r="AA114" s="476"/>
      <c r="AB114" s="485"/>
      <c r="AC114" s="449"/>
      <c r="AD114" s="485"/>
      <c r="AE114" s="449"/>
      <c r="AF114" s="449"/>
      <c r="AG114" s="22"/>
      <c r="AH114" s="22"/>
      <c r="AI114" s="449"/>
      <c r="AJ114" s="449"/>
      <c r="AK114" s="449"/>
      <c r="AL114" s="449"/>
      <c r="AM114" s="449"/>
      <c r="AN114" s="765"/>
      <c r="AO114" s="765"/>
      <c r="AP114" s="765"/>
      <c r="AQ114" s="765"/>
      <c r="AR114" s="449"/>
      <c r="AS114" s="489"/>
      <c r="AT114" s="449"/>
      <c r="AU114" s="485"/>
      <c r="AV114" s="22"/>
      <c r="AW114" s="22"/>
      <c r="AX114" s="22"/>
      <c r="AY114" s="22"/>
      <c r="AZ114" s="760"/>
      <c r="BA114" s="760"/>
      <c r="BB114" s="22"/>
      <c r="BC114" s="22"/>
      <c r="BD114" s="22"/>
      <c r="BE114" s="22"/>
      <c r="BF114" s="22"/>
      <c r="BG114" s="22"/>
      <c r="BH114" s="22"/>
      <c r="BI114" s="22"/>
      <c r="BJ114" s="22"/>
      <c r="BK114" s="22"/>
      <c r="BL114" s="22"/>
      <c r="CE114" s="22"/>
      <c r="CF114" s="565"/>
    </row>
    <row r="115" spans="8:84" ht="19.5" customHeight="1">
      <c r="H115" s="18"/>
      <c r="I115" s="19"/>
      <c r="J115" s="19"/>
      <c r="K115" s="20"/>
      <c r="L115" s="22"/>
      <c r="M115" s="22"/>
      <c r="N115" s="22"/>
      <c r="O115" s="22"/>
      <c r="P115" s="22"/>
      <c r="Q115" s="22"/>
      <c r="R115" s="571"/>
      <c r="S115" s="571"/>
      <c r="T115" s="571"/>
      <c r="U115" s="22"/>
      <c r="V115" s="22"/>
      <c r="W115" s="22"/>
      <c r="X115" s="22"/>
      <c r="Y115" s="22"/>
      <c r="Z115" s="22"/>
      <c r="AA115" s="476"/>
      <c r="AB115" s="485"/>
      <c r="AC115" s="449"/>
      <c r="AD115" s="485"/>
      <c r="AE115" s="449"/>
      <c r="AF115" s="449"/>
      <c r="AG115" s="22"/>
      <c r="AH115" s="22"/>
      <c r="AI115" s="449"/>
      <c r="AJ115" s="449"/>
      <c r="AK115" s="449"/>
      <c r="AL115" s="449"/>
      <c r="AM115" s="449"/>
      <c r="AN115" s="765"/>
      <c r="AO115" s="765"/>
      <c r="AP115" s="765"/>
      <c r="AQ115" s="765"/>
      <c r="AR115" s="449"/>
      <c r="AS115" s="489"/>
      <c r="AT115" s="449"/>
      <c r="AU115" s="485"/>
      <c r="AV115" s="22"/>
      <c r="AW115" s="22"/>
      <c r="AX115" s="22"/>
      <c r="AY115" s="22"/>
      <c r="AZ115" s="760"/>
      <c r="BA115" s="760"/>
      <c r="BB115" s="22"/>
      <c r="BC115" s="22"/>
      <c r="BD115" s="22"/>
      <c r="BE115" s="22"/>
      <c r="BF115" s="22"/>
      <c r="BG115" s="22"/>
      <c r="BH115" s="22"/>
      <c r="BI115" s="22"/>
      <c r="BJ115" s="22"/>
      <c r="BK115" s="22"/>
      <c r="BL115" s="22"/>
      <c r="CE115" s="22"/>
      <c r="CF115" s="565"/>
    </row>
    <row r="116" spans="8:84" ht="19.5" customHeight="1">
      <c r="H116" s="18"/>
      <c r="I116" s="19"/>
      <c r="J116" s="19"/>
      <c r="K116" s="20"/>
      <c r="L116" s="22"/>
      <c r="M116" s="22"/>
      <c r="N116" s="22"/>
      <c r="O116" s="22"/>
      <c r="P116" s="22"/>
      <c r="Q116" s="22"/>
      <c r="R116" s="571"/>
      <c r="S116" s="571"/>
      <c r="T116" s="571"/>
      <c r="U116" s="22"/>
      <c r="V116" s="22"/>
      <c r="W116" s="22"/>
      <c r="X116" s="22"/>
      <c r="Y116" s="22"/>
      <c r="Z116" s="22"/>
      <c r="AA116" s="476"/>
      <c r="AB116" s="485"/>
      <c r="AC116" s="449"/>
      <c r="AD116" s="485"/>
      <c r="AE116" s="449"/>
      <c r="AF116" s="449"/>
      <c r="AG116" s="22"/>
      <c r="AH116" s="22"/>
      <c r="AI116" s="449"/>
      <c r="AJ116" s="449"/>
      <c r="AK116" s="449"/>
      <c r="AL116" s="449"/>
      <c r="AM116" s="449"/>
      <c r="AN116" s="765"/>
      <c r="AO116" s="765"/>
      <c r="AP116" s="765"/>
      <c r="AQ116" s="765"/>
      <c r="AR116" s="449"/>
      <c r="AS116" s="489"/>
      <c r="AT116" s="449"/>
      <c r="AU116" s="485"/>
      <c r="AV116" s="22"/>
      <c r="AW116" s="22"/>
      <c r="AX116" s="22"/>
      <c r="AY116" s="22"/>
      <c r="AZ116" s="760"/>
      <c r="BA116" s="760"/>
      <c r="BB116" s="22"/>
      <c r="BC116" s="22"/>
      <c r="BD116" s="22"/>
      <c r="BE116" s="22"/>
      <c r="BF116" s="22"/>
      <c r="BG116" s="22"/>
      <c r="BH116" s="22"/>
      <c r="BI116" s="22"/>
      <c r="BJ116" s="22"/>
      <c r="BK116" s="22"/>
      <c r="BL116" s="22"/>
      <c r="CE116" s="22"/>
      <c r="CF116" s="565"/>
    </row>
    <row r="117" spans="8:84" ht="19.5" customHeight="1">
      <c r="H117" s="18"/>
      <c r="I117" s="19"/>
      <c r="J117" s="19"/>
      <c r="K117" s="20"/>
      <c r="L117" s="22"/>
      <c r="M117" s="22"/>
      <c r="N117" s="22"/>
      <c r="O117" s="22"/>
      <c r="P117" s="22"/>
      <c r="Q117" s="22"/>
      <c r="R117" s="571"/>
      <c r="S117" s="571"/>
      <c r="T117" s="571"/>
      <c r="U117" s="22"/>
      <c r="V117" s="22"/>
      <c r="W117" s="22"/>
      <c r="X117" s="22"/>
      <c r="Y117" s="22"/>
      <c r="Z117" s="22"/>
      <c r="AA117" s="476"/>
      <c r="AB117" s="485"/>
      <c r="AC117" s="449"/>
      <c r="AD117" s="485"/>
      <c r="AE117" s="449"/>
      <c r="AF117" s="449"/>
      <c r="AG117" s="22"/>
      <c r="AH117" s="22"/>
      <c r="AI117" s="449"/>
      <c r="AJ117" s="449"/>
      <c r="AK117" s="449"/>
      <c r="AL117" s="449"/>
      <c r="AM117" s="449"/>
      <c r="AN117" s="765"/>
      <c r="AO117" s="765"/>
      <c r="AP117" s="765"/>
      <c r="AQ117" s="765"/>
      <c r="AR117" s="449"/>
      <c r="AS117" s="489"/>
      <c r="AT117" s="449"/>
      <c r="AU117" s="485"/>
      <c r="AV117" s="22"/>
      <c r="AW117" s="22"/>
      <c r="AX117" s="22"/>
      <c r="AY117" s="22"/>
      <c r="AZ117" s="760"/>
      <c r="BA117" s="760"/>
      <c r="BB117" s="22"/>
      <c r="BC117" s="22"/>
      <c r="BD117" s="22"/>
      <c r="BE117" s="22"/>
      <c r="BF117" s="22"/>
      <c r="BG117" s="22"/>
      <c r="BH117" s="22"/>
      <c r="BI117" s="22"/>
      <c r="BJ117" s="22"/>
      <c r="BK117" s="22"/>
      <c r="BL117" s="22"/>
      <c r="CE117" s="22"/>
      <c r="CF117" s="565"/>
    </row>
    <row r="118" spans="8:84" ht="19.5" customHeight="1">
      <c r="H118" s="18"/>
      <c r="I118" s="19"/>
      <c r="J118" s="19"/>
      <c r="K118" s="20"/>
      <c r="L118" s="22"/>
      <c r="M118" s="22"/>
      <c r="N118" s="22"/>
      <c r="O118" s="22"/>
      <c r="P118" s="22"/>
      <c r="Q118" s="22"/>
      <c r="R118" s="571"/>
      <c r="S118" s="571"/>
      <c r="T118" s="571"/>
      <c r="U118" s="22"/>
      <c r="V118" s="22"/>
      <c r="W118" s="22"/>
      <c r="X118" s="22"/>
      <c r="Y118" s="22"/>
      <c r="Z118" s="22"/>
      <c r="AA118" s="476"/>
      <c r="AB118" s="485"/>
      <c r="AC118" s="449"/>
      <c r="AD118" s="485"/>
      <c r="AE118" s="449"/>
      <c r="AF118" s="449"/>
      <c r="AG118" s="22"/>
      <c r="AH118" s="22"/>
      <c r="AI118" s="449"/>
      <c r="AJ118" s="449"/>
      <c r="AK118" s="449"/>
      <c r="AL118" s="449"/>
      <c r="AM118" s="449"/>
      <c r="AN118" s="765"/>
      <c r="AO118" s="765"/>
      <c r="AP118" s="765"/>
      <c r="AQ118" s="765"/>
      <c r="AR118" s="449"/>
      <c r="AS118" s="489"/>
      <c r="AT118" s="449"/>
      <c r="AU118" s="485"/>
      <c r="AV118" s="22"/>
      <c r="AW118" s="22"/>
      <c r="AX118" s="22"/>
      <c r="AY118" s="22"/>
      <c r="AZ118" s="760"/>
      <c r="BA118" s="760"/>
      <c r="BB118" s="22"/>
      <c r="BC118" s="22"/>
      <c r="BD118" s="22"/>
      <c r="BE118" s="22"/>
      <c r="BF118" s="22"/>
      <c r="BG118" s="22"/>
      <c r="BH118" s="22"/>
      <c r="BI118" s="22"/>
      <c r="BJ118" s="22"/>
      <c r="BK118" s="22"/>
      <c r="BL118" s="22"/>
      <c r="CE118" s="22"/>
      <c r="CF118" s="565"/>
    </row>
    <row r="119" spans="8:84" ht="19.5" customHeight="1">
      <c r="H119" s="18"/>
      <c r="I119" s="19"/>
      <c r="J119" s="19"/>
      <c r="K119" s="20"/>
      <c r="L119" s="22"/>
      <c r="M119" s="22"/>
      <c r="N119" s="22"/>
      <c r="O119" s="22"/>
      <c r="P119" s="22"/>
      <c r="Q119" s="22"/>
      <c r="R119" s="571"/>
      <c r="S119" s="571"/>
      <c r="T119" s="571"/>
      <c r="U119" s="22"/>
      <c r="V119" s="22"/>
      <c r="W119" s="22"/>
      <c r="X119" s="22"/>
      <c r="Y119" s="22"/>
      <c r="Z119" s="22"/>
      <c r="AA119" s="476"/>
      <c r="AB119" s="485"/>
      <c r="AC119" s="449"/>
      <c r="AD119" s="485"/>
      <c r="AE119" s="449"/>
      <c r="AF119" s="449"/>
      <c r="AG119" s="22"/>
      <c r="AH119" s="22"/>
      <c r="AI119" s="449"/>
      <c r="AJ119" s="449"/>
      <c r="AK119" s="449"/>
      <c r="AL119" s="449"/>
      <c r="AM119" s="449"/>
      <c r="AN119" s="765"/>
      <c r="AO119" s="765"/>
      <c r="AP119" s="765"/>
      <c r="AQ119" s="765"/>
      <c r="AR119" s="449"/>
      <c r="AS119" s="489"/>
      <c r="AT119" s="449"/>
      <c r="AU119" s="485"/>
      <c r="AV119" s="22"/>
      <c r="AW119" s="22"/>
      <c r="AX119" s="22"/>
      <c r="AY119" s="22"/>
      <c r="AZ119" s="760"/>
      <c r="BA119" s="760"/>
      <c r="BB119" s="22"/>
      <c r="BC119" s="22"/>
      <c r="BD119" s="22"/>
      <c r="BE119" s="22"/>
      <c r="BF119" s="22"/>
      <c r="BG119" s="22"/>
      <c r="BH119" s="22"/>
      <c r="BI119" s="22"/>
      <c r="BJ119" s="22"/>
      <c r="BK119" s="22"/>
      <c r="BL119" s="22"/>
      <c r="CE119" s="22"/>
      <c r="CF119" s="565"/>
    </row>
    <row r="120" spans="8:84" ht="19.5" customHeight="1">
      <c r="H120" s="18"/>
      <c r="I120" s="19"/>
      <c r="J120" s="19"/>
      <c r="K120" s="20"/>
      <c r="L120" s="22"/>
      <c r="M120" s="22"/>
      <c r="N120" s="22"/>
      <c r="O120" s="22"/>
      <c r="P120" s="22"/>
      <c r="Q120" s="22"/>
      <c r="R120" s="571"/>
      <c r="S120" s="571"/>
      <c r="T120" s="571"/>
      <c r="U120" s="22"/>
      <c r="V120" s="22"/>
      <c r="W120" s="22"/>
      <c r="X120" s="22"/>
      <c r="Y120" s="22"/>
      <c r="Z120" s="22"/>
      <c r="AA120" s="476"/>
      <c r="AB120" s="485"/>
      <c r="AC120" s="449"/>
      <c r="AD120" s="485"/>
      <c r="AE120" s="449"/>
      <c r="AF120" s="449"/>
      <c r="AG120" s="22"/>
      <c r="AH120" s="22"/>
      <c r="AI120" s="449"/>
      <c r="AJ120" s="449"/>
      <c r="AK120" s="449"/>
      <c r="AL120" s="449"/>
      <c r="AM120" s="449"/>
      <c r="AN120" s="765"/>
      <c r="AO120" s="765"/>
      <c r="AP120" s="765"/>
      <c r="AQ120" s="765"/>
      <c r="AR120" s="449"/>
      <c r="AS120" s="489"/>
      <c r="AT120" s="449"/>
      <c r="AU120" s="485"/>
      <c r="AV120" s="22"/>
      <c r="AW120" s="22"/>
      <c r="AX120" s="22"/>
      <c r="AY120" s="22"/>
      <c r="AZ120" s="760"/>
      <c r="BA120" s="760"/>
      <c r="BB120" s="22"/>
      <c r="BC120" s="22"/>
      <c r="BD120" s="22"/>
      <c r="BE120" s="22"/>
      <c r="BF120" s="22"/>
      <c r="BG120" s="22"/>
      <c r="BH120" s="22"/>
      <c r="BI120" s="22"/>
      <c r="BJ120" s="22"/>
      <c r="BK120" s="22"/>
      <c r="BL120" s="22"/>
      <c r="CE120" s="22"/>
      <c r="CF120" s="565"/>
    </row>
    <row r="121" spans="8:84" ht="19.5" customHeight="1">
      <c r="H121" s="18"/>
      <c r="I121" s="19"/>
      <c r="J121" s="19"/>
      <c r="K121" s="20"/>
      <c r="L121" s="22"/>
      <c r="M121" s="22"/>
      <c r="N121" s="22"/>
      <c r="O121" s="22"/>
      <c r="P121" s="22"/>
      <c r="Q121" s="22"/>
      <c r="R121" s="571"/>
      <c r="S121" s="571"/>
      <c r="T121" s="571"/>
      <c r="U121" s="22"/>
      <c r="V121" s="22"/>
      <c r="W121" s="22"/>
      <c r="X121" s="22"/>
      <c r="Y121" s="22"/>
      <c r="Z121" s="22"/>
      <c r="AA121" s="476"/>
      <c r="AB121" s="485"/>
      <c r="AC121" s="449"/>
      <c r="AD121" s="485"/>
      <c r="AE121" s="449"/>
      <c r="AF121" s="449"/>
      <c r="AG121" s="22"/>
      <c r="AH121" s="22"/>
      <c r="AI121" s="449"/>
      <c r="AJ121" s="449"/>
      <c r="AK121" s="449"/>
      <c r="AL121" s="449"/>
      <c r="AM121" s="449"/>
      <c r="AN121" s="765"/>
      <c r="AO121" s="765"/>
      <c r="AP121" s="765"/>
      <c r="AQ121" s="765"/>
      <c r="AR121" s="449"/>
      <c r="AS121" s="489"/>
      <c r="AT121" s="449"/>
      <c r="AU121" s="485"/>
      <c r="AV121" s="22"/>
      <c r="AW121" s="22"/>
      <c r="AX121" s="22"/>
      <c r="AY121" s="22"/>
      <c r="AZ121" s="760"/>
      <c r="BA121" s="760"/>
      <c r="BB121" s="22"/>
      <c r="BC121" s="22"/>
      <c r="BD121" s="22"/>
      <c r="BE121" s="22"/>
      <c r="BF121" s="22"/>
      <c r="BG121" s="22"/>
      <c r="BH121" s="22"/>
      <c r="BI121" s="22"/>
      <c r="BJ121" s="22"/>
      <c r="BK121" s="22"/>
      <c r="BL121" s="22"/>
      <c r="CE121" s="22"/>
      <c r="CF121" s="565"/>
    </row>
    <row r="122" spans="8:84" ht="19.5" customHeight="1">
      <c r="H122" s="18"/>
      <c r="I122" s="19"/>
      <c r="J122" s="19"/>
      <c r="K122" s="20"/>
      <c r="L122" s="22"/>
      <c r="M122" s="22"/>
      <c r="N122" s="22"/>
      <c r="O122" s="22"/>
      <c r="P122" s="22"/>
      <c r="Q122" s="22"/>
      <c r="R122" s="571"/>
      <c r="S122" s="571"/>
      <c r="T122" s="571"/>
      <c r="U122" s="22"/>
      <c r="V122" s="22"/>
      <c r="W122" s="22"/>
      <c r="X122" s="22"/>
      <c r="Y122" s="22"/>
      <c r="Z122" s="22"/>
      <c r="AA122" s="476"/>
      <c r="AB122" s="485"/>
      <c r="AC122" s="449"/>
      <c r="AD122" s="485"/>
      <c r="AE122" s="449"/>
      <c r="AF122" s="449"/>
      <c r="AG122" s="22"/>
      <c r="AH122" s="22"/>
      <c r="AI122" s="449"/>
      <c r="AJ122" s="449"/>
      <c r="AK122" s="449"/>
      <c r="AL122" s="449"/>
      <c r="AM122" s="449"/>
      <c r="AN122" s="765"/>
      <c r="AO122" s="765"/>
      <c r="AP122" s="765"/>
      <c r="AQ122" s="765"/>
      <c r="AR122" s="449"/>
      <c r="AS122" s="489"/>
      <c r="AT122" s="449"/>
      <c r="AU122" s="485"/>
      <c r="AV122" s="22"/>
      <c r="AW122" s="22"/>
      <c r="AX122" s="22"/>
      <c r="AY122" s="22"/>
      <c r="AZ122" s="760"/>
      <c r="BA122" s="760"/>
      <c r="BB122" s="22"/>
      <c r="BC122" s="22"/>
      <c r="BD122" s="22"/>
      <c r="BE122" s="22"/>
      <c r="BF122" s="22"/>
      <c r="BG122" s="22"/>
      <c r="BH122" s="22"/>
      <c r="BI122" s="22"/>
      <c r="BJ122" s="22"/>
      <c r="BK122" s="22"/>
      <c r="BL122" s="22"/>
      <c r="CE122" s="22"/>
      <c r="CF122" s="565"/>
    </row>
    <row r="123" spans="8:84" ht="19.5" customHeight="1">
      <c r="H123" s="18"/>
      <c r="I123" s="19"/>
      <c r="J123" s="19"/>
      <c r="K123" s="20"/>
      <c r="L123" s="22"/>
      <c r="M123" s="22"/>
      <c r="N123" s="22"/>
      <c r="O123" s="22"/>
      <c r="P123" s="22"/>
      <c r="Q123" s="22"/>
      <c r="R123" s="571"/>
      <c r="S123" s="571"/>
      <c r="T123" s="571"/>
      <c r="U123" s="22"/>
      <c r="V123" s="22"/>
      <c r="W123" s="22"/>
      <c r="X123" s="22"/>
      <c r="Y123" s="22"/>
      <c r="Z123" s="22"/>
      <c r="AA123" s="476"/>
      <c r="AB123" s="485"/>
      <c r="AC123" s="449"/>
      <c r="AD123" s="485"/>
      <c r="AE123" s="449"/>
      <c r="AF123" s="449"/>
      <c r="AG123" s="22"/>
      <c r="AH123" s="22"/>
      <c r="AI123" s="449"/>
      <c r="AJ123" s="449"/>
      <c r="AK123" s="449"/>
      <c r="AL123" s="449"/>
      <c r="AM123" s="449"/>
      <c r="AN123" s="765"/>
      <c r="AO123" s="765"/>
      <c r="AP123" s="765"/>
      <c r="AQ123" s="765"/>
      <c r="AR123" s="449"/>
      <c r="AS123" s="489"/>
      <c r="AT123" s="449"/>
      <c r="AU123" s="485"/>
      <c r="AV123" s="22"/>
      <c r="AW123" s="22"/>
      <c r="AX123" s="22"/>
      <c r="AY123" s="22"/>
      <c r="AZ123" s="760"/>
      <c r="BA123" s="760"/>
      <c r="BB123" s="22"/>
      <c r="BC123" s="22"/>
      <c r="BD123" s="22"/>
      <c r="BE123" s="22"/>
      <c r="BF123" s="22"/>
      <c r="BG123" s="22"/>
      <c r="BH123" s="22"/>
      <c r="BI123" s="22"/>
      <c r="BJ123" s="22"/>
      <c r="BK123" s="22"/>
      <c r="BL123" s="22"/>
      <c r="CE123" s="22"/>
      <c r="CF123" s="565"/>
    </row>
    <row r="124" spans="8:84" ht="19.5" customHeight="1">
      <c r="H124" s="18"/>
      <c r="I124" s="19"/>
      <c r="J124" s="19"/>
      <c r="K124" s="20"/>
      <c r="L124" s="22"/>
      <c r="M124" s="22"/>
      <c r="N124" s="22"/>
      <c r="O124" s="22"/>
      <c r="P124" s="22"/>
      <c r="Q124" s="22"/>
      <c r="R124" s="571"/>
      <c r="S124" s="571"/>
      <c r="T124" s="571"/>
      <c r="U124" s="22"/>
      <c r="V124" s="22"/>
      <c r="W124" s="22"/>
      <c r="X124" s="22"/>
      <c r="Y124" s="22"/>
      <c r="Z124" s="22"/>
      <c r="AA124" s="476"/>
      <c r="AB124" s="485"/>
      <c r="AC124" s="449"/>
      <c r="AD124" s="485"/>
      <c r="AE124" s="449"/>
      <c r="AF124" s="449"/>
      <c r="AG124" s="22"/>
      <c r="AH124" s="22"/>
      <c r="AI124" s="449"/>
      <c r="AJ124" s="449"/>
      <c r="AK124" s="449"/>
      <c r="AL124" s="449"/>
      <c r="AM124" s="449"/>
      <c r="AN124" s="765"/>
      <c r="AO124" s="765"/>
      <c r="AP124" s="765"/>
      <c r="AQ124" s="765"/>
      <c r="AR124" s="449"/>
      <c r="AS124" s="489"/>
      <c r="AT124" s="449"/>
      <c r="AU124" s="485"/>
      <c r="AV124" s="22"/>
      <c r="AW124" s="22"/>
      <c r="AX124" s="22"/>
      <c r="AY124" s="22"/>
      <c r="AZ124" s="760"/>
      <c r="BA124" s="760"/>
      <c r="BB124" s="22"/>
      <c r="BC124" s="22"/>
      <c r="BD124" s="22"/>
      <c r="BE124" s="22"/>
      <c r="BF124" s="22"/>
      <c r="BG124" s="22"/>
      <c r="BH124" s="22"/>
      <c r="BI124" s="22"/>
      <c r="BJ124" s="22"/>
      <c r="BK124" s="22"/>
      <c r="BL124" s="22"/>
      <c r="CE124" s="22"/>
      <c r="CF124" s="565"/>
    </row>
    <row r="125" spans="8:84" ht="19.5" customHeight="1">
      <c r="H125" s="18"/>
      <c r="I125" s="19"/>
      <c r="J125" s="19"/>
      <c r="K125" s="20"/>
      <c r="L125" s="22"/>
      <c r="M125" s="22"/>
      <c r="N125" s="22"/>
      <c r="O125" s="22"/>
      <c r="P125" s="22"/>
      <c r="Q125" s="22"/>
      <c r="R125" s="571"/>
      <c r="S125" s="571"/>
      <c r="T125" s="571"/>
      <c r="U125" s="22"/>
      <c r="V125" s="22"/>
      <c r="W125" s="22"/>
      <c r="X125" s="22"/>
      <c r="Y125" s="22"/>
      <c r="Z125" s="22"/>
      <c r="AA125" s="476"/>
      <c r="AB125" s="485"/>
      <c r="AC125" s="449"/>
      <c r="AD125" s="485"/>
      <c r="AE125" s="449"/>
      <c r="AF125" s="449"/>
      <c r="AG125" s="22"/>
      <c r="AH125" s="22"/>
      <c r="AI125" s="449"/>
      <c r="AJ125" s="449"/>
      <c r="AK125" s="449"/>
      <c r="AL125" s="449"/>
      <c r="AM125" s="449"/>
      <c r="AN125" s="765"/>
      <c r="AO125" s="765"/>
      <c r="AP125" s="765"/>
      <c r="AQ125" s="765"/>
      <c r="AR125" s="449"/>
      <c r="AS125" s="489"/>
      <c r="AT125" s="449"/>
      <c r="AU125" s="485"/>
      <c r="AV125" s="22"/>
      <c r="AW125" s="22"/>
      <c r="AX125" s="22"/>
      <c r="AY125" s="22"/>
      <c r="AZ125" s="760"/>
      <c r="BA125" s="760"/>
      <c r="BB125" s="22"/>
      <c r="BC125" s="22"/>
      <c r="BD125" s="22"/>
      <c r="BE125" s="22"/>
      <c r="BF125" s="22"/>
      <c r="BG125" s="22"/>
      <c r="BH125" s="22"/>
      <c r="BI125" s="22"/>
      <c r="BJ125" s="22"/>
      <c r="BK125" s="22"/>
      <c r="BL125" s="22"/>
      <c r="CE125" s="22"/>
      <c r="CF125" s="565"/>
    </row>
    <row r="126" spans="8:84" ht="19.5" customHeight="1">
      <c r="H126" s="18"/>
      <c r="I126" s="19"/>
      <c r="J126" s="19"/>
      <c r="K126" s="20"/>
      <c r="L126" s="22"/>
      <c r="M126" s="22"/>
      <c r="N126" s="22"/>
      <c r="O126" s="22"/>
      <c r="P126" s="22"/>
      <c r="Q126" s="22"/>
      <c r="R126" s="571"/>
      <c r="S126" s="571"/>
      <c r="T126" s="571"/>
      <c r="U126" s="22"/>
      <c r="V126" s="22"/>
      <c r="W126" s="22"/>
      <c r="X126" s="22"/>
      <c r="Y126" s="22"/>
      <c r="Z126" s="22"/>
      <c r="AA126" s="476"/>
      <c r="AB126" s="485"/>
      <c r="AC126" s="449"/>
      <c r="AD126" s="485"/>
      <c r="AE126" s="449"/>
      <c r="AF126" s="449"/>
      <c r="AG126" s="22"/>
      <c r="AH126" s="22"/>
      <c r="AI126" s="449"/>
      <c r="AJ126" s="449"/>
      <c r="AK126" s="449"/>
      <c r="AL126" s="449"/>
      <c r="AM126" s="449"/>
      <c r="AN126" s="765"/>
      <c r="AO126" s="765"/>
      <c r="AP126" s="765"/>
      <c r="AQ126" s="765"/>
      <c r="AR126" s="449"/>
      <c r="AS126" s="489"/>
      <c r="AT126" s="449"/>
      <c r="AU126" s="485"/>
      <c r="AV126" s="22"/>
      <c r="AW126" s="22"/>
      <c r="AX126" s="22"/>
      <c r="AY126" s="22"/>
      <c r="AZ126" s="760"/>
      <c r="BA126" s="760"/>
      <c r="BB126" s="22"/>
      <c r="BC126" s="22"/>
      <c r="BD126" s="22"/>
      <c r="BE126" s="22"/>
      <c r="BF126" s="22"/>
      <c r="BG126" s="22"/>
      <c r="BH126" s="22"/>
      <c r="BI126" s="22"/>
      <c r="BJ126" s="22"/>
      <c r="BK126" s="22"/>
      <c r="BL126" s="22"/>
      <c r="CE126" s="22"/>
      <c r="CF126" s="565"/>
    </row>
    <row r="127" spans="8:84" ht="19.5" customHeight="1">
      <c r="H127" s="18"/>
      <c r="I127" s="19"/>
      <c r="J127" s="19"/>
      <c r="K127" s="20"/>
      <c r="L127" s="22"/>
      <c r="M127" s="22"/>
      <c r="N127" s="22"/>
      <c r="O127" s="22"/>
      <c r="P127" s="22"/>
      <c r="Q127" s="22"/>
      <c r="R127" s="571"/>
      <c r="S127" s="571"/>
      <c r="T127" s="571"/>
      <c r="U127" s="22"/>
      <c r="V127" s="22"/>
      <c r="W127" s="22"/>
      <c r="X127" s="22"/>
      <c r="Y127" s="22"/>
      <c r="Z127" s="22"/>
      <c r="AA127" s="476"/>
      <c r="AB127" s="485"/>
      <c r="AC127" s="449"/>
      <c r="AD127" s="485"/>
      <c r="AE127" s="449"/>
      <c r="AF127" s="449"/>
      <c r="AG127" s="22"/>
      <c r="AH127" s="22"/>
      <c r="AI127" s="449"/>
      <c r="AJ127" s="449"/>
      <c r="AK127" s="449"/>
      <c r="AL127" s="449"/>
      <c r="AM127" s="449"/>
      <c r="AN127" s="765"/>
      <c r="AO127" s="765"/>
      <c r="AP127" s="765"/>
      <c r="AQ127" s="765"/>
      <c r="AR127" s="449"/>
      <c r="AS127" s="489"/>
      <c r="AT127" s="449"/>
      <c r="AU127" s="485"/>
      <c r="AV127" s="22"/>
      <c r="AW127" s="22"/>
      <c r="AX127" s="22"/>
      <c r="AY127" s="22"/>
      <c r="AZ127" s="760"/>
      <c r="BA127" s="760"/>
      <c r="BB127" s="22"/>
      <c r="BC127" s="22"/>
      <c r="BD127" s="22"/>
      <c r="BE127" s="22"/>
      <c r="BF127" s="22"/>
      <c r="BG127" s="22"/>
      <c r="BH127" s="22"/>
      <c r="BI127" s="22"/>
      <c r="BJ127" s="22"/>
      <c r="BK127" s="22"/>
      <c r="BL127" s="22"/>
      <c r="CE127" s="22"/>
      <c r="CF127" s="565"/>
    </row>
    <row r="128" spans="8:84" ht="19.5" customHeight="1">
      <c r="H128" s="18"/>
      <c r="I128" s="19"/>
      <c r="J128" s="19"/>
      <c r="K128" s="20"/>
      <c r="L128" s="22"/>
      <c r="M128" s="22"/>
      <c r="N128" s="22"/>
      <c r="O128" s="22"/>
      <c r="P128" s="22"/>
      <c r="Q128" s="22"/>
      <c r="R128" s="571"/>
      <c r="S128" s="571"/>
      <c r="T128" s="571"/>
      <c r="U128" s="22"/>
      <c r="V128" s="22"/>
      <c r="W128" s="22"/>
      <c r="X128" s="22"/>
      <c r="Y128" s="22"/>
      <c r="Z128" s="22"/>
      <c r="AA128" s="476"/>
      <c r="AB128" s="485"/>
      <c r="AC128" s="449"/>
      <c r="AD128" s="485"/>
      <c r="AE128" s="449"/>
      <c r="AF128" s="449"/>
      <c r="AG128" s="22"/>
      <c r="AH128" s="22"/>
      <c r="AI128" s="449"/>
      <c r="AJ128" s="449"/>
      <c r="AK128" s="449"/>
      <c r="AL128" s="449"/>
      <c r="AM128" s="449"/>
      <c r="AN128" s="765"/>
      <c r="AO128" s="765"/>
      <c r="AP128" s="765"/>
      <c r="AQ128" s="765"/>
      <c r="AR128" s="449"/>
      <c r="AS128" s="489"/>
      <c r="AT128" s="449"/>
      <c r="AU128" s="485"/>
      <c r="AV128" s="22"/>
      <c r="AW128" s="22"/>
      <c r="AX128" s="22"/>
      <c r="AY128" s="22"/>
      <c r="AZ128" s="760"/>
      <c r="BA128" s="760"/>
      <c r="BB128" s="22"/>
      <c r="BC128" s="22"/>
      <c r="BD128" s="22"/>
      <c r="BE128" s="22"/>
      <c r="BF128" s="22"/>
      <c r="BG128" s="22"/>
      <c r="BH128" s="22"/>
      <c r="BI128" s="22"/>
      <c r="BJ128" s="22"/>
      <c r="BK128" s="22"/>
      <c r="BL128" s="22"/>
      <c r="CE128" s="22"/>
      <c r="CF128" s="565"/>
    </row>
    <row r="129" spans="8:84" ht="19.5" customHeight="1">
      <c r="H129" s="18"/>
      <c r="I129" s="19"/>
      <c r="J129" s="19"/>
      <c r="K129" s="20"/>
      <c r="L129" s="22"/>
      <c r="M129" s="22"/>
      <c r="N129" s="22"/>
      <c r="O129" s="22"/>
      <c r="P129" s="22"/>
      <c r="Q129" s="22"/>
      <c r="R129" s="571"/>
      <c r="S129" s="571"/>
      <c r="T129" s="571"/>
      <c r="U129" s="22"/>
      <c r="V129" s="22"/>
      <c r="W129" s="22"/>
      <c r="X129" s="22"/>
      <c r="Y129" s="22"/>
      <c r="Z129" s="22"/>
      <c r="AA129" s="476"/>
      <c r="AB129" s="485"/>
      <c r="AC129" s="449"/>
      <c r="AD129" s="485"/>
      <c r="AE129" s="449"/>
      <c r="AF129" s="449"/>
      <c r="AG129" s="22"/>
      <c r="AH129" s="22"/>
      <c r="AI129" s="449"/>
      <c r="AJ129" s="449"/>
      <c r="AK129" s="449"/>
      <c r="AL129" s="449"/>
      <c r="AM129" s="449"/>
      <c r="AN129" s="765"/>
      <c r="AO129" s="765"/>
      <c r="AP129" s="765"/>
      <c r="AQ129" s="765"/>
      <c r="AR129" s="449"/>
      <c r="AS129" s="489"/>
      <c r="AT129" s="449"/>
      <c r="AU129" s="485"/>
      <c r="AV129" s="22"/>
      <c r="AW129" s="22"/>
      <c r="AX129" s="22"/>
      <c r="AY129" s="22"/>
      <c r="AZ129" s="760"/>
      <c r="BA129" s="760"/>
      <c r="BB129" s="22"/>
      <c r="BC129" s="22"/>
      <c r="BD129" s="22"/>
      <c r="BE129" s="22"/>
      <c r="BF129" s="22"/>
      <c r="BG129" s="22"/>
      <c r="BH129" s="22"/>
      <c r="BI129" s="22"/>
      <c r="BJ129" s="22"/>
      <c r="BK129" s="22"/>
      <c r="BL129" s="22"/>
      <c r="CE129" s="22"/>
      <c r="CF129" s="565"/>
    </row>
    <row r="130" spans="8:84" ht="19.5" customHeight="1">
      <c r="H130" s="18"/>
      <c r="I130" s="19"/>
      <c r="J130" s="19"/>
      <c r="K130" s="20"/>
      <c r="L130" s="22"/>
      <c r="M130" s="22"/>
      <c r="N130" s="22"/>
      <c r="O130" s="22"/>
      <c r="P130" s="22"/>
      <c r="Q130" s="22"/>
      <c r="R130" s="571"/>
      <c r="S130" s="571"/>
      <c r="T130" s="571"/>
      <c r="U130" s="22"/>
      <c r="V130" s="22"/>
      <c r="W130" s="22"/>
      <c r="X130" s="22"/>
      <c r="Y130" s="22"/>
      <c r="Z130" s="22"/>
      <c r="AA130" s="476"/>
      <c r="AB130" s="485"/>
      <c r="AC130" s="449"/>
      <c r="AD130" s="485"/>
      <c r="AE130" s="449"/>
      <c r="AF130" s="449"/>
      <c r="AG130" s="22"/>
      <c r="AH130" s="22"/>
      <c r="AI130" s="449"/>
      <c r="AJ130" s="449"/>
      <c r="AK130" s="449"/>
      <c r="AL130" s="449"/>
      <c r="AM130" s="449"/>
      <c r="AN130" s="765"/>
      <c r="AO130" s="765"/>
      <c r="AP130" s="765"/>
      <c r="AQ130" s="765"/>
      <c r="AR130" s="449"/>
      <c r="AS130" s="489"/>
      <c r="AT130" s="449"/>
      <c r="AU130" s="485"/>
      <c r="AV130" s="22"/>
      <c r="AW130" s="22"/>
      <c r="AX130" s="22"/>
      <c r="AY130" s="22"/>
      <c r="AZ130" s="760"/>
      <c r="BA130" s="760"/>
      <c r="BB130" s="22"/>
      <c r="BC130" s="22"/>
      <c r="BD130" s="22"/>
      <c r="BE130" s="22"/>
      <c r="BF130" s="22"/>
      <c r="BG130" s="22"/>
      <c r="BH130" s="22"/>
      <c r="BI130" s="22"/>
      <c r="BJ130" s="22"/>
      <c r="BK130" s="22"/>
      <c r="BL130" s="22"/>
      <c r="CE130" s="22"/>
      <c r="CF130" s="565"/>
    </row>
    <row r="131" spans="8:84" ht="19.5" customHeight="1">
      <c r="H131" s="18"/>
      <c r="I131" s="19"/>
      <c r="J131" s="19"/>
      <c r="K131" s="20"/>
      <c r="L131" s="22"/>
      <c r="M131" s="22"/>
      <c r="N131" s="22"/>
      <c r="O131" s="22"/>
      <c r="P131" s="22"/>
      <c r="Q131" s="22"/>
      <c r="R131" s="571"/>
      <c r="S131" s="571"/>
      <c r="T131" s="571"/>
      <c r="U131" s="22"/>
      <c r="V131" s="22"/>
      <c r="W131" s="22"/>
      <c r="X131" s="22"/>
      <c r="Y131" s="22"/>
      <c r="Z131" s="22"/>
      <c r="AA131" s="476"/>
      <c r="AB131" s="485"/>
      <c r="AC131" s="449"/>
      <c r="AD131" s="485"/>
      <c r="AE131" s="449"/>
      <c r="AF131" s="449"/>
      <c r="AG131" s="22"/>
      <c r="AH131" s="22"/>
      <c r="AI131" s="449"/>
      <c r="AJ131" s="449"/>
      <c r="AK131" s="449"/>
      <c r="AL131" s="449"/>
      <c r="AM131" s="449"/>
      <c r="AN131" s="765"/>
      <c r="AO131" s="765"/>
      <c r="AP131" s="765"/>
      <c r="AQ131" s="765"/>
      <c r="AR131" s="449"/>
      <c r="AS131" s="489"/>
      <c r="AT131" s="449"/>
      <c r="AU131" s="485"/>
      <c r="AV131" s="22"/>
      <c r="AW131" s="22"/>
      <c r="AX131" s="22"/>
      <c r="AY131" s="22"/>
      <c r="AZ131" s="760"/>
      <c r="BA131" s="760"/>
      <c r="BB131" s="22"/>
      <c r="BC131" s="22"/>
      <c r="BD131" s="22"/>
      <c r="BE131" s="22"/>
      <c r="BF131" s="22"/>
      <c r="BG131" s="22"/>
      <c r="BH131" s="22"/>
      <c r="BI131" s="22"/>
      <c r="BJ131" s="22"/>
      <c r="BK131" s="22"/>
      <c r="BL131" s="22"/>
      <c r="CE131" s="22"/>
      <c r="CF131" s="565"/>
    </row>
    <row r="132" spans="8:84" ht="19.5" customHeight="1">
      <c r="H132" s="18"/>
      <c r="I132" s="19"/>
      <c r="J132" s="19"/>
      <c r="K132" s="20"/>
      <c r="L132" s="22"/>
      <c r="M132" s="22"/>
      <c r="N132" s="22"/>
      <c r="O132" s="22"/>
      <c r="P132" s="22"/>
      <c r="Q132" s="22"/>
      <c r="R132" s="571"/>
      <c r="S132" s="571"/>
      <c r="T132" s="571"/>
      <c r="U132" s="22"/>
      <c r="V132" s="22"/>
      <c r="W132" s="22"/>
      <c r="X132" s="22"/>
      <c r="Y132" s="22"/>
      <c r="Z132" s="22"/>
      <c r="AA132" s="476"/>
      <c r="AB132" s="485"/>
      <c r="AC132" s="449"/>
      <c r="AD132" s="485"/>
      <c r="AE132" s="449"/>
      <c r="AF132" s="449"/>
      <c r="AG132" s="22"/>
      <c r="AH132" s="22"/>
      <c r="AI132" s="449"/>
      <c r="AJ132" s="449"/>
      <c r="AK132" s="449"/>
      <c r="AL132" s="449"/>
      <c r="AM132" s="449"/>
      <c r="AN132" s="765"/>
      <c r="AO132" s="765"/>
      <c r="AP132" s="765"/>
      <c r="AQ132" s="765"/>
      <c r="AR132" s="449"/>
      <c r="AS132" s="489"/>
      <c r="AT132" s="449"/>
      <c r="AU132" s="485"/>
      <c r="AV132" s="22"/>
      <c r="AW132" s="22"/>
      <c r="AX132" s="22"/>
      <c r="AY132" s="22"/>
      <c r="AZ132" s="760"/>
      <c r="BA132" s="760"/>
      <c r="BB132" s="22"/>
      <c r="BC132" s="22"/>
      <c r="BD132" s="22"/>
      <c r="BE132" s="22"/>
      <c r="BF132" s="22"/>
      <c r="BG132" s="22"/>
      <c r="BH132" s="22"/>
      <c r="BI132" s="22"/>
      <c r="BJ132" s="22"/>
      <c r="BK132" s="22"/>
      <c r="BL132" s="22"/>
      <c r="CE132" s="22"/>
      <c r="CF132" s="565"/>
    </row>
    <row r="133" spans="8:84" ht="19.5" customHeight="1">
      <c r="H133" s="18"/>
      <c r="I133" s="19"/>
      <c r="J133" s="19"/>
      <c r="K133" s="20"/>
      <c r="L133" s="22"/>
      <c r="M133" s="22"/>
      <c r="N133" s="22"/>
      <c r="O133" s="22"/>
      <c r="P133" s="22"/>
      <c r="Q133" s="22"/>
      <c r="R133" s="571"/>
      <c r="S133" s="571"/>
      <c r="T133" s="571"/>
      <c r="U133" s="22"/>
      <c r="V133" s="22"/>
      <c r="W133" s="22"/>
      <c r="X133" s="22"/>
      <c r="Y133" s="22"/>
      <c r="Z133" s="22"/>
      <c r="AA133" s="476"/>
      <c r="AB133" s="485"/>
      <c r="AC133" s="449"/>
      <c r="AD133" s="485"/>
      <c r="AE133" s="449"/>
      <c r="AF133" s="449"/>
      <c r="AG133" s="22"/>
      <c r="AH133" s="22"/>
      <c r="AI133" s="449"/>
      <c r="AJ133" s="449"/>
      <c r="AK133" s="449"/>
      <c r="AL133" s="449"/>
      <c r="AM133" s="449"/>
      <c r="AN133" s="765"/>
      <c r="AO133" s="765"/>
      <c r="AP133" s="765"/>
      <c r="AQ133" s="765"/>
      <c r="AR133" s="449"/>
      <c r="AS133" s="489"/>
      <c r="AT133" s="449"/>
      <c r="AU133" s="485"/>
      <c r="AV133" s="22"/>
      <c r="AW133" s="22"/>
      <c r="AX133" s="22"/>
      <c r="AY133" s="22"/>
      <c r="AZ133" s="760"/>
      <c r="BA133" s="760"/>
      <c r="BB133" s="22"/>
      <c r="BC133" s="22"/>
      <c r="BD133" s="22"/>
      <c r="BE133" s="22"/>
      <c r="BF133" s="22"/>
      <c r="BG133" s="22"/>
      <c r="BH133" s="22"/>
      <c r="BI133" s="22"/>
      <c r="BJ133" s="22"/>
      <c r="BK133" s="22"/>
      <c r="BL133" s="22"/>
      <c r="CE133" s="22"/>
      <c r="CF133" s="565"/>
    </row>
    <row r="134" spans="8:84" ht="19.5" customHeight="1">
      <c r="H134" s="18"/>
      <c r="I134" s="19"/>
      <c r="J134" s="19"/>
      <c r="K134" s="20"/>
      <c r="L134" s="22"/>
      <c r="M134" s="22"/>
      <c r="N134" s="22"/>
      <c r="O134" s="22"/>
      <c r="P134" s="22"/>
      <c r="Q134" s="22"/>
      <c r="R134" s="571"/>
      <c r="S134" s="571"/>
      <c r="T134" s="571"/>
      <c r="U134" s="22"/>
      <c r="V134" s="22"/>
      <c r="W134" s="22"/>
      <c r="X134" s="22"/>
      <c r="Y134" s="22"/>
      <c r="Z134" s="22"/>
      <c r="AA134" s="476"/>
      <c r="AB134" s="485"/>
      <c r="AC134" s="449"/>
      <c r="AD134" s="485"/>
      <c r="AE134" s="449"/>
      <c r="AF134" s="449"/>
      <c r="AG134" s="22"/>
      <c r="AH134" s="22"/>
      <c r="AI134" s="449"/>
      <c r="AJ134" s="449"/>
      <c r="AK134" s="449"/>
      <c r="AL134" s="449"/>
      <c r="AM134" s="449"/>
      <c r="AN134" s="765"/>
      <c r="AO134" s="765"/>
      <c r="AP134" s="765"/>
      <c r="AQ134" s="765"/>
      <c r="AR134" s="449"/>
      <c r="AS134" s="489"/>
      <c r="AT134" s="449"/>
      <c r="AU134" s="485"/>
      <c r="AV134" s="22"/>
      <c r="AW134" s="22"/>
      <c r="AX134" s="22"/>
      <c r="AY134" s="22"/>
      <c r="AZ134" s="760"/>
      <c r="BA134" s="760"/>
      <c r="BB134" s="22"/>
      <c r="BC134" s="22"/>
      <c r="BD134" s="22"/>
      <c r="BE134" s="22"/>
      <c r="BF134" s="22"/>
      <c r="BG134" s="22"/>
      <c r="BH134" s="22"/>
      <c r="BI134" s="22"/>
      <c r="BJ134" s="22"/>
      <c r="BK134" s="22"/>
      <c r="BL134" s="22"/>
      <c r="CE134" s="22"/>
      <c r="CF134" s="565"/>
    </row>
    <row r="135" spans="8:84" ht="19.5" customHeight="1">
      <c r="H135" s="18"/>
      <c r="I135" s="19"/>
      <c r="J135" s="19"/>
      <c r="K135" s="20"/>
      <c r="L135" s="22"/>
      <c r="M135" s="22"/>
      <c r="N135" s="22"/>
      <c r="O135" s="22"/>
      <c r="P135" s="22"/>
      <c r="Q135" s="22"/>
      <c r="R135" s="571"/>
      <c r="S135" s="571"/>
      <c r="T135" s="571"/>
      <c r="U135" s="22"/>
      <c r="V135" s="22"/>
      <c r="W135" s="22"/>
      <c r="X135" s="22"/>
      <c r="Y135" s="22"/>
      <c r="Z135" s="22"/>
      <c r="AA135" s="476"/>
      <c r="AB135" s="485"/>
      <c r="AC135" s="449"/>
      <c r="AD135" s="485"/>
      <c r="AE135" s="449"/>
      <c r="AF135" s="449"/>
      <c r="AG135" s="22"/>
      <c r="AH135" s="22"/>
      <c r="AI135" s="449"/>
      <c r="AJ135" s="449"/>
      <c r="AK135" s="449"/>
      <c r="AL135" s="449"/>
      <c r="AM135" s="449"/>
      <c r="AN135" s="765"/>
      <c r="AO135" s="765"/>
      <c r="AP135" s="765"/>
      <c r="AQ135" s="765"/>
      <c r="AR135" s="449"/>
      <c r="AS135" s="489"/>
      <c r="AT135" s="449"/>
      <c r="AU135" s="485"/>
      <c r="AV135" s="22"/>
      <c r="AW135" s="22"/>
      <c r="AX135" s="22"/>
      <c r="AY135" s="22"/>
      <c r="AZ135" s="760"/>
      <c r="BA135" s="760"/>
      <c r="BB135" s="22"/>
      <c r="BC135" s="22"/>
      <c r="BD135" s="22"/>
      <c r="BE135" s="22"/>
      <c r="BF135" s="22"/>
      <c r="BG135" s="22"/>
      <c r="BH135" s="22"/>
      <c r="BI135" s="22"/>
      <c r="BJ135" s="22"/>
      <c r="BK135" s="22"/>
      <c r="BL135" s="22"/>
      <c r="CE135" s="22"/>
      <c r="CF135" s="565"/>
    </row>
    <row r="136" spans="8:84" ht="19.5" customHeight="1">
      <c r="H136" s="18"/>
      <c r="I136" s="19"/>
      <c r="J136" s="19"/>
      <c r="K136" s="20"/>
      <c r="L136" s="22"/>
      <c r="M136" s="22"/>
      <c r="N136" s="22"/>
      <c r="O136" s="22"/>
      <c r="P136" s="22"/>
      <c r="Q136" s="22"/>
      <c r="R136" s="571"/>
      <c r="S136" s="571"/>
      <c r="T136" s="571"/>
      <c r="U136" s="22"/>
      <c r="V136" s="22"/>
      <c r="W136" s="22"/>
      <c r="X136" s="22"/>
      <c r="Y136" s="22"/>
      <c r="Z136" s="22"/>
      <c r="AA136" s="476"/>
      <c r="AB136" s="485"/>
      <c r="AC136" s="449"/>
      <c r="AD136" s="485"/>
      <c r="AE136" s="449"/>
      <c r="AF136" s="449"/>
      <c r="AG136" s="22"/>
      <c r="AH136" s="22"/>
      <c r="AI136" s="449"/>
      <c r="AJ136" s="449"/>
      <c r="AK136" s="449"/>
      <c r="AL136" s="449"/>
      <c r="AM136" s="449"/>
      <c r="AN136" s="765"/>
      <c r="AO136" s="765"/>
      <c r="AP136" s="765"/>
      <c r="AQ136" s="765"/>
      <c r="AR136" s="449"/>
      <c r="AS136" s="489"/>
      <c r="AT136" s="449"/>
      <c r="AU136" s="485"/>
      <c r="AV136" s="22"/>
      <c r="AW136" s="22"/>
      <c r="AX136" s="22"/>
      <c r="AY136" s="22"/>
      <c r="AZ136" s="760"/>
      <c r="BA136" s="760"/>
      <c r="BB136" s="22"/>
      <c r="BC136" s="22"/>
      <c r="BD136" s="22"/>
      <c r="BE136" s="22"/>
      <c r="BF136" s="22"/>
      <c r="BG136" s="22"/>
      <c r="BH136" s="22"/>
      <c r="BI136" s="22"/>
      <c r="BJ136" s="22"/>
      <c r="BK136" s="22"/>
      <c r="BL136" s="22"/>
      <c r="CE136" s="22"/>
      <c r="CF136" s="565"/>
    </row>
    <row r="137" spans="8:84" ht="19.5" customHeight="1">
      <c r="H137" s="18"/>
      <c r="I137" s="19"/>
      <c r="J137" s="19"/>
      <c r="K137" s="20"/>
      <c r="L137" s="22"/>
      <c r="M137" s="22"/>
      <c r="N137" s="22"/>
      <c r="O137" s="22"/>
      <c r="P137" s="22"/>
      <c r="Q137" s="22"/>
      <c r="R137" s="571"/>
      <c r="S137" s="571"/>
      <c r="T137" s="571"/>
      <c r="U137" s="22"/>
      <c r="V137" s="22"/>
      <c r="W137" s="22"/>
      <c r="X137" s="22"/>
      <c r="Y137" s="22"/>
      <c r="Z137" s="22"/>
      <c r="AA137" s="476"/>
      <c r="AB137" s="485"/>
      <c r="AC137" s="449"/>
      <c r="AD137" s="485"/>
      <c r="AE137" s="449"/>
      <c r="AF137" s="449"/>
      <c r="AG137" s="22"/>
      <c r="AH137" s="22"/>
      <c r="AI137" s="449"/>
      <c r="AJ137" s="449"/>
      <c r="AK137" s="449"/>
      <c r="AL137" s="449"/>
      <c r="AM137" s="449"/>
      <c r="AN137" s="765"/>
      <c r="AO137" s="765"/>
      <c r="AP137" s="765"/>
      <c r="AQ137" s="765"/>
      <c r="AR137" s="449"/>
      <c r="AS137" s="489"/>
      <c r="AT137" s="449"/>
      <c r="AU137" s="485"/>
      <c r="AV137" s="22"/>
      <c r="AW137" s="22"/>
      <c r="AX137" s="22"/>
      <c r="AY137" s="22"/>
      <c r="AZ137" s="760"/>
      <c r="BA137" s="760"/>
      <c r="BB137" s="22"/>
      <c r="BC137" s="22"/>
      <c r="BD137" s="22"/>
      <c r="BE137" s="22"/>
      <c r="BF137" s="22"/>
      <c r="BG137" s="22"/>
      <c r="BH137" s="22"/>
      <c r="BI137" s="22"/>
      <c r="BJ137" s="22"/>
      <c r="BK137" s="22"/>
      <c r="BL137" s="22"/>
      <c r="CE137" s="22"/>
      <c r="CF137" s="565"/>
    </row>
    <row r="138" spans="8:84" ht="19.5" customHeight="1">
      <c r="H138" s="18"/>
      <c r="I138" s="19"/>
      <c r="J138" s="19"/>
      <c r="K138" s="20"/>
      <c r="L138" s="22"/>
      <c r="M138" s="22"/>
      <c r="N138" s="22"/>
      <c r="O138" s="22"/>
      <c r="P138" s="22"/>
      <c r="Q138" s="22"/>
      <c r="R138" s="571"/>
      <c r="S138" s="571"/>
      <c r="T138" s="571"/>
      <c r="U138" s="22"/>
      <c r="V138" s="22"/>
      <c r="W138" s="22"/>
      <c r="X138" s="22"/>
      <c r="Y138" s="22"/>
      <c r="Z138" s="22"/>
      <c r="AA138" s="476"/>
      <c r="AB138" s="485"/>
      <c r="AC138" s="449"/>
      <c r="AD138" s="485"/>
      <c r="AE138" s="449"/>
      <c r="AF138" s="449"/>
      <c r="AG138" s="22"/>
      <c r="AH138" s="22"/>
      <c r="AI138" s="449"/>
      <c r="AJ138" s="449"/>
      <c r="AK138" s="449"/>
      <c r="AL138" s="449"/>
      <c r="AM138" s="449"/>
      <c r="AN138" s="765"/>
      <c r="AO138" s="765"/>
      <c r="AP138" s="765"/>
      <c r="AQ138" s="765"/>
      <c r="AR138" s="449"/>
      <c r="AS138" s="489"/>
      <c r="AT138" s="449"/>
      <c r="AU138" s="485"/>
      <c r="AV138" s="22"/>
      <c r="AW138" s="22"/>
      <c r="AX138" s="22"/>
      <c r="AY138" s="22"/>
      <c r="AZ138" s="760"/>
      <c r="BA138" s="760"/>
      <c r="BB138" s="22"/>
      <c r="BC138" s="22"/>
      <c r="BD138" s="22"/>
      <c r="BE138" s="22"/>
      <c r="BF138" s="22"/>
      <c r="BG138" s="22"/>
      <c r="BH138" s="22"/>
      <c r="BI138" s="22"/>
      <c r="BJ138" s="22"/>
      <c r="BK138" s="22"/>
      <c r="BL138" s="22"/>
      <c r="CE138" s="22"/>
      <c r="CF138" s="565"/>
    </row>
    <row r="139" spans="8:84" ht="19.5" customHeight="1">
      <c r="H139" s="18"/>
      <c r="I139" s="19"/>
      <c r="J139" s="19"/>
      <c r="K139" s="20"/>
      <c r="L139" s="22"/>
      <c r="M139" s="22"/>
      <c r="N139" s="22"/>
      <c r="O139" s="22"/>
      <c r="P139" s="22"/>
      <c r="Q139" s="22"/>
      <c r="R139" s="571"/>
      <c r="S139" s="571"/>
      <c r="T139" s="571"/>
      <c r="U139" s="22"/>
      <c r="V139" s="22"/>
      <c r="W139" s="22"/>
      <c r="X139" s="22"/>
      <c r="Y139" s="22"/>
      <c r="Z139" s="22"/>
      <c r="AA139" s="476"/>
      <c r="AB139" s="485"/>
      <c r="AC139" s="449"/>
      <c r="AD139" s="485"/>
      <c r="AE139" s="449"/>
      <c r="AF139" s="449"/>
      <c r="AG139" s="22"/>
      <c r="AH139" s="22"/>
      <c r="AI139" s="449"/>
      <c r="AJ139" s="449"/>
      <c r="AK139" s="449"/>
      <c r="AL139" s="449"/>
      <c r="AM139" s="449"/>
      <c r="AN139" s="765"/>
      <c r="AO139" s="765"/>
      <c r="AP139" s="765"/>
      <c r="AQ139" s="765"/>
      <c r="AR139" s="449"/>
      <c r="AS139" s="489"/>
      <c r="AT139" s="449"/>
      <c r="AU139" s="485"/>
      <c r="AV139" s="22"/>
      <c r="AW139" s="22"/>
      <c r="AX139" s="22"/>
      <c r="AY139" s="22"/>
      <c r="AZ139" s="760"/>
      <c r="BA139" s="760"/>
      <c r="BB139" s="22"/>
      <c r="BC139" s="22"/>
      <c r="BD139" s="22"/>
      <c r="BE139" s="22"/>
      <c r="BF139" s="22"/>
      <c r="BG139" s="22"/>
      <c r="BH139" s="22"/>
      <c r="BI139" s="22"/>
      <c r="BJ139" s="22"/>
      <c r="BK139" s="22"/>
      <c r="BL139" s="22"/>
      <c r="CE139" s="22"/>
      <c r="CF139" s="565"/>
    </row>
    <row r="140" spans="8:84" ht="19.5" customHeight="1">
      <c r="H140" s="18"/>
      <c r="I140" s="19"/>
      <c r="J140" s="19"/>
      <c r="K140" s="20"/>
      <c r="L140" s="22"/>
      <c r="M140" s="22"/>
      <c r="N140" s="22"/>
      <c r="O140" s="22"/>
      <c r="P140" s="22"/>
      <c r="Q140" s="22"/>
      <c r="R140" s="571"/>
      <c r="S140" s="571"/>
      <c r="T140" s="571"/>
      <c r="U140" s="22"/>
      <c r="V140" s="22"/>
      <c r="W140" s="22"/>
      <c r="X140" s="22"/>
      <c r="Y140" s="22"/>
      <c r="Z140" s="22"/>
      <c r="AA140" s="476"/>
      <c r="AB140" s="485"/>
      <c r="AC140" s="449"/>
      <c r="AD140" s="485"/>
      <c r="AE140" s="449"/>
      <c r="AF140" s="449"/>
      <c r="AG140" s="22"/>
      <c r="AH140" s="22"/>
      <c r="AI140" s="449"/>
      <c r="AJ140" s="449"/>
      <c r="AK140" s="449"/>
      <c r="AL140" s="449"/>
      <c r="AM140" s="449"/>
      <c r="AN140" s="765"/>
      <c r="AO140" s="765"/>
      <c r="AP140" s="765"/>
      <c r="AQ140" s="765"/>
      <c r="AR140" s="449"/>
      <c r="AS140" s="489"/>
      <c r="AT140" s="449"/>
      <c r="AU140" s="485"/>
      <c r="AV140" s="22"/>
      <c r="AW140" s="22"/>
      <c r="AX140" s="22"/>
      <c r="AY140" s="22"/>
      <c r="AZ140" s="760"/>
      <c r="BA140" s="760"/>
      <c r="BB140" s="22"/>
      <c r="BC140" s="22"/>
      <c r="BD140" s="22"/>
      <c r="BE140" s="22"/>
      <c r="BF140" s="22"/>
      <c r="BG140" s="22"/>
      <c r="BH140" s="22"/>
      <c r="BI140" s="22"/>
      <c r="BJ140" s="22"/>
      <c r="BK140" s="22"/>
      <c r="BL140" s="22"/>
      <c r="CE140" s="22"/>
      <c r="CF140" s="565"/>
    </row>
    <row r="141" spans="8:84" ht="19.5" customHeight="1">
      <c r="H141" s="18"/>
      <c r="I141" s="19"/>
      <c r="J141" s="19"/>
      <c r="K141" s="20"/>
      <c r="L141" s="22"/>
      <c r="M141" s="22"/>
      <c r="N141" s="22"/>
      <c r="O141" s="22"/>
      <c r="P141" s="22"/>
      <c r="Q141" s="22"/>
      <c r="R141" s="571"/>
      <c r="S141" s="571"/>
      <c r="T141" s="571"/>
      <c r="U141" s="22"/>
      <c r="V141" s="22"/>
      <c r="W141" s="22"/>
      <c r="X141" s="22"/>
      <c r="Y141" s="22"/>
      <c r="Z141" s="22"/>
      <c r="AA141" s="476"/>
      <c r="AB141" s="485"/>
      <c r="AC141" s="449"/>
      <c r="AD141" s="485"/>
      <c r="AE141" s="449"/>
      <c r="AF141" s="449"/>
      <c r="AG141" s="22"/>
      <c r="AH141" s="22"/>
      <c r="AI141" s="449"/>
      <c r="AJ141" s="449"/>
      <c r="AK141" s="449"/>
      <c r="AL141" s="449"/>
      <c r="AM141" s="449"/>
      <c r="AN141" s="765"/>
      <c r="AO141" s="765"/>
      <c r="AP141" s="765"/>
      <c r="AQ141" s="765"/>
      <c r="AR141" s="449"/>
      <c r="AS141" s="489"/>
      <c r="AT141" s="449"/>
      <c r="AU141" s="485"/>
      <c r="AV141" s="22"/>
      <c r="AW141" s="22"/>
      <c r="AX141" s="22"/>
      <c r="AY141" s="22"/>
      <c r="AZ141" s="760"/>
      <c r="BA141" s="760"/>
      <c r="BB141" s="22"/>
      <c r="BC141" s="22"/>
      <c r="BD141" s="22"/>
      <c r="BE141" s="22"/>
      <c r="BF141" s="22"/>
      <c r="BG141" s="22"/>
      <c r="BH141" s="22"/>
      <c r="BI141" s="22"/>
      <c r="BJ141" s="22"/>
      <c r="BK141" s="22"/>
      <c r="BL141" s="22"/>
      <c r="CE141" s="22"/>
      <c r="CF141" s="565"/>
    </row>
    <row r="142" spans="8:84" ht="19.5" customHeight="1">
      <c r="H142" s="18"/>
      <c r="I142" s="19"/>
      <c r="J142" s="19"/>
      <c r="K142" s="20"/>
      <c r="L142" s="22"/>
      <c r="M142" s="22"/>
      <c r="N142" s="22"/>
      <c r="O142" s="22"/>
      <c r="P142" s="22"/>
      <c r="Q142" s="22"/>
      <c r="R142" s="571"/>
      <c r="S142" s="571"/>
      <c r="T142" s="571"/>
      <c r="U142" s="22"/>
      <c r="V142" s="22"/>
      <c r="W142" s="22"/>
      <c r="X142" s="22"/>
      <c r="Y142" s="22"/>
      <c r="Z142" s="22"/>
      <c r="AA142" s="476"/>
      <c r="AB142" s="485"/>
      <c r="AC142" s="449"/>
      <c r="AD142" s="485"/>
      <c r="AE142" s="449"/>
      <c r="AF142" s="449"/>
      <c r="AG142" s="22"/>
      <c r="AH142" s="22"/>
      <c r="AI142" s="449"/>
      <c r="AJ142" s="449"/>
      <c r="AK142" s="449"/>
      <c r="AL142" s="449"/>
      <c r="AM142" s="449"/>
      <c r="AN142" s="765"/>
      <c r="AO142" s="765"/>
      <c r="AP142" s="765"/>
      <c r="AQ142" s="765"/>
      <c r="AR142" s="449"/>
      <c r="AS142" s="489"/>
      <c r="AT142" s="449"/>
      <c r="AU142" s="485"/>
      <c r="AV142" s="22"/>
      <c r="AW142" s="22"/>
      <c r="AX142" s="22"/>
      <c r="AY142" s="22"/>
      <c r="AZ142" s="760"/>
      <c r="BA142" s="760"/>
      <c r="BB142" s="22"/>
      <c r="BC142" s="22"/>
      <c r="BD142" s="22"/>
      <c r="BE142" s="22"/>
      <c r="BF142" s="22"/>
      <c r="BG142" s="22"/>
      <c r="BH142" s="22"/>
      <c r="BI142" s="22"/>
      <c r="BJ142" s="22"/>
      <c r="BK142" s="22"/>
      <c r="BL142" s="22"/>
      <c r="CE142" s="22"/>
      <c r="CF142" s="565"/>
    </row>
    <row r="143" spans="8:84" ht="19.5" customHeight="1">
      <c r="H143" s="18"/>
      <c r="I143" s="19"/>
      <c r="J143" s="19"/>
      <c r="K143" s="20"/>
      <c r="L143" s="22"/>
      <c r="M143" s="22"/>
      <c r="N143" s="22"/>
      <c r="O143" s="22"/>
      <c r="P143" s="22"/>
      <c r="Q143" s="22"/>
      <c r="R143" s="571"/>
      <c r="S143" s="571"/>
      <c r="T143" s="571"/>
      <c r="U143" s="22"/>
      <c r="V143" s="22"/>
      <c r="W143" s="22"/>
      <c r="X143" s="22"/>
      <c r="Y143" s="22"/>
      <c r="Z143" s="22"/>
      <c r="AA143" s="476"/>
      <c r="AB143" s="485"/>
      <c r="AC143" s="449"/>
      <c r="AD143" s="485"/>
      <c r="AE143" s="449"/>
      <c r="AF143" s="449"/>
      <c r="AG143" s="22"/>
      <c r="AH143" s="22"/>
      <c r="AI143" s="449"/>
      <c r="AJ143" s="449"/>
      <c r="AK143" s="449"/>
      <c r="AL143" s="449"/>
      <c r="AM143" s="449"/>
      <c r="AN143" s="765"/>
      <c r="AO143" s="765"/>
      <c r="AP143" s="765"/>
      <c r="AQ143" s="765"/>
      <c r="AR143" s="449"/>
      <c r="AS143" s="489"/>
      <c r="AT143" s="449"/>
      <c r="AU143" s="485"/>
      <c r="AV143" s="22"/>
      <c r="AW143" s="22"/>
      <c r="AX143" s="22"/>
      <c r="AY143" s="22"/>
      <c r="AZ143" s="760"/>
      <c r="BA143" s="760"/>
      <c r="BB143" s="22"/>
      <c r="BC143" s="22"/>
      <c r="BD143" s="22"/>
      <c r="BE143" s="22"/>
      <c r="BF143" s="22"/>
      <c r="BG143" s="22"/>
      <c r="BH143" s="22"/>
      <c r="BI143" s="22"/>
      <c r="BJ143" s="22"/>
      <c r="BK143" s="22"/>
      <c r="BL143" s="22"/>
      <c r="CE143" s="22"/>
      <c r="CF143" s="565"/>
    </row>
    <row r="144" spans="8:84" ht="19.5" customHeight="1">
      <c r="H144" s="18"/>
      <c r="I144" s="19"/>
      <c r="J144" s="19"/>
      <c r="K144" s="20"/>
      <c r="L144" s="22"/>
      <c r="M144" s="22"/>
      <c r="N144" s="22"/>
      <c r="O144" s="22"/>
      <c r="P144" s="22"/>
      <c r="Q144" s="22"/>
      <c r="R144" s="571"/>
      <c r="S144" s="571"/>
      <c r="T144" s="571"/>
      <c r="U144" s="22"/>
      <c r="V144" s="22"/>
      <c r="W144" s="22"/>
      <c r="X144" s="22"/>
      <c r="Y144" s="22"/>
      <c r="Z144" s="22"/>
      <c r="AA144" s="476"/>
      <c r="AB144" s="485"/>
      <c r="AC144" s="449"/>
      <c r="AD144" s="485"/>
      <c r="AE144" s="449"/>
      <c r="AF144" s="449"/>
      <c r="AG144" s="22"/>
      <c r="AH144" s="22"/>
      <c r="AI144" s="449"/>
      <c r="AJ144" s="449"/>
      <c r="AK144" s="449"/>
      <c r="AL144" s="449"/>
      <c r="AM144" s="449"/>
      <c r="AN144" s="765"/>
      <c r="AO144" s="765"/>
      <c r="AP144" s="765"/>
      <c r="AQ144" s="765"/>
      <c r="AR144" s="449"/>
      <c r="AS144" s="489"/>
      <c r="AT144" s="449"/>
      <c r="AU144" s="485"/>
      <c r="AV144" s="22"/>
      <c r="AW144" s="22"/>
      <c r="AX144" s="22"/>
      <c r="AY144" s="22"/>
      <c r="AZ144" s="760"/>
      <c r="BA144" s="760"/>
      <c r="BB144" s="22"/>
      <c r="BC144" s="22"/>
      <c r="BD144" s="22"/>
      <c r="BE144" s="22"/>
      <c r="BF144" s="22"/>
      <c r="BG144" s="22"/>
      <c r="BH144" s="22"/>
      <c r="BI144" s="22"/>
      <c r="BJ144" s="22"/>
      <c r="BK144" s="22"/>
      <c r="BL144" s="22"/>
      <c r="CE144" s="22"/>
      <c r="CF144" s="565"/>
    </row>
    <row r="145" spans="8:84" ht="19.5" customHeight="1">
      <c r="H145" s="18"/>
      <c r="I145" s="19"/>
      <c r="J145" s="19"/>
      <c r="K145" s="20"/>
      <c r="L145" s="22"/>
      <c r="M145" s="22"/>
      <c r="N145" s="22"/>
      <c r="O145" s="22"/>
      <c r="P145" s="22"/>
      <c r="Q145" s="22"/>
      <c r="R145" s="571"/>
      <c r="S145" s="571"/>
      <c r="T145" s="571"/>
      <c r="U145" s="22"/>
      <c r="V145" s="22"/>
      <c r="W145" s="22"/>
      <c r="X145" s="22"/>
      <c r="Y145" s="22"/>
      <c r="Z145" s="22"/>
      <c r="AA145" s="476"/>
      <c r="AB145" s="485"/>
      <c r="AC145" s="449"/>
      <c r="AD145" s="485"/>
      <c r="AE145" s="449"/>
      <c r="AF145" s="449"/>
      <c r="AG145" s="22"/>
      <c r="AH145" s="22"/>
      <c r="AI145" s="449"/>
      <c r="AJ145" s="449"/>
      <c r="AK145" s="449"/>
      <c r="AL145" s="449"/>
      <c r="AM145" s="449"/>
      <c r="AN145" s="765"/>
      <c r="AO145" s="765"/>
      <c r="AP145" s="765"/>
      <c r="AQ145" s="765"/>
      <c r="AR145" s="449"/>
      <c r="AS145" s="489"/>
      <c r="AT145" s="449"/>
      <c r="AU145" s="485"/>
      <c r="AV145" s="22"/>
      <c r="AW145" s="22"/>
      <c r="AX145" s="22"/>
      <c r="AY145" s="22"/>
      <c r="AZ145" s="760"/>
      <c r="BA145" s="760"/>
      <c r="BB145" s="22"/>
      <c r="BC145" s="22"/>
      <c r="BD145" s="22"/>
      <c r="BE145" s="22"/>
      <c r="BF145" s="22"/>
      <c r="BG145" s="22"/>
      <c r="BH145" s="22"/>
      <c r="BI145" s="22"/>
      <c r="BJ145" s="22"/>
      <c r="BK145" s="22"/>
      <c r="BL145" s="22"/>
      <c r="CE145" s="22"/>
      <c r="CF145" s="565"/>
    </row>
    <row r="146" spans="8:84" ht="19.5" customHeight="1">
      <c r="H146" s="18"/>
      <c r="I146" s="19"/>
      <c r="J146" s="19"/>
      <c r="K146" s="20"/>
      <c r="L146" s="22"/>
      <c r="M146" s="22"/>
      <c r="N146" s="22"/>
      <c r="O146" s="22"/>
      <c r="P146" s="22"/>
      <c r="Q146" s="22"/>
      <c r="R146" s="571"/>
      <c r="S146" s="571"/>
      <c r="T146" s="571"/>
      <c r="U146" s="22"/>
      <c r="V146" s="22"/>
      <c r="W146" s="22"/>
      <c r="X146" s="22"/>
      <c r="Y146" s="22"/>
      <c r="Z146" s="22"/>
      <c r="AA146" s="476"/>
      <c r="AB146" s="485"/>
      <c r="AC146" s="449"/>
      <c r="AD146" s="485"/>
      <c r="AE146" s="449"/>
      <c r="AF146" s="449"/>
      <c r="AG146" s="22"/>
      <c r="AH146" s="22"/>
      <c r="AI146" s="449"/>
      <c r="AJ146" s="449"/>
      <c r="AK146" s="449"/>
      <c r="AL146" s="449"/>
      <c r="AM146" s="449"/>
      <c r="AN146" s="765"/>
      <c r="AO146" s="765"/>
      <c r="AP146" s="765"/>
      <c r="AQ146" s="765"/>
      <c r="AR146" s="449"/>
      <c r="AS146" s="489"/>
      <c r="AT146" s="449"/>
      <c r="AU146" s="485"/>
      <c r="AV146" s="22"/>
      <c r="AW146" s="22"/>
      <c r="AX146" s="22"/>
      <c r="AY146" s="22"/>
      <c r="AZ146" s="760"/>
      <c r="BA146" s="760"/>
      <c r="BB146" s="22"/>
      <c r="BC146" s="22"/>
      <c r="BD146" s="22"/>
      <c r="BE146" s="22"/>
      <c r="BF146" s="22"/>
      <c r="BG146" s="22"/>
      <c r="BH146" s="22"/>
      <c r="BI146" s="22"/>
      <c r="BJ146" s="22"/>
      <c r="BK146" s="22"/>
      <c r="BL146" s="22"/>
      <c r="CE146" s="22"/>
      <c r="CF146" s="565"/>
    </row>
    <row r="147" spans="8:84" ht="19.5" customHeight="1">
      <c r="H147" s="18"/>
      <c r="I147" s="19"/>
      <c r="J147" s="19"/>
      <c r="K147" s="20"/>
      <c r="L147" s="22"/>
      <c r="M147" s="22"/>
      <c r="N147" s="22"/>
      <c r="O147" s="22"/>
      <c r="P147" s="22"/>
      <c r="Q147" s="22"/>
      <c r="R147" s="571"/>
      <c r="S147" s="571"/>
      <c r="T147" s="571"/>
      <c r="U147" s="22"/>
      <c r="V147" s="22"/>
      <c r="W147" s="22"/>
      <c r="X147" s="22"/>
      <c r="Y147" s="22"/>
      <c r="Z147" s="22"/>
      <c r="AA147" s="476"/>
      <c r="AB147" s="485"/>
      <c r="AC147" s="449"/>
      <c r="AD147" s="485"/>
      <c r="AE147" s="449"/>
      <c r="AF147" s="449"/>
      <c r="AG147" s="22"/>
      <c r="AH147" s="22"/>
      <c r="AI147" s="449"/>
      <c r="AJ147" s="449"/>
      <c r="AK147" s="449"/>
      <c r="AL147" s="449"/>
      <c r="AM147" s="449"/>
      <c r="AN147" s="765"/>
      <c r="AO147" s="765"/>
      <c r="AP147" s="765"/>
      <c r="AQ147" s="765"/>
      <c r="AR147" s="449"/>
      <c r="AS147" s="489"/>
      <c r="AT147" s="449"/>
      <c r="AU147" s="485"/>
      <c r="AV147" s="22"/>
      <c r="AW147" s="22"/>
      <c r="AX147" s="22"/>
      <c r="AY147" s="22"/>
      <c r="AZ147" s="760"/>
      <c r="BA147" s="760"/>
      <c r="BB147" s="22"/>
      <c r="BC147" s="22"/>
      <c r="BD147" s="22"/>
      <c r="BE147" s="22"/>
      <c r="BF147" s="22"/>
      <c r="BG147" s="22"/>
      <c r="BH147" s="22"/>
      <c r="BI147" s="22"/>
      <c r="BJ147" s="22"/>
      <c r="BK147" s="22"/>
      <c r="BL147" s="22"/>
      <c r="CE147" s="22"/>
      <c r="CF147" s="565"/>
    </row>
    <row r="148" spans="8:84" ht="19.5" customHeight="1">
      <c r="H148" s="18"/>
      <c r="I148" s="19"/>
      <c r="J148" s="19"/>
      <c r="K148" s="20"/>
      <c r="L148" s="22"/>
      <c r="M148" s="22"/>
      <c r="N148" s="22"/>
      <c r="O148" s="22"/>
      <c r="P148" s="22"/>
      <c r="Q148" s="22"/>
      <c r="R148" s="571"/>
      <c r="S148" s="571"/>
      <c r="T148" s="571"/>
      <c r="U148" s="22"/>
      <c r="V148" s="22"/>
      <c r="W148" s="22"/>
      <c r="X148" s="22"/>
      <c r="Y148" s="22"/>
      <c r="Z148" s="22"/>
      <c r="AA148" s="476"/>
      <c r="AB148" s="485"/>
      <c r="AC148" s="449"/>
      <c r="AD148" s="485"/>
      <c r="AE148" s="449"/>
      <c r="AF148" s="449"/>
      <c r="AG148" s="22"/>
      <c r="AH148" s="22"/>
      <c r="AI148" s="449"/>
      <c r="AJ148" s="449"/>
      <c r="AK148" s="449"/>
      <c r="AL148" s="449"/>
      <c r="AM148" s="449"/>
      <c r="AN148" s="765"/>
      <c r="AO148" s="765"/>
      <c r="AP148" s="765"/>
      <c r="AQ148" s="765"/>
      <c r="AR148" s="449"/>
      <c r="AS148" s="489"/>
      <c r="AT148" s="449"/>
      <c r="AU148" s="485"/>
      <c r="AV148" s="22"/>
      <c r="AW148" s="22"/>
      <c r="AX148" s="22"/>
      <c r="AY148" s="22"/>
      <c r="AZ148" s="760"/>
      <c r="BA148" s="760"/>
      <c r="BB148" s="22"/>
      <c r="BC148" s="22"/>
      <c r="BD148" s="22"/>
      <c r="BE148" s="22"/>
      <c r="BF148" s="22"/>
      <c r="BG148" s="22"/>
      <c r="BH148" s="22"/>
      <c r="BI148" s="22"/>
      <c r="BJ148" s="22"/>
      <c r="BK148" s="22"/>
      <c r="BL148" s="22"/>
      <c r="CE148" s="22"/>
      <c r="CF148" s="565"/>
    </row>
    <row r="149" spans="8:84" ht="19.5" customHeight="1">
      <c r="H149" s="18"/>
      <c r="I149" s="19"/>
      <c r="J149" s="19"/>
      <c r="K149" s="20"/>
      <c r="L149" s="22"/>
      <c r="M149" s="22"/>
      <c r="N149" s="22"/>
      <c r="O149" s="22"/>
      <c r="P149" s="22"/>
      <c r="Q149" s="22"/>
      <c r="R149" s="571"/>
      <c r="S149" s="571"/>
      <c r="T149" s="571"/>
      <c r="U149" s="22"/>
      <c r="V149" s="22"/>
      <c r="W149" s="22"/>
      <c r="X149" s="22"/>
      <c r="Y149" s="22"/>
      <c r="Z149" s="22"/>
      <c r="AA149" s="476"/>
      <c r="AB149" s="485"/>
      <c r="AC149" s="449"/>
      <c r="AD149" s="485"/>
      <c r="AE149" s="449"/>
      <c r="AF149" s="449"/>
      <c r="AG149" s="22"/>
      <c r="AH149" s="22"/>
      <c r="AI149" s="449"/>
      <c r="AJ149" s="449"/>
      <c r="AK149" s="449"/>
      <c r="AL149" s="449"/>
      <c r="AM149" s="449"/>
      <c r="AN149" s="765"/>
      <c r="AO149" s="765"/>
      <c r="AP149" s="765"/>
      <c r="AQ149" s="765"/>
      <c r="AR149" s="449"/>
      <c r="AS149" s="489"/>
      <c r="AT149" s="449"/>
      <c r="AU149" s="485"/>
      <c r="AV149" s="22"/>
      <c r="AW149" s="22"/>
      <c r="AX149" s="22"/>
      <c r="AY149" s="22"/>
      <c r="AZ149" s="760"/>
      <c r="BA149" s="760"/>
      <c r="BB149" s="22"/>
      <c r="BC149" s="22"/>
      <c r="BD149" s="22"/>
      <c r="BE149" s="22"/>
      <c r="BF149" s="22"/>
      <c r="BG149" s="22"/>
      <c r="BH149" s="22"/>
      <c r="BI149" s="22"/>
      <c r="BJ149" s="22"/>
      <c r="BK149" s="22"/>
      <c r="BL149" s="22"/>
      <c r="CE149" s="22"/>
      <c r="CF149" s="565"/>
    </row>
    <row r="150" spans="8:84" ht="19.5" customHeight="1">
      <c r="H150" s="18"/>
      <c r="I150" s="19"/>
      <c r="J150" s="19"/>
      <c r="K150" s="20"/>
      <c r="L150" s="22"/>
      <c r="M150" s="22"/>
      <c r="N150" s="22"/>
      <c r="O150" s="22"/>
      <c r="P150" s="22"/>
      <c r="Q150" s="22"/>
      <c r="R150" s="571"/>
      <c r="S150" s="571"/>
      <c r="T150" s="571"/>
      <c r="U150" s="22"/>
      <c r="V150" s="22"/>
      <c r="W150" s="22"/>
      <c r="X150" s="22"/>
      <c r="Y150" s="22"/>
      <c r="Z150" s="22"/>
      <c r="AA150" s="476"/>
      <c r="AB150" s="485"/>
      <c r="AC150" s="449"/>
      <c r="AD150" s="485"/>
      <c r="AE150" s="449"/>
      <c r="AF150" s="449"/>
      <c r="AG150" s="22"/>
      <c r="AH150" s="22"/>
      <c r="AI150" s="449"/>
      <c r="AJ150" s="449"/>
      <c r="AK150" s="449"/>
      <c r="AL150" s="449"/>
      <c r="AM150" s="449"/>
      <c r="AN150" s="765"/>
      <c r="AO150" s="765"/>
      <c r="AP150" s="765"/>
      <c r="AQ150" s="765"/>
      <c r="AR150" s="449"/>
      <c r="AS150" s="489"/>
      <c r="AT150" s="449"/>
      <c r="AU150" s="485"/>
      <c r="AV150" s="22"/>
      <c r="AW150" s="22"/>
      <c r="AX150" s="22"/>
      <c r="AY150" s="22"/>
      <c r="AZ150" s="760"/>
      <c r="BA150" s="760"/>
      <c r="BB150" s="22"/>
      <c r="BC150" s="22"/>
      <c r="BD150" s="22"/>
      <c r="BE150" s="22"/>
      <c r="BF150" s="22"/>
      <c r="BG150" s="22"/>
      <c r="BH150" s="22"/>
      <c r="BI150" s="22"/>
      <c r="BJ150" s="22"/>
      <c r="BK150" s="22"/>
      <c r="BL150" s="22"/>
      <c r="CE150" s="22"/>
      <c r="CF150" s="565"/>
    </row>
    <row r="151" spans="8:84" ht="19.5" customHeight="1">
      <c r="H151" s="18"/>
      <c r="I151" s="19"/>
      <c r="J151" s="19"/>
      <c r="K151" s="20"/>
      <c r="L151" s="22"/>
      <c r="M151" s="22"/>
      <c r="N151" s="22"/>
      <c r="O151" s="22"/>
      <c r="P151" s="22"/>
      <c r="Q151" s="22"/>
      <c r="R151" s="571"/>
      <c r="S151" s="571"/>
      <c r="T151" s="571"/>
      <c r="U151" s="22"/>
      <c r="V151" s="22"/>
      <c r="W151" s="22"/>
      <c r="X151" s="22"/>
      <c r="Y151" s="22"/>
      <c r="Z151" s="22"/>
      <c r="AA151" s="476"/>
      <c r="AB151" s="485"/>
      <c r="AC151" s="449"/>
      <c r="AD151" s="485"/>
      <c r="AE151" s="449"/>
      <c r="AF151" s="449"/>
      <c r="AG151" s="22"/>
      <c r="AH151" s="22"/>
      <c r="AI151" s="449"/>
      <c r="AJ151" s="449"/>
      <c r="AK151" s="449"/>
      <c r="AL151" s="449"/>
      <c r="AM151" s="449"/>
      <c r="AN151" s="765"/>
      <c r="AO151" s="765"/>
      <c r="AP151" s="765"/>
      <c r="AQ151" s="765"/>
      <c r="AR151" s="449"/>
      <c r="AS151" s="489"/>
      <c r="AT151" s="449"/>
      <c r="AU151" s="485"/>
      <c r="AV151" s="22"/>
      <c r="AW151" s="22"/>
      <c r="AX151" s="22"/>
      <c r="AY151" s="22"/>
      <c r="AZ151" s="760"/>
      <c r="BA151" s="760"/>
      <c r="BB151" s="22"/>
      <c r="BC151" s="22"/>
      <c r="BD151" s="22"/>
      <c r="BE151" s="22"/>
      <c r="BF151" s="22"/>
      <c r="BG151" s="22"/>
      <c r="BH151" s="22"/>
      <c r="BI151" s="22"/>
      <c r="BJ151" s="22"/>
      <c r="BK151" s="22"/>
      <c r="BL151" s="22"/>
      <c r="CE151" s="22"/>
      <c r="CF151" s="565"/>
    </row>
    <row r="152" spans="8:84" ht="19.5" customHeight="1">
      <c r="H152" s="18"/>
      <c r="I152" s="19"/>
      <c r="J152" s="19"/>
      <c r="K152" s="20"/>
      <c r="L152" s="22"/>
      <c r="M152" s="22"/>
      <c r="N152" s="22"/>
      <c r="O152" s="22"/>
      <c r="P152" s="22"/>
      <c r="Q152" s="22"/>
      <c r="R152" s="571"/>
      <c r="S152" s="571"/>
      <c r="T152" s="571"/>
      <c r="U152" s="22"/>
      <c r="V152" s="22"/>
      <c r="W152" s="22"/>
      <c r="X152" s="22"/>
      <c r="Y152" s="22"/>
      <c r="Z152" s="22"/>
      <c r="AA152" s="476"/>
      <c r="AB152" s="485"/>
      <c r="AC152" s="449"/>
      <c r="AD152" s="485"/>
      <c r="AE152" s="449"/>
      <c r="AF152" s="449"/>
      <c r="AG152" s="22"/>
      <c r="AH152" s="22"/>
      <c r="AI152" s="449"/>
      <c r="AJ152" s="449"/>
      <c r="AK152" s="449"/>
      <c r="AL152" s="449"/>
      <c r="AM152" s="449"/>
      <c r="AN152" s="765"/>
      <c r="AO152" s="765"/>
      <c r="AP152" s="765"/>
      <c r="AQ152" s="765"/>
      <c r="AR152" s="449"/>
      <c r="AS152" s="489"/>
      <c r="AT152" s="449"/>
      <c r="AU152" s="485"/>
      <c r="AV152" s="22"/>
      <c r="AW152" s="22"/>
      <c r="AX152" s="22"/>
      <c r="AY152" s="22"/>
      <c r="AZ152" s="760"/>
      <c r="BA152" s="760"/>
      <c r="BB152" s="22"/>
      <c r="BC152" s="22"/>
      <c r="BD152" s="22"/>
      <c r="BE152" s="22"/>
      <c r="BF152" s="22"/>
      <c r="BG152" s="22"/>
      <c r="BH152" s="22"/>
      <c r="BI152" s="22"/>
      <c r="BJ152" s="22"/>
      <c r="BK152" s="22"/>
      <c r="BL152" s="22"/>
      <c r="CE152" s="22"/>
      <c r="CF152" s="565"/>
    </row>
    <row r="153" spans="8:84" ht="19.5" customHeight="1">
      <c r="H153" s="18"/>
      <c r="I153" s="19"/>
      <c r="J153" s="19"/>
      <c r="K153" s="20"/>
      <c r="L153" s="22"/>
      <c r="M153" s="22"/>
      <c r="N153" s="22"/>
      <c r="O153" s="22"/>
      <c r="P153" s="22"/>
      <c r="Q153" s="22"/>
      <c r="R153" s="571"/>
      <c r="S153" s="571"/>
      <c r="T153" s="571"/>
      <c r="U153" s="22"/>
      <c r="V153" s="22"/>
      <c r="W153" s="22"/>
      <c r="X153" s="22"/>
      <c r="Y153" s="22"/>
      <c r="Z153" s="22"/>
      <c r="AA153" s="476"/>
      <c r="AB153" s="485"/>
      <c r="AC153" s="449"/>
      <c r="AD153" s="485"/>
      <c r="AE153" s="449"/>
      <c r="AF153" s="449"/>
      <c r="AG153" s="22"/>
      <c r="AH153" s="22"/>
      <c r="AI153" s="449"/>
      <c r="AJ153" s="449"/>
      <c r="AK153" s="449"/>
      <c r="AL153" s="449"/>
      <c r="AM153" s="449"/>
      <c r="AN153" s="765"/>
      <c r="AO153" s="765"/>
      <c r="AP153" s="765"/>
      <c r="AQ153" s="765"/>
      <c r="AR153" s="449"/>
      <c r="AS153" s="489"/>
      <c r="AT153" s="449"/>
      <c r="AU153" s="485"/>
      <c r="AV153" s="22"/>
      <c r="AW153" s="22"/>
      <c r="AX153" s="22"/>
      <c r="AY153" s="22"/>
      <c r="AZ153" s="760"/>
      <c r="BA153" s="760"/>
      <c r="BB153" s="22"/>
      <c r="BC153" s="22"/>
      <c r="BD153" s="22"/>
      <c r="BE153" s="22"/>
      <c r="BF153" s="22"/>
      <c r="BG153" s="22"/>
      <c r="BH153" s="22"/>
      <c r="BI153" s="22"/>
      <c r="BJ153" s="22"/>
      <c r="BK153" s="22"/>
      <c r="BL153" s="22"/>
      <c r="CE153" s="22"/>
      <c r="CF153" s="565"/>
    </row>
    <row r="154" spans="8:84" ht="19.5" customHeight="1">
      <c r="H154" s="18"/>
      <c r="I154" s="19"/>
      <c r="J154" s="19"/>
      <c r="K154" s="20"/>
      <c r="L154" s="22"/>
      <c r="M154" s="22"/>
      <c r="N154" s="22"/>
      <c r="O154" s="22"/>
      <c r="P154" s="22"/>
      <c r="Q154" s="22"/>
      <c r="R154" s="571"/>
      <c r="S154" s="571"/>
      <c r="T154" s="571"/>
      <c r="U154" s="22"/>
      <c r="V154" s="22"/>
      <c r="W154" s="22"/>
      <c r="X154" s="22"/>
      <c r="Y154" s="22"/>
      <c r="Z154" s="22"/>
      <c r="AA154" s="476"/>
      <c r="AB154" s="485"/>
      <c r="AC154" s="449"/>
      <c r="AD154" s="485"/>
      <c r="AE154" s="449"/>
      <c r="AF154" s="449"/>
      <c r="AG154" s="22"/>
      <c r="AH154" s="22"/>
      <c r="AI154" s="449"/>
      <c r="AJ154" s="449"/>
      <c r="AK154" s="449"/>
      <c r="AL154" s="449"/>
      <c r="AM154" s="449"/>
      <c r="AN154" s="765"/>
      <c r="AO154" s="765"/>
      <c r="AP154" s="765"/>
      <c r="AQ154" s="765"/>
      <c r="AR154" s="449"/>
      <c r="AS154" s="489"/>
      <c r="AT154" s="449"/>
      <c r="AU154" s="485"/>
      <c r="AV154" s="22"/>
      <c r="AW154" s="22"/>
      <c r="AX154" s="22"/>
      <c r="AY154" s="22"/>
      <c r="AZ154" s="760"/>
      <c r="BA154" s="760"/>
      <c r="BB154" s="22"/>
      <c r="BC154" s="22"/>
      <c r="BD154" s="22"/>
      <c r="BE154" s="22"/>
      <c r="BF154" s="22"/>
      <c r="BG154" s="22"/>
      <c r="BH154" s="22"/>
      <c r="BI154" s="22"/>
      <c r="BJ154" s="22"/>
      <c r="BK154" s="22"/>
      <c r="BL154" s="22"/>
      <c r="CE154" s="22"/>
      <c r="CF154" s="565"/>
    </row>
    <row r="155" spans="8:84" ht="19.5" customHeight="1">
      <c r="H155" s="18"/>
      <c r="I155" s="19"/>
      <c r="J155" s="19"/>
      <c r="K155" s="20"/>
      <c r="L155" s="22"/>
      <c r="M155" s="22"/>
      <c r="N155" s="22"/>
      <c r="O155" s="22"/>
      <c r="P155" s="22"/>
      <c r="Q155" s="22"/>
      <c r="R155" s="571"/>
      <c r="S155" s="571"/>
      <c r="T155" s="571"/>
      <c r="U155" s="22"/>
      <c r="V155" s="22"/>
      <c r="W155" s="22"/>
      <c r="X155" s="22"/>
      <c r="Y155" s="22"/>
      <c r="Z155" s="22"/>
      <c r="AA155" s="476"/>
      <c r="AB155" s="485"/>
      <c r="AC155" s="449"/>
      <c r="AD155" s="485"/>
      <c r="AE155" s="449"/>
      <c r="AF155" s="449"/>
      <c r="AG155" s="22"/>
      <c r="AH155" s="22"/>
      <c r="AI155" s="449"/>
      <c r="AJ155" s="449"/>
      <c r="AK155" s="449"/>
      <c r="AL155" s="449"/>
      <c r="AM155" s="449"/>
      <c r="AN155" s="765"/>
      <c r="AO155" s="765"/>
      <c r="AP155" s="765"/>
      <c r="AQ155" s="765"/>
      <c r="AR155" s="449"/>
      <c r="AS155" s="489"/>
      <c r="AT155" s="449"/>
      <c r="AU155" s="485"/>
      <c r="AV155" s="22"/>
      <c r="AW155" s="22"/>
      <c r="AX155" s="22"/>
      <c r="AY155" s="22"/>
      <c r="AZ155" s="760"/>
      <c r="BA155" s="760"/>
      <c r="BB155" s="22"/>
      <c r="BC155" s="22"/>
      <c r="BD155" s="22"/>
      <c r="BE155" s="22"/>
      <c r="BF155" s="22"/>
      <c r="BG155" s="22"/>
      <c r="BH155" s="22"/>
      <c r="BI155" s="22"/>
      <c r="BJ155" s="22"/>
      <c r="BK155" s="22"/>
      <c r="BL155" s="22"/>
      <c r="CE155" s="22"/>
      <c r="CF155" s="565"/>
    </row>
    <row r="156" spans="8:84" ht="19.5" customHeight="1">
      <c r="H156" s="18"/>
      <c r="I156" s="19"/>
      <c r="J156" s="19"/>
      <c r="K156" s="20"/>
      <c r="L156" s="22"/>
      <c r="M156" s="22"/>
      <c r="N156" s="22"/>
      <c r="O156" s="22"/>
      <c r="P156" s="22"/>
      <c r="Q156" s="22"/>
      <c r="R156" s="571"/>
      <c r="S156" s="571"/>
      <c r="T156" s="571"/>
      <c r="U156" s="22"/>
      <c r="V156" s="22"/>
      <c r="W156" s="22"/>
      <c r="X156" s="22"/>
      <c r="Y156" s="22"/>
      <c r="Z156" s="22"/>
      <c r="AA156" s="476"/>
      <c r="AB156" s="485"/>
      <c r="AC156" s="449"/>
      <c r="AD156" s="485"/>
      <c r="AE156" s="449"/>
      <c r="AF156" s="449"/>
      <c r="AG156" s="22"/>
      <c r="AH156" s="22"/>
      <c r="AI156" s="449"/>
      <c r="AJ156" s="449"/>
      <c r="AK156" s="449"/>
      <c r="AL156" s="449"/>
      <c r="AM156" s="449"/>
      <c r="AN156" s="765"/>
      <c r="AO156" s="765"/>
      <c r="AP156" s="765"/>
      <c r="AQ156" s="765"/>
      <c r="AR156" s="449"/>
      <c r="AS156" s="489"/>
      <c r="AT156" s="449"/>
      <c r="AU156" s="485"/>
      <c r="AV156" s="22"/>
      <c r="AW156" s="22"/>
      <c r="AX156" s="22"/>
      <c r="AY156" s="22"/>
      <c r="AZ156" s="760"/>
      <c r="BA156" s="760"/>
      <c r="BB156" s="22"/>
      <c r="BC156" s="22"/>
      <c r="BD156" s="22"/>
      <c r="BE156" s="22"/>
      <c r="BF156" s="22"/>
      <c r="BG156" s="22"/>
      <c r="BH156" s="22"/>
      <c r="BI156" s="22"/>
      <c r="BJ156" s="22"/>
      <c r="BK156" s="22"/>
      <c r="BL156" s="22"/>
      <c r="CE156" s="22"/>
      <c r="CF156" s="565"/>
    </row>
    <row r="157" spans="8:84" ht="19.5" customHeight="1">
      <c r="H157" s="18"/>
      <c r="I157" s="19"/>
      <c r="J157" s="19"/>
      <c r="K157" s="20"/>
      <c r="L157" s="22"/>
      <c r="M157" s="22"/>
      <c r="N157" s="22"/>
      <c r="O157" s="22"/>
      <c r="P157" s="22"/>
      <c r="Q157" s="22"/>
      <c r="R157" s="571"/>
      <c r="S157" s="571"/>
      <c r="T157" s="571"/>
      <c r="U157" s="22"/>
      <c r="V157" s="22"/>
      <c r="W157" s="22"/>
      <c r="X157" s="22"/>
      <c r="Y157" s="22"/>
      <c r="Z157" s="22"/>
      <c r="AA157" s="476"/>
      <c r="AB157" s="485"/>
      <c r="AC157" s="449"/>
      <c r="AD157" s="485"/>
      <c r="AE157" s="449"/>
      <c r="AF157" s="449"/>
      <c r="AG157" s="22"/>
      <c r="AH157" s="22"/>
      <c r="AI157" s="449"/>
      <c r="AJ157" s="449"/>
      <c r="AK157" s="449"/>
      <c r="AL157" s="449"/>
      <c r="AM157" s="449"/>
      <c r="AN157" s="765"/>
      <c r="AO157" s="765"/>
      <c r="AP157" s="765"/>
      <c r="AQ157" s="765"/>
      <c r="AR157" s="449"/>
      <c r="AS157" s="489"/>
      <c r="AT157" s="449"/>
      <c r="AU157" s="485"/>
      <c r="AV157" s="22"/>
      <c r="AW157" s="22"/>
      <c r="AX157" s="22"/>
      <c r="AY157" s="22"/>
      <c r="AZ157" s="760"/>
      <c r="BA157" s="760"/>
      <c r="BB157" s="22"/>
      <c r="BC157" s="22"/>
      <c r="BD157" s="22"/>
      <c r="BE157" s="22"/>
      <c r="BF157" s="22"/>
      <c r="BG157" s="22"/>
      <c r="BH157" s="22"/>
      <c r="BI157" s="22"/>
      <c r="BJ157" s="22"/>
      <c r="BK157" s="22"/>
      <c r="BL157" s="22"/>
      <c r="CE157" s="22"/>
      <c r="CF157" s="565"/>
    </row>
    <row r="158" spans="8:84" ht="19.5" customHeight="1">
      <c r="H158" s="18"/>
      <c r="I158" s="19"/>
      <c r="J158" s="19"/>
      <c r="K158" s="20"/>
      <c r="L158" s="22"/>
      <c r="M158" s="22"/>
      <c r="N158" s="22"/>
      <c r="O158" s="22"/>
      <c r="P158" s="22"/>
      <c r="Q158" s="22"/>
      <c r="R158" s="571"/>
      <c r="S158" s="571"/>
      <c r="T158" s="571"/>
      <c r="U158" s="22"/>
      <c r="V158" s="22"/>
      <c r="W158" s="22"/>
      <c r="X158" s="22"/>
      <c r="Y158" s="22"/>
      <c r="Z158" s="22"/>
      <c r="AA158" s="476"/>
      <c r="AB158" s="485"/>
      <c r="AC158" s="449"/>
      <c r="AD158" s="485"/>
      <c r="AE158" s="449"/>
      <c r="AF158" s="449"/>
      <c r="AG158" s="22"/>
      <c r="AH158" s="22"/>
      <c r="AI158" s="449"/>
      <c r="AJ158" s="449"/>
      <c r="AK158" s="449"/>
      <c r="AL158" s="449"/>
      <c r="AM158" s="449"/>
      <c r="AN158" s="765"/>
      <c r="AO158" s="765"/>
      <c r="AP158" s="765"/>
      <c r="AQ158" s="765"/>
      <c r="AR158" s="449"/>
      <c r="AS158" s="489"/>
      <c r="AT158" s="449"/>
      <c r="AU158" s="485"/>
      <c r="AV158" s="22"/>
      <c r="AW158" s="22"/>
      <c r="AX158" s="22"/>
      <c r="AY158" s="22"/>
      <c r="AZ158" s="760"/>
      <c r="BA158" s="760"/>
      <c r="BB158" s="22"/>
      <c r="BC158" s="22"/>
      <c r="BD158" s="22"/>
      <c r="BE158" s="22"/>
      <c r="BF158" s="22"/>
      <c r="BG158" s="22"/>
      <c r="BH158" s="22"/>
      <c r="BI158" s="22"/>
      <c r="BJ158" s="22"/>
      <c r="BK158" s="22"/>
      <c r="BL158" s="22"/>
      <c r="CE158" s="22"/>
      <c r="CF158" s="565"/>
    </row>
    <row r="159" spans="8:84" ht="19.5" customHeight="1">
      <c r="H159" s="18"/>
      <c r="I159" s="19"/>
      <c r="J159" s="19"/>
      <c r="K159" s="20"/>
      <c r="L159" s="22"/>
      <c r="M159" s="22"/>
      <c r="N159" s="22"/>
      <c r="O159" s="22"/>
      <c r="P159" s="22"/>
      <c r="Q159" s="22"/>
      <c r="R159" s="571"/>
      <c r="S159" s="571"/>
      <c r="T159" s="571"/>
      <c r="U159" s="22"/>
      <c r="V159" s="22"/>
      <c r="W159" s="22"/>
      <c r="X159" s="22"/>
      <c r="Y159" s="22"/>
      <c r="Z159" s="22"/>
      <c r="AA159" s="476"/>
      <c r="AB159" s="485"/>
      <c r="AC159" s="449"/>
      <c r="AD159" s="485"/>
      <c r="AE159" s="449"/>
      <c r="AF159" s="449"/>
      <c r="AG159" s="22"/>
      <c r="AH159" s="22"/>
      <c r="AI159" s="449"/>
      <c r="AJ159" s="449"/>
      <c r="AK159" s="449"/>
      <c r="AL159" s="449"/>
      <c r="AM159" s="449"/>
      <c r="AN159" s="765"/>
      <c r="AO159" s="765"/>
      <c r="AP159" s="765"/>
      <c r="AQ159" s="765"/>
      <c r="AR159" s="449"/>
      <c r="AS159" s="489"/>
      <c r="AT159" s="449"/>
      <c r="AU159" s="485"/>
      <c r="AV159" s="22"/>
      <c r="AW159" s="22"/>
      <c r="AX159" s="22"/>
      <c r="AY159" s="22"/>
      <c r="AZ159" s="760"/>
      <c r="BA159" s="760"/>
      <c r="BB159" s="22"/>
      <c r="BC159" s="22"/>
      <c r="BD159" s="22"/>
      <c r="BE159" s="22"/>
      <c r="BF159" s="22"/>
      <c r="BG159" s="22"/>
      <c r="BH159" s="22"/>
      <c r="BI159" s="22"/>
      <c r="BJ159" s="22"/>
      <c r="BK159" s="22"/>
      <c r="BL159" s="22"/>
      <c r="CE159" s="22"/>
      <c r="CF159" s="565"/>
    </row>
    <row r="160" spans="8:84" ht="19.5" customHeight="1">
      <c r="H160" s="18"/>
      <c r="I160" s="19"/>
      <c r="J160" s="19"/>
      <c r="K160" s="20"/>
      <c r="L160" s="22"/>
      <c r="M160" s="22"/>
      <c r="N160" s="22"/>
      <c r="O160" s="22"/>
      <c r="P160" s="22"/>
      <c r="Q160" s="22"/>
      <c r="R160" s="571"/>
      <c r="S160" s="571"/>
      <c r="T160" s="571"/>
      <c r="U160" s="22"/>
      <c r="V160" s="22"/>
      <c r="W160" s="22"/>
      <c r="X160" s="22"/>
      <c r="Y160" s="22"/>
      <c r="Z160" s="22"/>
      <c r="AA160" s="476"/>
      <c r="AB160" s="485"/>
      <c r="AC160" s="449"/>
      <c r="AD160" s="485"/>
      <c r="AE160" s="449"/>
      <c r="AF160" s="449"/>
      <c r="AG160" s="22"/>
      <c r="AH160" s="22"/>
      <c r="AI160" s="449"/>
      <c r="AJ160" s="449"/>
      <c r="AK160" s="449"/>
      <c r="AL160" s="449"/>
      <c r="AM160" s="449"/>
      <c r="AN160" s="765"/>
      <c r="AO160" s="765"/>
      <c r="AP160" s="765"/>
      <c r="AQ160" s="765"/>
      <c r="AR160" s="449"/>
      <c r="AS160" s="489"/>
      <c r="AT160" s="449"/>
      <c r="AU160" s="485"/>
      <c r="AV160" s="22"/>
      <c r="AW160" s="22"/>
      <c r="AX160" s="22"/>
      <c r="AY160" s="22"/>
      <c r="AZ160" s="760"/>
      <c r="BA160" s="760"/>
      <c r="BB160" s="22"/>
      <c r="BC160" s="22"/>
      <c r="BD160" s="22"/>
      <c r="BE160" s="22"/>
      <c r="BF160" s="22"/>
      <c r="BG160" s="22"/>
      <c r="BH160" s="22"/>
      <c r="BI160" s="22"/>
      <c r="BJ160" s="22"/>
      <c r="BK160" s="22"/>
      <c r="BL160" s="22"/>
      <c r="CE160" s="22"/>
      <c r="CF160" s="565"/>
    </row>
    <row r="161" spans="8:84" ht="19.5" customHeight="1">
      <c r="H161" s="18"/>
      <c r="I161" s="19"/>
      <c r="J161" s="19"/>
      <c r="K161" s="20"/>
      <c r="L161" s="22"/>
      <c r="M161" s="22"/>
      <c r="N161" s="22"/>
      <c r="O161" s="22"/>
      <c r="P161" s="22"/>
      <c r="Q161" s="22"/>
      <c r="R161" s="571"/>
      <c r="S161" s="571"/>
      <c r="T161" s="571"/>
      <c r="U161" s="22"/>
      <c r="V161" s="22"/>
      <c r="W161" s="22"/>
      <c r="X161" s="22"/>
      <c r="Y161" s="22"/>
      <c r="Z161" s="22"/>
      <c r="AA161" s="476"/>
      <c r="AB161" s="485"/>
      <c r="AC161" s="449"/>
      <c r="AD161" s="485"/>
      <c r="AE161" s="449"/>
      <c r="AF161" s="449"/>
      <c r="AG161" s="22"/>
      <c r="AH161" s="22"/>
      <c r="AI161" s="449"/>
      <c r="AJ161" s="449"/>
      <c r="AK161" s="449"/>
      <c r="AL161" s="449"/>
      <c r="AM161" s="449"/>
      <c r="AN161" s="765"/>
      <c r="AO161" s="765"/>
      <c r="AP161" s="765"/>
      <c r="AQ161" s="765"/>
      <c r="AR161" s="449"/>
      <c r="AS161" s="489"/>
      <c r="AT161" s="449"/>
      <c r="AU161" s="485"/>
      <c r="AV161" s="22"/>
      <c r="AW161" s="22"/>
      <c r="AX161" s="22"/>
      <c r="AY161" s="22"/>
      <c r="AZ161" s="760"/>
      <c r="BA161" s="760"/>
      <c r="BB161" s="22"/>
      <c r="BC161" s="22"/>
      <c r="BD161" s="22"/>
      <c r="BE161" s="22"/>
      <c r="BF161" s="22"/>
      <c r="BG161" s="22"/>
      <c r="BH161" s="22"/>
      <c r="BI161" s="22"/>
      <c r="BJ161" s="22"/>
      <c r="BK161" s="22"/>
      <c r="BL161" s="22"/>
      <c r="CE161" s="22"/>
      <c r="CF161" s="565"/>
    </row>
    <row r="162" spans="8:84" ht="19.5" customHeight="1">
      <c r="H162" s="18"/>
      <c r="I162" s="19"/>
      <c r="J162" s="19"/>
      <c r="K162" s="20"/>
      <c r="L162" s="22"/>
      <c r="M162" s="22"/>
      <c r="N162" s="22"/>
      <c r="O162" s="22"/>
      <c r="P162" s="22"/>
      <c r="Q162" s="22"/>
      <c r="R162" s="571"/>
      <c r="S162" s="571"/>
      <c r="T162" s="571"/>
      <c r="U162" s="22"/>
      <c r="V162" s="22"/>
      <c r="W162" s="22"/>
      <c r="X162" s="22"/>
      <c r="Y162" s="22"/>
      <c r="Z162" s="22"/>
      <c r="AA162" s="476"/>
      <c r="AB162" s="485"/>
      <c r="AC162" s="449"/>
      <c r="AD162" s="485"/>
      <c r="AE162" s="449"/>
      <c r="AF162" s="449"/>
      <c r="AG162" s="22"/>
      <c r="AH162" s="22"/>
      <c r="AI162" s="449"/>
      <c r="AJ162" s="449"/>
      <c r="AK162" s="449"/>
      <c r="AL162" s="449"/>
      <c r="AM162" s="449"/>
      <c r="AN162" s="765"/>
      <c r="AO162" s="765"/>
      <c r="AP162" s="765"/>
      <c r="AQ162" s="765"/>
      <c r="AR162" s="449"/>
      <c r="AS162" s="489"/>
      <c r="AT162" s="449"/>
      <c r="AU162" s="485"/>
      <c r="AV162" s="22"/>
      <c r="AW162" s="22"/>
      <c r="AX162" s="22"/>
      <c r="AY162" s="22"/>
      <c r="AZ162" s="760"/>
      <c r="BA162" s="760"/>
      <c r="BB162" s="22"/>
      <c r="BC162" s="22"/>
      <c r="BD162" s="22"/>
      <c r="BE162" s="22"/>
      <c r="BF162" s="22"/>
      <c r="BG162" s="22"/>
      <c r="BH162" s="22"/>
      <c r="BI162" s="22"/>
      <c r="BJ162" s="22"/>
      <c r="BK162" s="22"/>
      <c r="BL162" s="22"/>
      <c r="CE162" s="22"/>
      <c r="CF162" s="565"/>
    </row>
    <row r="163" spans="8:84" ht="19.5" customHeight="1">
      <c r="H163" s="18"/>
      <c r="I163" s="19"/>
      <c r="J163" s="19"/>
      <c r="K163" s="20"/>
      <c r="L163" s="22"/>
      <c r="M163" s="22"/>
      <c r="N163" s="22"/>
      <c r="O163" s="22"/>
      <c r="P163" s="22"/>
      <c r="Q163" s="22"/>
      <c r="R163" s="571"/>
      <c r="S163" s="571"/>
      <c r="T163" s="571"/>
      <c r="U163" s="22"/>
      <c r="V163" s="22"/>
      <c r="W163" s="22"/>
      <c r="X163" s="22"/>
      <c r="Y163" s="22"/>
      <c r="Z163" s="22"/>
      <c r="AA163" s="476"/>
      <c r="AB163" s="485"/>
      <c r="AC163" s="449"/>
      <c r="AD163" s="485"/>
      <c r="AE163" s="449"/>
      <c r="AF163" s="449"/>
      <c r="AG163" s="22"/>
      <c r="AH163" s="22"/>
      <c r="AI163" s="449"/>
      <c r="AJ163" s="449"/>
      <c r="AK163" s="449"/>
      <c r="AL163" s="449"/>
      <c r="AM163" s="449"/>
      <c r="AN163" s="765"/>
      <c r="AO163" s="765"/>
      <c r="AP163" s="765"/>
      <c r="AQ163" s="765"/>
      <c r="AR163" s="449"/>
      <c r="AS163" s="489"/>
      <c r="AT163" s="449"/>
      <c r="AU163" s="485"/>
      <c r="AV163" s="22"/>
      <c r="AW163" s="22"/>
      <c r="AX163" s="22"/>
      <c r="AY163" s="22"/>
      <c r="AZ163" s="760"/>
      <c r="BA163" s="760"/>
      <c r="BB163" s="22"/>
      <c r="BC163" s="22"/>
      <c r="BD163" s="22"/>
      <c r="BE163" s="22"/>
      <c r="BF163" s="22"/>
      <c r="BG163" s="22"/>
      <c r="BH163" s="22"/>
      <c r="BI163" s="22"/>
      <c r="BJ163" s="22"/>
      <c r="BK163" s="22"/>
      <c r="BL163" s="22"/>
      <c r="CE163" s="22"/>
      <c r="CF163" s="565"/>
    </row>
    <row r="164" spans="8:84" ht="19.5" customHeight="1">
      <c r="H164" s="18"/>
      <c r="I164" s="19"/>
      <c r="J164" s="19"/>
      <c r="K164" s="20"/>
      <c r="L164" s="22"/>
      <c r="M164" s="22"/>
      <c r="N164" s="22"/>
      <c r="O164" s="22"/>
      <c r="P164" s="22"/>
      <c r="Q164" s="22"/>
      <c r="R164" s="571"/>
      <c r="S164" s="571"/>
      <c r="T164" s="571"/>
      <c r="U164" s="22"/>
      <c r="V164" s="22"/>
      <c r="W164" s="22"/>
      <c r="X164" s="22"/>
      <c r="Y164" s="22"/>
      <c r="Z164" s="22"/>
      <c r="AA164" s="476"/>
      <c r="AB164" s="485"/>
      <c r="AC164" s="449"/>
      <c r="AD164" s="485"/>
      <c r="AE164" s="449"/>
      <c r="AF164" s="449"/>
      <c r="AG164" s="22"/>
      <c r="AH164" s="22"/>
      <c r="AI164" s="449"/>
      <c r="AJ164" s="449"/>
      <c r="AK164" s="449"/>
      <c r="AL164" s="449"/>
      <c r="AM164" s="449"/>
      <c r="AN164" s="765"/>
      <c r="AO164" s="765"/>
      <c r="AP164" s="765"/>
      <c r="AQ164" s="765"/>
      <c r="AR164" s="449"/>
      <c r="AS164" s="489"/>
      <c r="AT164" s="449"/>
      <c r="AU164" s="485"/>
      <c r="AV164" s="22"/>
      <c r="AW164" s="22"/>
      <c r="AX164" s="22"/>
      <c r="AY164" s="22"/>
      <c r="AZ164" s="760"/>
      <c r="BA164" s="760"/>
      <c r="BB164" s="22"/>
      <c r="BC164" s="22"/>
      <c r="BD164" s="22"/>
      <c r="BE164" s="22"/>
      <c r="BF164" s="22"/>
      <c r="BG164" s="22"/>
      <c r="BH164" s="22"/>
      <c r="BI164" s="22"/>
      <c r="BJ164" s="22"/>
      <c r="BK164" s="22"/>
      <c r="BL164" s="22"/>
      <c r="CE164" s="22"/>
      <c r="CF164" s="565"/>
    </row>
    <row r="165" spans="8:84" ht="19.5" customHeight="1">
      <c r="H165" s="18"/>
      <c r="I165" s="19"/>
      <c r="J165" s="19"/>
      <c r="K165" s="20"/>
      <c r="L165" s="22"/>
      <c r="M165" s="22"/>
      <c r="N165" s="22"/>
      <c r="O165" s="22"/>
      <c r="P165" s="22"/>
      <c r="Q165" s="22"/>
      <c r="R165" s="571"/>
      <c r="S165" s="571"/>
      <c r="T165" s="571"/>
      <c r="U165" s="22"/>
      <c r="V165" s="22"/>
      <c r="W165" s="22"/>
      <c r="X165" s="22"/>
      <c r="Y165" s="22"/>
      <c r="Z165" s="22"/>
      <c r="AA165" s="476"/>
      <c r="AB165" s="485"/>
      <c r="AC165" s="449"/>
      <c r="AD165" s="485"/>
      <c r="AE165" s="449"/>
      <c r="AF165" s="449"/>
      <c r="AG165" s="22"/>
      <c r="AH165" s="22"/>
      <c r="AI165" s="449"/>
      <c r="AJ165" s="449"/>
      <c r="AK165" s="449"/>
      <c r="AL165" s="449"/>
      <c r="AM165" s="449"/>
      <c r="AN165" s="765"/>
      <c r="AO165" s="765"/>
      <c r="AP165" s="765"/>
      <c r="AQ165" s="765"/>
      <c r="AR165" s="449"/>
      <c r="AS165" s="489"/>
      <c r="AT165" s="449"/>
      <c r="AU165" s="485"/>
      <c r="AV165" s="22"/>
      <c r="AW165" s="22"/>
      <c r="AX165" s="22"/>
      <c r="AY165" s="22"/>
      <c r="AZ165" s="760"/>
      <c r="BA165" s="760"/>
      <c r="BB165" s="22"/>
      <c r="BC165" s="22"/>
      <c r="BD165" s="22"/>
      <c r="BE165" s="22"/>
      <c r="BF165" s="22"/>
      <c r="BG165" s="22"/>
      <c r="BH165" s="22"/>
      <c r="BI165" s="22"/>
      <c r="BJ165" s="22"/>
      <c r="BK165" s="22"/>
      <c r="BL165" s="22"/>
      <c r="CE165" s="22"/>
      <c r="CF165" s="565"/>
    </row>
    <row r="166" spans="8:84" ht="19.5" customHeight="1">
      <c r="H166" s="18"/>
      <c r="I166" s="19"/>
      <c r="J166" s="19"/>
      <c r="K166" s="20"/>
      <c r="L166" s="22"/>
      <c r="M166" s="22"/>
      <c r="N166" s="22"/>
      <c r="O166" s="22"/>
      <c r="P166" s="22"/>
      <c r="Q166" s="22"/>
      <c r="R166" s="571"/>
      <c r="S166" s="571"/>
      <c r="T166" s="571"/>
      <c r="U166" s="22"/>
      <c r="V166" s="22"/>
      <c r="W166" s="22"/>
      <c r="X166" s="22"/>
      <c r="Y166" s="22"/>
      <c r="Z166" s="22"/>
      <c r="AA166" s="476"/>
      <c r="AB166" s="485"/>
      <c r="AC166" s="449"/>
      <c r="AD166" s="485"/>
      <c r="AE166" s="449"/>
      <c r="AF166" s="449"/>
      <c r="AG166" s="22"/>
      <c r="AH166" s="22"/>
      <c r="AI166" s="449"/>
      <c r="AJ166" s="449"/>
      <c r="AK166" s="449"/>
      <c r="AL166" s="449"/>
      <c r="AM166" s="449"/>
      <c r="AN166" s="765"/>
      <c r="AO166" s="765"/>
      <c r="AP166" s="765"/>
      <c r="AQ166" s="765"/>
      <c r="AR166" s="449"/>
      <c r="AS166" s="489"/>
      <c r="AT166" s="449"/>
      <c r="AU166" s="485"/>
      <c r="AV166" s="22"/>
      <c r="AW166" s="22"/>
      <c r="AX166" s="22"/>
      <c r="AY166" s="22"/>
      <c r="AZ166" s="760"/>
      <c r="BA166" s="760"/>
      <c r="BB166" s="22"/>
      <c r="BC166" s="22"/>
      <c r="BD166" s="22"/>
      <c r="BE166" s="22"/>
      <c r="BF166" s="22"/>
      <c r="BG166" s="22"/>
      <c r="BH166" s="22"/>
      <c r="BI166" s="22"/>
      <c r="BJ166" s="22"/>
      <c r="BK166" s="22"/>
      <c r="BL166" s="22"/>
      <c r="CE166" s="22"/>
      <c r="CF166" s="565"/>
    </row>
    <row r="167" spans="8:84" ht="19.5" customHeight="1">
      <c r="H167" s="18"/>
      <c r="I167" s="19"/>
      <c r="J167" s="19"/>
      <c r="K167" s="20"/>
      <c r="L167" s="22"/>
      <c r="M167" s="22"/>
      <c r="N167" s="22"/>
      <c r="O167" s="22"/>
      <c r="P167" s="22"/>
      <c r="Q167" s="22"/>
      <c r="R167" s="571"/>
      <c r="S167" s="571"/>
      <c r="T167" s="571"/>
      <c r="U167" s="22"/>
      <c r="V167" s="22"/>
      <c r="W167" s="22"/>
      <c r="X167" s="22"/>
      <c r="Y167" s="22"/>
      <c r="Z167" s="22"/>
      <c r="AA167" s="476"/>
      <c r="AB167" s="485"/>
      <c r="AC167" s="449"/>
      <c r="AD167" s="485"/>
      <c r="AE167" s="449"/>
      <c r="AF167" s="449"/>
      <c r="AG167" s="22"/>
      <c r="AH167" s="22"/>
      <c r="AI167" s="449"/>
      <c r="AJ167" s="449"/>
      <c r="AK167" s="449"/>
      <c r="AL167" s="449"/>
      <c r="AM167" s="449"/>
      <c r="AN167" s="765"/>
      <c r="AO167" s="765"/>
      <c r="AP167" s="765"/>
      <c r="AQ167" s="765"/>
      <c r="AR167" s="449"/>
      <c r="AS167" s="489"/>
      <c r="AT167" s="449"/>
      <c r="AU167" s="485"/>
      <c r="AV167" s="22"/>
      <c r="AW167" s="22"/>
      <c r="AX167" s="22"/>
      <c r="AY167" s="22"/>
      <c r="AZ167" s="760"/>
      <c r="BA167" s="760"/>
      <c r="BB167" s="22"/>
      <c r="BC167" s="22"/>
      <c r="BD167" s="22"/>
      <c r="BE167" s="22"/>
      <c r="BF167" s="22"/>
      <c r="BG167" s="22"/>
      <c r="BH167" s="22"/>
      <c r="BI167" s="22"/>
      <c r="BJ167" s="22"/>
      <c r="BK167" s="22"/>
      <c r="BL167" s="22"/>
      <c r="CE167" s="22"/>
      <c r="CF167" s="565"/>
    </row>
    <row r="168" spans="8:84" ht="19.5" customHeight="1">
      <c r="H168" s="18"/>
      <c r="I168" s="19"/>
      <c r="J168" s="19"/>
      <c r="K168" s="20"/>
      <c r="L168" s="22"/>
      <c r="M168" s="22"/>
      <c r="N168" s="22"/>
      <c r="O168" s="22"/>
      <c r="P168" s="22"/>
      <c r="Q168" s="22"/>
      <c r="R168" s="571"/>
      <c r="S168" s="571"/>
      <c r="T168" s="571"/>
      <c r="U168" s="22"/>
      <c r="V168" s="22"/>
      <c r="W168" s="22"/>
      <c r="X168" s="22"/>
      <c r="Y168" s="22"/>
      <c r="Z168" s="22"/>
      <c r="AA168" s="476"/>
      <c r="AB168" s="485"/>
      <c r="AC168" s="449"/>
      <c r="AD168" s="485"/>
      <c r="AE168" s="449"/>
      <c r="AF168" s="449"/>
      <c r="AG168" s="22"/>
      <c r="AH168" s="22"/>
      <c r="AI168" s="449"/>
      <c r="AJ168" s="449"/>
      <c r="AK168" s="449"/>
      <c r="AL168" s="449"/>
      <c r="AM168" s="449"/>
      <c r="AN168" s="765"/>
      <c r="AO168" s="765"/>
      <c r="AP168" s="765"/>
      <c r="AQ168" s="765"/>
      <c r="AR168" s="449"/>
      <c r="AS168" s="489"/>
      <c r="AT168" s="449"/>
      <c r="AU168" s="485"/>
      <c r="AV168" s="22"/>
      <c r="AW168" s="22"/>
      <c r="AX168" s="22"/>
      <c r="AY168" s="22"/>
      <c r="AZ168" s="760"/>
      <c r="BA168" s="760"/>
      <c r="BB168" s="22"/>
      <c r="BC168" s="22"/>
      <c r="BD168" s="22"/>
      <c r="BE168" s="22"/>
      <c r="BF168" s="22"/>
      <c r="BG168" s="22"/>
      <c r="BH168" s="22"/>
      <c r="BI168" s="22"/>
      <c r="BJ168" s="22"/>
      <c r="BK168" s="22"/>
      <c r="BL168" s="22"/>
      <c r="CE168" s="22"/>
      <c r="CF168" s="565"/>
    </row>
    <row r="169" spans="8:84" ht="19.5" customHeight="1">
      <c r="H169" s="18"/>
      <c r="I169" s="19"/>
      <c r="J169" s="19"/>
      <c r="K169" s="20"/>
      <c r="L169" s="22"/>
      <c r="M169" s="22"/>
      <c r="N169" s="22"/>
      <c r="O169" s="22"/>
      <c r="P169" s="22"/>
      <c r="Q169" s="22"/>
      <c r="R169" s="571"/>
      <c r="S169" s="571"/>
      <c r="T169" s="571"/>
      <c r="U169" s="22"/>
      <c r="V169" s="22"/>
      <c r="W169" s="22"/>
      <c r="X169" s="22"/>
      <c r="Y169" s="22"/>
      <c r="Z169" s="22"/>
      <c r="AA169" s="476"/>
      <c r="AB169" s="485"/>
      <c r="AC169" s="449"/>
      <c r="AD169" s="485"/>
      <c r="AE169" s="449"/>
      <c r="AF169" s="449"/>
      <c r="AG169" s="22"/>
      <c r="AH169" s="22"/>
      <c r="AI169" s="449"/>
      <c r="AJ169" s="449"/>
      <c r="AK169" s="449"/>
      <c r="AL169" s="449"/>
      <c r="AM169" s="449"/>
      <c r="AN169" s="765"/>
      <c r="AO169" s="765"/>
      <c r="AP169" s="765"/>
      <c r="AQ169" s="765"/>
      <c r="AR169" s="449"/>
      <c r="AS169" s="489"/>
      <c r="AT169" s="449"/>
      <c r="AU169" s="485"/>
      <c r="AV169" s="22"/>
      <c r="AW169" s="22"/>
      <c r="AX169" s="22"/>
      <c r="AY169" s="22"/>
      <c r="AZ169" s="760"/>
      <c r="BA169" s="760"/>
      <c r="BB169" s="22"/>
      <c r="BC169" s="22"/>
      <c r="BD169" s="22"/>
      <c r="BE169" s="22"/>
      <c r="BF169" s="22"/>
      <c r="BG169" s="22"/>
      <c r="BH169" s="22"/>
      <c r="BI169" s="22"/>
      <c r="BJ169" s="22"/>
      <c r="BK169" s="22"/>
      <c r="BL169" s="22"/>
      <c r="CE169" s="22"/>
      <c r="CF169" s="565"/>
    </row>
    <row r="170" spans="8:84" ht="19.5" customHeight="1">
      <c r="H170" s="18"/>
      <c r="I170" s="19"/>
      <c r="J170" s="19"/>
      <c r="K170" s="20"/>
      <c r="L170" s="22"/>
      <c r="M170" s="22"/>
      <c r="N170" s="22"/>
      <c r="O170" s="22"/>
      <c r="P170" s="22"/>
      <c r="Q170" s="22"/>
      <c r="R170" s="571"/>
      <c r="S170" s="571"/>
      <c r="T170" s="571"/>
      <c r="U170" s="22"/>
      <c r="V170" s="22"/>
      <c r="W170" s="22"/>
      <c r="X170" s="22"/>
      <c r="Y170" s="22"/>
      <c r="Z170" s="22"/>
      <c r="AA170" s="476"/>
      <c r="AB170" s="485"/>
      <c r="AC170" s="449"/>
      <c r="AD170" s="485"/>
      <c r="AE170" s="449"/>
      <c r="AF170" s="449"/>
      <c r="AG170" s="22"/>
      <c r="AH170" s="22"/>
      <c r="AI170" s="449"/>
      <c r="AJ170" s="449"/>
      <c r="AK170" s="449"/>
      <c r="AL170" s="449"/>
      <c r="AM170" s="449"/>
      <c r="AN170" s="765"/>
      <c r="AO170" s="765"/>
      <c r="AP170" s="765"/>
      <c r="AQ170" s="765"/>
      <c r="AR170" s="449"/>
      <c r="AS170" s="489"/>
      <c r="AT170" s="449"/>
      <c r="AU170" s="485"/>
      <c r="AV170" s="22"/>
      <c r="AW170" s="22"/>
      <c r="AX170" s="22"/>
      <c r="AY170" s="22"/>
      <c r="AZ170" s="760"/>
      <c r="BA170" s="760"/>
      <c r="BB170" s="22"/>
      <c r="BC170" s="22"/>
      <c r="BD170" s="22"/>
      <c r="BE170" s="22"/>
      <c r="BF170" s="22"/>
      <c r="BG170" s="22"/>
      <c r="BH170" s="22"/>
      <c r="BI170" s="22"/>
      <c r="BJ170" s="22"/>
      <c r="BK170" s="22"/>
      <c r="BL170" s="22"/>
      <c r="CE170" s="22"/>
      <c r="CF170" s="565"/>
    </row>
    <row r="171" spans="8:84" ht="19.5" customHeight="1">
      <c r="H171" s="18"/>
      <c r="I171" s="19"/>
      <c r="J171" s="19"/>
      <c r="K171" s="20"/>
      <c r="L171" s="22"/>
      <c r="M171" s="22"/>
      <c r="N171" s="22"/>
      <c r="O171" s="22"/>
      <c r="P171" s="22"/>
      <c r="Q171" s="22"/>
      <c r="R171" s="571"/>
      <c r="S171" s="571"/>
      <c r="T171" s="571"/>
      <c r="U171" s="22"/>
      <c r="V171" s="22"/>
      <c r="W171" s="22"/>
      <c r="X171" s="22"/>
      <c r="Y171" s="22"/>
      <c r="Z171" s="22"/>
      <c r="AA171" s="476"/>
      <c r="AB171" s="485"/>
      <c r="AC171" s="449"/>
      <c r="AD171" s="485"/>
      <c r="AE171" s="449"/>
      <c r="AF171" s="449"/>
      <c r="AG171" s="22"/>
      <c r="AH171" s="22"/>
      <c r="AI171" s="449"/>
      <c r="AJ171" s="449"/>
      <c r="AK171" s="449"/>
      <c r="AL171" s="449"/>
      <c r="AM171" s="449"/>
      <c r="AN171" s="765"/>
      <c r="AO171" s="765"/>
      <c r="AP171" s="765"/>
      <c r="AQ171" s="765"/>
      <c r="AR171" s="449"/>
      <c r="AS171" s="489"/>
      <c r="AT171" s="449"/>
      <c r="AU171" s="485"/>
      <c r="AV171" s="22"/>
      <c r="AW171" s="22"/>
      <c r="AX171" s="22"/>
      <c r="AY171" s="22"/>
      <c r="AZ171" s="760"/>
      <c r="BA171" s="760"/>
      <c r="BB171" s="22"/>
      <c r="BC171" s="22"/>
      <c r="BD171" s="22"/>
      <c r="BE171" s="22"/>
      <c r="BF171" s="22"/>
      <c r="BG171" s="22"/>
      <c r="BH171" s="22"/>
      <c r="BI171" s="22"/>
      <c r="BJ171" s="22"/>
      <c r="BK171" s="22"/>
      <c r="BL171" s="22"/>
      <c r="CE171" s="22"/>
      <c r="CF171" s="565"/>
    </row>
    <row r="172" spans="8:84" ht="19.5" customHeight="1">
      <c r="H172" s="18"/>
      <c r="I172" s="19"/>
      <c r="J172" s="19"/>
      <c r="K172" s="20"/>
      <c r="L172" s="22"/>
      <c r="M172" s="22"/>
      <c r="N172" s="22"/>
      <c r="O172" s="22"/>
      <c r="P172" s="22"/>
      <c r="Q172" s="22"/>
      <c r="R172" s="571"/>
      <c r="S172" s="571"/>
      <c r="T172" s="571"/>
      <c r="U172" s="22"/>
      <c r="V172" s="22"/>
      <c r="W172" s="22"/>
      <c r="X172" s="22"/>
      <c r="Y172" s="22"/>
      <c r="Z172" s="22"/>
      <c r="AA172" s="476"/>
      <c r="AB172" s="485"/>
      <c r="AC172" s="449"/>
      <c r="AD172" s="485"/>
      <c r="AE172" s="449"/>
      <c r="AF172" s="449"/>
      <c r="AG172" s="22"/>
      <c r="AH172" s="22"/>
      <c r="AI172" s="449"/>
      <c r="AJ172" s="449"/>
      <c r="AK172" s="449"/>
      <c r="AL172" s="449"/>
      <c r="AM172" s="449"/>
      <c r="AN172" s="765"/>
      <c r="AO172" s="765"/>
      <c r="AP172" s="765"/>
      <c r="AQ172" s="765"/>
      <c r="AR172" s="449"/>
      <c r="AS172" s="489"/>
      <c r="AT172" s="449"/>
      <c r="AU172" s="485"/>
      <c r="AV172" s="22"/>
      <c r="AW172" s="22"/>
      <c r="AX172" s="22"/>
      <c r="AY172" s="22"/>
      <c r="AZ172" s="760"/>
      <c r="BA172" s="760"/>
      <c r="BB172" s="22"/>
      <c r="BC172" s="22"/>
      <c r="BD172" s="22"/>
      <c r="BE172" s="22"/>
      <c r="BF172" s="22"/>
      <c r="BG172" s="22"/>
      <c r="BH172" s="22"/>
      <c r="BI172" s="22"/>
      <c r="BJ172" s="22"/>
      <c r="BK172" s="22"/>
      <c r="BL172" s="22"/>
      <c r="CE172" s="22"/>
      <c r="CF172" s="565"/>
    </row>
    <row r="173" spans="8:84" ht="19.5" customHeight="1">
      <c r="H173" s="18"/>
      <c r="I173" s="19"/>
      <c r="J173" s="19"/>
      <c r="K173" s="20"/>
      <c r="L173" s="22"/>
      <c r="M173" s="22"/>
      <c r="N173" s="22"/>
      <c r="O173" s="22"/>
      <c r="P173" s="22"/>
      <c r="Q173" s="22"/>
      <c r="R173" s="571"/>
      <c r="S173" s="571"/>
      <c r="T173" s="571"/>
      <c r="U173" s="22"/>
      <c r="V173" s="22"/>
      <c r="W173" s="22"/>
      <c r="X173" s="22"/>
      <c r="Y173" s="22"/>
      <c r="Z173" s="22"/>
      <c r="AA173" s="476"/>
      <c r="AB173" s="485"/>
      <c r="AC173" s="449"/>
      <c r="AD173" s="485"/>
      <c r="AE173" s="449"/>
      <c r="AF173" s="449"/>
      <c r="AG173" s="22"/>
      <c r="AH173" s="22"/>
      <c r="AI173" s="449"/>
      <c r="AJ173" s="449"/>
      <c r="AK173" s="449"/>
      <c r="AL173" s="449"/>
      <c r="AM173" s="449"/>
      <c r="AN173" s="765"/>
      <c r="AO173" s="765"/>
      <c r="AP173" s="765"/>
      <c r="AQ173" s="765"/>
      <c r="AR173" s="449"/>
      <c r="AS173" s="489"/>
      <c r="AT173" s="449"/>
      <c r="AU173" s="485"/>
      <c r="AV173" s="22"/>
      <c r="AW173" s="22"/>
      <c r="AX173" s="22"/>
      <c r="AY173" s="22"/>
      <c r="AZ173" s="760"/>
      <c r="BA173" s="760"/>
      <c r="BB173" s="22"/>
      <c r="BC173" s="22"/>
      <c r="BD173" s="22"/>
      <c r="BE173" s="22"/>
      <c r="BF173" s="22"/>
      <c r="BG173" s="22"/>
      <c r="BH173" s="22"/>
      <c r="BI173" s="22"/>
      <c r="BJ173" s="22"/>
      <c r="BK173" s="22"/>
      <c r="BL173" s="22"/>
      <c r="CE173" s="22"/>
      <c r="CF173" s="565"/>
    </row>
    <row r="174" spans="8:84" ht="19.5" customHeight="1">
      <c r="H174" s="18"/>
      <c r="I174" s="19"/>
      <c r="J174" s="19"/>
      <c r="K174" s="20"/>
      <c r="L174" s="22"/>
      <c r="M174" s="22"/>
      <c r="N174" s="22"/>
      <c r="O174" s="22"/>
      <c r="P174" s="22"/>
      <c r="Q174" s="22"/>
      <c r="R174" s="571"/>
      <c r="S174" s="571"/>
      <c r="T174" s="571"/>
      <c r="U174" s="22"/>
      <c r="V174" s="22"/>
      <c r="W174" s="22"/>
      <c r="X174" s="22"/>
      <c r="Y174" s="22"/>
      <c r="Z174" s="22"/>
      <c r="AA174" s="476"/>
      <c r="AB174" s="485"/>
      <c r="AC174" s="449"/>
      <c r="AD174" s="485"/>
      <c r="AE174" s="449"/>
      <c r="AF174" s="449"/>
      <c r="AG174" s="22"/>
      <c r="AH174" s="22"/>
      <c r="AI174" s="449"/>
      <c r="AJ174" s="449"/>
      <c r="AK174" s="449"/>
      <c r="AL174" s="449"/>
      <c r="AM174" s="449"/>
      <c r="AN174" s="765"/>
      <c r="AO174" s="765"/>
      <c r="AP174" s="765"/>
      <c r="AQ174" s="765"/>
      <c r="AR174" s="449"/>
      <c r="AS174" s="489"/>
      <c r="AT174" s="449"/>
      <c r="AU174" s="485"/>
      <c r="AV174" s="22"/>
      <c r="AW174" s="22"/>
      <c r="AX174" s="22"/>
      <c r="AY174" s="22"/>
      <c r="AZ174" s="760"/>
      <c r="BA174" s="760"/>
      <c r="BB174" s="22"/>
      <c r="BC174" s="22"/>
      <c r="BD174" s="22"/>
      <c r="BE174" s="22"/>
      <c r="BF174" s="22"/>
      <c r="BG174" s="22"/>
      <c r="BH174" s="22"/>
      <c r="BI174" s="22"/>
      <c r="BJ174" s="22"/>
      <c r="BK174" s="22"/>
      <c r="BL174" s="22"/>
      <c r="CE174" s="22"/>
      <c r="CF174" s="565"/>
    </row>
    <row r="175" spans="8:84" ht="19.5" customHeight="1">
      <c r="H175" s="18"/>
      <c r="I175" s="19"/>
      <c r="J175" s="19"/>
      <c r="K175" s="20"/>
      <c r="L175" s="22"/>
      <c r="M175" s="22"/>
      <c r="N175" s="22"/>
      <c r="O175" s="22"/>
      <c r="P175" s="22"/>
      <c r="Q175" s="22"/>
      <c r="R175" s="571"/>
      <c r="S175" s="571"/>
      <c r="T175" s="571"/>
      <c r="U175" s="22"/>
      <c r="V175" s="22"/>
      <c r="W175" s="22"/>
      <c r="X175" s="22"/>
      <c r="Y175" s="22"/>
      <c r="Z175" s="22"/>
      <c r="AA175" s="476"/>
      <c r="AB175" s="485"/>
      <c r="AC175" s="449"/>
      <c r="AD175" s="485"/>
      <c r="AE175" s="449"/>
      <c r="AF175" s="449"/>
      <c r="AG175" s="22"/>
      <c r="AH175" s="22"/>
      <c r="AI175" s="449"/>
      <c r="AJ175" s="449"/>
      <c r="AK175" s="449"/>
      <c r="AL175" s="449"/>
      <c r="AM175" s="449"/>
      <c r="AN175" s="765"/>
      <c r="AO175" s="765"/>
      <c r="AP175" s="765"/>
      <c r="AQ175" s="765"/>
      <c r="AR175" s="449"/>
      <c r="AS175" s="489"/>
      <c r="AT175" s="449"/>
      <c r="AU175" s="485"/>
      <c r="AV175" s="22"/>
      <c r="AW175" s="22"/>
      <c r="AX175" s="22"/>
      <c r="AY175" s="22"/>
      <c r="AZ175" s="760"/>
      <c r="BA175" s="760"/>
      <c r="BB175" s="22"/>
      <c r="BC175" s="22"/>
      <c r="BD175" s="22"/>
      <c r="BE175" s="22"/>
      <c r="BF175" s="22"/>
      <c r="BG175" s="22"/>
      <c r="BH175" s="22"/>
      <c r="BI175" s="22"/>
      <c r="BJ175" s="22"/>
      <c r="BK175" s="22"/>
      <c r="BL175" s="22"/>
      <c r="CE175" s="22"/>
      <c r="CF175" s="565"/>
    </row>
    <row r="176" spans="8:84" ht="19.5" customHeight="1">
      <c r="H176" s="18"/>
      <c r="I176" s="19"/>
      <c r="J176" s="19"/>
      <c r="K176" s="20"/>
      <c r="L176" s="22"/>
      <c r="M176" s="22"/>
      <c r="N176" s="22"/>
      <c r="O176" s="22"/>
      <c r="P176" s="22"/>
      <c r="Q176" s="22"/>
      <c r="R176" s="571"/>
      <c r="S176" s="571"/>
      <c r="T176" s="571"/>
      <c r="U176" s="22"/>
      <c r="V176" s="22"/>
      <c r="W176" s="22"/>
      <c r="X176" s="22"/>
      <c r="Y176" s="22"/>
      <c r="Z176" s="22"/>
      <c r="AA176" s="476"/>
      <c r="AB176" s="485"/>
      <c r="AC176" s="449"/>
      <c r="AD176" s="485"/>
      <c r="AE176" s="449"/>
      <c r="AF176" s="449"/>
      <c r="AG176" s="22"/>
      <c r="AH176" s="22"/>
      <c r="AI176" s="449"/>
      <c r="AJ176" s="449"/>
      <c r="AK176" s="449"/>
      <c r="AL176" s="449"/>
      <c r="AM176" s="449"/>
      <c r="AN176" s="765"/>
      <c r="AO176" s="765"/>
      <c r="AP176" s="765"/>
      <c r="AQ176" s="765"/>
      <c r="AR176" s="449"/>
      <c r="AS176" s="489"/>
      <c r="AT176" s="449"/>
      <c r="AU176" s="485"/>
      <c r="AV176" s="22"/>
      <c r="AW176" s="22"/>
      <c r="AX176" s="22"/>
      <c r="AY176" s="22"/>
      <c r="AZ176" s="760"/>
      <c r="BA176" s="760"/>
      <c r="BB176" s="22"/>
      <c r="BC176" s="22"/>
      <c r="BD176" s="22"/>
      <c r="BE176" s="22"/>
      <c r="BF176" s="22"/>
      <c r="BG176" s="22"/>
      <c r="BH176" s="22"/>
      <c r="BI176" s="22"/>
      <c r="BJ176" s="22"/>
      <c r="BK176" s="22"/>
      <c r="BL176" s="22"/>
      <c r="CE176" s="22"/>
      <c r="CF176" s="565"/>
    </row>
    <row r="177" spans="8:84" ht="19.5" customHeight="1">
      <c r="H177" s="18"/>
      <c r="I177" s="19"/>
      <c r="J177" s="19"/>
      <c r="K177" s="20"/>
      <c r="L177" s="22"/>
      <c r="M177" s="22"/>
      <c r="N177" s="22"/>
      <c r="O177" s="22"/>
      <c r="P177" s="22"/>
      <c r="Q177" s="22"/>
      <c r="R177" s="571"/>
      <c r="S177" s="571"/>
      <c r="T177" s="571"/>
      <c r="U177" s="22"/>
      <c r="V177" s="22"/>
      <c r="W177" s="22"/>
      <c r="X177" s="22"/>
      <c r="Y177" s="22"/>
      <c r="Z177" s="22"/>
      <c r="AA177" s="476"/>
      <c r="AB177" s="485"/>
      <c r="AC177" s="449"/>
      <c r="AD177" s="485"/>
      <c r="AE177" s="449"/>
      <c r="AF177" s="449"/>
      <c r="AG177" s="22"/>
      <c r="AH177" s="22"/>
      <c r="AI177" s="449"/>
      <c r="AJ177" s="449"/>
      <c r="AK177" s="449"/>
      <c r="AL177" s="449"/>
      <c r="AM177" s="449"/>
      <c r="AN177" s="765"/>
      <c r="AO177" s="765"/>
      <c r="AP177" s="765"/>
      <c r="AQ177" s="765"/>
      <c r="AR177" s="449"/>
      <c r="AS177" s="489"/>
      <c r="AT177" s="449"/>
      <c r="AU177" s="485"/>
      <c r="AV177" s="22"/>
      <c r="AW177" s="22"/>
      <c r="AX177" s="22"/>
      <c r="AY177" s="22"/>
      <c r="AZ177" s="760"/>
      <c r="BA177" s="760"/>
      <c r="BB177" s="22"/>
      <c r="BC177" s="22"/>
      <c r="BD177" s="22"/>
      <c r="BE177" s="22"/>
      <c r="BF177" s="22"/>
      <c r="BG177" s="22"/>
      <c r="BH177" s="22"/>
      <c r="BI177" s="22"/>
      <c r="BJ177" s="22"/>
      <c r="BK177" s="22"/>
      <c r="BL177" s="22"/>
      <c r="CE177" s="22"/>
      <c r="CF177" s="565"/>
    </row>
    <row r="178" spans="8:84" ht="19.5" customHeight="1">
      <c r="H178" s="18"/>
      <c r="I178" s="19"/>
      <c r="J178" s="19"/>
      <c r="K178" s="20"/>
      <c r="L178" s="22"/>
      <c r="M178" s="22"/>
      <c r="N178" s="22"/>
      <c r="O178" s="22"/>
      <c r="P178" s="22"/>
      <c r="Q178" s="22"/>
      <c r="R178" s="571"/>
      <c r="S178" s="571"/>
      <c r="T178" s="571"/>
      <c r="U178" s="22"/>
      <c r="V178" s="22"/>
      <c r="W178" s="22"/>
      <c r="X178" s="22"/>
      <c r="Y178" s="22"/>
      <c r="Z178" s="22"/>
      <c r="AA178" s="476"/>
      <c r="AB178" s="485"/>
      <c r="AC178" s="449"/>
      <c r="AD178" s="485"/>
      <c r="AE178" s="449"/>
      <c r="AF178" s="449"/>
      <c r="AG178" s="22"/>
      <c r="AH178" s="22"/>
      <c r="AI178" s="449"/>
      <c r="AJ178" s="449"/>
      <c r="AK178" s="449"/>
      <c r="AL178" s="449"/>
      <c r="AM178" s="449"/>
      <c r="AN178" s="765"/>
      <c r="AO178" s="765"/>
      <c r="AP178" s="765"/>
      <c r="AQ178" s="765"/>
      <c r="AR178" s="449"/>
      <c r="AS178" s="489"/>
      <c r="AT178" s="449"/>
      <c r="AU178" s="485"/>
      <c r="AV178" s="22"/>
      <c r="AW178" s="22"/>
      <c r="AX178" s="22"/>
      <c r="AY178" s="22"/>
      <c r="AZ178" s="760"/>
      <c r="BA178" s="760"/>
      <c r="BB178" s="22"/>
      <c r="BC178" s="22"/>
      <c r="BD178" s="22"/>
      <c r="BE178" s="22"/>
      <c r="BF178" s="22"/>
      <c r="BG178" s="22"/>
      <c r="BH178" s="22"/>
      <c r="BI178" s="22"/>
      <c r="BJ178" s="22"/>
      <c r="BK178" s="22"/>
      <c r="BL178" s="22"/>
      <c r="CE178" s="22"/>
      <c r="CF178" s="565"/>
    </row>
    <row r="179" spans="8:84" ht="19.5" customHeight="1">
      <c r="H179" s="18"/>
      <c r="I179" s="19"/>
      <c r="J179" s="19"/>
      <c r="K179" s="20"/>
      <c r="L179" s="22"/>
      <c r="M179" s="22"/>
      <c r="N179" s="22"/>
      <c r="O179" s="22"/>
      <c r="P179" s="22"/>
      <c r="Q179" s="22"/>
      <c r="R179" s="571"/>
      <c r="S179" s="571"/>
      <c r="T179" s="571"/>
      <c r="U179" s="22"/>
      <c r="V179" s="22"/>
      <c r="W179" s="22"/>
      <c r="X179" s="22"/>
      <c r="Y179" s="22"/>
      <c r="Z179" s="22"/>
      <c r="AA179" s="476"/>
      <c r="AB179" s="485"/>
      <c r="AC179" s="449"/>
      <c r="AD179" s="485"/>
      <c r="AE179" s="449"/>
      <c r="AF179" s="449"/>
      <c r="AG179" s="22"/>
      <c r="AH179" s="22"/>
      <c r="AI179" s="449"/>
      <c r="AJ179" s="449"/>
      <c r="AK179" s="449"/>
      <c r="AL179" s="449"/>
      <c r="AM179" s="449"/>
      <c r="AN179" s="765"/>
      <c r="AO179" s="765"/>
      <c r="AP179" s="765"/>
      <c r="AQ179" s="765"/>
      <c r="AR179" s="449"/>
      <c r="AS179" s="489"/>
      <c r="AT179" s="449"/>
      <c r="AU179" s="485"/>
      <c r="AV179" s="22"/>
      <c r="AW179" s="22"/>
      <c r="AX179" s="22"/>
      <c r="AY179" s="22"/>
      <c r="AZ179" s="760"/>
      <c r="BA179" s="760"/>
      <c r="BB179" s="22"/>
      <c r="BC179" s="22"/>
      <c r="BD179" s="22"/>
      <c r="BE179" s="22"/>
      <c r="BF179" s="22"/>
      <c r="BG179" s="22"/>
      <c r="BH179" s="22"/>
      <c r="BI179" s="22"/>
      <c r="BJ179" s="22"/>
      <c r="BK179" s="22"/>
      <c r="BL179" s="22"/>
      <c r="CE179" s="22"/>
      <c r="CF179" s="565"/>
    </row>
    <row r="180" spans="8:84" ht="19.5" customHeight="1">
      <c r="H180" s="18"/>
      <c r="I180" s="19"/>
      <c r="J180" s="19"/>
      <c r="K180" s="20"/>
      <c r="L180" s="22"/>
      <c r="M180" s="22"/>
      <c r="N180" s="22"/>
      <c r="O180" s="22"/>
      <c r="P180" s="22"/>
      <c r="Q180" s="22"/>
      <c r="R180" s="571"/>
      <c r="S180" s="571"/>
      <c r="T180" s="571"/>
      <c r="U180" s="22"/>
      <c r="V180" s="22"/>
      <c r="W180" s="22"/>
      <c r="X180" s="22"/>
      <c r="Y180" s="22"/>
      <c r="Z180" s="22"/>
      <c r="AA180" s="476"/>
      <c r="AB180" s="485"/>
      <c r="AC180" s="449"/>
      <c r="AD180" s="485"/>
      <c r="AE180" s="449"/>
      <c r="AF180" s="449"/>
      <c r="AG180" s="22"/>
      <c r="AH180" s="22"/>
      <c r="AI180" s="449"/>
      <c r="AJ180" s="449"/>
      <c r="AK180" s="449"/>
      <c r="AL180" s="449"/>
      <c r="AM180" s="449"/>
      <c r="AN180" s="765"/>
      <c r="AO180" s="765"/>
      <c r="AP180" s="765"/>
      <c r="AQ180" s="765"/>
      <c r="AR180" s="449"/>
      <c r="AS180" s="489"/>
      <c r="AT180" s="449"/>
      <c r="AU180" s="485"/>
      <c r="AV180" s="22"/>
      <c r="AW180" s="22"/>
      <c r="AX180" s="22"/>
      <c r="AY180" s="22"/>
      <c r="AZ180" s="760"/>
      <c r="BA180" s="760"/>
      <c r="BB180" s="22"/>
      <c r="BC180" s="22"/>
      <c r="BD180" s="22"/>
      <c r="BE180" s="22"/>
      <c r="BF180" s="22"/>
      <c r="BG180" s="22"/>
      <c r="BH180" s="22"/>
      <c r="BI180" s="22"/>
      <c r="BJ180" s="22"/>
      <c r="BK180" s="22"/>
      <c r="BL180" s="22"/>
      <c r="CE180" s="22"/>
      <c r="CF180" s="565"/>
    </row>
    <row r="181" spans="8:84" ht="19.5" customHeight="1">
      <c r="H181" s="18"/>
      <c r="I181" s="19"/>
      <c r="J181" s="19"/>
      <c r="K181" s="20"/>
      <c r="L181" s="22"/>
      <c r="M181" s="22"/>
      <c r="N181" s="22"/>
      <c r="O181" s="22"/>
      <c r="P181" s="22"/>
      <c r="Q181" s="22"/>
      <c r="R181" s="571"/>
      <c r="S181" s="571"/>
      <c r="T181" s="571"/>
      <c r="U181" s="22"/>
      <c r="V181" s="22"/>
      <c r="W181" s="22"/>
      <c r="X181" s="22"/>
      <c r="Y181" s="22"/>
      <c r="Z181" s="22"/>
      <c r="AA181" s="476"/>
      <c r="AB181" s="485"/>
      <c r="AC181" s="449"/>
      <c r="AD181" s="485"/>
      <c r="AE181" s="449"/>
      <c r="AF181" s="449"/>
      <c r="AG181" s="22"/>
      <c r="AH181" s="22"/>
      <c r="AI181" s="449"/>
      <c r="AJ181" s="449"/>
      <c r="AK181" s="449"/>
      <c r="AL181" s="449"/>
      <c r="AM181" s="449"/>
      <c r="AN181" s="765"/>
      <c r="AO181" s="765"/>
      <c r="AP181" s="765"/>
      <c r="AQ181" s="765"/>
      <c r="AR181" s="449"/>
      <c r="AS181" s="489"/>
      <c r="AT181" s="449"/>
      <c r="AU181" s="485"/>
      <c r="AV181" s="22"/>
      <c r="AW181" s="22"/>
      <c r="AX181" s="22"/>
      <c r="AY181" s="22"/>
      <c r="AZ181" s="760"/>
      <c r="BA181" s="760"/>
      <c r="BB181" s="22"/>
      <c r="BC181" s="22"/>
      <c r="BD181" s="22"/>
      <c r="BE181" s="22"/>
      <c r="BF181" s="22"/>
      <c r="BG181" s="22"/>
      <c r="BH181" s="22"/>
      <c r="BI181" s="22"/>
      <c r="BJ181" s="22"/>
      <c r="BK181" s="22"/>
      <c r="BL181" s="22"/>
      <c r="CE181" s="22"/>
      <c r="CF181" s="565"/>
    </row>
    <row r="182" spans="8:84" ht="19.5" customHeight="1">
      <c r="H182" s="18"/>
      <c r="I182" s="19"/>
      <c r="J182" s="19"/>
      <c r="K182" s="20"/>
      <c r="L182" s="22"/>
      <c r="M182" s="22"/>
      <c r="N182" s="22"/>
      <c r="O182" s="22"/>
      <c r="P182" s="22"/>
      <c r="Q182" s="22"/>
      <c r="R182" s="571"/>
      <c r="S182" s="571"/>
      <c r="T182" s="571"/>
      <c r="U182" s="22"/>
      <c r="V182" s="22"/>
      <c r="W182" s="22"/>
      <c r="X182" s="22"/>
      <c r="Y182" s="22"/>
      <c r="Z182" s="22"/>
      <c r="AA182" s="476"/>
      <c r="AB182" s="485"/>
      <c r="AC182" s="449"/>
      <c r="AD182" s="485"/>
      <c r="AE182" s="449"/>
      <c r="AF182" s="449"/>
      <c r="AG182" s="22"/>
      <c r="AH182" s="22"/>
      <c r="AI182" s="449"/>
      <c r="AJ182" s="449"/>
      <c r="AK182" s="449"/>
      <c r="AL182" s="449"/>
      <c r="AM182" s="449"/>
      <c r="AN182" s="765"/>
      <c r="AO182" s="765"/>
      <c r="AP182" s="765"/>
      <c r="AQ182" s="765"/>
      <c r="AR182" s="449"/>
      <c r="AS182" s="489"/>
      <c r="AT182" s="449"/>
      <c r="AU182" s="485"/>
      <c r="AV182" s="22"/>
      <c r="AW182" s="22"/>
      <c r="AX182" s="22"/>
      <c r="AY182" s="22"/>
      <c r="AZ182" s="760"/>
      <c r="BA182" s="760"/>
      <c r="BB182" s="22"/>
      <c r="BC182" s="22"/>
      <c r="BD182" s="22"/>
      <c r="BE182" s="22"/>
      <c r="BF182" s="22"/>
      <c r="BG182" s="22"/>
      <c r="BH182" s="22"/>
      <c r="BI182" s="22"/>
      <c r="BJ182" s="22"/>
      <c r="BK182" s="22"/>
      <c r="BL182" s="22"/>
      <c r="CE182" s="22"/>
      <c r="CF182" s="565"/>
    </row>
    <row r="183" spans="8:84" ht="19.5" customHeight="1">
      <c r="H183" s="18"/>
      <c r="I183" s="19"/>
      <c r="J183" s="19"/>
      <c r="K183" s="20"/>
      <c r="L183" s="22"/>
      <c r="M183" s="22"/>
      <c r="N183" s="22"/>
      <c r="O183" s="22"/>
      <c r="P183" s="22"/>
      <c r="Q183" s="22"/>
      <c r="R183" s="571"/>
      <c r="S183" s="571"/>
      <c r="T183" s="571"/>
      <c r="U183" s="22"/>
      <c r="V183" s="22"/>
      <c r="W183" s="22"/>
      <c r="X183" s="22"/>
      <c r="Y183" s="22"/>
      <c r="Z183" s="22"/>
      <c r="AA183" s="476"/>
      <c r="AB183" s="485"/>
      <c r="AC183" s="449"/>
      <c r="AD183" s="485"/>
      <c r="AE183" s="449"/>
      <c r="AF183" s="449"/>
      <c r="AG183" s="22"/>
      <c r="AH183" s="22"/>
      <c r="AI183" s="449"/>
      <c r="AJ183" s="449"/>
      <c r="AK183" s="449"/>
      <c r="AL183" s="449"/>
      <c r="AM183" s="449"/>
      <c r="AN183" s="765"/>
      <c r="AO183" s="765"/>
      <c r="AP183" s="765"/>
      <c r="AQ183" s="765"/>
      <c r="AR183" s="449"/>
      <c r="AS183" s="489"/>
      <c r="AT183" s="449"/>
      <c r="AU183" s="485"/>
      <c r="AV183" s="22"/>
      <c r="AW183" s="22"/>
      <c r="AX183" s="22"/>
      <c r="AY183" s="22"/>
      <c r="AZ183" s="760"/>
      <c r="BA183" s="760"/>
      <c r="BB183" s="22"/>
      <c r="BC183" s="22"/>
      <c r="BD183" s="22"/>
      <c r="BE183" s="22"/>
      <c r="BF183" s="22"/>
      <c r="BG183" s="22"/>
      <c r="BH183" s="22"/>
      <c r="BI183" s="22"/>
      <c r="BJ183" s="22"/>
      <c r="BK183" s="22"/>
      <c r="BL183" s="22"/>
      <c r="CE183" s="22"/>
      <c r="CF183" s="565"/>
    </row>
    <row r="184" spans="8:84" ht="19.5" customHeight="1">
      <c r="H184" s="18"/>
      <c r="I184" s="19"/>
      <c r="J184" s="19"/>
      <c r="K184" s="20"/>
      <c r="L184" s="22"/>
      <c r="M184" s="22"/>
      <c r="N184" s="22"/>
      <c r="O184" s="22"/>
      <c r="P184" s="22"/>
      <c r="Q184" s="22"/>
      <c r="R184" s="571"/>
      <c r="S184" s="571"/>
      <c r="T184" s="571"/>
      <c r="U184" s="22"/>
      <c r="V184" s="22"/>
      <c r="W184" s="22"/>
      <c r="X184" s="22"/>
      <c r="Y184" s="22"/>
      <c r="Z184" s="22"/>
      <c r="AA184" s="476"/>
      <c r="AB184" s="485"/>
      <c r="AC184" s="449"/>
      <c r="AD184" s="485"/>
      <c r="AE184" s="449"/>
      <c r="AF184" s="449"/>
      <c r="AG184" s="22"/>
      <c r="AH184" s="22"/>
      <c r="AI184" s="449"/>
      <c r="AJ184" s="449"/>
      <c r="AK184" s="449"/>
      <c r="AL184" s="449"/>
      <c r="AM184" s="449"/>
      <c r="AN184" s="765"/>
      <c r="AO184" s="765"/>
      <c r="AP184" s="765"/>
      <c r="AQ184" s="765"/>
      <c r="AR184" s="449"/>
      <c r="AS184" s="489"/>
      <c r="AT184" s="449"/>
      <c r="AU184" s="485"/>
      <c r="AV184" s="22"/>
      <c r="AW184" s="22"/>
      <c r="AX184" s="22"/>
      <c r="AY184" s="22"/>
      <c r="AZ184" s="760"/>
      <c r="BA184" s="760"/>
      <c r="BB184" s="22"/>
      <c r="BC184" s="22"/>
      <c r="BD184" s="22"/>
      <c r="BE184" s="22"/>
      <c r="BF184" s="22"/>
      <c r="BG184" s="22"/>
      <c r="BH184" s="22"/>
      <c r="BI184" s="22"/>
      <c r="BJ184" s="22"/>
      <c r="BK184" s="22"/>
      <c r="BL184" s="22"/>
      <c r="CE184" s="22"/>
      <c r="CF184" s="565"/>
    </row>
    <row r="185" spans="8:84" ht="19.5" customHeight="1">
      <c r="H185" s="18"/>
      <c r="I185" s="19"/>
      <c r="J185" s="19"/>
      <c r="K185" s="20"/>
      <c r="L185" s="22"/>
      <c r="M185" s="22"/>
      <c r="N185" s="22"/>
      <c r="O185" s="22"/>
      <c r="P185" s="22"/>
      <c r="Q185" s="22"/>
      <c r="R185" s="571"/>
      <c r="S185" s="571"/>
      <c r="T185" s="571"/>
      <c r="U185" s="22"/>
      <c r="V185" s="22"/>
      <c r="W185" s="22"/>
      <c r="X185" s="22"/>
      <c r="Y185" s="22"/>
      <c r="Z185" s="22"/>
      <c r="AA185" s="476"/>
      <c r="AB185" s="485"/>
      <c r="AC185" s="449"/>
      <c r="AD185" s="485"/>
      <c r="AE185" s="449"/>
      <c r="AF185" s="449"/>
      <c r="AG185" s="22"/>
      <c r="AH185" s="22"/>
      <c r="AI185" s="449"/>
      <c r="AJ185" s="449"/>
      <c r="AK185" s="449"/>
      <c r="AL185" s="449"/>
      <c r="AM185" s="449"/>
      <c r="AN185" s="765"/>
      <c r="AO185" s="765"/>
      <c r="AP185" s="765"/>
      <c r="AQ185" s="765"/>
      <c r="AR185" s="449"/>
      <c r="AS185" s="489"/>
      <c r="AT185" s="449"/>
      <c r="AU185" s="485"/>
      <c r="AV185" s="22"/>
      <c r="AW185" s="22"/>
      <c r="AX185" s="22"/>
      <c r="AY185" s="22"/>
      <c r="AZ185" s="760"/>
      <c r="BA185" s="760"/>
      <c r="BB185" s="22"/>
      <c r="BC185" s="22"/>
      <c r="BD185" s="22"/>
      <c r="BE185" s="22"/>
      <c r="BF185" s="22"/>
      <c r="BG185" s="22"/>
      <c r="BH185" s="22"/>
      <c r="BI185" s="22"/>
      <c r="BJ185" s="22"/>
      <c r="BK185" s="22"/>
      <c r="BL185" s="22"/>
      <c r="CE185" s="22"/>
      <c r="CF185" s="565"/>
    </row>
    <row r="186" spans="8:84" ht="19.5" customHeight="1">
      <c r="H186" s="18"/>
      <c r="I186" s="19"/>
      <c r="J186" s="19"/>
      <c r="K186" s="20"/>
      <c r="L186" s="22"/>
      <c r="M186" s="22"/>
      <c r="N186" s="22"/>
      <c r="O186" s="22"/>
      <c r="P186" s="22"/>
      <c r="Q186" s="22"/>
      <c r="R186" s="571"/>
      <c r="S186" s="571"/>
      <c r="T186" s="571"/>
      <c r="U186" s="22"/>
      <c r="V186" s="22"/>
      <c r="W186" s="22"/>
      <c r="X186" s="22"/>
      <c r="Y186" s="22"/>
      <c r="Z186" s="22"/>
      <c r="AA186" s="476"/>
      <c r="AB186" s="485"/>
      <c r="AC186" s="449"/>
      <c r="AD186" s="485"/>
      <c r="AE186" s="449"/>
      <c r="AF186" s="449"/>
      <c r="AG186" s="22"/>
      <c r="AH186" s="22"/>
      <c r="AI186" s="449"/>
      <c r="AJ186" s="449"/>
      <c r="AK186" s="449"/>
      <c r="AL186" s="449"/>
      <c r="AM186" s="449"/>
      <c r="AN186" s="765"/>
      <c r="AO186" s="765"/>
      <c r="AP186" s="765"/>
      <c r="AQ186" s="765"/>
      <c r="AR186" s="449"/>
      <c r="AS186" s="489"/>
      <c r="AT186" s="449"/>
      <c r="AU186" s="485"/>
      <c r="AV186" s="22"/>
      <c r="AW186" s="22"/>
      <c r="AX186" s="22"/>
      <c r="AY186" s="22"/>
      <c r="AZ186" s="760"/>
      <c r="BA186" s="760"/>
      <c r="BB186" s="22"/>
      <c r="BC186" s="22"/>
      <c r="BD186" s="22"/>
      <c r="BE186" s="22"/>
      <c r="BF186" s="22"/>
      <c r="BG186" s="22"/>
      <c r="BH186" s="22"/>
      <c r="BI186" s="22"/>
      <c r="BJ186" s="22"/>
      <c r="BK186" s="22"/>
      <c r="BL186" s="22"/>
      <c r="CE186" s="22"/>
      <c r="CF186" s="565"/>
    </row>
    <row r="187" spans="8:84" ht="19.5" customHeight="1">
      <c r="H187" s="18"/>
      <c r="I187" s="19"/>
      <c r="J187" s="19"/>
      <c r="K187" s="20"/>
      <c r="L187" s="22"/>
      <c r="M187" s="22"/>
      <c r="N187" s="22"/>
      <c r="O187" s="22"/>
      <c r="P187" s="22"/>
      <c r="Q187" s="22"/>
      <c r="R187" s="571"/>
      <c r="S187" s="571"/>
      <c r="T187" s="571"/>
      <c r="U187" s="22"/>
      <c r="V187" s="22"/>
      <c r="W187" s="22"/>
      <c r="X187" s="22"/>
      <c r="Y187" s="22"/>
      <c r="Z187" s="22"/>
      <c r="AA187" s="476"/>
      <c r="AB187" s="485"/>
      <c r="AC187" s="449"/>
      <c r="AD187" s="485"/>
      <c r="AE187" s="449"/>
      <c r="AF187" s="449"/>
      <c r="AG187" s="22"/>
      <c r="AH187" s="22"/>
      <c r="AI187" s="449"/>
      <c r="AJ187" s="449"/>
      <c r="AK187" s="449"/>
      <c r="AL187" s="449"/>
      <c r="AM187" s="449"/>
      <c r="AN187" s="765"/>
      <c r="AO187" s="765"/>
      <c r="AP187" s="765"/>
      <c r="AQ187" s="765"/>
      <c r="AR187" s="449"/>
      <c r="AS187" s="489"/>
      <c r="AT187" s="449"/>
      <c r="AU187" s="485"/>
      <c r="AV187" s="22"/>
      <c r="AW187" s="22"/>
      <c r="AX187" s="22"/>
      <c r="AY187" s="22"/>
      <c r="AZ187" s="760"/>
      <c r="BA187" s="760"/>
      <c r="BB187" s="22"/>
      <c r="BC187" s="22"/>
      <c r="BD187" s="22"/>
      <c r="BE187" s="22"/>
      <c r="BF187" s="22"/>
      <c r="BG187" s="22"/>
      <c r="BH187" s="22"/>
      <c r="BI187" s="22"/>
      <c r="BJ187" s="22"/>
      <c r="BK187" s="22"/>
      <c r="BL187" s="22"/>
      <c r="CE187" s="22"/>
      <c r="CF187" s="565"/>
    </row>
    <row r="188" spans="8:84" ht="19.5" customHeight="1">
      <c r="H188" s="18"/>
      <c r="I188" s="19"/>
      <c r="J188" s="19"/>
      <c r="K188" s="20"/>
      <c r="L188" s="22"/>
      <c r="M188" s="22"/>
      <c r="N188" s="22"/>
      <c r="O188" s="22"/>
      <c r="P188" s="22"/>
      <c r="Q188" s="22"/>
      <c r="R188" s="571"/>
      <c r="S188" s="571"/>
      <c r="T188" s="571"/>
      <c r="U188" s="22"/>
      <c r="V188" s="22"/>
      <c r="W188" s="22"/>
      <c r="X188" s="22"/>
      <c r="Y188" s="22"/>
      <c r="Z188" s="22"/>
      <c r="AA188" s="476"/>
      <c r="AB188" s="485"/>
      <c r="AC188" s="449"/>
      <c r="AD188" s="485"/>
      <c r="AE188" s="449"/>
      <c r="AF188" s="449"/>
      <c r="AG188" s="22"/>
      <c r="AH188" s="22"/>
      <c r="AI188" s="449"/>
      <c r="AJ188" s="449"/>
      <c r="AK188" s="449"/>
      <c r="AL188" s="449"/>
      <c r="AM188" s="449"/>
      <c r="AN188" s="765"/>
      <c r="AO188" s="765"/>
      <c r="AP188" s="765"/>
      <c r="AQ188" s="765"/>
      <c r="AR188" s="449"/>
      <c r="AS188" s="489"/>
      <c r="AT188" s="449"/>
      <c r="AU188" s="485"/>
      <c r="AV188" s="22"/>
      <c r="AW188" s="22"/>
      <c r="AX188" s="22"/>
      <c r="AY188" s="22"/>
      <c r="AZ188" s="760"/>
      <c r="BA188" s="760"/>
      <c r="BB188" s="22"/>
      <c r="BC188" s="22"/>
      <c r="BD188" s="22"/>
      <c r="BE188" s="22"/>
      <c r="BF188" s="22"/>
      <c r="BG188" s="22"/>
      <c r="BH188" s="22"/>
      <c r="BI188" s="22"/>
      <c r="BJ188" s="22"/>
      <c r="BK188" s="22"/>
      <c r="BL188" s="22"/>
      <c r="CE188" s="22"/>
      <c r="CF188" s="565"/>
    </row>
    <row r="189" spans="8:84" ht="19.5" customHeight="1">
      <c r="H189" s="18"/>
      <c r="I189" s="19"/>
      <c r="J189" s="19"/>
      <c r="K189" s="20"/>
      <c r="L189" s="22"/>
      <c r="M189" s="22"/>
      <c r="N189" s="22"/>
      <c r="O189" s="22"/>
      <c r="P189" s="22"/>
      <c r="Q189" s="22"/>
      <c r="R189" s="571"/>
      <c r="S189" s="571"/>
      <c r="T189" s="571"/>
      <c r="U189" s="22"/>
      <c r="V189" s="22"/>
      <c r="W189" s="22"/>
      <c r="X189" s="22"/>
      <c r="Y189" s="22"/>
      <c r="Z189" s="22"/>
      <c r="AA189" s="476"/>
      <c r="AB189" s="485"/>
      <c r="AC189" s="449"/>
      <c r="AD189" s="485"/>
      <c r="AE189" s="449"/>
      <c r="AF189" s="449"/>
      <c r="AG189" s="22"/>
      <c r="AH189" s="22"/>
      <c r="AI189" s="449"/>
      <c r="AJ189" s="449"/>
      <c r="AK189" s="449"/>
      <c r="AL189" s="449"/>
      <c r="AM189" s="449"/>
      <c r="AN189" s="765"/>
      <c r="AO189" s="765"/>
      <c r="AP189" s="765"/>
      <c r="AQ189" s="765"/>
      <c r="AR189" s="449"/>
      <c r="AS189" s="489"/>
      <c r="AT189" s="449"/>
      <c r="AU189" s="485"/>
      <c r="AV189" s="22"/>
      <c r="AW189" s="22"/>
      <c r="AX189" s="22"/>
      <c r="AY189" s="22"/>
      <c r="AZ189" s="760"/>
      <c r="BA189" s="760"/>
      <c r="BB189" s="22"/>
      <c r="BC189" s="22"/>
      <c r="BD189" s="22"/>
      <c r="BE189" s="22"/>
      <c r="BF189" s="22"/>
      <c r="BG189" s="22"/>
      <c r="BH189" s="22"/>
      <c r="BI189" s="22"/>
      <c r="BJ189" s="22"/>
      <c r="BK189" s="22"/>
      <c r="BL189" s="22"/>
      <c r="CE189" s="22"/>
      <c r="CF189" s="565"/>
    </row>
    <row r="190" spans="8:84" ht="19.5" customHeight="1">
      <c r="H190" s="18"/>
      <c r="I190" s="19"/>
      <c r="J190" s="19"/>
      <c r="K190" s="20"/>
      <c r="L190" s="22"/>
      <c r="M190" s="22"/>
      <c r="N190" s="22"/>
      <c r="O190" s="22"/>
      <c r="P190" s="22"/>
      <c r="Q190" s="22"/>
      <c r="R190" s="571"/>
      <c r="S190" s="571"/>
      <c r="T190" s="571"/>
      <c r="U190" s="22"/>
      <c r="V190" s="22"/>
      <c r="W190" s="22"/>
      <c r="X190" s="22"/>
      <c r="Y190" s="22"/>
      <c r="Z190" s="22"/>
      <c r="AA190" s="476"/>
      <c r="AB190" s="485"/>
      <c r="AC190" s="449"/>
      <c r="AD190" s="485"/>
      <c r="AE190" s="449"/>
      <c r="AF190" s="449"/>
      <c r="AG190" s="22"/>
      <c r="AH190" s="22"/>
      <c r="AI190" s="449"/>
      <c r="AJ190" s="449"/>
      <c r="AK190" s="449"/>
      <c r="AL190" s="449"/>
      <c r="AM190" s="449"/>
      <c r="AN190" s="765"/>
      <c r="AO190" s="765"/>
      <c r="AP190" s="765"/>
      <c r="AQ190" s="765"/>
      <c r="AR190" s="449"/>
      <c r="AS190" s="489"/>
      <c r="AT190" s="449"/>
      <c r="AU190" s="485"/>
      <c r="AV190" s="22"/>
      <c r="AW190" s="22"/>
      <c r="AX190" s="22"/>
      <c r="AY190" s="22"/>
      <c r="AZ190" s="760"/>
      <c r="BA190" s="760"/>
      <c r="BB190" s="22"/>
      <c r="BC190" s="22"/>
      <c r="BD190" s="22"/>
      <c r="BE190" s="22"/>
      <c r="BF190" s="22"/>
      <c r="BG190" s="22"/>
      <c r="BH190" s="22"/>
      <c r="BI190" s="22"/>
      <c r="BJ190" s="22"/>
      <c r="BK190" s="22"/>
      <c r="BL190" s="22"/>
      <c r="CE190" s="22"/>
      <c r="CF190" s="565"/>
    </row>
    <row r="191" spans="8:84" ht="19.5" customHeight="1">
      <c r="H191" s="18"/>
      <c r="I191" s="19"/>
      <c r="J191" s="19"/>
      <c r="K191" s="20"/>
      <c r="L191" s="22"/>
      <c r="M191" s="22"/>
      <c r="N191" s="22"/>
      <c r="O191" s="22"/>
      <c r="P191" s="22"/>
      <c r="Q191" s="22"/>
      <c r="R191" s="571"/>
      <c r="S191" s="571"/>
      <c r="T191" s="571"/>
      <c r="U191" s="22"/>
      <c r="V191" s="22"/>
      <c r="W191" s="22"/>
      <c r="X191" s="22"/>
      <c r="Y191" s="22"/>
      <c r="Z191" s="22"/>
      <c r="AA191" s="476"/>
      <c r="AB191" s="485"/>
      <c r="AC191" s="449"/>
      <c r="AD191" s="485"/>
      <c r="AE191" s="449"/>
      <c r="AF191" s="449"/>
      <c r="AG191" s="22"/>
      <c r="AH191" s="22"/>
      <c r="AI191" s="449"/>
      <c r="AJ191" s="449"/>
      <c r="AK191" s="449"/>
      <c r="AL191" s="449"/>
      <c r="AM191" s="449"/>
      <c r="AN191" s="765"/>
      <c r="AO191" s="765"/>
      <c r="AP191" s="765"/>
      <c r="AQ191" s="765"/>
      <c r="AR191" s="449"/>
      <c r="AS191" s="489"/>
      <c r="AT191" s="449"/>
      <c r="AU191" s="485"/>
      <c r="AV191" s="22"/>
      <c r="AW191" s="22"/>
      <c r="AX191" s="22"/>
      <c r="AY191" s="22"/>
      <c r="AZ191" s="760"/>
      <c r="BA191" s="760"/>
      <c r="BB191" s="22"/>
      <c r="BC191" s="22"/>
      <c r="BD191" s="22"/>
      <c r="BE191" s="22"/>
      <c r="BF191" s="22"/>
      <c r="BG191" s="22"/>
      <c r="BH191" s="22"/>
      <c r="BI191" s="22"/>
      <c r="BJ191" s="22"/>
      <c r="BK191" s="22"/>
      <c r="BL191" s="22"/>
      <c r="CE191" s="22"/>
      <c r="CF191" s="565"/>
    </row>
    <row r="192" spans="8:84" ht="19.5" customHeight="1">
      <c r="H192" s="18"/>
      <c r="I192" s="19"/>
      <c r="J192" s="19"/>
      <c r="K192" s="20"/>
      <c r="L192" s="22"/>
      <c r="M192" s="22"/>
      <c r="N192" s="22"/>
      <c r="O192" s="22"/>
      <c r="P192" s="22"/>
      <c r="Q192" s="22"/>
      <c r="R192" s="571"/>
      <c r="S192" s="571"/>
      <c r="T192" s="571"/>
      <c r="U192" s="22"/>
      <c r="V192" s="22"/>
      <c r="W192" s="22"/>
      <c r="X192" s="22"/>
      <c r="Y192" s="22"/>
      <c r="Z192" s="22"/>
      <c r="AA192" s="476"/>
      <c r="AB192" s="485"/>
      <c r="AC192" s="449"/>
      <c r="AD192" s="485"/>
      <c r="AE192" s="449"/>
      <c r="AF192" s="449"/>
      <c r="AG192" s="22"/>
      <c r="AH192" s="22"/>
      <c r="AI192" s="449"/>
      <c r="AJ192" s="449"/>
      <c r="AK192" s="449"/>
      <c r="AL192" s="449"/>
      <c r="AM192" s="449"/>
      <c r="AN192" s="765"/>
      <c r="AO192" s="765"/>
      <c r="AP192" s="765"/>
      <c r="AQ192" s="765"/>
      <c r="AR192" s="449"/>
      <c r="AS192" s="489"/>
      <c r="AT192" s="449"/>
      <c r="AU192" s="485"/>
      <c r="AV192" s="22"/>
      <c r="AW192" s="22"/>
      <c r="AX192" s="22"/>
      <c r="AY192" s="22"/>
      <c r="AZ192" s="760"/>
      <c r="BA192" s="760"/>
      <c r="BB192" s="22"/>
      <c r="BC192" s="22"/>
      <c r="BD192" s="22"/>
      <c r="BE192" s="22"/>
      <c r="BF192" s="22"/>
      <c r="BG192" s="22"/>
      <c r="BH192" s="22"/>
      <c r="BI192" s="22"/>
      <c r="BJ192" s="22"/>
      <c r="BK192" s="22"/>
      <c r="BL192" s="22"/>
      <c r="CE192" s="22"/>
      <c r="CF192" s="565"/>
    </row>
    <row r="193" spans="8:84" ht="19.5" customHeight="1">
      <c r="H193" s="18"/>
      <c r="I193" s="19"/>
      <c r="J193" s="19"/>
      <c r="K193" s="20"/>
      <c r="L193" s="22"/>
      <c r="M193" s="22"/>
      <c r="N193" s="22"/>
      <c r="O193" s="22"/>
      <c r="P193" s="22"/>
      <c r="Q193" s="22"/>
      <c r="R193" s="571"/>
      <c r="S193" s="571"/>
      <c r="T193" s="571"/>
      <c r="U193" s="22"/>
      <c r="V193" s="22"/>
      <c r="W193" s="22"/>
      <c r="X193" s="22"/>
      <c r="Y193" s="22"/>
      <c r="Z193" s="22"/>
      <c r="AA193" s="476"/>
      <c r="AB193" s="485"/>
      <c r="AC193" s="449"/>
      <c r="AD193" s="485"/>
      <c r="AE193" s="449"/>
      <c r="AF193" s="449"/>
      <c r="AG193" s="22"/>
      <c r="AH193" s="22"/>
      <c r="AI193" s="449"/>
      <c r="AJ193" s="449"/>
      <c r="AK193" s="449"/>
      <c r="AL193" s="449"/>
      <c r="AM193" s="449"/>
      <c r="AN193" s="765"/>
      <c r="AO193" s="765"/>
      <c r="AP193" s="765"/>
      <c r="AQ193" s="765"/>
      <c r="AR193" s="449"/>
      <c r="AS193" s="489"/>
      <c r="AT193" s="449"/>
      <c r="AU193" s="485"/>
      <c r="AV193" s="22"/>
      <c r="AW193" s="22"/>
      <c r="AX193" s="22"/>
      <c r="AY193" s="22"/>
      <c r="AZ193" s="760"/>
      <c r="BA193" s="760"/>
      <c r="BB193" s="22"/>
      <c r="BC193" s="22"/>
      <c r="BD193" s="22"/>
      <c r="BE193" s="22"/>
      <c r="BF193" s="22"/>
      <c r="BG193" s="22"/>
      <c r="BH193" s="22"/>
      <c r="BI193" s="22"/>
      <c r="BJ193" s="22"/>
      <c r="BK193" s="22"/>
      <c r="BL193" s="22"/>
      <c r="CE193" s="22"/>
      <c r="CF193" s="565"/>
    </row>
    <row r="194" spans="8:84" ht="19.5" customHeight="1">
      <c r="H194" s="18"/>
      <c r="I194" s="19"/>
      <c r="J194" s="19"/>
      <c r="K194" s="20"/>
      <c r="L194" s="22"/>
      <c r="M194" s="22"/>
      <c r="N194" s="22"/>
      <c r="O194" s="22"/>
      <c r="P194" s="22"/>
      <c r="Q194" s="22"/>
      <c r="R194" s="571"/>
      <c r="S194" s="571"/>
      <c r="T194" s="571"/>
      <c r="U194" s="22"/>
      <c r="V194" s="22"/>
      <c r="W194" s="22"/>
      <c r="X194" s="22"/>
      <c r="Y194" s="22"/>
      <c r="Z194" s="22"/>
      <c r="AA194" s="476"/>
      <c r="AB194" s="485"/>
      <c r="AC194" s="449"/>
      <c r="AD194" s="485"/>
      <c r="AE194" s="449"/>
      <c r="AF194" s="449"/>
      <c r="AG194" s="22"/>
      <c r="AH194" s="22"/>
      <c r="AI194" s="449"/>
      <c r="AJ194" s="449"/>
      <c r="AK194" s="449"/>
      <c r="AL194" s="449"/>
      <c r="AM194" s="449"/>
      <c r="AN194" s="765"/>
      <c r="AO194" s="765"/>
      <c r="AP194" s="765"/>
      <c r="AQ194" s="765"/>
      <c r="AR194" s="449"/>
      <c r="AS194" s="489"/>
      <c r="AT194" s="449"/>
      <c r="AU194" s="485"/>
      <c r="AV194" s="22"/>
      <c r="AW194" s="22"/>
      <c r="AX194" s="22"/>
      <c r="AY194" s="22"/>
      <c r="AZ194" s="760"/>
      <c r="BA194" s="760"/>
      <c r="BB194" s="22"/>
      <c r="BC194" s="22"/>
      <c r="BD194" s="22"/>
      <c r="BE194" s="22"/>
      <c r="BF194" s="22"/>
      <c r="BG194" s="22"/>
      <c r="BH194" s="22"/>
      <c r="BI194" s="22"/>
      <c r="BJ194" s="22"/>
      <c r="BK194" s="22"/>
      <c r="BL194" s="22"/>
      <c r="CE194" s="22"/>
      <c r="CF194" s="565"/>
    </row>
    <row r="195" spans="8:84" ht="19.5" customHeight="1">
      <c r="H195" s="18"/>
      <c r="I195" s="19"/>
      <c r="J195" s="19"/>
      <c r="K195" s="20"/>
      <c r="L195" s="22"/>
      <c r="M195" s="22"/>
      <c r="N195" s="22"/>
      <c r="O195" s="22"/>
      <c r="P195" s="22"/>
      <c r="Q195" s="22"/>
      <c r="R195" s="571"/>
      <c r="S195" s="571"/>
      <c r="T195" s="571"/>
      <c r="U195" s="22"/>
      <c r="V195" s="22"/>
      <c r="W195" s="22"/>
      <c r="X195" s="22"/>
      <c r="Y195" s="22"/>
      <c r="Z195" s="22"/>
      <c r="AA195" s="476"/>
      <c r="AB195" s="485"/>
      <c r="AC195" s="449"/>
      <c r="AD195" s="485"/>
      <c r="AE195" s="449"/>
      <c r="AF195" s="449"/>
      <c r="AG195" s="22"/>
      <c r="AH195" s="22"/>
      <c r="AI195" s="449"/>
      <c r="AJ195" s="449"/>
      <c r="AK195" s="449"/>
      <c r="AL195" s="449"/>
      <c r="AM195" s="449"/>
      <c r="AN195" s="765"/>
      <c r="AO195" s="765"/>
      <c r="AP195" s="765"/>
      <c r="AQ195" s="765"/>
      <c r="AR195" s="449"/>
      <c r="AS195" s="489"/>
      <c r="AT195" s="449"/>
      <c r="AU195" s="485"/>
      <c r="AV195" s="22"/>
      <c r="AW195" s="22"/>
      <c r="AX195" s="22"/>
      <c r="AY195" s="22"/>
      <c r="AZ195" s="760"/>
      <c r="BA195" s="760"/>
      <c r="BB195" s="22"/>
      <c r="BC195" s="22"/>
      <c r="BD195" s="22"/>
      <c r="BE195" s="22"/>
      <c r="BF195" s="22"/>
      <c r="BG195" s="22"/>
      <c r="BH195" s="22"/>
      <c r="BI195" s="22"/>
      <c r="BJ195" s="22"/>
      <c r="BK195" s="22"/>
      <c r="BL195" s="22"/>
      <c r="CE195" s="22"/>
      <c r="CF195" s="565"/>
    </row>
    <row r="196" spans="8:84" ht="19.5" customHeight="1">
      <c r="H196" s="18"/>
      <c r="I196" s="19"/>
      <c r="J196" s="19"/>
      <c r="K196" s="20"/>
      <c r="L196" s="22"/>
      <c r="M196" s="22"/>
      <c r="N196" s="22"/>
      <c r="O196" s="22"/>
      <c r="P196" s="22"/>
      <c r="Q196" s="22"/>
      <c r="R196" s="571"/>
      <c r="S196" s="571"/>
      <c r="T196" s="571"/>
      <c r="U196" s="22"/>
      <c r="V196" s="22"/>
      <c r="W196" s="22"/>
      <c r="X196" s="22"/>
      <c r="Y196" s="22"/>
      <c r="Z196" s="22"/>
      <c r="AA196" s="476"/>
      <c r="AB196" s="485"/>
      <c r="AC196" s="449"/>
      <c r="AD196" s="485"/>
      <c r="AE196" s="449"/>
      <c r="AF196" s="449"/>
      <c r="AG196" s="22"/>
      <c r="AH196" s="22"/>
      <c r="AI196" s="449"/>
      <c r="AJ196" s="449"/>
      <c r="AK196" s="449"/>
      <c r="AL196" s="449"/>
      <c r="AM196" s="449"/>
      <c r="AN196" s="765"/>
      <c r="AO196" s="765"/>
      <c r="AP196" s="765"/>
      <c r="AQ196" s="765"/>
      <c r="AR196" s="449"/>
      <c r="AS196" s="489"/>
      <c r="AT196" s="449"/>
      <c r="AU196" s="485"/>
      <c r="AV196" s="22"/>
      <c r="AW196" s="22"/>
      <c r="AX196" s="22"/>
      <c r="AY196" s="22"/>
      <c r="AZ196" s="760"/>
      <c r="BA196" s="760"/>
      <c r="BB196" s="22"/>
      <c r="BC196" s="22"/>
      <c r="BD196" s="22"/>
      <c r="BE196" s="22"/>
      <c r="BF196" s="22"/>
      <c r="BG196" s="22"/>
      <c r="BH196" s="22"/>
      <c r="BI196" s="22"/>
      <c r="BJ196" s="22"/>
      <c r="BK196" s="22"/>
      <c r="BL196" s="22"/>
      <c r="CE196" s="22"/>
      <c r="CF196" s="565"/>
    </row>
    <row r="197" spans="8:84" ht="19.5" customHeight="1">
      <c r="H197" s="18"/>
      <c r="I197" s="19"/>
      <c r="J197" s="19"/>
      <c r="K197" s="20"/>
      <c r="L197" s="22"/>
      <c r="M197" s="22"/>
      <c r="N197" s="22"/>
      <c r="O197" s="22"/>
      <c r="P197" s="22"/>
      <c r="Q197" s="22"/>
      <c r="R197" s="571"/>
      <c r="S197" s="571"/>
      <c r="T197" s="571"/>
      <c r="U197" s="22"/>
      <c r="V197" s="22"/>
      <c r="W197" s="22"/>
      <c r="X197" s="22"/>
      <c r="Y197" s="22"/>
      <c r="Z197" s="22"/>
      <c r="AA197" s="476"/>
      <c r="AB197" s="485"/>
      <c r="AC197" s="449"/>
      <c r="AD197" s="485"/>
      <c r="AE197" s="449"/>
      <c r="AF197" s="449"/>
      <c r="AG197" s="22"/>
      <c r="AH197" s="22"/>
      <c r="AI197" s="449"/>
      <c r="AJ197" s="449"/>
      <c r="AK197" s="449"/>
      <c r="AL197" s="449"/>
      <c r="AM197" s="449"/>
      <c r="AN197" s="765"/>
      <c r="AO197" s="765"/>
      <c r="AP197" s="765"/>
      <c r="AQ197" s="765"/>
      <c r="AR197" s="449"/>
      <c r="AS197" s="489"/>
      <c r="AT197" s="449"/>
      <c r="AU197" s="485"/>
      <c r="AV197" s="22"/>
      <c r="AW197" s="22"/>
      <c r="AX197" s="22"/>
      <c r="AY197" s="22"/>
      <c r="AZ197" s="760"/>
      <c r="BA197" s="760"/>
      <c r="BB197" s="22"/>
      <c r="BC197" s="22"/>
      <c r="BD197" s="22"/>
      <c r="BE197" s="22"/>
      <c r="BF197" s="22"/>
      <c r="BG197" s="22"/>
      <c r="BH197" s="22"/>
      <c r="BI197" s="22"/>
      <c r="BJ197" s="22"/>
      <c r="BK197" s="22"/>
      <c r="BL197" s="22"/>
      <c r="CE197" s="22"/>
      <c r="CF197" s="565"/>
    </row>
    <row r="198" spans="8:84" ht="19.5" customHeight="1">
      <c r="H198" s="18"/>
      <c r="I198" s="19"/>
      <c r="J198" s="19"/>
      <c r="K198" s="20"/>
      <c r="L198" s="22"/>
      <c r="M198" s="22"/>
      <c r="N198" s="22"/>
      <c r="O198" s="22"/>
      <c r="P198" s="22"/>
      <c r="Q198" s="22"/>
      <c r="R198" s="571"/>
      <c r="S198" s="571"/>
      <c r="T198" s="571"/>
      <c r="U198" s="22"/>
      <c r="V198" s="22"/>
      <c r="W198" s="22"/>
      <c r="X198" s="22"/>
      <c r="Y198" s="22"/>
      <c r="Z198" s="22"/>
      <c r="AA198" s="476"/>
      <c r="AB198" s="485"/>
      <c r="AC198" s="449"/>
      <c r="AD198" s="485"/>
      <c r="AE198" s="449"/>
      <c r="AF198" s="449"/>
      <c r="AG198" s="22"/>
      <c r="AH198" s="22"/>
      <c r="AI198" s="449"/>
      <c r="AJ198" s="449"/>
      <c r="AK198" s="449"/>
      <c r="AL198" s="449"/>
      <c r="AM198" s="449"/>
      <c r="AN198" s="765"/>
      <c r="AO198" s="765"/>
      <c r="AP198" s="765"/>
      <c r="AQ198" s="765"/>
      <c r="AR198" s="449"/>
      <c r="AS198" s="489"/>
      <c r="AT198" s="449"/>
      <c r="AU198" s="485"/>
      <c r="AV198" s="22"/>
      <c r="AW198" s="22"/>
      <c r="AX198" s="22"/>
      <c r="AY198" s="22"/>
      <c r="AZ198" s="760"/>
      <c r="BA198" s="760"/>
      <c r="BB198" s="22"/>
      <c r="BC198" s="22"/>
      <c r="BD198" s="22"/>
      <c r="BE198" s="22"/>
      <c r="BF198" s="22"/>
      <c r="BG198" s="22"/>
      <c r="BH198" s="22"/>
      <c r="BI198" s="22"/>
      <c r="BJ198" s="22"/>
      <c r="BK198" s="22"/>
      <c r="BL198" s="22"/>
      <c r="CE198" s="22"/>
      <c r="CF198" s="565"/>
    </row>
    <row r="199" spans="8:84" ht="19.5" customHeight="1">
      <c r="H199" s="18"/>
      <c r="I199" s="19"/>
      <c r="J199" s="19"/>
      <c r="K199" s="20"/>
      <c r="L199" s="22"/>
      <c r="M199" s="22"/>
      <c r="N199" s="22"/>
      <c r="O199" s="22"/>
      <c r="P199" s="22"/>
      <c r="Q199" s="22"/>
      <c r="R199" s="571"/>
      <c r="S199" s="571"/>
      <c r="T199" s="571"/>
      <c r="U199" s="22"/>
      <c r="V199" s="22"/>
      <c r="W199" s="22"/>
      <c r="X199" s="22"/>
      <c r="Y199" s="22"/>
      <c r="Z199" s="22"/>
      <c r="AA199" s="476"/>
      <c r="AB199" s="485"/>
      <c r="AC199" s="449"/>
      <c r="AD199" s="485"/>
      <c r="AE199" s="449"/>
      <c r="AF199" s="449"/>
      <c r="AG199" s="22"/>
      <c r="AH199" s="22"/>
      <c r="AI199" s="449"/>
      <c r="AJ199" s="449"/>
      <c r="AK199" s="449"/>
      <c r="AL199" s="449"/>
      <c r="AM199" s="449"/>
      <c r="AN199" s="765"/>
      <c r="AO199" s="765"/>
      <c r="AP199" s="765"/>
      <c r="AQ199" s="765"/>
      <c r="AR199" s="449"/>
      <c r="AS199" s="489"/>
      <c r="AT199" s="449"/>
      <c r="AU199" s="485"/>
      <c r="AV199" s="22"/>
      <c r="AW199" s="22"/>
      <c r="AX199" s="22"/>
      <c r="AY199" s="22"/>
      <c r="AZ199" s="760"/>
      <c r="BA199" s="760"/>
      <c r="BB199" s="22"/>
      <c r="BC199" s="22"/>
      <c r="BD199" s="22"/>
      <c r="BE199" s="22"/>
      <c r="BF199" s="22"/>
      <c r="BG199" s="22"/>
      <c r="BH199" s="22"/>
      <c r="BI199" s="22"/>
      <c r="BJ199" s="22"/>
      <c r="BK199" s="22"/>
      <c r="BL199" s="22"/>
      <c r="CE199" s="22"/>
      <c r="CF199" s="565"/>
    </row>
    <row r="200" spans="8:84" ht="19.5" customHeight="1">
      <c r="H200" s="18"/>
      <c r="I200" s="19"/>
      <c r="J200" s="19"/>
      <c r="K200" s="20"/>
      <c r="L200" s="22"/>
      <c r="M200" s="22"/>
      <c r="N200" s="22"/>
      <c r="O200" s="22"/>
      <c r="P200" s="22"/>
      <c r="Q200" s="22"/>
      <c r="R200" s="571"/>
      <c r="S200" s="571"/>
      <c r="T200" s="571"/>
      <c r="U200" s="22"/>
      <c r="V200" s="22"/>
      <c r="W200" s="22"/>
      <c r="X200" s="22"/>
      <c r="Y200" s="22"/>
      <c r="Z200" s="22"/>
      <c r="AA200" s="476"/>
      <c r="AB200" s="485"/>
      <c r="AC200" s="449"/>
      <c r="AD200" s="485"/>
      <c r="AE200" s="449"/>
      <c r="AF200" s="449"/>
      <c r="AG200" s="22"/>
      <c r="AH200" s="22"/>
      <c r="AI200" s="449"/>
      <c r="AJ200" s="449"/>
      <c r="AK200" s="449"/>
      <c r="AL200" s="449"/>
      <c r="AM200" s="449"/>
      <c r="AN200" s="765"/>
      <c r="AO200" s="765"/>
      <c r="AP200" s="765"/>
      <c r="AQ200" s="765"/>
      <c r="AR200" s="449"/>
      <c r="AS200" s="489"/>
      <c r="AT200" s="449"/>
      <c r="AU200" s="485"/>
      <c r="AV200" s="22"/>
      <c r="AW200" s="22"/>
      <c r="AX200" s="22"/>
      <c r="AY200" s="22"/>
      <c r="AZ200" s="760"/>
      <c r="BA200" s="760"/>
      <c r="BB200" s="22"/>
      <c r="BC200" s="22"/>
      <c r="BD200" s="22"/>
      <c r="BE200" s="22"/>
      <c r="BF200" s="22"/>
      <c r="BG200" s="22"/>
      <c r="BH200" s="22"/>
      <c r="BI200" s="22"/>
      <c r="BJ200" s="22"/>
      <c r="BK200" s="22"/>
      <c r="BL200" s="22"/>
      <c r="CE200" s="22"/>
      <c r="CF200" s="565"/>
    </row>
    <row r="201" spans="8:84" ht="19.5" customHeight="1">
      <c r="H201" s="18"/>
      <c r="I201" s="19"/>
      <c r="J201" s="19"/>
      <c r="K201" s="20"/>
      <c r="L201" s="22"/>
      <c r="M201" s="22"/>
      <c r="N201" s="22"/>
      <c r="O201" s="22"/>
      <c r="P201" s="22"/>
      <c r="Q201" s="22"/>
      <c r="R201" s="571"/>
      <c r="S201" s="571"/>
      <c r="T201" s="571"/>
      <c r="U201" s="22"/>
      <c r="V201" s="22"/>
      <c r="W201" s="22"/>
      <c r="X201" s="22"/>
      <c r="Y201" s="22"/>
      <c r="Z201" s="22"/>
      <c r="AA201" s="476"/>
      <c r="AB201" s="485"/>
      <c r="AC201" s="449"/>
      <c r="AD201" s="485"/>
      <c r="AE201" s="449"/>
      <c r="AF201" s="449"/>
      <c r="AG201" s="22"/>
      <c r="AH201" s="22"/>
      <c r="AI201" s="449"/>
      <c r="AJ201" s="449"/>
      <c r="AK201" s="449"/>
      <c r="AL201" s="449"/>
      <c r="AM201" s="449"/>
      <c r="AN201" s="765"/>
      <c r="AO201" s="765"/>
      <c r="AP201" s="765"/>
      <c r="AQ201" s="765"/>
      <c r="AR201" s="449"/>
      <c r="AS201" s="489"/>
      <c r="AT201" s="449"/>
      <c r="AU201" s="485"/>
      <c r="AV201" s="22"/>
      <c r="AW201" s="22"/>
      <c r="AX201" s="22"/>
      <c r="AY201" s="22"/>
      <c r="AZ201" s="760"/>
      <c r="BA201" s="760"/>
      <c r="BB201" s="22"/>
      <c r="BC201" s="22"/>
      <c r="BD201" s="22"/>
      <c r="BE201" s="22"/>
      <c r="BF201" s="22"/>
      <c r="BG201" s="22"/>
      <c r="BH201" s="22"/>
      <c r="BI201" s="22"/>
      <c r="BJ201" s="22"/>
      <c r="BK201" s="22"/>
      <c r="BL201" s="22"/>
      <c r="CE201" s="22"/>
      <c r="CF201" s="565"/>
    </row>
    <row r="202" spans="8:84" ht="19.5" customHeight="1">
      <c r="H202" s="18"/>
      <c r="I202" s="19"/>
      <c r="J202" s="19"/>
      <c r="K202" s="20"/>
      <c r="L202" s="22"/>
      <c r="M202" s="22"/>
      <c r="N202" s="22"/>
      <c r="O202" s="22"/>
      <c r="P202" s="22"/>
      <c r="Q202" s="22"/>
      <c r="R202" s="571"/>
      <c r="S202" s="571"/>
      <c r="T202" s="571"/>
      <c r="U202" s="22"/>
      <c r="V202" s="22"/>
      <c r="W202" s="22"/>
      <c r="X202" s="22"/>
      <c r="Y202" s="22"/>
      <c r="Z202" s="22"/>
      <c r="AA202" s="476"/>
      <c r="AB202" s="485"/>
      <c r="AC202" s="449"/>
      <c r="AD202" s="485"/>
      <c r="AE202" s="449"/>
      <c r="AF202" s="449"/>
      <c r="AG202" s="22"/>
      <c r="AH202" s="22"/>
      <c r="AI202" s="449"/>
      <c r="AJ202" s="449"/>
      <c r="AK202" s="449"/>
      <c r="AL202" s="449"/>
      <c r="AM202" s="449"/>
      <c r="AN202" s="765"/>
      <c r="AO202" s="765"/>
      <c r="AP202" s="765"/>
      <c r="AQ202" s="765"/>
      <c r="AR202" s="449"/>
      <c r="AS202" s="489"/>
      <c r="AT202" s="449"/>
      <c r="AU202" s="485"/>
      <c r="AV202" s="22"/>
      <c r="AW202" s="22"/>
      <c r="AX202" s="22"/>
      <c r="AY202" s="22"/>
      <c r="AZ202" s="760"/>
      <c r="BA202" s="760"/>
      <c r="BB202" s="22"/>
      <c r="BC202" s="22"/>
      <c r="BD202" s="22"/>
      <c r="BE202" s="22"/>
      <c r="BF202" s="22"/>
      <c r="BG202" s="22"/>
      <c r="BH202" s="22"/>
      <c r="BI202" s="22"/>
      <c r="BJ202" s="22"/>
      <c r="BK202" s="22"/>
      <c r="BL202" s="22"/>
      <c r="CE202" s="22"/>
      <c r="CF202" s="565"/>
    </row>
    <row r="203" spans="8:84" ht="19.5" customHeight="1">
      <c r="H203" s="18"/>
      <c r="I203" s="19"/>
      <c r="J203" s="19"/>
      <c r="K203" s="20"/>
      <c r="L203" s="22"/>
      <c r="M203" s="22"/>
      <c r="N203" s="22"/>
      <c r="O203" s="22"/>
      <c r="P203" s="22"/>
      <c r="Q203" s="22"/>
      <c r="R203" s="571"/>
      <c r="S203" s="571"/>
      <c r="T203" s="571"/>
      <c r="U203" s="22"/>
      <c r="V203" s="22"/>
      <c r="W203" s="22"/>
      <c r="X203" s="22"/>
      <c r="Y203" s="22"/>
      <c r="Z203" s="22"/>
      <c r="AA203" s="476"/>
      <c r="AB203" s="485"/>
      <c r="AC203" s="449"/>
      <c r="AD203" s="485"/>
      <c r="AE203" s="449"/>
      <c r="AF203" s="449"/>
      <c r="AG203" s="22"/>
      <c r="AH203" s="22"/>
      <c r="AI203" s="449"/>
      <c r="AJ203" s="449"/>
      <c r="AK203" s="449"/>
      <c r="AL203" s="449"/>
      <c r="AM203" s="449"/>
      <c r="AN203" s="765"/>
      <c r="AO203" s="765"/>
      <c r="AP203" s="765"/>
      <c r="AQ203" s="765"/>
      <c r="AR203" s="449"/>
      <c r="AS203" s="489"/>
      <c r="AT203" s="449"/>
      <c r="AU203" s="485"/>
      <c r="AV203" s="22"/>
      <c r="AW203" s="22"/>
      <c r="AX203" s="22"/>
      <c r="AY203" s="22"/>
      <c r="AZ203" s="760"/>
      <c r="BA203" s="760"/>
      <c r="BB203" s="22"/>
      <c r="BC203" s="22"/>
      <c r="BD203" s="22"/>
      <c r="BE203" s="22"/>
      <c r="BF203" s="22"/>
      <c r="BG203" s="22"/>
      <c r="BH203" s="22"/>
      <c r="BI203" s="22"/>
      <c r="BJ203" s="22"/>
      <c r="BK203" s="22"/>
      <c r="BL203" s="22"/>
      <c r="CE203" s="22"/>
      <c r="CF203" s="565"/>
    </row>
    <row r="204" spans="8:84" ht="19.5" customHeight="1">
      <c r="H204" s="18"/>
      <c r="I204" s="19"/>
      <c r="J204" s="19"/>
      <c r="K204" s="20"/>
      <c r="L204" s="22"/>
      <c r="M204" s="22"/>
      <c r="N204" s="22"/>
      <c r="O204" s="22"/>
      <c r="P204" s="22"/>
      <c r="Q204" s="22"/>
      <c r="R204" s="571"/>
      <c r="S204" s="571"/>
      <c r="T204" s="571"/>
      <c r="U204" s="22"/>
      <c r="V204" s="22"/>
      <c r="W204" s="22"/>
      <c r="X204" s="22"/>
      <c r="Y204" s="22"/>
      <c r="Z204" s="22"/>
      <c r="AA204" s="476"/>
      <c r="AB204" s="485"/>
      <c r="AC204" s="449"/>
      <c r="AD204" s="485"/>
      <c r="AE204" s="449"/>
      <c r="AF204" s="449"/>
      <c r="AG204" s="22"/>
      <c r="AH204" s="22"/>
      <c r="AI204" s="449"/>
      <c r="AJ204" s="449"/>
      <c r="AK204" s="449"/>
      <c r="AL204" s="449"/>
      <c r="AM204" s="449"/>
      <c r="AN204" s="765"/>
      <c r="AO204" s="765"/>
      <c r="AP204" s="765"/>
      <c r="AQ204" s="765"/>
      <c r="AR204" s="449"/>
      <c r="AS204" s="489"/>
      <c r="AT204" s="449"/>
      <c r="AU204" s="485"/>
      <c r="AV204" s="22"/>
      <c r="AW204" s="22"/>
      <c r="AX204" s="22"/>
      <c r="AY204" s="22"/>
      <c r="AZ204" s="760"/>
      <c r="BA204" s="760"/>
      <c r="BB204" s="22"/>
      <c r="BC204" s="22"/>
      <c r="BD204" s="22"/>
      <c r="BE204" s="22"/>
      <c r="BF204" s="22"/>
      <c r="BG204" s="22"/>
      <c r="BH204" s="22"/>
      <c r="BI204" s="22"/>
      <c r="BJ204" s="22"/>
      <c r="BK204" s="22"/>
      <c r="BL204" s="22"/>
      <c r="CE204" s="22"/>
      <c r="CF204" s="565"/>
    </row>
    <row r="205" spans="8:84" ht="19.5" customHeight="1">
      <c r="H205" s="18"/>
      <c r="I205" s="19"/>
      <c r="J205" s="19"/>
      <c r="K205" s="20"/>
      <c r="L205" s="22"/>
      <c r="M205" s="22"/>
      <c r="N205" s="22"/>
      <c r="O205" s="22"/>
      <c r="P205" s="22"/>
      <c r="Q205" s="22"/>
      <c r="R205" s="571"/>
      <c r="S205" s="571"/>
      <c r="T205" s="571"/>
      <c r="U205" s="22"/>
      <c r="V205" s="22"/>
      <c r="W205" s="22"/>
      <c r="X205" s="22"/>
      <c r="Y205" s="22"/>
      <c r="Z205" s="22"/>
      <c r="AA205" s="476"/>
      <c r="AB205" s="485"/>
      <c r="AC205" s="449"/>
      <c r="AD205" s="485"/>
      <c r="AE205" s="449"/>
      <c r="AF205" s="449"/>
      <c r="AG205" s="22"/>
      <c r="AH205" s="22"/>
      <c r="AI205" s="449"/>
      <c r="AJ205" s="449"/>
      <c r="AK205" s="449"/>
      <c r="AL205" s="449"/>
      <c r="AM205" s="449"/>
      <c r="AN205" s="765"/>
      <c r="AO205" s="765"/>
      <c r="AP205" s="765"/>
      <c r="AQ205" s="765"/>
      <c r="AR205" s="449"/>
      <c r="AS205" s="489"/>
      <c r="AT205" s="449"/>
      <c r="AU205" s="485"/>
      <c r="AV205" s="22"/>
      <c r="AW205" s="22"/>
      <c r="AX205" s="22"/>
      <c r="AY205" s="22"/>
      <c r="AZ205" s="760"/>
      <c r="BA205" s="760"/>
      <c r="BB205" s="22"/>
      <c r="BC205" s="22"/>
      <c r="BD205" s="22"/>
      <c r="BE205" s="22"/>
      <c r="BF205" s="22"/>
      <c r="BG205" s="22"/>
      <c r="BH205" s="22"/>
      <c r="BI205" s="22"/>
      <c r="BJ205" s="22"/>
      <c r="BK205" s="22"/>
      <c r="BL205" s="22"/>
      <c r="CE205" s="22"/>
      <c r="CF205" s="565"/>
    </row>
    <row r="206" spans="8:84" ht="19.5" customHeight="1">
      <c r="H206" s="18"/>
      <c r="I206" s="19"/>
      <c r="J206" s="19"/>
      <c r="K206" s="20"/>
      <c r="L206" s="22"/>
      <c r="M206" s="22"/>
      <c r="N206" s="22"/>
      <c r="O206" s="22"/>
      <c r="P206" s="22"/>
      <c r="Q206" s="22"/>
      <c r="R206" s="571"/>
      <c r="S206" s="571"/>
      <c r="T206" s="571"/>
      <c r="U206" s="22"/>
      <c r="V206" s="22"/>
      <c r="W206" s="22"/>
      <c r="X206" s="22"/>
      <c r="Y206" s="22"/>
      <c r="Z206" s="22"/>
      <c r="AA206" s="476"/>
      <c r="AB206" s="485"/>
      <c r="AC206" s="449"/>
      <c r="AD206" s="485"/>
      <c r="AE206" s="449"/>
      <c r="AF206" s="449"/>
      <c r="AG206" s="22"/>
      <c r="AH206" s="22"/>
      <c r="AI206" s="449"/>
      <c r="AJ206" s="449"/>
      <c r="AK206" s="449"/>
      <c r="AL206" s="449"/>
      <c r="AM206" s="449"/>
      <c r="AN206" s="765"/>
      <c r="AO206" s="765"/>
      <c r="AP206" s="765"/>
      <c r="AQ206" s="765"/>
      <c r="AR206" s="449"/>
      <c r="AS206" s="489"/>
      <c r="AT206" s="449"/>
      <c r="AU206" s="485"/>
      <c r="AV206" s="22"/>
      <c r="AW206" s="22"/>
      <c r="AX206" s="22"/>
      <c r="AY206" s="22"/>
      <c r="AZ206" s="760"/>
      <c r="BA206" s="760"/>
      <c r="BB206" s="22"/>
      <c r="BC206" s="22"/>
      <c r="BD206" s="22"/>
      <c r="BE206" s="22"/>
      <c r="BF206" s="22"/>
      <c r="BG206" s="22"/>
      <c r="BH206" s="22"/>
      <c r="BI206" s="22"/>
      <c r="BJ206" s="22"/>
      <c r="BK206" s="22"/>
      <c r="BL206" s="22"/>
      <c r="CE206" s="22"/>
      <c r="CF206" s="565"/>
    </row>
    <row r="207" spans="8:84" ht="19.5" customHeight="1">
      <c r="H207" s="18"/>
      <c r="I207" s="19"/>
      <c r="J207" s="19"/>
      <c r="K207" s="20"/>
      <c r="L207" s="22"/>
      <c r="M207" s="22"/>
      <c r="N207" s="22"/>
      <c r="O207" s="22"/>
      <c r="P207" s="22"/>
      <c r="Q207" s="22"/>
      <c r="R207" s="571"/>
      <c r="S207" s="571"/>
      <c r="T207" s="571"/>
      <c r="U207" s="22"/>
      <c r="V207" s="22"/>
      <c r="W207" s="22"/>
      <c r="X207" s="22"/>
      <c r="Y207" s="22"/>
      <c r="Z207" s="22"/>
      <c r="AA207" s="476"/>
      <c r="AB207" s="485"/>
      <c r="AC207" s="449"/>
      <c r="AD207" s="485"/>
      <c r="AE207" s="449"/>
      <c r="AF207" s="449"/>
      <c r="AG207" s="22"/>
      <c r="AH207" s="22"/>
      <c r="AI207" s="449"/>
      <c r="AJ207" s="449"/>
      <c r="AK207" s="449"/>
      <c r="AL207" s="449"/>
      <c r="AM207" s="449"/>
      <c r="AN207" s="765"/>
      <c r="AO207" s="765"/>
      <c r="AP207" s="765"/>
      <c r="AQ207" s="765"/>
      <c r="AR207" s="449"/>
      <c r="AS207" s="489"/>
      <c r="AT207" s="449"/>
      <c r="AU207" s="485"/>
      <c r="AV207" s="22"/>
      <c r="AW207" s="22"/>
      <c r="AX207" s="22"/>
      <c r="AY207" s="22"/>
      <c r="AZ207" s="760"/>
      <c r="BA207" s="760"/>
      <c r="BB207" s="22"/>
      <c r="BC207" s="22"/>
      <c r="BD207" s="22"/>
      <c r="BE207" s="22"/>
      <c r="BF207" s="22"/>
      <c r="BG207" s="22"/>
      <c r="BH207" s="22"/>
      <c r="BI207" s="22"/>
      <c r="BJ207" s="22"/>
      <c r="BK207" s="22"/>
      <c r="BL207" s="22"/>
      <c r="CE207" s="22"/>
      <c r="CF207" s="565"/>
    </row>
    <row r="208" spans="8:84" ht="19.5" customHeight="1">
      <c r="H208" s="18"/>
      <c r="I208" s="19"/>
      <c r="J208" s="19"/>
      <c r="K208" s="20"/>
      <c r="L208" s="22"/>
      <c r="M208" s="22"/>
      <c r="N208" s="22"/>
      <c r="O208" s="22"/>
      <c r="P208" s="22"/>
      <c r="Q208" s="22"/>
      <c r="R208" s="571"/>
      <c r="S208" s="571"/>
      <c r="T208" s="571"/>
      <c r="U208" s="22"/>
      <c r="V208" s="22"/>
      <c r="W208" s="22"/>
      <c r="X208" s="22"/>
      <c r="Y208" s="22"/>
      <c r="Z208" s="22"/>
      <c r="AA208" s="476"/>
      <c r="AB208" s="485"/>
      <c r="AC208" s="449"/>
      <c r="AD208" s="485"/>
      <c r="AE208" s="449"/>
      <c r="AF208" s="449"/>
      <c r="AG208" s="22"/>
      <c r="AH208" s="22"/>
      <c r="AI208" s="449"/>
      <c r="AJ208" s="449"/>
      <c r="AK208" s="449"/>
      <c r="AL208" s="449"/>
      <c r="AM208" s="449"/>
      <c r="AN208" s="765"/>
      <c r="AO208" s="765"/>
      <c r="AP208" s="765"/>
      <c r="AQ208" s="765"/>
      <c r="AR208" s="449"/>
      <c r="AS208" s="489"/>
      <c r="AT208" s="449"/>
      <c r="AU208" s="485"/>
      <c r="AV208" s="22"/>
      <c r="AW208" s="22"/>
      <c r="AX208" s="22"/>
      <c r="AY208" s="22"/>
      <c r="AZ208" s="760"/>
      <c r="BA208" s="760"/>
      <c r="BB208" s="22"/>
      <c r="BC208" s="22"/>
      <c r="BD208" s="22"/>
      <c r="BE208" s="22"/>
      <c r="BF208" s="22"/>
      <c r="BG208" s="22"/>
      <c r="BH208" s="22"/>
      <c r="BI208" s="22"/>
      <c r="BJ208" s="22"/>
      <c r="BK208" s="22"/>
      <c r="BL208" s="22"/>
      <c r="CE208" s="22"/>
      <c r="CF208" s="565"/>
    </row>
    <row r="209" spans="8:84" ht="19.5" customHeight="1">
      <c r="H209" s="18"/>
      <c r="I209" s="19"/>
      <c r="J209" s="19"/>
      <c r="K209" s="20"/>
      <c r="L209" s="22"/>
      <c r="M209" s="22"/>
      <c r="N209" s="22"/>
      <c r="O209" s="22"/>
      <c r="P209" s="22"/>
      <c r="Q209" s="22"/>
      <c r="R209" s="571"/>
      <c r="S209" s="571"/>
      <c r="T209" s="571"/>
      <c r="U209" s="22"/>
      <c r="V209" s="22"/>
      <c r="W209" s="22"/>
      <c r="X209" s="22"/>
      <c r="Y209" s="22"/>
      <c r="Z209" s="22"/>
      <c r="AA209" s="476"/>
      <c r="AB209" s="485"/>
      <c r="AC209" s="449"/>
      <c r="AD209" s="485"/>
      <c r="AE209" s="449"/>
      <c r="AF209" s="449"/>
      <c r="AG209" s="22"/>
      <c r="AH209" s="22"/>
      <c r="AI209" s="449"/>
      <c r="AJ209" s="449"/>
      <c r="AK209" s="449"/>
      <c r="AL209" s="449"/>
      <c r="AM209" s="449"/>
      <c r="AN209" s="765"/>
      <c r="AO209" s="765"/>
      <c r="AP209" s="765"/>
      <c r="AQ209" s="765"/>
      <c r="AR209" s="449"/>
      <c r="AS209" s="489"/>
      <c r="AT209" s="449"/>
      <c r="AU209" s="485"/>
      <c r="AV209" s="22"/>
      <c r="AW209" s="22"/>
      <c r="AX209" s="22"/>
      <c r="AY209" s="22"/>
      <c r="AZ209" s="760"/>
      <c r="BA209" s="760"/>
      <c r="BB209" s="22"/>
      <c r="BC209" s="22"/>
      <c r="BD209" s="22"/>
      <c r="BE209" s="22"/>
      <c r="BF209" s="22"/>
      <c r="BG209" s="22"/>
      <c r="BH209" s="22"/>
      <c r="BI209" s="22"/>
      <c r="BJ209" s="22"/>
      <c r="BK209" s="22"/>
      <c r="BL209" s="22"/>
      <c r="CE209" s="22"/>
      <c r="CF209" s="565"/>
    </row>
    <row r="210" spans="8:84" ht="19.5" customHeight="1">
      <c r="H210" s="18"/>
      <c r="I210" s="19"/>
      <c r="J210" s="19"/>
      <c r="K210" s="20"/>
      <c r="L210" s="22"/>
      <c r="M210" s="22"/>
      <c r="N210" s="22"/>
      <c r="O210" s="22"/>
      <c r="P210" s="22"/>
      <c r="Q210" s="22"/>
      <c r="R210" s="571"/>
      <c r="S210" s="571"/>
      <c r="T210" s="571"/>
      <c r="U210" s="22"/>
      <c r="V210" s="22"/>
      <c r="W210" s="22"/>
      <c r="X210" s="22"/>
      <c r="Y210" s="22"/>
      <c r="Z210" s="22"/>
      <c r="AA210" s="476"/>
      <c r="AB210" s="485"/>
      <c r="AC210" s="449"/>
      <c r="AD210" s="485"/>
      <c r="AE210" s="449"/>
      <c r="AF210" s="449"/>
      <c r="AG210" s="22"/>
      <c r="AH210" s="22"/>
      <c r="AI210" s="449"/>
      <c r="AJ210" s="449"/>
      <c r="AK210" s="449"/>
      <c r="AL210" s="449"/>
      <c r="AM210" s="449"/>
      <c r="AN210" s="765"/>
      <c r="AO210" s="765"/>
      <c r="AP210" s="765"/>
      <c r="AQ210" s="765"/>
      <c r="AR210" s="449"/>
      <c r="AS210" s="489"/>
      <c r="AT210" s="449"/>
      <c r="AU210" s="485"/>
      <c r="AV210" s="22"/>
      <c r="AW210" s="22"/>
      <c r="AX210" s="22"/>
      <c r="AY210" s="22"/>
      <c r="AZ210" s="760"/>
      <c r="BA210" s="760"/>
      <c r="BB210" s="22"/>
      <c r="BC210" s="22"/>
      <c r="BD210" s="22"/>
      <c r="BE210" s="22"/>
      <c r="BF210" s="22"/>
      <c r="BG210" s="22"/>
      <c r="BH210" s="22"/>
      <c r="BI210" s="22"/>
      <c r="BJ210" s="22"/>
      <c r="BK210" s="22"/>
      <c r="BL210" s="22"/>
      <c r="CE210" s="22"/>
      <c r="CF210" s="565"/>
    </row>
    <row r="211" spans="8:84" ht="19.5" customHeight="1">
      <c r="H211" s="18"/>
      <c r="I211" s="19"/>
      <c r="J211" s="19"/>
      <c r="K211" s="20"/>
      <c r="L211" s="22"/>
      <c r="M211" s="22"/>
      <c r="N211" s="22"/>
      <c r="O211" s="22"/>
      <c r="P211" s="22"/>
      <c r="Q211" s="22"/>
      <c r="R211" s="571"/>
      <c r="S211" s="571"/>
      <c r="T211" s="571"/>
      <c r="U211" s="22"/>
      <c r="V211" s="22"/>
      <c r="W211" s="22"/>
      <c r="X211" s="22"/>
      <c r="Y211" s="22"/>
      <c r="Z211" s="22"/>
      <c r="AA211" s="476"/>
      <c r="AB211" s="485"/>
      <c r="AC211" s="449"/>
      <c r="AD211" s="485"/>
      <c r="AE211" s="449"/>
      <c r="AF211" s="449"/>
      <c r="AG211" s="22"/>
      <c r="AH211" s="22"/>
      <c r="AI211" s="449"/>
      <c r="AJ211" s="449"/>
      <c r="AK211" s="449"/>
      <c r="AL211" s="449"/>
      <c r="AM211" s="449"/>
      <c r="AN211" s="765"/>
      <c r="AO211" s="765"/>
      <c r="AP211" s="765"/>
      <c r="AQ211" s="765"/>
      <c r="AR211" s="449"/>
      <c r="AS211" s="489"/>
      <c r="AT211" s="449"/>
      <c r="AU211" s="485"/>
      <c r="AV211" s="22"/>
      <c r="AW211" s="22"/>
      <c r="AX211" s="22"/>
      <c r="AY211" s="22"/>
      <c r="AZ211" s="760"/>
      <c r="BA211" s="760"/>
      <c r="BB211" s="22"/>
      <c r="BC211" s="22"/>
      <c r="BD211" s="22"/>
      <c r="BE211" s="22"/>
      <c r="BF211" s="22"/>
      <c r="BG211" s="22"/>
      <c r="BH211" s="22"/>
      <c r="BI211" s="22"/>
      <c r="BJ211" s="22"/>
      <c r="BK211" s="22"/>
      <c r="BL211" s="22"/>
      <c r="CE211" s="22"/>
      <c r="CF211" s="565"/>
    </row>
    <row r="212" spans="8:84" ht="19.5" customHeight="1">
      <c r="H212" s="18"/>
      <c r="I212" s="19"/>
      <c r="J212" s="19"/>
      <c r="K212" s="20"/>
      <c r="L212" s="22"/>
      <c r="M212" s="22"/>
      <c r="N212" s="22"/>
      <c r="O212" s="22"/>
      <c r="P212" s="22"/>
      <c r="Q212" s="22"/>
      <c r="R212" s="571"/>
      <c r="S212" s="571"/>
      <c r="T212" s="571"/>
      <c r="U212" s="22"/>
      <c r="V212" s="22"/>
      <c r="W212" s="22"/>
      <c r="X212" s="22"/>
      <c r="Y212" s="22"/>
      <c r="Z212" s="22"/>
      <c r="AA212" s="476"/>
      <c r="AB212" s="485"/>
      <c r="AC212" s="449"/>
      <c r="AD212" s="485"/>
      <c r="AE212" s="449"/>
      <c r="AF212" s="449"/>
      <c r="AG212" s="22"/>
      <c r="AH212" s="22"/>
      <c r="AI212" s="449"/>
      <c r="AJ212" s="449"/>
      <c r="AK212" s="449"/>
      <c r="AL212" s="449"/>
      <c r="AM212" s="449"/>
      <c r="AN212" s="765"/>
      <c r="AO212" s="765"/>
      <c r="AP212" s="765"/>
      <c r="AQ212" s="765"/>
      <c r="AR212" s="449"/>
      <c r="AS212" s="489"/>
      <c r="AT212" s="449"/>
      <c r="AU212" s="485"/>
      <c r="AV212" s="22"/>
      <c r="AW212" s="22"/>
      <c r="AX212" s="22"/>
      <c r="AY212" s="22"/>
      <c r="AZ212" s="760"/>
      <c r="BA212" s="760"/>
      <c r="BB212" s="22"/>
      <c r="BC212" s="22"/>
      <c r="BD212" s="22"/>
      <c r="BE212" s="22"/>
      <c r="BF212" s="22"/>
      <c r="BG212" s="22"/>
      <c r="BH212" s="22"/>
      <c r="BI212" s="22"/>
      <c r="BJ212" s="22"/>
      <c r="BK212" s="22"/>
      <c r="BL212" s="22"/>
      <c r="CE212" s="22"/>
      <c r="CF212" s="565"/>
    </row>
    <row r="213" spans="8:84" ht="19.5" customHeight="1">
      <c r="H213" s="18"/>
      <c r="I213" s="19"/>
      <c r="J213" s="19"/>
      <c r="K213" s="20"/>
      <c r="L213" s="22"/>
      <c r="M213" s="22"/>
      <c r="N213" s="22"/>
      <c r="O213" s="22"/>
      <c r="P213" s="22"/>
      <c r="Q213" s="22"/>
      <c r="R213" s="571"/>
      <c r="S213" s="571"/>
      <c r="T213" s="571"/>
      <c r="U213" s="22"/>
      <c r="V213" s="22"/>
      <c r="W213" s="22"/>
      <c r="X213" s="22"/>
      <c r="Y213" s="22"/>
      <c r="Z213" s="22"/>
      <c r="AA213" s="476"/>
      <c r="AB213" s="485"/>
      <c r="AC213" s="449"/>
      <c r="AD213" s="485"/>
      <c r="AE213" s="449"/>
      <c r="AF213" s="449"/>
      <c r="AG213" s="22"/>
      <c r="AH213" s="22"/>
      <c r="AI213" s="449"/>
      <c r="AJ213" s="449"/>
      <c r="AK213" s="449"/>
      <c r="AL213" s="449"/>
      <c r="AM213" s="449"/>
      <c r="AN213" s="765"/>
      <c r="AO213" s="765"/>
      <c r="AP213" s="765"/>
      <c r="AQ213" s="765"/>
      <c r="AR213" s="449"/>
      <c r="AS213" s="489"/>
      <c r="AT213" s="449"/>
      <c r="AU213" s="485"/>
      <c r="AV213" s="22"/>
      <c r="AW213" s="22"/>
      <c r="AX213" s="22"/>
      <c r="AY213" s="22"/>
      <c r="AZ213" s="760"/>
      <c r="BA213" s="760"/>
      <c r="BB213" s="22"/>
      <c r="BC213" s="22"/>
      <c r="BD213" s="22"/>
      <c r="BE213" s="22"/>
      <c r="BF213" s="22"/>
      <c r="BG213" s="22"/>
      <c r="BH213" s="22"/>
      <c r="BI213" s="22"/>
      <c r="BJ213" s="22"/>
      <c r="BK213" s="22"/>
      <c r="BL213" s="22"/>
      <c r="CE213" s="22"/>
      <c r="CF213" s="565"/>
    </row>
    <row r="214" spans="8:84" ht="19.5" customHeight="1">
      <c r="H214" s="18"/>
      <c r="I214" s="19"/>
      <c r="J214" s="19"/>
      <c r="K214" s="20"/>
      <c r="L214" s="22"/>
      <c r="M214" s="22"/>
      <c r="N214" s="22"/>
      <c r="O214" s="22"/>
      <c r="P214" s="22"/>
      <c r="Q214" s="22"/>
      <c r="R214" s="571"/>
      <c r="S214" s="571"/>
      <c r="T214" s="571"/>
      <c r="U214" s="22"/>
      <c r="V214" s="22"/>
      <c r="W214" s="22"/>
      <c r="X214" s="22"/>
      <c r="Y214" s="22"/>
      <c r="Z214" s="22"/>
      <c r="AA214" s="476"/>
      <c r="AB214" s="485"/>
      <c r="AC214" s="449"/>
      <c r="AD214" s="485"/>
      <c r="AE214" s="449"/>
      <c r="AF214" s="449"/>
      <c r="AG214" s="22"/>
      <c r="AH214" s="22"/>
      <c r="AI214" s="449"/>
      <c r="AJ214" s="449"/>
      <c r="AK214" s="449"/>
      <c r="AL214" s="449"/>
      <c r="AM214" s="449"/>
      <c r="AN214" s="765"/>
      <c r="AO214" s="765"/>
      <c r="AP214" s="765"/>
      <c r="AQ214" s="765"/>
      <c r="AR214" s="449"/>
      <c r="AS214" s="489"/>
      <c r="AT214" s="449"/>
      <c r="AU214" s="485"/>
      <c r="AV214" s="22"/>
      <c r="AW214" s="22"/>
      <c r="AX214" s="22"/>
      <c r="AY214" s="22"/>
      <c r="AZ214" s="760"/>
      <c r="BA214" s="760"/>
      <c r="BB214" s="22"/>
      <c r="BC214" s="22"/>
      <c r="BD214" s="22"/>
      <c r="BE214" s="22"/>
      <c r="BF214" s="22"/>
      <c r="BG214" s="22"/>
      <c r="BH214" s="22"/>
      <c r="BI214" s="22"/>
      <c r="BJ214" s="22"/>
      <c r="BK214" s="22"/>
      <c r="BL214" s="22"/>
      <c r="CE214" s="22"/>
      <c r="CF214" s="565"/>
    </row>
    <row r="215" spans="8:84" ht="19.5" customHeight="1">
      <c r="H215" s="18"/>
      <c r="I215" s="19"/>
      <c r="J215" s="19"/>
      <c r="K215" s="20"/>
      <c r="L215" s="22"/>
      <c r="M215" s="22"/>
      <c r="N215" s="22"/>
      <c r="O215" s="22"/>
      <c r="P215" s="22"/>
      <c r="Q215" s="22"/>
      <c r="R215" s="571"/>
      <c r="S215" s="571"/>
      <c r="T215" s="571"/>
      <c r="U215" s="22"/>
      <c r="V215" s="22"/>
      <c r="W215" s="22"/>
      <c r="X215" s="22"/>
      <c r="Y215" s="22"/>
      <c r="Z215" s="22"/>
      <c r="AA215" s="476"/>
      <c r="AB215" s="485"/>
      <c r="AC215" s="449"/>
      <c r="AD215" s="485"/>
      <c r="AE215" s="449"/>
      <c r="AF215" s="449"/>
      <c r="AG215" s="22"/>
      <c r="AH215" s="22"/>
      <c r="AI215" s="449"/>
      <c r="AJ215" s="449"/>
      <c r="AK215" s="449"/>
      <c r="AL215" s="449"/>
      <c r="AM215" s="449"/>
      <c r="AN215" s="765"/>
      <c r="AO215" s="765"/>
      <c r="AP215" s="765"/>
      <c r="AQ215" s="765"/>
      <c r="AR215" s="449"/>
      <c r="AS215" s="489"/>
      <c r="AT215" s="449"/>
      <c r="AU215" s="485"/>
      <c r="AV215" s="22"/>
      <c r="AW215" s="22"/>
      <c r="AX215" s="22"/>
      <c r="AY215" s="22"/>
      <c r="AZ215" s="760"/>
      <c r="BA215" s="760"/>
      <c r="BB215" s="22"/>
      <c r="BC215" s="22"/>
      <c r="BD215" s="22"/>
      <c r="BE215" s="22"/>
      <c r="BF215" s="22"/>
      <c r="BG215" s="22"/>
      <c r="BH215" s="22"/>
      <c r="BI215" s="22"/>
      <c r="BJ215" s="22"/>
      <c r="BK215" s="22"/>
      <c r="BL215" s="22"/>
      <c r="CE215" s="22"/>
      <c r="CF215" s="565"/>
    </row>
    <row r="216" spans="8:84" ht="19.5" customHeight="1">
      <c r="H216" s="18"/>
      <c r="I216" s="19"/>
      <c r="J216" s="19"/>
      <c r="K216" s="20"/>
      <c r="L216" s="22"/>
      <c r="M216" s="22"/>
      <c r="N216" s="22"/>
      <c r="O216" s="22"/>
      <c r="P216" s="22"/>
      <c r="Q216" s="22"/>
      <c r="R216" s="571"/>
      <c r="S216" s="571"/>
      <c r="T216" s="571"/>
      <c r="U216" s="22"/>
      <c r="V216" s="22"/>
      <c r="W216" s="22"/>
      <c r="X216" s="22"/>
      <c r="Y216" s="22"/>
      <c r="Z216" s="22"/>
      <c r="AA216" s="476"/>
      <c r="AB216" s="485"/>
      <c r="AC216" s="449"/>
      <c r="AD216" s="485"/>
      <c r="AE216" s="449"/>
      <c r="AF216" s="449"/>
      <c r="AG216" s="22"/>
      <c r="AH216" s="22"/>
      <c r="AI216" s="449"/>
      <c r="AJ216" s="449"/>
      <c r="AK216" s="449"/>
      <c r="AL216" s="449"/>
      <c r="AM216" s="449"/>
      <c r="AN216" s="765"/>
      <c r="AO216" s="765"/>
      <c r="AP216" s="765"/>
      <c r="AQ216" s="765"/>
      <c r="AR216" s="449"/>
      <c r="AS216" s="489"/>
      <c r="AT216" s="449"/>
      <c r="AU216" s="485"/>
      <c r="AV216" s="22"/>
      <c r="AW216" s="22"/>
      <c r="AX216" s="22"/>
      <c r="AY216" s="22"/>
      <c r="AZ216" s="760"/>
      <c r="BA216" s="760"/>
      <c r="BB216" s="22"/>
      <c r="BC216" s="22"/>
      <c r="BD216" s="22"/>
      <c r="BE216" s="22"/>
      <c r="BF216" s="22"/>
      <c r="BG216" s="22"/>
      <c r="BH216" s="22"/>
      <c r="BI216" s="22"/>
      <c r="BJ216" s="22"/>
      <c r="BK216" s="22"/>
      <c r="BL216" s="22"/>
      <c r="CE216" s="22"/>
      <c r="CF216" s="565"/>
    </row>
    <row r="217" spans="8:84" ht="19.5" customHeight="1">
      <c r="H217" s="18"/>
      <c r="I217" s="19"/>
      <c r="J217" s="19"/>
      <c r="K217" s="20"/>
      <c r="L217" s="22"/>
      <c r="M217" s="22"/>
      <c r="N217" s="22"/>
      <c r="O217" s="22"/>
      <c r="P217" s="22"/>
      <c r="Q217" s="22"/>
      <c r="R217" s="571"/>
      <c r="S217" s="571"/>
      <c r="T217" s="571"/>
      <c r="U217" s="22"/>
      <c r="V217" s="22"/>
      <c r="W217" s="22"/>
      <c r="X217" s="22"/>
      <c r="Y217" s="22"/>
      <c r="Z217" s="22"/>
      <c r="AA217" s="476"/>
      <c r="AB217" s="485"/>
      <c r="AC217" s="449"/>
      <c r="AD217" s="485"/>
      <c r="AE217" s="449"/>
      <c r="AF217" s="449"/>
      <c r="AG217" s="22"/>
      <c r="AH217" s="22"/>
      <c r="AI217" s="449"/>
      <c r="AJ217" s="449"/>
      <c r="AK217" s="449"/>
      <c r="AL217" s="449"/>
      <c r="AM217" s="449"/>
      <c r="AN217" s="765"/>
      <c r="AO217" s="765"/>
      <c r="AP217" s="765"/>
      <c r="AQ217" s="765"/>
      <c r="AR217" s="449"/>
      <c r="AS217" s="489"/>
      <c r="AT217" s="449"/>
      <c r="AU217" s="485"/>
      <c r="AV217" s="22"/>
      <c r="AW217" s="22"/>
      <c r="AX217" s="22"/>
      <c r="AY217" s="22"/>
      <c r="AZ217" s="760"/>
      <c r="BA217" s="760"/>
      <c r="BB217" s="22"/>
      <c r="BC217" s="22"/>
      <c r="BD217" s="22"/>
      <c r="BE217" s="22"/>
      <c r="BF217" s="22"/>
      <c r="BG217" s="22"/>
      <c r="BH217" s="22"/>
      <c r="BI217" s="22"/>
      <c r="BJ217" s="22"/>
      <c r="BK217" s="22"/>
      <c r="BL217" s="22"/>
      <c r="CE217" s="22"/>
      <c r="CF217" s="565"/>
    </row>
    <row r="218" spans="8:84" ht="19.5" customHeight="1">
      <c r="H218" s="18"/>
      <c r="I218" s="19"/>
      <c r="J218" s="19"/>
      <c r="K218" s="20"/>
      <c r="L218" s="22"/>
      <c r="M218" s="22"/>
      <c r="N218" s="22"/>
      <c r="O218" s="22"/>
      <c r="P218" s="22"/>
      <c r="Q218" s="22"/>
      <c r="R218" s="571"/>
      <c r="S218" s="571"/>
      <c r="T218" s="571"/>
      <c r="U218" s="22"/>
      <c r="V218" s="22"/>
      <c r="W218" s="22"/>
      <c r="X218" s="22"/>
      <c r="Y218" s="22"/>
      <c r="Z218" s="22"/>
      <c r="AA218" s="476"/>
      <c r="AB218" s="485"/>
      <c r="AC218" s="449"/>
      <c r="AD218" s="485"/>
      <c r="AE218" s="449"/>
      <c r="AF218" s="449"/>
      <c r="AG218" s="22"/>
      <c r="AH218" s="22"/>
      <c r="AI218" s="449"/>
      <c r="AJ218" s="449"/>
      <c r="AK218" s="449"/>
      <c r="AL218" s="449"/>
      <c r="AM218" s="449"/>
      <c r="AN218" s="765"/>
      <c r="AO218" s="765"/>
      <c r="AP218" s="765"/>
      <c r="AQ218" s="765"/>
      <c r="AR218" s="449"/>
      <c r="AS218" s="489"/>
      <c r="AT218" s="449"/>
      <c r="AU218" s="485"/>
      <c r="AV218" s="22"/>
      <c r="AW218" s="22"/>
      <c r="AX218" s="22"/>
      <c r="AY218" s="22"/>
      <c r="AZ218" s="760"/>
      <c r="BA218" s="760"/>
      <c r="BB218" s="22"/>
      <c r="BC218" s="22"/>
      <c r="BD218" s="22"/>
      <c r="BE218" s="22"/>
      <c r="BF218" s="22"/>
      <c r="BG218" s="22"/>
      <c r="BH218" s="22"/>
      <c r="BI218" s="22"/>
      <c r="BJ218" s="22"/>
      <c r="BK218" s="22"/>
      <c r="BL218" s="22"/>
      <c r="CE218" s="22"/>
      <c r="CF218" s="565"/>
    </row>
    <row r="219" spans="8:84" ht="19.5" customHeight="1">
      <c r="H219" s="18"/>
      <c r="I219" s="19"/>
      <c r="J219" s="19"/>
      <c r="K219" s="20"/>
      <c r="L219" s="22"/>
      <c r="M219" s="22"/>
      <c r="N219" s="22"/>
      <c r="O219" s="22"/>
      <c r="P219" s="22"/>
      <c r="Q219" s="22"/>
      <c r="R219" s="571"/>
      <c r="S219" s="571"/>
      <c r="T219" s="571"/>
      <c r="U219" s="22"/>
      <c r="V219" s="22"/>
      <c r="W219" s="22"/>
      <c r="X219" s="22"/>
      <c r="Y219" s="22"/>
      <c r="Z219" s="22"/>
      <c r="AA219" s="476"/>
      <c r="AB219" s="485"/>
      <c r="AC219" s="449"/>
      <c r="AD219" s="485"/>
      <c r="AE219" s="449"/>
      <c r="AF219" s="449"/>
      <c r="AG219" s="22"/>
      <c r="AH219" s="22"/>
      <c r="AI219" s="449"/>
      <c r="AJ219" s="449"/>
      <c r="AK219" s="449"/>
      <c r="AL219" s="449"/>
      <c r="AM219" s="449"/>
      <c r="AN219" s="765"/>
      <c r="AO219" s="765"/>
      <c r="AP219" s="765"/>
      <c r="AQ219" s="765"/>
      <c r="AR219" s="449"/>
      <c r="AS219" s="489"/>
      <c r="AT219" s="449"/>
      <c r="AU219" s="485"/>
      <c r="AV219" s="22"/>
      <c r="AW219" s="22"/>
      <c r="AX219" s="22"/>
      <c r="AY219" s="22"/>
      <c r="AZ219" s="760"/>
      <c r="BA219" s="760"/>
      <c r="BB219" s="22"/>
      <c r="BC219" s="22"/>
      <c r="BD219" s="22"/>
      <c r="BE219" s="22"/>
      <c r="BF219" s="22"/>
      <c r="BG219" s="22"/>
      <c r="BH219" s="22"/>
      <c r="BI219" s="22"/>
      <c r="BJ219" s="22"/>
      <c r="BK219" s="22"/>
      <c r="BL219" s="22"/>
      <c r="CE219" s="22"/>
      <c r="CF219" s="565"/>
    </row>
    <row r="220" spans="8:84" ht="19.5" customHeight="1">
      <c r="H220" s="18"/>
      <c r="I220" s="19"/>
      <c r="J220" s="19"/>
      <c r="K220" s="20"/>
      <c r="L220" s="22"/>
      <c r="M220" s="22"/>
      <c r="N220" s="22"/>
      <c r="O220" s="22"/>
      <c r="P220" s="22"/>
      <c r="Q220" s="22"/>
      <c r="R220" s="571"/>
      <c r="S220" s="571"/>
      <c r="T220" s="571"/>
      <c r="U220" s="22"/>
      <c r="V220" s="22"/>
      <c r="W220" s="22"/>
      <c r="X220" s="22"/>
      <c r="Y220" s="22"/>
      <c r="Z220" s="22"/>
      <c r="AA220" s="476"/>
      <c r="AB220" s="485"/>
      <c r="AC220" s="449"/>
      <c r="AD220" s="485"/>
      <c r="AE220" s="449"/>
      <c r="AF220" s="449"/>
      <c r="AG220" s="22"/>
      <c r="AH220" s="22"/>
      <c r="AI220" s="449"/>
      <c r="AJ220" s="449"/>
      <c r="AK220" s="449"/>
      <c r="AL220" s="449"/>
      <c r="AM220" s="449"/>
      <c r="AN220" s="765"/>
      <c r="AO220" s="765"/>
      <c r="AP220" s="765"/>
      <c r="AQ220" s="765"/>
      <c r="AR220" s="449"/>
      <c r="AS220" s="489"/>
      <c r="AT220" s="449"/>
      <c r="AU220" s="485"/>
      <c r="AV220" s="22"/>
      <c r="AW220" s="22"/>
      <c r="AX220" s="22"/>
      <c r="AY220" s="22"/>
      <c r="AZ220" s="760"/>
      <c r="BA220" s="760"/>
      <c r="BB220" s="22"/>
      <c r="BC220" s="22"/>
      <c r="BD220" s="22"/>
      <c r="BE220" s="22"/>
      <c r="BF220" s="22"/>
      <c r="BG220" s="22"/>
      <c r="BH220" s="22"/>
      <c r="BI220" s="22"/>
      <c r="BJ220" s="22"/>
      <c r="BK220" s="22"/>
      <c r="BL220" s="22"/>
      <c r="CE220" s="22"/>
      <c r="CF220" s="565"/>
    </row>
    <row r="221" spans="8:84" ht="19.5" customHeight="1">
      <c r="H221" s="18"/>
      <c r="I221" s="19"/>
      <c r="J221" s="19"/>
      <c r="K221" s="20"/>
      <c r="L221" s="22"/>
      <c r="M221" s="22"/>
      <c r="N221" s="22"/>
      <c r="O221" s="22"/>
      <c r="P221" s="22"/>
      <c r="Q221" s="22"/>
      <c r="R221" s="571"/>
      <c r="S221" s="571"/>
      <c r="T221" s="571"/>
      <c r="U221" s="22"/>
      <c r="V221" s="22"/>
      <c r="W221" s="22"/>
      <c r="X221" s="22"/>
      <c r="Y221" s="22"/>
      <c r="Z221" s="22"/>
      <c r="AA221" s="476"/>
      <c r="AB221" s="485"/>
      <c r="AC221" s="449"/>
      <c r="AD221" s="485"/>
      <c r="AE221" s="449"/>
      <c r="AF221" s="449"/>
      <c r="AG221" s="22"/>
      <c r="AH221" s="22"/>
      <c r="AI221" s="449"/>
      <c r="AJ221" s="449"/>
      <c r="AK221" s="449"/>
      <c r="AL221" s="449"/>
      <c r="AM221" s="449"/>
      <c r="AN221" s="765"/>
      <c r="AO221" s="765"/>
      <c r="AP221" s="765"/>
      <c r="AQ221" s="765"/>
      <c r="AR221" s="449"/>
      <c r="AS221" s="489"/>
      <c r="AT221" s="449"/>
      <c r="AU221" s="485"/>
      <c r="AV221" s="22"/>
      <c r="AW221" s="22"/>
      <c r="AX221" s="22"/>
      <c r="AY221" s="22"/>
      <c r="AZ221" s="760"/>
      <c r="BA221" s="760"/>
      <c r="BB221" s="22"/>
      <c r="BC221" s="22"/>
      <c r="BD221" s="22"/>
      <c r="BE221" s="22"/>
      <c r="BF221" s="22"/>
      <c r="BG221" s="22"/>
      <c r="BH221" s="22"/>
      <c r="BI221" s="22"/>
      <c r="BJ221" s="22"/>
      <c r="BK221" s="22"/>
      <c r="BL221" s="22"/>
      <c r="CE221" s="22"/>
      <c r="CF221" s="565"/>
    </row>
    <row r="222" spans="8:84" ht="19.5" customHeight="1">
      <c r="H222" s="18"/>
      <c r="I222" s="19"/>
      <c r="J222" s="19"/>
      <c r="K222" s="20"/>
      <c r="L222" s="22"/>
      <c r="M222" s="22"/>
      <c r="N222" s="22"/>
      <c r="O222" s="22"/>
      <c r="P222" s="22"/>
      <c r="Q222" s="22"/>
      <c r="R222" s="571"/>
      <c r="S222" s="571"/>
      <c r="T222" s="571"/>
      <c r="U222" s="22"/>
      <c r="V222" s="22"/>
      <c r="W222" s="22"/>
      <c r="X222" s="22"/>
      <c r="Y222" s="22"/>
      <c r="Z222" s="22"/>
      <c r="AA222" s="476"/>
      <c r="AB222" s="485"/>
      <c r="AC222" s="449"/>
      <c r="AD222" s="485"/>
      <c r="AE222" s="449"/>
      <c r="AF222" s="449"/>
      <c r="AG222" s="22"/>
      <c r="AH222" s="22"/>
      <c r="AI222" s="449"/>
      <c r="AJ222" s="449"/>
      <c r="AK222" s="449"/>
      <c r="AL222" s="449"/>
      <c r="AM222" s="449"/>
      <c r="AN222" s="765"/>
      <c r="AO222" s="765"/>
      <c r="AP222" s="765"/>
      <c r="AQ222" s="765"/>
      <c r="AR222" s="449"/>
      <c r="AS222" s="489"/>
      <c r="AT222" s="449"/>
      <c r="AU222" s="485"/>
      <c r="AV222" s="22"/>
      <c r="AW222" s="22"/>
      <c r="AX222" s="22"/>
      <c r="AY222" s="22"/>
      <c r="AZ222" s="760"/>
      <c r="BA222" s="760"/>
      <c r="BB222" s="22"/>
      <c r="BC222" s="22"/>
      <c r="BD222" s="22"/>
      <c r="BE222" s="22"/>
      <c r="BF222" s="22"/>
      <c r="BG222" s="22"/>
      <c r="BH222" s="22"/>
      <c r="BI222" s="22"/>
      <c r="BJ222" s="22"/>
      <c r="BK222" s="22"/>
      <c r="BL222" s="22"/>
      <c r="CE222" s="22"/>
      <c r="CF222" s="565"/>
    </row>
    <row r="223" spans="8:84" ht="19.5" customHeight="1">
      <c r="H223" s="18"/>
      <c r="I223" s="19"/>
      <c r="J223" s="19"/>
      <c r="K223" s="20"/>
      <c r="L223" s="22"/>
      <c r="M223" s="22"/>
      <c r="N223" s="22"/>
      <c r="O223" s="22"/>
      <c r="P223" s="22"/>
      <c r="Q223" s="22"/>
      <c r="R223" s="571"/>
      <c r="S223" s="571"/>
      <c r="T223" s="571"/>
      <c r="U223" s="22"/>
      <c r="V223" s="22"/>
      <c r="W223" s="22"/>
      <c r="X223" s="22"/>
      <c r="Y223" s="22"/>
      <c r="Z223" s="22"/>
      <c r="AA223" s="476"/>
      <c r="AB223" s="485"/>
      <c r="AC223" s="449"/>
      <c r="AD223" s="485"/>
      <c r="AE223" s="449"/>
      <c r="AF223" s="449"/>
      <c r="AG223" s="22"/>
      <c r="AH223" s="22"/>
      <c r="AI223" s="449"/>
      <c r="AJ223" s="449"/>
      <c r="AK223" s="449"/>
      <c r="AL223" s="449"/>
      <c r="AM223" s="449"/>
      <c r="AN223" s="765"/>
      <c r="AO223" s="765"/>
      <c r="AP223" s="765"/>
      <c r="AQ223" s="765"/>
      <c r="AR223" s="449"/>
      <c r="AS223" s="489"/>
      <c r="AT223" s="449"/>
      <c r="AU223" s="485"/>
      <c r="AV223" s="22"/>
      <c r="AW223" s="22"/>
      <c r="AX223" s="22"/>
      <c r="AY223" s="22"/>
      <c r="AZ223" s="760"/>
      <c r="BA223" s="760"/>
      <c r="BB223" s="22"/>
      <c r="BC223" s="22"/>
      <c r="BD223" s="22"/>
      <c r="BE223" s="22"/>
      <c r="BF223" s="22"/>
      <c r="BG223" s="22"/>
      <c r="BH223" s="22"/>
      <c r="BI223" s="22"/>
      <c r="BJ223" s="22"/>
      <c r="BK223" s="22"/>
      <c r="BL223" s="22"/>
      <c r="CE223" s="22"/>
      <c r="CF223" s="565"/>
    </row>
    <row r="224" spans="8:84" ht="19.5" customHeight="1">
      <c r="H224" s="18"/>
      <c r="I224" s="19"/>
      <c r="J224" s="19"/>
      <c r="K224" s="20"/>
      <c r="L224" s="22"/>
      <c r="M224" s="22"/>
      <c r="N224" s="22"/>
      <c r="O224" s="22"/>
      <c r="P224" s="22"/>
      <c r="Q224" s="22"/>
      <c r="R224" s="571"/>
      <c r="S224" s="571"/>
      <c r="T224" s="571"/>
      <c r="U224" s="22"/>
      <c r="V224" s="22"/>
      <c r="W224" s="22"/>
      <c r="X224" s="22"/>
      <c r="Y224" s="22"/>
      <c r="Z224" s="22"/>
      <c r="AA224" s="476"/>
      <c r="AB224" s="485"/>
      <c r="AC224" s="449"/>
      <c r="AD224" s="485"/>
      <c r="AE224" s="449"/>
      <c r="AF224" s="449"/>
      <c r="AG224" s="22"/>
      <c r="AH224" s="22"/>
      <c r="AI224" s="449"/>
      <c r="AJ224" s="449"/>
      <c r="AK224" s="449"/>
      <c r="AL224" s="449"/>
      <c r="AM224" s="449"/>
      <c r="AN224" s="765"/>
      <c r="AO224" s="765"/>
      <c r="AP224" s="765"/>
      <c r="AQ224" s="765"/>
      <c r="AR224" s="449"/>
      <c r="AS224" s="489"/>
      <c r="AT224" s="449"/>
      <c r="AU224" s="485"/>
      <c r="AV224" s="22"/>
      <c r="AW224" s="22"/>
      <c r="AX224" s="22"/>
      <c r="AY224" s="22"/>
      <c r="AZ224" s="760"/>
      <c r="BA224" s="760"/>
      <c r="BB224" s="22"/>
      <c r="BC224" s="22"/>
      <c r="BD224" s="22"/>
      <c r="BE224" s="22"/>
      <c r="BF224" s="22"/>
      <c r="BG224" s="22"/>
      <c r="BH224" s="22"/>
      <c r="BI224" s="22"/>
      <c r="BJ224" s="22"/>
      <c r="BK224" s="22"/>
      <c r="BL224" s="22"/>
      <c r="CE224" s="22"/>
      <c r="CF224" s="565"/>
    </row>
    <row r="225" spans="8:84" ht="19.5" customHeight="1">
      <c r="H225" s="18"/>
      <c r="I225" s="19"/>
      <c r="J225" s="19"/>
      <c r="K225" s="20"/>
      <c r="L225" s="22"/>
      <c r="M225" s="22"/>
      <c r="N225" s="22"/>
      <c r="O225" s="22"/>
      <c r="P225" s="22"/>
      <c r="Q225" s="22"/>
      <c r="R225" s="571"/>
      <c r="S225" s="571"/>
      <c r="T225" s="571"/>
      <c r="U225" s="22"/>
      <c r="V225" s="22"/>
      <c r="W225" s="22"/>
      <c r="X225" s="22"/>
      <c r="Y225" s="22"/>
      <c r="Z225" s="22"/>
      <c r="AA225" s="476"/>
      <c r="AB225" s="485"/>
      <c r="AC225" s="449"/>
      <c r="AD225" s="485"/>
      <c r="AE225" s="449"/>
      <c r="AF225" s="449"/>
      <c r="AG225" s="22"/>
      <c r="AH225" s="22"/>
      <c r="AI225" s="449"/>
      <c r="AJ225" s="449"/>
      <c r="AK225" s="449"/>
      <c r="AL225" s="449"/>
      <c r="AM225" s="449"/>
      <c r="AN225" s="765"/>
      <c r="AO225" s="765"/>
      <c r="AP225" s="765"/>
      <c r="AQ225" s="765"/>
      <c r="AR225" s="449"/>
      <c r="AS225" s="489"/>
      <c r="AT225" s="449"/>
      <c r="AU225" s="485"/>
      <c r="AV225" s="22"/>
      <c r="AW225" s="22"/>
      <c r="AX225" s="22"/>
      <c r="AY225" s="22"/>
      <c r="AZ225" s="760"/>
      <c r="BA225" s="760"/>
      <c r="BB225" s="22"/>
      <c r="BC225" s="22"/>
      <c r="BD225" s="22"/>
      <c r="BE225" s="22"/>
      <c r="BF225" s="22"/>
      <c r="BG225" s="22"/>
      <c r="BH225" s="22"/>
      <c r="BI225" s="22"/>
      <c r="BJ225" s="22"/>
      <c r="BK225" s="22"/>
      <c r="BL225" s="22"/>
      <c r="CE225" s="22"/>
      <c r="CF225" s="565"/>
    </row>
    <row r="226" spans="8:84" ht="19.5" customHeight="1">
      <c r="H226" s="18"/>
      <c r="I226" s="19"/>
      <c r="J226" s="19"/>
      <c r="K226" s="20"/>
      <c r="L226" s="22"/>
      <c r="M226" s="22"/>
      <c r="N226" s="22"/>
      <c r="O226" s="22"/>
      <c r="P226" s="22"/>
      <c r="Q226" s="22"/>
      <c r="R226" s="571"/>
      <c r="S226" s="571"/>
      <c r="T226" s="571"/>
      <c r="U226" s="22"/>
      <c r="V226" s="22"/>
      <c r="W226" s="22"/>
      <c r="X226" s="22"/>
      <c r="Y226" s="22"/>
      <c r="Z226" s="22"/>
      <c r="AA226" s="476"/>
      <c r="AB226" s="485"/>
      <c r="AC226" s="449"/>
      <c r="AD226" s="485"/>
      <c r="AE226" s="449"/>
      <c r="AF226" s="449"/>
      <c r="AG226" s="22"/>
      <c r="AH226" s="22"/>
      <c r="AI226" s="449"/>
      <c r="AJ226" s="449"/>
      <c r="AK226" s="449"/>
      <c r="AL226" s="449"/>
      <c r="AM226" s="449"/>
      <c r="AN226" s="765"/>
      <c r="AO226" s="765"/>
      <c r="AP226" s="765"/>
      <c r="AQ226" s="765"/>
      <c r="AR226" s="449"/>
      <c r="AS226" s="489"/>
      <c r="AT226" s="449"/>
      <c r="AU226" s="485"/>
      <c r="AV226" s="22"/>
      <c r="AW226" s="22"/>
      <c r="AX226" s="22"/>
      <c r="AY226" s="22"/>
      <c r="AZ226" s="760"/>
      <c r="BA226" s="760"/>
      <c r="BB226" s="22"/>
      <c r="BC226" s="22"/>
      <c r="BD226" s="22"/>
      <c r="BE226" s="22"/>
      <c r="BF226" s="22"/>
      <c r="BG226" s="22"/>
      <c r="BH226" s="22"/>
      <c r="BI226" s="22"/>
      <c r="BJ226" s="22"/>
      <c r="BK226" s="22"/>
      <c r="BL226" s="22"/>
      <c r="CE226" s="22"/>
      <c r="CF226" s="565"/>
    </row>
    <row r="227" spans="8:84" ht="19.5" customHeight="1">
      <c r="H227" s="18"/>
      <c r="I227" s="19"/>
      <c r="J227" s="19"/>
      <c r="K227" s="20"/>
      <c r="L227" s="22"/>
      <c r="M227" s="22"/>
      <c r="N227" s="22"/>
      <c r="O227" s="22"/>
      <c r="P227" s="22"/>
      <c r="Q227" s="22"/>
      <c r="R227" s="571"/>
      <c r="S227" s="571"/>
      <c r="T227" s="571"/>
      <c r="U227" s="22"/>
      <c r="V227" s="22"/>
      <c r="W227" s="22"/>
      <c r="X227" s="22"/>
      <c r="Y227" s="22"/>
      <c r="Z227" s="22"/>
      <c r="AA227" s="476"/>
      <c r="AB227" s="485"/>
      <c r="AC227" s="449"/>
      <c r="AD227" s="485"/>
      <c r="AE227" s="449"/>
      <c r="AF227" s="449"/>
      <c r="AG227" s="22"/>
      <c r="AH227" s="22"/>
      <c r="AI227" s="449"/>
      <c r="AJ227" s="449"/>
      <c r="AK227" s="449"/>
      <c r="AL227" s="449"/>
      <c r="AM227" s="449"/>
      <c r="AN227" s="765"/>
      <c r="AO227" s="765"/>
      <c r="AP227" s="765"/>
      <c r="AQ227" s="765"/>
      <c r="AR227" s="449"/>
      <c r="AS227" s="489"/>
      <c r="AT227" s="449"/>
      <c r="AU227" s="485"/>
      <c r="AV227" s="22"/>
      <c r="AW227" s="22"/>
      <c r="AX227" s="22"/>
      <c r="AY227" s="22"/>
      <c r="AZ227" s="760"/>
      <c r="BA227" s="760"/>
      <c r="BB227" s="22"/>
      <c r="BC227" s="22"/>
      <c r="BD227" s="22"/>
      <c r="BE227" s="22"/>
      <c r="BF227" s="22"/>
      <c r="BG227" s="22"/>
      <c r="BH227" s="22"/>
      <c r="BI227" s="22"/>
      <c r="BJ227" s="22"/>
      <c r="BK227" s="22"/>
      <c r="BL227" s="22"/>
      <c r="CE227" s="22"/>
      <c r="CF227" s="565"/>
    </row>
    <row r="228" spans="8:84" ht="19.5" customHeight="1">
      <c r="H228" s="18"/>
      <c r="I228" s="19"/>
      <c r="J228" s="19"/>
      <c r="K228" s="20"/>
      <c r="L228" s="22"/>
      <c r="M228" s="22"/>
      <c r="N228" s="22"/>
      <c r="O228" s="22"/>
      <c r="P228" s="22"/>
      <c r="Q228" s="22"/>
      <c r="R228" s="571"/>
      <c r="S228" s="571"/>
      <c r="T228" s="571"/>
      <c r="U228" s="22"/>
      <c r="V228" s="22"/>
      <c r="W228" s="22"/>
      <c r="X228" s="22"/>
      <c r="Y228" s="22"/>
      <c r="Z228" s="22"/>
      <c r="AA228" s="476"/>
      <c r="AB228" s="485"/>
      <c r="AC228" s="449"/>
      <c r="AD228" s="485"/>
      <c r="AE228" s="449"/>
      <c r="AF228" s="449"/>
      <c r="AG228" s="22"/>
      <c r="AH228" s="22"/>
      <c r="AI228" s="449"/>
      <c r="AJ228" s="449"/>
      <c r="AK228" s="449"/>
      <c r="AL228" s="449"/>
      <c r="AM228" s="449"/>
      <c r="AN228" s="765"/>
      <c r="AO228" s="765"/>
      <c r="AP228" s="765"/>
      <c r="AQ228" s="765"/>
      <c r="AR228" s="449"/>
      <c r="AS228" s="489"/>
      <c r="AT228" s="449"/>
      <c r="AU228" s="485"/>
      <c r="AV228" s="22"/>
      <c r="AW228" s="22"/>
      <c r="AX228" s="22"/>
      <c r="AY228" s="22"/>
      <c r="AZ228" s="760"/>
      <c r="BA228" s="760"/>
      <c r="BB228" s="22"/>
      <c r="BC228" s="22"/>
      <c r="BD228" s="22"/>
      <c r="BE228" s="22"/>
      <c r="BF228" s="22"/>
      <c r="BG228" s="22"/>
      <c r="BH228" s="22"/>
      <c r="BI228" s="22"/>
      <c r="BJ228" s="22"/>
      <c r="BK228" s="22"/>
      <c r="BL228" s="22"/>
      <c r="CE228" s="22"/>
      <c r="CF228" s="565"/>
    </row>
    <row r="229" spans="8:84" ht="19.5" customHeight="1">
      <c r="H229" s="18"/>
      <c r="I229" s="19"/>
      <c r="J229" s="19"/>
      <c r="K229" s="20"/>
      <c r="L229" s="22"/>
      <c r="M229" s="22"/>
      <c r="N229" s="22"/>
      <c r="O229" s="22"/>
      <c r="P229" s="22"/>
      <c r="Q229" s="22"/>
      <c r="R229" s="571"/>
      <c r="S229" s="571"/>
      <c r="T229" s="571"/>
      <c r="U229" s="22"/>
      <c r="V229" s="22"/>
      <c r="W229" s="22"/>
      <c r="X229" s="22"/>
      <c r="Y229" s="22"/>
      <c r="Z229" s="22"/>
      <c r="AA229" s="476"/>
      <c r="AB229" s="485"/>
      <c r="AC229" s="449"/>
      <c r="AD229" s="485"/>
      <c r="AE229" s="449"/>
      <c r="AF229" s="449"/>
      <c r="AG229" s="22"/>
      <c r="AH229" s="22"/>
      <c r="AI229" s="449"/>
      <c r="AJ229" s="449"/>
      <c r="AK229" s="449"/>
      <c r="AL229" s="449"/>
      <c r="AM229" s="449"/>
      <c r="AN229" s="765"/>
      <c r="AO229" s="765"/>
      <c r="AP229" s="765"/>
      <c r="AQ229" s="765"/>
      <c r="AR229" s="449"/>
      <c r="AS229" s="489"/>
      <c r="AT229" s="449"/>
      <c r="AU229" s="485"/>
      <c r="AV229" s="22"/>
      <c r="AW229" s="22"/>
      <c r="AX229" s="22"/>
      <c r="AY229" s="22"/>
      <c r="AZ229" s="760"/>
      <c r="BA229" s="760"/>
      <c r="BB229" s="22"/>
      <c r="BC229" s="22"/>
      <c r="BD229" s="22"/>
      <c r="BE229" s="22"/>
      <c r="BF229" s="22"/>
      <c r="BG229" s="22"/>
      <c r="BH229" s="22"/>
      <c r="BI229" s="22"/>
      <c r="BJ229" s="22"/>
      <c r="BK229" s="22"/>
      <c r="BL229" s="22"/>
      <c r="CE229" s="22"/>
      <c r="CF229" s="565"/>
    </row>
    <row r="230" spans="8:84" ht="19.5" customHeight="1">
      <c r="H230" s="18"/>
      <c r="I230" s="19"/>
      <c r="J230" s="19"/>
      <c r="K230" s="20"/>
      <c r="L230" s="22"/>
      <c r="M230" s="22"/>
      <c r="N230" s="22"/>
      <c r="O230" s="22"/>
      <c r="P230" s="22"/>
      <c r="Q230" s="22"/>
      <c r="R230" s="571"/>
      <c r="S230" s="571"/>
      <c r="T230" s="571"/>
      <c r="U230" s="22"/>
      <c r="V230" s="22"/>
      <c r="W230" s="22"/>
      <c r="X230" s="22"/>
      <c r="Y230" s="22"/>
      <c r="Z230" s="22"/>
      <c r="AA230" s="476"/>
      <c r="AB230" s="485"/>
      <c r="AC230" s="449"/>
      <c r="AD230" s="485"/>
      <c r="AE230" s="449"/>
      <c r="AF230" s="449"/>
      <c r="AG230" s="22"/>
      <c r="AH230" s="22"/>
      <c r="AI230" s="449"/>
      <c r="AJ230" s="449"/>
      <c r="AK230" s="449"/>
      <c r="AL230" s="449"/>
      <c r="AM230" s="449"/>
      <c r="AN230" s="765"/>
      <c r="AO230" s="765"/>
      <c r="AP230" s="765"/>
      <c r="AQ230" s="765"/>
      <c r="AR230" s="449"/>
      <c r="AS230" s="489"/>
      <c r="AT230" s="449"/>
      <c r="AU230" s="485"/>
      <c r="AV230" s="22"/>
      <c r="AW230" s="22"/>
      <c r="AX230" s="22"/>
      <c r="AY230" s="22"/>
      <c r="AZ230" s="760"/>
      <c r="BA230" s="760"/>
      <c r="BB230" s="22"/>
      <c r="BC230" s="22"/>
      <c r="BD230" s="22"/>
      <c r="BE230" s="22"/>
      <c r="BF230" s="22"/>
      <c r="BG230" s="22"/>
      <c r="BH230" s="22"/>
      <c r="BI230" s="22"/>
      <c r="BJ230" s="22"/>
      <c r="BK230" s="22"/>
      <c r="BL230" s="22"/>
      <c r="CE230" s="22"/>
      <c r="CF230" s="565"/>
    </row>
    <row r="231" spans="8:84" ht="19.5" customHeight="1">
      <c r="H231" s="18"/>
      <c r="I231" s="19"/>
      <c r="J231" s="19"/>
      <c r="K231" s="20"/>
      <c r="L231" s="22"/>
      <c r="M231" s="22"/>
      <c r="N231" s="22"/>
      <c r="O231" s="22"/>
      <c r="P231" s="22"/>
      <c r="Q231" s="22"/>
      <c r="R231" s="571"/>
      <c r="S231" s="571"/>
      <c r="T231" s="571"/>
      <c r="U231" s="22"/>
      <c r="V231" s="22"/>
      <c r="W231" s="22"/>
      <c r="X231" s="22"/>
      <c r="Y231" s="22"/>
      <c r="Z231" s="22"/>
      <c r="AA231" s="476"/>
      <c r="AB231" s="485"/>
      <c r="AC231" s="449"/>
      <c r="AD231" s="485"/>
      <c r="AE231" s="449"/>
      <c r="AF231" s="449"/>
      <c r="AG231" s="22"/>
      <c r="AH231" s="22"/>
      <c r="AI231" s="449"/>
      <c r="AJ231" s="449"/>
      <c r="AK231" s="449"/>
      <c r="AL231" s="449"/>
      <c r="AM231" s="449"/>
      <c r="AN231" s="765"/>
      <c r="AO231" s="765"/>
      <c r="AP231" s="765"/>
      <c r="AQ231" s="765"/>
      <c r="AR231" s="449"/>
      <c r="AS231" s="489"/>
      <c r="AT231" s="449"/>
      <c r="AU231" s="485"/>
      <c r="AV231" s="22"/>
      <c r="AW231" s="22"/>
      <c r="AX231" s="22"/>
      <c r="AY231" s="22"/>
      <c r="AZ231" s="760"/>
      <c r="BA231" s="760"/>
      <c r="BB231" s="22"/>
      <c r="BC231" s="22"/>
      <c r="BD231" s="22"/>
      <c r="BE231" s="22"/>
      <c r="BF231" s="22"/>
      <c r="BG231" s="22"/>
      <c r="BH231" s="22"/>
      <c r="BI231" s="22"/>
      <c r="BJ231" s="22"/>
      <c r="BK231" s="22"/>
      <c r="BL231" s="22"/>
      <c r="CE231" s="22"/>
      <c r="CF231" s="565"/>
    </row>
    <row r="232" spans="8:84" ht="19.5" customHeight="1">
      <c r="H232" s="18"/>
      <c r="I232" s="19"/>
      <c r="J232" s="19"/>
      <c r="K232" s="20"/>
      <c r="L232" s="22"/>
      <c r="M232" s="22"/>
      <c r="N232" s="22"/>
      <c r="O232" s="22"/>
      <c r="P232" s="22"/>
      <c r="Q232" s="22"/>
      <c r="R232" s="571"/>
      <c r="S232" s="571"/>
      <c r="T232" s="571"/>
      <c r="U232" s="22"/>
      <c r="V232" s="22"/>
      <c r="W232" s="22"/>
      <c r="X232" s="22"/>
      <c r="Y232" s="22"/>
      <c r="Z232" s="22"/>
      <c r="AA232" s="476"/>
      <c r="AB232" s="485"/>
      <c r="AC232" s="449"/>
      <c r="AD232" s="485"/>
      <c r="AE232" s="449"/>
      <c r="AF232" s="449"/>
      <c r="AG232" s="22"/>
      <c r="AH232" s="22"/>
      <c r="AI232" s="449"/>
      <c r="AJ232" s="449"/>
      <c r="AK232" s="449"/>
      <c r="AL232" s="449"/>
      <c r="AM232" s="449"/>
      <c r="AN232" s="765"/>
      <c r="AO232" s="765"/>
      <c r="AP232" s="765"/>
      <c r="AQ232" s="765"/>
      <c r="AR232" s="449"/>
      <c r="AS232" s="489"/>
      <c r="AT232" s="449"/>
      <c r="AU232" s="485"/>
      <c r="AV232" s="22"/>
      <c r="AW232" s="22"/>
      <c r="AX232" s="22"/>
      <c r="AY232" s="22"/>
      <c r="AZ232" s="760"/>
      <c r="BA232" s="760"/>
      <c r="BB232" s="22"/>
      <c r="BC232" s="22"/>
      <c r="BD232" s="22"/>
      <c r="BE232" s="22"/>
      <c r="BF232" s="22"/>
      <c r="BG232" s="22"/>
      <c r="BH232" s="22"/>
      <c r="BI232" s="22"/>
      <c r="BJ232" s="22"/>
      <c r="BK232" s="22"/>
      <c r="BL232" s="22"/>
      <c r="CE232" s="22"/>
      <c r="CF232" s="565"/>
    </row>
    <row r="233" spans="8:84" ht="19.5" customHeight="1">
      <c r="H233" s="18"/>
      <c r="I233" s="19"/>
      <c r="J233" s="19"/>
      <c r="K233" s="20"/>
      <c r="L233" s="22"/>
      <c r="M233" s="22"/>
      <c r="N233" s="22"/>
      <c r="O233" s="22"/>
      <c r="P233" s="22"/>
      <c r="Q233" s="22"/>
      <c r="R233" s="571"/>
      <c r="S233" s="571"/>
      <c r="T233" s="571"/>
      <c r="U233" s="22"/>
      <c r="V233" s="22"/>
      <c r="W233" s="22"/>
      <c r="X233" s="22"/>
      <c r="Y233" s="22"/>
      <c r="Z233" s="22"/>
      <c r="AA233" s="476"/>
      <c r="AB233" s="485"/>
      <c r="AC233" s="449"/>
      <c r="AD233" s="485"/>
      <c r="AE233" s="449"/>
      <c r="AF233" s="449"/>
      <c r="AG233" s="22"/>
      <c r="AH233" s="22"/>
      <c r="AI233" s="449"/>
      <c r="AJ233" s="449"/>
      <c r="AK233" s="449"/>
      <c r="AL233" s="449"/>
      <c r="AM233" s="449"/>
      <c r="AN233" s="765"/>
      <c r="AO233" s="765"/>
      <c r="AP233" s="765"/>
      <c r="AQ233" s="765"/>
      <c r="AR233" s="449"/>
      <c r="AS233" s="489"/>
      <c r="AT233" s="449"/>
      <c r="AU233" s="485"/>
      <c r="AV233" s="22"/>
      <c r="AW233" s="22"/>
      <c r="AX233" s="22"/>
      <c r="AY233" s="22"/>
      <c r="AZ233" s="760"/>
      <c r="BA233" s="760"/>
      <c r="BB233" s="22"/>
      <c r="BC233" s="22"/>
      <c r="BD233" s="22"/>
      <c r="BE233" s="22"/>
      <c r="BF233" s="22"/>
      <c r="BG233" s="22"/>
      <c r="BH233" s="22"/>
      <c r="BI233" s="22"/>
      <c r="BJ233" s="22"/>
      <c r="BK233" s="22"/>
      <c r="BL233" s="22"/>
      <c r="CE233" s="22"/>
      <c r="CF233" s="565"/>
    </row>
    <row r="234" spans="8:84" ht="19.5" customHeight="1">
      <c r="H234" s="18"/>
      <c r="I234" s="19"/>
      <c r="J234" s="19"/>
      <c r="K234" s="20"/>
      <c r="L234" s="22"/>
      <c r="M234" s="22"/>
      <c r="N234" s="22"/>
      <c r="O234" s="22"/>
      <c r="P234" s="22"/>
      <c r="Q234" s="22"/>
      <c r="R234" s="571"/>
      <c r="S234" s="571"/>
      <c r="T234" s="571"/>
      <c r="U234" s="22"/>
      <c r="V234" s="22"/>
      <c r="W234" s="22"/>
      <c r="X234" s="22"/>
      <c r="Y234" s="22"/>
      <c r="Z234" s="22"/>
      <c r="AA234" s="476"/>
      <c r="AB234" s="485"/>
      <c r="AC234" s="449"/>
      <c r="AD234" s="485"/>
      <c r="AE234" s="449"/>
      <c r="AF234" s="449"/>
      <c r="AG234" s="22"/>
      <c r="AH234" s="22"/>
      <c r="AI234" s="449"/>
      <c r="AJ234" s="449"/>
      <c r="AK234" s="449"/>
      <c r="AL234" s="449"/>
      <c r="AM234" s="449"/>
      <c r="AN234" s="765"/>
      <c r="AO234" s="765"/>
      <c r="AP234" s="765"/>
      <c r="AQ234" s="765"/>
      <c r="AR234" s="449"/>
      <c r="AS234" s="489"/>
      <c r="AT234" s="449"/>
      <c r="AU234" s="485"/>
      <c r="AV234" s="22"/>
      <c r="AW234" s="22"/>
      <c r="AX234" s="22"/>
      <c r="AY234" s="22"/>
      <c r="AZ234" s="760"/>
      <c r="BA234" s="760"/>
      <c r="BB234" s="22"/>
      <c r="BC234" s="22"/>
      <c r="BD234" s="22"/>
      <c r="BE234" s="22"/>
      <c r="BF234" s="22"/>
      <c r="BG234" s="22"/>
      <c r="BH234" s="22"/>
      <c r="BI234" s="22"/>
      <c r="BJ234" s="22"/>
      <c r="BK234" s="22"/>
      <c r="BL234" s="22"/>
      <c r="CE234" s="22"/>
      <c r="CF234" s="565"/>
    </row>
    <row r="235" spans="8:84" ht="19.5" customHeight="1">
      <c r="H235" s="18"/>
      <c r="I235" s="19"/>
      <c r="J235" s="19"/>
      <c r="K235" s="20"/>
      <c r="L235" s="22"/>
      <c r="M235" s="22"/>
      <c r="N235" s="22"/>
      <c r="O235" s="22"/>
      <c r="P235" s="22"/>
      <c r="Q235" s="22"/>
      <c r="R235" s="571"/>
      <c r="S235" s="571"/>
      <c r="T235" s="571"/>
      <c r="U235" s="22"/>
      <c r="V235" s="22"/>
      <c r="W235" s="22"/>
      <c r="X235" s="22"/>
      <c r="Y235" s="22"/>
      <c r="Z235" s="22"/>
      <c r="AA235" s="476"/>
      <c r="AB235" s="485"/>
      <c r="AC235" s="449"/>
      <c r="AD235" s="485"/>
      <c r="AE235" s="449"/>
      <c r="AF235" s="449"/>
      <c r="AG235" s="22"/>
      <c r="AH235" s="22"/>
      <c r="AI235" s="449"/>
      <c r="AJ235" s="449"/>
      <c r="AK235" s="449"/>
      <c r="AL235" s="449"/>
      <c r="AM235" s="449"/>
      <c r="AN235" s="765"/>
      <c r="AO235" s="765"/>
      <c r="AP235" s="765"/>
      <c r="AQ235" s="765"/>
      <c r="AR235" s="449"/>
      <c r="AS235" s="489"/>
      <c r="AT235" s="449"/>
      <c r="AU235" s="485"/>
      <c r="AV235" s="22"/>
      <c r="AW235" s="22"/>
      <c r="AX235" s="22"/>
      <c r="AY235" s="22"/>
      <c r="AZ235" s="760"/>
      <c r="BA235" s="760"/>
      <c r="BB235" s="22"/>
      <c r="BC235" s="22"/>
      <c r="BD235" s="22"/>
      <c r="BE235" s="22"/>
      <c r="BF235" s="22"/>
      <c r="BG235" s="22"/>
      <c r="BH235" s="22"/>
      <c r="BI235" s="22"/>
      <c r="BJ235" s="22"/>
      <c r="BK235" s="22"/>
      <c r="BL235" s="22"/>
      <c r="CE235" s="22"/>
      <c r="CF235" s="565"/>
    </row>
    <row r="236" spans="8:84" ht="19.5" customHeight="1">
      <c r="H236" s="18"/>
      <c r="I236" s="19"/>
      <c r="J236" s="19"/>
      <c r="K236" s="20"/>
      <c r="L236" s="22"/>
      <c r="M236" s="22"/>
      <c r="N236" s="22"/>
      <c r="O236" s="22"/>
      <c r="P236" s="22"/>
      <c r="Q236" s="22"/>
      <c r="R236" s="571"/>
      <c r="S236" s="571"/>
      <c r="T236" s="571"/>
      <c r="U236" s="22"/>
      <c r="V236" s="22"/>
      <c r="W236" s="22"/>
      <c r="X236" s="22"/>
      <c r="Y236" s="22"/>
      <c r="Z236" s="22"/>
      <c r="AA236" s="476"/>
      <c r="AB236" s="485"/>
      <c r="AC236" s="449"/>
      <c r="AD236" s="485"/>
      <c r="AE236" s="449"/>
      <c r="AF236" s="449"/>
      <c r="AG236" s="22"/>
      <c r="AH236" s="22"/>
      <c r="AI236" s="449"/>
      <c r="AJ236" s="449"/>
      <c r="AK236" s="449"/>
      <c r="AL236" s="449"/>
      <c r="AM236" s="449"/>
      <c r="AN236" s="765"/>
      <c r="AO236" s="765"/>
      <c r="AP236" s="765"/>
      <c r="AQ236" s="765"/>
      <c r="AR236" s="449"/>
      <c r="AS236" s="489"/>
      <c r="AT236" s="449"/>
      <c r="AU236" s="485"/>
      <c r="AV236" s="22"/>
      <c r="AW236" s="22"/>
      <c r="AX236" s="22"/>
      <c r="AY236" s="22"/>
      <c r="AZ236" s="760"/>
      <c r="BA236" s="760"/>
      <c r="BB236" s="22"/>
      <c r="BC236" s="22"/>
      <c r="BD236" s="22"/>
      <c r="BE236" s="22"/>
      <c r="BF236" s="22"/>
      <c r="BG236" s="22"/>
      <c r="BH236" s="22"/>
      <c r="BI236" s="22"/>
      <c r="BJ236" s="22"/>
      <c r="BK236" s="22"/>
      <c r="BL236" s="22"/>
      <c r="CE236" s="22"/>
      <c r="CF236" s="565"/>
    </row>
    <row r="237" spans="8:84" ht="19.5" customHeight="1">
      <c r="H237" s="18"/>
      <c r="I237" s="19"/>
      <c r="J237" s="19"/>
      <c r="K237" s="20"/>
      <c r="L237" s="22"/>
      <c r="M237" s="22"/>
      <c r="N237" s="22"/>
      <c r="O237" s="22"/>
      <c r="P237" s="22"/>
      <c r="Q237" s="22"/>
      <c r="R237" s="571"/>
      <c r="S237" s="571"/>
      <c r="T237" s="571"/>
      <c r="U237" s="22"/>
      <c r="V237" s="22"/>
      <c r="W237" s="22"/>
      <c r="X237" s="22"/>
      <c r="Y237" s="22"/>
      <c r="Z237" s="22"/>
      <c r="AA237" s="476"/>
      <c r="AB237" s="485"/>
      <c r="AC237" s="449"/>
      <c r="AD237" s="485"/>
      <c r="AE237" s="449"/>
      <c r="AF237" s="449"/>
      <c r="AG237" s="22"/>
      <c r="AH237" s="22"/>
      <c r="AI237" s="449"/>
      <c r="AJ237" s="449"/>
      <c r="AK237" s="449"/>
      <c r="AL237" s="449"/>
      <c r="AM237" s="449"/>
      <c r="AN237" s="765"/>
      <c r="AO237" s="765"/>
      <c r="AP237" s="765"/>
      <c r="AQ237" s="765"/>
      <c r="AR237" s="449"/>
      <c r="AS237" s="489"/>
      <c r="AT237" s="449"/>
      <c r="AU237" s="485"/>
      <c r="AV237" s="22"/>
      <c r="AW237" s="22"/>
      <c r="AX237" s="22"/>
      <c r="AY237" s="22"/>
      <c r="AZ237" s="760"/>
      <c r="BA237" s="760"/>
      <c r="BB237" s="22"/>
      <c r="BC237" s="22"/>
      <c r="BD237" s="22"/>
      <c r="BE237" s="22"/>
      <c r="BF237" s="22"/>
      <c r="BG237" s="22"/>
      <c r="BH237" s="22"/>
      <c r="BI237" s="22"/>
      <c r="BJ237" s="22"/>
      <c r="BK237" s="22"/>
      <c r="BL237" s="22"/>
      <c r="CE237" s="22"/>
      <c r="CF237" s="565"/>
    </row>
    <row r="238" spans="8:84" ht="19.5" customHeight="1">
      <c r="H238" s="18"/>
      <c r="I238" s="19"/>
      <c r="J238" s="19"/>
      <c r="K238" s="20"/>
      <c r="L238" s="22"/>
      <c r="M238" s="22"/>
      <c r="N238" s="22"/>
      <c r="O238" s="22"/>
      <c r="P238" s="22"/>
      <c r="Q238" s="22"/>
      <c r="R238" s="571"/>
      <c r="S238" s="571"/>
      <c r="T238" s="571"/>
      <c r="U238" s="22"/>
      <c r="V238" s="22"/>
      <c r="W238" s="22"/>
      <c r="X238" s="22"/>
      <c r="Y238" s="22"/>
      <c r="Z238" s="22"/>
      <c r="AA238" s="476"/>
      <c r="AB238" s="485"/>
      <c r="AC238" s="449"/>
      <c r="AD238" s="485"/>
      <c r="AE238" s="449"/>
      <c r="AF238" s="449"/>
      <c r="AG238" s="22"/>
      <c r="AH238" s="22"/>
      <c r="AI238" s="449"/>
      <c r="AJ238" s="449"/>
      <c r="AK238" s="449"/>
      <c r="AL238" s="449"/>
      <c r="AM238" s="449"/>
      <c r="AN238" s="765"/>
      <c r="AO238" s="765"/>
      <c r="AP238" s="765"/>
      <c r="AQ238" s="765"/>
      <c r="AR238" s="449"/>
      <c r="AS238" s="489"/>
      <c r="AT238" s="449"/>
      <c r="AU238" s="485"/>
      <c r="AV238" s="22"/>
      <c r="AW238" s="22"/>
      <c r="AX238" s="22"/>
      <c r="AY238" s="22"/>
      <c r="AZ238" s="760"/>
      <c r="BA238" s="760"/>
      <c r="BB238" s="22"/>
      <c r="BC238" s="22"/>
      <c r="BD238" s="22"/>
      <c r="BE238" s="22"/>
      <c r="BF238" s="22"/>
      <c r="BG238" s="22"/>
      <c r="BH238" s="22"/>
      <c r="BI238" s="22"/>
      <c r="BJ238" s="22"/>
      <c r="BK238" s="22"/>
      <c r="BL238" s="22"/>
      <c r="CE238" s="22"/>
      <c r="CF238" s="565"/>
    </row>
    <row r="239" spans="8:84" ht="19.5" customHeight="1">
      <c r="H239" s="18"/>
      <c r="I239" s="19"/>
      <c r="J239" s="19"/>
      <c r="K239" s="20"/>
      <c r="L239" s="22"/>
      <c r="M239" s="22"/>
      <c r="N239" s="22"/>
      <c r="O239" s="22"/>
      <c r="P239" s="22"/>
      <c r="Q239" s="22"/>
      <c r="R239" s="571"/>
      <c r="S239" s="571"/>
      <c r="T239" s="571"/>
      <c r="U239" s="22"/>
      <c r="V239" s="22"/>
      <c r="W239" s="22"/>
      <c r="X239" s="22"/>
      <c r="Y239" s="22"/>
      <c r="Z239" s="22"/>
      <c r="AA239" s="476"/>
      <c r="AB239" s="485"/>
      <c r="AC239" s="449"/>
      <c r="AD239" s="485"/>
      <c r="AE239" s="449"/>
      <c r="AF239" s="449"/>
      <c r="AG239" s="22"/>
      <c r="AH239" s="22"/>
      <c r="AI239" s="449"/>
      <c r="AJ239" s="449"/>
      <c r="AK239" s="449"/>
      <c r="AL239" s="449"/>
      <c r="AM239" s="449"/>
      <c r="AN239" s="765"/>
      <c r="AO239" s="765"/>
      <c r="AP239" s="765"/>
      <c r="AQ239" s="765"/>
      <c r="AR239" s="449"/>
      <c r="AS239" s="489"/>
      <c r="AT239" s="449"/>
      <c r="AU239" s="485"/>
      <c r="AV239" s="22"/>
      <c r="AW239" s="22"/>
      <c r="AX239" s="22"/>
      <c r="AY239" s="22"/>
      <c r="AZ239" s="760"/>
      <c r="BA239" s="760"/>
      <c r="BB239" s="22"/>
      <c r="BC239" s="22"/>
      <c r="BD239" s="22"/>
      <c r="BE239" s="22"/>
      <c r="BF239" s="22"/>
      <c r="BG239" s="22"/>
      <c r="BH239" s="22"/>
      <c r="BI239" s="22"/>
      <c r="BJ239" s="22"/>
      <c r="BK239" s="22"/>
      <c r="BL239" s="22"/>
      <c r="CE239" s="22"/>
      <c r="CF239" s="565"/>
    </row>
    <row r="240" spans="8:84" ht="19.5" customHeight="1">
      <c r="H240" s="18"/>
      <c r="I240" s="19"/>
      <c r="J240" s="19"/>
      <c r="K240" s="20"/>
      <c r="L240" s="22"/>
      <c r="M240" s="22"/>
      <c r="N240" s="22"/>
      <c r="O240" s="22"/>
      <c r="P240" s="22"/>
      <c r="Q240" s="22"/>
      <c r="R240" s="571"/>
      <c r="S240" s="571"/>
      <c r="T240" s="571"/>
      <c r="U240" s="22"/>
      <c r="V240" s="22"/>
      <c r="W240" s="22"/>
      <c r="X240" s="22"/>
      <c r="Y240" s="22"/>
      <c r="Z240" s="22"/>
      <c r="AA240" s="476"/>
      <c r="AB240" s="485"/>
      <c r="AC240" s="449"/>
      <c r="AD240" s="485"/>
      <c r="AE240" s="449"/>
      <c r="AF240" s="449"/>
      <c r="AG240" s="22"/>
      <c r="AH240" s="22"/>
      <c r="AI240" s="449"/>
      <c r="AJ240" s="449"/>
      <c r="AK240" s="449"/>
      <c r="AL240" s="449"/>
      <c r="AM240" s="449"/>
      <c r="AN240" s="765"/>
      <c r="AO240" s="765"/>
      <c r="AP240" s="765"/>
      <c r="AQ240" s="765"/>
      <c r="AR240" s="449"/>
      <c r="AS240" s="489"/>
      <c r="AT240" s="449"/>
      <c r="AU240" s="485"/>
      <c r="AV240" s="22"/>
      <c r="AW240" s="22"/>
      <c r="AX240" s="22"/>
      <c r="AY240" s="22"/>
      <c r="AZ240" s="760"/>
      <c r="BA240" s="760"/>
      <c r="BB240" s="22"/>
      <c r="BC240" s="22"/>
      <c r="BD240" s="22"/>
      <c r="BE240" s="22"/>
      <c r="BF240" s="22"/>
      <c r="BG240" s="22"/>
      <c r="BH240" s="22"/>
      <c r="BI240" s="22"/>
      <c r="BJ240" s="22"/>
      <c r="BK240" s="22"/>
      <c r="BL240" s="22"/>
      <c r="CE240" s="22"/>
      <c r="CF240" s="565"/>
    </row>
    <row r="241" spans="8:84" ht="19.5" customHeight="1">
      <c r="H241" s="18"/>
      <c r="I241" s="19"/>
      <c r="J241" s="19"/>
      <c r="K241" s="20"/>
      <c r="L241" s="22"/>
      <c r="M241" s="22"/>
      <c r="N241" s="22"/>
      <c r="O241" s="22"/>
      <c r="P241" s="22"/>
      <c r="Q241" s="22"/>
      <c r="R241" s="571"/>
      <c r="S241" s="571"/>
      <c r="T241" s="571"/>
      <c r="U241" s="22"/>
      <c r="V241" s="22"/>
      <c r="W241" s="22"/>
      <c r="X241" s="22"/>
      <c r="Y241" s="22"/>
      <c r="Z241" s="22"/>
      <c r="AA241" s="476"/>
      <c r="AB241" s="485"/>
      <c r="AC241" s="449"/>
      <c r="AD241" s="485"/>
      <c r="AE241" s="449"/>
      <c r="AF241" s="449"/>
      <c r="AG241" s="22"/>
      <c r="AH241" s="22"/>
      <c r="AI241" s="449"/>
      <c r="AJ241" s="449"/>
      <c r="AK241" s="449"/>
      <c r="AL241" s="449"/>
      <c r="AM241" s="449"/>
      <c r="AN241" s="765"/>
      <c r="AO241" s="765"/>
      <c r="AP241" s="765"/>
      <c r="AQ241" s="765"/>
      <c r="AR241" s="449"/>
      <c r="AS241" s="489"/>
      <c r="AT241" s="449"/>
      <c r="AU241" s="485"/>
      <c r="AV241" s="22"/>
      <c r="AW241" s="22"/>
      <c r="AX241" s="22"/>
      <c r="AY241" s="22"/>
      <c r="AZ241" s="760"/>
      <c r="BA241" s="760"/>
      <c r="BB241" s="22"/>
      <c r="BC241" s="22"/>
      <c r="BD241" s="22"/>
      <c r="BE241" s="22"/>
      <c r="BF241" s="22"/>
      <c r="BG241" s="22"/>
      <c r="BH241" s="22"/>
      <c r="BI241" s="22"/>
      <c r="BJ241" s="22"/>
      <c r="BK241" s="22"/>
      <c r="BL241" s="22"/>
      <c r="CE241" s="22"/>
      <c r="CF241" s="565"/>
    </row>
    <row r="242" spans="8:84" ht="19.5" customHeight="1">
      <c r="H242" s="18"/>
      <c r="I242" s="19"/>
      <c r="J242" s="19"/>
      <c r="K242" s="20"/>
      <c r="L242" s="22"/>
      <c r="M242" s="22"/>
      <c r="N242" s="22"/>
      <c r="O242" s="22"/>
      <c r="P242" s="22"/>
      <c r="Q242" s="22"/>
      <c r="R242" s="571"/>
      <c r="S242" s="571"/>
      <c r="T242" s="571"/>
      <c r="U242" s="22"/>
      <c r="V242" s="22"/>
      <c r="W242" s="22"/>
      <c r="X242" s="22"/>
      <c r="Y242" s="22"/>
      <c r="Z242" s="22"/>
      <c r="AA242" s="476"/>
      <c r="AB242" s="485"/>
      <c r="AC242" s="449"/>
      <c r="AD242" s="485"/>
      <c r="AE242" s="449"/>
      <c r="AF242" s="449"/>
      <c r="AG242" s="22"/>
      <c r="AH242" s="22"/>
      <c r="AI242" s="449"/>
      <c r="AJ242" s="449"/>
      <c r="AK242" s="449"/>
      <c r="AL242" s="449"/>
      <c r="AM242" s="449"/>
      <c r="AN242" s="765"/>
      <c r="AO242" s="765"/>
      <c r="AP242" s="765"/>
      <c r="AQ242" s="765"/>
      <c r="AR242" s="449"/>
      <c r="AS242" s="489"/>
      <c r="AT242" s="449"/>
      <c r="AU242" s="485"/>
      <c r="AV242" s="22"/>
      <c r="AW242" s="22"/>
      <c r="AX242" s="22"/>
      <c r="AY242" s="22"/>
      <c r="AZ242" s="760"/>
      <c r="BA242" s="760"/>
      <c r="BB242" s="22"/>
      <c r="BC242" s="22"/>
      <c r="BD242" s="22"/>
      <c r="BE242" s="22"/>
      <c r="BF242" s="22"/>
      <c r="BG242" s="22"/>
      <c r="BH242" s="22"/>
      <c r="BI242" s="22"/>
      <c r="BJ242" s="22"/>
      <c r="BK242" s="22"/>
      <c r="BL242" s="22"/>
      <c r="CE242" s="22"/>
      <c r="CF242" s="565"/>
    </row>
    <row r="243" spans="8:84" ht="19.5" customHeight="1">
      <c r="H243" s="18"/>
      <c r="I243" s="19"/>
      <c r="J243" s="19"/>
      <c r="K243" s="20"/>
      <c r="L243" s="22"/>
      <c r="M243" s="22"/>
      <c r="N243" s="22"/>
      <c r="O243" s="22"/>
      <c r="P243" s="22"/>
      <c r="Q243" s="22"/>
      <c r="R243" s="571"/>
      <c r="S243" s="571"/>
      <c r="T243" s="571"/>
      <c r="U243" s="22"/>
      <c r="V243" s="22"/>
      <c r="W243" s="22"/>
      <c r="X243" s="22"/>
      <c r="Y243" s="22"/>
      <c r="Z243" s="22"/>
      <c r="AA243" s="476"/>
      <c r="AB243" s="485"/>
      <c r="AC243" s="449"/>
      <c r="AD243" s="485"/>
      <c r="AE243" s="449"/>
      <c r="AF243" s="449"/>
      <c r="AG243" s="22"/>
      <c r="AH243" s="22"/>
      <c r="AI243" s="449"/>
      <c r="AJ243" s="449"/>
      <c r="AK243" s="449"/>
      <c r="AL243" s="449"/>
      <c r="AM243" s="449"/>
      <c r="AN243" s="765"/>
      <c r="AO243" s="765"/>
      <c r="AP243" s="765"/>
      <c r="AQ243" s="765"/>
      <c r="AR243" s="449"/>
      <c r="AS243" s="489"/>
      <c r="AT243" s="449"/>
      <c r="AU243" s="485"/>
      <c r="AV243" s="22"/>
      <c r="AW243" s="22"/>
      <c r="AX243" s="22"/>
      <c r="AY243" s="22"/>
      <c r="AZ243" s="760"/>
      <c r="BA243" s="760"/>
      <c r="BB243" s="22"/>
      <c r="BC243" s="22"/>
      <c r="BD243" s="22"/>
      <c r="BE243" s="22"/>
      <c r="BF243" s="22"/>
      <c r="BG243" s="22"/>
      <c r="BH243" s="22"/>
      <c r="BI243" s="22"/>
      <c r="BJ243" s="22"/>
      <c r="BK243" s="22"/>
      <c r="BL243" s="22"/>
      <c r="CE243" s="22"/>
      <c r="CF243" s="565"/>
    </row>
    <row r="244" spans="8:84" ht="19.5" customHeight="1">
      <c r="H244" s="18"/>
      <c r="I244" s="19"/>
      <c r="J244" s="19"/>
      <c r="K244" s="20"/>
      <c r="L244" s="22"/>
      <c r="M244" s="22"/>
      <c r="N244" s="22"/>
      <c r="O244" s="22"/>
      <c r="P244" s="22"/>
      <c r="Q244" s="22"/>
      <c r="R244" s="571"/>
      <c r="S244" s="571"/>
      <c r="T244" s="571"/>
      <c r="U244" s="22"/>
      <c r="V244" s="22"/>
      <c r="W244" s="22"/>
      <c r="X244" s="22"/>
      <c r="Y244" s="22"/>
      <c r="Z244" s="22"/>
      <c r="AA244" s="476"/>
      <c r="AB244" s="485"/>
      <c r="AC244" s="449"/>
      <c r="AD244" s="485"/>
      <c r="AE244" s="449"/>
      <c r="AF244" s="449"/>
      <c r="AG244" s="22"/>
      <c r="AH244" s="22"/>
      <c r="AI244" s="449"/>
      <c r="AJ244" s="449"/>
      <c r="AK244" s="449"/>
      <c r="AL244" s="449"/>
      <c r="AM244" s="449"/>
      <c r="AN244" s="765"/>
      <c r="AO244" s="765"/>
      <c r="AP244" s="765"/>
      <c r="AQ244" s="765"/>
      <c r="AR244" s="449"/>
      <c r="AS244" s="489"/>
      <c r="AT244" s="449"/>
      <c r="AU244" s="485"/>
      <c r="AV244" s="22"/>
      <c r="AW244" s="22"/>
      <c r="AX244" s="22"/>
      <c r="AY244" s="22"/>
      <c r="AZ244" s="760"/>
      <c r="BA244" s="760"/>
      <c r="BB244" s="22"/>
      <c r="BC244" s="22"/>
      <c r="BD244" s="22"/>
      <c r="BE244" s="22"/>
      <c r="BF244" s="22"/>
      <c r="BG244" s="22"/>
      <c r="BH244" s="22"/>
      <c r="BI244" s="22"/>
      <c r="BJ244" s="22"/>
      <c r="BK244" s="22"/>
      <c r="BL244" s="22"/>
      <c r="CE244" s="22"/>
      <c r="CF244" s="565"/>
    </row>
    <row r="245" spans="8:84" ht="19.5" customHeight="1">
      <c r="H245" s="18"/>
      <c r="I245" s="19"/>
      <c r="J245" s="19"/>
      <c r="K245" s="20"/>
      <c r="L245" s="22"/>
      <c r="M245" s="22"/>
      <c r="N245" s="22"/>
      <c r="O245" s="22"/>
      <c r="P245" s="22"/>
      <c r="Q245" s="22"/>
      <c r="R245" s="571"/>
      <c r="S245" s="571"/>
      <c r="T245" s="571"/>
      <c r="U245" s="22"/>
      <c r="V245" s="22"/>
      <c r="W245" s="22"/>
      <c r="X245" s="22"/>
      <c r="Y245" s="22"/>
      <c r="Z245" s="22"/>
      <c r="AA245" s="476"/>
      <c r="AB245" s="485"/>
      <c r="AC245" s="449"/>
      <c r="AD245" s="485"/>
      <c r="AE245" s="449"/>
      <c r="AF245" s="449"/>
      <c r="AG245" s="22"/>
      <c r="AH245" s="22"/>
      <c r="AI245" s="449"/>
      <c r="AJ245" s="449"/>
      <c r="AK245" s="449"/>
      <c r="AL245" s="449"/>
      <c r="AM245" s="449"/>
      <c r="AN245" s="765"/>
      <c r="AO245" s="765"/>
      <c r="AP245" s="765"/>
      <c r="AQ245" s="765"/>
      <c r="AR245" s="449"/>
      <c r="AS245" s="489"/>
      <c r="AT245" s="449"/>
      <c r="AU245" s="485"/>
      <c r="AV245" s="22"/>
      <c r="AW245" s="22"/>
      <c r="AX245" s="22"/>
      <c r="AY245" s="22"/>
      <c r="AZ245" s="760"/>
      <c r="BA245" s="760"/>
      <c r="BB245" s="22"/>
      <c r="BC245" s="22"/>
      <c r="BD245" s="22"/>
      <c r="BE245" s="22"/>
      <c r="BF245" s="22"/>
      <c r="BG245" s="22"/>
      <c r="BH245" s="22"/>
      <c r="BI245" s="22"/>
      <c r="BJ245" s="22"/>
      <c r="BK245" s="22"/>
      <c r="BL245" s="22"/>
      <c r="CE245" s="22"/>
      <c r="CF245" s="565"/>
    </row>
    <row r="246" spans="8:84" ht="19.5" customHeight="1">
      <c r="H246" s="18"/>
      <c r="I246" s="19"/>
      <c r="J246" s="19"/>
      <c r="K246" s="20"/>
      <c r="L246" s="22"/>
      <c r="M246" s="22"/>
      <c r="N246" s="22"/>
      <c r="O246" s="22"/>
      <c r="P246" s="22"/>
      <c r="Q246" s="22"/>
      <c r="R246" s="571"/>
      <c r="S246" s="571"/>
      <c r="T246" s="571"/>
      <c r="U246" s="22"/>
      <c r="V246" s="22"/>
      <c r="W246" s="22"/>
      <c r="X246" s="22"/>
      <c r="Y246" s="22"/>
      <c r="Z246" s="22"/>
      <c r="AA246" s="476"/>
      <c r="AB246" s="485"/>
      <c r="AC246" s="449"/>
      <c r="AD246" s="485"/>
      <c r="AE246" s="449"/>
      <c r="AF246" s="449"/>
      <c r="AG246" s="22"/>
      <c r="AH246" s="22"/>
      <c r="AI246" s="449"/>
      <c r="AJ246" s="449"/>
      <c r="AK246" s="449"/>
      <c r="AL246" s="449"/>
      <c r="AM246" s="449"/>
      <c r="AN246" s="765"/>
      <c r="AO246" s="765"/>
      <c r="AP246" s="765"/>
      <c r="AQ246" s="765"/>
      <c r="AR246" s="449"/>
      <c r="AS246" s="489"/>
      <c r="AT246" s="449"/>
      <c r="AU246" s="485"/>
      <c r="AV246" s="22"/>
      <c r="AW246" s="22"/>
      <c r="AX246" s="22"/>
      <c r="AY246" s="22"/>
      <c r="AZ246" s="760"/>
      <c r="BA246" s="760"/>
      <c r="BB246" s="22"/>
      <c r="BC246" s="22"/>
      <c r="BD246" s="22"/>
      <c r="BE246" s="22"/>
      <c r="BF246" s="22"/>
      <c r="BG246" s="22"/>
      <c r="BH246" s="22"/>
      <c r="BI246" s="22"/>
      <c r="BJ246" s="22"/>
      <c r="BK246" s="22"/>
      <c r="BL246" s="22"/>
      <c r="CE246" s="22"/>
      <c r="CF246" s="565"/>
    </row>
    <row r="247" spans="8:84" ht="19.5" customHeight="1">
      <c r="H247" s="18"/>
      <c r="I247" s="19"/>
      <c r="J247" s="19"/>
      <c r="K247" s="20"/>
      <c r="L247" s="22"/>
      <c r="M247" s="22"/>
      <c r="N247" s="22"/>
      <c r="O247" s="22"/>
      <c r="P247" s="22"/>
      <c r="Q247" s="22"/>
      <c r="R247" s="571"/>
      <c r="S247" s="571"/>
      <c r="T247" s="571"/>
      <c r="U247" s="22"/>
      <c r="V247" s="22"/>
      <c r="W247" s="22"/>
      <c r="X247" s="22"/>
      <c r="Y247" s="22"/>
      <c r="Z247" s="22"/>
      <c r="AA247" s="476"/>
      <c r="AB247" s="485"/>
      <c r="AC247" s="449"/>
      <c r="AD247" s="485"/>
      <c r="AE247" s="449"/>
      <c r="AF247" s="449"/>
      <c r="AG247" s="22"/>
      <c r="AH247" s="22"/>
      <c r="AI247" s="449"/>
      <c r="AJ247" s="449"/>
      <c r="AK247" s="449"/>
      <c r="AL247" s="449"/>
      <c r="AM247" s="449"/>
      <c r="AN247" s="765"/>
      <c r="AO247" s="765"/>
      <c r="AP247" s="765"/>
      <c r="AQ247" s="765"/>
      <c r="AR247" s="449"/>
      <c r="AS247" s="489"/>
      <c r="AT247" s="449"/>
      <c r="AU247" s="485"/>
      <c r="AV247" s="22"/>
      <c r="AW247" s="22"/>
      <c r="AX247" s="22"/>
      <c r="AY247" s="22"/>
      <c r="AZ247" s="760"/>
      <c r="BA247" s="760"/>
      <c r="BB247" s="22"/>
      <c r="BC247" s="22"/>
      <c r="BD247" s="22"/>
      <c r="BE247" s="22"/>
      <c r="BF247" s="22"/>
      <c r="BG247" s="22"/>
      <c r="BH247" s="22"/>
      <c r="BI247" s="22"/>
      <c r="BJ247" s="22"/>
      <c r="BK247" s="22"/>
      <c r="BL247" s="22"/>
      <c r="CE247" s="22"/>
      <c r="CF247" s="565"/>
    </row>
    <row r="248" spans="8:84" ht="19.5" customHeight="1">
      <c r="H248" s="18"/>
      <c r="I248" s="19"/>
      <c r="J248" s="19"/>
      <c r="K248" s="20"/>
      <c r="L248" s="22"/>
      <c r="M248" s="22"/>
      <c r="N248" s="22"/>
      <c r="O248" s="22"/>
      <c r="P248" s="22"/>
      <c r="Q248" s="22"/>
      <c r="R248" s="571"/>
      <c r="S248" s="571"/>
      <c r="T248" s="571"/>
      <c r="U248" s="22"/>
      <c r="V248" s="22"/>
      <c r="W248" s="22"/>
      <c r="X248" s="22"/>
      <c r="Y248" s="22"/>
      <c r="Z248" s="22"/>
      <c r="AA248" s="476"/>
      <c r="AB248" s="485"/>
      <c r="AC248" s="449"/>
      <c r="AD248" s="485"/>
      <c r="AE248" s="449"/>
      <c r="AF248" s="449"/>
      <c r="AG248" s="22"/>
      <c r="AH248" s="22"/>
      <c r="AI248" s="449"/>
      <c r="AJ248" s="449"/>
      <c r="AK248" s="449"/>
      <c r="AL248" s="449"/>
      <c r="AM248" s="449"/>
      <c r="AN248" s="765"/>
      <c r="AO248" s="765"/>
      <c r="AP248" s="765"/>
      <c r="AQ248" s="765"/>
      <c r="AR248" s="449"/>
      <c r="AS248" s="489"/>
      <c r="AT248" s="449"/>
      <c r="AU248" s="485"/>
      <c r="AV248" s="22"/>
      <c r="AW248" s="22"/>
      <c r="AX248" s="22"/>
      <c r="AY248" s="22"/>
      <c r="AZ248" s="760"/>
      <c r="BA248" s="760"/>
      <c r="BB248" s="22"/>
      <c r="BC248" s="22"/>
      <c r="BD248" s="22"/>
      <c r="BE248" s="22"/>
      <c r="BF248" s="22"/>
      <c r="BG248" s="22"/>
      <c r="BH248" s="22"/>
      <c r="BI248" s="22"/>
      <c r="BJ248" s="22"/>
      <c r="BK248" s="22"/>
      <c r="BL248" s="22"/>
      <c r="CE248" s="22"/>
      <c r="CF248" s="565"/>
    </row>
    <row r="249" spans="8:84" ht="19.5" customHeight="1">
      <c r="H249" s="18"/>
      <c r="I249" s="19"/>
      <c r="J249" s="19"/>
      <c r="K249" s="20"/>
      <c r="L249" s="22"/>
      <c r="M249" s="22"/>
      <c r="N249" s="22"/>
      <c r="O249" s="22"/>
      <c r="P249" s="22"/>
      <c r="Q249" s="22"/>
      <c r="R249" s="571"/>
      <c r="S249" s="571"/>
      <c r="T249" s="571"/>
      <c r="U249" s="22"/>
      <c r="V249" s="22"/>
      <c r="W249" s="22"/>
      <c r="X249" s="22"/>
      <c r="Y249" s="22"/>
      <c r="Z249" s="22"/>
      <c r="AA249" s="476"/>
      <c r="AB249" s="485"/>
      <c r="AC249" s="449"/>
      <c r="AD249" s="485"/>
      <c r="AE249" s="449"/>
      <c r="AF249" s="449"/>
      <c r="AG249" s="22"/>
      <c r="AH249" s="22"/>
      <c r="AI249" s="449"/>
      <c r="AJ249" s="449"/>
      <c r="AK249" s="449"/>
      <c r="AL249" s="449"/>
      <c r="AM249" s="449"/>
      <c r="AN249" s="765"/>
      <c r="AO249" s="765"/>
      <c r="AP249" s="765"/>
      <c r="AQ249" s="765"/>
      <c r="AR249" s="449"/>
      <c r="AS249" s="489"/>
      <c r="AT249" s="449"/>
      <c r="AU249" s="485"/>
      <c r="AV249" s="22"/>
      <c r="AW249" s="22"/>
      <c r="AX249" s="22"/>
      <c r="AY249" s="22"/>
      <c r="AZ249" s="760"/>
      <c r="BA249" s="760"/>
      <c r="BB249" s="22"/>
      <c r="BC249" s="22"/>
      <c r="BD249" s="22"/>
      <c r="BE249" s="22"/>
      <c r="BF249" s="22"/>
      <c r="BG249" s="22"/>
      <c r="BH249" s="22"/>
      <c r="BI249" s="22"/>
      <c r="BJ249" s="22"/>
      <c r="BK249" s="22"/>
      <c r="BL249" s="22"/>
      <c r="CE249" s="22"/>
      <c r="CF249" s="565"/>
    </row>
    <row r="250" spans="8:84" ht="19.5" customHeight="1">
      <c r="H250" s="18"/>
      <c r="I250" s="19"/>
      <c r="J250" s="19"/>
      <c r="K250" s="20"/>
      <c r="L250" s="22"/>
      <c r="M250" s="22"/>
      <c r="N250" s="22"/>
      <c r="O250" s="22"/>
      <c r="P250" s="22"/>
      <c r="Q250" s="22"/>
      <c r="R250" s="571"/>
      <c r="S250" s="571"/>
      <c r="T250" s="571"/>
      <c r="U250" s="22"/>
      <c r="V250" s="22"/>
      <c r="W250" s="22"/>
      <c r="X250" s="22"/>
      <c r="Y250" s="22"/>
      <c r="Z250" s="22"/>
      <c r="AA250" s="476"/>
      <c r="AB250" s="485"/>
      <c r="AC250" s="449"/>
      <c r="AD250" s="485"/>
      <c r="AE250" s="449"/>
      <c r="AF250" s="449"/>
      <c r="AG250" s="22"/>
      <c r="AH250" s="22"/>
      <c r="AI250" s="449"/>
      <c r="AJ250" s="449"/>
      <c r="AK250" s="449"/>
      <c r="AL250" s="449"/>
      <c r="AM250" s="449"/>
      <c r="AN250" s="765"/>
      <c r="AO250" s="765"/>
      <c r="AP250" s="765"/>
      <c r="AQ250" s="765"/>
      <c r="AR250" s="449"/>
      <c r="AS250" s="489"/>
      <c r="AT250" s="449"/>
      <c r="AU250" s="485"/>
      <c r="AV250" s="22"/>
      <c r="AW250" s="22"/>
      <c r="AX250" s="22"/>
      <c r="AY250" s="22"/>
      <c r="AZ250" s="760"/>
      <c r="BA250" s="760"/>
      <c r="BB250" s="22"/>
      <c r="BC250" s="22"/>
      <c r="BD250" s="22"/>
      <c r="BE250" s="22"/>
      <c r="BF250" s="22"/>
      <c r="BG250" s="22"/>
      <c r="BH250" s="22"/>
      <c r="BI250" s="22"/>
      <c r="BJ250" s="22"/>
      <c r="BK250" s="22"/>
      <c r="BL250" s="22"/>
      <c r="CE250" s="22"/>
      <c r="CF250" s="565"/>
    </row>
    <row r="251" spans="8:84" ht="19.5" customHeight="1">
      <c r="H251" s="18"/>
      <c r="I251" s="19"/>
      <c r="J251" s="19"/>
      <c r="K251" s="20"/>
      <c r="L251" s="22"/>
      <c r="M251" s="22"/>
      <c r="N251" s="22"/>
      <c r="O251" s="22"/>
      <c r="P251" s="22"/>
      <c r="Q251" s="22"/>
      <c r="R251" s="571"/>
      <c r="S251" s="571"/>
      <c r="T251" s="571"/>
      <c r="U251" s="22"/>
      <c r="V251" s="22"/>
      <c r="W251" s="22"/>
      <c r="X251" s="22"/>
      <c r="Y251" s="22"/>
      <c r="Z251" s="22"/>
      <c r="AA251" s="476"/>
      <c r="AB251" s="485"/>
      <c r="AC251" s="449"/>
      <c r="AD251" s="485"/>
      <c r="AE251" s="449"/>
      <c r="AF251" s="449"/>
      <c r="AG251" s="22"/>
      <c r="AH251" s="22"/>
      <c r="AI251" s="449"/>
      <c r="AJ251" s="449"/>
      <c r="AK251" s="449"/>
      <c r="AL251" s="449"/>
      <c r="AM251" s="449"/>
      <c r="AN251" s="765"/>
      <c r="AO251" s="765"/>
      <c r="AP251" s="765"/>
      <c r="AQ251" s="765"/>
      <c r="AR251" s="449"/>
      <c r="AS251" s="489"/>
      <c r="AT251" s="449"/>
      <c r="AU251" s="485"/>
      <c r="AV251" s="22"/>
      <c r="AW251" s="22"/>
      <c r="AX251" s="22"/>
      <c r="AY251" s="22"/>
      <c r="AZ251" s="760"/>
      <c r="BA251" s="760"/>
      <c r="BB251" s="22"/>
      <c r="BC251" s="22"/>
      <c r="BD251" s="22"/>
      <c r="BE251" s="22"/>
      <c r="BF251" s="22"/>
      <c r="BG251" s="22"/>
      <c r="BH251" s="22"/>
      <c r="BI251" s="22"/>
      <c r="BJ251" s="22"/>
      <c r="BK251" s="22"/>
      <c r="BL251" s="22"/>
      <c r="CE251" s="22"/>
      <c r="CF251" s="565"/>
    </row>
    <row r="252" spans="8:84" ht="19.5" customHeight="1">
      <c r="H252" s="18"/>
      <c r="I252" s="19"/>
      <c r="J252" s="19"/>
      <c r="K252" s="20"/>
      <c r="L252" s="22"/>
      <c r="M252" s="22"/>
      <c r="N252" s="22"/>
      <c r="O252" s="22"/>
      <c r="P252" s="22"/>
      <c r="Q252" s="22"/>
      <c r="R252" s="571"/>
      <c r="S252" s="571"/>
      <c r="T252" s="571"/>
      <c r="U252" s="22"/>
      <c r="V252" s="22"/>
      <c r="W252" s="22"/>
      <c r="X252" s="22"/>
      <c r="Y252" s="22"/>
      <c r="Z252" s="22"/>
      <c r="AA252" s="476"/>
      <c r="AB252" s="485"/>
      <c r="AC252" s="449"/>
      <c r="AD252" s="485"/>
      <c r="AE252" s="449"/>
      <c r="AF252" s="449"/>
      <c r="AG252" s="22"/>
      <c r="AH252" s="22"/>
      <c r="AI252" s="449"/>
      <c r="AJ252" s="449"/>
      <c r="AK252" s="449"/>
      <c r="AL252" s="449"/>
      <c r="AM252" s="449"/>
      <c r="AN252" s="765"/>
      <c r="AO252" s="765"/>
      <c r="AP252" s="765"/>
      <c r="AQ252" s="765"/>
      <c r="AR252" s="449"/>
      <c r="AS252" s="489"/>
      <c r="AT252" s="449"/>
      <c r="AU252" s="485"/>
      <c r="AV252" s="22"/>
      <c r="AW252" s="22"/>
      <c r="AX252" s="22"/>
      <c r="AY252" s="22"/>
      <c r="AZ252" s="760"/>
      <c r="BA252" s="760"/>
      <c r="BB252" s="22"/>
      <c r="BC252" s="22"/>
      <c r="BD252" s="22"/>
      <c r="BE252" s="22"/>
      <c r="BF252" s="22"/>
      <c r="BG252" s="22"/>
      <c r="BH252" s="22"/>
      <c r="BI252" s="22"/>
      <c r="BJ252" s="22"/>
      <c r="BK252" s="22"/>
      <c r="BL252" s="22"/>
      <c r="CE252" s="22"/>
      <c r="CF252" s="565"/>
    </row>
    <row r="253" spans="8:84" ht="19.5" customHeight="1">
      <c r="H253" s="18"/>
      <c r="I253" s="19"/>
      <c r="J253" s="19"/>
      <c r="K253" s="20"/>
      <c r="L253" s="22"/>
      <c r="M253" s="22"/>
      <c r="N253" s="22"/>
      <c r="O253" s="22"/>
      <c r="P253" s="22"/>
      <c r="Q253" s="22"/>
      <c r="R253" s="571"/>
      <c r="S253" s="571"/>
      <c r="T253" s="571"/>
      <c r="U253" s="22"/>
      <c r="V253" s="22"/>
      <c r="W253" s="22"/>
      <c r="X253" s="22"/>
      <c r="Y253" s="22"/>
      <c r="Z253" s="22"/>
      <c r="AA253" s="476"/>
      <c r="AB253" s="485"/>
      <c r="AC253" s="449"/>
      <c r="AD253" s="485"/>
      <c r="AE253" s="449"/>
      <c r="AF253" s="449"/>
      <c r="AG253" s="22"/>
      <c r="AH253" s="22"/>
      <c r="AI253" s="449"/>
      <c r="AJ253" s="449"/>
      <c r="AK253" s="449"/>
      <c r="AL253" s="449"/>
      <c r="AM253" s="449"/>
      <c r="AN253" s="765"/>
      <c r="AO253" s="765"/>
      <c r="AP253" s="765"/>
      <c r="AQ253" s="765"/>
      <c r="AR253" s="449"/>
      <c r="AS253" s="489"/>
      <c r="AT253" s="449"/>
      <c r="AU253" s="485"/>
      <c r="AV253" s="22"/>
      <c r="AW253" s="22"/>
      <c r="AX253" s="22"/>
      <c r="AY253" s="22"/>
      <c r="AZ253" s="760"/>
      <c r="BA253" s="760"/>
      <c r="BB253" s="22"/>
      <c r="BC253" s="22"/>
      <c r="BD253" s="22"/>
      <c r="BE253" s="22"/>
      <c r="BF253" s="22"/>
      <c r="BG253" s="22"/>
      <c r="BH253" s="22"/>
      <c r="BI253" s="22"/>
      <c r="BJ253" s="22"/>
      <c r="BK253" s="22"/>
      <c r="BL253" s="22"/>
      <c r="CE253" s="22"/>
      <c r="CF253" s="565"/>
    </row>
    <row r="254" spans="8:84" ht="19.5" customHeight="1">
      <c r="H254" s="18"/>
      <c r="I254" s="19"/>
      <c r="J254" s="19"/>
      <c r="K254" s="20"/>
      <c r="L254" s="22"/>
      <c r="M254" s="22"/>
      <c r="N254" s="22"/>
      <c r="O254" s="22"/>
      <c r="P254" s="22"/>
      <c r="Q254" s="22"/>
      <c r="R254" s="571"/>
      <c r="S254" s="571"/>
      <c r="T254" s="571"/>
      <c r="U254" s="22"/>
      <c r="V254" s="22"/>
      <c r="W254" s="22"/>
      <c r="X254" s="22"/>
      <c r="Y254" s="22"/>
      <c r="Z254" s="22"/>
      <c r="AA254" s="476"/>
      <c r="AB254" s="485"/>
      <c r="AC254" s="449"/>
      <c r="AD254" s="485"/>
      <c r="AE254" s="449"/>
      <c r="AF254" s="449"/>
      <c r="AG254" s="22"/>
      <c r="AH254" s="22"/>
      <c r="AI254" s="449"/>
      <c r="AJ254" s="449"/>
      <c r="AK254" s="449"/>
      <c r="AL254" s="449"/>
      <c r="AM254" s="449"/>
      <c r="AN254" s="765"/>
      <c r="AO254" s="765"/>
      <c r="AP254" s="765"/>
      <c r="AQ254" s="765"/>
      <c r="AR254" s="449"/>
      <c r="AS254" s="489"/>
      <c r="AT254" s="449"/>
      <c r="AU254" s="485"/>
      <c r="AV254" s="22"/>
      <c r="AW254" s="22"/>
      <c r="AX254" s="22"/>
      <c r="AY254" s="22"/>
      <c r="AZ254" s="760"/>
      <c r="BA254" s="760"/>
      <c r="BB254" s="22"/>
      <c r="BC254" s="22"/>
      <c r="BD254" s="22"/>
      <c r="BE254" s="22"/>
      <c r="BF254" s="22"/>
      <c r="BG254" s="22"/>
      <c r="BH254" s="22"/>
      <c r="BI254" s="22"/>
      <c r="BJ254" s="22"/>
      <c r="BK254" s="22"/>
      <c r="BL254" s="22"/>
      <c r="CE254" s="22"/>
      <c r="CF254" s="565"/>
    </row>
    <row r="255" spans="8:84" ht="19.5" customHeight="1">
      <c r="H255" s="18"/>
      <c r="I255" s="19"/>
      <c r="J255" s="19"/>
      <c r="K255" s="20"/>
      <c r="L255" s="22"/>
      <c r="M255" s="22"/>
      <c r="N255" s="22"/>
      <c r="O255" s="22"/>
      <c r="P255" s="22"/>
      <c r="Q255" s="22"/>
      <c r="R255" s="571"/>
      <c r="S255" s="571"/>
      <c r="T255" s="571"/>
      <c r="U255" s="22"/>
      <c r="V255" s="22"/>
      <c r="W255" s="22"/>
      <c r="X255" s="22"/>
      <c r="Y255" s="22"/>
      <c r="Z255" s="22"/>
      <c r="AA255" s="476"/>
      <c r="AB255" s="485"/>
      <c r="AC255" s="449"/>
      <c r="AD255" s="485"/>
      <c r="AE255" s="449"/>
      <c r="AF255" s="449"/>
      <c r="AG255" s="22"/>
      <c r="AH255" s="22"/>
      <c r="AI255" s="449"/>
      <c r="AJ255" s="449"/>
      <c r="AK255" s="449"/>
      <c r="AL255" s="449"/>
      <c r="AM255" s="449"/>
      <c r="AN255" s="765"/>
      <c r="AO255" s="765"/>
      <c r="AP255" s="765"/>
      <c r="AQ255" s="765"/>
      <c r="AR255" s="449"/>
      <c r="AS255" s="489"/>
      <c r="AT255" s="449"/>
      <c r="AU255" s="485"/>
      <c r="AV255" s="22"/>
      <c r="AW255" s="22"/>
      <c r="AX255" s="22"/>
      <c r="AY255" s="22"/>
      <c r="AZ255" s="760"/>
      <c r="BA255" s="760"/>
      <c r="BB255" s="22"/>
      <c r="BC255" s="22"/>
      <c r="BD255" s="22"/>
      <c r="BE255" s="22"/>
      <c r="BF255" s="22"/>
      <c r="BG255" s="22"/>
      <c r="BH255" s="22"/>
      <c r="BI255" s="22"/>
      <c r="BJ255" s="22"/>
      <c r="BK255" s="22"/>
      <c r="BL255" s="22"/>
      <c r="CE255" s="22"/>
      <c r="CF255" s="565"/>
    </row>
    <row r="256" spans="8:84" ht="19.5" customHeight="1">
      <c r="H256" s="18"/>
      <c r="I256" s="19"/>
      <c r="J256" s="19"/>
      <c r="K256" s="20"/>
      <c r="L256" s="22"/>
      <c r="M256" s="22"/>
      <c r="N256" s="22"/>
      <c r="O256" s="22"/>
      <c r="P256" s="22"/>
      <c r="Q256" s="22"/>
      <c r="R256" s="571"/>
      <c r="S256" s="571"/>
      <c r="T256" s="571"/>
      <c r="U256" s="22"/>
      <c r="V256" s="22"/>
      <c r="W256" s="22"/>
      <c r="X256" s="22"/>
      <c r="Y256" s="22"/>
      <c r="Z256" s="22"/>
      <c r="AA256" s="476"/>
      <c r="AB256" s="485"/>
      <c r="AC256" s="449"/>
      <c r="AD256" s="485"/>
      <c r="AE256" s="449"/>
      <c r="AF256" s="449"/>
      <c r="AG256" s="22"/>
      <c r="AH256" s="22"/>
      <c r="AI256" s="449"/>
      <c r="AJ256" s="449"/>
      <c r="AK256" s="449"/>
      <c r="AL256" s="449"/>
      <c r="AM256" s="449"/>
      <c r="AN256" s="765"/>
      <c r="AO256" s="765"/>
      <c r="AP256" s="765"/>
      <c r="AQ256" s="765"/>
      <c r="AR256" s="449"/>
      <c r="AS256" s="489"/>
      <c r="AT256" s="449"/>
      <c r="AU256" s="485"/>
      <c r="AV256" s="22"/>
      <c r="AW256" s="22"/>
      <c r="AX256" s="22"/>
      <c r="AY256" s="22"/>
      <c r="AZ256" s="760"/>
      <c r="BA256" s="760"/>
      <c r="BB256" s="22"/>
      <c r="BC256" s="22"/>
      <c r="BD256" s="22"/>
      <c r="BE256" s="22"/>
      <c r="BF256" s="22"/>
      <c r="BG256" s="22"/>
      <c r="BH256" s="22"/>
      <c r="BI256" s="22"/>
      <c r="BJ256" s="22"/>
      <c r="BK256" s="22"/>
      <c r="BL256" s="22"/>
      <c r="CE256" s="22"/>
      <c r="CF256" s="565"/>
    </row>
    <row r="257" spans="8:84" ht="19.5" customHeight="1">
      <c r="H257" s="18"/>
      <c r="I257" s="19"/>
      <c r="J257" s="19"/>
      <c r="K257" s="20"/>
      <c r="L257" s="22"/>
      <c r="M257" s="22"/>
      <c r="N257" s="22"/>
      <c r="O257" s="22"/>
      <c r="P257" s="22"/>
      <c r="Q257" s="22"/>
      <c r="R257" s="571"/>
      <c r="S257" s="571"/>
      <c r="T257" s="571"/>
      <c r="U257" s="22"/>
      <c r="V257" s="22"/>
      <c r="W257" s="22"/>
      <c r="X257" s="22"/>
      <c r="Y257" s="22"/>
      <c r="Z257" s="22"/>
      <c r="AA257" s="476"/>
      <c r="AB257" s="485"/>
      <c r="AC257" s="449"/>
      <c r="AD257" s="485"/>
      <c r="AE257" s="449"/>
      <c r="AF257" s="449"/>
      <c r="AG257" s="22"/>
      <c r="AH257" s="22"/>
      <c r="AI257" s="449"/>
      <c r="AJ257" s="449"/>
      <c r="AK257" s="449"/>
      <c r="AL257" s="449"/>
      <c r="AM257" s="449"/>
      <c r="AN257" s="765"/>
      <c r="AO257" s="765"/>
      <c r="AP257" s="765"/>
      <c r="AQ257" s="765"/>
      <c r="AR257" s="449"/>
      <c r="AS257" s="489"/>
      <c r="AT257" s="449"/>
      <c r="AU257" s="485"/>
      <c r="AV257" s="22"/>
      <c r="AW257" s="22"/>
      <c r="AX257" s="22"/>
      <c r="AY257" s="22"/>
      <c r="AZ257" s="760"/>
      <c r="BA257" s="760"/>
      <c r="BB257" s="22"/>
      <c r="BC257" s="22"/>
      <c r="BD257" s="22"/>
      <c r="BE257" s="22"/>
      <c r="BF257" s="22"/>
      <c r="BG257" s="22"/>
      <c r="BH257" s="22"/>
      <c r="BI257" s="22"/>
      <c r="BJ257" s="22"/>
      <c r="BK257" s="22"/>
      <c r="BL257" s="22"/>
      <c r="CE257" s="22"/>
      <c r="CF257" s="565"/>
    </row>
    <row r="258" spans="8:84" ht="19.5" customHeight="1">
      <c r="H258" s="18"/>
      <c r="I258" s="19"/>
      <c r="J258" s="19"/>
      <c r="K258" s="20"/>
      <c r="L258" s="22"/>
      <c r="M258" s="22"/>
      <c r="N258" s="22"/>
      <c r="O258" s="22"/>
      <c r="P258" s="22"/>
      <c r="Q258" s="22"/>
      <c r="R258" s="571"/>
      <c r="S258" s="571"/>
      <c r="T258" s="571"/>
      <c r="U258" s="22"/>
      <c r="V258" s="22"/>
      <c r="W258" s="22"/>
      <c r="X258" s="22"/>
      <c r="Y258" s="22"/>
      <c r="Z258" s="22"/>
      <c r="AA258" s="476"/>
      <c r="AB258" s="485"/>
      <c r="AC258" s="449"/>
      <c r="AD258" s="485"/>
      <c r="AE258" s="449"/>
      <c r="AF258" s="449"/>
      <c r="AG258" s="22"/>
      <c r="AH258" s="22"/>
      <c r="AI258" s="449"/>
      <c r="AJ258" s="449"/>
      <c r="AK258" s="449"/>
      <c r="AL258" s="449"/>
      <c r="AM258" s="449"/>
      <c r="AN258" s="765"/>
      <c r="AO258" s="765"/>
      <c r="AP258" s="765"/>
      <c r="AQ258" s="765"/>
      <c r="AR258" s="449"/>
      <c r="AS258" s="489"/>
      <c r="AT258" s="449"/>
      <c r="AU258" s="485"/>
      <c r="AV258" s="22"/>
      <c r="AW258" s="22"/>
      <c r="AX258" s="22"/>
      <c r="AY258" s="22"/>
      <c r="AZ258" s="760"/>
      <c r="BA258" s="760"/>
      <c r="BB258" s="22"/>
      <c r="BC258" s="22"/>
      <c r="BD258" s="22"/>
      <c r="BE258" s="22"/>
      <c r="BF258" s="22"/>
      <c r="BG258" s="22"/>
      <c r="BH258" s="22"/>
      <c r="BI258" s="22"/>
      <c r="BJ258" s="22"/>
      <c r="BK258" s="22"/>
      <c r="BL258" s="22"/>
      <c r="CE258" s="22"/>
      <c r="CF258" s="565"/>
    </row>
    <row r="259" spans="8:84" ht="19.5" customHeight="1">
      <c r="H259" s="18"/>
      <c r="I259" s="19"/>
      <c r="J259" s="19"/>
      <c r="K259" s="20"/>
      <c r="L259" s="22"/>
      <c r="M259" s="22"/>
      <c r="N259" s="22"/>
      <c r="O259" s="22"/>
      <c r="P259" s="22"/>
      <c r="Q259" s="22"/>
      <c r="R259" s="571"/>
      <c r="S259" s="571"/>
      <c r="T259" s="571"/>
      <c r="U259" s="22"/>
      <c r="V259" s="22"/>
      <c r="W259" s="22"/>
      <c r="X259" s="22"/>
      <c r="Y259" s="22"/>
      <c r="Z259" s="22"/>
      <c r="AA259" s="476"/>
      <c r="AB259" s="485"/>
      <c r="AC259" s="449"/>
      <c r="AD259" s="485"/>
      <c r="AE259" s="449"/>
      <c r="AF259" s="449"/>
      <c r="AG259" s="22"/>
      <c r="AH259" s="22"/>
      <c r="AI259" s="449"/>
      <c r="AJ259" s="449"/>
      <c r="AK259" s="449"/>
      <c r="AL259" s="449"/>
      <c r="AM259" s="449"/>
      <c r="AN259" s="765"/>
      <c r="AO259" s="765"/>
      <c r="AP259" s="765"/>
      <c r="AQ259" s="765"/>
      <c r="AR259" s="449"/>
      <c r="AS259" s="489"/>
      <c r="AT259" s="449"/>
      <c r="AU259" s="485"/>
      <c r="AV259" s="22"/>
      <c r="AW259" s="22"/>
      <c r="AX259" s="22"/>
      <c r="AY259" s="22"/>
      <c r="AZ259" s="760"/>
      <c r="BA259" s="760"/>
      <c r="BB259" s="22"/>
      <c r="BC259" s="22"/>
      <c r="BD259" s="22"/>
      <c r="BE259" s="22"/>
      <c r="BF259" s="22"/>
      <c r="BG259" s="22"/>
      <c r="BH259" s="22"/>
      <c r="BI259" s="22"/>
      <c r="BJ259" s="22"/>
      <c r="BK259" s="22"/>
      <c r="BL259" s="22"/>
      <c r="CE259" s="22"/>
      <c r="CF259" s="565"/>
    </row>
    <row r="260" spans="8:84" ht="19.5" customHeight="1">
      <c r="H260" s="18"/>
      <c r="I260" s="19"/>
      <c r="J260" s="19"/>
      <c r="K260" s="20"/>
      <c r="L260" s="22"/>
      <c r="M260" s="22"/>
      <c r="N260" s="22"/>
      <c r="O260" s="22"/>
      <c r="P260" s="22"/>
      <c r="Q260" s="22"/>
      <c r="R260" s="571"/>
      <c r="S260" s="571"/>
      <c r="T260" s="571"/>
      <c r="U260" s="22"/>
      <c r="V260" s="22"/>
      <c r="W260" s="22"/>
      <c r="X260" s="22"/>
      <c r="Y260" s="22"/>
      <c r="Z260" s="22"/>
      <c r="AA260" s="476"/>
      <c r="AB260" s="485"/>
      <c r="AC260" s="449"/>
      <c r="AD260" s="485"/>
      <c r="AE260" s="449"/>
      <c r="AF260" s="449"/>
      <c r="AG260" s="22"/>
      <c r="AH260" s="22"/>
      <c r="AI260" s="449"/>
      <c r="AJ260" s="449"/>
      <c r="AK260" s="449"/>
      <c r="AL260" s="449"/>
      <c r="AM260" s="449"/>
      <c r="AN260" s="765"/>
      <c r="AO260" s="765"/>
      <c r="AP260" s="765"/>
      <c r="AQ260" s="765"/>
      <c r="AR260" s="449"/>
      <c r="AS260" s="489"/>
      <c r="AT260" s="449"/>
      <c r="AU260" s="485"/>
      <c r="AV260" s="22"/>
      <c r="AW260" s="22"/>
      <c r="AX260" s="22"/>
      <c r="AY260" s="22"/>
      <c r="AZ260" s="760"/>
      <c r="BA260" s="760"/>
      <c r="BB260" s="22"/>
      <c r="BC260" s="22"/>
      <c r="BD260" s="22"/>
      <c r="BE260" s="22"/>
      <c r="BF260" s="22"/>
      <c r="BG260" s="22"/>
      <c r="BH260" s="22"/>
      <c r="BI260" s="22"/>
      <c r="BJ260" s="22"/>
      <c r="BK260" s="22"/>
      <c r="BL260" s="22"/>
      <c r="CE260" s="22"/>
      <c r="CF260" s="565"/>
    </row>
    <row r="261" spans="8:84" ht="19.5" customHeight="1">
      <c r="H261" s="18"/>
      <c r="I261" s="19"/>
      <c r="J261" s="19"/>
      <c r="K261" s="20"/>
      <c r="L261" s="22"/>
      <c r="M261" s="22"/>
      <c r="N261" s="22"/>
      <c r="O261" s="22"/>
      <c r="P261" s="22"/>
      <c r="Q261" s="22"/>
      <c r="R261" s="571"/>
      <c r="S261" s="571"/>
      <c r="T261" s="571"/>
      <c r="U261" s="22"/>
      <c r="V261" s="22"/>
      <c r="W261" s="22"/>
      <c r="X261" s="22"/>
      <c r="Y261" s="22"/>
      <c r="Z261" s="22"/>
      <c r="AA261" s="476"/>
      <c r="AB261" s="485"/>
      <c r="AC261" s="449"/>
      <c r="AD261" s="485"/>
      <c r="AE261" s="449"/>
      <c r="AF261" s="449"/>
      <c r="AG261" s="22"/>
      <c r="AH261" s="22"/>
      <c r="AI261" s="449"/>
      <c r="AJ261" s="449"/>
      <c r="AK261" s="449"/>
      <c r="AL261" s="449"/>
      <c r="AM261" s="449"/>
      <c r="AN261" s="765"/>
      <c r="AO261" s="765"/>
      <c r="AP261" s="765"/>
      <c r="AQ261" s="765"/>
      <c r="AR261" s="449"/>
      <c r="AS261" s="489"/>
      <c r="AT261" s="449"/>
      <c r="AU261" s="485"/>
      <c r="AV261" s="22"/>
      <c r="AW261" s="22"/>
      <c r="AX261" s="22"/>
      <c r="AY261" s="22"/>
      <c r="AZ261" s="760"/>
      <c r="BA261" s="760"/>
      <c r="BB261" s="22"/>
      <c r="BC261" s="22"/>
      <c r="BD261" s="22"/>
      <c r="BE261" s="22"/>
      <c r="BF261" s="22"/>
      <c r="BG261" s="22"/>
      <c r="BH261" s="22"/>
      <c r="BI261" s="22"/>
      <c r="BJ261" s="22"/>
      <c r="BK261" s="22"/>
      <c r="BL261" s="22"/>
      <c r="CE261" s="22"/>
      <c r="CF261" s="565"/>
    </row>
    <row r="262" spans="8:84" ht="19.5" customHeight="1">
      <c r="H262" s="18"/>
      <c r="I262" s="19"/>
      <c r="J262" s="19"/>
      <c r="K262" s="20"/>
      <c r="L262" s="22"/>
      <c r="M262" s="22"/>
      <c r="N262" s="22"/>
      <c r="O262" s="22"/>
      <c r="P262" s="22"/>
      <c r="Q262" s="22"/>
      <c r="R262" s="571"/>
      <c r="S262" s="571"/>
      <c r="T262" s="571"/>
      <c r="U262" s="22"/>
      <c r="V262" s="22"/>
      <c r="W262" s="22"/>
      <c r="X262" s="22"/>
      <c r="Y262" s="22"/>
      <c r="Z262" s="22"/>
      <c r="AA262" s="476"/>
      <c r="AB262" s="485"/>
      <c r="AC262" s="449"/>
      <c r="AD262" s="485"/>
      <c r="AE262" s="449"/>
      <c r="AF262" s="449"/>
      <c r="AG262" s="22"/>
      <c r="AH262" s="22"/>
      <c r="AI262" s="449"/>
      <c r="AJ262" s="449"/>
      <c r="AK262" s="449"/>
      <c r="AL262" s="449"/>
      <c r="AM262" s="449"/>
      <c r="AN262" s="765"/>
      <c r="AO262" s="765"/>
      <c r="AP262" s="765"/>
      <c r="AQ262" s="765"/>
      <c r="AR262" s="449"/>
      <c r="AS262" s="489"/>
      <c r="AT262" s="449"/>
      <c r="AU262" s="485"/>
      <c r="AV262" s="22"/>
      <c r="AW262" s="22"/>
      <c r="AX262" s="22"/>
      <c r="AY262" s="22"/>
      <c r="AZ262" s="760"/>
      <c r="BA262" s="760"/>
      <c r="BB262" s="22"/>
      <c r="BC262" s="22"/>
      <c r="BD262" s="22"/>
      <c r="BE262" s="22"/>
      <c r="BF262" s="22"/>
      <c r="BG262" s="22"/>
      <c r="BH262" s="22"/>
      <c r="BI262" s="22"/>
      <c r="BJ262" s="22"/>
      <c r="BK262" s="22"/>
      <c r="BL262" s="22"/>
      <c r="CE262" s="22"/>
      <c r="CF262" s="565"/>
    </row>
    <row r="263" spans="8:84" ht="19.5" customHeight="1">
      <c r="H263" s="18"/>
      <c r="I263" s="19"/>
      <c r="J263" s="19"/>
      <c r="K263" s="20"/>
      <c r="L263" s="22"/>
      <c r="M263" s="22"/>
      <c r="N263" s="22"/>
      <c r="O263" s="22"/>
      <c r="P263" s="22"/>
      <c r="Q263" s="22"/>
      <c r="R263" s="571"/>
      <c r="S263" s="571"/>
      <c r="T263" s="571"/>
      <c r="U263" s="22"/>
      <c r="V263" s="22"/>
      <c r="W263" s="22"/>
      <c r="X263" s="22"/>
      <c r="Y263" s="22"/>
      <c r="Z263" s="22"/>
      <c r="AA263" s="476"/>
      <c r="AB263" s="485"/>
      <c r="AC263" s="449"/>
      <c r="AD263" s="485"/>
      <c r="AE263" s="449"/>
      <c r="AF263" s="449"/>
      <c r="AG263" s="22"/>
      <c r="AH263" s="22"/>
      <c r="AI263" s="449"/>
      <c r="AJ263" s="449"/>
      <c r="AK263" s="449"/>
      <c r="AL263" s="449"/>
      <c r="AM263" s="449"/>
      <c r="AN263" s="765"/>
      <c r="AO263" s="765"/>
      <c r="AP263" s="765"/>
      <c r="AQ263" s="765"/>
      <c r="AR263" s="449"/>
      <c r="AS263" s="489"/>
      <c r="AT263" s="449"/>
      <c r="AU263" s="485"/>
      <c r="AV263" s="22"/>
      <c r="AW263" s="22"/>
      <c r="AX263" s="22"/>
      <c r="AY263" s="22"/>
      <c r="AZ263" s="760"/>
      <c r="BA263" s="760"/>
      <c r="BB263" s="22"/>
      <c r="BC263" s="22"/>
      <c r="BD263" s="22"/>
      <c r="BE263" s="22"/>
      <c r="BF263" s="22"/>
      <c r="BG263" s="22"/>
      <c r="BH263" s="22"/>
      <c r="BI263" s="22"/>
      <c r="BJ263" s="22"/>
      <c r="BK263" s="22"/>
      <c r="BL263" s="22"/>
      <c r="CE263" s="22"/>
      <c r="CF263" s="565"/>
    </row>
    <row r="264" spans="8:84" ht="19.5" customHeight="1">
      <c r="H264" s="18"/>
      <c r="I264" s="19"/>
      <c r="J264" s="19"/>
      <c r="K264" s="20"/>
      <c r="L264" s="22"/>
      <c r="M264" s="22"/>
      <c r="N264" s="22"/>
      <c r="O264" s="22"/>
      <c r="P264" s="22"/>
      <c r="Q264" s="22"/>
      <c r="R264" s="571"/>
      <c r="S264" s="571"/>
      <c r="T264" s="571"/>
      <c r="U264" s="22"/>
      <c r="V264" s="22"/>
      <c r="W264" s="22"/>
      <c r="X264" s="22"/>
      <c r="Y264" s="22"/>
      <c r="Z264" s="22"/>
      <c r="AA264" s="476"/>
      <c r="AB264" s="485"/>
      <c r="AC264" s="449"/>
      <c r="AD264" s="485"/>
      <c r="AE264" s="449"/>
      <c r="AF264" s="449"/>
      <c r="AG264" s="22"/>
      <c r="AH264" s="22"/>
      <c r="AI264" s="449"/>
      <c r="AJ264" s="449"/>
      <c r="AK264" s="449"/>
      <c r="AL264" s="449"/>
      <c r="AM264" s="449"/>
      <c r="AN264" s="765"/>
      <c r="AO264" s="765"/>
      <c r="AP264" s="765"/>
      <c r="AQ264" s="765"/>
      <c r="AR264" s="449"/>
      <c r="AS264" s="489"/>
      <c r="AT264" s="449"/>
      <c r="AU264" s="485"/>
      <c r="AV264" s="22"/>
      <c r="AW264" s="22"/>
      <c r="AX264" s="22"/>
      <c r="AY264" s="22"/>
      <c r="AZ264" s="760"/>
      <c r="BA264" s="760"/>
      <c r="BB264" s="22"/>
      <c r="BC264" s="22"/>
      <c r="BD264" s="22"/>
      <c r="BE264" s="22"/>
      <c r="BF264" s="22"/>
      <c r="BG264" s="22"/>
      <c r="BH264" s="22"/>
      <c r="BI264" s="22"/>
      <c r="BJ264" s="22"/>
      <c r="BK264" s="22"/>
      <c r="BL264" s="22"/>
      <c r="CE264" s="22"/>
      <c r="CF264" s="565"/>
    </row>
    <row r="265" spans="8:84" ht="19.5" customHeight="1">
      <c r="H265" s="18"/>
      <c r="I265" s="19"/>
      <c r="J265" s="19"/>
      <c r="K265" s="20"/>
      <c r="L265" s="22"/>
      <c r="M265" s="22"/>
      <c r="N265" s="22"/>
      <c r="O265" s="22"/>
      <c r="P265" s="22"/>
      <c r="Q265" s="22"/>
      <c r="R265" s="571"/>
      <c r="S265" s="571"/>
      <c r="T265" s="571"/>
      <c r="U265" s="22"/>
      <c r="V265" s="22"/>
      <c r="W265" s="22"/>
      <c r="X265" s="22"/>
      <c r="Y265" s="22"/>
      <c r="Z265" s="22"/>
      <c r="AA265" s="476"/>
      <c r="AB265" s="485"/>
      <c r="AC265" s="449"/>
      <c r="AD265" s="485"/>
      <c r="AE265" s="449"/>
      <c r="AF265" s="449"/>
      <c r="AG265" s="22"/>
      <c r="AH265" s="22"/>
      <c r="AI265" s="449"/>
      <c r="AJ265" s="449"/>
      <c r="AK265" s="449"/>
      <c r="AL265" s="449"/>
      <c r="AM265" s="449"/>
      <c r="AN265" s="765"/>
      <c r="AO265" s="765"/>
      <c r="AP265" s="765"/>
      <c r="AQ265" s="765"/>
      <c r="AR265" s="449"/>
      <c r="AS265" s="489"/>
      <c r="AT265" s="449"/>
      <c r="AU265" s="485"/>
      <c r="AV265" s="22"/>
      <c r="AW265" s="22"/>
      <c r="AX265" s="22"/>
      <c r="AY265" s="22"/>
      <c r="AZ265" s="760"/>
      <c r="BA265" s="760"/>
      <c r="BB265" s="22"/>
      <c r="BC265" s="22"/>
      <c r="BD265" s="22"/>
      <c r="BE265" s="22"/>
      <c r="BF265" s="22"/>
      <c r="BG265" s="22"/>
      <c r="BH265" s="22"/>
      <c r="BI265" s="22"/>
      <c r="BJ265" s="22"/>
      <c r="BK265" s="22"/>
      <c r="BL265" s="22"/>
      <c r="CE265" s="22"/>
      <c r="CF265" s="565"/>
    </row>
    <row r="266" spans="8:84" ht="19.5" customHeight="1">
      <c r="H266" s="18"/>
      <c r="I266" s="19"/>
      <c r="J266" s="19"/>
      <c r="K266" s="20"/>
      <c r="L266" s="22"/>
      <c r="M266" s="22"/>
      <c r="N266" s="22"/>
      <c r="O266" s="22"/>
      <c r="P266" s="22"/>
      <c r="Q266" s="22"/>
      <c r="R266" s="571"/>
      <c r="S266" s="571"/>
      <c r="T266" s="571"/>
      <c r="U266" s="22"/>
      <c r="V266" s="22"/>
      <c r="W266" s="22"/>
      <c r="X266" s="22"/>
      <c r="Y266" s="22"/>
      <c r="Z266" s="22"/>
      <c r="AA266" s="476"/>
      <c r="AB266" s="485"/>
      <c r="AC266" s="449"/>
      <c r="AD266" s="485"/>
      <c r="AE266" s="449"/>
      <c r="AF266" s="449"/>
      <c r="AG266" s="22"/>
      <c r="AH266" s="22"/>
      <c r="AI266" s="449"/>
      <c r="AJ266" s="449"/>
      <c r="AK266" s="449"/>
      <c r="AL266" s="449"/>
      <c r="AM266" s="449"/>
      <c r="AN266" s="765"/>
      <c r="AO266" s="765"/>
      <c r="AP266" s="765"/>
      <c r="AQ266" s="765"/>
      <c r="AR266" s="449"/>
      <c r="AS266" s="489"/>
      <c r="AT266" s="449"/>
      <c r="AU266" s="485"/>
      <c r="AV266" s="22"/>
      <c r="AW266" s="22"/>
      <c r="AX266" s="22"/>
      <c r="AY266" s="22"/>
      <c r="AZ266" s="760"/>
      <c r="BA266" s="760"/>
      <c r="BB266" s="22"/>
      <c r="BC266" s="22"/>
      <c r="BD266" s="22"/>
      <c r="BE266" s="22"/>
      <c r="BF266" s="22"/>
      <c r="BG266" s="22"/>
      <c r="BH266" s="22"/>
      <c r="BI266" s="22"/>
      <c r="BJ266" s="22"/>
      <c r="BK266" s="22"/>
      <c r="BL266" s="22"/>
      <c r="CE266" s="22"/>
      <c r="CF266" s="565"/>
    </row>
    <row r="267" spans="8:84" ht="19.5" customHeight="1">
      <c r="H267" s="18"/>
      <c r="I267" s="19"/>
      <c r="J267" s="19"/>
      <c r="K267" s="20"/>
      <c r="L267" s="22"/>
      <c r="M267" s="22"/>
      <c r="N267" s="22"/>
      <c r="O267" s="22"/>
      <c r="P267" s="22"/>
      <c r="Q267" s="22"/>
      <c r="R267" s="571"/>
      <c r="S267" s="571"/>
      <c r="T267" s="571"/>
      <c r="U267" s="22"/>
      <c r="V267" s="22"/>
      <c r="W267" s="22"/>
      <c r="X267" s="22"/>
      <c r="Y267" s="22"/>
      <c r="Z267" s="22"/>
      <c r="AA267" s="476"/>
      <c r="AB267" s="485"/>
      <c r="AC267" s="449"/>
      <c r="AD267" s="485"/>
      <c r="AE267" s="449"/>
      <c r="AF267" s="449"/>
      <c r="AG267" s="22"/>
      <c r="AH267" s="22"/>
      <c r="AI267" s="449"/>
      <c r="AJ267" s="449"/>
      <c r="AK267" s="449"/>
      <c r="AL267" s="449"/>
      <c r="AM267" s="449"/>
      <c r="AN267" s="765"/>
      <c r="AO267" s="765"/>
      <c r="AP267" s="765"/>
      <c r="AQ267" s="765"/>
      <c r="AR267" s="449"/>
      <c r="AS267" s="489"/>
      <c r="AT267" s="449"/>
      <c r="AU267" s="485"/>
      <c r="AV267" s="22"/>
      <c r="AW267" s="22"/>
      <c r="AX267" s="22"/>
      <c r="AY267" s="22"/>
      <c r="AZ267" s="760"/>
      <c r="BA267" s="760"/>
      <c r="BB267" s="22"/>
      <c r="BC267" s="22"/>
      <c r="BD267" s="22"/>
      <c r="BE267" s="22"/>
      <c r="BF267" s="22"/>
      <c r="BG267" s="22"/>
      <c r="BH267" s="22"/>
      <c r="BI267" s="22"/>
      <c r="BJ267" s="22"/>
      <c r="BK267" s="22"/>
      <c r="BL267" s="22"/>
      <c r="CE267" s="22"/>
      <c r="CF267" s="565"/>
    </row>
    <row r="268" spans="8:84" ht="19.5" customHeight="1">
      <c r="H268" s="18"/>
      <c r="I268" s="19"/>
      <c r="J268" s="19"/>
      <c r="K268" s="20"/>
      <c r="L268" s="22"/>
      <c r="M268" s="22"/>
      <c r="N268" s="22"/>
      <c r="O268" s="22"/>
      <c r="P268" s="22"/>
      <c r="Q268" s="22"/>
      <c r="R268" s="571"/>
      <c r="S268" s="571"/>
      <c r="T268" s="571"/>
      <c r="U268" s="22"/>
      <c r="V268" s="22"/>
      <c r="W268" s="22"/>
      <c r="X268" s="22"/>
      <c r="Y268" s="22"/>
      <c r="Z268" s="22"/>
      <c r="AA268" s="476"/>
      <c r="AB268" s="485"/>
      <c r="AC268" s="449"/>
      <c r="AD268" s="485"/>
      <c r="AE268" s="449"/>
      <c r="AF268" s="449"/>
      <c r="AG268" s="22"/>
      <c r="AH268" s="22"/>
      <c r="AI268" s="449"/>
      <c r="AJ268" s="449"/>
      <c r="AK268" s="449"/>
      <c r="AL268" s="449"/>
      <c r="AM268" s="449"/>
      <c r="AN268" s="765"/>
      <c r="AO268" s="765"/>
      <c r="AP268" s="765"/>
      <c r="AQ268" s="765"/>
      <c r="AR268" s="449"/>
      <c r="AS268" s="489"/>
      <c r="AT268" s="449"/>
      <c r="AU268" s="485"/>
      <c r="AV268" s="22"/>
      <c r="AW268" s="22"/>
      <c r="AX268" s="22"/>
      <c r="AY268" s="22"/>
      <c r="AZ268" s="760"/>
      <c r="BA268" s="760"/>
      <c r="BB268" s="22"/>
      <c r="BC268" s="22"/>
      <c r="BD268" s="22"/>
      <c r="BE268" s="22"/>
      <c r="BF268" s="22"/>
      <c r="BG268" s="22"/>
      <c r="BH268" s="22"/>
      <c r="BI268" s="22"/>
      <c r="BJ268" s="22"/>
      <c r="BK268" s="22"/>
      <c r="BL268" s="22"/>
      <c r="CE268" s="22"/>
      <c r="CF268" s="565"/>
    </row>
    <row r="269" spans="8:84" ht="19.5" customHeight="1">
      <c r="H269" s="18"/>
      <c r="I269" s="19"/>
      <c r="J269" s="19"/>
      <c r="K269" s="20"/>
      <c r="L269" s="22"/>
      <c r="M269" s="22"/>
      <c r="N269" s="22"/>
      <c r="O269" s="22"/>
      <c r="P269" s="22"/>
      <c r="Q269" s="22"/>
      <c r="R269" s="571"/>
      <c r="S269" s="571"/>
      <c r="T269" s="571"/>
      <c r="U269" s="22"/>
      <c r="V269" s="22"/>
      <c r="W269" s="22"/>
      <c r="X269" s="22"/>
      <c r="Y269" s="22"/>
      <c r="Z269" s="22"/>
      <c r="AA269" s="476"/>
      <c r="AB269" s="485"/>
      <c r="AC269" s="449"/>
      <c r="AD269" s="485"/>
      <c r="AE269" s="449"/>
      <c r="AF269" s="449"/>
      <c r="AG269" s="22"/>
      <c r="AH269" s="22"/>
      <c r="AI269" s="449"/>
      <c r="AJ269" s="449"/>
      <c r="AK269" s="449"/>
      <c r="AL269" s="449"/>
      <c r="AM269" s="449"/>
      <c r="AN269" s="765"/>
      <c r="AO269" s="765"/>
      <c r="AP269" s="765"/>
      <c r="AQ269" s="765"/>
      <c r="AR269" s="449"/>
      <c r="AS269" s="489"/>
      <c r="AT269" s="449"/>
      <c r="AU269" s="485"/>
      <c r="AV269" s="22"/>
      <c r="AW269" s="22"/>
      <c r="AX269" s="22"/>
      <c r="AY269" s="22"/>
      <c r="AZ269" s="760"/>
      <c r="BA269" s="760"/>
      <c r="BB269" s="22"/>
      <c r="BC269" s="22"/>
      <c r="BD269" s="22"/>
      <c r="BE269" s="22"/>
      <c r="BF269" s="22"/>
      <c r="BG269" s="22"/>
      <c r="BH269" s="22"/>
      <c r="BI269" s="22"/>
      <c r="BJ269" s="22"/>
      <c r="BK269" s="22"/>
      <c r="BL269" s="22"/>
      <c r="CE269" s="22"/>
      <c r="CF269" s="565"/>
    </row>
    <row r="270" spans="8:84" ht="19.5" customHeight="1">
      <c r="H270" s="18"/>
      <c r="I270" s="19"/>
      <c r="J270" s="19"/>
      <c r="K270" s="20"/>
      <c r="L270" s="22"/>
      <c r="M270" s="22"/>
      <c r="N270" s="22"/>
      <c r="O270" s="22"/>
      <c r="P270" s="22"/>
      <c r="Q270" s="22"/>
      <c r="R270" s="571"/>
      <c r="S270" s="571"/>
      <c r="T270" s="571"/>
      <c r="U270" s="22"/>
      <c r="V270" s="22"/>
      <c r="W270" s="22"/>
      <c r="X270" s="22"/>
      <c r="Y270" s="22"/>
      <c r="Z270" s="22"/>
      <c r="AA270" s="476"/>
      <c r="AB270" s="485"/>
      <c r="AC270" s="449"/>
      <c r="AD270" s="485"/>
      <c r="AE270" s="449"/>
      <c r="AF270" s="449"/>
      <c r="AG270" s="22"/>
      <c r="AH270" s="22"/>
      <c r="AI270" s="449"/>
      <c r="AJ270" s="449"/>
      <c r="AK270" s="449"/>
      <c r="AL270" s="449"/>
      <c r="AM270" s="449"/>
      <c r="AN270" s="765"/>
      <c r="AO270" s="765"/>
      <c r="AP270" s="765"/>
      <c r="AQ270" s="765"/>
      <c r="AR270" s="449"/>
      <c r="AS270" s="489"/>
      <c r="AT270" s="449"/>
      <c r="AU270" s="485"/>
      <c r="AV270" s="22"/>
      <c r="AW270" s="22"/>
      <c r="AX270" s="22"/>
      <c r="AY270" s="22"/>
      <c r="AZ270" s="760"/>
      <c r="BA270" s="760"/>
      <c r="BB270" s="22"/>
      <c r="BC270" s="22"/>
      <c r="BD270" s="22"/>
      <c r="BE270" s="22"/>
      <c r="BF270" s="22"/>
      <c r="BG270" s="22"/>
      <c r="BH270" s="22"/>
      <c r="BI270" s="22"/>
      <c r="BJ270" s="22"/>
      <c r="BK270" s="22"/>
      <c r="BL270" s="22"/>
      <c r="CE270" s="22"/>
      <c r="CF270" s="565"/>
    </row>
    <row r="271" spans="8:84" ht="19.5" customHeight="1">
      <c r="H271" s="18"/>
      <c r="I271" s="19"/>
      <c r="J271" s="19"/>
      <c r="K271" s="20"/>
      <c r="L271" s="22"/>
      <c r="M271" s="22"/>
      <c r="N271" s="22"/>
      <c r="O271" s="22"/>
      <c r="P271" s="22"/>
      <c r="Q271" s="22"/>
      <c r="R271" s="571"/>
      <c r="S271" s="571"/>
      <c r="T271" s="571"/>
      <c r="U271" s="22"/>
      <c r="V271" s="22"/>
      <c r="W271" s="22"/>
      <c r="X271" s="22"/>
      <c r="Y271" s="22"/>
      <c r="Z271" s="22"/>
      <c r="AA271" s="476"/>
      <c r="AB271" s="485"/>
      <c r="AC271" s="449"/>
      <c r="AD271" s="485"/>
      <c r="AE271" s="449"/>
      <c r="AF271" s="449"/>
      <c r="AG271" s="22"/>
      <c r="AH271" s="22"/>
      <c r="AI271" s="449"/>
      <c r="AJ271" s="449"/>
      <c r="AK271" s="449"/>
      <c r="AL271" s="449"/>
      <c r="AM271" s="449"/>
      <c r="AN271" s="765"/>
      <c r="AO271" s="765"/>
      <c r="AP271" s="765"/>
      <c r="AQ271" s="765"/>
      <c r="AR271" s="449"/>
      <c r="AS271" s="489"/>
      <c r="AT271" s="449"/>
      <c r="AU271" s="485"/>
      <c r="AV271" s="22"/>
      <c r="AW271" s="22"/>
      <c r="AX271" s="22"/>
      <c r="AY271" s="22"/>
      <c r="AZ271" s="760"/>
      <c r="BA271" s="760"/>
      <c r="BB271" s="22"/>
      <c r="BC271" s="22"/>
      <c r="BD271" s="22"/>
      <c r="BE271" s="22"/>
      <c r="BF271" s="22"/>
      <c r="BG271" s="22"/>
      <c r="BH271" s="22"/>
      <c r="BI271" s="22"/>
      <c r="BJ271" s="22"/>
      <c r="BK271" s="22"/>
      <c r="BL271" s="22"/>
      <c r="CE271" s="22"/>
      <c r="CF271" s="565"/>
    </row>
  </sheetData>
  <sheetProtection algorithmName="SHA-512" hashValue="9XxqhUL/hUKwnXThtu973CtJ+/R3DOmu4ZOV6diBNniwY9R+o7c8LkBrJUnPu8aDC/DFT91E7QbQqJjbrRZoLg==" saltValue="5RPZylVFxYV/kvEunRVuXQ==" spinCount="100000" sheet="1" formatCells="0" formatColumns="0" formatRows="0"/>
  <mergeCells count="3">
    <mergeCell ref="DC5:DI5"/>
    <mergeCell ref="CX5:CY5"/>
    <mergeCell ref="CZ5:DB5"/>
  </mergeCells>
  <phoneticPr fontId="53" type="noConversion"/>
  <pageMargins left="0.7" right="0.7" top="0.75" bottom="0.75" header="0.3" footer="0.3"/>
  <ignoredErrors>
    <ignoredError sqref="I7" calculatedColumn="1"/>
  </ignoredErrors>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13"/>
  <dimension ref="A1:AVB638"/>
  <sheetViews>
    <sheetView workbookViewId="0"/>
  </sheetViews>
  <sheetFormatPr defaultColWidth="9.0703125" defaultRowHeight="13"/>
  <cols>
    <col min="1" max="1" width="14.42578125" style="12" customWidth="1"/>
    <col min="2" max="2" width="13.42578125" style="12" customWidth="1"/>
    <col min="3" max="3" width="17.28515625" style="12" customWidth="1"/>
    <col min="4" max="4" width="13.42578125" style="12" customWidth="1"/>
    <col min="5" max="6" width="14.640625" style="12" customWidth="1"/>
    <col min="7" max="7" width="9.28515625" style="12" customWidth="1"/>
    <col min="8" max="8" width="14.640625" style="12" customWidth="1"/>
    <col min="9" max="9" width="12.0703125" style="12" customWidth="1"/>
    <col min="10" max="10" width="13" style="12" customWidth="1"/>
    <col min="11" max="11" width="20.85546875" style="12" customWidth="1"/>
    <col min="12" max="12" width="13.0703125" style="12" customWidth="1"/>
    <col min="13" max="13" width="18.85546875" style="12" customWidth="1"/>
    <col min="14" max="14" width="16.28515625" style="12" customWidth="1"/>
    <col min="15" max="15" width="15.42578125" style="12" customWidth="1"/>
    <col min="16" max="16" width="12.42578125" style="12" customWidth="1"/>
    <col min="17" max="17" width="10.28515625" style="12" customWidth="1"/>
    <col min="18" max="18" width="12.28515625" style="12" customWidth="1"/>
    <col min="19" max="19" width="9.28515625" style="12" customWidth="1"/>
    <col min="20" max="20" width="13.42578125" style="12" customWidth="1"/>
    <col min="21" max="21" width="11.0703125" style="12" customWidth="1"/>
    <col min="22" max="22" width="15.0703125" style="12" customWidth="1"/>
    <col min="23" max="23" width="12.85546875" style="12" customWidth="1"/>
    <col min="24" max="24" width="15.42578125" style="12" customWidth="1"/>
    <col min="25" max="25" width="17" style="12" customWidth="1"/>
    <col min="26" max="26" width="18.640625" style="12" customWidth="1"/>
    <col min="27" max="30" width="14.640625" style="12" customWidth="1"/>
    <col min="31" max="31" width="9.85546875" style="65" customWidth="1"/>
    <col min="32" max="33" width="9.28515625" style="12" customWidth="1"/>
    <col min="34" max="34" width="13.42578125" style="12" customWidth="1"/>
    <col min="35" max="35" width="12.85546875" style="12" customWidth="1"/>
    <col min="36" max="511" width="9.28515625" style="12" customWidth="1"/>
    <col min="512" max="981" width="8.85546875" style="12" customWidth="1"/>
    <col min="982" max="982" width="9.0703125" style="12" customWidth="1"/>
    <col min="983" max="16384" width="9.0703125" style="12"/>
  </cols>
  <sheetData>
    <row r="1" spans="1:1250" s="28" customFormat="1">
      <c r="A1" s="152"/>
      <c r="T1" s="30"/>
      <c r="U1" s="30"/>
      <c r="V1" s="30"/>
      <c r="W1" s="30"/>
      <c r="X1" s="30"/>
      <c r="Y1" s="30"/>
      <c r="Z1" s="30"/>
      <c r="AA1" s="30"/>
      <c r="AB1" s="30"/>
      <c r="AC1" s="30"/>
      <c r="AD1" s="30"/>
      <c r="AE1" s="66" t="s">
        <v>120</v>
      </c>
      <c r="AF1" s="119"/>
      <c r="AG1" s="30"/>
      <c r="AH1" s="30"/>
      <c r="AI1" s="30"/>
      <c r="AJ1" s="29">
        <f ca="1">SUMIF($L$7:$L$18,"TRUE",AJ7:AJ18)</f>
        <v>1306.25</v>
      </c>
      <c r="AK1" s="29">
        <f t="shared" ref="AK1:CV1" ca="1" si="0">SUMIF($L$7:$L$18,"TRUE",AK7:AK18)</f>
        <v>287.5</v>
      </c>
      <c r="AL1" s="29">
        <f t="shared" ca="1" si="0"/>
        <v>285</v>
      </c>
      <c r="AM1" s="29">
        <f t="shared" ca="1" si="0"/>
        <v>643.75</v>
      </c>
      <c r="AN1" s="29">
        <f t="shared" ca="1" si="0"/>
        <v>206.25</v>
      </c>
      <c r="AO1" s="29">
        <f t="shared" ca="1" si="0"/>
        <v>206.25</v>
      </c>
      <c r="AP1" s="29">
        <f t="shared" ca="1" si="0"/>
        <v>1306.25</v>
      </c>
      <c r="AQ1" s="29">
        <f t="shared" ca="1" si="0"/>
        <v>287.5</v>
      </c>
      <c r="AR1" s="29">
        <f t="shared" ca="1" si="0"/>
        <v>285</v>
      </c>
      <c r="AS1" s="29">
        <f t="shared" ca="1" si="0"/>
        <v>643.75</v>
      </c>
      <c r="AT1" s="29">
        <f t="shared" ca="1" si="0"/>
        <v>206.25</v>
      </c>
      <c r="AU1" s="29">
        <f t="shared" ca="1" si="0"/>
        <v>206.25</v>
      </c>
      <c r="AV1" s="29">
        <f t="shared" ca="1" si="0"/>
        <v>1306.25</v>
      </c>
      <c r="AW1" s="29">
        <f t="shared" ca="1" si="0"/>
        <v>287.5</v>
      </c>
      <c r="AX1" s="29">
        <f t="shared" ca="1" si="0"/>
        <v>285</v>
      </c>
      <c r="AY1" s="29">
        <f t="shared" ca="1" si="0"/>
        <v>643.75</v>
      </c>
      <c r="AZ1" s="29">
        <f t="shared" ca="1" si="0"/>
        <v>206.25</v>
      </c>
      <c r="BA1" s="29">
        <f t="shared" ca="1" si="0"/>
        <v>206.25</v>
      </c>
      <c r="BB1" s="29">
        <f ca="1">SUMIF($L$7:$L$18,"TRUE",BB7:BB18)</f>
        <v>1306.25</v>
      </c>
      <c r="BC1" s="29">
        <f t="shared" ca="1" si="0"/>
        <v>287.5</v>
      </c>
      <c r="BD1" s="29">
        <f t="shared" ca="1" si="0"/>
        <v>285</v>
      </c>
      <c r="BE1" s="29">
        <f t="shared" ca="1" si="0"/>
        <v>643.75</v>
      </c>
      <c r="BF1" s="29">
        <f t="shared" ca="1" si="0"/>
        <v>206.25</v>
      </c>
      <c r="BG1" s="29">
        <f t="shared" ca="1" si="0"/>
        <v>206.25</v>
      </c>
      <c r="BH1" s="29">
        <f t="shared" ca="1" si="0"/>
        <v>1306.25</v>
      </c>
      <c r="BI1" s="29">
        <f t="shared" ca="1" si="0"/>
        <v>287.5</v>
      </c>
      <c r="BJ1" s="29">
        <f t="shared" ca="1" si="0"/>
        <v>285</v>
      </c>
      <c r="BK1" s="29">
        <f t="shared" ca="1" si="0"/>
        <v>643.75</v>
      </c>
      <c r="BL1" s="29">
        <f t="shared" ca="1" si="0"/>
        <v>206.25</v>
      </c>
      <c r="BM1" s="29">
        <f t="shared" ca="1" si="0"/>
        <v>206.25</v>
      </c>
      <c r="BN1" s="29">
        <f t="shared" ca="1" si="0"/>
        <v>1306.25</v>
      </c>
      <c r="BO1" s="29">
        <f t="shared" ca="1" si="0"/>
        <v>287.5</v>
      </c>
      <c r="BP1" s="29">
        <f t="shared" ca="1" si="0"/>
        <v>285</v>
      </c>
      <c r="BQ1" s="29">
        <f t="shared" ca="1" si="0"/>
        <v>643.75</v>
      </c>
      <c r="BR1" s="29">
        <f t="shared" ca="1" si="0"/>
        <v>206.25</v>
      </c>
      <c r="BS1" s="29">
        <f t="shared" ca="1" si="0"/>
        <v>206.25</v>
      </c>
      <c r="BT1" s="29">
        <f t="shared" ca="1" si="0"/>
        <v>1306.25</v>
      </c>
      <c r="BU1" s="29">
        <f t="shared" ca="1" si="0"/>
        <v>287.5</v>
      </c>
      <c r="BV1" s="29">
        <f t="shared" ca="1" si="0"/>
        <v>285</v>
      </c>
      <c r="BW1" s="29">
        <f t="shared" ca="1" si="0"/>
        <v>643.75</v>
      </c>
      <c r="BX1" s="29">
        <f t="shared" ca="1" si="0"/>
        <v>206.25</v>
      </c>
      <c r="BY1" s="29">
        <f t="shared" ca="1" si="0"/>
        <v>206.25</v>
      </c>
      <c r="BZ1" s="29">
        <f t="shared" ca="1" si="0"/>
        <v>1306.25</v>
      </c>
      <c r="CA1" s="29">
        <f t="shared" ca="1" si="0"/>
        <v>287.5</v>
      </c>
      <c r="CB1" s="29">
        <f t="shared" ca="1" si="0"/>
        <v>285</v>
      </c>
      <c r="CC1" s="29">
        <f t="shared" ca="1" si="0"/>
        <v>643.75</v>
      </c>
      <c r="CD1" s="29">
        <f t="shared" ca="1" si="0"/>
        <v>206.25</v>
      </c>
      <c r="CE1" s="29">
        <f t="shared" ca="1" si="0"/>
        <v>206.25</v>
      </c>
      <c r="CF1" s="29">
        <f t="shared" ca="1" si="0"/>
        <v>1306.25</v>
      </c>
      <c r="CG1" s="29">
        <f t="shared" ca="1" si="0"/>
        <v>287.5</v>
      </c>
      <c r="CH1" s="29">
        <f t="shared" ca="1" si="0"/>
        <v>285</v>
      </c>
      <c r="CI1" s="29">
        <f t="shared" ca="1" si="0"/>
        <v>643.75</v>
      </c>
      <c r="CJ1" s="29">
        <f t="shared" ca="1" si="0"/>
        <v>206.25</v>
      </c>
      <c r="CK1" s="29">
        <f t="shared" ca="1" si="0"/>
        <v>206.25</v>
      </c>
      <c r="CL1" s="29">
        <f t="shared" ca="1" si="0"/>
        <v>1306.25</v>
      </c>
      <c r="CM1" s="29">
        <f t="shared" ca="1" si="0"/>
        <v>287.5</v>
      </c>
      <c r="CN1" s="29">
        <f t="shared" ca="1" si="0"/>
        <v>285</v>
      </c>
      <c r="CO1" s="29">
        <f t="shared" ca="1" si="0"/>
        <v>643.75</v>
      </c>
      <c r="CP1" s="29">
        <f t="shared" ca="1" si="0"/>
        <v>206.25</v>
      </c>
      <c r="CQ1" s="29">
        <f t="shared" ca="1" si="0"/>
        <v>206.25</v>
      </c>
      <c r="CR1" s="29">
        <f t="shared" ca="1" si="0"/>
        <v>1306.25</v>
      </c>
      <c r="CS1" s="29">
        <f t="shared" ca="1" si="0"/>
        <v>287.5</v>
      </c>
      <c r="CT1" s="29">
        <f t="shared" ca="1" si="0"/>
        <v>285</v>
      </c>
      <c r="CU1" s="29">
        <f t="shared" ca="1" si="0"/>
        <v>643.75</v>
      </c>
      <c r="CV1" s="29">
        <f t="shared" ca="1" si="0"/>
        <v>206.25</v>
      </c>
      <c r="CW1" s="29">
        <f t="shared" ref="CW1:FH1" ca="1" si="1">SUMIF($L$7:$L$18,"TRUE",CW7:CW18)</f>
        <v>206.25</v>
      </c>
      <c r="CX1" s="29">
        <f t="shared" ca="1" si="1"/>
        <v>1306.25</v>
      </c>
      <c r="CY1" s="29">
        <f t="shared" ca="1" si="1"/>
        <v>287.5</v>
      </c>
      <c r="CZ1" s="29">
        <f t="shared" ca="1" si="1"/>
        <v>285</v>
      </c>
      <c r="DA1" s="29">
        <f t="shared" ca="1" si="1"/>
        <v>643.75</v>
      </c>
      <c r="DB1" s="29">
        <f t="shared" ca="1" si="1"/>
        <v>206.25</v>
      </c>
      <c r="DC1" s="29">
        <f t="shared" ca="1" si="1"/>
        <v>206.25</v>
      </c>
      <c r="DD1" s="29">
        <f t="shared" ca="1" si="1"/>
        <v>1306.25</v>
      </c>
      <c r="DE1" s="29">
        <f t="shared" ca="1" si="1"/>
        <v>287.5</v>
      </c>
      <c r="DF1" s="29">
        <f t="shared" ca="1" si="1"/>
        <v>285</v>
      </c>
      <c r="DG1" s="29">
        <f t="shared" ca="1" si="1"/>
        <v>643.75</v>
      </c>
      <c r="DH1" s="29">
        <f t="shared" ca="1" si="1"/>
        <v>206.25</v>
      </c>
      <c r="DI1" s="29">
        <f t="shared" ca="1" si="1"/>
        <v>206.25</v>
      </c>
      <c r="DJ1" s="29">
        <f t="shared" ca="1" si="1"/>
        <v>1306.25</v>
      </c>
      <c r="DK1" s="29">
        <f t="shared" ca="1" si="1"/>
        <v>287.5</v>
      </c>
      <c r="DL1" s="29">
        <f t="shared" ca="1" si="1"/>
        <v>285</v>
      </c>
      <c r="DM1" s="29">
        <f t="shared" ca="1" si="1"/>
        <v>643.75</v>
      </c>
      <c r="DN1" s="29">
        <f t="shared" ca="1" si="1"/>
        <v>206.25</v>
      </c>
      <c r="DO1" s="29">
        <f t="shared" ca="1" si="1"/>
        <v>206.25</v>
      </c>
      <c r="DP1" s="29">
        <f t="shared" ca="1" si="1"/>
        <v>1306.25</v>
      </c>
      <c r="DQ1" s="29">
        <f t="shared" ca="1" si="1"/>
        <v>287.5</v>
      </c>
      <c r="DR1" s="29">
        <f t="shared" ca="1" si="1"/>
        <v>285</v>
      </c>
      <c r="DS1" s="29">
        <f t="shared" ca="1" si="1"/>
        <v>643.75</v>
      </c>
      <c r="DT1" s="29">
        <f t="shared" ca="1" si="1"/>
        <v>206.25</v>
      </c>
      <c r="DU1" s="29">
        <f t="shared" ca="1" si="1"/>
        <v>206.25</v>
      </c>
      <c r="DV1" s="29">
        <f t="shared" ca="1" si="1"/>
        <v>1306.25</v>
      </c>
      <c r="DW1" s="29">
        <f t="shared" ca="1" si="1"/>
        <v>287.5</v>
      </c>
      <c r="DX1" s="29">
        <f t="shared" ca="1" si="1"/>
        <v>285</v>
      </c>
      <c r="DY1" s="29">
        <f t="shared" ca="1" si="1"/>
        <v>643.75</v>
      </c>
      <c r="DZ1" s="29">
        <f t="shared" ca="1" si="1"/>
        <v>206.25</v>
      </c>
      <c r="EA1" s="29">
        <f t="shared" ca="1" si="1"/>
        <v>206.25</v>
      </c>
      <c r="EB1" s="29">
        <f t="shared" ca="1" si="1"/>
        <v>1306.25</v>
      </c>
      <c r="EC1" s="29">
        <f t="shared" ca="1" si="1"/>
        <v>287.5</v>
      </c>
      <c r="ED1" s="29">
        <f t="shared" ca="1" si="1"/>
        <v>285</v>
      </c>
      <c r="EE1" s="29">
        <f t="shared" ca="1" si="1"/>
        <v>643.75</v>
      </c>
      <c r="EF1" s="29">
        <f t="shared" ca="1" si="1"/>
        <v>206.25</v>
      </c>
      <c r="EG1" s="29">
        <f t="shared" ca="1" si="1"/>
        <v>206.25</v>
      </c>
      <c r="EH1" s="29">
        <f t="shared" ca="1" si="1"/>
        <v>1306.25</v>
      </c>
      <c r="EI1" s="29">
        <f t="shared" ca="1" si="1"/>
        <v>287.5</v>
      </c>
      <c r="EJ1" s="29">
        <f t="shared" ca="1" si="1"/>
        <v>285</v>
      </c>
      <c r="EK1" s="29">
        <f t="shared" ca="1" si="1"/>
        <v>643.75</v>
      </c>
      <c r="EL1" s="29">
        <f t="shared" ca="1" si="1"/>
        <v>206.25</v>
      </c>
      <c r="EM1" s="29">
        <f t="shared" ca="1" si="1"/>
        <v>206.25</v>
      </c>
      <c r="EN1" s="29">
        <f t="shared" ca="1" si="1"/>
        <v>1103.75</v>
      </c>
      <c r="EO1" s="29">
        <f t="shared" ca="1" si="1"/>
        <v>287.5</v>
      </c>
      <c r="EP1" s="29">
        <f t="shared" ca="1" si="1"/>
        <v>285</v>
      </c>
      <c r="EQ1" s="29">
        <f t="shared" ca="1" si="1"/>
        <v>643.75</v>
      </c>
      <c r="ER1" s="29">
        <f t="shared" ca="1" si="1"/>
        <v>206.25</v>
      </c>
      <c r="ES1" s="29">
        <f t="shared" ca="1" si="1"/>
        <v>206.25</v>
      </c>
      <c r="ET1" s="29">
        <f t="shared" ca="1" si="1"/>
        <v>1103.75</v>
      </c>
      <c r="EU1" s="29">
        <f t="shared" ca="1" si="1"/>
        <v>287.5</v>
      </c>
      <c r="EV1" s="29">
        <f t="shared" ca="1" si="1"/>
        <v>285</v>
      </c>
      <c r="EW1" s="29">
        <f t="shared" ca="1" si="1"/>
        <v>643.75</v>
      </c>
      <c r="EX1" s="29">
        <f t="shared" ca="1" si="1"/>
        <v>206.25</v>
      </c>
      <c r="EY1" s="29">
        <f t="shared" ca="1" si="1"/>
        <v>206.25</v>
      </c>
      <c r="EZ1" s="29">
        <f t="shared" ca="1" si="1"/>
        <v>1103.75</v>
      </c>
      <c r="FA1" s="29">
        <f t="shared" ca="1" si="1"/>
        <v>287.5</v>
      </c>
      <c r="FB1" s="29">
        <f t="shared" ca="1" si="1"/>
        <v>285</v>
      </c>
      <c r="FC1" s="29">
        <f t="shared" ca="1" si="1"/>
        <v>643.75</v>
      </c>
      <c r="FD1" s="29">
        <f t="shared" ca="1" si="1"/>
        <v>206.25</v>
      </c>
      <c r="FE1" s="29">
        <f t="shared" ca="1" si="1"/>
        <v>206.25</v>
      </c>
      <c r="FF1" s="29">
        <f t="shared" ca="1" si="1"/>
        <v>888.75</v>
      </c>
      <c r="FG1" s="29">
        <f t="shared" ca="1" si="1"/>
        <v>287.5</v>
      </c>
      <c r="FH1" s="29">
        <f t="shared" ca="1" si="1"/>
        <v>285</v>
      </c>
      <c r="FI1" s="29">
        <f t="shared" ref="FI1:HT1" ca="1" si="2">SUMIF($L$7:$L$18,"TRUE",FI7:FI18)</f>
        <v>643.75</v>
      </c>
      <c r="FJ1" s="29">
        <f t="shared" ca="1" si="2"/>
        <v>206.25</v>
      </c>
      <c r="FK1" s="29">
        <f t="shared" ca="1" si="2"/>
        <v>206.25</v>
      </c>
      <c r="FL1" s="29">
        <f t="shared" ca="1" si="2"/>
        <v>888.75</v>
      </c>
      <c r="FM1" s="29">
        <f t="shared" ca="1" si="2"/>
        <v>287.5</v>
      </c>
      <c r="FN1" s="29">
        <f t="shared" ca="1" si="2"/>
        <v>285</v>
      </c>
      <c r="FO1" s="29">
        <f t="shared" ca="1" si="2"/>
        <v>643.75</v>
      </c>
      <c r="FP1" s="29">
        <f t="shared" ca="1" si="2"/>
        <v>0</v>
      </c>
      <c r="FQ1" s="29">
        <f t="shared" ca="1" si="2"/>
        <v>206.25</v>
      </c>
      <c r="FR1" s="29">
        <f t="shared" ca="1" si="2"/>
        <v>888.75</v>
      </c>
      <c r="FS1" s="29">
        <f t="shared" ca="1" si="2"/>
        <v>287.5</v>
      </c>
      <c r="FT1" s="29">
        <f t="shared" ca="1" si="2"/>
        <v>285</v>
      </c>
      <c r="FU1" s="29">
        <f t="shared" ca="1" si="2"/>
        <v>643.75</v>
      </c>
      <c r="FV1" s="29">
        <f t="shared" ca="1" si="2"/>
        <v>0</v>
      </c>
      <c r="FW1" s="29">
        <f t="shared" ca="1" si="2"/>
        <v>206.25</v>
      </c>
      <c r="FX1" s="29">
        <f t="shared" ca="1" si="2"/>
        <v>888.75</v>
      </c>
      <c r="FY1" s="29">
        <f t="shared" ca="1" si="2"/>
        <v>287.5</v>
      </c>
      <c r="FZ1" s="29">
        <f t="shared" ca="1" si="2"/>
        <v>285</v>
      </c>
      <c r="GA1" s="29">
        <f t="shared" ca="1" si="2"/>
        <v>300</v>
      </c>
      <c r="GB1" s="29">
        <f t="shared" ca="1" si="2"/>
        <v>0</v>
      </c>
      <c r="GC1" s="29">
        <f t="shared" ca="1" si="2"/>
        <v>206.25</v>
      </c>
      <c r="GD1" s="29">
        <f t="shared" ca="1" si="2"/>
        <v>888.75</v>
      </c>
      <c r="GE1" s="29">
        <f t="shared" ca="1" si="2"/>
        <v>287.5</v>
      </c>
      <c r="GF1" s="29">
        <f t="shared" ca="1" si="2"/>
        <v>285</v>
      </c>
      <c r="GG1" s="29">
        <f t="shared" ca="1" si="2"/>
        <v>300</v>
      </c>
      <c r="GH1" s="29">
        <f t="shared" ca="1" si="2"/>
        <v>0</v>
      </c>
      <c r="GI1" s="29">
        <f t="shared" ca="1" si="2"/>
        <v>206.25</v>
      </c>
      <c r="GJ1" s="29">
        <f t="shared" ca="1" si="2"/>
        <v>888.75</v>
      </c>
      <c r="GK1" s="29">
        <f t="shared" ca="1" si="2"/>
        <v>287.5</v>
      </c>
      <c r="GL1" s="29">
        <f t="shared" ca="1" si="2"/>
        <v>0</v>
      </c>
      <c r="GM1" s="29">
        <f t="shared" ca="1" si="2"/>
        <v>300</v>
      </c>
      <c r="GN1" s="29">
        <f t="shared" ca="1" si="2"/>
        <v>0</v>
      </c>
      <c r="GO1" s="29">
        <f t="shared" ca="1" si="2"/>
        <v>206.25</v>
      </c>
      <c r="GP1" s="29">
        <f t="shared" ca="1" si="2"/>
        <v>888.75</v>
      </c>
      <c r="GQ1" s="29">
        <f t="shared" ca="1" si="2"/>
        <v>287.5</v>
      </c>
      <c r="GR1" s="29">
        <f t="shared" ca="1" si="2"/>
        <v>0</v>
      </c>
      <c r="GS1" s="29">
        <f t="shared" ca="1" si="2"/>
        <v>300</v>
      </c>
      <c r="GT1" s="29">
        <f t="shared" ca="1" si="2"/>
        <v>0</v>
      </c>
      <c r="GU1" s="29">
        <f t="shared" ca="1" si="2"/>
        <v>206.25</v>
      </c>
      <c r="GV1" s="29">
        <f t="shared" ca="1" si="2"/>
        <v>888.75</v>
      </c>
      <c r="GW1" s="29">
        <f t="shared" ca="1" si="2"/>
        <v>287.5</v>
      </c>
      <c r="GX1" s="29">
        <f t="shared" ca="1" si="2"/>
        <v>0</v>
      </c>
      <c r="GY1" s="29">
        <f t="shared" ca="1" si="2"/>
        <v>300</v>
      </c>
      <c r="GZ1" s="29">
        <f t="shared" ca="1" si="2"/>
        <v>0</v>
      </c>
      <c r="HA1" s="29">
        <f t="shared" ca="1" si="2"/>
        <v>206.25</v>
      </c>
      <c r="HB1" s="29">
        <f t="shared" ca="1" si="2"/>
        <v>596.25</v>
      </c>
      <c r="HC1" s="29">
        <f t="shared" ca="1" si="2"/>
        <v>287.5</v>
      </c>
      <c r="HD1" s="29">
        <f t="shared" ca="1" si="2"/>
        <v>0</v>
      </c>
      <c r="HE1" s="29">
        <f t="shared" ca="1" si="2"/>
        <v>300</v>
      </c>
      <c r="HF1" s="29">
        <f t="shared" ca="1" si="2"/>
        <v>0</v>
      </c>
      <c r="HG1" s="29">
        <f t="shared" ca="1" si="2"/>
        <v>206.25</v>
      </c>
      <c r="HH1" s="29">
        <f t="shared" ca="1" si="2"/>
        <v>596.25</v>
      </c>
      <c r="HI1" s="29">
        <f t="shared" ca="1" si="2"/>
        <v>287.5</v>
      </c>
      <c r="HJ1" s="29">
        <f t="shared" ca="1" si="2"/>
        <v>0</v>
      </c>
      <c r="HK1" s="29">
        <f t="shared" ca="1" si="2"/>
        <v>0</v>
      </c>
      <c r="HL1" s="29">
        <f t="shared" ca="1" si="2"/>
        <v>0</v>
      </c>
      <c r="HM1" s="29">
        <f t="shared" ca="1" si="2"/>
        <v>206.25</v>
      </c>
      <c r="HN1" s="29">
        <f t="shared" ca="1" si="2"/>
        <v>596.25</v>
      </c>
      <c r="HO1" s="29">
        <f t="shared" ca="1" si="2"/>
        <v>287.5</v>
      </c>
      <c r="HP1" s="29">
        <f t="shared" ca="1" si="2"/>
        <v>0</v>
      </c>
      <c r="HQ1" s="29">
        <f t="shared" ca="1" si="2"/>
        <v>0</v>
      </c>
      <c r="HR1" s="29">
        <f t="shared" ca="1" si="2"/>
        <v>0</v>
      </c>
      <c r="HS1" s="29">
        <f t="shared" ca="1" si="2"/>
        <v>206.25</v>
      </c>
      <c r="HT1" s="29">
        <f t="shared" ca="1" si="2"/>
        <v>293.75</v>
      </c>
      <c r="HU1" s="29">
        <f t="shared" ref="HU1:KF1" ca="1" si="3">SUMIF($L$7:$L$18,"TRUE",HU7:HU18)</f>
        <v>287.5</v>
      </c>
      <c r="HV1" s="29">
        <f t="shared" ca="1" si="3"/>
        <v>0</v>
      </c>
      <c r="HW1" s="29">
        <f t="shared" ca="1" si="3"/>
        <v>0</v>
      </c>
      <c r="HX1" s="29">
        <f t="shared" ca="1" si="3"/>
        <v>0</v>
      </c>
      <c r="HY1" s="29">
        <f t="shared" ca="1" si="3"/>
        <v>206.25</v>
      </c>
      <c r="HZ1" s="29">
        <f t="shared" ca="1" si="3"/>
        <v>293.75</v>
      </c>
      <c r="IA1" s="29">
        <f t="shared" ca="1" si="3"/>
        <v>287.5</v>
      </c>
      <c r="IB1" s="29">
        <f t="shared" ca="1" si="3"/>
        <v>0</v>
      </c>
      <c r="IC1" s="29">
        <f t="shared" ca="1" si="3"/>
        <v>0</v>
      </c>
      <c r="ID1" s="29">
        <f t="shared" ca="1" si="3"/>
        <v>0</v>
      </c>
      <c r="IE1" s="29">
        <f t="shared" ca="1" si="3"/>
        <v>206.25</v>
      </c>
      <c r="IF1" s="29">
        <f t="shared" ca="1" si="3"/>
        <v>293.75</v>
      </c>
      <c r="IG1" s="29">
        <f t="shared" ca="1" si="3"/>
        <v>112.5</v>
      </c>
      <c r="IH1" s="29">
        <f t="shared" ca="1" si="3"/>
        <v>0</v>
      </c>
      <c r="II1" s="29">
        <f t="shared" ca="1" si="3"/>
        <v>0</v>
      </c>
      <c r="IJ1" s="29">
        <f t="shared" ca="1" si="3"/>
        <v>0</v>
      </c>
      <c r="IK1" s="29">
        <f t="shared" ca="1" si="3"/>
        <v>206.25</v>
      </c>
      <c r="IL1" s="29">
        <f t="shared" ca="1" si="3"/>
        <v>293.75</v>
      </c>
      <c r="IM1" s="29">
        <f t="shared" ca="1" si="3"/>
        <v>112.5</v>
      </c>
      <c r="IN1" s="29">
        <f t="shared" ca="1" si="3"/>
        <v>0</v>
      </c>
      <c r="IO1" s="29">
        <f t="shared" ca="1" si="3"/>
        <v>0</v>
      </c>
      <c r="IP1" s="29">
        <f t="shared" ca="1" si="3"/>
        <v>0</v>
      </c>
      <c r="IQ1" s="29">
        <f t="shared" ca="1" si="3"/>
        <v>206.25</v>
      </c>
      <c r="IR1" s="29">
        <f t="shared" ca="1" si="3"/>
        <v>0</v>
      </c>
      <c r="IS1" s="29">
        <f t="shared" ca="1" si="3"/>
        <v>112.5</v>
      </c>
      <c r="IT1" s="29">
        <f t="shared" ca="1" si="3"/>
        <v>0</v>
      </c>
      <c r="IU1" s="29">
        <f t="shared" ca="1" si="3"/>
        <v>0</v>
      </c>
      <c r="IV1" s="29">
        <f t="shared" ca="1" si="3"/>
        <v>0</v>
      </c>
      <c r="IW1" s="29">
        <f t="shared" ca="1" si="3"/>
        <v>206.25</v>
      </c>
      <c r="IX1" s="29">
        <f t="shared" ca="1" si="3"/>
        <v>0</v>
      </c>
      <c r="IY1" s="29">
        <f t="shared" ca="1" si="3"/>
        <v>112.5</v>
      </c>
      <c r="IZ1" s="29">
        <f t="shared" ca="1" si="3"/>
        <v>0</v>
      </c>
      <c r="JA1" s="29">
        <f t="shared" ca="1" si="3"/>
        <v>0</v>
      </c>
      <c r="JB1" s="29">
        <f t="shared" ca="1" si="3"/>
        <v>0</v>
      </c>
      <c r="JC1" s="29">
        <f t="shared" ca="1" si="3"/>
        <v>206.25</v>
      </c>
      <c r="JD1" s="29">
        <f t="shared" ca="1" si="3"/>
        <v>0</v>
      </c>
      <c r="JE1" s="29">
        <f t="shared" ca="1" si="3"/>
        <v>112.5</v>
      </c>
      <c r="JF1" s="29">
        <f t="shared" ca="1" si="3"/>
        <v>0</v>
      </c>
      <c r="JG1" s="29">
        <f t="shared" ca="1" si="3"/>
        <v>0</v>
      </c>
      <c r="JH1" s="29">
        <f t="shared" ca="1" si="3"/>
        <v>0</v>
      </c>
      <c r="JI1" s="29">
        <f t="shared" ca="1" si="3"/>
        <v>206.25</v>
      </c>
      <c r="JJ1" s="29">
        <f t="shared" ca="1" si="3"/>
        <v>0</v>
      </c>
      <c r="JK1" s="29">
        <f t="shared" ca="1" si="3"/>
        <v>112.5</v>
      </c>
      <c r="JL1" s="29">
        <f t="shared" ca="1" si="3"/>
        <v>0</v>
      </c>
      <c r="JM1" s="29">
        <f t="shared" ca="1" si="3"/>
        <v>0</v>
      </c>
      <c r="JN1" s="29">
        <f t="shared" ca="1" si="3"/>
        <v>0</v>
      </c>
      <c r="JO1" s="29">
        <f t="shared" ca="1" si="3"/>
        <v>206.25</v>
      </c>
      <c r="JP1" s="29">
        <f t="shared" ca="1" si="3"/>
        <v>0</v>
      </c>
      <c r="JQ1" s="29">
        <f t="shared" ca="1" si="3"/>
        <v>112.5</v>
      </c>
      <c r="JR1" s="29">
        <f t="shared" ca="1" si="3"/>
        <v>0</v>
      </c>
      <c r="JS1" s="29">
        <f t="shared" ca="1" si="3"/>
        <v>0</v>
      </c>
      <c r="JT1" s="29">
        <f t="shared" ca="1" si="3"/>
        <v>0</v>
      </c>
      <c r="JU1" s="29">
        <f t="shared" ca="1" si="3"/>
        <v>206.25</v>
      </c>
      <c r="JV1" s="29">
        <f t="shared" ca="1" si="3"/>
        <v>0</v>
      </c>
      <c r="JW1" s="29">
        <f t="shared" ca="1" si="3"/>
        <v>112.5</v>
      </c>
      <c r="JX1" s="29">
        <f t="shared" ca="1" si="3"/>
        <v>0</v>
      </c>
      <c r="JY1" s="29">
        <f t="shared" ca="1" si="3"/>
        <v>0</v>
      </c>
      <c r="JZ1" s="29">
        <f t="shared" ca="1" si="3"/>
        <v>0</v>
      </c>
      <c r="KA1" s="29">
        <f t="shared" ca="1" si="3"/>
        <v>206.25</v>
      </c>
      <c r="KB1" s="29">
        <f t="shared" ca="1" si="3"/>
        <v>0</v>
      </c>
      <c r="KC1" s="29">
        <f t="shared" ca="1" si="3"/>
        <v>112.5</v>
      </c>
      <c r="KD1" s="29">
        <f t="shared" ca="1" si="3"/>
        <v>0</v>
      </c>
      <c r="KE1" s="29">
        <f t="shared" ca="1" si="3"/>
        <v>0</v>
      </c>
      <c r="KF1" s="29">
        <f t="shared" ca="1" si="3"/>
        <v>0</v>
      </c>
      <c r="KG1" s="29">
        <f t="shared" ref="KG1:MR1" ca="1" si="4">SUMIF($L$7:$L$18,"TRUE",KG7:KG18)</f>
        <v>206.25</v>
      </c>
      <c r="KH1" s="29">
        <f t="shared" ca="1" si="4"/>
        <v>0</v>
      </c>
      <c r="KI1" s="29">
        <f t="shared" ca="1" si="4"/>
        <v>112.5</v>
      </c>
      <c r="KJ1" s="29">
        <f t="shared" ca="1" si="4"/>
        <v>0</v>
      </c>
      <c r="KK1" s="29">
        <f t="shared" ca="1" si="4"/>
        <v>0</v>
      </c>
      <c r="KL1" s="29">
        <f t="shared" ca="1" si="4"/>
        <v>0</v>
      </c>
      <c r="KM1" s="29">
        <f t="shared" ca="1" si="4"/>
        <v>206.25</v>
      </c>
      <c r="KN1" s="29">
        <f t="shared" ca="1" si="4"/>
        <v>0</v>
      </c>
      <c r="KO1" s="29">
        <f t="shared" ca="1" si="4"/>
        <v>112.5</v>
      </c>
      <c r="KP1" s="29">
        <f t="shared" ca="1" si="4"/>
        <v>0</v>
      </c>
      <c r="KQ1" s="29">
        <f t="shared" ca="1" si="4"/>
        <v>0</v>
      </c>
      <c r="KR1" s="29">
        <f t="shared" ca="1" si="4"/>
        <v>0</v>
      </c>
      <c r="KS1" s="29">
        <f t="shared" ca="1" si="4"/>
        <v>206.25</v>
      </c>
      <c r="KT1" s="29">
        <f t="shared" ca="1" si="4"/>
        <v>0</v>
      </c>
      <c r="KU1" s="29">
        <f t="shared" ca="1" si="4"/>
        <v>112.5</v>
      </c>
      <c r="KV1" s="29">
        <f t="shared" ca="1" si="4"/>
        <v>0</v>
      </c>
      <c r="KW1" s="29">
        <f t="shared" ca="1" si="4"/>
        <v>0</v>
      </c>
      <c r="KX1" s="29">
        <f t="shared" ca="1" si="4"/>
        <v>0</v>
      </c>
      <c r="KY1" s="29">
        <f t="shared" ca="1" si="4"/>
        <v>206.25</v>
      </c>
      <c r="KZ1" s="29">
        <f t="shared" ca="1" si="4"/>
        <v>0</v>
      </c>
      <c r="LA1" s="29">
        <f t="shared" ca="1" si="4"/>
        <v>112.5</v>
      </c>
      <c r="LB1" s="29">
        <f t="shared" ca="1" si="4"/>
        <v>0</v>
      </c>
      <c r="LC1" s="29">
        <f t="shared" ca="1" si="4"/>
        <v>0</v>
      </c>
      <c r="LD1" s="29">
        <f t="shared" ca="1" si="4"/>
        <v>0</v>
      </c>
      <c r="LE1" s="29">
        <f t="shared" ca="1" si="4"/>
        <v>206.25</v>
      </c>
      <c r="LF1" s="29">
        <f t="shared" ca="1" si="4"/>
        <v>0</v>
      </c>
      <c r="LG1" s="29">
        <f t="shared" ca="1" si="4"/>
        <v>112.5</v>
      </c>
      <c r="LH1" s="29">
        <f t="shared" ca="1" si="4"/>
        <v>0</v>
      </c>
      <c r="LI1" s="29">
        <f t="shared" ca="1" si="4"/>
        <v>0</v>
      </c>
      <c r="LJ1" s="29">
        <f t="shared" ca="1" si="4"/>
        <v>0</v>
      </c>
      <c r="LK1" s="29">
        <f t="shared" ca="1" si="4"/>
        <v>206.25</v>
      </c>
      <c r="LL1" s="29">
        <f t="shared" ca="1" si="4"/>
        <v>0</v>
      </c>
      <c r="LM1" s="29">
        <f t="shared" ca="1" si="4"/>
        <v>112.5</v>
      </c>
      <c r="LN1" s="29">
        <f t="shared" ca="1" si="4"/>
        <v>0</v>
      </c>
      <c r="LO1" s="29">
        <f t="shared" ca="1" si="4"/>
        <v>0</v>
      </c>
      <c r="LP1" s="29">
        <f t="shared" ca="1" si="4"/>
        <v>0</v>
      </c>
      <c r="LQ1" s="29">
        <f t="shared" ca="1" si="4"/>
        <v>206.25</v>
      </c>
      <c r="LR1" s="29">
        <f t="shared" ca="1" si="4"/>
        <v>0</v>
      </c>
      <c r="LS1" s="29">
        <f t="shared" ca="1" si="4"/>
        <v>112.5</v>
      </c>
      <c r="LT1" s="29">
        <f t="shared" ca="1" si="4"/>
        <v>0</v>
      </c>
      <c r="LU1" s="29">
        <f t="shared" ca="1" si="4"/>
        <v>0</v>
      </c>
      <c r="LV1" s="29">
        <f t="shared" ca="1" si="4"/>
        <v>0</v>
      </c>
      <c r="LW1" s="29">
        <f t="shared" ca="1" si="4"/>
        <v>206.25</v>
      </c>
      <c r="LX1" s="29">
        <f t="shared" ca="1" si="4"/>
        <v>0</v>
      </c>
      <c r="LY1" s="29">
        <f t="shared" ca="1" si="4"/>
        <v>112.5</v>
      </c>
      <c r="LZ1" s="29">
        <f t="shared" ca="1" si="4"/>
        <v>0</v>
      </c>
      <c r="MA1" s="29">
        <f t="shared" ca="1" si="4"/>
        <v>0</v>
      </c>
      <c r="MB1" s="29">
        <f t="shared" ca="1" si="4"/>
        <v>0</v>
      </c>
      <c r="MC1" s="29">
        <f t="shared" ca="1" si="4"/>
        <v>206.25</v>
      </c>
      <c r="MD1" s="29">
        <f t="shared" ca="1" si="4"/>
        <v>0</v>
      </c>
      <c r="ME1" s="29">
        <f t="shared" ca="1" si="4"/>
        <v>112.5</v>
      </c>
      <c r="MF1" s="29">
        <f t="shared" ca="1" si="4"/>
        <v>0</v>
      </c>
      <c r="MG1" s="29">
        <f t="shared" ca="1" si="4"/>
        <v>0</v>
      </c>
      <c r="MH1" s="29">
        <f t="shared" ca="1" si="4"/>
        <v>0</v>
      </c>
      <c r="MI1" s="29">
        <f t="shared" ca="1" si="4"/>
        <v>206.25</v>
      </c>
      <c r="MJ1" s="29">
        <f t="shared" ca="1" si="4"/>
        <v>0</v>
      </c>
      <c r="MK1" s="29">
        <f t="shared" ca="1" si="4"/>
        <v>112.5</v>
      </c>
      <c r="ML1" s="29">
        <f t="shared" ca="1" si="4"/>
        <v>0</v>
      </c>
      <c r="MM1" s="29">
        <f t="shared" ca="1" si="4"/>
        <v>0</v>
      </c>
      <c r="MN1" s="29">
        <f t="shared" ca="1" si="4"/>
        <v>0</v>
      </c>
      <c r="MO1" s="29">
        <f t="shared" ca="1" si="4"/>
        <v>206.25</v>
      </c>
      <c r="MP1" s="29">
        <f t="shared" ca="1" si="4"/>
        <v>0</v>
      </c>
      <c r="MQ1" s="29">
        <f t="shared" ca="1" si="4"/>
        <v>112.5</v>
      </c>
      <c r="MR1" s="29">
        <f t="shared" ca="1" si="4"/>
        <v>0</v>
      </c>
      <c r="MS1" s="29">
        <f t="shared" ref="MS1:PD1" ca="1" si="5">SUMIF($L$7:$L$18,"TRUE",MS7:MS18)</f>
        <v>0</v>
      </c>
      <c r="MT1" s="29">
        <f t="shared" ca="1" si="5"/>
        <v>0</v>
      </c>
      <c r="MU1" s="29">
        <f t="shared" ca="1" si="5"/>
        <v>206.25</v>
      </c>
      <c r="MV1" s="29">
        <f t="shared" ca="1" si="5"/>
        <v>0</v>
      </c>
      <c r="MW1" s="29">
        <f t="shared" ca="1" si="5"/>
        <v>112.5</v>
      </c>
      <c r="MX1" s="29">
        <f t="shared" ca="1" si="5"/>
        <v>0</v>
      </c>
      <c r="MY1" s="29">
        <f t="shared" ca="1" si="5"/>
        <v>0</v>
      </c>
      <c r="MZ1" s="29">
        <f t="shared" ca="1" si="5"/>
        <v>0</v>
      </c>
      <c r="NA1" s="29">
        <f t="shared" ca="1" si="5"/>
        <v>0</v>
      </c>
      <c r="NB1" s="29">
        <f t="shared" ca="1" si="5"/>
        <v>0</v>
      </c>
      <c r="NC1" s="29">
        <f t="shared" ca="1" si="5"/>
        <v>112.5</v>
      </c>
      <c r="ND1" s="29">
        <f t="shared" ca="1" si="5"/>
        <v>0</v>
      </c>
      <c r="NE1" s="29">
        <f t="shared" ca="1" si="5"/>
        <v>0</v>
      </c>
      <c r="NF1" s="29">
        <f t="shared" ca="1" si="5"/>
        <v>0</v>
      </c>
      <c r="NG1" s="29">
        <f t="shared" ca="1" si="5"/>
        <v>0</v>
      </c>
      <c r="NH1" s="29">
        <f t="shared" ca="1" si="5"/>
        <v>0</v>
      </c>
      <c r="NI1" s="29">
        <f t="shared" ca="1" si="5"/>
        <v>112.5</v>
      </c>
      <c r="NJ1" s="29">
        <f t="shared" ca="1" si="5"/>
        <v>0</v>
      </c>
      <c r="NK1" s="29">
        <f t="shared" ca="1" si="5"/>
        <v>0</v>
      </c>
      <c r="NL1" s="29">
        <f t="shared" ca="1" si="5"/>
        <v>0</v>
      </c>
      <c r="NM1" s="29">
        <f t="shared" ca="1" si="5"/>
        <v>0</v>
      </c>
      <c r="NN1" s="29">
        <f t="shared" ca="1" si="5"/>
        <v>0</v>
      </c>
      <c r="NO1" s="29">
        <f t="shared" ca="1" si="5"/>
        <v>112.5</v>
      </c>
      <c r="NP1" s="29">
        <f t="shared" ca="1" si="5"/>
        <v>0</v>
      </c>
      <c r="NQ1" s="29">
        <f t="shared" ca="1" si="5"/>
        <v>0</v>
      </c>
      <c r="NR1" s="29">
        <f t="shared" ca="1" si="5"/>
        <v>0</v>
      </c>
      <c r="NS1" s="29">
        <f t="shared" ca="1" si="5"/>
        <v>0</v>
      </c>
      <c r="NT1" s="29">
        <f t="shared" ca="1" si="5"/>
        <v>0</v>
      </c>
      <c r="NU1" s="29">
        <f t="shared" ca="1" si="5"/>
        <v>112.5</v>
      </c>
      <c r="NV1" s="29">
        <f t="shared" ca="1" si="5"/>
        <v>0</v>
      </c>
      <c r="NW1" s="29">
        <f t="shared" ca="1" si="5"/>
        <v>0</v>
      </c>
      <c r="NX1" s="29">
        <f t="shared" ca="1" si="5"/>
        <v>0</v>
      </c>
      <c r="NY1" s="29">
        <f t="shared" ca="1" si="5"/>
        <v>0</v>
      </c>
      <c r="NZ1" s="29">
        <f t="shared" ca="1" si="5"/>
        <v>0</v>
      </c>
      <c r="OA1" s="29">
        <f t="shared" ca="1" si="5"/>
        <v>112.5</v>
      </c>
      <c r="OB1" s="29">
        <f t="shared" ca="1" si="5"/>
        <v>0</v>
      </c>
      <c r="OC1" s="29">
        <f t="shared" ca="1" si="5"/>
        <v>0</v>
      </c>
      <c r="OD1" s="29">
        <f t="shared" ca="1" si="5"/>
        <v>0</v>
      </c>
      <c r="OE1" s="29">
        <f t="shared" ca="1" si="5"/>
        <v>0</v>
      </c>
      <c r="OF1" s="29">
        <f t="shared" ca="1" si="5"/>
        <v>0</v>
      </c>
      <c r="OG1" s="29">
        <f t="shared" ca="1" si="5"/>
        <v>112.5</v>
      </c>
      <c r="OH1" s="29">
        <f t="shared" ca="1" si="5"/>
        <v>0</v>
      </c>
      <c r="OI1" s="29">
        <f t="shared" ca="1" si="5"/>
        <v>0</v>
      </c>
      <c r="OJ1" s="29">
        <f t="shared" ca="1" si="5"/>
        <v>0</v>
      </c>
      <c r="OK1" s="29">
        <f t="shared" ca="1" si="5"/>
        <v>0</v>
      </c>
      <c r="OL1" s="29">
        <f t="shared" ca="1" si="5"/>
        <v>0</v>
      </c>
      <c r="OM1" s="29">
        <f t="shared" ca="1" si="5"/>
        <v>112.5</v>
      </c>
      <c r="ON1" s="29">
        <f t="shared" ca="1" si="5"/>
        <v>0</v>
      </c>
      <c r="OO1" s="29">
        <f t="shared" ca="1" si="5"/>
        <v>0</v>
      </c>
      <c r="OP1" s="29">
        <f t="shared" ca="1" si="5"/>
        <v>0</v>
      </c>
      <c r="OQ1" s="29">
        <f t="shared" ca="1" si="5"/>
        <v>0</v>
      </c>
      <c r="OR1" s="29">
        <f t="shared" ca="1" si="5"/>
        <v>0</v>
      </c>
      <c r="OS1" s="29">
        <f t="shared" ca="1" si="5"/>
        <v>112.5</v>
      </c>
      <c r="OT1" s="29">
        <f t="shared" ca="1" si="5"/>
        <v>0</v>
      </c>
      <c r="OU1" s="29">
        <f t="shared" ca="1" si="5"/>
        <v>0</v>
      </c>
      <c r="OV1" s="29">
        <f t="shared" ca="1" si="5"/>
        <v>0</v>
      </c>
      <c r="OW1" s="29">
        <f t="shared" ca="1" si="5"/>
        <v>0</v>
      </c>
      <c r="OX1" s="29">
        <f t="shared" ca="1" si="5"/>
        <v>0</v>
      </c>
      <c r="OY1" s="29">
        <f t="shared" ca="1" si="5"/>
        <v>112.5</v>
      </c>
      <c r="OZ1" s="29">
        <f t="shared" ca="1" si="5"/>
        <v>0</v>
      </c>
      <c r="PA1" s="29">
        <f t="shared" ca="1" si="5"/>
        <v>0</v>
      </c>
      <c r="PB1" s="29">
        <f t="shared" ca="1" si="5"/>
        <v>0</v>
      </c>
      <c r="PC1" s="29">
        <f t="shared" ca="1" si="5"/>
        <v>0</v>
      </c>
      <c r="PD1" s="29">
        <f t="shared" ca="1" si="5"/>
        <v>0</v>
      </c>
      <c r="PE1" s="29">
        <f t="shared" ref="PE1:RP1" ca="1" si="6">SUMIF($L$7:$L$18,"TRUE",PE7:PE18)</f>
        <v>112.5</v>
      </c>
      <c r="PF1" s="29">
        <f t="shared" ca="1" si="6"/>
        <v>0</v>
      </c>
      <c r="PG1" s="29">
        <f t="shared" ca="1" si="6"/>
        <v>0</v>
      </c>
      <c r="PH1" s="29">
        <f t="shared" ca="1" si="6"/>
        <v>0</v>
      </c>
      <c r="PI1" s="29">
        <f t="shared" ca="1" si="6"/>
        <v>0</v>
      </c>
      <c r="PJ1" s="29">
        <f t="shared" ca="1" si="6"/>
        <v>0</v>
      </c>
      <c r="PK1" s="29">
        <f t="shared" ca="1" si="6"/>
        <v>112.5</v>
      </c>
      <c r="PL1" s="29">
        <f t="shared" ca="1" si="6"/>
        <v>0</v>
      </c>
      <c r="PM1" s="29">
        <f t="shared" ca="1" si="6"/>
        <v>0</v>
      </c>
      <c r="PN1" s="29">
        <f t="shared" ca="1" si="6"/>
        <v>0</v>
      </c>
      <c r="PO1" s="29">
        <f t="shared" ca="1" si="6"/>
        <v>0</v>
      </c>
      <c r="PP1" s="29">
        <f t="shared" ca="1" si="6"/>
        <v>0</v>
      </c>
      <c r="PQ1" s="29">
        <f t="shared" ca="1" si="6"/>
        <v>112.5</v>
      </c>
      <c r="PR1" s="29">
        <f t="shared" ca="1" si="6"/>
        <v>0</v>
      </c>
      <c r="PS1" s="29">
        <f t="shared" ca="1" si="6"/>
        <v>0</v>
      </c>
      <c r="PT1" s="29">
        <f t="shared" ca="1" si="6"/>
        <v>0</v>
      </c>
      <c r="PU1" s="29">
        <f t="shared" ca="1" si="6"/>
        <v>0</v>
      </c>
      <c r="PV1" s="29">
        <f t="shared" ca="1" si="6"/>
        <v>0</v>
      </c>
      <c r="PW1" s="29">
        <f t="shared" ca="1" si="6"/>
        <v>112.5</v>
      </c>
      <c r="PX1" s="29">
        <f t="shared" ca="1" si="6"/>
        <v>0</v>
      </c>
      <c r="PY1" s="29">
        <f t="shared" ca="1" si="6"/>
        <v>0</v>
      </c>
      <c r="PZ1" s="29">
        <f t="shared" ca="1" si="6"/>
        <v>0</v>
      </c>
      <c r="QA1" s="29">
        <f t="shared" ca="1" si="6"/>
        <v>0</v>
      </c>
      <c r="QB1" s="29">
        <f t="shared" ca="1" si="6"/>
        <v>0</v>
      </c>
      <c r="QC1" s="29">
        <f t="shared" ca="1" si="6"/>
        <v>112.5</v>
      </c>
      <c r="QD1" s="29">
        <f t="shared" ca="1" si="6"/>
        <v>0</v>
      </c>
      <c r="QE1" s="29">
        <f t="shared" ca="1" si="6"/>
        <v>0</v>
      </c>
      <c r="QF1" s="29">
        <f t="shared" ca="1" si="6"/>
        <v>0</v>
      </c>
      <c r="QG1" s="29">
        <f t="shared" ca="1" si="6"/>
        <v>0</v>
      </c>
      <c r="QH1" s="29">
        <f t="shared" ca="1" si="6"/>
        <v>0</v>
      </c>
      <c r="QI1" s="29">
        <f t="shared" ca="1" si="6"/>
        <v>112.5</v>
      </c>
      <c r="QJ1" s="29">
        <f t="shared" ca="1" si="6"/>
        <v>0</v>
      </c>
      <c r="QK1" s="29">
        <f t="shared" ca="1" si="6"/>
        <v>0</v>
      </c>
      <c r="QL1" s="29">
        <f t="shared" ca="1" si="6"/>
        <v>0</v>
      </c>
      <c r="QM1" s="29">
        <f t="shared" ca="1" si="6"/>
        <v>0</v>
      </c>
      <c r="QN1" s="29">
        <f t="shared" ca="1" si="6"/>
        <v>0</v>
      </c>
      <c r="QO1" s="29">
        <f t="shared" ca="1" si="6"/>
        <v>112.5</v>
      </c>
      <c r="QP1" s="29">
        <f t="shared" ca="1" si="6"/>
        <v>0</v>
      </c>
      <c r="QQ1" s="29">
        <f t="shared" ca="1" si="6"/>
        <v>0</v>
      </c>
      <c r="QR1" s="29">
        <f t="shared" ca="1" si="6"/>
        <v>0</v>
      </c>
      <c r="QS1" s="29">
        <f t="shared" ca="1" si="6"/>
        <v>0</v>
      </c>
      <c r="QT1" s="29">
        <f t="shared" ca="1" si="6"/>
        <v>0</v>
      </c>
      <c r="QU1" s="29">
        <f t="shared" ca="1" si="6"/>
        <v>112.5</v>
      </c>
      <c r="QV1" s="29">
        <f t="shared" ca="1" si="6"/>
        <v>0</v>
      </c>
      <c r="QW1" s="29">
        <f t="shared" ca="1" si="6"/>
        <v>0</v>
      </c>
      <c r="QX1" s="29">
        <f t="shared" ca="1" si="6"/>
        <v>0</v>
      </c>
      <c r="QY1" s="29">
        <f t="shared" ca="1" si="6"/>
        <v>0</v>
      </c>
      <c r="QZ1" s="29">
        <f t="shared" ca="1" si="6"/>
        <v>0</v>
      </c>
      <c r="RA1" s="29">
        <f t="shared" ca="1" si="6"/>
        <v>112.5</v>
      </c>
      <c r="RB1" s="29">
        <f t="shared" ca="1" si="6"/>
        <v>0</v>
      </c>
      <c r="RC1" s="29">
        <f t="shared" ca="1" si="6"/>
        <v>0</v>
      </c>
      <c r="RD1" s="29">
        <f t="shared" ca="1" si="6"/>
        <v>0</v>
      </c>
      <c r="RE1" s="29">
        <f t="shared" ca="1" si="6"/>
        <v>0</v>
      </c>
      <c r="RF1" s="29">
        <f t="shared" ca="1" si="6"/>
        <v>0</v>
      </c>
      <c r="RG1" s="29">
        <f t="shared" ca="1" si="6"/>
        <v>0</v>
      </c>
      <c r="RH1" s="29">
        <f t="shared" ca="1" si="6"/>
        <v>0</v>
      </c>
      <c r="RI1" s="29">
        <f t="shared" ca="1" si="6"/>
        <v>0</v>
      </c>
      <c r="RJ1" s="29">
        <f t="shared" ca="1" si="6"/>
        <v>0</v>
      </c>
      <c r="RK1" s="29">
        <f t="shared" ca="1" si="6"/>
        <v>0</v>
      </c>
      <c r="RL1" s="29">
        <f t="shared" ca="1" si="6"/>
        <v>0</v>
      </c>
      <c r="RM1" s="29">
        <f t="shared" ca="1" si="6"/>
        <v>0</v>
      </c>
      <c r="RN1" s="29">
        <f t="shared" ca="1" si="6"/>
        <v>0</v>
      </c>
      <c r="RO1" s="29">
        <f t="shared" ca="1" si="6"/>
        <v>0</v>
      </c>
      <c r="RP1" s="29">
        <f t="shared" ca="1" si="6"/>
        <v>0</v>
      </c>
      <c r="RQ1" s="29">
        <f t="shared" ref="RQ1:UB1" ca="1" si="7">SUMIF($L$7:$L$18,"TRUE",RQ7:RQ18)</f>
        <v>0</v>
      </c>
      <c r="RR1" s="29">
        <f t="shared" ca="1" si="7"/>
        <v>0</v>
      </c>
      <c r="RS1" s="29">
        <f t="shared" ca="1" si="7"/>
        <v>0</v>
      </c>
      <c r="RT1" s="29">
        <f t="shared" ca="1" si="7"/>
        <v>0</v>
      </c>
      <c r="RU1" s="29">
        <f t="shared" ca="1" si="7"/>
        <v>0</v>
      </c>
      <c r="RV1" s="29">
        <f t="shared" ca="1" si="7"/>
        <v>0</v>
      </c>
      <c r="RW1" s="29">
        <f t="shared" ca="1" si="7"/>
        <v>0</v>
      </c>
      <c r="RX1" s="29">
        <f t="shared" ca="1" si="7"/>
        <v>0</v>
      </c>
      <c r="RY1" s="29">
        <f t="shared" ca="1" si="7"/>
        <v>0</v>
      </c>
      <c r="RZ1" s="29">
        <f t="shared" ca="1" si="7"/>
        <v>0</v>
      </c>
      <c r="SA1" s="29">
        <f t="shared" ca="1" si="7"/>
        <v>0</v>
      </c>
      <c r="SB1" s="29">
        <f t="shared" ca="1" si="7"/>
        <v>0</v>
      </c>
      <c r="SC1" s="29">
        <f t="shared" ca="1" si="7"/>
        <v>0</v>
      </c>
      <c r="SD1" s="29">
        <f t="shared" ca="1" si="7"/>
        <v>0</v>
      </c>
      <c r="SE1" s="29">
        <f t="shared" ca="1" si="7"/>
        <v>0</v>
      </c>
      <c r="SF1" s="29">
        <f t="shared" ca="1" si="7"/>
        <v>0</v>
      </c>
      <c r="SG1" s="29">
        <f t="shared" ca="1" si="7"/>
        <v>0</v>
      </c>
      <c r="SH1" s="29">
        <f t="shared" ca="1" si="7"/>
        <v>0</v>
      </c>
      <c r="SI1" s="29">
        <f t="shared" ca="1" si="7"/>
        <v>0</v>
      </c>
      <c r="SJ1" s="29">
        <f t="shared" ca="1" si="7"/>
        <v>0</v>
      </c>
      <c r="SK1" s="29">
        <f t="shared" ca="1" si="7"/>
        <v>0</v>
      </c>
      <c r="SL1" s="29">
        <f t="shared" ca="1" si="7"/>
        <v>0</v>
      </c>
      <c r="SM1" s="29">
        <f t="shared" ca="1" si="7"/>
        <v>0</v>
      </c>
      <c r="SN1" s="29">
        <f t="shared" ca="1" si="7"/>
        <v>0</v>
      </c>
      <c r="SO1" s="29">
        <f t="shared" ca="1" si="7"/>
        <v>0</v>
      </c>
      <c r="SP1" s="29">
        <f t="shared" ca="1" si="7"/>
        <v>0</v>
      </c>
      <c r="SQ1" s="29">
        <f t="shared" ca="1" si="7"/>
        <v>0</v>
      </c>
      <c r="SR1" s="29">
        <f t="shared" ca="1" si="7"/>
        <v>0</v>
      </c>
      <c r="SS1" s="29">
        <f t="shared" ca="1" si="7"/>
        <v>0</v>
      </c>
      <c r="ST1" s="29">
        <f t="shared" ca="1" si="7"/>
        <v>0</v>
      </c>
      <c r="SU1" s="29">
        <f t="shared" ca="1" si="7"/>
        <v>0</v>
      </c>
      <c r="SV1" s="29">
        <f t="shared" ca="1" si="7"/>
        <v>0</v>
      </c>
      <c r="SW1" s="29">
        <f t="shared" ca="1" si="7"/>
        <v>0</v>
      </c>
      <c r="SX1" s="29">
        <f t="shared" ca="1" si="7"/>
        <v>0</v>
      </c>
      <c r="SY1" s="29">
        <f t="shared" ca="1" si="7"/>
        <v>0</v>
      </c>
      <c r="SZ1" s="29">
        <f t="shared" ca="1" si="7"/>
        <v>0</v>
      </c>
      <c r="TA1" s="29">
        <f t="shared" ca="1" si="7"/>
        <v>0</v>
      </c>
      <c r="TB1" s="29">
        <f t="shared" ca="1" si="7"/>
        <v>0</v>
      </c>
      <c r="TC1" s="29">
        <f t="shared" ca="1" si="7"/>
        <v>0</v>
      </c>
      <c r="TD1" s="29">
        <f t="shared" ca="1" si="7"/>
        <v>0</v>
      </c>
      <c r="TE1" s="29">
        <f t="shared" ca="1" si="7"/>
        <v>0</v>
      </c>
      <c r="TF1" s="29">
        <f t="shared" ca="1" si="7"/>
        <v>0</v>
      </c>
      <c r="TG1" s="29">
        <f t="shared" ca="1" si="7"/>
        <v>0</v>
      </c>
      <c r="TH1" s="29">
        <f t="shared" ca="1" si="7"/>
        <v>0</v>
      </c>
      <c r="TI1" s="29">
        <f t="shared" ca="1" si="7"/>
        <v>0</v>
      </c>
      <c r="TJ1" s="29">
        <f t="shared" ca="1" si="7"/>
        <v>0</v>
      </c>
      <c r="TK1" s="29">
        <f t="shared" ca="1" si="7"/>
        <v>0</v>
      </c>
      <c r="TL1" s="29">
        <f t="shared" ca="1" si="7"/>
        <v>0</v>
      </c>
      <c r="TM1" s="29">
        <f t="shared" ca="1" si="7"/>
        <v>0</v>
      </c>
      <c r="TN1" s="29">
        <f t="shared" ca="1" si="7"/>
        <v>0</v>
      </c>
      <c r="TO1" s="29">
        <f t="shared" ca="1" si="7"/>
        <v>0</v>
      </c>
      <c r="TP1" s="29">
        <f t="shared" ca="1" si="7"/>
        <v>0</v>
      </c>
      <c r="TQ1" s="29">
        <f t="shared" ca="1" si="7"/>
        <v>0</v>
      </c>
      <c r="TR1" s="29">
        <f t="shared" ca="1" si="7"/>
        <v>0</v>
      </c>
      <c r="TS1" s="29">
        <f t="shared" ca="1" si="7"/>
        <v>0</v>
      </c>
      <c r="TT1" s="29">
        <f t="shared" ca="1" si="7"/>
        <v>0</v>
      </c>
      <c r="TU1" s="29">
        <f t="shared" ca="1" si="7"/>
        <v>0</v>
      </c>
      <c r="TV1" s="29">
        <f t="shared" ca="1" si="7"/>
        <v>0</v>
      </c>
      <c r="TW1" s="29">
        <f t="shared" ca="1" si="7"/>
        <v>0</v>
      </c>
      <c r="TX1" s="29">
        <f t="shared" ca="1" si="7"/>
        <v>0</v>
      </c>
      <c r="TY1" s="29">
        <f t="shared" ca="1" si="7"/>
        <v>0</v>
      </c>
      <c r="TZ1" s="29">
        <f t="shared" ca="1" si="7"/>
        <v>0</v>
      </c>
      <c r="UA1" s="29">
        <f t="shared" ca="1" si="7"/>
        <v>0</v>
      </c>
      <c r="UB1" s="29">
        <f t="shared" ca="1" si="7"/>
        <v>0</v>
      </c>
      <c r="UC1" s="29">
        <f t="shared" ref="UC1:WN1" ca="1" si="8">SUMIF($L$7:$L$18,"TRUE",UC7:UC18)</f>
        <v>0</v>
      </c>
      <c r="UD1" s="29">
        <f t="shared" ca="1" si="8"/>
        <v>0</v>
      </c>
      <c r="UE1" s="29">
        <f t="shared" ca="1" si="8"/>
        <v>0</v>
      </c>
      <c r="UF1" s="29">
        <f t="shared" ca="1" si="8"/>
        <v>0</v>
      </c>
      <c r="UG1" s="29">
        <f t="shared" ca="1" si="8"/>
        <v>0</v>
      </c>
      <c r="UH1" s="29">
        <f t="shared" ca="1" si="8"/>
        <v>0</v>
      </c>
      <c r="UI1" s="29">
        <f t="shared" ca="1" si="8"/>
        <v>0</v>
      </c>
      <c r="UJ1" s="29">
        <f t="shared" ca="1" si="8"/>
        <v>0</v>
      </c>
      <c r="UK1" s="29">
        <f t="shared" ca="1" si="8"/>
        <v>0</v>
      </c>
      <c r="UL1" s="29">
        <f t="shared" ca="1" si="8"/>
        <v>0</v>
      </c>
      <c r="UM1" s="29">
        <f t="shared" ca="1" si="8"/>
        <v>0</v>
      </c>
      <c r="UN1" s="29">
        <f t="shared" ca="1" si="8"/>
        <v>0</v>
      </c>
      <c r="UO1" s="29">
        <f t="shared" ca="1" si="8"/>
        <v>0</v>
      </c>
      <c r="UP1" s="29">
        <f t="shared" ca="1" si="8"/>
        <v>0</v>
      </c>
      <c r="UQ1" s="29">
        <f t="shared" ca="1" si="8"/>
        <v>0</v>
      </c>
      <c r="UR1" s="29">
        <f t="shared" ca="1" si="8"/>
        <v>0</v>
      </c>
      <c r="US1" s="29">
        <f t="shared" ca="1" si="8"/>
        <v>0</v>
      </c>
      <c r="UT1" s="29">
        <f t="shared" ca="1" si="8"/>
        <v>0</v>
      </c>
      <c r="UU1" s="29">
        <f t="shared" ca="1" si="8"/>
        <v>0</v>
      </c>
      <c r="UV1" s="29">
        <f t="shared" ca="1" si="8"/>
        <v>0</v>
      </c>
      <c r="UW1" s="29">
        <f t="shared" ca="1" si="8"/>
        <v>0</v>
      </c>
      <c r="UX1" s="29">
        <f t="shared" ca="1" si="8"/>
        <v>0</v>
      </c>
      <c r="UY1" s="29">
        <f t="shared" ca="1" si="8"/>
        <v>0</v>
      </c>
      <c r="UZ1" s="29">
        <f t="shared" ca="1" si="8"/>
        <v>0</v>
      </c>
      <c r="VA1" s="29">
        <f t="shared" ca="1" si="8"/>
        <v>0</v>
      </c>
      <c r="VB1" s="29">
        <f t="shared" ca="1" si="8"/>
        <v>0</v>
      </c>
      <c r="VC1" s="29">
        <f t="shared" ca="1" si="8"/>
        <v>0</v>
      </c>
      <c r="VD1" s="29">
        <f t="shared" ca="1" si="8"/>
        <v>0</v>
      </c>
      <c r="VE1" s="29">
        <f t="shared" ca="1" si="8"/>
        <v>0</v>
      </c>
      <c r="VF1" s="29">
        <f t="shared" ca="1" si="8"/>
        <v>0</v>
      </c>
      <c r="VG1" s="29">
        <f t="shared" ca="1" si="8"/>
        <v>0</v>
      </c>
      <c r="VH1" s="29">
        <f t="shared" ca="1" si="8"/>
        <v>0</v>
      </c>
      <c r="VI1" s="29">
        <f t="shared" ca="1" si="8"/>
        <v>0</v>
      </c>
      <c r="VJ1" s="29">
        <f t="shared" ca="1" si="8"/>
        <v>0</v>
      </c>
      <c r="VK1" s="29">
        <f t="shared" ca="1" si="8"/>
        <v>0</v>
      </c>
      <c r="VL1" s="29">
        <f t="shared" ca="1" si="8"/>
        <v>0</v>
      </c>
      <c r="VM1" s="29">
        <f t="shared" ca="1" si="8"/>
        <v>0</v>
      </c>
      <c r="VN1" s="29">
        <f t="shared" ca="1" si="8"/>
        <v>0</v>
      </c>
      <c r="VO1" s="29">
        <f t="shared" ca="1" si="8"/>
        <v>0</v>
      </c>
      <c r="VP1" s="29">
        <f t="shared" ca="1" si="8"/>
        <v>0</v>
      </c>
      <c r="VQ1" s="29">
        <f t="shared" ca="1" si="8"/>
        <v>0</v>
      </c>
      <c r="VR1" s="29">
        <f t="shared" ca="1" si="8"/>
        <v>0</v>
      </c>
      <c r="VS1" s="29">
        <f t="shared" ca="1" si="8"/>
        <v>0</v>
      </c>
      <c r="VT1" s="29">
        <f t="shared" ca="1" si="8"/>
        <v>0</v>
      </c>
      <c r="VU1" s="29">
        <f t="shared" ca="1" si="8"/>
        <v>0</v>
      </c>
      <c r="VV1" s="29">
        <f t="shared" ca="1" si="8"/>
        <v>0</v>
      </c>
      <c r="VW1" s="29">
        <f t="shared" ca="1" si="8"/>
        <v>0</v>
      </c>
      <c r="VX1" s="29">
        <f t="shared" ca="1" si="8"/>
        <v>0</v>
      </c>
      <c r="VY1" s="29">
        <f t="shared" ca="1" si="8"/>
        <v>0</v>
      </c>
      <c r="VZ1" s="29">
        <f t="shared" ca="1" si="8"/>
        <v>0</v>
      </c>
      <c r="WA1" s="29">
        <f t="shared" ca="1" si="8"/>
        <v>0</v>
      </c>
      <c r="WB1" s="29">
        <f t="shared" ca="1" si="8"/>
        <v>0</v>
      </c>
      <c r="WC1" s="29">
        <f t="shared" ca="1" si="8"/>
        <v>0</v>
      </c>
      <c r="WD1" s="29">
        <f t="shared" ca="1" si="8"/>
        <v>0</v>
      </c>
      <c r="WE1" s="29">
        <f t="shared" ca="1" si="8"/>
        <v>0</v>
      </c>
      <c r="WF1" s="29">
        <f t="shared" ca="1" si="8"/>
        <v>0</v>
      </c>
      <c r="WG1" s="29">
        <f t="shared" ca="1" si="8"/>
        <v>0</v>
      </c>
      <c r="WH1" s="29">
        <f t="shared" ca="1" si="8"/>
        <v>0</v>
      </c>
      <c r="WI1" s="29">
        <f t="shared" ca="1" si="8"/>
        <v>0</v>
      </c>
      <c r="WJ1" s="29">
        <f t="shared" ca="1" si="8"/>
        <v>0</v>
      </c>
      <c r="WK1" s="29">
        <f t="shared" ca="1" si="8"/>
        <v>0</v>
      </c>
      <c r="WL1" s="29">
        <f t="shared" ca="1" si="8"/>
        <v>0</v>
      </c>
      <c r="WM1" s="29">
        <f t="shared" ca="1" si="8"/>
        <v>0</v>
      </c>
      <c r="WN1" s="29">
        <f t="shared" ca="1" si="8"/>
        <v>0</v>
      </c>
      <c r="WO1" s="29">
        <f t="shared" ref="WO1:YZ1" ca="1" si="9">SUMIF($L$7:$L$18,"TRUE",WO7:WO18)</f>
        <v>0</v>
      </c>
      <c r="WP1" s="29">
        <f t="shared" ca="1" si="9"/>
        <v>0</v>
      </c>
      <c r="WQ1" s="29">
        <f t="shared" ca="1" si="9"/>
        <v>0</v>
      </c>
      <c r="WR1" s="29">
        <f t="shared" ca="1" si="9"/>
        <v>0</v>
      </c>
      <c r="WS1" s="29">
        <f t="shared" ca="1" si="9"/>
        <v>0</v>
      </c>
      <c r="WT1" s="29">
        <f t="shared" ca="1" si="9"/>
        <v>0</v>
      </c>
      <c r="WU1" s="29">
        <f t="shared" ca="1" si="9"/>
        <v>0</v>
      </c>
      <c r="WV1" s="29">
        <f t="shared" ca="1" si="9"/>
        <v>0</v>
      </c>
      <c r="WW1" s="29">
        <f t="shared" ca="1" si="9"/>
        <v>0</v>
      </c>
      <c r="WX1" s="29">
        <f t="shared" ca="1" si="9"/>
        <v>0</v>
      </c>
      <c r="WY1" s="29">
        <f t="shared" ca="1" si="9"/>
        <v>0</v>
      </c>
      <c r="WZ1" s="29">
        <f t="shared" ca="1" si="9"/>
        <v>0</v>
      </c>
      <c r="XA1" s="29">
        <f t="shared" ca="1" si="9"/>
        <v>0</v>
      </c>
      <c r="XB1" s="29">
        <f t="shared" ca="1" si="9"/>
        <v>0</v>
      </c>
      <c r="XC1" s="29">
        <f t="shared" ca="1" si="9"/>
        <v>0</v>
      </c>
      <c r="XD1" s="29">
        <f t="shared" ca="1" si="9"/>
        <v>0</v>
      </c>
      <c r="XE1" s="29">
        <f t="shared" ca="1" si="9"/>
        <v>0</v>
      </c>
      <c r="XF1" s="29">
        <f t="shared" ca="1" si="9"/>
        <v>0</v>
      </c>
      <c r="XG1" s="29">
        <f t="shared" ca="1" si="9"/>
        <v>0</v>
      </c>
      <c r="XH1" s="29">
        <f t="shared" ca="1" si="9"/>
        <v>0</v>
      </c>
      <c r="XI1" s="29">
        <f t="shared" ca="1" si="9"/>
        <v>0</v>
      </c>
      <c r="XJ1" s="29">
        <f t="shared" ca="1" si="9"/>
        <v>0</v>
      </c>
      <c r="XK1" s="29">
        <f t="shared" ca="1" si="9"/>
        <v>0</v>
      </c>
      <c r="XL1" s="29">
        <f t="shared" ca="1" si="9"/>
        <v>0</v>
      </c>
      <c r="XM1" s="29">
        <f t="shared" ca="1" si="9"/>
        <v>0</v>
      </c>
      <c r="XN1" s="29">
        <f t="shared" ca="1" si="9"/>
        <v>0</v>
      </c>
      <c r="XO1" s="29">
        <f t="shared" ca="1" si="9"/>
        <v>0</v>
      </c>
      <c r="XP1" s="29">
        <f t="shared" ca="1" si="9"/>
        <v>0</v>
      </c>
      <c r="XQ1" s="29">
        <f t="shared" ca="1" si="9"/>
        <v>0</v>
      </c>
      <c r="XR1" s="29">
        <f t="shared" ca="1" si="9"/>
        <v>0</v>
      </c>
      <c r="XS1" s="29">
        <f t="shared" ca="1" si="9"/>
        <v>0</v>
      </c>
      <c r="XT1" s="29">
        <f t="shared" ca="1" si="9"/>
        <v>0</v>
      </c>
      <c r="XU1" s="29">
        <f t="shared" ca="1" si="9"/>
        <v>0</v>
      </c>
      <c r="XV1" s="29">
        <f t="shared" ca="1" si="9"/>
        <v>0</v>
      </c>
      <c r="XW1" s="29">
        <f t="shared" ca="1" si="9"/>
        <v>0</v>
      </c>
      <c r="XX1" s="29">
        <f t="shared" ca="1" si="9"/>
        <v>0</v>
      </c>
      <c r="XY1" s="29">
        <f t="shared" ca="1" si="9"/>
        <v>0</v>
      </c>
      <c r="XZ1" s="29">
        <f t="shared" ca="1" si="9"/>
        <v>0</v>
      </c>
      <c r="YA1" s="29">
        <f t="shared" ca="1" si="9"/>
        <v>0</v>
      </c>
      <c r="YB1" s="29">
        <f t="shared" ca="1" si="9"/>
        <v>0</v>
      </c>
      <c r="YC1" s="29">
        <f t="shared" ca="1" si="9"/>
        <v>0</v>
      </c>
      <c r="YD1" s="29">
        <f t="shared" ca="1" si="9"/>
        <v>0</v>
      </c>
      <c r="YE1" s="29">
        <f t="shared" ca="1" si="9"/>
        <v>0</v>
      </c>
      <c r="YF1" s="29">
        <f t="shared" ca="1" si="9"/>
        <v>0</v>
      </c>
      <c r="YG1" s="29">
        <f t="shared" ca="1" si="9"/>
        <v>0</v>
      </c>
      <c r="YH1" s="29">
        <f t="shared" ca="1" si="9"/>
        <v>0</v>
      </c>
      <c r="YI1" s="29">
        <f t="shared" ca="1" si="9"/>
        <v>0</v>
      </c>
      <c r="YJ1" s="29">
        <f t="shared" ca="1" si="9"/>
        <v>0</v>
      </c>
      <c r="YK1" s="29">
        <f t="shared" ca="1" si="9"/>
        <v>0</v>
      </c>
      <c r="YL1" s="29">
        <f t="shared" ca="1" si="9"/>
        <v>0</v>
      </c>
      <c r="YM1" s="29">
        <f t="shared" ca="1" si="9"/>
        <v>0</v>
      </c>
      <c r="YN1" s="29">
        <f t="shared" ca="1" si="9"/>
        <v>0</v>
      </c>
      <c r="YO1" s="29">
        <f t="shared" ca="1" si="9"/>
        <v>0</v>
      </c>
      <c r="YP1" s="29">
        <f t="shared" ca="1" si="9"/>
        <v>0</v>
      </c>
      <c r="YQ1" s="29">
        <f t="shared" ca="1" si="9"/>
        <v>0</v>
      </c>
      <c r="YR1" s="29">
        <f t="shared" ca="1" si="9"/>
        <v>0</v>
      </c>
      <c r="YS1" s="29">
        <f t="shared" ca="1" si="9"/>
        <v>0</v>
      </c>
      <c r="YT1" s="29">
        <f t="shared" ca="1" si="9"/>
        <v>0</v>
      </c>
      <c r="YU1" s="29">
        <f t="shared" ca="1" si="9"/>
        <v>0</v>
      </c>
      <c r="YV1" s="29">
        <f t="shared" ca="1" si="9"/>
        <v>0</v>
      </c>
      <c r="YW1" s="29">
        <f t="shared" ca="1" si="9"/>
        <v>0</v>
      </c>
      <c r="YX1" s="29">
        <f t="shared" ca="1" si="9"/>
        <v>0</v>
      </c>
      <c r="YY1" s="29">
        <f t="shared" ca="1" si="9"/>
        <v>0</v>
      </c>
      <c r="YZ1" s="29">
        <f t="shared" ca="1" si="9"/>
        <v>0</v>
      </c>
      <c r="ZA1" s="29">
        <f t="shared" ref="ZA1:ABL1" ca="1" si="10">SUMIF($L$7:$L$18,"TRUE",ZA7:ZA18)</f>
        <v>0</v>
      </c>
      <c r="ZB1" s="29">
        <f t="shared" ca="1" si="10"/>
        <v>0</v>
      </c>
      <c r="ZC1" s="29">
        <f t="shared" ca="1" si="10"/>
        <v>0</v>
      </c>
      <c r="ZD1" s="29">
        <f t="shared" ca="1" si="10"/>
        <v>0</v>
      </c>
      <c r="ZE1" s="29">
        <f t="shared" ca="1" si="10"/>
        <v>0</v>
      </c>
      <c r="ZF1" s="29">
        <f t="shared" ca="1" si="10"/>
        <v>0</v>
      </c>
      <c r="ZG1" s="29">
        <f t="shared" ca="1" si="10"/>
        <v>0</v>
      </c>
      <c r="ZH1" s="29">
        <f t="shared" ca="1" si="10"/>
        <v>0</v>
      </c>
      <c r="ZI1" s="29">
        <f t="shared" ca="1" si="10"/>
        <v>0</v>
      </c>
      <c r="ZJ1" s="29">
        <f t="shared" ca="1" si="10"/>
        <v>0</v>
      </c>
      <c r="ZK1" s="29">
        <f t="shared" ca="1" si="10"/>
        <v>0</v>
      </c>
      <c r="ZL1" s="29">
        <f t="shared" ca="1" si="10"/>
        <v>0</v>
      </c>
      <c r="ZM1" s="29">
        <f t="shared" ca="1" si="10"/>
        <v>0</v>
      </c>
      <c r="ZN1" s="29">
        <f t="shared" ca="1" si="10"/>
        <v>0</v>
      </c>
      <c r="ZO1" s="29">
        <f t="shared" ca="1" si="10"/>
        <v>0</v>
      </c>
      <c r="ZP1" s="29">
        <f t="shared" ca="1" si="10"/>
        <v>0</v>
      </c>
      <c r="ZQ1" s="29">
        <f t="shared" ca="1" si="10"/>
        <v>0</v>
      </c>
      <c r="ZR1" s="29">
        <f t="shared" ca="1" si="10"/>
        <v>0</v>
      </c>
      <c r="ZS1" s="29">
        <f t="shared" ca="1" si="10"/>
        <v>0</v>
      </c>
      <c r="ZT1" s="29">
        <f t="shared" ca="1" si="10"/>
        <v>0</v>
      </c>
      <c r="ZU1" s="29">
        <f t="shared" ca="1" si="10"/>
        <v>0</v>
      </c>
      <c r="ZV1" s="29">
        <f t="shared" ca="1" si="10"/>
        <v>0</v>
      </c>
      <c r="ZW1" s="29">
        <f t="shared" ca="1" si="10"/>
        <v>0</v>
      </c>
      <c r="ZX1" s="29">
        <f t="shared" ca="1" si="10"/>
        <v>0</v>
      </c>
      <c r="ZY1" s="29">
        <f t="shared" ca="1" si="10"/>
        <v>0</v>
      </c>
      <c r="ZZ1" s="29">
        <f t="shared" ca="1" si="10"/>
        <v>0</v>
      </c>
      <c r="AAA1" s="29">
        <f t="shared" ca="1" si="10"/>
        <v>0</v>
      </c>
      <c r="AAB1" s="29">
        <f t="shared" ca="1" si="10"/>
        <v>0</v>
      </c>
      <c r="AAC1" s="29">
        <f t="shared" ca="1" si="10"/>
        <v>0</v>
      </c>
      <c r="AAD1" s="29">
        <f t="shared" ca="1" si="10"/>
        <v>0</v>
      </c>
      <c r="AAE1" s="29">
        <f t="shared" ca="1" si="10"/>
        <v>0</v>
      </c>
      <c r="AAF1" s="29">
        <f t="shared" ca="1" si="10"/>
        <v>0</v>
      </c>
      <c r="AAG1" s="29">
        <f t="shared" ca="1" si="10"/>
        <v>0</v>
      </c>
      <c r="AAH1" s="29">
        <f t="shared" ca="1" si="10"/>
        <v>0</v>
      </c>
      <c r="AAI1" s="29">
        <f t="shared" ca="1" si="10"/>
        <v>0</v>
      </c>
      <c r="AAJ1" s="29">
        <f t="shared" ca="1" si="10"/>
        <v>0</v>
      </c>
      <c r="AAK1" s="29">
        <f t="shared" ca="1" si="10"/>
        <v>0</v>
      </c>
      <c r="AAL1" s="29">
        <f t="shared" ca="1" si="10"/>
        <v>0</v>
      </c>
      <c r="AAM1" s="29">
        <f t="shared" ca="1" si="10"/>
        <v>0</v>
      </c>
      <c r="AAN1" s="29">
        <f t="shared" ca="1" si="10"/>
        <v>0</v>
      </c>
      <c r="AAO1" s="29">
        <f t="shared" ca="1" si="10"/>
        <v>0</v>
      </c>
      <c r="AAP1" s="29">
        <f t="shared" ca="1" si="10"/>
        <v>0</v>
      </c>
      <c r="AAQ1" s="29">
        <f t="shared" ca="1" si="10"/>
        <v>0</v>
      </c>
      <c r="AAR1" s="29">
        <f t="shared" ca="1" si="10"/>
        <v>0</v>
      </c>
      <c r="AAS1" s="29">
        <f t="shared" ca="1" si="10"/>
        <v>0</v>
      </c>
      <c r="AAT1" s="29">
        <f t="shared" ca="1" si="10"/>
        <v>0</v>
      </c>
      <c r="AAU1" s="29">
        <f t="shared" ca="1" si="10"/>
        <v>0</v>
      </c>
      <c r="AAV1" s="29">
        <f t="shared" ca="1" si="10"/>
        <v>0</v>
      </c>
      <c r="AAW1" s="29">
        <f t="shared" ca="1" si="10"/>
        <v>0</v>
      </c>
      <c r="AAX1" s="29">
        <f t="shared" ca="1" si="10"/>
        <v>0</v>
      </c>
      <c r="AAY1" s="29">
        <f t="shared" ca="1" si="10"/>
        <v>0</v>
      </c>
      <c r="AAZ1" s="29">
        <f t="shared" ca="1" si="10"/>
        <v>0</v>
      </c>
      <c r="ABA1" s="29">
        <f t="shared" ca="1" si="10"/>
        <v>0</v>
      </c>
      <c r="ABB1" s="29">
        <f t="shared" ca="1" si="10"/>
        <v>0</v>
      </c>
      <c r="ABC1" s="29">
        <f t="shared" ca="1" si="10"/>
        <v>0</v>
      </c>
      <c r="ABD1" s="29">
        <f t="shared" ca="1" si="10"/>
        <v>0</v>
      </c>
      <c r="ABE1" s="29">
        <f t="shared" ca="1" si="10"/>
        <v>0</v>
      </c>
      <c r="ABF1" s="29">
        <f t="shared" ca="1" si="10"/>
        <v>0</v>
      </c>
      <c r="ABG1" s="29">
        <f t="shared" ca="1" si="10"/>
        <v>0</v>
      </c>
      <c r="ABH1" s="29">
        <f t="shared" ca="1" si="10"/>
        <v>0</v>
      </c>
      <c r="ABI1" s="29">
        <f t="shared" ca="1" si="10"/>
        <v>0</v>
      </c>
      <c r="ABJ1" s="29">
        <f t="shared" ca="1" si="10"/>
        <v>0</v>
      </c>
      <c r="ABK1" s="29">
        <f t="shared" ca="1" si="10"/>
        <v>0</v>
      </c>
      <c r="ABL1" s="29">
        <f t="shared" ca="1" si="10"/>
        <v>0</v>
      </c>
      <c r="ABM1" s="29">
        <f t="shared" ref="ABM1:ADX1" ca="1" si="11">SUMIF($L$7:$L$18,"TRUE",ABM7:ABM18)</f>
        <v>0</v>
      </c>
      <c r="ABN1" s="29">
        <f t="shared" ca="1" si="11"/>
        <v>0</v>
      </c>
      <c r="ABO1" s="29">
        <f t="shared" ca="1" si="11"/>
        <v>0</v>
      </c>
      <c r="ABP1" s="29">
        <f t="shared" ca="1" si="11"/>
        <v>0</v>
      </c>
      <c r="ABQ1" s="29">
        <f t="shared" ca="1" si="11"/>
        <v>0</v>
      </c>
      <c r="ABR1" s="29">
        <f t="shared" ca="1" si="11"/>
        <v>0</v>
      </c>
      <c r="ABS1" s="29">
        <f t="shared" ca="1" si="11"/>
        <v>0</v>
      </c>
      <c r="ABT1" s="29">
        <f t="shared" ca="1" si="11"/>
        <v>0</v>
      </c>
      <c r="ABU1" s="29">
        <f t="shared" ca="1" si="11"/>
        <v>0</v>
      </c>
      <c r="ABV1" s="29">
        <f t="shared" ca="1" si="11"/>
        <v>0</v>
      </c>
      <c r="ABW1" s="29">
        <f t="shared" ca="1" si="11"/>
        <v>0</v>
      </c>
      <c r="ABX1" s="29">
        <f t="shared" ca="1" si="11"/>
        <v>0</v>
      </c>
      <c r="ABY1" s="29">
        <f t="shared" ca="1" si="11"/>
        <v>0</v>
      </c>
      <c r="ABZ1" s="29">
        <f t="shared" ca="1" si="11"/>
        <v>0</v>
      </c>
      <c r="ACA1" s="29">
        <f t="shared" ca="1" si="11"/>
        <v>0</v>
      </c>
      <c r="ACB1" s="29">
        <f t="shared" ca="1" si="11"/>
        <v>0</v>
      </c>
      <c r="ACC1" s="29">
        <f t="shared" ca="1" si="11"/>
        <v>0</v>
      </c>
      <c r="ACD1" s="29">
        <f t="shared" ca="1" si="11"/>
        <v>0</v>
      </c>
      <c r="ACE1" s="29">
        <f t="shared" ca="1" si="11"/>
        <v>0</v>
      </c>
      <c r="ACF1" s="29">
        <f t="shared" ca="1" si="11"/>
        <v>0</v>
      </c>
      <c r="ACG1" s="29">
        <f t="shared" ca="1" si="11"/>
        <v>0</v>
      </c>
      <c r="ACH1" s="29">
        <f t="shared" ca="1" si="11"/>
        <v>0</v>
      </c>
      <c r="ACI1" s="29">
        <f t="shared" ca="1" si="11"/>
        <v>0</v>
      </c>
      <c r="ACJ1" s="29">
        <f t="shared" ca="1" si="11"/>
        <v>0</v>
      </c>
      <c r="ACK1" s="29">
        <f t="shared" ca="1" si="11"/>
        <v>0</v>
      </c>
      <c r="ACL1" s="29">
        <f t="shared" ca="1" si="11"/>
        <v>0</v>
      </c>
      <c r="ACM1" s="29">
        <f t="shared" ca="1" si="11"/>
        <v>0</v>
      </c>
      <c r="ACN1" s="29">
        <f t="shared" ca="1" si="11"/>
        <v>0</v>
      </c>
      <c r="ACO1" s="29">
        <f t="shared" ca="1" si="11"/>
        <v>0</v>
      </c>
      <c r="ACP1" s="29">
        <f t="shared" ca="1" si="11"/>
        <v>0</v>
      </c>
      <c r="ACQ1" s="29">
        <f t="shared" ca="1" si="11"/>
        <v>0</v>
      </c>
      <c r="ACR1" s="29">
        <f t="shared" ca="1" si="11"/>
        <v>0</v>
      </c>
      <c r="ACS1" s="29">
        <f t="shared" ca="1" si="11"/>
        <v>0</v>
      </c>
      <c r="ACT1" s="29">
        <f t="shared" ca="1" si="11"/>
        <v>0</v>
      </c>
      <c r="ACU1" s="29">
        <f t="shared" ca="1" si="11"/>
        <v>0</v>
      </c>
      <c r="ACV1" s="29">
        <f t="shared" ca="1" si="11"/>
        <v>0</v>
      </c>
      <c r="ACW1" s="29">
        <f t="shared" ca="1" si="11"/>
        <v>0</v>
      </c>
      <c r="ACX1" s="29">
        <f t="shared" ca="1" si="11"/>
        <v>0</v>
      </c>
      <c r="ACY1" s="29">
        <f t="shared" ca="1" si="11"/>
        <v>0</v>
      </c>
      <c r="ACZ1" s="29">
        <f t="shared" ca="1" si="11"/>
        <v>0</v>
      </c>
      <c r="ADA1" s="29">
        <f t="shared" ca="1" si="11"/>
        <v>0</v>
      </c>
      <c r="ADB1" s="29">
        <f t="shared" ca="1" si="11"/>
        <v>0</v>
      </c>
      <c r="ADC1" s="29">
        <f t="shared" ca="1" si="11"/>
        <v>0</v>
      </c>
      <c r="ADD1" s="29">
        <f t="shared" ca="1" si="11"/>
        <v>0</v>
      </c>
      <c r="ADE1" s="29">
        <f t="shared" ca="1" si="11"/>
        <v>0</v>
      </c>
      <c r="ADF1" s="29">
        <f t="shared" ca="1" si="11"/>
        <v>0</v>
      </c>
      <c r="ADG1" s="29">
        <f t="shared" ca="1" si="11"/>
        <v>0</v>
      </c>
      <c r="ADH1" s="29">
        <f t="shared" ca="1" si="11"/>
        <v>0</v>
      </c>
      <c r="ADI1" s="29">
        <f t="shared" ca="1" si="11"/>
        <v>0</v>
      </c>
      <c r="ADJ1" s="29">
        <f t="shared" ca="1" si="11"/>
        <v>0</v>
      </c>
      <c r="ADK1" s="29">
        <f t="shared" ca="1" si="11"/>
        <v>0</v>
      </c>
      <c r="ADL1" s="29">
        <f t="shared" ca="1" si="11"/>
        <v>0</v>
      </c>
      <c r="ADM1" s="29">
        <f t="shared" ca="1" si="11"/>
        <v>0</v>
      </c>
      <c r="ADN1" s="29">
        <f t="shared" ca="1" si="11"/>
        <v>0</v>
      </c>
      <c r="ADO1" s="29">
        <f t="shared" ca="1" si="11"/>
        <v>0</v>
      </c>
      <c r="ADP1" s="29">
        <f t="shared" ca="1" si="11"/>
        <v>0</v>
      </c>
      <c r="ADQ1" s="29">
        <f t="shared" ca="1" si="11"/>
        <v>0</v>
      </c>
      <c r="ADR1" s="29">
        <f t="shared" ca="1" si="11"/>
        <v>0</v>
      </c>
      <c r="ADS1" s="29">
        <f t="shared" ca="1" si="11"/>
        <v>0</v>
      </c>
      <c r="ADT1" s="29">
        <f t="shared" ca="1" si="11"/>
        <v>0</v>
      </c>
      <c r="ADU1" s="29">
        <f t="shared" ca="1" si="11"/>
        <v>0</v>
      </c>
      <c r="ADV1" s="29">
        <f t="shared" ca="1" si="11"/>
        <v>0</v>
      </c>
      <c r="ADW1" s="29">
        <f t="shared" ca="1" si="11"/>
        <v>0</v>
      </c>
      <c r="ADX1" s="29">
        <f t="shared" ca="1" si="11"/>
        <v>0</v>
      </c>
      <c r="ADY1" s="29">
        <f t="shared" ref="ADY1:AGJ1" ca="1" si="12">SUMIF($L$7:$L$18,"TRUE",ADY7:ADY18)</f>
        <v>0</v>
      </c>
      <c r="ADZ1" s="29">
        <f t="shared" ca="1" si="12"/>
        <v>0</v>
      </c>
      <c r="AEA1" s="29">
        <f t="shared" ca="1" si="12"/>
        <v>0</v>
      </c>
      <c r="AEB1" s="29">
        <f t="shared" ca="1" si="12"/>
        <v>0</v>
      </c>
      <c r="AEC1" s="29">
        <f t="shared" ca="1" si="12"/>
        <v>0</v>
      </c>
      <c r="AED1" s="29">
        <f t="shared" ca="1" si="12"/>
        <v>0</v>
      </c>
      <c r="AEE1" s="29">
        <f t="shared" ca="1" si="12"/>
        <v>0</v>
      </c>
      <c r="AEF1" s="29">
        <f t="shared" ca="1" si="12"/>
        <v>0</v>
      </c>
      <c r="AEG1" s="29">
        <f t="shared" ca="1" si="12"/>
        <v>0</v>
      </c>
      <c r="AEH1" s="29">
        <f t="shared" ca="1" si="12"/>
        <v>0</v>
      </c>
      <c r="AEI1" s="29">
        <f t="shared" ca="1" si="12"/>
        <v>0</v>
      </c>
      <c r="AEJ1" s="29">
        <f t="shared" ca="1" si="12"/>
        <v>0</v>
      </c>
      <c r="AEK1" s="29">
        <f t="shared" ca="1" si="12"/>
        <v>0</v>
      </c>
      <c r="AEL1" s="29">
        <f t="shared" ca="1" si="12"/>
        <v>0</v>
      </c>
      <c r="AEM1" s="29">
        <f t="shared" ca="1" si="12"/>
        <v>0</v>
      </c>
      <c r="AEN1" s="29">
        <f t="shared" ca="1" si="12"/>
        <v>0</v>
      </c>
      <c r="AEO1" s="29">
        <f t="shared" ca="1" si="12"/>
        <v>0</v>
      </c>
      <c r="AEP1" s="29">
        <f t="shared" ca="1" si="12"/>
        <v>0</v>
      </c>
      <c r="AEQ1" s="29">
        <f t="shared" ca="1" si="12"/>
        <v>0</v>
      </c>
      <c r="AER1" s="29">
        <f t="shared" ca="1" si="12"/>
        <v>0</v>
      </c>
      <c r="AES1" s="29">
        <f t="shared" ca="1" si="12"/>
        <v>0</v>
      </c>
      <c r="AET1" s="29">
        <f t="shared" ca="1" si="12"/>
        <v>0</v>
      </c>
      <c r="AEU1" s="29">
        <f t="shared" ca="1" si="12"/>
        <v>0</v>
      </c>
      <c r="AEV1" s="29">
        <f t="shared" ca="1" si="12"/>
        <v>0</v>
      </c>
      <c r="AEW1" s="29">
        <f t="shared" ca="1" si="12"/>
        <v>0</v>
      </c>
      <c r="AEX1" s="29">
        <f t="shared" ca="1" si="12"/>
        <v>0</v>
      </c>
      <c r="AEY1" s="29">
        <f t="shared" ca="1" si="12"/>
        <v>0</v>
      </c>
      <c r="AEZ1" s="29">
        <f t="shared" ca="1" si="12"/>
        <v>0</v>
      </c>
      <c r="AFA1" s="29">
        <f t="shared" ca="1" si="12"/>
        <v>0</v>
      </c>
      <c r="AFB1" s="29">
        <f t="shared" ca="1" si="12"/>
        <v>0</v>
      </c>
      <c r="AFC1" s="29">
        <f t="shared" ca="1" si="12"/>
        <v>0</v>
      </c>
      <c r="AFD1" s="29">
        <f t="shared" ca="1" si="12"/>
        <v>0</v>
      </c>
      <c r="AFE1" s="29">
        <f t="shared" ca="1" si="12"/>
        <v>0</v>
      </c>
      <c r="AFF1" s="29">
        <f t="shared" ca="1" si="12"/>
        <v>0</v>
      </c>
      <c r="AFG1" s="29">
        <f t="shared" ca="1" si="12"/>
        <v>0</v>
      </c>
      <c r="AFH1" s="29">
        <f t="shared" ca="1" si="12"/>
        <v>0</v>
      </c>
      <c r="AFI1" s="29">
        <f t="shared" ca="1" si="12"/>
        <v>0</v>
      </c>
      <c r="AFJ1" s="29">
        <f t="shared" ca="1" si="12"/>
        <v>0</v>
      </c>
      <c r="AFK1" s="29">
        <f t="shared" ca="1" si="12"/>
        <v>0</v>
      </c>
      <c r="AFL1" s="29">
        <f t="shared" ca="1" si="12"/>
        <v>0</v>
      </c>
      <c r="AFM1" s="29">
        <f t="shared" ca="1" si="12"/>
        <v>0</v>
      </c>
      <c r="AFN1" s="29">
        <f t="shared" ca="1" si="12"/>
        <v>0</v>
      </c>
      <c r="AFO1" s="29">
        <f t="shared" ca="1" si="12"/>
        <v>0</v>
      </c>
      <c r="AFP1" s="29">
        <f t="shared" ca="1" si="12"/>
        <v>0</v>
      </c>
      <c r="AFQ1" s="29">
        <f t="shared" ca="1" si="12"/>
        <v>0</v>
      </c>
      <c r="AFR1" s="29">
        <f t="shared" ca="1" si="12"/>
        <v>0</v>
      </c>
      <c r="AFS1" s="29">
        <f t="shared" ca="1" si="12"/>
        <v>0</v>
      </c>
      <c r="AFT1" s="29">
        <f t="shared" ca="1" si="12"/>
        <v>0</v>
      </c>
      <c r="AFU1" s="29">
        <f t="shared" ca="1" si="12"/>
        <v>0</v>
      </c>
      <c r="AFV1" s="29">
        <f t="shared" ca="1" si="12"/>
        <v>0</v>
      </c>
      <c r="AFW1" s="29">
        <f t="shared" ca="1" si="12"/>
        <v>0</v>
      </c>
      <c r="AFX1" s="29">
        <f t="shared" ca="1" si="12"/>
        <v>0</v>
      </c>
      <c r="AFY1" s="29">
        <f t="shared" ca="1" si="12"/>
        <v>0</v>
      </c>
      <c r="AFZ1" s="29">
        <f t="shared" ca="1" si="12"/>
        <v>0</v>
      </c>
      <c r="AGA1" s="29">
        <f t="shared" ca="1" si="12"/>
        <v>0</v>
      </c>
      <c r="AGB1" s="29">
        <f t="shared" ca="1" si="12"/>
        <v>0</v>
      </c>
      <c r="AGC1" s="29">
        <f t="shared" ca="1" si="12"/>
        <v>0</v>
      </c>
      <c r="AGD1" s="29">
        <f t="shared" ca="1" si="12"/>
        <v>0</v>
      </c>
      <c r="AGE1" s="29">
        <f t="shared" ca="1" si="12"/>
        <v>0</v>
      </c>
      <c r="AGF1" s="29">
        <f t="shared" ca="1" si="12"/>
        <v>0</v>
      </c>
      <c r="AGG1" s="29">
        <f t="shared" ca="1" si="12"/>
        <v>0</v>
      </c>
      <c r="AGH1" s="29">
        <f t="shared" ca="1" si="12"/>
        <v>0</v>
      </c>
      <c r="AGI1" s="29">
        <f t="shared" ca="1" si="12"/>
        <v>0</v>
      </c>
      <c r="AGJ1" s="29">
        <f t="shared" ca="1" si="12"/>
        <v>0</v>
      </c>
      <c r="AGK1" s="29">
        <f t="shared" ref="AGK1:AIV1" ca="1" si="13">SUMIF($L$7:$L$18,"TRUE",AGK7:AGK18)</f>
        <v>0</v>
      </c>
      <c r="AGL1" s="29">
        <f t="shared" ca="1" si="13"/>
        <v>0</v>
      </c>
      <c r="AGM1" s="29">
        <f t="shared" ca="1" si="13"/>
        <v>0</v>
      </c>
      <c r="AGN1" s="29">
        <f t="shared" ca="1" si="13"/>
        <v>0</v>
      </c>
      <c r="AGO1" s="29">
        <f t="shared" ca="1" si="13"/>
        <v>0</v>
      </c>
      <c r="AGP1" s="29">
        <f t="shared" ca="1" si="13"/>
        <v>0</v>
      </c>
      <c r="AGQ1" s="29">
        <f t="shared" ca="1" si="13"/>
        <v>0</v>
      </c>
      <c r="AGR1" s="29">
        <f t="shared" ca="1" si="13"/>
        <v>0</v>
      </c>
      <c r="AGS1" s="29">
        <f t="shared" ca="1" si="13"/>
        <v>0</v>
      </c>
      <c r="AGT1" s="29">
        <f t="shared" ca="1" si="13"/>
        <v>0</v>
      </c>
      <c r="AGU1" s="29">
        <f t="shared" ca="1" si="13"/>
        <v>0</v>
      </c>
      <c r="AGV1" s="29">
        <f t="shared" ca="1" si="13"/>
        <v>0</v>
      </c>
      <c r="AGW1" s="29">
        <f t="shared" ca="1" si="13"/>
        <v>0</v>
      </c>
      <c r="AGX1" s="29">
        <f t="shared" ca="1" si="13"/>
        <v>0</v>
      </c>
      <c r="AGY1" s="29">
        <f t="shared" ca="1" si="13"/>
        <v>0</v>
      </c>
      <c r="AGZ1" s="29">
        <f t="shared" ca="1" si="13"/>
        <v>0</v>
      </c>
      <c r="AHA1" s="29">
        <f t="shared" ca="1" si="13"/>
        <v>0</v>
      </c>
      <c r="AHB1" s="29">
        <f t="shared" ca="1" si="13"/>
        <v>0</v>
      </c>
      <c r="AHC1" s="29">
        <f t="shared" ca="1" si="13"/>
        <v>0</v>
      </c>
      <c r="AHD1" s="29">
        <f t="shared" ca="1" si="13"/>
        <v>0</v>
      </c>
      <c r="AHE1" s="29">
        <f t="shared" ca="1" si="13"/>
        <v>0</v>
      </c>
      <c r="AHF1" s="29">
        <f t="shared" ca="1" si="13"/>
        <v>0</v>
      </c>
      <c r="AHG1" s="29">
        <f t="shared" ca="1" si="13"/>
        <v>0</v>
      </c>
      <c r="AHH1" s="29">
        <f t="shared" ca="1" si="13"/>
        <v>0</v>
      </c>
      <c r="AHI1" s="29">
        <f t="shared" ca="1" si="13"/>
        <v>0</v>
      </c>
      <c r="AHJ1" s="29">
        <f t="shared" ca="1" si="13"/>
        <v>0</v>
      </c>
      <c r="AHK1" s="29">
        <f t="shared" ca="1" si="13"/>
        <v>0</v>
      </c>
      <c r="AHL1" s="29">
        <f t="shared" ca="1" si="13"/>
        <v>0</v>
      </c>
      <c r="AHM1" s="29">
        <f t="shared" ca="1" si="13"/>
        <v>0</v>
      </c>
      <c r="AHN1" s="29">
        <f t="shared" ca="1" si="13"/>
        <v>0</v>
      </c>
      <c r="AHO1" s="29">
        <f t="shared" ca="1" si="13"/>
        <v>0</v>
      </c>
      <c r="AHP1" s="29">
        <f t="shared" ca="1" si="13"/>
        <v>0</v>
      </c>
      <c r="AHQ1" s="29">
        <f t="shared" ca="1" si="13"/>
        <v>0</v>
      </c>
      <c r="AHR1" s="29">
        <f t="shared" ca="1" si="13"/>
        <v>0</v>
      </c>
      <c r="AHS1" s="29">
        <f t="shared" ca="1" si="13"/>
        <v>0</v>
      </c>
      <c r="AHT1" s="29">
        <f t="shared" ca="1" si="13"/>
        <v>0</v>
      </c>
      <c r="AHU1" s="29">
        <f t="shared" ca="1" si="13"/>
        <v>0</v>
      </c>
      <c r="AHV1" s="29">
        <f t="shared" ca="1" si="13"/>
        <v>0</v>
      </c>
      <c r="AHW1" s="29">
        <f t="shared" ca="1" si="13"/>
        <v>0</v>
      </c>
      <c r="AHX1" s="29">
        <f t="shared" ca="1" si="13"/>
        <v>0</v>
      </c>
      <c r="AHY1" s="29">
        <f t="shared" ca="1" si="13"/>
        <v>0</v>
      </c>
      <c r="AHZ1" s="29">
        <f t="shared" ca="1" si="13"/>
        <v>0</v>
      </c>
      <c r="AIA1" s="29">
        <f t="shared" ca="1" si="13"/>
        <v>0</v>
      </c>
      <c r="AIB1" s="29">
        <f t="shared" ca="1" si="13"/>
        <v>0</v>
      </c>
      <c r="AIC1" s="29">
        <f t="shared" ca="1" si="13"/>
        <v>0</v>
      </c>
      <c r="AID1" s="29">
        <f t="shared" ca="1" si="13"/>
        <v>0</v>
      </c>
      <c r="AIE1" s="29">
        <f t="shared" ca="1" si="13"/>
        <v>0</v>
      </c>
      <c r="AIF1" s="29">
        <f t="shared" ca="1" si="13"/>
        <v>0</v>
      </c>
      <c r="AIG1" s="29">
        <f t="shared" ca="1" si="13"/>
        <v>0</v>
      </c>
      <c r="AIH1" s="29">
        <f t="shared" ca="1" si="13"/>
        <v>0</v>
      </c>
      <c r="AII1" s="29">
        <f t="shared" ca="1" si="13"/>
        <v>0</v>
      </c>
      <c r="AIJ1" s="29">
        <f t="shared" ca="1" si="13"/>
        <v>0</v>
      </c>
      <c r="AIK1" s="29">
        <f t="shared" ca="1" si="13"/>
        <v>0</v>
      </c>
      <c r="AIL1" s="29">
        <f t="shared" ca="1" si="13"/>
        <v>0</v>
      </c>
      <c r="AIM1" s="29">
        <f t="shared" ca="1" si="13"/>
        <v>0</v>
      </c>
      <c r="AIN1" s="29">
        <f t="shared" ca="1" si="13"/>
        <v>0</v>
      </c>
      <c r="AIO1" s="29">
        <f t="shared" ca="1" si="13"/>
        <v>0</v>
      </c>
      <c r="AIP1" s="29">
        <f t="shared" ca="1" si="13"/>
        <v>0</v>
      </c>
      <c r="AIQ1" s="29">
        <f t="shared" ca="1" si="13"/>
        <v>0</v>
      </c>
      <c r="AIR1" s="29">
        <f t="shared" ca="1" si="13"/>
        <v>0</v>
      </c>
      <c r="AIS1" s="29">
        <f t="shared" ca="1" si="13"/>
        <v>0</v>
      </c>
      <c r="AIT1" s="29">
        <f t="shared" ca="1" si="13"/>
        <v>0</v>
      </c>
      <c r="AIU1" s="29">
        <f t="shared" ca="1" si="13"/>
        <v>0</v>
      </c>
      <c r="AIV1" s="29">
        <f t="shared" ca="1" si="13"/>
        <v>0</v>
      </c>
      <c r="AIW1" s="29">
        <f t="shared" ref="AIW1:AKR1" ca="1" si="14">SUMIF($L$7:$L$18,"TRUE",AIW7:AIW18)</f>
        <v>0</v>
      </c>
      <c r="AIX1" s="29">
        <f t="shared" ca="1" si="14"/>
        <v>0</v>
      </c>
      <c r="AIY1" s="29">
        <f t="shared" ca="1" si="14"/>
        <v>0</v>
      </c>
      <c r="AIZ1" s="29">
        <f t="shared" ca="1" si="14"/>
        <v>0</v>
      </c>
      <c r="AJA1" s="29">
        <f t="shared" ca="1" si="14"/>
        <v>0</v>
      </c>
      <c r="AJB1" s="29">
        <f t="shared" ca="1" si="14"/>
        <v>0</v>
      </c>
      <c r="AJC1" s="29">
        <f t="shared" ca="1" si="14"/>
        <v>0</v>
      </c>
      <c r="AJD1" s="29">
        <f t="shared" ca="1" si="14"/>
        <v>0</v>
      </c>
      <c r="AJE1" s="29">
        <f t="shared" ca="1" si="14"/>
        <v>0</v>
      </c>
      <c r="AJF1" s="29">
        <f t="shared" ca="1" si="14"/>
        <v>0</v>
      </c>
      <c r="AJG1" s="29">
        <f t="shared" ca="1" si="14"/>
        <v>0</v>
      </c>
      <c r="AJH1" s="29">
        <f t="shared" ca="1" si="14"/>
        <v>0</v>
      </c>
      <c r="AJI1" s="29">
        <f t="shared" ca="1" si="14"/>
        <v>0</v>
      </c>
      <c r="AJJ1" s="29">
        <f t="shared" ca="1" si="14"/>
        <v>0</v>
      </c>
      <c r="AJK1" s="29">
        <f t="shared" ca="1" si="14"/>
        <v>0</v>
      </c>
      <c r="AJL1" s="29">
        <f t="shared" ca="1" si="14"/>
        <v>0</v>
      </c>
      <c r="AJM1" s="29">
        <f t="shared" ca="1" si="14"/>
        <v>0</v>
      </c>
      <c r="AJN1" s="29">
        <f t="shared" ca="1" si="14"/>
        <v>0</v>
      </c>
      <c r="AJO1" s="29">
        <f t="shared" ca="1" si="14"/>
        <v>0</v>
      </c>
      <c r="AJP1" s="29">
        <f t="shared" ca="1" si="14"/>
        <v>0</v>
      </c>
      <c r="AJQ1" s="29">
        <f t="shared" ca="1" si="14"/>
        <v>0</v>
      </c>
      <c r="AJR1" s="29">
        <f t="shared" ca="1" si="14"/>
        <v>0</v>
      </c>
      <c r="AJS1" s="29">
        <f t="shared" ca="1" si="14"/>
        <v>0</v>
      </c>
      <c r="AJT1" s="29">
        <f t="shared" ca="1" si="14"/>
        <v>0</v>
      </c>
      <c r="AJU1" s="29">
        <f t="shared" ca="1" si="14"/>
        <v>0</v>
      </c>
      <c r="AJV1" s="29">
        <f t="shared" ca="1" si="14"/>
        <v>0</v>
      </c>
      <c r="AJW1" s="29">
        <f t="shared" ca="1" si="14"/>
        <v>0</v>
      </c>
      <c r="AJX1" s="29">
        <f t="shared" ca="1" si="14"/>
        <v>0</v>
      </c>
      <c r="AJY1" s="29">
        <f t="shared" ca="1" si="14"/>
        <v>0</v>
      </c>
      <c r="AJZ1" s="29">
        <f t="shared" ca="1" si="14"/>
        <v>0</v>
      </c>
      <c r="AKA1" s="29">
        <f t="shared" ca="1" si="14"/>
        <v>0</v>
      </c>
      <c r="AKB1" s="29">
        <f t="shared" ca="1" si="14"/>
        <v>0</v>
      </c>
      <c r="AKC1" s="29">
        <f t="shared" ca="1" si="14"/>
        <v>0</v>
      </c>
      <c r="AKD1" s="29">
        <f t="shared" ca="1" si="14"/>
        <v>0</v>
      </c>
      <c r="AKE1" s="29">
        <f t="shared" ca="1" si="14"/>
        <v>0</v>
      </c>
      <c r="AKF1" s="29">
        <f t="shared" ca="1" si="14"/>
        <v>0</v>
      </c>
      <c r="AKG1" s="29">
        <f t="shared" ca="1" si="14"/>
        <v>0</v>
      </c>
      <c r="AKH1" s="29">
        <f t="shared" ca="1" si="14"/>
        <v>0</v>
      </c>
      <c r="AKI1" s="29">
        <f t="shared" ca="1" si="14"/>
        <v>0</v>
      </c>
      <c r="AKJ1" s="29">
        <f t="shared" ca="1" si="14"/>
        <v>0</v>
      </c>
      <c r="AKK1" s="29">
        <f t="shared" ca="1" si="14"/>
        <v>0</v>
      </c>
      <c r="AKL1" s="29">
        <f t="shared" ca="1" si="14"/>
        <v>0</v>
      </c>
      <c r="AKM1" s="29">
        <f t="shared" ca="1" si="14"/>
        <v>0</v>
      </c>
      <c r="AKN1" s="29">
        <f t="shared" ca="1" si="14"/>
        <v>0</v>
      </c>
      <c r="AKO1" s="29">
        <f t="shared" ca="1" si="14"/>
        <v>0</v>
      </c>
      <c r="AKP1" s="29">
        <f t="shared" ca="1" si="14"/>
        <v>0</v>
      </c>
      <c r="AKQ1" s="29">
        <f t="shared" ca="1" si="14"/>
        <v>0</v>
      </c>
      <c r="AKR1" s="29">
        <f t="shared" ca="1" si="14"/>
        <v>0</v>
      </c>
      <c r="AKS1" s="29">
        <f ca="1">SUMIF($L$7:$L$18,"TRUE",AKS7:AKS18)</f>
        <v>0</v>
      </c>
      <c r="AKT1" s="29"/>
      <c r="AKU1" s="29"/>
      <c r="AKV1" s="29"/>
      <c r="AKW1" s="29"/>
      <c r="AKX1" s="29"/>
      <c r="AKY1" s="29"/>
      <c r="AKZ1" s="29"/>
      <c r="ALA1" s="29"/>
      <c r="ALB1" s="29"/>
      <c r="ALC1" s="29"/>
      <c r="ALD1" s="29"/>
      <c r="ALE1" s="29"/>
      <c r="ALF1" s="29"/>
    </row>
    <row r="2" spans="1:1250">
      <c r="A2" s="106" t="s">
        <v>219</v>
      </c>
      <c r="B2" s="106" t="s">
        <v>218</v>
      </c>
      <c r="M2" s="105" t="s">
        <v>215</v>
      </c>
      <c r="N2" s="127"/>
      <c r="O2" s="105" t="s">
        <v>74</v>
      </c>
      <c r="T2" s="31"/>
      <c r="U2" s="31"/>
      <c r="V2" s="31"/>
      <c r="W2" s="31"/>
      <c r="Y2" s="31"/>
      <c r="Z2" s="31"/>
      <c r="AA2" s="31"/>
      <c r="AB2" s="31"/>
      <c r="AC2" s="31"/>
      <c r="AD2" s="31"/>
      <c r="AF2" s="120"/>
      <c r="AG2" s="31"/>
      <c r="AH2" s="12" t="s">
        <v>212</v>
      </c>
      <c r="AI2" s="102">
        <f t="array" aca="1" ref="AI2" ca="1">MIN(IF((L7:L18=TRUE),AH7:AH18))</f>
        <v>45481</v>
      </c>
      <c r="AJ2" s="31"/>
      <c r="AK2" s="31"/>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31"/>
      <c r="CR2" s="31"/>
      <c r="CS2" s="31"/>
      <c r="CT2" s="31"/>
      <c r="CU2" s="31"/>
      <c r="CV2" s="31"/>
      <c r="CW2" s="31"/>
      <c r="CX2" s="31"/>
      <c r="CY2" s="31"/>
      <c r="CZ2" s="31"/>
      <c r="DA2" s="31"/>
      <c r="DB2" s="31"/>
      <c r="DC2" s="31"/>
      <c r="DD2" s="31"/>
      <c r="DE2" s="31"/>
      <c r="DF2" s="31"/>
      <c r="DG2" s="31"/>
      <c r="DH2" s="31"/>
      <c r="DI2" s="31"/>
      <c r="DJ2" s="31"/>
      <c r="DK2" s="31"/>
      <c r="DL2" s="31"/>
      <c r="DM2" s="31"/>
      <c r="DN2" s="31"/>
      <c r="DO2" s="31"/>
      <c r="DP2" s="31"/>
      <c r="DQ2" s="31"/>
      <c r="DR2" s="31"/>
      <c r="DS2" s="31"/>
      <c r="DT2" s="31"/>
      <c r="DU2" s="31"/>
      <c r="DV2" s="31"/>
      <c r="DW2" s="31"/>
      <c r="DX2" s="31"/>
      <c r="DY2" s="31"/>
      <c r="DZ2" s="31"/>
      <c r="EA2" s="31"/>
      <c r="EB2" s="31"/>
      <c r="EC2" s="31"/>
      <c r="ED2" s="31"/>
      <c r="EE2" s="31"/>
      <c r="EF2" s="31"/>
      <c r="EG2" s="31"/>
      <c r="EH2" s="31"/>
      <c r="EI2" s="31"/>
      <c r="EJ2" s="31"/>
      <c r="EK2" s="31"/>
      <c r="EL2" s="31"/>
      <c r="EM2" s="31"/>
      <c r="EN2" s="31"/>
      <c r="EO2" s="31"/>
      <c r="EP2" s="31"/>
      <c r="EQ2" s="31"/>
      <c r="ER2" s="31"/>
      <c r="ES2" s="31"/>
      <c r="ET2" s="31"/>
      <c r="EU2" s="31"/>
      <c r="EV2" s="31"/>
      <c r="EW2" s="31"/>
      <c r="EX2" s="31"/>
      <c r="EY2" s="31"/>
      <c r="EZ2" s="31"/>
      <c r="FA2" s="31"/>
      <c r="FB2" s="31"/>
      <c r="FC2" s="31"/>
      <c r="FD2" s="31"/>
      <c r="FE2" s="31"/>
      <c r="FF2" s="31"/>
      <c r="FG2" s="31"/>
      <c r="FH2" s="31"/>
      <c r="FI2" s="31"/>
      <c r="FJ2" s="31"/>
      <c r="FK2" s="31"/>
      <c r="FL2" s="31"/>
      <c r="FM2" s="31"/>
      <c r="FN2" s="31"/>
      <c r="FO2" s="31"/>
      <c r="FP2" s="31"/>
      <c r="FQ2" s="31"/>
      <c r="FR2" s="31"/>
      <c r="FS2" s="31"/>
      <c r="FT2" s="31"/>
      <c r="FU2" s="31"/>
      <c r="FV2" s="31"/>
      <c r="FW2" s="31"/>
      <c r="FX2" s="31"/>
      <c r="FY2" s="31"/>
      <c r="FZ2" s="31"/>
      <c r="GA2" s="31"/>
      <c r="GB2" s="31"/>
      <c r="GC2" s="31"/>
      <c r="GD2" s="31"/>
      <c r="GE2" s="31"/>
      <c r="GF2" s="31"/>
      <c r="GG2" s="31"/>
      <c r="GH2" s="31"/>
      <c r="GI2" s="31"/>
      <c r="GJ2" s="31"/>
      <c r="GK2" s="31"/>
      <c r="GL2" s="31"/>
      <c r="GM2" s="31"/>
      <c r="GN2" s="31"/>
      <c r="GO2" s="31"/>
      <c r="GP2" s="31"/>
      <c r="GQ2" s="31"/>
      <c r="GR2" s="31"/>
      <c r="GS2" s="31"/>
      <c r="GT2" s="31"/>
      <c r="GU2" s="31"/>
      <c r="GV2" s="31"/>
      <c r="GW2" s="31"/>
      <c r="GX2" s="31"/>
      <c r="GY2" s="31"/>
      <c r="GZ2" s="31"/>
      <c r="HA2" s="31"/>
      <c r="HB2" s="31"/>
      <c r="HC2" s="31"/>
      <c r="HD2" s="31"/>
      <c r="HE2" s="31"/>
      <c r="HF2" s="31"/>
      <c r="HG2" s="31"/>
      <c r="HH2" s="31"/>
      <c r="HI2" s="31"/>
      <c r="HJ2" s="31"/>
      <c r="HK2" s="31"/>
      <c r="HL2" s="31"/>
      <c r="HM2" s="31"/>
      <c r="HN2" s="31"/>
      <c r="HO2" s="31"/>
      <c r="HP2" s="31"/>
      <c r="HQ2" s="31"/>
      <c r="HR2" s="31"/>
      <c r="HS2" s="31"/>
      <c r="HT2" s="31"/>
      <c r="HU2" s="31"/>
      <c r="HV2" s="31"/>
      <c r="HW2" s="31"/>
      <c r="HX2" s="31"/>
      <c r="HY2" s="31"/>
      <c r="HZ2" s="31"/>
      <c r="IA2" s="31"/>
      <c r="IB2" s="31"/>
      <c r="IC2" s="31"/>
      <c r="ID2" s="31"/>
      <c r="IE2" s="31"/>
      <c r="IF2" s="31"/>
      <c r="IG2" s="31"/>
      <c r="IH2" s="31"/>
      <c r="II2" s="31"/>
      <c r="IJ2" s="31"/>
      <c r="IK2" s="31"/>
      <c r="IL2" s="31"/>
      <c r="IM2" s="31"/>
      <c r="IN2" s="31"/>
      <c r="IO2" s="31"/>
      <c r="IP2" s="31"/>
      <c r="IQ2" s="31"/>
      <c r="IR2" s="31"/>
      <c r="IS2" s="31"/>
      <c r="IT2" s="31"/>
      <c r="IU2" s="31"/>
      <c r="IV2" s="31"/>
      <c r="IW2" s="31"/>
      <c r="IX2" s="31"/>
      <c r="IY2" s="31"/>
      <c r="IZ2" s="31"/>
      <c r="JA2" s="31"/>
      <c r="JB2" s="31"/>
      <c r="JC2" s="31"/>
      <c r="JD2" s="31"/>
      <c r="JE2" s="31"/>
      <c r="JF2" s="31"/>
      <c r="JG2" s="31"/>
      <c r="JH2" s="31"/>
      <c r="JI2" s="31"/>
      <c r="JJ2" s="31"/>
      <c r="JK2" s="31"/>
      <c r="JL2" s="31"/>
      <c r="JM2" s="31"/>
      <c r="JN2" s="31"/>
      <c r="JO2" s="31"/>
      <c r="JP2" s="31"/>
      <c r="JQ2" s="31"/>
      <c r="JR2" s="31"/>
      <c r="JS2" s="31"/>
      <c r="JT2" s="31"/>
      <c r="JU2" s="31"/>
      <c r="JV2" s="31"/>
      <c r="JW2" s="31"/>
      <c r="JX2" s="31"/>
      <c r="JY2" s="31"/>
      <c r="JZ2" s="31"/>
      <c r="KA2" s="31"/>
      <c r="KB2" s="31"/>
      <c r="KC2" s="31"/>
      <c r="KD2" s="31"/>
      <c r="KE2" s="31"/>
      <c r="KF2" s="31"/>
      <c r="KG2" s="31"/>
      <c r="KH2" s="31"/>
      <c r="KI2" s="31"/>
      <c r="KJ2" s="31"/>
      <c r="KK2" s="31"/>
      <c r="KL2" s="31"/>
      <c r="KM2" s="31"/>
      <c r="KN2" s="31"/>
      <c r="KO2" s="31"/>
      <c r="KP2" s="31"/>
      <c r="KQ2" s="31"/>
      <c r="KR2" s="31"/>
      <c r="KS2" s="31"/>
      <c r="KT2" s="31"/>
      <c r="KU2" s="31"/>
      <c r="KV2" s="31"/>
      <c r="KW2" s="31"/>
      <c r="KX2" s="31"/>
      <c r="KY2" s="31"/>
      <c r="KZ2" s="31"/>
      <c r="LA2" s="31"/>
      <c r="LB2" s="31"/>
      <c r="LC2" s="31"/>
      <c r="LD2" s="31"/>
      <c r="LE2" s="31"/>
      <c r="LF2" s="31"/>
      <c r="LG2" s="31"/>
      <c r="LH2" s="31"/>
      <c r="LI2" s="31"/>
      <c r="LJ2" s="31"/>
      <c r="LK2" s="31"/>
      <c r="LL2" s="31"/>
      <c r="LM2" s="31"/>
      <c r="LN2" s="31"/>
      <c r="LO2" s="31"/>
      <c r="LP2" s="31"/>
      <c r="LQ2" s="31"/>
      <c r="LR2" s="31"/>
      <c r="LS2" s="31"/>
      <c r="LT2" s="31"/>
      <c r="LU2" s="31"/>
      <c r="LV2" s="31"/>
      <c r="LW2" s="31"/>
      <c r="LX2" s="31"/>
      <c r="LY2" s="31"/>
      <c r="LZ2" s="31"/>
      <c r="MA2" s="31"/>
      <c r="MB2" s="31"/>
      <c r="MC2" s="31"/>
      <c r="MD2" s="31"/>
      <c r="ME2" s="31"/>
      <c r="MF2" s="31"/>
      <c r="MG2" s="31"/>
      <c r="MH2" s="31"/>
      <c r="MI2" s="31"/>
      <c r="MJ2" s="31"/>
      <c r="MK2" s="31"/>
      <c r="ML2" s="31"/>
      <c r="MM2" s="31"/>
      <c r="MN2" s="31"/>
      <c r="MO2" s="31"/>
      <c r="MP2" s="31"/>
      <c r="MQ2" s="31"/>
      <c r="MR2" s="31"/>
      <c r="MS2" s="31"/>
      <c r="MT2" s="31"/>
      <c r="MU2" s="31"/>
      <c r="MV2" s="31"/>
      <c r="MW2" s="31"/>
      <c r="MX2" s="31"/>
      <c r="MY2" s="31"/>
      <c r="MZ2" s="31"/>
      <c r="NA2" s="31"/>
      <c r="NB2" s="31"/>
      <c r="NC2" s="31"/>
      <c r="ND2" s="31"/>
      <c r="NE2" s="31"/>
      <c r="NF2" s="31"/>
      <c r="NG2" s="31"/>
      <c r="NH2" s="31"/>
      <c r="NI2" s="31"/>
      <c r="NJ2" s="31"/>
      <c r="NK2" s="31"/>
      <c r="NL2" s="31"/>
      <c r="NM2" s="31"/>
      <c r="NN2" s="31"/>
      <c r="NO2" s="31"/>
      <c r="NP2" s="31"/>
      <c r="NQ2" s="31"/>
      <c r="NR2" s="31"/>
      <c r="NS2" s="31"/>
      <c r="NT2" s="31"/>
      <c r="NU2" s="31"/>
      <c r="NV2" s="31"/>
      <c r="NW2" s="31"/>
      <c r="NX2" s="31"/>
      <c r="NY2" s="31"/>
      <c r="NZ2" s="31"/>
      <c r="OA2" s="31"/>
      <c r="OB2" s="31"/>
      <c r="OC2" s="31"/>
      <c r="OD2" s="31"/>
      <c r="OE2" s="31"/>
      <c r="OF2" s="31"/>
      <c r="OG2" s="31"/>
      <c r="OH2" s="31"/>
      <c r="OI2" s="31"/>
      <c r="OJ2" s="31"/>
      <c r="OK2" s="31"/>
      <c r="OL2" s="31"/>
      <c r="OM2" s="31"/>
      <c r="ON2" s="31"/>
      <c r="OO2" s="31"/>
      <c r="OP2" s="31"/>
      <c r="OQ2" s="31"/>
      <c r="OR2" s="31"/>
      <c r="OS2" s="31"/>
      <c r="OT2" s="31"/>
      <c r="OU2" s="31"/>
      <c r="OV2" s="31"/>
      <c r="OW2" s="31"/>
      <c r="OX2" s="31"/>
      <c r="OY2" s="31"/>
      <c r="OZ2" s="31"/>
      <c r="PA2" s="31"/>
      <c r="PB2" s="31"/>
      <c r="PC2" s="31"/>
      <c r="PD2" s="31"/>
      <c r="PE2" s="31"/>
      <c r="PF2" s="31"/>
      <c r="PG2" s="31"/>
      <c r="PH2" s="31"/>
      <c r="PI2" s="31"/>
      <c r="PJ2" s="31"/>
      <c r="PK2" s="31"/>
      <c r="PL2" s="31"/>
      <c r="PM2" s="31"/>
      <c r="PN2" s="31"/>
      <c r="PO2" s="31"/>
      <c r="PP2" s="31"/>
      <c r="PQ2" s="31"/>
      <c r="PR2" s="31"/>
      <c r="PS2" s="31"/>
      <c r="PT2" s="31"/>
      <c r="PU2" s="31"/>
      <c r="PV2" s="31"/>
      <c r="PW2" s="31"/>
      <c r="PX2" s="31"/>
      <c r="PY2" s="31"/>
      <c r="PZ2" s="31"/>
      <c r="QA2" s="31"/>
      <c r="QB2" s="31"/>
      <c r="QC2" s="31"/>
      <c r="QD2" s="31"/>
      <c r="QE2" s="31"/>
      <c r="QF2" s="31"/>
      <c r="QG2" s="31"/>
      <c r="QH2" s="31"/>
      <c r="QI2" s="31"/>
      <c r="QJ2" s="31"/>
      <c r="QK2" s="31"/>
      <c r="QL2" s="31"/>
      <c r="QM2" s="31"/>
      <c r="QN2" s="31"/>
      <c r="QO2" s="31"/>
      <c r="QP2" s="31"/>
      <c r="QQ2" s="31"/>
      <c r="QR2" s="31"/>
      <c r="QS2" s="31"/>
      <c r="QT2" s="31"/>
      <c r="QU2" s="31"/>
      <c r="QV2" s="31"/>
      <c r="QW2" s="31"/>
      <c r="QX2" s="31"/>
      <c r="QY2" s="31"/>
      <c r="QZ2" s="31"/>
      <c r="RA2" s="31"/>
      <c r="RB2" s="31"/>
      <c r="RC2" s="31"/>
      <c r="RD2" s="31"/>
      <c r="RE2" s="31"/>
      <c r="RF2" s="31"/>
      <c r="RG2" s="31"/>
      <c r="RH2" s="31"/>
      <c r="RI2" s="31"/>
      <c r="RJ2" s="31"/>
      <c r="RK2" s="31"/>
      <c r="RL2" s="31"/>
      <c r="RM2" s="31"/>
      <c r="RN2" s="31"/>
      <c r="RO2" s="31"/>
      <c r="RP2" s="31"/>
      <c r="RQ2" s="31"/>
      <c r="RR2" s="31"/>
      <c r="RS2" s="31"/>
      <c r="RT2" s="31"/>
      <c r="RU2" s="31"/>
      <c r="RV2" s="31"/>
      <c r="RW2" s="31"/>
      <c r="RX2" s="31"/>
      <c r="RY2" s="31"/>
      <c r="RZ2" s="31"/>
      <c r="SA2" s="31"/>
      <c r="SB2" s="31"/>
      <c r="SC2" s="31"/>
      <c r="SD2" s="31"/>
      <c r="SE2" s="31"/>
      <c r="SF2" s="31"/>
      <c r="SG2" s="31"/>
      <c r="SH2" s="31"/>
      <c r="SI2" s="31"/>
      <c r="SJ2" s="31"/>
      <c r="SK2" s="31"/>
      <c r="SL2" s="31"/>
      <c r="SM2" s="31"/>
      <c r="SN2" s="31"/>
      <c r="SO2" s="31"/>
      <c r="SP2" s="31"/>
      <c r="SQ2" s="31"/>
      <c r="SR2" s="31"/>
      <c r="SS2" s="31"/>
      <c r="ST2" s="31"/>
      <c r="SU2" s="31"/>
      <c r="SV2" s="31"/>
      <c r="SW2" s="31"/>
      <c r="SX2" s="31"/>
      <c r="SY2" s="31"/>
      <c r="SZ2" s="31"/>
      <c r="TA2" s="31"/>
      <c r="TB2" s="31"/>
      <c r="TC2" s="31"/>
      <c r="TD2" s="31"/>
      <c r="TE2" s="31"/>
      <c r="TF2" s="31"/>
      <c r="TG2" s="31"/>
      <c r="TH2" s="31"/>
      <c r="TI2" s="31"/>
      <c r="TJ2" s="31"/>
      <c r="TK2" s="31"/>
      <c r="TL2" s="31"/>
      <c r="TM2" s="31"/>
      <c r="TN2" s="31"/>
      <c r="TO2" s="31"/>
      <c r="TP2" s="31"/>
      <c r="TQ2" s="31"/>
      <c r="TR2" s="31"/>
      <c r="TS2" s="31"/>
      <c r="TT2" s="31"/>
      <c r="TU2" s="31"/>
      <c r="TV2" s="31"/>
      <c r="TW2" s="31"/>
      <c r="TX2" s="31"/>
      <c r="TY2" s="31"/>
      <c r="TZ2" s="31"/>
      <c r="UA2" s="31"/>
      <c r="UB2" s="31"/>
      <c r="UC2" s="31"/>
      <c r="UD2" s="31"/>
      <c r="UE2" s="31"/>
      <c r="UF2" s="31"/>
      <c r="UG2" s="31"/>
      <c r="UH2" s="31"/>
      <c r="UI2" s="31"/>
      <c r="UJ2" s="31"/>
      <c r="UK2" s="31"/>
      <c r="UL2" s="31"/>
      <c r="UM2" s="31"/>
      <c r="UN2" s="31"/>
      <c r="UO2" s="31"/>
      <c r="UP2" s="31"/>
      <c r="UQ2" s="31"/>
      <c r="UR2" s="31"/>
      <c r="US2" s="31"/>
      <c r="UT2" s="31"/>
      <c r="UU2" s="31"/>
      <c r="UV2" s="31"/>
      <c r="UW2" s="31"/>
      <c r="UX2" s="31"/>
      <c r="UY2" s="31"/>
      <c r="UZ2" s="31"/>
      <c r="VA2" s="31"/>
      <c r="VB2" s="31"/>
      <c r="VC2" s="31"/>
      <c r="VD2" s="31"/>
      <c r="VE2" s="31"/>
      <c r="VF2" s="31"/>
      <c r="VG2" s="31"/>
      <c r="VH2" s="31"/>
      <c r="VI2" s="31"/>
      <c r="VJ2" s="31"/>
      <c r="VK2" s="31"/>
      <c r="VL2" s="31"/>
      <c r="VM2" s="31"/>
      <c r="VN2" s="31"/>
      <c r="VO2" s="31"/>
      <c r="VP2" s="31"/>
      <c r="VQ2" s="31"/>
      <c r="VR2" s="31"/>
      <c r="VS2" s="31"/>
      <c r="VT2" s="31"/>
      <c r="VU2" s="31"/>
      <c r="VV2" s="31"/>
      <c r="VW2" s="31"/>
      <c r="VX2" s="31"/>
      <c r="VY2" s="31"/>
      <c r="VZ2" s="31"/>
      <c r="WA2" s="31"/>
      <c r="WB2" s="31"/>
      <c r="WC2" s="31"/>
      <c r="WD2" s="31"/>
      <c r="WE2" s="31"/>
      <c r="WF2" s="31"/>
      <c r="WG2" s="31"/>
      <c r="WH2" s="31"/>
      <c r="WI2" s="31"/>
      <c r="WJ2" s="31"/>
      <c r="WK2" s="31"/>
      <c r="WL2" s="31"/>
      <c r="WM2" s="31"/>
      <c r="WN2" s="31"/>
      <c r="WO2" s="31"/>
      <c r="WP2" s="31"/>
      <c r="WQ2" s="31"/>
      <c r="WR2" s="31"/>
      <c r="WS2" s="31"/>
      <c r="WT2" s="31"/>
      <c r="WU2" s="31"/>
      <c r="WV2" s="31"/>
      <c r="WW2" s="31"/>
      <c r="WX2" s="31"/>
      <c r="WY2" s="31"/>
      <c r="WZ2" s="31"/>
      <c r="XA2" s="31"/>
      <c r="XB2" s="31"/>
      <c r="XC2" s="31"/>
      <c r="XD2" s="31"/>
      <c r="XE2" s="31"/>
      <c r="XF2" s="31"/>
      <c r="XG2" s="31"/>
      <c r="XH2" s="31"/>
      <c r="XI2" s="31"/>
      <c r="XJ2" s="31"/>
      <c r="XK2" s="31"/>
      <c r="XL2" s="31"/>
      <c r="XM2" s="31"/>
      <c r="XN2" s="31"/>
      <c r="XO2" s="31"/>
      <c r="XP2" s="31"/>
      <c r="XQ2" s="31"/>
      <c r="XR2" s="31"/>
      <c r="XS2" s="31"/>
      <c r="XT2" s="31"/>
      <c r="XU2" s="31"/>
      <c r="XV2" s="31"/>
      <c r="XW2" s="31"/>
      <c r="XX2" s="31"/>
      <c r="XY2" s="31"/>
      <c r="XZ2" s="31"/>
      <c r="YA2" s="31"/>
      <c r="YB2" s="31"/>
      <c r="YC2" s="31"/>
      <c r="YD2" s="31"/>
      <c r="YE2" s="31"/>
      <c r="YF2" s="31"/>
      <c r="YG2" s="31"/>
      <c r="YH2" s="31"/>
      <c r="YI2" s="31"/>
      <c r="YJ2" s="31"/>
      <c r="YK2" s="31"/>
      <c r="YL2" s="31"/>
      <c r="YM2" s="31"/>
      <c r="YN2" s="31"/>
      <c r="YO2" s="31"/>
      <c r="YP2" s="31"/>
      <c r="YQ2" s="31"/>
      <c r="YR2" s="31"/>
      <c r="YS2" s="31"/>
      <c r="YT2" s="31"/>
      <c r="YU2" s="31"/>
      <c r="YV2" s="31"/>
      <c r="YW2" s="31"/>
      <c r="YX2" s="31"/>
      <c r="YY2" s="31"/>
      <c r="YZ2" s="31"/>
      <c r="ZA2" s="31"/>
      <c r="ZB2" s="31"/>
      <c r="ZC2" s="31"/>
      <c r="ZD2" s="31"/>
      <c r="ZE2" s="31"/>
      <c r="ZF2" s="31"/>
      <c r="ZG2" s="31"/>
      <c r="ZH2" s="31"/>
      <c r="ZI2" s="31"/>
      <c r="ZJ2" s="31"/>
      <c r="ZK2" s="31"/>
      <c r="ZL2" s="31"/>
      <c r="ZM2" s="31"/>
      <c r="ZN2" s="31"/>
      <c r="ZO2" s="31"/>
      <c r="ZP2" s="31"/>
      <c r="ZQ2" s="31"/>
      <c r="ZR2" s="31"/>
      <c r="ZS2" s="31"/>
      <c r="ZT2" s="31"/>
      <c r="ZU2" s="31"/>
      <c r="ZV2" s="31"/>
      <c r="ZW2" s="31"/>
      <c r="ZX2" s="31"/>
      <c r="ZY2" s="31"/>
      <c r="ZZ2" s="31"/>
      <c r="AAA2" s="31"/>
      <c r="AAB2" s="31"/>
      <c r="AAC2" s="31"/>
      <c r="AAD2" s="31"/>
      <c r="AAE2" s="31"/>
      <c r="AAF2" s="31"/>
      <c r="AAG2" s="31"/>
      <c r="AAH2" s="31"/>
      <c r="AAI2" s="31"/>
      <c r="AAJ2" s="31"/>
      <c r="AAK2" s="31"/>
      <c r="AAL2" s="31"/>
      <c r="AAM2" s="31"/>
      <c r="AAN2" s="31"/>
      <c r="AAO2" s="31"/>
      <c r="AAP2" s="31"/>
      <c r="AAQ2" s="31"/>
      <c r="AAR2" s="31"/>
      <c r="AAS2" s="31"/>
      <c r="AAT2" s="31"/>
      <c r="AAU2" s="31"/>
      <c r="AAV2" s="31"/>
      <c r="AAW2" s="31"/>
      <c r="AAX2" s="31"/>
      <c r="AAY2" s="31"/>
      <c r="AAZ2" s="31"/>
      <c r="ABA2" s="31"/>
      <c r="ABB2" s="31"/>
      <c r="ABC2" s="31"/>
      <c r="ABD2" s="31"/>
      <c r="ABE2" s="31"/>
      <c r="ABF2" s="31"/>
      <c r="ABG2" s="31"/>
      <c r="ABH2" s="31"/>
      <c r="ABI2" s="31"/>
      <c r="ABJ2" s="31"/>
      <c r="ABK2" s="31"/>
      <c r="ABL2" s="31"/>
      <c r="ABM2" s="31"/>
      <c r="ABN2" s="31"/>
      <c r="ABO2" s="31"/>
      <c r="ABP2" s="31"/>
      <c r="ABQ2" s="31"/>
      <c r="ABR2" s="31"/>
      <c r="ABS2" s="31"/>
      <c r="ABT2" s="31"/>
      <c r="ABU2" s="31"/>
      <c r="ABV2" s="31"/>
      <c r="ABW2" s="31"/>
      <c r="ABX2" s="31"/>
      <c r="ABY2" s="31"/>
      <c r="ABZ2" s="31"/>
      <c r="ACA2" s="31"/>
      <c r="ACB2" s="31"/>
      <c r="ACC2" s="31"/>
      <c r="ACD2" s="31"/>
      <c r="ACE2" s="31"/>
      <c r="ACF2" s="31"/>
      <c r="ACG2" s="31"/>
      <c r="ACH2" s="31"/>
      <c r="ACI2" s="31"/>
      <c r="ACJ2" s="31"/>
      <c r="ACK2" s="31"/>
      <c r="ACL2" s="31"/>
      <c r="ACM2" s="31"/>
      <c r="ACN2" s="31"/>
      <c r="ACO2" s="31"/>
      <c r="ACP2" s="31"/>
      <c r="ACQ2" s="31"/>
      <c r="ACR2" s="31"/>
      <c r="ACS2" s="31"/>
      <c r="ACT2" s="31"/>
      <c r="ACU2" s="31"/>
      <c r="ACV2" s="31"/>
      <c r="ACW2" s="31"/>
      <c r="ACX2" s="31"/>
      <c r="ACY2" s="31"/>
      <c r="ACZ2" s="31"/>
      <c r="ADA2" s="31"/>
      <c r="ADB2" s="31"/>
      <c r="ADC2" s="31"/>
      <c r="ADD2" s="31"/>
      <c r="ADE2" s="31"/>
      <c r="ADF2" s="31"/>
      <c r="ADG2" s="31"/>
      <c r="ADH2" s="31"/>
      <c r="ADI2" s="31"/>
      <c r="ADJ2" s="31"/>
      <c r="ADK2" s="31"/>
      <c r="ADL2" s="31"/>
      <c r="ADM2" s="31"/>
      <c r="ADN2" s="31"/>
      <c r="ADO2" s="31"/>
      <c r="ADP2" s="31"/>
      <c r="ADQ2" s="31"/>
      <c r="ADR2" s="31"/>
      <c r="ADS2" s="31"/>
      <c r="ADT2" s="31"/>
      <c r="ADU2" s="31"/>
      <c r="ADV2" s="31"/>
      <c r="ADW2" s="31"/>
      <c r="ADX2" s="31"/>
      <c r="ADY2" s="31"/>
      <c r="ADZ2" s="31"/>
      <c r="AEA2" s="31"/>
      <c r="AEB2" s="31"/>
      <c r="AEC2" s="31"/>
      <c r="AED2" s="31"/>
      <c r="AEE2" s="31"/>
      <c r="AEF2" s="31"/>
      <c r="AEG2" s="31"/>
      <c r="AEH2" s="31"/>
      <c r="AEI2" s="31"/>
      <c r="AEJ2" s="31"/>
      <c r="AEK2" s="31"/>
      <c r="AEL2" s="31"/>
      <c r="AEM2" s="31"/>
      <c r="AEN2" s="31"/>
      <c r="AEO2" s="31"/>
      <c r="AEP2" s="31"/>
      <c r="AEQ2" s="31"/>
      <c r="AER2" s="31"/>
      <c r="AES2" s="31"/>
      <c r="AET2" s="31"/>
      <c r="AEU2" s="31"/>
      <c r="AEV2" s="31"/>
      <c r="AEW2" s="31"/>
      <c r="AEX2" s="31"/>
      <c r="AEY2" s="31"/>
      <c r="AEZ2" s="31"/>
      <c r="AFA2" s="31"/>
      <c r="AFB2" s="31"/>
      <c r="AFC2" s="31"/>
      <c r="AFD2" s="31"/>
      <c r="AFE2" s="31"/>
      <c r="AFF2" s="31"/>
      <c r="AFG2" s="31"/>
      <c r="AFH2" s="31"/>
      <c r="AFI2" s="31"/>
      <c r="AFJ2" s="31"/>
      <c r="AFK2" s="31"/>
      <c r="AFL2" s="31"/>
      <c r="AFM2" s="31"/>
      <c r="AFN2" s="31"/>
      <c r="AFO2" s="31"/>
      <c r="AFP2" s="31"/>
      <c r="AFQ2" s="31"/>
      <c r="AFR2" s="31"/>
      <c r="AFS2" s="31"/>
      <c r="AFT2" s="31"/>
      <c r="AFU2" s="31"/>
      <c r="AFV2" s="31"/>
      <c r="AFW2" s="31"/>
      <c r="AFX2" s="31"/>
      <c r="AFY2" s="31"/>
      <c r="AFZ2" s="31"/>
      <c r="AGA2" s="31"/>
      <c r="AGB2" s="31"/>
      <c r="AGC2" s="31"/>
      <c r="AGD2" s="31"/>
      <c r="AGE2" s="31"/>
      <c r="AGF2" s="31"/>
      <c r="AGG2" s="31"/>
      <c r="AGH2" s="31"/>
      <c r="AGI2" s="31"/>
      <c r="AGJ2" s="31"/>
      <c r="AGK2" s="31"/>
      <c r="AGL2" s="31"/>
      <c r="AGM2" s="31"/>
      <c r="AGN2" s="31"/>
      <c r="AGO2" s="31"/>
      <c r="AGP2" s="31"/>
      <c r="AGQ2" s="31"/>
      <c r="AGR2" s="31"/>
      <c r="AGS2" s="31"/>
      <c r="AGT2" s="31"/>
      <c r="AGU2" s="31"/>
      <c r="AGV2" s="31"/>
      <c r="AGW2" s="31"/>
      <c r="AGX2" s="31"/>
      <c r="AGY2" s="31"/>
      <c r="AGZ2" s="31"/>
      <c r="AHA2" s="31"/>
      <c r="AHB2" s="31"/>
      <c r="AHC2" s="31"/>
      <c r="AHD2" s="31"/>
      <c r="AHE2" s="31"/>
      <c r="AHF2" s="31"/>
      <c r="AHG2" s="31"/>
      <c r="AHH2" s="31"/>
      <c r="AHI2" s="31"/>
      <c r="AHJ2" s="31"/>
      <c r="AHK2" s="31"/>
      <c r="AHL2" s="31"/>
      <c r="AHM2" s="31"/>
      <c r="AHN2" s="31"/>
      <c r="AHO2" s="31"/>
      <c r="AHP2" s="31"/>
      <c r="AHQ2" s="31"/>
      <c r="AHR2" s="31"/>
      <c r="AHS2" s="31"/>
      <c r="AHT2" s="31"/>
      <c r="AHU2" s="31"/>
      <c r="AHV2" s="31"/>
      <c r="AHW2" s="31"/>
      <c r="AHX2" s="31"/>
      <c r="AHY2" s="31"/>
      <c r="AHZ2" s="31"/>
      <c r="AIA2" s="31"/>
      <c r="AIB2" s="31"/>
      <c r="AIC2" s="31"/>
      <c r="AID2" s="31"/>
      <c r="AIE2" s="31"/>
      <c r="AIF2" s="31"/>
      <c r="AIG2" s="31"/>
      <c r="AIH2" s="31"/>
      <c r="AII2" s="31"/>
      <c r="AIJ2" s="31"/>
      <c r="AIK2" s="31"/>
      <c r="AIL2" s="31"/>
      <c r="AIM2" s="31"/>
      <c r="AIN2" s="31"/>
      <c r="AIO2" s="31"/>
      <c r="AIP2" s="31"/>
      <c r="AIQ2" s="31"/>
      <c r="AIR2" s="31"/>
      <c r="AIS2" s="31"/>
      <c r="AIT2" s="31"/>
      <c r="AIU2" s="31"/>
      <c r="AIV2" s="31"/>
      <c r="AIW2" s="31"/>
      <c r="AIX2" s="31"/>
      <c r="AIY2" s="31"/>
      <c r="AIZ2" s="31"/>
      <c r="AJA2" s="31"/>
      <c r="AJB2" s="31"/>
      <c r="AJC2" s="31"/>
      <c r="AJD2" s="31"/>
      <c r="AJE2" s="31"/>
      <c r="AJF2" s="31"/>
      <c r="AJG2" s="31"/>
      <c r="AJH2" s="31"/>
      <c r="AJI2" s="31"/>
      <c r="AJJ2" s="31"/>
      <c r="AJK2" s="31"/>
      <c r="AJL2" s="31"/>
      <c r="AJM2" s="31"/>
      <c r="AJN2" s="31"/>
      <c r="AJO2" s="31"/>
      <c r="AJP2" s="31"/>
      <c r="AJQ2" s="31"/>
      <c r="AJR2" s="31"/>
      <c r="AJS2" s="31"/>
      <c r="AJT2" s="31"/>
      <c r="AJU2" s="31"/>
      <c r="AJV2" s="31"/>
      <c r="AJW2" s="31"/>
      <c r="AJX2" s="31"/>
      <c r="AJY2" s="31"/>
      <c r="AJZ2" s="31"/>
      <c r="AKA2" s="31"/>
      <c r="AKB2" s="31"/>
      <c r="AKC2" s="31"/>
      <c r="AKD2" s="31"/>
      <c r="AKE2" s="31"/>
      <c r="AKF2" s="31"/>
      <c r="AKG2" s="31"/>
      <c r="AKH2" s="31"/>
      <c r="AKI2" s="31"/>
      <c r="AKJ2" s="31"/>
      <c r="AKK2" s="31"/>
      <c r="AKL2" s="31"/>
      <c r="AKM2" s="31"/>
      <c r="AKN2" s="31"/>
      <c r="AKO2" s="31"/>
      <c r="AKP2" s="31"/>
      <c r="AKQ2" s="31"/>
      <c r="AKR2" s="31"/>
      <c r="AKS2" s="31"/>
      <c r="AKT2" s="31"/>
      <c r="AKU2" s="31"/>
      <c r="AKV2" s="31"/>
      <c r="AKW2" s="31"/>
      <c r="AKX2" s="31"/>
      <c r="AKY2" s="31"/>
      <c r="AKZ2" s="31"/>
      <c r="ALA2" s="31"/>
      <c r="ALB2" s="31"/>
      <c r="ALC2" s="31"/>
      <c r="ALD2" s="31"/>
      <c r="ALE2" s="31"/>
      <c r="ALF2" s="31"/>
    </row>
    <row r="3" spans="1:1250">
      <c r="A3" s="122">
        <f>COUNTIF(A7:A18,"&lt;&gt;0")</f>
        <v>12</v>
      </c>
      <c r="B3" s="121"/>
      <c r="M3" s="170">
        <f ca="1">M27</f>
        <v>112000</v>
      </c>
      <c r="N3" s="127"/>
      <c r="O3" s="170">
        <f ca="1">O27</f>
        <v>13000</v>
      </c>
      <c r="T3" s="31"/>
      <c r="U3" s="31"/>
      <c r="V3" s="31"/>
      <c r="W3" s="31"/>
      <c r="X3" s="111"/>
      <c r="Y3" s="31"/>
      <c r="Z3" s="31"/>
      <c r="AA3" s="31"/>
      <c r="AB3" s="31"/>
      <c r="AC3" s="31"/>
      <c r="AD3" s="31"/>
      <c r="AE3" s="117"/>
      <c r="AF3" s="31"/>
      <c r="AG3" s="31"/>
      <c r="AH3" s="31" t="s">
        <v>213</v>
      </c>
      <c r="AI3" s="31">
        <f ca="1">SUMIFS(AE7:AE18,AH7:AH18,AI2)</f>
        <v>214.99999999999997</v>
      </c>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c r="FG3" s="31"/>
      <c r="FH3" s="31"/>
      <c r="FI3" s="31"/>
      <c r="FJ3" s="31"/>
      <c r="FK3" s="31"/>
      <c r="FL3" s="31"/>
      <c r="FM3" s="31"/>
      <c r="FN3" s="31"/>
      <c r="FO3" s="31"/>
      <c r="FP3" s="31"/>
      <c r="FQ3" s="31"/>
      <c r="FR3" s="31"/>
      <c r="FS3" s="31"/>
      <c r="FT3" s="31"/>
      <c r="FU3" s="31"/>
      <c r="FV3" s="31"/>
      <c r="FW3" s="31"/>
      <c r="FX3" s="31"/>
      <c r="FY3" s="31"/>
      <c r="FZ3" s="31"/>
      <c r="GA3" s="31"/>
      <c r="GB3" s="31"/>
      <c r="GC3" s="31"/>
      <c r="GD3" s="31"/>
      <c r="GE3" s="31"/>
      <c r="GF3" s="31"/>
      <c r="GG3" s="31"/>
      <c r="GH3" s="31"/>
      <c r="GI3" s="31"/>
      <c r="GJ3" s="31"/>
      <c r="GK3" s="31"/>
      <c r="GL3" s="31"/>
      <c r="GM3" s="31"/>
      <c r="GN3" s="31"/>
      <c r="GO3" s="31"/>
      <c r="GP3" s="31"/>
      <c r="GQ3" s="31"/>
      <c r="GR3" s="31"/>
      <c r="GS3" s="31"/>
      <c r="GT3" s="31"/>
      <c r="GU3" s="31"/>
      <c r="GV3" s="31"/>
      <c r="GW3" s="31"/>
      <c r="GX3" s="31"/>
      <c r="GY3" s="31"/>
      <c r="GZ3" s="31"/>
      <c r="HA3" s="31"/>
      <c r="HB3" s="31"/>
      <c r="HC3" s="31"/>
      <c r="HD3" s="31"/>
      <c r="HE3" s="31"/>
      <c r="HF3" s="31"/>
      <c r="HG3" s="31"/>
      <c r="HH3" s="31"/>
      <c r="HI3" s="31"/>
      <c r="HJ3" s="31"/>
      <c r="HK3" s="31"/>
      <c r="HL3" s="31"/>
      <c r="HM3" s="31"/>
      <c r="HN3" s="31"/>
      <c r="HO3" s="31"/>
      <c r="HP3" s="31"/>
      <c r="HQ3" s="31"/>
      <c r="HR3" s="31"/>
      <c r="HS3" s="31"/>
      <c r="HT3" s="31"/>
      <c r="HU3" s="31"/>
      <c r="HV3" s="31"/>
      <c r="HW3" s="31"/>
      <c r="HX3" s="31"/>
      <c r="HY3" s="31"/>
      <c r="HZ3" s="31"/>
      <c r="IA3" s="31"/>
      <c r="IB3" s="31"/>
      <c r="IC3" s="31"/>
      <c r="ID3" s="31"/>
      <c r="IE3" s="31"/>
      <c r="IF3" s="31"/>
      <c r="IG3" s="31"/>
      <c r="IH3" s="31"/>
      <c r="II3" s="31"/>
      <c r="IJ3" s="31"/>
      <c r="IK3" s="31"/>
      <c r="IL3" s="31"/>
      <c r="IM3" s="31"/>
      <c r="IN3" s="31"/>
      <c r="IO3" s="31"/>
      <c r="IP3" s="31"/>
      <c r="IQ3" s="31"/>
      <c r="IR3" s="31"/>
      <c r="IS3" s="31"/>
      <c r="IT3" s="31"/>
      <c r="IU3" s="31"/>
      <c r="IV3" s="31"/>
      <c r="IW3" s="31"/>
      <c r="IX3" s="31"/>
      <c r="IY3" s="31"/>
      <c r="IZ3" s="31"/>
      <c r="JA3" s="31"/>
      <c r="JB3" s="31"/>
      <c r="JC3" s="31"/>
      <c r="JD3" s="31"/>
      <c r="JE3" s="31"/>
      <c r="JF3" s="31"/>
      <c r="JG3" s="31"/>
      <c r="JH3" s="31"/>
      <c r="JI3" s="31"/>
      <c r="JJ3" s="31"/>
      <c r="JK3" s="31"/>
      <c r="JL3" s="31"/>
      <c r="JM3" s="31"/>
      <c r="JN3" s="31"/>
      <c r="JO3" s="31"/>
      <c r="JP3" s="31"/>
      <c r="JQ3" s="31"/>
      <c r="JR3" s="31"/>
      <c r="JS3" s="31"/>
      <c r="JT3" s="31"/>
      <c r="JU3" s="31"/>
      <c r="JV3" s="31"/>
      <c r="JW3" s="31"/>
      <c r="JX3" s="31"/>
      <c r="JY3" s="31"/>
      <c r="JZ3" s="31"/>
      <c r="KA3" s="31"/>
      <c r="KB3" s="31"/>
      <c r="KC3" s="31"/>
      <c r="KD3" s="31"/>
      <c r="KE3" s="31"/>
      <c r="KF3" s="31"/>
      <c r="KG3" s="31"/>
      <c r="KH3" s="31"/>
      <c r="KI3" s="31"/>
      <c r="KJ3" s="31"/>
      <c r="KK3" s="31"/>
      <c r="KL3" s="31"/>
      <c r="KM3" s="31"/>
      <c r="KN3" s="31"/>
      <c r="KO3" s="31"/>
      <c r="KP3" s="31"/>
      <c r="KQ3" s="31"/>
      <c r="KR3" s="31"/>
      <c r="KS3" s="31"/>
      <c r="KT3" s="31"/>
      <c r="KU3" s="31"/>
      <c r="KV3" s="31"/>
      <c r="KW3" s="31"/>
      <c r="KX3" s="31"/>
      <c r="KY3" s="31"/>
      <c r="KZ3" s="31"/>
      <c r="LA3" s="31"/>
      <c r="LB3" s="31"/>
      <c r="LC3" s="31"/>
      <c r="LD3" s="31"/>
      <c r="LE3" s="31"/>
      <c r="LF3" s="31"/>
      <c r="LG3" s="31"/>
      <c r="LH3" s="31"/>
      <c r="LI3" s="31"/>
      <c r="LJ3" s="31"/>
      <c r="LK3" s="31"/>
      <c r="LL3" s="31"/>
      <c r="LM3" s="31"/>
      <c r="LN3" s="31"/>
      <c r="LO3" s="31"/>
      <c r="LP3" s="31"/>
      <c r="LQ3" s="31"/>
      <c r="LR3" s="31"/>
      <c r="LS3" s="31"/>
      <c r="LT3" s="31"/>
      <c r="LU3" s="31"/>
      <c r="LV3" s="31"/>
      <c r="LW3" s="31"/>
      <c r="LX3" s="31"/>
      <c r="LY3" s="31"/>
      <c r="LZ3" s="31"/>
      <c r="MA3" s="31"/>
      <c r="MB3" s="31"/>
      <c r="MC3" s="31"/>
      <c r="MD3" s="31"/>
      <c r="ME3" s="31"/>
      <c r="MF3" s="31"/>
      <c r="MG3" s="31"/>
      <c r="MH3" s="31"/>
      <c r="MI3" s="31"/>
      <c r="MJ3" s="31"/>
      <c r="MK3" s="31"/>
      <c r="ML3" s="31"/>
      <c r="MM3" s="31"/>
      <c r="MN3" s="31"/>
      <c r="MO3" s="31"/>
      <c r="MP3" s="31"/>
      <c r="MQ3" s="31"/>
      <c r="MR3" s="31"/>
      <c r="MS3" s="31"/>
      <c r="MT3" s="31"/>
      <c r="MU3" s="31"/>
      <c r="MV3" s="31"/>
      <c r="MW3" s="31"/>
      <c r="MX3" s="31"/>
      <c r="MY3" s="31"/>
      <c r="MZ3" s="31"/>
      <c r="NA3" s="31"/>
      <c r="NB3" s="31"/>
      <c r="NC3" s="31"/>
      <c r="ND3" s="31"/>
      <c r="NE3" s="31"/>
      <c r="NF3" s="31"/>
      <c r="NG3" s="31"/>
      <c r="NH3" s="31"/>
      <c r="NI3" s="31"/>
      <c r="NJ3" s="31"/>
      <c r="NK3" s="31"/>
      <c r="NL3" s="31"/>
      <c r="NM3" s="31"/>
      <c r="NN3" s="31"/>
      <c r="NO3" s="31"/>
      <c r="NP3" s="31"/>
      <c r="NQ3" s="31"/>
      <c r="NR3" s="31"/>
      <c r="NS3" s="31"/>
      <c r="NT3" s="31"/>
      <c r="NU3" s="31"/>
      <c r="NV3" s="31"/>
      <c r="NW3" s="31"/>
      <c r="NX3" s="31"/>
      <c r="NY3" s="31"/>
      <c r="NZ3" s="31"/>
      <c r="OA3" s="31"/>
      <c r="OB3" s="31"/>
      <c r="OC3" s="31"/>
      <c r="OD3" s="31"/>
      <c r="OE3" s="31"/>
      <c r="OF3" s="31"/>
      <c r="OG3" s="31"/>
      <c r="OH3" s="31"/>
      <c r="OI3" s="31"/>
      <c r="OJ3" s="31"/>
      <c r="OK3" s="31"/>
      <c r="OL3" s="31"/>
      <c r="OM3" s="31"/>
      <c r="ON3" s="31"/>
      <c r="OO3" s="31"/>
      <c r="OP3" s="31"/>
      <c r="OQ3" s="31"/>
      <c r="OR3" s="31"/>
      <c r="OS3" s="31"/>
      <c r="OT3" s="31"/>
      <c r="OU3" s="31"/>
      <c r="OV3" s="31"/>
      <c r="OW3" s="31"/>
      <c r="OX3" s="31"/>
      <c r="OY3" s="31"/>
      <c r="OZ3" s="31"/>
      <c r="PA3" s="31"/>
      <c r="PB3" s="31"/>
      <c r="PC3" s="31"/>
      <c r="PD3" s="31"/>
      <c r="PE3" s="31"/>
      <c r="PF3" s="31"/>
      <c r="PG3" s="31"/>
      <c r="PH3" s="31"/>
      <c r="PI3" s="31"/>
      <c r="PJ3" s="31"/>
      <c r="PK3" s="31"/>
      <c r="PL3" s="31"/>
      <c r="PM3" s="31"/>
      <c r="PN3" s="31"/>
      <c r="PO3" s="31"/>
      <c r="PP3" s="31"/>
      <c r="PQ3" s="31"/>
      <c r="PR3" s="31"/>
      <c r="PS3" s="31"/>
      <c r="PT3" s="31"/>
      <c r="PU3" s="31"/>
      <c r="PV3" s="31"/>
      <c r="PW3" s="31"/>
      <c r="PX3" s="31"/>
      <c r="PY3" s="31"/>
      <c r="PZ3" s="31"/>
      <c r="QA3" s="31"/>
      <c r="QB3" s="31"/>
      <c r="QC3" s="31"/>
      <c r="QD3" s="31"/>
      <c r="QE3" s="31"/>
      <c r="QF3" s="31"/>
      <c r="QG3" s="31"/>
      <c r="QH3" s="31"/>
      <c r="QI3" s="31"/>
      <c r="QJ3" s="31"/>
      <c r="QK3" s="31"/>
      <c r="QL3" s="31"/>
      <c r="QM3" s="31"/>
      <c r="QN3" s="31"/>
      <c r="QO3" s="31"/>
      <c r="QP3" s="31"/>
      <c r="QQ3" s="31"/>
      <c r="QR3" s="31"/>
      <c r="QS3" s="31"/>
      <c r="QT3" s="31"/>
      <c r="QU3" s="31"/>
      <c r="QV3" s="31"/>
      <c r="QW3" s="31"/>
      <c r="QX3" s="31"/>
      <c r="QY3" s="31"/>
      <c r="QZ3" s="31"/>
      <c r="RA3" s="31"/>
      <c r="RB3" s="31"/>
      <c r="RC3" s="31"/>
      <c r="RD3" s="31"/>
      <c r="RE3" s="31"/>
      <c r="RF3" s="31"/>
      <c r="RG3" s="31"/>
      <c r="RH3" s="31"/>
      <c r="RI3" s="31"/>
      <c r="RJ3" s="31"/>
      <c r="RK3" s="31"/>
      <c r="RL3" s="31"/>
      <c r="RM3" s="31"/>
      <c r="RN3" s="31"/>
      <c r="RO3" s="31"/>
      <c r="RP3" s="31"/>
      <c r="RQ3" s="31"/>
      <c r="RR3" s="31"/>
      <c r="RS3" s="31"/>
      <c r="RT3" s="31"/>
      <c r="RU3" s="31"/>
      <c r="RV3" s="31"/>
      <c r="RW3" s="31"/>
      <c r="RX3" s="31"/>
      <c r="RY3" s="31"/>
      <c r="RZ3" s="31"/>
      <c r="SA3" s="31"/>
      <c r="SB3" s="31"/>
      <c r="SC3" s="31"/>
      <c r="SD3" s="31"/>
      <c r="SE3" s="31"/>
      <c r="SF3" s="31"/>
      <c r="SG3" s="31"/>
      <c r="SH3" s="31"/>
      <c r="SI3" s="31"/>
      <c r="SJ3" s="31"/>
      <c r="SK3" s="31"/>
      <c r="SL3" s="31"/>
      <c r="SM3" s="31"/>
      <c r="SN3" s="31"/>
      <c r="SO3" s="31"/>
      <c r="SP3" s="31"/>
      <c r="SQ3" s="31"/>
      <c r="SR3" s="31"/>
      <c r="SS3" s="31"/>
      <c r="ST3" s="31"/>
      <c r="SU3" s="31"/>
      <c r="SV3" s="31"/>
      <c r="SW3" s="31"/>
      <c r="SX3" s="31"/>
      <c r="SY3" s="31"/>
      <c r="SZ3" s="31"/>
      <c r="TA3" s="31"/>
      <c r="TB3" s="31"/>
      <c r="TC3" s="31"/>
      <c r="TD3" s="31"/>
      <c r="TE3" s="31"/>
      <c r="TF3" s="31"/>
      <c r="TG3" s="31"/>
      <c r="TH3" s="31"/>
      <c r="TI3" s="31"/>
      <c r="TJ3" s="31"/>
      <c r="TK3" s="31"/>
      <c r="TL3" s="31"/>
      <c r="TM3" s="31"/>
      <c r="TN3" s="31"/>
      <c r="TO3" s="31"/>
      <c r="TP3" s="31"/>
      <c r="TQ3" s="31"/>
      <c r="TR3" s="31"/>
      <c r="TS3" s="31"/>
      <c r="TT3" s="31"/>
      <c r="TU3" s="31"/>
      <c r="TV3" s="31"/>
      <c r="TW3" s="31"/>
      <c r="TX3" s="31"/>
      <c r="TY3" s="31"/>
      <c r="TZ3" s="31"/>
      <c r="UA3" s="31"/>
      <c r="UB3" s="31"/>
      <c r="UC3" s="31"/>
      <c r="UD3" s="31"/>
      <c r="UE3" s="31"/>
      <c r="UF3" s="31"/>
      <c r="UG3" s="31"/>
      <c r="UH3" s="31"/>
      <c r="UI3" s="31"/>
      <c r="UJ3" s="31"/>
      <c r="UK3" s="31"/>
      <c r="UL3" s="31"/>
      <c r="UM3" s="31"/>
      <c r="UN3" s="31"/>
      <c r="UO3" s="31"/>
      <c r="UP3" s="31"/>
      <c r="UQ3" s="31"/>
      <c r="UR3" s="31"/>
      <c r="US3" s="31"/>
      <c r="UT3" s="31"/>
      <c r="UU3" s="31"/>
      <c r="UV3" s="31"/>
      <c r="UW3" s="31"/>
      <c r="UX3" s="31"/>
      <c r="UY3" s="31"/>
      <c r="UZ3" s="31"/>
      <c r="VA3" s="31"/>
      <c r="VB3" s="31"/>
      <c r="VC3" s="31"/>
      <c r="VD3" s="31"/>
      <c r="VE3" s="31"/>
      <c r="VF3" s="31"/>
      <c r="VG3" s="31"/>
      <c r="VH3" s="31"/>
      <c r="VI3" s="31"/>
      <c r="VJ3" s="31"/>
      <c r="VK3" s="31"/>
      <c r="VL3" s="31"/>
      <c r="VM3" s="31"/>
      <c r="VN3" s="31"/>
      <c r="VO3" s="31"/>
      <c r="VP3" s="31"/>
      <c r="VQ3" s="31"/>
      <c r="VR3" s="31"/>
      <c r="VS3" s="31"/>
      <c r="VT3" s="31"/>
      <c r="VU3" s="31"/>
      <c r="VV3" s="31"/>
      <c r="VW3" s="31"/>
      <c r="VX3" s="31"/>
      <c r="VY3" s="31"/>
      <c r="VZ3" s="31"/>
      <c r="WA3" s="31"/>
      <c r="WB3" s="31"/>
      <c r="WC3" s="31"/>
      <c r="WD3" s="31"/>
      <c r="WE3" s="31"/>
      <c r="WF3" s="31"/>
      <c r="WG3" s="31"/>
      <c r="WH3" s="31"/>
      <c r="WI3" s="31"/>
      <c r="WJ3" s="31"/>
      <c r="WK3" s="31"/>
      <c r="WL3" s="31"/>
      <c r="WM3" s="31"/>
      <c r="WN3" s="31"/>
      <c r="WO3" s="31"/>
      <c r="WP3" s="31"/>
      <c r="WQ3" s="31"/>
      <c r="WR3" s="31"/>
      <c r="WS3" s="31"/>
      <c r="WT3" s="31"/>
      <c r="WU3" s="31"/>
      <c r="WV3" s="31"/>
      <c r="WW3" s="31"/>
      <c r="WX3" s="31"/>
      <c r="WY3" s="31"/>
      <c r="WZ3" s="31"/>
      <c r="XA3" s="31"/>
      <c r="XB3" s="31"/>
      <c r="XC3" s="31"/>
      <c r="XD3" s="31"/>
      <c r="XE3" s="31"/>
      <c r="XF3" s="31"/>
      <c r="XG3" s="31"/>
      <c r="XH3" s="31"/>
      <c r="XI3" s="31"/>
      <c r="XJ3" s="31"/>
      <c r="XK3" s="31"/>
      <c r="XL3" s="31"/>
      <c r="XM3" s="31"/>
      <c r="XN3" s="31"/>
      <c r="XO3" s="31"/>
      <c r="XP3" s="31"/>
      <c r="XQ3" s="31"/>
      <c r="XR3" s="31"/>
      <c r="XS3" s="31"/>
      <c r="XT3" s="31"/>
      <c r="XU3" s="31"/>
      <c r="XV3" s="31"/>
      <c r="XW3" s="31"/>
      <c r="XX3" s="31"/>
      <c r="XY3" s="31"/>
      <c r="XZ3" s="31"/>
      <c r="YA3" s="31"/>
      <c r="YB3" s="31"/>
      <c r="YC3" s="31"/>
      <c r="YD3" s="31"/>
      <c r="YE3" s="31"/>
      <c r="YF3" s="31"/>
      <c r="YG3" s="31"/>
      <c r="YH3" s="31"/>
      <c r="YI3" s="31"/>
      <c r="YJ3" s="31"/>
      <c r="YK3" s="31"/>
      <c r="YL3" s="31"/>
      <c r="YM3" s="31"/>
      <c r="YN3" s="31"/>
      <c r="YO3" s="31"/>
      <c r="YP3" s="31"/>
      <c r="YQ3" s="31"/>
      <c r="YR3" s="31"/>
      <c r="YS3" s="31"/>
      <c r="YT3" s="31"/>
      <c r="YU3" s="31"/>
      <c r="YV3" s="31"/>
      <c r="YW3" s="31"/>
      <c r="YX3" s="31"/>
      <c r="YY3" s="31"/>
      <c r="YZ3" s="31"/>
      <c r="ZA3" s="31"/>
      <c r="ZB3" s="31"/>
      <c r="ZC3" s="31"/>
      <c r="ZD3" s="31"/>
      <c r="ZE3" s="31"/>
      <c r="ZF3" s="31"/>
      <c r="ZG3" s="31"/>
      <c r="ZH3" s="31"/>
      <c r="ZI3" s="31"/>
      <c r="ZJ3" s="31"/>
      <c r="ZK3" s="31"/>
      <c r="ZL3" s="31"/>
      <c r="ZM3" s="31"/>
      <c r="ZN3" s="31"/>
      <c r="ZO3" s="31"/>
      <c r="ZP3" s="31"/>
      <c r="ZQ3" s="31"/>
      <c r="ZR3" s="31"/>
      <c r="ZS3" s="31"/>
      <c r="ZT3" s="31"/>
      <c r="ZU3" s="31"/>
      <c r="ZV3" s="31"/>
      <c r="ZW3" s="31"/>
      <c r="ZX3" s="31"/>
      <c r="ZY3" s="31"/>
      <c r="ZZ3" s="31"/>
      <c r="AAA3" s="31"/>
      <c r="AAB3" s="31"/>
      <c r="AAC3" s="31"/>
      <c r="AAD3" s="31"/>
      <c r="AAE3" s="31"/>
      <c r="AAF3" s="31"/>
      <c r="AAG3" s="31"/>
      <c r="AAH3" s="31"/>
      <c r="AAI3" s="31"/>
      <c r="AAJ3" s="31"/>
      <c r="AAK3" s="31"/>
      <c r="AAL3" s="31"/>
      <c r="AAM3" s="31"/>
      <c r="AAN3" s="31"/>
      <c r="AAO3" s="31"/>
      <c r="AAP3" s="31"/>
      <c r="AAQ3" s="31"/>
      <c r="AAR3" s="31"/>
      <c r="AAS3" s="31"/>
      <c r="AAT3" s="31"/>
      <c r="AAU3" s="31"/>
      <c r="AAV3" s="31"/>
      <c r="AAW3" s="31"/>
      <c r="AAX3" s="31"/>
      <c r="AAY3" s="31"/>
      <c r="AAZ3" s="31"/>
      <c r="ABA3" s="31"/>
      <c r="ABB3" s="31"/>
      <c r="ABC3" s="31"/>
      <c r="ABD3" s="31"/>
      <c r="ABE3" s="31"/>
      <c r="ABF3" s="31"/>
      <c r="ABG3" s="31"/>
      <c r="ABH3" s="31"/>
      <c r="ABI3" s="31"/>
      <c r="ABJ3" s="31"/>
      <c r="ABK3" s="31"/>
      <c r="ABL3" s="31"/>
      <c r="ABM3" s="31"/>
      <c r="ABN3" s="31"/>
      <c r="ABO3" s="31"/>
      <c r="ABP3" s="31"/>
      <c r="ABQ3" s="31"/>
      <c r="ABR3" s="31"/>
      <c r="ABS3" s="31"/>
      <c r="ABT3" s="31"/>
      <c r="ABU3" s="31"/>
      <c r="ABV3" s="31"/>
      <c r="ABW3" s="31"/>
      <c r="ABX3" s="31"/>
      <c r="ABY3" s="31"/>
      <c r="ABZ3" s="31"/>
      <c r="ACA3" s="31"/>
      <c r="ACB3" s="31"/>
      <c r="ACC3" s="31"/>
      <c r="ACD3" s="31"/>
      <c r="ACE3" s="31"/>
      <c r="ACF3" s="31"/>
      <c r="ACG3" s="31"/>
      <c r="ACH3" s="31"/>
      <c r="ACI3" s="31"/>
      <c r="ACJ3" s="31"/>
      <c r="ACK3" s="31"/>
      <c r="ACL3" s="31"/>
      <c r="ACM3" s="31"/>
      <c r="ACN3" s="31"/>
      <c r="ACO3" s="31"/>
      <c r="ACP3" s="31"/>
      <c r="ACQ3" s="31"/>
      <c r="ACR3" s="31"/>
      <c r="ACS3" s="31"/>
      <c r="ACT3" s="31"/>
      <c r="ACU3" s="31"/>
      <c r="ACV3" s="31"/>
      <c r="ACW3" s="31"/>
      <c r="ACX3" s="31"/>
      <c r="ACY3" s="31"/>
      <c r="ACZ3" s="31"/>
      <c r="ADA3" s="31"/>
      <c r="ADB3" s="31"/>
      <c r="ADC3" s="31"/>
      <c r="ADD3" s="31"/>
      <c r="ADE3" s="31"/>
      <c r="ADF3" s="31"/>
      <c r="ADG3" s="31"/>
      <c r="ADH3" s="31"/>
      <c r="ADI3" s="31"/>
      <c r="ADJ3" s="31"/>
      <c r="ADK3" s="31"/>
      <c r="ADL3" s="31"/>
      <c r="ADM3" s="31"/>
      <c r="ADN3" s="31"/>
      <c r="ADO3" s="31"/>
      <c r="ADP3" s="31"/>
      <c r="ADQ3" s="31"/>
      <c r="ADR3" s="31"/>
      <c r="ADS3" s="31"/>
      <c r="ADT3" s="31"/>
      <c r="ADU3" s="31"/>
      <c r="ADV3" s="31"/>
      <c r="ADW3" s="31"/>
      <c r="ADX3" s="31"/>
      <c r="ADY3" s="31"/>
      <c r="ADZ3" s="31"/>
      <c r="AEA3" s="31"/>
      <c r="AEB3" s="31"/>
      <c r="AEC3" s="31"/>
      <c r="AED3" s="31"/>
      <c r="AEE3" s="31"/>
      <c r="AEF3" s="31"/>
      <c r="AEG3" s="31"/>
      <c r="AEH3" s="31"/>
      <c r="AEI3" s="31"/>
      <c r="AEJ3" s="31"/>
      <c r="AEK3" s="31"/>
      <c r="AEL3" s="31"/>
      <c r="AEM3" s="31"/>
      <c r="AEN3" s="31"/>
      <c r="AEO3" s="31"/>
      <c r="AEP3" s="31"/>
      <c r="AEQ3" s="31"/>
      <c r="AER3" s="31"/>
      <c r="AES3" s="31"/>
      <c r="AET3" s="31"/>
      <c r="AEU3" s="31"/>
      <c r="AEV3" s="31"/>
      <c r="AEW3" s="31"/>
      <c r="AEX3" s="31"/>
      <c r="AEY3" s="31"/>
      <c r="AEZ3" s="31"/>
      <c r="AFA3" s="31"/>
      <c r="AFB3" s="31"/>
      <c r="AFC3" s="31"/>
      <c r="AFD3" s="31"/>
      <c r="AFE3" s="31"/>
      <c r="AFF3" s="31"/>
      <c r="AFG3" s="31"/>
      <c r="AFH3" s="31"/>
      <c r="AFI3" s="31"/>
      <c r="AFJ3" s="31"/>
      <c r="AFK3" s="31"/>
      <c r="AFL3" s="31"/>
      <c r="AFM3" s="31"/>
      <c r="AFN3" s="31"/>
      <c r="AFO3" s="31"/>
      <c r="AFP3" s="31"/>
      <c r="AFQ3" s="31"/>
      <c r="AFR3" s="31"/>
      <c r="AFS3" s="31"/>
      <c r="AFT3" s="31"/>
      <c r="AFU3" s="31"/>
      <c r="AFV3" s="31"/>
      <c r="AFW3" s="31"/>
      <c r="AFX3" s="31"/>
      <c r="AFY3" s="31"/>
      <c r="AFZ3" s="31"/>
      <c r="AGA3" s="31"/>
      <c r="AGB3" s="31"/>
      <c r="AGC3" s="31"/>
      <c r="AGD3" s="31"/>
      <c r="AGE3" s="31"/>
      <c r="AGF3" s="31"/>
      <c r="AGG3" s="31"/>
      <c r="AGH3" s="31"/>
      <c r="AGI3" s="31"/>
      <c r="AGJ3" s="31"/>
      <c r="AGK3" s="31"/>
      <c r="AGL3" s="31"/>
      <c r="AGM3" s="31"/>
      <c r="AGN3" s="31"/>
      <c r="AGO3" s="31"/>
      <c r="AGP3" s="31"/>
      <c r="AGQ3" s="31"/>
      <c r="AGR3" s="31"/>
      <c r="AGS3" s="31"/>
      <c r="AGT3" s="31"/>
      <c r="AGU3" s="31"/>
      <c r="AGV3" s="31"/>
      <c r="AGW3" s="31"/>
      <c r="AGX3" s="31"/>
      <c r="AGY3" s="31"/>
      <c r="AGZ3" s="31"/>
      <c r="AHA3" s="31"/>
      <c r="AHB3" s="31"/>
      <c r="AHC3" s="31"/>
      <c r="AHD3" s="31"/>
      <c r="AHE3" s="31"/>
      <c r="AHF3" s="31"/>
      <c r="AHG3" s="31"/>
      <c r="AHH3" s="31"/>
      <c r="AHI3" s="31"/>
      <c r="AHJ3" s="31"/>
      <c r="AHK3" s="31"/>
      <c r="AHL3" s="31"/>
      <c r="AHM3" s="31"/>
      <c r="AHN3" s="31"/>
      <c r="AHO3" s="31"/>
      <c r="AHP3" s="31"/>
      <c r="AHQ3" s="31"/>
      <c r="AHR3" s="31"/>
      <c r="AHS3" s="31"/>
      <c r="AHT3" s="31"/>
      <c r="AHU3" s="31"/>
      <c r="AHV3" s="31"/>
      <c r="AHW3" s="31"/>
      <c r="AHX3" s="31"/>
      <c r="AHY3" s="31"/>
      <c r="AHZ3" s="31"/>
      <c r="AIA3" s="31"/>
      <c r="AIB3" s="31"/>
      <c r="AIC3" s="31"/>
      <c r="AID3" s="31"/>
      <c r="AIE3" s="31"/>
      <c r="AIF3" s="31"/>
      <c r="AIG3" s="31"/>
      <c r="AIH3" s="31"/>
      <c r="AII3" s="31"/>
      <c r="AIJ3" s="31"/>
      <c r="AIK3" s="31"/>
      <c r="AIL3" s="31"/>
      <c r="AIM3" s="31"/>
      <c r="AIN3" s="31"/>
      <c r="AIO3" s="31"/>
      <c r="AIP3" s="31"/>
      <c r="AIQ3" s="31"/>
      <c r="AIR3" s="31"/>
      <c r="AIS3" s="31"/>
      <c r="AIT3" s="31"/>
      <c r="AIU3" s="31"/>
      <c r="AIV3" s="31"/>
      <c r="AIW3" s="31"/>
      <c r="AIX3" s="31"/>
      <c r="AIY3" s="31"/>
      <c r="AIZ3" s="31"/>
      <c r="AJA3" s="31"/>
      <c r="AJB3" s="31"/>
      <c r="AJC3" s="31"/>
      <c r="AJD3" s="31"/>
      <c r="AJE3" s="31"/>
      <c r="AJF3" s="31"/>
      <c r="AJG3" s="31"/>
      <c r="AJH3" s="31"/>
      <c r="AJI3" s="31"/>
      <c r="AJJ3" s="31"/>
      <c r="AJK3" s="31"/>
      <c r="AJL3" s="31"/>
      <c r="AJM3" s="31"/>
      <c r="AJN3" s="31"/>
      <c r="AJO3" s="31"/>
      <c r="AJP3" s="31"/>
      <c r="AJQ3" s="31"/>
      <c r="AJR3" s="31"/>
      <c r="AJS3" s="31"/>
      <c r="AJT3" s="31"/>
      <c r="AJU3" s="31"/>
      <c r="AJV3" s="31"/>
      <c r="AJW3" s="31"/>
      <c r="AJX3" s="31"/>
      <c r="AJY3" s="31"/>
      <c r="AJZ3" s="31"/>
      <c r="AKA3" s="31"/>
      <c r="AKB3" s="31"/>
      <c r="AKC3" s="31"/>
      <c r="AKD3" s="31"/>
      <c r="AKE3" s="31"/>
      <c r="AKF3" s="31"/>
      <c r="AKG3" s="31"/>
      <c r="AKH3" s="31"/>
      <c r="AKI3" s="31"/>
      <c r="AKJ3" s="31"/>
      <c r="AKK3" s="31"/>
      <c r="AKL3" s="31"/>
      <c r="AKM3" s="31"/>
      <c r="AKN3" s="31"/>
      <c r="AKO3" s="31"/>
      <c r="AKP3" s="31"/>
      <c r="AKQ3" s="31"/>
      <c r="AKR3" s="31"/>
      <c r="AKS3" s="31"/>
      <c r="AKT3" s="31"/>
      <c r="AKU3" s="31"/>
      <c r="AKV3" s="31"/>
      <c r="AKW3" s="31"/>
      <c r="AKX3" s="31"/>
      <c r="AKY3" s="31"/>
      <c r="AKZ3" s="31"/>
      <c r="ALA3" s="31"/>
      <c r="ALB3" s="31"/>
      <c r="ALC3" s="31"/>
      <c r="ALD3" s="31"/>
      <c r="ALE3" s="31"/>
      <c r="ALF3" s="31"/>
    </row>
    <row r="4" spans="1:1250" ht="16.5" customHeight="1">
      <c r="A4" s="32"/>
      <c r="B4" s="32"/>
      <c r="C4" s="32"/>
      <c r="D4" s="123"/>
      <c r="E4" s="32"/>
      <c r="F4" s="32"/>
      <c r="G4" s="32"/>
      <c r="H4" s="32"/>
      <c r="I4" s="32"/>
      <c r="J4" s="32"/>
      <c r="K4" s="32"/>
      <c r="L4" s="33"/>
      <c r="M4" s="33"/>
      <c r="N4" s="124"/>
      <c r="O4" s="33"/>
      <c r="P4" s="33"/>
      <c r="Q4" s="33"/>
      <c r="R4" s="33"/>
      <c r="S4" s="33"/>
      <c r="T4" s="34"/>
      <c r="U4" s="34"/>
      <c r="V4" s="34"/>
      <c r="W4" s="34"/>
      <c r="X4" s="12" t="s">
        <v>1783</v>
      </c>
      <c r="Y4" s="31"/>
      <c r="Z4" s="34"/>
      <c r="AA4" s="34"/>
      <c r="AB4" s="34"/>
      <c r="AC4" s="34"/>
      <c r="AD4" s="34"/>
      <c r="AE4" s="118"/>
      <c r="AF4" s="34"/>
      <c r="AG4" s="34"/>
      <c r="AH4" s="56" t="s">
        <v>93</v>
      </c>
      <c r="AI4" s="56" t="s">
        <v>1024</v>
      </c>
      <c r="AJ4" s="34">
        <f ca="1">YEAR(AJ6)</f>
        <v>2024</v>
      </c>
      <c r="AK4" s="34">
        <f ca="1">YEAR(AK6)</f>
        <v>2024</v>
      </c>
      <c r="AL4" s="34">
        <f t="shared" ref="AL4:CW4" ca="1" si="15">YEAR(AL6)</f>
        <v>2024</v>
      </c>
      <c r="AM4" s="34">
        <f t="shared" ca="1" si="15"/>
        <v>2024</v>
      </c>
      <c r="AN4" s="34">
        <f t="shared" ca="1" si="15"/>
        <v>2024</v>
      </c>
      <c r="AO4" s="34">
        <f t="shared" ca="1" si="15"/>
        <v>2024</v>
      </c>
      <c r="AP4" s="34">
        <f t="shared" ca="1" si="15"/>
        <v>2025</v>
      </c>
      <c r="AQ4" s="34">
        <f t="shared" ca="1" si="15"/>
        <v>2025</v>
      </c>
      <c r="AR4" s="34">
        <f t="shared" ca="1" si="15"/>
        <v>2025</v>
      </c>
      <c r="AS4" s="34">
        <f t="shared" ca="1" si="15"/>
        <v>2025</v>
      </c>
      <c r="AT4" s="34">
        <f t="shared" ca="1" si="15"/>
        <v>2025</v>
      </c>
      <c r="AU4" s="34">
        <f t="shared" ca="1" si="15"/>
        <v>2025</v>
      </c>
      <c r="AV4" s="34">
        <f t="shared" ca="1" si="15"/>
        <v>2025</v>
      </c>
      <c r="AW4" s="34">
        <f t="shared" ca="1" si="15"/>
        <v>2025</v>
      </c>
      <c r="AX4" s="34">
        <f t="shared" ca="1" si="15"/>
        <v>2025</v>
      </c>
      <c r="AY4" s="34">
        <f t="shared" ca="1" si="15"/>
        <v>2025</v>
      </c>
      <c r="AZ4" s="34">
        <f t="shared" ca="1" si="15"/>
        <v>2025</v>
      </c>
      <c r="BA4" s="34">
        <f t="shared" ca="1" si="15"/>
        <v>2025</v>
      </c>
      <c r="BB4" s="34">
        <f t="shared" ca="1" si="15"/>
        <v>2026</v>
      </c>
      <c r="BC4" s="34">
        <f t="shared" ca="1" si="15"/>
        <v>2026</v>
      </c>
      <c r="BD4" s="34">
        <f t="shared" ca="1" si="15"/>
        <v>2026</v>
      </c>
      <c r="BE4" s="34">
        <f t="shared" ca="1" si="15"/>
        <v>2026</v>
      </c>
      <c r="BF4" s="34">
        <f t="shared" ca="1" si="15"/>
        <v>2026</v>
      </c>
      <c r="BG4" s="34">
        <f t="shared" ca="1" si="15"/>
        <v>2026</v>
      </c>
      <c r="BH4" s="34">
        <f t="shared" ca="1" si="15"/>
        <v>2026</v>
      </c>
      <c r="BI4" s="34">
        <f t="shared" ca="1" si="15"/>
        <v>2026</v>
      </c>
      <c r="BJ4" s="34">
        <f t="shared" ca="1" si="15"/>
        <v>2026</v>
      </c>
      <c r="BK4" s="34">
        <f t="shared" ca="1" si="15"/>
        <v>2026</v>
      </c>
      <c r="BL4" s="34">
        <f t="shared" ca="1" si="15"/>
        <v>2026</v>
      </c>
      <c r="BM4" s="34">
        <f t="shared" ca="1" si="15"/>
        <v>2026</v>
      </c>
      <c r="BN4" s="34">
        <f t="shared" ca="1" si="15"/>
        <v>2027</v>
      </c>
      <c r="BO4" s="34">
        <f t="shared" ca="1" si="15"/>
        <v>2027</v>
      </c>
      <c r="BP4" s="34">
        <f t="shared" ca="1" si="15"/>
        <v>2027</v>
      </c>
      <c r="BQ4" s="34">
        <f t="shared" ca="1" si="15"/>
        <v>2027</v>
      </c>
      <c r="BR4" s="34">
        <f t="shared" ca="1" si="15"/>
        <v>2027</v>
      </c>
      <c r="BS4" s="34">
        <f t="shared" ca="1" si="15"/>
        <v>2027</v>
      </c>
      <c r="BT4" s="34">
        <f t="shared" ca="1" si="15"/>
        <v>2027</v>
      </c>
      <c r="BU4" s="34">
        <f t="shared" ca="1" si="15"/>
        <v>2027</v>
      </c>
      <c r="BV4" s="34">
        <f t="shared" ca="1" si="15"/>
        <v>2027</v>
      </c>
      <c r="BW4" s="34">
        <f t="shared" ca="1" si="15"/>
        <v>2027</v>
      </c>
      <c r="BX4" s="34">
        <f t="shared" ca="1" si="15"/>
        <v>2027</v>
      </c>
      <c r="BY4" s="34">
        <f t="shared" ca="1" si="15"/>
        <v>2027</v>
      </c>
      <c r="BZ4" s="34">
        <f t="shared" ca="1" si="15"/>
        <v>2028</v>
      </c>
      <c r="CA4" s="34">
        <f t="shared" ca="1" si="15"/>
        <v>2028</v>
      </c>
      <c r="CB4" s="34">
        <f t="shared" ca="1" si="15"/>
        <v>2028</v>
      </c>
      <c r="CC4" s="34">
        <f t="shared" ca="1" si="15"/>
        <v>2028</v>
      </c>
      <c r="CD4" s="34">
        <f t="shared" ca="1" si="15"/>
        <v>2028</v>
      </c>
      <c r="CE4" s="34">
        <f t="shared" ca="1" si="15"/>
        <v>2028</v>
      </c>
      <c r="CF4" s="34">
        <f t="shared" ca="1" si="15"/>
        <v>2028</v>
      </c>
      <c r="CG4" s="34">
        <f t="shared" ca="1" si="15"/>
        <v>2028</v>
      </c>
      <c r="CH4" s="34">
        <f t="shared" ca="1" si="15"/>
        <v>2028</v>
      </c>
      <c r="CI4" s="34">
        <f t="shared" ca="1" si="15"/>
        <v>2028</v>
      </c>
      <c r="CJ4" s="34">
        <f t="shared" ca="1" si="15"/>
        <v>2028</v>
      </c>
      <c r="CK4" s="34">
        <f t="shared" ca="1" si="15"/>
        <v>2028</v>
      </c>
      <c r="CL4" s="34">
        <f t="shared" ca="1" si="15"/>
        <v>2029</v>
      </c>
      <c r="CM4" s="34">
        <f t="shared" ca="1" si="15"/>
        <v>2029</v>
      </c>
      <c r="CN4" s="34">
        <f t="shared" ca="1" si="15"/>
        <v>2029</v>
      </c>
      <c r="CO4" s="34">
        <f t="shared" ca="1" si="15"/>
        <v>2029</v>
      </c>
      <c r="CP4" s="34">
        <f t="shared" ca="1" si="15"/>
        <v>2029</v>
      </c>
      <c r="CQ4" s="34">
        <f t="shared" ca="1" si="15"/>
        <v>2029</v>
      </c>
      <c r="CR4" s="34">
        <f t="shared" ca="1" si="15"/>
        <v>2029</v>
      </c>
      <c r="CS4" s="34">
        <f t="shared" ca="1" si="15"/>
        <v>2029</v>
      </c>
      <c r="CT4" s="34">
        <f t="shared" ca="1" si="15"/>
        <v>2029</v>
      </c>
      <c r="CU4" s="34">
        <f t="shared" ca="1" si="15"/>
        <v>2029</v>
      </c>
      <c r="CV4" s="34">
        <f t="shared" ca="1" si="15"/>
        <v>2029</v>
      </c>
      <c r="CW4" s="34">
        <f t="shared" ca="1" si="15"/>
        <v>2029</v>
      </c>
      <c r="CX4" s="34">
        <f t="shared" ref="CX4:FE4" ca="1" si="16">YEAR(CX6)</f>
        <v>2030</v>
      </c>
      <c r="CY4" s="34">
        <f t="shared" ca="1" si="16"/>
        <v>2030</v>
      </c>
      <c r="CZ4" s="34">
        <f t="shared" ca="1" si="16"/>
        <v>2030</v>
      </c>
      <c r="DA4" s="34">
        <f t="shared" ca="1" si="16"/>
        <v>2030</v>
      </c>
      <c r="DB4" s="34">
        <f t="shared" ca="1" si="16"/>
        <v>2030</v>
      </c>
      <c r="DC4" s="34">
        <f t="shared" ca="1" si="16"/>
        <v>2030</v>
      </c>
      <c r="DD4" s="34">
        <f t="shared" ca="1" si="16"/>
        <v>2030</v>
      </c>
      <c r="DE4" s="34">
        <f t="shared" ca="1" si="16"/>
        <v>2030</v>
      </c>
      <c r="DF4" s="34">
        <f t="shared" ca="1" si="16"/>
        <v>2030</v>
      </c>
      <c r="DG4" s="34">
        <f t="shared" ca="1" si="16"/>
        <v>2030</v>
      </c>
      <c r="DH4" s="34">
        <f t="shared" ca="1" si="16"/>
        <v>2030</v>
      </c>
      <c r="DI4" s="34">
        <f t="shared" ca="1" si="16"/>
        <v>2030</v>
      </c>
      <c r="DJ4" s="34">
        <f t="shared" ca="1" si="16"/>
        <v>2031</v>
      </c>
      <c r="DK4" s="34">
        <f t="shared" ca="1" si="16"/>
        <v>2031</v>
      </c>
      <c r="DL4" s="34">
        <f t="shared" ca="1" si="16"/>
        <v>2031</v>
      </c>
      <c r="DM4" s="34">
        <f t="shared" ca="1" si="16"/>
        <v>2031</v>
      </c>
      <c r="DN4" s="34">
        <f t="shared" ca="1" si="16"/>
        <v>2031</v>
      </c>
      <c r="DO4" s="34">
        <f t="shared" ca="1" si="16"/>
        <v>2031</v>
      </c>
      <c r="DP4" s="34">
        <f t="shared" ca="1" si="16"/>
        <v>2031</v>
      </c>
      <c r="DQ4" s="34">
        <f t="shared" ca="1" si="16"/>
        <v>2031</v>
      </c>
      <c r="DR4" s="34">
        <f t="shared" ca="1" si="16"/>
        <v>2031</v>
      </c>
      <c r="DS4" s="34">
        <f t="shared" ca="1" si="16"/>
        <v>2031</v>
      </c>
      <c r="DT4" s="34">
        <f t="shared" ca="1" si="16"/>
        <v>2031</v>
      </c>
      <c r="DU4" s="34">
        <f t="shared" ca="1" si="16"/>
        <v>2031</v>
      </c>
      <c r="DV4" s="34">
        <f t="shared" ca="1" si="16"/>
        <v>2032</v>
      </c>
      <c r="DW4" s="34">
        <f t="shared" ca="1" si="16"/>
        <v>2032</v>
      </c>
      <c r="DX4" s="34">
        <f t="shared" ca="1" si="16"/>
        <v>2032</v>
      </c>
      <c r="DY4" s="34">
        <f t="shared" ca="1" si="16"/>
        <v>2032</v>
      </c>
      <c r="DZ4" s="34">
        <f t="shared" ca="1" si="16"/>
        <v>2032</v>
      </c>
      <c r="EA4" s="34">
        <f t="shared" ca="1" si="16"/>
        <v>2032</v>
      </c>
      <c r="EB4" s="34">
        <f t="shared" ca="1" si="16"/>
        <v>2032</v>
      </c>
      <c r="EC4" s="34">
        <f t="shared" ca="1" si="16"/>
        <v>2032</v>
      </c>
      <c r="ED4" s="34">
        <f t="shared" ca="1" si="16"/>
        <v>2032</v>
      </c>
      <c r="EE4" s="34">
        <f t="shared" ca="1" si="16"/>
        <v>2032</v>
      </c>
      <c r="EF4" s="34">
        <f t="shared" ca="1" si="16"/>
        <v>2032</v>
      </c>
      <c r="EG4" s="34">
        <f t="shared" ca="1" si="16"/>
        <v>2032</v>
      </c>
      <c r="EH4" s="34">
        <f t="shared" ca="1" si="16"/>
        <v>2033</v>
      </c>
      <c r="EI4" s="34">
        <f t="shared" ca="1" si="16"/>
        <v>2033</v>
      </c>
      <c r="EJ4" s="34">
        <f t="shared" ca="1" si="16"/>
        <v>2033</v>
      </c>
      <c r="EK4" s="34">
        <f t="shared" ca="1" si="16"/>
        <v>2033</v>
      </c>
      <c r="EL4" s="34">
        <f t="shared" ca="1" si="16"/>
        <v>2033</v>
      </c>
      <c r="EM4" s="34">
        <f t="shared" ca="1" si="16"/>
        <v>2033</v>
      </c>
      <c r="EN4" s="34">
        <f t="shared" ca="1" si="16"/>
        <v>2033</v>
      </c>
      <c r="EO4" s="34">
        <f t="shared" ca="1" si="16"/>
        <v>2033</v>
      </c>
      <c r="EP4" s="34">
        <f t="shared" ca="1" si="16"/>
        <v>2033</v>
      </c>
      <c r="EQ4" s="34">
        <f t="shared" ca="1" si="16"/>
        <v>2033</v>
      </c>
      <c r="ER4" s="34">
        <f t="shared" ca="1" si="16"/>
        <v>2033</v>
      </c>
      <c r="ES4" s="34">
        <f t="shared" ca="1" si="16"/>
        <v>2033</v>
      </c>
      <c r="ET4" s="34">
        <f t="shared" ca="1" si="16"/>
        <v>2034</v>
      </c>
      <c r="EU4" s="34">
        <f t="shared" ca="1" si="16"/>
        <v>2034</v>
      </c>
      <c r="EV4" s="34">
        <f t="shared" ca="1" si="16"/>
        <v>2034</v>
      </c>
      <c r="EW4" s="34">
        <f t="shared" ca="1" si="16"/>
        <v>2034</v>
      </c>
      <c r="EX4" s="34">
        <f t="shared" ca="1" si="16"/>
        <v>2034</v>
      </c>
      <c r="EY4" s="34">
        <f t="shared" ca="1" si="16"/>
        <v>2034</v>
      </c>
      <c r="EZ4" s="34">
        <f t="shared" ca="1" si="16"/>
        <v>2034</v>
      </c>
      <c r="FA4" s="34">
        <f t="shared" ca="1" si="16"/>
        <v>2034</v>
      </c>
      <c r="FB4" s="34">
        <f t="shared" ca="1" si="16"/>
        <v>2034</v>
      </c>
      <c r="FC4" s="34">
        <f t="shared" ca="1" si="16"/>
        <v>2034</v>
      </c>
      <c r="FD4" s="34">
        <f t="shared" ca="1" si="16"/>
        <v>2034</v>
      </c>
      <c r="FE4" s="34">
        <f t="shared" ca="1" si="16"/>
        <v>2034</v>
      </c>
      <c r="FF4" s="34">
        <f ca="1">YEAR(FF6)</f>
        <v>2035</v>
      </c>
      <c r="FG4" s="34">
        <f t="shared" ref="FG4:HR4" ca="1" si="17">YEAR(FG6)</f>
        <v>2035</v>
      </c>
      <c r="FH4" s="34">
        <f t="shared" ca="1" si="17"/>
        <v>2035</v>
      </c>
      <c r="FI4" s="34">
        <f t="shared" ca="1" si="17"/>
        <v>2035</v>
      </c>
      <c r="FJ4" s="34">
        <f t="shared" ca="1" si="17"/>
        <v>2035</v>
      </c>
      <c r="FK4" s="34">
        <f t="shared" ca="1" si="17"/>
        <v>2035</v>
      </c>
      <c r="FL4" s="34">
        <f t="shared" ca="1" si="17"/>
        <v>2035</v>
      </c>
      <c r="FM4" s="34">
        <f t="shared" ca="1" si="17"/>
        <v>2035</v>
      </c>
      <c r="FN4" s="34">
        <f t="shared" ca="1" si="17"/>
        <v>2035</v>
      </c>
      <c r="FO4" s="34">
        <f t="shared" ca="1" si="17"/>
        <v>2035</v>
      </c>
      <c r="FP4" s="34">
        <f t="shared" ca="1" si="17"/>
        <v>2035</v>
      </c>
      <c r="FQ4" s="34">
        <f t="shared" ca="1" si="17"/>
        <v>2035</v>
      </c>
      <c r="FR4" s="34">
        <f t="shared" ca="1" si="17"/>
        <v>2036</v>
      </c>
      <c r="FS4" s="34">
        <f t="shared" ca="1" si="17"/>
        <v>2036</v>
      </c>
      <c r="FT4" s="34">
        <f t="shared" ca="1" si="17"/>
        <v>2036</v>
      </c>
      <c r="FU4" s="34">
        <f t="shared" ca="1" si="17"/>
        <v>2036</v>
      </c>
      <c r="FV4" s="34">
        <f t="shared" ca="1" si="17"/>
        <v>2036</v>
      </c>
      <c r="FW4" s="34">
        <f t="shared" ca="1" si="17"/>
        <v>2036</v>
      </c>
      <c r="FX4" s="34">
        <f t="shared" ca="1" si="17"/>
        <v>2036</v>
      </c>
      <c r="FY4" s="34">
        <f t="shared" ca="1" si="17"/>
        <v>2036</v>
      </c>
      <c r="FZ4" s="34">
        <f t="shared" ca="1" si="17"/>
        <v>2036</v>
      </c>
      <c r="GA4" s="34">
        <f t="shared" ca="1" si="17"/>
        <v>2036</v>
      </c>
      <c r="GB4" s="34">
        <f t="shared" ca="1" si="17"/>
        <v>2036</v>
      </c>
      <c r="GC4" s="34">
        <f t="shared" ca="1" si="17"/>
        <v>2036</v>
      </c>
      <c r="GD4" s="34">
        <f t="shared" ca="1" si="17"/>
        <v>2037</v>
      </c>
      <c r="GE4" s="34">
        <f t="shared" ca="1" si="17"/>
        <v>2037</v>
      </c>
      <c r="GF4" s="34">
        <f t="shared" ca="1" si="17"/>
        <v>2037</v>
      </c>
      <c r="GG4" s="34">
        <f t="shared" ca="1" si="17"/>
        <v>2037</v>
      </c>
      <c r="GH4" s="34">
        <f t="shared" ca="1" si="17"/>
        <v>2037</v>
      </c>
      <c r="GI4" s="34">
        <f t="shared" ca="1" si="17"/>
        <v>2037</v>
      </c>
      <c r="GJ4" s="34">
        <f t="shared" ca="1" si="17"/>
        <v>2037</v>
      </c>
      <c r="GK4" s="34">
        <f t="shared" ca="1" si="17"/>
        <v>2037</v>
      </c>
      <c r="GL4" s="34">
        <f t="shared" ca="1" si="17"/>
        <v>2037</v>
      </c>
      <c r="GM4" s="34">
        <f t="shared" ca="1" si="17"/>
        <v>2037</v>
      </c>
      <c r="GN4" s="34">
        <f t="shared" ca="1" si="17"/>
        <v>2037</v>
      </c>
      <c r="GO4" s="34">
        <f t="shared" ca="1" si="17"/>
        <v>2037</v>
      </c>
      <c r="GP4" s="34">
        <f t="shared" ca="1" si="17"/>
        <v>2038</v>
      </c>
      <c r="GQ4" s="34">
        <f t="shared" ca="1" si="17"/>
        <v>2038</v>
      </c>
      <c r="GR4" s="34">
        <f t="shared" ca="1" si="17"/>
        <v>2038</v>
      </c>
      <c r="GS4" s="34">
        <f t="shared" ca="1" si="17"/>
        <v>2038</v>
      </c>
      <c r="GT4" s="34">
        <f t="shared" ca="1" si="17"/>
        <v>2038</v>
      </c>
      <c r="GU4" s="34">
        <f t="shared" ca="1" si="17"/>
        <v>2038</v>
      </c>
      <c r="GV4" s="34">
        <f t="shared" ca="1" si="17"/>
        <v>2038</v>
      </c>
      <c r="GW4" s="34">
        <f t="shared" ca="1" si="17"/>
        <v>2038</v>
      </c>
      <c r="GX4" s="34">
        <f t="shared" ca="1" si="17"/>
        <v>2038</v>
      </c>
      <c r="GY4" s="34">
        <f t="shared" ca="1" si="17"/>
        <v>2038</v>
      </c>
      <c r="GZ4" s="34">
        <f t="shared" ca="1" si="17"/>
        <v>2038</v>
      </c>
      <c r="HA4" s="34">
        <f t="shared" ca="1" si="17"/>
        <v>2038</v>
      </c>
      <c r="HB4" s="34">
        <f t="shared" ca="1" si="17"/>
        <v>2039</v>
      </c>
      <c r="HC4" s="34">
        <f t="shared" ca="1" si="17"/>
        <v>2039</v>
      </c>
      <c r="HD4" s="34">
        <f t="shared" ca="1" si="17"/>
        <v>2039</v>
      </c>
      <c r="HE4" s="34">
        <f t="shared" ca="1" si="17"/>
        <v>2039</v>
      </c>
      <c r="HF4" s="34">
        <f t="shared" ca="1" si="17"/>
        <v>2039</v>
      </c>
      <c r="HG4" s="34">
        <f t="shared" ca="1" si="17"/>
        <v>2039</v>
      </c>
      <c r="HH4" s="34">
        <f t="shared" ca="1" si="17"/>
        <v>2039</v>
      </c>
      <c r="HI4" s="34">
        <f t="shared" ca="1" si="17"/>
        <v>2039</v>
      </c>
      <c r="HJ4" s="34">
        <f t="shared" ca="1" si="17"/>
        <v>2039</v>
      </c>
      <c r="HK4" s="34">
        <f t="shared" ca="1" si="17"/>
        <v>2039</v>
      </c>
      <c r="HL4" s="34">
        <f t="shared" ca="1" si="17"/>
        <v>2039</v>
      </c>
      <c r="HM4" s="34">
        <f t="shared" ca="1" si="17"/>
        <v>2039</v>
      </c>
      <c r="HN4" s="34">
        <f t="shared" ca="1" si="17"/>
        <v>2040</v>
      </c>
      <c r="HO4" s="34">
        <f t="shared" ca="1" si="17"/>
        <v>2040</v>
      </c>
      <c r="HP4" s="34">
        <f t="shared" ca="1" si="17"/>
        <v>2040</v>
      </c>
      <c r="HQ4" s="34">
        <f t="shared" ca="1" si="17"/>
        <v>2040</v>
      </c>
      <c r="HR4" s="34">
        <f t="shared" ca="1" si="17"/>
        <v>2040</v>
      </c>
      <c r="HS4" s="34">
        <f t="shared" ref="HS4:KD4" ca="1" si="18">YEAR(HS6)</f>
        <v>2040</v>
      </c>
      <c r="HT4" s="34">
        <f t="shared" ca="1" si="18"/>
        <v>2040</v>
      </c>
      <c r="HU4" s="34">
        <f t="shared" ca="1" si="18"/>
        <v>2040</v>
      </c>
      <c r="HV4" s="34">
        <f t="shared" ca="1" si="18"/>
        <v>2040</v>
      </c>
      <c r="HW4" s="34">
        <f t="shared" ca="1" si="18"/>
        <v>2040</v>
      </c>
      <c r="HX4" s="34">
        <f t="shared" ca="1" si="18"/>
        <v>2040</v>
      </c>
      <c r="HY4" s="34">
        <f t="shared" ca="1" si="18"/>
        <v>2040</v>
      </c>
      <c r="HZ4" s="34">
        <f t="shared" ca="1" si="18"/>
        <v>2041</v>
      </c>
      <c r="IA4" s="34">
        <f t="shared" ca="1" si="18"/>
        <v>2041</v>
      </c>
      <c r="IB4" s="34">
        <f t="shared" ca="1" si="18"/>
        <v>2041</v>
      </c>
      <c r="IC4" s="34">
        <f t="shared" ca="1" si="18"/>
        <v>2041</v>
      </c>
      <c r="ID4" s="34">
        <f t="shared" ca="1" si="18"/>
        <v>2041</v>
      </c>
      <c r="IE4" s="34">
        <f t="shared" ca="1" si="18"/>
        <v>2041</v>
      </c>
      <c r="IF4" s="34">
        <f t="shared" ca="1" si="18"/>
        <v>2041</v>
      </c>
      <c r="IG4" s="34">
        <f t="shared" ca="1" si="18"/>
        <v>2041</v>
      </c>
      <c r="IH4" s="34">
        <f t="shared" ca="1" si="18"/>
        <v>2041</v>
      </c>
      <c r="II4" s="34">
        <f t="shared" ca="1" si="18"/>
        <v>2041</v>
      </c>
      <c r="IJ4" s="34">
        <f t="shared" ca="1" si="18"/>
        <v>2041</v>
      </c>
      <c r="IK4" s="34">
        <f t="shared" ca="1" si="18"/>
        <v>2041</v>
      </c>
      <c r="IL4" s="34">
        <f t="shared" ca="1" si="18"/>
        <v>2042</v>
      </c>
      <c r="IM4" s="34">
        <f t="shared" ca="1" si="18"/>
        <v>2042</v>
      </c>
      <c r="IN4" s="34">
        <f t="shared" ca="1" si="18"/>
        <v>2042</v>
      </c>
      <c r="IO4" s="34">
        <f t="shared" ca="1" si="18"/>
        <v>2042</v>
      </c>
      <c r="IP4" s="34">
        <f t="shared" ca="1" si="18"/>
        <v>2042</v>
      </c>
      <c r="IQ4" s="34">
        <f t="shared" ca="1" si="18"/>
        <v>2042</v>
      </c>
      <c r="IR4" s="34">
        <f t="shared" ca="1" si="18"/>
        <v>2042</v>
      </c>
      <c r="IS4" s="34">
        <f t="shared" ca="1" si="18"/>
        <v>2042</v>
      </c>
      <c r="IT4" s="34">
        <f t="shared" ca="1" si="18"/>
        <v>2042</v>
      </c>
      <c r="IU4" s="34">
        <f t="shared" ca="1" si="18"/>
        <v>2042</v>
      </c>
      <c r="IV4" s="34">
        <f t="shared" ca="1" si="18"/>
        <v>2042</v>
      </c>
      <c r="IW4" s="34">
        <f t="shared" ca="1" si="18"/>
        <v>2042</v>
      </c>
      <c r="IX4" s="34">
        <f t="shared" ca="1" si="18"/>
        <v>2043</v>
      </c>
      <c r="IY4" s="34">
        <f t="shared" ca="1" si="18"/>
        <v>2043</v>
      </c>
      <c r="IZ4" s="34">
        <f t="shared" ca="1" si="18"/>
        <v>2043</v>
      </c>
      <c r="JA4" s="34">
        <f t="shared" ca="1" si="18"/>
        <v>2043</v>
      </c>
      <c r="JB4" s="34">
        <f t="shared" ca="1" si="18"/>
        <v>2043</v>
      </c>
      <c r="JC4" s="34">
        <f t="shared" ca="1" si="18"/>
        <v>2043</v>
      </c>
      <c r="JD4" s="34">
        <f t="shared" ca="1" si="18"/>
        <v>2043</v>
      </c>
      <c r="JE4" s="34">
        <f t="shared" ca="1" si="18"/>
        <v>2043</v>
      </c>
      <c r="JF4" s="34">
        <f t="shared" ca="1" si="18"/>
        <v>2043</v>
      </c>
      <c r="JG4" s="34">
        <f t="shared" ca="1" si="18"/>
        <v>2043</v>
      </c>
      <c r="JH4" s="34">
        <f t="shared" ca="1" si="18"/>
        <v>2043</v>
      </c>
      <c r="JI4" s="34">
        <f t="shared" ca="1" si="18"/>
        <v>2043</v>
      </c>
      <c r="JJ4" s="34">
        <f t="shared" ca="1" si="18"/>
        <v>2044</v>
      </c>
      <c r="JK4" s="34">
        <f t="shared" ca="1" si="18"/>
        <v>2044</v>
      </c>
      <c r="JL4" s="34">
        <f t="shared" ca="1" si="18"/>
        <v>2044</v>
      </c>
      <c r="JM4" s="34">
        <f t="shared" ca="1" si="18"/>
        <v>2044</v>
      </c>
      <c r="JN4" s="34">
        <f t="shared" ca="1" si="18"/>
        <v>2044</v>
      </c>
      <c r="JO4" s="34">
        <f t="shared" ca="1" si="18"/>
        <v>2044</v>
      </c>
      <c r="JP4" s="34">
        <f t="shared" ca="1" si="18"/>
        <v>2044</v>
      </c>
      <c r="JQ4" s="34">
        <f t="shared" ca="1" si="18"/>
        <v>2044</v>
      </c>
      <c r="JR4" s="34">
        <f t="shared" ca="1" si="18"/>
        <v>2044</v>
      </c>
      <c r="JS4" s="34">
        <f t="shared" ca="1" si="18"/>
        <v>2044</v>
      </c>
      <c r="JT4" s="34">
        <f t="shared" ca="1" si="18"/>
        <v>2044</v>
      </c>
      <c r="JU4" s="34">
        <f t="shared" ca="1" si="18"/>
        <v>2044</v>
      </c>
      <c r="JV4" s="34">
        <f t="shared" ca="1" si="18"/>
        <v>2045</v>
      </c>
      <c r="JW4" s="34">
        <f t="shared" ca="1" si="18"/>
        <v>2045</v>
      </c>
      <c r="JX4" s="34">
        <f t="shared" ca="1" si="18"/>
        <v>2045</v>
      </c>
      <c r="JY4" s="34">
        <f t="shared" ca="1" si="18"/>
        <v>2045</v>
      </c>
      <c r="JZ4" s="34">
        <f t="shared" ca="1" si="18"/>
        <v>2045</v>
      </c>
      <c r="KA4" s="34">
        <f t="shared" ca="1" si="18"/>
        <v>2045</v>
      </c>
      <c r="KB4" s="34">
        <f t="shared" ca="1" si="18"/>
        <v>2045</v>
      </c>
      <c r="KC4" s="34">
        <f t="shared" ca="1" si="18"/>
        <v>2045</v>
      </c>
      <c r="KD4" s="34">
        <f t="shared" ca="1" si="18"/>
        <v>2045</v>
      </c>
      <c r="KE4" s="34">
        <f t="shared" ref="KE4:MP4" ca="1" si="19">YEAR(KE6)</f>
        <v>2045</v>
      </c>
      <c r="KF4" s="34">
        <f t="shared" ca="1" si="19"/>
        <v>2045</v>
      </c>
      <c r="KG4" s="34">
        <f t="shared" ca="1" si="19"/>
        <v>2045</v>
      </c>
      <c r="KH4" s="34">
        <f t="shared" ca="1" si="19"/>
        <v>2046</v>
      </c>
      <c r="KI4" s="34">
        <f t="shared" ca="1" si="19"/>
        <v>2046</v>
      </c>
      <c r="KJ4" s="34">
        <f t="shared" ca="1" si="19"/>
        <v>2046</v>
      </c>
      <c r="KK4" s="34">
        <f t="shared" ca="1" si="19"/>
        <v>2046</v>
      </c>
      <c r="KL4" s="34">
        <f t="shared" ca="1" si="19"/>
        <v>2046</v>
      </c>
      <c r="KM4" s="34">
        <f t="shared" ca="1" si="19"/>
        <v>2046</v>
      </c>
      <c r="KN4" s="34">
        <f t="shared" ca="1" si="19"/>
        <v>2046</v>
      </c>
      <c r="KO4" s="34">
        <f t="shared" ca="1" si="19"/>
        <v>2046</v>
      </c>
      <c r="KP4" s="34">
        <f t="shared" ca="1" si="19"/>
        <v>2046</v>
      </c>
      <c r="KQ4" s="34">
        <f t="shared" ca="1" si="19"/>
        <v>2046</v>
      </c>
      <c r="KR4" s="34">
        <f t="shared" ca="1" si="19"/>
        <v>2046</v>
      </c>
      <c r="KS4" s="34">
        <f t="shared" ca="1" si="19"/>
        <v>2046</v>
      </c>
      <c r="KT4" s="34">
        <f t="shared" ca="1" si="19"/>
        <v>2047</v>
      </c>
      <c r="KU4" s="34">
        <f t="shared" ca="1" si="19"/>
        <v>2047</v>
      </c>
      <c r="KV4" s="34">
        <f t="shared" ca="1" si="19"/>
        <v>2047</v>
      </c>
      <c r="KW4" s="34">
        <f t="shared" ca="1" si="19"/>
        <v>2047</v>
      </c>
      <c r="KX4" s="34">
        <f t="shared" ca="1" si="19"/>
        <v>2047</v>
      </c>
      <c r="KY4" s="34">
        <f t="shared" ca="1" si="19"/>
        <v>2047</v>
      </c>
      <c r="KZ4" s="34">
        <f t="shared" ca="1" si="19"/>
        <v>2047</v>
      </c>
      <c r="LA4" s="34">
        <f t="shared" ca="1" si="19"/>
        <v>2047</v>
      </c>
      <c r="LB4" s="34">
        <f t="shared" ca="1" si="19"/>
        <v>2047</v>
      </c>
      <c r="LC4" s="34">
        <f t="shared" ca="1" si="19"/>
        <v>2047</v>
      </c>
      <c r="LD4" s="34">
        <f t="shared" ca="1" si="19"/>
        <v>2047</v>
      </c>
      <c r="LE4" s="34">
        <f t="shared" ca="1" si="19"/>
        <v>2047</v>
      </c>
      <c r="LF4" s="34">
        <f t="shared" ca="1" si="19"/>
        <v>2048</v>
      </c>
      <c r="LG4" s="34">
        <f t="shared" ca="1" si="19"/>
        <v>2048</v>
      </c>
      <c r="LH4" s="34">
        <f t="shared" ca="1" si="19"/>
        <v>2048</v>
      </c>
      <c r="LI4" s="34">
        <f t="shared" ca="1" si="19"/>
        <v>2048</v>
      </c>
      <c r="LJ4" s="34">
        <f t="shared" ca="1" si="19"/>
        <v>2048</v>
      </c>
      <c r="LK4" s="34">
        <f t="shared" ca="1" si="19"/>
        <v>2048</v>
      </c>
      <c r="LL4" s="34">
        <f t="shared" ca="1" si="19"/>
        <v>2048</v>
      </c>
      <c r="LM4" s="34">
        <f t="shared" ca="1" si="19"/>
        <v>2048</v>
      </c>
      <c r="LN4" s="34">
        <f t="shared" ca="1" si="19"/>
        <v>2048</v>
      </c>
      <c r="LO4" s="34">
        <f t="shared" ca="1" si="19"/>
        <v>2048</v>
      </c>
      <c r="LP4" s="34">
        <f t="shared" ca="1" si="19"/>
        <v>2048</v>
      </c>
      <c r="LQ4" s="34">
        <f t="shared" ca="1" si="19"/>
        <v>2048</v>
      </c>
      <c r="LR4" s="34">
        <f t="shared" ca="1" si="19"/>
        <v>2049</v>
      </c>
      <c r="LS4" s="34">
        <f t="shared" ca="1" si="19"/>
        <v>2049</v>
      </c>
      <c r="LT4" s="34">
        <f t="shared" ca="1" si="19"/>
        <v>2049</v>
      </c>
      <c r="LU4" s="34">
        <f t="shared" ca="1" si="19"/>
        <v>2049</v>
      </c>
      <c r="LV4" s="34">
        <f t="shared" ca="1" si="19"/>
        <v>2049</v>
      </c>
      <c r="LW4" s="34">
        <f t="shared" ca="1" si="19"/>
        <v>2049</v>
      </c>
      <c r="LX4" s="34">
        <f t="shared" ca="1" si="19"/>
        <v>2049</v>
      </c>
      <c r="LY4" s="34">
        <f t="shared" ca="1" si="19"/>
        <v>2049</v>
      </c>
      <c r="LZ4" s="34">
        <f t="shared" ca="1" si="19"/>
        <v>2049</v>
      </c>
      <c r="MA4" s="34">
        <f t="shared" ca="1" si="19"/>
        <v>2049</v>
      </c>
      <c r="MB4" s="34">
        <f t="shared" ca="1" si="19"/>
        <v>2049</v>
      </c>
      <c r="MC4" s="34">
        <f t="shared" ca="1" si="19"/>
        <v>2049</v>
      </c>
      <c r="MD4" s="34">
        <f t="shared" ca="1" si="19"/>
        <v>2050</v>
      </c>
      <c r="ME4" s="34">
        <f t="shared" ca="1" si="19"/>
        <v>2050</v>
      </c>
      <c r="MF4" s="34">
        <f t="shared" ca="1" si="19"/>
        <v>2050</v>
      </c>
      <c r="MG4" s="34">
        <f t="shared" ca="1" si="19"/>
        <v>2050</v>
      </c>
      <c r="MH4" s="34">
        <f t="shared" ca="1" si="19"/>
        <v>2050</v>
      </c>
      <c r="MI4" s="34">
        <f t="shared" ca="1" si="19"/>
        <v>2050</v>
      </c>
      <c r="MJ4" s="34">
        <f t="shared" ca="1" si="19"/>
        <v>2050</v>
      </c>
      <c r="MK4" s="34">
        <f t="shared" ca="1" si="19"/>
        <v>2050</v>
      </c>
      <c r="ML4" s="34">
        <f t="shared" ca="1" si="19"/>
        <v>2050</v>
      </c>
      <c r="MM4" s="34">
        <f t="shared" ca="1" si="19"/>
        <v>2050</v>
      </c>
      <c r="MN4" s="34">
        <f t="shared" ca="1" si="19"/>
        <v>2050</v>
      </c>
      <c r="MO4" s="34">
        <f t="shared" ca="1" si="19"/>
        <v>2050</v>
      </c>
      <c r="MP4" s="34">
        <f t="shared" ca="1" si="19"/>
        <v>2051</v>
      </c>
      <c r="MQ4" s="34">
        <f t="shared" ref="MQ4:PB4" ca="1" si="20">YEAR(MQ6)</f>
        <v>2051</v>
      </c>
      <c r="MR4" s="34">
        <f t="shared" ca="1" si="20"/>
        <v>2051</v>
      </c>
      <c r="MS4" s="34">
        <f t="shared" ca="1" si="20"/>
        <v>2051</v>
      </c>
      <c r="MT4" s="34">
        <f t="shared" ca="1" si="20"/>
        <v>2051</v>
      </c>
      <c r="MU4" s="34">
        <f t="shared" ca="1" si="20"/>
        <v>2051</v>
      </c>
      <c r="MV4" s="34">
        <f t="shared" ca="1" si="20"/>
        <v>2051</v>
      </c>
      <c r="MW4" s="34">
        <f t="shared" ca="1" si="20"/>
        <v>2051</v>
      </c>
      <c r="MX4" s="34">
        <f t="shared" ca="1" si="20"/>
        <v>2051</v>
      </c>
      <c r="MY4" s="34">
        <f t="shared" ca="1" si="20"/>
        <v>2051</v>
      </c>
      <c r="MZ4" s="34">
        <f t="shared" ca="1" si="20"/>
        <v>2051</v>
      </c>
      <c r="NA4" s="34">
        <f t="shared" ca="1" si="20"/>
        <v>2051</v>
      </c>
      <c r="NB4" s="34">
        <f t="shared" ca="1" si="20"/>
        <v>2052</v>
      </c>
      <c r="NC4" s="34">
        <f t="shared" ca="1" si="20"/>
        <v>2052</v>
      </c>
      <c r="ND4" s="34">
        <f t="shared" ca="1" si="20"/>
        <v>2052</v>
      </c>
      <c r="NE4" s="34">
        <f t="shared" ca="1" si="20"/>
        <v>2052</v>
      </c>
      <c r="NF4" s="34">
        <f t="shared" ca="1" si="20"/>
        <v>2052</v>
      </c>
      <c r="NG4" s="34">
        <f t="shared" ca="1" si="20"/>
        <v>2052</v>
      </c>
      <c r="NH4" s="34">
        <f t="shared" ca="1" si="20"/>
        <v>2052</v>
      </c>
      <c r="NI4" s="34">
        <f t="shared" ca="1" si="20"/>
        <v>2052</v>
      </c>
      <c r="NJ4" s="34">
        <f t="shared" ca="1" si="20"/>
        <v>2052</v>
      </c>
      <c r="NK4" s="34">
        <f t="shared" ca="1" si="20"/>
        <v>2052</v>
      </c>
      <c r="NL4" s="34">
        <f t="shared" ca="1" si="20"/>
        <v>2052</v>
      </c>
      <c r="NM4" s="34">
        <f t="shared" ca="1" si="20"/>
        <v>2052</v>
      </c>
      <c r="NN4" s="34">
        <f t="shared" ca="1" si="20"/>
        <v>2053</v>
      </c>
      <c r="NO4" s="34">
        <f t="shared" ca="1" si="20"/>
        <v>2053</v>
      </c>
      <c r="NP4" s="34">
        <f t="shared" ca="1" si="20"/>
        <v>2053</v>
      </c>
      <c r="NQ4" s="34">
        <f t="shared" ca="1" si="20"/>
        <v>2053</v>
      </c>
      <c r="NR4" s="34">
        <f t="shared" ca="1" si="20"/>
        <v>2053</v>
      </c>
      <c r="NS4" s="34">
        <f t="shared" ca="1" si="20"/>
        <v>2053</v>
      </c>
      <c r="NT4" s="34">
        <f t="shared" ca="1" si="20"/>
        <v>2053</v>
      </c>
      <c r="NU4" s="34">
        <f t="shared" ca="1" si="20"/>
        <v>2053</v>
      </c>
      <c r="NV4" s="34">
        <f t="shared" ca="1" si="20"/>
        <v>2053</v>
      </c>
      <c r="NW4" s="34">
        <f t="shared" ca="1" si="20"/>
        <v>2053</v>
      </c>
      <c r="NX4" s="34">
        <f t="shared" ca="1" si="20"/>
        <v>2053</v>
      </c>
      <c r="NY4" s="34">
        <f t="shared" ca="1" si="20"/>
        <v>2053</v>
      </c>
      <c r="NZ4" s="34">
        <f t="shared" ca="1" si="20"/>
        <v>2054</v>
      </c>
      <c r="OA4" s="34">
        <f t="shared" ca="1" si="20"/>
        <v>2054</v>
      </c>
      <c r="OB4" s="34">
        <f t="shared" ca="1" si="20"/>
        <v>2054</v>
      </c>
      <c r="OC4" s="34">
        <f t="shared" ca="1" si="20"/>
        <v>2054</v>
      </c>
      <c r="OD4" s="34">
        <f t="shared" ca="1" si="20"/>
        <v>2054</v>
      </c>
      <c r="OE4" s="34">
        <f t="shared" ca="1" si="20"/>
        <v>2054</v>
      </c>
      <c r="OF4" s="34">
        <f t="shared" ca="1" si="20"/>
        <v>2054</v>
      </c>
      <c r="OG4" s="34">
        <f t="shared" ca="1" si="20"/>
        <v>2054</v>
      </c>
      <c r="OH4" s="34">
        <f t="shared" ca="1" si="20"/>
        <v>2054</v>
      </c>
      <c r="OI4" s="34">
        <f t="shared" ca="1" si="20"/>
        <v>2054</v>
      </c>
      <c r="OJ4" s="34">
        <f t="shared" ca="1" si="20"/>
        <v>2054</v>
      </c>
      <c r="OK4" s="34">
        <f t="shared" ca="1" si="20"/>
        <v>2054</v>
      </c>
      <c r="OL4" s="34">
        <f t="shared" ca="1" si="20"/>
        <v>2055</v>
      </c>
      <c r="OM4" s="34">
        <f t="shared" ca="1" si="20"/>
        <v>2055</v>
      </c>
      <c r="ON4" s="34">
        <f t="shared" ca="1" si="20"/>
        <v>2055</v>
      </c>
      <c r="OO4" s="34">
        <f t="shared" ca="1" si="20"/>
        <v>2055</v>
      </c>
      <c r="OP4" s="34">
        <f t="shared" ca="1" si="20"/>
        <v>2055</v>
      </c>
      <c r="OQ4" s="34">
        <f t="shared" ca="1" si="20"/>
        <v>2055</v>
      </c>
      <c r="OR4" s="34">
        <f t="shared" ca="1" si="20"/>
        <v>2055</v>
      </c>
      <c r="OS4" s="34">
        <f t="shared" ca="1" si="20"/>
        <v>2055</v>
      </c>
      <c r="OT4" s="34">
        <f t="shared" ca="1" si="20"/>
        <v>2055</v>
      </c>
      <c r="OU4" s="34">
        <f t="shared" ca="1" si="20"/>
        <v>2055</v>
      </c>
      <c r="OV4" s="34">
        <f t="shared" ca="1" si="20"/>
        <v>2055</v>
      </c>
      <c r="OW4" s="34">
        <f t="shared" ca="1" si="20"/>
        <v>2055</v>
      </c>
      <c r="OX4" s="34">
        <f t="shared" ca="1" si="20"/>
        <v>2056</v>
      </c>
      <c r="OY4" s="34">
        <f t="shared" ca="1" si="20"/>
        <v>2056</v>
      </c>
      <c r="OZ4" s="34">
        <f t="shared" ca="1" si="20"/>
        <v>2056</v>
      </c>
      <c r="PA4" s="34">
        <f t="shared" ca="1" si="20"/>
        <v>2056</v>
      </c>
      <c r="PB4" s="34">
        <f t="shared" ca="1" si="20"/>
        <v>2056</v>
      </c>
      <c r="PC4" s="34">
        <f t="shared" ref="PC4:RN4" ca="1" si="21">YEAR(PC6)</f>
        <v>2056</v>
      </c>
      <c r="PD4" s="34">
        <f t="shared" ca="1" si="21"/>
        <v>2056</v>
      </c>
      <c r="PE4" s="34">
        <f t="shared" ca="1" si="21"/>
        <v>2056</v>
      </c>
      <c r="PF4" s="34">
        <f t="shared" ca="1" si="21"/>
        <v>2056</v>
      </c>
      <c r="PG4" s="34">
        <f t="shared" ca="1" si="21"/>
        <v>2056</v>
      </c>
      <c r="PH4" s="34">
        <f t="shared" ca="1" si="21"/>
        <v>2056</v>
      </c>
      <c r="PI4" s="34">
        <f t="shared" ca="1" si="21"/>
        <v>2056</v>
      </c>
      <c r="PJ4" s="34">
        <f t="shared" ca="1" si="21"/>
        <v>2057</v>
      </c>
      <c r="PK4" s="34">
        <f t="shared" ca="1" si="21"/>
        <v>2057</v>
      </c>
      <c r="PL4" s="34">
        <f t="shared" ca="1" si="21"/>
        <v>2057</v>
      </c>
      <c r="PM4" s="34">
        <f t="shared" ca="1" si="21"/>
        <v>2057</v>
      </c>
      <c r="PN4" s="34">
        <f t="shared" ca="1" si="21"/>
        <v>2057</v>
      </c>
      <c r="PO4" s="34">
        <f t="shared" ca="1" si="21"/>
        <v>2057</v>
      </c>
      <c r="PP4" s="34">
        <f t="shared" ca="1" si="21"/>
        <v>2057</v>
      </c>
      <c r="PQ4" s="34">
        <f t="shared" ca="1" si="21"/>
        <v>2057</v>
      </c>
      <c r="PR4" s="34">
        <f t="shared" ca="1" si="21"/>
        <v>2057</v>
      </c>
      <c r="PS4" s="34">
        <f t="shared" ca="1" si="21"/>
        <v>2057</v>
      </c>
      <c r="PT4" s="34">
        <f t="shared" ca="1" si="21"/>
        <v>2057</v>
      </c>
      <c r="PU4" s="34">
        <f t="shared" ca="1" si="21"/>
        <v>2057</v>
      </c>
      <c r="PV4" s="34">
        <f t="shared" ca="1" si="21"/>
        <v>2058</v>
      </c>
      <c r="PW4" s="34">
        <f t="shared" ca="1" si="21"/>
        <v>2058</v>
      </c>
      <c r="PX4" s="34">
        <f t="shared" ca="1" si="21"/>
        <v>2058</v>
      </c>
      <c r="PY4" s="34">
        <f t="shared" ca="1" si="21"/>
        <v>2058</v>
      </c>
      <c r="PZ4" s="34">
        <f t="shared" ca="1" si="21"/>
        <v>2058</v>
      </c>
      <c r="QA4" s="34">
        <f t="shared" ca="1" si="21"/>
        <v>2058</v>
      </c>
      <c r="QB4" s="34">
        <f t="shared" ca="1" si="21"/>
        <v>2058</v>
      </c>
      <c r="QC4" s="34">
        <f t="shared" ca="1" si="21"/>
        <v>2058</v>
      </c>
      <c r="QD4" s="34">
        <f t="shared" ca="1" si="21"/>
        <v>2058</v>
      </c>
      <c r="QE4" s="34">
        <f t="shared" ca="1" si="21"/>
        <v>2058</v>
      </c>
      <c r="QF4" s="34">
        <f t="shared" ca="1" si="21"/>
        <v>2058</v>
      </c>
      <c r="QG4" s="34">
        <f t="shared" ca="1" si="21"/>
        <v>2058</v>
      </c>
      <c r="QH4" s="34">
        <f t="shared" ca="1" si="21"/>
        <v>2059</v>
      </c>
      <c r="QI4" s="34">
        <f t="shared" ca="1" si="21"/>
        <v>2059</v>
      </c>
      <c r="QJ4" s="34">
        <f t="shared" ca="1" si="21"/>
        <v>2059</v>
      </c>
      <c r="QK4" s="34">
        <f t="shared" ca="1" si="21"/>
        <v>2059</v>
      </c>
      <c r="QL4" s="34">
        <f t="shared" ca="1" si="21"/>
        <v>2059</v>
      </c>
      <c r="QM4" s="34">
        <f t="shared" ca="1" si="21"/>
        <v>2059</v>
      </c>
      <c r="QN4" s="34">
        <f t="shared" ca="1" si="21"/>
        <v>2059</v>
      </c>
      <c r="QO4" s="34">
        <f t="shared" ca="1" si="21"/>
        <v>2059</v>
      </c>
      <c r="QP4" s="34">
        <f t="shared" ca="1" si="21"/>
        <v>2059</v>
      </c>
      <c r="QQ4" s="34">
        <f t="shared" ca="1" si="21"/>
        <v>2059</v>
      </c>
      <c r="QR4" s="34">
        <f t="shared" ca="1" si="21"/>
        <v>2059</v>
      </c>
      <c r="QS4" s="34">
        <f t="shared" ca="1" si="21"/>
        <v>2059</v>
      </c>
      <c r="QT4" s="34">
        <f t="shared" ca="1" si="21"/>
        <v>2060</v>
      </c>
      <c r="QU4" s="34">
        <f t="shared" ca="1" si="21"/>
        <v>2060</v>
      </c>
      <c r="QV4" s="34">
        <f t="shared" ca="1" si="21"/>
        <v>2060</v>
      </c>
      <c r="QW4" s="34">
        <f t="shared" ca="1" si="21"/>
        <v>2060</v>
      </c>
      <c r="QX4" s="34">
        <f t="shared" ca="1" si="21"/>
        <v>2060</v>
      </c>
      <c r="QY4" s="34">
        <f t="shared" ca="1" si="21"/>
        <v>2060</v>
      </c>
      <c r="QZ4" s="34">
        <f t="shared" ca="1" si="21"/>
        <v>2060</v>
      </c>
      <c r="RA4" s="34">
        <f t="shared" ca="1" si="21"/>
        <v>2060</v>
      </c>
      <c r="RB4" s="34">
        <f t="shared" ca="1" si="21"/>
        <v>2060</v>
      </c>
      <c r="RC4" s="34">
        <f t="shared" ca="1" si="21"/>
        <v>2060</v>
      </c>
      <c r="RD4" s="34">
        <f t="shared" ca="1" si="21"/>
        <v>2060</v>
      </c>
      <c r="RE4" s="34">
        <f t="shared" ca="1" si="21"/>
        <v>2060</v>
      </c>
      <c r="RF4" s="34">
        <f t="shared" ca="1" si="21"/>
        <v>2061</v>
      </c>
      <c r="RG4" s="34">
        <f t="shared" ca="1" si="21"/>
        <v>2061</v>
      </c>
      <c r="RH4" s="34">
        <f t="shared" ca="1" si="21"/>
        <v>2061</v>
      </c>
      <c r="RI4" s="34">
        <f t="shared" ca="1" si="21"/>
        <v>2061</v>
      </c>
      <c r="RJ4" s="34">
        <f t="shared" ca="1" si="21"/>
        <v>2061</v>
      </c>
      <c r="RK4" s="34">
        <f t="shared" ca="1" si="21"/>
        <v>2061</v>
      </c>
      <c r="RL4" s="34">
        <f t="shared" ca="1" si="21"/>
        <v>2061</v>
      </c>
      <c r="RM4" s="34">
        <f t="shared" ca="1" si="21"/>
        <v>2061</v>
      </c>
      <c r="RN4" s="34">
        <f t="shared" ca="1" si="21"/>
        <v>2061</v>
      </c>
      <c r="RO4" s="34">
        <f t="shared" ref="RO4:TZ4" ca="1" si="22">YEAR(RO6)</f>
        <v>2061</v>
      </c>
      <c r="RP4" s="34">
        <f t="shared" ca="1" si="22"/>
        <v>2061</v>
      </c>
      <c r="RQ4" s="34">
        <f t="shared" ca="1" si="22"/>
        <v>2061</v>
      </c>
      <c r="RR4" s="34">
        <f t="shared" ca="1" si="22"/>
        <v>2062</v>
      </c>
      <c r="RS4" s="34">
        <f t="shared" ca="1" si="22"/>
        <v>2062</v>
      </c>
      <c r="RT4" s="34">
        <f t="shared" ca="1" si="22"/>
        <v>2062</v>
      </c>
      <c r="RU4" s="34">
        <f t="shared" ca="1" si="22"/>
        <v>2062</v>
      </c>
      <c r="RV4" s="34">
        <f t="shared" ca="1" si="22"/>
        <v>2062</v>
      </c>
      <c r="RW4" s="34">
        <f t="shared" ca="1" si="22"/>
        <v>2062</v>
      </c>
      <c r="RX4" s="34">
        <f t="shared" ca="1" si="22"/>
        <v>2062</v>
      </c>
      <c r="RY4" s="34">
        <f t="shared" ca="1" si="22"/>
        <v>2062</v>
      </c>
      <c r="RZ4" s="34">
        <f t="shared" ca="1" si="22"/>
        <v>2062</v>
      </c>
      <c r="SA4" s="34">
        <f t="shared" ca="1" si="22"/>
        <v>2062</v>
      </c>
      <c r="SB4" s="34">
        <f t="shared" ca="1" si="22"/>
        <v>2062</v>
      </c>
      <c r="SC4" s="34">
        <f t="shared" ca="1" si="22"/>
        <v>2062</v>
      </c>
      <c r="SD4" s="34">
        <f t="shared" ca="1" si="22"/>
        <v>2063</v>
      </c>
      <c r="SE4" s="34">
        <f t="shared" ca="1" si="22"/>
        <v>2063</v>
      </c>
      <c r="SF4" s="34">
        <f t="shared" ca="1" si="22"/>
        <v>2063</v>
      </c>
      <c r="SG4" s="34">
        <f t="shared" ca="1" si="22"/>
        <v>2063</v>
      </c>
      <c r="SH4" s="34">
        <f t="shared" ca="1" si="22"/>
        <v>2063</v>
      </c>
      <c r="SI4" s="34">
        <f t="shared" ca="1" si="22"/>
        <v>2063</v>
      </c>
      <c r="SJ4" s="34">
        <f t="shared" ca="1" si="22"/>
        <v>2063</v>
      </c>
      <c r="SK4" s="34">
        <f t="shared" ca="1" si="22"/>
        <v>2063</v>
      </c>
      <c r="SL4" s="34">
        <f t="shared" ca="1" si="22"/>
        <v>2063</v>
      </c>
      <c r="SM4" s="34">
        <f t="shared" ca="1" si="22"/>
        <v>2063</v>
      </c>
      <c r="SN4" s="34">
        <f t="shared" ca="1" si="22"/>
        <v>2063</v>
      </c>
      <c r="SO4" s="34">
        <f t="shared" ca="1" si="22"/>
        <v>2063</v>
      </c>
      <c r="SP4" s="34">
        <f t="shared" ca="1" si="22"/>
        <v>2064</v>
      </c>
      <c r="SQ4" s="34">
        <f t="shared" ca="1" si="22"/>
        <v>2064</v>
      </c>
      <c r="SR4" s="34">
        <f t="shared" ca="1" si="22"/>
        <v>2064</v>
      </c>
      <c r="SS4" s="34">
        <f t="shared" ca="1" si="22"/>
        <v>2064</v>
      </c>
      <c r="ST4" s="34">
        <f t="shared" ca="1" si="22"/>
        <v>2064</v>
      </c>
      <c r="SU4" s="34">
        <f t="shared" ca="1" si="22"/>
        <v>2064</v>
      </c>
      <c r="SV4" s="34">
        <f t="shared" ca="1" si="22"/>
        <v>2064</v>
      </c>
      <c r="SW4" s="34">
        <f t="shared" ca="1" si="22"/>
        <v>2064</v>
      </c>
      <c r="SX4" s="34">
        <f t="shared" ca="1" si="22"/>
        <v>2064</v>
      </c>
      <c r="SY4" s="34">
        <f t="shared" ca="1" si="22"/>
        <v>2064</v>
      </c>
      <c r="SZ4" s="34">
        <f t="shared" ca="1" si="22"/>
        <v>2064</v>
      </c>
      <c r="TA4" s="34">
        <f t="shared" ca="1" si="22"/>
        <v>2064</v>
      </c>
      <c r="TB4" s="34">
        <f t="shared" ca="1" si="22"/>
        <v>2065</v>
      </c>
      <c r="TC4" s="34">
        <f t="shared" ca="1" si="22"/>
        <v>2065</v>
      </c>
      <c r="TD4" s="34">
        <f t="shared" ca="1" si="22"/>
        <v>2065</v>
      </c>
      <c r="TE4" s="34">
        <f t="shared" ca="1" si="22"/>
        <v>2065</v>
      </c>
      <c r="TF4" s="34">
        <f t="shared" ca="1" si="22"/>
        <v>2065</v>
      </c>
      <c r="TG4" s="34">
        <f t="shared" ca="1" si="22"/>
        <v>2065</v>
      </c>
      <c r="TH4" s="34">
        <f t="shared" ca="1" si="22"/>
        <v>2065</v>
      </c>
      <c r="TI4" s="34">
        <f t="shared" ca="1" si="22"/>
        <v>2065</v>
      </c>
      <c r="TJ4" s="34">
        <f t="shared" ca="1" si="22"/>
        <v>2065</v>
      </c>
      <c r="TK4" s="34">
        <f t="shared" ca="1" si="22"/>
        <v>2065</v>
      </c>
      <c r="TL4" s="34">
        <f t="shared" ca="1" si="22"/>
        <v>2065</v>
      </c>
      <c r="TM4" s="34">
        <f t="shared" ca="1" si="22"/>
        <v>2065</v>
      </c>
      <c r="TN4" s="34">
        <f t="shared" ca="1" si="22"/>
        <v>2066</v>
      </c>
      <c r="TO4" s="34">
        <f t="shared" ca="1" si="22"/>
        <v>2066</v>
      </c>
      <c r="TP4" s="34">
        <f t="shared" ca="1" si="22"/>
        <v>2066</v>
      </c>
      <c r="TQ4" s="34">
        <f t="shared" ca="1" si="22"/>
        <v>2066</v>
      </c>
      <c r="TR4" s="34">
        <f t="shared" ca="1" si="22"/>
        <v>2066</v>
      </c>
      <c r="TS4" s="34">
        <f t="shared" ca="1" si="22"/>
        <v>2066</v>
      </c>
      <c r="TT4" s="34">
        <f t="shared" ca="1" si="22"/>
        <v>2066</v>
      </c>
      <c r="TU4" s="34">
        <f t="shared" ca="1" si="22"/>
        <v>2066</v>
      </c>
      <c r="TV4" s="34">
        <f t="shared" ca="1" si="22"/>
        <v>2066</v>
      </c>
      <c r="TW4" s="34">
        <f t="shared" ca="1" si="22"/>
        <v>2066</v>
      </c>
      <c r="TX4" s="34">
        <f t="shared" ca="1" si="22"/>
        <v>2066</v>
      </c>
      <c r="TY4" s="34">
        <f t="shared" ca="1" si="22"/>
        <v>2066</v>
      </c>
      <c r="TZ4" s="34">
        <f t="shared" ca="1" si="22"/>
        <v>2067</v>
      </c>
      <c r="UA4" s="34">
        <f t="shared" ref="UA4:WL4" ca="1" si="23">YEAR(UA6)</f>
        <v>2067</v>
      </c>
      <c r="UB4" s="34">
        <f t="shared" ca="1" si="23"/>
        <v>2067</v>
      </c>
      <c r="UC4" s="34">
        <f t="shared" ca="1" si="23"/>
        <v>2067</v>
      </c>
      <c r="UD4" s="34">
        <f t="shared" ca="1" si="23"/>
        <v>2067</v>
      </c>
      <c r="UE4" s="34">
        <f t="shared" ca="1" si="23"/>
        <v>2067</v>
      </c>
      <c r="UF4" s="34">
        <f t="shared" ca="1" si="23"/>
        <v>2067</v>
      </c>
      <c r="UG4" s="34">
        <f t="shared" ca="1" si="23"/>
        <v>2067</v>
      </c>
      <c r="UH4" s="34">
        <f t="shared" ca="1" si="23"/>
        <v>2067</v>
      </c>
      <c r="UI4" s="34">
        <f t="shared" ca="1" si="23"/>
        <v>2067</v>
      </c>
      <c r="UJ4" s="34">
        <f t="shared" ca="1" si="23"/>
        <v>2067</v>
      </c>
      <c r="UK4" s="34">
        <f t="shared" ca="1" si="23"/>
        <v>2067</v>
      </c>
      <c r="UL4" s="34">
        <f t="shared" ca="1" si="23"/>
        <v>2068</v>
      </c>
      <c r="UM4" s="34">
        <f t="shared" ca="1" si="23"/>
        <v>2068</v>
      </c>
      <c r="UN4" s="34">
        <f t="shared" ca="1" si="23"/>
        <v>2068</v>
      </c>
      <c r="UO4" s="34">
        <f t="shared" ca="1" si="23"/>
        <v>2068</v>
      </c>
      <c r="UP4" s="34">
        <f t="shared" ca="1" si="23"/>
        <v>2068</v>
      </c>
      <c r="UQ4" s="34">
        <f t="shared" ca="1" si="23"/>
        <v>2068</v>
      </c>
      <c r="UR4" s="34">
        <f t="shared" ca="1" si="23"/>
        <v>2068</v>
      </c>
      <c r="US4" s="34">
        <f t="shared" ca="1" si="23"/>
        <v>2068</v>
      </c>
      <c r="UT4" s="34">
        <f t="shared" ca="1" si="23"/>
        <v>2068</v>
      </c>
      <c r="UU4" s="34">
        <f t="shared" ca="1" si="23"/>
        <v>2068</v>
      </c>
      <c r="UV4" s="34">
        <f t="shared" ca="1" si="23"/>
        <v>2068</v>
      </c>
      <c r="UW4" s="34">
        <f t="shared" ca="1" si="23"/>
        <v>2068</v>
      </c>
      <c r="UX4" s="34">
        <f t="shared" ca="1" si="23"/>
        <v>2069</v>
      </c>
      <c r="UY4" s="34">
        <f t="shared" ca="1" si="23"/>
        <v>2069</v>
      </c>
      <c r="UZ4" s="34">
        <f t="shared" ca="1" si="23"/>
        <v>2069</v>
      </c>
      <c r="VA4" s="34">
        <f t="shared" ca="1" si="23"/>
        <v>2069</v>
      </c>
      <c r="VB4" s="34">
        <f t="shared" ca="1" si="23"/>
        <v>2069</v>
      </c>
      <c r="VC4" s="34">
        <f t="shared" ca="1" si="23"/>
        <v>2069</v>
      </c>
      <c r="VD4" s="34">
        <f t="shared" ca="1" si="23"/>
        <v>2069</v>
      </c>
      <c r="VE4" s="34">
        <f t="shared" ca="1" si="23"/>
        <v>2069</v>
      </c>
      <c r="VF4" s="34">
        <f t="shared" ca="1" si="23"/>
        <v>2069</v>
      </c>
      <c r="VG4" s="34">
        <f t="shared" ca="1" si="23"/>
        <v>2069</v>
      </c>
      <c r="VH4" s="34">
        <f t="shared" ca="1" si="23"/>
        <v>2069</v>
      </c>
      <c r="VI4" s="34">
        <f t="shared" ca="1" si="23"/>
        <v>2069</v>
      </c>
      <c r="VJ4" s="34">
        <f t="shared" ca="1" si="23"/>
        <v>2070</v>
      </c>
      <c r="VK4" s="34">
        <f t="shared" ca="1" si="23"/>
        <v>2070</v>
      </c>
      <c r="VL4" s="34">
        <f t="shared" ca="1" si="23"/>
        <v>2070</v>
      </c>
      <c r="VM4" s="34">
        <f t="shared" ca="1" si="23"/>
        <v>2070</v>
      </c>
      <c r="VN4" s="34">
        <f t="shared" ca="1" si="23"/>
        <v>2070</v>
      </c>
      <c r="VO4" s="34">
        <f t="shared" ca="1" si="23"/>
        <v>2070</v>
      </c>
      <c r="VP4" s="34">
        <f t="shared" ca="1" si="23"/>
        <v>2070</v>
      </c>
      <c r="VQ4" s="34">
        <f t="shared" ca="1" si="23"/>
        <v>2070</v>
      </c>
      <c r="VR4" s="34">
        <f t="shared" ca="1" si="23"/>
        <v>2070</v>
      </c>
      <c r="VS4" s="34">
        <f t="shared" ca="1" si="23"/>
        <v>2070</v>
      </c>
      <c r="VT4" s="34">
        <f t="shared" ca="1" si="23"/>
        <v>2070</v>
      </c>
      <c r="VU4" s="34">
        <f t="shared" ca="1" si="23"/>
        <v>2070</v>
      </c>
      <c r="VV4" s="34">
        <f t="shared" ca="1" si="23"/>
        <v>2071</v>
      </c>
      <c r="VW4" s="34">
        <f t="shared" ca="1" si="23"/>
        <v>2071</v>
      </c>
      <c r="VX4" s="34">
        <f t="shared" ca="1" si="23"/>
        <v>2071</v>
      </c>
      <c r="VY4" s="34">
        <f t="shared" ca="1" si="23"/>
        <v>2071</v>
      </c>
      <c r="VZ4" s="34">
        <f t="shared" ca="1" si="23"/>
        <v>2071</v>
      </c>
      <c r="WA4" s="34">
        <f t="shared" ca="1" si="23"/>
        <v>2071</v>
      </c>
      <c r="WB4" s="34">
        <f t="shared" ca="1" si="23"/>
        <v>2071</v>
      </c>
      <c r="WC4" s="34">
        <f t="shared" ca="1" si="23"/>
        <v>2071</v>
      </c>
      <c r="WD4" s="34">
        <f t="shared" ca="1" si="23"/>
        <v>2071</v>
      </c>
      <c r="WE4" s="34">
        <f t="shared" ca="1" si="23"/>
        <v>2071</v>
      </c>
      <c r="WF4" s="34">
        <f t="shared" ca="1" si="23"/>
        <v>2071</v>
      </c>
      <c r="WG4" s="34">
        <f t="shared" ca="1" si="23"/>
        <v>2071</v>
      </c>
      <c r="WH4" s="34">
        <f t="shared" ca="1" si="23"/>
        <v>2072</v>
      </c>
      <c r="WI4" s="34">
        <f t="shared" ca="1" si="23"/>
        <v>2072</v>
      </c>
      <c r="WJ4" s="34">
        <f t="shared" ca="1" si="23"/>
        <v>2072</v>
      </c>
      <c r="WK4" s="34">
        <f t="shared" ca="1" si="23"/>
        <v>2072</v>
      </c>
      <c r="WL4" s="34">
        <f t="shared" ca="1" si="23"/>
        <v>2072</v>
      </c>
      <c r="WM4" s="34">
        <f t="shared" ref="WM4:YX4" ca="1" si="24">YEAR(WM6)</f>
        <v>2072</v>
      </c>
      <c r="WN4" s="34">
        <f t="shared" ca="1" si="24"/>
        <v>2072</v>
      </c>
      <c r="WO4" s="34">
        <f t="shared" ca="1" si="24"/>
        <v>2072</v>
      </c>
      <c r="WP4" s="34">
        <f t="shared" ca="1" si="24"/>
        <v>2072</v>
      </c>
      <c r="WQ4" s="34">
        <f t="shared" ca="1" si="24"/>
        <v>2072</v>
      </c>
      <c r="WR4" s="34">
        <f t="shared" ca="1" si="24"/>
        <v>2072</v>
      </c>
      <c r="WS4" s="34">
        <f t="shared" ca="1" si="24"/>
        <v>2072</v>
      </c>
      <c r="WT4" s="34">
        <f t="shared" ca="1" si="24"/>
        <v>2073</v>
      </c>
      <c r="WU4" s="34">
        <f t="shared" ca="1" si="24"/>
        <v>2073</v>
      </c>
      <c r="WV4" s="34">
        <f t="shared" ca="1" si="24"/>
        <v>2073</v>
      </c>
      <c r="WW4" s="34">
        <f t="shared" ca="1" si="24"/>
        <v>2073</v>
      </c>
      <c r="WX4" s="34">
        <f t="shared" ca="1" si="24"/>
        <v>2073</v>
      </c>
      <c r="WY4" s="34">
        <f t="shared" ca="1" si="24"/>
        <v>2073</v>
      </c>
      <c r="WZ4" s="34">
        <f t="shared" ca="1" si="24"/>
        <v>2073</v>
      </c>
      <c r="XA4" s="34">
        <f t="shared" ca="1" si="24"/>
        <v>2073</v>
      </c>
      <c r="XB4" s="34">
        <f t="shared" ca="1" si="24"/>
        <v>2073</v>
      </c>
      <c r="XC4" s="34">
        <f t="shared" ca="1" si="24"/>
        <v>2073</v>
      </c>
      <c r="XD4" s="34">
        <f t="shared" ca="1" si="24"/>
        <v>2073</v>
      </c>
      <c r="XE4" s="34">
        <f t="shared" ca="1" si="24"/>
        <v>2073</v>
      </c>
      <c r="XF4" s="34">
        <f t="shared" ca="1" si="24"/>
        <v>2074</v>
      </c>
      <c r="XG4" s="34">
        <f t="shared" ca="1" si="24"/>
        <v>2074</v>
      </c>
      <c r="XH4" s="34">
        <f t="shared" ca="1" si="24"/>
        <v>2074</v>
      </c>
      <c r="XI4" s="34">
        <f t="shared" ca="1" si="24"/>
        <v>2074</v>
      </c>
      <c r="XJ4" s="34">
        <f t="shared" ca="1" si="24"/>
        <v>2074</v>
      </c>
      <c r="XK4" s="34">
        <f t="shared" ca="1" si="24"/>
        <v>2074</v>
      </c>
      <c r="XL4" s="34">
        <f t="shared" ca="1" si="24"/>
        <v>2074</v>
      </c>
      <c r="XM4" s="34">
        <f t="shared" ca="1" si="24"/>
        <v>2074</v>
      </c>
      <c r="XN4" s="34">
        <f t="shared" ca="1" si="24"/>
        <v>2074</v>
      </c>
      <c r="XO4" s="34">
        <f t="shared" ca="1" si="24"/>
        <v>2074</v>
      </c>
      <c r="XP4" s="34">
        <f t="shared" ca="1" si="24"/>
        <v>2074</v>
      </c>
      <c r="XQ4" s="34">
        <f t="shared" ca="1" si="24"/>
        <v>2074</v>
      </c>
      <c r="XR4" s="34">
        <f t="shared" ca="1" si="24"/>
        <v>2075</v>
      </c>
      <c r="XS4" s="34">
        <f t="shared" ca="1" si="24"/>
        <v>2075</v>
      </c>
      <c r="XT4" s="34">
        <f t="shared" ca="1" si="24"/>
        <v>2075</v>
      </c>
      <c r="XU4" s="34">
        <f t="shared" ca="1" si="24"/>
        <v>2075</v>
      </c>
      <c r="XV4" s="34">
        <f t="shared" ca="1" si="24"/>
        <v>2075</v>
      </c>
      <c r="XW4" s="34">
        <f t="shared" ca="1" si="24"/>
        <v>2075</v>
      </c>
      <c r="XX4" s="34">
        <f t="shared" ca="1" si="24"/>
        <v>2075</v>
      </c>
      <c r="XY4" s="34">
        <f t="shared" ca="1" si="24"/>
        <v>2075</v>
      </c>
      <c r="XZ4" s="34">
        <f t="shared" ca="1" si="24"/>
        <v>2075</v>
      </c>
      <c r="YA4" s="34">
        <f t="shared" ca="1" si="24"/>
        <v>2075</v>
      </c>
      <c r="YB4" s="34">
        <f t="shared" ca="1" si="24"/>
        <v>2075</v>
      </c>
      <c r="YC4" s="34">
        <f t="shared" ca="1" si="24"/>
        <v>2075</v>
      </c>
      <c r="YD4" s="34">
        <f t="shared" ca="1" si="24"/>
        <v>2076</v>
      </c>
      <c r="YE4" s="34">
        <f t="shared" ca="1" si="24"/>
        <v>2076</v>
      </c>
      <c r="YF4" s="34">
        <f t="shared" ca="1" si="24"/>
        <v>2076</v>
      </c>
      <c r="YG4" s="34">
        <f t="shared" ca="1" si="24"/>
        <v>2076</v>
      </c>
      <c r="YH4" s="34">
        <f t="shared" ca="1" si="24"/>
        <v>2076</v>
      </c>
      <c r="YI4" s="34">
        <f t="shared" ca="1" si="24"/>
        <v>2076</v>
      </c>
      <c r="YJ4" s="34">
        <f t="shared" ca="1" si="24"/>
        <v>2076</v>
      </c>
      <c r="YK4" s="34">
        <f t="shared" ca="1" si="24"/>
        <v>2076</v>
      </c>
      <c r="YL4" s="34">
        <f t="shared" ca="1" si="24"/>
        <v>2076</v>
      </c>
      <c r="YM4" s="34">
        <f t="shared" ca="1" si="24"/>
        <v>2076</v>
      </c>
      <c r="YN4" s="34">
        <f t="shared" ca="1" si="24"/>
        <v>2076</v>
      </c>
      <c r="YO4" s="34">
        <f t="shared" ca="1" si="24"/>
        <v>2076</v>
      </c>
      <c r="YP4" s="34">
        <f t="shared" ca="1" si="24"/>
        <v>2077</v>
      </c>
      <c r="YQ4" s="34">
        <f t="shared" ca="1" si="24"/>
        <v>2077</v>
      </c>
      <c r="YR4" s="34">
        <f t="shared" ca="1" si="24"/>
        <v>2077</v>
      </c>
      <c r="YS4" s="34">
        <f t="shared" ca="1" si="24"/>
        <v>2077</v>
      </c>
      <c r="YT4" s="34">
        <f t="shared" ca="1" si="24"/>
        <v>2077</v>
      </c>
      <c r="YU4" s="34">
        <f t="shared" ca="1" si="24"/>
        <v>2077</v>
      </c>
      <c r="YV4" s="34">
        <f t="shared" ca="1" si="24"/>
        <v>2077</v>
      </c>
      <c r="YW4" s="34">
        <f t="shared" ca="1" si="24"/>
        <v>2077</v>
      </c>
      <c r="YX4" s="34">
        <f t="shared" ca="1" si="24"/>
        <v>2077</v>
      </c>
      <c r="YY4" s="34">
        <f t="shared" ref="YY4:ABJ4" ca="1" si="25">YEAR(YY6)</f>
        <v>2077</v>
      </c>
      <c r="YZ4" s="34">
        <f t="shared" ca="1" si="25"/>
        <v>2077</v>
      </c>
      <c r="ZA4" s="34">
        <f t="shared" ca="1" si="25"/>
        <v>2077</v>
      </c>
      <c r="ZB4" s="34">
        <f t="shared" ca="1" si="25"/>
        <v>2078</v>
      </c>
      <c r="ZC4" s="34">
        <f t="shared" ca="1" si="25"/>
        <v>2078</v>
      </c>
      <c r="ZD4" s="34">
        <f t="shared" ca="1" si="25"/>
        <v>2078</v>
      </c>
      <c r="ZE4" s="34">
        <f t="shared" ca="1" si="25"/>
        <v>2078</v>
      </c>
      <c r="ZF4" s="34">
        <f t="shared" ca="1" si="25"/>
        <v>2078</v>
      </c>
      <c r="ZG4" s="34">
        <f t="shared" ca="1" si="25"/>
        <v>2078</v>
      </c>
      <c r="ZH4" s="34">
        <f t="shared" ca="1" si="25"/>
        <v>2078</v>
      </c>
      <c r="ZI4" s="34">
        <f t="shared" ca="1" si="25"/>
        <v>2078</v>
      </c>
      <c r="ZJ4" s="34">
        <f t="shared" ca="1" si="25"/>
        <v>2078</v>
      </c>
      <c r="ZK4" s="34">
        <f t="shared" ca="1" si="25"/>
        <v>2078</v>
      </c>
      <c r="ZL4" s="34">
        <f t="shared" ca="1" si="25"/>
        <v>2078</v>
      </c>
      <c r="ZM4" s="34">
        <f t="shared" ca="1" si="25"/>
        <v>2078</v>
      </c>
      <c r="ZN4" s="34">
        <f t="shared" ca="1" si="25"/>
        <v>2079</v>
      </c>
      <c r="ZO4" s="34">
        <f t="shared" ca="1" si="25"/>
        <v>2079</v>
      </c>
      <c r="ZP4" s="34">
        <f t="shared" ca="1" si="25"/>
        <v>2079</v>
      </c>
      <c r="ZQ4" s="34">
        <f t="shared" ca="1" si="25"/>
        <v>2079</v>
      </c>
      <c r="ZR4" s="34">
        <f t="shared" ca="1" si="25"/>
        <v>2079</v>
      </c>
      <c r="ZS4" s="34">
        <f t="shared" ca="1" si="25"/>
        <v>2079</v>
      </c>
      <c r="ZT4" s="34">
        <f t="shared" ca="1" si="25"/>
        <v>2079</v>
      </c>
      <c r="ZU4" s="34">
        <f t="shared" ca="1" si="25"/>
        <v>2079</v>
      </c>
      <c r="ZV4" s="34">
        <f t="shared" ca="1" si="25"/>
        <v>2079</v>
      </c>
      <c r="ZW4" s="34">
        <f t="shared" ca="1" si="25"/>
        <v>2079</v>
      </c>
      <c r="ZX4" s="34">
        <f t="shared" ca="1" si="25"/>
        <v>2079</v>
      </c>
      <c r="ZY4" s="34">
        <f t="shared" ca="1" si="25"/>
        <v>2079</v>
      </c>
      <c r="ZZ4" s="34">
        <f t="shared" ca="1" si="25"/>
        <v>2080</v>
      </c>
      <c r="AAA4" s="34">
        <f t="shared" ca="1" si="25"/>
        <v>2080</v>
      </c>
      <c r="AAB4" s="34">
        <f t="shared" ca="1" si="25"/>
        <v>2080</v>
      </c>
      <c r="AAC4" s="34">
        <f t="shared" ca="1" si="25"/>
        <v>2080</v>
      </c>
      <c r="AAD4" s="34">
        <f t="shared" ca="1" si="25"/>
        <v>2080</v>
      </c>
      <c r="AAE4" s="34">
        <f t="shared" ca="1" si="25"/>
        <v>2080</v>
      </c>
      <c r="AAF4" s="34">
        <f t="shared" ca="1" si="25"/>
        <v>2080</v>
      </c>
      <c r="AAG4" s="34">
        <f t="shared" ca="1" si="25"/>
        <v>2080</v>
      </c>
      <c r="AAH4" s="34">
        <f t="shared" ca="1" si="25"/>
        <v>2080</v>
      </c>
      <c r="AAI4" s="34">
        <f t="shared" ca="1" si="25"/>
        <v>2080</v>
      </c>
      <c r="AAJ4" s="34">
        <f t="shared" ca="1" si="25"/>
        <v>2080</v>
      </c>
      <c r="AAK4" s="34">
        <f t="shared" ca="1" si="25"/>
        <v>2080</v>
      </c>
      <c r="AAL4" s="34">
        <f t="shared" ca="1" si="25"/>
        <v>2081</v>
      </c>
      <c r="AAM4" s="34">
        <f t="shared" ca="1" si="25"/>
        <v>2081</v>
      </c>
      <c r="AAN4" s="34">
        <f t="shared" ca="1" si="25"/>
        <v>2081</v>
      </c>
      <c r="AAO4" s="34">
        <f t="shared" ca="1" si="25"/>
        <v>2081</v>
      </c>
      <c r="AAP4" s="34">
        <f t="shared" ca="1" si="25"/>
        <v>2081</v>
      </c>
      <c r="AAQ4" s="34">
        <f t="shared" ca="1" si="25"/>
        <v>2081</v>
      </c>
      <c r="AAR4" s="34">
        <f t="shared" ca="1" si="25"/>
        <v>2081</v>
      </c>
      <c r="AAS4" s="34">
        <f t="shared" ca="1" si="25"/>
        <v>2081</v>
      </c>
      <c r="AAT4" s="34">
        <f t="shared" ca="1" si="25"/>
        <v>2081</v>
      </c>
      <c r="AAU4" s="34">
        <f t="shared" ca="1" si="25"/>
        <v>2081</v>
      </c>
      <c r="AAV4" s="34">
        <f t="shared" ca="1" si="25"/>
        <v>2081</v>
      </c>
      <c r="AAW4" s="34">
        <f t="shared" ca="1" si="25"/>
        <v>2081</v>
      </c>
      <c r="AAX4" s="34">
        <f t="shared" ca="1" si="25"/>
        <v>2082</v>
      </c>
      <c r="AAY4" s="34">
        <f t="shared" ca="1" si="25"/>
        <v>2082</v>
      </c>
      <c r="AAZ4" s="34">
        <f t="shared" ca="1" si="25"/>
        <v>2082</v>
      </c>
      <c r="ABA4" s="34">
        <f t="shared" ca="1" si="25"/>
        <v>2082</v>
      </c>
      <c r="ABB4" s="34">
        <f t="shared" ca="1" si="25"/>
        <v>2082</v>
      </c>
      <c r="ABC4" s="34">
        <f t="shared" ca="1" si="25"/>
        <v>2082</v>
      </c>
      <c r="ABD4" s="34">
        <f t="shared" ca="1" si="25"/>
        <v>2082</v>
      </c>
      <c r="ABE4" s="34">
        <f t="shared" ca="1" si="25"/>
        <v>2082</v>
      </c>
      <c r="ABF4" s="34">
        <f t="shared" ca="1" si="25"/>
        <v>2082</v>
      </c>
      <c r="ABG4" s="34">
        <f t="shared" ca="1" si="25"/>
        <v>2082</v>
      </c>
      <c r="ABH4" s="34">
        <f t="shared" ca="1" si="25"/>
        <v>2082</v>
      </c>
      <c r="ABI4" s="34">
        <f t="shared" ca="1" si="25"/>
        <v>2082</v>
      </c>
      <c r="ABJ4" s="34">
        <f t="shared" ca="1" si="25"/>
        <v>2083</v>
      </c>
      <c r="ABK4" s="34">
        <f t="shared" ref="ABK4:ADV4" ca="1" si="26">YEAR(ABK6)</f>
        <v>2083</v>
      </c>
      <c r="ABL4" s="34">
        <f t="shared" ca="1" si="26"/>
        <v>2083</v>
      </c>
      <c r="ABM4" s="34">
        <f t="shared" ca="1" si="26"/>
        <v>2083</v>
      </c>
      <c r="ABN4" s="34">
        <f t="shared" ca="1" si="26"/>
        <v>2083</v>
      </c>
      <c r="ABO4" s="34">
        <f t="shared" ca="1" si="26"/>
        <v>2083</v>
      </c>
      <c r="ABP4" s="34">
        <f t="shared" ca="1" si="26"/>
        <v>2083</v>
      </c>
      <c r="ABQ4" s="34">
        <f t="shared" ca="1" si="26"/>
        <v>2083</v>
      </c>
      <c r="ABR4" s="34">
        <f t="shared" ca="1" si="26"/>
        <v>2083</v>
      </c>
      <c r="ABS4" s="34">
        <f t="shared" ca="1" si="26"/>
        <v>2083</v>
      </c>
      <c r="ABT4" s="34">
        <f t="shared" ca="1" si="26"/>
        <v>2083</v>
      </c>
      <c r="ABU4" s="34">
        <f t="shared" ca="1" si="26"/>
        <v>2083</v>
      </c>
      <c r="ABV4" s="34">
        <f t="shared" ca="1" si="26"/>
        <v>2084</v>
      </c>
      <c r="ABW4" s="34">
        <f t="shared" ca="1" si="26"/>
        <v>2084</v>
      </c>
      <c r="ABX4" s="34">
        <f t="shared" ca="1" si="26"/>
        <v>2084</v>
      </c>
      <c r="ABY4" s="34">
        <f t="shared" ca="1" si="26"/>
        <v>2084</v>
      </c>
      <c r="ABZ4" s="34">
        <f t="shared" ca="1" si="26"/>
        <v>2084</v>
      </c>
      <c r="ACA4" s="34">
        <f t="shared" ca="1" si="26"/>
        <v>2084</v>
      </c>
      <c r="ACB4" s="34">
        <f t="shared" ca="1" si="26"/>
        <v>2084</v>
      </c>
      <c r="ACC4" s="34">
        <f t="shared" ca="1" si="26"/>
        <v>2084</v>
      </c>
      <c r="ACD4" s="34">
        <f t="shared" ca="1" si="26"/>
        <v>2084</v>
      </c>
      <c r="ACE4" s="34">
        <f t="shared" ca="1" si="26"/>
        <v>2084</v>
      </c>
      <c r="ACF4" s="34">
        <f t="shared" ca="1" si="26"/>
        <v>2084</v>
      </c>
      <c r="ACG4" s="34">
        <f t="shared" ca="1" si="26"/>
        <v>2084</v>
      </c>
      <c r="ACH4" s="34">
        <f t="shared" ca="1" si="26"/>
        <v>2085</v>
      </c>
      <c r="ACI4" s="34">
        <f t="shared" ca="1" si="26"/>
        <v>2085</v>
      </c>
      <c r="ACJ4" s="34">
        <f t="shared" ca="1" si="26"/>
        <v>2085</v>
      </c>
      <c r="ACK4" s="34">
        <f t="shared" ca="1" si="26"/>
        <v>2085</v>
      </c>
      <c r="ACL4" s="34">
        <f t="shared" ca="1" si="26"/>
        <v>2085</v>
      </c>
      <c r="ACM4" s="34">
        <f t="shared" ca="1" si="26"/>
        <v>2085</v>
      </c>
      <c r="ACN4" s="34">
        <f t="shared" ca="1" si="26"/>
        <v>2085</v>
      </c>
      <c r="ACO4" s="34">
        <f t="shared" ca="1" si="26"/>
        <v>2085</v>
      </c>
      <c r="ACP4" s="34">
        <f t="shared" ca="1" si="26"/>
        <v>2085</v>
      </c>
      <c r="ACQ4" s="34">
        <f t="shared" ca="1" si="26"/>
        <v>2085</v>
      </c>
      <c r="ACR4" s="34">
        <f t="shared" ca="1" si="26"/>
        <v>2085</v>
      </c>
      <c r="ACS4" s="34">
        <f t="shared" ca="1" si="26"/>
        <v>2085</v>
      </c>
      <c r="ACT4" s="34">
        <f t="shared" ca="1" si="26"/>
        <v>2086</v>
      </c>
      <c r="ACU4" s="34">
        <f t="shared" ca="1" si="26"/>
        <v>2086</v>
      </c>
      <c r="ACV4" s="34">
        <f t="shared" ca="1" si="26"/>
        <v>2086</v>
      </c>
      <c r="ACW4" s="34">
        <f t="shared" ca="1" si="26"/>
        <v>2086</v>
      </c>
      <c r="ACX4" s="34">
        <f t="shared" ca="1" si="26"/>
        <v>2086</v>
      </c>
      <c r="ACY4" s="34">
        <f t="shared" ca="1" si="26"/>
        <v>2086</v>
      </c>
      <c r="ACZ4" s="34">
        <f t="shared" ca="1" si="26"/>
        <v>2086</v>
      </c>
      <c r="ADA4" s="34">
        <f t="shared" ca="1" si="26"/>
        <v>2086</v>
      </c>
      <c r="ADB4" s="34">
        <f t="shared" ca="1" si="26"/>
        <v>2086</v>
      </c>
      <c r="ADC4" s="34">
        <f t="shared" ca="1" si="26"/>
        <v>2086</v>
      </c>
      <c r="ADD4" s="34">
        <f t="shared" ca="1" si="26"/>
        <v>2086</v>
      </c>
      <c r="ADE4" s="34">
        <f t="shared" ca="1" si="26"/>
        <v>2086</v>
      </c>
      <c r="ADF4" s="34">
        <f t="shared" ca="1" si="26"/>
        <v>2087</v>
      </c>
      <c r="ADG4" s="34">
        <f t="shared" ca="1" si="26"/>
        <v>2087</v>
      </c>
      <c r="ADH4" s="34">
        <f t="shared" ca="1" si="26"/>
        <v>2087</v>
      </c>
      <c r="ADI4" s="34">
        <f t="shared" ca="1" si="26"/>
        <v>2087</v>
      </c>
      <c r="ADJ4" s="34">
        <f t="shared" ca="1" si="26"/>
        <v>2087</v>
      </c>
      <c r="ADK4" s="34">
        <f t="shared" ca="1" si="26"/>
        <v>2087</v>
      </c>
      <c r="ADL4" s="34">
        <f t="shared" ca="1" si="26"/>
        <v>2087</v>
      </c>
      <c r="ADM4" s="34">
        <f t="shared" ca="1" si="26"/>
        <v>2087</v>
      </c>
      <c r="ADN4" s="34">
        <f t="shared" ca="1" si="26"/>
        <v>2087</v>
      </c>
      <c r="ADO4" s="34">
        <f t="shared" ca="1" si="26"/>
        <v>2087</v>
      </c>
      <c r="ADP4" s="34">
        <f t="shared" ca="1" si="26"/>
        <v>2087</v>
      </c>
      <c r="ADQ4" s="34">
        <f t="shared" ca="1" si="26"/>
        <v>2087</v>
      </c>
      <c r="ADR4" s="34">
        <f t="shared" ca="1" si="26"/>
        <v>2088</v>
      </c>
      <c r="ADS4" s="34">
        <f t="shared" ca="1" si="26"/>
        <v>2088</v>
      </c>
      <c r="ADT4" s="34">
        <f t="shared" ca="1" si="26"/>
        <v>2088</v>
      </c>
      <c r="ADU4" s="34">
        <f t="shared" ca="1" si="26"/>
        <v>2088</v>
      </c>
      <c r="ADV4" s="34">
        <f t="shared" ca="1" si="26"/>
        <v>2088</v>
      </c>
      <c r="ADW4" s="34">
        <f t="shared" ref="ADW4:AGH4" ca="1" si="27">YEAR(ADW6)</f>
        <v>2088</v>
      </c>
      <c r="ADX4" s="34">
        <f t="shared" ca="1" si="27"/>
        <v>2088</v>
      </c>
      <c r="ADY4" s="34">
        <f t="shared" ca="1" si="27"/>
        <v>2088</v>
      </c>
      <c r="ADZ4" s="34">
        <f t="shared" ca="1" si="27"/>
        <v>2088</v>
      </c>
      <c r="AEA4" s="34">
        <f t="shared" ca="1" si="27"/>
        <v>2088</v>
      </c>
      <c r="AEB4" s="34">
        <f t="shared" ca="1" si="27"/>
        <v>2088</v>
      </c>
      <c r="AEC4" s="34">
        <f t="shared" ca="1" si="27"/>
        <v>2088</v>
      </c>
      <c r="AED4" s="34">
        <f t="shared" ca="1" si="27"/>
        <v>2089</v>
      </c>
      <c r="AEE4" s="34">
        <f t="shared" ca="1" si="27"/>
        <v>2089</v>
      </c>
      <c r="AEF4" s="34">
        <f t="shared" ca="1" si="27"/>
        <v>2089</v>
      </c>
      <c r="AEG4" s="34">
        <f t="shared" ca="1" si="27"/>
        <v>2089</v>
      </c>
      <c r="AEH4" s="34">
        <f t="shared" ca="1" si="27"/>
        <v>2089</v>
      </c>
      <c r="AEI4" s="34">
        <f t="shared" ca="1" si="27"/>
        <v>2089</v>
      </c>
      <c r="AEJ4" s="34">
        <f t="shared" ca="1" si="27"/>
        <v>2089</v>
      </c>
      <c r="AEK4" s="34">
        <f t="shared" ca="1" si="27"/>
        <v>2089</v>
      </c>
      <c r="AEL4" s="34">
        <f t="shared" ca="1" si="27"/>
        <v>2089</v>
      </c>
      <c r="AEM4" s="34">
        <f t="shared" ca="1" si="27"/>
        <v>2089</v>
      </c>
      <c r="AEN4" s="34">
        <f t="shared" ca="1" si="27"/>
        <v>2089</v>
      </c>
      <c r="AEO4" s="34">
        <f t="shared" ca="1" si="27"/>
        <v>2089</v>
      </c>
      <c r="AEP4" s="34">
        <f t="shared" ca="1" si="27"/>
        <v>2090</v>
      </c>
      <c r="AEQ4" s="34">
        <f t="shared" ca="1" si="27"/>
        <v>2090</v>
      </c>
      <c r="AER4" s="34">
        <f t="shared" ca="1" si="27"/>
        <v>2090</v>
      </c>
      <c r="AES4" s="34">
        <f t="shared" ca="1" si="27"/>
        <v>2090</v>
      </c>
      <c r="AET4" s="34">
        <f t="shared" ca="1" si="27"/>
        <v>2090</v>
      </c>
      <c r="AEU4" s="34">
        <f t="shared" ca="1" si="27"/>
        <v>2090</v>
      </c>
      <c r="AEV4" s="34">
        <f t="shared" ca="1" si="27"/>
        <v>2090</v>
      </c>
      <c r="AEW4" s="34">
        <f t="shared" ca="1" si="27"/>
        <v>2090</v>
      </c>
      <c r="AEX4" s="34">
        <f t="shared" ca="1" si="27"/>
        <v>2090</v>
      </c>
      <c r="AEY4" s="34">
        <f t="shared" ca="1" si="27"/>
        <v>2090</v>
      </c>
      <c r="AEZ4" s="34">
        <f t="shared" ca="1" si="27"/>
        <v>2090</v>
      </c>
      <c r="AFA4" s="34">
        <f t="shared" ca="1" si="27"/>
        <v>2090</v>
      </c>
      <c r="AFB4" s="34">
        <f t="shared" ca="1" si="27"/>
        <v>2091</v>
      </c>
      <c r="AFC4" s="34">
        <f t="shared" ca="1" si="27"/>
        <v>2091</v>
      </c>
      <c r="AFD4" s="34">
        <f t="shared" ca="1" si="27"/>
        <v>2091</v>
      </c>
      <c r="AFE4" s="34">
        <f t="shared" ca="1" si="27"/>
        <v>2091</v>
      </c>
      <c r="AFF4" s="34">
        <f t="shared" ca="1" si="27"/>
        <v>2091</v>
      </c>
      <c r="AFG4" s="34">
        <f t="shared" ca="1" si="27"/>
        <v>2091</v>
      </c>
      <c r="AFH4" s="34">
        <f t="shared" ca="1" si="27"/>
        <v>2091</v>
      </c>
      <c r="AFI4" s="34">
        <f t="shared" ca="1" si="27"/>
        <v>2091</v>
      </c>
      <c r="AFJ4" s="34">
        <f t="shared" ca="1" si="27"/>
        <v>2091</v>
      </c>
      <c r="AFK4" s="34">
        <f t="shared" ca="1" si="27"/>
        <v>2091</v>
      </c>
      <c r="AFL4" s="34">
        <f t="shared" ca="1" si="27"/>
        <v>2091</v>
      </c>
      <c r="AFM4" s="34">
        <f t="shared" ca="1" si="27"/>
        <v>2091</v>
      </c>
      <c r="AFN4" s="34">
        <f t="shared" ca="1" si="27"/>
        <v>2092</v>
      </c>
      <c r="AFO4" s="34">
        <f t="shared" ca="1" si="27"/>
        <v>2092</v>
      </c>
      <c r="AFP4" s="34">
        <f t="shared" ca="1" si="27"/>
        <v>2092</v>
      </c>
      <c r="AFQ4" s="34">
        <f t="shared" ca="1" si="27"/>
        <v>2092</v>
      </c>
      <c r="AFR4" s="34">
        <f t="shared" ca="1" si="27"/>
        <v>2092</v>
      </c>
      <c r="AFS4" s="34">
        <f t="shared" ca="1" si="27"/>
        <v>2092</v>
      </c>
      <c r="AFT4" s="34">
        <f t="shared" ca="1" si="27"/>
        <v>2092</v>
      </c>
      <c r="AFU4" s="34">
        <f t="shared" ca="1" si="27"/>
        <v>2092</v>
      </c>
      <c r="AFV4" s="34">
        <f t="shared" ca="1" si="27"/>
        <v>2092</v>
      </c>
      <c r="AFW4" s="34">
        <f t="shared" ca="1" si="27"/>
        <v>2092</v>
      </c>
      <c r="AFX4" s="34">
        <f t="shared" ca="1" si="27"/>
        <v>2092</v>
      </c>
      <c r="AFY4" s="34">
        <f t="shared" ca="1" si="27"/>
        <v>2092</v>
      </c>
      <c r="AFZ4" s="34">
        <f t="shared" ca="1" si="27"/>
        <v>2093</v>
      </c>
      <c r="AGA4" s="34">
        <f t="shared" ca="1" si="27"/>
        <v>2093</v>
      </c>
      <c r="AGB4" s="34">
        <f t="shared" ca="1" si="27"/>
        <v>2093</v>
      </c>
      <c r="AGC4" s="34">
        <f t="shared" ca="1" si="27"/>
        <v>2093</v>
      </c>
      <c r="AGD4" s="34">
        <f t="shared" ca="1" si="27"/>
        <v>2093</v>
      </c>
      <c r="AGE4" s="34">
        <f t="shared" ca="1" si="27"/>
        <v>2093</v>
      </c>
      <c r="AGF4" s="34">
        <f t="shared" ca="1" si="27"/>
        <v>2093</v>
      </c>
      <c r="AGG4" s="34">
        <f t="shared" ca="1" si="27"/>
        <v>2093</v>
      </c>
      <c r="AGH4" s="34">
        <f t="shared" ca="1" si="27"/>
        <v>2093</v>
      </c>
      <c r="AGI4" s="34">
        <f t="shared" ref="AGI4:AIT4" ca="1" si="28">YEAR(AGI6)</f>
        <v>2093</v>
      </c>
      <c r="AGJ4" s="34">
        <f t="shared" ca="1" si="28"/>
        <v>2093</v>
      </c>
      <c r="AGK4" s="34">
        <f t="shared" ca="1" si="28"/>
        <v>2093</v>
      </c>
      <c r="AGL4" s="34">
        <f t="shared" ca="1" si="28"/>
        <v>2094</v>
      </c>
      <c r="AGM4" s="34">
        <f t="shared" ca="1" si="28"/>
        <v>2094</v>
      </c>
      <c r="AGN4" s="34">
        <f t="shared" ca="1" si="28"/>
        <v>2094</v>
      </c>
      <c r="AGO4" s="34">
        <f t="shared" ca="1" si="28"/>
        <v>2094</v>
      </c>
      <c r="AGP4" s="34">
        <f t="shared" ca="1" si="28"/>
        <v>2094</v>
      </c>
      <c r="AGQ4" s="34">
        <f t="shared" ca="1" si="28"/>
        <v>2094</v>
      </c>
      <c r="AGR4" s="34">
        <f t="shared" ca="1" si="28"/>
        <v>2094</v>
      </c>
      <c r="AGS4" s="34">
        <f t="shared" ca="1" si="28"/>
        <v>2094</v>
      </c>
      <c r="AGT4" s="34">
        <f t="shared" ca="1" si="28"/>
        <v>2094</v>
      </c>
      <c r="AGU4" s="34">
        <f t="shared" ca="1" si="28"/>
        <v>2094</v>
      </c>
      <c r="AGV4" s="34">
        <f t="shared" ca="1" si="28"/>
        <v>2094</v>
      </c>
      <c r="AGW4" s="34">
        <f t="shared" ca="1" si="28"/>
        <v>2094</v>
      </c>
      <c r="AGX4" s="34">
        <f t="shared" ca="1" si="28"/>
        <v>2095</v>
      </c>
      <c r="AGY4" s="34">
        <f t="shared" ca="1" si="28"/>
        <v>2095</v>
      </c>
      <c r="AGZ4" s="34">
        <f t="shared" ca="1" si="28"/>
        <v>2095</v>
      </c>
      <c r="AHA4" s="34">
        <f t="shared" ca="1" si="28"/>
        <v>2095</v>
      </c>
      <c r="AHB4" s="34">
        <f t="shared" ca="1" si="28"/>
        <v>2095</v>
      </c>
      <c r="AHC4" s="34">
        <f t="shared" ca="1" si="28"/>
        <v>2095</v>
      </c>
      <c r="AHD4" s="34">
        <f t="shared" ca="1" si="28"/>
        <v>2095</v>
      </c>
      <c r="AHE4" s="34">
        <f t="shared" ca="1" si="28"/>
        <v>2095</v>
      </c>
      <c r="AHF4" s="34">
        <f t="shared" ca="1" si="28"/>
        <v>2095</v>
      </c>
      <c r="AHG4" s="34">
        <f t="shared" ca="1" si="28"/>
        <v>2095</v>
      </c>
      <c r="AHH4" s="34">
        <f t="shared" ca="1" si="28"/>
        <v>2095</v>
      </c>
      <c r="AHI4" s="34">
        <f t="shared" ca="1" si="28"/>
        <v>2095</v>
      </c>
      <c r="AHJ4" s="34">
        <f t="shared" ca="1" si="28"/>
        <v>2096</v>
      </c>
      <c r="AHK4" s="34">
        <f t="shared" ca="1" si="28"/>
        <v>2096</v>
      </c>
      <c r="AHL4" s="34">
        <f t="shared" ca="1" si="28"/>
        <v>2096</v>
      </c>
      <c r="AHM4" s="34">
        <f t="shared" ca="1" si="28"/>
        <v>2096</v>
      </c>
      <c r="AHN4" s="34">
        <f t="shared" ca="1" si="28"/>
        <v>2096</v>
      </c>
      <c r="AHO4" s="34">
        <f t="shared" ca="1" si="28"/>
        <v>2096</v>
      </c>
      <c r="AHP4" s="34">
        <f t="shared" ca="1" si="28"/>
        <v>2096</v>
      </c>
      <c r="AHQ4" s="34">
        <f t="shared" ca="1" si="28"/>
        <v>2096</v>
      </c>
      <c r="AHR4" s="34">
        <f t="shared" ca="1" si="28"/>
        <v>2096</v>
      </c>
      <c r="AHS4" s="34">
        <f t="shared" ca="1" si="28"/>
        <v>2096</v>
      </c>
      <c r="AHT4" s="34">
        <f t="shared" ca="1" si="28"/>
        <v>2096</v>
      </c>
      <c r="AHU4" s="34">
        <f t="shared" ca="1" si="28"/>
        <v>2096</v>
      </c>
      <c r="AHV4" s="34">
        <f t="shared" ca="1" si="28"/>
        <v>2097</v>
      </c>
      <c r="AHW4" s="34">
        <f t="shared" ca="1" si="28"/>
        <v>2097</v>
      </c>
      <c r="AHX4" s="34">
        <f t="shared" ca="1" si="28"/>
        <v>2097</v>
      </c>
      <c r="AHY4" s="34">
        <f t="shared" ca="1" si="28"/>
        <v>2097</v>
      </c>
      <c r="AHZ4" s="34">
        <f t="shared" ca="1" si="28"/>
        <v>2097</v>
      </c>
      <c r="AIA4" s="34">
        <f t="shared" ca="1" si="28"/>
        <v>2097</v>
      </c>
      <c r="AIB4" s="34">
        <f t="shared" ca="1" si="28"/>
        <v>2097</v>
      </c>
      <c r="AIC4" s="34">
        <f t="shared" ca="1" si="28"/>
        <v>2097</v>
      </c>
      <c r="AID4" s="34">
        <f t="shared" ca="1" si="28"/>
        <v>2097</v>
      </c>
      <c r="AIE4" s="34">
        <f t="shared" ca="1" si="28"/>
        <v>2097</v>
      </c>
      <c r="AIF4" s="34">
        <f t="shared" ca="1" si="28"/>
        <v>2097</v>
      </c>
      <c r="AIG4" s="34">
        <f t="shared" ca="1" si="28"/>
        <v>2097</v>
      </c>
      <c r="AIH4" s="34">
        <f t="shared" ca="1" si="28"/>
        <v>2098</v>
      </c>
      <c r="AII4" s="34">
        <f t="shared" ca="1" si="28"/>
        <v>2098</v>
      </c>
      <c r="AIJ4" s="34">
        <f t="shared" ca="1" si="28"/>
        <v>2098</v>
      </c>
      <c r="AIK4" s="34">
        <f t="shared" ca="1" si="28"/>
        <v>2098</v>
      </c>
      <c r="AIL4" s="34">
        <f t="shared" ca="1" si="28"/>
        <v>2098</v>
      </c>
      <c r="AIM4" s="34">
        <f t="shared" ca="1" si="28"/>
        <v>2098</v>
      </c>
      <c r="AIN4" s="34">
        <f t="shared" ca="1" si="28"/>
        <v>2098</v>
      </c>
      <c r="AIO4" s="34">
        <f t="shared" ca="1" si="28"/>
        <v>2098</v>
      </c>
      <c r="AIP4" s="34">
        <f t="shared" ca="1" si="28"/>
        <v>2098</v>
      </c>
      <c r="AIQ4" s="34">
        <f t="shared" ca="1" si="28"/>
        <v>2098</v>
      </c>
      <c r="AIR4" s="34">
        <f t="shared" ca="1" si="28"/>
        <v>2098</v>
      </c>
      <c r="AIS4" s="34">
        <f t="shared" ca="1" si="28"/>
        <v>2098</v>
      </c>
      <c r="AIT4" s="34">
        <f t="shared" ca="1" si="28"/>
        <v>2099</v>
      </c>
      <c r="AIU4" s="34">
        <f t="shared" ref="AIU4:AKS4" ca="1" si="29">YEAR(AIU6)</f>
        <v>2099</v>
      </c>
      <c r="AIV4" s="34">
        <f t="shared" ca="1" si="29"/>
        <v>2099</v>
      </c>
      <c r="AIW4" s="34">
        <f t="shared" ca="1" si="29"/>
        <v>2099</v>
      </c>
      <c r="AIX4" s="34">
        <f t="shared" ca="1" si="29"/>
        <v>2099</v>
      </c>
      <c r="AIY4" s="34">
        <f t="shared" ca="1" si="29"/>
        <v>2099</v>
      </c>
      <c r="AIZ4" s="34">
        <f t="shared" ca="1" si="29"/>
        <v>2099</v>
      </c>
      <c r="AJA4" s="34">
        <f t="shared" ca="1" si="29"/>
        <v>2099</v>
      </c>
      <c r="AJB4" s="34">
        <f t="shared" ca="1" si="29"/>
        <v>2099</v>
      </c>
      <c r="AJC4" s="34">
        <f t="shared" ca="1" si="29"/>
        <v>2099</v>
      </c>
      <c r="AJD4" s="34">
        <f t="shared" ca="1" si="29"/>
        <v>2099</v>
      </c>
      <c r="AJE4" s="34">
        <f t="shared" ca="1" si="29"/>
        <v>2099</v>
      </c>
      <c r="AJF4" s="34">
        <f t="shared" ca="1" si="29"/>
        <v>2100</v>
      </c>
      <c r="AJG4" s="34">
        <f t="shared" ca="1" si="29"/>
        <v>2100</v>
      </c>
      <c r="AJH4" s="34">
        <f t="shared" ca="1" si="29"/>
        <v>2100</v>
      </c>
      <c r="AJI4" s="34">
        <f t="shared" ca="1" si="29"/>
        <v>2100</v>
      </c>
      <c r="AJJ4" s="34">
        <f t="shared" ca="1" si="29"/>
        <v>2100</v>
      </c>
      <c r="AJK4" s="34">
        <f t="shared" ca="1" si="29"/>
        <v>2100</v>
      </c>
      <c r="AJL4" s="34">
        <f t="shared" ca="1" si="29"/>
        <v>2100</v>
      </c>
      <c r="AJM4" s="34">
        <f t="shared" ca="1" si="29"/>
        <v>2100</v>
      </c>
      <c r="AJN4" s="34">
        <f t="shared" ca="1" si="29"/>
        <v>2100</v>
      </c>
      <c r="AJO4" s="34">
        <f t="shared" ca="1" si="29"/>
        <v>2100</v>
      </c>
      <c r="AJP4" s="34">
        <f t="shared" ca="1" si="29"/>
        <v>2100</v>
      </c>
      <c r="AJQ4" s="34">
        <f t="shared" ca="1" si="29"/>
        <v>2100</v>
      </c>
      <c r="AJR4" s="34">
        <f t="shared" ca="1" si="29"/>
        <v>2101</v>
      </c>
      <c r="AJS4" s="34">
        <f t="shared" ca="1" si="29"/>
        <v>2101</v>
      </c>
      <c r="AJT4" s="34">
        <f t="shared" ca="1" si="29"/>
        <v>2101</v>
      </c>
      <c r="AJU4" s="34">
        <f t="shared" ca="1" si="29"/>
        <v>2101</v>
      </c>
      <c r="AJV4" s="34">
        <f t="shared" ca="1" si="29"/>
        <v>2101</v>
      </c>
      <c r="AJW4" s="34">
        <f t="shared" ca="1" si="29"/>
        <v>2101</v>
      </c>
      <c r="AJX4" s="34">
        <f t="shared" ca="1" si="29"/>
        <v>2101</v>
      </c>
      <c r="AJY4" s="34">
        <f t="shared" ca="1" si="29"/>
        <v>2101</v>
      </c>
      <c r="AJZ4" s="34">
        <f t="shared" ca="1" si="29"/>
        <v>2101</v>
      </c>
      <c r="AKA4" s="34">
        <f t="shared" ca="1" si="29"/>
        <v>2101</v>
      </c>
      <c r="AKB4" s="34">
        <f t="shared" ca="1" si="29"/>
        <v>2101</v>
      </c>
      <c r="AKC4" s="34">
        <f t="shared" ca="1" si="29"/>
        <v>2101</v>
      </c>
      <c r="AKD4" s="34">
        <f t="shared" ca="1" si="29"/>
        <v>2102</v>
      </c>
      <c r="AKE4" s="34">
        <f t="shared" ca="1" si="29"/>
        <v>2102</v>
      </c>
      <c r="AKF4" s="34">
        <f t="shared" ca="1" si="29"/>
        <v>2102</v>
      </c>
      <c r="AKG4" s="34">
        <f t="shared" ca="1" si="29"/>
        <v>2102</v>
      </c>
      <c r="AKH4" s="34">
        <f t="shared" ca="1" si="29"/>
        <v>2102</v>
      </c>
      <c r="AKI4" s="34">
        <f t="shared" ca="1" si="29"/>
        <v>2102</v>
      </c>
      <c r="AKJ4" s="34">
        <f t="shared" ca="1" si="29"/>
        <v>2102</v>
      </c>
      <c r="AKK4" s="34">
        <f t="shared" ca="1" si="29"/>
        <v>2102</v>
      </c>
      <c r="AKL4" s="34">
        <f t="shared" ca="1" si="29"/>
        <v>2102</v>
      </c>
      <c r="AKM4" s="34">
        <f t="shared" ca="1" si="29"/>
        <v>2102</v>
      </c>
      <c r="AKN4" s="34">
        <f t="shared" ca="1" si="29"/>
        <v>2102</v>
      </c>
      <c r="AKO4" s="34">
        <f t="shared" ca="1" si="29"/>
        <v>2102</v>
      </c>
      <c r="AKP4" s="34">
        <f t="shared" ca="1" si="29"/>
        <v>2103</v>
      </c>
      <c r="AKQ4" s="34">
        <f t="shared" ca="1" si="29"/>
        <v>2103</v>
      </c>
      <c r="AKR4" s="34">
        <f t="shared" ca="1" si="29"/>
        <v>2103</v>
      </c>
      <c r="AKS4" s="34">
        <f t="shared" ca="1" si="29"/>
        <v>2103</v>
      </c>
      <c r="AKT4" s="34"/>
      <c r="AKU4" s="34"/>
      <c r="AKV4" s="34"/>
      <c r="AKW4" s="34"/>
      <c r="AKX4" s="34"/>
      <c r="AKY4" s="34"/>
      <c r="AKZ4" s="34"/>
      <c r="ALA4" s="34"/>
      <c r="ALB4" s="34"/>
      <c r="ALC4" s="34"/>
      <c r="ALD4" s="34"/>
      <c r="ALE4" s="34"/>
      <c r="ALF4" s="34"/>
    </row>
    <row r="5" spans="1:1250" ht="18.75" customHeight="1">
      <c r="A5" s="32"/>
      <c r="B5" s="32"/>
      <c r="C5" s="32"/>
      <c r="D5" s="32"/>
      <c r="E5" s="32"/>
      <c r="F5" s="32"/>
      <c r="G5" s="54"/>
      <c r="H5" s="32"/>
      <c r="I5" s="32"/>
      <c r="J5" s="32"/>
      <c r="K5" s="32"/>
      <c r="L5" s="35"/>
      <c r="M5" s="33"/>
      <c r="N5" s="33"/>
      <c r="O5" s="33"/>
      <c r="P5" s="33"/>
      <c r="Q5" s="33"/>
      <c r="R5" s="33"/>
      <c r="S5" s="33" t="s">
        <v>158</v>
      </c>
      <c r="T5" s="34"/>
      <c r="U5" s="34"/>
      <c r="V5" s="34"/>
      <c r="W5" s="34"/>
      <c r="X5" s="112">
        <v>0</v>
      </c>
      <c r="Y5" s="31"/>
      <c r="Z5" s="133"/>
      <c r="AA5" s="34"/>
      <c r="AB5" s="34"/>
      <c r="AC5" s="34"/>
      <c r="AD5" s="34"/>
      <c r="AE5" s="118"/>
      <c r="AF5" s="34"/>
      <c r="AG5" s="34"/>
      <c r="AH5" s="34"/>
      <c r="AI5" s="59">
        <f ca="1">IFERROR(DATEVALUE(VLOOKUP(AI4,'銀行-TSS'!B:L,11,FALSE)),VLOOKUP(AI4,'銀行-TSS'!B:L,11,FALSE))</f>
        <v>45475</v>
      </c>
      <c r="AJ5" s="36" t="s">
        <v>33</v>
      </c>
      <c r="AK5" s="34">
        <v>1</v>
      </c>
      <c r="AL5" s="34">
        <v>2</v>
      </c>
      <c r="AM5" s="34">
        <v>3</v>
      </c>
      <c r="AN5" s="34">
        <v>4</v>
      </c>
      <c r="AO5" s="34">
        <v>5</v>
      </c>
      <c r="AP5" s="34">
        <v>6</v>
      </c>
      <c r="AQ5" s="34">
        <v>7</v>
      </c>
      <c r="AR5" s="34">
        <v>8</v>
      </c>
      <c r="AS5" s="34">
        <v>9</v>
      </c>
      <c r="AT5" s="34">
        <v>10</v>
      </c>
      <c r="AU5" s="34">
        <v>11</v>
      </c>
      <c r="AV5" s="34">
        <v>12</v>
      </c>
      <c r="AW5" s="34">
        <v>13</v>
      </c>
      <c r="AX5" s="34">
        <v>14</v>
      </c>
      <c r="AY5" s="34">
        <v>15</v>
      </c>
      <c r="AZ5" s="34">
        <v>16</v>
      </c>
      <c r="BA5" s="34">
        <v>17</v>
      </c>
      <c r="BB5" s="34">
        <v>18</v>
      </c>
      <c r="BC5" s="34">
        <v>19</v>
      </c>
      <c r="BD5" s="34">
        <v>20</v>
      </c>
      <c r="BE5" s="34">
        <v>21</v>
      </c>
      <c r="BF5" s="34">
        <v>22</v>
      </c>
      <c r="BG5" s="34">
        <v>23</v>
      </c>
      <c r="BH5" s="34">
        <v>24</v>
      </c>
      <c r="BI5" s="34">
        <v>25</v>
      </c>
      <c r="BJ5" s="34">
        <v>26</v>
      </c>
      <c r="BK5" s="34">
        <v>27</v>
      </c>
      <c r="BL5" s="34">
        <v>28</v>
      </c>
      <c r="BM5" s="34">
        <v>29</v>
      </c>
      <c r="BN5" s="34">
        <v>30</v>
      </c>
      <c r="BO5" s="34">
        <v>31</v>
      </c>
      <c r="BP5" s="34">
        <v>32</v>
      </c>
      <c r="BQ5" s="34">
        <v>33</v>
      </c>
      <c r="BR5" s="34">
        <v>34</v>
      </c>
      <c r="BS5" s="34">
        <v>35</v>
      </c>
      <c r="BT5" s="34">
        <v>36</v>
      </c>
      <c r="BU5" s="34">
        <v>37</v>
      </c>
      <c r="BV5" s="34">
        <v>38</v>
      </c>
      <c r="BW5" s="34">
        <v>39</v>
      </c>
      <c r="BX5" s="34">
        <v>40</v>
      </c>
      <c r="BY5" s="34">
        <v>41</v>
      </c>
      <c r="BZ5" s="34">
        <v>42</v>
      </c>
      <c r="CA5" s="34">
        <v>43</v>
      </c>
      <c r="CB5" s="34">
        <v>44</v>
      </c>
      <c r="CC5" s="34">
        <v>45</v>
      </c>
      <c r="CD5" s="34">
        <v>46</v>
      </c>
      <c r="CE5" s="34">
        <v>47</v>
      </c>
      <c r="CF5" s="34">
        <v>48</v>
      </c>
      <c r="CG5" s="34">
        <v>49</v>
      </c>
      <c r="CH5" s="34">
        <v>50</v>
      </c>
      <c r="CI5" s="34">
        <v>51</v>
      </c>
      <c r="CJ5" s="34">
        <v>52</v>
      </c>
      <c r="CK5" s="34">
        <v>53</v>
      </c>
      <c r="CL5" s="34">
        <v>54</v>
      </c>
      <c r="CM5" s="34">
        <v>55</v>
      </c>
      <c r="CN5" s="34">
        <v>56</v>
      </c>
      <c r="CO5" s="34">
        <v>57</v>
      </c>
      <c r="CP5" s="34">
        <v>58</v>
      </c>
      <c r="CQ5" s="34">
        <v>59</v>
      </c>
      <c r="CR5" s="34">
        <v>60</v>
      </c>
      <c r="CS5" s="34">
        <v>61</v>
      </c>
      <c r="CT5" s="34">
        <v>62</v>
      </c>
      <c r="CU5" s="34">
        <v>63</v>
      </c>
      <c r="CV5" s="34">
        <v>64</v>
      </c>
      <c r="CW5" s="34">
        <v>65</v>
      </c>
      <c r="CX5" s="34">
        <v>66</v>
      </c>
      <c r="CY5" s="34">
        <v>67</v>
      </c>
      <c r="CZ5" s="34">
        <v>68</v>
      </c>
      <c r="DA5" s="34">
        <v>69</v>
      </c>
      <c r="DB5" s="34">
        <v>70</v>
      </c>
      <c r="DC5" s="34">
        <v>71</v>
      </c>
      <c r="DD5" s="34">
        <v>72</v>
      </c>
      <c r="DE5" s="34">
        <v>73</v>
      </c>
      <c r="DF5" s="34">
        <v>74</v>
      </c>
      <c r="DG5" s="34">
        <v>75</v>
      </c>
      <c r="DH5" s="34">
        <v>76</v>
      </c>
      <c r="DI5" s="34">
        <v>77</v>
      </c>
      <c r="DJ5" s="34">
        <v>78</v>
      </c>
      <c r="DK5" s="34">
        <v>79</v>
      </c>
      <c r="DL5" s="34">
        <v>80</v>
      </c>
      <c r="DM5" s="34">
        <v>81</v>
      </c>
      <c r="DN5" s="34">
        <v>82</v>
      </c>
      <c r="DO5" s="34">
        <v>83</v>
      </c>
      <c r="DP5" s="34">
        <v>84</v>
      </c>
      <c r="DQ5" s="34">
        <v>85</v>
      </c>
      <c r="DR5" s="34">
        <v>86</v>
      </c>
      <c r="DS5" s="34">
        <v>87</v>
      </c>
      <c r="DT5" s="34">
        <v>88</v>
      </c>
      <c r="DU5" s="34">
        <v>89</v>
      </c>
      <c r="DV5" s="34">
        <v>90</v>
      </c>
      <c r="DW5" s="34">
        <v>91</v>
      </c>
      <c r="DX5" s="34">
        <v>92</v>
      </c>
      <c r="DY5" s="34">
        <v>93</v>
      </c>
      <c r="DZ5" s="34">
        <v>94</v>
      </c>
      <c r="EA5" s="34">
        <v>95</v>
      </c>
      <c r="EB5" s="34">
        <v>96</v>
      </c>
      <c r="EC5" s="34">
        <v>97</v>
      </c>
      <c r="ED5" s="34">
        <v>98</v>
      </c>
      <c r="EE5" s="34">
        <v>99</v>
      </c>
      <c r="EF5" s="34">
        <v>100</v>
      </c>
      <c r="EG5" s="34">
        <v>101</v>
      </c>
      <c r="EH5" s="34">
        <v>102</v>
      </c>
      <c r="EI5" s="34">
        <v>103</v>
      </c>
      <c r="EJ5" s="34">
        <v>104</v>
      </c>
      <c r="EK5" s="34">
        <v>105</v>
      </c>
      <c r="EL5" s="34">
        <v>106</v>
      </c>
      <c r="EM5" s="34">
        <v>107</v>
      </c>
      <c r="EN5" s="34">
        <v>108</v>
      </c>
      <c r="EO5" s="34">
        <v>109</v>
      </c>
      <c r="EP5" s="34">
        <v>110</v>
      </c>
      <c r="EQ5" s="34">
        <v>111</v>
      </c>
      <c r="ER5" s="34">
        <v>112</v>
      </c>
      <c r="ES5" s="34">
        <v>113</v>
      </c>
      <c r="ET5" s="34">
        <v>114</v>
      </c>
      <c r="EU5" s="34">
        <v>115</v>
      </c>
      <c r="EV5" s="34">
        <v>116</v>
      </c>
      <c r="EW5" s="34">
        <v>117</v>
      </c>
      <c r="EX5" s="34">
        <v>118</v>
      </c>
      <c r="EY5" s="34">
        <v>119</v>
      </c>
      <c r="EZ5" s="34">
        <v>120</v>
      </c>
      <c r="FA5" s="34">
        <v>121</v>
      </c>
      <c r="FB5" s="34">
        <v>122</v>
      </c>
      <c r="FC5" s="34">
        <v>123</v>
      </c>
      <c r="FD5" s="34">
        <v>124</v>
      </c>
      <c r="FE5" s="34">
        <v>125</v>
      </c>
      <c r="FF5" s="34">
        <v>126</v>
      </c>
      <c r="FG5" s="34">
        <v>127</v>
      </c>
      <c r="FH5" s="34">
        <v>128</v>
      </c>
      <c r="FI5" s="34">
        <v>129</v>
      </c>
      <c r="FJ5" s="34">
        <v>130</v>
      </c>
      <c r="FK5" s="34">
        <v>131</v>
      </c>
      <c r="FL5" s="34">
        <v>132</v>
      </c>
      <c r="FM5" s="34">
        <v>133</v>
      </c>
      <c r="FN5" s="34">
        <v>134</v>
      </c>
      <c r="FO5" s="34">
        <v>135</v>
      </c>
      <c r="FP5" s="34">
        <v>136</v>
      </c>
      <c r="FQ5" s="34">
        <v>137</v>
      </c>
      <c r="FR5" s="34">
        <v>138</v>
      </c>
      <c r="FS5" s="34">
        <v>139</v>
      </c>
      <c r="FT5" s="34">
        <v>140</v>
      </c>
      <c r="FU5" s="34">
        <v>141</v>
      </c>
      <c r="FV5" s="34">
        <v>142</v>
      </c>
      <c r="FW5" s="34">
        <v>143</v>
      </c>
      <c r="FX5" s="34">
        <v>144</v>
      </c>
      <c r="FY5" s="34">
        <v>145</v>
      </c>
      <c r="FZ5" s="34">
        <v>146</v>
      </c>
      <c r="GA5" s="34">
        <v>147</v>
      </c>
      <c r="GB5" s="34">
        <v>148</v>
      </c>
      <c r="GC5" s="34">
        <v>149</v>
      </c>
      <c r="GD5" s="34">
        <v>150</v>
      </c>
      <c r="GE5" s="34">
        <v>151</v>
      </c>
      <c r="GF5" s="34">
        <v>152</v>
      </c>
      <c r="GG5" s="34">
        <v>153</v>
      </c>
      <c r="GH5" s="34">
        <v>154</v>
      </c>
      <c r="GI5" s="34">
        <v>155</v>
      </c>
      <c r="GJ5" s="34">
        <v>156</v>
      </c>
      <c r="GK5" s="34">
        <v>157</v>
      </c>
      <c r="GL5" s="34">
        <v>158</v>
      </c>
      <c r="GM5" s="34">
        <v>159</v>
      </c>
      <c r="GN5" s="34">
        <v>160</v>
      </c>
      <c r="GO5" s="34">
        <v>161</v>
      </c>
      <c r="GP5" s="34">
        <v>162</v>
      </c>
      <c r="GQ5" s="34">
        <v>163</v>
      </c>
      <c r="GR5" s="34">
        <v>164</v>
      </c>
      <c r="GS5" s="34">
        <v>165</v>
      </c>
      <c r="GT5" s="34">
        <v>166</v>
      </c>
      <c r="GU5" s="34">
        <v>167</v>
      </c>
      <c r="GV5" s="34">
        <v>168</v>
      </c>
      <c r="GW5" s="34">
        <v>169</v>
      </c>
      <c r="GX5" s="34">
        <v>170</v>
      </c>
      <c r="GY5" s="34">
        <v>171</v>
      </c>
      <c r="GZ5" s="34">
        <v>172</v>
      </c>
      <c r="HA5" s="34">
        <v>173</v>
      </c>
      <c r="HB5" s="34">
        <v>174</v>
      </c>
      <c r="HC5" s="34">
        <v>175</v>
      </c>
      <c r="HD5" s="34">
        <v>176</v>
      </c>
      <c r="HE5" s="34">
        <v>177</v>
      </c>
      <c r="HF5" s="34">
        <v>178</v>
      </c>
      <c r="HG5" s="34">
        <v>179</v>
      </c>
      <c r="HH5" s="34">
        <v>180</v>
      </c>
      <c r="HI5" s="34">
        <v>181</v>
      </c>
      <c r="HJ5" s="34">
        <v>182</v>
      </c>
      <c r="HK5" s="34">
        <v>183</v>
      </c>
      <c r="HL5" s="34">
        <v>184</v>
      </c>
      <c r="HM5" s="34">
        <v>185</v>
      </c>
      <c r="HN5" s="34">
        <v>186</v>
      </c>
      <c r="HO5" s="34">
        <v>187</v>
      </c>
      <c r="HP5" s="34">
        <v>188</v>
      </c>
      <c r="HQ5" s="34">
        <v>189</v>
      </c>
      <c r="HR5" s="34">
        <v>190</v>
      </c>
      <c r="HS5" s="34">
        <v>191</v>
      </c>
      <c r="HT5" s="34">
        <v>192</v>
      </c>
      <c r="HU5" s="34">
        <v>193</v>
      </c>
      <c r="HV5" s="34">
        <v>194</v>
      </c>
      <c r="HW5" s="34">
        <v>195</v>
      </c>
      <c r="HX5" s="34">
        <v>196</v>
      </c>
      <c r="HY5" s="34">
        <v>197</v>
      </c>
      <c r="HZ5" s="34">
        <v>198</v>
      </c>
      <c r="IA5" s="34">
        <v>199</v>
      </c>
      <c r="IB5" s="34">
        <v>200</v>
      </c>
      <c r="IC5" s="34">
        <v>201</v>
      </c>
      <c r="ID5" s="34">
        <v>202</v>
      </c>
      <c r="IE5" s="34">
        <v>203</v>
      </c>
      <c r="IF5" s="34">
        <v>204</v>
      </c>
      <c r="IG5" s="34">
        <v>205</v>
      </c>
      <c r="IH5" s="34">
        <v>206</v>
      </c>
      <c r="II5" s="34">
        <v>207</v>
      </c>
      <c r="IJ5" s="34">
        <v>208</v>
      </c>
      <c r="IK5" s="34">
        <v>209</v>
      </c>
      <c r="IL5" s="34">
        <v>210</v>
      </c>
      <c r="IM5" s="34">
        <v>211</v>
      </c>
      <c r="IN5" s="34">
        <v>212</v>
      </c>
      <c r="IO5" s="34">
        <v>213</v>
      </c>
      <c r="IP5" s="34">
        <v>214</v>
      </c>
      <c r="IQ5" s="34">
        <v>215</v>
      </c>
      <c r="IR5" s="34">
        <v>216</v>
      </c>
      <c r="IS5" s="34">
        <v>217</v>
      </c>
      <c r="IT5" s="34">
        <v>218</v>
      </c>
      <c r="IU5" s="34">
        <v>219</v>
      </c>
      <c r="IV5" s="34">
        <v>220</v>
      </c>
      <c r="IW5" s="34">
        <v>221</v>
      </c>
      <c r="IX5" s="34">
        <v>222</v>
      </c>
      <c r="IY5" s="34">
        <v>223</v>
      </c>
      <c r="IZ5" s="34">
        <v>224</v>
      </c>
      <c r="JA5" s="34">
        <v>225</v>
      </c>
      <c r="JB5" s="34">
        <v>226</v>
      </c>
      <c r="JC5" s="34">
        <v>227</v>
      </c>
      <c r="JD5" s="34">
        <v>228</v>
      </c>
      <c r="JE5" s="34">
        <v>229</v>
      </c>
      <c r="JF5" s="34">
        <v>230</v>
      </c>
      <c r="JG5" s="34">
        <v>231</v>
      </c>
      <c r="JH5" s="34">
        <v>232</v>
      </c>
      <c r="JI5" s="34">
        <v>233</v>
      </c>
      <c r="JJ5" s="34">
        <v>234</v>
      </c>
      <c r="JK5" s="34">
        <v>235</v>
      </c>
      <c r="JL5" s="34">
        <v>236</v>
      </c>
      <c r="JM5" s="34">
        <v>237</v>
      </c>
      <c r="JN5" s="34">
        <v>238</v>
      </c>
      <c r="JO5" s="34">
        <v>239</v>
      </c>
      <c r="JP5" s="34">
        <v>240</v>
      </c>
      <c r="JQ5" s="34">
        <v>241</v>
      </c>
      <c r="JR5" s="34">
        <v>242</v>
      </c>
      <c r="JS5" s="34">
        <v>243</v>
      </c>
      <c r="JT5" s="34">
        <v>244</v>
      </c>
      <c r="JU5" s="34">
        <v>245</v>
      </c>
      <c r="JV5" s="34">
        <v>246</v>
      </c>
      <c r="JW5" s="34">
        <v>247</v>
      </c>
      <c r="JX5" s="34">
        <v>248</v>
      </c>
      <c r="JY5" s="34">
        <v>249</v>
      </c>
      <c r="JZ5" s="34">
        <v>250</v>
      </c>
      <c r="KA5" s="34">
        <v>251</v>
      </c>
      <c r="KB5" s="34">
        <v>252</v>
      </c>
      <c r="KC5" s="34">
        <v>253</v>
      </c>
      <c r="KD5" s="34">
        <v>254</v>
      </c>
      <c r="KE5" s="34">
        <v>255</v>
      </c>
      <c r="KF5" s="34">
        <v>256</v>
      </c>
      <c r="KG5" s="34">
        <v>257</v>
      </c>
      <c r="KH5" s="34">
        <v>258</v>
      </c>
      <c r="KI5" s="34">
        <v>259</v>
      </c>
      <c r="KJ5" s="34">
        <v>260</v>
      </c>
      <c r="KK5" s="34">
        <v>261</v>
      </c>
      <c r="KL5" s="34">
        <v>262</v>
      </c>
      <c r="KM5" s="34">
        <v>263</v>
      </c>
      <c r="KN5" s="34">
        <v>264</v>
      </c>
      <c r="KO5" s="34">
        <v>265</v>
      </c>
      <c r="KP5" s="34">
        <v>266</v>
      </c>
      <c r="KQ5" s="34">
        <v>267</v>
      </c>
      <c r="KR5" s="34">
        <v>268</v>
      </c>
      <c r="KS5" s="34">
        <v>269</v>
      </c>
      <c r="KT5" s="34">
        <v>270</v>
      </c>
      <c r="KU5" s="34">
        <v>271</v>
      </c>
      <c r="KV5" s="34">
        <v>272</v>
      </c>
      <c r="KW5" s="34">
        <v>273</v>
      </c>
      <c r="KX5" s="34">
        <v>274</v>
      </c>
      <c r="KY5" s="34">
        <v>275</v>
      </c>
      <c r="KZ5" s="34">
        <v>276</v>
      </c>
      <c r="LA5" s="34">
        <v>277</v>
      </c>
      <c r="LB5" s="34">
        <v>278</v>
      </c>
      <c r="LC5" s="34">
        <v>279</v>
      </c>
      <c r="LD5" s="34">
        <v>280</v>
      </c>
      <c r="LE5" s="34">
        <v>281</v>
      </c>
      <c r="LF5" s="34">
        <v>282</v>
      </c>
      <c r="LG5" s="34">
        <v>283</v>
      </c>
      <c r="LH5" s="34">
        <v>284</v>
      </c>
      <c r="LI5" s="34">
        <v>285</v>
      </c>
      <c r="LJ5" s="34">
        <v>286</v>
      </c>
      <c r="LK5" s="34">
        <v>287</v>
      </c>
      <c r="LL5" s="34">
        <v>288</v>
      </c>
      <c r="LM5" s="34">
        <v>289</v>
      </c>
      <c r="LN5" s="34">
        <v>290</v>
      </c>
      <c r="LO5" s="34">
        <v>291</v>
      </c>
      <c r="LP5" s="34">
        <v>292</v>
      </c>
      <c r="LQ5" s="34">
        <v>293</v>
      </c>
      <c r="LR5" s="34">
        <v>294</v>
      </c>
      <c r="LS5" s="34">
        <v>295</v>
      </c>
      <c r="LT5" s="34">
        <v>296</v>
      </c>
      <c r="LU5" s="34">
        <v>297</v>
      </c>
      <c r="LV5" s="34">
        <v>298</v>
      </c>
      <c r="LW5" s="34">
        <v>299</v>
      </c>
      <c r="LX5" s="34">
        <v>300</v>
      </c>
      <c r="LY5" s="34">
        <v>301</v>
      </c>
      <c r="LZ5" s="34">
        <v>302</v>
      </c>
      <c r="MA5" s="34">
        <v>303</v>
      </c>
      <c r="MB5" s="34">
        <v>304</v>
      </c>
      <c r="MC5" s="34">
        <v>305</v>
      </c>
      <c r="MD5" s="34">
        <v>306</v>
      </c>
      <c r="ME5" s="34">
        <v>307</v>
      </c>
      <c r="MF5" s="34">
        <v>308</v>
      </c>
      <c r="MG5" s="34">
        <v>309</v>
      </c>
      <c r="MH5" s="34">
        <v>310</v>
      </c>
      <c r="MI5" s="34">
        <v>311</v>
      </c>
      <c r="MJ5" s="34">
        <v>312</v>
      </c>
      <c r="MK5" s="34">
        <v>313</v>
      </c>
      <c r="ML5" s="34">
        <v>314</v>
      </c>
      <c r="MM5" s="34">
        <v>315</v>
      </c>
      <c r="MN5" s="34">
        <v>316</v>
      </c>
      <c r="MO5" s="34">
        <v>317</v>
      </c>
      <c r="MP5" s="34">
        <v>318</v>
      </c>
      <c r="MQ5" s="34">
        <v>319</v>
      </c>
      <c r="MR5" s="34">
        <v>320</v>
      </c>
      <c r="MS5" s="34">
        <v>321</v>
      </c>
      <c r="MT5" s="34">
        <v>322</v>
      </c>
      <c r="MU5" s="34">
        <v>323</v>
      </c>
      <c r="MV5" s="34">
        <v>324</v>
      </c>
      <c r="MW5" s="34">
        <v>325</v>
      </c>
      <c r="MX5" s="34">
        <v>326</v>
      </c>
      <c r="MY5" s="34">
        <v>327</v>
      </c>
      <c r="MZ5" s="34">
        <v>328</v>
      </c>
      <c r="NA5" s="34">
        <v>329</v>
      </c>
      <c r="NB5" s="34">
        <v>330</v>
      </c>
      <c r="NC5" s="34">
        <v>331</v>
      </c>
      <c r="ND5" s="34">
        <v>332</v>
      </c>
      <c r="NE5" s="34">
        <v>333</v>
      </c>
      <c r="NF5" s="34">
        <v>334</v>
      </c>
      <c r="NG5" s="34">
        <v>335</v>
      </c>
      <c r="NH5" s="34">
        <v>336</v>
      </c>
      <c r="NI5" s="34">
        <v>337</v>
      </c>
      <c r="NJ5" s="34">
        <v>338</v>
      </c>
      <c r="NK5" s="34">
        <v>339</v>
      </c>
      <c r="NL5" s="34">
        <v>340</v>
      </c>
      <c r="NM5" s="34">
        <v>341</v>
      </c>
      <c r="NN5" s="34">
        <v>342</v>
      </c>
      <c r="NO5" s="34">
        <v>343</v>
      </c>
      <c r="NP5" s="34">
        <v>344</v>
      </c>
      <c r="NQ5" s="34">
        <v>345</v>
      </c>
      <c r="NR5" s="34">
        <v>346</v>
      </c>
      <c r="NS5" s="34">
        <v>347</v>
      </c>
      <c r="NT5" s="34">
        <v>348</v>
      </c>
      <c r="NU5" s="34">
        <v>349</v>
      </c>
      <c r="NV5" s="34">
        <v>350</v>
      </c>
      <c r="NW5" s="34">
        <v>351</v>
      </c>
      <c r="NX5" s="34">
        <v>352</v>
      </c>
      <c r="NY5" s="34">
        <v>353</v>
      </c>
      <c r="NZ5" s="34">
        <v>354</v>
      </c>
      <c r="OA5" s="34">
        <v>355</v>
      </c>
      <c r="OB5" s="34">
        <v>356</v>
      </c>
      <c r="OC5" s="34">
        <v>357</v>
      </c>
      <c r="OD5" s="34">
        <v>358</v>
      </c>
      <c r="OE5" s="34">
        <v>359</v>
      </c>
      <c r="OF5" s="34">
        <v>360</v>
      </c>
      <c r="OG5" s="34">
        <v>361</v>
      </c>
      <c r="OH5" s="34">
        <v>362</v>
      </c>
      <c r="OI5" s="34">
        <v>363</v>
      </c>
      <c r="OJ5" s="34">
        <v>364</v>
      </c>
      <c r="OK5" s="34">
        <v>365</v>
      </c>
      <c r="OL5" s="34">
        <v>366</v>
      </c>
      <c r="OM5" s="34">
        <v>367</v>
      </c>
      <c r="ON5" s="34">
        <v>368</v>
      </c>
      <c r="OO5" s="34">
        <v>369</v>
      </c>
      <c r="OP5" s="34">
        <v>370</v>
      </c>
      <c r="OQ5" s="34">
        <v>371</v>
      </c>
      <c r="OR5" s="34">
        <v>372</v>
      </c>
      <c r="OS5" s="34">
        <v>373</v>
      </c>
      <c r="OT5" s="34">
        <v>374</v>
      </c>
      <c r="OU5" s="34">
        <v>375</v>
      </c>
      <c r="OV5" s="34">
        <v>376</v>
      </c>
      <c r="OW5" s="34">
        <v>377</v>
      </c>
      <c r="OX5" s="34">
        <v>378</v>
      </c>
      <c r="OY5" s="34">
        <v>379</v>
      </c>
      <c r="OZ5" s="34">
        <v>380</v>
      </c>
      <c r="PA5" s="34">
        <v>381</v>
      </c>
      <c r="PB5" s="34">
        <v>382</v>
      </c>
      <c r="PC5" s="34">
        <v>383</v>
      </c>
      <c r="PD5" s="34">
        <v>384</v>
      </c>
      <c r="PE5" s="34">
        <v>385</v>
      </c>
      <c r="PF5" s="34">
        <v>386</v>
      </c>
      <c r="PG5" s="34">
        <v>387</v>
      </c>
      <c r="PH5" s="34">
        <v>388</v>
      </c>
      <c r="PI5" s="34">
        <v>389</v>
      </c>
      <c r="PJ5" s="34">
        <v>390</v>
      </c>
      <c r="PK5" s="34">
        <v>391</v>
      </c>
      <c r="PL5" s="34">
        <v>392</v>
      </c>
      <c r="PM5" s="34">
        <v>393</v>
      </c>
      <c r="PN5" s="34">
        <v>394</v>
      </c>
      <c r="PO5" s="34">
        <v>395</v>
      </c>
      <c r="PP5" s="34">
        <v>396</v>
      </c>
      <c r="PQ5" s="34">
        <v>397</v>
      </c>
      <c r="PR5" s="34">
        <v>398</v>
      </c>
      <c r="PS5" s="34">
        <v>399</v>
      </c>
      <c r="PT5" s="34">
        <v>400</v>
      </c>
      <c r="PU5" s="34">
        <v>401</v>
      </c>
      <c r="PV5" s="34">
        <v>402</v>
      </c>
      <c r="PW5" s="34">
        <v>403</v>
      </c>
      <c r="PX5" s="34">
        <v>404</v>
      </c>
      <c r="PY5" s="34">
        <v>405</v>
      </c>
      <c r="PZ5" s="34">
        <v>406</v>
      </c>
      <c r="QA5" s="34">
        <v>407</v>
      </c>
      <c r="QB5" s="34">
        <v>408</v>
      </c>
      <c r="QC5" s="34">
        <v>409</v>
      </c>
      <c r="QD5" s="34">
        <v>410</v>
      </c>
      <c r="QE5" s="34">
        <v>411</v>
      </c>
      <c r="QF5" s="34">
        <v>412</v>
      </c>
      <c r="QG5" s="34">
        <v>413</v>
      </c>
      <c r="QH5" s="34">
        <v>414</v>
      </c>
      <c r="QI5" s="34">
        <v>415</v>
      </c>
      <c r="QJ5" s="34">
        <v>416</v>
      </c>
      <c r="QK5" s="34">
        <v>417</v>
      </c>
      <c r="QL5" s="34">
        <v>418</v>
      </c>
      <c r="QM5" s="34">
        <v>419</v>
      </c>
      <c r="QN5" s="34">
        <v>420</v>
      </c>
      <c r="QO5" s="34">
        <v>421</v>
      </c>
      <c r="QP5" s="34">
        <v>422</v>
      </c>
      <c r="QQ5" s="34">
        <v>423</v>
      </c>
      <c r="QR5" s="34">
        <v>424</v>
      </c>
      <c r="QS5" s="34">
        <v>425</v>
      </c>
      <c r="QT5" s="34">
        <v>426</v>
      </c>
      <c r="QU5" s="34">
        <v>427</v>
      </c>
      <c r="QV5" s="34">
        <v>428</v>
      </c>
      <c r="QW5" s="34">
        <v>429</v>
      </c>
      <c r="QX5" s="34">
        <v>430</v>
      </c>
      <c r="QY5" s="34">
        <v>431</v>
      </c>
      <c r="QZ5" s="34">
        <v>432</v>
      </c>
      <c r="RA5" s="34">
        <v>433</v>
      </c>
      <c r="RB5" s="34">
        <v>434</v>
      </c>
      <c r="RC5" s="34">
        <v>435</v>
      </c>
      <c r="RD5" s="34">
        <v>436</v>
      </c>
      <c r="RE5" s="34">
        <v>437</v>
      </c>
      <c r="RF5" s="34">
        <v>438</v>
      </c>
      <c r="RG5" s="34">
        <v>439</v>
      </c>
      <c r="RH5" s="34">
        <v>440</v>
      </c>
      <c r="RI5" s="34">
        <v>441</v>
      </c>
      <c r="RJ5" s="34">
        <v>442</v>
      </c>
      <c r="RK5" s="34">
        <v>443</v>
      </c>
      <c r="RL5" s="34">
        <v>444</v>
      </c>
      <c r="RM5" s="34">
        <v>445</v>
      </c>
      <c r="RN5" s="34">
        <v>446</v>
      </c>
      <c r="RO5" s="34">
        <v>447</v>
      </c>
      <c r="RP5" s="34">
        <v>448</v>
      </c>
      <c r="RQ5" s="34">
        <v>449</v>
      </c>
      <c r="RR5" s="34">
        <v>450</v>
      </c>
      <c r="RS5" s="34">
        <v>451</v>
      </c>
      <c r="RT5" s="34">
        <v>452</v>
      </c>
      <c r="RU5" s="34">
        <v>453</v>
      </c>
      <c r="RV5" s="34">
        <v>454</v>
      </c>
      <c r="RW5" s="34">
        <v>455</v>
      </c>
      <c r="RX5" s="34">
        <v>456</v>
      </c>
      <c r="RY5" s="34">
        <v>457</v>
      </c>
      <c r="RZ5" s="34">
        <v>458</v>
      </c>
      <c r="SA5" s="34">
        <v>459</v>
      </c>
      <c r="SB5" s="34">
        <v>460</v>
      </c>
      <c r="SC5" s="34">
        <v>461</v>
      </c>
      <c r="SD5" s="34">
        <v>462</v>
      </c>
      <c r="SE5" s="34">
        <v>463</v>
      </c>
      <c r="SF5" s="34">
        <v>464</v>
      </c>
      <c r="SG5" s="34">
        <v>465</v>
      </c>
      <c r="SH5" s="34">
        <v>466</v>
      </c>
      <c r="SI5" s="34">
        <v>467</v>
      </c>
      <c r="SJ5" s="34">
        <v>468</v>
      </c>
      <c r="SK5" s="34">
        <v>469</v>
      </c>
      <c r="SL5" s="34">
        <v>470</v>
      </c>
      <c r="SM5" s="34">
        <v>471</v>
      </c>
      <c r="SN5" s="34">
        <v>472</v>
      </c>
      <c r="SO5" s="34">
        <v>473</v>
      </c>
      <c r="SP5" s="34">
        <v>474</v>
      </c>
      <c r="SQ5" s="34">
        <v>475</v>
      </c>
      <c r="SR5" s="34">
        <v>476</v>
      </c>
      <c r="SS5" s="34">
        <v>477</v>
      </c>
      <c r="ST5" s="34">
        <v>478</v>
      </c>
      <c r="SU5" s="34">
        <v>479</v>
      </c>
      <c r="SV5" s="34">
        <v>480</v>
      </c>
      <c r="SW5" s="34">
        <v>481</v>
      </c>
      <c r="SX5" s="34">
        <v>482</v>
      </c>
      <c r="SY5" s="34">
        <v>483</v>
      </c>
      <c r="SZ5" s="34">
        <v>484</v>
      </c>
      <c r="TA5" s="34">
        <v>485</v>
      </c>
      <c r="TB5" s="34">
        <v>486</v>
      </c>
      <c r="TC5" s="34">
        <v>487</v>
      </c>
      <c r="TD5" s="34">
        <v>488</v>
      </c>
      <c r="TE5" s="34">
        <v>489</v>
      </c>
      <c r="TF5" s="34">
        <v>490</v>
      </c>
      <c r="TG5" s="34">
        <v>491</v>
      </c>
      <c r="TH5" s="34">
        <v>492</v>
      </c>
      <c r="TI5" s="34">
        <v>493</v>
      </c>
      <c r="TJ5" s="34">
        <v>494</v>
      </c>
      <c r="TK5" s="34">
        <v>495</v>
      </c>
      <c r="TL5" s="34">
        <v>496</v>
      </c>
      <c r="TM5" s="34">
        <v>497</v>
      </c>
      <c r="TN5" s="34">
        <v>498</v>
      </c>
      <c r="TO5" s="34">
        <v>499</v>
      </c>
      <c r="TP5" s="34">
        <v>500</v>
      </c>
      <c r="TQ5" s="34">
        <v>501</v>
      </c>
      <c r="TR5" s="34">
        <v>502</v>
      </c>
      <c r="TS5" s="34">
        <v>503</v>
      </c>
      <c r="TT5" s="34">
        <v>504</v>
      </c>
      <c r="TU5" s="34">
        <v>505</v>
      </c>
      <c r="TV5" s="34">
        <v>506</v>
      </c>
      <c r="TW5" s="34">
        <v>507</v>
      </c>
      <c r="TX5" s="34">
        <v>508</v>
      </c>
      <c r="TY5" s="34">
        <v>509</v>
      </c>
      <c r="TZ5" s="34">
        <v>510</v>
      </c>
      <c r="UA5" s="34">
        <v>511</v>
      </c>
      <c r="UB5" s="34">
        <v>512</v>
      </c>
      <c r="UC5" s="34">
        <v>513</v>
      </c>
      <c r="UD5" s="34">
        <v>514</v>
      </c>
      <c r="UE5" s="34">
        <v>515</v>
      </c>
      <c r="UF5" s="34">
        <v>516</v>
      </c>
      <c r="UG5" s="34">
        <v>517</v>
      </c>
      <c r="UH5" s="34">
        <v>518</v>
      </c>
      <c r="UI5" s="34">
        <v>519</v>
      </c>
      <c r="UJ5" s="34">
        <v>520</v>
      </c>
      <c r="UK5" s="34">
        <v>521</v>
      </c>
      <c r="UL5" s="34">
        <v>522</v>
      </c>
      <c r="UM5" s="34">
        <v>523</v>
      </c>
      <c r="UN5" s="34">
        <v>524</v>
      </c>
      <c r="UO5" s="34">
        <v>525</v>
      </c>
      <c r="UP5" s="34">
        <v>526</v>
      </c>
      <c r="UQ5" s="34">
        <v>527</v>
      </c>
      <c r="UR5" s="34">
        <v>528</v>
      </c>
      <c r="US5" s="34">
        <v>529</v>
      </c>
      <c r="UT5" s="34">
        <v>530</v>
      </c>
      <c r="UU5" s="34">
        <v>531</v>
      </c>
      <c r="UV5" s="34">
        <v>532</v>
      </c>
      <c r="UW5" s="34">
        <v>533</v>
      </c>
      <c r="UX5" s="34">
        <v>534</v>
      </c>
      <c r="UY5" s="34">
        <v>535</v>
      </c>
      <c r="UZ5" s="34">
        <v>536</v>
      </c>
      <c r="VA5" s="34">
        <v>537</v>
      </c>
      <c r="VB5" s="34">
        <v>538</v>
      </c>
      <c r="VC5" s="34">
        <v>539</v>
      </c>
      <c r="VD5" s="34">
        <v>540</v>
      </c>
      <c r="VE5" s="34">
        <v>541</v>
      </c>
      <c r="VF5" s="34">
        <v>542</v>
      </c>
      <c r="VG5" s="34">
        <v>543</v>
      </c>
      <c r="VH5" s="34">
        <v>544</v>
      </c>
      <c r="VI5" s="34">
        <v>545</v>
      </c>
      <c r="VJ5" s="34">
        <v>546</v>
      </c>
      <c r="VK5" s="34">
        <v>547</v>
      </c>
      <c r="VL5" s="34">
        <v>548</v>
      </c>
      <c r="VM5" s="34">
        <v>549</v>
      </c>
      <c r="VN5" s="34">
        <v>550</v>
      </c>
      <c r="VO5" s="34">
        <v>551</v>
      </c>
      <c r="VP5" s="34">
        <v>552</v>
      </c>
      <c r="VQ5" s="34">
        <v>553</v>
      </c>
      <c r="VR5" s="34">
        <v>554</v>
      </c>
      <c r="VS5" s="34">
        <v>555</v>
      </c>
      <c r="VT5" s="34">
        <v>556</v>
      </c>
      <c r="VU5" s="34">
        <v>557</v>
      </c>
      <c r="VV5" s="34">
        <v>558</v>
      </c>
      <c r="VW5" s="34">
        <v>559</v>
      </c>
      <c r="VX5" s="34">
        <v>560</v>
      </c>
      <c r="VY5" s="34">
        <v>561</v>
      </c>
      <c r="VZ5" s="34">
        <v>562</v>
      </c>
      <c r="WA5" s="34">
        <v>563</v>
      </c>
      <c r="WB5" s="34">
        <v>564</v>
      </c>
      <c r="WC5" s="34">
        <v>565</v>
      </c>
      <c r="WD5" s="34">
        <v>566</v>
      </c>
      <c r="WE5" s="34">
        <v>567</v>
      </c>
      <c r="WF5" s="34">
        <v>568</v>
      </c>
      <c r="WG5" s="34">
        <v>569</v>
      </c>
      <c r="WH5" s="34">
        <v>570</v>
      </c>
      <c r="WI5" s="34">
        <v>571</v>
      </c>
      <c r="WJ5" s="34">
        <v>572</v>
      </c>
      <c r="WK5" s="34">
        <v>573</v>
      </c>
      <c r="WL5" s="34">
        <v>574</v>
      </c>
      <c r="WM5" s="34">
        <v>575</v>
      </c>
      <c r="WN5" s="34">
        <v>576</v>
      </c>
      <c r="WO5" s="34">
        <v>577</v>
      </c>
      <c r="WP5" s="34">
        <v>578</v>
      </c>
      <c r="WQ5" s="34">
        <v>579</v>
      </c>
      <c r="WR5" s="34">
        <v>580</v>
      </c>
      <c r="WS5" s="34">
        <v>581</v>
      </c>
      <c r="WT5" s="34">
        <v>582</v>
      </c>
      <c r="WU5" s="34">
        <v>583</v>
      </c>
      <c r="WV5" s="34">
        <v>584</v>
      </c>
      <c r="WW5" s="34">
        <v>585</v>
      </c>
      <c r="WX5" s="34">
        <v>586</v>
      </c>
      <c r="WY5" s="34">
        <v>587</v>
      </c>
      <c r="WZ5" s="34">
        <v>588</v>
      </c>
      <c r="XA5" s="34">
        <v>589</v>
      </c>
      <c r="XB5" s="34">
        <v>590</v>
      </c>
      <c r="XC5" s="34">
        <v>591</v>
      </c>
      <c r="XD5" s="34">
        <v>592</v>
      </c>
      <c r="XE5" s="34">
        <v>593</v>
      </c>
      <c r="XF5" s="34">
        <v>594</v>
      </c>
      <c r="XG5" s="34">
        <v>595</v>
      </c>
      <c r="XH5" s="34">
        <v>596</v>
      </c>
      <c r="XI5" s="34">
        <v>597</v>
      </c>
      <c r="XJ5" s="34">
        <v>598</v>
      </c>
      <c r="XK5" s="34">
        <v>599</v>
      </c>
      <c r="XL5" s="34">
        <v>600</v>
      </c>
      <c r="XM5" s="34">
        <v>601</v>
      </c>
      <c r="XN5" s="34">
        <v>602</v>
      </c>
      <c r="XO5" s="34">
        <v>603</v>
      </c>
      <c r="XP5" s="34">
        <v>604</v>
      </c>
      <c r="XQ5" s="34">
        <v>605</v>
      </c>
      <c r="XR5" s="34">
        <v>606</v>
      </c>
      <c r="XS5" s="34">
        <v>607</v>
      </c>
      <c r="XT5" s="34">
        <v>608</v>
      </c>
      <c r="XU5" s="34">
        <v>609</v>
      </c>
      <c r="XV5" s="34">
        <v>610</v>
      </c>
      <c r="XW5" s="34">
        <v>611</v>
      </c>
      <c r="XX5" s="34">
        <v>612</v>
      </c>
      <c r="XY5" s="34">
        <v>613</v>
      </c>
      <c r="XZ5" s="34">
        <v>614</v>
      </c>
      <c r="YA5" s="34">
        <v>615</v>
      </c>
      <c r="YB5" s="34">
        <v>616</v>
      </c>
      <c r="YC5" s="34">
        <v>617</v>
      </c>
      <c r="YD5" s="34">
        <v>618</v>
      </c>
      <c r="YE5" s="34">
        <v>619</v>
      </c>
      <c r="YF5" s="34">
        <v>620</v>
      </c>
      <c r="YG5" s="34">
        <v>621</v>
      </c>
      <c r="YH5" s="34">
        <v>622</v>
      </c>
      <c r="YI5" s="34">
        <v>623</v>
      </c>
      <c r="YJ5" s="34">
        <v>624</v>
      </c>
      <c r="YK5" s="34">
        <v>625</v>
      </c>
      <c r="YL5" s="34">
        <v>626</v>
      </c>
      <c r="YM5" s="34">
        <v>627</v>
      </c>
      <c r="YN5" s="34">
        <v>628</v>
      </c>
      <c r="YO5" s="34">
        <v>629</v>
      </c>
      <c r="YP5" s="34">
        <v>630</v>
      </c>
      <c r="YQ5" s="34">
        <v>631</v>
      </c>
      <c r="YR5" s="34">
        <v>632</v>
      </c>
      <c r="YS5" s="34">
        <v>633</v>
      </c>
      <c r="YT5" s="34">
        <v>634</v>
      </c>
      <c r="YU5" s="34">
        <v>635</v>
      </c>
      <c r="YV5" s="34">
        <v>636</v>
      </c>
      <c r="YW5" s="34">
        <v>637</v>
      </c>
      <c r="YX5" s="34">
        <v>638</v>
      </c>
      <c r="YY5" s="34">
        <v>639</v>
      </c>
      <c r="YZ5" s="34">
        <v>640</v>
      </c>
      <c r="ZA5" s="34">
        <v>641</v>
      </c>
      <c r="ZB5" s="34">
        <v>642</v>
      </c>
      <c r="ZC5" s="34">
        <v>643</v>
      </c>
      <c r="ZD5" s="34">
        <v>644</v>
      </c>
      <c r="ZE5" s="34">
        <v>645</v>
      </c>
      <c r="ZF5" s="34">
        <v>646</v>
      </c>
      <c r="ZG5" s="34">
        <v>647</v>
      </c>
      <c r="ZH5" s="34">
        <v>648</v>
      </c>
      <c r="ZI5" s="34">
        <v>649</v>
      </c>
      <c r="ZJ5" s="34">
        <v>650</v>
      </c>
      <c r="ZK5" s="34">
        <v>651</v>
      </c>
      <c r="ZL5" s="34">
        <v>652</v>
      </c>
      <c r="ZM5" s="34">
        <v>653</v>
      </c>
      <c r="ZN5" s="34">
        <v>654</v>
      </c>
      <c r="ZO5" s="34">
        <v>655</v>
      </c>
      <c r="ZP5" s="34">
        <v>656</v>
      </c>
      <c r="ZQ5" s="34">
        <v>657</v>
      </c>
      <c r="ZR5" s="34">
        <v>658</v>
      </c>
      <c r="ZS5" s="34">
        <v>659</v>
      </c>
      <c r="ZT5" s="34">
        <v>660</v>
      </c>
      <c r="ZU5" s="34">
        <v>661</v>
      </c>
      <c r="ZV5" s="34">
        <v>662</v>
      </c>
      <c r="ZW5" s="34">
        <v>663</v>
      </c>
      <c r="ZX5" s="34">
        <v>664</v>
      </c>
      <c r="ZY5" s="34">
        <v>665</v>
      </c>
      <c r="ZZ5" s="34">
        <v>666</v>
      </c>
      <c r="AAA5" s="34">
        <v>667</v>
      </c>
      <c r="AAB5" s="34">
        <v>668</v>
      </c>
      <c r="AAC5" s="34">
        <v>669</v>
      </c>
      <c r="AAD5" s="34">
        <v>670</v>
      </c>
      <c r="AAE5" s="34">
        <v>671</v>
      </c>
      <c r="AAF5" s="34">
        <v>672</v>
      </c>
      <c r="AAG5" s="34">
        <v>673</v>
      </c>
      <c r="AAH5" s="34">
        <v>674</v>
      </c>
      <c r="AAI5" s="34">
        <v>675</v>
      </c>
      <c r="AAJ5" s="34">
        <v>676</v>
      </c>
      <c r="AAK5" s="34">
        <v>677</v>
      </c>
      <c r="AAL5" s="34">
        <v>678</v>
      </c>
      <c r="AAM5" s="34">
        <v>679</v>
      </c>
      <c r="AAN5" s="34">
        <v>680</v>
      </c>
      <c r="AAO5" s="34">
        <v>681</v>
      </c>
      <c r="AAP5" s="34">
        <v>682</v>
      </c>
      <c r="AAQ5" s="34">
        <v>683</v>
      </c>
      <c r="AAR5" s="34">
        <v>684</v>
      </c>
      <c r="AAS5" s="34">
        <v>685</v>
      </c>
      <c r="AAT5" s="34">
        <v>686</v>
      </c>
      <c r="AAU5" s="34">
        <v>687</v>
      </c>
      <c r="AAV5" s="34">
        <v>688</v>
      </c>
      <c r="AAW5" s="34">
        <v>689</v>
      </c>
      <c r="AAX5" s="34">
        <v>690</v>
      </c>
      <c r="AAY5" s="34">
        <v>691</v>
      </c>
      <c r="AAZ5" s="34">
        <v>692</v>
      </c>
      <c r="ABA5" s="34">
        <v>693</v>
      </c>
      <c r="ABB5" s="34">
        <v>694</v>
      </c>
      <c r="ABC5" s="34">
        <v>695</v>
      </c>
      <c r="ABD5" s="34">
        <v>696</v>
      </c>
      <c r="ABE5" s="34">
        <v>697</v>
      </c>
      <c r="ABF5" s="34">
        <v>698</v>
      </c>
      <c r="ABG5" s="34">
        <v>699</v>
      </c>
      <c r="ABH5" s="34">
        <v>700</v>
      </c>
      <c r="ABI5" s="34">
        <v>701</v>
      </c>
      <c r="ABJ5" s="34">
        <v>702</v>
      </c>
      <c r="ABK5" s="34">
        <v>703</v>
      </c>
      <c r="ABL5" s="34">
        <v>704</v>
      </c>
      <c r="ABM5" s="34">
        <v>705</v>
      </c>
      <c r="ABN5" s="34">
        <v>706</v>
      </c>
      <c r="ABO5" s="34">
        <v>707</v>
      </c>
      <c r="ABP5" s="34">
        <v>708</v>
      </c>
      <c r="ABQ5" s="34">
        <v>709</v>
      </c>
      <c r="ABR5" s="34">
        <v>710</v>
      </c>
      <c r="ABS5" s="34">
        <v>711</v>
      </c>
      <c r="ABT5" s="34">
        <v>712</v>
      </c>
      <c r="ABU5" s="34">
        <v>713</v>
      </c>
      <c r="ABV5" s="34">
        <v>714</v>
      </c>
      <c r="ABW5" s="34">
        <v>715</v>
      </c>
      <c r="ABX5" s="34">
        <v>716</v>
      </c>
      <c r="ABY5" s="34">
        <v>717</v>
      </c>
      <c r="ABZ5" s="34">
        <v>718</v>
      </c>
      <c r="ACA5" s="34">
        <v>719</v>
      </c>
      <c r="ACB5" s="34">
        <v>720</v>
      </c>
      <c r="ACC5" s="34">
        <v>721</v>
      </c>
      <c r="ACD5" s="34">
        <v>722</v>
      </c>
      <c r="ACE5" s="34">
        <v>723</v>
      </c>
      <c r="ACF5" s="34">
        <v>724</v>
      </c>
      <c r="ACG5" s="34">
        <v>725</v>
      </c>
      <c r="ACH5" s="34">
        <v>726</v>
      </c>
      <c r="ACI5" s="34">
        <v>727</v>
      </c>
      <c r="ACJ5" s="34">
        <v>728</v>
      </c>
      <c r="ACK5" s="34">
        <v>729</v>
      </c>
      <c r="ACL5" s="34">
        <v>730</v>
      </c>
      <c r="ACM5" s="34">
        <v>731</v>
      </c>
      <c r="ACN5" s="34">
        <v>732</v>
      </c>
      <c r="ACO5" s="34">
        <v>733</v>
      </c>
      <c r="ACP5" s="34">
        <v>734</v>
      </c>
      <c r="ACQ5" s="34">
        <v>735</v>
      </c>
      <c r="ACR5" s="34">
        <v>736</v>
      </c>
      <c r="ACS5" s="34">
        <v>737</v>
      </c>
      <c r="ACT5" s="34">
        <v>738</v>
      </c>
      <c r="ACU5" s="34">
        <v>739</v>
      </c>
      <c r="ACV5" s="34">
        <v>740</v>
      </c>
      <c r="ACW5" s="34">
        <v>741</v>
      </c>
      <c r="ACX5" s="34">
        <v>742</v>
      </c>
      <c r="ACY5" s="34">
        <v>743</v>
      </c>
      <c r="ACZ5" s="34">
        <v>744</v>
      </c>
      <c r="ADA5" s="34">
        <v>745</v>
      </c>
      <c r="ADB5" s="34">
        <v>746</v>
      </c>
      <c r="ADC5" s="34">
        <v>747</v>
      </c>
      <c r="ADD5" s="34">
        <v>748</v>
      </c>
      <c r="ADE5" s="34">
        <v>749</v>
      </c>
      <c r="ADF5" s="34">
        <v>750</v>
      </c>
      <c r="ADG5" s="34">
        <v>751</v>
      </c>
      <c r="ADH5" s="34">
        <v>752</v>
      </c>
      <c r="ADI5" s="34">
        <v>753</v>
      </c>
      <c r="ADJ5" s="34">
        <v>754</v>
      </c>
      <c r="ADK5" s="34">
        <v>755</v>
      </c>
      <c r="ADL5" s="34">
        <v>756</v>
      </c>
      <c r="ADM5" s="34">
        <v>757</v>
      </c>
      <c r="ADN5" s="34">
        <v>758</v>
      </c>
      <c r="ADO5" s="34">
        <v>759</v>
      </c>
      <c r="ADP5" s="34">
        <v>760</v>
      </c>
      <c r="ADQ5" s="34">
        <v>761</v>
      </c>
      <c r="ADR5" s="34">
        <v>762</v>
      </c>
      <c r="ADS5" s="34">
        <v>763</v>
      </c>
      <c r="ADT5" s="34">
        <v>764</v>
      </c>
      <c r="ADU5" s="34">
        <v>765</v>
      </c>
      <c r="ADV5" s="34">
        <v>766</v>
      </c>
      <c r="ADW5" s="34">
        <v>767</v>
      </c>
      <c r="ADX5" s="34">
        <v>768</v>
      </c>
      <c r="ADY5" s="34">
        <v>769</v>
      </c>
      <c r="ADZ5" s="34">
        <v>770</v>
      </c>
      <c r="AEA5" s="34">
        <v>771</v>
      </c>
      <c r="AEB5" s="34">
        <v>772</v>
      </c>
      <c r="AEC5" s="34">
        <v>773</v>
      </c>
      <c r="AED5" s="34">
        <v>774</v>
      </c>
      <c r="AEE5" s="34">
        <v>775</v>
      </c>
      <c r="AEF5" s="34">
        <v>776</v>
      </c>
      <c r="AEG5" s="34">
        <v>777</v>
      </c>
      <c r="AEH5" s="34">
        <v>778</v>
      </c>
      <c r="AEI5" s="34">
        <v>779</v>
      </c>
      <c r="AEJ5" s="34">
        <v>780</v>
      </c>
      <c r="AEK5" s="34">
        <v>781</v>
      </c>
      <c r="AEL5" s="34">
        <v>782</v>
      </c>
      <c r="AEM5" s="34">
        <v>783</v>
      </c>
      <c r="AEN5" s="34">
        <v>784</v>
      </c>
      <c r="AEO5" s="34">
        <v>785</v>
      </c>
      <c r="AEP5" s="34">
        <v>786</v>
      </c>
      <c r="AEQ5" s="34">
        <v>787</v>
      </c>
      <c r="AER5" s="34">
        <v>788</v>
      </c>
      <c r="AES5" s="34">
        <v>789</v>
      </c>
      <c r="AET5" s="34">
        <v>790</v>
      </c>
      <c r="AEU5" s="34">
        <v>791</v>
      </c>
      <c r="AEV5" s="34">
        <v>792</v>
      </c>
      <c r="AEW5" s="34">
        <v>793</v>
      </c>
      <c r="AEX5" s="34">
        <v>794</v>
      </c>
      <c r="AEY5" s="34">
        <v>795</v>
      </c>
      <c r="AEZ5" s="34">
        <v>796</v>
      </c>
      <c r="AFA5" s="34">
        <v>797</v>
      </c>
      <c r="AFB5" s="34">
        <v>798</v>
      </c>
      <c r="AFC5" s="34">
        <v>799</v>
      </c>
      <c r="AFD5" s="34">
        <v>800</v>
      </c>
      <c r="AFE5" s="34">
        <v>801</v>
      </c>
      <c r="AFF5" s="34">
        <v>802</v>
      </c>
      <c r="AFG5" s="34">
        <v>803</v>
      </c>
      <c r="AFH5" s="34">
        <v>804</v>
      </c>
      <c r="AFI5" s="34">
        <v>805</v>
      </c>
      <c r="AFJ5" s="34">
        <v>806</v>
      </c>
      <c r="AFK5" s="34">
        <v>807</v>
      </c>
      <c r="AFL5" s="34">
        <v>808</v>
      </c>
      <c r="AFM5" s="34">
        <v>809</v>
      </c>
      <c r="AFN5" s="34">
        <v>810</v>
      </c>
      <c r="AFO5" s="34">
        <v>811</v>
      </c>
      <c r="AFP5" s="34">
        <v>812</v>
      </c>
      <c r="AFQ5" s="34">
        <v>813</v>
      </c>
      <c r="AFR5" s="34">
        <v>814</v>
      </c>
      <c r="AFS5" s="34">
        <v>815</v>
      </c>
      <c r="AFT5" s="34">
        <v>816</v>
      </c>
      <c r="AFU5" s="34">
        <v>817</v>
      </c>
      <c r="AFV5" s="34">
        <v>818</v>
      </c>
      <c r="AFW5" s="34">
        <v>819</v>
      </c>
      <c r="AFX5" s="34">
        <v>820</v>
      </c>
      <c r="AFY5" s="34">
        <v>821</v>
      </c>
      <c r="AFZ5" s="34">
        <v>822</v>
      </c>
      <c r="AGA5" s="34">
        <v>823</v>
      </c>
      <c r="AGB5" s="34">
        <v>824</v>
      </c>
      <c r="AGC5" s="34">
        <v>825</v>
      </c>
      <c r="AGD5" s="34">
        <v>826</v>
      </c>
      <c r="AGE5" s="34">
        <v>827</v>
      </c>
      <c r="AGF5" s="34">
        <v>828</v>
      </c>
      <c r="AGG5" s="34">
        <v>829</v>
      </c>
      <c r="AGH5" s="34">
        <v>830</v>
      </c>
      <c r="AGI5" s="34">
        <v>831</v>
      </c>
      <c r="AGJ5" s="34">
        <v>832</v>
      </c>
      <c r="AGK5" s="34">
        <v>833</v>
      </c>
      <c r="AGL5" s="34">
        <v>834</v>
      </c>
      <c r="AGM5" s="34">
        <v>835</v>
      </c>
      <c r="AGN5" s="34">
        <v>836</v>
      </c>
      <c r="AGO5" s="34">
        <v>837</v>
      </c>
      <c r="AGP5" s="34">
        <v>838</v>
      </c>
      <c r="AGQ5" s="34">
        <v>839</v>
      </c>
      <c r="AGR5" s="34">
        <v>840</v>
      </c>
      <c r="AGS5" s="34">
        <v>841</v>
      </c>
      <c r="AGT5" s="34">
        <v>842</v>
      </c>
      <c r="AGU5" s="34">
        <v>843</v>
      </c>
      <c r="AGV5" s="34">
        <v>844</v>
      </c>
      <c r="AGW5" s="34">
        <v>845</v>
      </c>
      <c r="AGX5" s="34">
        <v>846</v>
      </c>
      <c r="AGY5" s="34">
        <v>847</v>
      </c>
      <c r="AGZ5" s="34">
        <v>848</v>
      </c>
      <c r="AHA5" s="34">
        <v>849</v>
      </c>
      <c r="AHB5" s="34">
        <v>850</v>
      </c>
      <c r="AHC5" s="34">
        <v>851</v>
      </c>
      <c r="AHD5" s="34">
        <v>852</v>
      </c>
      <c r="AHE5" s="34">
        <v>853</v>
      </c>
      <c r="AHF5" s="34">
        <v>854</v>
      </c>
      <c r="AHG5" s="34">
        <v>855</v>
      </c>
      <c r="AHH5" s="34">
        <v>856</v>
      </c>
      <c r="AHI5" s="34">
        <v>857</v>
      </c>
      <c r="AHJ5" s="34">
        <v>858</v>
      </c>
      <c r="AHK5" s="34">
        <v>859</v>
      </c>
      <c r="AHL5" s="34">
        <v>860</v>
      </c>
      <c r="AHM5" s="34">
        <v>861</v>
      </c>
      <c r="AHN5" s="34">
        <v>862</v>
      </c>
      <c r="AHO5" s="34">
        <v>863</v>
      </c>
      <c r="AHP5" s="34">
        <v>864</v>
      </c>
      <c r="AHQ5" s="34">
        <v>865</v>
      </c>
      <c r="AHR5" s="34">
        <v>866</v>
      </c>
      <c r="AHS5" s="34">
        <v>867</v>
      </c>
      <c r="AHT5" s="34">
        <v>868</v>
      </c>
      <c r="AHU5" s="34">
        <v>869</v>
      </c>
      <c r="AHV5" s="34">
        <v>870</v>
      </c>
      <c r="AHW5" s="34">
        <v>871</v>
      </c>
      <c r="AHX5" s="34">
        <v>872</v>
      </c>
      <c r="AHY5" s="34">
        <v>873</v>
      </c>
      <c r="AHZ5" s="34">
        <v>874</v>
      </c>
      <c r="AIA5" s="34">
        <v>875</v>
      </c>
      <c r="AIB5" s="34">
        <v>876</v>
      </c>
      <c r="AIC5" s="34">
        <v>877</v>
      </c>
      <c r="AID5" s="34">
        <v>878</v>
      </c>
      <c r="AIE5" s="34">
        <v>879</v>
      </c>
      <c r="AIF5" s="34">
        <v>880</v>
      </c>
      <c r="AIG5" s="34">
        <v>881</v>
      </c>
      <c r="AIH5" s="34">
        <v>882</v>
      </c>
      <c r="AII5" s="34">
        <v>883</v>
      </c>
      <c r="AIJ5" s="34">
        <v>884</v>
      </c>
      <c r="AIK5" s="34">
        <v>885</v>
      </c>
      <c r="AIL5" s="34">
        <v>886</v>
      </c>
      <c r="AIM5" s="34">
        <v>887</v>
      </c>
      <c r="AIN5" s="34">
        <v>888</v>
      </c>
      <c r="AIO5" s="34">
        <v>889</v>
      </c>
      <c r="AIP5" s="34">
        <v>890</v>
      </c>
      <c r="AIQ5" s="34">
        <v>891</v>
      </c>
      <c r="AIR5" s="34">
        <v>892</v>
      </c>
      <c r="AIS5" s="34">
        <v>893</v>
      </c>
      <c r="AIT5" s="34">
        <v>894</v>
      </c>
      <c r="AIU5" s="34">
        <v>895</v>
      </c>
      <c r="AIV5" s="34">
        <v>896</v>
      </c>
      <c r="AIW5" s="34">
        <v>897</v>
      </c>
      <c r="AIX5" s="34">
        <v>898</v>
      </c>
      <c r="AIY5" s="34">
        <v>899</v>
      </c>
      <c r="AIZ5" s="34">
        <v>900</v>
      </c>
      <c r="AJA5" s="34">
        <v>901</v>
      </c>
      <c r="AJB5" s="34">
        <v>902</v>
      </c>
      <c r="AJC5" s="34">
        <v>903</v>
      </c>
      <c r="AJD5" s="34">
        <v>904</v>
      </c>
      <c r="AJE5" s="34">
        <v>905</v>
      </c>
      <c r="AJF5" s="34">
        <v>906</v>
      </c>
      <c r="AJG5" s="34">
        <v>907</v>
      </c>
      <c r="AJH5" s="34">
        <v>908</v>
      </c>
      <c r="AJI5" s="34">
        <v>909</v>
      </c>
      <c r="AJJ5" s="34">
        <v>910</v>
      </c>
      <c r="AJK5" s="34">
        <v>911</v>
      </c>
      <c r="AJL5" s="34">
        <v>912</v>
      </c>
      <c r="AJM5" s="34">
        <v>913</v>
      </c>
      <c r="AJN5" s="34">
        <v>914</v>
      </c>
      <c r="AJO5" s="34">
        <v>915</v>
      </c>
      <c r="AJP5" s="34">
        <v>916</v>
      </c>
      <c r="AJQ5" s="34">
        <v>917</v>
      </c>
      <c r="AJR5" s="34">
        <v>918</v>
      </c>
      <c r="AJS5" s="34">
        <v>919</v>
      </c>
      <c r="AJT5" s="34">
        <v>920</v>
      </c>
      <c r="AJU5" s="34">
        <v>921</v>
      </c>
      <c r="AJV5" s="34">
        <v>922</v>
      </c>
      <c r="AJW5" s="34">
        <v>923</v>
      </c>
      <c r="AJX5" s="34">
        <v>924</v>
      </c>
      <c r="AJY5" s="34">
        <v>925</v>
      </c>
      <c r="AJZ5" s="34">
        <v>926</v>
      </c>
      <c r="AKA5" s="34">
        <v>927</v>
      </c>
      <c r="AKB5" s="34">
        <v>928</v>
      </c>
      <c r="AKC5" s="34">
        <v>929</v>
      </c>
      <c r="AKD5" s="34">
        <v>930</v>
      </c>
      <c r="AKE5" s="34">
        <v>931</v>
      </c>
      <c r="AKF5" s="34">
        <v>932</v>
      </c>
      <c r="AKG5" s="34">
        <v>933</v>
      </c>
      <c r="AKH5" s="34">
        <v>934</v>
      </c>
      <c r="AKI5" s="34">
        <v>935</v>
      </c>
      <c r="AKJ5" s="34">
        <v>936</v>
      </c>
      <c r="AKK5" s="34">
        <v>937</v>
      </c>
      <c r="AKL5" s="34">
        <v>938</v>
      </c>
      <c r="AKM5" s="34">
        <v>939</v>
      </c>
      <c r="AKN5" s="34">
        <v>940</v>
      </c>
      <c r="AKO5" s="34">
        <v>941</v>
      </c>
      <c r="AKP5" s="34">
        <v>942</v>
      </c>
      <c r="AKQ5" s="34">
        <v>943</v>
      </c>
      <c r="AKR5" s="34">
        <v>944</v>
      </c>
      <c r="AKS5" s="34">
        <v>945</v>
      </c>
      <c r="AKT5" s="34"/>
      <c r="AKU5" s="34"/>
      <c r="AKV5" s="34"/>
      <c r="AKW5" s="34"/>
      <c r="AKX5" s="34"/>
      <c r="AKY5" s="34"/>
      <c r="AKZ5" s="34"/>
      <c r="ALA5" s="34"/>
      <c r="ALB5" s="34"/>
      <c r="ALC5" s="34"/>
      <c r="ALD5" s="34"/>
      <c r="ALE5" s="34"/>
      <c r="ALF5" s="34"/>
      <c r="ALG5" s="33"/>
      <c r="ALH5" s="33"/>
      <c r="ALI5" s="33"/>
      <c r="ALJ5" s="33"/>
      <c r="ALK5" s="33"/>
      <c r="ALL5" s="33"/>
      <c r="ALM5" s="33"/>
      <c r="ALN5" s="33"/>
      <c r="ALO5" s="33"/>
      <c r="ALP5" s="33"/>
      <c r="ALQ5" s="33"/>
      <c r="ALR5" s="33"/>
      <c r="ALS5" s="33"/>
      <c r="ALT5" s="33"/>
      <c r="ALU5" s="33"/>
      <c r="ALV5" s="33"/>
      <c r="ALW5" s="33"/>
      <c r="ALX5" s="33"/>
      <c r="ALY5" s="33"/>
      <c r="ALZ5" s="33"/>
      <c r="AMA5" s="33"/>
      <c r="AMB5" s="33"/>
      <c r="AMC5" s="33"/>
      <c r="AMD5" s="33"/>
      <c r="AME5" s="33"/>
      <c r="AMF5" s="33"/>
      <c r="AMG5" s="33"/>
      <c r="AMH5" s="33"/>
      <c r="AMI5" s="33"/>
      <c r="AMJ5" s="33"/>
      <c r="AMK5" s="33"/>
      <c r="AML5" s="33"/>
      <c r="AMM5" s="33"/>
      <c r="AMN5" s="33"/>
      <c r="AMO5" s="33"/>
      <c r="AMP5" s="33"/>
      <c r="AMQ5" s="33"/>
      <c r="AMR5" s="33"/>
      <c r="AMS5" s="33"/>
      <c r="AMT5" s="33"/>
      <c r="AMU5" s="33"/>
      <c r="AMV5" s="33"/>
      <c r="AMW5" s="33"/>
      <c r="AMX5" s="33"/>
      <c r="AMY5" s="33"/>
      <c r="AMZ5" s="33"/>
      <c r="ANA5" s="33"/>
      <c r="ANB5" s="33"/>
      <c r="ANC5" s="33"/>
      <c r="AND5" s="33"/>
      <c r="ANE5" s="33"/>
      <c r="ANF5" s="33"/>
      <c r="ANG5" s="33"/>
      <c r="ANH5" s="33"/>
      <c r="ANI5" s="33"/>
      <c r="ANJ5" s="33"/>
      <c r="ANK5" s="33"/>
      <c r="ANL5" s="33"/>
      <c r="ANM5" s="33"/>
      <c r="ANN5" s="33"/>
      <c r="ANO5" s="33"/>
      <c r="ANP5" s="33"/>
      <c r="ANQ5" s="33"/>
      <c r="ANR5" s="33"/>
      <c r="ANS5" s="33"/>
      <c r="ANT5" s="33"/>
      <c r="ANU5" s="33"/>
      <c r="ANV5" s="33"/>
      <c r="ANW5" s="33"/>
      <c r="ANX5" s="33"/>
      <c r="ANY5" s="33"/>
      <c r="ANZ5" s="33"/>
      <c r="AOA5" s="33"/>
      <c r="AOB5" s="33"/>
      <c r="AOC5" s="33"/>
      <c r="AOD5" s="33"/>
      <c r="AOE5" s="33"/>
      <c r="AOF5" s="33"/>
      <c r="AOG5" s="33"/>
      <c r="AOH5" s="33"/>
      <c r="AOI5" s="33"/>
      <c r="AOJ5" s="33"/>
      <c r="AOK5" s="33"/>
      <c r="AOL5" s="33"/>
      <c r="AOM5" s="33"/>
      <c r="AON5" s="33"/>
      <c r="AOO5" s="33"/>
      <c r="AOP5" s="33"/>
      <c r="AOQ5" s="33"/>
      <c r="AOR5" s="33"/>
      <c r="AOS5" s="33"/>
      <c r="AOT5" s="33"/>
      <c r="AOU5" s="33"/>
      <c r="AOV5" s="33"/>
      <c r="AOW5" s="33"/>
      <c r="AOX5" s="33"/>
      <c r="AOY5" s="33"/>
      <c r="AOZ5" s="33"/>
      <c r="APA5" s="33"/>
      <c r="APB5" s="33"/>
      <c r="APC5" s="33"/>
      <c r="APD5" s="33"/>
      <c r="APE5" s="33"/>
      <c r="APF5" s="33"/>
      <c r="APG5" s="33"/>
      <c r="APH5" s="33"/>
      <c r="API5" s="33"/>
      <c r="APJ5" s="33"/>
      <c r="APK5" s="33"/>
      <c r="APL5" s="33"/>
      <c r="APM5" s="33"/>
      <c r="APN5" s="33"/>
      <c r="APO5" s="33"/>
      <c r="APP5" s="33"/>
      <c r="APQ5" s="33"/>
      <c r="APR5" s="33"/>
      <c r="APS5" s="33"/>
      <c r="APT5" s="33"/>
      <c r="APU5" s="33"/>
      <c r="APV5" s="33"/>
      <c r="APW5" s="33"/>
      <c r="APX5" s="33"/>
      <c r="APY5" s="33"/>
      <c r="APZ5" s="33"/>
      <c r="AQA5" s="33"/>
      <c r="AQB5" s="33"/>
      <c r="AQC5" s="33"/>
      <c r="AQD5" s="33"/>
      <c r="AQE5" s="33"/>
      <c r="AQF5" s="33"/>
      <c r="AQG5" s="33"/>
      <c r="AQH5" s="33"/>
      <c r="AQI5" s="33"/>
      <c r="AQJ5" s="33"/>
      <c r="AQK5" s="33"/>
      <c r="AQL5" s="33"/>
      <c r="AQM5" s="33"/>
      <c r="AQN5" s="33"/>
      <c r="AQO5" s="33"/>
      <c r="AQP5" s="33"/>
      <c r="AQQ5" s="33"/>
      <c r="AQR5" s="33"/>
      <c r="AQS5" s="33"/>
      <c r="AQT5" s="33"/>
      <c r="AQU5" s="33"/>
      <c r="AQV5" s="33"/>
      <c r="AQW5" s="33"/>
      <c r="AQX5" s="33"/>
      <c r="AQY5" s="33"/>
      <c r="AQZ5" s="33"/>
      <c r="ARA5" s="33"/>
      <c r="ARB5" s="33"/>
      <c r="ARC5" s="33"/>
      <c r="ARD5" s="33"/>
      <c r="ARE5" s="33"/>
      <c r="ARF5" s="33"/>
      <c r="ARG5" s="33"/>
      <c r="ARH5" s="33"/>
      <c r="ARI5" s="33"/>
      <c r="ARJ5" s="33"/>
      <c r="ARK5" s="33"/>
      <c r="ARL5" s="33"/>
      <c r="ARM5" s="33"/>
      <c r="ARN5" s="33"/>
      <c r="ARO5" s="33"/>
      <c r="ARP5" s="33"/>
      <c r="ARQ5" s="33"/>
      <c r="ARR5" s="33"/>
      <c r="ARS5" s="33"/>
      <c r="ART5" s="33"/>
      <c r="ARU5" s="33"/>
      <c r="ARV5" s="33"/>
      <c r="ARW5" s="33"/>
      <c r="ARX5" s="33"/>
      <c r="ARY5" s="33"/>
      <c r="ARZ5" s="33"/>
      <c r="ASA5" s="33"/>
      <c r="ASB5" s="33"/>
      <c r="ASC5" s="33"/>
      <c r="ASD5" s="33"/>
      <c r="ASE5" s="33"/>
      <c r="ASF5" s="33"/>
      <c r="ASG5" s="33"/>
      <c r="ASH5" s="33"/>
      <c r="ASI5" s="33"/>
      <c r="ASJ5" s="33"/>
      <c r="ASK5" s="33"/>
      <c r="ASL5" s="33"/>
      <c r="ASM5" s="33"/>
      <c r="ASN5" s="33"/>
      <c r="ASO5" s="33"/>
      <c r="ASP5" s="33"/>
      <c r="ASQ5" s="33"/>
      <c r="ASR5" s="33"/>
      <c r="ASS5" s="33"/>
      <c r="AST5" s="33"/>
      <c r="ASU5" s="33"/>
      <c r="ASV5" s="33"/>
      <c r="ASW5" s="33"/>
      <c r="ASX5" s="33"/>
      <c r="ASY5" s="33"/>
      <c r="ASZ5" s="33"/>
      <c r="ATA5" s="33"/>
      <c r="ATB5" s="33"/>
      <c r="ATC5" s="33"/>
      <c r="ATD5" s="33"/>
      <c r="ATE5" s="33"/>
      <c r="ATF5" s="33"/>
      <c r="ATG5" s="33"/>
      <c r="ATH5" s="33"/>
      <c r="ATI5" s="33"/>
      <c r="ATJ5" s="33"/>
      <c r="ATK5" s="33"/>
      <c r="ATL5" s="33"/>
      <c r="ATM5" s="33"/>
      <c r="ATN5" s="33"/>
      <c r="ATO5" s="33"/>
      <c r="ATP5" s="33"/>
      <c r="ATQ5" s="33"/>
      <c r="ATR5" s="33"/>
      <c r="ATS5" s="33"/>
      <c r="ATT5" s="33"/>
      <c r="ATU5" s="33"/>
      <c r="ATV5" s="33"/>
      <c r="ATW5" s="33"/>
      <c r="ATX5" s="33"/>
      <c r="ATY5" s="33"/>
      <c r="ATZ5" s="33"/>
      <c r="AUA5" s="33"/>
      <c r="AUB5" s="33"/>
      <c r="AUC5" s="33"/>
      <c r="AUD5" s="33"/>
      <c r="AUE5" s="33"/>
      <c r="AUF5" s="33"/>
      <c r="AUG5" s="33"/>
      <c r="AUH5" s="33"/>
      <c r="AUI5" s="33"/>
      <c r="AUJ5" s="33"/>
      <c r="AUK5" s="33"/>
      <c r="AUL5" s="33"/>
      <c r="AUM5" s="33"/>
      <c r="AUN5" s="33"/>
      <c r="AUO5" s="33"/>
      <c r="AUP5" s="33"/>
      <c r="AUQ5" s="33"/>
      <c r="AUR5" s="33"/>
      <c r="AUS5" s="33"/>
      <c r="AUT5" s="33"/>
      <c r="AUU5" s="33"/>
      <c r="AUV5" s="33"/>
      <c r="AUW5" s="33"/>
      <c r="AUX5" s="33"/>
      <c r="AUY5" s="33"/>
      <c r="AUZ5" s="33"/>
      <c r="AVA5" s="33"/>
      <c r="AVB5" s="33"/>
    </row>
    <row r="6" spans="1:1250" ht="18.75" customHeight="1">
      <c r="A6" s="9" t="s">
        <v>17</v>
      </c>
      <c r="B6" s="9" t="s">
        <v>21</v>
      </c>
      <c r="C6" s="9" t="s">
        <v>24</v>
      </c>
      <c r="D6" s="9" t="s">
        <v>18</v>
      </c>
      <c r="E6" s="9" t="s">
        <v>19</v>
      </c>
      <c r="F6" s="9" t="s">
        <v>22</v>
      </c>
      <c r="G6" s="37" t="s">
        <v>4</v>
      </c>
      <c r="H6" s="24" t="s">
        <v>20</v>
      </c>
      <c r="I6" s="37" t="s">
        <v>23</v>
      </c>
      <c r="J6" s="37" t="s">
        <v>30</v>
      </c>
      <c r="K6" s="75" t="s">
        <v>73</v>
      </c>
      <c r="L6" s="33"/>
      <c r="M6" s="38" t="s">
        <v>75</v>
      </c>
      <c r="N6" s="39" t="s">
        <v>26</v>
      </c>
      <c r="O6" s="38" t="s">
        <v>74</v>
      </c>
      <c r="P6" s="77" t="s">
        <v>25</v>
      </c>
      <c r="Q6" s="209" t="s">
        <v>1279</v>
      </c>
      <c r="R6" s="79" t="s">
        <v>159</v>
      </c>
      <c r="S6" s="80" t="s">
        <v>35</v>
      </c>
      <c r="T6" s="36" t="s">
        <v>5</v>
      </c>
      <c r="U6" s="40" t="s">
        <v>6</v>
      </c>
      <c r="V6" s="48" t="s">
        <v>118</v>
      </c>
      <c r="W6" s="48" t="s">
        <v>117</v>
      </c>
      <c r="X6" s="48" t="s">
        <v>216</v>
      </c>
      <c r="Y6" s="115" t="s">
        <v>217</v>
      </c>
      <c r="Z6" s="48" t="s">
        <v>512</v>
      </c>
      <c r="AA6" s="60" t="s">
        <v>119</v>
      </c>
      <c r="AB6" s="103" t="s">
        <v>214</v>
      </c>
      <c r="AC6" s="103" t="s">
        <v>308</v>
      </c>
      <c r="AD6" s="103" t="s">
        <v>510</v>
      </c>
      <c r="AE6" s="63" t="s">
        <v>7</v>
      </c>
      <c r="AF6" s="40" t="s">
        <v>8</v>
      </c>
      <c r="AG6" s="40" t="s">
        <v>9</v>
      </c>
      <c r="AH6" s="40" t="s">
        <v>10</v>
      </c>
      <c r="AI6" s="40" t="s">
        <v>32</v>
      </c>
      <c r="AJ6" s="41">
        <f ca="1">AI5</f>
        <v>45475</v>
      </c>
      <c r="AK6" s="41">
        <f ca="1">DATE(YEAR($AJ$6),MONTH($AJ$6)+AK5,DAY(1))</f>
        <v>45505</v>
      </c>
      <c r="AL6" s="41">
        <f t="shared" ref="AL6:CW6" ca="1" si="30">DATE(YEAR($AJ$6),MONTH($AJ$6)+AL5,DAY(1))</f>
        <v>45536</v>
      </c>
      <c r="AM6" s="41">
        <f t="shared" ca="1" si="30"/>
        <v>45566</v>
      </c>
      <c r="AN6" s="41">
        <f t="shared" ca="1" si="30"/>
        <v>45597</v>
      </c>
      <c r="AO6" s="41">
        <f t="shared" ca="1" si="30"/>
        <v>45627</v>
      </c>
      <c r="AP6" s="41">
        <f t="shared" ca="1" si="30"/>
        <v>45658</v>
      </c>
      <c r="AQ6" s="41">
        <f t="shared" ca="1" si="30"/>
        <v>45689</v>
      </c>
      <c r="AR6" s="41">
        <f t="shared" ca="1" si="30"/>
        <v>45717</v>
      </c>
      <c r="AS6" s="41">
        <f t="shared" ca="1" si="30"/>
        <v>45748</v>
      </c>
      <c r="AT6" s="41">
        <f t="shared" ca="1" si="30"/>
        <v>45778</v>
      </c>
      <c r="AU6" s="41">
        <f t="shared" ca="1" si="30"/>
        <v>45809</v>
      </c>
      <c r="AV6" s="41">
        <f t="shared" ca="1" si="30"/>
        <v>45839</v>
      </c>
      <c r="AW6" s="41">
        <f t="shared" ca="1" si="30"/>
        <v>45870</v>
      </c>
      <c r="AX6" s="41">
        <f t="shared" ca="1" si="30"/>
        <v>45901</v>
      </c>
      <c r="AY6" s="41">
        <f t="shared" ca="1" si="30"/>
        <v>45931</v>
      </c>
      <c r="AZ6" s="41">
        <f t="shared" ca="1" si="30"/>
        <v>45962</v>
      </c>
      <c r="BA6" s="41">
        <f t="shared" ca="1" si="30"/>
        <v>45992</v>
      </c>
      <c r="BB6" s="41">
        <f t="shared" ca="1" si="30"/>
        <v>46023</v>
      </c>
      <c r="BC6" s="41">
        <f t="shared" ca="1" si="30"/>
        <v>46054</v>
      </c>
      <c r="BD6" s="41">
        <f t="shared" ca="1" si="30"/>
        <v>46082</v>
      </c>
      <c r="BE6" s="41">
        <f t="shared" ca="1" si="30"/>
        <v>46113</v>
      </c>
      <c r="BF6" s="41">
        <f t="shared" ca="1" si="30"/>
        <v>46143</v>
      </c>
      <c r="BG6" s="41">
        <f t="shared" ca="1" si="30"/>
        <v>46174</v>
      </c>
      <c r="BH6" s="41">
        <f t="shared" ca="1" si="30"/>
        <v>46204</v>
      </c>
      <c r="BI6" s="41">
        <f t="shared" ca="1" si="30"/>
        <v>46235</v>
      </c>
      <c r="BJ6" s="41">
        <f t="shared" ca="1" si="30"/>
        <v>46266</v>
      </c>
      <c r="BK6" s="41">
        <f t="shared" ca="1" si="30"/>
        <v>46296</v>
      </c>
      <c r="BL6" s="41">
        <f t="shared" ca="1" si="30"/>
        <v>46327</v>
      </c>
      <c r="BM6" s="41">
        <f t="shared" ca="1" si="30"/>
        <v>46357</v>
      </c>
      <c r="BN6" s="41">
        <f t="shared" ca="1" si="30"/>
        <v>46388</v>
      </c>
      <c r="BO6" s="41">
        <f t="shared" ca="1" si="30"/>
        <v>46419</v>
      </c>
      <c r="BP6" s="41">
        <f t="shared" ca="1" si="30"/>
        <v>46447</v>
      </c>
      <c r="BQ6" s="41">
        <f t="shared" ca="1" si="30"/>
        <v>46478</v>
      </c>
      <c r="BR6" s="41">
        <f t="shared" ca="1" si="30"/>
        <v>46508</v>
      </c>
      <c r="BS6" s="41">
        <f t="shared" ca="1" si="30"/>
        <v>46539</v>
      </c>
      <c r="BT6" s="41">
        <f t="shared" ca="1" si="30"/>
        <v>46569</v>
      </c>
      <c r="BU6" s="41">
        <f t="shared" ca="1" si="30"/>
        <v>46600</v>
      </c>
      <c r="BV6" s="41">
        <f t="shared" ca="1" si="30"/>
        <v>46631</v>
      </c>
      <c r="BW6" s="41">
        <f t="shared" ca="1" si="30"/>
        <v>46661</v>
      </c>
      <c r="BX6" s="41">
        <f t="shared" ca="1" si="30"/>
        <v>46692</v>
      </c>
      <c r="BY6" s="41">
        <f t="shared" ca="1" si="30"/>
        <v>46722</v>
      </c>
      <c r="BZ6" s="41">
        <f t="shared" ca="1" si="30"/>
        <v>46753</v>
      </c>
      <c r="CA6" s="41">
        <f t="shared" ca="1" si="30"/>
        <v>46784</v>
      </c>
      <c r="CB6" s="41">
        <f t="shared" ca="1" si="30"/>
        <v>46813</v>
      </c>
      <c r="CC6" s="41">
        <f t="shared" ca="1" si="30"/>
        <v>46844</v>
      </c>
      <c r="CD6" s="41">
        <f t="shared" ca="1" si="30"/>
        <v>46874</v>
      </c>
      <c r="CE6" s="41">
        <f t="shared" ca="1" si="30"/>
        <v>46905</v>
      </c>
      <c r="CF6" s="41">
        <f t="shared" ca="1" si="30"/>
        <v>46935</v>
      </c>
      <c r="CG6" s="41">
        <f t="shared" ca="1" si="30"/>
        <v>46966</v>
      </c>
      <c r="CH6" s="41">
        <f t="shared" ca="1" si="30"/>
        <v>46997</v>
      </c>
      <c r="CI6" s="41">
        <f t="shared" ca="1" si="30"/>
        <v>47027</v>
      </c>
      <c r="CJ6" s="41">
        <f t="shared" ca="1" si="30"/>
        <v>47058</v>
      </c>
      <c r="CK6" s="41">
        <f t="shared" ca="1" si="30"/>
        <v>47088</v>
      </c>
      <c r="CL6" s="41">
        <f t="shared" ca="1" si="30"/>
        <v>47119</v>
      </c>
      <c r="CM6" s="41">
        <f t="shared" ca="1" si="30"/>
        <v>47150</v>
      </c>
      <c r="CN6" s="41">
        <f t="shared" ca="1" si="30"/>
        <v>47178</v>
      </c>
      <c r="CO6" s="41">
        <f t="shared" ca="1" si="30"/>
        <v>47209</v>
      </c>
      <c r="CP6" s="41">
        <f t="shared" ca="1" si="30"/>
        <v>47239</v>
      </c>
      <c r="CQ6" s="41">
        <f t="shared" ca="1" si="30"/>
        <v>47270</v>
      </c>
      <c r="CR6" s="41">
        <f t="shared" ca="1" si="30"/>
        <v>47300</v>
      </c>
      <c r="CS6" s="41">
        <f t="shared" ca="1" si="30"/>
        <v>47331</v>
      </c>
      <c r="CT6" s="41">
        <f t="shared" ca="1" si="30"/>
        <v>47362</v>
      </c>
      <c r="CU6" s="41">
        <f t="shared" ca="1" si="30"/>
        <v>47392</v>
      </c>
      <c r="CV6" s="41">
        <f t="shared" ca="1" si="30"/>
        <v>47423</v>
      </c>
      <c r="CW6" s="41">
        <f t="shared" ca="1" si="30"/>
        <v>47453</v>
      </c>
      <c r="CX6" s="41">
        <f t="shared" ref="CX6:FI6" ca="1" si="31">DATE(YEAR($AJ$6),MONTH($AJ$6)+CX5,DAY(1))</f>
        <v>47484</v>
      </c>
      <c r="CY6" s="41">
        <f t="shared" ca="1" si="31"/>
        <v>47515</v>
      </c>
      <c r="CZ6" s="41">
        <f t="shared" ca="1" si="31"/>
        <v>47543</v>
      </c>
      <c r="DA6" s="41">
        <f t="shared" ca="1" si="31"/>
        <v>47574</v>
      </c>
      <c r="DB6" s="41">
        <f t="shared" ca="1" si="31"/>
        <v>47604</v>
      </c>
      <c r="DC6" s="41">
        <f t="shared" ca="1" si="31"/>
        <v>47635</v>
      </c>
      <c r="DD6" s="41">
        <f t="shared" ca="1" si="31"/>
        <v>47665</v>
      </c>
      <c r="DE6" s="41">
        <f t="shared" ca="1" si="31"/>
        <v>47696</v>
      </c>
      <c r="DF6" s="41">
        <f t="shared" ca="1" si="31"/>
        <v>47727</v>
      </c>
      <c r="DG6" s="41">
        <f t="shared" ca="1" si="31"/>
        <v>47757</v>
      </c>
      <c r="DH6" s="41">
        <f t="shared" ca="1" si="31"/>
        <v>47788</v>
      </c>
      <c r="DI6" s="41">
        <f t="shared" ca="1" si="31"/>
        <v>47818</v>
      </c>
      <c r="DJ6" s="41">
        <f t="shared" ca="1" si="31"/>
        <v>47849</v>
      </c>
      <c r="DK6" s="41">
        <f t="shared" ca="1" si="31"/>
        <v>47880</v>
      </c>
      <c r="DL6" s="41">
        <f t="shared" ca="1" si="31"/>
        <v>47908</v>
      </c>
      <c r="DM6" s="41">
        <f t="shared" ca="1" si="31"/>
        <v>47939</v>
      </c>
      <c r="DN6" s="41">
        <f t="shared" ca="1" si="31"/>
        <v>47969</v>
      </c>
      <c r="DO6" s="41">
        <f t="shared" ca="1" si="31"/>
        <v>48000</v>
      </c>
      <c r="DP6" s="41">
        <f t="shared" ca="1" si="31"/>
        <v>48030</v>
      </c>
      <c r="DQ6" s="41">
        <f t="shared" ca="1" si="31"/>
        <v>48061</v>
      </c>
      <c r="DR6" s="41">
        <f t="shared" ca="1" si="31"/>
        <v>48092</v>
      </c>
      <c r="DS6" s="41">
        <f t="shared" ca="1" si="31"/>
        <v>48122</v>
      </c>
      <c r="DT6" s="41">
        <f t="shared" ca="1" si="31"/>
        <v>48153</v>
      </c>
      <c r="DU6" s="41">
        <f t="shared" ca="1" si="31"/>
        <v>48183</v>
      </c>
      <c r="DV6" s="41">
        <f t="shared" ca="1" si="31"/>
        <v>48214</v>
      </c>
      <c r="DW6" s="41">
        <f t="shared" ca="1" si="31"/>
        <v>48245</v>
      </c>
      <c r="DX6" s="41">
        <f t="shared" ca="1" si="31"/>
        <v>48274</v>
      </c>
      <c r="DY6" s="41">
        <f t="shared" ca="1" si="31"/>
        <v>48305</v>
      </c>
      <c r="DZ6" s="41">
        <f t="shared" ca="1" si="31"/>
        <v>48335</v>
      </c>
      <c r="EA6" s="41">
        <f t="shared" ca="1" si="31"/>
        <v>48366</v>
      </c>
      <c r="EB6" s="41">
        <f t="shared" ca="1" si="31"/>
        <v>48396</v>
      </c>
      <c r="EC6" s="41">
        <f t="shared" ca="1" si="31"/>
        <v>48427</v>
      </c>
      <c r="ED6" s="41">
        <f t="shared" ca="1" si="31"/>
        <v>48458</v>
      </c>
      <c r="EE6" s="41">
        <f t="shared" ca="1" si="31"/>
        <v>48488</v>
      </c>
      <c r="EF6" s="41">
        <f t="shared" ca="1" si="31"/>
        <v>48519</v>
      </c>
      <c r="EG6" s="41">
        <f t="shared" ca="1" si="31"/>
        <v>48549</v>
      </c>
      <c r="EH6" s="41">
        <f t="shared" ca="1" si="31"/>
        <v>48580</v>
      </c>
      <c r="EI6" s="41">
        <f t="shared" ca="1" si="31"/>
        <v>48611</v>
      </c>
      <c r="EJ6" s="41">
        <f t="shared" ca="1" si="31"/>
        <v>48639</v>
      </c>
      <c r="EK6" s="41">
        <f t="shared" ca="1" si="31"/>
        <v>48670</v>
      </c>
      <c r="EL6" s="41">
        <f t="shared" ca="1" si="31"/>
        <v>48700</v>
      </c>
      <c r="EM6" s="41">
        <f t="shared" ca="1" si="31"/>
        <v>48731</v>
      </c>
      <c r="EN6" s="41">
        <f t="shared" ca="1" si="31"/>
        <v>48761</v>
      </c>
      <c r="EO6" s="41">
        <f t="shared" ca="1" si="31"/>
        <v>48792</v>
      </c>
      <c r="EP6" s="41">
        <f t="shared" ca="1" si="31"/>
        <v>48823</v>
      </c>
      <c r="EQ6" s="41">
        <f t="shared" ca="1" si="31"/>
        <v>48853</v>
      </c>
      <c r="ER6" s="41">
        <f t="shared" ca="1" si="31"/>
        <v>48884</v>
      </c>
      <c r="ES6" s="41">
        <f t="shared" ca="1" si="31"/>
        <v>48914</v>
      </c>
      <c r="ET6" s="41">
        <f t="shared" ca="1" si="31"/>
        <v>48945</v>
      </c>
      <c r="EU6" s="41">
        <f t="shared" ca="1" si="31"/>
        <v>48976</v>
      </c>
      <c r="EV6" s="41">
        <f t="shared" ca="1" si="31"/>
        <v>49004</v>
      </c>
      <c r="EW6" s="41">
        <f t="shared" ca="1" si="31"/>
        <v>49035</v>
      </c>
      <c r="EX6" s="41">
        <f t="shared" ca="1" si="31"/>
        <v>49065</v>
      </c>
      <c r="EY6" s="41">
        <f t="shared" ca="1" si="31"/>
        <v>49096</v>
      </c>
      <c r="EZ6" s="41">
        <f t="shared" ca="1" si="31"/>
        <v>49126</v>
      </c>
      <c r="FA6" s="41">
        <f t="shared" ca="1" si="31"/>
        <v>49157</v>
      </c>
      <c r="FB6" s="41">
        <f t="shared" ca="1" si="31"/>
        <v>49188</v>
      </c>
      <c r="FC6" s="41">
        <f t="shared" ca="1" si="31"/>
        <v>49218</v>
      </c>
      <c r="FD6" s="41">
        <f t="shared" ca="1" si="31"/>
        <v>49249</v>
      </c>
      <c r="FE6" s="41">
        <f t="shared" ca="1" si="31"/>
        <v>49279</v>
      </c>
      <c r="FF6" s="41">
        <f t="shared" ca="1" si="31"/>
        <v>49310</v>
      </c>
      <c r="FG6" s="41">
        <f t="shared" ca="1" si="31"/>
        <v>49341</v>
      </c>
      <c r="FH6" s="41">
        <f t="shared" ca="1" si="31"/>
        <v>49369</v>
      </c>
      <c r="FI6" s="41">
        <f t="shared" ca="1" si="31"/>
        <v>49400</v>
      </c>
      <c r="FJ6" s="41">
        <f t="shared" ref="FJ6:HU6" ca="1" si="32">DATE(YEAR($AJ$6),MONTH($AJ$6)+FJ5,DAY(1))</f>
        <v>49430</v>
      </c>
      <c r="FK6" s="41">
        <f t="shared" ca="1" si="32"/>
        <v>49461</v>
      </c>
      <c r="FL6" s="41">
        <f t="shared" ca="1" si="32"/>
        <v>49491</v>
      </c>
      <c r="FM6" s="41">
        <f t="shared" ca="1" si="32"/>
        <v>49522</v>
      </c>
      <c r="FN6" s="41">
        <f t="shared" ca="1" si="32"/>
        <v>49553</v>
      </c>
      <c r="FO6" s="41">
        <f t="shared" ca="1" si="32"/>
        <v>49583</v>
      </c>
      <c r="FP6" s="41">
        <f t="shared" ca="1" si="32"/>
        <v>49614</v>
      </c>
      <c r="FQ6" s="41">
        <f t="shared" ca="1" si="32"/>
        <v>49644</v>
      </c>
      <c r="FR6" s="41">
        <f t="shared" ca="1" si="32"/>
        <v>49675</v>
      </c>
      <c r="FS6" s="41">
        <f t="shared" ca="1" si="32"/>
        <v>49706</v>
      </c>
      <c r="FT6" s="41">
        <f t="shared" ca="1" si="32"/>
        <v>49735</v>
      </c>
      <c r="FU6" s="41">
        <f t="shared" ca="1" si="32"/>
        <v>49766</v>
      </c>
      <c r="FV6" s="41">
        <f t="shared" ca="1" si="32"/>
        <v>49796</v>
      </c>
      <c r="FW6" s="41">
        <f t="shared" ca="1" si="32"/>
        <v>49827</v>
      </c>
      <c r="FX6" s="41">
        <f t="shared" ca="1" si="32"/>
        <v>49857</v>
      </c>
      <c r="FY6" s="41">
        <f t="shared" ca="1" si="32"/>
        <v>49888</v>
      </c>
      <c r="FZ6" s="41">
        <f t="shared" ca="1" si="32"/>
        <v>49919</v>
      </c>
      <c r="GA6" s="41">
        <f t="shared" ca="1" si="32"/>
        <v>49949</v>
      </c>
      <c r="GB6" s="41">
        <f t="shared" ca="1" si="32"/>
        <v>49980</v>
      </c>
      <c r="GC6" s="41">
        <f t="shared" ca="1" si="32"/>
        <v>50010</v>
      </c>
      <c r="GD6" s="41">
        <f t="shared" ca="1" si="32"/>
        <v>50041</v>
      </c>
      <c r="GE6" s="41">
        <f t="shared" ca="1" si="32"/>
        <v>50072</v>
      </c>
      <c r="GF6" s="41">
        <f t="shared" ca="1" si="32"/>
        <v>50100</v>
      </c>
      <c r="GG6" s="41">
        <f t="shared" ca="1" si="32"/>
        <v>50131</v>
      </c>
      <c r="GH6" s="41">
        <f t="shared" ca="1" si="32"/>
        <v>50161</v>
      </c>
      <c r="GI6" s="41">
        <f t="shared" ca="1" si="32"/>
        <v>50192</v>
      </c>
      <c r="GJ6" s="41">
        <f t="shared" ca="1" si="32"/>
        <v>50222</v>
      </c>
      <c r="GK6" s="41">
        <f t="shared" ca="1" si="32"/>
        <v>50253</v>
      </c>
      <c r="GL6" s="41">
        <f t="shared" ca="1" si="32"/>
        <v>50284</v>
      </c>
      <c r="GM6" s="41">
        <f t="shared" ca="1" si="32"/>
        <v>50314</v>
      </c>
      <c r="GN6" s="41">
        <f t="shared" ca="1" si="32"/>
        <v>50345</v>
      </c>
      <c r="GO6" s="41">
        <f t="shared" ca="1" si="32"/>
        <v>50375</v>
      </c>
      <c r="GP6" s="41">
        <f t="shared" ca="1" si="32"/>
        <v>50406</v>
      </c>
      <c r="GQ6" s="41">
        <f t="shared" ca="1" si="32"/>
        <v>50437</v>
      </c>
      <c r="GR6" s="41">
        <f t="shared" ca="1" si="32"/>
        <v>50465</v>
      </c>
      <c r="GS6" s="41">
        <f t="shared" ca="1" si="32"/>
        <v>50496</v>
      </c>
      <c r="GT6" s="41">
        <f t="shared" ca="1" si="32"/>
        <v>50526</v>
      </c>
      <c r="GU6" s="41">
        <f t="shared" ca="1" si="32"/>
        <v>50557</v>
      </c>
      <c r="GV6" s="41">
        <f t="shared" ca="1" si="32"/>
        <v>50587</v>
      </c>
      <c r="GW6" s="41">
        <f t="shared" ca="1" si="32"/>
        <v>50618</v>
      </c>
      <c r="GX6" s="41">
        <f t="shared" ca="1" si="32"/>
        <v>50649</v>
      </c>
      <c r="GY6" s="41">
        <f t="shared" ca="1" si="32"/>
        <v>50679</v>
      </c>
      <c r="GZ6" s="41">
        <f t="shared" ca="1" si="32"/>
        <v>50710</v>
      </c>
      <c r="HA6" s="41">
        <f t="shared" ca="1" si="32"/>
        <v>50740</v>
      </c>
      <c r="HB6" s="41">
        <f t="shared" ca="1" si="32"/>
        <v>50771</v>
      </c>
      <c r="HC6" s="41">
        <f t="shared" ca="1" si="32"/>
        <v>50802</v>
      </c>
      <c r="HD6" s="41">
        <f t="shared" ca="1" si="32"/>
        <v>50830</v>
      </c>
      <c r="HE6" s="41">
        <f t="shared" ca="1" si="32"/>
        <v>50861</v>
      </c>
      <c r="HF6" s="41">
        <f t="shared" ca="1" si="32"/>
        <v>50891</v>
      </c>
      <c r="HG6" s="41">
        <f t="shared" ca="1" si="32"/>
        <v>50922</v>
      </c>
      <c r="HH6" s="41">
        <f t="shared" ca="1" si="32"/>
        <v>50952</v>
      </c>
      <c r="HI6" s="41">
        <f t="shared" ca="1" si="32"/>
        <v>50983</v>
      </c>
      <c r="HJ6" s="41">
        <f t="shared" ca="1" si="32"/>
        <v>51014</v>
      </c>
      <c r="HK6" s="41">
        <f t="shared" ca="1" si="32"/>
        <v>51044</v>
      </c>
      <c r="HL6" s="41">
        <f t="shared" ca="1" si="32"/>
        <v>51075</v>
      </c>
      <c r="HM6" s="41">
        <f t="shared" ca="1" si="32"/>
        <v>51105</v>
      </c>
      <c r="HN6" s="41">
        <f t="shared" ca="1" si="32"/>
        <v>51136</v>
      </c>
      <c r="HO6" s="41">
        <f t="shared" ca="1" si="32"/>
        <v>51167</v>
      </c>
      <c r="HP6" s="41">
        <f t="shared" ca="1" si="32"/>
        <v>51196</v>
      </c>
      <c r="HQ6" s="41">
        <f t="shared" ca="1" si="32"/>
        <v>51227</v>
      </c>
      <c r="HR6" s="41">
        <f t="shared" ca="1" si="32"/>
        <v>51257</v>
      </c>
      <c r="HS6" s="41">
        <f t="shared" ca="1" si="32"/>
        <v>51288</v>
      </c>
      <c r="HT6" s="41">
        <f t="shared" ca="1" si="32"/>
        <v>51318</v>
      </c>
      <c r="HU6" s="41">
        <f t="shared" ca="1" si="32"/>
        <v>51349</v>
      </c>
      <c r="HV6" s="41">
        <f t="shared" ref="HV6:KG6" ca="1" si="33">DATE(YEAR($AJ$6),MONTH($AJ$6)+HV5,DAY(1))</f>
        <v>51380</v>
      </c>
      <c r="HW6" s="41">
        <f t="shared" ca="1" si="33"/>
        <v>51410</v>
      </c>
      <c r="HX6" s="41">
        <f t="shared" ca="1" si="33"/>
        <v>51441</v>
      </c>
      <c r="HY6" s="41">
        <f t="shared" ca="1" si="33"/>
        <v>51471</v>
      </c>
      <c r="HZ6" s="41">
        <f t="shared" ca="1" si="33"/>
        <v>51502</v>
      </c>
      <c r="IA6" s="41">
        <f t="shared" ca="1" si="33"/>
        <v>51533</v>
      </c>
      <c r="IB6" s="41">
        <f t="shared" ca="1" si="33"/>
        <v>51561</v>
      </c>
      <c r="IC6" s="41">
        <f t="shared" ca="1" si="33"/>
        <v>51592</v>
      </c>
      <c r="ID6" s="41">
        <f t="shared" ca="1" si="33"/>
        <v>51622</v>
      </c>
      <c r="IE6" s="41">
        <f t="shared" ca="1" si="33"/>
        <v>51653</v>
      </c>
      <c r="IF6" s="41">
        <f t="shared" ca="1" si="33"/>
        <v>51683</v>
      </c>
      <c r="IG6" s="41">
        <f t="shared" ca="1" si="33"/>
        <v>51714</v>
      </c>
      <c r="IH6" s="41">
        <f t="shared" ca="1" si="33"/>
        <v>51745</v>
      </c>
      <c r="II6" s="41">
        <f t="shared" ca="1" si="33"/>
        <v>51775</v>
      </c>
      <c r="IJ6" s="41">
        <f t="shared" ca="1" si="33"/>
        <v>51806</v>
      </c>
      <c r="IK6" s="41">
        <f t="shared" ca="1" si="33"/>
        <v>51836</v>
      </c>
      <c r="IL6" s="41">
        <f t="shared" ca="1" si="33"/>
        <v>51867</v>
      </c>
      <c r="IM6" s="41">
        <f t="shared" ca="1" si="33"/>
        <v>51898</v>
      </c>
      <c r="IN6" s="41">
        <f t="shared" ca="1" si="33"/>
        <v>51926</v>
      </c>
      <c r="IO6" s="41">
        <f t="shared" ca="1" si="33"/>
        <v>51957</v>
      </c>
      <c r="IP6" s="41">
        <f t="shared" ca="1" si="33"/>
        <v>51987</v>
      </c>
      <c r="IQ6" s="41">
        <f t="shared" ca="1" si="33"/>
        <v>52018</v>
      </c>
      <c r="IR6" s="41">
        <f t="shared" ca="1" si="33"/>
        <v>52048</v>
      </c>
      <c r="IS6" s="41">
        <f t="shared" ca="1" si="33"/>
        <v>52079</v>
      </c>
      <c r="IT6" s="41">
        <f t="shared" ca="1" si="33"/>
        <v>52110</v>
      </c>
      <c r="IU6" s="41">
        <f t="shared" ca="1" si="33"/>
        <v>52140</v>
      </c>
      <c r="IV6" s="41">
        <f t="shared" ca="1" si="33"/>
        <v>52171</v>
      </c>
      <c r="IW6" s="41">
        <f t="shared" ca="1" si="33"/>
        <v>52201</v>
      </c>
      <c r="IX6" s="41">
        <f t="shared" ca="1" si="33"/>
        <v>52232</v>
      </c>
      <c r="IY6" s="41">
        <f t="shared" ca="1" si="33"/>
        <v>52263</v>
      </c>
      <c r="IZ6" s="41">
        <f t="shared" ca="1" si="33"/>
        <v>52291</v>
      </c>
      <c r="JA6" s="41">
        <f t="shared" ca="1" si="33"/>
        <v>52322</v>
      </c>
      <c r="JB6" s="41">
        <f t="shared" ca="1" si="33"/>
        <v>52352</v>
      </c>
      <c r="JC6" s="41">
        <f t="shared" ca="1" si="33"/>
        <v>52383</v>
      </c>
      <c r="JD6" s="41">
        <f t="shared" ca="1" si="33"/>
        <v>52413</v>
      </c>
      <c r="JE6" s="41">
        <f t="shared" ca="1" si="33"/>
        <v>52444</v>
      </c>
      <c r="JF6" s="41">
        <f t="shared" ca="1" si="33"/>
        <v>52475</v>
      </c>
      <c r="JG6" s="41">
        <f t="shared" ca="1" si="33"/>
        <v>52505</v>
      </c>
      <c r="JH6" s="41">
        <f t="shared" ca="1" si="33"/>
        <v>52536</v>
      </c>
      <c r="JI6" s="41">
        <f t="shared" ca="1" si="33"/>
        <v>52566</v>
      </c>
      <c r="JJ6" s="41">
        <f t="shared" ca="1" si="33"/>
        <v>52597</v>
      </c>
      <c r="JK6" s="41">
        <f t="shared" ca="1" si="33"/>
        <v>52628</v>
      </c>
      <c r="JL6" s="41">
        <f t="shared" ca="1" si="33"/>
        <v>52657</v>
      </c>
      <c r="JM6" s="41">
        <f t="shared" ca="1" si="33"/>
        <v>52688</v>
      </c>
      <c r="JN6" s="41">
        <f t="shared" ca="1" si="33"/>
        <v>52718</v>
      </c>
      <c r="JO6" s="41">
        <f t="shared" ca="1" si="33"/>
        <v>52749</v>
      </c>
      <c r="JP6" s="41">
        <f t="shared" ca="1" si="33"/>
        <v>52779</v>
      </c>
      <c r="JQ6" s="41">
        <f t="shared" ca="1" si="33"/>
        <v>52810</v>
      </c>
      <c r="JR6" s="41">
        <f t="shared" ca="1" si="33"/>
        <v>52841</v>
      </c>
      <c r="JS6" s="41">
        <f t="shared" ca="1" si="33"/>
        <v>52871</v>
      </c>
      <c r="JT6" s="41">
        <f t="shared" ca="1" si="33"/>
        <v>52902</v>
      </c>
      <c r="JU6" s="41">
        <f t="shared" ca="1" si="33"/>
        <v>52932</v>
      </c>
      <c r="JV6" s="41">
        <f t="shared" ca="1" si="33"/>
        <v>52963</v>
      </c>
      <c r="JW6" s="41">
        <f t="shared" ca="1" si="33"/>
        <v>52994</v>
      </c>
      <c r="JX6" s="41">
        <f t="shared" ca="1" si="33"/>
        <v>53022</v>
      </c>
      <c r="JY6" s="41">
        <f t="shared" ca="1" si="33"/>
        <v>53053</v>
      </c>
      <c r="JZ6" s="41">
        <f t="shared" ca="1" si="33"/>
        <v>53083</v>
      </c>
      <c r="KA6" s="41">
        <f t="shared" ca="1" si="33"/>
        <v>53114</v>
      </c>
      <c r="KB6" s="41">
        <f t="shared" ca="1" si="33"/>
        <v>53144</v>
      </c>
      <c r="KC6" s="41">
        <f t="shared" ca="1" si="33"/>
        <v>53175</v>
      </c>
      <c r="KD6" s="41">
        <f t="shared" ca="1" si="33"/>
        <v>53206</v>
      </c>
      <c r="KE6" s="41">
        <f t="shared" ca="1" si="33"/>
        <v>53236</v>
      </c>
      <c r="KF6" s="41">
        <f t="shared" ca="1" si="33"/>
        <v>53267</v>
      </c>
      <c r="KG6" s="41">
        <f t="shared" ca="1" si="33"/>
        <v>53297</v>
      </c>
      <c r="KH6" s="41">
        <f t="shared" ref="KH6:MS6" ca="1" si="34">DATE(YEAR($AJ$6),MONTH($AJ$6)+KH5,DAY(1))</f>
        <v>53328</v>
      </c>
      <c r="KI6" s="41">
        <f t="shared" ca="1" si="34"/>
        <v>53359</v>
      </c>
      <c r="KJ6" s="41">
        <f t="shared" ca="1" si="34"/>
        <v>53387</v>
      </c>
      <c r="KK6" s="41">
        <f t="shared" ca="1" si="34"/>
        <v>53418</v>
      </c>
      <c r="KL6" s="41">
        <f t="shared" ca="1" si="34"/>
        <v>53448</v>
      </c>
      <c r="KM6" s="41">
        <f t="shared" ca="1" si="34"/>
        <v>53479</v>
      </c>
      <c r="KN6" s="41">
        <f t="shared" ca="1" si="34"/>
        <v>53509</v>
      </c>
      <c r="KO6" s="41">
        <f t="shared" ca="1" si="34"/>
        <v>53540</v>
      </c>
      <c r="KP6" s="41">
        <f t="shared" ca="1" si="34"/>
        <v>53571</v>
      </c>
      <c r="KQ6" s="41">
        <f t="shared" ca="1" si="34"/>
        <v>53601</v>
      </c>
      <c r="KR6" s="41">
        <f t="shared" ca="1" si="34"/>
        <v>53632</v>
      </c>
      <c r="KS6" s="41">
        <f t="shared" ca="1" si="34"/>
        <v>53662</v>
      </c>
      <c r="KT6" s="41">
        <f t="shared" ca="1" si="34"/>
        <v>53693</v>
      </c>
      <c r="KU6" s="41">
        <f t="shared" ca="1" si="34"/>
        <v>53724</v>
      </c>
      <c r="KV6" s="41">
        <f t="shared" ca="1" si="34"/>
        <v>53752</v>
      </c>
      <c r="KW6" s="41">
        <f t="shared" ca="1" si="34"/>
        <v>53783</v>
      </c>
      <c r="KX6" s="41">
        <f t="shared" ca="1" si="34"/>
        <v>53813</v>
      </c>
      <c r="KY6" s="41">
        <f t="shared" ca="1" si="34"/>
        <v>53844</v>
      </c>
      <c r="KZ6" s="41">
        <f t="shared" ca="1" si="34"/>
        <v>53874</v>
      </c>
      <c r="LA6" s="41">
        <f t="shared" ca="1" si="34"/>
        <v>53905</v>
      </c>
      <c r="LB6" s="41">
        <f t="shared" ca="1" si="34"/>
        <v>53936</v>
      </c>
      <c r="LC6" s="41">
        <f t="shared" ca="1" si="34"/>
        <v>53966</v>
      </c>
      <c r="LD6" s="41">
        <f t="shared" ca="1" si="34"/>
        <v>53997</v>
      </c>
      <c r="LE6" s="41">
        <f t="shared" ca="1" si="34"/>
        <v>54027</v>
      </c>
      <c r="LF6" s="41">
        <f t="shared" ca="1" si="34"/>
        <v>54058</v>
      </c>
      <c r="LG6" s="41">
        <f t="shared" ca="1" si="34"/>
        <v>54089</v>
      </c>
      <c r="LH6" s="41">
        <f t="shared" ca="1" si="34"/>
        <v>54118</v>
      </c>
      <c r="LI6" s="41">
        <f t="shared" ca="1" si="34"/>
        <v>54149</v>
      </c>
      <c r="LJ6" s="41">
        <f t="shared" ca="1" si="34"/>
        <v>54179</v>
      </c>
      <c r="LK6" s="41">
        <f t="shared" ca="1" si="34"/>
        <v>54210</v>
      </c>
      <c r="LL6" s="41">
        <f t="shared" ca="1" si="34"/>
        <v>54240</v>
      </c>
      <c r="LM6" s="41">
        <f t="shared" ca="1" si="34"/>
        <v>54271</v>
      </c>
      <c r="LN6" s="41">
        <f t="shared" ca="1" si="34"/>
        <v>54302</v>
      </c>
      <c r="LO6" s="41">
        <f t="shared" ca="1" si="34"/>
        <v>54332</v>
      </c>
      <c r="LP6" s="41">
        <f t="shared" ca="1" si="34"/>
        <v>54363</v>
      </c>
      <c r="LQ6" s="41">
        <f t="shared" ca="1" si="34"/>
        <v>54393</v>
      </c>
      <c r="LR6" s="41">
        <f t="shared" ca="1" si="34"/>
        <v>54424</v>
      </c>
      <c r="LS6" s="41">
        <f t="shared" ca="1" si="34"/>
        <v>54455</v>
      </c>
      <c r="LT6" s="41">
        <f t="shared" ca="1" si="34"/>
        <v>54483</v>
      </c>
      <c r="LU6" s="41">
        <f t="shared" ca="1" si="34"/>
        <v>54514</v>
      </c>
      <c r="LV6" s="41">
        <f t="shared" ca="1" si="34"/>
        <v>54544</v>
      </c>
      <c r="LW6" s="41">
        <f t="shared" ca="1" si="34"/>
        <v>54575</v>
      </c>
      <c r="LX6" s="41">
        <f t="shared" ca="1" si="34"/>
        <v>54605</v>
      </c>
      <c r="LY6" s="41">
        <f t="shared" ca="1" si="34"/>
        <v>54636</v>
      </c>
      <c r="LZ6" s="41">
        <f t="shared" ca="1" si="34"/>
        <v>54667</v>
      </c>
      <c r="MA6" s="41">
        <f t="shared" ca="1" si="34"/>
        <v>54697</v>
      </c>
      <c r="MB6" s="41">
        <f t="shared" ca="1" si="34"/>
        <v>54728</v>
      </c>
      <c r="MC6" s="41">
        <f t="shared" ca="1" si="34"/>
        <v>54758</v>
      </c>
      <c r="MD6" s="41">
        <f t="shared" ca="1" si="34"/>
        <v>54789</v>
      </c>
      <c r="ME6" s="41">
        <f t="shared" ca="1" si="34"/>
        <v>54820</v>
      </c>
      <c r="MF6" s="41">
        <f t="shared" ca="1" si="34"/>
        <v>54848</v>
      </c>
      <c r="MG6" s="41">
        <f t="shared" ca="1" si="34"/>
        <v>54879</v>
      </c>
      <c r="MH6" s="41">
        <f t="shared" ca="1" si="34"/>
        <v>54909</v>
      </c>
      <c r="MI6" s="41">
        <f t="shared" ca="1" si="34"/>
        <v>54940</v>
      </c>
      <c r="MJ6" s="41">
        <f t="shared" ca="1" si="34"/>
        <v>54970</v>
      </c>
      <c r="MK6" s="41">
        <f t="shared" ca="1" si="34"/>
        <v>55001</v>
      </c>
      <c r="ML6" s="41">
        <f t="shared" ca="1" si="34"/>
        <v>55032</v>
      </c>
      <c r="MM6" s="41">
        <f t="shared" ca="1" si="34"/>
        <v>55062</v>
      </c>
      <c r="MN6" s="41">
        <f t="shared" ca="1" si="34"/>
        <v>55093</v>
      </c>
      <c r="MO6" s="41">
        <f t="shared" ca="1" si="34"/>
        <v>55123</v>
      </c>
      <c r="MP6" s="41">
        <f t="shared" ca="1" si="34"/>
        <v>55154</v>
      </c>
      <c r="MQ6" s="41">
        <f t="shared" ca="1" si="34"/>
        <v>55185</v>
      </c>
      <c r="MR6" s="41">
        <f t="shared" ca="1" si="34"/>
        <v>55213</v>
      </c>
      <c r="MS6" s="41">
        <f t="shared" ca="1" si="34"/>
        <v>55244</v>
      </c>
      <c r="MT6" s="41">
        <f t="shared" ref="MT6:PE6" ca="1" si="35">DATE(YEAR($AJ$6),MONTH($AJ$6)+MT5,DAY(1))</f>
        <v>55274</v>
      </c>
      <c r="MU6" s="41">
        <f t="shared" ca="1" si="35"/>
        <v>55305</v>
      </c>
      <c r="MV6" s="41">
        <f t="shared" ca="1" si="35"/>
        <v>55335</v>
      </c>
      <c r="MW6" s="41">
        <f t="shared" ca="1" si="35"/>
        <v>55366</v>
      </c>
      <c r="MX6" s="41">
        <f t="shared" ca="1" si="35"/>
        <v>55397</v>
      </c>
      <c r="MY6" s="41">
        <f t="shared" ca="1" si="35"/>
        <v>55427</v>
      </c>
      <c r="MZ6" s="41">
        <f t="shared" ca="1" si="35"/>
        <v>55458</v>
      </c>
      <c r="NA6" s="41">
        <f t="shared" ca="1" si="35"/>
        <v>55488</v>
      </c>
      <c r="NB6" s="41">
        <f t="shared" ca="1" si="35"/>
        <v>55519</v>
      </c>
      <c r="NC6" s="41">
        <f t="shared" ca="1" si="35"/>
        <v>55550</v>
      </c>
      <c r="ND6" s="41">
        <f t="shared" ca="1" si="35"/>
        <v>55579</v>
      </c>
      <c r="NE6" s="41">
        <f t="shared" ca="1" si="35"/>
        <v>55610</v>
      </c>
      <c r="NF6" s="41">
        <f t="shared" ca="1" si="35"/>
        <v>55640</v>
      </c>
      <c r="NG6" s="41">
        <f t="shared" ca="1" si="35"/>
        <v>55671</v>
      </c>
      <c r="NH6" s="41">
        <f t="shared" ca="1" si="35"/>
        <v>55701</v>
      </c>
      <c r="NI6" s="41">
        <f t="shared" ca="1" si="35"/>
        <v>55732</v>
      </c>
      <c r="NJ6" s="41">
        <f t="shared" ca="1" si="35"/>
        <v>55763</v>
      </c>
      <c r="NK6" s="41">
        <f t="shared" ca="1" si="35"/>
        <v>55793</v>
      </c>
      <c r="NL6" s="41">
        <f t="shared" ca="1" si="35"/>
        <v>55824</v>
      </c>
      <c r="NM6" s="41">
        <f t="shared" ca="1" si="35"/>
        <v>55854</v>
      </c>
      <c r="NN6" s="41">
        <f t="shared" ca="1" si="35"/>
        <v>55885</v>
      </c>
      <c r="NO6" s="41">
        <f t="shared" ca="1" si="35"/>
        <v>55916</v>
      </c>
      <c r="NP6" s="41">
        <f t="shared" ca="1" si="35"/>
        <v>55944</v>
      </c>
      <c r="NQ6" s="41">
        <f t="shared" ca="1" si="35"/>
        <v>55975</v>
      </c>
      <c r="NR6" s="41">
        <f t="shared" ca="1" si="35"/>
        <v>56005</v>
      </c>
      <c r="NS6" s="41">
        <f t="shared" ca="1" si="35"/>
        <v>56036</v>
      </c>
      <c r="NT6" s="41">
        <f t="shared" ca="1" si="35"/>
        <v>56066</v>
      </c>
      <c r="NU6" s="41">
        <f t="shared" ca="1" si="35"/>
        <v>56097</v>
      </c>
      <c r="NV6" s="41">
        <f t="shared" ca="1" si="35"/>
        <v>56128</v>
      </c>
      <c r="NW6" s="41">
        <f t="shared" ca="1" si="35"/>
        <v>56158</v>
      </c>
      <c r="NX6" s="41">
        <f t="shared" ca="1" si="35"/>
        <v>56189</v>
      </c>
      <c r="NY6" s="41">
        <f t="shared" ca="1" si="35"/>
        <v>56219</v>
      </c>
      <c r="NZ6" s="41">
        <f t="shared" ca="1" si="35"/>
        <v>56250</v>
      </c>
      <c r="OA6" s="41">
        <f t="shared" ca="1" si="35"/>
        <v>56281</v>
      </c>
      <c r="OB6" s="41">
        <f t="shared" ca="1" si="35"/>
        <v>56309</v>
      </c>
      <c r="OC6" s="41">
        <f t="shared" ca="1" si="35"/>
        <v>56340</v>
      </c>
      <c r="OD6" s="41">
        <f t="shared" ca="1" si="35"/>
        <v>56370</v>
      </c>
      <c r="OE6" s="41">
        <f t="shared" ca="1" si="35"/>
        <v>56401</v>
      </c>
      <c r="OF6" s="41">
        <f t="shared" ca="1" si="35"/>
        <v>56431</v>
      </c>
      <c r="OG6" s="41">
        <f t="shared" ca="1" si="35"/>
        <v>56462</v>
      </c>
      <c r="OH6" s="41">
        <f t="shared" ca="1" si="35"/>
        <v>56493</v>
      </c>
      <c r="OI6" s="41">
        <f t="shared" ca="1" si="35"/>
        <v>56523</v>
      </c>
      <c r="OJ6" s="41">
        <f t="shared" ca="1" si="35"/>
        <v>56554</v>
      </c>
      <c r="OK6" s="41">
        <f t="shared" ca="1" si="35"/>
        <v>56584</v>
      </c>
      <c r="OL6" s="41">
        <f t="shared" ca="1" si="35"/>
        <v>56615</v>
      </c>
      <c r="OM6" s="41">
        <f t="shared" ca="1" si="35"/>
        <v>56646</v>
      </c>
      <c r="ON6" s="41">
        <f t="shared" ca="1" si="35"/>
        <v>56674</v>
      </c>
      <c r="OO6" s="41">
        <f t="shared" ca="1" si="35"/>
        <v>56705</v>
      </c>
      <c r="OP6" s="41">
        <f t="shared" ca="1" si="35"/>
        <v>56735</v>
      </c>
      <c r="OQ6" s="41">
        <f t="shared" ca="1" si="35"/>
        <v>56766</v>
      </c>
      <c r="OR6" s="41">
        <f t="shared" ca="1" si="35"/>
        <v>56796</v>
      </c>
      <c r="OS6" s="41">
        <f t="shared" ca="1" si="35"/>
        <v>56827</v>
      </c>
      <c r="OT6" s="41">
        <f t="shared" ca="1" si="35"/>
        <v>56858</v>
      </c>
      <c r="OU6" s="41">
        <f t="shared" ca="1" si="35"/>
        <v>56888</v>
      </c>
      <c r="OV6" s="41">
        <f t="shared" ca="1" si="35"/>
        <v>56919</v>
      </c>
      <c r="OW6" s="41">
        <f t="shared" ca="1" si="35"/>
        <v>56949</v>
      </c>
      <c r="OX6" s="41">
        <f t="shared" ca="1" si="35"/>
        <v>56980</v>
      </c>
      <c r="OY6" s="41">
        <f t="shared" ca="1" si="35"/>
        <v>57011</v>
      </c>
      <c r="OZ6" s="41">
        <f t="shared" ca="1" si="35"/>
        <v>57040</v>
      </c>
      <c r="PA6" s="41">
        <f t="shared" ca="1" si="35"/>
        <v>57071</v>
      </c>
      <c r="PB6" s="41">
        <f t="shared" ca="1" si="35"/>
        <v>57101</v>
      </c>
      <c r="PC6" s="41">
        <f t="shared" ca="1" si="35"/>
        <v>57132</v>
      </c>
      <c r="PD6" s="41">
        <f t="shared" ca="1" si="35"/>
        <v>57162</v>
      </c>
      <c r="PE6" s="41">
        <f t="shared" ca="1" si="35"/>
        <v>57193</v>
      </c>
      <c r="PF6" s="41">
        <f t="shared" ref="PF6:RQ6" ca="1" si="36">DATE(YEAR($AJ$6),MONTH($AJ$6)+PF5,DAY(1))</f>
        <v>57224</v>
      </c>
      <c r="PG6" s="41">
        <f t="shared" ca="1" si="36"/>
        <v>57254</v>
      </c>
      <c r="PH6" s="41">
        <f t="shared" ca="1" si="36"/>
        <v>57285</v>
      </c>
      <c r="PI6" s="41">
        <f t="shared" ca="1" si="36"/>
        <v>57315</v>
      </c>
      <c r="PJ6" s="41">
        <f t="shared" ca="1" si="36"/>
        <v>57346</v>
      </c>
      <c r="PK6" s="41">
        <f t="shared" ca="1" si="36"/>
        <v>57377</v>
      </c>
      <c r="PL6" s="41">
        <f t="shared" ca="1" si="36"/>
        <v>57405</v>
      </c>
      <c r="PM6" s="41">
        <f t="shared" ca="1" si="36"/>
        <v>57436</v>
      </c>
      <c r="PN6" s="41">
        <f t="shared" ca="1" si="36"/>
        <v>57466</v>
      </c>
      <c r="PO6" s="41">
        <f t="shared" ca="1" si="36"/>
        <v>57497</v>
      </c>
      <c r="PP6" s="41">
        <f t="shared" ca="1" si="36"/>
        <v>57527</v>
      </c>
      <c r="PQ6" s="41">
        <f t="shared" ca="1" si="36"/>
        <v>57558</v>
      </c>
      <c r="PR6" s="41">
        <f t="shared" ca="1" si="36"/>
        <v>57589</v>
      </c>
      <c r="PS6" s="41">
        <f t="shared" ca="1" si="36"/>
        <v>57619</v>
      </c>
      <c r="PT6" s="41">
        <f t="shared" ca="1" si="36"/>
        <v>57650</v>
      </c>
      <c r="PU6" s="41">
        <f t="shared" ca="1" si="36"/>
        <v>57680</v>
      </c>
      <c r="PV6" s="41">
        <f t="shared" ca="1" si="36"/>
        <v>57711</v>
      </c>
      <c r="PW6" s="41">
        <f t="shared" ca="1" si="36"/>
        <v>57742</v>
      </c>
      <c r="PX6" s="41">
        <f t="shared" ca="1" si="36"/>
        <v>57770</v>
      </c>
      <c r="PY6" s="41">
        <f t="shared" ca="1" si="36"/>
        <v>57801</v>
      </c>
      <c r="PZ6" s="41">
        <f t="shared" ca="1" si="36"/>
        <v>57831</v>
      </c>
      <c r="QA6" s="41">
        <f t="shared" ca="1" si="36"/>
        <v>57862</v>
      </c>
      <c r="QB6" s="41">
        <f t="shared" ca="1" si="36"/>
        <v>57892</v>
      </c>
      <c r="QC6" s="41">
        <f t="shared" ca="1" si="36"/>
        <v>57923</v>
      </c>
      <c r="QD6" s="41">
        <f t="shared" ca="1" si="36"/>
        <v>57954</v>
      </c>
      <c r="QE6" s="41">
        <f t="shared" ca="1" si="36"/>
        <v>57984</v>
      </c>
      <c r="QF6" s="41">
        <f t="shared" ca="1" si="36"/>
        <v>58015</v>
      </c>
      <c r="QG6" s="41">
        <f t="shared" ca="1" si="36"/>
        <v>58045</v>
      </c>
      <c r="QH6" s="41">
        <f t="shared" ca="1" si="36"/>
        <v>58076</v>
      </c>
      <c r="QI6" s="41">
        <f t="shared" ca="1" si="36"/>
        <v>58107</v>
      </c>
      <c r="QJ6" s="41">
        <f t="shared" ca="1" si="36"/>
        <v>58135</v>
      </c>
      <c r="QK6" s="41">
        <f t="shared" ca="1" si="36"/>
        <v>58166</v>
      </c>
      <c r="QL6" s="41">
        <f t="shared" ca="1" si="36"/>
        <v>58196</v>
      </c>
      <c r="QM6" s="41">
        <f t="shared" ca="1" si="36"/>
        <v>58227</v>
      </c>
      <c r="QN6" s="41">
        <f t="shared" ca="1" si="36"/>
        <v>58257</v>
      </c>
      <c r="QO6" s="41">
        <f t="shared" ca="1" si="36"/>
        <v>58288</v>
      </c>
      <c r="QP6" s="41">
        <f t="shared" ca="1" si="36"/>
        <v>58319</v>
      </c>
      <c r="QQ6" s="41">
        <f t="shared" ca="1" si="36"/>
        <v>58349</v>
      </c>
      <c r="QR6" s="41">
        <f t="shared" ca="1" si="36"/>
        <v>58380</v>
      </c>
      <c r="QS6" s="41">
        <f t="shared" ca="1" si="36"/>
        <v>58410</v>
      </c>
      <c r="QT6" s="41">
        <f t="shared" ca="1" si="36"/>
        <v>58441</v>
      </c>
      <c r="QU6" s="41">
        <f t="shared" ca="1" si="36"/>
        <v>58472</v>
      </c>
      <c r="QV6" s="41">
        <f t="shared" ca="1" si="36"/>
        <v>58501</v>
      </c>
      <c r="QW6" s="41">
        <f t="shared" ca="1" si="36"/>
        <v>58532</v>
      </c>
      <c r="QX6" s="41">
        <f t="shared" ca="1" si="36"/>
        <v>58562</v>
      </c>
      <c r="QY6" s="41">
        <f t="shared" ca="1" si="36"/>
        <v>58593</v>
      </c>
      <c r="QZ6" s="41">
        <f t="shared" ca="1" si="36"/>
        <v>58623</v>
      </c>
      <c r="RA6" s="41">
        <f t="shared" ca="1" si="36"/>
        <v>58654</v>
      </c>
      <c r="RB6" s="41">
        <f t="shared" ca="1" si="36"/>
        <v>58685</v>
      </c>
      <c r="RC6" s="41">
        <f t="shared" ca="1" si="36"/>
        <v>58715</v>
      </c>
      <c r="RD6" s="41">
        <f t="shared" ca="1" si="36"/>
        <v>58746</v>
      </c>
      <c r="RE6" s="41">
        <f t="shared" ca="1" si="36"/>
        <v>58776</v>
      </c>
      <c r="RF6" s="41">
        <f t="shared" ca="1" si="36"/>
        <v>58807</v>
      </c>
      <c r="RG6" s="41">
        <f t="shared" ca="1" si="36"/>
        <v>58838</v>
      </c>
      <c r="RH6" s="41">
        <f t="shared" ca="1" si="36"/>
        <v>58866</v>
      </c>
      <c r="RI6" s="41">
        <f t="shared" ca="1" si="36"/>
        <v>58897</v>
      </c>
      <c r="RJ6" s="41">
        <f t="shared" ca="1" si="36"/>
        <v>58927</v>
      </c>
      <c r="RK6" s="41">
        <f t="shared" ca="1" si="36"/>
        <v>58958</v>
      </c>
      <c r="RL6" s="41">
        <f t="shared" ca="1" si="36"/>
        <v>58988</v>
      </c>
      <c r="RM6" s="41">
        <f t="shared" ca="1" si="36"/>
        <v>59019</v>
      </c>
      <c r="RN6" s="41">
        <f t="shared" ca="1" si="36"/>
        <v>59050</v>
      </c>
      <c r="RO6" s="41">
        <f t="shared" ca="1" si="36"/>
        <v>59080</v>
      </c>
      <c r="RP6" s="41">
        <f t="shared" ca="1" si="36"/>
        <v>59111</v>
      </c>
      <c r="RQ6" s="41">
        <f t="shared" ca="1" si="36"/>
        <v>59141</v>
      </c>
      <c r="RR6" s="41">
        <f t="shared" ref="RR6:UC6" ca="1" si="37">DATE(YEAR($AJ$6),MONTH($AJ$6)+RR5,DAY(1))</f>
        <v>59172</v>
      </c>
      <c r="RS6" s="41">
        <f t="shared" ca="1" si="37"/>
        <v>59203</v>
      </c>
      <c r="RT6" s="41">
        <f t="shared" ca="1" si="37"/>
        <v>59231</v>
      </c>
      <c r="RU6" s="41">
        <f t="shared" ca="1" si="37"/>
        <v>59262</v>
      </c>
      <c r="RV6" s="41">
        <f t="shared" ca="1" si="37"/>
        <v>59292</v>
      </c>
      <c r="RW6" s="41">
        <f t="shared" ca="1" si="37"/>
        <v>59323</v>
      </c>
      <c r="RX6" s="41">
        <f t="shared" ca="1" si="37"/>
        <v>59353</v>
      </c>
      <c r="RY6" s="41">
        <f t="shared" ca="1" si="37"/>
        <v>59384</v>
      </c>
      <c r="RZ6" s="41">
        <f t="shared" ca="1" si="37"/>
        <v>59415</v>
      </c>
      <c r="SA6" s="41">
        <f t="shared" ca="1" si="37"/>
        <v>59445</v>
      </c>
      <c r="SB6" s="41">
        <f t="shared" ca="1" si="37"/>
        <v>59476</v>
      </c>
      <c r="SC6" s="41">
        <f t="shared" ca="1" si="37"/>
        <v>59506</v>
      </c>
      <c r="SD6" s="41">
        <f t="shared" ca="1" si="37"/>
        <v>59537</v>
      </c>
      <c r="SE6" s="41">
        <f t="shared" ca="1" si="37"/>
        <v>59568</v>
      </c>
      <c r="SF6" s="41">
        <f t="shared" ca="1" si="37"/>
        <v>59596</v>
      </c>
      <c r="SG6" s="41">
        <f t="shared" ca="1" si="37"/>
        <v>59627</v>
      </c>
      <c r="SH6" s="41">
        <f t="shared" ca="1" si="37"/>
        <v>59657</v>
      </c>
      <c r="SI6" s="41">
        <f t="shared" ca="1" si="37"/>
        <v>59688</v>
      </c>
      <c r="SJ6" s="41">
        <f t="shared" ca="1" si="37"/>
        <v>59718</v>
      </c>
      <c r="SK6" s="41">
        <f t="shared" ca="1" si="37"/>
        <v>59749</v>
      </c>
      <c r="SL6" s="41">
        <f t="shared" ca="1" si="37"/>
        <v>59780</v>
      </c>
      <c r="SM6" s="41">
        <f t="shared" ca="1" si="37"/>
        <v>59810</v>
      </c>
      <c r="SN6" s="41">
        <f t="shared" ca="1" si="37"/>
        <v>59841</v>
      </c>
      <c r="SO6" s="41">
        <f t="shared" ca="1" si="37"/>
        <v>59871</v>
      </c>
      <c r="SP6" s="41">
        <f t="shared" ca="1" si="37"/>
        <v>59902</v>
      </c>
      <c r="SQ6" s="41">
        <f t="shared" ca="1" si="37"/>
        <v>59933</v>
      </c>
      <c r="SR6" s="41">
        <f t="shared" ca="1" si="37"/>
        <v>59962</v>
      </c>
      <c r="SS6" s="41">
        <f t="shared" ca="1" si="37"/>
        <v>59993</v>
      </c>
      <c r="ST6" s="41">
        <f t="shared" ca="1" si="37"/>
        <v>60023</v>
      </c>
      <c r="SU6" s="41">
        <f t="shared" ca="1" si="37"/>
        <v>60054</v>
      </c>
      <c r="SV6" s="41">
        <f t="shared" ca="1" si="37"/>
        <v>60084</v>
      </c>
      <c r="SW6" s="41">
        <f t="shared" ca="1" si="37"/>
        <v>60115</v>
      </c>
      <c r="SX6" s="41">
        <f t="shared" ca="1" si="37"/>
        <v>60146</v>
      </c>
      <c r="SY6" s="41">
        <f t="shared" ca="1" si="37"/>
        <v>60176</v>
      </c>
      <c r="SZ6" s="41">
        <f t="shared" ca="1" si="37"/>
        <v>60207</v>
      </c>
      <c r="TA6" s="41">
        <f t="shared" ca="1" si="37"/>
        <v>60237</v>
      </c>
      <c r="TB6" s="41">
        <f t="shared" ca="1" si="37"/>
        <v>60268</v>
      </c>
      <c r="TC6" s="41">
        <f t="shared" ca="1" si="37"/>
        <v>60299</v>
      </c>
      <c r="TD6" s="41">
        <f t="shared" ca="1" si="37"/>
        <v>60327</v>
      </c>
      <c r="TE6" s="41">
        <f t="shared" ca="1" si="37"/>
        <v>60358</v>
      </c>
      <c r="TF6" s="41">
        <f t="shared" ca="1" si="37"/>
        <v>60388</v>
      </c>
      <c r="TG6" s="41">
        <f t="shared" ca="1" si="37"/>
        <v>60419</v>
      </c>
      <c r="TH6" s="41">
        <f t="shared" ca="1" si="37"/>
        <v>60449</v>
      </c>
      <c r="TI6" s="41">
        <f t="shared" ca="1" si="37"/>
        <v>60480</v>
      </c>
      <c r="TJ6" s="41">
        <f t="shared" ca="1" si="37"/>
        <v>60511</v>
      </c>
      <c r="TK6" s="41">
        <f t="shared" ca="1" si="37"/>
        <v>60541</v>
      </c>
      <c r="TL6" s="41">
        <f t="shared" ca="1" si="37"/>
        <v>60572</v>
      </c>
      <c r="TM6" s="41">
        <f t="shared" ca="1" si="37"/>
        <v>60602</v>
      </c>
      <c r="TN6" s="41">
        <f t="shared" ca="1" si="37"/>
        <v>60633</v>
      </c>
      <c r="TO6" s="41">
        <f t="shared" ca="1" si="37"/>
        <v>60664</v>
      </c>
      <c r="TP6" s="41">
        <f t="shared" ca="1" si="37"/>
        <v>60692</v>
      </c>
      <c r="TQ6" s="41">
        <f t="shared" ca="1" si="37"/>
        <v>60723</v>
      </c>
      <c r="TR6" s="41">
        <f t="shared" ca="1" si="37"/>
        <v>60753</v>
      </c>
      <c r="TS6" s="41">
        <f t="shared" ca="1" si="37"/>
        <v>60784</v>
      </c>
      <c r="TT6" s="41">
        <f t="shared" ca="1" si="37"/>
        <v>60814</v>
      </c>
      <c r="TU6" s="41">
        <f t="shared" ca="1" si="37"/>
        <v>60845</v>
      </c>
      <c r="TV6" s="41">
        <f t="shared" ca="1" si="37"/>
        <v>60876</v>
      </c>
      <c r="TW6" s="41">
        <f t="shared" ca="1" si="37"/>
        <v>60906</v>
      </c>
      <c r="TX6" s="41">
        <f t="shared" ca="1" si="37"/>
        <v>60937</v>
      </c>
      <c r="TY6" s="41">
        <f t="shared" ca="1" si="37"/>
        <v>60967</v>
      </c>
      <c r="TZ6" s="41">
        <f t="shared" ca="1" si="37"/>
        <v>60998</v>
      </c>
      <c r="UA6" s="41">
        <f t="shared" ca="1" si="37"/>
        <v>61029</v>
      </c>
      <c r="UB6" s="41">
        <f t="shared" ca="1" si="37"/>
        <v>61057</v>
      </c>
      <c r="UC6" s="41">
        <f t="shared" ca="1" si="37"/>
        <v>61088</v>
      </c>
      <c r="UD6" s="41">
        <f t="shared" ref="UD6:WO6" ca="1" si="38">DATE(YEAR($AJ$6),MONTH($AJ$6)+UD5,DAY(1))</f>
        <v>61118</v>
      </c>
      <c r="UE6" s="41">
        <f t="shared" ca="1" si="38"/>
        <v>61149</v>
      </c>
      <c r="UF6" s="41">
        <f t="shared" ca="1" si="38"/>
        <v>61179</v>
      </c>
      <c r="UG6" s="41">
        <f t="shared" ca="1" si="38"/>
        <v>61210</v>
      </c>
      <c r="UH6" s="41">
        <f t="shared" ca="1" si="38"/>
        <v>61241</v>
      </c>
      <c r="UI6" s="41">
        <f t="shared" ca="1" si="38"/>
        <v>61271</v>
      </c>
      <c r="UJ6" s="41">
        <f t="shared" ca="1" si="38"/>
        <v>61302</v>
      </c>
      <c r="UK6" s="41">
        <f t="shared" ca="1" si="38"/>
        <v>61332</v>
      </c>
      <c r="UL6" s="41">
        <f t="shared" ca="1" si="38"/>
        <v>61363</v>
      </c>
      <c r="UM6" s="41">
        <f t="shared" ca="1" si="38"/>
        <v>61394</v>
      </c>
      <c r="UN6" s="41">
        <f t="shared" ca="1" si="38"/>
        <v>61423</v>
      </c>
      <c r="UO6" s="41">
        <f t="shared" ca="1" si="38"/>
        <v>61454</v>
      </c>
      <c r="UP6" s="41">
        <f t="shared" ca="1" si="38"/>
        <v>61484</v>
      </c>
      <c r="UQ6" s="41">
        <f t="shared" ca="1" si="38"/>
        <v>61515</v>
      </c>
      <c r="UR6" s="41">
        <f t="shared" ca="1" si="38"/>
        <v>61545</v>
      </c>
      <c r="US6" s="41">
        <f t="shared" ca="1" si="38"/>
        <v>61576</v>
      </c>
      <c r="UT6" s="41">
        <f t="shared" ca="1" si="38"/>
        <v>61607</v>
      </c>
      <c r="UU6" s="41">
        <f t="shared" ca="1" si="38"/>
        <v>61637</v>
      </c>
      <c r="UV6" s="41">
        <f t="shared" ca="1" si="38"/>
        <v>61668</v>
      </c>
      <c r="UW6" s="41">
        <f t="shared" ca="1" si="38"/>
        <v>61698</v>
      </c>
      <c r="UX6" s="41">
        <f t="shared" ca="1" si="38"/>
        <v>61729</v>
      </c>
      <c r="UY6" s="41">
        <f t="shared" ca="1" si="38"/>
        <v>61760</v>
      </c>
      <c r="UZ6" s="41">
        <f t="shared" ca="1" si="38"/>
        <v>61788</v>
      </c>
      <c r="VA6" s="41">
        <f t="shared" ca="1" si="38"/>
        <v>61819</v>
      </c>
      <c r="VB6" s="41">
        <f t="shared" ca="1" si="38"/>
        <v>61849</v>
      </c>
      <c r="VC6" s="41">
        <f t="shared" ca="1" si="38"/>
        <v>61880</v>
      </c>
      <c r="VD6" s="41">
        <f t="shared" ca="1" si="38"/>
        <v>61910</v>
      </c>
      <c r="VE6" s="41">
        <f t="shared" ca="1" si="38"/>
        <v>61941</v>
      </c>
      <c r="VF6" s="41">
        <f t="shared" ca="1" si="38"/>
        <v>61972</v>
      </c>
      <c r="VG6" s="41">
        <f t="shared" ca="1" si="38"/>
        <v>62002</v>
      </c>
      <c r="VH6" s="41">
        <f t="shared" ca="1" si="38"/>
        <v>62033</v>
      </c>
      <c r="VI6" s="41">
        <f t="shared" ca="1" si="38"/>
        <v>62063</v>
      </c>
      <c r="VJ6" s="41">
        <f t="shared" ca="1" si="38"/>
        <v>62094</v>
      </c>
      <c r="VK6" s="41">
        <f t="shared" ca="1" si="38"/>
        <v>62125</v>
      </c>
      <c r="VL6" s="41">
        <f t="shared" ca="1" si="38"/>
        <v>62153</v>
      </c>
      <c r="VM6" s="41">
        <f t="shared" ca="1" si="38"/>
        <v>62184</v>
      </c>
      <c r="VN6" s="41">
        <f t="shared" ca="1" si="38"/>
        <v>62214</v>
      </c>
      <c r="VO6" s="41">
        <f t="shared" ca="1" si="38"/>
        <v>62245</v>
      </c>
      <c r="VP6" s="41">
        <f t="shared" ca="1" si="38"/>
        <v>62275</v>
      </c>
      <c r="VQ6" s="41">
        <f t="shared" ca="1" si="38"/>
        <v>62306</v>
      </c>
      <c r="VR6" s="41">
        <f t="shared" ca="1" si="38"/>
        <v>62337</v>
      </c>
      <c r="VS6" s="41">
        <f t="shared" ca="1" si="38"/>
        <v>62367</v>
      </c>
      <c r="VT6" s="41">
        <f t="shared" ca="1" si="38"/>
        <v>62398</v>
      </c>
      <c r="VU6" s="41">
        <f t="shared" ca="1" si="38"/>
        <v>62428</v>
      </c>
      <c r="VV6" s="41">
        <f t="shared" ca="1" si="38"/>
        <v>62459</v>
      </c>
      <c r="VW6" s="41">
        <f t="shared" ca="1" si="38"/>
        <v>62490</v>
      </c>
      <c r="VX6" s="41">
        <f t="shared" ca="1" si="38"/>
        <v>62518</v>
      </c>
      <c r="VY6" s="41">
        <f t="shared" ca="1" si="38"/>
        <v>62549</v>
      </c>
      <c r="VZ6" s="41">
        <f t="shared" ca="1" si="38"/>
        <v>62579</v>
      </c>
      <c r="WA6" s="41">
        <f t="shared" ca="1" si="38"/>
        <v>62610</v>
      </c>
      <c r="WB6" s="41">
        <f t="shared" ca="1" si="38"/>
        <v>62640</v>
      </c>
      <c r="WC6" s="41">
        <f t="shared" ca="1" si="38"/>
        <v>62671</v>
      </c>
      <c r="WD6" s="41">
        <f t="shared" ca="1" si="38"/>
        <v>62702</v>
      </c>
      <c r="WE6" s="41">
        <f t="shared" ca="1" si="38"/>
        <v>62732</v>
      </c>
      <c r="WF6" s="41">
        <f t="shared" ca="1" si="38"/>
        <v>62763</v>
      </c>
      <c r="WG6" s="41">
        <f t="shared" ca="1" si="38"/>
        <v>62793</v>
      </c>
      <c r="WH6" s="41">
        <f t="shared" ca="1" si="38"/>
        <v>62824</v>
      </c>
      <c r="WI6" s="41">
        <f t="shared" ca="1" si="38"/>
        <v>62855</v>
      </c>
      <c r="WJ6" s="41">
        <f t="shared" ca="1" si="38"/>
        <v>62884</v>
      </c>
      <c r="WK6" s="41">
        <f t="shared" ca="1" si="38"/>
        <v>62915</v>
      </c>
      <c r="WL6" s="41">
        <f t="shared" ca="1" si="38"/>
        <v>62945</v>
      </c>
      <c r="WM6" s="41">
        <f t="shared" ca="1" si="38"/>
        <v>62976</v>
      </c>
      <c r="WN6" s="41">
        <f t="shared" ca="1" si="38"/>
        <v>63006</v>
      </c>
      <c r="WO6" s="41">
        <f t="shared" ca="1" si="38"/>
        <v>63037</v>
      </c>
      <c r="WP6" s="41">
        <f t="shared" ref="WP6:ZA6" ca="1" si="39">DATE(YEAR($AJ$6),MONTH($AJ$6)+WP5,DAY(1))</f>
        <v>63068</v>
      </c>
      <c r="WQ6" s="41">
        <f t="shared" ca="1" si="39"/>
        <v>63098</v>
      </c>
      <c r="WR6" s="41">
        <f t="shared" ca="1" si="39"/>
        <v>63129</v>
      </c>
      <c r="WS6" s="41">
        <f t="shared" ca="1" si="39"/>
        <v>63159</v>
      </c>
      <c r="WT6" s="41">
        <f t="shared" ca="1" si="39"/>
        <v>63190</v>
      </c>
      <c r="WU6" s="41">
        <f t="shared" ca="1" si="39"/>
        <v>63221</v>
      </c>
      <c r="WV6" s="41">
        <f t="shared" ca="1" si="39"/>
        <v>63249</v>
      </c>
      <c r="WW6" s="41">
        <f t="shared" ca="1" si="39"/>
        <v>63280</v>
      </c>
      <c r="WX6" s="41">
        <f t="shared" ca="1" si="39"/>
        <v>63310</v>
      </c>
      <c r="WY6" s="41">
        <f t="shared" ca="1" si="39"/>
        <v>63341</v>
      </c>
      <c r="WZ6" s="41">
        <f t="shared" ca="1" si="39"/>
        <v>63371</v>
      </c>
      <c r="XA6" s="41">
        <f t="shared" ca="1" si="39"/>
        <v>63402</v>
      </c>
      <c r="XB6" s="41">
        <f t="shared" ca="1" si="39"/>
        <v>63433</v>
      </c>
      <c r="XC6" s="41">
        <f t="shared" ca="1" si="39"/>
        <v>63463</v>
      </c>
      <c r="XD6" s="41">
        <f t="shared" ca="1" si="39"/>
        <v>63494</v>
      </c>
      <c r="XE6" s="41">
        <f t="shared" ca="1" si="39"/>
        <v>63524</v>
      </c>
      <c r="XF6" s="41">
        <f t="shared" ca="1" si="39"/>
        <v>63555</v>
      </c>
      <c r="XG6" s="41">
        <f t="shared" ca="1" si="39"/>
        <v>63586</v>
      </c>
      <c r="XH6" s="41">
        <f t="shared" ca="1" si="39"/>
        <v>63614</v>
      </c>
      <c r="XI6" s="41">
        <f t="shared" ca="1" si="39"/>
        <v>63645</v>
      </c>
      <c r="XJ6" s="41">
        <f t="shared" ca="1" si="39"/>
        <v>63675</v>
      </c>
      <c r="XK6" s="41">
        <f t="shared" ca="1" si="39"/>
        <v>63706</v>
      </c>
      <c r="XL6" s="41">
        <f t="shared" ca="1" si="39"/>
        <v>63736</v>
      </c>
      <c r="XM6" s="41">
        <f t="shared" ca="1" si="39"/>
        <v>63767</v>
      </c>
      <c r="XN6" s="41">
        <f t="shared" ca="1" si="39"/>
        <v>63798</v>
      </c>
      <c r="XO6" s="41">
        <f t="shared" ca="1" si="39"/>
        <v>63828</v>
      </c>
      <c r="XP6" s="41">
        <f t="shared" ca="1" si="39"/>
        <v>63859</v>
      </c>
      <c r="XQ6" s="41">
        <f t="shared" ca="1" si="39"/>
        <v>63889</v>
      </c>
      <c r="XR6" s="41">
        <f t="shared" ca="1" si="39"/>
        <v>63920</v>
      </c>
      <c r="XS6" s="41">
        <f t="shared" ca="1" si="39"/>
        <v>63951</v>
      </c>
      <c r="XT6" s="41">
        <f t="shared" ca="1" si="39"/>
        <v>63979</v>
      </c>
      <c r="XU6" s="41">
        <f t="shared" ca="1" si="39"/>
        <v>64010</v>
      </c>
      <c r="XV6" s="41">
        <f t="shared" ca="1" si="39"/>
        <v>64040</v>
      </c>
      <c r="XW6" s="41">
        <f t="shared" ca="1" si="39"/>
        <v>64071</v>
      </c>
      <c r="XX6" s="41">
        <f t="shared" ca="1" si="39"/>
        <v>64101</v>
      </c>
      <c r="XY6" s="41">
        <f t="shared" ca="1" si="39"/>
        <v>64132</v>
      </c>
      <c r="XZ6" s="41">
        <f t="shared" ca="1" si="39"/>
        <v>64163</v>
      </c>
      <c r="YA6" s="41">
        <f t="shared" ca="1" si="39"/>
        <v>64193</v>
      </c>
      <c r="YB6" s="41">
        <f t="shared" ca="1" si="39"/>
        <v>64224</v>
      </c>
      <c r="YC6" s="41">
        <f t="shared" ca="1" si="39"/>
        <v>64254</v>
      </c>
      <c r="YD6" s="41">
        <f t="shared" ca="1" si="39"/>
        <v>64285</v>
      </c>
      <c r="YE6" s="41">
        <f t="shared" ca="1" si="39"/>
        <v>64316</v>
      </c>
      <c r="YF6" s="41">
        <f t="shared" ca="1" si="39"/>
        <v>64345</v>
      </c>
      <c r="YG6" s="41">
        <f t="shared" ca="1" si="39"/>
        <v>64376</v>
      </c>
      <c r="YH6" s="41">
        <f t="shared" ca="1" si="39"/>
        <v>64406</v>
      </c>
      <c r="YI6" s="41">
        <f t="shared" ca="1" si="39"/>
        <v>64437</v>
      </c>
      <c r="YJ6" s="41">
        <f t="shared" ca="1" si="39"/>
        <v>64467</v>
      </c>
      <c r="YK6" s="41">
        <f t="shared" ca="1" si="39"/>
        <v>64498</v>
      </c>
      <c r="YL6" s="41">
        <f t="shared" ca="1" si="39"/>
        <v>64529</v>
      </c>
      <c r="YM6" s="41">
        <f t="shared" ca="1" si="39"/>
        <v>64559</v>
      </c>
      <c r="YN6" s="41">
        <f t="shared" ca="1" si="39"/>
        <v>64590</v>
      </c>
      <c r="YO6" s="41">
        <f t="shared" ca="1" si="39"/>
        <v>64620</v>
      </c>
      <c r="YP6" s="41">
        <f t="shared" ca="1" si="39"/>
        <v>64651</v>
      </c>
      <c r="YQ6" s="41">
        <f t="shared" ca="1" si="39"/>
        <v>64682</v>
      </c>
      <c r="YR6" s="41">
        <f t="shared" ca="1" si="39"/>
        <v>64710</v>
      </c>
      <c r="YS6" s="41">
        <f t="shared" ca="1" si="39"/>
        <v>64741</v>
      </c>
      <c r="YT6" s="41">
        <f t="shared" ca="1" si="39"/>
        <v>64771</v>
      </c>
      <c r="YU6" s="41">
        <f t="shared" ca="1" si="39"/>
        <v>64802</v>
      </c>
      <c r="YV6" s="41">
        <f t="shared" ca="1" si="39"/>
        <v>64832</v>
      </c>
      <c r="YW6" s="41">
        <f t="shared" ca="1" si="39"/>
        <v>64863</v>
      </c>
      <c r="YX6" s="41">
        <f t="shared" ca="1" si="39"/>
        <v>64894</v>
      </c>
      <c r="YY6" s="41">
        <f t="shared" ca="1" si="39"/>
        <v>64924</v>
      </c>
      <c r="YZ6" s="41">
        <f t="shared" ca="1" si="39"/>
        <v>64955</v>
      </c>
      <c r="ZA6" s="41">
        <f t="shared" ca="1" si="39"/>
        <v>64985</v>
      </c>
      <c r="ZB6" s="41">
        <f t="shared" ref="ZB6:ABM6" ca="1" si="40">DATE(YEAR($AJ$6),MONTH($AJ$6)+ZB5,DAY(1))</f>
        <v>65016</v>
      </c>
      <c r="ZC6" s="41">
        <f t="shared" ca="1" si="40"/>
        <v>65047</v>
      </c>
      <c r="ZD6" s="41">
        <f t="shared" ca="1" si="40"/>
        <v>65075</v>
      </c>
      <c r="ZE6" s="41">
        <f t="shared" ca="1" si="40"/>
        <v>65106</v>
      </c>
      <c r="ZF6" s="41">
        <f t="shared" ca="1" si="40"/>
        <v>65136</v>
      </c>
      <c r="ZG6" s="41">
        <f t="shared" ca="1" si="40"/>
        <v>65167</v>
      </c>
      <c r="ZH6" s="41">
        <f t="shared" ca="1" si="40"/>
        <v>65197</v>
      </c>
      <c r="ZI6" s="41">
        <f t="shared" ca="1" si="40"/>
        <v>65228</v>
      </c>
      <c r="ZJ6" s="41">
        <f t="shared" ca="1" si="40"/>
        <v>65259</v>
      </c>
      <c r="ZK6" s="41">
        <f t="shared" ca="1" si="40"/>
        <v>65289</v>
      </c>
      <c r="ZL6" s="41">
        <f t="shared" ca="1" si="40"/>
        <v>65320</v>
      </c>
      <c r="ZM6" s="41">
        <f t="shared" ca="1" si="40"/>
        <v>65350</v>
      </c>
      <c r="ZN6" s="41">
        <f t="shared" ca="1" si="40"/>
        <v>65381</v>
      </c>
      <c r="ZO6" s="41">
        <f t="shared" ca="1" si="40"/>
        <v>65412</v>
      </c>
      <c r="ZP6" s="41">
        <f t="shared" ca="1" si="40"/>
        <v>65440</v>
      </c>
      <c r="ZQ6" s="41">
        <f t="shared" ca="1" si="40"/>
        <v>65471</v>
      </c>
      <c r="ZR6" s="41">
        <f t="shared" ca="1" si="40"/>
        <v>65501</v>
      </c>
      <c r="ZS6" s="41">
        <f t="shared" ca="1" si="40"/>
        <v>65532</v>
      </c>
      <c r="ZT6" s="41">
        <f t="shared" ca="1" si="40"/>
        <v>65562</v>
      </c>
      <c r="ZU6" s="41">
        <f t="shared" ca="1" si="40"/>
        <v>65593</v>
      </c>
      <c r="ZV6" s="41">
        <f t="shared" ca="1" si="40"/>
        <v>65624</v>
      </c>
      <c r="ZW6" s="41">
        <f t="shared" ca="1" si="40"/>
        <v>65654</v>
      </c>
      <c r="ZX6" s="41">
        <f t="shared" ca="1" si="40"/>
        <v>65685</v>
      </c>
      <c r="ZY6" s="41">
        <f t="shared" ca="1" si="40"/>
        <v>65715</v>
      </c>
      <c r="ZZ6" s="41">
        <f t="shared" ca="1" si="40"/>
        <v>65746</v>
      </c>
      <c r="AAA6" s="41">
        <f t="shared" ca="1" si="40"/>
        <v>65777</v>
      </c>
      <c r="AAB6" s="41">
        <f t="shared" ca="1" si="40"/>
        <v>65806</v>
      </c>
      <c r="AAC6" s="41">
        <f t="shared" ca="1" si="40"/>
        <v>65837</v>
      </c>
      <c r="AAD6" s="41">
        <f t="shared" ca="1" si="40"/>
        <v>65867</v>
      </c>
      <c r="AAE6" s="41">
        <f t="shared" ca="1" si="40"/>
        <v>65898</v>
      </c>
      <c r="AAF6" s="41">
        <f t="shared" ca="1" si="40"/>
        <v>65928</v>
      </c>
      <c r="AAG6" s="41">
        <f t="shared" ca="1" si="40"/>
        <v>65959</v>
      </c>
      <c r="AAH6" s="41">
        <f t="shared" ca="1" si="40"/>
        <v>65990</v>
      </c>
      <c r="AAI6" s="41">
        <f t="shared" ca="1" si="40"/>
        <v>66020</v>
      </c>
      <c r="AAJ6" s="41">
        <f t="shared" ca="1" si="40"/>
        <v>66051</v>
      </c>
      <c r="AAK6" s="41">
        <f t="shared" ca="1" si="40"/>
        <v>66081</v>
      </c>
      <c r="AAL6" s="41">
        <f t="shared" ca="1" si="40"/>
        <v>66112</v>
      </c>
      <c r="AAM6" s="41">
        <f t="shared" ca="1" si="40"/>
        <v>66143</v>
      </c>
      <c r="AAN6" s="41">
        <f t="shared" ca="1" si="40"/>
        <v>66171</v>
      </c>
      <c r="AAO6" s="41">
        <f t="shared" ca="1" si="40"/>
        <v>66202</v>
      </c>
      <c r="AAP6" s="41">
        <f t="shared" ca="1" si="40"/>
        <v>66232</v>
      </c>
      <c r="AAQ6" s="41">
        <f t="shared" ca="1" si="40"/>
        <v>66263</v>
      </c>
      <c r="AAR6" s="41">
        <f t="shared" ca="1" si="40"/>
        <v>66293</v>
      </c>
      <c r="AAS6" s="41">
        <f t="shared" ca="1" si="40"/>
        <v>66324</v>
      </c>
      <c r="AAT6" s="41">
        <f t="shared" ca="1" si="40"/>
        <v>66355</v>
      </c>
      <c r="AAU6" s="41">
        <f t="shared" ca="1" si="40"/>
        <v>66385</v>
      </c>
      <c r="AAV6" s="41">
        <f t="shared" ca="1" si="40"/>
        <v>66416</v>
      </c>
      <c r="AAW6" s="41">
        <f t="shared" ca="1" si="40"/>
        <v>66446</v>
      </c>
      <c r="AAX6" s="41">
        <f t="shared" ca="1" si="40"/>
        <v>66477</v>
      </c>
      <c r="AAY6" s="41">
        <f t="shared" ca="1" si="40"/>
        <v>66508</v>
      </c>
      <c r="AAZ6" s="41">
        <f t="shared" ca="1" si="40"/>
        <v>66536</v>
      </c>
      <c r="ABA6" s="41">
        <f t="shared" ca="1" si="40"/>
        <v>66567</v>
      </c>
      <c r="ABB6" s="41">
        <f t="shared" ca="1" si="40"/>
        <v>66597</v>
      </c>
      <c r="ABC6" s="41">
        <f t="shared" ca="1" si="40"/>
        <v>66628</v>
      </c>
      <c r="ABD6" s="41">
        <f t="shared" ca="1" si="40"/>
        <v>66658</v>
      </c>
      <c r="ABE6" s="41">
        <f t="shared" ca="1" si="40"/>
        <v>66689</v>
      </c>
      <c r="ABF6" s="41">
        <f t="shared" ca="1" si="40"/>
        <v>66720</v>
      </c>
      <c r="ABG6" s="41">
        <f t="shared" ca="1" si="40"/>
        <v>66750</v>
      </c>
      <c r="ABH6" s="41">
        <f t="shared" ca="1" si="40"/>
        <v>66781</v>
      </c>
      <c r="ABI6" s="41">
        <f t="shared" ca="1" si="40"/>
        <v>66811</v>
      </c>
      <c r="ABJ6" s="41">
        <f t="shared" ca="1" si="40"/>
        <v>66842</v>
      </c>
      <c r="ABK6" s="41">
        <f t="shared" ca="1" si="40"/>
        <v>66873</v>
      </c>
      <c r="ABL6" s="41">
        <f t="shared" ca="1" si="40"/>
        <v>66901</v>
      </c>
      <c r="ABM6" s="41">
        <f t="shared" ca="1" si="40"/>
        <v>66932</v>
      </c>
      <c r="ABN6" s="41">
        <f t="shared" ref="ABN6:ADY6" ca="1" si="41">DATE(YEAR($AJ$6),MONTH($AJ$6)+ABN5,DAY(1))</f>
        <v>66962</v>
      </c>
      <c r="ABO6" s="41">
        <f t="shared" ca="1" si="41"/>
        <v>66993</v>
      </c>
      <c r="ABP6" s="41">
        <f t="shared" ca="1" si="41"/>
        <v>67023</v>
      </c>
      <c r="ABQ6" s="41">
        <f t="shared" ca="1" si="41"/>
        <v>67054</v>
      </c>
      <c r="ABR6" s="41">
        <f t="shared" ca="1" si="41"/>
        <v>67085</v>
      </c>
      <c r="ABS6" s="41">
        <f t="shared" ca="1" si="41"/>
        <v>67115</v>
      </c>
      <c r="ABT6" s="41">
        <f t="shared" ca="1" si="41"/>
        <v>67146</v>
      </c>
      <c r="ABU6" s="41">
        <f t="shared" ca="1" si="41"/>
        <v>67176</v>
      </c>
      <c r="ABV6" s="41">
        <f t="shared" ca="1" si="41"/>
        <v>67207</v>
      </c>
      <c r="ABW6" s="41">
        <f t="shared" ca="1" si="41"/>
        <v>67238</v>
      </c>
      <c r="ABX6" s="41">
        <f t="shared" ca="1" si="41"/>
        <v>67267</v>
      </c>
      <c r="ABY6" s="41">
        <f t="shared" ca="1" si="41"/>
        <v>67298</v>
      </c>
      <c r="ABZ6" s="41">
        <f t="shared" ca="1" si="41"/>
        <v>67328</v>
      </c>
      <c r="ACA6" s="41">
        <f t="shared" ca="1" si="41"/>
        <v>67359</v>
      </c>
      <c r="ACB6" s="41">
        <f t="shared" ca="1" si="41"/>
        <v>67389</v>
      </c>
      <c r="ACC6" s="41">
        <f t="shared" ca="1" si="41"/>
        <v>67420</v>
      </c>
      <c r="ACD6" s="41">
        <f t="shared" ca="1" si="41"/>
        <v>67451</v>
      </c>
      <c r="ACE6" s="41">
        <f t="shared" ca="1" si="41"/>
        <v>67481</v>
      </c>
      <c r="ACF6" s="41">
        <f t="shared" ca="1" si="41"/>
        <v>67512</v>
      </c>
      <c r="ACG6" s="41">
        <f t="shared" ca="1" si="41"/>
        <v>67542</v>
      </c>
      <c r="ACH6" s="41">
        <f t="shared" ca="1" si="41"/>
        <v>67573</v>
      </c>
      <c r="ACI6" s="41">
        <f t="shared" ca="1" si="41"/>
        <v>67604</v>
      </c>
      <c r="ACJ6" s="41">
        <f t="shared" ca="1" si="41"/>
        <v>67632</v>
      </c>
      <c r="ACK6" s="41">
        <f t="shared" ca="1" si="41"/>
        <v>67663</v>
      </c>
      <c r="ACL6" s="41">
        <f t="shared" ca="1" si="41"/>
        <v>67693</v>
      </c>
      <c r="ACM6" s="41">
        <f t="shared" ca="1" si="41"/>
        <v>67724</v>
      </c>
      <c r="ACN6" s="41">
        <f t="shared" ca="1" si="41"/>
        <v>67754</v>
      </c>
      <c r="ACO6" s="41">
        <f t="shared" ca="1" si="41"/>
        <v>67785</v>
      </c>
      <c r="ACP6" s="41">
        <f t="shared" ca="1" si="41"/>
        <v>67816</v>
      </c>
      <c r="ACQ6" s="41">
        <f t="shared" ca="1" si="41"/>
        <v>67846</v>
      </c>
      <c r="ACR6" s="41">
        <f t="shared" ca="1" si="41"/>
        <v>67877</v>
      </c>
      <c r="ACS6" s="41">
        <f t="shared" ca="1" si="41"/>
        <v>67907</v>
      </c>
      <c r="ACT6" s="41">
        <f t="shared" ca="1" si="41"/>
        <v>67938</v>
      </c>
      <c r="ACU6" s="41">
        <f t="shared" ca="1" si="41"/>
        <v>67969</v>
      </c>
      <c r="ACV6" s="41">
        <f t="shared" ca="1" si="41"/>
        <v>67997</v>
      </c>
      <c r="ACW6" s="41">
        <f t="shared" ca="1" si="41"/>
        <v>68028</v>
      </c>
      <c r="ACX6" s="41">
        <f t="shared" ca="1" si="41"/>
        <v>68058</v>
      </c>
      <c r="ACY6" s="41">
        <f t="shared" ca="1" si="41"/>
        <v>68089</v>
      </c>
      <c r="ACZ6" s="41">
        <f t="shared" ca="1" si="41"/>
        <v>68119</v>
      </c>
      <c r="ADA6" s="41">
        <f t="shared" ca="1" si="41"/>
        <v>68150</v>
      </c>
      <c r="ADB6" s="41">
        <f t="shared" ca="1" si="41"/>
        <v>68181</v>
      </c>
      <c r="ADC6" s="41">
        <f t="shared" ca="1" si="41"/>
        <v>68211</v>
      </c>
      <c r="ADD6" s="41">
        <f t="shared" ca="1" si="41"/>
        <v>68242</v>
      </c>
      <c r="ADE6" s="41">
        <f t="shared" ca="1" si="41"/>
        <v>68272</v>
      </c>
      <c r="ADF6" s="41">
        <f t="shared" ca="1" si="41"/>
        <v>68303</v>
      </c>
      <c r="ADG6" s="41">
        <f t="shared" ca="1" si="41"/>
        <v>68334</v>
      </c>
      <c r="ADH6" s="41">
        <f t="shared" ca="1" si="41"/>
        <v>68362</v>
      </c>
      <c r="ADI6" s="41">
        <f t="shared" ca="1" si="41"/>
        <v>68393</v>
      </c>
      <c r="ADJ6" s="41">
        <f t="shared" ca="1" si="41"/>
        <v>68423</v>
      </c>
      <c r="ADK6" s="41">
        <f t="shared" ca="1" si="41"/>
        <v>68454</v>
      </c>
      <c r="ADL6" s="41">
        <f t="shared" ca="1" si="41"/>
        <v>68484</v>
      </c>
      <c r="ADM6" s="41">
        <f t="shared" ca="1" si="41"/>
        <v>68515</v>
      </c>
      <c r="ADN6" s="41">
        <f t="shared" ca="1" si="41"/>
        <v>68546</v>
      </c>
      <c r="ADO6" s="41">
        <f t="shared" ca="1" si="41"/>
        <v>68576</v>
      </c>
      <c r="ADP6" s="41">
        <f t="shared" ca="1" si="41"/>
        <v>68607</v>
      </c>
      <c r="ADQ6" s="41">
        <f t="shared" ca="1" si="41"/>
        <v>68637</v>
      </c>
      <c r="ADR6" s="41">
        <f t="shared" ca="1" si="41"/>
        <v>68668</v>
      </c>
      <c r="ADS6" s="41">
        <f t="shared" ca="1" si="41"/>
        <v>68699</v>
      </c>
      <c r="ADT6" s="41">
        <f t="shared" ca="1" si="41"/>
        <v>68728</v>
      </c>
      <c r="ADU6" s="41">
        <f t="shared" ca="1" si="41"/>
        <v>68759</v>
      </c>
      <c r="ADV6" s="41">
        <f t="shared" ca="1" si="41"/>
        <v>68789</v>
      </c>
      <c r="ADW6" s="41">
        <f t="shared" ca="1" si="41"/>
        <v>68820</v>
      </c>
      <c r="ADX6" s="41">
        <f t="shared" ca="1" si="41"/>
        <v>68850</v>
      </c>
      <c r="ADY6" s="41">
        <f t="shared" ca="1" si="41"/>
        <v>68881</v>
      </c>
      <c r="ADZ6" s="41">
        <f t="shared" ref="ADZ6:AGK6" ca="1" si="42">DATE(YEAR($AJ$6),MONTH($AJ$6)+ADZ5,DAY(1))</f>
        <v>68912</v>
      </c>
      <c r="AEA6" s="41">
        <f t="shared" ca="1" si="42"/>
        <v>68942</v>
      </c>
      <c r="AEB6" s="41">
        <f t="shared" ca="1" si="42"/>
        <v>68973</v>
      </c>
      <c r="AEC6" s="41">
        <f t="shared" ca="1" si="42"/>
        <v>69003</v>
      </c>
      <c r="AED6" s="41">
        <f t="shared" ca="1" si="42"/>
        <v>69034</v>
      </c>
      <c r="AEE6" s="41">
        <f t="shared" ca="1" si="42"/>
        <v>69065</v>
      </c>
      <c r="AEF6" s="41">
        <f t="shared" ca="1" si="42"/>
        <v>69093</v>
      </c>
      <c r="AEG6" s="41">
        <f t="shared" ca="1" si="42"/>
        <v>69124</v>
      </c>
      <c r="AEH6" s="41">
        <f t="shared" ca="1" si="42"/>
        <v>69154</v>
      </c>
      <c r="AEI6" s="41">
        <f t="shared" ca="1" si="42"/>
        <v>69185</v>
      </c>
      <c r="AEJ6" s="41">
        <f t="shared" ca="1" si="42"/>
        <v>69215</v>
      </c>
      <c r="AEK6" s="41">
        <f t="shared" ca="1" si="42"/>
        <v>69246</v>
      </c>
      <c r="AEL6" s="41">
        <f t="shared" ca="1" si="42"/>
        <v>69277</v>
      </c>
      <c r="AEM6" s="41">
        <f t="shared" ca="1" si="42"/>
        <v>69307</v>
      </c>
      <c r="AEN6" s="41">
        <f t="shared" ca="1" si="42"/>
        <v>69338</v>
      </c>
      <c r="AEO6" s="41">
        <f t="shared" ca="1" si="42"/>
        <v>69368</v>
      </c>
      <c r="AEP6" s="41">
        <f t="shared" ca="1" si="42"/>
        <v>69399</v>
      </c>
      <c r="AEQ6" s="41">
        <f t="shared" ca="1" si="42"/>
        <v>69430</v>
      </c>
      <c r="AER6" s="41">
        <f t="shared" ca="1" si="42"/>
        <v>69458</v>
      </c>
      <c r="AES6" s="41">
        <f t="shared" ca="1" si="42"/>
        <v>69489</v>
      </c>
      <c r="AET6" s="41">
        <f t="shared" ca="1" si="42"/>
        <v>69519</v>
      </c>
      <c r="AEU6" s="41">
        <f t="shared" ca="1" si="42"/>
        <v>69550</v>
      </c>
      <c r="AEV6" s="41">
        <f t="shared" ca="1" si="42"/>
        <v>69580</v>
      </c>
      <c r="AEW6" s="41">
        <f t="shared" ca="1" si="42"/>
        <v>69611</v>
      </c>
      <c r="AEX6" s="41">
        <f t="shared" ca="1" si="42"/>
        <v>69642</v>
      </c>
      <c r="AEY6" s="41">
        <f t="shared" ca="1" si="42"/>
        <v>69672</v>
      </c>
      <c r="AEZ6" s="41">
        <f t="shared" ca="1" si="42"/>
        <v>69703</v>
      </c>
      <c r="AFA6" s="41">
        <f t="shared" ca="1" si="42"/>
        <v>69733</v>
      </c>
      <c r="AFB6" s="41">
        <f t="shared" ca="1" si="42"/>
        <v>69764</v>
      </c>
      <c r="AFC6" s="41">
        <f t="shared" ca="1" si="42"/>
        <v>69795</v>
      </c>
      <c r="AFD6" s="41">
        <f t="shared" ca="1" si="42"/>
        <v>69823</v>
      </c>
      <c r="AFE6" s="41">
        <f t="shared" ca="1" si="42"/>
        <v>69854</v>
      </c>
      <c r="AFF6" s="41">
        <f t="shared" ca="1" si="42"/>
        <v>69884</v>
      </c>
      <c r="AFG6" s="41">
        <f t="shared" ca="1" si="42"/>
        <v>69915</v>
      </c>
      <c r="AFH6" s="41">
        <f t="shared" ca="1" si="42"/>
        <v>69945</v>
      </c>
      <c r="AFI6" s="41">
        <f t="shared" ca="1" si="42"/>
        <v>69976</v>
      </c>
      <c r="AFJ6" s="41">
        <f t="shared" ca="1" si="42"/>
        <v>70007</v>
      </c>
      <c r="AFK6" s="41">
        <f t="shared" ca="1" si="42"/>
        <v>70037</v>
      </c>
      <c r="AFL6" s="41">
        <f t="shared" ca="1" si="42"/>
        <v>70068</v>
      </c>
      <c r="AFM6" s="41">
        <f t="shared" ca="1" si="42"/>
        <v>70098</v>
      </c>
      <c r="AFN6" s="41">
        <f t="shared" ca="1" si="42"/>
        <v>70129</v>
      </c>
      <c r="AFO6" s="41">
        <f t="shared" ca="1" si="42"/>
        <v>70160</v>
      </c>
      <c r="AFP6" s="41">
        <f t="shared" ca="1" si="42"/>
        <v>70189</v>
      </c>
      <c r="AFQ6" s="41">
        <f t="shared" ca="1" si="42"/>
        <v>70220</v>
      </c>
      <c r="AFR6" s="41">
        <f t="shared" ca="1" si="42"/>
        <v>70250</v>
      </c>
      <c r="AFS6" s="41">
        <f t="shared" ca="1" si="42"/>
        <v>70281</v>
      </c>
      <c r="AFT6" s="41">
        <f t="shared" ca="1" si="42"/>
        <v>70311</v>
      </c>
      <c r="AFU6" s="41">
        <f t="shared" ca="1" si="42"/>
        <v>70342</v>
      </c>
      <c r="AFV6" s="41">
        <f t="shared" ca="1" si="42"/>
        <v>70373</v>
      </c>
      <c r="AFW6" s="41">
        <f t="shared" ca="1" si="42"/>
        <v>70403</v>
      </c>
      <c r="AFX6" s="41">
        <f t="shared" ca="1" si="42"/>
        <v>70434</v>
      </c>
      <c r="AFY6" s="41">
        <f t="shared" ca="1" si="42"/>
        <v>70464</v>
      </c>
      <c r="AFZ6" s="41">
        <f t="shared" ca="1" si="42"/>
        <v>70495</v>
      </c>
      <c r="AGA6" s="41">
        <f t="shared" ca="1" si="42"/>
        <v>70526</v>
      </c>
      <c r="AGB6" s="41">
        <f t="shared" ca="1" si="42"/>
        <v>70554</v>
      </c>
      <c r="AGC6" s="41">
        <f t="shared" ca="1" si="42"/>
        <v>70585</v>
      </c>
      <c r="AGD6" s="41">
        <f t="shared" ca="1" si="42"/>
        <v>70615</v>
      </c>
      <c r="AGE6" s="41">
        <f t="shared" ca="1" si="42"/>
        <v>70646</v>
      </c>
      <c r="AGF6" s="41">
        <f t="shared" ca="1" si="42"/>
        <v>70676</v>
      </c>
      <c r="AGG6" s="41">
        <f t="shared" ca="1" si="42"/>
        <v>70707</v>
      </c>
      <c r="AGH6" s="41">
        <f t="shared" ca="1" si="42"/>
        <v>70738</v>
      </c>
      <c r="AGI6" s="41">
        <f t="shared" ca="1" si="42"/>
        <v>70768</v>
      </c>
      <c r="AGJ6" s="41">
        <f t="shared" ca="1" si="42"/>
        <v>70799</v>
      </c>
      <c r="AGK6" s="41">
        <f t="shared" ca="1" si="42"/>
        <v>70829</v>
      </c>
      <c r="AGL6" s="41">
        <f t="shared" ref="AGL6:AIW6" ca="1" si="43">DATE(YEAR($AJ$6),MONTH($AJ$6)+AGL5,DAY(1))</f>
        <v>70860</v>
      </c>
      <c r="AGM6" s="41">
        <f t="shared" ca="1" si="43"/>
        <v>70891</v>
      </c>
      <c r="AGN6" s="41">
        <f t="shared" ca="1" si="43"/>
        <v>70919</v>
      </c>
      <c r="AGO6" s="41">
        <f t="shared" ca="1" si="43"/>
        <v>70950</v>
      </c>
      <c r="AGP6" s="41">
        <f t="shared" ca="1" si="43"/>
        <v>70980</v>
      </c>
      <c r="AGQ6" s="41">
        <f t="shared" ca="1" si="43"/>
        <v>71011</v>
      </c>
      <c r="AGR6" s="41">
        <f t="shared" ca="1" si="43"/>
        <v>71041</v>
      </c>
      <c r="AGS6" s="41">
        <f t="shared" ca="1" si="43"/>
        <v>71072</v>
      </c>
      <c r="AGT6" s="41">
        <f t="shared" ca="1" si="43"/>
        <v>71103</v>
      </c>
      <c r="AGU6" s="41">
        <f t="shared" ca="1" si="43"/>
        <v>71133</v>
      </c>
      <c r="AGV6" s="41">
        <f t="shared" ca="1" si="43"/>
        <v>71164</v>
      </c>
      <c r="AGW6" s="41">
        <f t="shared" ca="1" si="43"/>
        <v>71194</v>
      </c>
      <c r="AGX6" s="41">
        <f t="shared" ca="1" si="43"/>
        <v>71225</v>
      </c>
      <c r="AGY6" s="41">
        <f t="shared" ca="1" si="43"/>
        <v>71256</v>
      </c>
      <c r="AGZ6" s="41">
        <f t="shared" ca="1" si="43"/>
        <v>71284</v>
      </c>
      <c r="AHA6" s="41">
        <f t="shared" ca="1" si="43"/>
        <v>71315</v>
      </c>
      <c r="AHB6" s="41">
        <f t="shared" ca="1" si="43"/>
        <v>71345</v>
      </c>
      <c r="AHC6" s="41">
        <f t="shared" ca="1" si="43"/>
        <v>71376</v>
      </c>
      <c r="AHD6" s="41">
        <f t="shared" ca="1" si="43"/>
        <v>71406</v>
      </c>
      <c r="AHE6" s="41">
        <f t="shared" ca="1" si="43"/>
        <v>71437</v>
      </c>
      <c r="AHF6" s="41">
        <f t="shared" ca="1" si="43"/>
        <v>71468</v>
      </c>
      <c r="AHG6" s="41">
        <f t="shared" ca="1" si="43"/>
        <v>71498</v>
      </c>
      <c r="AHH6" s="41">
        <f t="shared" ca="1" si="43"/>
        <v>71529</v>
      </c>
      <c r="AHI6" s="41">
        <f t="shared" ca="1" si="43"/>
        <v>71559</v>
      </c>
      <c r="AHJ6" s="41">
        <f t="shared" ca="1" si="43"/>
        <v>71590</v>
      </c>
      <c r="AHK6" s="41">
        <f t="shared" ca="1" si="43"/>
        <v>71621</v>
      </c>
      <c r="AHL6" s="41">
        <f t="shared" ca="1" si="43"/>
        <v>71650</v>
      </c>
      <c r="AHM6" s="41">
        <f t="shared" ca="1" si="43"/>
        <v>71681</v>
      </c>
      <c r="AHN6" s="41">
        <f t="shared" ca="1" si="43"/>
        <v>71711</v>
      </c>
      <c r="AHO6" s="41">
        <f t="shared" ca="1" si="43"/>
        <v>71742</v>
      </c>
      <c r="AHP6" s="41">
        <f t="shared" ca="1" si="43"/>
        <v>71772</v>
      </c>
      <c r="AHQ6" s="41">
        <f t="shared" ca="1" si="43"/>
        <v>71803</v>
      </c>
      <c r="AHR6" s="41">
        <f t="shared" ca="1" si="43"/>
        <v>71834</v>
      </c>
      <c r="AHS6" s="41">
        <f t="shared" ca="1" si="43"/>
        <v>71864</v>
      </c>
      <c r="AHT6" s="41">
        <f t="shared" ca="1" si="43"/>
        <v>71895</v>
      </c>
      <c r="AHU6" s="41">
        <f t="shared" ca="1" si="43"/>
        <v>71925</v>
      </c>
      <c r="AHV6" s="41">
        <f t="shared" ca="1" si="43"/>
        <v>71956</v>
      </c>
      <c r="AHW6" s="41">
        <f t="shared" ca="1" si="43"/>
        <v>71987</v>
      </c>
      <c r="AHX6" s="41">
        <f t="shared" ca="1" si="43"/>
        <v>72015</v>
      </c>
      <c r="AHY6" s="41">
        <f t="shared" ca="1" si="43"/>
        <v>72046</v>
      </c>
      <c r="AHZ6" s="41">
        <f t="shared" ca="1" si="43"/>
        <v>72076</v>
      </c>
      <c r="AIA6" s="41">
        <f t="shared" ca="1" si="43"/>
        <v>72107</v>
      </c>
      <c r="AIB6" s="41">
        <f t="shared" ca="1" si="43"/>
        <v>72137</v>
      </c>
      <c r="AIC6" s="41">
        <f t="shared" ca="1" si="43"/>
        <v>72168</v>
      </c>
      <c r="AID6" s="41">
        <f t="shared" ca="1" si="43"/>
        <v>72199</v>
      </c>
      <c r="AIE6" s="41">
        <f t="shared" ca="1" si="43"/>
        <v>72229</v>
      </c>
      <c r="AIF6" s="41">
        <f t="shared" ca="1" si="43"/>
        <v>72260</v>
      </c>
      <c r="AIG6" s="41">
        <f t="shared" ca="1" si="43"/>
        <v>72290</v>
      </c>
      <c r="AIH6" s="41">
        <f t="shared" ca="1" si="43"/>
        <v>72321</v>
      </c>
      <c r="AII6" s="41">
        <f t="shared" ca="1" si="43"/>
        <v>72352</v>
      </c>
      <c r="AIJ6" s="41">
        <f t="shared" ca="1" si="43"/>
        <v>72380</v>
      </c>
      <c r="AIK6" s="41">
        <f t="shared" ca="1" si="43"/>
        <v>72411</v>
      </c>
      <c r="AIL6" s="41">
        <f t="shared" ca="1" si="43"/>
        <v>72441</v>
      </c>
      <c r="AIM6" s="41">
        <f t="shared" ca="1" si="43"/>
        <v>72472</v>
      </c>
      <c r="AIN6" s="41">
        <f t="shared" ca="1" si="43"/>
        <v>72502</v>
      </c>
      <c r="AIO6" s="41">
        <f t="shared" ca="1" si="43"/>
        <v>72533</v>
      </c>
      <c r="AIP6" s="41">
        <f t="shared" ca="1" si="43"/>
        <v>72564</v>
      </c>
      <c r="AIQ6" s="41">
        <f t="shared" ca="1" si="43"/>
        <v>72594</v>
      </c>
      <c r="AIR6" s="41">
        <f t="shared" ca="1" si="43"/>
        <v>72625</v>
      </c>
      <c r="AIS6" s="41">
        <f t="shared" ca="1" si="43"/>
        <v>72655</v>
      </c>
      <c r="AIT6" s="41">
        <f t="shared" ca="1" si="43"/>
        <v>72686</v>
      </c>
      <c r="AIU6" s="41">
        <f t="shared" ca="1" si="43"/>
        <v>72717</v>
      </c>
      <c r="AIV6" s="41">
        <f t="shared" ca="1" si="43"/>
        <v>72745</v>
      </c>
      <c r="AIW6" s="41">
        <f t="shared" ca="1" si="43"/>
        <v>72776</v>
      </c>
      <c r="AIX6" s="41">
        <f t="shared" ref="AIX6:AKS6" ca="1" si="44">DATE(YEAR($AJ$6),MONTH($AJ$6)+AIX5,DAY(1))</f>
        <v>72806</v>
      </c>
      <c r="AIY6" s="41">
        <f t="shared" ca="1" si="44"/>
        <v>72837</v>
      </c>
      <c r="AIZ6" s="41">
        <f t="shared" ca="1" si="44"/>
        <v>72867</v>
      </c>
      <c r="AJA6" s="41">
        <f t="shared" ca="1" si="44"/>
        <v>72898</v>
      </c>
      <c r="AJB6" s="41">
        <f t="shared" ca="1" si="44"/>
        <v>72929</v>
      </c>
      <c r="AJC6" s="41">
        <f t="shared" ca="1" si="44"/>
        <v>72959</v>
      </c>
      <c r="AJD6" s="41">
        <f t="shared" ca="1" si="44"/>
        <v>72990</v>
      </c>
      <c r="AJE6" s="41">
        <f t="shared" ca="1" si="44"/>
        <v>73020</v>
      </c>
      <c r="AJF6" s="41">
        <f t="shared" ca="1" si="44"/>
        <v>73051</v>
      </c>
      <c r="AJG6" s="41">
        <f t="shared" ca="1" si="44"/>
        <v>73082</v>
      </c>
      <c r="AJH6" s="41">
        <f t="shared" ca="1" si="44"/>
        <v>73110</v>
      </c>
      <c r="AJI6" s="41">
        <f t="shared" ca="1" si="44"/>
        <v>73141</v>
      </c>
      <c r="AJJ6" s="41">
        <f t="shared" ca="1" si="44"/>
        <v>73171</v>
      </c>
      <c r="AJK6" s="41">
        <f t="shared" ca="1" si="44"/>
        <v>73202</v>
      </c>
      <c r="AJL6" s="41">
        <f t="shared" ca="1" si="44"/>
        <v>73232</v>
      </c>
      <c r="AJM6" s="41">
        <f t="shared" ca="1" si="44"/>
        <v>73263</v>
      </c>
      <c r="AJN6" s="41">
        <f t="shared" ca="1" si="44"/>
        <v>73294</v>
      </c>
      <c r="AJO6" s="41">
        <f t="shared" ca="1" si="44"/>
        <v>73324</v>
      </c>
      <c r="AJP6" s="41">
        <f t="shared" ca="1" si="44"/>
        <v>73355</v>
      </c>
      <c r="AJQ6" s="41">
        <f t="shared" ca="1" si="44"/>
        <v>73385</v>
      </c>
      <c r="AJR6" s="41">
        <f t="shared" ca="1" si="44"/>
        <v>73416</v>
      </c>
      <c r="AJS6" s="41">
        <f t="shared" ca="1" si="44"/>
        <v>73447</v>
      </c>
      <c r="AJT6" s="41">
        <f t="shared" ca="1" si="44"/>
        <v>73475</v>
      </c>
      <c r="AJU6" s="41">
        <f t="shared" ca="1" si="44"/>
        <v>73506</v>
      </c>
      <c r="AJV6" s="41">
        <f t="shared" ca="1" si="44"/>
        <v>73536</v>
      </c>
      <c r="AJW6" s="41">
        <f t="shared" ca="1" si="44"/>
        <v>73567</v>
      </c>
      <c r="AJX6" s="41">
        <f t="shared" ca="1" si="44"/>
        <v>73597</v>
      </c>
      <c r="AJY6" s="41">
        <f t="shared" ca="1" si="44"/>
        <v>73628</v>
      </c>
      <c r="AJZ6" s="41">
        <f t="shared" ca="1" si="44"/>
        <v>73659</v>
      </c>
      <c r="AKA6" s="41">
        <f t="shared" ca="1" si="44"/>
        <v>73689</v>
      </c>
      <c r="AKB6" s="41">
        <f t="shared" ca="1" si="44"/>
        <v>73720</v>
      </c>
      <c r="AKC6" s="41">
        <f t="shared" ca="1" si="44"/>
        <v>73750</v>
      </c>
      <c r="AKD6" s="41">
        <f t="shared" ca="1" si="44"/>
        <v>73781</v>
      </c>
      <c r="AKE6" s="41">
        <f t="shared" ca="1" si="44"/>
        <v>73812</v>
      </c>
      <c r="AKF6" s="41">
        <f t="shared" ca="1" si="44"/>
        <v>73840</v>
      </c>
      <c r="AKG6" s="41">
        <f t="shared" ca="1" si="44"/>
        <v>73871</v>
      </c>
      <c r="AKH6" s="41">
        <f t="shared" ca="1" si="44"/>
        <v>73901</v>
      </c>
      <c r="AKI6" s="41">
        <f t="shared" ca="1" si="44"/>
        <v>73932</v>
      </c>
      <c r="AKJ6" s="41">
        <f t="shared" ca="1" si="44"/>
        <v>73962</v>
      </c>
      <c r="AKK6" s="41">
        <f t="shared" ca="1" si="44"/>
        <v>73993</v>
      </c>
      <c r="AKL6" s="41">
        <f t="shared" ca="1" si="44"/>
        <v>74024</v>
      </c>
      <c r="AKM6" s="41">
        <f t="shared" ca="1" si="44"/>
        <v>74054</v>
      </c>
      <c r="AKN6" s="41">
        <f t="shared" ca="1" si="44"/>
        <v>74085</v>
      </c>
      <c r="AKO6" s="41">
        <f t="shared" ca="1" si="44"/>
        <v>74115</v>
      </c>
      <c r="AKP6" s="41">
        <f t="shared" ca="1" si="44"/>
        <v>74146</v>
      </c>
      <c r="AKQ6" s="41">
        <f t="shared" ca="1" si="44"/>
        <v>74177</v>
      </c>
      <c r="AKR6" s="41">
        <f t="shared" ca="1" si="44"/>
        <v>74205</v>
      </c>
      <c r="AKS6" s="41">
        <f t="shared" ca="1" si="44"/>
        <v>74236</v>
      </c>
      <c r="AKT6" s="41"/>
      <c r="AKU6" s="41"/>
      <c r="AKV6" s="41"/>
      <c r="AKW6" s="41"/>
      <c r="AKX6" s="41"/>
      <c r="AKY6" s="41"/>
      <c r="AKZ6" s="41"/>
      <c r="ALA6" s="41"/>
      <c r="ALB6" s="41"/>
      <c r="ALC6" s="41"/>
      <c r="ALD6" s="41"/>
      <c r="ALE6" s="41"/>
      <c r="ALF6" s="41"/>
      <c r="ALG6" s="42"/>
      <c r="ALH6" s="42"/>
      <c r="ALI6" s="42"/>
      <c r="ALJ6" s="42"/>
      <c r="ALK6" s="42"/>
      <c r="ALL6" s="42"/>
      <c r="ALM6" s="42"/>
      <c r="ALN6" s="42"/>
      <c r="ALO6" s="42"/>
      <c r="ALP6" s="42"/>
      <c r="ALQ6" s="42"/>
      <c r="ALR6" s="42"/>
      <c r="ALS6" s="42"/>
      <c r="ALT6" s="42"/>
      <c r="ALU6" s="42"/>
      <c r="ALV6" s="42"/>
      <c r="ALW6" s="42"/>
      <c r="ALX6" s="42"/>
      <c r="ALY6" s="42"/>
      <c r="ALZ6" s="42"/>
      <c r="AMA6" s="42"/>
      <c r="AMB6" s="42"/>
      <c r="AMC6" s="42"/>
      <c r="AMD6" s="42"/>
      <c r="AME6" s="42"/>
      <c r="AMF6" s="42"/>
      <c r="AMG6" s="42"/>
      <c r="AMH6" s="42"/>
      <c r="AMI6" s="42"/>
      <c r="AMJ6" s="42"/>
      <c r="AMK6" s="42"/>
      <c r="AML6" s="42"/>
      <c r="AMM6" s="42"/>
      <c r="AMN6" s="42"/>
      <c r="AMO6" s="42"/>
      <c r="AMP6" s="42"/>
      <c r="AMQ6" s="42"/>
      <c r="AMR6" s="42"/>
      <c r="AMS6" s="42"/>
      <c r="AMT6" s="42"/>
      <c r="AMU6" s="42"/>
      <c r="AMV6" s="42"/>
      <c r="AMW6" s="42"/>
      <c r="AMX6" s="42"/>
      <c r="AMY6" s="42"/>
      <c r="AMZ6" s="42"/>
      <c r="ANA6" s="42"/>
      <c r="ANB6" s="42"/>
      <c r="ANC6" s="42"/>
      <c r="AND6" s="42"/>
      <c r="ANE6" s="42"/>
      <c r="ANF6" s="42"/>
      <c r="ANG6" s="42"/>
      <c r="ANH6" s="42"/>
      <c r="ANI6" s="42"/>
      <c r="ANJ6" s="42"/>
      <c r="ANK6" s="42"/>
      <c r="ANL6" s="42"/>
      <c r="ANM6" s="42"/>
      <c r="ANN6" s="42"/>
      <c r="ANO6" s="42"/>
      <c r="ANP6" s="42"/>
      <c r="ANQ6" s="42"/>
      <c r="ANR6" s="42"/>
      <c r="ANS6" s="42"/>
      <c r="ANT6" s="42"/>
      <c r="ANU6" s="42"/>
      <c r="ANV6" s="42"/>
      <c r="ANW6" s="42"/>
      <c r="ANX6" s="42"/>
      <c r="ANY6" s="42"/>
      <c r="ANZ6" s="42"/>
      <c r="AOA6" s="42"/>
      <c r="AOB6" s="42"/>
      <c r="AOC6" s="42"/>
      <c r="AOD6" s="42"/>
      <c r="AOE6" s="42"/>
      <c r="AOF6" s="42"/>
      <c r="AOG6" s="42"/>
      <c r="AOH6" s="42"/>
      <c r="AOI6" s="42"/>
      <c r="AOJ6" s="42"/>
      <c r="AOK6" s="42"/>
      <c r="AOL6" s="42"/>
      <c r="AOM6" s="42"/>
      <c r="AON6" s="42"/>
      <c r="AOO6" s="42"/>
      <c r="AOP6" s="42"/>
      <c r="AOQ6" s="42"/>
      <c r="AOR6" s="42"/>
      <c r="AOS6" s="42"/>
      <c r="AOT6" s="42"/>
      <c r="AOU6" s="42"/>
      <c r="AOV6" s="42"/>
      <c r="AOW6" s="42"/>
      <c r="AOX6" s="42"/>
      <c r="AOY6" s="42"/>
      <c r="AOZ6" s="42"/>
      <c r="APA6" s="42"/>
      <c r="APB6" s="42"/>
      <c r="APC6" s="42"/>
      <c r="APD6" s="42"/>
      <c r="APE6" s="42"/>
      <c r="APF6" s="42"/>
      <c r="APG6" s="42"/>
      <c r="APH6" s="42"/>
      <c r="API6" s="42"/>
      <c r="APJ6" s="42"/>
      <c r="APK6" s="42"/>
      <c r="APL6" s="42"/>
      <c r="APM6" s="42"/>
      <c r="APN6" s="42"/>
      <c r="APO6" s="42"/>
      <c r="APP6" s="42"/>
      <c r="APQ6" s="42"/>
      <c r="APR6" s="42"/>
      <c r="APS6" s="42"/>
      <c r="APT6" s="42"/>
      <c r="APU6" s="42"/>
      <c r="APV6" s="42"/>
      <c r="APW6" s="42"/>
      <c r="APX6" s="42"/>
      <c r="APY6" s="42"/>
      <c r="APZ6" s="42"/>
      <c r="AQA6" s="42"/>
      <c r="AQB6" s="42"/>
      <c r="AQC6" s="42"/>
      <c r="AQD6" s="42"/>
      <c r="AQE6" s="42"/>
      <c r="AQF6" s="42"/>
      <c r="AQG6" s="42"/>
      <c r="AQH6" s="42"/>
      <c r="AQI6" s="42"/>
      <c r="AQJ6" s="42"/>
      <c r="AQK6" s="42"/>
      <c r="AQL6" s="42"/>
      <c r="AQM6" s="42"/>
      <c r="AQN6" s="42"/>
      <c r="AQO6" s="42"/>
      <c r="AQP6" s="42"/>
      <c r="AQQ6" s="42"/>
      <c r="AQR6" s="42"/>
      <c r="AQS6" s="42"/>
      <c r="AQT6" s="42"/>
      <c r="AQU6" s="42"/>
      <c r="AQV6" s="42"/>
      <c r="AQW6" s="42"/>
      <c r="AQX6" s="42"/>
      <c r="AQY6" s="42"/>
      <c r="AQZ6" s="42"/>
      <c r="ARA6" s="42"/>
      <c r="ARB6" s="42"/>
      <c r="ARC6" s="42"/>
      <c r="ARD6" s="42"/>
      <c r="ARE6" s="42"/>
      <c r="ARF6" s="42"/>
      <c r="ARG6" s="42"/>
      <c r="ARH6" s="42"/>
      <c r="ARI6" s="42"/>
      <c r="ARJ6" s="42"/>
      <c r="ARK6" s="42"/>
      <c r="ARL6" s="42"/>
      <c r="ARM6" s="42"/>
      <c r="ARN6" s="42"/>
      <c r="ARO6" s="42"/>
      <c r="ARP6" s="42"/>
      <c r="ARQ6" s="42"/>
      <c r="ARR6" s="42"/>
      <c r="ARS6" s="42"/>
      <c r="ART6" s="42"/>
      <c r="ARU6" s="42"/>
      <c r="ARV6" s="42"/>
      <c r="ARW6" s="42"/>
      <c r="ARX6" s="42"/>
      <c r="ARY6" s="42"/>
      <c r="ARZ6" s="42"/>
      <c r="ASA6" s="42"/>
      <c r="ASB6" s="42"/>
      <c r="ASC6" s="42"/>
      <c r="ASD6" s="42"/>
      <c r="ASE6" s="42"/>
      <c r="ASF6" s="42"/>
      <c r="ASG6" s="42"/>
      <c r="ASH6" s="42"/>
      <c r="ASI6" s="42"/>
      <c r="ASJ6" s="42"/>
      <c r="ASK6" s="42"/>
      <c r="ASL6" s="42"/>
      <c r="ASM6" s="42"/>
      <c r="ASN6" s="42"/>
      <c r="ASO6" s="42"/>
      <c r="ASP6" s="42"/>
      <c r="ASQ6" s="42"/>
      <c r="ASR6" s="42"/>
      <c r="ASS6" s="42"/>
      <c r="AST6" s="42"/>
      <c r="ASU6" s="42"/>
      <c r="ASV6" s="42"/>
      <c r="ASW6" s="42"/>
      <c r="ASX6" s="42"/>
      <c r="ASY6" s="42"/>
      <c r="ASZ6" s="42"/>
      <c r="ATA6" s="42"/>
      <c r="ATB6" s="42"/>
      <c r="ATC6" s="42"/>
      <c r="ATD6" s="42"/>
      <c r="ATE6" s="42"/>
      <c r="ATF6" s="42"/>
      <c r="ATG6" s="42"/>
      <c r="ATH6" s="42"/>
      <c r="ATI6" s="42"/>
      <c r="ATJ6" s="42"/>
      <c r="ATK6" s="42"/>
      <c r="ATL6" s="42"/>
      <c r="ATM6" s="42"/>
      <c r="ATN6" s="42"/>
      <c r="ATO6" s="42"/>
      <c r="ATP6" s="42"/>
      <c r="ATQ6" s="42"/>
      <c r="ATR6" s="42"/>
      <c r="ATS6" s="42"/>
      <c r="ATT6" s="42"/>
      <c r="ATU6" s="42"/>
      <c r="ATV6" s="42"/>
      <c r="ATW6" s="42"/>
      <c r="ATX6" s="42"/>
      <c r="ATY6" s="42"/>
      <c r="ATZ6" s="42"/>
      <c r="AUA6" s="42"/>
      <c r="AUB6" s="42"/>
      <c r="AUC6" s="42"/>
      <c r="AUD6" s="42"/>
      <c r="AUE6" s="42"/>
      <c r="AUF6" s="42"/>
      <c r="AUG6" s="42"/>
      <c r="AUH6" s="42"/>
      <c r="AUI6" s="42"/>
      <c r="AUJ6" s="42"/>
      <c r="AUK6" s="42"/>
      <c r="AUL6" s="42"/>
      <c r="AUM6" s="42"/>
      <c r="AUN6" s="42"/>
      <c r="AUO6" s="42"/>
      <c r="AUP6" s="42"/>
      <c r="AUQ6" s="42"/>
      <c r="AUR6" s="42"/>
      <c r="AUS6" s="42"/>
      <c r="AUT6" s="42"/>
      <c r="AUU6" s="42"/>
      <c r="AUV6" s="42"/>
      <c r="AUW6" s="42"/>
      <c r="AUX6" s="42"/>
      <c r="AUY6" s="42"/>
      <c r="AUZ6" s="42"/>
      <c r="AVA6" s="42"/>
      <c r="AVB6" s="42"/>
    </row>
    <row r="7" spans="1:1250" ht="18.75" customHeight="1">
      <c r="A7" s="378" t="str">
        <f>自由選!B8</f>
        <v>XG300</v>
      </c>
      <c r="B7" s="208">
        <f ca="1">VLOOKUP($A7,'銀行-TSS'!B:K,10,FALSE)</f>
        <v>60.32</v>
      </c>
      <c r="C7" s="69" t="str">
        <f ca="1">VLOOKUP(A7,'銀行-TSS'!B:E,4,FALSE)</f>
        <v>Aa2 / AA+ / -</v>
      </c>
      <c r="D7" s="70">
        <f ca="1">VLOOKUP($A7,'銀行-TSS'!B:H,7,FALSE)</f>
        <v>2.2499999999999999E-2</v>
      </c>
      <c r="E7" s="71">
        <f ca="1">IFERROR(VLOOKUP($A7,'銀行-TSS'!B:I,8,FALSE),"")</f>
        <v>2</v>
      </c>
      <c r="F7" s="69" t="str">
        <f ca="1">CONCATENATE(IF(AF7&gt;AG7,AG7,AF7),"、",IF(AF7&gt;AG7,AF7,AG7))</f>
        <v>2、8</v>
      </c>
      <c r="G7" s="72">
        <f ca="1">VLOOKUP($A7,'銀行-TSS'!B:M,12,FALSE)</f>
        <v>4.5499999999999999E-2</v>
      </c>
      <c r="H7" s="73">
        <f ca="1">VLOOKUP($A7,'銀行-TSS'!B:G,6,FALSE)</f>
        <v>36.119999999999997</v>
      </c>
      <c r="I7" s="74">
        <f ca="1">IFERROR(DATEVALUE(VLOOKUP($A7,'銀行-TSS'!B:F,5,FALSE)),VLOOKUP($A7,'銀行-TSS'!B:F,5,FALSE))</f>
        <v>58668</v>
      </c>
      <c r="J7" s="1" t="str">
        <f ca="1">VLOOKUP($A7,'銀行-TSS'!B:Q,16,FALSE)</f>
        <v>通訊</v>
      </c>
      <c r="K7" s="76" t="str">
        <f ca="1">VLOOKUP($A7,'銀行-TSS'!B:T,19,FALSE)</f>
        <v>Alphabet公司/GOOGL</v>
      </c>
      <c r="L7" s="33" t="b">
        <f t="shared" ref="L7:L18" si="45">IF(OR(A7=0),FALSE,TRUE)</f>
        <v>1</v>
      </c>
      <c r="M7" s="43">
        <f ca="1">VLOOKUP($A7,'銀行-TSS'!B:N,13,FALSE)</f>
        <v>10000</v>
      </c>
      <c r="N7" s="44">
        <f>自由選!F8</f>
        <v>10000</v>
      </c>
      <c r="O7" s="43">
        <f ca="1">IFERROR(VLOOKUP($A7,'銀行-TSS'!B:O,14,FALSE),1)</f>
        <v>1000</v>
      </c>
      <c r="P7" s="78" t="str">
        <f ca="1">IFERROR(VLOOKUP(K7,Bond_DES!D:E,2,FALSE),VLOOKUP(K7,'銀行-TSS'!T:U,2,FALSE))</f>
        <v>字母控股(Alphabet Inc.)為Google的母公司，旗下Google作為全球領先的網路搜尋引擎和數位廣告服務商；Google Cloud為全球前三大雲端服務平台；Waymo則為自駕車領域的領導廠商，並為2024年《Brand Finance》全球最具價值品牌排行第3位。</v>
      </c>
      <c r="Q7" s="83">
        <f ca="1">B7-V7</f>
        <v>59.463700000000003</v>
      </c>
      <c r="R7" s="81">
        <f ca="1">ROUND(Q7*N7/100,2)</f>
        <v>5946.37</v>
      </c>
      <c r="S7" s="82">
        <f ca="1">R7/$R$27</f>
        <v>5.2236920543152869E-2</v>
      </c>
      <c r="T7" s="34">
        <f ca="1">IFERROR(YEAR(I7),0)</f>
        <v>2060</v>
      </c>
      <c r="U7" s="36" t="str">
        <f ca="1">IFERROR(VLOOKUP($A7,'銀行-TSS'!B:C,2,FALSE),"")</f>
        <v>USD</v>
      </c>
      <c r="V7" s="184">
        <f ca="1">VLOOKUP(A7,'銀行-TSS'!B:J,9,FALSE)</f>
        <v>0.85629999999999995</v>
      </c>
      <c r="W7" s="57">
        <f ca="1">ROUND(V7*N7/100,2)</f>
        <v>85.63</v>
      </c>
      <c r="X7" s="36">
        <f ca="1">ROUND($N7*$X$5*$B7/100,2)</f>
        <v>0</v>
      </c>
      <c r="Y7" s="116">
        <f ca="1">ROUND((Q7+V7)*O7/100,2)</f>
        <v>603.20000000000005</v>
      </c>
      <c r="Z7" s="98">
        <f ca="1">ROUND((Q7+V7)*M7/100,2)</f>
        <v>6032</v>
      </c>
      <c r="AA7" s="61">
        <f>N7/$N$27</f>
        <v>8.3333333333333329E-2</v>
      </c>
      <c r="AB7" s="104" t="str">
        <f t="shared" ref="AB7:AB18" ca="1" si="46">VLOOKUP(J7,$S$40:$U$50,3,FALSE)</f>
        <v>通訊</v>
      </c>
      <c r="AC7" s="149">
        <f ca="1">R7+W7+X7</f>
        <v>6032</v>
      </c>
      <c r="AD7" s="149">
        <f ca="1">VLOOKUP(A7,'銀行-TSS'!B:AD,29,FALSE)</f>
        <v>20</v>
      </c>
      <c r="AE7" s="64">
        <f t="shared" ref="AE7:AE16" ca="1" si="47">D7*N7/E7</f>
        <v>112.5</v>
      </c>
      <c r="AF7" s="53">
        <f ca="1">IF(AG7&gt;6,AG7-6,AG7+6)</f>
        <v>2</v>
      </c>
      <c r="AG7" s="45">
        <f ca="1">MONTH(AH7)</f>
        <v>8</v>
      </c>
      <c r="AH7" s="2">
        <f ca="1">_xlfn.IFNA(IFERROR(DATEVALUE(VLOOKUP($A7,'銀行-TSS'!B:P,15,FALSE)),VLOOKUP($A7,'銀行-TSS'!B:P,15,FALSE)),"")</f>
        <v>45519</v>
      </c>
      <c r="AI7" s="2">
        <f ca="1">_xlfn.IFNA(IFERROR(DATEVALUE(VLOOKUP($A7,'銀行-TSS'!B:L,11,FALSE)),VLOOKUP($A7,'銀行-TSS'!B:L,11,FALSE)),"")</f>
        <v>45475</v>
      </c>
      <c r="AJ7" s="34">
        <f ca="1">IF(AI7&lt;AH7,IF(MONTH(AI7)=MONTH(AH7),$AE7,0),0)</f>
        <v>0</v>
      </c>
      <c r="AK7" s="34">
        <f t="shared" ref="AK7:AT18" ca="1" si="48">IF(AK$6&lt;=$I7,IF(OR(MONTH(AK$6)=$AF7,MONTH(AK$6)=$AG7),$AE7,0),0)</f>
        <v>112.5</v>
      </c>
      <c r="AL7" s="34">
        <f t="shared" ca="1" si="48"/>
        <v>0</v>
      </c>
      <c r="AM7" s="34">
        <f t="shared" ca="1" si="48"/>
        <v>0</v>
      </c>
      <c r="AN7" s="34">
        <f t="shared" ca="1" si="48"/>
        <v>0</v>
      </c>
      <c r="AO7" s="34">
        <f t="shared" ca="1" si="48"/>
        <v>0</v>
      </c>
      <c r="AP7" s="34">
        <f t="shared" ca="1" si="48"/>
        <v>0</v>
      </c>
      <c r="AQ7" s="34">
        <f t="shared" ca="1" si="48"/>
        <v>112.5</v>
      </c>
      <c r="AR7" s="34">
        <f t="shared" ca="1" si="48"/>
        <v>0</v>
      </c>
      <c r="AS7" s="34">
        <f t="shared" ca="1" si="48"/>
        <v>0</v>
      </c>
      <c r="AT7" s="34">
        <f t="shared" ca="1" si="48"/>
        <v>0</v>
      </c>
      <c r="AU7" s="34">
        <f t="shared" ref="AU7:BD18" ca="1" si="49">IF(AU$6&lt;=$I7,IF(OR(MONTH(AU$6)=$AF7,MONTH(AU$6)=$AG7),$AE7,0),0)</f>
        <v>0</v>
      </c>
      <c r="AV7" s="34">
        <f t="shared" ca="1" si="49"/>
        <v>0</v>
      </c>
      <c r="AW7" s="34">
        <f t="shared" ca="1" si="49"/>
        <v>112.5</v>
      </c>
      <c r="AX7" s="34">
        <f t="shared" ca="1" si="49"/>
        <v>0</v>
      </c>
      <c r="AY7" s="34">
        <f t="shared" ca="1" si="49"/>
        <v>0</v>
      </c>
      <c r="AZ7" s="34">
        <f t="shared" ca="1" si="49"/>
        <v>0</v>
      </c>
      <c r="BA7" s="34">
        <f t="shared" ca="1" si="49"/>
        <v>0</v>
      </c>
      <c r="BB7" s="34">
        <f t="shared" ca="1" si="49"/>
        <v>0</v>
      </c>
      <c r="BC7" s="34">
        <f t="shared" ca="1" si="49"/>
        <v>112.5</v>
      </c>
      <c r="BD7" s="34">
        <f t="shared" ca="1" si="49"/>
        <v>0</v>
      </c>
      <c r="BE7" s="34">
        <f t="shared" ref="BE7:BN18" ca="1" si="50">IF(BE$6&lt;=$I7,IF(OR(MONTH(BE$6)=$AF7,MONTH(BE$6)=$AG7),$AE7,0),0)</f>
        <v>0</v>
      </c>
      <c r="BF7" s="34">
        <f t="shared" ca="1" si="50"/>
        <v>0</v>
      </c>
      <c r="BG7" s="34">
        <f t="shared" ca="1" si="50"/>
        <v>0</v>
      </c>
      <c r="BH7" s="34">
        <f t="shared" ca="1" si="50"/>
        <v>0</v>
      </c>
      <c r="BI7" s="34">
        <f t="shared" ca="1" si="50"/>
        <v>112.5</v>
      </c>
      <c r="BJ7" s="34">
        <f t="shared" ca="1" si="50"/>
        <v>0</v>
      </c>
      <c r="BK7" s="34">
        <f t="shared" ca="1" si="50"/>
        <v>0</v>
      </c>
      <c r="BL7" s="34">
        <f t="shared" ca="1" si="50"/>
        <v>0</v>
      </c>
      <c r="BM7" s="34">
        <f t="shared" ca="1" si="50"/>
        <v>0</v>
      </c>
      <c r="BN7" s="34">
        <f t="shared" ca="1" si="50"/>
        <v>0</v>
      </c>
      <c r="BO7" s="34">
        <f t="shared" ref="BO7:BX18" ca="1" si="51">IF(BO$6&lt;=$I7,IF(OR(MONTH(BO$6)=$AF7,MONTH(BO$6)=$AG7),$AE7,0),0)</f>
        <v>112.5</v>
      </c>
      <c r="BP7" s="34">
        <f t="shared" ca="1" si="51"/>
        <v>0</v>
      </c>
      <c r="BQ7" s="34">
        <f t="shared" ca="1" si="51"/>
        <v>0</v>
      </c>
      <c r="BR7" s="34">
        <f t="shared" ca="1" si="51"/>
        <v>0</v>
      </c>
      <c r="BS7" s="34">
        <f t="shared" ca="1" si="51"/>
        <v>0</v>
      </c>
      <c r="BT7" s="34">
        <f t="shared" ca="1" si="51"/>
        <v>0</v>
      </c>
      <c r="BU7" s="34">
        <f t="shared" ca="1" si="51"/>
        <v>112.5</v>
      </c>
      <c r="BV7" s="34">
        <f t="shared" ca="1" si="51"/>
        <v>0</v>
      </c>
      <c r="BW7" s="34">
        <f t="shared" ca="1" si="51"/>
        <v>0</v>
      </c>
      <c r="BX7" s="34">
        <f t="shared" ca="1" si="51"/>
        <v>0</v>
      </c>
      <c r="BY7" s="34">
        <f t="shared" ref="BY7:CH18" ca="1" si="52">IF(BY$6&lt;=$I7,IF(OR(MONTH(BY$6)=$AF7,MONTH(BY$6)=$AG7),$AE7,0),0)</f>
        <v>0</v>
      </c>
      <c r="BZ7" s="34">
        <f t="shared" ca="1" si="52"/>
        <v>0</v>
      </c>
      <c r="CA7" s="34">
        <f t="shared" ca="1" si="52"/>
        <v>112.5</v>
      </c>
      <c r="CB7" s="34">
        <f t="shared" ca="1" si="52"/>
        <v>0</v>
      </c>
      <c r="CC7" s="34">
        <f t="shared" ca="1" si="52"/>
        <v>0</v>
      </c>
      <c r="CD7" s="34">
        <f t="shared" ca="1" si="52"/>
        <v>0</v>
      </c>
      <c r="CE7" s="34">
        <f t="shared" ca="1" si="52"/>
        <v>0</v>
      </c>
      <c r="CF7" s="34">
        <f t="shared" ca="1" si="52"/>
        <v>0</v>
      </c>
      <c r="CG7" s="34">
        <f t="shared" ca="1" si="52"/>
        <v>112.5</v>
      </c>
      <c r="CH7" s="34">
        <f t="shared" ca="1" si="52"/>
        <v>0</v>
      </c>
      <c r="CI7" s="34">
        <f t="shared" ref="CI7:CR18" ca="1" si="53">IF(CI$6&lt;=$I7,IF(OR(MONTH(CI$6)=$AF7,MONTH(CI$6)=$AG7),$AE7,0),0)</f>
        <v>0</v>
      </c>
      <c r="CJ7" s="34">
        <f t="shared" ca="1" si="53"/>
        <v>0</v>
      </c>
      <c r="CK7" s="34">
        <f t="shared" ca="1" si="53"/>
        <v>0</v>
      </c>
      <c r="CL7" s="34">
        <f t="shared" ca="1" si="53"/>
        <v>0</v>
      </c>
      <c r="CM7" s="34">
        <f t="shared" ca="1" si="53"/>
        <v>112.5</v>
      </c>
      <c r="CN7" s="34">
        <f t="shared" ca="1" si="53"/>
        <v>0</v>
      </c>
      <c r="CO7" s="34">
        <f t="shared" ca="1" si="53"/>
        <v>0</v>
      </c>
      <c r="CP7" s="34">
        <f t="shared" ca="1" si="53"/>
        <v>0</v>
      </c>
      <c r="CQ7" s="34">
        <f t="shared" ca="1" si="53"/>
        <v>0</v>
      </c>
      <c r="CR7" s="34">
        <f t="shared" ca="1" si="53"/>
        <v>0</v>
      </c>
      <c r="CS7" s="34">
        <f t="shared" ref="CS7:DB18" ca="1" si="54">IF(CS$6&lt;=$I7,IF(OR(MONTH(CS$6)=$AF7,MONTH(CS$6)=$AG7),$AE7,0),0)</f>
        <v>112.5</v>
      </c>
      <c r="CT7" s="34">
        <f t="shared" ca="1" si="54"/>
        <v>0</v>
      </c>
      <c r="CU7" s="34">
        <f t="shared" ca="1" si="54"/>
        <v>0</v>
      </c>
      <c r="CV7" s="34">
        <f t="shared" ca="1" si="54"/>
        <v>0</v>
      </c>
      <c r="CW7" s="34">
        <f t="shared" ca="1" si="54"/>
        <v>0</v>
      </c>
      <c r="CX7" s="34">
        <f t="shared" ca="1" si="54"/>
        <v>0</v>
      </c>
      <c r="CY7" s="34">
        <f t="shared" ca="1" si="54"/>
        <v>112.5</v>
      </c>
      <c r="CZ7" s="34">
        <f t="shared" ca="1" si="54"/>
        <v>0</v>
      </c>
      <c r="DA7" s="34">
        <f t="shared" ca="1" si="54"/>
        <v>0</v>
      </c>
      <c r="DB7" s="34">
        <f t="shared" ca="1" si="54"/>
        <v>0</v>
      </c>
      <c r="DC7" s="34">
        <f t="shared" ref="DC7:DL18" ca="1" si="55">IF(DC$6&lt;=$I7,IF(OR(MONTH(DC$6)=$AF7,MONTH(DC$6)=$AG7),$AE7,0),0)</f>
        <v>0</v>
      </c>
      <c r="DD7" s="34">
        <f t="shared" ca="1" si="55"/>
        <v>0</v>
      </c>
      <c r="DE7" s="34">
        <f t="shared" ca="1" si="55"/>
        <v>112.5</v>
      </c>
      <c r="DF7" s="34">
        <f t="shared" ca="1" si="55"/>
        <v>0</v>
      </c>
      <c r="DG7" s="34">
        <f t="shared" ca="1" si="55"/>
        <v>0</v>
      </c>
      <c r="DH7" s="34">
        <f t="shared" ca="1" si="55"/>
        <v>0</v>
      </c>
      <c r="DI7" s="34">
        <f t="shared" ca="1" si="55"/>
        <v>0</v>
      </c>
      <c r="DJ7" s="34">
        <f t="shared" ca="1" si="55"/>
        <v>0</v>
      </c>
      <c r="DK7" s="34">
        <f t="shared" ca="1" si="55"/>
        <v>112.5</v>
      </c>
      <c r="DL7" s="34">
        <f t="shared" ca="1" si="55"/>
        <v>0</v>
      </c>
      <c r="DM7" s="34">
        <f t="shared" ref="DM7:DV18" ca="1" si="56">IF(DM$6&lt;=$I7,IF(OR(MONTH(DM$6)=$AF7,MONTH(DM$6)=$AG7),$AE7,0),0)</f>
        <v>0</v>
      </c>
      <c r="DN7" s="34">
        <f t="shared" ca="1" si="56"/>
        <v>0</v>
      </c>
      <c r="DO7" s="34">
        <f t="shared" ca="1" si="56"/>
        <v>0</v>
      </c>
      <c r="DP7" s="34">
        <f t="shared" ca="1" si="56"/>
        <v>0</v>
      </c>
      <c r="DQ7" s="34">
        <f t="shared" ca="1" si="56"/>
        <v>112.5</v>
      </c>
      <c r="DR7" s="34">
        <f t="shared" ca="1" si="56"/>
        <v>0</v>
      </c>
      <c r="DS7" s="34">
        <f t="shared" ca="1" si="56"/>
        <v>0</v>
      </c>
      <c r="DT7" s="34">
        <f t="shared" ca="1" si="56"/>
        <v>0</v>
      </c>
      <c r="DU7" s="34">
        <f t="shared" ca="1" si="56"/>
        <v>0</v>
      </c>
      <c r="DV7" s="34">
        <f t="shared" ca="1" si="56"/>
        <v>0</v>
      </c>
      <c r="DW7" s="34">
        <f t="shared" ref="DW7:EF18" ca="1" si="57">IF(DW$6&lt;=$I7,IF(OR(MONTH(DW$6)=$AF7,MONTH(DW$6)=$AG7),$AE7,0),0)</f>
        <v>112.5</v>
      </c>
      <c r="DX7" s="34">
        <f t="shared" ca="1" si="57"/>
        <v>0</v>
      </c>
      <c r="DY7" s="34">
        <f t="shared" ca="1" si="57"/>
        <v>0</v>
      </c>
      <c r="DZ7" s="34">
        <f t="shared" ca="1" si="57"/>
        <v>0</v>
      </c>
      <c r="EA7" s="34">
        <f t="shared" ca="1" si="57"/>
        <v>0</v>
      </c>
      <c r="EB7" s="34">
        <f t="shared" ca="1" si="57"/>
        <v>0</v>
      </c>
      <c r="EC7" s="34">
        <f t="shared" ca="1" si="57"/>
        <v>112.5</v>
      </c>
      <c r="ED7" s="34">
        <f t="shared" ca="1" si="57"/>
        <v>0</v>
      </c>
      <c r="EE7" s="34">
        <f t="shared" ca="1" si="57"/>
        <v>0</v>
      </c>
      <c r="EF7" s="34">
        <f t="shared" ca="1" si="57"/>
        <v>0</v>
      </c>
      <c r="EG7" s="34">
        <f t="shared" ref="EG7:EP18" ca="1" si="58">IF(EG$6&lt;=$I7,IF(OR(MONTH(EG$6)=$AF7,MONTH(EG$6)=$AG7),$AE7,0),0)</f>
        <v>0</v>
      </c>
      <c r="EH7" s="34">
        <f t="shared" ca="1" si="58"/>
        <v>0</v>
      </c>
      <c r="EI7" s="34">
        <f t="shared" ca="1" si="58"/>
        <v>112.5</v>
      </c>
      <c r="EJ7" s="34">
        <f t="shared" ca="1" si="58"/>
        <v>0</v>
      </c>
      <c r="EK7" s="34">
        <f t="shared" ca="1" si="58"/>
        <v>0</v>
      </c>
      <c r="EL7" s="34">
        <f t="shared" ca="1" si="58"/>
        <v>0</v>
      </c>
      <c r="EM7" s="34">
        <f t="shared" ca="1" si="58"/>
        <v>0</v>
      </c>
      <c r="EN7" s="34">
        <f t="shared" ca="1" si="58"/>
        <v>0</v>
      </c>
      <c r="EO7" s="34">
        <f t="shared" ca="1" si="58"/>
        <v>112.5</v>
      </c>
      <c r="EP7" s="34">
        <f t="shared" ca="1" si="58"/>
        <v>0</v>
      </c>
      <c r="EQ7" s="34">
        <f t="shared" ref="EQ7:EZ18" ca="1" si="59">IF(EQ$6&lt;=$I7,IF(OR(MONTH(EQ$6)=$AF7,MONTH(EQ$6)=$AG7),$AE7,0),0)</f>
        <v>0</v>
      </c>
      <c r="ER7" s="34">
        <f t="shared" ca="1" si="59"/>
        <v>0</v>
      </c>
      <c r="ES7" s="34">
        <f t="shared" ca="1" si="59"/>
        <v>0</v>
      </c>
      <c r="ET7" s="34">
        <f t="shared" ca="1" si="59"/>
        <v>0</v>
      </c>
      <c r="EU7" s="34">
        <f t="shared" ca="1" si="59"/>
        <v>112.5</v>
      </c>
      <c r="EV7" s="34">
        <f t="shared" ca="1" si="59"/>
        <v>0</v>
      </c>
      <c r="EW7" s="34">
        <f t="shared" ca="1" si="59"/>
        <v>0</v>
      </c>
      <c r="EX7" s="34">
        <f t="shared" ca="1" si="59"/>
        <v>0</v>
      </c>
      <c r="EY7" s="34">
        <f t="shared" ca="1" si="59"/>
        <v>0</v>
      </c>
      <c r="EZ7" s="34">
        <f t="shared" ca="1" si="59"/>
        <v>0</v>
      </c>
      <c r="FA7" s="34">
        <f t="shared" ref="FA7:FJ18" ca="1" si="60">IF(FA$6&lt;=$I7,IF(OR(MONTH(FA$6)=$AF7,MONTH(FA$6)=$AG7),$AE7,0),0)</f>
        <v>112.5</v>
      </c>
      <c r="FB7" s="34">
        <f t="shared" ca="1" si="60"/>
        <v>0</v>
      </c>
      <c r="FC7" s="34">
        <f t="shared" ca="1" si="60"/>
        <v>0</v>
      </c>
      <c r="FD7" s="34">
        <f t="shared" ca="1" si="60"/>
        <v>0</v>
      </c>
      <c r="FE7" s="34">
        <f t="shared" ca="1" si="60"/>
        <v>0</v>
      </c>
      <c r="FF7" s="34">
        <f t="shared" ca="1" si="60"/>
        <v>0</v>
      </c>
      <c r="FG7" s="34">
        <f t="shared" ca="1" si="60"/>
        <v>112.5</v>
      </c>
      <c r="FH7" s="34">
        <f t="shared" ca="1" si="60"/>
        <v>0</v>
      </c>
      <c r="FI7" s="34">
        <f t="shared" ca="1" si="60"/>
        <v>0</v>
      </c>
      <c r="FJ7" s="34">
        <f t="shared" ca="1" si="60"/>
        <v>0</v>
      </c>
      <c r="FK7" s="34">
        <f t="shared" ref="FK7:FT18" ca="1" si="61">IF(FK$6&lt;=$I7,IF(OR(MONTH(FK$6)=$AF7,MONTH(FK$6)=$AG7),$AE7,0),0)</f>
        <v>0</v>
      </c>
      <c r="FL7" s="34">
        <f t="shared" ca="1" si="61"/>
        <v>0</v>
      </c>
      <c r="FM7" s="34">
        <f t="shared" ca="1" si="61"/>
        <v>112.5</v>
      </c>
      <c r="FN7" s="34">
        <f t="shared" ca="1" si="61"/>
        <v>0</v>
      </c>
      <c r="FO7" s="34">
        <f t="shared" ca="1" si="61"/>
        <v>0</v>
      </c>
      <c r="FP7" s="34">
        <f t="shared" ca="1" si="61"/>
        <v>0</v>
      </c>
      <c r="FQ7" s="34">
        <f t="shared" ca="1" si="61"/>
        <v>0</v>
      </c>
      <c r="FR7" s="34">
        <f t="shared" ca="1" si="61"/>
        <v>0</v>
      </c>
      <c r="FS7" s="34">
        <f t="shared" ca="1" si="61"/>
        <v>112.5</v>
      </c>
      <c r="FT7" s="34">
        <f t="shared" ca="1" si="61"/>
        <v>0</v>
      </c>
      <c r="FU7" s="34">
        <f t="shared" ref="FU7:GD18" ca="1" si="62">IF(FU$6&lt;=$I7,IF(OR(MONTH(FU$6)=$AF7,MONTH(FU$6)=$AG7),$AE7,0),0)</f>
        <v>0</v>
      </c>
      <c r="FV7" s="34">
        <f t="shared" ca="1" si="62"/>
        <v>0</v>
      </c>
      <c r="FW7" s="34">
        <f t="shared" ca="1" si="62"/>
        <v>0</v>
      </c>
      <c r="FX7" s="34">
        <f t="shared" ca="1" si="62"/>
        <v>0</v>
      </c>
      <c r="FY7" s="34">
        <f t="shared" ca="1" si="62"/>
        <v>112.5</v>
      </c>
      <c r="FZ7" s="34">
        <f t="shared" ca="1" si="62"/>
        <v>0</v>
      </c>
      <c r="GA7" s="34">
        <f t="shared" ca="1" si="62"/>
        <v>0</v>
      </c>
      <c r="GB7" s="34">
        <f t="shared" ca="1" si="62"/>
        <v>0</v>
      </c>
      <c r="GC7" s="34">
        <f t="shared" ca="1" si="62"/>
        <v>0</v>
      </c>
      <c r="GD7" s="34">
        <f t="shared" ca="1" si="62"/>
        <v>0</v>
      </c>
      <c r="GE7" s="34">
        <f t="shared" ref="GE7:GN18" ca="1" si="63">IF(GE$6&lt;=$I7,IF(OR(MONTH(GE$6)=$AF7,MONTH(GE$6)=$AG7),$AE7,0),0)</f>
        <v>112.5</v>
      </c>
      <c r="GF7" s="34">
        <f t="shared" ca="1" si="63"/>
        <v>0</v>
      </c>
      <c r="GG7" s="34">
        <f t="shared" ca="1" si="63"/>
        <v>0</v>
      </c>
      <c r="GH7" s="34">
        <f t="shared" ca="1" si="63"/>
        <v>0</v>
      </c>
      <c r="GI7" s="34">
        <f t="shared" ca="1" si="63"/>
        <v>0</v>
      </c>
      <c r="GJ7" s="34">
        <f t="shared" ca="1" si="63"/>
        <v>0</v>
      </c>
      <c r="GK7" s="34">
        <f t="shared" ca="1" si="63"/>
        <v>112.5</v>
      </c>
      <c r="GL7" s="34">
        <f t="shared" ca="1" si="63"/>
        <v>0</v>
      </c>
      <c r="GM7" s="34">
        <f t="shared" ca="1" si="63"/>
        <v>0</v>
      </c>
      <c r="GN7" s="34">
        <f t="shared" ca="1" si="63"/>
        <v>0</v>
      </c>
      <c r="GO7" s="34">
        <f t="shared" ref="GO7:GX18" ca="1" si="64">IF(GO$6&lt;=$I7,IF(OR(MONTH(GO$6)=$AF7,MONTH(GO$6)=$AG7),$AE7,0),0)</f>
        <v>0</v>
      </c>
      <c r="GP7" s="34">
        <f t="shared" ca="1" si="64"/>
        <v>0</v>
      </c>
      <c r="GQ7" s="34">
        <f t="shared" ca="1" si="64"/>
        <v>112.5</v>
      </c>
      <c r="GR7" s="34">
        <f t="shared" ca="1" si="64"/>
        <v>0</v>
      </c>
      <c r="GS7" s="34">
        <f t="shared" ca="1" si="64"/>
        <v>0</v>
      </c>
      <c r="GT7" s="34">
        <f t="shared" ca="1" si="64"/>
        <v>0</v>
      </c>
      <c r="GU7" s="34">
        <f t="shared" ca="1" si="64"/>
        <v>0</v>
      </c>
      <c r="GV7" s="34">
        <f t="shared" ca="1" si="64"/>
        <v>0</v>
      </c>
      <c r="GW7" s="34">
        <f t="shared" ca="1" si="64"/>
        <v>112.5</v>
      </c>
      <c r="GX7" s="34">
        <f t="shared" ca="1" si="64"/>
        <v>0</v>
      </c>
      <c r="GY7" s="34">
        <f t="shared" ref="GY7:HH18" ca="1" si="65">IF(GY$6&lt;=$I7,IF(OR(MONTH(GY$6)=$AF7,MONTH(GY$6)=$AG7),$AE7,0),0)</f>
        <v>0</v>
      </c>
      <c r="GZ7" s="34">
        <f t="shared" ca="1" si="65"/>
        <v>0</v>
      </c>
      <c r="HA7" s="34">
        <f t="shared" ca="1" si="65"/>
        <v>0</v>
      </c>
      <c r="HB7" s="34">
        <f t="shared" ca="1" si="65"/>
        <v>0</v>
      </c>
      <c r="HC7" s="34">
        <f t="shared" ca="1" si="65"/>
        <v>112.5</v>
      </c>
      <c r="HD7" s="34">
        <f t="shared" ca="1" si="65"/>
        <v>0</v>
      </c>
      <c r="HE7" s="34">
        <f t="shared" ca="1" si="65"/>
        <v>0</v>
      </c>
      <c r="HF7" s="34">
        <f t="shared" ca="1" si="65"/>
        <v>0</v>
      </c>
      <c r="HG7" s="34">
        <f t="shared" ca="1" si="65"/>
        <v>0</v>
      </c>
      <c r="HH7" s="34">
        <f t="shared" ca="1" si="65"/>
        <v>0</v>
      </c>
      <c r="HI7" s="34">
        <f t="shared" ref="HI7:HR18" ca="1" si="66">IF(HI$6&lt;=$I7,IF(OR(MONTH(HI$6)=$AF7,MONTH(HI$6)=$AG7),$AE7,0),0)</f>
        <v>112.5</v>
      </c>
      <c r="HJ7" s="34">
        <f t="shared" ca="1" si="66"/>
        <v>0</v>
      </c>
      <c r="HK7" s="34">
        <f t="shared" ca="1" si="66"/>
        <v>0</v>
      </c>
      <c r="HL7" s="34">
        <f t="shared" ca="1" si="66"/>
        <v>0</v>
      </c>
      <c r="HM7" s="34">
        <f t="shared" ca="1" si="66"/>
        <v>0</v>
      </c>
      <c r="HN7" s="34">
        <f t="shared" ca="1" si="66"/>
        <v>0</v>
      </c>
      <c r="HO7" s="34">
        <f t="shared" ca="1" si="66"/>
        <v>112.5</v>
      </c>
      <c r="HP7" s="34">
        <f t="shared" ca="1" si="66"/>
        <v>0</v>
      </c>
      <c r="HQ7" s="34">
        <f t="shared" ca="1" si="66"/>
        <v>0</v>
      </c>
      <c r="HR7" s="34">
        <f t="shared" ca="1" si="66"/>
        <v>0</v>
      </c>
      <c r="HS7" s="34">
        <f t="shared" ref="HS7:IB18" ca="1" si="67">IF(HS$6&lt;=$I7,IF(OR(MONTH(HS$6)=$AF7,MONTH(HS$6)=$AG7),$AE7,0),0)</f>
        <v>0</v>
      </c>
      <c r="HT7" s="34">
        <f t="shared" ca="1" si="67"/>
        <v>0</v>
      </c>
      <c r="HU7" s="34">
        <f t="shared" ca="1" si="67"/>
        <v>112.5</v>
      </c>
      <c r="HV7" s="34">
        <f t="shared" ca="1" si="67"/>
        <v>0</v>
      </c>
      <c r="HW7" s="34">
        <f t="shared" ca="1" si="67"/>
        <v>0</v>
      </c>
      <c r="HX7" s="34">
        <f t="shared" ca="1" si="67"/>
        <v>0</v>
      </c>
      <c r="HY7" s="34">
        <f t="shared" ca="1" si="67"/>
        <v>0</v>
      </c>
      <c r="HZ7" s="34">
        <f t="shared" ca="1" si="67"/>
        <v>0</v>
      </c>
      <c r="IA7" s="34">
        <f t="shared" ca="1" si="67"/>
        <v>112.5</v>
      </c>
      <c r="IB7" s="34">
        <f t="shared" ca="1" si="67"/>
        <v>0</v>
      </c>
      <c r="IC7" s="34">
        <f t="shared" ref="IC7:IL18" ca="1" si="68">IF(IC$6&lt;=$I7,IF(OR(MONTH(IC$6)=$AF7,MONTH(IC$6)=$AG7),$AE7,0),0)</f>
        <v>0</v>
      </c>
      <c r="ID7" s="34">
        <f t="shared" ca="1" si="68"/>
        <v>0</v>
      </c>
      <c r="IE7" s="34">
        <f t="shared" ca="1" si="68"/>
        <v>0</v>
      </c>
      <c r="IF7" s="34">
        <f t="shared" ca="1" si="68"/>
        <v>0</v>
      </c>
      <c r="IG7" s="34">
        <f t="shared" ca="1" si="68"/>
        <v>112.5</v>
      </c>
      <c r="IH7" s="34">
        <f t="shared" ca="1" si="68"/>
        <v>0</v>
      </c>
      <c r="II7" s="34">
        <f t="shared" ca="1" si="68"/>
        <v>0</v>
      </c>
      <c r="IJ7" s="34">
        <f t="shared" ca="1" si="68"/>
        <v>0</v>
      </c>
      <c r="IK7" s="34">
        <f t="shared" ca="1" si="68"/>
        <v>0</v>
      </c>
      <c r="IL7" s="34">
        <f t="shared" ca="1" si="68"/>
        <v>0</v>
      </c>
      <c r="IM7" s="34">
        <f t="shared" ref="IM7:IV18" ca="1" si="69">IF(IM$6&lt;=$I7,IF(OR(MONTH(IM$6)=$AF7,MONTH(IM$6)=$AG7),$AE7,0),0)</f>
        <v>112.5</v>
      </c>
      <c r="IN7" s="34">
        <f t="shared" ca="1" si="69"/>
        <v>0</v>
      </c>
      <c r="IO7" s="34">
        <f t="shared" ca="1" si="69"/>
        <v>0</v>
      </c>
      <c r="IP7" s="34">
        <f t="shared" ca="1" si="69"/>
        <v>0</v>
      </c>
      <c r="IQ7" s="34">
        <f t="shared" ca="1" si="69"/>
        <v>0</v>
      </c>
      <c r="IR7" s="34">
        <f t="shared" ca="1" si="69"/>
        <v>0</v>
      </c>
      <c r="IS7" s="34">
        <f t="shared" ca="1" si="69"/>
        <v>112.5</v>
      </c>
      <c r="IT7" s="34">
        <f t="shared" ca="1" si="69"/>
        <v>0</v>
      </c>
      <c r="IU7" s="34">
        <f t="shared" ca="1" si="69"/>
        <v>0</v>
      </c>
      <c r="IV7" s="34">
        <f t="shared" ca="1" si="69"/>
        <v>0</v>
      </c>
      <c r="IW7" s="34">
        <f t="shared" ref="IW7:JF18" ca="1" si="70">IF(IW$6&lt;=$I7,IF(OR(MONTH(IW$6)=$AF7,MONTH(IW$6)=$AG7),$AE7,0),0)</f>
        <v>0</v>
      </c>
      <c r="IX7" s="34">
        <f t="shared" ca="1" si="70"/>
        <v>0</v>
      </c>
      <c r="IY7" s="34">
        <f t="shared" ca="1" si="70"/>
        <v>112.5</v>
      </c>
      <c r="IZ7" s="34">
        <f t="shared" ca="1" si="70"/>
        <v>0</v>
      </c>
      <c r="JA7" s="34">
        <f t="shared" ca="1" si="70"/>
        <v>0</v>
      </c>
      <c r="JB7" s="34">
        <f t="shared" ca="1" si="70"/>
        <v>0</v>
      </c>
      <c r="JC7" s="34">
        <f t="shared" ca="1" si="70"/>
        <v>0</v>
      </c>
      <c r="JD7" s="34">
        <f t="shared" ca="1" si="70"/>
        <v>0</v>
      </c>
      <c r="JE7" s="34">
        <f t="shared" ca="1" si="70"/>
        <v>112.5</v>
      </c>
      <c r="JF7" s="34">
        <f t="shared" ca="1" si="70"/>
        <v>0</v>
      </c>
      <c r="JG7" s="34">
        <f t="shared" ref="JG7:JP18" ca="1" si="71">IF(JG$6&lt;=$I7,IF(OR(MONTH(JG$6)=$AF7,MONTH(JG$6)=$AG7),$AE7,0),0)</f>
        <v>0</v>
      </c>
      <c r="JH7" s="34">
        <f t="shared" ca="1" si="71"/>
        <v>0</v>
      </c>
      <c r="JI7" s="34">
        <f t="shared" ca="1" si="71"/>
        <v>0</v>
      </c>
      <c r="JJ7" s="34">
        <f t="shared" ca="1" si="71"/>
        <v>0</v>
      </c>
      <c r="JK7" s="34">
        <f t="shared" ca="1" si="71"/>
        <v>112.5</v>
      </c>
      <c r="JL7" s="34">
        <f t="shared" ca="1" si="71"/>
        <v>0</v>
      </c>
      <c r="JM7" s="34">
        <f t="shared" ca="1" si="71"/>
        <v>0</v>
      </c>
      <c r="JN7" s="34">
        <f t="shared" ca="1" si="71"/>
        <v>0</v>
      </c>
      <c r="JO7" s="34">
        <f t="shared" ca="1" si="71"/>
        <v>0</v>
      </c>
      <c r="JP7" s="34">
        <f t="shared" ca="1" si="71"/>
        <v>0</v>
      </c>
      <c r="JQ7" s="34">
        <f t="shared" ref="JQ7:JZ18" ca="1" si="72">IF(JQ$6&lt;=$I7,IF(OR(MONTH(JQ$6)=$AF7,MONTH(JQ$6)=$AG7),$AE7,0),0)</f>
        <v>112.5</v>
      </c>
      <c r="JR7" s="34">
        <f t="shared" ca="1" si="72"/>
        <v>0</v>
      </c>
      <c r="JS7" s="34">
        <f t="shared" ca="1" si="72"/>
        <v>0</v>
      </c>
      <c r="JT7" s="34">
        <f t="shared" ca="1" si="72"/>
        <v>0</v>
      </c>
      <c r="JU7" s="34">
        <f t="shared" ca="1" si="72"/>
        <v>0</v>
      </c>
      <c r="JV7" s="34">
        <f t="shared" ca="1" si="72"/>
        <v>0</v>
      </c>
      <c r="JW7" s="34">
        <f t="shared" ca="1" si="72"/>
        <v>112.5</v>
      </c>
      <c r="JX7" s="34">
        <f t="shared" ca="1" si="72"/>
        <v>0</v>
      </c>
      <c r="JY7" s="34">
        <f t="shared" ca="1" si="72"/>
        <v>0</v>
      </c>
      <c r="JZ7" s="34">
        <f t="shared" ca="1" si="72"/>
        <v>0</v>
      </c>
      <c r="KA7" s="34">
        <f t="shared" ref="KA7:KJ18" ca="1" si="73">IF(KA$6&lt;=$I7,IF(OR(MONTH(KA$6)=$AF7,MONTH(KA$6)=$AG7),$AE7,0),0)</f>
        <v>0</v>
      </c>
      <c r="KB7" s="34">
        <f t="shared" ca="1" si="73"/>
        <v>0</v>
      </c>
      <c r="KC7" s="34">
        <f t="shared" ca="1" si="73"/>
        <v>112.5</v>
      </c>
      <c r="KD7" s="34">
        <f t="shared" ca="1" si="73"/>
        <v>0</v>
      </c>
      <c r="KE7" s="34">
        <f t="shared" ca="1" si="73"/>
        <v>0</v>
      </c>
      <c r="KF7" s="34">
        <f t="shared" ca="1" si="73"/>
        <v>0</v>
      </c>
      <c r="KG7" s="34">
        <f t="shared" ca="1" si="73"/>
        <v>0</v>
      </c>
      <c r="KH7" s="34">
        <f t="shared" ca="1" si="73"/>
        <v>0</v>
      </c>
      <c r="KI7" s="34">
        <f t="shared" ca="1" si="73"/>
        <v>112.5</v>
      </c>
      <c r="KJ7" s="34">
        <f t="shared" ca="1" si="73"/>
        <v>0</v>
      </c>
      <c r="KK7" s="34">
        <f t="shared" ref="KK7:KT18" ca="1" si="74">IF(KK$6&lt;=$I7,IF(OR(MONTH(KK$6)=$AF7,MONTH(KK$6)=$AG7),$AE7,0),0)</f>
        <v>0</v>
      </c>
      <c r="KL7" s="34">
        <f t="shared" ca="1" si="74"/>
        <v>0</v>
      </c>
      <c r="KM7" s="34">
        <f t="shared" ca="1" si="74"/>
        <v>0</v>
      </c>
      <c r="KN7" s="34">
        <f t="shared" ca="1" si="74"/>
        <v>0</v>
      </c>
      <c r="KO7" s="34">
        <f t="shared" ca="1" si="74"/>
        <v>112.5</v>
      </c>
      <c r="KP7" s="34">
        <f t="shared" ca="1" si="74"/>
        <v>0</v>
      </c>
      <c r="KQ7" s="34">
        <f t="shared" ca="1" si="74"/>
        <v>0</v>
      </c>
      <c r="KR7" s="34">
        <f t="shared" ca="1" si="74"/>
        <v>0</v>
      </c>
      <c r="KS7" s="34">
        <f t="shared" ca="1" si="74"/>
        <v>0</v>
      </c>
      <c r="KT7" s="34">
        <f t="shared" ca="1" si="74"/>
        <v>0</v>
      </c>
      <c r="KU7" s="34">
        <f t="shared" ref="KU7:LD18" ca="1" si="75">IF(KU$6&lt;=$I7,IF(OR(MONTH(KU$6)=$AF7,MONTH(KU$6)=$AG7),$AE7,0),0)</f>
        <v>112.5</v>
      </c>
      <c r="KV7" s="34">
        <f t="shared" ca="1" si="75"/>
        <v>0</v>
      </c>
      <c r="KW7" s="34">
        <f t="shared" ca="1" si="75"/>
        <v>0</v>
      </c>
      <c r="KX7" s="34">
        <f t="shared" ca="1" si="75"/>
        <v>0</v>
      </c>
      <c r="KY7" s="34">
        <f t="shared" ca="1" si="75"/>
        <v>0</v>
      </c>
      <c r="KZ7" s="34">
        <f t="shared" ca="1" si="75"/>
        <v>0</v>
      </c>
      <c r="LA7" s="34">
        <f t="shared" ca="1" si="75"/>
        <v>112.5</v>
      </c>
      <c r="LB7" s="34">
        <f t="shared" ca="1" si="75"/>
        <v>0</v>
      </c>
      <c r="LC7" s="34">
        <f t="shared" ca="1" si="75"/>
        <v>0</v>
      </c>
      <c r="LD7" s="34">
        <f t="shared" ca="1" si="75"/>
        <v>0</v>
      </c>
      <c r="LE7" s="34">
        <f t="shared" ref="LE7:LN18" ca="1" si="76">IF(LE$6&lt;=$I7,IF(OR(MONTH(LE$6)=$AF7,MONTH(LE$6)=$AG7),$AE7,0),0)</f>
        <v>0</v>
      </c>
      <c r="LF7" s="34">
        <f t="shared" ca="1" si="76"/>
        <v>0</v>
      </c>
      <c r="LG7" s="34">
        <f t="shared" ca="1" si="76"/>
        <v>112.5</v>
      </c>
      <c r="LH7" s="34">
        <f t="shared" ca="1" si="76"/>
        <v>0</v>
      </c>
      <c r="LI7" s="34">
        <f t="shared" ca="1" si="76"/>
        <v>0</v>
      </c>
      <c r="LJ7" s="34">
        <f t="shared" ca="1" si="76"/>
        <v>0</v>
      </c>
      <c r="LK7" s="34">
        <f t="shared" ca="1" si="76"/>
        <v>0</v>
      </c>
      <c r="LL7" s="34">
        <f t="shared" ca="1" si="76"/>
        <v>0</v>
      </c>
      <c r="LM7" s="34">
        <f t="shared" ca="1" si="76"/>
        <v>112.5</v>
      </c>
      <c r="LN7" s="34">
        <f t="shared" ca="1" si="76"/>
        <v>0</v>
      </c>
      <c r="LO7" s="34">
        <f t="shared" ref="LO7:LX18" ca="1" si="77">IF(LO$6&lt;=$I7,IF(OR(MONTH(LO$6)=$AF7,MONTH(LO$6)=$AG7),$AE7,0),0)</f>
        <v>0</v>
      </c>
      <c r="LP7" s="34">
        <f t="shared" ca="1" si="77"/>
        <v>0</v>
      </c>
      <c r="LQ7" s="34">
        <f t="shared" ca="1" si="77"/>
        <v>0</v>
      </c>
      <c r="LR7" s="34">
        <f t="shared" ca="1" si="77"/>
        <v>0</v>
      </c>
      <c r="LS7" s="34">
        <f t="shared" ca="1" si="77"/>
        <v>112.5</v>
      </c>
      <c r="LT7" s="34">
        <f t="shared" ca="1" si="77"/>
        <v>0</v>
      </c>
      <c r="LU7" s="34">
        <f t="shared" ca="1" si="77"/>
        <v>0</v>
      </c>
      <c r="LV7" s="34">
        <f t="shared" ca="1" si="77"/>
        <v>0</v>
      </c>
      <c r="LW7" s="34">
        <f t="shared" ca="1" si="77"/>
        <v>0</v>
      </c>
      <c r="LX7" s="34">
        <f t="shared" ca="1" si="77"/>
        <v>0</v>
      </c>
      <c r="LY7" s="34">
        <f t="shared" ref="LY7:MH18" ca="1" si="78">IF(LY$6&lt;=$I7,IF(OR(MONTH(LY$6)=$AF7,MONTH(LY$6)=$AG7),$AE7,0),0)</f>
        <v>112.5</v>
      </c>
      <c r="LZ7" s="34">
        <f t="shared" ca="1" si="78"/>
        <v>0</v>
      </c>
      <c r="MA7" s="34">
        <f t="shared" ca="1" si="78"/>
        <v>0</v>
      </c>
      <c r="MB7" s="34">
        <f t="shared" ca="1" si="78"/>
        <v>0</v>
      </c>
      <c r="MC7" s="34">
        <f t="shared" ca="1" si="78"/>
        <v>0</v>
      </c>
      <c r="MD7" s="34">
        <f t="shared" ca="1" si="78"/>
        <v>0</v>
      </c>
      <c r="ME7" s="34">
        <f t="shared" ca="1" si="78"/>
        <v>112.5</v>
      </c>
      <c r="MF7" s="34">
        <f t="shared" ca="1" si="78"/>
        <v>0</v>
      </c>
      <c r="MG7" s="34">
        <f t="shared" ca="1" si="78"/>
        <v>0</v>
      </c>
      <c r="MH7" s="34">
        <f t="shared" ca="1" si="78"/>
        <v>0</v>
      </c>
      <c r="MI7" s="34">
        <f t="shared" ref="MI7:MR18" ca="1" si="79">IF(MI$6&lt;=$I7,IF(OR(MONTH(MI$6)=$AF7,MONTH(MI$6)=$AG7),$AE7,0),0)</f>
        <v>0</v>
      </c>
      <c r="MJ7" s="34">
        <f t="shared" ca="1" si="79"/>
        <v>0</v>
      </c>
      <c r="MK7" s="34">
        <f t="shared" ca="1" si="79"/>
        <v>112.5</v>
      </c>
      <c r="ML7" s="34">
        <f t="shared" ca="1" si="79"/>
        <v>0</v>
      </c>
      <c r="MM7" s="34">
        <f t="shared" ca="1" si="79"/>
        <v>0</v>
      </c>
      <c r="MN7" s="34">
        <f t="shared" ca="1" si="79"/>
        <v>0</v>
      </c>
      <c r="MO7" s="34">
        <f t="shared" ca="1" si="79"/>
        <v>0</v>
      </c>
      <c r="MP7" s="34">
        <f t="shared" ca="1" si="79"/>
        <v>0</v>
      </c>
      <c r="MQ7" s="34">
        <f t="shared" ca="1" si="79"/>
        <v>112.5</v>
      </c>
      <c r="MR7" s="34">
        <f t="shared" ca="1" si="79"/>
        <v>0</v>
      </c>
      <c r="MS7" s="34">
        <f t="shared" ref="MS7:NB18" ca="1" si="80">IF(MS$6&lt;=$I7,IF(OR(MONTH(MS$6)=$AF7,MONTH(MS$6)=$AG7),$AE7,0),0)</f>
        <v>0</v>
      </c>
      <c r="MT7" s="34">
        <f t="shared" ca="1" si="80"/>
        <v>0</v>
      </c>
      <c r="MU7" s="34">
        <f t="shared" ca="1" si="80"/>
        <v>0</v>
      </c>
      <c r="MV7" s="34">
        <f t="shared" ca="1" si="80"/>
        <v>0</v>
      </c>
      <c r="MW7" s="34">
        <f t="shared" ca="1" si="80"/>
        <v>112.5</v>
      </c>
      <c r="MX7" s="34">
        <f t="shared" ca="1" si="80"/>
        <v>0</v>
      </c>
      <c r="MY7" s="34">
        <f t="shared" ca="1" si="80"/>
        <v>0</v>
      </c>
      <c r="MZ7" s="34">
        <f t="shared" ca="1" si="80"/>
        <v>0</v>
      </c>
      <c r="NA7" s="34">
        <f t="shared" ca="1" si="80"/>
        <v>0</v>
      </c>
      <c r="NB7" s="34">
        <f t="shared" ca="1" si="80"/>
        <v>0</v>
      </c>
      <c r="NC7" s="34">
        <f t="shared" ref="NC7:NL18" ca="1" si="81">IF(NC$6&lt;=$I7,IF(OR(MONTH(NC$6)=$AF7,MONTH(NC$6)=$AG7),$AE7,0),0)</f>
        <v>112.5</v>
      </c>
      <c r="ND7" s="34">
        <f t="shared" ca="1" si="81"/>
        <v>0</v>
      </c>
      <c r="NE7" s="34">
        <f t="shared" ca="1" si="81"/>
        <v>0</v>
      </c>
      <c r="NF7" s="34">
        <f t="shared" ca="1" si="81"/>
        <v>0</v>
      </c>
      <c r="NG7" s="34">
        <f t="shared" ca="1" si="81"/>
        <v>0</v>
      </c>
      <c r="NH7" s="34">
        <f t="shared" ca="1" si="81"/>
        <v>0</v>
      </c>
      <c r="NI7" s="34">
        <f t="shared" ca="1" si="81"/>
        <v>112.5</v>
      </c>
      <c r="NJ7" s="34">
        <f t="shared" ca="1" si="81"/>
        <v>0</v>
      </c>
      <c r="NK7" s="34">
        <f t="shared" ca="1" si="81"/>
        <v>0</v>
      </c>
      <c r="NL7" s="34">
        <f t="shared" ca="1" si="81"/>
        <v>0</v>
      </c>
      <c r="NM7" s="34">
        <f t="shared" ref="NM7:NV18" ca="1" si="82">IF(NM$6&lt;=$I7,IF(OR(MONTH(NM$6)=$AF7,MONTH(NM$6)=$AG7),$AE7,0),0)</f>
        <v>0</v>
      </c>
      <c r="NN7" s="34">
        <f t="shared" ca="1" si="82"/>
        <v>0</v>
      </c>
      <c r="NO7" s="34">
        <f t="shared" ca="1" si="82"/>
        <v>112.5</v>
      </c>
      <c r="NP7" s="34">
        <f t="shared" ca="1" si="82"/>
        <v>0</v>
      </c>
      <c r="NQ7" s="34">
        <f t="shared" ca="1" si="82"/>
        <v>0</v>
      </c>
      <c r="NR7" s="34">
        <f t="shared" ca="1" si="82"/>
        <v>0</v>
      </c>
      <c r="NS7" s="34">
        <f t="shared" ca="1" si="82"/>
        <v>0</v>
      </c>
      <c r="NT7" s="34">
        <f t="shared" ca="1" si="82"/>
        <v>0</v>
      </c>
      <c r="NU7" s="34">
        <f t="shared" ca="1" si="82"/>
        <v>112.5</v>
      </c>
      <c r="NV7" s="34">
        <f t="shared" ca="1" si="82"/>
        <v>0</v>
      </c>
      <c r="NW7" s="34">
        <f t="shared" ref="NW7:OF18" ca="1" si="83">IF(NW$6&lt;=$I7,IF(OR(MONTH(NW$6)=$AF7,MONTH(NW$6)=$AG7),$AE7,0),0)</f>
        <v>0</v>
      </c>
      <c r="NX7" s="34">
        <f t="shared" ca="1" si="83"/>
        <v>0</v>
      </c>
      <c r="NY7" s="34">
        <f t="shared" ca="1" si="83"/>
        <v>0</v>
      </c>
      <c r="NZ7" s="34">
        <f t="shared" ca="1" si="83"/>
        <v>0</v>
      </c>
      <c r="OA7" s="34">
        <f t="shared" ca="1" si="83"/>
        <v>112.5</v>
      </c>
      <c r="OB7" s="34">
        <f t="shared" ca="1" si="83"/>
        <v>0</v>
      </c>
      <c r="OC7" s="34">
        <f t="shared" ca="1" si="83"/>
        <v>0</v>
      </c>
      <c r="OD7" s="34">
        <f t="shared" ca="1" si="83"/>
        <v>0</v>
      </c>
      <c r="OE7" s="34">
        <f t="shared" ca="1" si="83"/>
        <v>0</v>
      </c>
      <c r="OF7" s="34">
        <f t="shared" ca="1" si="83"/>
        <v>0</v>
      </c>
      <c r="OG7" s="34">
        <f t="shared" ref="OG7:OP18" ca="1" si="84">IF(OG$6&lt;=$I7,IF(OR(MONTH(OG$6)=$AF7,MONTH(OG$6)=$AG7),$AE7,0),0)</f>
        <v>112.5</v>
      </c>
      <c r="OH7" s="34">
        <f t="shared" ca="1" si="84"/>
        <v>0</v>
      </c>
      <c r="OI7" s="34">
        <f t="shared" ca="1" si="84"/>
        <v>0</v>
      </c>
      <c r="OJ7" s="34">
        <f t="shared" ca="1" si="84"/>
        <v>0</v>
      </c>
      <c r="OK7" s="34">
        <f t="shared" ca="1" si="84"/>
        <v>0</v>
      </c>
      <c r="OL7" s="34">
        <f t="shared" ca="1" si="84"/>
        <v>0</v>
      </c>
      <c r="OM7" s="34">
        <f t="shared" ca="1" si="84"/>
        <v>112.5</v>
      </c>
      <c r="ON7" s="34">
        <f t="shared" ca="1" si="84"/>
        <v>0</v>
      </c>
      <c r="OO7" s="34">
        <f t="shared" ca="1" si="84"/>
        <v>0</v>
      </c>
      <c r="OP7" s="34">
        <f t="shared" ca="1" si="84"/>
        <v>0</v>
      </c>
      <c r="OQ7" s="34">
        <f t="shared" ref="OQ7:OZ18" ca="1" si="85">IF(OQ$6&lt;=$I7,IF(OR(MONTH(OQ$6)=$AF7,MONTH(OQ$6)=$AG7),$AE7,0),0)</f>
        <v>0</v>
      </c>
      <c r="OR7" s="34">
        <f t="shared" ca="1" si="85"/>
        <v>0</v>
      </c>
      <c r="OS7" s="34">
        <f t="shared" ca="1" si="85"/>
        <v>112.5</v>
      </c>
      <c r="OT7" s="34">
        <f t="shared" ca="1" si="85"/>
        <v>0</v>
      </c>
      <c r="OU7" s="34">
        <f t="shared" ca="1" si="85"/>
        <v>0</v>
      </c>
      <c r="OV7" s="34">
        <f t="shared" ca="1" si="85"/>
        <v>0</v>
      </c>
      <c r="OW7" s="34">
        <f t="shared" ca="1" si="85"/>
        <v>0</v>
      </c>
      <c r="OX7" s="34">
        <f t="shared" ca="1" si="85"/>
        <v>0</v>
      </c>
      <c r="OY7" s="34">
        <f t="shared" ca="1" si="85"/>
        <v>112.5</v>
      </c>
      <c r="OZ7" s="34">
        <f t="shared" ca="1" si="85"/>
        <v>0</v>
      </c>
      <c r="PA7" s="34">
        <f t="shared" ref="PA7:PJ18" ca="1" si="86">IF(PA$6&lt;=$I7,IF(OR(MONTH(PA$6)=$AF7,MONTH(PA$6)=$AG7),$AE7,0),0)</f>
        <v>0</v>
      </c>
      <c r="PB7" s="34">
        <f t="shared" ca="1" si="86"/>
        <v>0</v>
      </c>
      <c r="PC7" s="34">
        <f t="shared" ca="1" si="86"/>
        <v>0</v>
      </c>
      <c r="PD7" s="34">
        <f t="shared" ca="1" si="86"/>
        <v>0</v>
      </c>
      <c r="PE7" s="34">
        <f t="shared" ca="1" si="86"/>
        <v>112.5</v>
      </c>
      <c r="PF7" s="34">
        <f t="shared" ca="1" si="86"/>
        <v>0</v>
      </c>
      <c r="PG7" s="34">
        <f t="shared" ca="1" si="86"/>
        <v>0</v>
      </c>
      <c r="PH7" s="34">
        <f t="shared" ca="1" si="86"/>
        <v>0</v>
      </c>
      <c r="PI7" s="34">
        <f t="shared" ca="1" si="86"/>
        <v>0</v>
      </c>
      <c r="PJ7" s="34">
        <f t="shared" ca="1" si="86"/>
        <v>0</v>
      </c>
      <c r="PK7" s="34">
        <f t="shared" ref="PK7:PT18" ca="1" si="87">IF(PK$6&lt;=$I7,IF(OR(MONTH(PK$6)=$AF7,MONTH(PK$6)=$AG7),$AE7,0),0)</f>
        <v>112.5</v>
      </c>
      <c r="PL7" s="34">
        <f t="shared" ca="1" si="87"/>
        <v>0</v>
      </c>
      <c r="PM7" s="34">
        <f t="shared" ca="1" si="87"/>
        <v>0</v>
      </c>
      <c r="PN7" s="34">
        <f t="shared" ca="1" si="87"/>
        <v>0</v>
      </c>
      <c r="PO7" s="34">
        <f t="shared" ca="1" si="87"/>
        <v>0</v>
      </c>
      <c r="PP7" s="34">
        <f t="shared" ca="1" si="87"/>
        <v>0</v>
      </c>
      <c r="PQ7" s="34">
        <f t="shared" ca="1" si="87"/>
        <v>112.5</v>
      </c>
      <c r="PR7" s="34">
        <f t="shared" ca="1" si="87"/>
        <v>0</v>
      </c>
      <c r="PS7" s="34">
        <f t="shared" ca="1" si="87"/>
        <v>0</v>
      </c>
      <c r="PT7" s="34">
        <f t="shared" ca="1" si="87"/>
        <v>0</v>
      </c>
      <c r="PU7" s="34">
        <f t="shared" ref="PU7:QD18" ca="1" si="88">IF(PU$6&lt;=$I7,IF(OR(MONTH(PU$6)=$AF7,MONTH(PU$6)=$AG7),$AE7,0),0)</f>
        <v>0</v>
      </c>
      <c r="PV7" s="34">
        <f t="shared" ca="1" si="88"/>
        <v>0</v>
      </c>
      <c r="PW7" s="34">
        <f t="shared" ca="1" si="88"/>
        <v>112.5</v>
      </c>
      <c r="PX7" s="34">
        <f t="shared" ca="1" si="88"/>
        <v>0</v>
      </c>
      <c r="PY7" s="34">
        <f t="shared" ca="1" si="88"/>
        <v>0</v>
      </c>
      <c r="PZ7" s="34">
        <f t="shared" ca="1" si="88"/>
        <v>0</v>
      </c>
      <c r="QA7" s="34">
        <f t="shared" ca="1" si="88"/>
        <v>0</v>
      </c>
      <c r="QB7" s="34">
        <f t="shared" ca="1" si="88"/>
        <v>0</v>
      </c>
      <c r="QC7" s="34">
        <f t="shared" ca="1" si="88"/>
        <v>112.5</v>
      </c>
      <c r="QD7" s="34">
        <f t="shared" ca="1" si="88"/>
        <v>0</v>
      </c>
      <c r="QE7" s="34">
        <f t="shared" ref="QE7:QN18" ca="1" si="89">IF(QE$6&lt;=$I7,IF(OR(MONTH(QE$6)=$AF7,MONTH(QE$6)=$AG7),$AE7,0),0)</f>
        <v>0</v>
      </c>
      <c r="QF7" s="34">
        <f t="shared" ca="1" si="89"/>
        <v>0</v>
      </c>
      <c r="QG7" s="34">
        <f t="shared" ca="1" si="89"/>
        <v>0</v>
      </c>
      <c r="QH7" s="34">
        <f t="shared" ca="1" si="89"/>
        <v>0</v>
      </c>
      <c r="QI7" s="34">
        <f t="shared" ca="1" si="89"/>
        <v>112.5</v>
      </c>
      <c r="QJ7" s="34">
        <f t="shared" ca="1" si="89"/>
        <v>0</v>
      </c>
      <c r="QK7" s="34">
        <f t="shared" ca="1" si="89"/>
        <v>0</v>
      </c>
      <c r="QL7" s="34">
        <f t="shared" ca="1" si="89"/>
        <v>0</v>
      </c>
      <c r="QM7" s="34">
        <f t="shared" ca="1" si="89"/>
        <v>0</v>
      </c>
      <c r="QN7" s="34">
        <f t="shared" ca="1" si="89"/>
        <v>0</v>
      </c>
      <c r="QO7" s="34">
        <f t="shared" ref="QO7:QX18" ca="1" si="90">IF(QO$6&lt;=$I7,IF(OR(MONTH(QO$6)=$AF7,MONTH(QO$6)=$AG7),$AE7,0),0)</f>
        <v>112.5</v>
      </c>
      <c r="QP7" s="34">
        <f t="shared" ca="1" si="90"/>
        <v>0</v>
      </c>
      <c r="QQ7" s="34">
        <f t="shared" ca="1" si="90"/>
        <v>0</v>
      </c>
      <c r="QR7" s="34">
        <f t="shared" ca="1" si="90"/>
        <v>0</v>
      </c>
      <c r="QS7" s="34">
        <f t="shared" ca="1" si="90"/>
        <v>0</v>
      </c>
      <c r="QT7" s="34">
        <f t="shared" ca="1" si="90"/>
        <v>0</v>
      </c>
      <c r="QU7" s="34">
        <f t="shared" ca="1" si="90"/>
        <v>112.5</v>
      </c>
      <c r="QV7" s="34">
        <f t="shared" ca="1" si="90"/>
        <v>0</v>
      </c>
      <c r="QW7" s="34">
        <f t="shared" ca="1" si="90"/>
        <v>0</v>
      </c>
      <c r="QX7" s="34">
        <f t="shared" ca="1" si="90"/>
        <v>0</v>
      </c>
      <c r="QY7" s="34">
        <f t="shared" ref="QY7:RH18" ca="1" si="91">IF(QY$6&lt;=$I7,IF(OR(MONTH(QY$6)=$AF7,MONTH(QY$6)=$AG7),$AE7,0),0)</f>
        <v>0</v>
      </c>
      <c r="QZ7" s="34">
        <f t="shared" ca="1" si="91"/>
        <v>0</v>
      </c>
      <c r="RA7" s="34">
        <f t="shared" ca="1" si="91"/>
        <v>112.5</v>
      </c>
      <c r="RB7" s="34">
        <f t="shared" ca="1" si="91"/>
        <v>0</v>
      </c>
      <c r="RC7" s="34">
        <f t="shared" ca="1" si="91"/>
        <v>0</v>
      </c>
      <c r="RD7" s="34">
        <f t="shared" ca="1" si="91"/>
        <v>0</v>
      </c>
      <c r="RE7" s="34">
        <f t="shared" ca="1" si="91"/>
        <v>0</v>
      </c>
      <c r="RF7" s="34">
        <f t="shared" ca="1" si="91"/>
        <v>0</v>
      </c>
      <c r="RG7" s="34">
        <f t="shared" ca="1" si="91"/>
        <v>0</v>
      </c>
      <c r="RH7" s="34">
        <f t="shared" ca="1" si="91"/>
        <v>0</v>
      </c>
      <c r="RI7" s="34">
        <f t="shared" ref="RI7:RR18" ca="1" si="92">IF(RI$6&lt;=$I7,IF(OR(MONTH(RI$6)=$AF7,MONTH(RI$6)=$AG7),$AE7,0),0)</f>
        <v>0</v>
      </c>
      <c r="RJ7" s="34">
        <f t="shared" ca="1" si="92"/>
        <v>0</v>
      </c>
      <c r="RK7" s="34">
        <f t="shared" ca="1" si="92"/>
        <v>0</v>
      </c>
      <c r="RL7" s="34">
        <f t="shared" ca="1" si="92"/>
        <v>0</v>
      </c>
      <c r="RM7" s="34">
        <f t="shared" ca="1" si="92"/>
        <v>0</v>
      </c>
      <c r="RN7" s="34">
        <f t="shared" ca="1" si="92"/>
        <v>0</v>
      </c>
      <c r="RO7" s="34">
        <f t="shared" ca="1" si="92"/>
        <v>0</v>
      </c>
      <c r="RP7" s="34">
        <f t="shared" ca="1" si="92"/>
        <v>0</v>
      </c>
      <c r="RQ7" s="34">
        <f t="shared" ca="1" si="92"/>
        <v>0</v>
      </c>
      <c r="RR7" s="34">
        <f t="shared" ca="1" si="92"/>
        <v>0</v>
      </c>
      <c r="RS7" s="34">
        <f t="shared" ref="RS7:SB18" ca="1" si="93">IF(RS$6&lt;=$I7,IF(OR(MONTH(RS$6)=$AF7,MONTH(RS$6)=$AG7),$AE7,0),0)</f>
        <v>0</v>
      </c>
      <c r="RT7" s="34">
        <f t="shared" ca="1" si="93"/>
        <v>0</v>
      </c>
      <c r="RU7" s="34">
        <f t="shared" ca="1" si="93"/>
        <v>0</v>
      </c>
      <c r="RV7" s="34">
        <f t="shared" ca="1" si="93"/>
        <v>0</v>
      </c>
      <c r="RW7" s="34">
        <f t="shared" ca="1" si="93"/>
        <v>0</v>
      </c>
      <c r="RX7" s="34">
        <f t="shared" ca="1" si="93"/>
        <v>0</v>
      </c>
      <c r="RY7" s="34">
        <f t="shared" ca="1" si="93"/>
        <v>0</v>
      </c>
      <c r="RZ7" s="34">
        <f t="shared" ca="1" si="93"/>
        <v>0</v>
      </c>
      <c r="SA7" s="34">
        <f t="shared" ca="1" si="93"/>
        <v>0</v>
      </c>
      <c r="SB7" s="34">
        <f t="shared" ca="1" si="93"/>
        <v>0</v>
      </c>
      <c r="SC7" s="34">
        <f t="shared" ref="SC7:SL18" ca="1" si="94">IF(SC$6&lt;=$I7,IF(OR(MONTH(SC$6)=$AF7,MONTH(SC$6)=$AG7),$AE7,0),0)</f>
        <v>0</v>
      </c>
      <c r="SD7" s="34">
        <f t="shared" ca="1" si="94"/>
        <v>0</v>
      </c>
      <c r="SE7" s="34">
        <f t="shared" ca="1" si="94"/>
        <v>0</v>
      </c>
      <c r="SF7" s="34">
        <f t="shared" ca="1" si="94"/>
        <v>0</v>
      </c>
      <c r="SG7" s="34">
        <f t="shared" ca="1" si="94"/>
        <v>0</v>
      </c>
      <c r="SH7" s="34">
        <f t="shared" ca="1" si="94"/>
        <v>0</v>
      </c>
      <c r="SI7" s="34">
        <f t="shared" ca="1" si="94"/>
        <v>0</v>
      </c>
      <c r="SJ7" s="34">
        <f t="shared" ca="1" si="94"/>
        <v>0</v>
      </c>
      <c r="SK7" s="34">
        <f t="shared" ca="1" si="94"/>
        <v>0</v>
      </c>
      <c r="SL7" s="34">
        <f t="shared" ca="1" si="94"/>
        <v>0</v>
      </c>
      <c r="SM7" s="34">
        <f t="shared" ref="SM7:SV18" ca="1" si="95">IF(SM$6&lt;=$I7,IF(OR(MONTH(SM$6)=$AF7,MONTH(SM$6)=$AG7),$AE7,0),0)</f>
        <v>0</v>
      </c>
      <c r="SN7" s="34">
        <f t="shared" ca="1" si="95"/>
        <v>0</v>
      </c>
      <c r="SO7" s="34">
        <f t="shared" ca="1" si="95"/>
        <v>0</v>
      </c>
      <c r="SP7" s="34">
        <f t="shared" ca="1" si="95"/>
        <v>0</v>
      </c>
      <c r="SQ7" s="34">
        <f t="shared" ca="1" si="95"/>
        <v>0</v>
      </c>
      <c r="SR7" s="34">
        <f t="shared" ca="1" si="95"/>
        <v>0</v>
      </c>
      <c r="SS7" s="34">
        <f t="shared" ca="1" si="95"/>
        <v>0</v>
      </c>
      <c r="ST7" s="34">
        <f t="shared" ca="1" si="95"/>
        <v>0</v>
      </c>
      <c r="SU7" s="34">
        <f t="shared" ca="1" si="95"/>
        <v>0</v>
      </c>
      <c r="SV7" s="34">
        <f t="shared" ca="1" si="95"/>
        <v>0</v>
      </c>
      <c r="SW7" s="34">
        <f t="shared" ref="SW7:TF18" ca="1" si="96">IF(SW$6&lt;=$I7,IF(OR(MONTH(SW$6)=$AF7,MONTH(SW$6)=$AG7),$AE7,0),0)</f>
        <v>0</v>
      </c>
      <c r="SX7" s="34">
        <f t="shared" ca="1" si="96"/>
        <v>0</v>
      </c>
      <c r="SY7" s="34">
        <f t="shared" ca="1" si="96"/>
        <v>0</v>
      </c>
      <c r="SZ7" s="34">
        <f t="shared" ca="1" si="96"/>
        <v>0</v>
      </c>
      <c r="TA7" s="34">
        <f t="shared" ca="1" si="96"/>
        <v>0</v>
      </c>
      <c r="TB7" s="34">
        <f t="shared" ca="1" si="96"/>
        <v>0</v>
      </c>
      <c r="TC7" s="34">
        <f t="shared" ca="1" si="96"/>
        <v>0</v>
      </c>
      <c r="TD7" s="34">
        <f t="shared" ca="1" si="96"/>
        <v>0</v>
      </c>
      <c r="TE7" s="34">
        <f t="shared" ca="1" si="96"/>
        <v>0</v>
      </c>
      <c r="TF7" s="34">
        <f t="shared" ca="1" si="96"/>
        <v>0</v>
      </c>
      <c r="TG7" s="34">
        <f t="shared" ref="TG7:TP18" ca="1" si="97">IF(TG$6&lt;=$I7,IF(OR(MONTH(TG$6)=$AF7,MONTH(TG$6)=$AG7),$AE7,0),0)</f>
        <v>0</v>
      </c>
      <c r="TH7" s="34">
        <f t="shared" ca="1" si="97"/>
        <v>0</v>
      </c>
      <c r="TI7" s="34">
        <f t="shared" ca="1" si="97"/>
        <v>0</v>
      </c>
      <c r="TJ7" s="34">
        <f t="shared" ca="1" si="97"/>
        <v>0</v>
      </c>
      <c r="TK7" s="34">
        <f t="shared" ca="1" si="97"/>
        <v>0</v>
      </c>
      <c r="TL7" s="34">
        <f t="shared" ca="1" si="97"/>
        <v>0</v>
      </c>
      <c r="TM7" s="34">
        <f t="shared" ca="1" si="97"/>
        <v>0</v>
      </c>
      <c r="TN7" s="34">
        <f t="shared" ca="1" si="97"/>
        <v>0</v>
      </c>
      <c r="TO7" s="34">
        <f t="shared" ca="1" si="97"/>
        <v>0</v>
      </c>
      <c r="TP7" s="34">
        <f t="shared" ca="1" si="97"/>
        <v>0</v>
      </c>
      <c r="TQ7" s="34">
        <f t="shared" ref="TQ7:TZ18" ca="1" si="98">IF(TQ$6&lt;=$I7,IF(OR(MONTH(TQ$6)=$AF7,MONTH(TQ$6)=$AG7),$AE7,0),0)</f>
        <v>0</v>
      </c>
      <c r="TR7" s="34">
        <f t="shared" ca="1" si="98"/>
        <v>0</v>
      </c>
      <c r="TS7" s="34">
        <f t="shared" ca="1" si="98"/>
        <v>0</v>
      </c>
      <c r="TT7" s="34">
        <f t="shared" ca="1" si="98"/>
        <v>0</v>
      </c>
      <c r="TU7" s="34">
        <f t="shared" ca="1" si="98"/>
        <v>0</v>
      </c>
      <c r="TV7" s="34">
        <f t="shared" ca="1" si="98"/>
        <v>0</v>
      </c>
      <c r="TW7" s="34">
        <f t="shared" ca="1" si="98"/>
        <v>0</v>
      </c>
      <c r="TX7" s="34">
        <f t="shared" ca="1" si="98"/>
        <v>0</v>
      </c>
      <c r="TY7" s="34">
        <f t="shared" ca="1" si="98"/>
        <v>0</v>
      </c>
      <c r="TZ7" s="34">
        <f t="shared" ca="1" si="98"/>
        <v>0</v>
      </c>
      <c r="UA7" s="34">
        <f t="shared" ref="UA7:UJ18" ca="1" si="99">IF(UA$6&lt;=$I7,IF(OR(MONTH(UA$6)=$AF7,MONTH(UA$6)=$AG7),$AE7,0),0)</f>
        <v>0</v>
      </c>
      <c r="UB7" s="34">
        <f t="shared" ca="1" si="99"/>
        <v>0</v>
      </c>
      <c r="UC7" s="34">
        <f t="shared" ca="1" si="99"/>
        <v>0</v>
      </c>
      <c r="UD7" s="34">
        <f t="shared" ca="1" si="99"/>
        <v>0</v>
      </c>
      <c r="UE7" s="34">
        <f t="shared" ca="1" si="99"/>
        <v>0</v>
      </c>
      <c r="UF7" s="34">
        <f t="shared" ca="1" si="99"/>
        <v>0</v>
      </c>
      <c r="UG7" s="34">
        <f t="shared" ca="1" si="99"/>
        <v>0</v>
      </c>
      <c r="UH7" s="34">
        <f t="shared" ca="1" si="99"/>
        <v>0</v>
      </c>
      <c r="UI7" s="34">
        <f t="shared" ca="1" si="99"/>
        <v>0</v>
      </c>
      <c r="UJ7" s="34">
        <f t="shared" ca="1" si="99"/>
        <v>0</v>
      </c>
      <c r="UK7" s="34">
        <f t="shared" ref="UK7:UT18" ca="1" si="100">IF(UK$6&lt;=$I7,IF(OR(MONTH(UK$6)=$AF7,MONTH(UK$6)=$AG7),$AE7,0),0)</f>
        <v>0</v>
      </c>
      <c r="UL7" s="34">
        <f t="shared" ca="1" si="100"/>
        <v>0</v>
      </c>
      <c r="UM7" s="34">
        <f t="shared" ca="1" si="100"/>
        <v>0</v>
      </c>
      <c r="UN7" s="34">
        <f t="shared" ca="1" si="100"/>
        <v>0</v>
      </c>
      <c r="UO7" s="34">
        <f t="shared" ca="1" si="100"/>
        <v>0</v>
      </c>
      <c r="UP7" s="34">
        <f t="shared" ca="1" si="100"/>
        <v>0</v>
      </c>
      <c r="UQ7" s="34">
        <f t="shared" ca="1" si="100"/>
        <v>0</v>
      </c>
      <c r="UR7" s="34">
        <f t="shared" ca="1" si="100"/>
        <v>0</v>
      </c>
      <c r="US7" s="34">
        <f t="shared" ca="1" si="100"/>
        <v>0</v>
      </c>
      <c r="UT7" s="34">
        <f t="shared" ca="1" si="100"/>
        <v>0</v>
      </c>
      <c r="UU7" s="34">
        <f t="shared" ref="UU7:VD18" ca="1" si="101">IF(UU$6&lt;=$I7,IF(OR(MONTH(UU$6)=$AF7,MONTH(UU$6)=$AG7),$AE7,0),0)</f>
        <v>0</v>
      </c>
      <c r="UV7" s="34">
        <f t="shared" ca="1" si="101"/>
        <v>0</v>
      </c>
      <c r="UW7" s="34">
        <f t="shared" ca="1" si="101"/>
        <v>0</v>
      </c>
      <c r="UX7" s="34">
        <f t="shared" ca="1" si="101"/>
        <v>0</v>
      </c>
      <c r="UY7" s="34">
        <f t="shared" ca="1" si="101"/>
        <v>0</v>
      </c>
      <c r="UZ7" s="34">
        <f t="shared" ca="1" si="101"/>
        <v>0</v>
      </c>
      <c r="VA7" s="34">
        <f t="shared" ca="1" si="101"/>
        <v>0</v>
      </c>
      <c r="VB7" s="34">
        <f t="shared" ca="1" si="101"/>
        <v>0</v>
      </c>
      <c r="VC7" s="34">
        <f t="shared" ca="1" si="101"/>
        <v>0</v>
      </c>
      <c r="VD7" s="34">
        <f t="shared" ca="1" si="101"/>
        <v>0</v>
      </c>
      <c r="VE7" s="34">
        <f t="shared" ref="VE7:VN18" ca="1" si="102">IF(VE$6&lt;=$I7,IF(OR(MONTH(VE$6)=$AF7,MONTH(VE$6)=$AG7),$AE7,0),0)</f>
        <v>0</v>
      </c>
      <c r="VF7" s="34">
        <f t="shared" ca="1" si="102"/>
        <v>0</v>
      </c>
      <c r="VG7" s="34">
        <f t="shared" ca="1" si="102"/>
        <v>0</v>
      </c>
      <c r="VH7" s="34">
        <f t="shared" ca="1" si="102"/>
        <v>0</v>
      </c>
      <c r="VI7" s="34">
        <f t="shared" ca="1" si="102"/>
        <v>0</v>
      </c>
      <c r="VJ7" s="34">
        <f t="shared" ca="1" si="102"/>
        <v>0</v>
      </c>
      <c r="VK7" s="34">
        <f t="shared" ca="1" si="102"/>
        <v>0</v>
      </c>
      <c r="VL7" s="34">
        <f t="shared" ca="1" si="102"/>
        <v>0</v>
      </c>
      <c r="VM7" s="34">
        <f t="shared" ca="1" si="102"/>
        <v>0</v>
      </c>
      <c r="VN7" s="34">
        <f t="shared" ca="1" si="102"/>
        <v>0</v>
      </c>
      <c r="VO7" s="34">
        <f t="shared" ref="VO7:VX18" ca="1" si="103">IF(VO$6&lt;=$I7,IF(OR(MONTH(VO$6)=$AF7,MONTH(VO$6)=$AG7),$AE7,0),0)</f>
        <v>0</v>
      </c>
      <c r="VP7" s="34">
        <f t="shared" ca="1" si="103"/>
        <v>0</v>
      </c>
      <c r="VQ7" s="34">
        <f t="shared" ca="1" si="103"/>
        <v>0</v>
      </c>
      <c r="VR7" s="34">
        <f t="shared" ca="1" si="103"/>
        <v>0</v>
      </c>
      <c r="VS7" s="34">
        <f t="shared" ca="1" si="103"/>
        <v>0</v>
      </c>
      <c r="VT7" s="34">
        <f t="shared" ca="1" si="103"/>
        <v>0</v>
      </c>
      <c r="VU7" s="34">
        <f t="shared" ca="1" si="103"/>
        <v>0</v>
      </c>
      <c r="VV7" s="34">
        <f t="shared" ca="1" si="103"/>
        <v>0</v>
      </c>
      <c r="VW7" s="34">
        <f t="shared" ca="1" si="103"/>
        <v>0</v>
      </c>
      <c r="VX7" s="34">
        <f t="shared" ca="1" si="103"/>
        <v>0</v>
      </c>
      <c r="VY7" s="34">
        <f t="shared" ref="VY7:WH18" ca="1" si="104">IF(VY$6&lt;=$I7,IF(OR(MONTH(VY$6)=$AF7,MONTH(VY$6)=$AG7),$AE7,0),0)</f>
        <v>0</v>
      </c>
      <c r="VZ7" s="34">
        <f t="shared" ca="1" si="104"/>
        <v>0</v>
      </c>
      <c r="WA7" s="34">
        <f t="shared" ca="1" si="104"/>
        <v>0</v>
      </c>
      <c r="WB7" s="34">
        <f t="shared" ca="1" si="104"/>
        <v>0</v>
      </c>
      <c r="WC7" s="34">
        <f t="shared" ca="1" si="104"/>
        <v>0</v>
      </c>
      <c r="WD7" s="34">
        <f t="shared" ca="1" si="104"/>
        <v>0</v>
      </c>
      <c r="WE7" s="34">
        <f t="shared" ca="1" si="104"/>
        <v>0</v>
      </c>
      <c r="WF7" s="34">
        <f t="shared" ca="1" si="104"/>
        <v>0</v>
      </c>
      <c r="WG7" s="34">
        <f t="shared" ca="1" si="104"/>
        <v>0</v>
      </c>
      <c r="WH7" s="34">
        <f t="shared" ca="1" si="104"/>
        <v>0</v>
      </c>
      <c r="WI7" s="34">
        <f t="shared" ref="WI7:WR18" ca="1" si="105">IF(WI$6&lt;=$I7,IF(OR(MONTH(WI$6)=$AF7,MONTH(WI$6)=$AG7),$AE7,0),0)</f>
        <v>0</v>
      </c>
      <c r="WJ7" s="34">
        <f t="shared" ca="1" si="105"/>
        <v>0</v>
      </c>
      <c r="WK7" s="34">
        <f t="shared" ca="1" si="105"/>
        <v>0</v>
      </c>
      <c r="WL7" s="34">
        <f t="shared" ca="1" si="105"/>
        <v>0</v>
      </c>
      <c r="WM7" s="34">
        <f t="shared" ca="1" si="105"/>
        <v>0</v>
      </c>
      <c r="WN7" s="34">
        <f t="shared" ca="1" si="105"/>
        <v>0</v>
      </c>
      <c r="WO7" s="34">
        <f t="shared" ca="1" si="105"/>
        <v>0</v>
      </c>
      <c r="WP7" s="34">
        <f t="shared" ca="1" si="105"/>
        <v>0</v>
      </c>
      <c r="WQ7" s="34">
        <f t="shared" ca="1" si="105"/>
        <v>0</v>
      </c>
      <c r="WR7" s="34">
        <f t="shared" ca="1" si="105"/>
        <v>0</v>
      </c>
      <c r="WS7" s="34">
        <f t="shared" ref="WS7:XB18" ca="1" si="106">IF(WS$6&lt;=$I7,IF(OR(MONTH(WS$6)=$AF7,MONTH(WS$6)=$AG7),$AE7,0),0)</f>
        <v>0</v>
      </c>
      <c r="WT7" s="34">
        <f t="shared" ca="1" si="106"/>
        <v>0</v>
      </c>
      <c r="WU7" s="34">
        <f t="shared" ca="1" si="106"/>
        <v>0</v>
      </c>
      <c r="WV7" s="34">
        <f t="shared" ca="1" si="106"/>
        <v>0</v>
      </c>
      <c r="WW7" s="34">
        <f t="shared" ca="1" si="106"/>
        <v>0</v>
      </c>
      <c r="WX7" s="34">
        <f t="shared" ca="1" si="106"/>
        <v>0</v>
      </c>
      <c r="WY7" s="34">
        <f t="shared" ca="1" si="106"/>
        <v>0</v>
      </c>
      <c r="WZ7" s="34">
        <f t="shared" ca="1" si="106"/>
        <v>0</v>
      </c>
      <c r="XA7" s="34">
        <f t="shared" ca="1" si="106"/>
        <v>0</v>
      </c>
      <c r="XB7" s="34">
        <f t="shared" ca="1" si="106"/>
        <v>0</v>
      </c>
      <c r="XC7" s="34">
        <f t="shared" ref="XC7:XL18" ca="1" si="107">IF(XC$6&lt;=$I7,IF(OR(MONTH(XC$6)=$AF7,MONTH(XC$6)=$AG7),$AE7,0),0)</f>
        <v>0</v>
      </c>
      <c r="XD7" s="34">
        <f t="shared" ca="1" si="107"/>
        <v>0</v>
      </c>
      <c r="XE7" s="34">
        <f t="shared" ca="1" si="107"/>
        <v>0</v>
      </c>
      <c r="XF7" s="34">
        <f t="shared" ca="1" si="107"/>
        <v>0</v>
      </c>
      <c r="XG7" s="34">
        <f t="shared" ca="1" si="107"/>
        <v>0</v>
      </c>
      <c r="XH7" s="34">
        <f t="shared" ca="1" si="107"/>
        <v>0</v>
      </c>
      <c r="XI7" s="34">
        <f t="shared" ca="1" si="107"/>
        <v>0</v>
      </c>
      <c r="XJ7" s="34">
        <f t="shared" ca="1" si="107"/>
        <v>0</v>
      </c>
      <c r="XK7" s="34">
        <f t="shared" ca="1" si="107"/>
        <v>0</v>
      </c>
      <c r="XL7" s="34">
        <f t="shared" ca="1" si="107"/>
        <v>0</v>
      </c>
      <c r="XM7" s="34">
        <f t="shared" ref="XM7:XV18" ca="1" si="108">IF(XM$6&lt;=$I7,IF(OR(MONTH(XM$6)=$AF7,MONTH(XM$6)=$AG7),$AE7,0),0)</f>
        <v>0</v>
      </c>
      <c r="XN7" s="34">
        <f t="shared" ca="1" si="108"/>
        <v>0</v>
      </c>
      <c r="XO7" s="34">
        <f t="shared" ca="1" si="108"/>
        <v>0</v>
      </c>
      <c r="XP7" s="34">
        <f t="shared" ca="1" si="108"/>
        <v>0</v>
      </c>
      <c r="XQ7" s="34">
        <f t="shared" ca="1" si="108"/>
        <v>0</v>
      </c>
      <c r="XR7" s="34">
        <f t="shared" ca="1" si="108"/>
        <v>0</v>
      </c>
      <c r="XS7" s="34">
        <f t="shared" ca="1" si="108"/>
        <v>0</v>
      </c>
      <c r="XT7" s="34">
        <f t="shared" ca="1" si="108"/>
        <v>0</v>
      </c>
      <c r="XU7" s="34">
        <f t="shared" ca="1" si="108"/>
        <v>0</v>
      </c>
      <c r="XV7" s="34">
        <f t="shared" ca="1" si="108"/>
        <v>0</v>
      </c>
      <c r="XW7" s="34">
        <f t="shared" ref="XW7:YF18" ca="1" si="109">IF(XW$6&lt;=$I7,IF(OR(MONTH(XW$6)=$AF7,MONTH(XW$6)=$AG7),$AE7,0),0)</f>
        <v>0</v>
      </c>
      <c r="XX7" s="34">
        <f t="shared" ca="1" si="109"/>
        <v>0</v>
      </c>
      <c r="XY7" s="34">
        <f t="shared" ca="1" si="109"/>
        <v>0</v>
      </c>
      <c r="XZ7" s="34">
        <f t="shared" ca="1" si="109"/>
        <v>0</v>
      </c>
      <c r="YA7" s="34">
        <f t="shared" ca="1" si="109"/>
        <v>0</v>
      </c>
      <c r="YB7" s="34">
        <f t="shared" ca="1" si="109"/>
        <v>0</v>
      </c>
      <c r="YC7" s="34">
        <f t="shared" ca="1" si="109"/>
        <v>0</v>
      </c>
      <c r="YD7" s="34">
        <f t="shared" ca="1" si="109"/>
        <v>0</v>
      </c>
      <c r="YE7" s="34">
        <f t="shared" ca="1" si="109"/>
        <v>0</v>
      </c>
      <c r="YF7" s="34">
        <f t="shared" ca="1" si="109"/>
        <v>0</v>
      </c>
      <c r="YG7" s="34">
        <f t="shared" ref="YG7:YP18" ca="1" si="110">IF(YG$6&lt;=$I7,IF(OR(MONTH(YG$6)=$AF7,MONTH(YG$6)=$AG7),$AE7,0),0)</f>
        <v>0</v>
      </c>
      <c r="YH7" s="34">
        <f t="shared" ca="1" si="110"/>
        <v>0</v>
      </c>
      <c r="YI7" s="34">
        <f t="shared" ca="1" si="110"/>
        <v>0</v>
      </c>
      <c r="YJ7" s="34">
        <f t="shared" ca="1" si="110"/>
        <v>0</v>
      </c>
      <c r="YK7" s="34">
        <f t="shared" ca="1" si="110"/>
        <v>0</v>
      </c>
      <c r="YL7" s="34">
        <f t="shared" ca="1" si="110"/>
        <v>0</v>
      </c>
      <c r="YM7" s="34">
        <f t="shared" ca="1" si="110"/>
        <v>0</v>
      </c>
      <c r="YN7" s="34">
        <f t="shared" ca="1" si="110"/>
        <v>0</v>
      </c>
      <c r="YO7" s="34">
        <f t="shared" ca="1" si="110"/>
        <v>0</v>
      </c>
      <c r="YP7" s="34">
        <f t="shared" ca="1" si="110"/>
        <v>0</v>
      </c>
      <c r="YQ7" s="34">
        <f t="shared" ref="YQ7:YZ18" ca="1" si="111">IF(YQ$6&lt;=$I7,IF(OR(MONTH(YQ$6)=$AF7,MONTH(YQ$6)=$AG7),$AE7,0),0)</f>
        <v>0</v>
      </c>
      <c r="YR7" s="34">
        <f t="shared" ca="1" si="111"/>
        <v>0</v>
      </c>
      <c r="YS7" s="34">
        <f t="shared" ca="1" si="111"/>
        <v>0</v>
      </c>
      <c r="YT7" s="34">
        <f t="shared" ca="1" si="111"/>
        <v>0</v>
      </c>
      <c r="YU7" s="34">
        <f t="shared" ca="1" si="111"/>
        <v>0</v>
      </c>
      <c r="YV7" s="34">
        <f t="shared" ca="1" si="111"/>
        <v>0</v>
      </c>
      <c r="YW7" s="34">
        <f t="shared" ca="1" si="111"/>
        <v>0</v>
      </c>
      <c r="YX7" s="34">
        <f t="shared" ca="1" si="111"/>
        <v>0</v>
      </c>
      <c r="YY7" s="34">
        <f t="shared" ca="1" si="111"/>
        <v>0</v>
      </c>
      <c r="YZ7" s="34">
        <f t="shared" ca="1" si="111"/>
        <v>0</v>
      </c>
      <c r="ZA7" s="34">
        <f t="shared" ref="ZA7:ZJ18" ca="1" si="112">IF(ZA$6&lt;=$I7,IF(OR(MONTH(ZA$6)=$AF7,MONTH(ZA$6)=$AG7),$AE7,0),0)</f>
        <v>0</v>
      </c>
      <c r="ZB7" s="34">
        <f t="shared" ca="1" si="112"/>
        <v>0</v>
      </c>
      <c r="ZC7" s="34">
        <f t="shared" ca="1" si="112"/>
        <v>0</v>
      </c>
      <c r="ZD7" s="34">
        <f t="shared" ca="1" si="112"/>
        <v>0</v>
      </c>
      <c r="ZE7" s="34">
        <f t="shared" ca="1" si="112"/>
        <v>0</v>
      </c>
      <c r="ZF7" s="34">
        <f t="shared" ca="1" si="112"/>
        <v>0</v>
      </c>
      <c r="ZG7" s="34">
        <f t="shared" ca="1" si="112"/>
        <v>0</v>
      </c>
      <c r="ZH7" s="34">
        <f t="shared" ca="1" si="112"/>
        <v>0</v>
      </c>
      <c r="ZI7" s="34">
        <f t="shared" ca="1" si="112"/>
        <v>0</v>
      </c>
      <c r="ZJ7" s="34">
        <f t="shared" ca="1" si="112"/>
        <v>0</v>
      </c>
      <c r="ZK7" s="34">
        <f t="shared" ref="ZK7:ZT18" ca="1" si="113">IF(ZK$6&lt;=$I7,IF(OR(MONTH(ZK$6)=$AF7,MONTH(ZK$6)=$AG7),$AE7,0),0)</f>
        <v>0</v>
      </c>
      <c r="ZL7" s="34">
        <f t="shared" ca="1" si="113"/>
        <v>0</v>
      </c>
      <c r="ZM7" s="34">
        <f t="shared" ca="1" si="113"/>
        <v>0</v>
      </c>
      <c r="ZN7" s="34">
        <f t="shared" ca="1" si="113"/>
        <v>0</v>
      </c>
      <c r="ZO7" s="34">
        <f t="shared" ca="1" si="113"/>
        <v>0</v>
      </c>
      <c r="ZP7" s="34">
        <f t="shared" ca="1" si="113"/>
        <v>0</v>
      </c>
      <c r="ZQ7" s="34">
        <f t="shared" ca="1" si="113"/>
        <v>0</v>
      </c>
      <c r="ZR7" s="34">
        <f t="shared" ca="1" si="113"/>
        <v>0</v>
      </c>
      <c r="ZS7" s="34">
        <f t="shared" ca="1" si="113"/>
        <v>0</v>
      </c>
      <c r="ZT7" s="34">
        <f t="shared" ca="1" si="113"/>
        <v>0</v>
      </c>
      <c r="ZU7" s="34">
        <f t="shared" ref="ZU7:AAD18" ca="1" si="114">IF(ZU$6&lt;=$I7,IF(OR(MONTH(ZU$6)=$AF7,MONTH(ZU$6)=$AG7),$AE7,0),0)</f>
        <v>0</v>
      </c>
      <c r="ZV7" s="34">
        <f t="shared" ca="1" si="114"/>
        <v>0</v>
      </c>
      <c r="ZW7" s="34">
        <f t="shared" ca="1" si="114"/>
        <v>0</v>
      </c>
      <c r="ZX7" s="34">
        <f t="shared" ca="1" si="114"/>
        <v>0</v>
      </c>
      <c r="ZY7" s="34">
        <f t="shared" ca="1" si="114"/>
        <v>0</v>
      </c>
      <c r="ZZ7" s="34">
        <f t="shared" ca="1" si="114"/>
        <v>0</v>
      </c>
      <c r="AAA7" s="34">
        <f t="shared" ca="1" si="114"/>
        <v>0</v>
      </c>
      <c r="AAB7" s="34">
        <f t="shared" ca="1" si="114"/>
        <v>0</v>
      </c>
      <c r="AAC7" s="34">
        <f t="shared" ca="1" si="114"/>
        <v>0</v>
      </c>
      <c r="AAD7" s="34">
        <f t="shared" ca="1" si="114"/>
        <v>0</v>
      </c>
      <c r="AAE7" s="34">
        <f t="shared" ref="AAE7:AAN18" ca="1" si="115">IF(AAE$6&lt;=$I7,IF(OR(MONTH(AAE$6)=$AF7,MONTH(AAE$6)=$AG7),$AE7,0),0)</f>
        <v>0</v>
      </c>
      <c r="AAF7" s="34">
        <f t="shared" ca="1" si="115"/>
        <v>0</v>
      </c>
      <c r="AAG7" s="34">
        <f t="shared" ca="1" si="115"/>
        <v>0</v>
      </c>
      <c r="AAH7" s="34">
        <f t="shared" ca="1" si="115"/>
        <v>0</v>
      </c>
      <c r="AAI7" s="34">
        <f t="shared" ca="1" si="115"/>
        <v>0</v>
      </c>
      <c r="AAJ7" s="34">
        <f t="shared" ca="1" si="115"/>
        <v>0</v>
      </c>
      <c r="AAK7" s="34">
        <f t="shared" ca="1" si="115"/>
        <v>0</v>
      </c>
      <c r="AAL7" s="34">
        <f t="shared" ca="1" si="115"/>
        <v>0</v>
      </c>
      <c r="AAM7" s="34">
        <f t="shared" ca="1" si="115"/>
        <v>0</v>
      </c>
      <c r="AAN7" s="34">
        <f t="shared" ca="1" si="115"/>
        <v>0</v>
      </c>
      <c r="AAO7" s="34">
        <f t="shared" ref="AAO7:AAX18" ca="1" si="116">IF(AAO$6&lt;=$I7,IF(OR(MONTH(AAO$6)=$AF7,MONTH(AAO$6)=$AG7),$AE7,0),0)</f>
        <v>0</v>
      </c>
      <c r="AAP7" s="34">
        <f t="shared" ca="1" si="116"/>
        <v>0</v>
      </c>
      <c r="AAQ7" s="34">
        <f t="shared" ca="1" si="116"/>
        <v>0</v>
      </c>
      <c r="AAR7" s="34">
        <f t="shared" ca="1" si="116"/>
        <v>0</v>
      </c>
      <c r="AAS7" s="34">
        <f t="shared" ca="1" si="116"/>
        <v>0</v>
      </c>
      <c r="AAT7" s="34">
        <f t="shared" ca="1" si="116"/>
        <v>0</v>
      </c>
      <c r="AAU7" s="34">
        <f t="shared" ca="1" si="116"/>
        <v>0</v>
      </c>
      <c r="AAV7" s="34">
        <f t="shared" ca="1" si="116"/>
        <v>0</v>
      </c>
      <c r="AAW7" s="34">
        <f t="shared" ca="1" si="116"/>
        <v>0</v>
      </c>
      <c r="AAX7" s="34">
        <f t="shared" ca="1" si="116"/>
        <v>0</v>
      </c>
      <c r="AAY7" s="34">
        <f t="shared" ref="AAY7:ABH18" ca="1" si="117">IF(AAY$6&lt;=$I7,IF(OR(MONTH(AAY$6)=$AF7,MONTH(AAY$6)=$AG7),$AE7,0),0)</f>
        <v>0</v>
      </c>
      <c r="AAZ7" s="34">
        <f t="shared" ca="1" si="117"/>
        <v>0</v>
      </c>
      <c r="ABA7" s="34">
        <f t="shared" ca="1" si="117"/>
        <v>0</v>
      </c>
      <c r="ABB7" s="34">
        <f t="shared" ca="1" si="117"/>
        <v>0</v>
      </c>
      <c r="ABC7" s="34">
        <f t="shared" ca="1" si="117"/>
        <v>0</v>
      </c>
      <c r="ABD7" s="34">
        <f t="shared" ca="1" si="117"/>
        <v>0</v>
      </c>
      <c r="ABE7" s="34">
        <f t="shared" ca="1" si="117"/>
        <v>0</v>
      </c>
      <c r="ABF7" s="34">
        <f t="shared" ca="1" si="117"/>
        <v>0</v>
      </c>
      <c r="ABG7" s="34">
        <f t="shared" ca="1" si="117"/>
        <v>0</v>
      </c>
      <c r="ABH7" s="34">
        <f t="shared" ca="1" si="117"/>
        <v>0</v>
      </c>
      <c r="ABI7" s="34">
        <f t="shared" ref="ABI7:ABR18" ca="1" si="118">IF(ABI$6&lt;=$I7,IF(OR(MONTH(ABI$6)=$AF7,MONTH(ABI$6)=$AG7),$AE7,0),0)</f>
        <v>0</v>
      </c>
      <c r="ABJ7" s="34">
        <f t="shared" ca="1" si="118"/>
        <v>0</v>
      </c>
      <c r="ABK7" s="34">
        <f t="shared" ca="1" si="118"/>
        <v>0</v>
      </c>
      <c r="ABL7" s="34">
        <f t="shared" ca="1" si="118"/>
        <v>0</v>
      </c>
      <c r="ABM7" s="34">
        <f t="shared" ca="1" si="118"/>
        <v>0</v>
      </c>
      <c r="ABN7" s="34">
        <f t="shared" ca="1" si="118"/>
        <v>0</v>
      </c>
      <c r="ABO7" s="34">
        <f t="shared" ca="1" si="118"/>
        <v>0</v>
      </c>
      <c r="ABP7" s="34">
        <f t="shared" ca="1" si="118"/>
        <v>0</v>
      </c>
      <c r="ABQ7" s="34">
        <f t="shared" ca="1" si="118"/>
        <v>0</v>
      </c>
      <c r="ABR7" s="34">
        <f t="shared" ca="1" si="118"/>
        <v>0</v>
      </c>
      <c r="ABS7" s="34">
        <f t="shared" ref="ABS7:ACB18" ca="1" si="119">IF(ABS$6&lt;=$I7,IF(OR(MONTH(ABS$6)=$AF7,MONTH(ABS$6)=$AG7),$AE7,0),0)</f>
        <v>0</v>
      </c>
      <c r="ABT7" s="34">
        <f t="shared" ca="1" si="119"/>
        <v>0</v>
      </c>
      <c r="ABU7" s="34">
        <f t="shared" ca="1" si="119"/>
        <v>0</v>
      </c>
      <c r="ABV7" s="34">
        <f t="shared" ca="1" si="119"/>
        <v>0</v>
      </c>
      <c r="ABW7" s="34">
        <f t="shared" ca="1" si="119"/>
        <v>0</v>
      </c>
      <c r="ABX7" s="34">
        <f t="shared" ca="1" si="119"/>
        <v>0</v>
      </c>
      <c r="ABY7" s="34">
        <f t="shared" ca="1" si="119"/>
        <v>0</v>
      </c>
      <c r="ABZ7" s="34">
        <f t="shared" ca="1" si="119"/>
        <v>0</v>
      </c>
      <c r="ACA7" s="34">
        <f t="shared" ca="1" si="119"/>
        <v>0</v>
      </c>
      <c r="ACB7" s="34">
        <f t="shared" ca="1" si="119"/>
        <v>0</v>
      </c>
      <c r="ACC7" s="34">
        <f t="shared" ref="ACC7:ACL18" ca="1" si="120">IF(ACC$6&lt;=$I7,IF(OR(MONTH(ACC$6)=$AF7,MONTH(ACC$6)=$AG7),$AE7,0),0)</f>
        <v>0</v>
      </c>
      <c r="ACD7" s="34">
        <f t="shared" ca="1" si="120"/>
        <v>0</v>
      </c>
      <c r="ACE7" s="34">
        <f t="shared" ca="1" si="120"/>
        <v>0</v>
      </c>
      <c r="ACF7" s="34">
        <f t="shared" ca="1" si="120"/>
        <v>0</v>
      </c>
      <c r="ACG7" s="34">
        <f t="shared" ca="1" si="120"/>
        <v>0</v>
      </c>
      <c r="ACH7" s="34">
        <f t="shared" ca="1" si="120"/>
        <v>0</v>
      </c>
      <c r="ACI7" s="34">
        <f t="shared" ca="1" si="120"/>
        <v>0</v>
      </c>
      <c r="ACJ7" s="34">
        <f t="shared" ca="1" si="120"/>
        <v>0</v>
      </c>
      <c r="ACK7" s="34">
        <f t="shared" ca="1" si="120"/>
        <v>0</v>
      </c>
      <c r="ACL7" s="34">
        <f t="shared" ca="1" si="120"/>
        <v>0</v>
      </c>
      <c r="ACM7" s="34">
        <f t="shared" ref="ACM7:ACV18" ca="1" si="121">IF(ACM$6&lt;=$I7,IF(OR(MONTH(ACM$6)=$AF7,MONTH(ACM$6)=$AG7),$AE7,0),0)</f>
        <v>0</v>
      </c>
      <c r="ACN7" s="34">
        <f t="shared" ca="1" si="121"/>
        <v>0</v>
      </c>
      <c r="ACO7" s="34">
        <f t="shared" ca="1" si="121"/>
        <v>0</v>
      </c>
      <c r="ACP7" s="34">
        <f t="shared" ca="1" si="121"/>
        <v>0</v>
      </c>
      <c r="ACQ7" s="34">
        <f t="shared" ca="1" si="121"/>
        <v>0</v>
      </c>
      <c r="ACR7" s="34">
        <f t="shared" ca="1" si="121"/>
        <v>0</v>
      </c>
      <c r="ACS7" s="34">
        <f t="shared" ca="1" si="121"/>
        <v>0</v>
      </c>
      <c r="ACT7" s="34">
        <f t="shared" ca="1" si="121"/>
        <v>0</v>
      </c>
      <c r="ACU7" s="34">
        <f t="shared" ca="1" si="121"/>
        <v>0</v>
      </c>
      <c r="ACV7" s="34">
        <f t="shared" ca="1" si="121"/>
        <v>0</v>
      </c>
      <c r="ACW7" s="34">
        <f t="shared" ref="ACW7:ADF18" ca="1" si="122">IF(ACW$6&lt;=$I7,IF(OR(MONTH(ACW$6)=$AF7,MONTH(ACW$6)=$AG7),$AE7,0),0)</f>
        <v>0</v>
      </c>
      <c r="ACX7" s="34">
        <f t="shared" ca="1" si="122"/>
        <v>0</v>
      </c>
      <c r="ACY7" s="34">
        <f t="shared" ca="1" si="122"/>
        <v>0</v>
      </c>
      <c r="ACZ7" s="34">
        <f t="shared" ca="1" si="122"/>
        <v>0</v>
      </c>
      <c r="ADA7" s="34">
        <f t="shared" ca="1" si="122"/>
        <v>0</v>
      </c>
      <c r="ADB7" s="34">
        <f t="shared" ca="1" si="122"/>
        <v>0</v>
      </c>
      <c r="ADC7" s="34">
        <f t="shared" ca="1" si="122"/>
        <v>0</v>
      </c>
      <c r="ADD7" s="34">
        <f t="shared" ca="1" si="122"/>
        <v>0</v>
      </c>
      <c r="ADE7" s="34">
        <f t="shared" ca="1" si="122"/>
        <v>0</v>
      </c>
      <c r="ADF7" s="34">
        <f t="shared" ca="1" si="122"/>
        <v>0</v>
      </c>
      <c r="ADG7" s="34">
        <f t="shared" ref="ADG7:ADP18" ca="1" si="123">IF(ADG$6&lt;=$I7,IF(OR(MONTH(ADG$6)=$AF7,MONTH(ADG$6)=$AG7),$AE7,0),0)</f>
        <v>0</v>
      </c>
      <c r="ADH7" s="34">
        <f t="shared" ca="1" si="123"/>
        <v>0</v>
      </c>
      <c r="ADI7" s="34">
        <f t="shared" ca="1" si="123"/>
        <v>0</v>
      </c>
      <c r="ADJ7" s="34">
        <f t="shared" ca="1" si="123"/>
        <v>0</v>
      </c>
      <c r="ADK7" s="34">
        <f t="shared" ca="1" si="123"/>
        <v>0</v>
      </c>
      <c r="ADL7" s="34">
        <f t="shared" ca="1" si="123"/>
        <v>0</v>
      </c>
      <c r="ADM7" s="34">
        <f t="shared" ca="1" si="123"/>
        <v>0</v>
      </c>
      <c r="ADN7" s="34">
        <f t="shared" ca="1" si="123"/>
        <v>0</v>
      </c>
      <c r="ADO7" s="34">
        <f t="shared" ca="1" si="123"/>
        <v>0</v>
      </c>
      <c r="ADP7" s="34">
        <f t="shared" ca="1" si="123"/>
        <v>0</v>
      </c>
      <c r="ADQ7" s="34">
        <f t="shared" ref="ADQ7:ADZ18" ca="1" si="124">IF(ADQ$6&lt;=$I7,IF(OR(MONTH(ADQ$6)=$AF7,MONTH(ADQ$6)=$AG7),$AE7,0),0)</f>
        <v>0</v>
      </c>
      <c r="ADR7" s="34">
        <f t="shared" ca="1" si="124"/>
        <v>0</v>
      </c>
      <c r="ADS7" s="34">
        <f t="shared" ca="1" si="124"/>
        <v>0</v>
      </c>
      <c r="ADT7" s="34">
        <f t="shared" ca="1" si="124"/>
        <v>0</v>
      </c>
      <c r="ADU7" s="34">
        <f t="shared" ca="1" si="124"/>
        <v>0</v>
      </c>
      <c r="ADV7" s="34">
        <f t="shared" ca="1" si="124"/>
        <v>0</v>
      </c>
      <c r="ADW7" s="34">
        <f t="shared" ca="1" si="124"/>
        <v>0</v>
      </c>
      <c r="ADX7" s="34">
        <f t="shared" ca="1" si="124"/>
        <v>0</v>
      </c>
      <c r="ADY7" s="34">
        <f t="shared" ca="1" si="124"/>
        <v>0</v>
      </c>
      <c r="ADZ7" s="34">
        <f t="shared" ca="1" si="124"/>
        <v>0</v>
      </c>
      <c r="AEA7" s="34">
        <f t="shared" ref="AEA7:AEJ18" ca="1" si="125">IF(AEA$6&lt;=$I7,IF(OR(MONTH(AEA$6)=$AF7,MONTH(AEA$6)=$AG7),$AE7,0),0)</f>
        <v>0</v>
      </c>
      <c r="AEB7" s="34">
        <f t="shared" ca="1" si="125"/>
        <v>0</v>
      </c>
      <c r="AEC7" s="34">
        <f t="shared" ca="1" si="125"/>
        <v>0</v>
      </c>
      <c r="AED7" s="34">
        <f t="shared" ca="1" si="125"/>
        <v>0</v>
      </c>
      <c r="AEE7" s="34">
        <f t="shared" ca="1" si="125"/>
        <v>0</v>
      </c>
      <c r="AEF7" s="34">
        <f t="shared" ca="1" si="125"/>
        <v>0</v>
      </c>
      <c r="AEG7" s="34">
        <f t="shared" ca="1" si="125"/>
        <v>0</v>
      </c>
      <c r="AEH7" s="34">
        <f t="shared" ca="1" si="125"/>
        <v>0</v>
      </c>
      <c r="AEI7" s="34">
        <f t="shared" ca="1" si="125"/>
        <v>0</v>
      </c>
      <c r="AEJ7" s="34">
        <f t="shared" ca="1" si="125"/>
        <v>0</v>
      </c>
      <c r="AEK7" s="34">
        <f t="shared" ref="AEK7:AET18" ca="1" si="126">IF(AEK$6&lt;=$I7,IF(OR(MONTH(AEK$6)=$AF7,MONTH(AEK$6)=$AG7),$AE7,0),0)</f>
        <v>0</v>
      </c>
      <c r="AEL7" s="34">
        <f t="shared" ca="1" si="126"/>
        <v>0</v>
      </c>
      <c r="AEM7" s="34">
        <f t="shared" ca="1" si="126"/>
        <v>0</v>
      </c>
      <c r="AEN7" s="34">
        <f t="shared" ca="1" si="126"/>
        <v>0</v>
      </c>
      <c r="AEO7" s="34">
        <f t="shared" ca="1" si="126"/>
        <v>0</v>
      </c>
      <c r="AEP7" s="34">
        <f t="shared" ca="1" si="126"/>
        <v>0</v>
      </c>
      <c r="AEQ7" s="34">
        <f t="shared" ca="1" si="126"/>
        <v>0</v>
      </c>
      <c r="AER7" s="34">
        <f t="shared" ca="1" si="126"/>
        <v>0</v>
      </c>
      <c r="AES7" s="34">
        <f t="shared" ca="1" si="126"/>
        <v>0</v>
      </c>
      <c r="AET7" s="34">
        <f t="shared" ca="1" si="126"/>
        <v>0</v>
      </c>
      <c r="AEU7" s="34">
        <f t="shared" ref="AEU7:AFD18" ca="1" si="127">IF(AEU$6&lt;=$I7,IF(OR(MONTH(AEU$6)=$AF7,MONTH(AEU$6)=$AG7),$AE7,0),0)</f>
        <v>0</v>
      </c>
      <c r="AEV7" s="34">
        <f t="shared" ca="1" si="127"/>
        <v>0</v>
      </c>
      <c r="AEW7" s="34">
        <f t="shared" ca="1" si="127"/>
        <v>0</v>
      </c>
      <c r="AEX7" s="34">
        <f t="shared" ca="1" si="127"/>
        <v>0</v>
      </c>
      <c r="AEY7" s="34">
        <f t="shared" ca="1" si="127"/>
        <v>0</v>
      </c>
      <c r="AEZ7" s="34">
        <f t="shared" ca="1" si="127"/>
        <v>0</v>
      </c>
      <c r="AFA7" s="34">
        <f t="shared" ca="1" si="127"/>
        <v>0</v>
      </c>
      <c r="AFB7" s="34">
        <f t="shared" ca="1" si="127"/>
        <v>0</v>
      </c>
      <c r="AFC7" s="34">
        <f t="shared" ca="1" si="127"/>
        <v>0</v>
      </c>
      <c r="AFD7" s="34">
        <f t="shared" ca="1" si="127"/>
        <v>0</v>
      </c>
      <c r="AFE7" s="34">
        <f t="shared" ref="AFE7:AFN18" ca="1" si="128">IF(AFE$6&lt;=$I7,IF(OR(MONTH(AFE$6)=$AF7,MONTH(AFE$6)=$AG7),$AE7,0),0)</f>
        <v>0</v>
      </c>
      <c r="AFF7" s="34">
        <f t="shared" ca="1" si="128"/>
        <v>0</v>
      </c>
      <c r="AFG7" s="34">
        <f t="shared" ca="1" si="128"/>
        <v>0</v>
      </c>
      <c r="AFH7" s="34">
        <f t="shared" ca="1" si="128"/>
        <v>0</v>
      </c>
      <c r="AFI7" s="34">
        <f t="shared" ca="1" si="128"/>
        <v>0</v>
      </c>
      <c r="AFJ7" s="34">
        <f t="shared" ca="1" si="128"/>
        <v>0</v>
      </c>
      <c r="AFK7" s="34">
        <f t="shared" ca="1" si="128"/>
        <v>0</v>
      </c>
      <c r="AFL7" s="34">
        <f t="shared" ca="1" si="128"/>
        <v>0</v>
      </c>
      <c r="AFM7" s="34">
        <f t="shared" ca="1" si="128"/>
        <v>0</v>
      </c>
      <c r="AFN7" s="34">
        <f t="shared" ca="1" si="128"/>
        <v>0</v>
      </c>
      <c r="AFO7" s="34">
        <f t="shared" ref="AFO7:AFX18" ca="1" si="129">IF(AFO$6&lt;=$I7,IF(OR(MONTH(AFO$6)=$AF7,MONTH(AFO$6)=$AG7),$AE7,0),0)</f>
        <v>0</v>
      </c>
      <c r="AFP7" s="34">
        <f t="shared" ca="1" si="129"/>
        <v>0</v>
      </c>
      <c r="AFQ7" s="34">
        <f t="shared" ca="1" si="129"/>
        <v>0</v>
      </c>
      <c r="AFR7" s="34">
        <f t="shared" ca="1" si="129"/>
        <v>0</v>
      </c>
      <c r="AFS7" s="34">
        <f t="shared" ca="1" si="129"/>
        <v>0</v>
      </c>
      <c r="AFT7" s="34">
        <f t="shared" ca="1" si="129"/>
        <v>0</v>
      </c>
      <c r="AFU7" s="34">
        <f t="shared" ca="1" si="129"/>
        <v>0</v>
      </c>
      <c r="AFV7" s="34">
        <f t="shared" ca="1" si="129"/>
        <v>0</v>
      </c>
      <c r="AFW7" s="34">
        <f t="shared" ca="1" si="129"/>
        <v>0</v>
      </c>
      <c r="AFX7" s="34">
        <f t="shared" ca="1" si="129"/>
        <v>0</v>
      </c>
      <c r="AFY7" s="34">
        <f t="shared" ref="AFY7:AGH18" ca="1" si="130">IF(AFY$6&lt;=$I7,IF(OR(MONTH(AFY$6)=$AF7,MONTH(AFY$6)=$AG7),$AE7,0),0)</f>
        <v>0</v>
      </c>
      <c r="AFZ7" s="34">
        <f t="shared" ca="1" si="130"/>
        <v>0</v>
      </c>
      <c r="AGA7" s="34">
        <f t="shared" ca="1" si="130"/>
        <v>0</v>
      </c>
      <c r="AGB7" s="34">
        <f t="shared" ca="1" si="130"/>
        <v>0</v>
      </c>
      <c r="AGC7" s="34">
        <f t="shared" ca="1" si="130"/>
        <v>0</v>
      </c>
      <c r="AGD7" s="34">
        <f t="shared" ca="1" si="130"/>
        <v>0</v>
      </c>
      <c r="AGE7" s="34">
        <f t="shared" ca="1" si="130"/>
        <v>0</v>
      </c>
      <c r="AGF7" s="34">
        <f t="shared" ca="1" si="130"/>
        <v>0</v>
      </c>
      <c r="AGG7" s="34">
        <f t="shared" ca="1" si="130"/>
        <v>0</v>
      </c>
      <c r="AGH7" s="34">
        <f t="shared" ca="1" si="130"/>
        <v>0</v>
      </c>
      <c r="AGI7" s="34">
        <f t="shared" ref="AGI7:AGR18" ca="1" si="131">IF(AGI$6&lt;=$I7,IF(OR(MONTH(AGI$6)=$AF7,MONTH(AGI$6)=$AG7),$AE7,0),0)</f>
        <v>0</v>
      </c>
      <c r="AGJ7" s="34">
        <f t="shared" ca="1" si="131"/>
        <v>0</v>
      </c>
      <c r="AGK7" s="34">
        <f t="shared" ca="1" si="131"/>
        <v>0</v>
      </c>
      <c r="AGL7" s="34">
        <f t="shared" ca="1" si="131"/>
        <v>0</v>
      </c>
      <c r="AGM7" s="34">
        <f t="shared" ca="1" si="131"/>
        <v>0</v>
      </c>
      <c r="AGN7" s="34">
        <f t="shared" ca="1" si="131"/>
        <v>0</v>
      </c>
      <c r="AGO7" s="34">
        <f t="shared" ca="1" si="131"/>
        <v>0</v>
      </c>
      <c r="AGP7" s="34">
        <f t="shared" ca="1" si="131"/>
        <v>0</v>
      </c>
      <c r="AGQ7" s="34">
        <f t="shared" ca="1" si="131"/>
        <v>0</v>
      </c>
      <c r="AGR7" s="34">
        <f t="shared" ca="1" si="131"/>
        <v>0</v>
      </c>
      <c r="AGS7" s="34">
        <f t="shared" ref="AGS7:AHB18" ca="1" si="132">IF(AGS$6&lt;=$I7,IF(OR(MONTH(AGS$6)=$AF7,MONTH(AGS$6)=$AG7),$AE7,0),0)</f>
        <v>0</v>
      </c>
      <c r="AGT7" s="34">
        <f t="shared" ca="1" si="132"/>
        <v>0</v>
      </c>
      <c r="AGU7" s="34">
        <f t="shared" ca="1" si="132"/>
        <v>0</v>
      </c>
      <c r="AGV7" s="34">
        <f t="shared" ca="1" si="132"/>
        <v>0</v>
      </c>
      <c r="AGW7" s="34">
        <f t="shared" ca="1" si="132"/>
        <v>0</v>
      </c>
      <c r="AGX7" s="34">
        <f t="shared" ca="1" si="132"/>
        <v>0</v>
      </c>
      <c r="AGY7" s="34">
        <f t="shared" ca="1" si="132"/>
        <v>0</v>
      </c>
      <c r="AGZ7" s="34">
        <f t="shared" ca="1" si="132"/>
        <v>0</v>
      </c>
      <c r="AHA7" s="34">
        <f t="shared" ca="1" si="132"/>
        <v>0</v>
      </c>
      <c r="AHB7" s="34">
        <f t="shared" ca="1" si="132"/>
        <v>0</v>
      </c>
      <c r="AHC7" s="34">
        <f t="shared" ref="AHC7:AHL18" ca="1" si="133">IF(AHC$6&lt;=$I7,IF(OR(MONTH(AHC$6)=$AF7,MONTH(AHC$6)=$AG7),$AE7,0),0)</f>
        <v>0</v>
      </c>
      <c r="AHD7" s="34">
        <f t="shared" ca="1" si="133"/>
        <v>0</v>
      </c>
      <c r="AHE7" s="34">
        <f t="shared" ca="1" si="133"/>
        <v>0</v>
      </c>
      <c r="AHF7" s="34">
        <f t="shared" ca="1" si="133"/>
        <v>0</v>
      </c>
      <c r="AHG7" s="34">
        <f t="shared" ca="1" si="133"/>
        <v>0</v>
      </c>
      <c r="AHH7" s="34">
        <f t="shared" ca="1" si="133"/>
        <v>0</v>
      </c>
      <c r="AHI7" s="34">
        <f t="shared" ca="1" si="133"/>
        <v>0</v>
      </c>
      <c r="AHJ7" s="34">
        <f t="shared" ca="1" si="133"/>
        <v>0</v>
      </c>
      <c r="AHK7" s="34">
        <f t="shared" ca="1" si="133"/>
        <v>0</v>
      </c>
      <c r="AHL7" s="34">
        <f t="shared" ca="1" si="133"/>
        <v>0</v>
      </c>
      <c r="AHM7" s="34">
        <f t="shared" ref="AHM7:AHV18" ca="1" si="134">IF(AHM$6&lt;=$I7,IF(OR(MONTH(AHM$6)=$AF7,MONTH(AHM$6)=$AG7),$AE7,0),0)</f>
        <v>0</v>
      </c>
      <c r="AHN7" s="34">
        <f t="shared" ca="1" si="134"/>
        <v>0</v>
      </c>
      <c r="AHO7" s="34">
        <f t="shared" ca="1" si="134"/>
        <v>0</v>
      </c>
      <c r="AHP7" s="34">
        <f t="shared" ca="1" si="134"/>
        <v>0</v>
      </c>
      <c r="AHQ7" s="34">
        <f t="shared" ca="1" si="134"/>
        <v>0</v>
      </c>
      <c r="AHR7" s="34">
        <f t="shared" ca="1" si="134"/>
        <v>0</v>
      </c>
      <c r="AHS7" s="34">
        <f t="shared" ca="1" si="134"/>
        <v>0</v>
      </c>
      <c r="AHT7" s="34">
        <f t="shared" ca="1" si="134"/>
        <v>0</v>
      </c>
      <c r="AHU7" s="34">
        <f t="shared" ca="1" si="134"/>
        <v>0</v>
      </c>
      <c r="AHV7" s="34">
        <f t="shared" ca="1" si="134"/>
        <v>0</v>
      </c>
      <c r="AHW7" s="34">
        <f t="shared" ref="AHW7:AIF18" ca="1" si="135">IF(AHW$6&lt;=$I7,IF(OR(MONTH(AHW$6)=$AF7,MONTH(AHW$6)=$AG7),$AE7,0),0)</f>
        <v>0</v>
      </c>
      <c r="AHX7" s="34">
        <f t="shared" ca="1" si="135"/>
        <v>0</v>
      </c>
      <c r="AHY7" s="34">
        <f t="shared" ca="1" si="135"/>
        <v>0</v>
      </c>
      <c r="AHZ7" s="34">
        <f t="shared" ca="1" si="135"/>
        <v>0</v>
      </c>
      <c r="AIA7" s="34">
        <f t="shared" ca="1" si="135"/>
        <v>0</v>
      </c>
      <c r="AIB7" s="34">
        <f t="shared" ca="1" si="135"/>
        <v>0</v>
      </c>
      <c r="AIC7" s="34">
        <f t="shared" ca="1" si="135"/>
        <v>0</v>
      </c>
      <c r="AID7" s="34">
        <f t="shared" ca="1" si="135"/>
        <v>0</v>
      </c>
      <c r="AIE7" s="34">
        <f t="shared" ca="1" si="135"/>
        <v>0</v>
      </c>
      <c r="AIF7" s="34">
        <f t="shared" ca="1" si="135"/>
        <v>0</v>
      </c>
      <c r="AIG7" s="34">
        <f t="shared" ref="AIG7:AIP18" ca="1" si="136">IF(AIG$6&lt;=$I7,IF(OR(MONTH(AIG$6)=$AF7,MONTH(AIG$6)=$AG7),$AE7,0),0)</f>
        <v>0</v>
      </c>
      <c r="AIH7" s="34">
        <f t="shared" ca="1" si="136"/>
        <v>0</v>
      </c>
      <c r="AII7" s="34">
        <f t="shared" ca="1" si="136"/>
        <v>0</v>
      </c>
      <c r="AIJ7" s="34">
        <f t="shared" ca="1" si="136"/>
        <v>0</v>
      </c>
      <c r="AIK7" s="34">
        <f t="shared" ca="1" si="136"/>
        <v>0</v>
      </c>
      <c r="AIL7" s="34">
        <f t="shared" ca="1" si="136"/>
        <v>0</v>
      </c>
      <c r="AIM7" s="34">
        <f t="shared" ca="1" si="136"/>
        <v>0</v>
      </c>
      <c r="AIN7" s="34">
        <f t="shared" ca="1" si="136"/>
        <v>0</v>
      </c>
      <c r="AIO7" s="34">
        <f t="shared" ca="1" si="136"/>
        <v>0</v>
      </c>
      <c r="AIP7" s="34">
        <f t="shared" ca="1" si="136"/>
        <v>0</v>
      </c>
      <c r="AIQ7" s="34">
        <f t="shared" ref="AIQ7:AIZ18" ca="1" si="137">IF(AIQ$6&lt;=$I7,IF(OR(MONTH(AIQ$6)=$AF7,MONTH(AIQ$6)=$AG7),$AE7,0),0)</f>
        <v>0</v>
      </c>
      <c r="AIR7" s="34">
        <f t="shared" ca="1" si="137"/>
        <v>0</v>
      </c>
      <c r="AIS7" s="34">
        <f t="shared" ca="1" si="137"/>
        <v>0</v>
      </c>
      <c r="AIT7" s="34">
        <f t="shared" ca="1" si="137"/>
        <v>0</v>
      </c>
      <c r="AIU7" s="34">
        <f t="shared" ca="1" si="137"/>
        <v>0</v>
      </c>
      <c r="AIV7" s="34">
        <f t="shared" ca="1" si="137"/>
        <v>0</v>
      </c>
      <c r="AIW7" s="34">
        <f t="shared" ca="1" si="137"/>
        <v>0</v>
      </c>
      <c r="AIX7" s="34">
        <f t="shared" ca="1" si="137"/>
        <v>0</v>
      </c>
      <c r="AIY7" s="34">
        <f t="shared" ca="1" si="137"/>
        <v>0</v>
      </c>
      <c r="AIZ7" s="34">
        <f t="shared" ca="1" si="137"/>
        <v>0</v>
      </c>
      <c r="AJA7" s="34">
        <f t="shared" ref="AJA7:AJJ18" ca="1" si="138">IF(AJA$6&lt;=$I7,IF(OR(MONTH(AJA$6)=$AF7,MONTH(AJA$6)=$AG7),$AE7,0),0)</f>
        <v>0</v>
      </c>
      <c r="AJB7" s="34">
        <f t="shared" ca="1" si="138"/>
        <v>0</v>
      </c>
      <c r="AJC7" s="34">
        <f t="shared" ca="1" si="138"/>
        <v>0</v>
      </c>
      <c r="AJD7" s="34">
        <f t="shared" ca="1" si="138"/>
        <v>0</v>
      </c>
      <c r="AJE7" s="34">
        <f t="shared" ca="1" si="138"/>
        <v>0</v>
      </c>
      <c r="AJF7" s="34">
        <f t="shared" ca="1" si="138"/>
        <v>0</v>
      </c>
      <c r="AJG7" s="34">
        <f t="shared" ca="1" si="138"/>
        <v>0</v>
      </c>
      <c r="AJH7" s="34">
        <f t="shared" ca="1" si="138"/>
        <v>0</v>
      </c>
      <c r="AJI7" s="34">
        <f t="shared" ca="1" si="138"/>
        <v>0</v>
      </c>
      <c r="AJJ7" s="34">
        <f t="shared" ca="1" si="138"/>
        <v>0</v>
      </c>
      <c r="AJK7" s="34">
        <f t="shared" ref="AJK7:AJT18" ca="1" si="139">IF(AJK$6&lt;=$I7,IF(OR(MONTH(AJK$6)=$AF7,MONTH(AJK$6)=$AG7),$AE7,0),0)</f>
        <v>0</v>
      </c>
      <c r="AJL7" s="34">
        <f t="shared" ca="1" si="139"/>
        <v>0</v>
      </c>
      <c r="AJM7" s="34">
        <f t="shared" ca="1" si="139"/>
        <v>0</v>
      </c>
      <c r="AJN7" s="34">
        <f t="shared" ca="1" si="139"/>
        <v>0</v>
      </c>
      <c r="AJO7" s="34">
        <f t="shared" ca="1" si="139"/>
        <v>0</v>
      </c>
      <c r="AJP7" s="34">
        <f t="shared" ca="1" si="139"/>
        <v>0</v>
      </c>
      <c r="AJQ7" s="34">
        <f t="shared" ca="1" si="139"/>
        <v>0</v>
      </c>
      <c r="AJR7" s="34">
        <f t="shared" ca="1" si="139"/>
        <v>0</v>
      </c>
      <c r="AJS7" s="34">
        <f t="shared" ca="1" si="139"/>
        <v>0</v>
      </c>
      <c r="AJT7" s="34">
        <f t="shared" ca="1" si="139"/>
        <v>0</v>
      </c>
      <c r="AJU7" s="34">
        <f t="shared" ref="AJU7:AKD18" ca="1" si="140">IF(AJU$6&lt;=$I7,IF(OR(MONTH(AJU$6)=$AF7,MONTH(AJU$6)=$AG7),$AE7,0),0)</f>
        <v>0</v>
      </c>
      <c r="AJV7" s="34">
        <f t="shared" ca="1" si="140"/>
        <v>0</v>
      </c>
      <c r="AJW7" s="34">
        <f t="shared" ca="1" si="140"/>
        <v>0</v>
      </c>
      <c r="AJX7" s="34">
        <f t="shared" ca="1" si="140"/>
        <v>0</v>
      </c>
      <c r="AJY7" s="34">
        <f t="shared" ca="1" si="140"/>
        <v>0</v>
      </c>
      <c r="AJZ7" s="34">
        <f t="shared" ca="1" si="140"/>
        <v>0</v>
      </c>
      <c r="AKA7" s="34">
        <f t="shared" ca="1" si="140"/>
        <v>0</v>
      </c>
      <c r="AKB7" s="34">
        <f t="shared" ca="1" si="140"/>
        <v>0</v>
      </c>
      <c r="AKC7" s="34">
        <f t="shared" ca="1" si="140"/>
        <v>0</v>
      </c>
      <c r="AKD7" s="34">
        <f t="shared" ca="1" si="140"/>
        <v>0</v>
      </c>
      <c r="AKE7" s="34">
        <f t="shared" ref="AKE7:AKS18" ca="1" si="141">IF(AKE$6&lt;=$I7,IF(OR(MONTH(AKE$6)=$AF7,MONTH(AKE$6)=$AG7),$AE7,0),0)</f>
        <v>0</v>
      </c>
      <c r="AKF7" s="34">
        <f t="shared" ca="1" si="141"/>
        <v>0</v>
      </c>
      <c r="AKG7" s="34">
        <f t="shared" ca="1" si="141"/>
        <v>0</v>
      </c>
      <c r="AKH7" s="34">
        <f t="shared" ca="1" si="141"/>
        <v>0</v>
      </c>
      <c r="AKI7" s="34">
        <f t="shared" ca="1" si="141"/>
        <v>0</v>
      </c>
      <c r="AKJ7" s="34">
        <f t="shared" ca="1" si="141"/>
        <v>0</v>
      </c>
      <c r="AKK7" s="34">
        <f t="shared" ca="1" si="141"/>
        <v>0</v>
      </c>
      <c r="AKL7" s="34">
        <f t="shared" ca="1" si="141"/>
        <v>0</v>
      </c>
      <c r="AKM7" s="34">
        <f t="shared" ca="1" si="141"/>
        <v>0</v>
      </c>
      <c r="AKN7" s="34">
        <f t="shared" ca="1" si="141"/>
        <v>0</v>
      </c>
      <c r="AKO7" s="34">
        <f t="shared" ca="1" si="141"/>
        <v>0</v>
      </c>
      <c r="AKP7" s="34">
        <f t="shared" ca="1" si="141"/>
        <v>0</v>
      </c>
      <c r="AKQ7" s="34">
        <f t="shared" ca="1" si="141"/>
        <v>0</v>
      </c>
      <c r="AKR7" s="34">
        <f t="shared" ca="1" si="141"/>
        <v>0</v>
      </c>
      <c r="AKS7" s="34">
        <f t="shared" ca="1" si="141"/>
        <v>0</v>
      </c>
      <c r="AKT7" s="34"/>
      <c r="AKU7" s="34"/>
      <c r="AKV7" s="34"/>
      <c r="AKW7" s="34"/>
      <c r="AKX7" s="34"/>
      <c r="AKY7" s="34"/>
      <c r="AKZ7" s="34"/>
      <c r="ALA7" s="34"/>
      <c r="ALB7" s="34"/>
      <c r="ALC7" s="34"/>
      <c r="ALD7" s="34"/>
      <c r="ALE7" s="34"/>
      <c r="ALF7" s="34"/>
      <c r="ALG7" s="33"/>
      <c r="ALH7" s="33"/>
      <c r="ALI7" s="33"/>
      <c r="ALJ7" s="33"/>
      <c r="ALK7" s="33"/>
      <c r="ALL7" s="33"/>
      <c r="ALM7" s="33"/>
      <c r="ALN7" s="33"/>
      <c r="ALO7" s="33"/>
      <c r="ALP7" s="33"/>
      <c r="ALQ7" s="33"/>
      <c r="ALR7" s="33"/>
      <c r="ALS7" s="33"/>
      <c r="ALT7" s="33"/>
      <c r="ALU7" s="33"/>
      <c r="ALV7" s="33"/>
      <c r="ALW7" s="33"/>
      <c r="ALX7" s="33"/>
      <c r="ALY7" s="33"/>
      <c r="ALZ7" s="33"/>
      <c r="AMA7" s="33"/>
      <c r="AMB7" s="33"/>
      <c r="AMC7" s="33"/>
      <c r="AMD7" s="33"/>
      <c r="AME7" s="33"/>
      <c r="AMF7" s="33"/>
      <c r="AMG7" s="33"/>
      <c r="AMH7" s="33"/>
      <c r="AMI7" s="33"/>
      <c r="AMJ7" s="33"/>
      <c r="AMK7" s="33"/>
      <c r="AML7" s="33"/>
      <c r="AMM7" s="33"/>
      <c r="AMN7" s="33"/>
      <c r="AMO7" s="33"/>
      <c r="AMP7" s="33"/>
      <c r="AMQ7" s="33"/>
      <c r="AMR7" s="33"/>
      <c r="AMS7" s="33"/>
      <c r="AMT7" s="33"/>
      <c r="AMU7" s="33"/>
      <c r="AMV7" s="33"/>
      <c r="AMW7" s="33"/>
      <c r="AMX7" s="33"/>
      <c r="AMY7" s="33"/>
      <c r="AMZ7" s="33"/>
      <c r="ANA7" s="33"/>
      <c r="ANB7" s="33"/>
      <c r="ANC7" s="33"/>
      <c r="AND7" s="33"/>
      <c r="ANE7" s="33"/>
      <c r="ANF7" s="33"/>
      <c r="ANG7" s="33"/>
      <c r="ANH7" s="33"/>
      <c r="ANI7" s="33"/>
      <c r="ANJ7" s="33"/>
      <c r="ANK7" s="33"/>
      <c r="ANL7" s="33"/>
      <c r="ANM7" s="33"/>
      <c r="ANN7" s="33"/>
      <c r="ANO7" s="33"/>
      <c r="ANP7" s="33"/>
      <c r="ANQ7" s="33"/>
      <c r="ANR7" s="33"/>
      <c r="ANS7" s="33"/>
      <c r="ANT7" s="33"/>
      <c r="ANU7" s="33"/>
      <c r="ANV7" s="33"/>
      <c r="ANW7" s="33"/>
      <c r="ANX7" s="33"/>
      <c r="ANY7" s="33"/>
      <c r="ANZ7" s="33"/>
      <c r="AOA7" s="33"/>
      <c r="AOB7" s="33"/>
      <c r="AOC7" s="33"/>
      <c r="AOD7" s="33"/>
      <c r="AOE7" s="33"/>
      <c r="AOF7" s="33"/>
      <c r="AOG7" s="33"/>
      <c r="AOH7" s="33"/>
      <c r="AOI7" s="33"/>
      <c r="AOJ7" s="33"/>
      <c r="AOK7" s="33"/>
      <c r="AOL7" s="33"/>
      <c r="AOM7" s="33"/>
      <c r="AON7" s="33"/>
      <c r="AOO7" s="33"/>
      <c r="AOP7" s="33"/>
      <c r="AOQ7" s="33"/>
      <c r="AOR7" s="33"/>
      <c r="AOS7" s="33"/>
      <c r="AOT7" s="33"/>
      <c r="AOU7" s="33"/>
      <c r="AOV7" s="33"/>
      <c r="AOW7" s="33"/>
      <c r="AOX7" s="33"/>
      <c r="AOY7" s="33"/>
      <c r="AOZ7" s="33"/>
      <c r="APA7" s="33"/>
      <c r="APB7" s="33"/>
      <c r="APC7" s="33"/>
      <c r="APD7" s="33"/>
      <c r="APE7" s="33"/>
      <c r="APF7" s="33"/>
      <c r="APG7" s="33"/>
      <c r="APH7" s="33"/>
      <c r="API7" s="33"/>
      <c r="APJ7" s="33"/>
      <c r="APK7" s="33"/>
      <c r="APL7" s="33"/>
      <c r="APM7" s="33"/>
      <c r="APN7" s="33"/>
      <c r="APO7" s="33"/>
      <c r="APP7" s="33"/>
      <c r="APQ7" s="33"/>
      <c r="APR7" s="33"/>
      <c r="APS7" s="33"/>
      <c r="APT7" s="33"/>
      <c r="APU7" s="33"/>
      <c r="APV7" s="33"/>
      <c r="APW7" s="33"/>
      <c r="APX7" s="33"/>
      <c r="APY7" s="33"/>
      <c r="APZ7" s="33"/>
      <c r="AQA7" s="33"/>
      <c r="AQB7" s="33"/>
      <c r="AQC7" s="33"/>
      <c r="AQD7" s="33"/>
      <c r="AQE7" s="33"/>
      <c r="AQF7" s="33"/>
      <c r="AQG7" s="33"/>
      <c r="AQH7" s="33"/>
      <c r="AQI7" s="33"/>
      <c r="AQJ7" s="33"/>
      <c r="AQK7" s="33"/>
      <c r="AQL7" s="33"/>
      <c r="AQM7" s="33"/>
      <c r="AQN7" s="33"/>
      <c r="AQO7" s="33"/>
      <c r="AQP7" s="33"/>
      <c r="AQQ7" s="33"/>
      <c r="AQR7" s="33"/>
      <c r="AQS7" s="33"/>
      <c r="AQT7" s="33"/>
      <c r="AQU7" s="33"/>
      <c r="AQV7" s="33"/>
      <c r="AQW7" s="33"/>
      <c r="AQX7" s="33"/>
      <c r="AQY7" s="33"/>
      <c r="AQZ7" s="33"/>
      <c r="ARA7" s="33"/>
      <c r="ARB7" s="33"/>
      <c r="ARC7" s="33"/>
      <c r="ARD7" s="33"/>
      <c r="ARE7" s="33"/>
      <c r="ARF7" s="33"/>
      <c r="ARG7" s="33"/>
      <c r="ARH7" s="33"/>
      <c r="ARI7" s="33"/>
      <c r="ARJ7" s="33"/>
      <c r="ARK7" s="33"/>
      <c r="ARL7" s="33"/>
      <c r="ARM7" s="33"/>
      <c r="ARN7" s="33"/>
      <c r="ARO7" s="33"/>
      <c r="ARP7" s="33"/>
      <c r="ARQ7" s="33"/>
      <c r="ARR7" s="33"/>
      <c r="ARS7" s="33"/>
      <c r="ART7" s="33"/>
      <c r="ARU7" s="33"/>
      <c r="ARV7" s="33"/>
      <c r="ARW7" s="33"/>
      <c r="ARX7" s="33"/>
      <c r="ARY7" s="33"/>
      <c r="ARZ7" s="33"/>
      <c r="ASA7" s="33"/>
      <c r="ASB7" s="33"/>
      <c r="ASC7" s="33"/>
      <c r="ASD7" s="33"/>
      <c r="ASE7" s="33"/>
      <c r="ASF7" s="33"/>
      <c r="ASG7" s="33"/>
      <c r="ASH7" s="33"/>
      <c r="ASI7" s="33"/>
      <c r="ASJ7" s="33"/>
      <c r="ASK7" s="33"/>
      <c r="ASL7" s="33"/>
      <c r="ASM7" s="33"/>
      <c r="ASN7" s="33"/>
      <c r="ASO7" s="33"/>
      <c r="ASP7" s="33"/>
      <c r="ASQ7" s="33"/>
      <c r="ASR7" s="33"/>
      <c r="ASS7" s="33"/>
      <c r="AST7" s="33"/>
      <c r="ASU7" s="33"/>
      <c r="ASV7" s="33"/>
      <c r="ASW7" s="33"/>
      <c r="ASX7" s="33"/>
      <c r="ASY7" s="33"/>
      <c r="ASZ7" s="33"/>
      <c r="ATA7" s="33"/>
      <c r="ATB7" s="33"/>
      <c r="ATC7" s="33"/>
      <c r="ATD7" s="33"/>
      <c r="ATE7" s="33"/>
      <c r="ATF7" s="33"/>
      <c r="ATG7" s="33"/>
      <c r="ATH7" s="33"/>
      <c r="ATI7" s="33"/>
      <c r="ATJ7" s="33"/>
      <c r="ATK7" s="33"/>
      <c r="ATL7" s="33"/>
      <c r="ATM7" s="33"/>
      <c r="ATN7" s="33"/>
      <c r="ATO7" s="33"/>
      <c r="ATP7" s="33"/>
      <c r="ATQ7" s="33"/>
      <c r="ATR7" s="33"/>
      <c r="ATS7" s="33"/>
      <c r="ATT7" s="33"/>
      <c r="ATU7" s="33"/>
      <c r="ATV7" s="33"/>
      <c r="ATW7" s="33"/>
      <c r="ATX7" s="33"/>
      <c r="ATY7" s="33"/>
      <c r="ATZ7" s="33"/>
      <c r="AUA7" s="33"/>
      <c r="AUB7" s="33"/>
      <c r="AUC7" s="33"/>
      <c r="AUD7" s="33"/>
      <c r="AUE7" s="33"/>
      <c r="AUF7" s="33"/>
      <c r="AUG7" s="33"/>
      <c r="AUH7" s="33"/>
      <c r="AUI7" s="33"/>
      <c r="AUJ7" s="33"/>
      <c r="AUK7" s="33"/>
      <c r="AUL7" s="33"/>
      <c r="AUM7" s="33"/>
      <c r="AUN7" s="33"/>
      <c r="AUO7" s="33"/>
      <c r="AUP7" s="33"/>
      <c r="AUQ7" s="33"/>
      <c r="AUR7" s="33"/>
      <c r="AUS7" s="33"/>
      <c r="AUT7" s="33"/>
      <c r="AUU7" s="33"/>
      <c r="AUV7" s="33"/>
      <c r="AUW7" s="33"/>
      <c r="AUX7" s="33"/>
      <c r="AUY7" s="33"/>
      <c r="AUZ7" s="33"/>
      <c r="AVA7" s="33"/>
      <c r="AVB7" s="33"/>
    </row>
    <row r="8" spans="1:1250" ht="18.75" customHeight="1">
      <c r="A8" s="378" t="str">
        <f>自由選!B9</f>
        <v>XH340</v>
      </c>
      <c r="B8" s="208">
        <f ca="1">VLOOKUP($A8,'銀行-TSS'!B:K,10,FALSE)</f>
        <v>99.71</v>
      </c>
      <c r="C8" s="69" t="str">
        <f ca="1">VLOOKUP(A8,'銀行-TSS'!B:E,4,FALSE)</f>
        <v>Aa3 / AA- / -</v>
      </c>
      <c r="D8" s="70">
        <f ca="1">VLOOKUP($A8,'銀行-TSS'!B:H,7,FALSE)</f>
        <v>4.0500000000000001E-2</v>
      </c>
      <c r="E8" s="71">
        <f ca="1">IFERROR(VLOOKUP($A8,'銀行-TSS'!B:I,8,FALSE),"")</f>
        <v>2</v>
      </c>
      <c r="F8" s="69" t="str">
        <f t="shared" ref="F8:F16" ca="1" si="142">CONCATENATE(IF(AF8&gt;AG8,AG8,AF8),"、",IF(AF8&gt;AG8,AF8,AG8))</f>
        <v>1、7</v>
      </c>
      <c r="G8" s="72">
        <f ca="1">VLOOKUP($A8,'銀行-TSS'!B:M,12,FALSE)</f>
        <v>4.3400000000000001E-2</v>
      </c>
      <c r="H8" s="73">
        <f ca="1">VLOOKUP($A8,'銀行-TSS'!B:G,6,FALSE)</f>
        <v>8.57</v>
      </c>
      <c r="I8" s="74">
        <f ca="1">IFERROR(DATEVALUE(VLOOKUP($A8,'銀行-TSS'!B:F,5,FALSE)),VLOOKUP($A8,'銀行-TSS'!B:F,5,FALSE))</f>
        <v>48605</v>
      </c>
      <c r="J8" s="1" t="str">
        <f ca="1">VLOOKUP($A8,'銀行-TSS'!B:Q,16,FALSE)</f>
        <v>核心消費</v>
      </c>
      <c r="K8" s="76" t="str">
        <f ca="1">VLOOKUP($A8,'銀行-TSS'!B:T,19,FALSE)</f>
        <v>寶僑公司/PG</v>
      </c>
      <c r="L8" s="33" t="b">
        <f t="shared" si="45"/>
        <v>1</v>
      </c>
      <c r="M8" s="43">
        <f ca="1">VLOOKUP($A8,'銀行-TSS'!B:N,13,FALSE)</f>
        <v>2000</v>
      </c>
      <c r="N8" s="44">
        <f>自由選!F9</f>
        <v>10000</v>
      </c>
      <c r="O8" s="43">
        <f ca="1">IFERROR(VLOOKUP($A8,'銀行-TSS'!B:O,14,FALSE),1)</f>
        <v>1000</v>
      </c>
      <c r="P8" s="78" t="str">
        <f ca="1">IFERROR(VLOOKUP(K8,Bond_DES!D:E,2,FALSE),VLOOKUP(K8,'銀行-TSS'!T:U,2,FALSE))</f>
        <v>寶僑公司(The Procter &amp; Gamble Company)為全球消費性用品產業翹楚，位居彭博「家庭用品」產業營收全球龍頭地位，提供產品包括：美妝、除毛、健康護理、清潔用品，以及嬰兒和女性家庭用品，Always®、Oral-B®、Pampers®、Pantene®、SK-II®、Tide®等皆是旗下知名品牌，業務遍及全球約70個國家。</v>
      </c>
      <c r="Q8" s="83">
        <f t="shared" ref="Q8:Q18" ca="1" si="143">B8-V8</f>
        <v>97.954999999999998</v>
      </c>
      <c r="R8" s="81">
        <f ca="1">ROUND(Q8*N8/100,2)</f>
        <v>9795.5</v>
      </c>
      <c r="S8" s="82">
        <f ca="1">R8/$R$27</f>
        <v>8.6050271876868395E-2</v>
      </c>
      <c r="T8" s="34">
        <f t="shared" ref="T8:T18" ca="1" si="144">IFERROR(YEAR(I8),0)</f>
        <v>2033</v>
      </c>
      <c r="U8" s="36" t="str">
        <f ca="1">IFERROR(VLOOKUP($A8,'銀行-TSS'!B:C,2,FALSE),"")</f>
        <v>USD</v>
      </c>
      <c r="V8" s="184">
        <f ca="1">VLOOKUP(A8,'銀行-TSS'!B:J,9,FALSE)</f>
        <v>1.7549999999999999</v>
      </c>
      <c r="W8" s="57">
        <f t="shared" ref="W8:W16" ca="1" si="145">ROUND(V8*N8/100,2)</f>
        <v>175.5</v>
      </c>
      <c r="X8" s="36">
        <f t="shared" ref="X8:X18" ca="1" si="146">ROUND($N8*$X$5*$B8/100,2)</f>
        <v>0</v>
      </c>
      <c r="Y8" s="116">
        <f t="shared" ref="Y8:Y16" ca="1" si="147">ROUND((Q8+V8)*O8/100,2)</f>
        <v>997.1</v>
      </c>
      <c r="Z8" s="98">
        <f t="shared" ref="Z8:Z16" ca="1" si="148">ROUND((Q8+V8)*M8/100,2)</f>
        <v>1994.2</v>
      </c>
      <c r="AA8" s="61">
        <f t="shared" ref="AA8:AA18" si="149">N8/$N$27</f>
        <v>8.3333333333333329E-2</v>
      </c>
      <c r="AB8" s="104" t="str">
        <f t="shared" ca="1" si="46"/>
        <v>核心消費</v>
      </c>
      <c r="AC8" s="149">
        <f t="shared" ref="AC8:AC16" ca="1" si="150">R8+W8+X8</f>
        <v>9971</v>
      </c>
      <c r="AD8" s="149">
        <f ca="1">VLOOKUP(A8,'銀行-TSS'!B:AD,29,FALSE)</f>
        <v>18</v>
      </c>
      <c r="AE8" s="64">
        <f t="shared" ca="1" si="47"/>
        <v>202.5</v>
      </c>
      <c r="AF8" s="53">
        <f ca="1">IF(AG8&gt;6,AG8-6,AG8+6)</f>
        <v>1</v>
      </c>
      <c r="AG8" s="45">
        <f ca="1">MONTH(AH8)</f>
        <v>7</v>
      </c>
      <c r="AH8" s="2">
        <f ca="1">_xlfn.IFNA(IFERROR(DATEVALUE(VLOOKUP($A8,'銀行-TSS'!B:P,15,FALSE)),VLOOKUP($A8,'銀行-TSS'!B:P,15,FALSE)),"")</f>
        <v>45499</v>
      </c>
      <c r="AI8" s="2">
        <f ca="1">_xlfn.IFNA(IFERROR(DATEVALUE(VLOOKUP($A8,'銀行-TSS'!B:L,11,FALSE)),VLOOKUP($A8,'銀行-TSS'!B:L,11,FALSE)),"")</f>
        <v>45475</v>
      </c>
      <c r="AJ8" s="34">
        <f t="shared" ref="AJ8:AJ16" ca="1" si="151">IF(AI8&lt;AH8,IF(MONTH(AI8)=MONTH(AH8),$AE8,0),0)</f>
        <v>202.5</v>
      </c>
      <c r="AK8" s="34">
        <f t="shared" ca="1" si="48"/>
        <v>0</v>
      </c>
      <c r="AL8" s="34">
        <f t="shared" ca="1" si="48"/>
        <v>0</v>
      </c>
      <c r="AM8" s="34">
        <f t="shared" ca="1" si="48"/>
        <v>0</v>
      </c>
      <c r="AN8" s="34">
        <f t="shared" ca="1" si="48"/>
        <v>0</v>
      </c>
      <c r="AO8" s="34">
        <f t="shared" ca="1" si="48"/>
        <v>0</v>
      </c>
      <c r="AP8" s="34">
        <f t="shared" ca="1" si="48"/>
        <v>202.5</v>
      </c>
      <c r="AQ8" s="34">
        <f t="shared" ca="1" si="48"/>
        <v>0</v>
      </c>
      <c r="AR8" s="34">
        <f t="shared" ca="1" si="48"/>
        <v>0</v>
      </c>
      <c r="AS8" s="34">
        <f t="shared" ca="1" si="48"/>
        <v>0</v>
      </c>
      <c r="AT8" s="34">
        <f t="shared" ca="1" si="48"/>
        <v>0</v>
      </c>
      <c r="AU8" s="34">
        <f t="shared" ca="1" si="49"/>
        <v>0</v>
      </c>
      <c r="AV8" s="34">
        <f t="shared" ca="1" si="49"/>
        <v>202.5</v>
      </c>
      <c r="AW8" s="34">
        <f t="shared" ca="1" si="49"/>
        <v>0</v>
      </c>
      <c r="AX8" s="34">
        <f t="shared" ca="1" si="49"/>
        <v>0</v>
      </c>
      <c r="AY8" s="34">
        <f t="shared" ca="1" si="49"/>
        <v>0</v>
      </c>
      <c r="AZ8" s="34">
        <f t="shared" ca="1" si="49"/>
        <v>0</v>
      </c>
      <c r="BA8" s="34">
        <f t="shared" ca="1" si="49"/>
        <v>0</v>
      </c>
      <c r="BB8" s="34">
        <f t="shared" ca="1" si="49"/>
        <v>202.5</v>
      </c>
      <c r="BC8" s="34">
        <f t="shared" ca="1" si="49"/>
        <v>0</v>
      </c>
      <c r="BD8" s="34">
        <f t="shared" ca="1" si="49"/>
        <v>0</v>
      </c>
      <c r="BE8" s="34">
        <f t="shared" ca="1" si="50"/>
        <v>0</v>
      </c>
      <c r="BF8" s="34">
        <f t="shared" ca="1" si="50"/>
        <v>0</v>
      </c>
      <c r="BG8" s="34">
        <f t="shared" ca="1" si="50"/>
        <v>0</v>
      </c>
      <c r="BH8" s="34">
        <f t="shared" ca="1" si="50"/>
        <v>202.5</v>
      </c>
      <c r="BI8" s="34">
        <f t="shared" ca="1" si="50"/>
        <v>0</v>
      </c>
      <c r="BJ8" s="34">
        <f t="shared" ca="1" si="50"/>
        <v>0</v>
      </c>
      <c r="BK8" s="34">
        <f t="shared" ca="1" si="50"/>
        <v>0</v>
      </c>
      <c r="BL8" s="34">
        <f t="shared" ca="1" si="50"/>
        <v>0</v>
      </c>
      <c r="BM8" s="34">
        <f t="shared" ca="1" si="50"/>
        <v>0</v>
      </c>
      <c r="BN8" s="34">
        <f t="shared" ca="1" si="50"/>
        <v>202.5</v>
      </c>
      <c r="BO8" s="34">
        <f t="shared" ca="1" si="51"/>
        <v>0</v>
      </c>
      <c r="BP8" s="34">
        <f t="shared" ca="1" si="51"/>
        <v>0</v>
      </c>
      <c r="BQ8" s="34">
        <f t="shared" ca="1" si="51"/>
        <v>0</v>
      </c>
      <c r="BR8" s="34">
        <f t="shared" ca="1" si="51"/>
        <v>0</v>
      </c>
      <c r="BS8" s="34">
        <f t="shared" ca="1" si="51"/>
        <v>0</v>
      </c>
      <c r="BT8" s="34">
        <f t="shared" ca="1" si="51"/>
        <v>202.5</v>
      </c>
      <c r="BU8" s="34">
        <f t="shared" ca="1" si="51"/>
        <v>0</v>
      </c>
      <c r="BV8" s="34">
        <f t="shared" ca="1" si="51"/>
        <v>0</v>
      </c>
      <c r="BW8" s="34">
        <f t="shared" ca="1" si="51"/>
        <v>0</v>
      </c>
      <c r="BX8" s="34">
        <f t="shared" ca="1" si="51"/>
        <v>0</v>
      </c>
      <c r="BY8" s="34">
        <f t="shared" ca="1" si="52"/>
        <v>0</v>
      </c>
      <c r="BZ8" s="34">
        <f t="shared" ca="1" si="52"/>
        <v>202.5</v>
      </c>
      <c r="CA8" s="34">
        <f t="shared" ca="1" si="52"/>
        <v>0</v>
      </c>
      <c r="CB8" s="34">
        <f t="shared" ca="1" si="52"/>
        <v>0</v>
      </c>
      <c r="CC8" s="34">
        <f t="shared" ca="1" si="52"/>
        <v>0</v>
      </c>
      <c r="CD8" s="34">
        <f t="shared" ca="1" si="52"/>
        <v>0</v>
      </c>
      <c r="CE8" s="34">
        <f t="shared" ca="1" si="52"/>
        <v>0</v>
      </c>
      <c r="CF8" s="34">
        <f t="shared" ca="1" si="52"/>
        <v>202.5</v>
      </c>
      <c r="CG8" s="34">
        <f t="shared" ca="1" si="52"/>
        <v>0</v>
      </c>
      <c r="CH8" s="34">
        <f t="shared" ca="1" si="52"/>
        <v>0</v>
      </c>
      <c r="CI8" s="34">
        <f t="shared" ca="1" si="53"/>
        <v>0</v>
      </c>
      <c r="CJ8" s="34">
        <f t="shared" ca="1" si="53"/>
        <v>0</v>
      </c>
      <c r="CK8" s="34">
        <f t="shared" ca="1" si="53"/>
        <v>0</v>
      </c>
      <c r="CL8" s="34">
        <f t="shared" ca="1" si="53"/>
        <v>202.5</v>
      </c>
      <c r="CM8" s="34">
        <f t="shared" ca="1" si="53"/>
        <v>0</v>
      </c>
      <c r="CN8" s="34">
        <f t="shared" ca="1" si="53"/>
        <v>0</v>
      </c>
      <c r="CO8" s="34">
        <f t="shared" ca="1" si="53"/>
        <v>0</v>
      </c>
      <c r="CP8" s="34">
        <f t="shared" ca="1" si="53"/>
        <v>0</v>
      </c>
      <c r="CQ8" s="34">
        <f t="shared" ca="1" si="53"/>
        <v>0</v>
      </c>
      <c r="CR8" s="34">
        <f t="shared" ca="1" si="53"/>
        <v>202.5</v>
      </c>
      <c r="CS8" s="34">
        <f t="shared" ca="1" si="54"/>
        <v>0</v>
      </c>
      <c r="CT8" s="34">
        <f t="shared" ca="1" si="54"/>
        <v>0</v>
      </c>
      <c r="CU8" s="34">
        <f t="shared" ca="1" si="54"/>
        <v>0</v>
      </c>
      <c r="CV8" s="34">
        <f t="shared" ca="1" si="54"/>
        <v>0</v>
      </c>
      <c r="CW8" s="34">
        <f t="shared" ca="1" si="54"/>
        <v>0</v>
      </c>
      <c r="CX8" s="34">
        <f t="shared" ca="1" si="54"/>
        <v>202.5</v>
      </c>
      <c r="CY8" s="34">
        <f t="shared" ca="1" si="54"/>
        <v>0</v>
      </c>
      <c r="CZ8" s="34">
        <f t="shared" ca="1" si="54"/>
        <v>0</v>
      </c>
      <c r="DA8" s="34">
        <f t="shared" ca="1" si="54"/>
        <v>0</v>
      </c>
      <c r="DB8" s="34">
        <f t="shared" ca="1" si="54"/>
        <v>0</v>
      </c>
      <c r="DC8" s="34">
        <f t="shared" ca="1" si="55"/>
        <v>0</v>
      </c>
      <c r="DD8" s="34">
        <f t="shared" ca="1" si="55"/>
        <v>202.5</v>
      </c>
      <c r="DE8" s="34">
        <f t="shared" ca="1" si="55"/>
        <v>0</v>
      </c>
      <c r="DF8" s="34">
        <f t="shared" ca="1" si="55"/>
        <v>0</v>
      </c>
      <c r="DG8" s="34">
        <f t="shared" ca="1" si="55"/>
        <v>0</v>
      </c>
      <c r="DH8" s="34">
        <f t="shared" ca="1" si="55"/>
        <v>0</v>
      </c>
      <c r="DI8" s="34">
        <f t="shared" ca="1" si="55"/>
        <v>0</v>
      </c>
      <c r="DJ8" s="34">
        <f t="shared" ca="1" si="55"/>
        <v>202.5</v>
      </c>
      <c r="DK8" s="34">
        <f t="shared" ca="1" si="55"/>
        <v>0</v>
      </c>
      <c r="DL8" s="34">
        <f t="shared" ca="1" si="55"/>
        <v>0</v>
      </c>
      <c r="DM8" s="34">
        <f t="shared" ca="1" si="56"/>
        <v>0</v>
      </c>
      <c r="DN8" s="34">
        <f t="shared" ca="1" si="56"/>
        <v>0</v>
      </c>
      <c r="DO8" s="34">
        <f t="shared" ca="1" si="56"/>
        <v>0</v>
      </c>
      <c r="DP8" s="34">
        <f t="shared" ca="1" si="56"/>
        <v>202.5</v>
      </c>
      <c r="DQ8" s="34">
        <f t="shared" ca="1" si="56"/>
        <v>0</v>
      </c>
      <c r="DR8" s="34">
        <f t="shared" ca="1" si="56"/>
        <v>0</v>
      </c>
      <c r="DS8" s="34">
        <f t="shared" ca="1" si="56"/>
        <v>0</v>
      </c>
      <c r="DT8" s="34">
        <f t="shared" ca="1" si="56"/>
        <v>0</v>
      </c>
      <c r="DU8" s="34">
        <f t="shared" ca="1" si="56"/>
        <v>0</v>
      </c>
      <c r="DV8" s="34">
        <f t="shared" ca="1" si="56"/>
        <v>202.5</v>
      </c>
      <c r="DW8" s="34">
        <f t="shared" ca="1" si="57"/>
        <v>0</v>
      </c>
      <c r="DX8" s="34">
        <f t="shared" ca="1" si="57"/>
        <v>0</v>
      </c>
      <c r="DY8" s="34">
        <f t="shared" ca="1" si="57"/>
        <v>0</v>
      </c>
      <c r="DZ8" s="34">
        <f t="shared" ca="1" si="57"/>
        <v>0</v>
      </c>
      <c r="EA8" s="34">
        <f t="shared" ca="1" si="57"/>
        <v>0</v>
      </c>
      <c r="EB8" s="34">
        <f t="shared" ca="1" si="57"/>
        <v>202.5</v>
      </c>
      <c r="EC8" s="34">
        <f t="shared" ca="1" si="57"/>
        <v>0</v>
      </c>
      <c r="ED8" s="34">
        <f t="shared" ca="1" si="57"/>
        <v>0</v>
      </c>
      <c r="EE8" s="34">
        <f t="shared" ca="1" si="57"/>
        <v>0</v>
      </c>
      <c r="EF8" s="34">
        <f t="shared" ca="1" si="57"/>
        <v>0</v>
      </c>
      <c r="EG8" s="34">
        <f t="shared" ca="1" si="58"/>
        <v>0</v>
      </c>
      <c r="EH8" s="34">
        <f t="shared" ca="1" si="58"/>
        <v>202.5</v>
      </c>
      <c r="EI8" s="34">
        <f t="shared" ca="1" si="58"/>
        <v>0</v>
      </c>
      <c r="EJ8" s="34">
        <f t="shared" ca="1" si="58"/>
        <v>0</v>
      </c>
      <c r="EK8" s="34">
        <f t="shared" ca="1" si="58"/>
        <v>0</v>
      </c>
      <c r="EL8" s="34">
        <f t="shared" ca="1" si="58"/>
        <v>0</v>
      </c>
      <c r="EM8" s="34">
        <f t="shared" ca="1" si="58"/>
        <v>0</v>
      </c>
      <c r="EN8" s="34">
        <f t="shared" ca="1" si="58"/>
        <v>0</v>
      </c>
      <c r="EO8" s="34">
        <f t="shared" ca="1" si="58"/>
        <v>0</v>
      </c>
      <c r="EP8" s="34">
        <f t="shared" ca="1" si="58"/>
        <v>0</v>
      </c>
      <c r="EQ8" s="34">
        <f t="shared" ca="1" si="59"/>
        <v>0</v>
      </c>
      <c r="ER8" s="34">
        <f t="shared" ca="1" si="59"/>
        <v>0</v>
      </c>
      <c r="ES8" s="34">
        <f t="shared" ca="1" si="59"/>
        <v>0</v>
      </c>
      <c r="ET8" s="34">
        <f t="shared" ca="1" si="59"/>
        <v>0</v>
      </c>
      <c r="EU8" s="34">
        <f t="shared" ca="1" si="59"/>
        <v>0</v>
      </c>
      <c r="EV8" s="34">
        <f t="shared" ca="1" si="59"/>
        <v>0</v>
      </c>
      <c r="EW8" s="34">
        <f t="shared" ca="1" si="59"/>
        <v>0</v>
      </c>
      <c r="EX8" s="34">
        <f t="shared" ca="1" si="59"/>
        <v>0</v>
      </c>
      <c r="EY8" s="34">
        <f t="shared" ca="1" si="59"/>
        <v>0</v>
      </c>
      <c r="EZ8" s="34">
        <f t="shared" ca="1" si="59"/>
        <v>0</v>
      </c>
      <c r="FA8" s="34">
        <f t="shared" ca="1" si="60"/>
        <v>0</v>
      </c>
      <c r="FB8" s="34">
        <f t="shared" ca="1" si="60"/>
        <v>0</v>
      </c>
      <c r="FC8" s="34">
        <f t="shared" ca="1" si="60"/>
        <v>0</v>
      </c>
      <c r="FD8" s="34">
        <f t="shared" ca="1" si="60"/>
        <v>0</v>
      </c>
      <c r="FE8" s="34">
        <f t="shared" ca="1" si="60"/>
        <v>0</v>
      </c>
      <c r="FF8" s="34">
        <f t="shared" ca="1" si="60"/>
        <v>0</v>
      </c>
      <c r="FG8" s="34">
        <f t="shared" ca="1" si="60"/>
        <v>0</v>
      </c>
      <c r="FH8" s="34">
        <f t="shared" ca="1" si="60"/>
        <v>0</v>
      </c>
      <c r="FI8" s="34">
        <f t="shared" ca="1" si="60"/>
        <v>0</v>
      </c>
      <c r="FJ8" s="34">
        <f t="shared" ca="1" si="60"/>
        <v>0</v>
      </c>
      <c r="FK8" s="34">
        <f t="shared" ca="1" si="61"/>
        <v>0</v>
      </c>
      <c r="FL8" s="34">
        <f t="shared" ca="1" si="61"/>
        <v>0</v>
      </c>
      <c r="FM8" s="34">
        <f t="shared" ca="1" si="61"/>
        <v>0</v>
      </c>
      <c r="FN8" s="34">
        <f t="shared" ca="1" si="61"/>
        <v>0</v>
      </c>
      <c r="FO8" s="34">
        <f t="shared" ca="1" si="61"/>
        <v>0</v>
      </c>
      <c r="FP8" s="34">
        <f t="shared" ca="1" si="61"/>
        <v>0</v>
      </c>
      <c r="FQ8" s="34">
        <f t="shared" ca="1" si="61"/>
        <v>0</v>
      </c>
      <c r="FR8" s="34">
        <f t="shared" ca="1" si="61"/>
        <v>0</v>
      </c>
      <c r="FS8" s="34">
        <f t="shared" ca="1" si="61"/>
        <v>0</v>
      </c>
      <c r="FT8" s="34">
        <f t="shared" ca="1" si="61"/>
        <v>0</v>
      </c>
      <c r="FU8" s="34">
        <f t="shared" ca="1" si="62"/>
        <v>0</v>
      </c>
      <c r="FV8" s="34">
        <f t="shared" ca="1" si="62"/>
        <v>0</v>
      </c>
      <c r="FW8" s="34">
        <f t="shared" ca="1" si="62"/>
        <v>0</v>
      </c>
      <c r="FX8" s="34">
        <f t="shared" ca="1" si="62"/>
        <v>0</v>
      </c>
      <c r="FY8" s="34">
        <f t="shared" ca="1" si="62"/>
        <v>0</v>
      </c>
      <c r="FZ8" s="34">
        <f t="shared" ca="1" si="62"/>
        <v>0</v>
      </c>
      <c r="GA8" s="34">
        <f t="shared" ca="1" si="62"/>
        <v>0</v>
      </c>
      <c r="GB8" s="34">
        <f t="shared" ca="1" si="62"/>
        <v>0</v>
      </c>
      <c r="GC8" s="34">
        <f t="shared" ca="1" si="62"/>
        <v>0</v>
      </c>
      <c r="GD8" s="34">
        <f t="shared" ca="1" si="62"/>
        <v>0</v>
      </c>
      <c r="GE8" s="34">
        <f t="shared" ca="1" si="63"/>
        <v>0</v>
      </c>
      <c r="GF8" s="34">
        <f t="shared" ca="1" si="63"/>
        <v>0</v>
      </c>
      <c r="GG8" s="34">
        <f t="shared" ca="1" si="63"/>
        <v>0</v>
      </c>
      <c r="GH8" s="34">
        <f t="shared" ca="1" si="63"/>
        <v>0</v>
      </c>
      <c r="GI8" s="34">
        <f t="shared" ca="1" si="63"/>
        <v>0</v>
      </c>
      <c r="GJ8" s="34">
        <f t="shared" ca="1" si="63"/>
        <v>0</v>
      </c>
      <c r="GK8" s="34">
        <f t="shared" ca="1" si="63"/>
        <v>0</v>
      </c>
      <c r="GL8" s="34">
        <f t="shared" ca="1" si="63"/>
        <v>0</v>
      </c>
      <c r="GM8" s="34">
        <f t="shared" ca="1" si="63"/>
        <v>0</v>
      </c>
      <c r="GN8" s="34">
        <f t="shared" ca="1" si="63"/>
        <v>0</v>
      </c>
      <c r="GO8" s="34">
        <f t="shared" ca="1" si="64"/>
        <v>0</v>
      </c>
      <c r="GP8" s="34">
        <f t="shared" ca="1" si="64"/>
        <v>0</v>
      </c>
      <c r="GQ8" s="34">
        <f t="shared" ca="1" si="64"/>
        <v>0</v>
      </c>
      <c r="GR8" s="34">
        <f t="shared" ca="1" si="64"/>
        <v>0</v>
      </c>
      <c r="GS8" s="34">
        <f t="shared" ca="1" si="64"/>
        <v>0</v>
      </c>
      <c r="GT8" s="34">
        <f t="shared" ca="1" si="64"/>
        <v>0</v>
      </c>
      <c r="GU8" s="34">
        <f t="shared" ca="1" si="64"/>
        <v>0</v>
      </c>
      <c r="GV8" s="34">
        <f t="shared" ca="1" si="64"/>
        <v>0</v>
      </c>
      <c r="GW8" s="34">
        <f t="shared" ca="1" si="64"/>
        <v>0</v>
      </c>
      <c r="GX8" s="34">
        <f t="shared" ca="1" si="64"/>
        <v>0</v>
      </c>
      <c r="GY8" s="34">
        <f t="shared" ca="1" si="65"/>
        <v>0</v>
      </c>
      <c r="GZ8" s="34">
        <f t="shared" ca="1" si="65"/>
        <v>0</v>
      </c>
      <c r="HA8" s="34">
        <f t="shared" ca="1" si="65"/>
        <v>0</v>
      </c>
      <c r="HB8" s="34">
        <f t="shared" ca="1" si="65"/>
        <v>0</v>
      </c>
      <c r="HC8" s="34">
        <f t="shared" ca="1" si="65"/>
        <v>0</v>
      </c>
      <c r="HD8" s="34">
        <f t="shared" ca="1" si="65"/>
        <v>0</v>
      </c>
      <c r="HE8" s="34">
        <f t="shared" ca="1" si="65"/>
        <v>0</v>
      </c>
      <c r="HF8" s="34">
        <f t="shared" ca="1" si="65"/>
        <v>0</v>
      </c>
      <c r="HG8" s="34">
        <f t="shared" ca="1" si="65"/>
        <v>0</v>
      </c>
      <c r="HH8" s="34">
        <f t="shared" ca="1" si="65"/>
        <v>0</v>
      </c>
      <c r="HI8" s="34">
        <f t="shared" ca="1" si="66"/>
        <v>0</v>
      </c>
      <c r="HJ8" s="34">
        <f t="shared" ca="1" si="66"/>
        <v>0</v>
      </c>
      <c r="HK8" s="34">
        <f t="shared" ca="1" si="66"/>
        <v>0</v>
      </c>
      <c r="HL8" s="34">
        <f t="shared" ca="1" si="66"/>
        <v>0</v>
      </c>
      <c r="HM8" s="34">
        <f t="shared" ca="1" si="66"/>
        <v>0</v>
      </c>
      <c r="HN8" s="34">
        <f t="shared" ca="1" si="66"/>
        <v>0</v>
      </c>
      <c r="HO8" s="34">
        <f t="shared" ca="1" si="66"/>
        <v>0</v>
      </c>
      <c r="HP8" s="34">
        <f t="shared" ca="1" si="66"/>
        <v>0</v>
      </c>
      <c r="HQ8" s="34">
        <f t="shared" ca="1" si="66"/>
        <v>0</v>
      </c>
      <c r="HR8" s="34">
        <f t="shared" ca="1" si="66"/>
        <v>0</v>
      </c>
      <c r="HS8" s="34">
        <f t="shared" ca="1" si="67"/>
        <v>0</v>
      </c>
      <c r="HT8" s="34">
        <f t="shared" ca="1" si="67"/>
        <v>0</v>
      </c>
      <c r="HU8" s="34">
        <f t="shared" ca="1" si="67"/>
        <v>0</v>
      </c>
      <c r="HV8" s="34">
        <f t="shared" ca="1" si="67"/>
        <v>0</v>
      </c>
      <c r="HW8" s="34">
        <f t="shared" ca="1" si="67"/>
        <v>0</v>
      </c>
      <c r="HX8" s="34">
        <f t="shared" ca="1" si="67"/>
        <v>0</v>
      </c>
      <c r="HY8" s="34">
        <f t="shared" ca="1" si="67"/>
        <v>0</v>
      </c>
      <c r="HZ8" s="34">
        <f t="shared" ca="1" si="67"/>
        <v>0</v>
      </c>
      <c r="IA8" s="34">
        <f t="shared" ca="1" si="67"/>
        <v>0</v>
      </c>
      <c r="IB8" s="34">
        <f t="shared" ca="1" si="67"/>
        <v>0</v>
      </c>
      <c r="IC8" s="34">
        <f t="shared" ca="1" si="68"/>
        <v>0</v>
      </c>
      <c r="ID8" s="34">
        <f t="shared" ca="1" si="68"/>
        <v>0</v>
      </c>
      <c r="IE8" s="34">
        <f t="shared" ca="1" si="68"/>
        <v>0</v>
      </c>
      <c r="IF8" s="34">
        <f t="shared" ca="1" si="68"/>
        <v>0</v>
      </c>
      <c r="IG8" s="34">
        <f t="shared" ca="1" si="68"/>
        <v>0</v>
      </c>
      <c r="IH8" s="34">
        <f t="shared" ca="1" si="68"/>
        <v>0</v>
      </c>
      <c r="II8" s="34">
        <f t="shared" ca="1" si="68"/>
        <v>0</v>
      </c>
      <c r="IJ8" s="34">
        <f t="shared" ca="1" si="68"/>
        <v>0</v>
      </c>
      <c r="IK8" s="34">
        <f t="shared" ca="1" si="68"/>
        <v>0</v>
      </c>
      <c r="IL8" s="34">
        <f t="shared" ca="1" si="68"/>
        <v>0</v>
      </c>
      <c r="IM8" s="34">
        <f t="shared" ca="1" si="69"/>
        <v>0</v>
      </c>
      <c r="IN8" s="34">
        <f t="shared" ca="1" si="69"/>
        <v>0</v>
      </c>
      <c r="IO8" s="34">
        <f t="shared" ca="1" si="69"/>
        <v>0</v>
      </c>
      <c r="IP8" s="34">
        <f t="shared" ca="1" si="69"/>
        <v>0</v>
      </c>
      <c r="IQ8" s="34">
        <f t="shared" ca="1" si="69"/>
        <v>0</v>
      </c>
      <c r="IR8" s="34">
        <f t="shared" ca="1" si="69"/>
        <v>0</v>
      </c>
      <c r="IS8" s="34">
        <f t="shared" ca="1" si="69"/>
        <v>0</v>
      </c>
      <c r="IT8" s="34">
        <f t="shared" ca="1" si="69"/>
        <v>0</v>
      </c>
      <c r="IU8" s="34">
        <f t="shared" ca="1" si="69"/>
        <v>0</v>
      </c>
      <c r="IV8" s="34">
        <f t="shared" ca="1" si="69"/>
        <v>0</v>
      </c>
      <c r="IW8" s="34">
        <f t="shared" ca="1" si="70"/>
        <v>0</v>
      </c>
      <c r="IX8" s="34">
        <f t="shared" ca="1" si="70"/>
        <v>0</v>
      </c>
      <c r="IY8" s="34">
        <f t="shared" ca="1" si="70"/>
        <v>0</v>
      </c>
      <c r="IZ8" s="34">
        <f t="shared" ca="1" si="70"/>
        <v>0</v>
      </c>
      <c r="JA8" s="34">
        <f t="shared" ca="1" si="70"/>
        <v>0</v>
      </c>
      <c r="JB8" s="34">
        <f t="shared" ca="1" si="70"/>
        <v>0</v>
      </c>
      <c r="JC8" s="34">
        <f t="shared" ca="1" si="70"/>
        <v>0</v>
      </c>
      <c r="JD8" s="34">
        <f t="shared" ca="1" si="70"/>
        <v>0</v>
      </c>
      <c r="JE8" s="34">
        <f t="shared" ca="1" si="70"/>
        <v>0</v>
      </c>
      <c r="JF8" s="34">
        <f t="shared" ca="1" si="70"/>
        <v>0</v>
      </c>
      <c r="JG8" s="34">
        <f t="shared" ca="1" si="71"/>
        <v>0</v>
      </c>
      <c r="JH8" s="34">
        <f t="shared" ca="1" si="71"/>
        <v>0</v>
      </c>
      <c r="JI8" s="34">
        <f t="shared" ca="1" si="71"/>
        <v>0</v>
      </c>
      <c r="JJ8" s="34">
        <f t="shared" ca="1" si="71"/>
        <v>0</v>
      </c>
      <c r="JK8" s="34">
        <f t="shared" ca="1" si="71"/>
        <v>0</v>
      </c>
      <c r="JL8" s="34">
        <f t="shared" ca="1" si="71"/>
        <v>0</v>
      </c>
      <c r="JM8" s="34">
        <f t="shared" ca="1" si="71"/>
        <v>0</v>
      </c>
      <c r="JN8" s="34">
        <f t="shared" ca="1" si="71"/>
        <v>0</v>
      </c>
      <c r="JO8" s="34">
        <f t="shared" ca="1" si="71"/>
        <v>0</v>
      </c>
      <c r="JP8" s="34">
        <f t="shared" ca="1" si="71"/>
        <v>0</v>
      </c>
      <c r="JQ8" s="34">
        <f t="shared" ca="1" si="72"/>
        <v>0</v>
      </c>
      <c r="JR8" s="34">
        <f t="shared" ca="1" si="72"/>
        <v>0</v>
      </c>
      <c r="JS8" s="34">
        <f t="shared" ca="1" si="72"/>
        <v>0</v>
      </c>
      <c r="JT8" s="34">
        <f t="shared" ca="1" si="72"/>
        <v>0</v>
      </c>
      <c r="JU8" s="34">
        <f t="shared" ca="1" si="72"/>
        <v>0</v>
      </c>
      <c r="JV8" s="34">
        <f t="shared" ca="1" si="72"/>
        <v>0</v>
      </c>
      <c r="JW8" s="34">
        <f t="shared" ca="1" si="72"/>
        <v>0</v>
      </c>
      <c r="JX8" s="34">
        <f t="shared" ca="1" si="72"/>
        <v>0</v>
      </c>
      <c r="JY8" s="34">
        <f t="shared" ca="1" si="72"/>
        <v>0</v>
      </c>
      <c r="JZ8" s="34">
        <f t="shared" ca="1" si="72"/>
        <v>0</v>
      </c>
      <c r="KA8" s="34">
        <f t="shared" ca="1" si="73"/>
        <v>0</v>
      </c>
      <c r="KB8" s="34">
        <f t="shared" ca="1" si="73"/>
        <v>0</v>
      </c>
      <c r="KC8" s="34">
        <f t="shared" ca="1" si="73"/>
        <v>0</v>
      </c>
      <c r="KD8" s="34">
        <f t="shared" ca="1" si="73"/>
        <v>0</v>
      </c>
      <c r="KE8" s="34">
        <f t="shared" ca="1" si="73"/>
        <v>0</v>
      </c>
      <c r="KF8" s="34">
        <f t="shared" ca="1" si="73"/>
        <v>0</v>
      </c>
      <c r="KG8" s="34">
        <f t="shared" ca="1" si="73"/>
        <v>0</v>
      </c>
      <c r="KH8" s="34">
        <f t="shared" ca="1" si="73"/>
        <v>0</v>
      </c>
      <c r="KI8" s="34">
        <f t="shared" ca="1" si="73"/>
        <v>0</v>
      </c>
      <c r="KJ8" s="34">
        <f t="shared" ca="1" si="73"/>
        <v>0</v>
      </c>
      <c r="KK8" s="34">
        <f t="shared" ca="1" si="74"/>
        <v>0</v>
      </c>
      <c r="KL8" s="34">
        <f t="shared" ca="1" si="74"/>
        <v>0</v>
      </c>
      <c r="KM8" s="34">
        <f t="shared" ca="1" si="74"/>
        <v>0</v>
      </c>
      <c r="KN8" s="34">
        <f t="shared" ca="1" si="74"/>
        <v>0</v>
      </c>
      <c r="KO8" s="34">
        <f t="shared" ca="1" si="74"/>
        <v>0</v>
      </c>
      <c r="KP8" s="34">
        <f t="shared" ca="1" si="74"/>
        <v>0</v>
      </c>
      <c r="KQ8" s="34">
        <f t="shared" ca="1" si="74"/>
        <v>0</v>
      </c>
      <c r="KR8" s="34">
        <f t="shared" ca="1" si="74"/>
        <v>0</v>
      </c>
      <c r="KS8" s="34">
        <f t="shared" ca="1" si="74"/>
        <v>0</v>
      </c>
      <c r="KT8" s="34">
        <f t="shared" ca="1" si="74"/>
        <v>0</v>
      </c>
      <c r="KU8" s="34">
        <f t="shared" ca="1" si="75"/>
        <v>0</v>
      </c>
      <c r="KV8" s="34">
        <f t="shared" ca="1" si="75"/>
        <v>0</v>
      </c>
      <c r="KW8" s="34">
        <f t="shared" ca="1" si="75"/>
        <v>0</v>
      </c>
      <c r="KX8" s="34">
        <f t="shared" ca="1" si="75"/>
        <v>0</v>
      </c>
      <c r="KY8" s="34">
        <f t="shared" ca="1" si="75"/>
        <v>0</v>
      </c>
      <c r="KZ8" s="34">
        <f t="shared" ca="1" si="75"/>
        <v>0</v>
      </c>
      <c r="LA8" s="34">
        <f t="shared" ca="1" si="75"/>
        <v>0</v>
      </c>
      <c r="LB8" s="34">
        <f t="shared" ca="1" si="75"/>
        <v>0</v>
      </c>
      <c r="LC8" s="34">
        <f t="shared" ca="1" si="75"/>
        <v>0</v>
      </c>
      <c r="LD8" s="34">
        <f t="shared" ca="1" si="75"/>
        <v>0</v>
      </c>
      <c r="LE8" s="34">
        <f t="shared" ca="1" si="76"/>
        <v>0</v>
      </c>
      <c r="LF8" s="34">
        <f t="shared" ca="1" si="76"/>
        <v>0</v>
      </c>
      <c r="LG8" s="34">
        <f t="shared" ca="1" si="76"/>
        <v>0</v>
      </c>
      <c r="LH8" s="34">
        <f t="shared" ca="1" si="76"/>
        <v>0</v>
      </c>
      <c r="LI8" s="34">
        <f t="shared" ca="1" si="76"/>
        <v>0</v>
      </c>
      <c r="LJ8" s="34">
        <f t="shared" ca="1" si="76"/>
        <v>0</v>
      </c>
      <c r="LK8" s="34">
        <f t="shared" ca="1" si="76"/>
        <v>0</v>
      </c>
      <c r="LL8" s="34">
        <f t="shared" ca="1" si="76"/>
        <v>0</v>
      </c>
      <c r="LM8" s="34">
        <f t="shared" ca="1" si="76"/>
        <v>0</v>
      </c>
      <c r="LN8" s="34">
        <f t="shared" ca="1" si="76"/>
        <v>0</v>
      </c>
      <c r="LO8" s="34">
        <f t="shared" ca="1" si="77"/>
        <v>0</v>
      </c>
      <c r="LP8" s="34">
        <f t="shared" ca="1" si="77"/>
        <v>0</v>
      </c>
      <c r="LQ8" s="34">
        <f t="shared" ca="1" si="77"/>
        <v>0</v>
      </c>
      <c r="LR8" s="34">
        <f t="shared" ca="1" si="77"/>
        <v>0</v>
      </c>
      <c r="LS8" s="34">
        <f t="shared" ca="1" si="77"/>
        <v>0</v>
      </c>
      <c r="LT8" s="34">
        <f t="shared" ca="1" si="77"/>
        <v>0</v>
      </c>
      <c r="LU8" s="34">
        <f t="shared" ca="1" si="77"/>
        <v>0</v>
      </c>
      <c r="LV8" s="34">
        <f t="shared" ca="1" si="77"/>
        <v>0</v>
      </c>
      <c r="LW8" s="34">
        <f t="shared" ca="1" si="77"/>
        <v>0</v>
      </c>
      <c r="LX8" s="34">
        <f t="shared" ca="1" si="77"/>
        <v>0</v>
      </c>
      <c r="LY8" s="34">
        <f t="shared" ca="1" si="78"/>
        <v>0</v>
      </c>
      <c r="LZ8" s="34">
        <f t="shared" ca="1" si="78"/>
        <v>0</v>
      </c>
      <c r="MA8" s="34">
        <f t="shared" ca="1" si="78"/>
        <v>0</v>
      </c>
      <c r="MB8" s="34">
        <f t="shared" ca="1" si="78"/>
        <v>0</v>
      </c>
      <c r="MC8" s="34">
        <f t="shared" ca="1" si="78"/>
        <v>0</v>
      </c>
      <c r="MD8" s="34">
        <f t="shared" ca="1" si="78"/>
        <v>0</v>
      </c>
      <c r="ME8" s="34">
        <f t="shared" ca="1" si="78"/>
        <v>0</v>
      </c>
      <c r="MF8" s="34">
        <f t="shared" ca="1" si="78"/>
        <v>0</v>
      </c>
      <c r="MG8" s="34">
        <f t="shared" ca="1" si="78"/>
        <v>0</v>
      </c>
      <c r="MH8" s="34">
        <f t="shared" ca="1" si="78"/>
        <v>0</v>
      </c>
      <c r="MI8" s="34">
        <f t="shared" ca="1" si="79"/>
        <v>0</v>
      </c>
      <c r="MJ8" s="34">
        <f t="shared" ca="1" si="79"/>
        <v>0</v>
      </c>
      <c r="MK8" s="34">
        <f t="shared" ca="1" si="79"/>
        <v>0</v>
      </c>
      <c r="ML8" s="34">
        <f t="shared" ca="1" si="79"/>
        <v>0</v>
      </c>
      <c r="MM8" s="34">
        <f t="shared" ca="1" si="79"/>
        <v>0</v>
      </c>
      <c r="MN8" s="34">
        <f t="shared" ca="1" si="79"/>
        <v>0</v>
      </c>
      <c r="MO8" s="34">
        <f t="shared" ca="1" si="79"/>
        <v>0</v>
      </c>
      <c r="MP8" s="34">
        <f t="shared" ca="1" si="79"/>
        <v>0</v>
      </c>
      <c r="MQ8" s="34">
        <f t="shared" ca="1" si="79"/>
        <v>0</v>
      </c>
      <c r="MR8" s="34">
        <f t="shared" ca="1" si="79"/>
        <v>0</v>
      </c>
      <c r="MS8" s="34">
        <f t="shared" ca="1" si="80"/>
        <v>0</v>
      </c>
      <c r="MT8" s="34">
        <f t="shared" ca="1" si="80"/>
        <v>0</v>
      </c>
      <c r="MU8" s="34">
        <f t="shared" ca="1" si="80"/>
        <v>0</v>
      </c>
      <c r="MV8" s="34">
        <f t="shared" ca="1" si="80"/>
        <v>0</v>
      </c>
      <c r="MW8" s="34">
        <f t="shared" ca="1" si="80"/>
        <v>0</v>
      </c>
      <c r="MX8" s="34">
        <f t="shared" ca="1" si="80"/>
        <v>0</v>
      </c>
      <c r="MY8" s="34">
        <f t="shared" ca="1" si="80"/>
        <v>0</v>
      </c>
      <c r="MZ8" s="34">
        <f t="shared" ca="1" si="80"/>
        <v>0</v>
      </c>
      <c r="NA8" s="34">
        <f t="shared" ca="1" si="80"/>
        <v>0</v>
      </c>
      <c r="NB8" s="34">
        <f t="shared" ca="1" si="80"/>
        <v>0</v>
      </c>
      <c r="NC8" s="34">
        <f t="shared" ca="1" si="81"/>
        <v>0</v>
      </c>
      <c r="ND8" s="34">
        <f t="shared" ca="1" si="81"/>
        <v>0</v>
      </c>
      <c r="NE8" s="34">
        <f t="shared" ca="1" si="81"/>
        <v>0</v>
      </c>
      <c r="NF8" s="34">
        <f t="shared" ca="1" si="81"/>
        <v>0</v>
      </c>
      <c r="NG8" s="34">
        <f t="shared" ca="1" si="81"/>
        <v>0</v>
      </c>
      <c r="NH8" s="34">
        <f t="shared" ca="1" si="81"/>
        <v>0</v>
      </c>
      <c r="NI8" s="34">
        <f t="shared" ca="1" si="81"/>
        <v>0</v>
      </c>
      <c r="NJ8" s="34">
        <f t="shared" ca="1" si="81"/>
        <v>0</v>
      </c>
      <c r="NK8" s="34">
        <f t="shared" ca="1" si="81"/>
        <v>0</v>
      </c>
      <c r="NL8" s="34">
        <f t="shared" ca="1" si="81"/>
        <v>0</v>
      </c>
      <c r="NM8" s="34">
        <f t="shared" ca="1" si="82"/>
        <v>0</v>
      </c>
      <c r="NN8" s="34">
        <f t="shared" ca="1" si="82"/>
        <v>0</v>
      </c>
      <c r="NO8" s="34">
        <f t="shared" ca="1" si="82"/>
        <v>0</v>
      </c>
      <c r="NP8" s="34">
        <f t="shared" ca="1" si="82"/>
        <v>0</v>
      </c>
      <c r="NQ8" s="34">
        <f t="shared" ca="1" si="82"/>
        <v>0</v>
      </c>
      <c r="NR8" s="34">
        <f t="shared" ca="1" si="82"/>
        <v>0</v>
      </c>
      <c r="NS8" s="34">
        <f t="shared" ca="1" si="82"/>
        <v>0</v>
      </c>
      <c r="NT8" s="34">
        <f t="shared" ca="1" si="82"/>
        <v>0</v>
      </c>
      <c r="NU8" s="34">
        <f t="shared" ca="1" si="82"/>
        <v>0</v>
      </c>
      <c r="NV8" s="34">
        <f t="shared" ca="1" si="82"/>
        <v>0</v>
      </c>
      <c r="NW8" s="34">
        <f t="shared" ca="1" si="83"/>
        <v>0</v>
      </c>
      <c r="NX8" s="34">
        <f t="shared" ca="1" si="83"/>
        <v>0</v>
      </c>
      <c r="NY8" s="34">
        <f t="shared" ca="1" si="83"/>
        <v>0</v>
      </c>
      <c r="NZ8" s="34">
        <f t="shared" ca="1" si="83"/>
        <v>0</v>
      </c>
      <c r="OA8" s="34">
        <f t="shared" ca="1" si="83"/>
        <v>0</v>
      </c>
      <c r="OB8" s="34">
        <f t="shared" ca="1" si="83"/>
        <v>0</v>
      </c>
      <c r="OC8" s="34">
        <f t="shared" ca="1" si="83"/>
        <v>0</v>
      </c>
      <c r="OD8" s="34">
        <f t="shared" ca="1" si="83"/>
        <v>0</v>
      </c>
      <c r="OE8" s="34">
        <f t="shared" ca="1" si="83"/>
        <v>0</v>
      </c>
      <c r="OF8" s="34">
        <f t="shared" ca="1" si="83"/>
        <v>0</v>
      </c>
      <c r="OG8" s="34">
        <f t="shared" ca="1" si="84"/>
        <v>0</v>
      </c>
      <c r="OH8" s="34">
        <f t="shared" ca="1" si="84"/>
        <v>0</v>
      </c>
      <c r="OI8" s="34">
        <f t="shared" ca="1" si="84"/>
        <v>0</v>
      </c>
      <c r="OJ8" s="34">
        <f t="shared" ca="1" si="84"/>
        <v>0</v>
      </c>
      <c r="OK8" s="34">
        <f t="shared" ca="1" si="84"/>
        <v>0</v>
      </c>
      <c r="OL8" s="34">
        <f t="shared" ca="1" si="84"/>
        <v>0</v>
      </c>
      <c r="OM8" s="34">
        <f t="shared" ca="1" si="84"/>
        <v>0</v>
      </c>
      <c r="ON8" s="34">
        <f t="shared" ca="1" si="84"/>
        <v>0</v>
      </c>
      <c r="OO8" s="34">
        <f t="shared" ca="1" si="84"/>
        <v>0</v>
      </c>
      <c r="OP8" s="34">
        <f t="shared" ca="1" si="84"/>
        <v>0</v>
      </c>
      <c r="OQ8" s="34">
        <f t="shared" ca="1" si="85"/>
        <v>0</v>
      </c>
      <c r="OR8" s="34">
        <f t="shared" ca="1" si="85"/>
        <v>0</v>
      </c>
      <c r="OS8" s="34">
        <f t="shared" ca="1" si="85"/>
        <v>0</v>
      </c>
      <c r="OT8" s="34">
        <f t="shared" ca="1" si="85"/>
        <v>0</v>
      </c>
      <c r="OU8" s="34">
        <f t="shared" ca="1" si="85"/>
        <v>0</v>
      </c>
      <c r="OV8" s="34">
        <f t="shared" ca="1" si="85"/>
        <v>0</v>
      </c>
      <c r="OW8" s="34">
        <f t="shared" ca="1" si="85"/>
        <v>0</v>
      </c>
      <c r="OX8" s="34">
        <f t="shared" ca="1" si="85"/>
        <v>0</v>
      </c>
      <c r="OY8" s="34">
        <f t="shared" ca="1" si="85"/>
        <v>0</v>
      </c>
      <c r="OZ8" s="34">
        <f t="shared" ca="1" si="85"/>
        <v>0</v>
      </c>
      <c r="PA8" s="34">
        <f t="shared" ca="1" si="86"/>
        <v>0</v>
      </c>
      <c r="PB8" s="34">
        <f t="shared" ca="1" si="86"/>
        <v>0</v>
      </c>
      <c r="PC8" s="34">
        <f t="shared" ca="1" si="86"/>
        <v>0</v>
      </c>
      <c r="PD8" s="34">
        <f t="shared" ca="1" si="86"/>
        <v>0</v>
      </c>
      <c r="PE8" s="34">
        <f t="shared" ca="1" si="86"/>
        <v>0</v>
      </c>
      <c r="PF8" s="34">
        <f t="shared" ca="1" si="86"/>
        <v>0</v>
      </c>
      <c r="PG8" s="34">
        <f t="shared" ca="1" si="86"/>
        <v>0</v>
      </c>
      <c r="PH8" s="34">
        <f t="shared" ca="1" si="86"/>
        <v>0</v>
      </c>
      <c r="PI8" s="34">
        <f t="shared" ca="1" si="86"/>
        <v>0</v>
      </c>
      <c r="PJ8" s="34">
        <f t="shared" ca="1" si="86"/>
        <v>0</v>
      </c>
      <c r="PK8" s="34">
        <f t="shared" ca="1" si="87"/>
        <v>0</v>
      </c>
      <c r="PL8" s="34">
        <f t="shared" ca="1" si="87"/>
        <v>0</v>
      </c>
      <c r="PM8" s="34">
        <f t="shared" ca="1" si="87"/>
        <v>0</v>
      </c>
      <c r="PN8" s="34">
        <f t="shared" ca="1" si="87"/>
        <v>0</v>
      </c>
      <c r="PO8" s="34">
        <f t="shared" ca="1" si="87"/>
        <v>0</v>
      </c>
      <c r="PP8" s="34">
        <f t="shared" ca="1" si="87"/>
        <v>0</v>
      </c>
      <c r="PQ8" s="34">
        <f t="shared" ca="1" si="87"/>
        <v>0</v>
      </c>
      <c r="PR8" s="34">
        <f t="shared" ca="1" si="87"/>
        <v>0</v>
      </c>
      <c r="PS8" s="34">
        <f t="shared" ca="1" si="87"/>
        <v>0</v>
      </c>
      <c r="PT8" s="34">
        <f t="shared" ca="1" si="87"/>
        <v>0</v>
      </c>
      <c r="PU8" s="34">
        <f t="shared" ca="1" si="88"/>
        <v>0</v>
      </c>
      <c r="PV8" s="34">
        <f t="shared" ca="1" si="88"/>
        <v>0</v>
      </c>
      <c r="PW8" s="34">
        <f t="shared" ca="1" si="88"/>
        <v>0</v>
      </c>
      <c r="PX8" s="34">
        <f t="shared" ca="1" si="88"/>
        <v>0</v>
      </c>
      <c r="PY8" s="34">
        <f t="shared" ca="1" si="88"/>
        <v>0</v>
      </c>
      <c r="PZ8" s="34">
        <f t="shared" ca="1" si="88"/>
        <v>0</v>
      </c>
      <c r="QA8" s="34">
        <f t="shared" ca="1" si="88"/>
        <v>0</v>
      </c>
      <c r="QB8" s="34">
        <f t="shared" ca="1" si="88"/>
        <v>0</v>
      </c>
      <c r="QC8" s="34">
        <f t="shared" ca="1" si="88"/>
        <v>0</v>
      </c>
      <c r="QD8" s="34">
        <f t="shared" ca="1" si="88"/>
        <v>0</v>
      </c>
      <c r="QE8" s="34">
        <f t="shared" ca="1" si="89"/>
        <v>0</v>
      </c>
      <c r="QF8" s="34">
        <f t="shared" ca="1" si="89"/>
        <v>0</v>
      </c>
      <c r="QG8" s="34">
        <f t="shared" ca="1" si="89"/>
        <v>0</v>
      </c>
      <c r="QH8" s="34">
        <f t="shared" ca="1" si="89"/>
        <v>0</v>
      </c>
      <c r="QI8" s="34">
        <f t="shared" ca="1" si="89"/>
        <v>0</v>
      </c>
      <c r="QJ8" s="34">
        <f t="shared" ca="1" si="89"/>
        <v>0</v>
      </c>
      <c r="QK8" s="34">
        <f t="shared" ca="1" si="89"/>
        <v>0</v>
      </c>
      <c r="QL8" s="34">
        <f t="shared" ca="1" si="89"/>
        <v>0</v>
      </c>
      <c r="QM8" s="34">
        <f t="shared" ca="1" si="89"/>
        <v>0</v>
      </c>
      <c r="QN8" s="34">
        <f t="shared" ca="1" si="89"/>
        <v>0</v>
      </c>
      <c r="QO8" s="34">
        <f t="shared" ca="1" si="90"/>
        <v>0</v>
      </c>
      <c r="QP8" s="34">
        <f t="shared" ca="1" si="90"/>
        <v>0</v>
      </c>
      <c r="QQ8" s="34">
        <f t="shared" ca="1" si="90"/>
        <v>0</v>
      </c>
      <c r="QR8" s="34">
        <f t="shared" ca="1" si="90"/>
        <v>0</v>
      </c>
      <c r="QS8" s="34">
        <f t="shared" ca="1" si="90"/>
        <v>0</v>
      </c>
      <c r="QT8" s="34">
        <f t="shared" ca="1" si="90"/>
        <v>0</v>
      </c>
      <c r="QU8" s="34">
        <f t="shared" ca="1" si="90"/>
        <v>0</v>
      </c>
      <c r="QV8" s="34">
        <f t="shared" ca="1" si="90"/>
        <v>0</v>
      </c>
      <c r="QW8" s="34">
        <f t="shared" ca="1" si="90"/>
        <v>0</v>
      </c>
      <c r="QX8" s="34">
        <f t="shared" ca="1" si="90"/>
        <v>0</v>
      </c>
      <c r="QY8" s="34">
        <f t="shared" ca="1" si="91"/>
        <v>0</v>
      </c>
      <c r="QZ8" s="34">
        <f t="shared" ca="1" si="91"/>
        <v>0</v>
      </c>
      <c r="RA8" s="34">
        <f t="shared" ca="1" si="91"/>
        <v>0</v>
      </c>
      <c r="RB8" s="34">
        <f t="shared" ca="1" si="91"/>
        <v>0</v>
      </c>
      <c r="RC8" s="34">
        <f t="shared" ca="1" si="91"/>
        <v>0</v>
      </c>
      <c r="RD8" s="34">
        <f t="shared" ca="1" si="91"/>
        <v>0</v>
      </c>
      <c r="RE8" s="34">
        <f t="shared" ca="1" si="91"/>
        <v>0</v>
      </c>
      <c r="RF8" s="34">
        <f t="shared" ca="1" si="91"/>
        <v>0</v>
      </c>
      <c r="RG8" s="34">
        <f t="shared" ca="1" si="91"/>
        <v>0</v>
      </c>
      <c r="RH8" s="34">
        <f t="shared" ca="1" si="91"/>
        <v>0</v>
      </c>
      <c r="RI8" s="34">
        <f t="shared" ca="1" si="92"/>
        <v>0</v>
      </c>
      <c r="RJ8" s="34">
        <f t="shared" ca="1" si="92"/>
        <v>0</v>
      </c>
      <c r="RK8" s="34">
        <f t="shared" ca="1" si="92"/>
        <v>0</v>
      </c>
      <c r="RL8" s="34">
        <f t="shared" ca="1" si="92"/>
        <v>0</v>
      </c>
      <c r="RM8" s="34">
        <f t="shared" ca="1" si="92"/>
        <v>0</v>
      </c>
      <c r="RN8" s="34">
        <f t="shared" ca="1" si="92"/>
        <v>0</v>
      </c>
      <c r="RO8" s="34">
        <f t="shared" ca="1" si="92"/>
        <v>0</v>
      </c>
      <c r="RP8" s="34">
        <f t="shared" ca="1" si="92"/>
        <v>0</v>
      </c>
      <c r="RQ8" s="34">
        <f t="shared" ca="1" si="92"/>
        <v>0</v>
      </c>
      <c r="RR8" s="34">
        <f t="shared" ca="1" si="92"/>
        <v>0</v>
      </c>
      <c r="RS8" s="34">
        <f t="shared" ca="1" si="93"/>
        <v>0</v>
      </c>
      <c r="RT8" s="34">
        <f t="shared" ca="1" si="93"/>
        <v>0</v>
      </c>
      <c r="RU8" s="34">
        <f t="shared" ca="1" si="93"/>
        <v>0</v>
      </c>
      <c r="RV8" s="34">
        <f t="shared" ca="1" si="93"/>
        <v>0</v>
      </c>
      <c r="RW8" s="34">
        <f t="shared" ca="1" si="93"/>
        <v>0</v>
      </c>
      <c r="RX8" s="34">
        <f t="shared" ca="1" si="93"/>
        <v>0</v>
      </c>
      <c r="RY8" s="34">
        <f t="shared" ca="1" si="93"/>
        <v>0</v>
      </c>
      <c r="RZ8" s="34">
        <f t="shared" ca="1" si="93"/>
        <v>0</v>
      </c>
      <c r="SA8" s="34">
        <f t="shared" ca="1" si="93"/>
        <v>0</v>
      </c>
      <c r="SB8" s="34">
        <f t="shared" ca="1" si="93"/>
        <v>0</v>
      </c>
      <c r="SC8" s="34">
        <f t="shared" ca="1" si="94"/>
        <v>0</v>
      </c>
      <c r="SD8" s="34">
        <f t="shared" ca="1" si="94"/>
        <v>0</v>
      </c>
      <c r="SE8" s="34">
        <f t="shared" ca="1" si="94"/>
        <v>0</v>
      </c>
      <c r="SF8" s="34">
        <f t="shared" ca="1" si="94"/>
        <v>0</v>
      </c>
      <c r="SG8" s="34">
        <f t="shared" ca="1" si="94"/>
        <v>0</v>
      </c>
      <c r="SH8" s="34">
        <f t="shared" ca="1" si="94"/>
        <v>0</v>
      </c>
      <c r="SI8" s="34">
        <f t="shared" ca="1" si="94"/>
        <v>0</v>
      </c>
      <c r="SJ8" s="34">
        <f t="shared" ca="1" si="94"/>
        <v>0</v>
      </c>
      <c r="SK8" s="34">
        <f t="shared" ca="1" si="94"/>
        <v>0</v>
      </c>
      <c r="SL8" s="34">
        <f t="shared" ca="1" si="94"/>
        <v>0</v>
      </c>
      <c r="SM8" s="34">
        <f t="shared" ca="1" si="95"/>
        <v>0</v>
      </c>
      <c r="SN8" s="34">
        <f t="shared" ca="1" si="95"/>
        <v>0</v>
      </c>
      <c r="SO8" s="34">
        <f t="shared" ca="1" si="95"/>
        <v>0</v>
      </c>
      <c r="SP8" s="34">
        <f t="shared" ca="1" si="95"/>
        <v>0</v>
      </c>
      <c r="SQ8" s="34">
        <f t="shared" ca="1" si="95"/>
        <v>0</v>
      </c>
      <c r="SR8" s="34">
        <f t="shared" ca="1" si="95"/>
        <v>0</v>
      </c>
      <c r="SS8" s="34">
        <f t="shared" ca="1" si="95"/>
        <v>0</v>
      </c>
      <c r="ST8" s="34">
        <f t="shared" ca="1" si="95"/>
        <v>0</v>
      </c>
      <c r="SU8" s="34">
        <f t="shared" ca="1" si="95"/>
        <v>0</v>
      </c>
      <c r="SV8" s="34">
        <f t="shared" ca="1" si="95"/>
        <v>0</v>
      </c>
      <c r="SW8" s="34">
        <f t="shared" ca="1" si="96"/>
        <v>0</v>
      </c>
      <c r="SX8" s="34">
        <f t="shared" ca="1" si="96"/>
        <v>0</v>
      </c>
      <c r="SY8" s="34">
        <f t="shared" ca="1" si="96"/>
        <v>0</v>
      </c>
      <c r="SZ8" s="34">
        <f t="shared" ca="1" si="96"/>
        <v>0</v>
      </c>
      <c r="TA8" s="34">
        <f t="shared" ca="1" si="96"/>
        <v>0</v>
      </c>
      <c r="TB8" s="34">
        <f t="shared" ca="1" si="96"/>
        <v>0</v>
      </c>
      <c r="TC8" s="34">
        <f t="shared" ca="1" si="96"/>
        <v>0</v>
      </c>
      <c r="TD8" s="34">
        <f t="shared" ca="1" si="96"/>
        <v>0</v>
      </c>
      <c r="TE8" s="34">
        <f t="shared" ca="1" si="96"/>
        <v>0</v>
      </c>
      <c r="TF8" s="34">
        <f t="shared" ca="1" si="96"/>
        <v>0</v>
      </c>
      <c r="TG8" s="34">
        <f t="shared" ca="1" si="97"/>
        <v>0</v>
      </c>
      <c r="TH8" s="34">
        <f t="shared" ca="1" si="97"/>
        <v>0</v>
      </c>
      <c r="TI8" s="34">
        <f t="shared" ca="1" si="97"/>
        <v>0</v>
      </c>
      <c r="TJ8" s="34">
        <f t="shared" ca="1" si="97"/>
        <v>0</v>
      </c>
      <c r="TK8" s="34">
        <f t="shared" ca="1" si="97"/>
        <v>0</v>
      </c>
      <c r="TL8" s="34">
        <f t="shared" ca="1" si="97"/>
        <v>0</v>
      </c>
      <c r="TM8" s="34">
        <f t="shared" ca="1" si="97"/>
        <v>0</v>
      </c>
      <c r="TN8" s="34">
        <f t="shared" ca="1" si="97"/>
        <v>0</v>
      </c>
      <c r="TO8" s="34">
        <f t="shared" ca="1" si="97"/>
        <v>0</v>
      </c>
      <c r="TP8" s="34">
        <f t="shared" ca="1" si="97"/>
        <v>0</v>
      </c>
      <c r="TQ8" s="34">
        <f t="shared" ca="1" si="98"/>
        <v>0</v>
      </c>
      <c r="TR8" s="34">
        <f t="shared" ca="1" si="98"/>
        <v>0</v>
      </c>
      <c r="TS8" s="34">
        <f t="shared" ca="1" si="98"/>
        <v>0</v>
      </c>
      <c r="TT8" s="34">
        <f t="shared" ca="1" si="98"/>
        <v>0</v>
      </c>
      <c r="TU8" s="34">
        <f t="shared" ca="1" si="98"/>
        <v>0</v>
      </c>
      <c r="TV8" s="34">
        <f t="shared" ca="1" si="98"/>
        <v>0</v>
      </c>
      <c r="TW8" s="34">
        <f t="shared" ca="1" si="98"/>
        <v>0</v>
      </c>
      <c r="TX8" s="34">
        <f t="shared" ca="1" si="98"/>
        <v>0</v>
      </c>
      <c r="TY8" s="34">
        <f t="shared" ca="1" si="98"/>
        <v>0</v>
      </c>
      <c r="TZ8" s="34">
        <f t="shared" ca="1" si="98"/>
        <v>0</v>
      </c>
      <c r="UA8" s="34">
        <f t="shared" ca="1" si="99"/>
        <v>0</v>
      </c>
      <c r="UB8" s="34">
        <f t="shared" ca="1" si="99"/>
        <v>0</v>
      </c>
      <c r="UC8" s="34">
        <f t="shared" ca="1" si="99"/>
        <v>0</v>
      </c>
      <c r="UD8" s="34">
        <f t="shared" ca="1" si="99"/>
        <v>0</v>
      </c>
      <c r="UE8" s="34">
        <f t="shared" ca="1" si="99"/>
        <v>0</v>
      </c>
      <c r="UF8" s="34">
        <f t="shared" ca="1" si="99"/>
        <v>0</v>
      </c>
      <c r="UG8" s="34">
        <f t="shared" ca="1" si="99"/>
        <v>0</v>
      </c>
      <c r="UH8" s="34">
        <f t="shared" ca="1" si="99"/>
        <v>0</v>
      </c>
      <c r="UI8" s="34">
        <f t="shared" ca="1" si="99"/>
        <v>0</v>
      </c>
      <c r="UJ8" s="34">
        <f t="shared" ca="1" si="99"/>
        <v>0</v>
      </c>
      <c r="UK8" s="34">
        <f t="shared" ca="1" si="100"/>
        <v>0</v>
      </c>
      <c r="UL8" s="34">
        <f t="shared" ca="1" si="100"/>
        <v>0</v>
      </c>
      <c r="UM8" s="34">
        <f t="shared" ca="1" si="100"/>
        <v>0</v>
      </c>
      <c r="UN8" s="34">
        <f t="shared" ca="1" si="100"/>
        <v>0</v>
      </c>
      <c r="UO8" s="34">
        <f t="shared" ca="1" si="100"/>
        <v>0</v>
      </c>
      <c r="UP8" s="34">
        <f t="shared" ca="1" si="100"/>
        <v>0</v>
      </c>
      <c r="UQ8" s="34">
        <f t="shared" ca="1" si="100"/>
        <v>0</v>
      </c>
      <c r="UR8" s="34">
        <f t="shared" ca="1" si="100"/>
        <v>0</v>
      </c>
      <c r="US8" s="34">
        <f t="shared" ca="1" si="100"/>
        <v>0</v>
      </c>
      <c r="UT8" s="34">
        <f t="shared" ca="1" si="100"/>
        <v>0</v>
      </c>
      <c r="UU8" s="34">
        <f t="shared" ca="1" si="101"/>
        <v>0</v>
      </c>
      <c r="UV8" s="34">
        <f t="shared" ca="1" si="101"/>
        <v>0</v>
      </c>
      <c r="UW8" s="34">
        <f t="shared" ca="1" si="101"/>
        <v>0</v>
      </c>
      <c r="UX8" s="34">
        <f t="shared" ca="1" si="101"/>
        <v>0</v>
      </c>
      <c r="UY8" s="34">
        <f t="shared" ca="1" si="101"/>
        <v>0</v>
      </c>
      <c r="UZ8" s="34">
        <f t="shared" ca="1" si="101"/>
        <v>0</v>
      </c>
      <c r="VA8" s="34">
        <f t="shared" ca="1" si="101"/>
        <v>0</v>
      </c>
      <c r="VB8" s="34">
        <f t="shared" ca="1" si="101"/>
        <v>0</v>
      </c>
      <c r="VC8" s="34">
        <f t="shared" ca="1" si="101"/>
        <v>0</v>
      </c>
      <c r="VD8" s="34">
        <f t="shared" ca="1" si="101"/>
        <v>0</v>
      </c>
      <c r="VE8" s="34">
        <f t="shared" ca="1" si="102"/>
        <v>0</v>
      </c>
      <c r="VF8" s="34">
        <f t="shared" ca="1" si="102"/>
        <v>0</v>
      </c>
      <c r="VG8" s="34">
        <f t="shared" ca="1" si="102"/>
        <v>0</v>
      </c>
      <c r="VH8" s="34">
        <f t="shared" ca="1" si="102"/>
        <v>0</v>
      </c>
      <c r="VI8" s="34">
        <f t="shared" ca="1" si="102"/>
        <v>0</v>
      </c>
      <c r="VJ8" s="34">
        <f t="shared" ca="1" si="102"/>
        <v>0</v>
      </c>
      <c r="VK8" s="34">
        <f t="shared" ca="1" si="102"/>
        <v>0</v>
      </c>
      <c r="VL8" s="34">
        <f t="shared" ca="1" si="102"/>
        <v>0</v>
      </c>
      <c r="VM8" s="34">
        <f t="shared" ca="1" si="102"/>
        <v>0</v>
      </c>
      <c r="VN8" s="34">
        <f t="shared" ca="1" si="102"/>
        <v>0</v>
      </c>
      <c r="VO8" s="34">
        <f t="shared" ca="1" si="103"/>
        <v>0</v>
      </c>
      <c r="VP8" s="34">
        <f t="shared" ca="1" si="103"/>
        <v>0</v>
      </c>
      <c r="VQ8" s="34">
        <f t="shared" ca="1" si="103"/>
        <v>0</v>
      </c>
      <c r="VR8" s="34">
        <f t="shared" ca="1" si="103"/>
        <v>0</v>
      </c>
      <c r="VS8" s="34">
        <f t="shared" ca="1" si="103"/>
        <v>0</v>
      </c>
      <c r="VT8" s="34">
        <f t="shared" ca="1" si="103"/>
        <v>0</v>
      </c>
      <c r="VU8" s="34">
        <f t="shared" ca="1" si="103"/>
        <v>0</v>
      </c>
      <c r="VV8" s="34">
        <f t="shared" ca="1" si="103"/>
        <v>0</v>
      </c>
      <c r="VW8" s="34">
        <f t="shared" ca="1" si="103"/>
        <v>0</v>
      </c>
      <c r="VX8" s="34">
        <f t="shared" ca="1" si="103"/>
        <v>0</v>
      </c>
      <c r="VY8" s="34">
        <f t="shared" ca="1" si="104"/>
        <v>0</v>
      </c>
      <c r="VZ8" s="34">
        <f t="shared" ca="1" si="104"/>
        <v>0</v>
      </c>
      <c r="WA8" s="34">
        <f t="shared" ca="1" si="104"/>
        <v>0</v>
      </c>
      <c r="WB8" s="34">
        <f t="shared" ca="1" si="104"/>
        <v>0</v>
      </c>
      <c r="WC8" s="34">
        <f t="shared" ca="1" si="104"/>
        <v>0</v>
      </c>
      <c r="WD8" s="34">
        <f t="shared" ca="1" si="104"/>
        <v>0</v>
      </c>
      <c r="WE8" s="34">
        <f t="shared" ca="1" si="104"/>
        <v>0</v>
      </c>
      <c r="WF8" s="34">
        <f t="shared" ca="1" si="104"/>
        <v>0</v>
      </c>
      <c r="WG8" s="34">
        <f t="shared" ca="1" si="104"/>
        <v>0</v>
      </c>
      <c r="WH8" s="34">
        <f t="shared" ca="1" si="104"/>
        <v>0</v>
      </c>
      <c r="WI8" s="34">
        <f t="shared" ca="1" si="105"/>
        <v>0</v>
      </c>
      <c r="WJ8" s="34">
        <f t="shared" ca="1" si="105"/>
        <v>0</v>
      </c>
      <c r="WK8" s="34">
        <f t="shared" ca="1" si="105"/>
        <v>0</v>
      </c>
      <c r="WL8" s="34">
        <f t="shared" ca="1" si="105"/>
        <v>0</v>
      </c>
      <c r="WM8" s="34">
        <f t="shared" ca="1" si="105"/>
        <v>0</v>
      </c>
      <c r="WN8" s="34">
        <f t="shared" ca="1" si="105"/>
        <v>0</v>
      </c>
      <c r="WO8" s="34">
        <f t="shared" ca="1" si="105"/>
        <v>0</v>
      </c>
      <c r="WP8" s="34">
        <f t="shared" ca="1" si="105"/>
        <v>0</v>
      </c>
      <c r="WQ8" s="34">
        <f t="shared" ca="1" si="105"/>
        <v>0</v>
      </c>
      <c r="WR8" s="34">
        <f t="shared" ca="1" si="105"/>
        <v>0</v>
      </c>
      <c r="WS8" s="34">
        <f t="shared" ca="1" si="106"/>
        <v>0</v>
      </c>
      <c r="WT8" s="34">
        <f t="shared" ca="1" si="106"/>
        <v>0</v>
      </c>
      <c r="WU8" s="34">
        <f t="shared" ca="1" si="106"/>
        <v>0</v>
      </c>
      <c r="WV8" s="34">
        <f t="shared" ca="1" si="106"/>
        <v>0</v>
      </c>
      <c r="WW8" s="34">
        <f t="shared" ca="1" si="106"/>
        <v>0</v>
      </c>
      <c r="WX8" s="34">
        <f t="shared" ca="1" si="106"/>
        <v>0</v>
      </c>
      <c r="WY8" s="34">
        <f t="shared" ca="1" si="106"/>
        <v>0</v>
      </c>
      <c r="WZ8" s="34">
        <f t="shared" ca="1" si="106"/>
        <v>0</v>
      </c>
      <c r="XA8" s="34">
        <f t="shared" ca="1" si="106"/>
        <v>0</v>
      </c>
      <c r="XB8" s="34">
        <f t="shared" ca="1" si="106"/>
        <v>0</v>
      </c>
      <c r="XC8" s="34">
        <f t="shared" ca="1" si="107"/>
        <v>0</v>
      </c>
      <c r="XD8" s="34">
        <f t="shared" ca="1" si="107"/>
        <v>0</v>
      </c>
      <c r="XE8" s="34">
        <f t="shared" ca="1" si="107"/>
        <v>0</v>
      </c>
      <c r="XF8" s="34">
        <f t="shared" ca="1" si="107"/>
        <v>0</v>
      </c>
      <c r="XG8" s="34">
        <f t="shared" ca="1" si="107"/>
        <v>0</v>
      </c>
      <c r="XH8" s="34">
        <f t="shared" ca="1" si="107"/>
        <v>0</v>
      </c>
      <c r="XI8" s="34">
        <f t="shared" ca="1" si="107"/>
        <v>0</v>
      </c>
      <c r="XJ8" s="34">
        <f t="shared" ca="1" si="107"/>
        <v>0</v>
      </c>
      <c r="XK8" s="34">
        <f t="shared" ca="1" si="107"/>
        <v>0</v>
      </c>
      <c r="XL8" s="34">
        <f t="shared" ca="1" si="107"/>
        <v>0</v>
      </c>
      <c r="XM8" s="34">
        <f t="shared" ca="1" si="108"/>
        <v>0</v>
      </c>
      <c r="XN8" s="34">
        <f t="shared" ca="1" si="108"/>
        <v>0</v>
      </c>
      <c r="XO8" s="34">
        <f t="shared" ca="1" si="108"/>
        <v>0</v>
      </c>
      <c r="XP8" s="34">
        <f t="shared" ca="1" si="108"/>
        <v>0</v>
      </c>
      <c r="XQ8" s="34">
        <f t="shared" ca="1" si="108"/>
        <v>0</v>
      </c>
      <c r="XR8" s="34">
        <f t="shared" ca="1" si="108"/>
        <v>0</v>
      </c>
      <c r="XS8" s="34">
        <f t="shared" ca="1" si="108"/>
        <v>0</v>
      </c>
      <c r="XT8" s="34">
        <f t="shared" ca="1" si="108"/>
        <v>0</v>
      </c>
      <c r="XU8" s="34">
        <f t="shared" ca="1" si="108"/>
        <v>0</v>
      </c>
      <c r="XV8" s="34">
        <f t="shared" ca="1" si="108"/>
        <v>0</v>
      </c>
      <c r="XW8" s="34">
        <f t="shared" ca="1" si="109"/>
        <v>0</v>
      </c>
      <c r="XX8" s="34">
        <f t="shared" ca="1" si="109"/>
        <v>0</v>
      </c>
      <c r="XY8" s="34">
        <f t="shared" ca="1" si="109"/>
        <v>0</v>
      </c>
      <c r="XZ8" s="34">
        <f t="shared" ca="1" si="109"/>
        <v>0</v>
      </c>
      <c r="YA8" s="34">
        <f t="shared" ca="1" si="109"/>
        <v>0</v>
      </c>
      <c r="YB8" s="34">
        <f t="shared" ca="1" si="109"/>
        <v>0</v>
      </c>
      <c r="YC8" s="34">
        <f t="shared" ca="1" si="109"/>
        <v>0</v>
      </c>
      <c r="YD8" s="34">
        <f t="shared" ca="1" si="109"/>
        <v>0</v>
      </c>
      <c r="YE8" s="34">
        <f t="shared" ca="1" si="109"/>
        <v>0</v>
      </c>
      <c r="YF8" s="34">
        <f t="shared" ca="1" si="109"/>
        <v>0</v>
      </c>
      <c r="YG8" s="34">
        <f t="shared" ca="1" si="110"/>
        <v>0</v>
      </c>
      <c r="YH8" s="34">
        <f t="shared" ca="1" si="110"/>
        <v>0</v>
      </c>
      <c r="YI8" s="34">
        <f t="shared" ca="1" si="110"/>
        <v>0</v>
      </c>
      <c r="YJ8" s="34">
        <f t="shared" ca="1" si="110"/>
        <v>0</v>
      </c>
      <c r="YK8" s="34">
        <f t="shared" ca="1" si="110"/>
        <v>0</v>
      </c>
      <c r="YL8" s="34">
        <f t="shared" ca="1" si="110"/>
        <v>0</v>
      </c>
      <c r="YM8" s="34">
        <f t="shared" ca="1" si="110"/>
        <v>0</v>
      </c>
      <c r="YN8" s="34">
        <f t="shared" ca="1" si="110"/>
        <v>0</v>
      </c>
      <c r="YO8" s="34">
        <f t="shared" ca="1" si="110"/>
        <v>0</v>
      </c>
      <c r="YP8" s="34">
        <f t="shared" ca="1" si="110"/>
        <v>0</v>
      </c>
      <c r="YQ8" s="34">
        <f t="shared" ca="1" si="111"/>
        <v>0</v>
      </c>
      <c r="YR8" s="34">
        <f t="shared" ca="1" si="111"/>
        <v>0</v>
      </c>
      <c r="YS8" s="34">
        <f t="shared" ca="1" si="111"/>
        <v>0</v>
      </c>
      <c r="YT8" s="34">
        <f t="shared" ca="1" si="111"/>
        <v>0</v>
      </c>
      <c r="YU8" s="34">
        <f t="shared" ca="1" si="111"/>
        <v>0</v>
      </c>
      <c r="YV8" s="34">
        <f t="shared" ca="1" si="111"/>
        <v>0</v>
      </c>
      <c r="YW8" s="34">
        <f t="shared" ca="1" si="111"/>
        <v>0</v>
      </c>
      <c r="YX8" s="34">
        <f t="shared" ca="1" si="111"/>
        <v>0</v>
      </c>
      <c r="YY8" s="34">
        <f t="shared" ca="1" si="111"/>
        <v>0</v>
      </c>
      <c r="YZ8" s="34">
        <f t="shared" ca="1" si="111"/>
        <v>0</v>
      </c>
      <c r="ZA8" s="34">
        <f t="shared" ca="1" si="112"/>
        <v>0</v>
      </c>
      <c r="ZB8" s="34">
        <f t="shared" ca="1" si="112"/>
        <v>0</v>
      </c>
      <c r="ZC8" s="34">
        <f t="shared" ca="1" si="112"/>
        <v>0</v>
      </c>
      <c r="ZD8" s="34">
        <f t="shared" ca="1" si="112"/>
        <v>0</v>
      </c>
      <c r="ZE8" s="34">
        <f t="shared" ca="1" si="112"/>
        <v>0</v>
      </c>
      <c r="ZF8" s="34">
        <f t="shared" ca="1" si="112"/>
        <v>0</v>
      </c>
      <c r="ZG8" s="34">
        <f t="shared" ca="1" si="112"/>
        <v>0</v>
      </c>
      <c r="ZH8" s="34">
        <f t="shared" ca="1" si="112"/>
        <v>0</v>
      </c>
      <c r="ZI8" s="34">
        <f t="shared" ca="1" si="112"/>
        <v>0</v>
      </c>
      <c r="ZJ8" s="34">
        <f t="shared" ca="1" si="112"/>
        <v>0</v>
      </c>
      <c r="ZK8" s="34">
        <f t="shared" ca="1" si="113"/>
        <v>0</v>
      </c>
      <c r="ZL8" s="34">
        <f t="shared" ca="1" si="113"/>
        <v>0</v>
      </c>
      <c r="ZM8" s="34">
        <f t="shared" ca="1" si="113"/>
        <v>0</v>
      </c>
      <c r="ZN8" s="34">
        <f t="shared" ca="1" si="113"/>
        <v>0</v>
      </c>
      <c r="ZO8" s="34">
        <f t="shared" ca="1" si="113"/>
        <v>0</v>
      </c>
      <c r="ZP8" s="34">
        <f t="shared" ca="1" si="113"/>
        <v>0</v>
      </c>
      <c r="ZQ8" s="34">
        <f t="shared" ca="1" si="113"/>
        <v>0</v>
      </c>
      <c r="ZR8" s="34">
        <f t="shared" ca="1" si="113"/>
        <v>0</v>
      </c>
      <c r="ZS8" s="34">
        <f t="shared" ca="1" si="113"/>
        <v>0</v>
      </c>
      <c r="ZT8" s="34">
        <f t="shared" ca="1" si="113"/>
        <v>0</v>
      </c>
      <c r="ZU8" s="34">
        <f t="shared" ca="1" si="114"/>
        <v>0</v>
      </c>
      <c r="ZV8" s="34">
        <f t="shared" ca="1" si="114"/>
        <v>0</v>
      </c>
      <c r="ZW8" s="34">
        <f t="shared" ca="1" si="114"/>
        <v>0</v>
      </c>
      <c r="ZX8" s="34">
        <f t="shared" ca="1" si="114"/>
        <v>0</v>
      </c>
      <c r="ZY8" s="34">
        <f t="shared" ca="1" si="114"/>
        <v>0</v>
      </c>
      <c r="ZZ8" s="34">
        <f t="shared" ca="1" si="114"/>
        <v>0</v>
      </c>
      <c r="AAA8" s="34">
        <f t="shared" ca="1" si="114"/>
        <v>0</v>
      </c>
      <c r="AAB8" s="34">
        <f t="shared" ca="1" si="114"/>
        <v>0</v>
      </c>
      <c r="AAC8" s="34">
        <f t="shared" ca="1" si="114"/>
        <v>0</v>
      </c>
      <c r="AAD8" s="34">
        <f t="shared" ca="1" si="114"/>
        <v>0</v>
      </c>
      <c r="AAE8" s="34">
        <f t="shared" ca="1" si="115"/>
        <v>0</v>
      </c>
      <c r="AAF8" s="34">
        <f t="shared" ca="1" si="115"/>
        <v>0</v>
      </c>
      <c r="AAG8" s="34">
        <f t="shared" ca="1" si="115"/>
        <v>0</v>
      </c>
      <c r="AAH8" s="34">
        <f t="shared" ca="1" si="115"/>
        <v>0</v>
      </c>
      <c r="AAI8" s="34">
        <f t="shared" ca="1" si="115"/>
        <v>0</v>
      </c>
      <c r="AAJ8" s="34">
        <f t="shared" ca="1" si="115"/>
        <v>0</v>
      </c>
      <c r="AAK8" s="34">
        <f t="shared" ca="1" si="115"/>
        <v>0</v>
      </c>
      <c r="AAL8" s="34">
        <f t="shared" ca="1" si="115"/>
        <v>0</v>
      </c>
      <c r="AAM8" s="34">
        <f t="shared" ca="1" si="115"/>
        <v>0</v>
      </c>
      <c r="AAN8" s="34">
        <f t="shared" ca="1" si="115"/>
        <v>0</v>
      </c>
      <c r="AAO8" s="34">
        <f t="shared" ca="1" si="116"/>
        <v>0</v>
      </c>
      <c r="AAP8" s="34">
        <f t="shared" ca="1" si="116"/>
        <v>0</v>
      </c>
      <c r="AAQ8" s="34">
        <f t="shared" ca="1" si="116"/>
        <v>0</v>
      </c>
      <c r="AAR8" s="34">
        <f t="shared" ca="1" si="116"/>
        <v>0</v>
      </c>
      <c r="AAS8" s="34">
        <f t="shared" ca="1" si="116"/>
        <v>0</v>
      </c>
      <c r="AAT8" s="34">
        <f t="shared" ca="1" si="116"/>
        <v>0</v>
      </c>
      <c r="AAU8" s="34">
        <f t="shared" ca="1" si="116"/>
        <v>0</v>
      </c>
      <c r="AAV8" s="34">
        <f t="shared" ca="1" si="116"/>
        <v>0</v>
      </c>
      <c r="AAW8" s="34">
        <f t="shared" ca="1" si="116"/>
        <v>0</v>
      </c>
      <c r="AAX8" s="34">
        <f t="shared" ca="1" si="116"/>
        <v>0</v>
      </c>
      <c r="AAY8" s="34">
        <f t="shared" ca="1" si="117"/>
        <v>0</v>
      </c>
      <c r="AAZ8" s="34">
        <f t="shared" ca="1" si="117"/>
        <v>0</v>
      </c>
      <c r="ABA8" s="34">
        <f t="shared" ca="1" si="117"/>
        <v>0</v>
      </c>
      <c r="ABB8" s="34">
        <f t="shared" ca="1" si="117"/>
        <v>0</v>
      </c>
      <c r="ABC8" s="34">
        <f t="shared" ca="1" si="117"/>
        <v>0</v>
      </c>
      <c r="ABD8" s="34">
        <f t="shared" ca="1" si="117"/>
        <v>0</v>
      </c>
      <c r="ABE8" s="34">
        <f t="shared" ca="1" si="117"/>
        <v>0</v>
      </c>
      <c r="ABF8" s="34">
        <f t="shared" ca="1" si="117"/>
        <v>0</v>
      </c>
      <c r="ABG8" s="34">
        <f t="shared" ca="1" si="117"/>
        <v>0</v>
      </c>
      <c r="ABH8" s="34">
        <f t="shared" ca="1" si="117"/>
        <v>0</v>
      </c>
      <c r="ABI8" s="34">
        <f t="shared" ca="1" si="118"/>
        <v>0</v>
      </c>
      <c r="ABJ8" s="34">
        <f t="shared" ca="1" si="118"/>
        <v>0</v>
      </c>
      <c r="ABK8" s="34">
        <f t="shared" ca="1" si="118"/>
        <v>0</v>
      </c>
      <c r="ABL8" s="34">
        <f t="shared" ca="1" si="118"/>
        <v>0</v>
      </c>
      <c r="ABM8" s="34">
        <f t="shared" ca="1" si="118"/>
        <v>0</v>
      </c>
      <c r="ABN8" s="34">
        <f t="shared" ca="1" si="118"/>
        <v>0</v>
      </c>
      <c r="ABO8" s="34">
        <f t="shared" ca="1" si="118"/>
        <v>0</v>
      </c>
      <c r="ABP8" s="34">
        <f t="shared" ca="1" si="118"/>
        <v>0</v>
      </c>
      <c r="ABQ8" s="34">
        <f t="shared" ca="1" si="118"/>
        <v>0</v>
      </c>
      <c r="ABR8" s="34">
        <f t="shared" ca="1" si="118"/>
        <v>0</v>
      </c>
      <c r="ABS8" s="34">
        <f t="shared" ca="1" si="119"/>
        <v>0</v>
      </c>
      <c r="ABT8" s="34">
        <f t="shared" ca="1" si="119"/>
        <v>0</v>
      </c>
      <c r="ABU8" s="34">
        <f t="shared" ca="1" si="119"/>
        <v>0</v>
      </c>
      <c r="ABV8" s="34">
        <f t="shared" ca="1" si="119"/>
        <v>0</v>
      </c>
      <c r="ABW8" s="34">
        <f t="shared" ca="1" si="119"/>
        <v>0</v>
      </c>
      <c r="ABX8" s="34">
        <f t="shared" ca="1" si="119"/>
        <v>0</v>
      </c>
      <c r="ABY8" s="34">
        <f t="shared" ca="1" si="119"/>
        <v>0</v>
      </c>
      <c r="ABZ8" s="34">
        <f t="shared" ca="1" si="119"/>
        <v>0</v>
      </c>
      <c r="ACA8" s="34">
        <f t="shared" ca="1" si="119"/>
        <v>0</v>
      </c>
      <c r="ACB8" s="34">
        <f t="shared" ca="1" si="119"/>
        <v>0</v>
      </c>
      <c r="ACC8" s="34">
        <f t="shared" ca="1" si="120"/>
        <v>0</v>
      </c>
      <c r="ACD8" s="34">
        <f t="shared" ca="1" si="120"/>
        <v>0</v>
      </c>
      <c r="ACE8" s="34">
        <f t="shared" ca="1" si="120"/>
        <v>0</v>
      </c>
      <c r="ACF8" s="34">
        <f t="shared" ca="1" si="120"/>
        <v>0</v>
      </c>
      <c r="ACG8" s="34">
        <f t="shared" ca="1" si="120"/>
        <v>0</v>
      </c>
      <c r="ACH8" s="34">
        <f t="shared" ca="1" si="120"/>
        <v>0</v>
      </c>
      <c r="ACI8" s="34">
        <f t="shared" ca="1" si="120"/>
        <v>0</v>
      </c>
      <c r="ACJ8" s="34">
        <f t="shared" ca="1" si="120"/>
        <v>0</v>
      </c>
      <c r="ACK8" s="34">
        <f t="shared" ca="1" si="120"/>
        <v>0</v>
      </c>
      <c r="ACL8" s="34">
        <f t="shared" ca="1" si="120"/>
        <v>0</v>
      </c>
      <c r="ACM8" s="34">
        <f t="shared" ca="1" si="121"/>
        <v>0</v>
      </c>
      <c r="ACN8" s="34">
        <f t="shared" ca="1" si="121"/>
        <v>0</v>
      </c>
      <c r="ACO8" s="34">
        <f t="shared" ca="1" si="121"/>
        <v>0</v>
      </c>
      <c r="ACP8" s="34">
        <f t="shared" ca="1" si="121"/>
        <v>0</v>
      </c>
      <c r="ACQ8" s="34">
        <f t="shared" ca="1" si="121"/>
        <v>0</v>
      </c>
      <c r="ACR8" s="34">
        <f t="shared" ca="1" si="121"/>
        <v>0</v>
      </c>
      <c r="ACS8" s="34">
        <f t="shared" ca="1" si="121"/>
        <v>0</v>
      </c>
      <c r="ACT8" s="34">
        <f t="shared" ca="1" si="121"/>
        <v>0</v>
      </c>
      <c r="ACU8" s="34">
        <f t="shared" ca="1" si="121"/>
        <v>0</v>
      </c>
      <c r="ACV8" s="34">
        <f t="shared" ca="1" si="121"/>
        <v>0</v>
      </c>
      <c r="ACW8" s="34">
        <f t="shared" ca="1" si="122"/>
        <v>0</v>
      </c>
      <c r="ACX8" s="34">
        <f t="shared" ca="1" si="122"/>
        <v>0</v>
      </c>
      <c r="ACY8" s="34">
        <f t="shared" ca="1" si="122"/>
        <v>0</v>
      </c>
      <c r="ACZ8" s="34">
        <f t="shared" ca="1" si="122"/>
        <v>0</v>
      </c>
      <c r="ADA8" s="34">
        <f t="shared" ca="1" si="122"/>
        <v>0</v>
      </c>
      <c r="ADB8" s="34">
        <f t="shared" ca="1" si="122"/>
        <v>0</v>
      </c>
      <c r="ADC8" s="34">
        <f t="shared" ca="1" si="122"/>
        <v>0</v>
      </c>
      <c r="ADD8" s="34">
        <f t="shared" ca="1" si="122"/>
        <v>0</v>
      </c>
      <c r="ADE8" s="34">
        <f t="shared" ca="1" si="122"/>
        <v>0</v>
      </c>
      <c r="ADF8" s="34">
        <f t="shared" ca="1" si="122"/>
        <v>0</v>
      </c>
      <c r="ADG8" s="34">
        <f t="shared" ca="1" si="123"/>
        <v>0</v>
      </c>
      <c r="ADH8" s="34">
        <f t="shared" ca="1" si="123"/>
        <v>0</v>
      </c>
      <c r="ADI8" s="34">
        <f t="shared" ca="1" si="123"/>
        <v>0</v>
      </c>
      <c r="ADJ8" s="34">
        <f t="shared" ca="1" si="123"/>
        <v>0</v>
      </c>
      <c r="ADK8" s="34">
        <f t="shared" ca="1" si="123"/>
        <v>0</v>
      </c>
      <c r="ADL8" s="34">
        <f t="shared" ca="1" si="123"/>
        <v>0</v>
      </c>
      <c r="ADM8" s="34">
        <f t="shared" ca="1" si="123"/>
        <v>0</v>
      </c>
      <c r="ADN8" s="34">
        <f t="shared" ca="1" si="123"/>
        <v>0</v>
      </c>
      <c r="ADO8" s="34">
        <f t="shared" ca="1" si="123"/>
        <v>0</v>
      </c>
      <c r="ADP8" s="34">
        <f t="shared" ca="1" si="123"/>
        <v>0</v>
      </c>
      <c r="ADQ8" s="34">
        <f t="shared" ca="1" si="124"/>
        <v>0</v>
      </c>
      <c r="ADR8" s="34">
        <f t="shared" ca="1" si="124"/>
        <v>0</v>
      </c>
      <c r="ADS8" s="34">
        <f t="shared" ca="1" si="124"/>
        <v>0</v>
      </c>
      <c r="ADT8" s="34">
        <f t="shared" ca="1" si="124"/>
        <v>0</v>
      </c>
      <c r="ADU8" s="34">
        <f t="shared" ca="1" si="124"/>
        <v>0</v>
      </c>
      <c r="ADV8" s="34">
        <f t="shared" ca="1" si="124"/>
        <v>0</v>
      </c>
      <c r="ADW8" s="34">
        <f t="shared" ca="1" si="124"/>
        <v>0</v>
      </c>
      <c r="ADX8" s="34">
        <f t="shared" ca="1" si="124"/>
        <v>0</v>
      </c>
      <c r="ADY8" s="34">
        <f t="shared" ca="1" si="124"/>
        <v>0</v>
      </c>
      <c r="ADZ8" s="34">
        <f t="shared" ca="1" si="124"/>
        <v>0</v>
      </c>
      <c r="AEA8" s="34">
        <f t="shared" ca="1" si="125"/>
        <v>0</v>
      </c>
      <c r="AEB8" s="34">
        <f t="shared" ca="1" si="125"/>
        <v>0</v>
      </c>
      <c r="AEC8" s="34">
        <f t="shared" ca="1" si="125"/>
        <v>0</v>
      </c>
      <c r="AED8" s="34">
        <f t="shared" ca="1" si="125"/>
        <v>0</v>
      </c>
      <c r="AEE8" s="34">
        <f t="shared" ca="1" si="125"/>
        <v>0</v>
      </c>
      <c r="AEF8" s="34">
        <f t="shared" ca="1" si="125"/>
        <v>0</v>
      </c>
      <c r="AEG8" s="34">
        <f t="shared" ca="1" si="125"/>
        <v>0</v>
      </c>
      <c r="AEH8" s="34">
        <f t="shared" ca="1" si="125"/>
        <v>0</v>
      </c>
      <c r="AEI8" s="34">
        <f t="shared" ca="1" si="125"/>
        <v>0</v>
      </c>
      <c r="AEJ8" s="34">
        <f t="shared" ca="1" si="125"/>
        <v>0</v>
      </c>
      <c r="AEK8" s="34">
        <f t="shared" ca="1" si="126"/>
        <v>0</v>
      </c>
      <c r="AEL8" s="34">
        <f t="shared" ca="1" si="126"/>
        <v>0</v>
      </c>
      <c r="AEM8" s="34">
        <f t="shared" ca="1" si="126"/>
        <v>0</v>
      </c>
      <c r="AEN8" s="34">
        <f t="shared" ca="1" si="126"/>
        <v>0</v>
      </c>
      <c r="AEO8" s="34">
        <f t="shared" ca="1" si="126"/>
        <v>0</v>
      </c>
      <c r="AEP8" s="34">
        <f t="shared" ca="1" si="126"/>
        <v>0</v>
      </c>
      <c r="AEQ8" s="34">
        <f t="shared" ca="1" si="126"/>
        <v>0</v>
      </c>
      <c r="AER8" s="34">
        <f t="shared" ca="1" si="126"/>
        <v>0</v>
      </c>
      <c r="AES8" s="34">
        <f t="shared" ca="1" si="126"/>
        <v>0</v>
      </c>
      <c r="AET8" s="34">
        <f t="shared" ca="1" si="126"/>
        <v>0</v>
      </c>
      <c r="AEU8" s="34">
        <f t="shared" ca="1" si="127"/>
        <v>0</v>
      </c>
      <c r="AEV8" s="34">
        <f t="shared" ca="1" si="127"/>
        <v>0</v>
      </c>
      <c r="AEW8" s="34">
        <f t="shared" ca="1" si="127"/>
        <v>0</v>
      </c>
      <c r="AEX8" s="34">
        <f t="shared" ca="1" si="127"/>
        <v>0</v>
      </c>
      <c r="AEY8" s="34">
        <f t="shared" ca="1" si="127"/>
        <v>0</v>
      </c>
      <c r="AEZ8" s="34">
        <f t="shared" ca="1" si="127"/>
        <v>0</v>
      </c>
      <c r="AFA8" s="34">
        <f t="shared" ca="1" si="127"/>
        <v>0</v>
      </c>
      <c r="AFB8" s="34">
        <f t="shared" ca="1" si="127"/>
        <v>0</v>
      </c>
      <c r="AFC8" s="34">
        <f t="shared" ca="1" si="127"/>
        <v>0</v>
      </c>
      <c r="AFD8" s="34">
        <f t="shared" ca="1" si="127"/>
        <v>0</v>
      </c>
      <c r="AFE8" s="34">
        <f t="shared" ca="1" si="128"/>
        <v>0</v>
      </c>
      <c r="AFF8" s="34">
        <f t="shared" ca="1" si="128"/>
        <v>0</v>
      </c>
      <c r="AFG8" s="34">
        <f t="shared" ca="1" si="128"/>
        <v>0</v>
      </c>
      <c r="AFH8" s="34">
        <f t="shared" ca="1" si="128"/>
        <v>0</v>
      </c>
      <c r="AFI8" s="34">
        <f t="shared" ca="1" si="128"/>
        <v>0</v>
      </c>
      <c r="AFJ8" s="34">
        <f t="shared" ca="1" si="128"/>
        <v>0</v>
      </c>
      <c r="AFK8" s="34">
        <f t="shared" ca="1" si="128"/>
        <v>0</v>
      </c>
      <c r="AFL8" s="34">
        <f t="shared" ca="1" si="128"/>
        <v>0</v>
      </c>
      <c r="AFM8" s="34">
        <f t="shared" ca="1" si="128"/>
        <v>0</v>
      </c>
      <c r="AFN8" s="34">
        <f t="shared" ca="1" si="128"/>
        <v>0</v>
      </c>
      <c r="AFO8" s="34">
        <f t="shared" ca="1" si="129"/>
        <v>0</v>
      </c>
      <c r="AFP8" s="34">
        <f t="shared" ca="1" si="129"/>
        <v>0</v>
      </c>
      <c r="AFQ8" s="34">
        <f t="shared" ca="1" si="129"/>
        <v>0</v>
      </c>
      <c r="AFR8" s="34">
        <f t="shared" ca="1" si="129"/>
        <v>0</v>
      </c>
      <c r="AFS8" s="34">
        <f t="shared" ca="1" si="129"/>
        <v>0</v>
      </c>
      <c r="AFT8" s="34">
        <f t="shared" ca="1" si="129"/>
        <v>0</v>
      </c>
      <c r="AFU8" s="34">
        <f t="shared" ca="1" si="129"/>
        <v>0</v>
      </c>
      <c r="AFV8" s="34">
        <f t="shared" ca="1" si="129"/>
        <v>0</v>
      </c>
      <c r="AFW8" s="34">
        <f t="shared" ca="1" si="129"/>
        <v>0</v>
      </c>
      <c r="AFX8" s="34">
        <f t="shared" ca="1" si="129"/>
        <v>0</v>
      </c>
      <c r="AFY8" s="34">
        <f t="shared" ca="1" si="130"/>
        <v>0</v>
      </c>
      <c r="AFZ8" s="34">
        <f t="shared" ca="1" si="130"/>
        <v>0</v>
      </c>
      <c r="AGA8" s="34">
        <f t="shared" ca="1" si="130"/>
        <v>0</v>
      </c>
      <c r="AGB8" s="34">
        <f t="shared" ca="1" si="130"/>
        <v>0</v>
      </c>
      <c r="AGC8" s="34">
        <f t="shared" ca="1" si="130"/>
        <v>0</v>
      </c>
      <c r="AGD8" s="34">
        <f t="shared" ca="1" si="130"/>
        <v>0</v>
      </c>
      <c r="AGE8" s="34">
        <f t="shared" ca="1" si="130"/>
        <v>0</v>
      </c>
      <c r="AGF8" s="34">
        <f t="shared" ca="1" si="130"/>
        <v>0</v>
      </c>
      <c r="AGG8" s="34">
        <f t="shared" ca="1" si="130"/>
        <v>0</v>
      </c>
      <c r="AGH8" s="34">
        <f t="shared" ca="1" si="130"/>
        <v>0</v>
      </c>
      <c r="AGI8" s="34">
        <f t="shared" ca="1" si="131"/>
        <v>0</v>
      </c>
      <c r="AGJ8" s="34">
        <f t="shared" ca="1" si="131"/>
        <v>0</v>
      </c>
      <c r="AGK8" s="34">
        <f t="shared" ca="1" si="131"/>
        <v>0</v>
      </c>
      <c r="AGL8" s="34">
        <f t="shared" ca="1" si="131"/>
        <v>0</v>
      </c>
      <c r="AGM8" s="34">
        <f t="shared" ca="1" si="131"/>
        <v>0</v>
      </c>
      <c r="AGN8" s="34">
        <f t="shared" ca="1" si="131"/>
        <v>0</v>
      </c>
      <c r="AGO8" s="34">
        <f t="shared" ca="1" si="131"/>
        <v>0</v>
      </c>
      <c r="AGP8" s="34">
        <f t="shared" ca="1" si="131"/>
        <v>0</v>
      </c>
      <c r="AGQ8" s="34">
        <f t="shared" ca="1" si="131"/>
        <v>0</v>
      </c>
      <c r="AGR8" s="34">
        <f t="shared" ca="1" si="131"/>
        <v>0</v>
      </c>
      <c r="AGS8" s="34">
        <f t="shared" ca="1" si="132"/>
        <v>0</v>
      </c>
      <c r="AGT8" s="34">
        <f t="shared" ca="1" si="132"/>
        <v>0</v>
      </c>
      <c r="AGU8" s="34">
        <f t="shared" ca="1" si="132"/>
        <v>0</v>
      </c>
      <c r="AGV8" s="34">
        <f t="shared" ca="1" si="132"/>
        <v>0</v>
      </c>
      <c r="AGW8" s="34">
        <f t="shared" ca="1" si="132"/>
        <v>0</v>
      </c>
      <c r="AGX8" s="34">
        <f t="shared" ca="1" si="132"/>
        <v>0</v>
      </c>
      <c r="AGY8" s="34">
        <f t="shared" ca="1" si="132"/>
        <v>0</v>
      </c>
      <c r="AGZ8" s="34">
        <f t="shared" ca="1" si="132"/>
        <v>0</v>
      </c>
      <c r="AHA8" s="34">
        <f t="shared" ca="1" si="132"/>
        <v>0</v>
      </c>
      <c r="AHB8" s="34">
        <f t="shared" ca="1" si="132"/>
        <v>0</v>
      </c>
      <c r="AHC8" s="34">
        <f t="shared" ca="1" si="133"/>
        <v>0</v>
      </c>
      <c r="AHD8" s="34">
        <f t="shared" ca="1" si="133"/>
        <v>0</v>
      </c>
      <c r="AHE8" s="34">
        <f t="shared" ca="1" si="133"/>
        <v>0</v>
      </c>
      <c r="AHF8" s="34">
        <f t="shared" ca="1" si="133"/>
        <v>0</v>
      </c>
      <c r="AHG8" s="34">
        <f t="shared" ca="1" si="133"/>
        <v>0</v>
      </c>
      <c r="AHH8" s="34">
        <f t="shared" ca="1" si="133"/>
        <v>0</v>
      </c>
      <c r="AHI8" s="34">
        <f t="shared" ca="1" si="133"/>
        <v>0</v>
      </c>
      <c r="AHJ8" s="34">
        <f t="shared" ca="1" si="133"/>
        <v>0</v>
      </c>
      <c r="AHK8" s="34">
        <f t="shared" ca="1" si="133"/>
        <v>0</v>
      </c>
      <c r="AHL8" s="34">
        <f t="shared" ca="1" si="133"/>
        <v>0</v>
      </c>
      <c r="AHM8" s="34">
        <f t="shared" ca="1" si="134"/>
        <v>0</v>
      </c>
      <c r="AHN8" s="34">
        <f t="shared" ca="1" si="134"/>
        <v>0</v>
      </c>
      <c r="AHO8" s="34">
        <f t="shared" ca="1" si="134"/>
        <v>0</v>
      </c>
      <c r="AHP8" s="34">
        <f t="shared" ca="1" si="134"/>
        <v>0</v>
      </c>
      <c r="AHQ8" s="34">
        <f t="shared" ca="1" si="134"/>
        <v>0</v>
      </c>
      <c r="AHR8" s="34">
        <f t="shared" ca="1" si="134"/>
        <v>0</v>
      </c>
      <c r="AHS8" s="34">
        <f t="shared" ca="1" si="134"/>
        <v>0</v>
      </c>
      <c r="AHT8" s="34">
        <f t="shared" ca="1" si="134"/>
        <v>0</v>
      </c>
      <c r="AHU8" s="34">
        <f t="shared" ca="1" si="134"/>
        <v>0</v>
      </c>
      <c r="AHV8" s="34">
        <f t="shared" ca="1" si="134"/>
        <v>0</v>
      </c>
      <c r="AHW8" s="34">
        <f t="shared" ca="1" si="135"/>
        <v>0</v>
      </c>
      <c r="AHX8" s="34">
        <f t="shared" ca="1" si="135"/>
        <v>0</v>
      </c>
      <c r="AHY8" s="34">
        <f t="shared" ca="1" si="135"/>
        <v>0</v>
      </c>
      <c r="AHZ8" s="34">
        <f t="shared" ca="1" si="135"/>
        <v>0</v>
      </c>
      <c r="AIA8" s="34">
        <f t="shared" ca="1" si="135"/>
        <v>0</v>
      </c>
      <c r="AIB8" s="34">
        <f t="shared" ca="1" si="135"/>
        <v>0</v>
      </c>
      <c r="AIC8" s="34">
        <f t="shared" ca="1" si="135"/>
        <v>0</v>
      </c>
      <c r="AID8" s="34">
        <f t="shared" ca="1" si="135"/>
        <v>0</v>
      </c>
      <c r="AIE8" s="34">
        <f t="shared" ca="1" si="135"/>
        <v>0</v>
      </c>
      <c r="AIF8" s="34">
        <f t="shared" ca="1" si="135"/>
        <v>0</v>
      </c>
      <c r="AIG8" s="34">
        <f t="shared" ca="1" si="136"/>
        <v>0</v>
      </c>
      <c r="AIH8" s="34">
        <f t="shared" ca="1" si="136"/>
        <v>0</v>
      </c>
      <c r="AII8" s="34">
        <f t="shared" ca="1" si="136"/>
        <v>0</v>
      </c>
      <c r="AIJ8" s="34">
        <f t="shared" ca="1" si="136"/>
        <v>0</v>
      </c>
      <c r="AIK8" s="34">
        <f t="shared" ca="1" si="136"/>
        <v>0</v>
      </c>
      <c r="AIL8" s="34">
        <f t="shared" ca="1" si="136"/>
        <v>0</v>
      </c>
      <c r="AIM8" s="34">
        <f t="shared" ca="1" si="136"/>
        <v>0</v>
      </c>
      <c r="AIN8" s="34">
        <f t="shared" ca="1" si="136"/>
        <v>0</v>
      </c>
      <c r="AIO8" s="34">
        <f t="shared" ca="1" si="136"/>
        <v>0</v>
      </c>
      <c r="AIP8" s="34">
        <f t="shared" ca="1" si="136"/>
        <v>0</v>
      </c>
      <c r="AIQ8" s="34">
        <f t="shared" ca="1" si="137"/>
        <v>0</v>
      </c>
      <c r="AIR8" s="34">
        <f t="shared" ca="1" si="137"/>
        <v>0</v>
      </c>
      <c r="AIS8" s="34">
        <f t="shared" ca="1" si="137"/>
        <v>0</v>
      </c>
      <c r="AIT8" s="34">
        <f t="shared" ca="1" si="137"/>
        <v>0</v>
      </c>
      <c r="AIU8" s="34">
        <f t="shared" ca="1" si="137"/>
        <v>0</v>
      </c>
      <c r="AIV8" s="34">
        <f t="shared" ca="1" si="137"/>
        <v>0</v>
      </c>
      <c r="AIW8" s="34">
        <f t="shared" ca="1" si="137"/>
        <v>0</v>
      </c>
      <c r="AIX8" s="34">
        <f t="shared" ca="1" si="137"/>
        <v>0</v>
      </c>
      <c r="AIY8" s="34">
        <f t="shared" ca="1" si="137"/>
        <v>0</v>
      </c>
      <c r="AIZ8" s="34">
        <f t="shared" ca="1" si="137"/>
        <v>0</v>
      </c>
      <c r="AJA8" s="34">
        <f t="shared" ca="1" si="138"/>
        <v>0</v>
      </c>
      <c r="AJB8" s="34">
        <f t="shared" ca="1" si="138"/>
        <v>0</v>
      </c>
      <c r="AJC8" s="34">
        <f t="shared" ca="1" si="138"/>
        <v>0</v>
      </c>
      <c r="AJD8" s="34">
        <f t="shared" ca="1" si="138"/>
        <v>0</v>
      </c>
      <c r="AJE8" s="34">
        <f t="shared" ca="1" si="138"/>
        <v>0</v>
      </c>
      <c r="AJF8" s="34">
        <f t="shared" ca="1" si="138"/>
        <v>0</v>
      </c>
      <c r="AJG8" s="34">
        <f t="shared" ca="1" si="138"/>
        <v>0</v>
      </c>
      <c r="AJH8" s="34">
        <f t="shared" ca="1" si="138"/>
        <v>0</v>
      </c>
      <c r="AJI8" s="34">
        <f t="shared" ca="1" si="138"/>
        <v>0</v>
      </c>
      <c r="AJJ8" s="34">
        <f t="shared" ca="1" si="138"/>
        <v>0</v>
      </c>
      <c r="AJK8" s="34">
        <f t="shared" ca="1" si="139"/>
        <v>0</v>
      </c>
      <c r="AJL8" s="34">
        <f t="shared" ca="1" si="139"/>
        <v>0</v>
      </c>
      <c r="AJM8" s="34">
        <f t="shared" ca="1" si="139"/>
        <v>0</v>
      </c>
      <c r="AJN8" s="34">
        <f t="shared" ca="1" si="139"/>
        <v>0</v>
      </c>
      <c r="AJO8" s="34">
        <f t="shared" ca="1" si="139"/>
        <v>0</v>
      </c>
      <c r="AJP8" s="34">
        <f t="shared" ca="1" si="139"/>
        <v>0</v>
      </c>
      <c r="AJQ8" s="34">
        <f t="shared" ca="1" si="139"/>
        <v>0</v>
      </c>
      <c r="AJR8" s="34">
        <f t="shared" ca="1" si="139"/>
        <v>0</v>
      </c>
      <c r="AJS8" s="34">
        <f t="shared" ca="1" si="139"/>
        <v>0</v>
      </c>
      <c r="AJT8" s="34">
        <f t="shared" ca="1" si="139"/>
        <v>0</v>
      </c>
      <c r="AJU8" s="34">
        <f t="shared" ca="1" si="140"/>
        <v>0</v>
      </c>
      <c r="AJV8" s="34">
        <f t="shared" ca="1" si="140"/>
        <v>0</v>
      </c>
      <c r="AJW8" s="34">
        <f t="shared" ca="1" si="140"/>
        <v>0</v>
      </c>
      <c r="AJX8" s="34">
        <f t="shared" ca="1" si="140"/>
        <v>0</v>
      </c>
      <c r="AJY8" s="34">
        <f t="shared" ca="1" si="140"/>
        <v>0</v>
      </c>
      <c r="AJZ8" s="34">
        <f t="shared" ca="1" si="140"/>
        <v>0</v>
      </c>
      <c r="AKA8" s="34">
        <f t="shared" ca="1" si="140"/>
        <v>0</v>
      </c>
      <c r="AKB8" s="34">
        <f t="shared" ca="1" si="140"/>
        <v>0</v>
      </c>
      <c r="AKC8" s="34">
        <f t="shared" ca="1" si="140"/>
        <v>0</v>
      </c>
      <c r="AKD8" s="34">
        <f t="shared" ca="1" si="140"/>
        <v>0</v>
      </c>
      <c r="AKE8" s="34">
        <f t="shared" ca="1" si="141"/>
        <v>0</v>
      </c>
      <c r="AKF8" s="34">
        <f t="shared" ca="1" si="141"/>
        <v>0</v>
      </c>
      <c r="AKG8" s="34">
        <f t="shared" ca="1" si="141"/>
        <v>0</v>
      </c>
      <c r="AKH8" s="34">
        <f t="shared" ca="1" si="141"/>
        <v>0</v>
      </c>
      <c r="AKI8" s="34">
        <f t="shared" ca="1" si="141"/>
        <v>0</v>
      </c>
      <c r="AKJ8" s="34">
        <f t="shared" ca="1" si="141"/>
        <v>0</v>
      </c>
      <c r="AKK8" s="34">
        <f t="shared" ca="1" si="141"/>
        <v>0</v>
      </c>
      <c r="AKL8" s="34">
        <f t="shared" ca="1" si="141"/>
        <v>0</v>
      </c>
      <c r="AKM8" s="34">
        <f t="shared" ca="1" si="141"/>
        <v>0</v>
      </c>
      <c r="AKN8" s="34">
        <f t="shared" ca="1" si="141"/>
        <v>0</v>
      </c>
      <c r="AKO8" s="34">
        <f t="shared" ca="1" si="141"/>
        <v>0</v>
      </c>
      <c r="AKP8" s="34">
        <f t="shared" ca="1" si="141"/>
        <v>0</v>
      </c>
      <c r="AKQ8" s="34">
        <f t="shared" ca="1" si="141"/>
        <v>0</v>
      </c>
      <c r="AKR8" s="34">
        <f t="shared" ca="1" si="141"/>
        <v>0</v>
      </c>
      <c r="AKS8" s="34">
        <f t="shared" ca="1" si="141"/>
        <v>0</v>
      </c>
      <c r="AKT8" s="34"/>
      <c r="AKU8" s="34"/>
      <c r="AKV8" s="34"/>
      <c r="AKW8" s="34"/>
      <c r="AKX8" s="34"/>
      <c r="AKY8" s="34"/>
      <c r="AKZ8" s="34"/>
      <c r="ALA8" s="34"/>
      <c r="ALB8" s="34"/>
      <c r="ALC8" s="34"/>
      <c r="ALD8" s="34"/>
      <c r="ALE8" s="34"/>
      <c r="ALF8" s="34"/>
      <c r="ALG8" s="33"/>
      <c r="ALH8" s="33"/>
      <c r="ALI8" s="33"/>
      <c r="ALJ8" s="33"/>
      <c r="ALK8" s="33"/>
      <c r="ALL8" s="33"/>
      <c r="ALM8" s="33"/>
      <c r="ALN8" s="33"/>
      <c r="ALO8" s="33"/>
      <c r="ALP8" s="33"/>
      <c r="ALQ8" s="33"/>
      <c r="ALR8" s="33"/>
      <c r="ALS8" s="33"/>
      <c r="ALT8" s="33"/>
      <c r="ALU8" s="33"/>
      <c r="ALV8" s="33"/>
      <c r="ALW8" s="33"/>
      <c r="ALX8" s="33"/>
      <c r="ALY8" s="33"/>
      <c r="ALZ8" s="33"/>
      <c r="AMA8" s="33"/>
      <c r="AMB8" s="33"/>
      <c r="AMC8" s="33"/>
      <c r="AMD8" s="33"/>
      <c r="AME8" s="33"/>
      <c r="AMF8" s="33"/>
      <c r="AMG8" s="33"/>
      <c r="AMH8" s="33"/>
      <c r="AMI8" s="33"/>
      <c r="AMJ8" s="33"/>
      <c r="AMK8" s="33"/>
      <c r="AML8" s="33"/>
      <c r="AMM8" s="33"/>
      <c r="AMN8" s="33"/>
      <c r="AMO8" s="33"/>
      <c r="AMP8" s="33"/>
      <c r="AMQ8" s="33"/>
      <c r="AMR8" s="33"/>
      <c r="AMS8" s="33"/>
      <c r="AMT8" s="33"/>
      <c r="AMU8" s="33"/>
      <c r="AMV8" s="33"/>
      <c r="AMW8" s="33"/>
      <c r="AMX8" s="33"/>
      <c r="AMY8" s="33"/>
      <c r="AMZ8" s="33"/>
      <c r="ANA8" s="33"/>
      <c r="ANB8" s="33"/>
      <c r="ANC8" s="33"/>
      <c r="AND8" s="33"/>
      <c r="ANE8" s="33"/>
      <c r="ANF8" s="33"/>
      <c r="ANG8" s="33"/>
      <c r="ANH8" s="33"/>
      <c r="ANI8" s="33"/>
      <c r="ANJ8" s="33"/>
      <c r="ANK8" s="33"/>
      <c r="ANL8" s="33"/>
      <c r="ANM8" s="33"/>
      <c r="ANN8" s="33"/>
      <c r="ANO8" s="33"/>
      <c r="ANP8" s="33"/>
      <c r="ANQ8" s="33"/>
      <c r="ANR8" s="33"/>
      <c r="ANS8" s="33"/>
      <c r="ANT8" s="33"/>
      <c r="ANU8" s="33"/>
      <c r="ANV8" s="33"/>
      <c r="ANW8" s="33"/>
      <c r="ANX8" s="33"/>
      <c r="ANY8" s="33"/>
      <c r="ANZ8" s="33"/>
      <c r="AOA8" s="33"/>
      <c r="AOB8" s="33"/>
      <c r="AOC8" s="33"/>
      <c r="AOD8" s="33"/>
      <c r="AOE8" s="33"/>
      <c r="AOF8" s="33"/>
      <c r="AOG8" s="33"/>
      <c r="AOH8" s="33"/>
      <c r="AOI8" s="33"/>
      <c r="AOJ8" s="33"/>
      <c r="AOK8" s="33"/>
      <c r="AOL8" s="33"/>
      <c r="AOM8" s="33"/>
      <c r="AON8" s="33"/>
      <c r="AOO8" s="33"/>
      <c r="AOP8" s="33"/>
      <c r="AOQ8" s="33"/>
      <c r="AOR8" s="33"/>
      <c r="AOS8" s="33"/>
      <c r="AOT8" s="33"/>
      <c r="AOU8" s="33"/>
      <c r="AOV8" s="33"/>
      <c r="AOW8" s="33"/>
      <c r="AOX8" s="33"/>
      <c r="AOY8" s="33"/>
      <c r="AOZ8" s="33"/>
      <c r="APA8" s="33"/>
      <c r="APB8" s="33"/>
      <c r="APC8" s="33"/>
      <c r="APD8" s="33"/>
      <c r="APE8" s="33"/>
      <c r="APF8" s="33"/>
      <c r="APG8" s="33"/>
      <c r="APH8" s="33"/>
      <c r="API8" s="33"/>
      <c r="APJ8" s="33"/>
      <c r="APK8" s="33"/>
      <c r="APL8" s="33"/>
      <c r="APM8" s="33"/>
      <c r="APN8" s="33"/>
      <c r="APO8" s="33"/>
      <c r="APP8" s="33"/>
      <c r="APQ8" s="33"/>
      <c r="APR8" s="33"/>
      <c r="APS8" s="33"/>
      <c r="APT8" s="33"/>
      <c r="APU8" s="33"/>
      <c r="APV8" s="33"/>
      <c r="APW8" s="33"/>
      <c r="APX8" s="33"/>
      <c r="APY8" s="33"/>
      <c r="APZ8" s="33"/>
      <c r="AQA8" s="33"/>
      <c r="AQB8" s="33"/>
      <c r="AQC8" s="33"/>
      <c r="AQD8" s="33"/>
      <c r="AQE8" s="33"/>
      <c r="AQF8" s="33"/>
      <c r="AQG8" s="33"/>
      <c r="AQH8" s="33"/>
      <c r="AQI8" s="33"/>
      <c r="AQJ8" s="33"/>
      <c r="AQK8" s="33"/>
      <c r="AQL8" s="33"/>
      <c r="AQM8" s="33"/>
      <c r="AQN8" s="33"/>
      <c r="AQO8" s="33"/>
      <c r="AQP8" s="33"/>
      <c r="AQQ8" s="33"/>
      <c r="AQR8" s="33"/>
      <c r="AQS8" s="33"/>
      <c r="AQT8" s="33"/>
      <c r="AQU8" s="33"/>
      <c r="AQV8" s="33"/>
      <c r="AQW8" s="33"/>
      <c r="AQX8" s="33"/>
      <c r="AQY8" s="33"/>
      <c r="AQZ8" s="33"/>
      <c r="ARA8" s="33"/>
      <c r="ARB8" s="33"/>
      <c r="ARC8" s="33"/>
      <c r="ARD8" s="33"/>
      <c r="ARE8" s="33"/>
      <c r="ARF8" s="33"/>
      <c r="ARG8" s="33"/>
      <c r="ARH8" s="33"/>
      <c r="ARI8" s="33"/>
      <c r="ARJ8" s="33"/>
      <c r="ARK8" s="33"/>
      <c r="ARL8" s="33"/>
      <c r="ARM8" s="33"/>
      <c r="ARN8" s="33"/>
      <c r="ARO8" s="33"/>
      <c r="ARP8" s="33"/>
      <c r="ARQ8" s="33"/>
      <c r="ARR8" s="33"/>
      <c r="ARS8" s="33"/>
      <c r="ART8" s="33"/>
      <c r="ARU8" s="33"/>
      <c r="ARV8" s="33"/>
      <c r="ARW8" s="33"/>
      <c r="ARX8" s="33"/>
      <c r="ARY8" s="33"/>
      <c r="ARZ8" s="33"/>
      <c r="ASA8" s="33"/>
      <c r="ASB8" s="33"/>
      <c r="ASC8" s="33"/>
      <c r="ASD8" s="33"/>
      <c r="ASE8" s="33"/>
      <c r="ASF8" s="33"/>
      <c r="ASG8" s="33"/>
      <c r="ASH8" s="33"/>
      <c r="ASI8" s="33"/>
      <c r="ASJ8" s="33"/>
      <c r="ASK8" s="33"/>
      <c r="ASL8" s="33"/>
      <c r="ASM8" s="33"/>
      <c r="ASN8" s="33"/>
      <c r="ASO8" s="33"/>
      <c r="ASP8" s="33"/>
      <c r="ASQ8" s="33"/>
      <c r="ASR8" s="33"/>
      <c r="ASS8" s="33"/>
      <c r="AST8" s="33"/>
      <c r="ASU8" s="33"/>
      <c r="ASV8" s="33"/>
      <c r="ASW8" s="33"/>
      <c r="ASX8" s="33"/>
      <c r="ASY8" s="33"/>
      <c r="ASZ8" s="33"/>
      <c r="ATA8" s="33"/>
      <c r="ATB8" s="33"/>
      <c r="ATC8" s="33"/>
      <c r="ATD8" s="33"/>
      <c r="ATE8" s="33"/>
      <c r="ATF8" s="33"/>
      <c r="ATG8" s="33"/>
      <c r="ATH8" s="33"/>
      <c r="ATI8" s="33"/>
      <c r="ATJ8" s="33"/>
      <c r="ATK8" s="33"/>
      <c r="ATL8" s="33"/>
      <c r="ATM8" s="33"/>
      <c r="ATN8" s="33"/>
      <c r="ATO8" s="33"/>
      <c r="ATP8" s="33"/>
      <c r="ATQ8" s="33"/>
      <c r="ATR8" s="33"/>
      <c r="ATS8" s="33"/>
      <c r="ATT8" s="33"/>
      <c r="ATU8" s="33"/>
      <c r="ATV8" s="33"/>
      <c r="ATW8" s="33"/>
      <c r="ATX8" s="33"/>
      <c r="ATY8" s="33"/>
      <c r="ATZ8" s="33"/>
      <c r="AUA8" s="33"/>
      <c r="AUB8" s="33"/>
      <c r="AUC8" s="33"/>
      <c r="AUD8" s="33"/>
      <c r="AUE8" s="33"/>
      <c r="AUF8" s="33"/>
      <c r="AUG8" s="33"/>
      <c r="AUH8" s="33"/>
      <c r="AUI8" s="33"/>
      <c r="AUJ8" s="33"/>
      <c r="AUK8" s="33"/>
      <c r="AUL8" s="33"/>
      <c r="AUM8" s="33"/>
      <c r="AUN8" s="33"/>
      <c r="AUO8" s="33"/>
      <c r="AUP8" s="33"/>
      <c r="AUQ8" s="33"/>
      <c r="AUR8" s="33"/>
      <c r="AUS8" s="33"/>
      <c r="AUT8" s="33"/>
      <c r="AUU8" s="33"/>
      <c r="AUV8" s="33"/>
      <c r="AUW8" s="33"/>
      <c r="AUX8" s="33"/>
      <c r="AUY8" s="33"/>
      <c r="AUZ8" s="33"/>
      <c r="AVA8" s="33"/>
      <c r="AVB8" s="33"/>
    </row>
    <row r="9" spans="1:1250" ht="18.75" customHeight="1">
      <c r="A9" s="378" t="str">
        <f>自由選!B10</f>
        <v>XFZ40</v>
      </c>
      <c r="B9" s="208">
        <f ca="1">VLOOKUP($A9,'銀行-TSS'!B:K,10,FALSE)</f>
        <v>96.21</v>
      </c>
      <c r="C9" s="69" t="str">
        <f ca="1">VLOOKUP(A9,'銀行-TSS'!B:E,4,FALSE)</f>
        <v>Baa2 / BBB / BBB</v>
      </c>
      <c r="D9" s="70">
        <f ca="1">VLOOKUP($A9,'銀行-TSS'!B:H,7,FALSE)</f>
        <v>4.2999999999999997E-2</v>
      </c>
      <c r="E9" s="71">
        <f ca="1">IFERROR(VLOOKUP($A9,'銀行-TSS'!B:I,8,FALSE),"")</f>
        <v>2</v>
      </c>
      <c r="F9" s="69" t="str">
        <f t="shared" ca="1" si="142"/>
        <v>1、7</v>
      </c>
      <c r="G9" s="72">
        <f ca="1">VLOOKUP($A9,'銀行-TSS'!B:M,12,FALSE)</f>
        <v>5.0500000000000003E-2</v>
      </c>
      <c r="H9" s="73">
        <f ca="1">VLOOKUP($A9,'銀行-TSS'!B:G,6,FALSE)</f>
        <v>10.02</v>
      </c>
      <c r="I9" s="74">
        <f ca="1">IFERROR(DATEVALUE(VLOOKUP($A9,'銀行-TSS'!B:F,5,FALSE)),VLOOKUP($A9,'銀行-TSS'!B:F,5,FALSE))</f>
        <v>49133</v>
      </c>
      <c r="J9" s="1" t="str">
        <f ca="1">VLOOKUP($A9,'銀行-TSS'!B:Q,16,FALSE)</f>
        <v>科技</v>
      </c>
      <c r="K9" s="76" t="str">
        <f ca="1">VLOOKUP($A9,'銀行-TSS'!B:T,19,FALSE)</f>
        <v>甲骨文公司/ORCL</v>
      </c>
      <c r="L9" s="33" t="b">
        <f t="shared" si="45"/>
        <v>1</v>
      </c>
      <c r="M9" s="43">
        <f ca="1">VLOOKUP($A9,'銀行-TSS'!B:N,13,FALSE)</f>
        <v>10000</v>
      </c>
      <c r="N9" s="44">
        <f>自由選!F10</f>
        <v>10000</v>
      </c>
      <c r="O9" s="43">
        <f ca="1">IFERROR(VLOOKUP($A9,'銀行-TSS'!B:O,14,FALSE),1)</f>
        <v>1000</v>
      </c>
      <c r="P9" s="78" t="str">
        <f ca="1">IFERROR(VLOOKUP(K9,Bond_DES!D:E,2,FALSE),VLOOKUP(K9,'銀行-TSS'!T:U,2,FALSE))</f>
        <v>甲骨文公司(Oracle)為全球最大資料庫軟體公司及最大的企業級軟體公司，僅次於微軟的全球第二大純軟體公司，近年積極切入雲端服務，結合過去在關聯式資料庫和企業用應用軟體(ERP、CRM等)之競爭優勢，搶占雲端運算服務商機，且名列2024年《Brand Finance》全球網路與軟體公司品牌價值第2位。</v>
      </c>
      <c r="Q9" s="83">
        <f t="shared" ca="1" si="143"/>
        <v>94.131699999999995</v>
      </c>
      <c r="R9" s="81">
        <f ca="1">ROUND(Q9*N9/100,2)</f>
        <v>9413.17</v>
      </c>
      <c r="S9" s="82">
        <f ca="1">R9/$R$27</f>
        <v>8.2691627555834951E-2</v>
      </c>
      <c r="T9" s="34">
        <f t="shared" ca="1" si="144"/>
        <v>2034</v>
      </c>
      <c r="U9" s="36" t="str">
        <f ca="1">IFERROR(VLOOKUP($A9,'銀行-TSS'!B:C,2,FALSE),"")</f>
        <v>USD</v>
      </c>
      <c r="V9" s="184">
        <f ca="1">VLOOKUP(A9,'銀行-TSS'!B:J,9,FALSE)</f>
        <v>2.0783</v>
      </c>
      <c r="W9" s="57">
        <f t="shared" ca="1" si="145"/>
        <v>207.83</v>
      </c>
      <c r="X9" s="36">
        <f t="shared" ca="1" si="146"/>
        <v>0</v>
      </c>
      <c r="Y9" s="116">
        <f t="shared" ca="1" si="147"/>
        <v>962.1</v>
      </c>
      <c r="Z9" s="98">
        <f t="shared" ca="1" si="148"/>
        <v>9621</v>
      </c>
      <c r="AA9" s="61">
        <f t="shared" si="149"/>
        <v>8.3333333333333329E-2</v>
      </c>
      <c r="AB9" s="104" t="str">
        <f t="shared" ca="1" si="46"/>
        <v>科技</v>
      </c>
      <c r="AC9" s="149">
        <f t="shared" ca="1" si="150"/>
        <v>9621</v>
      </c>
      <c r="AD9" s="149">
        <f ca="1">VLOOKUP(A9,'銀行-TSS'!B:AD,29,FALSE)</f>
        <v>13</v>
      </c>
      <c r="AE9" s="64">
        <f t="shared" ca="1" si="47"/>
        <v>214.99999999999997</v>
      </c>
      <c r="AF9" s="53">
        <f ca="1">IF(AG9&gt;6,AG9-6,AG9+6)</f>
        <v>1</v>
      </c>
      <c r="AG9" s="45">
        <f ca="1">MONTH(AH9)</f>
        <v>7</v>
      </c>
      <c r="AH9" s="2">
        <f ca="1">_xlfn.IFNA(IFERROR(DATEVALUE(VLOOKUP($A9,'銀行-TSS'!B:P,15,FALSE)),VLOOKUP($A9,'銀行-TSS'!B:P,15,FALSE)),"")</f>
        <v>45481</v>
      </c>
      <c r="AI9" s="2">
        <f ca="1">_xlfn.IFNA(IFERROR(DATEVALUE(VLOOKUP($A9,'銀行-TSS'!B:L,11,FALSE)),VLOOKUP($A9,'銀行-TSS'!B:L,11,FALSE)),"")</f>
        <v>45475</v>
      </c>
      <c r="AJ9" s="34">
        <f t="shared" ca="1" si="151"/>
        <v>214.99999999999997</v>
      </c>
      <c r="AK9" s="34">
        <f t="shared" ca="1" si="48"/>
        <v>0</v>
      </c>
      <c r="AL9" s="34">
        <f t="shared" ca="1" si="48"/>
        <v>0</v>
      </c>
      <c r="AM9" s="34">
        <f t="shared" ca="1" si="48"/>
        <v>0</v>
      </c>
      <c r="AN9" s="34">
        <f t="shared" ca="1" si="48"/>
        <v>0</v>
      </c>
      <c r="AO9" s="34">
        <f t="shared" ca="1" si="48"/>
        <v>0</v>
      </c>
      <c r="AP9" s="34">
        <f t="shared" ca="1" si="48"/>
        <v>214.99999999999997</v>
      </c>
      <c r="AQ9" s="34">
        <f t="shared" ca="1" si="48"/>
        <v>0</v>
      </c>
      <c r="AR9" s="34">
        <f t="shared" ca="1" si="48"/>
        <v>0</v>
      </c>
      <c r="AS9" s="34">
        <f t="shared" ca="1" si="48"/>
        <v>0</v>
      </c>
      <c r="AT9" s="34">
        <f t="shared" ca="1" si="48"/>
        <v>0</v>
      </c>
      <c r="AU9" s="34">
        <f t="shared" ca="1" si="49"/>
        <v>0</v>
      </c>
      <c r="AV9" s="34">
        <f t="shared" ca="1" si="49"/>
        <v>214.99999999999997</v>
      </c>
      <c r="AW9" s="34">
        <f t="shared" ca="1" si="49"/>
        <v>0</v>
      </c>
      <c r="AX9" s="34">
        <f t="shared" ca="1" si="49"/>
        <v>0</v>
      </c>
      <c r="AY9" s="34">
        <f t="shared" ca="1" si="49"/>
        <v>0</v>
      </c>
      <c r="AZ9" s="34">
        <f t="shared" ca="1" si="49"/>
        <v>0</v>
      </c>
      <c r="BA9" s="34">
        <f t="shared" ca="1" si="49"/>
        <v>0</v>
      </c>
      <c r="BB9" s="34">
        <f t="shared" ca="1" si="49"/>
        <v>214.99999999999997</v>
      </c>
      <c r="BC9" s="34">
        <f t="shared" ca="1" si="49"/>
        <v>0</v>
      </c>
      <c r="BD9" s="34">
        <f t="shared" ca="1" si="49"/>
        <v>0</v>
      </c>
      <c r="BE9" s="34">
        <f t="shared" ca="1" si="50"/>
        <v>0</v>
      </c>
      <c r="BF9" s="34">
        <f t="shared" ca="1" si="50"/>
        <v>0</v>
      </c>
      <c r="BG9" s="34">
        <f t="shared" ca="1" si="50"/>
        <v>0</v>
      </c>
      <c r="BH9" s="34">
        <f t="shared" ca="1" si="50"/>
        <v>214.99999999999997</v>
      </c>
      <c r="BI9" s="34">
        <f t="shared" ca="1" si="50"/>
        <v>0</v>
      </c>
      <c r="BJ9" s="34">
        <f t="shared" ca="1" si="50"/>
        <v>0</v>
      </c>
      <c r="BK9" s="34">
        <f t="shared" ca="1" si="50"/>
        <v>0</v>
      </c>
      <c r="BL9" s="34">
        <f t="shared" ca="1" si="50"/>
        <v>0</v>
      </c>
      <c r="BM9" s="34">
        <f t="shared" ca="1" si="50"/>
        <v>0</v>
      </c>
      <c r="BN9" s="34">
        <f t="shared" ca="1" si="50"/>
        <v>214.99999999999997</v>
      </c>
      <c r="BO9" s="34">
        <f t="shared" ca="1" si="51"/>
        <v>0</v>
      </c>
      <c r="BP9" s="34">
        <f t="shared" ca="1" si="51"/>
        <v>0</v>
      </c>
      <c r="BQ9" s="34">
        <f t="shared" ca="1" si="51"/>
        <v>0</v>
      </c>
      <c r="BR9" s="34">
        <f t="shared" ca="1" si="51"/>
        <v>0</v>
      </c>
      <c r="BS9" s="34">
        <f t="shared" ca="1" si="51"/>
        <v>0</v>
      </c>
      <c r="BT9" s="34">
        <f t="shared" ca="1" si="51"/>
        <v>214.99999999999997</v>
      </c>
      <c r="BU9" s="34">
        <f t="shared" ca="1" si="51"/>
        <v>0</v>
      </c>
      <c r="BV9" s="34">
        <f t="shared" ca="1" si="51"/>
        <v>0</v>
      </c>
      <c r="BW9" s="34">
        <f t="shared" ca="1" si="51"/>
        <v>0</v>
      </c>
      <c r="BX9" s="34">
        <f t="shared" ca="1" si="51"/>
        <v>0</v>
      </c>
      <c r="BY9" s="34">
        <f t="shared" ca="1" si="52"/>
        <v>0</v>
      </c>
      <c r="BZ9" s="34">
        <f t="shared" ca="1" si="52"/>
        <v>214.99999999999997</v>
      </c>
      <c r="CA9" s="34">
        <f t="shared" ca="1" si="52"/>
        <v>0</v>
      </c>
      <c r="CB9" s="34">
        <f t="shared" ca="1" si="52"/>
        <v>0</v>
      </c>
      <c r="CC9" s="34">
        <f t="shared" ca="1" si="52"/>
        <v>0</v>
      </c>
      <c r="CD9" s="34">
        <f t="shared" ca="1" si="52"/>
        <v>0</v>
      </c>
      <c r="CE9" s="34">
        <f t="shared" ca="1" si="52"/>
        <v>0</v>
      </c>
      <c r="CF9" s="34">
        <f t="shared" ca="1" si="52"/>
        <v>214.99999999999997</v>
      </c>
      <c r="CG9" s="34">
        <f t="shared" ca="1" si="52"/>
        <v>0</v>
      </c>
      <c r="CH9" s="34">
        <f t="shared" ca="1" si="52"/>
        <v>0</v>
      </c>
      <c r="CI9" s="34">
        <f t="shared" ca="1" si="53"/>
        <v>0</v>
      </c>
      <c r="CJ9" s="34">
        <f t="shared" ca="1" si="53"/>
        <v>0</v>
      </c>
      <c r="CK9" s="34">
        <f t="shared" ca="1" si="53"/>
        <v>0</v>
      </c>
      <c r="CL9" s="34">
        <f t="shared" ca="1" si="53"/>
        <v>214.99999999999997</v>
      </c>
      <c r="CM9" s="34">
        <f t="shared" ca="1" si="53"/>
        <v>0</v>
      </c>
      <c r="CN9" s="34">
        <f t="shared" ca="1" si="53"/>
        <v>0</v>
      </c>
      <c r="CO9" s="34">
        <f t="shared" ca="1" si="53"/>
        <v>0</v>
      </c>
      <c r="CP9" s="34">
        <f t="shared" ca="1" si="53"/>
        <v>0</v>
      </c>
      <c r="CQ9" s="34">
        <f t="shared" ca="1" si="53"/>
        <v>0</v>
      </c>
      <c r="CR9" s="34">
        <f t="shared" ca="1" si="53"/>
        <v>214.99999999999997</v>
      </c>
      <c r="CS9" s="34">
        <f t="shared" ca="1" si="54"/>
        <v>0</v>
      </c>
      <c r="CT9" s="34">
        <f t="shared" ca="1" si="54"/>
        <v>0</v>
      </c>
      <c r="CU9" s="34">
        <f t="shared" ca="1" si="54"/>
        <v>0</v>
      </c>
      <c r="CV9" s="34">
        <f t="shared" ca="1" si="54"/>
        <v>0</v>
      </c>
      <c r="CW9" s="34">
        <f t="shared" ca="1" si="54"/>
        <v>0</v>
      </c>
      <c r="CX9" s="34">
        <f t="shared" ca="1" si="54"/>
        <v>214.99999999999997</v>
      </c>
      <c r="CY9" s="34">
        <f t="shared" ca="1" si="54"/>
        <v>0</v>
      </c>
      <c r="CZ9" s="34">
        <f t="shared" ca="1" si="54"/>
        <v>0</v>
      </c>
      <c r="DA9" s="34">
        <f t="shared" ca="1" si="54"/>
        <v>0</v>
      </c>
      <c r="DB9" s="34">
        <f t="shared" ca="1" si="54"/>
        <v>0</v>
      </c>
      <c r="DC9" s="34">
        <f t="shared" ca="1" si="55"/>
        <v>0</v>
      </c>
      <c r="DD9" s="34">
        <f t="shared" ca="1" si="55"/>
        <v>214.99999999999997</v>
      </c>
      <c r="DE9" s="34">
        <f t="shared" ca="1" si="55"/>
        <v>0</v>
      </c>
      <c r="DF9" s="34">
        <f t="shared" ca="1" si="55"/>
        <v>0</v>
      </c>
      <c r="DG9" s="34">
        <f t="shared" ca="1" si="55"/>
        <v>0</v>
      </c>
      <c r="DH9" s="34">
        <f t="shared" ca="1" si="55"/>
        <v>0</v>
      </c>
      <c r="DI9" s="34">
        <f t="shared" ca="1" si="55"/>
        <v>0</v>
      </c>
      <c r="DJ9" s="34">
        <f t="shared" ca="1" si="55"/>
        <v>214.99999999999997</v>
      </c>
      <c r="DK9" s="34">
        <f t="shared" ca="1" si="55"/>
        <v>0</v>
      </c>
      <c r="DL9" s="34">
        <f t="shared" ca="1" si="55"/>
        <v>0</v>
      </c>
      <c r="DM9" s="34">
        <f t="shared" ca="1" si="56"/>
        <v>0</v>
      </c>
      <c r="DN9" s="34">
        <f t="shared" ca="1" si="56"/>
        <v>0</v>
      </c>
      <c r="DO9" s="34">
        <f t="shared" ca="1" si="56"/>
        <v>0</v>
      </c>
      <c r="DP9" s="34">
        <f t="shared" ca="1" si="56"/>
        <v>214.99999999999997</v>
      </c>
      <c r="DQ9" s="34">
        <f t="shared" ca="1" si="56"/>
        <v>0</v>
      </c>
      <c r="DR9" s="34">
        <f t="shared" ca="1" si="56"/>
        <v>0</v>
      </c>
      <c r="DS9" s="34">
        <f t="shared" ca="1" si="56"/>
        <v>0</v>
      </c>
      <c r="DT9" s="34">
        <f t="shared" ca="1" si="56"/>
        <v>0</v>
      </c>
      <c r="DU9" s="34">
        <f t="shared" ca="1" si="56"/>
        <v>0</v>
      </c>
      <c r="DV9" s="34">
        <f t="shared" ca="1" si="56"/>
        <v>214.99999999999997</v>
      </c>
      <c r="DW9" s="34">
        <f t="shared" ca="1" si="57"/>
        <v>0</v>
      </c>
      <c r="DX9" s="34">
        <f t="shared" ca="1" si="57"/>
        <v>0</v>
      </c>
      <c r="DY9" s="34">
        <f t="shared" ca="1" si="57"/>
        <v>0</v>
      </c>
      <c r="DZ9" s="34">
        <f t="shared" ca="1" si="57"/>
        <v>0</v>
      </c>
      <c r="EA9" s="34">
        <f t="shared" ca="1" si="57"/>
        <v>0</v>
      </c>
      <c r="EB9" s="34">
        <f t="shared" ca="1" si="57"/>
        <v>214.99999999999997</v>
      </c>
      <c r="EC9" s="34">
        <f t="shared" ca="1" si="57"/>
        <v>0</v>
      </c>
      <c r="ED9" s="34">
        <f t="shared" ca="1" si="57"/>
        <v>0</v>
      </c>
      <c r="EE9" s="34">
        <f t="shared" ca="1" si="57"/>
        <v>0</v>
      </c>
      <c r="EF9" s="34">
        <f t="shared" ca="1" si="57"/>
        <v>0</v>
      </c>
      <c r="EG9" s="34">
        <f t="shared" ca="1" si="58"/>
        <v>0</v>
      </c>
      <c r="EH9" s="34">
        <f t="shared" ca="1" si="58"/>
        <v>214.99999999999997</v>
      </c>
      <c r="EI9" s="34">
        <f t="shared" ca="1" si="58"/>
        <v>0</v>
      </c>
      <c r="EJ9" s="34">
        <f t="shared" ca="1" si="58"/>
        <v>0</v>
      </c>
      <c r="EK9" s="34">
        <f t="shared" ca="1" si="58"/>
        <v>0</v>
      </c>
      <c r="EL9" s="34">
        <f t="shared" ca="1" si="58"/>
        <v>0</v>
      </c>
      <c r="EM9" s="34">
        <f t="shared" ca="1" si="58"/>
        <v>0</v>
      </c>
      <c r="EN9" s="34">
        <f t="shared" ca="1" si="58"/>
        <v>214.99999999999997</v>
      </c>
      <c r="EO9" s="34">
        <f t="shared" ca="1" si="58"/>
        <v>0</v>
      </c>
      <c r="EP9" s="34">
        <f t="shared" ca="1" si="58"/>
        <v>0</v>
      </c>
      <c r="EQ9" s="34">
        <f t="shared" ca="1" si="59"/>
        <v>0</v>
      </c>
      <c r="ER9" s="34">
        <f t="shared" ca="1" si="59"/>
        <v>0</v>
      </c>
      <c r="ES9" s="34">
        <f t="shared" ca="1" si="59"/>
        <v>0</v>
      </c>
      <c r="ET9" s="34">
        <f t="shared" ca="1" si="59"/>
        <v>214.99999999999997</v>
      </c>
      <c r="EU9" s="34">
        <f t="shared" ca="1" si="59"/>
        <v>0</v>
      </c>
      <c r="EV9" s="34">
        <f t="shared" ca="1" si="59"/>
        <v>0</v>
      </c>
      <c r="EW9" s="34">
        <f t="shared" ca="1" si="59"/>
        <v>0</v>
      </c>
      <c r="EX9" s="34">
        <f t="shared" ca="1" si="59"/>
        <v>0</v>
      </c>
      <c r="EY9" s="34">
        <f t="shared" ca="1" si="59"/>
        <v>0</v>
      </c>
      <c r="EZ9" s="34">
        <f t="shared" ca="1" si="59"/>
        <v>214.99999999999997</v>
      </c>
      <c r="FA9" s="34">
        <f t="shared" ca="1" si="60"/>
        <v>0</v>
      </c>
      <c r="FB9" s="34">
        <f t="shared" ca="1" si="60"/>
        <v>0</v>
      </c>
      <c r="FC9" s="34">
        <f t="shared" ca="1" si="60"/>
        <v>0</v>
      </c>
      <c r="FD9" s="34">
        <f t="shared" ca="1" si="60"/>
        <v>0</v>
      </c>
      <c r="FE9" s="34">
        <f t="shared" ca="1" si="60"/>
        <v>0</v>
      </c>
      <c r="FF9" s="34">
        <f t="shared" ca="1" si="60"/>
        <v>0</v>
      </c>
      <c r="FG9" s="34">
        <f t="shared" ca="1" si="60"/>
        <v>0</v>
      </c>
      <c r="FH9" s="34">
        <f t="shared" ca="1" si="60"/>
        <v>0</v>
      </c>
      <c r="FI9" s="34">
        <f t="shared" ca="1" si="60"/>
        <v>0</v>
      </c>
      <c r="FJ9" s="34">
        <f t="shared" ca="1" si="60"/>
        <v>0</v>
      </c>
      <c r="FK9" s="34">
        <f t="shared" ca="1" si="61"/>
        <v>0</v>
      </c>
      <c r="FL9" s="34">
        <f t="shared" ca="1" si="61"/>
        <v>0</v>
      </c>
      <c r="FM9" s="34">
        <f t="shared" ca="1" si="61"/>
        <v>0</v>
      </c>
      <c r="FN9" s="34">
        <f t="shared" ca="1" si="61"/>
        <v>0</v>
      </c>
      <c r="FO9" s="34">
        <f t="shared" ca="1" si="61"/>
        <v>0</v>
      </c>
      <c r="FP9" s="34">
        <f t="shared" ca="1" si="61"/>
        <v>0</v>
      </c>
      <c r="FQ9" s="34">
        <f t="shared" ca="1" si="61"/>
        <v>0</v>
      </c>
      <c r="FR9" s="34">
        <f t="shared" ca="1" si="61"/>
        <v>0</v>
      </c>
      <c r="FS9" s="34">
        <f t="shared" ca="1" si="61"/>
        <v>0</v>
      </c>
      <c r="FT9" s="34">
        <f t="shared" ca="1" si="61"/>
        <v>0</v>
      </c>
      <c r="FU9" s="34">
        <f t="shared" ca="1" si="62"/>
        <v>0</v>
      </c>
      <c r="FV9" s="34">
        <f t="shared" ca="1" si="62"/>
        <v>0</v>
      </c>
      <c r="FW9" s="34">
        <f t="shared" ca="1" si="62"/>
        <v>0</v>
      </c>
      <c r="FX9" s="34">
        <f t="shared" ca="1" si="62"/>
        <v>0</v>
      </c>
      <c r="FY9" s="34">
        <f t="shared" ca="1" si="62"/>
        <v>0</v>
      </c>
      <c r="FZ9" s="34">
        <f t="shared" ca="1" si="62"/>
        <v>0</v>
      </c>
      <c r="GA9" s="34">
        <f t="shared" ca="1" si="62"/>
        <v>0</v>
      </c>
      <c r="GB9" s="34">
        <f t="shared" ca="1" si="62"/>
        <v>0</v>
      </c>
      <c r="GC9" s="34">
        <f t="shared" ca="1" si="62"/>
        <v>0</v>
      </c>
      <c r="GD9" s="34">
        <f t="shared" ca="1" si="62"/>
        <v>0</v>
      </c>
      <c r="GE9" s="34">
        <f t="shared" ca="1" si="63"/>
        <v>0</v>
      </c>
      <c r="GF9" s="34">
        <f t="shared" ca="1" si="63"/>
        <v>0</v>
      </c>
      <c r="GG9" s="34">
        <f t="shared" ca="1" si="63"/>
        <v>0</v>
      </c>
      <c r="GH9" s="34">
        <f t="shared" ca="1" si="63"/>
        <v>0</v>
      </c>
      <c r="GI9" s="34">
        <f t="shared" ca="1" si="63"/>
        <v>0</v>
      </c>
      <c r="GJ9" s="34">
        <f t="shared" ca="1" si="63"/>
        <v>0</v>
      </c>
      <c r="GK9" s="34">
        <f t="shared" ca="1" si="63"/>
        <v>0</v>
      </c>
      <c r="GL9" s="34">
        <f t="shared" ca="1" si="63"/>
        <v>0</v>
      </c>
      <c r="GM9" s="34">
        <f t="shared" ca="1" si="63"/>
        <v>0</v>
      </c>
      <c r="GN9" s="34">
        <f t="shared" ca="1" si="63"/>
        <v>0</v>
      </c>
      <c r="GO9" s="34">
        <f t="shared" ca="1" si="64"/>
        <v>0</v>
      </c>
      <c r="GP9" s="34">
        <f t="shared" ca="1" si="64"/>
        <v>0</v>
      </c>
      <c r="GQ9" s="34">
        <f t="shared" ca="1" si="64"/>
        <v>0</v>
      </c>
      <c r="GR9" s="34">
        <f t="shared" ca="1" si="64"/>
        <v>0</v>
      </c>
      <c r="GS9" s="34">
        <f t="shared" ca="1" si="64"/>
        <v>0</v>
      </c>
      <c r="GT9" s="34">
        <f t="shared" ca="1" si="64"/>
        <v>0</v>
      </c>
      <c r="GU9" s="34">
        <f t="shared" ca="1" si="64"/>
        <v>0</v>
      </c>
      <c r="GV9" s="34">
        <f t="shared" ca="1" si="64"/>
        <v>0</v>
      </c>
      <c r="GW9" s="34">
        <f t="shared" ca="1" si="64"/>
        <v>0</v>
      </c>
      <c r="GX9" s="34">
        <f t="shared" ca="1" si="64"/>
        <v>0</v>
      </c>
      <c r="GY9" s="34">
        <f t="shared" ca="1" si="65"/>
        <v>0</v>
      </c>
      <c r="GZ9" s="34">
        <f t="shared" ca="1" si="65"/>
        <v>0</v>
      </c>
      <c r="HA9" s="34">
        <f t="shared" ca="1" si="65"/>
        <v>0</v>
      </c>
      <c r="HB9" s="34">
        <f t="shared" ca="1" si="65"/>
        <v>0</v>
      </c>
      <c r="HC9" s="34">
        <f t="shared" ca="1" si="65"/>
        <v>0</v>
      </c>
      <c r="HD9" s="34">
        <f t="shared" ca="1" si="65"/>
        <v>0</v>
      </c>
      <c r="HE9" s="34">
        <f t="shared" ca="1" si="65"/>
        <v>0</v>
      </c>
      <c r="HF9" s="34">
        <f t="shared" ca="1" si="65"/>
        <v>0</v>
      </c>
      <c r="HG9" s="34">
        <f t="shared" ca="1" si="65"/>
        <v>0</v>
      </c>
      <c r="HH9" s="34">
        <f t="shared" ca="1" si="65"/>
        <v>0</v>
      </c>
      <c r="HI9" s="34">
        <f t="shared" ca="1" si="66"/>
        <v>0</v>
      </c>
      <c r="HJ9" s="34">
        <f t="shared" ca="1" si="66"/>
        <v>0</v>
      </c>
      <c r="HK9" s="34">
        <f t="shared" ca="1" si="66"/>
        <v>0</v>
      </c>
      <c r="HL9" s="34">
        <f t="shared" ca="1" si="66"/>
        <v>0</v>
      </c>
      <c r="HM9" s="34">
        <f t="shared" ca="1" si="66"/>
        <v>0</v>
      </c>
      <c r="HN9" s="34">
        <f t="shared" ca="1" si="66"/>
        <v>0</v>
      </c>
      <c r="HO9" s="34">
        <f t="shared" ca="1" si="66"/>
        <v>0</v>
      </c>
      <c r="HP9" s="34">
        <f t="shared" ca="1" si="66"/>
        <v>0</v>
      </c>
      <c r="HQ9" s="34">
        <f t="shared" ca="1" si="66"/>
        <v>0</v>
      </c>
      <c r="HR9" s="34">
        <f t="shared" ca="1" si="66"/>
        <v>0</v>
      </c>
      <c r="HS9" s="34">
        <f t="shared" ca="1" si="67"/>
        <v>0</v>
      </c>
      <c r="HT9" s="34">
        <f t="shared" ca="1" si="67"/>
        <v>0</v>
      </c>
      <c r="HU9" s="34">
        <f t="shared" ca="1" si="67"/>
        <v>0</v>
      </c>
      <c r="HV9" s="34">
        <f t="shared" ca="1" si="67"/>
        <v>0</v>
      </c>
      <c r="HW9" s="34">
        <f t="shared" ca="1" si="67"/>
        <v>0</v>
      </c>
      <c r="HX9" s="34">
        <f t="shared" ca="1" si="67"/>
        <v>0</v>
      </c>
      <c r="HY9" s="34">
        <f t="shared" ca="1" si="67"/>
        <v>0</v>
      </c>
      <c r="HZ9" s="34">
        <f t="shared" ca="1" si="67"/>
        <v>0</v>
      </c>
      <c r="IA9" s="34">
        <f t="shared" ca="1" si="67"/>
        <v>0</v>
      </c>
      <c r="IB9" s="34">
        <f t="shared" ca="1" si="67"/>
        <v>0</v>
      </c>
      <c r="IC9" s="34">
        <f t="shared" ca="1" si="68"/>
        <v>0</v>
      </c>
      <c r="ID9" s="34">
        <f t="shared" ca="1" si="68"/>
        <v>0</v>
      </c>
      <c r="IE9" s="34">
        <f t="shared" ca="1" si="68"/>
        <v>0</v>
      </c>
      <c r="IF9" s="34">
        <f t="shared" ca="1" si="68"/>
        <v>0</v>
      </c>
      <c r="IG9" s="34">
        <f t="shared" ca="1" si="68"/>
        <v>0</v>
      </c>
      <c r="IH9" s="34">
        <f t="shared" ca="1" si="68"/>
        <v>0</v>
      </c>
      <c r="II9" s="34">
        <f t="shared" ca="1" si="68"/>
        <v>0</v>
      </c>
      <c r="IJ9" s="34">
        <f t="shared" ca="1" si="68"/>
        <v>0</v>
      </c>
      <c r="IK9" s="34">
        <f t="shared" ca="1" si="68"/>
        <v>0</v>
      </c>
      <c r="IL9" s="34">
        <f t="shared" ca="1" si="68"/>
        <v>0</v>
      </c>
      <c r="IM9" s="34">
        <f t="shared" ca="1" si="69"/>
        <v>0</v>
      </c>
      <c r="IN9" s="34">
        <f t="shared" ca="1" si="69"/>
        <v>0</v>
      </c>
      <c r="IO9" s="34">
        <f t="shared" ca="1" si="69"/>
        <v>0</v>
      </c>
      <c r="IP9" s="34">
        <f t="shared" ca="1" si="69"/>
        <v>0</v>
      </c>
      <c r="IQ9" s="34">
        <f t="shared" ca="1" si="69"/>
        <v>0</v>
      </c>
      <c r="IR9" s="34">
        <f t="shared" ca="1" si="69"/>
        <v>0</v>
      </c>
      <c r="IS9" s="34">
        <f t="shared" ca="1" si="69"/>
        <v>0</v>
      </c>
      <c r="IT9" s="34">
        <f t="shared" ca="1" si="69"/>
        <v>0</v>
      </c>
      <c r="IU9" s="34">
        <f t="shared" ca="1" si="69"/>
        <v>0</v>
      </c>
      <c r="IV9" s="34">
        <f t="shared" ca="1" si="69"/>
        <v>0</v>
      </c>
      <c r="IW9" s="34">
        <f t="shared" ca="1" si="70"/>
        <v>0</v>
      </c>
      <c r="IX9" s="34">
        <f t="shared" ca="1" si="70"/>
        <v>0</v>
      </c>
      <c r="IY9" s="34">
        <f t="shared" ca="1" si="70"/>
        <v>0</v>
      </c>
      <c r="IZ9" s="34">
        <f t="shared" ca="1" si="70"/>
        <v>0</v>
      </c>
      <c r="JA9" s="34">
        <f t="shared" ca="1" si="70"/>
        <v>0</v>
      </c>
      <c r="JB9" s="34">
        <f t="shared" ca="1" si="70"/>
        <v>0</v>
      </c>
      <c r="JC9" s="34">
        <f t="shared" ca="1" si="70"/>
        <v>0</v>
      </c>
      <c r="JD9" s="34">
        <f t="shared" ca="1" si="70"/>
        <v>0</v>
      </c>
      <c r="JE9" s="34">
        <f t="shared" ca="1" si="70"/>
        <v>0</v>
      </c>
      <c r="JF9" s="34">
        <f t="shared" ca="1" si="70"/>
        <v>0</v>
      </c>
      <c r="JG9" s="34">
        <f t="shared" ca="1" si="71"/>
        <v>0</v>
      </c>
      <c r="JH9" s="34">
        <f t="shared" ca="1" si="71"/>
        <v>0</v>
      </c>
      <c r="JI9" s="34">
        <f t="shared" ca="1" si="71"/>
        <v>0</v>
      </c>
      <c r="JJ9" s="34">
        <f t="shared" ca="1" si="71"/>
        <v>0</v>
      </c>
      <c r="JK9" s="34">
        <f t="shared" ca="1" si="71"/>
        <v>0</v>
      </c>
      <c r="JL9" s="34">
        <f t="shared" ca="1" si="71"/>
        <v>0</v>
      </c>
      <c r="JM9" s="34">
        <f t="shared" ca="1" si="71"/>
        <v>0</v>
      </c>
      <c r="JN9" s="34">
        <f t="shared" ca="1" si="71"/>
        <v>0</v>
      </c>
      <c r="JO9" s="34">
        <f t="shared" ca="1" si="71"/>
        <v>0</v>
      </c>
      <c r="JP9" s="34">
        <f t="shared" ca="1" si="71"/>
        <v>0</v>
      </c>
      <c r="JQ9" s="34">
        <f t="shared" ca="1" si="72"/>
        <v>0</v>
      </c>
      <c r="JR9" s="34">
        <f t="shared" ca="1" si="72"/>
        <v>0</v>
      </c>
      <c r="JS9" s="34">
        <f t="shared" ca="1" si="72"/>
        <v>0</v>
      </c>
      <c r="JT9" s="34">
        <f t="shared" ca="1" si="72"/>
        <v>0</v>
      </c>
      <c r="JU9" s="34">
        <f t="shared" ca="1" si="72"/>
        <v>0</v>
      </c>
      <c r="JV9" s="34">
        <f t="shared" ca="1" si="72"/>
        <v>0</v>
      </c>
      <c r="JW9" s="34">
        <f t="shared" ca="1" si="72"/>
        <v>0</v>
      </c>
      <c r="JX9" s="34">
        <f t="shared" ca="1" si="72"/>
        <v>0</v>
      </c>
      <c r="JY9" s="34">
        <f t="shared" ca="1" si="72"/>
        <v>0</v>
      </c>
      <c r="JZ9" s="34">
        <f t="shared" ca="1" si="72"/>
        <v>0</v>
      </c>
      <c r="KA9" s="34">
        <f t="shared" ca="1" si="73"/>
        <v>0</v>
      </c>
      <c r="KB9" s="34">
        <f t="shared" ca="1" si="73"/>
        <v>0</v>
      </c>
      <c r="KC9" s="34">
        <f t="shared" ca="1" si="73"/>
        <v>0</v>
      </c>
      <c r="KD9" s="34">
        <f t="shared" ca="1" si="73"/>
        <v>0</v>
      </c>
      <c r="KE9" s="34">
        <f t="shared" ca="1" si="73"/>
        <v>0</v>
      </c>
      <c r="KF9" s="34">
        <f t="shared" ca="1" si="73"/>
        <v>0</v>
      </c>
      <c r="KG9" s="34">
        <f t="shared" ca="1" si="73"/>
        <v>0</v>
      </c>
      <c r="KH9" s="34">
        <f t="shared" ca="1" si="73"/>
        <v>0</v>
      </c>
      <c r="KI9" s="34">
        <f t="shared" ca="1" si="73"/>
        <v>0</v>
      </c>
      <c r="KJ9" s="34">
        <f t="shared" ca="1" si="73"/>
        <v>0</v>
      </c>
      <c r="KK9" s="34">
        <f t="shared" ca="1" si="74"/>
        <v>0</v>
      </c>
      <c r="KL9" s="34">
        <f t="shared" ca="1" si="74"/>
        <v>0</v>
      </c>
      <c r="KM9" s="34">
        <f t="shared" ca="1" si="74"/>
        <v>0</v>
      </c>
      <c r="KN9" s="34">
        <f t="shared" ca="1" si="74"/>
        <v>0</v>
      </c>
      <c r="KO9" s="34">
        <f t="shared" ca="1" si="74"/>
        <v>0</v>
      </c>
      <c r="KP9" s="34">
        <f t="shared" ca="1" si="74"/>
        <v>0</v>
      </c>
      <c r="KQ9" s="34">
        <f t="shared" ca="1" si="74"/>
        <v>0</v>
      </c>
      <c r="KR9" s="34">
        <f t="shared" ca="1" si="74"/>
        <v>0</v>
      </c>
      <c r="KS9" s="34">
        <f t="shared" ca="1" si="74"/>
        <v>0</v>
      </c>
      <c r="KT9" s="34">
        <f t="shared" ca="1" si="74"/>
        <v>0</v>
      </c>
      <c r="KU9" s="34">
        <f t="shared" ca="1" si="75"/>
        <v>0</v>
      </c>
      <c r="KV9" s="34">
        <f t="shared" ca="1" si="75"/>
        <v>0</v>
      </c>
      <c r="KW9" s="34">
        <f t="shared" ca="1" si="75"/>
        <v>0</v>
      </c>
      <c r="KX9" s="34">
        <f t="shared" ca="1" si="75"/>
        <v>0</v>
      </c>
      <c r="KY9" s="34">
        <f t="shared" ca="1" si="75"/>
        <v>0</v>
      </c>
      <c r="KZ9" s="34">
        <f t="shared" ca="1" si="75"/>
        <v>0</v>
      </c>
      <c r="LA9" s="34">
        <f t="shared" ca="1" si="75"/>
        <v>0</v>
      </c>
      <c r="LB9" s="34">
        <f t="shared" ca="1" si="75"/>
        <v>0</v>
      </c>
      <c r="LC9" s="34">
        <f t="shared" ca="1" si="75"/>
        <v>0</v>
      </c>
      <c r="LD9" s="34">
        <f t="shared" ca="1" si="75"/>
        <v>0</v>
      </c>
      <c r="LE9" s="34">
        <f t="shared" ca="1" si="76"/>
        <v>0</v>
      </c>
      <c r="LF9" s="34">
        <f t="shared" ca="1" si="76"/>
        <v>0</v>
      </c>
      <c r="LG9" s="34">
        <f t="shared" ca="1" si="76"/>
        <v>0</v>
      </c>
      <c r="LH9" s="34">
        <f t="shared" ca="1" si="76"/>
        <v>0</v>
      </c>
      <c r="LI9" s="34">
        <f t="shared" ca="1" si="76"/>
        <v>0</v>
      </c>
      <c r="LJ9" s="34">
        <f t="shared" ca="1" si="76"/>
        <v>0</v>
      </c>
      <c r="LK9" s="34">
        <f t="shared" ca="1" si="76"/>
        <v>0</v>
      </c>
      <c r="LL9" s="34">
        <f t="shared" ca="1" si="76"/>
        <v>0</v>
      </c>
      <c r="LM9" s="34">
        <f t="shared" ca="1" si="76"/>
        <v>0</v>
      </c>
      <c r="LN9" s="34">
        <f t="shared" ca="1" si="76"/>
        <v>0</v>
      </c>
      <c r="LO9" s="34">
        <f t="shared" ca="1" si="77"/>
        <v>0</v>
      </c>
      <c r="LP9" s="34">
        <f t="shared" ca="1" si="77"/>
        <v>0</v>
      </c>
      <c r="LQ9" s="34">
        <f t="shared" ca="1" si="77"/>
        <v>0</v>
      </c>
      <c r="LR9" s="34">
        <f t="shared" ca="1" si="77"/>
        <v>0</v>
      </c>
      <c r="LS9" s="34">
        <f t="shared" ca="1" si="77"/>
        <v>0</v>
      </c>
      <c r="LT9" s="34">
        <f t="shared" ca="1" si="77"/>
        <v>0</v>
      </c>
      <c r="LU9" s="34">
        <f t="shared" ca="1" si="77"/>
        <v>0</v>
      </c>
      <c r="LV9" s="34">
        <f t="shared" ca="1" si="77"/>
        <v>0</v>
      </c>
      <c r="LW9" s="34">
        <f t="shared" ca="1" si="77"/>
        <v>0</v>
      </c>
      <c r="LX9" s="34">
        <f t="shared" ca="1" si="77"/>
        <v>0</v>
      </c>
      <c r="LY9" s="34">
        <f t="shared" ca="1" si="78"/>
        <v>0</v>
      </c>
      <c r="LZ9" s="34">
        <f t="shared" ca="1" si="78"/>
        <v>0</v>
      </c>
      <c r="MA9" s="34">
        <f t="shared" ca="1" si="78"/>
        <v>0</v>
      </c>
      <c r="MB9" s="34">
        <f t="shared" ca="1" si="78"/>
        <v>0</v>
      </c>
      <c r="MC9" s="34">
        <f t="shared" ca="1" si="78"/>
        <v>0</v>
      </c>
      <c r="MD9" s="34">
        <f t="shared" ca="1" si="78"/>
        <v>0</v>
      </c>
      <c r="ME9" s="34">
        <f t="shared" ca="1" si="78"/>
        <v>0</v>
      </c>
      <c r="MF9" s="34">
        <f t="shared" ca="1" si="78"/>
        <v>0</v>
      </c>
      <c r="MG9" s="34">
        <f t="shared" ca="1" si="78"/>
        <v>0</v>
      </c>
      <c r="MH9" s="34">
        <f t="shared" ca="1" si="78"/>
        <v>0</v>
      </c>
      <c r="MI9" s="34">
        <f t="shared" ca="1" si="79"/>
        <v>0</v>
      </c>
      <c r="MJ9" s="34">
        <f t="shared" ca="1" si="79"/>
        <v>0</v>
      </c>
      <c r="MK9" s="34">
        <f t="shared" ca="1" si="79"/>
        <v>0</v>
      </c>
      <c r="ML9" s="34">
        <f t="shared" ca="1" si="79"/>
        <v>0</v>
      </c>
      <c r="MM9" s="34">
        <f t="shared" ca="1" si="79"/>
        <v>0</v>
      </c>
      <c r="MN9" s="34">
        <f t="shared" ca="1" si="79"/>
        <v>0</v>
      </c>
      <c r="MO9" s="34">
        <f t="shared" ca="1" si="79"/>
        <v>0</v>
      </c>
      <c r="MP9" s="34">
        <f t="shared" ca="1" si="79"/>
        <v>0</v>
      </c>
      <c r="MQ9" s="34">
        <f t="shared" ca="1" si="79"/>
        <v>0</v>
      </c>
      <c r="MR9" s="34">
        <f t="shared" ca="1" si="79"/>
        <v>0</v>
      </c>
      <c r="MS9" s="34">
        <f t="shared" ca="1" si="80"/>
        <v>0</v>
      </c>
      <c r="MT9" s="34">
        <f t="shared" ca="1" si="80"/>
        <v>0</v>
      </c>
      <c r="MU9" s="34">
        <f t="shared" ca="1" si="80"/>
        <v>0</v>
      </c>
      <c r="MV9" s="34">
        <f t="shared" ca="1" si="80"/>
        <v>0</v>
      </c>
      <c r="MW9" s="34">
        <f t="shared" ca="1" si="80"/>
        <v>0</v>
      </c>
      <c r="MX9" s="34">
        <f t="shared" ca="1" si="80"/>
        <v>0</v>
      </c>
      <c r="MY9" s="34">
        <f t="shared" ca="1" si="80"/>
        <v>0</v>
      </c>
      <c r="MZ9" s="34">
        <f t="shared" ca="1" si="80"/>
        <v>0</v>
      </c>
      <c r="NA9" s="34">
        <f t="shared" ca="1" si="80"/>
        <v>0</v>
      </c>
      <c r="NB9" s="34">
        <f t="shared" ca="1" si="80"/>
        <v>0</v>
      </c>
      <c r="NC9" s="34">
        <f t="shared" ca="1" si="81"/>
        <v>0</v>
      </c>
      <c r="ND9" s="34">
        <f t="shared" ca="1" si="81"/>
        <v>0</v>
      </c>
      <c r="NE9" s="34">
        <f t="shared" ca="1" si="81"/>
        <v>0</v>
      </c>
      <c r="NF9" s="34">
        <f t="shared" ca="1" si="81"/>
        <v>0</v>
      </c>
      <c r="NG9" s="34">
        <f t="shared" ca="1" si="81"/>
        <v>0</v>
      </c>
      <c r="NH9" s="34">
        <f t="shared" ca="1" si="81"/>
        <v>0</v>
      </c>
      <c r="NI9" s="34">
        <f t="shared" ca="1" si="81"/>
        <v>0</v>
      </c>
      <c r="NJ9" s="34">
        <f t="shared" ca="1" si="81"/>
        <v>0</v>
      </c>
      <c r="NK9" s="34">
        <f t="shared" ca="1" si="81"/>
        <v>0</v>
      </c>
      <c r="NL9" s="34">
        <f t="shared" ca="1" si="81"/>
        <v>0</v>
      </c>
      <c r="NM9" s="34">
        <f t="shared" ca="1" si="82"/>
        <v>0</v>
      </c>
      <c r="NN9" s="34">
        <f t="shared" ca="1" si="82"/>
        <v>0</v>
      </c>
      <c r="NO9" s="34">
        <f t="shared" ca="1" si="82"/>
        <v>0</v>
      </c>
      <c r="NP9" s="34">
        <f t="shared" ca="1" si="82"/>
        <v>0</v>
      </c>
      <c r="NQ9" s="34">
        <f t="shared" ca="1" si="82"/>
        <v>0</v>
      </c>
      <c r="NR9" s="34">
        <f t="shared" ca="1" si="82"/>
        <v>0</v>
      </c>
      <c r="NS9" s="34">
        <f t="shared" ca="1" si="82"/>
        <v>0</v>
      </c>
      <c r="NT9" s="34">
        <f t="shared" ca="1" si="82"/>
        <v>0</v>
      </c>
      <c r="NU9" s="34">
        <f t="shared" ca="1" si="82"/>
        <v>0</v>
      </c>
      <c r="NV9" s="34">
        <f t="shared" ca="1" si="82"/>
        <v>0</v>
      </c>
      <c r="NW9" s="34">
        <f t="shared" ca="1" si="83"/>
        <v>0</v>
      </c>
      <c r="NX9" s="34">
        <f t="shared" ca="1" si="83"/>
        <v>0</v>
      </c>
      <c r="NY9" s="34">
        <f t="shared" ca="1" si="83"/>
        <v>0</v>
      </c>
      <c r="NZ9" s="34">
        <f t="shared" ca="1" si="83"/>
        <v>0</v>
      </c>
      <c r="OA9" s="34">
        <f t="shared" ca="1" si="83"/>
        <v>0</v>
      </c>
      <c r="OB9" s="34">
        <f t="shared" ca="1" si="83"/>
        <v>0</v>
      </c>
      <c r="OC9" s="34">
        <f t="shared" ca="1" si="83"/>
        <v>0</v>
      </c>
      <c r="OD9" s="34">
        <f t="shared" ca="1" si="83"/>
        <v>0</v>
      </c>
      <c r="OE9" s="34">
        <f t="shared" ca="1" si="83"/>
        <v>0</v>
      </c>
      <c r="OF9" s="34">
        <f t="shared" ca="1" si="83"/>
        <v>0</v>
      </c>
      <c r="OG9" s="34">
        <f t="shared" ca="1" si="84"/>
        <v>0</v>
      </c>
      <c r="OH9" s="34">
        <f t="shared" ca="1" si="84"/>
        <v>0</v>
      </c>
      <c r="OI9" s="34">
        <f t="shared" ca="1" si="84"/>
        <v>0</v>
      </c>
      <c r="OJ9" s="34">
        <f t="shared" ca="1" si="84"/>
        <v>0</v>
      </c>
      <c r="OK9" s="34">
        <f t="shared" ca="1" si="84"/>
        <v>0</v>
      </c>
      <c r="OL9" s="34">
        <f t="shared" ca="1" si="84"/>
        <v>0</v>
      </c>
      <c r="OM9" s="34">
        <f t="shared" ca="1" si="84"/>
        <v>0</v>
      </c>
      <c r="ON9" s="34">
        <f t="shared" ca="1" si="84"/>
        <v>0</v>
      </c>
      <c r="OO9" s="34">
        <f t="shared" ca="1" si="84"/>
        <v>0</v>
      </c>
      <c r="OP9" s="34">
        <f t="shared" ca="1" si="84"/>
        <v>0</v>
      </c>
      <c r="OQ9" s="34">
        <f t="shared" ca="1" si="85"/>
        <v>0</v>
      </c>
      <c r="OR9" s="34">
        <f t="shared" ca="1" si="85"/>
        <v>0</v>
      </c>
      <c r="OS9" s="34">
        <f t="shared" ca="1" si="85"/>
        <v>0</v>
      </c>
      <c r="OT9" s="34">
        <f t="shared" ca="1" si="85"/>
        <v>0</v>
      </c>
      <c r="OU9" s="34">
        <f t="shared" ca="1" si="85"/>
        <v>0</v>
      </c>
      <c r="OV9" s="34">
        <f t="shared" ca="1" si="85"/>
        <v>0</v>
      </c>
      <c r="OW9" s="34">
        <f t="shared" ca="1" si="85"/>
        <v>0</v>
      </c>
      <c r="OX9" s="34">
        <f t="shared" ca="1" si="85"/>
        <v>0</v>
      </c>
      <c r="OY9" s="34">
        <f t="shared" ca="1" si="85"/>
        <v>0</v>
      </c>
      <c r="OZ9" s="34">
        <f t="shared" ca="1" si="85"/>
        <v>0</v>
      </c>
      <c r="PA9" s="34">
        <f t="shared" ca="1" si="86"/>
        <v>0</v>
      </c>
      <c r="PB9" s="34">
        <f t="shared" ca="1" si="86"/>
        <v>0</v>
      </c>
      <c r="PC9" s="34">
        <f t="shared" ca="1" si="86"/>
        <v>0</v>
      </c>
      <c r="PD9" s="34">
        <f t="shared" ca="1" si="86"/>
        <v>0</v>
      </c>
      <c r="PE9" s="34">
        <f t="shared" ca="1" si="86"/>
        <v>0</v>
      </c>
      <c r="PF9" s="34">
        <f t="shared" ca="1" si="86"/>
        <v>0</v>
      </c>
      <c r="PG9" s="34">
        <f t="shared" ca="1" si="86"/>
        <v>0</v>
      </c>
      <c r="PH9" s="34">
        <f t="shared" ca="1" si="86"/>
        <v>0</v>
      </c>
      <c r="PI9" s="34">
        <f t="shared" ca="1" si="86"/>
        <v>0</v>
      </c>
      <c r="PJ9" s="34">
        <f t="shared" ca="1" si="86"/>
        <v>0</v>
      </c>
      <c r="PK9" s="34">
        <f t="shared" ca="1" si="87"/>
        <v>0</v>
      </c>
      <c r="PL9" s="34">
        <f t="shared" ca="1" si="87"/>
        <v>0</v>
      </c>
      <c r="PM9" s="34">
        <f t="shared" ca="1" si="87"/>
        <v>0</v>
      </c>
      <c r="PN9" s="34">
        <f t="shared" ca="1" si="87"/>
        <v>0</v>
      </c>
      <c r="PO9" s="34">
        <f t="shared" ca="1" si="87"/>
        <v>0</v>
      </c>
      <c r="PP9" s="34">
        <f t="shared" ca="1" si="87"/>
        <v>0</v>
      </c>
      <c r="PQ9" s="34">
        <f t="shared" ca="1" si="87"/>
        <v>0</v>
      </c>
      <c r="PR9" s="34">
        <f t="shared" ca="1" si="87"/>
        <v>0</v>
      </c>
      <c r="PS9" s="34">
        <f t="shared" ca="1" si="87"/>
        <v>0</v>
      </c>
      <c r="PT9" s="34">
        <f t="shared" ca="1" si="87"/>
        <v>0</v>
      </c>
      <c r="PU9" s="34">
        <f t="shared" ca="1" si="88"/>
        <v>0</v>
      </c>
      <c r="PV9" s="34">
        <f t="shared" ca="1" si="88"/>
        <v>0</v>
      </c>
      <c r="PW9" s="34">
        <f t="shared" ca="1" si="88"/>
        <v>0</v>
      </c>
      <c r="PX9" s="34">
        <f t="shared" ca="1" si="88"/>
        <v>0</v>
      </c>
      <c r="PY9" s="34">
        <f t="shared" ca="1" si="88"/>
        <v>0</v>
      </c>
      <c r="PZ9" s="34">
        <f t="shared" ca="1" si="88"/>
        <v>0</v>
      </c>
      <c r="QA9" s="34">
        <f t="shared" ca="1" si="88"/>
        <v>0</v>
      </c>
      <c r="QB9" s="34">
        <f t="shared" ca="1" si="88"/>
        <v>0</v>
      </c>
      <c r="QC9" s="34">
        <f t="shared" ca="1" si="88"/>
        <v>0</v>
      </c>
      <c r="QD9" s="34">
        <f t="shared" ca="1" si="88"/>
        <v>0</v>
      </c>
      <c r="QE9" s="34">
        <f t="shared" ca="1" si="89"/>
        <v>0</v>
      </c>
      <c r="QF9" s="34">
        <f t="shared" ca="1" si="89"/>
        <v>0</v>
      </c>
      <c r="QG9" s="34">
        <f t="shared" ca="1" si="89"/>
        <v>0</v>
      </c>
      <c r="QH9" s="34">
        <f t="shared" ca="1" si="89"/>
        <v>0</v>
      </c>
      <c r="QI9" s="34">
        <f t="shared" ca="1" si="89"/>
        <v>0</v>
      </c>
      <c r="QJ9" s="34">
        <f t="shared" ca="1" si="89"/>
        <v>0</v>
      </c>
      <c r="QK9" s="34">
        <f t="shared" ca="1" si="89"/>
        <v>0</v>
      </c>
      <c r="QL9" s="34">
        <f t="shared" ca="1" si="89"/>
        <v>0</v>
      </c>
      <c r="QM9" s="34">
        <f t="shared" ca="1" si="89"/>
        <v>0</v>
      </c>
      <c r="QN9" s="34">
        <f t="shared" ca="1" si="89"/>
        <v>0</v>
      </c>
      <c r="QO9" s="34">
        <f t="shared" ca="1" si="90"/>
        <v>0</v>
      </c>
      <c r="QP9" s="34">
        <f t="shared" ca="1" si="90"/>
        <v>0</v>
      </c>
      <c r="QQ9" s="34">
        <f t="shared" ca="1" si="90"/>
        <v>0</v>
      </c>
      <c r="QR9" s="34">
        <f t="shared" ca="1" si="90"/>
        <v>0</v>
      </c>
      <c r="QS9" s="34">
        <f t="shared" ca="1" si="90"/>
        <v>0</v>
      </c>
      <c r="QT9" s="34">
        <f t="shared" ca="1" si="90"/>
        <v>0</v>
      </c>
      <c r="QU9" s="34">
        <f t="shared" ca="1" si="90"/>
        <v>0</v>
      </c>
      <c r="QV9" s="34">
        <f t="shared" ca="1" si="90"/>
        <v>0</v>
      </c>
      <c r="QW9" s="34">
        <f t="shared" ca="1" si="90"/>
        <v>0</v>
      </c>
      <c r="QX9" s="34">
        <f t="shared" ca="1" si="90"/>
        <v>0</v>
      </c>
      <c r="QY9" s="34">
        <f t="shared" ca="1" si="91"/>
        <v>0</v>
      </c>
      <c r="QZ9" s="34">
        <f t="shared" ca="1" si="91"/>
        <v>0</v>
      </c>
      <c r="RA9" s="34">
        <f t="shared" ca="1" si="91"/>
        <v>0</v>
      </c>
      <c r="RB9" s="34">
        <f t="shared" ca="1" si="91"/>
        <v>0</v>
      </c>
      <c r="RC9" s="34">
        <f t="shared" ca="1" si="91"/>
        <v>0</v>
      </c>
      <c r="RD9" s="34">
        <f t="shared" ca="1" si="91"/>
        <v>0</v>
      </c>
      <c r="RE9" s="34">
        <f t="shared" ca="1" si="91"/>
        <v>0</v>
      </c>
      <c r="RF9" s="34">
        <f t="shared" ca="1" si="91"/>
        <v>0</v>
      </c>
      <c r="RG9" s="34">
        <f t="shared" ca="1" si="91"/>
        <v>0</v>
      </c>
      <c r="RH9" s="34">
        <f t="shared" ca="1" si="91"/>
        <v>0</v>
      </c>
      <c r="RI9" s="34">
        <f t="shared" ca="1" si="92"/>
        <v>0</v>
      </c>
      <c r="RJ9" s="34">
        <f t="shared" ca="1" si="92"/>
        <v>0</v>
      </c>
      <c r="RK9" s="34">
        <f t="shared" ca="1" si="92"/>
        <v>0</v>
      </c>
      <c r="RL9" s="34">
        <f t="shared" ca="1" si="92"/>
        <v>0</v>
      </c>
      <c r="RM9" s="34">
        <f t="shared" ca="1" si="92"/>
        <v>0</v>
      </c>
      <c r="RN9" s="34">
        <f t="shared" ca="1" si="92"/>
        <v>0</v>
      </c>
      <c r="RO9" s="34">
        <f t="shared" ca="1" si="92"/>
        <v>0</v>
      </c>
      <c r="RP9" s="34">
        <f t="shared" ca="1" si="92"/>
        <v>0</v>
      </c>
      <c r="RQ9" s="34">
        <f t="shared" ca="1" si="92"/>
        <v>0</v>
      </c>
      <c r="RR9" s="34">
        <f t="shared" ca="1" si="92"/>
        <v>0</v>
      </c>
      <c r="RS9" s="34">
        <f t="shared" ca="1" si="93"/>
        <v>0</v>
      </c>
      <c r="RT9" s="34">
        <f t="shared" ca="1" si="93"/>
        <v>0</v>
      </c>
      <c r="RU9" s="34">
        <f t="shared" ca="1" si="93"/>
        <v>0</v>
      </c>
      <c r="RV9" s="34">
        <f t="shared" ca="1" si="93"/>
        <v>0</v>
      </c>
      <c r="RW9" s="34">
        <f t="shared" ca="1" si="93"/>
        <v>0</v>
      </c>
      <c r="RX9" s="34">
        <f t="shared" ca="1" si="93"/>
        <v>0</v>
      </c>
      <c r="RY9" s="34">
        <f t="shared" ca="1" si="93"/>
        <v>0</v>
      </c>
      <c r="RZ9" s="34">
        <f t="shared" ca="1" si="93"/>
        <v>0</v>
      </c>
      <c r="SA9" s="34">
        <f t="shared" ca="1" si="93"/>
        <v>0</v>
      </c>
      <c r="SB9" s="34">
        <f t="shared" ca="1" si="93"/>
        <v>0</v>
      </c>
      <c r="SC9" s="34">
        <f t="shared" ca="1" si="94"/>
        <v>0</v>
      </c>
      <c r="SD9" s="34">
        <f t="shared" ca="1" si="94"/>
        <v>0</v>
      </c>
      <c r="SE9" s="34">
        <f t="shared" ca="1" si="94"/>
        <v>0</v>
      </c>
      <c r="SF9" s="34">
        <f t="shared" ca="1" si="94"/>
        <v>0</v>
      </c>
      <c r="SG9" s="34">
        <f t="shared" ca="1" si="94"/>
        <v>0</v>
      </c>
      <c r="SH9" s="34">
        <f t="shared" ca="1" si="94"/>
        <v>0</v>
      </c>
      <c r="SI9" s="34">
        <f t="shared" ca="1" si="94"/>
        <v>0</v>
      </c>
      <c r="SJ9" s="34">
        <f t="shared" ca="1" si="94"/>
        <v>0</v>
      </c>
      <c r="SK9" s="34">
        <f t="shared" ca="1" si="94"/>
        <v>0</v>
      </c>
      <c r="SL9" s="34">
        <f t="shared" ca="1" si="94"/>
        <v>0</v>
      </c>
      <c r="SM9" s="34">
        <f t="shared" ca="1" si="95"/>
        <v>0</v>
      </c>
      <c r="SN9" s="34">
        <f t="shared" ca="1" si="95"/>
        <v>0</v>
      </c>
      <c r="SO9" s="34">
        <f t="shared" ca="1" si="95"/>
        <v>0</v>
      </c>
      <c r="SP9" s="34">
        <f t="shared" ca="1" si="95"/>
        <v>0</v>
      </c>
      <c r="SQ9" s="34">
        <f t="shared" ca="1" si="95"/>
        <v>0</v>
      </c>
      <c r="SR9" s="34">
        <f t="shared" ca="1" si="95"/>
        <v>0</v>
      </c>
      <c r="SS9" s="34">
        <f t="shared" ca="1" si="95"/>
        <v>0</v>
      </c>
      <c r="ST9" s="34">
        <f t="shared" ca="1" si="95"/>
        <v>0</v>
      </c>
      <c r="SU9" s="34">
        <f t="shared" ca="1" si="95"/>
        <v>0</v>
      </c>
      <c r="SV9" s="34">
        <f t="shared" ca="1" si="95"/>
        <v>0</v>
      </c>
      <c r="SW9" s="34">
        <f t="shared" ca="1" si="96"/>
        <v>0</v>
      </c>
      <c r="SX9" s="34">
        <f t="shared" ca="1" si="96"/>
        <v>0</v>
      </c>
      <c r="SY9" s="34">
        <f t="shared" ca="1" si="96"/>
        <v>0</v>
      </c>
      <c r="SZ9" s="34">
        <f t="shared" ca="1" si="96"/>
        <v>0</v>
      </c>
      <c r="TA9" s="34">
        <f t="shared" ca="1" si="96"/>
        <v>0</v>
      </c>
      <c r="TB9" s="34">
        <f t="shared" ca="1" si="96"/>
        <v>0</v>
      </c>
      <c r="TC9" s="34">
        <f t="shared" ca="1" si="96"/>
        <v>0</v>
      </c>
      <c r="TD9" s="34">
        <f t="shared" ca="1" si="96"/>
        <v>0</v>
      </c>
      <c r="TE9" s="34">
        <f t="shared" ca="1" si="96"/>
        <v>0</v>
      </c>
      <c r="TF9" s="34">
        <f t="shared" ca="1" si="96"/>
        <v>0</v>
      </c>
      <c r="TG9" s="34">
        <f t="shared" ca="1" si="97"/>
        <v>0</v>
      </c>
      <c r="TH9" s="34">
        <f t="shared" ca="1" si="97"/>
        <v>0</v>
      </c>
      <c r="TI9" s="34">
        <f t="shared" ca="1" si="97"/>
        <v>0</v>
      </c>
      <c r="TJ9" s="34">
        <f t="shared" ca="1" si="97"/>
        <v>0</v>
      </c>
      <c r="TK9" s="34">
        <f t="shared" ca="1" si="97"/>
        <v>0</v>
      </c>
      <c r="TL9" s="34">
        <f t="shared" ca="1" si="97"/>
        <v>0</v>
      </c>
      <c r="TM9" s="34">
        <f t="shared" ca="1" si="97"/>
        <v>0</v>
      </c>
      <c r="TN9" s="34">
        <f t="shared" ca="1" si="97"/>
        <v>0</v>
      </c>
      <c r="TO9" s="34">
        <f t="shared" ca="1" si="97"/>
        <v>0</v>
      </c>
      <c r="TP9" s="34">
        <f t="shared" ca="1" si="97"/>
        <v>0</v>
      </c>
      <c r="TQ9" s="34">
        <f t="shared" ca="1" si="98"/>
        <v>0</v>
      </c>
      <c r="TR9" s="34">
        <f t="shared" ca="1" si="98"/>
        <v>0</v>
      </c>
      <c r="TS9" s="34">
        <f t="shared" ca="1" si="98"/>
        <v>0</v>
      </c>
      <c r="TT9" s="34">
        <f t="shared" ca="1" si="98"/>
        <v>0</v>
      </c>
      <c r="TU9" s="34">
        <f t="shared" ca="1" si="98"/>
        <v>0</v>
      </c>
      <c r="TV9" s="34">
        <f t="shared" ca="1" si="98"/>
        <v>0</v>
      </c>
      <c r="TW9" s="34">
        <f t="shared" ca="1" si="98"/>
        <v>0</v>
      </c>
      <c r="TX9" s="34">
        <f t="shared" ca="1" si="98"/>
        <v>0</v>
      </c>
      <c r="TY9" s="34">
        <f t="shared" ca="1" si="98"/>
        <v>0</v>
      </c>
      <c r="TZ9" s="34">
        <f t="shared" ca="1" si="98"/>
        <v>0</v>
      </c>
      <c r="UA9" s="34">
        <f t="shared" ca="1" si="99"/>
        <v>0</v>
      </c>
      <c r="UB9" s="34">
        <f t="shared" ca="1" si="99"/>
        <v>0</v>
      </c>
      <c r="UC9" s="34">
        <f t="shared" ca="1" si="99"/>
        <v>0</v>
      </c>
      <c r="UD9" s="34">
        <f t="shared" ca="1" si="99"/>
        <v>0</v>
      </c>
      <c r="UE9" s="34">
        <f t="shared" ca="1" si="99"/>
        <v>0</v>
      </c>
      <c r="UF9" s="34">
        <f t="shared" ca="1" si="99"/>
        <v>0</v>
      </c>
      <c r="UG9" s="34">
        <f t="shared" ca="1" si="99"/>
        <v>0</v>
      </c>
      <c r="UH9" s="34">
        <f t="shared" ca="1" si="99"/>
        <v>0</v>
      </c>
      <c r="UI9" s="34">
        <f t="shared" ca="1" si="99"/>
        <v>0</v>
      </c>
      <c r="UJ9" s="34">
        <f t="shared" ca="1" si="99"/>
        <v>0</v>
      </c>
      <c r="UK9" s="34">
        <f t="shared" ca="1" si="100"/>
        <v>0</v>
      </c>
      <c r="UL9" s="34">
        <f t="shared" ca="1" si="100"/>
        <v>0</v>
      </c>
      <c r="UM9" s="34">
        <f t="shared" ca="1" si="100"/>
        <v>0</v>
      </c>
      <c r="UN9" s="34">
        <f t="shared" ca="1" si="100"/>
        <v>0</v>
      </c>
      <c r="UO9" s="34">
        <f t="shared" ca="1" si="100"/>
        <v>0</v>
      </c>
      <c r="UP9" s="34">
        <f t="shared" ca="1" si="100"/>
        <v>0</v>
      </c>
      <c r="UQ9" s="34">
        <f t="shared" ca="1" si="100"/>
        <v>0</v>
      </c>
      <c r="UR9" s="34">
        <f t="shared" ca="1" si="100"/>
        <v>0</v>
      </c>
      <c r="US9" s="34">
        <f t="shared" ca="1" si="100"/>
        <v>0</v>
      </c>
      <c r="UT9" s="34">
        <f t="shared" ca="1" si="100"/>
        <v>0</v>
      </c>
      <c r="UU9" s="34">
        <f t="shared" ca="1" si="101"/>
        <v>0</v>
      </c>
      <c r="UV9" s="34">
        <f t="shared" ca="1" si="101"/>
        <v>0</v>
      </c>
      <c r="UW9" s="34">
        <f t="shared" ca="1" si="101"/>
        <v>0</v>
      </c>
      <c r="UX9" s="34">
        <f t="shared" ca="1" si="101"/>
        <v>0</v>
      </c>
      <c r="UY9" s="34">
        <f t="shared" ca="1" si="101"/>
        <v>0</v>
      </c>
      <c r="UZ9" s="34">
        <f t="shared" ca="1" si="101"/>
        <v>0</v>
      </c>
      <c r="VA9" s="34">
        <f t="shared" ca="1" si="101"/>
        <v>0</v>
      </c>
      <c r="VB9" s="34">
        <f t="shared" ca="1" si="101"/>
        <v>0</v>
      </c>
      <c r="VC9" s="34">
        <f t="shared" ca="1" si="101"/>
        <v>0</v>
      </c>
      <c r="VD9" s="34">
        <f t="shared" ca="1" si="101"/>
        <v>0</v>
      </c>
      <c r="VE9" s="34">
        <f t="shared" ca="1" si="102"/>
        <v>0</v>
      </c>
      <c r="VF9" s="34">
        <f t="shared" ca="1" si="102"/>
        <v>0</v>
      </c>
      <c r="VG9" s="34">
        <f t="shared" ca="1" si="102"/>
        <v>0</v>
      </c>
      <c r="VH9" s="34">
        <f t="shared" ca="1" si="102"/>
        <v>0</v>
      </c>
      <c r="VI9" s="34">
        <f t="shared" ca="1" si="102"/>
        <v>0</v>
      </c>
      <c r="VJ9" s="34">
        <f t="shared" ca="1" si="102"/>
        <v>0</v>
      </c>
      <c r="VK9" s="34">
        <f t="shared" ca="1" si="102"/>
        <v>0</v>
      </c>
      <c r="VL9" s="34">
        <f t="shared" ca="1" si="102"/>
        <v>0</v>
      </c>
      <c r="VM9" s="34">
        <f t="shared" ca="1" si="102"/>
        <v>0</v>
      </c>
      <c r="VN9" s="34">
        <f t="shared" ca="1" si="102"/>
        <v>0</v>
      </c>
      <c r="VO9" s="34">
        <f t="shared" ca="1" si="103"/>
        <v>0</v>
      </c>
      <c r="VP9" s="34">
        <f t="shared" ca="1" si="103"/>
        <v>0</v>
      </c>
      <c r="VQ9" s="34">
        <f t="shared" ca="1" si="103"/>
        <v>0</v>
      </c>
      <c r="VR9" s="34">
        <f t="shared" ca="1" si="103"/>
        <v>0</v>
      </c>
      <c r="VS9" s="34">
        <f t="shared" ca="1" si="103"/>
        <v>0</v>
      </c>
      <c r="VT9" s="34">
        <f t="shared" ca="1" si="103"/>
        <v>0</v>
      </c>
      <c r="VU9" s="34">
        <f t="shared" ca="1" si="103"/>
        <v>0</v>
      </c>
      <c r="VV9" s="34">
        <f t="shared" ca="1" si="103"/>
        <v>0</v>
      </c>
      <c r="VW9" s="34">
        <f t="shared" ca="1" si="103"/>
        <v>0</v>
      </c>
      <c r="VX9" s="34">
        <f t="shared" ca="1" si="103"/>
        <v>0</v>
      </c>
      <c r="VY9" s="34">
        <f t="shared" ca="1" si="104"/>
        <v>0</v>
      </c>
      <c r="VZ9" s="34">
        <f t="shared" ca="1" si="104"/>
        <v>0</v>
      </c>
      <c r="WA9" s="34">
        <f t="shared" ca="1" si="104"/>
        <v>0</v>
      </c>
      <c r="WB9" s="34">
        <f t="shared" ca="1" si="104"/>
        <v>0</v>
      </c>
      <c r="WC9" s="34">
        <f t="shared" ca="1" si="104"/>
        <v>0</v>
      </c>
      <c r="WD9" s="34">
        <f t="shared" ca="1" si="104"/>
        <v>0</v>
      </c>
      <c r="WE9" s="34">
        <f t="shared" ca="1" si="104"/>
        <v>0</v>
      </c>
      <c r="WF9" s="34">
        <f t="shared" ca="1" si="104"/>
        <v>0</v>
      </c>
      <c r="WG9" s="34">
        <f t="shared" ca="1" si="104"/>
        <v>0</v>
      </c>
      <c r="WH9" s="34">
        <f t="shared" ca="1" si="104"/>
        <v>0</v>
      </c>
      <c r="WI9" s="34">
        <f t="shared" ca="1" si="105"/>
        <v>0</v>
      </c>
      <c r="WJ9" s="34">
        <f t="shared" ca="1" si="105"/>
        <v>0</v>
      </c>
      <c r="WK9" s="34">
        <f t="shared" ca="1" si="105"/>
        <v>0</v>
      </c>
      <c r="WL9" s="34">
        <f t="shared" ca="1" si="105"/>
        <v>0</v>
      </c>
      <c r="WM9" s="34">
        <f t="shared" ca="1" si="105"/>
        <v>0</v>
      </c>
      <c r="WN9" s="34">
        <f t="shared" ca="1" si="105"/>
        <v>0</v>
      </c>
      <c r="WO9" s="34">
        <f t="shared" ca="1" si="105"/>
        <v>0</v>
      </c>
      <c r="WP9" s="34">
        <f t="shared" ca="1" si="105"/>
        <v>0</v>
      </c>
      <c r="WQ9" s="34">
        <f t="shared" ca="1" si="105"/>
        <v>0</v>
      </c>
      <c r="WR9" s="34">
        <f t="shared" ca="1" si="105"/>
        <v>0</v>
      </c>
      <c r="WS9" s="34">
        <f t="shared" ca="1" si="106"/>
        <v>0</v>
      </c>
      <c r="WT9" s="34">
        <f t="shared" ca="1" si="106"/>
        <v>0</v>
      </c>
      <c r="WU9" s="34">
        <f t="shared" ca="1" si="106"/>
        <v>0</v>
      </c>
      <c r="WV9" s="34">
        <f t="shared" ca="1" si="106"/>
        <v>0</v>
      </c>
      <c r="WW9" s="34">
        <f t="shared" ca="1" si="106"/>
        <v>0</v>
      </c>
      <c r="WX9" s="34">
        <f t="shared" ca="1" si="106"/>
        <v>0</v>
      </c>
      <c r="WY9" s="34">
        <f t="shared" ca="1" si="106"/>
        <v>0</v>
      </c>
      <c r="WZ9" s="34">
        <f t="shared" ca="1" si="106"/>
        <v>0</v>
      </c>
      <c r="XA9" s="34">
        <f t="shared" ca="1" si="106"/>
        <v>0</v>
      </c>
      <c r="XB9" s="34">
        <f t="shared" ca="1" si="106"/>
        <v>0</v>
      </c>
      <c r="XC9" s="34">
        <f t="shared" ca="1" si="107"/>
        <v>0</v>
      </c>
      <c r="XD9" s="34">
        <f t="shared" ca="1" si="107"/>
        <v>0</v>
      </c>
      <c r="XE9" s="34">
        <f t="shared" ca="1" si="107"/>
        <v>0</v>
      </c>
      <c r="XF9" s="34">
        <f t="shared" ca="1" si="107"/>
        <v>0</v>
      </c>
      <c r="XG9" s="34">
        <f t="shared" ca="1" si="107"/>
        <v>0</v>
      </c>
      <c r="XH9" s="34">
        <f t="shared" ca="1" si="107"/>
        <v>0</v>
      </c>
      <c r="XI9" s="34">
        <f t="shared" ca="1" si="107"/>
        <v>0</v>
      </c>
      <c r="XJ9" s="34">
        <f t="shared" ca="1" si="107"/>
        <v>0</v>
      </c>
      <c r="XK9" s="34">
        <f t="shared" ca="1" si="107"/>
        <v>0</v>
      </c>
      <c r="XL9" s="34">
        <f t="shared" ca="1" si="107"/>
        <v>0</v>
      </c>
      <c r="XM9" s="34">
        <f t="shared" ca="1" si="108"/>
        <v>0</v>
      </c>
      <c r="XN9" s="34">
        <f t="shared" ca="1" si="108"/>
        <v>0</v>
      </c>
      <c r="XO9" s="34">
        <f t="shared" ca="1" si="108"/>
        <v>0</v>
      </c>
      <c r="XP9" s="34">
        <f t="shared" ca="1" si="108"/>
        <v>0</v>
      </c>
      <c r="XQ9" s="34">
        <f t="shared" ca="1" si="108"/>
        <v>0</v>
      </c>
      <c r="XR9" s="34">
        <f t="shared" ca="1" si="108"/>
        <v>0</v>
      </c>
      <c r="XS9" s="34">
        <f t="shared" ca="1" si="108"/>
        <v>0</v>
      </c>
      <c r="XT9" s="34">
        <f t="shared" ca="1" si="108"/>
        <v>0</v>
      </c>
      <c r="XU9" s="34">
        <f t="shared" ca="1" si="108"/>
        <v>0</v>
      </c>
      <c r="XV9" s="34">
        <f t="shared" ca="1" si="108"/>
        <v>0</v>
      </c>
      <c r="XW9" s="34">
        <f t="shared" ca="1" si="109"/>
        <v>0</v>
      </c>
      <c r="XX9" s="34">
        <f t="shared" ca="1" si="109"/>
        <v>0</v>
      </c>
      <c r="XY9" s="34">
        <f t="shared" ca="1" si="109"/>
        <v>0</v>
      </c>
      <c r="XZ9" s="34">
        <f t="shared" ca="1" si="109"/>
        <v>0</v>
      </c>
      <c r="YA9" s="34">
        <f t="shared" ca="1" si="109"/>
        <v>0</v>
      </c>
      <c r="YB9" s="34">
        <f t="shared" ca="1" si="109"/>
        <v>0</v>
      </c>
      <c r="YC9" s="34">
        <f t="shared" ca="1" si="109"/>
        <v>0</v>
      </c>
      <c r="YD9" s="34">
        <f t="shared" ca="1" si="109"/>
        <v>0</v>
      </c>
      <c r="YE9" s="34">
        <f t="shared" ca="1" si="109"/>
        <v>0</v>
      </c>
      <c r="YF9" s="34">
        <f t="shared" ca="1" si="109"/>
        <v>0</v>
      </c>
      <c r="YG9" s="34">
        <f t="shared" ca="1" si="110"/>
        <v>0</v>
      </c>
      <c r="YH9" s="34">
        <f t="shared" ca="1" si="110"/>
        <v>0</v>
      </c>
      <c r="YI9" s="34">
        <f t="shared" ca="1" si="110"/>
        <v>0</v>
      </c>
      <c r="YJ9" s="34">
        <f t="shared" ca="1" si="110"/>
        <v>0</v>
      </c>
      <c r="YK9" s="34">
        <f t="shared" ca="1" si="110"/>
        <v>0</v>
      </c>
      <c r="YL9" s="34">
        <f t="shared" ca="1" si="110"/>
        <v>0</v>
      </c>
      <c r="YM9" s="34">
        <f t="shared" ca="1" si="110"/>
        <v>0</v>
      </c>
      <c r="YN9" s="34">
        <f t="shared" ca="1" si="110"/>
        <v>0</v>
      </c>
      <c r="YO9" s="34">
        <f t="shared" ca="1" si="110"/>
        <v>0</v>
      </c>
      <c r="YP9" s="34">
        <f t="shared" ca="1" si="110"/>
        <v>0</v>
      </c>
      <c r="YQ9" s="34">
        <f t="shared" ca="1" si="111"/>
        <v>0</v>
      </c>
      <c r="YR9" s="34">
        <f t="shared" ca="1" si="111"/>
        <v>0</v>
      </c>
      <c r="YS9" s="34">
        <f t="shared" ca="1" si="111"/>
        <v>0</v>
      </c>
      <c r="YT9" s="34">
        <f t="shared" ca="1" si="111"/>
        <v>0</v>
      </c>
      <c r="YU9" s="34">
        <f t="shared" ca="1" si="111"/>
        <v>0</v>
      </c>
      <c r="YV9" s="34">
        <f t="shared" ca="1" si="111"/>
        <v>0</v>
      </c>
      <c r="YW9" s="34">
        <f t="shared" ca="1" si="111"/>
        <v>0</v>
      </c>
      <c r="YX9" s="34">
        <f t="shared" ca="1" si="111"/>
        <v>0</v>
      </c>
      <c r="YY9" s="34">
        <f t="shared" ca="1" si="111"/>
        <v>0</v>
      </c>
      <c r="YZ9" s="34">
        <f t="shared" ca="1" si="111"/>
        <v>0</v>
      </c>
      <c r="ZA9" s="34">
        <f t="shared" ca="1" si="112"/>
        <v>0</v>
      </c>
      <c r="ZB9" s="34">
        <f t="shared" ca="1" si="112"/>
        <v>0</v>
      </c>
      <c r="ZC9" s="34">
        <f t="shared" ca="1" si="112"/>
        <v>0</v>
      </c>
      <c r="ZD9" s="34">
        <f t="shared" ca="1" si="112"/>
        <v>0</v>
      </c>
      <c r="ZE9" s="34">
        <f t="shared" ca="1" si="112"/>
        <v>0</v>
      </c>
      <c r="ZF9" s="34">
        <f t="shared" ca="1" si="112"/>
        <v>0</v>
      </c>
      <c r="ZG9" s="34">
        <f t="shared" ca="1" si="112"/>
        <v>0</v>
      </c>
      <c r="ZH9" s="34">
        <f t="shared" ca="1" si="112"/>
        <v>0</v>
      </c>
      <c r="ZI9" s="34">
        <f t="shared" ca="1" si="112"/>
        <v>0</v>
      </c>
      <c r="ZJ9" s="34">
        <f t="shared" ca="1" si="112"/>
        <v>0</v>
      </c>
      <c r="ZK9" s="34">
        <f t="shared" ca="1" si="113"/>
        <v>0</v>
      </c>
      <c r="ZL9" s="34">
        <f t="shared" ca="1" si="113"/>
        <v>0</v>
      </c>
      <c r="ZM9" s="34">
        <f t="shared" ca="1" si="113"/>
        <v>0</v>
      </c>
      <c r="ZN9" s="34">
        <f t="shared" ca="1" si="113"/>
        <v>0</v>
      </c>
      <c r="ZO9" s="34">
        <f t="shared" ca="1" si="113"/>
        <v>0</v>
      </c>
      <c r="ZP9" s="34">
        <f t="shared" ca="1" si="113"/>
        <v>0</v>
      </c>
      <c r="ZQ9" s="34">
        <f t="shared" ca="1" si="113"/>
        <v>0</v>
      </c>
      <c r="ZR9" s="34">
        <f t="shared" ca="1" si="113"/>
        <v>0</v>
      </c>
      <c r="ZS9" s="34">
        <f t="shared" ca="1" si="113"/>
        <v>0</v>
      </c>
      <c r="ZT9" s="34">
        <f t="shared" ca="1" si="113"/>
        <v>0</v>
      </c>
      <c r="ZU9" s="34">
        <f t="shared" ca="1" si="114"/>
        <v>0</v>
      </c>
      <c r="ZV9" s="34">
        <f t="shared" ca="1" si="114"/>
        <v>0</v>
      </c>
      <c r="ZW9" s="34">
        <f t="shared" ca="1" si="114"/>
        <v>0</v>
      </c>
      <c r="ZX9" s="34">
        <f t="shared" ca="1" si="114"/>
        <v>0</v>
      </c>
      <c r="ZY9" s="34">
        <f t="shared" ca="1" si="114"/>
        <v>0</v>
      </c>
      <c r="ZZ9" s="34">
        <f t="shared" ca="1" si="114"/>
        <v>0</v>
      </c>
      <c r="AAA9" s="34">
        <f t="shared" ca="1" si="114"/>
        <v>0</v>
      </c>
      <c r="AAB9" s="34">
        <f t="shared" ca="1" si="114"/>
        <v>0</v>
      </c>
      <c r="AAC9" s="34">
        <f t="shared" ca="1" si="114"/>
        <v>0</v>
      </c>
      <c r="AAD9" s="34">
        <f t="shared" ca="1" si="114"/>
        <v>0</v>
      </c>
      <c r="AAE9" s="34">
        <f t="shared" ca="1" si="115"/>
        <v>0</v>
      </c>
      <c r="AAF9" s="34">
        <f t="shared" ca="1" si="115"/>
        <v>0</v>
      </c>
      <c r="AAG9" s="34">
        <f t="shared" ca="1" si="115"/>
        <v>0</v>
      </c>
      <c r="AAH9" s="34">
        <f t="shared" ca="1" si="115"/>
        <v>0</v>
      </c>
      <c r="AAI9" s="34">
        <f t="shared" ca="1" si="115"/>
        <v>0</v>
      </c>
      <c r="AAJ9" s="34">
        <f t="shared" ca="1" si="115"/>
        <v>0</v>
      </c>
      <c r="AAK9" s="34">
        <f t="shared" ca="1" si="115"/>
        <v>0</v>
      </c>
      <c r="AAL9" s="34">
        <f t="shared" ca="1" si="115"/>
        <v>0</v>
      </c>
      <c r="AAM9" s="34">
        <f t="shared" ca="1" si="115"/>
        <v>0</v>
      </c>
      <c r="AAN9" s="34">
        <f t="shared" ca="1" si="115"/>
        <v>0</v>
      </c>
      <c r="AAO9" s="34">
        <f t="shared" ca="1" si="116"/>
        <v>0</v>
      </c>
      <c r="AAP9" s="34">
        <f t="shared" ca="1" si="116"/>
        <v>0</v>
      </c>
      <c r="AAQ9" s="34">
        <f t="shared" ca="1" si="116"/>
        <v>0</v>
      </c>
      <c r="AAR9" s="34">
        <f t="shared" ca="1" si="116"/>
        <v>0</v>
      </c>
      <c r="AAS9" s="34">
        <f t="shared" ca="1" si="116"/>
        <v>0</v>
      </c>
      <c r="AAT9" s="34">
        <f t="shared" ca="1" si="116"/>
        <v>0</v>
      </c>
      <c r="AAU9" s="34">
        <f t="shared" ca="1" si="116"/>
        <v>0</v>
      </c>
      <c r="AAV9" s="34">
        <f t="shared" ca="1" si="116"/>
        <v>0</v>
      </c>
      <c r="AAW9" s="34">
        <f t="shared" ca="1" si="116"/>
        <v>0</v>
      </c>
      <c r="AAX9" s="34">
        <f t="shared" ca="1" si="116"/>
        <v>0</v>
      </c>
      <c r="AAY9" s="34">
        <f t="shared" ca="1" si="117"/>
        <v>0</v>
      </c>
      <c r="AAZ9" s="34">
        <f t="shared" ca="1" si="117"/>
        <v>0</v>
      </c>
      <c r="ABA9" s="34">
        <f t="shared" ca="1" si="117"/>
        <v>0</v>
      </c>
      <c r="ABB9" s="34">
        <f t="shared" ca="1" si="117"/>
        <v>0</v>
      </c>
      <c r="ABC9" s="34">
        <f t="shared" ca="1" si="117"/>
        <v>0</v>
      </c>
      <c r="ABD9" s="34">
        <f t="shared" ca="1" si="117"/>
        <v>0</v>
      </c>
      <c r="ABE9" s="34">
        <f t="shared" ca="1" si="117"/>
        <v>0</v>
      </c>
      <c r="ABF9" s="34">
        <f t="shared" ca="1" si="117"/>
        <v>0</v>
      </c>
      <c r="ABG9" s="34">
        <f t="shared" ca="1" si="117"/>
        <v>0</v>
      </c>
      <c r="ABH9" s="34">
        <f t="shared" ca="1" si="117"/>
        <v>0</v>
      </c>
      <c r="ABI9" s="34">
        <f t="shared" ca="1" si="118"/>
        <v>0</v>
      </c>
      <c r="ABJ9" s="34">
        <f t="shared" ca="1" si="118"/>
        <v>0</v>
      </c>
      <c r="ABK9" s="34">
        <f t="shared" ca="1" si="118"/>
        <v>0</v>
      </c>
      <c r="ABL9" s="34">
        <f t="shared" ca="1" si="118"/>
        <v>0</v>
      </c>
      <c r="ABM9" s="34">
        <f t="shared" ca="1" si="118"/>
        <v>0</v>
      </c>
      <c r="ABN9" s="34">
        <f t="shared" ca="1" si="118"/>
        <v>0</v>
      </c>
      <c r="ABO9" s="34">
        <f t="shared" ca="1" si="118"/>
        <v>0</v>
      </c>
      <c r="ABP9" s="34">
        <f t="shared" ca="1" si="118"/>
        <v>0</v>
      </c>
      <c r="ABQ9" s="34">
        <f t="shared" ca="1" si="118"/>
        <v>0</v>
      </c>
      <c r="ABR9" s="34">
        <f t="shared" ca="1" si="118"/>
        <v>0</v>
      </c>
      <c r="ABS9" s="34">
        <f t="shared" ca="1" si="119"/>
        <v>0</v>
      </c>
      <c r="ABT9" s="34">
        <f t="shared" ca="1" si="119"/>
        <v>0</v>
      </c>
      <c r="ABU9" s="34">
        <f t="shared" ca="1" si="119"/>
        <v>0</v>
      </c>
      <c r="ABV9" s="34">
        <f t="shared" ca="1" si="119"/>
        <v>0</v>
      </c>
      <c r="ABW9" s="34">
        <f t="shared" ca="1" si="119"/>
        <v>0</v>
      </c>
      <c r="ABX9" s="34">
        <f t="shared" ca="1" si="119"/>
        <v>0</v>
      </c>
      <c r="ABY9" s="34">
        <f t="shared" ca="1" si="119"/>
        <v>0</v>
      </c>
      <c r="ABZ9" s="34">
        <f t="shared" ca="1" si="119"/>
        <v>0</v>
      </c>
      <c r="ACA9" s="34">
        <f t="shared" ca="1" si="119"/>
        <v>0</v>
      </c>
      <c r="ACB9" s="34">
        <f t="shared" ca="1" si="119"/>
        <v>0</v>
      </c>
      <c r="ACC9" s="34">
        <f t="shared" ca="1" si="120"/>
        <v>0</v>
      </c>
      <c r="ACD9" s="34">
        <f t="shared" ca="1" si="120"/>
        <v>0</v>
      </c>
      <c r="ACE9" s="34">
        <f t="shared" ca="1" si="120"/>
        <v>0</v>
      </c>
      <c r="ACF9" s="34">
        <f t="shared" ca="1" si="120"/>
        <v>0</v>
      </c>
      <c r="ACG9" s="34">
        <f t="shared" ca="1" si="120"/>
        <v>0</v>
      </c>
      <c r="ACH9" s="34">
        <f t="shared" ca="1" si="120"/>
        <v>0</v>
      </c>
      <c r="ACI9" s="34">
        <f t="shared" ca="1" si="120"/>
        <v>0</v>
      </c>
      <c r="ACJ9" s="34">
        <f t="shared" ca="1" si="120"/>
        <v>0</v>
      </c>
      <c r="ACK9" s="34">
        <f t="shared" ca="1" si="120"/>
        <v>0</v>
      </c>
      <c r="ACL9" s="34">
        <f t="shared" ca="1" si="120"/>
        <v>0</v>
      </c>
      <c r="ACM9" s="34">
        <f t="shared" ca="1" si="121"/>
        <v>0</v>
      </c>
      <c r="ACN9" s="34">
        <f t="shared" ca="1" si="121"/>
        <v>0</v>
      </c>
      <c r="ACO9" s="34">
        <f t="shared" ca="1" si="121"/>
        <v>0</v>
      </c>
      <c r="ACP9" s="34">
        <f t="shared" ca="1" si="121"/>
        <v>0</v>
      </c>
      <c r="ACQ9" s="34">
        <f t="shared" ca="1" si="121"/>
        <v>0</v>
      </c>
      <c r="ACR9" s="34">
        <f t="shared" ca="1" si="121"/>
        <v>0</v>
      </c>
      <c r="ACS9" s="34">
        <f t="shared" ca="1" si="121"/>
        <v>0</v>
      </c>
      <c r="ACT9" s="34">
        <f t="shared" ca="1" si="121"/>
        <v>0</v>
      </c>
      <c r="ACU9" s="34">
        <f t="shared" ca="1" si="121"/>
        <v>0</v>
      </c>
      <c r="ACV9" s="34">
        <f t="shared" ca="1" si="121"/>
        <v>0</v>
      </c>
      <c r="ACW9" s="34">
        <f t="shared" ca="1" si="122"/>
        <v>0</v>
      </c>
      <c r="ACX9" s="34">
        <f t="shared" ca="1" si="122"/>
        <v>0</v>
      </c>
      <c r="ACY9" s="34">
        <f t="shared" ca="1" si="122"/>
        <v>0</v>
      </c>
      <c r="ACZ9" s="34">
        <f t="shared" ca="1" si="122"/>
        <v>0</v>
      </c>
      <c r="ADA9" s="34">
        <f t="shared" ca="1" si="122"/>
        <v>0</v>
      </c>
      <c r="ADB9" s="34">
        <f t="shared" ca="1" si="122"/>
        <v>0</v>
      </c>
      <c r="ADC9" s="34">
        <f t="shared" ca="1" si="122"/>
        <v>0</v>
      </c>
      <c r="ADD9" s="34">
        <f t="shared" ca="1" si="122"/>
        <v>0</v>
      </c>
      <c r="ADE9" s="34">
        <f t="shared" ca="1" si="122"/>
        <v>0</v>
      </c>
      <c r="ADF9" s="34">
        <f t="shared" ca="1" si="122"/>
        <v>0</v>
      </c>
      <c r="ADG9" s="34">
        <f t="shared" ca="1" si="123"/>
        <v>0</v>
      </c>
      <c r="ADH9" s="34">
        <f t="shared" ca="1" si="123"/>
        <v>0</v>
      </c>
      <c r="ADI9" s="34">
        <f t="shared" ca="1" si="123"/>
        <v>0</v>
      </c>
      <c r="ADJ9" s="34">
        <f t="shared" ca="1" si="123"/>
        <v>0</v>
      </c>
      <c r="ADK9" s="34">
        <f t="shared" ca="1" si="123"/>
        <v>0</v>
      </c>
      <c r="ADL9" s="34">
        <f t="shared" ca="1" si="123"/>
        <v>0</v>
      </c>
      <c r="ADM9" s="34">
        <f t="shared" ca="1" si="123"/>
        <v>0</v>
      </c>
      <c r="ADN9" s="34">
        <f t="shared" ca="1" si="123"/>
        <v>0</v>
      </c>
      <c r="ADO9" s="34">
        <f t="shared" ca="1" si="123"/>
        <v>0</v>
      </c>
      <c r="ADP9" s="34">
        <f t="shared" ca="1" si="123"/>
        <v>0</v>
      </c>
      <c r="ADQ9" s="34">
        <f t="shared" ca="1" si="124"/>
        <v>0</v>
      </c>
      <c r="ADR9" s="34">
        <f t="shared" ca="1" si="124"/>
        <v>0</v>
      </c>
      <c r="ADS9" s="34">
        <f t="shared" ca="1" si="124"/>
        <v>0</v>
      </c>
      <c r="ADT9" s="34">
        <f t="shared" ca="1" si="124"/>
        <v>0</v>
      </c>
      <c r="ADU9" s="34">
        <f t="shared" ca="1" si="124"/>
        <v>0</v>
      </c>
      <c r="ADV9" s="34">
        <f t="shared" ca="1" si="124"/>
        <v>0</v>
      </c>
      <c r="ADW9" s="34">
        <f t="shared" ca="1" si="124"/>
        <v>0</v>
      </c>
      <c r="ADX9" s="34">
        <f t="shared" ca="1" si="124"/>
        <v>0</v>
      </c>
      <c r="ADY9" s="34">
        <f t="shared" ca="1" si="124"/>
        <v>0</v>
      </c>
      <c r="ADZ9" s="34">
        <f t="shared" ca="1" si="124"/>
        <v>0</v>
      </c>
      <c r="AEA9" s="34">
        <f t="shared" ca="1" si="125"/>
        <v>0</v>
      </c>
      <c r="AEB9" s="34">
        <f t="shared" ca="1" si="125"/>
        <v>0</v>
      </c>
      <c r="AEC9" s="34">
        <f t="shared" ca="1" si="125"/>
        <v>0</v>
      </c>
      <c r="AED9" s="34">
        <f t="shared" ca="1" si="125"/>
        <v>0</v>
      </c>
      <c r="AEE9" s="34">
        <f t="shared" ca="1" si="125"/>
        <v>0</v>
      </c>
      <c r="AEF9" s="34">
        <f t="shared" ca="1" si="125"/>
        <v>0</v>
      </c>
      <c r="AEG9" s="34">
        <f t="shared" ca="1" si="125"/>
        <v>0</v>
      </c>
      <c r="AEH9" s="34">
        <f t="shared" ca="1" si="125"/>
        <v>0</v>
      </c>
      <c r="AEI9" s="34">
        <f t="shared" ca="1" si="125"/>
        <v>0</v>
      </c>
      <c r="AEJ9" s="34">
        <f t="shared" ca="1" si="125"/>
        <v>0</v>
      </c>
      <c r="AEK9" s="34">
        <f t="shared" ca="1" si="126"/>
        <v>0</v>
      </c>
      <c r="AEL9" s="34">
        <f t="shared" ca="1" si="126"/>
        <v>0</v>
      </c>
      <c r="AEM9" s="34">
        <f t="shared" ca="1" si="126"/>
        <v>0</v>
      </c>
      <c r="AEN9" s="34">
        <f t="shared" ca="1" si="126"/>
        <v>0</v>
      </c>
      <c r="AEO9" s="34">
        <f t="shared" ca="1" si="126"/>
        <v>0</v>
      </c>
      <c r="AEP9" s="34">
        <f t="shared" ca="1" si="126"/>
        <v>0</v>
      </c>
      <c r="AEQ9" s="34">
        <f t="shared" ca="1" si="126"/>
        <v>0</v>
      </c>
      <c r="AER9" s="34">
        <f t="shared" ca="1" si="126"/>
        <v>0</v>
      </c>
      <c r="AES9" s="34">
        <f t="shared" ca="1" si="126"/>
        <v>0</v>
      </c>
      <c r="AET9" s="34">
        <f t="shared" ca="1" si="126"/>
        <v>0</v>
      </c>
      <c r="AEU9" s="34">
        <f t="shared" ca="1" si="127"/>
        <v>0</v>
      </c>
      <c r="AEV9" s="34">
        <f t="shared" ca="1" si="127"/>
        <v>0</v>
      </c>
      <c r="AEW9" s="34">
        <f t="shared" ca="1" si="127"/>
        <v>0</v>
      </c>
      <c r="AEX9" s="34">
        <f t="shared" ca="1" si="127"/>
        <v>0</v>
      </c>
      <c r="AEY9" s="34">
        <f t="shared" ca="1" si="127"/>
        <v>0</v>
      </c>
      <c r="AEZ9" s="34">
        <f t="shared" ca="1" si="127"/>
        <v>0</v>
      </c>
      <c r="AFA9" s="34">
        <f t="shared" ca="1" si="127"/>
        <v>0</v>
      </c>
      <c r="AFB9" s="34">
        <f t="shared" ca="1" si="127"/>
        <v>0</v>
      </c>
      <c r="AFC9" s="34">
        <f t="shared" ca="1" si="127"/>
        <v>0</v>
      </c>
      <c r="AFD9" s="34">
        <f t="shared" ca="1" si="127"/>
        <v>0</v>
      </c>
      <c r="AFE9" s="34">
        <f t="shared" ca="1" si="128"/>
        <v>0</v>
      </c>
      <c r="AFF9" s="34">
        <f t="shared" ca="1" si="128"/>
        <v>0</v>
      </c>
      <c r="AFG9" s="34">
        <f t="shared" ca="1" si="128"/>
        <v>0</v>
      </c>
      <c r="AFH9" s="34">
        <f t="shared" ca="1" si="128"/>
        <v>0</v>
      </c>
      <c r="AFI9" s="34">
        <f t="shared" ca="1" si="128"/>
        <v>0</v>
      </c>
      <c r="AFJ9" s="34">
        <f t="shared" ca="1" si="128"/>
        <v>0</v>
      </c>
      <c r="AFK9" s="34">
        <f t="shared" ca="1" si="128"/>
        <v>0</v>
      </c>
      <c r="AFL9" s="34">
        <f t="shared" ca="1" si="128"/>
        <v>0</v>
      </c>
      <c r="AFM9" s="34">
        <f t="shared" ca="1" si="128"/>
        <v>0</v>
      </c>
      <c r="AFN9" s="34">
        <f t="shared" ca="1" si="128"/>
        <v>0</v>
      </c>
      <c r="AFO9" s="34">
        <f t="shared" ca="1" si="129"/>
        <v>0</v>
      </c>
      <c r="AFP9" s="34">
        <f t="shared" ca="1" si="129"/>
        <v>0</v>
      </c>
      <c r="AFQ9" s="34">
        <f t="shared" ca="1" si="129"/>
        <v>0</v>
      </c>
      <c r="AFR9" s="34">
        <f t="shared" ca="1" si="129"/>
        <v>0</v>
      </c>
      <c r="AFS9" s="34">
        <f t="shared" ca="1" si="129"/>
        <v>0</v>
      </c>
      <c r="AFT9" s="34">
        <f t="shared" ca="1" si="129"/>
        <v>0</v>
      </c>
      <c r="AFU9" s="34">
        <f t="shared" ca="1" si="129"/>
        <v>0</v>
      </c>
      <c r="AFV9" s="34">
        <f t="shared" ca="1" si="129"/>
        <v>0</v>
      </c>
      <c r="AFW9" s="34">
        <f t="shared" ca="1" si="129"/>
        <v>0</v>
      </c>
      <c r="AFX9" s="34">
        <f t="shared" ca="1" si="129"/>
        <v>0</v>
      </c>
      <c r="AFY9" s="34">
        <f t="shared" ca="1" si="130"/>
        <v>0</v>
      </c>
      <c r="AFZ9" s="34">
        <f t="shared" ca="1" si="130"/>
        <v>0</v>
      </c>
      <c r="AGA9" s="34">
        <f t="shared" ca="1" si="130"/>
        <v>0</v>
      </c>
      <c r="AGB9" s="34">
        <f t="shared" ca="1" si="130"/>
        <v>0</v>
      </c>
      <c r="AGC9" s="34">
        <f t="shared" ca="1" si="130"/>
        <v>0</v>
      </c>
      <c r="AGD9" s="34">
        <f t="shared" ca="1" si="130"/>
        <v>0</v>
      </c>
      <c r="AGE9" s="34">
        <f t="shared" ca="1" si="130"/>
        <v>0</v>
      </c>
      <c r="AGF9" s="34">
        <f t="shared" ca="1" si="130"/>
        <v>0</v>
      </c>
      <c r="AGG9" s="34">
        <f t="shared" ca="1" si="130"/>
        <v>0</v>
      </c>
      <c r="AGH9" s="34">
        <f t="shared" ca="1" si="130"/>
        <v>0</v>
      </c>
      <c r="AGI9" s="34">
        <f t="shared" ca="1" si="131"/>
        <v>0</v>
      </c>
      <c r="AGJ9" s="34">
        <f t="shared" ca="1" si="131"/>
        <v>0</v>
      </c>
      <c r="AGK9" s="34">
        <f t="shared" ca="1" si="131"/>
        <v>0</v>
      </c>
      <c r="AGL9" s="34">
        <f t="shared" ca="1" si="131"/>
        <v>0</v>
      </c>
      <c r="AGM9" s="34">
        <f t="shared" ca="1" si="131"/>
        <v>0</v>
      </c>
      <c r="AGN9" s="34">
        <f t="shared" ca="1" si="131"/>
        <v>0</v>
      </c>
      <c r="AGO9" s="34">
        <f t="shared" ca="1" si="131"/>
        <v>0</v>
      </c>
      <c r="AGP9" s="34">
        <f t="shared" ca="1" si="131"/>
        <v>0</v>
      </c>
      <c r="AGQ9" s="34">
        <f t="shared" ca="1" si="131"/>
        <v>0</v>
      </c>
      <c r="AGR9" s="34">
        <f t="shared" ca="1" si="131"/>
        <v>0</v>
      </c>
      <c r="AGS9" s="34">
        <f t="shared" ca="1" si="132"/>
        <v>0</v>
      </c>
      <c r="AGT9" s="34">
        <f t="shared" ca="1" si="132"/>
        <v>0</v>
      </c>
      <c r="AGU9" s="34">
        <f t="shared" ca="1" si="132"/>
        <v>0</v>
      </c>
      <c r="AGV9" s="34">
        <f t="shared" ca="1" si="132"/>
        <v>0</v>
      </c>
      <c r="AGW9" s="34">
        <f t="shared" ca="1" si="132"/>
        <v>0</v>
      </c>
      <c r="AGX9" s="34">
        <f t="shared" ca="1" si="132"/>
        <v>0</v>
      </c>
      <c r="AGY9" s="34">
        <f t="shared" ca="1" si="132"/>
        <v>0</v>
      </c>
      <c r="AGZ9" s="34">
        <f t="shared" ca="1" si="132"/>
        <v>0</v>
      </c>
      <c r="AHA9" s="34">
        <f t="shared" ca="1" si="132"/>
        <v>0</v>
      </c>
      <c r="AHB9" s="34">
        <f t="shared" ca="1" si="132"/>
        <v>0</v>
      </c>
      <c r="AHC9" s="34">
        <f t="shared" ca="1" si="133"/>
        <v>0</v>
      </c>
      <c r="AHD9" s="34">
        <f t="shared" ca="1" si="133"/>
        <v>0</v>
      </c>
      <c r="AHE9" s="34">
        <f t="shared" ca="1" si="133"/>
        <v>0</v>
      </c>
      <c r="AHF9" s="34">
        <f t="shared" ca="1" si="133"/>
        <v>0</v>
      </c>
      <c r="AHG9" s="34">
        <f t="shared" ca="1" si="133"/>
        <v>0</v>
      </c>
      <c r="AHH9" s="34">
        <f t="shared" ca="1" si="133"/>
        <v>0</v>
      </c>
      <c r="AHI9" s="34">
        <f t="shared" ca="1" si="133"/>
        <v>0</v>
      </c>
      <c r="AHJ9" s="34">
        <f t="shared" ca="1" si="133"/>
        <v>0</v>
      </c>
      <c r="AHK9" s="34">
        <f t="shared" ca="1" si="133"/>
        <v>0</v>
      </c>
      <c r="AHL9" s="34">
        <f t="shared" ca="1" si="133"/>
        <v>0</v>
      </c>
      <c r="AHM9" s="34">
        <f t="shared" ca="1" si="134"/>
        <v>0</v>
      </c>
      <c r="AHN9" s="34">
        <f t="shared" ca="1" si="134"/>
        <v>0</v>
      </c>
      <c r="AHO9" s="34">
        <f t="shared" ca="1" si="134"/>
        <v>0</v>
      </c>
      <c r="AHP9" s="34">
        <f t="shared" ca="1" si="134"/>
        <v>0</v>
      </c>
      <c r="AHQ9" s="34">
        <f t="shared" ca="1" si="134"/>
        <v>0</v>
      </c>
      <c r="AHR9" s="34">
        <f t="shared" ca="1" si="134"/>
        <v>0</v>
      </c>
      <c r="AHS9" s="34">
        <f t="shared" ca="1" si="134"/>
        <v>0</v>
      </c>
      <c r="AHT9" s="34">
        <f t="shared" ca="1" si="134"/>
        <v>0</v>
      </c>
      <c r="AHU9" s="34">
        <f t="shared" ca="1" si="134"/>
        <v>0</v>
      </c>
      <c r="AHV9" s="34">
        <f t="shared" ca="1" si="134"/>
        <v>0</v>
      </c>
      <c r="AHW9" s="34">
        <f t="shared" ca="1" si="135"/>
        <v>0</v>
      </c>
      <c r="AHX9" s="34">
        <f t="shared" ca="1" si="135"/>
        <v>0</v>
      </c>
      <c r="AHY9" s="34">
        <f t="shared" ca="1" si="135"/>
        <v>0</v>
      </c>
      <c r="AHZ9" s="34">
        <f t="shared" ca="1" si="135"/>
        <v>0</v>
      </c>
      <c r="AIA9" s="34">
        <f t="shared" ca="1" si="135"/>
        <v>0</v>
      </c>
      <c r="AIB9" s="34">
        <f t="shared" ca="1" si="135"/>
        <v>0</v>
      </c>
      <c r="AIC9" s="34">
        <f t="shared" ca="1" si="135"/>
        <v>0</v>
      </c>
      <c r="AID9" s="34">
        <f t="shared" ca="1" si="135"/>
        <v>0</v>
      </c>
      <c r="AIE9" s="34">
        <f t="shared" ca="1" si="135"/>
        <v>0</v>
      </c>
      <c r="AIF9" s="34">
        <f t="shared" ca="1" si="135"/>
        <v>0</v>
      </c>
      <c r="AIG9" s="34">
        <f t="shared" ca="1" si="136"/>
        <v>0</v>
      </c>
      <c r="AIH9" s="34">
        <f t="shared" ca="1" si="136"/>
        <v>0</v>
      </c>
      <c r="AII9" s="34">
        <f t="shared" ca="1" si="136"/>
        <v>0</v>
      </c>
      <c r="AIJ9" s="34">
        <f t="shared" ca="1" si="136"/>
        <v>0</v>
      </c>
      <c r="AIK9" s="34">
        <f t="shared" ca="1" si="136"/>
        <v>0</v>
      </c>
      <c r="AIL9" s="34">
        <f t="shared" ca="1" si="136"/>
        <v>0</v>
      </c>
      <c r="AIM9" s="34">
        <f t="shared" ca="1" si="136"/>
        <v>0</v>
      </c>
      <c r="AIN9" s="34">
        <f t="shared" ca="1" si="136"/>
        <v>0</v>
      </c>
      <c r="AIO9" s="34">
        <f t="shared" ca="1" si="136"/>
        <v>0</v>
      </c>
      <c r="AIP9" s="34">
        <f t="shared" ca="1" si="136"/>
        <v>0</v>
      </c>
      <c r="AIQ9" s="34">
        <f t="shared" ca="1" si="137"/>
        <v>0</v>
      </c>
      <c r="AIR9" s="34">
        <f t="shared" ca="1" si="137"/>
        <v>0</v>
      </c>
      <c r="AIS9" s="34">
        <f t="shared" ca="1" si="137"/>
        <v>0</v>
      </c>
      <c r="AIT9" s="34">
        <f t="shared" ca="1" si="137"/>
        <v>0</v>
      </c>
      <c r="AIU9" s="34">
        <f t="shared" ca="1" si="137"/>
        <v>0</v>
      </c>
      <c r="AIV9" s="34">
        <f t="shared" ca="1" si="137"/>
        <v>0</v>
      </c>
      <c r="AIW9" s="34">
        <f t="shared" ca="1" si="137"/>
        <v>0</v>
      </c>
      <c r="AIX9" s="34">
        <f t="shared" ca="1" si="137"/>
        <v>0</v>
      </c>
      <c r="AIY9" s="34">
        <f t="shared" ca="1" si="137"/>
        <v>0</v>
      </c>
      <c r="AIZ9" s="34">
        <f t="shared" ca="1" si="137"/>
        <v>0</v>
      </c>
      <c r="AJA9" s="34">
        <f t="shared" ca="1" si="138"/>
        <v>0</v>
      </c>
      <c r="AJB9" s="34">
        <f t="shared" ca="1" si="138"/>
        <v>0</v>
      </c>
      <c r="AJC9" s="34">
        <f t="shared" ca="1" si="138"/>
        <v>0</v>
      </c>
      <c r="AJD9" s="34">
        <f t="shared" ca="1" si="138"/>
        <v>0</v>
      </c>
      <c r="AJE9" s="34">
        <f t="shared" ca="1" si="138"/>
        <v>0</v>
      </c>
      <c r="AJF9" s="34">
        <f t="shared" ca="1" si="138"/>
        <v>0</v>
      </c>
      <c r="AJG9" s="34">
        <f t="shared" ca="1" si="138"/>
        <v>0</v>
      </c>
      <c r="AJH9" s="34">
        <f t="shared" ca="1" si="138"/>
        <v>0</v>
      </c>
      <c r="AJI9" s="34">
        <f t="shared" ca="1" si="138"/>
        <v>0</v>
      </c>
      <c r="AJJ9" s="34">
        <f t="shared" ca="1" si="138"/>
        <v>0</v>
      </c>
      <c r="AJK9" s="34">
        <f t="shared" ca="1" si="139"/>
        <v>0</v>
      </c>
      <c r="AJL9" s="34">
        <f t="shared" ca="1" si="139"/>
        <v>0</v>
      </c>
      <c r="AJM9" s="34">
        <f t="shared" ca="1" si="139"/>
        <v>0</v>
      </c>
      <c r="AJN9" s="34">
        <f t="shared" ca="1" si="139"/>
        <v>0</v>
      </c>
      <c r="AJO9" s="34">
        <f t="shared" ca="1" si="139"/>
        <v>0</v>
      </c>
      <c r="AJP9" s="34">
        <f t="shared" ca="1" si="139"/>
        <v>0</v>
      </c>
      <c r="AJQ9" s="34">
        <f t="shared" ca="1" si="139"/>
        <v>0</v>
      </c>
      <c r="AJR9" s="34">
        <f t="shared" ca="1" si="139"/>
        <v>0</v>
      </c>
      <c r="AJS9" s="34">
        <f t="shared" ca="1" si="139"/>
        <v>0</v>
      </c>
      <c r="AJT9" s="34">
        <f t="shared" ca="1" si="139"/>
        <v>0</v>
      </c>
      <c r="AJU9" s="34">
        <f t="shared" ca="1" si="140"/>
        <v>0</v>
      </c>
      <c r="AJV9" s="34">
        <f t="shared" ca="1" si="140"/>
        <v>0</v>
      </c>
      <c r="AJW9" s="34">
        <f t="shared" ca="1" si="140"/>
        <v>0</v>
      </c>
      <c r="AJX9" s="34">
        <f t="shared" ca="1" si="140"/>
        <v>0</v>
      </c>
      <c r="AJY9" s="34">
        <f t="shared" ca="1" si="140"/>
        <v>0</v>
      </c>
      <c r="AJZ9" s="34">
        <f t="shared" ca="1" si="140"/>
        <v>0</v>
      </c>
      <c r="AKA9" s="34">
        <f t="shared" ca="1" si="140"/>
        <v>0</v>
      </c>
      <c r="AKB9" s="34">
        <f t="shared" ca="1" si="140"/>
        <v>0</v>
      </c>
      <c r="AKC9" s="34">
        <f t="shared" ca="1" si="140"/>
        <v>0</v>
      </c>
      <c r="AKD9" s="34">
        <f t="shared" ca="1" si="140"/>
        <v>0</v>
      </c>
      <c r="AKE9" s="34">
        <f t="shared" ca="1" si="141"/>
        <v>0</v>
      </c>
      <c r="AKF9" s="34">
        <f t="shared" ca="1" si="141"/>
        <v>0</v>
      </c>
      <c r="AKG9" s="34">
        <f t="shared" ca="1" si="141"/>
        <v>0</v>
      </c>
      <c r="AKH9" s="34">
        <f t="shared" ca="1" si="141"/>
        <v>0</v>
      </c>
      <c r="AKI9" s="34">
        <f t="shared" ca="1" si="141"/>
        <v>0</v>
      </c>
      <c r="AKJ9" s="34">
        <f t="shared" ca="1" si="141"/>
        <v>0</v>
      </c>
      <c r="AKK9" s="34">
        <f t="shared" ca="1" si="141"/>
        <v>0</v>
      </c>
      <c r="AKL9" s="34">
        <f t="shared" ca="1" si="141"/>
        <v>0</v>
      </c>
      <c r="AKM9" s="34">
        <f t="shared" ca="1" si="141"/>
        <v>0</v>
      </c>
      <c r="AKN9" s="34">
        <f t="shared" ca="1" si="141"/>
        <v>0</v>
      </c>
      <c r="AKO9" s="34">
        <f t="shared" ca="1" si="141"/>
        <v>0</v>
      </c>
      <c r="AKP9" s="34">
        <f t="shared" ca="1" si="141"/>
        <v>0</v>
      </c>
      <c r="AKQ9" s="34">
        <f t="shared" ca="1" si="141"/>
        <v>0</v>
      </c>
      <c r="AKR9" s="34">
        <f t="shared" ca="1" si="141"/>
        <v>0</v>
      </c>
      <c r="AKS9" s="34">
        <f t="shared" ca="1" si="141"/>
        <v>0</v>
      </c>
      <c r="AKT9" s="34"/>
      <c r="AKU9" s="34"/>
      <c r="AKV9" s="34"/>
      <c r="AKW9" s="34"/>
      <c r="AKX9" s="34"/>
      <c r="AKY9" s="34"/>
      <c r="AKZ9" s="34"/>
      <c r="ALA9" s="34"/>
      <c r="ALB9" s="34"/>
      <c r="ALC9" s="34"/>
      <c r="ALD9" s="34"/>
      <c r="ALE9" s="34"/>
      <c r="ALF9" s="34"/>
      <c r="ALG9" s="33"/>
      <c r="ALH9" s="33"/>
      <c r="ALI9" s="33"/>
      <c r="ALJ9" s="33"/>
      <c r="ALK9" s="33"/>
      <c r="ALL9" s="33"/>
      <c r="ALM9" s="33"/>
      <c r="ALN9" s="33"/>
      <c r="ALO9" s="33"/>
      <c r="ALP9" s="33"/>
      <c r="ALQ9" s="33"/>
      <c r="ALR9" s="33"/>
      <c r="ALS9" s="33"/>
      <c r="ALT9" s="33"/>
      <c r="ALU9" s="33"/>
      <c r="ALV9" s="33"/>
      <c r="ALW9" s="33"/>
      <c r="ALX9" s="33"/>
      <c r="ALY9" s="33"/>
      <c r="ALZ9" s="33"/>
      <c r="AMA9" s="33"/>
      <c r="AMB9" s="33"/>
      <c r="AMC9" s="33"/>
      <c r="AMD9" s="33"/>
      <c r="AME9" s="33"/>
      <c r="AMF9" s="33"/>
      <c r="AMG9" s="33"/>
      <c r="AMH9" s="33"/>
      <c r="AMI9" s="33"/>
      <c r="AMJ9" s="33"/>
      <c r="AMK9" s="33"/>
      <c r="AML9" s="33"/>
      <c r="AMM9" s="33"/>
      <c r="AMN9" s="33"/>
      <c r="AMO9" s="33"/>
      <c r="AMP9" s="33"/>
      <c r="AMQ9" s="33"/>
      <c r="AMR9" s="33"/>
      <c r="AMS9" s="33"/>
      <c r="AMT9" s="33"/>
      <c r="AMU9" s="33"/>
      <c r="AMV9" s="33"/>
      <c r="AMW9" s="33"/>
      <c r="AMX9" s="33"/>
      <c r="AMY9" s="33"/>
      <c r="AMZ9" s="33"/>
      <c r="ANA9" s="33"/>
      <c r="ANB9" s="33"/>
      <c r="ANC9" s="33"/>
      <c r="AND9" s="33"/>
      <c r="ANE9" s="33"/>
      <c r="ANF9" s="33"/>
      <c r="ANG9" s="33"/>
      <c r="ANH9" s="33"/>
      <c r="ANI9" s="33"/>
      <c r="ANJ9" s="33"/>
      <c r="ANK9" s="33"/>
      <c r="ANL9" s="33"/>
      <c r="ANM9" s="33"/>
      <c r="ANN9" s="33"/>
      <c r="ANO9" s="33"/>
      <c r="ANP9" s="33"/>
      <c r="ANQ9" s="33"/>
      <c r="ANR9" s="33"/>
      <c r="ANS9" s="33"/>
      <c r="ANT9" s="33"/>
      <c r="ANU9" s="33"/>
      <c r="ANV9" s="33"/>
      <c r="ANW9" s="33"/>
      <c r="ANX9" s="33"/>
      <c r="ANY9" s="33"/>
      <c r="ANZ9" s="33"/>
      <c r="AOA9" s="33"/>
      <c r="AOB9" s="33"/>
      <c r="AOC9" s="33"/>
      <c r="AOD9" s="33"/>
      <c r="AOE9" s="33"/>
      <c r="AOF9" s="33"/>
      <c r="AOG9" s="33"/>
      <c r="AOH9" s="33"/>
      <c r="AOI9" s="33"/>
      <c r="AOJ9" s="33"/>
      <c r="AOK9" s="33"/>
      <c r="AOL9" s="33"/>
      <c r="AOM9" s="33"/>
      <c r="AON9" s="33"/>
      <c r="AOO9" s="33"/>
      <c r="AOP9" s="33"/>
      <c r="AOQ9" s="33"/>
      <c r="AOR9" s="33"/>
      <c r="AOS9" s="33"/>
      <c r="AOT9" s="33"/>
      <c r="AOU9" s="33"/>
      <c r="AOV9" s="33"/>
      <c r="AOW9" s="33"/>
      <c r="AOX9" s="33"/>
      <c r="AOY9" s="33"/>
      <c r="AOZ9" s="33"/>
      <c r="APA9" s="33"/>
      <c r="APB9" s="33"/>
      <c r="APC9" s="33"/>
      <c r="APD9" s="33"/>
      <c r="APE9" s="33"/>
      <c r="APF9" s="33"/>
      <c r="APG9" s="33"/>
      <c r="APH9" s="33"/>
      <c r="API9" s="33"/>
      <c r="APJ9" s="33"/>
      <c r="APK9" s="33"/>
      <c r="APL9" s="33"/>
      <c r="APM9" s="33"/>
      <c r="APN9" s="33"/>
      <c r="APO9" s="33"/>
      <c r="APP9" s="33"/>
      <c r="APQ9" s="33"/>
      <c r="APR9" s="33"/>
      <c r="APS9" s="33"/>
      <c r="APT9" s="33"/>
      <c r="APU9" s="33"/>
      <c r="APV9" s="33"/>
      <c r="APW9" s="33"/>
      <c r="APX9" s="33"/>
      <c r="APY9" s="33"/>
      <c r="APZ9" s="33"/>
      <c r="AQA9" s="33"/>
      <c r="AQB9" s="33"/>
      <c r="AQC9" s="33"/>
      <c r="AQD9" s="33"/>
      <c r="AQE9" s="33"/>
      <c r="AQF9" s="33"/>
      <c r="AQG9" s="33"/>
      <c r="AQH9" s="33"/>
      <c r="AQI9" s="33"/>
      <c r="AQJ9" s="33"/>
      <c r="AQK9" s="33"/>
      <c r="AQL9" s="33"/>
      <c r="AQM9" s="33"/>
      <c r="AQN9" s="33"/>
      <c r="AQO9" s="33"/>
      <c r="AQP9" s="33"/>
      <c r="AQQ9" s="33"/>
      <c r="AQR9" s="33"/>
      <c r="AQS9" s="33"/>
      <c r="AQT9" s="33"/>
      <c r="AQU9" s="33"/>
      <c r="AQV9" s="33"/>
      <c r="AQW9" s="33"/>
      <c r="AQX9" s="33"/>
      <c r="AQY9" s="33"/>
      <c r="AQZ9" s="33"/>
      <c r="ARA9" s="33"/>
      <c r="ARB9" s="33"/>
      <c r="ARC9" s="33"/>
      <c r="ARD9" s="33"/>
      <c r="ARE9" s="33"/>
      <c r="ARF9" s="33"/>
      <c r="ARG9" s="33"/>
      <c r="ARH9" s="33"/>
      <c r="ARI9" s="33"/>
      <c r="ARJ9" s="33"/>
      <c r="ARK9" s="33"/>
      <c r="ARL9" s="33"/>
      <c r="ARM9" s="33"/>
      <c r="ARN9" s="33"/>
      <c r="ARO9" s="33"/>
      <c r="ARP9" s="33"/>
      <c r="ARQ9" s="33"/>
      <c r="ARR9" s="33"/>
      <c r="ARS9" s="33"/>
      <c r="ART9" s="33"/>
      <c r="ARU9" s="33"/>
      <c r="ARV9" s="33"/>
      <c r="ARW9" s="33"/>
      <c r="ARX9" s="33"/>
      <c r="ARY9" s="33"/>
      <c r="ARZ9" s="33"/>
      <c r="ASA9" s="33"/>
      <c r="ASB9" s="33"/>
      <c r="ASC9" s="33"/>
      <c r="ASD9" s="33"/>
      <c r="ASE9" s="33"/>
      <c r="ASF9" s="33"/>
      <c r="ASG9" s="33"/>
      <c r="ASH9" s="33"/>
      <c r="ASI9" s="33"/>
      <c r="ASJ9" s="33"/>
      <c r="ASK9" s="33"/>
      <c r="ASL9" s="33"/>
      <c r="ASM9" s="33"/>
      <c r="ASN9" s="33"/>
      <c r="ASO9" s="33"/>
      <c r="ASP9" s="33"/>
      <c r="ASQ9" s="33"/>
      <c r="ASR9" s="33"/>
      <c r="ASS9" s="33"/>
      <c r="AST9" s="33"/>
      <c r="ASU9" s="33"/>
      <c r="ASV9" s="33"/>
      <c r="ASW9" s="33"/>
      <c r="ASX9" s="33"/>
      <c r="ASY9" s="33"/>
      <c r="ASZ9" s="33"/>
      <c r="ATA9" s="33"/>
      <c r="ATB9" s="33"/>
      <c r="ATC9" s="33"/>
      <c r="ATD9" s="33"/>
      <c r="ATE9" s="33"/>
      <c r="ATF9" s="33"/>
      <c r="ATG9" s="33"/>
      <c r="ATH9" s="33"/>
      <c r="ATI9" s="33"/>
      <c r="ATJ9" s="33"/>
      <c r="ATK9" s="33"/>
      <c r="ATL9" s="33"/>
      <c r="ATM9" s="33"/>
      <c r="ATN9" s="33"/>
      <c r="ATO9" s="33"/>
      <c r="ATP9" s="33"/>
      <c r="ATQ9" s="33"/>
      <c r="ATR9" s="33"/>
      <c r="ATS9" s="33"/>
      <c r="ATT9" s="33"/>
      <c r="ATU9" s="33"/>
      <c r="ATV9" s="33"/>
      <c r="ATW9" s="33"/>
      <c r="ATX9" s="33"/>
      <c r="ATY9" s="33"/>
      <c r="ATZ9" s="33"/>
      <c r="AUA9" s="33"/>
      <c r="AUB9" s="33"/>
      <c r="AUC9" s="33"/>
      <c r="AUD9" s="33"/>
      <c r="AUE9" s="33"/>
      <c r="AUF9" s="33"/>
      <c r="AUG9" s="33"/>
      <c r="AUH9" s="33"/>
      <c r="AUI9" s="33"/>
      <c r="AUJ9" s="33"/>
      <c r="AUK9" s="33"/>
      <c r="AUL9" s="33"/>
      <c r="AUM9" s="33"/>
      <c r="AUN9" s="33"/>
      <c r="AUO9" s="33"/>
      <c r="AUP9" s="33"/>
      <c r="AUQ9" s="33"/>
      <c r="AUR9" s="33"/>
      <c r="AUS9" s="33"/>
      <c r="AUT9" s="33"/>
      <c r="AUU9" s="33"/>
      <c r="AUV9" s="33"/>
      <c r="AUW9" s="33"/>
      <c r="AUX9" s="33"/>
      <c r="AUY9" s="33"/>
      <c r="AUZ9" s="33"/>
      <c r="AVA9" s="33"/>
      <c r="AVB9" s="33"/>
    </row>
    <row r="10" spans="1:1250" ht="18.75" customHeight="1">
      <c r="A10" s="378" t="str">
        <f>自由選!B11</f>
        <v>XFD40</v>
      </c>
      <c r="B10" s="208">
        <f ca="1">VLOOKUP($A10,'銀行-TSS'!B:K,10,FALSE)</f>
        <v>95.57</v>
      </c>
      <c r="C10" s="69" t="str">
        <f ca="1">VLOOKUP(A10,'銀行-TSS'!B:E,4,FALSE)</f>
        <v>Aa2 / A+ / AA-u</v>
      </c>
      <c r="D10" s="70">
        <f ca="1">VLOOKUP($A10,'銀行-TSS'!B:H,7,FALSE)</f>
        <v>4.1250000000000002E-2</v>
      </c>
      <c r="E10" s="71">
        <f ca="1">IFERROR(VLOOKUP($A10,'銀行-TSS'!B:I,8,FALSE),"")</f>
        <v>2</v>
      </c>
      <c r="F10" s="69" t="str">
        <f t="shared" ca="1" si="142"/>
        <v>5、11</v>
      </c>
      <c r="G10" s="72">
        <f ca="1">VLOOKUP($A10,'銀行-TSS'!B:M,12,FALSE)</f>
        <v>4.7199999999999999E-2</v>
      </c>
      <c r="H10" s="73">
        <f ca="1">VLOOKUP($A10,'銀行-TSS'!B:G,6,FALSE)</f>
        <v>10.86</v>
      </c>
      <c r="I10" s="74">
        <f ca="1">IFERROR(DATEVALUE(VLOOKUP($A10,'銀行-TSS'!B:F,5,FALSE)),VLOOKUP($A10,'銀行-TSS'!B:F,5,FALSE))</f>
        <v>49440</v>
      </c>
      <c r="J10" s="1" t="str">
        <f ca="1">VLOOKUP($A10,'銀行-TSS'!B:Q,16,FALSE)</f>
        <v>能源</v>
      </c>
      <c r="K10" s="76" t="str">
        <f ca="1">VLOOKUP($A10,'銀行-TSS'!B:T,19,FALSE)</f>
        <v>殼牌國際金融私人有限公司/RDSALN</v>
      </c>
      <c r="L10" s="33" t="b">
        <f t="shared" si="45"/>
        <v>1</v>
      </c>
      <c r="M10" s="43">
        <f ca="1">VLOOKUP($A10,'銀行-TSS'!B:N,13,FALSE)</f>
        <v>10000</v>
      </c>
      <c r="N10" s="44">
        <f>自由選!F11</f>
        <v>10000</v>
      </c>
      <c r="O10" s="43">
        <f ca="1">IFERROR(VLOOKUP($A10,'銀行-TSS'!B:O,14,FALSE),1)</f>
        <v>1000</v>
      </c>
      <c r="P10" s="78" t="str">
        <f ca="1">IFERROR(VLOOKUP(K10,Bond_DES!D:E,2,FALSE),VLOOKUP(K10,'銀行-TSS'!T:U,2,FALSE))</f>
        <v>殼牌國際金融私人有限公司(Shell International Finance B.V.)為一家特殊目的機構。保證機構殼牌(Royal Dutch Shell plc)擁有超過100年歷史，是一家全球性的能源及石化公司集團，亦是全球油氣50強品牌價值龍頭(Brand Finance 2024)，為石油天然氣、能源、化工等領域的重要領航者。</v>
      </c>
      <c r="Q10" s="83">
        <f t="shared" ca="1" si="143"/>
        <v>94.985599999999991</v>
      </c>
      <c r="R10" s="81">
        <f ca="1">ROUND(Q10*N10/100,2)</f>
        <v>9498.56</v>
      </c>
      <c r="S10" s="82">
        <f ca="1">R10/$R$27</f>
        <v>8.3441750848731261E-2</v>
      </c>
      <c r="T10" s="34">
        <f t="shared" ca="1" si="144"/>
        <v>2035</v>
      </c>
      <c r="U10" s="36" t="str">
        <f ca="1">IFERROR(VLOOKUP($A10,'銀行-TSS'!B:C,2,FALSE),"")</f>
        <v>USD</v>
      </c>
      <c r="V10" s="184">
        <f ca="1">VLOOKUP(A10,'銀行-TSS'!B:J,9,FALSE)</f>
        <v>0.58440000000000003</v>
      </c>
      <c r="W10" s="57">
        <f t="shared" ca="1" si="145"/>
        <v>58.44</v>
      </c>
      <c r="X10" s="36">
        <f t="shared" ca="1" si="146"/>
        <v>0</v>
      </c>
      <c r="Y10" s="116">
        <f t="shared" ca="1" si="147"/>
        <v>955.7</v>
      </c>
      <c r="Z10" s="98">
        <f t="shared" ca="1" si="148"/>
        <v>9557</v>
      </c>
      <c r="AA10" s="61">
        <f t="shared" si="149"/>
        <v>8.3333333333333329E-2</v>
      </c>
      <c r="AB10" s="104" t="str">
        <f t="shared" ca="1" si="46"/>
        <v>能源</v>
      </c>
      <c r="AC10" s="149">
        <f t="shared" ca="1" si="150"/>
        <v>9557</v>
      </c>
      <c r="AD10" s="149">
        <f ca="1">VLOOKUP(A10,'銀行-TSS'!B:AD,29,FALSE)</f>
        <v>19</v>
      </c>
      <c r="AE10" s="64">
        <f t="shared" ca="1" si="47"/>
        <v>206.25</v>
      </c>
      <c r="AF10" s="53">
        <f ca="1">IF(AG10&gt;6,AG10-6,AG10+6)</f>
        <v>5</v>
      </c>
      <c r="AG10" s="45">
        <f ca="1">MONTH(AH10)</f>
        <v>11</v>
      </c>
      <c r="AH10" s="2">
        <f ca="1">_xlfn.IFNA(IFERROR(DATEVALUE(VLOOKUP($A10,'銀行-TSS'!B:P,15,FALSE)),VLOOKUP($A10,'銀行-TSS'!B:P,15,FALSE)),"")</f>
        <v>45607</v>
      </c>
      <c r="AI10" s="2">
        <f ca="1">_xlfn.IFNA(IFERROR(DATEVALUE(VLOOKUP($A10,'銀行-TSS'!B:L,11,FALSE)),VLOOKUP($A10,'銀行-TSS'!B:L,11,FALSE)),"")</f>
        <v>45475</v>
      </c>
      <c r="AJ10" s="34">
        <f t="shared" ca="1" si="151"/>
        <v>0</v>
      </c>
      <c r="AK10" s="34">
        <f t="shared" ca="1" si="48"/>
        <v>0</v>
      </c>
      <c r="AL10" s="34">
        <f t="shared" ca="1" si="48"/>
        <v>0</v>
      </c>
      <c r="AM10" s="34">
        <f t="shared" ca="1" si="48"/>
        <v>0</v>
      </c>
      <c r="AN10" s="34">
        <f t="shared" ca="1" si="48"/>
        <v>206.25</v>
      </c>
      <c r="AO10" s="34">
        <f t="shared" ca="1" si="48"/>
        <v>0</v>
      </c>
      <c r="AP10" s="34">
        <f t="shared" ca="1" si="48"/>
        <v>0</v>
      </c>
      <c r="AQ10" s="34">
        <f t="shared" ca="1" si="48"/>
        <v>0</v>
      </c>
      <c r="AR10" s="34">
        <f t="shared" ca="1" si="48"/>
        <v>0</v>
      </c>
      <c r="AS10" s="34">
        <f t="shared" ca="1" si="48"/>
        <v>0</v>
      </c>
      <c r="AT10" s="34">
        <f t="shared" ca="1" si="48"/>
        <v>206.25</v>
      </c>
      <c r="AU10" s="34">
        <f t="shared" ca="1" si="49"/>
        <v>0</v>
      </c>
      <c r="AV10" s="34">
        <f t="shared" ca="1" si="49"/>
        <v>0</v>
      </c>
      <c r="AW10" s="34">
        <f t="shared" ca="1" si="49"/>
        <v>0</v>
      </c>
      <c r="AX10" s="34">
        <f t="shared" ca="1" si="49"/>
        <v>0</v>
      </c>
      <c r="AY10" s="34">
        <f t="shared" ca="1" si="49"/>
        <v>0</v>
      </c>
      <c r="AZ10" s="34">
        <f t="shared" ca="1" si="49"/>
        <v>206.25</v>
      </c>
      <c r="BA10" s="34">
        <f t="shared" ca="1" si="49"/>
        <v>0</v>
      </c>
      <c r="BB10" s="34">
        <f t="shared" ca="1" si="49"/>
        <v>0</v>
      </c>
      <c r="BC10" s="34">
        <f t="shared" ca="1" si="49"/>
        <v>0</v>
      </c>
      <c r="BD10" s="34">
        <f t="shared" ca="1" si="49"/>
        <v>0</v>
      </c>
      <c r="BE10" s="34">
        <f t="shared" ca="1" si="50"/>
        <v>0</v>
      </c>
      <c r="BF10" s="34">
        <f t="shared" ca="1" si="50"/>
        <v>206.25</v>
      </c>
      <c r="BG10" s="34">
        <f t="shared" ca="1" si="50"/>
        <v>0</v>
      </c>
      <c r="BH10" s="34">
        <f t="shared" ca="1" si="50"/>
        <v>0</v>
      </c>
      <c r="BI10" s="34">
        <f t="shared" ca="1" si="50"/>
        <v>0</v>
      </c>
      <c r="BJ10" s="34">
        <f t="shared" ca="1" si="50"/>
        <v>0</v>
      </c>
      <c r="BK10" s="34">
        <f t="shared" ca="1" si="50"/>
        <v>0</v>
      </c>
      <c r="BL10" s="34">
        <f t="shared" ca="1" si="50"/>
        <v>206.25</v>
      </c>
      <c r="BM10" s="34">
        <f t="shared" ca="1" si="50"/>
        <v>0</v>
      </c>
      <c r="BN10" s="34">
        <f t="shared" ca="1" si="50"/>
        <v>0</v>
      </c>
      <c r="BO10" s="34">
        <f t="shared" ca="1" si="51"/>
        <v>0</v>
      </c>
      <c r="BP10" s="34">
        <f t="shared" ca="1" si="51"/>
        <v>0</v>
      </c>
      <c r="BQ10" s="34">
        <f t="shared" ca="1" si="51"/>
        <v>0</v>
      </c>
      <c r="BR10" s="34">
        <f t="shared" ca="1" si="51"/>
        <v>206.25</v>
      </c>
      <c r="BS10" s="34">
        <f t="shared" ca="1" si="51"/>
        <v>0</v>
      </c>
      <c r="BT10" s="34">
        <f t="shared" ca="1" si="51"/>
        <v>0</v>
      </c>
      <c r="BU10" s="34">
        <f t="shared" ca="1" si="51"/>
        <v>0</v>
      </c>
      <c r="BV10" s="34">
        <f t="shared" ca="1" si="51"/>
        <v>0</v>
      </c>
      <c r="BW10" s="34">
        <f t="shared" ca="1" si="51"/>
        <v>0</v>
      </c>
      <c r="BX10" s="34">
        <f t="shared" ca="1" si="51"/>
        <v>206.25</v>
      </c>
      <c r="BY10" s="34">
        <f t="shared" ca="1" si="52"/>
        <v>0</v>
      </c>
      <c r="BZ10" s="34">
        <f t="shared" ca="1" si="52"/>
        <v>0</v>
      </c>
      <c r="CA10" s="34">
        <f t="shared" ca="1" si="52"/>
        <v>0</v>
      </c>
      <c r="CB10" s="34">
        <f t="shared" ca="1" si="52"/>
        <v>0</v>
      </c>
      <c r="CC10" s="34">
        <f t="shared" ca="1" si="52"/>
        <v>0</v>
      </c>
      <c r="CD10" s="34">
        <f t="shared" ca="1" si="52"/>
        <v>206.25</v>
      </c>
      <c r="CE10" s="34">
        <f t="shared" ca="1" si="52"/>
        <v>0</v>
      </c>
      <c r="CF10" s="34">
        <f t="shared" ca="1" si="52"/>
        <v>0</v>
      </c>
      <c r="CG10" s="34">
        <f t="shared" ca="1" si="52"/>
        <v>0</v>
      </c>
      <c r="CH10" s="34">
        <f t="shared" ca="1" si="52"/>
        <v>0</v>
      </c>
      <c r="CI10" s="34">
        <f t="shared" ca="1" si="53"/>
        <v>0</v>
      </c>
      <c r="CJ10" s="34">
        <f t="shared" ca="1" si="53"/>
        <v>206.25</v>
      </c>
      <c r="CK10" s="34">
        <f t="shared" ca="1" si="53"/>
        <v>0</v>
      </c>
      <c r="CL10" s="34">
        <f t="shared" ca="1" si="53"/>
        <v>0</v>
      </c>
      <c r="CM10" s="34">
        <f t="shared" ca="1" si="53"/>
        <v>0</v>
      </c>
      <c r="CN10" s="34">
        <f t="shared" ca="1" si="53"/>
        <v>0</v>
      </c>
      <c r="CO10" s="34">
        <f t="shared" ca="1" si="53"/>
        <v>0</v>
      </c>
      <c r="CP10" s="34">
        <f t="shared" ca="1" si="53"/>
        <v>206.25</v>
      </c>
      <c r="CQ10" s="34">
        <f t="shared" ca="1" si="53"/>
        <v>0</v>
      </c>
      <c r="CR10" s="34">
        <f t="shared" ca="1" si="53"/>
        <v>0</v>
      </c>
      <c r="CS10" s="34">
        <f t="shared" ca="1" si="54"/>
        <v>0</v>
      </c>
      <c r="CT10" s="34">
        <f t="shared" ca="1" si="54"/>
        <v>0</v>
      </c>
      <c r="CU10" s="34">
        <f t="shared" ca="1" si="54"/>
        <v>0</v>
      </c>
      <c r="CV10" s="34">
        <f t="shared" ca="1" si="54"/>
        <v>206.25</v>
      </c>
      <c r="CW10" s="34">
        <f t="shared" ca="1" si="54"/>
        <v>0</v>
      </c>
      <c r="CX10" s="34">
        <f t="shared" ca="1" si="54"/>
        <v>0</v>
      </c>
      <c r="CY10" s="34">
        <f t="shared" ca="1" si="54"/>
        <v>0</v>
      </c>
      <c r="CZ10" s="34">
        <f t="shared" ca="1" si="54"/>
        <v>0</v>
      </c>
      <c r="DA10" s="34">
        <f t="shared" ca="1" si="54"/>
        <v>0</v>
      </c>
      <c r="DB10" s="34">
        <f t="shared" ca="1" si="54"/>
        <v>206.25</v>
      </c>
      <c r="DC10" s="34">
        <f t="shared" ca="1" si="55"/>
        <v>0</v>
      </c>
      <c r="DD10" s="34">
        <f t="shared" ca="1" si="55"/>
        <v>0</v>
      </c>
      <c r="DE10" s="34">
        <f t="shared" ca="1" si="55"/>
        <v>0</v>
      </c>
      <c r="DF10" s="34">
        <f t="shared" ca="1" si="55"/>
        <v>0</v>
      </c>
      <c r="DG10" s="34">
        <f t="shared" ca="1" si="55"/>
        <v>0</v>
      </c>
      <c r="DH10" s="34">
        <f t="shared" ca="1" si="55"/>
        <v>206.25</v>
      </c>
      <c r="DI10" s="34">
        <f t="shared" ca="1" si="55"/>
        <v>0</v>
      </c>
      <c r="DJ10" s="34">
        <f t="shared" ca="1" si="55"/>
        <v>0</v>
      </c>
      <c r="DK10" s="34">
        <f t="shared" ca="1" si="55"/>
        <v>0</v>
      </c>
      <c r="DL10" s="34">
        <f t="shared" ca="1" si="55"/>
        <v>0</v>
      </c>
      <c r="DM10" s="34">
        <f t="shared" ca="1" si="56"/>
        <v>0</v>
      </c>
      <c r="DN10" s="34">
        <f t="shared" ca="1" si="56"/>
        <v>206.25</v>
      </c>
      <c r="DO10" s="34">
        <f t="shared" ca="1" si="56"/>
        <v>0</v>
      </c>
      <c r="DP10" s="34">
        <f t="shared" ca="1" si="56"/>
        <v>0</v>
      </c>
      <c r="DQ10" s="34">
        <f t="shared" ca="1" si="56"/>
        <v>0</v>
      </c>
      <c r="DR10" s="34">
        <f t="shared" ca="1" si="56"/>
        <v>0</v>
      </c>
      <c r="DS10" s="34">
        <f t="shared" ca="1" si="56"/>
        <v>0</v>
      </c>
      <c r="DT10" s="34">
        <f t="shared" ca="1" si="56"/>
        <v>206.25</v>
      </c>
      <c r="DU10" s="34">
        <f t="shared" ca="1" si="56"/>
        <v>0</v>
      </c>
      <c r="DV10" s="34">
        <f t="shared" ca="1" si="56"/>
        <v>0</v>
      </c>
      <c r="DW10" s="34">
        <f t="shared" ca="1" si="57"/>
        <v>0</v>
      </c>
      <c r="DX10" s="34">
        <f t="shared" ca="1" si="57"/>
        <v>0</v>
      </c>
      <c r="DY10" s="34">
        <f t="shared" ca="1" si="57"/>
        <v>0</v>
      </c>
      <c r="DZ10" s="34">
        <f t="shared" ca="1" si="57"/>
        <v>206.25</v>
      </c>
      <c r="EA10" s="34">
        <f t="shared" ca="1" si="57"/>
        <v>0</v>
      </c>
      <c r="EB10" s="34">
        <f t="shared" ca="1" si="57"/>
        <v>0</v>
      </c>
      <c r="EC10" s="34">
        <f t="shared" ca="1" si="57"/>
        <v>0</v>
      </c>
      <c r="ED10" s="34">
        <f t="shared" ca="1" si="57"/>
        <v>0</v>
      </c>
      <c r="EE10" s="34">
        <f t="shared" ca="1" si="57"/>
        <v>0</v>
      </c>
      <c r="EF10" s="34">
        <f t="shared" ca="1" si="57"/>
        <v>206.25</v>
      </c>
      <c r="EG10" s="34">
        <f t="shared" ca="1" si="58"/>
        <v>0</v>
      </c>
      <c r="EH10" s="34">
        <f t="shared" ca="1" si="58"/>
        <v>0</v>
      </c>
      <c r="EI10" s="34">
        <f t="shared" ca="1" si="58"/>
        <v>0</v>
      </c>
      <c r="EJ10" s="34">
        <f t="shared" ca="1" si="58"/>
        <v>0</v>
      </c>
      <c r="EK10" s="34">
        <f t="shared" ca="1" si="58"/>
        <v>0</v>
      </c>
      <c r="EL10" s="34">
        <f t="shared" ca="1" si="58"/>
        <v>206.25</v>
      </c>
      <c r="EM10" s="34">
        <f t="shared" ca="1" si="58"/>
        <v>0</v>
      </c>
      <c r="EN10" s="34">
        <f t="shared" ca="1" si="58"/>
        <v>0</v>
      </c>
      <c r="EO10" s="34">
        <f t="shared" ca="1" si="58"/>
        <v>0</v>
      </c>
      <c r="EP10" s="34">
        <f t="shared" ca="1" si="58"/>
        <v>0</v>
      </c>
      <c r="EQ10" s="34">
        <f t="shared" ca="1" si="59"/>
        <v>0</v>
      </c>
      <c r="ER10" s="34">
        <f t="shared" ca="1" si="59"/>
        <v>206.25</v>
      </c>
      <c r="ES10" s="34">
        <f t="shared" ca="1" si="59"/>
        <v>0</v>
      </c>
      <c r="ET10" s="34">
        <f t="shared" ca="1" si="59"/>
        <v>0</v>
      </c>
      <c r="EU10" s="34">
        <f t="shared" ca="1" si="59"/>
        <v>0</v>
      </c>
      <c r="EV10" s="34">
        <f t="shared" ca="1" si="59"/>
        <v>0</v>
      </c>
      <c r="EW10" s="34">
        <f t="shared" ca="1" si="59"/>
        <v>0</v>
      </c>
      <c r="EX10" s="34">
        <f t="shared" ca="1" si="59"/>
        <v>206.25</v>
      </c>
      <c r="EY10" s="34">
        <f t="shared" ca="1" si="59"/>
        <v>0</v>
      </c>
      <c r="EZ10" s="34">
        <f t="shared" ca="1" si="59"/>
        <v>0</v>
      </c>
      <c r="FA10" s="34">
        <f t="shared" ca="1" si="60"/>
        <v>0</v>
      </c>
      <c r="FB10" s="34">
        <f t="shared" ca="1" si="60"/>
        <v>0</v>
      </c>
      <c r="FC10" s="34">
        <f t="shared" ca="1" si="60"/>
        <v>0</v>
      </c>
      <c r="FD10" s="34">
        <f t="shared" ca="1" si="60"/>
        <v>206.25</v>
      </c>
      <c r="FE10" s="34">
        <f t="shared" ca="1" si="60"/>
        <v>0</v>
      </c>
      <c r="FF10" s="34">
        <f t="shared" ca="1" si="60"/>
        <v>0</v>
      </c>
      <c r="FG10" s="34">
        <f t="shared" ca="1" si="60"/>
        <v>0</v>
      </c>
      <c r="FH10" s="34">
        <f t="shared" ca="1" si="60"/>
        <v>0</v>
      </c>
      <c r="FI10" s="34">
        <f t="shared" ca="1" si="60"/>
        <v>0</v>
      </c>
      <c r="FJ10" s="34">
        <f t="shared" ca="1" si="60"/>
        <v>206.25</v>
      </c>
      <c r="FK10" s="34">
        <f t="shared" ca="1" si="61"/>
        <v>0</v>
      </c>
      <c r="FL10" s="34">
        <f t="shared" ca="1" si="61"/>
        <v>0</v>
      </c>
      <c r="FM10" s="34">
        <f t="shared" ca="1" si="61"/>
        <v>0</v>
      </c>
      <c r="FN10" s="34">
        <f t="shared" ca="1" si="61"/>
        <v>0</v>
      </c>
      <c r="FO10" s="34">
        <f t="shared" ca="1" si="61"/>
        <v>0</v>
      </c>
      <c r="FP10" s="34">
        <f t="shared" ca="1" si="61"/>
        <v>0</v>
      </c>
      <c r="FQ10" s="34">
        <f t="shared" ca="1" si="61"/>
        <v>0</v>
      </c>
      <c r="FR10" s="34">
        <f t="shared" ca="1" si="61"/>
        <v>0</v>
      </c>
      <c r="FS10" s="34">
        <f t="shared" ca="1" si="61"/>
        <v>0</v>
      </c>
      <c r="FT10" s="34">
        <f t="shared" ca="1" si="61"/>
        <v>0</v>
      </c>
      <c r="FU10" s="34">
        <f t="shared" ca="1" si="62"/>
        <v>0</v>
      </c>
      <c r="FV10" s="34">
        <f t="shared" ca="1" si="62"/>
        <v>0</v>
      </c>
      <c r="FW10" s="34">
        <f t="shared" ca="1" si="62"/>
        <v>0</v>
      </c>
      <c r="FX10" s="34">
        <f t="shared" ca="1" si="62"/>
        <v>0</v>
      </c>
      <c r="FY10" s="34">
        <f t="shared" ca="1" si="62"/>
        <v>0</v>
      </c>
      <c r="FZ10" s="34">
        <f t="shared" ca="1" si="62"/>
        <v>0</v>
      </c>
      <c r="GA10" s="34">
        <f t="shared" ca="1" si="62"/>
        <v>0</v>
      </c>
      <c r="GB10" s="34">
        <f t="shared" ca="1" si="62"/>
        <v>0</v>
      </c>
      <c r="GC10" s="34">
        <f t="shared" ca="1" si="62"/>
        <v>0</v>
      </c>
      <c r="GD10" s="34">
        <f t="shared" ca="1" si="62"/>
        <v>0</v>
      </c>
      <c r="GE10" s="34">
        <f t="shared" ca="1" si="63"/>
        <v>0</v>
      </c>
      <c r="GF10" s="34">
        <f t="shared" ca="1" si="63"/>
        <v>0</v>
      </c>
      <c r="GG10" s="34">
        <f t="shared" ca="1" si="63"/>
        <v>0</v>
      </c>
      <c r="GH10" s="34">
        <f t="shared" ca="1" si="63"/>
        <v>0</v>
      </c>
      <c r="GI10" s="34">
        <f t="shared" ca="1" si="63"/>
        <v>0</v>
      </c>
      <c r="GJ10" s="34">
        <f t="shared" ca="1" si="63"/>
        <v>0</v>
      </c>
      <c r="GK10" s="34">
        <f t="shared" ca="1" si="63"/>
        <v>0</v>
      </c>
      <c r="GL10" s="34">
        <f t="shared" ca="1" si="63"/>
        <v>0</v>
      </c>
      <c r="GM10" s="34">
        <f t="shared" ca="1" si="63"/>
        <v>0</v>
      </c>
      <c r="GN10" s="34">
        <f t="shared" ca="1" si="63"/>
        <v>0</v>
      </c>
      <c r="GO10" s="34">
        <f t="shared" ca="1" si="64"/>
        <v>0</v>
      </c>
      <c r="GP10" s="34">
        <f t="shared" ca="1" si="64"/>
        <v>0</v>
      </c>
      <c r="GQ10" s="34">
        <f t="shared" ca="1" si="64"/>
        <v>0</v>
      </c>
      <c r="GR10" s="34">
        <f t="shared" ca="1" si="64"/>
        <v>0</v>
      </c>
      <c r="GS10" s="34">
        <f t="shared" ca="1" si="64"/>
        <v>0</v>
      </c>
      <c r="GT10" s="34">
        <f t="shared" ca="1" si="64"/>
        <v>0</v>
      </c>
      <c r="GU10" s="34">
        <f t="shared" ca="1" si="64"/>
        <v>0</v>
      </c>
      <c r="GV10" s="34">
        <f t="shared" ca="1" si="64"/>
        <v>0</v>
      </c>
      <c r="GW10" s="34">
        <f t="shared" ca="1" si="64"/>
        <v>0</v>
      </c>
      <c r="GX10" s="34">
        <f t="shared" ca="1" si="64"/>
        <v>0</v>
      </c>
      <c r="GY10" s="34">
        <f t="shared" ca="1" si="65"/>
        <v>0</v>
      </c>
      <c r="GZ10" s="34">
        <f t="shared" ca="1" si="65"/>
        <v>0</v>
      </c>
      <c r="HA10" s="34">
        <f t="shared" ca="1" si="65"/>
        <v>0</v>
      </c>
      <c r="HB10" s="34">
        <f t="shared" ca="1" si="65"/>
        <v>0</v>
      </c>
      <c r="HC10" s="34">
        <f t="shared" ca="1" si="65"/>
        <v>0</v>
      </c>
      <c r="HD10" s="34">
        <f t="shared" ca="1" si="65"/>
        <v>0</v>
      </c>
      <c r="HE10" s="34">
        <f t="shared" ca="1" si="65"/>
        <v>0</v>
      </c>
      <c r="HF10" s="34">
        <f t="shared" ca="1" si="65"/>
        <v>0</v>
      </c>
      <c r="HG10" s="34">
        <f t="shared" ca="1" si="65"/>
        <v>0</v>
      </c>
      <c r="HH10" s="34">
        <f t="shared" ca="1" si="65"/>
        <v>0</v>
      </c>
      <c r="HI10" s="34">
        <f t="shared" ca="1" si="66"/>
        <v>0</v>
      </c>
      <c r="HJ10" s="34">
        <f t="shared" ca="1" si="66"/>
        <v>0</v>
      </c>
      <c r="HK10" s="34">
        <f t="shared" ca="1" si="66"/>
        <v>0</v>
      </c>
      <c r="HL10" s="34">
        <f t="shared" ca="1" si="66"/>
        <v>0</v>
      </c>
      <c r="HM10" s="34">
        <f t="shared" ca="1" si="66"/>
        <v>0</v>
      </c>
      <c r="HN10" s="34">
        <f t="shared" ca="1" si="66"/>
        <v>0</v>
      </c>
      <c r="HO10" s="34">
        <f t="shared" ca="1" si="66"/>
        <v>0</v>
      </c>
      <c r="HP10" s="34">
        <f t="shared" ca="1" si="66"/>
        <v>0</v>
      </c>
      <c r="HQ10" s="34">
        <f t="shared" ca="1" si="66"/>
        <v>0</v>
      </c>
      <c r="HR10" s="34">
        <f t="shared" ca="1" si="66"/>
        <v>0</v>
      </c>
      <c r="HS10" s="34">
        <f t="shared" ca="1" si="67"/>
        <v>0</v>
      </c>
      <c r="HT10" s="34">
        <f t="shared" ca="1" si="67"/>
        <v>0</v>
      </c>
      <c r="HU10" s="34">
        <f t="shared" ca="1" si="67"/>
        <v>0</v>
      </c>
      <c r="HV10" s="34">
        <f t="shared" ca="1" si="67"/>
        <v>0</v>
      </c>
      <c r="HW10" s="34">
        <f t="shared" ca="1" si="67"/>
        <v>0</v>
      </c>
      <c r="HX10" s="34">
        <f t="shared" ca="1" si="67"/>
        <v>0</v>
      </c>
      <c r="HY10" s="34">
        <f t="shared" ca="1" si="67"/>
        <v>0</v>
      </c>
      <c r="HZ10" s="34">
        <f t="shared" ca="1" si="67"/>
        <v>0</v>
      </c>
      <c r="IA10" s="34">
        <f t="shared" ca="1" si="67"/>
        <v>0</v>
      </c>
      <c r="IB10" s="34">
        <f t="shared" ca="1" si="67"/>
        <v>0</v>
      </c>
      <c r="IC10" s="34">
        <f t="shared" ca="1" si="68"/>
        <v>0</v>
      </c>
      <c r="ID10" s="34">
        <f t="shared" ca="1" si="68"/>
        <v>0</v>
      </c>
      <c r="IE10" s="34">
        <f t="shared" ca="1" si="68"/>
        <v>0</v>
      </c>
      <c r="IF10" s="34">
        <f t="shared" ca="1" si="68"/>
        <v>0</v>
      </c>
      <c r="IG10" s="34">
        <f t="shared" ca="1" si="68"/>
        <v>0</v>
      </c>
      <c r="IH10" s="34">
        <f t="shared" ca="1" si="68"/>
        <v>0</v>
      </c>
      <c r="II10" s="34">
        <f t="shared" ca="1" si="68"/>
        <v>0</v>
      </c>
      <c r="IJ10" s="34">
        <f t="shared" ca="1" si="68"/>
        <v>0</v>
      </c>
      <c r="IK10" s="34">
        <f t="shared" ca="1" si="68"/>
        <v>0</v>
      </c>
      <c r="IL10" s="34">
        <f t="shared" ca="1" si="68"/>
        <v>0</v>
      </c>
      <c r="IM10" s="34">
        <f t="shared" ca="1" si="69"/>
        <v>0</v>
      </c>
      <c r="IN10" s="34">
        <f t="shared" ca="1" si="69"/>
        <v>0</v>
      </c>
      <c r="IO10" s="34">
        <f t="shared" ca="1" si="69"/>
        <v>0</v>
      </c>
      <c r="IP10" s="34">
        <f t="shared" ca="1" si="69"/>
        <v>0</v>
      </c>
      <c r="IQ10" s="34">
        <f t="shared" ca="1" si="69"/>
        <v>0</v>
      </c>
      <c r="IR10" s="34">
        <f t="shared" ca="1" si="69"/>
        <v>0</v>
      </c>
      <c r="IS10" s="34">
        <f t="shared" ca="1" si="69"/>
        <v>0</v>
      </c>
      <c r="IT10" s="34">
        <f t="shared" ca="1" si="69"/>
        <v>0</v>
      </c>
      <c r="IU10" s="34">
        <f t="shared" ca="1" si="69"/>
        <v>0</v>
      </c>
      <c r="IV10" s="34">
        <f t="shared" ca="1" si="69"/>
        <v>0</v>
      </c>
      <c r="IW10" s="34">
        <f t="shared" ca="1" si="70"/>
        <v>0</v>
      </c>
      <c r="IX10" s="34">
        <f t="shared" ca="1" si="70"/>
        <v>0</v>
      </c>
      <c r="IY10" s="34">
        <f t="shared" ca="1" si="70"/>
        <v>0</v>
      </c>
      <c r="IZ10" s="34">
        <f t="shared" ca="1" si="70"/>
        <v>0</v>
      </c>
      <c r="JA10" s="34">
        <f t="shared" ca="1" si="70"/>
        <v>0</v>
      </c>
      <c r="JB10" s="34">
        <f t="shared" ca="1" si="70"/>
        <v>0</v>
      </c>
      <c r="JC10" s="34">
        <f t="shared" ca="1" si="70"/>
        <v>0</v>
      </c>
      <c r="JD10" s="34">
        <f t="shared" ca="1" si="70"/>
        <v>0</v>
      </c>
      <c r="JE10" s="34">
        <f t="shared" ca="1" si="70"/>
        <v>0</v>
      </c>
      <c r="JF10" s="34">
        <f t="shared" ca="1" si="70"/>
        <v>0</v>
      </c>
      <c r="JG10" s="34">
        <f t="shared" ca="1" si="71"/>
        <v>0</v>
      </c>
      <c r="JH10" s="34">
        <f t="shared" ca="1" si="71"/>
        <v>0</v>
      </c>
      <c r="JI10" s="34">
        <f t="shared" ca="1" si="71"/>
        <v>0</v>
      </c>
      <c r="JJ10" s="34">
        <f t="shared" ca="1" si="71"/>
        <v>0</v>
      </c>
      <c r="JK10" s="34">
        <f t="shared" ca="1" si="71"/>
        <v>0</v>
      </c>
      <c r="JL10" s="34">
        <f t="shared" ca="1" si="71"/>
        <v>0</v>
      </c>
      <c r="JM10" s="34">
        <f t="shared" ca="1" si="71"/>
        <v>0</v>
      </c>
      <c r="JN10" s="34">
        <f t="shared" ca="1" si="71"/>
        <v>0</v>
      </c>
      <c r="JO10" s="34">
        <f t="shared" ca="1" si="71"/>
        <v>0</v>
      </c>
      <c r="JP10" s="34">
        <f t="shared" ca="1" si="71"/>
        <v>0</v>
      </c>
      <c r="JQ10" s="34">
        <f t="shared" ca="1" si="72"/>
        <v>0</v>
      </c>
      <c r="JR10" s="34">
        <f t="shared" ca="1" si="72"/>
        <v>0</v>
      </c>
      <c r="JS10" s="34">
        <f t="shared" ca="1" si="72"/>
        <v>0</v>
      </c>
      <c r="JT10" s="34">
        <f t="shared" ca="1" si="72"/>
        <v>0</v>
      </c>
      <c r="JU10" s="34">
        <f t="shared" ca="1" si="72"/>
        <v>0</v>
      </c>
      <c r="JV10" s="34">
        <f t="shared" ca="1" si="72"/>
        <v>0</v>
      </c>
      <c r="JW10" s="34">
        <f t="shared" ca="1" si="72"/>
        <v>0</v>
      </c>
      <c r="JX10" s="34">
        <f t="shared" ca="1" si="72"/>
        <v>0</v>
      </c>
      <c r="JY10" s="34">
        <f t="shared" ca="1" si="72"/>
        <v>0</v>
      </c>
      <c r="JZ10" s="34">
        <f t="shared" ca="1" si="72"/>
        <v>0</v>
      </c>
      <c r="KA10" s="34">
        <f t="shared" ca="1" si="73"/>
        <v>0</v>
      </c>
      <c r="KB10" s="34">
        <f t="shared" ca="1" si="73"/>
        <v>0</v>
      </c>
      <c r="KC10" s="34">
        <f t="shared" ca="1" si="73"/>
        <v>0</v>
      </c>
      <c r="KD10" s="34">
        <f t="shared" ca="1" si="73"/>
        <v>0</v>
      </c>
      <c r="KE10" s="34">
        <f t="shared" ca="1" si="73"/>
        <v>0</v>
      </c>
      <c r="KF10" s="34">
        <f t="shared" ca="1" si="73"/>
        <v>0</v>
      </c>
      <c r="KG10" s="34">
        <f t="shared" ca="1" si="73"/>
        <v>0</v>
      </c>
      <c r="KH10" s="34">
        <f t="shared" ca="1" si="73"/>
        <v>0</v>
      </c>
      <c r="KI10" s="34">
        <f t="shared" ca="1" si="73"/>
        <v>0</v>
      </c>
      <c r="KJ10" s="34">
        <f t="shared" ca="1" si="73"/>
        <v>0</v>
      </c>
      <c r="KK10" s="34">
        <f t="shared" ca="1" si="74"/>
        <v>0</v>
      </c>
      <c r="KL10" s="34">
        <f t="shared" ca="1" si="74"/>
        <v>0</v>
      </c>
      <c r="KM10" s="34">
        <f t="shared" ca="1" si="74"/>
        <v>0</v>
      </c>
      <c r="KN10" s="34">
        <f t="shared" ca="1" si="74"/>
        <v>0</v>
      </c>
      <c r="KO10" s="34">
        <f t="shared" ca="1" si="74"/>
        <v>0</v>
      </c>
      <c r="KP10" s="34">
        <f t="shared" ca="1" si="74"/>
        <v>0</v>
      </c>
      <c r="KQ10" s="34">
        <f t="shared" ca="1" si="74"/>
        <v>0</v>
      </c>
      <c r="KR10" s="34">
        <f t="shared" ca="1" si="74"/>
        <v>0</v>
      </c>
      <c r="KS10" s="34">
        <f t="shared" ca="1" si="74"/>
        <v>0</v>
      </c>
      <c r="KT10" s="34">
        <f t="shared" ca="1" si="74"/>
        <v>0</v>
      </c>
      <c r="KU10" s="34">
        <f t="shared" ca="1" si="75"/>
        <v>0</v>
      </c>
      <c r="KV10" s="34">
        <f t="shared" ca="1" si="75"/>
        <v>0</v>
      </c>
      <c r="KW10" s="34">
        <f t="shared" ca="1" si="75"/>
        <v>0</v>
      </c>
      <c r="KX10" s="34">
        <f t="shared" ca="1" si="75"/>
        <v>0</v>
      </c>
      <c r="KY10" s="34">
        <f t="shared" ca="1" si="75"/>
        <v>0</v>
      </c>
      <c r="KZ10" s="34">
        <f t="shared" ca="1" si="75"/>
        <v>0</v>
      </c>
      <c r="LA10" s="34">
        <f t="shared" ca="1" si="75"/>
        <v>0</v>
      </c>
      <c r="LB10" s="34">
        <f t="shared" ca="1" si="75"/>
        <v>0</v>
      </c>
      <c r="LC10" s="34">
        <f t="shared" ca="1" si="75"/>
        <v>0</v>
      </c>
      <c r="LD10" s="34">
        <f t="shared" ca="1" si="75"/>
        <v>0</v>
      </c>
      <c r="LE10" s="34">
        <f t="shared" ca="1" si="76"/>
        <v>0</v>
      </c>
      <c r="LF10" s="34">
        <f t="shared" ca="1" si="76"/>
        <v>0</v>
      </c>
      <c r="LG10" s="34">
        <f t="shared" ca="1" si="76"/>
        <v>0</v>
      </c>
      <c r="LH10" s="34">
        <f t="shared" ca="1" si="76"/>
        <v>0</v>
      </c>
      <c r="LI10" s="34">
        <f t="shared" ca="1" si="76"/>
        <v>0</v>
      </c>
      <c r="LJ10" s="34">
        <f t="shared" ca="1" si="76"/>
        <v>0</v>
      </c>
      <c r="LK10" s="34">
        <f t="shared" ca="1" si="76"/>
        <v>0</v>
      </c>
      <c r="LL10" s="34">
        <f t="shared" ca="1" si="76"/>
        <v>0</v>
      </c>
      <c r="LM10" s="34">
        <f t="shared" ca="1" si="76"/>
        <v>0</v>
      </c>
      <c r="LN10" s="34">
        <f t="shared" ca="1" si="76"/>
        <v>0</v>
      </c>
      <c r="LO10" s="34">
        <f t="shared" ca="1" si="77"/>
        <v>0</v>
      </c>
      <c r="LP10" s="34">
        <f t="shared" ca="1" si="77"/>
        <v>0</v>
      </c>
      <c r="LQ10" s="34">
        <f t="shared" ca="1" si="77"/>
        <v>0</v>
      </c>
      <c r="LR10" s="34">
        <f t="shared" ca="1" si="77"/>
        <v>0</v>
      </c>
      <c r="LS10" s="34">
        <f t="shared" ca="1" si="77"/>
        <v>0</v>
      </c>
      <c r="LT10" s="34">
        <f t="shared" ca="1" si="77"/>
        <v>0</v>
      </c>
      <c r="LU10" s="34">
        <f t="shared" ca="1" si="77"/>
        <v>0</v>
      </c>
      <c r="LV10" s="34">
        <f t="shared" ca="1" si="77"/>
        <v>0</v>
      </c>
      <c r="LW10" s="34">
        <f t="shared" ca="1" si="77"/>
        <v>0</v>
      </c>
      <c r="LX10" s="34">
        <f t="shared" ca="1" si="77"/>
        <v>0</v>
      </c>
      <c r="LY10" s="34">
        <f t="shared" ca="1" si="78"/>
        <v>0</v>
      </c>
      <c r="LZ10" s="34">
        <f t="shared" ca="1" si="78"/>
        <v>0</v>
      </c>
      <c r="MA10" s="34">
        <f t="shared" ca="1" si="78"/>
        <v>0</v>
      </c>
      <c r="MB10" s="34">
        <f t="shared" ca="1" si="78"/>
        <v>0</v>
      </c>
      <c r="MC10" s="34">
        <f t="shared" ca="1" si="78"/>
        <v>0</v>
      </c>
      <c r="MD10" s="34">
        <f t="shared" ca="1" si="78"/>
        <v>0</v>
      </c>
      <c r="ME10" s="34">
        <f t="shared" ca="1" si="78"/>
        <v>0</v>
      </c>
      <c r="MF10" s="34">
        <f t="shared" ca="1" si="78"/>
        <v>0</v>
      </c>
      <c r="MG10" s="34">
        <f t="shared" ca="1" si="78"/>
        <v>0</v>
      </c>
      <c r="MH10" s="34">
        <f t="shared" ca="1" si="78"/>
        <v>0</v>
      </c>
      <c r="MI10" s="34">
        <f t="shared" ca="1" si="79"/>
        <v>0</v>
      </c>
      <c r="MJ10" s="34">
        <f t="shared" ca="1" si="79"/>
        <v>0</v>
      </c>
      <c r="MK10" s="34">
        <f t="shared" ca="1" si="79"/>
        <v>0</v>
      </c>
      <c r="ML10" s="34">
        <f t="shared" ca="1" si="79"/>
        <v>0</v>
      </c>
      <c r="MM10" s="34">
        <f t="shared" ca="1" si="79"/>
        <v>0</v>
      </c>
      <c r="MN10" s="34">
        <f t="shared" ca="1" si="79"/>
        <v>0</v>
      </c>
      <c r="MO10" s="34">
        <f t="shared" ca="1" si="79"/>
        <v>0</v>
      </c>
      <c r="MP10" s="34">
        <f t="shared" ca="1" si="79"/>
        <v>0</v>
      </c>
      <c r="MQ10" s="34">
        <f t="shared" ca="1" si="79"/>
        <v>0</v>
      </c>
      <c r="MR10" s="34">
        <f t="shared" ca="1" si="79"/>
        <v>0</v>
      </c>
      <c r="MS10" s="34">
        <f t="shared" ca="1" si="80"/>
        <v>0</v>
      </c>
      <c r="MT10" s="34">
        <f t="shared" ca="1" si="80"/>
        <v>0</v>
      </c>
      <c r="MU10" s="34">
        <f t="shared" ca="1" si="80"/>
        <v>0</v>
      </c>
      <c r="MV10" s="34">
        <f t="shared" ca="1" si="80"/>
        <v>0</v>
      </c>
      <c r="MW10" s="34">
        <f t="shared" ca="1" si="80"/>
        <v>0</v>
      </c>
      <c r="MX10" s="34">
        <f t="shared" ca="1" si="80"/>
        <v>0</v>
      </c>
      <c r="MY10" s="34">
        <f t="shared" ca="1" si="80"/>
        <v>0</v>
      </c>
      <c r="MZ10" s="34">
        <f t="shared" ca="1" si="80"/>
        <v>0</v>
      </c>
      <c r="NA10" s="34">
        <f t="shared" ca="1" si="80"/>
        <v>0</v>
      </c>
      <c r="NB10" s="34">
        <f t="shared" ca="1" si="80"/>
        <v>0</v>
      </c>
      <c r="NC10" s="34">
        <f t="shared" ca="1" si="81"/>
        <v>0</v>
      </c>
      <c r="ND10" s="34">
        <f t="shared" ca="1" si="81"/>
        <v>0</v>
      </c>
      <c r="NE10" s="34">
        <f t="shared" ca="1" si="81"/>
        <v>0</v>
      </c>
      <c r="NF10" s="34">
        <f t="shared" ca="1" si="81"/>
        <v>0</v>
      </c>
      <c r="NG10" s="34">
        <f t="shared" ca="1" si="81"/>
        <v>0</v>
      </c>
      <c r="NH10" s="34">
        <f t="shared" ca="1" si="81"/>
        <v>0</v>
      </c>
      <c r="NI10" s="34">
        <f t="shared" ca="1" si="81"/>
        <v>0</v>
      </c>
      <c r="NJ10" s="34">
        <f t="shared" ca="1" si="81"/>
        <v>0</v>
      </c>
      <c r="NK10" s="34">
        <f t="shared" ca="1" si="81"/>
        <v>0</v>
      </c>
      <c r="NL10" s="34">
        <f t="shared" ca="1" si="81"/>
        <v>0</v>
      </c>
      <c r="NM10" s="34">
        <f t="shared" ca="1" si="82"/>
        <v>0</v>
      </c>
      <c r="NN10" s="34">
        <f t="shared" ca="1" si="82"/>
        <v>0</v>
      </c>
      <c r="NO10" s="34">
        <f t="shared" ca="1" si="82"/>
        <v>0</v>
      </c>
      <c r="NP10" s="34">
        <f t="shared" ca="1" si="82"/>
        <v>0</v>
      </c>
      <c r="NQ10" s="34">
        <f t="shared" ca="1" si="82"/>
        <v>0</v>
      </c>
      <c r="NR10" s="34">
        <f t="shared" ca="1" si="82"/>
        <v>0</v>
      </c>
      <c r="NS10" s="34">
        <f t="shared" ca="1" si="82"/>
        <v>0</v>
      </c>
      <c r="NT10" s="34">
        <f t="shared" ca="1" si="82"/>
        <v>0</v>
      </c>
      <c r="NU10" s="34">
        <f t="shared" ca="1" si="82"/>
        <v>0</v>
      </c>
      <c r="NV10" s="34">
        <f t="shared" ca="1" si="82"/>
        <v>0</v>
      </c>
      <c r="NW10" s="34">
        <f t="shared" ca="1" si="83"/>
        <v>0</v>
      </c>
      <c r="NX10" s="34">
        <f t="shared" ca="1" si="83"/>
        <v>0</v>
      </c>
      <c r="NY10" s="34">
        <f t="shared" ca="1" si="83"/>
        <v>0</v>
      </c>
      <c r="NZ10" s="34">
        <f t="shared" ca="1" si="83"/>
        <v>0</v>
      </c>
      <c r="OA10" s="34">
        <f t="shared" ca="1" si="83"/>
        <v>0</v>
      </c>
      <c r="OB10" s="34">
        <f t="shared" ca="1" si="83"/>
        <v>0</v>
      </c>
      <c r="OC10" s="34">
        <f t="shared" ca="1" si="83"/>
        <v>0</v>
      </c>
      <c r="OD10" s="34">
        <f t="shared" ca="1" si="83"/>
        <v>0</v>
      </c>
      <c r="OE10" s="34">
        <f t="shared" ca="1" si="83"/>
        <v>0</v>
      </c>
      <c r="OF10" s="34">
        <f t="shared" ca="1" si="83"/>
        <v>0</v>
      </c>
      <c r="OG10" s="34">
        <f t="shared" ca="1" si="84"/>
        <v>0</v>
      </c>
      <c r="OH10" s="34">
        <f t="shared" ca="1" si="84"/>
        <v>0</v>
      </c>
      <c r="OI10" s="34">
        <f t="shared" ca="1" si="84"/>
        <v>0</v>
      </c>
      <c r="OJ10" s="34">
        <f t="shared" ca="1" si="84"/>
        <v>0</v>
      </c>
      <c r="OK10" s="34">
        <f t="shared" ca="1" si="84"/>
        <v>0</v>
      </c>
      <c r="OL10" s="34">
        <f t="shared" ca="1" si="84"/>
        <v>0</v>
      </c>
      <c r="OM10" s="34">
        <f t="shared" ca="1" si="84"/>
        <v>0</v>
      </c>
      <c r="ON10" s="34">
        <f t="shared" ca="1" si="84"/>
        <v>0</v>
      </c>
      <c r="OO10" s="34">
        <f t="shared" ca="1" si="84"/>
        <v>0</v>
      </c>
      <c r="OP10" s="34">
        <f t="shared" ca="1" si="84"/>
        <v>0</v>
      </c>
      <c r="OQ10" s="34">
        <f t="shared" ca="1" si="85"/>
        <v>0</v>
      </c>
      <c r="OR10" s="34">
        <f t="shared" ca="1" si="85"/>
        <v>0</v>
      </c>
      <c r="OS10" s="34">
        <f t="shared" ca="1" si="85"/>
        <v>0</v>
      </c>
      <c r="OT10" s="34">
        <f t="shared" ca="1" si="85"/>
        <v>0</v>
      </c>
      <c r="OU10" s="34">
        <f t="shared" ca="1" si="85"/>
        <v>0</v>
      </c>
      <c r="OV10" s="34">
        <f t="shared" ca="1" si="85"/>
        <v>0</v>
      </c>
      <c r="OW10" s="34">
        <f t="shared" ca="1" si="85"/>
        <v>0</v>
      </c>
      <c r="OX10" s="34">
        <f t="shared" ca="1" si="85"/>
        <v>0</v>
      </c>
      <c r="OY10" s="34">
        <f t="shared" ca="1" si="85"/>
        <v>0</v>
      </c>
      <c r="OZ10" s="34">
        <f t="shared" ca="1" si="85"/>
        <v>0</v>
      </c>
      <c r="PA10" s="34">
        <f t="shared" ca="1" si="86"/>
        <v>0</v>
      </c>
      <c r="PB10" s="34">
        <f t="shared" ca="1" si="86"/>
        <v>0</v>
      </c>
      <c r="PC10" s="34">
        <f t="shared" ca="1" si="86"/>
        <v>0</v>
      </c>
      <c r="PD10" s="34">
        <f t="shared" ca="1" si="86"/>
        <v>0</v>
      </c>
      <c r="PE10" s="34">
        <f t="shared" ca="1" si="86"/>
        <v>0</v>
      </c>
      <c r="PF10" s="34">
        <f t="shared" ca="1" si="86"/>
        <v>0</v>
      </c>
      <c r="PG10" s="34">
        <f t="shared" ca="1" si="86"/>
        <v>0</v>
      </c>
      <c r="PH10" s="34">
        <f t="shared" ca="1" si="86"/>
        <v>0</v>
      </c>
      <c r="PI10" s="34">
        <f t="shared" ca="1" si="86"/>
        <v>0</v>
      </c>
      <c r="PJ10" s="34">
        <f t="shared" ca="1" si="86"/>
        <v>0</v>
      </c>
      <c r="PK10" s="34">
        <f t="shared" ca="1" si="87"/>
        <v>0</v>
      </c>
      <c r="PL10" s="34">
        <f t="shared" ca="1" si="87"/>
        <v>0</v>
      </c>
      <c r="PM10" s="34">
        <f t="shared" ca="1" si="87"/>
        <v>0</v>
      </c>
      <c r="PN10" s="34">
        <f t="shared" ca="1" si="87"/>
        <v>0</v>
      </c>
      <c r="PO10" s="34">
        <f t="shared" ca="1" si="87"/>
        <v>0</v>
      </c>
      <c r="PP10" s="34">
        <f t="shared" ca="1" si="87"/>
        <v>0</v>
      </c>
      <c r="PQ10" s="34">
        <f t="shared" ca="1" si="87"/>
        <v>0</v>
      </c>
      <c r="PR10" s="34">
        <f t="shared" ca="1" si="87"/>
        <v>0</v>
      </c>
      <c r="PS10" s="34">
        <f t="shared" ca="1" si="87"/>
        <v>0</v>
      </c>
      <c r="PT10" s="34">
        <f t="shared" ca="1" si="87"/>
        <v>0</v>
      </c>
      <c r="PU10" s="34">
        <f t="shared" ca="1" si="88"/>
        <v>0</v>
      </c>
      <c r="PV10" s="34">
        <f t="shared" ca="1" si="88"/>
        <v>0</v>
      </c>
      <c r="PW10" s="34">
        <f t="shared" ca="1" si="88"/>
        <v>0</v>
      </c>
      <c r="PX10" s="34">
        <f t="shared" ca="1" si="88"/>
        <v>0</v>
      </c>
      <c r="PY10" s="34">
        <f t="shared" ca="1" si="88"/>
        <v>0</v>
      </c>
      <c r="PZ10" s="34">
        <f t="shared" ca="1" si="88"/>
        <v>0</v>
      </c>
      <c r="QA10" s="34">
        <f t="shared" ca="1" si="88"/>
        <v>0</v>
      </c>
      <c r="QB10" s="34">
        <f t="shared" ca="1" si="88"/>
        <v>0</v>
      </c>
      <c r="QC10" s="34">
        <f t="shared" ca="1" si="88"/>
        <v>0</v>
      </c>
      <c r="QD10" s="34">
        <f t="shared" ca="1" si="88"/>
        <v>0</v>
      </c>
      <c r="QE10" s="34">
        <f t="shared" ca="1" si="89"/>
        <v>0</v>
      </c>
      <c r="QF10" s="34">
        <f t="shared" ca="1" si="89"/>
        <v>0</v>
      </c>
      <c r="QG10" s="34">
        <f t="shared" ca="1" si="89"/>
        <v>0</v>
      </c>
      <c r="QH10" s="34">
        <f t="shared" ca="1" si="89"/>
        <v>0</v>
      </c>
      <c r="QI10" s="34">
        <f t="shared" ca="1" si="89"/>
        <v>0</v>
      </c>
      <c r="QJ10" s="34">
        <f t="shared" ca="1" si="89"/>
        <v>0</v>
      </c>
      <c r="QK10" s="34">
        <f t="shared" ca="1" si="89"/>
        <v>0</v>
      </c>
      <c r="QL10" s="34">
        <f t="shared" ca="1" si="89"/>
        <v>0</v>
      </c>
      <c r="QM10" s="34">
        <f t="shared" ca="1" si="89"/>
        <v>0</v>
      </c>
      <c r="QN10" s="34">
        <f t="shared" ca="1" si="89"/>
        <v>0</v>
      </c>
      <c r="QO10" s="34">
        <f t="shared" ca="1" si="90"/>
        <v>0</v>
      </c>
      <c r="QP10" s="34">
        <f t="shared" ca="1" si="90"/>
        <v>0</v>
      </c>
      <c r="QQ10" s="34">
        <f t="shared" ca="1" si="90"/>
        <v>0</v>
      </c>
      <c r="QR10" s="34">
        <f t="shared" ca="1" si="90"/>
        <v>0</v>
      </c>
      <c r="QS10" s="34">
        <f t="shared" ca="1" si="90"/>
        <v>0</v>
      </c>
      <c r="QT10" s="34">
        <f t="shared" ca="1" si="90"/>
        <v>0</v>
      </c>
      <c r="QU10" s="34">
        <f t="shared" ca="1" si="90"/>
        <v>0</v>
      </c>
      <c r="QV10" s="34">
        <f t="shared" ca="1" si="90"/>
        <v>0</v>
      </c>
      <c r="QW10" s="34">
        <f t="shared" ca="1" si="90"/>
        <v>0</v>
      </c>
      <c r="QX10" s="34">
        <f t="shared" ca="1" si="90"/>
        <v>0</v>
      </c>
      <c r="QY10" s="34">
        <f t="shared" ca="1" si="91"/>
        <v>0</v>
      </c>
      <c r="QZ10" s="34">
        <f t="shared" ca="1" si="91"/>
        <v>0</v>
      </c>
      <c r="RA10" s="34">
        <f t="shared" ca="1" si="91"/>
        <v>0</v>
      </c>
      <c r="RB10" s="34">
        <f t="shared" ca="1" si="91"/>
        <v>0</v>
      </c>
      <c r="RC10" s="34">
        <f t="shared" ca="1" si="91"/>
        <v>0</v>
      </c>
      <c r="RD10" s="34">
        <f t="shared" ca="1" si="91"/>
        <v>0</v>
      </c>
      <c r="RE10" s="34">
        <f t="shared" ca="1" si="91"/>
        <v>0</v>
      </c>
      <c r="RF10" s="34">
        <f t="shared" ca="1" si="91"/>
        <v>0</v>
      </c>
      <c r="RG10" s="34">
        <f t="shared" ca="1" si="91"/>
        <v>0</v>
      </c>
      <c r="RH10" s="34">
        <f t="shared" ca="1" si="91"/>
        <v>0</v>
      </c>
      <c r="RI10" s="34">
        <f t="shared" ca="1" si="92"/>
        <v>0</v>
      </c>
      <c r="RJ10" s="34">
        <f t="shared" ca="1" si="92"/>
        <v>0</v>
      </c>
      <c r="RK10" s="34">
        <f t="shared" ca="1" si="92"/>
        <v>0</v>
      </c>
      <c r="RL10" s="34">
        <f t="shared" ca="1" si="92"/>
        <v>0</v>
      </c>
      <c r="RM10" s="34">
        <f t="shared" ca="1" si="92"/>
        <v>0</v>
      </c>
      <c r="RN10" s="34">
        <f t="shared" ca="1" si="92"/>
        <v>0</v>
      </c>
      <c r="RO10" s="34">
        <f t="shared" ca="1" si="92"/>
        <v>0</v>
      </c>
      <c r="RP10" s="34">
        <f t="shared" ca="1" si="92"/>
        <v>0</v>
      </c>
      <c r="RQ10" s="34">
        <f t="shared" ca="1" si="92"/>
        <v>0</v>
      </c>
      <c r="RR10" s="34">
        <f t="shared" ca="1" si="92"/>
        <v>0</v>
      </c>
      <c r="RS10" s="34">
        <f t="shared" ca="1" si="93"/>
        <v>0</v>
      </c>
      <c r="RT10" s="34">
        <f t="shared" ca="1" si="93"/>
        <v>0</v>
      </c>
      <c r="RU10" s="34">
        <f t="shared" ca="1" si="93"/>
        <v>0</v>
      </c>
      <c r="RV10" s="34">
        <f t="shared" ca="1" si="93"/>
        <v>0</v>
      </c>
      <c r="RW10" s="34">
        <f t="shared" ca="1" si="93"/>
        <v>0</v>
      </c>
      <c r="RX10" s="34">
        <f t="shared" ca="1" si="93"/>
        <v>0</v>
      </c>
      <c r="RY10" s="34">
        <f t="shared" ca="1" si="93"/>
        <v>0</v>
      </c>
      <c r="RZ10" s="34">
        <f t="shared" ca="1" si="93"/>
        <v>0</v>
      </c>
      <c r="SA10" s="34">
        <f t="shared" ca="1" si="93"/>
        <v>0</v>
      </c>
      <c r="SB10" s="34">
        <f t="shared" ca="1" si="93"/>
        <v>0</v>
      </c>
      <c r="SC10" s="34">
        <f t="shared" ca="1" si="94"/>
        <v>0</v>
      </c>
      <c r="SD10" s="34">
        <f t="shared" ca="1" si="94"/>
        <v>0</v>
      </c>
      <c r="SE10" s="34">
        <f t="shared" ca="1" si="94"/>
        <v>0</v>
      </c>
      <c r="SF10" s="34">
        <f t="shared" ca="1" si="94"/>
        <v>0</v>
      </c>
      <c r="SG10" s="34">
        <f t="shared" ca="1" si="94"/>
        <v>0</v>
      </c>
      <c r="SH10" s="34">
        <f t="shared" ca="1" si="94"/>
        <v>0</v>
      </c>
      <c r="SI10" s="34">
        <f t="shared" ca="1" si="94"/>
        <v>0</v>
      </c>
      <c r="SJ10" s="34">
        <f t="shared" ca="1" si="94"/>
        <v>0</v>
      </c>
      <c r="SK10" s="34">
        <f t="shared" ca="1" si="94"/>
        <v>0</v>
      </c>
      <c r="SL10" s="34">
        <f t="shared" ca="1" si="94"/>
        <v>0</v>
      </c>
      <c r="SM10" s="34">
        <f t="shared" ca="1" si="95"/>
        <v>0</v>
      </c>
      <c r="SN10" s="34">
        <f t="shared" ca="1" si="95"/>
        <v>0</v>
      </c>
      <c r="SO10" s="34">
        <f t="shared" ca="1" si="95"/>
        <v>0</v>
      </c>
      <c r="SP10" s="34">
        <f t="shared" ca="1" si="95"/>
        <v>0</v>
      </c>
      <c r="SQ10" s="34">
        <f t="shared" ca="1" si="95"/>
        <v>0</v>
      </c>
      <c r="SR10" s="34">
        <f t="shared" ca="1" si="95"/>
        <v>0</v>
      </c>
      <c r="SS10" s="34">
        <f t="shared" ca="1" si="95"/>
        <v>0</v>
      </c>
      <c r="ST10" s="34">
        <f t="shared" ca="1" si="95"/>
        <v>0</v>
      </c>
      <c r="SU10" s="34">
        <f t="shared" ca="1" si="95"/>
        <v>0</v>
      </c>
      <c r="SV10" s="34">
        <f t="shared" ca="1" si="95"/>
        <v>0</v>
      </c>
      <c r="SW10" s="34">
        <f t="shared" ca="1" si="96"/>
        <v>0</v>
      </c>
      <c r="SX10" s="34">
        <f t="shared" ca="1" si="96"/>
        <v>0</v>
      </c>
      <c r="SY10" s="34">
        <f t="shared" ca="1" si="96"/>
        <v>0</v>
      </c>
      <c r="SZ10" s="34">
        <f t="shared" ca="1" si="96"/>
        <v>0</v>
      </c>
      <c r="TA10" s="34">
        <f t="shared" ca="1" si="96"/>
        <v>0</v>
      </c>
      <c r="TB10" s="34">
        <f t="shared" ca="1" si="96"/>
        <v>0</v>
      </c>
      <c r="TC10" s="34">
        <f t="shared" ca="1" si="96"/>
        <v>0</v>
      </c>
      <c r="TD10" s="34">
        <f t="shared" ca="1" si="96"/>
        <v>0</v>
      </c>
      <c r="TE10" s="34">
        <f t="shared" ca="1" si="96"/>
        <v>0</v>
      </c>
      <c r="TF10" s="34">
        <f t="shared" ca="1" si="96"/>
        <v>0</v>
      </c>
      <c r="TG10" s="34">
        <f t="shared" ca="1" si="97"/>
        <v>0</v>
      </c>
      <c r="TH10" s="34">
        <f t="shared" ca="1" si="97"/>
        <v>0</v>
      </c>
      <c r="TI10" s="34">
        <f t="shared" ca="1" si="97"/>
        <v>0</v>
      </c>
      <c r="TJ10" s="34">
        <f t="shared" ca="1" si="97"/>
        <v>0</v>
      </c>
      <c r="TK10" s="34">
        <f t="shared" ca="1" si="97"/>
        <v>0</v>
      </c>
      <c r="TL10" s="34">
        <f t="shared" ca="1" si="97"/>
        <v>0</v>
      </c>
      <c r="TM10" s="34">
        <f t="shared" ca="1" si="97"/>
        <v>0</v>
      </c>
      <c r="TN10" s="34">
        <f t="shared" ca="1" si="97"/>
        <v>0</v>
      </c>
      <c r="TO10" s="34">
        <f t="shared" ca="1" si="97"/>
        <v>0</v>
      </c>
      <c r="TP10" s="34">
        <f t="shared" ca="1" si="97"/>
        <v>0</v>
      </c>
      <c r="TQ10" s="34">
        <f t="shared" ca="1" si="98"/>
        <v>0</v>
      </c>
      <c r="TR10" s="34">
        <f t="shared" ca="1" si="98"/>
        <v>0</v>
      </c>
      <c r="TS10" s="34">
        <f t="shared" ca="1" si="98"/>
        <v>0</v>
      </c>
      <c r="TT10" s="34">
        <f t="shared" ca="1" si="98"/>
        <v>0</v>
      </c>
      <c r="TU10" s="34">
        <f t="shared" ca="1" si="98"/>
        <v>0</v>
      </c>
      <c r="TV10" s="34">
        <f t="shared" ca="1" si="98"/>
        <v>0</v>
      </c>
      <c r="TW10" s="34">
        <f t="shared" ca="1" si="98"/>
        <v>0</v>
      </c>
      <c r="TX10" s="34">
        <f t="shared" ca="1" si="98"/>
        <v>0</v>
      </c>
      <c r="TY10" s="34">
        <f t="shared" ca="1" si="98"/>
        <v>0</v>
      </c>
      <c r="TZ10" s="34">
        <f t="shared" ca="1" si="98"/>
        <v>0</v>
      </c>
      <c r="UA10" s="34">
        <f t="shared" ca="1" si="99"/>
        <v>0</v>
      </c>
      <c r="UB10" s="34">
        <f t="shared" ca="1" si="99"/>
        <v>0</v>
      </c>
      <c r="UC10" s="34">
        <f t="shared" ca="1" si="99"/>
        <v>0</v>
      </c>
      <c r="UD10" s="34">
        <f t="shared" ca="1" si="99"/>
        <v>0</v>
      </c>
      <c r="UE10" s="34">
        <f t="shared" ca="1" si="99"/>
        <v>0</v>
      </c>
      <c r="UF10" s="34">
        <f t="shared" ca="1" si="99"/>
        <v>0</v>
      </c>
      <c r="UG10" s="34">
        <f t="shared" ca="1" si="99"/>
        <v>0</v>
      </c>
      <c r="UH10" s="34">
        <f t="shared" ca="1" si="99"/>
        <v>0</v>
      </c>
      <c r="UI10" s="34">
        <f t="shared" ca="1" si="99"/>
        <v>0</v>
      </c>
      <c r="UJ10" s="34">
        <f t="shared" ca="1" si="99"/>
        <v>0</v>
      </c>
      <c r="UK10" s="34">
        <f t="shared" ca="1" si="100"/>
        <v>0</v>
      </c>
      <c r="UL10" s="34">
        <f t="shared" ca="1" si="100"/>
        <v>0</v>
      </c>
      <c r="UM10" s="34">
        <f t="shared" ca="1" si="100"/>
        <v>0</v>
      </c>
      <c r="UN10" s="34">
        <f t="shared" ca="1" si="100"/>
        <v>0</v>
      </c>
      <c r="UO10" s="34">
        <f t="shared" ca="1" si="100"/>
        <v>0</v>
      </c>
      <c r="UP10" s="34">
        <f t="shared" ca="1" si="100"/>
        <v>0</v>
      </c>
      <c r="UQ10" s="34">
        <f t="shared" ca="1" si="100"/>
        <v>0</v>
      </c>
      <c r="UR10" s="34">
        <f t="shared" ca="1" si="100"/>
        <v>0</v>
      </c>
      <c r="US10" s="34">
        <f t="shared" ca="1" si="100"/>
        <v>0</v>
      </c>
      <c r="UT10" s="34">
        <f t="shared" ca="1" si="100"/>
        <v>0</v>
      </c>
      <c r="UU10" s="34">
        <f t="shared" ca="1" si="101"/>
        <v>0</v>
      </c>
      <c r="UV10" s="34">
        <f t="shared" ca="1" si="101"/>
        <v>0</v>
      </c>
      <c r="UW10" s="34">
        <f t="shared" ca="1" si="101"/>
        <v>0</v>
      </c>
      <c r="UX10" s="34">
        <f t="shared" ca="1" si="101"/>
        <v>0</v>
      </c>
      <c r="UY10" s="34">
        <f t="shared" ca="1" si="101"/>
        <v>0</v>
      </c>
      <c r="UZ10" s="34">
        <f t="shared" ca="1" si="101"/>
        <v>0</v>
      </c>
      <c r="VA10" s="34">
        <f t="shared" ca="1" si="101"/>
        <v>0</v>
      </c>
      <c r="VB10" s="34">
        <f t="shared" ca="1" si="101"/>
        <v>0</v>
      </c>
      <c r="VC10" s="34">
        <f t="shared" ca="1" si="101"/>
        <v>0</v>
      </c>
      <c r="VD10" s="34">
        <f t="shared" ca="1" si="101"/>
        <v>0</v>
      </c>
      <c r="VE10" s="34">
        <f t="shared" ca="1" si="102"/>
        <v>0</v>
      </c>
      <c r="VF10" s="34">
        <f t="shared" ca="1" si="102"/>
        <v>0</v>
      </c>
      <c r="VG10" s="34">
        <f t="shared" ca="1" si="102"/>
        <v>0</v>
      </c>
      <c r="VH10" s="34">
        <f t="shared" ca="1" si="102"/>
        <v>0</v>
      </c>
      <c r="VI10" s="34">
        <f t="shared" ca="1" si="102"/>
        <v>0</v>
      </c>
      <c r="VJ10" s="34">
        <f t="shared" ca="1" si="102"/>
        <v>0</v>
      </c>
      <c r="VK10" s="34">
        <f t="shared" ca="1" si="102"/>
        <v>0</v>
      </c>
      <c r="VL10" s="34">
        <f t="shared" ca="1" si="102"/>
        <v>0</v>
      </c>
      <c r="VM10" s="34">
        <f t="shared" ca="1" si="102"/>
        <v>0</v>
      </c>
      <c r="VN10" s="34">
        <f t="shared" ca="1" si="102"/>
        <v>0</v>
      </c>
      <c r="VO10" s="34">
        <f t="shared" ca="1" si="103"/>
        <v>0</v>
      </c>
      <c r="VP10" s="34">
        <f t="shared" ca="1" si="103"/>
        <v>0</v>
      </c>
      <c r="VQ10" s="34">
        <f t="shared" ca="1" si="103"/>
        <v>0</v>
      </c>
      <c r="VR10" s="34">
        <f t="shared" ca="1" si="103"/>
        <v>0</v>
      </c>
      <c r="VS10" s="34">
        <f t="shared" ca="1" si="103"/>
        <v>0</v>
      </c>
      <c r="VT10" s="34">
        <f t="shared" ca="1" si="103"/>
        <v>0</v>
      </c>
      <c r="VU10" s="34">
        <f t="shared" ca="1" si="103"/>
        <v>0</v>
      </c>
      <c r="VV10" s="34">
        <f t="shared" ca="1" si="103"/>
        <v>0</v>
      </c>
      <c r="VW10" s="34">
        <f t="shared" ca="1" si="103"/>
        <v>0</v>
      </c>
      <c r="VX10" s="34">
        <f t="shared" ca="1" si="103"/>
        <v>0</v>
      </c>
      <c r="VY10" s="34">
        <f t="shared" ca="1" si="104"/>
        <v>0</v>
      </c>
      <c r="VZ10" s="34">
        <f t="shared" ca="1" si="104"/>
        <v>0</v>
      </c>
      <c r="WA10" s="34">
        <f t="shared" ca="1" si="104"/>
        <v>0</v>
      </c>
      <c r="WB10" s="34">
        <f t="shared" ca="1" si="104"/>
        <v>0</v>
      </c>
      <c r="WC10" s="34">
        <f t="shared" ca="1" si="104"/>
        <v>0</v>
      </c>
      <c r="WD10" s="34">
        <f t="shared" ca="1" si="104"/>
        <v>0</v>
      </c>
      <c r="WE10" s="34">
        <f t="shared" ca="1" si="104"/>
        <v>0</v>
      </c>
      <c r="WF10" s="34">
        <f t="shared" ca="1" si="104"/>
        <v>0</v>
      </c>
      <c r="WG10" s="34">
        <f t="shared" ca="1" si="104"/>
        <v>0</v>
      </c>
      <c r="WH10" s="34">
        <f t="shared" ca="1" si="104"/>
        <v>0</v>
      </c>
      <c r="WI10" s="34">
        <f t="shared" ca="1" si="105"/>
        <v>0</v>
      </c>
      <c r="WJ10" s="34">
        <f t="shared" ca="1" si="105"/>
        <v>0</v>
      </c>
      <c r="WK10" s="34">
        <f t="shared" ca="1" si="105"/>
        <v>0</v>
      </c>
      <c r="WL10" s="34">
        <f t="shared" ca="1" si="105"/>
        <v>0</v>
      </c>
      <c r="WM10" s="34">
        <f t="shared" ca="1" si="105"/>
        <v>0</v>
      </c>
      <c r="WN10" s="34">
        <f t="shared" ca="1" si="105"/>
        <v>0</v>
      </c>
      <c r="WO10" s="34">
        <f t="shared" ca="1" si="105"/>
        <v>0</v>
      </c>
      <c r="WP10" s="34">
        <f t="shared" ca="1" si="105"/>
        <v>0</v>
      </c>
      <c r="WQ10" s="34">
        <f t="shared" ca="1" si="105"/>
        <v>0</v>
      </c>
      <c r="WR10" s="34">
        <f t="shared" ca="1" si="105"/>
        <v>0</v>
      </c>
      <c r="WS10" s="34">
        <f t="shared" ca="1" si="106"/>
        <v>0</v>
      </c>
      <c r="WT10" s="34">
        <f t="shared" ca="1" si="106"/>
        <v>0</v>
      </c>
      <c r="WU10" s="34">
        <f t="shared" ca="1" si="106"/>
        <v>0</v>
      </c>
      <c r="WV10" s="34">
        <f t="shared" ca="1" si="106"/>
        <v>0</v>
      </c>
      <c r="WW10" s="34">
        <f t="shared" ca="1" si="106"/>
        <v>0</v>
      </c>
      <c r="WX10" s="34">
        <f t="shared" ca="1" si="106"/>
        <v>0</v>
      </c>
      <c r="WY10" s="34">
        <f t="shared" ca="1" si="106"/>
        <v>0</v>
      </c>
      <c r="WZ10" s="34">
        <f t="shared" ca="1" si="106"/>
        <v>0</v>
      </c>
      <c r="XA10" s="34">
        <f t="shared" ca="1" si="106"/>
        <v>0</v>
      </c>
      <c r="XB10" s="34">
        <f t="shared" ca="1" si="106"/>
        <v>0</v>
      </c>
      <c r="XC10" s="34">
        <f t="shared" ca="1" si="107"/>
        <v>0</v>
      </c>
      <c r="XD10" s="34">
        <f t="shared" ca="1" si="107"/>
        <v>0</v>
      </c>
      <c r="XE10" s="34">
        <f t="shared" ca="1" si="107"/>
        <v>0</v>
      </c>
      <c r="XF10" s="34">
        <f t="shared" ca="1" si="107"/>
        <v>0</v>
      </c>
      <c r="XG10" s="34">
        <f t="shared" ca="1" si="107"/>
        <v>0</v>
      </c>
      <c r="XH10" s="34">
        <f t="shared" ca="1" si="107"/>
        <v>0</v>
      </c>
      <c r="XI10" s="34">
        <f t="shared" ca="1" si="107"/>
        <v>0</v>
      </c>
      <c r="XJ10" s="34">
        <f t="shared" ca="1" si="107"/>
        <v>0</v>
      </c>
      <c r="XK10" s="34">
        <f t="shared" ca="1" si="107"/>
        <v>0</v>
      </c>
      <c r="XL10" s="34">
        <f t="shared" ca="1" si="107"/>
        <v>0</v>
      </c>
      <c r="XM10" s="34">
        <f t="shared" ca="1" si="108"/>
        <v>0</v>
      </c>
      <c r="XN10" s="34">
        <f t="shared" ca="1" si="108"/>
        <v>0</v>
      </c>
      <c r="XO10" s="34">
        <f t="shared" ca="1" si="108"/>
        <v>0</v>
      </c>
      <c r="XP10" s="34">
        <f t="shared" ca="1" si="108"/>
        <v>0</v>
      </c>
      <c r="XQ10" s="34">
        <f t="shared" ca="1" si="108"/>
        <v>0</v>
      </c>
      <c r="XR10" s="34">
        <f t="shared" ca="1" si="108"/>
        <v>0</v>
      </c>
      <c r="XS10" s="34">
        <f t="shared" ca="1" si="108"/>
        <v>0</v>
      </c>
      <c r="XT10" s="34">
        <f t="shared" ca="1" si="108"/>
        <v>0</v>
      </c>
      <c r="XU10" s="34">
        <f t="shared" ca="1" si="108"/>
        <v>0</v>
      </c>
      <c r="XV10" s="34">
        <f t="shared" ca="1" si="108"/>
        <v>0</v>
      </c>
      <c r="XW10" s="34">
        <f t="shared" ca="1" si="109"/>
        <v>0</v>
      </c>
      <c r="XX10" s="34">
        <f t="shared" ca="1" si="109"/>
        <v>0</v>
      </c>
      <c r="XY10" s="34">
        <f t="shared" ca="1" si="109"/>
        <v>0</v>
      </c>
      <c r="XZ10" s="34">
        <f t="shared" ca="1" si="109"/>
        <v>0</v>
      </c>
      <c r="YA10" s="34">
        <f t="shared" ca="1" si="109"/>
        <v>0</v>
      </c>
      <c r="YB10" s="34">
        <f t="shared" ca="1" si="109"/>
        <v>0</v>
      </c>
      <c r="YC10" s="34">
        <f t="shared" ca="1" si="109"/>
        <v>0</v>
      </c>
      <c r="YD10" s="34">
        <f t="shared" ca="1" si="109"/>
        <v>0</v>
      </c>
      <c r="YE10" s="34">
        <f t="shared" ca="1" si="109"/>
        <v>0</v>
      </c>
      <c r="YF10" s="34">
        <f t="shared" ca="1" si="109"/>
        <v>0</v>
      </c>
      <c r="YG10" s="34">
        <f t="shared" ca="1" si="110"/>
        <v>0</v>
      </c>
      <c r="YH10" s="34">
        <f t="shared" ca="1" si="110"/>
        <v>0</v>
      </c>
      <c r="YI10" s="34">
        <f t="shared" ca="1" si="110"/>
        <v>0</v>
      </c>
      <c r="YJ10" s="34">
        <f t="shared" ca="1" si="110"/>
        <v>0</v>
      </c>
      <c r="YK10" s="34">
        <f t="shared" ca="1" si="110"/>
        <v>0</v>
      </c>
      <c r="YL10" s="34">
        <f t="shared" ca="1" si="110"/>
        <v>0</v>
      </c>
      <c r="YM10" s="34">
        <f t="shared" ca="1" si="110"/>
        <v>0</v>
      </c>
      <c r="YN10" s="34">
        <f t="shared" ca="1" si="110"/>
        <v>0</v>
      </c>
      <c r="YO10" s="34">
        <f t="shared" ca="1" si="110"/>
        <v>0</v>
      </c>
      <c r="YP10" s="34">
        <f t="shared" ca="1" si="110"/>
        <v>0</v>
      </c>
      <c r="YQ10" s="34">
        <f t="shared" ca="1" si="111"/>
        <v>0</v>
      </c>
      <c r="YR10" s="34">
        <f t="shared" ca="1" si="111"/>
        <v>0</v>
      </c>
      <c r="YS10" s="34">
        <f t="shared" ca="1" si="111"/>
        <v>0</v>
      </c>
      <c r="YT10" s="34">
        <f t="shared" ca="1" si="111"/>
        <v>0</v>
      </c>
      <c r="YU10" s="34">
        <f t="shared" ca="1" si="111"/>
        <v>0</v>
      </c>
      <c r="YV10" s="34">
        <f t="shared" ca="1" si="111"/>
        <v>0</v>
      </c>
      <c r="YW10" s="34">
        <f t="shared" ca="1" si="111"/>
        <v>0</v>
      </c>
      <c r="YX10" s="34">
        <f t="shared" ca="1" si="111"/>
        <v>0</v>
      </c>
      <c r="YY10" s="34">
        <f t="shared" ca="1" si="111"/>
        <v>0</v>
      </c>
      <c r="YZ10" s="34">
        <f t="shared" ca="1" si="111"/>
        <v>0</v>
      </c>
      <c r="ZA10" s="34">
        <f t="shared" ca="1" si="112"/>
        <v>0</v>
      </c>
      <c r="ZB10" s="34">
        <f t="shared" ca="1" si="112"/>
        <v>0</v>
      </c>
      <c r="ZC10" s="34">
        <f t="shared" ca="1" si="112"/>
        <v>0</v>
      </c>
      <c r="ZD10" s="34">
        <f t="shared" ca="1" si="112"/>
        <v>0</v>
      </c>
      <c r="ZE10" s="34">
        <f t="shared" ca="1" si="112"/>
        <v>0</v>
      </c>
      <c r="ZF10" s="34">
        <f t="shared" ca="1" si="112"/>
        <v>0</v>
      </c>
      <c r="ZG10" s="34">
        <f t="shared" ca="1" si="112"/>
        <v>0</v>
      </c>
      <c r="ZH10" s="34">
        <f t="shared" ca="1" si="112"/>
        <v>0</v>
      </c>
      <c r="ZI10" s="34">
        <f t="shared" ca="1" si="112"/>
        <v>0</v>
      </c>
      <c r="ZJ10" s="34">
        <f t="shared" ca="1" si="112"/>
        <v>0</v>
      </c>
      <c r="ZK10" s="34">
        <f t="shared" ca="1" si="113"/>
        <v>0</v>
      </c>
      <c r="ZL10" s="34">
        <f t="shared" ca="1" si="113"/>
        <v>0</v>
      </c>
      <c r="ZM10" s="34">
        <f t="shared" ca="1" si="113"/>
        <v>0</v>
      </c>
      <c r="ZN10" s="34">
        <f t="shared" ca="1" si="113"/>
        <v>0</v>
      </c>
      <c r="ZO10" s="34">
        <f t="shared" ca="1" si="113"/>
        <v>0</v>
      </c>
      <c r="ZP10" s="34">
        <f t="shared" ca="1" si="113"/>
        <v>0</v>
      </c>
      <c r="ZQ10" s="34">
        <f t="shared" ca="1" si="113"/>
        <v>0</v>
      </c>
      <c r="ZR10" s="34">
        <f t="shared" ca="1" si="113"/>
        <v>0</v>
      </c>
      <c r="ZS10" s="34">
        <f t="shared" ca="1" si="113"/>
        <v>0</v>
      </c>
      <c r="ZT10" s="34">
        <f t="shared" ca="1" si="113"/>
        <v>0</v>
      </c>
      <c r="ZU10" s="34">
        <f t="shared" ca="1" si="114"/>
        <v>0</v>
      </c>
      <c r="ZV10" s="34">
        <f t="shared" ca="1" si="114"/>
        <v>0</v>
      </c>
      <c r="ZW10" s="34">
        <f t="shared" ca="1" si="114"/>
        <v>0</v>
      </c>
      <c r="ZX10" s="34">
        <f t="shared" ca="1" si="114"/>
        <v>0</v>
      </c>
      <c r="ZY10" s="34">
        <f t="shared" ca="1" si="114"/>
        <v>0</v>
      </c>
      <c r="ZZ10" s="34">
        <f t="shared" ca="1" si="114"/>
        <v>0</v>
      </c>
      <c r="AAA10" s="34">
        <f t="shared" ca="1" si="114"/>
        <v>0</v>
      </c>
      <c r="AAB10" s="34">
        <f t="shared" ca="1" si="114"/>
        <v>0</v>
      </c>
      <c r="AAC10" s="34">
        <f t="shared" ca="1" si="114"/>
        <v>0</v>
      </c>
      <c r="AAD10" s="34">
        <f t="shared" ca="1" si="114"/>
        <v>0</v>
      </c>
      <c r="AAE10" s="34">
        <f t="shared" ca="1" si="115"/>
        <v>0</v>
      </c>
      <c r="AAF10" s="34">
        <f t="shared" ca="1" si="115"/>
        <v>0</v>
      </c>
      <c r="AAG10" s="34">
        <f t="shared" ca="1" si="115"/>
        <v>0</v>
      </c>
      <c r="AAH10" s="34">
        <f t="shared" ca="1" si="115"/>
        <v>0</v>
      </c>
      <c r="AAI10" s="34">
        <f t="shared" ca="1" si="115"/>
        <v>0</v>
      </c>
      <c r="AAJ10" s="34">
        <f t="shared" ca="1" si="115"/>
        <v>0</v>
      </c>
      <c r="AAK10" s="34">
        <f t="shared" ca="1" si="115"/>
        <v>0</v>
      </c>
      <c r="AAL10" s="34">
        <f t="shared" ca="1" si="115"/>
        <v>0</v>
      </c>
      <c r="AAM10" s="34">
        <f t="shared" ca="1" si="115"/>
        <v>0</v>
      </c>
      <c r="AAN10" s="34">
        <f t="shared" ca="1" si="115"/>
        <v>0</v>
      </c>
      <c r="AAO10" s="34">
        <f t="shared" ca="1" si="116"/>
        <v>0</v>
      </c>
      <c r="AAP10" s="34">
        <f t="shared" ca="1" si="116"/>
        <v>0</v>
      </c>
      <c r="AAQ10" s="34">
        <f t="shared" ca="1" si="116"/>
        <v>0</v>
      </c>
      <c r="AAR10" s="34">
        <f t="shared" ca="1" si="116"/>
        <v>0</v>
      </c>
      <c r="AAS10" s="34">
        <f t="shared" ca="1" si="116"/>
        <v>0</v>
      </c>
      <c r="AAT10" s="34">
        <f t="shared" ca="1" si="116"/>
        <v>0</v>
      </c>
      <c r="AAU10" s="34">
        <f t="shared" ca="1" si="116"/>
        <v>0</v>
      </c>
      <c r="AAV10" s="34">
        <f t="shared" ca="1" si="116"/>
        <v>0</v>
      </c>
      <c r="AAW10" s="34">
        <f t="shared" ca="1" si="116"/>
        <v>0</v>
      </c>
      <c r="AAX10" s="34">
        <f t="shared" ca="1" si="116"/>
        <v>0</v>
      </c>
      <c r="AAY10" s="34">
        <f t="shared" ca="1" si="117"/>
        <v>0</v>
      </c>
      <c r="AAZ10" s="34">
        <f t="shared" ca="1" si="117"/>
        <v>0</v>
      </c>
      <c r="ABA10" s="34">
        <f t="shared" ca="1" si="117"/>
        <v>0</v>
      </c>
      <c r="ABB10" s="34">
        <f t="shared" ca="1" si="117"/>
        <v>0</v>
      </c>
      <c r="ABC10" s="34">
        <f t="shared" ca="1" si="117"/>
        <v>0</v>
      </c>
      <c r="ABD10" s="34">
        <f t="shared" ca="1" si="117"/>
        <v>0</v>
      </c>
      <c r="ABE10" s="34">
        <f t="shared" ca="1" si="117"/>
        <v>0</v>
      </c>
      <c r="ABF10" s="34">
        <f t="shared" ca="1" si="117"/>
        <v>0</v>
      </c>
      <c r="ABG10" s="34">
        <f t="shared" ca="1" si="117"/>
        <v>0</v>
      </c>
      <c r="ABH10" s="34">
        <f t="shared" ca="1" si="117"/>
        <v>0</v>
      </c>
      <c r="ABI10" s="34">
        <f t="shared" ca="1" si="118"/>
        <v>0</v>
      </c>
      <c r="ABJ10" s="34">
        <f t="shared" ca="1" si="118"/>
        <v>0</v>
      </c>
      <c r="ABK10" s="34">
        <f t="shared" ca="1" si="118"/>
        <v>0</v>
      </c>
      <c r="ABL10" s="34">
        <f t="shared" ca="1" si="118"/>
        <v>0</v>
      </c>
      <c r="ABM10" s="34">
        <f t="shared" ca="1" si="118"/>
        <v>0</v>
      </c>
      <c r="ABN10" s="34">
        <f t="shared" ca="1" si="118"/>
        <v>0</v>
      </c>
      <c r="ABO10" s="34">
        <f t="shared" ca="1" si="118"/>
        <v>0</v>
      </c>
      <c r="ABP10" s="34">
        <f t="shared" ca="1" si="118"/>
        <v>0</v>
      </c>
      <c r="ABQ10" s="34">
        <f t="shared" ca="1" si="118"/>
        <v>0</v>
      </c>
      <c r="ABR10" s="34">
        <f t="shared" ca="1" si="118"/>
        <v>0</v>
      </c>
      <c r="ABS10" s="34">
        <f t="shared" ca="1" si="119"/>
        <v>0</v>
      </c>
      <c r="ABT10" s="34">
        <f t="shared" ca="1" si="119"/>
        <v>0</v>
      </c>
      <c r="ABU10" s="34">
        <f t="shared" ca="1" si="119"/>
        <v>0</v>
      </c>
      <c r="ABV10" s="34">
        <f t="shared" ca="1" si="119"/>
        <v>0</v>
      </c>
      <c r="ABW10" s="34">
        <f t="shared" ca="1" si="119"/>
        <v>0</v>
      </c>
      <c r="ABX10" s="34">
        <f t="shared" ca="1" si="119"/>
        <v>0</v>
      </c>
      <c r="ABY10" s="34">
        <f t="shared" ca="1" si="119"/>
        <v>0</v>
      </c>
      <c r="ABZ10" s="34">
        <f t="shared" ca="1" si="119"/>
        <v>0</v>
      </c>
      <c r="ACA10" s="34">
        <f t="shared" ca="1" si="119"/>
        <v>0</v>
      </c>
      <c r="ACB10" s="34">
        <f t="shared" ca="1" si="119"/>
        <v>0</v>
      </c>
      <c r="ACC10" s="34">
        <f t="shared" ca="1" si="120"/>
        <v>0</v>
      </c>
      <c r="ACD10" s="34">
        <f t="shared" ca="1" si="120"/>
        <v>0</v>
      </c>
      <c r="ACE10" s="34">
        <f t="shared" ca="1" si="120"/>
        <v>0</v>
      </c>
      <c r="ACF10" s="34">
        <f t="shared" ca="1" si="120"/>
        <v>0</v>
      </c>
      <c r="ACG10" s="34">
        <f t="shared" ca="1" si="120"/>
        <v>0</v>
      </c>
      <c r="ACH10" s="34">
        <f t="shared" ca="1" si="120"/>
        <v>0</v>
      </c>
      <c r="ACI10" s="34">
        <f t="shared" ca="1" si="120"/>
        <v>0</v>
      </c>
      <c r="ACJ10" s="34">
        <f t="shared" ca="1" si="120"/>
        <v>0</v>
      </c>
      <c r="ACK10" s="34">
        <f t="shared" ca="1" si="120"/>
        <v>0</v>
      </c>
      <c r="ACL10" s="34">
        <f t="shared" ca="1" si="120"/>
        <v>0</v>
      </c>
      <c r="ACM10" s="34">
        <f t="shared" ca="1" si="121"/>
        <v>0</v>
      </c>
      <c r="ACN10" s="34">
        <f t="shared" ca="1" si="121"/>
        <v>0</v>
      </c>
      <c r="ACO10" s="34">
        <f t="shared" ca="1" si="121"/>
        <v>0</v>
      </c>
      <c r="ACP10" s="34">
        <f t="shared" ca="1" si="121"/>
        <v>0</v>
      </c>
      <c r="ACQ10" s="34">
        <f t="shared" ca="1" si="121"/>
        <v>0</v>
      </c>
      <c r="ACR10" s="34">
        <f t="shared" ca="1" si="121"/>
        <v>0</v>
      </c>
      <c r="ACS10" s="34">
        <f t="shared" ca="1" si="121"/>
        <v>0</v>
      </c>
      <c r="ACT10" s="34">
        <f t="shared" ca="1" si="121"/>
        <v>0</v>
      </c>
      <c r="ACU10" s="34">
        <f t="shared" ca="1" si="121"/>
        <v>0</v>
      </c>
      <c r="ACV10" s="34">
        <f t="shared" ca="1" si="121"/>
        <v>0</v>
      </c>
      <c r="ACW10" s="34">
        <f t="shared" ca="1" si="122"/>
        <v>0</v>
      </c>
      <c r="ACX10" s="34">
        <f t="shared" ca="1" si="122"/>
        <v>0</v>
      </c>
      <c r="ACY10" s="34">
        <f t="shared" ca="1" si="122"/>
        <v>0</v>
      </c>
      <c r="ACZ10" s="34">
        <f t="shared" ca="1" si="122"/>
        <v>0</v>
      </c>
      <c r="ADA10" s="34">
        <f t="shared" ca="1" si="122"/>
        <v>0</v>
      </c>
      <c r="ADB10" s="34">
        <f t="shared" ca="1" si="122"/>
        <v>0</v>
      </c>
      <c r="ADC10" s="34">
        <f t="shared" ca="1" si="122"/>
        <v>0</v>
      </c>
      <c r="ADD10" s="34">
        <f t="shared" ca="1" si="122"/>
        <v>0</v>
      </c>
      <c r="ADE10" s="34">
        <f t="shared" ca="1" si="122"/>
        <v>0</v>
      </c>
      <c r="ADF10" s="34">
        <f t="shared" ca="1" si="122"/>
        <v>0</v>
      </c>
      <c r="ADG10" s="34">
        <f t="shared" ca="1" si="123"/>
        <v>0</v>
      </c>
      <c r="ADH10" s="34">
        <f t="shared" ca="1" si="123"/>
        <v>0</v>
      </c>
      <c r="ADI10" s="34">
        <f t="shared" ca="1" si="123"/>
        <v>0</v>
      </c>
      <c r="ADJ10" s="34">
        <f t="shared" ca="1" si="123"/>
        <v>0</v>
      </c>
      <c r="ADK10" s="34">
        <f t="shared" ca="1" si="123"/>
        <v>0</v>
      </c>
      <c r="ADL10" s="34">
        <f t="shared" ca="1" si="123"/>
        <v>0</v>
      </c>
      <c r="ADM10" s="34">
        <f t="shared" ca="1" si="123"/>
        <v>0</v>
      </c>
      <c r="ADN10" s="34">
        <f t="shared" ca="1" si="123"/>
        <v>0</v>
      </c>
      <c r="ADO10" s="34">
        <f t="shared" ca="1" si="123"/>
        <v>0</v>
      </c>
      <c r="ADP10" s="34">
        <f t="shared" ca="1" si="123"/>
        <v>0</v>
      </c>
      <c r="ADQ10" s="34">
        <f t="shared" ca="1" si="124"/>
        <v>0</v>
      </c>
      <c r="ADR10" s="34">
        <f t="shared" ca="1" si="124"/>
        <v>0</v>
      </c>
      <c r="ADS10" s="34">
        <f t="shared" ca="1" si="124"/>
        <v>0</v>
      </c>
      <c r="ADT10" s="34">
        <f t="shared" ca="1" si="124"/>
        <v>0</v>
      </c>
      <c r="ADU10" s="34">
        <f t="shared" ca="1" si="124"/>
        <v>0</v>
      </c>
      <c r="ADV10" s="34">
        <f t="shared" ca="1" si="124"/>
        <v>0</v>
      </c>
      <c r="ADW10" s="34">
        <f t="shared" ca="1" si="124"/>
        <v>0</v>
      </c>
      <c r="ADX10" s="34">
        <f t="shared" ca="1" si="124"/>
        <v>0</v>
      </c>
      <c r="ADY10" s="34">
        <f t="shared" ca="1" si="124"/>
        <v>0</v>
      </c>
      <c r="ADZ10" s="34">
        <f t="shared" ca="1" si="124"/>
        <v>0</v>
      </c>
      <c r="AEA10" s="34">
        <f t="shared" ca="1" si="125"/>
        <v>0</v>
      </c>
      <c r="AEB10" s="34">
        <f t="shared" ca="1" si="125"/>
        <v>0</v>
      </c>
      <c r="AEC10" s="34">
        <f t="shared" ca="1" si="125"/>
        <v>0</v>
      </c>
      <c r="AED10" s="34">
        <f t="shared" ca="1" si="125"/>
        <v>0</v>
      </c>
      <c r="AEE10" s="34">
        <f t="shared" ca="1" si="125"/>
        <v>0</v>
      </c>
      <c r="AEF10" s="34">
        <f t="shared" ca="1" si="125"/>
        <v>0</v>
      </c>
      <c r="AEG10" s="34">
        <f t="shared" ca="1" si="125"/>
        <v>0</v>
      </c>
      <c r="AEH10" s="34">
        <f t="shared" ca="1" si="125"/>
        <v>0</v>
      </c>
      <c r="AEI10" s="34">
        <f t="shared" ca="1" si="125"/>
        <v>0</v>
      </c>
      <c r="AEJ10" s="34">
        <f t="shared" ca="1" si="125"/>
        <v>0</v>
      </c>
      <c r="AEK10" s="34">
        <f t="shared" ca="1" si="126"/>
        <v>0</v>
      </c>
      <c r="AEL10" s="34">
        <f t="shared" ca="1" si="126"/>
        <v>0</v>
      </c>
      <c r="AEM10" s="34">
        <f t="shared" ca="1" si="126"/>
        <v>0</v>
      </c>
      <c r="AEN10" s="34">
        <f t="shared" ca="1" si="126"/>
        <v>0</v>
      </c>
      <c r="AEO10" s="34">
        <f t="shared" ca="1" si="126"/>
        <v>0</v>
      </c>
      <c r="AEP10" s="34">
        <f t="shared" ca="1" si="126"/>
        <v>0</v>
      </c>
      <c r="AEQ10" s="34">
        <f t="shared" ca="1" si="126"/>
        <v>0</v>
      </c>
      <c r="AER10" s="34">
        <f t="shared" ca="1" si="126"/>
        <v>0</v>
      </c>
      <c r="AES10" s="34">
        <f t="shared" ca="1" si="126"/>
        <v>0</v>
      </c>
      <c r="AET10" s="34">
        <f t="shared" ca="1" si="126"/>
        <v>0</v>
      </c>
      <c r="AEU10" s="34">
        <f t="shared" ca="1" si="127"/>
        <v>0</v>
      </c>
      <c r="AEV10" s="34">
        <f t="shared" ca="1" si="127"/>
        <v>0</v>
      </c>
      <c r="AEW10" s="34">
        <f t="shared" ca="1" si="127"/>
        <v>0</v>
      </c>
      <c r="AEX10" s="34">
        <f t="shared" ca="1" si="127"/>
        <v>0</v>
      </c>
      <c r="AEY10" s="34">
        <f t="shared" ca="1" si="127"/>
        <v>0</v>
      </c>
      <c r="AEZ10" s="34">
        <f t="shared" ca="1" si="127"/>
        <v>0</v>
      </c>
      <c r="AFA10" s="34">
        <f t="shared" ca="1" si="127"/>
        <v>0</v>
      </c>
      <c r="AFB10" s="34">
        <f t="shared" ca="1" si="127"/>
        <v>0</v>
      </c>
      <c r="AFC10" s="34">
        <f t="shared" ca="1" si="127"/>
        <v>0</v>
      </c>
      <c r="AFD10" s="34">
        <f t="shared" ca="1" si="127"/>
        <v>0</v>
      </c>
      <c r="AFE10" s="34">
        <f t="shared" ca="1" si="128"/>
        <v>0</v>
      </c>
      <c r="AFF10" s="34">
        <f t="shared" ca="1" si="128"/>
        <v>0</v>
      </c>
      <c r="AFG10" s="34">
        <f t="shared" ca="1" si="128"/>
        <v>0</v>
      </c>
      <c r="AFH10" s="34">
        <f t="shared" ca="1" si="128"/>
        <v>0</v>
      </c>
      <c r="AFI10" s="34">
        <f t="shared" ca="1" si="128"/>
        <v>0</v>
      </c>
      <c r="AFJ10" s="34">
        <f t="shared" ca="1" si="128"/>
        <v>0</v>
      </c>
      <c r="AFK10" s="34">
        <f t="shared" ca="1" si="128"/>
        <v>0</v>
      </c>
      <c r="AFL10" s="34">
        <f t="shared" ca="1" si="128"/>
        <v>0</v>
      </c>
      <c r="AFM10" s="34">
        <f t="shared" ca="1" si="128"/>
        <v>0</v>
      </c>
      <c r="AFN10" s="34">
        <f t="shared" ca="1" si="128"/>
        <v>0</v>
      </c>
      <c r="AFO10" s="34">
        <f t="shared" ca="1" si="129"/>
        <v>0</v>
      </c>
      <c r="AFP10" s="34">
        <f t="shared" ca="1" si="129"/>
        <v>0</v>
      </c>
      <c r="AFQ10" s="34">
        <f t="shared" ca="1" si="129"/>
        <v>0</v>
      </c>
      <c r="AFR10" s="34">
        <f t="shared" ca="1" si="129"/>
        <v>0</v>
      </c>
      <c r="AFS10" s="34">
        <f t="shared" ca="1" si="129"/>
        <v>0</v>
      </c>
      <c r="AFT10" s="34">
        <f t="shared" ca="1" si="129"/>
        <v>0</v>
      </c>
      <c r="AFU10" s="34">
        <f t="shared" ca="1" si="129"/>
        <v>0</v>
      </c>
      <c r="AFV10" s="34">
        <f t="shared" ca="1" si="129"/>
        <v>0</v>
      </c>
      <c r="AFW10" s="34">
        <f t="shared" ca="1" si="129"/>
        <v>0</v>
      </c>
      <c r="AFX10" s="34">
        <f t="shared" ca="1" si="129"/>
        <v>0</v>
      </c>
      <c r="AFY10" s="34">
        <f t="shared" ca="1" si="130"/>
        <v>0</v>
      </c>
      <c r="AFZ10" s="34">
        <f t="shared" ca="1" si="130"/>
        <v>0</v>
      </c>
      <c r="AGA10" s="34">
        <f t="shared" ca="1" si="130"/>
        <v>0</v>
      </c>
      <c r="AGB10" s="34">
        <f t="shared" ca="1" si="130"/>
        <v>0</v>
      </c>
      <c r="AGC10" s="34">
        <f t="shared" ca="1" si="130"/>
        <v>0</v>
      </c>
      <c r="AGD10" s="34">
        <f t="shared" ca="1" si="130"/>
        <v>0</v>
      </c>
      <c r="AGE10" s="34">
        <f t="shared" ca="1" si="130"/>
        <v>0</v>
      </c>
      <c r="AGF10" s="34">
        <f t="shared" ca="1" si="130"/>
        <v>0</v>
      </c>
      <c r="AGG10" s="34">
        <f t="shared" ca="1" si="130"/>
        <v>0</v>
      </c>
      <c r="AGH10" s="34">
        <f t="shared" ca="1" si="130"/>
        <v>0</v>
      </c>
      <c r="AGI10" s="34">
        <f t="shared" ca="1" si="131"/>
        <v>0</v>
      </c>
      <c r="AGJ10" s="34">
        <f t="shared" ca="1" si="131"/>
        <v>0</v>
      </c>
      <c r="AGK10" s="34">
        <f t="shared" ca="1" si="131"/>
        <v>0</v>
      </c>
      <c r="AGL10" s="34">
        <f t="shared" ca="1" si="131"/>
        <v>0</v>
      </c>
      <c r="AGM10" s="34">
        <f t="shared" ca="1" si="131"/>
        <v>0</v>
      </c>
      <c r="AGN10" s="34">
        <f t="shared" ca="1" si="131"/>
        <v>0</v>
      </c>
      <c r="AGO10" s="34">
        <f t="shared" ca="1" si="131"/>
        <v>0</v>
      </c>
      <c r="AGP10" s="34">
        <f t="shared" ca="1" si="131"/>
        <v>0</v>
      </c>
      <c r="AGQ10" s="34">
        <f t="shared" ca="1" si="131"/>
        <v>0</v>
      </c>
      <c r="AGR10" s="34">
        <f t="shared" ca="1" si="131"/>
        <v>0</v>
      </c>
      <c r="AGS10" s="34">
        <f t="shared" ca="1" si="132"/>
        <v>0</v>
      </c>
      <c r="AGT10" s="34">
        <f t="shared" ca="1" si="132"/>
        <v>0</v>
      </c>
      <c r="AGU10" s="34">
        <f t="shared" ca="1" si="132"/>
        <v>0</v>
      </c>
      <c r="AGV10" s="34">
        <f t="shared" ca="1" si="132"/>
        <v>0</v>
      </c>
      <c r="AGW10" s="34">
        <f t="shared" ca="1" si="132"/>
        <v>0</v>
      </c>
      <c r="AGX10" s="34">
        <f t="shared" ca="1" si="132"/>
        <v>0</v>
      </c>
      <c r="AGY10" s="34">
        <f t="shared" ca="1" si="132"/>
        <v>0</v>
      </c>
      <c r="AGZ10" s="34">
        <f t="shared" ca="1" si="132"/>
        <v>0</v>
      </c>
      <c r="AHA10" s="34">
        <f t="shared" ca="1" si="132"/>
        <v>0</v>
      </c>
      <c r="AHB10" s="34">
        <f t="shared" ca="1" si="132"/>
        <v>0</v>
      </c>
      <c r="AHC10" s="34">
        <f t="shared" ca="1" si="133"/>
        <v>0</v>
      </c>
      <c r="AHD10" s="34">
        <f t="shared" ca="1" si="133"/>
        <v>0</v>
      </c>
      <c r="AHE10" s="34">
        <f t="shared" ca="1" si="133"/>
        <v>0</v>
      </c>
      <c r="AHF10" s="34">
        <f t="shared" ca="1" si="133"/>
        <v>0</v>
      </c>
      <c r="AHG10" s="34">
        <f t="shared" ca="1" si="133"/>
        <v>0</v>
      </c>
      <c r="AHH10" s="34">
        <f t="shared" ca="1" si="133"/>
        <v>0</v>
      </c>
      <c r="AHI10" s="34">
        <f t="shared" ca="1" si="133"/>
        <v>0</v>
      </c>
      <c r="AHJ10" s="34">
        <f t="shared" ca="1" si="133"/>
        <v>0</v>
      </c>
      <c r="AHK10" s="34">
        <f t="shared" ca="1" si="133"/>
        <v>0</v>
      </c>
      <c r="AHL10" s="34">
        <f t="shared" ca="1" si="133"/>
        <v>0</v>
      </c>
      <c r="AHM10" s="34">
        <f t="shared" ca="1" si="134"/>
        <v>0</v>
      </c>
      <c r="AHN10" s="34">
        <f t="shared" ca="1" si="134"/>
        <v>0</v>
      </c>
      <c r="AHO10" s="34">
        <f t="shared" ca="1" si="134"/>
        <v>0</v>
      </c>
      <c r="AHP10" s="34">
        <f t="shared" ca="1" si="134"/>
        <v>0</v>
      </c>
      <c r="AHQ10" s="34">
        <f t="shared" ca="1" si="134"/>
        <v>0</v>
      </c>
      <c r="AHR10" s="34">
        <f t="shared" ca="1" si="134"/>
        <v>0</v>
      </c>
      <c r="AHS10" s="34">
        <f t="shared" ca="1" si="134"/>
        <v>0</v>
      </c>
      <c r="AHT10" s="34">
        <f t="shared" ca="1" si="134"/>
        <v>0</v>
      </c>
      <c r="AHU10" s="34">
        <f t="shared" ca="1" si="134"/>
        <v>0</v>
      </c>
      <c r="AHV10" s="34">
        <f t="shared" ca="1" si="134"/>
        <v>0</v>
      </c>
      <c r="AHW10" s="34">
        <f t="shared" ca="1" si="135"/>
        <v>0</v>
      </c>
      <c r="AHX10" s="34">
        <f t="shared" ca="1" si="135"/>
        <v>0</v>
      </c>
      <c r="AHY10" s="34">
        <f t="shared" ca="1" si="135"/>
        <v>0</v>
      </c>
      <c r="AHZ10" s="34">
        <f t="shared" ca="1" si="135"/>
        <v>0</v>
      </c>
      <c r="AIA10" s="34">
        <f t="shared" ca="1" si="135"/>
        <v>0</v>
      </c>
      <c r="AIB10" s="34">
        <f t="shared" ca="1" si="135"/>
        <v>0</v>
      </c>
      <c r="AIC10" s="34">
        <f t="shared" ca="1" si="135"/>
        <v>0</v>
      </c>
      <c r="AID10" s="34">
        <f t="shared" ca="1" si="135"/>
        <v>0</v>
      </c>
      <c r="AIE10" s="34">
        <f t="shared" ca="1" si="135"/>
        <v>0</v>
      </c>
      <c r="AIF10" s="34">
        <f t="shared" ca="1" si="135"/>
        <v>0</v>
      </c>
      <c r="AIG10" s="34">
        <f t="shared" ca="1" si="136"/>
        <v>0</v>
      </c>
      <c r="AIH10" s="34">
        <f t="shared" ca="1" si="136"/>
        <v>0</v>
      </c>
      <c r="AII10" s="34">
        <f t="shared" ca="1" si="136"/>
        <v>0</v>
      </c>
      <c r="AIJ10" s="34">
        <f t="shared" ca="1" si="136"/>
        <v>0</v>
      </c>
      <c r="AIK10" s="34">
        <f t="shared" ca="1" si="136"/>
        <v>0</v>
      </c>
      <c r="AIL10" s="34">
        <f t="shared" ca="1" si="136"/>
        <v>0</v>
      </c>
      <c r="AIM10" s="34">
        <f t="shared" ca="1" si="136"/>
        <v>0</v>
      </c>
      <c r="AIN10" s="34">
        <f t="shared" ca="1" si="136"/>
        <v>0</v>
      </c>
      <c r="AIO10" s="34">
        <f t="shared" ca="1" si="136"/>
        <v>0</v>
      </c>
      <c r="AIP10" s="34">
        <f t="shared" ca="1" si="136"/>
        <v>0</v>
      </c>
      <c r="AIQ10" s="34">
        <f t="shared" ca="1" si="137"/>
        <v>0</v>
      </c>
      <c r="AIR10" s="34">
        <f t="shared" ca="1" si="137"/>
        <v>0</v>
      </c>
      <c r="AIS10" s="34">
        <f t="shared" ca="1" si="137"/>
        <v>0</v>
      </c>
      <c r="AIT10" s="34">
        <f t="shared" ca="1" si="137"/>
        <v>0</v>
      </c>
      <c r="AIU10" s="34">
        <f t="shared" ca="1" si="137"/>
        <v>0</v>
      </c>
      <c r="AIV10" s="34">
        <f t="shared" ca="1" si="137"/>
        <v>0</v>
      </c>
      <c r="AIW10" s="34">
        <f t="shared" ca="1" si="137"/>
        <v>0</v>
      </c>
      <c r="AIX10" s="34">
        <f t="shared" ca="1" si="137"/>
        <v>0</v>
      </c>
      <c r="AIY10" s="34">
        <f t="shared" ca="1" si="137"/>
        <v>0</v>
      </c>
      <c r="AIZ10" s="34">
        <f t="shared" ca="1" si="137"/>
        <v>0</v>
      </c>
      <c r="AJA10" s="34">
        <f t="shared" ca="1" si="138"/>
        <v>0</v>
      </c>
      <c r="AJB10" s="34">
        <f t="shared" ca="1" si="138"/>
        <v>0</v>
      </c>
      <c r="AJC10" s="34">
        <f t="shared" ca="1" si="138"/>
        <v>0</v>
      </c>
      <c r="AJD10" s="34">
        <f t="shared" ca="1" si="138"/>
        <v>0</v>
      </c>
      <c r="AJE10" s="34">
        <f t="shared" ca="1" si="138"/>
        <v>0</v>
      </c>
      <c r="AJF10" s="34">
        <f t="shared" ca="1" si="138"/>
        <v>0</v>
      </c>
      <c r="AJG10" s="34">
        <f t="shared" ca="1" si="138"/>
        <v>0</v>
      </c>
      <c r="AJH10" s="34">
        <f t="shared" ca="1" si="138"/>
        <v>0</v>
      </c>
      <c r="AJI10" s="34">
        <f t="shared" ca="1" si="138"/>
        <v>0</v>
      </c>
      <c r="AJJ10" s="34">
        <f t="shared" ca="1" si="138"/>
        <v>0</v>
      </c>
      <c r="AJK10" s="34">
        <f t="shared" ca="1" si="139"/>
        <v>0</v>
      </c>
      <c r="AJL10" s="34">
        <f t="shared" ca="1" si="139"/>
        <v>0</v>
      </c>
      <c r="AJM10" s="34">
        <f t="shared" ca="1" si="139"/>
        <v>0</v>
      </c>
      <c r="AJN10" s="34">
        <f t="shared" ca="1" si="139"/>
        <v>0</v>
      </c>
      <c r="AJO10" s="34">
        <f t="shared" ca="1" si="139"/>
        <v>0</v>
      </c>
      <c r="AJP10" s="34">
        <f t="shared" ca="1" si="139"/>
        <v>0</v>
      </c>
      <c r="AJQ10" s="34">
        <f t="shared" ca="1" si="139"/>
        <v>0</v>
      </c>
      <c r="AJR10" s="34">
        <f t="shared" ca="1" si="139"/>
        <v>0</v>
      </c>
      <c r="AJS10" s="34">
        <f t="shared" ca="1" si="139"/>
        <v>0</v>
      </c>
      <c r="AJT10" s="34">
        <f t="shared" ca="1" si="139"/>
        <v>0</v>
      </c>
      <c r="AJU10" s="34">
        <f t="shared" ca="1" si="140"/>
        <v>0</v>
      </c>
      <c r="AJV10" s="34">
        <f t="shared" ca="1" si="140"/>
        <v>0</v>
      </c>
      <c r="AJW10" s="34">
        <f t="shared" ca="1" si="140"/>
        <v>0</v>
      </c>
      <c r="AJX10" s="34">
        <f t="shared" ca="1" si="140"/>
        <v>0</v>
      </c>
      <c r="AJY10" s="34">
        <f t="shared" ca="1" si="140"/>
        <v>0</v>
      </c>
      <c r="AJZ10" s="34">
        <f t="shared" ca="1" si="140"/>
        <v>0</v>
      </c>
      <c r="AKA10" s="34">
        <f t="shared" ca="1" si="140"/>
        <v>0</v>
      </c>
      <c r="AKB10" s="34">
        <f t="shared" ca="1" si="140"/>
        <v>0</v>
      </c>
      <c r="AKC10" s="34">
        <f t="shared" ca="1" si="140"/>
        <v>0</v>
      </c>
      <c r="AKD10" s="34">
        <f t="shared" ca="1" si="140"/>
        <v>0</v>
      </c>
      <c r="AKE10" s="34">
        <f t="shared" ca="1" si="141"/>
        <v>0</v>
      </c>
      <c r="AKF10" s="34">
        <f t="shared" ca="1" si="141"/>
        <v>0</v>
      </c>
      <c r="AKG10" s="34">
        <f t="shared" ca="1" si="141"/>
        <v>0</v>
      </c>
      <c r="AKH10" s="34">
        <f t="shared" ca="1" si="141"/>
        <v>0</v>
      </c>
      <c r="AKI10" s="34">
        <f t="shared" ca="1" si="141"/>
        <v>0</v>
      </c>
      <c r="AKJ10" s="34">
        <f t="shared" ca="1" si="141"/>
        <v>0</v>
      </c>
      <c r="AKK10" s="34">
        <f t="shared" ca="1" si="141"/>
        <v>0</v>
      </c>
      <c r="AKL10" s="34">
        <f t="shared" ca="1" si="141"/>
        <v>0</v>
      </c>
      <c r="AKM10" s="34">
        <f t="shared" ca="1" si="141"/>
        <v>0</v>
      </c>
      <c r="AKN10" s="34">
        <f t="shared" ca="1" si="141"/>
        <v>0</v>
      </c>
      <c r="AKO10" s="34">
        <f t="shared" ca="1" si="141"/>
        <v>0</v>
      </c>
      <c r="AKP10" s="34">
        <f t="shared" ca="1" si="141"/>
        <v>0</v>
      </c>
      <c r="AKQ10" s="34">
        <f t="shared" ca="1" si="141"/>
        <v>0</v>
      </c>
      <c r="AKR10" s="34">
        <f t="shared" ca="1" si="141"/>
        <v>0</v>
      </c>
      <c r="AKS10" s="34">
        <f t="shared" ca="1" si="141"/>
        <v>0</v>
      </c>
      <c r="AKT10" s="34"/>
      <c r="AKU10" s="34"/>
      <c r="AKV10" s="34"/>
      <c r="AKW10" s="34"/>
      <c r="AKX10" s="34"/>
      <c r="AKY10" s="34"/>
      <c r="AKZ10" s="34"/>
      <c r="ALA10" s="34"/>
      <c r="ALB10" s="34"/>
      <c r="ALC10" s="34"/>
      <c r="ALD10" s="34"/>
      <c r="ALE10" s="34"/>
      <c r="ALF10" s="34"/>
      <c r="ALG10" s="33"/>
      <c r="ALH10" s="33"/>
      <c r="ALI10" s="33"/>
      <c r="ALJ10" s="33"/>
      <c r="ALK10" s="33"/>
      <c r="ALL10" s="33"/>
      <c r="ALM10" s="33"/>
      <c r="ALN10" s="33"/>
      <c r="ALO10" s="33"/>
      <c r="ALP10" s="33"/>
      <c r="ALQ10" s="33"/>
      <c r="ALR10" s="33"/>
      <c r="ALS10" s="33"/>
      <c r="ALT10" s="33"/>
      <c r="ALU10" s="33"/>
      <c r="ALV10" s="33"/>
      <c r="ALW10" s="33"/>
      <c r="ALX10" s="33"/>
      <c r="ALY10" s="33"/>
      <c r="ALZ10" s="33"/>
      <c r="AMA10" s="33"/>
      <c r="AMB10" s="33"/>
      <c r="AMC10" s="33"/>
      <c r="AMD10" s="33"/>
      <c r="AME10" s="33"/>
      <c r="AMF10" s="33"/>
      <c r="AMG10" s="33"/>
      <c r="AMH10" s="33"/>
      <c r="AMI10" s="33"/>
      <c r="AMJ10" s="33"/>
      <c r="AMK10" s="33"/>
      <c r="AML10" s="33"/>
      <c r="AMM10" s="33"/>
      <c r="AMN10" s="33"/>
      <c r="AMO10" s="33"/>
      <c r="AMP10" s="33"/>
      <c r="AMQ10" s="33"/>
      <c r="AMR10" s="33"/>
      <c r="AMS10" s="33"/>
      <c r="AMT10" s="33"/>
      <c r="AMU10" s="33"/>
      <c r="AMV10" s="33"/>
      <c r="AMW10" s="33"/>
      <c r="AMX10" s="33"/>
      <c r="AMY10" s="33"/>
      <c r="AMZ10" s="33"/>
      <c r="ANA10" s="33"/>
      <c r="ANB10" s="33"/>
      <c r="ANC10" s="33"/>
      <c r="AND10" s="33"/>
      <c r="ANE10" s="33"/>
      <c r="ANF10" s="33"/>
      <c r="ANG10" s="33"/>
      <c r="ANH10" s="33"/>
      <c r="ANI10" s="33"/>
      <c r="ANJ10" s="33"/>
      <c r="ANK10" s="33"/>
      <c r="ANL10" s="33"/>
      <c r="ANM10" s="33"/>
      <c r="ANN10" s="33"/>
      <c r="ANO10" s="33"/>
      <c r="ANP10" s="33"/>
      <c r="ANQ10" s="33"/>
      <c r="ANR10" s="33"/>
      <c r="ANS10" s="33"/>
      <c r="ANT10" s="33"/>
      <c r="ANU10" s="33"/>
      <c r="ANV10" s="33"/>
      <c r="ANW10" s="33"/>
      <c r="ANX10" s="33"/>
      <c r="ANY10" s="33"/>
      <c r="ANZ10" s="33"/>
      <c r="AOA10" s="33"/>
      <c r="AOB10" s="33"/>
      <c r="AOC10" s="33"/>
      <c r="AOD10" s="33"/>
      <c r="AOE10" s="33"/>
      <c r="AOF10" s="33"/>
      <c r="AOG10" s="33"/>
      <c r="AOH10" s="33"/>
      <c r="AOI10" s="33"/>
      <c r="AOJ10" s="33"/>
      <c r="AOK10" s="33"/>
      <c r="AOL10" s="33"/>
      <c r="AOM10" s="33"/>
      <c r="AON10" s="33"/>
      <c r="AOO10" s="33"/>
      <c r="AOP10" s="33"/>
      <c r="AOQ10" s="33"/>
      <c r="AOR10" s="33"/>
      <c r="AOS10" s="33"/>
      <c r="AOT10" s="33"/>
      <c r="AOU10" s="33"/>
      <c r="AOV10" s="33"/>
      <c r="AOW10" s="33"/>
      <c r="AOX10" s="33"/>
      <c r="AOY10" s="33"/>
      <c r="AOZ10" s="33"/>
      <c r="APA10" s="33"/>
      <c r="APB10" s="33"/>
      <c r="APC10" s="33"/>
      <c r="APD10" s="33"/>
      <c r="APE10" s="33"/>
      <c r="APF10" s="33"/>
      <c r="APG10" s="33"/>
      <c r="APH10" s="33"/>
      <c r="API10" s="33"/>
      <c r="APJ10" s="33"/>
      <c r="APK10" s="33"/>
      <c r="APL10" s="33"/>
      <c r="APM10" s="33"/>
      <c r="APN10" s="33"/>
      <c r="APO10" s="33"/>
      <c r="APP10" s="33"/>
      <c r="APQ10" s="33"/>
      <c r="APR10" s="33"/>
      <c r="APS10" s="33"/>
      <c r="APT10" s="33"/>
      <c r="APU10" s="33"/>
      <c r="APV10" s="33"/>
      <c r="APW10" s="33"/>
      <c r="APX10" s="33"/>
      <c r="APY10" s="33"/>
      <c r="APZ10" s="33"/>
      <c r="AQA10" s="33"/>
      <c r="AQB10" s="33"/>
      <c r="AQC10" s="33"/>
      <c r="AQD10" s="33"/>
      <c r="AQE10" s="33"/>
      <c r="AQF10" s="33"/>
      <c r="AQG10" s="33"/>
      <c r="AQH10" s="33"/>
      <c r="AQI10" s="33"/>
      <c r="AQJ10" s="33"/>
      <c r="AQK10" s="33"/>
      <c r="AQL10" s="33"/>
      <c r="AQM10" s="33"/>
      <c r="AQN10" s="33"/>
      <c r="AQO10" s="33"/>
      <c r="AQP10" s="33"/>
      <c r="AQQ10" s="33"/>
      <c r="AQR10" s="33"/>
      <c r="AQS10" s="33"/>
      <c r="AQT10" s="33"/>
      <c r="AQU10" s="33"/>
      <c r="AQV10" s="33"/>
      <c r="AQW10" s="33"/>
      <c r="AQX10" s="33"/>
      <c r="AQY10" s="33"/>
      <c r="AQZ10" s="33"/>
      <c r="ARA10" s="33"/>
      <c r="ARB10" s="33"/>
      <c r="ARC10" s="33"/>
      <c r="ARD10" s="33"/>
      <c r="ARE10" s="33"/>
      <c r="ARF10" s="33"/>
      <c r="ARG10" s="33"/>
      <c r="ARH10" s="33"/>
      <c r="ARI10" s="33"/>
      <c r="ARJ10" s="33"/>
      <c r="ARK10" s="33"/>
      <c r="ARL10" s="33"/>
      <c r="ARM10" s="33"/>
      <c r="ARN10" s="33"/>
      <c r="ARO10" s="33"/>
      <c r="ARP10" s="33"/>
      <c r="ARQ10" s="33"/>
      <c r="ARR10" s="33"/>
      <c r="ARS10" s="33"/>
      <c r="ART10" s="33"/>
      <c r="ARU10" s="33"/>
      <c r="ARV10" s="33"/>
      <c r="ARW10" s="33"/>
      <c r="ARX10" s="33"/>
      <c r="ARY10" s="33"/>
      <c r="ARZ10" s="33"/>
      <c r="ASA10" s="33"/>
      <c r="ASB10" s="33"/>
      <c r="ASC10" s="33"/>
      <c r="ASD10" s="33"/>
      <c r="ASE10" s="33"/>
      <c r="ASF10" s="33"/>
      <c r="ASG10" s="33"/>
      <c r="ASH10" s="33"/>
      <c r="ASI10" s="33"/>
      <c r="ASJ10" s="33"/>
      <c r="ASK10" s="33"/>
      <c r="ASL10" s="33"/>
      <c r="ASM10" s="33"/>
      <c r="ASN10" s="33"/>
      <c r="ASO10" s="33"/>
      <c r="ASP10" s="33"/>
      <c r="ASQ10" s="33"/>
      <c r="ASR10" s="33"/>
      <c r="ASS10" s="33"/>
      <c r="AST10" s="33"/>
      <c r="ASU10" s="33"/>
      <c r="ASV10" s="33"/>
      <c r="ASW10" s="33"/>
      <c r="ASX10" s="33"/>
      <c r="ASY10" s="33"/>
      <c r="ASZ10" s="33"/>
      <c r="ATA10" s="33"/>
      <c r="ATB10" s="33"/>
      <c r="ATC10" s="33"/>
      <c r="ATD10" s="33"/>
      <c r="ATE10" s="33"/>
      <c r="ATF10" s="33"/>
      <c r="ATG10" s="33"/>
      <c r="ATH10" s="33"/>
      <c r="ATI10" s="33"/>
      <c r="ATJ10" s="33"/>
      <c r="ATK10" s="33"/>
      <c r="ATL10" s="33"/>
      <c r="ATM10" s="33"/>
      <c r="ATN10" s="33"/>
      <c r="ATO10" s="33"/>
      <c r="ATP10" s="33"/>
      <c r="ATQ10" s="33"/>
      <c r="ATR10" s="33"/>
      <c r="ATS10" s="33"/>
      <c r="ATT10" s="33"/>
      <c r="ATU10" s="33"/>
      <c r="ATV10" s="33"/>
      <c r="ATW10" s="33"/>
      <c r="ATX10" s="33"/>
      <c r="ATY10" s="33"/>
      <c r="ATZ10" s="33"/>
      <c r="AUA10" s="33"/>
      <c r="AUB10" s="33"/>
      <c r="AUC10" s="33"/>
      <c r="AUD10" s="33"/>
      <c r="AUE10" s="33"/>
      <c r="AUF10" s="33"/>
      <c r="AUG10" s="33"/>
      <c r="AUH10" s="33"/>
      <c r="AUI10" s="33"/>
      <c r="AUJ10" s="33"/>
      <c r="AUK10" s="33"/>
      <c r="AUL10" s="33"/>
      <c r="AUM10" s="33"/>
      <c r="AUN10" s="33"/>
      <c r="AUO10" s="33"/>
      <c r="AUP10" s="33"/>
      <c r="AUQ10" s="33"/>
      <c r="AUR10" s="33"/>
      <c r="AUS10" s="33"/>
      <c r="AUT10" s="33"/>
      <c r="AUU10" s="33"/>
      <c r="AUV10" s="33"/>
      <c r="AUW10" s="33"/>
      <c r="AUX10" s="33"/>
      <c r="AUY10" s="33"/>
      <c r="AUZ10" s="33"/>
      <c r="AVA10" s="33"/>
      <c r="AVB10" s="33"/>
    </row>
    <row r="11" spans="1:1250" ht="18.75" customHeight="1">
      <c r="A11" s="378" t="str">
        <f>自由選!B12</f>
        <v>XFM20</v>
      </c>
      <c r="B11" s="208">
        <f ca="1">VLOOKUP($A11,'銀行-TSS'!B:K,10,FALSE)</f>
        <v>98.94</v>
      </c>
      <c r="C11" s="69" t="str">
        <f ca="1">VLOOKUP(A11,'銀行-TSS'!B:E,4,FALSE)</f>
        <v>Baa3 / BB+ / BBB-</v>
      </c>
      <c r="D11" s="70">
        <f ca="1">VLOOKUP($A11,'銀行-TSS'!B:H,7,FALSE)</f>
        <v>6.8750000000000006E-2</v>
      </c>
      <c r="E11" s="71">
        <f ca="1">IFERROR(VLOOKUP($A11,'銀行-TSS'!B:I,8,FALSE),"")</f>
        <v>2</v>
      </c>
      <c r="F11" s="69" t="str">
        <f t="shared" ca="1" si="142"/>
        <v>4、10</v>
      </c>
      <c r="G11" s="72">
        <f ca="1">VLOOKUP($A11,'銀行-TSS'!B:M,12,FALSE)</f>
        <v>7.1599999999999997E-2</v>
      </c>
      <c r="H11" s="73">
        <f ca="1">VLOOKUP($A11,'銀行-TSS'!B:G,6,FALSE)</f>
        <v>11.83</v>
      </c>
      <c r="I11" s="74">
        <f ca="1">IFERROR(DATEVALUE(VLOOKUP($A11,'銀行-TSS'!B:F,5,FALSE)),VLOOKUP($A11,'銀行-TSS'!B:F,5,FALSE))</f>
        <v>49795</v>
      </c>
      <c r="J11" s="1" t="str">
        <f ca="1">VLOOKUP($A11,'銀行-TSS'!B:Q,16,FALSE)</f>
        <v>通訊</v>
      </c>
      <c r="K11" s="76" t="str">
        <f ca="1">VLOOKUP($A11,'銀行-TSS'!B:T,19,FALSE)</f>
        <v>派拉蒙全球/PARA</v>
      </c>
      <c r="L11" s="33" t="b">
        <f t="shared" si="45"/>
        <v>1</v>
      </c>
      <c r="M11" s="43">
        <f ca="1">VLOOKUP($A11,'銀行-TSS'!B:N,13,FALSE)</f>
        <v>10000</v>
      </c>
      <c r="N11" s="44">
        <f>自由選!F12</f>
        <v>10000</v>
      </c>
      <c r="O11" s="43">
        <f ca="1">IFERROR(VLOOKUP($A11,'銀行-TSS'!B:O,14,FALSE),1)</f>
        <v>1000</v>
      </c>
      <c r="P11" s="78" t="str">
        <f ca="1">IFERROR(VLOOKUP(K11,Bond_DES!D:E,2,FALSE),VLOOKUP(K11,'銀行-TSS'!T:U,2,FALSE))</f>
        <v>派拉蒙全球(Paramount Global)是全球最大的媒體公司之一，旗下分為直接對消費者、影視及電影拍攝三大部門。派拉蒙擁有多個全球知名的版權，如教父、海綿寶寶、變形金剛及印第安那瓊斯系列，也曾拍攝多部高票房影視作品，如鐵達尼號、捍衛戰士、鋼鐵人及史瑞克等，旗下影業公司為美國第二悠久的製片廠。</v>
      </c>
      <c r="Q11" s="83">
        <f t="shared" ca="1" si="143"/>
        <v>97.756</v>
      </c>
      <c r="R11" s="81">
        <f t="shared" ref="R11:R16" ca="1" si="152">ROUND(Q11*N11/100,2)</f>
        <v>9775.6</v>
      </c>
      <c r="S11" s="82">
        <f t="shared" ref="S11:S16" ca="1" si="153">R11/$R$27</f>
        <v>8.5875456868920896E-2</v>
      </c>
      <c r="T11" s="34">
        <f t="shared" ca="1" si="144"/>
        <v>2036</v>
      </c>
      <c r="U11" s="36" t="str">
        <f ca="1">IFERROR(VLOOKUP($A11,'銀行-TSS'!B:C,2,FALSE),"")</f>
        <v>USD</v>
      </c>
      <c r="V11" s="184">
        <f ca="1">VLOOKUP(A11,'銀行-TSS'!B:J,9,FALSE)</f>
        <v>1.1839999999999999</v>
      </c>
      <c r="W11" s="57">
        <f t="shared" ca="1" si="145"/>
        <v>118.4</v>
      </c>
      <c r="X11" s="36">
        <f t="shared" ca="1" si="146"/>
        <v>0</v>
      </c>
      <c r="Y11" s="116">
        <f t="shared" ca="1" si="147"/>
        <v>989.4</v>
      </c>
      <c r="Z11" s="98">
        <f t="shared" ca="1" si="148"/>
        <v>9894</v>
      </c>
      <c r="AA11" s="61">
        <f t="shared" si="149"/>
        <v>8.3333333333333329E-2</v>
      </c>
      <c r="AB11" s="104" t="str">
        <f t="shared" ca="1" si="46"/>
        <v>通訊</v>
      </c>
      <c r="AC11" s="149">
        <f t="shared" ca="1" si="150"/>
        <v>9894</v>
      </c>
      <c r="AD11" s="149">
        <f ca="1">VLOOKUP(A11,'銀行-TSS'!B:AD,29,FALSE)</f>
        <v>12</v>
      </c>
      <c r="AE11" s="64">
        <f t="shared" ca="1" si="47"/>
        <v>343.75</v>
      </c>
      <c r="AF11" s="53">
        <f t="shared" ref="AF11:AF16" ca="1" si="154">IF(AG11&gt;6,AG11-6,AG11+6)</f>
        <v>4</v>
      </c>
      <c r="AG11" s="45">
        <f t="shared" ref="AG11:AG16" ca="1" si="155">MONTH(AH11)</f>
        <v>10</v>
      </c>
      <c r="AH11" s="2">
        <f ca="1">_xlfn.IFNA(IFERROR(DATEVALUE(VLOOKUP($A11,'銀行-TSS'!B:P,15,FALSE)),VLOOKUP($A11,'銀行-TSS'!B:P,15,FALSE)),"")</f>
        <v>45595</v>
      </c>
      <c r="AI11" s="2">
        <f ca="1">_xlfn.IFNA(IFERROR(DATEVALUE(VLOOKUP($A11,'銀行-TSS'!B:L,11,FALSE)),VLOOKUP($A11,'銀行-TSS'!B:L,11,FALSE)),"")</f>
        <v>45475</v>
      </c>
      <c r="AJ11" s="34">
        <f t="shared" ca="1" si="151"/>
        <v>0</v>
      </c>
      <c r="AK11" s="34">
        <f t="shared" ca="1" si="48"/>
        <v>0</v>
      </c>
      <c r="AL11" s="34">
        <f t="shared" ca="1" si="48"/>
        <v>0</v>
      </c>
      <c r="AM11" s="34">
        <f t="shared" ca="1" si="48"/>
        <v>343.75</v>
      </c>
      <c r="AN11" s="34">
        <f t="shared" ca="1" si="48"/>
        <v>0</v>
      </c>
      <c r="AO11" s="34">
        <f t="shared" ca="1" si="48"/>
        <v>0</v>
      </c>
      <c r="AP11" s="34">
        <f t="shared" ca="1" si="48"/>
        <v>0</v>
      </c>
      <c r="AQ11" s="34">
        <f t="shared" ca="1" si="48"/>
        <v>0</v>
      </c>
      <c r="AR11" s="34">
        <f t="shared" ca="1" si="48"/>
        <v>0</v>
      </c>
      <c r="AS11" s="34">
        <f t="shared" ca="1" si="48"/>
        <v>343.75</v>
      </c>
      <c r="AT11" s="34">
        <f t="shared" ca="1" si="48"/>
        <v>0</v>
      </c>
      <c r="AU11" s="34">
        <f t="shared" ca="1" si="49"/>
        <v>0</v>
      </c>
      <c r="AV11" s="34">
        <f t="shared" ca="1" si="49"/>
        <v>0</v>
      </c>
      <c r="AW11" s="34">
        <f t="shared" ca="1" si="49"/>
        <v>0</v>
      </c>
      <c r="AX11" s="34">
        <f t="shared" ca="1" si="49"/>
        <v>0</v>
      </c>
      <c r="AY11" s="34">
        <f t="shared" ca="1" si="49"/>
        <v>343.75</v>
      </c>
      <c r="AZ11" s="34">
        <f t="shared" ca="1" si="49"/>
        <v>0</v>
      </c>
      <c r="BA11" s="34">
        <f t="shared" ca="1" si="49"/>
        <v>0</v>
      </c>
      <c r="BB11" s="34">
        <f t="shared" ca="1" si="49"/>
        <v>0</v>
      </c>
      <c r="BC11" s="34">
        <f t="shared" ca="1" si="49"/>
        <v>0</v>
      </c>
      <c r="BD11" s="34">
        <f t="shared" ca="1" si="49"/>
        <v>0</v>
      </c>
      <c r="BE11" s="34">
        <f t="shared" ca="1" si="50"/>
        <v>343.75</v>
      </c>
      <c r="BF11" s="34">
        <f t="shared" ca="1" si="50"/>
        <v>0</v>
      </c>
      <c r="BG11" s="34">
        <f t="shared" ca="1" si="50"/>
        <v>0</v>
      </c>
      <c r="BH11" s="34">
        <f t="shared" ca="1" si="50"/>
        <v>0</v>
      </c>
      <c r="BI11" s="34">
        <f t="shared" ca="1" si="50"/>
        <v>0</v>
      </c>
      <c r="BJ11" s="34">
        <f t="shared" ca="1" si="50"/>
        <v>0</v>
      </c>
      <c r="BK11" s="34">
        <f t="shared" ca="1" si="50"/>
        <v>343.75</v>
      </c>
      <c r="BL11" s="34">
        <f t="shared" ca="1" si="50"/>
        <v>0</v>
      </c>
      <c r="BM11" s="34">
        <f t="shared" ca="1" si="50"/>
        <v>0</v>
      </c>
      <c r="BN11" s="34">
        <f t="shared" ca="1" si="50"/>
        <v>0</v>
      </c>
      <c r="BO11" s="34">
        <f t="shared" ca="1" si="51"/>
        <v>0</v>
      </c>
      <c r="BP11" s="34">
        <f t="shared" ca="1" si="51"/>
        <v>0</v>
      </c>
      <c r="BQ11" s="34">
        <f t="shared" ca="1" si="51"/>
        <v>343.75</v>
      </c>
      <c r="BR11" s="34">
        <f t="shared" ca="1" si="51"/>
        <v>0</v>
      </c>
      <c r="BS11" s="34">
        <f t="shared" ca="1" si="51"/>
        <v>0</v>
      </c>
      <c r="BT11" s="34">
        <f t="shared" ca="1" si="51"/>
        <v>0</v>
      </c>
      <c r="BU11" s="34">
        <f t="shared" ca="1" si="51"/>
        <v>0</v>
      </c>
      <c r="BV11" s="34">
        <f t="shared" ca="1" si="51"/>
        <v>0</v>
      </c>
      <c r="BW11" s="34">
        <f t="shared" ca="1" si="51"/>
        <v>343.75</v>
      </c>
      <c r="BX11" s="34">
        <f t="shared" ca="1" si="51"/>
        <v>0</v>
      </c>
      <c r="BY11" s="34">
        <f t="shared" ca="1" si="52"/>
        <v>0</v>
      </c>
      <c r="BZ11" s="34">
        <f t="shared" ca="1" si="52"/>
        <v>0</v>
      </c>
      <c r="CA11" s="34">
        <f t="shared" ca="1" si="52"/>
        <v>0</v>
      </c>
      <c r="CB11" s="34">
        <f t="shared" ca="1" si="52"/>
        <v>0</v>
      </c>
      <c r="CC11" s="34">
        <f t="shared" ca="1" si="52"/>
        <v>343.75</v>
      </c>
      <c r="CD11" s="34">
        <f t="shared" ca="1" si="52"/>
        <v>0</v>
      </c>
      <c r="CE11" s="34">
        <f t="shared" ca="1" si="52"/>
        <v>0</v>
      </c>
      <c r="CF11" s="34">
        <f t="shared" ca="1" si="52"/>
        <v>0</v>
      </c>
      <c r="CG11" s="34">
        <f t="shared" ca="1" si="52"/>
        <v>0</v>
      </c>
      <c r="CH11" s="34">
        <f t="shared" ca="1" si="52"/>
        <v>0</v>
      </c>
      <c r="CI11" s="34">
        <f t="shared" ca="1" si="53"/>
        <v>343.75</v>
      </c>
      <c r="CJ11" s="34">
        <f t="shared" ca="1" si="53"/>
        <v>0</v>
      </c>
      <c r="CK11" s="34">
        <f t="shared" ca="1" si="53"/>
        <v>0</v>
      </c>
      <c r="CL11" s="34">
        <f t="shared" ca="1" si="53"/>
        <v>0</v>
      </c>
      <c r="CM11" s="34">
        <f t="shared" ca="1" si="53"/>
        <v>0</v>
      </c>
      <c r="CN11" s="34">
        <f t="shared" ca="1" si="53"/>
        <v>0</v>
      </c>
      <c r="CO11" s="34">
        <f t="shared" ca="1" si="53"/>
        <v>343.75</v>
      </c>
      <c r="CP11" s="34">
        <f t="shared" ca="1" si="53"/>
        <v>0</v>
      </c>
      <c r="CQ11" s="34">
        <f t="shared" ca="1" si="53"/>
        <v>0</v>
      </c>
      <c r="CR11" s="34">
        <f t="shared" ca="1" si="53"/>
        <v>0</v>
      </c>
      <c r="CS11" s="34">
        <f t="shared" ca="1" si="54"/>
        <v>0</v>
      </c>
      <c r="CT11" s="34">
        <f t="shared" ca="1" si="54"/>
        <v>0</v>
      </c>
      <c r="CU11" s="34">
        <f t="shared" ca="1" si="54"/>
        <v>343.75</v>
      </c>
      <c r="CV11" s="34">
        <f t="shared" ca="1" si="54"/>
        <v>0</v>
      </c>
      <c r="CW11" s="34">
        <f t="shared" ca="1" si="54"/>
        <v>0</v>
      </c>
      <c r="CX11" s="34">
        <f t="shared" ca="1" si="54"/>
        <v>0</v>
      </c>
      <c r="CY11" s="34">
        <f t="shared" ca="1" si="54"/>
        <v>0</v>
      </c>
      <c r="CZ11" s="34">
        <f t="shared" ca="1" si="54"/>
        <v>0</v>
      </c>
      <c r="DA11" s="34">
        <f t="shared" ca="1" si="54"/>
        <v>343.75</v>
      </c>
      <c r="DB11" s="34">
        <f t="shared" ca="1" si="54"/>
        <v>0</v>
      </c>
      <c r="DC11" s="34">
        <f t="shared" ca="1" si="55"/>
        <v>0</v>
      </c>
      <c r="DD11" s="34">
        <f t="shared" ca="1" si="55"/>
        <v>0</v>
      </c>
      <c r="DE11" s="34">
        <f t="shared" ca="1" si="55"/>
        <v>0</v>
      </c>
      <c r="DF11" s="34">
        <f t="shared" ca="1" si="55"/>
        <v>0</v>
      </c>
      <c r="DG11" s="34">
        <f t="shared" ca="1" si="55"/>
        <v>343.75</v>
      </c>
      <c r="DH11" s="34">
        <f t="shared" ca="1" si="55"/>
        <v>0</v>
      </c>
      <c r="DI11" s="34">
        <f t="shared" ca="1" si="55"/>
        <v>0</v>
      </c>
      <c r="DJ11" s="34">
        <f t="shared" ca="1" si="55"/>
        <v>0</v>
      </c>
      <c r="DK11" s="34">
        <f t="shared" ca="1" si="55"/>
        <v>0</v>
      </c>
      <c r="DL11" s="34">
        <f t="shared" ca="1" si="55"/>
        <v>0</v>
      </c>
      <c r="DM11" s="34">
        <f t="shared" ca="1" si="56"/>
        <v>343.75</v>
      </c>
      <c r="DN11" s="34">
        <f t="shared" ca="1" si="56"/>
        <v>0</v>
      </c>
      <c r="DO11" s="34">
        <f t="shared" ca="1" si="56"/>
        <v>0</v>
      </c>
      <c r="DP11" s="34">
        <f t="shared" ca="1" si="56"/>
        <v>0</v>
      </c>
      <c r="DQ11" s="34">
        <f t="shared" ca="1" si="56"/>
        <v>0</v>
      </c>
      <c r="DR11" s="34">
        <f t="shared" ca="1" si="56"/>
        <v>0</v>
      </c>
      <c r="DS11" s="34">
        <f t="shared" ca="1" si="56"/>
        <v>343.75</v>
      </c>
      <c r="DT11" s="34">
        <f t="shared" ca="1" si="56"/>
        <v>0</v>
      </c>
      <c r="DU11" s="34">
        <f t="shared" ca="1" si="56"/>
        <v>0</v>
      </c>
      <c r="DV11" s="34">
        <f t="shared" ca="1" si="56"/>
        <v>0</v>
      </c>
      <c r="DW11" s="34">
        <f t="shared" ca="1" si="57"/>
        <v>0</v>
      </c>
      <c r="DX11" s="34">
        <f t="shared" ca="1" si="57"/>
        <v>0</v>
      </c>
      <c r="DY11" s="34">
        <f t="shared" ca="1" si="57"/>
        <v>343.75</v>
      </c>
      <c r="DZ11" s="34">
        <f t="shared" ca="1" si="57"/>
        <v>0</v>
      </c>
      <c r="EA11" s="34">
        <f t="shared" ca="1" si="57"/>
        <v>0</v>
      </c>
      <c r="EB11" s="34">
        <f t="shared" ca="1" si="57"/>
        <v>0</v>
      </c>
      <c r="EC11" s="34">
        <f t="shared" ca="1" si="57"/>
        <v>0</v>
      </c>
      <c r="ED11" s="34">
        <f t="shared" ca="1" si="57"/>
        <v>0</v>
      </c>
      <c r="EE11" s="34">
        <f t="shared" ca="1" si="57"/>
        <v>343.75</v>
      </c>
      <c r="EF11" s="34">
        <f t="shared" ca="1" si="57"/>
        <v>0</v>
      </c>
      <c r="EG11" s="34">
        <f t="shared" ca="1" si="58"/>
        <v>0</v>
      </c>
      <c r="EH11" s="34">
        <f t="shared" ca="1" si="58"/>
        <v>0</v>
      </c>
      <c r="EI11" s="34">
        <f t="shared" ca="1" si="58"/>
        <v>0</v>
      </c>
      <c r="EJ11" s="34">
        <f t="shared" ca="1" si="58"/>
        <v>0</v>
      </c>
      <c r="EK11" s="34">
        <f t="shared" ca="1" si="58"/>
        <v>343.75</v>
      </c>
      <c r="EL11" s="34">
        <f t="shared" ca="1" si="58"/>
        <v>0</v>
      </c>
      <c r="EM11" s="34">
        <f t="shared" ca="1" si="58"/>
        <v>0</v>
      </c>
      <c r="EN11" s="34">
        <f t="shared" ca="1" si="58"/>
        <v>0</v>
      </c>
      <c r="EO11" s="34">
        <f t="shared" ca="1" si="58"/>
        <v>0</v>
      </c>
      <c r="EP11" s="34">
        <f t="shared" ca="1" si="58"/>
        <v>0</v>
      </c>
      <c r="EQ11" s="34">
        <f t="shared" ca="1" si="59"/>
        <v>343.75</v>
      </c>
      <c r="ER11" s="34">
        <f t="shared" ca="1" si="59"/>
        <v>0</v>
      </c>
      <c r="ES11" s="34">
        <f t="shared" ca="1" si="59"/>
        <v>0</v>
      </c>
      <c r="ET11" s="34">
        <f t="shared" ca="1" si="59"/>
        <v>0</v>
      </c>
      <c r="EU11" s="34">
        <f t="shared" ca="1" si="59"/>
        <v>0</v>
      </c>
      <c r="EV11" s="34">
        <f t="shared" ca="1" si="59"/>
        <v>0</v>
      </c>
      <c r="EW11" s="34">
        <f t="shared" ca="1" si="59"/>
        <v>343.75</v>
      </c>
      <c r="EX11" s="34">
        <f t="shared" ca="1" si="59"/>
        <v>0</v>
      </c>
      <c r="EY11" s="34">
        <f t="shared" ca="1" si="59"/>
        <v>0</v>
      </c>
      <c r="EZ11" s="34">
        <f t="shared" ca="1" si="59"/>
        <v>0</v>
      </c>
      <c r="FA11" s="34">
        <f t="shared" ca="1" si="60"/>
        <v>0</v>
      </c>
      <c r="FB11" s="34">
        <f t="shared" ca="1" si="60"/>
        <v>0</v>
      </c>
      <c r="FC11" s="34">
        <f t="shared" ca="1" si="60"/>
        <v>343.75</v>
      </c>
      <c r="FD11" s="34">
        <f t="shared" ca="1" si="60"/>
        <v>0</v>
      </c>
      <c r="FE11" s="34">
        <f t="shared" ca="1" si="60"/>
        <v>0</v>
      </c>
      <c r="FF11" s="34">
        <f t="shared" ca="1" si="60"/>
        <v>0</v>
      </c>
      <c r="FG11" s="34">
        <f t="shared" ca="1" si="60"/>
        <v>0</v>
      </c>
      <c r="FH11" s="34">
        <f t="shared" ca="1" si="60"/>
        <v>0</v>
      </c>
      <c r="FI11" s="34">
        <f t="shared" ca="1" si="60"/>
        <v>343.75</v>
      </c>
      <c r="FJ11" s="34">
        <f t="shared" ca="1" si="60"/>
        <v>0</v>
      </c>
      <c r="FK11" s="34">
        <f t="shared" ca="1" si="61"/>
        <v>0</v>
      </c>
      <c r="FL11" s="34">
        <f t="shared" ca="1" si="61"/>
        <v>0</v>
      </c>
      <c r="FM11" s="34">
        <f t="shared" ca="1" si="61"/>
        <v>0</v>
      </c>
      <c r="FN11" s="34">
        <f t="shared" ca="1" si="61"/>
        <v>0</v>
      </c>
      <c r="FO11" s="34">
        <f t="shared" ca="1" si="61"/>
        <v>343.75</v>
      </c>
      <c r="FP11" s="34">
        <f t="shared" ca="1" si="61"/>
        <v>0</v>
      </c>
      <c r="FQ11" s="34">
        <f t="shared" ca="1" si="61"/>
        <v>0</v>
      </c>
      <c r="FR11" s="34">
        <f t="shared" ca="1" si="61"/>
        <v>0</v>
      </c>
      <c r="FS11" s="34">
        <f t="shared" ca="1" si="61"/>
        <v>0</v>
      </c>
      <c r="FT11" s="34">
        <f t="shared" ca="1" si="61"/>
        <v>0</v>
      </c>
      <c r="FU11" s="34">
        <f t="shared" ca="1" si="62"/>
        <v>343.75</v>
      </c>
      <c r="FV11" s="34">
        <f t="shared" ca="1" si="62"/>
        <v>0</v>
      </c>
      <c r="FW11" s="34">
        <f t="shared" ca="1" si="62"/>
        <v>0</v>
      </c>
      <c r="FX11" s="34">
        <f t="shared" ca="1" si="62"/>
        <v>0</v>
      </c>
      <c r="FY11" s="34">
        <f t="shared" ca="1" si="62"/>
        <v>0</v>
      </c>
      <c r="FZ11" s="34">
        <f t="shared" ca="1" si="62"/>
        <v>0</v>
      </c>
      <c r="GA11" s="34">
        <f t="shared" ca="1" si="62"/>
        <v>0</v>
      </c>
      <c r="GB11" s="34">
        <f t="shared" ca="1" si="62"/>
        <v>0</v>
      </c>
      <c r="GC11" s="34">
        <f t="shared" ca="1" si="62"/>
        <v>0</v>
      </c>
      <c r="GD11" s="34">
        <f t="shared" ca="1" si="62"/>
        <v>0</v>
      </c>
      <c r="GE11" s="34">
        <f t="shared" ca="1" si="63"/>
        <v>0</v>
      </c>
      <c r="GF11" s="34">
        <f t="shared" ca="1" si="63"/>
        <v>0</v>
      </c>
      <c r="GG11" s="34">
        <f t="shared" ca="1" si="63"/>
        <v>0</v>
      </c>
      <c r="GH11" s="34">
        <f t="shared" ca="1" si="63"/>
        <v>0</v>
      </c>
      <c r="GI11" s="34">
        <f t="shared" ca="1" si="63"/>
        <v>0</v>
      </c>
      <c r="GJ11" s="34">
        <f t="shared" ca="1" si="63"/>
        <v>0</v>
      </c>
      <c r="GK11" s="34">
        <f t="shared" ca="1" si="63"/>
        <v>0</v>
      </c>
      <c r="GL11" s="34">
        <f t="shared" ca="1" si="63"/>
        <v>0</v>
      </c>
      <c r="GM11" s="34">
        <f t="shared" ca="1" si="63"/>
        <v>0</v>
      </c>
      <c r="GN11" s="34">
        <f t="shared" ca="1" si="63"/>
        <v>0</v>
      </c>
      <c r="GO11" s="34">
        <f t="shared" ca="1" si="64"/>
        <v>0</v>
      </c>
      <c r="GP11" s="34">
        <f t="shared" ca="1" si="64"/>
        <v>0</v>
      </c>
      <c r="GQ11" s="34">
        <f t="shared" ca="1" si="64"/>
        <v>0</v>
      </c>
      <c r="GR11" s="34">
        <f t="shared" ca="1" si="64"/>
        <v>0</v>
      </c>
      <c r="GS11" s="34">
        <f t="shared" ca="1" si="64"/>
        <v>0</v>
      </c>
      <c r="GT11" s="34">
        <f t="shared" ca="1" si="64"/>
        <v>0</v>
      </c>
      <c r="GU11" s="34">
        <f t="shared" ca="1" si="64"/>
        <v>0</v>
      </c>
      <c r="GV11" s="34">
        <f t="shared" ca="1" si="64"/>
        <v>0</v>
      </c>
      <c r="GW11" s="34">
        <f t="shared" ca="1" si="64"/>
        <v>0</v>
      </c>
      <c r="GX11" s="34">
        <f t="shared" ca="1" si="64"/>
        <v>0</v>
      </c>
      <c r="GY11" s="34">
        <f t="shared" ca="1" si="65"/>
        <v>0</v>
      </c>
      <c r="GZ11" s="34">
        <f t="shared" ca="1" si="65"/>
        <v>0</v>
      </c>
      <c r="HA11" s="34">
        <f t="shared" ca="1" si="65"/>
        <v>0</v>
      </c>
      <c r="HB11" s="34">
        <f t="shared" ca="1" si="65"/>
        <v>0</v>
      </c>
      <c r="HC11" s="34">
        <f t="shared" ca="1" si="65"/>
        <v>0</v>
      </c>
      <c r="HD11" s="34">
        <f t="shared" ca="1" si="65"/>
        <v>0</v>
      </c>
      <c r="HE11" s="34">
        <f t="shared" ca="1" si="65"/>
        <v>0</v>
      </c>
      <c r="HF11" s="34">
        <f t="shared" ca="1" si="65"/>
        <v>0</v>
      </c>
      <c r="HG11" s="34">
        <f t="shared" ca="1" si="65"/>
        <v>0</v>
      </c>
      <c r="HH11" s="34">
        <f t="shared" ca="1" si="65"/>
        <v>0</v>
      </c>
      <c r="HI11" s="34">
        <f t="shared" ca="1" si="66"/>
        <v>0</v>
      </c>
      <c r="HJ11" s="34">
        <f t="shared" ca="1" si="66"/>
        <v>0</v>
      </c>
      <c r="HK11" s="34">
        <f t="shared" ca="1" si="66"/>
        <v>0</v>
      </c>
      <c r="HL11" s="34">
        <f t="shared" ca="1" si="66"/>
        <v>0</v>
      </c>
      <c r="HM11" s="34">
        <f t="shared" ca="1" si="66"/>
        <v>0</v>
      </c>
      <c r="HN11" s="34">
        <f t="shared" ca="1" si="66"/>
        <v>0</v>
      </c>
      <c r="HO11" s="34">
        <f t="shared" ca="1" si="66"/>
        <v>0</v>
      </c>
      <c r="HP11" s="34">
        <f t="shared" ca="1" si="66"/>
        <v>0</v>
      </c>
      <c r="HQ11" s="34">
        <f t="shared" ca="1" si="66"/>
        <v>0</v>
      </c>
      <c r="HR11" s="34">
        <f t="shared" ca="1" si="66"/>
        <v>0</v>
      </c>
      <c r="HS11" s="34">
        <f t="shared" ca="1" si="67"/>
        <v>0</v>
      </c>
      <c r="HT11" s="34">
        <f t="shared" ca="1" si="67"/>
        <v>0</v>
      </c>
      <c r="HU11" s="34">
        <f t="shared" ca="1" si="67"/>
        <v>0</v>
      </c>
      <c r="HV11" s="34">
        <f t="shared" ca="1" si="67"/>
        <v>0</v>
      </c>
      <c r="HW11" s="34">
        <f t="shared" ca="1" si="67"/>
        <v>0</v>
      </c>
      <c r="HX11" s="34">
        <f t="shared" ca="1" si="67"/>
        <v>0</v>
      </c>
      <c r="HY11" s="34">
        <f t="shared" ca="1" si="67"/>
        <v>0</v>
      </c>
      <c r="HZ11" s="34">
        <f t="shared" ca="1" si="67"/>
        <v>0</v>
      </c>
      <c r="IA11" s="34">
        <f t="shared" ca="1" si="67"/>
        <v>0</v>
      </c>
      <c r="IB11" s="34">
        <f t="shared" ca="1" si="67"/>
        <v>0</v>
      </c>
      <c r="IC11" s="34">
        <f t="shared" ca="1" si="68"/>
        <v>0</v>
      </c>
      <c r="ID11" s="34">
        <f t="shared" ca="1" si="68"/>
        <v>0</v>
      </c>
      <c r="IE11" s="34">
        <f t="shared" ca="1" si="68"/>
        <v>0</v>
      </c>
      <c r="IF11" s="34">
        <f t="shared" ca="1" si="68"/>
        <v>0</v>
      </c>
      <c r="IG11" s="34">
        <f t="shared" ca="1" si="68"/>
        <v>0</v>
      </c>
      <c r="IH11" s="34">
        <f t="shared" ca="1" si="68"/>
        <v>0</v>
      </c>
      <c r="II11" s="34">
        <f t="shared" ca="1" si="68"/>
        <v>0</v>
      </c>
      <c r="IJ11" s="34">
        <f t="shared" ca="1" si="68"/>
        <v>0</v>
      </c>
      <c r="IK11" s="34">
        <f t="shared" ca="1" si="68"/>
        <v>0</v>
      </c>
      <c r="IL11" s="34">
        <f t="shared" ca="1" si="68"/>
        <v>0</v>
      </c>
      <c r="IM11" s="34">
        <f t="shared" ca="1" si="69"/>
        <v>0</v>
      </c>
      <c r="IN11" s="34">
        <f t="shared" ca="1" si="69"/>
        <v>0</v>
      </c>
      <c r="IO11" s="34">
        <f t="shared" ca="1" si="69"/>
        <v>0</v>
      </c>
      <c r="IP11" s="34">
        <f t="shared" ca="1" si="69"/>
        <v>0</v>
      </c>
      <c r="IQ11" s="34">
        <f t="shared" ca="1" si="69"/>
        <v>0</v>
      </c>
      <c r="IR11" s="34">
        <f t="shared" ca="1" si="69"/>
        <v>0</v>
      </c>
      <c r="IS11" s="34">
        <f t="shared" ca="1" si="69"/>
        <v>0</v>
      </c>
      <c r="IT11" s="34">
        <f t="shared" ca="1" si="69"/>
        <v>0</v>
      </c>
      <c r="IU11" s="34">
        <f t="shared" ca="1" si="69"/>
        <v>0</v>
      </c>
      <c r="IV11" s="34">
        <f t="shared" ca="1" si="69"/>
        <v>0</v>
      </c>
      <c r="IW11" s="34">
        <f t="shared" ca="1" si="70"/>
        <v>0</v>
      </c>
      <c r="IX11" s="34">
        <f t="shared" ca="1" si="70"/>
        <v>0</v>
      </c>
      <c r="IY11" s="34">
        <f t="shared" ca="1" si="70"/>
        <v>0</v>
      </c>
      <c r="IZ11" s="34">
        <f t="shared" ca="1" si="70"/>
        <v>0</v>
      </c>
      <c r="JA11" s="34">
        <f t="shared" ca="1" si="70"/>
        <v>0</v>
      </c>
      <c r="JB11" s="34">
        <f t="shared" ca="1" si="70"/>
        <v>0</v>
      </c>
      <c r="JC11" s="34">
        <f t="shared" ca="1" si="70"/>
        <v>0</v>
      </c>
      <c r="JD11" s="34">
        <f t="shared" ca="1" si="70"/>
        <v>0</v>
      </c>
      <c r="JE11" s="34">
        <f t="shared" ca="1" si="70"/>
        <v>0</v>
      </c>
      <c r="JF11" s="34">
        <f t="shared" ca="1" si="70"/>
        <v>0</v>
      </c>
      <c r="JG11" s="34">
        <f t="shared" ca="1" si="71"/>
        <v>0</v>
      </c>
      <c r="JH11" s="34">
        <f t="shared" ca="1" si="71"/>
        <v>0</v>
      </c>
      <c r="JI11" s="34">
        <f t="shared" ca="1" si="71"/>
        <v>0</v>
      </c>
      <c r="JJ11" s="34">
        <f t="shared" ca="1" si="71"/>
        <v>0</v>
      </c>
      <c r="JK11" s="34">
        <f t="shared" ca="1" si="71"/>
        <v>0</v>
      </c>
      <c r="JL11" s="34">
        <f t="shared" ca="1" si="71"/>
        <v>0</v>
      </c>
      <c r="JM11" s="34">
        <f t="shared" ca="1" si="71"/>
        <v>0</v>
      </c>
      <c r="JN11" s="34">
        <f t="shared" ca="1" si="71"/>
        <v>0</v>
      </c>
      <c r="JO11" s="34">
        <f t="shared" ca="1" si="71"/>
        <v>0</v>
      </c>
      <c r="JP11" s="34">
        <f t="shared" ca="1" si="71"/>
        <v>0</v>
      </c>
      <c r="JQ11" s="34">
        <f t="shared" ca="1" si="72"/>
        <v>0</v>
      </c>
      <c r="JR11" s="34">
        <f t="shared" ca="1" si="72"/>
        <v>0</v>
      </c>
      <c r="JS11" s="34">
        <f t="shared" ca="1" si="72"/>
        <v>0</v>
      </c>
      <c r="JT11" s="34">
        <f t="shared" ca="1" si="72"/>
        <v>0</v>
      </c>
      <c r="JU11" s="34">
        <f t="shared" ca="1" si="72"/>
        <v>0</v>
      </c>
      <c r="JV11" s="34">
        <f t="shared" ca="1" si="72"/>
        <v>0</v>
      </c>
      <c r="JW11" s="34">
        <f t="shared" ca="1" si="72"/>
        <v>0</v>
      </c>
      <c r="JX11" s="34">
        <f t="shared" ca="1" si="72"/>
        <v>0</v>
      </c>
      <c r="JY11" s="34">
        <f t="shared" ca="1" si="72"/>
        <v>0</v>
      </c>
      <c r="JZ11" s="34">
        <f t="shared" ca="1" si="72"/>
        <v>0</v>
      </c>
      <c r="KA11" s="34">
        <f t="shared" ca="1" si="73"/>
        <v>0</v>
      </c>
      <c r="KB11" s="34">
        <f t="shared" ca="1" si="73"/>
        <v>0</v>
      </c>
      <c r="KC11" s="34">
        <f t="shared" ca="1" si="73"/>
        <v>0</v>
      </c>
      <c r="KD11" s="34">
        <f t="shared" ca="1" si="73"/>
        <v>0</v>
      </c>
      <c r="KE11" s="34">
        <f t="shared" ca="1" si="73"/>
        <v>0</v>
      </c>
      <c r="KF11" s="34">
        <f t="shared" ca="1" si="73"/>
        <v>0</v>
      </c>
      <c r="KG11" s="34">
        <f t="shared" ca="1" si="73"/>
        <v>0</v>
      </c>
      <c r="KH11" s="34">
        <f t="shared" ca="1" si="73"/>
        <v>0</v>
      </c>
      <c r="KI11" s="34">
        <f t="shared" ca="1" si="73"/>
        <v>0</v>
      </c>
      <c r="KJ11" s="34">
        <f t="shared" ca="1" si="73"/>
        <v>0</v>
      </c>
      <c r="KK11" s="34">
        <f t="shared" ca="1" si="74"/>
        <v>0</v>
      </c>
      <c r="KL11" s="34">
        <f t="shared" ca="1" si="74"/>
        <v>0</v>
      </c>
      <c r="KM11" s="34">
        <f t="shared" ca="1" si="74"/>
        <v>0</v>
      </c>
      <c r="KN11" s="34">
        <f t="shared" ca="1" si="74"/>
        <v>0</v>
      </c>
      <c r="KO11" s="34">
        <f t="shared" ca="1" si="74"/>
        <v>0</v>
      </c>
      <c r="KP11" s="34">
        <f t="shared" ca="1" si="74"/>
        <v>0</v>
      </c>
      <c r="KQ11" s="34">
        <f t="shared" ca="1" si="74"/>
        <v>0</v>
      </c>
      <c r="KR11" s="34">
        <f t="shared" ca="1" si="74"/>
        <v>0</v>
      </c>
      <c r="KS11" s="34">
        <f t="shared" ca="1" si="74"/>
        <v>0</v>
      </c>
      <c r="KT11" s="34">
        <f t="shared" ca="1" si="74"/>
        <v>0</v>
      </c>
      <c r="KU11" s="34">
        <f t="shared" ca="1" si="75"/>
        <v>0</v>
      </c>
      <c r="KV11" s="34">
        <f t="shared" ca="1" si="75"/>
        <v>0</v>
      </c>
      <c r="KW11" s="34">
        <f t="shared" ca="1" si="75"/>
        <v>0</v>
      </c>
      <c r="KX11" s="34">
        <f t="shared" ca="1" si="75"/>
        <v>0</v>
      </c>
      <c r="KY11" s="34">
        <f t="shared" ca="1" si="75"/>
        <v>0</v>
      </c>
      <c r="KZ11" s="34">
        <f t="shared" ca="1" si="75"/>
        <v>0</v>
      </c>
      <c r="LA11" s="34">
        <f t="shared" ca="1" si="75"/>
        <v>0</v>
      </c>
      <c r="LB11" s="34">
        <f t="shared" ca="1" si="75"/>
        <v>0</v>
      </c>
      <c r="LC11" s="34">
        <f t="shared" ca="1" si="75"/>
        <v>0</v>
      </c>
      <c r="LD11" s="34">
        <f t="shared" ca="1" si="75"/>
        <v>0</v>
      </c>
      <c r="LE11" s="34">
        <f t="shared" ca="1" si="76"/>
        <v>0</v>
      </c>
      <c r="LF11" s="34">
        <f t="shared" ca="1" si="76"/>
        <v>0</v>
      </c>
      <c r="LG11" s="34">
        <f t="shared" ca="1" si="76"/>
        <v>0</v>
      </c>
      <c r="LH11" s="34">
        <f t="shared" ca="1" si="76"/>
        <v>0</v>
      </c>
      <c r="LI11" s="34">
        <f t="shared" ca="1" si="76"/>
        <v>0</v>
      </c>
      <c r="LJ11" s="34">
        <f t="shared" ca="1" si="76"/>
        <v>0</v>
      </c>
      <c r="LK11" s="34">
        <f t="shared" ca="1" si="76"/>
        <v>0</v>
      </c>
      <c r="LL11" s="34">
        <f t="shared" ca="1" si="76"/>
        <v>0</v>
      </c>
      <c r="LM11" s="34">
        <f t="shared" ca="1" si="76"/>
        <v>0</v>
      </c>
      <c r="LN11" s="34">
        <f t="shared" ca="1" si="76"/>
        <v>0</v>
      </c>
      <c r="LO11" s="34">
        <f t="shared" ca="1" si="77"/>
        <v>0</v>
      </c>
      <c r="LP11" s="34">
        <f t="shared" ca="1" si="77"/>
        <v>0</v>
      </c>
      <c r="LQ11" s="34">
        <f t="shared" ca="1" si="77"/>
        <v>0</v>
      </c>
      <c r="LR11" s="34">
        <f t="shared" ca="1" si="77"/>
        <v>0</v>
      </c>
      <c r="LS11" s="34">
        <f t="shared" ca="1" si="77"/>
        <v>0</v>
      </c>
      <c r="LT11" s="34">
        <f t="shared" ca="1" si="77"/>
        <v>0</v>
      </c>
      <c r="LU11" s="34">
        <f t="shared" ca="1" si="77"/>
        <v>0</v>
      </c>
      <c r="LV11" s="34">
        <f t="shared" ca="1" si="77"/>
        <v>0</v>
      </c>
      <c r="LW11" s="34">
        <f t="shared" ca="1" si="77"/>
        <v>0</v>
      </c>
      <c r="LX11" s="34">
        <f t="shared" ca="1" si="77"/>
        <v>0</v>
      </c>
      <c r="LY11" s="34">
        <f t="shared" ca="1" si="78"/>
        <v>0</v>
      </c>
      <c r="LZ11" s="34">
        <f t="shared" ca="1" si="78"/>
        <v>0</v>
      </c>
      <c r="MA11" s="34">
        <f t="shared" ca="1" si="78"/>
        <v>0</v>
      </c>
      <c r="MB11" s="34">
        <f t="shared" ca="1" si="78"/>
        <v>0</v>
      </c>
      <c r="MC11" s="34">
        <f t="shared" ca="1" si="78"/>
        <v>0</v>
      </c>
      <c r="MD11" s="34">
        <f t="shared" ca="1" si="78"/>
        <v>0</v>
      </c>
      <c r="ME11" s="34">
        <f t="shared" ca="1" si="78"/>
        <v>0</v>
      </c>
      <c r="MF11" s="34">
        <f t="shared" ca="1" si="78"/>
        <v>0</v>
      </c>
      <c r="MG11" s="34">
        <f t="shared" ca="1" si="78"/>
        <v>0</v>
      </c>
      <c r="MH11" s="34">
        <f t="shared" ca="1" si="78"/>
        <v>0</v>
      </c>
      <c r="MI11" s="34">
        <f t="shared" ca="1" si="79"/>
        <v>0</v>
      </c>
      <c r="MJ11" s="34">
        <f t="shared" ca="1" si="79"/>
        <v>0</v>
      </c>
      <c r="MK11" s="34">
        <f t="shared" ca="1" si="79"/>
        <v>0</v>
      </c>
      <c r="ML11" s="34">
        <f t="shared" ca="1" si="79"/>
        <v>0</v>
      </c>
      <c r="MM11" s="34">
        <f t="shared" ca="1" si="79"/>
        <v>0</v>
      </c>
      <c r="MN11" s="34">
        <f t="shared" ca="1" si="79"/>
        <v>0</v>
      </c>
      <c r="MO11" s="34">
        <f t="shared" ca="1" si="79"/>
        <v>0</v>
      </c>
      <c r="MP11" s="34">
        <f t="shared" ca="1" si="79"/>
        <v>0</v>
      </c>
      <c r="MQ11" s="34">
        <f t="shared" ca="1" si="79"/>
        <v>0</v>
      </c>
      <c r="MR11" s="34">
        <f t="shared" ca="1" si="79"/>
        <v>0</v>
      </c>
      <c r="MS11" s="34">
        <f t="shared" ca="1" si="80"/>
        <v>0</v>
      </c>
      <c r="MT11" s="34">
        <f t="shared" ca="1" si="80"/>
        <v>0</v>
      </c>
      <c r="MU11" s="34">
        <f t="shared" ca="1" si="80"/>
        <v>0</v>
      </c>
      <c r="MV11" s="34">
        <f t="shared" ca="1" si="80"/>
        <v>0</v>
      </c>
      <c r="MW11" s="34">
        <f t="shared" ca="1" si="80"/>
        <v>0</v>
      </c>
      <c r="MX11" s="34">
        <f t="shared" ca="1" si="80"/>
        <v>0</v>
      </c>
      <c r="MY11" s="34">
        <f t="shared" ca="1" si="80"/>
        <v>0</v>
      </c>
      <c r="MZ11" s="34">
        <f t="shared" ca="1" si="80"/>
        <v>0</v>
      </c>
      <c r="NA11" s="34">
        <f t="shared" ca="1" si="80"/>
        <v>0</v>
      </c>
      <c r="NB11" s="34">
        <f t="shared" ca="1" si="80"/>
        <v>0</v>
      </c>
      <c r="NC11" s="34">
        <f t="shared" ca="1" si="81"/>
        <v>0</v>
      </c>
      <c r="ND11" s="34">
        <f t="shared" ca="1" si="81"/>
        <v>0</v>
      </c>
      <c r="NE11" s="34">
        <f t="shared" ca="1" si="81"/>
        <v>0</v>
      </c>
      <c r="NF11" s="34">
        <f t="shared" ca="1" si="81"/>
        <v>0</v>
      </c>
      <c r="NG11" s="34">
        <f t="shared" ca="1" si="81"/>
        <v>0</v>
      </c>
      <c r="NH11" s="34">
        <f t="shared" ca="1" si="81"/>
        <v>0</v>
      </c>
      <c r="NI11" s="34">
        <f t="shared" ca="1" si="81"/>
        <v>0</v>
      </c>
      <c r="NJ11" s="34">
        <f t="shared" ca="1" si="81"/>
        <v>0</v>
      </c>
      <c r="NK11" s="34">
        <f t="shared" ca="1" si="81"/>
        <v>0</v>
      </c>
      <c r="NL11" s="34">
        <f t="shared" ca="1" si="81"/>
        <v>0</v>
      </c>
      <c r="NM11" s="34">
        <f t="shared" ca="1" si="82"/>
        <v>0</v>
      </c>
      <c r="NN11" s="34">
        <f t="shared" ca="1" si="82"/>
        <v>0</v>
      </c>
      <c r="NO11" s="34">
        <f t="shared" ca="1" si="82"/>
        <v>0</v>
      </c>
      <c r="NP11" s="34">
        <f t="shared" ca="1" si="82"/>
        <v>0</v>
      </c>
      <c r="NQ11" s="34">
        <f t="shared" ca="1" si="82"/>
        <v>0</v>
      </c>
      <c r="NR11" s="34">
        <f t="shared" ca="1" si="82"/>
        <v>0</v>
      </c>
      <c r="NS11" s="34">
        <f t="shared" ca="1" si="82"/>
        <v>0</v>
      </c>
      <c r="NT11" s="34">
        <f t="shared" ca="1" si="82"/>
        <v>0</v>
      </c>
      <c r="NU11" s="34">
        <f t="shared" ca="1" si="82"/>
        <v>0</v>
      </c>
      <c r="NV11" s="34">
        <f t="shared" ca="1" si="82"/>
        <v>0</v>
      </c>
      <c r="NW11" s="34">
        <f t="shared" ca="1" si="83"/>
        <v>0</v>
      </c>
      <c r="NX11" s="34">
        <f t="shared" ca="1" si="83"/>
        <v>0</v>
      </c>
      <c r="NY11" s="34">
        <f t="shared" ca="1" si="83"/>
        <v>0</v>
      </c>
      <c r="NZ11" s="34">
        <f t="shared" ca="1" si="83"/>
        <v>0</v>
      </c>
      <c r="OA11" s="34">
        <f t="shared" ca="1" si="83"/>
        <v>0</v>
      </c>
      <c r="OB11" s="34">
        <f t="shared" ca="1" si="83"/>
        <v>0</v>
      </c>
      <c r="OC11" s="34">
        <f t="shared" ca="1" si="83"/>
        <v>0</v>
      </c>
      <c r="OD11" s="34">
        <f t="shared" ca="1" si="83"/>
        <v>0</v>
      </c>
      <c r="OE11" s="34">
        <f t="shared" ca="1" si="83"/>
        <v>0</v>
      </c>
      <c r="OF11" s="34">
        <f t="shared" ca="1" si="83"/>
        <v>0</v>
      </c>
      <c r="OG11" s="34">
        <f t="shared" ca="1" si="84"/>
        <v>0</v>
      </c>
      <c r="OH11" s="34">
        <f t="shared" ca="1" si="84"/>
        <v>0</v>
      </c>
      <c r="OI11" s="34">
        <f t="shared" ca="1" si="84"/>
        <v>0</v>
      </c>
      <c r="OJ11" s="34">
        <f t="shared" ca="1" si="84"/>
        <v>0</v>
      </c>
      <c r="OK11" s="34">
        <f t="shared" ca="1" si="84"/>
        <v>0</v>
      </c>
      <c r="OL11" s="34">
        <f t="shared" ca="1" si="84"/>
        <v>0</v>
      </c>
      <c r="OM11" s="34">
        <f t="shared" ca="1" si="84"/>
        <v>0</v>
      </c>
      <c r="ON11" s="34">
        <f t="shared" ca="1" si="84"/>
        <v>0</v>
      </c>
      <c r="OO11" s="34">
        <f t="shared" ca="1" si="84"/>
        <v>0</v>
      </c>
      <c r="OP11" s="34">
        <f t="shared" ca="1" si="84"/>
        <v>0</v>
      </c>
      <c r="OQ11" s="34">
        <f t="shared" ca="1" si="85"/>
        <v>0</v>
      </c>
      <c r="OR11" s="34">
        <f t="shared" ca="1" si="85"/>
        <v>0</v>
      </c>
      <c r="OS11" s="34">
        <f t="shared" ca="1" si="85"/>
        <v>0</v>
      </c>
      <c r="OT11" s="34">
        <f t="shared" ca="1" si="85"/>
        <v>0</v>
      </c>
      <c r="OU11" s="34">
        <f t="shared" ca="1" si="85"/>
        <v>0</v>
      </c>
      <c r="OV11" s="34">
        <f t="shared" ca="1" si="85"/>
        <v>0</v>
      </c>
      <c r="OW11" s="34">
        <f t="shared" ca="1" si="85"/>
        <v>0</v>
      </c>
      <c r="OX11" s="34">
        <f t="shared" ca="1" si="85"/>
        <v>0</v>
      </c>
      <c r="OY11" s="34">
        <f t="shared" ca="1" si="85"/>
        <v>0</v>
      </c>
      <c r="OZ11" s="34">
        <f t="shared" ca="1" si="85"/>
        <v>0</v>
      </c>
      <c r="PA11" s="34">
        <f t="shared" ca="1" si="86"/>
        <v>0</v>
      </c>
      <c r="PB11" s="34">
        <f t="shared" ca="1" si="86"/>
        <v>0</v>
      </c>
      <c r="PC11" s="34">
        <f t="shared" ca="1" si="86"/>
        <v>0</v>
      </c>
      <c r="PD11" s="34">
        <f t="shared" ca="1" si="86"/>
        <v>0</v>
      </c>
      <c r="PE11" s="34">
        <f t="shared" ca="1" si="86"/>
        <v>0</v>
      </c>
      <c r="PF11" s="34">
        <f t="shared" ca="1" si="86"/>
        <v>0</v>
      </c>
      <c r="PG11" s="34">
        <f t="shared" ca="1" si="86"/>
        <v>0</v>
      </c>
      <c r="PH11" s="34">
        <f t="shared" ca="1" si="86"/>
        <v>0</v>
      </c>
      <c r="PI11" s="34">
        <f t="shared" ca="1" si="86"/>
        <v>0</v>
      </c>
      <c r="PJ11" s="34">
        <f t="shared" ca="1" si="86"/>
        <v>0</v>
      </c>
      <c r="PK11" s="34">
        <f t="shared" ca="1" si="87"/>
        <v>0</v>
      </c>
      <c r="PL11" s="34">
        <f t="shared" ca="1" si="87"/>
        <v>0</v>
      </c>
      <c r="PM11" s="34">
        <f t="shared" ca="1" si="87"/>
        <v>0</v>
      </c>
      <c r="PN11" s="34">
        <f t="shared" ca="1" si="87"/>
        <v>0</v>
      </c>
      <c r="PO11" s="34">
        <f t="shared" ca="1" si="87"/>
        <v>0</v>
      </c>
      <c r="PP11" s="34">
        <f t="shared" ca="1" si="87"/>
        <v>0</v>
      </c>
      <c r="PQ11" s="34">
        <f t="shared" ca="1" si="87"/>
        <v>0</v>
      </c>
      <c r="PR11" s="34">
        <f t="shared" ca="1" si="87"/>
        <v>0</v>
      </c>
      <c r="PS11" s="34">
        <f t="shared" ca="1" si="87"/>
        <v>0</v>
      </c>
      <c r="PT11" s="34">
        <f t="shared" ca="1" si="87"/>
        <v>0</v>
      </c>
      <c r="PU11" s="34">
        <f t="shared" ca="1" si="88"/>
        <v>0</v>
      </c>
      <c r="PV11" s="34">
        <f t="shared" ca="1" si="88"/>
        <v>0</v>
      </c>
      <c r="PW11" s="34">
        <f t="shared" ca="1" si="88"/>
        <v>0</v>
      </c>
      <c r="PX11" s="34">
        <f t="shared" ca="1" si="88"/>
        <v>0</v>
      </c>
      <c r="PY11" s="34">
        <f t="shared" ca="1" si="88"/>
        <v>0</v>
      </c>
      <c r="PZ11" s="34">
        <f t="shared" ca="1" si="88"/>
        <v>0</v>
      </c>
      <c r="QA11" s="34">
        <f t="shared" ca="1" si="88"/>
        <v>0</v>
      </c>
      <c r="QB11" s="34">
        <f t="shared" ca="1" si="88"/>
        <v>0</v>
      </c>
      <c r="QC11" s="34">
        <f t="shared" ca="1" si="88"/>
        <v>0</v>
      </c>
      <c r="QD11" s="34">
        <f t="shared" ca="1" si="88"/>
        <v>0</v>
      </c>
      <c r="QE11" s="34">
        <f t="shared" ca="1" si="89"/>
        <v>0</v>
      </c>
      <c r="QF11" s="34">
        <f t="shared" ca="1" si="89"/>
        <v>0</v>
      </c>
      <c r="QG11" s="34">
        <f t="shared" ca="1" si="89"/>
        <v>0</v>
      </c>
      <c r="QH11" s="34">
        <f t="shared" ca="1" si="89"/>
        <v>0</v>
      </c>
      <c r="QI11" s="34">
        <f t="shared" ca="1" si="89"/>
        <v>0</v>
      </c>
      <c r="QJ11" s="34">
        <f t="shared" ca="1" si="89"/>
        <v>0</v>
      </c>
      <c r="QK11" s="34">
        <f t="shared" ca="1" si="89"/>
        <v>0</v>
      </c>
      <c r="QL11" s="34">
        <f t="shared" ca="1" si="89"/>
        <v>0</v>
      </c>
      <c r="QM11" s="34">
        <f t="shared" ca="1" si="89"/>
        <v>0</v>
      </c>
      <c r="QN11" s="34">
        <f t="shared" ca="1" si="89"/>
        <v>0</v>
      </c>
      <c r="QO11" s="34">
        <f t="shared" ca="1" si="90"/>
        <v>0</v>
      </c>
      <c r="QP11" s="34">
        <f t="shared" ca="1" si="90"/>
        <v>0</v>
      </c>
      <c r="QQ11" s="34">
        <f t="shared" ca="1" si="90"/>
        <v>0</v>
      </c>
      <c r="QR11" s="34">
        <f t="shared" ca="1" si="90"/>
        <v>0</v>
      </c>
      <c r="QS11" s="34">
        <f t="shared" ca="1" si="90"/>
        <v>0</v>
      </c>
      <c r="QT11" s="34">
        <f t="shared" ca="1" si="90"/>
        <v>0</v>
      </c>
      <c r="QU11" s="34">
        <f t="shared" ca="1" si="90"/>
        <v>0</v>
      </c>
      <c r="QV11" s="34">
        <f t="shared" ca="1" si="90"/>
        <v>0</v>
      </c>
      <c r="QW11" s="34">
        <f t="shared" ca="1" si="90"/>
        <v>0</v>
      </c>
      <c r="QX11" s="34">
        <f t="shared" ca="1" si="90"/>
        <v>0</v>
      </c>
      <c r="QY11" s="34">
        <f t="shared" ca="1" si="91"/>
        <v>0</v>
      </c>
      <c r="QZ11" s="34">
        <f t="shared" ca="1" si="91"/>
        <v>0</v>
      </c>
      <c r="RA11" s="34">
        <f t="shared" ca="1" si="91"/>
        <v>0</v>
      </c>
      <c r="RB11" s="34">
        <f t="shared" ca="1" si="91"/>
        <v>0</v>
      </c>
      <c r="RC11" s="34">
        <f t="shared" ca="1" si="91"/>
        <v>0</v>
      </c>
      <c r="RD11" s="34">
        <f t="shared" ca="1" si="91"/>
        <v>0</v>
      </c>
      <c r="RE11" s="34">
        <f t="shared" ca="1" si="91"/>
        <v>0</v>
      </c>
      <c r="RF11" s="34">
        <f t="shared" ca="1" si="91"/>
        <v>0</v>
      </c>
      <c r="RG11" s="34">
        <f t="shared" ca="1" si="91"/>
        <v>0</v>
      </c>
      <c r="RH11" s="34">
        <f t="shared" ca="1" si="91"/>
        <v>0</v>
      </c>
      <c r="RI11" s="34">
        <f t="shared" ca="1" si="92"/>
        <v>0</v>
      </c>
      <c r="RJ11" s="34">
        <f t="shared" ca="1" si="92"/>
        <v>0</v>
      </c>
      <c r="RK11" s="34">
        <f t="shared" ca="1" si="92"/>
        <v>0</v>
      </c>
      <c r="RL11" s="34">
        <f t="shared" ca="1" si="92"/>
        <v>0</v>
      </c>
      <c r="RM11" s="34">
        <f t="shared" ca="1" si="92"/>
        <v>0</v>
      </c>
      <c r="RN11" s="34">
        <f t="shared" ca="1" si="92"/>
        <v>0</v>
      </c>
      <c r="RO11" s="34">
        <f t="shared" ca="1" si="92"/>
        <v>0</v>
      </c>
      <c r="RP11" s="34">
        <f t="shared" ca="1" si="92"/>
        <v>0</v>
      </c>
      <c r="RQ11" s="34">
        <f t="shared" ca="1" si="92"/>
        <v>0</v>
      </c>
      <c r="RR11" s="34">
        <f t="shared" ca="1" si="92"/>
        <v>0</v>
      </c>
      <c r="RS11" s="34">
        <f t="shared" ca="1" si="93"/>
        <v>0</v>
      </c>
      <c r="RT11" s="34">
        <f t="shared" ca="1" si="93"/>
        <v>0</v>
      </c>
      <c r="RU11" s="34">
        <f t="shared" ca="1" si="93"/>
        <v>0</v>
      </c>
      <c r="RV11" s="34">
        <f t="shared" ca="1" si="93"/>
        <v>0</v>
      </c>
      <c r="RW11" s="34">
        <f t="shared" ca="1" si="93"/>
        <v>0</v>
      </c>
      <c r="RX11" s="34">
        <f t="shared" ca="1" si="93"/>
        <v>0</v>
      </c>
      <c r="RY11" s="34">
        <f t="shared" ca="1" si="93"/>
        <v>0</v>
      </c>
      <c r="RZ11" s="34">
        <f t="shared" ca="1" si="93"/>
        <v>0</v>
      </c>
      <c r="SA11" s="34">
        <f t="shared" ca="1" si="93"/>
        <v>0</v>
      </c>
      <c r="SB11" s="34">
        <f t="shared" ca="1" si="93"/>
        <v>0</v>
      </c>
      <c r="SC11" s="34">
        <f t="shared" ca="1" si="94"/>
        <v>0</v>
      </c>
      <c r="SD11" s="34">
        <f t="shared" ca="1" si="94"/>
        <v>0</v>
      </c>
      <c r="SE11" s="34">
        <f t="shared" ca="1" si="94"/>
        <v>0</v>
      </c>
      <c r="SF11" s="34">
        <f t="shared" ca="1" si="94"/>
        <v>0</v>
      </c>
      <c r="SG11" s="34">
        <f t="shared" ca="1" si="94"/>
        <v>0</v>
      </c>
      <c r="SH11" s="34">
        <f t="shared" ca="1" si="94"/>
        <v>0</v>
      </c>
      <c r="SI11" s="34">
        <f t="shared" ca="1" si="94"/>
        <v>0</v>
      </c>
      <c r="SJ11" s="34">
        <f t="shared" ca="1" si="94"/>
        <v>0</v>
      </c>
      <c r="SK11" s="34">
        <f t="shared" ca="1" si="94"/>
        <v>0</v>
      </c>
      <c r="SL11" s="34">
        <f t="shared" ca="1" si="94"/>
        <v>0</v>
      </c>
      <c r="SM11" s="34">
        <f t="shared" ca="1" si="95"/>
        <v>0</v>
      </c>
      <c r="SN11" s="34">
        <f t="shared" ca="1" si="95"/>
        <v>0</v>
      </c>
      <c r="SO11" s="34">
        <f t="shared" ca="1" si="95"/>
        <v>0</v>
      </c>
      <c r="SP11" s="34">
        <f t="shared" ca="1" si="95"/>
        <v>0</v>
      </c>
      <c r="SQ11" s="34">
        <f t="shared" ca="1" si="95"/>
        <v>0</v>
      </c>
      <c r="SR11" s="34">
        <f t="shared" ca="1" si="95"/>
        <v>0</v>
      </c>
      <c r="SS11" s="34">
        <f t="shared" ca="1" si="95"/>
        <v>0</v>
      </c>
      <c r="ST11" s="34">
        <f t="shared" ca="1" si="95"/>
        <v>0</v>
      </c>
      <c r="SU11" s="34">
        <f t="shared" ca="1" si="95"/>
        <v>0</v>
      </c>
      <c r="SV11" s="34">
        <f t="shared" ca="1" si="95"/>
        <v>0</v>
      </c>
      <c r="SW11" s="34">
        <f t="shared" ca="1" si="96"/>
        <v>0</v>
      </c>
      <c r="SX11" s="34">
        <f t="shared" ca="1" si="96"/>
        <v>0</v>
      </c>
      <c r="SY11" s="34">
        <f t="shared" ca="1" si="96"/>
        <v>0</v>
      </c>
      <c r="SZ11" s="34">
        <f t="shared" ca="1" si="96"/>
        <v>0</v>
      </c>
      <c r="TA11" s="34">
        <f t="shared" ca="1" si="96"/>
        <v>0</v>
      </c>
      <c r="TB11" s="34">
        <f t="shared" ca="1" si="96"/>
        <v>0</v>
      </c>
      <c r="TC11" s="34">
        <f t="shared" ca="1" si="96"/>
        <v>0</v>
      </c>
      <c r="TD11" s="34">
        <f t="shared" ca="1" si="96"/>
        <v>0</v>
      </c>
      <c r="TE11" s="34">
        <f t="shared" ca="1" si="96"/>
        <v>0</v>
      </c>
      <c r="TF11" s="34">
        <f t="shared" ca="1" si="96"/>
        <v>0</v>
      </c>
      <c r="TG11" s="34">
        <f t="shared" ca="1" si="97"/>
        <v>0</v>
      </c>
      <c r="TH11" s="34">
        <f t="shared" ca="1" si="97"/>
        <v>0</v>
      </c>
      <c r="TI11" s="34">
        <f t="shared" ca="1" si="97"/>
        <v>0</v>
      </c>
      <c r="TJ11" s="34">
        <f t="shared" ca="1" si="97"/>
        <v>0</v>
      </c>
      <c r="TK11" s="34">
        <f t="shared" ca="1" si="97"/>
        <v>0</v>
      </c>
      <c r="TL11" s="34">
        <f t="shared" ca="1" si="97"/>
        <v>0</v>
      </c>
      <c r="TM11" s="34">
        <f t="shared" ca="1" si="97"/>
        <v>0</v>
      </c>
      <c r="TN11" s="34">
        <f t="shared" ca="1" si="97"/>
        <v>0</v>
      </c>
      <c r="TO11" s="34">
        <f t="shared" ca="1" si="97"/>
        <v>0</v>
      </c>
      <c r="TP11" s="34">
        <f t="shared" ca="1" si="97"/>
        <v>0</v>
      </c>
      <c r="TQ11" s="34">
        <f t="shared" ca="1" si="98"/>
        <v>0</v>
      </c>
      <c r="TR11" s="34">
        <f t="shared" ca="1" si="98"/>
        <v>0</v>
      </c>
      <c r="TS11" s="34">
        <f t="shared" ca="1" si="98"/>
        <v>0</v>
      </c>
      <c r="TT11" s="34">
        <f t="shared" ca="1" si="98"/>
        <v>0</v>
      </c>
      <c r="TU11" s="34">
        <f t="shared" ca="1" si="98"/>
        <v>0</v>
      </c>
      <c r="TV11" s="34">
        <f t="shared" ca="1" si="98"/>
        <v>0</v>
      </c>
      <c r="TW11" s="34">
        <f t="shared" ca="1" si="98"/>
        <v>0</v>
      </c>
      <c r="TX11" s="34">
        <f t="shared" ca="1" si="98"/>
        <v>0</v>
      </c>
      <c r="TY11" s="34">
        <f t="shared" ca="1" si="98"/>
        <v>0</v>
      </c>
      <c r="TZ11" s="34">
        <f t="shared" ca="1" si="98"/>
        <v>0</v>
      </c>
      <c r="UA11" s="34">
        <f t="shared" ca="1" si="99"/>
        <v>0</v>
      </c>
      <c r="UB11" s="34">
        <f t="shared" ca="1" si="99"/>
        <v>0</v>
      </c>
      <c r="UC11" s="34">
        <f t="shared" ca="1" si="99"/>
        <v>0</v>
      </c>
      <c r="UD11" s="34">
        <f t="shared" ca="1" si="99"/>
        <v>0</v>
      </c>
      <c r="UE11" s="34">
        <f t="shared" ca="1" si="99"/>
        <v>0</v>
      </c>
      <c r="UF11" s="34">
        <f t="shared" ca="1" si="99"/>
        <v>0</v>
      </c>
      <c r="UG11" s="34">
        <f t="shared" ca="1" si="99"/>
        <v>0</v>
      </c>
      <c r="UH11" s="34">
        <f t="shared" ca="1" si="99"/>
        <v>0</v>
      </c>
      <c r="UI11" s="34">
        <f t="shared" ca="1" si="99"/>
        <v>0</v>
      </c>
      <c r="UJ11" s="34">
        <f t="shared" ca="1" si="99"/>
        <v>0</v>
      </c>
      <c r="UK11" s="34">
        <f t="shared" ca="1" si="100"/>
        <v>0</v>
      </c>
      <c r="UL11" s="34">
        <f t="shared" ca="1" si="100"/>
        <v>0</v>
      </c>
      <c r="UM11" s="34">
        <f t="shared" ca="1" si="100"/>
        <v>0</v>
      </c>
      <c r="UN11" s="34">
        <f t="shared" ca="1" si="100"/>
        <v>0</v>
      </c>
      <c r="UO11" s="34">
        <f t="shared" ca="1" si="100"/>
        <v>0</v>
      </c>
      <c r="UP11" s="34">
        <f t="shared" ca="1" si="100"/>
        <v>0</v>
      </c>
      <c r="UQ11" s="34">
        <f t="shared" ca="1" si="100"/>
        <v>0</v>
      </c>
      <c r="UR11" s="34">
        <f t="shared" ca="1" si="100"/>
        <v>0</v>
      </c>
      <c r="US11" s="34">
        <f t="shared" ca="1" si="100"/>
        <v>0</v>
      </c>
      <c r="UT11" s="34">
        <f t="shared" ca="1" si="100"/>
        <v>0</v>
      </c>
      <c r="UU11" s="34">
        <f t="shared" ca="1" si="101"/>
        <v>0</v>
      </c>
      <c r="UV11" s="34">
        <f t="shared" ca="1" si="101"/>
        <v>0</v>
      </c>
      <c r="UW11" s="34">
        <f t="shared" ca="1" si="101"/>
        <v>0</v>
      </c>
      <c r="UX11" s="34">
        <f t="shared" ca="1" si="101"/>
        <v>0</v>
      </c>
      <c r="UY11" s="34">
        <f t="shared" ca="1" si="101"/>
        <v>0</v>
      </c>
      <c r="UZ11" s="34">
        <f t="shared" ca="1" si="101"/>
        <v>0</v>
      </c>
      <c r="VA11" s="34">
        <f t="shared" ca="1" si="101"/>
        <v>0</v>
      </c>
      <c r="VB11" s="34">
        <f t="shared" ca="1" si="101"/>
        <v>0</v>
      </c>
      <c r="VC11" s="34">
        <f t="shared" ca="1" si="101"/>
        <v>0</v>
      </c>
      <c r="VD11" s="34">
        <f t="shared" ca="1" si="101"/>
        <v>0</v>
      </c>
      <c r="VE11" s="34">
        <f t="shared" ca="1" si="102"/>
        <v>0</v>
      </c>
      <c r="VF11" s="34">
        <f t="shared" ca="1" si="102"/>
        <v>0</v>
      </c>
      <c r="VG11" s="34">
        <f t="shared" ca="1" si="102"/>
        <v>0</v>
      </c>
      <c r="VH11" s="34">
        <f t="shared" ca="1" si="102"/>
        <v>0</v>
      </c>
      <c r="VI11" s="34">
        <f t="shared" ca="1" si="102"/>
        <v>0</v>
      </c>
      <c r="VJ11" s="34">
        <f t="shared" ca="1" si="102"/>
        <v>0</v>
      </c>
      <c r="VK11" s="34">
        <f t="shared" ca="1" si="102"/>
        <v>0</v>
      </c>
      <c r="VL11" s="34">
        <f t="shared" ca="1" si="102"/>
        <v>0</v>
      </c>
      <c r="VM11" s="34">
        <f t="shared" ca="1" si="102"/>
        <v>0</v>
      </c>
      <c r="VN11" s="34">
        <f t="shared" ca="1" si="102"/>
        <v>0</v>
      </c>
      <c r="VO11" s="34">
        <f t="shared" ca="1" si="103"/>
        <v>0</v>
      </c>
      <c r="VP11" s="34">
        <f t="shared" ca="1" si="103"/>
        <v>0</v>
      </c>
      <c r="VQ11" s="34">
        <f t="shared" ca="1" si="103"/>
        <v>0</v>
      </c>
      <c r="VR11" s="34">
        <f t="shared" ca="1" si="103"/>
        <v>0</v>
      </c>
      <c r="VS11" s="34">
        <f t="shared" ca="1" si="103"/>
        <v>0</v>
      </c>
      <c r="VT11" s="34">
        <f t="shared" ca="1" si="103"/>
        <v>0</v>
      </c>
      <c r="VU11" s="34">
        <f t="shared" ca="1" si="103"/>
        <v>0</v>
      </c>
      <c r="VV11" s="34">
        <f t="shared" ca="1" si="103"/>
        <v>0</v>
      </c>
      <c r="VW11" s="34">
        <f t="shared" ca="1" si="103"/>
        <v>0</v>
      </c>
      <c r="VX11" s="34">
        <f t="shared" ca="1" si="103"/>
        <v>0</v>
      </c>
      <c r="VY11" s="34">
        <f t="shared" ca="1" si="104"/>
        <v>0</v>
      </c>
      <c r="VZ11" s="34">
        <f t="shared" ca="1" si="104"/>
        <v>0</v>
      </c>
      <c r="WA11" s="34">
        <f t="shared" ca="1" si="104"/>
        <v>0</v>
      </c>
      <c r="WB11" s="34">
        <f t="shared" ca="1" si="104"/>
        <v>0</v>
      </c>
      <c r="WC11" s="34">
        <f t="shared" ca="1" si="104"/>
        <v>0</v>
      </c>
      <c r="WD11" s="34">
        <f t="shared" ca="1" si="104"/>
        <v>0</v>
      </c>
      <c r="WE11" s="34">
        <f t="shared" ca="1" si="104"/>
        <v>0</v>
      </c>
      <c r="WF11" s="34">
        <f t="shared" ca="1" si="104"/>
        <v>0</v>
      </c>
      <c r="WG11" s="34">
        <f t="shared" ca="1" si="104"/>
        <v>0</v>
      </c>
      <c r="WH11" s="34">
        <f t="shared" ca="1" si="104"/>
        <v>0</v>
      </c>
      <c r="WI11" s="34">
        <f t="shared" ca="1" si="105"/>
        <v>0</v>
      </c>
      <c r="WJ11" s="34">
        <f t="shared" ca="1" si="105"/>
        <v>0</v>
      </c>
      <c r="WK11" s="34">
        <f t="shared" ca="1" si="105"/>
        <v>0</v>
      </c>
      <c r="WL11" s="34">
        <f t="shared" ca="1" si="105"/>
        <v>0</v>
      </c>
      <c r="WM11" s="34">
        <f t="shared" ca="1" si="105"/>
        <v>0</v>
      </c>
      <c r="WN11" s="34">
        <f t="shared" ca="1" si="105"/>
        <v>0</v>
      </c>
      <c r="WO11" s="34">
        <f t="shared" ca="1" si="105"/>
        <v>0</v>
      </c>
      <c r="WP11" s="34">
        <f t="shared" ca="1" si="105"/>
        <v>0</v>
      </c>
      <c r="WQ11" s="34">
        <f t="shared" ca="1" si="105"/>
        <v>0</v>
      </c>
      <c r="WR11" s="34">
        <f t="shared" ca="1" si="105"/>
        <v>0</v>
      </c>
      <c r="WS11" s="34">
        <f t="shared" ca="1" si="106"/>
        <v>0</v>
      </c>
      <c r="WT11" s="34">
        <f t="shared" ca="1" si="106"/>
        <v>0</v>
      </c>
      <c r="WU11" s="34">
        <f t="shared" ca="1" si="106"/>
        <v>0</v>
      </c>
      <c r="WV11" s="34">
        <f t="shared" ca="1" si="106"/>
        <v>0</v>
      </c>
      <c r="WW11" s="34">
        <f t="shared" ca="1" si="106"/>
        <v>0</v>
      </c>
      <c r="WX11" s="34">
        <f t="shared" ca="1" si="106"/>
        <v>0</v>
      </c>
      <c r="WY11" s="34">
        <f t="shared" ca="1" si="106"/>
        <v>0</v>
      </c>
      <c r="WZ11" s="34">
        <f t="shared" ca="1" si="106"/>
        <v>0</v>
      </c>
      <c r="XA11" s="34">
        <f t="shared" ca="1" si="106"/>
        <v>0</v>
      </c>
      <c r="XB11" s="34">
        <f t="shared" ca="1" si="106"/>
        <v>0</v>
      </c>
      <c r="XC11" s="34">
        <f t="shared" ca="1" si="107"/>
        <v>0</v>
      </c>
      <c r="XD11" s="34">
        <f t="shared" ca="1" si="107"/>
        <v>0</v>
      </c>
      <c r="XE11" s="34">
        <f t="shared" ca="1" si="107"/>
        <v>0</v>
      </c>
      <c r="XF11" s="34">
        <f t="shared" ca="1" si="107"/>
        <v>0</v>
      </c>
      <c r="XG11" s="34">
        <f t="shared" ca="1" si="107"/>
        <v>0</v>
      </c>
      <c r="XH11" s="34">
        <f t="shared" ca="1" si="107"/>
        <v>0</v>
      </c>
      <c r="XI11" s="34">
        <f t="shared" ca="1" si="107"/>
        <v>0</v>
      </c>
      <c r="XJ11" s="34">
        <f t="shared" ca="1" si="107"/>
        <v>0</v>
      </c>
      <c r="XK11" s="34">
        <f t="shared" ca="1" si="107"/>
        <v>0</v>
      </c>
      <c r="XL11" s="34">
        <f t="shared" ca="1" si="107"/>
        <v>0</v>
      </c>
      <c r="XM11" s="34">
        <f t="shared" ca="1" si="108"/>
        <v>0</v>
      </c>
      <c r="XN11" s="34">
        <f t="shared" ca="1" si="108"/>
        <v>0</v>
      </c>
      <c r="XO11" s="34">
        <f t="shared" ca="1" si="108"/>
        <v>0</v>
      </c>
      <c r="XP11" s="34">
        <f t="shared" ca="1" si="108"/>
        <v>0</v>
      </c>
      <c r="XQ11" s="34">
        <f t="shared" ca="1" si="108"/>
        <v>0</v>
      </c>
      <c r="XR11" s="34">
        <f t="shared" ca="1" si="108"/>
        <v>0</v>
      </c>
      <c r="XS11" s="34">
        <f t="shared" ca="1" si="108"/>
        <v>0</v>
      </c>
      <c r="XT11" s="34">
        <f t="shared" ca="1" si="108"/>
        <v>0</v>
      </c>
      <c r="XU11" s="34">
        <f t="shared" ca="1" si="108"/>
        <v>0</v>
      </c>
      <c r="XV11" s="34">
        <f t="shared" ca="1" si="108"/>
        <v>0</v>
      </c>
      <c r="XW11" s="34">
        <f t="shared" ca="1" si="109"/>
        <v>0</v>
      </c>
      <c r="XX11" s="34">
        <f t="shared" ca="1" si="109"/>
        <v>0</v>
      </c>
      <c r="XY11" s="34">
        <f t="shared" ca="1" si="109"/>
        <v>0</v>
      </c>
      <c r="XZ11" s="34">
        <f t="shared" ca="1" si="109"/>
        <v>0</v>
      </c>
      <c r="YA11" s="34">
        <f t="shared" ca="1" si="109"/>
        <v>0</v>
      </c>
      <c r="YB11" s="34">
        <f t="shared" ca="1" si="109"/>
        <v>0</v>
      </c>
      <c r="YC11" s="34">
        <f t="shared" ca="1" si="109"/>
        <v>0</v>
      </c>
      <c r="YD11" s="34">
        <f t="shared" ca="1" si="109"/>
        <v>0</v>
      </c>
      <c r="YE11" s="34">
        <f t="shared" ca="1" si="109"/>
        <v>0</v>
      </c>
      <c r="YF11" s="34">
        <f t="shared" ca="1" si="109"/>
        <v>0</v>
      </c>
      <c r="YG11" s="34">
        <f t="shared" ca="1" si="110"/>
        <v>0</v>
      </c>
      <c r="YH11" s="34">
        <f t="shared" ca="1" si="110"/>
        <v>0</v>
      </c>
      <c r="YI11" s="34">
        <f t="shared" ca="1" si="110"/>
        <v>0</v>
      </c>
      <c r="YJ11" s="34">
        <f t="shared" ca="1" si="110"/>
        <v>0</v>
      </c>
      <c r="YK11" s="34">
        <f t="shared" ca="1" si="110"/>
        <v>0</v>
      </c>
      <c r="YL11" s="34">
        <f t="shared" ca="1" si="110"/>
        <v>0</v>
      </c>
      <c r="YM11" s="34">
        <f t="shared" ca="1" si="110"/>
        <v>0</v>
      </c>
      <c r="YN11" s="34">
        <f t="shared" ca="1" si="110"/>
        <v>0</v>
      </c>
      <c r="YO11" s="34">
        <f t="shared" ca="1" si="110"/>
        <v>0</v>
      </c>
      <c r="YP11" s="34">
        <f t="shared" ca="1" si="110"/>
        <v>0</v>
      </c>
      <c r="YQ11" s="34">
        <f t="shared" ca="1" si="111"/>
        <v>0</v>
      </c>
      <c r="YR11" s="34">
        <f t="shared" ca="1" si="111"/>
        <v>0</v>
      </c>
      <c r="YS11" s="34">
        <f t="shared" ca="1" si="111"/>
        <v>0</v>
      </c>
      <c r="YT11" s="34">
        <f t="shared" ca="1" si="111"/>
        <v>0</v>
      </c>
      <c r="YU11" s="34">
        <f t="shared" ca="1" si="111"/>
        <v>0</v>
      </c>
      <c r="YV11" s="34">
        <f t="shared" ca="1" si="111"/>
        <v>0</v>
      </c>
      <c r="YW11" s="34">
        <f t="shared" ca="1" si="111"/>
        <v>0</v>
      </c>
      <c r="YX11" s="34">
        <f t="shared" ca="1" si="111"/>
        <v>0</v>
      </c>
      <c r="YY11" s="34">
        <f t="shared" ca="1" si="111"/>
        <v>0</v>
      </c>
      <c r="YZ11" s="34">
        <f t="shared" ca="1" si="111"/>
        <v>0</v>
      </c>
      <c r="ZA11" s="34">
        <f t="shared" ca="1" si="112"/>
        <v>0</v>
      </c>
      <c r="ZB11" s="34">
        <f t="shared" ca="1" si="112"/>
        <v>0</v>
      </c>
      <c r="ZC11" s="34">
        <f t="shared" ca="1" si="112"/>
        <v>0</v>
      </c>
      <c r="ZD11" s="34">
        <f t="shared" ca="1" si="112"/>
        <v>0</v>
      </c>
      <c r="ZE11" s="34">
        <f t="shared" ca="1" si="112"/>
        <v>0</v>
      </c>
      <c r="ZF11" s="34">
        <f t="shared" ca="1" si="112"/>
        <v>0</v>
      </c>
      <c r="ZG11" s="34">
        <f t="shared" ca="1" si="112"/>
        <v>0</v>
      </c>
      <c r="ZH11" s="34">
        <f t="shared" ca="1" si="112"/>
        <v>0</v>
      </c>
      <c r="ZI11" s="34">
        <f t="shared" ca="1" si="112"/>
        <v>0</v>
      </c>
      <c r="ZJ11" s="34">
        <f t="shared" ca="1" si="112"/>
        <v>0</v>
      </c>
      <c r="ZK11" s="34">
        <f t="shared" ca="1" si="113"/>
        <v>0</v>
      </c>
      <c r="ZL11" s="34">
        <f t="shared" ca="1" si="113"/>
        <v>0</v>
      </c>
      <c r="ZM11" s="34">
        <f t="shared" ca="1" si="113"/>
        <v>0</v>
      </c>
      <c r="ZN11" s="34">
        <f t="shared" ca="1" si="113"/>
        <v>0</v>
      </c>
      <c r="ZO11" s="34">
        <f t="shared" ca="1" si="113"/>
        <v>0</v>
      </c>
      <c r="ZP11" s="34">
        <f t="shared" ca="1" si="113"/>
        <v>0</v>
      </c>
      <c r="ZQ11" s="34">
        <f t="shared" ca="1" si="113"/>
        <v>0</v>
      </c>
      <c r="ZR11" s="34">
        <f t="shared" ca="1" si="113"/>
        <v>0</v>
      </c>
      <c r="ZS11" s="34">
        <f t="shared" ca="1" si="113"/>
        <v>0</v>
      </c>
      <c r="ZT11" s="34">
        <f t="shared" ca="1" si="113"/>
        <v>0</v>
      </c>
      <c r="ZU11" s="34">
        <f t="shared" ca="1" si="114"/>
        <v>0</v>
      </c>
      <c r="ZV11" s="34">
        <f t="shared" ca="1" si="114"/>
        <v>0</v>
      </c>
      <c r="ZW11" s="34">
        <f t="shared" ca="1" si="114"/>
        <v>0</v>
      </c>
      <c r="ZX11" s="34">
        <f t="shared" ca="1" si="114"/>
        <v>0</v>
      </c>
      <c r="ZY11" s="34">
        <f t="shared" ca="1" si="114"/>
        <v>0</v>
      </c>
      <c r="ZZ11" s="34">
        <f t="shared" ca="1" si="114"/>
        <v>0</v>
      </c>
      <c r="AAA11" s="34">
        <f t="shared" ca="1" si="114"/>
        <v>0</v>
      </c>
      <c r="AAB11" s="34">
        <f t="shared" ca="1" si="114"/>
        <v>0</v>
      </c>
      <c r="AAC11" s="34">
        <f t="shared" ca="1" si="114"/>
        <v>0</v>
      </c>
      <c r="AAD11" s="34">
        <f t="shared" ca="1" si="114"/>
        <v>0</v>
      </c>
      <c r="AAE11" s="34">
        <f t="shared" ca="1" si="115"/>
        <v>0</v>
      </c>
      <c r="AAF11" s="34">
        <f t="shared" ca="1" si="115"/>
        <v>0</v>
      </c>
      <c r="AAG11" s="34">
        <f t="shared" ca="1" si="115"/>
        <v>0</v>
      </c>
      <c r="AAH11" s="34">
        <f t="shared" ca="1" si="115"/>
        <v>0</v>
      </c>
      <c r="AAI11" s="34">
        <f t="shared" ca="1" si="115"/>
        <v>0</v>
      </c>
      <c r="AAJ11" s="34">
        <f t="shared" ca="1" si="115"/>
        <v>0</v>
      </c>
      <c r="AAK11" s="34">
        <f t="shared" ca="1" si="115"/>
        <v>0</v>
      </c>
      <c r="AAL11" s="34">
        <f t="shared" ca="1" si="115"/>
        <v>0</v>
      </c>
      <c r="AAM11" s="34">
        <f t="shared" ca="1" si="115"/>
        <v>0</v>
      </c>
      <c r="AAN11" s="34">
        <f t="shared" ca="1" si="115"/>
        <v>0</v>
      </c>
      <c r="AAO11" s="34">
        <f t="shared" ca="1" si="116"/>
        <v>0</v>
      </c>
      <c r="AAP11" s="34">
        <f t="shared" ca="1" si="116"/>
        <v>0</v>
      </c>
      <c r="AAQ11" s="34">
        <f t="shared" ca="1" si="116"/>
        <v>0</v>
      </c>
      <c r="AAR11" s="34">
        <f t="shared" ca="1" si="116"/>
        <v>0</v>
      </c>
      <c r="AAS11" s="34">
        <f t="shared" ca="1" si="116"/>
        <v>0</v>
      </c>
      <c r="AAT11" s="34">
        <f t="shared" ca="1" si="116"/>
        <v>0</v>
      </c>
      <c r="AAU11" s="34">
        <f t="shared" ca="1" si="116"/>
        <v>0</v>
      </c>
      <c r="AAV11" s="34">
        <f t="shared" ca="1" si="116"/>
        <v>0</v>
      </c>
      <c r="AAW11" s="34">
        <f t="shared" ca="1" si="116"/>
        <v>0</v>
      </c>
      <c r="AAX11" s="34">
        <f t="shared" ca="1" si="116"/>
        <v>0</v>
      </c>
      <c r="AAY11" s="34">
        <f t="shared" ca="1" si="117"/>
        <v>0</v>
      </c>
      <c r="AAZ11" s="34">
        <f t="shared" ca="1" si="117"/>
        <v>0</v>
      </c>
      <c r="ABA11" s="34">
        <f t="shared" ca="1" si="117"/>
        <v>0</v>
      </c>
      <c r="ABB11" s="34">
        <f t="shared" ca="1" si="117"/>
        <v>0</v>
      </c>
      <c r="ABC11" s="34">
        <f t="shared" ca="1" si="117"/>
        <v>0</v>
      </c>
      <c r="ABD11" s="34">
        <f t="shared" ca="1" si="117"/>
        <v>0</v>
      </c>
      <c r="ABE11" s="34">
        <f t="shared" ca="1" si="117"/>
        <v>0</v>
      </c>
      <c r="ABF11" s="34">
        <f t="shared" ca="1" si="117"/>
        <v>0</v>
      </c>
      <c r="ABG11" s="34">
        <f t="shared" ca="1" si="117"/>
        <v>0</v>
      </c>
      <c r="ABH11" s="34">
        <f t="shared" ca="1" si="117"/>
        <v>0</v>
      </c>
      <c r="ABI11" s="34">
        <f t="shared" ca="1" si="118"/>
        <v>0</v>
      </c>
      <c r="ABJ11" s="34">
        <f t="shared" ca="1" si="118"/>
        <v>0</v>
      </c>
      <c r="ABK11" s="34">
        <f t="shared" ca="1" si="118"/>
        <v>0</v>
      </c>
      <c r="ABL11" s="34">
        <f t="shared" ca="1" si="118"/>
        <v>0</v>
      </c>
      <c r="ABM11" s="34">
        <f t="shared" ca="1" si="118"/>
        <v>0</v>
      </c>
      <c r="ABN11" s="34">
        <f t="shared" ca="1" si="118"/>
        <v>0</v>
      </c>
      <c r="ABO11" s="34">
        <f t="shared" ca="1" si="118"/>
        <v>0</v>
      </c>
      <c r="ABP11" s="34">
        <f t="shared" ca="1" si="118"/>
        <v>0</v>
      </c>
      <c r="ABQ11" s="34">
        <f t="shared" ca="1" si="118"/>
        <v>0</v>
      </c>
      <c r="ABR11" s="34">
        <f t="shared" ca="1" si="118"/>
        <v>0</v>
      </c>
      <c r="ABS11" s="34">
        <f t="shared" ca="1" si="119"/>
        <v>0</v>
      </c>
      <c r="ABT11" s="34">
        <f t="shared" ca="1" si="119"/>
        <v>0</v>
      </c>
      <c r="ABU11" s="34">
        <f t="shared" ca="1" si="119"/>
        <v>0</v>
      </c>
      <c r="ABV11" s="34">
        <f t="shared" ca="1" si="119"/>
        <v>0</v>
      </c>
      <c r="ABW11" s="34">
        <f t="shared" ca="1" si="119"/>
        <v>0</v>
      </c>
      <c r="ABX11" s="34">
        <f t="shared" ca="1" si="119"/>
        <v>0</v>
      </c>
      <c r="ABY11" s="34">
        <f t="shared" ca="1" si="119"/>
        <v>0</v>
      </c>
      <c r="ABZ11" s="34">
        <f t="shared" ca="1" si="119"/>
        <v>0</v>
      </c>
      <c r="ACA11" s="34">
        <f t="shared" ca="1" si="119"/>
        <v>0</v>
      </c>
      <c r="ACB11" s="34">
        <f t="shared" ca="1" si="119"/>
        <v>0</v>
      </c>
      <c r="ACC11" s="34">
        <f t="shared" ca="1" si="120"/>
        <v>0</v>
      </c>
      <c r="ACD11" s="34">
        <f t="shared" ca="1" si="120"/>
        <v>0</v>
      </c>
      <c r="ACE11" s="34">
        <f t="shared" ca="1" si="120"/>
        <v>0</v>
      </c>
      <c r="ACF11" s="34">
        <f t="shared" ca="1" si="120"/>
        <v>0</v>
      </c>
      <c r="ACG11" s="34">
        <f t="shared" ca="1" si="120"/>
        <v>0</v>
      </c>
      <c r="ACH11" s="34">
        <f t="shared" ca="1" si="120"/>
        <v>0</v>
      </c>
      <c r="ACI11" s="34">
        <f t="shared" ca="1" si="120"/>
        <v>0</v>
      </c>
      <c r="ACJ11" s="34">
        <f t="shared" ca="1" si="120"/>
        <v>0</v>
      </c>
      <c r="ACK11" s="34">
        <f t="shared" ca="1" si="120"/>
        <v>0</v>
      </c>
      <c r="ACL11" s="34">
        <f t="shared" ca="1" si="120"/>
        <v>0</v>
      </c>
      <c r="ACM11" s="34">
        <f t="shared" ca="1" si="121"/>
        <v>0</v>
      </c>
      <c r="ACN11" s="34">
        <f t="shared" ca="1" si="121"/>
        <v>0</v>
      </c>
      <c r="ACO11" s="34">
        <f t="shared" ca="1" si="121"/>
        <v>0</v>
      </c>
      <c r="ACP11" s="34">
        <f t="shared" ca="1" si="121"/>
        <v>0</v>
      </c>
      <c r="ACQ11" s="34">
        <f t="shared" ca="1" si="121"/>
        <v>0</v>
      </c>
      <c r="ACR11" s="34">
        <f t="shared" ca="1" si="121"/>
        <v>0</v>
      </c>
      <c r="ACS11" s="34">
        <f t="shared" ca="1" si="121"/>
        <v>0</v>
      </c>
      <c r="ACT11" s="34">
        <f t="shared" ca="1" si="121"/>
        <v>0</v>
      </c>
      <c r="ACU11" s="34">
        <f t="shared" ca="1" si="121"/>
        <v>0</v>
      </c>
      <c r="ACV11" s="34">
        <f t="shared" ca="1" si="121"/>
        <v>0</v>
      </c>
      <c r="ACW11" s="34">
        <f t="shared" ca="1" si="122"/>
        <v>0</v>
      </c>
      <c r="ACX11" s="34">
        <f t="shared" ca="1" si="122"/>
        <v>0</v>
      </c>
      <c r="ACY11" s="34">
        <f t="shared" ca="1" si="122"/>
        <v>0</v>
      </c>
      <c r="ACZ11" s="34">
        <f t="shared" ca="1" si="122"/>
        <v>0</v>
      </c>
      <c r="ADA11" s="34">
        <f t="shared" ca="1" si="122"/>
        <v>0</v>
      </c>
      <c r="ADB11" s="34">
        <f t="shared" ca="1" si="122"/>
        <v>0</v>
      </c>
      <c r="ADC11" s="34">
        <f t="shared" ca="1" si="122"/>
        <v>0</v>
      </c>
      <c r="ADD11" s="34">
        <f t="shared" ca="1" si="122"/>
        <v>0</v>
      </c>
      <c r="ADE11" s="34">
        <f t="shared" ca="1" si="122"/>
        <v>0</v>
      </c>
      <c r="ADF11" s="34">
        <f t="shared" ca="1" si="122"/>
        <v>0</v>
      </c>
      <c r="ADG11" s="34">
        <f t="shared" ca="1" si="123"/>
        <v>0</v>
      </c>
      <c r="ADH11" s="34">
        <f t="shared" ca="1" si="123"/>
        <v>0</v>
      </c>
      <c r="ADI11" s="34">
        <f t="shared" ca="1" si="123"/>
        <v>0</v>
      </c>
      <c r="ADJ11" s="34">
        <f t="shared" ca="1" si="123"/>
        <v>0</v>
      </c>
      <c r="ADK11" s="34">
        <f t="shared" ca="1" si="123"/>
        <v>0</v>
      </c>
      <c r="ADL11" s="34">
        <f t="shared" ca="1" si="123"/>
        <v>0</v>
      </c>
      <c r="ADM11" s="34">
        <f t="shared" ca="1" si="123"/>
        <v>0</v>
      </c>
      <c r="ADN11" s="34">
        <f t="shared" ca="1" si="123"/>
        <v>0</v>
      </c>
      <c r="ADO11" s="34">
        <f t="shared" ca="1" si="123"/>
        <v>0</v>
      </c>
      <c r="ADP11" s="34">
        <f t="shared" ca="1" si="123"/>
        <v>0</v>
      </c>
      <c r="ADQ11" s="34">
        <f t="shared" ca="1" si="124"/>
        <v>0</v>
      </c>
      <c r="ADR11" s="34">
        <f t="shared" ca="1" si="124"/>
        <v>0</v>
      </c>
      <c r="ADS11" s="34">
        <f t="shared" ca="1" si="124"/>
        <v>0</v>
      </c>
      <c r="ADT11" s="34">
        <f t="shared" ca="1" si="124"/>
        <v>0</v>
      </c>
      <c r="ADU11" s="34">
        <f t="shared" ca="1" si="124"/>
        <v>0</v>
      </c>
      <c r="ADV11" s="34">
        <f t="shared" ca="1" si="124"/>
        <v>0</v>
      </c>
      <c r="ADW11" s="34">
        <f t="shared" ca="1" si="124"/>
        <v>0</v>
      </c>
      <c r="ADX11" s="34">
        <f t="shared" ca="1" si="124"/>
        <v>0</v>
      </c>
      <c r="ADY11" s="34">
        <f t="shared" ca="1" si="124"/>
        <v>0</v>
      </c>
      <c r="ADZ11" s="34">
        <f t="shared" ca="1" si="124"/>
        <v>0</v>
      </c>
      <c r="AEA11" s="34">
        <f t="shared" ca="1" si="125"/>
        <v>0</v>
      </c>
      <c r="AEB11" s="34">
        <f t="shared" ca="1" si="125"/>
        <v>0</v>
      </c>
      <c r="AEC11" s="34">
        <f t="shared" ca="1" si="125"/>
        <v>0</v>
      </c>
      <c r="AED11" s="34">
        <f t="shared" ca="1" si="125"/>
        <v>0</v>
      </c>
      <c r="AEE11" s="34">
        <f t="shared" ca="1" si="125"/>
        <v>0</v>
      </c>
      <c r="AEF11" s="34">
        <f t="shared" ca="1" si="125"/>
        <v>0</v>
      </c>
      <c r="AEG11" s="34">
        <f t="shared" ca="1" si="125"/>
        <v>0</v>
      </c>
      <c r="AEH11" s="34">
        <f t="shared" ca="1" si="125"/>
        <v>0</v>
      </c>
      <c r="AEI11" s="34">
        <f t="shared" ca="1" si="125"/>
        <v>0</v>
      </c>
      <c r="AEJ11" s="34">
        <f t="shared" ca="1" si="125"/>
        <v>0</v>
      </c>
      <c r="AEK11" s="34">
        <f t="shared" ca="1" si="126"/>
        <v>0</v>
      </c>
      <c r="AEL11" s="34">
        <f t="shared" ca="1" si="126"/>
        <v>0</v>
      </c>
      <c r="AEM11" s="34">
        <f t="shared" ca="1" si="126"/>
        <v>0</v>
      </c>
      <c r="AEN11" s="34">
        <f t="shared" ca="1" si="126"/>
        <v>0</v>
      </c>
      <c r="AEO11" s="34">
        <f t="shared" ca="1" si="126"/>
        <v>0</v>
      </c>
      <c r="AEP11" s="34">
        <f t="shared" ca="1" si="126"/>
        <v>0</v>
      </c>
      <c r="AEQ11" s="34">
        <f t="shared" ca="1" si="126"/>
        <v>0</v>
      </c>
      <c r="AER11" s="34">
        <f t="shared" ca="1" si="126"/>
        <v>0</v>
      </c>
      <c r="AES11" s="34">
        <f t="shared" ca="1" si="126"/>
        <v>0</v>
      </c>
      <c r="AET11" s="34">
        <f t="shared" ca="1" si="126"/>
        <v>0</v>
      </c>
      <c r="AEU11" s="34">
        <f t="shared" ca="1" si="127"/>
        <v>0</v>
      </c>
      <c r="AEV11" s="34">
        <f t="shared" ca="1" si="127"/>
        <v>0</v>
      </c>
      <c r="AEW11" s="34">
        <f t="shared" ca="1" si="127"/>
        <v>0</v>
      </c>
      <c r="AEX11" s="34">
        <f t="shared" ca="1" si="127"/>
        <v>0</v>
      </c>
      <c r="AEY11" s="34">
        <f t="shared" ca="1" si="127"/>
        <v>0</v>
      </c>
      <c r="AEZ11" s="34">
        <f t="shared" ca="1" si="127"/>
        <v>0</v>
      </c>
      <c r="AFA11" s="34">
        <f t="shared" ca="1" si="127"/>
        <v>0</v>
      </c>
      <c r="AFB11" s="34">
        <f t="shared" ca="1" si="127"/>
        <v>0</v>
      </c>
      <c r="AFC11" s="34">
        <f t="shared" ca="1" si="127"/>
        <v>0</v>
      </c>
      <c r="AFD11" s="34">
        <f t="shared" ca="1" si="127"/>
        <v>0</v>
      </c>
      <c r="AFE11" s="34">
        <f t="shared" ca="1" si="128"/>
        <v>0</v>
      </c>
      <c r="AFF11" s="34">
        <f t="shared" ca="1" si="128"/>
        <v>0</v>
      </c>
      <c r="AFG11" s="34">
        <f t="shared" ca="1" si="128"/>
        <v>0</v>
      </c>
      <c r="AFH11" s="34">
        <f t="shared" ca="1" si="128"/>
        <v>0</v>
      </c>
      <c r="AFI11" s="34">
        <f t="shared" ca="1" si="128"/>
        <v>0</v>
      </c>
      <c r="AFJ11" s="34">
        <f t="shared" ca="1" si="128"/>
        <v>0</v>
      </c>
      <c r="AFK11" s="34">
        <f t="shared" ca="1" si="128"/>
        <v>0</v>
      </c>
      <c r="AFL11" s="34">
        <f t="shared" ca="1" si="128"/>
        <v>0</v>
      </c>
      <c r="AFM11" s="34">
        <f t="shared" ca="1" si="128"/>
        <v>0</v>
      </c>
      <c r="AFN11" s="34">
        <f t="shared" ca="1" si="128"/>
        <v>0</v>
      </c>
      <c r="AFO11" s="34">
        <f t="shared" ca="1" si="129"/>
        <v>0</v>
      </c>
      <c r="AFP11" s="34">
        <f t="shared" ca="1" si="129"/>
        <v>0</v>
      </c>
      <c r="AFQ11" s="34">
        <f t="shared" ca="1" si="129"/>
        <v>0</v>
      </c>
      <c r="AFR11" s="34">
        <f t="shared" ca="1" si="129"/>
        <v>0</v>
      </c>
      <c r="AFS11" s="34">
        <f t="shared" ca="1" si="129"/>
        <v>0</v>
      </c>
      <c r="AFT11" s="34">
        <f t="shared" ca="1" si="129"/>
        <v>0</v>
      </c>
      <c r="AFU11" s="34">
        <f t="shared" ca="1" si="129"/>
        <v>0</v>
      </c>
      <c r="AFV11" s="34">
        <f t="shared" ca="1" si="129"/>
        <v>0</v>
      </c>
      <c r="AFW11" s="34">
        <f t="shared" ca="1" si="129"/>
        <v>0</v>
      </c>
      <c r="AFX11" s="34">
        <f t="shared" ca="1" si="129"/>
        <v>0</v>
      </c>
      <c r="AFY11" s="34">
        <f t="shared" ca="1" si="130"/>
        <v>0</v>
      </c>
      <c r="AFZ11" s="34">
        <f t="shared" ca="1" si="130"/>
        <v>0</v>
      </c>
      <c r="AGA11" s="34">
        <f t="shared" ca="1" si="130"/>
        <v>0</v>
      </c>
      <c r="AGB11" s="34">
        <f t="shared" ca="1" si="130"/>
        <v>0</v>
      </c>
      <c r="AGC11" s="34">
        <f t="shared" ca="1" si="130"/>
        <v>0</v>
      </c>
      <c r="AGD11" s="34">
        <f t="shared" ca="1" si="130"/>
        <v>0</v>
      </c>
      <c r="AGE11" s="34">
        <f t="shared" ca="1" si="130"/>
        <v>0</v>
      </c>
      <c r="AGF11" s="34">
        <f t="shared" ca="1" si="130"/>
        <v>0</v>
      </c>
      <c r="AGG11" s="34">
        <f t="shared" ca="1" si="130"/>
        <v>0</v>
      </c>
      <c r="AGH11" s="34">
        <f t="shared" ca="1" si="130"/>
        <v>0</v>
      </c>
      <c r="AGI11" s="34">
        <f t="shared" ca="1" si="131"/>
        <v>0</v>
      </c>
      <c r="AGJ11" s="34">
        <f t="shared" ca="1" si="131"/>
        <v>0</v>
      </c>
      <c r="AGK11" s="34">
        <f t="shared" ca="1" si="131"/>
        <v>0</v>
      </c>
      <c r="AGL11" s="34">
        <f t="shared" ca="1" si="131"/>
        <v>0</v>
      </c>
      <c r="AGM11" s="34">
        <f t="shared" ca="1" si="131"/>
        <v>0</v>
      </c>
      <c r="AGN11" s="34">
        <f t="shared" ca="1" si="131"/>
        <v>0</v>
      </c>
      <c r="AGO11" s="34">
        <f t="shared" ca="1" si="131"/>
        <v>0</v>
      </c>
      <c r="AGP11" s="34">
        <f t="shared" ca="1" si="131"/>
        <v>0</v>
      </c>
      <c r="AGQ11" s="34">
        <f t="shared" ca="1" si="131"/>
        <v>0</v>
      </c>
      <c r="AGR11" s="34">
        <f t="shared" ca="1" si="131"/>
        <v>0</v>
      </c>
      <c r="AGS11" s="34">
        <f t="shared" ca="1" si="132"/>
        <v>0</v>
      </c>
      <c r="AGT11" s="34">
        <f t="shared" ca="1" si="132"/>
        <v>0</v>
      </c>
      <c r="AGU11" s="34">
        <f t="shared" ca="1" si="132"/>
        <v>0</v>
      </c>
      <c r="AGV11" s="34">
        <f t="shared" ca="1" si="132"/>
        <v>0</v>
      </c>
      <c r="AGW11" s="34">
        <f t="shared" ca="1" si="132"/>
        <v>0</v>
      </c>
      <c r="AGX11" s="34">
        <f t="shared" ca="1" si="132"/>
        <v>0</v>
      </c>
      <c r="AGY11" s="34">
        <f t="shared" ca="1" si="132"/>
        <v>0</v>
      </c>
      <c r="AGZ11" s="34">
        <f t="shared" ca="1" si="132"/>
        <v>0</v>
      </c>
      <c r="AHA11" s="34">
        <f t="shared" ca="1" si="132"/>
        <v>0</v>
      </c>
      <c r="AHB11" s="34">
        <f t="shared" ca="1" si="132"/>
        <v>0</v>
      </c>
      <c r="AHC11" s="34">
        <f t="shared" ca="1" si="133"/>
        <v>0</v>
      </c>
      <c r="AHD11" s="34">
        <f t="shared" ca="1" si="133"/>
        <v>0</v>
      </c>
      <c r="AHE11" s="34">
        <f t="shared" ca="1" si="133"/>
        <v>0</v>
      </c>
      <c r="AHF11" s="34">
        <f t="shared" ca="1" si="133"/>
        <v>0</v>
      </c>
      <c r="AHG11" s="34">
        <f t="shared" ca="1" si="133"/>
        <v>0</v>
      </c>
      <c r="AHH11" s="34">
        <f t="shared" ca="1" si="133"/>
        <v>0</v>
      </c>
      <c r="AHI11" s="34">
        <f t="shared" ca="1" si="133"/>
        <v>0</v>
      </c>
      <c r="AHJ11" s="34">
        <f t="shared" ca="1" si="133"/>
        <v>0</v>
      </c>
      <c r="AHK11" s="34">
        <f t="shared" ca="1" si="133"/>
        <v>0</v>
      </c>
      <c r="AHL11" s="34">
        <f t="shared" ca="1" si="133"/>
        <v>0</v>
      </c>
      <c r="AHM11" s="34">
        <f t="shared" ca="1" si="134"/>
        <v>0</v>
      </c>
      <c r="AHN11" s="34">
        <f t="shared" ca="1" si="134"/>
        <v>0</v>
      </c>
      <c r="AHO11" s="34">
        <f t="shared" ca="1" si="134"/>
        <v>0</v>
      </c>
      <c r="AHP11" s="34">
        <f t="shared" ca="1" si="134"/>
        <v>0</v>
      </c>
      <c r="AHQ11" s="34">
        <f t="shared" ca="1" si="134"/>
        <v>0</v>
      </c>
      <c r="AHR11" s="34">
        <f t="shared" ca="1" si="134"/>
        <v>0</v>
      </c>
      <c r="AHS11" s="34">
        <f t="shared" ca="1" si="134"/>
        <v>0</v>
      </c>
      <c r="AHT11" s="34">
        <f t="shared" ca="1" si="134"/>
        <v>0</v>
      </c>
      <c r="AHU11" s="34">
        <f t="shared" ca="1" si="134"/>
        <v>0</v>
      </c>
      <c r="AHV11" s="34">
        <f t="shared" ca="1" si="134"/>
        <v>0</v>
      </c>
      <c r="AHW11" s="34">
        <f t="shared" ca="1" si="135"/>
        <v>0</v>
      </c>
      <c r="AHX11" s="34">
        <f t="shared" ca="1" si="135"/>
        <v>0</v>
      </c>
      <c r="AHY11" s="34">
        <f t="shared" ca="1" si="135"/>
        <v>0</v>
      </c>
      <c r="AHZ11" s="34">
        <f t="shared" ca="1" si="135"/>
        <v>0</v>
      </c>
      <c r="AIA11" s="34">
        <f t="shared" ca="1" si="135"/>
        <v>0</v>
      </c>
      <c r="AIB11" s="34">
        <f t="shared" ca="1" si="135"/>
        <v>0</v>
      </c>
      <c r="AIC11" s="34">
        <f t="shared" ca="1" si="135"/>
        <v>0</v>
      </c>
      <c r="AID11" s="34">
        <f t="shared" ca="1" si="135"/>
        <v>0</v>
      </c>
      <c r="AIE11" s="34">
        <f t="shared" ca="1" si="135"/>
        <v>0</v>
      </c>
      <c r="AIF11" s="34">
        <f t="shared" ca="1" si="135"/>
        <v>0</v>
      </c>
      <c r="AIG11" s="34">
        <f t="shared" ca="1" si="136"/>
        <v>0</v>
      </c>
      <c r="AIH11" s="34">
        <f t="shared" ca="1" si="136"/>
        <v>0</v>
      </c>
      <c r="AII11" s="34">
        <f t="shared" ca="1" si="136"/>
        <v>0</v>
      </c>
      <c r="AIJ11" s="34">
        <f t="shared" ca="1" si="136"/>
        <v>0</v>
      </c>
      <c r="AIK11" s="34">
        <f t="shared" ca="1" si="136"/>
        <v>0</v>
      </c>
      <c r="AIL11" s="34">
        <f t="shared" ca="1" si="136"/>
        <v>0</v>
      </c>
      <c r="AIM11" s="34">
        <f t="shared" ca="1" si="136"/>
        <v>0</v>
      </c>
      <c r="AIN11" s="34">
        <f t="shared" ca="1" si="136"/>
        <v>0</v>
      </c>
      <c r="AIO11" s="34">
        <f t="shared" ca="1" si="136"/>
        <v>0</v>
      </c>
      <c r="AIP11" s="34">
        <f t="shared" ca="1" si="136"/>
        <v>0</v>
      </c>
      <c r="AIQ11" s="34">
        <f t="shared" ca="1" si="137"/>
        <v>0</v>
      </c>
      <c r="AIR11" s="34">
        <f t="shared" ca="1" si="137"/>
        <v>0</v>
      </c>
      <c r="AIS11" s="34">
        <f t="shared" ca="1" si="137"/>
        <v>0</v>
      </c>
      <c r="AIT11" s="34">
        <f t="shared" ca="1" si="137"/>
        <v>0</v>
      </c>
      <c r="AIU11" s="34">
        <f t="shared" ca="1" si="137"/>
        <v>0</v>
      </c>
      <c r="AIV11" s="34">
        <f t="shared" ca="1" si="137"/>
        <v>0</v>
      </c>
      <c r="AIW11" s="34">
        <f t="shared" ca="1" si="137"/>
        <v>0</v>
      </c>
      <c r="AIX11" s="34">
        <f t="shared" ca="1" si="137"/>
        <v>0</v>
      </c>
      <c r="AIY11" s="34">
        <f t="shared" ca="1" si="137"/>
        <v>0</v>
      </c>
      <c r="AIZ11" s="34">
        <f t="shared" ca="1" si="137"/>
        <v>0</v>
      </c>
      <c r="AJA11" s="34">
        <f t="shared" ca="1" si="138"/>
        <v>0</v>
      </c>
      <c r="AJB11" s="34">
        <f t="shared" ca="1" si="138"/>
        <v>0</v>
      </c>
      <c r="AJC11" s="34">
        <f t="shared" ca="1" si="138"/>
        <v>0</v>
      </c>
      <c r="AJD11" s="34">
        <f t="shared" ca="1" si="138"/>
        <v>0</v>
      </c>
      <c r="AJE11" s="34">
        <f t="shared" ca="1" si="138"/>
        <v>0</v>
      </c>
      <c r="AJF11" s="34">
        <f t="shared" ca="1" si="138"/>
        <v>0</v>
      </c>
      <c r="AJG11" s="34">
        <f t="shared" ca="1" si="138"/>
        <v>0</v>
      </c>
      <c r="AJH11" s="34">
        <f t="shared" ca="1" si="138"/>
        <v>0</v>
      </c>
      <c r="AJI11" s="34">
        <f t="shared" ca="1" si="138"/>
        <v>0</v>
      </c>
      <c r="AJJ11" s="34">
        <f t="shared" ca="1" si="138"/>
        <v>0</v>
      </c>
      <c r="AJK11" s="34">
        <f t="shared" ca="1" si="139"/>
        <v>0</v>
      </c>
      <c r="AJL11" s="34">
        <f t="shared" ca="1" si="139"/>
        <v>0</v>
      </c>
      <c r="AJM11" s="34">
        <f t="shared" ca="1" si="139"/>
        <v>0</v>
      </c>
      <c r="AJN11" s="34">
        <f t="shared" ca="1" si="139"/>
        <v>0</v>
      </c>
      <c r="AJO11" s="34">
        <f t="shared" ca="1" si="139"/>
        <v>0</v>
      </c>
      <c r="AJP11" s="34">
        <f t="shared" ca="1" si="139"/>
        <v>0</v>
      </c>
      <c r="AJQ11" s="34">
        <f t="shared" ca="1" si="139"/>
        <v>0</v>
      </c>
      <c r="AJR11" s="34">
        <f t="shared" ca="1" si="139"/>
        <v>0</v>
      </c>
      <c r="AJS11" s="34">
        <f t="shared" ca="1" si="139"/>
        <v>0</v>
      </c>
      <c r="AJT11" s="34">
        <f t="shared" ca="1" si="139"/>
        <v>0</v>
      </c>
      <c r="AJU11" s="34">
        <f t="shared" ca="1" si="140"/>
        <v>0</v>
      </c>
      <c r="AJV11" s="34">
        <f t="shared" ca="1" si="140"/>
        <v>0</v>
      </c>
      <c r="AJW11" s="34">
        <f t="shared" ca="1" si="140"/>
        <v>0</v>
      </c>
      <c r="AJX11" s="34">
        <f t="shared" ca="1" si="140"/>
        <v>0</v>
      </c>
      <c r="AJY11" s="34">
        <f t="shared" ca="1" si="140"/>
        <v>0</v>
      </c>
      <c r="AJZ11" s="34">
        <f t="shared" ca="1" si="140"/>
        <v>0</v>
      </c>
      <c r="AKA11" s="34">
        <f t="shared" ca="1" si="140"/>
        <v>0</v>
      </c>
      <c r="AKB11" s="34">
        <f t="shared" ca="1" si="140"/>
        <v>0</v>
      </c>
      <c r="AKC11" s="34">
        <f t="shared" ca="1" si="140"/>
        <v>0</v>
      </c>
      <c r="AKD11" s="34">
        <f t="shared" ca="1" si="140"/>
        <v>0</v>
      </c>
      <c r="AKE11" s="34">
        <f t="shared" ca="1" si="141"/>
        <v>0</v>
      </c>
      <c r="AKF11" s="34">
        <f t="shared" ca="1" si="141"/>
        <v>0</v>
      </c>
      <c r="AKG11" s="34">
        <f t="shared" ca="1" si="141"/>
        <v>0</v>
      </c>
      <c r="AKH11" s="34">
        <f t="shared" ca="1" si="141"/>
        <v>0</v>
      </c>
      <c r="AKI11" s="34">
        <f t="shared" ca="1" si="141"/>
        <v>0</v>
      </c>
      <c r="AKJ11" s="34">
        <f t="shared" ca="1" si="141"/>
        <v>0</v>
      </c>
      <c r="AKK11" s="34">
        <f t="shared" ca="1" si="141"/>
        <v>0</v>
      </c>
      <c r="AKL11" s="34">
        <f t="shared" ca="1" si="141"/>
        <v>0</v>
      </c>
      <c r="AKM11" s="34">
        <f t="shared" ca="1" si="141"/>
        <v>0</v>
      </c>
      <c r="AKN11" s="34">
        <f t="shared" ca="1" si="141"/>
        <v>0</v>
      </c>
      <c r="AKO11" s="34">
        <f t="shared" ca="1" si="141"/>
        <v>0</v>
      </c>
      <c r="AKP11" s="34">
        <f t="shared" ca="1" si="141"/>
        <v>0</v>
      </c>
      <c r="AKQ11" s="34">
        <f t="shared" ca="1" si="141"/>
        <v>0</v>
      </c>
      <c r="AKR11" s="34">
        <f t="shared" ca="1" si="141"/>
        <v>0</v>
      </c>
      <c r="AKS11" s="34">
        <f t="shared" ca="1" si="141"/>
        <v>0</v>
      </c>
      <c r="AKT11" s="34"/>
      <c r="AKU11" s="34"/>
      <c r="AKV11" s="34"/>
      <c r="AKW11" s="34"/>
      <c r="AKX11" s="34"/>
      <c r="AKY11" s="34"/>
      <c r="AKZ11" s="34"/>
      <c r="ALA11" s="34"/>
      <c r="ALB11" s="34"/>
      <c r="ALC11" s="34"/>
      <c r="ALD11" s="34"/>
      <c r="ALE11" s="34"/>
      <c r="ALF11" s="34"/>
      <c r="ALG11" s="33"/>
      <c r="ALH11" s="33"/>
      <c r="ALI11" s="33"/>
      <c r="ALJ11" s="33"/>
      <c r="ALK11" s="33"/>
      <c r="ALL11" s="33"/>
      <c r="ALM11" s="33"/>
      <c r="ALN11" s="33"/>
      <c r="ALO11" s="33"/>
      <c r="ALP11" s="33"/>
      <c r="ALQ11" s="33"/>
      <c r="ALR11" s="33"/>
      <c r="ALS11" s="33"/>
      <c r="ALT11" s="33"/>
      <c r="ALU11" s="33"/>
      <c r="ALV11" s="33"/>
      <c r="ALW11" s="33"/>
      <c r="ALX11" s="33"/>
      <c r="ALY11" s="33"/>
      <c r="ALZ11" s="33"/>
      <c r="AMA11" s="33"/>
      <c r="AMB11" s="33"/>
      <c r="AMC11" s="33"/>
      <c r="AMD11" s="33"/>
      <c r="AME11" s="33"/>
      <c r="AMF11" s="33"/>
      <c r="AMG11" s="33"/>
      <c r="AMH11" s="33"/>
      <c r="AMI11" s="33"/>
      <c r="AMJ11" s="33"/>
      <c r="AMK11" s="33"/>
      <c r="AML11" s="33"/>
      <c r="AMM11" s="33"/>
      <c r="AMN11" s="33"/>
      <c r="AMO11" s="33"/>
      <c r="AMP11" s="33"/>
      <c r="AMQ11" s="33"/>
      <c r="AMR11" s="33"/>
      <c r="AMS11" s="33"/>
      <c r="AMT11" s="33"/>
      <c r="AMU11" s="33"/>
      <c r="AMV11" s="33"/>
      <c r="AMW11" s="33"/>
      <c r="AMX11" s="33"/>
      <c r="AMY11" s="33"/>
      <c r="AMZ11" s="33"/>
      <c r="ANA11" s="33"/>
      <c r="ANB11" s="33"/>
      <c r="ANC11" s="33"/>
      <c r="AND11" s="33"/>
      <c r="ANE11" s="33"/>
      <c r="ANF11" s="33"/>
      <c r="ANG11" s="33"/>
      <c r="ANH11" s="33"/>
      <c r="ANI11" s="33"/>
      <c r="ANJ11" s="33"/>
      <c r="ANK11" s="33"/>
      <c r="ANL11" s="33"/>
      <c r="ANM11" s="33"/>
      <c r="ANN11" s="33"/>
      <c r="ANO11" s="33"/>
      <c r="ANP11" s="33"/>
      <c r="ANQ11" s="33"/>
      <c r="ANR11" s="33"/>
      <c r="ANS11" s="33"/>
      <c r="ANT11" s="33"/>
      <c r="ANU11" s="33"/>
      <c r="ANV11" s="33"/>
      <c r="ANW11" s="33"/>
      <c r="ANX11" s="33"/>
      <c r="ANY11" s="33"/>
      <c r="ANZ11" s="33"/>
      <c r="AOA11" s="33"/>
      <c r="AOB11" s="33"/>
      <c r="AOC11" s="33"/>
      <c r="AOD11" s="33"/>
      <c r="AOE11" s="33"/>
      <c r="AOF11" s="33"/>
      <c r="AOG11" s="33"/>
      <c r="AOH11" s="33"/>
      <c r="AOI11" s="33"/>
      <c r="AOJ11" s="33"/>
      <c r="AOK11" s="33"/>
      <c r="AOL11" s="33"/>
      <c r="AOM11" s="33"/>
      <c r="AON11" s="33"/>
      <c r="AOO11" s="33"/>
      <c r="AOP11" s="33"/>
      <c r="AOQ11" s="33"/>
      <c r="AOR11" s="33"/>
      <c r="AOS11" s="33"/>
      <c r="AOT11" s="33"/>
      <c r="AOU11" s="33"/>
      <c r="AOV11" s="33"/>
      <c r="AOW11" s="33"/>
      <c r="AOX11" s="33"/>
      <c r="AOY11" s="33"/>
      <c r="AOZ11" s="33"/>
      <c r="APA11" s="33"/>
      <c r="APB11" s="33"/>
      <c r="APC11" s="33"/>
      <c r="APD11" s="33"/>
      <c r="APE11" s="33"/>
      <c r="APF11" s="33"/>
      <c r="APG11" s="33"/>
      <c r="APH11" s="33"/>
      <c r="API11" s="33"/>
      <c r="APJ11" s="33"/>
      <c r="APK11" s="33"/>
      <c r="APL11" s="33"/>
      <c r="APM11" s="33"/>
      <c r="APN11" s="33"/>
      <c r="APO11" s="33"/>
      <c r="APP11" s="33"/>
      <c r="APQ11" s="33"/>
      <c r="APR11" s="33"/>
      <c r="APS11" s="33"/>
      <c r="APT11" s="33"/>
      <c r="APU11" s="33"/>
      <c r="APV11" s="33"/>
      <c r="APW11" s="33"/>
      <c r="APX11" s="33"/>
      <c r="APY11" s="33"/>
      <c r="APZ11" s="33"/>
      <c r="AQA11" s="33"/>
      <c r="AQB11" s="33"/>
      <c r="AQC11" s="33"/>
      <c r="AQD11" s="33"/>
      <c r="AQE11" s="33"/>
      <c r="AQF11" s="33"/>
      <c r="AQG11" s="33"/>
      <c r="AQH11" s="33"/>
      <c r="AQI11" s="33"/>
      <c r="AQJ11" s="33"/>
      <c r="AQK11" s="33"/>
      <c r="AQL11" s="33"/>
      <c r="AQM11" s="33"/>
      <c r="AQN11" s="33"/>
      <c r="AQO11" s="33"/>
      <c r="AQP11" s="33"/>
      <c r="AQQ11" s="33"/>
      <c r="AQR11" s="33"/>
      <c r="AQS11" s="33"/>
      <c r="AQT11" s="33"/>
      <c r="AQU11" s="33"/>
      <c r="AQV11" s="33"/>
      <c r="AQW11" s="33"/>
      <c r="AQX11" s="33"/>
      <c r="AQY11" s="33"/>
      <c r="AQZ11" s="33"/>
      <c r="ARA11" s="33"/>
      <c r="ARB11" s="33"/>
      <c r="ARC11" s="33"/>
      <c r="ARD11" s="33"/>
      <c r="ARE11" s="33"/>
      <c r="ARF11" s="33"/>
      <c r="ARG11" s="33"/>
      <c r="ARH11" s="33"/>
      <c r="ARI11" s="33"/>
      <c r="ARJ11" s="33"/>
      <c r="ARK11" s="33"/>
      <c r="ARL11" s="33"/>
      <c r="ARM11" s="33"/>
      <c r="ARN11" s="33"/>
      <c r="ARO11" s="33"/>
      <c r="ARP11" s="33"/>
      <c r="ARQ11" s="33"/>
      <c r="ARR11" s="33"/>
      <c r="ARS11" s="33"/>
      <c r="ART11" s="33"/>
      <c r="ARU11" s="33"/>
      <c r="ARV11" s="33"/>
      <c r="ARW11" s="33"/>
      <c r="ARX11" s="33"/>
      <c r="ARY11" s="33"/>
      <c r="ARZ11" s="33"/>
      <c r="ASA11" s="33"/>
      <c r="ASB11" s="33"/>
      <c r="ASC11" s="33"/>
      <c r="ASD11" s="33"/>
      <c r="ASE11" s="33"/>
      <c r="ASF11" s="33"/>
      <c r="ASG11" s="33"/>
      <c r="ASH11" s="33"/>
      <c r="ASI11" s="33"/>
      <c r="ASJ11" s="33"/>
      <c r="ASK11" s="33"/>
      <c r="ASL11" s="33"/>
      <c r="ASM11" s="33"/>
      <c r="ASN11" s="33"/>
      <c r="ASO11" s="33"/>
      <c r="ASP11" s="33"/>
      <c r="ASQ11" s="33"/>
      <c r="ASR11" s="33"/>
      <c r="ASS11" s="33"/>
      <c r="AST11" s="33"/>
      <c r="ASU11" s="33"/>
      <c r="ASV11" s="33"/>
      <c r="ASW11" s="33"/>
      <c r="ASX11" s="33"/>
      <c r="ASY11" s="33"/>
      <c r="ASZ11" s="33"/>
      <c r="ATA11" s="33"/>
      <c r="ATB11" s="33"/>
      <c r="ATC11" s="33"/>
      <c r="ATD11" s="33"/>
      <c r="ATE11" s="33"/>
      <c r="ATF11" s="33"/>
      <c r="ATG11" s="33"/>
      <c r="ATH11" s="33"/>
      <c r="ATI11" s="33"/>
      <c r="ATJ11" s="33"/>
      <c r="ATK11" s="33"/>
      <c r="ATL11" s="33"/>
      <c r="ATM11" s="33"/>
      <c r="ATN11" s="33"/>
      <c r="ATO11" s="33"/>
      <c r="ATP11" s="33"/>
      <c r="ATQ11" s="33"/>
      <c r="ATR11" s="33"/>
      <c r="ATS11" s="33"/>
      <c r="ATT11" s="33"/>
      <c r="ATU11" s="33"/>
      <c r="ATV11" s="33"/>
      <c r="ATW11" s="33"/>
      <c r="ATX11" s="33"/>
      <c r="ATY11" s="33"/>
      <c r="ATZ11" s="33"/>
      <c r="AUA11" s="33"/>
      <c r="AUB11" s="33"/>
      <c r="AUC11" s="33"/>
      <c r="AUD11" s="33"/>
      <c r="AUE11" s="33"/>
      <c r="AUF11" s="33"/>
      <c r="AUG11" s="33"/>
      <c r="AUH11" s="33"/>
      <c r="AUI11" s="33"/>
      <c r="AUJ11" s="33"/>
      <c r="AUK11" s="33"/>
      <c r="AUL11" s="33"/>
      <c r="AUM11" s="33"/>
      <c r="AUN11" s="33"/>
      <c r="AUO11" s="33"/>
      <c r="AUP11" s="33"/>
      <c r="AUQ11" s="33"/>
      <c r="AUR11" s="33"/>
      <c r="AUS11" s="33"/>
      <c r="AUT11" s="33"/>
      <c r="AUU11" s="33"/>
      <c r="AUV11" s="33"/>
      <c r="AUW11" s="33"/>
      <c r="AUX11" s="33"/>
      <c r="AUY11" s="33"/>
      <c r="AUZ11" s="33"/>
      <c r="AVA11" s="33"/>
      <c r="AVB11" s="33"/>
    </row>
    <row r="12" spans="1:1250" ht="18.75" customHeight="1">
      <c r="A12" s="378" t="str">
        <f>自由選!B13</f>
        <v>XH500</v>
      </c>
      <c r="B12" s="208">
        <f ca="1">VLOOKUP($A12,'銀行-TSS'!B:K,10,FALSE)</f>
        <v>108.43</v>
      </c>
      <c r="C12" s="69" t="str">
        <f ca="1">VLOOKUP(A12,'銀行-TSS'!B:E,4,FALSE)</f>
        <v>A3 / BBB+ / A-</v>
      </c>
      <c r="D12" s="70">
        <f ca="1">VLOOKUP($A12,'銀行-TSS'!B:H,7,FALSE)</f>
        <v>5.7000000000000002E-2</v>
      </c>
      <c r="E12" s="71">
        <f ca="1">IFERROR(VLOOKUP($A12,'銀行-TSS'!B:I,8,FALSE),"")</f>
        <v>2</v>
      </c>
      <c r="F12" s="69" t="str">
        <f t="shared" ca="1" si="142"/>
        <v>3、9</v>
      </c>
      <c r="G12" s="72">
        <f ca="1">VLOOKUP($A12,'銀行-TSS'!B:M,12,FALSE)</f>
        <v>4.9799999999999997E-2</v>
      </c>
      <c r="H12" s="73">
        <f ca="1">VLOOKUP($A12,'銀行-TSS'!B:G,6,FALSE)</f>
        <v>12.7</v>
      </c>
      <c r="I12" s="74">
        <f ca="1">IFERROR(DATEVALUE(VLOOKUP($A12,'銀行-TSS'!B:F,5,FALSE)),VLOOKUP($A12,'銀行-TSS'!B:F,5,FALSE))</f>
        <v>50114</v>
      </c>
      <c r="J12" s="1" t="str">
        <f ca="1">VLOOKUP($A12,'銀行-TSS'!B:Q,16,FALSE)</f>
        <v>工業</v>
      </c>
      <c r="K12" s="76" t="str">
        <f ca="1">VLOOKUP($A12,'銀行-TSS'!B:T,19,FALSE)</f>
        <v>3M/MMM</v>
      </c>
      <c r="L12" s="33" t="b">
        <f t="shared" si="45"/>
        <v>1</v>
      </c>
      <c r="M12" s="43">
        <f ca="1">VLOOKUP($A12,'銀行-TSS'!B:N,13,FALSE)</f>
        <v>10000</v>
      </c>
      <c r="N12" s="44">
        <f>自由選!F13</f>
        <v>10000</v>
      </c>
      <c r="O12" s="43">
        <f ca="1">IFERROR(VLOOKUP($A12,'銀行-TSS'!B:O,14,FALSE),1)</f>
        <v>1000</v>
      </c>
      <c r="P12" s="78" t="str">
        <f ca="1">IFERROR(VLOOKUP(K12,Bond_DES!D:E,2,FALSE),VLOOKUP(K12,'銀行-TSS'!T:U,2,FALSE))</f>
        <v>3M公司(3M Company)透過安全與工業產品、運輸及電子產品、醫療產品及消費品等四大事業群於全球開發、製造並銷售各類產品，2024年4月完成醫療保健業務的分拆，名列2024年《Fortune》美國500強企業中化學品產業第2位，受《Interbrand》評為2023年最佳全球品牌。</v>
      </c>
      <c r="Q12" s="83">
        <f t="shared" ca="1" si="143"/>
        <v>106.73580000000001</v>
      </c>
      <c r="R12" s="81">
        <f t="shared" ca="1" si="152"/>
        <v>10673.58</v>
      </c>
      <c r="S12" s="82">
        <f t="shared" ca="1" si="153"/>
        <v>9.376391821749834E-2</v>
      </c>
      <c r="T12" s="34">
        <f t="shared" ca="1" si="144"/>
        <v>2037</v>
      </c>
      <c r="U12" s="36" t="str">
        <f ca="1">IFERROR(VLOOKUP($A12,'銀行-TSS'!B:C,2,FALSE),"")</f>
        <v>USD</v>
      </c>
      <c r="V12" s="184">
        <f ca="1">VLOOKUP(A12,'銀行-TSS'!B:J,9,FALSE)</f>
        <v>1.6941999999999999</v>
      </c>
      <c r="W12" s="57">
        <f t="shared" ca="1" si="145"/>
        <v>169.42</v>
      </c>
      <c r="X12" s="36">
        <f t="shared" ca="1" si="146"/>
        <v>0</v>
      </c>
      <c r="Y12" s="116">
        <f t="shared" ca="1" si="147"/>
        <v>1084.3</v>
      </c>
      <c r="Z12" s="98">
        <f t="shared" ca="1" si="148"/>
        <v>10843</v>
      </c>
      <c r="AA12" s="61">
        <f t="shared" si="149"/>
        <v>8.3333333333333329E-2</v>
      </c>
      <c r="AB12" s="104" t="str">
        <f t="shared" ca="1" si="46"/>
        <v>工業</v>
      </c>
      <c r="AC12" s="149">
        <f t="shared" ca="1" si="150"/>
        <v>10843</v>
      </c>
      <c r="AD12" s="149">
        <f ca="1">VLOOKUP(A12,'銀行-TSS'!B:AD,29,FALSE)</f>
        <v>15</v>
      </c>
      <c r="AE12" s="64">
        <f t="shared" ca="1" si="47"/>
        <v>285</v>
      </c>
      <c r="AF12" s="53">
        <f t="shared" ca="1" si="154"/>
        <v>3</v>
      </c>
      <c r="AG12" s="45">
        <f t="shared" ca="1" si="155"/>
        <v>9</v>
      </c>
      <c r="AH12" s="2">
        <f ca="1">_xlfn.IFNA(IFERROR(DATEVALUE(VLOOKUP($A12,'銀行-TSS'!B:P,15,FALSE)),VLOOKUP($A12,'銀行-TSS'!B:P,15,FALSE)),"")</f>
        <v>45550</v>
      </c>
      <c r="AI12" s="2">
        <f ca="1">_xlfn.IFNA(IFERROR(DATEVALUE(VLOOKUP($A12,'銀行-TSS'!B:L,11,FALSE)),VLOOKUP($A12,'銀行-TSS'!B:L,11,FALSE)),"")</f>
        <v>45475</v>
      </c>
      <c r="AJ12" s="34">
        <f t="shared" ca="1" si="151"/>
        <v>0</v>
      </c>
      <c r="AK12" s="34">
        <f t="shared" ca="1" si="48"/>
        <v>0</v>
      </c>
      <c r="AL12" s="34">
        <f t="shared" ca="1" si="48"/>
        <v>285</v>
      </c>
      <c r="AM12" s="34">
        <f t="shared" ca="1" si="48"/>
        <v>0</v>
      </c>
      <c r="AN12" s="34">
        <f t="shared" ca="1" si="48"/>
        <v>0</v>
      </c>
      <c r="AO12" s="34">
        <f t="shared" ca="1" si="48"/>
        <v>0</v>
      </c>
      <c r="AP12" s="34">
        <f t="shared" ca="1" si="48"/>
        <v>0</v>
      </c>
      <c r="AQ12" s="34">
        <f t="shared" ca="1" si="48"/>
        <v>0</v>
      </c>
      <c r="AR12" s="34">
        <f t="shared" ca="1" si="48"/>
        <v>285</v>
      </c>
      <c r="AS12" s="34">
        <f t="shared" ca="1" si="48"/>
        <v>0</v>
      </c>
      <c r="AT12" s="34">
        <f t="shared" ca="1" si="48"/>
        <v>0</v>
      </c>
      <c r="AU12" s="34">
        <f t="shared" ca="1" si="49"/>
        <v>0</v>
      </c>
      <c r="AV12" s="34">
        <f t="shared" ca="1" si="49"/>
        <v>0</v>
      </c>
      <c r="AW12" s="34">
        <f t="shared" ca="1" si="49"/>
        <v>0</v>
      </c>
      <c r="AX12" s="34">
        <f t="shared" ca="1" si="49"/>
        <v>285</v>
      </c>
      <c r="AY12" s="34">
        <f t="shared" ca="1" si="49"/>
        <v>0</v>
      </c>
      <c r="AZ12" s="34">
        <f t="shared" ca="1" si="49"/>
        <v>0</v>
      </c>
      <c r="BA12" s="34">
        <f t="shared" ca="1" si="49"/>
        <v>0</v>
      </c>
      <c r="BB12" s="34">
        <f t="shared" ca="1" si="49"/>
        <v>0</v>
      </c>
      <c r="BC12" s="34">
        <f t="shared" ca="1" si="49"/>
        <v>0</v>
      </c>
      <c r="BD12" s="34">
        <f t="shared" ca="1" si="49"/>
        <v>285</v>
      </c>
      <c r="BE12" s="34">
        <f t="shared" ca="1" si="50"/>
        <v>0</v>
      </c>
      <c r="BF12" s="34">
        <f t="shared" ca="1" si="50"/>
        <v>0</v>
      </c>
      <c r="BG12" s="34">
        <f t="shared" ca="1" si="50"/>
        <v>0</v>
      </c>
      <c r="BH12" s="34">
        <f t="shared" ca="1" si="50"/>
        <v>0</v>
      </c>
      <c r="BI12" s="34">
        <f t="shared" ca="1" si="50"/>
        <v>0</v>
      </c>
      <c r="BJ12" s="34">
        <f t="shared" ca="1" si="50"/>
        <v>285</v>
      </c>
      <c r="BK12" s="34">
        <f t="shared" ca="1" si="50"/>
        <v>0</v>
      </c>
      <c r="BL12" s="34">
        <f t="shared" ca="1" si="50"/>
        <v>0</v>
      </c>
      <c r="BM12" s="34">
        <f t="shared" ca="1" si="50"/>
        <v>0</v>
      </c>
      <c r="BN12" s="34">
        <f t="shared" ca="1" si="50"/>
        <v>0</v>
      </c>
      <c r="BO12" s="34">
        <f t="shared" ca="1" si="51"/>
        <v>0</v>
      </c>
      <c r="BP12" s="34">
        <f t="shared" ca="1" si="51"/>
        <v>285</v>
      </c>
      <c r="BQ12" s="34">
        <f t="shared" ca="1" si="51"/>
        <v>0</v>
      </c>
      <c r="BR12" s="34">
        <f t="shared" ca="1" si="51"/>
        <v>0</v>
      </c>
      <c r="BS12" s="34">
        <f t="shared" ca="1" si="51"/>
        <v>0</v>
      </c>
      <c r="BT12" s="34">
        <f t="shared" ca="1" si="51"/>
        <v>0</v>
      </c>
      <c r="BU12" s="34">
        <f t="shared" ca="1" si="51"/>
        <v>0</v>
      </c>
      <c r="BV12" s="34">
        <f t="shared" ca="1" si="51"/>
        <v>285</v>
      </c>
      <c r="BW12" s="34">
        <f t="shared" ca="1" si="51"/>
        <v>0</v>
      </c>
      <c r="BX12" s="34">
        <f t="shared" ca="1" si="51"/>
        <v>0</v>
      </c>
      <c r="BY12" s="34">
        <f t="shared" ca="1" si="52"/>
        <v>0</v>
      </c>
      <c r="BZ12" s="34">
        <f t="shared" ca="1" si="52"/>
        <v>0</v>
      </c>
      <c r="CA12" s="34">
        <f t="shared" ca="1" si="52"/>
        <v>0</v>
      </c>
      <c r="CB12" s="34">
        <f t="shared" ca="1" si="52"/>
        <v>285</v>
      </c>
      <c r="CC12" s="34">
        <f t="shared" ca="1" si="52"/>
        <v>0</v>
      </c>
      <c r="CD12" s="34">
        <f t="shared" ca="1" si="52"/>
        <v>0</v>
      </c>
      <c r="CE12" s="34">
        <f t="shared" ca="1" si="52"/>
        <v>0</v>
      </c>
      <c r="CF12" s="34">
        <f t="shared" ca="1" si="52"/>
        <v>0</v>
      </c>
      <c r="CG12" s="34">
        <f t="shared" ca="1" si="52"/>
        <v>0</v>
      </c>
      <c r="CH12" s="34">
        <f t="shared" ca="1" si="52"/>
        <v>285</v>
      </c>
      <c r="CI12" s="34">
        <f t="shared" ca="1" si="53"/>
        <v>0</v>
      </c>
      <c r="CJ12" s="34">
        <f t="shared" ca="1" si="53"/>
        <v>0</v>
      </c>
      <c r="CK12" s="34">
        <f t="shared" ca="1" si="53"/>
        <v>0</v>
      </c>
      <c r="CL12" s="34">
        <f t="shared" ca="1" si="53"/>
        <v>0</v>
      </c>
      <c r="CM12" s="34">
        <f t="shared" ca="1" si="53"/>
        <v>0</v>
      </c>
      <c r="CN12" s="34">
        <f t="shared" ca="1" si="53"/>
        <v>285</v>
      </c>
      <c r="CO12" s="34">
        <f t="shared" ca="1" si="53"/>
        <v>0</v>
      </c>
      <c r="CP12" s="34">
        <f t="shared" ca="1" si="53"/>
        <v>0</v>
      </c>
      <c r="CQ12" s="34">
        <f t="shared" ca="1" si="53"/>
        <v>0</v>
      </c>
      <c r="CR12" s="34">
        <f t="shared" ca="1" si="53"/>
        <v>0</v>
      </c>
      <c r="CS12" s="34">
        <f t="shared" ca="1" si="54"/>
        <v>0</v>
      </c>
      <c r="CT12" s="34">
        <f t="shared" ca="1" si="54"/>
        <v>285</v>
      </c>
      <c r="CU12" s="34">
        <f t="shared" ca="1" si="54"/>
        <v>0</v>
      </c>
      <c r="CV12" s="34">
        <f t="shared" ca="1" si="54"/>
        <v>0</v>
      </c>
      <c r="CW12" s="34">
        <f t="shared" ca="1" si="54"/>
        <v>0</v>
      </c>
      <c r="CX12" s="34">
        <f t="shared" ca="1" si="54"/>
        <v>0</v>
      </c>
      <c r="CY12" s="34">
        <f t="shared" ca="1" si="54"/>
        <v>0</v>
      </c>
      <c r="CZ12" s="34">
        <f t="shared" ca="1" si="54"/>
        <v>285</v>
      </c>
      <c r="DA12" s="34">
        <f t="shared" ca="1" si="54"/>
        <v>0</v>
      </c>
      <c r="DB12" s="34">
        <f t="shared" ca="1" si="54"/>
        <v>0</v>
      </c>
      <c r="DC12" s="34">
        <f t="shared" ca="1" si="55"/>
        <v>0</v>
      </c>
      <c r="DD12" s="34">
        <f t="shared" ca="1" si="55"/>
        <v>0</v>
      </c>
      <c r="DE12" s="34">
        <f t="shared" ca="1" si="55"/>
        <v>0</v>
      </c>
      <c r="DF12" s="34">
        <f t="shared" ca="1" si="55"/>
        <v>285</v>
      </c>
      <c r="DG12" s="34">
        <f t="shared" ca="1" si="55"/>
        <v>0</v>
      </c>
      <c r="DH12" s="34">
        <f t="shared" ca="1" si="55"/>
        <v>0</v>
      </c>
      <c r="DI12" s="34">
        <f t="shared" ca="1" si="55"/>
        <v>0</v>
      </c>
      <c r="DJ12" s="34">
        <f t="shared" ca="1" si="55"/>
        <v>0</v>
      </c>
      <c r="DK12" s="34">
        <f t="shared" ca="1" si="55"/>
        <v>0</v>
      </c>
      <c r="DL12" s="34">
        <f t="shared" ca="1" si="55"/>
        <v>285</v>
      </c>
      <c r="DM12" s="34">
        <f t="shared" ca="1" si="56"/>
        <v>0</v>
      </c>
      <c r="DN12" s="34">
        <f t="shared" ca="1" si="56"/>
        <v>0</v>
      </c>
      <c r="DO12" s="34">
        <f t="shared" ca="1" si="56"/>
        <v>0</v>
      </c>
      <c r="DP12" s="34">
        <f t="shared" ca="1" si="56"/>
        <v>0</v>
      </c>
      <c r="DQ12" s="34">
        <f t="shared" ca="1" si="56"/>
        <v>0</v>
      </c>
      <c r="DR12" s="34">
        <f t="shared" ca="1" si="56"/>
        <v>285</v>
      </c>
      <c r="DS12" s="34">
        <f t="shared" ca="1" si="56"/>
        <v>0</v>
      </c>
      <c r="DT12" s="34">
        <f t="shared" ca="1" si="56"/>
        <v>0</v>
      </c>
      <c r="DU12" s="34">
        <f t="shared" ca="1" si="56"/>
        <v>0</v>
      </c>
      <c r="DV12" s="34">
        <f t="shared" ca="1" si="56"/>
        <v>0</v>
      </c>
      <c r="DW12" s="34">
        <f t="shared" ca="1" si="57"/>
        <v>0</v>
      </c>
      <c r="DX12" s="34">
        <f t="shared" ca="1" si="57"/>
        <v>285</v>
      </c>
      <c r="DY12" s="34">
        <f t="shared" ca="1" si="57"/>
        <v>0</v>
      </c>
      <c r="DZ12" s="34">
        <f t="shared" ca="1" si="57"/>
        <v>0</v>
      </c>
      <c r="EA12" s="34">
        <f t="shared" ca="1" si="57"/>
        <v>0</v>
      </c>
      <c r="EB12" s="34">
        <f t="shared" ca="1" si="57"/>
        <v>0</v>
      </c>
      <c r="EC12" s="34">
        <f t="shared" ca="1" si="57"/>
        <v>0</v>
      </c>
      <c r="ED12" s="34">
        <f t="shared" ca="1" si="57"/>
        <v>285</v>
      </c>
      <c r="EE12" s="34">
        <f t="shared" ca="1" si="57"/>
        <v>0</v>
      </c>
      <c r="EF12" s="34">
        <f t="shared" ca="1" si="57"/>
        <v>0</v>
      </c>
      <c r="EG12" s="34">
        <f t="shared" ca="1" si="58"/>
        <v>0</v>
      </c>
      <c r="EH12" s="34">
        <f t="shared" ca="1" si="58"/>
        <v>0</v>
      </c>
      <c r="EI12" s="34">
        <f t="shared" ca="1" si="58"/>
        <v>0</v>
      </c>
      <c r="EJ12" s="34">
        <f t="shared" ca="1" si="58"/>
        <v>285</v>
      </c>
      <c r="EK12" s="34">
        <f t="shared" ca="1" si="58"/>
        <v>0</v>
      </c>
      <c r="EL12" s="34">
        <f t="shared" ca="1" si="58"/>
        <v>0</v>
      </c>
      <c r="EM12" s="34">
        <f t="shared" ca="1" si="58"/>
        <v>0</v>
      </c>
      <c r="EN12" s="34">
        <f t="shared" ca="1" si="58"/>
        <v>0</v>
      </c>
      <c r="EO12" s="34">
        <f t="shared" ca="1" si="58"/>
        <v>0</v>
      </c>
      <c r="EP12" s="34">
        <f t="shared" ca="1" si="58"/>
        <v>285</v>
      </c>
      <c r="EQ12" s="34">
        <f t="shared" ca="1" si="59"/>
        <v>0</v>
      </c>
      <c r="ER12" s="34">
        <f t="shared" ca="1" si="59"/>
        <v>0</v>
      </c>
      <c r="ES12" s="34">
        <f t="shared" ca="1" si="59"/>
        <v>0</v>
      </c>
      <c r="ET12" s="34">
        <f t="shared" ca="1" si="59"/>
        <v>0</v>
      </c>
      <c r="EU12" s="34">
        <f t="shared" ca="1" si="59"/>
        <v>0</v>
      </c>
      <c r="EV12" s="34">
        <f t="shared" ca="1" si="59"/>
        <v>285</v>
      </c>
      <c r="EW12" s="34">
        <f t="shared" ca="1" si="59"/>
        <v>0</v>
      </c>
      <c r="EX12" s="34">
        <f t="shared" ca="1" si="59"/>
        <v>0</v>
      </c>
      <c r="EY12" s="34">
        <f t="shared" ca="1" si="59"/>
        <v>0</v>
      </c>
      <c r="EZ12" s="34">
        <f t="shared" ca="1" si="59"/>
        <v>0</v>
      </c>
      <c r="FA12" s="34">
        <f t="shared" ca="1" si="60"/>
        <v>0</v>
      </c>
      <c r="FB12" s="34">
        <f t="shared" ca="1" si="60"/>
        <v>285</v>
      </c>
      <c r="FC12" s="34">
        <f t="shared" ca="1" si="60"/>
        <v>0</v>
      </c>
      <c r="FD12" s="34">
        <f t="shared" ca="1" si="60"/>
        <v>0</v>
      </c>
      <c r="FE12" s="34">
        <f t="shared" ca="1" si="60"/>
        <v>0</v>
      </c>
      <c r="FF12" s="34">
        <f t="shared" ca="1" si="60"/>
        <v>0</v>
      </c>
      <c r="FG12" s="34">
        <f t="shared" ca="1" si="60"/>
        <v>0</v>
      </c>
      <c r="FH12" s="34">
        <f t="shared" ca="1" si="60"/>
        <v>285</v>
      </c>
      <c r="FI12" s="34">
        <f t="shared" ca="1" si="60"/>
        <v>0</v>
      </c>
      <c r="FJ12" s="34">
        <f t="shared" ca="1" si="60"/>
        <v>0</v>
      </c>
      <c r="FK12" s="34">
        <f t="shared" ca="1" si="61"/>
        <v>0</v>
      </c>
      <c r="FL12" s="34">
        <f t="shared" ca="1" si="61"/>
        <v>0</v>
      </c>
      <c r="FM12" s="34">
        <f t="shared" ca="1" si="61"/>
        <v>0</v>
      </c>
      <c r="FN12" s="34">
        <f t="shared" ca="1" si="61"/>
        <v>285</v>
      </c>
      <c r="FO12" s="34">
        <f t="shared" ca="1" si="61"/>
        <v>0</v>
      </c>
      <c r="FP12" s="34">
        <f t="shared" ca="1" si="61"/>
        <v>0</v>
      </c>
      <c r="FQ12" s="34">
        <f t="shared" ca="1" si="61"/>
        <v>0</v>
      </c>
      <c r="FR12" s="34">
        <f t="shared" ca="1" si="61"/>
        <v>0</v>
      </c>
      <c r="FS12" s="34">
        <f t="shared" ca="1" si="61"/>
        <v>0</v>
      </c>
      <c r="FT12" s="34">
        <f t="shared" ca="1" si="61"/>
        <v>285</v>
      </c>
      <c r="FU12" s="34">
        <f t="shared" ca="1" si="62"/>
        <v>0</v>
      </c>
      <c r="FV12" s="34">
        <f t="shared" ca="1" si="62"/>
        <v>0</v>
      </c>
      <c r="FW12" s="34">
        <f t="shared" ca="1" si="62"/>
        <v>0</v>
      </c>
      <c r="FX12" s="34">
        <f t="shared" ca="1" si="62"/>
        <v>0</v>
      </c>
      <c r="FY12" s="34">
        <f t="shared" ca="1" si="62"/>
        <v>0</v>
      </c>
      <c r="FZ12" s="34">
        <f t="shared" ca="1" si="62"/>
        <v>285</v>
      </c>
      <c r="GA12" s="34">
        <f t="shared" ca="1" si="62"/>
        <v>0</v>
      </c>
      <c r="GB12" s="34">
        <f t="shared" ca="1" si="62"/>
        <v>0</v>
      </c>
      <c r="GC12" s="34">
        <f t="shared" ca="1" si="62"/>
        <v>0</v>
      </c>
      <c r="GD12" s="34">
        <f t="shared" ca="1" si="62"/>
        <v>0</v>
      </c>
      <c r="GE12" s="34">
        <f t="shared" ca="1" si="63"/>
        <v>0</v>
      </c>
      <c r="GF12" s="34">
        <f t="shared" ca="1" si="63"/>
        <v>285</v>
      </c>
      <c r="GG12" s="34">
        <f t="shared" ca="1" si="63"/>
        <v>0</v>
      </c>
      <c r="GH12" s="34">
        <f t="shared" ca="1" si="63"/>
        <v>0</v>
      </c>
      <c r="GI12" s="34">
        <f t="shared" ca="1" si="63"/>
        <v>0</v>
      </c>
      <c r="GJ12" s="34">
        <f t="shared" ca="1" si="63"/>
        <v>0</v>
      </c>
      <c r="GK12" s="34">
        <f t="shared" ca="1" si="63"/>
        <v>0</v>
      </c>
      <c r="GL12" s="34">
        <f t="shared" ca="1" si="63"/>
        <v>0</v>
      </c>
      <c r="GM12" s="34">
        <f t="shared" ca="1" si="63"/>
        <v>0</v>
      </c>
      <c r="GN12" s="34">
        <f t="shared" ca="1" si="63"/>
        <v>0</v>
      </c>
      <c r="GO12" s="34">
        <f t="shared" ca="1" si="64"/>
        <v>0</v>
      </c>
      <c r="GP12" s="34">
        <f t="shared" ca="1" si="64"/>
        <v>0</v>
      </c>
      <c r="GQ12" s="34">
        <f t="shared" ca="1" si="64"/>
        <v>0</v>
      </c>
      <c r="GR12" s="34">
        <f t="shared" ca="1" si="64"/>
        <v>0</v>
      </c>
      <c r="GS12" s="34">
        <f t="shared" ca="1" si="64"/>
        <v>0</v>
      </c>
      <c r="GT12" s="34">
        <f t="shared" ca="1" si="64"/>
        <v>0</v>
      </c>
      <c r="GU12" s="34">
        <f t="shared" ca="1" si="64"/>
        <v>0</v>
      </c>
      <c r="GV12" s="34">
        <f t="shared" ca="1" si="64"/>
        <v>0</v>
      </c>
      <c r="GW12" s="34">
        <f t="shared" ca="1" si="64"/>
        <v>0</v>
      </c>
      <c r="GX12" s="34">
        <f t="shared" ca="1" si="64"/>
        <v>0</v>
      </c>
      <c r="GY12" s="34">
        <f t="shared" ca="1" si="65"/>
        <v>0</v>
      </c>
      <c r="GZ12" s="34">
        <f t="shared" ca="1" si="65"/>
        <v>0</v>
      </c>
      <c r="HA12" s="34">
        <f t="shared" ca="1" si="65"/>
        <v>0</v>
      </c>
      <c r="HB12" s="34">
        <f t="shared" ca="1" si="65"/>
        <v>0</v>
      </c>
      <c r="HC12" s="34">
        <f t="shared" ca="1" si="65"/>
        <v>0</v>
      </c>
      <c r="HD12" s="34">
        <f t="shared" ca="1" si="65"/>
        <v>0</v>
      </c>
      <c r="HE12" s="34">
        <f t="shared" ca="1" si="65"/>
        <v>0</v>
      </c>
      <c r="HF12" s="34">
        <f t="shared" ca="1" si="65"/>
        <v>0</v>
      </c>
      <c r="HG12" s="34">
        <f t="shared" ca="1" si="65"/>
        <v>0</v>
      </c>
      <c r="HH12" s="34">
        <f t="shared" ca="1" si="65"/>
        <v>0</v>
      </c>
      <c r="HI12" s="34">
        <f t="shared" ca="1" si="66"/>
        <v>0</v>
      </c>
      <c r="HJ12" s="34">
        <f t="shared" ca="1" si="66"/>
        <v>0</v>
      </c>
      <c r="HK12" s="34">
        <f t="shared" ca="1" si="66"/>
        <v>0</v>
      </c>
      <c r="HL12" s="34">
        <f t="shared" ca="1" si="66"/>
        <v>0</v>
      </c>
      <c r="HM12" s="34">
        <f t="shared" ca="1" si="66"/>
        <v>0</v>
      </c>
      <c r="HN12" s="34">
        <f t="shared" ca="1" si="66"/>
        <v>0</v>
      </c>
      <c r="HO12" s="34">
        <f t="shared" ca="1" si="66"/>
        <v>0</v>
      </c>
      <c r="HP12" s="34">
        <f t="shared" ca="1" si="66"/>
        <v>0</v>
      </c>
      <c r="HQ12" s="34">
        <f t="shared" ca="1" si="66"/>
        <v>0</v>
      </c>
      <c r="HR12" s="34">
        <f t="shared" ca="1" si="66"/>
        <v>0</v>
      </c>
      <c r="HS12" s="34">
        <f t="shared" ca="1" si="67"/>
        <v>0</v>
      </c>
      <c r="HT12" s="34">
        <f t="shared" ca="1" si="67"/>
        <v>0</v>
      </c>
      <c r="HU12" s="34">
        <f t="shared" ca="1" si="67"/>
        <v>0</v>
      </c>
      <c r="HV12" s="34">
        <f t="shared" ca="1" si="67"/>
        <v>0</v>
      </c>
      <c r="HW12" s="34">
        <f t="shared" ca="1" si="67"/>
        <v>0</v>
      </c>
      <c r="HX12" s="34">
        <f t="shared" ca="1" si="67"/>
        <v>0</v>
      </c>
      <c r="HY12" s="34">
        <f t="shared" ca="1" si="67"/>
        <v>0</v>
      </c>
      <c r="HZ12" s="34">
        <f t="shared" ca="1" si="67"/>
        <v>0</v>
      </c>
      <c r="IA12" s="34">
        <f t="shared" ca="1" si="67"/>
        <v>0</v>
      </c>
      <c r="IB12" s="34">
        <f t="shared" ca="1" si="67"/>
        <v>0</v>
      </c>
      <c r="IC12" s="34">
        <f t="shared" ca="1" si="68"/>
        <v>0</v>
      </c>
      <c r="ID12" s="34">
        <f t="shared" ca="1" si="68"/>
        <v>0</v>
      </c>
      <c r="IE12" s="34">
        <f t="shared" ca="1" si="68"/>
        <v>0</v>
      </c>
      <c r="IF12" s="34">
        <f t="shared" ca="1" si="68"/>
        <v>0</v>
      </c>
      <c r="IG12" s="34">
        <f t="shared" ca="1" si="68"/>
        <v>0</v>
      </c>
      <c r="IH12" s="34">
        <f t="shared" ca="1" si="68"/>
        <v>0</v>
      </c>
      <c r="II12" s="34">
        <f t="shared" ca="1" si="68"/>
        <v>0</v>
      </c>
      <c r="IJ12" s="34">
        <f t="shared" ca="1" si="68"/>
        <v>0</v>
      </c>
      <c r="IK12" s="34">
        <f t="shared" ca="1" si="68"/>
        <v>0</v>
      </c>
      <c r="IL12" s="34">
        <f t="shared" ca="1" si="68"/>
        <v>0</v>
      </c>
      <c r="IM12" s="34">
        <f t="shared" ca="1" si="69"/>
        <v>0</v>
      </c>
      <c r="IN12" s="34">
        <f t="shared" ca="1" si="69"/>
        <v>0</v>
      </c>
      <c r="IO12" s="34">
        <f t="shared" ca="1" si="69"/>
        <v>0</v>
      </c>
      <c r="IP12" s="34">
        <f t="shared" ca="1" si="69"/>
        <v>0</v>
      </c>
      <c r="IQ12" s="34">
        <f t="shared" ca="1" si="69"/>
        <v>0</v>
      </c>
      <c r="IR12" s="34">
        <f t="shared" ca="1" si="69"/>
        <v>0</v>
      </c>
      <c r="IS12" s="34">
        <f t="shared" ca="1" si="69"/>
        <v>0</v>
      </c>
      <c r="IT12" s="34">
        <f t="shared" ca="1" si="69"/>
        <v>0</v>
      </c>
      <c r="IU12" s="34">
        <f t="shared" ca="1" si="69"/>
        <v>0</v>
      </c>
      <c r="IV12" s="34">
        <f t="shared" ca="1" si="69"/>
        <v>0</v>
      </c>
      <c r="IW12" s="34">
        <f t="shared" ca="1" si="70"/>
        <v>0</v>
      </c>
      <c r="IX12" s="34">
        <f t="shared" ca="1" si="70"/>
        <v>0</v>
      </c>
      <c r="IY12" s="34">
        <f t="shared" ca="1" si="70"/>
        <v>0</v>
      </c>
      <c r="IZ12" s="34">
        <f t="shared" ca="1" si="70"/>
        <v>0</v>
      </c>
      <c r="JA12" s="34">
        <f t="shared" ca="1" si="70"/>
        <v>0</v>
      </c>
      <c r="JB12" s="34">
        <f t="shared" ca="1" si="70"/>
        <v>0</v>
      </c>
      <c r="JC12" s="34">
        <f t="shared" ca="1" si="70"/>
        <v>0</v>
      </c>
      <c r="JD12" s="34">
        <f t="shared" ca="1" si="70"/>
        <v>0</v>
      </c>
      <c r="JE12" s="34">
        <f t="shared" ca="1" si="70"/>
        <v>0</v>
      </c>
      <c r="JF12" s="34">
        <f t="shared" ca="1" si="70"/>
        <v>0</v>
      </c>
      <c r="JG12" s="34">
        <f t="shared" ca="1" si="71"/>
        <v>0</v>
      </c>
      <c r="JH12" s="34">
        <f t="shared" ca="1" si="71"/>
        <v>0</v>
      </c>
      <c r="JI12" s="34">
        <f t="shared" ca="1" si="71"/>
        <v>0</v>
      </c>
      <c r="JJ12" s="34">
        <f t="shared" ca="1" si="71"/>
        <v>0</v>
      </c>
      <c r="JK12" s="34">
        <f t="shared" ca="1" si="71"/>
        <v>0</v>
      </c>
      <c r="JL12" s="34">
        <f t="shared" ca="1" si="71"/>
        <v>0</v>
      </c>
      <c r="JM12" s="34">
        <f t="shared" ca="1" si="71"/>
        <v>0</v>
      </c>
      <c r="JN12" s="34">
        <f t="shared" ca="1" si="71"/>
        <v>0</v>
      </c>
      <c r="JO12" s="34">
        <f t="shared" ca="1" si="71"/>
        <v>0</v>
      </c>
      <c r="JP12" s="34">
        <f t="shared" ca="1" si="71"/>
        <v>0</v>
      </c>
      <c r="JQ12" s="34">
        <f t="shared" ca="1" si="72"/>
        <v>0</v>
      </c>
      <c r="JR12" s="34">
        <f t="shared" ca="1" si="72"/>
        <v>0</v>
      </c>
      <c r="JS12" s="34">
        <f t="shared" ca="1" si="72"/>
        <v>0</v>
      </c>
      <c r="JT12" s="34">
        <f t="shared" ca="1" si="72"/>
        <v>0</v>
      </c>
      <c r="JU12" s="34">
        <f t="shared" ca="1" si="72"/>
        <v>0</v>
      </c>
      <c r="JV12" s="34">
        <f t="shared" ca="1" si="72"/>
        <v>0</v>
      </c>
      <c r="JW12" s="34">
        <f t="shared" ca="1" si="72"/>
        <v>0</v>
      </c>
      <c r="JX12" s="34">
        <f t="shared" ca="1" si="72"/>
        <v>0</v>
      </c>
      <c r="JY12" s="34">
        <f t="shared" ca="1" si="72"/>
        <v>0</v>
      </c>
      <c r="JZ12" s="34">
        <f t="shared" ca="1" si="72"/>
        <v>0</v>
      </c>
      <c r="KA12" s="34">
        <f t="shared" ca="1" si="73"/>
        <v>0</v>
      </c>
      <c r="KB12" s="34">
        <f t="shared" ca="1" si="73"/>
        <v>0</v>
      </c>
      <c r="KC12" s="34">
        <f t="shared" ca="1" si="73"/>
        <v>0</v>
      </c>
      <c r="KD12" s="34">
        <f t="shared" ca="1" si="73"/>
        <v>0</v>
      </c>
      <c r="KE12" s="34">
        <f t="shared" ca="1" si="73"/>
        <v>0</v>
      </c>
      <c r="KF12" s="34">
        <f t="shared" ca="1" si="73"/>
        <v>0</v>
      </c>
      <c r="KG12" s="34">
        <f t="shared" ca="1" si="73"/>
        <v>0</v>
      </c>
      <c r="KH12" s="34">
        <f t="shared" ca="1" si="73"/>
        <v>0</v>
      </c>
      <c r="KI12" s="34">
        <f t="shared" ca="1" si="73"/>
        <v>0</v>
      </c>
      <c r="KJ12" s="34">
        <f t="shared" ca="1" si="73"/>
        <v>0</v>
      </c>
      <c r="KK12" s="34">
        <f t="shared" ca="1" si="74"/>
        <v>0</v>
      </c>
      <c r="KL12" s="34">
        <f t="shared" ca="1" si="74"/>
        <v>0</v>
      </c>
      <c r="KM12" s="34">
        <f t="shared" ca="1" si="74"/>
        <v>0</v>
      </c>
      <c r="KN12" s="34">
        <f t="shared" ca="1" si="74"/>
        <v>0</v>
      </c>
      <c r="KO12" s="34">
        <f t="shared" ca="1" si="74"/>
        <v>0</v>
      </c>
      <c r="KP12" s="34">
        <f t="shared" ca="1" si="74"/>
        <v>0</v>
      </c>
      <c r="KQ12" s="34">
        <f t="shared" ca="1" si="74"/>
        <v>0</v>
      </c>
      <c r="KR12" s="34">
        <f t="shared" ca="1" si="74"/>
        <v>0</v>
      </c>
      <c r="KS12" s="34">
        <f t="shared" ca="1" si="74"/>
        <v>0</v>
      </c>
      <c r="KT12" s="34">
        <f t="shared" ca="1" si="74"/>
        <v>0</v>
      </c>
      <c r="KU12" s="34">
        <f t="shared" ca="1" si="75"/>
        <v>0</v>
      </c>
      <c r="KV12" s="34">
        <f t="shared" ca="1" si="75"/>
        <v>0</v>
      </c>
      <c r="KW12" s="34">
        <f t="shared" ca="1" si="75"/>
        <v>0</v>
      </c>
      <c r="KX12" s="34">
        <f t="shared" ca="1" si="75"/>
        <v>0</v>
      </c>
      <c r="KY12" s="34">
        <f t="shared" ca="1" si="75"/>
        <v>0</v>
      </c>
      <c r="KZ12" s="34">
        <f t="shared" ca="1" si="75"/>
        <v>0</v>
      </c>
      <c r="LA12" s="34">
        <f t="shared" ca="1" si="75"/>
        <v>0</v>
      </c>
      <c r="LB12" s="34">
        <f t="shared" ca="1" si="75"/>
        <v>0</v>
      </c>
      <c r="LC12" s="34">
        <f t="shared" ca="1" si="75"/>
        <v>0</v>
      </c>
      <c r="LD12" s="34">
        <f t="shared" ca="1" si="75"/>
        <v>0</v>
      </c>
      <c r="LE12" s="34">
        <f t="shared" ca="1" si="76"/>
        <v>0</v>
      </c>
      <c r="LF12" s="34">
        <f t="shared" ca="1" si="76"/>
        <v>0</v>
      </c>
      <c r="LG12" s="34">
        <f t="shared" ca="1" si="76"/>
        <v>0</v>
      </c>
      <c r="LH12" s="34">
        <f t="shared" ca="1" si="76"/>
        <v>0</v>
      </c>
      <c r="LI12" s="34">
        <f t="shared" ca="1" si="76"/>
        <v>0</v>
      </c>
      <c r="LJ12" s="34">
        <f t="shared" ca="1" si="76"/>
        <v>0</v>
      </c>
      <c r="LK12" s="34">
        <f t="shared" ca="1" si="76"/>
        <v>0</v>
      </c>
      <c r="LL12" s="34">
        <f t="shared" ca="1" si="76"/>
        <v>0</v>
      </c>
      <c r="LM12" s="34">
        <f t="shared" ca="1" si="76"/>
        <v>0</v>
      </c>
      <c r="LN12" s="34">
        <f t="shared" ca="1" si="76"/>
        <v>0</v>
      </c>
      <c r="LO12" s="34">
        <f t="shared" ca="1" si="77"/>
        <v>0</v>
      </c>
      <c r="LP12" s="34">
        <f t="shared" ca="1" si="77"/>
        <v>0</v>
      </c>
      <c r="LQ12" s="34">
        <f t="shared" ca="1" si="77"/>
        <v>0</v>
      </c>
      <c r="LR12" s="34">
        <f t="shared" ca="1" si="77"/>
        <v>0</v>
      </c>
      <c r="LS12" s="34">
        <f t="shared" ca="1" si="77"/>
        <v>0</v>
      </c>
      <c r="LT12" s="34">
        <f t="shared" ca="1" si="77"/>
        <v>0</v>
      </c>
      <c r="LU12" s="34">
        <f t="shared" ca="1" si="77"/>
        <v>0</v>
      </c>
      <c r="LV12" s="34">
        <f t="shared" ca="1" si="77"/>
        <v>0</v>
      </c>
      <c r="LW12" s="34">
        <f t="shared" ca="1" si="77"/>
        <v>0</v>
      </c>
      <c r="LX12" s="34">
        <f t="shared" ca="1" si="77"/>
        <v>0</v>
      </c>
      <c r="LY12" s="34">
        <f t="shared" ca="1" si="78"/>
        <v>0</v>
      </c>
      <c r="LZ12" s="34">
        <f t="shared" ca="1" si="78"/>
        <v>0</v>
      </c>
      <c r="MA12" s="34">
        <f t="shared" ca="1" si="78"/>
        <v>0</v>
      </c>
      <c r="MB12" s="34">
        <f t="shared" ca="1" si="78"/>
        <v>0</v>
      </c>
      <c r="MC12" s="34">
        <f t="shared" ca="1" si="78"/>
        <v>0</v>
      </c>
      <c r="MD12" s="34">
        <f t="shared" ca="1" si="78"/>
        <v>0</v>
      </c>
      <c r="ME12" s="34">
        <f t="shared" ca="1" si="78"/>
        <v>0</v>
      </c>
      <c r="MF12" s="34">
        <f t="shared" ca="1" si="78"/>
        <v>0</v>
      </c>
      <c r="MG12" s="34">
        <f t="shared" ca="1" si="78"/>
        <v>0</v>
      </c>
      <c r="MH12" s="34">
        <f t="shared" ca="1" si="78"/>
        <v>0</v>
      </c>
      <c r="MI12" s="34">
        <f t="shared" ca="1" si="79"/>
        <v>0</v>
      </c>
      <c r="MJ12" s="34">
        <f t="shared" ca="1" si="79"/>
        <v>0</v>
      </c>
      <c r="MK12" s="34">
        <f t="shared" ca="1" si="79"/>
        <v>0</v>
      </c>
      <c r="ML12" s="34">
        <f t="shared" ca="1" si="79"/>
        <v>0</v>
      </c>
      <c r="MM12" s="34">
        <f t="shared" ca="1" si="79"/>
        <v>0</v>
      </c>
      <c r="MN12" s="34">
        <f t="shared" ca="1" si="79"/>
        <v>0</v>
      </c>
      <c r="MO12" s="34">
        <f t="shared" ca="1" si="79"/>
        <v>0</v>
      </c>
      <c r="MP12" s="34">
        <f t="shared" ca="1" si="79"/>
        <v>0</v>
      </c>
      <c r="MQ12" s="34">
        <f t="shared" ca="1" si="79"/>
        <v>0</v>
      </c>
      <c r="MR12" s="34">
        <f t="shared" ca="1" si="79"/>
        <v>0</v>
      </c>
      <c r="MS12" s="34">
        <f t="shared" ca="1" si="80"/>
        <v>0</v>
      </c>
      <c r="MT12" s="34">
        <f t="shared" ca="1" si="80"/>
        <v>0</v>
      </c>
      <c r="MU12" s="34">
        <f t="shared" ca="1" si="80"/>
        <v>0</v>
      </c>
      <c r="MV12" s="34">
        <f t="shared" ca="1" si="80"/>
        <v>0</v>
      </c>
      <c r="MW12" s="34">
        <f t="shared" ca="1" si="80"/>
        <v>0</v>
      </c>
      <c r="MX12" s="34">
        <f t="shared" ca="1" si="80"/>
        <v>0</v>
      </c>
      <c r="MY12" s="34">
        <f t="shared" ca="1" si="80"/>
        <v>0</v>
      </c>
      <c r="MZ12" s="34">
        <f t="shared" ca="1" si="80"/>
        <v>0</v>
      </c>
      <c r="NA12" s="34">
        <f t="shared" ca="1" si="80"/>
        <v>0</v>
      </c>
      <c r="NB12" s="34">
        <f t="shared" ca="1" si="80"/>
        <v>0</v>
      </c>
      <c r="NC12" s="34">
        <f t="shared" ca="1" si="81"/>
        <v>0</v>
      </c>
      <c r="ND12" s="34">
        <f t="shared" ca="1" si="81"/>
        <v>0</v>
      </c>
      <c r="NE12" s="34">
        <f t="shared" ca="1" si="81"/>
        <v>0</v>
      </c>
      <c r="NF12" s="34">
        <f t="shared" ca="1" si="81"/>
        <v>0</v>
      </c>
      <c r="NG12" s="34">
        <f t="shared" ca="1" si="81"/>
        <v>0</v>
      </c>
      <c r="NH12" s="34">
        <f t="shared" ca="1" si="81"/>
        <v>0</v>
      </c>
      <c r="NI12" s="34">
        <f t="shared" ca="1" si="81"/>
        <v>0</v>
      </c>
      <c r="NJ12" s="34">
        <f t="shared" ca="1" si="81"/>
        <v>0</v>
      </c>
      <c r="NK12" s="34">
        <f t="shared" ca="1" si="81"/>
        <v>0</v>
      </c>
      <c r="NL12" s="34">
        <f t="shared" ca="1" si="81"/>
        <v>0</v>
      </c>
      <c r="NM12" s="34">
        <f t="shared" ca="1" si="82"/>
        <v>0</v>
      </c>
      <c r="NN12" s="34">
        <f t="shared" ca="1" si="82"/>
        <v>0</v>
      </c>
      <c r="NO12" s="34">
        <f t="shared" ca="1" si="82"/>
        <v>0</v>
      </c>
      <c r="NP12" s="34">
        <f t="shared" ca="1" si="82"/>
        <v>0</v>
      </c>
      <c r="NQ12" s="34">
        <f t="shared" ca="1" si="82"/>
        <v>0</v>
      </c>
      <c r="NR12" s="34">
        <f t="shared" ca="1" si="82"/>
        <v>0</v>
      </c>
      <c r="NS12" s="34">
        <f t="shared" ca="1" si="82"/>
        <v>0</v>
      </c>
      <c r="NT12" s="34">
        <f t="shared" ca="1" si="82"/>
        <v>0</v>
      </c>
      <c r="NU12" s="34">
        <f t="shared" ca="1" si="82"/>
        <v>0</v>
      </c>
      <c r="NV12" s="34">
        <f t="shared" ca="1" si="82"/>
        <v>0</v>
      </c>
      <c r="NW12" s="34">
        <f t="shared" ca="1" si="83"/>
        <v>0</v>
      </c>
      <c r="NX12" s="34">
        <f t="shared" ca="1" si="83"/>
        <v>0</v>
      </c>
      <c r="NY12" s="34">
        <f t="shared" ca="1" si="83"/>
        <v>0</v>
      </c>
      <c r="NZ12" s="34">
        <f t="shared" ca="1" si="83"/>
        <v>0</v>
      </c>
      <c r="OA12" s="34">
        <f t="shared" ca="1" si="83"/>
        <v>0</v>
      </c>
      <c r="OB12" s="34">
        <f t="shared" ca="1" si="83"/>
        <v>0</v>
      </c>
      <c r="OC12" s="34">
        <f t="shared" ca="1" si="83"/>
        <v>0</v>
      </c>
      <c r="OD12" s="34">
        <f t="shared" ca="1" si="83"/>
        <v>0</v>
      </c>
      <c r="OE12" s="34">
        <f t="shared" ca="1" si="83"/>
        <v>0</v>
      </c>
      <c r="OF12" s="34">
        <f t="shared" ca="1" si="83"/>
        <v>0</v>
      </c>
      <c r="OG12" s="34">
        <f t="shared" ca="1" si="84"/>
        <v>0</v>
      </c>
      <c r="OH12" s="34">
        <f t="shared" ca="1" si="84"/>
        <v>0</v>
      </c>
      <c r="OI12" s="34">
        <f t="shared" ca="1" si="84"/>
        <v>0</v>
      </c>
      <c r="OJ12" s="34">
        <f t="shared" ca="1" si="84"/>
        <v>0</v>
      </c>
      <c r="OK12" s="34">
        <f t="shared" ca="1" si="84"/>
        <v>0</v>
      </c>
      <c r="OL12" s="34">
        <f t="shared" ca="1" si="84"/>
        <v>0</v>
      </c>
      <c r="OM12" s="34">
        <f t="shared" ca="1" si="84"/>
        <v>0</v>
      </c>
      <c r="ON12" s="34">
        <f t="shared" ca="1" si="84"/>
        <v>0</v>
      </c>
      <c r="OO12" s="34">
        <f t="shared" ca="1" si="84"/>
        <v>0</v>
      </c>
      <c r="OP12" s="34">
        <f t="shared" ca="1" si="84"/>
        <v>0</v>
      </c>
      <c r="OQ12" s="34">
        <f t="shared" ca="1" si="85"/>
        <v>0</v>
      </c>
      <c r="OR12" s="34">
        <f t="shared" ca="1" si="85"/>
        <v>0</v>
      </c>
      <c r="OS12" s="34">
        <f t="shared" ca="1" si="85"/>
        <v>0</v>
      </c>
      <c r="OT12" s="34">
        <f t="shared" ca="1" si="85"/>
        <v>0</v>
      </c>
      <c r="OU12" s="34">
        <f t="shared" ca="1" si="85"/>
        <v>0</v>
      </c>
      <c r="OV12" s="34">
        <f t="shared" ca="1" si="85"/>
        <v>0</v>
      </c>
      <c r="OW12" s="34">
        <f t="shared" ca="1" si="85"/>
        <v>0</v>
      </c>
      <c r="OX12" s="34">
        <f t="shared" ca="1" si="85"/>
        <v>0</v>
      </c>
      <c r="OY12" s="34">
        <f t="shared" ca="1" si="85"/>
        <v>0</v>
      </c>
      <c r="OZ12" s="34">
        <f t="shared" ca="1" si="85"/>
        <v>0</v>
      </c>
      <c r="PA12" s="34">
        <f t="shared" ca="1" si="86"/>
        <v>0</v>
      </c>
      <c r="PB12" s="34">
        <f t="shared" ca="1" si="86"/>
        <v>0</v>
      </c>
      <c r="PC12" s="34">
        <f t="shared" ca="1" si="86"/>
        <v>0</v>
      </c>
      <c r="PD12" s="34">
        <f t="shared" ca="1" si="86"/>
        <v>0</v>
      </c>
      <c r="PE12" s="34">
        <f t="shared" ca="1" si="86"/>
        <v>0</v>
      </c>
      <c r="PF12" s="34">
        <f t="shared" ca="1" si="86"/>
        <v>0</v>
      </c>
      <c r="PG12" s="34">
        <f t="shared" ca="1" si="86"/>
        <v>0</v>
      </c>
      <c r="PH12" s="34">
        <f t="shared" ca="1" si="86"/>
        <v>0</v>
      </c>
      <c r="PI12" s="34">
        <f t="shared" ca="1" si="86"/>
        <v>0</v>
      </c>
      <c r="PJ12" s="34">
        <f t="shared" ca="1" si="86"/>
        <v>0</v>
      </c>
      <c r="PK12" s="34">
        <f t="shared" ca="1" si="87"/>
        <v>0</v>
      </c>
      <c r="PL12" s="34">
        <f t="shared" ca="1" si="87"/>
        <v>0</v>
      </c>
      <c r="PM12" s="34">
        <f t="shared" ca="1" si="87"/>
        <v>0</v>
      </c>
      <c r="PN12" s="34">
        <f t="shared" ca="1" si="87"/>
        <v>0</v>
      </c>
      <c r="PO12" s="34">
        <f t="shared" ca="1" si="87"/>
        <v>0</v>
      </c>
      <c r="PP12" s="34">
        <f t="shared" ca="1" si="87"/>
        <v>0</v>
      </c>
      <c r="PQ12" s="34">
        <f t="shared" ca="1" si="87"/>
        <v>0</v>
      </c>
      <c r="PR12" s="34">
        <f t="shared" ca="1" si="87"/>
        <v>0</v>
      </c>
      <c r="PS12" s="34">
        <f t="shared" ca="1" si="87"/>
        <v>0</v>
      </c>
      <c r="PT12" s="34">
        <f t="shared" ca="1" si="87"/>
        <v>0</v>
      </c>
      <c r="PU12" s="34">
        <f t="shared" ca="1" si="88"/>
        <v>0</v>
      </c>
      <c r="PV12" s="34">
        <f t="shared" ca="1" si="88"/>
        <v>0</v>
      </c>
      <c r="PW12" s="34">
        <f t="shared" ca="1" si="88"/>
        <v>0</v>
      </c>
      <c r="PX12" s="34">
        <f t="shared" ca="1" si="88"/>
        <v>0</v>
      </c>
      <c r="PY12" s="34">
        <f t="shared" ca="1" si="88"/>
        <v>0</v>
      </c>
      <c r="PZ12" s="34">
        <f t="shared" ca="1" si="88"/>
        <v>0</v>
      </c>
      <c r="QA12" s="34">
        <f t="shared" ca="1" si="88"/>
        <v>0</v>
      </c>
      <c r="QB12" s="34">
        <f t="shared" ca="1" si="88"/>
        <v>0</v>
      </c>
      <c r="QC12" s="34">
        <f t="shared" ca="1" si="88"/>
        <v>0</v>
      </c>
      <c r="QD12" s="34">
        <f t="shared" ca="1" si="88"/>
        <v>0</v>
      </c>
      <c r="QE12" s="34">
        <f t="shared" ca="1" si="89"/>
        <v>0</v>
      </c>
      <c r="QF12" s="34">
        <f t="shared" ca="1" si="89"/>
        <v>0</v>
      </c>
      <c r="QG12" s="34">
        <f t="shared" ca="1" si="89"/>
        <v>0</v>
      </c>
      <c r="QH12" s="34">
        <f t="shared" ca="1" si="89"/>
        <v>0</v>
      </c>
      <c r="QI12" s="34">
        <f t="shared" ca="1" si="89"/>
        <v>0</v>
      </c>
      <c r="QJ12" s="34">
        <f t="shared" ca="1" si="89"/>
        <v>0</v>
      </c>
      <c r="QK12" s="34">
        <f t="shared" ca="1" si="89"/>
        <v>0</v>
      </c>
      <c r="QL12" s="34">
        <f t="shared" ca="1" si="89"/>
        <v>0</v>
      </c>
      <c r="QM12" s="34">
        <f t="shared" ca="1" si="89"/>
        <v>0</v>
      </c>
      <c r="QN12" s="34">
        <f t="shared" ca="1" si="89"/>
        <v>0</v>
      </c>
      <c r="QO12" s="34">
        <f t="shared" ca="1" si="90"/>
        <v>0</v>
      </c>
      <c r="QP12" s="34">
        <f t="shared" ca="1" si="90"/>
        <v>0</v>
      </c>
      <c r="QQ12" s="34">
        <f t="shared" ca="1" si="90"/>
        <v>0</v>
      </c>
      <c r="QR12" s="34">
        <f t="shared" ca="1" si="90"/>
        <v>0</v>
      </c>
      <c r="QS12" s="34">
        <f t="shared" ca="1" si="90"/>
        <v>0</v>
      </c>
      <c r="QT12" s="34">
        <f t="shared" ca="1" si="90"/>
        <v>0</v>
      </c>
      <c r="QU12" s="34">
        <f t="shared" ca="1" si="90"/>
        <v>0</v>
      </c>
      <c r="QV12" s="34">
        <f t="shared" ca="1" si="90"/>
        <v>0</v>
      </c>
      <c r="QW12" s="34">
        <f t="shared" ca="1" si="90"/>
        <v>0</v>
      </c>
      <c r="QX12" s="34">
        <f t="shared" ca="1" si="90"/>
        <v>0</v>
      </c>
      <c r="QY12" s="34">
        <f t="shared" ca="1" si="91"/>
        <v>0</v>
      </c>
      <c r="QZ12" s="34">
        <f t="shared" ca="1" si="91"/>
        <v>0</v>
      </c>
      <c r="RA12" s="34">
        <f t="shared" ca="1" si="91"/>
        <v>0</v>
      </c>
      <c r="RB12" s="34">
        <f t="shared" ca="1" si="91"/>
        <v>0</v>
      </c>
      <c r="RC12" s="34">
        <f t="shared" ca="1" si="91"/>
        <v>0</v>
      </c>
      <c r="RD12" s="34">
        <f t="shared" ca="1" si="91"/>
        <v>0</v>
      </c>
      <c r="RE12" s="34">
        <f t="shared" ca="1" si="91"/>
        <v>0</v>
      </c>
      <c r="RF12" s="34">
        <f t="shared" ca="1" si="91"/>
        <v>0</v>
      </c>
      <c r="RG12" s="34">
        <f t="shared" ca="1" si="91"/>
        <v>0</v>
      </c>
      <c r="RH12" s="34">
        <f t="shared" ca="1" si="91"/>
        <v>0</v>
      </c>
      <c r="RI12" s="34">
        <f t="shared" ca="1" si="92"/>
        <v>0</v>
      </c>
      <c r="RJ12" s="34">
        <f t="shared" ca="1" si="92"/>
        <v>0</v>
      </c>
      <c r="RK12" s="34">
        <f t="shared" ca="1" si="92"/>
        <v>0</v>
      </c>
      <c r="RL12" s="34">
        <f t="shared" ca="1" si="92"/>
        <v>0</v>
      </c>
      <c r="RM12" s="34">
        <f t="shared" ca="1" si="92"/>
        <v>0</v>
      </c>
      <c r="RN12" s="34">
        <f t="shared" ca="1" si="92"/>
        <v>0</v>
      </c>
      <c r="RO12" s="34">
        <f t="shared" ca="1" si="92"/>
        <v>0</v>
      </c>
      <c r="RP12" s="34">
        <f t="shared" ca="1" si="92"/>
        <v>0</v>
      </c>
      <c r="RQ12" s="34">
        <f t="shared" ca="1" si="92"/>
        <v>0</v>
      </c>
      <c r="RR12" s="34">
        <f t="shared" ca="1" si="92"/>
        <v>0</v>
      </c>
      <c r="RS12" s="34">
        <f t="shared" ca="1" si="93"/>
        <v>0</v>
      </c>
      <c r="RT12" s="34">
        <f t="shared" ca="1" si="93"/>
        <v>0</v>
      </c>
      <c r="RU12" s="34">
        <f t="shared" ca="1" si="93"/>
        <v>0</v>
      </c>
      <c r="RV12" s="34">
        <f t="shared" ca="1" si="93"/>
        <v>0</v>
      </c>
      <c r="RW12" s="34">
        <f t="shared" ca="1" si="93"/>
        <v>0</v>
      </c>
      <c r="RX12" s="34">
        <f t="shared" ca="1" si="93"/>
        <v>0</v>
      </c>
      <c r="RY12" s="34">
        <f t="shared" ca="1" si="93"/>
        <v>0</v>
      </c>
      <c r="RZ12" s="34">
        <f t="shared" ca="1" si="93"/>
        <v>0</v>
      </c>
      <c r="SA12" s="34">
        <f t="shared" ca="1" si="93"/>
        <v>0</v>
      </c>
      <c r="SB12" s="34">
        <f t="shared" ca="1" si="93"/>
        <v>0</v>
      </c>
      <c r="SC12" s="34">
        <f t="shared" ca="1" si="94"/>
        <v>0</v>
      </c>
      <c r="SD12" s="34">
        <f t="shared" ca="1" si="94"/>
        <v>0</v>
      </c>
      <c r="SE12" s="34">
        <f t="shared" ca="1" si="94"/>
        <v>0</v>
      </c>
      <c r="SF12" s="34">
        <f t="shared" ca="1" si="94"/>
        <v>0</v>
      </c>
      <c r="SG12" s="34">
        <f t="shared" ca="1" si="94"/>
        <v>0</v>
      </c>
      <c r="SH12" s="34">
        <f t="shared" ca="1" si="94"/>
        <v>0</v>
      </c>
      <c r="SI12" s="34">
        <f t="shared" ca="1" si="94"/>
        <v>0</v>
      </c>
      <c r="SJ12" s="34">
        <f t="shared" ca="1" si="94"/>
        <v>0</v>
      </c>
      <c r="SK12" s="34">
        <f t="shared" ca="1" si="94"/>
        <v>0</v>
      </c>
      <c r="SL12" s="34">
        <f t="shared" ca="1" si="94"/>
        <v>0</v>
      </c>
      <c r="SM12" s="34">
        <f t="shared" ca="1" si="95"/>
        <v>0</v>
      </c>
      <c r="SN12" s="34">
        <f t="shared" ca="1" si="95"/>
        <v>0</v>
      </c>
      <c r="SO12" s="34">
        <f t="shared" ca="1" si="95"/>
        <v>0</v>
      </c>
      <c r="SP12" s="34">
        <f t="shared" ca="1" si="95"/>
        <v>0</v>
      </c>
      <c r="SQ12" s="34">
        <f t="shared" ca="1" si="95"/>
        <v>0</v>
      </c>
      <c r="SR12" s="34">
        <f t="shared" ca="1" si="95"/>
        <v>0</v>
      </c>
      <c r="SS12" s="34">
        <f t="shared" ca="1" si="95"/>
        <v>0</v>
      </c>
      <c r="ST12" s="34">
        <f t="shared" ca="1" si="95"/>
        <v>0</v>
      </c>
      <c r="SU12" s="34">
        <f t="shared" ca="1" si="95"/>
        <v>0</v>
      </c>
      <c r="SV12" s="34">
        <f t="shared" ca="1" si="95"/>
        <v>0</v>
      </c>
      <c r="SW12" s="34">
        <f t="shared" ca="1" si="96"/>
        <v>0</v>
      </c>
      <c r="SX12" s="34">
        <f t="shared" ca="1" si="96"/>
        <v>0</v>
      </c>
      <c r="SY12" s="34">
        <f t="shared" ca="1" si="96"/>
        <v>0</v>
      </c>
      <c r="SZ12" s="34">
        <f t="shared" ca="1" si="96"/>
        <v>0</v>
      </c>
      <c r="TA12" s="34">
        <f t="shared" ca="1" si="96"/>
        <v>0</v>
      </c>
      <c r="TB12" s="34">
        <f t="shared" ca="1" si="96"/>
        <v>0</v>
      </c>
      <c r="TC12" s="34">
        <f t="shared" ca="1" si="96"/>
        <v>0</v>
      </c>
      <c r="TD12" s="34">
        <f t="shared" ca="1" si="96"/>
        <v>0</v>
      </c>
      <c r="TE12" s="34">
        <f t="shared" ca="1" si="96"/>
        <v>0</v>
      </c>
      <c r="TF12" s="34">
        <f t="shared" ca="1" si="96"/>
        <v>0</v>
      </c>
      <c r="TG12" s="34">
        <f t="shared" ca="1" si="97"/>
        <v>0</v>
      </c>
      <c r="TH12" s="34">
        <f t="shared" ca="1" si="97"/>
        <v>0</v>
      </c>
      <c r="TI12" s="34">
        <f t="shared" ca="1" si="97"/>
        <v>0</v>
      </c>
      <c r="TJ12" s="34">
        <f t="shared" ca="1" si="97"/>
        <v>0</v>
      </c>
      <c r="TK12" s="34">
        <f t="shared" ca="1" si="97"/>
        <v>0</v>
      </c>
      <c r="TL12" s="34">
        <f t="shared" ca="1" si="97"/>
        <v>0</v>
      </c>
      <c r="TM12" s="34">
        <f t="shared" ca="1" si="97"/>
        <v>0</v>
      </c>
      <c r="TN12" s="34">
        <f t="shared" ca="1" si="97"/>
        <v>0</v>
      </c>
      <c r="TO12" s="34">
        <f t="shared" ca="1" si="97"/>
        <v>0</v>
      </c>
      <c r="TP12" s="34">
        <f t="shared" ca="1" si="97"/>
        <v>0</v>
      </c>
      <c r="TQ12" s="34">
        <f t="shared" ca="1" si="98"/>
        <v>0</v>
      </c>
      <c r="TR12" s="34">
        <f t="shared" ca="1" si="98"/>
        <v>0</v>
      </c>
      <c r="TS12" s="34">
        <f t="shared" ca="1" si="98"/>
        <v>0</v>
      </c>
      <c r="TT12" s="34">
        <f t="shared" ca="1" si="98"/>
        <v>0</v>
      </c>
      <c r="TU12" s="34">
        <f t="shared" ca="1" si="98"/>
        <v>0</v>
      </c>
      <c r="TV12" s="34">
        <f t="shared" ca="1" si="98"/>
        <v>0</v>
      </c>
      <c r="TW12" s="34">
        <f t="shared" ca="1" si="98"/>
        <v>0</v>
      </c>
      <c r="TX12" s="34">
        <f t="shared" ca="1" si="98"/>
        <v>0</v>
      </c>
      <c r="TY12" s="34">
        <f t="shared" ca="1" si="98"/>
        <v>0</v>
      </c>
      <c r="TZ12" s="34">
        <f t="shared" ca="1" si="98"/>
        <v>0</v>
      </c>
      <c r="UA12" s="34">
        <f t="shared" ca="1" si="99"/>
        <v>0</v>
      </c>
      <c r="UB12" s="34">
        <f t="shared" ca="1" si="99"/>
        <v>0</v>
      </c>
      <c r="UC12" s="34">
        <f t="shared" ca="1" si="99"/>
        <v>0</v>
      </c>
      <c r="UD12" s="34">
        <f t="shared" ca="1" si="99"/>
        <v>0</v>
      </c>
      <c r="UE12" s="34">
        <f t="shared" ca="1" si="99"/>
        <v>0</v>
      </c>
      <c r="UF12" s="34">
        <f t="shared" ca="1" si="99"/>
        <v>0</v>
      </c>
      <c r="UG12" s="34">
        <f t="shared" ca="1" si="99"/>
        <v>0</v>
      </c>
      <c r="UH12" s="34">
        <f t="shared" ca="1" si="99"/>
        <v>0</v>
      </c>
      <c r="UI12" s="34">
        <f t="shared" ca="1" si="99"/>
        <v>0</v>
      </c>
      <c r="UJ12" s="34">
        <f t="shared" ca="1" si="99"/>
        <v>0</v>
      </c>
      <c r="UK12" s="34">
        <f t="shared" ca="1" si="100"/>
        <v>0</v>
      </c>
      <c r="UL12" s="34">
        <f t="shared" ca="1" si="100"/>
        <v>0</v>
      </c>
      <c r="UM12" s="34">
        <f t="shared" ca="1" si="100"/>
        <v>0</v>
      </c>
      <c r="UN12" s="34">
        <f t="shared" ca="1" si="100"/>
        <v>0</v>
      </c>
      <c r="UO12" s="34">
        <f t="shared" ca="1" si="100"/>
        <v>0</v>
      </c>
      <c r="UP12" s="34">
        <f t="shared" ca="1" si="100"/>
        <v>0</v>
      </c>
      <c r="UQ12" s="34">
        <f t="shared" ca="1" si="100"/>
        <v>0</v>
      </c>
      <c r="UR12" s="34">
        <f t="shared" ca="1" si="100"/>
        <v>0</v>
      </c>
      <c r="US12" s="34">
        <f t="shared" ca="1" si="100"/>
        <v>0</v>
      </c>
      <c r="UT12" s="34">
        <f t="shared" ca="1" si="100"/>
        <v>0</v>
      </c>
      <c r="UU12" s="34">
        <f t="shared" ca="1" si="101"/>
        <v>0</v>
      </c>
      <c r="UV12" s="34">
        <f t="shared" ca="1" si="101"/>
        <v>0</v>
      </c>
      <c r="UW12" s="34">
        <f t="shared" ca="1" si="101"/>
        <v>0</v>
      </c>
      <c r="UX12" s="34">
        <f t="shared" ca="1" si="101"/>
        <v>0</v>
      </c>
      <c r="UY12" s="34">
        <f t="shared" ca="1" si="101"/>
        <v>0</v>
      </c>
      <c r="UZ12" s="34">
        <f t="shared" ca="1" si="101"/>
        <v>0</v>
      </c>
      <c r="VA12" s="34">
        <f t="shared" ca="1" si="101"/>
        <v>0</v>
      </c>
      <c r="VB12" s="34">
        <f t="shared" ca="1" si="101"/>
        <v>0</v>
      </c>
      <c r="VC12" s="34">
        <f t="shared" ca="1" si="101"/>
        <v>0</v>
      </c>
      <c r="VD12" s="34">
        <f t="shared" ca="1" si="101"/>
        <v>0</v>
      </c>
      <c r="VE12" s="34">
        <f t="shared" ca="1" si="102"/>
        <v>0</v>
      </c>
      <c r="VF12" s="34">
        <f t="shared" ca="1" si="102"/>
        <v>0</v>
      </c>
      <c r="VG12" s="34">
        <f t="shared" ca="1" si="102"/>
        <v>0</v>
      </c>
      <c r="VH12" s="34">
        <f t="shared" ca="1" si="102"/>
        <v>0</v>
      </c>
      <c r="VI12" s="34">
        <f t="shared" ca="1" si="102"/>
        <v>0</v>
      </c>
      <c r="VJ12" s="34">
        <f t="shared" ca="1" si="102"/>
        <v>0</v>
      </c>
      <c r="VK12" s="34">
        <f t="shared" ca="1" si="102"/>
        <v>0</v>
      </c>
      <c r="VL12" s="34">
        <f t="shared" ca="1" si="102"/>
        <v>0</v>
      </c>
      <c r="VM12" s="34">
        <f t="shared" ca="1" si="102"/>
        <v>0</v>
      </c>
      <c r="VN12" s="34">
        <f t="shared" ca="1" si="102"/>
        <v>0</v>
      </c>
      <c r="VO12" s="34">
        <f t="shared" ca="1" si="103"/>
        <v>0</v>
      </c>
      <c r="VP12" s="34">
        <f t="shared" ca="1" si="103"/>
        <v>0</v>
      </c>
      <c r="VQ12" s="34">
        <f t="shared" ca="1" si="103"/>
        <v>0</v>
      </c>
      <c r="VR12" s="34">
        <f t="shared" ca="1" si="103"/>
        <v>0</v>
      </c>
      <c r="VS12" s="34">
        <f t="shared" ca="1" si="103"/>
        <v>0</v>
      </c>
      <c r="VT12" s="34">
        <f t="shared" ca="1" si="103"/>
        <v>0</v>
      </c>
      <c r="VU12" s="34">
        <f t="shared" ca="1" si="103"/>
        <v>0</v>
      </c>
      <c r="VV12" s="34">
        <f t="shared" ca="1" si="103"/>
        <v>0</v>
      </c>
      <c r="VW12" s="34">
        <f t="shared" ca="1" si="103"/>
        <v>0</v>
      </c>
      <c r="VX12" s="34">
        <f t="shared" ca="1" si="103"/>
        <v>0</v>
      </c>
      <c r="VY12" s="34">
        <f t="shared" ca="1" si="104"/>
        <v>0</v>
      </c>
      <c r="VZ12" s="34">
        <f t="shared" ca="1" si="104"/>
        <v>0</v>
      </c>
      <c r="WA12" s="34">
        <f t="shared" ca="1" si="104"/>
        <v>0</v>
      </c>
      <c r="WB12" s="34">
        <f t="shared" ca="1" si="104"/>
        <v>0</v>
      </c>
      <c r="WC12" s="34">
        <f t="shared" ca="1" si="104"/>
        <v>0</v>
      </c>
      <c r="WD12" s="34">
        <f t="shared" ca="1" si="104"/>
        <v>0</v>
      </c>
      <c r="WE12" s="34">
        <f t="shared" ca="1" si="104"/>
        <v>0</v>
      </c>
      <c r="WF12" s="34">
        <f t="shared" ca="1" si="104"/>
        <v>0</v>
      </c>
      <c r="WG12" s="34">
        <f t="shared" ca="1" si="104"/>
        <v>0</v>
      </c>
      <c r="WH12" s="34">
        <f t="shared" ca="1" si="104"/>
        <v>0</v>
      </c>
      <c r="WI12" s="34">
        <f t="shared" ca="1" si="105"/>
        <v>0</v>
      </c>
      <c r="WJ12" s="34">
        <f t="shared" ca="1" si="105"/>
        <v>0</v>
      </c>
      <c r="WK12" s="34">
        <f t="shared" ca="1" si="105"/>
        <v>0</v>
      </c>
      <c r="WL12" s="34">
        <f t="shared" ca="1" si="105"/>
        <v>0</v>
      </c>
      <c r="WM12" s="34">
        <f t="shared" ca="1" si="105"/>
        <v>0</v>
      </c>
      <c r="WN12" s="34">
        <f t="shared" ca="1" si="105"/>
        <v>0</v>
      </c>
      <c r="WO12" s="34">
        <f t="shared" ca="1" si="105"/>
        <v>0</v>
      </c>
      <c r="WP12" s="34">
        <f t="shared" ca="1" si="105"/>
        <v>0</v>
      </c>
      <c r="WQ12" s="34">
        <f t="shared" ca="1" si="105"/>
        <v>0</v>
      </c>
      <c r="WR12" s="34">
        <f t="shared" ca="1" si="105"/>
        <v>0</v>
      </c>
      <c r="WS12" s="34">
        <f t="shared" ca="1" si="106"/>
        <v>0</v>
      </c>
      <c r="WT12" s="34">
        <f t="shared" ca="1" si="106"/>
        <v>0</v>
      </c>
      <c r="WU12" s="34">
        <f t="shared" ca="1" si="106"/>
        <v>0</v>
      </c>
      <c r="WV12" s="34">
        <f t="shared" ca="1" si="106"/>
        <v>0</v>
      </c>
      <c r="WW12" s="34">
        <f t="shared" ca="1" si="106"/>
        <v>0</v>
      </c>
      <c r="WX12" s="34">
        <f t="shared" ca="1" si="106"/>
        <v>0</v>
      </c>
      <c r="WY12" s="34">
        <f t="shared" ca="1" si="106"/>
        <v>0</v>
      </c>
      <c r="WZ12" s="34">
        <f t="shared" ca="1" si="106"/>
        <v>0</v>
      </c>
      <c r="XA12" s="34">
        <f t="shared" ca="1" si="106"/>
        <v>0</v>
      </c>
      <c r="XB12" s="34">
        <f t="shared" ca="1" si="106"/>
        <v>0</v>
      </c>
      <c r="XC12" s="34">
        <f t="shared" ca="1" si="107"/>
        <v>0</v>
      </c>
      <c r="XD12" s="34">
        <f t="shared" ca="1" si="107"/>
        <v>0</v>
      </c>
      <c r="XE12" s="34">
        <f t="shared" ca="1" si="107"/>
        <v>0</v>
      </c>
      <c r="XF12" s="34">
        <f t="shared" ca="1" si="107"/>
        <v>0</v>
      </c>
      <c r="XG12" s="34">
        <f t="shared" ca="1" si="107"/>
        <v>0</v>
      </c>
      <c r="XH12" s="34">
        <f t="shared" ca="1" si="107"/>
        <v>0</v>
      </c>
      <c r="XI12" s="34">
        <f t="shared" ca="1" si="107"/>
        <v>0</v>
      </c>
      <c r="XJ12" s="34">
        <f t="shared" ca="1" si="107"/>
        <v>0</v>
      </c>
      <c r="XK12" s="34">
        <f t="shared" ca="1" si="107"/>
        <v>0</v>
      </c>
      <c r="XL12" s="34">
        <f t="shared" ca="1" si="107"/>
        <v>0</v>
      </c>
      <c r="XM12" s="34">
        <f t="shared" ca="1" si="108"/>
        <v>0</v>
      </c>
      <c r="XN12" s="34">
        <f t="shared" ca="1" si="108"/>
        <v>0</v>
      </c>
      <c r="XO12" s="34">
        <f t="shared" ca="1" si="108"/>
        <v>0</v>
      </c>
      <c r="XP12" s="34">
        <f t="shared" ca="1" si="108"/>
        <v>0</v>
      </c>
      <c r="XQ12" s="34">
        <f t="shared" ca="1" si="108"/>
        <v>0</v>
      </c>
      <c r="XR12" s="34">
        <f t="shared" ca="1" si="108"/>
        <v>0</v>
      </c>
      <c r="XS12" s="34">
        <f t="shared" ca="1" si="108"/>
        <v>0</v>
      </c>
      <c r="XT12" s="34">
        <f t="shared" ca="1" si="108"/>
        <v>0</v>
      </c>
      <c r="XU12" s="34">
        <f t="shared" ca="1" si="108"/>
        <v>0</v>
      </c>
      <c r="XV12" s="34">
        <f t="shared" ca="1" si="108"/>
        <v>0</v>
      </c>
      <c r="XW12" s="34">
        <f t="shared" ca="1" si="109"/>
        <v>0</v>
      </c>
      <c r="XX12" s="34">
        <f t="shared" ca="1" si="109"/>
        <v>0</v>
      </c>
      <c r="XY12" s="34">
        <f t="shared" ca="1" si="109"/>
        <v>0</v>
      </c>
      <c r="XZ12" s="34">
        <f t="shared" ca="1" si="109"/>
        <v>0</v>
      </c>
      <c r="YA12" s="34">
        <f t="shared" ca="1" si="109"/>
        <v>0</v>
      </c>
      <c r="YB12" s="34">
        <f t="shared" ca="1" si="109"/>
        <v>0</v>
      </c>
      <c r="YC12" s="34">
        <f t="shared" ca="1" si="109"/>
        <v>0</v>
      </c>
      <c r="YD12" s="34">
        <f t="shared" ca="1" si="109"/>
        <v>0</v>
      </c>
      <c r="YE12" s="34">
        <f t="shared" ca="1" si="109"/>
        <v>0</v>
      </c>
      <c r="YF12" s="34">
        <f t="shared" ca="1" si="109"/>
        <v>0</v>
      </c>
      <c r="YG12" s="34">
        <f t="shared" ca="1" si="110"/>
        <v>0</v>
      </c>
      <c r="YH12" s="34">
        <f t="shared" ca="1" si="110"/>
        <v>0</v>
      </c>
      <c r="YI12" s="34">
        <f t="shared" ca="1" si="110"/>
        <v>0</v>
      </c>
      <c r="YJ12" s="34">
        <f t="shared" ca="1" si="110"/>
        <v>0</v>
      </c>
      <c r="YK12" s="34">
        <f t="shared" ca="1" si="110"/>
        <v>0</v>
      </c>
      <c r="YL12" s="34">
        <f t="shared" ca="1" si="110"/>
        <v>0</v>
      </c>
      <c r="YM12" s="34">
        <f t="shared" ca="1" si="110"/>
        <v>0</v>
      </c>
      <c r="YN12" s="34">
        <f t="shared" ca="1" si="110"/>
        <v>0</v>
      </c>
      <c r="YO12" s="34">
        <f t="shared" ca="1" si="110"/>
        <v>0</v>
      </c>
      <c r="YP12" s="34">
        <f t="shared" ca="1" si="110"/>
        <v>0</v>
      </c>
      <c r="YQ12" s="34">
        <f t="shared" ca="1" si="111"/>
        <v>0</v>
      </c>
      <c r="YR12" s="34">
        <f t="shared" ca="1" si="111"/>
        <v>0</v>
      </c>
      <c r="YS12" s="34">
        <f t="shared" ca="1" si="111"/>
        <v>0</v>
      </c>
      <c r="YT12" s="34">
        <f t="shared" ca="1" si="111"/>
        <v>0</v>
      </c>
      <c r="YU12" s="34">
        <f t="shared" ca="1" si="111"/>
        <v>0</v>
      </c>
      <c r="YV12" s="34">
        <f t="shared" ca="1" si="111"/>
        <v>0</v>
      </c>
      <c r="YW12" s="34">
        <f t="shared" ca="1" si="111"/>
        <v>0</v>
      </c>
      <c r="YX12" s="34">
        <f t="shared" ca="1" si="111"/>
        <v>0</v>
      </c>
      <c r="YY12" s="34">
        <f t="shared" ca="1" si="111"/>
        <v>0</v>
      </c>
      <c r="YZ12" s="34">
        <f t="shared" ca="1" si="111"/>
        <v>0</v>
      </c>
      <c r="ZA12" s="34">
        <f t="shared" ca="1" si="112"/>
        <v>0</v>
      </c>
      <c r="ZB12" s="34">
        <f t="shared" ca="1" si="112"/>
        <v>0</v>
      </c>
      <c r="ZC12" s="34">
        <f t="shared" ca="1" si="112"/>
        <v>0</v>
      </c>
      <c r="ZD12" s="34">
        <f t="shared" ca="1" si="112"/>
        <v>0</v>
      </c>
      <c r="ZE12" s="34">
        <f t="shared" ca="1" si="112"/>
        <v>0</v>
      </c>
      <c r="ZF12" s="34">
        <f t="shared" ca="1" si="112"/>
        <v>0</v>
      </c>
      <c r="ZG12" s="34">
        <f t="shared" ca="1" si="112"/>
        <v>0</v>
      </c>
      <c r="ZH12" s="34">
        <f t="shared" ca="1" si="112"/>
        <v>0</v>
      </c>
      <c r="ZI12" s="34">
        <f t="shared" ca="1" si="112"/>
        <v>0</v>
      </c>
      <c r="ZJ12" s="34">
        <f t="shared" ca="1" si="112"/>
        <v>0</v>
      </c>
      <c r="ZK12" s="34">
        <f t="shared" ca="1" si="113"/>
        <v>0</v>
      </c>
      <c r="ZL12" s="34">
        <f t="shared" ca="1" si="113"/>
        <v>0</v>
      </c>
      <c r="ZM12" s="34">
        <f t="shared" ca="1" si="113"/>
        <v>0</v>
      </c>
      <c r="ZN12" s="34">
        <f t="shared" ca="1" si="113"/>
        <v>0</v>
      </c>
      <c r="ZO12" s="34">
        <f t="shared" ca="1" si="113"/>
        <v>0</v>
      </c>
      <c r="ZP12" s="34">
        <f t="shared" ca="1" si="113"/>
        <v>0</v>
      </c>
      <c r="ZQ12" s="34">
        <f t="shared" ca="1" si="113"/>
        <v>0</v>
      </c>
      <c r="ZR12" s="34">
        <f t="shared" ca="1" si="113"/>
        <v>0</v>
      </c>
      <c r="ZS12" s="34">
        <f t="shared" ca="1" si="113"/>
        <v>0</v>
      </c>
      <c r="ZT12" s="34">
        <f t="shared" ca="1" si="113"/>
        <v>0</v>
      </c>
      <c r="ZU12" s="34">
        <f t="shared" ca="1" si="114"/>
        <v>0</v>
      </c>
      <c r="ZV12" s="34">
        <f t="shared" ca="1" si="114"/>
        <v>0</v>
      </c>
      <c r="ZW12" s="34">
        <f t="shared" ca="1" si="114"/>
        <v>0</v>
      </c>
      <c r="ZX12" s="34">
        <f t="shared" ca="1" si="114"/>
        <v>0</v>
      </c>
      <c r="ZY12" s="34">
        <f t="shared" ca="1" si="114"/>
        <v>0</v>
      </c>
      <c r="ZZ12" s="34">
        <f t="shared" ca="1" si="114"/>
        <v>0</v>
      </c>
      <c r="AAA12" s="34">
        <f t="shared" ca="1" si="114"/>
        <v>0</v>
      </c>
      <c r="AAB12" s="34">
        <f t="shared" ca="1" si="114"/>
        <v>0</v>
      </c>
      <c r="AAC12" s="34">
        <f t="shared" ca="1" si="114"/>
        <v>0</v>
      </c>
      <c r="AAD12" s="34">
        <f t="shared" ca="1" si="114"/>
        <v>0</v>
      </c>
      <c r="AAE12" s="34">
        <f t="shared" ca="1" si="115"/>
        <v>0</v>
      </c>
      <c r="AAF12" s="34">
        <f t="shared" ca="1" si="115"/>
        <v>0</v>
      </c>
      <c r="AAG12" s="34">
        <f t="shared" ca="1" si="115"/>
        <v>0</v>
      </c>
      <c r="AAH12" s="34">
        <f t="shared" ca="1" si="115"/>
        <v>0</v>
      </c>
      <c r="AAI12" s="34">
        <f t="shared" ca="1" si="115"/>
        <v>0</v>
      </c>
      <c r="AAJ12" s="34">
        <f t="shared" ca="1" si="115"/>
        <v>0</v>
      </c>
      <c r="AAK12" s="34">
        <f t="shared" ca="1" si="115"/>
        <v>0</v>
      </c>
      <c r="AAL12" s="34">
        <f t="shared" ca="1" si="115"/>
        <v>0</v>
      </c>
      <c r="AAM12" s="34">
        <f t="shared" ca="1" si="115"/>
        <v>0</v>
      </c>
      <c r="AAN12" s="34">
        <f t="shared" ca="1" si="115"/>
        <v>0</v>
      </c>
      <c r="AAO12" s="34">
        <f t="shared" ca="1" si="116"/>
        <v>0</v>
      </c>
      <c r="AAP12" s="34">
        <f t="shared" ca="1" si="116"/>
        <v>0</v>
      </c>
      <c r="AAQ12" s="34">
        <f t="shared" ca="1" si="116"/>
        <v>0</v>
      </c>
      <c r="AAR12" s="34">
        <f t="shared" ca="1" si="116"/>
        <v>0</v>
      </c>
      <c r="AAS12" s="34">
        <f t="shared" ca="1" si="116"/>
        <v>0</v>
      </c>
      <c r="AAT12" s="34">
        <f t="shared" ca="1" si="116"/>
        <v>0</v>
      </c>
      <c r="AAU12" s="34">
        <f t="shared" ca="1" si="116"/>
        <v>0</v>
      </c>
      <c r="AAV12" s="34">
        <f t="shared" ca="1" si="116"/>
        <v>0</v>
      </c>
      <c r="AAW12" s="34">
        <f t="shared" ca="1" si="116"/>
        <v>0</v>
      </c>
      <c r="AAX12" s="34">
        <f t="shared" ca="1" si="116"/>
        <v>0</v>
      </c>
      <c r="AAY12" s="34">
        <f t="shared" ca="1" si="117"/>
        <v>0</v>
      </c>
      <c r="AAZ12" s="34">
        <f t="shared" ca="1" si="117"/>
        <v>0</v>
      </c>
      <c r="ABA12" s="34">
        <f t="shared" ca="1" si="117"/>
        <v>0</v>
      </c>
      <c r="ABB12" s="34">
        <f t="shared" ca="1" si="117"/>
        <v>0</v>
      </c>
      <c r="ABC12" s="34">
        <f t="shared" ca="1" si="117"/>
        <v>0</v>
      </c>
      <c r="ABD12" s="34">
        <f t="shared" ca="1" si="117"/>
        <v>0</v>
      </c>
      <c r="ABE12" s="34">
        <f t="shared" ca="1" si="117"/>
        <v>0</v>
      </c>
      <c r="ABF12" s="34">
        <f t="shared" ca="1" si="117"/>
        <v>0</v>
      </c>
      <c r="ABG12" s="34">
        <f t="shared" ca="1" si="117"/>
        <v>0</v>
      </c>
      <c r="ABH12" s="34">
        <f t="shared" ca="1" si="117"/>
        <v>0</v>
      </c>
      <c r="ABI12" s="34">
        <f t="shared" ca="1" si="118"/>
        <v>0</v>
      </c>
      <c r="ABJ12" s="34">
        <f t="shared" ca="1" si="118"/>
        <v>0</v>
      </c>
      <c r="ABK12" s="34">
        <f t="shared" ca="1" si="118"/>
        <v>0</v>
      </c>
      <c r="ABL12" s="34">
        <f t="shared" ca="1" si="118"/>
        <v>0</v>
      </c>
      <c r="ABM12" s="34">
        <f t="shared" ca="1" si="118"/>
        <v>0</v>
      </c>
      <c r="ABN12" s="34">
        <f t="shared" ca="1" si="118"/>
        <v>0</v>
      </c>
      <c r="ABO12" s="34">
        <f t="shared" ca="1" si="118"/>
        <v>0</v>
      </c>
      <c r="ABP12" s="34">
        <f t="shared" ca="1" si="118"/>
        <v>0</v>
      </c>
      <c r="ABQ12" s="34">
        <f t="shared" ca="1" si="118"/>
        <v>0</v>
      </c>
      <c r="ABR12" s="34">
        <f t="shared" ca="1" si="118"/>
        <v>0</v>
      </c>
      <c r="ABS12" s="34">
        <f t="shared" ca="1" si="119"/>
        <v>0</v>
      </c>
      <c r="ABT12" s="34">
        <f t="shared" ca="1" si="119"/>
        <v>0</v>
      </c>
      <c r="ABU12" s="34">
        <f t="shared" ca="1" si="119"/>
        <v>0</v>
      </c>
      <c r="ABV12" s="34">
        <f t="shared" ca="1" si="119"/>
        <v>0</v>
      </c>
      <c r="ABW12" s="34">
        <f t="shared" ca="1" si="119"/>
        <v>0</v>
      </c>
      <c r="ABX12" s="34">
        <f t="shared" ca="1" si="119"/>
        <v>0</v>
      </c>
      <c r="ABY12" s="34">
        <f t="shared" ca="1" si="119"/>
        <v>0</v>
      </c>
      <c r="ABZ12" s="34">
        <f t="shared" ca="1" si="119"/>
        <v>0</v>
      </c>
      <c r="ACA12" s="34">
        <f t="shared" ca="1" si="119"/>
        <v>0</v>
      </c>
      <c r="ACB12" s="34">
        <f t="shared" ca="1" si="119"/>
        <v>0</v>
      </c>
      <c r="ACC12" s="34">
        <f t="shared" ca="1" si="120"/>
        <v>0</v>
      </c>
      <c r="ACD12" s="34">
        <f t="shared" ca="1" si="120"/>
        <v>0</v>
      </c>
      <c r="ACE12" s="34">
        <f t="shared" ca="1" si="120"/>
        <v>0</v>
      </c>
      <c r="ACF12" s="34">
        <f t="shared" ca="1" si="120"/>
        <v>0</v>
      </c>
      <c r="ACG12" s="34">
        <f t="shared" ca="1" si="120"/>
        <v>0</v>
      </c>
      <c r="ACH12" s="34">
        <f t="shared" ca="1" si="120"/>
        <v>0</v>
      </c>
      <c r="ACI12" s="34">
        <f t="shared" ca="1" si="120"/>
        <v>0</v>
      </c>
      <c r="ACJ12" s="34">
        <f t="shared" ca="1" si="120"/>
        <v>0</v>
      </c>
      <c r="ACK12" s="34">
        <f t="shared" ca="1" si="120"/>
        <v>0</v>
      </c>
      <c r="ACL12" s="34">
        <f t="shared" ca="1" si="120"/>
        <v>0</v>
      </c>
      <c r="ACM12" s="34">
        <f t="shared" ca="1" si="121"/>
        <v>0</v>
      </c>
      <c r="ACN12" s="34">
        <f t="shared" ca="1" si="121"/>
        <v>0</v>
      </c>
      <c r="ACO12" s="34">
        <f t="shared" ca="1" si="121"/>
        <v>0</v>
      </c>
      <c r="ACP12" s="34">
        <f t="shared" ca="1" si="121"/>
        <v>0</v>
      </c>
      <c r="ACQ12" s="34">
        <f t="shared" ca="1" si="121"/>
        <v>0</v>
      </c>
      <c r="ACR12" s="34">
        <f t="shared" ca="1" si="121"/>
        <v>0</v>
      </c>
      <c r="ACS12" s="34">
        <f t="shared" ca="1" si="121"/>
        <v>0</v>
      </c>
      <c r="ACT12" s="34">
        <f t="shared" ca="1" si="121"/>
        <v>0</v>
      </c>
      <c r="ACU12" s="34">
        <f t="shared" ca="1" si="121"/>
        <v>0</v>
      </c>
      <c r="ACV12" s="34">
        <f t="shared" ca="1" si="121"/>
        <v>0</v>
      </c>
      <c r="ACW12" s="34">
        <f t="shared" ca="1" si="122"/>
        <v>0</v>
      </c>
      <c r="ACX12" s="34">
        <f t="shared" ca="1" si="122"/>
        <v>0</v>
      </c>
      <c r="ACY12" s="34">
        <f t="shared" ca="1" si="122"/>
        <v>0</v>
      </c>
      <c r="ACZ12" s="34">
        <f t="shared" ca="1" si="122"/>
        <v>0</v>
      </c>
      <c r="ADA12" s="34">
        <f t="shared" ca="1" si="122"/>
        <v>0</v>
      </c>
      <c r="ADB12" s="34">
        <f t="shared" ca="1" si="122"/>
        <v>0</v>
      </c>
      <c r="ADC12" s="34">
        <f t="shared" ca="1" si="122"/>
        <v>0</v>
      </c>
      <c r="ADD12" s="34">
        <f t="shared" ca="1" si="122"/>
        <v>0</v>
      </c>
      <c r="ADE12" s="34">
        <f t="shared" ca="1" si="122"/>
        <v>0</v>
      </c>
      <c r="ADF12" s="34">
        <f t="shared" ca="1" si="122"/>
        <v>0</v>
      </c>
      <c r="ADG12" s="34">
        <f t="shared" ca="1" si="123"/>
        <v>0</v>
      </c>
      <c r="ADH12" s="34">
        <f t="shared" ca="1" si="123"/>
        <v>0</v>
      </c>
      <c r="ADI12" s="34">
        <f t="shared" ca="1" si="123"/>
        <v>0</v>
      </c>
      <c r="ADJ12" s="34">
        <f t="shared" ca="1" si="123"/>
        <v>0</v>
      </c>
      <c r="ADK12" s="34">
        <f t="shared" ca="1" si="123"/>
        <v>0</v>
      </c>
      <c r="ADL12" s="34">
        <f t="shared" ca="1" si="123"/>
        <v>0</v>
      </c>
      <c r="ADM12" s="34">
        <f t="shared" ca="1" si="123"/>
        <v>0</v>
      </c>
      <c r="ADN12" s="34">
        <f t="shared" ca="1" si="123"/>
        <v>0</v>
      </c>
      <c r="ADO12" s="34">
        <f t="shared" ca="1" si="123"/>
        <v>0</v>
      </c>
      <c r="ADP12" s="34">
        <f t="shared" ca="1" si="123"/>
        <v>0</v>
      </c>
      <c r="ADQ12" s="34">
        <f t="shared" ca="1" si="124"/>
        <v>0</v>
      </c>
      <c r="ADR12" s="34">
        <f t="shared" ca="1" si="124"/>
        <v>0</v>
      </c>
      <c r="ADS12" s="34">
        <f t="shared" ca="1" si="124"/>
        <v>0</v>
      </c>
      <c r="ADT12" s="34">
        <f t="shared" ca="1" si="124"/>
        <v>0</v>
      </c>
      <c r="ADU12" s="34">
        <f t="shared" ca="1" si="124"/>
        <v>0</v>
      </c>
      <c r="ADV12" s="34">
        <f t="shared" ca="1" si="124"/>
        <v>0</v>
      </c>
      <c r="ADW12" s="34">
        <f t="shared" ca="1" si="124"/>
        <v>0</v>
      </c>
      <c r="ADX12" s="34">
        <f t="shared" ca="1" si="124"/>
        <v>0</v>
      </c>
      <c r="ADY12" s="34">
        <f t="shared" ca="1" si="124"/>
        <v>0</v>
      </c>
      <c r="ADZ12" s="34">
        <f t="shared" ca="1" si="124"/>
        <v>0</v>
      </c>
      <c r="AEA12" s="34">
        <f t="shared" ca="1" si="125"/>
        <v>0</v>
      </c>
      <c r="AEB12" s="34">
        <f t="shared" ca="1" si="125"/>
        <v>0</v>
      </c>
      <c r="AEC12" s="34">
        <f t="shared" ca="1" si="125"/>
        <v>0</v>
      </c>
      <c r="AED12" s="34">
        <f t="shared" ca="1" si="125"/>
        <v>0</v>
      </c>
      <c r="AEE12" s="34">
        <f t="shared" ca="1" si="125"/>
        <v>0</v>
      </c>
      <c r="AEF12" s="34">
        <f t="shared" ca="1" si="125"/>
        <v>0</v>
      </c>
      <c r="AEG12" s="34">
        <f t="shared" ca="1" si="125"/>
        <v>0</v>
      </c>
      <c r="AEH12" s="34">
        <f t="shared" ca="1" si="125"/>
        <v>0</v>
      </c>
      <c r="AEI12" s="34">
        <f t="shared" ca="1" si="125"/>
        <v>0</v>
      </c>
      <c r="AEJ12" s="34">
        <f t="shared" ca="1" si="125"/>
        <v>0</v>
      </c>
      <c r="AEK12" s="34">
        <f t="shared" ca="1" si="126"/>
        <v>0</v>
      </c>
      <c r="AEL12" s="34">
        <f t="shared" ca="1" si="126"/>
        <v>0</v>
      </c>
      <c r="AEM12" s="34">
        <f t="shared" ca="1" si="126"/>
        <v>0</v>
      </c>
      <c r="AEN12" s="34">
        <f t="shared" ca="1" si="126"/>
        <v>0</v>
      </c>
      <c r="AEO12" s="34">
        <f t="shared" ca="1" si="126"/>
        <v>0</v>
      </c>
      <c r="AEP12" s="34">
        <f t="shared" ca="1" si="126"/>
        <v>0</v>
      </c>
      <c r="AEQ12" s="34">
        <f t="shared" ca="1" si="126"/>
        <v>0</v>
      </c>
      <c r="AER12" s="34">
        <f t="shared" ca="1" si="126"/>
        <v>0</v>
      </c>
      <c r="AES12" s="34">
        <f t="shared" ca="1" si="126"/>
        <v>0</v>
      </c>
      <c r="AET12" s="34">
        <f t="shared" ca="1" si="126"/>
        <v>0</v>
      </c>
      <c r="AEU12" s="34">
        <f t="shared" ca="1" si="127"/>
        <v>0</v>
      </c>
      <c r="AEV12" s="34">
        <f t="shared" ca="1" si="127"/>
        <v>0</v>
      </c>
      <c r="AEW12" s="34">
        <f t="shared" ca="1" si="127"/>
        <v>0</v>
      </c>
      <c r="AEX12" s="34">
        <f t="shared" ca="1" si="127"/>
        <v>0</v>
      </c>
      <c r="AEY12" s="34">
        <f t="shared" ca="1" si="127"/>
        <v>0</v>
      </c>
      <c r="AEZ12" s="34">
        <f t="shared" ca="1" si="127"/>
        <v>0</v>
      </c>
      <c r="AFA12" s="34">
        <f t="shared" ca="1" si="127"/>
        <v>0</v>
      </c>
      <c r="AFB12" s="34">
        <f t="shared" ca="1" si="127"/>
        <v>0</v>
      </c>
      <c r="AFC12" s="34">
        <f t="shared" ca="1" si="127"/>
        <v>0</v>
      </c>
      <c r="AFD12" s="34">
        <f t="shared" ca="1" si="127"/>
        <v>0</v>
      </c>
      <c r="AFE12" s="34">
        <f t="shared" ca="1" si="128"/>
        <v>0</v>
      </c>
      <c r="AFF12" s="34">
        <f t="shared" ca="1" si="128"/>
        <v>0</v>
      </c>
      <c r="AFG12" s="34">
        <f t="shared" ca="1" si="128"/>
        <v>0</v>
      </c>
      <c r="AFH12" s="34">
        <f t="shared" ca="1" si="128"/>
        <v>0</v>
      </c>
      <c r="AFI12" s="34">
        <f t="shared" ca="1" si="128"/>
        <v>0</v>
      </c>
      <c r="AFJ12" s="34">
        <f t="shared" ca="1" si="128"/>
        <v>0</v>
      </c>
      <c r="AFK12" s="34">
        <f t="shared" ca="1" si="128"/>
        <v>0</v>
      </c>
      <c r="AFL12" s="34">
        <f t="shared" ca="1" si="128"/>
        <v>0</v>
      </c>
      <c r="AFM12" s="34">
        <f t="shared" ca="1" si="128"/>
        <v>0</v>
      </c>
      <c r="AFN12" s="34">
        <f t="shared" ca="1" si="128"/>
        <v>0</v>
      </c>
      <c r="AFO12" s="34">
        <f t="shared" ca="1" si="129"/>
        <v>0</v>
      </c>
      <c r="AFP12" s="34">
        <f t="shared" ca="1" si="129"/>
        <v>0</v>
      </c>
      <c r="AFQ12" s="34">
        <f t="shared" ca="1" si="129"/>
        <v>0</v>
      </c>
      <c r="AFR12" s="34">
        <f t="shared" ca="1" si="129"/>
        <v>0</v>
      </c>
      <c r="AFS12" s="34">
        <f t="shared" ca="1" si="129"/>
        <v>0</v>
      </c>
      <c r="AFT12" s="34">
        <f t="shared" ca="1" si="129"/>
        <v>0</v>
      </c>
      <c r="AFU12" s="34">
        <f t="shared" ca="1" si="129"/>
        <v>0</v>
      </c>
      <c r="AFV12" s="34">
        <f t="shared" ca="1" si="129"/>
        <v>0</v>
      </c>
      <c r="AFW12" s="34">
        <f t="shared" ca="1" si="129"/>
        <v>0</v>
      </c>
      <c r="AFX12" s="34">
        <f t="shared" ca="1" si="129"/>
        <v>0</v>
      </c>
      <c r="AFY12" s="34">
        <f t="shared" ca="1" si="130"/>
        <v>0</v>
      </c>
      <c r="AFZ12" s="34">
        <f t="shared" ca="1" si="130"/>
        <v>0</v>
      </c>
      <c r="AGA12" s="34">
        <f t="shared" ca="1" si="130"/>
        <v>0</v>
      </c>
      <c r="AGB12" s="34">
        <f t="shared" ca="1" si="130"/>
        <v>0</v>
      </c>
      <c r="AGC12" s="34">
        <f t="shared" ca="1" si="130"/>
        <v>0</v>
      </c>
      <c r="AGD12" s="34">
        <f t="shared" ca="1" si="130"/>
        <v>0</v>
      </c>
      <c r="AGE12" s="34">
        <f t="shared" ca="1" si="130"/>
        <v>0</v>
      </c>
      <c r="AGF12" s="34">
        <f t="shared" ca="1" si="130"/>
        <v>0</v>
      </c>
      <c r="AGG12" s="34">
        <f t="shared" ca="1" si="130"/>
        <v>0</v>
      </c>
      <c r="AGH12" s="34">
        <f t="shared" ca="1" si="130"/>
        <v>0</v>
      </c>
      <c r="AGI12" s="34">
        <f t="shared" ca="1" si="131"/>
        <v>0</v>
      </c>
      <c r="AGJ12" s="34">
        <f t="shared" ca="1" si="131"/>
        <v>0</v>
      </c>
      <c r="AGK12" s="34">
        <f t="shared" ca="1" si="131"/>
        <v>0</v>
      </c>
      <c r="AGL12" s="34">
        <f t="shared" ca="1" si="131"/>
        <v>0</v>
      </c>
      <c r="AGM12" s="34">
        <f t="shared" ca="1" si="131"/>
        <v>0</v>
      </c>
      <c r="AGN12" s="34">
        <f t="shared" ca="1" si="131"/>
        <v>0</v>
      </c>
      <c r="AGO12" s="34">
        <f t="shared" ca="1" si="131"/>
        <v>0</v>
      </c>
      <c r="AGP12" s="34">
        <f t="shared" ca="1" si="131"/>
        <v>0</v>
      </c>
      <c r="AGQ12" s="34">
        <f t="shared" ca="1" si="131"/>
        <v>0</v>
      </c>
      <c r="AGR12" s="34">
        <f t="shared" ca="1" si="131"/>
        <v>0</v>
      </c>
      <c r="AGS12" s="34">
        <f t="shared" ca="1" si="132"/>
        <v>0</v>
      </c>
      <c r="AGT12" s="34">
        <f t="shared" ca="1" si="132"/>
        <v>0</v>
      </c>
      <c r="AGU12" s="34">
        <f t="shared" ca="1" si="132"/>
        <v>0</v>
      </c>
      <c r="AGV12" s="34">
        <f t="shared" ca="1" si="132"/>
        <v>0</v>
      </c>
      <c r="AGW12" s="34">
        <f t="shared" ca="1" si="132"/>
        <v>0</v>
      </c>
      <c r="AGX12" s="34">
        <f t="shared" ca="1" si="132"/>
        <v>0</v>
      </c>
      <c r="AGY12" s="34">
        <f t="shared" ca="1" si="132"/>
        <v>0</v>
      </c>
      <c r="AGZ12" s="34">
        <f t="shared" ca="1" si="132"/>
        <v>0</v>
      </c>
      <c r="AHA12" s="34">
        <f t="shared" ca="1" si="132"/>
        <v>0</v>
      </c>
      <c r="AHB12" s="34">
        <f t="shared" ca="1" si="132"/>
        <v>0</v>
      </c>
      <c r="AHC12" s="34">
        <f t="shared" ca="1" si="133"/>
        <v>0</v>
      </c>
      <c r="AHD12" s="34">
        <f t="shared" ca="1" si="133"/>
        <v>0</v>
      </c>
      <c r="AHE12" s="34">
        <f t="shared" ca="1" si="133"/>
        <v>0</v>
      </c>
      <c r="AHF12" s="34">
        <f t="shared" ca="1" si="133"/>
        <v>0</v>
      </c>
      <c r="AHG12" s="34">
        <f t="shared" ca="1" si="133"/>
        <v>0</v>
      </c>
      <c r="AHH12" s="34">
        <f t="shared" ca="1" si="133"/>
        <v>0</v>
      </c>
      <c r="AHI12" s="34">
        <f t="shared" ca="1" si="133"/>
        <v>0</v>
      </c>
      <c r="AHJ12" s="34">
        <f t="shared" ca="1" si="133"/>
        <v>0</v>
      </c>
      <c r="AHK12" s="34">
        <f t="shared" ca="1" si="133"/>
        <v>0</v>
      </c>
      <c r="AHL12" s="34">
        <f t="shared" ca="1" si="133"/>
        <v>0</v>
      </c>
      <c r="AHM12" s="34">
        <f t="shared" ca="1" si="134"/>
        <v>0</v>
      </c>
      <c r="AHN12" s="34">
        <f t="shared" ca="1" si="134"/>
        <v>0</v>
      </c>
      <c r="AHO12" s="34">
        <f t="shared" ca="1" si="134"/>
        <v>0</v>
      </c>
      <c r="AHP12" s="34">
        <f t="shared" ca="1" si="134"/>
        <v>0</v>
      </c>
      <c r="AHQ12" s="34">
        <f t="shared" ca="1" si="134"/>
        <v>0</v>
      </c>
      <c r="AHR12" s="34">
        <f t="shared" ca="1" si="134"/>
        <v>0</v>
      </c>
      <c r="AHS12" s="34">
        <f t="shared" ca="1" si="134"/>
        <v>0</v>
      </c>
      <c r="AHT12" s="34">
        <f t="shared" ca="1" si="134"/>
        <v>0</v>
      </c>
      <c r="AHU12" s="34">
        <f t="shared" ca="1" si="134"/>
        <v>0</v>
      </c>
      <c r="AHV12" s="34">
        <f t="shared" ca="1" si="134"/>
        <v>0</v>
      </c>
      <c r="AHW12" s="34">
        <f t="shared" ca="1" si="135"/>
        <v>0</v>
      </c>
      <c r="AHX12" s="34">
        <f t="shared" ca="1" si="135"/>
        <v>0</v>
      </c>
      <c r="AHY12" s="34">
        <f t="shared" ca="1" si="135"/>
        <v>0</v>
      </c>
      <c r="AHZ12" s="34">
        <f t="shared" ca="1" si="135"/>
        <v>0</v>
      </c>
      <c r="AIA12" s="34">
        <f t="shared" ca="1" si="135"/>
        <v>0</v>
      </c>
      <c r="AIB12" s="34">
        <f t="shared" ca="1" si="135"/>
        <v>0</v>
      </c>
      <c r="AIC12" s="34">
        <f t="shared" ca="1" si="135"/>
        <v>0</v>
      </c>
      <c r="AID12" s="34">
        <f t="shared" ca="1" si="135"/>
        <v>0</v>
      </c>
      <c r="AIE12" s="34">
        <f t="shared" ca="1" si="135"/>
        <v>0</v>
      </c>
      <c r="AIF12" s="34">
        <f t="shared" ca="1" si="135"/>
        <v>0</v>
      </c>
      <c r="AIG12" s="34">
        <f t="shared" ca="1" si="136"/>
        <v>0</v>
      </c>
      <c r="AIH12" s="34">
        <f t="shared" ca="1" si="136"/>
        <v>0</v>
      </c>
      <c r="AII12" s="34">
        <f t="shared" ca="1" si="136"/>
        <v>0</v>
      </c>
      <c r="AIJ12" s="34">
        <f t="shared" ca="1" si="136"/>
        <v>0</v>
      </c>
      <c r="AIK12" s="34">
        <f t="shared" ca="1" si="136"/>
        <v>0</v>
      </c>
      <c r="AIL12" s="34">
        <f t="shared" ca="1" si="136"/>
        <v>0</v>
      </c>
      <c r="AIM12" s="34">
        <f t="shared" ca="1" si="136"/>
        <v>0</v>
      </c>
      <c r="AIN12" s="34">
        <f t="shared" ca="1" si="136"/>
        <v>0</v>
      </c>
      <c r="AIO12" s="34">
        <f t="shared" ca="1" si="136"/>
        <v>0</v>
      </c>
      <c r="AIP12" s="34">
        <f t="shared" ca="1" si="136"/>
        <v>0</v>
      </c>
      <c r="AIQ12" s="34">
        <f t="shared" ca="1" si="137"/>
        <v>0</v>
      </c>
      <c r="AIR12" s="34">
        <f t="shared" ca="1" si="137"/>
        <v>0</v>
      </c>
      <c r="AIS12" s="34">
        <f t="shared" ca="1" si="137"/>
        <v>0</v>
      </c>
      <c r="AIT12" s="34">
        <f t="shared" ca="1" si="137"/>
        <v>0</v>
      </c>
      <c r="AIU12" s="34">
        <f t="shared" ca="1" si="137"/>
        <v>0</v>
      </c>
      <c r="AIV12" s="34">
        <f t="shared" ca="1" si="137"/>
        <v>0</v>
      </c>
      <c r="AIW12" s="34">
        <f t="shared" ca="1" si="137"/>
        <v>0</v>
      </c>
      <c r="AIX12" s="34">
        <f t="shared" ca="1" si="137"/>
        <v>0</v>
      </c>
      <c r="AIY12" s="34">
        <f t="shared" ca="1" si="137"/>
        <v>0</v>
      </c>
      <c r="AIZ12" s="34">
        <f t="shared" ca="1" si="137"/>
        <v>0</v>
      </c>
      <c r="AJA12" s="34">
        <f t="shared" ca="1" si="138"/>
        <v>0</v>
      </c>
      <c r="AJB12" s="34">
        <f t="shared" ca="1" si="138"/>
        <v>0</v>
      </c>
      <c r="AJC12" s="34">
        <f t="shared" ca="1" si="138"/>
        <v>0</v>
      </c>
      <c r="AJD12" s="34">
        <f t="shared" ca="1" si="138"/>
        <v>0</v>
      </c>
      <c r="AJE12" s="34">
        <f t="shared" ca="1" si="138"/>
        <v>0</v>
      </c>
      <c r="AJF12" s="34">
        <f t="shared" ca="1" si="138"/>
        <v>0</v>
      </c>
      <c r="AJG12" s="34">
        <f t="shared" ca="1" si="138"/>
        <v>0</v>
      </c>
      <c r="AJH12" s="34">
        <f t="shared" ca="1" si="138"/>
        <v>0</v>
      </c>
      <c r="AJI12" s="34">
        <f t="shared" ca="1" si="138"/>
        <v>0</v>
      </c>
      <c r="AJJ12" s="34">
        <f t="shared" ca="1" si="138"/>
        <v>0</v>
      </c>
      <c r="AJK12" s="34">
        <f t="shared" ca="1" si="139"/>
        <v>0</v>
      </c>
      <c r="AJL12" s="34">
        <f t="shared" ca="1" si="139"/>
        <v>0</v>
      </c>
      <c r="AJM12" s="34">
        <f t="shared" ca="1" si="139"/>
        <v>0</v>
      </c>
      <c r="AJN12" s="34">
        <f t="shared" ca="1" si="139"/>
        <v>0</v>
      </c>
      <c r="AJO12" s="34">
        <f t="shared" ca="1" si="139"/>
        <v>0</v>
      </c>
      <c r="AJP12" s="34">
        <f t="shared" ca="1" si="139"/>
        <v>0</v>
      </c>
      <c r="AJQ12" s="34">
        <f t="shared" ca="1" si="139"/>
        <v>0</v>
      </c>
      <c r="AJR12" s="34">
        <f t="shared" ca="1" si="139"/>
        <v>0</v>
      </c>
      <c r="AJS12" s="34">
        <f t="shared" ca="1" si="139"/>
        <v>0</v>
      </c>
      <c r="AJT12" s="34">
        <f t="shared" ca="1" si="139"/>
        <v>0</v>
      </c>
      <c r="AJU12" s="34">
        <f t="shared" ca="1" si="140"/>
        <v>0</v>
      </c>
      <c r="AJV12" s="34">
        <f t="shared" ca="1" si="140"/>
        <v>0</v>
      </c>
      <c r="AJW12" s="34">
        <f t="shared" ca="1" si="140"/>
        <v>0</v>
      </c>
      <c r="AJX12" s="34">
        <f t="shared" ca="1" si="140"/>
        <v>0</v>
      </c>
      <c r="AJY12" s="34">
        <f t="shared" ca="1" si="140"/>
        <v>0</v>
      </c>
      <c r="AJZ12" s="34">
        <f t="shared" ca="1" si="140"/>
        <v>0</v>
      </c>
      <c r="AKA12" s="34">
        <f t="shared" ca="1" si="140"/>
        <v>0</v>
      </c>
      <c r="AKB12" s="34">
        <f t="shared" ca="1" si="140"/>
        <v>0</v>
      </c>
      <c r="AKC12" s="34">
        <f t="shared" ca="1" si="140"/>
        <v>0</v>
      </c>
      <c r="AKD12" s="34">
        <f t="shared" ca="1" si="140"/>
        <v>0</v>
      </c>
      <c r="AKE12" s="34">
        <f t="shared" ca="1" si="141"/>
        <v>0</v>
      </c>
      <c r="AKF12" s="34">
        <f t="shared" ca="1" si="141"/>
        <v>0</v>
      </c>
      <c r="AKG12" s="34">
        <f t="shared" ca="1" si="141"/>
        <v>0</v>
      </c>
      <c r="AKH12" s="34">
        <f t="shared" ca="1" si="141"/>
        <v>0</v>
      </c>
      <c r="AKI12" s="34">
        <f t="shared" ca="1" si="141"/>
        <v>0</v>
      </c>
      <c r="AKJ12" s="34">
        <f t="shared" ca="1" si="141"/>
        <v>0</v>
      </c>
      <c r="AKK12" s="34">
        <f t="shared" ca="1" si="141"/>
        <v>0</v>
      </c>
      <c r="AKL12" s="34">
        <f t="shared" ca="1" si="141"/>
        <v>0</v>
      </c>
      <c r="AKM12" s="34">
        <f t="shared" ca="1" si="141"/>
        <v>0</v>
      </c>
      <c r="AKN12" s="34">
        <f t="shared" ca="1" si="141"/>
        <v>0</v>
      </c>
      <c r="AKO12" s="34">
        <f t="shared" ca="1" si="141"/>
        <v>0</v>
      </c>
      <c r="AKP12" s="34">
        <f t="shared" ca="1" si="141"/>
        <v>0</v>
      </c>
      <c r="AKQ12" s="34">
        <f t="shared" ca="1" si="141"/>
        <v>0</v>
      </c>
      <c r="AKR12" s="34">
        <f t="shared" ca="1" si="141"/>
        <v>0</v>
      </c>
      <c r="AKS12" s="34">
        <f t="shared" ca="1" si="141"/>
        <v>0</v>
      </c>
      <c r="AKT12" s="34"/>
      <c r="AKU12" s="34"/>
      <c r="AKV12" s="34"/>
      <c r="AKW12" s="34"/>
      <c r="AKX12" s="34"/>
      <c r="AKY12" s="34"/>
      <c r="AKZ12" s="34"/>
      <c r="ALA12" s="34"/>
      <c r="ALB12" s="34"/>
      <c r="ALC12" s="34"/>
      <c r="ALD12" s="34"/>
      <c r="ALE12" s="34"/>
      <c r="ALF12" s="34"/>
      <c r="ALG12" s="33"/>
      <c r="ALH12" s="33"/>
      <c r="ALI12" s="33"/>
      <c r="ALJ12" s="33"/>
      <c r="ALK12" s="33"/>
      <c r="ALL12" s="33"/>
      <c r="ALM12" s="33"/>
      <c r="ALN12" s="33"/>
      <c r="ALO12" s="33"/>
      <c r="ALP12" s="33"/>
      <c r="ALQ12" s="33"/>
      <c r="ALR12" s="33"/>
      <c r="ALS12" s="33"/>
      <c r="ALT12" s="33"/>
      <c r="ALU12" s="33"/>
      <c r="ALV12" s="33"/>
      <c r="ALW12" s="33"/>
      <c r="ALX12" s="33"/>
      <c r="ALY12" s="33"/>
      <c r="ALZ12" s="33"/>
      <c r="AMA12" s="33"/>
      <c r="AMB12" s="33"/>
      <c r="AMC12" s="33"/>
      <c r="AMD12" s="33"/>
      <c r="AME12" s="33"/>
      <c r="AMF12" s="33"/>
      <c r="AMG12" s="33"/>
      <c r="AMH12" s="33"/>
      <c r="AMI12" s="33"/>
      <c r="AMJ12" s="33"/>
      <c r="AMK12" s="33"/>
      <c r="AML12" s="33"/>
      <c r="AMM12" s="33"/>
      <c r="AMN12" s="33"/>
      <c r="AMO12" s="33"/>
      <c r="AMP12" s="33"/>
      <c r="AMQ12" s="33"/>
      <c r="AMR12" s="33"/>
      <c r="AMS12" s="33"/>
      <c r="AMT12" s="33"/>
      <c r="AMU12" s="33"/>
      <c r="AMV12" s="33"/>
      <c r="AMW12" s="33"/>
      <c r="AMX12" s="33"/>
      <c r="AMY12" s="33"/>
      <c r="AMZ12" s="33"/>
      <c r="ANA12" s="33"/>
      <c r="ANB12" s="33"/>
      <c r="ANC12" s="33"/>
      <c r="AND12" s="33"/>
      <c r="ANE12" s="33"/>
      <c r="ANF12" s="33"/>
      <c r="ANG12" s="33"/>
      <c r="ANH12" s="33"/>
      <c r="ANI12" s="33"/>
      <c r="ANJ12" s="33"/>
      <c r="ANK12" s="33"/>
      <c r="ANL12" s="33"/>
      <c r="ANM12" s="33"/>
      <c r="ANN12" s="33"/>
      <c r="ANO12" s="33"/>
      <c r="ANP12" s="33"/>
      <c r="ANQ12" s="33"/>
      <c r="ANR12" s="33"/>
      <c r="ANS12" s="33"/>
      <c r="ANT12" s="33"/>
      <c r="ANU12" s="33"/>
      <c r="ANV12" s="33"/>
      <c r="ANW12" s="33"/>
      <c r="ANX12" s="33"/>
      <c r="ANY12" s="33"/>
      <c r="ANZ12" s="33"/>
      <c r="AOA12" s="33"/>
      <c r="AOB12" s="33"/>
      <c r="AOC12" s="33"/>
      <c r="AOD12" s="33"/>
      <c r="AOE12" s="33"/>
      <c r="AOF12" s="33"/>
      <c r="AOG12" s="33"/>
      <c r="AOH12" s="33"/>
      <c r="AOI12" s="33"/>
      <c r="AOJ12" s="33"/>
      <c r="AOK12" s="33"/>
      <c r="AOL12" s="33"/>
      <c r="AOM12" s="33"/>
      <c r="AON12" s="33"/>
      <c r="AOO12" s="33"/>
      <c r="AOP12" s="33"/>
      <c r="AOQ12" s="33"/>
      <c r="AOR12" s="33"/>
      <c r="AOS12" s="33"/>
      <c r="AOT12" s="33"/>
      <c r="AOU12" s="33"/>
      <c r="AOV12" s="33"/>
      <c r="AOW12" s="33"/>
      <c r="AOX12" s="33"/>
      <c r="AOY12" s="33"/>
      <c r="AOZ12" s="33"/>
      <c r="APA12" s="33"/>
      <c r="APB12" s="33"/>
      <c r="APC12" s="33"/>
      <c r="APD12" s="33"/>
      <c r="APE12" s="33"/>
      <c r="APF12" s="33"/>
      <c r="APG12" s="33"/>
      <c r="APH12" s="33"/>
      <c r="API12" s="33"/>
      <c r="APJ12" s="33"/>
      <c r="APK12" s="33"/>
      <c r="APL12" s="33"/>
      <c r="APM12" s="33"/>
      <c r="APN12" s="33"/>
      <c r="APO12" s="33"/>
      <c r="APP12" s="33"/>
      <c r="APQ12" s="33"/>
      <c r="APR12" s="33"/>
      <c r="APS12" s="33"/>
      <c r="APT12" s="33"/>
      <c r="APU12" s="33"/>
      <c r="APV12" s="33"/>
      <c r="APW12" s="33"/>
      <c r="APX12" s="33"/>
      <c r="APY12" s="33"/>
      <c r="APZ12" s="33"/>
      <c r="AQA12" s="33"/>
      <c r="AQB12" s="33"/>
      <c r="AQC12" s="33"/>
      <c r="AQD12" s="33"/>
      <c r="AQE12" s="33"/>
      <c r="AQF12" s="33"/>
      <c r="AQG12" s="33"/>
      <c r="AQH12" s="33"/>
      <c r="AQI12" s="33"/>
      <c r="AQJ12" s="33"/>
      <c r="AQK12" s="33"/>
      <c r="AQL12" s="33"/>
      <c r="AQM12" s="33"/>
      <c r="AQN12" s="33"/>
      <c r="AQO12" s="33"/>
      <c r="AQP12" s="33"/>
      <c r="AQQ12" s="33"/>
      <c r="AQR12" s="33"/>
      <c r="AQS12" s="33"/>
      <c r="AQT12" s="33"/>
      <c r="AQU12" s="33"/>
      <c r="AQV12" s="33"/>
      <c r="AQW12" s="33"/>
      <c r="AQX12" s="33"/>
      <c r="AQY12" s="33"/>
      <c r="AQZ12" s="33"/>
      <c r="ARA12" s="33"/>
      <c r="ARB12" s="33"/>
      <c r="ARC12" s="33"/>
      <c r="ARD12" s="33"/>
      <c r="ARE12" s="33"/>
      <c r="ARF12" s="33"/>
      <c r="ARG12" s="33"/>
      <c r="ARH12" s="33"/>
      <c r="ARI12" s="33"/>
      <c r="ARJ12" s="33"/>
      <c r="ARK12" s="33"/>
      <c r="ARL12" s="33"/>
      <c r="ARM12" s="33"/>
      <c r="ARN12" s="33"/>
      <c r="ARO12" s="33"/>
      <c r="ARP12" s="33"/>
      <c r="ARQ12" s="33"/>
      <c r="ARR12" s="33"/>
      <c r="ARS12" s="33"/>
      <c r="ART12" s="33"/>
      <c r="ARU12" s="33"/>
      <c r="ARV12" s="33"/>
      <c r="ARW12" s="33"/>
      <c r="ARX12" s="33"/>
      <c r="ARY12" s="33"/>
      <c r="ARZ12" s="33"/>
      <c r="ASA12" s="33"/>
      <c r="ASB12" s="33"/>
      <c r="ASC12" s="33"/>
      <c r="ASD12" s="33"/>
      <c r="ASE12" s="33"/>
      <c r="ASF12" s="33"/>
      <c r="ASG12" s="33"/>
      <c r="ASH12" s="33"/>
      <c r="ASI12" s="33"/>
      <c r="ASJ12" s="33"/>
      <c r="ASK12" s="33"/>
      <c r="ASL12" s="33"/>
      <c r="ASM12" s="33"/>
      <c r="ASN12" s="33"/>
      <c r="ASO12" s="33"/>
      <c r="ASP12" s="33"/>
      <c r="ASQ12" s="33"/>
      <c r="ASR12" s="33"/>
      <c r="ASS12" s="33"/>
      <c r="AST12" s="33"/>
      <c r="ASU12" s="33"/>
      <c r="ASV12" s="33"/>
      <c r="ASW12" s="33"/>
      <c r="ASX12" s="33"/>
      <c r="ASY12" s="33"/>
      <c r="ASZ12" s="33"/>
      <c r="ATA12" s="33"/>
      <c r="ATB12" s="33"/>
      <c r="ATC12" s="33"/>
      <c r="ATD12" s="33"/>
      <c r="ATE12" s="33"/>
      <c r="ATF12" s="33"/>
      <c r="ATG12" s="33"/>
      <c r="ATH12" s="33"/>
      <c r="ATI12" s="33"/>
      <c r="ATJ12" s="33"/>
      <c r="ATK12" s="33"/>
      <c r="ATL12" s="33"/>
      <c r="ATM12" s="33"/>
      <c r="ATN12" s="33"/>
      <c r="ATO12" s="33"/>
      <c r="ATP12" s="33"/>
      <c r="ATQ12" s="33"/>
      <c r="ATR12" s="33"/>
      <c r="ATS12" s="33"/>
      <c r="ATT12" s="33"/>
      <c r="ATU12" s="33"/>
      <c r="ATV12" s="33"/>
      <c r="ATW12" s="33"/>
      <c r="ATX12" s="33"/>
      <c r="ATY12" s="33"/>
      <c r="ATZ12" s="33"/>
      <c r="AUA12" s="33"/>
      <c r="AUB12" s="33"/>
      <c r="AUC12" s="33"/>
      <c r="AUD12" s="33"/>
      <c r="AUE12" s="33"/>
      <c r="AUF12" s="33"/>
      <c r="AUG12" s="33"/>
      <c r="AUH12" s="33"/>
      <c r="AUI12" s="33"/>
      <c r="AUJ12" s="33"/>
      <c r="AUK12" s="33"/>
      <c r="AUL12" s="33"/>
      <c r="AUM12" s="33"/>
      <c r="AUN12" s="33"/>
      <c r="AUO12" s="33"/>
      <c r="AUP12" s="33"/>
      <c r="AUQ12" s="33"/>
      <c r="AUR12" s="33"/>
      <c r="AUS12" s="33"/>
      <c r="AUT12" s="33"/>
      <c r="AUU12" s="33"/>
      <c r="AUV12" s="33"/>
      <c r="AUW12" s="33"/>
      <c r="AUX12" s="33"/>
      <c r="AUY12" s="33"/>
      <c r="AUZ12" s="33"/>
      <c r="AVA12" s="33"/>
      <c r="AVB12" s="33"/>
    </row>
    <row r="13" spans="1:1250" ht="18.75" customHeight="1">
      <c r="A13" s="378" t="str">
        <f>自由選!B14</f>
        <v>XH640</v>
      </c>
      <c r="B13" s="208">
        <f ca="1">VLOOKUP($A13,'銀行-TSS'!B:K,10,FALSE)</f>
        <v>113.49</v>
      </c>
      <c r="C13" s="69" t="str">
        <f ca="1">VLOOKUP(A13,'銀行-TSS'!B:E,4,FALSE)</f>
        <v>Aaa / AAA / WD</v>
      </c>
      <c r="D13" s="70">
        <f ca="1">VLOOKUP($A13,'銀行-TSS'!B:H,7,FALSE)</f>
        <v>5.8499999999999996E-2</v>
      </c>
      <c r="E13" s="71">
        <f ca="1">IFERROR(VLOOKUP($A13,'銀行-TSS'!B:I,8,FALSE),"")</f>
        <v>2</v>
      </c>
      <c r="F13" s="69" t="str">
        <f t="shared" ca="1" si="142"/>
        <v>1、7</v>
      </c>
      <c r="G13" s="72">
        <f ca="1">VLOOKUP($A13,'銀行-TSS'!B:M,12,FALSE)</f>
        <v>4.7899999999999998E-2</v>
      </c>
      <c r="H13" s="73">
        <f ca="1">VLOOKUP($A13,'銀行-TSS'!B:G,6,FALSE)</f>
        <v>14.03</v>
      </c>
      <c r="I13" s="74">
        <f ca="1">IFERROR(DATEVALUE(VLOOKUP($A13,'銀行-TSS'!B:F,5,FALSE)),VLOOKUP($A13,'銀行-TSS'!B:F,5,FALSE))</f>
        <v>50601</v>
      </c>
      <c r="J13" s="1" t="str">
        <f ca="1">VLOOKUP($A13,'銀行-TSS'!B:Q,16,FALSE)</f>
        <v>醫療保健</v>
      </c>
      <c r="K13" s="76" t="str">
        <f ca="1">VLOOKUP($A13,'銀行-TSS'!B:T,19,FALSE)</f>
        <v>嬌生公司/JNJ</v>
      </c>
      <c r="L13" s="33" t="b">
        <f t="shared" si="45"/>
        <v>1</v>
      </c>
      <c r="M13" s="43">
        <f ca="1">VLOOKUP($A13,'銀行-TSS'!B:N,13,FALSE)</f>
        <v>10000</v>
      </c>
      <c r="N13" s="44">
        <f>自由選!F14</f>
        <v>10000</v>
      </c>
      <c r="O13" s="43">
        <f ca="1">IFERROR(VLOOKUP($A13,'銀行-TSS'!B:O,14,FALSE),1)</f>
        <v>1000</v>
      </c>
      <c r="P13" s="78" t="str">
        <f ca="1">IFERROR(VLOOKUP(K13,Bond_DES!D:E,2,FALSE),VLOOKUP(K13,'銀行-TSS'!T:U,2,FALSE))</f>
        <v>嬌生公司(Johnson &amp; Johnson)全球市值前三大藥廠，且是全球最佳信用紀錄保持人，連續36年保持AAA評等，與微軟及蘋果並列為全球信評最佳企業；連續11年入選全球最受尊敬公司製藥行業榜單(Fortune 2024)且前10年排名第1，在基於處方藥銷售的全球製藥企業50強排行榜名列第1位(Pharm Exec 2024)。</v>
      </c>
      <c r="Q13" s="83">
        <f t="shared" ca="1" si="143"/>
        <v>110.77619999999999</v>
      </c>
      <c r="R13" s="81">
        <f t="shared" ca="1" si="152"/>
        <v>11077.62</v>
      </c>
      <c r="S13" s="82">
        <f t="shared" ca="1" si="153"/>
        <v>9.7313277805996107E-2</v>
      </c>
      <c r="T13" s="34">
        <f t="shared" ca="1" si="144"/>
        <v>2038</v>
      </c>
      <c r="U13" s="36" t="str">
        <f ca="1">IFERROR(VLOOKUP($A13,'銀行-TSS'!B:C,2,FALSE),"")</f>
        <v>USD</v>
      </c>
      <c r="V13" s="184">
        <f ca="1">VLOOKUP(A13,'銀行-TSS'!B:J,9,FALSE)</f>
        <v>2.7138</v>
      </c>
      <c r="W13" s="57">
        <f t="shared" ca="1" si="145"/>
        <v>271.38</v>
      </c>
      <c r="X13" s="36">
        <f t="shared" ca="1" si="146"/>
        <v>0</v>
      </c>
      <c r="Y13" s="116">
        <f t="shared" ca="1" si="147"/>
        <v>1134.9000000000001</v>
      </c>
      <c r="Z13" s="98">
        <f t="shared" ca="1" si="148"/>
        <v>11349</v>
      </c>
      <c r="AA13" s="61">
        <f t="shared" si="149"/>
        <v>8.3333333333333329E-2</v>
      </c>
      <c r="AB13" s="104" t="str">
        <f t="shared" ca="1" si="46"/>
        <v>醫療保健</v>
      </c>
      <c r="AC13" s="149">
        <f t="shared" ca="1" si="150"/>
        <v>11349</v>
      </c>
      <c r="AD13" s="149">
        <f ca="1">VLOOKUP(A13,'銀行-TSS'!B:AD,29,FALSE)</f>
        <v>21</v>
      </c>
      <c r="AE13" s="64">
        <f t="shared" ca="1" si="47"/>
        <v>292.5</v>
      </c>
      <c r="AF13" s="53">
        <f t="shared" ca="1" si="154"/>
        <v>1</v>
      </c>
      <c r="AG13" s="45">
        <f t="shared" ca="1" si="155"/>
        <v>7</v>
      </c>
      <c r="AH13" s="2">
        <f ca="1">_xlfn.IFNA(IFERROR(DATEVALUE(VLOOKUP($A13,'銀行-TSS'!B:P,15,FALSE)),VLOOKUP($A13,'銀行-TSS'!B:P,15,FALSE)),"")</f>
        <v>45488</v>
      </c>
      <c r="AI13" s="2">
        <f ca="1">_xlfn.IFNA(IFERROR(DATEVALUE(VLOOKUP($A13,'銀行-TSS'!B:L,11,FALSE)),VLOOKUP($A13,'銀行-TSS'!B:L,11,FALSE)),"")</f>
        <v>45475</v>
      </c>
      <c r="AJ13" s="34">
        <f t="shared" ca="1" si="151"/>
        <v>292.5</v>
      </c>
      <c r="AK13" s="34">
        <f t="shared" ca="1" si="48"/>
        <v>0</v>
      </c>
      <c r="AL13" s="34">
        <f t="shared" ca="1" si="48"/>
        <v>0</v>
      </c>
      <c r="AM13" s="34">
        <f t="shared" ca="1" si="48"/>
        <v>0</v>
      </c>
      <c r="AN13" s="34">
        <f t="shared" ca="1" si="48"/>
        <v>0</v>
      </c>
      <c r="AO13" s="34">
        <f t="shared" ca="1" si="48"/>
        <v>0</v>
      </c>
      <c r="AP13" s="34">
        <f t="shared" ca="1" si="48"/>
        <v>292.5</v>
      </c>
      <c r="AQ13" s="34">
        <f t="shared" ca="1" si="48"/>
        <v>0</v>
      </c>
      <c r="AR13" s="34">
        <f t="shared" ca="1" si="48"/>
        <v>0</v>
      </c>
      <c r="AS13" s="34">
        <f t="shared" ca="1" si="48"/>
        <v>0</v>
      </c>
      <c r="AT13" s="34">
        <f t="shared" ca="1" si="48"/>
        <v>0</v>
      </c>
      <c r="AU13" s="34">
        <f t="shared" ca="1" si="49"/>
        <v>0</v>
      </c>
      <c r="AV13" s="34">
        <f t="shared" ca="1" si="49"/>
        <v>292.5</v>
      </c>
      <c r="AW13" s="34">
        <f t="shared" ca="1" si="49"/>
        <v>0</v>
      </c>
      <c r="AX13" s="34">
        <f t="shared" ca="1" si="49"/>
        <v>0</v>
      </c>
      <c r="AY13" s="34">
        <f t="shared" ca="1" si="49"/>
        <v>0</v>
      </c>
      <c r="AZ13" s="34">
        <f t="shared" ca="1" si="49"/>
        <v>0</v>
      </c>
      <c r="BA13" s="34">
        <f t="shared" ca="1" si="49"/>
        <v>0</v>
      </c>
      <c r="BB13" s="34">
        <f t="shared" ca="1" si="49"/>
        <v>292.5</v>
      </c>
      <c r="BC13" s="34">
        <f t="shared" ca="1" si="49"/>
        <v>0</v>
      </c>
      <c r="BD13" s="34">
        <f t="shared" ca="1" si="49"/>
        <v>0</v>
      </c>
      <c r="BE13" s="34">
        <f t="shared" ca="1" si="50"/>
        <v>0</v>
      </c>
      <c r="BF13" s="34">
        <f t="shared" ca="1" si="50"/>
        <v>0</v>
      </c>
      <c r="BG13" s="34">
        <f t="shared" ca="1" si="50"/>
        <v>0</v>
      </c>
      <c r="BH13" s="34">
        <f t="shared" ca="1" si="50"/>
        <v>292.5</v>
      </c>
      <c r="BI13" s="34">
        <f t="shared" ca="1" si="50"/>
        <v>0</v>
      </c>
      <c r="BJ13" s="34">
        <f t="shared" ca="1" si="50"/>
        <v>0</v>
      </c>
      <c r="BK13" s="34">
        <f t="shared" ca="1" si="50"/>
        <v>0</v>
      </c>
      <c r="BL13" s="34">
        <f t="shared" ca="1" si="50"/>
        <v>0</v>
      </c>
      <c r="BM13" s="34">
        <f t="shared" ca="1" si="50"/>
        <v>0</v>
      </c>
      <c r="BN13" s="34">
        <f t="shared" ca="1" si="50"/>
        <v>292.5</v>
      </c>
      <c r="BO13" s="34">
        <f t="shared" ca="1" si="51"/>
        <v>0</v>
      </c>
      <c r="BP13" s="34">
        <f t="shared" ca="1" si="51"/>
        <v>0</v>
      </c>
      <c r="BQ13" s="34">
        <f t="shared" ca="1" si="51"/>
        <v>0</v>
      </c>
      <c r="BR13" s="34">
        <f t="shared" ca="1" si="51"/>
        <v>0</v>
      </c>
      <c r="BS13" s="34">
        <f t="shared" ca="1" si="51"/>
        <v>0</v>
      </c>
      <c r="BT13" s="34">
        <f t="shared" ca="1" si="51"/>
        <v>292.5</v>
      </c>
      <c r="BU13" s="34">
        <f t="shared" ca="1" si="51"/>
        <v>0</v>
      </c>
      <c r="BV13" s="34">
        <f t="shared" ca="1" si="51"/>
        <v>0</v>
      </c>
      <c r="BW13" s="34">
        <f t="shared" ca="1" si="51"/>
        <v>0</v>
      </c>
      <c r="BX13" s="34">
        <f t="shared" ca="1" si="51"/>
        <v>0</v>
      </c>
      <c r="BY13" s="34">
        <f t="shared" ca="1" si="52"/>
        <v>0</v>
      </c>
      <c r="BZ13" s="34">
        <f t="shared" ca="1" si="52"/>
        <v>292.5</v>
      </c>
      <c r="CA13" s="34">
        <f t="shared" ca="1" si="52"/>
        <v>0</v>
      </c>
      <c r="CB13" s="34">
        <f t="shared" ca="1" si="52"/>
        <v>0</v>
      </c>
      <c r="CC13" s="34">
        <f t="shared" ca="1" si="52"/>
        <v>0</v>
      </c>
      <c r="CD13" s="34">
        <f t="shared" ca="1" si="52"/>
        <v>0</v>
      </c>
      <c r="CE13" s="34">
        <f t="shared" ca="1" si="52"/>
        <v>0</v>
      </c>
      <c r="CF13" s="34">
        <f t="shared" ca="1" si="52"/>
        <v>292.5</v>
      </c>
      <c r="CG13" s="34">
        <f t="shared" ca="1" si="52"/>
        <v>0</v>
      </c>
      <c r="CH13" s="34">
        <f t="shared" ca="1" si="52"/>
        <v>0</v>
      </c>
      <c r="CI13" s="34">
        <f t="shared" ca="1" si="53"/>
        <v>0</v>
      </c>
      <c r="CJ13" s="34">
        <f t="shared" ca="1" si="53"/>
        <v>0</v>
      </c>
      <c r="CK13" s="34">
        <f t="shared" ca="1" si="53"/>
        <v>0</v>
      </c>
      <c r="CL13" s="34">
        <f t="shared" ca="1" si="53"/>
        <v>292.5</v>
      </c>
      <c r="CM13" s="34">
        <f t="shared" ca="1" si="53"/>
        <v>0</v>
      </c>
      <c r="CN13" s="34">
        <f t="shared" ca="1" si="53"/>
        <v>0</v>
      </c>
      <c r="CO13" s="34">
        <f t="shared" ca="1" si="53"/>
        <v>0</v>
      </c>
      <c r="CP13" s="34">
        <f t="shared" ca="1" si="53"/>
        <v>0</v>
      </c>
      <c r="CQ13" s="34">
        <f t="shared" ca="1" si="53"/>
        <v>0</v>
      </c>
      <c r="CR13" s="34">
        <f t="shared" ca="1" si="53"/>
        <v>292.5</v>
      </c>
      <c r="CS13" s="34">
        <f t="shared" ca="1" si="54"/>
        <v>0</v>
      </c>
      <c r="CT13" s="34">
        <f t="shared" ca="1" si="54"/>
        <v>0</v>
      </c>
      <c r="CU13" s="34">
        <f t="shared" ca="1" si="54"/>
        <v>0</v>
      </c>
      <c r="CV13" s="34">
        <f t="shared" ca="1" si="54"/>
        <v>0</v>
      </c>
      <c r="CW13" s="34">
        <f t="shared" ca="1" si="54"/>
        <v>0</v>
      </c>
      <c r="CX13" s="34">
        <f t="shared" ca="1" si="54"/>
        <v>292.5</v>
      </c>
      <c r="CY13" s="34">
        <f t="shared" ca="1" si="54"/>
        <v>0</v>
      </c>
      <c r="CZ13" s="34">
        <f t="shared" ca="1" si="54"/>
        <v>0</v>
      </c>
      <c r="DA13" s="34">
        <f t="shared" ca="1" si="54"/>
        <v>0</v>
      </c>
      <c r="DB13" s="34">
        <f t="shared" ca="1" si="54"/>
        <v>0</v>
      </c>
      <c r="DC13" s="34">
        <f t="shared" ca="1" si="55"/>
        <v>0</v>
      </c>
      <c r="DD13" s="34">
        <f t="shared" ca="1" si="55"/>
        <v>292.5</v>
      </c>
      <c r="DE13" s="34">
        <f t="shared" ca="1" si="55"/>
        <v>0</v>
      </c>
      <c r="DF13" s="34">
        <f t="shared" ca="1" si="55"/>
        <v>0</v>
      </c>
      <c r="DG13" s="34">
        <f t="shared" ca="1" si="55"/>
        <v>0</v>
      </c>
      <c r="DH13" s="34">
        <f t="shared" ca="1" si="55"/>
        <v>0</v>
      </c>
      <c r="DI13" s="34">
        <f t="shared" ca="1" si="55"/>
        <v>0</v>
      </c>
      <c r="DJ13" s="34">
        <f t="shared" ca="1" si="55"/>
        <v>292.5</v>
      </c>
      <c r="DK13" s="34">
        <f t="shared" ca="1" si="55"/>
        <v>0</v>
      </c>
      <c r="DL13" s="34">
        <f t="shared" ca="1" si="55"/>
        <v>0</v>
      </c>
      <c r="DM13" s="34">
        <f t="shared" ca="1" si="56"/>
        <v>0</v>
      </c>
      <c r="DN13" s="34">
        <f t="shared" ca="1" si="56"/>
        <v>0</v>
      </c>
      <c r="DO13" s="34">
        <f t="shared" ca="1" si="56"/>
        <v>0</v>
      </c>
      <c r="DP13" s="34">
        <f t="shared" ca="1" si="56"/>
        <v>292.5</v>
      </c>
      <c r="DQ13" s="34">
        <f t="shared" ca="1" si="56"/>
        <v>0</v>
      </c>
      <c r="DR13" s="34">
        <f t="shared" ca="1" si="56"/>
        <v>0</v>
      </c>
      <c r="DS13" s="34">
        <f t="shared" ca="1" si="56"/>
        <v>0</v>
      </c>
      <c r="DT13" s="34">
        <f t="shared" ca="1" si="56"/>
        <v>0</v>
      </c>
      <c r="DU13" s="34">
        <f t="shared" ca="1" si="56"/>
        <v>0</v>
      </c>
      <c r="DV13" s="34">
        <f t="shared" ca="1" si="56"/>
        <v>292.5</v>
      </c>
      <c r="DW13" s="34">
        <f t="shared" ca="1" si="57"/>
        <v>0</v>
      </c>
      <c r="DX13" s="34">
        <f t="shared" ca="1" si="57"/>
        <v>0</v>
      </c>
      <c r="DY13" s="34">
        <f t="shared" ca="1" si="57"/>
        <v>0</v>
      </c>
      <c r="DZ13" s="34">
        <f t="shared" ca="1" si="57"/>
        <v>0</v>
      </c>
      <c r="EA13" s="34">
        <f t="shared" ca="1" si="57"/>
        <v>0</v>
      </c>
      <c r="EB13" s="34">
        <f t="shared" ca="1" si="57"/>
        <v>292.5</v>
      </c>
      <c r="EC13" s="34">
        <f t="shared" ca="1" si="57"/>
        <v>0</v>
      </c>
      <c r="ED13" s="34">
        <f t="shared" ca="1" si="57"/>
        <v>0</v>
      </c>
      <c r="EE13" s="34">
        <f t="shared" ca="1" si="57"/>
        <v>0</v>
      </c>
      <c r="EF13" s="34">
        <f t="shared" ca="1" si="57"/>
        <v>0</v>
      </c>
      <c r="EG13" s="34">
        <f t="shared" ca="1" si="58"/>
        <v>0</v>
      </c>
      <c r="EH13" s="34">
        <f t="shared" ca="1" si="58"/>
        <v>292.5</v>
      </c>
      <c r="EI13" s="34">
        <f t="shared" ca="1" si="58"/>
        <v>0</v>
      </c>
      <c r="EJ13" s="34">
        <f t="shared" ca="1" si="58"/>
        <v>0</v>
      </c>
      <c r="EK13" s="34">
        <f t="shared" ca="1" si="58"/>
        <v>0</v>
      </c>
      <c r="EL13" s="34">
        <f t="shared" ca="1" si="58"/>
        <v>0</v>
      </c>
      <c r="EM13" s="34">
        <f t="shared" ca="1" si="58"/>
        <v>0</v>
      </c>
      <c r="EN13" s="34">
        <f t="shared" ca="1" si="58"/>
        <v>292.5</v>
      </c>
      <c r="EO13" s="34">
        <f t="shared" ca="1" si="58"/>
        <v>0</v>
      </c>
      <c r="EP13" s="34">
        <f t="shared" ca="1" si="58"/>
        <v>0</v>
      </c>
      <c r="EQ13" s="34">
        <f t="shared" ca="1" si="59"/>
        <v>0</v>
      </c>
      <c r="ER13" s="34">
        <f t="shared" ca="1" si="59"/>
        <v>0</v>
      </c>
      <c r="ES13" s="34">
        <f t="shared" ca="1" si="59"/>
        <v>0</v>
      </c>
      <c r="ET13" s="34">
        <f t="shared" ca="1" si="59"/>
        <v>292.5</v>
      </c>
      <c r="EU13" s="34">
        <f t="shared" ca="1" si="59"/>
        <v>0</v>
      </c>
      <c r="EV13" s="34">
        <f t="shared" ca="1" si="59"/>
        <v>0</v>
      </c>
      <c r="EW13" s="34">
        <f t="shared" ca="1" si="59"/>
        <v>0</v>
      </c>
      <c r="EX13" s="34">
        <f t="shared" ca="1" si="59"/>
        <v>0</v>
      </c>
      <c r="EY13" s="34">
        <f t="shared" ca="1" si="59"/>
        <v>0</v>
      </c>
      <c r="EZ13" s="34">
        <f t="shared" ca="1" si="59"/>
        <v>292.5</v>
      </c>
      <c r="FA13" s="34">
        <f t="shared" ca="1" si="60"/>
        <v>0</v>
      </c>
      <c r="FB13" s="34">
        <f t="shared" ca="1" si="60"/>
        <v>0</v>
      </c>
      <c r="FC13" s="34">
        <f t="shared" ca="1" si="60"/>
        <v>0</v>
      </c>
      <c r="FD13" s="34">
        <f t="shared" ca="1" si="60"/>
        <v>0</v>
      </c>
      <c r="FE13" s="34">
        <f t="shared" ca="1" si="60"/>
        <v>0</v>
      </c>
      <c r="FF13" s="34">
        <f t="shared" ca="1" si="60"/>
        <v>292.5</v>
      </c>
      <c r="FG13" s="34">
        <f t="shared" ca="1" si="60"/>
        <v>0</v>
      </c>
      <c r="FH13" s="34">
        <f t="shared" ca="1" si="60"/>
        <v>0</v>
      </c>
      <c r="FI13" s="34">
        <f t="shared" ca="1" si="60"/>
        <v>0</v>
      </c>
      <c r="FJ13" s="34">
        <f t="shared" ca="1" si="60"/>
        <v>0</v>
      </c>
      <c r="FK13" s="34">
        <f t="shared" ca="1" si="61"/>
        <v>0</v>
      </c>
      <c r="FL13" s="34">
        <f t="shared" ca="1" si="61"/>
        <v>292.5</v>
      </c>
      <c r="FM13" s="34">
        <f t="shared" ca="1" si="61"/>
        <v>0</v>
      </c>
      <c r="FN13" s="34">
        <f t="shared" ca="1" si="61"/>
        <v>0</v>
      </c>
      <c r="FO13" s="34">
        <f t="shared" ca="1" si="61"/>
        <v>0</v>
      </c>
      <c r="FP13" s="34">
        <f t="shared" ca="1" si="61"/>
        <v>0</v>
      </c>
      <c r="FQ13" s="34">
        <f t="shared" ca="1" si="61"/>
        <v>0</v>
      </c>
      <c r="FR13" s="34">
        <f t="shared" ca="1" si="61"/>
        <v>292.5</v>
      </c>
      <c r="FS13" s="34">
        <f t="shared" ca="1" si="61"/>
        <v>0</v>
      </c>
      <c r="FT13" s="34">
        <f t="shared" ca="1" si="61"/>
        <v>0</v>
      </c>
      <c r="FU13" s="34">
        <f t="shared" ca="1" si="62"/>
        <v>0</v>
      </c>
      <c r="FV13" s="34">
        <f t="shared" ca="1" si="62"/>
        <v>0</v>
      </c>
      <c r="FW13" s="34">
        <f t="shared" ca="1" si="62"/>
        <v>0</v>
      </c>
      <c r="FX13" s="34">
        <f t="shared" ca="1" si="62"/>
        <v>292.5</v>
      </c>
      <c r="FY13" s="34">
        <f t="shared" ca="1" si="62"/>
        <v>0</v>
      </c>
      <c r="FZ13" s="34">
        <f t="shared" ca="1" si="62"/>
        <v>0</v>
      </c>
      <c r="GA13" s="34">
        <f t="shared" ca="1" si="62"/>
        <v>0</v>
      </c>
      <c r="GB13" s="34">
        <f t="shared" ca="1" si="62"/>
        <v>0</v>
      </c>
      <c r="GC13" s="34">
        <f t="shared" ca="1" si="62"/>
        <v>0</v>
      </c>
      <c r="GD13" s="34">
        <f t="shared" ca="1" si="62"/>
        <v>292.5</v>
      </c>
      <c r="GE13" s="34">
        <f t="shared" ca="1" si="63"/>
        <v>0</v>
      </c>
      <c r="GF13" s="34">
        <f t="shared" ca="1" si="63"/>
        <v>0</v>
      </c>
      <c r="GG13" s="34">
        <f t="shared" ca="1" si="63"/>
        <v>0</v>
      </c>
      <c r="GH13" s="34">
        <f t="shared" ca="1" si="63"/>
        <v>0</v>
      </c>
      <c r="GI13" s="34">
        <f t="shared" ca="1" si="63"/>
        <v>0</v>
      </c>
      <c r="GJ13" s="34">
        <f t="shared" ca="1" si="63"/>
        <v>292.5</v>
      </c>
      <c r="GK13" s="34">
        <f t="shared" ca="1" si="63"/>
        <v>0</v>
      </c>
      <c r="GL13" s="34">
        <f t="shared" ca="1" si="63"/>
        <v>0</v>
      </c>
      <c r="GM13" s="34">
        <f t="shared" ca="1" si="63"/>
        <v>0</v>
      </c>
      <c r="GN13" s="34">
        <f t="shared" ca="1" si="63"/>
        <v>0</v>
      </c>
      <c r="GO13" s="34">
        <f t="shared" ca="1" si="64"/>
        <v>0</v>
      </c>
      <c r="GP13" s="34">
        <f t="shared" ca="1" si="64"/>
        <v>292.5</v>
      </c>
      <c r="GQ13" s="34">
        <f t="shared" ca="1" si="64"/>
        <v>0</v>
      </c>
      <c r="GR13" s="34">
        <f t="shared" ca="1" si="64"/>
        <v>0</v>
      </c>
      <c r="GS13" s="34">
        <f t="shared" ca="1" si="64"/>
        <v>0</v>
      </c>
      <c r="GT13" s="34">
        <f t="shared" ca="1" si="64"/>
        <v>0</v>
      </c>
      <c r="GU13" s="34">
        <f t="shared" ca="1" si="64"/>
        <v>0</v>
      </c>
      <c r="GV13" s="34">
        <f t="shared" ca="1" si="64"/>
        <v>292.5</v>
      </c>
      <c r="GW13" s="34">
        <f t="shared" ca="1" si="64"/>
        <v>0</v>
      </c>
      <c r="GX13" s="34">
        <f t="shared" ca="1" si="64"/>
        <v>0</v>
      </c>
      <c r="GY13" s="34">
        <f t="shared" ca="1" si="65"/>
        <v>0</v>
      </c>
      <c r="GZ13" s="34">
        <f t="shared" ca="1" si="65"/>
        <v>0</v>
      </c>
      <c r="HA13" s="34">
        <f t="shared" ca="1" si="65"/>
        <v>0</v>
      </c>
      <c r="HB13" s="34">
        <f t="shared" ca="1" si="65"/>
        <v>0</v>
      </c>
      <c r="HC13" s="34">
        <f t="shared" ca="1" si="65"/>
        <v>0</v>
      </c>
      <c r="HD13" s="34">
        <f t="shared" ca="1" si="65"/>
        <v>0</v>
      </c>
      <c r="HE13" s="34">
        <f t="shared" ca="1" si="65"/>
        <v>0</v>
      </c>
      <c r="HF13" s="34">
        <f t="shared" ca="1" si="65"/>
        <v>0</v>
      </c>
      <c r="HG13" s="34">
        <f t="shared" ca="1" si="65"/>
        <v>0</v>
      </c>
      <c r="HH13" s="34">
        <f t="shared" ca="1" si="65"/>
        <v>0</v>
      </c>
      <c r="HI13" s="34">
        <f t="shared" ca="1" si="66"/>
        <v>0</v>
      </c>
      <c r="HJ13" s="34">
        <f t="shared" ca="1" si="66"/>
        <v>0</v>
      </c>
      <c r="HK13" s="34">
        <f t="shared" ca="1" si="66"/>
        <v>0</v>
      </c>
      <c r="HL13" s="34">
        <f t="shared" ca="1" si="66"/>
        <v>0</v>
      </c>
      <c r="HM13" s="34">
        <f t="shared" ca="1" si="66"/>
        <v>0</v>
      </c>
      <c r="HN13" s="34">
        <f t="shared" ca="1" si="66"/>
        <v>0</v>
      </c>
      <c r="HO13" s="34">
        <f t="shared" ca="1" si="66"/>
        <v>0</v>
      </c>
      <c r="HP13" s="34">
        <f t="shared" ca="1" si="66"/>
        <v>0</v>
      </c>
      <c r="HQ13" s="34">
        <f t="shared" ca="1" si="66"/>
        <v>0</v>
      </c>
      <c r="HR13" s="34">
        <f t="shared" ca="1" si="66"/>
        <v>0</v>
      </c>
      <c r="HS13" s="34">
        <f t="shared" ca="1" si="67"/>
        <v>0</v>
      </c>
      <c r="HT13" s="34">
        <f t="shared" ca="1" si="67"/>
        <v>0</v>
      </c>
      <c r="HU13" s="34">
        <f t="shared" ca="1" si="67"/>
        <v>0</v>
      </c>
      <c r="HV13" s="34">
        <f t="shared" ca="1" si="67"/>
        <v>0</v>
      </c>
      <c r="HW13" s="34">
        <f t="shared" ca="1" si="67"/>
        <v>0</v>
      </c>
      <c r="HX13" s="34">
        <f t="shared" ca="1" si="67"/>
        <v>0</v>
      </c>
      <c r="HY13" s="34">
        <f t="shared" ca="1" si="67"/>
        <v>0</v>
      </c>
      <c r="HZ13" s="34">
        <f t="shared" ca="1" si="67"/>
        <v>0</v>
      </c>
      <c r="IA13" s="34">
        <f t="shared" ca="1" si="67"/>
        <v>0</v>
      </c>
      <c r="IB13" s="34">
        <f t="shared" ca="1" si="67"/>
        <v>0</v>
      </c>
      <c r="IC13" s="34">
        <f t="shared" ca="1" si="68"/>
        <v>0</v>
      </c>
      <c r="ID13" s="34">
        <f t="shared" ca="1" si="68"/>
        <v>0</v>
      </c>
      <c r="IE13" s="34">
        <f t="shared" ca="1" si="68"/>
        <v>0</v>
      </c>
      <c r="IF13" s="34">
        <f t="shared" ca="1" si="68"/>
        <v>0</v>
      </c>
      <c r="IG13" s="34">
        <f t="shared" ca="1" si="68"/>
        <v>0</v>
      </c>
      <c r="IH13" s="34">
        <f t="shared" ca="1" si="68"/>
        <v>0</v>
      </c>
      <c r="II13" s="34">
        <f t="shared" ca="1" si="68"/>
        <v>0</v>
      </c>
      <c r="IJ13" s="34">
        <f t="shared" ca="1" si="68"/>
        <v>0</v>
      </c>
      <c r="IK13" s="34">
        <f t="shared" ca="1" si="68"/>
        <v>0</v>
      </c>
      <c r="IL13" s="34">
        <f t="shared" ca="1" si="68"/>
        <v>0</v>
      </c>
      <c r="IM13" s="34">
        <f t="shared" ca="1" si="69"/>
        <v>0</v>
      </c>
      <c r="IN13" s="34">
        <f t="shared" ca="1" si="69"/>
        <v>0</v>
      </c>
      <c r="IO13" s="34">
        <f t="shared" ca="1" si="69"/>
        <v>0</v>
      </c>
      <c r="IP13" s="34">
        <f t="shared" ca="1" si="69"/>
        <v>0</v>
      </c>
      <c r="IQ13" s="34">
        <f t="shared" ca="1" si="69"/>
        <v>0</v>
      </c>
      <c r="IR13" s="34">
        <f t="shared" ca="1" si="69"/>
        <v>0</v>
      </c>
      <c r="IS13" s="34">
        <f t="shared" ca="1" si="69"/>
        <v>0</v>
      </c>
      <c r="IT13" s="34">
        <f t="shared" ca="1" si="69"/>
        <v>0</v>
      </c>
      <c r="IU13" s="34">
        <f t="shared" ca="1" si="69"/>
        <v>0</v>
      </c>
      <c r="IV13" s="34">
        <f t="shared" ca="1" si="69"/>
        <v>0</v>
      </c>
      <c r="IW13" s="34">
        <f t="shared" ca="1" si="70"/>
        <v>0</v>
      </c>
      <c r="IX13" s="34">
        <f t="shared" ca="1" si="70"/>
        <v>0</v>
      </c>
      <c r="IY13" s="34">
        <f t="shared" ca="1" si="70"/>
        <v>0</v>
      </c>
      <c r="IZ13" s="34">
        <f t="shared" ca="1" si="70"/>
        <v>0</v>
      </c>
      <c r="JA13" s="34">
        <f t="shared" ca="1" si="70"/>
        <v>0</v>
      </c>
      <c r="JB13" s="34">
        <f t="shared" ca="1" si="70"/>
        <v>0</v>
      </c>
      <c r="JC13" s="34">
        <f t="shared" ca="1" si="70"/>
        <v>0</v>
      </c>
      <c r="JD13" s="34">
        <f t="shared" ca="1" si="70"/>
        <v>0</v>
      </c>
      <c r="JE13" s="34">
        <f t="shared" ca="1" si="70"/>
        <v>0</v>
      </c>
      <c r="JF13" s="34">
        <f t="shared" ca="1" si="70"/>
        <v>0</v>
      </c>
      <c r="JG13" s="34">
        <f t="shared" ca="1" si="71"/>
        <v>0</v>
      </c>
      <c r="JH13" s="34">
        <f t="shared" ca="1" si="71"/>
        <v>0</v>
      </c>
      <c r="JI13" s="34">
        <f t="shared" ca="1" si="71"/>
        <v>0</v>
      </c>
      <c r="JJ13" s="34">
        <f t="shared" ca="1" si="71"/>
        <v>0</v>
      </c>
      <c r="JK13" s="34">
        <f t="shared" ca="1" si="71"/>
        <v>0</v>
      </c>
      <c r="JL13" s="34">
        <f t="shared" ca="1" si="71"/>
        <v>0</v>
      </c>
      <c r="JM13" s="34">
        <f t="shared" ca="1" si="71"/>
        <v>0</v>
      </c>
      <c r="JN13" s="34">
        <f t="shared" ca="1" si="71"/>
        <v>0</v>
      </c>
      <c r="JO13" s="34">
        <f t="shared" ca="1" si="71"/>
        <v>0</v>
      </c>
      <c r="JP13" s="34">
        <f t="shared" ca="1" si="71"/>
        <v>0</v>
      </c>
      <c r="JQ13" s="34">
        <f t="shared" ca="1" si="72"/>
        <v>0</v>
      </c>
      <c r="JR13" s="34">
        <f t="shared" ca="1" si="72"/>
        <v>0</v>
      </c>
      <c r="JS13" s="34">
        <f t="shared" ca="1" si="72"/>
        <v>0</v>
      </c>
      <c r="JT13" s="34">
        <f t="shared" ca="1" si="72"/>
        <v>0</v>
      </c>
      <c r="JU13" s="34">
        <f t="shared" ca="1" si="72"/>
        <v>0</v>
      </c>
      <c r="JV13" s="34">
        <f t="shared" ca="1" si="72"/>
        <v>0</v>
      </c>
      <c r="JW13" s="34">
        <f t="shared" ca="1" si="72"/>
        <v>0</v>
      </c>
      <c r="JX13" s="34">
        <f t="shared" ca="1" si="72"/>
        <v>0</v>
      </c>
      <c r="JY13" s="34">
        <f t="shared" ca="1" si="72"/>
        <v>0</v>
      </c>
      <c r="JZ13" s="34">
        <f t="shared" ca="1" si="72"/>
        <v>0</v>
      </c>
      <c r="KA13" s="34">
        <f t="shared" ca="1" si="73"/>
        <v>0</v>
      </c>
      <c r="KB13" s="34">
        <f t="shared" ca="1" si="73"/>
        <v>0</v>
      </c>
      <c r="KC13" s="34">
        <f t="shared" ca="1" si="73"/>
        <v>0</v>
      </c>
      <c r="KD13" s="34">
        <f t="shared" ca="1" si="73"/>
        <v>0</v>
      </c>
      <c r="KE13" s="34">
        <f t="shared" ca="1" si="73"/>
        <v>0</v>
      </c>
      <c r="KF13" s="34">
        <f t="shared" ca="1" si="73"/>
        <v>0</v>
      </c>
      <c r="KG13" s="34">
        <f t="shared" ca="1" si="73"/>
        <v>0</v>
      </c>
      <c r="KH13" s="34">
        <f t="shared" ca="1" si="73"/>
        <v>0</v>
      </c>
      <c r="KI13" s="34">
        <f t="shared" ca="1" si="73"/>
        <v>0</v>
      </c>
      <c r="KJ13" s="34">
        <f t="shared" ca="1" si="73"/>
        <v>0</v>
      </c>
      <c r="KK13" s="34">
        <f t="shared" ca="1" si="74"/>
        <v>0</v>
      </c>
      <c r="KL13" s="34">
        <f t="shared" ca="1" si="74"/>
        <v>0</v>
      </c>
      <c r="KM13" s="34">
        <f t="shared" ca="1" si="74"/>
        <v>0</v>
      </c>
      <c r="KN13" s="34">
        <f t="shared" ca="1" si="74"/>
        <v>0</v>
      </c>
      <c r="KO13" s="34">
        <f t="shared" ca="1" si="74"/>
        <v>0</v>
      </c>
      <c r="KP13" s="34">
        <f t="shared" ca="1" si="74"/>
        <v>0</v>
      </c>
      <c r="KQ13" s="34">
        <f t="shared" ca="1" si="74"/>
        <v>0</v>
      </c>
      <c r="KR13" s="34">
        <f t="shared" ca="1" si="74"/>
        <v>0</v>
      </c>
      <c r="KS13" s="34">
        <f t="shared" ca="1" si="74"/>
        <v>0</v>
      </c>
      <c r="KT13" s="34">
        <f t="shared" ca="1" si="74"/>
        <v>0</v>
      </c>
      <c r="KU13" s="34">
        <f t="shared" ca="1" si="75"/>
        <v>0</v>
      </c>
      <c r="KV13" s="34">
        <f t="shared" ca="1" si="75"/>
        <v>0</v>
      </c>
      <c r="KW13" s="34">
        <f t="shared" ca="1" si="75"/>
        <v>0</v>
      </c>
      <c r="KX13" s="34">
        <f t="shared" ca="1" si="75"/>
        <v>0</v>
      </c>
      <c r="KY13" s="34">
        <f t="shared" ca="1" si="75"/>
        <v>0</v>
      </c>
      <c r="KZ13" s="34">
        <f t="shared" ca="1" si="75"/>
        <v>0</v>
      </c>
      <c r="LA13" s="34">
        <f t="shared" ca="1" si="75"/>
        <v>0</v>
      </c>
      <c r="LB13" s="34">
        <f t="shared" ca="1" si="75"/>
        <v>0</v>
      </c>
      <c r="LC13" s="34">
        <f t="shared" ca="1" si="75"/>
        <v>0</v>
      </c>
      <c r="LD13" s="34">
        <f t="shared" ca="1" si="75"/>
        <v>0</v>
      </c>
      <c r="LE13" s="34">
        <f t="shared" ca="1" si="76"/>
        <v>0</v>
      </c>
      <c r="LF13" s="34">
        <f t="shared" ca="1" si="76"/>
        <v>0</v>
      </c>
      <c r="LG13" s="34">
        <f t="shared" ca="1" si="76"/>
        <v>0</v>
      </c>
      <c r="LH13" s="34">
        <f t="shared" ca="1" si="76"/>
        <v>0</v>
      </c>
      <c r="LI13" s="34">
        <f t="shared" ca="1" si="76"/>
        <v>0</v>
      </c>
      <c r="LJ13" s="34">
        <f t="shared" ca="1" si="76"/>
        <v>0</v>
      </c>
      <c r="LK13" s="34">
        <f t="shared" ca="1" si="76"/>
        <v>0</v>
      </c>
      <c r="LL13" s="34">
        <f t="shared" ca="1" si="76"/>
        <v>0</v>
      </c>
      <c r="LM13" s="34">
        <f t="shared" ca="1" si="76"/>
        <v>0</v>
      </c>
      <c r="LN13" s="34">
        <f t="shared" ca="1" si="76"/>
        <v>0</v>
      </c>
      <c r="LO13" s="34">
        <f t="shared" ca="1" si="77"/>
        <v>0</v>
      </c>
      <c r="LP13" s="34">
        <f t="shared" ca="1" si="77"/>
        <v>0</v>
      </c>
      <c r="LQ13" s="34">
        <f t="shared" ca="1" si="77"/>
        <v>0</v>
      </c>
      <c r="LR13" s="34">
        <f t="shared" ca="1" si="77"/>
        <v>0</v>
      </c>
      <c r="LS13" s="34">
        <f t="shared" ca="1" si="77"/>
        <v>0</v>
      </c>
      <c r="LT13" s="34">
        <f t="shared" ca="1" si="77"/>
        <v>0</v>
      </c>
      <c r="LU13" s="34">
        <f t="shared" ca="1" si="77"/>
        <v>0</v>
      </c>
      <c r="LV13" s="34">
        <f t="shared" ca="1" si="77"/>
        <v>0</v>
      </c>
      <c r="LW13" s="34">
        <f t="shared" ca="1" si="77"/>
        <v>0</v>
      </c>
      <c r="LX13" s="34">
        <f t="shared" ca="1" si="77"/>
        <v>0</v>
      </c>
      <c r="LY13" s="34">
        <f t="shared" ca="1" si="78"/>
        <v>0</v>
      </c>
      <c r="LZ13" s="34">
        <f t="shared" ca="1" si="78"/>
        <v>0</v>
      </c>
      <c r="MA13" s="34">
        <f t="shared" ca="1" si="78"/>
        <v>0</v>
      </c>
      <c r="MB13" s="34">
        <f t="shared" ca="1" si="78"/>
        <v>0</v>
      </c>
      <c r="MC13" s="34">
        <f t="shared" ca="1" si="78"/>
        <v>0</v>
      </c>
      <c r="MD13" s="34">
        <f t="shared" ca="1" si="78"/>
        <v>0</v>
      </c>
      <c r="ME13" s="34">
        <f t="shared" ca="1" si="78"/>
        <v>0</v>
      </c>
      <c r="MF13" s="34">
        <f t="shared" ca="1" si="78"/>
        <v>0</v>
      </c>
      <c r="MG13" s="34">
        <f t="shared" ca="1" si="78"/>
        <v>0</v>
      </c>
      <c r="MH13" s="34">
        <f t="shared" ca="1" si="78"/>
        <v>0</v>
      </c>
      <c r="MI13" s="34">
        <f t="shared" ca="1" si="79"/>
        <v>0</v>
      </c>
      <c r="MJ13" s="34">
        <f t="shared" ca="1" si="79"/>
        <v>0</v>
      </c>
      <c r="MK13" s="34">
        <f t="shared" ca="1" si="79"/>
        <v>0</v>
      </c>
      <c r="ML13" s="34">
        <f t="shared" ca="1" si="79"/>
        <v>0</v>
      </c>
      <c r="MM13" s="34">
        <f t="shared" ca="1" si="79"/>
        <v>0</v>
      </c>
      <c r="MN13" s="34">
        <f t="shared" ca="1" si="79"/>
        <v>0</v>
      </c>
      <c r="MO13" s="34">
        <f t="shared" ca="1" si="79"/>
        <v>0</v>
      </c>
      <c r="MP13" s="34">
        <f t="shared" ca="1" si="79"/>
        <v>0</v>
      </c>
      <c r="MQ13" s="34">
        <f t="shared" ca="1" si="79"/>
        <v>0</v>
      </c>
      <c r="MR13" s="34">
        <f t="shared" ca="1" si="79"/>
        <v>0</v>
      </c>
      <c r="MS13" s="34">
        <f t="shared" ca="1" si="80"/>
        <v>0</v>
      </c>
      <c r="MT13" s="34">
        <f t="shared" ca="1" si="80"/>
        <v>0</v>
      </c>
      <c r="MU13" s="34">
        <f t="shared" ca="1" si="80"/>
        <v>0</v>
      </c>
      <c r="MV13" s="34">
        <f t="shared" ca="1" si="80"/>
        <v>0</v>
      </c>
      <c r="MW13" s="34">
        <f t="shared" ca="1" si="80"/>
        <v>0</v>
      </c>
      <c r="MX13" s="34">
        <f t="shared" ca="1" si="80"/>
        <v>0</v>
      </c>
      <c r="MY13" s="34">
        <f t="shared" ca="1" si="80"/>
        <v>0</v>
      </c>
      <c r="MZ13" s="34">
        <f t="shared" ca="1" si="80"/>
        <v>0</v>
      </c>
      <c r="NA13" s="34">
        <f t="shared" ca="1" si="80"/>
        <v>0</v>
      </c>
      <c r="NB13" s="34">
        <f t="shared" ca="1" si="80"/>
        <v>0</v>
      </c>
      <c r="NC13" s="34">
        <f t="shared" ca="1" si="81"/>
        <v>0</v>
      </c>
      <c r="ND13" s="34">
        <f t="shared" ca="1" si="81"/>
        <v>0</v>
      </c>
      <c r="NE13" s="34">
        <f t="shared" ca="1" si="81"/>
        <v>0</v>
      </c>
      <c r="NF13" s="34">
        <f t="shared" ca="1" si="81"/>
        <v>0</v>
      </c>
      <c r="NG13" s="34">
        <f t="shared" ca="1" si="81"/>
        <v>0</v>
      </c>
      <c r="NH13" s="34">
        <f t="shared" ca="1" si="81"/>
        <v>0</v>
      </c>
      <c r="NI13" s="34">
        <f t="shared" ca="1" si="81"/>
        <v>0</v>
      </c>
      <c r="NJ13" s="34">
        <f t="shared" ca="1" si="81"/>
        <v>0</v>
      </c>
      <c r="NK13" s="34">
        <f t="shared" ca="1" si="81"/>
        <v>0</v>
      </c>
      <c r="NL13" s="34">
        <f t="shared" ca="1" si="81"/>
        <v>0</v>
      </c>
      <c r="NM13" s="34">
        <f t="shared" ca="1" si="82"/>
        <v>0</v>
      </c>
      <c r="NN13" s="34">
        <f t="shared" ca="1" si="82"/>
        <v>0</v>
      </c>
      <c r="NO13" s="34">
        <f t="shared" ca="1" si="82"/>
        <v>0</v>
      </c>
      <c r="NP13" s="34">
        <f t="shared" ca="1" si="82"/>
        <v>0</v>
      </c>
      <c r="NQ13" s="34">
        <f t="shared" ca="1" si="82"/>
        <v>0</v>
      </c>
      <c r="NR13" s="34">
        <f t="shared" ca="1" si="82"/>
        <v>0</v>
      </c>
      <c r="NS13" s="34">
        <f t="shared" ca="1" si="82"/>
        <v>0</v>
      </c>
      <c r="NT13" s="34">
        <f t="shared" ca="1" si="82"/>
        <v>0</v>
      </c>
      <c r="NU13" s="34">
        <f t="shared" ca="1" si="82"/>
        <v>0</v>
      </c>
      <c r="NV13" s="34">
        <f t="shared" ca="1" si="82"/>
        <v>0</v>
      </c>
      <c r="NW13" s="34">
        <f t="shared" ca="1" si="83"/>
        <v>0</v>
      </c>
      <c r="NX13" s="34">
        <f t="shared" ca="1" si="83"/>
        <v>0</v>
      </c>
      <c r="NY13" s="34">
        <f t="shared" ca="1" si="83"/>
        <v>0</v>
      </c>
      <c r="NZ13" s="34">
        <f t="shared" ca="1" si="83"/>
        <v>0</v>
      </c>
      <c r="OA13" s="34">
        <f t="shared" ca="1" si="83"/>
        <v>0</v>
      </c>
      <c r="OB13" s="34">
        <f t="shared" ca="1" si="83"/>
        <v>0</v>
      </c>
      <c r="OC13" s="34">
        <f t="shared" ca="1" si="83"/>
        <v>0</v>
      </c>
      <c r="OD13" s="34">
        <f t="shared" ca="1" si="83"/>
        <v>0</v>
      </c>
      <c r="OE13" s="34">
        <f t="shared" ca="1" si="83"/>
        <v>0</v>
      </c>
      <c r="OF13" s="34">
        <f t="shared" ca="1" si="83"/>
        <v>0</v>
      </c>
      <c r="OG13" s="34">
        <f t="shared" ca="1" si="84"/>
        <v>0</v>
      </c>
      <c r="OH13" s="34">
        <f t="shared" ca="1" si="84"/>
        <v>0</v>
      </c>
      <c r="OI13" s="34">
        <f t="shared" ca="1" si="84"/>
        <v>0</v>
      </c>
      <c r="OJ13" s="34">
        <f t="shared" ca="1" si="84"/>
        <v>0</v>
      </c>
      <c r="OK13" s="34">
        <f t="shared" ca="1" si="84"/>
        <v>0</v>
      </c>
      <c r="OL13" s="34">
        <f t="shared" ca="1" si="84"/>
        <v>0</v>
      </c>
      <c r="OM13" s="34">
        <f t="shared" ca="1" si="84"/>
        <v>0</v>
      </c>
      <c r="ON13" s="34">
        <f t="shared" ca="1" si="84"/>
        <v>0</v>
      </c>
      <c r="OO13" s="34">
        <f t="shared" ca="1" si="84"/>
        <v>0</v>
      </c>
      <c r="OP13" s="34">
        <f t="shared" ca="1" si="84"/>
        <v>0</v>
      </c>
      <c r="OQ13" s="34">
        <f t="shared" ca="1" si="85"/>
        <v>0</v>
      </c>
      <c r="OR13" s="34">
        <f t="shared" ca="1" si="85"/>
        <v>0</v>
      </c>
      <c r="OS13" s="34">
        <f t="shared" ca="1" si="85"/>
        <v>0</v>
      </c>
      <c r="OT13" s="34">
        <f t="shared" ca="1" si="85"/>
        <v>0</v>
      </c>
      <c r="OU13" s="34">
        <f t="shared" ca="1" si="85"/>
        <v>0</v>
      </c>
      <c r="OV13" s="34">
        <f t="shared" ca="1" si="85"/>
        <v>0</v>
      </c>
      <c r="OW13" s="34">
        <f t="shared" ca="1" si="85"/>
        <v>0</v>
      </c>
      <c r="OX13" s="34">
        <f t="shared" ca="1" si="85"/>
        <v>0</v>
      </c>
      <c r="OY13" s="34">
        <f t="shared" ca="1" si="85"/>
        <v>0</v>
      </c>
      <c r="OZ13" s="34">
        <f t="shared" ca="1" si="85"/>
        <v>0</v>
      </c>
      <c r="PA13" s="34">
        <f t="shared" ca="1" si="86"/>
        <v>0</v>
      </c>
      <c r="PB13" s="34">
        <f t="shared" ca="1" si="86"/>
        <v>0</v>
      </c>
      <c r="PC13" s="34">
        <f t="shared" ca="1" si="86"/>
        <v>0</v>
      </c>
      <c r="PD13" s="34">
        <f t="shared" ca="1" si="86"/>
        <v>0</v>
      </c>
      <c r="PE13" s="34">
        <f t="shared" ca="1" si="86"/>
        <v>0</v>
      </c>
      <c r="PF13" s="34">
        <f t="shared" ca="1" si="86"/>
        <v>0</v>
      </c>
      <c r="PG13" s="34">
        <f t="shared" ca="1" si="86"/>
        <v>0</v>
      </c>
      <c r="PH13" s="34">
        <f t="shared" ca="1" si="86"/>
        <v>0</v>
      </c>
      <c r="PI13" s="34">
        <f t="shared" ca="1" si="86"/>
        <v>0</v>
      </c>
      <c r="PJ13" s="34">
        <f t="shared" ca="1" si="86"/>
        <v>0</v>
      </c>
      <c r="PK13" s="34">
        <f t="shared" ca="1" si="87"/>
        <v>0</v>
      </c>
      <c r="PL13" s="34">
        <f t="shared" ca="1" si="87"/>
        <v>0</v>
      </c>
      <c r="PM13" s="34">
        <f t="shared" ca="1" si="87"/>
        <v>0</v>
      </c>
      <c r="PN13" s="34">
        <f t="shared" ca="1" si="87"/>
        <v>0</v>
      </c>
      <c r="PO13" s="34">
        <f t="shared" ca="1" si="87"/>
        <v>0</v>
      </c>
      <c r="PP13" s="34">
        <f t="shared" ca="1" si="87"/>
        <v>0</v>
      </c>
      <c r="PQ13" s="34">
        <f t="shared" ca="1" si="87"/>
        <v>0</v>
      </c>
      <c r="PR13" s="34">
        <f t="shared" ca="1" si="87"/>
        <v>0</v>
      </c>
      <c r="PS13" s="34">
        <f t="shared" ca="1" si="87"/>
        <v>0</v>
      </c>
      <c r="PT13" s="34">
        <f t="shared" ca="1" si="87"/>
        <v>0</v>
      </c>
      <c r="PU13" s="34">
        <f t="shared" ca="1" si="88"/>
        <v>0</v>
      </c>
      <c r="PV13" s="34">
        <f t="shared" ca="1" si="88"/>
        <v>0</v>
      </c>
      <c r="PW13" s="34">
        <f t="shared" ca="1" si="88"/>
        <v>0</v>
      </c>
      <c r="PX13" s="34">
        <f t="shared" ca="1" si="88"/>
        <v>0</v>
      </c>
      <c r="PY13" s="34">
        <f t="shared" ca="1" si="88"/>
        <v>0</v>
      </c>
      <c r="PZ13" s="34">
        <f t="shared" ca="1" si="88"/>
        <v>0</v>
      </c>
      <c r="QA13" s="34">
        <f t="shared" ca="1" si="88"/>
        <v>0</v>
      </c>
      <c r="QB13" s="34">
        <f t="shared" ca="1" si="88"/>
        <v>0</v>
      </c>
      <c r="QC13" s="34">
        <f t="shared" ca="1" si="88"/>
        <v>0</v>
      </c>
      <c r="QD13" s="34">
        <f t="shared" ca="1" si="88"/>
        <v>0</v>
      </c>
      <c r="QE13" s="34">
        <f t="shared" ca="1" si="89"/>
        <v>0</v>
      </c>
      <c r="QF13" s="34">
        <f t="shared" ca="1" si="89"/>
        <v>0</v>
      </c>
      <c r="QG13" s="34">
        <f t="shared" ca="1" si="89"/>
        <v>0</v>
      </c>
      <c r="QH13" s="34">
        <f t="shared" ca="1" si="89"/>
        <v>0</v>
      </c>
      <c r="QI13" s="34">
        <f t="shared" ca="1" si="89"/>
        <v>0</v>
      </c>
      <c r="QJ13" s="34">
        <f t="shared" ca="1" si="89"/>
        <v>0</v>
      </c>
      <c r="QK13" s="34">
        <f t="shared" ca="1" si="89"/>
        <v>0</v>
      </c>
      <c r="QL13" s="34">
        <f t="shared" ca="1" si="89"/>
        <v>0</v>
      </c>
      <c r="QM13" s="34">
        <f t="shared" ca="1" si="89"/>
        <v>0</v>
      </c>
      <c r="QN13" s="34">
        <f t="shared" ca="1" si="89"/>
        <v>0</v>
      </c>
      <c r="QO13" s="34">
        <f t="shared" ca="1" si="90"/>
        <v>0</v>
      </c>
      <c r="QP13" s="34">
        <f t="shared" ca="1" si="90"/>
        <v>0</v>
      </c>
      <c r="QQ13" s="34">
        <f t="shared" ca="1" si="90"/>
        <v>0</v>
      </c>
      <c r="QR13" s="34">
        <f t="shared" ca="1" si="90"/>
        <v>0</v>
      </c>
      <c r="QS13" s="34">
        <f t="shared" ca="1" si="90"/>
        <v>0</v>
      </c>
      <c r="QT13" s="34">
        <f t="shared" ca="1" si="90"/>
        <v>0</v>
      </c>
      <c r="QU13" s="34">
        <f t="shared" ca="1" si="90"/>
        <v>0</v>
      </c>
      <c r="QV13" s="34">
        <f t="shared" ca="1" si="90"/>
        <v>0</v>
      </c>
      <c r="QW13" s="34">
        <f t="shared" ca="1" si="90"/>
        <v>0</v>
      </c>
      <c r="QX13" s="34">
        <f t="shared" ca="1" si="90"/>
        <v>0</v>
      </c>
      <c r="QY13" s="34">
        <f t="shared" ca="1" si="91"/>
        <v>0</v>
      </c>
      <c r="QZ13" s="34">
        <f t="shared" ca="1" si="91"/>
        <v>0</v>
      </c>
      <c r="RA13" s="34">
        <f t="shared" ca="1" si="91"/>
        <v>0</v>
      </c>
      <c r="RB13" s="34">
        <f t="shared" ca="1" si="91"/>
        <v>0</v>
      </c>
      <c r="RC13" s="34">
        <f t="shared" ca="1" si="91"/>
        <v>0</v>
      </c>
      <c r="RD13" s="34">
        <f t="shared" ca="1" si="91"/>
        <v>0</v>
      </c>
      <c r="RE13" s="34">
        <f t="shared" ca="1" si="91"/>
        <v>0</v>
      </c>
      <c r="RF13" s="34">
        <f t="shared" ca="1" si="91"/>
        <v>0</v>
      </c>
      <c r="RG13" s="34">
        <f t="shared" ca="1" si="91"/>
        <v>0</v>
      </c>
      <c r="RH13" s="34">
        <f t="shared" ca="1" si="91"/>
        <v>0</v>
      </c>
      <c r="RI13" s="34">
        <f t="shared" ca="1" si="92"/>
        <v>0</v>
      </c>
      <c r="RJ13" s="34">
        <f t="shared" ca="1" si="92"/>
        <v>0</v>
      </c>
      <c r="RK13" s="34">
        <f t="shared" ca="1" si="92"/>
        <v>0</v>
      </c>
      <c r="RL13" s="34">
        <f t="shared" ca="1" si="92"/>
        <v>0</v>
      </c>
      <c r="RM13" s="34">
        <f t="shared" ca="1" si="92"/>
        <v>0</v>
      </c>
      <c r="RN13" s="34">
        <f t="shared" ca="1" si="92"/>
        <v>0</v>
      </c>
      <c r="RO13" s="34">
        <f t="shared" ca="1" si="92"/>
        <v>0</v>
      </c>
      <c r="RP13" s="34">
        <f t="shared" ca="1" si="92"/>
        <v>0</v>
      </c>
      <c r="RQ13" s="34">
        <f t="shared" ca="1" si="92"/>
        <v>0</v>
      </c>
      <c r="RR13" s="34">
        <f t="shared" ca="1" si="92"/>
        <v>0</v>
      </c>
      <c r="RS13" s="34">
        <f t="shared" ca="1" si="93"/>
        <v>0</v>
      </c>
      <c r="RT13" s="34">
        <f t="shared" ca="1" si="93"/>
        <v>0</v>
      </c>
      <c r="RU13" s="34">
        <f t="shared" ca="1" si="93"/>
        <v>0</v>
      </c>
      <c r="RV13" s="34">
        <f t="shared" ca="1" si="93"/>
        <v>0</v>
      </c>
      <c r="RW13" s="34">
        <f t="shared" ca="1" si="93"/>
        <v>0</v>
      </c>
      <c r="RX13" s="34">
        <f t="shared" ca="1" si="93"/>
        <v>0</v>
      </c>
      <c r="RY13" s="34">
        <f t="shared" ca="1" si="93"/>
        <v>0</v>
      </c>
      <c r="RZ13" s="34">
        <f t="shared" ca="1" si="93"/>
        <v>0</v>
      </c>
      <c r="SA13" s="34">
        <f t="shared" ca="1" si="93"/>
        <v>0</v>
      </c>
      <c r="SB13" s="34">
        <f t="shared" ca="1" si="93"/>
        <v>0</v>
      </c>
      <c r="SC13" s="34">
        <f t="shared" ca="1" si="94"/>
        <v>0</v>
      </c>
      <c r="SD13" s="34">
        <f t="shared" ca="1" si="94"/>
        <v>0</v>
      </c>
      <c r="SE13" s="34">
        <f t="shared" ca="1" si="94"/>
        <v>0</v>
      </c>
      <c r="SF13" s="34">
        <f t="shared" ca="1" si="94"/>
        <v>0</v>
      </c>
      <c r="SG13" s="34">
        <f t="shared" ca="1" si="94"/>
        <v>0</v>
      </c>
      <c r="SH13" s="34">
        <f t="shared" ca="1" si="94"/>
        <v>0</v>
      </c>
      <c r="SI13" s="34">
        <f t="shared" ca="1" si="94"/>
        <v>0</v>
      </c>
      <c r="SJ13" s="34">
        <f t="shared" ca="1" si="94"/>
        <v>0</v>
      </c>
      <c r="SK13" s="34">
        <f t="shared" ca="1" si="94"/>
        <v>0</v>
      </c>
      <c r="SL13" s="34">
        <f t="shared" ca="1" si="94"/>
        <v>0</v>
      </c>
      <c r="SM13" s="34">
        <f t="shared" ca="1" si="95"/>
        <v>0</v>
      </c>
      <c r="SN13" s="34">
        <f t="shared" ca="1" si="95"/>
        <v>0</v>
      </c>
      <c r="SO13" s="34">
        <f t="shared" ca="1" si="95"/>
        <v>0</v>
      </c>
      <c r="SP13" s="34">
        <f t="shared" ca="1" si="95"/>
        <v>0</v>
      </c>
      <c r="SQ13" s="34">
        <f t="shared" ca="1" si="95"/>
        <v>0</v>
      </c>
      <c r="SR13" s="34">
        <f t="shared" ca="1" si="95"/>
        <v>0</v>
      </c>
      <c r="SS13" s="34">
        <f t="shared" ca="1" si="95"/>
        <v>0</v>
      </c>
      <c r="ST13" s="34">
        <f t="shared" ca="1" si="95"/>
        <v>0</v>
      </c>
      <c r="SU13" s="34">
        <f t="shared" ca="1" si="95"/>
        <v>0</v>
      </c>
      <c r="SV13" s="34">
        <f t="shared" ca="1" si="95"/>
        <v>0</v>
      </c>
      <c r="SW13" s="34">
        <f t="shared" ca="1" si="96"/>
        <v>0</v>
      </c>
      <c r="SX13" s="34">
        <f t="shared" ca="1" si="96"/>
        <v>0</v>
      </c>
      <c r="SY13" s="34">
        <f t="shared" ca="1" si="96"/>
        <v>0</v>
      </c>
      <c r="SZ13" s="34">
        <f t="shared" ca="1" si="96"/>
        <v>0</v>
      </c>
      <c r="TA13" s="34">
        <f t="shared" ca="1" si="96"/>
        <v>0</v>
      </c>
      <c r="TB13" s="34">
        <f t="shared" ca="1" si="96"/>
        <v>0</v>
      </c>
      <c r="TC13" s="34">
        <f t="shared" ca="1" si="96"/>
        <v>0</v>
      </c>
      <c r="TD13" s="34">
        <f t="shared" ca="1" si="96"/>
        <v>0</v>
      </c>
      <c r="TE13" s="34">
        <f t="shared" ca="1" si="96"/>
        <v>0</v>
      </c>
      <c r="TF13" s="34">
        <f t="shared" ca="1" si="96"/>
        <v>0</v>
      </c>
      <c r="TG13" s="34">
        <f t="shared" ca="1" si="97"/>
        <v>0</v>
      </c>
      <c r="TH13" s="34">
        <f t="shared" ca="1" si="97"/>
        <v>0</v>
      </c>
      <c r="TI13" s="34">
        <f t="shared" ca="1" si="97"/>
        <v>0</v>
      </c>
      <c r="TJ13" s="34">
        <f t="shared" ca="1" si="97"/>
        <v>0</v>
      </c>
      <c r="TK13" s="34">
        <f t="shared" ca="1" si="97"/>
        <v>0</v>
      </c>
      <c r="TL13" s="34">
        <f t="shared" ca="1" si="97"/>
        <v>0</v>
      </c>
      <c r="TM13" s="34">
        <f t="shared" ca="1" si="97"/>
        <v>0</v>
      </c>
      <c r="TN13" s="34">
        <f t="shared" ca="1" si="97"/>
        <v>0</v>
      </c>
      <c r="TO13" s="34">
        <f t="shared" ca="1" si="97"/>
        <v>0</v>
      </c>
      <c r="TP13" s="34">
        <f t="shared" ca="1" si="97"/>
        <v>0</v>
      </c>
      <c r="TQ13" s="34">
        <f t="shared" ca="1" si="98"/>
        <v>0</v>
      </c>
      <c r="TR13" s="34">
        <f t="shared" ca="1" si="98"/>
        <v>0</v>
      </c>
      <c r="TS13" s="34">
        <f t="shared" ca="1" si="98"/>
        <v>0</v>
      </c>
      <c r="TT13" s="34">
        <f t="shared" ca="1" si="98"/>
        <v>0</v>
      </c>
      <c r="TU13" s="34">
        <f t="shared" ca="1" si="98"/>
        <v>0</v>
      </c>
      <c r="TV13" s="34">
        <f t="shared" ca="1" si="98"/>
        <v>0</v>
      </c>
      <c r="TW13" s="34">
        <f t="shared" ca="1" si="98"/>
        <v>0</v>
      </c>
      <c r="TX13" s="34">
        <f t="shared" ca="1" si="98"/>
        <v>0</v>
      </c>
      <c r="TY13" s="34">
        <f t="shared" ca="1" si="98"/>
        <v>0</v>
      </c>
      <c r="TZ13" s="34">
        <f t="shared" ca="1" si="98"/>
        <v>0</v>
      </c>
      <c r="UA13" s="34">
        <f t="shared" ca="1" si="99"/>
        <v>0</v>
      </c>
      <c r="UB13" s="34">
        <f t="shared" ca="1" si="99"/>
        <v>0</v>
      </c>
      <c r="UC13" s="34">
        <f t="shared" ca="1" si="99"/>
        <v>0</v>
      </c>
      <c r="UD13" s="34">
        <f t="shared" ca="1" si="99"/>
        <v>0</v>
      </c>
      <c r="UE13" s="34">
        <f t="shared" ca="1" si="99"/>
        <v>0</v>
      </c>
      <c r="UF13" s="34">
        <f t="shared" ca="1" si="99"/>
        <v>0</v>
      </c>
      <c r="UG13" s="34">
        <f t="shared" ca="1" si="99"/>
        <v>0</v>
      </c>
      <c r="UH13" s="34">
        <f t="shared" ca="1" si="99"/>
        <v>0</v>
      </c>
      <c r="UI13" s="34">
        <f t="shared" ca="1" si="99"/>
        <v>0</v>
      </c>
      <c r="UJ13" s="34">
        <f t="shared" ca="1" si="99"/>
        <v>0</v>
      </c>
      <c r="UK13" s="34">
        <f t="shared" ca="1" si="100"/>
        <v>0</v>
      </c>
      <c r="UL13" s="34">
        <f t="shared" ca="1" si="100"/>
        <v>0</v>
      </c>
      <c r="UM13" s="34">
        <f t="shared" ca="1" si="100"/>
        <v>0</v>
      </c>
      <c r="UN13" s="34">
        <f t="shared" ca="1" si="100"/>
        <v>0</v>
      </c>
      <c r="UO13" s="34">
        <f t="shared" ca="1" si="100"/>
        <v>0</v>
      </c>
      <c r="UP13" s="34">
        <f t="shared" ca="1" si="100"/>
        <v>0</v>
      </c>
      <c r="UQ13" s="34">
        <f t="shared" ca="1" si="100"/>
        <v>0</v>
      </c>
      <c r="UR13" s="34">
        <f t="shared" ca="1" si="100"/>
        <v>0</v>
      </c>
      <c r="US13" s="34">
        <f t="shared" ca="1" si="100"/>
        <v>0</v>
      </c>
      <c r="UT13" s="34">
        <f t="shared" ca="1" si="100"/>
        <v>0</v>
      </c>
      <c r="UU13" s="34">
        <f t="shared" ca="1" si="101"/>
        <v>0</v>
      </c>
      <c r="UV13" s="34">
        <f t="shared" ca="1" si="101"/>
        <v>0</v>
      </c>
      <c r="UW13" s="34">
        <f t="shared" ca="1" si="101"/>
        <v>0</v>
      </c>
      <c r="UX13" s="34">
        <f t="shared" ca="1" si="101"/>
        <v>0</v>
      </c>
      <c r="UY13" s="34">
        <f t="shared" ca="1" si="101"/>
        <v>0</v>
      </c>
      <c r="UZ13" s="34">
        <f t="shared" ca="1" si="101"/>
        <v>0</v>
      </c>
      <c r="VA13" s="34">
        <f t="shared" ca="1" si="101"/>
        <v>0</v>
      </c>
      <c r="VB13" s="34">
        <f t="shared" ca="1" si="101"/>
        <v>0</v>
      </c>
      <c r="VC13" s="34">
        <f t="shared" ca="1" si="101"/>
        <v>0</v>
      </c>
      <c r="VD13" s="34">
        <f t="shared" ca="1" si="101"/>
        <v>0</v>
      </c>
      <c r="VE13" s="34">
        <f t="shared" ca="1" si="102"/>
        <v>0</v>
      </c>
      <c r="VF13" s="34">
        <f t="shared" ca="1" si="102"/>
        <v>0</v>
      </c>
      <c r="VG13" s="34">
        <f t="shared" ca="1" si="102"/>
        <v>0</v>
      </c>
      <c r="VH13" s="34">
        <f t="shared" ca="1" si="102"/>
        <v>0</v>
      </c>
      <c r="VI13" s="34">
        <f t="shared" ca="1" si="102"/>
        <v>0</v>
      </c>
      <c r="VJ13" s="34">
        <f t="shared" ca="1" si="102"/>
        <v>0</v>
      </c>
      <c r="VK13" s="34">
        <f t="shared" ca="1" si="102"/>
        <v>0</v>
      </c>
      <c r="VL13" s="34">
        <f t="shared" ca="1" si="102"/>
        <v>0</v>
      </c>
      <c r="VM13" s="34">
        <f t="shared" ca="1" si="102"/>
        <v>0</v>
      </c>
      <c r="VN13" s="34">
        <f t="shared" ca="1" si="102"/>
        <v>0</v>
      </c>
      <c r="VO13" s="34">
        <f t="shared" ca="1" si="103"/>
        <v>0</v>
      </c>
      <c r="VP13" s="34">
        <f t="shared" ca="1" si="103"/>
        <v>0</v>
      </c>
      <c r="VQ13" s="34">
        <f t="shared" ca="1" si="103"/>
        <v>0</v>
      </c>
      <c r="VR13" s="34">
        <f t="shared" ca="1" si="103"/>
        <v>0</v>
      </c>
      <c r="VS13" s="34">
        <f t="shared" ca="1" si="103"/>
        <v>0</v>
      </c>
      <c r="VT13" s="34">
        <f t="shared" ca="1" si="103"/>
        <v>0</v>
      </c>
      <c r="VU13" s="34">
        <f t="shared" ca="1" si="103"/>
        <v>0</v>
      </c>
      <c r="VV13" s="34">
        <f t="shared" ca="1" si="103"/>
        <v>0</v>
      </c>
      <c r="VW13" s="34">
        <f t="shared" ca="1" si="103"/>
        <v>0</v>
      </c>
      <c r="VX13" s="34">
        <f t="shared" ca="1" si="103"/>
        <v>0</v>
      </c>
      <c r="VY13" s="34">
        <f t="shared" ca="1" si="104"/>
        <v>0</v>
      </c>
      <c r="VZ13" s="34">
        <f t="shared" ca="1" si="104"/>
        <v>0</v>
      </c>
      <c r="WA13" s="34">
        <f t="shared" ca="1" si="104"/>
        <v>0</v>
      </c>
      <c r="WB13" s="34">
        <f t="shared" ca="1" si="104"/>
        <v>0</v>
      </c>
      <c r="WC13" s="34">
        <f t="shared" ca="1" si="104"/>
        <v>0</v>
      </c>
      <c r="WD13" s="34">
        <f t="shared" ca="1" si="104"/>
        <v>0</v>
      </c>
      <c r="WE13" s="34">
        <f t="shared" ca="1" si="104"/>
        <v>0</v>
      </c>
      <c r="WF13" s="34">
        <f t="shared" ca="1" si="104"/>
        <v>0</v>
      </c>
      <c r="WG13" s="34">
        <f t="shared" ca="1" si="104"/>
        <v>0</v>
      </c>
      <c r="WH13" s="34">
        <f t="shared" ca="1" si="104"/>
        <v>0</v>
      </c>
      <c r="WI13" s="34">
        <f t="shared" ca="1" si="105"/>
        <v>0</v>
      </c>
      <c r="WJ13" s="34">
        <f t="shared" ca="1" si="105"/>
        <v>0</v>
      </c>
      <c r="WK13" s="34">
        <f t="shared" ca="1" si="105"/>
        <v>0</v>
      </c>
      <c r="WL13" s="34">
        <f t="shared" ca="1" si="105"/>
        <v>0</v>
      </c>
      <c r="WM13" s="34">
        <f t="shared" ca="1" si="105"/>
        <v>0</v>
      </c>
      <c r="WN13" s="34">
        <f t="shared" ca="1" si="105"/>
        <v>0</v>
      </c>
      <c r="WO13" s="34">
        <f t="shared" ca="1" si="105"/>
        <v>0</v>
      </c>
      <c r="WP13" s="34">
        <f t="shared" ca="1" si="105"/>
        <v>0</v>
      </c>
      <c r="WQ13" s="34">
        <f t="shared" ca="1" si="105"/>
        <v>0</v>
      </c>
      <c r="WR13" s="34">
        <f t="shared" ca="1" si="105"/>
        <v>0</v>
      </c>
      <c r="WS13" s="34">
        <f t="shared" ca="1" si="106"/>
        <v>0</v>
      </c>
      <c r="WT13" s="34">
        <f t="shared" ca="1" si="106"/>
        <v>0</v>
      </c>
      <c r="WU13" s="34">
        <f t="shared" ca="1" si="106"/>
        <v>0</v>
      </c>
      <c r="WV13" s="34">
        <f t="shared" ca="1" si="106"/>
        <v>0</v>
      </c>
      <c r="WW13" s="34">
        <f t="shared" ca="1" si="106"/>
        <v>0</v>
      </c>
      <c r="WX13" s="34">
        <f t="shared" ca="1" si="106"/>
        <v>0</v>
      </c>
      <c r="WY13" s="34">
        <f t="shared" ca="1" si="106"/>
        <v>0</v>
      </c>
      <c r="WZ13" s="34">
        <f t="shared" ca="1" si="106"/>
        <v>0</v>
      </c>
      <c r="XA13" s="34">
        <f t="shared" ca="1" si="106"/>
        <v>0</v>
      </c>
      <c r="XB13" s="34">
        <f t="shared" ca="1" si="106"/>
        <v>0</v>
      </c>
      <c r="XC13" s="34">
        <f t="shared" ca="1" si="107"/>
        <v>0</v>
      </c>
      <c r="XD13" s="34">
        <f t="shared" ca="1" si="107"/>
        <v>0</v>
      </c>
      <c r="XE13" s="34">
        <f t="shared" ca="1" si="107"/>
        <v>0</v>
      </c>
      <c r="XF13" s="34">
        <f t="shared" ca="1" si="107"/>
        <v>0</v>
      </c>
      <c r="XG13" s="34">
        <f t="shared" ca="1" si="107"/>
        <v>0</v>
      </c>
      <c r="XH13" s="34">
        <f t="shared" ca="1" si="107"/>
        <v>0</v>
      </c>
      <c r="XI13" s="34">
        <f t="shared" ca="1" si="107"/>
        <v>0</v>
      </c>
      <c r="XJ13" s="34">
        <f t="shared" ca="1" si="107"/>
        <v>0</v>
      </c>
      <c r="XK13" s="34">
        <f t="shared" ca="1" si="107"/>
        <v>0</v>
      </c>
      <c r="XL13" s="34">
        <f t="shared" ca="1" si="107"/>
        <v>0</v>
      </c>
      <c r="XM13" s="34">
        <f t="shared" ca="1" si="108"/>
        <v>0</v>
      </c>
      <c r="XN13" s="34">
        <f t="shared" ca="1" si="108"/>
        <v>0</v>
      </c>
      <c r="XO13" s="34">
        <f t="shared" ca="1" si="108"/>
        <v>0</v>
      </c>
      <c r="XP13" s="34">
        <f t="shared" ca="1" si="108"/>
        <v>0</v>
      </c>
      <c r="XQ13" s="34">
        <f t="shared" ca="1" si="108"/>
        <v>0</v>
      </c>
      <c r="XR13" s="34">
        <f t="shared" ca="1" si="108"/>
        <v>0</v>
      </c>
      <c r="XS13" s="34">
        <f t="shared" ca="1" si="108"/>
        <v>0</v>
      </c>
      <c r="XT13" s="34">
        <f t="shared" ca="1" si="108"/>
        <v>0</v>
      </c>
      <c r="XU13" s="34">
        <f t="shared" ca="1" si="108"/>
        <v>0</v>
      </c>
      <c r="XV13" s="34">
        <f t="shared" ca="1" si="108"/>
        <v>0</v>
      </c>
      <c r="XW13" s="34">
        <f t="shared" ca="1" si="109"/>
        <v>0</v>
      </c>
      <c r="XX13" s="34">
        <f t="shared" ca="1" si="109"/>
        <v>0</v>
      </c>
      <c r="XY13" s="34">
        <f t="shared" ca="1" si="109"/>
        <v>0</v>
      </c>
      <c r="XZ13" s="34">
        <f t="shared" ca="1" si="109"/>
        <v>0</v>
      </c>
      <c r="YA13" s="34">
        <f t="shared" ca="1" si="109"/>
        <v>0</v>
      </c>
      <c r="YB13" s="34">
        <f t="shared" ca="1" si="109"/>
        <v>0</v>
      </c>
      <c r="YC13" s="34">
        <f t="shared" ca="1" si="109"/>
        <v>0</v>
      </c>
      <c r="YD13" s="34">
        <f t="shared" ca="1" si="109"/>
        <v>0</v>
      </c>
      <c r="YE13" s="34">
        <f t="shared" ca="1" si="109"/>
        <v>0</v>
      </c>
      <c r="YF13" s="34">
        <f t="shared" ca="1" si="109"/>
        <v>0</v>
      </c>
      <c r="YG13" s="34">
        <f t="shared" ca="1" si="110"/>
        <v>0</v>
      </c>
      <c r="YH13" s="34">
        <f t="shared" ca="1" si="110"/>
        <v>0</v>
      </c>
      <c r="YI13" s="34">
        <f t="shared" ca="1" si="110"/>
        <v>0</v>
      </c>
      <c r="YJ13" s="34">
        <f t="shared" ca="1" si="110"/>
        <v>0</v>
      </c>
      <c r="YK13" s="34">
        <f t="shared" ca="1" si="110"/>
        <v>0</v>
      </c>
      <c r="YL13" s="34">
        <f t="shared" ca="1" si="110"/>
        <v>0</v>
      </c>
      <c r="YM13" s="34">
        <f t="shared" ca="1" si="110"/>
        <v>0</v>
      </c>
      <c r="YN13" s="34">
        <f t="shared" ca="1" si="110"/>
        <v>0</v>
      </c>
      <c r="YO13" s="34">
        <f t="shared" ca="1" si="110"/>
        <v>0</v>
      </c>
      <c r="YP13" s="34">
        <f t="shared" ca="1" si="110"/>
        <v>0</v>
      </c>
      <c r="YQ13" s="34">
        <f t="shared" ca="1" si="111"/>
        <v>0</v>
      </c>
      <c r="YR13" s="34">
        <f t="shared" ca="1" si="111"/>
        <v>0</v>
      </c>
      <c r="YS13" s="34">
        <f t="shared" ca="1" si="111"/>
        <v>0</v>
      </c>
      <c r="YT13" s="34">
        <f t="shared" ca="1" si="111"/>
        <v>0</v>
      </c>
      <c r="YU13" s="34">
        <f t="shared" ca="1" si="111"/>
        <v>0</v>
      </c>
      <c r="YV13" s="34">
        <f t="shared" ca="1" si="111"/>
        <v>0</v>
      </c>
      <c r="YW13" s="34">
        <f t="shared" ca="1" si="111"/>
        <v>0</v>
      </c>
      <c r="YX13" s="34">
        <f t="shared" ca="1" si="111"/>
        <v>0</v>
      </c>
      <c r="YY13" s="34">
        <f t="shared" ca="1" si="111"/>
        <v>0</v>
      </c>
      <c r="YZ13" s="34">
        <f t="shared" ca="1" si="111"/>
        <v>0</v>
      </c>
      <c r="ZA13" s="34">
        <f t="shared" ca="1" si="112"/>
        <v>0</v>
      </c>
      <c r="ZB13" s="34">
        <f t="shared" ca="1" si="112"/>
        <v>0</v>
      </c>
      <c r="ZC13" s="34">
        <f t="shared" ca="1" si="112"/>
        <v>0</v>
      </c>
      <c r="ZD13" s="34">
        <f t="shared" ca="1" si="112"/>
        <v>0</v>
      </c>
      <c r="ZE13" s="34">
        <f t="shared" ca="1" si="112"/>
        <v>0</v>
      </c>
      <c r="ZF13" s="34">
        <f t="shared" ca="1" si="112"/>
        <v>0</v>
      </c>
      <c r="ZG13" s="34">
        <f t="shared" ca="1" si="112"/>
        <v>0</v>
      </c>
      <c r="ZH13" s="34">
        <f t="shared" ca="1" si="112"/>
        <v>0</v>
      </c>
      <c r="ZI13" s="34">
        <f t="shared" ca="1" si="112"/>
        <v>0</v>
      </c>
      <c r="ZJ13" s="34">
        <f t="shared" ca="1" si="112"/>
        <v>0</v>
      </c>
      <c r="ZK13" s="34">
        <f t="shared" ca="1" si="113"/>
        <v>0</v>
      </c>
      <c r="ZL13" s="34">
        <f t="shared" ca="1" si="113"/>
        <v>0</v>
      </c>
      <c r="ZM13" s="34">
        <f t="shared" ca="1" si="113"/>
        <v>0</v>
      </c>
      <c r="ZN13" s="34">
        <f t="shared" ca="1" si="113"/>
        <v>0</v>
      </c>
      <c r="ZO13" s="34">
        <f t="shared" ca="1" si="113"/>
        <v>0</v>
      </c>
      <c r="ZP13" s="34">
        <f t="shared" ca="1" si="113"/>
        <v>0</v>
      </c>
      <c r="ZQ13" s="34">
        <f t="shared" ca="1" si="113"/>
        <v>0</v>
      </c>
      <c r="ZR13" s="34">
        <f t="shared" ca="1" si="113"/>
        <v>0</v>
      </c>
      <c r="ZS13" s="34">
        <f t="shared" ca="1" si="113"/>
        <v>0</v>
      </c>
      <c r="ZT13" s="34">
        <f t="shared" ca="1" si="113"/>
        <v>0</v>
      </c>
      <c r="ZU13" s="34">
        <f t="shared" ca="1" si="114"/>
        <v>0</v>
      </c>
      <c r="ZV13" s="34">
        <f t="shared" ca="1" si="114"/>
        <v>0</v>
      </c>
      <c r="ZW13" s="34">
        <f t="shared" ca="1" si="114"/>
        <v>0</v>
      </c>
      <c r="ZX13" s="34">
        <f t="shared" ca="1" si="114"/>
        <v>0</v>
      </c>
      <c r="ZY13" s="34">
        <f t="shared" ca="1" si="114"/>
        <v>0</v>
      </c>
      <c r="ZZ13" s="34">
        <f t="shared" ca="1" si="114"/>
        <v>0</v>
      </c>
      <c r="AAA13" s="34">
        <f t="shared" ca="1" si="114"/>
        <v>0</v>
      </c>
      <c r="AAB13" s="34">
        <f t="shared" ca="1" si="114"/>
        <v>0</v>
      </c>
      <c r="AAC13" s="34">
        <f t="shared" ca="1" si="114"/>
        <v>0</v>
      </c>
      <c r="AAD13" s="34">
        <f t="shared" ca="1" si="114"/>
        <v>0</v>
      </c>
      <c r="AAE13" s="34">
        <f t="shared" ca="1" si="115"/>
        <v>0</v>
      </c>
      <c r="AAF13" s="34">
        <f t="shared" ca="1" si="115"/>
        <v>0</v>
      </c>
      <c r="AAG13" s="34">
        <f t="shared" ca="1" si="115"/>
        <v>0</v>
      </c>
      <c r="AAH13" s="34">
        <f t="shared" ca="1" si="115"/>
        <v>0</v>
      </c>
      <c r="AAI13" s="34">
        <f t="shared" ca="1" si="115"/>
        <v>0</v>
      </c>
      <c r="AAJ13" s="34">
        <f t="shared" ca="1" si="115"/>
        <v>0</v>
      </c>
      <c r="AAK13" s="34">
        <f t="shared" ca="1" si="115"/>
        <v>0</v>
      </c>
      <c r="AAL13" s="34">
        <f t="shared" ca="1" si="115"/>
        <v>0</v>
      </c>
      <c r="AAM13" s="34">
        <f t="shared" ca="1" si="115"/>
        <v>0</v>
      </c>
      <c r="AAN13" s="34">
        <f t="shared" ca="1" si="115"/>
        <v>0</v>
      </c>
      <c r="AAO13" s="34">
        <f t="shared" ca="1" si="116"/>
        <v>0</v>
      </c>
      <c r="AAP13" s="34">
        <f t="shared" ca="1" si="116"/>
        <v>0</v>
      </c>
      <c r="AAQ13" s="34">
        <f t="shared" ca="1" si="116"/>
        <v>0</v>
      </c>
      <c r="AAR13" s="34">
        <f t="shared" ca="1" si="116"/>
        <v>0</v>
      </c>
      <c r="AAS13" s="34">
        <f t="shared" ca="1" si="116"/>
        <v>0</v>
      </c>
      <c r="AAT13" s="34">
        <f t="shared" ca="1" si="116"/>
        <v>0</v>
      </c>
      <c r="AAU13" s="34">
        <f t="shared" ca="1" si="116"/>
        <v>0</v>
      </c>
      <c r="AAV13" s="34">
        <f t="shared" ca="1" si="116"/>
        <v>0</v>
      </c>
      <c r="AAW13" s="34">
        <f t="shared" ca="1" si="116"/>
        <v>0</v>
      </c>
      <c r="AAX13" s="34">
        <f t="shared" ca="1" si="116"/>
        <v>0</v>
      </c>
      <c r="AAY13" s="34">
        <f t="shared" ca="1" si="117"/>
        <v>0</v>
      </c>
      <c r="AAZ13" s="34">
        <f t="shared" ca="1" si="117"/>
        <v>0</v>
      </c>
      <c r="ABA13" s="34">
        <f t="shared" ca="1" si="117"/>
        <v>0</v>
      </c>
      <c r="ABB13" s="34">
        <f t="shared" ca="1" si="117"/>
        <v>0</v>
      </c>
      <c r="ABC13" s="34">
        <f t="shared" ca="1" si="117"/>
        <v>0</v>
      </c>
      <c r="ABD13" s="34">
        <f t="shared" ca="1" si="117"/>
        <v>0</v>
      </c>
      <c r="ABE13" s="34">
        <f t="shared" ca="1" si="117"/>
        <v>0</v>
      </c>
      <c r="ABF13" s="34">
        <f t="shared" ca="1" si="117"/>
        <v>0</v>
      </c>
      <c r="ABG13" s="34">
        <f t="shared" ca="1" si="117"/>
        <v>0</v>
      </c>
      <c r="ABH13" s="34">
        <f t="shared" ca="1" si="117"/>
        <v>0</v>
      </c>
      <c r="ABI13" s="34">
        <f t="shared" ca="1" si="118"/>
        <v>0</v>
      </c>
      <c r="ABJ13" s="34">
        <f t="shared" ca="1" si="118"/>
        <v>0</v>
      </c>
      <c r="ABK13" s="34">
        <f t="shared" ca="1" si="118"/>
        <v>0</v>
      </c>
      <c r="ABL13" s="34">
        <f t="shared" ca="1" si="118"/>
        <v>0</v>
      </c>
      <c r="ABM13" s="34">
        <f t="shared" ca="1" si="118"/>
        <v>0</v>
      </c>
      <c r="ABN13" s="34">
        <f t="shared" ca="1" si="118"/>
        <v>0</v>
      </c>
      <c r="ABO13" s="34">
        <f t="shared" ca="1" si="118"/>
        <v>0</v>
      </c>
      <c r="ABP13" s="34">
        <f t="shared" ca="1" si="118"/>
        <v>0</v>
      </c>
      <c r="ABQ13" s="34">
        <f t="shared" ca="1" si="118"/>
        <v>0</v>
      </c>
      <c r="ABR13" s="34">
        <f t="shared" ca="1" si="118"/>
        <v>0</v>
      </c>
      <c r="ABS13" s="34">
        <f t="shared" ca="1" si="119"/>
        <v>0</v>
      </c>
      <c r="ABT13" s="34">
        <f t="shared" ca="1" si="119"/>
        <v>0</v>
      </c>
      <c r="ABU13" s="34">
        <f t="shared" ca="1" si="119"/>
        <v>0</v>
      </c>
      <c r="ABV13" s="34">
        <f t="shared" ca="1" si="119"/>
        <v>0</v>
      </c>
      <c r="ABW13" s="34">
        <f t="shared" ca="1" si="119"/>
        <v>0</v>
      </c>
      <c r="ABX13" s="34">
        <f t="shared" ca="1" si="119"/>
        <v>0</v>
      </c>
      <c r="ABY13" s="34">
        <f t="shared" ca="1" si="119"/>
        <v>0</v>
      </c>
      <c r="ABZ13" s="34">
        <f t="shared" ca="1" si="119"/>
        <v>0</v>
      </c>
      <c r="ACA13" s="34">
        <f t="shared" ca="1" si="119"/>
        <v>0</v>
      </c>
      <c r="ACB13" s="34">
        <f t="shared" ca="1" si="119"/>
        <v>0</v>
      </c>
      <c r="ACC13" s="34">
        <f t="shared" ca="1" si="120"/>
        <v>0</v>
      </c>
      <c r="ACD13" s="34">
        <f t="shared" ca="1" si="120"/>
        <v>0</v>
      </c>
      <c r="ACE13" s="34">
        <f t="shared" ca="1" si="120"/>
        <v>0</v>
      </c>
      <c r="ACF13" s="34">
        <f t="shared" ca="1" si="120"/>
        <v>0</v>
      </c>
      <c r="ACG13" s="34">
        <f t="shared" ca="1" si="120"/>
        <v>0</v>
      </c>
      <c r="ACH13" s="34">
        <f t="shared" ca="1" si="120"/>
        <v>0</v>
      </c>
      <c r="ACI13" s="34">
        <f t="shared" ca="1" si="120"/>
        <v>0</v>
      </c>
      <c r="ACJ13" s="34">
        <f t="shared" ca="1" si="120"/>
        <v>0</v>
      </c>
      <c r="ACK13" s="34">
        <f t="shared" ca="1" si="120"/>
        <v>0</v>
      </c>
      <c r="ACL13" s="34">
        <f t="shared" ca="1" si="120"/>
        <v>0</v>
      </c>
      <c r="ACM13" s="34">
        <f t="shared" ca="1" si="121"/>
        <v>0</v>
      </c>
      <c r="ACN13" s="34">
        <f t="shared" ca="1" si="121"/>
        <v>0</v>
      </c>
      <c r="ACO13" s="34">
        <f t="shared" ca="1" si="121"/>
        <v>0</v>
      </c>
      <c r="ACP13" s="34">
        <f t="shared" ca="1" si="121"/>
        <v>0</v>
      </c>
      <c r="ACQ13" s="34">
        <f t="shared" ca="1" si="121"/>
        <v>0</v>
      </c>
      <c r="ACR13" s="34">
        <f t="shared" ca="1" si="121"/>
        <v>0</v>
      </c>
      <c r="ACS13" s="34">
        <f t="shared" ca="1" si="121"/>
        <v>0</v>
      </c>
      <c r="ACT13" s="34">
        <f t="shared" ca="1" si="121"/>
        <v>0</v>
      </c>
      <c r="ACU13" s="34">
        <f t="shared" ca="1" si="121"/>
        <v>0</v>
      </c>
      <c r="ACV13" s="34">
        <f t="shared" ca="1" si="121"/>
        <v>0</v>
      </c>
      <c r="ACW13" s="34">
        <f t="shared" ca="1" si="122"/>
        <v>0</v>
      </c>
      <c r="ACX13" s="34">
        <f t="shared" ca="1" si="122"/>
        <v>0</v>
      </c>
      <c r="ACY13" s="34">
        <f t="shared" ca="1" si="122"/>
        <v>0</v>
      </c>
      <c r="ACZ13" s="34">
        <f t="shared" ca="1" si="122"/>
        <v>0</v>
      </c>
      <c r="ADA13" s="34">
        <f t="shared" ca="1" si="122"/>
        <v>0</v>
      </c>
      <c r="ADB13" s="34">
        <f t="shared" ca="1" si="122"/>
        <v>0</v>
      </c>
      <c r="ADC13" s="34">
        <f t="shared" ca="1" si="122"/>
        <v>0</v>
      </c>
      <c r="ADD13" s="34">
        <f t="shared" ca="1" si="122"/>
        <v>0</v>
      </c>
      <c r="ADE13" s="34">
        <f t="shared" ca="1" si="122"/>
        <v>0</v>
      </c>
      <c r="ADF13" s="34">
        <f t="shared" ca="1" si="122"/>
        <v>0</v>
      </c>
      <c r="ADG13" s="34">
        <f t="shared" ca="1" si="123"/>
        <v>0</v>
      </c>
      <c r="ADH13" s="34">
        <f t="shared" ca="1" si="123"/>
        <v>0</v>
      </c>
      <c r="ADI13" s="34">
        <f t="shared" ca="1" si="123"/>
        <v>0</v>
      </c>
      <c r="ADJ13" s="34">
        <f t="shared" ca="1" si="123"/>
        <v>0</v>
      </c>
      <c r="ADK13" s="34">
        <f t="shared" ca="1" si="123"/>
        <v>0</v>
      </c>
      <c r="ADL13" s="34">
        <f t="shared" ca="1" si="123"/>
        <v>0</v>
      </c>
      <c r="ADM13" s="34">
        <f t="shared" ca="1" si="123"/>
        <v>0</v>
      </c>
      <c r="ADN13" s="34">
        <f t="shared" ca="1" si="123"/>
        <v>0</v>
      </c>
      <c r="ADO13" s="34">
        <f t="shared" ca="1" si="123"/>
        <v>0</v>
      </c>
      <c r="ADP13" s="34">
        <f t="shared" ca="1" si="123"/>
        <v>0</v>
      </c>
      <c r="ADQ13" s="34">
        <f t="shared" ca="1" si="124"/>
        <v>0</v>
      </c>
      <c r="ADR13" s="34">
        <f t="shared" ca="1" si="124"/>
        <v>0</v>
      </c>
      <c r="ADS13" s="34">
        <f t="shared" ca="1" si="124"/>
        <v>0</v>
      </c>
      <c r="ADT13" s="34">
        <f t="shared" ca="1" si="124"/>
        <v>0</v>
      </c>
      <c r="ADU13" s="34">
        <f t="shared" ca="1" si="124"/>
        <v>0</v>
      </c>
      <c r="ADV13" s="34">
        <f t="shared" ca="1" si="124"/>
        <v>0</v>
      </c>
      <c r="ADW13" s="34">
        <f t="shared" ca="1" si="124"/>
        <v>0</v>
      </c>
      <c r="ADX13" s="34">
        <f t="shared" ca="1" si="124"/>
        <v>0</v>
      </c>
      <c r="ADY13" s="34">
        <f t="shared" ca="1" si="124"/>
        <v>0</v>
      </c>
      <c r="ADZ13" s="34">
        <f t="shared" ca="1" si="124"/>
        <v>0</v>
      </c>
      <c r="AEA13" s="34">
        <f t="shared" ca="1" si="125"/>
        <v>0</v>
      </c>
      <c r="AEB13" s="34">
        <f t="shared" ca="1" si="125"/>
        <v>0</v>
      </c>
      <c r="AEC13" s="34">
        <f t="shared" ca="1" si="125"/>
        <v>0</v>
      </c>
      <c r="AED13" s="34">
        <f t="shared" ca="1" si="125"/>
        <v>0</v>
      </c>
      <c r="AEE13" s="34">
        <f t="shared" ca="1" si="125"/>
        <v>0</v>
      </c>
      <c r="AEF13" s="34">
        <f t="shared" ca="1" si="125"/>
        <v>0</v>
      </c>
      <c r="AEG13" s="34">
        <f t="shared" ca="1" si="125"/>
        <v>0</v>
      </c>
      <c r="AEH13" s="34">
        <f t="shared" ca="1" si="125"/>
        <v>0</v>
      </c>
      <c r="AEI13" s="34">
        <f t="shared" ca="1" si="125"/>
        <v>0</v>
      </c>
      <c r="AEJ13" s="34">
        <f t="shared" ca="1" si="125"/>
        <v>0</v>
      </c>
      <c r="AEK13" s="34">
        <f t="shared" ca="1" si="126"/>
        <v>0</v>
      </c>
      <c r="AEL13" s="34">
        <f t="shared" ca="1" si="126"/>
        <v>0</v>
      </c>
      <c r="AEM13" s="34">
        <f t="shared" ca="1" si="126"/>
        <v>0</v>
      </c>
      <c r="AEN13" s="34">
        <f t="shared" ca="1" si="126"/>
        <v>0</v>
      </c>
      <c r="AEO13" s="34">
        <f t="shared" ca="1" si="126"/>
        <v>0</v>
      </c>
      <c r="AEP13" s="34">
        <f t="shared" ca="1" si="126"/>
        <v>0</v>
      </c>
      <c r="AEQ13" s="34">
        <f t="shared" ca="1" si="126"/>
        <v>0</v>
      </c>
      <c r="AER13" s="34">
        <f t="shared" ca="1" si="126"/>
        <v>0</v>
      </c>
      <c r="AES13" s="34">
        <f t="shared" ca="1" si="126"/>
        <v>0</v>
      </c>
      <c r="AET13" s="34">
        <f t="shared" ca="1" si="126"/>
        <v>0</v>
      </c>
      <c r="AEU13" s="34">
        <f t="shared" ca="1" si="127"/>
        <v>0</v>
      </c>
      <c r="AEV13" s="34">
        <f t="shared" ca="1" si="127"/>
        <v>0</v>
      </c>
      <c r="AEW13" s="34">
        <f t="shared" ca="1" si="127"/>
        <v>0</v>
      </c>
      <c r="AEX13" s="34">
        <f t="shared" ca="1" si="127"/>
        <v>0</v>
      </c>
      <c r="AEY13" s="34">
        <f t="shared" ca="1" si="127"/>
        <v>0</v>
      </c>
      <c r="AEZ13" s="34">
        <f t="shared" ca="1" si="127"/>
        <v>0</v>
      </c>
      <c r="AFA13" s="34">
        <f t="shared" ca="1" si="127"/>
        <v>0</v>
      </c>
      <c r="AFB13" s="34">
        <f t="shared" ca="1" si="127"/>
        <v>0</v>
      </c>
      <c r="AFC13" s="34">
        <f t="shared" ca="1" si="127"/>
        <v>0</v>
      </c>
      <c r="AFD13" s="34">
        <f t="shared" ca="1" si="127"/>
        <v>0</v>
      </c>
      <c r="AFE13" s="34">
        <f t="shared" ca="1" si="128"/>
        <v>0</v>
      </c>
      <c r="AFF13" s="34">
        <f t="shared" ca="1" si="128"/>
        <v>0</v>
      </c>
      <c r="AFG13" s="34">
        <f t="shared" ca="1" si="128"/>
        <v>0</v>
      </c>
      <c r="AFH13" s="34">
        <f t="shared" ca="1" si="128"/>
        <v>0</v>
      </c>
      <c r="AFI13" s="34">
        <f t="shared" ca="1" si="128"/>
        <v>0</v>
      </c>
      <c r="AFJ13" s="34">
        <f t="shared" ca="1" si="128"/>
        <v>0</v>
      </c>
      <c r="AFK13" s="34">
        <f t="shared" ca="1" si="128"/>
        <v>0</v>
      </c>
      <c r="AFL13" s="34">
        <f t="shared" ca="1" si="128"/>
        <v>0</v>
      </c>
      <c r="AFM13" s="34">
        <f t="shared" ca="1" si="128"/>
        <v>0</v>
      </c>
      <c r="AFN13" s="34">
        <f t="shared" ca="1" si="128"/>
        <v>0</v>
      </c>
      <c r="AFO13" s="34">
        <f t="shared" ca="1" si="129"/>
        <v>0</v>
      </c>
      <c r="AFP13" s="34">
        <f t="shared" ca="1" si="129"/>
        <v>0</v>
      </c>
      <c r="AFQ13" s="34">
        <f t="shared" ca="1" si="129"/>
        <v>0</v>
      </c>
      <c r="AFR13" s="34">
        <f t="shared" ca="1" si="129"/>
        <v>0</v>
      </c>
      <c r="AFS13" s="34">
        <f t="shared" ca="1" si="129"/>
        <v>0</v>
      </c>
      <c r="AFT13" s="34">
        <f t="shared" ca="1" si="129"/>
        <v>0</v>
      </c>
      <c r="AFU13" s="34">
        <f t="shared" ca="1" si="129"/>
        <v>0</v>
      </c>
      <c r="AFV13" s="34">
        <f t="shared" ca="1" si="129"/>
        <v>0</v>
      </c>
      <c r="AFW13" s="34">
        <f t="shared" ca="1" si="129"/>
        <v>0</v>
      </c>
      <c r="AFX13" s="34">
        <f t="shared" ca="1" si="129"/>
        <v>0</v>
      </c>
      <c r="AFY13" s="34">
        <f t="shared" ca="1" si="130"/>
        <v>0</v>
      </c>
      <c r="AFZ13" s="34">
        <f t="shared" ca="1" si="130"/>
        <v>0</v>
      </c>
      <c r="AGA13" s="34">
        <f t="shared" ca="1" si="130"/>
        <v>0</v>
      </c>
      <c r="AGB13" s="34">
        <f t="shared" ca="1" si="130"/>
        <v>0</v>
      </c>
      <c r="AGC13" s="34">
        <f t="shared" ca="1" si="130"/>
        <v>0</v>
      </c>
      <c r="AGD13" s="34">
        <f t="shared" ca="1" si="130"/>
        <v>0</v>
      </c>
      <c r="AGE13" s="34">
        <f t="shared" ca="1" si="130"/>
        <v>0</v>
      </c>
      <c r="AGF13" s="34">
        <f t="shared" ca="1" si="130"/>
        <v>0</v>
      </c>
      <c r="AGG13" s="34">
        <f t="shared" ca="1" si="130"/>
        <v>0</v>
      </c>
      <c r="AGH13" s="34">
        <f t="shared" ca="1" si="130"/>
        <v>0</v>
      </c>
      <c r="AGI13" s="34">
        <f t="shared" ca="1" si="131"/>
        <v>0</v>
      </c>
      <c r="AGJ13" s="34">
        <f t="shared" ca="1" si="131"/>
        <v>0</v>
      </c>
      <c r="AGK13" s="34">
        <f t="shared" ca="1" si="131"/>
        <v>0</v>
      </c>
      <c r="AGL13" s="34">
        <f t="shared" ca="1" si="131"/>
        <v>0</v>
      </c>
      <c r="AGM13" s="34">
        <f t="shared" ca="1" si="131"/>
        <v>0</v>
      </c>
      <c r="AGN13" s="34">
        <f t="shared" ca="1" si="131"/>
        <v>0</v>
      </c>
      <c r="AGO13" s="34">
        <f t="shared" ca="1" si="131"/>
        <v>0</v>
      </c>
      <c r="AGP13" s="34">
        <f t="shared" ca="1" si="131"/>
        <v>0</v>
      </c>
      <c r="AGQ13" s="34">
        <f t="shared" ca="1" si="131"/>
        <v>0</v>
      </c>
      <c r="AGR13" s="34">
        <f t="shared" ca="1" si="131"/>
        <v>0</v>
      </c>
      <c r="AGS13" s="34">
        <f t="shared" ca="1" si="132"/>
        <v>0</v>
      </c>
      <c r="AGT13" s="34">
        <f t="shared" ca="1" si="132"/>
        <v>0</v>
      </c>
      <c r="AGU13" s="34">
        <f t="shared" ca="1" si="132"/>
        <v>0</v>
      </c>
      <c r="AGV13" s="34">
        <f t="shared" ca="1" si="132"/>
        <v>0</v>
      </c>
      <c r="AGW13" s="34">
        <f t="shared" ca="1" si="132"/>
        <v>0</v>
      </c>
      <c r="AGX13" s="34">
        <f t="shared" ca="1" si="132"/>
        <v>0</v>
      </c>
      <c r="AGY13" s="34">
        <f t="shared" ca="1" si="132"/>
        <v>0</v>
      </c>
      <c r="AGZ13" s="34">
        <f t="shared" ca="1" si="132"/>
        <v>0</v>
      </c>
      <c r="AHA13" s="34">
        <f t="shared" ca="1" si="132"/>
        <v>0</v>
      </c>
      <c r="AHB13" s="34">
        <f t="shared" ca="1" si="132"/>
        <v>0</v>
      </c>
      <c r="AHC13" s="34">
        <f t="shared" ca="1" si="133"/>
        <v>0</v>
      </c>
      <c r="AHD13" s="34">
        <f t="shared" ca="1" si="133"/>
        <v>0</v>
      </c>
      <c r="AHE13" s="34">
        <f t="shared" ca="1" si="133"/>
        <v>0</v>
      </c>
      <c r="AHF13" s="34">
        <f t="shared" ca="1" si="133"/>
        <v>0</v>
      </c>
      <c r="AHG13" s="34">
        <f t="shared" ca="1" si="133"/>
        <v>0</v>
      </c>
      <c r="AHH13" s="34">
        <f t="shared" ca="1" si="133"/>
        <v>0</v>
      </c>
      <c r="AHI13" s="34">
        <f t="shared" ca="1" si="133"/>
        <v>0</v>
      </c>
      <c r="AHJ13" s="34">
        <f t="shared" ca="1" si="133"/>
        <v>0</v>
      </c>
      <c r="AHK13" s="34">
        <f t="shared" ca="1" si="133"/>
        <v>0</v>
      </c>
      <c r="AHL13" s="34">
        <f t="shared" ca="1" si="133"/>
        <v>0</v>
      </c>
      <c r="AHM13" s="34">
        <f t="shared" ca="1" si="134"/>
        <v>0</v>
      </c>
      <c r="AHN13" s="34">
        <f t="shared" ca="1" si="134"/>
        <v>0</v>
      </c>
      <c r="AHO13" s="34">
        <f t="shared" ca="1" si="134"/>
        <v>0</v>
      </c>
      <c r="AHP13" s="34">
        <f t="shared" ca="1" si="134"/>
        <v>0</v>
      </c>
      <c r="AHQ13" s="34">
        <f t="shared" ca="1" si="134"/>
        <v>0</v>
      </c>
      <c r="AHR13" s="34">
        <f t="shared" ca="1" si="134"/>
        <v>0</v>
      </c>
      <c r="AHS13" s="34">
        <f t="shared" ca="1" si="134"/>
        <v>0</v>
      </c>
      <c r="AHT13" s="34">
        <f t="shared" ca="1" si="134"/>
        <v>0</v>
      </c>
      <c r="AHU13" s="34">
        <f t="shared" ca="1" si="134"/>
        <v>0</v>
      </c>
      <c r="AHV13" s="34">
        <f t="shared" ca="1" si="134"/>
        <v>0</v>
      </c>
      <c r="AHW13" s="34">
        <f t="shared" ca="1" si="135"/>
        <v>0</v>
      </c>
      <c r="AHX13" s="34">
        <f t="shared" ca="1" si="135"/>
        <v>0</v>
      </c>
      <c r="AHY13" s="34">
        <f t="shared" ca="1" si="135"/>
        <v>0</v>
      </c>
      <c r="AHZ13" s="34">
        <f t="shared" ca="1" si="135"/>
        <v>0</v>
      </c>
      <c r="AIA13" s="34">
        <f t="shared" ca="1" si="135"/>
        <v>0</v>
      </c>
      <c r="AIB13" s="34">
        <f t="shared" ca="1" si="135"/>
        <v>0</v>
      </c>
      <c r="AIC13" s="34">
        <f t="shared" ca="1" si="135"/>
        <v>0</v>
      </c>
      <c r="AID13" s="34">
        <f t="shared" ca="1" si="135"/>
        <v>0</v>
      </c>
      <c r="AIE13" s="34">
        <f t="shared" ca="1" si="135"/>
        <v>0</v>
      </c>
      <c r="AIF13" s="34">
        <f t="shared" ca="1" si="135"/>
        <v>0</v>
      </c>
      <c r="AIG13" s="34">
        <f t="shared" ca="1" si="136"/>
        <v>0</v>
      </c>
      <c r="AIH13" s="34">
        <f t="shared" ca="1" si="136"/>
        <v>0</v>
      </c>
      <c r="AII13" s="34">
        <f t="shared" ca="1" si="136"/>
        <v>0</v>
      </c>
      <c r="AIJ13" s="34">
        <f t="shared" ca="1" si="136"/>
        <v>0</v>
      </c>
      <c r="AIK13" s="34">
        <f t="shared" ca="1" si="136"/>
        <v>0</v>
      </c>
      <c r="AIL13" s="34">
        <f t="shared" ca="1" si="136"/>
        <v>0</v>
      </c>
      <c r="AIM13" s="34">
        <f t="shared" ca="1" si="136"/>
        <v>0</v>
      </c>
      <c r="AIN13" s="34">
        <f t="shared" ca="1" si="136"/>
        <v>0</v>
      </c>
      <c r="AIO13" s="34">
        <f t="shared" ca="1" si="136"/>
        <v>0</v>
      </c>
      <c r="AIP13" s="34">
        <f t="shared" ca="1" si="136"/>
        <v>0</v>
      </c>
      <c r="AIQ13" s="34">
        <f t="shared" ca="1" si="137"/>
        <v>0</v>
      </c>
      <c r="AIR13" s="34">
        <f t="shared" ca="1" si="137"/>
        <v>0</v>
      </c>
      <c r="AIS13" s="34">
        <f t="shared" ca="1" si="137"/>
        <v>0</v>
      </c>
      <c r="AIT13" s="34">
        <f t="shared" ca="1" si="137"/>
        <v>0</v>
      </c>
      <c r="AIU13" s="34">
        <f t="shared" ca="1" si="137"/>
        <v>0</v>
      </c>
      <c r="AIV13" s="34">
        <f t="shared" ca="1" si="137"/>
        <v>0</v>
      </c>
      <c r="AIW13" s="34">
        <f t="shared" ca="1" si="137"/>
        <v>0</v>
      </c>
      <c r="AIX13" s="34">
        <f t="shared" ca="1" si="137"/>
        <v>0</v>
      </c>
      <c r="AIY13" s="34">
        <f t="shared" ca="1" si="137"/>
        <v>0</v>
      </c>
      <c r="AIZ13" s="34">
        <f t="shared" ca="1" si="137"/>
        <v>0</v>
      </c>
      <c r="AJA13" s="34">
        <f t="shared" ca="1" si="138"/>
        <v>0</v>
      </c>
      <c r="AJB13" s="34">
        <f t="shared" ca="1" si="138"/>
        <v>0</v>
      </c>
      <c r="AJC13" s="34">
        <f t="shared" ca="1" si="138"/>
        <v>0</v>
      </c>
      <c r="AJD13" s="34">
        <f t="shared" ca="1" si="138"/>
        <v>0</v>
      </c>
      <c r="AJE13" s="34">
        <f t="shared" ca="1" si="138"/>
        <v>0</v>
      </c>
      <c r="AJF13" s="34">
        <f t="shared" ca="1" si="138"/>
        <v>0</v>
      </c>
      <c r="AJG13" s="34">
        <f t="shared" ca="1" si="138"/>
        <v>0</v>
      </c>
      <c r="AJH13" s="34">
        <f t="shared" ca="1" si="138"/>
        <v>0</v>
      </c>
      <c r="AJI13" s="34">
        <f t="shared" ca="1" si="138"/>
        <v>0</v>
      </c>
      <c r="AJJ13" s="34">
        <f t="shared" ca="1" si="138"/>
        <v>0</v>
      </c>
      <c r="AJK13" s="34">
        <f t="shared" ca="1" si="139"/>
        <v>0</v>
      </c>
      <c r="AJL13" s="34">
        <f t="shared" ca="1" si="139"/>
        <v>0</v>
      </c>
      <c r="AJM13" s="34">
        <f t="shared" ca="1" si="139"/>
        <v>0</v>
      </c>
      <c r="AJN13" s="34">
        <f t="shared" ca="1" si="139"/>
        <v>0</v>
      </c>
      <c r="AJO13" s="34">
        <f t="shared" ca="1" si="139"/>
        <v>0</v>
      </c>
      <c r="AJP13" s="34">
        <f t="shared" ca="1" si="139"/>
        <v>0</v>
      </c>
      <c r="AJQ13" s="34">
        <f t="shared" ca="1" si="139"/>
        <v>0</v>
      </c>
      <c r="AJR13" s="34">
        <f t="shared" ca="1" si="139"/>
        <v>0</v>
      </c>
      <c r="AJS13" s="34">
        <f t="shared" ca="1" si="139"/>
        <v>0</v>
      </c>
      <c r="AJT13" s="34">
        <f t="shared" ca="1" si="139"/>
        <v>0</v>
      </c>
      <c r="AJU13" s="34">
        <f t="shared" ca="1" si="140"/>
        <v>0</v>
      </c>
      <c r="AJV13" s="34">
        <f t="shared" ca="1" si="140"/>
        <v>0</v>
      </c>
      <c r="AJW13" s="34">
        <f t="shared" ca="1" si="140"/>
        <v>0</v>
      </c>
      <c r="AJX13" s="34">
        <f t="shared" ca="1" si="140"/>
        <v>0</v>
      </c>
      <c r="AJY13" s="34">
        <f t="shared" ca="1" si="140"/>
        <v>0</v>
      </c>
      <c r="AJZ13" s="34">
        <f t="shared" ca="1" si="140"/>
        <v>0</v>
      </c>
      <c r="AKA13" s="34">
        <f t="shared" ca="1" si="140"/>
        <v>0</v>
      </c>
      <c r="AKB13" s="34">
        <f t="shared" ca="1" si="140"/>
        <v>0</v>
      </c>
      <c r="AKC13" s="34">
        <f t="shared" ca="1" si="140"/>
        <v>0</v>
      </c>
      <c r="AKD13" s="34">
        <f t="shared" ca="1" si="140"/>
        <v>0</v>
      </c>
      <c r="AKE13" s="34">
        <f t="shared" ca="1" si="141"/>
        <v>0</v>
      </c>
      <c r="AKF13" s="34">
        <f t="shared" ca="1" si="141"/>
        <v>0</v>
      </c>
      <c r="AKG13" s="34">
        <f t="shared" ca="1" si="141"/>
        <v>0</v>
      </c>
      <c r="AKH13" s="34">
        <f t="shared" ca="1" si="141"/>
        <v>0</v>
      </c>
      <c r="AKI13" s="34">
        <f t="shared" ca="1" si="141"/>
        <v>0</v>
      </c>
      <c r="AKJ13" s="34">
        <f t="shared" ca="1" si="141"/>
        <v>0</v>
      </c>
      <c r="AKK13" s="34">
        <f t="shared" ca="1" si="141"/>
        <v>0</v>
      </c>
      <c r="AKL13" s="34">
        <f t="shared" ca="1" si="141"/>
        <v>0</v>
      </c>
      <c r="AKM13" s="34">
        <f t="shared" ca="1" si="141"/>
        <v>0</v>
      </c>
      <c r="AKN13" s="34">
        <f t="shared" ca="1" si="141"/>
        <v>0</v>
      </c>
      <c r="AKO13" s="34">
        <f t="shared" ca="1" si="141"/>
        <v>0</v>
      </c>
      <c r="AKP13" s="34">
        <f t="shared" ca="1" si="141"/>
        <v>0</v>
      </c>
      <c r="AKQ13" s="34">
        <f t="shared" ca="1" si="141"/>
        <v>0</v>
      </c>
      <c r="AKR13" s="34">
        <f t="shared" ca="1" si="141"/>
        <v>0</v>
      </c>
      <c r="AKS13" s="34">
        <f t="shared" ca="1" si="141"/>
        <v>0</v>
      </c>
      <c r="AKT13" s="34"/>
      <c r="AKU13" s="34"/>
      <c r="AKV13" s="34"/>
      <c r="AKW13" s="34"/>
      <c r="AKX13" s="34"/>
      <c r="AKY13" s="34"/>
      <c r="AKZ13" s="34"/>
      <c r="ALA13" s="34"/>
      <c r="ALB13" s="34"/>
      <c r="ALC13" s="34"/>
      <c r="ALD13" s="34"/>
      <c r="ALE13" s="34"/>
      <c r="ALF13" s="34"/>
      <c r="ALG13" s="33"/>
      <c r="ALH13" s="33"/>
      <c r="ALI13" s="33"/>
      <c r="ALJ13" s="33"/>
      <c r="ALK13" s="33"/>
      <c r="ALL13" s="33"/>
      <c r="ALM13" s="33"/>
      <c r="ALN13" s="33"/>
      <c r="ALO13" s="33"/>
      <c r="ALP13" s="33"/>
      <c r="ALQ13" s="33"/>
      <c r="ALR13" s="33"/>
      <c r="ALS13" s="33"/>
      <c r="ALT13" s="33"/>
      <c r="ALU13" s="33"/>
      <c r="ALV13" s="33"/>
      <c r="ALW13" s="33"/>
      <c r="ALX13" s="33"/>
      <c r="ALY13" s="33"/>
      <c r="ALZ13" s="33"/>
      <c r="AMA13" s="33"/>
      <c r="AMB13" s="33"/>
      <c r="AMC13" s="33"/>
      <c r="AMD13" s="33"/>
      <c r="AME13" s="33"/>
      <c r="AMF13" s="33"/>
      <c r="AMG13" s="33"/>
      <c r="AMH13" s="33"/>
      <c r="AMI13" s="33"/>
      <c r="AMJ13" s="33"/>
      <c r="AMK13" s="33"/>
      <c r="AML13" s="33"/>
      <c r="AMM13" s="33"/>
      <c r="AMN13" s="33"/>
      <c r="AMO13" s="33"/>
      <c r="AMP13" s="33"/>
      <c r="AMQ13" s="33"/>
      <c r="AMR13" s="33"/>
      <c r="AMS13" s="33"/>
      <c r="AMT13" s="33"/>
      <c r="AMU13" s="33"/>
      <c r="AMV13" s="33"/>
      <c r="AMW13" s="33"/>
      <c r="AMX13" s="33"/>
      <c r="AMY13" s="33"/>
      <c r="AMZ13" s="33"/>
      <c r="ANA13" s="33"/>
      <c r="ANB13" s="33"/>
      <c r="ANC13" s="33"/>
      <c r="AND13" s="33"/>
      <c r="ANE13" s="33"/>
      <c r="ANF13" s="33"/>
      <c r="ANG13" s="33"/>
      <c r="ANH13" s="33"/>
      <c r="ANI13" s="33"/>
      <c r="ANJ13" s="33"/>
      <c r="ANK13" s="33"/>
      <c r="ANL13" s="33"/>
      <c r="ANM13" s="33"/>
      <c r="ANN13" s="33"/>
      <c r="ANO13" s="33"/>
      <c r="ANP13" s="33"/>
      <c r="ANQ13" s="33"/>
      <c r="ANR13" s="33"/>
      <c r="ANS13" s="33"/>
      <c r="ANT13" s="33"/>
      <c r="ANU13" s="33"/>
      <c r="ANV13" s="33"/>
      <c r="ANW13" s="33"/>
      <c r="ANX13" s="33"/>
      <c r="ANY13" s="33"/>
      <c r="ANZ13" s="33"/>
      <c r="AOA13" s="33"/>
      <c r="AOB13" s="33"/>
      <c r="AOC13" s="33"/>
      <c r="AOD13" s="33"/>
      <c r="AOE13" s="33"/>
      <c r="AOF13" s="33"/>
      <c r="AOG13" s="33"/>
      <c r="AOH13" s="33"/>
      <c r="AOI13" s="33"/>
      <c r="AOJ13" s="33"/>
      <c r="AOK13" s="33"/>
      <c r="AOL13" s="33"/>
      <c r="AOM13" s="33"/>
      <c r="AON13" s="33"/>
      <c r="AOO13" s="33"/>
      <c r="AOP13" s="33"/>
      <c r="AOQ13" s="33"/>
      <c r="AOR13" s="33"/>
      <c r="AOS13" s="33"/>
      <c r="AOT13" s="33"/>
      <c r="AOU13" s="33"/>
      <c r="AOV13" s="33"/>
      <c r="AOW13" s="33"/>
      <c r="AOX13" s="33"/>
      <c r="AOY13" s="33"/>
      <c r="AOZ13" s="33"/>
      <c r="APA13" s="33"/>
      <c r="APB13" s="33"/>
      <c r="APC13" s="33"/>
      <c r="APD13" s="33"/>
      <c r="APE13" s="33"/>
      <c r="APF13" s="33"/>
      <c r="APG13" s="33"/>
      <c r="APH13" s="33"/>
      <c r="API13" s="33"/>
      <c r="APJ13" s="33"/>
      <c r="APK13" s="33"/>
      <c r="APL13" s="33"/>
      <c r="APM13" s="33"/>
      <c r="APN13" s="33"/>
      <c r="APO13" s="33"/>
      <c r="APP13" s="33"/>
      <c r="APQ13" s="33"/>
      <c r="APR13" s="33"/>
      <c r="APS13" s="33"/>
      <c r="APT13" s="33"/>
      <c r="APU13" s="33"/>
      <c r="APV13" s="33"/>
      <c r="APW13" s="33"/>
      <c r="APX13" s="33"/>
      <c r="APY13" s="33"/>
      <c r="APZ13" s="33"/>
      <c r="AQA13" s="33"/>
      <c r="AQB13" s="33"/>
      <c r="AQC13" s="33"/>
      <c r="AQD13" s="33"/>
      <c r="AQE13" s="33"/>
      <c r="AQF13" s="33"/>
      <c r="AQG13" s="33"/>
      <c r="AQH13" s="33"/>
      <c r="AQI13" s="33"/>
      <c r="AQJ13" s="33"/>
      <c r="AQK13" s="33"/>
      <c r="AQL13" s="33"/>
      <c r="AQM13" s="33"/>
      <c r="AQN13" s="33"/>
      <c r="AQO13" s="33"/>
      <c r="AQP13" s="33"/>
      <c r="AQQ13" s="33"/>
      <c r="AQR13" s="33"/>
      <c r="AQS13" s="33"/>
      <c r="AQT13" s="33"/>
      <c r="AQU13" s="33"/>
      <c r="AQV13" s="33"/>
      <c r="AQW13" s="33"/>
      <c r="AQX13" s="33"/>
      <c r="AQY13" s="33"/>
      <c r="AQZ13" s="33"/>
      <c r="ARA13" s="33"/>
      <c r="ARB13" s="33"/>
      <c r="ARC13" s="33"/>
      <c r="ARD13" s="33"/>
      <c r="ARE13" s="33"/>
      <c r="ARF13" s="33"/>
      <c r="ARG13" s="33"/>
      <c r="ARH13" s="33"/>
      <c r="ARI13" s="33"/>
      <c r="ARJ13" s="33"/>
      <c r="ARK13" s="33"/>
      <c r="ARL13" s="33"/>
      <c r="ARM13" s="33"/>
      <c r="ARN13" s="33"/>
      <c r="ARO13" s="33"/>
      <c r="ARP13" s="33"/>
      <c r="ARQ13" s="33"/>
      <c r="ARR13" s="33"/>
      <c r="ARS13" s="33"/>
      <c r="ART13" s="33"/>
      <c r="ARU13" s="33"/>
      <c r="ARV13" s="33"/>
      <c r="ARW13" s="33"/>
      <c r="ARX13" s="33"/>
      <c r="ARY13" s="33"/>
      <c r="ARZ13" s="33"/>
      <c r="ASA13" s="33"/>
      <c r="ASB13" s="33"/>
      <c r="ASC13" s="33"/>
      <c r="ASD13" s="33"/>
      <c r="ASE13" s="33"/>
      <c r="ASF13" s="33"/>
      <c r="ASG13" s="33"/>
      <c r="ASH13" s="33"/>
      <c r="ASI13" s="33"/>
      <c r="ASJ13" s="33"/>
      <c r="ASK13" s="33"/>
      <c r="ASL13" s="33"/>
      <c r="ASM13" s="33"/>
      <c r="ASN13" s="33"/>
      <c r="ASO13" s="33"/>
      <c r="ASP13" s="33"/>
      <c r="ASQ13" s="33"/>
      <c r="ASR13" s="33"/>
      <c r="ASS13" s="33"/>
      <c r="AST13" s="33"/>
      <c r="ASU13" s="33"/>
      <c r="ASV13" s="33"/>
      <c r="ASW13" s="33"/>
      <c r="ASX13" s="33"/>
      <c r="ASY13" s="33"/>
      <c r="ASZ13" s="33"/>
      <c r="ATA13" s="33"/>
      <c r="ATB13" s="33"/>
      <c r="ATC13" s="33"/>
      <c r="ATD13" s="33"/>
      <c r="ATE13" s="33"/>
      <c r="ATF13" s="33"/>
      <c r="ATG13" s="33"/>
      <c r="ATH13" s="33"/>
      <c r="ATI13" s="33"/>
      <c r="ATJ13" s="33"/>
      <c r="ATK13" s="33"/>
      <c r="ATL13" s="33"/>
      <c r="ATM13" s="33"/>
      <c r="ATN13" s="33"/>
      <c r="ATO13" s="33"/>
      <c r="ATP13" s="33"/>
      <c r="ATQ13" s="33"/>
      <c r="ATR13" s="33"/>
      <c r="ATS13" s="33"/>
      <c r="ATT13" s="33"/>
      <c r="ATU13" s="33"/>
      <c r="ATV13" s="33"/>
      <c r="ATW13" s="33"/>
      <c r="ATX13" s="33"/>
      <c r="ATY13" s="33"/>
      <c r="ATZ13" s="33"/>
      <c r="AUA13" s="33"/>
      <c r="AUB13" s="33"/>
      <c r="AUC13" s="33"/>
      <c r="AUD13" s="33"/>
      <c r="AUE13" s="33"/>
      <c r="AUF13" s="33"/>
      <c r="AUG13" s="33"/>
      <c r="AUH13" s="33"/>
      <c r="AUI13" s="33"/>
      <c r="AUJ13" s="33"/>
      <c r="AUK13" s="33"/>
      <c r="AUL13" s="33"/>
      <c r="AUM13" s="33"/>
      <c r="AUN13" s="33"/>
      <c r="AUO13" s="33"/>
      <c r="AUP13" s="33"/>
      <c r="AUQ13" s="33"/>
      <c r="AUR13" s="33"/>
      <c r="AUS13" s="33"/>
      <c r="AUT13" s="33"/>
      <c r="AUU13" s="33"/>
      <c r="AUV13" s="33"/>
      <c r="AUW13" s="33"/>
      <c r="AUX13" s="33"/>
      <c r="AUY13" s="33"/>
      <c r="AUZ13" s="33"/>
      <c r="AVA13" s="33"/>
      <c r="AVB13" s="33"/>
    </row>
    <row r="14" spans="1:1250" ht="18.75" customHeight="1">
      <c r="A14" s="378" t="str">
        <f>自由選!B15</f>
        <v>XH510</v>
      </c>
      <c r="B14" s="208">
        <f ca="1">VLOOKUP($A14,'銀行-TSS'!B:K,10,FALSE)</f>
        <v>112.97</v>
      </c>
      <c r="C14" s="69" t="str">
        <f ca="1">VLOOKUP(A14,'銀行-TSS'!B:E,4,FALSE)</f>
        <v>Aa3 / AA- / WD</v>
      </c>
      <c r="D14" s="70">
        <f ca="1">VLOOKUP($A14,'銀行-TSS'!B:H,7,FALSE)</f>
        <v>0.06</v>
      </c>
      <c r="E14" s="71">
        <f ca="1">IFERROR(VLOOKUP($A14,'銀行-TSS'!B:I,8,FALSE),"")</f>
        <v>2</v>
      </c>
      <c r="F14" s="69" t="str">
        <f t="shared" ca="1" si="142"/>
        <v>4、10</v>
      </c>
      <c r="G14" s="72">
        <f ca="1">VLOOKUP($A14,'銀行-TSS'!B:M,12,FALSE)</f>
        <v>4.9000000000000002E-2</v>
      </c>
      <c r="H14" s="73">
        <f ca="1">VLOOKUP($A14,'銀行-TSS'!B:G,6,FALSE)</f>
        <v>14.75</v>
      </c>
      <c r="I14" s="74">
        <f ca="1">IFERROR(DATEVALUE(VLOOKUP($A14,'銀行-TSS'!B:F,5,FALSE)),VLOOKUP($A14,'銀行-TSS'!B:F,5,FALSE))</f>
        <v>50861</v>
      </c>
      <c r="J14" s="1" t="str">
        <f ca="1">VLOOKUP($A14,'銀行-TSS'!B:Q,16,FALSE)</f>
        <v>醫療保健</v>
      </c>
      <c r="K14" s="76" t="str">
        <f ca="1">VLOOKUP($A14,'銀行-TSS'!B:T,19,FALSE)</f>
        <v>亞培/ABT</v>
      </c>
      <c r="L14" s="33" t="b">
        <f t="shared" si="45"/>
        <v>1</v>
      </c>
      <c r="M14" s="43">
        <f ca="1">VLOOKUP($A14,'銀行-TSS'!B:N,13,FALSE)</f>
        <v>10000</v>
      </c>
      <c r="N14" s="44">
        <f>自由選!F15</f>
        <v>10000</v>
      </c>
      <c r="O14" s="43">
        <f ca="1">IFERROR(VLOOKUP($A14,'銀行-TSS'!B:O,14,FALSE),1)</f>
        <v>1000</v>
      </c>
      <c r="P14" s="78" t="str">
        <f ca="1">IFERROR(VLOOKUP(K14,Bond_DES!D:E,2,FALSE),VLOOKUP(K14,'銀行-TSS'!T:U,2,FALSE))</f>
        <v>亞培公司(Abbott Laboratories)是全球醫療保健領導者，業務觸及醫療設備、檢驗試劑、營養品及品牌學名藥等多元領域，旗下知名品牌有亞培安素、嬰兒配方奶粉Similac(心美力)、連續監控血糖檢測儀Freestyle libre等。2023年亞培連續第11年獲道瓊永續發展指數(DJSI)評為「醫療保健設備與用品」全球行業領導者地位。</v>
      </c>
      <c r="Q14" s="83">
        <f t="shared" ca="1" si="143"/>
        <v>111.4533</v>
      </c>
      <c r="R14" s="81">
        <f t="shared" ca="1" si="152"/>
        <v>11145.33</v>
      </c>
      <c r="S14" s="82">
        <f t="shared" ca="1" si="153"/>
        <v>9.7908088066705895E-2</v>
      </c>
      <c r="T14" s="34">
        <f t="shared" ca="1" si="144"/>
        <v>2039</v>
      </c>
      <c r="U14" s="36" t="str">
        <f ca="1">IFERROR(VLOOKUP($A14,'銀行-TSS'!B:C,2,FALSE),"")</f>
        <v>USD</v>
      </c>
      <c r="V14" s="184">
        <f ca="1">VLOOKUP(A14,'銀行-TSS'!B:J,9,FALSE)</f>
        <v>1.5166999999999999</v>
      </c>
      <c r="W14" s="57">
        <f t="shared" ca="1" si="145"/>
        <v>151.66999999999999</v>
      </c>
      <c r="X14" s="36">
        <f t="shared" ca="1" si="146"/>
        <v>0</v>
      </c>
      <c r="Y14" s="116">
        <f t="shared" ca="1" si="147"/>
        <v>1129.7</v>
      </c>
      <c r="Z14" s="98">
        <f t="shared" ca="1" si="148"/>
        <v>11297</v>
      </c>
      <c r="AA14" s="61">
        <f t="shared" si="149"/>
        <v>8.3333333333333329E-2</v>
      </c>
      <c r="AB14" s="104" t="str">
        <f t="shared" ca="1" si="46"/>
        <v>醫療保健</v>
      </c>
      <c r="AC14" s="149">
        <f t="shared" ca="1" si="150"/>
        <v>11297</v>
      </c>
      <c r="AD14" s="149">
        <f ca="1">VLOOKUP(A14,'銀行-TSS'!B:AD,29,FALSE)</f>
        <v>18</v>
      </c>
      <c r="AE14" s="64">
        <f t="shared" ca="1" si="47"/>
        <v>300</v>
      </c>
      <c r="AF14" s="53">
        <f t="shared" ca="1" si="154"/>
        <v>4</v>
      </c>
      <c r="AG14" s="45">
        <f t="shared" ca="1" si="155"/>
        <v>10</v>
      </c>
      <c r="AH14" s="2">
        <f ca="1">_xlfn.IFNA(IFERROR(DATEVALUE(VLOOKUP($A14,'銀行-TSS'!B:P,15,FALSE)),VLOOKUP($A14,'銀行-TSS'!B:P,15,FALSE)),"")</f>
        <v>45566</v>
      </c>
      <c r="AI14" s="2">
        <f ca="1">_xlfn.IFNA(IFERROR(DATEVALUE(VLOOKUP($A14,'銀行-TSS'!B:L,11,FALSE)),VLOOKUP($A14,'銀行-TSS'!B:L,11,FALSE)),"")</f>
        <v>45475</v>
      </c>
      <c r="AJ14" s="34">
        <f t="shared" ca="1" si="151"/>
        <v>0</v>
      </c>
      <c r="AK14" s="34">
        <f t="shared" ca="1" si="48"/>
        <v>0</v>
      </c>
      <c r="AL14" s="34">
        <f t="shared" ca="1" si="48"/>
        <v>0</v>
      </c>
      <c r="AM14" s="34">
        <f t="shared" ca="1" si="48"/>
        <v>300</v>
      </c>
      <c r="AN14" s="34">
        <f t="shared" ca="1" si="48"/>
        <v>0</v>
      </c>
      <c r="AO14" s="34">
        <f t="shared" ca="1" si="48"/>
        <v>0</v>
      </c>
      <c r="AP14" s="34">
        <f t="shared" ca="1" si="48"/>
        <v>0</v>
      </c>
      <c r="AQ14" s="34">
        <f t="shared" ca="1" si="48"/>
        <v>0</v>
      </c>
      <c r="AR14" s="34">
        <f t="shared" ca="1" si="48"/>
        <v>0</v>
      </c>
      <c r="AS14" s="34">
        <f t="shared" ca="1" si="48"/>
        <v>300</v>
      </c>
      <c r="AT14" s="34">
        <f t="shared" ca="1" si="48"/>
        <v>0</v>
      </c>
      <c r="AU14" s="34">
        <f t="shared" ca="1" si="49"/>
        <v>0</v>
      </c>
      <c r="AV14" s="34">
        <f t="shared" ca="1" si="49"/>
        <v>0</v>
      </c>
      <c r="AW14" s="34">
        <f t="shared" ca="1" si="49"/>
        <v>0</v>
      </c>
      <c r="AX14" s="34">
        <f t="shared" ca="1" si="49"/>
        <v>0</v>
      </c>
      <c r="AY14" s="34">
        <f t="shared" ca="1" si="49"/>
        <v>300</v>
      </c>
      <c r="AZ14" s="34">
        <f t="shared" ca="1" si="49"/>
        <v>0</v>
      </c>
      <c r="BA14" s="34">
        <f t="shared" ca="1" si="49"/>
        <v>0</v>
      </c>
      <c r="BB14" s="34">
        <f t="shared" ca="1" si="49"/>
        <v>0</v>
      </c>
      <c r="BC14" s="34">
        <f t="shared" ca="1" si="49"/>
        <v>0</v>
      </c>
      <c r="BD14" s="34">
        <f t="shared" ca="1" si="49"/>
        <v>0</v>
      </c>
      <c r="BE14" s="34">
        <f t="shared" ca="1" si="50"/>
        <v>300</v>
      </c>
      <c r="BF14" s="34">
        <f t="shared" ca="1" si="50"/>
        <v>0</v>
      </c>
      <c r="BG14" s="34">
        <f t="shared" ca="1" si="50"/>
        <v>0</v>
      </c>
      <c r="BH14" s="34">
        <f t="shared" ca="1" si="50"/>
        <v>0</v>
      </c>
      <c r="BI14" s="34">
        <f t="shared" ca="1" si="50"/>
        <v>0</v>
      </c>
      <c r="BJ14" s="34">
        <f t="shared" ca="1" si="50"/>
        <v>0</v>
      </c>
      <c r="BK14" s="34">
        <f t="shared" ca="1" si="50"/>
        <v>300</v>
      </c>
      <c r="BL14" s="34">
        <f t="shared" ca="1" si="50"/>
        <v>0</v>
      </c>
      <c r="BM14" s="34">
        <f t="shared" ca="1" si="50"/>
        <v>0</v>
      </c>
      <c r="BN14" s="34">
        <f t="shared" ca="1" si="50"/>
        <v>0</v>
      </c>
      <c r="BO14" s="34">
        <f t="shared" ca="1" si="51"/>
        <v>0</v>
      </c>
      <c r="BP14" s="34">
        <f t="shared" ca="1" si="51"/>
        <v>0</v>
      </c>
      <c r="BQ14" s="34">
        <f t="shared" ca="1" si="51"/>
        <v>300</v>
      </c>
      <c r="BR14" s="34">
        <f t="shared" ca="1" si="51"/>
        <v>0</v>
      </c>
      <c r="BS14" s="34">
        <f t="shared" ca="1" si="51"/>
        <v>0</v>
      </c>
      <c r="BT14" s="34">
        <f t="shared" ca="1" si="51"/>
        <v>0</v>
      </c>
      <c r="BU14" s="34">
        <f t="shared" ca="1" si="51"/>
        <v>0</v>
      </c>
      <c r="BV14" s="34">
        <f t="shared" ca="1" si="51"/>
        <v>0</v>
      </c>
      <c r="BW14" s="34">
        <f t="shared" ca="1" si="51"/>
        <v>300</v>
      </c>
      <c r="BX14" s="34">
        <f t="shared" ca="1" si="51"/>
        <v>0</v>
      </c>
      <c r="BY14" s="34">
        <f t="shared" ca="1" si="52"/>
        <v>0</v>
      </c>
      <c r="BZ14" s="34">
        <f t="shared" ca="1" si="52"/>
        <v>0</v>
      </c>
      <c r="CA14" s="34">
        <f t="shared" ca="1" si="52"/>
        <v>0</v>
      </c>
      <c r="CB14" s="34">
        <f t="shared" ca="1" si="52"/>
        <v>0</v>
      </c>
      <c r="CC14" s="34">
        <f t="shared" ca="1" si="52"/>
        <v>300</v>
      </c>
      <c r="CD14" s="34">
        <f t="shared" ca="1" si="52"/>
        <v>0</v>
      </c>
      <c r="CE14" s="34">
        <f t="shared" ca="1" si="52"/>
        <v>0</v>
      </c>
      <c r="CF14" s="34">
        <f t="shared" ca="1" si="52"/>
        <v>0</v>
      </c>
      <c r="CG14" s="34">
        <f t="shared" ca="1" si="52"/>
        <v>0</v>
      </c>
      <c r="CH14" s="34">
        <f t="shared" ca="1" si="52"/>
        <v>0</v>
      </c>
      <c r="CI14" s="34">
        <f t="shared" ca="1" si="53"/>
        <v>300</v>
      </c>
      <c r="CJ14" s="34">
        <f t="shared" ca="1" si="53"/>
        <v>0</v>
      </c>
      <c r="CK14" s="34">
        <f t="shared" ca="1" si="53"/>
        <v>0</v>
      </c>
      <c r="CL14" s="34">
        <f t="shared" ca="1" si="53"/>
        <v>0</v>
      </c>
      <c r="CM14" s="34">
        <f t="shared" ca="1" si="53"/>
        <v>0</v>
      </c>
      <c r="CN14" s="34">
        <f t="shared" ca="1" si="53"/>
        <v>0</v>
      </c>
      <c r="CO14" s="34">
        <f t="shared" ca="1" si="53"/>
        <v>300</v>
      </c>
      <c r="CP14" s="34">
        <f t="shared" ca="1" si="53"/>
        <v>0</v>
      </c>
      <c r="CQ14" s="34">
        <f t="shared" ca="1" si="53"/>
        <v>0</v>
      </c>
      <c r="CR14" s="34">
        <f t="shared" ca="1" si="53"/>
        <v>0</v>
      </c>
      <c r="CS14" s="34">
        <f t="shared" ca="1" si="54"/>
        <v>0</v>
      </c>
      <c r="CT14" s="34">
        <f t="shared" ca="1" si="54"/>
        <v>0</v>
      </c>
      <c r="CU14" s="34">
        <f t="shared" ca="1" si="54"/>
        <v>300</v>
      </c>
      <c r="CV14" s="34">
        <f t="shared" ca="1" si="54"/>
        <v>0</v>
      </c>
      <c r="CW14" s="34">
        <f t="shared" ca="1" si="54"/>
        <v>0</v>
      </c>
      <c r="CX14" s="34">
        <f t="shared" ca="1" si="54"/>
        <v>0</v>
      </c>
      <c r="CY14" s="34">
        <f t="shared" ca="1" si="54"/>
        <v>0</v>
      </c>
      <c r="CZ14" s="34">
        <f t="shared" ca="1" si="54"/>
        <v>0</v>
      </c>
      <c r="DA14" s="34">
        <f t="shared" ca="1" si="54"/>
        <v>300</v>
      </c>
      <c r="DB14" s="34">
        <f t="shared" ca="1" si="54"/>
        <v>0</v>
      </c>
      <c r="DC14" s="34">
        <f t="shared" ca="1" si="55"/>
        <v>0</v>
      </c>
      <c r="DD14" s="34">
        <f t="shared" ca="1" si="55"/>
        <v>0</v>
      </c>
      <c r="DE14" s="34">
        <f t="shared" ca="1" si="55"/>
        <v>0</v>
      </c>
      <c r="DF14" s="34">
        <f t="shared" ca="1" si="55"/>
        <v>0</v>
      </c>
      <c r="DG14" s="34">
        <f t="shared" ca="1" si="55"/>
        <v>300</v>
      </c>
      <c r="DH14" s="34">
        <f t="shared" ca="1" si="55"/>
        <v>0</v>
      </c>
      <c r="DI14" s="34">
        <f t="shared" ca="1" si="55"/>
        <v>0</v>
      </c>
      <c r="DJ14" s="34">
        <f t="shared" ca="1" si="55"/>
        <v>0</v>
      </c>
      <c r="DK14" s="34">
        <f t="shared" ca="1" si="55"/>
        <v>0</v>
      </c>
      <c r="DL14" s="34">
        <f t="shared" ca="1" si="55"/>
        <v>0</v>
      </c>
      <c r="DM14" s="34">
        <f t="shared" ca="1" si="56"/>
        <v>300</v>
      </c>
      <c r="DN14" s="34">
        <f t="shared" ca="1" si="56"/>
        <v>0</v>
      </c>
      <c r="DO14" s="34">
        <f t="shared" ca="1" si="56"/>
        <v>0</v>
      </c>
      <c r="DP14" s="34">
        <f t="shared" ca="1" si="56"/>
        <v>0</v>
      </c>
      <c r="DQ14" s="34">
        <f t="shared" ca="1" si="56"/>
        <v>0</v>
      </c>
      <c r="DR14" s="34">
        <f t="shared" ca="1" si="56"/>
        <v>0</v>
      </c>
      <c r="DS14" s="34">
        <f t="shared" ca="1" si="56"/>
        <v>300</v>
      </c>
      <c r="DT14" s="34">
        <f t="shared" ca="1" si="56"/>
        <v>0</v>
      </c>
      <c r="DU14" s="34">
        <f t="shared" ca="1" si="56"/>
        <v>0</v>
      </c>
      <c r="DV14" s="34">
        <f t="shared" ca="1" si="56"/>
        <v>0</v>
      </c>
      <c r="DW14" s="34">
        <f t="shared" ca="1" si="57"/>
        <v>0</v>
      </c>
      <c r="DX14" s="34">
        <f t="shared" ca="1" si="57"/>
        <v>0</v>
      </c>
      <c r="DY14" s="34">
        <f t="shared" ca="1" si="57"/>
        <v>300</v>
      </c>
      <c r="DZ14" s="34">
        <f t="shared" ca="1" si="57"/>
        <v>0</v>
      </c>
      <c r="EA14" s="34">
        <f t="shared" ca="1" si="57"/>
        <v>0</v>
      </c>
      <c r="EB14" s="34">
        <f t="shared" ca="1" si="57"/>
        <v>0</v>
      </c>
      <c r="EC14" s="34">
        <f t="shared" ca="1" si="57"/>
        <v>0</v>
      </c>
      <c r="ED14" s="34">
        <f t="shared" ca="1" si="57"/>
        <v>0</v>
      </c>
      <c r="EE14" s="34">
        <f t="shared" ca="1" si="57"/>
        <v>300</v>
      </c>
      <c r="EF14" s="34">
        <f t="shared" ca="1" si="57"/>
        <v>0</v>
      </c>
      <c r="EG14" s="34">
        <f t="shared" ca="1" si="58"/>
        <v>0</v>
      </c>
      <c r="EH14" s="34">
        <f t="shared" ca="1" si="58"/>
        <v>0</v>
      </c>
      <c r="EI14" s="34">
        <f t="shared" ca="1" si="58"/>
        <v>0</v>
      </c>
      <c r="EJ14" s="34">
        <f t="shared" ca="1" si="58"/>
        <v>0</v>
      </c>
      <c r="EK14" s="34">
        <f t="shared" ca="1" si="58"/>
        <v>300</v>
      </c>
      <c r="EL14" s="34">
        <f t="shared" ca="1" si="58"/>
        <v>0</v>
      </c>
      <c r="EM14" s="34">
        <f t="shared" ca="1" si="58"/>
        <v>0</v>
      </c>
      <c r="EN14" s="34">
        <f t="shared" ca="1" si="58"/>
        <v>0</v>
      </c>
      <c r="EO14" s="34">
        <f t="shared" ca="1" si="58"/>
        <v>0</v>
      </c>
      <c r="EP14" s="34">
        <f t="shared" ca="1" si="58"/>
        <v>0</v>
      </c>
      <c r="EQ14" s="34">
        <f t="shared" ca="1" si="59"/>
        <v>300</v>
      </c>
      <c r="ER14" s="34">
        <f t="shared" ca="1" si="59"/>
        <v>0</v>
      </c>
      <c r="ES14" s="34">
        <f t="shared" ca="1" si="59"/>
        <v>0</v>
      </c>
      <c r="ET14" s="34">
        <f t="shared" ca="1" si="59"/>
        <v>0</v>
      </c>
      <c r="EU14" s="34">
        <f t="shared" ca="1" si="59"/>
        <v>0</v>
      </c>
      <c r="EV14" s="34">
        <f t="shared" ca="1" si="59"/>
        <v>0</v>
      </c>
      <c r="EW14" s="34">
        <f t="shared" ca="1" si="59"/>
        <v>300</v>
      </c>
      <c r="EX14" s="34">
        <f t="shared" ca="1" si="59"/>
        <v>0</v>
      </c>
      <c r="EY14" s="34">
        <f t="shared" ca="1" si="59"/>
        <v>0</v>
      </c>
      <c r="EZ14" s="34">
        <f t="shared" ca="1" si="59"/>
        <v>0</v>
      </c>
      <c r="FA14" s="34">
        <f t="shared" ca="1" si="60"/>
        <v>0</v>
      </c>
      <c r="FB14" s="34">
        <f t="shared" ca="1" si="60"/>
        <v>0</v>
      </c>
      <c r="FC14" s="34">
        <f t="shared" ca="1" si="60"/>
        <v>300</v>
      </c>
      <c r="FD14" s="34">
        <f t="shared" ca="1" si="60"/>
        <v>0</v>
      </c>
      <c r="FE14" s="34">
        <f t="shared" ca="1" si="60"/>
        <v>0</v>
      </c>
      <c r="FF14" s="34">
        <f t="shared" ca="1" si="60"/>
        <v>0</v>
      </c>
      <c r="FG14" s="34">
        <f t="shared" ca="1" si="60"/>
        <v>0</v>
      </c>
      <c r="FH14" s="34">
        <f t="shared" ca="1" si="60"/>
        <v>0</v>
      </c>
      <c r="FI14" s="34">
        <f t="shared" ca="1" si="60"/>
        <v>300</v>
      </c>
      <c r="FJ14" s="34">
        <f t="shared" ca="1" si="60"/>
        <v>0</v>
      </c>
      <c r="FK14" s="34">
        <f t="shared" ca="1" si="61"/>
        <v>0</v>
      </c>
      <c r="FL14" s="34">
        <f t="shared" ca="1" si="61"/>
        <v>0</v>
      </c>
      <c r="FM14" s="34">
        <f t="shared" ca="1" si="61"/>
        <v>0</v>
      </c>
      <c r="FN14" s="34">
        <f t="shared" ca="1" si="61"/>
        <v>0</v>
      </c>
      <c r="FO14" s="34">
        <f t="shared" ca="1" si="61"/>
        <v>300</v>
      </c>
      <c r="FP14" s="34">
        <f t="shared" ca="1" si="61"/>
        <v>0</v>
      </c>
      <c r="FQ14" s="34">
        <f t="shared" ca="1" si="61"/>
        <v>0</v>
      </c>
      <c r="FR14" s="34">
        <f t="shared" ca="1" si="61"/>
        <v>0</v>
      </c>
      <c r="FS14" s="34">
        <f t="shared" ca="1" si="61"/>
        <v>0</v>
      </c>
      <c r="FT14" s="34">
        <f t="shared" ca="1" si="61"/>
        <v>0</v>
      </c>
      <c r="FU14" s="34">
        <f t="shared" ca="1" si="62"/>
        <v>300</v>
      </c>
      <c r="FV14" s="34">
        <f t="shared" ca="1" si="62"/>
        <v>0</v>
      </c>
      <c r="FW14" s="34">
        <f t="shared" ca="1" si="62"/>
        <v>0</v>
      </c>
      <c r="FX14" s="34">
        <f t="shared" ca="1" si="62"/>
        <v>0</v>
      </c>
      <c r="FY14" s="34">
        <f t="shared" ca="1" si="62"/>
        <v>0</v>
      </c>
      <c r="FZ14" s="34">
        <f t="shared" ca="1" si="62"/>
        <v>0</v>
      </c>
      <c r="GA14" s="34">
        <f t="shared" ca="1" si="62"/>
        <v>300</v>
      </c>
      <c r="GB14" s="34">
        <f t="shared" ca="1" si="62"/>
        <v>0</v>
      </c>
      <c r="GC14" s="34">
        <f t="shared" ca="1" si="62"/>
        <v>0</v>
      </c>
      <c r="GD14" s="34">
        <f t="shared" ca="1" si="62"/>
        <v>0</v>
      </c>
      <c r="GE14" s="34">
        <f t="shared" ca="1" si="63"/>
        <v>0</v>
      </c>
      <c r="GF14" s="34">
        <f t="shared" ca="1" si="63"/>
        <v>0</v>
      </c>
      <c r="GG14" s="34">
        <f t="shared" ca="1" si="63"/>
        <v>300</v>
      </c>
      <c r="GH14" s="34">
        <f t="shared" ca="1" si="63"/>
        <v>0</v>
      </c>
      <c r="GI14" s="34">
        <f t="shared" ca="1" si="63"/>
        <v>0</v>
      </c>
      <c r="GJ14" s="34">
        <f t="shared" ca="1" si="63"/>
        <v>0</v>
      </c>
      <c r="GK14" s="34">
        <f t="shared" ca="1" si="63"/>
        <v>0</v>
      </c>
      <c r="GL14" s="34">
        <f t="shared" ca="1" si="63"/>
        <v>0</v>
      </c>
      <c r="GM14" s="34">
        <f t="shared" ca="1" si="63"/>
        <v>300</v>
      </c>
      <c r="GN14" s="34">
        <f t="shared" ca="1" si="63"/>
        <v>0</v>
      </c>
      <c r="GO14" s="34">
        <f t="shared" ca="1" si="64"/>
        <v>0</v>
      </c>
      <c r="GP14" s="34">
        <f t="shared" ca="1" si="64"/>
        <v>0</v>
      </c>
      <c r="GQ14" s="34">
        <f t="shared" ca="1" si="64"/>
        <v>0</v>
      </c>
      <c r="GR14" s="34">
        <f t="shared" ca="1" si="64"/>
        <v>0</v>
      </c>
      <c r="GS14" s="34">
        <f t="shared" ca="1" si="64"/>
        <v>300</v>
      </c>
      <c r="GT14" s="34">
        <f t="shared" ca="1" si="64"/>
        <v>0</v>
      </c>
      <c r="GU14" s="34">
        <f t="shared" ca="1" si="64"/>
        <v>0</v>
      </c>
      <c r="GV14" s="34">
        <f t="shared" ca="1" si="64"/>
        <v>0</v>
      </c>
      <c r="GW14" s="34">
        <f t="shared" ca="1" si="64"/>
        <v>0</v>
      </c>
      <c r="GX14" s="34">
        <f t="shared" ca="1" si="64"/>
        <v>0</v>
      </c>
      <c r="GY14" s="34">
        <f t="shared" ca="1" si="65"/>
        <v>300</v>
      </c>
      <c r="GZ14" s="34">
        <f t="shared" ca="1" si="65"/>
        <v>0</v>
      </c>
      <c r="HA14" s="34">
        <f t="shared" ca="1" si="65"/>
        <v>0</v>
      </c>
      <c r="HB14" s="34">
        <f t="shared" ca="1" si="65"/>
        <v>0</v>
      </c>
      <c r="HC14" s="34">
        <f t="shared" ca="1" si="65"/>
        <v>0</v>
      </c>
      <c r="HD14" s="34">
        <f t="shared" ca="1" si="65"/>
        <v>0</v>
      </c>
      <c r="HE14" s="34">
        <f t="shared" ca="1" si="65"/>
        <v>300</v>
      </c>
      <c r="HF14" s="34">
        <f t="shared" ca="1" si="65"/>
        <v>0</v>
      </c>
      <c r="HG14" s="34">
        <f t="shared" ca="1" si="65"/>
        <v>0</v>
      </c>
      <c r="HH14" s="34">
        <f t="shared" ca="1" si="65"/>
        <v>0</v>
      </c>
      <c r="HI14" s="34">
        <f t="shared" ca="1" si="66"/>
        <v>0</v>
      </c>
      <c r="HJ14" s="34">
        <f t="shared" ca="1" si="66"/>
        <v>0</v>
      </c>
      <c r="HK14" s="34">
        <f t="shared" ca="1" si="66"/>
        <v>0</v>
      </c>
      <c r="HL14" s="34">
        <f t="shared" ca="1" si="66"/>
        <v>0</v>
      </c>
      <c r="HM14" s="34">
        <f t="shared" ca="1" si="66"/>
        <v>0</v>
      </c>
      <c r="HN14" s="34">
        <f t="shared" ca="1" si="66"/>
        <v>0</v>
      </c>
      <c r="HO14" s="34">
        <f t="shared" ca="1" si="66"/>
        <v>0</v>
      </c>
      <c r="HP14" s="34">
        <f t="shared" ca="1" si="66"/>
        <v>0</v>
      </c>
      <c r="HQ14" s="34">
        <f t="shared" ca="1" si="66"/>
        <v>0</v>
      </c>
      <c r="HR14" s="34">
        <f t="shared" ca="1" si="66"/>
        <v>0</v>
      </c>
      <c r="HS14" s="34">
        <f t="shared" ca="1" si="67"/>
        <v>0</v>
      </c>
      <c r="HT14" s="34">
        <f t="shared" ca="1" si="67"/>
        <v>0</v>
      </c>
      <c r="HU14" s="34">
        <f t="shared" ca="1" si="67"/>
        <v>0</v>
      </c>
      <c r="HV14" s="34">
        <f t="shared" ca="1" si="67"/>
        <v>0</v>
      </c>
      <c r="HW14" s="34">
        <f t="shared" ca="1" si="67"/>
        <v>0</v>
      </c>
      <c r="HX14" s="34">
        <f t="shared" ca="1" si="67"/>
        <v>0</v>
      </c>
      <c r="HY14" s="34">
        <f t="shared" ca="1" si="67"/>
        <v>0</v>
      </c>
      <c r="HZ14" s="34">
        <f t="shared" ca="1" si="67"/>
        <v>0</v>
      </c>
      <c r="IA14" s="34">
        <f t="shared" ca="1" si="67"/>
        <v>0</v>
      </c>
      <c r="IB14" s="34">
        <f t="shared" ca="1" si="67"/>
        <v>0</v>
      </c>
      <c r="IC14" s="34">
        <f t="shared" ca="1" si="68"/>
        <v>0</v>
      </c>
      <c r="ID14" s="34">
        <f t="shared" ca="1" si="68"/>
        <v>0</v>
      </c>
      <c r="IE14" s="34">
        <f t="shared" ca="1" si="68"/>
        <v>0</v>
      </c>
      <c r="IF14" s="34">
        <f t="shared" ca="1" si="68"/>
        <v>0</v>
      </c>
      <c r="IG14" s="34">
        <f t="shared" ca="1" si="68"/>
        <v>0</v>
      </c>
      <c r="IH14" s="34">
        <f t="shared" ca="1" si="68"/>
        <v>0</v>
      </c>
      <c r="II14" s="34">
        <f t="shared" ca="1" si="68"/>
        <v>0</v>
      </c>
      <c r="IJ14" s="34">
        <f t="shared" ca="1" si="68"/>
        <v>0</v>
      </c>
      <c r="IK14" s="34">
        <f t="shared" ca="1" si="68"/>
        <v>0</v>
      </c>
      <c r="IL14" s="34">
        <f t="shared" ca="1" si="68"/>
        <v>0</v>
      </c>
      <c r="IM14" s="34">
        <f t="shared" ca="1" si="69"/>
        <v>0</v>
      </c>
      <c r="IN14" s="34">
        <f t="shared" ca="1" si="69"/>
        <v>0</v>
      </c>
      <c r="IO14" s="34">
        <f t="shared" ca="1" si="69"/>
        <v>0</v>
      </c>
      <c r="IP14" s="34">
        <f t="shared" ca="1" si="69"/>
        <v>0</v>
      </c>
      <c r="IQ14" s="34">
        <f t="shared" ca="1" si="69"/>
        <v>0</v>
      </c>
      <c r="IR14" s="34">
        <f t="shared" ca="1" si="69"/>
        <v>0</v>
      </c>
      <c r="IS14" s="34">
        <f t="shared" ca="1" si="69"/>
        <v>0</v>
      </c>
      <c r="IT14" s="34">
        <f t="shared" ca="1" si="69"/>
        <v>0</v>
      </c>
      <c r="IU14" s="34">
        <f t="shared" ca="1" si="69"/>
        <v>0</v>
      </c>
      <c r="IV14" s="34">
        <f t="shared" ca="1" si="69"/>
        <v>0</v>
      </c>
      <c r="IW14" s="34">
        <f t="shared" ca="1" si="70"/>
        <v>0</v>
      </c>
      <c r="IX14" s="34">
        <f t="shared" ca="1" si="70"/>
        <v>0</v>
      </c>
      <c r="IY14" s="34">
        <f t="shared" ca="1" si="70"/>
        <v>0</v>
      </c>
      <c r="IZ14" s="34">
        <f t="shared" ca="1" si="70"/>
        <v>0</v>
      </c>
      <c r="JA14" s="34">
        <f t="shared" ca="1" si="70"/>
        <v>0</v>
      </c>
      <c r="JB14" s="34">
        <f t="shared" ca="1" si="70"/>
        <v>0</v>
      </c>
      <c r="JC14" s="34">
        <f t="shared" ca="1" si="70"/>
        <v>0</v>
      </c>
      <c r="JD14" s="34">
        <f t="shared" ca="1" si="70"/>
        <v>0</v>
      </c>
      <c r="JE14" s="34">
        <f t="shared" ca="1" si="70"/>
        <v>0</v>
      </c>
      <c r="JF14" s="34">
        <f t="shared" ca="1" si="70"/>
        <v>0</v>
      </c>
      <c r="JG14" s="34">
        <f t="shared" ca="1" si="71"/>
        <v>0</v>
      </c>
      <c r="JH14" s="34">
        <f t="shared" ca="1" si="71"/>
        <v>0</v>
      </c>
      <c r="JI14" s="34">
        <f t="shared" ca="1" si="71"/>
        <v>0</v>
      </c>
      <c r="JJ14" s="34">
        <f t="shared" ca="1" si="71"/>
        <v>0</v>
      </c>
      <c r="JK14" s="34">
        <f t="shared" ca="1" si="71"/>
        <v>0</v>
      </c>
      <c r="JL14" s="34">
        <f t="shared" ca="1" si="71"/>
        <v>0</v>
      </c>
      <c r="JM14" s="34">
        <f t="shared" ca="1" si="71"/>
        <v>0</v>
      </c>
      <c r="JN14" s="34">
        <f t="shared" ca="1" si="71"/>
        <v>0</v>
      </c>
      <c r="JO14" s="34">
        <f t="shared" ca="1" si="71"/>
        <v>0</v>
      </c>
      <c r="JP14" s="34">
        <f t="shared" ca="1" si="71"/>
        <v>0</v>
      </c>
      <c r="JQ14" s="34">
        <f t="shared" ca="1" si="72"/>
        <v>0</v>
      </c>
      <c r="JR14" s="34">
        <f t="shared" ca="1" si="72"/>
        <v>0</v>
      </c>
      <c r="JS14" s="34">
        <f t="shared" ca="1" si="72"/>
        <v>0</v>
      </c>
      <c r="JT14" s="34">
        <f t="shared" ca="1" si="72"/>
        <v>0</v>
      </c>
      <c r="JU14" s="34">
        <f t="shared" ca="1" si="72"/>
        <v>0</v>
      </c>
      <c r="JV14" s="34">
        <f t="shared" ca="1" si="72"/>
        <v>0</v>
      </c>
      <c r="JW14" s="34">
        <f t="shared" ca="1" si="72"/>
        <v>0</v>
      </c>
      <c r="JX14" s="34">
        <f t="shared" ca="1" si="72"/>
        <v>0</v>
      </c>
      <c r="JY14" s="34">
        <f t="shared" ca="1" si="72"/>
        <v>0</v>
      </c>
      <c r="JZ14" s="34">
        <f t="shared" ca="1" si="72"/>
        <v>0</v>
      </c>
      <c r="KA14" s="34">
        <f t="shared" ca="1" si="73"/>
        <v>0</v>
      </c>
      <c r="KB14" s="34">
        <f t="shared" ca="1" si="73"/>
        <v>0</v>
      </c>
      <c r="KC14" s="34">
        <f t="shared" ca="1" si="73"/>
        <v>0</v>
      </c>
      <c r="KD14" s="34">
        <f t="shared" ca="1" si="73"/>
        <v>0</v>
      </c>
      <c r="KE14" s="34">
        <f t="shared" ca="1" si="73"/>
        <v>0</v>
      </c>
      <c r="KF14" s="34">
        <f t="shared" ca="1" si="73"/>
        <v>0</v>
      </c>
      <c r="KG14" s="34">
        <f t="shared" ca="1" si="73"/>
        <v>0</v>
      </c>
      <c r="KH14" s="34">
        <f t="shared" ca="1" si="73"/>
        <v>0</v>
      </c>
      <c r="KI14" s="34">
        <f t="shared" ca="1" si="73"/>
        <v>0</v>
      </c>
      <c r="KJ14" s="34">
        <f t="shared" ca="1" si="73"/>
        <v>0</v>
      </c>
      <c r="KK14" s="34">
        <f t="shared" ca="1" si="74"/>
        <v>0</v>
      </c>
      <c r="KL14" s="34">
        <f t="shared" ca="1" si="74"/>
        <v>0</v>
      </c>
      <c r="KM14" s="34">
        <f t="shared" ca="1" si="74"/>
        <v>0</v>
      </c>
      <c r="KN14" s="34">
        <f t="shared" ca="1" si="74"/>
        <v>0</v>
      </c>
      <c r="KO14" s="34">
        <f t="shared" ca="1" si="74"/>
        <v>0</v>
      </c>
      <c r="KP14" s="34">
        <f t="shared" ca="1" si="74"/>
        <v>0</v>
      </c>
      <c r="KQ14" s="34">
        <f t="shared" ca="1" si="74"/>
        <v>0</v>
      </c>
      <c r="KR14" s="34">
        <f t="shared" ca="1" si="74"/>
        <v>0</v>
      </c>
      <c r="KS14" s="34">
        <f t="shared" ca="1" si="74"/>
        <v>0</v>
      </c>
      <c r="KT14" s="34">
        <f t="shared" ca="1" si="74"/>
        <v>0</v>
      </c>
      <c r="KU14" s="34">
        <f t="shared" ca="1" si="75"/>
        <v>0</v>
      </c>
      <c r="KV14" s="34">
        <f t="shared" ca="1" si="75"/>
        <v>0</v>
      </c>
      <c r="KW14" s="34">
        <f t="shared" ca="1" si="75"/>
        <v>0</v>
      </c>
      <c r="KX14" s="34">
        <f t="shared" ca="1" si="75"/>
        <v>0</v>
      </c>
      <c r="KY14" s="34">
        <f t="shared" ca="1" si="75"/>
        <v>0</v>
      </c>
      <c r="KZ14" s="34">
        <f t="shared" ca="1" si="75"/>
        <v>0</v>
      </c>
      <c r="LA14" s="34">
        <f t="shared" ca="1" si="75"/>
        <v>0</v>
      </c>
      <c r="LB14" s="34">
        <f t="shared" ca="1" si="75"/>
        <v>0</v>
      </c>
      <c r="LC14" s="34">
        <f t="shared" ca="1" si="75"/>
        <v>0</v>
      </c>
      <c r="LD14" s="34">
        <f t="shared" ca="1" si="75"/>
        <v>0</v>
      </c>
      <c r="LE14" s="34">
        <f t="shared" ca="1" si="76"/>
        <v>0</v>
      </c>
      <c r="LF14" s="34">
        <f t="shared" ca="1" si="76"/>
        <v>0</v>
      </c>
      <c r="LG14" s="34">
        <f t="shared" ca="1" si="76"/>
        <v>0</v>
      </c>
      <c r="LH14" s="34">
        <f t="shared" ca="1" si="76"/>
        <v>0</v>
      </c>
      <c r="LI14" s="34">
        <f t="shared" ca="1" si="76"/>
        <v>0</v>
      </c>
      <c r="LJ14" s="34">
        <f t="shared" ca="1" si="76"/>
        <v>0</v>
      </c>
      <c r="LK14" s="34">
        <f t="shared" ca="1" si="76"/>
        <v>0</v>
      </c>
      <c r="LL14" s="34">
        <f t="shared" ca="1" si="76"/>
        <v>0</v>
      </c>
      <c r="LM14" s="34">
        <f t="shared" ca="1" si="76"/>
        <v>0</v>
      </c>
      <c r="LN14" s="34">
        <f t="shared" ca="1" si="76"/>
        <v>0</v>
      </c>
      <c r="LO14" s="34">
        <f t="shared" ca="1" si="77"/>
        <v>0</v>
      </c>
      <c r="LP14" s="34">
        <f t="shared" ca="1" si="77"/>
        <v>0</v>
      </c>
      <c r="LQ14" s="34">
        <f t="shared" ca="1" si="77"/>
        <v>0</v>
      </c>
      <c r="LR14" s="34">
        <f t="shared" ca="1" si="77"/>
        <v>0</v>
      </c>
      <c r="LS14" s="34">
        <f t="shared" ca="1" si="77"/>
        <v>0</v>
      </c>
      <c r="LT14" s="34">
        <f t="shared" ca="1" si="77"/>
        <v>0</v>
      </c>
      <c r="LU14" s="34">
        <f t="shared" ca="1" si="77"/>
        <v>0</v>
      </c>
      <c r="LV14" s="34">
        <f t="shared" ca="1" si="77"/>
        <v>0</v>
      </c>
      <c r="LW14" s="34">
        <f t="shared" ca="1" si="77"/>
        <v>0</v>
      </c>
      <c r="LX14" s="34">
        <f t="shared" ca="1" si="77"/>
        <v>0</v>
      </c>
      <c r="LY14" s="34">
        <f t="shared" ca="1" si="78"/>
        <v>0</v>
      </c>
      <c r="LZ14" s="34">
        <f t="shared" ca="1" si="78"/>
        <v>0</v>
      </c>
      <c r="MA14" s="34">
        <f t="shared" ca="1" si="78"/>
        <v>0</v>
      </c>
      <c r="MB14" s="34">
        <f t="shared" ca="1" si="78"/>
        <v>0</v>
      </c>
      <c r="MC14" s="34">
        <f t="shared" ca="1" si="78"/>
        <v>0</v>
      </c>
      <c r="MD14" s="34">
        <f t="shared" ca="1" si="78"/>
        <v>0</v>
      </c>
      <c r="ME14" s="34">
        <f t="shared" ca="1" si="78"/>
        <v>0</v>
      </c>
      <c r="MF14" s="34">
        <f t="shared" ca="1" si="78"/>
        <v>0</v>
      </c>
      <c r="MG14" s="34">
        <f t="shared" ca="1" si="78"/>
        <v>0</v>
      </c>
      <c r="MH14" s="34">
        <f t="shared" ca="1" si="78"/>
        <v>0</v>
      </c>
      <c r="MI14" s="34">
        <f t="shared" ca="1" si="79"/>
        <v>0</v>
      </c>
      <c r="MJ14" s="34">
        <f t="shared" ca="1" si="79"/>
        <v>0</v>
      </c>
      <c r="MK14" s="34">
        <f t="shared" ca="1" si="79"/>
        <v>0</v>
      </c>
      <c r="ML14" s="34">
        <f t="shared" ca="1" si="79"/>
        <v>0</v>
      </c>
      <c r="MM14" s="34">
        <f t="shared" ca="1" si="79"/>
        <v>0</v>
      </c>
      <c r="MN14" s="34">
        <f t="shared" ca="1" si="79"/>
        <v>0</v>
      </c>
      <c r="MO14" s="34">
        <f t="shared" ca="1" si="79"/>
        <v>0</v>
      </c>
      <c r="MP14" s="34">
        <f t="shared" ca="1" si="79"/>
        <v>0</v>
      </c>
      <c r="MQ14" s="34">
        <f t="shared" ca="1" si="79"/>
        <v>0</v>
      </c>
      <c r="MR14" s="34">
        <f t="shared" ca="1" si="79"/>
        <v>0</v>
      </c>
      <c r="MS14" s="34">
        <f t="shared" ca="1" si="80"/>
        <v>0</v>
      </c>
      <c r="MT14" s="34">
        <f t="shared" ca="1" si="80"/>
        <v>0</v>
      </c>
      <c r="MU14" s="34">
        <f t="shared" ca="1" si="80"/>
        <v>0</v>
      </c>
      <c r="MV14" s="34">
        <f t="shared" ca="1" si="80"/>
        <v>0</v>
      </c>
      <c r="MW14" s="34">
        <f t="shared" ca="1" si="80"/>
        <v>0</v>
      </c>
      <c r="MX14" s="34">
        <f t="shared" ca="1" si="80"/>
        <v>0</v>
      </c>
      <c r="MY14" s="34">
        <f t="shared" ca="1" si="80"/>
        <v>0</v>
      </c>
      <c r="MZ14" s="34">
        <f t="shared" ca="1" si="80"/>
        <v>0</v>
      </c>
      <c r="NA14" s="34">
        <f t="shared" ca="1" si="80"/>
        <v>0</v>
      </c>
      <c r="NB14" s="34">
        <f t="shared" ca="1" si="80"/>
        <v>0</v>
      </c>
      <c r="NC14" s="34">
        <f t="shared" ca="1" si="81"/>
        <v>0</v>
      </c>
      <c r="ND14" s="34">
        <f t="shared" ca="1" si="81"/>
        <v>0</v>
      </c>
      <c r="NE14" s="34">
        <f t="shared" ca="1" si="81"/>
        <v>0</v>
      </c>
      <c r="NF14" s="34">
        <f t="shared" ca="1" si="81"/>
        <v>0</v>
      </c>
      <c r="NG14" s="34">
        <f t="shared" ca="1" si="81"/>
        <v>0</v>
      </c>
      <c r="NH14" s="34">
        <f t="shared" ca="1" si="81"/>
        <v>0</v>
      </c>
      <c r="NI14" s="34">
        <f t="shared" ca="1" si="81"/>
        <v>0</v>
      </c>
      <c r="NJ14" s="34">
        <f t="shared" ca="1" si="81"/>
        <v>0</v>
      </c>
      <c r="NK14" s="34">
        <f t="shared" ca="1" si="81"/>
        <v>0</v>
      </c>
      <c r="NL14" s="34">
        <f t="shared" ca="1" si="81"/>
        <v>0</v>
      </c>
      <c r="NM14" s="34">
        <f t="shared" ca="1" si="82"/>
        <v>0</v>
      </c>
      <c r="NN14" s="34">
        <f t="shared" ca="1" si="82"/>
        <v>0</v>
      </c>
      <c r="NO14" s="34">
        <f t="shared" ca="1" si="82"/>
        <v>0</v>
      </c>
      <c r="NP14" s="34">
        <f t="shared" ca="1" si="82"/>
        <v>0</v>
      </c>
      <c r="NQ14" s="34">
        <f t="shared" ca="1" si="82"/>
        <v>0</v>
      </c>
      <c r="NR14" s="34">
        <f t="shared" ca="1" si="82"/>
        <v>0</v>
      </c>
      <c r="NS14" s="34">
        <f t="shared" ca="1" si="82"/>
        <v>0</v>
      </c>
      <c r="NT14" s="34">
        <f t="shared" ca="1" si="82"/>
        <v>0</v>
      </c>
      <c r="NU14" s="34">
        <f t="shared" ca="1" si="82"/>
        <v>0</v>
      </c>
      <c r="NV14" s="34">
        <f t="shared" ca="1" si="82"/>
        <v>0</v>
      </c>
      <c r="NW14" s="34">
        <f t="shared" ca="1" si="83"/>
        <v>0</v>
      </c>
      <c r="NX14" s="34">
        <f t="shared" ca="1" si="83"/>
        <v>0</v>
      </c>
      <c r="NY14" s="34">
        <f t="shared" ca="1" si="83"/>
        <v>0</v>
      </c>
      <c r="NZ14" s="34">
        <f t="shared" ca="1" si="83"/>
        <v>0</v>
      </c>
      <c r="OA14" s="34">
        <f t="shared" ca="1" si="83"/>
        <v>0</v>
      </c>
      <c r="OB14" s="34">
        <f t="shared" ca="1" si="83"/>
        <v>0</v>
      </c>
      <c r="OC14" s="34">
        <f t="shared" ca="1" si="83"/>
        <v>0</v>
      </c>
      <c r="OD14" s="34">
        <f t="shared" ca="1" si="83"/>
        <v>0</v>
      </c>
      <c r="OE14" s="34">
        <f t="shared" ca="1" si="83"/>
        <v>0</v>
      </c>
      <c r="OF14" s="34">
        <f t="shared" ca="1" si="83"/>
        <v>0</v>
      </c>
      <c r="OG14" s="34">
        <f t="shared" ca="1" si="84"/>
        <v>0</v>
      </c>
      <c r="OH14" s="34">
        <f t="shared" ca="1" si="84"/>
        <v>0</v>
      </c>
      <c r="OI14" s="34">
        <f t="shared" ca="1" si="84"/>
        <v>0</v>
      </c>
      <c r="OJ14" s="34">
        <f t="shared" ca="1" si="84"/>
        <v>0</v>
      </c>
      <c r="OK14" s="34">
        <f t="shared" ca="1" si="84"/>
        <v>0</v>
      </c>
      <c r="OL14" s="34">
        <f t="shared" ca="1" si="84"/>
        <v>0</v>
      </c>
      <c r="OM14" s="34">
        <f t="shared" ca="1" si="84"/>
        <v>0</v>
      </c>
      <c r="ON14" s="34">
        <f t="shared" ca="1" si="84"/>
        <v>0</v>
      </c>
      <c r="OO14" s="34">
        <f t="shared" ca="1" si="84"/>
        <v>0</v>
      </c>
      <c r="OP14" s="34">
        <f t="shared" ca="1" si="84"/>
        <v>0</v>
      </c>
      <c r="OQ14" s="34">
        <f t="shared" ca="1" si="85"/>
        <v>0</v>
      </c>
      <c r="OR14" s="34">
        <f t="shared" ca="1" si="85"/>
        <v>0</v>
      </c>
      <c r="OS14" s="34">
        <f t="shared" ca="1" si="85"/>
        <v>0</v>
      </c>
      <c r="OT14" s="34">
        <f t="shared" ca="1" si="85"/>
        <v>0</v>
      </c>
      <c r="OU14" s="34">
        <f t="shared" ca="1" si="85"/>
        <v>0</v>
      </c>
      <c r="OV14" s="34">
        <f t="shared" ca="1" si="85"/>
        <v>0</v>
      </c>
      <c r="OW14" s="34">
        <f t="shared" ca="1" si="85"/>
        <v>0</v>
      </c>
      <c r="OX14" s="34">
        <f t="shared" ca="1" si="85"/>
        <v>0</v>
      </c>
      <c r="OY14" s="34">
        <f t="shared" ca="1" si="85"/>
        <v>0</v>
      </c>
      <c r="OZ14" s="34">
        <f t="shared" ca="1" si="85"/>
        <v>0</v>
      </c>
      <c r="PA14" s="34">
        <f t="shared" ca="1" si="86"/>
        <v>0</v>
      </c>
      <c r="PB14" s="34">
        <f t="shared" ca="1" si="86"/>
        <v>0</v>
      </c>
      <c r="PC14" s="34">
        <f t="shared" ca="1" si="86"/>
        <v>0</v>
      </c>
      <c r="PD14" s="34">
        <f t="shared" ca="1" si="86"/>
        <v>0</v>
      </c>
      <c r="PE14" s="34">
        <f t="shared" ca="1" si="86"/>
        <v>0</v>
      </c>
      <c r="PF14" s="34">
        <f t="shared" ca="1" si="86"/>
        <v>0</v>
      </c>
      <c r="PG14" s="34">
        <f t="shared" ca="1" si="86"/>
        <v>0</v>
      </c>
      <c r="PH14" s="34">
        <f t="shared" ca="1" si="86"/>
        <v>0</v>
      </c>
      <c r="PI14" s="34">
        <f t="shared" ca="1" si="86"/>
        <v>0</v>
      </c>
      <c r="PJ14" s="34">
        <f t="shared" ca="1" si="86"/>
        <v>0</v>
      </c>
      <c r="PK14" s="34">
        <f t="shared" ca="1" si="87"/>
        <v>0</v>
      </c>
      <c r="PL14" s="34">
        <f t="shared" ca="1" si="87"/>
        <v>0</v>
      </c>
      <c r="PM14" s="34">
        <f t="shared" ca="1" si="87"/>
        <v>0</v>
      </c>
      <c r="PN14" s="34">
        <f t="shared" ca="1" si="87"/>
        <v>0</v>
      </c>
      <c r="PO14" s="34">
        <f t="shared" ca="1" si="87"/>
        <v>0</v>
      </c>
      <c r="PP14" s="34">
        <f t="shared" ca="1" si="87"/>
        <v>0</v>
      </c>
      <c r="PQ14" s="34">
        <f t="shared" ca="1" si="87"/>
        <v>0</v>
      </c>
      <c r="PR14" s="34">
        <f t="shared" ca="1" si="87"/>
        <v>0</v>
      </c>
      <c r="PS14" s="34">
        <f t="shared" ca="1" si="87"/>
        <v>0</v>
      </c>
      <c r="PT14" s="34">
        <f t="shared" ca="1" si="87"/>
        <v>0</v>
      </c>
      <c r="PU14" s="34">
        <f t="shared" ca="1" si="88"/>
        <v>0</v>
      </c>
      <c r="PV14" s="34">
        <f t="shared" ca="1" si="88"/>
        <v>0</v>
      </c>
      <c r="PW14" s="34">
        <f t="shared" ca="1" si="88"/>
        <v>0</v>
      </c>
      <c r="PX14" s="34">
        <f t="shared" ca="1" si="88"/>
        <v>0</v>
      </c>
      <c r="PY14" s="34">
        <f t="shared" ca="1" si="88"/>
        <v>0</v>
      </c>
      <c r="PZ14" s="34">
        <f t="shared" ca="1" si="88"/>
        <v>0</v>
      </c>
      <c r="QA14" s="34">
        <f t="shared" ca="1" si="88"/>
        <v>0</v>
      </c>
      <c r="QB14" s="34">
        <f t="shared" ca="1" si="88"/>
        <v>0</v>
      </c>
      <c r="QC14" s="34">
        <f t="shared" ca="1" si="88"/>
        <v>0</v>
      </c>
      <c r="QD14" s="34">
        <f t="shared" ca="1" si="88"/>
        <v>0</v>
      </c>
      <c r="QE14" s="34">
        <f t="shared" ca="1" si="89"/>
        <v>0</v>
      </c>
      <c r="QF14" s="34">
        <f t="shared" ca="1" si="89"/>
        <v>0</v>
      </c>
      <c r="QG14" s="34">
        <f t="shared" ca="1" si="89"/>
        <v>0</v>
      </c>
      <c r="QH14" s="34">
        <f t="shared" ca="1" si="89"/>
        <v>0</v>
      </c>
      <c r="QI14" s="34">
        <f t="shared" ca="1" si="89"/>
        <v>0</v>
      </c>
      <c r="QJ14" s="34">
        <f t="shared" ca="1" si="89"/>
        <v>0</v>
      </c>
      <c r="QK14" s="34">
        <f t="shared" ca="1" si="89"/>
        <v>0</v>
      </c>
      <c r="QL14" s="34">
        <f t="shared" ca="1" si="89"/>
        <v>0</v>
      </c>
      <c r="QM14" s="34">
        <f t="shared" ca="1" si="89"/>
        <v>0</v>
      </c>
      <c r="QN14" s="34">
        <f t="shared" ca="1" si="89"/>
        <v>0</v>
      </c>
      <c r="QO14" s="34">
        <f t="shared" ca="1" si="90"/>
        <v>0</v>
      </c>
      <c r="QP14" s="34">
        <f t="shared" ca="1" si="90"/>
        <v>0</v>
      </c>
      <c r="QQ14" s="34">
        <f t="shared" ca="1" si="90"/>
        <v>0</v>
      </c>
      <c r="QR14" s="34">
        <f t="shared" ca="1" si="90"/>
        <v>0</v>
      </c>
      <c r="QS14" s="34">
        <f t="shared" ca="1" si="90"/>
        <v>0</v>
      </c>
      <c r="QT14" s="34">
        <f t="shared" ca="1" si="90"/>
        <v>0</v>
      </c>
      <c r="QU14" s="34">
        <f t="shared" ca="1" si="90"/>
        <v>0</v>
      </c>
      <c r="QV14" s="34">
        <f t="shared" ca="1" si="90"/>
        <v>0</v>
      </c>
      <c r="QW14" s="34">
        <f t="shared" ca="1" si="90"/>
        <v>0</v>
      </c>
      <c r="QX14" s="34">
        <f t="shared" ca="1" si="90"/>
        <v>0</v>
      </c>
      <c r="QY14" s="34">
        <f t="shared" ca="1" si="91"/>
        <v>0</v>
      </c>
      <c r="QZ14" s="34">
        <f t="shared" ca="1" si="91"/>
        <v>0</v>
      </c>
      <c r="RA14" s="34">
        <f t="shared" ca="1" si="91"/>
        <v>0</v>
      </c>
      <c r="RB14" s="34">
        <f t="shared" ca="1" si="91"/>
        <v>0</v>
      </c>
      <c r="RC14" s="34">
        <f t="shared" ca="1" si="91"/>
        <v>0</v>
      </c>
      <c r="RD14" s="34">
        <f t="shared" ca="1" si="91"/>
        <v>0</v>
      </c>
      <c r="RE14" s="34">
        <f t="shared" ca="1" si="91"/>
        <v>0</v>
      </c>
      <c r="RF14" s="34">
        <f t="shared" ca="1" si="91"/>
        <v>0</v>
      </c>
      <c r="RG14" s="34">
        <f t="shared" ca="1" si="91"/>
        <v>0</v>
      </c>
      <c r="RH14" s="34">
        <f t="shared" ca="1" si="91"/>
        <v>0</v>
      </c>
      <c r="RI14" s="34">
        <f t="shared" ca="1" si="92"/>
        <v>0</v>
      </c>
      <c r="RJ14" s="34">
        <f t="shared" ca="1" si="92"/>
        <v>0</v>
      </c>
      <c r="RK14" s="34">
        <f t="shared" ca="1" si="92"/>
        <v>0</v>
      </c>
      <c r="RL14" s="34">
        <f t="shared" ca="1" si="92"/>
        <v>0</v>
      </c>
      <c r="RM14" s="34">
        <f t="shared" ca="1" si="92"/>
        <v>0</v>
      </c>
      <c r="RN14" s="34">
        <f t="shared" ca="1" si="92"/>
        <v>0</v>
      </c>
      <c r="RO14" s="34">
        <f t="shared" ca="1" si="92"/>
        <v>0</v>
      </c>
      <c r="RP14" s="34">
        <f t="shared" ca="1" si="92"/>
        <v>0</v>
      </c>
      <c r="RQ14" s="34">
        <f t="shared" ca="1" si="92"/>
        <v>0</v>
      </c>
      <c r="RR14" s="34">
        <f t="shared" ca="1" si="92"/>
        <v>0</v>
      </c>
      <c r="RS14" s="34">
        <f t="shared" ca="1" si="93"/>
        <v>0</v>
      </c>
      <c r="RT14" s="34">
        <f t="shared" ca="1" si="93"/>
        <v>0</v>
      </c>
      <c r="RU14" s="34">
        <f t="shared" ca="1" si="93"/>
        <v>0</v>
      </c>
      <c r="RV14" s="34">
        <f t="shared" ca="1" si="93"/>
        <v>0</v>
      </c>
      <c r="RW14" s="34">
        <f t="shared" ca="1" si="93"/>
        <v>0</v>
      </c>
      <c r="RX14" s="34">
        <f t="shared" ca="1" si="93"/>
        <v>0</v>
      </c>
      <c r="RY14" s="34">
        <f t="shared" ca="1" si="93"/>
        <v>0</v>
      </c>
      <c r="RZ14" s="34">
        <f t="shared" ca="1" si="93"/>
        <v>0</v>
      </c>
      <c r="SA14" s="34">
        <f t="shared" ca="1" si="93"/>
        <v>0</v>
      </c>
      <c r="SB14" s="34">
        <f t="shared" ca="1" si="93"/>
        <v>0</v>
      </c>
      <c r="SC14" s="34">
        <f t="shared" ca="1" si="94"/>
        <v>0</v>
      </c>
      <c r="SD14" s="34">
        <f t="shared" ca="1" si="94"/>
        <v>0</v>
      </c>
      <c r="SE14" s="34">
        <f t="shared" ca="1" si="94"/>
        <v>0</v>
      </c>
      <c r="SF14" s="34">
        <f t="shared" ca="1" si="94"/>
        <v>0</v>
      </c>
      <c r="SG14" s="34">
        <f t="shared" ca="1" si="94"/>
        <v>0</v>
      </c>
      <c r="SH14" s="34">
        <f t="shared" ca="1" si="94"/>
        <v>0</v>
      </c>
      <c r="SI14" s="34">
        <f t="shared" ca="1" si="94"/>
        <v>0</v>
      </c>
      <c r="SJ14" s="34">
        <f t="shared" ca="1" si="94"/>
        <v>0</v>
      </c>
      <c r="SK14" s="34">
        <f t="shared" ca="1" si="94"/>
        <v>0</v>
      </c>
      <c r="SL14" s="34">
        <f t="shared" ca="1" si="94"/>
        <v>0</v>
      </c>
      <c r="SM14" s="34">
        <f t="shared" ca="1" si="95"/>
        <v>0</v>
      </c>
      <c r="SN14" s="34">
        <f t="shared" ca="1" si="95"/>
        <v>0</v>
      </c>
      <c r="SO14" s="34">
        <f t="shared" ca="1" si="95"/>
        <v>0</v>
      </c>
      <c r="SP14" s="34">
        <f t="shared" ca="1" si="95"/>
        <v>0</v>
      </c>
      <c r="SQ14" s="34">
        <f t="shared" ca="1" si="95"/>
        <v>0</v>
      </c>
      <c r="SR14" s="34">
        <f t="shared" ca="1" si="95"/>
        <v>0</v>
      </c>
      <c r="SS14" s="34">
        <f t="shared" ca="1" si="95"/>
        <v>0</v>
      </c>
      <c r="ST14" s="34">
        <f t="shared" ca="1" si="95"/>
        <v>0</v>
      </c>
      <c r="SU14" s="34">
        <f t="shared" ca="1" si="95"/>
        <v>0</v>
      </c>
      <c r="SV14" s="34">
        <f t="shared" ca="1" si="95"/>
        <v>0</v>
      </c>
      <c r="SW14" s="34">
        <f t="shared" ca="1" si="96"/>
        <v>0</v>
      </c>
      <c r="SX14" s="34">
        <f t="shared" ca="1" si="96"/>
        <v>0</v>
      </c>
      <c r="SY14" s="34">
        <f t="shared" ca="1" si="96"/>
        <v>0</v>
      </c>
      <c r="SZ14" s="34">
        <f t="shared" ca="1" si="96"/>
        <v>0</v>
      </c>
      <c r="TA14" s="34">
        <f t="shared" ca="1" si="96"/>
        <v>0</v>
      </c>
      <c r="TB14" s="34">
        <f t="shared" ca="1" si="96"/>
        <v>0</v>
      </c>
      <c r="TC14" s="34">
        <f t="shared" ca="1" si="96"/>
        <v>0</v>
      </c>
      <c r="TD14" s="34">
        <f t="shared" ca="1" si="96"/>
        <v>0</v>
      </c>
      <c r="TE14" s="34">
        <f t="shared" ca="1" si="96"/>
        <v>0</v>
      </c>
      <c r="TF14" s="34">
        <f t="shared" ca="1" si="96"/>
        <v>0</v>
      </c>
      <c r="TG14" s="34">
        <f t="shared" ca="1" si="97"/>
        <v>0</v>
      </c>
      <c r="TH14" s="34">
        <f t="shared" ca="1" si="97"/>
        <v>0</v>
      </c>
      <c r="TI14" s="34">
        <f t="shared" ca="1" si="97"/>
        <v>0</v>
      </c>
      <c r="TJ14" s="34">
        <f t="shared" ca="1" si="97"/>
        <v>0</v>
      </c>
      <c r="TK14" s="34">
        <f t="shared" ca="1" si="97"/>
        <v>0</v>
      </c>
      <c r="TL14" s="34">
        <f t="shared" ca="1" si="97"/>
        <v>0</v>
      </c>
      <c r="TM14" s="34">
        <f t="shared" ca="1" si="97"/>
        <v>0</v>
      </c>
      <c r="TN14" s="34">
        <f t="shared" ca="1" si="97"/>
        <v>0</v>
      </c>
      <c r="TO14" s="34">
        <f t="shared" ca="1" si="97"/>
        <v>0</v>
      </c>
      <c r="TP14" s="34">
        <f t="shared" ca="1" si="97"/>
        <v>0</v>
      </c>
      <c r="TQ14" s="34">
        <f t="shared" ca="1" si="98"/>
        <v>0</v>
      </c>
      <c r="TR14" s="34">
        <f t="shared" ca="1" si="98"/>
        <v>0</v>
      </c>
      <c r="TS14" s="34">
        <f t="shared" ca="1" si="98"/>
        <v>0</v>
      </c>
      <c r="TT14" s="34">
        <f t="shared" ca="1" si="98"/>
        <v>0</v>
      </c>
      <c r="TU14" s="34">
        <f t="shared" ca="1" si="98"/>
        <v>0</v>
      </c>
      <c r="TV14" s="34">
        <f t="shared" ca="1" si="98"/>
        <v>0</v>
      </c>
      <c r="TW14" s="34">
        <f t="shared" ca="1" si="98"/>
        <v>0</v>
      </c>
      <c r="TX14" s="34">
        <f t="shared" ca="1" si="98"/>
        <v>0</v>
      </c>
      <c r="TY14" s="34">
        <f t="shared" ca="1" si="98"/>
        <v>0</v>
      </c>
      <c r="TZ14" s="34">
        <f t="shared" ca="1" si="98"/>
        <v>0</v>
      </c>
      <c r="UA14" s="34">
        <f t="shared" ca="1" si="99"/>
        <v>0</v>
      </c>
      <c r="UB14" s="34">
        <f t="shared" ca="1" si="99"/>
        <v>0</v>
      </c>
      <c r="UC14" s="34">
        <f t="shared" ca="1" si="99"/>
        <v>0</v>
      </c>
      <c r="UD14" s="34">
        <f t="shared" ca="1" si="99"/>
        <v>0</v>
      </c>
      <c r="UE14" s="34">
        <f t="shared" ca="1" si="99"/>
        <v>0</v>
      </c>
      <c r="UF14" s="34">
        <f t="shared" ca="1" si="99"/>
        <v>0</v>
      </c>
      <c r="UG14" s="34">
        <f t="shared" ca="1" si="99"/>
        <v>0</v>
      </c>
      <c r="UH14" s="34">
        <f t="shared" ca="1" si="99"/>
        <v>0</v>
      </c>
      <c r="UI14" s="34">
        <f t="shared" ca="1" si="99"/>
        <v>0</v>
      </c>
      <c r="UJ14" s="34">
        <f t="shared" ca="1" si="99"/>
        <v>0</v>
      </c>
      <c r="UK14" s="34">
        <f t="shared" ca="1" si="100"/>
        <v>0</v>
      </c>
      <c r="UL14" s="34">
        <f t="shared" ca="1" si="100"/>
        <v>0</v>
      </c>
      <c r="UM14" s="34">
        <f t="shared" ca="1" si="100"/>
        <v>0</v>
      </c>
      <c r="UN14" s="34">
        <f t="shared" ca="1" si="100"/>
        <v>0</v>
      </c>
      <c r="UO14" s="34">
        <f t="shared" ca="1" si="100"/>
        <v>0</v>
      </c>
      <c r="UP14" s="34">
        <f t="shared" ca="1" si="100"/>
        <v>0</v>
      </c>
      <c r="UQ14" s="34">
        <f t="shared" ca="1" si="100"/>
        <v>0</v>
      </c>
      <c r="UR14" s="34">
        <f t="shared" ca="1" si="100"/>
        <v>0</v>
      </c>
      <c r="US14" s="34">
        <f t="shared" ca="1" si="100"/>
        <v>0</v>
      </c>
      <c r="UT14" s="34">
        <f t="shared" ca="1" si="100"/>
        <v>0</v>
      </c>
      <c r="UU14" s="34">
        <f t="shared" ca="1" si="101"/>
        <v>0</v>
      </c>
      <c r="UV14" s="34">
        <f t="shared" ca="1" si="101"/>
        <v>0</v>
      </c>
      <c r="UW14" s="34">
        <f t="shared" ca="1" si="101"/>
        <v>0</v>
      </c>
      <c r="UX14" s="34">
        <f t="shared" ca="1" si="101"/>
        <v>0</v>
      </c>
      <c r="UY14" s="34">
        <f t="shared" ca="1" si="101"/>
        <v>0</v>
      </c>
      <c r="UZ14" s="34">
        <f t="shared" ca="1" si="101"/>
        <v>0</v>
      </c>
      <c r="VA14" s="34">
        <f t="shared" ca="1" si="101"/>
        <v>0</v>
      </c>
      <c r="VB14" s="34">
        <f t="shared" ca="1" si="101"/>
        <v>0</v>
      </c>
      <c r="VC14" s="34">
        <f t="shared" ca="1" si="101"/>
        <v>0</v>
      </c>
      <c r="VD14" s="34">
        <f t="shared" ca="1" si="101"/>
        <v>0</v>
      </c>
      <c r="VE14" s="34">
        <f t="shared" ca="1" si="102"/>
        <v>0</v>
      </c>
      <c r="VF14" s="34">
        <f t="shared" ca="1" si="102"/>
        <v>0</v>
      </c>
      <c r="VG14" s="34">
        <f t="shared" ca="1" si="102"/>
        <v>0</v>
      </c>
      <c r="VH14" s="34">
        <f t="shared" ca="1" si="102"/>
        <v>0</v>
      </c>
      <c r="VI14" s="34">
        <f t="shared" ca="1" si="102"/>
        <v>0</v>
      </c>
      <c r="VJ14" s="34">
        <f t="shared" ca="1" si="102"/>
        <v>0</v>
      </c>
      <c r="VK14" s="34">
        <f t="shared" ca="1" si="102"/>
        <v>0</v>
      </c>
      <c r="VL14" s="34">
        <f t="shared" ca="1" si="102"/>
        <v>0</v>
      </c>
      <c r="VM14" s="34">
        <f t="shared" ca="1" si="102"/>
        <v>0</v>
      </c>
      <c r="VN14" s="34">
        <f t="shared" ca="1" si="102"/>
        <v>0</v>
      </c>
      <c r="VO14" s="34">
        <f t="shared" ca="1" si="103"/>
        <v>0</v>
      </c>
      <c r="VP14" s="34">
        <f t="shared" ca="1" si="103"/>
        <v>0</v>
      </c>
      <c r="VQ14" s="34">
        <f t="shared" ca="1" si="103"/>
        <v>0</v>
      </c>
      <c r="VR14" s="34">
        <f t="shared" ca="1" si="103"/>
        <v>0</v>
      </c>
      <c r="VS14" s="34">
        <f t="shared" ca="1" si="103"/>
        <v>0</v>
      </c>
      <c r="VT14" s="34">
        <f t="shared" ca="1" si="103"/>
        <v>0</v>
      </c>
      <c r="VU14" s="34">
        <f t="shared" ca="1" si="103"/>
        <v>0</v>
      </c>
      <c r="VV14" s="34">
        <f t="shared" ca="1" si="103"/>
        <v>0</v>
      </c>
      <c r="VW14" s="34">
        <f t="shared" ca="1" si="103"/>
        <v>0</v>
      </c>
      <c r="VX14" s="34">
        <f t="shared" ca="1" si="103"/>
        <v>0</v>
      </c>
      <c r="VY14" s="34">
        <f t="shared" ca="1" si="104"/>
        <v>0</v>
      </c>
      <c r="VZ14" s="34">
        <f t="shared" ca="1" si="104"/>
        <v>0</v>
      </c>
      <c r="WA14" s="34">
        <f t="shared" ca="1" si="104"/>
        <v>0</v>
      </c>
      <c r="WB14" s="34">
        <f t="shared" ca="1" si="104"/>
        <v>0</v>
      </c>
      <c r="WC14" s="34">
        <f t="shared" ca="1" si="104"/>
        <v>0</v>
      </c>
      <c r="WD14" s="34">
        <f t="shared" ca="1" si="104"/>
        <v>0</v>
      </c>
      <c r="WE14" s="34">
        <f t="shared" ca="1" si="104"/>
        <v>0</v>
      </c>
      <c r="WF14" s="34">
        <f t="shared" ca="1" si="104"/>
        <v>0</v>
      </c>
      <c r="WG14" s="34">
        <f t="shared" ca="1" si="104"/>
        <v>0</v>
      </c>
      <c r="WH14" s="34">
        <f t="shared" ca="1" si="104"/>
        <v>0</v>
      </c>
      <c r="WI14" s="34">
        <f t="shared" ca="1" si="105"/>
        <v>0</v>
      </c>
      <c r="WJ14" s="34">
        <f t="shared" ca="1" si="105"/>
        <v>0</v>
      </c>
      <c r="WK14" s="34">
        <f t="shared" ca="1" si="105"/>
        <v>0</v>
      </c>
      <c r="WL14" s="34">
        <f t="shared" ca="1" si="105"/>
        <v>0</v>
      </c>
      <c r="WM14" s="34">
        <f t="shared" ca="1" si="105"/>
        <v>0</v>
      </c>
      <c r="WN14" s="34">
        <f t="shared" ca="1" si="105"/>
        <v>0</v>
      </c>
      <c r="WO14" s="34">
        <f t="shared" ca="1" si="105"/>
        <v>0</v>
      </c>
      <c r="WP14" s="34">
        <f t="shared" ca="1" si="105"/>
        <v>0</v>
      </c>
      <c r="WQ14" s="34">
        <f t="shared" ca="1" si="105"/>
        <v>0</v>
      </c>
      <c r="WR14" s="34">
        <f t="shared" ca="1" si="105"/>
        <v>0</v>
      </c>
      <c r="WS14" s="34">
        <f t="shared" ca="1" si="106"/>
        <v>0</v>
      </c>
      <c r="WT14" s="34">
        <f t="shared" ca="1" si="106"/>
        <v>0</v>
      </c>
      <c r="WU14" s="34">
        <f t="shared" ca="1" si="106"/>
        <v>0</v>
      </c>
      <c r="WV14" s="34">
        <f t="shared" ca="1" si="106"/>
        <v>0</v>
      </c>
      <c r="WW14" s="34">
        <f t="shared" ca="1" si="106"/>
        <v>0</v>
      </c>
      <c r="WX14" s="34">
        <f t="shared" ca="1" si="106"/>
        <v>0</v>
      </c>
      <c r="WY14" s="34">
        <f t="shared" ca="1" si="106"/>
        <v>0</v>
      </c>
      <c r="WZ14" s="34">
        <f t="shared" ca="1" si="106"/>
        <v>0</v>
      </c>
      <c r="XA14" s="34">
        <f t="shared" ca="1" si="106"/>
        <v>0</v>
      </c>
      <c r="XB14" s="34">
        <f t="shared" ca="1" si="106"/>
        <v>0</v>
      </c>
      <c r="XC14" s="34">
        <f t="shared" ca="1" si="107"/>
        <v>0</v>
      </c>
      <c r="XD14" s="34">
        <f t="shared" ca="1" si="107"/>
        <v>0</v>
      </c>
      <c r="XE14" s="34">
        <f t="shared" ca="1" si="107"/>
        <v>0</v>
      </c>
      <c r="XF14" s="34">
        <f t="shared" ca="1" si="107"/>
        <v>0</v>
      </c>
      <c r="XG14" s="34">
        <f t="shared" ca="1" si="107"/>
        <v>0</v>
      </c>
      <c r="XH14" s="34">
        <f t="shared" ca="1" si="107"/>
        <v>0</v>
      </c>
      <c r="XI14" s="34">
        <f t="shared" ca="1" si="107"/>
        <v>0</v>
      </c>
      <c r="XJ14" s="34">
        <f t="shared" ca="1" si="107"/>
        <v>0</v>
      </c>
      <c r="XK14" s="34">
        <f t="shared" ca="1" si="107"/>
        <v>0</v>
      </c>
      <c r="XL14" s="34">
        <f t="shared" ca="1" si="107"/>
        <v>0</v>
      </c>
      <c r="XM14" s="34">
        <f t="shared" ca="1" si="108"/>
        <v>0</v>
      </c>
      <c r="XN14" s="34">
        <f t="shared" ca="1" si="108"/>
        <v>0</v>
      </c>
      <c r="XO14" s="34">
        <f t="shared" ca="1" si="108"/>
        <v>0</v>
      </c>
      <c r="XP14" s="34">
        <f t="shared" ca="1" si="108"/>
        <v>0</v>
      </c>
      <c r="XQ14" s="34">
        <f t="shared" ca="1" si="108"/>
        <v>0</v>
      </c>
      <c r="XR14" s="34">
        <f t="shared" ca="1" si="108"/>
        <v>0</v>
      </c>
      <c r="XS14" s="34">
        <f t="shared" ca="1" si="108"/>
        <v>0</v>
      </c>
      <c r="XT14" s="34">
        <f t="shared" ca="1" si="108"/>
        <v>0</v>
      </c>
      <c r="XU14" s="34">
        <f t="shared" ca="1" si="108"/>
        <v>0</v>
      </c>
      <c r="XV14" s="34">
        <f t="shared" ca="1" si="108"/>
        <v>0</v>
      </c>
      <c r="XW14" s="34">
        <f t="shared" ca="1" si="109"/>
        <v>0</v>
      </c>
      <c r="XX14" s="34">
        <f t="shared" ca="1" si="109"/>
        <v>0</v>
      </c>
      <c r="XY14" s="34">
        <f t="shared" ca="1" si="109"/>
        <v>0</v>
      </c>
      <c r="XZ14" s="34">
        <f t="shared" ca="1" si="109"/>
        <v>0</v>
      </c>
      <c r="YA14" s="34">
        <f t="shared" ca="1" si="109"/>
        <v>0</v>
      </c>
      <c r="YB14" s="34">
        <f t="shared" ca="1" si="109"/>
        <v>0</v>
      </c>
      <c r="YC14" s="34">
        <f t="shared" ca="1" si="109"/>
        <v>0</v>
      </c>
      <c r="YD14" s="34">
        <f t="shared" ca="1" si="109"/>
        <v>0</v>
      </c>
      <c r="YE14" s="34">
        <f t="shared" ca="1" si="109"/>
        <v>0</v>
      </c>
      <c r="YF14" s="34">
        <f t="shared" ca="1" si="109"/>
        <v>0</v>
      </c>
      <c r="YG14" s="34">
        <f t="shared" ca="1" si="110"/>
        <v>0</v>
      </c>
      <c r="YH14" s="34">
        <f t="shared" ca="1" si="110"/>
        <v>0</v>
      </c>
      <c r="YI14" s="34">
        <f t="shared" ca="1" si="110"/>
        <v>0</v>
      </c>
      <c r="YJ14" s="34">
        <f t="shared" ca="1" si="110"/>
        <v>0</v>
      </c>
      <c r="YK14" s="34">
        <f t="shared" ca="1" si="110"/>
        <v>0</v>
      </c>
      <c r="YL14" s="34">
        <f t="shared" ca="1" si="110"/>
        <v>0</v>
      </c>
      <c r="YM14" s="34">
        <f t="shared" ca="1" si="110"/>
        <v>0</v>
      </c>
      <c r="YN14" s="34">
        <f t="shared" ca="1" si="110"/>
        <v>0</v>
      </c>
      <c r="YO14" s="34">
        <f t="shared" ca="1" si="110"/>
        <v>0</v>
      </c>
      <c r="YP14" s="34">
        <f t="shared" ca="1" si="110"/>
        <v>0</v>
      </c>
      <c r="YQ14" s="34">
        <f t="shared" ca="1" si="111"/>
        <v>0</v>
      </c>
      <c r="YR14" s="34">
        <f t="shared" ca="1" si="111"/>
        <v>0</v>
      </c>
      <c r="YS14" s="34">
        <f t="shared" ca="1" si="111"/>
        <v>0</v>
      </c>
      <c r="YT14" s="34">
        <f t="shared" ca="1" si="111"/>
        <v>0</v>
      </c>
      <c r="YU14" s="34">
        <f t="shared" ca="1" si="111"/>
        <v>0</v>
      </c>
      <c r="YV14" s="34">
        <f t="shared" ca="1" si="111"/>
        <v>0</v>
      </c>
      <c r="YW14" s="34">
        <f t="shared" ca="1" si="111"/>
        <v>0</v>
      </c>
      <c r="YX14" s="34">
        <f t="shared" ca="1" si="111"/>
        <v>0</v>
      </c>
      <c r="YY14" s="34">
        <f t="shared" ca="1" si="111"/>
        <v>0</v>
      </c>
      <c r="YZ14" s="34">
        <f t="shared" ca="1" si="111"/>
        <v>0</v>
      </c>
      <c r="ZA14" s="34">
        <f t="shared" ca="1" si="112"/>
        <v>0</v>
      </c>
      <c r="ZB14" s="34">
        <f t="shared" ca="1" si="112"/>
        <v>0</v>
      </c>
      <c r="ZC14" s="34">
        <f t="shared" ca="1" si="112"/>
        <v>0</v>
      </c>
      <c r="ZD14" s="34">
        <f t="shared" ca="1" si="112"/>
        <v>0</v>
      </c>
      <c r="ZE14" s="34">
        <f t="shared" ca="1" si="112"/>
        <v>0</v>
      </c>
      <c r="ZF14" s="34">
        <f t="shared" ca="1" si="112"/>
        <v>0</v>
      </c>
      <c r="ZG14" s="34">
        <f t="shared" ca="1" si="112"/>
        <v>0</v>
      </c>
      <c r="ZH14" s="34">
        <f t="shared" ca="1" si="112"/>
        <v>0</v>
      </c>
      <c r="ZI14" s="34">
        <f t="shared" ca="1" si="112"/>
        <v>0</v>
      </c>
      <c r="ZJ14" s="34">
        <f t="shared" ca="1" si="112"/>
        <v>0</v>
      </c>
      <c r="ZK14" s="34">
        <f t="shared" ca="1" si="113"/>
        <v>0</v>
      </c>
      <c r="ZL14" s="34">
        <f t="shared" ca="1" si="113"/>
        <v>0</v>
      </c>
      <c r="ZM14" s="34">
        <f t="shared" ca="1" si="113"/>
        <v>0</v>
      </c>
      <c r="ZN14" s="34">
        <f t="shared" ca="1" si="113"/>
        <v>0</v>
      </c>
      <c r="ZO14" s="34">
        <f t="shared" ca="1" si="113"/>
        <v>0</v>
      </c>
      <c r="ZP14" s="34">
        <f t="shared" ca="1" si="113"/>
        <v>0</v>
      </c>
      <c r="ZQ14" s="34">
        <f t="shared" ca="1" si="113"/>
        <v>0</v>
      </c>
      <c r="ZR14" s="34">
        <f t="shared" ca="1" si="113"/>
        <v>0</v>
      </c>
      <c r="ZS14" s="34">
        <f t="shared" ca="1" si="113"/>
        <v>0</v>
      </c>
      <c r="ZT14" s="34">
        <f t="shared" ca="1" si="113"/>
        <v>0</v>
      </c>
      <c r="ZU14" s="34">
        <f t="shared" ca="1" si="114"/>
        <v>0</v>
      </c>
      <c r="ZV14" s="34">
        <f t="shared" ca="1" si="114"/>
        <v>0</v>
      </c>
      <c r="ZW14" s="34">
        <f t="shared" ca="1" si="114"/>
        <v>0</v>
      </c>
      <c r="ZX14" s="34">
        <f t="shared" ca="1" si="114"/>
        <v>0</v>
      </c>
      <c r="ZY14" s="34">
        <f t="shared" ca="1" si="114"/>
        <v>0</v>
      </c>
      <c r="ZZ14" s="34">
        <f t="shared" ca="1" si="114"/>
        <v>0</v>
      </c>
      <c r="AAA14" s="34">
        <f t="shared" ca="1" si="114"/>
        <v>0</v>
      </c>
      <c r="AAB14" s="34">
        <f t="shared" ca="1" si="114"/>
        <v>0</v>
      </c>
      <c r="AAC14" s="34">
        <f t="shared" ca="1" si="114"/>
        <v>0</v>
      </c>
      <c r="AAD14" s="34">
        <f t="shared" ca="1" si="114"/>
        <v>0</v>
      </c>
      <c r="AAE14" s="34">
        <f t="shared" ca="1" si="115"/>
        <v>0</v>
      </c>
      <c r="AAF14" s="34">
        <f t="shared" ca="1" si="115"/>
        <v>0</v>
      </c>
      <c r="AAG14" s="34">
        <f t="shared" ca="1" si="115"/>
        <v>0</v>
      </c>
      <c r="AAH14" s="34">
        <f t="shared" ca="1" si="115"/>
        <v>0</v>
      </c>
      <c r="AAI14" s="34">
        <f t="shared" ca="1" si="115"/>
        <v>0</v>
      </c>
      <c r="AAJ14" s="34">
        <f t="shared" ca="1" si="115"/>
        <v>0</v>
      </c>
      <c r="AAK14" s="34">
        <f t="shared" ca="1" si="115"/>
        <v>0</v>
      </c>
      <c r="AAL14" s="34">
        <f t="shared" ca="1" si="115"/>
        <v>0</v>
      </c>
      <c r="AAM14" s="34">
        <f t="shared" ca="1" si="115"/>
        <v>0</v>
      </c>
      <c r="AAN14" s="34">
        <f t="shared" ca="1" si="115"/>
        <v>0</v>
      </c>
      <c r="AAO14" s="34">
        <f t="shared" ca="1" si="116"/>
        <v>0</v>
      </c>
      <c r="AAP14" s="34">
        <f t="shared" ca="1" si="116"/>
        <v>0</v>
      </c>
      <c r="AAQ14" s="34">
        <f t="shared" ca="1" si="116"/>
        <v>0</v>
      </c>
      <c r="AAR14" s="34">
        <f t="shared" ca="1" si="116"/>
        <v>0</v>
      </c>
      <c r="AAS14" s="34">
        <f t="shared" ca="1" si="116"/>
        <v>0</v>
      </c>
      <c r="AAT14" s="34">
        <f t="shared" ca="1" si="116"/>
        <v>0</v>
      </c>
      <c r="AAU14" s="34">
        <f t="shared" ca="1" si="116"/>
        <v>0</v>
      </c>
      <c r="AAV14" s="34">
        <f t="shared" ca="1" si="116"/>
        <v>0</v>
      </c>
      <c r="AAW14" s="34">
        <f t="shared" ca="1" si="116"/>
        <v>0</v>
      </c>
      <c r="AAX14" s="34">
        <f t="shared" ca="1" si="116"/>
        <v>0</v>
      </c>
      <c r="AAY14" s="34">
        <f t="shared" ca="1" si="117"/>
        <v>0</v>
      </c>
      <c r="AAZ14" s="34">
        <f t="shared" ca="1" si="117"/>
        <v>0</v>
      </c>
      <c r="ABA14" s="34">
        <f t="shared" ca="1" si="117"/>
        <v>0</v>
      </c>
      <c r="ABB14" s="34">
        <f t="shared" ca="1" si="117"/>
        <v>0</v>
      </c>
      <c r="ABC14" s="34">
        <f t="shared" ca="1" si="117"/>
        <v>0</v>
      </c>
      <c r="ABD14" s="34">
        <f t="shared" ca="1" si="117"/>
        <v>0</v>
      </c>
      <c r="ABE14" s="34">
        <f t="shared" ca="1" si="117"/>
        <v>0</v>
      </c>
      <c r="ABF14" s="34">
        <f t="shared" ca="1" si="117"/>
        <v>0</v>
      </c>
      <c r="ABG14" s="34">
        <f t="shared" ca="1" si="117"/>
        <v>0</v>
      </c>
      <c r="ABH14" s="34">
        <f t="shared" ca="1" si="117"/>
        <v>0</v>
      </c>
      <c r="ABI14" s="34">
        <f t="shared" ca="1" si="118"/>
        <v>0</v>
      </c>
      <c r="ABJ14" s="34">
        <f t="shared" ca="1" si="118"/>
        <v>0</v>
      </c>
      <c r="ABK14" s="34">
        <f t="shared" ca="1" si="118"/>
        <v>0</v>
      </c>
      <c r="ABL14" s="34">
        <f t="shared" ca="1" si="118"/>
        <v>0</v>
      </c>
      <c r="ABM14" s="34">
        <f t="shared" ca="1" si="118"/>
        <v>0</v>
      </c>
      <c r="ABN14" s="34">
        <f t="shared" ca="1" si="118"/>
        <v>0</v>
      </c>
      <c r="ABO14" s="34">
        <f t="shared" ca="1" si="118"/>
        <v>0</v>
      </c>
      <c r="ABP14" s="34">
        <f t="shared" ca="1" si="118"/>
        <v>0</v>
      </c>
      <c r="ABQ14" s="34">
        <f t="shared" ca="1" si="118"/>
        <v>0</v>
      </c>
      <c r="ABR14" s="34">
        <f t="shared" ca="1" si="118"/>
        <v>0</v>
      </c>
      <c r="ABS14" s="34">
        <f t="shared" ca="1" si="119"/>
        <v>0</v>
      </c>
      <c r="ABT14" s="34">
        <f t="shared" ca="1" si="119"/>
        <v>0</v>
      </c>
      <c r="ABU14" s="34">
        <f t="shared" ca="1" si="119"/>
        <v>0</v>
      </c>
      <c r="ABV14" s="34">
        <f t="shared" ca="1" si="119"/>
        <v>0</v>
      </c>
      <c r="ABW14" s="34">
        <f t="shared" ca="1" si="119"/>
        <v>0</v>
      </c>
      <c r="ABX14" s="34">
        <f t="shared" ca="1" si="119"/>
        <v>0</v>
      </c>
      <c r="ABY14" s="34">
        <f t="shared" ca="1" si="119"/>
        <v>0</v>
      </c>
      <c r="ABZ14" s="34">
        <f t="shared" ca="1" si="119"/>
        <v>0</v>
      </c>
      <c r="ACA14" s="34">
        <f t="shared" ca="1" si="119"/>
        <v>0</v>
      </c>
      <c r="ACB14" s="34">
        <f t="shared" ca="1" si="119"/>
        <v>0</v>
      </c>
      <c r="ACC14" s="34">
        <f t="shared" ca="1" si="120"/>
        <v>0</v>
      </c>
      <c r="ACD14" s="34">
        <f t="shared" ca="1" si="120"/>
        <v>0</v>
      </c>
      <c r="ACE14" s="34">
        <f t="shared" ca="1" si="120"/>
        <v>0</v>
      </c>
      <c r="ACF14" s="34">
        <f t="shared" ca="1" si="120"/>
        <v>0</v>
      </c>
      <c r="ACG14" s="34">
        <f t="shared" ca="1" si="120"/>
        <v>0</v>
      </c>
      <c r="ACH14" s="34">
        <f t="shared" ca="1" si="120"/>
        <v>0</v>
      </c>
      <c r="ACI14" s="34">
        <f t="shared" ca="1" si="120"/>
        <v>0</v>
      </c>
      <c r="ACJ14" s="34">
        <f t="shared" ca="1" si="120"/>
        <v>0</v>
      </c>
      <c r="ACK14" s="34">
        <f t="shared" ca="1" si="120"/>
        <v>0</v>
      </c>
      <c r="ACL14" s="34">
        <f t="shared" ca="1" si="120"/>
        <v>0</v>
      </c>
      <c r="ACM14" s="34">
        <f t="shared" ca="1" si="121"/>
        <v>0</v>
      </c>
      <c r="ACN14" s="34">
        <f t="shared" ca="1" si="121"/>
        <v>0</v>
      </c>
      <c r="ACO14" s="34">
        <f t="shared" ca="1" si="121"/>
        <v>0</v>
      </c>
      <c r="ACP14" s="34">
        <f t="shared" ca="1" si="121"/>
        <v>0</v>
      </c>
      <c r="ACQ14" s="34">
        <f t="shared" ca="1" si="121"/>
        <v>0</v>
      </c>
      <c r="ACR14" s="34">
        <f t="shared" ca="1" si="121"/>
        <v>0</v>
      </c>
      <c r="ACS14" s="34">
        <f t="shared" ca="1" si="121"/>
        <v>0</v>
      </c>
      <c r="ACT14" s="34">
        <f t="shared" ca="1" si="121"/>
        <v>0</v>
      </c>
      <c r="ACU14" s="34">
        <f t="shared" ca="1" si="121"/>
        <v>0</v>
      </c>
      <c r="ACV14" s="34">
        <f t="shared" ca="1" si="121"/>
        <v>0</v>
      </c>
      <c r="ACW14" s="34">
        <f t="shared" ca="1" si="122"/>
        <v>0</v>
      </c>
      <c r="ACX14" s="34">
        <f t="shared" ca="1" si="122"/>
        <v>0</v>
      </c>
      <c r="ACY14" s="34">
        <f t="shared" ca="1" si="122"/>
        <v>0</v>
      </c>
      <c r="ACZ14" s="34">
        <f t="shared" ca="1" si="122"/>
        <v>0</v>
      </c>
      <c r="ADA14" s="34">
        <f t="shared" ca="1" si="122"/>
        <v>0</v>
      </c>
      <c r="ADB14" s="34">
        <f t="shared" ca="1" si="122"/>
        <v>0</v>
      </c>
      <c r="ADC14" s="34">
        <f t="shared" ca="1" si="122"/>
        <v>0</v>
      </c>
      <c r="ADD14" s="34">
        <f t="shared" ca="1" si="122"/>
        <v>0</v>
      </c>
      <c r="ADE14" s="34">
        <f t="shared" ca="1" si="122"/>
        <v>0</v>
      </c>
      <c r="ADF14" s="34">
        <f t="shared" ca="1" si="122"/>
        <v>0</v>
      </c>
      <c r="ADG14" s="34">
        <f t="shared" ca="1" si="123"/>
        <v>0</v>
      </c>
      <c r="ADH14" s="34">
        <f t="shared" ca="1" si="123"/>
        <v>0</v>
      </c>
      <c r="ADI14" s="34">
        <f t="shared" ca="1" si="123"/>
        <v>0</v>
      </c>
      <c r="ADJ14" s="34">
        <f t="shared" ca="1" si="123"/>
        <v>0</v>
      </c>
      <c r="ADK14" s="34">
        <f t="shared" ca="1" si="123"/>
        <v>0</v>
      </c>
      <c r="ADL14" s="34">
        <f t="shared" ca="1" si="123"/>
        <v>0</v>
      </c>
      <c r="ADM14" s="34">
        <f t="shared" ca="1" si="123"/>
        <v>0</v>
      </c>
      <c r="ADN14" s="34">
        <f t="shared" ca="1" si="123"/>
        <v>0</v>
      </c>
      <c r="ADO14" s="34">
        <f t="shared" ca="1" si="123"/>
        <v>0</v>
      </c>
      <c r="ADP14" s="34">
        <f t="shared" ca="1" si="123"/>
        <v>0</v>
      </c>
      <c r="ADQ14" s="34">
        <f t="shared" ca="1" si="124"/>
        <v>0</v>
      </c>
      <c r="ADR14" s="34">
        <f t="shared" ca="1" si="124"/>
        <v>0</v>
      </c>
      <c r="ADS14" s="34">
        <f t="shared" ca="1" si="124"/>
        <v>0</v>
      </c>
      <c r="ADT14" s="34">
        <f t="shared" ca="1" si="124"/>
        <v>0</v>
      </c>
      <c r="ADU14" s="34">
        <f t="shared" ca="1" si="124"/>
        <v>0</v>
      </c>
      <c r="ADV14" s="34">
        <f t="shared" ca="1" si="124"/>
        <v>0</v>
      </c>
      <c r="ADW14" s="34">
        <f t="shared" ca="1" si="124"/>
        <v>0</v>
      </c>
      <c r="ADX14" s="34">
        <f t="shared" ca="1" si="124"/>
        <v>0</v>
      </c>
      <c r="ADY14" s="34">
        <f t="shared" ca="1" si="124"/>
        <v>0</v>
      </c>
      <c r="ADZ14" s="34">
        <f t="shared" ca="1" si="124"/>
        <v>0</v>
      </c>
      <c r="AEA14" s="34">
        <f t="shared" ca="1" si="125"/>
        <v>0</v>
      </c>
      <c r="AEB14" s="34">
        <f t="shared" ca="1" si="125"/>
        <v>0</v>
      </c>
      <c r="AEC14" s="34">
        <f t="shared" ca="1" si="125"/>
        <v>0</v>
      </c>
      <c r="AED14" s="34">
        <f t="shared" ca="1" si="125"/>
        <v>0</v>
      </c>
      <c r="AEE14" s="34">
        <f t="shared" ca="1" si="125"/>
        <v>0</v>
      </c>
      <c r="AEF14" s="34">
        <f t="shared" ca="1" si="125"/>
        <v>0</v>
      </c>
      <c r="AEG14" s="34">
        <f t="shared" ca="1" si="125"/>
        <v>0</v>
      </c>
      <c r="AEH14" s="34">
        <f t="shared" ca="1" si="125"/>
        <v>0</v>
      </c>
      <c r="AEI14" s="34">
        <f t="shared" ca="1" si="125"/>
        <v>0</v>
      </c>
      <c r="AEJ14" s="34">
        <f t="shared" ca="1" si="125"/>
        <v>0</v>
      </c>
      <c r="AEK14" s="34">
        <f t="shared" ca="1" si="126"/>
        <v>0</v>
      </c>
      <c r="AEL14" s="34">
        <f t="shared" ca="1" si="126"/>
        <v>0</v>
      </c>
      <c r="AEM14" s="34">
        <f t="shared" ca="1" si="126"/>
        <v>0</v>
      </c>
      <c r="AEN14" s="34">
        <f t="shared" ca="1" si="126"/>
        <v>0</v>
      </c>
      <c r="AEO14" s="34">
        <f t="shared" ca="1" si="126"/>
        <v>0</v>
      </c>
      <c r="AEP14" s="34">
        <f t="shared" ca="1" si="126"/>
        <v>0</v>
      </c>
      <c r="AEQ14" s="34">
        <f t="shared" ca="1" si="126"/>
        <v>0</v>
      </c>
      <c r="AER14" s="34">
        <f t="shared" ca="1" si="126"/>
        <v>0</v>
      </c>
      <c r="AES14" s="34">
        <f t="shared" ca="1" si="126"/>
        <v>0</v>
      </c>
      <c r="AET14" s="34">
        <f t="shared" ca="1" si="126"/>
        <v>0</v>
      </c>
      <c r="AEU14" s="34">
        <f t="shared" ca="1" si="127"/>
        <v>0</v>
      </c>
      <c r="AEV14" s="34">
        <f t="shared" ca="1" si="127"/>
        <v>0</v>
      </c>
      <c r="AEW14" s="34">
        <f t="shared" ca="1" si="127"/>
        <v>0</v>
      </c>
      <c r="AEX14" s="34">
        <f t="shared" ca="1" si="127"/>
        <v>0</v>
      </c>
      <c r="AEY14" s="34">
        <f t="shared" ca="1" si="127"/>
        <v>0</v>
      </c>
      <c r="AEZ14" s="34">
        <f t="shared" ca="1" si="127"/>
        <v>0</v>
      </c>
      <c r="AFA14" s="34">
        <f t="shared" ca="1" si="127"/>
        <v>0</v>
      </c>
      <c r="AFB14" s="34">
        <f t="shared" ca="1" si="127"/>
        <v>0</v>
      </c>
      <c r="AFC14" s="34">
        <f t="shared" ca="1" si="127"/>
        <v>0</v>
      </c>
      <c r="AFD14" s="34">
        <f t="shared" ca="1" si="127"/>
        <v>0</v>
      </c>
      <c r="AFE14" s="34">
        <f t="shared" ca="1" si="128"/>
        <v>0</v>
      </c>
      <c r="AFF14" s="34">
        <f t="shared" ca="1" si="128"/>
        <v>0</v>
      </c>
      <c r="AFG14" s="34">
        <f t="shared" ca="1" si="128"/>
        <v>0</v>
      </c>
      <c r="AFH14" s="34">
        <f t="shared" ca="1" si="128"/>
        <v>0</v>
      </c>
      <c r="AFI14" s="34">
        <f t="shared" ca="1" si="128"/>
        <v>0</v>
      </c>
      <c r="AFJ14" s="34">
        <f t="shared" ca="1" si="128"/>
        <v>0</v>
      </c>
      <c r="AFK14" s="34">
        <f t="shared" ca="1" si="128"/>
        <v>0</v>
      </c>
      <c r="AFL14" s="34">
        <f t="shared" ca="1" si="128"/>
        <v>0</v>
      </c>
      <c r="AFM14" s="34">
        <f t="shared" ca="1" si="128"/>
        <v>0</v>
      </c>
      <c r="AFN14" s="34">
        <f t="shared" ca="1" si="128"/>
        <v>0</v>
      </c>
      <c r="AFO14" s="34">
        <f t="shared" ca="1" si="129"/>
        <v>0</v>
      </c>
      <c r="AFP14" s="34">
        <f t="shared" ca="1" si="129"/>
        <v>0</v>
      </c>
      <c r="AFQ14" s="34">
        <f t="shared" ca="1" si="129"/>
        <v>0</v>
      </c>
      <c r="AFR14" s="34">
        <f t="shared" ca="1" si="129"/>
        <v>0</v>
      </c>
      <c r="AFS14" s="34">
        <f t="shared" ca="1" si="129"/>
        <v>0</v>
      </c>
      <c r="AFT14" s="34">
        <f t="shared" ca="1" si="129"/>
        <v>0</v>
      </c>
      <c r="AFU14" s="34">
        <f t="shared" ca="1" si="129"/>
        <v>0</v>
      </c>
      <c r="AFV14" s="34">
        <f t="shared" ca="1" si="129"/>
        <v>0</v>
      </c>
      <c r="AFW14" s="34">
        <f t="shared" ca="1" si="129"/>
        <v>0</v>
      </c>
      <c r="AFX14" s="34">
        <f t="shared" ca="1" si="129"/>
        <v>0</v>
      </c>
      <c r="AFY14" s="34">
        <f t="shared" ca="1" si="130"/>
        <v>0</v>
      </c>
      <c r="AFZ14" s="34">
        <f t="shared" ca="1" si="130"/>
        <v>0</v>
      </c>
      <c r="AGA14" s="34">
        <f t="shared" ca="1" si="130"/>
        <v>0</v>
      </c>
      <c r="AGB14" s="34">
        <f t="shared" ca="1" si="130"/>
        <v>0</v>
      </c>
      <c r="AGC14" s="34">
        <f t="shared" ca="1" si="130"/>
        <v>0</v>
      </c>
      <c r="AGD14" s="34">
        <f t="shared" ca="1" si="130"/>
        <v>0</v>
      </c>
      <c r="AGE14" s="34">
        <f t="shared" ca="1" si="130"/>
        <v>0</v>
      </c>
      <c r="AGF14" s="34">
        <f t="shared" ca="1" si="130"/>
        <v>0</v>
      </c>
      <c r="AGG14" s="34">
        <f t="shared" ca="1" si="130"/>
        <v>0</v>
      </c>
      <c r="AGH14" s="34">
        <f t="shared" ca="1" si="130"/>
        <v>0</v>
      </c>
      <c r="AGI14" s="34">
        <f t="shared" ca="1" si="131"/>
        <v>0</v>
      </c>
      <c r="AGJ14" s="34">
        <f t="shared" ca="1" si="131"/>
        <v>0</v>
      </c>
      <c r="AGK14" s="34">
        <f t="shared" ca="1" si="131"/>
        <v>0</v>
      </c>
      <c r="AGL14" s="34">
        <f t="shared" ca="1" si="131"/>
        <v>0</v>
      </c>
      <c r="AGM14" s="34">
        <f t="shared" ca="1" si="131"/>
        <v>0</v>
      </c>
      <c r="AGN14" s="34">
        <f t="shared" ca="1" si="131"/>
        <v>0</v>
      </c>
      <c r="AGO14" s="34">
        <f t="shared" ca="1" si="131"/>
        <v>0</v>
      </c>
      <c r="AGP14" s="34">
        <f t="shared" ca="1" si="131"/>
        <v>0</v>
      </c>
      <c r="AGQ14" s="34">
        <f t="shared" ca="1" si="131"/>
        <v>0</v>
      </c>
      <c r="AGR14" s="34">
        <f t="shared" ca="1" si="131"/>
        <v>0</v>
      </c>
      <c r="AGS14" s="34">
        <f t="shared" ca="1" si="132"/>
        <v>0</v>
      </c>
      <c r="AGT14" s="34">
        <f t="shared" ca="1" si="132"/>
        <v>0</v>
      </c>
      <c r="AGU14" s="34">
        <f t="shared" ca="1" si="132"/>
        <v>0</v>
      </c>
      <c r="AGV14" s="34">
        <f t="shared" ca="1" si="132"/>
        <v>0</v>
      </c>
      <c r="AGW14" s="34">
        <f t="shared" ca="1" si="132"/>
        <v>0</v>
      </c>
      <c r="AGX14" s="34">
        <f t="shared" ca="1" si="132"/>
        <v>0</v>
      </c>
      <c r="AGY14" s="34">
        <f t="shared" ca="1" si="132"/>
        <v>0</v>
      </c>
      <c r="AGZ14" s="34">
        <f t="shared" ca="1" si="132"/>
        <v>0</v>
      </c>
      <c r="AHA14" s="34">
        <f t="shared" ca="1" si="132"/>
        <v>0</v>
      </c>
      <c r="AHB14" s="34">
        <f t="shared" ca="1" si="132"/>
        <v>0</v>
      </c>
      <c r="AHC14" s="34">
        <f t="shared" ca="1" si="133"/>
        <v>0</v>
      </c>
      <c r="AHD14" s="34">
        <f t="shared" ca="1" si="133"/>
        <v>0</v>
      </c>
      <c r="AHE14" s="34">
        <f t="shared" ca="1" si="133"/>
        <v>0</v>
      </c>
      <c r="AHF14" s="34">
        <f t="shared" ca="1" si="133"/>
        <v>0</v>
      </c>
      <c r="AHG14" s="34">
        <f t="shared" ca="1" si="133"/>
        <v>0</v>
      </c>
      <c r="AHH14" s="34">
        <f t="shared" ca="1" si="133"/>
        <v>0</v>
      </c>
      <c r="AHI14" s="34">
        <f t="shared" ca="1" si="133"/>
        <v>0</v>
      </c>
      <c r="AHJ14" s="34">
        <f t="shared" ca="1" si="133"/>
        <v>0</v>
      </c>
      <c r="AHK14" s="34">
        <f t="shared" ca="1" si="133"/>
        <v>0</v>
      </c>
      <c r="AHL14" s="34">
        <f t="shared" ca="1" si="133"/>
        <v>0</v>
      </c>
      <c r="AHM14" s="34">
        <f t="shared" ca="1" si="134"/>
        <v>0</v>
      </c>
      <c r="AHN14" s="34">
        <f t="shared" ca="1" si="134"/>
        <v>0</v>
      </c>
      <c r="AHO14" s="34">
        <f t="shared" ca="1" si="134"/>
        <v>0</v>
      </c>
      <c r="AHP14" s="34">
        <f t="shared" ca="1" si="134"/>
        <v>0</v>
      </c>
      <c r="AHQ14" s="34">
        <f t="shared" ca="1" si="134"/>
        <v>0</v>
      </c>
      <c r="AHR14" s="34">
        <f t="shared" ca="1" si="134"/>
        <v>0</v>
      </c>
      <c r="AHS14" s="34">
        <f t="shared" ca="1" si="134"/>
        <v>0</v>
      </c>
      <c r="AHT14" s="34">
        <f t="shared" ca="1" si="134"/>
        <v>0</v>
      </c>
      <c r="AHU14" s="34">
        <f t="shared" ca="1" si="134"/>
        <v>0</v>
      </c>
      <c r="AHV14" s="34">
        <f t="shared" ca="1" si="134"/>
        <v>0</v>
      </c>
      <c r="AHW14" s="34">
        <f t="shared" ca="1" si="135"/>
        <v>0</v>
      </c>
      <c r="AHX14" s="34">
        <f t="shared" ca="1" si="135"/>
        <v>0</v>
      </c>
      <c r="AHY14" s="34">
        <f t="shared" ca="1" si="135"/>
        <v>0</v>
      </c>
      <c r="AHZ14" s="34">
        <f t="shared" ca="1" si="135"/>
        <v>0</v>
      </c>
      <c r="AIA14" s="34">
        <f t="shared" ca="1" si="135"/>
        <v>0</v>
      </c>
      <c r="AIB14" s="34">
        <f t="shared" ca="1" si="135"/>
        <v>0</v>
      </c>
      <c r="AIC14" s="34">
        <f t="shared" ca="1" si="135"/>
        <v>0</v>
      </c>
      <c r="AID14" s="34">
        <f t="shared" ca="1" si="135"/>
        <v>0</v>
      </c>
      <c r="AIE14" s="34">
        <f t="shared" ca="1" si="135"/>
        <v>0</v>
      </c>
      <c r="AIF14" s="34">
        <f t="shared" ca="1" si="135"/>
        <v>0</v>
      </c>
      <c r="AIG14" s="34">
        <f t="shared" ca="1" si="136"/>
        <v>0</v>
      </c>
      <c r="AIH14" s="34">
        <f t="shared" ca="1" si="136"/>
        <v>0</v>
      </c>
      <c r="AII14" s="34">
        <f t="shared" ca="1" si="136"/>
        <v>0</v>
      </c>
      <c r="AIJ14" s="34">
        <f t="shared" ca="1" si="136"/>
        <v>0</v>
      </c>
      <c r="AIK14" s="34">
        <f t="shared" ca="1" si="136"/>
        <v>0</v>
      </c>
      <c r="AIL14" s="34">
        <f t="shared" ca="1" si="136"/>
        <v>0</v>
      </c>
      <c r="AIM14" s="34">
        <f t="shared" ca="1" si="136"/>
        <v>0</v>
      </c>
      <c r="AIN14" s="34">
        <f t="shared" ca="1" si="136"/>
        <v>0</v>
      </c>
      <c r="AIO14" s="34">
        <f t="shared" ca="1" si="136"/>
        <v>0</v>
      </c>
      <c r="AIP14" s="34">
        <f t="shared" ca="1" si="136"/>
        <v>0</v>
      </c>
      <c r="AIQ14" s="34">
        <f t="shared" ca="1" si="137"/>
        <v>0</v>
      </c>
      <c r="AIR14" s="34">
        <f t="shared" ca="1" si="137"/>
        <v>0</v>
      </c>
      <c r="AIS14" s="34">
        <f t="shared" ca="1" si="137"/>
        <v>0</v>
      </c>
      <c r="AIT14" s="34">
        <f t="shared" ca="1" si="137"/>
        <v>0</v>
      </c>
      <c r="AIU14" s="34">
        <f t="shared" ca="1" si="137"/>
        <v>0</v>
      </c>
      <c r="AIV14" s="34">
        <f t="shared" ca="1" si="137"/>
        <v>0</v>
      </c>
      <c r="AIW14" s="34">
        <f t="shared" ca="1" si="137"/>
        <v>0</v>
      </c>
      <c r="AIX14" s="34">
        <f t="shared" ca="1" si="137"/>
        <v>0</v>
      </c>
      <c r="AIY14" s="34">
        <f t="shared" ca="1" si="137"/>
        <v>0</v>
      </c>
      <c r="AIZ14" s="34">
        <f t="shared" ca="1" si="137"/>
        <v>0</v>
      </c>
      <c r="AJA14" s="34">
        <f t="shared" ca="1" si="138"/>
        <v>0</v>
      </c>
      <c r="AJB14" s="34">
        <f t="shared" ca="1" si="138"/>
        <v>0</v>
      </c>
      <c r="AJC14" s="34">
        <f t="shared" ca="1" si="138"/>
        <v>0</v>
      </c>
      <c r="AJD14" s="34">
        <f t="shared" ca="1" si="138"/>
        <v>0</v>
      </c>
      <c r="AJE14" s="34">
        <f t="shared" ca="1" si="138"/>
        <v>0</v>
      </c>
      <c r="AJF14" s="34">
        <f t="shared" ca="1" si="138"/>
        <v>0</v>
      </c>
      <c r="AJG14" s="34">
        <f t="shared" ca="1" si="138"/>
        <v>0</v>
      </c>
      <c r="AJH14" s="34">
        <f t="shared" ca="1" si="138"/>
        <v>0</v>
      </c>
      <c r="AJI14" s="34">
        <f t="shared" ca="1" si="138"/>
        <v>0</v>
      </c>
      <c r="AJJ14" s="34">
        <f t="shared" ca="1" si="138"/>
        <v>0</v>
      </c>
      <c r="AJK14" s="34">
        <f t="shared" ca="1" si="139"/>
        <v>0</v>
      </c>
      <c r="AJL14" s="34">
        <f t="shared" ca="1" si="139"/>
        <v>0</v>
      </c>
      <c r="AJM14" s="34">
        <f t="shared" ca="1" si="139"/>
        <v>0</v>
      </c>
      <c r="AJN14" s="34">
        <f t="shared" ca="1" si="139"/>
        <v>0</v>
      </c>
      <c r="AJO14" s="34">
        <f t="shared" ca="1" si="139"/>
        <v>0</v>
      </c>
      <c r="AJP14" s="34">
        <f t="shared" ca="1" si="139"/>
        <v>0</v>
      </c>
      <c r="AJQ14" s="34">
        <f t="shared" ca="1" si="139"/>
        <v>0</v>
      </c>
      <c r="AJR14" s="34">
        <f t="shared" ca="1" si="139"/>
        <v>0</v>
      </c>
      <c r="AJS14" s="34">
        <f t="shared" ca="1" si="139"/>
        <v>0</v>
      </c>
      <c r="AJT14" s="34">
        <f t="shared" ca="1" si="139"/>
        <v>0</v>
      </c>
      <c r="AJU14" s="34">
        <f t="shared" ca="1" si="140"/>
        <v>0</v>
      </c>
      <c r="AJV14" s="34">
        <f t="shared" ca="1" si="140"/>
        <v>0</v>
      </c>
      <c r="AJW14" s="34">
        <f t="shared" ca="1" si="140"/>
        <v>0</v>
      </c>
      <c r="AJX14" s="34">
        <f t="shared" ca="1" si="140"/>
        <v>0</v>
      </c>
      <c r="AJY14" s="34">
        <f t="shared" ca="1" si="140"/>
        <v>0</v>
      </c>
      <c r="AJZ14" s="34">
        <f t="shared" ca="1" si="140"/>
        <v>0</v>
      </c>
      <c r="AKA14" s="34">
        <f t="shared" ca="1" si="140"/>
        <v>0</v>
      </c>
      <c r="AKB14" s="34">
        <f t="shared" ca="1" si="140"/>
        <v>0</v>
      </c>
      <c r="AKC14" s="34">
        <f t="shared" ca="1" si="140"/>
        <v>0</v>
      </c>
      <c r="AKD14" s="34">
        <f t="shared" ca="1" si="140"/>
        <v>0</v>
      </c>
      <c r="AKE14" s="34">
        <f t="shared" ca="1" si="141"/>
        <v>0</v>
      </c>
      <c r="AKF14" s="34">
        <f t="shared" ca="1" si="141"/>
        <v>0</v>
      </c>
      <c r="AKG14" s="34">
        <f t="shared" ca="1" si="141"/>
        <v>0</v>
      </c>
      <c r="AKH14" s="34">
        <f t="shared" ca="1" si="141"/>
        <v>0</v>
      </c>
      <c r="AKI14" s="34">
        <f t="shared" ca="1" si="141"/>
        <v>0</v>
      </c>
      <c r="AKJ14" s="34">
        <f t="shared" ca="1" si="141"/>
        <v>0</v>
      </c>
      <c r="AKK14" s="34">
        <f t="shared" ca="1" si="141"/>
        <v>0</v>
      </c>
      <c r="AKL14" s="34">
        <f t="shared" ca="1" si="141"/>
        <v>0</v>
      </c>
      <c r="AKM14" s="34">
        <f t="shared" ca="1" si="141"/>
        <v>0</v>
      </c>
      <c r="AKN14" s="34">
        <f t="shared" ca="1" si="141"/>
        <v>0</v>
      </c>
      <c r="AKO14" s="34">
        <f t="shared" ca="1" si="141"/>
        <v>0</v>
      </c>
      <c r="AKP14" s="34">
        <f t="shared" ca="1" si="141"/>
        <v>0</v>
      </c>
      <c r="AKQ14" s="34">
        <f t="shared" ca="1" si="141"/>
        <v>0</v>
      </c>
      <c r="AKR14" s="34">
        <f t="shared" ca="1" si="141"/>
        <v>0</v>
      </c>
      <c r="AKS14" s="34">
        <f t="shared" ca="1" si="141"/>
        <v>0</v>
      </c>
      <c r="AKT14" s="34"/>
      <c r="AKU14" s="34"/>
      <c r="AKV14" s="34"/>
      <c r="AKW14" s="34"/>
      <c r="AKX14" s="34"/>
      <c r="AKY14" s="34"/>
      <c r="AKZ14" s="34"/>
      <c r="ALA14" s="34"/>
      <c r="ALB14" s="34"/>
      <c r="ALC14" s="34"/>
      <c r="ALD14" s="34"/>
      <c r="ALE14" s="34"/>
      <c r="ALF14" s="34"/>
      <c r="ALG14" s="33"/>
      <c r="ALH14" s="33"/>
      <c r="ALI14" s="33"/>
      <c r="ALJ14" s="33"/>
      <c r="ALK14" s="33"/>
      <c r="ALL14" s="33"/>
      <c r="ALM14" s="33"/>
      <c r="ALN14" s="33"/>
      <c r="ALO14" s="33"/>
      <c r="ALP14" s="33"/>
      <c r="ALQ14" s="33"/>
      <c r="ALR14" s="33"/>
      <c r="ALS14" s="33"/>
      <c r="ALT14" s="33"/>
      <c r="ALU14" s="33"/>
      <c r="ALV14" s="33"/>
      <c r="ALW14" s="33"/>
      <c r="ALX14" s="33"/>
      <c r="ALY14" s="33"/>
      <c r="ALZ14" s="33"/>
      <c r="AMA14" s="33"/>
      <c r="AMB14" s="33"/>
      <c r="AMC14" s="33"/>
      <c r="AMD14" s="33"/>
      <c r="AME14" s="33"/>
      <c r="AMF14" s="33"/>
      <c r="AMG14" s="33"/>
      <c r="AMH14" s="33"/>
      <c r="AMI14" s="33"/>
      <c r="AMJ14" s="33"/>
      <c r="AMK14" s="33"/>
      <c r="AML14" s="33"/>
      <c r="AMM14" s="33"/>
      <c r="AMN14" s="33"/>
      <c r="AMO14" s="33"/>
      <c r="AMP14" s="33"/>
      <c r="AMQ14" s="33"/>
      <c r="AMR14" s="33"/>
      <c r="AMS14" s="33"/>
      <c r="AMT14" s="33"/>
      <c r="AMU14" s="33"/>
      <c r="AMV14" s="33"/>
      <c r="AMW14" s="33"/>
      <c r="AMX14" s="33"/>
      <c r="AMY14" s="33"/>
      <c r="AMZ14" s="33"/>
      <c r="ANA14" s="33"/>
      <c r="ANB14" s="33"/>
      <c r="ANC14" s="33"/>
      <c r="AND14" s="33"/>
      <c r="ANE14" s="33"/>
      <c r="ANF14" s="33"/>
      <c r="ANG14" s="33"/>
      <c r="ANH14" s="33"/>
      <c r="ANI14" s="33"/>
      <c r="ANJ14" s="33"/>
      <c r="ANK14" s="33"/>
      <c r="ANL14" s="33"/>
      <c r="ANM14" s="33"/>
      <c r="ANN14" s="33"/>
      <c r="ANO14" s="33"/>
      <c r="ANP14" s="33"/>
      <c r="ANQ14" s="33"/>
      <c r="ANR14" s="33"/>
      <c r="ANS14" s="33"/>
      <c r="ANT14" s="33"/>
      <c r="ANU14" s="33"/>
      <c r="ANV14" s="33"/>
      <c r="ANW14" s="33"/>
      <c r="ANX14" s="33"/>
      <c r="ANY14" s="33"/>
      <c r="ANZ14" s="33"/>
      <c r="AOA14" s="33"/>
      <c r="AOB14" s="33"/>
      <c r="AOC14" s="33"/>
      <c r="AOD14" s="33"/>
      <c r="AOE14" s="33"/>
      <c r="AOF14" s="33"/>
      <c r="AOG14" s="33"/>
      <c r="AOH14" s="33"/>
      <c r="AOI14" s="33"/>
      <c r="AOJ14" s="33"/>
      <c r="AOK14" s="33"/>
      <c r="AOL14" s="33"/>
      <c r="AOM14" s="33"/>
      <c r="AON14" s="33"/>
      <c r="AOO14" s="33"/>
      <c r="AOP14" s="33"/>
      <c r="AOQ14" s="33"/>
      <c r="AOR14" s="33"/>
      <c r="AOS14" s="33"/>
      <c r="AOT14" s="33"/>
      <c r="AOU14" s="33"/>
      <c r="AOV14" s="33"/>
      <c r="AOW14" s="33"/>
      <c r="AOX14" s="33"/>
      <c r="AOY14" s="33"/>
      <c r="AOZ14" s="33"/>
      <c r="APA14" s="33"/>
      <c r="APB14" s="33"/>
      <c r="APC14" s="33"/>
      <c r="APD14" s="33"/>
      <c r="APE14" s="33"/>
      <c r="APF14" s="33"/>
      <c r="APG14" s="33"/>
      <c r="APH14" s="33"/>
      <c r="API14" s="33"/>
      <c r="APJ14" s="33"/>
      <c r="APK14" s="33"/>
      <c r="APL14" s="33"/>
      <c r="APM14" s="33"/>
      <c r="APN14" s="33"/>
      <c r="APO14" s="33"/>
      <c r="APP14" s="33"/>
      <c r="APQ14" s="33"/>
      <c r="APR14" s="33"/>
      <c r="APS14" s="33"/>
      <c r="APT14" s="33"/>
      <c r="APU14" s="33"/>
      <c r="APV14" s="33"/>
      <c r="APW14" s="33"/>
      <c r="APX14" s="33"/>
      <c r="APY14" s="33"/>
      <c r="APZ14" s="33"/>
      <c r="AQA14" s="33"/>
      <c r="AQB14" s="33"/>
      <c r="AQC14" s="33"/>
      <c r="AQD14" s="33"/>
      <c r="AQE14" s="33"/>
      <c r="AQF14" s="33"/>
      <c r="AQG14" s="33"/>
      <c r="AQH14" s="33"/>
      <c r="AQI14" s="33"/>
      <c r="AQJ14" s="33"/>
      <c r="AQK14" s="33"/>
      <c r="AQL14" s="33"/>
      <c r="AQM14" s="33"/>
      <c r="AQN14" s="33"/>
      <c r="AQO14" s="33"/>
      <c r="AQP14" s="33"/>
      <c r="AQQ14" s="33"/>
      <c r="AQR14" s="33"/>
      <c r="AQS14" s="33"/>
      <c r="AQT14" s="33"/>
      <c r="AQU14" s="33"/>
      <c r="AQV14" s="33"/>
      <c r="AQW14" s="33"/>
      <c r="AQX14" s="33"/>
      <c r="AQY14" s="33"/>
      <c r="AQZ14" s="33"/>
      <c r="ARA14" s="33"/>
      <c r="ARB14" s="33"/>
      <c r="ARC14" s="33"/>
      <c r="ARD14" s="33"/>
      <c r="ARE14" s="33"/>
      <c r="ARF14" s="33"/>
      <c r="ARG14" s="33"/>
      <c r="ARH14" s="33"/>
      <c r="ARI14" s="33"/>
      <c r="ARJ14" s="33"/>
      <c r="ARK14" s="33"/>
      <c r="ARL14" s="33"/>
      <c r="ARM14" s="33"/>
      <c r="ARN14" s="33"/>
      <c r="ARO14" s="33"/>
      <c r="ARP14" s="33"/>
      <c r="ARQ14" s="33"/>
      <c r="ARR14" s="33"/>
      <c r="ARS14" s="33"/>
      <c r="ART14" s="33"/>
      <c r="ARU14" s="33"/>
      <c r="ARV14" s="33"/>
      <c r="ARW14" s="33"/>
      <c r="ARX14" s="33"/>
      <c r="ARY14" s="33"/>
      <c r="ARZ14" s="33"/>
      <c r="ASA14" s="33"/>
      <c r="ASB14" s="33"/>
      <c r="ASC14" s="33"/>
      <c r="ASD14" s="33"/>
      <c r="ASE14" s="33"/>
      <c r="ASF14" s="33"/>
      <c r="ASG14" s="33"/>
      <c r="ASH14" s="33"/>
      <c r="ASI14" s="33"/>
      <c r="ASJ14" s="33"/>
      <c r="ASK14" s="33"/>
      <c r="ASL14" s="33"/>
      <c r="ASM14" s="33"/>
      <c r="ASN14" s="33"/>
      <c r="ASO14" s="33"/>
      <c r="ASP14" s="33"/>
      <c r="ASQ14" s="33"/>
      <c r="ASR14" s="33"/>
      <c r="ASS14" s="33"/>
      <c r="AST14" s="33"/>
      <c r="ASU14" s="33"/>
      <c r="ASV14" s="33"/>
      <c r="ASW14" s="33"/>
      <c r="ASX14" s="33"/>
      <c r="ASY14" s="33"/>
      <c r="ASZ14" s="33"/>
      <c r="ATA14" s="33"/>
      <c r="ATB14" s="33"/>
      <c r="ATC14" s="33"/>
      <c r="ATD14" s="33"/>
      <c r="ATE14" s="33"/>
      <c r="ATF14" s="33"/>
      <c r="ATG14" s="33"/>
      <c r="ATH14" s="33"/>
      <c r="ATI14" s="33"/>
      <c r="ATJ14" s="33"/>
      <c r="ATK14" s="33"/>
      <c r="ATL14" s="33"/>
      <c r="ATM14" s="33"/>
      <c r="ATN14" s="33"/>
      <c r="ATO14" s="33"/>
      <c r="ATP14" s="33"/>
      <c r="ATQ14" s="33"/>
      <c r="ATR14" s="33"/>
      <c r="ATS14" s="33"/>
      <c r="ATT14" s="33"/>
      <c r="ATU14" s="33"/>
      <c r="ATV14" s="33"/>
      <c r="ATW14" s="33"/>
      <c r="ATX14" s="33"/>
      <c r="ATY14" s="33"/>
      <c r="ATZ14" s="33"/>
      <c r="AUA14" s="33"/>
      <c r="AUB14" s="33"/>
      <c r="AUC14" s="33"/>
      <c r="AUD14" s="33"/>
      <c r="AUE14" s="33"/>
      <c r="AUF14" s="33"/>
      <c r="AUG14" s="33"/>
      <c r="AUH14" s="33"/>
      <c r="AUI14" s="33"/>
      <c r="AUJ14" s="33"/>
      <c r="AUK14" s="33"/>
      <c r="AUL14" s="33"/>
      <c r="AUM14" s="33"/>
      <c r="AUN14" s="33"/>
      <c r="AUO14" s="33"/>
      <c r="AUP14" s="33"/>
      <c r="AUQ14" s="33"/>
      <c r="AUR14" s="33"/>
      <c r="AUS14" s="33"/>
      <c r="AUT14" s="33"/>
      <c r="AUU14" s="33"/>
      <c r="AUV14" s="33"/>
      <c r="AUW14" s="33"/>
      <c r="AUX14" s="33"/>
      <c r="AUY14" s="33"/>
      <c r="AUZ14" s="33"/>
      <c r="AVA14" s="33"/>
      <c r="AVB14" s="33"/>
    </row>
    <row r="15" spans="1:1250" ht="18.75" customHeight="1">
      <c r="A15" s="378" t="str">
        <f>自由選!B16</f>
        <v>XFN30</v>
      </c>
      <c r="B15" s="208">
        <f ca="1">VLOOKUP($A15,'銀行-TSS'!B:K,10,FALSE)</f>
        <v>103.68</v>
      </c>
      <c r="C15" s="69" t="str">
        <f ca="1">VLOOKUP(A15,'銀行-TSS'!B:E,4,FALSE)</f>
        <v>Baa2 / BBB / BBB-</v>
      </c>
      <c r="D15" s="70">
        <f ca="1">VLOOKUP($A15,'銀行-TSS'!B:H,7,FALSE)</f>
        <v>6.0499999999999998E-2</v>
      </c>
      <c r="E15" s="71">
        <f ca="1">IFERROR(VLOOKUP($A15,'銀行-TSS'!B:I,8,FALSE),"")</f>
        <v>2</v>
      </c>
      <c r="F15" s="69" t="str">
        <f t="shared" ca="1" si="142"/>
        <v>1、7</v>
      </c>
      <c r="G15" s="72">
        <f ca="1">VLOOKUP($A15,'銀行-TSS'!B:M,12,FALSE)</f>
        <v>5.9700000000000003E-2</v>
      </c>
      <c r="H15" s="73">
        <f ca="1">VLOOKUP($A15,'銀行-TSS'!B:G,6,FALSE)</f>
        <v>15.53</v>
      </c>
      <c r="I15" s="74">
        <f ca="1">IFERROR(DATEVALUE(VLOOKUP($A15,'銀行-TSS'!B:F,5,FALSE)),VLOOKUP($A15,'銀行-TSS'!B:F,5,FALSE))</f>
        <v>51146</v>
      </c>
      <c r="J15" s="1" t="str">
        <f ca="1">VLOOKUP($A15,'銀行-TSS'!B:Q,16,FALSE)</f>
        <v>政府</v>
      </c>
      <c r="K15" s="76" t="str">
        <f ca="1">VLOOKUP($A15,'銀行-TSS'!B:T,19,FALSE)</f>
        <v>墨西哥政府國際債券/MEX</v>
      </c>
      <c r="L15" s="33" t="b">
        <f t="shared" si="45"/>
        <v>1</v>
      </c>
      <c r="M15" s="43">
        <f ca="1">VLOOKUP($A15,'銀行-TSS'!B:N,13,FALSE)</f>
        <v>10000</v>
      </c>
      <c r="N15" s="44">
        <f>自由選!F16</f>
        <v>10000</v>
      </c>
      <c r="O15" s="43">
        <f ca="1">IFERROR(VLOOKUP($A15,'銀行-TSS'!B:O,14,FALSE),1)</f>
        <v>2000</v>
      </c>
      <c r="P15" s="78" t="str">
        <f ca="1">IFERROR(VLOOKUP(K15,Bond_DES!D:E,2,FALSE),VLOOKUP(K15,'銀行-TSS'!T:U,2,FALSE))</f>
        <v>墨西哥合眾國(United Mexican States)通稱墨西哥，是世界第10大人口國家(人口約1.3億)，世界銀行將其歸為中高收入國家。墨西哥為世界第12大經濟體(IMF 2023)，GDP規模居拉美第二(僅次於巴西)，該國經濟與其美墨加協定(USMCA)貿易夥伴緊密相關，且自2021年起成為美國最大的貿易夥伴(按總貿易額)。</v>
      </c>
      <c r="Q15" s="83">
        <f t="shared" ca="1" si="143"/>
        <v>100.8062</v>
      </c>
      <c r="R15" s="81">
        <f t="shared" ca="1" si="152"/>
        <v>10080.620000000001</v>
      </c>
      <c r="S15" s="82">
        <f t="shared" ca="1" si="153"/>
        <v>8.8554958061088984E-2</v>
      </c>
      <c r="T15" s="34">
        <f t="shared" ca="1" si="144"/>
        <v>2040</v>
      </c>
      <c r="U15" s="36" t="str">
        <f ca="1">IFERROR(VLOOKUP($A15,'銀行-TSS'!B:C,2,FALSE),"")</f>
        <v>USD</v>
      </c>
      <c r="V15" s="184">
        <f ca="1">VLOOKUP(A15,'銀行-TSS'!B:J,9,FALSE)</f>
        <v>2.8738000000000001</v>
      </c>
      <c r="W15" s="57">
        <f t="shared" ca="1" si="145"/>
        <v>287.38</v>
      </c>
      <c r="X15" s="36">
        <f t="shared" ca="1" si="146"/>
        <v>0</v>
      </c>
      <c r="Y15" s="116">
        <f t="shared" ca="1" si="147"/>
        <v>2073.6</v>
      </c>
      <c r="Z15" s="98">
        <f t="shared" ca="1" si="148"/>
        <v>10368</v>
      </c>
      <c r="AA15" s="61">
        <f t="shared" si="149"/>
        <v>8.3333333333333329E-2</v>
      </c>
      <c r="AB15" s="104" t="str">
        <f t="shared" ca="1" si="46"/>
        <v>政府</v>
      </c>
      <c r="AC15" s="149">
        <f t="shared" ca="1" si="150"/>
        <v>10368</v>
      </c>
      <c r="AD15" s="149">
        <f ca="1">VLOOKUP(A15,'銀行-TSS'!B:AD,29,FALSE)</f>
        <v>13</v>
      </c>
      <c r="AE15" s="64">
        <f t="shared" ca="1" si="47"/>
        <v>302.5</v>
      </c>
      <c r="AF15" s="53">
        <f t="shared" ca="1" si="154"/>
        <v>1</v>
      </c>
      <c r="AG15" s="45">
        <f t="shared" ca="1" si="155"/>
        <v>7</v>
      </c>
      <c r="AH15" s="2">
        <f ca="1">_xlfn.IFNA(IFERROR(DATEVALUE(VLOOKUP($A15,'銀行-TSS'!B:P,15,FALSE)),VLOOKUP($A15,'銀行-TSS'!B:P,15,FALSE)),"")</f>
        <v>45484</v>
      </c>
      <c r="AI15" s="2">
        <f ca="1">_xlfn.IFNA(IFERROR(DATEVALUE(VLOOKUP($A15,'銀行-TSS'!B:L,11,FALSE)),VLOOKUP($A15,'銀行-TSS'!B:L,11,FALSE)),"")</f>
        <v>45475</v>
      </c>
      <c r="AJ15" s="34">
        <f t="shared" ca="1" si="151"/>
        <v>302.5</v>
      </c>
      <c r="AK15" s="34">
        <f t="shared" ca="1" si="48"/>
        <v>0</v>
      </c>
      <c r="AL15" s="34">
        <f t="shared" ca="1" si="48"/>
        <v>0</v>
      </c>
      <c r="AM15" s="34">
        <f t="shared" ca="1" si="48"/>
        <v>0</v>
      </c>
      <c r="AN15" s="34">
        <f t="shared" ca="1" si="48"/>
        <v>0</v>
      </c>
      <c r="AO15" s="34">
        <f t="shared" ca="1" si="48"/>
        <v>0</v>
      </c>
      <c r="AP15" s="34">
        <f t="shared" ca="1" si="48"/>
        <v>302.5</v>
      </c>
      <c r="AQ15" s="34">
        <f t="shared" ca="1" si="48"/>
        <v>0</v>
      </c>
      <c r="AR15" s="34">
        <f t="shared" ca="1" si="48"/>
        <v>0</v>
      </c>
      <c r="AS15" s="34">
        <f t="shared" ca="1" si="48"/>
        <v>0</v>
      </c>
      <c r="AT15" s="34">
        <f t="shared" ca="1" si="48"/>
        <v>0</v>
      </c>
      <c r="AU15" s="34">
        <f t="shared" ca="1" si="49"/>
        <v>0</v>
      </c>
      <c r="AV15" s="34">
        <f t="shared" ca="1" si="49"/>
        <v>302.5</v>
      </c>
      <c r="AW15" s="34">
        <f t="shared" ca="1" si="49"/>
        <v>0</v>
      </c>
      <c r="AX15" s="34">
        <f t="shared" ca="1" si="49"/>
        <v>0</v>
      </c>
      <c r="AY15" s="34">
        <f t="shared" ca="1" si="49"/>
        <v>0</v>
      </c>
      <c r="AZ15" s="34">
        <f t="shared" ca="1" si="49"/>
        <v>0</v>
      </c>
      <c r="BA15" s="34">
        <f t="shared" ca="1" si="49"/>
        <v>0</v>
      </c>
      <c r="BB15" s="34">
        <f t="shared" ca="1" si="49"/>
        <v>302.5</v>
      </c>
      <c r="BC15" s="34">
        <f t="shared" ca="1" si="49"/>
        <v>0</v>
      </c>
      <c r="BD15" s="34">
        <f t="shared" ca="1" si="49"/>
        <v>0</v>
      </c>
      <c r="BE15" s="34">
        <f t="shared" ca="1" si="50"/>
        <v>0</v>
      </c>
      <c r="BF15" s="34">
        <f t="shared" ca="1" si="50"/>
        <v>0</v>
      </c>
      <c r="BG15" s="34">
        <f t="shared" ca="1" si="50"/>
        <v>0</v>
      </c>
      <c r="BH15" s="34">
        <f t="shared" ca="1" si="50"/>
        <v>302.5</v>
      </c>
      <c r="BI15" s="34">
        <f t="shared" ca="1" si="50"/>
        <v>0</v>
      </c>
      <c r="BJ15" s="34">
        <f t="shared" ca="1" si="50"/>
        <v>0</v>
      </c>
      <c r="BK15" s="34">
        <f t="shared" ca="1" si="50"/>
        <v>0</v>
      </c>
      <c r="BL15" s="34">
        <f t="shared" ca="1" si="50"/>
        <v>0</v>
      </c>
      <c r="BM15" s="34">
        <f t="shared" ca="1" si="50"/>
        <v>0</v>
      </c>
      <c r="BN15" s="34">
        <f t="shared" ca="1" si="50"/>
        <v>302.5</v>
      </c>
      <c r="BO15" s="34">
        <f t="shared" ca="1" si="51"/>
        <v>0</v>
      </c>
      <c r="BP15" s="34">
        <f t="shared" ca="1" si="51"/>
        <v>0</v>
      </c>
      <c r="BQ15" s="34">
        <f t="shared" ca="1" si="51"/>
        <v>0</v>
      </c>
      <c r="BR15" s="34">
        <f t="shared" ca="1" si="51"/>
        <v>0</v>
      </c>
      <c r="BS15" s="34">
        <f t="shared" ca="1" si="51"/>
        <v>0</v>
      </c>
      <c r="BT15" s="34">
        <f t="shared" ca="1" si="51"/>
        <v>302.5</v>
      </c>
      <c r="BU15" s="34">
        <f t="shared" ca="1" si="51"/>
        <v>0</v>
      </c>
      <c r="BV15" s="34">
        <f t="shared" ca="1" si="51"/>
        <v>0</v>
      </c>
      <c r="BW15" s="34">
        <f t="shared" ca="1" si="51"/>
        <v>0</v>
      </c>
      <c r="BX15" s="34">
        <f t="shared" ca="1" si="51"/>
        <v>0</v>
      </c>
      <c r="BY15" s="34">
        <f t="shared" ca="1" si="52"/>
        <v>0</v>
      </c>
      <c r="BZ15" s="34">
        <f t="shared" ca="1" si="52"/>
        <v>302.5</v>
      </c>
      <c r="CA15" s="34">
        <f t="shared" ca="1" si="52"/>
        <v>0</v>
      </c>
      <c r="CB15" s="34">
        <f t="shared" ca="1" si="52"/>
        <v>0</v>
      </c>
      <c r="CC15" s="34">
        <f t="shared" ca="1" si="52"/>
        <v>0</v>
      </c>
      <c r="CD15" s="34">
        <f t="shared" ca="1" si="52"/>
        <v>0</v>
      </c>
      <c r="CE15" s="34">
        <f t="shared" ca="1" si="52"/>
        <v>0</v>
      </c>
      <c r="CF15" s="34">
        <f t="shared" ca="1" si="52"/>
        <v>302.5</v>
      </c>
      <c r="CG15" s="34">
        <f t="shared" ca="1" si="52"/>
        <v>0</v>
      </c>
      <c r="CH15" s="34">
        <f t="shared" ca="1" si="52"/>
        <v>0</v>
      </c>
      <c r="CI15" s="34">
        <f t="shared" ca="1" si="53"/>
        <v>0</v>
      </c>
      <c r="CJ15" s="34">
        <f t="shared" ca="1" si="53"/>
        <v>0</v>
      </c>
      <c r="CK15" s="34">
        <f t="shared" ca="1" si="53"/>
        <v>0</v>
      </c>
      <c r="CL15" s="34">
        <f t="shared" ca="1" si="53"/>
        <v>302.5</v>
      </c>
      <c r="CM15" s="34">
        <f t="shared" ca="1" si="53"/>
        <v>0</v>
      </c>
      <c r="CN15" s="34">
        <f t="shared" ca="1" si="53"/>
        <v>0</v>
      </c>
      <c r="CO15" s="34">
        <f t="shared" ca="1" si="53"/>
        <v>0</v>
      </c>
      <c r="CP15" s="34">
        <f t="shared" ca="1" si="53"/>
        <v>0</v>
      </c>
      <c r="CQ15" s="34">
        <f t="shared" ca="1" si="53"/>
        <v>0</v>
      </c>
      <c r="CR15" s="34">
        <f t="shared" ca="1" si="53"/>
        <v>302.5</v>
      </c>
      <c r="CS15" s="34">
        <f t="shared" ca="1" si="54"/>
        <v>0</v>
      </c>
      <c r="CT15" s="34">
        <f t="shared" ca="1" si="54"/>
        <v>0</v>
      </c>
      <c r="CU15" s="34">
        <f t="shared" ca="1" si="54"/>
        <v>0</v>
      </c>
      <c r="CV15" s="34">
        <f t="shared" ca="1" si="54"/>
        <v>0</v>
      </c>
      <c r="CW15" s="34">
        <f t="shared" ca="1" si="54"/>
        <v>0</v>
      </c>
      <c r="CX15" s="34">
        <f t="shared" ca="1" si="54"/>
        <v>302.5</v>
      </c>
      <c r="CY15" s="34">
        <f t="shared" ca="1" si="54"/>
        <v>0</v>
      </c>
      <c r="CZ15" s="34">
        <f t="shared" ca="1" si="54"/>
        <v>0</v>
      </c>
      <c r="DA15" s="34">
        <f t="shared" ca="1" si="54"/>
        <v>0</v>
      </c>
      <c r="DB15" s="34">
        <f t="shared" ca="1" si="54"/>
        <v>0</v>
      </c>
      <c r="DC15" s="34">
        <f t="shared" ca="1" si="55"/>
        <v>0</v>
      </c>
      <c r="DD15" s="34">
        <f t="shared" ca="1" si="55"/>
        <v>302.5</v>
      </c>
      <c r="DE15" s="34">
        <f t="shared" ca="1" si="55"/>
        <v>0</v>
      </c>
      <c r="DF15" s="34">
        <f t="shared" ca="1" si="55"/>
        <v>0</v>
      </c>
      <c r="DG15" s="34">
        <f t="shared" ca="1" si="55"/>
        <v>0</v>
      </c>
      <c r="DH15" s="34">
        <f t="shared" ca="1" si="55"/>
        <v>0</v>
      </c>
      <c r="DI15" s="34">
        <f t="shared" ca="1" si="55"/>
        <v>0</v>
      </c>
      <c r="DJ15" s="34">
        <f t="shared" ca="1" si="55"/>
        <v>302.5</v>
      </c>
      <c r="DK15" s="34">
        <f t="shared" ca="1" si="55"/>
        <v>0</v>
      </c>
      <c r="DL15" s="34">
        <f t="shared" ca="1" si="55"/>
        <v>0</v>
      </c>
      <c r="DM15" s="34">
        <f t="shared" ca="1" si="56"/>
        <v>0</v>
      </c>
      <c r="DN15" s="34">
        <f t="shared" ca="1" si="56"/>
        <v>0</v>
      </c>
      <c r="DO15" s="34">
        <f t="shared" ca="1" si="56"/>
        <v>0</v>
      </c>
      <c r="DP15" s="34">
        <f t="shared" ca="1" si="56"/>
        <v>302.5</v>
      </c>
      <c r="DQ15" s="34">
        <f t="shared" ca="1" si="56"/>
        <v>0</v>
      </c>
      <c r="DR15" s="34">
        <f t="shared" ca="1" si="56"/>
        <v>0</v>
      </c>
      <c r="DS15" s="34">
        <f t="shared" ca="1" si="56"/>
        <v>0</v>
      </c>
      <c r="DT15" s="34">
        <f t="shared" ca="1" si="56"/>
        <v>0</v>
      </c>
      <c r="DU15" s="34">
        <f t="shared" ca="1" si="56"/>
        <v>0</v>
      </c>
      <c r="DV15" s="34">
        <f t="shared" ca="1" si="56"/>
        <v>302.5</v>
      </c>
      <c r="DW15" s="34">
        <f t="shared" ca="1" si="57"/>
        <v>0</v>
      </c>
      <c r="DX15" s="34">
        <f t="shared" ca="1" si="57"/>
        <v>0</v>
      </c>
      <c r="DY15" s="34">
        <f t="shared" ca="1" si="57"/>
        <v>0</v>
      </c>
      <c r="DZ15" s="34">
        <f t="shared" ca="1" si="57"/>
        <v>0</v>
      </c>
      <c r="EA15" s="34">
        <f t="shared" ca="1" si="57"/>
        <v>0</v>
      </c>
      <c r="EB15" s="34">
        <f t="shared" ca="1" si="57"/>
        <v>302.5</v>
      </c>
      <c r="EC15" s="34">
        <f t="shared" ca="1" si="57"/>
        <v>0</v>
      </c>
      <c r="ED15" s="34">
        <f t="shared" ca="1" si="57"/>
        <v>0</v>
      </c>
      <c r="EE15" s="34">
        <f t="shared" ca="1" si="57"/>
        <v>0</v>
      </c>
      <c r="EF15" s="34">
        <f t="shared" ca="1" si="57"/>
        <v>0</v>
      </c>
      <c r="EG15" s="34">
        <f t="shared" ca="1" si="58"/>
        <v>0</v>
      </c>
      <c r="EH15" s="34">
        <f t="shared" ca="1" si="58"/>
        <v>302.5</v>
      </c>
      <c r="EI15" s="34">
        <f t="shared" ca="1" si="58"/>
        <v>0</v>
      </c>
      <c r="EJ15" s="34">
        <f t="shared" ca="1" si="58"/>
        <v>0</v>
      </c>
      <c r="EK15" s="34">
        <f t="shared" ca="1" si="58"/>
        <v>0</v>
      </c>
      <c r="EL15" s="34">
        <f t="shared" ca="1" si="58"/>
        <v>0</v>
      </c>
      <c r="EM15" s="34">
        <f t="shared" ca="1" si="58"/>
        <v>0</v>
      </c>
      <c r="EN15" s="34">
        <f t="shared" ca="1" si="58"/>
        <v>302.5</v>
      </c>
      <c r="EO15" s="34">
        <f t="shared" ca="1" si="58"/>
        <v>0</v>
      </c>
      <c r="EP15" s="34">
        <f t="shared" ca="1" si="58"/>
        <v>0</v>
      </c>
      <c r="EQ15" s="34">
        <f t="shared" ca="1" si="59"/>
        <v>0</v>
      </c>
      <c r="ER15" s="34">
        <f t="shared" ca="1" si="59"/>
        <v>0</v>
      </c>
      <c r="ES15" s="34">
        <f t="shared" ca="1" si="59"/>
        <v>0</v>
      </c>
      <c r="ET15" s="34">
        <f t="shared" ca="1" si="59"/>
        <v>302.5</v>
      </c>
      <c r="EU15" s="34">
        <f t="shared" ca="1" si="59"/>
        <v>0</v>
      </c>
      <c r="EV15" s="34">
        <f t="shared" ca="1" si="59"/>
        <v>0</v>
      </c>
      <c r="EW15" s="34">
        <f t="shared" ca="1" si="59"/>
        <v>0</v>
      </c>
      <c r="EX15" s="34">
        <f t="shared" ca="1" si="59"/>
        <v>0</v>
      </c>
      <c r="EY15" s="34">
        <f t="shared" ca="1" si="59"/>
        <v>0</v>
      </c>
      <c r="EZ15" s="34">
        <f t="shared" ca="1" si="59"/>
        <v>302.5</v>
      </c>
      <c r="FA15" s="34">
        <f t="shared" ca="1" si="60"/>
        <v>0</v>
      </c>
      <c r="FB15" s="34">
        <f t="shared" ca="1" si="60"/>
        <v>0</v>
      </c>
      <c r="FC15" s="34">
        <f t="shared" ca="1" si="60"/>
        <v>0</v>
      </c>
      <c r="FD15" s="34">
        <f t="shared" ca="1" si="60"/>
        <v>0</v>
      </c>
      <c r="FE15" s="34">
        <f t="shared" ca="1" si="60"/>
        <v>0</v>
      </c>
      <c r="FF15" s="34">
        <f t="shared" ca="1" si="60"/>
        <v>302.5</v>
      </c>
      <c r="FG15" s="34">
        <f t="shared" ca="1" si="60"/>
        <v>0</v>
      </c>
      <c r="FH15" s="34">
        <f t="shared" ca="1" si="60"/>
        <v>0</v>
      </c>
      <c r="FI15" s="34">
        <f t="shared" ca="1" si="60"/>
        <v>0</v>
      </c>
      <c r="FJ15" s="34">
        <f t="shared" ca="1" si="60"/>
        <v>0</v>
      </c>
      <c r="FK15" s="34">
        <f t="shared" ca="1" si="61"/>
        <v>0</v>
      </c>
      <c r="FL15" s="34">
        <f t="shared" ca="1" si="61"/>
        <v>302.5</v>
      </c>
      <c r="FM15" s="34">
        <f t="shared" ca="1" si="61"/>
        <v>0</v>
      </c>
      <c r="FN15" s="34">
        <f t="shared" ca="1" si="61"/>
        <v>0</v>
      </c>
      <c r="FO15" s="34">
        <f t="shared" ca="1" si="61"/>
        <v>0</v>
      </c>
      <c r="FP15" s="34">
        <f t="shared" ca="1" si="61"/>
        <v>0</v>
      </c>
      <c r="FQ15" s="34">
        <f t="shared" ca="1" si="61"/>
        <v>0</v>
      </c>
      <c r="FR15" s="34">
        <f t="shared" ca="1" si="61"/>
        <v>302.5</v>
      </c>
      <c r="FS15" s="34">
        <f t="shared" ca="1" si="61"/>
        <v>0</v>
      </c>
      <c r="FT15" s="34">
        <f t="shared" ca="1" si="61"/>
        <v>0</v>
      </c>
      <c r="FU15" s="34">
        <f t="shared" ca="1" si="62"/>
        <v>0</v>
      </c>
      <c r="FV15" s="34">
        <f t="shared" ca="1" si="62"/>
        <v>0</v>
      </c>
      <c r="FW15" s="34">
        <f t="shared" ca="1" si="62"/>
        <v>0</v>
      </c>
      <c r="FX15" s="34">
        <f t="shared" ca="1" si="62"/>
        <v>302.5</v>
      </c>
      <c r="FY15" s="34">
        <f t="shared" ca="1" si="62"/>
        <v>0</v>
      </c>
      <c r="FZ15" s="34">
        <f t="shared" ca="1" si="62"/>
        <v>0</v>
      </c>
      <c r="GA15" s="34">
        <f t="shared" ca="1" si="62"/>
        <v>0</v>
      </c>
      <c r="GB15" s="34">
        <f t="shared" ca="1" si="62"/>
        <v>0</v>
      </c>
      <c r="GC15" s="34">
        <f t="shared" ca="1" si="62"/>
        <v>0</v>
      </c>
      <c r="GD15" s="34">
        <f t="shared" ca="1" si="62"/>
        <v>302.5</v>
      </c>
      <c r="GE15" s="34">
        <f t="shared" ca="1" si="63"/>
        <v>0</v>
      </c>
      <c r="GF15" s="34">
        <f t="shared" ca="1" si="63"/>
        <v>0</v>
      </c>
      <c r="GG15" s="34">
        <f t="shared" ca="1" si="63"/>
        <v>0</v>
      </c>
      <c r="GH15" s="34">
        <f t="shared" ca="1" si="63"/>
        <v>0</v>
      </c>
      <c r="GI15" s="34">
        <f t="shared" ca="1" si="63"/>
        <v>0</v>
      </c>
      <c r="GJ15" s="34">
        <f t="shared" ca="1" si="63"/>
        <v>302.5</v>
      </c>
      <c r="GK15" s="34">
        <f t="shared" ca="1" si="63"/>
        <v>0</v>
      </c>
      <c r="GL15" s="34">
        <f t="shared" ca="1" si="63"/>
        <v>0</v>
      </c>
      <c r="GM15" s="34">
        <f t="shared" ca="1" si="63"/>
        <v>0</v>
      </c>
      <c r="GN15" s="34">
        <f t="shared" ca="1" si="63"/>
        <v>0</v>
      </c>
      <c r="GO15" s="34">
        <f t="shared" ca="1" si="64"/>
        <v>0</v>
      </c>
      <c r="GP15" s="34">
        <f t="shared" ca="1" si="64"/>
        <v>302.5</v>
      </c>
      <c r="GQ15" s="34">
        <f t="shared" ca="1" si="64"/>
        <v>0</v>
      </c>
      <c r="GR15" s="34">
        <f t="shared" ca="1" si="64"/>
        <v>0</v>
      </c>
      <c r="GS15" s="34">
        <f t="shared" ca="1" si="64"/>
        <v>0</v>
      </c>
      <c r="GT15" s="34">
        <f t="shared" ca="1" si="64"/>
        <v>0</v>
      </c>
      <c r="GU15" s="34">
        <f t="shared" ca="1" si="64"/>
        <v>0</v>
      </c>
      <c r="GV15" s="34">
        <f t="shared" ca="1" si="64"/>
        <v>302.5</v>
      </c>
      <c r="GW15" s="34">
        <f t="shared" ca="1" si="64"/>
        <v>0</v>
      </c>
      <c r="GX15" s="34">
        <f t="shared" ca="1" si="64"/>
        <v>0</v>
      </c>
      <c r="GY15" s="34">
        <f t="shared" ca="1" si="65"/>
        <v>0</v>
      </c>
      <c r="GZ15" s="34">
        <f t="shared" ca="1" si="65"/>
        <v>0</v>
      </c>
      <c r="HA15" s="34">
        <f t="shared" ca="1" si="65"/>
        <v>0</v>
      </c>
      <c r="HB15" s="34">
        <f t="shared" ca="1" si="65"/>
        <v>302.5</v>
      </c>
      <c r="HC15" s="34">
        <f t="shared" ca="1" si="65"/>
        <v>0</v>
      </c>
      <c r="HD15" s="34">
        <f t="shared" ca="1" si="65"/>
        <v>0</v>
      </c>
      <c r="HE15" s="34">
        <f t="shared" ca="1" si="65"/>
        <v>0</v>
      </c>
      <c r="HF15" s="34">
        <f t="shared" ca="1" si="65"/>
        <v>0</v>
      </c>
      <c r="HG15" s="34">
        <f t="shared" ca="1" si="65"/>
        <v>0</v>
      </c>
      <c r="HH15" s="34">
        <f t="shared" ca="1" si="65"/>
        <v>302.5</v>
      </c>
      <c r="HI15" s="34">
        <f t="shared" ca="1" si="66"/>
        <v>0</v>
      </c>
      <c r="HJ15" s="34">
        <f t="shared" ca="1" si="66"/>
        <v>0</v>
      </c>
      <c r="HK15" s="34">
        <f t="shared" ca="1" si="66"/>
        <v>0</v>
      </c>
      <c r="HL15" s="34">
        <f t="shared" ca="1" si="66"/>
        <v>0</v>
      </c>
      <c r="HM15" s="34">
        <f t="shared" ca="1" si="66"/>
        <v>0</v>
      </c>
      <c r="HN15" s="34">
        <f t="shared" ca="1" si="66"/>
        <v>302.5</v>
      </c>
      <c r="HO15" s="34">
        <f t="shared" ca="1" si="66"/>
        <v>0</v>
      </c>
      <c r="HP15" s="34">
        <f t="shared" ca="1" si="66"/>
        <v>0</v>
      </c>
      <c r="HQ15" s="34">
        <f t="shared" ca="1" si="66"/>
        <v>0</v>
      </c>
      <c r="HR15" s="34">
        <f t="shared" ca="1" si="66"/>
        <v>0</v>
      </c>
      <c r="HS15" s="34">
        <f t="shared" ca="1" si="67"/>
        <v>0</v>
      </c>
      <c r="HT15" s="34">
        <f t="shared" ca="1" si="67"/>
        <v>0</v>
      </c>
      <c r="HU15" s="34">
        <f t="shared" ca="1" si="67"/>
        <v>0</v>
      </c>
      <c r="HV15" s="34">
        <f t="shared" ca="1" si="67"/>
        <v>0</v>
      </c>
      <c r="HW15" s="34">
        <f t="shared" ca="1" si="67"/>
        <v>0</v>
      </c>
      <c r="HX15" s="34">
        <f t="shared" ca="1" si="67"/>
        <v>0</v>
      </c>
      <c r="HY15" s="34">
        <f t="shared" ca="1" si="67"/>
        <v>0</v>
      </c>
      <c r="HZ15" s="34">
        <f t="shared" ca="1" si="67"/>
        <v>0</v>
      </c>
      <c r="IA15" s="34">
        <f t="shared" ca="1" si="67"/>
        <v>0</v>
      </c>
      <c r="IB15" s="34">
        <f t="shared" ca="1" si="67"/>
        <v>0</v>
      </c>
      <c r="IC15" s="34">
        <f t="shared" ca="1" si="68"/>
        <v>0</v>
      </c>
      <c r="ID15" s="34">
        <f t="shared" ca="1" si="68"/>
        <v>0</v>
      </c>
      <c r="IE15" s="34">
        <f t="shared" ca="1" si="68"/>
        <v>0</v>
      </c>
      <c r="IF15" s="34">
        <f t="shared" ca="1" si="68"/>
        <v>0</v>
      </c>
      <c r="IG15" s="34">
        <f t="shared" ca="1" si="68"/>
        <v>0</v>
      </c>
      <c r="IH15" s="34">
        <f t="shared" ca="1" si="68"/>
        <v>0</v>
      </c>
      <c r="II15" s="34">
        <f t="shared" ca="1" si="68"/>
        <v>0</v>
      </c>
      <c r="IJ15" s="34">
        <f t="shared" ca="1" si="68"/>
        <v>0</v>
      </c>
      <c r="IK15" s="34">
        <f t="shared" ca="1" si="68"/>
        <v>0</v>
      </c>
      <c r="IL15" s="34">
        <f t="shared" ca="1" si="68"/>
        <v>0</v>
      </c>
      <c r="IM15" s="34">
        <f t="shared" ca="1" si="69"/>
        <v>0</v>
      </c>
      <c r="IN15" s="34">
        <f t="shared" ca="1" si="69"/>
        <v>0</v>
      </c>
      <c r="IO15" s="34">
        <f t="shared" ca="1" si="69"/>
        <v>0</v>
      </c>
      <c r="IP15" s="34">
        <f t="shared" ca="1" si="69"/>
        <v>0</v>
      </c>
      <c r="IQ15" s="34">
        <f t="shared" ca="1" si="69"/>
        <v>0</v>
      </c>
      <c r="IR15" s="34">
        <f t="shared" ca="1" si="69"/>
        <v>0</v>
      </c>
      <c r="IS15" s="34">
        <f t="shared" ca="1" si="69"/>
        <v>0</v>
      </c>
      <c r="IT15" s="34">
        <f t="shared" ca="1" si="69"/>
        <v>0</v>
      </c>
      <c r="IU15" s="34">
        <f t="shared" ca="1" si="69"/>
        <v>0</v>
      </c>
      <c r="IV15" s="34">
        <f t="shared" ca="1" si="69"/>
        <v>0</v>
      </c>
      <c r="IW15" s="34">
        <f t="shared" ca="1" si="70"/>
        <v>0</v>
      </c>
      <c r="IX15" s="34">
        <f t="shared" ca="1" si="70"/>
        <v>0</v>
      </c>
      <c r="IY15" s="34">
        <f t="shared" ca="1" si="70"/>
        <v>0</v>
      </c>
      <c r="IZ15" s="34">
        <f t="shared" ca="1" si="70"/>
        <v>0</v>
      </c>
      <c r="JA15" s="34">
        <f t="shared" ca="1" si="70"/>
        <v>0</v>
      </c>
      <c r="JB15" s="34">
        <f t="shared" ca="1" si="70"/>
        <v>0</v>
      </c>
      <c r="JC15" s="34">
        <f t="shared" ca="1" si="70"/>
        <v>0</v>
      </c>
      <c r="JD15" s="34">
        <f t="shared" ca="1" si="70"/>
        <v>0</v>
      </c>
      <c r="JE15" s="34">
        <f t="shared" ca="1" si="70"/>
        <v>0</v>
      </c>
      <c r="JF15" s="34">
        <f t="shared" ca="1" si="70"/>
        <v>0</v>
      </c>
      <c r="JG15" s="34">
        <f t="shared" ca="1" si="71"/>
        <v>0</v>
      </c>
      <c r="JH15" s="34">
        <f t="shared" ca="1" si="71"/>
        <v>0</v>
      </c>
      <c r="JI15" s="34">
        <f t="shared" ca="1" si="71"/>
        <v>0</v>
      </c>
      <c r="JJ15" s="34">
        <f t="shared" ca="1" si="71"/>
        <v>0</v>
      </c>
      <c r="JK15" s="34">
        <f t="shared" ca="1" si="71"/>
        <v>0</v>
      </c>
      <c r="JL15" s="34">
        <f t="shared" ca="1" si="71"/>
        <v>0</v>
      </c>
      <c r="JM15" s="34">
        <f t="shared" ca="1" si="71"/>
        <v>0</v>
      </c>
      <c r="JN15" s="34">
        <f t="shared" ca="1" si="71"/>
        <v>0</v>
      </c>
      <c r="JO15" s="34">
        <f t="shared" ca="1" si="71"/>
        <v>0</v>
      </c>
      <c r="JP15" s="34">
        <f t="shared" ca="1" si="71"/>
        <v>0</v>
      </c>
      <c r="JQ15" s="34">
        <f t="shared" ca="1" si="72"/>
        <v>0</v>
      </c>
      <c r="JR15" s="34">
        <f t="shared" ca="1" si="72"/>
        <v>0</v>
      </c>
      <c r="JS15" s="34">
        <f t="shared" ca="1" si="72"/>
        <v>0</v>
      </c>
      <c r="JT15" s="34">
        <f t="shared" ca="1" si="72"/>
        <v>0</v>
      </c>
      <c r="JU15" s="34">
        <f t="shared" ca="1" si="72"/>
        <v>0</v>
      </c>
      <c r="JV15" s="34">
        <f t="shared" ca="1" si="72"/>
        <v>0</v>
      </c>
      <c r="JW15" s="34">
        <f t="shared" ca="1" si="72"/>
        <v>0</v>
      </c>
      <c r="JX15" s="34">
        <f t="shared" ca="1" si="72"/>
        <v>0</v>
      </c>
      <c r="JY15" s="34">
        <f t="shared" ca="1" si="72"/>
        <v>0</v>
      </c>
      <c r="JZ15" s="34">
        <f t="shared" ca="1" si="72"/>
        <v>0</v>
      </c>
      <c r="KA15" s="34">
        <f t="shared" ca="1" si="73"/>
        <v>0</v>
      </c>
      <c r="KB15" s="34">
        <f t="shared" ca="1" si="73"/>
        <v>0</v>
      </c>
      <c r="KC15" s="34">
        <f t="shared" ca="1" si="73"/>
        <v>0</v>
      </c>
      <c r="KD15" s="34">
        <f t="shared" ca="1" si="73"/>
        <v>0</v>
      </c>
      <c r="KE15" s="34">
        <f t="shared" ca="1" si="73"/>
        <v>0</v>
      </c>
      <c r="KF15" s="34">
        <f t="shared" ca="1" si="73"/>
        <v>0</v>
      </c>
      <c r="KG15" s="34">
        <f t="shared" ca="1" si="73"/>
        <v>0</v>
      </c>
      <c r="KH15" s="34">
        <f t="shared" ca="1" si="73"/>
        <v>0</v>
      </c>
      <c r="KI15" s="34">
        <f t="shared" ca="1" si="73"/>
        <v>0</v>
      </c>
      <c r="KJ15" s="34">
        <f t="shared" ca="1" si="73"/>
        <v>0</v>
      </c>
      <c r="KK15" s="34">
        <f t="shared" ca="1" si="74"/>
        <v>0</v>
      </c>
      <c r="KL15" s="34">
        <f t="shared" ca="1" si="74"/>
        <v>0</v>
      </c>
      <c r="KM15" s="34">
        <f t="shared" ca="1" si="74"/>
        <v>0</v>
      </c>
      <c r="KN15" s="34">
        <f t="shared" ca="1" si="74"/>
        <v>0</v>
      </c>
      <c r="KO15" s="34">
        <f t="shared" ca="1" si="74"/>
        <v>0</v>
      </c>
      <c r="KP15" s="34">
        <f t="shared" ca="1" si="74"/>
        <v>0</v>
      </c>
      <c r="KQ15" s="34">
        <f t="shared" ca="1" si="74"/>
        <v>0</v>
      </c>
      <c r="KR15" s="34">
        <f t="shared" ca="1" si="74"/>
        <v>0</v>
      </c>
      <c r="KS15" s="34">
        <f t="shared" ca="1" si="74"/>
        <v>0</v>
      </c>
      <c r="KT15" s="34">
        <f t="shared" ca="1" si="74"/>
        <v>0</v>
      </c>
      <c r="KU15" s="34">
        <f t="shared" ca="1" si="75"/>
        <v>0</v>
      </c>
      <c r="KV15" s="34">
        <f t="shared" ca="1" si="75"/>
        <v>0</v>
      </c>
      <c r="KW15" s="34">
        <f t="shared" ca="1" si="75"/>
        <v>0</v>
      </c>
      <c r="KX15" s="34">
        <f t="shared" ca="1" si="75"/>
        <v>0</v>
      </c>
      <c r="KY15" s="34">
        <f t="shared" ca="1" si="75"/>
        <v>0</v>
      </c>
      <c r="KZ15" s="34">
        <f t="shared" ca="1" si="75"/>
        <v>0</v>
      </c>
      <c r="LA15" s="34">
        <f t="shared" ca="1" si="75"/>
        <v>0</v>
      </c>
      <c r="LB15" s="34">
        <f t="shared" ca="1" si="75"/>
        <v>0</v>
      </c>
      <c r="LC15" s="34">
        <f t="shared" ca="1" si="75"/>
        <v>0</v>
      </c>
      <c r="LD15" s="34">
        <f t="shared" ca="1" si="75"/>
        <v>0</v>
      </c>
      <c r="LE15" s="34">
        <f t="shared" ca="1" si="76"/>
        <v>0</v>
      </c>
      <c r="LF15" s="34">
        <f t="shared" ca="1" si="76"/>
        <v>0</v>
      </c>
      <c r="LG15" s="34">
        <f t="shared" ca="1" si="76"/>
        <v>0</v>
      </c>
      <c r="LH15" s="34">
        <f t="shared" ca="1" si="76"/>
        <v>0</v>
      </c>
      <c r="LI15" s="34">
        <f t="shared" ca="1" si="76"/>
        <v>0</v>
      </c>
      <c r="LJ15" s="34">
        <f t="shared" ca="1" si="76"/>
        <v>0</v>
      </c>
      <c r="LK15" s="34">
        <f t="shared" ca="1" si="76"/>
        <v>0</v>
      </c>
      <c r="LL15" s="34">
        <f t="shared" ca="1" si="76"/>
        <v>0</v>
      </c>
      <c r="LM15" s="34">
        <f t="shared" ca="1" si="76"/>
        <v>0</v>
      </c>
      <c r="LN15" s="34">
        <f t="shared" ca="1" si="76"/>
        <v>0</v>
      </c>
      <c r="LO15" s="34">
        <f t="shared" ca="1" si="77"/>
        <v>0</v>
      </c>
      <c r="LP15" s="34">
        <f t="shared" ca="1" si="77"/>
        <v>0</v>
      </c>
      <c r="LQ15" s="34">
        <f t="shared" ca="1" si="77"/>
        <v>0</v>
      </c>
      <c r="LR15" s="34">
        <f t="shared" ca="1" si="77"/>
        <v>0</v>
      </c>
      <c r="LS15" s="34">
        <f t="shared" ca="1" si="77"/>
        <v>0</v>
      </c>
      <c r="LT15" s="34">
        <f t="shared" ca="1" si="77"/>
        <v>0</v>
      </c>
      <c r="LU15" s="34">
        <f t="shared" ca="1" si="77"/>
        <v>0</v>
      </c>
      <c r="LV15" s="34">
        <f t="shared" ca="1" si="77"/>
        <v>0</v>
      </c>
      <c r="LW15" s="34">
        <f t="shared" ca="1" si="77"/>
        <v>0</v>
      </c>
      <c r="LX15" s="34">
        <f t="shared" ca="1" si="77"/>
        <v>0</v>
      </c>
      <c r="LY15" s="34">
        <f t="shared" ca="1" si="78"/>
        <v>0</v>
      </c>
      <c r="LZ15" s="34">
        <f t="shared" ca="1" si="78"/>
        <v>0</v>
      </c>
      <c r="MA15" s="34">
        <f t="shared" ca="1" si="78"/>
        <v>0</v>
      </c>
      <c r="MB15" s="34">
        <f t="shared" ca="1" si="78"/>
        <v>0</v>
      </c>
      <c r="MC15" s="34">
        <f t="shared" ca="1" si="78"/>
        <v>0</v>
      </c>
      <c r="MD15" s="34">
        <f t="shared" ca="1" si="78"/>
        <v>0</v>
      </c>
      <c r="ME15" s="34">
        <f t="shared" ca="1" si="78"/>
        <v>0</v>
      </c>
      <c r="MF15" s="34">
        <f t="shared" ca="1" si="78"/>
        <v>0</v>
      </c>
      <c r="MG15" s="34">
        <f t="shared" ca="1" si="78"/>
        <v>0</v>
      </c>
      <c r="MH15" s="34">
        <f t="shared" ca="1" si="78"/>
        <v>0</v>
      </c>
      <c r="MI15" s="34">
        <f t="shared" ca="1" si="79"/>
        <v>0</v>
      </c>
      <c r="MJ15" s="34">
        <f t="shared" ca="1" si="79"/>
        <v>0</v>
      </c>
      <c r="MK15" s="34">
        <f t="shared" ca="1" si="79"/>
        <v>0</v>
      </c>
      <c r="ML15" s="34">
        <f t="shared" ca="1" si="79"/>
        <v>0</v>
      </c>
      <c r="MM15" s="34">
        <f t="shared" ca="1" si="79"/>
        <v>0</v>
      </c>
      <c r="MN15" s="34">
        <f t="shared" ca="1" si="79"/>
        <v>0</v>
      </c>
      <c r="MO15" s="34">
        <f t="shared" ca="1" si="79"/>
        <v>0</v>
      </c>
      <c r="MP15" s="34">
        <f t="shared" ca="1" si="79"/>
        <v>0</v>
      </c>
      <c r="MQ15" s="34">
        <f t="shared" ca="1" si="79"/>
        <v>0</v>
      </c>
      <c r="MR15" s="34">
        <f t="shared" ca="1" si="79"/>
        <v>0</v>
      </c>
      <c r="MS15" s="34">
        <f t="shared" ca="1" si="80"/>
        <v>0</v>
      </c>
      <c r="MT15" s="34">
        <f t="shared" ca="1" si="80"/>
        <v>0</v>
      </c>
      <c r="MU15" s="34">
        <f t="shared" ca="1" si="80"/>
        <v>0</v>
      </c>
      <c r="MV15" s="34">
        <f t="shared" ca="1" si="80"/>
        <v>0</v>
      </c>
      <c r="MW15" s="34">
        <f t="shared" ca="1" si="80"/>
        <v>0</v>
      </c>
      <c r="MX15" s="34">
        <f t="shared" ca="1" si="80"/>
        <v>0</v>
      </c>
      <c r="MY15" s="34">
        <f t="shared" ca="1" si="80"/>
        <v>0</v>
      </c>
      <c r="MZ15" s="34">
        <f t="shared" ca="1" si="80"/>
        <v>0</v>
      </c>
      <c r="NA15" s="34">
        <f t="shared" ca="1" si="80"/>
        <v>0</v>
      </c>
      <c r="NB15" s="34">
        <f t="shared" ca="1" si="80"/>
        <v>0</v>
      </c>
      <c r="NC15" s="34">
        <f t="shared" ca="1" si="81"/>
        <v>0</v>
      </c>
      <c r="ND15" s="34">
        <f t="shared" ca="1" si="81"/>
        <v>0</v>
      </c>
      <c r="NE15" s="34">
        <f t="shared" ca="1" si="81"/>
        <v>0</v>
      </c>
      <c r="NF15" s="34">
        <f t="shared" ca="1" si="81"/>
        <v>0</v>
      </c>
      <c r="NG15" s="34">
        <f t="shared" ca="1" si="81"/>
        <v>0</v>
      </c>
      <c r="NH15" s="34">
        <f t="shared" ca="1" si="81"/>
        <v>0</v>
      </c>
      <c r="NI15" s="34">
        <f t="shared" ca="1" si="81"/>
        <v>0</v>
      </c>
      <c r="NJ15" s="34">
        <f t="shared" ca="1" si="81"/>
        <v>0</v>
      </c>
      <c r="NK15" s="34">
        <f t="shared" ca="1" si="81"/>
        <v>0</v>
      </c>
      <c r="NL15" s="34">
        <f t="shared" ca="1" si="81"/>
        <v>0</v>
      </c>
      <c r="NM15" s="34">
        <f t="shared" ca="1" si="82"/>
        <v>0</v>
      </c>
      <c r="NN15" s="34">
        <f t="shared" ca="1" si="82"/>
        <v>0</v>
      </c>
      <c r="NO15" s="34">
        <f t="shared" ca="1" si="82"/>
        <v>0</v>
      </c>
      <c r="NP15" s="34">
        <f t="shared" ca="1" si="82"/>
        <v>0</v>
      </c>
      <c r="NQ15" s="34">
        <f t="shared" ca="1" si="82"/>
        <v>0</v>
      </c>
      <c r="NR15" s="34">
        <f t="shared" ca="1" si="82"/>
        <v>0</v>
      </c>
      <c r="NS15" s="34">
        <f t="shared" ca="1" si="82"/>
        <v>0</v>
      </c>
      <c r="NT15" s="34">
        <f t="shared" ca="1" si="82"/>
        <v>0</v>
      </c>
      <c r="NU15" s="34">
        <f t="shared" ca="1" si="82"/>
        <v>0</v>
      </c>
      <c r="NV15" s="34">
        <f t="shared" ca="1" si="82"/>
        <v>0</v>
      </c>
      <c r="NW15" s="34">
        <f t="shared" ca="1" si="83"/>
        <v>0</v>
      </c>
      <c r="NX15" s="34">
        <f t="shared" ca="1" si="83"/>
        <v>0</v>
      </c>
      <c r="NY15" s="34">
        <f t="shared" ca="1" si="83"/>
        <v>0</v>
      </c>
      <c r="NZ15" s="34">
        <f t="shared" ca="1" si="83"/>
        <v>0</v>
      </c>
      <c r="OA15" s="34">
        <f t="shared" ca="1" si="83"/>
        <v>0</v>
      </c>
      <c r="OB15" s="34">
        <f t="shared" ca="1" si="83"/>
        <v>0</v>
      </c>
      <c r="OC15" s="34">
        <f t="shared" ca="1" si="83"/>
        <v>0</v>
      </c>
      <c r="OD15" s="34">
        <f t="shared" ca="1" si="83"/>
        <v>0</v>
      </c>
      <c r="OE15" s="34">
        <f t="shared" ca="1" si="83"/>
        <v>0</v>
      </c>
      <c r="OF15" s="34">
        <f t="shared" ca="1" si="83"/>
        <v>0</v>
      </c>
      <c r="OG15" s="34">
        <f t="shared" ca="1" si="84"/>
        <v>0</v>
      </c>
      <c r="OH15" s="34">
        <f t="shared" ca="1" si="84"/>
        <v>0</v>
      </c>
      <c r="OI15" s="34">
        <f t="shared" ca="1" si="84"/>
        <v>0</v>
      </c>
      <c r="OJ15" s="34">
        <f t="shared" ca="1" si="84"/>
        <v>0</v>
      </c>
      <c r="OK15" s="34">
        <f t="shared" ca="1" si="84"/>
        <v>0</v>
      </c>
      <c r="OL15" s="34">
        <f t="shared" ca="1" si="84"/>
        <v>0</v>
      </c>
      <c r="OM15" s="34">
        <f t="shared" ca="1" si="84"/>
        <v>0</v>
      </c>
      <c r="ON15" s="34">
        <f t="shared" ca="1" si="84"/>
        <v>0</v>
      </c>
      <c r="OO15" s="34">
        <f t="shared" ca="1" si="84"/>
        <v>0</v>
      </c>
      <c r="OP15" s="34">
        <f t="shared" ca="1" si="84"/>
        <v>0</v>
      </c>
      <c r="OQ15" s="34">
        <f t="shared" ca="1" si="85"/>
        <v>0</v>
      </c>
      <c r="OR15" s="34">
        <f t="shared" ca="1" si="85"/>
        <v>0</v>
      </c>
      <c r="OS15" s="34">
        <f t="shared" ca="1" si="85"/>
        <v>0</v>
      </c>
      <c r="OT15" s="34">
        <f t="shared" ca="1" si="85"/>
        <v>0</v>
      </c>
      <c r="OU15" s="34">
        <f t="shared" ca="1" si="85"/>
        <v>0</v>
      </c>
      <c r="OV15" s="34">
        <f t="shared" ca="1" si="85"/>
        <v>0</v>
      </c>
      <c r="OW15" s="34">
        <f t="shared" ca="1" si="85"/>
        <v>0</v>
      </c>
      <c r="OX15" s="34">
        <f t="shared" ca="1" si="85"/>
        <v>0</v>
      </c>
      <c r="OY15" s="34">
        <f t="shared" ca="1" si="85"/>
        <v>0</v>
      </c>
      <c r="OZ15" s="34">
        <f t="shared" ca="1" si="85"/>
        <v>0</v>
      </c>
      <c r="PA15" s="34">
        <f t="shared" ca="1" si="86"/>
        <v>0</v>
      </c>
      <c r="PB15" s="34">
        <f t="shared" ca="1" si="86"/>
        <v>0</v>
      </c>
      <c r="PC15" s="34">
        <f t="shared" ca="1" si="86"/>
        <v>0</v>
      </c>
      <c r="PD15" s="34">
        <f t="shared" ca="1" si="86"/>
        <v>0</v>
      </c>
      <c r="PE15" s="34">
        <f t="shared" ca="1" si="86"/>
        <v>0</v>
      </c>
      <c r="PF15" s="34">
        <f t="shared" ca="1" si="86"/>
        <v>0</v>
      </c>
      <c r="PG15" s="34">
        <f t="shared" ca="1" si="86"/>
        <v>0</v>
      </c>
      <c r="PH15" s="34">
        <f t="shared" ca="1" si="86"/>
        <v>0</v>
      </c>
      <c r="PI15" s="34">
        <f t="shared" ca="1" si="86"/>
        <v>0</v>
      </c>
      <c r="PJ15" s="34">
        <f t="shared" ca="1" si="86"/>
        <v>0</v>
      </c>
      <c r="PK15" s="34">
        <f t="shared" ca="1" si="87"/>
        <v>0</v>
      </c>
      <c r="PL15" s="34">
        <f t="shared" ca="1" si="87"/>
        <v>0</v>
      </c>
      <c r="PM15" s="34">
        <f t="shared" ca="1" si="87"/>
        <v>0</v>
      </c>
      <c r="PN15" s="34">
        <f t="shared" ca="1" si="87"/>
        <v>0</v>
      </c>
      <c r="PO15" s="34">
        <f t="shared" ca="1" si="87"/>
        <v>0</v>
      </c>
      <c r="PP15" s="34">
        <f t="shared" ca="1" si="87"/>
        <v>0</v>
      </c>
      <c r="PQ15" s="34">
        <f t="shared" ca="1" si="87"/>
        <v>0</v>
      </c>
      <c r="PR15" s="34">
        <f t="shared" ca="1" si="87"/>
        <v>0</v>
      </c>
      <c r="PS15" s="34">
        <f t="shared" ca="1" si="87"/>
        <v>0</v>
      </c>
      <c r="PT15" s="34">
        <f t="shared" ca="1" si="87"/>
        <v>0</v>
      </c>
      <c r="PU15" s="34">
        <f t="shared" ca="1" si="88"/>
        <v>0</v>
      </c>
      <c r="PV15" s="34">
        <f t="shared" ca="1" si="88"/>
        <v>0</v>
      </c>
      <c r="PW15" s="34">
        <f t="shared" ca="1" si="88"/>
        <v>0</v>
      </c>
      <c r="PX15" s="34">
        <f t="shared" ca="1" si="88"/>
        <v>0</v>
      </c>
      <c r="PY15" s="34">
        <f t="shared" ca="1" si="88"/>
        <v>0</v>
      </c>
      <c r="PZ15" s="34">
        <f t="shared" ca="1" si="88"/>
        <v>0</v>
      </c>
      <c r="QA15" s="34">
        <f t="shared" ca="1" si="88"/>
        <v>0</v>
      </c>
      <c r="QB15" s="34">
        <f t="shared" ca="1" si="88"/>
        <v>0</v>
      </c>
      <c r="QC15" s="34">
        <f t="shared" ca="1" si="88"/>
        <v>0</v>
      </c>
      <c r="QD15" s="34">
        <f t="shared" ca="1" si="88"/>
        <v>0</v>
      </c>
      <c r="QE15" s="34">
        <f t="shared" ca="1" si="89"/>
        <v>0</v>
      </c>
      <c r="QF15" s="34">
        <f t="shared" ca="1" si="89"/>
        <v>0</v>
      </c>
      <c r="QG15" s="34">
        <f t="shared" ca="1" si="89"/>
        <v>0</v>
      </c>
      <c r="QH15" s="34">
        <f t="shared" ca="1" si="89"/>
        <v>0</v>
      </c>
      <c r="QI15" s="34">
        <f t="shared" ca="1" si="89"/>
        <v>0</v>
      </c>
      <c r="QJ15" s="34">
        <f t="shared" ca="1" si="89"/>
        <v>0</v>
      </c>
      <c r="QK15" s="34">
        <f t="shared" ca="1" si="89"/>
        <v>0</v>
      </c>
      <c r="QL15" s="34">
        <f t="shared" ca="1" si="89"/>
        <v>0</v>
      </c>
      <c r="QM15" s="34">
        <f t="shared" ca="1" si="89"/>
        <v>0</v>
      </c>
      <c r="QN15" s="34">
        <f t="shared" ca="1" si="89"/>
        <v>0</v>
      </c>
      <c r="QO15" s="34">
        <f t="shared" ca="1" si="90"/>
        <v>0</v>
      </c>
      <c r="QP15" s="34">
        <f t="shared" ca="1" si="90"/>
        <v>0</v>
      </c>
      <c r="QQ15" s="34">
        <f t="shared" ca="1" si="90"/>
        <v>0</v>
      </c>
      <c r="QR15" s="34">
        <f t="shared" ca="1" si="90"/>
        <v>0</v>
      </c>
      <c r="QS15" s="34">
        <f t="shared" ca="1" si="90"/>
        <v>0</v>
      </c>
      <c r="QT15" s="34">
        <f t="shared" ca="1" si="90"/>
        <v>0</v>
      </c>
      <c r="QU15" s="34">
        <f t="shared" ca="1" si="90"/>
        <v>0</v>
      </c>
      <c r="QV15" s="34">
        <f t="shared" ca="1" si="90"/>
        <v>0</v>
      </c>
      <c r="QW15" s="34">
        <f t="shared" ca="1" si="90"/>
        <v>0</v>
      </c>
      <c r="QX15" s="34">
        <f t="shared" ca="1" si="90"/>
        <v>0</v>
      </c>
      <c r="QY15" s="34">
        <f t="shared" ca="1" si="91"/>
        <v>0</v>
      </c>
      <c r="QZ15" s="34">
        <f t="shared" ca="1" si="91"/>
        <v>0</v>
      </c>
      <c r="RA15" s="34">
        <f t="shared" ca="1" si="91"/>
        <v>0</v>
      </c>
      <c r="RB15" s="34">
        <f t="shared" ca="1" si="91"/>
        <v>0</v>
      </c>
      <c r="RC15" s="34">
        <f t="shared" ca="1" si="91"/>
        <v>0</v>
      </c>
      <c r="RD15" s="34">
        <f t="shared" ca="1" si="91"/>
        <v>0</v>
      </c>
      <c r="RE15" s="34">
        <f t="shared" ca="1" si="91"/>
        <v>0</v>
      </c>
      <c r="RF15" s="34">
        <f t="shared" ca="1" si="91"/>
        <v>0</v>
      </c>
      <c r="RG15" s="34">
        <f t="shared" ca="1" si="91"/>
        <v>0</v>
      </c>
      <c r="RH15" s="34">
        <f t="shared" ca="1" si="91"/>
        <v>0</v>
      </c>
      <c r="RI15" s="34">
        <f t="shared" ca="1" si="92"/>
        <v>0</v>
      </c>
      <c r="RJ15" s="34">
        <f t="shared" ca="1" si="92"/>
        <v>0</v>
      </c>
      <c r="RK15" s="34">
        <f t="shared" ca="1" si="92"/>
        <v>0</v>
      </c>
      <c r="RL15" s="34">
        <f t="shared" ca="1" si="92"/>
        <v>0</v>
      </c>
      <c r="RM15" s="34">
        <f t="shared" ca="1" si="92"/>
        <v>0</v>
      </c>
      <c r="RN15" s="34">
        <f t="shared" ca="1" si="92"/>
        <v>0</v>
      </c>
      <c r="RO15" s="34">
        <f t="shared" ca="1" si="92"/>
        <v>0</v>
      </c>
      <c r="RP15" s="34">
        <f t="shared" ca="1" si="92"/>
        <v>0</v>
      </c>
      <c r="RQ15" s="34">
        <f t="shared" ca="1" si="92"/>
        <v>0</v>
      </c>
      <c r="RR15" s="34">
        <f t="shared" ca="1" si="92"/>
        <v>0</v>
      </c>
      <c r="RS15" s="34">
        <f t="shared" ca="1" si="93"/>
        <v>0</v>
      </c>
      <c r="RT15" s="34">
        <f t="shared" ca="1" si="93"/>
        <v>0</v>
      </c>
      <c r="RU15" s="34">
        <f t="shared" ca="1" si="93"/>
        <v>0</v>
      </c>
      <c r="RV15" s="34">
        <f t="shared" ca="1" si="93"/>
        <v>0</v>
      </c>
      <c r="RW15" s="34">
        <f t="shared" ca="1" si="93"/>
        <v>0</v>
      </c>
      <c r="RX15" s="34">
        <f t="shared" ca="1" si="93"/>
        <v>0</v>
      </c>
      <c r="RY15" s="34">
        <f t="shared" ca="1" si="93"/>
        <v>0</v>
      </c>
      <c r="RZ15" s="34">
        <f t="shared" ca="1" si="93"/>
        <v>0</v>
      </c>
      <c r="SA15" s="34">
        <f t="shared" ca="1" si="93"/>
        <v>0</v>
      </c>
      <c r="SB15" s="34">
        <f t="shared" ca="1" si="93"/>
        <v>0</v>
      </c>
      <c r="SC15" s="34">
        <f t="shared" ca="1" si="94"/>
        <v>0</v>
      </c>
      <c r="SD15" s="34">
        <f t="shared" ca="1" si="94"/>
        <v>0</v>
      </c>
      <c r="SE15" s="34">
        <f t="shared" ca="1" si="94"/>
        <v>0</v>
      </c>
      <c r="SF15" s="34">
        <f t="shared" ca="1" si="94"/>
        <v>0</v>
      </c>
      <c r="SG15" s="34">
        <f t="shared" ca="1" si="94"/>
        <v>0</v>
      </c>
      <c r="SH15" s="34">
        <f t="shared" ca="1" si="94"/>
        <v>0</v>
      </c>
      <c r="SI15" s="34">
        <f t="shared" ca="1" si="94"/>
        <v>0</v>
      </c>
      <c r="SJ15" s="34">
        <f t="shared" ca="1" si="94"/>
        <v>0</v>
      </c>
      <c r="SK15" s="34">
        <f t="shared" ca="1" si="94"/>
        <v>0</v>
      </c>
      <c r="SL15" s="34">
        <f t="shared" ca="1" si="94"/>
        <v>0</v>
      </c>
      <c r="SM15" s="34">
        <f t="shared" ca="1" si="95"/>
        <v>0</v>
      </c>
      <c r="SN15" s="34">
        <f t="shared" ca="1" si="95"/>
        <v>0</v>
      </c>
      <c r="SO15" s="34">
        <f t="shared" ca="1" si="95"/>
        <v>0</v>
      </c>
      <c r="SP15" s="34">
        <f t="shared" ca="1" si="95"/>
        <v>0</v>
      </c>
      <c r="SQ15" s="34">
        <f t="shared" ca="1" si="95"/>
        <v>0</v>
      </c>
      <c r="SR15" s="34">
        <f t="shared" ca="1" si="95"/>
        <v>0</v>
      </c>
      <c r="SS15" s="34">
        <f t="shared" ca="1" si="95"/>
        <v>0</v>
      </c>
      <c r="ST15" s="34">
        <f t="shared" ca="1" si="95"/>
        <v>0</v>
      </c>
      <c r="SU15" s="34">
        <f t="shared" ca="1" si="95"/>
        <v>0</v>
      </c>
      <c r="SV15" s="34">
        <f t="shared" ca="1" si="95"/>
        <v>0</v>
      </c>
      <c r="SW15" s="34">
        <f t="shared" ca="1" si="96"/>
        <v>0</v>
      </c>
      <c r="SX15" s="34">
        <f t="shared" ca="1" si="96"/>
        <v>0</v>
      </c>
      <c r="SY15" s="34">
        <f t="shared" ca="1" si="96"/>
        <v>0</v>
      </c>
      <c r="SZ15" s="34">
        <f t="shared" ca="1" si="96"/>
        <v>0</v>
      </c>
      <c r="TA15" s="34">
        <f t="shared" ca="1" si="96"/>
        <v>0</v>
      </c>
      <c r="TB15" s="34">
        <f t="shared" ca="1" si="96"/>
        <v>0</v>
      </c>
      <c r="TC15" s="34">
        <f t="shared" ca="1" si="96"/>
        <v>0</v>
      </c>
      <c r="TD15" s="34">
        <f t="shared" ca="1" si="96"/>
        <v>0</v>
      </c>
      <c r="TE15" s="34">
        <f t="shared" ca="1" si="96"/>
        <v>0</v>
      </c>
      <c r="TF15" s="34">
        <f t="shared" ca="1" si="96"/>
        <v>0</v>
      </c>
      <c r="TG15" s="34">
        <f t="shared" ca="1" si="97"/>
        <v>0</v>
      </c>
      <c r="TH15" s="34">
        <f t="shared" ca="1" si="97"/>
        <v>0</v>
      </c>
      <c r="TI15" s="34">
        <f t="shared" ca="1" si="97"/>
        <v>0</v>
      </c>
      <c r="TJ15" s="34">
        <f t="shared" ca="1" si="97"/>
        <v>0</v>
      </c>
      <c r="TK15" s="34">
        <f t="shared" ca="1" si="97"/>
        <v>0</v>
      </c>
      <c r="TL15" s="34">
        <f t="shared" ca="1" si="97"/>
        <v>0</v>
      </c>
      <c r="TM15" s="34">
        <f t="shared" ca="1" si="97"/>
        <v>0</v>
      </c>
      <c r="TN15" s="34">
        <f t="shared" ca="1" si="97"/>
        <v>0</v>
      </c>
      <c r="TO15" s="34">
        <f t="shared" ca="1" si="97"/>
        <v>0</v>
      </c>
      <c r="TP15" s="34">
        <f t="shared" ca="1" si="97"/>
        <v>0</v>
      </c>
      <c r="TQ15" s="34">
        <f t="shared" ca="1" si="98"/>
        <v>0</v>
      </c>
      <c r="TR15" s="34">
        <f t="shared" ca="1" si="98"/>
        <v>0</v>
      </c>
      <c r="TS15" s="34">
        <f t="shared" ca="1" si="98"/>
        <v>0</v>
      </c>
      <c r="TT15" s="34">
        <f t="shared" ca="1" si="98"/>
        <v>0</v>
      </c>
      <c r="TU15" s="34">
        <f t="shared" ca="1" si="98"/>
        <v>0</v>
      </c>
      <c r="TV15" s="34">
        <f t="shared" ca="1" si="98"/>
        <v>0</v>
      </c>
      <c r="TW15" s="34">
        <f t="shared" ca="1" si="98"/>
        <v>0</v>
      </c>
      <c r="TX15" s="34">
        <f t="shared" ca="1" si="98"/>
        <v>0</v>
      </c>
      <c r="TY15" s="34">
        <f t="shared" ca="1" si="98"/>
        <v>0</v>
      </c>
      <c r="TZ15" s="34">
        <f t="shared" ca="1" si="98"/>
        <v>0</v>
      </c>
      <c r="UA15" s="34">
        <f t="shared" ca="1" si="99"/>
        <v>0</v>
      </c>
      <c r="UB15" s="34">
        <f t="shared" ca="1" si="99"/>
        <v>0</v>
      </c>
      <c r="UC15" s="34">
        <f t="shared" ca="1" si="99"/>
        <v>0</v>
      </c>
      <c r="UD15" s="34">
        <f t="shared" ca="1" si="99"/>
        <v>0</v>
      </c>
      <c r="UE15" s="34">
        <f t="shared" ca="1" si="99"/>
        <v>0</v>
      </c>
      <c r="UF15" s="34">
        <f t="shared" ca="1" si="99"/>
        <v>0</v>
      </c>
      <c r="UG15" s="34">
        <f t="shared" ca="1" si="99"/>
        <v>0</v>
      </c>
      <c r="UH15" s="34">
        <f t="shared" ca="1" si="99"/>
        <v>0</v>
      </c>
      <c r="UI15" s="34">
        <f t="shared" ca="1" si="99"/>
        <v>0</v>
      </c>
      <c r="UJ15" s="34">
        <f t="shared" ca="1" si="99"/>
        <v>0</v>
      </c>
      <c r="UK15" s="34">
        <f t="shared" ca="1" si="100"/>
        <v>0</v>
      </c>
      <c r="UL15" s="34">
        <f t="shared" ca="1" si="100"/>
        <v>0</v>
      </c>
      <c r="UM15" s="34">
        <f t="shared" ca="1" si="100"/>
        <v>0</v>
      </c>
      <c r="UN15" s="34">
        <f t="shared" ca="1" si="100"/>
        <v>0</v>
      </c>
      <c r="UO15" s="34">
        <f t="shared" ca="1" si="100"/>
        <v>0</v>
      </c>
      <c r="UP15" s="34">
        <f t="shared" ca="1" si="100"/>
        <v>0</v>
      </c>
      <c r="UQ15" s="34">
        <f t="shared" ca="1" si="100"/>
        <v>0</v>
      </c>
      <c r="UR15" s="34">
        <f t="shared" ca="1" si="100"/>
        <v>0</v>
      </c>
      <c r="US15" s="34">
        <f t="shared" ca="1" si="100"/>
        <v>0</v>
      </c>
      <c r="UT15" s="34">
        <f t="shared" ca="1" si="100"/>
        <v>0</v>
      </c>
      <c r="UU15" s="34">
        <f t="shared" ca="1" si="101"/>
        <v>0</v>
      </c>
      <c r="UV15" s="34">
        <f t="shared" ca="1" si="101"/>
        <v>0</v>
      </c>
      <c r="UW15" s="34">
        <f t="shared" ca="1" si="101"/>
        <v>0</v>
      </c>
      <c r="UX15" s="34">
        <f t="shared" ca="1" si="101"/>
        <v>0</v>
      </c>
      <c r="UY15" s="34">
        <f t="shared" ca="1" si="101"/>
        <v>0</v>
      </c>
      <c r="UZ15" s="34">
        <f t="shared" ca="1" si="101"/>
        <v>0</v>
      </c>
      <c r="VA15" s="34">
        <f t="shared" ca="1" si="101"/>
        <v>0</v>
      </c>
      <c r="VB15" s="34">
        <f t="shared" ca="1" si="101"/>
        <v>0</v>
      </c>
      <c r="VC15" s="34">
        <f t="shared" ca="1" si="101"/>
        <v>0</v>
      </c>
      <c r="VD15" s="34">
        <f t="shared" ca="1" si="101"/>
        <v>0</v>
      </c>
      <c r="VE15" s="34">
        <f t="shared" ca="1" si="102"/>
        <v>0</v>
      </c>
      <c r="VF15" s="34">
        <f t="shared" ca="1" si="102"/>
        <v>0</v>
      </c>
      <c r="VG15" s="34">
        <f t="shared" ca="1" si="102"/>
        <v>0</v>
      </c>
      <c r="VH15" s="34">
        <f t="shared" ca="1" si="102"/>
        <v>0</v>
      </c>
      <c r="VI15" s="34">
        <f t="shared" ca="1" si="102"/>
        <v>0</v>
      </c>
      <c r="VJ15" s="34">
        <f t="shared" ca="1" si="102"/>
        <v>0</v>
      </c>
      <c r="VK15" s="34">
        <f t="shared" ca="1" si="102"/>
        <v>0</v>
      </c>
      <c r="VL15" s="34">
        <f t="shared" ca="1" si="102"/>
        <v>0</v>
      </c>
      <c r="VM15" s="34">
        <f t="shared" ca="1" si="102"/>
        <v>0</v>
      </c>
      <c r="VN15" s="34">
        <f t="shared" ca="1" si="102"/>
        <v>0</v>
      </c>
      <c r="VO15" s="34">
        <f t="shared" ca="1" si="103"/>
        <v>0</v>
      </c>
      <c r="VP15" s="34">
        <f t="shared" ca="1" si="103"/>
        <v>0</v>
      </c>
      <c r="VQ15" s="34">
        <f t="shared" ca="1" si="103"/>
        <v>0</v>
      </c>
      <c r="VR15" s="34">
        <f t="shared" ca="1" si="103"/>
        <v>0</v>
      </c>
      <c r="VS15" s="34">
        <f t="shared" ca="1" si="103"/>
        <v>0</v>
      </c>
      <c r="VT15" s="34">
        <f t="shared" ca="1" si="103"/>
        <v>0</v>
      </c>
      <c r="VU15" s="34">
        <f t="shared" ca="1" si="103"/>
        <v>0</v>
      </c>
      <c r="VV15" s="34">
        <f t="shared" ca="1" si="103"/>
        <v>0</v>
      </c>
      <c r="VW15" s="34">
        <f t="shared" ca="1" si="103"/>
        <v>0</v>
      </c>
      <c r="VX15" s="34">
        <f t="shared" ca="1" si="103"/>
        <v>0</v>
      </c>
      <c r="VY15" s="34">
        <f t="shared" ca="1" si="104"/>
        <v>0</v>
      </c>
      <c r="VZ15" s="34">
        <f t="shared" ca="1" si="104"/>
        <v>0</v>
      </c>
      <c r="WA15" s="34">
        <f t="shared" ca="1" si="104"/>
        <v>0</v>
      </c>
      <c r="WB15" s="34">
        <f t="shared" ca="1" si="104"/>
        <v>0</v>
      </c>
      <c r="WC15" s="34">
        <f t="shared" ca="1" si="104"/>
        <v>0</v>
      </c>
      <c r="WD15" s="34">
        <f t="shared" ca="1" si="104"/>
        <v>0</v>
      </c>
      <c r="WE15" s="34">
        <f t="shared" ca="1" si="104"/>
        <v>0</v>
      </c>
      <c r="WF15" s="34">
        <f t="shared" ca="1" si="104"/>
        <v>0</v>
      </c>
      <c r="WG15" s="34">
        <f t="shared" ca="1" si="104"/>
        <v>0</v>
      </c>
      <c r="WH15" s="34">
        <f t="shared" ca="1" si="104"/>
        <v>0</v>
      </c>
      <c r="WI15" s="34">
        <f t="shared" ca="1" si="105"/>
        <v>0</v>
      </c>
      <c r="WJ15" s="34">
        <f t="shared" ca="1" si="105"/>
        <v>0</v>
      </c>
      <c r="WK15" s="34">
        <f t="shared" ca="1" si="105"/>
        <v>0</v>
      </c>
      <c r="WL15" s="34">
        <f t="shared" ca="1" si="105"/>
        <v>0</v>
      </c>
      <c r="WM15" s="34">
        <f t="shared" ca="1" si="105"/>
        <v>0</v>
      </c>
      <c r="WN15" s="34">
        <f t="shared" ca="1" si="105"/>
        <v>0</v>
      </c>
      <c r="WO15" s="34">
        <f t="shared" ca="1" si="105"/>
        <v>0</v>
      </c>
      <c r="WP15" s="34">
        <f t="shared" ca="1" si="105"/>
        <v>0</v>
      </c>
      <c r="WQ15" s="34">
        <f t="shared" ca="1" si="105"/>
        <v>0</v>
      </c>
      <c r="WR15" s="34">
        <f t="shared" ca="1" si="105"/>
        <v>0</v>
      </c>
      <c r="WS15" s="34">
        <f t="shared" ca="1" si="106"/>
        <v>0</v>
      </c>
      <c r="WT15" s="34">
        <f t="shared" ca="1" si="106"/>
        <v>0</v>
      </c>
      <c r="WU15" s="34">
        <f t="shared" ca="1" si="106"/>
        <v>0</v>
      </c>
      <c r="WV15" s="34">
        <f t="shared" ca="1" si="106"/>
        <v>0</v>
      </c>
      <c r="WW15" s="34">
        <f t="shared" ca="1" si="106"/>
        <v>0</v>
      </c>
      <c r="WX15" s="34">
        <f t="shared" ca="1" si="106"/>
        <v>0</v>
      </c>
      <c r="WY15" s="34">
        <f t="shared" ca="1" si="106"/>
        <v>0</v>
      </c>
      <c r="WZ15" s="34">
        <f t="shared" ca="1" si="106"/>
        <v>0</v>
      </c>
      <c r="XA15" s="34">
        <f t="shared" ca="1" si="106"/>
        <v>0</v>
      </c>
      <c r="XB15" s="34">
        <f t="shared" ca="1" si="106"/>
        <v>0</v>
      </c>
      <c r="XC15" s="34">
        <f t="shared" ca="1" si="107"/>
        <v>0</v>
      </c>
      <c r="XD15" s="34">
        <f t="shared" ca="1" si="107"/>
        <v>0</v>
      </c>
      <c r="XE15" s="34">
        <f t="shared" ca="1" si="107"/>
        <v>0</v>
      </c>
      <c r="XF15" s="34">
        <f t="shared" ca="1" si="107"/>
        <v>0</v>
      </c>
      <c r="XG15" s="34">
        <f t="shared" ca="1" si="107"/>
        <v>0</v>
      </c>
      <c r="XH15" s="34">
        <f t="shared" ca="1" si="107"/>
        <v>0</v>
      </c>
      <c r="XI15" s="34">
        <f t="shared" ca="1" si="107"/>
        <v>0</v>
      </c>
      <c r="XJ15" s="34">
        <f t="shared" ca="1" si="107"/>
        <v>0</v>
      </c>
      <c r="XK15" s="34">
        <f t="shared" ca="1" si="107"/>
        <v>0</v>
      </c>
      <c r="XL15" s="34">
        <f t="shared" ca="1" si="107"/>
        <v>0</v>
      </c>
      <c r="XM15" s="34">
        <f t="shared" ca="1" si="108"/>
        <v>0</v>
      </c>
      <c r="XN15" s="34">
        <f t="shared" ca="1" si="108"/>
        <v>0</v>
      </c>
      <c r="XO15" s="34">
        <f t="shared" ca="1" si="108"/>
        <v>0</v>
      </c>
      <c r="XP15" s="34">
        <f t="shared" ca="1" si="108"/>
        <v>0</v>
      </c>
      <c r="XQ15" s="34">
        <f t="shared" ca="1" si="108"/>
        <v>0</v>
      </c>
      <c r="XR15" s="34">
        <f t="shared" ca="1" si="108"/>
        <v>0</v>
      </c>
      <c r="XS15" s="34">
        <f t="shared" ca="1" si="108"/>
        <v>0</v>
      </c>
      <c r="XT15" s="34">
        <f t="shared" ca="1" si="108"/>
        <v>0</v>
      </c>
      <c r="XU15" s="34">
        <f t="shared" ca="1" si="108"/>
        <v>0</v>
      </c>
      <c r="XV15" s="34">
        <f t="shared" ca="1" si="108"/>
        <v>0</v>
      </c>
      <c r="XW15" s="34">
        <f t="shared" ca="1" si="109"/>
        <v>0</v>
      </c>
      <c r="XX15" s="34">
        <f t="shared" ca="1" si="109"/>
        <v>0</v>
      </c>
      <c r="XY15" s="34">
        <f t="shared" ca="1" si="109"/>
        <v>0</v>
      </c>
      <c r="XZ15" s="34">
        <f t="shared" ca="1" si="109"/>
        <v>0</v>
      </c>
      <c r="YA15" s="34">
        <f t="shared" ca="1" si="109"/>
        <v>0</v>
      </c>
      <c r="YB15" s="34">
        <f t="shared" ca="1" si="109"/>
        <v>0</v>
      </c>
      <c r="YC15" s="34">
        <f t="shared" ca="1" si="109"/>
        <v>0</v>
      </c>
      <c r="YD15" s="34">
        <f t="shared" ca="1" si="109"/>
        <v>0</v>
      </c>
      <c r="YE15" s="34">
        <f t="shared" ca="1" si="109"/>
        <v>0</v>
      </c>
      <c r="YF15" s="34">
        <f t="shared" ca="1" si="109"/>
        <v>0</v>
      </c>
      <c r="YG15" s="34">
        <f t="shared" ca="1" si="110"/>
        <v>0</v>
      </c>
      <c r="YH15" s="34">
        <f t="shared" ca="1" si="110"/>
        <v>0</v>
      </c>
      <c r="YI15" s="34">
        <f t="shared" ca="1" si="110"/>
        <v>0</v>
      </c>
      <c r="YJ15" s="34">
        <f t="shared" ca="1" si="110"/>
        <v>0</v>
      </c>
      <c r="YK15" s="34">
        <f t="shared" ca="1" si="110"/>
        <v>0</v>
      </c>
      <c r="YL15" s="34">
        <f t="shared" ca="1" si="110"/>
        <v>0</v>
      </c>
      <c r="YM15" s="34">
        <f t="shared" ca="1" si="110"/>
        <v>0</v>
      </c>
      <c r="YN15" s="34">
        <f t="shared" ca="1" si="110"/>
        <v>0</v>
      </c>
      <c r="YO15" s="34">
        <f t="shared" ca="1" si="110"/>
        <v>0</v>
      </c>
      <c r="YP15" s="34">
        <f t="shared" ca="1" si="110"/>
        <v>0</v>
      </c>
      <c r="YQ15" s="34">
        <f t="shared" ca="1" si="111"/>
        <v>0</v>
      </c>
      <c r="YR15" s="34">
        <f t="shared" ca="1" si="111"/>
        <v>0</v>
      </c>
      <c r="YS15" s="34">
        <f t="shared" ca="1" si="111"/>
        <v>0</v>
      </c>
      <c r="YT15" s="34">
        <f t="shared" ca="1" si="111"/>
        <v>0</v>
      </c>
      <c r="YU15" s="34">
        <f t="shared" ca="1" si="111"/>
        <v>0</v>
      </c>
      <c r="YV15" s="34">
        <f t="shared" ca="1" si="111"/>
        <v>0</v>
      </c>
      <c r="YW15" s="34">
        <f t="shared" ca="1" si="111"/>
        <v>0</v>
      </c>
      <c r="YX15" s="34">
        <f t="shared" ca="1" si="111"/>
        <v>0</v>
      </c>
      <c r="YY15" s="34">
        <f t="shared" ca="1" si="111"/>
        <v>0</v>
      </c>
      <c r="YZ15" s="34">
        <f t="shared" ca="1" si="111"/>
        <v>0</v>
      </c>
      <c r="ZA15" s="34">
        <f t="shared" ca="1" si="112"/>
        <v>0</v>
      </c>
      <c r="ZB15" s="34">
        <f t="shared" ca="1" si="112"/>
        <v>0</v>
      </c>
      <c r="ZC15" s="34">
        <f t="shared" ca="1" si="112"/>
        <v>0</v>
      </c>
      <c r="ZD15" s="34">
        <f t="shared" ca="1" si="112"/>
        <v>0</v>
      </c>
      <c r="ZE15" s="34">
        <f t="shared" ca="1" si="112"/>
        <v>0</v>
      </c>
      <c r="ZF15" s="34">
        <f t="shared" ca="1" si="112"/>
        <v>0</v>
      </c>
      <c r="ZG15" s="34">
        <f t="shared" ca="1" si="112"/>
        <v>0</v>
      </c>
      <c r="ZH15" s="34">
        <f t="shared" ca="1" si="112"/>
        <v>0</v>
      </c>
      <c r="ZI15" s="34">
        <f t="shared" ca="1" si="112"/>
        <v>0</v>
      </c>
      <c r="ZJ15" s="34">
        <f t="shared" ca="1" si="112"/>
        <v>0</v>
      </c>
      <c r="ZK15" s="34">
        <f t="shared" ca="1" si="113"/>
        <v>0</v>
      </c>
      <c r="ZL15" s="34">
        <f t="shared" ca="1" si="113"/>
        <v>0</v>
      </c>
      <c r="ZM15" s="34">
        <f t="shared" ca="1" si="113"/>
        <v>0</v>
      </c>
      <c r="ZN15" s="34">
        <f t="shared" ca="1" si="113"/>
        <v>0</v>
      </c>
      <c r="ZO15" s="34">
        <f t="shared" ca="1" si="113"/>
        <v>0</v>
      </c>
      <c r="ZP15" s="34">
        <f t="shared" ca="1" si="113"/>
        <v>0</v>
      </c>
      <c r="ZQ15" s="34">
        <f t="shared" ca="1" si="113"/>
        <v>0</v>
      </c>
      <c r="ZR15" s="34">
        <f t="shared" ca="1" si="113"/>
        <v>0</v>
      </c>
      <c r="ZS15" s="34">
        <f t="shared" ca="1" si="113"/>
        <v>0</v>
      </c>
      <c r="ZT15" s="34">
        <f t="shared" ca="1" si="113"/>
        <v>0</v>
      </c>
      <c r="ZU15" s="34">
        <f t="shared" ca="1" si="114"/>
        <v>0</v>
      </c>
      <c r="ZV15" s="34">
        <f t="shared" ca="1" si="114"/>
        <v>0</v>
      </c>
      <c r="ZW15" s="34">
        <f t="shared" ca="1" si="114"/>
        <v>0</v>
      </c>
      <c r="ZX15" s="34">
        <f t="shared" ca="1" si="114"/>
        <v>0</v>
      </c>
      <c r="ZY15" s="34">
        <f t="shared" ca="1" si="114"/>
        <v>0</v>
      </c>
      <c r="ZZ15" s="34">
        <f t="shared" ca="1" si="114"/>
        <v>0</v>
      </c>
      <c r="AAA15" s="34">
        <f t="shared" ca="1" si="114"/>
        <v>0</v>
      </c>
      <c r="AAB15" s="34">
        <f t="shared" ca="1" si="114"/>
        <v>0</v>
      </c>
      <c r="AAC15" s="34">
        <f t="shared" ca="1" si="114"/>
        <v>0</v>
      </c>
      <c r="AAD15" s="34">
        <f t="shared" ca="1" si="114"/>
        <v>0</v>
      </c>
      <c r="AAE15" s="34">
        <f t="shared" ca="1" si="115"/>
        <v>0</v>
      </c>
      <c r="AAF15" s="34">
        <f t="shared" ca="1" si="115"/>
        <v>0</v>
      </c>
      <c r="AAG15" s="34">
        <f t="shared" ca="1" si="115"/>
        <v>0</v>
      </c>
      <c r="AAH15" s="34">
        <f t="shared" ca="1" si="115"/>
        <v>0</v>
      </c>
      <c r="AAI15" s="34">
        <f t="shared" ca="1" si="115"/>
        <v>0</v>
      </c>
      <c r="AAJ15" s="34">
        <f t="shared" ca="1" si="115"/>
        <v>0</v>
      </c>
      <c r="AAK15" s="34">
        <f t="shared" ca="1" si="115"/>
        <v>0</v>
      </c>
      <c r="AAL15" s="34">
        <f t="shared" ca="1" si="115"/>
        <v>0</v>
      </c>
      <c r="AAM15" s="34">
        <f t="shared" ca="1" si="115"/>
        <v>0</v>
      </c>
      <c r="AAN15" s="34">
        <f t="shared" ca="1" si="115"/>
        <v>0</v>
      </c>
      <c r="AAO15" s="34">
        <f t="shared" ca="1" si="116"/>
        <v>0</v>
      </c>
      <c r="AAP15" s="34">
        <f t="shared" ca="1" si="116"/>
        <v>0</v>
      </c>
      <c r="AAQ15" s="34">
        <f t="shared" ca="1" si="116"/>
        <v>0</v>
      </c>
      <c r="AAR15" s="34">
        <f t="shared" ca="1" si="116"/>
        <v>0</v>
      </c>
      <c r="AAS15" s="34">
        <f t="shared" ca="1" si="116"/>
        <v>0</v>
      </c>
      <c r="AAT15" s="34">
        <f t="shared" ca="1" si="116"/>
        <v>0</v>
      </c>
      <c r="AAU15" s="34">
        <f t="shared" ca="1" si="116"/>
        <v>0</v>
      </c>
      <c r="AAV15" s="34">
        <f t="shared" ca="1" si="116"/>
        <v>0</v>
      </c>
      <c r="AAW15" s="34">
        <f t="shared" ca="1" si="116"/>
        <v>0</v>
      </c>
      <c r="AAX15" s="34">
        <f t="shared" ca="1" si="116"/>
        <v>0</v>
      </c>
      <c r="AAY15" s="34">
        <f t="shared" ca="1" si="117"/>
        <v>0</v>
      </c>
      <c r="AAZ15" s="34">
        <f t="shared" ca="1" si="117"/>
        <v>0</v>
      </c>
      <c r="ABA15" s="34">
        <f t="shared" ca="1" si="117"/>
        <v>0</v>
      </c>
      <c r="ABB15" s="34">
        <f t="shared" ca="1" si="117"/>
        <v>0</v>
      </c>
      <c r="ABC15" s="34">
        <f t="shared" ca="1" si="117"/>
        <v>0</v>
      </c>
      <c r="ABD15" s="34">
        <f t="shared" ca="1" si="117"/>
        <v>0</v>
      </c>
      <c r="ABE15" s="34">
        <f t="shared" ca="1" si="117"/>
        <v>0</v>
      </c>
      <c r="ABF15" s="34">
        <f t="shared" ca="1" si="117"/>
        <v>0</v>
      </c>
      <c r="ABG15" s="34">
        <f t="shared" ca="1" si="117"/>
        <v>0</v>
      </c>
      <c r="ABH15" s="34">
        <f t="shared" ca="1" si="117"/>
        <v>0</v>
      </c>
      <c r="ABI15" s="34">
        <f t="shared" ca="1" si="118"/>
        <v>0</v>
      </c>
      <c r="ABJ15" s="34">
        <f t="shared" ca="1" si="118"/>
        <v>0</v>
      </c>
      <c r="ABK15" s="34">
        <f t="shared" ca="1" si="118"/>
        <v>0</v>
      </c>
      <c r="ABL15" s="34">
        <f t="shared" ca="1" si="118"/>
        <v>0</v>
      </c>
      <c r="ABM15" s="34">
        <f t="shared" ca="1" si="118"/>
        <v>0</v>
      </c>
      <c r="ABN15" s="34">
        <f t="shared" ca="1" si="118"/>
        <v>0</v>
      </c>
      <c r="ABO15" s="34">
        <f t="shared" ca="1" si="118"/>
        <v>0</v>
      </c>
      <c r="ABP15" s="34">
        <f t="shared" ca="1" si="118"/>
        <v>0</v>
      </c>
      <c r="ABQ15" s="34">
        <f t="shared" ca="1" si="118"/>
        <v>0</v>
      </c>
      <c r="ABR15" s="34">
        <f t="shared" ca="1" si="118"/>
        <v>0</v>
      </c>
      <c r="ABS15" s="34">
        <f t="shared" ca="1" si="119"/>
        <v>0</v>
      </c>
      <c r="ABT15" s="34">
        <f t="shared" ca="1" si="119"/>
        <v>0</v>
      </c>
      <c r="ABU15" s="34">
        <f t="shared" ca="1" si="119"/>
        <v>0</v>
      </c>
      <c r="ABV15" s="34">
        <f t="shared" ca="1" si="119"/>
        <v>0</v>
      </c>
      <c r="ABW15" s="34">
        <f t="shared" ca="1" si="119"/>
        <v>0</v>
      </c>
      <c r="ABX15" s="34">
        <f t="shared" ca="1" si="119"/>
        <v>0</v>
      </c>
      <c r="ABY15" s="34">
        <f t="shared" ca="1" si="119"/>
        <v>0</v>
      </c>
      <c r="ABZ15" s="34">
        <f t="shared" ca="1" si="119"/>
        <v>0</v>
      </c>
      <c r="ACA15" s="34">
        <f t="shared" ca="1" si="119"/>
        <v>0</v>
      </c>
      <c r="ACB15" s="34">
        <f t="shared" ca="1" si="119"/>
        <v>0</v>
      </c>
      <c r="ACC15" s="34">
        <f t="shared" ca="1" si="120"/>
        <v>0</v>
      </c>
      <c r="ACD15" s="34">
        <f t="shared" ca="1" si="120"/>
        <v>0</v>
      </c>
      <c r="ACE15" s="34">
        <f t="shared" ca="1" si="120"/>
        <v>0</v>
      </c>
      <c r="ACF15" s="34">
        <f t="shared" ca="1" si="120"/>
        <v>0</v>
      </c>
      <c r="ACG15" s="34">
        <f t="shared" ca="1" si="120"/>
        <v>0</v>
      </c>
      <c r="ACH15" s="34">
        <f t="shared" ca="1" si="120"/>
        <v>0</v>
      </c>
      <c r="ACI15" s="34">
        <f t="shared" ca="1" si="120"/>
        <v>0</v>
      </c>
      <c r="ACJ15" s="34">
        <f t="shared" ca="1" si="120"/>
        <v>0</v>
      </c>
      <c r="ACK15" s="34">
        <f t="shared" ca="1" si="120"/>
        <v>0</v>
      </c>
      <c r="ACL15" s="34">
        <f t="shared" ca="1" si="120"/>
        <v>0</v>
      </c>
      <c r="ACM15" s="34">
        <f t="shared" ca="1" si="121"/>
        <v>0</v>
      </c>
      <c r="ACN15" s="34">
        <f t="shared" ca="1" si="121"/>
        <v>0</v>
      </c>
      <c r="ACO15" s="34">
        <f t="shared" ca="1" si="121"/>
        <v>0</v>
      </c>
      <c r="ACP15" s="34">
        <f t="shared" ca="1" si="121"/>
        <v>0</v>
      </c>
      <c r="ACQ15" s="34">
        <f t="shared" ca="1" si="121"/>
        <v>0</v>
      </c>
      <c r="ACR15" s="34">
        <f t="shared" ca="1" si="121"/>
        <v>0</v>
      </c>
      <c r="ACS15" s="34">
        <f t="shared" ca="1" si="121"/>
        <v>0</v>
      </c>
      <c r="ACT15" s="34">
        <f t="shared" ca="1" si="121"/>
        <v>0</v>
      </c>
      <c r="ACU15" s="34">
        <f t="shared" ca="1" si="121"/>
        <v>0</v>
      </c>
      <c r="ACV15" s="34">
        <f t="shared" ca="1" si="121"/>
        <v>0</v>
      </c>
      <c r="ACW15" s="34">
        <f t="shared" ca="1" si="122"/>
        <v>0</v>
      </c>
      <c r="ACX15" s="34">
        <f t="shared" ca="1" si="122"/>
        <v>0</v>
      </c>
      <c r="ACY15" s="34">
        <f t="shared" ca="1" si="122"/>
        <v>0</v>
      </c>
      <c r="ACZ15" s="34">
        <f t="shared" ca="1" si="122"/>
        <v>0</v>
      </c>
      <c r="ADA15" s="34">
        <f t="shared" ca="1" si="122"/>
        <v>0</v>
      </c>
      <c r="ADB15" s="34">
        <f t="shared" ca="1" si="122"/>
        <v>0</v>
      </c>
      <c r="ADC15" s="34">
        <f t="shared" ca="1" si="122"/>
        <v>0</v>
      </c>
      <c r="ADD15" s="34">
        <f t="shared" ca="1" si="122"/>
        <v>0</v>
      </c>
      <c r="ADE15" s="34">
        <f t="shared" ca="1" si="122"/>
        <v>0</v>
      </c>
      <c r="ADF15" s="34">
        <f t="shared" ca="1" si="122"/>
        <v>0</v>
      </c>
      <c r="ADG15" s="34">
        <f t="shared" ca="1" si="123"/>
        <v>0</v>
      </c>
      <c r="ADH15" s="34">
        <f t="shared" ca="1" si="123"/>
        <v>0</v>
      </c>
      <c r="ADI15" s="34">
        <f t="shared" ca="1" si="123"/>
        <v>0</v>
      </c>
      <c r="ADJ15" s="34">
        <f t="shared" ca="1" si="123"/>
        <v>0</v>
      </c>
      <c r="ADK15" s="34">
        <f t="shared" ca="1" si="123"/>
        <v>0</v>
      </c>
      <c r="ADL15" s="34">
        <f t="shared" ca="1" si="123"/>
        <v>0</v>
      </c>
      <c r="ADM15" s="34">
        <f t="shared" ca="1" si="123"/>
        <v>0</v>
      </c>
      <c r="ADN15" s="34">
        <f t="shared" ca="1" si="123"/>
        <v>0</v>
      </c>
      <c r="ADO15" s="34">
        <f t="shared" ca="1" si="123"/>
        <v>0</v>
      </c>
      <c r="ADP15" s="34">
        <f t="shared" ca="1" si="123"/>
        <v>0</v>
      </c>
      <c r="ADQ15" s="34">
        <f t="shared" ca="1" si="124"/>
        <v>0</v>
      </c>
      <c r="ADR15" s="34">
        <f t="shared" ca="1" si="124"/>
        <v>0</v>
      </c>
      <c r="ADS15" s="34">
        <f t="shared" ca="1" si="124"/>
        <v>0</v>
      </c>
      <c r="ADT15" s="34">
        <f t="shared" ca="1" si="124"/>
        <v>0</v>
      </c>
      <c r="ADU15" s="34">
        <f t="shared" ca="1" si="124"/>
        <v>0</v>
      </c>
      <c r="ADV15" s="34">
        <f t="shared" ca="1" si="124"/>
        <v>0</v>
      </c>
      <c r="ADW15" s="34">
        <f t="shared" ca="1" si="124"/>
        <v>0</v>
      </c>
      <c r="ADX15" s="34">
        <f t="shared" ca="1" si="124"/>
        <v>0</v>
      </c>
      <c r="ADY15" s="34">
        <f t="shared" ca="1" si="124"/>
        <v>0</v>
      </c>
      <c r="ADZ15" s="34">
        <f t="shared" ca="1" si="124"/>
        <v>0</v>
      </c>
      <c r="AEA15" s="34">
        <f t="shared" ca="1" si="125"/>
        <v>0</v>
      </c>
      <c r="AEB15" s="34">
        <f t="shared" ca="1" si="125"/>
        <v>0</v>
      </c>
      <c r="AEC15" s="34">
        <f t="shared" ca="1" si="125"/>
        <v>0</v>
      </c>
      <c r="AED15" s="34">
        <f t="shared" ca="1" si="125"/>
        <v>0</v>
      </c>
      <c r="AEE15" s="34">
        <f t="shared" ca="1" si="125"/>
        <v>0</v>
      </c>
      <c r="AEF15" s="34">
        <f t="shared" ca="1" si="125"/>
        <v>0</v>
      </c>
      <c r="AEG15" s="34">
        <f t="shared" ca="1" si="125"/>
        <v>0</v>
      </c>
      <c r="AEH15" s="34">
        <f t="shared" ca="1" si="125"/>
        <v>0</v>
      </c>
      <c r="AEI15" s="34">
        <f t="shared" ca="1" si="125"/>
        <v>0</v>
      </c>
      <c r="AEJ15" s="34">
        <f t="shared" ca="1" si="125"/>
        <v>0</v>
      </c>
      <c r="AEK15" s="34">
        <f t="shared" ca="1" si="126"/>
        <v>0</v>
      </c>
      <c r="AEL15" s="34">
        <f t="shared" ca="1" si="126"/>
        <v>0</v>
      </c>
      <c r="AEM15" s="34">
        <f t="shared" ca="1" si="126"/>
        <v>0</v>
      </c>
      <c r="AEN15" s="34">
        <f t="shared" ca="1" si="126"/>
        <v>0</v>
      </c>
      <c r="AEO15" s="34">
        <f t="shared" ca="1" si="126"/>
        <v>0</v>
      </c>
      <c r="AEP15" s="34">
        <f t="shared" ca="1" si="126"/>
        <v>0</v>
      </c>
      <c r="AEQ15" s="34">
        <f t="shared" ca="1" si="126"/>
        <v>0</v>
      </c>
      <c r="AER15" s="34">
        <f t="shared" ca="1" si="126"/>
        <v>0</v>
      </c>
      <c r="AES15" s="34">
        <f t="shared" ca="1" si="126"/>
        <v>0</v>
      </c>
      <c r="AET15" s="34">
        <f t="shared" ca="1" si="126"/>
        <v>0</v>
      </c>
      <c r="AEU15" s="34">
        <f t="shared" ca="1" si="127"/>
        <v>0</v>
      </c>
      <c r="AEV15" s="34">
        <f t="shared" ca="1" si="127"/>
        <v>0</v>
      </c>
      <c r="AEW15" s="34">
        <f t="shared" ca="1" si="127"/>
        <v>0</v>
      </c>
      <c r="AEX15" s="34">
        <f t="shared" ca="1" si="127"/>
        <v>0</v>
      </c>
      <c r="AEY15" s="34">
        <f t="shared" ca="1" si="127"/>
        <v>0</v>
      </c>
      <c r="AEZ15" s="34">
        <f t="shared" ca="1" si="127"/>
        <v>0</v>
      </c>
      <c r="AFA15" s="34">
        <f t="shared" ca="1" si="127"/>
        <v>0</v>
      </c>
      <c r="AFB15" s="34">
        <f t="shared" ca="1" si="127"/>
        <v>0</v>
      </c>
      <c r="AFC15" s="34">
        <f t="shared" ca="1" si="127"/>
        <v>0</v>
      </c>
      <c r="AFD15" s="34">
        <f t="shared" ca="1" si="127"/>
        <v>0</v>
      </c>
      <c r="AFE15" s="34">
        <f t="shared" ca="1" si="128"/>
        <v>0</v>
      </c>
      <c r="AFF15" s="34">
        <f t="shared" ca="1" si="128"/>
        <v>0</v>
      </c>
      <c r="AFG15" s="34">
        <f t="shared" ca="1" si="128"/>
        <v>0</v>
      </c>
      <c r="AFH15" s="34">
        <f t="shared" ca="1" si="128"/>
        <v>0</v>
      </c>
      <c r="AFI15" s="34">
        <f t="shared" ca="1" si="128"/>
        <v>0</v>
      </c>
      <c r="AFJ15" s="34">
        <f t="shared" ca="1" si="128"/>
        <v>0</v>
      </c>
      <c r="AFK15" s="34">
        <f t="shared" ca="1" si="128"/>
        <v>0</v>
      </c>
      <c r="AFL15" s="34">
        <f t="shared" ca="1" si="128"/>
        <v>0</v>
      </c>
      <c r="AFM15" s="34">
        <f t="shared" ca="1" si="128"/>
        <v>0</v>
      </c>
      <c r="AFN15" s="34">
        <f t="shared" ca="1" si="128"/>
        <v>0</v>
      </c>
      <c r="AFO15" s="34">
        <f t="shared" ca="1" si="129"/>
        <v>0</v>
      </c>
      <c r="AFP15" s="34">
        <f t="shared" ca="1" si="129"/>
        <v>0</v>
      </c>
      <c r="AFQ15" s="34">
        <f t="shared" ca="1" si="129"/>
        <v>0</v>
      </c>
      <c r="AFR15" s="34">
        <f t="shared" ca="1" si="129"/>
        <v>0</v>
      </c>
      <c r="AFS15" s="34">
        <f t="shared" ca="1" si="129"/>
        <v>0</v>
      </c>
      <c r="AFT15" s="34">
        <f t="shared" ca="1" si="129"/>
        <v>0</v>
      </c>
      <c r="AFU15" s="34">
        <f t="shared" ca="1" si="129"/>
        <v>0</v>
      </c>
      <c r="AFV15" s="34">
        <f t="shared" ca="1" si="129"/>
        <v>0</v>
      </c>
      <c r="AFW15" s="34">
        <f t="shared" ca="1" si="129"/>
        <v>0</v>
      </c>
      <c r="AFX15" s="34">
        <f t="shared" ca="1" si="129"/>
        <v>0</v>
      </c>
      <c r="AFY15" s="34">
        <f t="shared" ca="1" si="130"/>
        <v>0</v>
      </c>
      <c r="AFZ15" s="34">
        <f t="shared" ca="1" si="130"/>
        <v>0</v>
      </c>
      <c r="AGA15" s="34">
        <f t="shared" ca="1" si="130"/>
        <v>0</v>
      </c>
      <c r="AGB15" s="34">
        <f t="shared" ca="1" si="130"/>
        <v>0</v>
      </c>
      <c r="AGC15" s="34">
        <f t="shared" ca="1" si="130"/>
        <v>0</v>
      </c>
      <c r="AGD15" s="34">
        <f t="shared" ca="1" si="130"/>
        <v>0</v>
      </c>
      <c r="AGE15" s="34">
        <f t="shared" ca="1" si="130"/>
        <v>0</v>
      </c>
      <c r="AGF15" s="34">
        <f t="shared" ca="1" si="130"/>
        <v>0</v>
      </c>
      <c r="AGG15" s="34">
        <f t="shared" ca="1" si="130"/>
        <v>0</v>
      </c>
      <c r="AGH15" s="34">
        <f t="shared" ca="1" si="130"/>
        <v>0</v>
      </c>
      <c r="AGI15" s="34">
        <f t="shared" ca="1" si="131"/>
        <v>0</v>
      </c>
      <c r="AGJ15" s="34">
        <f t="shared" ca="1" si="131"/>
        <v>0</v>
      </c>
      <c r="AGK15" s="34">
        <f t="shared" ca="1" si="131"/>
        <v>0</v>
      </c>
      <c r="AGL15" s="34">
        <f t="shared" ca="1" si="131"/>
        <v>0</v>
      </c>
      <c r="AGM15" s="34">
        <f t="shared" ca="1" si="131"/>
        <v>0</v>
      </c>
      <c r="AGN15" s="34">
        <f t="shared" ca="1" si="131"/>
        <v>0</v>
      </c>
      <c r="AGO15" s="34">
        <f t="shared" ca="1" si="131"/>
        <v>0</v>
      </c>
      <c r="AGP15" s="34">
        <f t="shared" ca="1" si="131"/>
        <v>0</v>
      </c>
      <c r="AGQ15" s="34">
        <f t="shared" ca="1" si="131"/>
        <v>0</v>
      </c>
      <c r="AGR15" s="34">
        <f t="shared" ca="1" si="131"/>
        <v>0</v>
      </c>
      <c r="AGS15" s="34">
        <f t="shared" ca="1" si="132"/>
        <v>0</v>
      </c>
      <c r="AGT15" s="34">
        <f t="shared" ca="1" si="132"/>
        <v>0</v>
      </c>
      <c r="AGU15" s="34">
        <f t="shared" ca="1" si="132"/>
        <v>0</v>
      </c>
      <c r="AGV15" s="34">
        <f t="shared" ca="1" si="132"/>
        <v>0</v>
      </c>
      <c r="AGW15" s="34">
        <f t="shared" ca="1" si="132"/>
        <v>0</v>
      </c>
      <c r="AGX15" s="34">
        <f t="shared" ca="1" si="132"/>
        <v>0</v>
      </c>
      <c r="AGY15" s="34">
        <f t="shared" ca="1" si="132"/>
        <v>0</v>
      </c>
      <c r="AGZ15" s="34">
        <f t="shared" ca="1" si="132"/>
        <v>0</v>
      </c>
      <c r="AHA15" s="34">
        <f t="shared" ca="1" si="132"/>
        <v>0</v>
      </c>
      <c r="AHB15" s="34">
        <f t="shared" ca="1" si="132"/>
        <v>0</v>
      </c>
      <c r="AHC15" s="34">
        <f t="shared" ca="1" si="133"/>
        <v>0</v>
      </c>
      <c r="AHD15" s="34">
        <f t="shared" ca="1" si="133"/>
        <v>0</v>
      </c>
      <c r="AHE15" s="34">
        <f t="shared" ca="1" si="133"/>
        <v>0</v>
      </c>
      <c r="AHF15" s="34">
        <f t="shared" ca="1" si="133"/>
        <v>0</v>
      </c>
      <c r="AHG15" s="34">
        <f t="shared" ca="1" si="133"/>
        <v>0</v>
      </c>
      <c r="AHH15" s="34">
        <f t="shared" ca="1" si="133"/>
        <v>0</v>
      </c>
      <c r="AHI15" s="34">
        <f t="shared" ca="1" si="133"/>
        <v>0</v>
      </c>
      <c r="AHJ15" s="34">
        <f t="shared" ca="1" si="133"/>
        <v>0</v>
      </c>
      <c r="AHK15" s="34">
        <f t="shared" ca="1" si="133"/>
        <v>0</v>
      </c>
      <c r="AHL15" s="34">
        <f t="shared" ca="1" si="133"/>
        <v>0</v>
      </c>
      <c r="AHM15" s="34">
        <f t="shared" ca="1" si="134"/>
        <v>0</v>
      </c>
      <c r="AHN15" s="34">
        <f t="shared" ca="1" si="134"/>
        <v>0</v>
      </c>
      <c r="AHO15" s="34">
        <f t="shared" ca="1" si="134"/>
        <v>0</v>
      </c>
      <c r="AHP15" s="34">
        <f t="shared" ca="1" si="134"/>
        <v>0</v>
      </c>
      <c r="AHQ15" s="34">
        <f t="shared" ca="1" si="134"/>
        <v>0</v>
      </c>
      <c r="AHR15" s="34">
        <f t="shared" ca="1" si="134"/>
        <v>0</v>
      </c>
      <c r="AHS15" s="34">
        <f t="shared" ca="1" si="134"/>
        <v>0</v>
      </c>
      <c r="AHT15" s="34">
        <f t="shared" ca="1" si="134"/>
        <v>0</v>
      </c>
      <c r="AHU15" s="34">
        <f t="shared" ca="1" si="134"/>
        <v>0</v>
      </c>
      <c r="AHV15" s="34">
        <f t="shared" ca="1" si="134"/>
        <v>0</v>
      </c>
      <c r="AHW15" s="34">
        <f t="shared" ca="1" si="135"/>
        <v>0</v>
      </c>
      <c r="AHX15" s="34">
        <f t="shared" ca="1" si="135"/>
        <v>0</v>
      </c>
      <c r="AHY15" s="34">
        <f t="shared" ca="1" si="135"/>
        <v>0</v>
      </c>
      <c r="AHZ15" s="34">
        <f t="shared" ca="1" si="135"/>
        <v>0</v>
      </c>
      <c r="AIA15" s="34">
        <f t="shared" ca="1" si="135"/>
        <v>0</v>
      </c>
      <c r="AIB15" s="34">
        <f t="shared" ca="1" si="135"/>
        <v>0</v>
      </c>
      <c r="AIC15" s="34">
        <f t="shared" ca="1" si="135"/>
        <v>0</v>
      </c>
      <c r="AID15" s="34">
        <f t="shared" ca="1" si="135"/>
        <v>0</v>
      </c>
      <c r="AIE15" s="34">
        <f t="shared" ca="1" si="135"/>
        <v>0</v>
      </c>
      <c r="AIF15" s="34">
        <f t="shared" ca="1" si="135"/>
        <v>0</v>
      </c>
      <c r="AIG15" s="34">
        <f t="shared" ca="1" si="136"/>
        <v>0</v>
      </c>
      <c r="AIH15" s="34">
        <f t="shared" ca="1" si="136"/>
        <v>0</v>
      </c>
      <c r="AII15" s="34">
        <f t="shared" ca="1" si="136"/>
        <v>0</v>
      </c>
      <c r="AIJ15" s="34">
        <f t="shared" ca="1" si="136"/>
        <v>0</v>
      </c>
      <c r="AIK15" s="34">
        <f t="shared" ca="1" si="136"/>
        <v>0</v>
      </c>
      <c r="AIL15" s="34">
        <f t="shared" ca="1" si="136"/>
        <v>0</v>
      </c>
      <c r="AIM15" s="34">
        <f t="shared" ca="1" si="136"/>
        <v>0</v>
      </c>
      <c r="AIN15" s="34">
        <f t="shared" ca="1" si="136"/>
        <v>0</v>
      </c>
      <c r="AIO15" s="34">
        <f t="shared" ca="1" si="136"/>
        <v>0</v>
      </c>
      <c r="AIP15" s="34">
        <f t="shared" ca="1" si="136"/>
        <v>0</v>
      </c>
      <c r="AIQ15" s="34">
        <f t="shared" ca="1" si="137"/>
        <v>0</v>
      </c>
      <c r="AIR15" s="34">
        <f t="shared" ca="1" si="137"/>
        <v>0</v>
      </c>
      <c r="AIS15" s="34">
        <f t="shared" ca="1" si="137"/>
        <v>0</v>
      </c>
      <c r="AIT15" s="34">
        <f t="shared" ca="1" si="137"/>
        <v>0</v>
      </c>
      <c r="AIU15" s="34">
        <f t="shared" ca="1" si="137"/>
        <v>0</v>
      </c>
      <c r="AIV15" s="34">
        <f t="shared" ca="1" si="137"/>
        <v>0</v>
      </c>
      <c r="AIW15" s="34">
        <f t="shared" ca="1" si="137"/>
        <v>0</v>
      </c>
      <c r="AIX15" s="34">
        <f t="shared" ca="1" si="137"/>
        <v>0</v>
      </c>
      <c r="AIY15" s="34">
        <f t="shared" ca="1" si="137"/>
        <v>0</v>
      </c>
      <c r="AIZ15" s="34">
        <f t="shared" ca="1" si="137"/>
        <v>0</v>
      </c>
      <c r="AJA15" s="34">
        <f t="shared" ca="1" si="138"/>
        <v>0</v>
      </c>
      <c r="AJB15" s="34">
        <f t="shared" ca="1" si="138"/>
        <v>0</v>
      </c>
      <c r="AJC15" s="34">
        <f t="shared" ca="1" si="138"/>
        <v>0</v>
      </c>
      <c r="AJD15" s="34">
        <f t="shared" ca="1" si="138"/>
        <v>0</v>
      </c>
      <c r="AJE15" s="34">
        <f t="shared" ca="1" si="138"/>
        <v>0</v>
      </c>
      <c r="AJF15" s="34">
        <f t="shared" ca="1" si="138"/>
        <v>0</v>
      </c>
      <c r="AJG15" s="34">
        <f t="shared" ca="1" si="138"/>
        <v>0</v>
      </c>
      <c r="AJH15" s="34">
        <f t="shared" ca="1" si="138"/>
        <v>0</v>
      </c>
      <c r="AJI15" s="34">
        <f t="shared" ca="1" si="138"/>
        <v>0</v>
      </c>
      <c r="AJJ15" s="34">
        <f t="shared" ca="1" si="138"/>
        <v>0</v>
      </c>
      <c r="AJK15" s="34">
        <f t="shared" ca="1" si="139"/>
        <v>0</v>
      </c>
      <c r="AJL15" s="34">
        <f t="shared" ca="1" si="139"/>
        <v>0</v>
      </c>
      <c r="AJM15" s="34">
        <f t="shared" ca="1" si="139"/>
        <v>0</v>
      </c>
      <c r="AJN15" s="34">
        <f t="shared" ca="1" si="139"/>
        <v>0</v>
      </c>
      <c r="AJO15" s="34">
        <f t="shared" ca="1" si="139"/>
        <v>0</v>
      </c>
      <c r="AJP15" s="34">
        <f t="shared" ca="1" si="139"/>
        <v>0</v>
      </c>
      <c r="AJQ15" s="34">
        <f t="shared" ca="1" si="139"/>
        <v>0</v>
      </c>
      <c r="AJR15" s="34">
        <f t="shared" ca="1" si="139"/>
        <v>0</v>
      </c>
      <c r="AJS15" s="34">
        <f t="shared" ca="1" si="139"/>
        <v>0</v>
      </c>
      <c r="AJT15" s="34">
        <f t="shared" ca="1" si="139"/>
        <v>0</v>
      </c>
      <c r="AJU15" s="34">
        <f t="shared" ca="1" si="140"/>
        <v>0</v>
      </c>
      <c r="AJV15" s="34">
        <f t="shared" ca="1" si="140"/>
        <v>0</v>
      </c>
      <c r="AJW15" s="34">
        <f t="shared" ca="1" si="140"/>
        <v>0</v>
      </c>
      <c r="AJX15" s="34">
        <f t="shared" ca="1" si="140"/>
        <v>0</v>
      </c>
      <c r="AJY15" s="34">
        <f t="shared" ca="1" si="140"/>
        <v>0</v>
      </c>
      <c r="AJZ15" s="34">
        <f t="shared" ca="1" si="140"/>
        <v>0</v>
      </c>
      <c r="AKA15" s="34">
        <f t="shared" ca="1" si="140"/>
        <v>0</v>
      </c>
      <c r="AKB15" s="34">
        <f t="shared" ca="1" si="140"/>
        <v>0</v>
      </c>
      <c r="AKC15" s="34">
        <f t="shared" ca="1" si="140"/>
        <v>0</v>
      </c>
      <c r="AKD15" s="34">
        <f t="shared" ca="1" si="140"/>
        <v>0</v>
      </c>
      <c r="AKE15" s="34">
        <f t="shared" ca="1" si="141"/>
        <v>0</v>
      </c>
      <c r="AKF15" s="34">
        <f t="shared" ca="1" si="141"/>
        <v>0</v>
      </c>
      <c r="AKG15" s="34">
        <f t="shared" ca="1" si="141"/>
        <v>0</v>
      </c>
      <c r="AKH15" s="34">
        <f t="shared" ca="1" si="141"/>
        <v>0</v>
      </c>
      <c r="AKI15" s="34">
        <f t="shared" ca="1" si="141"/>
        <v>0</v>
      </c>
      <c r="AKJ15" s="34">
        <f t="shared" ca="1" si="141"/>
        <v>0</v>
      </c>
      <c r="AKK15" s="34">
        <f t="shared" ca="1" si="141"/>
        <v>0</v>
      </c>
      <c r="AKL15" s="34">
        <f t="shared" ca="1" si="141"/>
        <v>0</v>
      </c>
      <c r="AKM15" s="34">
        <f t="shared" ca="1" si="141"/>
        <v>0</v>
      </c>
      <c r="AKN15" s="34">
        <f t="shared" ca="1" si="141"/>
        <v>0</v>
      </c>
      <c r="AKO15" s="34">
        <f t="shared" ca="1" si="141"/>
        <v>0</v>
      </c>
      <c r="AKP15" s="34">
        <f t="shared" ca="1" si="141"/>
        <v>0</v>
      </c>
      <c r="AKQ15" s="34">
        <f t="shared" ca="1" si="141"/>
        <v>0</v>
      </c>
      <c r="AKR15" s="34">
        <f t="shared" ca="1" si="141"/>
        <v>0</v>
      </c>
      <c r="AKS15" s="34">
        <f t="shared" ca="1" si="141"/>
        <v>0</v>
      </c>
      <c r="AKT15" s="34"/>
      <c r="AKU15" s="34"/>
      <c r="AKV15" s="34"/>
      <c r="AKW15" s="34"/>
      <c r="AKX15" s="34"/>
      <c r="AKY15" s="34"/>
      <c r="AKZ15" s="34"/>
      <c r="ALA15" s="34"/>
      <c r="ALB15" s="34"/>
      <c r="ALC15" s="34"/>
      <c r="ALD15" s="34"/>
      <c r="ALE15" s="34"/>
      <c r="ALF15" s="34"/>
      <c r="ALG15" s="33"/>
      <c r="ALH15" s="33"/>
      <c r="ALI15" s="33"/>
      <c r="ALJ15" s="33"/>
      <c r="ALK15" s="33"/>
      <c r="ALL15" s="33"/>
      <c r="ALM15" s="33"/>
      <c r="ALN15" s="33"/>
      <c r="ALO15" s="33"/>
      <c r="ALP15" s="33"/>
      <c r="ALQ15" s="33"/>
      <c r="ALR15" s="33"/>
      <c r="ALS15" s="33"/>
      <c r="ALT15" s="33"/>
      <c r="ALU15" s="33"/>
      <c r="ALV15" s="33"/>
      <c r="ALW15" s="33"/>
      <c r="ALX15" s="33"/>
      <c r="ALY15" s="33"/>
      <c r="ALZ15" s="33"/>
      <c r="AMA15" s="33"/>
      <c r="AMB15" s="33"/>
      <c r="AMC15" s="33"/>
      <c r="AMD15" s="33"/>
      <c r="AME15" s="33"/>
      <c r="AMF15" s="33"/>
      <c r="AMG15" s="33"/>
      <c r="AMH15" s="33"/>
      <c r="AMI15" s="33"/>
      <c r="AMJ15" s="33"/>
      <c r="AMK15" s="33"/>
      <c r="AML15" s="33"/>
      <c r="AMM15" s="33"/>
      <c r="AMN15" s="33"/>
      <c r="AMO15" s="33"/>
      <c r="AMP15" s="33"/>
      <c r="AMQ15" s="33"/>
      <c r="AMR15" s="33"/>
      <c r="AMS15" s="33"/>
      <c r="AMT15" s="33"/>
      <c r="AMU15" s="33"/>
      <c r="AMV15" s="33"/>
      <c r="AMW15" s="33"/>
      <c r="AMX15" s="33"/>
      <c r="AMY15" s="33"/>
      <c r="AMZ15" s="33"/>
      <c r="ANA15" s="33"/>
      <c r="ANB15" s="33"/>
      <c r="ANC15" s="33"/>
      <c r="AND15" s="33"/>
      <c r="ANE15" s="33"/>
      <c r="ANF15" s="33"/>
      <c r="ANG15" s="33"/>
      <c r="ANH15" s="33"/>
      <c r="ANI15" s="33"/>
      <c r="ANJ15" s="33"/>
      <c r="ANK15" s="33"/>
      <c r="ANL15" s="33"/>
      <c r="ANM15" s="33"/>
      <c r="ANN15" s="33"/>
      <c r="ANO15" s="33"/>
      <c r="ANP15" s="33"/>
      <c r="ANQ15" s="33"/>
      <c r="ANR15" s="33"/>
      <c r="ANS15" s="33"/>
      <c r="ANT15" s="33"/>
      <c r="ANU15" s="33"/>
      <c r="ANV15" s="33"/>
      <c r="ANW15" s="33"/>
      <c r="ANX15" s="33"/>
      <c r="ANY15" s="33"/>
      <c r="ANZ15" s="33"/>
      <c r="AOA15" s="33"/>
      <c r="AOB15" s="33"/>
      <c r="AOC15" s="33"/>
      <c r="AOD15" s="33"/>
      <c r="AOE15" s="33"/>
      <c r="AOF15" s="33"/>
      <c r="AOG15" s="33"/>
      <c r="AOH15" s="33"/>
      <c r="AOI15" s="33"/>
      <c r="AOJ15" s="33"/>
      <c r="AOK15" s="33"/>
      <c r="AOL15" s="33"/>
      <c r="AOM15" s="33"/>
      <c r="AON15" s="33"/>
      <c r="AOO15" s="33"/>
      <c r="AOP15" s="33"/>
      <c r="AOQ15" s="33"/>
      <c r="AOR15" s="33"/>
      <c r="AOS15" s="33"/>
      <c r="AOT15" s="33"/>
      <c r="AOU15" s="33"/>
      <c r="AOV15" s="33"/>
      <c r="AOW15" s="33"/>
      <c r="AOX15" s="33"/>
      <c r="AOY15" s="33"/>
      <c r="AOZ15" s="33"/>
      <c r="APA15" s="33"/>
      <c r="APB15" s="33"/>
      <c r="APC15" s="33"/>
      <c r="APD15" s="33"/>
      <c r="APE15" s="33"/>
      <c r="APF15" s="33"/>
      <c r="APG15" s="33"/>
      <c r="APH15" s="33"/>
      <c r="API15" s="33"/>
      <c r="APJ15" s="33"/>
      <c r="APK15" s="33"/>
      <c r="APL15" s="33"/>
      <c r="APM15" s="33"/>
      <c r="APN15" s="33"/>
      <c r="APO15" s="33"/>
      <c r="APP15" s="33"/>
      <c r="APQ15" s="33"/>
      <c r="APR15" s="33"/>
      <c r="APS15" s="33"/>
      <c r="APT15" s="33"/>
      <c r="APU15" s="33"/>
      <c r="APV15" s="33"/>
      <c r="APW15" s="33"/>
      <c r="APX15" s="33"/>
      <c r="APY15" s="33"/>
      <c r="APZ15" s="33"/>
      <c r="AQA15" s="33"/>
      <c r="AQB15" s="33"/>
      <c r="AQC15" s="33"/>
      <c r="AQD15" s="33"/>
      <c r="AQE15" s="33"/>
      <c r="AQF15" s="33"/>
      <c r="AQG15" s="33"/>
      <c r="AQH15" s="33"/>
      <c r="AQI15" s="33"/>
      <c r="AQJ15" s="33"/>
      <c r="AQK15" s="33"/>
      <c r="AQL15" s="33"/>
      <c r="AQM15" s="33"/>
      <c r="AQN15" s="33"/>
      <c r="AQO15" s="33"/>
      <c r="AQP15" s="33"/>
      <c r="AQQ15" s="33"/>
      <c r="AQR15" s="33"/>
      <c r="AQS15" s="33"/>
      <c r="AQT15" s="33"/>
      <c r="AQU15" s="33"/>
      <c r="AQV15" s="33"/>
      <c r="AQW15" s="33"/>
      <c r="AQX15" s="33"/>
      <c r="AQY15" s="33"/>
      <c r="AQZ15" s="33"/>
      <c r="ARA15" s="33"/>
      <c r="ARB15" s="33"/>
      <c r="ARC15" s="33"/>
      <c r="ARD15" s="33"/>
      <c r="ARE15" s="33"/>
      <c r="ARF15" s="33"/>
      <c r="ARG15" s="33"/>
      <c r="ARH15" s="33"/>
      <c r="ARI15" s="33"/>
      <c r="ARJ15" s="33"/>
      <c r="ARK15" s="33"/>
      <c r="ARL15" s="33"/>
      <c r="ARM15" s="33"/>
      <c r="ARN15" s="33"/>
      <c r="ARO15" s="33"/>
      <c r="ARP15" s="33"/>
      <c r="ARQ15" s="33"/>
      <c r="ARR15" s="33"/>
      <c r="ARS15" s="33"/>
      <c r="ART15" s="33"/>
      <c r="ARU15" s="33"/>
      <c r="ARV15" s="33"/>
      <c r="ARW15" s="33"/>
      <c r="ARX15" s="33"/>
      <c r="ARY15" s="33"/>
      <c r="ARZ15" s="33"/>
      <c r="ASA15" s="33"/>
      <c r="ASB15" s="33"/>
      <c r="ASC15" s="33"/>
      <c r="ASD15" s="33"/>
      <c r="ASE15" s="33"/>
      <c r="ASF15" s="33"/>
      <c r="ASG15" s="33"/>
      <c r="ASH15" s="33"/>
      <c r="ASI15" s="33"/>
      <c r="ASJ15" s="33"/>
      <c r="ASK15" s="33"/>
      <c r="ASL15" s="33"/>
      <c r="ASM15" s="33"/>
      <c r="ASN15" s="33"/>
      <c r="ASO15" s="33"/>
      <c r="ASP15" s="33"/>
      <c r="ASQ15" s="33"/>
      <c r="ASR15" s="33"/>
      <c r="ASS15" s="33"/>
      <c r="AST15" s="33"/>
      <c r="ASU15" s="33"/>
      <c r="ASV15" s="33"/>
      <c r="ASW15" s="33"/>
      <c r="ASX15" s="33"/>
      <c r="ASY15" s="33"/>
      <c r="ASZ15" s="33"/>
      <c r="ATA15" s="33"/>
      <c r="ATB15" s="33"/>
      <c r="ATC15" s="33"/>
      <c r="ATD15" s="33"/>
      <c r="ATE15" s="33"/>
      <c r="ATF15" s="33"/>
      <c r="ATG15" s="33"/>
      <c r="ATH15" s="33"/>
      <c r="ATI15" s="33"/>
      <c r="ATJ15" s="33"/>
      <c r="ATK15" s="33"/>
      <c r="ATL15" s="33"/>
      <c r="ATM15" s="33"/>
      <c r="ATN15" s="33"/>
      <c r="ATO15" s="33"/>
      <c r="ATP15" s="33"/>
      <c r="ATQ15" s="33"/>
      <c r="ATR15" s="33"/>
      <c r="ATS15" s="33"/>
      <c r="ATT15" s="33"/>
      <c r="ATU15" s="33"/>
      <c r="ATV15" s="33"/>
      <c r="ATW15" s="33"/>
      <c r="ATX15" s="33"/>
      <c r="ATY15" s="33"/>
      <c r="ATZ15" s="33"/>
      <c r="AUA15" s="33"/>
      <c r="AUB15" s="33"/>
      <c r="AUC15" s="33"/>
      <c r="AUD15" s="33"/>
      <c r="AUE15" s="33"/>
      <c r="AUF15" s="33"/>
      <c r="AUG15" s="33"/>
      <c r="AUH15" s="33"/>
      <c r="AUI15" s="33"/>
      <c r="AUJ15" s="33"/>
      <c r="AUK15" s="33"/>
      <c r="AUL15" s="33"/>
      <c r="AUM15" s="33"/>
      <c r="AUN15" s="33"/>
      <c r="AUO15" s="33"/>
      <c r="AUP15" s="33"/>
      <c r="AUQ15" s="33"/>
      <c r="AUR15" s="33"/>
      <c r="AUS15" s="33"/>
      <c r="AUT15" s="33"/>
      <c r="AUU15" s="33"/>
      <c r="AUV15" s="33"/>
      <c r="AUW15" s="33"/>
      <c r="AUX15" s="33"/>
      <c r="AUY15" s="33"/>
      <c r="AUZ15" s="33"/>
      <c r="AVA15" s="33"/>
      <c r="AVB15" s="33"/>
    </row>
    <row r="16" spans="1:1250" ht="18.75" customHeight="1">
      <c r="A16" s="378" t="str">
        <f>自由選!B17</f>
        <v>XG320</v>
      </c>
      <c r="B16" s="208">
        <f ca="1">VLOOKUP($A16,'銀行-TSS'!B:K,10,FALSE)</f>
        <v>81.92</v>
      </c>
      <c r="C16" s="69" t="str">
        <f ca="1">VLOOKUP(A16,'銀行-TSS'!B:E,4,FALSE)</f>
        <v>Baa3 / BBB / BBB-</v>
      </c>
      <c r="D16" s="70">
        <f ca="1">VLOOKUP($A16,'銀行-TSS'!B:H,7,FALSE)</f>
        <v>3.5000000000000003E-2</v>
      </c>
      <c r="E16" s="71">
        <f ca="1">IFERROR(VLOOKUP($A16,'銀行-TSS'!B:I,8,FALSE),"")</f>
        <v>2</v>
      </c>
      <c r="F16" s="69" t="str">
        <f t="shared" ca="1" si="142"/>
        <v>2、8</v>
      </c>
      <c r="G16" s="72">
        <f ca="1">VLOOKUP($A16,'銀行-TSS'!B:M,12,FALSE)</f>
        <v>5.2699999999999997E-2</v>
      </c>
      <c r="H16" s="73">
        <f ca="1">VLOOKUP($A16,'銀行-TSS'!B:G,6,FALSE)</f>
        <v>16.62</v>
      </c>
      <c r="I16" s="74">
        <f ca="1">IFERROR(DATEVALUE(VLOOKUP($A16,'銀行-TSS'!B:F,5,FALSE)),VLOOKUP($A16,'銀行-TSS'!B:F,5,FALSE))</f>
        <v>51547</v>
      </c>
      <c r="J16" s="1" t="str">
        <f ca="1">VLOOKUP($A16,'銀行-TSS'!B:Q,16,FALSE)</f>
        <v>科技</v>
      </c>
      <c r="K16" s="76" t="str">
        <f ca="1">VLOOKUP($A16,'銀行-TSS'!B:T,19,FALSE)</f>
        <v>博通公司/AVGO</v>
      </c>
      <c r="L16" s="33" t="b">
        <f t="shared" si="45"/>
        <v>1</v>
      </c>
      <c r="M16" s="43">
        <f ca="1">VLOOKUP($A16,'銀行-TSS'!B:N,13,FALSE)</f>
        <v>10000</v>
      </c>
      <c r="N16" s="44">
        <f>自由選!F17</f>
        <v>10000</v>
      </c>
      <c r="O16" s="43">
        <f ca="1">IFERROR(VLOOKUP($A16,'銀行-TSS'!B:O,14,FALSE),1)</f>
        <v>1000</v>
      </c>
      <c r="P16" s="78" t="str">
        <f ca="1">IFERROR(VLOOKUP(K16,Bond_DES!D:E,2,FALSE),VLOOKUP(K16,'銀行-TSS'!T:U,2,FALSE))</f>
        <v>博通公司(Broadcom Inc.)為美國半導體公司，負責晶片設計與銷售，並將生產、測試與封裝環節外包，發展歷程中透過不斷併購壯大集團實力，近年來多次蟬聯全球IC設計公司前三名榜單，與高通、輝達三強鼎立。2024年《Brand Finance》品牌價值中，博通排名全球半導體產業第6。</v>
      </c>
      <c r="Q16" s="83">
        <f t="shared" ca="1" si="143"/>
        <v>80.588099999999997</v>
      </c>
      <c r="R16" s="81">
        <f t="shared" ca="1" si="152"/>
        <v>8058.81</v>
      </c>
      <c r="S16" s="82">
        <f t="shared" ca="1" si="153"/>
        <v>7.0794016793836539E-2</v>
      </c>
      <c r="T16" s="34">
        <f t="shared" ca="1" si="144"/>
        <v>2041</v>
      </c>
      <c r="U16" s="36" t="str">
        <f ca="1">IFERROR(VLOOKUP($A16,'銀行-TSS'!B:C,2,FALSE),"")</f>
        <v>USD</v>
      </c>
      <c r="V16" s="184">
        <f ca="1">VLOOKUP(A16,'銀行-TSS'!B:J,9,FALSE)</f>
        <v>1.3319000000000001</v>
      </c>
      <c r="W16" s="57">
        <f t="shared" ca="1" si="145"/>
        <v>133.19</v>
      </c>
      <c r="X16" s="36">
        <f t="shared" ca="1" si="146"/>
        <v>0</v>
      </c>
      <c r="Y16" s="116">
        <f t="shared" ca="1" si="147"/>
        <v>819.2</v>
      </c>
      <c r="Z16" s="98">
        <f t="shared" ca="1" si="148"/>
        <v>8192</v>
      </c>
      <c r="AA16" s="61">
        <f t="shared" si="149"/>
        <v>8.3333333333333329E-2</v>
      </c>
      <c r="AB16" s="104" t="str">
        <f t="shared" ca="1" si="46"/>
        <v>科技</v>
      </c>
      <c r="AC16" s="149">
        <f t="shared" ca="1" si="150"/>
        <v>8192</v>
      </c>
      <c r="AD16" s="149">
        <f ca="1">VLOOKUP(A16,'銀行-TSS'!B:AD,29,FALSE)</f>
        <v>13</v>
      </c>
      <c r="AE16" s="64">
        <f t="shared" ca="1" si="47"/>
        <v>175.00000000000003</v>
      </c>
      <c r="AF16" s="53">
        <f t="shared" ca="1" si="154"/>
        <v>2</v>
      </c>
      <c r="AG16" s="45">
        <f t="shared" ca="1" si="155"/>
        <v>8</v>
      </c>
      <c r="AH16" s="2">
        <f ca="1">_xlfn.IFNA(IFERROR(DATEVALUE(VLOOKUP($A16,'銀行-TSS'!B:P,15,FALSE)),VLOOKUP($A16,'銀行-TSS'!B:P,15,FALSE)),"")</f>
        <v>45519</v>
      </c>
      <c r="AI16" s="2">
        <f ca="1">_xlfn.IFNA(IFERROR(DATEVALUE(VLOOKUP($A16,'銀行-TSS'!B:L,11,FALSE)),VLOOKUP($A16,'銀行-TSS'!B:L,11,FALSE)),"")</f>
        <v>45475</v>
      </c>
      <c r="AJ16" s="34">
        <f t="shared" ca="1" si="151"/>
        <v>0</v>
      </c>
      <c r="AK16" s="34">
        <f t="shared" ca="1" si="48"/>
        <v>175.00000000000003</v>
      </c>
      <c r="AL16" s="34">
        <f t="shared" ca="1" si="48"/>
        <v>0</v>
      </c>
      <c r="AM16" s="34">
        <f t="shared" ca="1" si="48"/>
        <v>0</v>
      </c>
      <c r="AN16" s="34">
        <f t="shared" ca="1" si="48"/>
        <v>0</v>
      </c>
      <c r="AO16" s="34">
        <f t="shared" ca="1" si="48"/>
        <v>0</v>
      </c>
      <c r="AP16" s="34">
        <f t="shared" ca="1" si="48"/>
        <v>0</v>
      </c>
      <c r="AQ16" s="34">
        <f t="shared" ca="1" si="48"/>
        <v>175.00000000000003</v>
      </c>
      <c r="AR16" s="34">
        <f t="shared" ca="1" si="48"/>
        <v>0</v>
      </c>
      <c r="AS16" s="34">
        <f t="shared" ca="1" si="48"/>
        <v>0</v>
      </c>
      <c r="AT16" s="34">
        <f t="shared" ca="1" si="48"/>
        <v>0</v>
      </c>
      <c r="AU16" s="34">
        <f t="shared" ca="1" si="49"/>
        <v>0</v>
      </c>
      <c r="AV16" s="34">
        <f t="shared" ca="1" si="49"/>
        <v>0</v>
      </c>
      <c r="AW16" s="34">
        <f t="shared" ca="1" si="49"/>
        <v>175.00000000000003</v>
      </c>
      <c r="AX16" s="34">
        <f t="shared" ca="1" si="49"/>
        <v>0</v>
      </c>
      <c r="AY16" s="34">
        <f t="shared" ca="1" si="49"/>
        <v>0</v>
      </c>
      <c r="AZ16" s="34">
        <f t="shared" ca="1" si="49"/>
        <v>0</v>
      </c>
      <c r="BA16" s="34">
        <f t="shared" ca="1" si="49"/>
        <v>0</v>
      </c>
      <c r="BB16" s="34">
        <f t="shared" ca="1" si="49"/>
        <v>0</v>
      </c>
      <c r="BC16" s="34">
        <f t="shared" ca="1" si="49"/>
        <v>175.00000000000003</v>
      </c>
      <c r="BD16" s="34">
        <f t="shared" ca="1" si="49"/>
        <v>0</v>
      </c>
      <c r="BE16" s="34">
        <f t="shared" ca="1" si="50"/>
        <v>0</v>
      </c>
      <c r="BF16" s="34">
        <f t="shared" ca="1" si="50"/>
        <v>0</v>
      </c>
      <c r="BG16" s="34">
        <f t="shared" ca="1" si="50"/>
        <v>0</v>
      </c>
      <c r="BH16" s="34">
        <f t="shared" ca="1" si="50"/>
        <v>0</v>
      </c>
      <c r="BI16" s="34">
        <f t="shared" ca="1" si="50"/>
        <v>175.00000000000003</v>
      </c>
      <c r="BJ16" s="34">
        <f t="shared" ca="1" si="50"/>
        <v>0</v>
      </c>
      <c r="BK16" s="34">
        <f t="shared" ca="1" si="50"/>
        <v>0</v>
      </c>
      <c r="BL16" s="34">
        <f t="shared" ca="1" si="50"/>
        <v>0</v>
      </c>
      <c r="BM16" s="34">
        <f t="shared" ca="1" si="50"/>
        <v>0</v>
      </c>
      <c r="BN16" s="34">
        <f t="shared" ca="1" si="50"/>
        <v>0</v>
      </c>
      <c r="BO16" s="34">
        <f t="shared" ca="1" si="51"/>
        <v>175.00000000000003</v>
      </c>
      <c r="BP16" s="34">
        <f t="shared" ca="1" si="51"/>
        <v>0</v>
      </c>
      <c r="BQ16" s="34">
        <f t="shared" ca="1" si="51"/>
        <v>0</v>
      </c>
      <c r="BR16" s="34">
        <f t="shared" ca="1" si="51"/>
        <v>0</v>
      </c>
      <c r="BS16" s="34">
        <f t="shared" ca="1" si="51"/>
        <v>0</v>
      </c>
      <c r="BT16" s="34">
        <f t="shared" ca="1" si="51"/>
        <v>0</v>
      </c>
      <c r="BU16" s="34">
        <f t="shared" ca="1" si="51"/>
        <v>175.00000000000003</v>
      </c>
      <c r="BV16" s="34">
        <f t="shared" ca="1" si="51"/>
        <v>0</v>
      </c>
      <c r="BW16" s="34">
        <f t="shared" ca="1" si="51"/>
        <v>0</v>
      </c>
      <c r="BX16" s="34">
        <f t="shared" ca="1" si="51"/>
        <v>0</v>
      </c>
      <c r="BY16" s="34">
        <f t="shared" ca="1" si="52"/>
        <v>0</v>
      </c>
      <c r="BZ16" s="34">
        <f t="shared" ca="1" si="52"/>
        <v>0</v>
      </c>
      <c r="CA16" s="34">
        <f t="shared" ca="1" si="52"/>
        <v>175.00000000000003</v>
      </c>
      <c r="CB16" s="34">
        <f t="shared" ca="1" si="52"/>
        <v>0</v>
      </c>
      <c r="CC16" s="34">
        <f t="shared" ca="1" si="52"/>
        <v>0</v>
      </c>
      <c r="CD16" s="34">
        <f t="shared" ca="1" si="52"/>
        <v>0</v>
      </c>
      <c r="CE16" s="34">
        <f t="shared" ca="1" si="52"/>
        <v>0</v>
      </c>
      <c r="CF16" s="34">
        <f t="shared" ca="1" si="52"/>
        <v>0</v>
      </c>
      <c r="CG16" s="34">
        <f t="shared" ca="1" si="52"/>
        <v>175.00000000000003</v>
      </c>
      <c r="CH16" s="34">
        <f t="shared" ca="1" si="52"/>
        <v>0</v>
      </c>
      <c r="CI16" s="34">
        <f t="shared" ca="1" si="53"/>
        <v>0</v>
      </c>
      <c r="CJ16" s="34">
        <f t="shared" ca="1" si="53"/>
        <v>0</v>
      </c>
      <c r="CK16" s="34">
        <f t="shared" ca="1" si="53"/>
        <v>0</v>
      </c>
      <c r="CL16" s="34">
        <f t="shared" ca="1" si="53"/>
        <v>0</v>
      </c>
      <c r="CM16" s="34">
        <f t="shared" ca="1" si="53"/>
        <v>175.00000000000003</v>
      </c>
      <c r="CN16" s="34">
        <f t="shared" ca="1" si="53"/>
        <v>0</v>
      </c>
      <c r="CO16" s="34">
        <f t="shared" ca="1" si="53"/>
        <v>0</v>
      </c>
      <c r="CP16" s="34">
        <f t="shared" ca="1" si="53"/>
        <v>0</v>
      </c>
      <c r="CQ16" s="34">
        <f t="shared" ca="1" si="53"/>
        <v>0</v>
      </c>
      <c r="CR16" s="34">
        <f t="shared" ca="1" si="53"/>
        <v>0</v>
      </c>
      <c r="CS16" s="34">
        <f t="shared" ca="1" si="54"/>
        <v>175.00000000000003</v>
      </c>
      <c r="CT16" s="34">
        <f t="shared" ca="1" si="54"/>
        <v>0</v>
      </c>
      <c r="CU16" s="34">
        <f t="shared" ca="1" si="54"/>
        <v>0</v>
      </c>
      <c r="CV16" s="34">
        <f t="shared" ca="1" si="54"/>
        <v>0</v>
      </c>
      <c r="CW16" s="34">
        <f t="shared" ca="1" si="54"/>
        <v>0</v>
      </c>
      <c r="CX16" s="34">
        <f t="shared" ca="1" si="54"/>
        <v>0</v>
      </c>
      <c r="CY16" s="34">
        <f t="shared" ca="1" si="54"/>
        <v>175.00000000000003</v>
      </c>
      <c r="CZ16" s="34">
        <f t="shared" ca="1" si="54"/>
        <v>0</v>
      </c>
      <c r="DA16" s="34">
        <f t="shared" ca="1" si="54"/>
        <v>0</v>
      </c>
      <c r="DB16" s="34">
        <f t="shared" ca="1" si="54"/>
        <v>0</v>
      </c>
      <c r="DC16" s="34">
        <f t="shared" ca="1" si="55"/>
        <v>0</v>
      </c>
      <c r="DD16" s="34">
        <f t="shared" ca="1" si="55"/>
        <v>0</v>
      </c>
      <c r="DE16" s="34">
        <f t="shared" ca="1" si="55"/>
        <v>175.00000000000003</v>
      </c>
      <c r="DF16" s="34">
        <f t="shared" ca="1" si="55"/>
        <v>0</v>
      </c>
      <c r="DG16" s="34">
        <f t="shared" ca="1" si="55"/>
        <v>0</v>
      </c>
      <c r="DH16" s="34">
        <f t="shared" ca="1" si="55"/>
        <v>0</v>
      </c>
      <c r="DI16" s="34">
        <f t="shared" ca="1" si="55"/>
        <v>0</v>
      </c>
      <c r="DJ16" s="34">
        <f t="shared" ca="1" si="55"/>
        <v>0</v>
      </c>
      <c r="DK16" s="34">
        <f t="shared" ca="1" si="55"/>
        <v>175.00000000000003</v>
      </c>
      <c r="DL16" s="34">
        <f t="shared" ca="1" si="55"/>
        <v>0</v>
      </c>
      <c r="DM16" s="34">
        <f t="shared" ca="1" si="56"/>
        <v>0</v>
      </c>
      <c r="DN16" s="34">
        <f t="shared" ca="1" si="56"/>
        <v>0</v>
      </c>
      <c r="DO16" s="34">
        <f t="shared" ca="1" si="56"/>
        <v>0</v>
      </c>
      <c r="DP16" s="34">
        <f t="shared" ca="1" si="56"/>
        <v>0</v>
      </c>
      <c r="DQ16" s="34">
        <f t="shared" ca="1" si="56"/>
        <v>175.00000000000003</v>
      </c>
      <c r="DR16" s="34">
        <f t="shared" ca="1" si="56"/>
        <v>0</v>
      </c>
      <c r="DS16" s="34">
        <f t="shared" ca="1" si="56"/>
        <v>0</v>
      </c>
      <c r="DT16" s="34">
        <f t="shared" ca="1" si="56"/>
        <v>0</v>
      </c>
      <c r="DU16" s="34">
        <f t="shared" ca="1" si="56"/>
        <v>0</v>
      </c>
      <c r="DV16" s="34">
        <f t="shared" ca="1" si="56"/>
        <v>0</v>
      </c>
      <c r="DW16" s="34">
        <f t="shared" ca="1" si="57"/>
        <v>175.00000000000003</v>
      </c>
      <c r="DX16" s="34">
        <f t="shared" ca="1" si="57"/>
        <v>0</v>
      </c>
      <c r="DY16" s="34">
        <f t="shared" ca="1" si="57"/>
        <v>0</v>
      </c>
      <c r="DZ16" s="34">
        <f t="shared" ca="1" si="57"/>
        <v>0</v>
      </c>
      <c r="EA16" s="34">
        <f t="shared" ca="1" si="57"/>
        <v>0</v>
      </c>
      <c r="EB16" s="34">
        <f t="shared" ca="1" si="57"/>
        <v>0</v>
      </c>
      <c r="EC16" s="34">
        <f t="shared" ca="1" si="57"/>
        <v>175.00000000000003</v>
      </c>
      <c r="ED16" s="34">
        <f t="shared" ca="1" si="57"/>
        <v>0</v>
      </c>
      <c r="EE16" s="34">
        <f t="shared" ca="1" si="57"/>
        <v>0</v>
      </c>
      <c r="EF16" s="34">
        <f t="shared" ca="1" si="57"/>
        <v>0</v>
      </c>
      <c r="EG16" s="34">
        <f t="shared" ca="1" si="58"/>
        <v>0</v>
      </c>
      <c r="EH16" s="34">
        <f t="shared" ca="1" si="58"/>
        <v>0</v>
      </c>
      <c r="EI16" s="34">
        <f t="shared" ca="1" si="58"/>
        <v>175.00000000000003</v>
      </c>
      <c r="EJ16" s="34">
        <f t="shared" ca="1" si="58"/>
        <v>0</v>
      </c>
      <c r="EK16" s="34">
        <f t="shared" ca="1" si="58"/>
        <v>0</v>
      </c>
      <c r="EL16" s="34">
        <f t="shared" ca="1" si="58"/>
        <v>0</v>
      </c>
      <c r="EM16" s="34">
        <f t="shared" ca="1" si="58"/>
        <v>0</v>
      </c>
      <c r="EN16" s="34">
        <f t="shared" ca="1" si="58"/>
        <v>0</v>
      </c>
      <c r="EO16" s="34">
        <f t="shared" ca="1" si="58"/>
        <v>175.00000000000003</v>
      </c>
      <c r="EP16" s="34">
        <f t="shared" ca="1" si="58"/>
        <v>0</v>
      </c>
      <c r="EQ16" s="34">
        <f t="shared" ca="1" si="59"/>
        <v>0</v>
      </c>
      <c r="ER16" s="34">
        <f t="shared" ca="1" si="59"/>
        <v>0</v>
      </c>
      <c r="ES16" s="34">
        <f t="shared" ca="1" si="59"/>
        <v>0</v>
      </c>
      <c r="ET16" s="34">
        <f t="shared" ca="1" si="59"/>
        <v>0</v>
      </c>
      <c r="EU16" s="34">
        <f t="shared" ca="1" si="59"/>
        <v>175.00000000000003</v>
      </c>
      <c r="EV16" s="34">
        <f t="shared" ca="1" si="59"/>
        <v>0</v>
      </c>
      <c r="EW16" s="34">
        <f t="shared" ca="1" si="59"/>
        <v>0</v>
      </c>
      <c r="EX16" s="34">
        <f t="shared" ca="1" si="59"/>
        <v>0</v>
      </c>
      <c r="EY16" s="34">
        <f t="shared" ca="1" si="59"/>
        <v>0</v>
      </c>
      <c r="EZ16" s="34">
        <f t="shared" ca="1" si="59"/>
        <v>0</v>
      </c>
      <c r="FA16" s="34">
        <f t="shared" ca="1" si="60"/>
        <v>175.00000000000003</v>
      </c>
      <c r="FB16" s="34">
        <f t="shared" ca="1" si="60"/>
        <v>0</v>
      </c>
      <c r="FC16" s="34">
        <f t="shared" ca="1" si="60"/>
        <v>0</v>
      </c>
      <c r="FD16" s="34">
        <f t="shared" ca="1" si="60"/>
        <v>0</v>
      </c>
      <c r="FE16" s="34">
        <f t="shared" ca="1" si="60"/>
        <v>0</v>
      </c>
      <c r="FF16" s="34">
        <f t="shared" ca="1" si="60"/>
        <v>0</v>
      </c>
      <c r="FG16" s="34">
        <f t="shared" ca="1" si="60"/>
        <v>175.00000000000003</v>
      </c>
      <c r="FH16" s="34">
        <f t="shared" ca="1" si="60"/>
        <v>0</v>
      </c>
      <c r="FI16" s="34">
        <f t="shared" ca="1" si="60"/>
        <v>0</v>
      </c>
      <c r="FJ16" s="34">
        <f t="shared" ca="1" si="60"/>
        <v>0</v>
      </c>
      <c r="FK16" s="34">
        <f t="shared" ca="1" si="61"/>
        <v>0</v>
      </c>
      <c r="FL16" s="34">
        <f t="shared" ca="1" si="61"/>
        <v>0</v>
      </c>
      <c r="FM16" s="34">
        <f t="shared" ca="1" si="61"/>
        <v>175.00000000000003</v>
      </c>
      <c r="FN16" s="34">
        <f t="shared" ca="1" si="61"/>
        <v>0</v>
      </c>
      <c r="FO16" s="34">
        <f t="shared" ca="1" si="61"/>
        <v>0</v>
      </c>
      <c r="FP16" s="34">
        <f t="shared" ca="1" si="61"/>
        <v>0</v>
      </c>
      <c r="FQ16" s="34">
        <f t="shared" ca="1" si="61"/>
        <v>0</v>
      </c>
      <c r="FR16" s="34">
        <f t="shared" ca="1" si="61"/>
        <v>0</v>
      </c>
      <c r="FS16" s="34">
        <f t="shared" ca="1" si="61"/>
        <v>175.00000000000003</v>
      </c>
      <c r="FT16" s="34">
        <f t="shared" ca="1" si="61"/>
        <v>0</v>
      </c>
      <c r="FU16" s="34">
        <f t="shared" ca="1" si="62"/>
        <v>0</v>
      </c>
      <c r="FV16" s="34">
        <f t="shared" ca="1" si="62"/>
        <v>0</v>
      </c>
      <c r="FW16" s="34">
        <f t="shared" ca="1" si="62"/>
        <v>0</v>
      </c>
      <c r="FX16" s="34">
        <f t="shared" ca="1" si="62"/>
        <v>0</v>
      </c>
      <c r="FY16" s="34">
        <f t="shared" ca="1" si="62"/>
        <v>175.00000000000003</v>
      </c>
      <c r="FZ16" s="34">
        <f t="shared" ca="1" si="62"/>
        <v>0</v>
      </c>
      <c r="GA16" s="34">
        <f t="shared" ca="1" si="62"/>
        <v>0</v>
      </c>
      <c r="GB16" s="34">
        <f t="shared" ca="1" si="62"/>
        <v>0</v>
      </c>
      <c r="GC16" s="34">
        <f t="shared" ca="1" si="62"/>
        <v>0</v>
      </c>
      <c r="GD16" s="34">
        <f t="shared" ca="1" si="62"/>
        <v>0</v>
      </c>
      <c r="GE16" s="34">
        <f t="shared" ca="1" si="63"/>
        <v>175.00000000000003</v>
      </c>
      <c r="GF16" s="34">
        <f t="shared" ca="1" si="63"/>
        <v>0</v>
      </c>
      <c r="GG16" s="34">
        <f t="shared" ca="1" si="63"/>
        <v>0</v>
      </c>
      <c r="GH16" s="34">
        <f t="shared" ca="1" si="63"/>
        <v>0</v>
      </c>
      <c r="GI16" s="34">
        <f t="shared" ca="1" si="63"/>
        <v>0</v>
      </c>
      <c r="GJ16" s="34">
        <f t="shared" ca="1" si="63"/>
        <v>0</v>
      </c>
      <c r="GK16" s="34">
        <f t="shared" ca="1" si="63"/>
        <v>175.00000000000003</v>
      </c>
      <c r="GL16" s="34">
        <f t="shared" ca="1" si="63"/>
        <v>0</v>
      </c>
      <c r="GM16" s="34">
        <f t="shared" ca="1" si="63"/>
        <v>0</v>
      </c>
      <c r="GN16" s="34">
        <f t="shared" ca="1" si="63"/>
        <v>0</v>
      </c>
      <c r="GO16" s="34">
        <f t="shared" ca="1" si="64"/>
        <v>0</v>
      </c>
      <c r="GP16" s="34">
        <f t="shared" ca="1" si="64"/>
        <v>0</v>
      </c>
      <c r="GQ16" s="34">
        <f t="shared" ca="1" si="64"/>
        <v>175.00000000000003</v>
      </c>
      <c r="GR16" s="34">
        <f t="shared" ca="1" si="64"/>
        <v>0</v>
      </c>
      <c r="GS16" s="34">
        <f t="shared" ca="1" si="64"/>
        <v>0</v>
      </c>
      <c r="GT16" s="34">
        <f t="shared" ca="1" si="64"/>
        <v>0</v>
      </c>
      <c r="GU16" s="34">
        <f t="shared" ca="1" si="64"/>
        <v>0</v>
      </c>
      <c r="GV16" s="34">
        <f t="shared" ca="1" si="64"/>
        <v>0</v>
      </c>
      <c r="GW16" s="34">
        <f t="shared" ca="1" si="64"/>
        <v>175.00000000000003</v>
      </c>
      <c r="GX16" s="34">
        <f t="shared" ca="1" si="64"/>
        <v>0</v>
      </c>
      <c r="GY16" s="34">
        <f t="shared" ca="1" si="65"/>
        <v>0</v>
      </c>
      <c r="GZ16" s="34">
        <f t="shared" ca="1" si="65"/>
        <v>0</v>
      </c>
      <c r="HA16" s="34">
        <f t="shared" ca="1" si="65"/>
        <v>0</v>
      </c>
      <c r="HB16" s="34">
        <f t="shared" ca="1" si="65"/>
        <v>0</v>
      </c>
      <c r="HC16" s="34">
        <f t="shared" ca="1" si="65"/>
        <v>175.00000000000003</v>
      </c>
      <c r="HD16" s="34">
        <f t="shared" ca="1" si="65"/>
        <v>0</v>
      </c>
      <c r="HE16" s="34">
        <f t="shared" ca="1" si="65"/>
        <v>0</v>
      </c>
      <c r="HF16" s="34">
        <f t="shared" ca="1" si="65"/>
        <v>0</v>
      </c>
      <c r="HG16" s="34">
        <f t="shared" ca="1" si="65"/>
        <v>0</v>
      </c>
      <c r="HH16" s="34">
        <f t="shared" ca="1" si="65"/>
        <v>0</v>
      </c>
      <c r="HI16" s="34">
        <f t="shared" ca="1" si="66"/>
        <v>175.00000000000003</v>
      </c>
      <c r="HJ16" s="34">
        <f t="shared" ca="1" si="66"/>
        <v>0</v>
      </c>
      <c r="HK16" s="34">
        <f t="shared" ca="1" si="66"/>
        <v>0</v>
      </c>
      <c r="HL16" s="34">
        <f t="shared" ca="1" si="66"/>
        <v>0</v>
      </c>
      <c r="HM16" s="34">
        <f t="shared" ca="1" si="66"/>
        <v>0</v>
      </c>
      <c r="HN16" s="34">
        <f t="shared" ca="1" si="66"/>
        <v>0</v>
      </c>
      <c r="HO16" s="34">
        <f t="shared" ca="1" si="66"/>
        <v>175.00000000000003</v>
      </c>
      <c r="HP16" s="34">
        <f t="shared" ca="1" si="66"/>
        <v>0</v>
      </c>
      <c r="HQ16" s="34">
        <f t="shared" ca="1" si="66"/>
        <v>0</v>
      </c>
      <c r="HR16" s="34">
        <f t="shared" ca="1" si="66"/>
        <v>0</v>
      </c>
      <c r="HS16" s="34">
        <f t="shared" ca="1" si="67"/>
        <v>0</v>
      </c>
      <c r="HT16" s="34">
        <f t="shared" ca="1" si="67"/>
        <v>0</v>
      </c>
      <c r="HU16" s="34">
        <f t="shared" ca="1" si="67"/>
        <v>175.00000000000003</v>
      </c>
      <c r="HV16" s="34">
        <f t="shared" ca="1" si="67"/>
        <v>0</v>
      </c>
      <c r="HW16" s="34">
        <f t="shared" ca="1" si="67"/>
        <v>0</v>
      </c>
      <c r="HX16" s="34">
        <f t="shared" ca="1" si="67"/>
        <v>0</v>
      </c>
      <c r="HY16" s="34">
        <f t="shared" ca="1" si="67"/>
        <v>0</v>
      </c>
      <c r="HZ16" s="34">
        <f t="shared" ca="1" si="67"/>
        <v>0</v>
      </c>
      <c r="IA16" s="34">
        <f t="shared" ca="1" si="67"/>
        <v>175.00000000000003</v>
      </c>
      <c r="IB16" s="34">
        <f t="shared" ca="1" si="67"/>
        <v>0</v>
      </c>
      <c r="IC16" s="34">
        <f t="shared" ca="1" si="68"/>
        <v>0</v>
      </c>
      <c r="ID16" s="34">
        <f t="shared" ca="1" si="68"/>
        <v>0</v>
      </c>
      <c r="IE16" s="34">
        <f t="shared" ca="1" si="68"/>
        <v>0</v>
      </c>
      <c r="IF16" s="34">
        <f t="shared" ca="1" si="68"/>
        <v>0</v>
      </c>
      <c r="IG16" s="34">
        <f t="shared" ca="1" si="68"/>
        <v>0</v>
      </c>
      <c r="IH16" s="34">
        <f t="shared" ca="1" si="68"/>
        <v>0</v>
      </c>
      <c r="II16" s="34">
        <f t="shared" ca="1" si="68"/>
        <v>0</v>
      </c>
      <c r="IJ16" s="34">
        <f t="shared" ca="1" si="68"/>
        <v>0</v>
      </c>
      <c r="IK16" s="34">
        <f t="shared" ca="1" si="68"/>
        <v>0</v>
      </c>
      <c r="IL16" s="34">
        <f t="shared" ca="1" si="68"/>
        <v>0</v>
      </c>
      <c r="IM16" s="34">
        <f t="shared" ca="1" si="69"/>
        <v>0</v>
      </c>
      <c r="IN16" s="34">
        <f t="shared" ca="1" si="69"/>
        <v>0</v>
      </c>
      <c r="IO16" s="34">
        <f t="shared" ca="1" si="69"/>
        <v>0</v>
      </c>
      <c r="IP16" s="34">
        <f t="shared" ca="1" si="69"/>
        <v>0</v>
      </c>
      <c r="IQ16" s="34">
        <f t="shared" ca="1" si="69"/>
        <v>0</v>
      </c>
      <c r="IR16" s="34">
        <f t="shared" ca="1" si="69"/>
        <v>0</v>
      </c>
      <c r="IS16" s="34">
        <f t="shared" ca="1" si="69"/>
        <v>0</v>
      </c>
      <c r="IT16" s="34">
        <f t="shared" ca="1" si="69"/>
        <v>0</v>
      </c>
      <c r="IU16" s="34">
        <f t="shared" ca="1" si="69"/>
        <v>0</v>
      </c>
      <c r="IV16" s="34">
        <f t="shared" ca="1" si="69"/>
        <v>0</v>
      </c>
      <c r="IW16" s="34">
        <f t="shared" ca="1" si="70"/>
        <v>0</v>
      </c>
      <c r="IX16" s="34">
        <f t="shared" ca="1" si="70"/>
        <v>0</v>
      </c>
      <c r="IY16" s="34">
        <f t="shared" ca="1" si="70"/>
        <v>0</v>
      </c>
      <c r="IZ16" s="34">
        <f t="shared" ca="1" si="70"/>
        <v>0</v>
      </c>
      <c r="JA16" s="34">
        <f t="shared" ca="1" si="70"/>
        <v>0</v>
      </c>
      <c r="JB16" s="34">
        <f t="shared" ca="1" si="70"/>
        <v>0</v>
      </c>
      <c r="JC16" s="34">
        <f t="shared" ca="1" si="70"/>
        <v>0</v>
      </c>
      <c r="JD16" s="34">
        <f t="shared" ca="1" si="70"/>
        <v>0</v>
      </c>
      <c r="JE16" s="34">
        <f t="shared" ca="1" si="70"/>
        <v>0</v>
      </c>
      <c r="JF16" s="34">
        <f t="shared" ca="1" si="70"/>
        <v>0</v>
      </c>
      <c r="JG16" s="34">
        <f t="shared" ca="1" si="71"/>
        <v>0</v>
      </c>
      <c r="JH16" s="34">
        <f t="shared" ca="1" si="71"/>
        <v>0</v>
      </c>
      <c r="JI16" s="34">
        <f t="shared" ca="1" si="71"/>
        <v>0</v>
      </c>
      <c r="JJ16" s="34">
        <f t="shared" ca="1" si="71"/>
        <v>0</v>
      </c>
      <c r="JK16" s="34">
        <f t="shared" ca="1" si="71"/>
        <v>0</v>
      </c>
      <c r="JL16" s="34">
        <f t="shared" ca="1" si="71"/>
        <v>0</v>
      </c>
      <c r="JM16" s="34">
        <f t="shared" ca="1" si="71"/>
        <v>0</v>
      </c>
      <c r="JN16" s="34">
        <f t="shared" ca="1" si="71"/>
        <v>0</v>
      </c>
      <c r="JO16" s="34">
        <f t="shared" ca="1" si="71"/>
        <v>0</v>
      </c>
      <c r="JP16" s="34">
        <f t="shared" ca="1" si="71"/>
        <v>0</v>
      </c>
      <c r="JQ16" s="34">
        <f t="shared" ca="1" si="72"/>
        <v>0</v>
      </c>
      <c r="JR16" s="34">
        <f t="shared" ca="1" si="72"/>
        <v>0</v>
      </c>
      <c r="JS16" s="34">
        <f t="shared" ca="1" si="72"/>
        <v>0</v>
      </c>
      <c r="JT16" s="34">
        <f t="shared" ca="1" si="72"/>
        <v>0</v>
      </c>
      <c r="JU16" s="34">
        <f t="shared" ca="1" si="72"/>
        <v>0</v>
      </c>
      <c r="JV16" s="34">
        <f t="shared" ca="1" si="72"/>
        <v>0</v>
      </c>
      <c r="JW16" s="34">
        <f t="shared" ca="1" si="72"/>
        <v>0</v>
      </c>
      <c r="JX16" s="34">
        <f t="shared" ca="1" si="72"/>
        <v>0</v>
      </c>
      <c r="JY16" s="34">
        <f t="shared" ca="1" si="72"/>
        <v>0</v>
      </c>
      <c r="JZ16" s="34">
        <f t="shared" ca="1" si="72"/>
        <v>0</v>
      </c>
      <c r="KA16" s="34">
        <f t="shared" ca="1" si="73"/>
        <v>0</v>
      </c>
      <c r="KB16" s="34">
        <f t="shared" ca="1" si="73"/>
        <v>0</v>
      </c>
      <c r="KC16" s="34">
        <f t="shared" ca="1" si="73"/>
        <v>0</v>
      </c>
      <c r="KD16" s="34">
        <f t="shared" ca="1" si="73"/>
        <v>0</v>
      </c>
      <c r="KE16" s="34">
        <f t="shared" ca="1" si="73"/>
        <v>0</v>
      </c>
      <c r="KF16" s="34">
        <f t="shared" ca="1" si="73"/>
        <v>0</v>
      </c>
      <c r="KG16" s="34">
        <f t="shared" ca="1" si="73"/>
        <v>0</v>
      </c>
      <c r="KH16" s="34">
        <f t="shared" ca="1" si="73"/>
        <v>0</v>
      </c>
      <c r="KI16" s="34">
        <f t="shared" ca="1" si="73"/>
        <v>0</v>
      </c>
      <c r="KJ16" s="34">
        <f t="shared" ca="1" si="73"/>
        <v>0</v>
      </c>
      <c r="KK16" s="34">
        <f t="shared" ca="1" si="74"/>
        <v>0</v>
      </c>
      <c r="KL16" s="34">
        <f t="shared" ca="1" si="74"/>
        <v>0</v>
      </c>
      <c r="KM16" s="34">
        <f t="shared" ca="1" si="74"/>
        <v>0</v>
      </c>
      <c r="KN16" s="34">
        <f t="shared" ca="1" si="74"/>
        <v>0</v>
      </c>
      <c r="KO16" s="34">
        <f t="shared" ca="1" si="74"/>
        <v>0</v>
      </c>
      <c r="KP16" s="34">
        <f t="shared" ca="1" si="74"/>
        <v>0</v>
      </c>
      <c r="KQ16" s="34">
        <f t="shared" ca="1" si="74"/>
        <v>0</v>
      </c>
      <c r="KR16" s="34">
        <f t="shared" ca="1" si="74"/>
        <v>0</v>
      </c>
      <c r="KS16" s="34">
        <f t="shared" ca="1" si="74"/>
        <v>0</v>
      </c>
      <c r="KT16" s="34">
        <f t="shared" ca="1" si="74"/>
        <v>0</v>
      </c>
      <c r="KU16" s="34">
        <f t="shared" ca="1" si="75"/>
        <v>0</v>
      </c>
      <c r="KV16" s="34">
        <f t="shared" ca="1" si="75"/>
        <v>0</v>
      </c>
      <c r="KW16" s="34">
        <f t="shared" ca="1" si="75"/>
        <v>0</v>
      </c>
      <c r="KX16" s="34">
        <f t="shared" ca="1" si="75"/>
        <v>0</v>
      </c>
      <c r="KY16" s="34">
        <f t="shared" ca="1" si="75"/>
        <v>0</v>
      </c>
      <c r="KZ16" s="34">
        <f t="shared" ca="1" si="75"/>
        <v>0</v>
      </c>
      <c r="LA16" s="34">
        <f t="shared" ca="1" si="75"/>
        <v>0</v>
      </c>
      <c r="LB16" s="34">
        <f t="shared" ca="1" si="75"/>
        <v>0</v>
      </c>
      <c r="LC16" s="34">
        <f t="shared" ca="1" si="75"/>
        <v>0</v>
      </c>
      <c r="LD16" s="34">
        <f t="shared" ca="1" si="75"/>
        <v>0</v>
      </c>
      <c r="LE16" s="34">
        <f t="shared" ca="1" si="76"/>
        <v>0</v>
      </c>
      <c r="LF16" s="34">
        <f t="shared" ca="1" si="76"/>
        <v>0</v>
      </c>
      <c r="LG16" s="34">
        <f t="shared" ca="1" si="76"/>
        <v>0</v>
      </c>
      <c r="LH16" s="34">
        <f t="shared" ca="1" si="76"/>
        <v>0</v>
      </c>
      <c r="LI16" s="34">
        <f t="shared" ca="1" si="76"/>
        <v>0</v>
      </c>
      <c r="LJ16" s="34">
        <f t="shared" ca="1" si="76"/>
        <v>0</v>
      </c>
      <c r="LK16" s="34">
        <f t="shared" ca="1" si="76"/>
        <v>0</v>
      </c>
      <c r="LL16" s="34">
        <f t="shared" ca="1" si="76"/>
        <v>0</v>
      </c>
      <c r="LM16" s="34">
        <f t="shared" ca="1" si="76"/>
        <v>0</v>
      </c>
      <c r="LN16" s="34">
        <f t="shared" ca="1" si="76"/>
        <v>0</v>
      </c>
      <c r="LO16" s="34">
        <f t="shared" ca="1" si="77"/>
        <v>0</v>
      </c>
      <c r="LP16" s="34">
        <f t="shared" ca="1" si="77"/>
        <v>0</v>
      </c>
      <c r="LQ16" s="34">
        <f t="shared" ca="1" si="77"/>
        <v>0</v>
      </c>
      <c r="LR16" s="34">
        <f t="shared" ca="1" si="77"/>
        <v>0</v>
      </c>
      <c r="LS16" s="34">
        <f t="shared" ca="1" si="77"/>
        <v>0</v>
      </c>
      <c r="LT16" s="34">
        <f t="shared" ca="1" si="77"/>
        <v>0</v>
      </c>
      <c r="LU16" s="34">
        <f t="shared" ca="1" si="77"/>
        <v>0</v>
      </c>
      <c r="LV16" s="34">
        <f t="shared" ca="1" si="77"/>
        <v>0</v>
      </c>
      <c r="LW16" s="34">
        <f t="shared" ca="1" si="77"/>
        <v>0</v>
      </c>
      <c r="LX16" s="34">
        <f t="shared" ca="1" si="77"/>
        <v>0</v>
      </c>
      <c r="LY16" s="34">
        <f t="shared" ca="1" si="78"/>
        <v>0</v>
      </c>
      <c r="LZ16" s="34">
        <f t="shared" ca="1" si="78"/>
        <v>0</v>
      </c>
      <c r="MA16" s="34">
        <f t="shared" ca="1" si="78"/>
        <v>0</v>
      </c>
      <c r="MB16" s="34">
        <f t="shared" ca="1" si="78"/>
        <v>0</v>
      </c>
      <c r="MC16" s="34">
        <f t="shared" ca="1" si="78"/>
        <v>0</v>
      </c>
      <c r="MD16" s="34">
        <f t="shared" ca="1" si="78"/>
        <v>0</v>
      </c>
      <c r="ME16" s="34">
        <f t="shared" ca="1" si="78"/>
        <v>0</v>
      </c>
      <c r="MF16" s="34">
        <f t="shared" ca="1" si="78"/>
        <v>0</v>
      </c>
      <c r="MG16" s="34">
        <f t="shared" ca="1" si="78"/>
        <v>0</v>
      </c>
      <c r="MH16" s="34">
        <f t="shared" ca="1" si="78"/>
        <v>0</v>
      </c>
      <c r="MI16" s="34">
        <f t="shared" ca="1" si="79"/>
        <v>0</v>
      </c>
      <c r="MJ16" s="34">
        <f t="shared" ca="1" si="79"/>
        <v>0</v>
      </c>
      <c r="MK16" s="34">
        <f t="shared" ca="1" si="79"/>
        <v>0</v>
      </c>
      <c r="ML16" s="34">
        <f t="shared" ca="1" si="79"/>
        <v>0</v>
      </c>
      <c r="MM16" s="34">
        <f t="shared" ca="1" si="79"/>
        <v>0</v>
      </c>
      <c r="MN16" s="34">
        <f t="shared" ca="1" si="79"/>
        <v>0</v>
      </c>
      <c r="MO16" s="34">
        <f t="shared" ca="1" si="79"/>
        <v>0</v>
      </c>
      <c r="MP16" s="34">
        <f t="shared" ca="1" si="79"/>
        <v>0</v>
      </c>
      <c r="MQ16" s="34">
        <f t="shared" ca="1" si="79"/>
        <v>0</v>
      </c>
      <c r="MR16" s="34">
        <f t="shared" ca="1" si="79"/>
        <v>0</v>
      </c>
      <c r="MS16" s="34">
        <f t="shared" ca="1" si="80"/>
        <v>0</v>
      </c>
      <c r="MT16" s="34">
        <f t="shared" ca="1" si="80"/>
        <v>0</v>
      </c>
      <c r="MU16" s="34">
        <f t="shared" ca="1" si="80"/>
        <v>0</v>
      </c>
      <c r="MV16" s="34">
        <f t="shared" ca="1" si="80"/>
        <v>0</v>
      </c>
      <c r="MW16" s="34">
        <f t="shared" ca="1" si="80"/>
        <v>0</v>
      </c>
      <c r="MX16" s="34">
        <f t="shared" ca="1" si="80"/>
        <v>0</v>
      </c>
      <c r="MY16" s="34">
        <f t="shared" ca="1" si="80"/>
        <v>0</v>
      </c>
      <c r="MZ16" s="34">
        <f t="shared" ca="1" si="80"/>
        <v>0</v>
      </c>
      <c r="NA16" s="34">
        <f t="shared" ca="1" si="80"/>
        <v>0</v>
      </c>
      <c r="NB16" s="34">
        <f t="shared" ca="1" si="80"/>
        <v>0</v>
      </c>
      <c r="NC16" s="34">
        <f t="shared" ca="1" si="81"/>
        <v>0</v>
      </c>
      <c r="ND16" s="34">
        <f t="shared" ca="1" si="81"/>
        <v>0</v>
      </c>
      <c r="NE16" s="34">
        <f t="shared" ca="1" si="81"/>
        <v>0</v>
      </c>
      <c r="NF16" s="34">
        <f t="shared" ca="1" si="81"/>
        <v>0</v>
      </c>
      <c r="NG16" s="34">
        <f t="shared" ca="1" si="81"/>
        <v>0</v>
      </c>
      <c r="NH16" s="34">
        <f t="shared" ca="1" si="81"/>
        <v>0</v>
      </c>
      <c r="NI16" s="34">
        <f t="shared" ca="1" si="81"/>
        <v>0</v>
      </c>
      <c r="NJ16" s="34">
        <f t="shared" ca="1" si="81"/>
        <v>0</v>
      </c>
      <c r="NK16" s="34">
        <f t="shared" ca="1" si="81"/>
        <v>0</v>
      </c>
      <c r="NL16" s="34">
        <f t="shared" ca="1" si="81"/>
        <v>0</v>
      </c>
      <c r="NM16" s="34">
        <f t="shared" ca="1" si="82"/>
        <v>0</v>
      </c>
      <c r="NN16" s="34">
        <f t="shared" ca="1" si="82"/>
        <v>0</v>
      </c>
      <c r="NO16" s="34">
        <f t="shared" ca="1" si="82"/>
        <v>0</v>
      </c>
      <c r="NP16" s="34">
        <f t="shared" ca="1" si="82"/>
        <v>0</v>
      </c>
      <c r="NQ16" s="34">
        <f t="shared" ca="1" si="82"/>
        <v>0</v>
      </c>
      <c r="NR16" s="34">
        <f t="shared" ca="1" si="82"/>
        <v>0</v>
      </c>
      <c r="NS16" s="34">
        <f t="shared" ca="1" si="82"/>
        <v>0</v>
      </c>
      <c r="NT16" s="34">
        <f t="shared" ca="1" si="82"/>
        <v>0</v>
      </c>
      <c r="NU16" s="34">
        <f t="shared" ca="1" si="82"/>
        <v>0</v>
      </c>
      <c r="NV16" s="34">
        <f t="shared" ca="1" si="82"/>
        <v>0</v>
      </c>
      <c r="NW16" s="34">
        <f t="shared" ca="1" si="83"/>
        <v>0</v>
      </c>
      <c r="NX16" s="34">
        <f t="shared" ca="1" si="83"/>
        <v>0</v>
      </c>
      <c r="NY16" s="34">
        <f t="shared" ca="1" si="83"/>
        <v>0</v>
      </c>
      <c r="NZ16" s="34">
        <f t="shared" ca="1" si="83"/>
        <v>0</v>
      </c>
      <c r="OA16" s="34">
        <f t="shared" ca="1" si="83"/>
        <v>0</v>
      </c>
      <c r="OB16" s="34">
        <f t="shared" ca="1" si="83"/>
        <v>0</v>
      </c>
      <c r="OC16" s="34">
        <f t="shared" ca="1" si="83"/>
        <v>0</v>
      </c>
      <c r="OD16" s="34">
        <f t="shared" ca="1" si="83"/>
        <v>0</v>
      </c>
      <c r="OE16" s="34">
        <f t="shared" ca="1" si="83"/>
        <v>0</v>
      </c>
      <c r="OF16" s="34">
        <f t="shared" ca="1" si="83"/>
        <v>0</v>
      </c>
      <c r="OG16" s="34">
        <f t="shared" ca="1" si="84"/>
        <v>0</v>
      </c>
      <c r="OH16" s="34">
        <f t="shared" ca="1" si="84"/>
        <v>0</v>
      </c>
      <c r="OI16" s="34">
        <f t="shared" ca="1" si="84"/>
        <v>0</v>
      </c>
      <c r="OJ16" s="34">
        <f t="shared" ca="1" si="84"/>
        <v>0</v>
      </c>
      <c r="OK16" s="34">
        <f t="shared" ca="1" si="84"/>
        <v>0</v>
      </c>
      <c r="OL16" s="34">
        <f t="shared" ca="1" si="84"/>
        <v>0</v>
      </c>
      <c r="OM16" s="34">
        <f t="shared" ca="1" si="84"/>
        <v>0</v>
      </c>
      <c r="ON16" s="34">
        <f t="shared" ca="1" si="84"/>
        <v>0</v>
      </c>
      <c r="OO16" s="34">
        <f t="shared" ca="1" si="84"/>
        <v>0</v>
      </c>
      <c r="OP16" s="34">
        <f t="shared" ca="1" si="84"/>
        <v>0</v>
      </c>
      <c r="OQ16" s="34">
        <f t="shared" ca="1" si="85"/>
        <v>0</v>
      </c>
      <c r="OR16" s="34">
        <f t="shared" ca="1" si="85"/>
        <v>0</v>
      </c>
      <c r="OS16" s="34">
        <f t="shared" ca="1" si="85"/>
        <v>0</v>
      </c>
      <c r="OT16" s="34">
        <f t="shared" ca="1" si="85"/>
        <v>0</v>
      </c>
      <c r="OU16" s="34">
        <f t="shared" ca="1" si="85"/>
        <v>0</v>
      </c>
      <c r="OV16" s="34">
        <f t="shared" ca="1" si="85"/>
        <v>0</v>
      </c>
      <c r="OW16" s="34">
        <f t="shared" ca="1" si="85"/>
        <v>0</v>
      </c>
      <c r="OX16" s="34">
        <f t="shared" ca="1" si="85"/>
        <v>0</v>
      </c>
      <c r="OY16" s="34">
        <f t="shared" ca="1" si="85"/>
        <v>0</v>
      </c>
      <c r="OZ16" s="34">
        <f t="shared" ca="1" si="85"/>
        <v>0</v>
      </c>
      <c r="PA16" s="34">
        <f t="shared" ca="1" si="86"/>
        <v>0</v>
      </c>
      <c r="PB16" s="34">
        <f t="shared" ca="1" si="86"/>
        <v>0</v>
      </c>
      <c r="PC16" s="34">
        <f t="shared" ca="1" si="86"/>
        <v>0</v>
      </c>
      <c r="PD16" s="34">
        <f t="shared" ca="1" si="86"/>
        <v>0</v>
      </c>
      <c r="PE16" s="34">
        <f t="shared" ca="1" si="86"/>
        <v>0</v>
      </c>
      <c r="PF16" s="34">
        <f t="shared" ca="1" si="86"/>
        <v>0</v>
      </c>
      <c r="PG16" s="34">
        <f t="shared" ca="1" si="86"/>
        <v>0</v>
      </c>
      <c r="PH16" s="34">
        <f t="shared" ca="1" si="86"/>
        <v>0</v>
      </c>
      <c r="PI16" s="34">
        <f t="shared" ca="1" si="86"/>
        <v>0</v>
      </c>
      <c r="PJ16" s="34">
        <f t="shared" ca="1" si="86"/>
        <v>0</v>
      </c>
      <c r="PK16" s="34">
        <f t="shared" ca="1" si="87"/>
        <v>0</v>
      </c>
      <c r="PL16" s="34">
        <f t="shared" ca="1" si="87"/>
        <v>0</v>
      </c>
      <c r="PM16" s="34">
        <f t="shared" ca="1" si="87"/>
        <v>0</v>
      </c>
      <c r="PN16" s="34">
        <f t="shared" ca="1" si="87"/>
        <v>0</v>
      </c>
      <c r="PO16" s="34">
        <f t="shared" ca="1" si="87"/>
        <v>0</v>
      </c>
      <c r="PP16" s="34">
        <f t="shared" ca="1" si="87"/>
        <v>0</v>
      </c>
      <c r="PQ16" s="34">
        <f t="shared" ca="1" si="87"/>
        <v>0</v>
      </c>
      <c r="PR16" s="34">
        <f t="shared" ca="1" si="87"/>
        <v>0</v>
      </c>
      <c r="PS16" s="34">
        <f t="shared" ca="1" si="87"/>
        <v>0</v>
      </c>
      <c r="PT16" s="34">
        <f t="shared" ca="1" si="87"/>
        <v>0</v>
      </c>
      <c r="PU16" s="34">
        <f t="shared" ca="1" si="88"/>
        <v>0</v>
      </c>
      <c r="PV16" s="34">
        <f t="shared" ca="1" si="88"/>
        <v>0</v>
      </c>
      <c r="PW16" s="34">
        <f t="shared" ca="1" si="88"/>
        <v>0</v>
      </c>
      <c r="PX16" s="34">
        <f t="shared" ca="1" si="88"/>
        <v>0</v>
      </c>
      <c r="PY16" s="34">
        <f t="shared" ca="1" si="88"/>
        <v>0</v>
      </c>
      <c r="PZ16" s="34">
        <f t="shared" ca="1" si="88"/>
        <v>0</v>
      </c>
      <c r="QA16" s="34">
        <f t="shared" ca="1" si="88"/>
        <v>0</v>
      </c>
      <c r="QB16" s="34">
        <f t="shared" ca="1" si="88"/>
        <v>0</v>
      </c>
      <c r="QC16" s="34">
        <f t="shared" ca="1" si="88"/>
        <v>0</v>
      </c>
      <c r="QD16" s="34">
        <f t="shared" ca="1" si="88"/>
        <v>0</v>
      </c>
      <c r="QE16" s="34">
        <f t="shared" ca="1" si="89"/>
        <v>0</v>
      </c>
      <c r="QF16" s="34">
        <f t="shared" ca="1" si="89"/>
        <v>0</v>
      </c>
      <c r="QG16" s="34">
        <f t="shared" ca="1" si="89"/>
        <v>0</v>
      </c>
      <c r="QH16" s="34">
        <f t="shared" ca="1" si="89"/>
        <v>0</v>
      </c>
      <c r="QI16" s="34">
        <f t="shared" ca="1" si="89"/>
        <v>0</v>
      </c>
      <c r="QJ16" s="34">
        <f t="shared" ca="1" si="89"/>
        <v>0</v>
      </c>
      <c r="QK16" s="34">
        <f t="shared" ca="1" si="89"/>
        <v>0</v>
      </c>
      <c r="QL16" s="34">
        <f t="shared" ca="1" si="89"/>
        <v>0</v>
      </c>
      <c r="QM16" s="34">
        <f t="shared" ca="1" si="89"/>
        <v>0</v>
      </c>
      <c r="QN16" s="34">
        <f t="shared" ca="1" si="89"/>
        <v>0</v>
      </c>
      <c r="QO16" s="34">
        <f t="shared" ca="1" si="90"/>
        <v>0</v>
      </c>
      <c r="QP16" s="34">
        <f t="shared" ca="1" si="90"/>
        <v>0</v>
      </c>
      <c r="QQ16" s="34">
        <f t="shared" ca="1" si="90"/>
        <v>0</v>
      </c>
      <c r="QR16" s="34">
        <f t="shared" ca="1" si="90"/>
        <v>0</v>
      </c>
      <c r="QS16" s="34">
        <f t="shared" ca="1" si="90"/>
        <v>0</v>
      </c>
      <c r="QT16" s="34">
        <f t="shared" ca="1" si="90"/>
        <v>0</v>
      </c>
      <c r="QU16" s="34">
        <f t="shared" ca="1" si="90"/>
        <v>0</v>
      </c>
      <c r="QV16" s="34">
        <f t="shared" ca="1" si="90"/>
        <v>0</v>
      </c>
      <c r="QW16" s="34">
        <f t="shared" ca="1" si="90"/>
        <v>0</v>
      </c>
      <c r="QX16" s="34">
        <f t="shared" ca="1" si="90"/>
        <v>0</v>
      </c>
      <c r="QY16" s="34">
        <f t="shared" ca="1" si="91"/>
        <v>0</v>
      </c>
      <c r="QZ16" s="34">
        <f t="shared" ca="1" si="91"/>
        <v>0</v>
      </c>
      <c r="RA16" s="34">
        <f t="shared" ca="1" si="91"/>
        <v>0</v>
      </c>
      <c r="RB16" s="34">
        <f t="shared" ca="1" si="91"/>
        <v>0</v>
      </c>
      <c r="RC16" s="34">
        <f t="shared" ca="1" si="91"/>
        <v>0</v>
      </c>
      <c r="RD16" s="34">
        <f t="shared" ca="1" si="91"/>
        <v>0</v>
      </c>
      <c r="RE16" s="34">
        <f t="shared" ca="1" si="91"/>
        <v>0</v>
      </c>
      <c r="RF16" s="34">
        <f t="shared" ca="1" si="91"/>
        <v>0</v>
      </c>
      <c r="RG16" s="34">
        <f t="shared" ca="1" si="91"/>
        <v>0</v>
      </c>
      <c r="RH16" s="34">
        <f t="shared" ca="1" si="91"/>
        <v>0</v>
      </c>
      <c r="RI16" s="34">
        <f t="shared" ca="1" si="92"/>
        <v>0</v>
      </c>
      <c r="RJ16" s="34">
        <f t="shared" ca="1" si="92"/>
        <v>0</v>
      </c>
      <c r="RK16" s="34">
        <f t="shared" ca="1" si="92"/>
        <v>0</v>
      </c>
      <c r="RL16" s="34">
        <f t="shared" ca="1" si="92"/>
        <v>0</v>
      </c>
      <c r="RM16" s="34">
        <f t="shared" ca="1" si="92"/>
        <v>0</v>
      </c>
      <c r="RN16" s="34">
        <f t="shared" ca="1" si="92"/>
        <v>0</v>
      </c>
      <c r="RO16" s="34">
        <f t="shared" ca="1" si="92"/>
        <v>0</v>
      </c>
      <c r="RP16" s="34">
        <f t="shared" ca="1" si="92"/>
        <v>0</v>
      </c>
      <c r="RQ16" s="34">
        <f t="shared" ca="1" si="92"/>
        <v>0</v>
      </c>
      <c r="RR16" s="34">
        <f t="shared" ca="1" si="92"/>
        <v>0</v>
      </c>
      <c r="RS16" s="34">
        <f t="shared" ca="1" si="93"/>
        <v>0</v>
      </c>
      <c r="RT16" s="34">
        <f t="shared" ca="1" si="93"/>
        <v>0</v>
      </c>
      <c r="RU16" s="34">
        <f t="shared" ca="1" si="93"/>
        <v>0</v>
      </c>
      <c r="RV16" s="34">
        <f t="shared" ca="1" si="93"/>
        <v>0</v>
      </c>
      <c r="RW16" s="34">
        <f t="shared" ca="1" si="93"/>
        <v>0</v>
      </c>
      <c r="RX16" s="34">
        <f t="shared" ca="1" si="93"/>
        <v>0</v>
      </c>
      <c r="RY16" s="34">
        <f t="shared" ca="1" si="93"/>
        <v>0</v>
      </c>
      <c r="RZ16" s="34">
        <f t="shared" ca="1" si="93"/>
        <v>0</v>
      </c>
      <c r="SA16" s="34">
        <f t="shared" ca="1" si="93"/>
        <v>0</v>
      </c>
      <c r="SB16" s="34">
        <f t="shared" ca="1" si="93"/>
        <v>0</v>
      </c>
      <c r="SC16" s="34">
        <f t="shared" ca="1" si="94"/>
        <v>0</v>
      </c>
      <c r="SD16" s="34">
        <f t="shared" ca="1" si="94"/>
        <v>0</v>
      </c>
      <c r="SE16" s="34">
        <f t="shared" ca="1" si="94"/>
        <v>0</v>
      </c>
      <c r="SF16" s="34">
        <f t="shared" ca="1" si="94"/>
        <v>0</v>
      </c>
      <c r="SG16" s="34">
        <f t="shared" ca="1" si="94"/>
        <v>0</v>
      </c>
      <c r="SH16" s="34">
        <f t="shared" ca="1" si="94"/>
        <v>0</v>
      </c>
      <c r="SI16" s="34">
        <f t="shared" ca="1" si="94"/>
        <v>0</v>
      </c>
      <c r="SJ16" s="34">
        <f t="shared" ca="1" si="94"/>
        <v>0</v>
      </c>
      <c r="SK16" s="34">
        <f t="shared" ca="1" si="94"/>
        <v>0</v>
      </c>
      <c r="SL16" s="34">
        <f t="shared" ca="1" si="94"/>
        <v>0</v>
      </c>
      <c r="SM16" s="34">
        <f t="shared" ca="1" si="95"/>
        <v>0</v>
      </c>
      <c r="SN16" s="34">
        <f t="shared" ca="1" si="95"/>
        <v>0</v>
      </c>
      <c r="SO16" s="34">
        <f t="shared" ca="1" si="95"/>
        <v>0</v>
      </c>
      <c r="SP16" s="34">
        <f t="shared" ca="1" si="95"/>
        <v>0</v>
      </c>
      <c r="SQ16" s="34">
        <f t="shared" ca="1" si="95"/>
        <v>0</v>
      </c>
      <c r="SR16" s="34">
        <f t="shared" ca="1" si="95"/>
        <v>0</v>
      </c>
      <c r="SS16" s="34">
        <f t="shared" ca="1" si="95"/>
        <v>0</v>
      </c>
      <c r="ST16" s="34">
        <f t="shared" ca="1" si="95"/>
        <v>0</v>
      </c>
      <c r="SU16" s="34">
        <f t="shared" ca="1" si="95"/>
        <v>0</v>
      </c>
      <c r="SV16" s="34">
        <f t="shared" ca="1" si="95"/>
        <v>0</v>
      </c>
      <c r="SW16" s="34">
        <f t="shared" ca="1" si="96"/>
        <v>0</v>
      </c>
      <c r="SX16" s="34">
        <f t="shared" ca="1" si="96"/>
        <v>0</v>
      </c>
      <c r="SY16" s="34">
        <f t="shared" ca="1" si="96"/>
        <v>0</v>
      </c>
      <c r="SZ16" s="34">
        <f t="shared" ca="1" si="96"/>
        <v>0</v>
      </c>
      <c r="TA16" s="34">
        <f t="shared" ca="1" si="96"/>
        <v>0</v>
      </c>
      <c r="TB16" s="34">
        <f t="shared" ca="1" si="96"/>
        <v>0</v>
      </c>
      <c r="TC16" s="34">
        <f t="shared" ca="1" si="96"/>
        <v>0</v>
      </c>
      <c r="TD16" s="34">
        <f t="shared" ca="1" si="96"/>
        <v>0</v>
      </c>
      <c r="TE16" s="34">
        <f t="shared" ca="1" si="96"/>
        <v>0</v>
      </c>
      <c r="TF16" s="34">
        <f t="shared" ca="1" si="96"/>
        <v>0</v>
      </c>
      <c r="TG16" s="34">
        <f t="shared" ca="1" si="97"/>
        <v>0</v>
      </c>
      <c r="TH16" s="34">
        <f t="shared" ca="1" si="97"/>
        <v>0</v>
      </c>
      <c r="TI16" s="34">
        <f t="shared" ca="1" si="97"/>
        <v>0</v>
      </c>
      <c r="TJ16" s="34">
        <f t="shared" ca="1" si="97"/>
        <v>0</v>
      </c>
      <c r="TK16" s="34">
        <f t="shared" ca="1" si="97"/>
        <v>0</v>
      </c>
      <c r="TL16" s="34">
        <f t="shared" ca="1" si="97"/>
        <v>0</v>
      </c>
      <c r="TM16" s="34">
        <f t="shared" ca="1" si="97"/>
        <v>0</v>
      </c>
      <c r="TN16" s="34">
        <f t="shared" ca="1" si="97"/>
        <v>0</v>
      </c>
      <c r="TO16" s="34">
        <f t="shared" ca="1" si="97"/>
        <v>0</v>
      </c>
      <c r="TP16" s="34">
        <f t="shared" ca="1" si="97"/>
        <v>0</v>
      </c>
      <c r="TQ16" s="34">
        <f t="shared" ca="1" si="98"/>
        <v>0</v>
      </c>
      <c r="TR16" s="34">
        <f t="shared" ca="1" si="98"/>
        <v>0</v>
      </c>
      <c r="TS16" s="34">
        <f t="shared" ca="1" si="98"/>
        <v>0</v>
      </c>
      <c r="TT16" s="34">
        <f t="shared" ca="1" si="98"/>
        <v>0</v>
      </c>
      <c r="TU16" s="34">
        <f t="shared" ca="1" si="98"/>
        <v>0</v>
      </c>
      <c r="TV16" s="34">
        <f t="shared" ca="1" si="98"/>
        <v>0</v>
      </c>
      <c r="TW16" s="34">
        <f t="shared" ca="1" si="98"/>
        <v>0</v>
      </c>
      <c r="TX16" s="34">
        <f t="shared" ca="1" si="98"/>
        <v>0</v>
      </c>
      <c r="TY16" s="34">
        <f t="shared" ca="1" si="98"/>
        <v>0</v>
      </c>
      <c r="TZ16" s="34">
        <f t="shared" ca="1" si="98"/>
        <v>0</v>
      </c>
      <c r="UA16" s="34">
        <f t="shared" ca="1" si="99"/>
        <v>0</v>
      </c>
      <c r="UB16" s="34">
        <f t="shared" ca="1" si="99"/>
        <v>0</v>
      </c>
      <c r="UC16" s="34">
        <f t="shared" ca="1" si="99"/>
        <v>0</v>
      </c>
      <c r="UD16" s="34">
        <f t="shared" ca="1" si="99"/>
        <v>0</v>
      </c>
      <c r="UE16" s="34">
        <f t="shared" ca="1" si="99"/>
        <v>0</v>
      </c>
      <c r="UF16" s="34">
        <f t="shared" ca="1" si="99"/>
        <v>0</v>
      </c>
      <c r="UG16" s="34">
        <f t="shared" ca="1" si="99"/>
        <v>0</v>
      </c>
      <c r="UH16" s="34">
        <f t="shared" ca="1" si="99"/>
        <v>0</v>
      </c>
      <c r="UI16" s="34">
        <f t="shared" ca="1" si="99"/>
        <v>0</v>
      </c>
      <c r="UJ16" s="34">
        <f t="shared" ca="1" si="99"/>
        <v>0</v>
      </c>
      <c r="UK16" s="34">
        <f t="shared" ca="1" si="100"/>
        <v>0</v>
      </c>
      <c r="UL16" s="34">
        <f t="shared" ca="1" si="100"/>
        <v>0</v>
      </c>
      <c r="UM16" s="34">
        <f t="shared" ca="1" si="100"/>
        <v>0</v>
      </c>
      <c r="UN16" s="34">
        <f t="shared" ca="1" si="100"/>
        <v>0</v>
      </c>
      <c r="UO16" s="34">
        <f t="shared" ca="1" si="100"/>
        <v>0</v>
      </c>
      <c r="UP16" s="34">
        <f t="shared" ca="1" si="100"/>
        <v>0</v>
      </c>
      <c r="UQ16" s="34">
        <f t="shared" ca="1" si="100"/>
        <v>0</v>
      </c>
      <c r="UR16" s="34">
        <f t="shared" ca="1" si="100"/>
        <v>0</v>
      </c>
      <c r="US16" s="34">
        <f t="shared" ca="1" si="100"/>
        <v>0</v>
      </c>
      <c r="UT16" s="34">
        <f t="shared" ca="1" si="100"/>
        <v>0</v>
      </c>
      <c r="UU16" s="34">
        <f t="shared" ca="1" si="101"/>
        <v>0</v>
      </c>
      <c r="UV16" s="34">
        <f t="shared" ca="1" si="101"/>
        <v>0</v>
      </c>
      <c r="UW16" s="34">
        <f t="shared" ca="1" si="101"/>
        <v>0</v>
      </c>
      <c r="UX16" s="34">
        <f t="shared" ca="1" si="101"/>
        <v>0</v>
      </c>
      <c r="UY16" s="34">
        <f t="shared" ca="1" si="101"/>
        <v>0</v>
      </c>
      <c r="UZ16" s="34">
        <f t="shared" ca="1" si="101"/>
        <v>0</v>
      </c>
      <c r="VA16" s="34">
        <f t="shared" ca="1" si="101"/>
        <v>0</v>
      </c>
      <c r="VB16" s="34">
        <f t="shared" ca="1" si="101"/>
        <v>0</v>
      </c>
      <c r="VC16" s="34">
        <f t="shared" ca="1" si="101"/>
        <v>0</v>
      </c>
      <c r="VD16" s="34">
        <f t="shared" ca="1" si="101"/>
        <v>0</v>
      </c>
      <c r="VE16" s="34">
        <f t="shared" ca="1" si="102"/>
        <v>0</v>
      </c>
      <c r="VF16" s="34">
        <f t="shared" ca="1" si="102"/>
        <v>0</v>
      </c>
      <c r="VG16" s="34">
        <f t="shared" ca="1" si="102"/>
        <v>0</v>
      </c>
      <c r="VH16" s="34">
        <f t="shared" ca="1" si="102"/>
        <v>0</v>
      </c>
      <c r="VI16" s="34">
        <f t="shared" ca="1" si="102"/>
        <v>0</v>
      </c>
      <c r="VJ16" s="34">
        <f t="shared" ca="1" si="102"/>
        <v>0</v>
      </c>
      <c r="VK16" s="34">
        <f t="shared" ca="1" si="102"/>
        <v>0</v>
      </c>
      <c r="VL16" s="34">
        <f t="shared" ca="1" si="102"/>
        <v>0</v>
      </c>
      <c r="VM16" s="34">
        <f t="shared" ca="1" si="102"/>
        <v>0</v>
      </c>
      <c r="VN16" s="34">
        <f t="shared" ca="1" si="102"/>
        <v>0</v>
      </c>
      <c r="VO16" s="34">
        <f t="shared" ca="1" si="103"/>
        <v>0</v>
      </c>
      <c r="VP16" s="34">
        <f t="shared" ca="1" si="103"/>
        <v>0</v>
      </c>
      <c r="VQ16" s="34">
        <f t="shared" ca="1" si="103"/>
        <v>0</v>
      </c>
      <c r="VR16" s="34">
        <f t="shared" ca="1" si="103"/>
        <v>0</v>
      </c>
      <c r="VS16" s="34">
        <f t="shared" ca="1" si="103"/>
        <v>0</v>
      </c>
      <c r="VT16" s="34">
        <f t="shared" ca="1" si="103"/>
        <v>0</v>
      </c>
      <c r="VU16" s="34">
        <f t="shared" ca="1" si="103"/>
        <v>0</v>
      </c>
      <c r="VV16" s="34">
        <f t="shared" ca="1" si="103"/>
        <v>0</v>
      </c>
      <c r="VW16" s="34">
        <f t="shared" ca="1" si="103"/>
        <v>0</v>
      </c>
      <c r="VX16" s="34">
        <f t="shared" ca="1" si="103"/>
        <v>0</v>
      </c>
      <c r="VY16" s="34">
        <f t="shared" ca="1" si="104"/>
        <v>0</v>
      </c>
      <c r="VZ16" s="34">
        <f t="shared" ca="1" si="104"/>
        <v>0</v>
      </c>
      <c r="WA16" s="34">
        <f t="shared" ca="1" si="104"/>
        <v>0</v>
      </c>
      <c r="WB16" s="34">
        <f t="shared" ca="1" si="104"/>
        <v>0</v>
      </c>
      <c r="WC16" s="34">
        <f t="shared" ca="1" si="104"/>
        <v>0</v>
      </c>
      <c r="WD16" s="34">
        <f t="shared" ca="1" si="104"/>
        <v>0</v>
      </c>
      <c r="WE16" s="34">
        <f t="shared" ca="1" si="104"/>
        <v>0</v>
      </c>
      <c r="WF16" s="34">
        <f t="shared" ca="1" si="104"/>
        <v>0</v>
      </c>
      <c r="WG16" s="34">
        <f t="shared" ca="1" si="104"/>
        <v>0</v>
      </c>
      <c r="WH16" s="34">
        <f t="shared" ca="1" si="104"/>
        <v>0</v>
      </c>
      <c r="WI16" s="34">
        <f t="shared" ca="1" si="105"/>
        <v>0</v>
      </c>
      <c r="WJ16" s="34">
        <f t="shared" ca="1" si="105"/>
        <v>0</v>
      </c>
      <c r="WK16" s="34">
        <f t="shared" ca="1" si="105"/>
        <v>0</v>
      </c>
      <c r="WL16" s="34">
        <f t="shared" ca="1" si="105"/>
        <v>0</v>
      </c>
      <c r="WM16" s="34">
        <f t="shared" ca="1" si="105"/>
        <v>0</v>
      </c>
      <c r="WN16" s="34">
        <f t="shared" ca="1" si="105"/>
        <v>0</v>
      </c>
      <c r="WO16" s="34">
        <f t="shared" ca="1" si="105"/>
        <v>0</v>
      </c>
      <c r="WP16" s="34">
        <f t="shared" ca="1" si="105"/>
        <v>0</v>
      </c>
      <c r="WQ16" s="34">
        <f t="shared" ca="1" si="105"/>
        <v>0</v>
      </c>
      <c r="WR16" s="34">
        <f t="shared" ca="1" si="105"/>
        <v>0</v>
      </c>
      <c r="WS16" s="34">
        <f t="shared" ca="1" si="106"/>
        <v>0</v>
      </c>
      <c r="WT16" s="34">
        <f t="shared" ca="1" si="106"/>
        <v>0</v>
      </c>
      <c r="WU16" s="34">
        <f t="shared" ca="1" si="106"/>
        <v>0</v>
      </c>
      <c r="WV16" s="34">
        <f t="shared" ca="1" si="106"/>
        <v>0</v>
      </c>
      <c r="WW16" s="34">
        <f t="shared" ca="1" si="106"/>
        <v>0</v>
      </c>
      <c r="WX16" s="34">
        <f t="shared" ca="1" si="106"/>
        <v>0</v>
      </c>
      <c r="WY16" s="34">
        <f t="shared" ca="1" si="106"/>
        <v>0</v>
      </c>
      <c r="WZ16" s="34">
        <f t="shared" ca="1" si="106"/>
        <v>0</v>
      </c>
      <c r="XA16" s="34">
        <f t="shared" ca="1" si="106"/>
        <v>0</v>
      </c>
      <c r="XB16" s="34">
        <f t="shared" ca="1" si="106"/>
        <v>0</v>
      </c>
      <c r="XC16" s="34">
        <f t="shared" ca="1" si="107"/>
        <v>0</v>
      </c>
      <c r="XD16" s="34">
        <f t="shared" ca="1" si="107"/>
        <v>0</v>
      </c>
      <c r="XE16" s="34">
        <f t="shared" ca="1" si="107"/>
        <v>0</v>
      </c>
      <c r="XF16" s="34">
        <f t="shared" ca="1" si="107"/>
        <v>0</v>
      </c>
      <c r="XG16" s="34">
        <f t="shared" ca="1" si="107"/>
        <v>0</v>
      </c>
      <c r="XH16" s="34">
        <f t="shared" ca="1" si="107"/>
        <v>0</v>
      </c>
      <c r="XI16" s="34">
        <f t="shared" ca="1" si="107"/>
        <v>0</v>
      </c>
      <c r="XJ16" s="34">
        <f t="shared" ca="1" si="107"/>
        <v>0</v>
      </c>
      <c r="XK16" s="34">
        <f t="shared" ca="1" si="107"/>
        <v>0</v>
      </c>
      <c r="XL16" s="34">
        <f t="shared" ca="1" si="107"/>
        <v>0</v>
      </c>
      <c r="XM16" s="34">
        <f t="shared" ca="1" si="108"/>
        <v>0</v>
      </c>
      <c r="XN16" s="34">
        <f t="shared" ca="1" si="108"/>
        <v>0</v>
      </c>
      <c r="XO16" s="34">
        <f t="shared" ca="1" si="108"/>
        <v>0</v>
      </c>
      <c r="XP16" s="34">
        <f t="shared" ca="1" si="108"/>
        <v>0</v>
      </c>
      <c r="XQ16" s="34">
        <f t="shared" ca="1" si="108"/>
        <v>0</v>
      </c>
      <c r="XR16" s="34">
        <f t="shared" ca="1" si="108"/>
        <v>0</v>
      </c>
      <c r="XS16" s="34">
        <f t="shared" ca="1" si="108"/>
        <v>0</v>
      </c>
      <c r="XT16" s="34">
        <f t="shared" ca="1" si="108"/>
        <v>0</v>
      </c>
      <c r="XU16" s="34">
        <f t="shared" ca="1" si="108"/>
        <v>0</v>
      </c>
      <c r="XV16" s="34">
        <f t="shared" ca="1" si="108"/>
        <v>0</v>
      </c>
      <c r="XW16" s="34">
        <f t="shared" ca="1" si="109"/>
        <v>0</v>
      </c>
      <c r="XX16" s="34">
        <f t="shared" ca="1" si="109"/>
        <v>0</v>
      </c>
      <c r="XY16" s="34">
        <f t="shared" ca="1" si="109"/>
        <v>0</v>
      </c>
      <c r="XZ16" s="34">
        <f t="shared" ca="1" si="109"/>
        <v>0</v>
      </c>
      <c r="YA16" s="34">
        <f t="shared" ca="1" si="109"/>
        <v>0</v>
      </c>
      <c r="YB16" s="34">
        <f t="shared" ca="1" si="109"/>
        <v>0</v>
      </c>
      <c r="YC16" s="34">
        <f t="shared" ca="1" si="109"/>
        <v>0</v>
      </c>
      <c r="YD16" s="34">
        <f t="shared" ca="1" si="109"/>
        <v>0</v>
      </c>
      <c r="YE16" s="34">
        <f t="shared" ca="1" si="109"/>
        <v>0</v>
      </c>
      <c r="YF16" s="34">
        <f t="shared" ca="1" si="109"/>
        <v>0</v>
      </c>
      <c r="YG16" s="34">
        <f t="shared" ca="1" si="110"/>
        <v>0</v>
      </c>
      <c r="YH16" s="34">
        <f t="shared" ca="1" si="110"/>
        <v>0</v>
      </c>
      <c r="YI16" s="34">
        <f t="shared" ca="1" si="110"/>
        <v>0</v>
      </c>
      <c r="YJ16" s="34">
        <f t="shared" ca="1" si="110"/>
        <v>0</v>
      </c>
      <c r="YK16" s="34">
        <f t="shared" ca="1" si="110"/>
        <v>0</v>
      </c>
      <c r="YL16" s="34">
        <f t="shared" ca="1" si="110"/>
        <v>0</v>
      </c>
      <c r="YM16" s="34">
        <f t="shared" ca="1" si="110"/>
        <v>0</v>
      </c>
      <c r="YN16" s="34">
        <f t="shared" ca="1" si="110"/>
        <v>0</v>
      </c>
      <c r="YO16" s="34">
        <f t="shared" ca="1" si="110"/>
        <v>0</v>
      </c>
      <c r="YP16" s="34">
        <f t="shared" ca="1" si="110"/>
        <v>0</v>
      </c>
      <c r="YQ16" s="34">
        <f t="shared" ca="1" si="111"/>
        <v>0</v>
      </c>
      <c r="YR16" s="34">
        <f t="shared" ca="1" si="111"/>
        <v>0</v>
      </c>
      <c r="YS16" s="34">
        <f t="shared" ca="1" si="111"/>
        <v>0</v>
      </c>
      <c r="YT16" s="34">
        <f t="shared" ca="1" si="111"/>
        <v>0</v>
      </c>
      <c r="YU16" s="34">
        <f t="shared" ca="1" si="111"/>
        <v>0</v>
      </c>
      <c r="YV16" s="34">
        <f t="shared" ca="1" si="111"/>
        <v>0</v>
      </c>
      <c r="YW16" s="34">
        <f t="shared" ca="1" si="111"/>
        <v>0</v>
      </c>
      <c r="YX16" s="34">
        <f t="shared" ca="1" si="111"/>
        <v>0</v>
      </c>
      <c r="YY16" s="34">
        <f t="shared" ca="1" si="111"/>
        <v>0</v>
      </c>
      <c r="YZ16" s="34">
        <f t="shared" ca="1" si="111"/>
        <v>0</v>
      </c>
      <c r="ZA16" s="34">
        <f t="shared" ca="1" si="112"/>
        <v>0</v>
      </c>
      <c r="ZB16" s="34">
        <f t="shared" ca="1" si="112"/>
        <v>0</v>
      </c>
      <c r="ZC16" s="34">
        <f t="shared" ca="1" si="112"/>
        <v>0</v>
      </c>
      <c r="ZD16" s="34">
        <f t="shared" ca="1" si="112"/>
        <v>0</v>
      </c>
      <c r="ZE16" s="34">
        <f t="shared" ca="1" si="112"/>
        <v>0</v>
      </c>
      <c r="ZF16" s="34">
        <f t="shared" ca="1" si="112"/>
        <v>0</v>
      </c>
      <c r="ZG16" s="34">
        <f t="shared" ca="1" si="112"/>
        <v>0</v>
      </c>
      <c r="ZH16" s="34">
        <f t="shared" ca="1" si="112"/>
        <v>0</v>
      </c>
      <c r="ZI16" s="34">
        <f t="shared" ca="1" si="112"/>
        <v>0</v>
      </c>
      <c r="ZJ16" s="34">
        <f t="shared" ca="1" si="112"/>
        <v>0</v>
      </c>
      <c r="ZK16" s="34">
        <f t="shared" ca="1" si="113"/>
        <v>0</v>
      </c>
      <c r="ZL16" s="34">
        <f t="shared" ca="1" si="113"/>
        <v>0</v>
      </c>
      <c r="ZM16" s="34">
        <f t="shared" ca="1" si="113"/>
        <v>0</v>
      </c>
      <c r="ZN16" s="34">
        <f t="shared" ca="1" si="113"/>
        <v>0</v>
      </c>
      <c r="ZO16" s="34">
        <f t="shared" ca="1" si="113"/>
        <v>0</v>
      </c>
      <c r="ZP16" s="34">
        <f t="shared" ca="1" si="113"/>
        <v>0</v>
      </c>
      <c r="ZQ16" s="34">
        <f t="shared" ca="1" si="113"/>
        <v>0</v>
      </c>
      <c r="ZR16" s="34">
        <f t="shared" ca="1" si="113"/>
        <v>0</v>
      </c>
      <c r="ZS16" s="34">
        <f t="shared" ca="1" si="113"/>
        <v>0</v>
      </c>
      <c r="ZT16" s="34">
        <f t="shared" ca="1" si="113"/>
        <v>0</v>
      </c>
      <c r="ZU16" s="34">
        <f t="shared" ca="1" si="114"/>
        <v>0</v>
      </c>
      <c r="ZV16" s="34">
        <f t="shared" ca="1" si="114"/>
        <v>0</v>
      </c>
      <c r="ZW16" s="34">
        <f t="shared" ca="1" si="114"/>
        <v>0</v>
      </c>
      <c r="ZX16" s="34">
        <f t="shared" ca="1" si="114"/>
        <v>0</v>
      </c>
      <c r="ZY16" s="34">
        <f t="shared" ca="1" si="114"/>
        <v>0</v>
      </c>
      <c r="ZZ16" s="34">
        <f t="shared" ca="1" si="114"/>
        <v>0</v>
      </c>
      <c r="AAA16" s="34">
        <f t="shared" ca="1" si="114"/>
        <v>0</v>
      </c>
      <c r="AAB16" s="34">
        <f t="shared" ca="1" si="114"/>
        <v>0</v>
      </c>
      <c r="AAC16" s="34">
        <f t="shared" ca="1" si="114"/>
        <v>0</v>
      </c>
      <c r="AAD16" s="34">
        <f t="shared" ca="1" si="114"/>
        <v>0</v>
      </c>
      <c r="AAE16" s="34">
        <f t="shared" ca="1" si="115"/>
        <v>0</v>
      </c>
      <c r="AAF16" s="34">
        <f t="shared" ca="1" si="115"/>
        <v>0</v>
      </c>
      <c r="AAG16" s="34">
        <f t="shared" ca="1" si="115"/>
        <v>0</v>
      </c>
      <c r="AAH16" s="34">
        <f t="shared" ca="1" si="115"/>
        <v>0</v>
      </c>
      <c r="AAI16" s="34">
        <f t="shared" ca="1" si="115"/>
        <v>0</v>
      </c>
      <c r="AAJ16" s="34">
        <f t="shared" ca="1" si="115"/>
        <v>0</v>
      </c>
      <c r="AAK16" s="34">
        <f t="shared" ca="1" si="115"/>
        <v>0</v>
      </c>
      <c r="AAL16" s="34">
        <f t="shared" ca="1" si="115"/>
        <v>0</v>
      </c>
      <c r="AAM16" s="34">
        <f t="shared" ca="1" si="115"/>
        <v>0</v>
      </c>
      <c r="AAN16" s="34">
        <f t="shared" ca="1" si="115"/>
        <v>0</v>
      </c>
      <c r="AAO16" s="34">
        <f t="shared" ca="1" si="116"/>
        <v>0</v>
      </c>
      <c r="AAP16" s="34">
        <f t="shared" ca="1" si="116"/>
        <v>0</v>
      </c>
      <c r="AAQ16" s="34">
        <f t="shared" ca="1" si="116"/>
        <v>0</v>
      </c>
      <c r="AAR16" s="34">
        <f t="shared" ca="1" si="116"/>
        <v>0</v>
      </c>
      <c r="AAS16" s="34">
        <f t="shared" ca="1" si="116"/>
        <v>0</v>
      </c>
      <c r="AAT16" s="34">
        <f t="shared" ca="1" si="116"/>
        <v>0</v>
      </c>
      <c r="AAU16" s="34">
        <f t="shared" ca="1" si="116"/>
        <v>0</v>
      </c>
      <c r="AAV16" s="34">
        <f t="shared" ca="1" si="116"/>
        <v>0</v>
      </c>
      <c r="AAW16" s="34">
        <f t="shared" ca="1" si="116"/>
        <v>0</v>
      </c>
      <c r="AAX16" s="34">
        <f t="shared" ca="1" si="116"/>
        <v>0</v>
      </c>
      <c r="AAY16" s="34">
        <f t="shared" ca="1" si="117"/>
        <v>0</v>
      </c>
      <c r="AAZ16" s="34">
        <f t="shared" ca="1" si="117"/>
        <v>0</v>
      </c>
      <c r="ABA16" s="34">
        <f t="shared" ca="1" si="117"/>
        <v>0</v>
      </c>
      <c r="ABB16" s="34">
        <f t="shared" ca="1" si="117"/>
        <v>0</v>
      </c>
      <c r="ABC16" s="34">
        <f t="shared" ca="1" si="117"/>
        <v>0</v>
      </c>
      <c r="ABD16" s="34">
        <f t="shared" ca="1" si="117"/>
        <v>0</v>
      </c>
      <c r="ABE16" s="34">
        <f t="shared" ca="1" si="117"/>
        <v>0</v>
      </c>
      <c r="ABF16" s="34">
        <f t="shared" ca="1" si="117"/>
        <v>0</v>
      </c>
      <c r="ABG16" s="34">
        <f t="shared" ca="1" si="117"/>
        <v>0</v>
      </c>
      <c r="ABH16" s="34">
        <f t="shared" ca="1" si="117"/>
        <v>0</v>
      </c>
      <c r="ABI16" s="34">
        <f t="shared" ca="1" si="118"/>
        <v>0</v>
      </c>
      <c r="ABJ16" s="34">
        <f t="shared" ca="1" si="118"/>
        <v>0</v>
      </c>
      <c r="ABK16" s="34">
        <f t="shared" ca="1" si="118"/>
        <v>0</v>
      </c>
      <c r="ABL16" s="34">
        <f t="shared" ca="1" si="118"/>
        <v>0</v>
      </c>
      <c r="ABM16" s="34">
        <f t="shared" ca="1" si="118"/>
        <v>0</v>
      </c>
      <c r="ABN16" s="34">
        <f t="shared" ca="1" si="118"/>
        <v>0</v>
      </c>
      <c r="ABO16" s="34">
        <f t="shared" ca="1" si="118"/>
        <v>0</v>
      </c>
      <c r="ABP16" s="34">
        <f t="shared" ca="1" si="118"/>
        <v>0</v>
      </c>
      <c r="ABQ16" s="34">
        <f t="shared" ca="1" si="118"/>
        <v>0</v>
      </c>
      <c r="ABR16" s="34">
        <f t="shared" ca="1" si="118"/>
        <v>0</v>
      </c>
      <c r="ABS16" s="34">
        <f t="shared" ca="1" si="119"/>
        <v>0</v>
      </c>
      <c r="ABT16" s="34">
        <f t="shared" ca="1" si="119"/>
        <v>0</v>
      </c>
      <c r="ABU16" s="34">
        <f t="shared" ca="1" si="119"/>
        <v>0</v>
      </c>
      <c r="ABV16" s="34">
        <f t="shared" ca="1" si="119"/>
        <v>0</v>
      </c>
      <c r="ABW16" s="34">
        <f t="shared" ca="1" si="119"/>
        <v>0</v>
      </c>
      <c r="ABX16" s="34">
        <f t="shared" ca="1" si="119"/>
        <v>0</v>
      </c>
      <c r="ABY16" s="34">
        <f t="shared" ca="1" si="119"/>
        <v>0</v>
      </c>
      <c r="ABZ16" s="34">
        <f t="shared" ca="1" si="119"/>
        <v>0</v>
      </c>
      <c r="ACA16" s="34">
        <f t="shared" ca="1" si="119"/>
        <v>0</v>
      </c>
      <c r="ACB16" s="34">
        <f t="shared" ca="1" si="119"/>
        <v>0</v>
      </c>
      <c r="ACC16" s="34">
        <f t="shared" ca="1" si="120"/>
        <v>0</v>
      </c>
      <c r="ACD16" s="34">
        <f t="shared" ca="1" si="120"/>
        <v>0</v>
      </c>
      <c r="ACE16" s="34">
        <f t="shared" ca="1" si="120"/>
        <v>0</v>
      </c>
      <c r="ACF16" s="34">
        <f t="shared" ca="1" si="120"/>
        <v>0</v>
      </c>
      <c r="ACG16" s="34">
        <f t="shared" ca="1" si="120"/>
        <v>0</v>
      </c>
      <c r="ACH16" s="34">
        <f t="shared" ca="1" si="120"/>
        <v>0</v>
      </c>
      <c r="ACI16" s="34">
        <f t="shared" ca="1" si="120"/>
        <v>0</v>
      </c>
      <c r="ACJ16" s="34">
        <f t="shared" ca="1" si="120"/>
        <v>0</v>
      </c>
      <c r="ACK16" s="34">
        <f t="shared" ca="1" si="120"/>
        <v>0</v>
      </c>
      <c r="ACL16" s="34">
        <f t="shared" ca="1" si="120"/>
        <v>0</v>
      </c>
      <c r="ACM16" s="34">
        <f t="shared" ca="1" si="121"/>
        <v>0</v>
      </c>
      <c r="ACN16" s="34">
        <f t="shared" ca="1" si="121"/>
        <v>0</v>
      </c>
      <c r="ACO16" s="34">
        <f t="shared" ca="1" si="121"/>
        <v>0</v>
      </c>
      <c r="ACP16" s="34">
        <f t="shared" ca="1" si="121"/>
        <v>0</v>
      </c>
      <c r="ACQ16" s="34">
        <f t="shared" ca="1" si="121"/>
        <v>0</v>
      </c>
      <c r="ACR16" s="34">
        <f t="shared" ca="1" si="121"/>
        <v>0</v>
      </c>
      <c r="ACS16" s="34">
        <f t="shared" ca="1" si="121"/>
        <v>0</v>
      </c>
      <c r="ACT16" s="34">
        <f t="shared" ca="1" si="121"/>
        <v>0</v>
      </c>
      <c r="ACU16" s="34">
        <f t="shared" ca="1" si="121"/>
        <v>0</v>
      </c>
      <c r="ACV16" s="34">
        <f t="shared" ca="1" si="121"/>
        <v>0</v>
      </c>
      <c r="ACW16" s="34">
        <f t="shared" ca="1" si="122"/>
        <v>0</v>
      </c>
      <c r="ACX16" s="34">
        <f t="shared" ca="1" si="122"/>
        <v>0</v>
      </c>
      <c r="ACY16" s="34">
        <f t="shared" ca="1" si="122"/>
        <v>0</v>
      </c>
      <c r="ACZ16" s="34">
        <f t="shared" ca="1" si="122"/>
        <v>0</v>
      </c>
      <c r="ADA16" s="34">
        <f t="shared" ca="1" si="122"/>
        <v>0</v>
      </c>
      <c r="ADB16" s="34">
        <f t="shared" ca="1" si="122"/>
        <v>0</v>
      </c>
      <c r="ADC16" s="34">
        <f t="shared" ca="1" si="122"/>
        <v>0</v>
      </c>
      <c r="ADD16" s="34">
        <f t="shared" ca="1" si="122"/>
        <v>0</v>
      </c>
      <c r="ADE16" s="34">
        <f t="shared" ca="1" si="122"/>
        <v>0</v>
      </c>
      <c r="ADF16" s="34">
        <f t="shared" ca="1" si="122"/>
        <v>0</v>
      </c>
      <c r="ADG16" s="34">
        <f t="shared" ca="1" si="123"/>
        <v>0</v>
      </c>
      <c r="ADH16" s="34">
        <f t="shared" ca="1" si="123"/>
        <v>0</v>
      </c>
      <c r="ADI16" s="34">
        <f t="shared" ca="1" si="123"/>
        <v>0</v>
      </c>
      <c r="ADJ16" s="34">
        <f t="shared" ca="1" si="123"/>
        <v>0</v>
      </c>
      <c r="ADK16" s="34">
        <f t="shared" ca="1" si="123"/>
        <v>0</v>
      </c>
      <c r="ADL16" s="34">
        <f t="shared" ca="1" si="123"/>
        <v>0</v>
      </c>
      <c r="ADM16" s="34">
        <f t="shared" ca="1" si="123"/>
        <v>0</v>
      </c>
      <c r="ADN16" s="34">
        <f t="shared" ca="1" si="123"/>
        <v>0</v>
      </c>
      <c r="ADO16" s="34">
        <f t="shared" ca="1" si="123"/>
        <v>0</v>
      </c>
      <c r="ADP16" s="34">
        <f t="shared" ca="1" si="123"/>
        <v>0</v>
      </c>
      <c r="ADQ16" s="34">
        <f t="shared" ca="1" si="124"/>
        <v>0</v>
      </c>
      <c r="ADR16" s="34">
        <f t="shared" ca="1" si="124"/>
        <v>0</v>
      </c>
      <c r="ADS16" s="34">
        <f t="shared" ca="1" si="124"/>
        <v>0</v>
      </c>
      <c r="ADT16" s="34">
        <f t="shared" ca="1" si="124"/>
        <v>0</v>
      </c>
      <c r="ADU16" s="34">
        <f t="shared" ca="1" si="124"/>
        <v>0</v>
      </c>
      <c r="ADV16" s="34">
        <f t="shared" ca="1" si="124"/>
        <v>0</v>
      </c>
      <c r="ADW16" s="34">
        <f t="shared" ca="1" si="124"/>
        <v>0</v>
      </c>
      <c r="ADX16" s="34">
        <f t="shared" ca="1" si="124"/>
        <v>0</v>
      </c>
      <c r="ADY16" s="34">
        <f t="shared" ca="1" si="124"/>
        <v>0</v>
      </c>
      <c r="ADZ16" s="34">
        <f t="shared" ca="1" si="124"/>
        <v>0</v>
      </c>
      <c r="AEA16" s="34">
        <f t="shared" ca="1" si="125"/>
        <v>0</v>
      </c>
      <c r="AEB16" s="34">
        <f t="shared" ca="1" si="125"/>
        <v>0</v>
      </c>
      <c r="AEC16" s="34">
        <f t="shared" ca="1" si="125"/>
        <v>0</v>
      </c>
      <c r="AED16" s="34">
        <f t="shared" ca="1" si="125"/>
        <v>0</v>
      </c>
      <c r="AEE16" s="34">
        <f t="shared" ca="1" si="125"/>
        <v>0</v>
      </c>
      <c r="AEF16" s="34">
        <f t="shared" ca="1" si="125"/>
        <v>0</v>
      </c>
      <c r="AEG16" s="34">
        <f t="shared" ca="1" si="125"/>
        <v>0</v>
      </c>
      <c r="AEH16" s="34">
        <f t="shared" ca="1" si="125"/>
        <v>0</v>
      </c>
      <c r="AEI16" s="34">
        <f t="shared" ca="1" si="125"/>
        <v>0</v>
      </c>
      <c r="AEJ16" s="34">
        <f t="shared" ca="1" si="125"/>
        <v>0</v>
      </c>
      <c r="AEK16" s="34">
        <f t="shared" ca="1" si="126"/>
        <v>0</v>
      </c>
      <c r="AEL16" s="34">
        <f t="shared" ca="1" si="126"/>
        <v>0</v>
      </c>
      <c r="AEM16" s="34">
        <f t="shared" ca="1" si="126"/>
        <v>0</v>
      </c>
      <c r="AEN16" s="34">
        <f t="shared" ca="1" si="126"/>
        <v>0</v>
      </c>
      <c r="AEO16" s="34">
        <f t="shared" ca="1" si="126"/>
        <v>0</v>
      </c>
      <c r="AEP16" s="34">
        <f t="shared" ca="1" si="126"/>
        <v>0</v>
      </c>
      <c r="AEQ16" s="34">
        <f t="shared" ca="1" si="126"/>
        <v>0</v>
      </c>
      <c r="AER16" s="34">
        <f t="shared" ca="1" si="126"/>
        <v>0</v>
      </c>
      <c r="AES16" s="34">
        <f t="shared" ca="1" si="126"/>
        <v>0</v>
      </c>
      <c r="AET16" s="34">
        <f t="shared" ca="1" si="126"/>
        <v>0</v>
      </c>
      <c r="AEU16" s="34">
        <f t="shared" ca="1" si="127"/>
        <v>0</v>
      </c>
      <c r="AEV16" s="34">
        <f t="shared" ca="1" si="127"/>
        <v>0</v>
      </c>
      <c r="AEW16" s="34">
        <f t="shared" ca="1" si="127"/>
        <v>0</v>
      </c>
      <c r="AEX16" s="34">
        <f t="shared" ca="1" si="127"/>
        <v>0</v>
      </c>
      <c r="AEY16" s="34">
        <f t="shared" ca="1" si="127"/>
        <v>0</v>
      </c>
      <c r="AEZ16" s="34">
        <f t="shared" ca="1" si="127"/>
        <v>0</v>
      </c>
      <c r="AFA16" s="34">
        <f t="shared" ca="1" si="127"/>
        <v>0</v>
      </c>
      <c r="AFB16" s="34">
        <f t="shared" ca="1" si="127"/>
        <v>0</v>
      </c>
      <c r="AFC16" s="34">
        <f t="shared" ca="1" si="127"/>
        <v>0</v>
      </c>
      <c r="AFD16" s="34">
        <f t="shared" ca="1" si="127"/>
        <v>0</v>
      </c>
      <c r="AFE16" s="34">
        <f t="shared" ca="1" si="128"/>
        <v>0</v>
      </c>
      <c r="AFF16" s="34">
        <f t="shared" ca="1" si="128"/>
        <v>0</v>
      </c>
      <c r="AFG16" s="34">
        <f t="shared" ca="1" si="128"/>
        <v>0</v>
      </c>
      <c r="AFH16" s="34">
        <f t="shared" ca="1" si="128"/>
        <v>0</v>
      </c>
      <c r="AFI16" s="34">
        <f t="shared" ca="1" si="128"/>
        <v>0</v>
      </c>
      <c r="AFJ16" s="34">
        <f t="shared" ca="1" si="128"/>
        <v>0</v>
      </c>
      <c r="AFK16" s="34">
        <f t="shared" ca="1" si="128"/>
        <v>0</v>
      </c>
      <c r="AFL16" s="34">
        <f t="shared" ca="1" si="128"/>
        <v>0</v>
      </c>
      <c r="AFM16" s="34">
        <f t="shared" ca="1" si="128"/>
        <v>0</v>
      </c>
      <c r="AFN16" s="34">
        <f t="shared" ca="1" si="128"/>
        <v>0</v>
      </c>
      <c r="AFO16" s="34">
        <f t="shared" ca="1" si="129"/>
        <v>0</v>
      </c>
      <c r="AFP16" s="34">
        <f t="shared" ca="1" si="129"/>
        <v>0</v>
      </c>
      <c r="AFQ16" s="34">
        <f t="shared" ca="1" si="129"/>
        <v>0</v>
      </c>
      <c r="AFR16" s="34">
        <f t="shared" ca="1" si="129"/>
        <v>0</v>
      </c>
      <c r="AFS16" s="34">
        <f t="shared" ca="1" si="129"/>
        <v>0</v>
      </c>
      <c r="AFT16" s="34">
        <f t="shared" ca="1" si="129"/>
        <v>0</v>
      </c>
      <c r="AFU16" s="34">
        <f t="shared" ca="1" si="129"/>
        <v>0</v>
      </c>
      <c r="AFV16" s="34">
        <f t="shared" ca="1" si="129"/>
        <v>0</v>
      </c>
      <c r="AFW16" s="34">
        <f t="shared" ca="1" si="129"/>
        <v>0</v>
      </c>
      <c r="AFX16" s="34">
        <f t="shared" ca="1" si="129"/>
        <v>0</v>
      </c>
      <c r="AFY16" s="34">
        <f t="shared" ca="1" si="130"/>
        <v>0</v>
      </c>
      <c r="AFZ16" s="34">
        <f t="shared" ca="1" si="130"/>
        <v>0</v>
      </c>
      <c r="AGA16" s="34">
        <f t="shared" ca="1" si="130"/>
        <v>0</v>
      </c>
      <c r="AGB16" s="34">
        <f t="shared" ca="1" si="130"/>
        <v>0</v>
      </c>
      <c r="AGC16" s="34">
        <f t="shared" ca="1" si="130"/>
        <v>0</v>
      </c>
      <c r="AGD16" s="34">
        <f t="shared" ca="1" si="130"/>
        <v>0</v>
      </c>
      <c r="AGE16" s="34">
        <f t="shared" ca="1" si="130"/>
        <v>0</v>
      </c>
      <c r="AGF16" s="34">
        <f t="shared" ca="1" si="130"/>
        <v>0</v>
      </c>
      <c r="AGG16" s="34">
        <f t="shared" ca="1" si="130"/>
        <v>0</v>
      </c>
      <c r="AGH16" s="34">
        <f t="shared" ca="1" si="130"/>
        <v>0</v>
      </c>
      <c r="AGI16" s="34">
        <f t="shared" ca="1" si="131"/>
        <v>0</v>
      </c>
      <c r="AGJ16" s="34">
        <f t="shared" ca="1" si="131"/>
        <v>0</v>
      </c>
      <c r="AGK16" s="34">
        <f t="shared" ca="1" si="131"/>
        <v>0</v>
      </c>
      <c r="AGL16" s="34">
        <f t="shared" ca="1" si="131"/>
        <v>0</v>
      </c>
      <c r="AGM16" s="34">
        <f t="shared" ca="1" si="131"/>
        <v>0</v>
      </c>
      <c r="AGN16" s="34">
        <f t="shared" ca="1" si="131"/>
        <v>0</v>
      </c>
      <c r="AGO16" s="34">
        <f t="shared" ca="1" si="131"/>
        <v>0</v>
      </c>
      <c r="AGP16" s="34">
        <f t="shared" ca="1" si="131"/>
        <v>0</v>
      </c>
      <c r="AGQ16" s="34">
        <f t="shared" ca="1" si="131"/>
        <v>0</v>
      </c>
      <c r="AGR16" s="34">
        <f t="shared" ca="1" si="131"/>
        <v>0</v>
      </c>
      <c r="AGS16" s="34">
        <f t="shared" ca="1" si="132"/>
        <v>0</v>
      </c>
      <c r="AGT16" s="34">
        <f t="shared" ca="1" si="132"/>
        <v>0</v>
      </c>
      <c r="AGU16" s="34">
        <f t="shared" ca="1" si="132"/>
        <v>0</v>
      </c>
      <c r="AGV16" s="34">
        <f t="shared" ca="1" si="132"/>
        <v>0</v>
      </c>
      <c r="AGW16" s="34">
        <f t="shared" ca="1" si="132"/>
        <v>0</v>
      </c>
      <c r="AGX16" s="34">
        <f t="shared" ca="1" si="132"/>
        <v>0</v>
      </c>
      <c r="AGY16" s="34">
        <f t="shared" ca="1" si="132"/>
        <v>0</v>
      </c>
      <c r="AGZ16" s="34">
        <f t="shared" ca="1" si="132"/>
        <v>0</v>
      </c>
      <c r="AHA16" s="34">
        <f t="shared" ca="1" si="132"/>
        <v>0</v>
      </c>
      <c r="AHB16" s="34">
        <f t="shared" ca="1" si="132"/>
        <v>0</v>
      </c>
      <c r="AHC16" s="34">
        <f t="shared" ca="1" si="133"/>
        <v>0</v>
      </c>
      <c r="AHD16" s="34">
        <f t="shared" ca="1" si="133"/>
        <v>0</v>
      </c>
      <c r="AHE16" s="34">
        <f t="shared" ca="1" si="133"/>
        <v>0</v>
      </c>
      <c r="AHF16" s="34">
        <f t="shared" ca="1" si="133"/>
        <v>0</v>
      </c>
      <c r="AHG16" s="34">
        <f t="shared" ca="1" si="133"/>
        <v>0</v>
      </c>
      <c r="AHH16" s="34">
        <f t="shared" ca="1" si="133"/>
        <v>0</v>
      </c>
      <c r="AHI16" s="34">
        <f t="shared" ca="1" si="133"/>
        <v>0</v>
      </c>
      <c r="AHJ16" s="34">
        <f t="shared" ca="1" si="133"/>
        <v>0</v>
      </c>
      <c r="AHK16" s="34">
        <f t="shared" ca="1" si="133"/>
        <v>0</v>
      </c>
      <c r="AHL16" s="34">
        <f t="shared" ca="1" si="133"/>
        <v>0</v>
      </c>
      <c r="AHM16" s="34">
        <f t="shared" ca="1" si="134"/>
        <v>0</v>
      </c>
      <c r="AHN16" s="34">
        <f t="shared" ca="1" si="134"/>
        <v>0</v>
      </c>
      <c r="AHO16" s="34">
        <f t="shared" ca="1" si="134"/>
        <v>0</v>
      </c>
      <c r="AHP16" s="34">
        <f t="shared" ca="1" si="134"/>
        <v>0</v>
      </c>
      <c r="AHQ16" s="34">
        <f t="shared" ca="1" si="134"/>
        <v>0</v>
      </c>
      <c r="AHR16" s="34">
        <f t="shared" ca="1" si="134"/>
        <v>0</v>
      </c>
      <c r="AHS16" s="34">
        <f t="shared" ca="1" si="134"/>
        <v>0</v>
      </c>
      <c r="AHT16" s="34">
        <f t="shared" ca="1" si="134"/>
        <v>0</v>
      </c>
      <c r="AHU16" s="34">
        <f t="shared" ca="1" si="134"/>
        <v>0</v>
      </c>
      <c r="AHV16" s="34">
        <f t="shared" ca="1" si="134"/>
        <v>0</v>
      </c>
      <c r="AHW16" s="34">
        <f t="shared" ca="1" si="135"/>
        <v>0</v>
      </c>
      <c r="AHX16" s="34">
        <f t="shared" ca="1" si="135"/>
        <v>0</v>
      </c>
      <c r="AHY16" s="34">
        <f t="shared" ca="1" si="135"/>
        <v>0</v>
      </c>
      <c r="AHZ16" s="34">
        <f t="shared" ca="1" si="135"/>
        <v>0</v>
      </c>
      <c r="AIA16" s="34">
        <f t="shared" ca="1" si="135"/>
        <v>0</v>
      </c>
      <c r="AIB16" s="34">
        <f t="shared" ca="1" si="135"/>
        <v>0</v>
      </c>
      <c r="AIC16" s="34">
        <f t="shared" ca="1" si="135"/>
        <v>0</v>
      </c>
      <c r="AID16" s="34">
        <f t="shared" ca="1" si="135"/>
        <v>0</v>
      </c>
      <c r="AIE16" s="34">
        <f t="shared" ca="1" si="135"/>
        <v>0</v>
      </c>
      <c r="AIF16" s="34">
        <f t="shared" ca="1" si="135"/>
        <v>0</v>
      </c>
      <c r="AIG16" s="34">
        <f t="shared" ca="1" si="136"/>
        <v>0</v>
      </c>
      <c r="AIH16" s="34">
        <f t="shared" ca="1" si="136"/>
        <v>0</v>
      </c>
      <c r="AII16" s="34">
        <f t="shared" ca="1" si="136"/>
        <v>0</v>
      </c>
      <c r="AIJ16" s="34">
        <f t="shared" ca="1" si="136"/>
        <v>0</v>
      </c>
      <c r="AIK16" s="34">
        <f t="shared" ca="1" si="136"/>
        <v>0</v>
      </c>
      <c r="AIL16" s="34">
        <f t="shared" ca="1" si="136"/>
        <v>0</v>
      </c>
      <c r="AIM16" s="34">
        <f t="shared" ca="1" si="136"/>
        <v>0</v>
      </c>
      <c r="AIN16" s="34">
        <f t="shared" ca="1" si="136"/>
        <v>0</v>
      </c>
      <c r="AIO16" s="34">
        <f t="shared" ca="1" si="136"/>
        <v>0</v>
      </c>
      <c r="AIP16" s="34">
        <f t="shared" ca="1" si="136"/>
        <v>0</v>
      </c>
      <c r="AIQ16" s="34">
        <f t="shared" ca="1" si="137"/>
        <v>0</v>
      </c>
      <c r="AIR16" s="34">
        <f t="shared" ca="1" si="137"/>
        <v>0</v>
      </c>
      <c r="AIS16" s="34">
        <f t="shared" ca="1" si="137"/>
        <v>0</v>
      </c>
      <c r="AIT16" s="34">
        <f t="shared" ca="1" si="137"/>
        <v>0</v>
      </c>
      <c r="AIU16" s="34">
        <f t="shared" ca="1" si="137"/>
        <v>0</v>
      </c>
      <c r="AIV16" s="34">
        <f t="shared" ca="1" si="137"/>
        <v>0</v>
      </c>
      <c r="AIW16" s="34">
        <f t="shared" ca="1" si="137"/>
        <v>0</v>
      </c>
      <c r="AIX16" s="34">
        <f t="shared" ca="1" si="137"/>
        <v>0</v>
      </c>
      <c r="AIY16" s="34">
        <f t="shared" ca="1" si="137"/>
        <v>0</v>
      </c>
      <c r="AIZ16" s="34">
        <f t="shared" ca="1" si="137"/>
        <v>0</v>
      </c>
      <c r="AJA16" s="34">
        <f t="shared" ca="1" si="138"/>
        <v>0</v>
      </c>
      <c r="AJB16" s="34">
        <f t="shared" ca="1" si="138"/>
        <v>0</v>
      </c>
      <c r="AJC16" s="34">
        <f t="shared" ca="1" si="138"/>
        <v>0</v>
      </c>
      <c r="AJD16" s="34">
        <f t="shared" ca="1" si="138"/>
        <v>0</v>
      </c>
      <c r="AJE16" s="34">
        <f t="shared" ca="1" si="138"/>
        <v>0</v>
      </c>
      <c r="AJF16" s="34">
        <f t="shared" ca="1" si="138"/>
        <v>0</v>
      </c>
      <c r="AJG16" s="34">
        <f t="shared" ca="1" si="138"/>
        <v>0</v>
      </c>
      <c r="AJH16" s="34">
        <f t="shared" ca="1" si="138"/>
        <v>0</v>
      </c>
      <c r="AJI16" s="34">
        <f t="shared" ca="1" si="138"/>
        <v>0</v>
      </c>
      <c r="AJJ16" s="34">
        <f t="shared" ca="1" si="138"/>
        <v>0</v>
      </c>
      <c r="AJK16" s="34">
        <f t="shared" ca="1" si="139"/>
        <v>0</v>
      </c>
      <c r="AJL16" s="34">
        <f t="shared" ca="1" si="139"/>
        <v>0</v>
      </c>
      <c r="AJM16" s="34">
        <f t="shared" ca="1" si="139"/>
        <v>0</v>
      </c>
      <c r="AJN16" s="34">
        <f t="shared" ca="1" si="139"/>
        <v>0</v>
      </c>
      <c r="AJO16" s="34">
        <f t="shared" ca="1" si="139"/>
        <v>0</v>
      </c>
      <c r="AJP16" s="34">
        <f t="shared" ca="1" si="139"/>
        <v>0</v>
      </c>
      <c r="AJQ16" s="34">
        <f t="shared" ca="1" si="139"/>
        <v>0</v>
      </c>
      <c r="AJR16" s="34">
        <f t="shared" ca="1" si="139"/>
        <v>0</v>
      </c>
      <c r="AJS16" s="34">
        <f t="shared" ca="1" si="139"/>
        <v>0</v>
      </c>
      <c r="AJT16" s="34">
        <f t="shared" ca="1" si="139"/>
        <v>0</v>
      </c>
      <c r="AJU16" s="34">
        <f t="shared" ca="1" si="140"/>
        <v>0</v>
      </c>
      <c r="AJV16" s="34">
        <f t="shared" ca="1" si="140"/>
        <v>0</v>
      </c>
      <c r="AJW16" s="34">
        <f t="shared" ca="1" si="140"/>
        <v>0</v>
      </c>
      <c r="AJX16" s="34">
        <f t="shared" ca="1" si="140"/>
        <v>0</v>
      </c>
      <c r="AJY16" s="34">
        <f t="shared" ca="1" si="140"/>
        <v>0</v>
      </c>
      <c r="AJZ16" s="34">
        <f t="shared" ca="1" si="140"/>
        <v>0</v>
      </c>
      <c r="AKA16" s="34">
        <f t="shared" ca="1" si="140"/>
        <v>0</v>
      </c>
      <c r="AKB16" s="34">
        <f t="shared" ca="1" si="140"/>
        <v>0</v>
      </c>
      <c r="AKC16" s="34">
        <f t="shared" ca="1" si="140"/>
        <v>0</v>
      </c>
      <c r="AKD16" s="34">
        <f t="shared" ca="1" si="140"/>
        <v>0</v>
      </c>
      <c r="AKE16" s="34">
        <f t="shared" ca="1" si="141"/>
        <v>0</v>
      </c>
      <c r="AKF16" s="34">
        <f t="shared" ca="1" si="141"/>
        <v>0</v>
      </c>
      <c r="AKG16" s="34">
        <f t="shared" ca="1" si="141"/>
        <v>0</v>
      </c>
      <c r="AKH16" s="34">
        <f t="shared" ca="1" si="141"/>
        <v>0</v>
      </c>
      <c r="AKI16" s="34">
        <f t="shared" ca="1" si="141"/>
        <v>0</v>
      </c>
      <c r="AKJ16" s="34">
        <f t="shared" ca="1" si="141"/>
        <v>0</v>
      </c>
      <c r="AKK16" s="34">
        <f t="shared" ca="1" si="141"/>
        <v>0</v>
      </c>
      <c r="AKL16" s="34">
        <f t="shared" ca="1" si="141"/>
        <v>0</v>
      </c>
      <c r="AKM16" s="34">
        <f t="shared" ca="1" si="141"/>
        <v>0</v>
      </c>
      <c r="AKN16" s="34">
        <f t="shared" ca="1" si="141"/>
        <v>0</v>
      </c>
      <c r="AKO16" s="34">
        <f t="shared" ca="1" si="141"/>
        <v>0</v>
      </c>
      <c r="AKP16" s="34">
        <f t="shared" ca="1" si="141"/>
        <v>0</v>
      </c>
      <c r="AKQ16" s="34">
        <f t="shared" ca="1" si="141"/>
        <v>0</v>
      </c>
      <c r="AKR16" s="34">
        <f t="shared" ca="1" si="141"/>
        <v>0</v>
      </c>
      <c r="AKS16" s="34">
        <f t="shared" ca="1" si="141"/>
        <v>0</v>
      </c>
      <c r="AKT16" s="34"/>
      <c r="AKU16" s="34"/>
      <c r="AKV16" s="34"/>
      <c r="AKW16" s="34"/>
      <c r="AKX16" s="34"/>
      <c r="AKY16" s="34"/>
      <c r="AKZ16" s="34"/>
      <c r="ALA16" s="34"/>
      <c r="ALB16" s="34"/>
      <c r="ALC16" s="34"/>
      <c r="ALD16" s="34"/>
      <c r="ALE16" s="34"/>
      <c r="ALF16" s="34"/>
      <c r="ALG16" s="33"/>
      <c r="ALH16" s="33"/>
      <c r="ALI16" s="33"/>
      <c r="ALJ16" s="33"/>
      <c r="ALK16" s="33"/>
      <c r="ALL16" s="33"/>
      <c r="ALM16" s="33"/>
      <c r="ALN16" s="33"/>
      <c r="ALO16" s="33"/>
      <c r="ALP16" s="33"/>
      <c r="ALQ16" s="33"/>
      <c r="ALR16" s="33"/>
      <c r="ALS16" s="33"/>
      <c r="ALT16" s="33"/>
      <c r="ALU16" s="33"/>
      <c r="ALV16" s="33"/>
      <c r="ALW16" s="33"/>
      <c r="ALX16" s="33"/>
      <c r="ALY16" s="33"/>
      <c r="ALZ16" s="33"/>
      <c r="AMA16" s="33"/>
      <c r="AMB16" s="33"/>
      <c r="AMC16" s="33"/>
      <c r="AMD16" s="33"/>
      <c r="AME16" s="33"/>
      <c r="AMF16" s="33"/>
      <c r="AMG16" s="33"/>
      <c r="AMH16" s="33"/>
      <c r="AMI16" s="33"/>
      <c r="AMJ16" s="33"/>
      <c r="AMK16" s="33"/>
      <c r="AML16" s="33"/>
      <c r="AMM16" s="33"/>
      <c r="AMN16" s="33"/>
      <c r="AMO16" s="33"/>
      <c r="AMP16" s="33"/>
      <c r="AMQ16" s="33"/>
      <c r="AMR16" s="33"/>
      <c r="AMS16" s="33"/>
      <c r="AMT16" s="33"/>
      <c r="AMU16" s="33"/>
      <c r="AMV16" s="33"/>
      <c r="AMW16" s="33"/>
      <c r="AMX16" s="33"/>
      <c r="AMY16" s="33"/>
      <c r="AMZ16" s="33"/>
      <c r="ANA16" s="33"/>
      <c r="ANB16" s="33"/>
      <c r="ANC16" s="33"/>
      <c r="AND16" s="33"/>
      <c r="ANE16" s="33"/>
      <c r="ANF16" s="33"/>
      <c r="ANG16" s="33"/>
      <c r="ANH16" s="33"/>
      <c r="ANI16" s="33"/>
      <c r="ANJ16" s="33"/>
      <c r="ANK16" s="33"/>
      <c r="ANL16" s="33"/>
      <c r="ANM16" s="33"/>
      <c r="ANN16" s="33"/>
      <c r="ANO16" s="33"/>
      <c r="ANP16" s="33"/>
      <c r="ANQ16" s="33"/>
      <c r="ANR16" s="33"/>
      <c r="ANS16" s="33"/>
      <c r="ANT16" s="33"/>
      <c r="ANU16" s="33"/>
      <c r="ANV16" s="33"/>
      <c r="ANW16" s="33"/>
      <c r="ANX16" s="33"/>
      <c r="ANY16" s="33"/>
      <c r="ANZ16" s="33"/>
      <c r="AOA16" s="33"/>
      <c r="AOB16" s="33"/>
      <c r="AOC16" s="33"/>
      <c r="AOD16" s="33"/>
      <c r="AOE16" s="33"/>
      <c r="AOF16" s="33"/>
      <c r="AOG16" s="33"/>
      <c r="AOH16" s="33"/>
      <c r="AOI16" s="33"/>
      <c r="AOJ16" s="33"/>
      <c r="AOK16" s="33"/>
      <c r="AOL16" s="33"/>
      <c r="AOM16" s="33"/>
      <c r="AON16" s="33"/>
      <c r="AOO16" s="33"/>
      <c r="AOP16" s="33"/>
      <c r="AOQ16" s="33"/>
      <c r="AOR16" s="33"/>
      <c r="AOS16" s="33"/>
      <c r="AOT16" s="33"/>
      <c r="AOU16" s="33"/>
      <c r="AOV16" s="33"/>
      <c r="AOW16" s="33"/>
      <c r="AOX16" s="33"/>
      <c r="AOY16" s="33"/>
      <c r="AOZ16" s="33"/>
      <c r="APA16" s="33"/>
      <c r="APB16" s="33"/>
      <c r="APC16" s="33"/>
      <c r="APD16" s="33"/>
      <c r="APE16" s="33"/>
      <c r="APF16" s="33"/>
      <c r="APG16" s="33"/>
      <c r="APH16" s="33"/>
      <c r="API16" s="33"/>
      <c r="APJ16" s="33"/>
      <c r="APK16" s="33"/>
      <c r="APL16" s="33"/>
      <c r="APM16" s="33"/>
      <c r="APN16" s="33"/>
      <c r="APO16" s="33"/>
      <c r="APP16" s="33"/>
      <c r="APQ16" s="33"/>
      <c r="APR16" s="33"/>
      <c r="APS16" s="33"/>
      <c r="APT16" s="33"/>
      <c r="APU16" s="33"/>
      <c r="APV16" s="33"/>
      <c r="APW16" s="33"/>
      <c r="APX16" s="33"/>
      <c r="APY16" s="33"/>
      <c r="APZ16" s="33"/>
      <c r="AQA16" s="33"/>
      <c r="AQB16" s="33"/>
      <c r="AQC16" s="33"/>
      <c r="AQD16" s="33"/>
      <c r="AQE16" s="33"/>
      <c r="AQF16" s="33"/>
      <c r="AQG16" s="33"/>
      <c r="AQH16" s="33"/>
      <c r="AQI16" s="33"/>
      <c r="AQJ16" s="33"/>
      <c r="AQK16" s="33"/>
      <c r="AQL16" s="33"/>
      <c r="AQM16" s="33"/>
      <c r="AQN16" s="33"/>
      <c r="AQO16" s="33"/>
      <c r="AQP16" s="33"/>
      <c r="AQQ16" s="33"/>
      <c r="AQR16" s="33"/>
      <c r="AQS16" s="33"/>
      <c r="AQT16" s="33"/>
      <c r="AQU16" s="33"/>
      <c r="AQV16" s="33"/>
      <c r="AQW16" s="33"/>
      <c r="AQX16" s="33"/>
      <c r="AQY16" s="33"/>
      <c r="AQZ16" s="33"/>
      <c r="ARA16" s="33"/>
      <c r="ARB16" s="33"/>
      <c r="ARC16" s="33"/>
      <c r="ARD16" s="33"/>
      <c r="ARE16" s="33"/>
      <c r="ARF16" s="33"/>
      <c r="ARG16" s="33"/>
      <c r="ARH16" s="33"/>
      <c r="ARI16" s="33"/>
      <c r="ARJ16" s="33"/>
      <c r="ARK16" s="33"/>
      <c r="ARL16" s="33"/>
      <c r="ARM16" s="33"/>
      <c r="ARN16" s="33"/>
      <c r="ARO16" s="33"/>
      <c r="ARP16" s="33"/>
      <c r="ARQ16" s="33"/>
      <c r="ARR16" s="33"/>
      <c r="ARS16" s="33"/>
      <c r="ART16" s="33"/>
      <c r="ARU16" s="33"/>
      <c r="ARV16" s="33"/>
      <c r="ARW16" s="33"/>
      <c r="ARX16" s="33"/>
      <c r="ARY16" s="33"/>
      <c r="ARZ16" s="33"/>
      <c r="ASA16" s="33"/>
      <c r="ASB16" s="33"/>
      <c r="ASC16" s="33"/>
      <c r="ASD16" s="33"/>
      <c r="ASE16" s="33"/>
      <c r="ASF16" s="33"/>
      <c r="ASG16" s="33"/>
      <c r="ASH16" s="33"/>
      <c r="ASI16" s="33"/>
      <c r="ASJ16" s="33"/>
      <c r="ASK16" s="33"/>
      <c r="ASL16" s="33"/>
      <c r="ASM16" s="33"/>
      <c r="ASN16" s="33"/>
      <c r="ASO16" s="33"/>
      <c r="ASP16" s="33"/>
      <c r="ASQ16" s="33"/>
      <c r="ASR16" s="33"/>
      <c r="ASS16" s="33"/>
      <c r="AST16" s="33"/>
      <c r="ASU16" s="33"/>
      <c r="ASV16" s="33"/>
      <c r="ASW16" s="33"/>
      <c r="ASX16" s="33"/>
      <c r="ASY16" s="33"/>
      <c r="ASZ16" s="33"/>
      <c r="ATA16" s="33"/>
      <c r="ATB16" s="33"/>
      <c r="ATC16" s="33"/>
      <c r="ATD16" s="33"/>
      <c r="ATE16" s="33"/>
      <c r="ATF16" s="33"/>
      <c r="ATG16" s="33"/>
      <c r="ATH16" s="33"/>
      <c r="ATI16" s="33"/>
      <c r="ATJ16" s="33"/>
      <c r="ATK16" s="33"/>
      <c r="ATL16" s="33"/>
      <c r="ATM16" s="33"/>
      <c r="ATN16" s="33"/>
      <c r="ATO16" s="33"/>
      <c r="ATP16" s="33"/>
      <c r="ATQ16" s="33"/>
      <c r="ATR16" s="33"/>
      <c r="ATS16" s="33"/>
      <c r="ATT16" s="33"/>
      <c r="ATU16" s="33"/>
      <c r="ATV16" s="33"/>
      <c r="ATW16" s="33"/>
      <c r="ATX16" s="33"/>
      <c r="ATY16" s="33"/>
      <c r="ATZ16" s="33"/>
      <c r="AUA16" s="33"/>
      <c r="AUB16" s="33"/>
      <c r="AUC16" s="33"/>
      <c r="AUD16" s="33"/>
      <c r="AUE16" s="33"/>
      <c r="AUF16" s="33"/>
      <c r="AUG16" s="33"/>
      <c r="AUH16" s="33"/>
      <c r="AUI16" s="33"/>
      <c r="AUJ16" s="33"/>
      <c r="AUK16" s="33"/>
      <c r="AUL16" s="33"/>
      <c r="AUM16" s="33"/>
      <c r="AUN16" s="33"/>
      <c r="AUO16" s="33"/>
      <c r="AUP16" s="33"/>
      <c r="AUQ16" s="33"/>
      <c r="AUR16" s="33"/>
      <c r="AUS16" s="33"/>
      <c r="AUT16" s="33"/>
      <c r="AUU16" s="33"/>
      <c r="AUV16" s="33"/>
      <c r="AUW16" s="33"/>
      <c r="AUX16" s="33"/>
      <c r="AUY16" s="33"/>
      <c r="AUZ16" s="33"/>
      <c r="AVA16" s="33"/>
      <c r="AVB16" s="33"/>
    </row>
    <row r="17" spans="1:1250" ht="18.75" customHeight="1">
      <c r="A17" s="378" t="str">
        <f>自由選!B18</f>
        <v>XH520</v>
      </c>
      <c r="B17" s="208">
        <f ca="1">VLOOKUP($A17,'銀行-TSS'!B:K,10,FALSE)</f>
        <v>108.44</v>
      </c>
      <c r="C17" s="69" t="str">
        <f ca="1">VLOOKUP(A17,'銀行-TSS'!B:E,4,FALSE)</f>
        <v>A3 / BBB+ / A</v>
      </c>
      <c r="D17" s="70">
        <f ca="1">VLOOKUP($A17,'銀行-TSS'!B:H,7,FALSE)</f>
        <v>5.8749999999999997E-2</v>
      </c>
      <c r="E17" s="71">
        <f ca="1">IFERROR(VLOOKUP($A17,'銀行-TSS'!B:I,8,FALSE),"")</f>
        <v>2</v>
      </c>
      <c r="F17" s="69" t="str">
        <f ca="1">CONCATENATE(IF(AF17&gt;AG17,AG17,AF17),"、",IF(AF17&gt;AG17,AF17,AG17))</f>
        <v>1、7</v>
      </c>
      <c r="G17" s="72">
        <f ca="1">VLOOKUP($A17,'銀行-TSS'!B:M,12,FALSE)</f>
        <v>5.3499999999999999E-2</v>
      </c>
      <c r="H17" s="73">
        <f ca="1">VLOOKUP($A17,'銀行-TSS'!B:G,6,FALSE)</f>
        <v>17.579999999999998</v>
      </c>
      <c r="I17" s="74">
        <f ca="1">IFERROR(DATEVALUE(VLOOKUP($A17,'銀行-TSS'!B:F,5,FALSE)),VLOOKUP($A17,'銀行-TSS'!B:F,5,FALSE))</f>
        <v>51896</v>
      </c>
      <c r="J17" s="1" t="str">
        <f ca="1">VLOOKUP($A17,'銀行-TSS'!B:Q,16,FALSE)</f>
        <v>金融</v>
      </c>
      <c r="K17" s="76" t="str">
        <f ca="1">VLOOKUP($A17,'銀行-TSS'!B:T,19,FALSE)</f>
        <v>花旗集團/C</v>
      </c>
      <c r="L17" s="33" t="b">
        <f t="shared" si="45"/>
        <v>1</v>
      </c>
      <c r="M17" s="43">
        <f ca="1">VLOOKUP($A17,'銀行-TSS'!B:N,13,FALSE)</f>
        <v>10000</v>
      </c>
      <c r="N17" s="44">
        <f>自由選!F18</f>
        <v>10000</v>
      </c>
      <c r="O17" s="43">
        <f ca="1">IFERROR(VLOOKUP($A17,'銀行-TSS'!B:O,14,FALSE),1)</f>
        <v>1000</v>
      </c>
      <c r="P17" s="78" t="str">
        <f ca="1">IFERROR(VLOOKUP(K17,Bond_DES!D:E,2,FALSE),VLOOKUP(K17,'銀行-TSS'!T:U,2,FALSE))</f>
        <v>花旗集團(Citigroup Inc.)是一家全球性多元化金融服務控股公司，按一級資本為全球第7大、美國第3大行(The Banker 2023)，營收、品牌、資本水準高居美國前五大行。</v>
      </c>
      <c r="Q17" s="83">
        <f t="shared" ca="1" si="143"/>
        <v>105.9594</v>
      </c>
      <c r="R17" s="81">
        <f ca="1">ROUND(Q17*N17/100,2)</f>
        <v>10595.94</v>
      </c>
      <c r="S17" s="82">
        <f ca="1">R17/$R$27</f>
        <v>9.3081876146290127E-2</v>
      </c>
      <c r="T17" s="34">
        <f t="shared" ca="1" si="144"/>
        <v>2042</v>
      </c>
      <c r="U17" s="36" t="str">
        <f ca="1">IFERROR(VLOOKUP($A17,'銀行-TSS'!B:C,2,FALSE),"")</f>
        <v>USD</v>
      </c>
      <c r="V17" s="184">
        <f ca="1">VLOOKUP(A17,'銀行-TSS'!B:J,9,FALSE)</f>
        <v>2.4805999999999999</v>
      </c>
      <c r="W17" s="57">
        <f ca="1">ROUND(V17*N17/100,2)</f>
        <v>248.06</v>
      </c>
      <c r="X17" s="36">
        <f t="shared" ca="1" si="146"/>
        <v>0</v>
      </c>
      <c r="Y17" s="116">
        <f ca="1">ROUND((Q17+V17)*O17/100,2)</f>
        <v>1084.4000000000001</v>
      </c>
      <c r="Z17" s="98">
        <f ca="1">ROUND((Q17+V17)*M17/100,2)</f>
        <v>10844</v>
      </c>
      <c r="AA17" s="61">
        <f>N17/$N$27</f>
        <v>8.3333333333333329E-2</v>
      </c>
      <c r="AB17" s="104" t="str">
        <f t="shared" ca="1" si="46"/>
        <v>金融</v>
      </c>
      <c r="AC17" s="149">
        <f ca="1">R17+W17+X17</f>
        <v>10844</v>
      </c>
      <c r="AD17" s="149">
        <f ca="1">VLOOKUP(A17,'銀行-TSS'!B:AD,29,FALSE)</f>
        <v>16</v>
      </c>
      <c r="AE17" s="64">
        <f ca="1">D17*N17/E17</f>
        <v>293.75</v>
      </c>
      <c r="AF17" s="53">
        <f ca="1">IF(AG17&gt;6,AG17-6,AG17+6)</f>
        <v>1</v>
      </c>
      <c r="AG17" s="45">
        <f ca="1">MONTH(AH17)</f>
        <v>7</v>
      </c>
      <c r="AH17" s="2">
        <f ca="1">_xlfn.IFNA(IFERROR(DATEVALUE(VLOOKUP($A17,'銀行-TSS'!B:P,15,FALSE)),VLOOKUP($A17,'銀行-TSS'!B:P,15,FALSE)),"")</f>
        <v>45503</v>
      </c>
      <c r="AI17" s="2">
        <f ca="1">_xlfn.IFNA(IFERROR(DATEVALUE(VLOOKUP($A17,'銀行-TSS'!B:L,11,FALSE)),VLOOKUP($A17,'銀行-TSS'!B:L,11,FALSE)),"")</f>
        <v>45475</v>
      </c>
      <c r="AJ17" s="34">
        <f ca="1">IF(AI17&lt;AH17,IF(MONTH(AI17)=MONTH(AH17),$AE17,0),0)</f>
        <v>293.75</v>
      </c>
      <c r="AK17" s="34">
        <f t="shared" ca="1" si="48"/>
        <v>0</v>
      </c>
      <c r="AL17" s="34">
        <f t="shared" ca="1" si="48"/>
        <v>0</v>
      </c>
      <c r="AM17" s="34">
        <f t="shared" ca="1" si="48"/>
        <v>0</v>
      </c>
      <c r="AN17" s="34">
        <f t="shared" ca="1" si="48"/>
        <v>0</v>
      </c>
      <c r="AO17" s="34">
        <f t="shared" ca="1" si="48"/>
        <v>0</v>
      </c>
      <c r="AP17" s="34">
        <f t="shared" ca="1" si="48"/>
        <v>293.75</v>
      </c>
      <c r="AQ17" s="34">
        <f t="shared" ca="1" si="48"/>
        <v>0</v>
      </c>
      <c r="AR17" s="34">
        <f t="shared" ca="1" si="48"/>
        <v>0</v>
      </c>
      <c r="AS17" s="34">
        <f t="shared" ca="1" si="48"/>
        <v>0</v>
      </c>
      <c r="AT17" s="34">
        <f t="shared" ca="1" si="48"/>
        <v>0</v>
      </c>
      <c r="AU17" s="34">
        <f t="shared" ca="1" si="49"/>
        <v>0</v>
      </c>
      <c r="AV17" s="34">
        <f t="shared" ca="1" si="49"/>
        <v>293.75</v>
      </c>
      <c r="AW17" s="34">
        <f t="shared" ca="1" si="49"/>
        <v>0</v>
      </c>
      <c r="AX17" s="34">
        <f t="shared" ca="1" si="49"/>
        <v>0</v>
      </c>
      <c r="AY17" s="34">
        <f t="shared" ca="1" si="49"/>
        <v>0</v>
      </c>
      <c r="AZ17" s="34">
        <f t="shared" ca="1" si="49"/>
        <v>0</v>
      </c>
      <c r="BA17" s="34">
        <f t="shared" ca="1" si="49"/>
        <v>0</v>
      </c>
      <c r="BB17" s="34">
        <f t="shared" ca="1" si="49"/>
        <v>293.75</v>
      </c>
      <c r="BC17" s="34">
        <f t="shared" ca="1" si="49"/>
        <v>0</v>
      </c>
      <c r="BD17" s="34">
        <f t="shared" ca="1" si="49"/>
        <v>0</v>
      </c>
      <c r="BE17" s="34">
        <f t="shared" ca="1" si="50"/>
        <v>0</v>
      </c>
      <c r="BF17" s="34">
        <f t="shared" ca="1" si="50"/>
        <v>0</v>
      </c>
      <c r="BG17" s="34">
        <f t="shared" ca="1" si="50"/>
        <v>0</v>
      </c>
      <c r="BH17" s="34">
        <f t="shared" ca="1" si="50"/>
        <v>293.75</v>
      </c>
      <c r="BI17" s="34">
        <f t="shared" ca="1" si="50"/>
        <v>0</v>
      </c>
      <c r="BJ17" s="34">
        <f t="shared" ca="1" si="50"/>
        <v>0</v>
      </c>
      <c r="BK17" s="34">
        <f t="shared" ca="1" si="50"/>
        <v>0</v>
      </c>
      <c r="BL17" s="34">
        <f t="shared" ca="1" si="50"/>
        <v>0</v>
      </c>
      <c r="BM17" s="34">
        <f t="shared" ca="1" si="50"/>
        <v>0</v>
      </c>
      <c r="BN17" s="34">
        <f t="shared" ca="1" si="50"/>
        <v>293.75</v>
      </c>
      <c r="BO17" s="34">
        <f t="shared" ca="1" si="51"/>
        <v>0</v>
      </c>
      <c r="BP17" s="34">
        <f t="shared" ca="1" si="51"/>
        <v>0</v>
      </c>
      <c r="BQ17" s="34">
        <f t="shared" ca="1" si="51"/>
        <v>0</v>
      </c>
      <c r="BR17" s="34">
        <f t="shared" ca="1" si="51"/>
        <v>0</v>
      </c>
      <c r="BS17" s="34">
        <f t="shared" ca="1" si="51"/>
        <v>0</v>
      </c>
      <c r="BT17" s="34">
        <f t="shared" ca="1" si="51"/>
        <v>293.75</v>
      </c>
      <c r="BU17" s="34">
        <f t="shared" ca="1" si="51"/>
        <v>0</v>
      </c>
      <c r="BV17" s="34">
        <f t="shared" ca="1" si="51"/>
        <v>0</v>
      </c>
      <c r="BW17" s="34">
        <f t="shared" ca="1" si="51"/>
        <v>0</v>
      </c>
      <c r="BX17" s="34">
        <f t="shared" ca="1" si="51"/>
        <v>0</v>
      </c>
      <c r="BY17" s="34">
        <f t="shared" ca="1" si="52"/>
        <v>0</v>
      </c>
      <c r="BZ17" s="34">
        <f t="shared" ca="1" si="52"/>
        <v>293.75</v>
      </c>
      <c r="CA17" s="34">
        <f t="shared" ca="1" si="52"/>
        <v>0</v>
      </c>
      <c r="CB17" s="34">
        <f t="shared" ca="1" si="52"/>
        <v>0</v>
      </c>
      <c r="CC17" s="34">
        <f t="shared" ca="1" si="52"/>
        <v>0</v>
      </c>
      <c r="CD17" s="34">
        <f t="shared" ca="1" si="52"/>
        <v>0</v>
      </c>
      <c r="CE17" s="34">
        <f t="shared" ca="1" si="52"/>
        <v>0</v>
      </c>
      <c r="CF17" s="34">
        <f t="shared" ca="1" si="52"/>
        <v>293.75</v>
      </c>
      <c r="CG17" s="34">
        <f t="shared" ca="1" si="52"/>
        <v>0</v>
      </c>
      <c r="CH17" s="34">
        <f t="shared" ca="1" si="52"/>
        <v>0</v>
      </c>
      <c r="CI17" s="34">
        <f t="shared" ca="1" si="53"/>
        <v>0</v>
      </c>
      <c r="CJ17" s="34">
        <f t="shared" ca="1" si="53"/>
        <v>0</v>
      </c>
      <c r="CK17" s="34">
        <f t="shared" ca="1" si="53"/>
        <v>0</v>
      </c>
      <c r="CL17" s="34">
        <f t="shared" ca="1" si="53"/>
        <v>293.75</v>
      </c>
      <c r="CM17" s="34">
        <f t="shared" ca="1" si="53"/>
        <v>0</v>
      </c>
      <c r="CN17" s="34">
        <f t="shared" ca="1" si="53"/>
        <v>0</v>
      </c>
      <c r="CO17" s="34">
        <f t="shared" ca="1" si="53"/>
        <v>0</v>
      </c>
      <c r="CP17" s="34">
        <f t="shared" ca="1" si="53"/>
        <v>0</v>
      </c>
      <c r="CQ17" s="34">
        <f t="shared" ca="1" si="53"/>
        <v>0</v>
      </c>
      <c r="CR17" s="34">
        <f t="shared" ca="1" si="53"/>
        <v>293.75</v>
      </c>
      <c r="CS17" s="34">
        <f t="shared" ca="1" si="54"/>
        <v>0</v>
      </c>
      <c r="CT17" s="34">
        <f t="shared" ca="1" si="54"/>
        <v>0</v>
      </c>
      <c r="CU17" s="34">
        <f t="shared" ca="1" si="54"/>
        <v>0</v>
      </c>
      <c r="CV17" s="34">
        <f t="shared" ca="1" si="54"/>
        <v>0</v>
      </c>
      <c r="CW17" s="34">
        <f t="shared" ca="1" si="54"/>
        <v>0</v>
      </c>
      <c r="CX17" s="34">
        <f t="shared" ca="1" si="54"/>
        <v>293.75</v>
      </c>
      <c r="CY17" s="34">
        <f t="shared" ca="1" si="54"/>
        <v>0</v>
      </c>
      <c r="CZ17" s="34">
        <f t="shared" ca="1" si="54"/>
        <v>0</v>
      </c>
      <c r="DA17" s="34">
        <f t="shared" ca="1" si="54"/>
        <v>0</v>
      </c>
      <c r="DB17" s="34">
        <f t="shared" ca="1" si="54"/>
        <v>0</v>
      </c>
      <c r="DC17" s="34">
        <f t="shared" ca="1" si="55"/>
        <v>0</v>
      </c>
      <c r="DD17" s="34">
        <f t="shared" ca="1" si="55"/>
        <v>293.75</v>
      </c>
      <c r="DE17" s="34">
        <f t="shared" ca="1" si="55"/>
        <v>0</v>
      </c>
      <c r="DF17" s="34">
        <f t="shared" ca="1" si="55"/>
        <v>0</v>
      </c>
      <c r="DG17" s="34">
        <f t="shared" ca="1" si="55"/>
        <v>0</v>
      </c>
      <c r="DH17" s="34">
        <f t="shared" ca="1" si="55"/>
        <v>0</v>
      </c>
      <c r="DI17" s="34">
        <f t="shared" ca="1" si="55"/>
        <v>0</v>
      </c>
      <c r="DJ17" s="34">
        <f t="shared" ca="1" si="55"/>
        <v>293.75</v>
      </c>
      <c r="DK17" s="34">
        <f t="shared" ca="1" si="55"/>
        <v>0</v>
      </c>
      <c r="DL17" s="34">
        <f t="shared" ca="1" si="55"/>
        <v>0</v>
      </c>
      <c r="DM17" s="34">
        <f t="shared" ca="1" si="56"/>
        <v>0</v>
      </c>
      <c r="DN17" s="34">
        <f t="shared" ca="1" si="56"/>
        <v>0</v>
      </c>
      <c r="DO17" s="34">
        <f t="shared" ca="1" si="56"/>
        <v>0</v>
      </c>
      <c r="DP17" s="34">
        <f t="shared" ca="1" si="56"/>
        <v>293.75</v>
      </c>
      <c r="DQ17" s="34">
        <f t="shared" ca="1" si="56"/>
        <v>0</v>
      </c>
      <c r="DR17" s="34">
        <f t="shared" ca="1" si="56"/>
        <v>0</v>
      </c>
      <c r="DS17" s="34">
        <f t="shared" ca="1" si="56"/>
        <v>0</v>
      </c>
      <c r="DT17" s="34">
        <f t="shared" ca="1" si="56"/>
        <v>0</v>
      </c>
      <c r="DU17" s="34">
        <f t="shared" ca="1" si="56"/>
        <v>0</v>
      </c>
      <c r="DV17" s="34">
        <f t="shared" ca="1" si="56"/>
        <v>293.75</v>
      </c>
      <c r="DW17" s="34">
        <f t="shared" ca="1" si="57"/>
        <v>0</v>
      </c>
      <c r="DX17" s="34">
        <f t="shared" ca="1" si="57"/>
        <v>0</v>
      </c>
      <c r="DY17" s="34">
        <f t="shared" ca="1" si="57"/>
        <v>0</v>
      </c>
      <c r="DZ17" s="34">
        <f t="shared" ca="1" si="57"/>
        <v>0</v>
      </c>
      <c r="EA17" s="34">
        <f t="shared" ca="1" si="57"/>
        <v>0</v>
      </c>
      <c r="EB17" s="34">
        <f t="shared" ca="1" si="57"/>
        <v>293.75</v>
      </c>
      <c r="EC17" s="34">
        <f t="shared" ca="1" si="57"/>
        <v>0</v>
      </c>
      <c r="ED17" s="34">
        <f t="shared" ca="1" si="57"/>
        <v>0</v>
      </c>
      <c r="EE17" s="34">
        <f t="shared" ca="1" si="57"/>
        <v>0</v>
      </c>
      <c r="EF17" s="34">
        <f t="shared" ca="1" si="57"/>
        <v>0</v>
      </c>
      <c r="EG17" s="34">
        <f t="shared" ca="1" si="58"/>
        <v>0</v>
      </c>
      <c r="EH17" s="34">
        <f t="shared" ca="1" si="58"/>
        <v>293.75</v>
      </c>
      <c r="EI17" s="34">
        <f t="shared" ca="1" si="58"/>
        <v>0</v>
      </c>
      <c r="EJ17" s="34">
        <f t="shared" ca="1" si="58"/>
        <v>0</v>
      </c>
      <c r="EK17" s="34">
        <f t="shared" ca="1" si="58"/>
        <v>0</v>
      </c>
      <c r="EL17" s="34">
        <f t="shared" ca="1" si="58"/>
        <v>0</v>
      </c>
      <c r="EM17" s="34">
        <f t="shared" ca="1" si="58"/>
        <v>0</v>
      </c>
      <c r="EN17" s="34">
        <f t="shared" ca="1" si="58"/>
        <v>293.75</v>
      </c>
      <c r="EO17" s="34">
        <f t="shared" ca="1" si="58"/>
        <v>0</v>
      </c>
      <c r="EP17" s="34">
        <f t="shared" ca="1" si="58"/>
        <v>0</v>
      </c>
      <c r="EQ17" s="34">
        <f t="shared" ca="1" si="59"/>
        <v>0</v>
      </c>
      <c r="ER17" s="34">
        <f t="shared" ca="1" si="59"/>
        <v>0</v>
      </c>
      <c r="ES17" s="34">
        <f t="shared" ca="1" si="59"/>
        <v>0</v>
      </c>
      <c r="ET17" s="34">
        <f t="shared" ca="1" si="59"/>
        <v>293.75</v>
      </c>
      <c r="EU17" s="34">
        <f t="shared" ca="1" si="59"/>
        <v>0</v>
      </c>
      <c r="EV17" s="34">
        <f t="shared" ca="1" si="59"/>
        <v>0</v>
      </c>
      <c r="EW17" s="34">
        <f t="shared" ca="1" si="59"/>
        <v>0</v>
      </c>
      <c r="EX17" s="34">
        <f t="shared" ca="1" si="59"/>
        <v>0</v>
      </c>
      <c r="EY17" s="34">
        <f t="shared" ca="1" si="59"/>
        <v>0</v>
      </c>
      <c r="EZ17" s="34">
        <f t="shared" ca="1" si="59"/>
        <v>293.75</v>
      </c>
      <c r="FA17" s="34">
        <f t="shared" ca="1" si="60"/>
        <v>0</v>
      </c>
      <c r="FB17" s="34">
        <f t="shared" ca="1" si="60"/>
        <v>0</v>
      </c>
      <c r="FC17" s="34">
        <f t="shared" ca="1" si="60"/>
        <v>0</v>
      </c>
      <c r="FD17" s="34">
        <f t="shared" ca="1" si="60"/>
        <v>0</v>
      </c>
      <c r="FE17" s="34">
        <f t="shared" ca="1" si="60"/>
        <v>0</v>
      </c>
      <c r="FF17" s="34">
        <f t="shared" ca="1" si="60"/>
        <v>293.75</v>
      </c>
      <c r="FG17" s="34">
        <f t="shared" ca="1" si="60"/>
        <v>0</v>
      </c>
      <c r="FH17" s="34">
        <f t="shared" ca="1" si="60"/>
        <v>0</v>
      </c>
      <c r="FI17" s="34">
        <f t="shared" ca="1" si="60"/>
        <v>0</v>
      </c>
      <c r="FJ17" s="34">
        <f t="shared" ca="1" si="60"/>
        <v>0</v>
      </c>
      <c r="FK17" s="34">
        <f t="shared" ca="1" si="61"/>
        <v>0</v>
      </c>
      <c r="FL17" s="34">
        <f t="shared" ca="1" si="61"/>
        <v>293.75</v>
      </c>
      <c r="FM17" s="34">
        <f t="shared" ca="1" si="61"/>
        <v>0</v>
      </c>
      <c r="FN17" s="34">
        <f t="shared" ca="1" si="61"/>
        <v>0</v>
      </c>
      <c r="FO17" s="34">
        <f t="shared" ca="1" si="61"/>
        <v>0</v>
      </c>
      <c r="FP17" s="34">
        <f t="shared" ca="1" si="61"/>
        <v>0</v>
      </c>
      <c r="FQ17" s="34">
        <f t="shared" ca="1" si="61"/>
        <v>0</v>
      </c>
      <c r="FR17" s="34">
        <f t="shared" ca="1" si="61"/>
        <v>293.75</v>
      </c>
      <c r="FS17" s="34">
        <f t="shared" ca="1" si="61"/>
        <v>0</v>
      </c>
      <c r="FT17" s="34">
        <f t="shared" ca="1" si="61"/>
        <v>0</v>
      </c>
      <c r="FU17" s="34">
        <f t="shared" ca="1" si="62"/>
        <v>0</v>
      </c>
      <c r="FV17" s="34">
        <f t="shared" ca="1" si="62"/>
        <v>0</v>
      </c>
      <c r="FW17" s="34">
        <f t="shared" ca="1" si="62"/>
        <v>0</v>
      </c>
      <c r="FX17" s="34">
        <f t="shared" ca="1" si="62"/>
        <v>293.75</v>
      </c>
      <c r="FY17" s="34">
        <f t="shared" ca="1" si="62"/>
        <v>0</v>
      </c>
      <c r="FZ17" s="34">
        <f t="shared" ca="1" si="62"/>
        <v>0</v>
      </c>
      <c r="GA17" s="34">
        <f t="shared" ca="1" si="62"/>
        <v>0</v>
      </c>
      <c r="GB17" s="34">
        <f t="shared" ca="1" si="62"/>
        <v>0</v>
      </c>
      <c r="GC17" s="34">
        <f t="shared" ca="1" si="62"/>
        <v>0</v>
      </c>
      <c r="GD17" s="34">
        <f t="shared" ca="1" si="62"/>
        <v>293.75</v>
      </c>
      <c r="GE17" s="34">
        <f t="shared" ca="1" si="63"/>
        <v>0</v>
      </c>
      <c r="GF17" s="34">
        <f t="shared" ca="1" si="63"/>
        <v>0</v>
      </c>
      <c r="GG17" s="34">
        <f t="shared" ca="1" si="63"/>
        <v>0</v>
      </c>
      <c r="GH17" s="34">
        <f t="shared" ca="1" si="63"/>
        <v>0</v>
      </c>
      <c r="GI17" s="34">
        <f t="shared" ca="1" si="63"/>
        <v>0</v>
      </c>
      <c r="GJ17" s="34">
        <f t="shared" ca="1" si="63"/>
        <v>293.75</v>
      </c>
      <c r="GK17" s="34">
        <f t="shared" ca="1" si="63"/>
        <v>0</v>
      </c>
      <c r="GL17" s="34">
        <f t="shared" ca="1" si="63"/>
        <v>0</v>
      </c>
      <c r="GM17" s="34">
        <f t="shared" ca="1" si="63"/>
        <v>0</v>
      </c>
      <c r="GN17" s="34">
        <f t="shared" ca="1" si="63"/>
        <v>0</v>
      </c>
      <c r="GO17" s="34">
        <f t="shared" ca="1" si="64"/>
        <v>0</v>
      </c>
      <c r="GP17" s="34">
        <f t="shared" ca="1" si="64"/>
        <v>293.75</v>
      </c>
      <c r="GQ17" s="34">
        <f t="shared" ca="1" si="64"/>
        <v>0</v>
      </c>
      <c r="GR17" s="34">
        <f t="shared" ca="1" si="64"/>
        <v>0</v>
      </c>
      <c r="GS17" s="34">
        <f t="shared" ca="1" si="64"/>
        <v>0</v>
      </c>
      <c r="GT17" s="34">
        <f t="shared" ca="1" si="64"/>
        <v>0</v>
      </c>
      <c r="GU17" s="34">
        <f t="shared" ca="1" si="64"/>
        <v>0</v>
      </c>
      <c r="GV17" s="34">
        <f t="shared" ca="1" si="64"/>
        <v>293.75</v>
      </c>
      <c r="GW17" s="34">
        <f t="shared" ca="1" si="64"/>
        <v>0</v>
      </c>
      <c r="GX17" s="34">
        <f t="shared" ca="1" si="64"/>
        <v>0</v>
      </c>
      <c r="GY17" s="34">
        <f t="shared" ca="1" si="65"/>
        <v>0</v>
      </c>
      <c r="GZ17" s="34">
        <f t="shared" ca="1" si="65"/>
        <v>0</v>
      </c>
      <c r="HA17" s="34">
        <f t="shared" ca="1" si="65"/>
        <v>0</v>
      </c>
      <c r="HB17" s="34">
        <f t="shared" ca="1" si="65"/>
        <v>293.75</v>
      </c>
      <c r="HC17" s="34">
        <f t="shared" ca="1" si="65"/>
        <v>0</v>
      </c>
      <c r="HD17" s="34">
        <f t="shared" ca="1" si="65"/>
        <v>0</v>
      </c>
      <c r="HE17" s="34">
        <f t="shared" ca="1" si="65"/>
        <v>0</v>
      </c>
      <c r="HF17" s="34">
        <f t="shared" ca="1" si="65"/>
        <v>0</v>
      </c>
      <c r="HG17" s="34">
        <f t="shared" ca="1" si="65"/>
        <v>0</v>
      </c>
      <c r="HH17" s="34">
        <f t="shared" ca="1" si="65"/>
        <v>293.75</v>
      </c>
      <c r="HI17" s="34">
        <f t="shared" ca="1" si="66"/>
        <v>0</v>
      </c>
      <c r="HJ17" s="34">
        <f t="shared" ca="1" si="66"/>
        <v>0</v>
      </c>
      <c r="HK17" s="34">
        <f t="shared" ca="1" si="66"/>
        <v>0</v>
      </c>
      <c r="HL17" s="34">
        <f t="shared" ca="1" si="66"/>
        <v>0</v>
      </c>
      <c r="HM17" s="34">
        <f t="shared" ca="1" si="66"/>
        <v>0</v>
      </c>
      <c r="HN17" s="34">
        <f t="shared" ca="1" si="66"/>
        <v>293.75</v>
      </c>
      <c r="HO17" s="34">
        <f t="shared" ca="1" si="66"/>
        <v>0</v>
      </c>
      <c r="HP17" s="34">
        <f t="shared" ca="1" si="66"/>
        <v>0</v>
      </c>
      <c r="HQ17" s="34">
        <f t="shared" ca="1" si="66"/>
        <v>0</v>
      </c>
      <c r="HR17" s="34">
        <f t="shared" ca="1" si="66"/>
        <v>0</v>
      </c>
      <c r="HS17" s="34">
        <f t="shared" ca="1" si="67"/>
        <v>0</v>
      </c>
      <c r="HT17" s="34">
        <f t="shared" ca="1" si="67"/>
        <v>293.75</v>
      </c>
      <c r="HU17" s="34">
        <f t="shared" ca="1" si="67"/>
        <v>0</v>
      </c>
      <c r="HV17" s="34">
        <f t="shared" ca="1" si="67"/>
        <v>0</v>
      </c>
      <c r="HW17" s="34">
        <f t="shared" ca="1" si="67"/>
        <v>0</v>
      </c>
      <c r="HX17" s="34">
        <f t="shared" ca="1" si="67"/>
        <v>0</v>
      </c>
      <c r="HY17" s="34">
        <f t="shared" ca="1" si="67"/>
        <v>0</v>
      </c>
      <c r="HZ17" s="34">
        <f t="shared" ca="1" si="67"/>
        <v>293.75</v>
      </c>
      <c r="IA17" s="34">
        <f t="shared" ca="1" si="67"/>
        <v>0</v>
      </c>
      <c r="IB17" s="34">
        <f t="shared" ca="1" si="67"/>
        <v>0</v>
      </c>
      <c r="IC17" s="34">
        <f t="shared" ca="1" si="68"/>
        <v>0</v>
      </c>
      <c r="ID17" s="34">
        <f t="shared" ca="1" si="68"/>
        <v>0</v>
      </c>
      <c r="IE17" s="34">
        <f t="shared" ca="1" si="68"/>
        <v>0</v>
      </c>
      <c r="IF17" s="34">
        <f t="shared" ca="1" si="68"/>
        <v>293.75</v>
      </c>
      <c r="IG17" s="34">
        <f t="shared" ca="1" si="68"/>
        <v>0</v>
      </c>
      <c r="IH17" s="34">
        <f t="shared" ca="1" si="68"/>
        <v>0</v>
      </c>
      <c r="II17" s="34">
        <f t="shared" ca="1" si="68"/>
        <v>0</v>
      </c>
      <c r="IJ17" s="34">
        <f t="shared" ca="1" si="68"/>
        <v>0</v>
      </c>
      <c r="IK17" s="34">
        <f t="shared" ca="1" si="68"/>
        <v>0</v>
      </c>
      <c r="IL17" s="34">
        <f t="shared" ca="1" si="68"/>
        <v>293.75</v>
      </c>
      <c r="IM17" s="34">
        <f t="shared" ca="1" si="69"/>
        <v>0</v>
      </c>
      <c r="IN17" s="34">
        <f t="shared" ca="1" si="69"/>
        <v>0</v>
      </c>
      <c r="IO17" s="34">
        <f t="shared" ca="1" si="69"/>
        <v>0</v>
      </c>
      <c r="IP17" s="34">
        <f t="shared" ca="1" si="69"/>
        <v>0</v>
      </c>
      <c r="IQ17" s="34">
        <f t="shared" ca="1" si="69"/>
        <v>0</v>
      </c>
      <c r="IR17" s="34">
        <f t="shared" ca="1" si="69"/>
        <v>0</v>
      </c>
      <c r="IS17" s="34">
        <f t="shared" ca="1" si="69"/>
        <v>0</v>
      </c>
      <c r="IT17" s="34">
        <f t="shared" ca="1" si="69"/>
        <v>0</v>
      </c>
      <c r="IU17" s="34">
        <f t="shared" ca="1" si="69"/>
        <v>0</v>
      </c>
      <c r="IV17" s="34">
        <f t="shared" ca="1" si="69"/>
        <v>0</v>
      </c>
      <c r="IW17" s="34">
        <f t="shared" ca="1" si="70"/>
        <v>0</v>
      </c>
      <c r="IX17" s="34">
        <f t="shared" ca="1" si="70"/>
        <v>0</v>
      </c>
      <c r="IY17" s="34">
        <f t="shared" ca="1" si="70"/>
        <v>0</v>
      </c>
      <c r="IZ17" s="34">
        <f t="shared" ca="1" si="70"/>
        <v>0</v>
      </c>
      <c r="JA17" s="34">
        <f t="shared" ca="1" si="70"/>
        <v>0</v>
      </c>
      <c r="JB17" s="34">
        <f t="shared" ca="1" si="70"/>
        <v>0</v>
      </c>
      <c r="JC17" s="34">
        <f t="shared" ca="1" si="70"/>
        <v>0</v>
      </c>
      <c r="JD17" s="34">
        <f t="shared" ca="1" si="70"/>
        <v>0</v>
      </c>
      <c r="JE17" s="34">
        <f t="shared" ca="1" si="70"/>
        <v>0</v>
      </c>
      <c r="JF17" s="34">
        <f t="shared" ca="1" si="70"/>
        <v>0</v>
      </c>
      <c r="JG17" s="34">
        <f t="shared" ca="1" si="71"/>
        <v>0</v>
      </c>
      <c r="JH17" s="34">
        <f t="shared" ca="1" si="71"/>
        <v>0</v>
      </c>
      <c r="JI17" s="34">
        <f t="shared" ca="1" si="71"/>
        <v>0</v>
      </c>
      <c r="JJ17" s="34">
        <f t="shared" ca="1" si="71"/>
        <v>0</v>
      </c>
      <c r="JK17" s="34">
        <f t="shared" ca="1" si="71"/>
        <v>0</v>
      </c>
      <c r="JL17" s="34">
        <f t="shared" ca="1" si="71"/>
        <v>0</v>
      </c>
      <c r="JM17" s="34">
        <f t="shared" ca="1" si="71"/>
        <v>0</v>
      </c>
      <c r="JN17" s="34">
        <f t="shared" ca="1" si="71"/>
        <v>0</v>
      </c>
      <c r="JO17" s="34">
        <f t="shared" ca="1" si="71"/>
        <v>0</v>
      </c>
      <c r="JP17" s="34">
        <f t="shared" ca="1" si="71"/>
        <v>0</v>
      </c>
      <c r="JQ17" s="34">
        <f t="shared" ca="1" si="72"/>
        <v>0</v>
      </c>
      <c r="JR17" s="34">
        <f t="shared" ca="1" si="72"/>
        <v>0</v>
      </c>
      <c r="JS17" s="34">
        <f t="shared" ca="1" si="72"/>
        <v>0</v>
      </c>
      <c r="JT17" s="34">
        <f t="shared" ca="1" si="72"/>
        <v>0</v>
      </c>
      <c r="JU17" s="34">
        <f t="shared" ca="1" si="72"/>
        <v>0</v>
      </c>
      <c r="JV17" s="34">
        <f t="shared" ca="1" si="72"/>
        <v>0</v>
      </c>
      <c r="JW17" s="34">
        <f t="shared" ca="1" si="72"/>
        <v>0</v>
      </c>
      <c r="JX17" s="34">
        <f t="shared" ca="1" si="72"/>
        <v>0</v>
      </c>
      <c r="JY17" s="34">
        <f t="shared" ca="1" si="72"/>
        <v>0</v>
      </c>
      <c r="JZ17" s="34">
        <f t="shared" ca="1" si="72"/>
        <v>0</v>
      </c>
      <c r="KA17" s="34">
        <f t="shared" ca="1" si="73"/>
        <v>0</v>
      </c>
      <c r="KB17" s="34">
        <f t="shared" ca="1" si="73"/>
        <v>0</v>
      </c>
      <c r="KC17" s="34">
        <f t="shared" ca="1" si="73"/>
        <v>0</v>
      </c>
      <c r="KD17" s="34">
        <f t="shared" ca="1" si="73"/>
        <v>0</v>
      </c>
      <c r="KE17" s="34">
        <f t="shared" ca="1" si="73"/>
        <v>0</v>
      </c>
      <c r="KF17" s="34">
        <f t="shared" ca="1" si="73"/>
        <v>0</v>
      </c>
      <c r="KG17" s="34">
        <f t="shared" ca="1" si="73"/>
        <v>0</v>
      </c>
      <c r="KH17" s="34">
        <f t="shared" ca="1" si="73"/>
        <v>0</v>
      </c>
      <c r="KI17" s="34">
        <f t="shared" ca="1" si="73"/>
        <v>0</v>
      </c>
      <c r="KJ17" s="34">
        <f t="shared" ca="1" si="73"/>
        <v>0</v>
      </c>
      <c r="KK17" s="34">
        <f t="shared" ca="1" si="74"/>
        <v>0</v>
      </c>
      <c r="KL17" s="34">
        <f t="shared" ca="1" si="74"/>
        <v>0</v>
      </c>
      <c r="KM17" s="34">
        <f t="shared" ca="1" si="74"/>
        <v>0</v>
      </c>
      <c r="KN17" s="34">
        <f t="shared" ca="1" si="74"/>
        <v>0</v>
      </c>
      <c r="KO17" s="34">
        <f t="shared" ca="1" si="74"/>
        <v>0</v>
      </c>
      <c r="KP17" s="34">
        <f t="shared" ca="1" si="74"/>
        <v>0</v>
      </c>
      <c r="KQ17" s="34">
        <f t="shared" ca="1" si="74"/>
        <v>0</v>
      </c>
      <c r="KR17" s="34">
        <f t="shared" ca="1" si="74"/>
        <v>0</v>
      </c>
      <c r="KS17" s="34">
        <f t="shared" ca="1" si="74"/>
        <v>0</v>
      </c>
      <c r="KT17" s="34">
        <f t="shared" ca="1" si="74"/>
        <v>0</v>
      </c>
      <c r="KU17" s="34">
        <f t="shared" ca="1" si="75"/>
        <v>0</v>
      </c>
      <c r="KV17" s="34">
        <f t="shared" ca="1" si="75"/>
        <v>0</v>
      </c>
      <c r="KW17" s="34">
        <f t="shared" ca="1" si="75"/>
        <v>0</v>
      </c>
      <c r="KX17" s="34">
        <f t="shared" ca="1" si="75"/>
        <v>0</v>
      </c>
      <c r="KY17" s="34">
        <f t="shared" ca="1" si="75"/>
        <v>0</v>
      </c>
      <c r="KZ17" s="34">
        <f t="shared" ca="1" si="75"/>
        <v>0</v>
      </c>
      <c r="LA17" s="34">
        <f t="shared" ca="1" si="75"/>
        <v>0</v>
      </c>
      <c r="LB17" s="34">
        <f t="shared" ca="1" si="75"/>
        <v>0</v>
      </c>
      <c r="LC17" s="34">
        <f t="shared" ca="1" si="75"/>
        <v>0</v>
      </c>
      <c r="LD17" s="34">
        <f t="shared" ca="1" si="75"/>
        <v>0</v>
      </c>
      <c r="LE17" s="34">
        <f t="shared" ca="1" si="76"/>
        <v>0</v>
      </c>
      <c r="LF17" s="34">
        <f t="shared" ca="1" si="76"/>
        <v>0</v>
      </c>
      <c r="LG17" s="34">
        <f t="shared" ca="1" si="76"/>
        <v>0</v>
      </c>
      <c r="LH17" s="34">
        <f t="shared" ca="1" si="76"/>
        <v>0</v>
      </c>
      <c r="LI17" s="34">
        <f t="shared" ca="1" si="76"/>
        <v>0</v>
      </c>
      <c r="LJ17" s="34">
        <f t="shared" ca="1" si="76"/>
        <v>0</v>
      </c>
      <c r="LK17" s="34">
        <f t="shared" ca="1" si="76"/>
        <v>0</v>
      </c>
      <c r="LL17" s="34">
        <f t="shared" ca="1" si="76"/>
        <v>0</v>
      </c>
      <c r="LM17" s="34">
        <f t="shared" ca="1" si="76"/>
        <v>0</v>
      </c>
      <c r="LN17" s="34">
        <f t="shared" ca="1" si="76"/>
        <v>0</v>
      </c>
      <c r="LO17" s="34">
        <f t="shared" ca="1" si="77"/>
        <v>0</v>
      </c>
      <c r="LP17" s="34">
        <f t="shared" ca="1" si="77"/>
        <v>0</v>
      </c>
      <c r="LQ17" s="34">
        <f t="shared" ca="1" si="77"/>
        <v>0</v>
      </c>
      <c r="LR17" s="34">
        <f t="shared" ca="1" si="77"/>
        <v>0</v>
      </c>
      <c r="LS17" s="34">
        <f t="shared" ca="1" si="77"/>
        <v>0</v>
      </c>
      <c r="LT17" s="34">
        <f t="shared" ca="1" si="77"/>
        <v>0</v>
      </c>
      <c r="LU17" s="34">
        <f t="shared" ca="1" si="77"/>
        <v>0</v>
      </c>
      <c r="LV17" s="34">
        <f t="shared" ca="1" si="77"/>
        <v>0</v>
      </c>
      <c r="LW17" s="34">
        <f t="shared" ca="1" si="77"/>
        <v>0</v>
      </c>
      <c r="LX17" s="34">
        <f t="shared" ca="1" si="77"/>
        <v>0</v>
      </c>
      <c r="LY17" s="34">
        <f t="shared" ca="1" si="78"/>
        <v>0</v>
      </c>
      <c r="LZ17" s="34">
        <f t="shared" ca="1" si="78"/>
        <v>0</v>
      </c>
      <c r="MA17" s="34">
        <f t="shared" ca="1" si="78"/>
        <v>0</v>
      </c>
      <c r="MB17" s="34">
        <f t="shared" ca="1" si="78"/>
        <v>0</v>
      </c>
      <c r="MC17" s="34">
        <f t="shared" ca="1" si="78"/>
        <v>0</v>
      </c>
      <c r="MD17" s="34">
        <f t="shared" ca="1" si="78"/>
        <v>0</v>
      </c>
      <c r="ME17" s="34">
        <f t="shared" ca="1" si="78"/>
        <v>0</v>
      </c>
      <c r="MF17" s="34">
        <f t="shared" ca="1" si="78"/>
        <v>0</v>
      </c>
      <c r="MG17" s="34">
        <f t="shared" ca="1" si="78"/>
        <v>0</v>
      </c>
      <c r="MH17" s="34">
        <f t="shared" ca="1" si="78"/>
        <v>0</v>
      </c>
      <c r="MI17" s="34">
        <f t="shared" ca="1" si="79"/>
        <v>0</v>
      </c>
      <c r="MJ17" s="34">
        <f t="shared" ca="1" si="79"/>
        <v>0</v>
      </c>
      <c r="MK17" s="34">
        <f t="shared" ca="1" si="79"/>
        <v>0</v>
      </c>
      <c r="ML17" s="34">
        <f t="shared" ca="1" si="79"/>
        <v>0</v>
      </c>
      <c r="MM17" s="34">
        <f t="shared" ca="1" si="79"/>
        <v>0</v>
      </c>
      <c r="MN17" s="34">
        <f t="shared" ca="1" si="79"/>
        <v>0</v>
      </c>
      <c r="MO17" s="34">
        <f t="shared" ca="1" si="79"/>
        <v>0</v>
      </c>
      <c r="MP17" s="34">
        <f t="shared" ca="1" si="79"/>
        <v>0</v>
      </c>
      <c r="MQ17" s="34">
        <f t="shared" ca="1" si="79"/>
        <v>0</v>
      </c>
      <c r="MR17" s="34">
        <f t="shared" ca="1" si="79"/>
        <v>0</v>
      </c>
      <c r="MS17" s="34">
        <f t="shared" ca="1" si="80"/>
        <v>0</v>
      </c>
      <c r="MT17" s="34">
        <f t="shared" ca="1" si="80"/>
        <v>0</v>
      </c>
      <c r="MU17" s="34">
        <f t="shared" ca="1" si="80"/>
        <v>0</v>
      </c>
      <c r="MV17" s="34">
        <f t="shared" ca="1" si="80"/>
        <v>0</v>
      </c>
      <c r="MW17" s="34">
        <f t="shared" ca="1" si="80"/>
        <v>0</v>
      </c>
      <c r="MX17" s="34">
        <f t="shared" ca="1" si="80"/>
        <v>0</v>
      </c>
      <c r="MY17" s="34">
        <f t="shared" ca="1" si="80"/>
        <v>0</v>
      </c>
      <c r="MZ17" s="34">
        <f t="shared" ca="1" si="80"/>
        <v>0</v>
      </c>
      <c r="NA17" s="34">
        <f t="shared" ca="1" si="80"/>
        <v>0</v>
      </c>
      <c r="NB17" s="34">
        <f t="shared" ca="1" si="80"/>
        <v>0</v>
      </c>
      <c r="NC17" s="34">
        <f t="shared" ca="1" si="81"/>
        <v>0</v>
      </c>
      <c r="ND17" s="34">
        <f t="shared" ca="1" si="81"/>
        <v>0</v>
      </c>
      <c r="NE17" s="34">
        <f t="shared" ca="1" si="81"/>
        <v>0</v>
      </c>
      <c r="NF17" s="34">
        <f t="shared" ca="1" si="81"/>
        <v>0</v>
      </c>
      <c r="NG17" s="34">
        <f t="shared" ca="1" si="81"/>
        <v>0</v>
      </c>
      <c r="NH17" s="34">
        <f t="shared" ca="1" si="81"/>
        <v>0</v>
      </c>
      <c r="NI17" s="34">
        <f t="shared" ca="1" si="81"/>
        <v>0</v>
      </c>
      <c r="NJ17" s="34">
        <f t="shared" ca="1" si="81"/>
        <v>0</v>
      </c>
      <c r="NK17" s="34">
        <f t="shared" ca="1" si="81"/>
        <v>0</v>
      </c>
      <c r="NL17" s="34">
        <f t="shared" ca="1" si="81"/>
        <v>0</v>
      </c>
      <c r="NM17" s="34">
        <f t="shared" ca="1" si="82"/>
        <v>0</v>
      </c>
      <c r="NN17" s="34">
        <f t="shared" ca="1" si="82"/>
        <v>0</v>
      </c>
      <c r="NO17" s="34">
        <f t="shared" ca="1" si="82"/>
        <v>0</v>
      </c>
      <c r="NP17" s="34">
        <f t="shared" ca="1" si="82"/>
        <v>0</v>
      </c>
      <c r="NQ17" s="34">
        <f t="shared" ca="1" si="82"/>
        <v>0</v>
      </c>
      <c r="NR17" s="34">
        <f t="shared" ca="1" si="82"/>
        <v>0</v>
      </c>
      <c r="NS17" s="34">
        <f t="shared" ca="1" si="82"/>
        <v>0</v>
      </c>
      <c r="NT17" s="34">
        <f t="shared" ca="1" si="82"/>
        <v>0</v>
      </c>
      <c r="NU17" s="34">
        <f t="shared" ca="1" si="82"/>
        <v>0</v>
      </c>
      <c r="NV17" s="34">
        <f t="shared" ca="1" si="82"/>
        <v>0</v>
      </c>
      <c r="NW17" s="34">
        <f t="shared" ca="1" si="83"/>
        <v>0</v>
      </c>
      <c r="NX17" s="34">
        <f t="shared" ca="1" si="83"/>
        <v>0</v>
      </c>
      <c r="NY17" s="34">
        <f t="shared" ca="1" si="83"/>
        <v>0</v>
      </c>
      <c r="NZ17" s="34">
        <f t="shared" ca="1" si="83"/>
        <v>0</v>
      </c>
      <c r="OA17" s="34">
        <f t="shared" ca="1" si="83"/>
        <v>0</v>
      </c>
      <c r="OB17" s="34">
        <f t="shared" ca="1" si="83"/>
        <v>0</v>
      </c>
      <c r="OC17" s="34">
        <f t="shared" ca="1" si="83"/>
        <v>0</v>
      </c>
      <c r="OD17" s="34">
        <f t="shared" ca="1" si="83"/>
        <v>0</v>
      </c>
      <c r="OE17" s="34">
        <f t="shared" ca="1" si="83"/>
        <v>0</v>
      </c>
      <c r="OF17" s="34">
        <f t="shared" ca="1" si="83"/>
        <v>0</v>
      </c>
      <c r="OG17" s="34">
        <f t="shared" ca="1" si="84"/>
        <v>0</v>
      </c>
      <c r="OH17" s="34">
        <f t="shared" ca="1" si="84"/>
        <v>0</v>
      </c>
      <c r="OI17" s="34">
        <f t="shared" ca="1" si="84"/>
        <v>0</v>
      </c>
      <c r="OJ17" s="34">
        <f t="shared" ca="1" si="84"/>
        <v>0</v>
      </c>
      <c r="OK17" s="34">
        <f t="shared" ca="1" si="84"/>
        <v>0</v>
      </c>
      <c r="OL17" s="34">
        <f t="shared" ca="1" si="84"/>
        <v>0</v>
      </c>
      <c r="OM17" s="34">
        <f t="shared" ca="1" si="84"/>
        <v>0</v>
      </c>
      <c r="ON17" s="34">
        <f t="shared" ca="1" si="84"/>
        <v>0</v>
      </c>
      <c r="OO17" s="34">
        <f t="shared" ca="1" si="84"/>
        <v>0</v>
      </c>
      <c r="OP17" s="34">
        <f t="shared" ca="1" si="84"/>
        <v>0</v>
      </c>
      <c r="OQ17" s="34">
        <f t="shared" ca="1" si="85"/>
        <v>0</v>
      </c>
      <c r="OR17" s="34">
        <f t="shared" ca="1" si="85"/>
        <v>0</v>
      </c>
      <c r="OS17" s="34">
        <f t="shared" ca="1" si="85"/>
        <v>0</v>
      </c>
      <c r="OT17" s="34">
        <f t="shared" ca="1" si="85"/>
        <v>0</v>
      </c>
      <c r="OU17" s="34">
        <f t="shared" ca="1" si="85"/>
        <v>0</v>
      </c>
      <c r="OV17" s="34">
        <f t="shared" ca="1" si="85"/>
        <v>0</v>
      </c>
      <c r="OW17" s="34">
        <f t="shared" ca="1" si="85"/>
        <v>0</v>
      </c>
      <c r="OX17" s="34">
        <f t="shared" ca="1" si="85"/>
        <v>0</v>
      </c>
      <c r="OY17" s="34">
        <f t="shared" ca="1" si="85"/>
        <v>0</v>
      </c>
      <c r="OZ17" s="34">
        <f t="shared" ca="1" si="85"/>
        <v>0</v>
      </c>
      <c r="PA17" s="34">
        <f t="shared" ca="1" si="86"/>
        <v>0</v>
      </c>
      <c r="PB17" s="34">
        <f t="shared" ca="1" si="86"/>
        <v>0</v>
      </c>
      <c r="PC17" s="34">
        <f t="shared" ca="1" si="86"/>
        <v>0</v>
      </c>
      <c r="PD17" s="34">
        <f t="shared" ca="1" si="86"/>
        <v>0</v>
      </c>
      <c r="PE17" s="34">
        <f t="shared" ca="1" si="86"/>
        <v>0</v>
      </c>
      <c r="PF17" s="34">
        <f t="shared" ca="1" si="86"/>
        <v>0</v>
      </c>
      <c r="PG17" s="34">
        <f t="shared" ca="1" si="86"/>
        <v>0</v>
      </c>
      <c r="PH17" s="34">
        <f t="shared" ca="1" si="86"/>
        <v>0</v>
      </c>
      <c r="PI17" s="34">
        <f t="shared" ca="1" si="86"/>
        <v>0</v>
      </c>
      <c r="PJ17" s="34">
        <f t="shared" ca="1" si="86"/>
        <v>0</v>
      </c>
      <c r="PK17" s="34">
        <f t="shared" ca="1" si="87"/>
        <v>0</v>
      </c>
      <c r="PL17" s="34">
        <f t="shared" ca="1" si="87"/>
        <v>0</v>
      </c>
      <c r="PM17" s="34">
        <f t="shared" ca="1" si="87"/>
        <v>0</v>
      </c>
      <c r="PN17" s="34">
        <f t="shared" ca="1" si="87"/>
        <v>0</v>
      </c>
      <c r="PO17" s="34">
        <f t="shared" ca="1" si="87"/>
        <v>0</v>
      </c>
      <c r="PP17" s="34">
        <f t="shared" ca="1" si="87"/>
        <v>0</v>
      </c>
      <c r="PQ17" s="34">
        <f t="shared" ca="1" si="87"/>
        <v>0</v>
      </c>
      <c r="PR17" s="34">
        <f t="shared" ca="1" si="87"/>
        <v>0</v>
      </c>
      <c r="PS17" s="34">
        <f t="shared" ca="1" si="87"/>
        <v>0</v>
      </c>
      <c r="PT17" s="34">
        <f t="shared" ca="1" si="87"/>
        <v>0</v>
      </c>
      <c r="PU17" s="34">
        <f t="shared" ca="1" si="88"/>
        <v>0</v>
      </c>
      <c r="PV17" s="34">
        <f t="shared" ca="1" si="88"/>
        <v>0</v>
      </c>
      <c r="PW17" s="34">
        <f t="shared" ca="1" si="88"/>
        <v>0</v>
      </c>
      <c r="PX17" s="34">
        <f t="shared" ca="1" si="88"/>
        <v>0</v>
      </c>
      <c r="PY17" s="34">
        <f t="shared" ca="1" si="88"/>
        <v>0</v>
      </c>
      <c r="PZ17" s="34">
        <f t="shared" ca="1" si="88"/>
        <v>0</v>
      </c>
      <c r="QA17" s="34">
        <f t="shared" ca="1" si="88"/>
        <v>0</v>
      </c>
      <c r="QB17" s="34">
        <f t="shared" ca="1" si="88"/>
        <v>0</v>
      </c>
      <c r="QC17" s="34">
        <f t="shared" ca="1" si="88"/>
        <v>0</v>
      </c>
      <c r="QD17" s="34">
        <f t="shared" ca="1" si="88"/>
        <v>0</v>
      </c>
      <c r="QE17" s="34">
        <f t="shared" ca="1" si="89"/>
        <v>0</v>
      </c>
      <c r="QF17" s="34">
        <f t="shared" ca="1" si="89"/>
        <v>0</v>
      </c>
      <c r="QG17" s="34">
        <f t="shared" ca="1" si="89"/>
        <v>0</v>
      </c>
      <c r="QH17" s="34">
        <f t="shared" ca="1" si="89"/>
        <v>0</v>
      </c>
      <c r="QI17" s="34">
        <f t="shared" ca="1" si="89"/>
        <v>0</v>
      </c>
      <c r="QJ17" s="34">
        <f t="shared" ca="1" si="89"/>
        <v>0</v>
      </c>
      <c r="QK17" s="34">
        <f t="shared" ca="1" si="89"/>
        <v>0</v>
      </c>
      <c r="QL17" s="34">
        <f t="shared" ca="1" si="89"/>
        <v>0</v>
      </c>
      <c r="QM17" s="34">
        <f t="shared" ca="1" si="89"/>
        <v>0</v>
      </c>
      <c r="QN17" s="34">
        <f t="shared" ca="1" si="89"/>
        <v>0</v>
      </c>
      <c r="QO17" s="34">
        <f t="shared" ca="1" si="90"/>
        <v>0</v>
      </c>
      <c r="QP17" s="34">
        <f t="shared" ca="1" si="90"/>
        <v>0</v>
      </c>
      <c r="QQ17" s="34">
        <f t="shared" ca="1" si="90"/>
        <v>0</v>
      </c>
      <c r="QR17" s="34">
        <f t="shared" ca="1" si="90"/>
        <v>0</v>
      </c>
      <c r="QS17" s="34">
        <f t="shared" ca="1" si="90"/>
        <v>0</v>
      </c>
      <c r="QT17" s="34">
        <f t="shared" ca="1" si="90"/>
        <v>0</v>
      </c>
      <c r="QU17" s="34">
        <f t="shared" ca="1" si="90"/>
        <v>0</v>
      </c>
      <c r="QV17" s="34">
        <f t="shared" ca="1" si="90"/>
        <v>0</v>
      </c>
      <c r="QW17" s="34">
        <f t="shared" ca="1" si="90"/>
        <v>0</v>
      </c>
      <c r="QX17" s="34">
        <f t="shared" ca="1" si="90"/>
        <v>0</v>
      </c>
      <c r="QY17" s="34">
        <f t="shared" ca="1" si="91"/>
        <v>0</v>
      </c>
      <c r="QZ17" s="34">
        <f t="shared" ca="1" si="91"/>
        <v>0</v>
      </c>
      <c r="RA17" s="34">
        <f t="shared" ca="1" si="91"/>
        <v>0</v>
      </c>
      <c r="RB17" s="34">
        <f t="shared" ca="1" si="91"/>
        <v>0</v>
      </c>
      <c r="RC17" s="34">
        <f t="shared" ca="1" si="91"/>
        <v>0</v>
      </c>
      <c r="RD17" s="34">
        <f t="shared" ca="1" si="91"/>
        <v>0</v>
      </c>
      <c r="RE17" s="34">
        <f t="shared" ca="1" si="91"/>
        <v>0</v>
      </c>
      <c r="RF17" s="34">
        <f t="shared" ca="1" si="91"/>
        <v>0</v>
      </c>
      <c r="RG17" s="34">
        <f t="shared" ca="1" si="91"/>
        <v>0</v>
      </c>
      <c r="RH17" s="34">
        <f t="shared" ca="1" si="91"/>
        <v>0</v>
      </c>
      <c r="RI17" s="34">
        <f t="shared" ca="1" si="92"/>
        <v>0</v>
      </c>
      <c r="RJ17" s="34">
        <f t="shared" ca="1" si="92"/>
        <v>0</v>
      </c>
      <c r="RK17" s="34">
        <f t="shared" ca="1" si="92"/>
        <v>0</v>
      </c>
      <c r="RL17" s="34">
        <f t="shared" ca="1" si="92"/>
        <v>0</v>
      </c>
      <c r="RM17" s="34">
        <f t="shared" ca="1" si="92"/>
        <v>0</v>
      </c>
      <c r="RN17" s="34">
        <f t="shared" ca="1" si="92"/>
        <v>0</v>
      </c>
      <c r="RO17" s="34">
        <f t="shared" ca="1" si="92"/>
        <v>0</v>
      </c>
      <c r="RP17" s="34">
        <f t="shared" ca="1" si="92"/>
        <v>0</v>
      </c>
      <c r="RQ17" s="34">
        <f t="shared" ca="1" si="92"/>
        <v>0</v>
      </c>
      <c r="RR17" s="34">
        <f t="shared" ca="1" si="92"/>
        <v>0</v>
      </c>
      <c r="RS17" s="34">
        <f t="shared" ca="1" si="93"/>
        <v>0</v>
      </c>
      <c r="RT17" s="34">
        <f t="shared" ca="1" si="93"/>
        <v>0</v>
      </c>
      <c r="RU17" s="34">
        <f t="shared" ca="1" si="93"/>
        <v>0</v>
      </c>
      <c r="RV17" s="34">
        <f t="shared" ca="1" si="93"/>
        <v>0</v>
      </c>
      <c r="RW17" s="34">
        <f t="shared" ca="1" si="93"/>
        <v>0</v>
      </c>
      <c r="RX17" s="34">
        <f t="shared" ca="1" si="93"/>
        <v>0</v>
      </c>
      <c r="RY17" s="34">
        <f t="shared" ca="1" si="93"/>
        <v>0</v>
      </c>
      <c r="RZ17" s="34">
        <f t="shared" ca="1" si="93"/>
        <v>0</v>
      </c>
      <c r="SA17" s="34">
        <f t="shared" ca="1" si="93"/>
        <v>0</v>
      </c>
      <c r="SB17" s="34">
        <f t="shared" ca="1" si="93"/>
        <v>0</v>
      </c>
      <c r="SC17" s="34">
        <f t="shared" ca="1" si="94"/>
        <v>0</v>
      </c>
      <c r="SD17" s="34">
        <f t="shared" ca="1" si="94"/>
        <v>0</v>
      </c>
      <c r="SE17" s="34">
        <f t="shared" ca="1" si="94"/>
        <v>0</v>
      </c>
      <c r="SF17" s="34">
        <f t="shared" ca="1" si="94"/>
        <v>0</v>
      </c>
      <c r="SG17" s="34">
        <f t="shared" ca="1" si="94"/>
        <v>0</v>
      </c>
      <c r="SH17" s="34">
        <f t="shared" ca="1" si="94"/>
        <v>0</v>
      </c>
      <c r="SI17" s="34">
        <f t="shared" ca="1" si="94"/>
        <v>0</v>
      </c>
      <c r="SJ17" s="34">
        <f t="shared" ca="1" si="94"/>
        <v>0</v>
      </c>
      <c r="SK17" s="34">
        <f t="shared" ca="1" si="94"/>
        <v>0</v>
      </c>
      <c r="SL17" s="34">
        <f t="shared" ca="1" si="94"/>
        <v>0</v>
      </c>
      <c r="SM17" s="34">
        <f t="shared" ca="1" si="95"/>
        <v>0</v>
      </c>
      <c r="SN17" s="34">
        <f t="shared" ca="1" si="95"/>
        <v>0</v>
      </c>
      <c r="SO17" s="34">
        <f t="shared" ca="1" si="95"/>
        <v>0</v>
      </c>
      <c r="SP17" s="34">
        <f t="shared" ca="1" si="95"/>
        <v>0</v>
      </c>
      <c r="SQ17" s="34">
        <f t="shared" ca="1" si="95"/>
        <v>0</v>
      </c>
      <c r="SR17" s="34">
        <f t="shared" ca="1" si="95"/>
        <v>0</v>
      </c>
      <c r="SS17" s="34">
        <f t="shared" ca="1" si="95"/>
        <v>0</v>
      </c>
      <c r="ST17" s="34">
        <f t="shared" ca="1" si="95"/>
        <v>0</v>
      </c>
      <c r="SU17" s="34">
        <f t="shared" ca="1" si="95"/>
        <v>0</v>
      </c>
      <c r="SV17" s="34">
        <f t="shared" ca="1" si="95"/>
        <v>0</v>
      </c>
      <c r="SW17" s="34">
        <f t="shared" ca="1" si="96"/>
        <v>0</v>
      </c>
      <c r="SX17" s="34">
        <f t="shared" ca="1" si="96"/>
        <v>0</v>
      </c>
      <c r="SY17" s="34">
        <f t="shared" ca="1" si="96"/>
        <v>0</v>
      </c>
      <c r="SZ17" s="34">
        <f t="shared" ca="1" si="96"/>
        <v>0</v>
      </c>
      <c r="TA17" s="34">
        <f t="shared" ca="1" si="96"/>
        <v>0</v>
      </c>
      <c r="TB17" s="34">
        <f t="shared" ca="1" si="96"/>
        <v>0</v>
      </c>
      <c r="TC17" s="34">
        <f t="shared" ca="1" si="96"/>
        <v>0</v>
      </c>
      <c r="TD17" s="34">
        <f t="shared" ca="1" si="96"/>
        <v>0</v>
      </c>
      <c r="TE17" s="34">
        <f t="shared" ca="1" si="96"/>
        <v>0</v>
      </c>
      <c r="TF17" s="34">
        <f t="shared" ca="1" si="96"/>
        <v>0</v>
      </c>
      <c r="TG17" s="34">
        <f t="shared" ca="1" si="97"/>
        <v>0</v>
      </c>
      <c r="TH17" s="34">
        <f t="shared" ca="1" si="97"/>
        <v>0</v>
      </c>
      <c r="TI17" s="34">
        <f t="shared" ca="1" si="97"/>
        <v>0</v>
      </c>
      <c r="TJ17" s="34">
        <f t="shared" ca="1" si="97"/>
        <v>0</v>
      </c>
      <c r="TK17" s="34">
        <f t="shared" ca="1" si="97"/>
        <v>0</v>
      </c>
      <c r="TL17" s="34">
        <f t="shared" ca="1" si="97"/>
        <v>0</v>
      </c>
      <c r="TM17" s="34">
        <f t="shared" ca="1" si="97"/>
        <v>0</v>
      </c>
      <c r="TN17" s="34">
        <f t="shared" ca="1" si="97"/>
        <v>0</v>
      </c>
      <c r="TO17" s="34">
        <f t="shared" ca="1" si="97"/>
        <v>0</v>
      </c>
      <c r="TP17" s="34">
        <f t="shared" ca="1" si="97"/>
        <v>0</v>
      </c>
      <c r="TQ17" s="34">
        <f t="shared" ca="1" si="98"/>
        <v>0</v>
      </c>
      <c r="TR17" s="34">
        <f t="shared" ca="1" si="98"/>
        <v>0</v>
      </c>
      <c r="TS17" s="34">
        <f t="shared" ca="1" si="98"/>
        <v>0</v>
      </c>
      <c r="TT17" s="34">
        <f t="shared" ca="1" si="98"/>
        <v>0</v>
      </c>
      <c r="TU17" s="34">
        <f t="shared" ca="1" si="98"/>
        <v>0</v>
      </c>
      <c r="TV17" s="34">
        <f t="shared" ca="1" si="98"/>
        <v>0</v>
      </c>
      <c r="TW17" s="34">
        <f t="shared" ca="1" si="98"/>
        <v>0</v>
      </c>
      <c r="TX17" s="34">
        <f t="shared" ca="1" si="98"/>
        <v>0</v>
      </c>
      <c r="TY17" s="34">
        <f t="shared" ca="1" si="98"/>
        <v>0</v>
      </c>
      <c r="TZ17" s="34">
        <f t="shared" ca="1" si="98"/>
        <v>0</v>
      </c>
      <c r="UA17" s="34">
        <f t="shared" ca="1" si="99"/>
        <v>0</v>
      </c>
      <c r="UB17" s="34">
        <f t="shared" ca="1" si="99"/>
        <v>0</v>
      </c>
      <c r="UC17" s="34">
        <f t="shared" ca="1" si="99"/>
        <v>0</v>
      </c>
      <c r="UD17" s="34">
        <f t="shared" ca="1" si="99"/>
        <v>0</v>
      </c>
      <c r="UE17" s="34">
        <f t="shared" ca="1" si="99"/>
        <v>0</v>
      </c>
      <c r="UF17" s="34">
        <f t="shared" ca="1" si="99"/>
        <v>0</v>
      </c>
      <c r="UG17" s="34">
        <f t="shared" ca="1" si="99"/>
        <v>0</v>
      </c>
      <c r="UH17" s="34">
        <f t="shared" ca="1" si="99"/>
        <v>0</v>
      </c>
      <c r="UI17" s="34">
        <f t="shared" ca="1" si="99"/>
        <v>0</v>
      </c>
      <c r="UJ17" s="34">
        <f t="shared" ca="1" si="99"/>
        <v>0</v>
      </c>
      <c r="UK17" s="34">
        <f t="shared" ca="1" si="100"/>
        <v>0</v>
      </c>
      <c r="UL17" s="34">
        <f t="shared" ca="1" si="100"/>
        <v>0</v>
      </c>
      <c r="UM17" s="34">
        <f t="shared" ca="1" si="100"/>
        <v>0</v>
      </c>
      <c r="UN17" s="34">
        <f t="shared" ca="1" si="100"/>
        <v>0</v>
      </c>
      <c r="UO17" s="34">
        <f t="shared" ca="1" si="100"/>
        <v>0</v>
      </c>
      <c r="UP17" s="34">
        <f t="shared" ca="1" si="100"/>
        <v>0</v>
      </c>
      <c r="UQ17" s="34">
        <f t="shared" ca="1" si="100"/>
        <v>0</v>
      </c>
      <c r="UR17" s="34">
        <f t="shared" ca="1" si="100"/>
        <v>0</v>
      </c>
      <c r="US17" s="34">
        <f t="shared" ca="1" si="100"/>
        <v>0</v>
      </c>
      <c r="UT17" s="34">
        <f t="shared" ca="1" si="100"/>
        <v>0</v>
      </c>
      <c r="UU17" s="34">
        <f t="shared" ca="1" si="101"/>
        <v>0</v>
      </c>
      <c r="UV17" s="34">
        <f t="shared" ca="1" si="101"/>
        <v>0</v>
      </c>
      <c r="UW17" s="34">
        <f t="shared" ca="1" si="101"/>
        <v>0</v>
      </c>
      <c r="UX17" s="34">
        <f t="shared" ca="1" si="101"/>
        <v>0</v>
      </c>
      <c r="UY17" s="34">
        <f t="shared" ca="1" si="101"/>
        <v>0</v>
      </c>
      <c r="UZ17" s="34">
        <f t="shared" ca="1" si="101"/>
        <v>0</v>
      </c>
      <c r="VA17" s="34">
        <f t="shared" ca="1" si="101"/>
        <v>0</v>
      </c>
      <c r="VB17" s="34">
        <f t="shared" ca="1" si="101"/>
        <v>0</v>
      </c>
      <c r="VC17" s="34">
        <f t="shared" ca="1" si="101"/>
        <v>0</v>
      </c>
      <c r="VD17" s="34">
        <f t="shared" ca="1" si="101"/>
        <v>0</v>
      </c>
      <c r="VE17" s="34">
        <f t="shared" ca="1" si="102"/>
        <v>0</v>
      </c>
      <c r="VF17" s="34">
        <f t="shared" ca="1" si="102"/>
        <v>0</v>
      </c>
      <c r="VG17" s="34">
        <f t="shared" ca="1" si="102"/>
        <v>0</v>
      </c>
      <c r="VH17" s="34">
        <f t="shared" ca="1" si="102"/>
        <v>0</v>
      </c>
      <c r="VI17" s="34">
        <f t="shared" ca="1" si="102"/>
        <v>0</v>
      </c>
      <c r="VJ17" s="34">
        <f t="shared" ca="1" si="102"/>
        <v>0</v>
      </c>
      <c r="VK17" s="34">
        <f t="shared" ca="1" si="102"/>
        <v>0</v>
      </c>
      <c r="VL17" s="34">
        <f t="shared" ca="1" si="102"/>
        <v>0</v>
      </c>
      <c r="VM17" s="34">
        <f t="shared" ca="1" si="102"/>
        <v>0</v>
      </c>
      <c r="VN17" s="34">
        <f t="shared" ca="1" si="102"/>
        <v>0</v>
      </c>
      <c r="VO17" s="34">
        <f t="shared" ca="1" si="103"/>
        <v>0</v>
      </c>
      <c r="VP17" s="34">
        <f t="shared" ca="1" si="103"/>
        <v>0</v>
      </c>
      <c r="VQ17" s="34">
        <f t="shared" ca="1" si="103"/>
        <v>0</v>
      </c>
      <c r="VR17" s="34">
        <f t="shared" ca="1" si="103"/>
        <v>0</v>
      </c>
      <c r="VS17" s="34">
        <f t="shared" ca="1" si="103"/>
        <v>0</v>
      </c>
      <c r="VT17" s="34">
        <f t="shared" ca="1" si="103"/>
        <v>0</v>
      </c>
      <c r="VU17" s="34">
        <f t="shared" ca="1" si="103"/>
        <v>0</v>
      </c>
      <c r="VV17" s="34">
        <f t="shared" ca="1" si="103"/>
        <v>0</v>
      </c>
      <c r="VW17" s="34">
        <f t="shared" ca="1" si="103"/>
        <v>0</v>
      </c>
      <c r="VX17" s="34">
        <f t="shared" ca="1" si="103"/>
        <v>0</v>
      </c>
      <c r="VY17" s="34">
        <f t="shared" ca="1" si="104"/>
        <v>0</v>
      </c>
      <c r="VZ17" s="34">
        <f t="shared" ca="1" si="104"/>
        <v>0</v>
      </c>
      <c r="WA17" s="34">
        <f t="shared" ca="1" si="104"/>
        <v>0</v>
      </c>
      <c r="WB17" s="34">
        <f t="shared" ca="1" si="104"/>
        <v>0</v>
      </c>
      <c r="WC17" s="34">
        <f t="shared" ca="1" si="104"/>
        <v>0</v>
      </c>
      <c r="WD17" s="34">
        <f t="shared" ca="1" si="104"/>
        <v>0</v>
      </c>
      <c r="WE17" s="34">
        <f t="shared" ca="1" si="104"/>
        <v>0</v>
      </c>
      <c r="WF17" s="34">
        <f t="shared" ca="1" si="104"/>
        <v>0</v>
      </c>
      <c r="WG17" s="34">
        <f t="shared" ca="1" si="104"/>
        <v>0</v>
      </c>
      <c r="WH17" s="34">
        <f t="shared" ca="1" si="104"/>
        <v>0</v>
      </c>
      <c r="WI17" s="34">
        <f t="shared" ca="1" si="105"/>
        <v>0</v>
      </c>
      <c r="WJ17" s="34">
        <f t="shared" ca="1" si="105"/>
        <v>0</v>
      </c>
      <c r="WK17" s="34">
        <f t="shared" ca="1" si="105"/>
        <v>0</v>
      </c>
      <c r="WL17" s="34">
        <f t="shared" ca="1" si="105"/>
        <v>0</v>
      </c>
      <c r="WM17" s="34">
        <f t="shared" ca="1" si="105"/>
        <v>0</v>
      </c>
      <c r="WN17" s="34">
        <f t="shared" ca="1" si="105"/>
        <v>0</v>
      </c>
      <c r="WO17" s="34">
        <f t="shared" ca="1" si="105"/>
        <v>0</v>
      </c>
      <c r="WP17" s="34">
        <f t="shared" ca="1" si="105"/>
        <v>0</v>
      </c>
      <c r="WQ17" s="34">
        <f t="shared" ca="1" si="105"/>
        <v>0</v>
      </c>
      <c r="WR17" s="34">
        <f t="shared" ca="1" si="105"/>
        <v>0</v>
      </c>
      <c r="WS17" s="34">
        <f t="shared" ca="1" si="106"/>
        <v>0</v>
      </c>
      <c r="WT17" s="34">
        <f t="shared" ca="1" si="106"/>
        <v>0</v>
      </c>
      <c r="WU17" s="34">
        <f t="shared" ca="1" si="106"/>
        <v>0</v>
      </c>
      <c r="WV17" s="34">
        <f t="shared" ca="1" si="106"/>
        <v>0</v>
      </c>
      <c r="WW17" s="34">
        <f t="shared" ca="1" si="106"/>
        <v>0</v>
      </c>
      <c r="WX17" s="34">
        <f t="shared" ca="1" si="106"/>
        <v>0</v>
      </c>
      <c r="WY17" s="34">
        <f t="shared" ca="1" si="106"/>
        <v>0</v>
      </c>
      <c r="WZ17" s="34">
        <f t="shared" ca="1" si="106"/>
        <v>0</v>
      </c>
      <c r="XA17" s="34">
        <f t="shared" ca="1" si="106"/>
        <v>0</v>
      </c>
      <c r="XB17" s="34">
        <f t="shared" ca="1" si="106"/>
        <v>0</v>
      </c>
      <c r="XC17" s="34">
        <f t="shared" ca="1" si="107"/>
        <v>0</v>
      </c>
      <c r="XD17" s="34">
        <f t="shared" ca="1" si="107"/>
        <v>0</v>
      </c>
      <c r="XE17" s="34">
        <f t="shared" ca="1" si="107"/>
        <v>0</v>
      </c>
      <c r="XF17" s="34">
        <f t="shared" ca="1" si="107"/>
        <v>0</v>
      </c>
      <c r="XG17" s="34">
        <f t="shared" ca="1" si="107"/>
        <v>0</v>
      </c>
      <c r="XH17" s="34">
        <f t="shared" ca="1" si="107"/>
        <v>0</v>
      </c>
      <c r="XI17" s="34">
        <f t="shared" ca="1" si="107"/>
        <v>0</v>
      </c>
      <c r="XJ17" s="34">
        <f t="shared" ca="1" si="107"/>
        <v>0</v>
      </c>
      <c r="XK17" s="34">
        <f t="shared" ca="1" si="107"/>
        <v>0</v>
      </c>
      <c r="XL17" s="34">
        <f t="shared" ca="1" si="107"/>
        <v>0</v>
      </c>
      <c r="XM17" s="34">
        <f t="shared" ca="1" si="108"/>
        <v>0</v>
      </c>
      <c r="XN17" s="34">
        <f t="shared" ca="1" si="108"/>
        <v>0</v>
      </c>
      <c r="XO17" s="34">
        <f t="shared" ca="1" si="108"/>
        <v>0</v>
      </c>
      <c r="XP17" s="34">
        <f t="shared" ca="1" si="108"/>
        <v>0</v>
      </c>
      <c r="XQ17" s="34">
        <f t="shared" ca="1" si="108"/>
        <v>0</v>
      </c>
      <c r="XR17" s="34">
        <f t="shared" ca="1" si="108"/>
        <v>0</v>
      </c>
      <c r="XS17" s="34">
        <f t="shared" ca="1" si="108"/>
        <v>0</v>
      </c>
      <c r="XT17" s="34">
        <f t="shared" ca="1" si="108"/>
        <v>0</v>
      </c>
      <c r="XU17" s="34">
        <f t="shared" ca="1" si="108"/>
        <v>0</v>
      </c>
      <c r="XV17" s="34">
        <f t="shared" ca="1" si="108"/>
        <v>0</v>
      </c>
      <c r="XW17" s="34">
        <f t="shared" ca="1" si="109"/>
        <v>0</v>
      </c>
      <c r="XX17" s="34">
        <f t="shared" ca="1" si="109"/>
        <v>0</v>
      </c>
      <c r="XY17" s="34">
        <f t="shared" ca="1" si="109"/>
        <v>0</v>
      </c>
      <c r="XZ17" s="34">
        <f t="shared" ca="1" si="109"/>
        <v>0</v>
      </c>
      <c r="YA17" s="34">
        <f t="shared" ca="1" si="109"/>
        <v>0</v>
      </c>
      <c r="YB17" s="34">
        <f t="shared" ca="1" si="109"/>
        <v>0</v>
      </c>
      <c r="YC17" s="34">
        <f t="shared" ca="1" si="109"/>
        <v>0</v>
      </c>
      <c r="YD17" s="34">
        <f t="shared" ca="1" si="109"/>
        <v>0</v>
      </c>
      <c r="YE17" s="34">
        <f t="shared" ca="1" si="109"/>
        <v>0</v>
      </c>
      <c r="YF17" s="34">
        <f t="shared" ca="1" si="109"/>
        <v>0</v>
      </c>
      <c r="YG17" s="34">
        <f t="shared" ca="1" si="110"/>
        <v>0</v>
      </c>
      <c r="YH17" s="34">
        <f t="shared" ca="1" si="110"/>
        <v>0</v>
      </c>
      <c r="YI17" s="34">
        <f t="shared" ca="1" si="110"/>
        <v>0</v>
      </c>
      <c r="YJ17" s="34">
        <f t="shared" ca="1" si="110"/>
        <v>0</v>
      </c>
      <c r="YK17" s="34">
        <f t="shared" ca="1" si="110"/>
        <v>0</v>
      </c>
      <c r="YL17" s="34">
        <f t="shared" ca="1" si="110"/>
        <v>0</v>
      </c>
      <c r="YM17" s="34">
        <f t="shared" ca="1" si="110"/>
        <v>0</v>
      </c>
      <c r="YN17" s="34">
        <f t="shared" ca="1" si="110"/>
        <v>0</v>
      </c>
      <c r="YO17" s="34">
        <f t="shared" ca="1" si="110"/>
        <v>0</v>
      </c>
      <c r="YP17" s="34">
        <f t="shared" ca="1" si="110"/>
        <v>0</v>
      </c>
      <c r="YQ17" s="34">
        <f t="shared" ca="1" si="111"/>
        <v>0</v>
      </c>
      <c r="YR17" s="34">
        <f t="shared" ca="1" si="111"/>
        <v>0</v>
      </c>
      <c r="YS17" s="34">
        <f t="shared" ca="1" si="111"/>
        <v>0</v>
      </c>
      <c r="YT17" s="34">
        <f t="shared" ca="1" si="111"/>
        <v>0</v>
      </c>
      <c r="YU17" s="34">
        <f t="shared" ca="1" si="111"/>
        <v>0</v>
      </c>
      <c r="YV17" s="34">
        <f t="shared" ca="1" si="111"/>
        <v>0</v>
      </c>
      <c r="YW17" s="34">
        <f t="shared" ca="1" si="111"/>
        <v>0</v>
      </c>
      <c r="YX17" s="34">
        <f t="shared" ca="1" si="111"/>
        <v>0</v>
      </c>
      <c r="YY17" s="34">
        <f t="shared" ca="1" si="111"/>
        <v>0</v>
      </c>
      <c r="YZ17" s="34">
        <f t="shared" ca="1" si="111"/>
        <v>0</v>
      </c>
      <c r="ZA17" s="34">
        <f t="shared" ca="1" si="112"/>
        <v>0</v>
      </c>
      <c r="ZB17" s="34">
        <f t="shared" ca="1" si="112"/>
        <v>0</v>
      </c>
      <c r="ZC17" s="34">
        <f t="shared" ca="1" si="112"/>
        <v>0</v>
      </c>
      <c r="ZD17" s="34">
        <f t="shared" ca="1" si="112"/>
        <v>0</v>
      </c>
      <c r="ZE17" s="34">
        <f t="shared" ca="1" si="112"/>
        <v>0</v>
      </c>
      <c r="ZF17" s="34">
        <f t="shared" ca="1" si="112"/>
        <v>0</v>
      </c>
      <c r="ZG17" s="34">
        <f t="shared" ca="1" si="112"/>
        <v>0</v>
      </c>
      <c r="ZH17" s="34">
        <f t="shared" ca="1" si="112"/>
        <v>0</v>
      </c>
      <c r="ZI17" s="34">
        <f t="shared" ca="1" si="112"/>
        <v>0</v>
      </c>
      <c r="ZJ17" s="34">
        <f t="shared" ca="1" si="112"/>
        <v>0</v>
      </c>
      <c r="ZK17" s="34">
        <f t="shared" ca="1" si="113"/>
        <v>0</v>
      </c>
      <c r="ZL17" s="34">
        <f t="shared" ca="1" si="113"/>
        <v>0</v>
      </c>
      <c r="ZM17" s="34">
        <f t="shared" ca="1" si="113"/>
        <v>0</v>
      </c>
      <c r="ZN17" s="34">
        <f t="shared" ca="1" si="113"/>
        <v>0</v>
      </c>
      <c r="ZO17" s="34">
        <f t="shared" ca="1" si="113"/>
        <v>0</v>
      </c>
      <c r="ZP17" s="34">
        <f t="shared" ca="1" si="113"/>
        <v>0</v>
      </c>
      <c r="ZQ17" s="34">
        <f t="shared" ca="1" si="113"/>
        <v>0</v>
      </c>
      <c r="ZR17" s="34">
        <f t="shared" ca="1" si="113"/>
        <v>0</v>
      </c>
      <c r="ZS17" s="34">
        <f t="shared" ca="1" si="113"/>
        <v>0</v>
      </c>
      <c r="ZT17" s="34">
        <f t="shared" ca="1" si="113"/>
        <v>0</v>
      </c>
      <c r="ZU17" s="34">
        <f t="shared" ca="1" si="114"/>
        <v>0</v>
      </c>
      <c r="ZV17" s="34">
        <f t="shared" ca="1" si="114"/>
        <v>0</v>
      </c>
      <c r="ZW17" s="34">
        <f t="shared" ca="1" si="114"/>
        <v>0</v>
      </c>
      <c r="ZX17" s="34">
        <f t="shared" ca="1" si="114"/>
        <v>0</v>
      </c>
      <c r="ZY17" s="34">
        <f t="shared" ca="1" si="114"/>
        <v>0</v>
      </c>
      <c r="ZZ17" s="34">
        <f t="shared" ca="1" si="114"/>
        <v>0</v>
      </c>
      <c r="AAA17" s="34">
        <f t="shared" ca="1" si="114"/>
        <v>0</v>
      </c>
      <c r="AAB17" s="34">
        <f t="shared" ca="1" si="114"/>
        <v>0</v>
      </c>
      <c r="AAC17" s="34">
        <f t="shared" ca="1" si="114"/>
        <v>0</v>
      </c>
      <c r="AAD17" s="34">
        <f t="shared" ca="1" si="114"/>
        <v>0</v>
      </c>
      <c r="AAE17" s="34">
        <f t="shared" ca="1" si="115"/>
        <v>0</v>
      </c>
      <c r="AAF17" s="34">
        <f t="shared" ca="1" si="115"/>
        <v>0</v>
      </c>
      <c r="AAG17" s="34">
        <f t="shared" ca="1" si="115"/>
        <v>0</v>
      </c>
      <c r="AAH17" s="34">
        <f t="shared" ca="1" si="115"/>
        <v>0</v>
      </c>
      <c r="AAI17" s="34">
        <f t="shared" ca="1" si="115"/>
        <v>0</v>
      </c>
      <c r="AAJ17" s="34">
        <f t="shared" ca="1" si="115"/>
        <v>0</v>
      </c>
      <c r="AAK17" s="34">
        <f t="shared" ca="1" si="115"/>
        <v>0</v>
      </c>
      <c r="AAL17" s="34">
        <f t="shared" ca="1" si="115"/>
        <v>0</v>
      </c>
      <c r="AAM17" s="34">
        <f t="shared" ca="1" si="115"/>
        <v>0</v>
      </c>
      <c r="AAN17" s="34">
        <f t="shared" ca="1" si="115"/>
        <v>0</v>
      </c>
      <c r="AAO17" s="34">
        <f t="shared" ca="1" si="116"/>
        <v>0</v>
      </c>
      <c r="AAP17" s="34">
        <f t="shared" ca="1" si="116"/>
        <v>0</v>
      </c>
      <c r="AAQ17" s="34">
        <f t="shared" ca="1" si="116"/>
        <v>0</v>
      </c>
      <c r="AAR17" s="34">
        <f t="shared" ca="1" si="116"/>
        <v>0</v>
      </c>
      <c r="AAS17" s="34">
        <f t="shared" ca="1" si="116"/>
        <v>0</v>
      </c>
      <c r="AAT17" s="34">
        <f t="shared" ca="1" si="116"/>
        <v>0</v>
      </c>
      <c r="AAU17" s="34">
        <f t="shared" ca="1" si="116"/>
        <v>0</v>
      </c>
      <c r="AAV17" s="34">
        <f t="shared" ca="1" si="116"/>
        <v>0</v>
      </c>
      <c r="AAW17" s="34">
        <f t="shared" ca="1" si="116"/>
        <v>0</v>
      </c>
      <c r="AAX17" s="34">
        <f t="shared" ca="1" si="116"/>
        <v>0</v>
      </c>
      <c r="AAY17" s="34">
        <f t="shared" ca="1" si="117"/>
        <v>0</v>
      </c>
      <c r="AAZ17" s="34">
        <f t="shared" ca="1" si="117"/>
        <v>0</v>
      </c>
      <c r="ABA17" s="34">
        <f t="shared" ca="1" si="117"/>
        <v>0</v>
      </c>
      <c r="ABB17" s="34">
        <f t="shared" ca="1" si="117"/>
        <v>0</v>
      </c>
      <c r="ABC17" s="34">
        <f t="shared" ca="1" si="117"/>
        <v>0</v>
      </c>
      <c r="ABD17" s="34">
        <f t="shared" ca="1" si="117"/>
        <v>0</v>
      </c>
      <c r="ABE17" s="34">
        <f t="shared" ca="1" si="117"/>
        <v>0</v>
      </c>
      <c r="ABF17" s="34">
        <f t="shared" ca="1" si="117"/>
        <v>0</v>
      </c>
      <c r="ABG17" s="34">
        <f t="shared" ca="1" si="117"/>
        <v>0</v>
      </c>
      <c r="ABH17" s="34">
        <f t="shared" ca="1" si="117"/>
        <v>0</v>
      </c>
      <c r="ABI17" s="34">
        <f t="shared" ca="1" si="118"/>
        <v>0</v>
      </c>
      <c r="ABJ17" s="34">
        <f t="shared" ca="1" si="118"/>
        <v>0</v>
      </c>
      <c r="ABK17" s="34">
        <f t="shared" ca="1" si="118"/>
        <v>0</v>
      </c>
      <c r="ABL17" s="34">
        <f t="shared" ca="1" si="118"/>
        <v>0</v>
      </c>
      <c r="ABM17" s="34">
        <f t="shared" ca="1" si="118"/>
        <v>0</v>
      </c>
      <c r="ABN17" s="34">
        <f t="shared" ca="1" si="118"/>
        <v>0</v>
      </c>
      <c r="ABO17" s="34">
        <f t="shared" ca="1" si="118"/>
        <v>0</v>
      </c>
      <c r="ABP17" s="34">
        <f t="shared" ca="1" si="118"/>
        <v>0</v>
      </c>
      <c r="ABQ17" s="34">
        <f t="shared" ca="1" si="118"/>
        <v>0</v>
      </c>
      <c r="ABR17" s="34">
        <f t="shared" ca="1" si="118"/>
        <v>0</v>
      </c>
      <c r="ABS17" s="34">
        <f t="shared" ca="1" si="119"/>
        <v>0</v>
      </c>
      <c r="ABT17" s="34">
        <f t="shared" ca="1" si="119"/>
        <v>0</v>
      </c>
      <c r="ABU17" s="34">
        <f t="shared" ca="1" si="119"/>
        <v>0</v>
      </c>
      <c r="ABV17" s="34">
        <f t="shared" ca="1" si="119"/>
        <v>0</v>
      </c>
      <c r="ABW17" s="34">
        <f t="shared" ca="1" si="119"/>
        <v>0</v>
      </c>
      <c r="ABX17" s="34">
        <f t="shared" ca="1" si="119"/>
        <v>0</v>
      </c>
      <c r="ABY17" s="34">
        <f t="shared" ca="1" si="119"/>
        <v>0</v>
      </c>
      <c r="ABZ17" s="34">
        <f t="shared" ca="1" si="119"/>
        <v>0</v>
      </c>
      <c r="ACA17" s="34">
        <f t="shared" ca="1" si="119"/>
        <v>0</v>
      </c>
      <c r="ACB17" s="34">
        <f t="shared" ca="1" si="119"/>
        <v>0</v>
      </c>
      <c r="ACC17" s="34">
        <f t="shared" ca="1" si="120"/>
        <v>0</v>
      </c>
      <c r="ACD17" s="34">
        <f t="shared" ca="1" si="120"/>
        <v>0</v>
      </c>
      <c r="ACE17" s="34">
        <f t="shared" ca="1" si="120"/>
        <v>0</v>
      </c>
      <c r="ACF17" s="34">
        <f t="shared" ca="1" si="120"/>
        <v>0</v>
      </c>
      <c r="ACG17" s="34">
        <f t="shared" ca="1" si="120"/>
        <v>0</v>
      </c>
      <c r="ACH17" s="34">
        <f t="shared" ca="1" si="120"/>
        <v>0</v>
      </c>
      <c r="ACI17" s="34">
        <f t="shared" ca="1" si="120"/>
        <v>0</v>
      </c>
      <c r="ACJ17" s="34">
        <f t="shared" ca="1" si="120"/>
        <v>0</v>
      </c>
      <c r="ACK17" s="34">
        <f t="shared" ca="1" si="120"/>
        <v>0</v>
      </c>
      <c r="ACL17" s="34">
        <f t="shared" ca="1" si="120"/>
        <v>0</v>
      </c>
      <c r="ACM17" s="34">
        <f t="shared" ca="1" si="121"/>
        <v>0</v>
      </c>
      <c r="ACN17" s="34">
        <f t="shared" ca="1" si="121"/>
        <v>0</v>
      </c>
      <c r="ACO17" s="34">
        <f t="shared" ca="1" si="121"/>
        <v>0</v>
      </c>
      <c r="ACP17" s="34">
        <f t="shared" ca="1" si="121"/>
        <v>0</v>
      </c>
      <c r="ACQ17" s="34">
        <f t="shared" ca="1" si="121"/>
        <v>0</v>
      </c>
      <c r="ACR17" s="34">
        <f t="shared" ca="1" si="121"/>
        <v>0</v>
      </c>
      <c r="ACS17" s="34">
        <f t="shared" ca="1" si="121"/>
        <v>0</v>
      </c>
      <c r="ACT17" s="34">
        <f t="shared" ca="1" si="121"/>
        <v>0</v>
      </c>
      <c r="ACU17" s="34">
        <f t="shared" ca="1" si="121"/>
        <v>0</v>
      </c>
      <c r="ACV17" s="34">
        <f t="shared" ca="1" si="121"/>
        <v>0</v>
      </c>
      <c r="ACW17" s="34">
        <f t="shared" ca="1" si="122"/>
        <v>0</v>
      </c>
      <c r="ACX17" s="34">
        <f t="shared" ca="1" si="122"/>
        <v>0</v>
      </c>
      <c r="ACY17" s="34">
        <f t="shared" ca="1" si="122"/>
        <v>0</v>
      </c>
      <c r="ACZ17" s="34">
        <f t="shared" ca="1" si="122"/>
        <v>0</v>
      </c>
      <c r="ADA17" s="34">
        <f t="shared" ca="1" si="122"/>
        <v>0</v>
      </c>
      <c r="ADB17" s="34">
        <f t="shared" ca="1" si="122"/>
        <v>0</v>
      </c>
      <c r="ADC17" s="34">
        <f t="shared" ca="1" si="122"/>
        <v>0</v>
      </c>
      <c r="ADD17" s="34">
        <f t="shared" ca="1" si="122"/>
        <v>0</v>
      </c>
      <c r="ADE17" s="34">
        <f t="shared" ca="1" si="122"/>
        <v>0</v>
      </c>
      <c r="ADF17" s="34">
        <f t="shared" ca="1" si="122"/>
        <v>0</v>
      </c>
      <c r="ADG17" s="34">
        <f t="shared" ca="1" si="123"/>
        <v>0</v>
      </c>
      <c r="ADH17" s="34">
        <f t="shared" ca="1" si="123"/>
        <v>0</v>
      </c>
      <c r="ADI17" s="34">
        <f t="shared" ca="1" si="123"/>
        <v>0</v>
      </c>
      <c r="ADJ17" s="34">
        <f t="shared" ca="1" si="123"/>
        <v>0</v>
      </c>
      <c r="ADK17" s="34">
        <f t="shared" ca="1" si="123"/>
        <v>0</v>
      </c>
      <c r="ADL17" s="34">
        <f t="shared" ca="1" si="123"/>
        <v>0</v>
      </c>
      <c r="ADM17" s="34">
        <f t="shared" ca="1" si="123"/>
        <v>0</v>
      </c>
      <c r="ADN17" s="34">
        <f t="shared" ca="1" si="123"/>
        <v>0</v>
      </c>
      <c r="ADO17" s="34">
        <f t="shared" ca="1" si="123"/>
        <v>0</v>
      </c>
      <c r="ADP17" s="34">
        <f t="shared" ca="1" si="123"/>
        <v>0</v>
      </c>
      <c r="ADQ17" s="34">
        <f t="shared" ca="1" si="124"/>
        <v>0</v>
      </c>
      <c r="ADR17" s="34">
        <f t="shared" ca="1" si="124"/>
        <v>0</v>
      </c>
      <c r="ADS17" s="34">
        <f t="shared" ca="1" si="124"/>
        <v>0</v>
      </c>
      <c r="ADT17" s="34">
        <f t="shared" ca="1" si="124"/>
        <v>0</v>
      </c>
      <c r="ADU17" s="34">
        <f t="shared" ca="1" si="124"/>
        <v>0</v>
      </c>
      <c r="ADV17" s="34">
        <f t="shared" ca="1" si="124"/>
        <v>0</v>
      </c>
      <c r="ADW17" s="34">
        <f t="shared" ca="1" si="124"/>
        <v>0</v>
      </c>
      <c r="ADX17" s="34">
        <f t="shared" ca="1" si="124"/>
        <v>0</v>
      </c>
      <c r="ADY17" s="34">
        <f t="shared" ca="1" si="124"/>
        <v>0</v>
      </c>
      <c r="ADZ17" s="34">
        <f t="shared" ca="1" si="124"/>
        <v>0</v>
      </c>
      <c r="AEA17" s="34">
        <f t="shared" ca="1" si="125"/>
        <v>0</v>
      </c>
      <c r="AEB17" s="34">
        <f t="shared" ca="1" si="125"/>
        <v>0</v>
      </c>
      <c r="AEC17" s="34">
        <f t="shared" ca="1" si="125"/>
        <v>0</v>
      </c>
      <c r="AED17" s="34">
        <f t="shared" ca="1" si="125"/>
        <v>0</v>
      </c>
      <c r="AEE17" s="34">
        <f t="shared" ca="1" si="125"/>
        <v>0</v>
      </c>
      <c r="AEF17" s="34">
        <f t="shared" ca="1" si="125"/>
        <v>0</v>
      </c>
      <c r="AEG17" s="34">
        <f t="shared" ca="1" si="125"/>
        <v>0</v>
      </c>
      <c r="AEH17" s="34">
        <f t="shared" ca="1" si="125"/>
        <v>0</v>
      </c>
      <c r="AEI17" s="34">
        <f t="shared" ca="1" si="125"/>
        <v>0</v>
      </c>
      <c r="AEJ17" s="34">
        <f t="shared" ca="1" si="125"/>
        <v>0</v>
      </c>
      <c r="AEK17" s="34">
        <f t="shared" ca="1" si="126"/>
        <v>0</v>
      </c>
      <c r="AEL17" s="34">
        <f t="shared" ca="1" si="126"/>
        <v>0</v>
      </c>
      <c r="AEM17" s="34">
        <f t="shared" ca="1" si="126"/>
        <v>0</v>
      </c>
      <c r="AEN17" s="34">
        <f t="shared" ca="1" si="126"/>
        <v>0</v>
      </c>
      <c r="AEO17" s="34">
        <f t="shared" ca="1" si="126"/>
        <v>0</v>
      </c>
      <c r="AEP17" s="34">
        <f t="shared" ca="1" si="126"/>
        <v>0</v>
      </c>
      <c r="AEQ17" s="34">
        <f t="shared" ca="1" si="126"/>
        <v>0</v>
      </c>
      <c r="AER17" s="34">
        <f t="shared" ca="1" si="126"/>
        <v>0</v>
      </c>
      <c r="AES17" s="34">
        <f t="shared" ca="1" si="126"/>
        <v>0</v>
      </c>
      <c r="AET17" s="34">
        <f t="shared" ca="1" si="126"/>
        <v>0</v>
      </c>
      <c r="AEU17" s="34">
        <f t="shared" ca="1" si="127"/>
        <v>0</v>
      </c>
      <c r="AEV17" s="34">
        <f t="shared" ca="1" si="127"/>
        <v>0</v>
      </c>
      <c r="AEW17" s="34">
        <f t="shared" ca="1" si="127"/>
        <v>0</v>
      </c>
      <c r="AEX17" s="34">
        <f t="shared" ca="1" si="127"/>
        <v>0</v>
      </c>
      <c r="AEY17" s="34">
        <f t="shared" ca="1" si="127"/>
        <v>0</v>
      </c>
      <c r="AEZ17" s="34">
        <f t="shared" ca="1" si="127"/>
        <v>0</v>
      </c>
      <c r="AFA17" s="34">
        <f t="shared" ca="1" si="127"/>
        <v>0</v>
      </c>
      <c r="AFB17" s="34">
        <f t="shared" ca="1" si="127"/>
        <v>0</v>
      </c>
      <c r="AFC17" s="34">
        <f t="shared" ca="1" si="127"/>
        <v>0</v>
      </c>
      <c r="AFD17" s="34">
        <f t="shared" ca="1" si="127"/>
        <v>0</v>
      </c>
      <c r="AFE17" s="34">
        <f t="shared" ca="1" si="128"/>
        <v>0</v>
      </c>
      <c r="AFF17" s="34">
        <f t="shared" ca="1" si="128"/>
        <v>0</v>
      </c>
      <c r="AFG17" s="34">
        <f t="shared" ca="1" si="128"/>
        <v>0</v>
      </c>
      <c r="AFH17" s="34">
        <f t="shared" ca="1" si="128"/>
        <v>0</v>
      </c>
      <c r="AFI17" s="34">
        <f t="shared" ca="1" si="128"/>
        <v>0</v>
      </c>
      <c r="AFJ17" s="34">
        <f t="shared" ca="1" si="128"/>
        <v>0</v>
      </c>
      <c r="AFK17" s="34">
        <f t="shared" ca="1" si="128"/>
        <v>0</v>
      </c>
      <c r="AFL17" s="34">
        <f t="shared" ca="1" si="128"/>
        <v>0</v>
      </c>
      <c r="AFM17" s="34">
        <f t="shared" ca="1" si="128"/>
        <v>0</v>
      </c>
      <c r="AFN17" s="34">
        <f t="shared" ca="1" si="128"/>
        <v>0</v>
      </c>
      <c r="AFO17" s="34">
        <f t="shared" ca="1" si="129"/>
        <v>0</v>
      </c>
      <c r="AFP17" s="34">
        <f t="shared" ca="1" si="129"/>
        <v>0</v>
      </c>
      <c r="AFQ17" s="34">
        <f t="shared" ca="1" si="129"/>
        <v>0</v>
      </c>
      <c r="AFR17" s="34">
        <f t="shared" ca="1" si="129"/>
        <v>0</v>
      </c>
      <c r="AFS17" s="34">
        <f t="shared" ca="1" si="129"/>
        <v>0</v>
      </c>
      <c r="AFT17" s="34">
        <f t="shared" ca="1" si="129"/>
        <v>0</v>
      </c>
      <c r="AFU17" s="34">
        <f t="shared" ca="1" si="129"/>
        <v>0</v>
      </c>
      <c r="AFV17" s="34">
        <f t="shared" ca="1" si="129"/>
        <v>0</v>
      </c>
      <c r="AFW17" s="34">
        <f t="shared" ca="1" si="129"/>
        <v>0</v>
      </c>
      <c r="AFX17" s="34">
        <f t="shared" ca="1" si="129"/>
        <v>0</v>
      </c>
      <c r="AFY17" s="34">
        <f t="shared" ca="1" si="130"/>
        <v>0</v>
      </c>
      <c r="AFZ17" s="34">
        <f t="shared" ca="1" si="130"/>
        <v>0</v>
      </c>
      <c r="AGA17" s="34">
        <f t="shared" ca="1" si="130"/>
        <v>0</v>
      </c>
      <c r="AGB17" s="34">
        <f t="shared" ca="1" si="130"/>
        <v>0</v>
      </c>
      <c r="AGC17" s="34">
        <f t="shared" ca="1" si="130"/>
        <v>0</v>
      </c>
      <c r="AGD17" s="34">
        <f t="shared" ca="1" si="130"/>
        <v>0</v>
      </c>
      <c r="AGE17" s="34">
        <f t="shared" ca="1" si="130"/>
        <v>0</v>
      </c>
      <c r="AGF17" s="34">
        <f t="shared" ca="1" si="130"/>
        <v>0</v>
      </c>
      <c r="AGG17" s="34">
        <f t="shared" ca="1" si="130"/>
        <v>0</v>
      </c>
      <c r="AGH17" s="34">
        <f t="shared" ca="1" si="130"/>
        <v>0</v>
      </c>
      <c r="AGI17" s="34">
        <f t="shared" ca="1" si="131"/>
        <v>0</v>
      </c>
      <c r="AGJ17" s="34">
        <f t="shared" ca="1" si="131"/>
        <v>0</v>
      </c>
      <c r="AGK17" s="34">
        <f t="shared" ca="1" si="131"/>
        <v>0</v>
      </c>
      <c r="AGL17" s="34">
        <f t="shared" ca="1" si="131"/>
        <v>0</v>
      </c>
      <c r="AGM17" s="34">
        <f t="shared" ca="1" si="131"/>
        <v>0</v>
      </c>
      <c r="AGN17" s="34">
        <f t="shared" ca="1" si="131"/>
        <v>0</v>
      </c>
      <c r="AGO17" s="34">
        <f t="shared" ca="1" si="131"/>
        <v>0</v>
      </c>
      <c r="AGP17" s="34">
        <f t="shared" ca="1" si="131"/>
        <v>0</v>
      </c>
      <c r="AGQ17" s="34">
        <f t="shared" ca="1" si="131"/>
        <v>0</v>
      </c>
      <c r="AGR17" s="34">
        <f t="shared" ca="1" si="131"/>
        <v>0</v>
      </c>
      <c r="AGS17" s="34">
        <f t="shared" ca="1" si="132"/>
        <v>0</v>
      </c>
      <c r="AGT17" s="34">
        <f t="shared" ca="1" si="132"/>
        <v>0</v>
      </c>
      <c r="AGU17" s="34">
        <f t="shared" ca="1" si="132"/>
        <v>0</v>
      </c>
      <c r="AGV17" s="34">
        <f t="shared" ca="1" si="132"/>
        <v>0</v>
      </c>
      <c r="AGW17" s="34">
        <f t="shared" ca="1" si="132"/>
        <v>0</v>
      </c>
      <c r="AGX17" s="34">
        <f t="shared" ca="1" si="132"/>
        <v>0</v>
      </c>
      <c r="AGY17" s="34">
        <f t="shared" ca="1" si="132"/>
        <v>0</v>
      </c>
      <c r="AGZ17" s="34">
        <f t="shared" ca="1" si="132"/>
        <v>0</v>
      </c>
      <c r="AHA17" s="34">
        <f t="shared" ca="1" si="132"/>
        <v>0</v>
      </c>
      <c r="AHB17" s="34">
        <f t="shared" ca="1" si="132"/>
        <v>0</v>
      </c>
      <c r="AHC17" s="34">
        <f t="shared" ca="1" si="133"/>
        <v>0</v>
      </c>
      <c r="AHD17" s="34">
        <f t="shared" ca="1" si="133"/>
        <v>0</v>
      </c>
      <c r="AHE17" s="34">
        <f t="shared" ca="1" si="133"/>
        <v>0</v>
      </c>
      <c r="AHF17" s="34">
        <f t="shared" ca="1" si="133"/>
        <v>0</v>
      </c>
      <c r="AHG17" s="34">
        <f t="shared" ca="1" si="133"/>
        <v>0</v>
      </c>
      <c r="AHH17" s="34">
        <f t="shared" ca="1" si="133"/>
        <v>0</v>
      </c>
      <c r="AHI17" s="34">
        <f t="shared" ca="1" si="133"/>
        <v>0</v>
      </c>
      <c r="AHJ17" s="34">
        <f t="shared" ca="1" si="133"/>
        <v>0</v>
      </c>
      <c r="AHK17" s="34">
        <f t="shared" ca="1" si="133"/>
        <v>0</v>
      </c>
      <c r="AHL17" s="34">
        <f t="shared" ca="1" si="133"/>
        <v>0</v>
      </c>
      <c r="AHM17" s="34">
        <f t="shared" ca="1" si="134"/>
        <v>0</v>
      </c>
      <c r="AHN17" s="34">
        <f t="shared" ca="1" si="134"/>
        <v>0</v>
      </c>
      <c r="AHO17" s="34">
        <f t="shared" ca="1" si="134"/>
        <v>0</v>
      </c>
      <c r="AHP17" s="34">
        <f t="shared" ca="1" si="134"/>
        <v>0</v>
      </c>
      <c r="AHQ17" s="34">
        <f t="shared" ca="1" si="134"/>
        <v>0</v>
      </c>
      <c r="AHR17" s="34">
        <f t="shared" ca="1" si="134"/>
        <v>0</v>
      </c>
      <c r="AHS17" s="34">
        <f t="shared" ca="1" si="134"/>
        <v>0</v>
      </c>
      <c r="AHT17" s="34">
        <f t="shared" ca="1" si="134"/>
        <v>0</v>
      </c>
      <c r="AHU17" s="34">
        <f t="shared" ca="1" si="134"/>
        <v>0</v>
      </c>
      <c r="AHV17" s="34">
        <f t="shared" ca="1" si="134"/>
        <v>0</v>
      </c>
      <c r="AHW17" s="34">
        <f t="shared" ca="1" si="135"/>
        <v>0</v>
      </c>
      <c r="AHX17" s="34">
        <f t="shared" ca="1" si="135"/>
        <v>0</v>
      </c>
      <c r="AHY17" s="34">
        <f t="shared" ca="1" si="135"/>
        <v>0</v>
      </c>
      <c r="AHZ17" s="34">
        <f t="shared" ca="1" si="135"/>
        <v>0</v>
      </c>
      <c r="AIA17" s="34">
        <f t="shared" ca="1" si="135"/>
        <v>0</v>
      </c>
      <c r="AIB17" s="34">
        <f t="shared" ca="1" si="135"/>
        <v>0</v>
      </c>
      <c r="AIC17" s="34">
        <f t="shared" ca="1" si="135"/>
        <v>0</v>
      </c>
      <c r="AID17" s="34">
        <f t="shared" ca="1" si="135"/>
        <v>0</v>
      </c>
      <c r="AIE17" s="34">
        <f t="shared" ca="1" si="135"/>
        <v>0</v>
      </c>
      <c r="AIF17" s="34">
        <f t="shared" ca="1" si="135"/>
        <v>0</v>
      </c>
      <c r="AIG17" s="34">
        <f t="shared" ca="1" si="136"/>
        <v>0</v>
      </c>
      <c r="AIH17" s="34">
        <f t="shared" ca="1" si="136"/>
        <v>0</v>
      </c>
      <c r="AII17" s="34">
        <f t="shared" ca="1" si="136"/>
        <v>0</v>
      </c>
      <c r="AIJ17" s="34">
        <f t="shared" ca="1" si="136"/>
        <v>0</v>
      </c>
      <c r="AIK17" s="34">
        <f t="shared" ca="1" si="136"/>
        <v>0</v>
      </c>
      <c r="AIL17" s="34">
        <f t="shared" ca="1" si="136"/>
        <v>0</v>
      </c>
      <c r="AIM17" s="34">
        <f t="shared" ca="1" si="136"/>
        <v>0</v>
      </c>
      <c r="AIN17" s="34">
        <f t="shared" ca="1" si="136"/>
        <v>0</v>
      </c>
      <c r="AIO17" s="34">
        <f t="shared" ca="1" si="136"/>
        <v>0</v>
      </c>
      <c r="AIP17" s="34">
        <f t="shared" ca="1" si="136"/>
        <v>0</v>
      </c>
      <c r="AIQ17" s="34">
        <f t="shared" ca="1" si="137"/>
        <v>0</v>
      </c>
      <c r="AIR17" s="34">
        <f t="shared" ca="1" si="137"/>
        <v>0</v>
      </c>
      <c r="AIS17" s="34">
        <f t="shared" ca="1" si="137"/>
        <v>0</v>
      </c>
      <c r="AIT17" s="34">
        <f t="shared" ca="1" si="137"/>
        <v>0</v>
      </c>
      <c r="AIU17" s="34">
        <f t="shared" ca="1" si="137"/>
        <v>0</v>
      </c>
      <c r="AIV17" s="34">
        <f t="shared" ca="1" si="137"/>
        <v>0</v>
      </c>
      <c r="AIW17" s="34">
        <f t="shared" ca="1" si="137"/>
        <v>0</v>
      </c>
      <c r="AIX17" s="34">
        <f t="shared" ca="1" si="137"/>
        <v>0</v>
      </c>
      <c r="AIY17" s="34">
        <f t="shared" ca="1" si="137"/>
        <v>0</v>
      </c>
      <c r="AIZ17" s="34">
        <f t="shared" ca="1" si="137"/>
        <v>0</v>
      </c>
      <c r="AJA17" s="34">
        <f t="shared" ca="1" si="138"/>
        <v>0</v>
      </c>
      <c r="AJB17" s="34">
        <f t="shared" ca="1" si="138"/>
        <v>0</v>
      </c>
      <c r="AJC17" s="34">
        <f t="shared" ca="1" si="138"/>
        <v>0</v>
      </c>
      <c r="AJD17" s="34">
        <f t="shared" ca="1" si="138"/>
        <v>0</v>
      </c>
      <c r="AJE17" s="34">
        <f t="shared" ca="1" si="138"/>
        <v>0</v>
      </c>
      <c r="AJF17" s="34">
        <f t="shared" ca="1" si="138"/>
        <v>0</v>
      </c>
      <c r="AJG17" s="34">
        <f t="shared" ca="1" si="138"/>
        <v>0</v>
      </c>
      <c r="AJH17" s="34">
        <f t="shared" ca="1" si="138"/>
        <v>0</v>
      </c>
      <c r="AJI17" s="34">
        <f t="shared" ca="1" si="138"/>
        <v>0</v>
      </c>
      <c r="AJJ17" s="34">
        <f t="shared" ca="1" si="138"/>
        <v>0</v>
      </c>
      <c r="AJK17" s="34">
        <f t="shared" ca="1" si="139"/>
        <v>0</v>
      </c>
      <c r="AJL17" s="34">
        <f t="shared" ca="1" si="139"/>
        <v>0</v>
      </c>
      <c r="AJM17" s="34">
        <f t="shared" ca="1" si="139"/>
        <v>0</v>
      </c>
      <c r="AJN17" s="34">
        <f t="shared" ca="1" si="139"/>
        <v>0</v>
      </c>
      <c r="AJO17" s="34">
        <f t="shared" ca="1" si="139"/>
        <v>0</v>
      </c>
      <c r="AJP17" s="34">
        <f t="shared" ca="1" si="139"/>
        <v>0</v>
      </c>
      <c r="AJQ17" s="34">
        <f t="shared" ca="1" si="139"/>
        <v>0</v>
      </c>
      <c r="AJR17" s="34">
        <f t="shared" ca="1" si="139"/>
        <v>0</v>
      </c>
      <c r="AJS17" s="34">
        <f t="shared" ca="1" si="139"/>
        <v>0</v>
      </c>
      <c r="AJT17" s="34">
        <f t="shared" ca="1" si="139"/>
        <v>0</v>
      </c>
      <c r="AJU17" s="34">
        <f t="shared" ca="1" si="140"/>
        <v>0</v>
      </c>
      <c r="AJV17" s="34">
        <f t="shared" ca="1" si="140"/>
        <v>0</v>
      </c>
      <c r="AJW17" s="34">
        <f t="shared" ca="1" si="140"/>
        <v>0</v>
      </c>
      <c r="AJX17" s="34">
        <f t="shared" ca="1" si="140"/>
        <v>0</v>
      </c>
      <c r="AJY17" s="34">
        <f t="shared" ca="1" si="140"/>
        <v>0</v>
      </c>
      <c r="AJZ17" s="34">
        <f t="shared" ca="1" si="140"/>
        <v>0</v>
      </c>
      <c r="AKA17" s="34">
        <f t="shared" ca="1" si="140"/>
        <v>0</v>
      </c>
      <c r="AKB17" s="34">
        <f t="shared" ca="1" si="140"/>
        <v>0</v>
      </c>
      <c r="AKC17" s="34">
        <f t="shared" ca="1" si="140"/>
        <v>0</v>
      </c>
      <c r="AKD17" s="34">
        <f t="shared" ca="1" si="140"/>
        <v>0</v>
      </c>
      <c r="AKE17" s="34">
        <f t="shared" ca="1" si="141"/>
        <v>0</v>
      </c>
      <c r="AKF17" s="34">
        <f t="shared" ca="1" si="141"/>
        <v>0</v>
      </c>
      <c r="AKG17" s="34">
        <f t="shared" ca="1" si="141"/>
        <v>0</v>
      </c>
      <c r="AKH17" s="34">
        <f t="shared" ca="1" si="141"/>
        <v>0</v>
      </c>
      <c r="AKI17" s="34">
        <f t="shared" ca="1" si="141"/>
        <v>0</v>
      </c>
      <c r="AKJ17" s="34">
        <f t="shared" ca="1" si="141"/>
        <v>0</v>
      </c>
      <c r="AKK17" s="34">
        <f t="shared" ca="1" si="141"/>
        <v>0</v>
      </c>
      <c r="AKL17" s="34">
        <f t="shared" ca="1" si="141"/>
        <v>0</v>
      </c>
      <c r="AKM17" s="34">
        <f t="shared" ca="1" si="141"/>
        <v>0</v>
      </c>
      <c r="AKN17" s="34">
        <f t="shared" ca="1" si="141"/>
        <v>0</v>
      </c>
      <c r="AKO17" s="34">
        <f t="shared" ca="1" si="141"/>
        <v>0</v>
      </c>
      <c r="AKP17" s="34">
        <f t="shared" ca="1" si="141"/>
        <v>0</v>
      </c>
      <c r="AKQ17" s="34">
        <f t="shared" ca="1" si="141"/>
        <v>0</v>
      </c>
      <c r="AKR17" s="34">
        <f t="shared" ca="1" si="141"/>
        <v>0</v>
      </c>
      <c r="AKS17" s="34">
        <f t="shared" ca="1" si="141"/>
        <v>0</v>
      </c>
      <c r="AKT17" s="34"/>
      <c r="AKU17" s="34"/>
      <c r="AKV17" s="34"/>
      <c r="AKW17" s="34"/>
      <c r="AKX17" s="34"/>
      <c r="AKY17" s="34"/>
      <c r="AKZ17" s="34"/>
      <c r="ALA17" s="34"/>
      <c r="ALB17" s="34"/>
      <c r="ALC17" s="34"/>
      <c r="ALD17" s="34"/>
      <c r="ALE17" s="34"/>
      <c r="ALF17" s="34"/>
      <c r="ALG17" s="33"/>
      <c r="ALH17" s="33"/>
      <c r="ALI17" s="33"/>
      <c r="ALJ17" s="33"/>
      <c r="ALK17" s="33"/>
      <c r="ALL17" s="33"/>
      <c r="ALM17" s="33"/>
      <c r="ALN17" s="33"/>
      <c r="ALO17" s="33"/>
      <c r="ALP17" s="33"/>
      <c r="ALQ17" s="33"/>
      <c r="ALR17" s="33"/>
      <c r="ALS17" s="33"/>
      <c r="ALT17" s="33"/>
      <c r="ALU17" s="33"/>
      <c r="ALV17" s="33"/>
      <c r="ALW17" s="33"/>
      <c r="ALX17" s="33"/>
      <c r="ALY17" s="33"/>
      <c r="ALZ17" s="33"/>
      <c r="AMA17" s="33"/>
      <c r="AMB17" s="33"/>
      <c r="AMC17" s="33"/>
      <c r="AMD17" s="33"/>
      <c r="AME17" s="33"/>
      <c r="AMF17" s="33"/>
      <c r="AMG17" s="33"/>
      <c r="AMH17" s="33"/>
      <c r="AMI17" s="33"/>
      <c r="AMJ17" s="33"/>
      <c r="AMK17" s="33"/>
      <c r="AML17" s="33"/>
      <c r="AMM17" s="33"/>
      <c r="AMN17" s="33"/>
      <c r="AMO17" s="33"/>
      <c r="AMP17" s="33"/>
      <c r="AMQ17" s="33"/>
      <c r="AMR17" s="33"/>
      <c r="AMS17" s="33"/>
      <c r="AMT17" s="33"/>
      <c r="AMU17" s="33"/>
      <c r="AMV17" s="33"/>
      <c r="AMW17" s="33"/>
      <c r="AMX17" s="33"/>
      <c r="AMY17" s="33"/>
      <c r="AMZ17" s="33"/>
      <c r="ANA17" s="33"/>
      <c r="ANB17" s="33"/>
      <c r="ANC17" s="33"/>
      <c r="AND17" s="33"/>
      <c r="ANE17" s="33"/>
      <c r="ANF17" s="33"/>
      <c r="ANG17" s="33"/>
      <c r="ANH17" s="33"/>
      <c r="ANI17" s="33"/>
      <c r="ANJ17" s="33"/>
      <c r="ANK17" s="33"/>
      <c r="ANL17" s="33"/>
      <c r="ANM17" s="33"/>
      <c r="ANN17" s="33"/>
      <c r="ANO17" s="33"/>
      <c r="ANP17" s="33"/>
      <c r="ANQ17" s="33"/>
      <c r="ANR17" s="33"/>
      <c r="ANS17" s="33"/>
      <c r="ANT17" s="33"/>
      <c r="ANU17" s="33"/>
      <c r="ANV17" s="33"/>
      <c r="ANW17" s="33"/>
      <c r="ANX17" s="33"/>
      <c r="ANY17" s="33"/>
      <c r="ANZ17" s="33"/>
      <c r="AOA17" s="33"/>
      <c r="AOB17" s="33"/>
      <c r="AOC17" s="33"/>
      <c r="AOD17" s="33"/>
      <c r="AOE17" s="33"/>
      <c r="AOF17" s="33"/>
      <c r="AOG17" s="33"/>
      <c r="AOH17" s="33"/>
      <c r="AOI17" s="33"/>
      <c r="AOJ17" s="33"/>
      <c r="AOK17" s="33"/>
      <c r="AOL17" s="33"/>
      <c r="AOM17" s="33"/>
      <c r="AON17" s="33"/>
      <c r="AOO17" s="33"/>
      <c r="AOP17" s="33"/>
      <c r="AOQ17" s="33"/>
      <c r="AOR17" s="33"/>
      <c r="AOS17" s="33"/>
      <c r="AOT17" s="33"/>
      <c r="AOU17" s="33"/>
      <c r="AOV17" s="33"/>
      <c r="AOW17" s="33"/>
      <c r="AOX17" s="33"/>
      <c r="AOY17" s="33"/>
      <c r="AOZ17" s="33"/>
      <c r="APA17" s="33"/>
      <c r="APB17" s="33"/>
      <c r="APC17" s="33"/>
      <c r="APD17" s="33"/>
      <c r="APE17" s="33"/>
      <c r="APF17" s="33"/>
      <c r="APG17" s="33"/>
      <c r="APH17" s="33"/>
      <c r="API17" s="33"/>
      <c r="APJ17" s="33"/>
      <c r="APK17" s="33"/>
      <c r="APL17" s="33"/>
      <c r="APM17" s="33"/>
      <c r="APN17" s="33"/>
      <c r="APO17" s="33"/>
      <c r="APP17" s="33"/>
      <c r="APQ17" s="33"/>
      <c r="APR17" s="33"/>
      <c r="APS17" s="33"/>
      <c r="APT17" s="33"/>
      <c r="APU17" s="33"/>
      <c r="APV17" s="33"/>
      <c r="APW17" s="33"/>
      <c r="APX17" s="33"/>
      <c r="APY17" s="33"/>
      <c r="APZ17" s="33"/>
      <c r="AQA17" s="33"/>
      <c r="AQB17" s="33"/>
      <c r="AQC17" s="33"/>
      <c r="AQD17" s="33"/>
      <c r="AQE17" s="33"/>
      <c r="AQF17" s="33"/>
      <c r="AQG17" s="33"/>
      <c r="AQH17" s="33"/>
      <c r="AQI17" s="33"/>
      <c r="AQJ17" s="33"/>
      <c r="AQK17" s="33"/>
      <c r="AQL17" s="33"/>
      <c r="AQM17" s="33"/>
      <c r="AQN17" s="33"/>
      <c r="AQO17" s="33"/>
      <c r="AQP17" s="33"/>
      <c r="AQQ17" s="33"/>
      <c r="AQR17" s="33"/>
      <c r="AQS17" s="33"/>
      <c r="AQT17" s="33"/>
      <c r="AQU17" s="33"/>
      <c r="AQV17" s="33"/>
      <c r="AQW17" s="33"/>
      <c r="AQX17" s="33"/>
      <c r="AQY17" s="33"/>
      <c r="AQZ17" s="33"/>
      <c r="ARA17" s="33"/>
      <c r="ARB17" s="33"/>
      <c r="ARC17" s="33"/>
      <c r="ARD17" s="33"/>
      <c r="ARE17" s="33"/>
      <c r="ARF17" s="33"/>
      <c r="ARG17" s="33"/>
      <c r="ARH17" s="33"/>
      <c r="ARI17" s="33"/>
      <c r="ARJ17" s="33"/>
      <c r="ARK17" s="33"/>
      <c r="ARL17" s="33"/>
      <c r="ARM17" s="33"/>
      <c r="ARN17" s="33"/>
      <c r="ARO17" s="33"/>
      <c r="ARP17" s="33"/>
      <c r="ARQ17" s="33"/>
      <c r="ARR17" s="33"/>
      <c r="ARS17" s="33"/>
      <c r="ART17" s="33"/>
      <c r="ARU17" s="33"/>
      <c r="ARV17" s="33"/>
      <c r="ARW17" s="33"/>
      <c r="ARX17" s="33"/>
      <c r="ARY17" s="33"/>
      <c r="ARZ17" s="33"/>
      <c r="ASA17" s="33"/>
      <c r="ASB17" s="33"/>
      <c r="ASC17" s="33"/>
      <c r="ASD17" s="33"/>
      <c r="ASE17" s="33"/>
      <c r="ASF17" s="33"/>
      <c r="ASG17" s="33"/>
      <c r="ASH17" s="33"/>
      <c r="ASI17" s="33"/>
      <c r="ASJ17" s="33"/>
      <c r="ASK17" s="33"/>
      <c r="ASL17" s="33"/>
      <c r="ASM17" s="33"/>
      <c r="ASN17" s="33"/>
      <c r="ASO17" s="33"/>
      <c r="ASP17" s="33"/>
      <c r="ASQ17" s="33"/>
      <c r="ASR17" s="33"/>
      <c r="ASS17" s="33"/>
      <c r="AST17" s="33"/>
      <c r="ASU17" s="33"/>
      <c r="ASV17" s="33"/>
      <c r="ASW17" s="33"/>
      <c r="ASX17" s="33"/>
      <c r="ASY17" s="33"/>
      <c r="ASZ17" s="33"/>
      <c r="ATA17" s="33"/>
      <c r="ATB17" s="33"/>
      <c r="ATC17" s="33"/>
      <c r="ATD17" s="33"/>
      <c r="ATE17" s="33"/>
      <c r="ATF17" s="33"/>
      <c r="ATG17" s="33"/>
      <c r="ATH17" s="33"/>
      <c r="ATI17" s="33"/>
      <c r="ATJ17" s="33"/>
      <c r="ATK17" s="33"/>
      <c r="ATL17" s="33"/>
      <c r="ATM17" s="33"/>
      <c r="ATN17" s="33"/>
      <c r="ATO17" s="33"/>
      <c r="ATP17" s="33"/>
      <c r="ATQ17" s="33"/>
      <c r="ATR17" s="33"/>
      <c r="ATS17" s="33"/>
      <c r="ATT17" s="33"/>
      <c r="ATU17" s="33"/>
      <c r="ATV17" s="33"/>
      <c r="ATW17" s="33"/>
      <c r="ATX17" s="33"/>
      <c r="ATY17" s="33"/>
      <c r="ATZ17" s="33"/>
      <c r="AUA17" s="33"/>
      <c r="AUB17" s="33"/>
      <c r="AUC17" s="33"/>
      <c r="AUD17" s="33"/>
      <c r="AUE17" s="33"/>
      <c r="AUF17" s="33"/>
      <c r="AUG17" s="33"/>
      <c r="AUH17" s="33"/>
      <c r="AUI17" s="33"/>
      <c r="AUJ17" s="33"/>
      <c r="AUK17" s="33"/>
      <c r="AUL17" s="33"/>
      <c r="AUM17" s="33"/>
      <c r="AUN17" s="33"/>
      <c r="AUO17" s="33"/>
      <c r="AUP17" s="33"/>
      <c r="AUQ17" s="33"/>
      <c r="AUR17" s="33"/>
      <c r="AUS17" s="33"/>
      <c r="AUT17" s="33"/>
      <c r="AUU17" s="33"/>
      <c r="AUV17" s="33"/>
      <c r="AUW17" s="33"/>
      <c r="AUX17" s="33"/>
      <c r="AUY17" s="33"/>
      <c r="AUZ17" s="33"/>
      <c r="AVA17" s="33"/>
      <c r="AVB17" s="33"/>
    </row>
    <row r="18" spans="1:1250" ht="18.75" customHeight="1">
      <c r="A18" s="378" t="str">
        <f>自由選!B19</f>
        <v>XG500</v>
      </c>
      <c r="B18" s="208">
        <f ca="1">VLOOKUP($A18,'銀行-TSS'!B:K,10,FALSE)</f>
        <v>77.930000000000007</v>
      </c>
      <c r="C18" s="69" t="str">
        <f ca="1">VLOOKUP(A18,'銀行-TSS'!B:E,4,FALSE)</f>
        <v>Baa2 / BBB / BBB</v>
      </c>
      <c r="D18" s="70">
        <f ca="1">VLOOKUP($A18,'銀行-TSS'!B:H,7,FALSE)</f>
        <v>4.1250000000000002E-2</v>
      </c>
      <c r="E18" s="71">
        <f ca="1">IFERROR(VLOOKUP($A18,'銀行-TSS'!B:I,8,FALSE),"")</f>
        <v>2</v>
      </c>
      <c r="F18" s="69" t="str">
        <f ca="1">CONCATENATE(IF(AF18&gt;AG18,AG18,AF18),"、",IF(AF18&gt;AG18,AF18,AG18))</f>
        <v>6、12</v>
      </c>
      <c r="G18" s="72">
        <f ca="1">VLOOKUP($A18,'銀行-TSS'!B:M,12,FALSE)</f>
        <v>5.7599999999999998E-2</v>
      </c>
      <c r="H18" s="73">
        <f ca="1">VLOOKUP($A18,'銀行-TSS'!B:G,6,FALSE)</f>
        <v>26.95</v>
      </c>
      <c r="I18" s="74">
        <f ca="1">IFERROR(DATEVALUE(VLOOKUP($A18,'銀行-TSS'!B:F,5,FALSE)),VLOOKUP($A18,'銀行-TSS'!B:F,5,FALSE))</f>
        <v>55319</v>
      </c>
      <c r="J18" s="1" t="str">
        <f ca="1">VLOOKUP($A18,'銀行-TSS'!B:Q,16,FALSE)</f>
        <v>金融</v>
      </c>
      <c r="K18" s="76" t="str">
        <f ca="1">VLOOKUP($A18,'銀行-TSS'!B:T,19,FALSE)</f>
        <v>Unum集團/UNM</v>
      </c>
      <c r="L18" s="33" t="b">
        <f t="shared" si="45"/>
        <v>1</v>
      </c>
      <c r="M18" s="43">
        <f ca="1">VLOOKUP($A18,'銀行-TSS'!B:N,13,FALSE)</f>
        <v>10000</v>
      </c>
      <c r="N18" s="44">
        <f>自由選!F19</f>
        <v>10000</v>
      </c>
      <c r="O18" s="43">
        <f ca="1">IFERROR(VLOOKUP($A18,'銀行-TSS'!B:O,14,FALSE),1)</f>
        <v>1000</v>
      </c>
      <c r="P18" s="78" t="str">
        <f ca="1">IFERROR(VLOOKUP(K18,Bond_DES!D:E,2,FALSE),VLOOKUP(K18,'銀行-TSS'!T:U,2,FALSE))</f>
        <v>Unum集團(Unum Group)擁有170年歷史，為全美最大團體失能保險公司之一，亦是團體壽險和僱員自購保障計畫的主要提供商之一，保險產品組合涵蓋失能、壽險、意外、重大疾病、癌症、牙齒及視力保險，營業據點遍及美國、英國及波蘭。該集團於2023美國財富「保險：壽險及醫療險」行業上市公司營收排名第10位。</v>
      </c>
      <c r="Q18" s="83">
        <f t="shared" ca="1" si="143"/>
        <v>77.735200000000006</v>
      </c>
      <c r="R18" s="81">
        <f ca="1">ROUND(Q18*N18/100,2)</f>
        <v>7773.52</v>
      </c>
      <c r="S18" s="82">
        <f ca="1">R18/$R$27</f>
        <v>6.8287837215075697E-2</v>
      </c>
      <c r="T18" s="34">
        <f t="shared" ca="1" si="144"/>
        <v>2051</v>
      </c>
      <c r="U18" s="36" t="str">
        <f ca="1">IFERROR(VLOOKUP($A18,'銀行-TSS'!B:C,2,FALSE),"")</f>
        <v>USD</v>
      </c>
      <c r="V18" s="184">
        <f ca="1">VLOOKUP(A18,'銀行-TSS'!B:J,9,FALSE)</f>
        <v>0.1948</v>
      </c>
      <c r="W18" s="57">
        <f ca="1">ROUND(V18*N18/100,2)</f>
        <v>19.48</v>
      </c>
      <c r="X18" s="36">
        <f t="shared" ca="1" si="146"/>
        <v>0</v>
      </c>
      <c r="Y18" s="116">
        <f ca="1">ROUND((Q18+V18)*O18/100,2)</f>
        <v>779.3</v>
      </c>
      <c r="Z18" s="98">
        <f ca="1">ROUND((Q18+V18)*M18/100,2)</f>
        <v>7793</v>
      </c>
      <c r="AA18" s="61">
        <f t="shared" si="149"/>
        <v>8.3333333333333329E-2</v>
      </c>
      <c r="AB18" s="104" t="str">
        <f t="shared" ca="1" si="46"/>
        <v>金融</v>
      </c>
      <c r="AC18" s="149">
        <f ca="1">R18+W18+X18</f>
        <v>7793</v>
      </c>
      <c r="AD18" s="149">
        <f ca="1">VLOOKUP(A18,'銀行-TSS'!B:AD,29,FALSE)</f>
        <v>13</v>
      </c>
      <c r="AE18" s="64">
        <f ca="1">D18*N18/E18</f>
        <v>206.25</v>
      </c>
      <c r="AF18" s="53">
        <f ca="1">IF(AG18&gt;6,AG18-6,AG18+6)</f>
        <v>6</v>
      </c>
      <c r="AG18" s="45">
        <f ca="1">MONTH(AH18)</f>
        <v>12</v>
      </c>
      <c r="AH18" s="2">
        <f ca="1">_xlfn.IFNA(IFERROR(DATEVALUE(VLOOKUP($A18,'銀行-TSS'!B:P,15,FALSE)),VLOOKUP($A18,'銀行-TSS'!B:P,15,FALSE)),"")</f>
        <v>45641</v>
      </c>
      <c r="AI18" s="2">
        <f ca="1">_xlfn.IFNA(IFERROR(DATEVALUE(VLOOKUP($A18,'銀行-TSS'!B:L,11,FALSE)),VLOOKUP($A18,'銀行-TSS'!B:L,11,FALSE)),"")</f>
        <v>45475</v>
      </c>
      <c r="AJ18" s="34">
        <f ca="1">IF(AI18&lt;AH18,IF(MONTH(AI18)=MONTH(AH18),$AE18,0),0)</f>
        <v>0</v>
      </c>
      <c r="AK18" s="34">
        <f t="shared" ca="1" si="48"/>
        <v>0</v>
      </c>
      <c r="AL18" s="34">
        <f t="shared" ca="1" si="48"/>
        <v>0</v>
      </c>
      <c r="AM18" s="34">
        <f t="shared" ca="1" si="48"/>
        <v>0</v>
      </c>
      <c r="AN18" s="34">
        <f t="shared" ca="1" si="48"/>
        <v>0</v>
      </c>
      <c r="AO18" s="34">
        <f t="shared" ca="1" si="48"/>
        <v>206.25</v>
      </c>
      <c r="AP18" s="34">
        <f t="shared" ca="1" si="48"/>
        <v>0</v>
      </c>
      <c r="AQ18" s="34">
        <f t="shared" ca="1" si="48"/>
        <v>0</v>
      </c>
      <c r="AR18" s="34">
        <f t="shared" ca="1" si="48"/>
        <v>0</v>
      </c>
      <c r="AS18" s="34">
        <f t="shared" ca="1" si="48"/>
        <v>0</v>
      </c>
      <c r="AT18" s="34">
        <f t="shared" ca="1" si="48"/>
        <v>0</v>
      </c>
      <c r="AU18" s="34">
        <f t="shared" ca="1" si="49"/>
        <v>206.25</v>
      </c>
      <c r="AV18" s="34">
        <f t="shared" ca="1" si="49"/>
        <v>0</v>
      </c>
      <c r="AW18" s="34">
        <f t="shared" ca="1" si="49"/>
        <v>0</v>
      </c>
      <c r="AX18" s="34">
        <f t="shared" ca="1" si="49"/>
        <v>0</v>
      </c>
      <c r="AY18" s="34">
        <f t="shared" ca="1" si="49"/>
        <v>0</v>
      </c>
      <c r="AZ18" s="34">
        <f t="shared" ca="1" si="49"/>
        <v>0</v>
      </c>
      <c r="BA18" s="34">
        <f t="shared" ca="1" si="49"/>
        <v>206.25</v>
      </c>
      <c r="BB18" s="34">
        <f t="shared" ca="1" si="49"/>
        <v>0</v>
      </c>
      <c r="BC18" s="34">
        <f t="shared" ca="1" si="49"/>
        <v>0</v>
      </c>
      <c r="BD18" s="34">
        <f t="shared" ca="1" si="49"/>
        <v>0</v>
      </c>
      <c r="BE18" s="34">
        <f t="shared" ca="1" si="50"/>
        <v>0</v>
      </c>
      <c r="BF18" s="34">
        <f t="shared" ca="1" si="50"/>
        <v>0</v>
      </c>
      <c r="BG18" s="34">
        <f t="shared" ca="1" si="50"/>
        <v>206.25</v>
      </c>
      <c r="BH18" s="34">
        <f t="shared" ca="1" si="50"/>
        <v>0</v>
      </c>
      <c r="BI18" s="34">
        <f t="shared" ca="1" si="50"/>
        <v>0</v>
      </c>
      <c r="BJ18" s="34">
        <f t="shared" ca="1" si="50"/>
        <v>0</v>
      </c>
      <c r="BK18" s="34">
        <f t="shared" ca="1" si="50"/>
        <v>0</v>
      </c>
      <c r="BL18" s="34">
        <f t="shared" ca="1" si="50"/>
        <v>0</v>
      </c>
      <c r="BM18" s="34">
        <f t="shared" ca="1" si="50"/>
        <v>206.25</v>
      </c>
      <c r="BN18" s="34">
        <f t="shared" ca="1" si="50"/>
        <v>0</v>
      </c>
      <c r="BO18" s="34">
        <f t="shared" ca="1" si="51"/>
        <v>0</v>
      </c>
      <c r="BP18" s="34">
        <f t="shared" ca="1" si="51"/>
        <v>0</v>
      </c>
      <c r="BQ18" s="34">
        <f t="shared" ca="1" si="51"/>
        <v>0</v>
      </c>
      <c r="BR18" s="34">
        <f t="shared" ca="1" si="51"/>
        <v>0</v>
      </c>
      <c r="BS18" s="34">
        <f t="shared" ca="1" si="51"/>
        <v>206.25</v>
      </c>
      <c r="BT18" s="34">
        <f t="shared" ca="1" si="51"/>
        <v>0</v>
      </c>
      <c r="BU18" s="34">
        <f t="shared" ca="1" si="51"/>
        <v>0</v>
      </c>
      <c r="BV18" s="34">
        <f t="shared" ca="1" si="51"/>
        <v>0</v>
      </c>
      <c r="BW18" s="34">
        <f t="shared" ca="1" si="51"/>
        <v>0</v>
      </c>
      <c r="BX18" s="34">
        <f t="shared" ca="1" si="51"/>
        <v>0</v>
      </c>
      <c r="BY18" s="34">
        <f t="shared" ca="1" si="52"/>
        <v>206.25</v>
      </c>
      <c r="BZ18" s="34">
        <f t="shared" ca="1" si="52"/>
        <v>0</v>
      </c>
      <c r="CA18" s="34">
        <f t="shared" ca="1" si="52"/>
        <v>0</v>
      </c>
      <c r="CB18" s="34">
        <f t="shared" ca="1" si="52"/>
        <v>0</v>
      </c>
      <c r="CC18" s="34">
        <f t="shared" ca="1" si="52"/>
        <v>0</v>
      </c>
      <c r="CD18" s="34">
        <f t="shared" ca="1" si="52"/>
        <v>0</v>
      </c>
      <c r="CE18" s="34">
        <f t="shared" ca="1" si="52"/>
        <v>206.25</v>
      </c>
      <c r="CF18" s="34">
        <f t="shared" ca="1" si="52"/>
        <v>0</v>
      </c>
      <c r="CG18" s="34">
        <f t="shared" ca="1" si="52"/>
        <v>0</v>
      </c>
      <c r="CH18" s="34">
        <f t="shared" ca="1" si="52"/>
        <v>0</v>
      </c>
      <c r="CI18" s="34">
        <f t="shared" ca="1" si="53"/>
        <v>0</v>
      </c>
      <c r="CJ18" s="34">
        <f t="shared" ca="1" si="53"/>
        <v>0</v>
      </c>
      <c r="CK18" s="34">
        <f t="shared" ca="1" si="53"/>
        <v>206.25</v>
      </c>
      <c r="CL18" s="34">
        <f t="shared" ca="1" si="53"/>
        <v>0</v>
      </c>
      <c r="CM18" s="34">
        <f t="shared" ca="1" si="53"/>
        <v>0</v>
      </c>
      <c r="CN18" s="34">
        <f t="shared" ca="1" si="53"/>
        <v>0</v>
      </c>
      <c r="CO18" s="34">
        <f t="shared" ca="1" si="53"/>
        <v>0</v>
      </c>
      <c r="CP18" s="34">
        <f t="shared" ca="1" si="53"/>
        <v>0</v>
      </c>
      <c r="CQ18" s="34">
        <f t="shared" ca="1" si="53"/>
        <v>206.25</v>
      </c>
      <c r="CR18" s="34">
        <f t="shared" ca="1" si="53"/>
        <v>0</v>
      </c>
      <c r="CS18" s="34">
        <f t="shared" ca="1" si="54"/>
        <v>0</v>
      </c>
      <c r="CT18" s="34">
        <f t="shared" ca="1" si="54"/>
        <v>0</v>
      </c>
      <c r="CU18" s="34">
        <f t="shared" ca="1" si="54"/>
        <v>0</v>
      </c>
      <c r="CV18" s="34">
        <f t="shared" ca="1" si="54"/>
        <v>0</v>
      </c>
      <c r="CW18" s="34">
        <f t="shared" ca="1" si="54"/>
        <v>206.25</v>
      </c>
      <c r="CX18" s="34">
        <f t="shared" ca="1" si="54"/>
        <v>0</v>
      </c>
      <c r="CY18" s="34">
        <f t="shared" ca="1" si="54"/>
        <v>0</v>
      </c>
      <c r="CZ18" s="34">
        <f t="shared" ca="1" si="54"/>
        <v>0</v>
      </c>
      <c r="DA18" s="34">
        <f t="shared" ca="1" si="54"/>
        <v>0</v>
      </c>
      <c r="DB18" s="34">
        <f t="shared" ca="1" si="54"/>
        <v>0</v>
      </c>
      <c r="DC18" s="34">
        <f t="shared" ca="1" si="55"/>
        <v>206.25</v>
      </c>
      <c r="DD18" s="34">
        <f t="shared" ca="1" si="55"/>
        <v>0</v>
      </c>
      <c r="DE18" s="34">
        <f t="shared" ca="1" si="55"/>
        <v>0</v>
      </c>
      <c r="DF18" s="34">
        <f t="shared" ca="1" si="55"/>
        <v>0</v>
      </c>
      <c r="DG18" s="34">
        <f t="shared" ca="1" si="55"/>
        <v>0</v>
      </c>
      <c r="DH18" s="34">
        <f t="shared" ca="1" si="55"/>
        <v>0</v>
      </c>
      <c r="DI18" s="34">
        <f t="shared" ca="1" si="55"/>
        <v>206.25</v>
      </c>
      <c r="DJ18" s="34">
        <f t="shared" ca="1" si="55"/>
        <v>0</v>
      </c>
      <c r="DK18" s="34">
        <f t="shared" ca="1" si="55"/>
        <v>0</v>
      </c>
      <c r="DL18" s="34">
        <f t="shared" ca="1" si="55"/>
        <v>0</v>
      </c>
      <c r="DM18" s="34">
        <f t="shared" ca="1" si="56"/>
        <v>0</v>
      </c>
      <c r="DN18" s="34">
        <f t="shared" ca="1" si="56"/>
        <v>0</v>
      </c>
      <c r="DO18" s="34">
        <f t="shared" ca="1" si="56"/>
        <v>206.25</v>
      </c>
      <c r="DP18" s="34">
        <f t="shared" ca="1" si="56"/>
        <v>0</v>
      </c>
      <c r="DQ18" s="34">
        <f t="shared" ca="1" si="56"/>
        <v>0</v>
      </c>
      <c r="DR18" s="34">
        <f t="shared" ca="1" si="56"/>
        <v>0</v>
      </c>
      <c r="DS18" s="34">
        <f t="shared" ca="1" si="56"/>
        <v>0</v>
      </c>
      <c r="DT18" s="34">
        <f t="shared" ca="1" si="56"/>
        <v>0</v>
      </c>
      <c r="DU18" s="34">
        <f t="shared" ca="1" si="56"/>
        <v>206.25</v>
      </c>
      <c r="DV18" s="34">
        <f t="shared" ca="1" si="56"/>
        <v>0</v>
      </c>
      <c r="DW18" s="34">
        <f t="shared" ca="1" si="57"/>
        <v>0</v>
      </c>
      <c r="DX18" s="34">
        <f t="shared" ca="1" si="57"/>
        <v>0</v>
      </c>
      <c r="DY18" s="34">
        <f t="shared" ca="1" si="57"/>
        <v>0</v>
      </c>
      <c r="DZ18" s="34">
        <f t="shared" ca="1" si="57"/>
        <v>0</v>
      </c>
      <c r="EA18" s="34">
        <f t="shared" ca="1" si="57"/>
        <v>206.25</v>
      </c>
      <c r="EB18" s="34">
        <f t="shared" ca="1" si="57"/>
        <v>0</v>
      </c>
      <c r="EC18" s="34">
        <f t="shared" ca="1" si="57"/>
        <v>0</v>
      </c>
      <c r="ED18" s="34">
        <f t="shared" ca="1" si="57"/>
        <v>0</v>
      </c>
      <c r="EE18" s="34">
        <f t="shared" ca="1" si="57"/>
        <v>0</v>
      </c>
      <c r="EF18" s="34">
        <f t="shared" ca="1" si="57"/>
        <v>0</v>
      </c>
      <c r="EG18" s="34">
        <f t="shared" ca="1" si="58"/>
        <v>206.25</v>
      </c>
      <c r="EH18" s="34">
        <f t="shared" ca="1" si="58"/>
        <v>0</v>
      </c>
      <c r="EI18" s="34">
        <f t="shared" ca="1" si="58"/>
        <v>0</v>
      </c>
      <c r="EJ18" s="34">
        <f t="shared" ca="1" si="58"/>
        <v>0</v>
      </c>
      <c r="EK18" s="34">
        <f t="shared" ca="1" si="58"/>
        <v>0</v>
      </c>
      <c r="EL18" s="34">
        <f t="shared" ca="1" si="58"/>
        <v>0</v>
      </c>
      <c r="EM18" s="34">
        <f t="shared" ca="1" si="58"/>
        <v>206.25</v>
      </c>
      <c r="EN18" s="34">
        <f t="shared" ca="1" si="58"/>
        <v>0</v>
      </c>
      <c r="EO18" s="34">
        <f t="shared" ca="1" si="58"/>
        <v>0</v>
      </c>
      <c r="EP18" s="34">
        <f t="shared" ca="1" si="58"/>
        <v>0</v>
      </c>
      <c r="EQ18" s="34">
        <f t="shared" ca="1" si="59"/>
        <v>0</v>
      </c>
      <c r="ER18" s="34">
        <f t="shared" ca="1" si="59"/>
        <v>0</v>
      </c>
      <c r="ES18" s="34">
        <f t="shared" ca="1" si="59"/>
        <v>206.25</v>
      </c>
      <c r="ET18" s="34">
        <f t="shared" ca="1" si="59"/>
        <v>0</v>
      </c>
      <c r="EU18" s="34">
        <f t="shared" ca="1" si="59"/>
        <v>0</v>
      </c>
      <c r="EV18" s="34">
        <f t="shared" ca="1" si="59"/>
        <v>0</v>
      </c>
      <c r="EW18" s="34">
        <f t="shared" ca="1" si="59"/>
        <v>0</v>
      </c>
      <c r="EX18" s="34">
        <f t="shared" ca="1" si="59"/>
        <v>0</v>
      </c>
      <c r="EY18" s="34">
        <f t="shared" ca="1" si="59"/>
        <v>206.25</v>
      </c>
      <c r="EZ18" s="34">
        <f t="shared" ca="1" si="59"/>
        <v>0</v>
      </c>
      <c r="FA18" s="34">
        <f t="shared" ca="1" si="60"/>
        <v>0</v>
      </c>
      <c r="FB18" s="34">
        <f t="shared" ca="1" si="60"/>
        <v>0</v>
      </c>
      <c r="FC18" s="34">
        <f t="shared" ca="1" si="60"/>
        <v>0</v>
      </c>
      <c r="FD18" s="34">
        <f t="shared" ca="1" si="60"/>
        <v>0</v>
      </c>
      <c r="FE18" s="34">
        <f t="shared" ca="1" si="60"/>
        <v>206.25</v>
      </c>
      <c r="FF18" s="34">
        <f t="shared" ca="1" si="60"/>
        <v>0</v>
      </c>
      <c r="FG18" s="34">
        <f t="shared" ca="1" si="60"/>
        <v>0</v>
      </c>
      <c r="FH18" s="34">
        <f t="shared" ca="1" si="60"/>
        <v>0</v>
      </c>
      <c r="FI18" s="34">
        <f t="shared" ca="1" si="60"/>
        <v>0</v>
      </c>
      <c r="FJ18" s="34">
        <f t="shared" ca="1" si="60"/>
        <v>0</v>
      </c>
      <c r="FK18" s="34">
        <f t="shared" ca="1" si="61"/>
        <v>206.25</v>
      </c>
      <c r="FL18" s="34">
        <f t="shared" ca="1" si="61"/>
        <v>0</v>
      </c>
      <c r="FM18" s="34">
        <f t="shared" ca="1" si="61"/>
        <v>0</v>
      </c>
      <c r="FN18" s="34">
        <f t="shared" ca="1" si="61"/>
        <v>0</v>
      </c>
      <c r="FO18" s="34">
        <f t="shared" ca="1" si="61"/>
        <v>0</v>
      </c>
      <c r="FP18" s="34">
        <f t="shared" ca="1" si="61"/>
        <v>0</v>
      </c>
      <c r="FQ18" s="34">
        <f t="shared" ca="1" si="61"/>
        <v>206.25</v>
      </c>
      <c r="FR18" s="34">
        <f t="shared" ca="1" si="61"/>
        <v>0</v>
      </c>
      <c r="FS18" s="34">
        <f t="shared" ca="1" si="61"/>
        <v>0</v>
      </c>
      <c r="FT18" s="34">
        <f t="shared" ca="1" si="61"/>
        <v>0</v>
      </c>
      <c r="FU18" s="34">
        <f t="shared" ca="1" si="62"/>
        <v>0</v>
      </c>
      <c r="FV18" s="34">
        <f t="shared" ca="1" si="62"/>
        <v>0</v>
      </c>
      <c r="FW18" s="34">
        <f t="shared" ca="1" si="62"/>
        <v>206.25</v>
      </c>
      <c r="FX18" s="34">
        <f t="shared" ca="1" si="62"/>
        <v>0</v>
      </c>
      <c r="FY18" s="34">
        <f t="shared" ca="1" si="62"/>
        <v>0</v>
      </c>
      <c r="FZ18" s="34">
        <f t="shared" ca="1" si="62"/>
        <v>0</v>
      </c>
      <c r="GA18" s="34">
        <f t="shared" ca="1" si="62"/>
        <v>0</v>
      </c>
      <c r="GB18" s="34">
        <f t="shared" ca="1" si="62"/>
        <v>0</v>
      </c>
      <c r="GC18" s="34">
        <f t="shared" ca="1" si="62"/>
        <v>206.25</v>
      </c>
      <c r="GD18" s="34">
        <f t="shared" ca="1" si="62"/>
        <v>0</v>
      </c>
      <c r="GE18" s="34">
        <f t="shared" ca="1" si="63"/>
        <v>0</v>
      </c>
      <c r="GF18" s="34">
        <f t="shared" ca="1" si="63"/>
        <v>0</v>
      </c>
      <c r="GG18" s="34">
        <f t="shared" ca="1" si="63"/>
        <v>0</v>
      </c>
      <c r="GH18" s="34">
        <f t="shared" ca="1" si="63"/>
        <v>0</v>
      </c>
      <c r="GI18" s="34">
        <f t="shared" ca="1" si="63"/>
        <v>206.25</v>
      </c>
      <c r="GJ18" s="34">
        <f t="shared" ca="1" si="63"/>
        <v>0</v>
      </c>
      <c r="GK18" s="34">
        <f t="shared" ca="1" si="63"/>
        <v>0</v>
      </c>
      <c r="GL18" s="34">
        <f t="shared" ca="1" si="63"/>
        <v>0</v>
      </c>
      <c r="GM18" s="34">
        <f t="shared" ca="1" si="63"/>
        <v>0</v>
      </c>
      <c r="GN18" s="34">
        <f t="shared" ca="1" si="63"/>
        <v>0</v>
      </c>
      <c r="GO18" s="34">
        <f t="shared" ca="1" si="64"/>
        <v>206.25</v>
      </c>
      <c r="GP18" s="34">
        <f t="shared" ca="1" si="64"/>
        <v>0</v>
      </c>
      <c r="GQ18" s="34">
        <f t="shared" ca="1" si="64"/>
        <v>0</v>
      </c>
      <c r="GR18" s="34">
        <f t="shared" ca="1" si="64"/>
        <v>0</v>
      </c>
      <c r="GS18" s="34">
        <f t="shared" ca="1" si="64"/>
        <v>0</v>
      </c>
      <c r="GT18" s="34">
        <f t="shared" ca="1" si="64"/>
        <v>0</v>
      </c>
      <c r="GU18" s="34">
        <f t="shared" ca="1" si="64"/>
        <v>206.25</v>
      </c>
      <c r="GV18" s="34">
        <f t="shared" ca="1" si="64"/>
        <v>0</v>
      </c>
      <c r="GW18" s="34">
        <f t="shared" ca="1" si="64"/>
        <v>0</v>
      </c>
      <c r="GX18" s="34">
        <f t="shared" ca="1" si="64"/>
        <v>0</v>
      </c>
      <c r="GY18" s="34">
        <f t="shared" ca="1" si="65"/>
        <v>0</v>
      </c>
      <c r="GZ18" s="34">
        <f t="shared" ca="1" si="65"/>
        <v>0</v>
      </c>
      <c r="HA18" s="34">
        <f t="shared" ca="1" si="65"/>
        <v>206.25</v>
      </c>
      <c r="HB18" s="34">
        <f t="shared" ca="1" si="65"/>
        <v>0</v>
      </c>
      <c r="HC18" s="34">
        <f t="shared" ca="1" si="65"/>
        <v>0</v>
      </c>
      <c r="HD18" s="34">
        <f t="shared" ca="1" si="65"/>
        <v>0</v>
      </c>
      <c r="HE18" s="34">
        <f t="shared" ca="1" si="65"/>
        <v>0</v>
      </c>
      <c r="HF18" s="34">
        <f t="shared" ca="1" si="65"/>
        <v>0</v>
      </c>
      <c r="HG18" s="34">
        <f t="shared" ca="1" si="65"/>
        <v>206.25</v>
      </c>
      <c r="HH18" s="34">
        <f t="shared" ca="1" si="65"/>
        <v>0</v>
      </c>
      <c r="HI18" s="34">
        <f t="shared" ca="1" si="66"/>
        <v>0</v>
      </c>
      <c r="HJ18" s="34">
        <f t="shared" ca="1" si="66"/>
        <v>0</v>
      </c>
      <c r="HK18" s="34">
        <f t="shared" ca="1" si="66"/>
        <v>0</v>
      </c>
      <c r="HL18" s="34">
        <f t="shared" ca="1" si="66"/>
        <v>0</v>
      </c>
      <c r="HM18" s="34">
        <f t="shared" ca="1" si="66"/>
        <v>206.25</v>
      </c>
      <c r="HN18" s="34">
        <f t="shared" ca="1" si="66"/>
        <v>0</v>
      </c>
      <c r="HO18" s="34">
        <f t="shared" ca="1" si="66"/>
        <v>0</v>
      </c>
      <c r="HP18" s="34">
        <f t="shared" ca="1" si="66"/>
        <v>0</v>
      </c>
      <c r="HQ18" s="34">
        <f t="shared" ca="1" si="66"/>
        <v>0</v>
      </c>
      <c r="HR18" s="34">
        <f t="shared" ca="1" si="66"/>
        <v>0</v>
      </c>
      <c r="HS18" s="34">
        <f t="shared" ca="1" si="67"/>
        <v>206.25</v>
      </c>
      <c r="HT18" s="34">
        <f t="shared" ca="1" si="67"/>
        <v>0</v>
      </c>
      <c r="HU18" s="34">
        <f t="shared" ca="1" si="67"/>
        <v>0</v>
      </c>
      <c r="HV18" s="34">
        <f t="shared" ca="1" si="67"/>
        <v>0</v>
      </c>
      <c r="HW18" s="34">
        <f t="shared" ca="1" si="67"/>
        <v>0</v>
      </c>
      <c r="HX18" s="34">
        <f t="shared" ca="1" si="67"/>
        <v>0</v>
      </c>
      <c r="HY18" s="34">
        <f t="shared" ca="1" si="67"/>
        <v>206.25</v>
      </c>
      <c r="HZ18" s="34">
        <f t="shared" ca="1" si="67"/>
        <v>0</v>
      </c>
      <c r="IA18" s="34">
        <f t="shared" ca="1" si="67"/>
        <v>0</v>
      </c>
      <c r="IB18" s="34">
        <f t="shared" ca="1" si="67"/>
        <v>0</v>
      </c>
      <c r="IC18" s="34">
        <f t="shared" ca="1" si="68"/>
        <v>0</v>
      </c>
      <c r="ID18" s="34">
        <f t="shared" ca="1" si="68"/>
        <v>0</v>
      </c>
      <c r="IE18" s="34">
        <f t="shared" ca="1" si="68"/>
        <v>206.25</v>
      </c>
      <c r="IF18" s="34">
        <f t="shared" ca="1" si="68"/>
        <v>0</v>
      </c>
      <c r="IG18" s="34">
        <f t="shared" ca="1" si="68"/>
        <v>0</v>
      </c>
      <c r="IH18" s="34">
        <f t="shared" ca="1" si="68"/>
        <v>0</v>
      </c>
      <c r="II18" s="34">
        <f t="shared" ca="1" si="68"/>
        <v>0</v>
      </c>
      <c r="IJ18" s="34">
        <f t="shared" ca="1" si="68"/>
        <v>0</v>
      </c>
      <c r="IK18" s="34">
        <f t="shared" ca="1" si="68"/>
        <v>206.25</v>
      </c>
      <c r="IL18" s="34">
        <f t="shared" ca="1" si="68"/>
        <v>0</v>
      </c>
      <c r="IM18" s="34">
        <f t="shared" ca="1" si="69"/>
        <v>0</v>
      </c>
      <c r="IN18" s="34">
        <f t="shared" ca="1" si="69"/>
        <v>0</v>
      </c>
      <c r="IO18" s="34">
        <f t="shared" ca="1" si="69"/>
        <v>0</v>
      </c>
      <c r="IP18" s="34">
        <f t="shared" ca="1" si="69"/>
        <v>0</v>
      </c>
      <c r="IQ18" s="34">
        <f t="shared" ca="1" si="69"/>
        <v>206.25</v>
      </c>
      <c r="IR18" s="34">
        <f t="shared" ca="1" si="69"/>
        <v>0</v>
      </c>
      <c r="IS18" s="34">
        <f t="shared" ca="1" si="69"/>
        <v>0</v>
      </c>
      <c r="IT18" s="34">
        <f t="shared" ca="1" si="69"/>
        <v>0</v>
      </c>
      <c r="IU18" s="34">
        <f t="shared" ca="1" si="69"/>
        <v>0</v>
      </c>
      <c r="IV18" s="34">
        <f t="shared" ca="1" si="69"/>
        <v>0</v>
      </c>
      <c r="IW18" s="34">
        <f t="shared" ca="1" si="70"/>
        <v>206.25</v>
      </c>
      <c r="IX18" s="34">
        <f t="shared" ca="1" si="70"/>
        <v>0</v>
      </c>
      <c r="IY18" s="34">
        <f t="shared" ca="1" si="70"/>
        <v>0</v>
      </c>
      <c r="IZ18" s="34">
        <f t="shared" ca="1" si="70"/>
        <v>0</v>
      </c>
      <c r="JA18" s="34">
        <f t="shared" ca="1" si="70"/>
        <v>0</v>
      </c>
      <c r="JB18" s="34">
        <f t="shared" ca="1" si="70"/>
        <v>0</v>
      </c>
      <c r="JC18" s="34">
        <f t="shared" ca="1" si="70"/>
        <v>206.25</v>
      </c>
      <c r="JD18" s="34">
        <f t="shared" ca="1" si="70"/>
        <v>0</v>
      </c>
      <c r="JE18" s="34">
        <f t="shared" ca="1" si="70"/>
        <v>0</v>
      </c>
      <c r="JF18" s="34">
        <f t="shared" ca="1" si="70"/>
        <v>0</v>
      </c>
      <c r="JG18" s="34">
        <f t="shared" ca="1" si="71"/>
        <v>0</v>
      </c>
      <c r="JH18" s="34">
        <f t="shared" ca="1" si="71"/>
        <v>0</v>
      </c>
      <c r="JI18" s="34">
        <f t="shared" ca="1" si="71"/>
        <v>206.25</v>
      </c>
      <c r="JJ18" s="34">
        <f t="shared" ca="1" si="71"/>
        <v>0</v>
      </c>
      <c r="JK18" s="34">
        <f t="shared" ca="1" si="71"/>
        <v>0</v>
      </c>
      <c r="JL18" s="34">
        <f t="shared" ca="1" si="71"/>
        <v>0</v>
      </c>
      <c r="JM18" s="34">
        <f t="shared" ca="1" si="71"/>
        <v>0</v>
      </c>
      <c r="JN18" s="34">
        <f t="shared" ca="1" si="71"/>
        <v>0</v>
      </c>
      <c r="JO18" s="34">
        <f t="shared" ca="1" si="71"/>
        <v>206.25</v>
      </c>
      <c r="JP18" s="34">
        <f t="shared" ca="1" si="71"/>
        <v>0</v>
      </c>
      <c r="JQ18" s="34">
        <f t="shared" ca="1" si="72"/>
        <v>0</v>
      </c>
      <c r="JR18" s="34">
        <f t="shared" ca="1" si="72"/>
        <v>0</v>
      </c>
      <c r="JS18" s="34">
        <f t="shared" ca="1" si="72"/>
        <v>0</v>
      </c>
      <c r="JT18" s="34">
        <f t="shared" ca="1" si="72"/>
        <v>0</v>
      </c>
      <c r="JU18" s="34">
        <f t="shared" ca="1" si="72"/>
        <v>206.25</v>
      </c>
      <c r="JV18" s="34">
        <f t="shared" ca="1" si="72"/>
        <v>0</v>
      </c>
      <c r="JW18" s="34">
        <f t="shared" ca="1" si="72"/>
        <v>0</v>
      </c>
      <c r="JX18" s="34">
        <f t="shared" ca="1" si="72"/>
        <v>0</v>
      </c>
      <c r="JY18" s="34">
        <f t="shared" ca="1" si="72"/>
        <v>0</v>
      </c>
      <c r="JZ18" s="34">
        <f t="shared" ca="1" si="72"/>
        <v>0</v>
      </c>
      <c r="KA18" s="34">
        <f t="shared" ca="1" si="73"/>
        <v>206.25</v>
      </c>
      <c r="KB18" s="34">
        <f t="shared" ca="1" si="73"/>
        <v>0</v>
      </c>
      <c r="KC18" s="34">
        <f t="shared" ca="1" si="73"/>
        <v>0</v>
      </c>
      <c r="KD18" s="34">
        <f t="shared" ca="1" si="73"/>
        <v>0</v>
      </c>
      <c r="KE18" s="34">
        <f t="shared" ca="1" si="73"/>
        <v>0</v>
      </c>
      <c r="KF18" s="34">
        <f t="shared" ca="1" si="73"/>
        <v>0</v>
      </c>
      <c r="KG18" s="34">
        <f t="shared" ca="1" si="73"/>
        <v>206.25</v>
      </c>
      <c r="KH18" s="34">
        <f t="shared" ca="1" si="73"/>
        <v>0</v>
      </c>
      <c r="KI18" s="34">
        <f t="shared" ca="1" si="73"/>
        <v>0</v>
      </c>
      <c r="KJ18" s="34">
        <f t="shared" ca="1" si="73"/>
        <v>0</v>
      </c>
      <c r="KK18" s="34">
        <f t="shared" ca="1" si="74"/>
        <v>0</v>
      </c>
      <c r="KL18" s="34">
        <f t="shared" ca="1" si="74"/>
        <v>0</v>
      </c>
      <c r="KM18" s="34">
        <f t="shared" ca="1" si="74"/>
        <v>206.25</v>
      </c>
      <c r="KN18" s="34">
        <f t="shared" ca="1" si="74"/>
        <v>0</v>
      </c>
      <c r="KO18" s="34">
        <f t="shared" ca="1" si="74"/>
        <v>0</v>
      </c>
      <c r="KP18" s="34">
        <f t="shared" ca="1" si="74"/>
        <v>0</v>
      </c>
      <c r="KQ18" s="34">
        <f t="shared" ca="1" si="74"/>
        <v>0</v>
      </c>
      <c r="KR18" s="34">
        <f t="shared" ca="1" si="74"/>
        <v>0</v>
      </c>
      <c r="KS18" s="34">
        <f t="shared" ca="1" si="74"/>
        <v>206.25</v>
      </c>
      <c r="KT18" s="34">
        <f t="shared" ca="1" si="74"/>
        <v>0</v>
      </c>
      <c r="KU18" s="34">
        <f t="shared" ca="1" si="75"/>
        <v>0</v>
      </c>
      <c r="KV18" s="34">
        <f t="shared" ca="1" si="75"/>
        <v>0</v>
      </c>
      <c r="KW18" s="34">
        <f t="shared" ca="1" si="75"/>
        <v>0</v>
      </c>
      <c r="KX18" s="34">
        <f t="shared" ca="1" si="75"/>
        <v>0</v>
      </c>
      <c r="KY18" s="34">
        <f t="shared" ca="1" si="75"/>
        <v>206.25</v>
      </c>
      <c r="KZ18" s="34">
        <f t="shared" ca="1" si="75"/>
        <v>0</v>
      </c>
      <c r="LA18" s="34">
        <f t="shared" ca="1" si="75"/>
        <v>0</v>
      </c>
      <c r="LB18" s="34">
        <f t="shared" ca="1" si="75"/>
        <v>0</v>
      </c>
      <c r="LC18" s="34">
        <f t="shared" ca="1" si="75"/>
        <v>0</v>
      </c>
      <c r="LD18" s="34">
        <f t="shared" ca="1" si="75"/>
        <v>0</v>
      </c>
      <c r="LE18" s="34">
        <f t="shared" ca="1" si="76"/>
        <v>206.25</v>
      </c>
      <c r="LF18" s="34">
        <f t="shared" ca="1" si="76"/>
        <v>0</v>
      </c>
      <c r="LG18" s="34">
        <f t="shared" ca="1" si="76"/>
        <v>0</v>
      </c>
      <c r="LH18" s="34">
        <f t="shared" ca="1" si="76"/>
        <v>0</v>
      </c>
      <c r="LI18" s="34">
        <f t="shared" ca="1" si="76"/>
        <v>0</v>
      </c>
      <c r="LJ18" s="34">
        <f t="shared" ca="1" si="76"/>
        <v>0</v>
      </c>
      <c r="LK18" s="34">
        <f t="shared" ca="1" si="76"/>
        <v>206.25</v>
      </c>
      <c r="LL18" s="34">
        <f t="shared" ca="1" si="76"/>
        <v>0</v>
      </c>
      <c r="LM18" s="34">
        <f t="shared" ca="1" si="76"/>
        <v>0</v>
      </c>
      <c r="LN18" s="34">
        <f t="shared" ca="1" si="76"/>
        <v>0</v>
      </c>
      <c r="LO18" s="34">
        <f t="shared" ca="1" si="77"/>
        <v>0</v>
      </c>
      <c r="LP18" s="34">
        <f t="shared" ca="1" si="77"/>
        <v>0</v>
      </c>
      <c r="LQ18" s="34">
        <f t="shared" ca="1" si="77"/>
        <v>206.25</v>
      </c>
      <c r="LR18" s="34">
        <f t="shared" ca="1" si="77"/>
        <v>0</v>
      </c>
      <c r="LS18" s="34">
        <f t="shared" ca="1" si="77"/>
        <v>0</v>
      </c>
      <c r="LT18" s="34">
        <f t="shared" ca="1" si="77"/>
        <v>0</v>
      </c>
      <c r="LU18" s="34">
        <f t="shared" ca="1" si="77"/>
        <v>0</v>
      </c>
      <c r="LV18" s="34">
        <f t="shared" ca="1" si="77"/>
        <v>0</v>
      </c>
      <c r="LW18" s="34">
        <f t="shared" ca="1" si="77"/>
        <v>206.25</v>
      </c>
      <c r="LX18" s="34">
        <f t="shared" ca="1" si="77"/>
        <v>0</v>
      </c>
      <c r="LY18" s="34">
        <f t="shared" ca="1" si="78"/>
        <v>0</v>
      </c>
      <c r="LZ18" s="34">
        <f t="shared" ca="1" si="78"/>
        <v>0</v>
      </c>
      <c r="MA18" s="34">
        <f t="shared" ca="1" si="78"/>
        <v>0</v>
      </c>
      <c r="MB18" s="34">
        <f t="shared" ca="1" si="78"/>
        <v>0</v>
      </c>
      <c r="MC18" s="34">
        <f t="shared" ca="1" si="78"/>
        <v>206.25</v>
      </c>
      <c r="MD18" s="34">
        <f t="shared" ca="1" si="78"/>
        <v>0</v>
      </c>
      <c r="ME18" s="34">
        <f t="shared" ca="1" si="78"/>
        <v>0</v>
      </c>
      <c r="MF18" s="34">
        <f t="shared" ca="1" si="78"/>
        <v>0</v>
      </c>
      <c r="MG18" s="34">
        <f t="shared" ca="1" si="78"/>
        <v>0</v>
      </c>
      <c r="MH18" s="34">
        <f t="shared" ca="1" si="78"/>
        <v>0</v>
      </c>
      <c r="MI18" s="34">
        <f t="shared" ca="1" si="79"/>
        <v>206.25</v>
      </c>
      <c r="MJ18" s="34">
        <f t="shared" ca="1" si="79"/>
        <v>0</v>
      </c>
      <c r="MK18" s="34">
        <f t="shared" ca="1" si="79"/>
        <v>0</v>
      </c>
      <c r="ML18" s="34">
        <f t="shared" ca="1" si="79"/>
        <v>0</v>
      </c>
      <c r="MM18" s="34">
        <f t="shared" ca="1" si="79"/>
        <v>0</v>
      </c>
      <c r="MN18" s="34">
        <f t="shared" ca="1" si="79"/>
        <v>0</v>
      </c>
      <c r="MO18" s="34">
        <f t="shared" ca="1" si="79"/>
        <v>206.25</v>
      </c>
      <c r="MP18" s="34">
        <f t="shared" ca="1" si="79"/>
        <v>0</v>
      </c>
      <c r="MQ18" s="34">
        <f t="shared" ca="1" si="79"/>
        <v>0</v>
      </c>
      <c r="MR18" s="34">
        <f t="shared" ca="1" si="79"/>
        <v>0</v>
      </c>
      <c r="MS18" s="34">
        <f t="shared" ca="1" si="80"/>
        <v>0</v>
      </c>
      <c r="MT18" s="34">
        <f t="shared" ca="1" si="80"/>
        <v>0</v>
      </c>
      <c r="MU18" s="34">
        <f t="shared" ca="1" si="80"/>
        <v>206.25</v>
      </c>
      <c r="MV18" s="34">
        <f t="shared" ca="1" si="80"/>
        <v>0</v>
      </c>
      <c r="MW18" s="34">
        <f t="shared" ca="1" si="80"/>
        <v>0</v>
      </c>
      <c r="MX18" s="34">
        <f t="shared" ca="1" si="80"/>
        <v>0</v>
      </c>
      <c r="MY18" s="34">
        <f t="shared" ca="1" si="80"/>
        <v>0</v>
      </c>
      <c r="MZ18" s="34">
        <f t="shared" ca="1" si="80"/>
        <v>0</v>
      </c>
      <c r="NA18" s="34">
        <f t="shared" ca="1" si="80"/>
        <v>0</v>
      </c>
      <c r="NB18" s="34">
        <f t="shared" ca="1" si="80"/>
        <v>0</v>
      </c>
      <c r="NC18" s="34">
        <f t="shared" ca="1" si="81"/>
        <v>0</v>
      </c>
      <c r="ND18" s="34">
        <f t="shared" ca="1" si="81"/>
        <v>0</v>
      </c>
      <c r="NE18" s="34">
        <f t="shared" ca="1" si="81"/>
        <v>0</v>
      </c>
      <c r="NF18" s="34">
        <f t="shared" ca="1" si="81"/>
        <v>0</v>
      </c>
      <c r="NG18" s="34">
        <f t="shared" ca="1" si="81"/>
        <v>0</v>
      </c>
      <c r="NH18" s="34">
        <f t="shared" ca="1" si="81"/>
        <v>0</v>
      </c>
      <c r="NI18" s="34">
        <f t="shared" ca="1" si="81"/>
        <v>0</v>
      </c>
      <c r="NJ18" s="34">
        <f t="shared" ca="1" si="81"/>
        <v>0</v>
      </c>
      <c r="NK18" s="34">
        <f t="shared" ca="1" si="81"/>
        <v>0</v>
      </c>
      <c r="NL18" s="34">
        <f t="shared" ca="1" si="81"/>
        <v>0</v>
      </c>
      <c r="NM18" s="34">
        <f t="shared" ca="1" si="82"/>
        <v>0</v>
      </c>
      <c r="NN18" s="34">
        <f t="shared" ca="1" si="82"/>
        <v>0</v>
      </c>
      <c r="NO18" s="34">
        <f t="shared" ca="1" si="82"/>
        <v>0</v>
      </c>
      <c r="NP18" s="34">
        <f t="shared" ca="1" si="82"/>
        <v>0</v>
      </c>
      <c r="NQ18" s="34">
        <f t="shared" ca="1" si="82"/>
        <v>0</v>
      </c>
      <c r="NR18" s="34">
        <f t="shared" ca="1" si="82"/>
        <v>0</v>
      </c>
      <c r="NS18" s="34">
        <f t="shared" ca="1" si="82"/>
        <v>0</v>
      </c>
      <c r="NT18" s="34">
        <f t="shared" ca="1" si="82"/>
        <v>0</v>
      </c>
      <c r="NU18" s="34">
        <f t="shared" ca="1" si="82"/>
        <v>0</v>
      </c>
      <c r="NV18" s="34">
        <f t="shared" ca="1" si="82"/>
        <v>0</v>
      </c>
      <c r="NW18" s="34">
        <f t="shared" ca="1" si="83"/>
        <v>0</v>
      </c>
      <c r="NX18" s="34">
        <f t="shared" ca="1" si="83"/>
        <v>0</v>
      </c>
      <c r="NY18" s="34">
        <f t="shared" ca="1" si="83"/>
        <v>0</v>
      </c>
      <c r="NZ18" s="34">
        <f t="shared" ca="1" si="83"/>
        <v>0</v>
      </c>
      <c r="OA18" s="34">
        <f t="shared" ca="1" si="83"/>
        <v>0</v>
      </c>
      <c r="OB18" s="34">
        <f t="shared" ca="1" si="83"/>
        <v>0</v>
      </c>
      <c r="OC18" s="34">
        <f t="shared" ca="1" si="83"/>
        <v>0</v>
      </c>
      <c r="OD18" s="34">
        <f t="shared" ca="1" si="83"/>
        <v>0</v>
      </c>
      <c r="OE18" s="34">
        <f t="shared" ca="1" si="83"/>
        <v>0</v>
      </c>
      <c r="OF18" s="34">
        <f t="shared" ca="1" si="83"/>
        <v>0</v>
      </c>
      <c r="OG18" s="34">
        <f t="shared" ca="1" si="84"/>
        <v>0</v>
      </c>
      <c r="OH18" s="34">
        <f t="shared" ca="1" si="84"/>
        <v>0</v>
      </c>
      <c r="OI18" s="34">
        <f t="shared" ca="1" si="84"/>
        <v>0</v>
      </c>
      <c r="OJ18" s="34">
        <f t="shared" ca="1" si="84"/>
        <v>0</v>
      </c>
      <c r="OK18" s="34">
        <f t="shared" ca="1" si="84"/>
        <v>0</v>
      </c>
      <c r="OL18" s="34">
        <f t="shared" ca="1" si="84"/>
        <v>0</v>
      </c>
      <c r="OM18" s="34">
        <f t="shared" ca="1" si="84"/>
        <v>0</v>
      </c>
      <c r="ON18" s="34">
        <f t="shared" ca="1" si="84"/>
        <v>0</v>
      </c>
      <c r="OO18" s="34">
        <f t="shared" ca="1" si="84"/>
        <v>0</v>
      </c>
      <c r="OP18" s="34">
        <f t="shared" ca="1" si="84"/>
        <v>0</v>
      </c>
      <c r="OQ18" s="34">
        <f t="shared" ca="1" si="85"/>
        <v>0</v>
      </c>
      <c r="OR18" s="34">
        <f t="shared" ca="1" si="85"/>
        <v>0</v>
      </c>
      <c r="OS18" s="34">
        <f t="shared" ca="1" si="85"/>
        <v>0</v>
      </c>
      <c r="OT18" s="34">
        <f t="shared" ca="1" si="85"/>
        <v>0</v>
      </c>
      <c r="OU18" s="34">
        <f t="shared" ca="1" si="85"/>
        <v>0</v>
      </c>
      <c r="OV18" s="34">
        <f t="shared" ca="1" si="85"/>
        <v>0</v>
      </c>
      <c r="OW18" s="34">
        <f t="shared" ca="1" si="85"/>
        <v>0</v>
      </c>
      <c r="OX18" s="34">
        <f t="shared" ca="1" si="85"/>
        <v>0</v>
      </c>
      <c r="OY18" s="34">
        <f t="shared" ca="1" si="85"/>
        <v>0</v>
      </c>
      <c r="OZ18" s="34">
        <f t="shared" ca="1" si="85"/>
        <v>0</v>
      </c>
      <c r="PA18" s="34">
        <f t="shared" ca="1" si="86"/>
        <v>0</v>
      </c>
      <c r="PB18" s="34">
        <f t="shared" ca="1" si="86"/>
        <v>0</v>
      </c>
      <c r="PC18" s="34">
        <f t="shared" ca="1" si="86"/>
        <v>0</v>
      </c>
      <c r="PD18" s="34">
        <f t="shared" ca="1" si="86"/>
        <v>0</v>
      </c>
      <c r="PE18" s="34">
        <f t="shared" ca="1" si="86"/>
        <v>0</v>
      </c>
      <c r="PF18" s="34">
        <f t="shared" ca="1" si="86"/>
        <v>0</v>
      </c>
      <c r="PG18" s="34">
        <f t="shared" ca="1" si="86"/>
        <v>0</v>
      </c>
      <c r="PH18" s="34">
        <f t="shared" ca="1" si="86"/>
        <v>0</v>
      </c>
      <c r="PI18" s="34">
        <f t="shared" ca="1" si="86"/>
        <v>0</v>
      </c>
      <c r="PJ18" s="34">
        <f t="shared" ca="1" si="86"/>
        <v>0</v>
      </c>
      <c r="PK18" s="34">
        <f t="shared" ca="1" si="87"/>
        <v>0</v>
      </c>
      <c r="PL18" s="34">
        <f t="shared" ca="1" si="87"/>
        <v>0</v>
      </c>
      <c r="PM18" s="34">
        <f t="shared" ca="1" si="87"/>
        <v>0</v>
      </c>
      <c r="PN18" s="34">
        <f t="shared" ca="1" si="87"/>
        <v>0</v>
      </c>
      <c r="PO18" s="34">
        <f t="shared" ca="1" si="87"/>
        <v>0</v>
      </c>
      <c r="PP18" s="34">
        <f t="shared" ca="1" si="87"/>
        <v>0</v>
      </c>
      <c r="PQ18" s="34">
        <f t="shared" ca="1" si="87"/>
        <v>0</v>
      </c>
      <c r="PR18" s="34">
        <f t="shared" ca="1" si="87"/>
        <v>0</v>
      </c>
      <c r="PS18" s="34">
        <f t="shared" ca="1" si="87"/>
        <v>0</v>
      </c>
      <c r="PT18" s="34">
        <f t="shared" ca="1" si="87"/>
        <v>0</v>
      </c>
      <c r="PU18" s="34">
        <f t="shared" ca="1" si="88"/>
        <v>0</v>
      </c>
      <c r="PV18" s="34">
        <f t="shared" ca="1" si="88"/>
        <v>0</v>
      </c>
      <c r="PW18" s="34">
        <f t="shared" ca="1" si="88"/>
        <v>0</v>
      </c>
      <c r="PX18" s="34">
        <f t="shared" ca="1" si="88"/>
        <v>0</v>
      </c>
      <c r="PY18" s="34">
        <f t="shared" ca="1" si="88"/>
        <v>0</v>
      </c>
      <c r="PZ18" s="34">
        <f t="shared" ca="1" si="88"/>
        <v>0</v>
      </c>
      <c r="QA18" s="34">
        <f t="shared" ca="1" si="88"/>
        <v>0</v>
      </c>
      <c r="QB18" s="34">
        <f t="shared" ca="1" si="88"/>
        <v>0</v>
      </c>
      <c r="QC18" s="34">
        <f t="shared" ca="1" si="88"/>
        <v>0</v>
      </c>
      <c r="QD18" s="34">
        <f t="shared" ca="1" si="88"/>
        <v>0</v>
      </c>
      <c r="QE18" s="34">
        <f t="shared" ca="1" si="89"/>
        <v>0</v>
      </c>
      <c r="QF18" s="34">
        <f t="shared" ca="1" si="89"/>
        <v>0</v>
      </c>
      <c r="QG18" s="34">
        <f t="shared" ca="1" si="89"/>
        <v>0</v>
      </c>
      <c r="QH18" s="34">
        <f t="shared" ca="1" si="89"/>
        <v>0</v>
      </c>
      <c r="QI18" s="34">
        <f t="shared" ca="1" si="89"/>
        <v>0</v>
      </c>
      <c r="QJ18" s="34">
        <f t="shared" ca="1" si="89"/>
        <v>0</v>
      </c>
      <c r="QK18" s="34">
        <f t="shared" ca="1" si="89"/>
        <v>0</v>
      </c>
      <c r="QL18" s="34">
        <f t="shared" ca="1" si="89"/>
        <v>0</v>
      </c>
      <c r="QM18" s="34">
        <f t="shared" ca="1" si="89"/>
        <v>0</v>
      </c>
      <c r="QN18" s="34">
        <f t="shared" ca="1" si="89"/>
        <v>0</v>
      </c>
      <c r="QO18" s="34">
        <f t="shared" ca="1" si="90"/>
        <v>0</v>
      </c>
      <c r="QP18" s="34">
        <f t="shared" ca="1" si="90"/>
        <v>0</v>
      </c>
      <c r="QQ18" s="34">
        <f t="shared" ca="1" si="90"/>
        <v>0</v>
      </c>
      <c r="QR18" s="34">
        <f t="shared" ca="1" si="90"/>
        <v>0</v>
      </c>
      <c r="QS18" s="34">
        <f t="shared" ca="1" si="90"/>
        <v>0</v>
      </c>
      <c r="QT18" s="34">
        <f t="shared" ca="1" si="90"/>
        <v>0</v>
      </c>
      <c r="QU18" s="34">
        <f t="shared" ca="1" si="90"/>
        <v>0</v>
      </c>
      <c r="QV18" s="34">
        <f t="shared" ca="1" si="90"/>
        <v>0</v>
      </c>
      <c r="QW18" s="34">
        <f t="shared" ca="1" si="90"/>
        <v>0</v>
      </c>
      <c r="QX18" s="34">
        <f t="shared" ca="1" si="90"/>
        <v>0</v>
      </c>
      <c r="QY18" s="34">
        <f t="shared" ca="1" si="91"/>
        <v>0</v>
      </c>
      <c r="QZ18" s="34">
        <f t="shared" ca="1" si="91"/>
        <v>0</v>
      </c>
      <c r="RA18" s="34">
        <f t="shared" ca="1" si="91"/>
        <v>0</v>
      </c>
      <c r="RB18" s="34">
        <f t="shared" ca="1" si="91"/>
        <v>0</v>
      </c>
      <c r="RC18" s="34">
        <f t="shared" ca="1" si="91"/>
        <v>0</v>
      </c>
      <c r="RD18" s="34">
        <f t="shared" ca="1" si="91"/>
        <v>0</v>
      </c>
      <c r="RE18" s="34">
        <f t="shared" ca="1" si="91"/>
        <v>0</v>
      </c>
      <c r="RF18" s="34">
        <f t="shared" ca="1" si="91"/>
        <v>0</v>
      </c>
      <c r="RG18" s="34">
        <f t="shared" ca="1" si="91"/>
        <v>0</v>
      </c>
      <c r="RH18" s="34">
        <f t="shared" ca="1" si="91"/>
        <v>0</v>
      </c>
      <c r="RI18" s="34">
        <f t="shared" ca="1" si="92"/>
        <v>0</v>
      </c>
      <c r="RJ18" s="34">
        <f t="shared" ca="1" si="92"/>
        <v>0</v>
      </c>
      <c r="RK18" s="34">
        <f t="shared" ca="1" si="92"/>
        <v>0</v>
      </c>
      <c r="RL18" s="34">
        <f t="shared" ca="1" si="92"/>
        <v>0</v>
      </c>
      <c r="RM18" s="34">
        <f t="shared" ca="1" si="92"/>
        <v>0</v>
      </c>
      <c r="RN18" s="34">
        <f t="shared" ca="1" si="92"/>
        <v>0</v>
      </c>
      <c r="RO18" s="34">
        <f t="shared" ca="1" si="92"/>
        <v>0</v>
      </c>
      <c r="RP18" s="34">
        <f t="shared" ca="1" si="92"/>
        <v>0</v>
      </c>
      <c r="RQ18" s="34">
        <f t="shared" ca="1" si="92"/>
        <v>0</v>
      </c>
      <c r="RR18" s="34">
        <f t="shared" ca="1" si="92"/>
        <v>0</v>
      </c>
      <c r="RS18" s="34">
        <f t="shared" ca="1" si="93"/>
        <v>0</v>
      </c>
      <c r="RT18" s="34">
        <f t="shared" ca="1" si="93"/>
        <v>0</v>
      </c>
      <c r="RU18" s="34">
        <f t="shared" ca="1" si="93"/>
        <v>0</v>
      </c>
      <c r="RV18" s="34">
        <f t="shared" ca="1" si="93"/>
        <v>0</v>
      </c>
      <c r="RW18" s="34">
        <f t="shared" ca="1" si="93"/>
        <v>0</v>
      </c>
      <c r="RX18" s="34">
        <f t="shared" ca="1" si="93"/>
        <v>0</v>
      </c>
      <c r="RY18" s="34">
        <f t="shared" ca="1" si="93"/>
        <v>0</v>
      </c>
      <c r="RZ18" s="34">
        <f t="shared" ca="1" si="93"/>
        <v>0</v>
      </c>
      <c r="SA18" s="34">
        <f t="shared" ca="1" si="93"/>
        <v>0</v>
      </c>
      <c r="SB18" s="34">
        <f t="shared" ca="1" si="93"/>
        <v>0</v>
      </c>
      <c r="SC18" s="34">
        <f t="shared" ca="1" si="94"/>
        <v>0</v>
      </c>
      <c r="SD18" s="34">
        <f t="shared" ca="1" si="94"/>
        <v>0</v>
      </c>
      <c r="SE18" s="34">
        <f t="shared" ca="1" si="94"/>
        <v>0</v>
      </c>
      <c r="SF18" s="34">
        <f t="shared" ca="1" si="94"/>
        <v>0</v>
      </c>
      <c r="SG18" s="34">
        <f t="shared" ca="1" si="94"/>
        <v>0</v>
      </c>
      <c r="SH18" s="34">
        <f t="shared" ca="1" si="94"/>
        <v>0</v>
      </c>
      <c r="SI18" s="34">
        <f t="shared" ca="1" si="94"/>
        <v>0</v>
      </c>
      <c r="SJ18" s="34">
        <f t="shared" ca="1" si="94"/>
        <v>0</v>
      </c>
      <c r="SK18" s="34">
        <f t="shared" ca="1" si="94"/>
        <v>0</v>
      </c>
      <c r="SL18" s="34">
        <f t="shared" ca="1" si="94"/>
        <v>0</v>
      </c>
      <c r="SM18" s="34">
        <f t="shared" ca="1" si="95"/>
        <v>0</v>
      </c>
      <c r="SN18" s="34">
        <f t="shared" ca="1" si="95"/>
        <v>0</v>
      </c>
      <c r="SO18" s="34">
        <f t="shared" ca="1" si="95"/>
        <v>0</v>
      </c>
      <c r="SP18" s="34">
        <f t="shared" ca="1" si="95"/>
        <v>0</v>
      </c>
      <c r="SQ18" s="34">
        <f t="shared" ca="1" si="95"/>
        <v>0</v>
      </c>
      <c r="SR18" s="34">
        <f t="shared" ca="1" si="95"/>
        <v>0</v>
      </c>
      <c r="SS18" s="34">
        <f t="shared" ca="1" si="95"/>
        <v>0</v>
      </c>
      <c r="ST18" s="34">
        <f t="shared" ca="1" si="95"/>
        <v>0</v>
      </c>
      <c r="SU18" s="34">
        <f t="shared" ca="1" si="95"/>
        <v>0</v>
      </c>
      <c r="SV18" s="34">
        <f t="shared" ca="1" si="95"/>
        <v>0</v>
      </c>
      <c r="SW18" s="34">
        <f t="shared" ca="1" si="96"/>
        <v>0</v>
      </c>
      <c r="SX18" s="34">
        <f t="shared" ca="1" si="96"/>
        <v>0</v>
      </c>
      <c r="SY18" s="34">
        <f t="shared" ca="1" si="96"/>
        <v>0</v>
      </c>
      <c r="SZ18" s="34">
        <f t="shared" ca="1" si="96"/>
        <v>0</v>
      </c>
      <c r="TA18" s="34">
        <f t="shared" ca="1" si="96"/>
        <v>0</v>
      </c>
      <c r="TB18" s="34">
        <f t="shared" ca="1" si="96"/>
        <v>0</v>
      </c>
      <c r="TC18" s="34">
        <f t="shared" ca="1" si="96"/>
        <v>0</v>
      </c>
      <c r="TD18" s="34">
        <f t="shared" ca="1" si="96"/>
        <v>0</v>
      </c>
      <c r="TE18" s="34">
        <f t="shared" ca="1" si="96"/>
        <v>0</v>
      </c>
      <c r="TF18" s="34">
        <f t="shared" ca="1" si="96"/>
        <v>0</v>
      </c>
      <c r="TG18" s="34">
        <f t="shared" ca="1" si="97"/>
        <v>0</v>
      </c>
      <c r="TH18" s="34">
        <f t="shared" ca="1" si="97"/>
        <v>0</v>
      </c>
      <c r="TI18" s="34">
        <f t="shared" ca="1" si="97"/>
        <v>0</v>
      </c>
      <c r="TJ18" s="34">
        <f t="shared" ca="1" si="97"/>
        <v>0</v>
      </c>
      <c r="TK18" s="34">
        <f t="shared" ca="1" si="97"/>
        <v>0</v>
      </c>
      <c r="TL18" s="34">
        <f t="shared" ca="1" si="97"/>
        <v>0</v>
      </c>
      <c r="TM18" s="34">
        <f t="shared" ca="1" si="97"/>
        <v>0</v>
      </c>
      <c r="TN18" s="34">
        <f t="shared" ca="1" si="97"/>
        <v>0</v>
      </c>
      <c r="TO18" s="34">
        <f t="shared" ca="1" si="97"/>
        <v>0</v>
      </c>
      <c r="TP18" s="34">
        <f t="shared" ca="1" si="97"/>
        <v>0</v>
      </c>
      <c r="TQ18" s="34">
        <f t="shared" ca="1" si="98"/>
        <v>0</v>
      </c>
      <c r="TR18" s="34">
        <f t="shared" ca="1" si="98"/>
        <v>0</v>
      </c>
      <c r="TS18" s="34">
        <f t="shared" ca="1" si="98"/>
        <v>0</v>
      </c>
      <c r="TT18" s="34">
        <f t="shared" ca="1" si="98"/>
        <v>0</v>
      </c>
      <c r="TU18" s="34">
        <f t="shared" ca="1" si="98"/>
        <v>0</v>
      </c>
      <c r="TV18" s="34">
        <f t="shared" ca="1" si="98"/>
        <v>0</v>
      </c>
      <c r="TW18" s="34">
        <f t="shared" ca="1" si="98"/>
        <v>0</v>
      </c>
      <c r="TX18" s="34">
        <f t="shared" ca="1" si="98"/>
        <v>0</v>
      </c>
      <c r="TY18" s="34">
        <f t="shared" ca="1" si="98"/>
        <v>0</v>
      </c>
      <c r="TZ18" s="34">
        <f t="shared" ca="1" si="98"/>
        <v>0</v>
      </c>
      <c r="UA18" s="34">
        <f t="shared" ca="1" si="99"/>
        <v>0</v>
      </c>
      <c r="UB18" s="34">
        <f t="shared" ca="1" si="99"/>
        <v>0</v>
      </c>
      <c r="UC18" s="34">
        <f t="shared" ca="1" si="99"/>
        <v>0</v>
      </c>
      <c r="UD18" s="34">
        <f t="shared" ca="1" si="99"/>
        <v>0</v>
      </c>
      <c r="UE18" s="34">
        <f t="shared" ca="1" si="99"/>
        <v>0</v>
      </c>
      <c r="UF18" s="34">
        <f t="shared" ca="1" si="99"/>
        <v>0</v>
      </c>
      <c r="UG18" s="34">
        <f t="shared" ca="1" si="99"/>
        <v>0</v>
      </c>
      <c r="UH18" s="34">
        <f t="shared" ca="1" si="99"/>
        <v>0</v>
      </c>
      <c r="UI18" s="34">
        <f t="shared" ca="1" si="99"/>
        <v>0</v>
      </c>
      <c r="UJ18" s="34">
        <f t="shared" ca="1" si="99"/>
        <v>0</v>
      </c>
      <c r="UK18" s="34">
        <f t="shared" ca="1" si="100"/>
        <v>0</v>
      </c>
      <c r="UL18" s="34">
        <f t="shared" ca="1" si="100"/>
        <v>0</v>
      </c>
      <c r="UM18" s="34">
        <f t="shared" ca="1" si="100"/>
        <v>0</v>
      </c>
      <c r="UN18" s="34">
        <f t="shared" ca="1" si="100"/>
        <v>0</v>
      </c>
      <c r="UO18" s="34">
        <f t="shared" ca="1" si="100"/>
        <v>0</v>
      </c>
      <c r="UP18" s="34">
        <f t="shared" ca="1" si="100"/>
        <v>0</v>
      </c>
      <c r="UQ18" s="34">
        <f t="shared" ca="1" si="100"/>
        <v>0</v>
      </c>
      <c r="UR18" s="34">
        <f t="shared" ca="1" si="100"/>
        <v>0</v>
      </c>
      <c r="US18" s="34">
        <f t="shared" ca="1" si="100"/>
        <v>0</v>
      </c>
      <c r="UT18" s="34">
        <f t="shared" ca="1" si="100"/>
        <v>0</v>
      </c>
      <c r="UU18" s="34">
        <f t="shared" ca="1" si="101"/>
        <v>0</v>
      </c>
      <c r="UV18" s="34">
        <f t="shared" ca="1" si="101"/>
        <v>0</v>
      </c>
      <c r="UW18" s="34">
        <f t="shared" ca="1" si="101"/>
        <v>0</v>
      </c>
      <c r="UX18" s="34">
        <f t="shared" ca="1" si="101"/>
        <v>0</v>
      </c>
      <c r="UY18" s="34">
        <f t="shared" ca="1" si="101"/>
        <v>0</v>
      </c>
      <c r="UZ18" s="34">
        <f t="shared" ca="1" si="101"/>
        <v>0</v>
      </c>
      <c r="VA18" s="34">
        <f t="shared" ca="1" si="101"/>
        <v>0</v>
      </c>
      <c r="VB18" s="34">
        <f t="shared" ca="1" si="101"/>
        <v>0</v>
      </c>
      <c r="VC18" s="34">
        <f t="shared" ca="1" si="101"/>
        <v>0</v>
      </c>
      <c r="VD18" s="34">
        <f t="shared" ca="1" si="101"/>
        <v>0</v>
      </c>
      <c r="VE18" s="34">
        <f t="shared" ca="1" si="102"/>
        <v>0</v>
      </c>
      <c r="VF18" s="34">
        <f t="shared" ca="1" si="102"/>
        <v>0</v>
      </c>
      <c r="VG18" s="34">
        <f t="shared" ca="1" si="102"/>
        <v>0</v>
      </c>
      <c r="VH18" s="34">
        <f t="shared" ca="1" si="102"/>
        <v>0</v>
      </c>
      <c r="VI18" s="34">
        <f t="shared" ca="1" si="102"/>
        <v>0</v>
      </c>
      <c r="VJ18" s="34">
        <f t="shared" ca="1" si="102"/>
        <v>0</v>
      </c>
      <c r="VK18" s="34">
        <f t="shared" ca="1" si="102"/>
        <v>0</v>
      </c>
      <c r="VL18" s="34">
        <f t="shared" ca="1" si="102"/>
        <v>0</v>
      </c>
      <c r="VM18" s="34">
        <f t="shared" ca="1" si="102"/>
        <v>0</v>
      </c>
      <c r="VN18" s="34">
        <f t="shared" ca="1" si="102"/>
        <v>0</v>
      </c>
      <c r="VO18" s="34">
        <f t="shared" ca="1" si="103"/>
        <v>0</v>
      </c>
      <c r="VP18" s="34">
        <f t="shared" ca="1" si="103"/>
        <v>0</v>
      </c>
      <c r="VQ18" s="34">
        <f t="shared" ca="1" si="103"/>
        <v>0</v>
      </c>
      <c r="VR18" s="34">
        <f t="shared" ca="1" si="103"/>
        <v>0</v>
      </c>
      <c r="VS18" s="34">
        <f t="shared" ca="1" si="103"/>
        <v>0</v>
      </c>
      <c r="VT18" s="34">
        <f t="shared" ca="1" si="103"/>
        <v>0</v>
      </c>
      <c r="VU18" s="34">
        <f t="shared" ca="1" si="103"/>
        <v>0</v>
      </c>
      <c r="VV18" s="34">
        <f t="shared" ca="1" si="103"/>
        <v>0</v>
      </c>
      <c r="VW18" s="34">
        <f t="shared" ca="1" si="103"/>
        <v>0</v>
      </c>
      <c r="VX18" s="34">
        <f t="shared" ca="1" si="103"/>
        <v>0</v>
      </c>
      <c r="VY18" s="34">
        <f t="shared" ca="1" si="104"/>
        <v>0</v>
      </c>
      <c r="VZ18" s="34">
        <f t="shared" ca="1" si="104"/>
        <v>0</v>
      </c>
      <c r="WA18" s="34">
        <f t="shared" ca="1" si="104"/>
        <v>0</v>
      </c>
      <c r="WB18" s="34">
        <f t="shared" ca="1" si="104"/>
        <v>0</v>
      </c>
      <c r="WC18" s="34">
        <f t="shared" ca="1" si="104"/>
        <v>0</v>
      </c>
      <c r="WD18" s="34">
        <f t="shared" ca="1" si="104"/>
        <v>0</v>
      </c>
      <c r="WE18" s="34">
        <f t="shared" ca="1" si="104"/>
        <v>0</v>
      </c>
      <c r="WF18" s="34">
        <f t="shared" ca="1" si="104"/>
        <v>0</v>
      </c>
      <c r="WG18" s="34">
        <f t="shared" ca="1" si="104"/>
        <v>0</v>
      </c>
      <c r="WH18" s="34">
        <f t="shared" ca="1" si="104"/>
        <v>0</v>
      </c>
      <c r="WI18" s="34">
        <f t="shared" ca="1" si="105"/>
        <v>0</v>
      </c>
      <c r="WJ18" s="34">
        <f t="shared" ca="1" si="105"/>
        <v>0</v>
      </c>
      <c r="WK18" s="34">
        <f t="shared" ca="1" si="105"/>
        <v>0</v>
      </c>
      <c r="WL18" s="34">
        <f t="shared" ca="1" si="105"/>
        <v>0</v>
      </c>
      <c r="WM18" s="34">
        <f t="shared" ca="1" si="105"/>
        <v>0</v>
      </c>
      <c r="WN18" s="34">
        <f t="shared" ca="1" si="105"/>
        <v>0</v>
      </c>
      <c r="WO18" s="34">
        <f t="shared" ca="1" si="105"/>
        <v>0</v>
      </c>
      <c r="WP18" s="34">
        <f t="shared" ca="1" si="105"/>
        <v>0</v>
      </c>
      <c r="WQ18" s="34">
        <f t="shared" ca="1" si="105"/>
        <v>0</v>
      </c>
      <c r="WR18" s="34">
        <f t="shared" ca="1" si="105"/>
        <v>0</v>
      </c>
      <c r="WS18" s="34">
        <f t="shared" ca="1" si="106"/>
        <v>0</v>
      </c>
      <c r="WT18" s="34">
        <f t="shared" ca="1" si="106"/>
        <v>0</v>
      </c>
      <c r="WU18" s="34">
        <f t="shared" ca="1" si="106"/>
        <v>0</v>
      </c>
      <c r="WV18" s="34">
        <f t="shared" ca="1" si="106"/>
        <v>0</v>
      </c>
      <c r="WW18" s="34">
        <f t="shared" ca="1" si="106"/>
        <v>0</v>
      </c>
      <c r="WX18" s="34">
        <f t="shared" ca="1" si="106"/>
        <v>0</v>
      </c>
      <c r="WY18" s="34">
        <f t="shared" ca="1" si="106"/>
        <v>0</v>
      </c>
      <c r="WZ18" s="34">
        <f t="shared" ca="1" si="106"/>
        <v>0</v>
      </c>
      <c r="XA18" s="34">
        <f t="shared" ca="1" si="106"/>
        <v>0</v>
      </c>
      <c r="XB18" s="34">
        <f t="shared" ca="1" si="106"/>
        <v>0</v>
      </c>
      <c r="XC18" s="34">
        <f t="shared" ca="1" si="107"/>
        <v>0</v>
      </c>
      <c r="XD18" s="34">
        <f t="shared" ca="1" si="107"/>
        <v>0</v>
      </c>
      <c r="XE18" s="34">
        <f t="shared" ca="1" si="107"/>
        <v>0</v>
      </c>
      <c r="XF18" s="34">
        <f t="shared" ca="1" si="107"/>
        <v>0</v>
      </c>
      <c r="XG18" s="34">
        <f t="shared" ca="1" si="107"/>
        <v>0</v>
      </c>
      <c r="XH18" s="34">
        <f t="shared" ca="1" si="107"/>
        <v>0</v>
      </c>
      <c r="XI18" s="34">
        <f t="shared" ca="1" si="107"/>
        <v>0</v>
      </c>
      <c r="XJ18" s="34">
        <f t="shared" ca="1" si="107"/>
        <v>0</v>
      </c>
      <c r="XK18" s="34">
        <f t="shared" ca="1" si="107"/>
        <v>0</v>
      </c>
      <c r="XL18" s="34">
        <f t="shared" ca="1" si="107"/>
        <v>0</v>
      </c>
      <c r="XM18" s="34">
        <f t="shared" ca="1" si="108"/>
        <v>0</v>
      </c>
      <c r="XN18" s="34">
        <f t="shared" ca="1" si="108"/>
        <v>0</v>
      </c>
      <c r="XO18" s="34">
        <f t="shared" ca="1" si="108"/>
        <v>0</v>
      </c>
      <c r="XP18" s="34">
        <f t="shared" ca="1" si="108"/>
        <v>0</v>
      </c>
      <c r="XQ18" s="34">
        <f t="shared" ca="1" si="108"/>
        <v>0</v>
      </c>
      <c r="XR18" s="34">
        <f t="shared" ca="1" si="108"/>
        <v>0</v>
      </c>
      <c r="XS18" s="34">
        <f t="shared" ca="1" si="108"/>
        <v>0</v>
      </c>
      <c r="XT18" s="34">
        <f t="shared" ca="1" si="108"/>
        <v>0</v>
      </c>
      <c r="XU18" s="34">
        <f t="shared" ca="1" si="108"/>
        <v>0</v>
      </c>
      <c r="XV18" s="34">
        <f t="shared" ca="1" si="108"/>
        <v>0</v>
      </c>
      <c r="XW18" s="34">
        <f t="shared" ca="1" si="109"/>
        <v>0</v>
      </c>
      <c r="XX18" s="34">
        <f t="shared" ca="1" si="109"/>
        <v>0</v>
      </c>
      <c r="XY18" s="34">
        <f t="shared" ca="1" si="109"/>
        <v>0</v>
      </c>
      <c r="XZ18" s="34">
        <f t="shared" ca="1" si="109"/>
        <v>0</v>
      </c>
      <c r="YA18" s="34">
        <f t="shared" ca="1" si="109"/>
        <v>0</v>
      </c>
      <c r="YB18" s="34">
        <f t="shared" ca="1" si="109"/>
        <v>0</v>
      </c>
      <c r="YC18" s="34">
        <f t="shared" ca="1" si="109"/>
        <v>0</v>
      </c>
      <c r="YD18" s="34">
        <f t="shared" ca="1" si="109"/>
        <v>0</v>
      </c>
      <c r="YE18" s="34">
        <f t="shared" ca="1" si="109"/>
        <v>0</v>
      </c>
      <c r="YF18" s="34">
        <f t="shared" ca="1" si="109"/>
        <v>0</v>
      </c>
      <c r="YG18" s="34">
        <f t="shared" ca="1" si="110"/>
        <v>0</v>
      </c>
      <c r="YH18" s="34">
        <f t="shared" ca="1" si="110"/>
        <v>0</v>
      </c>
      <c r="YI18" s="34">
        <f t="shared" ca="1" si="110"/>
        <v>0</v>
      </c>
      <c r="YJ18" s="34">
        <f t="shared" ca="1" si="110"/>
        <v>0</v>
      </c>
      <c r="YK18" s="34">
        <f t="shared" ca="1" si="110"/>
        <v>0</v>
      </c>
      <c r="YL18" s="34">
        <f t="shared" ca="1" si="110"/>
        <v>0</v>
      </c>
      <c r="YM18" s="34">
        <f t="shared" ca="1" si="110"/>
        <v>0</v>
      </c>
      <c r="YN18" s="34">
        <f t="shared" ca="1" si="110"/>
        <v>0</v>
      </c>
      <c r="YO18" s="34">
        <f t="shared" ca="1" si="110"/>
        <v>0</v>
      </c>
      <c r="YP18" s="34">
        <f t="shared" ca="1" si="110"/>
        <v>0</v>
      </c>
      <c r="YQ18" s="34">
        <f t="shared" ca="1" si="111"/>
        <v>0</v>
      </c>
      <c r="YR18" s="34">
        <f t="shared" ca="1" si="111"/>
        <v>0</v>
      </c>
      <c r="YS18" s="34">
        <f t="shared" ca="1" si="111"/>
        <v>0</v>
      </c>
      <c r="YT18" s="34">
        <f t="shared" ca="1" si="111"/>
        <v>0</v>
      </c>
      <c r="YU18" s="34">
        <f t="shared" ca="1" si="111"/>
        <v>0</v>
      </c>
      <c r="YV18" s="34">
        <f t="shared" ca="1" si="111"/>
        <v>0</v>
      </c>
      <c r="YW18" s="34">
        <f t="shared" ca="1" si="111"/>
        <v>0</v>
      </c>
      <c r="YX18" s="34">
        <f t="shared" ca="1" si="111"/>
        <v>0</v>
      </c>
      <c r="YY18" s="34">
        <f t="shared" ca="1" si="111"/>
        <v>0</v>
      </c>
      <c r="YZ18" s="34">
        <f t="shared" ca="1" si="111"/>
        <v>0</v>
      </c>
      <c r="ZA18" s="34">
        <f t="shared" ca="1" si="112"/>
        <v>0</v>
      </c>
      <c r="ZB18" s="34">
        <f t="shared" ca="1" si="112"/>
        <v>0</v>
      </c>
      <c r="ZC18" s="34">
        <f t="shared" ca="1" si="112"/>
        <v>0</v>
      </c>
      <c r="ZD18" s="34">
        <f t="shared" ca="1" si="112"/>
        <v>0</v>
      </c>
      <c r="ZE18" s="34">
        <f t="shared" ca="1" si="112"/>
        <v>0</v>
      </c>
      <c r="ZF18" s="34">
        <f t="shared" ca="1" si="112"/>
        <v>0</v>
      </c>
      <c r="ZG18" s="34">
        <f t="shared" ca="1" si="112"/>
        <v>0</v>
      </c>
      <c r="ZH18" s="34">
        <f t="shared" ca="1" si="112"/>
        <v>0</v>
      </c>
      <c r="ZI18" s="34">
        <f t="shared" ca="1" si="112"/>
        <v>0</v>
      </c>
      <c r="ZJ18" s="34">
        <f t="shared" ca="1" si="112"/>
        <v>0</v>
      </c>
      <c r="ZK18" s="34">
        <f t="shared" ca="1" si="113"/>
        <v>0</v>
      </c>
      <c r="ZL18" s="34">
        <f t="shared" ca="1" si="113"/>
        <v>0</v>
      </c>
      <c r="ZM18" s="34">
        <f t="shared" ca="1" si="113"/>
        <v>0</v>
      </c>
      <c r="ZN18" s="34">
        <f t="shared" ca="1" si="113"/>
        <v>0</v>
      </c>
      <c r="ZO18" s="34">
        <f t="shared" ca="1" si="113"/>
        <v>0</v>
      </c>
      <c r="ZP18" s="34">
        <f t="shared" ca="1" si="113"/>
        <v>0</v>
      </c>
      <c r="ZQ18" s="34">
        <f t="shared" ca="1" si="113"/>
        <v>0</v>
      </c>
      <c r="ZR18" s="34">
        <f t="shared" ca="1" si="113"/>
        <v>0</v>
      </c>
      <c r="ZS18" s="34">
        <f t="shared" ca="1" si="113"/>
        <v>0</v>
      </c>
      <c r="ZT18" s="34">
        <f t="shared" ca="1" si="113"/>
        <v>0</v>
      </c>
      <c r="ZU18" s="34">
        <f t="shared" ca="1" si="114"/>
        <v>0</v>
      </c>
      <c r="ZV18" s="34">
        <f t="shared" ca="1" si="114"/>
        <v>0</v>
      </c>
      <c r="ZW18" s="34">
        <f t="shared" ca="1" si="114"/>
        <v>0</v>
      </c>
      <c r="ZX18" s="34">
        <f t="shared" ca="1" si="114"/>
        <v>0</v>
      </c>
      <c r="ZY18" s="34">
        <f t="shared" ca="1" si="114"/>
        <v>0</v>
      </c>
      <c r="ZZ18" s="34">
        <f t="shared" ca="1" si="114"/>
        <v>0</v>
      </c>
      <c r="AAA18" s="34">
        <f t="shared" ca="1" si="114"/>
        <v>0</v>
      </c>
      <c r="AAB18" s="34">
        <f t="shared" ca="1" si="114"/>
        <v>0</v>
      </c>
      <c r="AAC18" s="34">
        <f t="shared" ca="1" si="114"/>
        <v>0</v>
      </c>
      <c r="AAD18" s="34">
        <f t="shared" ca="1" si="114"/>
        <v>0</v>
      </c>
      <c r="AAE18" s="34">
        <f t="shared" ca="1" si="115"/>
        <v>0</v>
      </c>
      <c r="AAF18" s="34">
        <f t="shared" ca="1" si="115"/>
        <v>0</v>
      </c>
      <c r="AAG18" s="34">
        <f t="shared" ca="1" si="115"/>
        <v>0</v>
      </c>
      <c r="AAH18" s="34">
        <f t="shared" ca="1" si="115"/>
        <v>0</v>
      </c>
      <c r="AAI18" s="34">
        <f t="shared" ca="1" si="115"/>
        <v>0</v>
      </c>
      <c r="AAJ18" s="34">
        <f t="shared" ca="1" si="115"/>
        <v>0</v>
      </c>
      <c r="AAK18" s="34">
        <f t="shared" ca="1" si="115"/>
        <v>0</v>
      </c>
      <c r="AAL18" s="34">
        <f t="shared" ca="1" si="115"/>
        <v>0</v>
      </c>
      <c r="AAM18" s="34">
        <f t="shared" ca="1" si="115"/>
        <v>0</v>
      </c>
      <c r="AAN18" s="34">
        <f t="shared" ca="1" si="115"/>
        <v>0</v>
      </c>
      <c r="AAO18" s="34">
        <f t="shared" ca="1" si="116"/>
        <v>0</v>
      </c>
      <c r="AAP18" s="34">
        <f t="shared" ca="1" si="116"/>
        <v>0</v>
      </c>
      <c r="AAQ18" s="34">
        <f t="shared" ca="1" si="116"/>
        <v>0</v>
      </c>
      <c r="AAR18" s="34">
        <f t="shared" ca="1" si="116"/>
        <v>0</v>
      </c>
      <c r="AAS18" s="34">
        <f t="shared" ca="1" si="116"/>
        <v>0</v>
      </c>
      <c r="AAT18" s="34">
        <f t="shared" ca="1" si="116"/>
        <v>0</v>
      </c>
      <c r="AAU18" s="34">
        <f t="shared" ca="1" si="116"/>
        <v>0</v>
      </c>
      <c r="AAV18" s="34">
        <f t="shared" ca="1" si="116"/>
        <v>0</v>
      </c>
      <c r="AAW18" s="34">
        <f t="shared" ca="1" si="116"/>
        <v>0</v>
      </c>
      <c r="AAX18" s="34">
        <f t="shared" ca="1" si="116"/>
        <v>0</v>
      </c>
      <c r="AAY18" s="34">
        <f t="shared" ca="1" si="117"/>
        <v>0</v>
      </c>
      <c r="AAZ18" s="34">
        <f t="shared" ca="1" si="117"/>
        <v>0</v>
      </c>
      <c r="ABA18" s="34">
        <f t="shared" ca="1" si="117"/>
        <v>0</v>
      </c>
      <c r="ABB18" s="34">
        <f t="shared" ca="1" si="117"/>
        <v>0</v>
      </c>
      <c r="ABC18" s="34">
        <f t="shared" ca="1" si="117"/>
        <v>0</v>
      </c>
      <c r="ABD18" s="34">
        <f t="shared" ca="1" si="117"/>
        <v>0</v>
      </c>
      <c r="ABE18" s="34">
        <f t="shared" ca="1" si="117"/>
        <v>0</v>
      </c>
      <c r="ABF18" s="34">
        <f t="shared" ca="1" si="117"/>
        <v>0</v>
      </c>
      <c r="ABG18" s="34">
        <f t="shared" ca="1" si="117"/>
        <v>0</v>
      </c>
      <c r="ABH18" s="34">
        <f t="shared" ca="1" si="117"/>
        <v>0</v>
      </c>
      <c r="ABI18" s="34">
        <f t="shared" ca="1" si="118"/>
        <v>0</v>
      </c>
      <c r="ABJ18" s="34">
        <f t="shared" ca="1" si="118"/>
        <v>0</v>
      </c>
      <c r="ABK18" s="34">
        <f t="shared" ca="1" si="118"/>
        <v>0</v>
      </c>
      <c r="ABL18" s="34">
        <f t="shared" ca="1" si="118"/>
        <v>0</v>
      </c>
      <c r="ABM18" s="34">
        <f t="shared" ca="1" si="118"/>
        <v>0</v>
      </c>
      <c r="ABN18" s="34">
        <f t="shared" ca="1" si="118"/>
        <v>0</v>
      </c>
      <c r="ABO18" s="34">
        <f t="shared" ca="1" si="118"/>
        <v>0</v>
      </c>
      <c r="ABP18" s="34">
        <f t="shared" ca="1" si="118"/>
        <v>0</v>
      </c>
      <c r="ABQ18" s="34">
        <f t="shared" ca="1" si="118"/>
        <v>0</v>
      </c>
      <c r="ABR18" s="34">
        <f t="shared" ca="1" si="118"/>
        <v>0</v>
      </c>
      <c r="ABS18" s="34">
        <f t="shared" ca="1" si="119"/>
        <v>0</v>
      </c>
      <c r="ABT18" s="34">
        <f t="shared" ca="1" si="119"/>
        <v>0</v>
      </c>
      <c r="ABU18" s="34">
        <f t="shared" ca="1" si="119"/>
        <v>0</v>
      </c>
      <c r="ABV18" s="34">
        <f t="shared" ca="1" si="119"/>
        <v>0</v>
      </c>
      <c r="ABW18" s="34">
        <f t="shared" ca="1" si="119"/>
        <v>0</v>
      </c>
      <c r="ABX18" s="34">
        <f t="shared" ca="1" si="119"/>
        <v>0</v>
      </c>
      <c r="ABY18" s="34">
        <f t="shared" ca="1" si="119"/>
        <v>0</v>
      </c>
      <c r="ABZ18" s="34">
        <f t="shared" ca="1" si="119"/>
        <v>0</v>
      </c>
      <c r="ACA18" s="34">
        <f t="shared" ca="1" si="119"/>
        <v>0</v>
      </c>
      <c r="ACB18" s="34">
        <f t="shared" ca="1" si="119"/>
        <v>0</v>
      </c>
      <c r="ACC18" s="34">
        <f t="shared" ca="1" si="120"/>
        <v>0</v>
      </c>
      <c r="ACD18" s="34">
        <f t="shared" ca="1" si="120"/>
        <v>0</v>
      </c>
      <c r="ACE18" s="34">
        <f t="shared" ca="1" si="120"/>
        <v>0</v>
      </c>
      <c r="ACF18" s="34">
        <f t="shared" ca="1" si="120"/>
        <v>0</v>
      </c>
      <c r="ACG18" s="34">
        <f t="shared" ca="1" si="120"/>
        <v>0</v>
      </c>
      <c r="ACH18" s="34">
        <f t="shared" ca="1" si="120"/>
        <v>0</v>
      </c>
      <c r="ACI18" s="34">
        <f t="shared" ca="1" si="120"/>
        <v>0</v>
      </c>
      <c r="ACJ18" s="34">
        <f t="shared" ca="1" si="120"/>
        <v>0</v>
      </c>
      <c r="ACK18" s="34">
        <f t="shared" ca="1" si="120"/>
        <v>0</v>
      </c>
      <c r="ACL18" s="34">
        <f t="shared" ca="1" si="120"/>
        <v>0</v>
      </c>
      <c r="ACM18" s="34">
        <f t="shared" ca="1" si="121"/>
        <v>0</v>
      </c>
      <c r="ACN18" s="34">
        <f t="shared" ca="1" si="121"/>
        <v>0</v>
      </c>
      <c r="ACO18" s="34">
        <f t="shared" ca="1" si="121"/>
        <v>0</v>
      </c>
      <c r="ACP18" s="34">
        <f t="shared" ca="1" si="121"/>
        <v>0</v>
      </c>
      <c r="ACQ18" s="34">
        <f t="shared" ca="1" si="121"/>
        <v>0</v>
      </c>
      <c r="ACR18" s="34">
        <f t="shared" ca="1" si="121"/>
        <v>0</v>
      </c>
      <c r="ACS18" s="34">
        <f t="shared" ca="1" si="121"/>
        <v>0</v>
      </c>
      <c r="ACT18" s="34">
        <f t="shared" ca="1" si="121"/>
        <v>0</v>
      </c>
      <c r="ACU18" s="34">
        <f t="shared" ca="1" si="121"/>
        <v>0</v>
      </c>
      <c r="ACV18" s="34">
        <f t="shared" ca="1" si="121"/>
        <v>0</v>
      </c>
      <c r="ACW18" s="34">
        <f t="shared" ca="1" si="122"/>
        <v>0</v>
      </c>
      <c r="ACX18" s="34">
        <f t="shared" ca="1" si="122"/>
        <v>0</v>
      </c>
      <c r="ACY18" s="34">
        <f t="shared" ca="1" si="122"/>
        <v>0</v>
      </c>
      <c r="ACZ18" s="34">
        <f t="shared" ca="1" si="122"/>
        <v>0</v>
      </c>
      <c r="ADA18" s="34">
        <f t="shared" ca="1" si="122"/>
        <v>0</v>
      </c>
      <c r="ADB18" s="34">
        <f t="shared" ca="1" si="122"/>
        <v>0</v>
      </c>
      <c r="ADC18" s="34">
        <f t="shared" ca="1" si="122"/>
        <v>0</v>
      </c>
      <c r="ADD18" s="34">
        <f t="shared" ca="1" si="122"/>
        <v>0</v>
      </c>
      <c r="ADE18" s="34">
        <f t="shared" ca="1" si="122"/>
        <v>0</v>
      </c>
      <c r="ADF18" s="34">
        <f t="shared" ca="1" si="122"/>
        <v>0</v>
      </c>
      <c r="ADG18" s="34">
        <f t="shared" ca="1" si="123"/>
        <v>0</v>
      </c>
      <c r="ADH18" s="34">
        <f t="shared" ca="1" si="123"/>
        <v>0</v>
      </c>
      <c r="ADI18" s="34">
        <f t="shared" ca="1" si="123"/>
        <v>0</v>
      </c>
      <c r="ADJ18" s="34">
        <f t="shared" ca="1" si="123"/>
        <v>0</v>
      </c>
      <c r="ADK18" s="34">
        <f t="shared" ca="1" si="123"/>
        <v>0</v>
      </c>
      <c r="ADL18" s="34">
        <f t="shared" ca="1" si="123"/>
        <v>0</v>
      </c>
      <c r="ADM18" s="34">
        <f t="shared" ca="1" si="123"/>
        <v>0</v>
      </c>
      <c r="ADN18" s="34">
        <f t="shared" ca="1" si="123"/>
        <v>0</v>
      </c>
      <c r="ADO18" s="34">
        <f t="shared" ca="1" si="123"/>
        <v>0</v>
      </c>
      <c r="ADP18" s="34">
        <f t="shared" ca="1" si="123"/>
        <v>0</v>
      </c>
      <c r="ADQ18" s="34">
        <f t="shared" ca="1" si="124"/>
        <v>0</v>
      </c>
      <c r="ADR18" s="34">
        <f t="shared" ca="1" si="124"/>
        <v>0</v>
      </c>
      <c r="ADS18" s="34">
        <f t="shared" ca="1" si="124"/>
        <v>0</v>
      </c>
      <c r="ADT18" s="34">
        <f t="shared" ca="1" si="124"/>
        <v>0</v>
      </c>
      <c r="ADU18" s="34">
        <f t="shared" ca="1" si="124"/>
        <v>0</v>
      </c>
      <c r="ADV18" s="34">
        <f t="shared" ca="1" si="124"/>
        <v>0</v>
      </c>
      <c r="ADW18" s="34">
        <f t="shared" ca="1" si="124"/>
        <v>0</v>
      </c>
      <c r="ADX18" s="34">
        <f t="shared" ca="1" si="124"/>
        <v>0</v>
      </c>
      <c r="ADY18" s="34">
        <f t="shared" ca="1" si="124"/>
        <v>0</v>
      </c>
      <c r="ADZ18" s="34">
        <f t="shared" ca="1" si="124"/>
        <v>0</v>
      </c>
      <c r="AEA18" s="34">
        <f t="shared" ca="1" si="125"/>
        <v>0</v>
      </c>
      <c r="AEB18" s="34">
        <f t="shared" ca="1" si="125"/>
        <v>0</v>
      </c>
      <c r="AEC18" s="34">
        <f t="shared" ca="1" si="125"/>
        <v>0</v>
      </c>
      <c r="AED18" s="34">
        <f t="shared" ca="1" si="125"/>
        <v>0</v>
      </c>
      <c r="AEE18" s="34">
        <f t="shared" ca="1" si="125"/>
        <v>0</v>
      </c>
      <c r="AEF18" s="34">
        <f t="shared" ca="1" si="125"/>
        <v>0</v>
      </c>
      <c r="AEG18" s="34">
        <f t="shared" ca="1" si="125"/>
        <v>0</v>
      </c>
      <c r="AEH18" s="34">
        <f t="shared" ca="1" si="125"/>
        <v>0</v>
      </c>
      <c r="AEI18" s="34">
        <f t="shared" ca="1" si="125"/>
        <v>0</v>
      </c>
      <c r="AEJ18" s="34">
        <f t="shared" ca="1" si="125"/>
        <v>0</v>
      </c>
      <c r="AEK18" s="34">
        <f t="shared" ca="1" si="126"/>
        <v>0</v>
      </c>
      <c r="AEL18" s="34">
        <f t="shared" ca="1" si="126"/>
        <v>0</v>
      </c>
      <c r="AEM18" s="34">
        <f t="shared" ca="1" si="126"/>
        <v>0</v>
      </c>
      <c r="AEN18" s="34">
        <f t="shared" ca="1" si="126"/>
        <v>0</v>
      </c>
      <c r="AEO18" s="34">
        <f t="shared" ca="1" si="126"/>
        <v>0</v>
      </c>
      <c r="AEP18" s="34">
        <f t="shared" ca="1" si="126"/>
        <v>0</v>
      </c>
      <c r="AEQ18" s="34">
        <f t="shared" ca="1" si="126"/>
        <v>0</v>
      </c>
      <c r="AER18" s="34">
        <f t="shared" ca="1" si="126"/>
        <v>0</v>
      </c>
      <c r="AES18" s="34">
        <f t="shared" ca="1" si="126"/>
        <v>0</v>
      </c>
      <c r="AET18" s="34">
        <f t="shared" ca="1" si="126"/>
        <v>0</v>
      </c>
      <c r="AEU18" s="34">
        <f t="shared" ca="1" si="127"/>
        <v>0</v>
      </c>
      <c r="AEV18" s="34">
        <f t="shared" ca="1" si="127"/>
        <v>0</v>
      </c>
      <c r="AEW18" s="34">
        <f t="shared" ca="1" si="127"/>
        <v>0</v>
      </c>
      <c r="AEX18" s="34">
        <f t="shared" ca="1" si="127"/>
        <v>0</v>
      </c>
      <c r="AEY18" s="34">
        <f t="shared" ca="1" si="127"/>
        <v>0</v>
      </c>
      <c r="AEZ18" s="34">
        <f t="shared" ca="1" si="127"/>
        <v>0</v>
      </c>
      <c r="AFA18" s="34">
        <f t="shared" ca="1" si="127"/>
        <v>0</v>
      </c>
      <c r="AFB18" s="34">
        <f t="shared" ca="1" si="127"/>
        <v>0</v>
      </c>
      <c r="AFC18" s="34">
        <f t="shared" ca="1" si="127"/>
        <v>0</v>
      </c>
      <c r="AFD18" s="34">
        <f t="shared" ca="1" si="127"/>
        <v>0</v>
      </c>
      <c r="AFE18" s="34">
        <f t="shared" ca="1" si="128"/>
        <v>0</v>
      </c>
      <c r="AFF18" s="34">
        <f t="shared" ca="1" si="128"/>
        <v>0</v>
      </c>
      <c r="AFG18" s="34">
        <f t="shared" ca="1" si="128"/>
        <v>0</v>
      </c>
      <c r="AFH18" s="34">
        <f t="shared" ca="1" si="128"/>
        <v>0</v>
      </c>
      <c r="AFI18" s="34">
        <f t="shared" ca="1" si="128"/>
        <v>0</v>
      </c>
      <c r="AFJ18" s="34">
        <f t="shared" ca="1" si="128"/>
        <v>0</v>
      </c>
      <c r="AFK18" s="34">
        <f t="shared" ca="1" si="128"/>
        <v>0</v>
      </c>
      <c r="AFL18" s="34">
        <f t="shared" ca="1" si="128"/>
        <v>0</v>
      </c>
      <c r="AFM18" s="34">
        <f t="shared" ca="1" si="128"/>
        <v>0</v>
      </c>
      <c r="AFN18" s="34">
        <f t="shared" ca="1" si="128"/>
        <v>0</v>
      </c>
      <c r="AFO18" s="34">
        <f t="shared" ca="1" si="129"/>
        <v>0</v>
      </c>
      <c r="AFP18" s="34">
        <f t="shared" ca="1" si="129"/>
        <v>0</v>
      </c>
      <c r="AFQ18" s="34">
        <f t="shared" ca="1" si="129"/>
        <v>0</v>
      </c>
      <c r="AFR18" s="34">
        <f t="shared" ca="1" si="129"/>
        <v>0</v>
      </c>
      <c r="AFS18" s="34">
        <f t="shared" ca="1" si="129"/>
        <v>0</v>
      </c>
      <c r="AFT18" s="34">
        <f t="shared" ca="1" si="129"/>
        <v>0</v>
      </c>
      <c r="AFU18" s="34">
        <f t="shared" ca="1" si="129"/>
        <v>0</v>
      </c>
      <c r="AFV18" s="34">
        <f t="shared" ca="1" si="129"/>
        <v>0</v>
      </c>
      <c r="AFW18" s="34">
        <f t="shared" ca="1" si="129"/>
        <v>0</v>
      </c>
      <c r="AFX18" s="34">
        <f t="shared" ca="1" si="129"/>
        <v>0</v>
      </c>
      <c r="AFY18" s="34">
        <f t="shared" ca="1" si="130"/>
        <v>0</v>
      </c>
      <c r="AFZ18" s="34">
        <f t="shared" ca="1" si="130"/>
        <v>0</v>
      </c>
      <c r="AGA18" s="34">
        <f t="shared" ca="1" si="130"/>
        <v>0</v>
      </c>
      <c r="AGB18" s="34">
        <f t="shared" ca="1" si="130"/>
        <v>0</v>
      </c>
      <c r="AGC18" s="34">
        <f t="shared" ca="1" si="130"/>
        <v>0</v>
      </c>
      <c r="AGD18" s="34">
        <f t="shared" ca="1" si="130"/>
        <v>0</v>
      </c>
      <c r="AGE18" s="34">
        <f t="shared" ca="1" si="130"/>
        <v>0</v>
      </c>
      <c r="AGF18" s="34">
        <f t="shared" ca="1" si="130"/>
        <v>0</v>
      </c>
      <c r="AGG18" s="34">
        <f t="shared" ca="1" si="130"/>
        <v>0</v>
      </c>
      <c r="AGH18" s="34">
        <f t="shared" ca="1" si="130"/>
        <v>0</v>
      </c>
      <c r="AGI18" s="34">
        <f t="shared" ca="1" si="131"/>
        <v>0</v>
      </c>
      <c r="AGJ18" s="34">
        <f t="shared" ca="1" si="131"/>
        <v>0</v>
      </c>
      <c r="AGK18" s="34">
        <f t="shared" ca="1" si="131"/>
        <v>0</v>
      </c>
      <c r="AGL18" s="34">
        <f t="shared" ca="1" si="131"/>
        <v>0</v>
      </c>
      <c r="AGM18" s="34">
        <f t="shared" ca="1" si="131"/>
        <v>0</v>
      </c>
      <c r="AGN18" s="34">
        <f t="shared" ca="1" si="131"/>
        <v>0</v>
      </c>
      <c r="AGO18" s="34">
        <f t="shared" ca="1" si="131"/>
        <v>0</v>
      </c>
      <c r="AGP18" s="34">
        <f t="shared" ca="1" si="131"/>
        <v>0</v>
      </c>
      <c r="AGQ18" s="34">
        <f t="shared" ca="1" si="131"/>
        <v>0</v>
      </c>
      <c r="AGR18" s="34">
        <f t="shared" ca="1" si="131"/>
        <v>0</v>
      </c>
      <c r="AGS18" s="34">
        <f t="shared" ca="1" si="132"/>
        <v>0</v>
      </c>
      <c r="AGT18" s="34">
        <f t="shared" ca="1" si="132"/>
        <v>0</v>
      </c>
      <c r="AGU18" s="34">
        <f t="shared" ca="1" si="132"/>
        <v>0</v>
      </c>
      <c r="AGV18" s="34">
        <f t="shared" ca="1" si="132"/>
        <v>0</v>
      </c>
      <c r="AGW18" s="34">
        <f t="shared" ca="1" si="132"/>
        <v>0</v>
      </c>
      <c r="AGX18" s="34">
        <f t="shared" ca="1" si="132"/>
        <v>0</v>
      </c>
      <c r="AGY18" s="34">
        <f t="shared" ca="1" si="132"/>
        <v>0</v>
      </c>
      <c r="AGZ18" s="34">
        <f t="shared" ca="1" si="132"/>
        <v>0</v>
      </c>
      <c r="AHA18" s="34">
        <f t="shared" ca="1" si="132"/>
        <v>0</v>
      </c>
      <c r="AHB18" s="34">
        <f t="shared" ca="1" si="132"/>
        <v>0</v>
      </c>
      <c r="AHC18" s="34">
        <f t="shared" ca="1" si="133"/>
        <v>0</v>
      </c>
      <c r="AHD18" s="34">
        <f t="shared" ca="1" si="133"/>
        <v>0</v>
      </c>
      <c r="AHE18" s="34">
        <f t="shared" ca="1" si="133"/>
        <v>0</v>
      </c>
      <c r="AHF18" s="34">
        <f t="shared" ca="1" si="133"/>
        <v>0</v>
      </c>
      <c r="AHG18" s="34">
        <f t="shared" ca="1" si="133"/>
        <v>0</v>
      </c>
      <c r="AHH18" s="34">
        <f t="shared" ca="1" si="133"/>
        <v>0</v>
      </c>
      <c r="AHI18" s="34">
        <f t="shared" ca="1" si="133"/>
        <v>0</v>
      </c>
      <c r="AHJ18" s="34">
        <f t="shared" ca="1" si="133"/>
        <v>0</v>
      </c>
      <c r="AHK18" s="34">
        <f t="shared" ca="1" si="133"/>
        <v>0</v>
      </c>
      <c r="AHL18" s="34">
        <f t="shared" ca="1" si="133"/>
        <v>0</v>
      </c>
      <c r="AHM18" s="34">
        <f t="shared" ca="1" si="134"/>
        <v>0</v>
      </c>
      <c r="AHN18" s="34">
        <f t="shared" ca="1" si="134"/>
        <v>0</v>
      </c>
      <c r="AHO18" s="34">
        <f t="shared" ca="1" si="134"/>
        <v>0</v>
      </c>
      <c r="AHP18" s="34">
        <f t="shared" ca="1" si="134"/>
        <v>0</v>
      </c>
      <c r="AHQ18" s="34">
        <f t="shared" ca="1" si="134"/>
        <v>0</v>
      </c>
      <c r="AHR18" s="34">
        <f t="shared" ca="1" si="134"/>
        <v>0</v>
      </c>
      <c r="AHS18" s="34">
        <f t="shared" ca="1" si="134"/>
        <v>0</v>
      </c>
      <c r="AHT18" s="34">
        <f t="shared" ca="1" si="134"/>
        <v>0</v>
      </c>
      <c r="AHU18" s="34">
        <f t="shared" ca="1" si="134"/>
        <v>0</v>
      </c>
      <c r="AHV18" s="34">
        <f t="shared" ca="1" si="134"/>
        <v>0</v>
      </c>
      <c r="AHW18" s="34">
        <f t="shared" ca="1" si="135"/>
        <v>0</v>
      </c>
      <c r="AHX18" s="34">
        <f t="shared" ca="1" si="135"/>
        <v>0</v>
      </c>
      <c r="AHY18" s="34">
        <f t="shared" ca="1" si="135"/>
        <v>0</v>
      </c>
      <c r="AHZ18" s="34">
        <f t="shared" ca="1" si="135"/>
        <v>0</v>
      </c>
      <c r="AIA18" s="34">
        <f t="shared" ca="1" si="135"/>
        <v>0</v>
      </c>
      <c r="AIB18" s="34">
        <f t="shared" ca="1" si="135"/>
        <v>0</v>
      </c>
      <c r="AIC18" s="34">
        <f t="shared" ca="1" si="135"/>
        <v>0</v>
      </c>
      <c r="AID18" s="34">
        <f t="shared" ca="1" si="135"/>
        <v>0</v>
      </c>
      <c r="AIE18" s="34">
        <f t="shared" ca="1" si="135"/>
        <v>0</v>
      </c>
      <c r="AIF18" s="34">
        <f t="shared" ca="1" si="135"/>
        <v>0</v>
      </c>
      <c r="AIG18" s="34">
        <f t="shared" ca="1" si="136"/>
        <v>0</v>
      </c>
      <c r="AIH18" s="34">
        <f t="shared" ca="1" si="136"/>
        <v>0</v>
      </c>
      <c r="AII18" s="34">
        <f t="shared" ca="1" si="136"/>
        <v>0</v>
      </c>
      <c r="AIJ18" s="34">
        <f t="shared" ca="1" si="136"/>
        <v>0</v>
      </c>
      <c r="AIK18" s="34">
        <f t="shared" ca="1" si="136"/>
        <v>0</v>
      </c>
      <c r="AIL18" s="34">
        <f t="shared" ca="1" si="136"/>
        <v>0</v>
      </c>
      <c r="AIM18" s="34">
        <f t="shared" ca="1" si="136"/>
        <v>0</v>
      </c>
      <c r="AIN18" s="34">
        <f t="shared" ca="1" si="136"/>
        <v>0</v>
      </c>
      <c r="AIO18" s="34">
        <f t="shared" ca="1" si="136"/>
        <v>0</v>
      </c>
      <c r="AIP18" s="34">
        <f t="shared" ca="1" si="136"/>
        <v>0</v>
      </c>
      <c r="AIQ18" s="34">
        <f t="shared" ca="1" si="137"/>
        <v>0</v>
      </c>
      <c r="AIR18" s="34">
        <f t="shared" ca="1" si="137"/>
        <v>0</v>
      </c>
      <c r="AIS18" s="34">
        <f t="shared" ca="1" si="137"/>
        <v>0</v>
      </c>
      <c r="AIT18" s="34">
        <f t="shared" ca="1" si="137"/>
        <v>0</v>
      </c>
      <c r="AIU18" s="34">
        <f t="shared" ca="1" si="137"/>
        <v>0</v>
      </c>
      <c r="AIV18" s="34">
        <f t="shared" ca="1" si="137"/>
        <v>0</v>
      </c>
      <c r="AIW18" s="34">
        <f t="shared" ca="1" si="137"/>
        <v>0</v>
      </c>
      <c r="AIX18" s="34">
        <f t="shared" ca="1" si="137"/>
        <v>0</v>
      </c>
      <c r="AIY18" s="34">
        <f t="shared" ca="1" si="137"/>
        <v>0</v>
      </c>
      <c r="AIZ18" s="34">
        <f t="shared" ca="1" si="137"/>
        <v>0</v>
      </c>
      <c r="AJA18" s="34">
        <f t="shared" ca="1" si="138"/>
        <v>0</v>
      </c>
      <c r="AJB18" s="34">
        <f t="shared" ca="1" si="138"/>
        <v>0</v>
      </c>
      <c r="AJC18" s="34">
        <f t="shared" ca="1" si="138"/>
        <v>0</v>
      </c>
      <c r="AJD18" s="34">
        <f t="shared" ca="1" si="138"/>
        <v>0</v>
      </c>
      <c r="AJE18" s="34">
        <f t="shared" ca="1" si="138"/>
        <v>0</v>
      </c>
      <c r="AJF18" s="34">
        <f t="shared" ca="1" si="138"/>
        <v>0</v>
      </c>
      <c r="AJG18" s="34">
        <f t="shared" ca="1" si="138"/>
        <v>0</v>
      </c>
      <c r="AJH18" s="34">
        <f t="shared" ca="1" si="138"/>
        <v>0</v>
      </c>
      <c r="AJI18" s="34">
        <f t="shared" ca="1" si="138"/>
        <v>0</v>
      </c>
      <c r="AJJ18" s="34">
        <f t="shared" ca="1" si="138"/>
        <v>0</v>
      </c>
      <c r="AJK18" s="34">
        <f t="shared" ca="1" si="139"/>
        <v>0</v>
      </c>
      <c r="AJL18" s="34">
        <f t="shared" ca="1" si="139"/>
        <v>0</v>
      </c>
      <c r="AJM18" s="34">
        <f t="shared" ca="1" si="139"/>
        <v>0</v>
      </c>
      <c r="AJN18" s="34">
        <f t="shared" ca="1" si="139"/>
        <v>0</v>
      </c>
      <c r="AJO18" s="34">
        <f t="shared" ca="1" si="139"/>
        <v>0</v>
      </c>
      <c r="AJP18" s="34">
        <f t="shared" ca="1" si="139"/>
        <v>0</v>
      </c>
      <c r="AJQ18" s="34">
        <f t="shared" ca="1" si="139"/>
        <v>0</v>
      </c>
      <c r="AJR18" s="34">
        <f t="shared" ca="1" si="139"/>
        <v>0</v>
      </c>
      <c r="AJS18" s="34">
        <f t="shared" ca="1" si="139"/>
        <v>0</v>
      </c>
      <c r="AJT18" s="34">
        <f t="shared" ca="1" si="139"/>
        <v>0</v>
      </c>
      <c r="AJU18" s="34">
        <f t="shared" ca="1" si="140"/>
        <v>0</v>
      </c>
      <c r="AJV18" s="34">
        <f t="shared" ca="1" si="140"/>
        <v>0</v>
      </c>
      <c r="AJW18" s="34">
        <f t="shared" ca="1" si="140"/>
        <v>0</v>
      </c>
      <c r="AJX18" s="34">
        <f t="shared" ca="1" si="140"/>
        <v>0</v>
      </c>
      <c r="AJY18" s="34">
        <f t="shared" ca="1" si="140"/>
        <v>0</v>
      </c>
      <c r="AJZ18" s="34">
        <f t="shared" ca="1" si="140"/>
        <v>0</v>
      </c>
      <c r="AKA18" s="34">
        <f t="shared" ca="1" si="140"/>
        <v>0</v>
      </c>
      <c r="AKB18" s="34">
        <f t="shared" ca="1" si="140"/>
        <v>0</v>
      </c>
      <c r="AKC18" s="34">
        <f t="shared" ca="1" si="140"/>
        <v>0</v>
      </c>
      <c r="AKD18" s="34">
        <f t="shared" ca="1" si="140"/>
        <v>0</v>
      </c>
      <c r="AKE18" s="34">
        <f t="shared" ca="1" si="141"/>
        <v>0</v>
      </c>
      <c r="AKF18" s="34">
        <f t="shared" ca="1" si="141"/>
        <v>0</v>
      </c>
      <c r="AKG18" s="34">
        <f t="shared" ca="1" si="141"/>
        <v>0</v>
      </c>
      <c r="AKH18" s="34">
        <f t="shared" ca="1" si="141"/>
        <v>0</v>
      </c>
      <c r="AKI18" s="34">
        <f t="shared" ca="1" si="141"/>
        <v>0</v>
      </c>
      <c r="AKJ18" s="34">
        <f t="shared" ca="1" si="141"/>
        <v>0</v>
      </c>
      <c r="AKK18" s="34">
        <f t="shared" ca="1" si="141"/>
        <v>0</v>
      </c>
      <c r="AKL18" s="34">
        <f t="shared" ca="1" si="141"/>
        <v>0</v>
      </c>
      <c r="AKM18" s="34">
        <f t="shared" ca="1" si="141"/>
        <v>0</v>
      </c>
      <c r="AKN18" s="34">
        <f t="shared" ca="1" si="141"/>
        <v>0</v>
      </c>
      <c r="AKO18" s="34">
        <f t="shared" ca="1" si="141"/>
        <v>0</v>
      </c>
      <c r="AKP18" s="34">
        <f t="shared" ca="1" si="141"/>
        <v>0</v>
      </c>
      <c r="AKQ18" s="34">
        <f t="shared" ca="1" si="141"/>
        <v>0</v>
      </c>
      <c r="AKR18" s="34">
        <f t="shared" ca="1" si="141"/>
        <v>0</v>
      </c>
      <c r="AKS18" s="34">
        <f t="shared" ca="1" si="141"/>
        <v>0</v>
      </c>
      <c r="AKT18" s="34"/>
      <c r="AKU18" s="34"/>
      <c r="AKV18" s="34"/>
      <c r="AKW18" s="34"/>
      <c r="AKX18" s="34"/>
      <c r="AKY18" s="34"/>
      <c r="AKZ18" s="34"/>
      <c r="ALA18" s="34"/>
      <c r="ALB18" s="34"/>
      <c r="ALC18" s="34"/>
      <c r="ALD18" s="34"/>
      <c r="ALE18" s="34"/>
      <c r="ALF18" s="34"/>
      <c r="ALG18" s="33"/>
      <c r="ALH18" s="33"/>
      <c r="ALI18" s="33"/>
      <c r="ALJ18" s="33"/>
      <c r="ALK18" s="33"/>
      <c r="ALL18" s="33"/>
      <c r="ALM18" s="33"/>
      <c r="ALN18" s="33"/>
      <c r="ALO18" s="33"/>
      <c r="ALP18" s="33"/>
      <c r="ALQ18" s="33"/>
      <c r="ALR18" s="33"/>
      <c r="ALS18" s="33"/>
      <c r="ALT18" s="33"/>
      <c r="ALU18" s="33"/>
      <c r="ALV18" s="33"/>
      <c r="ALW18" s="33"/>
      <c r="ALX18" s="33"/>
      <c r="ALY18" s="33"/>
      <c r="ALZ18" s="33"/>
      <c r="AMA18" s="33"/>
      <c r="AMB18" s="33"/>
      <c r="AMC18" s="33"/>
      <c r="AMD18" s="33"/>
      <c r="AME18" s="33"/>
      <c r="AMF18" s="33"/>
      <c r="AMG18" s="33"/>
      <c r="AMH18" s="33"/>
      <c r="AMI18" s="33"/>
      <c r="AMJ18" s="33"/>
      <c r="AMK18" s="33"/>
      <c r="AML18" s="33"/>
      <c r="AMM18" s="33"/>
      <c r="AMN18" s="33"/>
      <c r="AMO18" s="33"/>
      <c r="AMP18" s="33"/>
      <c r="AMQ18" s="33"/>
      <c r="AMR18" s="33"/>
      <c r="AMS18" s="33"/>
      <c r="AMT18" s="33"/>
      <c r="AMU18" s="33"/>
      <c r="AMV18" s="33"/>
      <c r="AMW18" s="33"/>
      <c r="AMX18" s="33"/>
      <c r="AMY18" s="33"/>
      <c r="AMZ18" s="33"/>
      <c r="ANA18" s="33"/>
      <c r="ANB18" s="33"/>
      <c r="ANC18" s="33"/>
      <c r="AND18" s="33"/>
      <c r="ANE18" s="33"/>
      <c r="ANF18" s="33"/>
      <c r="ANG18" s="33"/>
      <c r="ANH18" s="33"/>
      <c r="ANI18" s="33"/>
      <c r="ANJ18" s="33"/>
      <c r="ANK18" s="33"/>
      <c r="ANL18" s="33"/>
      <c r="ANM18" s="33"/>
      <c r="ANN18" s="33"/>
      <c r="ANO18" s="33"/>
      <c r="ANP18" s="33"/>
      <c r="ANQ18" s="33"/>
      <c r="ANR18" s="33"/>
      <c r="ANS18" s="33"/>
      <c r="ANT18" s="33"/>
      <c r="ANU18" s="33"/>
      <c r="ANV18" s="33"/>
      <c r="ANW18" s="33"/>
      <c r="ANX18" s="33"/>
      <c r="ANY18" s="33"/>
      <c r="ANZ18" s="33"/>
      <c r="AOA18" s="33"/>
      <c r="AOB18" s="33"/>
      <c r="AOC18" s="33"/>
      <c r="AOD18" s="33"/>
      <c r="AOE18" s="33"/>
      <c r="AOF18" s="33"/>
      <c r="AOG18" s="33"/>
      <c r="AOH18" s="33"/>
      <c r="AOI18" s="33"/>
      <c r="AOJ18" s="33"/>
      <c r="AOK18" s="33"/>
      <c r="AOL18" s="33"/>
      <c r="AOM18" s="33"/>
      <c r="AON18" s="33"/>
      <c r="AOO18" s="33"/>
      <c r="AOP18" s="33"/>
      <c r="AOQ18" s="33"/>
      <c r="AOR18" s="33"/>
      <c r="AOS18" s="33"/>
      <c r="AOT18" s="33"/>
      <c r="AOU18" s="33"/>
      <c r="AOV18" s="33"/>
      <c r="AOW18" s="33"/>
      <c r="AOX18" s="33"/>
      <c r="AOY18" s="33"/>
      <c r="AOZ18" s="33"/>
      <c r="APA18" s="33"/>
      <c r="APB18" s="33"/>
      <c r="APC18" s="33"/>
      <c r="APD18" s="33"/>
      <c r="APE18" s="33"/>
      <c r="APF18" s="33"/>
      <c r="APG18" s="33"/>
      <c r="APH18" s="33"/>
      <c r="API18" s="33"/>
      <c r="APJ18" s="33"/>
      <c r="APK18" s="33"/>
      <c r="APL18" s="33"/>
      <c r="APM18" s="33"/>
      <c r="APN18" s="33"/>
      <c r="APO18" s="33"/>
      <c r="APP18" s="33"/>
      <c r="APQ18" s="33"/>
      <c r="APR18" s="33"/>
      <c r="APS18" s="33"/>
      <c r="APT18" s="33"/>
      <c r="APU18" s="33"/>
      <c r="APV18" s="33"/>
      <c r="APW18" s="33"/>
      <c r="APX18" s="33"/>
      <c r="APY18" s="33"/>
      <c r="APZ18" s="33"/>
      <c r="AQA18" s="33"/>
      <c r="AQB18" s="33"/>
      <c r="AQC18" s="33"/>
      <c r="AQD18" s="33"/>
      <c r="AQE18" s="33"/>
      <c r="AQF18" s="33"/>
      <c r="AQG18" s="33"/>
      <c r="AQH18" s="33"/>
      <c r="AQI18" s="33"/>
      <c r="AQJ18" s="33"/>
      <c r="AQK18" s="33"/>
      <c r="AQL18" s="33"/>
      <c r="AQM18" s="33"/>
      <c r="AQN18" s="33"/>
      <c r="AQO18" s="33"/>
      <c r="AQP18" s="33"/>
      <c r="AQQ18" s="33"/>
      <c r="AQR18" s="33"/>
      <c r="AQS18" s="33"/>
      <c r="AQT18" s="33"/>
      <c r="AQU18" s="33"/>
      <c r="AQV18" s="33"/>
      <c r="AQW18" s="33"/>
      <c r="AQX18" s="33"/>
      <c r="AQY18" s="33"/>
      <c r="AQZ18" s="33"/>
      <c r="ARA18" s="33"/>
      <c r="ARB18" s="33"/>
      <c r="ARC18" s="33"/>
      <c r="ARD18" s="33"/>
      <c r="ARE18" s="33"/>
      <c r="ARF18" s="33"/>
      <c r="ARG18" s="33"/>
      <c r="ARH18" s="33"/>
      <c r="ARI18" s="33"/>
      <c r="ARJ18" s="33"/>
      <c r="ARK18" s="33"/>
      <c r="ARL18" s="33"/>
      <c r="ARM18" s="33"/>
      <c r="ARN18" s="33"/>
      <c r="ARO18" s="33"/>
      <c r="ARP18" s="33"/>
      <c r="ARQ18" s="33"/>
      <c r="ARR18" s="33"/>
      <c r="ARS18" s="33"/>
      <c r="ART18" s="33"/>
      <c r="ARU18" s="33"/>
      <c r="ARV18" s="33"/>
      <c r="ARW18" s="33"/>
      <c r="ARX18" s="33"/>
      <c r="ARY18" s="33"/>
      <c r="ARZ18" s="33"/>
      <c r="ASA18" s="33"/>
      <c r="ASB18" s="33"/>
      <c r="ASC18" s="33"/>
      <c r="ASD18" s="33"/>
      <c r="ASE18" s="33"/>
      <c r="ASF18" s="33"/>
      <c r="ASG18" s="33"/>
      <c r="ASH18" s="33"/>
      <c r="ASI18" s="33"/>
      <c r="ASJ18" s="33"/>
      <c r="ASK18" s="33"/>
      <c r="ASL18" s="33"/>
      <c r="ASM18" s="33"/>
      <c r="ASN18" s="33"/>
      <c r="ASO18" s="33"/>
      <c r="ASP18" s="33"/>
      <c r="ASQ18" s="33"/>
      <c r="ASR18" s="33"/>
      <c r="ASS18" s="33"/>
      <c r="AST18" s="33"/>
      <c r="ASU18" s="33"/>
      <c r="ASV18" s="33"/>
      <c r="ASW18" s="33"/>
      <c r="ASX18" s="33"/>
      <c r="ASY18" s="33"/>
      <c r="ASZ18" s="33"/>
      <c r="ATA18" s="33"/>
      <c r="ATB18" s="33"/>
      <c r="ATC18" s="33"/>
      <c r="ATD18" s="33"/>
      <c r="ATE18" s="33"/>
      <c r="ATF18" s="33"/>
      <c r="ATG18" s="33"/>
      <c r="ATH18" s="33"/>
      <c r="ATI18" s="33"/>
      <c r="ATJ18" s="33"/>
      <c r="ATK18" s="33"/>
      <c r="ATL18" s="33"/>
      <c r="ATM18" s="33"/>
      <c r="ATN18" s="33"/>
      <c r="ATO18" s="33"/>
      <c r="ATP18" s="33"/>
      <c r="ATQ18" s="33"/>
      <c r="ATR18" s="33"/>
      <c r="ATS18" s="33"/>
      <c r="ATT18" s="33"/>
      <c r="ATU18" s="33"/>
      <c r="ATV18" s="33"/>
      <c r="ATW18" s="33"/>
      <c r="ATX18" s="33"/>
      <c r="ATY18" s="33"/>
      <c r="ATZ18" s="33"/>
      <c r="AUA18" s="33"/>
      <c r="AUB18" s="33"/>
      <c r="AUC18" s="33"/>
      <c r="AUD18" s="33"/>
      <c r="AUE18" s="33"/>
      <c r="AUF18" s="33"/>
      <c r="AUG18" s="33"/>
      <c r="AUH18" s="33"/>
      <c r="AUI18" s="33"/>
      <c r="AUJ18" s="33"/>
      <c r="AUK18" s="33"/>
      <c r="AUL18" s="33"/>
      <c r="AUM18" s="33"/>
      <c r="AUN18" s="33"/>
      <c r="AUO18" s="33"/>
      <c r="AUP18" s="33"/>
      <c r="AUQ18" s="33"/>
      <c r="AUR18" s="33"/>
      <c r="AUS18" s="33"/>
      <c r="AUT18" s="33"/>
      <c r="AUU18" s="33"/>
      <c r="AUV18" s="33"/>
      <c r="AUW18" s="33"/>
      <c r="AUX18" s="33"/>
      <c r="AUY18" s="33"/>
      <c r="AUZ18" s="33"/>
      <c r="AVA18" s="33"/>
      <c r="AVB18" s="33"/>
    </row>
    <row r="19" spans="1:1250" ht="18.75" customHeight="1">
      <c r="A19" s="67"/>
      <c r="B19" s="208"/>
      <c r="C19" s="69"/>
      <c r="D19" s="70"/>
      <c r="E19" s="71"/>
      <c r="F19" s="69"/>
      <c r="G19" s="72"/>
      <c r="H19" s="73"/>
      <c r="I19" s="74"/>
      <c r="J19" s="1"/>
      <c r="K19" s="76"/>
      <c r="L19" s="33"/>
      <c r="M19" s="43"/>
      <c r="N19" s="44"/>
      <c r="O19" s="43"/>
      <c r="P19" s="78"/>
      <c r="Q19" s="83"/>
      <c r="R19" s="81"/>
      <c r="S19" s="82"/>
      <c r="T19" s="34"/>
      <c r="U19" s="36"/>
      <c r="V19" s="57"/>
      <c r="W19" s="57"/>
      <c r="X19" s="36"/>
      <c r="Y19" s="116"/>
      <c r="Z19" s="98"/>
      <c r="AA19" s="61"/>
      <c r="AB19" s="104"/>
      <c r="AC19" s="149"/>
      <c r="AD19" s="149"/>
      <c r="AE19" s="64"/>
      <c r="AF19" s="53"/>
      <c r="AG19" s="45"/>
      <c r="AH19" s="2"/>
      <c r="AI19" s="2"/>
      <c r="AJ19" s="34"/>
      <c r="AK19" s="34"/>
      <c r="AL19" s="34"/>
      <c r="AM19" s="34"/>
      <c r="AN19" s="34"/>
      <c r="AO19" s="34"/>
      <c r="AP19" s="34"/>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c r="BT19" s="34"/>
      <c r="BU19" s="34"/>
      <c r="BV19" s="34"/>
      <c r="BW19" s="34"/>
      <c r="BX19" s="34"/>
      <c r="BY19" s="34"/>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c r="DC19" s="34"/>
      <c r="DD19" s="34"/>
      <c r="DE19" s="34"/>
      <c r="DF19" s="34"/>
      <c r="DG19" s="34"/>
      <c r="DH19" s="34"/>
      <c r="DI19" s="34"/>
      <c r="DJ19" s="34"/>
      <c r="DK19" s="34"/>
      <c r="DL19" s="34"/>
      <c r="DM19" s="34"/>
      <c r="DN19" s="34"/>
      <c r="DO19" s="34"/>
      <c r="DP19" s="34"/>
      <c r="DQ19" s="34"/>
      <c r="DR19" s="34"/>
      <c r="DS19" s="34"/>
      <c r="DT19" s="34"/>
      <c r="DU19" s="34"/>
      <c r="DV19" s="34"/>
      <c r="DW19" s="34"/>
      <c r="DX19" s="34"/>
      <c r="DY19" s="34"/>
      <c r="DZ19" s="34"/>
      <c r="EA19" s="34"/>
      <c r="EB19" s="34"/>
      <c r="EC19" s="34"/>
      <c r="ED19" s="34"/>
      <c r="EE19" s="34"/>
      <c r="EF19" s="34"/>
      <c r="EG19" s="34"/>
      <c r="EH19" s="34"/>
      <c r="EI19" s="34"/>
      <c r="EJ19" s="34"/>
      <c r="EK19" s="34"/>
      <c r="EL19" s="34"/>
      <c r="EM19" s="34"/>
      <c r="EN19" s="34"/>
      <c r="EO19" s="34"/>
      <c r="EP19" s="34"/>
      <c r="EQ19" s="34"/>
      <c r="ER19" s="34"/>
      <c r="ES19" s="34"/>
      <c r="ET19" s="34"/>
      <c r="EU19" s="34"/>
      <c r="EV19" s="34"/>
      <c r="EW19" s="34"/>
      <c r="EX19" s="34"/>
      <c r="EY19" s="34"/>
      <c r="EZ19" s="34"/>
      <c r="FA19" s="34"/>
      <c r="FB19" s="34"/>
      <c r="FC19" s="34"/>
      <c r="FD19" s="34"/>
      <c r="FE19" s="34"/>
      <c r="FF19" s="34"/>
      <c r="FG19" s="34"/>
      <c r="FH19" s="34"/>
      <c r="FI19" s="34"/>
      <c r="FJ19" s="34"/>
      <c r="FK19" s="34"/>
      <c r="FL19" s="34"/>
      <c r="FM19" s="34"/>
      <c r="FN19" s="34"/>
      <c r="FO19" s="34"/>
      <c r="FP19" s="34"/>
      <c r="FQ19" s="34"/>
      <c r="FR19" s="34"/>
      <c r="FS19" s="34"/>
      <c r="FT19" s="34"/>
      <c r="FU19" s="34"/>
      <c r="FV19" s="34"/>
      <c r="FW19" s="34"/>
      <c r="FX19" s="34"/>
      <c r="FY19" s="34"/>
      <c r="FZ19" s="34"/>
      <c r="GA19" s="34"/>
      <c r="GB19" s="34"/>
      <c r="GC19" s="34"/>
      <c r="GD19" s="34"/>
      <c r="GE19" s="34"/>
      <c r="GF19" s="34"/>
      <c r="GG19" s="34"/>
      <c r="GH19" s="34"/>
      <c r="GI19" s="34"/>
      <c r="GJ19" s="34"/>
      <c r="GK19" s="34"/>
      <c r="GL19" s="34"/>
      <c r="GM19" s="34"/>
      <c r="GN19" s="34"/>
      <c r="GO19" s="34"/>
      <c r="GP19" s="34"/>
      <c r="GQ19" s="34"/>
      <c r="GR19" s="34"/>
      <c r="GS19" s="34"/>
      <c r="GT19" s="34"/>
      <c r="GU19" s="34"/>
      <c r="GV19" s="34"/>
      <c r="GW19" s="34"/>
      <c r="GX19" s="34"/>
      <c r="GY19" s="34"/>
      <c r="GZ19" s="34"/>
      <c r="HA19" s="34"/>
      <c r="HB19" s="34"/>
      <c r="HC19" s="34"/>
      <c r="HD19" s="34"/>
      <c r="HE19" s="34"/>
      <c r="HF19" s="34"/>
      <c r="HG19" s="34"/>
      <c r="HH19" s="34"/>
      <c r="HI19" s="34"/>
      <c r="HJ19" s="34"/>
      <c r="HK19" s="34"/>
      <c r="HL19" s="34"/>
      <c r="HM19" s="34"/>
      <c r="HN19" s="34"/>
      <c r="HO19" s="34"/>
      <c r="HP19" s="34"/>
      <c r="HQ19" s="34"/>
      <c r="HR19" s="34"/>
      <c r="HS19" s="34"/>
      <c r="HT19" s="34"/>
      <c r="HU19" s="34"/>
      <c r="HV19" s="34"/>
      <c r="HW19" s="34"/>
      <c r="HX19" s="34"/>
      <c r="HY19" s="34"/>
      <c r="HZ19" s="34"/>
      <c r="IA19" s="34"/>
      <c r="IB19" s="34"/>
      <c r="IC19" s="34"/>
      <c r="ID19" s="34"/>
      <c r="IE19" s="34"/>
      <c r="IF19" s="34"/>
      <c r="IG19" s="34"/>
      <c r="IH19" s="34"/>
      <c r="II19" s="34"/>
      <c r="IJ19" s="34"/>
      <c r="IK19" s="34"/>
      <c r="IL19" s="34"/>
      <c r="IM19" s="34"/>
      <c r="IN19" s="34"/>
      <c r="IO19" s="34"/>
      <c r="IP19" s="34"/>
      <c r="IQ19" s="34"/>
      <c r="IR19" s="34"/>
      <c r="IS19" s="34"/>
      <c r="IT19" s="34"/>
      <c r="IU19" s="34"/>
      <c r="IV19" s="34"/>
      <c r="IW19" s="34"/>
      <c r="IX19" s="34"/>
      <c r="IY19" s="34"/>
      <c r="IZ19" s="34"/>
      <c r="JA19" s="34"/>
      <c r="JB19" s="34"/>
      <c r="JC19" s="34"/>
      <c r="JD19" s="34"/>
      <c r="JE19" s="34"/>
      <c r="JF19" s="34"/>
      <c r="JG19" s="34"/>
      <c r="JH19" s="34"/>
      <c r="JI19" s="34"/>
      <c r="JJ19" s="34"/>
      <c r="JK19" s="34"/>
      <c r="JL19" s="34"/>
      <c r="JM19" s="34"/>
      <c r="JN19" s="34"/>
      <c r="JO19" s="34"/>
      <c r="JP19" s="34"/>
      <c r="JQ19" s="34"/>
      <c r="JR19" s="34"/>
      <c r="JS19" s="34"/>
      <c r="JT19" s="34"/>
      <c r="JU19" s="34"/>
      <c r="JV19" s="34"/>
      <c r="JW19" s="34"/>
      <c r="JX19" s="34"/>
      <c r="JY19" s="34"/>
      <c r="JZ19" s="34"/>
      <c r="KA19" s="34"/>
      <c r="KB19" s="34"/>
      <c r="KC19" s="34"/>
      <c r="KD19" s="34"/>
      <c r="KE19" s="34"/>
      <c r="KF19" s="34"/>
      <c r="KG19" s="34"/>
      <c r="KH19" s="34"/>
      <c r="KI19" s="34"/>
      <c r="KJ19" s="34"/>
      <c r="KK19" s="34"/>
      <c r="KL19" s="34"/>
      <c r="KM19" s="34"/>
      <c r="KN19" s="34"/>
      <c r="KO19" s="34"/>
      <c r="KP19" s="34"/>
      <c r="KQ19" s="34"/>
      <c r="KR19" s="34"/>
      <c r="KS19" s="34"/>
      <c r="KT19" s="34"/>
      <c r="KU19" s="34"/>
      <c r="KV19" s="34"/>
      <c r="KW19" s="34"/>
      <c r="KX19" s="34"/>
      <c r="KY19" s="34"/>
      <c r="KZ19" s="34"/>
      <c r="LA19" s="34"/>
      <c r="LB19" s="34"/>
      <c r="LC19" s="34"/>
      <c r="LD19" s="34"/>
      <c r="LE19" s="34"/>
      <c r="LF19" s="34"/>
      <c r="LG19" s="34"/>
      <c r="LH19" s="34"/>
      <c r="LI19" s="34"/>
      <c r="LJ19" s="34"/>
      <c r="LK19" s="34"/>
      <c r="LL19" s="34"/>
      <c r="LM19" s="34"/>
      <c r="LN19" s="34"/>
      <c r="LO19" s="34"/>
      <c r="LP19" s="34"/>
      <c r="LQ19" s="34"/>
      <c r="LR19" s="34"/>
      <c r="LS19" s="34"/>
      <c r="LT19" s="34"/>
      <c r="LU19" s="34"/>
      <c r="LV19" s="34"/>
      <c r="LW19" s="34"/>
      <c r="LX19" s="34"/>
      <c r="LY19" s="34"/>
      <c r="LZ19" s="34"/>
      <c r="MA19" s="34"/>
      <c r="MB19" s="34"/>
      <c r="MC19" s="34"/>
      <c r="MD19" s="34"/>
      <c r="ME19" s="34"/>
      <c r="MF19" s="34"/>
      <c r="MG19" s="34"/>
      <c r="MH19" s="34"/>
      <c r="MI19" s="34"/>
      <c r="MJ19" s="34"/>
      <c r="MK19" s="34"/>
      <c r="ML19" s="34"/>
      <c r="MM19" s="34"/>
      <c r="MN19" s="34"/>
      <c r="MO19" s="34"/>
      <c r="MP19" s="34"/>
      <c r="MQ19" s="34"/>
      <c r="MR19" s="34"/>
      <c r="MS19" s="34"/>
      <c r="MT19" s="34"/>
      <c r="MU19" s="34"/>
      <c r="MV19" s="34"/>
      <c r="MW19" s="34"/>
      <c r="MX19" s="34"/>
      <c r="MY19" s="34"/>
      <c r="MZ19" s="34"/>
      <c r="NA19" s="34"/>
      <c r="NB19" s="34"/>
      <c r="NC19" s="34"/>
      <c r="ND19" s="34"/>
      <c r="NE19" s="34"/>
      <c r="NF19" s="34"/>
      <c r="NG19" s="34"/>
      <c r="NH19" s="34"/>
      <c r="NI19" s="34"/>
      <c r="NJ19" s="34"/>
      <c r="NK19" s="34"/>
      <c r="NL19" s="34"/>
      <c r="NM19" s="34"/>
      <c r="NN19" s="34"/>
      <c r="NO19" s="34"/>
      <c r="NP19" s="34"/>
      <c r="NQ19" s="34"/>
      <c r="NR19" s="34"/>
      <c r="NS19" s="34"/>
      <c r="NT19" s="34"/>
      <c r="NU19" s="34"/>
      <c r="NV19" s="34"/>
      <c r="NW19" s="34"/>
      <c r="NX19" s="34"/>
      <c r="NY19" s="34"/>
      <c r="NZ19" s="34"/>
      <c r="OA19" s="34"/>
      <c r="OB19" s="34"/>
      <c r="OC19" s="34"/>
      <c r="OD19" s="34"/>
      <c r="OE19" s="34"/>
      <c r="OF19" s="34"/>
      <c r="OG19" s="34"/>
      <c r="OH19" s="34"/>
      <c r="OI19" s="34"/>
      <c r="OJ19" s="34"/>
      <c r="OK19" s="34"/>
      <c r="OL19" s="34"/>
      <c r="OM19" s="34"/>
      <c r="ON19" s="34"/>
      <c r="OO19" s="34"/>
      <c r="OP19" s="34"/>
      <c r="OQ19" s="34"/>
      <c r="OR19" s="34"/>
      <c r="OS19" s="34"/>
      <c r="OT19" s="34"/>
      <c r="OU19" s="34"/>
      <c r="OV19" s="34"/>
      <c r="OW19" s="34"/>
      <c r="OX19" s="34"/>
      <c r="OY19" s="34"/>
      <c r="OZ19" s="34"/>
      <c r="PA19" s="34"/>
      <c r="PB19" s="34"/>
      <c r="PC19" s="34"/>
      <c r="PD19" s="34"/>
      <c r="PE19" s="34"/>
      <c r="PF19" s="34"/>
      <c r="PG19" s="34"/>
      <c r="PH19" s="34"/>
      <c r="PI19" s="34"/>
      <c r="PJ19" s="34"/>
      <c r="PK19" s="34"/>
      <c r="PL19" s="34"/>
      <c r="PM19" s="34"/>
      <c r="PN19" s="34"/>
      <c r="PO19" s="34"/>
      <c r="PP19" s="34"/>
      <c r="PQ19" s="34"/>
      <c r="PR19" s="34"/>
      <c r="PS19" s="34"/>
      <c r="PT19" s="34"/>
      <c r="PU19" s="34"/>
      <c r="PV19" s="34"/>
      <c r="PW19" s="34"/>
      <c r="PX19" s="34"/>
      <c r="PY19" s="34"/>
      <c r="PZ19" s="34"/>
      <c r="QA19" s="34"/>
      <c r="QB19" s="34"/>
      <c r="QC19" s="34"/>
      <c r="QD19" s="34"/>
      <c r="QE19" s="34"/>
      <c r="QF19" s="34"/>
      <c r="QG19" s="34"/>
      <c r="QH19" s="34"/>
      <c r="QI19" s="34"/>
      <c r="QJ19" s="34"/>
      <c r="QK19" s="34"/>
      <c r="QL19" s="34"/>
      <c r="QM19" s="34"/>
      <c r="QN19" s="34"/>
      <c r="QO19" s="34"/>
      <c r="QP19" s="34"/>
      <c r="QQ19" s="34"/>
      <c r="QR19" s="34"/>
      <c r="QS19" s="34"/>
      <c r="QT19" s="34"/>
      <c r="QU19" s="34"/>
      <c r="QV19" s="34"/>
      <c r="QW19" s="34"/>
      <c r="QX19" s="34"/>
      <c r="QY19" s="34"/>
      <c r="QZ19" s="34"/>
      <c r="RA19" s="34"/>
      <c r="RB19" s="34"/>
      <c r="RC19" s="34"/>
      <c r="RD19" s="34"/>
      <c r="RE19" s="34"/>
      <c r="RF19" s="34"/>
      <c r="RG19" s="34"/>
      <c r="RH19" s="34"/>
      <c r="RI19" s="34"/>
      <c r="RJ19" s="34"/>
      <c r="RK19" s="34"/>
      <c r="RL19" s="34"/>
      <c r="RM19" s="34"/>
      <c r="RN19" s="34"/>
      <c r="RO19" s="34"/>
      <c r="RP19" s="34"/>
      <c r="RQ19" s="34"/>
      <c r="RR19" s="34"/>
      <c r="RS19" s="34"/>
      <c r="RT19" s="34"/>
      <c r="RU19" s="34"/>
      <c r="RV19" s="34"/>
      <c r="RW19" s="34"/>
      <c r="RX19" s="34"/>
      <c r="RY19" s="34"/>
      <c r="RZ19" s="34"/>
      <c r="SA19" s="34"/>
      <c r="SB19" s="34"/>
      <c r="SC19" s="34"/>
      <c r="SD19" s="34"/>
      <c r="SE19" s="34"/>
      <c r="SF19" s="34"/>
      <c r="SG19" s="34"/>
      <c r="SH19" s="34"/>
      <c r="SI19" s="34"/>
      <c r="SJ19" s="34"/>
      <c r="SK19" s="34"/>
      <c r="SL19" s="34"/>
      <c r="SM19" s="34"/>
      <c r="SN19" s="34"/>
      <c r="SO19" s="34"/>
      <c r="SP19" s="34"/>
      <c r="SQ19" s="34"/>
      <c r="SR19" s="34"/>
      <c r="SS19" s="34"/>
      <c r="ST19" s="34"/>
      <c r="SU19" s="34"/>
      <c r="SV19" s="34"/>
      <c r="SW19" s="34"/>
      <c r="SX19" s="34"/>
      <c r="SY19" s="34"/>
      <c r="SZ19" s="34"/>
      <c r="TA19" s="34"/>
      <c r="TB19" s="34"/>
      <c r="TC19" s="34"/>
      <c r="TD19" s="34"/>
      <c r="TE19" s="34"/>
      <c r="TF19" s="34"/>
      <c r="TG19" s="34"/>
      <c r="TH19" s="34"/>
      <c r="TI19" s="34"/>
      <c r="TJ19" s="34"/>
      <c r="TK19" s="34"/>
      <c r="TL19" s="34"/>
      <c r="TM19" s="34"/>
      <c r="TN19" s="34"/>
      <c r="TO19" s="34"/>
      <c r="TP19" s="34"/>
      <c r="TQ19" s="34"/>
      <c r="TR19" s="34"/>
      <c r="TS19" s="34"/>
      <c r="TT19" s="34"/>
      <c r="TU19" s="34"/>
      <c r="TV19" s="34"/>
      <c r="TW19" s="34"/>
      <c r="TX19" s="34"/>
      <c r="TY19" s="34"/>
      <c r="TZ19" s="34"/>
      <c r="UA19" s="34"/>
      <c r="UB19" s="34"/>
      <c r="UC19" s="34"/>
      <c r="UD19" s="34"/>
      <c r="UE19" s="34"/>
      <c r="UF19" s="34"/>
      <c r="UG19" s="34"/>
      <c r="UH19" s="34"/>
      <c r="UI19" s="34"/>
      <c r="UJ19" s="34"/>
      <c r="UK19" s="34"/>
      <c r="UL19" s="34"/>
      <c r="UM19" s="34"/>
      <c r="UN19" s="34"/>
      <c r="UO19" s="34"/>
      <c r="UP19" s="34"/>
      <c r="UQ19" s="34"/>
      <c r="UR19" s="34"/>
      <c r="US19" s="34"/>
      <c r="UT19" s="34"/>
      <c r="UU19" s="34"/>
      <c r="UV19" s="34"/>
      <c r="UW19" s="34"/>
      <c r="UX19" s="34"/>
      <c r="UY19" s="34"/>
      <c r="UZ19" s="34"/>
      <c r="VA19" s="34"/>
      <c r="VB19" s="34"/>
      <c r="VC19" s="34"/>
      <c r="VD19" s="34"/>
      <c r="VE19" s="34"/>
      <c r="VF19" s="34"/>
      <c r="VG19" s="34"/>
      <c r="VH19" s="34"/>
      <c r="VI19" s="34"/>
      <c r="VJ19" s="34"/>
      <c r="VK19" s="34"/>
      <c r="VL19" s="34"/>
      <c r="VM19" s="34"/>
      <c r="VN19" s="34"/>
      <c r="VO19" s="34"/>
      <c r="VP19" s="34"/>
      <c r="VQ19" s="34"/>
      <c r="VR19" s="34"/>
      <c r="VS19" s="34"/>
      <c r="VT19" s="34"/>
      <c r="VU19" s="34"/>
      <c r="VV19" s="34"/>
      <c r="VW19" s="34"/>
      <c r="VX19" s="34"/>
      <c r="VY19" s="34"/>
      <c r="VZ19" s="34"/>
      <c r="WA19" s="34"/>
      <c r="WB19" s="34"/>
      <c r="WC19" s="34"/>
      <c r="WD19" s="34"/>
      <c r="WE19" s="34"/>
      <c r="WF19" s="34"/>
      <c r="WG19" s="34"/>
      <c r="WH19" s="34"/>
      <c r="WI19" s="34"/>
      <c r="WJ19" s="34"/>
      <c r="WK19" s="34"/>
      <c r="WL19" s="34"/>
      <c r="WM19" s="34"/>
      <c r="WN19" s="34"/>
      <c r="WO19" s="34"/>
      <c r="WP19" s="34"/>
      <c r="WQ19" s="34"/>
      <c r="WR19" s="34"/>
      <c r="WS19" s="34"/>
      <c r="WT19" s="34"/>
      <c r="WU19" s="34"/>
      <c r="WV19" s="34"/>
      <c r="WW19" s="34"/>
      <c r="WX19" s="34"/>
      <c r="WY19" s="34"/>
      <c r="WZ19" s="34"/>
      <c r="XA19" s="34"/>
      <c r="XB19" s="34"/>
      <c r="XC19" s="34"/>
      <c r="XD19" s="34"/>
      <c r="XE19" s="34"/>
      <c r="XF19" s="34"/>
      <c r="XG19" s="34"/>
      <c r="XH19" s="34"/>
      <c r="XI19" s="34"/>
      <c r="XJ19" s="34"/>
      <c r="XK19" s="34"/>
      <c r="XL19" s="34"/>
      <c r="XM19" s="34"/>
      <c r="XN19" s="34"/>
      <c r="XO19" s="34"/>
      <c r="XP19" s="34"/>
      <c r="XQ19" s="34"/>
      <c r="XR19" s="34"/>
      <c r="XS19" s="34"/>
      <c r="XT19" s="34"/>
      <c r="XU19" s="34"/>
      <c r="XV19" s="34"/>
      <c r="XW19" s="34"/>
      <c r="XX19" s="34"/>
      <c r="XY19" s="34"/>
      <c r="XZ19" s="34"/>
      <c r="YA19" s="34"/>
      <c r="YB19" s="34"/>
      <c r="YC19" s="34"/>
      <c r="YD19" s="34"/>
      <c r="YE19" s="34"/>
      <c r="YF19" s="34"/>
      <c r="YG19" s="34"/>
      <c r="YH19" s="34"/>
      <c r="YI19" s="34"/>
      <c r="YJ19" s="34"/>
      <c r="YK19" s="34"/>
      <c r="YL19" s="34"/>
      <c r="YM19" s="34"/>
      <c r="YN19" s="34"/>
      <c r="YO19" s="34"/>
      <c r="YP19" s="34"/>
      <c r="YQ19" s="34"/>
      <c r="YR19" s="34"/>
      <c r="YS19" s="34"/>
      <c r="YT19" s="34"/>
      <c r="YU19" s="34"/>
      <c r="YV19" s="34"/>
      <c r="YW19" s="34"/>
      <c r="YX19" s="34"/>
      <c r="YY19" s="34"/>
      <c r="YZ19" s="34"/>
      <c r="ZA19" s="34"/>
      <c r="ZB19" s="34"/>
      <c r="ZC19" s="34"/>
      <c r="ZD19" s="34"/>
      <c r="ZE19" s="34"/>
      <c r="ZF19" s="34"/>
      <c r="ZG19" s="34"/>
      <c r="ZH19" s="34"/>
      <c r="ZI19" s="34"/>
      <c r="ZJ19" s="34"/>
      <c r="ZK19" s="34"/>
      <c r="ZL19" s="34"/>
      <c r="ZM19" s="34"/>
      <c r="ZN19" s="34"/>
      <c r="ZO19" s="34"/>
      <c r="ZP19" s="34"/>
      <c r="ZQ19" s="34"/>
      <c r="ZR19" s="34"/>
      <c r="ZS19" s="34"/>
      <c r="ZT19" s="34"/>
      <c r="ZU19" s="34"/>
      <c r="ZV19" s="34"/>
      <c r="ZW19" s="34"/>
      <c r="ZX19" s="34"/>
      <c r="ZY19" s="34"/>
      <c r="ZZ19" s="34"/>
      <c r="AAA19" s="34"/>
      <c r="AAB19" s="34"/>
      <c r="AAC19" s="34"/>
      <c r="AAD19" s="34"/>
      <c r="AAE19" s="34"/>
      <c r="AAF19" s="34"/>
      <c r="AAG19" s="34"/>
      <c r="AAH19" s="34"/>
      <c r="AAI19" s="34"/>
      <c r="AAJ19" s="34"/>
      <c r="AAK19" s="34"/>
      <c r="AAL19" s="34"/>
      <c r="AAM19" s="34"/>
      <c r="AAN19" s="34"/>
      <c r="AAO19" s="34"/>
      <c r="AAP19" s="34"/>
      <c r="AAQ19" s="34"/>
      <c r="AAR19" s="34"/>
      <c r="AAS19" s="34"/>
      <c r="AAT19" s="34"/>
      <c r="AAU19" s="34"/>
      <c r="AAV19" s="34"/>
      <c r="AAW19" s="34"/>
      <c r="AAX19" s="34"/>
      <c r="AAY19" s="34"/>
      <c r="AAZ19" s="34"/>
      <c r="ABA19" s="34"/>
      <c r="ABB19" s="34"/>
      <c r="ABC19" s="34"/>
      <c r="ABD19" s="34"/>
      <c r="ABE19" s="34"/>
      <c r="ABF19" s="34"/>
      <c r="ABG19" s="34"/>
      <c r="ABH19" s="34"/>
      <c r="ABI19" s="34"/>
      <c r="ABJ19" s="34"/>
      <c r="ABK19" s="34"/>
      <c r="ABL19" s="34"/>
      <c r="ABM19" s="34"/>
      <c r="ABN19" s="34"/>
      <c r="ABO19" s="34"/>
      <c r="ABP19" s="34"/>
      <c r="ABQ19" s="34"/>
      <c r="ABR19" s="34"/>
      <c r="ABS19" s="34"/>
      <c r="ABT19" s="34"/>
      <c r="ABU19" s="34"/>
      <c r="ABV19" s="34"/>
      <c r="ABW19" s="34"/>
      <c r="ABX19" s="34"/>
      <c r="ABY19" s="34"/>
      <c r="ABZ19" s="34"/>
      <c r="ACA19" s="34"/>
      <c r="ACB19" s="34"/>
      <c r="ACC19" s="34"/>
      <c r="ACD19" s="34"/>
      <c r="ACE19" s="34"/>
      <c r="ACF19" s="34"/>
      <c r="ACG19" s="34"/>
      <c r="ACH19" s="34"/>
      <c r="ACI19" s="34"/>
      <c r="ACJ19" s="34"/>
      <c r="ACK19" s="34"/>
      <c r="ACL19" s="34"/>
      <c r="ACM19" s="34"/>
      <c r="ACN19" s="34"/>
      <c r="ACO19" s="34"/>
      <c r="ACP19" s="34"/>
      <c r="ACQ19" s="34"/>
      <c r="ACR19" s="34"/>
      <c r="ACS19" s="34"/>
      <c r="ACT19" s="34"/>
      <c r="ACU19" s="34"/>
      <c r="ACV19" s="34"/>
      <c r="ACW19" s="34"/>
      <c r="ACX19" s="34"/>
      <c r="ACY19" s="34"/>
      <c r="ACZ19" s="34"/>
      <c r="ADA19" s="34"/>
      <c r="ADB19" s="34"/>
      <c r="ADC19" s="34"/>
      <c r="ADD19" s="34"/>
      <c r="ADE19" s="34"/>
      <c r="ADF19" s="34"/>
      <c r="ADG19" s="34"/>
      <c r="ADH19" s="34"/>
      <c r="ADI19" s="34"/>
      <c r="ADJ19" s="34"/>
      <c r="ADK19" s="34"/>
      <c r="ADL19" s="34"/>
      <c r="ADM19" s="34"/>
      <c r="ADN19" s="34"/>
      <c r="ADO19" s="34"/>
      <c r="ADP19" s="34"/>
      <c r="ADQ19" s="34"/>
      <c r="ADR19" s="34"/>
      <c r="ADS19" s="34"/>
      <c r="ADT19" s="34"/>
      <c r="ADU19" s="34"/>
      <c r="ADV19" s="34"/>
      <c r="ADW19" s="34"/>
      <c r="ADX19" s="34"/>
      <c r="ADY19" s="34"/>
      <c r="ADZ19" s="34"/>
      <c r="AEA19" s="34"/>
      <c r="AEB19" s="34"/>
      <c r="AEC19" s="34"/>
      <c r="AED19" s="34"/>
      <c r="AEE19" s="34"/>
      <c r="AEF19" s="34"/>
      <c r="AEG19" s="34"/>
      <c r="AEH19" s="34"/>
      <c r="AEI19" s="34"/>
      <c r="AEJ19" s="34"/>
      <c r="AEK19" s="34"/>
      <c r="AEL19" s="34"/>
      <c r="AEM19" s="34"/>
      <c r="AEN19" s="34"/>
      <c r="AEO19" s="34"/>
      <c r="AEP19" s="34"/>
      <c r="AEQ19" s="34"/>
      <c r="AER19" s="34"/>
      <c r="AES19" s="34"/>
      <c r="AET19" s="34"/>
      <c r="AEU19" s="34"/>
      <c r="AEV19" s="34"/>
      <c r="AEW19" s="34"/>
      <c r="AEX19" s="34"/>
      <c r="AEY19" s="34"/>
      <c r="AEZ19" s="34"/>
      <c r="AFA19" s="34"/>
      <c r="AFB19" s="34"/>
      <c r="AFC19" s="34"/>
      <c r="AFD19" s="34"/>
      <c r="AFE19" s="34"/>
      <c r="AFF19" s="34"/>
      <c r="AFG19" s="34"/>
      <c r="AFH19" s="34"/>
      <c r="AFI19" s="34"/>
      <c r="AFJ19" s="34"/>
      <c r="AFK19" s="34"/>
      <c r="AFL19" s="34"/>
      <c r="AFM19" s="34"/>
      <c r="AFN19" s="34"/>
      <c r="AFO19" s="34"/>
      <c r="AFP19" s="34"/>
      <c r="AFQ19" s="34"/>
      <c r="AFR19" s="34"/>
      <c r="AFS19" s="34"/>
      <c r="AFT19" s="34"/>
      <c r="AFU19" s="34"/>
      <c r="AFV19" s="34"/>
      <c r="AFW19" s="34"/>
      <c r="AFX19" s="34"/>
      <c r="AFY19" s="34"/>
      <c r="AFZ19" s="34"/>
      <c r="AGA19" s="34"/>
      <c r="AGB19" s="34"/>
      <c r="AGC19" s="34"/>
      <c r="AGD19" s="34"/>
      <c r="AGE19" s="34"/>
      <c r="AGF19" s="34"/>
      <c r="AGG19" s="34"/>
      <c r="AGH19" s="34"/>
      <c r="AGI19" s="34"/>
      <c r="AGJ19" s="34"/>
      <c r="AGK19" s="34"/>
      <c r="AGL19" s="34"/>
      <c r="AGM19" s="34"/>
      <c r="AGN19" s="34"/>
      <c r="AGO19" s="34"/>
      <c r="AGP19" s="34"/>
      <c r="AGQ19" s="34"/>
      <c r="AGR19" s="34"/>
      <c r="AGS19" s="34"/>
      <c r="AGT19" s="34"/>
      <c r="AGU19" s="34"/>
      <c r="AGV19" s="34"/>
      <c r="AGW19" s="34"/>
      <c r="AGX19" s="34"/>
      <c r="AGY19" s="34"/>
      <c r="AGZ19" s="34"/>
      <c r="AHA19" s="34"/>
      <c r="AHB19" s="34"/>
      <c r="AHC19" s="34"/>
      <c r="AHD19" s="34"/>
      <c r="AHE19" s="34"/>
      <c r="AHF19" s="34"/>
      <c r="AHG19" s="34"/>
      <c r="AHH19" s="34"/>
      <c r="AHI19" s="34"/>
      <c r="AHJ19" s="34"/>
      <c r="AHK19" s="34"/>
      <c r="AHL19" s="34"/>
      <c r="AHM19" s="34"/>
      <c r="AHN19" s="34"/>
      <c r="AHO19" s="34"/>
      <c r="AHP19" s="34"/>
      <c r="AHQ19" s="34"/>
      <c r="AHR19" s="34"/>
      <c r="AHS19" s="34"/>
      <c r="AHT19" s="34"/>
      <c r="AHU19" s="34"/>
      <c r="AHV19" s="34"/>
      <c r="AHW19" s="34"/>
      <c r="AHX19" s="34"/>
      <c r="AHY19" s="34"/>
      <c r="AHZ19" s="34"/>
      <c r="AIA19" s="34"/>
      <c r="AIB19" s="34"/>
      <c r="AIC19" s="34"/>
      <c r="AID19" s="34"/>
      <c r="AIE19" s="34"/>
      <c r="AIF19" s="34"/>
      <c r="AIG19" s="34"/>
      <c r="AIH19" s="34"/>
      <c r="AII19" s="34"/>
      <c r="AIJ19" s="34"/>
      <c r="AIK19" s="34"/>
      <c r="AIL19" s="34"/>
      <c r="AIM19" s="34"/>
      <c r="AIN19" s="34"/>
      <c r="AIO19" s="34"/>
      <c r="AIP19" s="34"/>
      <c r="AIQ19" s="34"/>
      <c r="AIR19" s="34"/>
      <c r="AIS19" s="34"/>
      <c r="AIT19" s="34"/>
      <c r="AIU19" s="34"/>
      <c r="AIV19" s="34"/>
      <c r="AIW19" s="34"/>
      <c r="AIX19" s="34"/>
      <c r="AIY19" s="34"/>
      <c r="AIZ19" s="34"/>
      <c r="AJA19" s="34"/>
      <c r="AJB19" s="34"/>
      <c r="AJC19" s="34"/>
      <c r="AJD19" s="34"/>
      <c r="AJE19" s="34"/>
      <c r="AJF19" s="34"/>
      <c r="AJG19" s="34"/>
      <c r="AJH19" s="34"/>
      <c r="AJI19" s="34"/>
      <c r="AJJ19" s="34"/>
      <c r="AJK19" s="34"/>
      <c r="AJL19" s="34"/>
      <c r="AJM19" s="34"/>
      <c r="AJN19" s="34"/>
      <c r="AJO19" s="34"/>
      <c r="AJP19" s="34"/>
      <c r="AJQ19" s="34"/>
      <c r="AJR19" s="34"/>
      <c r="AJS19" s="34"/>
      <c r="AJT19" s="34"/>
      <c r="AJU19" s="34"/>
      <c r="AJV19" s="34"/>
      <c r="AJW19" s="34"/>
      <c r="AJX19" s="34"/>
      <c r="AJY19" s="34"/>
      <c r="AJZ19" s="34"/>
      <c r="AKA19" s="34"/>
      <c r="AKB19" s="34"/>
      <c r="AKC19" s="34"/>
      <c r="AKD19" s="34"/>
      <c r="AKE19" s="34"/>
      <c r="AKF19" s="34"/>
      <c r="AKG19" s="34"/>
      <c r="AKH19" s="34"/>
      <c r="AKI19" s="34"/>
      <c r="AKJ19" s="34"/>
      <c r="AKK19" s="34"/>
      <c r="AKL19" s="34"/>
      <c r="AKM19" s="34"/>
      <c r="AKN19" s="34"/>
      <c r="AKO19" s="34"/>
      <c r="AKP19" s="34"/>
      <c r="AKQ19" s="34"/>
      <c r="AKR19" s="34"/>
      <c r="AKS19" s="34"/>
      <c r="AKT19" s="34"/>
      <c r="AKU19" s="34"/>
      <c r="AKV19" s="34"/>
      <c r="AKW19" s="34"/>
      <c r="AKX19" s="34"/>
      <c r="AKY19" s="34"/>
      <c r="AKZ19" s="34"/>
      <c r="ALA19" s="34"/>
      <c r="ALB19" s="34"/>
      <c r="ALC19" s="34"/>
      <c r="ALD19" s="34"/>
      <c r="ALE19" s="34"/>
      <c r="ALF19" s="34"/>
      <c r="ALG19" s="33"/>
      <c r="ALH19" s="33"/>
      <c r="ALI19" s="33"/>
      <c r="ALJ19" s="33"/>
      <c r="ALK19" s="33"/>
      <c r="ALL19" s="33"/>
      <c r="ALM19" s="33"/>
      <c r="ALN19" s="33"/>
      <c r="ALO19" s="33"/>
      <c r="ALP19" s="33"/>
      <c r="ALQ19" s="33"/>
      <c r="ALR19" s="33"/>
      <c r="ALS19" s="33"/>
      <c r="ALT19" s="33"/>
      <c r="ALU19" s="33"/>
      <c r="ALV19" s="33"/>
      <c r="ALW19" s="33"/>
      <c r="ALX19" s="33"/>
      <c r="ALY19" s="33"/>
      <c r="ALZ19" s="33"/>
      <c r="AMA19" s="33"/>
      <c r="AMB19" s="33"/>
      <c r="AMC19" s="33"/>
      <c r="AMD19" s="33"/>
      <c r="AME19" s="33"/>
      <c r="AMF19" s="33"/>
      <c r="AMG19" s="33"/>
      <c r="AMH19" s="33"/>
      <c r="AMI19" s="33"/>
      <c r="AMJ19" s="33"/>
      <c r="AMK19" s="33"/>
      <c r="AML19" s="33"/>
      <c r="AMM19" s="33"/>
      <c r="AMN19" s="33"/>
      <c r="AMO19" s="33"/>
      <c r="AMP19" s="33"/>
      <c r="AMQ19" s="33"/>
      <c r="AMR19" s="33"/>
      <c r="AMS19" s="33"/>
      <c r="AMT19" s="33"/>
      <c r="AMU19" s="33"/>
      <c r="AMV19" s="33"/>
      <c r="AMW19" s="33"/>
      <c r="AMX19" s="33"/>
      <c r="AMY19" s="33"/>
      <c r="AMZ19" s="33"/>
      <c r="ANA19" s="33"/>
      <c r="ANB19" s="33"/>
      <c r="ANC19" s="33"/>
      <c r="AND19" s="33"/>
      <c r="ANE19" s="33"/>
      <c r="ANF19" s="33"/>
      <c r="ANG19" s="33"/>
      <c r="ANH19" s="33"/>
      <c r="ANI19" s="33"/>
      <c r="ANJ19" s="33"/>
      <c r="ANK19" s="33"/>
      <c r="ANL19" s="33"/>
      <c r="ANM19" s="33"/>
      <c r="ANN19" s="33"/>
      <c r="ANO19" s="33"/>
      <c r="ANP19" s="33"/>
      <c r="ANQ19" s="33"/>
      <c r="ANR19" s="33"/>
      <c r="ANS19" s="33"/>
      <c r="ANT19" s="33"/>
      <c r="ANU19" s="33"/>
      <c r="ANV19" s="33"/>
      <c r="ANW19" s="33"/>
      <c r="ANX19" s="33"/>
      <c r="ANY19" s="33"/>
      <c r="ANZ19" s="33"/>
      <c r="AOA19" s="33"/>
      <c r="AOB19" s="33"/>
      <c r="AOC19" s="33"/>
      <c r="AOD19" s="33"/>
      <c r="AOE19" s="33"/>
      <c r="AOF19" s="33"/>
      <c r="AOG19" s="33"/>
      <c r="AOH19" s="33"/>
      <c r="AOI19" s="33"/>
      <c r="AOJ19" s="33"/>
      <c r="AOK19" s="33"/>
      <c r="AOL19" s="33"/>
      <c r="AOM19" s="33"/>
      <c r="AON19" s="33"/>
      <c r="AOO19" s="33"/>
      <c r="AOP19" s="33"/>
      <c r="AOQ19" s="33"/>
      <c r="AOR19" s="33"/>
      <c r="AOS19" s="33"/>
      <c r="AOT19" s="33"/>
      <c r="AOU19" s="33"/>
      <c r="AOV19" s="33"/>
      <c r="AOW19" s="33"/>
      <c r="AOX19" s="33"/>
      <c r="AOY19" s="33"/>
      <c r="AOZ19" s="33"/>
      <c r="APA19" s="33"/>
      <c r="APB19" s="33"/>
      <c r="APC19" s="33"/>
      <c r="APD19" s="33"/>
      <c r="APE19" s="33"/>
      <c r="APF19" s="33"/>
      <c r="APG19" s="33"/>
      <c r="APH19" s="33"/>
      <c r="API19" s="33"/>
      <c r="APJ19" s="33"/>
      <c r="APK19" s="33"/>
      <c r="APL19" s="33"/>
      <c r="APM19" s="33"/>
      <c r="APN19" s="33"/>
      <c r="APO19" s="33"/>
      <c r="APP19" s="33"/>
      <c r="APQ19" s="33"/>
      <c r="APR19" s="33"/>
      <c r="APS19" s="33"/>
      <c r="APT19" s="33"/>
      <c r="APU19" s="33"/>
      <c r="APV19" s="33"/>
      <c r="APW19" s="33"/>
      <c r="APX19" s="33"/>
      <c r="APY19" s="33"/>
      <c r="APZ19" s="33"/>
      <c r="AQA19" s="33"/>
      <c r="AQB19" s="33"/>
      <c r="AQC19" s="33"/>
      <c r="AQD19" s="33"/>
      <c r="AQE19" s="33"/>
      <c r="AQF19" s="33"/>
      <c r="AQG19" s="33"/>
      <c r="AQH19" s="33"/>
      <c r="AQI19" s="33"/>
      <c r="AQJ19" s="33"/>
      <c r="AQK19" s="33"/>
      <c r="AQL19" s="33"/>
      <c r="AQM19" s="33"/>
      <c r="AQN19" s="33"/>
      <c r="AQO19" s="33"/>
      <c r="AQP19" s="33"/>
      <c r="AQQ19" s="33"/>
      <c r="AQR19" s="33"/>
      <c r="AQS19" s="33"/>
      <c r="AQT19" s="33"/>
      <c r="AQU19" s="33"/>
      <c r="AQV19" s="33"/>
      <c r="AQW19" s="33"/>
      <c r="AQX19" s="33"/>
      <c r="AQY19" s="33"/>
      <c r="AQZ19" s="33"/>
      <c r="ARA19" s="33"/>
      <c r="ARB19" s="33"/>
      <c r="ARC19" s="33"/>
      <c r="ARD19" s="33"/>
      <c r="ARE19" s="33"/>
      <c r="ARF19" s="33"/>
      <c r="ARG19" s="33"/>
      <c r="ARH19" s="33"/>
      <c r="ARI19" s="33"/>
      <c r="ARJ19" s="33"/>
      <c r="ARK19" s="33"/>
      <c r="ARL19" s="33"/>
      <c r="ARM19" s="33"/>
      <c r="ARN19" s="33"/>
      <c r="ARO19" s="33"/>
      <c r="ARP19" s="33"/>
      <c r="ARQ19" s="33"/>
      <c r="ARR19" s="33"/>
      <c r="ARS19" s="33"/>
      <c r="ART19" s="33"/>
      <c r="ARU19" s="33"/>
      <c r="ARV19" s="33"/>
      <c r="ARW19" s="33"/>
      <c r="ARX19" s="33"/>
      <c r="ARY19" s="33"/>
      <c r="ARZ19" s="33"/>
      <c r="ASA19" s="33"/>
      <c r="ASB19" s="33"/>
      <c r="ASC19" s="33"/>
      <c r="ASD19" s="33"/>
      <c r="ASE19" s="33"/>
      <c r="ASF19" s="33"/>
      <c r="ASG19" s="33"/>
      <c r="ASH19" s="33"/>
      <c r="ASI19" s="33"/>
      <c r="ASJ19" s="33"/>
      <c r="ASK19" s="33"/>
      <c r="ASL19" s="33"/>
      <c r="ASM19" s="33"/>
      <c r="ASN19" s="33"/>
      <c r="ASO19" s="33"/>
      <c r="ASP19" s="33"/>
      <c r="ASQ19" s="33"/>
      <c r="ASR19" s="33"/>
      <c r="ASS19" s="33"/>
      <c r="AST19" s="33"/>
      <c r="ASU19" s="33"/>
      <c r="ASV19" s="33"/>
      <c r="ASW19" s="33"/>
      <c r="ASX19" s="33"/>
      <c r="ASY19" s="33"/>
      <c r="ASZ19" s="33"/>
      <c r="ATA19" s="33"/>
      <c r="ATB19" s="33"/>
      <c r="ATC19" s="33"/>
      <c r="ATD19" s="33"/>
      <c r="ATE19" s="33"/>
      <c r="ATF19" s="33"/>
      <c r="ATG19" s="33"/>
      <c r="ATH19" s="33"/>
      <c r="ATI19" s="33"/>
      <c r="ATJ19" s="33"/>
      <c r="ATK19" s="33"/>
      <c r="ATL19" s="33"/>
      <c r="ATM19" s="33"/>
      <c r="ATN19" s="33"/>
      <c r="ATO19" s="33"/>
      <c r="ATP19" s="33"/>
      <c r="ATQ19" s="33"/>
      <c r="ATR19" s="33"/>
      <c r="ATS19" s="33"/>
      <c r="ATT19" s="33"/>
      <c r="ATU19" s="33"/>
      <c r="ATV19" s="33"/>
      <c r="ATW19" s="33"/>
      <c r="ATX19" s="33"/>
      <c r="ATY19" s="33"/>
      <c r="ATZ19" s="33"/>
      <c r="AUA19" s="33"/>
      <c r="AUB19" s="33"/>
      <c r="AUC19" s="33"/>
      <c r="AUD19" s="33"/>
      <c r="AUE19" s="33"/>
      <c r="AUF19" s="33"/>
      <c r="AUG19" s="33"/>
      <c r="AUH19" s="33"/>
      <c r="AUI19" s="33"/>
      <c r="AUJ19" s="33"/>
      <c r="AUK19" s="33"/>
      <c r="AUL19" s="33"/>
      <c r="AUM19" s="33"/>
      <c r="AUN19" s="33"/>
      <c r="AUO19" s="33"/>
      <c r="AUP19" s="33"/>
      <c r="AUQ19" s="33"/>
      <c r="AUR19" s="33"/>
      <c r="AUS19" s="33"/>
      <c r="AUT19" s="33"/>
      <c r="AUU19" s="33"/>
      <c r="AUV19" s="33"/>
      <c r="AUW19" s="33"/>
      <c r="AUX19" s="33"/>
      <c r="AUY19" s="33"/>
      <c r="AUZ19" s="33"/>
      <c r="AVA19" s="33"/>
      <c r="AVB19" s="33"/>
    </row>
    <row r="20" spans="1:1250" ht="18.75" customHeight="1">
      <c r="A20" s="67"/>
      <c r="B20" s="68"/>
      <c r="C20" s="69"/>
      <c r="D20" s="70"/>
      <c r="E20" s="71"/>
      <c r="F20" s="69"/>
      <c r="G20" s="72"/>
      <c r="H20" s="73"/>
      <c r="I20" s="74"/>
      <c r="J20" s="1"/>
      <c r="K20" s="76"/>
      <c r="L20" s="33"/>
      <c r="M20" s="43"/>
      <c r="N20" s="44"/>
      <c r="O20" s="43"/>
      <c r="P20" s="78"/>
      <c r="Q20" s="83"/>
      <c r="R20" s="81"/>
      <c r="S20" s="82"/>
      <c r="T20" s="34"/>
      <c r="U20" s="36"/>
      <c r="V20" s="57"/>
      <c r="W20" s="57"/>
      <c r="X20" s="36"/>
      <c r="Y20" s="116"/>
      <c r="Z20" s="98"/>
      <c r="AA20" s="61"/>
      <c r="AB20" s="104"/>
      <c r="AC20" s="104"/>
      <c r="AD20" s="104"/>
      <c r="AE20" s="64"/>
      <c r="AF20" s="53"/>
      <c r="AG20" s="45"/>
      <c r="AH20" s="2"/>
      <c r="AI20" s="2"/>
      <c r="AJ20" s="34"/>
      <c r="AK20" s="34"/>
      <c r="AL20" s="34"/>
      <c r="AM20" s="34"/>
      <c r="AN20" s="34"/>
      <c r="AO20" s="34"/>
      <c r="AP20" s="34"/>
      <c r="AQ20" s="34"/>
      <c r="AR20" s="34"/>
      <c r="AS20" s="34"/>
      <c r="AT20" s="34"/>
      <c r="AU20" s="34"/>
      <c r="AV20" s="34"/>
      <c r="AW20" s="34"/>
      <c r="AX20" s="34"/>
      <c r="AY20" s="34"/>
      <c r="AZ20" s="34"/>
      <c r="BA20" s="34"/>
      <c r="BB20" s="34"/>
      <c r="BC20" s="34"/>
      <c r="BD20" s="34"/>
      <c r="BE20" s="34"/>
      <c r="BF20" s="34"/>
      <c r="BG20" s="34"/>
      <c r="BH20" s="34"/>
      <c r="BI20" s="34"/>
      <c r="BJ20" s="34"/>
      <c r="BK20" s="34"/>
      <c r="BL20" s="34"/>
      <c r="BM20" s="34"/>
      <c r="BN20" s="34"/>
      <c r="BO20" s="34"/>
      <c r="BP20" s="34"/>
      <c r="BQ20" s="34"/>
      <c r="BR20" s="34"/>
      <c r="BS20" s="34"/>
      <c r="BT20" s="34"/>
      <c r="BU20" s="34"/>
      <c r="BV20" s="34"/>
      <c r="BW20" s="34"/>
      <c r="BX20" s="34"/>
      <c r="BY20" s="34"/>
      <c r="BZ20" s="34"/>
      <c r="CA20" s="34"/>
      <c r="CB20" s="34"/>
      <c r="CC20" s="34"/>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4"/>
      <c r="DB20" s="34"/>
      <c r="DC20" s="34"/>
      <c r="DD20" s="34"/>
      <c r="DE20" s="34"/>
      <c r="DF20" s="34"/>
      <c r="DG20" s="34"/>
      <c r="DH20" s="34"/>
      <c r="DI20" s="34"/>
      <c r="DJ20" s="34"/>
      <c r="DK20" s="34"/>
      <c r="DL20" s="34"/>
      <c r="DM20" s="34"/>
      <c r="DN20" s="34"/>
      <c r="DO20" s="34"/>
      <c r="DP20" s="34"/>
      <c r="DQ20" s="34"/>
      <c r="DR20" s="34"/>
      <c r="DS20" s="34"/>
      <c r="DT20" s="34"/>
      <c r="DU20" s="34"/>
      <c r="DV20" s="34"/>
      <c r="DW20" s="34"/>
      <c r="DX20" s="34"/>
      <c r="DY20" s="34"/>
      <c r="DZ20" s="34"/>
      <c r="EA20" s="34"/>
      <c r="EB20" s="34"/>
      <c r="EC20" s="34"/>
      <c r="ED20" s="34"/>
      <c r="EE20" s="34"/>
      <c r="EF20" s="34"/>
      <c r="EG20" s="34"/>
      <c r="EH20" s="34"/>
      <c r="EI20" s="34"/>
      <c r="EJ20" s="34"/>
      <c r="EK20" s="34"/>
      <c r="EL20" s="34"/>
      <c r="EM20" s="34"/>
      <c r="EN20" s="34"/>
      <c r="EO20" s="34"/>
      <c r="EP20" s="34"/>
      <c r="EQ20" s="34"/>
      <c r="ER20" s="34"/>
      <c r="ES20" s="34"/>
      <c r="ET20" s="34"/>
      <c r="EU20" s="34"/>
      <c r="EV20" s="34"/>
      <c r="EW20" s="34"/>
      <c r="EX20" s="34"/>
      <c r="EY20" s="34"/>
      <c r="EZ20" s="34"/>
      <c r="FA20" s="34"/>
      <c r="FB20" s="34"/>
      <c r="FC20" s="34"/>
      <c r="FD20" s="34"/>
      <c r="FE20" s="34"/>
      <c r="FF20" s="34"/>
      <c r="FG20" s="34"/>
      <c r="FH20" s="34"/>
      <c r="FI20" s="34"/>
      <c r="FJ20" s="34"/>
      <c r="FK20" s="34"/>
      <c r="FL20" s="34"/>
      <c r="FM20" s="34"/>
      <c r="FN20" s="34"/>
      <c r="FO20" s="34"/>
      <c r="FP20" s="34"/>
      <c r="FQ20" s="34"/>
      <c r="FR20" s="34"/>
      <c r="FS20" s="34"/>
      <c r="FT20" s="34"/>
      <c r="FU20" s="34"/>
      <c r="FV20" s="34"/>
      <c r="FW20" s="34"/>
      <c r="FX20" s="34"/>
      <c r="FY20" s="34"/>
      <c r="FZ20" s="34"/>
      <c r="GA20" s="34"/>
      <c r="GB20" s="34"/>
      <c r="GC20" s="34"/>
      <c r="GD20" s="34"/>
      <c r="GE20" s="34"/>
      <c r="GF20" s="34"/>
      <c r="GG20" s="34"/>
      <c r="GH20" s="34"/>
      <c r="GI20" s="34"/>
      <c r="GJ20" s="34"/>
      <c r="GK20" s="34"/>
      <c r="GL20" s="34"/>
      <c r="GM20" s="34"/>
      <c r="GN20" s="34"/>
      <c r="GO20" s="34"/>
      <c r="GP20" s="34"/>
      <c r="GQ20" s="34"/>
      <c r="GR20" s="34"/>
      <c r="GS20" s="34"/>
      <c r="GT20" s="34"/>
      <c r="GU20" s="34"/>
      <c r="GV20" s="34"/>
      <c r="GW20" s="34"/>
      <c r="GX20" s="34"/>
      <c r="GY20" s="34"/>
      <c r="GZ20" s="34"/>
      <c r="HA20" s="34"/>
      <c r="HB20" s="34"/>
      <c r="HC20" s="34"/>
      <c r="HD20" s="34"/>
      <c r="HE20" s="34"/>
      <c r="HF20" s="34"/>
      <c r="HG20" s="34"/>
      <c r="HH20" s="34"/>
      <c r="HI20" s="34"/>
      <c r="HJ20" s="34"/>
      <c r="HK20" s="34"/>
      <c r="HL20" s="34"/>
      <c r="HM20" s="34"/>
      <c r="HN20" s="34"/>
      <c r="HO20" s="34"/>
      <c r="HP20" s="34"/>
      <c r="HQ20" s="34"/>
      <c r="HR20" s="34"/>
      <c r="HS20" s="34"/>
      <c r="HT20" s="34"/>
      <c r="HU20" s="34"/>
      <c r="HV20" s="34"/>
      <c r="HW20" s="34"/>
      <c r="HX20" s="34"/>
      <c r="HY20" s="34"/>
      <c r="HZ20" s="34"/>
      <c r="IA20" s="34"/>
      <c r="IB20" s="34"/>
      <c r="IC20" s="34"/>
      <c r="ID20" s="34"/>
      <c r="IE20" s="34"/>
      <c r="IF20" s="34"/>
      <c r="IG20" s="34"/>
      <c r="IH20" s="34"/>
      <c r="II20" s="34"/>
      <c r="IJ20" s="34"/>
      <c r="IK20" s="34"/>
      <c r="IL20" s="34"/>
      <c r="IM20" s="34"/>
      <c r="IN20" s="34"/>
      <c r="IO20" s="34"/>
      <c r="IP20" s="34"/>
      <c r="IQ20" s="34"/>
      <c r="IR20" s="34"/>
      <c r="IS20" s="34"/>
      <c r="IT20" s="34"/>
      <c r="IU20" s="34"/>
      <c r="IV20" s="34"/>
      <c r="IW20" s="34"/>
      <c r="IX20" s="34"/>
      <c r="IY20" s="34"/>
      <c r="IZ20" s="34"/>
      <c r="JA20" s="34"/>
      <c r="JB20" s="34"/>
      <c r="JC20" s="34"/>
      <c r="JD20" s="34"/>
      <c r="JE20" s="34"/>
      <c r="JF20" s="34"/>
      <c r="JG20" s="34"/>
      <c r="JH20" s="34"/>
      <c r="JI20" s="34"/>
      <c r="JJ20" s="34"/>
      <c r="JK20" s="34"/>
      <c r="JL20" s="34"/>
      <c r="JM20" s="34"/>
      <c r="JN20" s="34"/>
      <c r="JO20" s="34"/>
      <c r="JP20" s="34"/>
      <c r="JQ20" s="34"/>
      <c r="JR20" s="34"/>
      <c r="JS20" s="34"/>
      <c r="JT20" s="34"/>
      <c r="JU20" s="34"/>
      <c r="JV20" s="34"/>
      <c r="JW20" s="34"/>
      <c r="JX20" s="34"/>
      <c r="JY20" s="34"/>
      <c r="JZ20" s="34"/>
      <c r="KA20" s="34"/>
      <c r="KB20" s="34"/>
      <c r="KC20" s="34"/>
      <c r="KD20" s="34"/>
      <c r="KE20" s="34"/>
      <c r="KF20" s="34"/>
      <c r="KG20" s="34"/>
      <c r="KH20" s="34"/>
      <c r="KI20" s="34"/>
      <c r="KJ20" s="34"/>
      <c r="KK20" s="34"/>
      <c r="KL20" s="34"/>
      <c r="KM20" s="34"/>
      <c r="KN20" s="34"/>
      <c r="KO20" s="34"/>
      <c r="KP20" s="34"/>
      <c r="KQ20" s="34"/>
      <c r="KR20" s="34"/>
      <c r="KS20" s="34"/>
      <c r="KT20" s="34"/>
      <c r="KU20" s="34"/>
      <c r="KV20" s="34"/>
      <c r="KW20" s="34"/>
      <c r="KX20" s="34"/>
      <c r="KY20" s="34"/>
      <c r="KZ20" s="34"/>
      <c r="LA20" s="34"/>
      <c r="LB20" s="34"/>
      <c r="LC20" s="34"/>
      <c r="LD20" s="34"/>
      <c r="LE20" s="34"/>
      <c r="LF20" s="34"/>
      <c r="LG20" s="34"/>
      <c r="LH20" s="34"/>
      <c r="LI20" s="34"/>
      <c r="LJ20" s="34"/>
      <c r="LK20" s="34"/>
      <c r="LL20" s="34"/>
      <c r="LM20" s="34"/>
      <c r="LN20" s="34"/>
      <c r="LO20" s="34"/>
      <c r="LP20" s="34"/>
      <c r="LQ20" s="34"/>
      <c r="LR20" s="34"/>
      <c r="LS20" s="34"/>
      <c r="LT20" s="34"/>
      <c r="LU20" s="34"/>
      <c r="LV20" s="34"/>
      <c r="LW20" s="34"/>
      <c r="LX20" s="34"/>
      <c r="LY20" s="34"/>
      <c r="LZ20" s="34"/>
      <c r="MA20" s="34"/>
      <c r="MB20" s="34"/>
      <c r="MC20" s="34"/>
      <c r="MD20" s="34"/>
      <c r="ME20" s="34"/>
      <c r="MF20" s="34"/>
      <c r="MG20" s="34"/>
      <c r="MH20" s="34"/>
      <c r="MI20" s="34"/>
      <c r="MJ20" s="34"/>
      <c r="MK20" s="34"/>
      <c r="ML20" s="34"/>
      <c r="MM20" s="34"/>
      <c r="MN20" s="34"/>
      <c r="MO20" s="34"/>
      <c r="MP20" s="34"/>
      <c r="MQ20" s="34"/>
      <c r="MR20" s="34"/>
      <c r="MS20" s="34"/>
      <c r="MT20" s="34"/>
      <c r="MU20" s="34"/>
      <c r="MV20" s="34"/>
      <c r="MW20" s="34"/>
      <c r="MX20" s="34"/>
      <c r="MY20" s="34"/>
      <c r="MZ20" s="34"/>
      <c r="NA20" s="34"/>
      <c r="NB20" s="34"/>
      <c r="NC20" s="34"/>
      <c r="ND20" s="34"/>
      <c r="NE20" s="34"/>
      <c r="NF20" s="34"/>
      <c r="NG20" s="34"/>
      <c r="NH20" s="34"/>
      <c r="NI20" s="34"/>
      <c r="NJ20" s="34"/>
      <c r="NK20" s="34"/>
      <c r="NL20" s="34"/>
      <c r="NM20" s="34"/>
      <c r="NN20" s="34"/>
      <c r="NO20" s="34"/>
      <c r="NP20" s="34"/>
      <c r="NQ20" s="34"/>
      <c r="NR20" s="34"/>
      <c r="NS20" s="34"/>
      <c r="NT20" s="34"/>
      <c r="NU20" s="34"/>
      <c r="NV20" s="34"/>
      <c r="NW20" s="34"/>
      <c r="NX20" s="34"/>
      <c r="NY20" s="34"/>
      <c r="NZ20" s="34"/>
      <c r="OA20" s="34"/>
      <c r="OB20" s="34"/>
      <c r="OC20" s="34"/>
      <c r="OD20" s="34"/>
      <c r="OE20" s="34"/>
      <c r="OF20" s="34"/>
      <c r="OG20" s="34"/>
      <c r="OH20" s="34"/>
      <c r="OI20" s="34"/>
      <c r="OJ20" s="34"/>
      <c r="OK20" s="34"/>
      <c r="OL20" s="34"/>
      <c r="OM20" s="34"/>
      <c r="ON20" s="34"/>
      <c r="OO20" s="34"/>
      <c r="OP20" s="34"/>
      <c r="OQ20" s="34"/>
      <c r="OR20" s="34"/>
      <c r="OS20" s="34"/>
      <c r="OT20" s="34"/>
      <c r="OU20" s="34"/>
      <c r="OV20" s="34"/>
      <c r="OW20" s="34"/>
      <c r="OX20" s="34"/>
      <c r="OY20" s="34"/>
      <c r="OZ20" s="34"/>
      <c r="PA20" s="34"/>
      <c r="PB20" s="34"/>
      <c r="PC20" s="34"/>
      <c r="PD20" s="34"/>
      <c r="PE20" s="34"/>
      <c r="PF20" s="34"/>
      <c r="PG20" s="34"/>
      <c r="PH20" s="34"/>
      <c r="PI20" s="34"/>
      <c r="PJ20" s="34"/>
      <c r="PK20" s="34"/>
      <c r="PL20" s="34"/>
      <c r="PM20" s="34"/>
      <c r="PN20" s="34"/>
      <c r="PO20" s="34"/>
      <c r="PP20" s="34"/>
      <c r="PQ20" s="34"/>
      <c r="PR20" s="34"/>
      <c r="PS20" s="34"/>
      <c r="PT20" s="34"/>
      <c r="PU20" s="34"/>
      <c r="PV20" s="34"/>
      <c r="PW20" s="34"/>
      <c r="PX20" s="34"/>
      <c r="PY20" s="34"/>
      <c r="PZ20" s="34"/>
      <c r="QA20" s="34"/>
      <c r="QB20" s="34"/>
      <c r="QC20" s="34"/>
      <c r="QD20" s="34"/>
      <c r="QE20" s="34"/>
      <c r="QF20" s="34"/>
      <c r="QG20" s="34"/>
      <c r="QH20" s="34"/>
      <c r="QI20" s="34"/>
      <c r="QJ20" s="34"/>
      <c r="QK20" s="34"/>
      <c r="QL20" s="34"/>
      <c r="QM20" s="34"/>
      <c r="QN20" s="34"/>
      <c r="QO20" s="34"/>
      <c r="QP20" s="34"/>
      <c r="QQ20" s="34"/>
      <c r="QR20" s="34"/>
      <c r="QS20" s="34"/>
      <c r="QT20" s="34"/>
      <c r="QU20" s="34"/>
      <c r="QV20" s="34"/>
      <c r="QW20" s="34"/>
      <c r="QX20" s="34"/>
      <c r="QY20" s="34"/>
      <c r="QZ20" s="34"/>
      <c r="RA20" s="34"/>
      <c r="RB20" s="34"/>
      <c r="RC20" s="34"/>
      <c r="RD20" s="34"/>
      <c r="RE20" s="34"/>
      <c r="RF20" s="34"/>
      <c r="RG20" s="34"/>
      <c r="RH20" s="34"/>
      <c r="RI20" s="34"/>
      <c r="RJ20" s="34"/>
      <c r="RK20" s="34"/>
      <c r="RL20" s="34"/>
      <c r="RM20" s="34"/>
      <c r="RN20" s="34"/>
      <c r="RO20" s="34"/>
      <c r="RP20" s="34"/>
      <c r="RQ20" s="34"/>
      <c r="RR20" s="34"/>
      <c r="RS20" s="34"/>
      <c r="RT20" s="34"/>
      <c r="RU20" s="34"/>
      <c r="RV20" s="34"/>
      <c r="RW20" s="34"/>
      <c r="RX20" s="34"/>
      <c r="RY20" s="34"/>
      <c r="RZ20" s="34"/>
      <c r="SA20" s="34"/>
      <c r="SB20" s="34"/>
      <c r="SC20" s="34"/>
      <c r="SD20" s="34"/>
      <c r="SE20" s="34"/>
      <c r="SF20" s="34"/>
      <c r="SG20" s="34"/>
      <c r="SH20" s="34"/>
      <c r="SI20" s="34"/>
      <c r="SJ20" s="34"/>
      <c r="SK20" s="34"/>
      <c r="SL20" s="34"/>
      <c r="SM20" s="34"/>
      <c r="SN20" s="34"/>
      <c r="SO20" s="34"/>
      <c r="SP20" s="34"/>
      <c r="SQ20" s="34"/>
      <c r="SR20" s="34"/>
      <c r="SS20" s="34"/>
      <c r="ST20" s="34"/>
      <c r="SU20" s="34"/>
      <c r="SV20" s="34"/>
      <c r="SW20" s="34"/>
      <c r="SX20" s="34"/>
      <c r="SY20" s="34"/>
      <c r="SZ20" s="34"/>
      <c r="TA20" s="34"/>
      <c r="TB20" s="34"/>
      <c r="TC20" s="34"/>
      <c r="TD20" s="34"/>
      <c r="TE20" s="34"/>
      <c r="TF20" s="34"/>
      <c r="TG20" s="34"/>
      <c r="TH20" s="34"/>
      <c r="TI20" s="34"/>
      <c r="TJ20" s="34"/>
      <c r="TK20" s="34"/>
      <c r="TL20" s="34"/>
      <c r="TM20" s="34"/>
      <c r="TN20" s="34"/>
      <c r="TO20" s="34"/>
      <c r="TP20" s="34"/>
      <c r="TQ20" s="34"/>
      <c r="TR20" s="34"/>
      <c r="TS20" s="34"/>
      <c r="TT20" s="34"/>
      <c r="TU20" s="34"/>
      <c r="TV20" s="34"/>
      <c r="TW20" s="34"/>
      <c r="TX20" s="34"/>
      <c r="TY20" s="34"/>
      <c r="TZ20" s="34"/>
      <c r="UA20" s="34"/>
      <c r="UB20" s="34"/>
      <c r="UC20" s="34"/>
      <c r="UD20" s="34"/>
      <c r="UE20" s="34"/>
      <c r="UF20" s="34"/>
      <c r="UG20" s="34"/>
      <c r="UH20" s="34"/>
      <c r="UI20" s="34"/>
      <c r="UJ20" s="34"/>
      <c r="UK20" s="34"/>
      <c r="UL20" s="34"/>
      <c r="UM20" s="34"/>
      <c r="UN20" s="34"/>
      <c r="UO20" s="34"/>
      <c r="UP20" s="34"/>
      <c r="UQ20" s="34"/>
      <c r="UR20" s="34"/>
      <c r="US20" s="34"/>
      <c r="UT20" s="34"/>
      <c r="UU20" s="34"/>
      <c r="UV20" s="34"/>
      <c r="UW20" s="34"/>
      <c r="UX20" s="34"/>
      <c r="UY20" s="34"/>
      <c r="UZ20" s="34"/>
      <c r="VA20" s="34"/>
      <c r="VB20" s="34"/>
      <c r="VC20" s="34"/>
      <c r="VD20" s="34"/>
      <c r="VE20" s="34"/>
      <c r="VF20" s="34"/>
      <c r="VG20" s="34"/>
      <c r="VH20" s="34"/>
      <c r="VI20" s="34"/>
      <c r="VJ20" s="34"/>
      <c r="VK20" s="34"/>
      <c r="VL20" s="34"/>
      <c r="VM20" s="34"/>
      <c r="VN20" s="34"/>
      <c r="VO20" s="34"/>
      <c r="VP20" s="34"/>
      <c r="VQ20" s="34"/>
      <c r="VR20" s="34"/>
      <c r="VS20" s="34"/>
      <c r="VT20" s="34"/>
      <c r="VU20" s="34"/>
      <c r="VV20" s="34"/>
      <c r="VW20" s="34"/>
      <c r="VX20" s="34"/>
      <c r="VY20" s="34"/>
      <c r="VZ20" s="34"/>
      <c r="WA20" s="34"/>
      <c r="WB20" s="34"/>
      <c r="WC20" s="34"/>
      <c r="WD20" s="34"/>
      <c r="WE20" s="34"/>
      <c r="WF20" s="34"/>
      <c r="WG20" s="34"/>
      <c r="WH20" s="34"/>
      <c r="WI20" s="34"/>
      <c r="WJ20" s="34"/>
      <c r="WK20" s="34"/>
      <c r="WL20" s="34"/>
      <c r="WM20" s="34"/>
      <c r="WN20" s="34"/>
      <c r="WO20" s="34"/>
      <c r="WP20" s="34"/>
      <c r="WQ20" s="34"/>
      <c r="WR20" s="34"/>
      <c r="WS20" s="34"/>
      <c r="WT20" s="34"/>
      <c r="WU20" s="34"/>
      <c r="WV20" s="34"/>
      <c r="WW20" s="34"/>
      <c r="WX20" s="34"/>
      <c r="WY20" s="34"/>
      <c r="WZ20" s="34"/>
      <c r="XA20" s="34"/>
      <c r="XB20" s="34"/>
      <c r="XC20" s="34"/>
      <c r="XD20" s="34"/>
      <c r="XE20" s="34"/>
      <c r="XF20" s="34"/>
      <c r="XG20" s="34"/>
      <c r="XH20" s="34"/>
      <c r="XI20" s="34"/>
      <c r="XJ20" s="34"/>
      <c r="XK20" s="34"/>
      <c r="XL20" s="34"/>
      <c r="XM20" s="34"/>
      <c r="XN20" s="34"/>
      <c r="XO20" s="34"/>
      <c r="XP20" s="34"/>
      <c r="XQ20" s="34"/>
      <c r="XR20" s="34"/>
      <c r="XS20" s="34"/>
      <c r="XT20" s="34"/>
      <c r="XU20" s="34"/>
      <c r="XV20" s="34"/>
      <c r="XW20" s="34"/>
      <c r="XX20" s="34"/>
      <c r="XY20" s="34"/>
      <c r="XZ20" s="34"/>
      <c r="YA20" s="34"/>
      <c r="YB20" s="34"/>
      <c r="YC20" s="34"/>
      <c r="YD20" s="34"/>
      <c r="YE20" s="34"/>
      <c r="YF20" s="34"/>
      <c r="YG20" s="34"/>
      <c r="YH20" s="34"/>
      <c r="YI20" s="34"/>
      <c r="YJ20" s="34"/>
      <c r="YK20" s="34"/>
      <c r="YL20" s="34"/>
      <c r="YM20" s="34"/>
      <c r="YN20" s="34"/>
      <c r="YO20" s="34"/>
      <c r="YP20" s="34"/>
      <c r="YQ20" s="34"/>
      <c r="YR20" s="34"/>
      <c r="YS20" s="34"/>
      <c r="YT20" s="34"/>
      <c r="YU20" s="34"/>
      <c r="YV20" s="34"/>
      <c r="YW20" s="34"/>
      <c r="YX20" s="34"/>
      <c r="YY20" s="34"/>
      <c r="YZ20" s="34"/>
      <c r="ZA20" s="34"/>
      <c r="ZB20" s="34"/>
      <c r="ZC20" s="34"/>
      <c r="ZD20" s="34"/>
      <c r="ZE20" s="34"/>
      <c r="ZF20" s="34"/>
      <c r="ZG20" s="34"/>
      <c r="ZH20" s="34"/>
      <c r="ZI20" s="34"/>
      <c r="ZJ20" s="34"/>
      <c r="ZK20" s="34"/>
      <c r="ZL20" s="34"/>
      <c r="ZM20" s="34"/>
      <c r="ZN20" s="34"/>
      <c r="ZO20" s="34"/>
      <c r="ZP20" s="34"/>
      <c r="ZQ20" s="34"/>
      <c r="ZR20" s="34"/>
      <c r="ZS20" s="34"/>
      <c r="ZT20" s="34"/>
      <c r="ZU20" s="34"/>
      <c r="ZV20" s="34"/>
      <c r="ZW20" s="34"/>
      <c r="ZX20" s="34"/>
      <c r="ZY20" s="34"/>
      <c r="ZZ20" s="34"/>
      <c r="AAA20" s="34"/>
      <c r="AAB20" s="34"/>
      <c r="AAC20" s="34"/>
      <c r="AAD20" s="34"/>
      <c r="AAE20" s="34"/>
      <c r="AAF20" s="34"/>
      <c r="AAG20" s="34"/>
      <c r="AAH20" s="34"/>
      <c r="AAI20" s="34"/>
      <c r="AAJ20" s="34"/>
      <c r="AAK20" s="34"/>
      <c r="AAL20" s="34"/>
      <c r="AAM20" s="34"/>
      <c r="AAN20" s="34"/>
      <c r="AAO20" s="34"/>
      <c r="AAP20" s="34"/>
      <c r="AAQ20" s="34"/>
      <c r="AAR20" s="34"/>
      <c r="AAS20" s="34"/>
      <c r="AAT20" s="34"/>
      <c r="AAU20" s="34"/>
      <c r="AAV20" s="34"/>
      <c r="AAW20" s="34"/>
      <c r="AAX20" s="34"/>
      <c r="AAY20" s="34"/>
      <c r="AAZ20" s="34"/>
      <c r="ABA20" s="34"/>
      <c r="ABB20" s="34"/>
      <c r="ABC20" s="34"/>
      <c r="ABD20" s="34"/>
      <c r="ABE20" s="34"/>
      <c r="ABF20" s="34"/>
      <c r="ABG20" s="34"/>
      <c r="ABH20" s="34"/>
      <c r="ABI20" s="34"/>
      <c r="ABJ20" s="34"/>
      <c r="ABK20" s="34"/>
      <c r="ABL20" s="34"/>
      <c r="ABM20" s="34"/>
      <c r="ABN20" s="34"/>
      <c r="ABO20" s="34"/>
      <c r="ABP20" s="34"/>
      <c r="ABQ20" s="34"/>
      <c r="ABR20" s="34"/>
      <c r="ABS20" s="34"/>
      <c r="ABT20" s="34"/>
      <c r="ABU20" s="34"/>
      <c r="ABV20" s="34"/>
      <c r="ABW20" s="34"/>
      <c r="ABX20" s="34"/>
      <c r="ABY20" s="34"/>
      <c r="ABZ20" s="34"/>
      <c r="ACA20" s="34"/>
      <c r="ACB20" s="34"/>
      <c r="ACC20" s="34"/>
      <c r="ACD20" s="34"/>
      <c r="ACE20" s="34"/>
      <c r="ACF20" s="34"/>
      <c r="ACG20" s="34"/>
      <c r="ACH20" s="34"/>
      <c r="ACI20" s="34"/>
      <c r="ACJ20" s="34"/>
      <c r="ACK20" s="34"/>
      <c r="ACL20" s="34"/>
      <c r="ACM20" s="34"/>
      <c r="ACN20" s="34"/>
      <c r="ACO20" s="34"/>
      <c r="ACP20" s="34"/>
      <c r="ACQ20" s="34"/>
      <c r="ACR20" s="34"/>
      <c r="ACS20" s="34"/>
      <c r="ACT20" s="34"/>
      <c r="ACU20" s="34"/>
      <c r="ACV20" s="34"/>
      <c r="ACW20" s="34"/>
      <c r="ACX20" s="34"/>
      <c r="ACY20" s="34"/>
      <c r="ACZ20" s="34"/>
      <c r="ADA20" s="34"/>
      <c r="ADB20" s="34"/>
      <c r="ADC20" s="34"/>
      <c r="ADD20" s="34"/>
      <c r="ADE20" s="34"/>
      <c r="ADF20" s="34"/>
      <c r="ADG20" s="34"/>
      <c r="ADH20" s="34"/>
      <c r="ADI20" s="34"/>
      <c r="ADJ20" s="34"/>
      <c r="ADK20" s="34"/>
      <c r="ADL20" s="34"/>
      <c r="ADM20" s="34"/>
      <c r="ADN20" s="34"/>
      <c r="ADO20" s="34"/>
      <c r="ADP20" s="34"/>
      <c r="ADQ20" s="34"/>
      <c r="ADR20" s="34"/>
      <c r="ADS20" s="34"/>
      <c r="ADT20" s="34"/>
      <c r="ADU20" s="34"/>
      <c r="ADV20" s="34"/>
      <c r="ADW20" s="34"/>
      <c r="ADX20" s="34"/>
      <c r="ADY20" s="34"/>
      <c r="ADZ20" s="34"/>
      <c r="AEA20" s="34"/>
      <c r="AEB20" s="34"/>
      <c r="AEC20" s="34"/>
      <c r="AED20" s="34"/>
      <c r="AEE20" s="34"/>
      <c r="AEF20" s="34"/>
      <c r="AEG20" s="34"/>
      <c r="AEH20" s="34"/>
      <c r="AEI20" s="34"/>
      <c r="AEJ20" s="34"/>
      <c r="AEK20" s="34"/>
      <c r="AEL20" s="34"/>
      <c r="AEM20" s="34"/>
      <c r="AEN20" s="34"/>
      <c r="AEO20" s="34"/>
      <c r="AEP20" s="34"/>
      <c r="AEQ20" s="34"/>
      <c r="AER20" s="34"/>
      <c r="AES20" s="34"/>
      <c r="AET20" s="34"/>
      <c r="AEU20" s="34"/>
      <c r="AEV20" s="34"/>
      <c r="AEW20" s="34"/>
      <c r="AEX20" s="34"/>
      <c r="AEY20" s="34"/>
      <c r="AEZ20" s="34"/>
      <c r="AFA20" s="34"/>
      <c r="AFB20" s="34"/>
      <c r="AFC20" s="34"/>
      <c r="AFD20" s="34"/>
      <c r="AFE20" s="34"/>
      <c r="AFF20" s="34"/>
      <c r="AFG20" s="34"/>
      <c r="AFH20" s="34"/>
      <c r="AFI20" s="34"/>
      <c r="AFJ20" s="34"/>
      <c r="AFK20" s="34"/>
      <c r="AFL20" s="34"/>
      <c r="AFM20" s="34"/>
      <c r="AFN20" s="34"/>
      <c r="AFO20" s="34"/>
      <c r="AFP20" s="34"/>
      <c r="AFQ20" s="34"/>
      <c r="AFR20" s="34"/>
      <c r="AFS20" s="34"/>
      <c r="AFT20" s="34"/>
      <c r="AFU20" s="34"/>
      <c r="AFV20" s="34"/>
      <c r="AFW20" s="34"/>
      <c r="AFX20" s="34"/>
      <c r="AFY20" s="34"/>
      <c r="AFZ20" s="34"/>
      <c r="AGA20" s="34"/>
      <c r="AGB20" s="34"/>
      <c r="AGC20" s="34"/>
      <c r="AGD20" s="34"/>
      <c r="AGE20" s="34"/>
      <c r="AGF20" s="34"/>
      <c r="AGG20" s="34"/>
      <c r="AGH20" s="34"/>
      <c r="AGI20" s="34"/>
      <c r="AGJ20" s="34"/>
      <c r="AGK20" s="34"/>
      <c r="AGL20" s="34"/>
      <c r="AGM20" s="34"/>
      <c r="AGN20" s="34"/>
      <c r="AGO20" s="34"/>
      <c r="AGP20" s="34"/>
      <c r="AGQ20" s="34"/>
      <c r="AGR20" s="34"/>
      <c r="AGS20" s="34"/>
      <c r="AGT20" s="34"/>
      <c r="AGU20" s="34"/>
      <c r="AGV20" s="34"/>
      <c r="AGW20" s="34"/>
      <c r="AGX20" s="34"/>
      <c r="AGY20" s="34"/>
      <c r="AGZ20" s="34"/>
      <c r="AHA20" s="34"/>
      <c r="AHB20" s="34"/>
      <c r="AHC20" s="34"/>
      <c r="AHD20" s="34"/>
      <c r="AHE20" s="34"/>
      <c r="AHF20" s="34"/>
      <c r="AHG20" s="34"/>
      <c r="AHH20" s="34"/>
      <c r="AHI20" s="34"/>
      <c r="AHJ20" s="34"/>
      <c r="AHK20" s="34"/>
      <c r="AHL20" s="34"/>
      <c r="AHM20" s="34"/>
      <c r="AHN20" s="34"/>
      <c r="AHO20" s="34"/>
      <c r="AHP20" s="34"/>
      <c r="AHQ20" s="34"/>
      <c r="AHR20" s="34"/>
      <c r="AHS20" s="34"/>
      <c r="AHT20" s="34"/>
      <c r="AHU20" s="34"/>
      <c r="AHV20" s="34"/>
      <c r="AHW20" s="34"/>
      <c r="AHX20" s="34"/>
      <c r="AHY20" s="34"/>
      <c r="AHZ20" s="34"/>
      <c r="AIA20" s="34"/>
      <c r="AIB20" s="34"/>
      <c r="AIC20" s="34"/>
      <c r="AID20" s="34"/>
      <c r="AIE20" s="34"/>
      <c r="AIF20" s="34"/>
      <c r="AIG20" s="34"/>
      <c r="AIH20" s="34"/>
      <c r="AII20" s="34"/>
      <c r="AIJ20" s="34"/>
      <c r="AIK20" s="34"/>
      <c r="AIL20" s="34"/>
      <c r="AIM20" s="34"/>
      <c r="AIN20" s="34"/>
      <c r="AIO20" s="34"/>
      <c r="AIP20" s="34"/>
      <c r="AIQ20" s="34"/>
      <c r="AIR20" s="34"/>
      <c r="AIS20" s="34"/>
      <c r="AIT20" s="34"/>
      <c r="AIU20" s="34"/>
      <c r="AIV20" s="34"/>
      <c r="AIW20" s="34"/>
      <c r="AIX20" s="34"/>
      <c r="AIY20" s="34"/>
      <c r="AIZ20" s="34"/>
      <c r="AJA20" s="34"/>
      <c r="AJB20" s="34"/>
      <c r="AJC20" s="34"/>
      <c r="AJD20" s="34"/>
      <c r="AJE20" s="34"/>
      <c r="AJF20" s="34"/>
      <c r="AJG20" s="34"/>
      <c r="AJH20" s="34"/>
      <c r="AJI20" s="34"/>
      <c r="AJJ20" s="34"/>
      <c r="AJK20" s="34"/>
      <c r="AJL20" s="34"/>
      <c r="AJM20" s="34"/>
      <c r="AJN20" s="34"/>
      <c r="AJO20" s="34"/>
      <c r="AJP20" s="34"/>
      <c r="AJQ20" s="34"/>
      <c r="AJR20" s="34"/>
      <c r="AJS20" s="34"/>
      <c r="AJT20" s="34"/>
      <c r="AJU20" s="34"/>
      <c r="AJV20" s="34"/>
      <c r="AJW20" s="34"/>
      <c r="AJX20" s="34"/>
      <c r="AJY20" s="34"/>
      <c r="AJZ20" s="34"/>
      <c r="AKA20" s="34"/>
      <c r="AKB20" s="34"/>
      <c r="AKC20" s="34"/>
      <c r="AKD20" s="34"/>
      <c r="AKE20" s="34"/>
      <c r="AKF20" s="34"/>
      <c r="AKG20" s="34"/>
      <c r="AKH20" s="34"/>
      <c r="AKI20" s="34"/>
      <c r="AKJ20" s="34"/>
      <c r="AKK20" s="34"/>
      <c r="AKL20" s="34"/>
      <c r="AKM20" s="34"/>
      <c r="AKN20" s="34"/>
      <c r="AKO20" s="34"/>
      <c r="AKP20" s="34"/>
      <c r="AKQ20" s="34"/>
      <c r="AKR20" s="34"/>
      <c r="AKS20" s="34"/>
      <c r="AKT20" s="34"/>
      <c r="AKU20" s="34"/>
      <c r="AKV20" s="34"/>
      <c r="AKW20" s="34"/>
      <c r="AKX20" s="34"/>
      <c r="AKY20" s="34"/>
      <c r="AKZ20" s="34"/>
      <c r="ALA20" s="34"/>
      <c r="ALB20" s="34"/>
      <c r="ALC20" s="34"/>
      <c r="ALD20" s="34"/>
      <c r="ALE20" s="34"/>
      <c r="ALF20" s="34"/>
      <c r="ALG20" s="33"/>
      <c r="ALH20" s="33"/>
      <c r="ALI20" s="33"/>
      <c r="ALJ20" s="33"/>
      <c r="ALK20" s="33"/>
      <c r="ALL20" s="33"/>
      <c r="ALM20" s="33"/>
      <c r="ALN20" s="33"/>
      <c r="ALO20" s="33"/>
      <c r="ALP20" s="33"/>
      <c r="ALQ20" s="33"/>
      <c r="ALR20" s="33"/>
      <c r="ALS20" s="33"/>
      <c r="ALT20" s="33"/>
      <c r="ALU20" s="33"/>
      <c r="ALV20" s="33"/>
      <c r="ALW20" s="33"/>
      <c r="ALX20" s="33"/>
      <c r="ALY20" s="33"/>
      <c r="ALZ20" s="33"/>
      <c r="AMA20" s="33"/>
      <c r="AMB20" s="33"/>
      <c r="AMC20" s="33"/>
      <c r="AMD20" s="33"/>
      <c r="AME20" s="33"/>
      <c r="AMF20" s="33"/>
      <c r="AMG20" s="33"/>
      <c r="AMH20" s="33"/>
      <c r="AMI20" s="33"/>
      <c r="AMJ20" s="33"/>
      <c r="AMK20" s="33"/>
      <c r="AML20" s="33"/>
      <c r="AMM20" s="33"/>
      <c r="AMN20" s="33"/>
      <c r="AMO20" s="33"/>
      <c r="AMP20" s="33"/>
      <c r="AMQ20" s="33"/>
      <c r="AMR20" s="33"/>
      <c r="AMS20" s="33"/>
      <c r="AMT20" s="33"/>
      <c r="AMU20" s="33"/>
      <c r="AMV20" s="33"/>
      <c r="AMW20" s="33"/>
      <c r="AMX20" s="33"/>
      <c r="AMY20" s="33"/>
      <c r="AMZ20" s="33"/>
      <c r="ANA20" s="33"/>
      <c r="ANB20" s="33"/>
      <c r="ANC20" s="33"/>
      <c r="AND20" s="33"/>
      <c r="ANE20" s="33"/>
      <c r="ANF20" s="33"/>
      <c r="ANG20" s="33"/>
      <c r="ANH20" s="33"/>
      <c r="ANI20" s="33"/>
      <c r="ANJ20" s="33"/>
      <c r="ANK20" s="33"/>
      <c r="ANL20" s="33"/>
      <c r="ANM20" s="33"/>
      <c r="ANN20" s="33"/>
      <c r="ANO20" s="33"/>
      <c r="ANP20" s="33"/>
      <c r="ANQ20" s="33"/>
      <c r="ANR20" s="33"/>
      <c r="ANS20" s="33"/>
      <c r="ANT20" s="33"/>
      <c r="ANU20" s="33"/>
      <c r="ANV20" s="33"/>
      <c r="ANW20" s="33"/>
      <c r="ANX20" s="33"/>
      <c r="ANY20" s="33"/>
      <c r="ANZ20" s="33"/>
      <c r="AOA20" s="33"/>
      <c r="AOB20" s="33"/>
      <c r="AOC20" s="33"/>
      <c r="AOD20" s="33"/>
      <c r="AOE20" s="33"/>
      <c r="AOF20" s="33"/>
      <c r="AOG20" s="33"/>
      <c r="AOH20" s="33"/>
      <c r="AOI20" s="33"/>
      <c r="AOJ20" s="33"/>
      <c r="AOK20" s="33"/>
      <c r="AOL20" s="33"/>
      <c r="AOM20" s="33"/>
      <c r="AON20" s="33"/>
      <c r="AOO20" s="33"/>
      <c r="AOP20" s="33"/>
      <c r="AOQ20" s="33"/>
      <c r="AOR20" s="33"/>
      <c r="AOS20" s="33"/>
      <c r="AOT20" s="33"/>
      <c r="AOU20" s="33"/>
      <c r="AOV20" s="33"/>
      <c r="AOW20" s="33"/>
      <c r="AOX20" s="33"/>
      <c r="AOY20" s="33"/>
      <c r="AOZ20" s="33"/>
      <c r="APA20" s="33"/>
      <c r="APB20" s="33"/>
      <c r="APC20" s="33"/>
      <c r="APD20" s="33"/>
      <c r="APE20" s="33"/>
      <c r="APF20" s="33"/>
      <c r="APG20" s="33"/>
      <c r="APH20" s="33"/>
      <c r="API20" s="33"/>
      <c r="APJ20" s="33"/>
      <c r="APK20" s="33"/>
      <c r="APL20" s="33"/>
      <c r="APM20" s="33"/>
      <c r="APN20" s="33"/>
      <c r="APO20" s="33"/>
      <c r="APP20" s="33"/>
      <c r="APQ20" s="33"/>
      <c r="APR20" s="33"/>
      <c r="APS20" s="33"/>
      <c r="APT20" s="33"/>
      <c r="APU20" s="33"/>
      <c r="APV20" s="33"/>
      <c r="APW20" s="33"/>
      <c r="APX20" s="33"/>
      <c r="APY20" s="33"/>
      <c r="APZ20" s="33"/>
      <c r="AQA20" s="33"/>
      <c r="AQB20" s="33"/>
      <c r="AQC20" s="33"/>
      <c r="AQD20" s="33"/>
      <c r="AQE20" s="33"/>
      <c r="AQF20" s="33"/>
      <c r="AQG20" s="33"/>
      <c r="AQH20" s="33"/>
      <c r="AQI20" s="33"/>
      <c r="AQJ20" s="33"/>
      <c r="AQK20" s="33"/>
      <c r="AQL20" s="33"/>
      <c r="AQM20" s="33"/>
      <c r="AQN20" s="33"/>
      <c r="AQO20" s="33"/>
      <c r="AQP20" s="33"/>
      <c r="AQQ20" s="33"/>
      <c r="AQR20" s="33"/>
      <c r="AQS20" s="33"/>
      <c r="AQT20" s="33"/>
      <c r="AQU20" s="33"/>
      <c r="AQV20" s="33"/>
      <c r="AQW20" s="33"/>
      <c r="AQX20" s="33"/>
      <c r="AQY20" s="33"/>
      <c r="AQZ20" s="33"/>
      <c r="ARA20" s="33"/>
      <c r="ARB20" s="33"/>
      <c r="ARC20" s="33"/>
      <c r="ARD20" s="33"/>
      <c r="ARE20" s="33"/>
      <c r="ARF20" s="33"/>
      <c r="ARG20" s="33"/>
      <c r="ARH20" s="33"/>
      <c r="ARI20" s="33"/>
      <c r="ARJ20" s="33"/>
      <c r="ARK20" s="33"/>
      <c r="ARL20" s="33"/>
      <c r="ARM20" s="33"/>
      <c r="ARN20" s="33"/>
      <c r="ARO20" s="33"/>
      <c r="ARP20" s="33"/>
      <c r="ARQ20" s="33"/>
      <c r="ARR20" s="33"/>
      <c r="ARS20" s="33"/>
      <c r="ART20" s="33"/>
      <c r="ARU20" s="33"/>
      <c r="ARV20" s="33"/>
      <c r="ARW20" s="33"/>
      <c r="ARX20" s="33"/>
      <c r="ARY20" s="33"/>
      <c r="ARZ20" s="33"/>
      <c r="ASA20" s="33"/>
      <c r="ASB20" s="33"/>
      <c r="ASC20" s="33"/>
      <c r="ASD20" s="33"/>
      <c r="ASE20" s="33"/>
      <c r="ASF20" s="33"/>
      <c r="ASG20" s="33"/>
      <c r="ASH20" s="33"/>
      <c r="ASI20" s="33"/>
      <c r="ASJ20" s="33"/>
      <c r="ASK20" s="33"/>
      <c r="ASL20" s="33"/>
      <c r="ASM20" s="33"/>
      <c r="ASN20" s="33"/>
      <c r="ASO20" s="33"/>
      <c r="ASP20" s="33"/>
      <c r="ASQ20" s="33"/>
      <c r="ASR20" s="33"/>
      <c r="ASS20" s="33"/>
      <c r="AST20" s="33"/>
      <c r="ASU20" s="33"/>
      <c r="ASV20" s="33"/>
      <c r="ASW20" s="33"/>
      <c r="ASX20" s="33"/>
      <c r="ASY20" s="33"/>
      <c r="ASZ20" s="33"/>
      <c r="ATA20" s="33"/>
      <c r="ATB20" s="33"/>
      <c r="ATC20" s="33"/>
      <c r="ATD20" s="33"/>
      <c r="ATE20" s="33"/>
      <c r="ATF20" s="33"/>
      <c r="ATG20" s="33"/>
      <c r="ATH20" s="33"/>
      <c r="ATI20" s="33"/>
      <c r="ATJ20" s="33"/>
      <c r="ATK20" s="33"/>
      <c r="ATL20" s="33"/>
      <c r="ATM20" s="33"/>
      <c r="ATN20" s="33"/>
      <c r="ATO20" s="33"/>
      <c r="ATP20" s="33"/>
      <c r="ATQ20" s="33"/>
      <c r="ATR20" s="33"/>
      <c r="ATS20" s="33"/>
      <c r="ATT20" s="33"/>
      <c r="ATU20" s="33"/>
      <c r="ATV20" s="33"/>
      <c r="ATW20" s="33"/>
      <c r="ATX20" s="33"/>
      <c r="ATY20" s="33"/>
      <c r="ATZ20" s="33"/>
      <c r="AUA20" s="33"/>
      <c r="AUB20" s="33"/>
      <c r="AUC20" s="33"/>
      <c r="AUD20" s="33"/>
      <c r="AUE20" s="33"/>
      <c r="AUF20" s="33"/>
      <c r="AUG20" s="33"/>
      <c r="AUH20" s="33"/>
      <c r="AUI20" s="33"/>
      <c r="AUJ20" s="33"/>
      <c r="AUK20" s="33"/>
      <c r="AUL20" s="33"/>
      <c r="AUM20" s="33"/>
      <c r="AUN20" s="33"/>
      <c r="AUO20" s="33"/>
      <c r="AUP20" s="33"/>
      <c r="AUQ20" s="33"/>
      <c r="AUR20" s="33"/>
      <c r="AUS20" s="33"/>
      <c r="AUT20" s="33"/>
      <c r="AUU20" s="33"/>
      <c r="AUV20" s="33"/>
      <c r="AUW20" s="33"/>
      <c r="AUX20" s="33"/>
      <c r="AUY20" s="33"/>
      <c r="AUZ20" s="33"/>
      <c r="AVA20" s="33"/>
      <c r="AVB20" s="33"/>
    </row>
    <row r="21" spans="1:1250" ht="18.75" customHeight="1">
      <c r="A21" s="67"/>
      <c r="B21" s="68"/>
      <c r="C21" s="69"/>
      <c r="D21" s="70"/>
      <c r="E21" s="71"/>
      <c r="F21" s="69"/>
      <c r="G21" s="72"/>
      <c r="H21" s="73"/>
      <c r="I21" s="74"/>
      <c r="J21" s="1"/>
      <c r="K21" s="76"/>
      <c r="L21" s="33"/>
      <c r="M21" s="43"/>
      <c r="N21" s="44"/>
      <c r="O21" s="43"/>
      <c r="P21" s="78"/>
      <c r="Q21" s="83"/>
      <c r="R21" s="81"/>
      <c r="S21" s="82"/>
      <c r="T21" s="34"/>
      <c r="U21" s="36"/>
      <c r="V21" s="57"/>
      <c r="W21" s="57"/>
      <c r="X21" s="36"/>
      <c r="Y21" s="116"/>
      <c r="Z21" s="98"/>
      <c r="AA21" s="61"/>
      <c r="AB21" s="104"/>
      <c r="AC21" s="104"/>
      <c r="AD21" s="104"/>
      <c r="AE21" s="64"/>
      <c r="AF21" s="53"/>
      <c r="AG21" s="45"/>
      <c r="AH21" s="2"/>
      <c r="AI21" s="2"/>
      <c r="AJ21" s="34"/>
      <c r="AK21" s="34"/>
      <c r="AL21" s="34"/>
      <c r="AM21" s="34"/>
      <c r="AN21" s="34"/>
      <c r="AO21" s="34"/>
      <c r="AP21" s="34"/>
      <c r="AQ21" s="34"/>
      <c r="AR21" s="34"/>
      <c r="AS21" s="34"/>
      <c r="AT21" s="34"/>
      <c r="AU21" s="34"/>
      <c r="AV21" s="34"/>
      <c r="AW21" s="34"/>
      <c r="AX21" s="34"/>
      <c r="AY21" s="34"/>
      <c r="AZ21" s="34"/>
      <c r="BA21" s="34"/>
      <c r="BB21" s="34"/>
      <c r="BC21" s="34"/>
      <c r="BD21" s="34"/>
      <c r="BE21" s="34"/>
      <c r="BF21" s="34"/>
      <c r="BG21" s="34"/>
      <c r="BH21" s="34"/>
      <c r="BI21" s="34"/>
      <c r="BJ21" s="34"/>
      <c r="BK21" s="34"/>
      <c r="BL21" s="34"/>
      <c r="BM21" s="34"/>
      <c r="BN21" s="34"/>
      <c r="BO21" s="34"/>
      <c r="BP21" s="34"/>
      <c r="BQ21" s="34"/>
      <c r="BR21" s="34"/>
      <c r="BS21" s="34"/>
      <c r="BT21" s="34"/>
      <c r="BU21" s="34"/>
      <c r="BV21" s="34"/>
      <c r="BW21" s="34"/>
      <c r="BX21" s="34"/>
      <c r="BY21" s="34"/>
      <c r="BZ21" s="34"/>
      <c r="CA21" s="34"/>
      <c r="CB21" s="34"/>
      <c r="CC21" s="34"/>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c r="DC21" s="34"/>
      <c r="DD21" s="34"/>
      <c r="DE21" s="34"/>
      <c r="DF21" s="34"/>
      <c r="DG21" s="34"/>
      <c r="DH21" s="34"/>
      <c r="DI21" s="34"/>
      <c r="DJ21" s="34"/>
      <c r="DK21" s="34"/>
      <c r="DL21" s="34"/>
      <c r="DM21" s="34"/>
      <c r="DN21" s="34"/>
      <c r="DO21" s="34"/>
      <c r="DP21" s="34"/>
      <c r="DQ21" s="34"/>
      <c r="DR21" s="34"/>
      <c r="DS21" s="34"/>
      <c r="DT21" s="34"/>
      <c r="DU21" s="34"/>
      <c r="DV21" s="34"/>
      <c r="DW21" s="34"/>
      <c r="DX21" s="34"/>
      <c r="DY21" s="34"/>
      <c r="DZ21" s="34"/>
      <c r="EA21" s="34"/>
      <c r="EB21" s="34"/>
      <c r="EC21" s="34"/>
      <c r="ED21" s="34"/>
      <c r="EE21" s="34"/>
      <c r="EF21" s="34"/>
      <c r="EG21" s="34"/>
      <c r="EH21" s="34"/>
      <c r="EI21" s="34"/>
      <c r="EJ21" s="34"/>
      <c r="EK21" s="34"/>
      <c r="EL21" s="34"/>
      <c r="EM21" s="34"/>
      <c r="EN21" s="34"/>
      <c r="EO21" s="34"/>
      <c r="EP21" s="34"/>
      <c r="EQ21" s="34"/>
      <c r="ER21" s="34"/>
      <c r="ES21" s="34"/>
      <c r="ET21" s="34"/>
      <c r="EU21" s="34"/>
      <c r="EV21" s="34"/>
      <c r="EW21" s="34"/>
      <c r="EX21" s="34"/>
      <c r="EY21" s="34"/>
      <c r="EZ21" s="34"/>
      <c r="FA21" s="34"/>
      <c r="FB21" s="34"/>
      <c r="FC21" s="34"/>
      <c r="FD21" s="34"/>
      <c r="FE21" s="34"/>
      <c r="FF21" s="34"/>
      <c r="FG21" s="34"/>
      <c r="FH21" s="34"/>
      <c r="FI21" s="34"/>
      <c r="FJ21" s="34"/>
      <c r="FK21" s="34"/>
      <c r="FL21" s="34"/>
      <c r="FM21" s="34"/>
      <c r="FN21" s="34"/>
      <c r="FO21" s="34"/>
      <c r="FP21" s="34"/>
      <c r="FQ21" s="34"/>
      <c r="FR21" s="34"/>
      <c r="FS21" s="34"/>
      <c r="FT21" s="34"/>
      <c r="FU21" s="34"/>
      <c r="FV21" s="34"/>
      <c r="FW21" s="34"/>
      <c r="FX21" s="34"/>
      <c r="FY21" s="34"/>
      <c r="FZ21" s="34"/>
      <c r="GA21" s="34"/>
      <c r="GB21" s="34"/>
      <c r="GC21" s="34"/>
      <c r="GD21" s="34"/>
      <c r="GE21" s="34"/>
      <c r="GF21" s="34"/>
      <c r="GG21" s="34"/>
      <c r="GH21" s="34"/>
      <c r="GI21" s="34"/>
      <c r="GJ21" s="34"/>
      <c r="GK21" s="34"/>
      <c r="GL21" s="34"/>
      <c r="GM21" s="34"/>
      <c r="GN21" s="34"/>
      <c r="GO21" s="34"/>
      <c r="GP21" s="34"/>
      <c r="GQ21" s="34"/>
      <c r="GR21" s="34"/>
      <c r="GS21" s="34"/>
      <c r="GT21" s="34"/>
      <c r="GU21" s="34"/>
      <c r="GV21" s="34"/>
      <c r="GW21" s="34"/>
      <c r="GX21" s="34"/>
      <c r="GY21" s="34"/>
      <c r="GZ21" s="34"/>
      <c r="HA21" s="34"/>
      <c r="HB21" s="34"/>
      <c r="HC21" s="34"/>
      <c r="HD21" s="34"/>
      <c r="HE21" s="34"/>
      <c r="HF21" s="34"/>
      <c r="HG21" s="34"/>
      <c r="HH21" s="34"/>
      <c r="HI21" s="34"/>
      <c r="HJ21" s="34"/>
      <c r="HK21" s="34"/>
      <c r="HL21" s="34"/>
      <c r="HM21" s="34"/>
      <c r="HN21" s="34"/>
      <c r="HO21" s="34"/>
      <c r="HP21" s="34"/>
      <c r="HQ21" s="34"/>
      <c r="HR21" s="34"/>
      <c r="HS21" s="34"/>
      <c r="HT21" s="34"/>
      <c r="HU21" s="34"/>
      <c r="HV21" s="34"/>
      <c r="HW21" s="34"/>
      <c r="HX21" s="34"/>
      <c r="HY21" s="34"/>
      <c r="HZ21" s="34"/>
      <c r="IA21" s="34"/>
      <c r="IB21" s="34"/>
      <c r="IC21" s="34"/>
      <c r="ID21" s="34"/>
      <c r="IE21" s="34"/>
      <c r="IF21" s="34"/>
      <c r="IG21" s="34"/>
      <c r="IH21" s="34"/>
      <c r="II21" s="34"/>
      <c r="IJ21" s="34"/>
      <c r="IK21" s="34"/>
      <c r="IL21" s="34"/>
      <c r="IM21" s="34"/>
      <c r="IN21" s="34"/>
      <c r="IO21" s="34"/>
      <c r="IP21" s="34"/>
      <c r="IQ21" s="34"/>
      <c r="IR21" s="34"/>
      <c r="IS21" s="34"/>
      <c r="IT21" s="34"/>
      <c r="IU21" s="34"/>
      <c r="IV21" s="34"/>
      <c r="IW21" s="34"/>
      <c r="IX21" s="34"/>
      <c r="IY21" s="34"/>
      <c r="IZ21" s="34"/>
      <c r="JA21" s="34"/>
      <c r="JB21" s="34"/>
      <c r="JC21" s="34"/>
      <c r="JD21" s="34"/>
      <c r="JE21" s="34"/>
      <c r="JF21" s="34"/>
      <c r="JG21" s="34"/>
      <c r="JH21" s="34"/>
      <c r="JI21" s="34"/>
      <c r="JJ21" s="34"/>
      <c r="JK21" s="34"/>
      <c r="JL21" s="34"/>
      <c r="JM21" s="34"/>
      <c r="JN21" s="34"/>
      <c r="JO21" s="34"/>
      <c r="JP21" s="34"/>
      <c r="JQ21" s="34"/>
      <c r="JR21" s="34"/>
      <c r="JS21" s="34"/>
      <c r="JT21" s="34"/>
      <c r="JU21" s="34"/>
      <c r="JV21" s="34"/>
      <c r="JW21" s="34"/>
      <c r="JX21" s="34"/>
      <c r="JY21" s="34"/>
      <c r="JZ21" s="34"/>
      <c r="KA21" s="34"/>
      <c r="KB21" s="34"/>
      <c r="KC21" s="34"/>
      <c r="KD21" s="34"/>
      <c r="KE21" s="34"/>
      <c r="KF21" s="34"/>
      <c r="KG21" s="34"/>
      <c r="KH21" s="34"/>
      <c r="KI21" s="34"/>
      <c r="KJ21" s="34"/>
      <c r="KK21" s="34"/>
      <c r="KL21" s="34"/>
      <c r="KM21" s="34"/>
      <c r="KN21" s="34"/>
      <c r="KO21" s="34"/>
      <c r="KP21" s="34"/>
      <c r="KQ21" s="34"/>
      <c r="KR21" s="34"/>
      <c r="KS21" s="34"/>
      <c r="KT21" s="34"/>
      <c r="KU21" s="34"/>
      <c r="KV21" s="34"/>
      <c r="KW21" s="34"/>
      <c r="KX21" s="34"/>
      <c r="KY21" s="34"/>
      <c r="KZ21" s="34"/>
      <c r="LA21" s="34"/>
      <c r="LB21" s="34"/>
      <c r="LC21" s="34"/>
      <c r="LD21" s="34"/>
      <c r="LE21" s="34"/>
      <c r="LF21" s="34"/>
      <c r="LG21" s="34"/>
      <c r="LH21" s="34"/>
      <c r="LI21" s="34"/>
      <c r="LJ21" s="34"/>
      <c r="LK21" s="34"/>
      <c r="LL21" s="34"/>
      <c r="LM21" s="34"/>
      <c r="LN21" s="34"/>
      <c r="LO21" s="34"/>
      <c r="LP21" s="34"/>
      <c r="LQ21" s="34"/>
      <c r="LR21" s="34"/>
      <c r="LS21" s="34"/>
      <c r="LT21" s="34"/>
      <c r="LU21" s="34"/>
      <c r="LV21" s="34"/>
      <c r="LW21" s="34"/>
      <c r="LX21" s="34"/>
      <c r="LY21" s="34"/>
      <c r="LZ21" s="34"/>
      <c r="MA21" s="34"/>
      <c r="MB21" s="34"/>
      <c r="MC21" s="34"/>
      <c r="MD21" s="34"/>
      <c r="ME21" s="34"/>
      <c r="MF21" s="34"/>
      <c r="MG21" s="34"/>
      <c r="MH21" s="34"/>
      <c r="MI21" s="34"/>
      <c r="MJ21" s="34"/>
      <c r="MK21" s="34"/>
      <c r="ML21" s="34"/>
      <c r="MM21" s="34"/>
      <c r="MN21" s="34"/>
      <c r="MO21" s="34"/>
      <c r="MP21" s="34"/>
      <c r="MQ21" s="34"/>
      <c r="MR21" s="34"/>
      <c r="MS21" s="34"/>
      <c r="MT21" s="34"/>
      <c r="MU21" s="34"/>
      <c r="MV21" s="34"/>
      <c r="MW21" s="34"/>
      <c r="MX21" s="34"/>
      <c r="MY21" s="34"/>
      <c r="MZ21" s="34"/>
      <c r="NA21" s="34"/>
      <c r="NB21" s="34"/>
      <c r="NC21" s="34"/>
      <c r="ND21" s="34"/>
      <c r="NE21" s="34"/>
      <c r="NF21" s="34"/>
      <c r="NG21" s="34"/>
      <c r="NH21" s="34"/>
      <c r="NI21" s="34"/>
      <c r="NJ21" s="34"/>
      <c r="NK21" s="34"/>
      <c r="NL21" s="34"/>
      <c r="NM21" s="34"/>
      <c r="NN21" s="34"/>
      <c r="NO21" s="34"/>
      <c r="NP21" s="34"/>
      <c r="NQ21" s="34"/>
      <c r="NR21" s="34"/>
      <c r="NS21" s="34"/>
      <c r="NT21" s="34"/>
      <c r="NU21" s="34"/>
      <c r="NV21" s="34"/>
      <c r="NW21" s="34"/>
      <c r="NX21" s="34"/>
      <c r="NY21" s="34"/>
      <c r="NZ21" s="34"/>
      <c r="OA21" s="34"/>
      <c r="OB21" s="34"/>
      <c r="OC21" s="34"/>
      <c r="OD21" s="34"/>
      <c r="OE21" s="34"/>
      <c r="OF21" s="34"/>
      <c r="OG21" s="34"/>
      <c r="OH21" s="34"/>
      <c r="OI21" s="34"/>
      <c r="OJ21" s="34"/>
      <c r="OK21" s="34"/>
      <c r="OL21" s="34"/>
      <c r="OM21" s="34"/>
      <c r="ON21" s="34"/>
      <c r="OO21" s="34"/>
      <c r="OP21" s="34"/>
      <c r="OQ21" s="34"/>
      <c r="OR21" s="34"/>
      <c r="OS21" s="34"/>
      <c r="OT21" s="34"/>
      <c r="OU21" s="34"/>
      <c r="OV21" s="34"/>
      <c r="OW21" s="34"/>
      <c r="OX21" s="34"/>
      <c r="OY21" s="34"/>
      <c r="OZ21" s="34"/>
      <c r="PA21" s="34"/>
      <c r="PB21" s="34"/>
      <c r="PC21" s="34"/>
      <c r="PD21" s="34"/>
      <c r="PE21" s="34"/>
      <c r="PF21" s="34"/>
      <c r="PG21" s="34"/>
      <c r="PH21" s="34"/>
      <c r="PI21" s="34"/>
      <c r="PJ21" s="34"/>
      <c r="PK21" s="34"/>
      <c r="PL21" s="34"/>
      <c r="PM21" s="34"/>
      <c r="PN21" s="34"/>
      <c r="PO21" s="34"/>
      <c r="PP21" s="34"/>
      <c r="PQ21" s="34"/>
      <c r="PR21" s="34"/>
      <c r="PS21" s="34"/>
      <c r="PT21" s="34"/>
      <c r="PU21" s="34"/>
      <c r="PV21" s="34"/>
      <c r="PW21" s="34"/>
      <c r="PX21" s="34"/>
      <c r="PY21" s="34"/>
      <c r="PZ21" s="34"/>
      <c r="QA21" s="34"/>
      <c r="QB21" s="34"/>
      <c r="QC21" s="34"/>
      <c r="QD21" s="34"/>
      <c r="QE21" s="34"/>
      <c r="QF21" s="34"/>
      <c r="QG21" s="34"/>
      <c r="QH21" s="34"/>
      <c r="QI21" s="34"/>
      <c r="QJ21" s="34"/>
      <c r="QK21" s="34"/>
      <c r="QL21" s="34"/>
      <c r="QM21" s="34"/>
      <c r="QN21" s="34"/>
      <c r="QO21" s="34"/>
      <c r="QP21" s="34"/>
      <c r="QQ21" s="34"/>
      <c r="QR21" s="34"/>
      <c r="QS21" s="34"/>
      <c r="QT21" s="34"/>
      <c r="QU21" s="34"/>
      <c r="QV21" s="34"/>
      <c r="QW21" s="34"/>
      <c r="QX21" s="34"/>
      <c r="QY21" s="34"/>
      <c r="QZ21" s="34"/>
      <c r="RA21" s="34"/>
      <c r="RB21" s="34"/>
      <c r="RC21" s="34"/>
      <c r="RD21" s="34"/>
      <c r="RE21" s="34"/>
      <c r="RF21" s="34"/>
      <c r="RG21" s="34"/>
      <c r="RH21" s="34"/>
      <c r="RI21" s="34"/>
      <c r="RJ21" s="34"/>
      <c r="RK21" s="34"/>
      <c r="RL21" s="34"/>
      <c r="RM21" s="34"/>
      <c r="RN21" s="34"/>
      <c r="RO21" s="34"/>
      <c r="RP21" s="34"/>
      <c r="RQ21" s="34"/>
      <c r="RR21" s="34"/>
      <c r="RS21" s="34"/>
      <c r="RT21" s="34"/>
      <c r="RU21" s="34"/>
      <c r="RV21" s="34"/>
      <c r="RW21" s="34"/>
      <c r="RX21" s="34"/>
      <c r="RY21" s="34"/>
      <c r="RZ21" s="34"/>
      <c r="SA21" s="34"/>
      <c r="SB21" s="34"/>
      <c r="SC21" s="34"/>
      <c r="SD21" s="34"/>
      <c r="SE21" s="34"/>
      <c r="SF21" s="34"/>
      <c r="SG21" s="34"/>
      <c r="SH21" s="34"/>
      <c r="SI21" s="34"/>
      <c r="SJ21" s="34"/>
      <c r="SK21" s="34"/>
      <c r="SL21" s="34"/>
      <c r="SM21" s="34"/>
      <c r="SN21" s="34"/>
      <c r="SO21" s="34"/>
      <c r="SP21" s="34"/>
      <c r="SQ21" s="34"/>
      <c r="SR21" s="34"/>
      <c r="SS21" s="34"/>
      <c r="ST21" s="34"/>
      <c r="SU21" s="34"/>
      <c r="SV21" s="34"/>
      <c r="SW21" s="34"/>
      <c r="SX21" s="34"/>
      <c r="SY21" s="34"/>
      <c r="SZ21" s="34"/>
      <c r="TA21" s="34"/>
      <c r="TB21" s="34"/>
      <c r="TC21" s="34"/>
      <c r="TD21" s="34"/>
      <c r="TE21" s="34"/>
      <c r="TF21" s="34"/>
      <c r="TG21" s="34"/>
      <c r="TH21" s="34"/>
      <c r="TI21" s="34"/>
      <c r="TJ21" s="34"/>
      <c r="TK21" s="34"/>
      <c r="TL21" s="34"/>
      <c r="TM21" s="34"/>
      <c r="TN21" s="34"/>
      <c r="TO21" s="34"/>
      <c r="TP21" s="34"/>
      <c r="TQ21" s="34"/>
      <c r="TR21" s="34"/>
      <c r="TS21" s="34"/>
      <c r="TT21" s="34"/>
      <c r="TU21" s="34"/>
      <c r="TV21" s="34"/>
      <c r="TW21" s="34"/>
      <c r="TX21" s="34"/>
      <c r="TY21" s="34"/>
      <c r="TZ21" s="34"/>
      <c r="UA21" s="34"/>
      <c r="UB21" s="34"/>
      <c r="UC21" s="34"/>
      <c r="UD21" s="34"/>
      <c r="UE21" s="34"/>
      <c r="UF21" s="34"/>
      <c r="UG21" s="34"/>
      <c r="UH21" s="34"/>
      <c r="UI21" s="34"/>
      <c r="UJ21" s="34"/>
      <c r="UK21" s="34"/>
      <c r="UL21" s="34"/>
      <c r="UM21" s="34"/>
      <c r="UN21" s="34"/>
      <c r="UO21" s="34"/>
      <c r="UP21" s="34"/>
      <c r="UQ21" s="34"/>
      <c r="UR21" s="34"/>
      <c r="US21" s="34"/>
      <c r="UT21" s="34"/>
      <c r="UU21" s="34"/>
      <c r="UV21" s="34"/>
      <c r="UW21" s="34"/>
      <c r="UX21" s="34"/>
      <c r="UY21" s="34"/>
      <c r="UZ21" s="34"/>
      <c r="VA21" s="34"/>
      <c r="VB21" s="34"/>
      <c r="VC21" s="34"/>
      <c r="VD21" s="34"/>
      <c r="VE21" s="34"/>
      <c r="VF21" s="34"/>
      <c r="VG21" s="34"/>
      <c r="VH21" s="34"/>
      <c r="VI21" s="34"/>
      <c r="VJ21" s="34"/>
      <c r="VK21" s="34"/>
      <c r="VL21" s="34"/>
      <c r="VM21" s="34"/>
      <c r="VN21" s="34"/>
      <c r="VO21" s="34"/>
      <c r="VP21" s="34"/>
      <c r="VQ21" s="34"/>
      <c r="VR21" s="34"/>
      <c r="VS21" s="34"/>
      <c r="VT21" s="34"/>
      <c r="VU21" s="34"/>
      <c r="VV21" s="34"/>
      <c r="VW21" s="34"/>
      <c r="VX21" s="34"/>
      <c r="VY21" s="34"/>
      <c r="VZ21" s="34"/>
      <c r="WA21" s="34"/>
      <c r="WB21" s="34"/>
      <c r="WC21" s="34"/>
      <c r="WD21" s="34"/>
      <c r="WE21" s="34"/>
      <c r="WF21" s="34"/>
      <c r="WG21" s="34"/>
      <c r="WH21" s="34"/>
      <c r="WI21" s="34"/>
      <c r="WJ21" s="34"/>
      <c r="WK21" s="34"/>
      <c r="WL21" s="34"/>
      <c r="WM21" s="34"/>
      <c r="WN21" s="34"/>
      <c r="WO21" s="34"/>
      <c r="WP21" s="34"/>
      <c r="WQ21" s="34"/>
      <c r="WR21" s="34"/>
      <c r="WS21" s="34"/>
      <c r="WT21" s="34"/>
      <c r="WU21" s="34"/>
      <c r="WV21" s="34"/>
      <c r="WW21" s="34"/>
      <c r="WX21" s="34"/>
      <c r="WY21" s="34"/>
      <c r="WZ21" s="34"/>
      <c r="XA21" s="34"/>
      <c r="XB21" s="34"/>
      <c r="XC21" s="34"/>
      <c r="XD21" s="34"/>
      <c r="XE21" s="34"/>
      <c r="XF21" s="34"/>
      <c r="XG21" s="34"/>
      <c r="XH21" s="34"/>
      <c r="XI21" s="34"/>
      <c r="XJ21" s="34"/>
      <c r="XK21" s="34"/>
      <c r="XL21" s="34"/>
      <c r="XM21" s="34"/>
      <c r="XN21" s="34"/>
      <c r="XO21" s="34"/>
      <c r="XP21" s="34"/>
      <c r="XQ21" s="34"/>
      <c r="XR21" s="34"/>
      <c r="XS21" s="34"/>
      <c r="XT21" s="34"/>
      <c r="XU21" s="34"/>
      <c r="XV21" s="34"/>
      <c r="XW21" s="34"/>
      <c r="XX21" s="34"/>
      <c r="XY21" s="34"/>
      <c r="XZ21" s="34"/>
      <c r="YA21" s="34"/>
      <c r="YB21" s="34"/>
      <c r="YC21" s="34"/>
      <c r="YD21" s="34"/>
      <c r="YE21" s="34"/>
      <c r="YF21" s="34"/>
      <c r="YG21" s="34"/>
      <c r="YH21" s="34"/>
      <c r="YI21" s="34"/>
      <c r="YJ21" s="34"/>
      <c r="YK21" s="34"/>
      <c r="YL21" s="34"/>
      <c r="YM21" s="34"/>
      <c r="YN21" s="34"/>
      <c r="YO21" s="34"/>
      <c r="YP21" s="34"/>
      <c r="YQ21" s="34"/>
      <c r="YR21" s="34"/>
      <c r="YS21" s="34"/>
      <c r="YT21" s="34"/>
      <c r="YU21" s="34"/>
      <c r="YV21" s="34"/>
      <c r="YW21" s="34"/>
      <c r="YX21" s="34"/>
      <c r="YY21" s="34"/>
      <c r="YZ21" s="34"/>
      <c r="ZA21" s="34"/>
      <c r="ZB21" s="34"/>
      <c r="ZC21" s="34"/>
      <c r="ZD21" s="34"/>
      <c r="ZE21" s="34"/>
      <c r="ZF21" s="34"/>
      <c r="ZG21" s="34"/>
      <c r="ZH21" s="34"/>
      <c r="ZI21" s="34"/>
      <c r="ZJ21" s="34"/>
      <c r="ZK21" s="34"/>
      <c r="ZL21" s="34"/>
      <c r="ZM21" s="34"/>
      <c r="ZN21" s="34"/>
      <c r="ZO21" s="34"/>
      <c r="ZP21" s="34"/>
      <c r="ZQ21" s="34"/>
      <c r="ZR21" s="34"/>
      <c r="ZS21" s="34"/>
      <c r="ZT21" s="34"/>
      <c r="ZU21" s="34"/>
      <c r="ZV21" s="34"/>
      <c r="ZW21" s="34"/>
      <c r="ZX21" s="34"/>
      <c r="ZY21" s="34"/>
      <c r="ZZ21" s="34"/>
      <c r="AAA21" s="34"/>
      <c r="AAB21" s="34"/>
      <c r="AAC21" s="34"/>
      <c r="AAD21" s="34"/>
      <c r="AAE21" s="34"/>
      <c r="AAF21" s="34"/>
      <c r="AAG21" s="34"/>
      <c r="AAH21" s="34"/>
      <c r="AAI21" s="34"/>
      <c r="AAJ21" s="34"/>
      <c r="AAK21" s="34"/>
      <c r="AAL21" s="34"/>
      <c r="AAM21" s="34"/>
      <c r="AAN21" s="34"/>
      <c r="AAO21" s="34"/>
      <c r="AAP21" s="34"/>
      <c r="AAQ21" s="34"/>
      <c r="AAR21" s="34"/>
      <c r="AAS21" s="34"/>
      <c r="AAT21" s="34"/>
      <c r="AAU21" s="34"/>
      <c r="AAV21" s="34"/>
      <c r="AAW21" s="34"/>
      <c r="AAX21" s="34"/>
      <c r="AAY21" s="34"/>
      <c r="AAZ21" s="34"/>
      <c r="ABA21" s="34"/>
      <c r="ABB21" s="34"/>
      <c r="ABC21" s="34"/>
      <c r="ABD21" s="34"/>
      <c r="ABE21" s="34"/>
      <c r="ABF21" s="34"/>
      <c r="ABG21" s="34"/>
      <c r="ABH21" s="34"/>
      <c r="ABI21" s="34"/>
      <c r="ABJ21" s="34"/>
      <c r="ABK21" s="34"/>
      <c r="ABL21" s="34"/>
      <c r="ABM21" s="34"/>
      <c r="ABN21" s="34"/>
      <c r="ABO21" s="34"/>
      <c r="ABP21" s="34"/>
      <c r="ABQ21" s="34"/>
      <c r="ABR21" s="34"/>
      <c r="ABS21" s="34"/>
      <c r="ABT21" s="34"/>
      <c r="ABU21" s="34"/>
      <c r="ABV21" s="34"/>
      <c r="ABW21" s="34"/>
      <c r="ABX21" s="34"/>
      <c r="ABY21" s="34"/>
      <c r="ABZ21" s="34"/>
      <c r="ACA21" s="34"/>
      <c r="ACB21" s="34"/>
      <c r="ACC21" s="34"/>
      <c r="ACD21" s="34"/>
      <c r="ACE21" s="34"/>
      <c r="ACF21" s="34"/>
      <c r="ACG21" s="34"/>
      <c r="ACH21" s="34"/>
      <c r="ACI21" s="34"/>
      <c r="ACJ21" s="34"/>
      <c r="ACK21" s="34"/>
      <c r="ACL21" s="34"/>
      <c r="ACM21" s="34"/>
      <c r="ACN21" s="34"/>
      <c r="ACO21" s="34"/>
      <c r="ACP21" s="34"/>
      <c r="ACQ21" s="34"/>
      <c r="ACR21" s="34"/>
      <c r="ACS21" s="34"/>
      <c r="ACT21" s="34"/>
      <c r="ACU21" s="34"/>
      <c r="ACV21" s="34"/>
      <c r="ACW21" s="34"/>
      <c r="ACX21" s="34"/>
      <c r="ACY21" s="34"/>
      <c r="ACZ21" s="34"/>
      <c r="ADA21" s="34"/>
      <c r="ADB21" s="34"/>
      <c r="ADC21" s="34"/>
      <c r="ADD21" s="34"/>
      <c r="ADE21" s="34"/>
      <c r="ADF21" s="34"/>
      <c r="ADG21" s="34"/>
      <c r="ADH21" s="34"/>
      <c r="ADI21" s="34"/>
      <c r="ADJ21" s="34"/>
      <c r="ADK21" s="34"/>
      <c r="ADL21" s="34"/>
      <c r="ADM21" s="34"/>
      <c r="ADN21" s="34"/>
      <c r="ADO21" s="34"/>
      <c r="ADP21" s="34"/>
      <c r="ADQ21" s="34"/>
      <c r="ADR21" s="34"/>
      <c r="ADS21" s="34"/>
      <c r="ADT21" s="34"/>
      <c r="ADU21" s="34"/>
      <c r="ADV21" s="34"/>
      <c r="ADW21" s="34"/>
      <c r="ADX21" s="34"/>
      <c r="ADY21" s="34"/>
      <c r="ADZ21" s="34"/>
      <c r="AEA21" s="34"/>
      <c r="AEB21" s="34"/>
      <c r="AEC21" s="34"/>
      <c r="AED21" s="34"/>
      <c r="AEE21" s="34"/>
      <c r="AEF21" s="34"/>
      <c r="AEG21" s="34"/>
      <c r="AEH21" s="34"/>
      <c r="AEI21" s="34"/>
      <c r="AEJ21" s="34"/>
      <c r="AEK21" s="34"/>
      <c r="AEL21" s="34"/>
      <c r="AEM21" s="34"/>
      <c r="AEN21" s="34"/>
      <c r="AEO21" s="34"/>
      <c r="AEP21" s="34"/>
      <c r="AEQ21" s="34"/>
      <c r="AER21" s="34"/>
      <c r="AES21" s="34"/>
      <c r="AET21" s="34"/>
      <c r="AEU21" s="34"/>
      <c r="AEV21" s="34"/>
      <c r="AEW21" s="34"/>
      <c r="AEX21" s="34"/>
      <c r="AEY21" s="34"/>
      <c r="AEZ21" s="34"/>
      <c r="AFA21" s="34"/>
      <c r="AFB21" s="34"/>
      <c r="AFC21" s="34"/>
      <c r="AFD21" s="34"/>
      <c r="AFE21" s="34"/>
      <c r="AFF21" s="34"/>
      <c r="AFG21" s="34"/>
      <c r="AFH21" s="34"/>
      <c r="AFI21" s="34"/>
      <c r="AFJ21" s="34"/>
      <c r="AFK21" s="34"/>
      <c r="AFL21" s="34"/>
      <c r="AFM21" s="34"/>
      <c r="AFN21" s="34"/>
      <c r="AFO21" s="34"/>
      <c r="AFP21" s="34"/>
      <c r="AFQ21" s="34"/>
      <c r="AFR21" s="34"/>
      <c r="AFS21" s="34"/>
      <c r="AFT21" s="34"/>
      <c r="AFU21" s="34"/>
      <c r="AFV21" s="34"/>
      <c r="AFW21" s="34"/>
      <c r="AFX21" s="34"/>
      <c r="AFY21" s="34"/>
      <c r="AFZ21" s="34"/>
      <c r="AGA21" s="34"/>
      <c r="AGB21" s="34"/>
      <c r="AGC21" s="34"/>
      <c r="AGD21" s="34"/>
      <c r="AGE21" s="34"/>
      <c r="AGF21" s="34"/>
      <c r="AGG21" s="34"/>
      <c r="AGH21" s="34"/>
      <c r="AGI21" s="34"/>
      <c r="AGJ21" s="34"/>
      <c r="AGK21" s="34"/>
      <c r="AGL21" s="34"/>
      <c r="AGM21" s="34"/>
      <c r="AGN21" s="34"/>
      <c r="AGO21" s="34"/>
      <c r="AGP21" s="34"/>
      <c r="AGQ21" s="34"/>
      <c r="AGR21" s="34"/>
      <c r="AGS21" s="34"/>
      <c r="AGT21" s="34"/>
      <c r="AGU21" s="34"/>
      <c r="AGV21" s="34"/>
      <c r="AGW21" s="34"/>
      <c r="AGX21" s="34"/>
      <c r="AGY21" s="34"/>
      <c r="AGZ21" s="34"/>
      <c r="AHA21" s="34"/>
      <c r="AHB21" s="34"/>
      <c r="AHC21" s="34"/>
      <c r="AHD21" s="34"/>
      <c r="AHE21" s="34"/>
      <c r="AHF21" s="34"/>
      <c r="AHG21" s="34"/>
      <c r="AHH21" s="34"/>
      <c r="AHI21" s="34"/>
      <c r="AHJ21" s="34"/>
      <c r="AHK21" s="34"/>
      <c r="AHL21" s="34"/>
      <c r="AHM21" s="34"/>
      <c r="AHN21" s="34"/>
      <c r="AHO21" s="34"/>
      <c r="AHP21" s="34"/>
      <c r="AHQ21" s="34"/>
      <c r="AHR21" s="34"/>
      <c r="AHS21" s="34"/>
      <c r="AHT21" s="34"/>
      <c r="AHU21" s="34"/>
      <c r="AHV21" s="34"/>
      <c r="AHW21" s="34"/>
      <c r="AHX21" s="34"/>
      <c r="AHY21" s="34"/>
      <c r="AHZ21" s="34"/>
      <c r="AIA21" s="34"/>
      <c r="AIB21" s="34"/>
      <c r="AIC21" s="34"/>
      <c r="AID21" s="34"/>
      <c r="AIE21" s="34"/>
      <c r="AIF21" s="34"/>
      <c r="AIG21" s="34"/>
      <c r="AIH21" s="34"/>
      <c r="AII21" s="34"/>
      <c r="AIJ21" s="34"/>
      <c r="AIK21" s="34"/>
      <c r="AIL21" s="34"/>
      <c r="AIM21" s="34"/>
      <c r="AIN21" s="34"/>
      <c r="AIO21" s="34"/>
      <c r="AIP21" s="34"/>
      <c r="AIQ21" s="34"/>
      <c r="AIR21" s="34"/>
      <c r="AIS21" s="34"/>
      <c r="AIT21" s="34"/>
      <c r="AIU21" s="34"/>
      <c r="AIV21" s="34"/>
      <c r="AIW21" s="34"/>
      <c r="AIX21" s="34"/>
      <c r="AIY21" s="34"/>
      <c r="AIZ21" s="34"/>
      <c r="AJA21" s="34"/>
      <c r="AJB21" s="34"/>
      <c r="AJC21" s="34"/>
      <c r="AJD21" s="34"/>
      <c r="AJE21" s="34"/>
      <c r="AJF21" s="34"/>
      <c r="AJG21" s="34"/>
      <c r="AJH21" s="34"/>
      <c r="AJI21" s="34"/>
      <c r="AJJ21" s="34"/>
      <c r="AJK21" s="34"/>
      <c r="AJL21" s="34"/>
      <c r="AJM21" s="34"/>
      <c r="AJN21" s="34"/>
      <c r="AJO21" s="34"/>
      <c r="AJP21" s="34"/>
      <c r="AJQ21" s="34"/>
      <c r="AJR21" s="34"/>
      <c r="AJS21" s="34"/>
      <c r="AJT21" s="34"/>
      <c r="AJU21" s="34"/>
      <c r="AJV21" s="34"/>
      <c r="AJW21" s="34"/>
      <c r="AJX21" s="34"/>
      <c r="AJY21" s="34"/>
      <c r="AJZ21" s="34"/>
      <c r="AKA21" s="34"/>
      <c r="AKB21" s="34"/>
      <c r="AKC21" s="34"/>
      <c r="AKD21" s="34"/>
      <c r="AKE21" s="34"/>
      <c r="AKF21" s="34"/>
      <c r="AKG21" s="34"/>
      <c r="AKH21" s="34"/>
      <c r="AKI21" s="34"/>
      <c r="AKJ21" s="34"/>
      <c r="AKK21" s="34"/>
      <c r="AKL21" s="34"/>
      <c r="AKM21" s="34"/>
      <c r="AKN21" s="34"/>
      <c r="AKO21" s="34"/>
      <c r="AKP21" s="34"/>
      <c r="AKQ21" s="34"/>
      <c r="AKR21" s="34"/>
      <c r="AKS21" s="34"/>
      <c r="AKT21" s="34"/>
      <c r="AKU21" s="34"/>
      <c r="AKV21" s="34"/>
      <c r="AKW21" s="34"/>
      <c r="AKX21" s="34"/>
      <c r="AKY21" s="34"/>
      <c r="AKZ21" s="34"/>
      <c r="ALA21" s="34"/>
      <c r="ALB21" s="34"/>
      <c r="ALC21" s="34"/>
      <c r="ALD21" s="34"/>
      <c r="ALE21" s="34"/>
      <c r="ALF21" s="34"/>
      <c r="ALG21" s="33"/>
      <c r="ALH21" s="33"/>
      <c r="ALI21" s="33"/>
      <c r="ALJ21" s="33"/>
      <c r="ALK21" s="33"/>
      <c r="ALL21" s="33"/>
      <c r="ALM21" s="33"/>
      <c r="ALN21" s="33"/>
      <c r="ALO21" s="33"/>
      <c r="ALP21" s="33"/>
      <c r="ALQ21" s="33"/>
      <c r="ALR21" s="33"/>
      <c r="ALS21" s="33"/>
      <c r="ALT21" s="33"/>
      <c r="ALU21" s="33"/>
      <c r="ALV21" s="33"/>
      <c r="ALW21" s="33"/>
      <c r="ALX21" s="33"/>
      <c r="ALY21" s="33"/>
      <c r="ALZ21" s="33"/>
      <c r="AMA21" s="33"/>
      <c r="AMB21" s="33"/>
      <c r="AMC21" s="33"/>
      <c r="AMD21" s="33"/>
      <c r="AME21" s="33"/>
      <c r="AMF21" s="33"/>
      <c r="AMG21" s="33"/>
      <c r="AMH21" s="33"/>
      <c r="AMI21" s="33"/>
      <c r="AMJ21" s="33"/>
      <c r="AMK21" s="33"/>
      <c r="AML21" s="33"/>
      <c r="AMM21" s="33"/>
      <c r="AMN21" s="33"/>
      <c r="AMO21" s="33"/>
      <c r="AMP21" s="33"/>
      <c r="AMQ21" s="33"/>
      <c r="AMR21" s="33"/>
      <c r="AMS21" s="33"/>
      <c r="AMT21" s="33"/>
      <c r="AMU21" s="33"/>
      <c r="AMV21" s="33"/>
      <c r="AMW21" s="33"/>
      <c r="AMX21" s="33"/>
      <c r="AMY21" s="33"/>
      <c r="AMZ21" s="33"/>
      <c r="ANA21" s="33"/>
      <c r="ANB21" s="33"/>
      <c r="ANC21" s="33"/>
      <c r="AND21" s="33"/>
      <c r="ANE21" s="33"/>
      <c r="ANF21" s="33"/>
      <c r="ANG21" s="33"/>
      <c r="ANH21" s="33"/>
      <c r="ANI21" s="33"/>
      <c r="ANJ21" s="33"/>
      <c r="ANK21" s="33"/>
      <c r="ANL21" s="33"/>
      <c r="ANM21" s="33"/>
      <c r="ANN21" s="33"/>
      <c r="ANO21" s="33"/>
      <c r="ANP21" s="33"/>
      <c r="ANQ21" s="33"/>
      <c r="ANR21" s="33"/>
      <c r="ANS21" s="33"/>
      <c r="ANT21" s="33"/>
      <c r="ANU21" s="33"/>
      <c r="ANV21" s="33"/>
      <c r="ANW21" s="33"/>
      <c r="ANX21" s="33"/>
      <c r="ANY21" s="33"/>
      <c r="ANZ21" s="33"/>
      <c r="AOA21" s="33"/>
      <c r="AOB21" s="33"/>
      <c r="AOC21" s="33"/>
      <c r="AOD21" s="33"/>
      <c r="AOE21" s="33"/>
      <c r="AOF21" s="33"/>
      <c r="AOG21" s="33"/>
      <c r="AOH21" s="33"/>
      <c r="AOI21" s="33"/>
      <c r="AOJ21" s="33"/>
      <c r="AOK21" s="33"/>
      <c r="AOL21" s="33"/>
      <c r="AOM21" s="33"/>
      <c r="AON21" s="33"/>
      <c r="AOO21" s="33"/>
      <c r="AOP21" s="33"/>
      <c r="AOQ21" s="33"/>
      <c r="AOR21" s="33"/>
      <c r="AOS21" s="33"/>
      <c r="AOT21" s="33"/>
      <c r="AOU21" s="33"/>
      <c r="AOV21" s="33"/>
      <c r="AOW21" s="33"/>
      <c r="AOX21" s="33"/>
      <c r="AOY21" s="33"/>
      <c r="AOZ21" s="33"/>
      <c r="APA21" s="33"/>
      <c r="APB21" s="33"/>
      <c r="APC21" s="33"/>
      <c r="APD21" s="33"/>
      <c r="APE21" s="33"/>
      <c r="APF21" s="33"/>
      <c r="APG21" s="33"/>
      <c r="APH21" s="33"/>
      <c r="API21" s="33"/>
      <c r="APJ21" s="33"/>
      <c r="APK21" s="33"/>
      <c r="APL21" s="33"/>
      <c r="APM21" s="33"/>
      <c r="APN21" s="33"/>
      <c r="APO21" s="33"/>
      <c r="APP21" s="33"/>
      <c r="APQ21" s="33"/>
      <c r="APR21" s="33"/>
      <c r="APS21" s="33"/>
      <c r="APT21" s="33"/>
      <c r="APU21" s="33"/>
      <c r="APV21" s="33"/>
      <c r="APW21" s="33"/>
      <c r="APX21" s="33"/>
      <c r="APY21" s="33"/>
      <c r="APZ21" s="33"/>
      <c r="AQA21" s="33"/>
      <c r="AQB21" s="33"/>
      <c r="AQC21" s="33"/>
      <c r="AQD21" s="33"/>
      <c r="AQE21" s="33"/>
      <c r="AQF21" s="33"/>
      <c r="AQG21" s="33"/>
      <c r="AQH21" s="33"/>
      <c r="AQI21" s="33"/>
      <c r="AQJ21" s="33"/>
      <c r="AQK21" s="33"/>
      <c r="AQL21" s="33"/>
      <c r="AQM21" s="33"/>
      <c r="AQN21" s="33"/>
      <c r="AQO21" s="33"/>
      <c r="AQP21" s="33"/>
      <c r="AQQ21" s="33"/>
      <c r="AQR21" s="33"/>
      <c r="AQS21" s="33"/>
      <c r="AQT21" s="33"/>
      <c r="AQU21" s="33"/>
      <c r="AQV21" s="33"/>
      <c r="AQW21" s="33"/>
      <c r="AQX21" s="33"/>
      <c r="AQY21" s="33"/>
      <c r="AQZ21" s="33"/>
      <c r="ARA21" s="33"/>
      <c r="ARB21" s="33"/>
      <c r="ARC21" s="33"/>
      <c r="ARD21" s="33"/>
      <c r="ARE21" s="33"/>
      <c r="ARF21" s="33"/>
      <c r="ARG21" s="33"/>
      <c r="ARH21" s="33"/>
      <c r="ARI21" s="33"/>
      <c r="ARJ21" s="33"/>
      <c r="ARK21" s="33"/>
      <c r="ARL21" s="33"/>
      <c r="ARM21" s="33"/>
      <c r="ARN21" s="33"/>
      <c r="ARO21" s="33"/>
      <c r="ARP21" s="33"/>
      <c r="ARQ21" s="33"/>
      <c r="ARR21" s="33"/>
      <c r="ARS21" s="33"/>
      <c r="ART21" s="33"/>
      <c r="ARU21" s="33"/>
      <c r="ARV21" s="33"/>
      <c r="ARW21" s="33"/>
      <c r="ARX21" s="33"/>
      <c r="ARY21" s="33"/>
      <c r="ARZ21" s="33"/>
      <c r="ASA21" s="33"/>
      <c r="ASB21" s="33"/>
      <c r="ASC21" s="33"/>
      <c r="ASD21" s="33"/>
      <c r="ASE21" s="33"/>
      <c r="ASF21" s="33"/>
      <c r="ASG21" s="33"/>
      <c r="ASH21" s="33"/>
      <c r="ASI21" s="33"/>
      <c r="ASJ21" s="33"/>
      <c r="ASK21" s="33"/>
      <c r="ASL21" s="33"/>
      <c r="ASM21" s="33"/>
      <c r="ASN21" s="33"/>
      <c r="ASO21" s="33"/>
      <c r="ASP21" s="33"/>
      <c r="ASQ21" s="33"/>
      <c r="ASR21" s="33"/>
      <c r="ASS21" s="33"/>
      <c r="AST21" s="33"/>
      <c r="ASU21" s="33"/>
      <c r="ASV21" s="33"/>
      <c r="ASW21" s="33"/>
      <c r="ASX21" s="33"/>
      <c r="ASY21" s="33"/>
      <c r="ASZ21" s="33"/>
      <c r="ATA21" s="33"/>
      <c r="ATB21" s="33"/>
      <c r="ATC21" s="33"/>
      <c r="ATD21" s="33"/>
      <c r="ATE21" s="33"/>
      <c r="ATF21" s="33"/>
      <c r="ATG21" s="33"/>
      <c r="ATH21" s="33"/>
      <c r="ATI21" s="33"/>
      <c r="ATJ21" s="33"/>
      <c r="ATK21" s="33"/>
      <c r="ATL21" s="33"/>
      <c r="ATM21" s="33"/>
      <c r="ATN21" s="33"/>
      <c r="ATO21" s="33"/>
      <c r="ATP21" s="33"/>
      <c r="ATQ21" s="33"/>
      <c r="ATR21" s="33"/>
      <c r="ATS21" s="33"/>
      <c r="ATT21" s="33"/>
      <c r="ATU21" s="33"/>
      <c r="ATV21" s="33"/>
      <c r="ATW21" s="33"/>
      <c r="ATX21" s="33"/>
      <c r="ATY21" s="33"/>
      <c r="ATZ21" s="33"/>
      <c r="AUA21" s="33"/>
      <c r="AUB21" s="33"/>
      <c r="AUC21" s="33"/>
      <c r="AUD21" s="33"/>
      <c r="AUE21" s="33"/>
      <c r="AUF21" s="33"/>
      <c r="AUG21" s="33"/>
      <c r="AUH21" s="33"/>
      <c r="AUI21" s="33"/>
      <c r="AUJ21" s="33"/>
      <c r="AUK21" s="33"/>
      <c r="AUL21" s="33"/>
      <c r="AUM21" s="33"/>
      <c r="AUN21" s="33"/>
      <c r="AUO21" s="33"/>
      <c r="AUP21" s="33"/>
      <c r="AUQ21" s="33"/>
      <c r="AUR21" s="33"/>
      <c r="AUS21" s="33"/>
      <c r="AUT21" s="33"/>
      <c r="AUU21" s="33"/>
      <c r="AUV21" s="33"/>
      <c r="AUW21" s="33"/>
      <c r="AUX21" s="33"/>
      <c r="AUY21" s="33"/>
      <c r="AUZ21" s="33"/>
      <c r="AVA21" s="33"/>
      <c r="AVB21" s="33"/>
    </row>
    <row r="22" spans="1:1250" ht="18.75" customHeight="1">
      <c r="A22" s="67"/>
      <c r="B22" s="68"/>
      <c r="C22" s="69"/>
      <c r="D22" s="70"/>
      <c r="E22" s="71"/>
      <c r="F22" s="69"/>
      <c r="G22" s="72"/>
      <c r="H22" s="73"/>
      <c r="I22" s="74"/>
      <c r="J22" s="1"/>
      <c r="K22" s="76"/>
      <c r="L22" s="33"/>
      <c r="M22" s="43"/>
      <c r="N22" s="44"/>
      <c r="O22" s="43"/>
      <c r="P22" s="78"/>
      <c r="Q22" s="83"/>
      <c r="R22" s="81"/>
      <c r="S22" s="82"/>
      <c r="T22" s="34"/>
      <c r="U22" s="36"/>
      <c r="V22" s="57"/>
      <c r="W22" s="57"/>
      <c r="X22" s="36"/>
      <c r="Y22" s="116"/>
      <c r="Z22" s="98"/>
      <c r="AA22" s="61"/>
      <c r="AB22" s="104"/>
      <c r="AC22" s="104"/>
      <c r="AD22" s="104"/>
      <c r="AE22" s="64"/>
      <c r="AF22" s="53"/>
      <c r="AG22" s="45"/>
      <c r="AH22" s="2"/>
      <c r="AI22" s="2"/>
      <c r="AJ22" s="34"/>
      <c r="AK22" s="34"/>
      <c r="AL22" s="34"/>
      <c r="AM22" s="34"/>
      <c r="AN22" s="34"/>
      <c r="AO22" s="34"/>
      <c r="AP22" s="34"/>
      <c r="AQ22" s="34"/>
      <c r="AR22" s="34"/>
      <c r="AS22" s="34"/>
      <c r="AT22" s="34"/>
      <c r="AU22" s="34"/>
      <c r="AV22" s="34"/>
      <c r="AW22" s="34"/>
      <c r="AX22" s="34"/>
      <c r="AY22" s="34"/>
      <c r="AZ22" s="34"/>
      <c r="BA22" s="34"/>
      <c r="BB22" s="34"/>
      <c r="BC22" s="34"/>
      <c r="BD22" s="34"/>
      <c r="BE22" s="34"/>
      <c r="BF22" s="34"/>
      <c r="BG22" s="34"/>
      <c r="BH22" s="34"/>
      <c r="BI22" s="34"/>
      <c r="BJ22" s="34"/>
      <c r="BK22" s="34"/>
      <c r="BL22" s="34"/>
      <c r="BM22" s="34"/>
      <c r="BN22" s="34"/>
      <c r="BO22" s="34"/>
      <c r="BP22" s="34"/>
      <c r="BQ22" s="34"/>
      <c r="BR22" s="34"/>
      <c r="BS22" s="34"/>
      <c r="BT22" s="34"/>
      <c r="BU22" s="34"/>
      <c r="BV22" s="34"/>
      <c r="BW22" s="34"/>
      <c r="BX22" s="34"/>
      <c r="BY22" s="34"/>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c r="DC22" s="34"/>
      <c r="DD22" s="34"/>
      <c r="DE22" s="34"/>
      <c r="DF22" s="34"/>
      <c r="DG22" s="34"/>
      <c r="DH22" s="34"/>
      <c r="DI22" s="34"/>
      <c r="DJ22" s="34"/>
      <c r="DK22" s="34"/>
      <c r="DL22" s="34"/>
      <c r="DM22" s="34"/>
      <c r="DN22" s="34"/>
      <c r="DO22" s="34"/>
      <c r="DP22" s="34"/>
      <c r="DQ22" s="34"/>
      <c r="DR22" s="34"/>
      <c r="DS22" s="34"/>
      <c r="DT22" s="34"/>
      <c r="DU22" s="34"/>
      <c r="DV22" s="34"/>
      <c r="DW22" s="34"/>
      <c r="DX22" s="34"/>
      <c r="DY22" s="34"/>
      <c r="DZ22" s="34"/>
      <c r="EA22" s="34"/>
      <c r="EB22" s="34"/>
      <c r="EC22" s="34"/>
      <c r="ED22" s="34"/>
      <c r="EE22" s="34"/>
      <c r="EF22" s="34"/>
      <c r="EG22" s="34"/>
      <c r="EH22" s="34"/>
      <c r="EI22" s="34"/>
      <c r="EJ22" s="34"/>
      <c r="EK22" s="34"/>
      <c r="EL22" s="34"/>
      <c r="EM22" s="34"/>
      <c r="EN22" s="34"/>
      <c r="EO22" s="34"/>
      <c r="EP22" s="34"/>
      <c r="EQ22" s="34"/>
      <c r="ER22" s="34"/>
      <c r="ES22" s="34"/>
      <c r="ET22" s="34"/>
      <c r="EU22" s="34"/>
      <c r="EV22" s="34"/>
      <c r="EW22" s="34"/>
      <c r="EX22" s="34"/>
      <c r="EY22" s="34"/>
      <c r="EZ22" s="34"/>
      <c r="FA22" s="34"/>
      <c r="FB22" s="34"/>
      <c r="FC22" s="34"/>
      <c r="FD22" s="34"/>
      <c r="FE22" s="34"/>
      <c r="FF22" s="34"/>
      <c r="FG22" s="34"/>
      <c r="FH22" s="34"/>
      <c r="FI22" s="34"/>
      <c r="FJ22" s="34"/>
      <c r="FK22" s="34"/>
      <c r="FL22" s="34"/>
      <c r="FM22" s="34"/>
      <c r="FN22" s="34"/>
      <c r="FO22" s="34"/>
      <c r="FP22" s="34"/>
      <c r="FQ22" s="34"/>
      <c r="FR22" s="34"/>
      <c r="FS22" s="34"/>
      <c r="FT22" s="34"/>
      <c r="FU22" s="34"/>
      <c r="FV22" s="34"/>
      <c r="FW22" s="34"/>
      <c r="FX22" s="34"/>
      <c r="FY22" s="34"/>
      <c r="FZ22" s="34"/>
      <c r="GA22" s="34"/>
      <c r="GB22" s="34"/>
      <c r="GC22" s="34"/>
      <c r="GD22" s="34"/>
      <c r="GE22" s="34"/>
      <c r="GF22" s="34"/>
      <c r="GG22" s="34"/>
      <c r="GH22" s="34"/>
      <c r="GI22" s="34"/>
      <c r="GJ22" s="34"/>
      <c r="GK22" s="34"/>
      <c r="GL22" s="34"/>
      <c r="GM22" s="34"/>
      <c r="GN22" s="34"/>
      <c r="GO22" s="34"/>
      <c r="GP22" s="34"/>
      <c r="GQ22" s="34"/>
      <c r="GR22" s="34"/>
      <c r="GS22" s="34"/>
      <c r="GT22" s="34"/>
      <c r="GU22" s="34"/>
      <c r="GV22" s="34"/>
      <c r="GW22" s="34"/>
      <c r="GX22" s="34"/>
      <c r="GY22" s="34"/>
      <c r="GZ22" s="34"/>
      <c r="HA22" s="34"/>
      <c r="HB22" s="34"/>
      <c r="HC22" s="34"/>
      <c r="HD22" s="34"/>
      <c r="HE22" s="34"/>
      <c r="HF22" s="34"/>
      <c r="HG22" s="34"/>
      <c r="HH22" s="34"/>
      <c r="HI22" s="34"/>
      <c r="HJ22" s="34"/>
      <c r="HK22" s="34"/>
      <c r="HL22" s="34"/>
      <c r="HM22" s="34"/>
      <c r="HN22" s="34"/>
      <c r="HO22" s="34"/>
      <c r="HP22" s="34"/>
      <c r="HQ22" s="34"/>
      <c r="HR22" s="34"/>
      <c r="HS22" s="34"/>
      <c r="HT22" s="34"/>
      <c r="HU22" s="34"/>
      <c r="HV22" s="34"/>
      <c r="HW22" s="34"/>
      <c r="HX22" s="34"/>
      <c r="HY22" s="34"/>
      <c r="HZ22" s="34"/>
      <c r="IA22" s="34"/>
      <c r="IB22" s="34"/>
      <c r="IC22" s="34"/>
      <c r="ID22" s="34"/>
      <c r="IE22" s="34"/>
      <c r="IF22" s="34"/>
      <c r="IG22" s="34"/>
      <c r="IH22" s="34"/>
      <c r="II22" s="34"/>
      <c r="IJ22" s="34"/>
      <c r="IK22" s="34"/>
      <c r="IL22" s="34"/>
      <c r="IM22" s="34"/>
      <c r="IN22" s="34"/>
      <c r="IO22" s="34"/>
      <c r="IP22" s="34"/>
      <c r="IQ22" s="34"/>
      <c r="IR22" s="34"/>
      <c r="IS22" s="34"/>
      <c r="IT22" s="34"/>
      <c r="IU22" s="34"/>
      <c r="IV22" s="34"/>
      <c r="IW22" s="34"/>
      <c r="IX22" s="34"/>
      <c r="IY22" s="34"/>
      <c r="IZ22" s="34"/>
      <c r="JA22" s="34"/>
      <c r="JB22" s="34"/>
      <c r="JC22" s="34"/>
      <c r="JD22" s="34"/>
      <c r="JE22" s="34"/>
      <c r="JF22" s="34"/>
      <c r="JG22" s="34"/>
      <c r="JH22" s="34"/>
      <c r="JI22" s="34"/>
      <c r="JJ22" s="34"/>
      <c r="JK22" s="34"/>
      <c r="JL22" s="34"/>
      <c r="JM22" s="34"/>
      <c r="JN22" s="34"/>
      <c r="JO22" s="34"/>
      <c r="JP22" s="34"/>
      <c r="JQ22" s="34"/>
      <c r="JR22" s="34"/>
      <c r="JS22" s="34"/>
      <c r="JT22" s="34"/>
      <c r="JU22" s="34"/>
      <c r="JV22" s="34"/>
      <c r="JW22" s="34"/>
      <c r="JX22" s="34"/>
      <c r="JY22" s="34"/>
      <c r="JZ22" s="34"/>
      <c r="KA22" s="34"/>
      <c r="KB22" s="34"/>
      <c r="KC22" s="34"/>
      <c r="KD22" s="34"/>
      <c r="KE22" s="34"/>
      <c r="KF22" s="34"/>
      <c r="KG22" s="34"/>
      <c r="KH22" s="34"/>
      <c r="KI22" s="34"/>
      <c r="KJ22" s="34"/>
      <c r="KK22" s="34"/>
      <c r="KL22" s="34"/>
      <c r="KM22" s="34"/>
      <c r="KN22" s="34"/>
      <c r="KO22" s="34"/>
      <c r="KP22" s="34"/>
      <c r="KQ22" s="34"/>
      <c r="KR22" s="34"/>
      <c r="KS22" s="34"/>
      <c r="KT22" s="34"/>
      <c r="KU22" s="34"/>
      <c r="KV22" s="34"/>
      <c r="KW22" s="34"/>
      <c r="KX22" s="34"/>
      <c r="KY22" s="34"/>
      <c r="KZ22" s="34"/>
      <c r="LA22" s="34"/>
      <c r="LB22" s="34"/>
      <c r="LC22" s="34"/>
      <c r="LD22" s="34"/>
      <c r="LE22" s="34"/>
      <c r="LF22" s="34"/>
      <c r="LG22" s="34"/>
      <c r="LH22" s="34"/>
      <c r="LI22" s="34"/>
      <c r="LJ22" s="34"/>
      <c r="LK22" s="34"/>
      <c r="LL22" s="34"/>
      <c r="LM22" s="34"/>
      <c r="LN22" s="34"/>
      <c r="LO22" s="34"/>
      <c r="LP22" s="34"/>
      <c r="LQ22" s="34"/>
      <c r="LR22" s="34"/>
      <c r="LS22" s="34"/>
      <c r="LT22" s="34"/>
      <c r="LU22" s="34"/>
      <c r="LV22" s="34"/>
      <c r="LW22" s="34"/>
      <c r="LX22" s="34"/>
      <c r="LY22" s="34"/>
      <c r="LZ22" s="34"/>
      <c r="MA22" s="34"/>
      <c r="MB22" s="34"/>
      <c r="MC22" s="34"/>
      <c r="MD22" s="34"/>
      <c r="ME22" s="34"/>
      <c r="MF22" s="34"/>
      <c r="MG22" s="34"/>
      <c r="MH22" s="34"/>
      <c r="MI22" s="34"/>
      <c r="MJ22" s="34"/>
      <c r="MK22" s="34"/>
      <c r="ML22" s="34"/>
      <c r="MM22" s="34"/>
      <c r="MN22" s="34"/>
      <c r="MO22" s="34"/>
      <c r="MP22" s="34"/>
      <c r="MQ22" s="34"/>
      <c r="MR22" s="34"/>
      <c r="MS22" s="34"/>
      <c r="MT22" s="34"/>
      <c r="MU22" s="34"/>
      <c r="MV22" s="34"/>
      <c r="MW22" s="34"/>
      <c r="MX22" s="34"/>
      <c r="MY22" s="34"/>
      <c r="MZ22" s="34"/>
      <c r="NA22" s="34"/>
      <c r="NB22" s="34"/>
      <c r="NC22" s="34"/>
      <c r="ND22" s="34"/>
      <c r="NE22" s="34"/>
      <c r="NF22" s="34"/>
      <c r="NG22" s="34"/>
      <c r="NH22" s="34"/>
      <c r="NI22" s="34"/>
      <c r="NJ22" s="34"/>
      <c r="NK22" s="34"/>
      <c r="NL22" s="34"/>
      <c r="NM22" s="34"/>
      <c r="NN22" s="34"/>
      <c r="NO22" s="34"/>
      <c r="NP22" s="34"/>
      <c r="NQ22" s="34"/>
      <c r="NR22" s="34"/>
      <c r="NS22" s="34"/>
      <c r="NT22" s="34"/>
      <c r="NU22" s="34"/>
      <c r="NV22" s="34"/>
      <c r="NW22" s="34"/>
      <c r="NX22" s="34"/>
      <c r="NY22" s="34"/>
      <c r="NZ22" s="34"/>
      <c r="OA22" s="34"/>
      <c r="OB22" s="34"/>
      <c r="OC22" s="34"/>
      <c r="OD22" s="34"/>
      <c r="OE22" s="34"/>
      <c r="OF22" s="34"/>
      <c r="OG22" s="34"/>
      <c r="OH22" s="34"/>
      <c r="OI22" s="34"/>
      <c r="OJ22" s="34"/>
      <c r="OK22" s="34"/>
      <c r="OL22" s="34"/>
      <c r="OM22" s="34"/>
      <c r="ON22" s="34"/>
      <c r="OO22" s="34"/>
      <c r="OP22" s="34"/>
      <c r="OQ22" s="34"/>
      <c r="OR22" s="34"/>
      <c r="OS22" s="34"/>
      <c r="OT22" s="34"/>
      <c r="OU22" s="34"/>
      <c r="OV22" s="34"/>
      <c r="OW22" s="34"/>
      <c r="OX22" s="34"/>
      <c r="OY22" s="34"/>
      <c r="OZ22" s="34"/>
      <c r="PA22" s="34"/>
      <c r="PB22" s="34"/>
      <c r="PC22" s="34"/>
      <c r="PD22" s="34"/>
      <c r="PE22" s="34"/>
      <c r="PF22" s="34"/>
      <c r="PG22" s="34"/>
      <c r="PH22" s="34"/>
      <c r="PI22" s="34"/>
      <c r="PJ22" s="34"/>
      <c r="PK22" s="34"/>
      <c r="PL22" s="34"/>
      <c r="PM22" s="34"/>
      <c r="PN22" s="34"/>
      <c r="PO22" s="34"/>
      <c r="PP22" s="34"/>
      <c r="PQ22" s="34"/>
      <c r="PR22" s="34"/>
      <c r="PS22" s="34"/>
      <c r="PT22" s="34"/>
      <c r="PU22" s="34"/>
      <c r="PV22" s="34"/>
      <c r="PW22" s="34"/>
      <c r="PX22" s="34"/>
      <c r="PY22" s="34"/>
      <c r="PZ22" s="34"/>
      <c r="QA22" s="34"/>
      <c r="QB22" s="34"/>
      <c r="QC22" s="34"/>
      <c r="QD22" s="34"/>
      <c r="QE22" s="34"/>
      <c r="QF22" s="34"/>
      <c r="QG22" s="34"/>
      <c r="QH22" s="34"/>
      <c r="QI22" s="34"/>
      <c r="QJ22" s="34"/>
      <c r="QK22" s="34"/>
      <c r="QL22" s="34"/>
      <c r="QM22" s="34"/>
      <c r="QN22" s="34"/>
      <c r="QO22" s="34"/>
      <c r="QP22" s="34"/>
      <c r="QQ22" s="34"/>
      <c r="QR22" s="34"/>
      <c r="QS22" s="34"/>
      <c r="QT22" s="34"/>
      <c r="QU22" s="34"/>
      <c r="QV22" s="34"/>
      <c r="QW22" s="34"/>
      <c r="QX22" s="34"/>
      <c r="QY22" s="34"/>
      <c r="QZ22" s="34"/>
      <c r="RA22" s="34"/>
      <c r="RB22" s="34"/>
      <c r="RC22" s="34"/>
      <c r="RD22" s="34"/>
      <c r="RE22" s="34"/>
      <c r="RF22" s="34"/>
      <c r="RG22" s="34"/>
      <c r="RH22" s="34"/>
      <c r="RI22" s="34"/>
      <c r="RJ22" s="34"/>
      <c r="RK22" s="34"/>
      <c r="RL22" s="34"/>
      <c r="RM22" s="34"/>
      <c r="RN22" s="34"/>
      <c r="RO22" s="34"/>
      <c r="RP22" s="34"/>
      <c r="RQ22" s="34"/>
      <c r="RR22" s="34"/>
      <c r="RS22" s="34"/>
      <c r="RT22" s="34"/>
      <c r="RU22" s="34"/>
      <c r="RV22" s="34"/>
      <c r="RW22" s="34"/>
      <c r="RX22" s="34"/>
      <c r="RY22" s="34"/>
      <c r="RZ22" s="34"/>
      <c r="SA22" s="34"/>
      <c r="SB22" s="34"/>
      <c r="SC22" s="34"/>
      <c r="SD22" s="34"/>
      <c r="SE22" s="34"/>
      <c r="SF22" s="34"/>
      <c r="SG22" s="34"/>
      <c r="SH22" s="34"/>
      <c r="SI22" s="34"/>
      <c r="SJ22" s="34"/>
      <c r="SK22" s="34"/>
      <c r="SL22" s="34"/>
      <c r="SM22" s="34"/>
      <c r="SN22" s="34"/>
      <c r="SO22" s="34"/>
      <c r="SP22" s="34"/>
      <c r="SQ22" s="34"/>
      <c r="SR22" s="34"/>
      <c r="SS22" s="34"/>
      <c r="ST22" s="34"/>
      <c r="SU22" s="34"/>
      <c r="SV22" s="34"/>
      <c r="SW22" s="34"/>
      <c r="SX22" s="34"/>
      <c r="SY22" s="34"/>
      <c r="SZ22" s="34"/>
      <c r="TA22" s="34"/>
      <c r="TB22" s="34"/>
      <c r="TC22" s="34"/>
      <c r="TD22" s="34"/>
      <c r="TE22" s="34"/>
      <c r="TF22" s="34"/>
      <c r="TG22" s="34"/>
      <c r="TH22" s="34"/>
      <c r="TI22" s="34"/>
      <c r="TJ22" s="34"/>
      <c r="TK22" s="34"/>
      <c r="TL22" s="34"/>
      <c r="TM22" s="34"/>
      <c r="TN22" s="34"/>
      <c r="TO22" s="34"/>
      <c r="TP22" s="34"/>
      <c r="TQ22" s="34"/>
      <c r="TR22" s="34"/>
      <c r="TS22" s="34"/>
      <c r="TT22" s="34"/>
      <c r="TU22" s="34"/>
      <c r="TV22" s="34"/>
      <c r="TW22" s="34"/>
      <c r="TX22" s="34"/>
      <c r="TY22" s="34"/>
      <c r="TZ22" s="34"/>
      <c r="UA22" s="34"/>
      <c r="UB22" s="34"/>
      <c r="UC22" s="34"/>
      <c r="UD22" s="34"/>
      <c r="UE22" s="34"/>
      <c r="UF22" s="34"/>
      <c r="UG22" s="34"/>
      <c r="UH22" s="34"/>
      <c r="UI22" s="34"/>
      <c r="UJ22" s="34"/>
      <c r="UK22" s="34"/>
      <c r="UL22" s="34"/>
      <c r="UM22" s="34"/>
      <c r="UN22" s="34"/>
      <c r="UO22" s="34"/>
      <c r="UP22" s="34"/>
      <c r="UQ22" s="34"/>
      <c r="UR22" s="34"/>
      <c r="US22" s="34"/>
      <c r="UT22" s="34"/>
      <c r="UU22" s="34"/>
      <c r="UV22" s="34"/>
      <c r="UW22" s="34"/>
      <c r="UX22" s="34"/>
      <c r="UY22" s="34"/>
      <c r="UZ22" s="34"/>
      <c r="VA22" s="34"/>
      <c r="VB22" s="34"/>
      <c r="VC22" s="34"/>
      <c r="VD22" s="34"/>
      <c r="VE22" s="34"/>
      <c r="VF22" s="34"/>
      <c r="VG22" s="34"/>
      <c r="VH22" s="34"/>
      <c r="VI22" s="34"/>
      <c r="VJ22" s="34"/>
      <c r="VK22" s="34"/>
      <c r="VL22" s="34"/>
      <c r="VM22" s="34"/>
      <c r="VN22" s="34"/>
      <c r="VO22" s="34"/>
      <c r="VP22" s="34"/>
      <c r="VQ22" s="34"/>
      <c r="VR22" s="34"/>
      <c r="VS22" s="34"/>
      <c r="VT22" s="34"/>
      <c r="VU22" s="34"/>
      <c r="VV22" s="34"/>
      <c r="VW22" s="34"/>
      <c r="VX22" s="34"/>
      <c r="VY22" s="34"/>
      <c r="VZ22" s="34"/>
      <c r="WA22" s="34"/>
      <c r="WB22" s="34"/>
      <c r="WC22" s="34"/>
      <c r="WD22" s="34"/>
      <c r="WE22" s="34"/>
      <c r="WF22" s="34"/>
      <c r="WG22" s="34"/>
      <c r="WH22" s="34"/>
      <c r="WI22" s="34"/>
      <c r="WJ22" s="34"/>
      <c r="WK22" s="34"/>
      <c r="WL22" s="34"/>
      <c r="WM22" s="34"/>
      <c r="WN22" s="34"/>
      <c r="WO22" s="34"/>
      <c r="WP22" s="34"/>
      <c r="WQ22" s="34"/>
      <c r="WR22" s="34"/>
      <c r="WS22" s="34"/>
      <c r="WT22" s="34"/>
      <c r="WU22" s="34"/>
      <c r="WV22" s="34"/>
      <c r="WW22" s="34"/>
      <c r="WX22" s="34"/>
      <c r="WY22" s="34"/>
      <c r="WZ22" s="34"/>
      <c r="XA22" s="34"/>
      <c r="XB22" s="34"/>
      <c r="XC22" s="34"/>
      <c r="XD22" s="34"/>
      <c r="XE22" s="34"/>
      <c r="XF22" s="34"/>
      <c r="XG22" s="34"/>
      <c r="XH22" s="34"/>
      <c r="XI22" s="34"/>
      <c r="XJ22" s="34"/>
      <c r="XK22" s="34"/>
      <c r="XL22" s="34"/>
      <c r="XM22" s="34"/>
      <c r="XN22" s="34"/>
      <c r="XO22" s="34"/>
      <c r="XP22" s="34"/>
      <c r="XQ22" s="34"/>
      <c r="XR22" s="34"/>
      <c r="XS22" s="34"/>
      <c r="XT22" s="34"/>
      <c r="XU22" s="34"/>
      <c r="XV22" s="34"/>
      <c r="XW22" s="34"/>
      <c r="XX22" s="34"/>
      <c r="XY22" s="34"/>
      <c r="XZ22" s="34"/>
      <c r="YA22" s="34"/>
      <c r="YB22" s="34"/>
      <c r="YC22" s="34"/>
      <c r="YD22" s="34"/>
      <c r="YE22" s="34"/>
      <c r="YF22" s="34"/>
      <c r="YG22" s="34"/>
      <c r="YH22" s="34"/>
      <c r="YI22" s="34"/>
      <c r="YJ22" s="34"/>
      <c r="YK22" s="34"/>
      <c r="YL22" s="34"/>
      <c r="YM22" s="34"/>
      <c r="YN22" s="34"/>
      <c r="YO22" s="34"/>
      <c r="YP22" s="34"/>
      <c r="YQ22" s="34"/>
      <c r="YR22" s="34"/>
      <c r="YS22" s="34"/>
      <c r="YT22" s="34"/>
      <c r="YU22" s="34"/>
      <c r="YV22" s="34"/>
      <c r="YW22" s="34"/>
      <c r="YX22" s="34"/>
      <c r="YY22" s="34"/>
      <c r="YZ22" s="34"/>
      <c r="ZA22" s="34"/>
      <c r="ZB22" s="34"/>
      <c r="ZC22" s="34"/>
      <c r="ZD22" s="34"/>
      <c r="ZE22" s="34"/>
      <c r="ZF22" s="34"/>
      <c r="ZG22" s="34"/>
      <c r="ZH22" s="34"/>
      <c r="ZI22" s="34"/>
      <c r="ZJ22" s="34"/>
      <c r="ZK22" s="34"/>
      <c r="ZL22" s="34"/>
      <c r="ZM22" s="34"/>
      <c r="ZN22" s="34"/>
      <c r="ZO22" s="34"/>
      <c r="ZP22" s="34"/>
      <c r="ZQ22" s="34"/>
      <c r="ZR22" s="34"/>
      <c r="ZS22" s="34"/>
      <c r="ZT22" s="34"/>
      <c r="ZU22" s="34"/>
      <c r="ZV22" s="34"/>
      <c r="ZW22" s="34"/>
      <c r="ZX22" s="34"/>
      <c r="ZY22" s="34"/>
      <c r="ZZ22" s="34"/>
      <c r="AAA22" s="34"/>
      <c r="AAB22" s="34"/>
      <c r="AAC22" s="34"/>
      <c r="AAD22" s="34"/>
      <c r="AAE22" s="34"/>
      <c r="AAF22" s="34"/>
      <c r="AAG22" s="34"/>
      <c r="AAH22" s="34"/>
      <c r="AAI22" s="34"/>
      <c r="AAJ22" s="34"/>
      <c r="AAK22" s="34"/>
      <c r="AAL22" s="34"/>
      <c r="AAM22" s="34"/>
      <c r="AAN22" s="34"/>
      <c r="AAO22" s="34"/>
      <c r="AAP22" s="34"/>
      <c r="AAQ22" s="34"/>
      <c r="AAR22" s="34"/>
      <c r="AAS22" s="34"/>
      <c r="AAT22" s="34"/>
      <c r="AAU22" s="34"/>
      <c r="AAV22" s="34"/>
      <c r="AAW22" s="34"/>
      <c r="AAX22" s="34"/>
      <c r="AAY22" s="34"/>
      <c r="AAZ22" s="34"/>
      <c r="ABA22" s="34"/>
      <c r="ABB22" s="34"/>
      <c r="ABC22" s="34"/>
      <c r="ABD22" s="34"/>
      <c r="ABE22" s="34"/>
      <c r="ABF22" s="34"/>
      <c r="ABG22" s="34"/>
      <c r="ABH22" s="34"/>
      <c r="ABI22" s="34"/>
      <c r="ABJ22" s="34"/>
      <c r="ABK22" s="34"/>
      <c r="ABL22" s="34"/>
      <c r="ABM22" s="34"/>
      <c r="ABN22" s="34"/>
      <c r="ABO22" s="34"/>
      <c r="ABP22" s="34"/>
      <c r="ABQ22" s="34"/>
      <c r="ABR22" s="34"/>
      <c r="ABS22" s="34"/>
      <c r="ABT22" s="34"/>
      <c r="ABU22" s="34"/>
      <c r="ABV22" s="34"/>
      <c r="ABW22" s="34"/>
      <c r="ABX22" s="34"/>
      <c r="ABY22" s="34"/>
      <c r="ABZ22" s="34"/>
      <c r="ACA22" s="34"/>
      <c r="ACB22" s="34"/>
      <c r="ACC22" s="34"/>
      <c r="ACD22" s="34"/>
      <c r="ACE22" s="34"/>
      <c r="ACF22" s="34"/>
      <c r="ACG22" s="34"/>
      <c r="ACH22" s="34"/>
      <c r="ACI22" s="34"/>
      <c r="ACJ22" s="34"/>
      <c r="ACK22" s="34"/>
      <c r="ACL22" s="34"/>
      <c r="ACM22" s="34"/>
      <c r="ACN22" s="34"/>
      <c r="ACO22" s="34"/>
      <c r="ACP22" s="34"/>
      <c r="ACQ22" s="34"/>
      <c r="ACR22" s="34"/>
      <c r="ACS22" s="34"/>
      <c r="ACT22" s="34"/>
      <c r="ACU22" s="34"/>
      <c r="ACV22" s="34"/>
      <c r="ACW22" s="34"/>
      <c r="ACX22" s="34"/>
      <c r="ACY22" s="34"/>
      <c r="ACZ22" s="34"/>
      <c r="ADA22" s="34"/>
      <c r="ADB22" s="34"/>
      <c r="ADC22" s="34"/>
      <c r="ADD22" s="34"/>
      <c r="ADE22" s="34"/>
      <c r="ADF22" s="34"/>
      <c r="ADG22" s="34"/>
      <c r="ADH22" s="34"/>
      <c r="ADI22" s="34"/>
      <c r="ADJ22" s="34"/>
      <c r="ADK22" s="34"/>
      <c r="ADL22" s="34"/>
      <c r="ADM22" s="34"/>
      <c r="ADN22" s="34"/>
      <c r="ADO22" s="34"/>
      <c r="ADP22" s="34"/>
      <c r="ADQ22" s="34"/>
      <c r="ADR22" s="34"/>
      <c r="ADS22" s="34"/>
      <c r="ADT22" s="34"/>
      <c r="ADU22" s="34"/>
      <c r="ADV22" s="34"/>
      <c r="ADW22" s="34"/>
      <c r="ADX22" s="34"/>
      <c r="ADY22" s="34"/>
      <c r="ADZ22" s="34"/>
      <c r="AEA22" s="34"/>
      <c r="AEB22" s="34"/>
      <c r="AEC22" s="34"/>
      <c r="AED22" s="34"/>
      <c r="AEE22" s="34"/>
      <c r="AEF22" s="34"/>
      <c r="AEG22" s="34"/>
      <c r="AEH22" s="34"/>
      <c r="AEI22" s="34"/>
      <c r="AEJ22" s="34"/>
      <c r="AEK22" s="34"/>
      <c r="AEL22" s="34"/>
      <c r="AEM22" s="34"/>
      <c r="AEN22" s="34"/>
      <c r="AEO22" s="34"/>
      <c r="AEP22" s="34"/>
      <c r="AEQ22" s="34"/>
      <c r="AER22" s="34"/>
      <c r="AES22" s="34"/>
      <c r="AET22" s="34"/>
      <c r="AEU22" s="34"/>
      <c r="AEV22" s="34"/>
      <c r="AEW22" s="34"/>
      <c r="AEX22" s="34"/>
      <c r="AEY22" s="34"/>
      <c r="AEZ22" s="34"/>
      <c r="AFA22" s="34"/>
      <c r="AFB22" s="34"/>
      <c r="AFC22" s="34"/>
      <c r="AFD22" s="34"/>
      <c r="AFE22" s="34"/>
      <c r="AFF22" s="34"/>
      <c r="AFG22" s="34"/>
      <c r="AFH22" s="34"/>
      <c r="AFI22" s="34"/>
      <c r="AFJ22" s="34"/>
      <c r="AFK22" s="34"/>
      <c r="AFL22" s="34"/>
      <c r="AFM22" s="34"/>
      <c r="AFN22" s="34"/>
      <c r="AFO22" s="34"/>
      <c r="AFP22" s="34"/>
      <c r="AFQ22" s="34"/>
      <c r="AFR22" s="34"/>
      <c r="AFS22" s="34"/>
      <c r="AFT22" s="34"/>
      <c r="AFU22" s="34"/>
      <c r="AFV22" s="34"/>
      <c r="AFW22" s="34"/>
      <c r="AFX22" s="34"/>
      <c r="AFY22" s="34"/>
      <c r="AFZ22" s="34"/>
      <c r="AGA22" s="34"/>
      <c r="AGB22" s="34"/>
      <c r="AGC22" s="34"/>
      <c r="AGD22" s="34"/>
      <c r="AGE22" s="34"/>
      <c r="AGF22" s="34"/>
      <c r="AGG22" s="34"/>
      <c r="AGH22" s="34"/>
      <c r="AGI22" s="34"/>
      <c r="AGJ22" s="34"/>
      <c r="AGK22" s="34"/>
      <c r="AGL22" s="34"/>
      <c r="AGM22" s="34"/>
      <c r="AGN22" s="34"/>
      <c r="AGO22" s="34"/>
      <c r="AGP22" s="34"/>
      <c r="AGQ22" s="34"/>
      <c r="AGR22" s="34"/>
      <c r="AGS22" s="34"/>
      <c r="AGT22" s="34"/>
      <c r="AGU22" s="34"/>
      <c r="AGV22" s="34"/>
      <c r="AGW22" s="34"/>
      <c r="AGX22" s="34"/>
      <c r="AGY22" s="34"/>
      <c r="AGZ22" s="34"/>
      <c r="AHA22" s="34"/>
      <c r="AHB22" s="34"/>
      <c r="AHC22" s="34"/>
      <c r="AHD22" s="34"/>
      <c r="AHE22" s="34"/>
      <c r="AHF22" s="34"/>
      <c r="AHG22" s="34"/>
      <c r="AHH22" s="34"/>
      <c r="AHI22" s="34"/>
      <c r="AHJ22" s="34"/>
      <c r="AHK22" s="34"/>
      <c r="AHL22" s="34"/>
      <c r="AHM22" s="34"/>
      <c r="AHN22" s="34"/>
      <c r="AHO22" s="34"/>
      <c r="AHP22" s="34"/>
      <c r="AHQ22" s="34"/>
      <c r="AHR22" s="34"/>
      <c r="AHS22" s="34"/>
      <c r="AHT22" s="34"/>
      <c r="AHU22" s="34"/>
      <c r="AHV22" s="34"/>
      <c r="AHW22" s="34"/>
      <c r="AHX22" s="34"/>
      <c r="AHY22" s="34"/>
      <c r="AHZ22" s="34"/>
      <c r="AIA22" s="34"/>
      <c r="AIB22" s="34"/>
      <c r="AIC22" s="34"/>
      <c r="AID22" s="34"/>
      <c r="AIE22" s="34"/>
      <c r="AIF22" s="34"/>
      <c r="AIG22" s="34"/>
      <c r="AIH22" s="34"/>
      <c r="AII22" s="34"/>
      <c r="AIJ22" s="34"/>
      <c r="AIK22" s="34"/>
      <c r="AIL22" s="34"/>
      <c r="AIM22" s="34"/>
      <c r="AIN22" s="34"/>
      <c r="AIO22" s="34"/>
      <c r="AIP22" s="34"/>
      <c r="AIQ22" s="34"/>
      <c r="AIR22" s="34"/>
      <c r="AIS22" s="34"/>
      <c r="AIT22" s="34"/>
      <c r="AIU22" s="34"/>
      <c r="AIV22" s="34"/>
      <c r="AIW22" s="34"/>
      <c r="AIX22" s="34"/>
      <c r="AIY22" s="34"/>
      <c r="AIZ22" s="34"/>
      <c r="AJA22" s="34"/>
      <c r="AJB22" s="34"/>
      <c r="AJC22" s="34"/>
      <c r="AJD22" s="34"/>
      <c r="AJE22" s="34"/>
      <c r="AJF22" s="34"/>
      <c r="AJG22" s="34"/>
      <c r="AJH22" s="34"/>
      <c r="AJI22" s="34"/>
      <c r="AJJ22" s="34"/>
      <c r="AJK22" s="34"/>
      <c r="AJL22" s="34"/>
      <c r="AJM22" s="34"/>
      <c r="AJN22" s="34"/>
      <c r="AJO22" s="34"/>
      <c r="AJP22" s="34"/>
      <c r="AJQ22" s="34"/>
      <c r="AJR22" s="34"/>
      <c r="AJS22" s="34"/>
      <c r="AJT22" s="34"/>
      <c r="AJU22" s="34"/>
      <c r="AJV22" s="34"/>
      <c r="AJW22" s="34"/>
      <c r="AJX22" s="34"/>
      <c r="AJY22" s="34"/>
      <c r="AJZ22" s="34"/>
      <c r="AKA22" s="34"/>
      <c r="AKB22" s="34"/>
      <c r="AKC22" s="34"/>
      <c r="AKD22" s="34"/>
      <c r="AKE22" s="34"/>
      <c r="AKF22" s="34"/>
      <c r="AKG22" s="34"/>
      <c r="AKH22" s="34"/>
      <c r="AKI22" s="34"/>
      <c r="AKJ22" s="34"/>
      <c r="AKK22" s="34"/>
      <c r="AKL22" s="34"/>
      <c r="AKM22" s="34"/>
      <c r="AKN22" s="34"/>
      <c r="AKO22" s="34"/>
      <c r="AKP22" s="34"/>
      <c r="AKQ22" s="34"/>
      <c r="AKR22" s="34"/>
      <c r="AKS22" s="34"/>
      <c r="AKT22" s="34"/>
      <c r="AKU22" s="34"/>
      <c r="AKV22" s="34"/>
      <c r="AKW22" s="34"/>
      <c r="AKX22" s="34"/>
      <c r="AKY22" s="34"/>
      <c r="AKZ22" s="34"/>
      <c r="ALA22" s="34"/>
      <c r="ALB22" s="34"/>
      <c r="ALC22" s="34"/>
      <c r="ALD22" s="34"/>
      <c r="ALE22" s="34"/>
      <c r="ALF22" s="34"/>
      <c r="ALG22" s="33"/>
      <c r="ALH22" s="33"/>
      <c r="ALI22" s="33"/>
      <c r="ALJ22" s="33"/>
      <c r="ALK22" s="33"/>
      <c r="ALL22" s="33"/>
      <c r="ALM22" s="33"/>
      <c r="ALN22" s="33"/>
      <c r="ALO22" s="33"/>
      <c r="ALP22" s="33"/>
      <c r="ALQ22" s="33"/>
      <c r="ALR22" s="33"/>
      <c r="ALS22" s="33"/>
      <c r="ALT22" s="33"/>
      <c r="ALU22" s="33"/>
      <c r="ALV22" s="33"/>
      <c r="ALW22" s="33"/>
      <c r="ALX22" s="33"/>
      <c r="ALY22" s="33"/>
      <c r="ALZ22" s="33"/>
      <c r="AMA22" s="33"/>
      <c r="AMB22" s="33"/>
      <c r="AMC22" s="33"/>
      <c r="AMD22" s="33"/>
      <c r="AME22" s="33"/>
      <c r="AMF22" s="33"/>
      <c r="AMG22" s="33"/>
      <c r="AMH22" s="33"/>
      <c r="AMI22" s="33"/>
      <c r="AMJ22" s="33"/>
      <c r="AMK22" s="33"/>
      <c r="AML22" s="33"/>
      <c r="AMM22" s="33"/>
      <c r="AMN22" s="33"/>
      <c r="AMO22" s="33"/>
      <c r="AMP22" s="33"/>
      <c r="AMQ22" s="33"/>
      <c r="AMR22" s="33"/>
      <c r="AMS22" s="33"/>
      <c r="AMT22" s="33"/>
      <c r="AMU22" s="33"/>
      <c r="AMV22" s="33"/>
      <c r="AMW22" s="33"/>
      <c r="AMX22" s="33"/>
      <c r="AMY22" s="33"/>
      <c r="AMZ22" s="33"/>
      <c r="ANA22" s="33"/>
      <c r="ANB22" s="33"/>
      <c r="ANC22" s="33"/>
      <c r="AND22" s="33"/>
      <c r="ANE22" s="33"/>
      <c r="ANF22" s="33"/>
      <c r="ANG22" s="33"/>
      <c r="ANH22" s="33"/>
      <c r="ANI22" s="33"/>
      <c r="ANJ22" s="33"/>
      <c r="ANK22" s="33"/>
      <c r="ANL22" s="33"/>
      <c r="ANM22" s="33"/>
      <c r="ANN22" s="33"/>
      <c r="ANO22" s="33"/>
      <c r="ANP22" s="33"/>
      <c r="ANQ22" s="33"/>
      <c r="ANR22" s="33"/>
      <c r="ANS22" s="33"/>
      <c r="ANT22" s="33"/>
      <c r="ANU22" s="33"/>
      <c r="ANV22" s="33"/>
      <c r="ANW22" s="33"/>
      <c r="ANX22" s="33"/>
      <c r="ANY22" s="33"/>
      <c r="ANZ22" s="33"/>
      <c r="AOA22" s="33"/>
      <c r="AOB22" s="33"/>
      <c r="AOC22" s="33"/>
      <c r="AOD22" s="33"/>
      <c r="AOE22" s="33"/>
      <c r="AOF22" s="33"/>
      <c r="AOG22" s="33"/>
      <c r="AOH22" s="33"/>
      <c r="AOI22" s="33"/>
      <c r="AOJ22" s="33"/>
      <c r="AOK22" s="33"/>
      <c r="AOL22" s="33"/>
      <c r="AOM22" s="33"/>
      <c r="AON22" s="33"/>
      <c r="AOO22" s="33"/>
      <c r="AOP22" s="33"/>
      <c r="AOQ22" s="33"/>
      <c r="AOR22" s="33"/>
      <c r="AOS22" s="33"/>
      <c r="AOT22" s="33"/>
      <c r="AOU22" s="33"/>
      <c r="AOV22" s="33"/>
      <c r="AOW22" s="33"/>
      <c r="AOX22" s="33"/>
      <c r="AOY22" s="33"/>
      <c r="AOZ22" s="33"/>
      <c r="APA22" s="33"/>
      <c r="APB22" s="33"/>
      <c r="APC22" s="33"/>
      <c r="APD22" s="33"/>
      <c r="APE22" s="33"/>
      <c r="APF22" s="33"/>
      <c r="APG22" s="33"/>
      <c r="APH22" s="33"/>
      <c r="API22" s="33"/>
      <c r="APJ22" s="33"/>
      <c r="APK22" s="33"/>
      <c r="APL22" s="33"/>
      <c r="APM22" s="33"/>
      <c r="APN22" s="33"/>
      <c r="APO22" s="33"/>
      <c r="APP22" s="33"/>
      <c r="APQ22" s="33"/>
      <c r="APR22" s="33"/>
      <c r="APS22" s="33"/>
      <c r="APT22" s="33"/>
      <c r="APU22" s="33"/>
      <c r="APV22" s="33"/>
      <c r="APW22" s="33"/>
      <c r="APX22" s="33"/>
      <c r="APY22" s="33"/>
      <c r="APZ22" s="33"/>
      <c r="AQA22" s="33"/>
      <c r="AQB22" s="33"/>
      <c r="AQC22" s="33"/>
      <c r="AQD22" s="33"/>
      <c r="AQE22" s="33"/>
      <c r="AQF22" s="33"/>
      <c r="AQG22" s="33"/>
      <c r="AQH22" s="33"/>
      <c r="AQI22" s="33"/>
      <c r="AQJ22" s="33"/>
      <c r="AQK22" s="33"/>
      <c r="AQL22" s="33"/>
      <c r="AQM22" s="33"/>
      <c r="AQN22" s="33"/>
      <c r="AQO22" s="33"/>
      <c r="AQP22" s="33"/>
      <c r="AQQ22" s="33"/>
      <c r="AQR22" s="33"/>
      <c r="AQS22" s="33"/>
      <c r="AQT22" s="33"/>
      <c r="AQU22" s="33"/>
      <c r="AQV22" s="33"/>
      <c r="AQW22" s="33"/>
      <c r="AQX22" s="33"/>
      <c r="AQY22" s="33"/>
      <c r="AQZ22" s="33"/>
      <c r="ARA22" s="33"/>
      <c r="ARB22" s="33"/>
      <c r="ARC22" s="33"/>
      <c r="ARD22" s="33"/>
      <c r="ARE22" s="33"/>
      <c r="ARF22" s="33"/>
      <c r="ARG22" s="33"/>
      <c r="ARH22" s="33"/>
      <c r="ARI22" s="33"/>
      <c r="ARJ22" s="33"/>
      <c r="ARK22" s="33"/>
      <c r="ARL22" s="33"/>
      <c r="ARM22" s="33"/>
      <c r="ARN22" s="33"/>
      <c r="ARO22" s="33"/>
      <c r="ARP22" s="33"/>
      <c r="ARQ22" s="33"/>
      <c r="ARR22" s="33"/>
      <c r="ARS22" s="33"/>
      <c r="ART22" s="33"/>
      <c r="ARU22" s="33"/>
      <c r="ARV22" s="33"/>
      <c r="ARW22" s="33"/>
      <c r="ARX22" s="33"/>
      <c r="ARY22" s="33"/>
      <c r="ARZ22" s="33"/>
      <c r="ASA22" s="33"/>
      <c r="ASB22" s="33"/>
      <c r="ASC22" s="33"/>
      <c r="ASD22" s="33"/>
      <c r="ASE22" s="33"/>
      <c r="ASF22" s="33"/>
      <c r="ASG22" s="33"/>
      <c r="ASH22" s="33"/>
      <c r="ASI22" s="33"/>
      <c r="ASJ22" s="33"/>
      <c r="ASK22" s="33"/>
      <c r="ASL22" s="33"/>
      <c r="ASM22" s="33"/>
      <c r="ASN22" s="33"/>
      <c r="ASO22" s="33"/>
      <c r="ASP22" s="33"/>
      <c r="ASQ22" s="33"/>
      <c r="ASR22" s="33"/>
      <c r="ASS22" s="33"/>
      <c r="AST22" s="33"/>
      <c r="ASU22" s="33"/>
      <c r="ASV22" s="33"/>
      <c r="ASW22" s="33"/>
      <c r="ASX22" s="33"/>
      <c r="ASY22" s="33"/>
      <c r="ASZ22" s="33"/>
      <c r="ATA22" s="33"/>
      <c r="ATB22" s="33"/>
      <c r="ATC22" s="33"/>
      <c r="ATD22" s="33"/>
      <c r="ATE22" s="33"/>
      <c r="ATF22" s="33"/>
      <c r="ATG22" s="33"/>
      <c r="ATH22" s="33"/>
      <c r="ATI22" s="33"/>
      <c r="ATJ22" s="33"/>
      <c r="ATK22" s="33"/>
      <c r="ATL22" s="33"/>
      <c r="ATM22" s="33"/>
      <c r="ATN22" s="33"/>
      <c r="ATO22" s="33"/>
      <c r="ATP22" s="33"/>
      <c r="ATQ22" s="33"/>
      <c r="ATR22" s="33"/>
      <c r="ATS22" s="33"/>
      <c r="ATT22" s="33"/>
      <c r="ATU22" s="33"/>
      <c r="ATV22" s="33"/>
      <c r="ATW22" s="33"/>
      <c r="ATX22" s="33"/>
      <c r="ATY22" s="33"/>
      <c r="ATZ22" s="33"/>
      <c r="AUA22" s="33"/>
      <c r="AUB22" s="33"/>
      <c r="AUC22" s="33"/>
      <c r="AUD22" s="33"/>
      <c r="AUE22" s="33"/>
      <c r="AUF22" s="33"/>
      <c r="AUG22" s="33"/>
      <c r="AUH22" s="33"/>
      <c r="AUI22" s="33"/>
      <c r="AUJ22" s="33"/>
      <c r="AUK22" s="33"/>
      <c r="AUL22" s="33"/>
      <c r="AUM22" s="33"/>
      <c r="AUN22" s="33"/>
      <c r="AUO22" s="33"/>
      <c r="AUP22" s="33"/>
      <c r="AUQ22" s="33"/>
      <c r="AUR22" s="33"/>
      <c r="AUS22" s="33"/>
      <c r="AUT22" s="33"/>
      <c r="AUU22" s="33"/>
      <c r="AUV22" s="33"/>
      <c r="AUW22" s="33"/>
      <c r="AUX22" s="33"/>
      <c r="AUY22" s="33"/>
      <c r="AUZ22" s="33"/>
      <c r="AVA22" s="33"/>
      <c r="AVB22" s="33"/>
    </row>
    <row r="23" spans="1:1250" ht="18.75" customHeight="1">
      <c r="A23" s="67"/>
      <c r="B23" s="68"/>
      <c r="C23" s="69"/>
      <c r="D23" s="70"/>
      <c r="E23" s="71"/>
      <c r="F23" s="69"/>
      <c r="G23" s="72"/>
      <c r="H23" s="73"/>
      <c r="I23" s="74"/>
      <c r="J23" s="1"/>
      <c r="K23" s="76"/>
      <c r="L23" s="33"/>
      <c r="M23" s="43"/>
      <c r="N23" s="44"/>
      <c r="O23" s="43"/>
      <c r="P23" s="78"/>
      <c r="Q23" s="83"/>
      <c r="R23" s="81"/>
      <c r="S23" s="82"/>
      <c r="T23" s="34"/>
      <c r="U23" s="36"/>
      <c r="V23" s="57"/>
      <c r="W23" s="57"/>
      <c r="X23" s="36"/>
      <c r="Y23" s="116"/>
      <c r="Z23" s="98"/>
      <c r="AA23" s="61"/>
      <c r="AB23" s="104"/>
      <c r="AC23" s="104"/>
      <c r="AD23" s="104"/>
      <c r="AE23" s="64"/>
      <c r="AF23" s="53"/>
      <c r="AG23" s="45"/>
      <c r="AH23" s="2"/>
      <c r="AI23" s="2"/>
      <c r="AJ23" s="34"/>
      <c r="AK23" s="34"/>
      <c r="AL23" s="34"/>
      <c r="AM23" s="34"/>
      <c r="AN23" s="34"/>
      <c r="AO23" s="34"/>
      <c r="AP23" s="34"/>
      <c r="AQ23" s="34"/>
      <c r="AR23" s="34"/>
      <c r="AS23" s="34"/>
      <c r="AT23" s="34"/>
      <c r="AU23" s="34"/>
      <c r="AV23" s="34"/>
      <c r="AW23" s="34"/>
      <c r="AX23" s="34"/>
      <c r="AY23" s="34"/>
      <c r="AZ23" s="34"/>
      <c r="BA23" s="34"/>
      <c r="BB23" s="34"/>
      <c r="BC23" s="34"/>
      <c r="BD23" s="34"/>
      <c r="BE23" s="34"/>
      <c r="BF23" s="34"/>
      <c r="BG23" s="34"/>
      <c r="BH23" s="34"/>
      <c r="BI23" s="34"/>
      <c r="BJ23" s="34"/>
      <c r="BK23" s="34"/>
      <c r="BL23" s="34"/>
      <c r="BM23" s="34"/>
      <c r="BN23" s="34"/>
      <c r="BO23" s="34"/>
      <c r="BP23" s="34"/>
      <c r="BQ23" s="34"/>
      <c r="BR23" s="34"/>
      <c r="BS23" s="34"/>
      <c r="BT23" s="34"/>
      <c r="BU23" s="34"/>
      <c r="BV23" s="34"/>
      <c r="BW23" s="34"/>
      <c r="BX23" s="34"/>
      <c r="BY23" s="34"/>
      <c r="BZ23" s="34"/>
      <c r="CA23" s="34"/>
      <c r="CB23" s="34"/>
      <c r="CC23" s="34"/>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c r="DC23" s="34"/>
      <c r="DD23" s="34"/>
      <c r="DE23" s="34"/>
      <c r="DF23" s="34"/>
      <c r="DG23" s="34"/>
      <c r="DH23" s="34"/>
      <c r="DI23" s="34"/>
      <c r="DJ23" s="34"/>
      <c r="DK23" s="34"/>
      <c r="DL23" s="34"/>
      <c r="DM23" s="34"/>
      <c r="DN23" s="34"/>
      <c r="DO23" s="34"/>
      <c r="DP23" s="34"/>
      <c r="DQ23" s="34"/>
      <c r="DR23" s="34"/>
      <c r="DS23" s="34"/>
      <c r="DT23" s="34"/>
      <c r="DU23" s="34"/>
      <c r="DV23" s="34"/>
      <c r="DW23" s="34"/>
      <c r="DX23" s="34"/>
      <c r="DY23" s="34"/>
      <c r="DZ23" s="34"/>
      <c r="EA23" s="34"/>
      <c r="EB23" s="34"/>
      <c r="EC23" s="34"/>
      <c r="ED23" s="34"/>
      <c r="EE23" s="34"/>
      <c r="EF23" s="34"/>
      <c r="EG23" s="34"/>
      <c r="EH23" s="34"/>
      <c r="EI23" s="34"/>
      <c r="EJ23" s="34"/>
      <c r="EK23" s="34"/>
      <c r="EL23" s="34"/>
      <c r="EM23" s="34"/>
      <c r="EN23" s="34"/>
      <c r="EO23" s="34"/>
      <c r="EP23" s="34"/>
      <c r="EQ23" s="34"/>
      <c r="ER23" s="34"/>
      <c r="ES23" s="34"/>
      <c r="ET23" s="34"/>
      <c r="EU23" s="34"/>
      <c r="EV23" s="34"/>
      <c r="EW23" s="34"/>
      <c r="EX23" s="34"/>
      <c r="EY23" s="34"/>
      <c r="EZ23" s="34"/>
      <c r="FA23" s="34"/>
      <c r="FB23" s="34"/>
      <c r="FC23" s="34"/>
      <c r="FD23" s="34"/>
      <c r="FE23" s="34"/>
      <c r="FF23" s="34"/>
      <c r="FG23" s="34"/>
      <c r="FH23" s="34"/>
      <c r="FI23" s="34"/>
      <c r="FJ23" s="34"/>
      <c r="FK23" s="34"/>
      <c r="FL23" s="34"/>
      <c r="FM23" s="34"/>
      <c r="FN23" s="34"/>
      <c r="FO23" s="34"/>
      <c r="FP23" s="34"/>
      <c r="FQ23" s="34"/>
      <c r="FR23" s="34"/>
      <c r="FS23" s="34"/>
      <c r="FT23" s="34"/>
      <c r="FU23" s="34"/>
      <c r="FV23" s="34"/>
      <c r="FW23" s="34"/>
      <c r="FX23" s="34"/>
      <c r="FY23" s="34"/>
      <c r="FZ23" s="34"/>
      <c r="GA23" s="34"/>
      <c r="GB23" s="34"/>
      <c r="GC23" s="34"/>
      <c r="GD23" s="34"/>
      <c r="GE23" s="34"/>
      <c r="GF23" s="34"/>
      <c r="GG23" s="34"/>
      <c r="GH23" s="34"/>
      <c r="GI23" s="34"/>
      <c r="GJ23" s="34"/>
      <c r="GK23" s="34"/>
      <c r="GL23" s="34"/>
      <c r="GM23" s="34"/>
      <c r="GN23" s="34"/>
      <c r="GO23" s="34"/>
      <c r="GP23" s="34"/>
      <c r="GQ23" s="34"/>
      <c r="GR23" s="34"/>
      <c r="GS23" s="34"/>
      <c r="GT23" s="34"/>
      <c r="GU23" s="34"/>
      <c r="GV23" s="34"/>
      <c r="GW23" s="34"/>
      <c r="GX23" s="34"/>
      <c r="GY23" s="34"/>
      <c r="GZ23" s="34"/>
      <c r="HA23" s="34"/>
      <c r="HB23" s="34"/>
      <c r="HC23" s="34"/>
      <c r="HD23" s="34"/>
      <c r="HE23" s="34"/>
      <c r="HF23" s="34"/>
      <c r="HG23" s="34"/>
      <c r="HH23" s="34"/>
      <c r="HI23" s="34"/>
      <c r="HJ23" s="34"/>
      <c r="HK23" s="34"/>
      <c r="HL23" s="34"/>
      <c r="HM23" s="34"/>
      <c r="HN23" s="34"/>
      <c r="HO23" s="34"/>
      <c r="HP23" s="34"/>
      <c r="HQ23" s="34"/>
      <c r="HR23" s="34"/>
      <c r="HS23" s="34"/>
      <c r="HT23" s="34"/>
      <c r="HU23" s="34"/>
      <c r="HV23" s="34"/>
      <c r="HW23" s="34"/>
      <c r="HX23" s="34"/>
      <c r="HY23" s="34"/>
      <c r="HZ23" s="34"/>
      <c r="IA23" s="34"/>
      <c r="IB23" s="34"/>
      <c r="IC23" s="34"/>
      <c r="ID23" s="34"/>
      <c r="IE23" s="34"/>
      <c r="IF23" s="34"/>
      <c r="IG23" s="34"/>
      <c r="IH23" s="34"/>
      <c r="II23" s="34"/>
      <c r="IJ23" s="34"/>
      <c r="IK23" s="34"/>
      <c r="IL23" s="34"/>
      <c r="IM23" s="34"/>
      <c r="IN23" s="34"/>
      <c r="IO23" s="34"/>
      <c r="IP23" s="34"/>
      <c r="IQ23" s="34"/>
      <c r="IR23" s="34"/>
      <c r="IS23" s="34"/>
      <c r="IT23" s="34"/>
      <c r="IU23" s="34"/>
      <c r="IV23" s="34"/>
      <c r="IW23" s="34"/>
      <c r="IX23" s="34"/>
      <c r="IY23" s="34"/>
      <c r="IZ23" s="34"/>
      <c r="JA23" s="34"/>
      <c r="JB23" s="34"/>
      <c r="JC23" s="34"/>
      <c r="JD23" s="34"/>
      <c r="JE23" s="34"/>
      <c r="JF23" s="34"/>
      <c r="JG23" s="34"/>
      <c r="JH23" s="34"/>
      <c r="JI23" s="34"/>
      <c r="JJ23" s="34"/>
      <c r="JK23" s="34"/>
      <c r="JL23" s="34"/>
      <c r="JM23" s="34"/>
      <c r="JN23" s="34"/>
      <c r="JO23" s="34"/>
      <c r="JP23" s="34"/>
      <c r="JQ23" s="34"/>
      <c r="JR23" s="34"/>
      <c r="JS23" s="34"/>
      <c r="JT23" s="34"/>
      <c r="JU23" s="34"/>
      <c r="JV23" s="34"/>
      <c r="JW23" s="34"/>
      <c r="JX23" s="34"/>
      <c r="JY23" s="34"/>
      <c r="JZ23" s="34"/>
      <c r="KA23" s="34"/>
      <c r="KB23" s="34"/>
      <c r="KC23" s="34"/>
      <c r="KD23" s="34"/>
      <c r="KE23" s="34"/>
      <c r="KF23" s="34"/>
      <c r="KG23" s="34"/>
      <c r="KH23" s="34"/>
      <c r="KI23" s="34"/>
      <c r="KJ23" s="34"/>
      <c r="KK23" s="34"/>
      <c r="KL23" s="34"/>
      <c r="KM23" s="34"/>
      <c r="KN23" s="34"/>
      <c r="KO23" s="34"/>
      <c r="KP23" s="34"/>
      <c r="KQ23" s="34"/>
      <c r="KR23" s="34"/>
      <c r="KS23" s="34"/>
      <c r="KT23" s="34"/>
      <c r="KU23" s="34"/>
      <c r="KV23" s="34"/>
      <c r="KW23" s="34"/>
      <c r="KX23" s="34"/>
      <c r="KY23" s="34"/>
      <c r="KZ23" s="34"/>
      <c r="LA23" s="34"/>
      <c r="LB23" s="34"/>
      <c r="LC23" s="34"/>
      <c r="LD23" s="34"/>
      <c r="LE23" s="34"/>
      <c r="LF23" s="34"/>
      <c r="LG23" s="34"/>
      <c r="LH23" s="34"/>
      <c r="LI23" s="34"/>
      <c r="LJ23" s="34"/>
      <c r="LK23" s="34"/>
      <c r="LL23" s="34"/>
      <c r="LM23" s="34"/>
      <c r="LN23" s="34"/>
      <c r="LO23" s="34"/>
      <c r="LP23" s="34"/>
      <c r="LQ23" s="34"/>
      <c r="LR23" s="34"/>
      <c r="LS23" s="34"/>
      <c r="LT23" s="34"/>
      <c r="LU23" s="34"/>
      <c r="LV23" s="34"/>
      <c r="LW23" s="34"/>
      <c r="LX23" s="34"/>
      <c r="LY23" s="34"/>
      <c r="LZ23" s="34"/>
      <c r="MA23" s="34"/>
      <c r="MB23" s="34"/>
      <c r="MC23" s="34"/>
      <c r="MD23" s="34"/>
      <c r="ME23" s="34"/>
      <c r="MF23" s="34"/>
      <c r="MG23" s="34"/>
      <c r="MH23" s="34"/>
      <c r="MI23" s="34"/>
      <c r="MJ23" s="34"/>
      <c r="MK23" s="34"/>
      <c r="ML23" s="34"/>
      <c r="MM23" s="34"/>
      <c r="MN23" s="34"/>
      <c r="MO23" s="34"/>
      <c r="MP23" s="34"/>
      <c r="MQ23" s="34"/>
      <c r="MR23" s="34"/>
      <c r="MS23" s="34"/>
      <c r="MT23" s="34"/>
      <c r="MU23" s="34"/>
      <c r="MV23" s="34"/>
      <c r="MW23" s="34"/>
      <c r="MX23" s="34"/>
      <c r="MY23" s="34"/>
      <c r="MZ23" s="34"/>
      <c r="NA23" s="34"/>
      <c r="NB23" s="34"/>
      <c r="NC23" s="34"/>
      <c r="ND23" s="34"/>
      <c r="NE23" s="34"/>
      <c r="NF23" s="34"/>
      <c r="NG23" s="34"/>
      <c r="NH23" s="34"/>
      <c r="NI23" s="34"/>
      <c r="NJ23" s="34"/>
      <c r="NK23" s="34"/>
      <c r="NL23" s="34"/>
      <c r="NM23" s="34"/>
      <c r="NN23" s="34"/>
      <c r="NO23" s="34"/>
      <c r="NP23" s="34"/>
      <c r="NQ23" s="34"/>
      <c r="NR23" s="34"/>
      <c r="NS23" s="34"/>
      <c r="NT23" s="34"/>
      <c r="NU23" s="34"/>
      <c r="NV23" s="34"/>
      <c r="NW23" s="34"/>
      <c r="NX23" s="34"/>
      <c r="NY23" s="34"/>
      <c r="NZ23" s="34"/>
      <c r="OA23" s="34"/>
      <c r="OB23" s="34"/>
      <c r="OC23" s="34"/>
      <c r="OD23" s="34"/>
      <c r="OE23" s="34"/>
      <c r="OF23" s="34"/>
      <c r="OG23" s="34"/>
      <c r="OH23" s="34"/>
      <c r="OI23" s="34"/>
      <c r="OJ23" s="34"/>
      <c r="OK23" s="34"/>
      <c r="OL23" s="34"/>
      <c r="OM23" s="34"/>
      <c r="ON23" s="34"/>
      <c r="OO23" s="34"/>
      <c r="OP23" s="34"/>
      <c r="OQ23" s="34"/>
      <c r="OR23" s="34"/>
      <c r="OS23" s="34"/>
      <c r="OT23" s="34"/>
      <c r="OU23" s="34"/>
      <c r="OV23" s="34"/>
      <c r="OW23" s="34"/>
      <c r="OX23" s="34"/>
      <c r="OY23" s="34"/>
      <c r="OZ23" s="34"/>
      <c r="PA23" s="34"/>
      <c r="PB23" s="34"/>
      <c r="PC23" s="34"/>
      <c r="PD23" s="34"/>
      <c r="PE23" s="34"/>
      <c r="PF23" s="34"/>
      <c r="PG23" s="34"/>
      <c r="PH23" s="34"/>
      <c r="PI23" s="34"/>
      <c r="PJ23" s="34"/>
      <c r="PK23" s="34"/>
      <c r="PL23" s="34"/>
      <c r="PM23" s="34"/>
      <c r="PN23" s="34"/>
      <c r="PO23" s="34"/>
      <c r="PP23" s="34"/>
      <c r="PQ23" s="34"/>
      <c r="PR23" s="34"/>
      <c r="PS23" s="34"/>
      <c r="PT23" s="34"/>
      <c r="PU23" s="34"/>
      <c r="PV23" s="34"/>
      <c r="PW23" s="34"/>
      <c r="PX23" s="34"/>
      <c r="PY23" s="34"/>
      <c r="PZ23" s="34"/>
      <c r="QA23" s="34"/>
      <c r="QB23" s="34"/>
      <c r="QC23" s="34"/>
      <c r="QD23" s="34"/>
      <c r="QE23" s="34"/>
      <c r="QF23" s="34"/>
      <c r="QG23" s="34"/>
      <c r="QH23" s="34"/>
      <c r="QI23" s="34"/>
      <c r="QJ23" s="34"/>
      <c r="QK23" s="34"/>
      <c r="QL23" s="34"/>
      <c r="QM23" s="34"/>
      <c r="QN23" s="34"/>
      <c r="QO23" s="34"/>
      <c r="QP23" s="34"/>
      <c r="QQ23" s="34"/>
      <c r="QR23" s="34"/>
      <c r="QS23" s="34"/>
      <c r="QT23" s="34"/>
      <c r="QU23" s="34"/>
      <c r="QV23" s="34"/>
      <c r="QW23" s="34"/>
      <c r="QX23" s="34"/>
      <c r="QY23" s="34"/>
      <c r="QZ23" s="34"/>
      <c r="RA23" s="34"/>
      <c r="RB23" s="34"/>
      <c r="RC23" s="34"/>
      <c r="RD23" s="34"/>
      <c r="RE23" s="34"/>
      <c r="RF23" s="34"/>
      <c r="RG23" s="34"/>
      <c r="RH23" s="34"/>
      <c r="RI23" s="34"/>
      <c r="RJ23" s="34"/>
      <c r="RK23" s="34"/>
      <c r="RL23" s="34"/>
      <c r="RM23" s="34"/>
      <c r="RN23" s="34"/>
      <c r="RO23" s="34"/>
      <c r="RP23" s="34"/>
      <c r="RQ23" s="34"/>
      <c r="RR23" s="34"/>
      <c r="RS23" s="34"/>
      <c r="RT23" s="34"/>
      <c r="RU23" s="34"/>
      <c r="RV23" s="34"/>
      <c r="RW23" s="34"/>
      <c r="RX23" s="34"/>
      <c r="RY23" s="34"/>
      <c r="RZ23" s="34"/>
      <c r="SA23" s="34"/>
      <c r="SB23" s="34"/>
      <c r="SC23" s="34"/>
      <c r="SD23" s="34"/>
      <c r="SE23" s="34"/>
      <c r="SF23" s="34"/>
      <c r="SG23" s="34"/>
      <c r="SH23" s="34"/>
      <c r="SI23" s="34"/>
      <c r="SJ23" s="34"/>
      <c r="SK23" s="34"/>
      <c r="SL23" s="34"/>
      <c r="SM23" s="34"/>
      <c r="SN23" s="34"/>
      <c r="SO23" s="34"/>
      <c r="SP23" s="34"/>
      <c r="SQ23" s="34"/>
      <c r="SR23" s="34"/>
      <c r="SS23" s="34"/>
      <c r="ST23" s="34"/>
      <c r="SU23" s="34"/>
      <c r="SV23" s="34"/>
      <c r="SW23" s="34"/>
      <c r="SX23" s="34"/>
      <c r="SY23" s="34"/>
      <c r="SZ23" s="34"/>
      <c r="TA23" s="34"/>
      <c r="TB23" s="34"/>
      <c r="TC23" s="34"/>
      <c r="TD23" s="34"/>
      <c r="TE23" s="34"/>
      <c r="TF23" s="34"/>
      <c r="TG23" s="34"/>
      <c r="TH23" s="34"/>
      <c r="TI23" s="34"/>
      <c r="TJ23" s="34"/>
      <c r="TK23" s="34"/>
      <c r="TL23" s="34"/>
      <c r="TM23" s="34"/>
      <c r="TN23" s="34"/>
      <c r="TO23" s="34"/>
      <c r="TP23" s="34"/>
      <c r="TQ23" s="34"/>
      <c r="TR23" s="34"/>
      <c r="TS23" s="34"/>
      <c r="TT23" s="34"/>
      <c r="TU23" s="34"/>
      <c r="TV23" s="34"/>
      <c r="TW23" s="34"/>
      <c r="TX23" s="34"/>
      <c r="TY23" s="34"/>
      <c r="TZ23" s="34"/>
      <c r="UA23" s="34"/>
      <c r="UB23" s="34"/>
      <c r="UC23" s="34"/>
      <c r="UD23" s="34"/>
      <c r="UE23" s="34"/>
      <c r="UF23" s="34"/>
      <c r="UG23" s="34"/>
      <c r="UH23" s="34"/>
      <c r="UI23" s="34"/>
      <c r="UJ23" s="34"/>
      <c r="UK23" s="34"/>
      <c r="UL23" s="34"/>
      <c r="UM23" s="34"/>
      <c r="UN23" s="34"/>
      <c r="UO23" s="34"/>
      <c r="UP23" s="34"/>
      <c r="UQ23" s="34"/>
      <c r="UR23" s="34"/>
      <c r="US23" s="34"/>
      <c r="UT23" s="34"/>
      <c r="UU23" s="34"/>
      <c r="UV23" s="34"/>
      <c r="UW23" s="34"/>
      <c r="UX23" s="34"/>
      <c r="UY23" s="34"/>
      <c r="UZ23" s="34"/>
      <c r="VA23" s="34"/>
      <c r="VB23" s="34"/>
      <c r="VC23" s="34"/>
      <c r="VD23" s="34"/>
      <c r="VE23" s="34"/>
      <c r="VF23" s="34"/>
      <c r="VG23" s="34"/>
      <c r="VH23" s="34"/>
      <c r="VI23" s="34"/>
      <c r="VJ23" s="34"/>
      <c r="VK23" s="34"/>
      <c r="VL23" s="34"/>
      <c r="VM23" s="34"/>
      <c r="VN23" s="34"/>
      <c r="VO23" s="34"/>
      <c r="VP23" s="34"/>
      <c r="VQ23" s="34"/>
      <c r="VR23" s="34"/>
      <c r="VS23" s="34"/>
      <c r="VT23" s="34"/>
      <c r="VU23" s="34"/>
      <c r="VV23" s="34"/>
      <c r="VW23" s="34"/>
      <c r="VX23" s="34"/>
      <c r="VY23" s="34"/>
      <c r="VZ23" s="34"/>
      <c r="WA23" s="34"/>
      <c r="WB23" s="34"/>
      <c r="WC23" s="34"/>
      <c r="WD23" s="34"/>
      <c r="WE23" s="34"/>
      <c r="WF23" s="34"/>
      <c r="WG23" s="34"/>
      <c r="WH23" s="34"/>
      <c r="WI23" s="34"/>
      <c r="WJ23" s="34"/>
      <c r="WK23" s="34"/>
      <c r="WL23" s="34"/>
      <c r="WM23" s="34"/>
      <c r="WN23" s="34"/>
      <c r="WO23" s="34"/>
      <c r="WP23" s="34"/>
      <c r="WQ23" s="34"/>
      <c r="WR23" s="34"/>
      <c r="WS23" s="34"/>
      <c r="WT23" s="34"/>
      <c r="WU23" s="34"/>
      <c r="WV23" s="34"/>
      <c r="WW23" s="34"/>
      <c r="WX23" s="34"/>
      <c r="WY23" s="34"/>
      <c r="WZ23" s="34"/>
      <c r="XA23" s="34"/>
      <c r="XB23" s="34"/>
      <c r="XC23" s="34"/>
      <c r="XD23" s="34"/>
      <c r="XE23" s="34"/>
      <c r="XF23" s="34"/>
      <c r="XG23" s="34"/>
      <c r="XH23" s="34"/>
      <c r="XI23" s="34"/>
      <c r="XJ23" s="34"/>
      <c r="XK23" s="34"/>
      <c r="XL23" s="34"/>
      <c r="XM23" s="34"/>
      <c r="XN23" s="34"/>
      <c r="XO23" s="34"/>
      <c r="XP23" s="34"/>
      <c r="XQ23" s="34"/>
      <c r="XR23" s="34"/>
      <c r="XS23" s="34"/>
      <c r="XT23" s="34"/>
      <c r="XU23" s="34"/>
      <c r="XV23" s="34"/>
      <c r="XW23" s="34"/>
      <c r="XX23" s="34"/>
      <c r="XY23" s="34"/>
      <c r="XZ23" s="34"/>
      <c r="YA23" s="34"/>
      <c r="YB23" s="34"/>
      <c r="YC23" s="34"/>
      <c r="YD23" s="34"/>
      <c r="YE23" s="34"/>
      <c r="YF23" s="34"/>
      <c r="YG23" s="34"/>
      <c r="YH23" s="34"/>
      <c r="YI23" s="34"/>
      <c r="YJ23" s="34"/>
      <c r="YK23" s="34"/>
      <c r="YL23" s="34"/>
      <c r="YM23" s="34"/>
      <c r="YN23" s="34"/>
      <c r="YO23" s="34"/>
      <c r="YP23" s="34"/>
      <c r="YQ23" s="34"/>
      <c r="YR23" s="34"/>
      <c r="YS23" s="34"/>
      <c r="YT23" s="34"/>
      <c r="YU23" s="34"/>
      <c r="YV23" s="34"/>
      <c r="YW23" s="34"/>
      <c r="YX23" s="34"/>
      <c r="YY23" s="34"/>
      <c r="YZ23" s="34"/>
      <c r="ZA23" s="34"/>
      <c r="ZB23" s="34"/>
      <c r="ZC23" s="34"/>
      <c r="ZD23" s="34"/>
      <c r="ZE23" s="34"/>
      <c r="ZF23" s="34"/>
      <c r="ZG23" s="34"/>
      <c r="ZH23" s="34"/>
      <c r="ZI23" s="34"/>
      <c r="ZJ23" s="34"/>
      <c r="ZK23" s="34"/>
      <c r="ZL23" s="34"/>
      <c r="ZM23" s="34"/>
      <c r="ZN23" s="34"/>
      <c r="ZO23" s="34"/>
      <c r="ZP23" s="34"/>
      <c r="ZQ23" s="34"/>
      <c r="ZR23" s="34"/>
      <c r="ZS23" s="34"/>
      <c r="ZT23" s="34"/>
      <c r="ZU23" s="34"/>
      <c r="ZV23" s="34"/>
      <c r="ZW23" s="34"/>
      <c r="ZX23" s="34"/>
      <c r="ZY23" s="34"/>
      <c r="ZZ23" s="34"/>
      <c r="AAA23" s="34"/>
      <c r="AAB23" s="34"/>
      <c r="AAC23" s="34"/>
      <c r="AAD23" s="34"/>
      <c r="AAE23" s="34"/>
      <c r="AAF23" s="34"/>
      <c r="AAG23" s="34"/>
      <c r="AAH23" s="34"/>
      <c r="AAI23" s="34"/>
      <c r="AAJ23" s="34"/>
      <c r="AAK23" s="34"/>
      <c r="AAL23" s="34"/>
      <c r="AAM23" s="34"/>
      <c r="AAN23" s="34"/>
      <c r="AAO23" s="34"/>
      <c r="AAP23" s="34"/>
      <c r="AAQ23" s="34"/>
      <c r="AAR23" s="34"/>
      <c r="AAS23" s="34"/>
      <c r="AAT23" s="34"/>
      <c r="AAU23" s="34"/>
      <c r="AAV23" s="34"/>
      <c r="AAW23" s="34"/>
      <c r="AAX23" s="34"/>
      <c r="AAY23" s="34"/>
      <c r="AAZ23" s="34"/>
      <c r="ABA23" s="34"/>
      <c r="ABB23" s="34"/>
      <c r="ABC23" s="34"/>
      <c r="ABD23" s="34"/>
      <c r="ABE23" s="34"/>
      <c r="ABF23" s="34"/>
      <c r="ABG23" s="34"/>
      <c r="ABH23" s="34"/>
      <c r="ABI23" s="34"/>
      <c r="ABJ23" s="34"/>
      <c r="ABK23" s="34"/>
      <c r="ABL23" s="34"/>
      <c r="ABM23" s="34"/>
      <c r="ABN23" s="34"/>
      <c r="ABO23" s="34"/>
      <c r="ABP23" s="34"/>
      <c r="ABQ23" s="34"/>
      <c r="ABR23" s="34"/>
      <c r="ABS23" s="34"/>
      <c r="ABT23" s="34"/>
      <c r="ABU23" s="34"/>
      <c r="ABV23" s="34"/>
      <c r="ABW23" s="34"/>
      <c r="ABX23" s="34"/>
      <c r="ABY23" s="34"/>
      <c r="ABZ23" s="34"/>
      <c r="ACA23" s="34"/>
      <c r="ACB23" s="34"/>
      <c r="ACC23" s="34"/>
      <c r="ACD23" s="34"/>
      <c r="ACE23" s="34"/>
      <c r="ACF23" s="34"/>
      <c r="ACG23" s="34"/>
      <c r="ACH23" s="34"/>
      <c r="ACI23" s="34"/>
      <c r="ACJ23" s="34"/>
      <c r="ACK23" s="34"/>
      <c r="ACL23" s="34"/>
      <c r="ACM23" s="34"/>
      <c r="ACN23" s="34"/>
      <c r="ACO23" s="34"/>
      <c r="ACP23" s="34"/>
      <c r="ACQ23" s="34"/>
      <c r="ACR23" s="34"/>
      <c r="ACS23" s="34"/>
      <c r="ACT23" s="34"/>
      <c r="ACU23" s="34"/>
      <c r="ACV23" s="34"/>
      <c r="ACW23" s="34"/>
      <c r="ACX23" s="34"/>
      <c r="ACY23" s="34"/>
      <c r="ACZ23" s="34"/>
      <c r="ADA23" s="34"/>
      <c r="ADB23" s="34"/>
      <c r="ADC23" s="34"/>
      <c r="ADD23" s="34"/>
      <c r="ADE23" s="34"/>
      <c r="ADF23" s="34"/>
      <c r="ADG23" s="34"/>
      <c r="ADH23" s="34"/>
      <c r="ADI23" s="34"/>
      <c r="ADJ23" s="34"/>
      <c r="ADK23" s="34"/>
      <c r="ADL23" s="34"/>
      <c r="ADM23" s="34"/>
      <c r="ADN23" s="34"/>
      <c r="ADO23" s="34"/>
      <c r="ADP23" s="34"/>
      <c r="ADQ23" s="34"/>
      <c r="ADR23" s="34"/>
      <c r="ADS23" s="34"/>
      <c r="ADT23" s="34"/>
      <c r="ADU23" s="34"/>
      <c r="ADV23" s="34"/>
      <c r="ADW23" s="34"/>
      <c r="ADX23" s="34"/>
      <c r="ADY23" s="34"/>
      <c r="ADZ23" s="34"/>
      <c r="AEA23" s="34"/>
      <c r="AEB23" s="34"/>
      <c r="AEC23" s="34"/>
      <c r="AED23" s="34"/>
      <c r="AEE23" s="34"/>
      <c r="AEF23" s="34"/>
      <c r="AEG23" s="34"/>
      <c r="AEH23" s="34"/>
      <c r="AEI23" s="34"/>
      <c r="AEJ23" s="34"/>
      <c r="AEK23" s="34"/>
      <c r="AEL23" s="34"/>
      <c r="AEM23" s="34"/>
      <c r="AEN23" s="34"/>
      <c r="AEO23" s="34"/>
      <c r="AEP23" s="34"/>
      <c r="AEQ23" s="34"/>
      <c r="AER23" s="34"/>
      <c r="AES23" s="34"/>
      <c r="AET23" s="34"/>
      <c r="AEU23" s="34"/>
      <c r="AEV23" s="34"/>
      <c r="AEW23" s="34"/>
      <c r="AEX23" s="34"/>
      <c r="AEY23" s="34"/>
      <c r="AEZ23" s="34"/>
      <c r="AFA23" s="34"/>
      <c r="AFB23" s="34"/>
      <c r="AFC23" s="34"/>
      <c r="AFD23" s="34"/>
      <c r="AFE23" s="34"/>
      <c r="AFF23" s="34"/>
      <c r="AFG23" s="34"/>
      <c r="AFH23" s="34"/>
      <c r="AFI23" s="34"/>
      <c r="AFJ23" s="34"/>
      <c r="AFK23" s="34"/>
      <c r="AFL23" s="34"/>
      <c r="AFM23" s="34"/>
      <c r="AFN23" s="34"/>
      <c r="AFO23" s="34"/>
      <c r="AFP23" s="34"/>
      <c r="AFQ23" s="34"/>
      <c r="AFR23" s="34"/>
      <c r="AFS23" s="34"/>
      <c r="AFT23" s="34"/>
      <c r="AFU23" s="34"/>
      <c r="AFV23" s="34"/>
      <c r="AFW23" s="34"/>
      <c r="AFX23" s="34"/>
      <c r="AFY23" s="34"/>
      <c r="AFZ23" s="34"/>
      <c r="AGA23" s="34"/>
      <c r="AGB23" s="34"/>
      <c r="AGC23" s="34"/>
      <c r="AGD23" s="34"/>
      <c r="AGE23" s="34"/>
      <c r="AGF23" s="34"/>
      <c r="AGG23" s="34"/>
      <c r="AGH23" s="34"/>
      <c r="AGI23" s="34"/>
      <c r="AGJ23" s="34"/>
      <c r="AGK23" s="34"/>
      <c r="AGL23" s="34"/>
      <c r="AGM23" s="34"/>
      <c r="AGN23" s="34"/>
      <c r="AGO23" s="34"/>
      <c r="AGP23" s="34"/>
      <c r="AGQ23" s="34"/>
      <c r="AGR23" s="34"/>
      <c r="AGS23" s="34"/>
      <c r="AGT23" s="34"/>
      <c r="AGU23" s="34"/>
      <c r="AGV23" s="34"/>
      <c r="AGW23" s="34"/>
      <c r="AGX23" s="34"/>
      <c r="AGY23" s="34"/>
      <c r="AGZ23" s="34"/>
      <c r="AHA23" s="34"/>
      <c r="AHB23" s="34"/>
      <c r="AHC23" s="34"/>
      <c r="AHD23" s="34"/>
      <c r="AHE23" s="34"/>
      <c r="AHF23" s="34"/>
      <c r="AHG23" s="34"/>
      <c r="AHH23" s="34"/>
      <c r="AHI23" s="34"/>
      <c r="AHJ23" s="34"/>
      <c r="AHK23" s="34"/>
      <c r="AHL23" s="34"/>
      <c r="AHM23" s="34"/>
      <c r="AHN23" s="34"/>
      <c r="AHO23" s="34"/>
      <c r="AHP23" s="34"/>
      <c r="AHQ23" s="34"/>
      <c r="AHR23" s="34"/>
      <c r="AHS23" s="34"/>
      <c r="AHT23" s="34"/>
      <c r="AHU23" s="34"/>
      <c r="AHV23" s="34"/>
      <c r="AHW23" s="34"/>
      <c r="AHX23" s="34"/>
      <c r="AHY23" s="34"/>
      <c r="AHZ23" s="34"/>
      <c r="AIA23" s="34"/>
      <c r="AIB23" s="34"/>
      <c r="AIC23" s="34"/>
      <c r="AID23" s="34"/>
      <c r="AIE23" s="34"/>
      <c r="AIF23" s="34"/>
      <c r="AIG23" s="34"/>
      <c r="AIH23" s="34"/>
      <c r="AII23" s="34"/>
      <c r="AIJ23" s="34"/>
      <c r="AIK23" s="34"/>
      <c r="AIL23" s="34"/>
      <c r="AIM23" s="34"/>
      <c r="AIN23" s="34"/>
      <c r="AIO23" s="34"/>
      <c r="AIP23" s="34"/>
      <c r="AIQ23" s="34"/>
      <c r="AIR23" s="34"/>
      <c r="AIS23" s="34"/>
      <c r="AIT23" s="34"/>
      <c r="AIU23" s="34"/>
      <c r="AIV23" s="34"/>
      <c r="AIW23" s="34"/>
      <c r="AIX23" s="34"/>
      <c r="AIY23" s="34"/>
      <c r="AIZ23" s="34"/>
      <c r="AJA23" s="34"/>
      <c r="AJB23" s="34"/>
      <c r="AJC23" s="34"/>
      <c r="AJD23" s="34"/>
      <c r="AJE23" s="34"/>
      <c r="AJF23" s="34"/>
      <c r="AJG23" s="34"/>
      <c r="AJH23" s="34"/>
      <c r="AJI23" s="34"/>
      <c r="AJJ23" s="34"/>
      <c r="AJK23" s="34"/>
      <c r="AJL23" s="34"/>
      <c r="AJM23" s="34"/>
      <c r="AJN23" s="34"/>
      <c r="AJO23" s="34"/>
      <c r="AJP23" s="34"/>
      <c r="AJQ23" s="34"/>
      <c r="AJR23" s="34"/>
      <c r="AJS23" s="34"/>
      <c r="AJT23" s="34"/>
      <c r="AJU23" s="34"/>
      <c r="AJV23" s="34"/>
      <c r="AJW23" s="34"/>
      <c r="AJX23" s="34"/>
      <c r="AJY23" s="34"/>
      <c r="AJZ23" s="34"/>
      <c r="AKA23" s="34"/>
      <c r="AKB23" s="34"/>
      <c r="AKC23" s="34"/>
      <c r="AKD23" s="34"/>
      <c r="AKE23" s="34"/>
      <c r="AKF23" s="34"/>
      <c r="AKG23" s="34"/>
      <c r="AKH23" s="34"/>
      <c r="AKI23" s="34"/>
      <c r="AKJ23" s="34"/>
      <c r="AKK23" s="34"/>
      <c r="AKL23" s="34"/>
      <c r="AKM23" s="34"/>
      <c r="AKN23" s="34"/>
      <c r="AKO23" s="34"/>
      <c r="AKP23" s="34"/>
      <c r="AKQ23" s="34"/>
      <c r="AKR23" s="34"/>
      <c r="AKS23" s="34"/>
      <c r="AKT23" s="34"/>
      <c r="AKU23" s="34"/>
      <c r="AKV23" s="34"/>
      <c r="AKW23" s="34"/>
      <c r="AKX23" s="34"/>
      <c r="AKY23" s="34"/>
      <c r="AKZ23" s="34"/>
      <c r="ALA23" s="34"/>
      <c r="ALB23" s="34"/>
      <c r="ALC23" s="34"/>
      <c r="ALD23" s="34"/>
      <c r="ALE23" s="34"/>
      <c r="ALF23" s="34"/>
      <c r="ALG23" s="33"/>
      <c r="ALH23" s="33"/>
      <c r="ALI23" s="33"/>
      <c r="ALJ23" s="33"/>
      <c r="ALK23" s="33"/>
      <c r="ALL23" s="33"/>
      <c r="ALM23" s="33"/>
      <c r="ALN23" s="33"/>
      <c r="ALO23" s="33"/>
      <c r="ALP23" s="33"/>
      <c r="ALQ23" s="33"/>
      <c r="ALR23" s="33"/>
      <c r="ALS23" s="33"/>
      <c r="ALT23" s="33"/>
      <c r="ALU23" s="33"/>
      <c r="ALV23" s="33"/>
      <c r="ALW23" s="33"/>
      <c r="ALX23" s="33"/>
      <c r="ALY23" s="33"/>
      <c r="ALZ23" s="33"/>
      <c r="AMA23" s="33"/>
      <c r="AMB23" s="33"/>
      <c r="AMC23" s="33"/>
      <c r="AMD23" s="33"/>
      <c r="AME23" s="33"/>
      <c r="AMF23" s="33"/>
      <c r="AMG23" s="33"/>
      <c r="AMH23" s="33"/>
      <c r="AMI23" s="33"/>
      <c r="AMJ23" s="33"/>
      <c r="AMK23" s="33"/>
      <c r="AML23" s="33"/>
      <c r="AMM23" s="33"/>
      <c r="AMN23" s="33"/>
      <c r="AMO23" s="33"/>
      <c r="AMP23" s="33"/>
      <c r="AMQ23" s="33"/>
      <c r="AMR23" s="33"/>
      <c r="AMS23" s="33"/>
      <c r="AMT23" s="33"/>
      <c r="AMU23" s="33"/>
      <c r="AMV23" s="33"/>
      <c r="AMW23" s="33"/>
      <c r="AMX23" s="33"/>
      <c r="AMY23" s="33"/>
      <c r="AMZ23" s="33"/>
      <c r="ANA23" s="33"/>
      <c r="ANB23" s="33"/>
      <c r="ANC23" s="33"/>
      <c r="AND23" s="33"/>
      <c r="ANE23" s="33"/>
      <c r="ANF23" s="33"/>
      <c r="ANG23" s="33"/>
      <c r="ANH23" s="33"/>
      <c r="ANI23" s="33"/>
      <c r="ANJ23" s="33"/>
      <c r="ANK23" s="33"/>
      <c r="ANL23" s="33"/>
      <c r="ANM23" s="33"/>
      <c r="ANN23" s="33"/>
      <c r="ANO23" s="33"/>
      <c r="ANP23" s="33"/>
      <c r="ANQ23" s="33"/>
      <c r="ANR23" s="33"/>
      <c r="ANS23" s="33"/>
      <c r="ANT23" s="33"/>
      <c r="ANU23" s="33"/>
      <c r="ANV23" s="33"/>
      <c r="ANW23" s="33"/>
      <c r="ANX23" s="33"/>
      <c r="ANY23" s="33"/>
      <c r="ANZ23" s="33"/>
      <c r="AOA23" s="33"/>
      <c r="AOB23" s="33"/>
      <c r="AOC23" s="33"/>
      <c r="AOD23" s="33"/>
      <c r="AOE23" s="33"/>
      <c r="AOF23" s="33"/>
      <c r="AOG23" s="33"/>
      <c r="AOH23" s="33"/>
      <c r="AOI23" s="33"/>
      <c r="AOJ23" s="33"/>
      <c r="AOK23" s="33"/>
      <c r="AOL23" s="33"/>
      <c r="AOM23" s="33"/>
      <c r="AON23" s="33"/>
      <c r="AOO23" s="33"/>
      <c r="AOP23" s="33"/>
      <c r="AOQ23" s="33"/>
      <c r="AOR23" s="33"/>
      <c r="AOS23" s="33"/>
      <c r="AOT23" s="33"/>
      <c r="AOU23" s="33"/>
      <c r="AOV23" s="33"/>
      <c r="AOW23" s="33"/>
      <c r="AOX23" s="33"/>
      <c r="AOY23" s="33"/>
      <c r="AOZ23" s="33"/>
      <c r="APA23" s="33"/>
      <c r="APB23" s="33"/>
      <c r="APC23" s="33"/>
      <c r="APD23" s="33"/>
      <c r="APE23" s="33"/>
      <c r="APF23" s="33"/>
      <c r="APG23" s="33"/>
      <c r="APH23" s="33"/>
      <c r="API23" s="33"/>
      <c r="APJ23" s="33"/>
      <c r="APK23" s="33"/>
      <c r="APL23" s="33"/>
      <c r="APM23" s="33"/>
      <c r="APN23" s="33"/>
      <c r="APO23" s="33"/>
      <c r="APP23" s="33"/>
      <c r="APQ23" s="33"/>
      <c r="APR23" s="33"/>
      <c r="APS23" s="33"/>
      <c r="APT23" s="33"/>
      <c r="APU23" s="33"/>
      <c r="APV23" s="33"/>
      <c r="APW23" s="33"/>
      <c r="APX23" s="33"/>
      <c r="APY23" s="33"/>
      <c r="APZ23" s="33"/>
      <c r="AQA23" s="33"/>
      <c r="AQB23" s="33"/>
      <c r="AQC23" s="33"/>
      <c r="AQD23" s="33"/>
      <c r="AQE23" s="33"/>
      <c r="AQF23" s="33"/>
      <c r="AQG23" s="33"/>
      <c r="AQH23" s="33"/>
      <c r="AQI23" s="33"/>
      <c r="AQJ23" s="33"/>
      <c r="AQK23" s="33"/>
      <c r="AQL23" s="33"/>
      <c r="AQM23" s="33"/>
      <c r="AQN23" s="33"/>
      <c r="AQO23" s="33"/>
      <c r="AQP23" s="33"/>
      <c r="AQQ23" s="33"/>
      <c r="AQR23" s="33"/>
      <c r="AQS23" s="33"/>
      <c r="AQT23" s="33"/>
      <c r="AQU23" s="33"/>
      <c r="AQV23" s="33"/>
      <c r="AQW23" s="33"/>
      <c r="AQX23" s="33"/>
      <c r="AQY23" s="33"/>
      <c r="AQZ23" s="33"/>
      <c r="ARA23" s="33"/>
      <c r="ARB23" s="33"/>
      <c r="ARC23" s="33"/>
      <c r="ARD23" s="33"/>
      <c r="ARE23" s="33"/>
      <c r="ARF23" s="33"/>
      <c r="ARG23" s="33"/>
      <c r="ARH23" s="33"/>
      <c r="ARI23" s="33"/>
      <c r="ARJ23" s="33"/>
      <c r="ARK23" s="33"/>
      <c r="ARL23" s="33"/>
      <c r="ARM23" s="33"/>
      <c r="ARN23" s="33"/>
      <c r="ARO23" s="33"/>
      <c r="ARP23" s="33"/>
      <c r="ARQ23" s="33"/>
      <c r="ARR23" s="33"/>
      <c r="ARS23" s="33"/>
      <c r="ART23" s="33"/>
      <c r="ARU23" s="33"/>
      <c r="ARV23" s="33"/>
      <c r="ARW23" s="33"/>
      <c r="ARX23" s="33"/>
      <c r="ARY23" s="33"/>
      <c r="ARZ23" s="33"/>
      <c r="ASA23" s="33"/>
      <c r="ASB23" s="33"/>
      <c r="ASC23" s="33"/>
      <c r="ASD23" s="33"/>
      <c r="ASE23" s="33"/>
      <c r="ASF23" s="33"/>
      <c r="ASG23" s="33"/>
      <c r="ASH23" s="33"/>
      <c r="ASI23" s="33"/>
      <c r="ASJ23" s="33"/>
      <c r="ASK23" s="33"/>
      <c r="ASL23" s="33"/>
      <c r="ASM23" s="33"/>
      <c r="ASN23" s="33"/>
      <c r="ASO23" s="33"/>
      <c r="ASP23" s="33"/>
      <c r="ASQ23" s="33"/>
      <c r="ASR23" s="33"/>
      <c r="ASS23" s="33"/>
      <c r="AST23" s="33"/>
      <c r="ASU23" s="33"/>
      <c r="ASV23" s="33"/>
      <c r="ASW23" s="33"/>
      <c r="ASX23" s="33"/>
      <c r="ASY23" s="33"/>
      <c r="ASZ23" s="33"/>
      <c r="ATA23" s="33"/>
      <c r="ATB23" s="33"/>
      <c r="ATC23" s="33"/>
      <c r="ATD23" s="33"/>
      <c r="ATE23" s="33"/>
      <c r="ATF23" s="33"/>
      <c r="ATG23" s="33"/>
      <c r="ATH23" s="33"/>
      <c r="ATI23" s="33"/>
      <c r="ATJ23" s="33"/>
      <c r="ATK23" s="33"/>
      <c r="ATL23" s="33"/>
      <c r="ATM23" s="33"/>
      <c r="ATN23" s="33"/>
      <c r="ATO23" s="33"/>
      <c r="ATP23" s="33"/>
      <c r="ATQ23" s="33"/>
      <c r="ATR23" s="33"/>
      <c r="ATS23" s="33"/>
      <c r="ATT23" s="33"/>
      <c r="ATU23" s="33"/>
      <c r="ATV23" s="33"/>
      <c r="ATW23" s="33"/>
      <c r="ATX23" s="33"/>
      <c r="ATY23" s="33"/>
      <c r="ATZ23" s="33"/>
      <c r="AUA23" s="33"/>
      <c r="AUB23" s="33"/>
      <c r="AUC23" s="33"/>
      <c r="AUD23" s="33"/>
      <c r="AUE23" s="33"/>
      <c r="AUF23" s="33"/>
      <c r="AUG23" s="33"/>
      <c r="AUH23" s="33"/>
      <c r="AUI23" s="33"/>
      <c r="AUJ23" s="33"/>
      <c r="AUK23" s="33"/>
      <c r="AUL23" s="33"/>
      <c r="AUM23" s="33"/>
      <c r="AUN23" s="33"/>
      <c r="AUO23" s="33"/>
      <c r="AUP23" s="33"/>
      <c r="AUQ23" s="33"/>
      <c r="AUR23" s="33"/>
      <c r="AUS23" s="33"/>
      <c r="AUT23" s="33"/>
      <c r="AUU23" s="33"/>
      <c r="AUV23" s="33"/>
      <c r="AUW23" s="33"/>
      <c r="AUX23" s="33"/>
      <c r="AUY23" s="33"/>
      <c r="AUZ23" s="33"/>
      <c r="AVA23" s="33"/>
      <c r="AVB23" s="33"/>
    </row>
    <row r="24" spans="1:1250" ht="18.75" customHeight="1">
      <c r="A24" s="67"/>
      <c r="B24" s="68"/>
      <c r="C24" s="69"/>
      <c r="D24" s="70"/>
      <c r="E24" s="71"/>
      <c r="F24" s="69"/>
      <c r="G24" s="72"/>
      <c r="H24" s="73"/>
      <c r="I24" s="74"/>
      <c r="J24" s="1"/>
      <c r="K24" s="76"/>
      <c r="L24" s="33"/>
      <c r="M24" s="43"/>
      <c r="N24" s="44"/>
      <c r="O24" s="43"/>
      <c r="P24" s="78"/>
      <c r="Q24" s="83"/>
      <c r="R24" s="81"/>
      <c r="S24" s="82"/>
      <c r="T24" s="34"/>
      <c r="U24" s="36"/>
      <c r="V24" s="57"/>
      <c r="W24" s="57"/>
      <c r="X24" s="36"/>
      <c r="Y24" s="116"/>
      <c r="Z24" s="98"/>
      <c r="AA24" s="61"/>
      <c r="AB24" s="104"/>
      <c r="AC24" s="104"/>
      <c r="AD24" s="104"/>
      <c r="AE24" s="64"/>
      <c r="AF24" s="53"/>
      <c r="AG24" s="45"/>
      <c r="AH24" s="2"/>
      <c r="AI24" s="2"/>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4"/>
      <c r="BR24" s="34"/>
      <c r="BS24" s="34"/>
      <c r="BT24" s="34"/>
      <c r="BU24" s="34"/>
      <c r="BV24" s="34"/>
      <c r="BW24" s="34"/>
      <c r="BX24" s="34"/>
      <c r="BY24" s="34"/>
      <c r="BZ24" s="34"/>
      <c r="CA24" s="34"/>
      <c r="CB24" s="34"/>
      <c r="CC24" s="34"/>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c r="DC24" s="34"/>
      <c r="DD24" s="34"/>
      <c r="DE24" s="34"/>
      <c r="DF24" s="34"/>
      <c r="DG24" s="34"/>
      <c r="DH24" s="34"/>
      <c r="DI24" s="34"/>
      <c r="DJ24" s="34"/>
      <c r="DK24" s="34"/>
      <c r="DL24" s="34"/>
      <c r="DM24" s="34"/>
      <c r="DN24" s="34"/>
      <c r="DO24" s="34"/>
      <c r="DP24" s="34"/>
      <c r="DQ24" s="34"/>
      <c r="DR24" s="34"/>
      <c r="DS24" s="34"/>
      <c r="DT24" s="34"/>
      <c r="DU24" s="34"/>
      <c r="DV24" s="34"/>
      <c r="DW24" s="34"/>
      <c r="DX24" s="34"/>
      <c r="DY24" s="34"/>
      <c r="DZ24" s="34"/>
      <c r="EA24" s="34"/>
      <c r="EB24" s="34"/>
      <c r="EC24" s="34"/>
      <c r="ED24" s="34"/>
      <c r="EE24" s="34"/>
      <c r="EF24" s="34"/>
      <c r="EG24" s="34"/>
      <c r="EH24" s="34"/>
      <c r="EI24" s="34"/>
      <c r="EJ24" s="34"/>
      <c r="EK24" s="34"/>
      <c r="EL24" s="34"/>
      <c r="EM24" s="34"/>
      <c r="EN24" s="34"/>
      <c r="EO24" s="34"/>
      <c r="EP24" s="34"/>
      <c r="EQ24" s="34"/>
      <c r="ER24" s="34"/>
      <c r="ES24" s="34"/>
      <c r="ET24" s="34"/>
      <c r="EU24" s="34"/>
      <c r="EV24" s="34"/>
      <c r="EW24" s="34"/>
      <c r="EX24" s="34"/>
      <c r="EY24" s="34"/>
      <c r="EZ24" s="34"/>
      <c r="FA24" s="34"/>
      <c r="FB24" s="34"/>
      <c r="FC24" s="34"/>
      <c r="FD24" s="34"/>
      <c r="FE24" s="34"/>
      <c r="FF24" s="34"/>
      <c r="FG24" s="34"/>
      <c r="FH24" s="34"/>
      <c r="FI24" s="34"/>
      <c r="FJ24" s="34"/>
      <c r="FK24" s="34"/>
      <c r="FL24" s="34"/>
      <c r="FM24" s="34"/>
      <c r="FN24" s="34"/>
      <c r="FO24" s="34"/>
      <c r="FP24" s="34"/>
      <c r="FQ24" s="34"/>
      <c r="FR24" s="34"/>
      <c r="FS24" s="34"/>
      <c r="FT24" s="34"/>
      <c r="FU24" s="34"/>
      <c r="FV24" s="34"/>
      <c r="FW24" s="34"/>
      <c r="FX24" s="34"/>
      <c r="FY24" s="34"/>
      <c r="FZ24" s="34"/>
      <c r="GA24" s="34"/>
      <c r="GB24" s="34"/>
      <c r="GC24" s="34"/>
      <c r="GD24" s="34"/>
      <c r="GE24" s="34"/>
      <c r="GF24" s="34"/>
      <c r="GG24" s="34"/>
      <c r="GH24" s="34"/>
      <c r="GI24" s="34"/>
      <c r="GJ24" s="34"/>
      <c r="GK24" s="34"/>
      <c r="GL24" s="34"/>
      <c r="GM24" s="34"/>
      <c r="GN24" s="34"/>
      <c r="GO24" s="34"/>
      <c r="GP24" s="34"/>
      <c r="GQ24" s="34"/>
      <c r="GR24" s="34"/>
      <c r="GS24" s="34"/>
      <c r="GT24" s="34"/>
      <c r="GU24" s="34"/>
      <c r="GV24" s="34"/>
      <c r="GW24" s="34"/>
      <c r="GX24" s="34"/>
      <c r="GY24" s="34"/>
      <c r="GZ24" s="34"/>
      <c r="HA24" s="34"/>
      <c r="HB24" s="34"/>
      <c r="HC24" s="34"/>
      <c r="HD24" s="34"/>
      <c r="HE24" s="34"/>
      <c r="HF24" s="34"/>
      <c r="HG24" s="34"/>
      <c r="HH24" s="34"/>
      <c r="HI24" s="34"/>
      <c r="HJ24" s="34"/>
      <c r="HK24" s="34"/>
      <c r="HL24" s="34"/>
      <c r="HM24" s="34"/>
      <c r="HN24" s="34"/>
      <c r="HO24" s="34"/>
      <c r="HP24" s="34"/>
      <c r="HQ24" s="34"/>
      <c r="HR24" s="34"/>
      <c r="HS24" s="34"/>
      <c r="HT24" s="34"/>
      <c r="HU24" s="34"/>
      <c r="HV24" s="34"/>
      <c r="HW24" s="34"/>
      <c r="HX24" s="34"/>
      <c r="HY24" s="34"/>
      <c r="HZ24" s="34"/>
      <c r="IA24" s="34"/>
      <c r="IB24" s="34"/>
      <c r="IC24" s="34"/>
      <c r="ID24" s="34"/>
      <c r="IE24" s="34"/>
      <c r="IF24" s="34"/>
      <c r="IG24" s="34"/>
      <c r="IH24" s="34"/>
      <c r="II24" s="34"/>
      <c r="IJ24" s="34"/>
      <c r="IK24" s="34"/>
      <c r="IL24" s="34"/>
      <c r="IM24" s="34"/>
      <c r="IN24" s="34"/>
      <c r="IO24" s="34"/>
      <c r="IP24" s="34"/>
      <c r="IQ24" s="34"/>
      <c r="IR24" s="34"/>
      <c r="IS24" s="34"/>
      <c r="IT24" s="34"/>
      <c r="IU24" s="34"/>
      <c r="IV24" s="34"/>
      <c r="IW24" s="34"/>
      <c r="IX24" s="34"/>
      <c r="IY24" s="34"/>
      <c r="IZ24" s="34"/>
      <c r="JA24" s="34"/>
      <c r="JB24" s="34"/>
      <c r="JC24" s="34"/>
      <c r="JD24" s="34"/>
      <c r="JE24" s="34"/>
      <c r="JF24" s="34"/>
      <c r="JG24" s="34"/>
      <c r="JH24" s="34"/>
      <c r="JI24" s="34"/>
      <c r="JJ24" s="34"/>
      <c r="JK24" s="34"/>
      <c r="JL24" s="34"/>
      <c r="JM24" s="34"/>
      <c r="JN24" s="34"/>
      <c r="JO24" s="34"/>
      <c r="JP24" s="34"/>
      <c r="JQ24" s="34"/>
      <c r="JR24" s="34"/>
      <c r="JS24" s="34"/>
      <c r="JT24" s="34"/>
      <c r="JU24" s="34"/>
      <c r="JV24" s="34"/>
      <c r="JW24" s="34"/>
      <c r="JX24" s="34"/>
      <c r="JY24" s="34"/>
      <c r="JZ24" s="34"/>
      <c r="KA24" s="34"/>
      <c r="KB24" s="34"/>
      <c r="KC24" s="34"/>
      <c r="KD24" s="34"/>
      <c r="KE24" s="34"/>
      <c r="KF24" s="34"/>
      <c r="KG24" s="34"/>
      <c r="KH24" s="34"/>
      <c r="KI24" s="34"/>
      <c r="KJ24" s="34"/>
      <c r="KK24" s="34"/>
      <c r="KL24" s="34"/>
      <c r="KM24" s="34"/>
      <c r="KN24" s="34"/>
      <c r="KO24" s="34"/>
      <c r="KP24" s="34"/>
      <c r="KQ24" s="34"/>
      <c r="KR24" s="34"/>
      <c r="KS24" s="34"/>
      <c r="KT24" s="34"/>
      <c r="KU24" s="34"/>
      <c r="KV24" s="34"/>
      <c r="KW24" s="34"/>
      <c r="KX24" s="34"/>
      <c r="KY24" s="34"/>
      <c r="KZ24" s="34"/>
      <c r="LA24" s="34"/>
      <c r="LB24" s="34"/>
      <c r="LC24" s="34"/>
      <c r="LD24" s="34"/>
      <c r="LE24" s="34"/>
      <c r="LF24" s="34"/>
      <c r="LG24" s="34"/>
      <c r="LH24" s="34"/>
      <c r="LI24" s="34"/>
      <c r="LJ24" s="34"/>
      <c r="LK24" s="34"/>
      <c r="LL24" s="34"/>
      <c r="LM24" s="34"/>
      <c r="LN24" s="34"/>
      <c r="LO24" s="34"/>
      <c r="LP24" s="34"/>
      <c r="LQ24" s="34"/>
      <c r="LR24" s="34"/>
      <c r="LS24" s="34"/>
      <c r="LT24" s="34"/>
      <c r="LU24" s="34"/>
      <c r="LV24" s="34"/>
      <c r="LW24" s="34"/>
      <c r="LX24" s="34"/>
      <c r="LY24" s="34"/>
      <c r="LZ24" s="34"/>
      <c r="MA24" s="34"/>
      <c r="MB24" s="34"/>
      <c r="MC24" s="34"/>
      <c r="MD24" s="34"/>
      <c r="ME24" s="34"/>
      <c r="MF24" s="34"/>
      <c r="MG24" s="34"/>
      <c r="MH24" s="34"/>
      <c r="MI24" s="34"/>
      <c r="MJ24" s="34"/>
      <c r="MK24" s="34"/>
      <c r="ML24" s="34"/>
      <c r="MM24" s="34"/>
      <c r="MN24" s="34"/>
      <c r="MO24" s="34"/>
      <c r="MP24" s="34"/>
      <c r="MQ24" s="34"/>
      <c r="MR24" s="34"/>
      <c r="MS24" s="34"/>
      <c r="MT24" s="34"/>
      <c r="MU24" s="34"/>
      <c r="MV24" s="34"/>
      <c r="MW24" s="34"/>
      <c r="MX24" s="34"/>
      <c r="MY24" s="34"/>
      <c r="MZ24" s="34"/>
      <c r="NA24" s="34"/>
      <c r="NB24" s="34"/>
      <c r="NC24" s="34"/>
      <c r="ND24" s="34"/>
      <c r="NE24" s="34"/>
      <c r="NF24" s="34"/>
      <c r="NG24" s="34"/>
      <c r="NH24" s="34"/>
      <c r="NI24" s="34"/>
      <c r="NJ24" s="34"/>
      <c r="NK24" s="34"/>
      <c r="NL24" s="34"/>
      <c r="NM24" s="34"/>
      <c r="NN24" s="34"/>
      <c r="NO24" s="34"/>
      <c r="NP24" s="34"/>
      <c r="NQ24" s="34"/>
      <c r="NR24" s="34"/>
      <c r="NS24" s="34"/>
      <c r="NT24" s="34"/>
      <c r="NU24" s="34"/>
      <c r="NV24" s="34"/>
      <c r="NW24" s="34"/>
      <c r="NX24" s="34"/>
      <c r="NY24" s="34"/>
      <c r="NZ24" s="34"/>
      <c r="OA24" s="34"/>
      <c r="OB24" s="34"/>
      <c r="OC24" s="34"/>
      <c r="OD24" s="34"/>
      <c r="OE24" s="34"/>
      <c r="OF24" s="34"/>
      <c r="OG24" s="34"/>
      <c r="OH24" s="34"/>
      <c r="OI24" s="34"/>
      <c r="OJ24" s="34"/>
      <c r="OK24" s="34"/>
      <c r="OL24" s="34"/>
      <c r="OM24" s="34"/>
      <c r="ON24" s="34"/>
      <c r="OO24" s="34"/>
      <c r="OP24" s="34"/>
      <c r="OQ24" s="34"/>
      <c r="OR24" s="34"/>
      <c r="OS24" s="34"/>
      <c r="OT24" s="34"/>
      <c r="OU24" s="34"/>
      <c r="OV24" s="34"/>
      <c r="OW24" s="34"/>
      <c r="OX24" s="34"/>
      <c r="OY24" s="34"/>
      <c r="OZ24" s="34"/>
      <c r="PA24" s="34"/>
      <c r="PB24" s="34"/>
      <c r="PC24" s="34"/>
      <c r="PD24" s="34"/>
      <c r="PE24" s="34"/>
      <c r="PF24" s="34"/>
      <c r="PG24" s="34"/>
      <c r="PH24" s="34"/>
      <c r="PI24" s="34"/>
      <c r="PJ24" s="34"/>
      <c r="PK24" s="34"/>
      <c r="PL24" s="34"/>
      <c r="PM24" s="34"/>
      <c r="PN24" s="34"/>
      <c r="PO24" s="34"/>
      <c r="PP24" s="34"/>
      <c r="PQ24" s="34"/>
      <c r="PR24" s="34"/>
      <c r="PS24" s="34"/>
      <c r="PT24" s="34"/>
      <c r="PU24" s="34"/>
      <c r="PV24" s="34"/>
      <c r="PW24" s="34"/>
      <c r="PX24" s="34"/>
      <c r="PY24" s="34"/>
      <c r="PZ24" s="34"/>
      <c r="QA24" s="34"/>
      <c r="QB24" s="34"/>
      <c r="QC24" s="34"/>
      <c r="QD24" s="34"/>
      <c r="QE24" s="34"/>
      <c r="QF24" s="34"/>
      <c r="QG24" s="34"/>
      <c r="QH24" s="34"/>
      <c r="QI24" s="34"/>
      <c r="QJ24" s="34"/>
      <c r="QK24" s="34"/>
      <c r="QL24" s="34"/>
      <c r="QM24" s="34"/>
      <c r="QN24" s="34"/>
      <c r="QO24" s="34"/>
      <c r="QP24" s="34"/>
      <c r="QQ24" s="34"/>
      <c r="QR24" s="34"/>
      <c r="QS24" s="34"/>
      <c r="QT24" s="34"/>
      <c r="QU24" s="34"/>
      <c r="QV24" s="34"/>
      <c r="QW24" s="34"/>
      <c r="QX24" s="34"/>
      <c r="QY24" s="34"/>
      <c r="QZ24" s="34"/>
      <c r="RA24" s="34"/>
      <c r="RB24" s="34"/>
      <c r="RC24" s="34"/>
      <c r="RD24" s="34"/>
      <c r="RE24" s="34"/>
      <c r="RF24" s="34"/>
      <c r="RG24" s="34"/>
      <c r="RH24" s="34"/>
      <c r="RI24" s="34"/>
      <c r="RJ24" s="34"/>
      <c r="RK24" s="34"/>
      <c r="RL24" s="34"/>
      <c r="RM24" s="34"/>
      <c r="RN24" s="34"/>
      <c r="RO24" s="34"/>
      <c r="RP24" s="34"/>
      <c r="RQ24" s="34"/>
      <c r="RR24" s="34"/>
      <c r="RS24" s="34"/>
      <c r="RT24" s="34"/>
      <c r="RU24" s="34"/>
      <c r="RV24" s="34"/>
      <c r="RW24" s="34"/>
      <c r="RX24" s="34"/>
      <c r="RY24" s="34"/>
      <c r="RZ24" s="34"/>
      <c r="SA24" s="34"/>
      <c r="SB24" s="34"/>
      <c r="SC24" s="34"/>
      <c r="SD24" s="34"/>
      <c r="SE24" s="34"/>
      <c r="SF24" s="34"/>
      <c r="SG24" s="34"/>
      <c r="SH24" s="34"/>
      <c r="SI24" s="34"/>
      <c r="SJ24" s="34"/>
      <c r="SK24" s="34"/>
      <c r="SL24" s="34"/>
      <c r="SM24" s="34"/>
      <c r="SN24" s="34"/>
      <c r="SO24" s="34"/>
      <c r="SP24" s="34"/>
      <c r="SQ24" s="34"/>
      <c r="SR24" s="34"/>
      <c r="SS24" s="34"/>
      <c r="ST24" s="34"/>
      <c r="SU24" s="34"/>
      <c r="SV24" s="34"/>
      <c r="SW24" s="34"/>
      <c r="SX24" s="34"/>
      <c r="SY24" s="34"/>
      <c r="SZ24" s="34"/>
      <c r="TA24" s="34"/>
      <c r="TB24" s="34"/>
      <c r="TC24" s="34"/>
      <c r="TD24" s="34"/>
      <c r="TE24" s="34"/>
      <c r="TF24" s="34"/>
      <c r="TG24" s="34"/>
      <c r="TH24" s="34"/>
      <c r="TI24" s="34"/>
      <c r="TJ24" s="34"/>
      <c r="TK24" s="34"/>
      <c r="TL24" s="34"/>
      <c r="TM24" s="34"/>
      <c r="TN24" s="34"/>
      <c r="TO24" s="34"/>
      <c r="TP24" s="34"/>
      <c r="TQ24" s="34"/>
      <c r="TR24" s="34"/>
      <c r="TS24" s="34"/>
      <c r="TT24" s="34"/>
      <c r="TU24" s="34"/>
      <c r="TV24" s="34"/>
      <c r="TW24" s="34"/>
      <c r="TX24" s="34"/>
      <c r="TY24" s="34"/>
      <c r="TZ24" s="34"/>
      <c r="UA24" s="34"/>
      <c r="UB24" s="34"/>
      <c r="UC24" s="34"/>
      <c r="UD24" s="34"/>
      <c r="UE24" s="34"/>
      <c r="UF24" s="34"/>
      <c r="UG24" s="34"/>
      <c r="UH24" s="34"/>
      <c r="UI24" s="34"/>
      <c r="UJ24" s="34"/>
      <c r="UK24" s="34"/>
      <c r="UL24" s="34"/>
      <c r="UM24" s="34"/>
      <c r="UN24" s="34"/>
      <c r="UO24" s="34"/>
      <c r="UP24" s="34"/>
      <c r="UQ24" s="34"/>
      <c r="UR24" s="34"/>
      <c r="US24" s="34"/>
      <c r="UT24" s="34"/>
      <c r="UU24" s="34"/>
      <c r="UV24" s="34"/>
      <c r="UW24" s="34"/>
      <c r="UX24" s="34"/>
      <c r="UY24" s="34"/>
      <c r="UZ24" s="34"/>
      <c r="VA24" s="34"/>
      <c r="VB24" s="34"/>
      <c r="VC24" s="34"/>
      <c r="VD24" s="34"/>
      <c r="VE24" s="34"/>
      <c r="VF24" s="34"/>
      <c r="VG24" s="34"/>
      <c r="VH24" s="34"/>
      <c r="VI24" s="34"/>
      <c r="VJ24" s="34"/>
      <c r="VK24" s="34"/>
      <c r="VL24" s="34"/>
      <c r="VM24" s="34"/>
      <c r="VN24" s="34"/>
      <c r="VO24" s="34"/>
      <c r="VP24" s="34"/>
      <c r="VQ24" s="34"/>
      <c r="VR24" s="34"/>
      <c r="VS24" s="34"/>
      <c r="VT24" s="34"/>
      <c r="VU24" s="34"/>
      <c r="VV24" s="34"/>
      <c r="VW24" s="34"/>
      <c r="VX24" s="34"/>
      <c r="VY24" s="34"/>
      <c r="VZ24" s="34"/>
      <c r="WA24" s="34"/>
      <c r="WB24" s="34"/>
      <c r="WC24" s="34"/>
      <c r="WD24" s="34"/>
      <c r="WE24" s="34"/>
      <c r="WF24" s="34"/>
      <c r="WG24" s="34"/>
      <c r="WH24" s="34"/>
      <c r="WI24" s="34"/>
      <c r="WJ24" s="34"/>
      <c r="WK24" s="34"/>
      <c r="WL24" s="34"/>
      <c r="WM24" s="34"/>
      <c r="WN24" s="34"/>
      <c r="WO24" s="34"/>
      <c r="WP24" s="34"/>
      <c r="WQ24" s="34"/>
      <c r="WR24" s="34"/>
      <c r="WS24" s="34"/>
      <c r="WT24" s="34"/>
      <c r="WU24" s="34"/>
      <c r="WV24" s="34"/>
      <c r="WW24" s="34"/>
      <c r="WX24" s="34"/>
      <c r="WY24" s="34"/>
      <c r="WZ24" s="34"/>
      <c r="XA24" s="34"/>
      <c r="XB24" s="34"/>
      <c r="XC24" s="34"/>
      <c r="XD24" s="34"/>
      <c r="XE24" s="34"/>
      <c r="XF24" s="34"/>
      <c r="XG24" s="34"/>
      <c r="XH24" s="34"/>
      <c r="XI24" s="34"/>
      <c r="XJ24" s="34"/>
      <c r="XK24" s="34"/>
      <c r="XL24" s="34"/>
      <c r="XM24" s="34"/>
      <c r="XN24" s="34"/>
      <c r="XO24" s="34"/>
      <c r="XP24" s="34"/>
      <c r="XQ24" s="34"/>
      <c r="XR24" s="34"/>
      <c r="XS24" s="34"/>
      <c r="XT24" s="34"/>
      <c r="XU24" s="34"/>
      <c r="XV24" s="34"/>
      <c r="XW24" s="34"/>
      <c r="XX24" s="34"/>
      <c r="XY24" s="34"/>
      <c r="XZ24" s="34"/>
      <c r="YA24" s="34"/>
      <c r="YB24" s="34"/>
      <c r="YC24" s="34"/>
      <c r="YD24" s="34"/>
      <c r="YE24" s="34"/>
      <c r="YF24" s="34"/>
      <c r="YG24" s="34"/>
      <c r="YH24" s="34"/>
      <c r="YI24" s="34"/>
      <c r="YJ24" s="34"/>
      <c r="YK24" s="34"/>
      <c r="YL24" s="34"/>
      <c r="YM24" s="34"/>
      <c r="YN24" s="34"/>
      <c r="YO24" s="34"/>
      <c r="YP24" s="34"/>
      <c r="YQ24" s="34"/>
      <c r="YR24" s="34"/>
      <c r="YS24" s="34"/>
      <c r="YT24" s="34"/>
      <c r="YU24" s="34"/>
      <c r="YV24" s="34"/>
      <c r="YW24" s="34"/>
      <c r="YX24" s="34"/>
      <c r="YY24" s="34"/>
      <c r="YZ24" s="34"/>
      <c r="ZA24" s="34"/>
      <c r="ZB24" s="34"/>
      <c r="ZC24" s="34"/>
      <c r="ZD24" s="34"/>
      <c r="ZE24" s="34"/>
      <c r="ZF24" s="34"/>
      <c r="ZG24" s="34"/>
      <c r="ZH24" s="34"/>
      <c r="ZI24" s="34"/>
      <c r="ZJ24" s="34"/>
      <c r="ZK24" s="34"/>
      <c r="ZL24" s="34"/>
      <c r="ZM24" s="34"/>
      <c r="ZN24" s="34"/>
      <c r="ZO24" s="34"/>
      <c r="ZP24" s="34"/>
      <c r="ZQ24" s="34"/>
      <c r="ZR24" s="34"/>
      <c r="ZS24" s="34"/>
      <c r="ZT24" s="34"/>
      <c r="ZU24" s="34"/>
      <c r="ZV24" s="34"/>
      <c r="ZW24" s="34"/>
      <c r="ZX24" s="34"/>
      <c r="ZY24" s="34"/>
      <c r="ZZ24" s="34"/>
      <c r="AAA24" s="34"/>
      <c r="AAB24" s="34"/>
      <c r="AAC24" s="34"/>
      <c r="AAD24" s="34"/>
      <c r="AAE24" s="34"/>
      <c r="AAF24" s="34"/>
      <c r="AAG24" s="34"/>
      <c r="AAH24" s="34"/>
      <c r="AAI24" s="34"/>
      <c r="AAJ24" s="34"/>
      <c r="AAK24" s="34"/>
      <c r="AAL24" s="34"/>
      <c r="AAM24" s="34"/>
      <c r="AAN24" s="34"/>
      <c r="AAO24" s="34"/>
      <c r="AAP24" s="34"/>
      <c r="AAQ24" s="34"/>
      <c r="AAR24" s="34"/>
      <c r="AAS24" s="34"/>
      <c r="AAT24" s="34"/>
      <c r="AAU24" s="34"/>
      <c r="AAV24" s="34"/>
      <c r="AAW24" s="34"/>
      <c r="AAX24" s="34"/>
      <c r="AAY24" s="34"/>
      <c r="AAZ24" s="34"/>
      <c r="ABA24" s="34"/>
      <c r="ABB24" s="34"/>
      <c r="ABC24" s="34"/>
      <c r="ABD24" s="34"/>
      <c r="ABE24" s="34"/>
      <c r="ABF24" s="34"/>
      <c r="ABG24" s="34"/>
      <c r="ABH24" s="34"/>
      <c r="ABI24" s="34"/>
      <c r="ABJ24" s="34"/>
      <c r="ABK24" s="34"/>
      <c r="ABL24" s="34"/>
      <c r="ABM24" s="34"/>
      <c r="ABN24" s="34"/>
      <c r="ABO24" s="34"/>
      <c r="ABP24" s="34"/>
      <c r="ABQ24" s="34"/>
      <c r="ABR24" s="34"/>
      <c r="ABS24" s="34"/>
      <c r="ABT24" s="34"/>
      <c r="ABU24" s="34"/>
      <c r="ABV24" s="34"/>
      <c r="ABW24" s="34"/>
      <c r="ABX24" s="34"/>
      <c r="ABY24" s="34"/>
      <c r="ABZ24" s="34"/>
      <c r="ACA24" s="34"/>
      <c r="ACB24" s="34"/>
      <c r="ACC24" s="34"/>
      <c r="ACD24" s="34"/>
      <c r="ACE24" s="34"/>
      <c r="ACF24" s="34"/>
      <c r="ACG24" s="34"/>
      <c r="ACH24" s="34"/>
      <c r="ACI24" s="34"/>
      <c r="ACJ24" s="34"/>
      <c r="ACK24" s="34"/>
      <c r="ACL24" s="34"/>
      <c r="ACM24" s="34"/>
      <c r="ACN24" s="34"/>
      <c r="ACO24" s="34"/>
      <c r="ACP24" s="34"/>
      <c r="ACQ24" s="34"/>
      <c r="ACR24" s="34"/>
      <c r="ACS24" s="34"/>
      <c r="ACT24" s="34"/>
      <c r="ACU24" s="34"/>
      <c r="ACV24" s="34"/>
      <c r="ACW24" s="34"/>
      <c r="ACX24" s="34"/>
      <c r="ACY24" s="34"/>
      <c r="ACZ24" s="34"/>
      <c r="ADA24" s="34"/>
      <c r="ADB24" s="34"/>
      <c r="ADC24" s="34"/>
      <c r="ADD24" s="34"/>
      <c r="ADE24" s="34"/>
      <c r="ADF24" s="34"/>
      <c r="ADG24" s="34"/>
      <c r="ADH24" s="34"/>
      <c r="ADI24" s="34"/>
      <c r="ADJ24" s="34"/>
      <c r="ADK24" s="34"/>
      <c r="ADL24" s="34"/>
      <c r="ADM24" s="34"/>
      <c r="ADN24" s="34"/>
      <c r="ADO24" s="34"/>
      <c r="ADP24" s="34"/>
      <c r="ADQ24" s="34"/>
      <c r="ADR24" s="34"/>
      <c r="ADS24" s="34"/>
      <c r="ADT24" s="34"/>
      <c r="ADU24" s="34"/>
      <c r="ADV24" s="34"/>
      <c r="ADW24" s="34"/>
      <c r="ADX24" s="34"/>
      <c r="ADY24" s="34"/>
      <c r="ADZ24" s="34"/>
      <c r="AEA24" s="34"/>
      <c r="AEB24" s="34"/>
      <c r="AEC24" s="34"/>
      <c r="AED24" s="34"/>
      <c r="AEE24" s="34"/>
      <c r="AEF24" s="34"/>
      <c r="AEG24" s="34"/>
      <c r="AEH24" s="34"/>
      <c r="AEI24" s="34"/>
      <c r="AEJ24" s="34"/>
      <c r="AEK24" s="34"/>
      <c r="AEL24" s="34"/>
      <c r="AEM24" s="34"/>
      <c r="AEN24" s="34"/>
      <c r="AEO24" s="34"/>
      <c r="AEP24" s="34"/>
      <c r="AEQ24" s="34"/>
      <c r="AER24" s="34"/>
      <c r="AES24" s="34"/>
      <c r="AET24" s="34"/>
      <c r="AEU24" s="34"/>
      <c r="AEV24" s="34"/>
      <c r="AEW24" s="34"/>
      <c r="AEX24" s="34"/>
      <c r="AEY24" s="34"/>
      <c r="AEZ24" s="34"/>
      <c r="AFA24" s="34"/>
      <c r="AFB24" s="34"/>
      <c r="AFC24" s="34"/>
      <c r="AFD24" s="34"/>
      <c r="AFE24" s="34"/>
      <c r="AFF24" s="34"/>
      <c r="AFG24" s="34"/>
      <c r="AFH24" s="34"/>
      <c r="AFI24" s="34"/>
      <c r="AFJ24" s="34"/>
      <c r="AFK24" s="34"/>
      <c r="AFL24" s="34"/>
      <c r="AFM24" s="34"/>
      <c r="AFN24" s="34"/>
      <c r="AFO24" s="34"/>
      <c r="AFP24" s="34"/>
      <c r="AFQ24" s="34"/>
      <c r="AFR24" s="34"/>
      <c r="AFS24" s="34"/>
      <c r="AFT24" s="34"/>
      <c r="AFU24" s="34"/>
      <c r="AFV24" s="34"/>
      <c r="AFW24" s="34"/>
      <c r="AFX24" s="34"/>
      <c r="AFY24" s="34"/>
      <c r="AFZ24" s="34"/>
      <c r="AGA24" s="34"/>
      <c r="AGB24" s="34"/>
      <c r="AGC24" s="34"/>
      <c r="AGD24" s="34"/>
      <c r="AGE24" s="34"/>
      <c r="AGF24" s="34"/>
      <c r="AGG24" s="34"/>
      <c r="AGH24" s="34"/>
      <c r="AGI24" s="34"/>
      <c r="AGJ24" s="34"/>
      <c r="AGK24" s="34"/>
      <c r="AGL24" s="34"/>
      <c r="AGM24" s="34"/>
      <c r="AGN24" s="34"/>
      <c r="AGO24" s="34"/>
      <c r="AGP24" s="34"/>
      <c r="AGQ24" s="34"/>
      <c r="AGR24" s="34"/>
      <c r="AGS24" s="34"/>
      <c r="AGT24" s="34"/>
      <c r="AGU24" s="34"/>
      <c r="AGV24" s="34"/>
      <c r="AGW24" s="34"/>
      <c r="AGX24" s="34"/>
      <c r="AGY24" s="34"/>
      <c r="AGZ24" s="34"/>
      <c r="AHA24" s="34"/>
      <c r="AHB24" s="34"/>
      <c r="AHC24" s="34"/>
      <c r="AHD24" s="34"/>
      <c r="AHE24" s="34"/>
      <c r="AHF24" s="34"/>
      <c r="AHG24" s="34"/>
      <c r="AHH24" s="34"/>
      <c r="AHI24" s="34"/>
      <c r="AHJ24" s="34"/>
      <c r="AHK24" s="34"/>
      <c r="AHL24" s="34"/>
      <c r="AHM24" s="34"/>
      <c r="AHN24" s="34"/>
      <c r="AHO24" s="34"/>
      <c r="AHP24" s="34"/>
      <c r="AHQ24" s="34"/>
      <c r="AHR24" s="34"/>
      <c r="AHS24" s="34"/>
      <c r="AHT24" s="34"/>
      <c r="AHU24" s="34"/>
      <c r="AHV24" s="34"/>
      <c r="AHW24" s="34"/>
      <c r="AHX24" s="34"/>
      <c r="AHY24" s="34"/>
      <c r="AHZ24" s="34"/>
      <c r="AIA24" s="34"/>
      <c r="AIB24" s="34"/>
      <c r="AIC24" s="34"/>
      <c r="AID24" s="34"/>
      <c r="AIE24" s="34"/>
      <c r="AIF24" s="34"/>
      <c r="AIG24" s="34"/>
      <c r="AIH24" s="34"/>
      <c r="AII24" s="34"/>
      <c r="AIJ24" s="34"/>
      <c r="AIK24" s="34"/>
      <c r="AIL24" s="34"/>
      <c r="AIM24" s="34"/>
      <c r="AIN24" s="34"/>
      <c r="AIO24" s="34"/>
      <c r="AIP24" s="34"/>
      <c r="AIQ24" s="34"/>
      <c r="AIR24" s="34"/>
      <c r="AIS24" s="34"/>
      <c r="AIT24" s="34"/>
      <c r="AIU24" s="34"/>
      <c r="AIV24" s="34"/>
      <c r="AIW24" s="34"/>
      <c r="AIX24" s="34"/>
      <c r="AIY24" s="34"/>
      <c r="AIZ24" s="34"/>
      <c r="AJA24" s="34"/>
      <c r="AJB24" s="34"/>
      <c r="AJC24" s="34"/>
      <c r="AJD24" s="34"/>
      <c r="AJE24" s="34"/>
      <c r="AJF24" s="34"/>
      <c r="AJG24" s="34"/>
      <c r="AJH24" s="34"/>
      <c r="AJI24" s="34"/>
      <c r="AJJ24" s="34"/>
      <c r="AJK24" s="34"/>
      <c r="AJL24" s="34"/>
      <c r="AJM24" s="34"/>
      <c r="AJN24" s="34"/>
      <c r="AJO24" s="34"/>
      <c r="AJP24" s="34"/>
      <c r="AJQ24" s="34"/>
      <c r="AJR24" s="34"/>
      <c r="AJS24" s="34"/>
      <c r="AJT24" s="34"/>
      <c r="AJU24" s="34"/>
      <c r="AJV24" s="34"/>
      <c r="AJW24" s="34"/>
      <c r="AJX24" s="34"/>
      <c r="AJY24" s="34"/>
      <c r="AJZ24" s="34"/>
      <c r="AKA24" s="34"/>
      <c r="AKB24" s="34"/>
      <c r="AKC24" s="34"/>
      <c r="AKD24" s="34"/>
      <c r="AKE24" s="34"/>
      <c r="AKF24" s="34"/>
      <c r="AKG24" s="34"/>
      <c r="AKH24" s="34"/>
      <c r="AKI24" s="34"/>
      <c r="AKJ24" s="34"/>
      <c r="AKK24" s="34"/>
      <c r="AKL24" s="34"/>
      <c r="AKM24" s="34"/>
      <c r="AKN24" s="34"/>
      <c r="AKO24" s="34"/>
      <c r="AKP24" s="34"/>
      <c r="AKQ24" s="34"/>
      <c r="AKR24" s="34"/>
      <c r="AKS24" s="34"/>
      <c r="AKT24" s="34"/>
      <c r="AKU24" s="34"/>
      <c r="AKV24" s="34"/>
      <c r="AKW24" s="34"/>
      <c r="AKX24" s="34"/>
      <c r="AKY24" s="34"/>
      <c r="AKZ24" s="34"/>
      <c r="ALA24" s="34"/>
      <c r="ALB24" s="34"/>
      <c r="ALC24" s="34"/>
      <c r="ALD24" s="34"/>
      <c r="ALE24" s="34"/>
      <c r="ALF24" s="34"/>
      <c r="ALG24" s="33"/>
      <c r="ALH24" s="33"/>
      <c r="ALI24" s="33"/>
      <c r="ALJ24" s="33"/>
      <c r="ALK24" s="33"/>
      <c r="ALL24" s="33"/>
      <c r="ALM24" s="33"/>
      <c r="ALN24" s="33"/>
      <c r="ALO24" s="33"/>
      <c r="ALP24" s="33"/>
      <c r="ALQ24" s="33"/>
      <c r="ALR24" s="33"/>
      <c r="ALS24" s="33"/>
      <c r="ALT24" s="33"/>
      <c r="ALU24" s="33"/>
      <c r="ALV24" s="33"/>
      <c r="ALW24" s="33"/>
      <c r="ALX24" s="33"/>
      <c r="ALY24" s="33"/>
      <c r="ALZ24" s="33"/>
      <c r="AMA24" s="33"/>
      <c r="AMB24" s="33"/>
      <c r="AMC24" s="33"/>
      <c r="AMD24" s="33"/>
      <c r="AME24" s="33"/>
      <c r="AMF24" s="33"/>
      <c r="AMG24" s="33"/>
      <c r="AMH24" s="33"/>
      <c r="AMI24" s="33"/>
      <c r="AMJ24" s="33"/>
      <c r="AMK24" s="33"/>
      <c r="AML24" s="33"/>
      <c r="AMM24" s="33"/>
      <c r="AMN24" s="33"/>
      <c r="AMO24" s="33"/>
      <c r="AMP24" s="33"/>
      <c r="AMQ24" s="33"/>
      <c r="AMR24" s="33"/>
      <c r="AMS24" s="33"/>
      <c r="AMT24" s="33"/>
      <c r="AMU24" s="33"/>
      <c r="AMV24" s="33"/>
      <c r="AMW24" s="33"/>
      <c r="AMX24" s="33"/>
      <c r="AMY24" s="33"/>
      <c r="AMZ24" s="33"/>
      <c r="ANA24" s="33"/>
      <c r="ANB24" s="33"/>
      <c r="ANC24" s="33"/>
      <c r="AND24" s="33"/>
      <c r="ANE24" s="33"/>
      <c r="ANF24" s="33"/>
      <c r="ANG24" s="33"/>
      <c r="ANH24" s="33"/>
      <c r="ANI24" s="33"/>
      <c r="ANJ24" s="33"/>
      <c r="ANK24" s="33"/>
      <c r="ANL24" s="33"/>
      <c r="ANM24" s="33"/>
      <c r="ANN24" s="33"/>
      <c r="ANO24" s="33"/>
      <c r="ANP24" s="33"/>
      <c r="ANQ24" s="33"/>
      <c r="ANR24" s="33"/>
      <c r="ANS24" s="33"/>
      <c r="ANT24" s="33"/>
      <c r="ANU24" s="33"/>
      <c r="ANV24" s="33"/>
      <c r="ANW24" s="33"/>
      <c r="ANX24" s="33"/>
      <c r="ANY24" s="33"/>
      <c r="ANZ24" s="33"/>
      <c r="AOA24" s="33"/>
      <c r="AOB24" s="33"/>
      <c r="AOC24" s="33"/>
      <c r="AOD24" s="33"/>
      <c r="AOE24" s="33"/>
      <c r="AOF24" s="33"/>
      <c r="AOG24" s="33"/>
      <c r="AOH24" s="33"/>
      <c r="AOI24" s="33"/>
      <c r="AOJ24" s="33"/>
      <c r="AOK24" s="33"/>
      <c r="AOL24" s="33"/>
      <c r="AOM24" s="33"/>
      <c r="AON24" s="33"/>
      <c r="AOO24" s="33"/>
      <c r="AOP24" s="33"/>
      <c r="AOQ24" s="33"/>
      <c r="AOR24" s="33"/>
      <c r="AOS24" s="33"/>
      <c r="AOT24" s="33"/>
      <c r="AOU24" s="33"/>
      <c r="AOV24" s="33"/>
      <c r="AOW24" s="33"/>
      <c r="AOX24" s="33"/>
      <c r="AOY24" s="33"/>
      <c r="AOZ24" s="33"/>
      <c r="APA24" s="33"/>
      <c r="APB24" s="33"/>
      <c r="APC24" s="33"/>
      <c r="APD24" s="33"/>
      <c r="APE24" s="33"/>
      <c r="APF24" s="33"/>
      <c r="APG24" s="33"/>
      <c r="APH24" s="33"/>
      <c r="API24" s="33"/>
      <c r="APJ24" s="33"/>
      <c r="APK24" s="33"/>
      <c r="APL24" s="33"/>
      <c r="APM24" s="33"/>
      <c r="APN24" s="33"/>
      <c r="APO24" s="33"/>
      <c r="APP24" s="33"/>
      <c r="APQ24" s="33"/>
      <c r="APR24" s="33"/>
      <c r="APS24" s="33"/>
      <c r="APT24" s="33"/>
      <c r="APU24" s="33"/>
      <c r="APV24" s="33"/>
      <c r="APW24" s="33"/>
      <c r="APX24" s="33"/>
      <c r="APY24" s="33"/>
      <c r="APZ24" s="33"/>
      <c r="AQA24" s="33"/>
      <c r="AQB24" s="33"/>
      <c r="AQC24" s="33"/>
      <c r="AQD24" s="33"/>
      <c r="AQE24" s="33"/>
      <c r="AQF24" s="33"/>
      <c r="AQG24" s="33"/>
      <c r="AQH24" s="33"/>
      <c r="AQI24" s="33"/>
      <c r="AQJ24" s="33"/>
      <c r="AQK24" s="33"/>
      <c r="AQL24" s="33"/>
      <c r="AQM24" s="33"/>
      <c r="AQN24" s="33"/>
      <c r="AQO24" s="33"/>
      <c r="AQP24" s="33"/>
      <c r="AQQ24" s="33"/>
      <c r="AQR24" s="33"/>
      <c r="AQS24" s="33"/>
      <c r="AQT24" s="33"/>
      <c r="AQU24" s="33"/>
      <c r="AQV24" s="33"/>
      <c r="AQW24" s="33"/>
      <c r="AQX24" s="33"/>
      <c r="AQY24" s="33"/>
      <c r="AQZ24" s="33"/>
      <c r="ARA24" s="33"/>
      <c r="ARB24" s="33"/>
      <c r="ARC24" s="33"/>
      <c r="ARD24" s="33"/>
      <c r="ARE24" s="33"/>
      <c r="ARF24" s="33"/>
      <c r="ARG24" s="33"/>
      <c r="ARH24" s="33"/>
      <c r="ARI24" s="33"/>
      <c r="ARJ24" s="33"/>
      <c r="ARK24" s="33"/>
      <c r="ARL24" s="33"/>
      <c r="ARM24" s="33"/>
      <c r="ARN24" s="33"/>
      <c r="ARO24" s="33"/>
      <c r="ARP24" s="33"/>
      <c r="ARQ24" s="33"/>
      <c r="ARR24" s="33"/>
      <c r="ARS24" s="33"/>
      <c r="ART24" s="33"/>
      <c r="ARU24" s="33"/>
      <c r="ARV24" s="33"/>
      <c r="ARW24" s="33"/>
      <c r="ARX24" s="33"/>
      <c r="ARY24" s="33"/>
      <c r="ARZ24" s="33"/>
      <c r="ASA24" s="33"/>
      <c r="ASB24" s="33"/>
      <c r="ASC24" s="33"/>
      <c r="ASD24" s="33"/>
      <c r="ASE24" s="33"/>
      <c r="ASF24" s="33"/>
      <c r="ASG24" s="33"/>
      <c r="ASH24" s="33"/>
      <c r="ASI24" s="33"/>
      <c r="ASJ24" s="33"/>
      <c r="ASK24" s="33"/>
      <c r="ASL24" s="33"/>
      <c r="ASM24" s="33"/>
      <c r="ASN24" s="33"/>
      <c r="ASO24" s="33"/>
      <c r="ASP24" s="33"/>
      <c r="ASQ24" s="33"/>
      <c r="ASR24" s="33"/>
      <c r="ASS24" s="33"/>
      <c r="AST24" s="33"/>
      <c r="ASU24" s="33"/>
      <c r="ASV24" s="33"/>
      <c r="ASW24" s="33"/>
      <c r="ASX24" s="33"/>
      <c r="ASY24" s="33"/>
      <c r="ASZ24" s="33"/>
      <c r="ATA24" s="33"/>
      <c r="ATB24" s="33"/>
      <c r="ATC24" s="33"/>
      <c r="ATD24" s="33"/>
      <c r="ATE24" s="33"/>
      <c r="ATF24" s="33"/>
      <c r="ATG24" s="33"/>
      <c r="ATH24" s="33"/>
      <c r="ATI24" s="33"/>
      <c r="ATJ24" s="33"/>
      <c r="ATK24" s="33"/>
      <c r="ATL24" s="33"/>
      <c r="ATM24" s="33"/>
      <c r="ATN24" s="33"/>
      <c r="ATO24" s="33"/>
      <c r="ATP24" s="33"/>
      <c r="ATQ24" s="33"/>
      <c r="ATR24" s="33"/>
      <c r="ATS24" s="33"/>
      <c r="ATT24" s="33"/>
      <c r="ATU24" s="33"/>
      <c r="ATV24" s="33"/>
      <c r="ATW24" s="33"/>
      <c r="ATX24" s="33"/>
      <c r="ATY24" s="33"/>
      <c r="ATZ24" s="33"/>
      <c r="AUA24" s="33"/>
      <c r="AUB24" s="33"/>
      <c r="AUC24" s="33"/>
      <c r="AUD24" s="33"/>
      <c r="AUE24" s="33"/>
      <c r="AUF24" s="33"/>
      <c r="AUG24" s="33"/>
      <c r="AUH24" s="33"/>
      <c r="AUI24" s="33"/>
      <c r="AUJ24" s="33"/>
      <c r="AUK24" s="33"/>
      <c r="AUL24" s="33"/>
      <c r="AUM24" s="33"/>
      <c r="AUN24" s="33"/>
      <c r="AUO24" s="33"/>
      <c r="AUP24" s="33"/>
      <c r="AUQ24" s="33"/>
      <c r="AUR24" s="33"/>
      <c r="AUS24" s="33"/>
      <c r="AUT24" s="33"/>
      <c r="AUU24" s="33"/>
      <c r="AUV24" s="33"/>
      <c r="AUW24" s="33"/>
      <c r="AUX24" s="33"/>
      <c r="AUY24" s="33"/>
      <c r="AUZ24" s="33"/>
      <c r="AVA24" s="33"/>
      <c r="AVB24" s="33"/>
    </row>
    <row r="25" spans="1:1250" ht="18.75" customHeight="1">
      <c r="A25" s="67"/>
      <c r="B25" s="68"/>
      <c r="C25" s="69"/>
      <c r="D25" s="70"/>
      <c r="E25" s="71"/>
      <c r="F25" s="69"/>
      <c r="G25" s="72"/>
      <c r="H25" s="73"/>
      <c r="I25" s="74"/>
      <c r="J25" s="1"/>
      <c r="K25" s="76"/>
      <c r="L25" s="33"/>
      <c r="M25" s="43"/>
      <c r="N25" s="44"/>
      <c r="O25" s="43"/>
      <c r="P25" s="78"/>
      <c r="Q25" s="83"/>
      <c r="R25" s="81"/>
      <c r="S25" s="82"/>
      <c r="T25" s="34"/>
      <c r="U25" s="36"/>
      <c r="V25" s="57"/>
      <c r="W25" s="57"/>
      <c r="X25" s="36"/>
      <c r="Y25" s="116"/>
      <c r="Z25" s="98"/>
      <c r="AA25" s="61"/>
      <c r="AB25" s="104"/>
      <c r="AC25" s="104"/>
      <c r="AD25" s="104"/>
      <c r="AE25" s="64"/>
      <c r="AF25" s="53"/>
      <c r="AG25" s="45"/>
      <c r="AH25" s="2"/>
      <c r="AI25" s="2"/>
      <c r="AJ25" s="34"/>
      <c r="AK25" s="34"/>
      <c r="AL25" s="34"/>
      <c r="AM25" s="34"/>
      <c r="AN25" s="34"/>
      <c r="AO25" s="34"/>
      <c r="AP25" s="34"/>
      <c r="AQ25" s="34"/>
      <c r="AR25" s="34"/>
      <c r="AS25" s="34"/>
      <c r="AT25" s="34"/>
      <c r="AU25" s="34"/>
      <c r="AV25" s="34"/>
      <c r="AW25" s="34"/>
      <c r="AX25" s="34"/>
      <c r="AY25" s="34"/>
      <c r="AZ25" s="34"/>
      <c r="BA25" s="34"/>
      <c r="BB25" s="34"/>
      <c r="BC25" s="34"/>
      <c r="BD25" s="34"/>
      <c r="BE25" s="34"/>
      <c r="BF25" s="34"/>
      <c r="BG25" s="34"/>
      <c r="BH25" s="34"/>
      <c r="BI25" s="34"/>
      <c r="BJ25" s="34"/>
      <c r="BK25" s="34"/>
      <c r="BL25" s="34"/>
      <c r="BM25" s="34"/>
      <c r="BN25" s="34"/>
      <c r="BO25" s="34"/>
      <c r="BP25" s="34"/>
      <c r="BQ25" s="34"/>
      <c r="BR25" s="34"/>
      <c r="BS25" s="34"/>
      <c r="BT25" s="34"/>
      <c r="BU25" s="34"/>
      <c r="BV25" s="34"/>
      <c r="BW25" s="34"/>
      <c r="BX25" s="34"/>
      <c r="BY25" s="34"/>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c r="DC25" s="34"/>
      <c r="DD25" s="34"/>
      <c r="DE25" s="34"/>
      <c r="DF25" s="34"/>
      <c r="DG25" s="34"/>
      <c r="DH25" s="34"/>
      <c r="DI25" s="34"/>
      <c r="DJ25" s="34"/>
      <c r="DK25" s="34"/>
      <c r="DL25" s="34"/>
      <c r="DM25" s="34"/>
      <c r="DN25" s="34"/>
      <c r="DO25" s="34"/>
      <c r="DP25" s="34"/>
      <c r="DQ25" s="34"/>
      <c r="DR25" s="34"/>
      <c r="DS25" s="34"/>
      <c r="DT25" s="34"/>
      <c r="DU25" s="34"/>
      <c r="DV25" s="34"/>
      <c r="DW25" s="34"/>
      <c r="DX25" s="34"/>
      <c r="DY25" s="34"/>
      <c r="DZ25" s="34"/>
      <c r="EA25" s="34"/>
      <c r="EB25" s="34"/>
      <c r="EC25" s="34"/>
      <c r="ED25" s="34"/>
      <c r="EE25" s="34"/>
      <c r="EF25" s="34"/>
      <c r="EG25" s="34"/>
      <c r="EH25" s="34"/>
      <c r="EI25" s="34"/>
      <c r="EJ25" s="34"/>
      <c r="EK25" s="34"/>
      <c r="EL25" s="34"/>
      <c r="EM25" s="34"/>
      <c r="EN25" s="34"/>
      <c r="EO25" s="34"/>
      <c r="EP25" s="34"/>
      <c r="EQ25" s="34"/>
      <c r="ER25" s="34"/>
      <c r="ES25" s="34"/>
      <c r="ET25" s="34"/>
      <c r="EU25" s="34"/>
      <c r="EV25" s="34"/>
      <c r="EW25" s="34"/>
      <c r="EX25" s="34"/>
      <c r="EY25" s="34"/>
      <c r="EZ25" s="34"/>
      <c r="FA25" s="34"/>
      <c r="FB25" s="34"/>
      <c r="FC25" s="34"/>
      <c r="FD25" s="34"/>
      <c r="FE25" s="34"/>
      <c r="FF25" s="34"/>
      <c r="FG25" s="34"/>
      <c r="FH25" s="34"/>
      <c r="FI25" s="34"/>
      <c r="FJ25" s="34"/>
      <c r="FK25" s="34"/>
      <c r="FL25" s="34"/>
      <c r="FM25" s="34"/>
      <c r="FN25" s="34"/>
      <c r="FO25" s="34"/>
      <c r="FP25" s="34"/>
      <c r="FQ25" s="34"/>
      <c r="FR25" s="34"/>
      <c r="FS25" s="34"/>
      <c r="FT25" s="34"/>
      <c r="FU25" s="34"/>
      <c r="FV25" s="34"/>
      <c r="FW25" s="34"/>
      <c r="FX25" s="34"/>
      <c r="FY25" s="34"/>
      <c r="FZ25" s="34"/>
      <c r="GA25" s="34"/>
      <c r="GB25" s="34"/>
      <c r="GC25" s="34"/>
      <c r="GD25" s="34"/>
      <c r="GE25" s="34"/>
      <c r="GF25" s="34"/>
      <c r="GG25" s="34"/>
      <c r="GH25" s="34"/>
      <c r="GI25" s="34"/>
      <c r="GJ25" s="34"/>
      <c r="GK25" s="34"/>
      <c r="GL25" s="34"/>
      <c r="GM25" s="34"/>
      <c r="GN25" s="34"/>
      <c r="GO25" s="34"/>
      <c r="GP25" s="34"/>
      <c r="GQ25" s="34"/>
      <c r="GR25" s="34"/>
      <c r="GS25" s="34"/>
      <c r="GT25" s="34"/>
      <c r="GU25" s="34"/>
      <c r="GV25" s="34"/>
      <c r="GW25" s="34"/>
      <c r="GX25" s="34"/>
      <c r="GY25" s="34"/>
      <c r="GZ25" s="34"/>
      <c r="HA25" s="34"/>
      <c r="HB25" s="34"/>
      <c r="HC25" s="34"/>
      <c r="HD25" s="34"/>
      <c r="HE25" s="34"/>
      <c r="HF25" s="34"/>
      <c r="HG25" s="34"/>
      <c r="HH25" s="34"/>
      <c r="HI25" s="34"/>
      <c r="HJ25" s="34"/>
      <c r="HK25" s="34"/>
      <c r="HL25" s="34"/>
      <c r="HM25" s="34"/>
      <c r="HN25" s="34"/>
      <c r="HO25" s="34"/>
      <c r="HP25" s="34"/>
      <c r="HQ25" s="34"/>
      <c r="HR25" s="34"/>
      <c r="HS25" s="34"/>
      <c r="HT25" s="34"/>
      <c r="HU25" s="34"/>
      <c r="HV25" s="34"/>
      <c r="HW25" s="34"/>
      <c r="HX25" s="34"/>
      <c r="HY25" s="34"/>
      <c r="HZ25" s="34"/>
      <c r="IA25" s="34"/>
      <c r="IB25" s="34"/>
      <c r="IC25" s="34"/>
      <c r="ID25" s="34"/>
      <c r="IE25" s="34"/>
      <c r="IF25" s="34"/>
      <c r="IG25" s="34"/>
      <c r="IH25" s="34"/>
      <c r="II25" s="34"/>
      <c r="IJ25" s="34"/>
      <c r="IK25" s="34"/>
      <c r="IL25" s="34"/>
      <c r="IM25" s="34"/>
      <c r="IN25" s="34"/>
      <c r="IO25" s="34"/>
      <c r="IP25" s="34"/>
      <c r="IQ25" s="34"/>
      <c r="IR25" s="34"/>
      <c r="IS25" s="34"/>
      <c r="IT25" s="34"/>
      <c r="IU25" s="34"/>
      <c r="IV25" s="34"/>
      <c r="IW25" s="34"/>
      <c r="IX25" s="34"/>
      <c r="IY25" s="34"/>
      <c r="IZ25" s="34"/>
      <c r="JA25" s="34"/>
      <c r="JB25" s="34"/>
      <c r="JC25" s="34"/>
      <c r="JD25" s="34"/>
      <c r="JE25" s="34"/>
      <c r="JF25" s="34"/>
      <c r="JG25" s="34"/>
      <c r="JH25" s="34"/>
      <c r="JI25" s="34"/>
      <c r="JJ25" s="34"/>
      <c r="JK25" s="34"/>
      <c r="JL25" s="34"/>
      <c r="JM25" s="34"/>
      <c r="JN25" s="34"/>
      <c r="JO25" s="34"/>
      <c r="JP25" s="34"/>
      <c r="JQ25" s="34"/>
      <c r="JR25" s="34"/>
      <c r="JS25" s="34"/>
      <c r="JT25" s="34"/>
      <c r="JU25" s="34"/>
      <c r="JV25" s="34"/>
      <c r="JW25" s="34"/>
      <c r="JX25" s="34"/>
      <c r="JY25" s="34"/>
      <c r="JZ25" s="34"/>
      <c r="KA25" s="34"/>
      <c r="KB25" s="34"/>
      <c r="KC25" s="34"/>
      <c r="KD25" s="34"/>
      <c r="KE25" s="34"/>
      <c r="KF25" s="34"/>
      <c r="KG25" s="34"/>
      <c r="KH25" s="34"/>
      <c r="KI25" s="34"/>
      <c r="KJ25" s="34"/>
      <c r="KK25" s="34"/>
      <c r="KL25" s="34"/>
      <c r="KM25" s="34"/>
      <c r="KN25" s="34"/>
      <c r="KO25" s="34"/>
      <c r="KP25" s="34"/>
      <c r="KQ25" s="34"/>
      <c r="KR25" s="34"/>
      <c r="KS25" s="34"/>
      <c r="KT25" s="34"/>
      <c r="KU25" s="34"/>
      <c r="KV25" s="34"/>
      <c r="KW25" s="34"/>
      <c r="KX25" s="34"/>
      <c r="KY25" s="34"/>
      <c r="KZ25" s="34"/>
      <c r="LA25" s="34"/>
      <c r="LB25" s="34"/>
      <c r="LC25" s="34"/>
      <c r="LD25" s="34"/>
      <c r="LE25" s="34"/>
      <c r="LF25" s="34"/>
      <c r="LG25" s="34"/>
      <c r="LH25" s="34"/>
      <c r="LI25" s="34"/>
      <c r="LJ25" s="34"/>
      <c r="LK25" s="34"/>
      <c r="LL25" s="34"/>
      <c r="LM25" s="34"/>
      <c r="LN25" s="34"/>
      <c r="LO25" s="34"/>
      <c r="LP25" s="34"/>
      <c r="LQ25" s="34"/>
      <c r="LR25" s="34"/>
      <c r="LS25" s="34"/>
      <c r="LT25" s="34"/>
      <c r="LU25" s="34"/>
      <c r="LV25" s="34"/>
      <c r="LW25" s="34"/>
      <c r="LX25" s="34"/>
      <c r="LY25" s="34"/>
      <c r="LZ25" s="34"/>
      <c r="MA25" s="34"/>
      <c r="MB25" s="34"/>
      <c r="MC25" s="34"/>
      <c r="MD25" s="34"/>
      <c r="ME25" s="34"/>
      <c r="MF25" s="34"/>
      <c r="MG25" s="34"/>
      <c r="MH25" s="34"/>
      <c r="MI25" s="34"/>
      <c r="MJ25" s="34"/>
      <c r="MK25" s="34"/>
      <c r="ML25" s="34"/>
      <c r="MM25" s="34"/>
      <c r="MN25" s="34"/>
      <c r="MO25" s="34"/>
      <c r="MP25" s="34"/>
      <c r="MQ25" s="34"/>
      <c r="MR25" s="34"/>
      <c r="MS25" s="34"/>
      <c r="MT25" s="34"/>
      <c r="MU25" s="34"/>
      <c r="MV25" s="34"/>
      <c r="MW25" s="34"/>
      <c r="MX25" s="34"/>
      <c r="MY25" s="34"/>
      <c r="MZ25" s="34"/>
      <c r="NA25" s="34"/>
      <c r="NB25" s="34"/>
      <c r="NC25" s="34"/>
      <c r="ND25" s="34"/>
      <c r="NE25" s="34"/>
      <c r="NF25" s="34"/>
      <c r="NG25" s="34"/>
      <c r="NH25" s="34"/>
      <c r="NI25" s="34"/>
      <c r="NJ25" s="34"/>
      <c r="NK25" s="34"/>
      <c r="NL25" s="34"/>
      <c r="NM25" s="34"/>
      <c r="NN25" s="34"/>
      <c r="NO25" s="34"/>
      <c r="NP25" s="34"/>
      <c r="NQ25" s="34"/>
      <c r="NR25" s="34"/>
      <c r="NS25" s="34"/>
      <c r="NT25" s="34"/>
      <c r="NU25" s="34"/>
      <c r="NV25" s="34"/>
      <c r="NW25" s="34"/>
      <c r="NX25" s="34"/>
      <c r="NY25" s="34"/>
      <c r="NZ25" s="34"/>
      <c r="OA25" s="34"/>
      <c r="OB25" s="34"/>
      <c r="OC25" s="34"/>
      <c r="OD25" s="34"/>
      <c r="OE25" s="34"/>
      <c r="OF25" s="34"/>
      <c r="OG25" s="34"/>
      <c r="OH25" s="34"/>
      <c r="OI25" s="34"/>
      <c r="OJ25" s="34"/>
      <c r="OK25" s="34"/>
      <c r="OL25" s="34"/>
      <c r="OM25" s="34"/>
      <c r="ON25" s="34"/>
      <c r="OO25" s="34"/>
      <c r="OP25" s="34"/>
      <c r="OQ25" s="34"/>
      <c r="OR25" s="34"/>
      <c r="OS25" s="34"/>
      <c r="OT25" s="34"/>
      <c r="OU25" s="34"/>
      <c r="OV25" s="34"/>
      <c r="OW25" s="34"/>
      <c r="OX25" s="34"/>
      <c r="OY25" s="34"/>
      <c r="OZ25" s="34"/>
      <c r="PA25" s="34"/>
      <c r="PB25" s="34"/>
      <c r="PC25" s="34"/>
      <c r="PD25" s="34"/>
      <c r="PE25" s="34"/>
      <c r="PF25" s="34"/>
      <c r="PG25" s="34"/>
      <c r="PH25" s="34"/>
      <c r="PI25" s="34"/>
      <c r="PJ25" s="34"/>
      <c r="PK25" s="34"/>
      <c r="PL25" s="34"/>
      <c r="PM25" s="34"/>
      <c r="PN25" s="34"/>
      <c r="PO25" s="34"/>
      <c r="PP25" s="34"/>
      <c r="PQ25" s="34"/>
      <c r="PR25" s="34"/>
      <c r="PS25" s="34"/>
      <c r="PT25" s="34"/>
      <c r="PU25" s="34"/>
      <c r="PV25" s="34"/>
      <c r="PW25" s="34"/>
      <c r="PX25" s="34"/>
      <c r="PY25" s="34"/>
      <c r="PZ25" s="34"/>
      <c r="QA25" s="34"/>
      <c r="QB25" s="34"/>
      <c r="QC25" s="34"/>
      <c r="QD25" s="34"/>
      <c r="QE25" s="34"/>
      <c r="QF25" s="34"/>
      <c r="QG25" s="34"/>
      <c r="QH25" s="34"/>
      <c r="QI25" s="34"/>
      <c r="QJ25" s="34"/>
      <c r="QK25" s="34"/>
      <c r="QL25" s="34"/>
      <c r="QM25" s="34"/>
      <c r="QN25" s="34"/>
      <c r="QO25" s="34"/>
      <c r="QP25" s="34"/>
      <c r="QQ25" s="34"/>
      <c r="QR25" s="34"/>
      <c r="QS25" s="34"/>
      <c r="QT25" s="34"/>
      <c r="QU25" s="34"/>
      <c r="QV25" s="34"/>
      <c r="QW25" s="34"/>
      <c r="QX25" s="34"/>
      <c r="QY25" s="34"/>
      <c r="QZ25" s="34"/>
      <c r="RA25" s="34"/>
      <c r="RB25" s="34"/>
      <c r="RC25" s="34"/>
      <c r="RD25" s="34"/>
      <c r="RE25" s="34"/>
      <c r="RF25" s="34"/>
      <c r="RG25" s="34"/>
      <c r="RH25" s="34"/>
      <c r="RI25" s="34"/>
      <c r="RJ25" s="34"/>
      <c r="RK25" s="34"/>
      <c r="RL25" s="34"/>
      <c r="RM25" s="34"/>
      <c r="RN25" s="34"/>
      <c r="RO25" s="34"/>
      <c r="RP25" s="34"/>
      <c r="RQ25" s="34"/>
      <c r="RR25" s="34"/>
      <c r="RS25" s="34"/>
      <c r="RT25" s="34"/>
      <c r="RU25" s="34"/>
      <c r="RV25" s="34"/>
      <c r="RW25" s="34"/>
      <c r="RX25" s="34"/>
      <c r="RY25" s="34"/>
      <c r="RZ25" s="34"/>
      <c r="SA25" s="34"/>
      <c r="SB25" s="34"/>
      <c r="SC25" s="34"/>
      <c r="SD25" s="34"/>
      <c r="SE25" s="34"/>
      <c r="SF25" s="34"/>
      <c r="SG25" s="34"/>
      <c r="SH25" s="34"/>
      <c r="SI25" s="34"/>
      <c r="SJ25" s="34"/>
      <c r="SK25" s="34"/>
      <c r="SL25" s="34"/>
      <c r="SM25" s="34"/>
      <c r="SN25" s="34"/>
      <c r="SO25" s="34"/>
      <c r="SP25" s="34"/>
      <c r="SQ25" s="34"/>
      <c r="SR25" s="34"/>
      <c r="SS25" s="34"/>
      <c r="ST25" s="34"/>
      <c r="SU25" s="34"/>
      <c r="SV25" s="34"/>
      <c r="SW25" s="34"/>
      <c r="SX25" s="34"/>
      <c r="SY25" s="34"/>
      <c r="SZ25" s="34"/>
      <c r="TA25" s="34"/>
      <c r="TB25" s="34"/>
      <c r="TC25" s="34"/>
      <c r="TD25" s="34"/>
      <c r="TE25" s="34"/>
      <c r="TF25" s="34"/>
      <c r="TG25" s="34"/>
      <c r="TH25" s="34"/>
      <c r="TI25" s="34"/>
      <c r="TJ25" s="34"/>
      <c r="TK25" s="34"/>
      <c r="TL25" s="34"/>
      <c r="TM25" s="34"/>
      <c r="TN25" s="34"/>
      <c r="TO25" s="34"/>
      <c r="TP25" s="34"/>
      <c r="TQ25" s="34"/>
      <c r="TR25" s="34"/>
      <c r="TS25" s="34"/>
      <c r="TT25" s="34"/>
      <c r="TU25" s="34"/>
      <c r="TV25" s="34"/>
      <c r="TW25" s="34"/>
      <c r="TX25" s="34"/>
      <c r="TY25" s="34"/>
      <c r="TZ25" s="34"/>
      <c r="UA25" s="34"/>
      <c r="UB25" s="34"/>
      <c r="UC25" s="34"/>
      <c r="UD25" s="34"/>
      <c r="UE25" s="34"/>
      <c r="UF25" s="34"/>
      <c r="UG25" s="34"/>
      <c r="UH25" s="34"/>
      <c r="UI25" s="34"/>
      <c r="UJ25" s="34"/>
      <c r="UK25" s="34"/>
      <c r="UL25" s="34"/>
      <c r="UM25" s="34"/>
      <c r="UN25" s="34"/>
      <c r="UO25" s="34"/>
      <c r="UP25" s="34"/>
      <c r="UQ25" s="34"/>
      <c r="UR25" s="34"/>
      <c r="US25" s="34"/>
      <c r="UT25" s="34"/>
      <c r="UU25" s="34"/>
      <c r="UV25" s="34"/>
      <c r="UW25" s="34"/>
      <c r="UX25" s="34"/>
      <c r="UY25" s="34"/>
      <c r="UZ25" s="34"/>
      <c r="VA25" s="34"/>
      <c r="VB25" s="34"/>
      <c r="VC25" s="34"/>
      <c r="VD25" s="34"/>
      <c r="VE25" s="34"/>
      <c r="VF25" s="34"/>
      <c r="VG25" s="34"/>
      <c r="VH25" s="34"/>
      <c r="VI25" s="34"/>
      <c r="VJ25" s="34"/>
      <c r="VK25" s="34"/>
      <c r="VL25" s="34"/>
      <c r="VM25" s="34"/>
      <c r="VN25" s="34"/>
      <c r="VO25" s="34"/>
      <c r="VP25" s="34"/>
      <c r="VQ25" s="34"/>
      <c r="VR25" s="34"/>
      <c r="VS25" s="34"/>
      <c r="VT25" s="34"/>
      <c r="VU25" s="34"/>
      <c r="VV25" s="34"/>
      <c r="VW25" s="34"/>
      <c r="VX25" s="34"/>
      <c r="VY25" s="34"/>
      <c r="VZ25" s="34"/>
      <c r="WA25" s="34"/>
      <c r="WB25" s="34"/>
      <c r="WC25" s="34"/>
      <c r="WD25" s="34"/>
      <c r="WE25" s="34"/>
      <c r="WF25" s="34"/>
      <c r="WG25" s="34"/>
      <c r="WH25" s="34"/>
      <c r="WI25" s="34"/>
      <c r="WJ25" s="34"/>
      <c r="WK25" s="34"/>
      <c r="WL25" s="34"/>
      <c r="WM25" s="34"/>
      <c r="WN25" s="34"/>
      <c r="WO25" s="34"/>
      <c r="WP25" s="34"/>
      <c r="WQ25" s="34"/>
      <c r="WR25" s="34"/>
      <c r="WS25" s="34"/>
      <c r="WT25" s="34"/>
      <c r="WU25" s="34"/>
      <c r="WV25" s="34"/>
      <c r="WW25" s="34"/>
      <c r="WX25" s="34"/>
      <c r="WY25" s="34"/>
      <c r="WZ25" s="34"/>
      <c r="XA25" s="34"/>
      <c r="XB25" s="34"/>
      <c r="XC25" s="34"/>
      <c r="XD25" s="34"/>
      <c r="XE25" s="34"/>
      <c r="XF25" s="34"/>
      <c r="XG25" s="34"/>
      <c r="XH25" s="34"/>
      <c r="XI25" s="34"/>
      <c r="XJ25" s="34"/>
      <c r="XK25" s="34"/>
      <c r="XL25" s="34"/>
      <c r="XM25" s="34"/>
      <c r="XN25" s="34"/>
      <c r="XO25" s="34"/>
      <c r="XP25" s="34"/>
      <c r="XQ25" s="34"/>
      <c r="XR25" s="34"/>
      <c r="XS25" s="34"/>
      <c r="XT25" s="34"/>
      <c r="XU25" s="34"/>
      <c r="XV25" s="34"/>
      <c r="XW25" s="34"/>
      <c r="XX25" s="34"/>
      <c r="XY25" s="34"/>
      <c r="XZ25" s="34"/>
      <c r="YA25" s="34"/>
      <c r="YB25" s="34"/>
      <c r="YC25" s="34"/>
      <c r="YD25" s="34"/>
      <c r="YE25" s="34"/>
      <c r="YF25" s="34"/>
      <c r="YG25" s="34"/>
      <c r="YH25" s="34"/>
      <c r="YI25" s="34"/>
      <c r="YJ25" s="34"/>
      <c r="YK25" s="34"/>
      <c r="YL25" s="34"/>
      <c r="YM25" s="34"/>
      <c r="YN25" s="34"/>
      <c r="YO25" s="34"/>
      <c r="YP25" s="34"/>
      <c r="YQ25" s="34"/>
      <c r="YR25" s="34"/>
      <c r="YS25" s="34"/>
      <c r="YT25" s="34"/>
      <c r="YU25" s="34"/>
      <c r="YV25" s="34"/>
      <c r="YW25" s="34"/>
      <c r="YX25" s="34"/>
      <c r="YY25" s="34"/>
      <c r="YZ25" s="34"/>
      <c r="ZA25" s="34"/>
      <c r="ZB25" s="34"/>
      <c r="ZC25" s="34"/>
      <c r="ZD25" s="34"/>
      <c r="ZE25" s="34"/>
      <c r="ZF25" s="34"/>
      <c r="ZG25" s="34"/>
      <c r="ZH25" s="34"/>
      <c r="ZI25" s="34"/>
      <c r="ZJ25" s="34"/>
      <c r="ZK25" s="34"/>
      <c r="ZL25" s="34"/>
      <c r="ZM25" s="34"/>
      <c r="ZN25" s="34"/>
      <c r="ZO25" s="34"/>
      <c r="ZP25" s="34"/>
      <c r="ZQ25" s="34"/>
      <c r="ZR25" s="34"/>
      <c r="ZS25" s="34"/>
      <c r="ZT25" s="34"/>
      <c r="ZU25" s="34"/>
      <c r="ZV25" s="34"/>
      <c r="ZW25" s="34"/>
      <c r="ZX25" s="34"/>
      <c r="ZY25" s="34"/>
      <c r="ZZ25" s="34"/>
      <c r="AAA25" s="34"/>
      <c r="AAB25" s="34"/>
      <c r="AAC25" s="34"/>
      <c r="AAD25" s="34"/>
      <c r="AAE25" s="34"/>
      <c r="AAF25" s="34"/>
      <c r="AAG25" s="34"/>
      <c r="AAH25" s="34"/>
      <c r="AAI25" s="34"/>
      <c r="AAJ25" s="34"/>
      <c r="AAK25" s="34"/>
      <c r="AAL25" s="34"/>
      <c r="AAM25" s="34"/>
      <c r="AAN25" s="34"/>
      <c r="AAO25" s="34"/>
      <c r="AAP25" s="34"/>
      <c r="AAQ25" s="34"/>
      <c r="AAR25" s="34"/>
      <c r="AAS25" s="34"/>
      <c r="AAT25" s="34"/>
      <c r="AAU25" s="34"/>
      <c r="AAV25" s="34"/>
      <c r="AAW25" s="34"/>
      <c r="AAX25" s="34"/>
      <c r="AAY25" s="34"/>
      <c r="AAZ25" s="34"/>
      <c r="ABA25" s="34"/>
      <c r="ABB25" s="34"/>
      <c r="ABC25" s="34"/>
      <c r="ABD25" s="34"/>
      <c r="ABE25" s="34"/>
      <c r="ABF25" s="34"/>
      <c r="ABG25" s="34"/>
      <c r="ABH25" s="34"/>
      <c r="ABI25" s="34"/>
      <c r="ABJ25" s="34"/>
      <c r="ABK25" s="34"/>
      <c r="ABL25" s="34"/>
      <c r="ABM25" s="34"/>
      <c r="ABN25" s="34"/>
      <c r="ABO25" s="34"/>
      <c r="ABP25" s="34"/>
      <c r="ABQ25" s="34"/>
      <c r="ABR25" s="34"/>
      <c r="ABS25" s="34"/>
      <c r="ABT25" s="34"/>
      <c r="ABU25" s="34"/>
      <c r="ABV25" s="34"/>
      <c r="ABW25" s="34"/>
      <c r="ABX25" s="34"/>
      <c r="ABY25" s="34"/>
      <c r="ABZ25" s="34"/>
      <c r="ACA25" s="34"/>
      <c r="ACB25" s="34"/>
      <c r="ACC25" s="34"/>
      <c r="ACD25" s="34"/>
      <c r="ACE25" s="34"/>
      <c r="ACF25" s="34"/>
      <c r="ACG25" s="34"/>
      <c r="ACH25" s="34"/>
      <c r="ACI25" s="34"/>
      <c r="ACJ25" s="34"/>
      <c r="ACK25" s="34"/>
      <c r="ACL25" s="34"/>
      <c r="ACM25" s="34"/>
      <c r="ACN25" s="34"/>
      <c r="ACO25" s="34"/>
      <c r="ACP25" s="34"/>
      <c r="ACQ25" s="34"/>
      <c r="ACR25" s="34"/>
      <c r="ACS25" s="34"/>
      <c r="ACT25" s="34"/>
      <c r="ACU25" s="34"/>
      <c r="ACV25" s="34"/>
      <c r="ACW25" s="34"/>
      <c r="ACX25" s="34"/>
      <c r="ACY25" s="34"/>
      <c r="ACZ25" s="34"/>
      <c r="ADA25" s="34"/>
      <c r="ADB25" s="34"/>
      <c r="ADC25" s="34"/>
      <c r="ADD25" s="34"/>
      <c r="ADE25" s="34"/>
      <c r="ADF25" s="34"/>
      <c r="ADG25" s="34"/>
      <c r="ADH25" s="34"/>
      <c r="ADI25" s="34"/>
      <c r="ADJ25" s="34"/>
      <c r="ADK25" s="34"/>
      <c r="ADL25" s="34"/>
      <c r="ADM25" s="34"/>
      <c r="ADN25" s="34"/>
      <c r="ADO25" s="34"/>
      <c r="ADP25" s="34"/>
      <c r="ADQ25" s="34"/>
      <c r="ADR25" s="34"/>
      <c r="ADS25" s="34"/>
      <c r="ADT25" s="34"/>
      <c r="ADU25" s="34"/>
      <c r="ADV25" s="34"/>
      <c r="ADW25" s="34"/>
      <c r="ADX25" s="34"/>
      <c r="ADY25" s="34"/>
      <c r="ADZ25" s="34"/>
      <c r="AEA25" s="34"/>
      <c r="AEB25" s="34"/>
      <c r="AEC25" s="34"/>
      <c r="AED25" s="34"/>
      <c r="AEE25" s="34"/>
      <c r="AEF25" s="34"/>
      <c r="AEG25" s="34"/>
      <c r="AEH25" s="34"/>
      <c r="AEI25" s="34"/>
      <c r="AEJ25" s="34"/>
      <c r="AEK25" s="34"/>
      <c r="AEL25" s="34"/>
      <c r="AEM25" s="34"/>
      <c r="AEN25" s="34"/>
      <c r="AEO25" s="34"/>
      <c r="AEP25" s="34"/>
      <c r="AEQ25" s="34"/>
      <c r="AER25" s="34"/>
      <c r="AES25" s="34"/>
      <c r="AET25" s="34"/>
      <c r="AEU25" s="34"/>
      <c r="AEV25" s="34"/>
      <c r="AEW25" s="34"/>
      <c r="AEX25" s="34"/>
      <c r="AEY25" s="34"/>
      <c r="AEZ25" s="34"/>
      <c r="AFA25" s="34"/>
      <c r="AFB25" s="34"/>
      <c r="AFC25" s="34"/>
      <c r="AFD25" s="34"/>
      <c r="AFE25" s="34"/>
      <c r="AFF25" s="34"/>
      <c r="AFG25" s="34"/>
      <c r="AFH25" s="34"/>
      <c r="AFI25" s="34"/>
      <c r="AFJ25" s="34"/>
      <c r="AFK25" s="34"/>
      <c r="AFL25" s="34"/>
      <c r="AFM25" s="34"/>
      <c r="AFN25" s="34"/>
      <c r="AFO25" s="34"/>
      <c r="AFP25" s="34"/>
      <c r="AFQ25" s="34"/>
      <c r="AFR25" s="34"/>
      <c r="AFS25" s="34"/>
      <c r="AFT25" s="34"/>
      <c r="AFU25" s="34"/>
      <c r="AFV25" s="34"/>
      <c r="AFW25" s="34"/>
      <c r="AFX25" s="34"/>
      <c r="AFY25" s="34"/>
      <c r="AFZ25" s="34"/>
      <c r="AGA25" s="34"/>
      <c r="AGB25" s="34"/>
      <c r="AGC25" s="34"/>
      <c r="AGD25" s="34"/>
      <c r="AGE25" s="34"/>
      <c r="AGF25" s="34"/>
      <c r="AGG25" s="34"/>
      <c r="AGH25" s="34"/>
      <c r="AGI25" s="34"/>
      <c r="AGJ25" s="34"/>
      <c r="AGK25" s="34"/>
      <c r="AGL25" s="34"/>
      <c r="AGM25" s="34"/>
      <c r="AGN25" s="34"/>
      <c r="AGO25" s="34"/>
      <c r="AGP25" s="34"/>
      <c r="AGQ25" s="34"/>
      <c r="AGR25" s="34"/>
      <c r="AGS25" s="34"/>
      <c r="AGT25" s="34"/>
      <c r="AGU25" s="34"/>
      <c r="AGV25" s="34"/>
      <c r="AGW25" s="34"/>
      <c r="AGX25" s="34"/>
      <c r="AGY25" s="34"/>
      <c r="AGZ25" s="34"/>
      <c r="AHA25" s="34"/>
      <c r="AHB25" s="34"/>
      <c r="AHC25" s="34"/>
      <c r="AHD25" s="34"/>
      <c r="AHE25" s="34"/>
      <c r="AHF25" s="34"/>
      <c r="AHG25" s="34"/>
      <c r="AHH25" s="34"/>
      <c r="AHI25" s="34"/>
      <c r="AHJ25" s="34"/>
      <c r="AHK25" s="34"/>
      <c r="AHL25" s="34"/>
      <c r="AHM25" s="34"/>
      <c r="AHN25" s="34"/>
      <c r="AHO25" s="34"/>
      <c r="AHP25" s="34"/>
      <c r="AHQ25" s="34"/>
      <c r="AHR25" s="34"/>
      <c r="AHS25" s="34"/>
      <c r="AHT25" s="34"/>
      <c r="AHU25" s="34"/>
      <c r="AHV25" s="34"/>
      <c r="AHW25" s="34"/>
      <c r="AHX25" s="34"/>
      <c r="AHY25" s="34"/>
      <c r="AHZ25" s="34"/>
      <c r="AIA25" s="34"/>
      <c r="AIB25" s="34"/>
      <c r="AIC25" s="34"/>
      <c r="AID25" s="34"/>
      <c r="AIE25" s="34"/>
      <c r="AIF25" s="34"/>
      <c r="AIG25" s="34"/>
      <c r="AIH25" s="34"/>
      <c r="AII25" s="34"/>
      <c r="AIJ25" s="34"/>
      <c r="AIK25" s="34"/>
      <c r="AIL25" s="34"/>
      <c r="AIM25" s="34"/>
      <c r="AIN25" s="34"/>
      <c r="AIO25" s="34"/>
      <c r="AIP25" s="34"/>
      <c r="AIQ25" s="34"/>
      <c r="AIR25" s="34"/>
      <c r="AIS25" s="34"/>
      <c r="AIT25" s="34"/>
      <c r="AIU25" s="34"/>
      <c r="AIV25" s="34"/>
      <c r="AIW25" s="34"/>
      <c r="AIX25" s="34"/>
      <c r="AIY25" s="34"/>
      <c r="AIZ25" s="34"/>
      <c r="AJA25" s="34"/>
      <c r="AJB25" s="34"/>
      <c r="AJC25" s="34"/>
      <c r="AJD25" s="34"/>
      <c r="AJE25" s="34"/>
      <c r="AJF25" s="34"/>
      <c r="AJG25" s="34"/>
      <c r="AJH25" s="34"/>
      <c r="AJI25" s="34"/>
      <c r="AJJ25" s="34"/>
      <c r="AJK25" s="34"/>
      <c r="AJL25" s="34"/>
      <c r="AJM25" s="34"/>
      <c r="AJN25" s="34"/>
      <c r="AJO25" s="34"/>
      <c r="AJP25" s="34"/>
      <c r="AJQ25" s="34"/>
      <c r="AJR25" s="34"/>
      <c r="AJS25" s="34"/>
      <c r="AJT25" s="34"/>
      <c r="AJU25" s="34"/>
      <c r="AJV25" s="34"/>
      <c r="AJW25" s="34"/>
      <c r="AJX25" s="34"/>
      <c r="AJY25" s="34"/>
      <c r="AJZ25" s="34"/>
      <c r="AKA25" s="34"/>
      <c r="AKB25" s="34"/>
      <c r="AKC25" s="34"/>
      <c r="AKD25" s="34"/>
      <c r="AKE25" s="34"/>
      <c r="AKF25" s="34"/>
      <c r="AKG25" s="34"/>
      <c r="AKH25" s="34"/>
      <c r="AKI25" s="34"/>
      <c r="AKJ25" s="34"/>
      <c r="AKK25" s="34"/>
      <c r="AKL25" s="34"/>
      <c r="AKM25" s="34"/>
      <c r="AKN25" s="34"/>
      <c r="AKO25" s="34"/>
      <c r="AKP25" s="34"/>
      <c r="AKQ25" s="34"/>
      <c r="AKR25" s="34"/>
      <c r="AKS25" s="34"/>
      <c r="AKT25" s="34"/>
      <c r="AKU25" s="34"/>
      <c r="AKV25" s="34"/>
      <c r="AKW25" s="34"/>
      <c r="AKX25" s="34"/>
      <c r="AKY25" s="34"/>
      <c r="AKZ25" s="34"/>
      <c r="ALA25" s="34"/>
      <c r="ALB25" s="34"/>
      <c r="ALC25" s="34"/>
      <c r="ALD25" s="34"/>
      <c r="ALE25" s="34"/>
      <c r="ALF25" s="34"/>
      <c r="ALG25" s="33"/>
      <c r="ALH25" s="33"/>
      <c r="ALI25" s="33"/>
      <c r="ALJ25" s="33"/>
      <c r="ALK25" s="33"/>
      <c r="ALL25" s="33"/>
      <c r="ALM25" s="33"/>
      <c r="ALN25" s="33"/>
      <c r="ALO25" s="33"/>
      <c r="ALP25" s="33"/>
      <c r="ALQ25" s="33"/>
      <c r="ALR25" s="33"/>
      <c r="ALS25" s="33"/>
      <c r="ALT25" s="33"/>
      <c r="ALU25" s="33"/>
      <c r="ALV25" s="33"/>
      <c r="ALW25" s="33"/>
      <c r="ALX25" s="33"/>
      <c r="ALY25" s="33"/>
      <c r="ALZ25" s="33"/>
      <c r="AMA25" s="33"/>
      <c r="AMB25" s="33"/>
      <c r="AMC25" s="33"/>
      <c r="AMD25" s="33"/>
      <c r="AME25" s="33"/>
      <c r="AMF25" s="33"/>
      <c r="AMG25" s="33"/>
      <c r="AMH25" s="33"/>
      <c r="AMI25" s="33"/>
      <c r="AMJ25" s="33"/>
      <c r="AMK25" s="33"/>
      <c r="AML25" s="33"/>
      <c r="AMM25" s="33"/>
      <c r="AMN25" s="33"/>
      <c r="AMO25" s="33"/>
      <c r="AMP25" s="33"/>
      <c r="AMQ25" s="33"/>
      <c r="AMR25" s="33"/>
      <c r="AMS25" s="33"/>
      <c r="AMT25" s="33"/>
      <c r="AMU25" s="33"/>
      <c r="AMV25" s="33"/>
      <c r="AMW25" s="33"/>
      <c r="AMX25" s="33"/>
      <c r="AMY25" s="33"/>
      <c r="AMZ25" s="33"/>
      <c r="ANA25" s="33"/>
      <c r="ANB25" s="33"/>
      <c r="ANC25" s="33"/>
      <c r="AND25" s="33"/>
      <c r="ANE25" s="33"/>
      <c r="ANF25" s="33"/>
      <c r="ANG25" s="33"/>
      <c r="ANH25" s="33"/>
      <c r="ANI25" s="33"/>
      <c r="ANJ25" s="33"/>
      <c r="ANK25" s="33"/>
      <c r="ANL25" s="33"/>
      <c r="ANM25" s="33"/>
      <c r="ANN25" s="33"/>
      <c r="ANO25" s="33"/>
      <c r="ANP25" s="33"/>
      <c r="ANQ25" s="33"/>
      <c r="ANR25" s="33"/>
      <c r="ANS25" s="33"/>
      <c r="ANT25" s="33"/>
      <c r="ANU25" s="33"/>
      <c r="ANV25" s="33"/>
      <c r="ANW25" s="33"/>
      <c r="ANX25" s="33"/>
      <c r="ANY25" s="33"/>
      <c r="ANZ25" s="33"/>
      <c r="AOA25" s="33"/>
      <c r="AOB25" s="33"/>
      <c r="AOC25" s="33"/>
      <c r="AOD25" s="33"/>
      <c r="AOE25" s="33"/>
      <c r="AOF25" s="33"/>
      <c r="AOG25" s="33"/>
      <c r="AOH25" s="33"/>
      <c r="AOI25" s="33"/>
      <c r="AOJ25" s="33"/>
      <c r="AOK25" s="33"/>
      <c r="AOL25" s="33"/>
      <c r="AOM25" s="33"/>
      <c r="AON25" s="33"/>
      <c r="AOO25" s="33"/>
      <c r="AOP25" s="33"/>
      <c r="AOQ25" s="33"/>
      <c r="AOR25" s="33"/>
      <c r="AOS25" s="33"/>
      <c r="AOT25" s="33"/>
      <c r="AOU25" s="33"/>
      <c r="AOV25" s="33"/>
      <c r="AOW25" s="33"/>
      <c r="AOX25" s="33"/>
      <c r="AOY25" s="33"/>
      <c r="AOZ25" s="33"/>
      <c r="APA25" s="33"/>
      <c r="APB25" s="33"/>
      <c r="APC25" s="33"/>
      <c r="APD25" s="33"/>
      <c r="APE25" s="33"/>
      <c r="APF25" s="33"/>
      <c r="APG25" s="33"/>
      <c r="APH25" s="33"/>
      <c r="API25" s="33"/>
      <c r="APJ25" s="33"/>
      <c r="APK25" s="33"/>
      <c r="APL25" s="33"/>
      <c r="APM25" s="33"/>
      <c r="APN25" s="33"/>
      <c r="APO25" s="33"/>
      <c r="APP25" s="33"/>
      <c r="APQ25" s="33"/>
      <c r="APR25" s="33"/>
      <c r="APS25" s="33"/>
      <c r="APT25" s="33"/>
      <c r="APU25" s="33"/>
      <c r="APV25" s="33"/>
      <c r="APW25" s="33"/>
      <c r="APX25" s="33"/>
      <c r="APY25" s="33"/>
      <c r="APZ25" s="33"/>
      <c r="AQA25" s="33"/>
      <c r="AQB25" s="33"/>
      <c r="AQC25" s="33"/>
      <c r="AQD25" s="33"/>
      <c r="AQE25" s="33"/>
      <c r="AQF25" s="33"/>
      <c r="AQG25" s="33"/>
      <c r="AQH25" s="33"/>
      <c r="AQI25" s="33"/>
      <c r="AQJ25" s="33"/>
      <c r="AQK25" s="33"/>
      <c r="AQL25" s="33"/>
      <c r="AQM25" s="33"/>
      <c r="AQN25" s="33"/>
      <c r="AQO25" s="33"/>
      <c r="AQP25" s="33"/>
      <c r="AQQ25" s="33"/>
      <c r="AQR25" s="33"/>
      <c r="AQS25" s="33"/>
      <c r="AQT25" s="33"/>
      <c r="AQU25" s="33"/>
      <c r="AQV25" s="33"/>
      <c r="AQW25" s="33"/>
      <c r="AQX25" s="33"/>
      <c r="AQY25" s="33"/>
      <c r="AQZ25" s="33"/>
      <c r="ARA25" s="33"/>
      <c r="ARB25" s="33"/>
      <c r="ARC25" s="33"/>
      <c r="ARD25" s="33"/>
      <c r="ARE25" s="33"/>
      <c r="ARF25" s="33"/>
      <c r="ARG25" s="33"/>
      <c r="ARH25" s="33"/>
      <c r="ARI25" s="33"/>
      <c r="ARJ25" s="33"/>
      <c r="ARK25" s="33"/>
      <c r="ARL25" s="33"/>
      <c r="ARM25" s="33"/>
      <c r="ARN25" s="33"/>
      <c r="ARO25" s="33"/>
      <c r="ARP25" s="33"/>
      <c r="ARQ25" s="33"/>
      <c r="ARR25" s="33"/>
      <c r="ARS25" s="33"/>
      <c r="ART25" s="33"/>
      <c r="ARU25" s="33"/>
      <c r="ARV25" s="33"/>
      <c r="ARW25" s="33"/>
      <c r="ARX25" s="33"/>
      <c r="ARY25" s="33"/>
      <c r="ARZ25" s="33"/>
      <c r="ASA25" s="33"/>
      <c r="ASB25" s="33"/>
      <c r="ASC25" s="33"/>
      <c r="ASD25" s="33"/>
      <c r="ASE25" s="33"/>
      <c r="ASF25" s="33"/>
      <c r="ASG25" s="33"/>
      <c r="ASH25" s="33"/>
      <c r="ASI25" s="33"/>
      <c r="ASJ25" s="33"/>
      <c r="ASK25" s="33"/>
      <c r="ASL25" s="33"/>
      <c r="ASM25" s="33"/>
      <c r="ASN25" s="33"/>
      <c r="ASO25" s="33"/>
      <c r="ASP25" s="33"/>
      <c r="ASQ25" s="33"/>
      <c r="ASR25" s="33"/>
      <c r="ASS25" s="33"/>
      <c r="AST25" s="33"/>
      <c r="ASU25" s="33"/>
      <c r="ASV25" s="33"/>
      <c r="ASW25" s="33"/>
      <c r="ASX25" s="33"/>
      <c r="ASY25" s="33"/>
      <c r="ASZ25" s="33"/>
      <c r="ATA25" s="33"/>
      <c r="ATB25" s="33"/>
      <c r="ATC25" s="33"/>
      <c r="ATD25" s="33"/>
      <c r="ATE25" s="33"/>
      <c r="ATF25" s="33"/>
      <c r="ATG25" s="33"/>
      <c r="ATH25" s="33"/>
      <c r="ATI25" s="33"/>
      <c r="ATJ25" s="33"/>
      <c r="ATK25" s="33"/>
      <c r="ATL25" s="33"/>
      <c r="ATM25" s="33"/>
      <c r="ATN25" s="33"/>
      <c r="ATO25" s="33"/>
      <c r="ATP25" s="33"/>
      <c r="ATQ25" s="33"/>
      <c r="ATR25" s="33"/>
      <c r="ATS25" s="33"/>
      <c r="ATT25" s="33"/>
      <c r="ATU25" s="33"/>
      <c r="ATV25" s="33"/>
      <c r="ATW25" s="33"/>
      <c r="ATX25" s="33"/>
      <c r="ATY25" s="33"/>
      <c r="ATZ25" s="33"/>
      <c r="AUA25" s="33"/>
      <c r="AUB25" s="33"/>
      <c r="AUC25" s="33"/>
      <c r="AUD25" s="33"/>
      <c r="AUE25" s="33"/>
      <c r="AUF25" s="33"/>
      <c r="AUG25" s="33"/>
      <c r="AUH25" s="33"/>
      <c r="AUI25" s="33"/>
      <c r="AUJ25" s="33"/>
      <c r="AUK25" s="33"/>
      <c r="AUL25" s="33"/>
      <c r="AUM25" s="33"/>
      <c r="AUN25" s="33"/>
      <c r="AUO25" s="33"/>
      <c r="AUP25" s="33"/>
      <c r="AUQ25" s="33"/>
      <c r="AUR25" s="33"/>
      <c r="AUS25" s="33"/>
      <c r="AUT25" s="33"/>
      <c r="AUU25" s="33"/>
      <c r="AUV25" s="33"/>
      <c r="AUW25" s="33"/>
      <c r="AUX25" s="33"/>
      <c r="AUY25" s="33"/>
      <c r="AUZ25" s="33"/>
      <c r="AVA25" s="33"/>
      <c r="AVB25" s="33"/>
    </row>
    <row r="26" spans="1:1250" ht="18.75" customHeight="1">
      <c r="A26" s="67"/>
      <c r="B26" s="68"/>
      <c r="C26" s="69"/>
      <c r="D26" s="70"/>
      <c r="E26" s="71"/>
      <c r="F26" s="69"/>
      <c r="G26" s="72"/>
      <c r="H26" s="73"/>
      <c r="I26" s="74"/>
      <c r="J26" s="1"/>
      <c r="K26" s="76"/>
      <c r="L26" s="33"/>
      <c r="M26" s="43"/>
      <c r="N26" s="44"/>
      <c r="O26" s="43"/>
      <c r="P26" s="78"/>
      <c r="Q26" s="83"/>
      <c r="R26" s="81"/>
      <c r="S26" s="82"/>
      <c r="T26" s="34"/>
      <c r="U26" s="36"/>
      <c r="V26" s="57"/>
      <c r="W26" s="57"/>
      <c r="X26" s="36"/>
      <c r="Y26" s="116"/>
      <c r="Z26" s="98"/>
      <c r="AA26" s="61"/>
      <c r="AB26" s="104"/>
      <c r="AC26" s="104"/>
      <c r="AD26" s="104"/>
      <c r="AE26" s="64"/>
      <c r="AF26" s="53"/>
      <c r="AG26" s="45"/>
      <c r="AH26" s="2"/>
      <c r="AI26" s="2"/>
      <c r="AJ26" s="34"/>
      <c r="AK26" s="34"/>
      <c r="AL26" s="34"/>
      <c r="AM26" s="34"/>
      <c r="AN26" s="34"/>
      <c r="AO26" s="34"/>
      <c r="AP26" s="34"/>
      <c r="AQ26" s="34"/>
      <c r="AR26" s="34"/>
      <c r="AS26" s="34"/>
      <c r="AT26" s="34"/>
      <c r="AU26" s="34"/>
      <c r="AV26" s="34"/>
      <c r="AW26" s="34"/>
      <c r="AX26" s="34"/>
      <c r="AY26" s="34"/>
      <c r="AZ26" s="34"/>
      <c r="BA26" s="34"/>
      <c r="BB26" s="34"/>
      <c r="BC26" s="34"/>
      <c r="BD26" s="34"/>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c r="DC26" s="34"/>
      <c r="DD26" s="34"/>
      <c r="DE26" s="34"/>
      <c r="DF26" s="34"/>
      <c r="DG26" s="34"/>
      <c r="DH26" s="34"/>
      <c r="DI26" s="34"/>
      <c r="DJ26" s="34"/>
      <c r="DK26" s="34"/>
      <c r="DL26" s="34"/>
      <c r="DM26" s="34"/>
      <c r="DN26" s="34"/>
      <c r="DO26" s="34"/>
      <c r="DP26" s="34"/>
      <c r="DQ26" s="34"/>
      <c r="DR26" s="34"/>
      <c r="DS26" s="34"/>
      <c r="DT26" s="34"/>
      <c r="DU26" s="34"/>
      <c r="DV26" s="34"/>
      <c r="DW26" s="34"/>
      <c r="DX26" s="34"/>
      <c r="DY26" s="34"/>
      <c r="DZ26" s="34"/>
      <c r="EA26" s="34"/>
      <c r="EB26" s="34"/>
      <c r="EC26" s="34"/>
      <c r="ED26" s="34"/>
      <c r="EE26" s="34"/>
      <c r="EF26" s="34"/>
      <c r="EG26" s="34"/>
      <c r="EH26" s="34"/>
      <c r="EI26" s="34"/>
      <c r="EJ26" s="34"/>
      <c r="EK26" s="34"/>
      <c r="EL26" s="34"/>
      <c r="EM26" s="34"/>
      <c r="EN26" s="34"/>
      <c r="EO26" s="34"/>
      <c r="EP26" s="34"/>
      <c r="EQ26" s="34"/>
      <c r="ER26" s="34"/>
      <c r="ES26" s="34"/>
      <c r="ET26" s="34"/>
      <c r="EU26" s="34"/>
      <c r="EV26" s="34"/>
      <c r="EW26" s="34"/>
      <c r="EX26" s="34"/>
      <c r="EY26" s="34"/>
      <c r="EZ26" s="34"/>
      <c r="FA26" s="34"/>
      <c r="FB26" s="34"/>
      <c r="FC26" s="34"/>
      <c r="FD26" s="34"/>
      <c r="FE26" s="34"/>
      <c r="FF26" s="34"/>
      <c r="FG26" s="34"/>
      <c r="FH26" s="34"/>
      <c r="FI26" s="34"/>
      <c r="FJ26" s="34"/>
      <c r="FK26" s="34"/>
      <c r="FL26" s="34"/>
      <c r="FM26" s="34"/>
      <c r="FN26" s="34"/>
      <c r="FO26" s="34"/>
      <c r="FP26" s="34"/>
      <c r="FQ26" s="34"/>
      <c r="FR26" s="34"/>
      <c r="FS26" s="34"/>
      <c r="FT26" s="34"/>
      <c r="FU26" s="34"/>
      <c r="FV26" s="34"/>
      <c r="FW26" s="34"/>
      <c r="FX26" s="34"/>
      <c r="FY26" s="34"/>
      <c r="FZ26" s="34"/>
      <c r="GA26" s="34"/>
      <c r="GB26" s="34"/>
      <c r="GC26" s="34"/>
      <c r="GD26" s="34"/>
      <c r="GE26" s="34"/>
      <c r="GF26" s="34"/>
      <c r="GG26" s="34"/>
      <c r="GH26" s="34"/>
      <c r="GI26" s="34"/>
      <c r="GJ26" s="34"/>
      <c r="GK26" s="34"/>
      <c r="GL26" s="34"/>
      <c r="GM26" s="34"/>
      <c r="GN26" s="34"/>
      <c r="GO26" s="34"/>
      <c r="GP26" s="34"/>
      <c r="GQ26" s="34"/>
      <c r="GR26" s="34"/>
      <c r="GS26" s="34"/>
      <c r="GT26" s="34"/>
      <c r="GU26" s="34"/>
      <c r="GV26" s="34"/>
      <c r="GW26" s="34"/>
      <c r="GX26" s="34"/>
      <c r="GY26" s="34"/>
      <c r="GZ26" s="34"/>
      <c r="HA26" s="34"/>
      <c r="HB26" s="34"/>
      <c r="HC26" s="34"/>
      <c r="HD26" s="34"/>
      <c r="HE26" s="34"/>
      <c r="HF26" s="34"/>
      <c r="HG26" s="34"/>
      <c r="HH26" s="34"/>
      <c r="HI26" s="34"/>
      <c r="HJ26" s="34"/>
      <c r="HK26" s="34"/>
      <c r="HL26" s="34"/>
      <c r="HM26" s="34"/>
      <c r="HN26" s="34"/>
      <c r="HO26" s="34"/>
      <c r="HP26" s="34"/>
      <c r="HQ26" s="34"/>
      <c r="HR26" s="34"/>
      <c r="HS26" s="34"/>
      <c r="HT26" s="34"/>
      <c r="HU26" s="34"/>
      <c r="HV26" s="34"/>
      <c r="HW26" s="34"/>
      <c r="HX26" s="34"/>
      <c r="HY26" s="34"/>
      <c r="HZ26" s="34"/>
      <c r="IA26" s="34"/>
      <c r="IB26" s="34"/>
      <c r="IC26" s="34"/>
      <c r="ID26" s="34"/>
      <c r="IE26" s="34"/>
      <c r="IF26" s="34"/>
      <c r="IG26" s="34"/>
      <c r="IH26" s="34"/>
      <c r="II26" s="34"/>
      <c r="IJ26" s="34"/>
      <c r="IK26" s="34"/>
      <c r="IL26" s="34"/>
      <c r="IM26" s="34"/>
      <c r="IN26" s="34"/>
      <c r="IO26" s="34"/>
      <c r="IP26" s="34"/>
      <c r="IQ26" s="34"/>
      <c r="IR26" s="34"/>
      <c r="IS26" s="34"/>
      <c r="IT26" s="34"/>
      <c r="IU26" s="34"/>
      <c r="IV26" s="34"/>
      <c r="IW26" s="34"/>
      <c r="IX26" s="34"/>
      <c r="IY26" s="34"/>
      <c r="IZ26" s="34"/>
      <c r="JA26" s="34"/>
      <c r="JB26" s="34"/>
      <c r="JC26" s="34"/>
      <c r="JD26" s="34"/>
      <c r="JE26" s="34"/>
      <c r="JF26" s="34"/>
      <c r="JG26" s="34"/>
      <c r="JH26" s="34"/>
      <c r="JI26" s="34"/>
      <c r="JJ26" s="34"/>
      <c r="JK26" s="34"/>
      <c r="JL26" s="34"/>
      <c r="JM26" s="34"/>
      <c r="JN26" s="34"/>
      <c r="JO26" s="34"/>
      <c r="JP26" s="34"/>
      <c r="JQ26" s="34"/>
      <c r="JR26" s="34"/>
      <c r="JS26" s="34"/>
      <c r="JT26" s="34"/>
      <c r="JU26" s="34"/>
      <c r="JV26" s="34"/>
      <c r="JW26" s="34"/>
      <c r="JX26" s="34"/>
      <c r="JY26" s="34"/>
      <c r="JZ26" s="34"/>
      <c r="KA26" s="34"/>
      <c r="KB26" s="34"/>
      <c r="KC26" s="34"/>
      <c r="KD26" s="34"/>
      <c r="KE26" s="34"/>
      <c r="KF26" s="34"/>
      <c r="KG26" s="34"/>
      <c r="KH26" s="34"/>
      <c r="KI26" s="34"/>
      <c r="KJ26" s="34"/>
      <c r="KK26" s="34"/>
      <c r="KL26" s="34"/>
      <c r="KM26" s="34"/>
      <c r="KN26" s="34"/>
      <c r="KO26" s="34"/>
      <c r="KP26" s="34"/>
      <c r="KQ26" s="34"/>
      <c r="KR26" s="34"/>
      <c r="KS26" s="34"/>
      <c r="KT26" s="34"/>
      <c r="KU26" s="34"/>
      <c r="KV26" s="34"/>
      <c r="KW26" s="34"/>
      <c r="KX26" s="34"/>
      <c r="KY26" s="34"/>
      <c r="KZ26" s="34"/>
      <c r="LA26" s="34"/>
      <c r="LB26" s="34"/>
      <c r="LC26" s="34"/>
      <c r="LD26" s="34"/>
      <c r="LE26" s="34"/>
      <c r="LF26" s="34"/>
      <c r="LG26" s="34"/>
      <c r="LH26" s="34"/>
      <c r="LI26" s="34"/>
      <c r="LJ26" s="34"/>
      <c r="LK26" s="34"/>
      <c r="LL26" s="34"/>
      <c r="LM26" s="34"/>
      <c r="LN26" s="34"/>
      <c r="LO26" s="34"/>
      <c r="LP26" s="34"/>
      <c r="LQ26" s="34"/>
      <c r="LR26" s="34"/>
      <c r="LS26" s="34"/>
      <c r="LT26" s="34"/>
      <c r="LU26" s="34"/>
      <c r="LV26" s="34"/>
      <c r="LW26" s="34"/>
      <c r="LX26" s="34"/>
      <c r="LY26" s="34"/>
      <c r="LZ26" s="34"/>
      <c r="MA26" s="34"/>
      <c r="MB26" s="34"/>
      <c r="MC26" s="34"/>
      <c r="MD26" s="34"/>
      <c r="ME26" s="34"/>
      <c r="MF26" s="34"/>
      <c r="MG26" s="34"/>
      <c r="MH26" s="34"/>
      <c r="MI26" s="34"/>
      <c r="MJ26" s="34"/>
      <c r="MK26" s="34"/>
      <c r="ML26" s="34"/>
      <c r="MM26" s="34"/>
      <c r="MN26" s="34"/>
      <c r="MO26" s="34"/>
      <c r="MP26" s="34"/>
      <c r="MQ26" s="34"/>
      <c r="MR26" s="34"/>
      <c r="MS26" s="34"/>
      <c r="MT26" s="34"/>
      <c r="MU26" s="34"/>
      <c r="MV26" s="34"/>
      <c r="MW26" s="34"/>
      <c r="MX26" s="34"/>
      <c r="MY26" s="34"/>
      <c r="MZ26" s="34"/>
      <c r="NA26" s="34"/>
      <c r="NB26" s="34"/>
      <c r="NC26" s="34"/>
      <c r="ND26" s="34"/>
      <c r="NE26" s="34"/>
      <c r="NF26" s="34"/>
      <c r="NG26" s="34"/>
      <c r="NH26" s="34"/>
      <c r="NI26" s="34"/>
      <c r="NJ26" s="34"/>
      <c r="NK26" s="34"/>
      <c r="NL26" s="34"/>
      <c r="NM26" s="34"/>
      <c r="NN26" s="34"/>
      <c r="NO26" s="34"/>
      <c r="NP26" s="34"/>
      <c r="NQ26" s="34"/>
      <c r="NR26" s="34"/>
      <c r="NS26" s="34"/>
      <c r="NT26" s="34"/>
      <c r="NU26" s="34"/>
      <c r="NV26" s="34"/>
      <c r="NW26" s="34"/>
      <c r="NX26" s="34"/>
      <c r="NY26" s="34"/>
      <c r="NZ26" s="34"/>
      <c r="OA26" s="34"/>
      <c r="OB26" s="34"/>
      <c r="OC26" s="34"/>
      <c r="OD26" s="34"/>
      <c r="OE26" s="34"/>
      <c r="OF26" s="34"/>
      <c r="OG26" s="34"/>
      <c r="OH26" s="34"/>
      <c r="OI26" s="34"/>
      <c r="OJ26" s="34"/>
      <c r="OK26" s="34"/>
      <c r="OL26" s="34"/>
      <c r="OM26" s="34"/>
      <c r="ON26" s="34"/>
      <c r="OO26" s="34"/>
      <c r="OP26" s="34"/>
      <c r="OQ26" s="34"/>
      <c r="OR26" s="34"/>
      <c r="OS26" s="34"/>
      <c r="OT26" s="34"/>
      <c r="OU26" s="34"/>
      <c r="OV26" s="34"/>
      <c r="OW26" s="34"/>
      <c r="OX26" s="34"/>
      <c r="OY26" s="34"/>
      <c r="OZ26" s="34"/>
      <c r="PA26" s="34"/>
      <c r="PB26" s="34"/>
      <c r="PC26" s="34"/>
      <c r="PD26" s="34"/>
      <c r="PE26" s="34"/>
      <c r="PF26" s="34"/>
      <c r="PG26" s="34"/>
      <c r="PH26" s="34"/>
      <c r="PI26" s="34"/>
      <c r="PJ26" s="34"/>
      <c r="PK26" s="34"/>
      <c r="PL26" s="34"/>
      <c r="PM26" s="34"/>
      <c r="PN26" s="34"/>
      <c r="PO26" s="34"/>
      <c r="PP26" s="34"/>
      <c r="PQ26" s="34"/>
      <c r="PR26" s="34"/>
      <c r="PS26" s="34"/>
      <c r="PT26" s="34"/>
      <c r="PU26" s="34"/>
      <c r="PV26" s="34"/>
      <c r="PW26" s="34"/>
      <c r="PX26" s="34"/>
      <c r="PY26" s="34"/>
      <c r="PZ26" s="34"/>
      <c r="QA26" s="34"/>
      <c r="QB26" s="34"/>
      <c r="QC26" s="34"/>
      <c r="QD26" s="34"/>
      <c r="QE26" s="34"/>
      <c r="QF26" s="34"/>
      <c r="QG26" s="34"/>
      <c r="QH26" s="34"/>
      <c r="QI26" s="34"/>
      <c r="QJ26" s="34"/>
      <c r="QK26" s="34"/>
      <c r="QL26" s="34"/>
      <c r="QM26" s="34"/>
      <c r="QN26" s="34"/>
      <c r="QO26" s="34"/>
      <c r="QP26" s="34"/>
      <c r="QQ26" s="34"/>
      <c r="QR26" s="34"/>
      <c r="QS26" s="34"/>
      <c r="QT26" s="34"/>
      <c r="QU26" s="34"/>
      <c r="QV26" s="34"/>
      <c r="QW26" s="34"/>
      <c r="QX26" s="34"/>
      <c r="QY26" s="34"/>
      <c r="QZ26" s="34"/>
      <c r="RA26" s="34"/>
      <c r="RB26" s="34"/>
      <c r="RC26" s="34"/>
      <c r="RD26" s="34"/>
      <c r="RE26" s="34"/>
      <c r="RF26" s="34"/>
      <c r="RG26" s="34"/>
      <c r="RH26" s="34"/>
      <c r="RI26" s="34"/>
      <c r="RJ26" s="34"/>
      <c r="RK26" s="34"/>
      <c r="RL26" s="34"/>
      <c r="RM26" s="34"/>
      <c r="RN26" s="34"/>
      <c r="RO26" s="34"/>
      <c r="RP26" s="34"/>
      <c r="RQ26" s="34"/>
      <c r="RR26" s="34"/>
      <c r="RS26" s="34"/>
      <c r="RT26" s="34"/>
      <c r="RU26" s="34"/>
      <c r="RV26" s="34"/>
      <c r="RW26" s="34"/>
      <c r="RX26" s="34"/>
      <c r="RY26" s="34"/>
      <c r="RZ26" s="34"/>
      <c r="SA26" s="34"/>
      <c r="SB26" s="34"/>
      <c r="SC26" s="34"/>
      <c r="SD26" s="34"/>
      <c r="SE26" s="34"/>
      <c r="SF26" s="34"/>
      <c r="SG26" s="34"/>
      <c r="SH26" s="34"/>
      <c r="SI26" s="34"/>
      <c r="SJ26" s="34"/>
      <c r="SK26" s="34"/>
      <c r="SL26" s="34"/>
      <c r="SM26" s="34"/>
      <c r="SN26" s="34"/>
      <c r="SO26" s="34"/>
      <c r="SP26" s="34"/>
      <c r="SQ26" s="34"/>
      <c r="SR26" s="34"/>
      <c r="SS26" s="34"/>
      <c r="ST26" s="34"/>
      <c r="SU26" s="34"/>
      <c r="SV26" s="34"/>
      <c r="SW26" s="34"/>
      <c r="SX26" s="34"/>
      <c r="SY26" s="34"/>
      <c r="SZ26" s="34"/>
      <c r="TA26" s="34"/>
      <c r="TB26" s="34"/>
      <c r="TC26" s="34"/>
      <c r="TD26" s="34"/>
      <c r="TE26" s="34"/>
      <c r="TF26" s="34"/>
      <c r="TG26" s="34"/>
      <c r="TH26" s="34"/>
      <c r="TI26" s="34"/>
      <c r="TJ26" s="34"/>
      <c r="TK26" s="34"/>
      <c r="TL26" s="34"/>
      <c r="TM26" s="34"/>
      <c r="TN26" s="34"/>
      <c r="TO26" s="34"/>
      <c r="TP26" s="34"/>
      <c r="TQ26" s="34"/>
      <c r="TR26" s="34"/>
      <c r="TS26" s="34"/>
      <c r="TT26" s="34"/>
      <c r="TU26" s="34"/>
      <c r="TV26" s="34"/>
      <c r="TW26" s="34"/>
      <c r="TX26" s="34"/>
      <c r="TY26" s="34"/>
      <c r="TZ26" s="34"/>
      <c r="UA26" s="34"/>
      <c r="UB26" s="34"/>
      <c r="UC26" s="34"/>
      <c r="UD26" s="34"/>
      <c r="UE26" s="34"/>
      <c r="UF26" s="34"/>
      <c r="UG26" s="34"/>
      <c r="UH26" s="34"/>
      <c r="UI26" s="34"/>
      <c r="UJ26" s="34"/>
      <c r="UK26" s="34"/>
      <c r="UL26" s="34"/>
      <c r="UM26" s="34"/>
      <c r="UN26" s="34"/>
      <c r="UO26" s="34"/>
      <c r="UP26" s="34"/>
      <c r="UQ26" s="34"/>
      <c r="UR26" s="34"/>
      <c r="US26" s="34"/>
      <c r="UT26" s="34"/>
      <c r="UU26" s="34"/>
      <c r="UV26" s="34"/>
      <c r="UW26" s="34"/>
      <c r="UX26" s="34"/>
      <c r="UY26" s="34"/>
      <c r="UZ26" s="34"/>
      <c r="VA26" s="34"/>
      <c r="VB26" s="34"/>
      <c r="VC26" s="34"/>
      <c r="VD26" s="34"/>
      <c r="VE26" s="34"/>
      <c r="VF26" s="34"/>
      <c r="VG26" s="34"/>
      <c r="VH26" s="34"/>
      <c r="VI26" s="34"/>
      <c r="VJ26" s="34"/>
      <c r="VK26" s="34"/>
      <c r="VL26" s="34"/>
      <c r="VM26" s="34"/>
      <c r="VN26" s="34"/>
      <c r="VO26" s="34"/>
      <c r="VP26" s="34"/>
      <c r="VQ26" s="34"/>
      <c r="VR26" s="34"/>
      <c r="VS26" s="34"/>
      <c r="VT26" s="34"/>
      <c r="VU26" s="34"/>
      <c r="VV26" s="34"/>
      <c r="VW26" s="34"/>
      <c r="VX26" s="34"/>
      <c r="VY26" s="34"/>
      <c r="VZ26" s="34"/>
      <c r="WA26" s="34"/>
      <c r="WB26" s="34"/>
      <c r="WC26" s="34"/>
      <c r="WD26" s="34"/>
      <c r="WE26" s="34"/>
      <c r="WF26" s="34"/>
      <c r="WG26" s="34"/>
      <c r="WH26" s="34"/>
      <c r="WI26" s="34"/>
      <c r="WJ26" s="34"/>
      <c r="WK26" s="34"/>
      <c r="WL26" s="34"/>
      <c r="WM26" s="34"/>
      <c r="WN26" s="34"/>
      <c r="WO26" s="34"/>
      <c r="WP26" s="34"/>
      <c r="WQ26" s="34"/>
      <c r="WR26" s="34"/>
      <c r="WS26" s="34"/>
      <c r="WT26" s="34"/>
      <c r="WU26" s="34"/>
      <c r="WV26" s="34"/>
      <c r="WW26" s="34"/>
      <c r="WX26" s="34"/>
      <c r="WY26" s="34"/>
      <c r="WZ26" s="34"/>
      <c r="XA26" s="34"/>
      <c r="XB26" s="34"/>
      <c r="XC26" s="34"/>
      <c r="XD26" s="34"/>
      <c r="XE26" s="34"/>
      <c r="XF26" s="34"/>
      <c r="XG26" s="34"/>
      <c r="XH26" s="34"/>
      <c r="XI26" s="34"/>
      <c r="XJ26" s="34"/>
      <c r="XK26" s="34"/>
      <c r="XL26" s="34"/>
      <c r="XM26" s="34"/>
      <c r="XN26" s="34"/>
      <c r="XO26" s="34"/>
      <c r="XP26" s="34"/>
      <c r="XQ26" s="34"/>
      <c r="XR26" s="34"/>
      <c r="XS26" s="34"/>
      <c r="XT26" s="34"/>
      <c r="XU26" s="34"/>
      <c r="XV26" s="34"/>
      <c r="XW26" s="34"/>
      <c r="XX26" s="34"/>
      <c r="XY26" s="34"/>
      <c r="XZ26" s="34"/>
      <c r="YA26" s="34"/>
      <c r="YB26" s="34"/>
      <c r="YC26" s="34"/>
      <c r="YD26" s="34"/>
      <c r="YE26" s="34"/>
      <c r="YF26" s="34"/>
      <c r="YG26" s="34"/>
      <c r="YH26" s="34"/>
      <c r="YI26" s="34"/>
      <c r="YJ26" s="34"/>
      <c r="YK26" s="34"/>
      <c r="YL26" s="34"/>
      <c r="YM26" s="34"/>
      <c r="YN26" s="34"/>
      <c r="YO26" s="34"/>
      <c r="YP26" s="34"/>
      <c r="YQ26" s="34"/>
      <c r="YR26" s="34"/>
      <c r="YS26" s="34"/>
      <c r="YT26" s="34"/>
      <c r="YU26" s="34"/>
      <c r="YV26" s="34"/>
      <c r="YW26" s="34"/>
      <c r="YX26" s="34"/>
      <c r="YY26" s="34"/>
      <c r="YZ26" s="34"/>
      <c r="ZA26" s="34"/>
      <c r="ZB26" s="34"/>
      <c r="ZC26" s="34"/>
      <c r="ZD26" s="34"/>
      <c r="ZE26" s="34"/>
      <c r="ZF26" s="34"/>
      <c r="ZG26" s="34"/>
      <c r="ZH26" s="34"/>
      <c r="ZI26" s="34"/>
      <c r="ZJ26" s="34"/>
      <c r="ZK26" s="34"/>
      <c r="ZL26" s="34"/>
      <c r="ZM26" s="34"/>
      <c r="ZN26" s="34"/>
      <c r="ZO26" s="34"/>
      <c r="ZP26" s="34"/>
      <c r="ZQ26" s="34"/>
      <c r="ZR26" s="34"/>
      <c r="ZS26" s="34"/>
      <c r="ZT26" s="34"/>
      <c r="ZU26" s="34"/>
      <c r="ZV26" s="34"/>
      <c r="ZW26" s="34"/>
      <c r="ZX26" s="34"/>
      <c r="ZY26" s="34"/>
      <c r="ZZ26" s="34"/>
      <c r="AAA26" s="34"/>
      <c r="AAB26" s="34"/>
      <c r="AAC26" s="34"/>
      <c r="AAD26" s="34"/>
      <c r="AAE26" s="34"/>
      <c r="AAF26" s="34"/>
      <c r="AAG26" s="34"/>
      <c r="AAH26" s="34"/>
      <c r="AAI26" s="34"/>
      <c r="AAJ26" s="34"/>
      <c r="AAK26" s="34"/>
      <c r="AAL26" s="34"/>
      <c r="AAM26" s="34"/>
      <c r="AAN26" s="34"/>
      <c r="AAO26" s="34"/>
      <c r="AAP26" s="34"/>
      <c r="AAQ26" s="34"/>
      <c r="AAR26" s="34"/>
      <c r="AAS26" s="34"/>
      <c r="AAT26" s="34"/>
      <c r="AAU26" s="34"/>
      <c r="AAV26" s="34"/>
      <c r="AAW26" s="34"/>
      <c r="AAX26" s="34"/>
      <c r="AAY26" s="34"/>
      <c r="AAZ26" s="34"/>
      <c r="ABA26" s="34"/>
      <c r="ABB26" s="34"/>
      <c r="ABC26" s="34"/>
      <c r="ABD26" s="34"/>
      <c r="ABE26" s="34"/>
      <c r="ABF26" s="34"/>
      <c r="ABG26" s="34"/>
      <c r="ABH26" s="34"/>
      <c r="ABI26" s="34"/>
      <c r="ABJ26" s="34"/>
      <c r="ABK26" s="34"/>
      <c r="ABL26" s="34"/>
      <c r="ABM26" s="34"/>
      <c r="ABN26" s="34"/>
      <c r="ABO26" s="34"/>
      <c r="ABP26" s="34"/>
      <c r="ABQ26" s="34"/>
      <c r="ABR26" s="34"/>
      <c r="ABS26" s="34"/>
      <c r="ABT26" s="34"/>
      <c r="ABU26" s="34"/>
      <c r="ABV26" s="34"/>
      <c r="ABW26" s="34"/>
      <c r="ABX26" s="34"/>
      <c r="ABY26" s="34"/>
      <c r="ABZ26" s="34"/>
      <c r="ACA26" s="34"/>
      <c r="ACB26" s="34"/>
      <c r="ACC26" s="34"/>
      <c r="ACD26" s="34"/>
      <c r="ACE26" s="34"/>
      <c r="ACF26" s="34"/>
      <c r="ACG26" s="34"/>
      <c r="ACH26" s="34"/>
      <c r="ACI26" s="34"/>
      <c r="ACJ26" s="34"/>
      <c r="ACK26" s="34"/>
      <c r="ACL26" s="34"/>
      <c r="ACM26" s="34"/>
      <c r="ACN26" s="34"/>
      <c r="ACO26" s="34"/>
      <c r="ACP26" s="34"/>
      <c r="ACQ26" s="34"/>
      <c r="ACR26" s="34"/>
      <c r="ACS26" s="34"/>
      <c r="ACT26" s="34"/>
      <c r="ACU26" s="34"/>
      <c r="ACV26" s="34"/>
      <c r="ACW26" s="34"/>
      <c r="ACX26" s="34"/>
      <c r="ACY26" s="34"/>
      <c r="ACZ26" s="34"/>
      <c r="ADA26" s="34"/>
      <c r="ADB26" s="34"/>
      <c r="ADC26" s="34"/>
      <c r="ADD26" s="34"/>
      <c r="ADE26" s="34"/>
      <c r="ADF26" s="34"/>
      <c r="ADG26" s="34"/>
      <c r="ADH26" s="34"/>
      <c r="ADI26" s="34"/>
      <c r="ADJ26" s="34"/>
      <c r="ADK26" s="34"/>
      <c r="ADL26" s="34"/>
      <c r="ADM26" s="34"/>
      <c r="ADN26" s="34"/>
      <c r="ADO26" s="34"/>
      <c r="ADP26" s="34"/>
      <c r="ADQ26" s="34"/>
      <c r="ADR26" s="34"/>
      <c r="ADS26" s="34"/>
      <c r="ADT26" s="34"/>
      <c r="ADU26" s="34"/>
      <c r="ADV26" s="34"/>
      <c r="ADW26" s="34"/>
      <c r="ADX26" s="34"/>
      <c r="ADY26" s="34"/>
      <c r="ADZ26" s="34"/>
      <c r="AEA26" s="34"/>
      <c r="AEB26" s="34"/>
      <c r="AEC26" s="34"/>
      <c r="AED26" s="34"/>
      <c r="AEE26" s="34"/>
      <c r="AEF26" s="34"/>
      <c r="AEG26" s="34"/>
      <c r="AEH26" s="34"/>
      <c r="AEI26" s="34"/>
      <c r="AEJ26" s="34"/>
      <c r="AEK26" s="34"/>
      <c r="AEL26" s="34"/>
      <c r="AEM26" s="34"/>
      <c r="AEN26" s="34"/>
      <c r="AEO26" s="34"/>
      <c r="AEP26" s="34"/>
      <c r="AEQ26" s="34"/>
      <c r="AER26" s="34"/>
      <c r="AES26" s="34"/>
      <c r="AET26" s="34"/>
      <c r="AEU26" s="34"/>
      <c r="AEV26" s="34"/>
      <c r="AEW26" s="34"/>
      <c r="AEX26" s="34"/>
      <c r="AEY26" s="34"/>
      <c r="AEZ26" s="34"/>
      <c r="AFA26" s="34"/>
      <c r="AFB26" s="34"/>
      <c r="AFC26" s="34"/>
      <c r="AFD26" s="34"/>
      <c r="AFE26" s="34"/>
      <c r="AFF26" s="34"/>
      <c r="AFG26" s="34"/>
      <c r="AFH26" s="34"/>
      <c r="AFI26" s="34"/>
      <c r="AFJ26" s="34"/>
      <c r="AFK26" s="34"/>
      <c r="AFL26" s="34"/>
      <c r="AFM26" s="34"/>
      <c r="AFN26" s="34"/>
      <c r="AFO26" s="34"/>
      <c r="AFP26" s="34"/>
      <c r="AFQ26" s="34"/>
      <c r="AFR26" s="34"/>
      <c r="AFS26" s="34"/>
      <c r="AFT26" s="34"/>
      <c r="AFU26" s="34"/>
      <c r="AFV26" s="34"/>
      <c r="AFW26" s="34"/>
      <c r="AFX26" s="34"/>
      <c r="AFY26" s="34"/>
      <c r="AFZ26" s="34"/>
      <c r="AGA26" s="34"/>
      <c r="AGB26" s="34"/>
      <c r="AGC26" s="34"/>
      <c r="AGD26" s="34"/>
      <c r="AGE26" s="34"/>
      <c r="AGF26" s="34"/>
      <c r="AGG26" s="34"/>
      <c r="AGH26" s="34"/>
      <c r="AGI26" s="34"/>
      <c r="AGJ26" s="34"/>
      <c r="AGK26" s="34"/>
      <c r="AGL26" s="34"/>
      <c r="AGM26" s="34"/>
      <c r="AGN26" s="34"/>
      <c r="AGO26" s="34"/>
      <c r="AGP26" s="34"/>
      <c r="AGQ26" s="34"/>
      <c r="AGR26" s="34"/>
      <c r="AGS26" s="34"/>
      <c r="AGT26" s="34"/>
      <c r="AGU26" s="34"/>
      <c r="AGV26" s="34"/>
      <c r="AGW26" s="34"/>
      <c r="AGX26" s="34"/>
      <c r="AGY26" s="34"/>
      <c r="AGZ26" s="34"/>
      <c r="AHA26" s="34"/>
      <c r="AHB26" s="34"/>
      <c r="AHC26" s="34"/>
      <c r="AHD26" s="34"/>
      <c r="AHE26" s="34"/>
      <c r="AHF26" s="34"/>
      <c r="AHG26" s="34"/>
      <c r="AHH26" s="34"/>
      <c r="AHI26" s="34"/>
      <c r="AHJ26" s="34"/>
      <c r="AHK26" s="34"/>
      <c r="AHL26" s="34"/>
      <c r="AHM26" s="34"/>
      <c r="AHN26" s="34"/>
      <c r="AHO26" s="34"/>
      <c r="AHP26" s="34"/>
      <c r="AHQ26" s="34"/>
      <c r="AHR26" s="34"/>
      <c r="AHS26" s="34"/>
      <c r="AHT26" s="34"/>
      <c r="AHU26" s="34"/>
      <c r="AHV26" s="34"/>
      <c r="AHW26" s="34"/>
      <c r="AHX26" s="34"/>
      <c r="AHY26" s="34"/>
      <c r="AHZ26" s="34"/>
      <c r="AIA26" s="34"/>
      <c r="AIB26" s="34"/>
      <c r="AIC26" s="34"/>
      <c r="AID26" s="34"/>
      <c r="AIE26" s="34"/>
      <c r="AIF26" s="34"/>
      <c r="AIG26" s="34"/>
      <c r="AIH26" s="34"/>
      <c r="AII26" s="34"/>
      <c r="AIJ26" s="34"/>
      <c r="AIK26" s="34"/>
      <c r="AIL26" s="34"/>
      <c r="AIM26" s="34"/>
      <c r="AIN26" s="34"/>
      <c r="AIO26" s="34"/>
      <c r="AIP26" s="34"/>
      <c r="AIQ26" s="34"/>
      <c r="AIR26" s="34"/>
      <c r="AIS26" s="34"/>
      <c r="AIT26" s="34"/>
      <c r="AIU26" s="34"/>
      <c r="AIV26" s="34"/>
      <c r="AIW26" s="34"/>
      <c r="AIX26" s="34"/>
      <c r="AIY26" s="34"/>
      <c r="AIZ26" s="34"/>
      <c r="AJA26" s="34"/>
      <c r="AJB26" s="34"/>
      <c r="AJC26" s="34"/>
      <c r="AJD26" s="34"/>
      <c r="AJE26" s="34"/>
      <c r="AJF26" s="34"/>
      <c r="AJG26" s="34"/>
      <c r="AJH26" s="34"/>
      <c r="AJI26" s="34"/>
      <c r="AJJ26" s="34"/>
      <c r="AJK26" s="34"/>
      <c r="AJL26" s="34"/>
      <c r="AJM26" s="34"/>
      <c r="AJN26" s="34"/>
      <c r="AJO26" s="34"/>
      <c r="AJP26" s="34"/>
      <c r="AJQ26" s="34"/>
      <c r="AJR26" s="34"/>
      <c r="AJS26" s="34"/>
      <c r="AJT26" s="34"/>
      <c r="AJU26" s="34"/>
      <c r="AJV26" s="34"/>
      <c r="AJW26" s="34"/>
      <c r="AJX26" s="34"/>
      <c r="AJY26" s="34"/>
      <c r="AJZ26" s="34"/>
      <c r="AKA26" s="34"/>
      <c r="AKB26" s="34"/>
      <c r="AKC26" s="34"/>
      <c r="AKD26" s="34"/>
      <c r="AKE26" s="34"/>
      <c r="AKF26" s="34"/>
      <c r="AKG26" s="34"/>
      <c r="AKH26" s="34"/>
      <c r="AKI26" s="34"/>
      <c r="AKJ26" s="34"/>
      <c r="AKK26" s="34"/>
      <c r="AKL26" s="34"/>
      <c r="AKM26" s="34"/>
      <c r="AKN26" s="34"/>
      <c r="AKO26" s="34"/>
      <c r="AKP26" s="34"/>
      <c r="AKQ26" s="34"/>
      <c r="AKR26" s="34"/>
      <c r="AKS26" s="34"/>
      <c r="AKT26" s="34"/>
      <c r="AKU26" s="34"/>
      <c r="AKV26" s="34"/>
      <c r="AKW26" s="34"/>
      <c r="AKX26" s="34"/>
      <c r="AKY26" s="34"/>
      <c r="AKZ26" s="34"/>
      <c r="ALA26" s="34"/>
      <c r="ALB26" s="34"/>
      <c r="ALC26" s="34"/>
      <c r="ALD26" s="34"/>
      <c r="ALE26" s="34"/>
      <c r="ALF26" s="34"/>
      <c r="ALG26" s="33"/>
      <c r="ALH26" s="33"/>
      <c r="ALI26" s="33"/>
      <c r="ALJ26" s="33"/>
      <c r="ALK26" s="33"/>
      <c r="ALL26" s="33"/>
      <c r="ALM26" s="33"/>
      <c r="ALN26" s="33"/>
      <c r="ALO26" s="33"/>
      <c r="ALP26" s="33"/>
      <c r="ALQ26" s="33"/>
      <c r="ALR26" s="33"/>
      <c r="ALS26" s="33"/>
      <c r="ALT26" s="33"/>
      <c r="ALU26" s="33"/>
      <c r="ALV26" s="33"/>
      <c r="ALW26" s="33"/>
      <c r="ALX26" s="33"/>
      <c r="ALY26" s="33"/>
      <c r="ALZ26" s="33"/>
      <c r="AMA26" s="33"/>
      <c r="AMB26" s="33"/>
      <c r="AMC26" s="33"/>
      <c r="AMD26" s="33"/>
      <c r="AME26" s="33"/>
      <c r="AMF26" s="33"/>
      <c r="AMG26" s="33"/>
      <c r="AMH26" s="33"/>
      <c r="AMI26" s="33"/>
      <c r="AMJ26" s="33"/>
      <c r="AMK26" s="33"/>
      <c r="AML26" s="33"/>
      <c r="AMM26" s="33"/>
      <c r="AMN26" s="33"/>
      <c r="AMO26" s="33"/>
      <c r="AMP26" s="33"/>
      <c r="AMQ26" s="33"/>
      <c r="AMR26" s="33"/>
      <c r="AMS26" s="33"/>
      <c r="AMT26" s="33"/>
      <c r="AMU26" s="33"/>
      <c r="AMV26" s="33"/>
      <c r="AMW26" s="33"/>
      <c r="AMX26" s="33"/>
      <c r="AMY26" s="33"/>
      <c r="AMZ26" s="33"/>
      <c r="ANA26" s="33"/>
      <c r="ANB26" s="33"/>
      <c r="ANC26" s="33"/>
      <c r="AND26" s="33"/>
      <c r="ANE26" s="33"/>
      <c r="ANF26" s="33"/>
      <c r="ANG26" s="33"/>
      <c r="ANH26" s="33"/>
      <c r="ANI26" s="33"/>
      <c r="ANJ26" s="33"/>
      <c r="ANK26" s="33"/>
      <c r="ANL26" s="33"/>
      <c r="ANM26" s="33"/>
      <c r="ANN26" s="33"/>
      <c r="ANO26" s="33"/>
      <c r="ANP26" s="33"/>
      <c r="ANQ26" s="33"/>
      <c r="ANR26" s="33"/>
      <c r="ANS26" s="33"/>
      <c r="ANT26" s="33"/>
      <c r="ANU26" s="33"/>
      <c r="ANV26" s="33"/>
      <c r="ANW26" s="33"/>
      <c r="ANX26" s="33"/>
      <c r="ANY26" s="33"/>
      <c r="ANZ26" s="33"/>
      <c r="AOA26" s="33"/>
      <c r="AOB26" s="33"/>
      <c r="AOC26" s="33"/>
      <c r="AOD26" s="33"/>
      <c r="AOE26" s="33"/>
      <c r="AOF26" s="33"/>
      <c r="AOG26" s="33"/>
      <c r="AOH26" s="33"/>
      <c r="AOI26" s="33"/>
      <c r="AOJ26" s="33"/>
      <c r="AOK26" s="33"/>
      <c r="AOL26" s="33"/>
      <c r="AOM26" s="33"/>
      <c r="AON26" s="33"/>
      <c r="AOO26" s="33"/>
      <c r="AOP26" s="33"/>
      <c r="AOQ26" s="33"/>
      <c r="AOR26" s="33"/>
      <c r="AOS26" s="33"/>
      <c r="AOT26" s="33"/>
      <c r="AOU26" s="33"/>
      <c r="AOV26" s="33"/>
      <c r="AOW26" s="33"/>
      <c r="AOX26" s="33"/>
      <c r="AOY26" s="33"/>
      <c r="AOZ26" s="33"/>
      <c r="APA26" s="33"/>
      <c r="APB26" s="33"/>
      <c r="APC26" s="33"/>
      <c r="APD26" s="33"/>
      <c r="APE26" s="33"/>
      <c r="APF26" s="33"/>
      <c r="APG26" s="33"/>
      <c r="APH26" s="33"/>
      <c r="API26" s="33"/>
      <c r="APJ26" s="33"/>
      <c r="APK26" s="33"/>
      <c r="APL26" s="33"/>
      <c r="APM26" s="33"/>
      <c r="APN26" s="33"/>
      <c r="APO26" s="33"/>
      <c r="APP26" s="33"/>
      <c r="APQ26" s="33"/>
      <c r="APR26" s="33"/>
      <c r="APS26" s="33"/>
      <c r="APT26" s="33"/>
      <c r="APU26" s="33"/>
      <c r="APV26" s="33"/>
      <c r="APW26" s="33"/>
      <c r="APX26" s="33"/>
      <c r="APY26" s="33"/>
      <c r="APZ26" s="33"/>
      <c r="AQA26" s="33"/>
      <c r="AQB26" s="33"/>
      <c r="AQC26" s="33"/>
      <c r="AQD26" s="33"/>
      <c r="AQE26" s="33"/>
      <c r="AQF26" s="33"/>
      <c r="AQG26" s="33"/>
      <c r="AQH26" s="33"/>
      <c r="AQI26" s="33"/>
      <c r="AQJ26" s="33"/>
      <c r="AQK26" s="33"/>
      <c r="AQL26" s="33"/>
      <c r="AQM26" s="33"/>
      <c r="AQN26" s="33"/>
      <c r="AQO26" s="33"/>
      <c r="AQP26" s="33"/>
      <c r="AQQ26" s="33"/>
      <c r="AQR26" s="33"/>
      <c r="AQS26" s="33"/>
      <c r="AQT26" s="33"/>
      <c r="AQU26" s="33"/>
      <c r="AQV26" s="33"/>
      <c r="AQW26" s="33"/>
      <c r="AQX26" s="33"/>
      <c r="AQY26" s="33"/>
      <c r="AQZ26" s="33"/>
      <c r="ARA26" s="33"/>
      <c r="ARB26" s="33"/>
      <c r="ARC26" s="33"/>
      <c r="ARD26" s="33"/>
      <c r="ARE26" s="33"/>
      <c r="ARF26" s="33"/>
      <c r="ARG26" s="33"/>
      <c r="ARH26" s="33"/>
      <c r="ARI26" s="33"/>
      <c r="ARJ26" s="33"/>
      <c r="ARK26" s="33"/>
      <c r="ARL26" s="33"/>
      <c r="ARM26" s="33"/>
      <c r="ARN26" s="33"/>
      <c r="ARO26" s="33"/>
      <c r="ARP26" s="33"/>
      <c r="ARQ26" s="33"/>
      <c r="ARR26" s="33"/>
      <c r="ARS26" s="33"/>
      <c r="ART26" s="33"/>
      <c r="ARU26" s="33"/>
      <c r="ARV26" s="33"/>
      <c r="ARW26" s="33"/>
      <c r="ARX26" s="33"/>
      <c r="ARY26" s="33"/>
      <c r="ARZ26" s="33"/>
      <c r="ASA26" s="33"/>
      <c r="ASB26" s="33"/>
      <c r="ASC26" s="33"/>
      <c r="ASD26" s="33"/>
      <c r="ASE26" s="33"/>
      <c r="ASF26" s="33"/>
      <c r="ASG26" s="33"/>
      <c r="ASH26" s="33"/>
      <c r="ASI26" s="33"/>
      <c r="ASJ26" s="33"/>
      <c r="ASK26" s="33"/>
      <c r="ASL26" s="33"/>
      <c r="ASM26" s="33"/>
      <c r="ASN26" s="33"/>
      <c r="ASO26" s="33"/>
      <c r="ASP26" s="33"/>
      <c r="ASQ26" s="33"/>
      <c r="ASR26" s="33"/>
      <c r="ASS26" s="33"/>
      <c r="AST26" s="33"/>
      <c r="ASU26" s="33"/>
      <c r="ASV26" s="33"/>
      <c r="ASW26" s="33"/>
      <c r="ASX26" s="33"/>
      <c r="ASY26" s="33"/>
      <c r="ASZ26" s="33"/>
      <c r="ATA26" s="33"/>
      <c r="ATB26" s="33"/>
      <c r="ATC26" s="33"/>
      <c r="ATD26" s="33"/>
      <c r="ATE26" s="33"/>
      <c r="ATF26" s="33"/>
      <c r="ATG26" s="33"/>
      <c r="ATH26" s="33"/>
      <c r="ATI26" s="33"/>
      <c r="ATJ26" s="33"/>
      <c r="ATK26" s="33"/>
      <c r="ATL26" s="33"/>
      <c r="ATM26" s="33"/>
      <c r="ATN26" s="33"/>
      <c r="ATO26" s="33"/>
      <c r="ATP26" s="33"/>
      <c r="ATQ26" s="33"/>
      <c r="ATR26" s="33"/>
      <c r="ATS26" s="33"/>
      <c r="ATT26" s="33"/>
      <c r="ATU26" s="33"/>
      <c r="ATV26" s="33"/>
      <c r="ATW26" s="33"/>
      <c r="ATX26" s="33"/>
      <c r="ATY26" s="33"/>
      <c r="ATZ26" s="33"/>
      <c r="AUA26" s="33"/>
      <c r="AUB26" s="33"/>
      <c r="AUC26" s="33"/>
      <c r="AUD26" s="33"/>
      <c r="AUE26" s="33"/>
      <c r="AUF26" s="33"/>
      <c r="AUG26" s="33"/>
      <c r="AUH26" s="33"/>
      <c r="AUI26" s="33"/>
      <c r="AUJ26" s="33"/>
      <c r="AUK26" s="33"/>
      <c r="AUL26" s="33"/>
      <c r="AUM26" s="33"/>
      <c r="AUN26" s="33"/>
      <c r="AUO26" s="33"/>
      <c r="AUP26" s="33"/>
      <c r="AUQ26" s="33"/>
      <c r="AUR26" s="33"/>
      <c r="AUS26" s="33"/>
      <c r="AUT26" s="33"/>
      <c r="AUU26" s="33"/>
      <c r="AUV26" s="33"/>
      <c r="AUW26" s="33"/>
      <c r="AUX26" s="33"/>
      <c r="AUY26" s="33"/>
      <c r="AUZ26" s="33"/>
      <c r="AVA26" s="33"/>
      <c r="AVB26" s="33"/>
    </row>
    <row r="27" spans="1:1250">
      <c r="B27" s="84">
        <f t="array" aca="1" ref="B27" ca="1">SUMPRODUCT(IFERROR(B7:B18,0),IFERROR(AA7:AA18,0))</f>
        <v>96.467500000000001</v>
      </c>
      <c r="C27" s="7"/>
      <c r="D27" s="50">
        <f t="array" aca="1" ref="D27" ca="1">SUMPRODUCT(IFERROR(D7:D18,0),IFERROR(AA7:AA18,0))</f>
        <v>4.8916666666666664E-2</v>
      </c>
      <c r="E27" s="7"/>
      <c r="F27" s="7"/>
      <c r="G27" s="50">
        <f t="array" aca="1" ref="G27" ca="1">SUMPRODUCT(IFERROR(G7:G18,0),IFERROR(AA7:AA18,0))</f>
        <v>5.2366666666666666E-2</v>
      </c>
      <c r="H27" s="51">
        <f t="array" aca="1" ref="H27" ca="1">SUMPRODUCT(IFERROR(H7:H18,0),IFERROR(AA7:AA18,0))</f>
        <v>16.296666666666663</v>
      </c>
      <c r="I27" s="7"/>
      <c r="J27" s="7"/>
      <c r="K27" s="7"/>
      <c r="L27" s="49">
        <f>COUNTIF(L7:L18,"TRUE")</f>
        <v>12</v>
      </c>
      <c r="M27" s="107">
        <f ca="1">SUMIF(L7:L18,"TRUE",M7:M18)</f>
        <v>112000</v>
      </c>
      <c r="N27" s="107">
        <f>SUMIF(L7:L18,"TRUE",N7:N18)</f>
        <v>120000</v>
      </c>
      <c r="O27" s="107">
        <f ca="1">SUMIF(L7:L18,"TRUE",O7:O18)</f>
        <v>13000</v>
      </c>
      <c r="P27" s="33"/>
      <c r="Q27" s="33"/>
      <c r="R27" s="58">
        <f ca="1">SUMIFS(R7:R18,L7:L18,"TRUE")</f>
        <v>113834.62</v>
      </c>
      <c r="S27" s="33"/>
      <c r="T27" s="34"/>
      <c r="U27" s="36" t="str">
        <f>IFERROR(VLOOKUP($A3,'銀行-TSS'!A:A,3,FALSE),"")</f>
        <v/>
      </c>
      <c r="V27" s="113">
        <f ca="1">SUMIFS(V7:V18,L7:L18,"TRUE")</f>
        <v>19.2638</v>
      </c>
      <c r="W27" s="113">
        <f ca="1">SUMIFS(W7:W18,L7:L18,"TRUE")</f>
        <v>1926.38</v>
      </c>
      <c r="X27" s="113">
        <f ca="1">SUMIFS(X7:X18,L7:L18,"TRUE")</f>
        <v>0</v>
      </c>
      <c r="Y27" s="113"/>
      <c r="Z27" s="34"/>
      <c r="AA27" s="34"/>
      <c r="AB27" s="34"/>
      <c r="AC27" s="113">
        <f ca="1">SUMIFS(AC7:AC18,L7:L18,"TRUE")</f>
        <v>115761</v>
      </c>
      <c r="AD27" s="34">
        <f t="array" aca="1" ref="AD27" ca="1">SUMPRODUCT(IFERROR(AD7:AD18,0),IFERROR(AA7:AA18,0))</f>
        <v>15.916666666666668</v>
      </c>
      <c r="AE27" s="113">
        <f ca="1">SUMIFS(AE7:AE18,L7:L18,"TRUE")</f>
        <v>2935</v>
      </c>
      <c r="AF27" s="34"/>
      <c r="AG27" s="34"/>
      <c r="AH27" s="34"/>
      <c r="AI27" s="34"/>
      <c r="AJ27" s="34"/>
      <c r="AK27" s="34"/>
      <c r="AL27" s="34"/>
      <c r="AM27" s="34"/>
      <c r="AN27" s="34"/>
      <c r="AO27" s="34"/>
      <c r="AP27" s="34"/>
      <c r="AQ27" s="34"/>
      <c r="AR27" s="34"/>
      <c r="AS27" s="34"/>
      <c r="AT27" s="34"/>
      <c r="AU27" s="34"/>
      <c r="AV27" s="34"/>
      <c r="AW27" s="34"/>
      <c r="AX27" s="34"/>
      <c r="AY27" s="34"/>
      <c r="AZ27" s="34"/>
      <c r="BA27" s="34"/>
      <c r="BB27" s="34"/>
      <c r="BC27" s="34"/>
      <c r="BD27" s="34"/>
      <c r="BE27" s="34"/>
      <c r="BF27" s="34"/>
      <c r="BG27" s="34"/>
      <c r="BH27" s="34"/>
      <c r="BI27" s="34"/>
      <c r="BJ27" s="34"/>
      <c r="BK27" s="34"/>
      <c r="BL27" s="34"/>
      <c r="BM27" s="34"/>
      <c r="BN27" s="34"/>
      <c r="BO27" s="34"/>
      <c r="BP27" s="34"/>
      <c r="BQ27" s="34"/>
      <c r="BR27" s="34"/>
      <c r="BS27" s="34"/>
      <c r="BT27" s="34"/>
      <c r="BU27" s="34"/>
      <c r="BV27" s="34"/>
      <c r="BW27" s="34"/>
      <c r="BX27" s="34"/>
      <c r="BY27" s="34"/>
      <c r="BZ27" s="34"/>
      <c r="CA27" s="34"/>
      <c r="CB27" s="34"/>
      <c r="CC27" s="34"/>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c r="DC27" s="34"/>
      <c r="DD27" s="34"/>
      <c r="DE27" s="34"/>
      <c r="DF27" s="34"/>
      <c r="DG27" s="34"/>
      <c r="DH27" s="34"/>
      <c r="DI27" s="34"/>
      <c r="DJ27" s="34"/>
      <c r="DK27" s="34"/>
      <c r="DL27" s="34"/>
      <c r="DM27" s="34"/>
      <c r="DN27" s="34"/>
      <c r="DO27" s="34"/>
      <c r="DP27" s="34"/>
      <c r="DQ27" s="34"/>
      <c r="DR27" s="34"/>
      <c r="DS27" s="34"/>
      <c r="DT27" s="34"/>
      <c r="DU27" s="34"/>
      <c r="DV27" s="34"/>
      <c r="DW27" s="34"/>
      <c r="DX27" s="34"/>
      <c r="DY27" s="34"/>
      <c r="DZ27" s="34"/>
      <c r="EA27" s="34"/>
      <c r="EB27" s="34"/>
      <c r="EC27" s="34"/>
      <c r="ED27" s="34"/>
      <c r="EE27" s="34"/>
      <c r="EF27" s="34"/>
      <c r="EG27" s="34"/>
      <c r="EH27" s="34"/>
      <c r="EI27" s="34"/>
      <c r="EJ27" s="34"/>
      <c r="EK27" s="34"/>
      <c r="EL27" s="34"/>
      <c r="EM27" s="34"/>
      <c r="EN27" s="34"/>
      <c r="EO27" s="34"/>
      <c r="EP27" s="34"/>
      <c r="EQ27" s="34"/>
      <c r="ER27" s="34"/>
      <c r="ES27" s="34"/>
      <c r="ET27" s="34"/>
      <c r="EU27" s="34"/>
      <c r="EV27" s="34"/>
      <c r="EW27" s="34"/>
      <c r="EX27" s="34"/>
      <c r="EY27" s="34"/>
      <c r="EZ27" s="34"/>
      <c r="FA27" s="34"/>
      <c r="FB27" s="34"/>
      <c r="FC27" s="34"/>
      <c r="FD27" s="34"/>
      <c r="FE27" s="34"/>
      <c r="FF27" s="34"/>
      <c r="FG27" s="34"/>
      <c r="FH27" s="34"/>
      <c r="FI27" s="34"/>
      <c r="FJ27" s="34"/>
      <c r="FK27" s="34"/>
      <c r="FL27" s="34"/>
      <c r="FM27" s="34"/>
      <c r="FN27" s="34"/>
      <c r="FO27" s="34"/>
      <c r="FP27" s="34"/>
      <c r="FQ27" s="34"/>
      <c r="FR27" s="34"/>
      <c r="FS27" s="34"/>
      <c r="FT27" s="34"/>
      <c r="FU27" s="34"/>
      <c r="FV27" s="34"/>
      <c r="FW27" s="34"/>
      <c r="FX27" s="34"/>
      <c r="FY27" s="34"/>
      <c r="FZ27" s="34"/>
      <c r="GA27" s="34"/>
      <c r="GB27" s="34"/>
      <c r="GC27" s="34"/>
      <c r="GD27" s="34"/>
      <c r="GE27" s="34"/>
      <c r="GF27" s="34"/>
      <c r="GG27" s="34"/>
      <c r="GH27" s="34"/>
      <c r="GI27" s="34"/>
      <c r="GJ27" s="34"/>
      <c r="GK27" s="34"/>
      <c r="GL27" s="34"/>
      <c r="GM27" s="34"/>
      <c r="GN27" s="34"/>
      <c r="GO27" s="34"/>
      <c r="GP27" s="34"/>
      <c r="GQ27" s="34"/>
      <c r="GR27" s="34"/>
      <c r="GS27" s="34"/>
      <c r="GT27" s="34"/>
      <c r="GU27" s="34"/>
      <c r="GV27" s="34"/>
      <c r="GW27" s="34"/>
      <c r="GX27" s="34"/>
      <c r="GY27" s="34"/>
      <c r="GZ27" s="34"/>
      <c r="HA27" s="34"/>
      <c r="HB27" s="34"/>
      <c r="HC27" s="34"/>
      <c r="HD27" s="34"/>
      <c r="HE27" s="34"/>
      <c r="HF27" s="34"/>
      <c r="HG27" s="34"/>
      <c r="HH27" s="34"/>
      <c r="HI27" s="34"/>
      <c r="HJ27" s="34"/>
      <c r="HK27" s="34"/>
      <c r="HL27" s="34"/>
      <c r="HM27" s="34"/>
      <c r="HN27" s="34"/>
      <c r="HO27" s="34"/>
      <c r="HP27" s="34"/>
      <c r="HQ27" s="34"/>
      <c r="HR27" s="34"/>
      <c r="HS27" s="34"/>
      <c r="HT27" s="34"/>
      <c r="HU27" s="34"/>
      <c r="HV27" s="34"/>
      <c r="HW27" s="34"/>
      <c r="HX27" s="34"/>
      <c r="HY27" s="34"/>
      <c r="HZ27" s="34"/>
      <c r="IA27" s="34"/>
      <c r="IB27" s="34"/>
      <c r="IC27" s="34"/>
      <c r="ID27" s="34"/>
      <c r="IE27" s="34"/>
      <c r="IF27" s="34"/>
      <c r="IG27" s="34"/>
      <c r="IH27" s="34"/>
      <c r="II27" s="34"/>
      <c r="IJ27" s="34"/>
      <c r="IK27" s="34"/>
      <c r="IL27" s="34"/>
      <c r="IM27" s="34"/>
      <c r="IN27" s="34"/>
      <c r="IO27" s="34"/>
      <c r="IP27" s="34"/>
      <c r="IQ27" s="34"/>
      <c r="IR27" s="34"/>
      <c r="IS27" s="34"/>
      <c r="IT27" s="34"/>
      <c r="IU27" s="34"/>
      <c r="IV27" s="34"/>
      <c r="IW27" s="34"/>
      <c r="IX27" s="34"/>
      <c r="IY27" s="34"/>
      <c r="IZ27" s="34"/>
      <c r="JA27" s="34"/>
      <c r="JB27" s="34"/>
      <c r="JC27" s="34"/>
      <c r="JD27" s="34"/>
      <c r="JE27" s="34"/>
      <c r="JF27" s="34"/>
      <c r="JG27" s="34"/>
      <c r="JH27" s="34"/>
      <c r="JI27" s="34"/>
      <c r="JJ27" s="34"/>
      <c r="JK27" s="34"/>
      <c r="JL27" s="34"/>
      <c r="JM27" s="34"/>
      <c r="JN27" s="34"/>
      <c r="JO27" s="34"/>
      <c r="JP27" s="34"/>
      <c r="JQ27" s="31"/>
      <c r="JR27" s="31"/>
      <c r="JS27" s="31"/>
      <c r="JT27" s="31"/>
      <c r="JU27" s="31"/>
      <c r="JV27" s="31"/>
      <c r="JW27" s="31"/>
      <c r="JX27" s="31"/>
      <c r="JY27" s="31"/>
      <c r="JZ27" s="31"/>
      <c r="KA27" s="31"/>
      <c r="KB27" s="31"/>
      <c r="KC27" s="31"/>
      <c r="KD27" s="31"/>
      <c r="KE27" s="31"/>
      <c r="KF27" s="31"/>
      <c r="KG27" s="31"/>
      <c r="KH27" s="31"/>
      <c r="KI27" s="31"/>
      <c r="KJ27" s="31"/>
      <c r="KK27" s="31"/>
      <c r="KL27" s="31"/>
      <c r="KM27" s="31"/>
      <c r="KN27" s="31"/>
      <c r="KO27" s="31"/>
      <c r="KP27" s="31"/>
      <c r="KQ27" s="31"/>
      <c r="KR27" s="31"/>
      <c r="KS27" s="31"/>
      <c r="KT27" s="31"/>
      <c r="KU27" s="31"/>
      <c r="KV27" s="31"/>
      <c r="KW27" s="31"/>
      <c r="KX27" s="31"/>
      <c r="KY27" s="31"/>
      <c r="KZ27" s="31"/>
      <c r="LA27" s="31"/>
      <c r="LB27" s="31"/>
      <c r="LC27" s="31"/>
      <c r="LD27" s="31"/>
      <c r="LE27" s="31"/>
      <c r="LF27" s="31"/>
      <c r="LG27" s="31"/>
      <c r="LH27" s="31"/>
      <c r="LI27" s="31"/>
      <c r="LJ27" s="31"/>
      <c r="LK27" s="31"/>
      <c r="LL27" s="31"/>
      <c r="LM27" s="31"/>
      <c r="LN27" s="31"/>
      <c r="LO27" s="31"/>
      <c r="LP27" s="31"/>
      <c r="LQ27" s="31"/>
      <c r="LR27" s="31"/>
      <c r="LS27" s="31"/>
      <c r="LT27" s="31"/>
      <c r="LU27" s="31"/>
      <c r="LV27" s="31"/>
      <c r="LW27" s="31"/>
      <c r="LX27" s="31"/>
      <c r="LY27" s="31"/>
      <c r="LZ27" s="31"/>
      <c r="MA27" s="31"/>
      <c r="MB27" s="31"/>
      <c r="MC27" s="31"/>
      <c r="MD27" s="31"/>
      <c r="ME27" s="31"/>
      <c r="MF27" s="31"/>
      <c r="MG27" s="31"/>
      <c r="MH27" s="31"/>
      <c r="MI27" s="31"/>
      <c r="MJ27" s="31"/>
      <c r="MK27" s="31"/>
      <c r="ML27" s="31"/>
      <c r="MM27" s="31"/>
      <c r="MN27" s="31"/>
      <c r="MO27" s="31"/>
      <c r="MP27" s="31"/>
      <c r="MQ27" s="31"/>
      <c r="MR27" s="31"/>
      <c r="MS27" s="31"/>
      <c r="MT27" s="31"/>
      <c r="MU27" s="31"/>
      <c r="MV27" s="31"/>
      <c r="MW27" s="31"/>
      <c r="MX27" s="31"/>
      <c r="MY27" s="31"/>
      <c r="MZ27" s="31"/>
      <c r="NA27" s="31"/>
      <c r="NB27" s="31"/>
      <c r="NC27" s="31"/>
      <c r="ND27" s="31"/>
      <c r="NE27" s="31"/>
      <c r="NF27" s="31"/>
      <c r="NG27" s="31"/>
      <c r="NH27" s="31"/>
      <c r="NI27" s="31"/>
      <c r="NJ27" s="31"/>
      <c r="NK27" s="31"/>
      <c r="NL27" s="31"/>
      <c r="NM27" s="31"/>
      <c r="NN27" s="31"/>
      <c r="NO27" s="31"/>
      <c r="NP27" s="31"/>
      <c r="NQ27" s="31"/>
      <c r="NR27" s="31"/>
      <c r="NS27" s="31"/>
      <c r="NT27" s="31"/>
      <c r="NU27" s="31"/>
      <c r="NV27" s="31"/>
      <c r="NW27" s="31"/>
      <c r="NX27" s="31"/>
      <c r="NY27" s="31"/>
      <c r="NZ27" s="31"/>
      <c r="OA27" s="31"/>
      <c r="OB27" s="31"/>
      <c r="OC27" s="31"/>
      <c r="OD27" s="31"/>
      <c r="OE27" s="31"/>
      <c r="OF27" s="31"/>
      <c r="OG27" s="31"/>
      <c r="OH27" s="31"/>
      <c r="OI27" s="31"/>
      <c r="OJ27" s="31"/>
      <c r="OK27" s="31"/>
      <c r="OL27" s="31"/>
      <c r="OM27" s="31"/>
      <c r="ON27" s="31"/>
      <c r="OO27" s="31"/>
      <c r="OP27" s="31"/>
      <c r="OQ27" s="31"/>
      <c r="OR27" s="31"/>
      <c r="OS27" s="31"/>
      <c r="OT27" s="31"/>
      <c r="OU27" s="31"/>
      <c r="OV27" s="31"/>
      <c r="OW27" s="31"/>
      <c r="OX27" s="31"/>
      <c r="OY27" s="31"/>
      <c r="OZ27" s="31"/>
      <c r="PA27" s="31"/>
      <c r="PB27" s="31"/>
      <c r="PC27" s="31"/>
      <c r="PD27" s="31"/>
      <c r="PE27" s="31"/>
      <c r="PF27" s="31"/>
      <c r="PG27" s="31"/>
      <c r="PH27" s="31"/>
      <c r="PI27" s="31"/>
      <c r="PJ27" s="31"/>
      <c r="PK27" s="31"/>
      <c r="PL27" s="31"/>
      <c r="PM27" s="31"/>
      <c r="PN27" s="31"/>
      <c r="PO27" s="31"/>
      <c r="PP27" s="31"/>
      <c r="PQ27" s="31"/>
      <c r="PR27" s="31"/>
      <c r="PS27" s="31"/>
      <c r="PT27" s="31"/>
      <c r="PU27" s="31"/>
      <c r="PV27" s="31"/>
      <c r="PW27" s="31"/>
      <c r="PX27" s="31"/>
      <c r="PY27" s="31"/>
      <c r="PZ27" s="31"/>
      <c r="QA27" s="31"/>
      <c r="QB27" s="31"/>
      <c r="QC27" s="31"/>
      <c r="QD27" s="31"/>
      <c r="QE27" s="31"/>
      <c r="QF27" s="31"/>
      <c r="QG27" s="31"/>
      <c r="QH27" s="31"/>
      <c r="QI27" s="31"/>
      <c r="QJ27" s="31"/>
      <c r="QK27" s="31"/>
      <c r="QL27" s="31"/>
      <c r="QM27" s="31"/>
      <c r="QN27" s="31"/>
      <c r="QO27" s="31"/>
      <c r="QP27" s="31"/>
      <c r="QQ27" s="31"/>
      <c r="QR27" s="31"/>
      <c r="QS27" s="31"/>
      <c r="QT27" s="31"/>
      <c r="QU27" s="31"/>
      <c r="QV27" s="31"/>
      <c r="QW27" s="31"/>
      <c r="QX27" s="31"/>
      <c r="QY27" s="31"/>
      <c r="QZ27" s="31"/>
      <c r="RA27" s="31"/>
      <c r="RB27" s="31"/>
      <c r="RC27" s="31"/>
      <c r="RD27" s="31"/>
      <c r="RE27" s="31"/>
      <c r="RF27" s="31"/>
      <c r="RG27" s="31"/>
      <c r="RH27" s="31"/>
      <c r="RI27" s="31"/>
      <c r="RJ27" s="31"/>
      <c r="RK27" s="31"/>
      <c r="RL27" s="31"/>
      <c r="RM27" s="31"/>
      <c r="RN27" s="31"/>
      <c r="RO27" s="31"/>
      <c r="RP27" s="31"/>
      <c r="RQ27" s="31"/>
      <c r="RR27" s="31"/>
      <c r="RS27" s="31"/>
      <c r="RT27" s="31"/>
      <c r="RU27" s="31"/>
      <c r="RV27" s="31"/>
      <c r="RW27" s="31"/>
      <c r="RX27" s="31"/>
      <c r="RY27" s="31"/>
      <c r="RZ27" s="31"/>
      <c r="SA27" s="31"/>
      <c r="SB27" s="31"/>
      <c r="SC27" s="31"/>
      <c r="SD27" s="31"/>
      <c r="SE27" s="31"/>
      <c r="SF27" s="31"/>
      <c r="SG27" s="31"/>
      <c r="SH27" s="31"/>
      <c r="SI27" s="31"/>
      <c r="SJ27" s="31"/>
      <c r="SK27" s="31"/>
      <c r="SL27" s="31"/>
      <c r="SM27" s="31"/>
      <c r="SN27" s="31"/>
      <c r="SO27" s="31"/>
      <c r="SP27" s="31"/>
      <c r="SQ27" s="31"/>
      <c r="SR27" s="31"/>
      <c r="SS27" s="31"/>
      <c r="ST27" s="31"/>
      <c r="SU27" s="31"/>
      <c r="SV27" s="31"/>
      <c r="SW27" s="31"/>
      <c r="SX27" s="31"/>
      <c r="SY27" s="31"/>
      <c r="SZ27" s="31"/>
      <c r="TA27" s="31"/>
      <c r="TB27" s="31"/>
      <c r="TC27" s="31"/>
      <c r="TD27" s="31"/>
      <c r="TE27" s="31"/>
      <c r="TF27" s="31"/>
      <c r="TG27" s="31"/>
      <c r="TH27" s="31"/>
      <c r="TI27" s="31"/>
      <c r="TJ27" s="31"/>
      <c r="TK27" s="31"/>
      <c r="TL27" s="31"/>
      <c r="TM27" s="31"/>
      <c r="TN27" s="31"/>
      <c r="TO27" s="31"/>
      <c r="TP27" s="31"/>
      <c r="TQ27" s="31"/>
      <c r="TR27" s="31"/>
      <c r="TS27" s="31"/>
      <c r="TT27" s="31"/>
      <c r="TU27" s="31"/>
      <c r="TV27" s="31"/>
      <c r="TW27" s="31"/>
      <c r="TX27" s="31"/>
      <c r="TY27" s="31"/>
      <c r="TZ27" s="31"/>
      <c r="UA27" s="31"/>
      <c r="UB27" s="31"/>
      <c r="UC27" s="31"/>
      <c r="UD27" s="31"/>
      <c r="UE27" s="31"/>
      <c r="UF27" s="31"/>
      <c r="UG27" s="31"/>
      <c r="UH27" s="31"/>
      <c r="UI27" s="31"/>
      <c r="UJ27" s="31"/>
      <c r="UK27" s="31"/>
      <c r="UL27" s="31"/>
      <c r="UM27" s="31"/>
      <c r="UN27" s="31"/>
      <c r="UO27" s="31"/>
      <c r="UP27" s="31"/>
      <c r="UQ27" s="31"/>
      <c r="UR27" s="31"/>
      <c r="US27" s="31"/>
      <c r="UT27" s="31"/>
      <c r="UU27" s="31"/>
      <c r="UV27" s="31"/>
      <c r="UW27" s="31"/>
    </row>
    <row r="28" spans="1:1250">
      <c r="B28" s="85"/>
      <c r="D28" s="52"/>
      <c r="G28" s="52"/>
      <c r="H28" s="28"/>
      <c r="T28" s="31"/>
      <c r="U28" s="31"/>
      <c r="V28" s="31"/>
      <c r="W28" s="31"/>
      <c r="X28" s="127"/>
      <c r="Y28" s="127"/>
      <c r="Z28" s="31"/>
      <c r="AA28" s="31"/>
      <c r="AB28" s="31"/>
      <c r="AC28" s="31"/>
      <c r="AD28" s="31" t="s">
        <v>511</v>
      </c>
      <c r="AE28" s="105" t="s">
        <v>211</v>
      </c>
      <c r="AF28" s="31"/>
      <c r="AG28" s="31"/>
      <c r="AH28" s="31"/>
      <c r="AI28" s="31"/>
      <c r="AJ28" s="31"/>
      <c r="AK28" s="31"/>
      <c r="AL28" s="31"/>
      <c r="AM28" s="31"/>
      <c r="AN28" s="31"/>
      <c r="AO28" s="31"/>
      <c r="AP28" s="31"/>
      <c r="AQ28" s="31"/>
      <c r="AR28" s="31"/>
      <c r="AS28" s="31"/>
      <c r="AT28" s="31"/>
      <c r="AU28" s="31"/>
      <c r="AV28" s="31"/>
      <c r="AW28" s="31"/>
      <c r="AX28" s="31"/>
      <c r="AY28" s="31"/>
      <c r="AZ28" s="31"/>
      <c r="BA28" s="31"/>
      <c r="BB28" s="31"/>
      <c r="BC28" s="31"/>
      <c r="BD28" s="31"/>
      <c r="BE28" s="31"/>
      <c r="BF28" s="31"/>
      <c r="BG28" s="31"/>
      <c r="BH28" s="31"/>
      <c r="BI28" s="31"/>
      <c r="BJ28" s="31"/>
      <c r="BK28" s="31"/>
      <c r="BL28" s="31"/>
      <c r="BM28" s="31"/>
      <c r="BN28" s="31"/>
      <c r="BO28" s="31"/>
      <c r="BP28" s="31"/>
      <c r="BQ28" s="31"/>
      <c r="BR28" s="31"/>
      <c r="BS28" s="31"/>
      <c r="BT28" s="31"/>
      <c r="BU28" s="31"/>
      <c r="BV28" s="31"/>
      <c r="BW28" s="31"/>
      <c r="BX28" s="31"/>
      <c r="BY28" s="31"/>
      <c r="BZ28" s="31"/>
      <c r="CA28" s="31"/>
      <c r="CB28" s="31"/>
      <c r="CC28" s="31"/>
      <c r="CD28" s="31"/>
      <c r="CE28" s="31"/>
      <c r="CF28" s="31"/>
      <c r="CG28" s="31"/>
      <c r="CH28" s="31"/>
      <c r="CI28" s="31"/>
      <c r="CJ28" s="31"/>
      <c r="CK28" s="31"/>
      <c r="CL28" s="31"/>
      <c r="CM28" s="31"/>
      <c r="CN28" s="31"/>
      <c r="CO28" s="31"/>
      <c r="CP28" s="31"/>
      <c r="CQ28" s="31"/>
      <c r="CR28" s="31"/>
      <c r="CS28" s="31"/>
      <c r="CT28" s="31"/>
      <c r="CU28" s="31"/>
      <c r="CV28" s="31"/>
      <c r="CW28" s="31"/>
      <c r="CX28" s="31"/>
      <c r="CY28" s="31"/>
      <c r="CZ28" s="31"/>
      <c r="DA28" s="31"/>
      <c r="DB28" s="31"/>
      <c r="DC28" s="31"/>
      <c r="DD28" s="31"/>
      <c r="DE28" s="31"/>
      <c r="DF28" s="31"/>
      <c r="DG28" s="31"/>
      <c r="DH28" s="31"/>
      <c r="DI28" s="31"/>
      <c r="DJ28" s="31"/>
      <c r="DK28" s="31"/>
      <c r="DL28" s="31"/>
      <c r="DM28" s="31"/>
      <c r="DN28" s="31"/>
      <c r="DO28" s="31"/>
      <c r="DP28" s="31"/>
      <c r="DQ28" s="31"/>
      <c r="DR28" s="31"/>
      <c r="DS28" s="31"/>
      <c r="DT28" s="31"/>
      <c r="DU28" s="31"/>
      <c r="DV28" s="31"/>
      <c r="DW28" s="31"/>
      <c r="DX28" s="31"/>
      <c r="DY28" s="31"/>
      <c r="DZ28" s="31"/>
      <c r="EA28" s="31"/>
      <c r="EB28" s="31"/>
      <c r="EC28" s="31"/>
      <c r="ED28" s="31"/>
      <c r="EE28" s="31"/>
      <c r="EF28" s="31"/>
      <c r="EG28" s="31"/>
      <c r="EH28" s="31"/>
      <c r="EI28" s="31"/>
      <c r="EJ28" s="31"/>
      <c r="EK28" s="31"/>
      <c r="EL28" s="31"/>
      <c r="EM28" s="31"/>
      <c r="EN28" s="31"/>
      <c r="EO28" s="31"/>
      <c r="EP28" s="31"/>
      <c r="EQ28" s="31"/>
      <c r="ER28" s="31"/>
      <c r="ES28" s="31"/>
      <c r="ET28" s="31"/>
      <c r="EU28" s="31"/>
      <c r="EV28" s="31"/>
      <c r="EW28" s="31"/>
      <c r="EX28" s="31"/>
      <c r="EY28" s="31"/>
      <c r="EZ28" s="31"/>
      <c r="FA28" s="31"/>
      <c r="FB28" s="31"/>
      <c r="FC28" s="31"/>
      <c r="FD28" s="31"/>
      <c r="FE28" s="31"/>
      <c r="FF28" s="31"/>
      <c r="FG28" s="31"/>
      <c r="FH28" s="31"/>
      <c r="FI28" s="31"/>
      <c r="FJ28" s="31"/>
      <c r="FK28" s="31"/>
      <c r="FL28" s="31"/>
      <c r="FM28" s="31"/>
      <c r="FN28" s="31"/>
      <c r="FO28" s="31"/>
      <c r="FP28" s="31"/>
      <c r="FQ28" s="31"/>
      <c r="FR28" s="31"/>
      <c r="FS28" s="31"/>
      <c r="FT28" s="31"/>
      <c r="FU28" s="31"/>
      <c r="FV28" s="31"/>
      <c r="FW28" s="31"/>
      <c r="FX28" s="31"/>
      <c r="FY28" s="31"/>
      <c r="FZ28" s="31"/>
      <c r="GA28" s="31"/>
      <c r="GB28" s="31"/>
      <c r="GC28" s="31"/>
      <c r="GD28" s="31"/>
      <c r="GE28" s="31"/>
      <c r="GF28" s="31"/>
      <c r="GG28" s="31"/>
      <c r="GH28" s="31"/>
      <c r="GI28" s="31"/>
      <c r="GJ28" s="31"/>
      <c r="GK28" s="31"/>
      <c r="GL28" s="31"/>
      <c r="GM28" s="31"/>
      <c r="GN28" s="31"/>
      <c r="GO28" s="31"/>
      <c r="GP28" s="31"/>
      <c r="GQ28" s="31"/>
      <c r="GR28" s="31"/>
      <c r="GS28" s="31"/>
      <c r="GT28" s="31"/>
      <c r="GU28" s="31"/>
      <c r="GV28" s="31"/>
      <c r="GW28" s="31"/>
      <c r="GX28" s="31"/>
      <c r="GY28" s="31"/>
      <c r="GZ28" s="31"/>
      <c r="HA28" s="31"/>
      <c r="HB28" s="31"/>
      <c r="HC28" s="31"/>
      <c r="HD28" s="31"/>
      <c r="HE28" s="31"/>
      <c r="HF28" s="31"/>
      <c r="HG28" s="31"/>
      <c r="HH28" s="31"/>
      <c r="HI28" s="31"/>
      <c r="HJ28" s="31"/>
      <c r="HK28" s="31"/>
      <c r="HL28" s="31"/>
      <c r="HM28" s="31"/>
      <c r="HN28" s="31"/>
      <c r="HO28" s="31"/>
      <c r="HP28" s="31"/>
      <c r="HQ28" s="31"/>
      <c r="HR28" s="31"/>
      <c r="HS28" s="31"/>
      <c r="HT28" s="31"/>
      <c r="HU28" s="31"/>
      <c r="HV28" s="31"/>
      <c r="HW28" s="31"/>
      <c r="HX28" s="31"/>
      <c r="HY28" s="31"/>
      <c r="HZ28" s="31"/>
      <c r="IA28" s="31"/>
      <c r="IB28" s="31"/>
      <c r="IC28" s="31"/>
      <c r="ID28" s="31"/>
      <c r="IE28" s="31"/>
      <c r="IF28" s="31"/>
      <c r="IG28" s="31"/>
      <c r="IH28" s="31"/>
      <c r="II28" s="31"/>
      <c r="IJ28" s="31"/>
      <c r="IK28" s="31"/>
      <c r="IL28" s="31"/>
      <c r="IM28" s="31"/>
      <c r="IN28" s="31"/>
      <c r="IO28" s="31"/>
      <c r="IP28" s="31"/>
      <c r="IQ28" s="31"/>
      <c r="IR28" s="31"/>
      <c r="IS28" s="31"/>
      <c r="IT28" s="31"/>
      <c r="IU28" s="31"/>
      <c r="IV28" s="31"/>
      <c r="IW28" s="31"/>
      <c r="IX28" s="31"/>
      <c r="IY28" s="31"/>
      <c r="IZ28" s="31"/>
      <c r="JA28" s="31"/>
      <c r="JB28" s="31"/>
      <c r="JC28" s="31"/>
      <c r="JD28" s="31"/>
      <c r="JE28" s="31"/>
      <c r="JF28" s="31"/>
      <c r="JG28" s="31"/>
      <c r="JH28" s="31"/>
      <c r="JI28" s="31"/>
      <c r="JJ28" s="31"/>
      <c r="JK28" s="31"/>
      <c r="JL28" s="31"/>
      <c r="JM28" s="31"/>
      <c r="JN28" s="31"/>
      <c r="JO28" s="31"/>
      <c r="JP28" s="31"/>
      <c r="JQ28" s="31"/>
      <c r="JR28" s="31"/>
      <c r="JS28" s="31"/>
      <c r="JT28" s="31"/>
      <c r="JU28" s="31"/>
      <c r="JV28" s="31"/>
      <c r="JW28" s="31"/>
      <c r="JX28" s="31"/>
      <c r="JY28" s="31"/>
      <c r="JZ28" s="31"/>
      <c r="KA28" s="31"/>
      <c r="KB28" s="31"/>
      <c r="KC28" s="31"/>
      <c r="KD28" s="31"/>
      <c r="KE28" s="31"/>
      <c r="KF28" s="31"/>
      <c r="KG28" s="31"/>
      <c r="KH28" s="31"/>
      <c r="KI28" s="31"/>
      <c r="KJ28" s="31"/>
      <c r="KK28" s="31"/>
      <c r="KL28" s="31"/>
      <c r="KM28" s="31"/>
      <c r="KN28" s="31"/>
      <c r="KO28" s="31"/>
      <c r="KP28" s="31"/>
      <c r="KQ28" s="31"/>
      <c r="KR28" s="31"/>
      <c r="KS28" s="31"/>
      <c r="KT28" s="31"/>
      <c r="KU28" s="31"/>
      <c r="KV28" s="31"/>
      <c r="KW28" s="31"/>
      <c r="KX28" s="31"/>
      <c r="KY28" s="31"/>
      <c r="KZ28" s="31"/>
      <c r="LA28" s="31"/>
      <c r="LB28" s="31"/>
      <c r="LC28" s="31"/>
      <c r="LD28" s="31"/>
      <c r="LE28" s="31"/>
      <c r="LF28" s="31"/>
      <c r="LG28" s="31"/>
      <c r="LH28" s="31"/>
      <c r="LI28" s="31"/>
      <c r="LJ28" s="31"/>
      <c r="LK28" s="31"/>
      <c r="LL28" s="31"/>
      <c r="LM28" s="31"/>
      <c r="LN28" s="31"/>
      <c r="LO28" s="31"/>
      <c r="LP28" s="31"/>
      <c r="LQ28" s="31"/>
      <c r="LR28" s="31"/>
      <c r="LS28" s="31"/>
      <c r="LT28" s="31"/>
      <c r="LU28" s="31"/>
      <c r="LV28" s="31"/>
      <c r="LW28" s="31"/>
      <c r="LX28" s="31"/>
      <c r="LY28" s="31"/>
      <c r="LZ28" s="31"/>
      <c r="MA28" s="31"/>
      <c r="MB28" s="31"/>
      <c r="MC28" s="31"/>
      <c r="MD28" s="31"/>
      <c r="ME28" s="31"/>
      <c r="MF28" s="31"/>
      <c r="MG28" s="31"/>
      <c r="MH28" s="31"/>
      <c r="MI28" s="31"/>
      <c r="MJ28" s="31"/>
      <c r="MK28" s="31"/>
      <c r="ML28" s="31"/>
      <c r="MM28" s="31"/>
      <c r="MN28" s="31"/>
      <c r="MO28" s="31"/>
      <c r="MP28" s="31"/>
      <c r="MQ28" s="31"/>
      <c r="MR28" s="31"/>
      <c r="MS28" s="31"/>
      <c r="MT28" s="31"/>
      <c r="MU28" s="31"/>
      <c r="MV28" s="31"/>
      <c r="MW28" s="31"/>
      <c r="MX28" s="31"/>
      <c r="MY28" s="31"/>
      <c r="MZ28" s="31"/>
      <c r="NA28" s="31"/>
      <c r="NB28" s="31"/>
      <c r="NC28" s="31"/>
      <c r="ND28" s="31"/>
      <c r="NE28" s="31"/>
      <c r="NF28" s="31"/>
      <c r="NG28" s="31"/>
      <c r="NH28" s="31"/>
      <c r="NI28" s="31"/>
      <c r="NJ28" s="31"/>
      <c r="NK28" s="31"/>
      <c r="NL28" s="31"/>
      <c r="NM28" s="31"/>
      <c r="NN28" s="31"/>
      <c r="NO28" s="31"/>
      <c r="NP28" s="31"/>
      <c r="NQ28" s="31"/>
      <c r="NR28" s="31"/>
      <c r="NS28" s="31"/>
      <c r="NT28" s="31"/>
      <c r="NU28" s="31"/>
      <c r="NV28" s="31"/>
      <c r="NW28" s="31"/>
      <c r="NX28" s="31"/>
      <c r="NY28" s="31"/>
      <c r="NZ28" s="31"/>
      <c r="OA28" s="31"/>
      <c r="OB28" s="31"/>
      <c r="OC28" s="31"/>
      <c r="OD28" s="31"/>
      <c r="OE28" s="31"/>
      <c r="OF28" s="31"/>
      <c r="OG28" s="31"/>
      <c r="OH28" s="31"/>
      <c r="OI28" s="31"/>
      <c r="OJ28" s="31"/>
      <c r="OK28" s="31"/>
      <c r="OL28" s="31"/>
      <c r="OM28" s="31"/>
      <c r="ON28" s="31"/>
      <c r="OO28" s="31"/>
      <c r="OP28" s="31"/>
      <c r="OQ28" s="31"/>
      <c r="OR28" s="31"/>
      <c r="OS28" s="31"/>
      <c r="OT28" s="31"/>
      <c r="OU28" s="31"/>
      <c r="OV28" s="31"/>
      <c r="OW28" s="31"/>
      <c r="OX28" s="31"/>
      <c r="OY28" s="31"/>
      <c r="OZ28" s="31"/>
      <c r="PA28" s="31"/>
      <c r="PB28" s="31"/>
      <c r="PC28" s="31"/>
      <c r="PD28" s="31"/>
      <c r="PE28" s="31"/>
      <c r="PF28" s="31"/>
      <c r="PG28" s="31"/>
      <c r="PH28" s="31"/>
      <c r="PI28" s="31"/>
      <c r="PJ28" s="31"/>
      <c r="PK28" s="31"/>
      <c r="PL28" s="31"/>
      <c r="PM28" s="31"/>
      <c r="PN28" s="31"/>
      <c r="PO28" s="31"/>
      <c r="PP28" s="31"/>
      <c r="PQ28" s="31"/>
      <c r="PR28" s="31"/>
      <c r="PS28" s="31"/>
      <c r="PT28" s="31"/>
      <c r="PU28" s="31"/>
      <c r="PV28" s="31"/>
      <c r="PW28" s="31"/>
      <c r="PX28" s="31"/>
      <c r="PY28" s="31"/>
      <c r="PZ28" s="31"/>
      <c r="QA28" s="31"/>
      <c r="QB28" s="31"/>
      <c r="QC28" s="31"/>
      <c r="QD28" s="31"/>
      <c r="QE28" s="31"/>
      <c r="QF28" s="31"/>
      <c r="QG28" s="31"/>
      <c r="QH28" s="31"/>
      <c r="QI28" s="31"/>
      <c r="QJ28" s="31"/>
      <c r="QK28" s="31"/>
      <c r="QL28" s="31"/>
      <c r="QM28" s="31"/>
      <c r="QN28" s="31"/>
      <c r="QO28" s="31"/>
      <c r="QP28" s="31"/>
      <c r="QQ28" s="31"/>
      <c r="QR28" s="31"/>
      <c r="QS28" s="31"/>
      <c r="QT28" s="31"/>
      <c r="QU28" s="31"/>
      <c r="QV28" s="31"/>
      <c r="QW28" s="31"/>
      <c r="QX28" s="31"/>
      <c r="QY28" s="31"/>
      <c r="QZ28" s="31"/>
      <c r="RA28" s="31"/>
      <c r="RB28" s="31"/>
      <c r="RC28" s="31"/>
      <c r="RD28" s="31"/>
      <c r="RE28" s="31"/>
      <c r="RF28" s="31"/>
      <c r="RG28" s="31"/>
      <c r="RH28" s="31"/>
      <c r="RI28" s="31"/>
      <c r="RJ28" s="31"/>
      <c r="RK28" s="31"/>
      <c r="RL28" s="31"/>
      <c r="RM28" s="31"/>
      <c r="RN28" s="31"/>
      <c r="RO28" s="31"/>
      <c r="RP28" s="31"/>
      <c r="RQ28" s="31"/>
      <c r="RR28" s="31"/>
      <c r="RS28" s="31"/>
      <c r="RT28" s="31"/>
      <c r="RU28" s="31"/>
      <c r="RV28" s="31"/>
      <c r="RW28" s="31"/>
      <c r="RX28" s="31"/>
      <c r="RY28" s="31"/>
      <c r="RZ28" s="31"/>
      <c r="SA28" s="31"/>
      <c r="SB28" s="31"/>
      <c r="SC28" s="31"/>
      <c r="SD28" s="31"/>
      <c r="SE28" s="31"/>
      <c r="SF28" s="31"/>
      <c r="SG28" s="31"/>
      <c r="SH28" s="31"/>
      <c r="SI28" s="31"/>
      <c r="SJ28" s="31"/>
      <c r="SK28" s="31"/>
      <c r="SL28" s="31"/>
      <c r="SM28" s="31"/>
      <c r="SN28" s="31"/>
      <c r="SO28" s="31"/>
      <c r="SP28" s="31"/>
      <c r="SQ28" s="31"/>
      <c r="SR28" s="31"/>
      <c r="SS28" s="31"/>
      <c r="ST28" s="31"/>
      <c r="SU28" s="31"/>
      <c r="SV28" s="31"/>
      <c r="SW28" s="31"/>
      <c r="SX28" s="31"/>
      <c r="SY28" s="31"/>
      <c r="SZ28" s="31"/>
      <c r="TA28" s="31"/>
      <c r="TB28" s="31"/>
      <c r="TC28" s="31"/>
      <c r="TD28" s="31"/>
      <c r="TE28" s="31"/>
      <c r="TF28" s="31"/>
      <c r="TG28" s="31"/>
      <c r="TH28" s="31"/>
      <c r="TI28" s="31"/>
      <c r="TJ28" s="31"/>
      <c r="TK28" s="31"/>
      <c r="TL28" s="31"/>
      <c r="TM28" s="31"/>
      <c r="TN28" s="31"/>
      <c r="TO28" s="31"/>
      <c r="TP28" s="31"/>
      <c r="TQ28" s="31"/>
      <c r="TR28" s="31"/>
      <c r="TS28" s="31"/>
      <c r="TT28" s="31"/>
      <c r="TU28" s="31"/>
      <c r="TV28" s="31"/>
      <c r="TW28" s="31"/>
      <c r="TX28" s="31"/>
      <c r="TY28" s="31"/>
      <c r="TZ28" s="31"/>
      <c r="UA28" s="31"/>
      <c r="UB28" s="31"/>
      <c r="UC28" s="31"/>
      <c r="UD28" s="31"/>
      <c r="UE28" s="31"/>
      <c r="UF28" s="31"/>
      <c r="UG28" s="31"/>
      <c r="UH28" s="31"/>
      <c r="UI28" s="31"/>
      <c r="UJ28" s="31"/>
      <c r="UK28" s="31"/>
      <c r="UL28" s="31"/>
      <c r="UM28" s="31"/>
      <c r="UN28" s="31"/>
      <c r="UO28" s="31"/>
      <c r="UP28" s="31"/>
      <c r="UQ28" s="31"/>
      <c r="UR28" s="31"/>
      <c r="US28" s="31"/>
      <c r="UT28" s="31"/>
      <c r="UU28" s="31"/>
      <c r="UV28" s="31"/>
      <c r="UW28" s="31"/>
    </row>
    <row r="29" spans="1:1250" ht="13.5">
      <c r="D29" s="108"/>
      <c r="G29" s="109"/>
      <c r="H29" s="110"/>
      <c r="T29" s="31"/>
      <c r="U29" s="31"/>
      <c r="V29" s="31"/>
      <c r="W29" s="31"/>
      <c r="X29" s="114"/>
      <c r="Y29" s="114"/>
      <c r="Z29" s="31"/>
      <c r="AA29" s="31"/>
      <c r="AB29" s="31"/>
      <c r="AC29" s="31"/>
      <c r="AD29" s="31">
        <f ca="1">ROUND(AD27,0)</f>
        <v>16</v>
      </c>
      <c r="AE29" s="114">
        <f ca="1">AE27*2</f>
        <v>5870</v>
      </c>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c r="BT29" s="31"/>
      <c r="BU29" s="31"/>
      <c r="BV29" s="31"/>
      <c r="BW29" s="31"/>
      <c r="BX29" s="31"/>
      <c r="BY29" s="31"/>
      <c r="BZ29" s="31"/>
      <c r="CA29" s="31"/>
      <c r="CB29" s="31"/>
      <c r="CC29" s="31"/>
      <c r="CD29" s="31"/>
      <c r="CE29" s="31"/>
      <c r="CF29" s="31"/>
      <c r="CG29" s="31"/>
      <c r="CH29" s="31"/>
      <c r="CI29" s="31"/>
      <c r="CJ29" s="31"/>
      <c r="CK29" s="31"/>
      <c r="CL29" s="31"/>
      <c r="CM29" s="31"/>
      <c r="CN29" s="31"/>
      <c r="CO29" s="31"/>
      <c r="CP29" s="31"/>
      <c r="CQ29" s="31"/>
      <c r="CR29" s="31"/>
      <c r="CS29" s="31"/>
      <c r="CT29" s="31"/>
      <c r="CU29" s="31"/>
      <c r="CV29" s="31"/>
      <c r="CW29" s="31"/>
      <c r="CX29" s="31"/>
      <c r="CY29" s="31"/>
      <c r="CZ29" s="31"/>
      <c r="DA29" s="31"/>
      <c r="DB29" s="31"/>
      <c r="DC29" s="31"/>
      <c r="DD29" s="31"/>
      <c r="DE29" s="31"/>
      <c r="DF29" s="31"/>
      <c r="DG29" s="31"/>
      <c r="DH29" s="31"/>
      <c r="DI29" s="31"/>
      <c r="DJ29" s="31"/>
      <c r="DK29" s="31"/>
      <c r="DL29" s="31"/>
      <c r="DM29" s="31"/>
      <c r="DN29" s="31"/>
      <c r="DO29" s="31"/>
      <c r="DP29" s="31"/>
      <c r="DQ29" s="31"/>
      <c r="DR29" s="31"/>
      <c r="DS29" s="31"/>
      <c r="DT29" s="31"/>
      <c r="DU29" s="31"/>
      <c r="DV29" s="31"/>
      <c r="DW29" s="31"/>
      <c r="DX29" s="31"/>
      <c r="DY29" s="31"/>
      <c r="DZ29" s="31"/>
      <c r="EA29" s="31"/>
      <c r="EB29" s="31"/>
      <c r="EC29" s="31"/>
      <c r="ED29" s="31"/>
      <c r="EE29" s="31"/>
      <c r="EF29" s="31"/>
      <c r="EG29" s="31"/>
      <c r="EH29" s="31"/>
      <c r="EI29" s="31"/>
      <c r="EJ29" s="31"/>
      <c r="EK29" s="31"/>
      <c r="EL29" s="31"/>
      <c r="EM29" s="31"/>
      <c r="EN29" s="31"/>
      <c r="EO29" s="31"/>
      <c r="EP29" s="31"/>
      <c r="EQ29" s="31"/>
      <c r="ER29" s="31"/>
      <c r="ES29" s="31"/>
      <c r="ET29" s="31"/>
      <c r="EU29" s="31"/>
      <c r="EV29" s="31"/>
      <c r="EW29" s="31"/>
      <c r="EX29" s="31"/>
      <c r="EY29" s="31"/>
      <c r="EZ29" s="31"/>
      <c r="FA29" s="31"/>
      <c r="FB29" s="31"/>
      <c r="FC29" s="31"/>
      <c r="FD29" s="31"/>
      <c r="FE29" s="31"/>
      <c r="FF29" s="31"/>
      <c r="FG29" s="31"/>
      <c r="FH29" s="31"/>
      <c r="FI29" s="31"/>
      <c r="FJ29" s="31"/>
      <c r="FK29" s="31"/>
      <c r="FL29" s="31"/>
      <c r="FM29" s="31"/>
      <c r="FN29" s="31"/>
      <c r="FO29" s="31"/>
      <c r="FP29" s="31"/>
      <c r="FQ29" s="31"/>
      <c r="FR29" s="31"/>
      <c r="FS29" s="31"/>
      <c r="FT29" s="31"/>
      <c r="FU29" s="31"/>
      <c r="FV29" s="31"/>
      <c r="FW29" s="31"/>
      <c r="FX29" s="31"/>
      <c r="FY29" s="31"/>
      <c r="FZ29" s="31"/>
      <c r="GA29" s="31"/>
      <c r="GB29" s="31"/>
      <c r="GC29" s="31"/>
      <c r="GD29" s="31"/>
      <c r="GE29" s="31"/>
      <c r="GF29" s="31"/>
      <c r="GG29" s="31"/>
      <c r="GH29" s="31"/>
      <c r="GI29" s="31"/>
      <c r="GJ29" s="31"/>
      <c r="GK29" s="31"/>
      <c r="GL29" s="31"/>
      <c r="GM29" s="31"/>
      <c r="GN29" s="31"/>
      <c r="GO29" s="31"/>
      <c r="GP29" s="31"/>
      <c r="GQ29" s="31"/>
      <c r="GR29" s="31"/>
      <c r="GS29" s="31"/>
      <c r="GT29" s="31"/>
      <c r="GU29" s="31"/>
      <c r="GV29" s="31"/>
      <c r="GW29" s="31"/>
      <c r="GX29" s="31"/>
      <c r="GY29" s="31"/>
      <c r="GZ29" s="31"/>
      <c r="HA29" s="31"/>
      <c r="HB29" s="31"/>
      <c r="HC29" s="31"/>
      <c r="HD29" s="31"/>
      <c r="HE29" s="31"/>
      <c r="HF29" s="31"/>
      <c r="HG29" s="31"/>
      <c r="HH29" s="31"/>
      <c r="HI29" s="31"/>
      <c r="HJ29" s="31"/>
      <c r="HK29" s="31"/>
      <c r="HL29" s="31"/>
      <c r="HM29" s="31"/>
      <c r="HN29" s="31"/>
      <c r="HO29" s="31"/>
      <c r="HP29" s="31"/>
      <c r="HQ29" s="31"/>
      <c r="HR29" s="31"/>
      <c r="HS29" s="31"/>
      <c r="HT29" s="31"/>
      <c r="HU29" s="31"/>
      <c r="HV29" s="31"/>
      <c r="HW29" s="31"/>
      <c r="HX29" s="31"/>
      <c r="HY29" s="31"/>
      <c r="HZ29" s="31"/>
      <c r="IA29" s="31"/>
      <c r="IB29" s="31"/>
      <c r="IC29" s="31"/>
      <c r="ID29" s="31"/>
      <c r="IE29" s="31"/>
      <c r="IF29" s="31"/>
      <c r="IG29" s="31"/>
      <c r="IH29" s="31"/>
      <c r="II29" s="31"/>
      <c r="IJ29" s="31"/>
      <c r="IK29" s="31"/>
      <c r="IL29" s="31"/>
      <c r="IM29" s="31"/>
      <c r="IN29" s="31"/>
      <c r="IO29" s="31"/>
      <c r="IP29" s="31"/>
      <c r="IQ29" s="31"/>
      <c r="IR29" s="31"/>
      <c r="IS29" s="31"/>
      <c r="IT29" s="31"/>
      <c r="IU29" s="31"/>
      <c r="IV29" s="31"/>
      <c r="IW29" s="31"/>
      <c r="IX29" s="31"/>
      <c r="IY29" s="31"/>
      <c r="IZ29" s="31"/>
      <c r="JA29" s="31"/>
      <c r="JB29" s="31"/>
      <c r="JC29" s="31"/>
      <c r="JD29" s="31"/>
      <c r="JE29" s="31"/>
      <c r="JF29" s="31"/>
      <c r="JG29" s="31"/>
      <c r="JH29" s="31"/>
      <c r="JI29" s="31"/>
      <c r="JJ29" s="31"/>
      <c r="JK29" s="31"/>
      <c r="JL29" s="31"/>
      <c r="JM29" s="31"/>
      <c r="JN29" s="31"/>
      <c r="JO29" s="31"/>
      <c r="JP29" s="31"/>
      <c r="JQ29" s="31"/>
      <c r="JR29" s="31"/>
      <c r="JS29" s="31"/>
      <c r="JT29" s="31"/>
      <c r="JU29" s="31"/>
      <c r="JV29" s="31"/>
      <c r="JW29" s="31"/>
      <c r="JX29" s="31"/>
      <c r="JY29" s="31"/>
      <c r="JZ29" s="31"/>
      <c r="KA29" s="31"/>
      <c r="KB29" s="31"/>
      <c r="KC29" s="31"/>
      <c r="KD29" s="31"/>
      <c r="KE29" s="31"/>
      <c r="KF29" s="31"/>
      <c r="KG29" s="31"/>
      <c r="KH29" s="31"/>
      <c r="KI29" s="31"/>
      <c r="KJ29" s="31"/>
      <c r="KK29" s="31"/>
      <c r="KL29" s="31"/>
      <c r="KM29" s="31"/>
      <c r="KN29" s="31"/>
      <c r="KO29" s="31"/>
      <c r="KP29" s="31"/>
      <c r="KQ29" s="31"/>
      <c r="KR29" s="31"/>
      <c r="KS29" s="31"/>
      <c r="KT29" s="31"/>
      <c r="KU29" s="31"/>
      <c r="KV29" s="31"/>
      <c r="KW29" s="31"/>
      <c r="KX29" s="31"/>
      <c r="KY29" s="31"/>
      <c r="KZ29" s="31"/>
      <c r="LA29" s="31"/>
      <c r="LB29" s="31"/>
      <c r="LC29" s="31"/>
      <c r="LD29" s="31"/>
      <c r="LE29" s="31"/>
      <c r="LF29" s="31"/>
      <c r="LG29" s="31"/>
      <c r="LH29" s="31"/>
      <c r="LI29" s="31"/>
      <c r="LJ29" s="31"/>
      <c r="LK29" s="31"/>
      <c r="LL29" s="31"/>
      <c r="LM29" s="31"/>
      <c r="LN29" s="31"/>
      <c r="LO29" s="31"/>
      <c r="LP29" s="31"/>
      <c r="LQ29" s="31"/>
      <c r="LR29" s="31"/>
      <c r="LS29" s="31"/>
      <c r="LT29" s="31"/>
      <c r="LU29" s="31"/>
      <c r="LV29" s="31"/>
      <c r="LW29" s="31"/>
      <c r="LX29" s="31"/>
      <c r="LY29" s="31"/>
      <c r="LZ29" s="31"/>
      <c r="MA29" s="31"/>
      <c r="MB29" s="31"/>
      <c r="MC29" s="31"/>
      <c r="MD29" s="31"/>
      <c r="ME29" s="31"/>
      <c r="MF29" s="31"/>
      <c r="MG29" s="31"/>
      <c r="MH29" s="31"/>
      <c r="MI29" s="31"/>
      <c r="MJ29" s="31"/>
      <c r="MK29" s="31"/>
      <c r="ML29" s="31"/>
      <c r="MM29" s="31"/>
      <c r="MN29" s="31"/>
      <c r="MO29" s="31"/>
      <c r="MP29" s="31"/>
      <c r="MQ29" s="31"/>
      <c r="MR29" s="31"/>
      <c r="MS29" s="31"/>
      <c r="MT29" s="31"/>
      <c r="MU29" s="31"/>
      <c r="MV29" s="31"/>
      <c r="MW29" s="31"/>
      <c r="MX29" s="31"/>
      <c r="MY29" s="31"/>
      <c r="MZ29" s="31"/>
      <c r="NA29" s="31"/>
      <c r="NB29" s="31"/>
      <c r="NC29" s="31"/>
      <c r="ND29" s="31"/>
      <c r="NE29" s="31"/>
      <c r="NF29" s="31"/>
      <c r="NG29" s="31"/>
      <c r="NH29" s="31"/>
      <c r="NI29" s="31"/>
      <c r="NJ29" s="31"/>
      <c r="NK29" s="31"/>
      <c r="NL29" s="31"/>
      <c r="NM29" s="31"/>
      <c r="NN29" s="31"/>
      <c r="NO29" s="31"/>
      <c r="NP29" s="31"/>
      <c r="NQ29" s="31"/>
      <c r="NR29" s="31"/>
      <c r="NS29" s="31"/>
      <c r="NT29" s="31"/>
      <c r="NU29" s="31"/>
      <c r="NV29" s="31"/>
      <c r="NW29" s="31"/>
      <c r="NX29" s="31"/>
      <c r="NY29" s="31"/>
      <c r="NZ29" s="31"/>
      <c r="OA29" s="31"/>
      <c r="OB29" s="31"/>
      <c r="OC29" s="31"/>
      <c r="OD29" s="31"/>
      <c r="OE29" s="31"/>
      <c r="OF29" s="31"/>
      <c r="OG29" s="31"/>
      <c r="OH29" s="31"/>
      <c r="OI29" s="31"/>
      <c r="OJ29" s="31"/>
      <c r="OK29" s="31"/>
      <c r="OL29" s="31"/>
      <c r="OM29" s="31"/>
      <c r="ON29" s="31"/>
      <c r="OO29" s="31"/>
      <c r="OP29" s="31"/>
      <c r="OQ29" s="31"/>
      <c r="OR29" s="31"/>
      <c r="OS29" s="31"/>
      <c r="OT29" s="31"/>
      <c r="OU29" s="31"/>
      <c r="OV29" s="31"/>
      <c r="OW29" s="31"/>
      <c r="OX29" s="31"/>
      <c r="OY29" s="31"/>
      <c r="OZ29" s="31"/>
      <c r="PA29" s="31"/>
      <c r="PB29" s="31"/>
      <c r="PC29" s="31"/>
      <c r="PD29" s="31"/>
      <c r="PE29" s="31"/>
      <c r="PF29" s="31"/>
      <c r="PG29" s="31"/>
      <c r="PH29" s="31"/>
      <c r="PI29" s="31"/>
      <c r="PJ29" s="31"/>
      <c r="PK29" s="31"/>
      <c r="PL29" s="31"/>
      <c r="PM29" s="31"/>
      <c r="PN29" s="31"/>
      <c r="PO29" s="31"/>
      <c r="PP29" s="31"/>
      <c r="PQ29" s="31"/>
      <c r="PR29" s="31"/>
      <c r="PS29" s="31"/>
      <c r="PT29" s="31"/>
      <c r="PU29" s="31"/>
      <c r="PV29" s="31"/>
      <c r="PW29" s="31"/>
      <c r="PX29" s="31"/>
      <c r="PY29" s="31"/>
      <c r="PZ29" s="31"/>
      <c r="QA29" s="31"/>
      <c r="QB29" s="31"/>
      <c r="QC29" s="31"/>
      <c r="QD29" s="31"/>
      <c r="QE29" s="31"/>
      <c r="QF29" s="31"/>
      <c r="QG29" s="31"/>
      <c r="QH29" s="31"/>
      <c r="QI29" s="31"/>
      <c r="QJ29" s="31"/>
      <c r="QK29" s="31"/>
      <c r="QL29" s="31"/>
      <c r="QM29" s="31"/>
      <c r="QN29" s="31"/>
      <c r="QO29" s="31"/>
      <c r="QP29" s="31"/>
      <c r="QQ29" s="31"/>
      <c r="QR29" s="31"/>
      <c r="QS29" s="31"/>
      <c r="QT29" s="31"/>
      <c r="QU29" s="31"/>
      <c r="QV29" s="31"/>
      <c r="QW29" s="31"/>
      <c r="QX29" s="31"/>
      <c r="QY29" s="31"/>
      <c r="QZ29" s="31"/>
      <c r="RA29" s="31"/>
      <c r="RB29" s="31"/>
      <c r="RC29" s="31"/>
      <c r="RD29" s="31"/>
      <c r="RE29" s="31"/>
      <c r="RF29" s="31"/>
      <c r="RG29" s="31"/>
      <c r="RH29" s="31"/>
      <c r="RI29" s="31"/>
      <c r="RJ29" s="31"/>
      <c r="RK29" s="31"/>
      <c r="RL29" s="31"/>
      <c r="RM29" s="31"/>
      <c r="RN29" s="31"/>
      <c r="RO29" s="31"/>
      <c r="RP29" s="31"/>
      <c r="RQ29" s="31"/>
      <c r="RR29" s="31"/>
      <c r="RS29" s="31"/>
      <c r="RT29" s="31"/>
      <c r="RU29" s="31"/>
      <c r="RV29" s="31"/>
      <c r="RW29" s="31"/>
      <c r="RX29" s="31"/>
      <c r="RY29" s="31"/>
      <c r="RZ29" s="31"/>
      <c r="SA29" s="31"/>
      <c r="SB29" s="31"/>
      <c r="SC29" s="31"/>
      <c r="SD29" s="31"/>
      <c r="SE29" s="31"/>
      <c r="SF29" s="31"/>
      <c r="SG29" s="31"/>
      <c r="SH29" s="31"/>
      <c r="SI29" s="31"/>
      <c r="SJ29" s="31"/>
      <c r="SK29" s="31"/>
      <c r="SL29" s="31"/>
      <c r="SM29" s="31"/>
      <c r="SN29" s="31"/>
      <c r="SO29" s="31"/>
      <c r="SP29" s="31"/>
      <c r="SQ29" s="31"/>
      <c r="SR29" s="31"/>
      <c r="SS29" s="31"/>
      <c r="ST29" s="31"/>
      <c r="SU29" s="31"/>
      <c r="SV29" s="31"/>
      <c r="SW29" s="31"/>
      <c r="SX29" s="31"/>
      <c r="SY29" s="31"/>
      <c r="SZ29" s="31"/>
      <c r="TA29" s="31"/>
      <c r="TB29" s="31"/>
      <c r="TC29" s="31"/>
      <c r="TD29" s="31"/>
      <c r="TE29" s="31"/>
      <c r="TF29" s="31"/>
      <c r="TG29" s="31"/>
      <c r="TH29" s="31"/>
      <c r="TI29" s="31"/>
      <c r="TJ29" s="31"/>
      <c r="TK29" s="31"/>
      <c r="TL29" s="31"/>
      <c r="TM29" s="31"/>
      <c r="TN29" s="31"/>
      <c r="TO29" s="31"/>
      <c r="TP29" s="31"/>
      <c r="TQ29" s="31"/>
      <c r="TR29" s="31"/>
      <c r="TS29" s="31"/>
      <c r="TT29" s="31"/>
      <c r="TU29" s="31"/>
      <c r="TV29" s="31"/>
      <c r="TW29" s="31"/>
      <c r="TX29" s="31"/>
      <c r="TY29" s="31"/>
      <c r="TZ29" s="31"/>
      <c r="UA29" s="31"/>
      <c r="UB29" s="31"/>
      <c r="UC29" s="31"/>
      <c r="UD29" s="31"/>
      <c r="UE29" s="31"/>
      <c r="UF29" s="31"/>
      <c r="UG29" s="31"/>
      <c r="UH29" s="31"/>
      <c r="UI29" s="31"/>
      <c r="UJ29" s="31"/>
      <c r="UK29" s="31"/>
      <c r="UL29" s="31"/>
      <c r="UM29" s="31"/>
      <c r="UN29" s="31"/>
      <c r="UO29" s="31"/>
      <c r="UP29" s="31"/>
      <c r="UQ29" s="31"/>
      <c r="UR29" s="31"/>
      <c r="US29" s="31"/>
      <c r="UT29" s="31"/>
      <c r="UU29" s="31"/>
      <c r="UV29" s="31"/>
      <c r="UW29" s="31"/>
    </row>
    <row r="30" spans="1:1250">
      <c r="T30" s="31"/>
      <c r="U30" s="31"/>
      <c r="V30" s="31"/>
      <c r="W30" s="31"/>
      <c r="X30" s="31"/>
      <c r="Y30" s="31"/>
      <c r="Z30" s="31"/>
      <c r="AA30" s="31"/>
      <c r="AB30" s="31"/>
      <c r="AC30" s="31"/>
      <c r="AD30" s="31"/>
      <c r="AE30" s="62"/>
      <c r="AF30" s="31"/>
      <c r="AG30" s="31"/>
      <c r="AH30" s="31"/>
      <c r="AI30" s="31"/>
      <c r="AJ30" s="31"/>
      <c r="AK30" s="31"/>
      <c r="AL30" s="31"/>
      <c r="AM30" s="31"/>
      <c r="AN30" s="31"/>
      <c r="AO30" s="31"/>
      <c r="AP30" s="31"/>
      <c r="AQ30" s="31"/>
      <c r="AR30" s="31"/>
      <c r="AS30" s="31"/>
      <c r="AT30" s="31"/>
      <c r="AU30" s="31"/>
      <c r="AV30" s="31"/>
      <c r="AW30" s="31"/>
      <c r="AX30" s="31"/>
      <c r="AY30" s="31"/>
      <c r="AZ30" s="31"/>
      <c r="BA30" s="31"/>
      <c r="BB30" s="31"/>
      <c r="BC30" s="31"/>
      <c r="BD30" s="31"/>
      <c r="BE30" s="31"/>
      <c r="BF30" s="31"/>
      <c r="BG30" s="31"/>
      <c r="BH30" s="31"/>
      <c r="BI30" s="31"/>
      <c r="BJ30" s="31"/>
      <c r="BK30" s="31"/>
      <c r="BL30" s="31"/>
      <c r="BM30" s="31"/>
      <c r="BN30" s="31"/>
      <c r="BO30" s="31"/>
      <c r="BP30" s="31"/>
      <c r="BQ30" s="31"/>
      <c r="BR30" s="31"/>
      <c r="BS30" s="31"/>
      <c r="BT30" s="31"/>
      <c r="BU30" s="31"/>
      <c r="BV30" s="31"/>
      <c r="BW30" s="31"/>
      <c r="BX30" s="31"/>
      <c r="BY30" s="31"/>
      <c r="BZ30" s="31"/>
      <c r="CA30" s="31"/>
      <c r="CB30" s="31"/>
      <c r="CC30" s="31"/>
      <c r="CD30" s="31"/>
      <c r="CE30" s="31"/>
      <c r="CF30" s="31"/>
      <c r="CG30" s="31"/>
      <c r="CH30" s="31"/>
      <c r="CI30" s="31"/>
      <c r="CJ30" s="31"/>
      <c r="CK30" s="31"/>
      <c r="CL30" s="31"/>
      <c r="CM30" s="31"/>
      <c r="CN30" s="31"/>
      <c r="CO30" s="31"/>
      <c r="CP30" s="31"/>
      <c r="CQ30" s="31"/>
      <c r="CR30" s="31"/>
      <c r="CS30" s="31"/>
      <c r="CT30" s="31"/>
      <c r="CU30" s="31"/>
      <c r="CV30" s="31"/>
      <c r="CW30" s="31"/>
      <c r="CX30" s="31"/>
      <c r="CY30" s="31"/>
      <c r="CZ30" s="31"/>
      <c r="DA30" s="31"/>
      <c r="DB30" s="31"/>
      <c r="DC30" s="31"/>
      <c r="DD30" s="31"/>
      <c r="DE30" s="31"/>
      <c r="DF30" s="31"/>
      <c r="DG30" s="31"/>
      <c r="DH30" s="31"/>
      <c r="DI30" s="31"/>
      <c r="DJ30" s="31"/>
      <c r="DK30" s="31"/>
      <c r="DL30" s="31"/>
      <c r="DM30" s="31"/>
      <c r="DN30" s="31"/>
      <c r="DO30" s="31"/>
      <c r="DP30" s="31"/>
      <c r="DQ30" s="31"/>
      <c r="DR30" s="31"/>
      <c r="DS30" s="31"/>
      <c r="DT30" s="31"/>
      <c r="DU30" s="31"/>
      <c r="DV30" s="31"/>
      <c r="DW30" s="31"/>
      <c r="DX30" s="31"/>
      <c r="DY30" s="31"/>
      <c r="DZ30" s="31"/>
      <c r="EA30" s="31"/>
      <c r="EB30" s="31"/>
      <c r="EC30" s="31"/>
      <c r="ED30" s="31"/>
      <c r="EE30" s="31"/>
      <c r="EF30" s="31"/>
      <c r="EG30" s="31"/>
      <c r="EH30" s="31"/>
      <c r="EI30" s="31"/>
      <c r="EJ30" s="31"/>
      <c r="EK30" s="31"/>
      <c r="EL30" s="31"/>
      <c r="EM30" s="31"/>
      <c r="EN30" s="31"/>
      <c r="EO30" s="31"/>
      <c r="EP30" s="31"/>
      <c r="EQ30" s="31"/>
      <c r="ER30" s="31"/>
      <c r="ES30" s="31"/>
      <c r="ET30" s="31"/>
      <c r="EU30" s="31"/>
      <c r="EV30" s="31"/>
      <c r="EW30" s="31"/>
      <c r="EX30" s="31"/>
      <c r="EY30" s="31"/>
      <c r="EZ30" s="31"/>
      <c r="FA30" s="31"/>
      <c r="FB30" s="31"/>
      <c r="FC30" s="31"/>
      <c r="FD30" s="31"/>
      <c r="FE30" s="31"/>
      <c r="FF30" s="31"/>
      <c r="FG30" s="31"/>
      <c r="FH30" s="31"/>
      <c r="FI30" s="31"/>
      <c r="FJ30" s="31"/>
      <c r="FK30" s="31"/>
      <c r="FL30" s="31"/>
      <c r="FM30" s="31"/>
      <c r="FN30" s="31"/>
      <c r="FO30" s="31"/>
      <c r="FP30" s="31"/>
      <c r="FQ30" s="31"/>
      <c r="FR30" s="31"/>
      <c r="FS30" s="31"/>
      <c r="FT30" s="31"/>
      <c r="FU30" s="31"/>
      <c r="FV30" s="31"/>
      <c r="FW30" s="31"/>
      <c r="FX30" s="31"/>
      <c r="FY30" s="31"/>
      <c r="FZ30" s="31"/>
      <c r="GA30" s="31"/>
      <c r="GB30" s="31"/>
      <c r="GC30" s="31"/>
      <c r="GD30" s="31"/>
      <c r="GE30" s="31"/>
      <c r="GF30" s="31"/>
      <c r="GG30" s="31"/>
      <c r="GH30" s="31"/>
      <c r="GI30" s="31"/>
      <c r="GJ30" s="31"/>
      <c r="GK30" s="31"/>
      <c r="GL30" s="31"/>
      <c r="GM30" s="31"/>
      <c r="GN30" s="31"/>
      <c r="GO30" s="31"/>
      <c r="GP30" s="31"/>
      <c r="GQ30" s="31"/>
      <c r="GR30" s="31"/>
      <c r="GS30" s="31"/>
      <c r="GT30" s="31"/>
      <c r="GU30" s="31"/>
      <c r="GV30" s="31"/>
      <c r="GW30" s="31"/>
      <c r="GX30" s="31"/>
      <c r="GY30" s="31"/>
      <c r="GZ30" s="31"/>
      <c r="HA30" s="31"/>
      <c r="HB30" s="31"/>
      <c r="HC30" s="31"/>
      <c r="HD30" s="31"/>
      <c r="HE30" s="31"/>
      <c r="HF30" s="31"/>
      <c r="HG30" s="31"/>
      <c r="HH30" s="31"/>
      <c r="HI30" s="31"/>
      <c r="HJ30" s="31"/>
      <c r="HK30" s="31"/>
      <c r="HL30" s="31"/>
      <c r="HM30" s="31"/>
      <c r="HN30" s="31"/>
      <c r="HO30" s="31"/>
      <c r="HP30" s="31"/>
      <c r="HQ30" s="31"/>
      <c r="HR30" s="31"/>
      <c r="HS30" s="31"/>
      <c r="HT30" s="31"/>
      <c r="HU30" s="31"/>
      <c r="HV30" s="31"/>
      <c r="HW30" s="31"/>
      <c r="HX30" s="31"/>
      <c r="HY30" s="31"/>
      <c r="HZ30" s="31"/>
      <c r="IA30" s="31"/>
      <c r="IB30" s="31"/>
      <c r="IC30" s="31"/>
      <c r="ID30" s="31"/>
      <c r="IE30" s="31"/>
      <c r="IF30" s="31"/>
      <c r="IG30" s="31"/>
      <c r="IH30" s="31"/>
      <c r="II30" s="31"/>
      <c r="IJ30" s="31"/>
      <c r="IK30" s="31"/>
      <c r="IL30" s="31"/>
      <c r="IM30" s="31"/>
      <c r="IN30" s="31"/>
      <c r="IO30" s="31"/>
      <c r="IP30" s="31"/>
      <c r="IQ30" s="31"/>
      <c r="IR30" s="31"/>
      <c r="IS30" s="31"/>
      <c r="IT30" s="31"/>
      <c r="IU30" s="31"/>
      <c r="IV30" s="31"/>
      <c r="IW30" s="31"/>
      <c r="IX30" s="31"/>
      <c r="IY30" s="31"/>
      <c r="IZ30" s="31"/>
      <c r="JA30" s="31"/>
      <c r="JB30" s="31"/>
      <c r="JC30" s="31"/>
      <c r="JD30" s="31"/>
      <c r="JE30" s="31"/>
      <c r="JF30" s="31"/>
      <c r="JG30" s="31"/>
      <c r="JH30" s="31"/>
      <c r="JI30" s="31"/>
      <c r="JJ30" s="31"/>
      <c r="JK30" s="31"/>
      <c r="JL30" s="31"/>
      <c r="JM30" s="31"/>
      <c r="JN30" s="31"/>
      <c r="JO30" s="31"/>
      <c r="JP30" s="31"/>
      <c r="JQ30" s="31"/>
      <c r="JR30" s="31"/>
      <c r="JS30" s="31"/>
      <c r="JT30" s="31"/>
      <c r="JU30" s="31"/>
      <c r="JV30" s="31"/>
      <c r="JW30" s="31"/>
      <c r="JX30" s="31"/>
      <c r="JY30" s="31"/>
      <c r="JZ30" s="31"/>
      <c r="KA30" s="31"/>
      <c r="KB30" s="31"/>
      <c r="KC30" s="31"/>
      <c r="KD30" s="31"/>
      <c r="KE30" s="31"/>
      <c r="KF30" s="31"/>
      <c r="KG30" s="31"/>
      <c r="KH30" s="31"/>
      <c r="KI30" s="31"/>
      <c r="KJ30" s="31"/>
      <c r="KK30" s="31"/>
      <c r="KL30" s="31"/>
      <c r="KM30" s="31"/>
      <c r="KN30" s="31"/>
      <c r="KO30" s="31"/>
      <c r="KP30" s="31"/>
      <c r="KQ30" s="31"/>
      <c r="KR30" s="31"/>
      <c r="KS30" s="31"/>
      <c r="KT30" s="31"/>
      <c r="KU30" s="31"/>
      <c r="KV30" s="31"/>
      <c r="KW30" s="31"/>
      <c r="KX30" s="31"/>
      <c r="KY30" s="31"/>
      <c r="KZ30" s="31"/>
      <c r="LA30" s="31"/>
      <c r="LB30" s="31"/>
      <c r="LC30" s="31"/>
      <c r="LD30" s="31"/>
      <c r="LE30" s="31"/>
      <c r="LF30" s="31"/>
      <c r="LG30" s="31"/>
      <c r="LH30" s="31"/>
      <c r="LI30" s="31"/>
      <c r="LJ30" s="31"/>
      <c r="LK30" s="31"/>
      <c r="LL30" s="31"/>
      <c r="LM30" s="31"/>
      <c r="LN30" s="31"/>
      <c r="LO30" s="31"/>
      <c r="LP30" s="31"/>
      <c r="LQ30" s="31"/>
      <c r="LR30" s="31"/>
      <c r="LS30" s="31"/>
      <c r="LT30" s="31"/>
      <c r="LU30" s="31"/>
      <c r="LV30" s="31"/>
      <c r="LW30" s="31"/>
      <c r="LX30" s="31"/>
      <c r="LY30" s="31"/>
      <c r="LZ30" s="31"/>
      <c r="MA30" s="31"/>
      <c r="MB30" s="31"/>
      <c r="MC30" s="31"/>
      <c r="MD30" s="31"/>
      <c r="ME30" s="31"/>
      <c r="MF30" s="31"/>
      <c r="MG30" s="31"/>
      <c r="MH30" s="31"/>
      <c r="MI30" s="31"/>
      <c r="MJ30" s="31"/>
      <c r="MK30" s="31"/>
      <c r="ML30" s="31"/>
      <c r="MM30" s="31"/>
      <c r="MN30" s="31"/>
      <c r="MO30" s="31"/>
      <c r="MP30" s="31"/>
      <c r="MQ30" s="31"/>
      <c r="MR30" s="31"/>
      <c r="MS30" s="31"/>
      <c r="MT30" s="31"/>
      <c r="MU30" s="31"/>
      <c r="MV30" s="31"/>
      <c r="MW30" s="31"/>
      <c r="MX30" s="31"/>
      <c r="MY30" s="31"/>
      <c r="MZ30" s="31"/>
      <c r="NA30" s="31"/>
      <c r="NB30" s="31"/>
      <c r="NC30" s="31"/>
      <c r="ND30" s="31"/>
      <c r="NE30" s="31"/>
      <c r="NF30" s="31"/>
      <c r="NG30" s="31"/>
      <c r="NH30" s="31"/>
      <c r="NI30" s="31"/>
      <c r="NJ30" s="31"/>
      <c r="NK30" s="31"/>
      <c r="NL30" s="31"/>
      <c r="NM30" s="31"/>
      <c r="NN30" s="31"/>
      <c r="NO30" s="31"/>
      <c r="NP30" s="31"/>
      <c r="NQ30" s="31"/>
      <c r="NR30" s="31"/>
      <c r="NS30" s="31"/>
      <c r="NT30" s="31"/>
      <c r="NU30" s="31"/>
      <c r="NV30" s="31"/>
      <c r="NW30" s="31"/>
      <c r="NX30" s="31"/>
      <c r="NY30" s="31"/>
      <c r="NZ30" s="31"/>
      <c r="OA30" s="31"/>
      <c r="OB30" s="31"/>
      <c r="OC30" s="31"/>
      <c r="OD30" s="31"/>
      <c r="OE30" s="31"/>
      <c r="OF30" s="31"/>
      <c r="OG30" s="31"/>
      <c r="OH30" s="31"/>
      <c r="OI30" s="31"/>
      <c r="OJ30" s="31"/>
      <c r="OK30" s="31"/>
      <c r="OL30" s="31"/>
      <c r="OM30" s="31"/>
      <c r="ON30" s="31"/>
      <c r="OO30" s="31"/>
      <c r="OP30" s="31"/>
      <c r="OQ30" s="31"/>
      <c r="OR30" s="31"/>
      <c r="OS30" s="31"/>
      <c r="OT30" s="31"/>
      <c r="OU30" s="31"/>
      <c r="OV30" s="31"/>
      <c r="OW30" s="31"/>
      <c r="OX30" s="31"/>
      <c r="OY30" s="31"/>
      <c r="OZ30" s="31"/>
      <c r="PA30" s="31"/>
      <c r="PB30" s="31"/>
      <c r="PC30" s="31"/>
      <c r="PD30" s="31"/>
      <c r="PE30" s="31"/>
      <c r="PF30" s="31"/>
      <c r="PG30" s="31"/>
      <c r="PH30" s="31"/>
      <c r="PI30" s="31"/>
      <c r="PJ30" s="31"/>
      <c r="PK30" s="31"/>
      <c r="PL30" s="31"/>
      <c r="PM30" s="31"/>
      <c r="PN30" s="31"/>
      <c r="PO30" s="31"/>
      <c r="PP30" s="31"/>
      <c r="PQ30" s="31"/>
      <c r="PR30" s="31"/>
      <c r="PS30" s="31"/>
      <c r="PT30" s="31"/>
      <c r="PU30" s="31"/>
      <c r="PV30" s="31"/>
      <c r="PW30" s="31"/>
      <c r="PX30" s="31"/>
      <c r="PY30" s="31"/>
      <c r="PZ30" s="31"/>
      <c r="QA30" s="31"/>
      <c r="QB30" s="31"/>
      <c r="QC30" s="31"/>
      <c r="QD30" s="31"/>
      <c r="QE30" s="31"/>
      <c r="QF30" s="31"/>
      <c r="QG30" s="31"/>
      <c r="QH30" s="31"/>
      <c r="QI30" s="31"/>
      <c r="QJ30" s="31"/>
      <c r="QK30" s="31"/>
      <c r="QL30" s="31"/>
      <c r="QM30" s="31"/>
      <c r="QN30" s="31"/>
      <c r="QO30" s="31"/>
      <c r="QP30" s="31"/>
      <c r="QQ30" s="31"/>
      <c r="QR30" s="31"/>
      <c r="QS30" s="31"/>
      <c r="QT30" s="31"/>
      <c r="QU30" s="31"/>
      <c r="QV30" s="31"/>
      <c r="QW30" s="31"/>
      <c r="QX30" s="31"/>
      <c r="QY30" s="31"/>
      <c r="QZ30" s="31"/>
      <c r="RA30" s="31"/>
      <c r="RB30" s="31"/>
      <c r="RC30" s="31"/>
      <c r="RD30" s="31"/>
      <c r="RE30" s="31"/>
      <c r="RF30" s="31"/>
      <c r="RG30" s="31"/>
      <c r="RH30" s="31"/>
      <c r="RI30" s="31"/>
      <c r="RJ30" s="31"/>
      <c r="RK30" s="31"/>
      <c r="RL30" s="31"/>
      <c r="RM30" s="31"/>
      <c r="RN30" s="31"/>
      <c r="RO30" s="31"/>
      <c r="RP30" s="31"/>
      <c r="RQ30" s="31"/>
      <c r="RR30" s="31"/>
      <c r="RS30" s="31"/>
      <c r="RT30" s="31"/>
      <c r="RU30" s="31"/>
      <c r="RV30" s="31"/>
      <c r="RW30" s="31"/>
      <c r="RX30" s="31"/>
      <c r="RY30" s="31"/>
      <c r="RZ30" s="31"/>
      <c r="SA30" s="31"/>
      <c r="SB30" s="31"/>
      <c r="SC30" s="31"/>
      <c r="SD30" s="31"/>
      <c r="SE30" s="31"/>
      <c r="SF30" s="31"/>
      <c r="SG30" s="31"/>
      <c r="SH30" s="31"/>
      <c r="SI30" s="31"/>
      <c r="SJ30" s="31"/>
      <c r="SK30" s="31"/>
      <c r="SL30" s="31"/>
      <c r="SM30" s="31"/>
      <c r="SN30" s="31"/>
      <c r="SO30" s="31"/>
      <c r="SP30" s="31"/>
      <c r="SQ30" s="31"/>
      <c r="SR30" s="31"/>
      <c r="SS30" s="31"/>
      <c r="ST30" s="31"/>
      <c r="SU30" s="31"/>
      <c r="SV30" s="31"/>
      <c r="SW30" s="31"/>
      <c r="SX30" s="31"/>
      <c r="SY30" s="31"/>
      <c r="SZ30" s="31"/>
      <c r="TA30" s="31"/>
      <c r="TB30" s="31"/>
      <c r="TC30" s="31"/>
      <c r="TD30" s="31"/>
      <c r="TE30" s="31"/>
      <c r="TF30" s="31"/>
      <c r="TG30" s="31"/>
      <c r="TH30" s="31"/>
      <c r="TI30" s="31"/>
      <c r="TJ30" s="31"/>
      <c r="TK30" s="31"/>
      <c r="TL30" s="31"/>
      <c r="TM30" s="31"/>
      <c r="TN30" s="31"/>
      <c r="TO30" s="31"/>
      <c r="TP30" s="31"/>
      <c r="TQ30" s="31"/>
      <c r="TR30" s="31"/>
      <c r="TS30" s="31"/>
      <c r="TT30" s="31"/>
      <c r="TU30" s="31"/>
      <c r="TV30" s="31"/>
      <c r="TW30" s="31"/>
      <c r="TX30" s="31"/>
      <c r="TY30" s="31"/>
      <c r="TZ30" s="31"/>
      <c r="UA30" s="31"/>
      <c r="UB30" s="31"/>
      <c r="UC30" s="31"/>
      <c r="UD30" s="31"/>
      <c r="UE30" s="31"/>
      <c r="UF30" s="31"/>
      <c r="UG30" s="31"/>
      <c r="UH30" s="31"/>
      <c r="UI30" s="31"/>
      <c r="UJ30" s="31"/>
      <c r="UK30" s="31"/>
      <c r="UL30" s="31"/>
      <c r="UM30" s="31"/>
      <c r="UN30" s="31"/>
      <c r="UO30" s="31"/>
      <c r="UP30" s="31"/>
      <c r="UQ30" s="31"/>
      <c r="UR30" s="31"/>
      <c r="US30" s="31"/>
      <c r="UT30" s="31"/>
      <c r="UU30" s="31"/>
      <c r="UV30" s="31"/>
      <c r="UW30" s="31"/>
    </row>
    <row r="31" spans="1:1250">
      <c r="AE31" s="12"/>
      <c r="AH31" s="65"/>
    </row>
    <row r="32" spans="1:1250">
      <c r="AE32" s="12"/>
      <c r="AH32" s="65"/>
    </row>
    <row r="33" spans="1:34">
      <c r="AE33" s="12"/>
      <c r="AH33" s="65"/>
    </row>
    <row r="34" spans="1:34">
      <c r="AE34" s="12"/>
      <c r="AH34" s="65"/>
    </row>
    <row r="35" spans="1:34">
      <c r="AE35" s="12"/>
      <c r="AH35" s="65"/>
    </row>
    <row r="36" spans="1:34">
      <c r="AE36" s="12"/>
      <c r="AH36" s="65"/>
    </row>
    <row r="37" spans="1:34">
      <c r="AE37" s="12"/>
      <c r="AH37" s="65"/>
    </row>
    <row r="38" spans="1:34" ht="16.5" customHeight="1">
      <c r="A38" s="2250" t="s">
        <v>11</v>
      </c>
      <c r="B38" s="2250"/>
      <c r="C38" s="2250"/>
      <c r="D38" s="2250"/>
      <c r="E38" s="2250"/>
      <c r="F38" s="92"/>
      <c r="G38" s="92"/>
      <c r="H38" s="92"/>
      <c r="I38" s="92"/>
      <c r="J38" s="92"/>
      <c r="K38" s="92"/>
      <c r="S38" s="13" t="s">
        <v>31</v>
      </c>
      <c r="T38" s="13"/>
      <c r="U38" s="13"/>
      <c r="W38" s="352"/>
      <c r="X38" s="352"/>
      <c r="Z38" s="352"/>
      <c r="AE38" s="12"/>
      <c r="AH38" s="65"/>
    </row>
    <row r="39" spans="1:34">
      <c r="A39" s="14" t="s">
        <v>12</v>
      </c>
      <c r="B39" s="15" t="s">
        <v>14</v>
      </c>
      <c r="C39" s="15" t="s">
        <v>15</v>
      </c>
      <c r="D39" s="15" t="s">
        <v>16</v>
      </c>
      <c r="E39" s="15" t="s">
        <v>38</v>
      </c>
      <c r="F39" s="15" t="s">
        <v>36</v>
      </c>
      <c r="G39" s="15" t="s">
        <v>37</v>
      </c>
      <c r="H39" s="15" t="s">
        <v>39</v>
      </c>
      <c r="I39" s="15" t="s">
        <v>1307</v>
      </c>
      <c r="J39" s="15" t="s">
        <v>1308</v>
      </c>
      <c r="K39" s="15" t="s">
        <v>1309</v>
      </c>
      <c r="S39" s="14"/>
      <c r="T39" s="15"/>
      <c r="U39" s="14" t="s">
        <v>29</v>
      </c>
      <c r="W39" s="353"/>
      <c r="X39" s="354"/>
      <c r="Z39" s="353"/>
      <c r="AE39" s="12"/>
      <c r="AH39" s="65"/>
    </row>
    <row r="40" spans="1:34" ht="14.25" customHeight="1">
      <c r="A40" s="150">
        <f ca="1">YEAR(TODAY())</f>
        <v>2024</v>
      </c>
      <c r="B40" s="19">
        <f t="shared" ref="B40:B71" ca="1" si="156">SUMIF($AJ$4:$ADJ$4,$A40,$AJ$1:$ADJ$1)</f>
        <v>2935</v>
      </c>
      <c r="C40" s="20">
        <f ca="1">B40</f>
        <v>2935</v>
      </c>
      <c r="D40" s="20">
        <f ca="1">B40+E40</f>
        <v>2935</v>
      </c>
      <c r="E40" s="21">
        <f ca="1">SUMIFS($N$7:$N$18,$L$7:$L$18,"TRUE",$T$7:$T$18,$A40)</f>
        <v>0</v>
      </c>
      <c r="F40" s="22">
        <f ca="1">IF(B40=0,"",C40-B40)</f>
        <v>0</v>
      </c>
      <c r="G40" s="19">
        <f ca="1">IF(B40=0,"",B40)</f>
        <v>2935</v>
      </c>
      <c r="H40" s="22">
        <f ca="1">MAX($D$40:$D$118)</f>
        <v>211395</v>
      </c>
      <c r="I40" s="22">
        <f ca="1">E40</f>
        <v>0</v>
      </c>
      <c r="J40" s="22">
        <f ca="1">R27-K40</f>
        <v>113834.62</v>
      </c>
      <c r="K40" s="22">
        <f ca="1">SUMIFS($R$7:R$18,T$7:T$18,$A40)</f>
        <v>0</v>
      </c>
      <c r="S40" s="12" t="s">
        <v>163</v>
      </c>
      <c r="T40" s="25">
        <f t="shared" ref="T40:T50" ca="1" si="157">SUMIFS($S$7:$S$18,$L$7:$L$18,"TRUE",$J$7:$J$18,$S40)</f>
        <v>8.8554958061088984E-2</v>
      </c>
      <c r="U40" s="26" t="s">
        <v>163</v>
      </c>
      <c r="X40" s="126"/>
      <c r="AE40" s="12"/>
      <c r="AH40" s="65"/>
    </row>
    <row r="41" spans="1:34">
      <c r="A41" s="18">
        <f t="shared" ref="A41:A104" ca="1" si="158">A40+1</f>
        <v>2025</v>
      </c>
      <c r="B41" s="19">
        <f t="shared" ca="1" si="156"/>
        <v>5870</v>
      </c>
      <c r="C41" s="20">
        <f ca="1">IF(B41=0,"",C40+B41)</f>
        <v>8805</v>
      </c>
      <c r="D41" s="20">
        <f ca="1">IF(B41=0,"",D40+B41+E41)</f>
        <v>8805</v>
      </c>
      <c r="E41" s="21">
        <f t="shared" ref="E41:E104" ca="1" si="159">SUMIFS($N$7:$N$18,$L$7:$L$18,"TRUE",$T$7:$T$18,$A41)</f>
        <v>0</v>
      </c>
      <c r="F41" s="22">
        <f t="shared" ref="F41:F104" ca="1" si="160">IF(B41=0,"",C41-B41)</f>
        <v>2935</v>
      </c>
      <c r="G41" s="19">
        <f t="shared" ref="G41:G104" ca="1" si="161">IF(B41=0,"",B41)</f>
        <v>5870</v>
      </c>
      <c r="H41" s="22">
        <f t="shared" ref="H41:H104" ca="1" si="162">MAX($D$40:$D$118)</f>
        <v>211395</v>
      </c>
      <c r="I41" s="22">
        <f ca="1">I40+E41</f>
        <v>0</v>
      </c>
      <c r="J41" s="22">
        <f ca="1">J40-K41</f>
        <v>113834.62</v>
      </c>
      <c r="K41" s="22">
        <f ca="1">SUMIFS($R$7:R$18,T$7:T$18,$A41)</f>
        <v>0</v>
      </c>
      <c r="S41" s="12" t="s">
        <v>165</v>
      </c>
      <c r="T41" s="25">
        <f t="shared" ca="1" si="157"/>
        <v>0.15348564434967149</v>
      </c>
      <c r="U41" s="26" t="s">
        <v>165</v>
      </c>
      <c r="X41" s="125"/>
      <c r="AE41" s="12"/>
      <c r="AH41" s="65"/>
    </row>
    <row r="42" spans="1:34">
      <c r="A42" s="18">
        <f t="shared" ca="1" si="158"/>
        <v>2026</v>
      </c>
      <c r="B42" s="19">
        <f t="shared" ca="1" si="156"/>
        <v>5870</v>
      </c>
      <c r="C42" s="20">
        <f t="shared" ref="C42:C105" ca="1" si="163">IF(B42=0,"",C41+B42)</f>
        <v>14675</v>
      </c>
      <c r="D42" s="20">
        <f t="shared" ref="D42:D105" ca="1" si="164">IF(B42=0,"",D41+B42+E42)</f>
        <v>14675</v>
      </c>
      <c r="E42" s="21">
        <f t="shared" ca="1" si="159"/>
        <v>0</v>
      </c>
      <c r="F42" s="22">
        <f t="shared" ca="1" si="160"/>
        <v>8805</v>
      </c>
      <c r="G42" s="19">
        <f t="shared" ca="1" si="161"/>
        <v>5870</v>
      </c>
      <c r="H42" s="22">
        <f t="shared" ca="1" si="162"/>
        <v>211395</v>
      </c>
      <c r="I42" s="22">
        <f t="shared" ref="I42:I105" ca="1" si="165">I41+E42</f>
        <v>0</v>
      </c>
      <c r="J42" s="22">
        <f ca="1">J41-K42</f>
        <v>113834.62</v>
      </c>
      <c r="K42" s="22">
        <f ca="1">SUMIFS($R$7:R$18,T$7:T$18,$A42)</f>
        <v>0</v>
      </c>
      <c r="S42" s="12" t="s">
        <v>167</v>
      </c>
      <c r="T42" s="25">
        <f t="shared" ca="1" si="157"/>
        <v>0.195221365872702</v>
      </c>
      <c r="U42" s="26" t="s">
        <v>167</v>
      </c>
      <c r="AE42" s="12"/>
      <c r="AH42" s="65"/>
    </row>
    <row r="43" spans="1:34">
      <c r="A43" s="18">
        <f t="shared" ca="1" si="158"/>
        <v>2027</v>
      </c>
      <c r="B43" s="19">
        <f t="shared" ca="1" si="156"/>
        <v>5870</v>
      </c>
      <c r="C43" s="20">
        <f t="shared" ca="1" si="163"/>
        <v>20545</v>
      </c>
      <c r="D43" s="20">
        <f t="shared" ca="1" si="164"/>
        <v>20545</v>
      </c>
      <c r="E43" s="21">
        <f t="shared" ca="1" si="159"/>
        <v>0</v>
      </c>
      <c r="F43" s="22">
        <f t="shared" ca="1" si="160"/>
        <v>14675</v>
      </c>
      <c r="G43" s="19">
        <f t="shared" ca="1" si="161"/>
        <v>5870</v>
      </c>
      <c r="H43" s="22">
        <f t="shared" ca="1" si="162"/>
        <v>211395</v>
      </c>
      <c r="I43" s="22">
        <f t="shared" ca="1" si="165"/>
        <v>0</v>
      </c>
      <c r="J43" s="22">
        <f t="shared" ref="J43:J106" ca="1" si="166">J42-K43</f>
        <v>113834.62</v>
      </c>
      <c r="K43" s="22">
        <f ca="1">SUMIFS($R$7:R$18,T$7:T$18,$A43)</f>
        <v>0</v>
      </c>
      <c r="S43" s="12" t="s">
        <v>171</v>
      </c>
      <c r="T43" s="25">
        <f t="shared" ca="1" si="157"/>
        <v>9.376391821749834E-2</v>
      </c>
      <c r="U43" s="26" t="s">
        <v>171</v>
      </c>
      <c r="AE43" s="12"/>
      <c r="AH43" s="65"/>
    </row>
    <row r="44" spans="1:34">
      <c r="A44" s="18">
        <f t="shared" ca="1" si="158"/>
        <v>2028</v>
      </c>
      <c r="B44" s="19">
        <f t="shared" ca="1" si="156"/>
        <v>5870</v>
      </c>
      <c r="C44" s="20">
        <f t="shared" ca="1" si="163"/>
        <v>26415</v>
      </c>
      <c r="D44" s="20">
        <f t="shared" ca="1" si="164"/>
        <v>26415</v>
      </c>
      <c r="E44" s="21">
        <f t="shared" ca="1" si="159"/>
        <v>0</v>
      </c>
      <c r="F44" s="22">
        <f t="shared" ca="1" si="160"/>
        <v>20545</v>
      </c>
      <c r="G44" s="19">
        <f t="shared" ca="1" si="161"/>
        <v>5870</v>
      </c>
      <c r="H44" s="22">
        <f t="shared" ca="1" si="162"/>
        <v>211395</v>
      </c>
      <c r="I44" s="22">
        <f t="shared" ca="1" si="165"/>
        <v>0</v>
      </c>
      <c r="J44" s="22">
        <f t="shared" ca="1" si="166"/>
        <v>113834.62</v>
      </c>
      <c r="K44" s="22">
        <f ca="1">SUMIFS($R$7:R$18,T$7:T$18,$A44)</f>
        <v>0</v>
      </c>
      <c r="R44" s="26"/>
      <c r="S44" s="12" t="s">
        <v>166</v>
      </c>
      <c r="T44" s="25">
        <f t="shared" ca="1" si="157"/>
        <v>8.6050271876868395E-2</v>
      </c>
      <c r="U44" s="26" t="s">
        <v>166</v>
      </c>
      <c r="W44" s="352"/>
      <c r="X44" s="352"/>
      <c r="AE44" s="12"/>
      <c r="AH44" s="65"/>
    </row>
    <row r="45" spans="1:34">
      <c r="A45" s="18">
        <f t="shared" ca="1" si="158"/>
        <v>2029</v>
      </c>
      <c r="B45" s="19">
        <f t="shared" ca="1" si="156"/>
        <v>5870</v>
      </c>
      <c r="C45" s="20">
        <f t="shared" ca="1" si="163"/>
        <v>32285</v>
      </c>
      <c r="D45" s="20">
        <f t="shared" ca="1" si="164"/>
        <v>32285</v>
      </c>
      <c r="E45" s="21">
        <f t="shared" ca="1" si="159"/>
        <v>0</v>
      </c>
      <c r="F45" s="22">
        <f t="shared" ca="1" si="160"/>
        <v>26415</v>
      </c>
      <c r="G45" s="19">
        <f t="shared" ca="1" si="161"/>
        <v>5870</v>
      </c>
      <c r="H45" s="22">
        <f t="shared" ca="1" si="162"/>
        <v>211395</v>
      </c>
      <c r="I45" s="22">
        <f t="shared" ca="1" si="165"/>
        <v>0</v>
      </c>
      <c r="J45" s="22">
        <f t="shared" ca="1" si="166"/>
        <v>113834.62</v>
      </c>
      <c r="K45" s="22">
        <f ca="1">SUMIFS($R$7:R$18,T$7:T$18,$A45)</f>
        <v>0</v>
      </c>
      <c r="S45" s="12" t="s">
        <v>164</v>
      </c>
      <c r="T45" s="25">
        <f t="shared" ca="1" si="157"/>
        <v>0.13811237741207377</v>
      </c>
      <c r="U45" s="26" t="s">
        <v>164</v>
      </c>
      <c r="W45" s="353"/>
      <c r="X45" s="354"/>
      <c r="AE45" s="12"/>
      <c r="AH45" s="65"/>
    </row>
    <row r="46" spans="1:34">
      <c r="A46" s="18">
        <f t="shared" ca="1" si="158"/>
        <v>2030</v>
      </c>
      <c r="B46" s="19">
        <f t="shared" ca="1" si="156"/>
        <v>5870</v>
      </c>
      <c r="C46" s="20">
        <f t="shared" ca="1" si="163"/>
        <v>38155</v>
      </c>
      <c r="D46" s="20">
        <f t="shared" ca="1" si="164"/>
        <v>38155</v>
      </c>
      <c r="E46" s="21">
        <f t="shared" ca="1" si="159"/>
        <v>0</v>
      </c>
      <c r="F46" s="22">
        <f t="shared" ca="1" si="160"/>
        <v>32285</v>
      </c>
      <c r="G46" s="19">
        <f t="shared" ca="1" si="161"/>
        <v>5870</v>
      </c>
      <c r="H46" s="22">
        <f t="shared" ca="1" si="162"/>
        <v>211395</v>
      </c>
      <c r="I46" s="22">
        <f t="shared" ca="1" si="165"/>
        <v>0</v>
      </c>
      <c r="J46" s="22">
        <f t="shared" ca="1" si="166"/>
        <v>113834.62</v>
      </c>
      <c r="K46" s="22">
        <f ca="1">SUMIFS($R$7:R$18,T$7:T$18,$A46)</f>
        <v>0</v>
      </c>
      <c r="S46" s="12" t="s">
        <v>170</v>
      </c>
      <c r="T46" s="25">
        <f t="shared" ca="1" si="157"/>
        <v>0</v>
      </c>
      <c r="U46" s="26" t="s">
        <v>4297</v>
      </c>
      <c r="X46" s="126"/>
      <c r="AE46" s="12"/>
      <c r="AH46" s="65"/>
    </row>
    <row r="47" spans="1:34">
      <c r="A47" s="18">
        <f t="shared" ca="1" si="158"/>
        <v>2031</v>
      </c>
      <c r="B47" s="19">
        <f t="shared" ca="1" si="156"/>
        <v>5870</v>
      </c>
      <c r="C47" s="20">
        <f t="shared" ca="1" si="163"/>
        <v>44025</v>
      </c>
      <c r="D47" s="20">
        <f t="shared" ca="1" si="164"/>
        <v>44025</v>
      </c>
      <c r="E47" s="21">
        <f t="shared" ca="1" si="159"/>
        <v>0</v>
      </c>
      <c r="F47" s="22">
        <f t="shared" ca="1" si="160"/>
        <v>38155</v>
      </c>
      <c r="G47" s="19">
        <f t="shared" ca="1" si="161"/>
        <v>5870</v>
      </c>
      <c r="H47" s="22">
        <f t="shared" ca="1" si="162"/>
        <v>211395</v>
      </c>
      <c r="I47" s="22">
        <f t="shared" ca="1" si="165"/>
        <v>0</v>
      </c>
      <c r="J47" s="22">
        <f t="shared" ca="1" si="166"/>
        <v>113834.62</v>
      </c>
      <c r="K47" s="22">
        <f ca="1">SUMIFS($R$7:R$18,T$7:T$18,$A47)</f>
        <v>0</v>
      </c>
      <c r="S47" s="12" t="s">
        <v>162</v>
      </c>
      <c r="T47" s="25">
        <f t="shared" ca="1" si="157"/>
        <v>0.16136971336136582</v>
      </c>
      <c r="U47" s="26" t="s">
        <v>162</v>
      </c>
      <c r="X47" s="125"/>
      <c r="AE47" s="12"/>
      <c r="AH47" s="65"/>
    </row>
    <row r="48" spans="1:34">
      <c r="A48" s="18">
        <f t="shared" ca="1" si="158"/>
        <v>2032</v>
      </c>
      <c r="B48" s="19">
        <f t="shared" ca="1" si="156"/>
        <v>5870</v>
      </c>
      <c r="C48" s="20">
        <f t="shared" ca="1" si="163"/>
        <v>49895</v>
      </c>
      <c r="D48" s="20">
        <f t="shared" ca="1" si="164"/>
        <v>49895</v>
      </c>
      <c r="E48" s="21">
        <f t="shared" ca="1" si="159"/>
        <v>0</v>
      </c>
      <c r="F48" s="22">
        <f t="shared" ca="1" si="160"/>
        <v>44025</v>
      </c>
      <c r="G48" s="19">
        <f t="shared" ca="1" si="161"/>
        <v>5870</v>
      </c>
      <c r="H48" s="22">
        <f t="shared" ca="1" si="162"/>
        <v>211395</v>
      </c>
      <c r="I48" s="22">
        <f t="shared" ca="1" si="165"/>
        <v>0</v>
      </c>
      <c r="J48" s="22">
        <f t="shared" ca="1" si="166"/>
        <v>113834.62</v>
      </c>
      <c r="K48" s="22">
        <f ca="1">SUMIFS($R$7:R$18,T$7:T$18,$A48)</f>
        <v>0</v>
      </c>
      <c r="S48" s="12" t="s">
        <v>168</v>
      </c>
      <c r="T48" s="25">
        <f t="shared" ca="1" si="157"/>
        <v>0</v>
      </c>
      <c r="U48" s="26" t="s">
        <v>173</v>
      </c>
      <c r="AE48" s="12"/>
      <c r="AH48" s="65"/>
    </row>
    <row r="49" spans="1:34">
      <c r="A49" s="18">
        <f t="shared" ca="1" si="158"/>
        <v>2033</v>
      </c>
      <c r="B49" s="19">
        <f t="shared" ca="1" si="156"/>
        <v>5667.5</v>
      </c>
      <c r="C49" s="20">
        <f t="shared" ca="1" si="163"/>
        <v>55562.5</v>
      </c>
      <c r="D49" s="20">
        <f t="shared" ca="1" si="164"/>
        <v>65562.5</v>
      </c>
      <c r="E49" s="21">
        <f t="shared" ca="1" si="159"/>
        <v>10000</v>
      </c>
      <c r="F49" s="22">
        <f t="shared" ca="1" si="160"/>
        <v>49895</v>
      </c>
      <c r="G49" s="19">
        <f t="shared" ca="1" si="161"/>
        <v>5667.5</v>
      </c>
      <c r="H49" s="22">
        <f t="shared" ca="1" si="162"/>
        <v>211395</v>
      </c>
      <c r="I49" s="22">
        <f t="shared" ca="1" si="165"/>
        <v>10000</v>
      </c>
      <c r="J49" s="22">
        <f t="shared" ca="1" si="166"/>
        <v>104039.12</v>
      </c>
      <c r="K49" s="22">
        <f ca="1">SUMIFS($R$7:R$18,T$7:T$18,$A49)</f>
        <v>9795.5</v>
      </c>
      <c r="S49" s="12" t="s">
        <v>169</v>
      </c>
      <c r="T49" s="25">
        <f t="shared" ca="1" si="157"/>
        <v>0</v>
      </c>
      <c r="U49" s="26" t="s">
        <v>169</v>
      </c>
      <c r="AE49" s="12"/>
      <c r="AH49" s="65"/>
    </row>
    <row r="50" spans="1:34" ht="16.5" customHeight="1">
      <c r="A50" s="18">
        <f t="shared" ca="1" si="158"/>
        <v>2034</v>
      </c>
      <c r="B50" s="19">
        <f t="shared" ca="1" si="156"/>
        <v>5465</v>
      </c>
      <c r="C50" s="20">
        <f t="shared" ca="1" si="163"/>
        <v>61027.5</v>
      </c>
      <c r="D50" s="20">
        <f t="shared" ca="1" si="164"/>
        <v>81027.5</v>
      </c>
      <c r="E50" s="21">
        <f t="shared" ca="1" si="159"/>
        <v>10000</v>
      </c>
      <c r="F50" s="22">
        <f t="shared" ca="1" si="160"/>
        <v>55562.5</v>
      </c>
      <c r="G50" s="19">
        <f t="shared" ca="1" si="161"/>
        <v>5465</v>
      </c>
      <c r="H50" s="22">
        <f t="shared" ca="1" si="162"/>
        <v>211395</v>
      </c>
      <c r="I50" s="22">
        <f t="shared" ca="1" si="165"/>
        <v>20000</v>
      </c>
      <c r="J50" s="22">
        <f t="shared" ca="1" si="166"/>
        <v>94625.95</v>
      </c>
      <c r="K50" s="22">
        <f ca="1">SUMIFS($R$7:R$18,T$7:T$18,$A50)</f>
        <v>9413.17</v>
      </c>
      <c r="S50" s="12" t="s">
        <v>172</v>
      </c>
      <c r="T50" s="25">
        <f t="shared" ca="1" si="157"/>
        <v>8.3441750848731261E-2</v>
      </c>
      <c r="U50" s="26" t="s">
        <v>172</v>
      </c>
      <c r="W50" s="352"/>
      <c r="X50" s="352"/>
      <c r="AE50" s="12"/>
      <c r="AH50" s="65"/>
    </row>
    <row r="51" spans="1:34">
      <c r="A51" s="18">
        <f t="shared" ca="1" si="158"/>
        <v>2035</v>
      </c>
      <c r="B51" s="19">
        <f t="shared" ca="1" si="156"/>
        <v>4828.75</v>
      </c>
      <c r="C51" s="20">
        <f t="shared" ca="1" si="163"/>
        <v>65856.25</v>
      </c>
      <c r="D51" s="20">
        <f t="shared" ca="1" si="164"/>
        <v>95856.25</v>
      </c>
      <c r="E51" s="21">
        <f t="shared" ca="1" si="159"/>
        <v>10000</v>
      </c>
      <c r="F51" s="22">
        <f t="shared" ca="1" si="160"/>
        <v>61027.5</v>
      </c>
      <c r="G51" s="19">
        <f t="shared" ca="1" si="161"/>
        <v>4828.75</v>
      </c>
      <c r="H51" s="22">
        <f t="shared" ca="1" si="162"/>
        <v>211395</v>
      </c>
      <c r="I51" s="22">
        <f t="shared" ca="1" si="165"/>
        <v>30000</v>
      </c>
      <c r="J51" s="22">
        <f t="shared" ca="1" si="166"/>
        <v>85127.39</v>
      </c>
      <c r="K51" s="22">
        <f ca="1">SUMIFS($R$7:R$18,T$7:T$18,$A51)</f>
        <v>9498.56</v>
      </c>
      <c r="S51" s="13" t="s">
        <v>27</v>
      </c>
      <c r="T51" s="13"/>
      <c r="U51" s="13"/>
      <c r="W51" s="353"/>
      <c r="X51" s="354"/>
      <c r="AE51" s="12"/>
      <c r="AH51" s="65"/>
    </row>
    <row r="52" spans="1:34">
      <c r="A52" s="18">
        <f t="shared" ca="1" si="158"/>
        <v>2036</v>
      </c>
      <c r="B52" s="19">
        <f t="shared" ca="1" si="156"/>
        <v>4278.75</v>
      </c>
      <c r="C52" s="20">
        <f t="shared" ca="1" si="163"/>
        <v>70135</v>
      </c>
      <c r="D52" s="20">
        <f t="shared" ca="1" si="164"/>
        <v>110135</v>
      </c>
      <c r="E52" s="21">
        <f t="shared" ca="1" si="159"/>
        <v>10000</v>
      </c>
      <c r="F52" s="22">
        <f t="shared" ca="1" si="160"/>
        <v>65856.25</v>
      </c>
      <c r="G52" s="19">
        <f t="shared" ca="1" si="161"/>
        <v>4278.75</v>
      </c>
      <c r="H52" s="22">
        <f t="shared" ca="1" si="162"/>
        <v>211395</v>
      </c>
      <c r="I52" s="22">
        <f t="shared" ca="1" si="165"/>
        <v>40000</v>
      </c>
      <c r="J52" s="22">
        <f t="shared" ca="1" si="166"/>
        <v>75351.789999999994</v>
      </c>
      <c r="K52" s="22">
        <f ca="1">SUMIFS($R$7:R$18,T$7:T$18,$A52)</f>
        <v>9775.6</v>
      </c>
      <c r="S52" s="14" t="s">
        <v>28</v>
      </c>
      <c r="T52" s="15" t="s">
        <v>14</v>
      </c>
      <c r="U52" s="15" t="s">
        <v>29</v>
      </c>
      <c r="X52" s="126"/>
      <c r="AE52" s="12"/>
      <c r="AH52" s="65"/>
    </row>
    <row r="53" spans="1:34">
      <c r="A53" s="18">
        <f t="shared" ca="1" si="158"/>
        <v>2037</v>
      </c>
      <c r="B53" s="19">
        <f t="shared" ca="1" si="156"/>
        <v>3650</v>
      </c>
      <c r="C53" s="20">
        <f t="shared" ca="1" si="163"/>
        <v>73785</v>
      </c>
      <c r="D53" s="20">
        <f t="shared" ca="1" si="164"/>
        <v>123785</v>
      </c>
      <c r="E53" s="21">
        <f t="shared" ca="1" si="159"/>
        <v>10000</v>
      </c>
      <c r="F53" s="22">
        <f t="shared" ca="1" si="160"/>
        <v>70135</v>
      </c>
      <c r="G53" s="19">
        <f t="shared" ca="1" si="161"/>
        <v>3650</v>
      </c>
      <c r="H53" s="22">
        <f t="shared" ca="1" si="162"/>
        <v>211395</v>
      </c>
      <c r="I53" s="22">
        <f t="shared" ca="1" si="165"/>
        <v>50000</v>
      </c>
      <c r="J53" s="22">
        <f t="shared" ca="1" si="166"/>
        <v>64678.209999999992</v>
      </c>
      <c r="K53" s="22">
        <f ca="1">SUMIFS($R$7:R$18,T$7:T$18,$A53)</f>
        <v>10673.58</v>
      </c>
      <c r="S53" s="12">
        <v>1</v>
      </c>
      <c r="T53" s="27">
        <f t="shared" ref="T53:T64" ca="1" si="167">SUMIFS($AE$7:$AE$18,$L$7:$L$18,"TRUE",$AF$7:$AF$18,$S53)+SUMIFS($AE$7:$AE$18,$L$7:$L$18,"TRUE",$AG$7:$AG$18,$S53)</f>
        <v>1306.25</v>
      </c>
      <c r="U53" s="26" t="s">
        <v>1788</v>
      </c>
      <c r="X53" s="125"/>
      <c r="AE53" s="12"/>
      <c r="AH53" s="65"/>
    </row>
    <row r="54" spans="1:34">
      <c r="A54" s="18">
        <f t="shared" ca="1" si="158"/>
        <v>2038</v>
      </c>
      <c r="B54" s="19">
        <f t="shared" ca="1" si="156"/>
        <v>3365</v>
      </c>
      <c r="C54" s="20">
        <f t="shared" ca="1" si="163"/>
        <v>77150</v>
      </c>
      <c r="D54" s="20">
        <f t="shared" ca="1" si="164"/>
        <v>137150</v>
      </c>
      <c r="E54" s="21">
        <f t="shared" ca="1" si="159"/>
        <v>10000</v>
      </c>
      <c r="F54" s="22">
        <f t="shared" ca="1" si="160"/>
        <v>73785</v>
      </c>
      <c r="G54" s="19">
        <f t="shared" ca="1" si="161"/>
        <v>3365</v>
      </c>
      <c r="H54" s="22">
        <f t="shared" ca="1" si="162"/>
        <v>211395</v>
      </c>
      <c r="I54" s="22">
        <f t="shared" ca="1" si="165"/>
        <v>60000</v>
      </c>
      <c r="J54" s="22">
        <f t="shared" ca="1" si="166"/>
        <v>53600.589999999989</v>
      </c>
      <c r="K54" s="22">
        <f ca="1">SUMIFS($R$7:R$18,T$7:T$18,$A54)</f>
        <v>11077.62</v>
      </c>
      <c r="S54" s="12">
        <v>2</v>
      </c>
      <c r="T54" s="27">
        <f t="shared" ca="1" si="167"/>
        <v>287.5</v>
      </c>
      <c r="U54" s="26" t="s">
        <v>1789</v>
      </c>
      <c r="AE54" s="12"/>
      <c r="AH54" s="65"/>
    </row>
    <row r="55" spans="1:34">
      <c r="A55" s="18">
        <f t="shared" ca="1" si="158"/>
        <v>2039</v>
      </c>
      <c r="B55" s="19">
        <f t="shared" ca="1" si="156"/>
        <v>2480</v>
      </c>
      <c r="C55" s="20">
        <f t="shared" ca="1" si="163"/>
        <v>79630</v>
      </c>
      <c r="D55" s="20">
        <f t="shared" ca="1" si="164"/>
        <v>149630</v>
      </c>
      <c r="E55" s="21">
        <f t="shared" ca="1" si="159"/>
        <v>10000</v>
      </c>
      <c r="F55" s="22">
        <f t="shared" ca="1" si="160"/>
        <v>77150</v>
      </c>
      <c r="G55" s="19">
        <f t="shared" ca="1" si="161"/>
        <v>2480</v>
      </c>
      <c r="H55" s="22">
        <f t="shared" ca="1" si="162"/>
        <v>211395</v>
      </c>
      <c r="I55" s="22">
        <f t="shared" ca="1" si="165"/>
        <v>70000</v>
      </c>
      <c r="J55" s="22">
        <f t="shared" ca="1" si="166"/>
        <v>42455.259999999987</v>
      </c>
      <c r="K55" s="22">
        <f ca="1">SUMIFS($R$7:R$18,T$7:T$18,$A55)</f>
        <v>11145.33</v>
      </c>
      <c r="S55" s="12">
        <v>3</v>
      </c>
      <c r="T55" s="27">
        <f t="shared" ca="1" si="167"/>
        <v>285</v>
      </c>
      <c r="U55" s="26" t="s">
        <v>1790</v>
      </c>
      <c r="AE55" s="12"/>
      <c r="AH55" s="65"/>
    </row>
    <row r="56" spans="1:34">
      <c r="A56" s="18">
        <f t="shared" ca="1" si="158"/>
        <v>2040</v>
      </c>
      <c r="B56" s="19">
        <f t="shared" ca="1" si="156"/>
        <v>1877.5</v>
      </c>
      <c r="C56" s="20">
        <f t="shared" ca="1" si="163"/>
        <v>81507.5</v>
      </c>
      <c r="D56" s="20">
        <f t="shared" ca="1" si="164"/>
        <v>161507.5</v>
      </c>
      <c r="E56" s="21">
        <f t="shared" ca="1" si="159"/>
        <v>10000</v>
      </c>
      <c r="F56" s="22">
        <f t="shared" ca="1" si="160"/>
        <v>79630</v>
      </c>
      <c r="G56" s="19">
        <f t="shared" ca="1" si="161"/>
        <v>1877.5</v>
      </c>
      <c r="H56" s="22">
        <f t="shared" ca="1" si="162"/>
        <v>211395</v>
      </c>
      <c r="I56" s="22">
        <f t="shared" ca="1" si="165"/>
        <v>80000</v>
      </c>
      <c r="J56" s="22">
        <f t="shared" ca="1" si="166"/>
        <v>32374.639999999985</v>
      </c>
      <c r="K56" s="22">
        <f ca="1">SUMIFS($R$7:R$18,T$7:T$18,$A56)</f>
        <v>10080.620000000001</v>
      </c>
      <c r="S56" s="12">
        <v>4</v>
      </c>
      <c r="T56" s="27">
        <f t="shared" ca="1" si="167"/>
        <v>643.75</v>
      </c>
      <c r="U56" s="26" t="s">
        <v>1791</v>
      </c>
      <c r="AE56" s="12"/>
      <c r="AH56" s="65"/>
    </row>
    <row r="57" spans="1:34">
      <c r="A57" s="18">
        <f t="shared" ca="1" si="158"/>
        <v>2041</v>
      </c>
      <c r="B57" s="19">
        <f t="shared" ca="1" si="156"/>
        <v>1400</v>
      </c>
      <c r="C57" s="20">
        <f t="shared" ca="1" si="163"/>
        <v>82907.5</v>
      </c>
      <c r="D57" s="20">
        <f t="shared" ca="1" si="164"/>
        <v>172907.5</v>
      </c>
      <c r="E57" s="21">
        <f t="shared" ca="1" si="159"/>
        <v>10000</v>
      </c>
      <c r="F57" s="22">
        <f t="shared" ca="1" si="160"/>
        <v>81507.5</v>
      </c>
      <c r="G57" s="19">
        <f t="shared" ca="1" si="161"/>
        <v>1400</v>
      </c>
      <c r="H57" s="22">
        <f t="shared" ca="1" si="162"/>
        <v>211395</v>
      </c>
      <c r="I57" s="22">
        <f t="shared" ca="1" si="165"/>
        <v>90000</v>
      </c>
      <c r="J57" s="22">
        <f t="shared" ca="1" si="166"/>
        <v>24315.829999999984</v>
      </c>
      <c r="K57" s="22">
        <f ca="1">SUMIFS($R$7:R$18,T$7:T$18,$A57)</f>
        <v>8058.81</v>
      </c>
      <c r="S57" s="12">
        <v>5</v>
      </c>
      <c r="T57" s="27">
        <f t="shared" ca="1" si="167"/>
        <v>206.25</v>
      </c>
      <c r="U57" s="26" t="s">
        <v>1792</v>
      </c>
      <c r="AE57" s="12"/>
      <c r="AH57" s="65"/>
    </row>
    <row r="58" spans="1:34">
      <c r="A58" s="18">
        <f t="shared" ca="1" si="158"/>
        <v>2042</v>
      </c>
      <c r="B58" s="19">
        <f t="shared" ca="1" si="156"/>
        <v>931.25</v>
      </c>
      <c r="C58" s="20">
        <f t="shared" ca="1" si="163"/>
        <v>83838.75</v>
      </c>
      <c r="D58" s="20">
        <f t="shared" ca="1" si="164"/>
        <v>183838.75</v>
      </c>
      <c r="E58" s="21">
        <f t="shared" ca="1" si="159"/>
        <v>10000</v>
      </c>
      <c r="F58" s="22">
        <f t="shared" ca="1" si="160"/>
        <v>82907.5</v>
      </c>
      <c r="G58" s="19">
        <f t="shared" ca="1" si="161"/>
        <v>931.25</v>
      </c>
      <c r="H58" s="22">
        <f t="shared" ca="1" si="162"/>
        <v>211395</v>
      </c>
      <c r="I58" s="22">
        <f t="shared" ca="1" si="165"/>
        <v>100000</v>
      </c>
      <c r="J58" s="22">
        <f t="shared" ca="1" si="166"/>
        <v>13719.889999999983</v>
      </c>
      <c r="K58" s="22">
        <f ca="1">SUMIFS($R$7:R$18,T$7:T$18,$A58)</f>
        <v>10595.94</v>
      </c>
      <c r="S58" s="12">
        <v>6</v>
      </c>
      <c r="T58" s="27">
        <f t="shared" ca="1" si="167"/>
        <v>206.25</v>
      </c>
      <c r="U58" s="26" t="s">
        <v>1793</v>
      </c>
      <c r="AE58" s="12"/>
      <c r="AH58" s="65"/>
    </row>
    <row r="59" spans="1:34">
      <c r="A59" s="18">
        <f t="shared" ca="1" si="158"/>
        <v>2043</v>
      </c>
      <c r="B59" s="19">
        <f t="shared" ca="1" si="156"/>
        <v>637.5</v>
      </c>
      <c r="C59" s="20">
        <f t="shared" ca="1" si="163"/>
        <v>84476.25</v>
      </c>
      <c r="D59" s="20">
        <f t="shared" ca="1" si="164"/>
        <v>184476.25</v>
      </c>
      <c r="E59" s="21">
        <f t="shared" ca="1" si="159"/>
        <v>0</v>
      </c>
      <c r="F59" s="22">
        <f t="shared" ca="1" si="160"/>
        <v>83838.75</v>
      </c>
      <c r="G59" s="19">
        <f t="shared" ca="1" si="161"/>
        <v>637.5</v>
      </c>
      <c r="H59" s="22">
        <f t="shared" ca="1" si="162"/>
        <v>211395</v>
      </c>
      <c r="I59" s="22">
        <f t="shared" ca="1" si="165"/>
        <v>100000</v>
      </c>
      <c r="J59" s="22">
        <f t="shared" ca="1" si="166"/>
        <v>13719.889999999983</v>
      </c>
      <c r="K59" s="22">
        <f ca="1">SUMIFS($R$7:R$18,T$7:T$18,$A59)</f>
        <v>0</v>
      </c>
      <c r="S59" s="12">
        <v>7</v>
      </c>
      <c r="T59" s="27">
        <f t="shared" ca="1" si="167"/>
        <v>1306.25</v>
      </c>
      <c r="U59" s="26" t="s">
        <v>1794</v>
      </c>
      <c r="AE59" s="12"/>
      <c r="AH59" s="65"/>
    </row>
    <row r="60" spans="1:34">
      <c r="A60" s="18">
        <f t="shared" ca="1" si="158"/>
        <v>2044</v>
      </c>
      <c r="B60" s="19">
        <f t="shared" ca="1" si="156"/>
        <v>637.5</v>
      </c>
      <c r="C60" s="20">
        <f t="shared" ca="1" si="163"/>
        <v>85113.75</v>
      </c>
      <c r="D60" s="20">
        <f t="shared" ca="1" si="164"/>
        <v>185113.75</v>
      </c>
      <c r="E60" s="21">
        <f t="shared" ca="1" si="159"/>
        <v>0</v>
      </c>
      <c r="F60" s="22">
        <f t="shared" ca="1" si="160"/>
        <v>84476.25</v>
      </c>
      <c r="G60" s="19">
        <f t="shared" ca="1" si="161"/>
        <v>637.5</v>
      </c>
      <c r="H60" s="22">
        <f t="shared" ca="1" si="162"/>
        <v>211395</v>
      </c>
      <c r="I60" s="22">
        <f t="shared" ca="1" si="165"/>
        <v>100000</v>
      </c>
      <c r="J60" s="22">
        <f t="shared" ca="1" si="166"/>
        <v>13719.889999999983</v>
      </c>
      <c r="K60" s="22">
        <f ca="1">SUMIFS($R$7:R$18,T$7:T$18,$A60)</f>
        <v>0</v>
      </c>
      <c r="S60" s="12">
        <v>8</v>
      </c>
      <c r="T60" s="27">
        <f t="shared" ca="1" si="167"/>
        <v>287.5</v>
      </c>
      <c r="U60" s="26" t="s">
        <v>1795</v>
      </c>
      <c r="AE60" s="12"/>
      <c r="AH60" s="65"/>
    </row>
    <row r="61" spans="1:34">
      <c r="A61" s="18">
        <f t="shared" ca="1" si="158"/>
        <v>2045</v>
      </c>
      <c r="B61" s="19">
        <f t="shared" ca="1" si="156"/>
        <v>637.5</v>
      </c>
      <c r="C61" s="20">
        <f t="shared" ca="1" si="163"/>
        <v>85751.25</v>
      </c>
      <c r="D61" s="20">
        <f t="shared" ca="1" si="164"/>
        <v>185751.25</v>
      </c>
      <c r="E61" s="21">
        <f t="shared" ca="1" si="159"/>
        <v>0</v>
      </c>
      <c r="F61" s="22">
        <f t="shared" ca="1" si="160"/>
        <v>85113.75</v>
      </c>
      <c r="G61" s="19">
        <f t="shared" ca="1" si="161"/>
        <v>637.5</v>
      </c>
      <c r="H61" s="22">
        <f t="shared" ca="1" si="162"/>
        <v>211395</v>
      </c>
      <c r="I61" s="22">
        <f t="shared" ca="1" si="165"/>
        <v>100000</v>
      </c>
      <c r="J61" s="22">
        <f t="shared" ca="1" si="166"/>
        <v>13719.889999999983</v>
      </c>
      <c r="K61" s="22">
        <f ca="1">SUMIFS($R$7:R$18,T$7:T$18,$A61)</f>
        <v>0</v>
      </c>
      <c r="S61" s="12">
        <v>9</v>
      </c>
      <c r="T61" s="27">
        <f t="shared" ca="1" si="167"/>
        <v>285</v>
      </c>
      <c r="U61" s="26" t="s">
        <v>1796</v>
      </c>
      <c r="AE61" s="12"/>
      <c r="AH61" s="65"/>
    </row>
    <row r="62" spans="1:34">
      <c r="A62" s="18">
        <f t="shared" ca="1" si="158"/>
        <v>2046</v>
      </c>
      <c r="B62" s="19">
        <f t="shared" ca="1" si="156"/>
        <v>637.5</v>
      </c>
      <c r="C62" s="20">
        <f t="shared" ca="1" si="163"/>
        <v>86388.75</v>
      </c>
      <c r="D62" s="20">
        <f t="shared" ca="1" si="164"/>
        <v>186388.75</v>
      </c>
      <c r="E62" s="21">
        <f t="shared" ca="1" si="159"/>
        <v>0</v>
      </c>
      <c r="F62" s="22">
        <f t="shared" ca="1" si="160"/>
        <v>85751.25</v>
      </c>
      <c r="G62" s="19">
        <f t="shared" ca="1" si="161"/>
        <v>637.5</v>
      </c>
      <c r="H62" s="22">
        <f t="shared" ca="1" si="162"/>
        <v>211395</v>
      </c>
      <c r="I62" s="22">
        <f t="shared" ca="1" si="165"/>
        <v>100000</v>
      </c>
      <c r="J62" s="22">
        <f t="shared" ca="1" si="166"/>
        <v>13719.889999999983</v>
      </c>
      <c r="K62" s="22">
        <f ca="1">SUMIFS($R$7:R$18,T$7:T$18,$A62)</f>
        <v>0</v>
      </c>
      <c r="S62" s="12">
        <v>10</v>
      </c>
      <c r="T62" s="27">
        <f t="shared" ca="1" si="167"/>
        <v>643.75</v>
      </c>
      <c r="U62" s="26" t="s">
        <v>1797</v>
      </c>
      <c r="AE62" s="12"/>
      <c r="AH62" s="65"/>
    </row>
    <row r="63" spans="1:34">
      <c r="A63" s="18">
        <f t="shared" ca="1" si="158"/>
        <v>2047</v>
      </c>
      <c r="B63" s="19">
        <f t="shared" ca="1" si="156"/>
        <v>637.5</v>
      </c>
      <c r="C63" s="20">
        <f t="shared" ca="1" si="163"/>
        <v>87026.25</v>
      </c>
      <c r="D63" s="20">
        <f t="shared" ca="1" si="164"/>
        <v>187026.25</v>
      </c>
      <c r="E63" s="21">
        <f t="shared" ca="1" si="159"/>
        <v>0</v>
      </c>
      <c r="F63" s="22">
        <f t="shared" ca="1" si="160"/>
        <v>86388.75</v>
      </c>
      <c r="G63" s="19">
        <f t="shared" ca="1" si="161"/>
        <v>637.5</v>
      </c>
      <c r="H63" s="22">
        <f t="shared" ca="1" si="162"/>
        <v>211395</v>
      </c>
      <c r="I63" s="22">
        <f t="shared" ca="1" si="165"/>
        <v>100000</v>
      </c>
      <c r="J63" s="22">
        <f t="shared" ca="1" si="166"/>
        <v>13719.889999999983</v>
      </c>
      <c r="K63" s="22">
        <f ca="1">SUMIFS($R$7:R$18,T$7:T$18,$A63)</f>
        <v>0</v>
      </c>
      <c r="S63" s="12">
        <v>11</v>
      </c>
      <c r="T63" s="27">
        <f t="shared" ca="1" si="167"/>
        <v>206.25</v>
      </c>
      <c r="U63" s="26" t="s">
        <v>1798</v>
      </c>
      <c r="AE63" s="12"/>
      <c r="AH63" s="65"/>
    </row>
    <row r="64" spans="1:34">
      <c r="A64" s="18">
        <f t="shared" ca="1" si="158"/>
        <v>2048</v>
      </c>
      <c r="B64" s="19">
        <f t="shared" ca="1" si="156"/>
        <v>637.5</v>
      </c>
      <c r="C64" s="20">
        <f t="shared" ca="1" si="163"/>
        <v>87663.75</v>
      </c>
      <c r="D64" s="20">
        <f t="shared" ca="1" si="164"/>
        <v>187663.75</v>
      </c>
      <c r="E64" s="21">
        <f t="shared" ca="1" si="159"/>
        <v>0</v>
      </c>
      <c r="F64" s="22">
        <f t="shared" ca="1" si="160"/>
        <v>87026.25</v>
      </c>
      <c r="G64" s="19">
        <f t="shared" ca="1" si="161"/>
        <v>637.5</v>
      </c>
      <c r="H64" s="22">
        <f t="shared" ca="1" si="162"/>
        <v>211395</v>
      </c>
      <c r="I64" s="22">
        <f t="shared" ca="1" si="165"/>
        <v>100000</v>
      </c>
      <c r="J64" s="22">
        <f t="shared" ca="1" si="166"/>
        <v>13719.889999999983</v>
      </c>
      <c r="K64" s="22">
        <f ca="1">SUMIFS($R$7:R$18,T$7:T$18,$A64)</f>
        <v>0</v>
      </c>
      <c r="S64" s="12">
        <v>12</v>
      </c>
      <c r="T64" s="27">
        <f t="shared" ca="1" si="167"/>
        <v>206.25</v>
      </c>
      <c r="U64" s="26" t="s">
        <v>1799</v>
      </c>
      <c r="AE64" s="12"/>
      <c r="AH64" s="65"/>
    </row>
    <row r="65" spans="1:34">
      <c r="A65" s="18">
        <f t="shared" ca="1" si="158"/>
        <v>2049</v>
      </c>
      <c r="B65" s="19">
        <f t="shared" ca="1" si="156"/>
        <v>637.5</v>
      </c>
      <c r="C65" s="20">
        <f t="shared" ca="1" si="163"/>
        <v>88301.25</v>
      </c>
      <c r="D65" s="20">
        <f t="shared" ca="1" si="164"/>
        <v>188301.25</v>
      </c>
      <c r="E65" s="21">
        <f t="shared" ca="1" si="159"/>
        <v>0</v>
      </c>
      <c r="F65" s="22">
        <f t="shared" ca="1" si="160"/>
        <v>87663.75</v>
      </c>
      <c r="G65" s="19">
        <f t="shared" ca="1" si="161"/>
        <v>637.5</v>
      </c>
      <c r="H65" s="22">
        <f t="shared" ca="1" si="162"/>
        <v>211395</v>
      </c>
      <c r="I65" s="22">
        <f t="shared" ca="1" si="165"/>
        <v>100000</v>
      </c>
      <c r="J65" s="22">
        <f t="shared" ca="1" si="166"/>
        <v>13719.889999999983</v>
      </c>
      <c r="K65" s="22">
        <f ca="1">SUMIFS($R$7:R$18,T$7:T$18,$A65)</f>
        <v>0</v>
      </c>
      <c r="AE65" s="12"/>
      <c r="AH65" s="65"/>
    </row>
    <row r="66" spans="1:34">
      <c r="A66" s="18">
        <f t="shared" ca="1" si="158"/>
        <v>2050</v>
      </c>
      <c r="B66" s="19">
        <f t="shared" ca="1" si="156"/>
        <v>637.5</v>
      </c>
      <c r="C66" s="20">
        <f t="shared" ca="1" si="163"/>
        <v>88938.75</v>
      </c>
      <c r="D66" s="20">
        <f t="shared" ca="1" si="164"/>
        <v>188938.75</v>
      </c>
      <c r="E66" s="21">
        <f t="shared" ca="1" si="159"/>
        <v>0</v>
      </c>
      <c r="F66" s="22">
        <f t="shared" ca="1" si="160"/>
        <v>88301.25</v>
      </c>
      <c r="G66" s="19">
        <f t="shared" ca="1" si="161"/>
        <v>637.5</v>
      </c>
      <c r="H66" s="22">
        <f t="shared" ca="1" si="162"/>
        <v>211395</v>
      </c>
      <c r="I66" s="22">
        <f t="shared" ca="1" si="165"/>
        <v>100000</v>
      </c>
      <c r="J66" s="22">
        <f t="shared" ca="1" si="166"/>
        <v>13719.889999999983</v>
      </c>
      <c r="K66" s="22">
        <f ca="1">SUMIFS($R$7:R$18,T$7:T$18,$A66)</f>
        <v>0</v>
      </c>
      <c r="S66" s="12" t="s">
        <v>211</v>
      </c>
      <c r="T66" s="27">
        <f ca="1">SUM(T53:T64)</f>
        <v>5870</v>
      </c>
      <c r="AE66" s="12"/>
      <c r="AH66" s="65"/>
    </row>
    <row r="67" spans="1:34">
      <c r="A67" s="18">
        <f t="shared" ca="1" si="158"/>
        <v>2051</v>
      </c>
      <c r="B67" s="19">
        <f t="shared" ca="1" si="156"/>
        <v>431.25</v>
      </c>
      <c r="C67" s="20">
        <f t="shared" ca="1" si="163"/>
        <v>89370</v>
      </c>
      <c r="D67" s="20">
        <f t="shared" ca="1" si="164"/>
        <v>199370</v>
      </c>
      <c r="E67" s="21">
        <f t="shared" ca="1" si="159"/>
        <v>10000</v>
      </c>
      <c r="F67" s="22">
        <f t="shared" ca="1" si="160"/>
        <v>88938.75</v>
      </c>
      <c r="G67" s="19">
        <f t="shared" ca="1" si="161"/>
        <v>431.25</v>
      </c>
      <c r="H67" s="22">
        <f t="shared" ca="1" si="162"/>
        <v>211395</v>
      </c>
      <c r="I67" s="22">
        <f t="shared" ca="1" si="165"/>
        <v>110000</v>
      </c>
      <c r="J67" s="22">
        <f t="shared" ca="1" si="166"/>
        <v>5946.3699999999826</v>
      </c>
      <c r="K67" s="22">
        <f ca="1">SUMIFS($R$7:R$18,T$7:T$18,$A67)</f>
        <v>7773.52</v>
      </c>
      <c r="AE67" s="12"/>
      <c r="AH67" s="65"/>
    </row>
    <row r="68" spans="1:34" ht="13.5" thickBot="1">
      <c r="A68" s="18">
        <f t="shared" ca="1" si="158"/>
        <v>2052</v>
      </c>
      <c r="B68" s="19">
        <f t="shared" ca="1" si="156"/>
        <v>225</v>
      </c>
      <c r="C68" s="20">
        <f t="shared" ca="1" si="163"/>
        <v>89595</v>
      </c>
      <c r="D68" s="20">
        <f t="shared" ca="1" si="164"/>
        <v>199595</v>
      </c>
      <c r="E68" s="21">
        <f t="shared" ca="1" si="159"/>
        <v>0</v>
      </c>
      <c r="F68" s="22">
        <f t="shared" ca="1" si="160"/>
        <v>89370</v>
      </c>
      <c r="G68" s="19">
        <f t="shared" ca="1" si="161"/>
        <v>225</v>
      </c>
      <c r="H68" s="22">
        <f t="shared" ca="1" si="162"/>
        <v>211395</v>
      </c>
      <c r="I68" s="22">
        <f t="shared" ca="1" si="165"/>
        <v>110000</v>
      </c>
      <c r="J68" s="22">
        <f t="shared" ca="1" si="166"/>
        <v>5946.3699999999826</v>
      </c>
      <c r="K68" s="22">
        <f ca="1">SUMIFS($R$7:R$18,T$7:T$18,$A68)</f>
        <v>0</v>
      </c>
      <c r="AE68" s="12"/>
      <c r="AH68" s="65"/>
    </row>
    <row r="69" spans="1:34">
      <c r="A69" s="18">
        <f t="shared" ca="1" si="158"/>
        <v>2053</v>
      </c>
      <c r="B69" s="19">
        <f t="shared" ca="1" si="156"/>
        <v>225</v>
      </c>
      <c r="C69" s="20">
        <f ca="1">IF(B69=0,"",C68+B69)</f>
        <v>89820</v>
      </c>
      <c r="D69" s="20">
        <f t="shared" ca="1" si="164"/>
        <v>199820</v>
      </c>
      <c r="E69" s="21">
        <f t="shared" ca="1" si="159"/>
        <v>0</v>
      </c>
      <c r="F69" s="22">
        <f t="shared" ca="1" si="160"/>
        <v>89595</v>
      </c>
      <c r="G69" s="19">
        <f t="shared" ca="1" si="161"/>
        <v>225</v>
      </c>
      <c r="H69" s="22">
        <f t="shared" ca="1" si="162"/>
        <v>211395</v>
      </c>
      <c r="I69" s="22">
        <f t="shared" ca="1" si="165"/>
        <v>110000</v>
      </c>
      <c r="J69" s="22">
        <f t="shared" ca="1" si="166"/>
        <v>5946.3699999999826</v>
      </c>
      <c r="K69" s="22">
        <f ca="1">SUMIFS($R$7:R$18,T$7:T$18,$A69)</f>
        <v>0</v>
      </c>
      <c r="Q69" s="1038" t="s">
        <v>3558</v>
      </c>
      <c r="R69" s="1039" t="s">
        <v>3764</v>
      </c>
      <c r="S69" s="1039" t="s">
        <v>3765</v>
      </c>
      <c r="T69" s="1040" t="s">
        <v>3766</v>
      </c>
      <c r="AE69" s="12"/>
      <c r="AH69" s="65"/>
    </row>
    <row r="70" spans="1:34" ht="13.5" thickBot="1">
      <c r="A70" s="18">
        <f t="shared" ca="1" si="158"/>
        <v>2054</v>
      </c>
      <c r="B70" s="19">
        <f t="shared" ca="1" si="156"/>
        <v>225</v>
      </c>
      <c r="C70" s="20">
        <f t="shared" ca="1" si="163"/>
        <v>90045</v>
      </c>
      <c r="D70" s="20">
        <f t="shared" ca="1" si="164"/>
        <v>200045</v>
      </c>
      <c r="E70" s="21">
        <f t="shared" ca="1" si="159"/>
        <v>0</v>
      </c>
      <c r="F70" s="22">
        <f t="shared" ca="1" si="160"/>
        <v>89820</v>
      </c>
      <c r="G70" s="19">
        <f t="shared" ca="1" si="161"/>
        <v>225</v>
      </c>
      <c r="H70" s="22">
        <f t="shared" ca="1" si="162"/>
        <v>211395</v>
      </c>
      <c r="I70" s="22">
        <f t="shared" ca="1" si="165"/>
        <v>110000</v>
      </c>
      <c r="J70" s="22">
        <f t="shared" ca="1" si="166"/>
        <v>5946.3699999999826</v>
      </c>
      <c r="K70" s="22">
        <f ca="1">SUMIFS($R$7:R$18,T$7:T$18,$A70)</f>
        <v>0</v>
      </c>
      <c r="Q70" s="1041">
        <f ca="1">MAX($T$7:$T$18)</f>
        <v>2060</v>
      </c>
      <c r="R70" s="1042">
        <v>11</v>
      </c>
      <c r="S70" s="1042">
        <f ca="1">Q70-M75</f>
        <v>36</v>
      </c>
      <c r="T70" s="1043">
        <f ca="1">ROUND((S70-R70+1)/5,0)</f>
        <v>5</v>
      </c>
      <c r="AE70" s="12"/>
      <c r="AH70" s="65"/>
    </row>
    <row r="71" spans="1:34">
      <c r="A71" s="18">
        <f t="shared" ca="1" si="158"/>
        <v>2055</v>
      </c>
      <c r="B71" s="19">
        <f t="shared" ca="1" si="156"/>
        <v>225</v>
      </c>
      <c r="C71" s="20">
        <f t="shared" ca="1" si="163"/>
        <v>90270</v>
      </c>
      <c r="D71" s="20">
        <f t="shared" ca="1" si="164"/>
        <v>200270</v>
      </c>
      <c r="E71" s="21">
        <f t="shared" ca="1" si="159"/>
        <v>0</v>
      </c>
      <c r="F71" s="22">
        <f t="shared" ca="1" si="160"/>
        <v>90045</v>
      </c>
      <c r="G71" s="19">
        <f t="shared" ca="1" si="161"/>
        <v>225</v>
      </c>
      <c r="H71" s="22">
        <f t="shared" ca="1" si="162"/>
        <v>211395</v>
      </c>
      <c r="I71" s="22">
        <f t="shared" ca="1" si="165"/>
        <v>110000</v>
      </c>
      <c r="J71" s="22">
        <f t="shared" ca="1" si="166"/>
        <v>5946.3699999999826</v>
      </c>
      <c r="K71" s="22">
        <f ca="1">SUMIFS($R$7:R$18,T$7:T$18,$A71)</f>
        <v>0</v>
      </c>
      <c r="AE71" s="12"/>
      <c r="AH71" s="65"/>
    </row>
    <row r="72" spans="1:34">
      <c r="A72" s="18">
        <f t="shared" ca="1" si="158"/>
        <v>2056</v>
      </c>
      <c r="B72" s="19">
        <f t="shared" ref="B72:B88" ca="1" si="168">SUMIF($AJ$4:$ADJ$4,$A72,$AJ$1:$ADJ$1)</f>
        <v>225</v>
      </c>
      <c r="C72" s="20">
        <f t="shared" ca="1" si="163"/>
        <v>90495</v>
      </c>
      <c r="D72" s="20">
        <f t="shared" ca="1" si="164"/>
        <v>200495</v>
      </c>
      <c r="E72" s="21">
        <f t="shared" ca="1" si="159"/>
        <v>0</v>
      </c>
      <c r="F72" s="22">
        <f t="shared" ca="1" si="160"/>
        <v>90270</v>
      </c>
      <c r="G72" s="19">
        <f t="shared" ca="1" si="161"/>
        <v>225</v>
      </c>
      <c r="H72" s="22">
        <f t="shared" ca="1" si="162"/>
        <v>211395</v>
      </c>
      <c r="I72" s="22">
        <f t="shared" ca="1" si="165"/>
        <v>110000</v>
      </c>
      <c r="J72" s="22">
        <f t="shared" ca="1" si="166"/>
        <v>5946.3699999999826</v>
      </c>
      <c r="K72" s="22">
        <f ca="1">SUMIFS($R$7:R$18,T$7:T$18,$A72)</f>
        <v>0</v>
      </c>
      <c r="AE72" s="12"/>
      <c r="AH72" s="65"/>
    </row>
    <row r="73" spans="1:34">
      <c r="A73" s="18">
        <f t="shared" ca="1" si="158"/>
        <v>2057</v>
      </c>
      <c r="B73" s="19">
        <f t="shared" ca="1" si="168"/>
        <v>225</v>
      </c>
      <c r="C73" s="20">
        <f t="shared" ca="1" si="163"/>
        <v>90720</v>
      </c>
      <c r="D73" s="20">
        <f t="shared" ca="1" si="164"/>
        <v>200720</v>
      </c>
      <c r="E73" s="21">
        <f t="shared" ca="1" si="159"/>
        <v>0</v>
      </c>
      <c r="F73" s="22">
        <f t="shared" ca="1" si="160"/>
        <v>90495</v>
      </c>
      <c r="G73" s="19">
        <f t="shared" ca="1" si="161"/>
        <v>225</v>
      </c>
      <c r="H73" s="22">
        <f t="shared" ca="1" si="162"/>
        <v>211395</v>
      </c>
      <c r="I73" s="22">
        <f t="shared" ca="1" si="165"/>
        <v>110000</v>
      </c>
      <c r="J73" s="22">
        <f t="shared" ca="1" si="166"/>
        <v>5946.3699999999826</v>
      </c>
      <c r="K73" s="22">
        <f ca="1">SUMIFS($R$7:R$18,T$7:T$18,$A73)</f>
        <v>0</v>
      </c>
      <c r="M73" s="2250"/>
      <c r="N73" s="2250"/>
      <c r="O73" s="2250"/>
      <c r="P73" s="2250"/>
      <c r="Q73" s="2250"/>
      <c r="R73" s="28"/>
      <c r="AE73" s="12"/>
      <c r="AH73" s="65"/>
    </row>
    <row r="74" spans="1:34">
      <c r="A74" s="18">
        <f t="shared" ca="1" si="158"/>
        <v>2058</v>
      </c>
      <c r="B74" s="19">
        <f t="shared" ca="1" si="168"/>
        <v>225</v>
      </c>
      <c r="C74" s="20">
        <f t="shared" ca="1" si="163"/>
        <v>90945</v>
      </c>
      <c r="D74" s="20">
        <f t="shared" ca="1" si="164"/>
        <v>200945</v>
      </c>
      <c r="E74" s="21">
        <f t="shared" ca="1" si="159"/>
        <v>0</v>
      </c>
      <c r="F74" s="22">
        <f t="shared" ca="1" si="160"/>
        <v>90720</v>
      </c>
      <c r="G74" s="19">
        <f t="shared" ca="1" si="161"/>
        <v>225</v>
      </c>
      <c r="H74" s="22">
        <f t="shared" ca="1" si="162"/>
        <v>211395</v>
      </c>
      <c r="I74" s="22">
        <f t="shared" ca="1" si="165"/>
        <v>110000</v>
      </c>
      <c r="J74" s="22">
        <f t="shared" ca="1" si="166"/>
        <v>5946.3699999999826</v>
      </c>
      <c r="K74" s="22">
        <f ca="1">SUMIFS($R$7:R$18,T$7:T$18,$A74)</f>
        <v>0</v>
      </c>
      <c r="M74" s="16" t="s">
        <v>12</v>
      </c>
      <c r="N74" s="17" t="s">
        <v>14</v>
      </c>
      <c r="O74" s="17" t="s">
        <v>15</v>
      </c>
      <c r="P74" s="17" t="s">
        <v>16</v>
      </c>
      <c r="Q74" s="17" t="s">
        <v>13</v>
      </c>
      <c r="R74" s="12" t="s">
        <v>3562</v>
      </c>
      <c r="S74" s="12" t="s">
        <v>3702</v>
      </c>
      <c r="AE74" s="12"/>
      <c r="AH74" s="65"/>
    </row>
    <row r="75" spans="1:34">
      <c r="A75" s="18">
        <f t="shared" ca="1" si="158"/>
        <v>2059</v>
      </c>
      <c r="B75" s="19">
        <f t="shared" ca="1" si="168"/>
        <v>225</v>
      </c>
      <c r="C75" s="20">
        <f t="shared" ca="1" si="163"/>
        <v>91170</v>
      </c>
      <c r="D75" s="20">
        <f t="shared" ca="1" si="164"/>
        <v>201170</v>
      </c>
      <c r="E75" s="21">
        <f t="shared" ca="1" si="159"/>
        <v>0</v>
      </c>
      <c r="F75" s="22">
        <f t="shared" ca="1" si="160"/>
        <v>90945</v>
      </c>
      <c r="G75" s="19">
        <f t="shared" ca="1" si="161"/>
        <v>225</v>
      </c>
      <c r="H75" s="22">
        <f t="shared" ca="1" si="162"/>
        <v>211395</v>
      </c>
      <c r="I75" s="22">
        <f t="shared" ca="1" si="165"/>
        <v>110000</v>
      </c>
      <c r="J75" s="22">
        <f t="shared" ca="1" si="166"/>
        <v>5946.3699999999826</v>
      </c>
      <c r="K75" s="22">
        <f ca="1">SUMIFS($R$7:R$18,T$7:T$18,$A75)</f>
        <v>0</v>
      </c>
      <c r="M75" s="9">
        <f ca="1">IF(B40=0,A41,A40)</f>
        <v>2024</v>
      </c>
      <c r="N75" s="23">
        <f ca="1">VLOOKUP($S75,$A$40:$B$118,2,FALSE)</f>
        <v>2935</v>
      </c>
      <c r="O75" s="23">
        <f ca="1">N75</f>
        <v>2935</v>
      </c>
      <c r="P75" s="23">
        <f ca="1">N75+Q75</f>
        <v>2935</v>
      </c>
      <c r="Q75" s="24">
        <f ca="1">VLOOKUP($S75,$A$40:$E$118,5,FALSE)</f>
        <v>0</v>
      </c>
      <c r="S75" s="12">
        <f ca="1">IF(B40=0,A41,A40)</f>
        <v>2024</v>
      </c>
      <c r="AE75" s="12"/>
      <c r="AH75" s="65"/>
    </row>
    <row r="76" spans="1:34">
      <c r="A76" s="18">
        <f t="shared" ca="1" si="158"/>
        <v>2060</v>
      </c>
      <c r="B76" s="19">
        <f t="shared" ca="1" si="168"/>
        <v>225</v>
      </c>
      <c r="C76" s="20">
        <f t="shared" ca="1" si="163"/>
        <v>91395</v>
      </c>
      <c r="D76" s="20">
        <f t="shared" ca="1" si="164"/>
        <v>211395</v>
      </c>
      <c r="E76" s="21">
        <f t="shared" ca="1" si="159"/>
        <v>10000</v>
      </c>
      <c r="F76" s="22">
        <f t="shared" ca="1" si="160"/>
        <v>91170</v>
      </c>
      <c r="G76" s="19">
        <f t="shared" ca="1" si="161"/>
        <v>225</v>
      </c>
      <c r="H76" s="22">
        <f t="shared" ca="1" si="162"/>
        <v>211395</v>
      </c>
      <c r="I76" s="22">
        <f t="shared" ca="1" si="165"/>
        <v>120000</v>
      </c>
      <c r="J76" s="22">
        <f t="shared" ca="1" si="166"/>
        <v>-1.7280399333685637E-11</v>
      </c>
      <c r="K76" s="22">
        <f ca="1">SUMIFS($R$7:R$18,T$7:T$18,$A76)</f>
        <v>5946.37</v>
      </c>
      <c r="L76" s="93" t="b">
        <f ca="1">IF(N76&gt;0,TRUE,FALSE)</f>
        <v>1</v>
      </c>
      <c r="M76" s="9">
        <f ca="1">M75+1</f>
        <v>2025</v>
      </c>
      <c r="N76" s="23">
        <f ca="1">VLOOKUP($S76,$A$40:$B$118,2,FALSE)</f>
        <v>5870</v>
      </c>
      <c r="O76" s="23">
        <f ca="1">IF(ISERROR(O75+N76),0,O75+N76)</f>
        <v>8805</v>
      </c>
      <c r="P76" s="23">
        <f ca="1">IF(ISERROR(N76+Q76+P75),0,N76+Q76+P75)</f>
        <v>8805</v>
      </c>
      <c r="Q76" s="24">
        <f ca="1">VLOOKUP($S76,$A$40:$E$118,5,FALSE)</f>
        <v>0</v>
      </c>
      <c r="R76" s="12">
        <f ca="1">S76-S75</f>
        <v>1</v>
      </c>
      <c r="S76" s="12">
        <f ca="1">S75+1</f>
        <v>2025</v>
      </c>
      <c r="AE76" s="12"/>
      <c r="AH76" s="65"/>
    </row>
    <row r="77" spans="1:34">
      <c r="A77" s="18">
        <f t="shared" ca="1" si="158"/>
        <v>2061</v>
      </c>
      <c r="B77" s="19">
        <f t="shared" ca="1" si="168"/>
        <v>0</v>
      </c>
      <c r="C77" s="20" t="str">
        <f t="shared" ca="1" si="163"/>
        <v/>
      </c>
      <c r="D77" s="20" t="str">
        <f t="shared" ca="1" si="164"/>
        <v/>
      </c>
      <c r="E77" s="21">
        <f t="shared" ca="1" si="159"/>
        <v>0</v>
      </c>
      <c r="F77" s="22" t="str">
        <f t="shared" ca="1" si="160"/>
        <v/>
      </c>
      <c r="G77" s="19" t="str">
        <f t="shared" ca="1" si="161"/>
        <v/>
      </c>
      <c r="H77" s="22">
        <f t="shared" ca="1" si="162"/>
        <v>211395</v>
      </c>
      <c r="I77" s="22">
        <f t="shared" ca="1" si="165"/>
        <v>120000</v>
      </c>
      <c r="J77" s="22">
        <f t="shared" ca="1" si="166"/>
        <v>-1.7280399333685637E-11</v>
      </c>
      <c r="K77" s="22">
        <f ca="1">SUMIFS($R$7:R$18,T$7:T$18,$A77)</f>
        <v>0</v>
      </c>
      <c r="M77" s="9">
        <f ca="1">M76+1</f>
        <v>2026</v>
      </c>
      <c r="N77" s="23">
        <f ca="1">VLOOKUP($S77,$A$40:$B$118,2,FALSE)</f>
        <v>5870</v>
      </c>
      <c r="O77" s="23">
        <f t="shared" ref="O77:O86" ca="1" si="169">IF(ISERROR(O76+N77),0,O76+N77)</f>
        <v>14675</v>
      </c>
      <c r="P77" s="23">
        <f t="shared" ref="P77:P86" ca="1" si="170">IF(ISERROR(N77+Q77+P76),0,N77+Q77+P76)</f>
        <v>14675</v>
      </c>
      <c r="Q77" s="24">
        <f ca="1">VLOOKUP($S77,$A$40:$E$118,5,FALSE)</f>
        <v>0</v>
      </c>
      <c r="R77" s="12">
        <f t="shared" ref="R77:R84" ca="1" si="171">S77-S76</f>
        <v>1</v>
      </c>
      <c r="S77" s="12">
        <f ca="1">S76+1</f>
        <v>2026</v>
      </c>
      <c r="AE77" s="12"/>
      <c r="AH77" s="65"/>
    </row>
    <row r="78" spans="1:34">
      <c r="A78" s="18">
        <f t="shared" ca="1" si="158"/>
        <v>2062</v>
      </c>
      <c r="B78" s="19">
        <f t="shared" ca="1" si="168"/>
        <v>0</v>
      </c>
      <c r="C78" s="20" t="str">
        <f t="shared" ca="1" si="163"/>
        <v/>
      </c>
      <c r="D78" s="20" t="str">
        <f t="shared" ca="1" si="164"/>
        <v/>
      </c>
      <c r="E78" s="21">
        <f t="shared" ca="1" si="159"/>
        <v>0</v>
      </c>
      <c r="F78" s="22" t="str">
        <f t="shared" ca="1" si="160"/>
        <v/>
      </c>
      <c r="G78" s="19" t="str">
        <f t="shared" ca="1" si="161"/>
        <v/>
      </c>
      <c r="H78" s="22">
        <f t="shared" ca="1" si="162"/>
        <v>211395</v>
      </c>
      <c r="I78" s="22">
        <f t="shared" ca="1" si="165"/>
        <v>120000</v>
      </c>
      <c r="J78" s="22">
        <f t="shared" ca="1" si="166"/>
        <v>-1.7280399333685637E-11</v>
      </c>
      <c r="K78" s="22">
        <f ca="1">SUMIFS($R$7:R$18,T$7:T$18,$A78)</f>
        <v>0</v>
      </c>
      <c r="L78" s="93" t="b">
        <f ca="1">IF(N78&gt;0,TRUE,FALSE)</f>
        <v>1</v>
      </c>
      <c r="M78" s="9">
        <f ca="1">M77+1</f>
        <v>2027</v>
      </c>
      <c r="N78" s="23">
        <f ca="1">VLOOKUP($S78,$A$40:$B$118,2,FALSE)</f>
        <v>5870</v>
      </c>
      <c r="O78" s="23">
        <f t="shared" ca="1" si="169"/>
        <v>20545</v>
      </c>
      <c r="P78" s="23">
        <f t="shared" ca="1" si="170"/>
        <v>20545</v>
      </c>
      <c r="Q78" s="24">
        <f ca="1">VLOOKUP($S78,$A$40:$E$118,5,FALSE)</f>
        <v>0</v>
      </c>
      <c r="R78" s="12">
        <f t="shared" ca="1" si="171"/>
        <v>1</v>
      </c>
      <c r="S78" s="12">
        <f ca="1">S77+1</f>
        <v>2027</v>
      </c>
      <c r="AE78" s="12"/>
      <c r="AH78" s="65"/>
    </row>
    <row r="79" spans="1:34">
      <c r="A79" s="18">
        <f t="shared" ca="1" si="158"/>
        <v>2063</v>
      </c>
      <c r="B79" s="19">
        <f t="shared" ca="1" si="168"/>
        <v>0</v>
      </c>
      <c r="C79" s="20" t="str">
        <f t="shared" ca="1" si="163"/>
        <v/>
      </c>
      <c r="D79" s="20" t="str">
        <f t="shared" ca="1" si="164"/>
        <v/>
      </c>
      <c r="E79" s="21">
        <f t="shared" ca="1" si="159"/>
        <v>0</v>
      </c>
      <c r="F79" s="22" t="str">
        <f t="shared" ca="1" si="160"/>
        <v/>
      </c>
      <c r="G79" s="19" t="str">
        <f t="shared" ca="1" si="161"/>
        <v/>
      </c>
      <c r="H79" s="22">
        <f t="shared" ca="1" si="162"/>
        <v>211395</v>
      </c>
      <c r="I79" s="22">
        <f t="shared" ca="1" si="165"/>
        <v>120000</v>
      </c>
      <c r="J79" s="22">
        <f t="shared" ca="1" si="166"/>
        <v>-1.7280399333685637E-11</v>
      </c>
      <c r="K79" s="22">
        <f ca="1">SUMIFS($R$7:R$18,T$7:T$18,$A79)</f>
        <v>0</v>
      </c>
      <c r="M79" s="9">
        <f t="shared" ref="M79:M84" ca="1" si="172">IF(R79=1,S79,CONCATENATE(S78+1,"~",S79))</f>
        <v>2028</v>
      </c>
      <c r="N79" s="146">
        <f t="shared" ref="N79:N84" ca="1" si="173">SUMIFS($B$40:$B$210,$A$40:$A$210,"&gt;"&amp;S78,$A$40:$A$210,"&lt;="&amp;S79)</f>
        <v>5870</v>
      </c>
      <c r="O79" s="23">
        <f t="shared" ca="1" si="169"/>
        <v>26415</v>
      </c>
      <c r="P79" s="23">
        <f t="shared" ca="1" si="170"/>
        <v>26415</v>
      </c>
      <c r="Q79" s="146">
        <f t="shared" ref="Q79:Q84" ca="1" si="174">SUMIFS($E$40:$E$210,$A$40:$A$210,"&gt;"&amp;S78,$A$40:$A$210,"&lt;="&amp;S79)</f>
        <v>0</v>
      </c>
      <c r="R79" s="12">
        <f t="shared" ca="1" si="171"/>
        <v>1</v>
      </c>
      <c r="S79" s="1044">
        <f ca="1">IF($T$70&gt;=6,S78+5,S78+1)</f>
        <v>2028</v>
      </c>
      <c r="AE79" s="12"/>
      <c r="AH79" s="65"/>
    </row>
    <row r="80" spans="1:34">
      <c r="A80" s="18">
        <f t="shared" ca="1" si="158"/>
        <v>2064</v>
      </c>
      <c r="B80" s="19">
        <f t="shared" ca="1" si="168"/>
        <v>0</v>
      </c>
      <c r="C80" s="20" t="str">
        <f t="shared" ca="1" si="163"/>
        <v/>
      </c>
      <c r="D80" s="20" t="str">
        <f t="shared" ca="1" si="164"/>
        <v/>
      </c>
      <c r="E80" s="21">
        <f t="shared" ca="1" si="159"/>
        <v>0</v>
      </c>
      <c r="F80" s="22" t="str">
        <f t="shared" ca="1" si="160"/>
        <v/>
      </c>
      <c r="G80" s="19" t="str">
        <f t="shared" ca="1" si="161"/>
        <v/>
      </c>
      <c r="H80" s="22">
        <f t="shared" ca="1" si="162"/>
        <v>211395</v>
      </c>
      <c r="I80" s="22">
        <f t="shared" ca="1" si="165"/>
        <v>120000</v>
      </c>
      <c r="J80" s="22">
        <f t="shared" ca="1" si="166"/>
        <v>-1.7280399333685637E-11</v>
      </c>
      <c r="K80" s="22">
        <f ca="1">SUMIFS($R$7:R$18,T$7:T$18,$A80)</f>
        <v>0</v>
      </c>
      <c r="L80" s="93" t="b">
        <f ca="1">IF(N80&gt;0,TRUE,FALSE)</f>
        <v>1</v>
      </c>
      <c r="M80" s="9" t="str">
        <f t="shared" ca="1" si="172"/>
        <v>2029~2033</v>
      </c>
      <c r="N80" s="146">
        <f t="shared" ca="1" si="173"/>
        <v>29147.5</v>
      </c>
      <c r="O80" s="23">
        <f t="shared" ca="1" si="169"/>
        <v>55562.5</v>
      </c>
      <c r="P80" s="23">
        <f t="shared" ca="1" si="170"/>
        <v>65562.5</v>
      </c>
      <c r="Q80" s="146">
        <f t="shared" ca="1" si="174"/>
        <v>10000</v>
      </c>
      <c r="R80" s="12">
        <f t="shared" ca="1" si="171"/>
        <v>5</v>
      </c>
      <c r="S80" s="1044">
        <f ca="1">IF($T$70&gt;=5,S79+5,S79+1)</f>
        <v>2033</v>
      </c>
      <c r="AE80" s="12"/>
      <c r="AH80" s="65"/>
    </row>
    <row r="81" spans="1:34">
      <c r="A81" s="18">
        <f t="shared" ca="1" si="158"/>
        <v>2065</v>
      </c>
      <c r="B81" s="19">
        <f t="shared" ca="1" si="168"/>
        <v>0</v>
      </c>
      <c r="C81" s="20" t="str">
        <f t="shared" ca="1" si="163"/>
        <v/>
      </c>
      <c r="D81" s="20" t="str">
        <f t="shared" ca="1" si="164"/>
        <v/>
      </c>
      <c r="E81" s="21">
        <f t="shared" ca="1" si="159"/>
        <v>0</v>
      </c>
      <c r="F81" s="22" t="str">
        <f t="shared" ca="1" si="160"/>
        <v/>
      </c>
      <c r="G81" s="19" t="str">
        <f t="shared" ca="1" si="161"/>
        <v/>
      </c>
      <c r="H81" s="22">
        <f t="shared" ca="1" si="162"/>
        <v>211395</v>
      </c>
      <c r="I81" s="22">
        <f t="shared" ca="1" si="165"/>
        <v>120000</v>
      </c>
      <c r="J81" s="22">
        <f t="shared" ca="1" si="166"/>
        <v>-1.7280399333685637E-11</v>
      </c>
      <c r="K81" s="22">
        <f ca="1">SUMIFS($R$7:R$18,T$7:T$18,$A81)</f>
        <v>0</v>
      </c>
      <c r="M81" s="9" t="str">
        <f t="shared" ca="1" si="172"/>
        <v>2034~2038</v>
      </c>
      <c r="N81" s="146">
        <f t="shared" ca="1" si="173"/>
        <v>21587.5</v>
      </c>
      <c r="O81" s="23">
        <f t="shared" ca="1" si="169"/>
        <v>77150</v>
      </c>
      <c r="P81" s="23">
        <f t="shared" ca="1" si="170"/>
        <v>137150</v>
      </c>
      <c r="Q81" s="146">
        <f t="shared" ca="1" si="174"/>
        <v>50000</v>
      </c>
      <c r="R81" s="12">
        <f t="shared" ca="1" si="171"/>
        <v>5</v>
      </c>
      <c r="S81" s="1044">
        <f ca="1">IF($T$70&gt;=4,S80+5,S80+1)</f>
        <v>2038</v>
      </c>
      <c r="AE81" s="12"/>
      <c r="AH81" s="65"/>
    </row>
    <row r="82" spans="1:34">
      <c r="A82" s="18">
        <f t="shared" ca="1" si="158"/>
        <v>2066</v>
      </c>
      <c r="B82" s="19">
        <f t="shared" ca="1" si="168"/>
        <v>0</v>
      </c>
      <c r="C82" s="20" t="str">
        <f t="shared" ca="1" si="163"/>
        <v/>
      </c>
      <c r="D82" s="20" t="str">
        <f t="shared" ca="1" si="164"/>
        <v/>
      </c>
      <c r="E82" s="21">
        <f t="shared" ca="1" si="159"/>
        <v>0</v>
      </c>
      <c r="F82" s="22" t="str">
        <f t="shared" ca="1" si="160"/>
        <v/>
      </c>
      <c r="G82" s="19" t="str">
        <f t="shared" ca="1" si="161"/>
        <v/>
      </c>
      <c r="H82" s="22">
        <f t="shared" ca="1" si="162"/>
        <v>211395</v>
      </c>
      <c r="I82" s="22">
        <f t="shared" ca="1" si="165"/>
        <v>120000</v>
      </c>
      <c r="J82" s="22">
        <f t="shared" ca="1" si="166"/>
        <v>-1.7280399333685637E-11</v>
      </c>
      <c r="K82" s="22">
        <f ca="1">SUMIFS($R$7:R$18,T$7:T$18,$A82)</f>
        <v>0</v>
      </c>
      <c r="L82" s="93" t="b">
        <f ca="1">IF(N82&gt;0,TRUE,FALSE)</f>
        <v>1</v>
      </c>
      <c r="M82" s="9" t="str">
        <f t="shared" ca="1" si="172"/>
        <v>2039~2043</v>
      </c>
      <c r="N82" s="146">
        <f t="shared" ca="1" si="173"/>
        <v>7326.25</v>
      </c>
      <c r="O82" s="23">
        <f t="shared" ca="1" si="169"/>
        <v>84476.25</v>
      </c>
      <c r="P82" s="23">
        <f t="shared" ca="1" si="170"/>
        <v>184476.25</v>
      </c>
      <c r="Q82" s="146">
        <f t="shared" ca="1" si="174"/>
        <v>40000</v>
      </c>
      <c r="R82" s="12">
        <f t="shared" ca="1" si="171"/>
        <v>5</v>
      </c>
      <c r="S82" s="1044">
        <f ca="1">IF($T$70&gt;=3,S81+5,S81+1)</f>
        <v>2043</v>
      </c>
      <c r="AE82" s="12"/>
      <c r="AH82" s="65"/>
    </row>
    <row r="83" spans="1:34">
      <c r="A83" s="18">
        <f t="shared" ca="1" si="158"/>
        <v>2067</v>
      </c>
      <c r="B83" s="19">
        <f t="shared" ca="1" si="168"/>
        <v>0</v>
      </c>
      <c r="C83" s="20" t="str">
        <f t="shared" ca="1" si="163"/>
        <v/>
      </c>
      <c r="D83" s="20" t="str">
        <f t="shared" ca="1" si="164"/>
        <v/>
      </c>
      <c r="E83" s="21">
        <f t="shared" ca="1" si="159"/>
        <v>0</v>
      </c>
      <c r="F83" s="22" t="str">
        <f t="shared" ca="1" si="160"/>
        <v/>
      </c>
      <c r="G83" s="19" t="str">
        <f t="shared" ca="1" si="161"/>
        <v/>
      </c>
      <c r="H83" s="22">
        <f t="shared" ca="1" si="162"/>
        <v>211395</v>
      </c>
      <c r="I83" s="22">
        <f t="shared" ca="1" si="165"/>
        <v>120000</v>
      </c>
      <c r="J83" s="22">
        <f t="shared" ca="1" si="166"/>
        <v>-1.7280399333685637E-11</v>
      </c>
      <c r="K83" s="22">
        <f ca="1">SUMIFS($R$7:R$18,T$7:T$18,$A83)</f>
        <v>0</v>
      </c>
      <c r="M83" s="9" t="str">
        <f t="shared" ca="1" si="172"/>
        <v>2044~2048</v>
      </c>
      <c r="N83" s="146">
        <f t="shared" ca="1" si="173"/>
        <v>3187.5</v>
      </c>
      <c r="O83" s="23">
        <f t="shared" ca="1" si="169"/>
        <v>87663.75</v>
      </c>
      <c r="P83" s="23">
        <f t="shared" ca="1" si="170"/>
        <v>187663.75</v>
      </c>
      <c r="Q83" s="146">
        <f t="shared" ca="1" si="174"/>
        <v>0</v>
      </c>
      <c r="R83" s="12">
        <f t="shared" ca="1" si="171"/>
        <v>5</v>
      </c>
      <c r="S83" s="1044">
        <f ca="1">IF($T$70&gt;=2,S82+5,S82+1)</f>
        <v>2048</v>
      </c>
      <c r="AE83" s="12"/>
      <c r="AH83" s="65"/>
    </row>
    <row r="84" spans="1:34">
      <c r="A84" s="18">
        <f t="shared" ca="1" si="158"/>
        <v>2068</v>
      </c>
      <c r="B84" s="19">
        <f t="shared" ca="1" si="168"/>
        <v>0</v>
      </c>
      <c r="C84" s="20" t="str">
        <f t="shared" ca="1" si="163"/>
        <v/>
      </c>
      <c r="D84" s="20" t="str">
        <f t="shared" ca="1" si="164"/>
        <v/>
      </c>
      <c r="E84" s="21">
        <f t="shared" ca="1" si="159"/>
        <v>0</v>
      </c>
      <c r="F84" s="22" t="str">
        <f t="shared" ca="1" si="160"/>
        <v/>
      </c>
      <c r="G84" s="19" t="str">
        <f t="shared" ca="1" si="161"/>
        <v/>
      </c>
      <c r="H84" s="22">
        <f t="shared" ca="1" si="162"/>
        <v>211395</v>
      </c>
      <c r="I84" s="22">
        <f t="shared" ca="1" si="165"/>
        <v>120000</v>
      </c>
      <c r="J84" s="22">
        <f t="shared" ca="1" si="166"/>
        <v>-1.7280399333685637E-11</v>
      </c>
      <c r="K84" s="22">
        <f ca="1">SUMIFS($R$7:R$18,T$7:T$18,$A84)</f>
        <v>0</v>
      </c>
      <c r="L84" s="93" t="b">
        <f ca="1">IF(N84&gt;0,TRUE,FALSE)</f>
        <v>1</v>
      </c>
      <c r="M84" s="9" t="str">
        <f t="shared" ca="1" si="172"/>
        <v>2049~2053</v>
      </c>
      <c r="N84" s="146">
        <f t="shared" ca="1" si="173"/>
        <v>2156.25</v>
      </c>
      <c r="O84" s="23">
        <f t="shared" ca="1" si="169"/>
        <v>89820</v>
      </c>
      <c r="P84" s="23">
        <f t="shared" ca="1" si="170"/>
        <v>199820</v>
      </c>
      <c r="Q84" s="146">
        <f t="shared" ca="1" si="174"/>
        <v>10000</v>
      </c>
      <c r="R84" s="12">
        <f t="shared" ca="1" si="171"/>
        <v>5</v>
      </c>
      <c r="S84" s="1044">
        <f ca="1">IF($T$70&gt;=1,S83+5,S83+1)</f>
        <v>2053</v>
      </c>
      <c r="AE84" s="12"/>
      <c r="AH84" s="65"/>
    </row>
    <row r="85" spans="1:34">
      <c r="A85" s="18">
        <f t="shared" ca="1" si="158"/>
        <v>2069</v>
      </c>
      <c r="B85" s="19">
        <f t="shared" ca="1" si="168"/>
        <v>0</v>
      </c>
      <c r="C85" s="20" t="str">
        <f t="shared" ca="1" si="163"/>
        <v/>
      </c>
      <c r="D85" s="20" t="str">
        <f t="shared" ca="1" si="164"/>
        <v/>
      </c>
      <c r="E85" s="21">
        <f t="shared" ca="1" si="159"/>
        <v>0</v>
      </c>
      <c r="F85" s="22" t="str">
        <f t="shared" ca="1" si="160"/>
        <v/>
      </c>
      <c r="G85" s="19" t="str">
        <f t="shared" ca="1" si="161"/>
        <v/>
      </c>
      <c r="H85" s="22">
        <f t="shared" ca="1" si="162"/>
        <v>211395</v>
      </c>
      <c r="I85" s="22">
        <f t="shared" ca="1" si="165"/>
        <v>120000</v>
      </c>
      <c r="J85" s="22">
        <f t="shared" ca="1" si="166"/>
        <v>-1.7280399333685637E-11</v>
      </c>
      <c r="K85" s="22">
        <f ca="1">SUMIFS($R$7:R$18,T$7:T$18,$A85)</f>
        <v>0</v>
      </c>
      <c r="M85" s="9" t="str">
        <f ca="1">IF(R85&lt;=0,"",IF(R85=1,S85,IF(R85&lt;6,CONCATENATE(S84+1,"~",S85),CONCATENATE(S84+1,"~",Q70))))</f>
        <v>2054~2060</v>
      </c>
      <c r="N85" s="46">
        <f ca="1">IF(R85=1,VLOOKUP(S85,$A$40:$B$118,2,FALSE),IF(R85&lt;6,SUMIFS($B$40:$B$210,$A$40:$A$210,"&gt;"&amp;S84,$A$40:$A$210,"&lt;="&amp;S85),SUMIFS($B$40:$B$210,$A$40:$A$210,"&gt;"&amp;S84)))</f>
        <v>1575</v>
      </c>
      <c r="O85" s="23">
        <f t="shared" ca="1" si="169"/>
        <v>91395</v>
      </c>
      <c r="P85" s="23">
        <f t="shared" ca="1" si="170"/>
        <v>211395</v>
      </c>
      <c r="Q85" s="146">
        <f ca="1">IF(R85=1,VLOOKUP($S85,$A$40:$E$118,5,FALSE),IF(R85&lt;6,SUMIFS($E$40:$E$210,$A$40:$A$210,"&gt;"&amp;S84,$A$40:$A$210,"&lt;="&amp;S85),SUMIFS($E$40:$E$210,$A$40:$A$210,"&gt;"&amp;S84)))</f>
        <v>10000</v>
      </c>
      <c r="R85" s="12">
        <f ca="1">Q70-S84</f>
        <v>7</v>
      </c>
      <c r="S85" s="1044">
        <f ca="1">IF(R85&lt;0,"",IF(R85&lt;=5,S84+R85,S84+1))</f>
        <v>2054</v>
      </c>
      <c r="AE85" s="12"/>
      <c r="AH85" s="65"/>
    </row>
    <row r="86" spans="1:34">
      <c r="A86" s="18">
        <f t="shared" ca="1" si="158"/>
        <v>2070</v>
      </c>
      <c r="B86" s="19">
        <f t="shared" ca="1" si="168"/>
        <v>0</v>
      </c>
      <c r="C86" s="20" t="str">
        <f t="shared" ca="1" si="163"/>
        <v/>
      </c>
      <c r="D86" s="20" t="str">
        <f t="shared" ca="1" si="164"/>
        <v/>
      </c>
      <c r="E86" s="21">
        <f t="shared" ca="1" si="159"/>
        <v>0</v>
      </c>
      <c r="F86" s="22" t="str">
        <f t="shared" ca="1" si="160"/>
        <v/>
      </c>
      <c r="G86" s="19" t="str">
        <f t="shared" ca="1" si="161"/>
        <v/>
      </c>
      <c r="H86" s="22">
        <f t="shared" ca="1" si="162"/>
        <v>211395</v>
      </c>
      <c r="I86" s="22">
        <f t="shared" ca="1" si="165"/>
        <v>120000</v>
      </c>
      <c r="J86" s="22">
        <f t="shared" ca="1" si="166"/>
        <v>-1.7280399333685637E-11</v>
      </c>
      <c r="K86" s="22">
        <f ca="1">SUMIFS($R$7:R$18,T$7:T$18,$A86)</f>
        <v>0</v>
      </c>
      <c r="N86" s="47" t="s">
        <v>161</v>
      </c>
      <c r="O86" s="23">
        <f t="shared" ca="1" si="169"/>
        <v>0</v>
      </c>
      <c r="P86" s="23">
        <f t="shared" ca="1" si="170"/>
        <v>0</v>
      </c>
      <c r="Q86" s="47" t="s">
        <v>161</v>
      </c>
      <c r="AE86" s="12"/>
      <c r="AH86" s="65"/>
    </row>
    <row r="87" spans="1:34">
      <c r="A87" s="18">
        <f t="shared" ca="1" si="158"/>
        <v>2071</v>
      </c>
      <c r="B87" s="19">
        <f t="shared" ca="1" si="168"/>
        <v>0</v>
      </c>
      <c r="C87" s="20" t="str">
        <f t="shared" ca="1" si="163"/>
        <v/>
      </c>
      <c r="D87" s="20" t="str">
        <f t="shared" ca="1" si="164"/>
        <v/>
      </c>
      <c r="E87" s="21">
        <f t="shared" ca="1" si="159"/>
        <v>0</v>
      </c>
      <c r="F87" s="22" t="str">
        <f t="shared" ca="1" si="160"/>
        <v/>
      </c>
      <c r="G87" s="19" t="str">
        <f t="shared" ca="1" si="161"/>
        <v/>
      </c>
      <c r="H87" s="22">
        <f t="shared" ca="1" si="162"/>
        <v>211395</v>
      </c>
      <c r="I87" s="22">
        <f t="shared" ca="1" si="165"/>
        <v>120000</v>
      </c>
      <c r="J87" s="22">
        <f t="shared" ca="1" si="166"/>
        <v>-1.7280399333685637E-11</v>
      </c>
      <c r="K87" s="22">
        <f ca="1">SUMIFS($R$7:R$18,T$7:T$18,$A87)</f>
        <v>0</v>
      </c>
      <c r="AE87" s="12"/>
      <c r="AH87" s="65"/>
    </row>
    <row r="88" spans="1:34">
      <c r="A88" s="18">
        <f t="shared" ca="1" si="158"/>
        <v>2072</v>
      </c>
      <c r="B88" s="19">
        <f t="shared" ca="1" si="168"/>
        <v>0</v>
      </c>
      <c r="C88" s="20" t="str">
        <f t="shared" ca="1" si="163"/>
        <v/>
      </c>
      <c r="D88" s="20" t="str">
        <f t="shared" ca="1" si="164"/>
        <v/>
      </c>
      <c r="E88" s="21">
        <f t="shared" ca="1" si="159"/>
        <v>0</v>
      </c>
      <c r="F88" s="22" t="str">
        <f t="shared" ca="1" si="160"/>
        <v/>
      </c>
      <c r="G88" s="19" t="str">
        <f t="shared" ca="1" si="161"/>
        <v/>
      </c>
      <c r="H88" s="22">
        <f t="shared" ca="1" si="162"/>
        <v>211395</v>
      </c>
      <c r="I88" s="22">
        <f t="shared" ca="1" si="165"/>
        <v>120000</v>
      </c>
      <c r="J88" s="22">
        <f t="shared" ca="1" si="166"/>
        <v>-1.7280399333685637E-11</v>
      </c>
      <c r="K88" s="22">
        <f ca="1">SUMIFS($R$7:R$18,T$7:T$18,$A88)</f>
        <v>0</v>
      </c>
      <c r="AE88" s="12"/>
      <c r="AH88" s="65"/>
    </row>
    <row r="89" spans="1:34">
      <c r="A89" s="18">
        <f t="shared" ca="1" si="158"/>
        <v>2073</v>
      </c>
      <c r="B89" s="19">
        <f t="shared" ref="B89:B118" ca="1" si="175">SUMIF($AJ$4:$AKS$4,$A89,$AJ$1:$AKS$1)</f>
        <v>0</v>
      </c>
      <c r="C89" s="20" t="str">
        <f t="shared" ca="1" si="163"/>
        <v/>
      </c>
      <c r="D89" s="20" t="str">
        <f t="shared" ca="1" si="164"/>
        <v/>
      </c>
      <c r="E89" s="21">
        <f t="shared" ca="1" si="159"/>
        <v>0</v>
      </c>
      <c r="F89" s="22" t="str">
        <f t="shared" ca="1" si="160"/>
        <v/>
      </c>
      <c r="G89" s="19" t="str">
        <f t="shared" ca="1" si="161"/>
        <v/>
      </c>
      <c r="H89" s="22">
        <f t="shared" ca="1" si="162"/>
        <v>211395</v>
      </c>
      <c r="I89" s="22">
        <f t="shared" ca="1" si="165"/>
        <v>120000</v>
      </c>
      <c r="J89" s="22">
        <f t="shared" ca="1" si="166"/>
        <v>-1.7280399333685637E-11</v>
      </c>
      <c r="K89" s="22">
        <f ca="1">SUMIFS($R$7:R$18,T$7:T$18,$A89)</f>
        <v>0</v>
      </c>
      <c r="AE89" s="12"/>
      <c r="AH89" s="65"/>
    </row>
    <row r="90" spans="1:34">
      <c r="A90" s="18">
        <f t="shared" ca="1" si="158"/>
        <v>2074</v>
      </c>
      <c r="B90" s="19">
        <f t="shared" ca="1" si="175"/>
        <v>0</v>
      </c>
      <c r="C90" s="20" t="str">
        <f t="shared" ca="1" si="163"/>
        <v/>
      </c>
      <c r="D90" s="20" t="str">
        <f t="shared" ca="1" si="164"/>
        <v/>
      </c>
      <c r="E90" s="21">
        <f t="shared" ca="1" si="159"/>
        <v>0</v>
      </c>
      <c r="F90" s="22" t="str">
        <f t="shared" ca="1" si="160"/>
        <v/>
      </c>
      <c r="G90" s="19" t="str">
        <f t="shared" ca="1" si="161"/>
        <v/>
      </c>
      <c r="H90" s="22">
        <f t="shared" ca="1" si="162"/>
        <v>211395</v>
      </c>
      <c r="I90" s="22">
        <f t="shared" ca="1" si="165"/>
        <v>120000</v>
      </c>
      <c r="J90" s="22">
        <f t="shared" ca="1" si="166"/>
        <v>-1.7280399333685637E-11</v>
      </c>
      <c r="K90" s="22">
        <f ca="1">SUMIFS($R$7:R$18,T$7:T$18,$A90)</f>
        <v>0</v>
      </c>
      <c r="AE90" s="12"/>
      <c r="AH90" s="65"/>
    </row>
    <row r="91" spans="1:34">
      <c r="A91" s="18">
        <f t="shared" ca="1" si="158"/>
        <v>2075</v>
      </c>
      <c r="B91" s="19">
        <f t="shared" ca="1" si="175"/>
        <v>0</v>
      </c>
      <c r="C91" s="20" t="str">
        <f t="shared" ca="1" si="163"/>
        <v/>
      </c>
      <c r="D91" s="20" t="str">
        <f t="shared" ca="1" si="164"/>
        <v/>
      </c>
      <c r="E91" s="21">
        <f t="shared" ca="1" si="159"/>
        <v>0</v>
      </c>
      <c r="F91" s="22" t="str">
        <f t="shared" ca="1" si="160"/>
        <v/>
      </c>
      <c r="G91" s="19" t="str">
        <f t="shared" ca="1" si="161"/>
        <v/>
      </c>
      <c r="H91" s="22">
        <f t="shared" ca="1" si="162"/>
        <v>211395</v>
      </c>
      <c r="I91" s="22">
        <f t="shared" ca="1" si="165"/>
        <v>120000</v>
      </c>
      <c r="J91" s="22">
        <f t="shared" ca="1" si="166"/>
        <v>-1.7280399333685637E-11</v>
      </c>
      <c r="K91" s="22">
        <f ca="1">SUMIFS($R$7:R$18,T$7:T$18,$A91)</f>
        <v>0</v>
      </c>
      <c r="AE91" s="12"/>
      <c r="AH91" s="65"/>
    </row>
    <row r="92" spans="1:34">
      <c r="A92" s="18">
        <f t="shared" ca="1" si="158"/>
        <v>2076</v>
      </c>
      <c r="B92" s="19">
        <f t="shared" ca="1" si="175"/>
        <v>0</v>
      </c>
      <c r="C92" s="20" t="str">
        <f t="shared" ca="1" si="163"/>
        <v/>
      </c>
      <c r="D92" s="20" t="str">
        <f t="shared" ca="1" si="164"/>
        <v/>
      </c>
      <c r="E92" s="21">
        <f t="shared" ca="1" si="159"/>
        <v>0</v>
      </c>
      <c r="F92" s="22" t="str">
        <f t="shared" ca="1" si="160"/>
        <v/>
      </c>
      <c r="G92" s="19" t="str">
        <f t="shared" ca="1" si="161"/>
        <v/>
      </c>
      <c r="H92" s="22">
        <f t="shared" ca="1" si="162"/>
        <v>211395</v>
      </c>
      <c r="I92" s="22">
        <f t="shared" ca="1" si="165"/>
        <v>120000</v>
      </c>
      <c r="J92" s="22">
        <f t="shared" ca="1" si="166"/>
        <v>-1.7280399333685637E-11</v>
      </c>
      <c r="K92" s="22">
        <f ca="1">SUMIFS($R$7:R$18,T$7:T$18,$A92)</f>
        <v>0</v>
      </c>
      <c r="AE92" s="12"/>
      <c r="AH92" s="65"/>
    </row>
    <row r="93" spans="1:34">
      <c r="A93" s="18">
        <f t="shared" ca="1" si="158"/>
        <v>2077</v>
      </c>
      <c r="B93" s="19">
        <f t="shared" ca="1" si="175"/>
        <v>0</v>
      </c>
      <c r="C93" s="20" t="str">
        <f t="shared" ca="1" si="163"/>
        <v/>
      </c>
      <c r="D93" s="20" t="str">
        <f t="shared" ca="1" si="164"/>
        <v/>
      </c>
      <c r="E93" s="21">
        <f t="shared" ca="1" si="159"/>
        <v>0</v>
      </c>
      <c r="F93" s="22" t="str">
        <f t="shared" ca="1" si="160"/>
        <v/>
      </c>
      <c r="G93" s="19" t="str">
        <f t="shared" ca="1" si="161"/>
        <v/>
      </c>
      <c r="H93" s="22">
        <f t="shared" ca="1" si="162"/>
        <v>211395</v>
      </c>
      <c r="I93" s="22">
        <f t="shared" ca="1" si="165"/>
        <v>120000</v>
      </c>
      <c r="J93" s="22">
        <f t="shared" ca="1" si="166"/>
        <v>-1.7280399333685637E-11</v>
      </c>
      <c r="K93" s="22">
        <f ca="1">SUMIFS($R$7:R$18,T$7:T$18,$A93)</f>
        <v>0</v>
      </c>
      <c r="AE93" s="12"/>
      <c r="AH93" s="65"/>
    </row>
    <row r="94" spans="1:34">
      <c r="A94" s="18">
        <f t="shared" ca="1" si="158"/>
        <v>2078</v>
      </c>
      <c r="B94" s="19">
        <f t="shared" ca="1" si="175"/>
        <v>0</v>
      </c>
      <c r="C94" s="20" t="str">
        <f t="shared" ca="1" si="163"/>
        <v/>
      </c>
      <c r="D94" s="20" t="str">
        <f t="shared" ca="1" si="164"/>
        <v/>
      </c>
      <c r="E94" s="21">
        <f t="shared" ca="1" si="159"/>
        <v>0</v>
      </c>
      <c r="F94" s="22" t="str">
        <f t="shared" ca="1" si="160"/>
        <v/>
      </c>
      <c r="G94" s="19" t="str">
        <f t="shared" ca="1" si="161"/>
        <v/>
      </c>
      <c r="H94" s="22">
        <f t="shared" ca="1" si="162"/>
        <v>211395</v>
      </c>
      <c r="I94" s="22">
        <f t="shared" ca="1" si="165"/>
        <v>120000</v>
      </c>
      <c r="J94" s="22">
        <f t="shared" ca="1" si="166"/>
        <v>-1.7280399333685637E-11</v>
      </c>
      <c r="K94" s="22">
        <f ca="1">SUMIFS($R$7:R$18,T$7:T$18,$A94)</f>
        <v>0</v>
      </c>
      <c r="AE94" s="12"/>
      <c r="AH94" s="65"/>
    </row>
    <row r="95" spans="1:34">
      <c r="A95" s="18">
        <f t="shared" ca="1" si="158"/>
        <v>2079</v>
      </c>
      <c r="B95" s="19">
        <f t="shared" ca="1" si="175"/>
        <v>0</v>
      </c>
      <c r="C95" s="20" t="str">
        <f t="shared" ca="1" si="163"/>
        <v/>
      </c>
      <c r="D95" s="20" t="str">
        <f t="shared" ca="1" si="164"/>
        <v/>
      </c>
      <c r="E95" s="21">
        <f t="shared" ca="1" si="159"/>
        <v>0</v>
      </c>
      <c r="F95" s="22" t="str">
        <f t="shared" ca="1" si="160"/>
        <v/>
      </c>
      <c r="G95" s="19" t="str">
        <f t="shared" ca="1" si="161"/>
        <v/>
      </c>
      <c r="H95" s="22">
        <f t="shared" ca="1" si="162"/>
        <v>211395</v>
      </c>
      <c r="I95" s="22">
        <f t="shared" ca="1" si="165"/>
        <v>120000</v>
      </c>
      <c r="J95" s="22">
        <f t="shared" ca="1" si="166"/>
        <v>-1.7280399333685637E-11</v>
      </c>
      <c r="K95" s="22">
        <f ca="1">SUMIFS($R$7:R$18,T$7:T$18,$A95)</f>
        <v>0</v>
      </c>
      <c r="AE95" s="12"/>
      <c r="AH95" s="65"/>
    </row>
    <row r="96" spans="1:34">
      <c r="A96" s="18">
        <f t="shared" ca="1" si="158"/>
        <v>2080</v>
      </c>
      <c r="B96" s="19">
        <f t="shared" ca="1" si="175"/>
        <v>0</v>
      </c>
      <c r="C96" s="20" t="str">
        <f t="shared" ca="1" si="163"/>
        <v/>
      </c>
      <c r="D96" s="20" t="str">
        <f t="shared" ca="1" si="164"/>
        <v/>
      </c>
      <c r="E96" s="21">
        <f t="shared" ca="1" si="159"/>
        <v>0</v>
      </c>
      <c r="F96" s="22" t="str">
        <f t="shared" ca="1" si="160"/>
        <v/>
      </c>
      <c r="G96" s="19" t="str">
        <f t="shared" ca="1" si="161"/>
        <v/>
      </c>
      <c r="H96" s="22">
        <f t="shared" ca="1" si="162"/>
        <v>211395</v>
      </c>
      <c r="I96" s="22">
        <f t="shared" ca="1" si="165"/>
        <v>120000</v>
      </c>
      <c r="J96" s="22">
        <f t="shared" ca="1" si="166"/>
        <v>-1.7280399333685637E-11</v>
      </c>
      <c r="K96" s="22">
        <f ca="1">SUMIFS($R$7:R$18,T$7:T$18,$A96)</f>
        <v>0</v>
      </c>
      <c r="AE96" s="12"/>
      <c r="AH96" s="65"/>
    </row>
    <row r="97" spans="1:34">
      <c r="A97" s="18">
        <f t="shared" ca="1" si="158"/>
        <v>2081</v>
      </c>
      <c r="B97" s="19">
        <f t="shared" ca="1" si="175"/>
        <v>0</v>
      </c>
      <c r="C97" s="20" t="str">
        <f t="shared" ca="1" si="163"/>
        <v/>
      </c>
      <c r="D97" s="20" t="str">
        <f t="shared" ca="1" si="164"/>
        <v/>
      </c>
      <c r="E97" s="21">
        <f t="shared" ca="1" si="159"/>
        <v>0</v>
      </c>
      <c r="F97" s="22" t="str">
        <f t="shared" ca="1" si="160"/>
        <v/>
      </c>
      <c r="G97" s="19" t="str">
        <f t="shared" ca="1" si="161"/>
        <v/>
      </c>
      <c r="H97" s="22">
        <f t="shared" ca="1" si="162"/>
        <v>211395</v>
      </c>
      <c r="I97" s="22">
        <f t="shared" ca="1" si="165"/>
        <v>120000</v>
      </c>
      <c r="J97" s="22">
        <f t="shared" ca="1" si="166"/>
        <v>-1.7280399333685637E-11</v>
      </c>
      <c r="K97" s="22">
        <f ca="1">SUMIFS($R$7:R$18,T$7:T$18,$A97)</f>
        <v>0</v>
      </c>
      <c r="AE97" s="12"/>
      <c r="AH97" s="65"/>
    </row>
    <row r="98" spans="1:34">
      <c r="A98" s="18">
        <f t="shared" ca="1" si="158"/>
        <v>2082</v>
      </c>
      <c r="B98" s="19">
        <f t="shared" ca="1" si="175"/>
        <v>0</v>
      </c>
      <c r="C98" s="20" t="str">
        <f t="shared" ca="1" si="163"/>
        <v/>
      </c>
      <c r="D98" s="20" t="str">
        <f t="shared" ca="1" si="164"/>
        <v/>
      </c>
      <c r="E98" s="21">
        <f t="shared" ca="1" si="159"/>
        <v>0</v>
      </c>
      <c r="F98" s="22" t="str">
        <f t="shared" ca="1" si="160"/>
        <v/>
      </c>
      <c r="G98" s="19" t="str">
        <f t="shared" ca="1" si="161"/>
        <v/>
      </c>
      <c r="H98" s="22">
        <f t="shared" ca="1" si="162"/>
        <v>211395</v>
      </c>
      <c r="I98" s="22">
        <f t="shared" ca="1" si="165"/>
        <v>120000</v>
      </c>
      <c r="J98" s="22">
        <f t="shared" ca="1" si="166"/>
        <v>-1.7280399333685637E-11</v>
      </c>
      <c r="K98" s="22">
        <f ca="1">SUMIFS($R$7:R$18,T$7:T$18,$A98)</f>
        <v>0</v>
      </c>
      <c r="AE98" s="12"/>
      <c r="AH98" s="65"/>
    </row>
    <row r="99" spans="1:34">
      <c r="A99" s="18">
        <f t="shared" ca="1" si="158"/>
        <v>2083</v>
      </c>
      <c r="B99" s="19">
        <f t="shared" ca="1" si="175"/>
        <v>0</v>
      </c>
      <c r="C99" s="20" t="str">
        <f t="shared" ca="1" si="163"/>
        <v/>
      </c>
      <c r="D99" s="20" t="str">
        <f t="shared" ca="1" si="164"/>
        <v/>
      </c>
      <c r="E99" s="21">
        <f t="shared" ca="1" si="159"/>
        <v>0</v>
      </c>
      <c r="F99" s="22" t="str">
        <f t="shared" ca="1" si="160"/>
        <v/>
      </c>
      <c r="G99" s="19" t="str">
        <f t="shared" ca="1" si="161"/>
        <v/>
      </c>
      <c r="H99" s="22">
        <f t="shared" ca="1" si="162"/>
        <v>211395</v>
      </c>
      <c r="I99" s="22">
        <f t="shared" ca="1" si="165"/>
        <v>120000</v>
      </c>
      <c r="J99" s="22">
        <f t="shared" ca="1" si="166"/>
        <v>-1.7280399333685637E-11</v>
      </c>
      <c r="K99" s="22">
        <f ca="1">SUMIFS($R$7:R$18,T$7:T$18,$A99)</f>
        <v>0</v>
      </c>
      <c r="AE99" s="12"/>
      <c r="AH99" s="65"/>
    </row>
    <row r="100" spans="1:34">
      <c r="A100" s="18">
        <f t="shared" ca="1" si="158"/>
        <v>2084</v>
      </c>
      <c r="B100" s="19">
        <f t="shared" ca="1" si="175"/>
        <v>0</v>
      </c>
      <c r="C100" s="20" t="str">
        <f t="shared" ca="1" si="163"/>
        <v/>
      </c>
      <c r="D100" s="20" t="str">
        <f t="shared" ca="1" si="164"/>
        <v/>
      </c>
      <c r="E100" s="21">
        <f t="shared" ca="1" si="159"/>
        <v>0</v>
      </c>
      <c r="F100" s="22" t="str">
        <f t="shared" ca="1" si="160"/>
        <v/>
      </c>
      <c r="G100" s="19" t="str">
        <f t="shared" ca="1" si="161"/>
        <v/>
      </c>
      <c r="H100" s="22">
        <f t="shared" ca="1" si="162"/>
        <v>211395</v>
      </c>
      <c r="I100" s="22">
        <f t="shared" ca="1" si="165"/>
        <v>120000</v>
      </c>
      <c r="J100" s="22">
        <f t="shared" ca="1" si="166"/>
        <v>-1.7280399333685637E-11</v>
      </c>
      <c r="K100" s="22">
        <f ca="1">SUMIFS($R$7:R$18,T$7:T$18,$A100)</f>
        <v>0</v>
      </c>
      <c r="AE100" s="12"/>
      <c r="AH100" s="65"/>
    </row>
    <row r="101" spans="1:34">
      <c r="A101" s="18">
        <f t="shared" ca="1" si="158"/>
        <v>2085</v>
      </c>
      <c r="B101" s="19">
        <f t="shared" ca="1" si="175"/>
        <v>0</v>
      </c>
      <c r="C101" s="20" t="str">
        <f t="shared" ca="1" si="163"/>
        <v/>
      </c>
      <c r="D101" s="20" t="str">
        <f t="shared" ca="1" si="164"/>
        <v/>
      </c>
      <c r="E101" s="21">
        <f t="shared" ca="1" si="159"/>
        <v>0</v>
      </c>
      <c r="F101" s="22" t="str">
        <f t="shared" ca="1" si="160"/>
        <v/>
      </c>
      <c r="G101" s="19" t="str">
        <f t="shared" ca="1" si="161"/>
        <v/>
      </c>
      <c r="H101" s="22">
        <f t="shared" ca="1" si="162"/>
        <v>211395</v>
      </c>
      <c r="I101" s="22">
        <f t="shared" ca="1" si="165"/>
        <v>120000</v>
      </c>
      <c r="J101" s="22">
        <f t="shared" ca="1" si="166"/>
        <v>-1.7280399333685637E-11</v>
      </c>
      <c r="K101" s="22">
        <f ca="1">SUMIFS($R$7:R$18,T$7:T$18,$A101)</f>
        <v>0</v>
      </c>
      <c r="AE101" s="12"/>
      <c r="AH101" s="65"/>
    </row>
    <row r="102" spans="1:34">
      <c r="A102" s="18">
        <f t="shared" ca="1" si="158"/>
        <v>2086</v>
      </c>
      <c r="B102" s="19">
        <f t="shared" ca="1" si="175"/>
        <v>0</v>
      </c>
      <c r="C102" s="20" t="str">
        <f t="shared" ca="1" si="163"/>
        <v/>
      </c>
      <c r="D102" s="20" t="str">
        <f t="shared" ca="1" si="164"/>
        <v/>
      </c>
      <c r="E102" s="21">
        <f t="shared" ca="1" si="159"/>
        <v>0</v>
      </c>
      <c r="F102" s="22" t="str">
        <f t="shared" ca="1" si="160"/>
        <v/>
      </c>
      <c r="G102" s="19" t="str">
        <f t="shared" ca="1" si="161"/>
        <v/>
      </c>
      <c r="H102" s="22">
        <f t="shared" ca="1" si="162"/>
        <v>211395</v>
      </c>
      <c r="I102" s="22">
        <f t="shared" ca="1" si="165"/>
        <v>120000</v>
      </c>
      <c r="J102" s="22">
        <f t="shared" ca="1" si="166"/>
        <v>-1.7280399333685637E-11</v>
      </c>
      <c r="K102" s="22">
        <f ca="1">SUMIFS($R$7:R$18,T$7:T$18,$A102)</f>
        <v>0</v>
      </c>
      <c r="AE102" s="12"/>
      <c r="AH102" s="65"/>
    </row>
    <row r="103" spans="1:34">
      <c r="A103" s="18">
        <f t="shared" ca="1" si="158"/>
        <v>2087</v>
      </c>
      <c r="B103" s="19">
        <f t="shared" ca="1" si="175"/>
        <v>0</v>
      </c>
      <c r="C103" s="20" t="str">
        <f t="shared" ca="1" si="163"/>
        <v/>
      </c>
      <c r="D103" s="20" t="str">
        <f t="shared" ca="1" si="164"/>
        <v/>
      </c>
      <c r="E103" s="21">
        <f t="shared" ca="1" si="159"/>
        <v>0</v>
      </c>
      <c r="F103" s="22" t="str">
        <f t="shared" ca="1" si="160"/>
        <v/>
      </c>
      <c r="G103" s="19" t="str">
        <f t="shared" ca="1" si="161"/>
        <v/>
      </c>
      <c r="H103" s="22">
        <f t="shared" ca="1" si="162"/>
        <v>211395</v>
      </c>
      <c r="I103" s="22">
        <f t="shared" ca="1" si="165"/>
        <v>120000</v>
      </c>
      <c r="J103" s="22">
        <f t="shared" ca="1" si="166"/>
        <v>-1.7280399333685637E-11</v>
      </c>
      <c r="K103" s="22">
        <f ca="1">SUMIFS($R$7:R$18,T$7:T$18,$A103)</f>
        <v>0</v>
      </c>
      <c r="AE103" s="12"/>
      <c r="AH103" s="65"/>
    </row>
    <row r="104" spans="1:34">
      <c r="A104" s="18">
        <f t="shared" ca="1" si="158"/>
        <v>2088</v>
      </c>
      <c r="B104" s="19">
        <f t="shared" ca="1" si="175"/>
        <v>0</v>
      </c>
      <c r="C104" s="20" t="str">
        <f t="shared" ca="1" si="163"/>
        <v/>
      </c>
      <c r="D104" s="20" t="str">
        <f t="shared" ca="1" si="164"/>
        <v/>
      </c>
      <c r="E104" s="21">
        <f t="shared" ca="1" si="159"/>
        <v>0</v>
      </c>
      <c r="F104" s="22" t="str">
        <f t="shared" ca="1" si="160"/>
        <v/>
      </c>
      <c r="G104" s="19" t="str">
        <f t="shared" ca="1" si="161"/>
        <v/>
      </c>
      <c r="H104" s="22">
        <f t="shared" ca="1" si="162"/>
        <v>211395</v>
      </c>
      <c r="I104" s="22">
        <f t="shared" ca="1" si="165"/>
        <v>120000</v>
      </c>
      <c r="J104" s="22">
        <f t="shared" ca="1" si="166"/>
        <v>-1.7280399333685637E-11</v>
      </c>
      <c r="K104" s="22">
        <f ca="1">SUMIFS($R$7:R$18,T$7:T$18,$A104)</f>
        <v>0</v>
      </c>
      <c r="AE104" s="12"/>
      <c r="AH104" s="65"/>
    </row>
    <row r="105" spans="1:34">
      <c r="A105" s="18">
        <f t="shared" ref="A105:A118" ca="1" si="176">A104+1</f>
        <v>2089</v>
      </c>
      <c r="B105" s="19">
        <f t="shared" ca="1" si="175"/>
        <v>0</v>
      </c>
      <c r="C105" s="20" t="str">
        <f t="shared" ca="1" si="163"/>
        <v/>
      </c>
      <c r="D105" s="20" t="str">
        <f t="shared" ca="1" si="164"/>
        <v/>
      </c>
      <c r="E105" s="21">
        <f t="shared" ref="E105:E118" ca="1" si="177">SUMIFS($N$7:$N$18,$L$7:$L$18,"TRUE",$T$7:$T$18,$A105)</f>
        <v>0</v>
      </c>
      <c r="F105" s="22" t="str">
        <f t="shared" ref="F105:F118" ca="1" si="178">IF(B105=0,"",C105-B105)</f>
        <v/>
      </c>
      <c r="G105" s="19" t="str">
        <f t="shared" ref="G105:G118" ca="1" si="179">IF(B105=0,"",B105)</f>
        <v/>
      </c>
      <c r="H105" s="22">
        <f t="shared" ref="H105:H118" ca="1" si="180">MAX($D$40:$D$118)</f>
        <v>211395</v>
      </c>
      <c r="I105" s="22">
        <f t="shared" ca="1" si="165"/>
        <v>120000</v>
      </c>
      <c r="J105" s="22">
        <f t="shared" ca="1" si="166"/>
        <v>-1.7280399333685637E-11</v>
      </c>
      <c r="K105" s="22">
        <f ca="1">SUMIFS($R$7:R$18,T$7:T$18,$A105)</f>
        <v>0</v>
      </c>
      <c r="AE105" s="12"/>
      <c r="AH105" s="65"/>
    </row>
    <row r="106" spans="1:34">
      <c r="A106" s="18">
        <f t="shared" ca="1" si="176"/>
        <v>2090</v>
      </c>
      <c r="B106" s="19">
        <f t="shared" ca="1" si="175"/>
        <v>0</v>
      </c>
      <c r="C106" s="20" t="str">
        <f t="shared" ref="C106:C118" ca="1" si="181">IF(B106=0,"",C105+B106)</f>
        <v/>
      </c>
      <c r="D106" s="20" t="str">
        <f t="shared" ref="D106:D118" ca="1" si="182">IF(B106=0,"",D105+B106+E106)</f>
        <v/>
      </c>
      <c r="E106" s="21">
        <f t="shared" ca="1" si="177"/>
        <v>0</v>
      </c>
      <c r="F106" s="22" t="str">
        <f t="shared" ca="1" si="178"/>
        <v/>
      </c>
      <c r="G106" s="19" t="str">
        <f t="shared" ca="1" si="179"/>
        <v/>
      </c>
      <c r="H106" s="22">
        <f t="shared" ca="1" si="180"/>
        <v>211395</v>
      </c>
      <c r="I106" s="22">
        <f t="shared" ref="I106:I118" ca="1" si="183">I105+E106</f>
        <v>120000</v>
      </c>
      <c r="J106" s="22">
        <f t="shared" ca="1" si="166"/>
        <v>-1.7280399333685637E-11</v>
      </c>
      <c r="K106" s="22">
        <f ca="1">SUMIFS($R$7:R$18,T$7:T$18,$A106)</f>
        <v>0</v>
      </c>
      <c r="AE106" s="12"/>
      <c r="AH106" s="65"/>
    </row>
    <row r="107" spans="1:34">
      <c r="A107" s="18">
        <f t="shared" ca="1" si="176"/>
        <v>2091</v>
      </c>
      <c r="B107" s="19">
        <f t="shared" ca="1" si="175"/>
        <v>0</v>
      </c>
      <c r="C107" s="20" t="str">
        <f t="shared" ca="1" si="181"/>
        <v/>
      </c>
      <c r="D107" s="20" t="str">
        <f t="shared" ca="1" si="182"/>
        <v/>
      </c>
      <c r="E107" s="21">
        <f t="shared" ca="1" si="177"/>
        <v>0</v>
      </c>
      <c r="F107" s="22" t="str">
        <f t="shared" ca="1" si="178"/>
        <v/>
      </c>
      <c r="G107" s="19" t="str">
        <f t="shared" ca="1" si="179"/>
        <v/>
      </c>
      <c r="H107" s="22">
        <f t="shared" ca="1" si="180"/>
        <v>211395</v>
      </c>
      <c r="I107" s="22">
        <f t="shared" ca="1" si="183"/>
        <v>120000</v>
      </c>
      <c r="J107" s="22">
        <f t="shared" ref="J107:J118" ca="1" si="184">J106-K107</f>
        <v>-1.7280399333685637E-11</v>
      </c>
      <c r="K107" s="22">
        <f ca="1">SUMIFS($R$7:R$18,T$7:T$18,$A107)</f>
        <v>0</v>
      </c>
      <c r="AE107" s="12"/>
      <c r="AH107" s="65"/>
    </row>
    <row r="108" spans="1:34">
      <c r="A108" s="18">
        <f t="shared" ca="1" si="176"/>
        <v>2092</v>
      </c>
      <c r="B108" s="19">
        <f t="shared" ca="1" si="175"/>
        <v>0</v>
      </c>
      <c r="C108" s="20" t="str">
        <f t="shared" ca="1" si="181"/>
        <v/>
      </c>
      <c r="D108" s="20" t="str">
        <f t="shared" ca="1" si="182"/>
        <v/>
      </c>
      <c r="E108" s="21">
        <f t="shared" ca="1" si="177"/>
        <v>0</v>
      </c>
      <c r="F108" s="22" t="str">
        <f t="shared" ca="1" si="178"/>
        <v/>
      </c>
      <c r="G108" s="19" t="str">
        <f t="shared" ca="1" si="179"/>
        <v/>
      </c>
      <c r="H108" s="22">
        <f t="shared" ca="1" si="180"/>
        <v>211395</v>
      </c>
      <c r="I108" s="22">
        <f t="shared" ca="1" si="183"/>
        <v>120000</v>
      </c>
      <c r="J108" s="22">
        <f t="shared" ca="1" si="184"/>
        <v>-1.7280399333685637E-11</v>
      </c>
      <c r="K108" s="22">
        <f ca="1">SUMIFS($R$7:R$18,T$7:T$18,$A108)</f>
        <v>0</v>
      </c>
      <c r="AE108" s="12"/>
      <c r="AH108" s="65"/>
    </row>
    <row r="109" spans="1:34">
      <c r="A109" s="18">
        <f t="shared" ca="1" si="176"/>
        <v>2093</v>
      </c>
      <c r="B109" s="19">
        <f t="shared" ca="1" si="175"/>
        <v>0</v>
      </c>
      <c r="C109" s="20" t="str">
        <f t="shared" ca="1" si="181"/>
        <v/>
      </c>
      <c r="D109" s="20" t="str">
        <f t="shared" ca="1" si="182"/>
        <v/>
      </c>
      <c r="E109" s="21">
        <f t="shared" ca="1" si="177"/>
        <v>0</v>
      </c>
      <c r="F109" s="22" t="str">
        <f t="shared" ca="1" si="178"/>
        <v/>
      </c>
      <c r="G109" s="19" t="str">
        <f t="shared" ca="1" si="179"/>
        <v/>
      </c>
      <c r="H109" s="22">
        <f t="shared" ca="1" si="180"/>
        <v>211395</v>
      </c>
      <c r="I109" s="22">
        <f t="shared" ca="1" si="183"/>
        <v>120000</v>
      </c>
      <c r="J109" s="22">
        <f t="shared" ca="1" si="184"/>
        <v>-1.7280399333685637E-11</v>
      </c>
      <c r="K109" s="22">
        <f ca="1">SUMIFS($R$7:R$18,T$7:T$18,$A109)</f>
        <v>0</v>
      </c>
      <c r="AE109" s="12"/>
      <c r="AH109" s="65"/>
    </row>
    <row r="110" spans="1:34">
      <c r="A110" s="18">
        <f t="shared" ca="1" si="176"/>
        <v>2094</v>
      </c>
      <c r="B110" s="19">
        <f t="shared" ca="1" si="175"/>
        <v>0</v>
      </c>
      <c r="C110" s="20" t="str">
        <f t="shared" ca="1" si="181"/>
        <v/>
      </c>
      <c r="D110" s="20" t="str">
        <f t="shared" ca="1" si="182"/>
        <v/>
      </c>
      <c r="E110" s="21">
        <f t="shared" ca="1" si="177"/>
        <v>0</v>
      </c>
      <c r="F110" s="22" t="str">
        <f t="shared" ca="1" si="178"/>
        <v/>
      </c>
      <c r="G110" s="19" t="str">
        <f t="shared" ca="1" si="179"/>
        <v/>
      </c>
      <c r="H110" s="22">
        <f t="shared" ca="1" si="180"/>
        <v>211395</v>
      </c>
      <c r="I110" s="22">
        <f t="shared" ca="1" si="183"/>
        <v>120000</v>
      </c>
      <c r="J110" s="22">
        <f t="shared" ca="1" si="184"/>
        <v>-1.7280399333685637E-11</v>
      </c>
      <c r="K110" s="22">
        <f ca="1">SUMIFS($R$7:R$18,T$7:T$18,$A110)</f>
        <v>0</v>
      </c>
      <c r="AE110" s="12"/>
      <c r="AH110" s="65"/>
    </row>
    <row r="111" spans="1:34">
      <c r="A111" s="18">
        <f t="shared" ca="1" si="176"/>
        <v>2095</v>
      </c>
      <c r="B111" s="19">
        <f t="shared" ca="1" si="175"/>
        <v>0</v>
      </c>
      <c r="C111" s="20" t="str">
        <f t="shared" ca="1" si="181"/>
        <v/>
      </c>
      <c r="D111" s="20" t="str">
        <f t="shared" ca="1" si="182"/>
        <v/>
      </c>
      <c r="E111" s="21">
        <f t="shared" ca="1" si="177"/>
        <v>0</v>
      </c>
      <c r="F111" s="22" t="str">
        <f t="shared" ca="1" si="178"/>
        <v/>
      </c>
      <c r="G111" s="19" t="str">
        <f t="shared" ca="1" si="179"/>
        <v/>
      </c>
      <c r="H111" s="22">
        <f t="shared" ca="1" si="180"/>
        <v>211395</v>
      </c>
      <c r="I111" s="22">
        <f t="shared" ca="1" si="183"/>
        <v>120000</v>
      </c>
      <c r="J111" s="22">
        <f t="shared" ca="1" si="184"/>
        <v>-1.7280399333685637E-11</v>
      </c>
      <c r="K111" s="22">
        <f ca="1">SUMIFS($R$7:R$18,T$7:T$18,$A111)</f>
        <v>0</v>
      </c>
      <c r="AE111" s="12"/>
      <c r="AH111" s="65"/>
    </row>
    <row r="112" spans="1:34">
      <c r="A112" s="18">
        <f t="shared" ca="1" si="176"/>
        <v>2096</v>
      </c>
      <c r="B112" s="19">
        <f t="shared" ca="1" si="175"/>
        <v>0</v>
      </c>
      <c r="C112" s="20" t="str">
        <f t="shared" ca="1" si="181"/>
        <v/>
      </c>
      <c r="D112" s="20" t="str">
        <f t="shared" ca="1" si="182"/>
        <v/>
      </c>
      <c r="E112" s="21">
        <f t="shared" ca="1" si="177"/>
        <v>0</v>
      </c>
      <c r="F112" s="22" t="str">
        <f t="shared" ca="1" si="178"/>
        <v/>
      </c>
      <c r="G112" s="19" t="str">
        <f t="shared" ca="1" si="179"/>
        <v/>
      </c>
      <c r="H112" s="22">
        <f t="shared" ca="1" si="180"/>
        <v>211395</v>
      </c>
      <c r="I112" s="22">
        <f t="shared" ca="1" si="183"/>
        <v>120000</v>
      </c>
      <c r="J112" s="22">
        <f t="shared" ca="1" si="184"/>
        <v>-1.7280399333685637E-11</v>
      </c>
      <c r="K112" s="22">
        <f ca="1">SUMIFS($R$7:R$18,T$7:T$18,$A112)</f>
        <v>0</v>
      </c>
      <c r="AE112" s="12"/>
      <c r="AH112" s="65"/>
    </row>
    <row r="113" spans="1:34">
      <c r="A113" s="18">
        <f t="shared" ca="1" si="176"/>
        <v>2097</v>
      </c>
      <c r="B113" s="19">
        <f t="shared" ca="1" si="175"/>
        <v>0</v>
      </c>
      <c r="C113" s="20" t="str">
        <f t="shared" ca="1" si="181"/>
        <v/>
      </c>
      <c r="D113" s="20" t="str">
        <f t="shared" ca="1" si="182"/>
        <v/>
      </c>
      <c r="E113" s="21">
        <f t="shared" ca="1" si="177"/>
        <v>0</v>
      </c>
      <c r="F113" s="22" t="str">
        <f t="shared" ca="1" si="178"/>
        <v/>
      </c>
      <c r="G113" s="19" t="str">
        <f t="shared" ca="1" si="179"/>
        <v/>
      </c>
      <c r="H113" s="22">
        <f t="shared" ca="1" si="180"/>
        <v>211395</v>
      </c>
      <c r="I113" s="22">
        <f t="shared" ca="1" si="183"/>
        <v>120000</v>
      </c>
      <c r="J113" s="22">
        <f t="shared" ca="1" si="184"/>
        <v>-1.7280399333685637E-11</v>
      </c>
      <c r="K113" s="22">
        <f ca="1">SUMIFS($R$7:R$18,T$7:T$18,$A113)</f>
        <v>0</v>
      </c>
      <c r="AE113" s="12"/>
      <c r="AH113" s="65"/>
    </row>
    <row r="114" spans="1:34">
      <c r="A114" s="18">
        <f t="shared" ca="1" si="176"/>
        <v>2098</v>
      </c>
      <c r="B114" s="19">
        <f t="shared" ca="1" si="175"/>
        <v>0</v>
      </c>
      <c r="C114" s="20" t="str">
        <f t="shared" ca="1" si="181"/>
        <v/>
      </c>
      <c r="D114" s="20" t="str">
        <f t="shared" ca="1" si="182"/>
        <v/>
      </c>
      <c r="E114" s="21">
        <f t="shared" ca="1" si="177"/>
        <v>0</v>
      </c>
      <c r="F114" s="22" t="str">
        <f t="shared" ca="1" si="178"/>
        <v/>
      </c>
      <c r="G114" s="19" t="str">
        <f t="shared" ca="1" si="179"/>
        <v/>
      </c>
      <c r="H114" s="22">
        <f t="shared" ca="1" si="180"/>
        <v>211395</v>
      </c>
      <c r="I114" s="22">
        <f t="shared" ca="1" si="183"/>
        <v>120000</v>
      </c>
      <c r="J114" s="22">
        <f t="shared" ca="1" si="184"/>
        <v>-1.7280399333685637E-11</v>
      </c>
      <c r="K114" s="22">
        <f ca="1">SUMIFS($R$7:R$18,T$7:T$18,$A114)</f>
        <v>0</v>
      </c>
      <c r="AE114" s="12"/>
      <c r="AH114" s="65"/>
    </row>
    <row r="115" spans="1:34">
      <c r="A115" s="18">
        <f t="shared" ca="1" si="176"/>
        <v>2099</v>
      </c>
      <c r="B115" s="19">
        <f t="shared" ca="1" si="175"/>
        <v>0</v>
      </c>
      <c r="C115" s="20" t="str">
        <f t="shared" ca="1" si="181"/>
        <v/>
      </c>
      <c r="D115" s="20" t="str">
        <f t="shared" ca="1" si="182"/>
        <v/>
      </c>
      <c r="E115" s="21">
        <f t="shared" ca="1" si="177"/>
        <v>0</v>
      </c>
      <c r="F115" s="22" t="str">
        <f t="shared" ca="1" si="178"/>
        <v/>
      </c>
      <c r="G115" s="19" t="str">
        <f t="shared" ca="1" si="179"/>
        <v/>
      </c>
      <c r="H115" s="22">
        <f t="shared" ca="1" si="180"/>
        <v>211395</v>
      </c>
      <c r="I115" s="22">
        <f t="shared" ca="1" si="183"/>
        <v>120000</v>
      </c>
      <c r="J115" s="22">
        <f t="shared" ca="1" si="184"/>
        <v>-1.7280399333685637E-11</v>
      </c>
      <c r="K115" s="22">
        <f ca="1">SUMIFS($R$7:R$18,T$7:T$18,$A115)</f>
        <v>0</v>
      </c>
      <c r="AE115" s="12"/>
      <c r="AH115" s="65"/>
    </row>
    <row r="116" spans="1:34">
      <c r="A116" s="18">
        <f t="shared" ca="1" si="176"/>
        <v>2100</v>
      </c>
      <c r="B116" s="19">
        <f t="shared" ca="1" si="175"/>
        <v>0</v>
      </c>
      <c r="C116" s="20" t="str">
        <f t="shared" ca="1" si="181"/>
        <v/>
      </c>
      <c r="D116" s="20" t="str">
        <f t="shared" ca="1" si="182"/>
        <v/>
      </c>
      <c r="E116" s="21">
        <f t="shared" ca="1" si="177"/>
        <v>0</v>
      </c>
      <c r="F116" s="22" t="str">
        <f t="shared" ca="1" si="178"/>
        <v/>
      </c>
      <c r="G116" s="19" t="str">
        <f t="shared" ca="1" si="179"/>
        <v/>
      </c>
      <c r="H116" s="22">
        <f t="shared" ca="1" si="180"/>
        <v>211395</v>
      </c>
      <c r="I116" s="22">
        <f t="shared" ca="1" si="183"/>
        <v>120000</v>
      </c>
      <c r="J116" s="22">
        <f t="shared" ca="1" si="184"/>
        <v>-1.7280399333685637E-11</v>
      </c>
      <c r="K116" s="22">
        <f ca="1">SUMIFS($R$7:R$18,T$7:T$18,$A116)</f>
        <v>0</v>
      </c>
      <c r="AE116" s="12"/>
      <c r="AH116" s="65"/>
    </row>
    <row r="117" spans="1:34">
      <c r="A117" s="18">
        <f t="shared" ca="1" si="176"/>
        <v>2101</v>
      </c>
      <c r="B117" s="19">
        <f t="shared" ca="1" si="175"/>
        <v>0</v>
      </c>
      <c r="C117" s="20" t="str">
        <f t="shared" ca="1" si="181"/>
        <v/>
      </c>
      <c r="D117" s="20" t="str">
        <f t="shared" ca="1" si="182"/>
        <v/>
      </c>
      <c r="E117" s="21">
        <f t="shared" ca="1" si="177"/>
        <v>0</v>
      </c>
      <c r="F117" s="22" t="str">
        <f t="shared" ca="1" si="178"/>
        <v/>
      </c>
      <c r="G117" s="19" t="str">
        <f t="shared" ca="1" si="179"/>
        <v/>
      </c>
      <c r="H117" s="22">
        <f t="shared" ca="1" si="180"/>
        <v>211395</v>
      </c>
      <c r="I117" s="22">
        <f t="shared" ca="1" si="183"/>
        <v>120000</v>
      </c>
      <c r="J117" s="22">
        <f t="shared" ca="1" si="184"/>
        <v>-1.7280399333685637E-11</v>
      </c>
      <c r="K117" s="22">
        <f ca="1">SUMIFS($R$7:R$18,T$7:T$18,$A117)</f>
        <v>0</v>
      </c>
      <c r="AE117" s="12"/>
      <c r="AH117" s="65"/>
    </row>
    <row r="118" spans="1:34">
      <c r="A118" s="18">
        <f t="shared" ca="1" si="176"/>
        <v>2102</v>
      </c>
      <c r="B118" s="19">
        <f t="shared" ca="1" si="175"/>
        <v>0</v>
      </c>
      <c r="C118" s="20" t="str">
        <f t="shared" ca="1" si="181"/>
        <v/>
      </c>
      <c r="D118" s="20" t="str">
        <f t="shared" ca="1" si="182"/>
        <v/>
      </c>
      <c r="E118" s="21">
        <f t="shared" ca="1" si="177"/>
        <v>0</v>
      </c>
      <c r="F118" s="22" t="str">
        <f t="shared" ca="1" si="178"/>
        <v/>
      </c>
      <c r="G118" s="19" t="str">
        <f t="shared" ca="1" si="179"/>
        <v/>
      </c>
      <c r="H118" s="22">
        <f t="shared" ca="1" si="180"/>
        <v>211395</v>
      </c>
      <c r="I118" s="22">
        <f t="shared" ca="1" si="183"/>
        <v>120000</v>
      </c>
      <c r="J118" s="22">
        <f t="shared" ca="1" si="184"/>
        <v>-1.7280399333685637E-11</v>
      </c>
      <c r="K118" s="22">
        <f ca="1">SUMIFS($R$7:R$18,T$7:T$18,$A118)</f>
        <v>0</v>
      </c>
      <c r="AE118" s="12"/>
      <c r="AH118" s="65"/>
    </row>
    <row r="119" spans="1:34">
      <c r="A119" s="18"/>
      <c r="B119" s="19"/>
      <c r="C119" s="20"/>
      <c r="D119" s="20"/>
      <c r="E119" s="21"/>
      <c r="F119" s="22"/>
      <c r="G119" s="19"/>
      <c r="H119" s="22"/>
      <c r="I119" s="22"/>
      <c r="J119" s="22"/>
      <c r="K119" s="22"/>
      <c r="AE119" s="12"/>
      <c r="AH119" s="65"/>
    </row>
    <row r="120" spans="1:34">
      <c r="A120" s="18"/>
      <c r="B120" s="19"/>
      <c r="C120" s="20"/>
      <c r="D120" s="20"/>
      <c r="E120" s="21"/>
      <c r="F120" s="22"/>
      <c r="G120" s="19"/>
      <c r="H120" s="22"/>
      <c r="I120" s="22"/>
      <c r="J120" s="22"/>
      <c r="K120" s="22"/>
      <c r="AE120" s="12"/>
      <c r="AH120" s="65"/>
    </row>
    <row r="121" spans="1:34">
      <c r="A121" s="18"/>
      <c r="B121" s="19"/>
      <c r="C121" s="20"/>
      <c r="D121" s="20"/>
      <c r="E121" s="21"/>
      <c r="F121" s="22"/>
      <c r="G121" s="19"/>
      <c r="H121" s="22"/>
      <c r="I121" s="22"/>
      <c r="J121" s="22"/>
      <c r="K121" s="22"/>
      <c r="AE121" s="12"/>
      <c r="AH121" s="65"/>
    </row>
    <row r="122" spans="1:34">
      <c r="A122" s="18"/>
      <c r="B122" s="19"/>
      <c r="C122" s="20"/>
      <c r="D122" s="20"/>
      <c r="E122" s="21"/>
      <c r="F122" s="22"/>
      <c r="G122" s="19"/>
      <c r="H122" s="22"/>
      <c r="I122" s="22"/>
      <c r="J122" s="22"/>
      <c r="K122" s="22"/>
      <c r="AE122" s="12"/>
      <c r="AH122" s="65"/>
    </row>
    <row r="123" spans="1:34">
      <c r="A123" s="18"/>
      <c r="B123" s="19"/>
      <c r="C123" s="20"/>
      <c r="D123" s="20"/>
      <c r="E123" s="21"/>
      <c r="F123" s="22"/>
      <c r="G123" s="19"/>
      <c r="H123" s="22"/>
      <c r="I123" s="22"/>
      <c r="J123" s="22"/>
      <c r="K123" s="22"/>
      <c r="AE123" s="12"/>
      <c r="AH123" s="65"/>
    </row>
    <row r="124" spans="1:34">
      <c r="A124" s="18"/>
      <c r="B124" s="19"/>
      <c r="C124" s="20"/>
      <c r="D124" s="20"/>
      <c r="E124" s="21"/>
      <c r="F124" s="22"/>
      <c r="G124" s="19"/>
      <c r="H124" s="22"/>
      <c r="I124" s="22"/>
      <c r="J124" s="22"/>
      <c r="K124" s="22"/>
      <c r="AE124" s="12"/>
      <c r="AH124" s="65"/>
    </row>
    <row r="125" spans="1:34">
      <c r="A125" s="18"/>
      <c r="B125" s="19"/>
      <c r="C125" s="20"/>
      <c r="D125" s="20"/>
      <c r="E125" s="21"/>
      <c r="F125" s="22"/>
      <c r="G125" s="19"/>
      <c r="H125" s="22"/>
      <c r="I125" s="22"/>
      <c r="J125" s="22"/>
      <c r="K125" s="22"/>
      <c r="AE125" s="12"/>
      <c r="AH125" s="65"/>
    </row>
    <row r="126" spans="1:34">
      <c r="A126" s="18"/>
      <c r="B126" s="19"/>
      <c r="C126" s="20"/>
      <c r="D126" s="20"/>
      <c r="E126" s="21"/>
      <c r="F126" s="22"/>
      <c r="G126" s="19"/>
      <c r="H126" s="22"/>
      <c r="I126" s="22"/>
      <c r="J126" s="22"/>
      <c r="K126" s="22"/>
      <c r="AE126" s="12"/>
      <c r="AH126" s="65"/>
    </row>
    <row r="127" spans="1:34">
      <c r="A127" s="18"/>
      <c r="B127" s="19"/>
      <c r="C127" s="20"/>
      <c r="D127" s="20"/>
      <c r="E127" s="21"/>
      <c r="F127" s="22"/>
      <c r="G127" s="19"/>
      <c r="H127" s="22"/>
      <c r="I127" s="22"/>
      <c r="J127" s="22"/>
      <c r="K127" s="22"/>
      <c r="AE127" s="12"/>
      <c r="AH127" s="65"/>
    </row>
    <row r="128" spans="1:34">
      <c r="A128" s="18"/>
      <c r="B128" s="19"/>
      <c r="C128" s="20"/>
      <c r="D128" s="20"/>
      <c r="E128" s="21"/>
      <c r="F128" s="22"/>
      <c r="G128" s="19"/>
      <c r="H128" s="22"/>
      <c r="I128" s="22"/>
      <c r="J128" s="22"/>
      <c r="K128" s="22"/>
      <c r="AE128" s="12"/>
      <c r="AH128" s="65"/>
    </row>
    <row r="129" spans="1:34">
      <c r="A129" s="18"/>
      <c r="B129" s="19"/>
      <c r="C129" s="20"/>
      <c r="D129" s="20"/>
      <c r="E129" s="21"/>
      <c r="F129" s="22"/>
      <c r="G129" s="19"/>
      <c r="H129" s="22"/>
      <c r="I129" s="22"/>
      <c r="J129" s="22"/>
      <c r="K129" s="22"/>
      <c r="AE129" s="12"/>
      <c r="AH129" s="65"/>
    </row>
    <row r="130" spans="1:34">
      <c r="A130" s="18"/>
      <c r="B130" s="19"/>
      <c r="C130" s="20"/>
      <c r="D130" s="20"/>
      <c r="E130" s="21"/>
      <c r="F130" s="22"/>
      <c r="G130" s="19"/>
      <c r="H130" s="22"/>
      <c r="I130" s="22"/>
      <c r="J130" s="22"/>
      <c r="K130" s="22"/>
      <c r="AE130" s="12"/>
      <c r="AH130" s="65"/>
    </row>
    <row r="131" spans="1:34">
      <c r="A131" s="18"/>
      <c r="B131" s="19"/>
      <c r="C131" s="20"/>
      <c r="D131" s="20"/>
      <c r="E131" s="21"/>
      <c r="F131" s="22"/>
      <c r="G131" s="19"/>
      <c r="H131" s="22"/>
      <c r="I131" s="22"/>
      <c r="J131" s="22"/>
      <c r="K131" s="22"/>
      <c r="AE131" s="12"/>
      <c r="AH131" s="65"/>
    </row>
    <row r="132" spans="1:34">
      <c r="A132" s="18"/>
      <c r="B132" s="19"/>
      <c r="C132" s="20"/>
      <c r="D132" s="20"/>
      <c r="E132" s="21"/>
      <c r="F132" s="22"/>
      <c r="G132" s="19"/>
      <c r="H132" s="22"/>
      <c r="I132" s="22"/>
      <c r="J132" s="22"/>
      <c r="K132" s="22"/>
      <c r="AE132" s="12"/>
      <c r="AH132" s="65"/>
    </row>
    <row r="133" spans="1:34">
      <c r="A133" s="18"/>
      <c r="B133" s="19"/>
      <c r="C133" s="20"/>
      <c r="D133" s="20"/>
      <c r="E133" s="21"/>
      <c r="F133" s="22"/>
      <c r="G133" s="19"/>
      <c r="H133" s="22"/>
      <c r="I133" s="22"/>
      <c r="J133" s="22"/>
      <c r="K133" s="22"/>
      <c r="AE133" s="12"/>
      <c r="AH133" s="65"/>
    </row>
    <row r="134" spans="1:34">
      <c r="A134" s="18"/>
      <c r="B134" s="19"/>
      <c r="C134" s="20"/>
      <c r="D134" s="20"/>
      <c r="E134" s="21"/>
      <c r="F134" s="22"/>
      <c r="G134" s="19"/>
      <c r="H134" s="22"/>
      <c r="I134" s="22"/>
      <c r="J134" s="22"/>
      <c r="K134" s="22"/>
      <c r="AE134" s="12"/>
      <c r="AH134" s="65"/>
    </row>
    <row r="135" spans="1:34">
      <c r="A135" s="18"/>
      <c r="B135" s="19"/>
      <c r="C135" s="20"/>
      <c r="D135" s="20"/>
      <c r="E135" s="21"/>
      <c r="F135" s="22"/>
      <c r="G135" s="19"/>
      <c r="H135" s="22"/>
      <c r="I135" s="22"/>
      <c r="J135" s="22"/>
      <c r="K135" s="22"/>
      <c r="AE135" s="12"/>
      <c r="AH135" s="65"/>
    </row>
    <row r="136" spans="1:34">
      <c r="A136" s="18"/>
      <c r="B136" s="19"/>
      <c r="C136" s="20"/>
      <c r="D136" s="20"/>
      <c r="E136" s="21"/>
      <c r="F136" s="22"/>
      <c r="G136" s="19"/>
      <c r="H136" s="22"/>
      <c r="I136" s="22"/>
      <c r="J136" s="22"/>
      <c r="K136" s="22"/>
      <c r="AE136" s="12"/>
      <c r="AH136" s="65"/>
    </row>
    <row r="137" spans="1:34">
      <c r="A137" s="18"/>
      <c r="B137" s="19"/>
      <c r="C137" s="20"/>
      <c r="D137" s="20"/>
      <c r="E137" s="21"/>
      <c r="F137" s="22"/>
      <c r="G137" s="19"/>
      <c r="H137" s="22"/>
      <c r="I137" s="22"/>
      <c r="J137" s="22"/>
      <c r="K137" s="22"/>
      <c r="AE137" s="12"/>
      <c r="AH137" s="65"/>
    </row>
    <row r="138" spans="1:34">
      <c r="A138" s="18"/>
      <c r="B138" s="19"/>
      <c r="C138" s="20"/>
      <c r="D138" s="20"/>
      <c r="E138" s="21"/>
      <c r="F138" s="22"/>
      <c r="G138" s="19"/>
      <c r="H138" s="22"/>
      <c r="I138" s="22"/>
      <c r="J138" s="22"/>
      <c r="K138" s="22"/>
      <c r="AE138" s="12"/>
      <c r="AH138" s="65"/>
    </row>
    <row r="139" spans="1:34">
      <c r="A139" s="18"/>
      <c r="B139" s="19"/>
      <c r="C139" s="20"/>
      <c r="D139" s="20"/>
      <c r="E139" s="21"/>
      <c r="F139" s="22"/>
      <c r="G139" s="19"/>
      <c r="H139" s="22"/>
      <c r="I139" s="22"/>
      <c r="J139" s="22"/>
      <c r="K139" s="22"/>
      <c r="AE139" s="12"/>
      <c r="AH139" s="65"/>
    </row>
    <row r="140" spans="1:34">
      <c r="A140" s="18"/>
      <c r="B140" s="19"/>
      <c r="C140" s="20"/>
      <c r="D140" s="20"/>
      <c r="E140" s="21"/>
      <c r="F140" s="22"/>
      <c r="G140" s="19"/>
      <c r="H140" s="22"/>
      <c r="I140" s="22"/>
      <c r="J140" s="22"/>
      <c r="K140" s="22"/>
      <c r="AE140" s="12"/>
      <c r="AH140" s="65"/>
    </row>
    <row r="141" spans="1:34">
      <c r="A141" s="18"/>
      <c r="B141" s="19"/>
      <c r="C141" s="20"/>
      <c r="D141" s="20"/>
      <c r="E141" s="21"/>
      <c r="F141" s="22"/>
      <c r="G141" s="19"/>
      <c r="H141" s="22"/>
      <c r="I141" s="22"/>
      <c r="J141" s="22"/>
      <c r="K141" s="22"/>
      <c r="AE141" s="12"/>
      <c r="AH141" s="65"/>
    </row>
    <row r="142" spans="1:34">
      <c r="A142" s="18"/>
      <c r="B142" s="19"/>
      <c r="C142" s="20"/>
      <c r="D142" s="20"/>
      <c r="E142" s="21"/>
      <c r="F142" s="22"/>
      <c r="G142" s="19"/>
      <c r="H142" s="22"/>
      <c r="I142" s="22"/>
      <c r="J142" s="22"/>
      <c r="K142" s="22"/>
      <c r="AE142" s="12"/>
      <c r="AH142" s="65"/>
    </row>
    <row r="143" spans="1:34">
      <c r="A143" s="18"/>
      <c r="B143" s="19"/>
      <c r="C143" s="20"/>
      <c r="D143" s="20"/>
      <c r="E143" s="21"/>
      <c r="F143" s="22"/>
      <c r="G143" s="19"/>
      <c r="H143" s="22"/>
      <c r="I143" s="22"/>
      <c r="J143" s="22"/>
      <c r="K143" s="22"/>
      <c r="AE143" s="12"/>
      <c r="AH143" s="65"/>
    </row>
    <row r="144" spans="1:34">
      <c r="A144" s="18"/>
      <c r="B144" s="19"/>
      <c r="C144" s="20"/>
      <c r="D144" s="20"/>
      <c r="E144" s="21"/>
      <c r="F144" s="22"/>
      <c r="G144" s="19"/>
      <c r="H144" s="22"/>
      <c r="I144" s="22"/>
      <c r="J144" s="22"/>
      <c r="K144" s="22"/>
      <c r="AE144" s="12"/>
      <c r="AH144" s="65"/>
    </row>
    <row r="145" spans="1:34">
      <c r="A145" s="18"/>
      <c r="B145" s="19"/>
      <c r="C145" s="20"/>
      <c r="D145" s="20"/>
      <c r="E145" s="21"/>
      <c r="F145" s="22"/>
      <c r="G145" s="19"/>
      <c r="H145" s="22"/>
      <c r="I145" s="22"/>
      <c r="J145" s="22"/>
      <c r="K145" s="22"/>
      <c r="AE145" s="12"/>
      <c r="AH145" s="65"/>
    </row>
    <row r="146" spans="1:34">
      <c r="A146" s="18"/>
      <c r="B146" s="19"/>
      <c r="C146" s="20"/>
      <c r="D146" s="20"/>
      <c r="E146" s="21"/>
      <c r="F146" s="22"/>
      <c r="G146" s="19"/>
      <c r="H146" s="22"/>
      <c r="I146" s="22"/>
      <c r="J146" s="22"/>
      <c r="K146" s="22"/>
      <c r="AE146" s="12"/>
      <c r="AH146" s="65"/>
    </row>
    <row r="147" spans="1:34">
      <c r="A147" s="18"/>
      <c r="B147" s="19"/>
      <c r="C147" s="20"/>
      <c r="D147" s="20"/>
      <c r="E147" s="21"/>
      <c r="F147" s="22"/>
      <c r="G147" s="19"/>
      <c r="H147" s="22"/>
      <c r="I147" s="22"/>
      <c r="J147" s="22"/>
      <c r="K147" s="22"/>
      <c r="AE147" s="12"/>
      <c r="AH147" s="65"/>
    </row>
    <row r="148" spans="1:34">
      <c r="A148" s="18"/>
      <c r="B148" s="19"/>
      <c r="C148" s="20"/>
      <c r="D148" s="20"/>
      <c r="E148" s="21"/>
      <c r="F148" s="22"/>
      <c r="G148" s="19"/>
      <c r="H148" s="22"/>
      <c r="I148" s="22"/>
      <c r="J148" s="22"/>
      <c r="K148" s="22"/>
      <c r="AE148" s="12"/>
      <c r="AH148" s="65"/>
    </row>
    <row r="149" spans="1:34">
      <c r="A149" s="18"/>
      <c r="B149" s="19"/>
      <c r="C149" s="20"/>
      <c r="D149" s="20"/>
      <c r="E149" s="21"/>
      <c r="F149" s="22"/>
      <c r="G149" s="19"/>
      <c r="H149" s="22"/>
      <c r="I149" s="22"/>
      <c r="J149" s="22"/>
      <c r="K149" s="22"/>
      <c r="AE149" s="12"/>
      <c r="AH149" s="65"/>
    </row>
    <row r="150" spans="1:34">
      <c r="A150" s="18"/>
      <c r="B150" s="19"/>
      <c r="C150" s="20"/>
      <c r="D150" s="20"/>
      <c r="E150" s="21"/>
      <c r="F150" s="22"/>
      <c r="G150" s="19"/>
      <c r="H150" s="22"/>
      <c r="I150" s="22"/>
      <c r="J150" s="22"/>
      <c r="K150" s="22"/>
      <c r="AE150" s="12"/>
      <c r="AH150" s="65"/>
    </row>
    <row r="151" spans="1:34">
      <c r="A151" s="18"/>
      <c r="B151" s="19"/>
      <c r="C151" s="20"/>
      <c r="D151" s="20"/>
      <c r="E151" s="21"/>
      <c r="F151" s="22"/>
      <c r="G151" s="19"/>
      <c r="H151" s="22"/>
      <c r="I151" s="22"/>
      <c r="J151" s="22"/>
      <c r="K151" s="22"/>
      <c r="AE151" s="12"/>
      <c r="AH151" s="65"/>
    </row>
    <row r="152" spans="1:34">
      <c r="A152" s="18"/>
      <c r="B152" s="19"/>
      <c r="C152" s="20"/>
      <c r="D152" s="20"/>
      <c r="E152" s="21"/>
      <c r="F152" s="22"/>
      <c r="G152" s="19"/>
      <c r="H152" s="22"/>
      <c r="I152" s="22"/>
      <c r="J152" s="22"/>
      <c r="K152" s="22"/>
      <c r="AE152" s="12"/>
      <c r="AH152" s="65"/>
    </row>
    <row r="153" spans="1:34">
      <c r="A153" s="18"/>
      <c r="B153" s="19"/>
      <c r="C153" s="20"/>
      <c r="D153" s="20"/>
      <c r="E153" s="21"/>
      <c r="F153" s="22"/>
      <c r="G153" s="19"/>
      <c r="H153" s="22"/>
      <c r="I153" s="22"/>
      <c r="J153" s="22"/>
      <c r="K153" s="22"/>
      <c r="AE153" s="12"/>
      <c r="AH153" s="65"/>
    </row>
    <row r="154" spans="1:34">
      <c r="A154" s="18"/>
      <c r="B154" s="19"/>
      <c r="C154" s="20"/>
      <c r="D154" s="20"/>
      <c r="E154" s="21"/>
      <c r="F154" s="22"/>
      <c r="G154" s="19"/>
      <c r="H154" s="22"/>
      <c r="I154" s="22"/>
      <c r="J154" s="22"/>
      <c r="K154" s="22"/>
      <c r="AE154" s="12"/>
      <c r="AH154" s="65"/>
    </row>
    <row r="155" spans="1:34">
      <c r="A155" s="18"/>
      <c r="B155" s="19"/>
      <c r="C155" s="20"/>
      <c r="D155" s="20"/>
      <c r="E155" s="21"/>
      <c r="F155" s="22"/>
      <c r="G155" s="19"/>
      <c r="H155" s="22"/>
      <c r="I155" s="22"/>
      <c r="J155" s="22"/>
      <c r="K155" s="22"/>
      <c r="AE155" s="12"/>
      <c r="AH155" s="65"/>
    </row>
    <row r="156" spans="1:34">
      <c r="A156" s="18"/>
      <c r="B156" s="19"/>
      <c r="C156" s="20"/>
      <c r="D156" s="20"/>
      <c r="E156" s="21"/>
      <c r="F156" s="22"/>
      <c r="G156" s="19"/>
      <c r="H156" s="22"/>
      <c r="I156" s="22"/>
      <c r="J156" s="22"/>
      <c r="K156" s="22"/>
      <c r="AE156" s="12"/>
      <c r="AH156" s="65"/>
    </row>
    <row r="157" spans="1:34">
      <c r="A157" s="18"/>
      <c r="B157" s="19"/>
      <c r="C157" s="20"/>
      <c r="D157" s="20"/>
      <c r="E157" s="21"/>
      <c r="F157" s="22"/>
      <c r="G157" s="19"/>
      <c r="H157" s="22"/>
      <c r="I157" s="22"/>
      <c r="J157" s="22"/>
      <c r="K157" s="22"/>
      <c r="AE157" s="12"/>
      <c r="AH157" s="65"/>
    </row>
    <row r="158" spans="1:34">
      <c r="A158" s="18"/>
      <c r="B158" s="19"/>
      <c r="C158" s="20"/>
      <c r="D158" s="20"/>
      <c r="E158" s="21"/>
      <c r="F158" s="22"/>
      <c r="G158" s="19"/>
      <c r="H158" s="22"/>
      <c r="I158" s="22"/>
      <c r="J158" s="22"/>
      <c r="K158" s="22"/>
      <c r="AE158" s="12"/>
      <c r="AH158" s="65"/>
    </row>
    <row r="159" spans="1:34">
      <c r="A159" s="18"/>
      <c r="B159" s="19"/>
      <c r="C159" s="20"/>
      <c r="D159" s="20"/>
      <c r="E159" s="21"/>
      <c r="F159" s="22"/>
      <c r="G159" s="19"/>
      <c r="H159" s="22"/>
      <c r="I159" s="22"/>
      <c r="J159" s="22"/>
      <c r="K159" s="22"/>
      <c r="AE159" s="12"/>
      <c r="AH159" s="65"/>
    </row>
    <row r="160" spans="1:34">
      <c r="A160" s="18"/>
      <c r="B160" s="19"/>
      <c r="C160" s="20"/>
      <c r="D160" s="20"/>
      <c r="E160" s="21"/>
      <c r="F160" s="22"/>
      <c r="G160" s="19"/>
      <c r="H160" s="22"/>
      <c r="I160" s="22"/>
      <c r="J160" s="22"/>
      <c r="K160" s="22"/>
      <c r="AE160" s="12"/>
      <c r="AH160" s="65"/>
    </row>
    <row r="161" spans="1:34">
      <c r="A161" s="18"/>
      <c r="B161" s="19"/>
      <c r="C161" s="20"/>
      <c r="D161" s="20"/>
      <c r="E161" s="21"/>
      <c r="F161" s="22"/>
      <c r="G161" s="19"/>
      <c r="H161" s="22"/>
      <c r="I161" s="22"/>
      <c r="J161" s="22"/>
      <c r="K161" s="22"/>
      <c r="AE161" s="12"/>
      <c r="AH161" s="65"/>
    </row>
    <row r="162" spans="1:34">
      <c r="A162" s="18"/>
      <c r="B162" s="19"/>
      <c r="C162" s="20"/>
      <c r="D162" s="20"/>
      <c r="E162" s="21"/>
      <c r="F162" s="22"/>
      <c r="G162" s="19"/>
      <c r="H162" s="22"/>
      <c r="I162" s="22"/>
      <c r="J162" s="22"/>
      <c r="K162" s="22"/>
      <c r="AE162" s="12"/>
      <c r="AH162" s="65"/>
    </row>
    <row r="163" spans="1:34">
      <c r="A163" s="18"/>
      <c r="B163" s="19"/>
      <c r="C163" s="20"/>
      <c r="D163" s="20"/>
      <c r="E163" s="21"/>
      <c r="F163" s="22"/>
      <c r="G163" s="19"/>
      <c r="H163" s="22"/>
      <c r="I163" s="22"/>
      <c r="J163" s="22"/>
      <c r="K163" s="22"/>
      <c r="AE163" s="12"/>
      <c r="AH163" s="65"/>
    </row>
    <row r="164" spans="1:34">
      <c r="A164" s="18"/>
      <c r="B164" s="19"/>
      <c r="C164" s="20"/>
      <c r="D164" s="20"/>
      <c r="E164" s="21"/>
      <c r="F164" s="22"/>
      <c r="G164" s="19"/>
      <c r="H164" s="22"/>
      <c r="I164" s="22"/>
      <c r="J164" s="22"/>
      <c r="K164" s="22"/>
      <c r="AE164" s="12"/>
      <c r="AH164" s="65"/>
    </row>
    <row r="165" spans="1:34">
      <c r="A165" s="18"/>
      <c r="B165" s="19"/>
      <c r="C165" s="20"/>
      <c r="D165" s="20"/>
      <c r="E165" s="21"/>
      <c r="F165" s="22"/>
      <c r="G165" s="19"/>
      <c r="H165" s="22"/>
      <c r="I165" s="22"/>
      <c r="J165" s="22"/>
      <c r="K165" s="22"/>
      <c r="AE165" s="12"/>
      <c r="AH165" s="65"/>
    </row>
    <row r="166" spans="1:34">
      <c r="A166" s="18"/>
      <c r="B166" s="19"/>
      <c r="C166" s="20"/>
      <c r="D166" s="20"/>
      <c r="E166" s="21"/>
      <c r="F166" s="22"/>
      <c r="G166" s="19"/>
      <c r="H166" s="22"/>
      <c r="I166" s="22"/>
      <c r="J166" s="22"/>
      <c r="K166" s="22"/>
      <c r="AE166" s="12"/>
      <c r="AH166" s="65"/>
    </row>
    <row r="167" spans="1:34">
      <c r="A167" s="18"/>
      <c r="B167" s="19"/>
      <c r="C167" s="20"/>
      <c r="D167" s="20"/>
      <c r="E167" s="21"/>
      <c r="F167" s="22"/>
      <c r="G167" s="19"/>
      <c r="H167" s="22"/>
      <c r="I167" s="22"/>
      <c r="J167" s="22"/>
      <c r="K167" s="22"/>
      <c r="AE167" s="12"/>
      <c r="AH167" s="65"/>
    </row>
    <row r="168" spans="1:34">
      <c r="A168" s="18"/>
      <c r="B168" s="19"/>
      <c r="C168" s="20"/>
      <c r="D168" s="20"/>
      <c r="E168" s="21"/>
      <c r="F168" s="22"/>
      <c r="G168" s="19"/>
      <c r="H168" s="22"/>
      <c r="I168" s="22"/>
      <c r="J168" s="22"/>
      <c r="K168" s="22"/>
      <c r="AE168" s="12"/>
      <c r="AH168" s="65"/>
    </row>
    <row r="169" spans="1:34">
      <c r="A169" s="18"/>
      <c r="B169" s="19"/>
      <c r="C169" s="20"/>
      <c r="D169" s="20"/>
      <c r="E169" s="21"/>
      <c r="F169" s="22"/>
      <c r="G169" s="19"/>
      <c r="H169" s="22"/>
      <c r="I169" s="22"/>
      <c r="J169" s="22"/>
      <c r="K169" s="22"/>
      <c r="AE169" s="12"/>
      <c r="AH169" s="65"/>
    </row>
    <row r="170" spans="1:34">
      <c r="A170" s="18"/>
      <c r="B170" s="19"/>
      <c r="C170" s="20"/>
      <c r="D170" s="20"/>
      <c r="E170" s="21"/>
      <c r="F170" s="22"/>
      <c r="G170" s="19"/>
      <c r="H170" s="22"/>
      <c r="I170" s="22"/>
      <c r="J170" s="22"/>
      <c r="K170" s="22"/>
      <c r="AE170" s="12"/>
      <c r="AH170" s="65"/>
    </row>
    <row r="171" spans="1:34">
      <c r="A171" s="18"/>
      <c r="B171" s="19"/>
      <c r="C171" s="20"/>
      <c r="D171" s="20"/>
      <c r="E171" s="21"/>
      <c r="F171" s="22"/>
      <c r="G171" s="19"/>
      <c r="H171" s="22"/>
      <c r="I171" s="22"/>
      <c r="J171" s="22"/>
      <c r="K171" s="22"/>
      <c r="AE171" s="12"/>
      <c r="AH171" s="65"/>
    </row>
    <row r="172" spans="1:34">
      <c r="A172" s="18"/>
      <c r="B172" s="19"/>
      <c r="C172" s="20"/>
      <c r="D172" s="20"/>
      <c r="E172" s="21"/>
      <c r="F172" s="22"/>
      <c r="G172" s="19"/>
      <c r="H172" s="22"/>
      <c r="I172" s="22"/>
      <c r="J172" s="22"/>
      <c r="K172" s="22"/>
      <c r="AE172" s="12"/>
      <c r="AH172" s="65"/>
    </row>
    <row r="173" spans="1:34">
      <c r="A173" s="18"/>
      <c r="B173" s="19"/>
      <c r="C173" s="20"/>
      <c r="D173" s="20"/>
      <c r="E173" s="21"/>
      <c r="F173" s="22"/>
      <c r="G173" s="19"/>
      <c r="H173" s="22"/>
      <c r="I173" s="22"/>
      <c r="J173" s="22"/>
      <c r="K173" s="22"/>
      <c r="AE173" s="12"/>
      <c r="AH173" s="65"/>
    </row>
    <row r="174" spans="1:34">
      <c r="A174" s="18"/>
      <c r="B174" s="19"/>
      <c r="C174" s="20"/>
      <c r="D174" s="20"/>
      <c r="E174" s="21"/>
      <c r="F174" s="22"/>
      <c r="G174" s="19"/>
      <c r="H174" s="22"/>
      <c r="I174" s="22"/>
      <c r="J174" s="22"/>
      <c r="K174" s="22"/>
      <c r="AE174" s="12"/>
      <c r="AH174" s="65"/>
    </row>
    <row r="175" spans="1:34">
      <c r="A175" s="18"/>
      <c r="B175" s="19"/>
      <c r="C175" s="20"/>
      <c r="D175" s="20"/>
      <c r="E175" s="21"/>
      <c r="F175" s="22"/>
      <c r="G175" s="19"/>
      <c r="H175" s="22"/>
      <c r="I175" s="22"/>
      <c r="J175" s="22"/>
      <c r="K175" s="22"/>
      <c r="AE175" s="12"/>
      <c r="AH175" s="65"/>
    </row>
    <row r="176" spans="1:34">
      <c r="A176" s="18"/>
      <c r="B176" s="19"/>
      <c r="C176" s="20"/>
      <c r="D176" s="20"/>
      <c r="E176" s="21"/>
      <c r="F176" s="22"/>
      <c r="G176" s="19"/>
      <c r="H176" s="22"/>
      <c r="I176" s="22"/>
      <c r="J176" s="22"/>
      <c r="K176" s="22"/>
      <c r="AE176" s="12"/>
      <c r="AH176" s="65"/>
    </row>
    <row r="177" spans="1:34">
      <c r="A177" s="18"/>
      <c r="B177" s="19"/>
      <c r="C177" s="20"/>
      <c r="D177" s="20"/>
      <c r="E177" s="21"/>
      <c r="F177" s="22"/>
      <c r="G177" s="19"/>
      <c r="H177" s="22"/>
      <c r="I177" s="22"/>
      <c r="J177" s="22"/>
      <c r="K177" s="22"/>
      <c r="AE177" s="12"/>
      <c r="AH177" s="65"/>
    </row>
    <row r="178" spans="1:34">
      <c r="A178" s="18"/>
      <c r="B178" s="19"/>
      <c r="C178" s="20"/>
      <c r="D178" s="20"/>
      <c r="E178" s="21"/>
      <c r="F178" s="22"/>
      <c r="G178" s="19"/>
      <c r="H178" s="22"/>
      <c r="I178" s="22"/>
      <c r="J178" s="22"/>
      <c r="K178" s="22"/>
      <c r="AE178" s="12"/>
      <c r="AH178" s="65"/>
    </row>
    <row r="179" spans="1:34">
      <c r="A179" s="18"/>
      <c r="B179" s="19"/>
      <c r="C179" s="20"/>
      <c r="D179" s="20"/>
      <c r="E179" s="21"/>
      <c r="F179" s="22"/>
      <c r="G179" s="19"/>
      <c r="H179" s="22"/>
      <c r="I179" s="22"/>
      <c r="J179" s="22"/>
      <c r="K179" s="22"/>
      <c r="AE179" s="12"/>
      <c r="AH179" s="65"/>
    </row>
    <row r="180" spans="1:34">
      <c r="A180" s="18"/>
      <c r="B180" s="19"/>
      <c r="C180" s="20"/>
      <c r="D180" s="20"/>
      <c r="E180" s="21"/>
      <c r="F180" s="22"/>
      <c r="G180" s="19"/>
      <c r="H180" s="22"/>
      <c r="I180" s="22"/>
      <c r="J180" s="22"/>
      <c r="K180" s="22"/>
      <c r="AE180" s="12"/>
      <c r="AH180" s="65"/>
    </row>
    <row r="181" spans="1:34">
      <c r="A181" s="18"/>
      <c r="B181" s="19"/>
      <c r="C181" s="20"/>
      <c r="D181" s="20"/>
      <c r="E181" s="21"/>
      <c r="F181" s="22"/>
      <c r="G181" s="19"/>
      <c r="H181" s="22"/>
      <c r="I181" s="22"/>
      <c r="J181" s="22"/>
      <c r="K181" s="22"/>
      <c r="AE181" s="12"/>
      <c r="AH181" s="65"/>
    </row>
    <row r="182" spans="1:34">
      <c r="A182" s="18"/>
      <c r="B182" s="19"/>
      <c r="C182" s="20"/>
      <c r="D182" s="20"/>
      <c r="E182" s="21"/>
      <c r="F182" s="22"/>
      <c r="G182" s="19"/>
      <c r="H182" s="22"/>
      <c r="I182" s="22"/>
      <c r="J182" s="22"/>
      <c r="K182" s="22"/>
      <c r="AE182" s="12"/>
      <c r="AH182" s="65"/>
    </row>
    <row r="183" spans="1:34">
      <c r="A183" s="18"/>
      <c r="B183" s="19"/>
      <c r="C183" s="20"/>
      <c r="D183" s="20"/>
      <c r="E183" s="21"/>
      <c r="F183" s="22"/>
      <c r="G183" s="19"/>
      <c r="H183" s="22"/>
      <c r="I183" s="22"/>
      <c r="J183" s="22"/>
      <c r="K183" s="22"/>
      <c r="AE183" s="12"/>
      <c r="AH183" s="65"/>
    </row>
    <row r="184" spans="1:34">
      <c r="A184" s="18"/>
      <c r="B184" s="19"/>
      <c r="C184" s="20"/>
      <c r="D184" s="20"/>
      <c r="E184" s="21"/>
      <c r="F184" s="22"/>
      <c r="G184" s="19"/>
      <c r="H184" s="22"/>
      <c r="I184" s="22"/>
      <c r="J184" s="22"/>
      <c r="K184" s="22"/>
      <c r="AE184" s="12"/>
      <c r="AH184" s="65"/>
    </row>
    <row r="185" spans="1:34">
      <c r="A185" s="18"/>
      <c r="B185" s="19"/>
      <c r="C185" s="20"/>
      <c r="D185" s="20"/>
      <c r="E185" s="21"/>
      <c r="F185" s="22"/>
      <c r="G185" s="19"/>
      <c r="H185" s="22"/>
      <c r="I185" s="22"/>
      <c r="J185" s="22"/>
      <c r="K185" s="22"/>
      <c r="AE185" s="12"/>
      <c r="AH185" s="65"/>
    </row>
    <row r="186" spans="1:34">
      <c r="A186" s="18"/>
      <c r="B186" s="19"/>
      <c r="C186" s="20"/>
      <c r="D186" s="20"/>
      <c r="E186" s="21"/>
      <c r="F186" s="22"/>
      <c r="G186" s="19"/>
      <c r="H186" s="22"/>
      <c r="I186" s="22"/>
      <c r="J186" s="22"/>
      <c r="K186" s="22"/>
      <c r="AE186" s="12"/>
      <c r="AH186" s="65"/>
    </row>
    <row r="187" spans="1:34">
      <c r="A187" s="18"/>
      <c r="B187" s="19"/>
      <c r="C187" s="20"/>
      <c r="D187" s="20"/>
      <c r="E187" s="21"/>
      <c r="F187" s="22"/>
      <c r="G187" s="19"/>
      <c r="H187" s="22"/>
      <c r="I187" s="22"/>
      <c r="J187" s="22"/>
      <c r="K187" s="22"/>
      <c r="AE187" s="12"/>
      <c r="AH187" s="65"/>
    </row>
    <row r="188" spans="1:34">
      <c r="A188" s="18"/>
      <c r="B188" s="19"/>
      <c r="C188" s="20"/>
      <c r="D188" s="20"/>
      <c r="E188" s="21"/>
      <c r="F188" s="22"/>
      <c r="G188" s="19"/>
      <c r="H188" s="22"/>
      <c r="I188" s="22"/>
      <c r="J188" s="22"/>
      <c r="K188" s="22"/>
      <c r="AE188" s="12"/>
      <c r="AH188" s="65"/>
    </row>
    <row r="189" spans="1:34">
      <c r="A189" s="18"/>
      <c r="B189" s="19"/>
      <c r="C189" s="20"/>
      <c r="D189" s="20"/>
      <c r="E189" s="21"/>
      <c r="F189" s="22"/>
      <c r="G189" s="19"/>
      <c r="H189" s="22"/>
      <c r="I189" s="22"/>
      <c r="J189" s="22"/>
      <c r="K189" s="22"/>
      <c r="AE189" s="12"/>
      <c r="AH189" s="65"/>
    </row>
    <row r="190" spans="1:34">
      <c r="A190" s="18"/>
      <c r="B190" s="19"/>
      <c r="C190" s="20"/>
      <c r="D190" s="20"/>
      <c r="E190" s="21"/>
      <c r="F190" s="22"/>
      <c r="G190" s="19"/>
      <c r="H190" s="22"/>
      <c r="I190" s="22"/>
      <c r="J190" s="22"/>
      <c r="K190" s="22"/>
      <c r="AE190" s="12"/>
      <c r="AH190" s="65"/>
    </row>
    <row r="191" spans="1:34">
      <c r="A191" s="18"/>
      <c r="B191" s="19"/>
      <c r="C191" s="20"/>
      <c r="D191" s="20"/>
      <c r="E191" s="21"/>
      <c r="F191" s="22"/>
      <c r="G191" s="19"/>
      <c r="H191" s="22"/>
      <c r="I191" s="22"/>
      <c r="J191" s="22"/>
      <c r="K191" s="22"/>
      <c r="AE191" s="12"/>
      <c r="AH191" s="65"/>
    </row>
    <row r="192" spans="1:34">
      <c r="A192" s="18"/>
      <c r="B192" s="19"/>
      <c r="C192" s="20"/>
      <c r="D192" s="20"/>
      <c r="E192" s="21"/>
      <c r="F192" s="22"/>
      <c r="G192" s="19"/>
      <c r="H192" s="22"/>
      <c r="I192" s="22"/>
      <c r="J192" s="22"/>
      <c r="K192" s="22"/>
      <c r="AE192" s="12"/>
      <c r="AH192" s="65"/>
    </row>
    <row r="193" spans="1:34">
      <c r="A193" s="18"/>
      <c r="B193" s="19"/>
      <c r="C193" s="20"/>
      <c r="D193" s="20"/>
      <c r="E193" s="21"/>
      <c r="F193" s="22"/>
      <c r="G193" s="19"/>
      <c r="H193" s="22"/>
      <c r="I193" s="22"/>
      <c r="J193" s="22"/>
      <c r="K193" s="22"/>
      <c r="AE193" s="12"/>
      <c r="AH193" s="65"/>
    </row>
    <row r="194" spans="1:34">
      <c r="A194" s="18"/>
      <c r="B194" s="19"/>
      <c r="C194" s="20"/>
      <c r="D194" s="20"/>
      <c r="E194" s="21"/>
      <c r="F194" s="22"/>
      <c r="G194" s="19"/>
      <c r="H194" s="22"/>
      <c r="I194" s="22"/>
      <c r="J194" s="22"/>
      <c r="K194" s="22"/>
      <c r="AE194" s="12"/>
      <c r="AH194" s="65"/>
    </row>
    <row r="195" spans="1:34">
      <c r="A195" s="18"/>
      <c r="B195" s="19"/>
      <c r="C195" s="20"/>
      <c r="D195" s="20"/>
      <c r="E195" s="21"/>
      <c r="F195" s="22"/>
      <c r="G195" s="19"/>
      <c r="H195" s="22"/>
      <c r="I195" s="22"/>
      <c r="J195" s="22"/>
      <c r="K195" s="22"/>
      <c r="AE195" s="12"/>
      <c r="AH195" s="65"/>
    </row>
    <row r="196" spans="1:34">
      <c r="A196" s="18"/>
      <c r="B196" s="19"/>
      <c r="C196" s="20"/>
      <c r="D196" s="20"/>
      <c r="E196" s="21"/>
      <c r="F196" s="22"/>
      <c r="G196" s="19"/>
      <c r="H196" s="22"/>
      <c r="I196" s="22"/>
      <c r="J196" s="22"/>
      <c r="K196" s="22"/>
      <c r="AE196" s="12"/>
      <c r="AH196" s="65"/>
    </row>
    <row r="197" spans="1:34">
      <c r="A197" s="18"/>
      <c r="B197" s="19"/>
      <c r="C197" s="20"/>
      <c r="D197" s="20"/>
      <c r="E197" s="21"/>
      <c r="F197" s="22"/>
      <c r="G197" s="19"/>
      <c r="H197" s="22"/>
      <c r="I197" s="22"/>
      <c r="J197" s="22"/>
      <c r="K197" s="22"/>
      <c r="AE197" s="12"/>
      <c r="AH197" s="65"/>
    </row>
    <row r="198" spans="1:34">
      <c r="A198" s="18"/>
      <c r="B198" s="19"/>
      <c r="C198" s="20"/>
      <c r="D198" s="20"/>
      <c r="E198" s="21"/>
      <c r="F198" s="22"/>
      <c r="G198" s="19"/>
      <c r="H198" s="22"/>
      <c r="I198" s="22"/>
      <c r="J198" s="22"/>
      <c r="K198" s="22"/>
      <c r="AE198" s="12"/>
      <c r="AH198" s="65"/>
    </row>
    <row r="199" spans="1:34">
      <c r="A199" s="18"/>
      <c r="B199" s="19"/>
      <c r="C199" s="20"/>
      <c r="D199" s="20"/>
      <c r="E199" s="21"/>
      <c r="F199" s="22"/>
      <c r="G199" s="19"/>
      <c r="H199" s="22"/>
      <c r="I199" s="22"/>
      <c r="J199" s="22"/>
      <c r="K199" s="22"/>
      <c r="AE199" s="12"/>
      <c r="AH199" s="65"/>
    </row>
    <row r="200" spans="1:34">
      <c r="A200" s="18"/>
      <c r="B200" s="19"/>
      <c r="C200" s="20"/>
      <c r="D200" s="20"/>
      <c r="E200" s="21"/>
      <c r="F200" s="22"/>
      <c r="G200" s="19"/>
      <c r="H200" s="22"/>
      <c r="I200" s="22"/>
      <c r="J200" s="22"/>
      <c r="K200" s="22"/>
      <c r="AE200" s="12"/>
      <c r="AH200" s="65"/>
    </row>
    <row r="201" spans="1:34">
      <c r="A201" s="18"/>
      <c r="B201" s="19"/>
      <c r="C201" s="20"/>
      <c r="D201" s="20"/>
      <c r="E201" s="21"/>
      <c r="F201" s="22"/>
      <c r="G201" s="19"/>
      <c r="H201" s="22"/>
      <c r="I201" s="22"/>
      <c r="J201" s="22"/>
      <c r="K201" s="22"/>
      <c r="AE201" s="12"/>
      <c r="AH201" s="65"/>
    </row>
    <row r="202" spans="1:34">
      <c r="A202" s="18"/>
      <c r="B202" s="19"/>
      <c r="C202" s="20"/>
      <c r="D202" s="20"/>
      <c r="E202" s="21"/>
      <c r="F202" s="22"/>
      <c r="G202" s="19"/>
      <c r="H202" s="22"/>
      <c r="I202" s="22"/>
      <c r="J202" s="22"/>
      <c r="K202" s="22"/>
      <c r="AE202" s="12"/>
      <c r="AH202" s="65"/>
    </row>
    <row r="203" spans="1:34">
      <c r="A203" s="18"/>
      <c r="B203" s="19"/>
      <c r="C203" s="20"/>
      <c r="D203" s="20"/>
      <c r="E203" s="21"/>
      <c r="F203" s="22"/>
      <c r="G203" s="19"/>
      <c r="H203" s="22"/>
      <c r="I203" s="22"/>
      <c r="J203" s="22"/>
      <c r="K203" s="22"/>
      <c r="AE203" s="12"/>
      <c r="AH203" s="65"/>
    </row>
    <row r="204" spans="1:34">
      <c r="A204" s="18"/>
      <c r="B204" s="19"/>
      <c r="C204" s="20"/>
      <c r="D204" s="20"/>
      <c r="E204" s="21"/>
      <c r="F204" s="22"/>
      <c r="G204" s="19"/>
      <c r="H204" s="22"/>
      <c r="I204" s="22"/>
      <c r="J204" s="22"/>
      <c r="K204" s="22"/>
      <c r="AE204" s="12"/>
      <c r="AH204" s="65"/>
    </row>
    <row r="205" spans="1:34">
      <c r="A205" s="18"/>
      <c r="B205" s="19"/>
      <c r="C205" s="20"/>
      <c r="D205" s="20"/>
      <c r="E205" s="21"/>
      <c r="F205" s="22"/>
      <c r="G205" s="19"/>
      <c r="H205" s="22"/>
      <c r="I205" s="22"/>
      <c r="J205" s="22"/>
      <c r="K205" s="22"/>
      <c r="AE205" s="12"/>
      <c r="AH205" s="65"/>
    </row>
    <row r="206" spans="1:34">
      <c r="A206" s="18"/>
      <c r="B206" s="19"/>
      <c r="C206" s="20"/>
      <c r="D206" s="20"/>
      <c r="E206" s="21"/>
      <c r="F206" s="22"/>
      <c r="G206" s="19"/>
      <c r="H206" s="22"/>
      <c r="I206" s="22"/>
      <c r="J206" s="22"/>
      <c r="K206" s="22"/>
      <c r="AE206" s="12"/>
      <c r="AH206" s="65"/>
    </row>
    <row r="207" spans="1:34">
      <c r="A207" s="18"/>
      <c r="B207" s="19"/>
      <c r="C207" s="20"/>
      <c r="D207" s="20"/>
      <c r="E207" s="21"/>
      <c r="F207" s="22"/>
      <c r="G207" s="19"/>
      <c r="H207" s="22"/>
      <c r="I207" s="22"/>
      <c r="J207" s="22"/>
      <c r="K207" s="22"/>
      <c r="AE207" s="12"/>
      <c r="AH207" s="65"/>
    </row>
    <row r="208" spans="1:34">
      <c r="A208" s="18"/>
      <c r="B208" s="19"/>
      <c r="C208" s="20"/>
      <c r="D208" s="20"/>
      <c r="E208" s="21"/>
      <c r="F208" s="22"/>
      <c r="G208" s="19"/>
      <c r="H208" s="22"/>
      <c r="I208" s="22"/>
      <c r="J208" s="22"/>
      <c r="K208" s="22"/>
      <c r="AE208" s="12"/>
      <c r="AH208" s="65"/>
    </row>
    <row r="209" spans="1:34">
      <c r="A209" s="18"/>
      <c r="B209" s="19"/>
      <c r="C209" s="20"/>
      <c r="D209" s="20"/>
      <c r="E209" s="21"/>
      <c r="F209" s="22"/>
      <c r="G209" s="19"/>
      <c r="H209" s="22"/>
      <c r="I209" s="22"/>
      <c r="J209" s="22"/>
      <c r="K209" s="22"/>
      <c r="AE209" s="12"/>
      <c r="AH209" s="65"/>
    </row>
    <row r="210" spans="1:34">
      <c r="A210" s="18"/>
      <c r="B210" s="19"/>
      <c r="C210" s="20"/>
      <c r="D210" s="20"/>
      <c r="E210" s="21"/>
      <c r="F210" s="22"/>
      <c r="G210" s="19"/>
      <c r="H210" s="22"/>
      <c r="I210" s="22"/>
      <c r="J210" s="22"/>
      <c r="K210" s="22"/>
      <c r="AE210" s="12"/>
      <c r="AH210" s="65"/>
    </row>
    <row r="211" spans="1:34">
      <c r="A211" s="18"/>
      <c r="B211" s="19"/>
      <c r="C211" s="20"/>
      <c r="D211" s="20"/>
      <c r="E211" s="21"/>
      <c r="F211" s="22"/>
      <c r="G211" s="19"/>
      <c r="H211" s="22"/>
      <c r="I211" s="22"/>
      <c r="J211" s="22"/>
      <c r="K211" s="22"/>
      <c r="AE211" s="12"/>
      <c r="AH211" s="65"/>
    </row>
    <row r="212" spans="1:34">
      <c r="A212" s="18"/>
      <c r="B212" s="19"/>
      <c r="C212" s="20"/>
      <c r="D212" s="20"/>
      <c r="E212" s="21"/>
      <c r="F212" s="22"/>
      <c r="G212" s="19"/>
      <c r="H212" s="22"/>
      <c r="I212" s="22"/>
      <c r="J212" s="22"/>
      <c r="K212" s="22"/>
      <c r="AE212" s="12"/>
      <c r="AH212" s="65"/>
    </row>
    <row r="213" spans="1:34">
      <c r="A213" s="18"/>
      <c r="B213" s="19"/>
      <c r="C213" s="20"/>
      <c r="D213" s="20"/>
      <c r="E213" s="21"/>
      <c r="F213" s="22"/>
      <c r="G213" s="19"/>
      <c r="H213" s="22"/>
      <c r="I213" s="22"/>
      <c r="J213" s="22"/>
      <c r="K213" s="22"/>
      <c r="AE213" s="12"/>
      <c r="AH213" s="65"/>
    </row>
    <row r="214" spans="1:34">
      <c r="A214" s="18"/>
      <c r="B214" s="19"/>
      <c r="C214" s="20"/>
      <c r="D214" s="20"/>
      <c r="E214" s="21"/>
      <c r="F214" s="22"/>
      <c r="G214" s="19"/>
      <c r="H214" s="22"/>
      <c r="I214" s="22"/>
      <c r="J214" s="22"/>
      <c r="K214" s="22"/>
      <c r="AE214" s="12"/>
      <c r="AH214" s="65"/>
    </row>
    <row r="215" spans="1:34">
      <c r="A215" s="18"/>
      <c r="B215" s="19"/>
      <c r="C215" s="20"/>
      <c r="D215" s="20"/>
      <c r="E215" s="21"/>
      <c r="F215" s="22"/>
      <c r="G215" s="19"/>
      <c r="H215" s="22"/>
      <c r="I215" s="22"/>
      <c r="J215" s="22"/>
      <c r="K215" s="22"/>
      <c r="AE215" s="12"/>
      <c r="AH215" s="65"/>
    </row>
    <row r="216" spans="1:34">
      <c r="A216" s="18"/>
      <c r="B216" s="19"/>
      <c r="C216" s="20"/>
      <c r="D216" s="20"/>
      <c r="E216" s="21"/>
      <c r="F216" s="22"/>
      <c r="G216" s="19"/>
      <c r="H216" s="22"/>
      <c r="I216" s="22"/>
      <c r="J216" s="22"/>
      <c r="K216" s="22"/>
      <c r="AE216" s="12"/>
      <c r="AH216" s="65"/>
    </row>
    <row r="217" spans="1:34">
      <c r="A217" s="18"/>
      <c r="B217" s="19"/>
      <c r="C217" s="20"/>
      <c r="D217" s="20"/>
      <c r="E217" s="21"/>
      <c r="F217" s="22"/>
      <c r="G217" s="19"/>
      <c r="H217" s="22"/>
      <c r="I217" s="22"/>
      <c r="J217" s="22"/>
      <c r="K217" s="22"/>
      <c r="AE217" s="12"/>
      <c r="AH217" s="65"/>
    </row>
    <row r="218" spans="1:34">
      <c r="A218" s="18"/>
      <c r="B218" s="19"/>
      <c r="C218" s="20"/>
      <c r="D218" s="20"/>
      <c r="E218" s="21"/>
      <c r="F218" s="22"/>
      <c r="G218" s="19"/>
      <c r="H218" s="22"/>
      <c r="I218" s="22"/>
      <c r="J218" s="22"/>
      <c r="K218" s="22"/>
      <c r="AE218" s="12"/>
      <c r="AH218" s="65"/>
    </row>
    <row r="219" spans="1:34">
      <c r="A219" s="18"/>
      <c r="B219" s="19"/>
      <c r="C219" s="20"/>
      <c r="D219" s="20"/>
      <c r="E219" s="21"/>
      <c r="F219" s="22"/>
      <c r="G219" s="19"/>
      <c r="H219" s="22"/>
      <c r="I219" s="22"/>
      <c r="J219" s="22"/>
      <c r="K219" s="22"/>
      <c r="AE219" s="12"/>
      <c r="AH219" s="65"/>
    </row>
    <row r="220" spans="1:34">
      <c r="A220" s="18"/>
      <c r="B220" s="19"/>
      <c r="C220" s="20"/>
      <c r="D220" s="20"/>
      <c r="E220" s="21"/>
      <c r="F220" s="22"/>
      <c r="G220" s="19"/>
      <c r="H220" s="22"/>
      <c r="I220" s="22"/>
      <c r="J220" s="22"/>
      <c r="K220" s="22"/>
      <c r="AE220" s="12"/>
      <c r="AH220" s="65"/>
    </row>
    <row r="221" spans="1:34">
      <c r="A221" s="18"/>
      <c r="B221" s="19"/>
      <c r="C221" s="20"/>
      <c r="D221" s="20"/>
      <c r="E221" s="21"/>
      <c r="F221" s="22"/>
      <c r="G221" s="19"/>
      <c r="H221" s="22"/>
      <c r="I221" s="22"/>
      <c r="J221" s="22"/>
      <c r="K221" s="22"/>
      <c r="AE221" s="12"/>
      <c r="AH221" s="65"/>
    </row>
    <row r="222" spans="1:34">
      <c r="A222" s="18"/>
      <c r="B222" s="19"/>
      <c r="C222" s="20"/>
      <c r="D222" s="20"/>
      <c r="E222" s="21"/>
      <c r="F222" s="22"/>
      <c r="G222" s="19"/>
      <c r="H222" s="22"/>
      <c r="I222" s="22"/>
      <c r="J222" s="22"/>
      <c r="K222" s="22"/>
      <c r="AE222" s="12"/>
      <c r="AH222" s="65"/>
    </row>
    <row r="223" spans="1:34">
      <c r="A223" s="18"/>
      <c r="B223" s="19"/>
      <c r="C223" s="20"/>
      <c r="D223" s="20"/>
      <c r="E223" s="21"/>
      <c r="F223" s="22"/>
      <c r="G223" s="19"/>
      <c r="H223" s="22"/>
      <c r="I223" s="22"/>
      <c r="J223" s="22"/>
      <c r="K223" s="22"/>
      <c r="AE223" s="12"/>
      <c r="AH223" s="65"/>
    </row>
    <row r="224" spans="1:34">
      <c r="A224" s="18"/>
      <c r="B224" s="19"/>
      <c r="C224" s="20"/>
      <c r="D224" s="20"/>
      <c r="E224" s="21"/>
      <c r="F224" s="22"/>
      <c r="G224" s="19"/>
      <c r="H224" s="22"/>
      <c r="I224" s="22"/>
      <c r="J224" s="22"/>
      <c r="K224" s="22"/>
      <c r="AE224" s="12"/>
      <c r="AH224" s="65"/>
    </row>
    <row r="225" spans="1:34">
      <c r="A225" s="18"/>
      <c r="B225" s="19"/>
      <c r="C225" s="20"/>
      <c r="D225" s="20"/>
      <c r="E225" s="21"/>
      <c r="F225" s="22"/>
      <c r="G225" s="19"/>
      <c r="H225" s="22"/>
      <c r="I225" s="22"/>
      <c r="J225" s="22"/>
      <c r="K225" s="22"/>
      <c r="AE225" s="12"/>
      <c r="AH225" s="65"/>
    </row>
    <row r="226" spans="1:34">
      <c r="A226" s="18"/>
      <c r="B226" s="19"/>
      <c r="C226" s="20"/>
      <c r="D226" s="20"/>
      <c r="E226" s="21"/>
      <c r="F226" s="22"/>
      <c r="G226" s="19"/>
      <c r="H226" s="22"/>
      <c r="I226" s="22"/>
      <c r="J226" s="22"/>
      <c r="K226" s="22"/>
      <c r="AE226" s="12"/>
      <c r="AH226" s="65"/>
    </row>
    <row r="227" spans="1:34">
      <c r="A227" s="18"/>
      <c r="B227" s="19"/>
      <c r="C227" s="20"/>
      <c r="D227" s="20"/>
      <c r="E227" s="21"/>
      <c r="F227" s="22"/>
      <c r="G227" s="19"/>
      <c r="H227" s="22"/>
      <c r="I227" s="22"/>
      <c r="J227" s="22"/>
      <c r="K227" s="22"/>
      <c r="AE227" s="12"/>
      <c r="AH227" s="65"/>
    </row>
    <row r="228" spans="1:34">
      <c r="A228" s="18"/>
      <c r="B228" s="19"/>
      <c r="C228" s="20"/>
      <c r="D228" s="20"/>
      <c r="E228" s="21"/>
      <c r="F228" s="22"/>
      <c r="G228" s="19"/>
      <c r="H228" s="22"/>
      <c r="I228" s="22"/>
      <c r="J228" s="22"/>
      <c r="K228" s="22"/>
      <c r="AE228" s="12"/>
      <c r="AH228" s="65"/>
    </row>
    <row r="229" spans="1:34">
      <c r="A229" s="18"/>
      <c r="B229" s="19"/>
      <c r="C229" s="20"/>
      <c r="D229" s="20"/>
      <c r="E229" s="21"/>
      <c r="F229" s="22"/>
      <c r="G229" s="19"/>
      <c r="H229" s="22"/>
      <c r="I229" s="22"/>
      <c r="J229" s="22"/>
      <c r="K229" s="22"/>
      <c r="AE229" s="12"/>
      <c r="AH229" s="65"/>
    </row>
    <row r="230" spans="1:34">
      <c r="A230" s="18"/>
      <c r="B230" s="19"/>
      <c r="C230" s="20"/>
      <c r="D230" s="20"/>
      <c r="E230" s="21"/>
      <c r="F230" s="22"/>
      <c r="G230" s="19"/>
      <c r="H230" s="22"/>
      <c r="I230" s="22"/>
      <c r="J230" s="22"/>
      <c r="K230" s="22"/>
      <c r="AE230" s="12"/>
      <c r="AH230" s="65"/>
    </row>
    <row r="231" spans="1:34">
      <c r="A231" s="18"/>
      <c r="B231" s="19"/>
      <c r="C231" s="20"/>
      <c r="D231" s="20"/>
      <c r="E231" s="21"/>
      <c r="F231" s="22"/>
      <c r="G231" s="19"/>
      <c r="H231" s="22"/>
      <c r="I231" s="22"/>
      <c r="J231" s="22"/>
      <c r="K231" s="22"/>
      <c r="AE231" s="12"/>
      <c r="AH231" s="65"/>
    </row>
    <row r="232" spans="1:34">
      <c r="A232" s="18"/>
      <c r="B232" s="19"/>
      <c r="C232" s="20"/>
      <c r="D232" s="20"/>
      <c r="E232" s="21"/>
      <c r="F232" s="22"/>
      <c r="G232" s="19"/>
      <c r="H232" s="22"/>
      <c r="I232" s="22"/>
      <c r="J232" s="22"/>
      <c r="K232" s="22"/>
      <c r="AE232" s="12"/>
      <c r="AH232" s="65"/>
    </row>
    <row r="233" spans="1:34">
      <c r="A233" s="18"/>
      <c r="B233" s="19"/>
      <c r="C233" s="20"/>
      <c r="D233" s="20"/>
      <c r="E233" s="21"/>
      <c r="F233" s="22"/>
      <c r="G233" s="19"/>
      <c r="H233" s="22"/>
      <c r="I233" s="22"/>
      <c r="J233" s="22"/>
      <c r="K233" s="22"/>
      <c r="AE233" s="12"/>
      <c r="AH233" s="65"/>
    </row>
    <row r="234" spans="1:34">
      <c r="A234" s="18"/>
      <c r="B234" s="19"/>
      <c r="C234" s="20"/>
      <c r="D234" s="20"/>
      <c r="E234" s="21"/>
      <c r="F234" s="22"/>
      <c r="G234" s="19"/>
      <c r="H234" s="22"/>
      <c r="I234" s="22"/>
      <c r="J234" s="22"/>
      <c r="K234" s="22"/>
      <c r="AE234" s="12"/>
      <c r="AH234" s="65"/>
    </row>
    <row r="235" spans="1:34">
      <c r="A235" s="18"/>
      <c r="B235" s="19"/>
      <c r="C235" s="20"/>
      <c r="D235" s="20"/>
      <c r="E235" s="21"/>
      <c r="F235" s="22"/>
      <c r="G235" s="19"/>
      <c r="H235" s="22"/>
      <c r="I235" s="22"/>
      <c r="J235" s="22"/>
      <c r="K235" s="22"/>
      <c r="AE235" s="12"/>
      <c r="AH235" s="65"/>
    </row>
    <row r="236" spans="1:34">
      <c r="AE236" s="12"/>
      <c r="AH236" s="65"/>
    </row>
    <row r="237" spans="1:34">
      <c r="AE237" s="12"/>
      <c r="AH237" s="65"/>
    </row>
    <row r="238" spans="1:34">
      <c r="AE238" s="12"/>
      <c r="AH238" s="65"/>
    </row>
    <row r="239" spans="1:34">
      <c r="AE239" s="12"/>
      <c r="AH239" s="65"/>
    </row>
    <row r="240" spans="1:34">
      <c r="AE240" s="12"/>
      <c r="AH240" s="65"/>
    </row>
    <row r="241" spans="31:34">
      <c r="AE241" s="12"/>
      <c r="AH241" s="65"/>
    </row>
    <row r="242" spans="31:34">
      <c r="AE242" s="12"/>
      <c r="AH242" s="65"/>
    </row>
    <row r="243" spans="31:34">
      <c r="AE243" s="12"/>
      <c r="AH243" s="65"/>
    </row>
    <row r="244" spans="31:34">
      <c r="AE244" s="12"/>
      <c r="AH244" s="65"/>
    </row>
    <row r="245" spans="31:34">
      <c r="AE245" s="12"/>
      <c r="AH245" s="65"/>
    </row>
    <row r="246" spans="31:34">
      <c r="AE246" s="12"/>
      <c r="AH246" s="65"/>
    </row>
    <row r="247" spans="31:34">
      <c r="AE247" s="12"/>
      <c r="AH247" s="65"/>
    </row>
    <row r="248" spans="31:34">
      <c r="AE248" s="12"/>
      <c r="AH248" s="65"/>
    </row>
    <row r="249" spans="31:34">
      <c r="AE249" s="12"/>
      <c r="AH249" s="65"/>
    </row>
    <row r="250" spans="31:34">
      <c r="AE250" s="12"/>
      <c r="AH250" s="65"/>
    </row>
    <row r="251" spans="31:34">
      <c r="AE251" s="12"/>
      <c r="AH251" s="65"/>
    </row>
    <row r="252" spans="31:34">
      <c r="AE252" s="12"/>
      <c r="AH252" s="65"/>
    </row>
    <row r="253" spans="31:34">
      <c r="AE253" s="12"/>
      <c r="AH253" s="65"/>
    </row>
    <row r="254" spans="31:34">
      <c r="AE254" s="12"/>
      <c r="AH254" s="65"/>
    </row>
    <row r="255" spans="31:34">
      <c r="AE255" s="12"/>
      <c r="AH255" s="65"/>
    </row>
    <row r="256" spans="31:34">
      <c r="AE256" s="12"/>
      <c r="AH256" s="65"/>
    </row>
    <row r="257" spans="31:34">
      <c r="AE257" s="12"/>
      <c r="AH257" s="65"/>
    </row>
    <row r="258" spans="31:34">
      <c r="AE258" s="12"/>
      <c r="AH258" s="65"/>
    </row>
    <row r="259" spans="31:34">
      <c r="AE259" s="12"/>
      <c r="AH259" s="65"/>
    </row>
    <row r="260" spans="31:34">
      <c r="AE260" s="12"/>
      <c r="AH260" s="65"/>
    </row>
    <row r="261" spans="31:34">
      <c r="AE261" s="12"/>
      <c r="AH261" s="65"/>
    </row>
    <row r="262" spans="31:34">
      <c r="AE262" s="12"/>
      <c r="AH262" s="65"/>
    </row>
    <row r="263" spans="31:34">
      <c r="AE263" s="12"/>
      <c r="AH263" s="65"/>
    </row>
    <row r="264" spans="31:34">
      <c r="AE264" s="12"/>
      <c r="AH264" s="65"/>
    </row>
    <row r="265" spans="31:34">
      <c r="AE265" s="12"/>
      <c r="AH265" s="65"/>
    </row>
    <row r="266" spans="31:34">
      <c r="AE266" s="12"/>
      <c r="AH266" s="65"/>
    </row>
    <row r="267" spans="31:34">
      <c r="AE267" s="12"/>
      <c r="AH267" s="65"/>
    </row>
    <row r="268" spans="31:34">
      <c r="AE268" s="12"/>
      <c r="AH268" s="65"/>
    </row>
    <row r="269" spans="31:34">
      <c r="AE269" s="12"/>
      <c r="AH269" s="65"/>
    </row>
    <row r="270" spans="31:34">
      <c r="AE270" s="12"/>
      <c r="AH270" s="65"/>
    </row>
    <row r="271" spans="31:34">
      <c r="AE271" s="12"/>
      <c r="AH271" s="65"/>
    </row>
    <row r="272" spans="31:34">
      <c r="AE272" s="12"/>
      <c r="AH272" s="65"/>
    </row>
    <row r="273" spans="31:34">
      <c r="AE273" s="12"/>
      <c r="AH273" s="65"/>
    </row>
    <row r="274" spans="31:34">
      <c r="AE274" s="12"/>
      <c r="AH274" s="65"/>
    </row>
    <row r="275" spans="31:34">
      <c r="AE275" s="12"/>
      <c r="AH275" s="65"/>
    </row>
    <row r="276" spans="31:34">
      <c r="AE276" s="12"/>
      <c r="AH276" s="65"/>
    </row>
    <row r="277" spans="31:34">
      <c r="AE277" s="12"/>
      <c r="AH277" s="65"/>
    </row>
    <row r="278" spans="31:34">
      <c r="AE278" s="12"/>
      <c r="AH278" s="65"/>
    </row>
    <row r="279" spans="31:34">
      <c r="AE279" s="12"/>
      <c r="AH279" s="65"/>
    </row>
    <row r="280" spans="31:34">
      <c r="AE280" s="12"/>
      <c r="AH280" s="65"/>
    </row>
    <row r="281" spans="31:34">
      <c r="AE281" s="12"/>
      <c r="AH281" s="65"/>
    </row>
    <row r="282" spans="31:34">
      <c r="AE282" s="12"/>
      <c r="AH282" s="65"/>
    </row>
    <row r="283" spans="31:34">
      <c r="AE283" s="12"/>
      <c r="AH283" s="65"/>
    </row>
    <row r="284" spans="31:34">
      <c r="AE284" s="12"/>
      <c r="AH284" s="65"/>
    </row>
    <row r="285" spans="31:34">
      <c r="AE285" s="12"/>
      <c r="AH285" s="65"/>
    </row>
    <row r="286" spans="31:34">
      <c r="AE286" s="12"/>
      <c r="AH286" s="65"/>
    </row>
    <row r="287" spans="31:34">
      <c r="AE287" s="12"/>
      <c r="AH287" s="65"/>
    </row>
    <row r="288" spans="31:34">
      <c r="AE288" s="12"/>
      <c r="AH288" s="65"/>
    </row>
    <row r="289" spans="31:34">
      <c r="AE289" s="12"/>
      <c r="AH289" s="65"/>
    </row>
    <row r="290" spans="31:34">
      <c r="AE290" s="12"/>
      <c r="AH290" s="65"/>
    </row>
    <row r="291" spans="31:34">
      <c r="AE291" s="12"/>
      <c r="AH291" s="65"/>
    </row>
    <row r="292" spans="31:34">
      <c r="AE292" s="12"/>
      <c r="AH292" s="65"/>
    </row>
    <row r="293" spans="31:34">
      <c r="AE293" s="12"/>
      <c r="AH293" s="65"/>
    </row>
    <row r="294" spans="31:34">
      <c r="AE294" s="12"/>
      <c r="AH294" s="65"/>
    </row>
    <row r="295" spans="31:34">
      <c r="AE295" s="12"/>
      <c r="AH295" s="65"/>
    </row>
    <row r="296" spans="31:34">
      <c r="AE296" s="12"/>
      <c r="AH296" s="65"/>
    </row>
    <row r="297" spans="31:34">
      <c r="AE297" s="12"/>
      <c r="AH297" s="65"/>
    </row>
    <row r="298" spans="31:34">
      <c r="AE298" s="12"/>
      <c r="AH298" s="65"/>
    </row>
    <row r="299" spans="31:34">
      <c r="AE299" s="12"/>
      <c r="AH299" s="65"/>
    </row>
    <row r="300" spans="31:34">
      <c r="AE300" s="12"/>
      <c r="AH300" s="65"/>
    </row>
    <row r="301" spans="31:34">
      <c r="AE301" s="12"/>
      <c r="AH301" s="65"/>
    </row>
    <row r="302" spans="31:34">
      <c r="AE302" s="12"/>
      <c r="AH302" s="65"/>
    </row>
    <row r="303" spans="31:34">
      <c r="AE303" s="12"/>
      <c r="AH303" s="65"/>
    </row>
    <row r="304" spans="31:34">
      <c r="AE304" s="12"/>
      <c r="AH304" s="65"/>
    </row>
    <row r="305" spans="31:34">
      <c r="AE305" s="12"/>
      <c r="AH305" s="65"/>
    </row>
    <row r="306" spans="31:34">
      <c r="AE306" s="12"/>
      <c r="AH306" s="65"/>
    </row>
    <row r="307" spans="31:34">
      <c r="AE307" s="12"/>
      <c r="AH307" s="65"/>
    </row>
    <row r="308" spans="31:34">
      <c r="AE308" s="12"/>
      <c r="AH308" s="65"/>
    </row>
    <row r="309" spans="31:34">
      <c r="AE309" s="12"/>
      <c r="AH309" s="65"/>
    </row>
    <row r="310" spans="31:34">
      <c r="AE310" s="12"/>
      <c r="AH310" s="65"/>
    </row>
    <row r="311" spans="31:34">
      <c r="AE311" s="12"/>
      <c r="AH311" s="65"/>
    </row>
    <row r="312" spans="31:34">
      <c r="AE312" s="12"/>
      <c r="AH312" s="65"/>
    </row>
    <row r="313" spans="31:34">
      <c r="AE313" s="12"/>
      <c r="AH313" s="65"/>
    </row>
    <row r="314" spans="31:34">
      <c r="AE314" s="12"/>
      <c r="AH314" s="65"/>
    </row>
    <row r="315" spans="31:34">
      <c r="AE315" s="12"/>
      <c r="AH315" s="65"/>
    </row>
    <row r="316" spans="31:34">
      <c r="AE316" s="12"/>
      <c r="AH316" s="65"/>
    </row>
    <row r="317" spans="31:34">
      <c r="AE317" s="12"/>
      <c r="AH317" s="65"/>
    </row>
    <row r="318" spans="31:34">
      <c r="AE318" s="12"/>
      <c r="AH318" s="65"/>
    </row>
    <row r="319" spans="31:34">
      <c r="AE319" s="12"/>
      <c r="AH319" s="65"/>
    </row>
    <row r="320" spans="31:34">
      <c r="AE320" s="12"/>
      <c r="AH320" s="65"/>
    </row>
    <row r="321" spans="31:34">
      <c r="AE321" s="12"/>
      <c r="AH321" s="65"/>
    </row>
    <row r="322" spans="31:34">
      <c r="AE322" s="12"/>
      <c r="AH322" s="65"/>
    </row>
    <row r="323" spans="31:34">
      <c r="AE323" s="12"/>
      <c r="AH323" s="65"/>
    </row>
    <row r="324" spans="31:34">
      <c r="AE324" s="12"/>
      <c r="AH324" s="65"/>
    </row>
    <row r="325" spans="31:34">
      <c r="AE325" s="12"/>
      <c r="AH325" s="65"/>
    </row>
    <row r="326" spans="31:34">
      <c r="AE326" s="12"/>
      <c r="AH326" s="65"/>
    </row>
    <row r="327" spans="31:34">
      <c r="AE327" s="12"/>
      <c r="AH327" s="65"/>
    </row>
    <row r="328" spans="31:34">
      <c r="AE328" s="12"/>
      <c r="AH328" s="65"/>
    </row>
    <row r="329" spans="31:34">
      <c r="AE329" s="12"/>
      <c r="AH329" s="65"/>
    </row>
    <row r="330" spans="31:34">
      <c r="AE330" s="12"/>
      <c r="AH330" s="65"/>
    </row>
    <row r="331" spans="31:34">
      <c r="AE331" s="12"/>
      <c r="AH331" s="65"/>
    </row>
    <row r="332" spans="31:34">
      <c r="AE332" s="12"/>
      <c r="AH332" s="65"/>
    </row>
    <row r="333" spans="31:34">
      <c r="AE333" s="12"/>
      <c r="AH333" s="65"/>
    </row>
    <row r="334" spans="31:34">
      <c r="AE334" s="12"/>
      <c r="AH334" s="65"/>
    </row>
    <row r="335" spans="31:34">
      <c r="AE335" s="12"/>
      <c r="AH335" s="65"/>
    </row>
    <row r="336" spans="31:34">
      <c r="AE336" s="12"/>
      <c r="AH336" s="65"/>
    </row>
    <row r="337" spans="31:34">
      <c r="AE337" s="12"/>
      <c r="AH337" s="65"/>
    </row>
    <row r="338" spans="31:34">
      <c r="AE338" s="12"/>
      <c r="AH338" s="65"/>
    </row>
    <row r="339" spans="31:34">
      <c r="AE339" s="12"/>
      <c r="AH339" s="65"/>
    </row>
    <row r="340" spans="31:34">
      <c r="AE340" s="12"/>
      <c r="AH340" s="65"/>
    </row>
    <row r="341" spans="31:34">
      <c r="AE341" s="12"/>
      <c r="AH341" s="65"/>
    </row>
    <row r="342" spans="31:34">
      <c r="AE342" s="12"/>
      <c r="AH342" s="65"/>
    </row>
    <row r="343" spans="31:34">
      <c r="AE343" s="12"/>
      <c r="AH343" s="65"/>
    </row>
    <row r="344" spans="31:34">
      <c r="AE344" s="12"/>
      <c r="AH344" s="65"/>
    </row>
    <row r="345" spans="31:34">
      <c r="AE345" s="12"/>
      <c r="AH345" s="65"/>
    </row>
    <row r="346" spans="31:34">
      <c r="AE346" s="12"/>
      <c r="AH346" s="65"/>
    </row>
    <row r="347" spans="31:34">
      <c r="AE347" s="12"/>
      <c r="AH347" s="65"/>
    </row>
    <row r="348" spans="31:34">
      <c r="AE348" s="12"/>
      <c r="AH348" s="65"/>
    </row>
    <row r="349" spans="31:34">
      <c r="AE349" s="12"/>
      <c r="AH349" s="65"/>
    </row>
    <row r="350" spans="31:34">
      <c r="AE350" s="12"/>
      <c r="AH350" s="65"/>
    </row>
    <row r="351" spans="31:34">
      <c r="AE351" s="12"/>
      <c r="AH351" s="65"/>
    </row>
    <row r="352" spans="31:34">
      <c r="AE352" s="12"/>
      <c r="AH352" s="65"/>
    </row>
    <row r="353" spans="31:34">
      <c r="AE353" s="12"/>
      <c r="AH353" s="65"/>
    </row>
    <row r="354" spans="31:34">
      <c r="AE354" s="12"/>
      <c r="AH354" s="65"/>
    </row>
    <row r="355" spans="31:34">
      <c r="AE355" s="12"/>
      <c r="AH355" s="65"/>
    </row>
    <row r="356" spans="31:34">
      <c r="AE356" s="12"/>
      <c r="AH356" s="65"/>
    </row>
    <row r="357" spans="31:34">
      <c r="AE357" s="12"/>
      <c r="AH357" s="65"/>
    </row>
    <row r="358" spans="31:34">
      <c r="AE358" s="12"/>
      <c r="AH358" s="65"/>
    </row>
    <row r="359" spans="31:34">
      <c r="AE359" s="12"/>
      <c r="AH359" s="65"/>
    </row>
    <row r="360" spans="31:34">
      <c r="AE360" s="12"/>
      <c r="AH360" s="65"/>
    </row>
    <row r="361" spans="31:34">
      <c r="AE361" s="12"/>
      <c r="AH361" s="65"/>
    </row>
    <row r="362" spans="31:34">
      <c r="AE362" s="12"/>
      <c r="AH362" s="65"/>
    </row>
    <row r="363" spans="31:34">
      <c r="AE363" s="12"/>
      <c r="AH363" s="65"/>
    </row>
    <row r="364" spans="31:34">
      <c r="AE364" s="12"/>
      <c r="AH364" s="65"/>
    </row>
    <row r="365" spans="31:34">
      <c r="AE365" s="12"/>
      <c r="AH365" s="65"/>
    </row>
    <row r="366" spans="31:34">
      <c r="AE366" s="12"/>
      <c r="AH366" s="65"/>
    </row>
    <row r="367" spans="31:34">
      <c r="AE367" s="12"/>
      <c r="AH367" s="65"/>
    </row>
    <row r="368" spans="31:34">
      <c r="AE368" s="12"/>
      <c r="AH368" s="65"/>
    </row>
    <row r="369" spans="31:34">
      <c r="AE369" s="12"/>
      <c r="AH369" s="65"/>
    </row>
    <row r="370" spans="31:34">
      <c r="AE370" s="12"/>
      <c r="AH370" s="65"/>
    </row>
    <row r="371" spans="31:34">
      <c r="AE371" s="12"/>
      <c r="AH371" s="65"/>
    </row>
    <row r="372" spans="31:34">
      <c r="AE372" s="12"/>
      <c r="AH372" s="65"/>
    </row>
    <row r="373" spans="31:34">
      <c r="AE373" s="12"/>
      <c r="AH373" s="65"/>
    </row>
    <row r="374" spans="31:34">
      <c r="AE374" s="12"/>
      <c r="AH374" s="65"/>
    </row>
    <row r="375" spans="31:34">
      <c r="AE375" s="12"/>
      <c r="AH375" s="65"/>
    </row>
    <row r="376" spans="31:34">
      <c r="AE376" s="12"/>
      <c r="AH376" s="65"/>
    </row>
    <row r="377" spans="31:34">
      <c r="AE377" s="12"/>
      <c r="AH377" s="65"/>
    </row>
    <row r="378" spans="31:34">
      <c r="AE378" s="12"/>
      <c r="AH378" s="65"/>
    </row>
    <row r="379" spans="31:34">
      <c r="AE379" s="12"/>
      <c r="AH379" s="65"/>
    </row>
    <row r="380" spans="31:34">
      <c r="AE380" s="12"/>
      <c r="AH380" s="65"/>
    </row>
    <row r="381" spans="31:34">
      <c r="AE381" s="12"/>
      <c r="AH381" s="65"/>
    </row>
    <row r="382" spans="31:34">
      <c r="AE382" s="12"/>
      <c r="AH382" s="65"/>
    </row>
    <row r="383" spans="31:34">
      <c r="AE383" s="12"/>
      <c r="AH383" s="65"/>
    </row>
    <row r="384" spans="31:34">
      <c r="AE384" s="12"/>
      <c r="AH384" s="65"/>
    </row>
    <row r="385" spans="31:34">
      <c r="AE385" s="12"/>
      <c r="AH385" s="65"/>
    </row>
    <row r="386" spans="31:34">
      <c r="AE386" s="12"/>
      <c r="AH386" s="65"/>
    </row>
    <row r="387" spans="31:34">
      <c r="AE387" s="12"/>
      <c r="AH387" s="65"/>
    </row>
    <row r="388" spans="31:34">
      <c r="AE388" s="12"/>
      <c r="AH388" s="65"/>
    </row>
    <row r="389" spans="31:34">
      <c r="AE389" s="12"/>
      <c r="AH389" s="65"/>
    </row>
    <row r="390" spans="31:34">
      <c r="AE390" s="12"/>
      <c r="AH390" s="65"/>
    </row>
    <row r="391" spans="31:34">
      <c r="AE391" s="12"/>
      <c r="AH391" s="65"/>
    </row>
    <row r="392" spans="31:34">
      <c r="AE392" s="12"/>
      <c r="AH392" s="65"/>
    </row>
    <row r="393" spans="31:34">
      <c r="AE393" s="12"/>
      <c r="AH393" s="65"/>
    </row>
    <row r="394" spans="31:34">
      <c r="AE394" s="12"/>
      <c r="AH394" s="65"/>
    </row>
    <row r="395" spans="31:34">
      <c r="AE395" s="12"/>
      <c r="AH395" s="65"/>
    </row>
    <row r="396" spans="31:34">
      <c r="AE396" s="12"/>
      <c r="AH396" s="65"/>
    </row>
    <row r="397" spans="31:34">
      <c r="AE397" s="12"/>
      <c r="AH397" s="65"/>
    </row>
    <row r="398" spans="31:34">
      <c r="AE398" s="12"/>
      <c r="AH398" s="65"/>
    </row>
    <row r="399" spans="31:34">
      <c r="AE399" s="12"/>
      <c r="AH399" s="65"/>
    </row>
    <row r="400" spans="31:34">
      <c r="AE400" s="12"/>
      <c r="AH400" s="65"/>
    </row>
    <row r="401" spans="31:34">
      <c r="AE401" s="12"/>
      <c r="AH401" s="65"/>
    </row>
    <row r="402" spans="31:34">
      <c r="AE402" s="12"/>
      <c r="AH402" s="65"/>
    </row>
    <row r="403" spans="31:34">
      <c r="AE403" s="12"/>
      <c r="AH403" s="65"/>
    </row>
    <row r="404" spans="31:34">
      <c r="AE404" s="12"/>
      <c r="AH404" s="65"/>
    </row>
    <row r="405" spans="31:34">
      <c r="AE405" s="12"/>
      <c r="AH405" s="65"/>
    </row>
    <row r="406" spans="31:34">
      <c r="AE406" s="12"/>
      <c r="AH406" s="65"/>
    </row>
    <row r="407" spans="31:34">
      <c r="AE407" s="12"/>
      <c r="AH407" s="65"/>
    </row>
    <row r="408" spans="31:34">
      <c r="AE408" s="12"/>
      <c r="AH408" s="65"/>
    </row>
    <row r="409" spans="31:34">
      <c r="AE409" s="12"/>
      <c r="AH409" s="65"/>
    </row>
    <row r="410" spans="31:34">
      <c r="AE410" s="12"/>
      <c r="AH410" s="65"/>
    </row>
    <row r="411" spans="31:34">
      <c r="AE411" s="12"/>
      <c r="AH411" s="65"/>
    </row>
    <row r="412" spans="31:34">
      <c r="AE412" s="12"/>
      <c r="AH412" s="65"/>
    </row>
    <row r="413" spans="31:34">
      <c r="AE413" s="12"/>
      <c r="AH413" s="65"/>
    </row>
    <row r="414" spans="31:34">
      <c r="AE414" s="12"/>
      <c r="AH414" s="65"/>
    </row>
    <row r="415" spans="31:34">
      <c r="AE415" s="12"/>
      <c r="AH415" s="65"/>
    </row>
    <row r="416" spans="31:34">
      <c r="AE416" s="12"/>
      <c r="AH416" s="65"/>
    </row>
    <row r="417" spans="31:34">
      <c r="AE417" s="12"/>
      <c r="AH417" s="65"/>
    </row>
    <row r="418" spans="31:34">
      <c r="AE418" s="12"/>
      <c r="AH418" s="65"/>
    </row>
    <row r="419" spans="31:34">
      <c r="AE419" s="12"/>
      <c r="AH419" s="65"/>
    </row>
    <row r="420" spans="31:34">
      <c r="AE420" s="12"/>
      <c r="AH420" s="65"/>
    </row>
    <row r="421" spans="31:34">
      <c r="AE421" s="12"/>
      <c r="AH421" s="65"/>
    </row>
    <row r="422" spans="31:34">
      <c r="AE422" s="12"/>
      <c r="AH422" s="65"/>
    </row>
    <row r="423" spans="31:34">
      <c r="AE423" s="12"/>
      <c r="AH423" s="65"/>
    </row>
    <row r="424" spans="31:34">
      <c r="AE424" s="12"/>
      <c r="AH424" s="65"/>
    </row>
    <row r="425" spans="31:34">
      <c r="AE425" s="12"/>
      <c r="AH425" s="65"/>
    </row>
    <row r="426" spans="31:34">
      <c r="AE426" s="12"/>
      <c r="AH426" s="65"/>
    </row>
    <row r="427" spans="31:34">
      <c r="AE427" s="12"/>
      <c r="AH427" s="65"/>
    </row>
    <row r="428" spans="31:34">
      <c r="AE428" s="12"/>
      <c r="AH428" s="65"/>
    </row>
    <row r="429" spans="31:34">
      <c r="AE429" s="12"/>
      <c r="AH429" s="65"/>
    </row>
    <row r="430" spans="31:34">
      <c r="AE430" s="12"/>
      <c r="AH430" s="65"/>
    </row>
    <row r="431" spans="31:34">
      <c r="AE431" s="12"/>
      <c r="AH431" s="65"/>
    </row>
    <row r="432" spans="31:34">
      <c r="AE432" s="12"/>
      <c r="AH432" s="65"/>
    </row>
    <row r="433" spans="31:34">
      <c r="AE433" s="12"/>
      <c r="AH433" s="65"/>
    </row>
    <row r="434" spans="31:34">
      <c r="AE434" s="12"/>
      <c r="AH434" s="65"/>
    </row>
    <row r="435" spans="31:34">
      <c r="AE435" s="12"/>
      <c r="AH435" s="65"/>
    </row>
    <row r="436" spans="31:34">
      <c r="AE436" s="12"/>
      <c r="AH436" s="65"/>
    </row>
    <row r="437" spans="31:34">
      <c r="AE437" s="12"/>
      <c r="AH437" s="65"/>
    </row>
    <row r="438" spans="31:34">
      <c r="AE438" s="12"/>
      <c r="AH438" s="65"/>
    </row>
    <row r="439" spans="31:34">
      <c r="AE439" s="12"/>
      <c r="AH439" s="65"/>
    </row>
    <row r="440" spans="31:34">
      <c r="AE440" s="12"/>
      <c r="AH440" s="65"/>
    </row>
    <row r="441" spans="31:34">
      <c r="AE441" s="12"/>
      <c r="AH441" s="65"/>
    </row>
    <row r="442" spans="31:34">
      <c r="AE442" s="12"/>
      <c r="AH442" s="65"/>
    </row>
    <row r="443" spans="31:34">
      <c r="AE443" s="12"/>
      <c r="AH443" s="65"/>
    </row>
    <row r="444" spans="31:34">
      <c r="AE444" s="12"/>
      <c r="AH444" s="65"/>
    </row>
    <row r="445" spans="31:34">
      <c r="AE445" s="12"/>
      <c r="AH445" s="65"/>
    </row>
    <row r="446" spans="31:34">
      <c r="AE446" s="12"/>
      <c r="AH446" s="65"/>
    </row>
    <row r="447" spans="31:34">
      <c r="AE447" s="12"/>
      <c r="AH447" s="65"/>
    </row>
    <row r="448" spans="31:34">
      <c r="AE448" s="12"/>
      <c r="AH448" s="65"/>
    </row>
    <row r="449" spans="31:34">
      <c r="AE449" s="12"/>
      <c r="AH449" s="65"/>
    </row>
    <row r="450" spans="31:34">
      <c r="AE450" s="12"/>
      <c r="AH450" s="65"/>
    </row>
    <row r="451" spans="31:34">
      <c r="AE451" s="12"/>
      <c r="AH451" s="65"/>
    </row>
    <row r="452" spans="31:34">
      <c r="AE452" s="12"/>
      <c r="AH452" s="65"/>
    </row>
    <row r="453" spans="31:34">
      <c r="AE453" s="12"/>
      <c r="AH453" s="65"/>
    </row>
    <row r="454" spans="31:34">
      <c r="AE454" s="12"/>
      <c r="AH454" s="65"/>
    </row>
    <row r="455" spans="31:34">
      <c r="AE455" s="12"/>
      <c r="AH455" s="65"/>
    </row>
    <row r="456" spans="31:34">
      <c r="AE456" s="12"/>
      <c r="AH456" s="65"/>
    </row>
    <row r="457" spans="31:34">
      <c r="AE457" s="12"/>
      <c r="AH457" s="65"/>
    </row>
    <row r="458" spans="31:34">
      <c r="AE458" s="12"/>
      <c r="AH458" s="65"/>
    </row>
    <row r="459" spans="31:34">
      <c r="AE459" s="12"/>
      <c r="AH459" s="65"/>
    </row>
    <row r="460" spans="31:34">
      <c r="AE460" s="12"/>
      <c r="AH460" s="65"/>
    </row>
    <row r="461" spans="31:34">
      <c r="AE461" s="12"/>
      <c r="AH461" s="65"/>
    </row>
    <row r="462" spans="31:34">
      <c r="AE462" s="12"/>
      <c r="AH462" s="65"/>
    </row>
    <row r="463" spans="31:34">
      <c r="AE463" s="12"/>
      <c r="AH463" s="65"/>
    </row>
    <row r="464" spans="31:34">
      <c r="AE464" s="12"/>
      <c r="AH464" s="65"/>
    </row>
    <row r="465" spans="31:34">
      <c r="AE465" s="12"/>
      <c r="AH465" s="65"/>
    </row>
    <row r="466" spans="31:34">
      <c r="AE466" s="12"/>
      <c r="AH466" s="65"/>
    </row>
    <row r="467" spans="31:34">
      <c r="AE467" s="12"/>
      <c r="AH467" s="65"/>
    </row>
    <row r="468" spans="31:34">
      <c r="AE468" s="12"/>
      <c r="AH468" s="65"/>
    </row>
    <row r="469" spans="31:34">
      <c r="AE469" s="12"/>
      <c r="AH469" s="65"/>
    </row>
    <row r="470" spans="31:34">
      <c r="AE470" s="12"/>
      <c r="AH470" s="65"/>
    </row>
    <row r="471" spans="31:34">
      <c r="AE471" s="12"/>
      <c r="AH471" s="65"/>
    </row>
    <row r="472" spans="31:34">
      <c r="AE472" s="12"/>
      <c r="AH472" s="65"/>
    </row>
    <row r="473" spans="31:34">
      <c r="AE473" s="12"/>
      <c r="AH473" s="65"/>
    </row>
    <row r="474" spans="31:34">
      <c r="AE474" s="12"/>
      <c r="AH474" s="65"/>
    </row>
    <row r="475" spans="31:34">
      <c r="AE475" s="12"/>
      <c r="AH475" s="65"/>
    </row>
    <row r="476" spans="31:34">
      <c r="AE476" s="12"/>
      <c r="AH476" s="65"/>
    </row>
    <row r="477" spans="31:34">
      <c r="AE477" s="12"/>
      <c r="AH477" s="65"/>
    </row>
    <row r="478" spans="31:34">
      <c r="AE478" s="12"/>
      <c r="AH478" s="65"/>
    </row>
    <row r="479" spans="31:34">
      <c r="AE479" s="12"/>
      <c r="AH479" s="65"/>
    </row>
    <row r="480" spans="31:34">
      <c r="AE480" s="12"/>
      <c r="AH480" s="65"/>
    </row>
    <row r="481" spans="31:34">
      <c r="AE481" s="12"/>
      <c r="AH481" s="65"/>
    </row>
    <row r="482" spans="31:34">
      <c r="AE482" s="12"/>
      <c r="AH482" s="65"/>
    </row>
    <row r="483" spans="31:34">
      <c r="AE483" s="12"/>
      <c r="AH483" s="65"/>
    </row>
    <row r="484" spans="31:34">
      <c r="AE484" s="12"/>
      <c r="AH484" s="65"/>
    </row>
    <row r="485" spans="31:34">
      <c r="AE485" s="12"/>
      <c r="AH485" s="65"/>
    </row>
    <row r="486" spans="31:34">
      <c r="AE486" s="12"/>
      <c r="AH486" s="65"/>
    </row>
    <row r="487" spans="31:34">
      <c r="AE487" s="12"/>
      <c r="AH487" s="65"/>
    </row>
    <row r="488" spans="31:34">
      <c r="AE488" s="12"/>
      <c r="AH488" s="65"/>
    </row>
    <row r="489" spans="31:34">
      <c r="AE489" s="12"/>
      <c r="AH489" s="65"/>
    </row>
    <row r="490" spans="31:34">
      <c r="AE490" s="12"/>
      <c r="AH490" s="65"/>
    </row>
    <row r="491" spans="31:34">
      <c r="AE491" s="12"/>
      <c r="AH491" s="65"/>
    </row>
    <row r="492" spans="31:34">
      <c r="AE492" s="12"/>
      <c r="AH492" s="65"/>
    </row>
    <row r="493" spans="31:34">
      <c r="AE493" s="12"/>
      <c r="AH493" s="65"/>
    </row>
    <row r="494" spans="31:34">
      <c r="AE494" s="12"/>
      <c r="AH494" s="65"/>
    </row>
    <row r="495" spans="31:34">
      <c r="AE495" s="12"/>
      <c r="AH495" s="65"/>
    </row>
    <row r="496" spans="31:34">
      <c r="AE496" s="12"/>
      <c r="AH496" s="65"/>
    </row>
    <row r="497" spans="31:34">
      <c r="AE497" s="12"/>
      <c r="AH497" s="65"/>
    </row>
    <row r="498" spans="31:34">
      <c r="AE498" s="12"/>
      <c r="AH498" s="65"/>
    </row>
    <row r="499" spans="31:34">
      <c r="AE499" s="12"/>
      <c r="AH499" s="65"/>
    </row>
    <row r="500" spans="31:34">
      <c r="AE500" s="12"/>
      <c r="AH500" s="65"/>
    </row>
    <row r="501" spans="31:34">
      <c r="AE501" s="12"/>
      <c r="AH501" s="65"/>
    </row>
    <row r="502" spans="31:34">
      <c r="AE502" s="12"/>
      <c r="AH502" s="65"/>
    </row>
    <row r="503" spans="31:34">
      <c r="AE503" s="12"/>
      <c r="AH503" s="65"/>
    </row>
    <row r="504" spans="31:34">
      <c r="AE504" s="12"/>
      <c r="AH504" s="65"/>
    </row>
    <row r="505" spans="31:34">
      <c r="AE505" s="12"/>
      <c r="AH505" s="65"/>
    </row>
    <row r="506" spans="31:34">
      <c r="AE506" s="12"/>
      <c r="AH506" s="65"/>
    </row>
    <row r="507" spans="31:34">
      <c r="AE507" s="12"/>
      <c r="AH507" s="65"/>
    </row>
    <row r="508" spans="31:34">
      <c r="AE508" s="12"/>
      <c r="AH508" s="65"/>
    </row>
    <row r="509" spans="31:34">
      <c r="AE509" s="12"/>
      <c r="AH509" s="65"/>
    </row>
    <row r="510" spans="31:34">
      <c r="AE510" s="12"/>
      <c r="AH510" s="65"/>
    </row>
    <row r="511" spans="31:34">
      <c r="AE511" s="12"/>
      <c r="AH511" s="65"/>
    </row>
    <row r="512" spans="31:34">
      <c r="AE512" s="12"/>
      <c r="AH512" s="65"/>
    </row>
    <row r="513" spans="31:34">
      <c r="AE513" s="12"/>
      <c r="AH513" s="65"/>
    </row>
    <row r="514" spans="31:34">
      <c r="AE514" s="12"/>
      <c r="AH514" s="65"/>
    </row>
    <row r="515" spans="31:34">
      <c r="AE515" s="12"/>
      <c r="AH515" s="65"/>
    </row>
    <row r="516" spans="31:34">
      <c r="AE516" s="12"/>
      <c r="AH516" s="65"/>
    </row>
    <row r="517" spans="31:34">
      <c r="AE517" s="12"/>
      <c r="AH517" s="65"/>
    </row>
    <row r="518" spans="31:34">
      <c r="AE518" s="12"/>
      <c r="AH518" s="65"/>
    </row>
    <row r="519" spans="31:34">
      <c r="AE519" s="12"/>
      <c r="AH519" s="65"/>
    </row>
    <row r="520" spans="31:34">
      <c r="AE520" s="12"/>
      <c r="AH520" s="65"/>
    </row>
    <row r="521" spans="31:34">
      <c r="AE521" s="12"/>
      <c r="AH521" s="65"/>
    </row>
    <row r="522" spans="31:34">
      <c r="AE522" s="12"/>
      <c r="AH522" s="65"/>
    </row>
    <row r="523" spans="31:34">
      <c r="AE523" s="12"/>
      <c r="AH523" s="65"/>
    </row>
    <row r="524" spans="31:34">
      <c r="AE524" s="12"/>
      <c r="AH524" s="65"/>
    </row>
    <row r="525" spans="31:34">
      <c r="AE525" s="12"/>
      <c r="AH525" s="65"/>
    </row>
    <row r="526" spans="31:34">
      <c r="AE526" s="12"/>
      <c r="AH526" s="65"/>
    </row>
    <row r="527" spans="31:34">
      <c r="AE527" s="12"/>
      <c r="AH527" s="65"/>
    </row>
    <row r="528" spans="31:34">
      <c r="AE528" s="12"/>
      <c r="AH528" s="65"/>
    </row>
    <row r="529" spans="31:34">
      <c r="AE529" s="12"/>
      <c r="AH529" s="65"/>
    </row>
    <row r="530" spans="31:34">
      <c r="AE530" s="12"/>
      <c r="AH530" s="65"/>
    </row>
    <row r="531" spans="31:34">
      <c r="AE531" s="12"/>
      <c r="AH531" s="65"/>
    </row>
    <row r="532" spans="31:34">
      <c r="AE532" s="12"/>
      <c r="AH532" s="65"/>
    </row>
    <row r="533" spans="31:34">
      <c r="AE533" s="12"/>
      <c r="AH533" s="65"/>
    </row>
    <row r="534" spans="31:34">
      <c r="AE534" s="12"/>
      <c r="AH534" s="65"/>
    </row>
    <row r="535" spans="31:34">
      <c r="AE535" s="12"/>
      <c r="AH535" s="65"/>
    </row>
    <row r="536" spans="31:34">
      <c r="AE536" s="12"/>
      <c r="AH536" s="65"/>
    </row>
    <row r="537" spans="31:34">
      <c r="AE537" s="12"/>
      <c r="AH537" s="65"/>
    </row>
    <row r="538" spans="31:34">
      <c r="AE538" s="12"/>
      <c r="AH538" s="65"/>
    </row>
    <row r="539" spans="31:34">
      <c r="AE539" s="12"/>
      <c r="AH539" s="65"/>
    </row>
    <row r="540" spans="31:34">
      <c r="AE540" s="12"/>
      <c r="AH540" s="65"/>
    </row>
    <row r="541" spans="31:34">
      <c r="AE541" s="12"/>
      <c r="AH541" s="65"/>
    </row>
    <row r="542" spans="31:34">
      <c r="AE542" s="12"/>
      <c r="AH542" s="65"/>
    </row>
    <row r="543" spans="31:34">
      <c r="AE543" s="12"/>
      <c r="AH543" s="65"/>
    </row>
    <row r="544" spans="31:34">
      <c r="AE544" s="12"/>
      <c r="AH544" s="65"/>
    </row>
    <row r="545" spans="31:34">
      <c r="AE545" s="12"/>
      <c r="AH545" s="65"/>
    </row>
    <row r="546" spans="31:34">
      <c r="AE546" s="12"/>
      <c r="AH546" s="65"/>
    </row>
    <row r="547" spans="31:34">
      <c r="AE547" s="12"/>
      <c r="AH547" s="65"/>
    </row>
    <row r="548" spans="31:34">
      <c r="AE548" s="12"/>
      <c r="AH548" s="65"/>
    </row>
    <row r="549" spans="31:34">
      <c r="AE549" s="12"/>
      <c r="AH549" s="65"/>
    </row>
    <row r="550" spans="31:34">
      <c r="AE550" s="12"/>
      <c r="AH550" s="65"/>
    </row>
    <row r="551" spans="31:34">
      <c r="AE551" s="12"/>
      <c r="AH551" s="65"/>
    </row>
    <row r="552" spans="31:34">
      <c r="AE552" s="12"/>
      <c r="AH552" s="65"/>
    </row>
    <row r="553" spans="31:34">
      <c r="AE553" s="12"/>
      <c r="AH553" s="65"/>
    </row>
    <row r="554" spans="31:34">
      <c r="AE554" s="12"/>
      <c r="AH554" s="65"/>
    </row>
    <row r="555" spans="31:34">
      <c r="AE555" s="12"/>
      <c r="AH555" s="65"/>
    </row>
    <row r="556" spans="31:34">
      <c r="AE556" s="12"/>
      <c r="AH556" s="65"/>
    </row>
    <row r="557" spans="31:34">
      <c r="AE557" s="12"/>
      <c r="AH557" s="65"/>
    </row>
    <row r="558" spans="31:34">
      <c r="AE558" s="12"/>
      <c r="AH558" s="65"/>
    </row>
    <row r="559" spans="31:34">
      <c r="AE559" s="12"/>
      <c r="AH559" s="65"/>
    </row>
    <row r="560" spans="31:34">
      <c r="AE560" s="12"/>
      <c r="AH560" s="65"/>
    </row>
    <row r="561" spans="31:34">
      <c r="AE561" s="12"/>
      <c r="AH561" s="65"/>
    </row>
    <row r="562" spans="31:34">
      <c r="AE562" s="12"/>
      <c r="AH562" s="65"/>
    </row>
    <row r="563" spans="31:34">
      <c r="AE563" s="12"/>
      <c r="AH563" s="65"/>
    </row>
    <row r="564" spans="31:34">
      <c r="AE564" s="12"/>
      <c r="AH564" s="65"/>
    </row>
    <row r="565" spans="31:34">
      <c r="AE565" s="12"/>
      <c r="AH565" s="65"/>
    </row>
    <row r="566" spans="31:34">
      <c r="AE566" s="12"/>
      <c r="AH566" s="65"/>
    </row>
    <row r="567" spans="31:34">
      <c r="AE567" s="12"/>
      <c r="AH567" s="65"/>
    </row>
    <row r="568" spans="31:34">
      <c r="AE568" s="12"/>
      <c r="AH568" s="65"/>
    </row>
    <row r="569" spans="31:34">
      <c r="AE569" s="12"/>
      <c r="AH569" s="65"/>
    </row>
    <row r="570" spans="31:34">
      <c r="AE570" s="12"/>
      <c r="AH570" s="65"/>
    </row>
    <row r="571" spans="31:34">
      <c r="AE571" s="12"/>
      <c r="AH571" s="65"/>
    </row>
    <row r="572" spans="31:34">
      <c r="AE572" s="12"/>
      <c r="AH572" s="65"/>
    </row>
    <row r="573" spans="31:34">
      <c r="AE573" s="12"/>
      <c r="AH573" s="65"/>
    </row>
    <row r="574" spans="31:34">
      <c r="AE574" s="12"/>
      <c r="AH574" s="65"/>
    </row>
    <row r="575" spans="31:34">
      <c r="AE575" s="12"/>
      <c r="AH575" s="65"/>
    </row>
    <row r="576" spans="31:34">
      <c r="AE576" s="12"/>
      <c r="AH576" s="65"/>
    </row>
    <row r="577" spans="31:34">
      <c r="AE577" s="12"/>
      <c r="AH577" s="65"/>
    </row>
    <row r="578" spans="31:34">
      <c r="AE578" s="12"/>
      <c r="AH578" s="65"/>
    </row>
    <row r="579" spans="31:34">
      <c r="AE579" s="12"/>
      <c r="AH579" s="65"/>
    </row>
    <row r="580" spans="31:34">
      <c r="AE580" s="12"/>
      <c r="AH580" s="65"/>
    </row>
    <row r="581" spans="31:34">
      <c r="AE581" s="12"/>
      <c r="AH581" s="65"/>
    </row>
    <row r="582" spans="31:34">
      <c r="AE582" s="12"/>
      <c r="AH582" s="65"/>
    </row>
    <row r="583" spans="31:34">
      <c r="AE583" s="12"/>
      <c r="AH583" s="65"/>
    </row>
    <row r="584" spans="31:34">
      <c r="AE584" s="12"/>
      <c r="AH584" s="65"/>
    </row>
    <row r="585" spans="31:34">
      <c r="AE585" s="12"/>
      <c r="AH585" s="65"/>
    </row>
    <row r="586" spans="31:34">
      <c r="AE586" s="12"/>
      <c r="AH586" s="65"/>
    </row>
    <row r="587" spans="31:34">
      <c r="AE587" s="12"/>
      <c r="AH587" s="65"/>
    </row>
    <row r="588" spans="31:34">
      <c r="AE588" s="12"/>
      <c r="AH588" s="65"/>
    </row>
    <row r="589" spans="31:34">
      <c r="AE589" s="12"/>
      <c r="AH589" s="65"/>
    </row>
    <row r="590" spans="31:34">
      <c r="AE590" s="12"/>
      <c r="AH590" s="65"/>
    </row>
    <row r="591" spans="31:34">
      <c r="AE591" s="12"/>
      <c r="AH591" s="65"/>
    </row>
    <row r="592" spans="31:34">
      <c r="AE592" s="12"/>
      <c r="AH592" s="65"/>
    </row>
    <row r="593" spans="31:34">
      <c r="AE593" s="12"/>
      <c r="AH593" s="65"/>
    </row>
    <row r="594" spans="31:34">
      <c r="AE594" s="12"/>
      <c r="AH594" s="65"/>
    </row>
    <row r="595" spans="31:34">
      <c r="AE595" s="12"/>
      <c r="AH595" s="65"/>
    </row>
    <row r="596" spans="31:34">
      <c r="AE596" s="12"/>
      <c r="AH596" s="65"/>
    </row>
    <row r="597" spans="31:34">
      <c r="AE597" s="12"/>
      <c r="AH597" s="65"/>
    </row>
    <row r="598" spans="31:34">
      <c r="AE598" s="12"/>
      <c r="AH598" s="65"/>
    </row>
    <row r="599" spans="31:34">
      <c r="AE599" s="12"/>
      <c r="AH599" s="65"/>
    </row>
    <row r="600" spans="31:34">
      <c r="AE600" s="12"/>
      <c r="AH600" s="65"/>
    </row>
    <row r="601" spans="31:34">
      <c r="AE601" s="12"/>
      <c r="AH601" s="65"/>
    </row>
    <row r="602" spans="31:34">
      <c r="AE602" s="12"/>
      <c r="AH602" s="65"/>
    </row>
    <row r="603" spans="31:34">
      <c r="AE603" s="12"/>
      <c r="AH603" s="65"/>
    </row>
    <row r="604" spans="31:34">
      <c r="AE604" s="12"/>
      <c r="AH604" s="65"/>
    </row>
    <row r="605" spans="31:34">
      <c r="AE605" s="12"/>
      <c r="AH605" s="65"/>
    </row>
    <row r="606" spans="31:34">
      <c r="AE606" s="12"/>
      <c r="AH606" s="65"/>
    </row>
    <row r="607" spans="31:34">
      <c r="AE607" s="12"/>
      <c r="AH607" s="65"/>
    </row>
    <row r="608" spans="31:34">
      <c r="AE608" s="12"/>
      <c r="AH608" s="65"/>
    </row>
    <row r="609" spans="31:34">
      <c r="AE609" s="12"/>
      <c r="AH609" s="65"/>
    </row>
    <row r="610" spans="31:34">
      <c r="AE610" s="12"/>
      <c r="AH610" s="65"/>
    </row>
    <row r="611" spans="31:34">
      <c r="AE611" s="12"/>
      <c r="AH611" s="65"/>
    </row>
    <row r="612" spans="31:34">
      <c r="AE612" s="12"/>
      <c r="AH612" s="65"/>
    </row>
    <row r="613" spans="31:34">
      <c r="AE613" s="12"/>
      <c r="AH613" s="65"/>
    </row>
    <row r="614" spans="31:34">
      <c r="AE614" s="12"/>
      <c r="AH614" s="65"/>
    </row>
    <row r="615" spans="31:34">
      <c r="AE615" s="12"/>
      <c r="AH615" s="65"/>
    </row>
    <row r="616" spans="31:34">
      <c r="AE616" s="12"/>
      <c r="AH616" s="65"/>
    </row>
    <row r="617" spans="31:34">
      <c r="AE617" s="12"/>
      <c r="AH617" s="65"/>
    </row>
    <row r="618" spans="31:34">
      <c r="AE618" s="12"/>
      <c r="AH618" s="65"/>
    </row>
    <row r="619" spans="31:34">
      <c r="AE619" s="12"/>
      <c r="AH619" s="65"/>
    </row>
    <row r="620" spans="31:34">
      <c r="AE620" s="12"/>
      <c r="AH620" s="65"/>
    </row>
    <row r="621" spans="31:34">
      <c r="AE621" s="12"/>
      <c r="AH621" s="65"/>
    </row>
    <row r="622" spans="31:34">
      <c r="AE622" s="12"/>
      <c r="AH622" s="65"/>
    </row>
    <row r="623" spans="31:34">
      <c r="AE623" s="12"/>
      <c r="AH623" s="65"/>
    </row>
    <row r="624" spans="31:34">
      <c r="AE624" s="12"/>
      <c r="AH624" s="65"/>
    </row>
    <row r="625" spans="31:34">
      <c r="AE625" s="12"/>
      <c r="AH625" s="65"/>
    </row>
    <row r="626" spans="31:34">
      <c r="AE626" s="12"/>
      <c r="AH626" s="65"/>
    </row>
    <row r="627" spans="31:34">
      <c r="AE627" s="12"/>
      <c r="AH627" s="65"/>
    </row>
    <row r="628" spans="31:34">
      <c r="AE628" s="12"/>
      <c r="AH628" s="65"/>
    </row>
    <row r="629" spans="31:34">
      <c r="AE629" s="12"/>
      <c r="AH629" s="65"/>
    </row>
    <row r="630" spans="31:34">
      <c r="AE630" s="12"/>
      <c r="AH630" s="65"/>
    </row>
    <row r="631" spans="31:34">
      <c r="AE631" s="12"/>
      <c r="AH631" s="65"/>
    </row>
    <row r="632" spans="31:34">
      <c r="AE632" s="12"/>
      <c r="AH632" s="65"/>
    </row>
    <row r="633" spans="31:34">
      <c r="AE633" s="12"/>
      <c r="AH633" s="65"/>
    </row>
    <row r="634" spans="31:34">
      <c r="AE634" s="12"/>
      <c r="AH634" s="65"/>
    </row>
    <row r="635" spans="31:34">
      <c r="AE635" s="12"/>
      <c r="AH635" s="65"/>
    </row>
    <row r="636" spans="31:34">
      <c r="AE636" s="12"/>
      <c r="AH636" s="65"/>
    </row>
    <row r="637" spans="31:34">
      <c r="AE637" s="12"/>
      <c r="AH637" s="65"/>
    </row>
    <row r="638" spans="31:34">
      <c r="AE638" s="12"/>
      <c r="AH638" s="65"/>
    </row>
  </sheetData>
  <sheetProtection selectLockedCells="1"/>
  <mergeCells count="2">
    <mergeCell ref="A38:E38"/>
    <mergeCell ref="M73:Q73"/>
  </mergeCells>
  <phoneticPr fontId="53" type="noConversion"/>
  <conditionalFormatting sqref="AH7:AI26">
    <cfRule type="expression" dxfId="269" priority="1">
      <formula>$L$8</formula>
    </cfRule>
  </conditionalFormatting>
  <pageMargins left="0.7" right="0.7" top="0.75" bottom="0.75" header="0.3" footer="0.3"/>
  <pageSetup paperSize="9" orientation="portrait" r:id="rId1"/>
  <ignoredErrors>
    <ignoredError sqref="B17:D17 F17:K17 M17 P17:S17 V17:W17 AB17:AC17 AE17:AG17 AK17 Y17:Z17" evalError="1"/>
  </ignoredErrors>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19"/>
  <dimension ref="A1:R47"/>
  <sheetViews>
    <sheetView workbookViewId="0">
      <selection activeCell="A7" sqref="A7"/>
    </sheetView>
  </sheetViews>
  <sheetFormatPr defaultRowHeight="15.5"/>
  <cols>
    <col min="2" max="2" width="10.42578125" customWidth="1"/>
    <col min="3" max="3" width="10.640625" bestFit="1" customWidth="1"/>
    <col min="4" max="4" width="25.85546875" style="596" bestFit="1" customWidth="1"/>
    <col min="5" max="5" width="20.28515625" bestFit="1" customWidth="1"/>
    <col min="6" max="13" width="15.42578125" bestFit="1" customWidth="1"/>
    <col min="14" max="16" width="11.78515625" bestFit="1" customWidth="1"/>
    <col min="17" max="17" width="11.640625" bestFit="1" customWidth="1"/>
  </cols>
  <sheetData>
    <row r="1" spans="1:17">
      <c r="A1" s="503">
        <f>IFERROR(SUBTOTAL(101,表格5_5[匯率代碼]),4)</f>
        <v>2</v>
      </c>
      <c r="B1" t="s">
        <v>2124</v>
      </c>
      <c r="D1" s="596" t="s">
        <v>4466</v>
      </c>
    </row>
    <row r="2" spans="1:17">
      <c r="A2" s="503">
        <f>SUBTOTAL(109,表格5_5[報酬代碼])</f>
        <v>5</v>
      </c>
      <c r="B2" t="s">
        <v>2123</v>
      </c>
      <c r="D2" s="596" t="s">
        <v>4461</v>
      </c>
      <c r="E2" s="873">
        <f ca="1">IF(E$11="",0,OFFSET('Tssco-bond portfolio(2)'!$BU7,E$9,0))</f>
        <v>3248100</v>
      </c>
      <c r="F2" s="873">
        <f ca="1">IF(F$11="",0,OFFSET('Tssco-bond portfolio(2)'!$BU7,F$9,0))</f>
        <v>3248100</v>
      </c>
      <c r="G2" s="873">
        <f ca="1">IF(G$11="",0,OFFSET('Tssco-bond portfolio(2)'!$BU7,G$9,0))</f>
        <v>3248100</v>
      </c>
      <c r="H2" s="873">
        <f ca="1">IF(H$11="",0,OFFSET('Tssco-bond portfolio(2)'!$BU7,H$9,0))</f>
        <v>3248100</v>
      </c>
      <c r="I2" s="873">
        <f ca="1">IF(I$11="",0,OFFSET('Tssco-bond portfolio(2)'!$BU7,I$9,0))</f>
        <v>0</v>
      </c>
      <c r="J2" s="873">
        <f ca="1">IF(J$11="",0,OFFSET('Tssco-bond portfolio(2)'!$BU7,J$9,0))</f>
        <v>0</v>
      </c>
      <c r="K2" s="873">
        <f ca="1">IF(K$11="",0,OFFSET('Tssco-bond portfolio(2)'!$BU7,K$9,0))</f>
        <v>0</v>
      </c>
      <c r="L2" s="873">
        <f ca="1">IF(L$11="",0,OFFSET('Tssco-bond portfolio(2)'!$BU7,L$9,0))</f>
        <v>0</v>
      </c>
      <c r="M2" s="873">
        <f ca="1">IF(M$11="",0,OFFSET('Tssco-bond portfolio(2)'!$BU7,M$9,0))</f>
        <v>0</v>
      </c>
      <c r="N2" s="873">
        <f ca="1">IF(N$11="",0,OFFSET('Tssco-bond portfolio(2)'!$BU7,N$9,0))</f>
        <v>0</v>
      </c>
      <c r="O2" s="873">
        <f ca="1">IF(O$11="",0,OFFSET('Tssco-bond portfolio(2)'!$BU7,O$9,0))</f>
        <v>0</v>
      </c>
      <c r="P2" s="873">
        <f ca="1">IF(P$11="",0,OFFSET('Tssco-bond portfolio(2)'!$BU7,P$9,0))</f>
        <v>0</v>
      </c>
      <c r="Q2" s="979">
        <f ca="1">SUMIF(E2:P2,"&gt;0")</f>
        <v>12992400</v>
      </c>
    </row>
    <row r="3" spans="1:17">
      <c r="A3" s="664">
        <f ca="1">'Tssco-bond portfolio(2)'!BQ1</f>
        <v>1</v>
      </c>
      <c r="B3" t="s">
        <v>2187</v>
      </c>
      <c r="D3" s="596" t="s">
        <v>4462</v>
      </c>
      <c r="E3" s="873">
        <f ca="1">IF(E$11="",0,OFFSET('Tssco-bond portfolio(2)'!$BV7,E$9,0))</f>
        <v>2940000</v>
      </c>
      <c r="F3" s="873">
        <f ca="1">IF(F$11="",0,OFFSET('Tssco-bond portfolio(2)'!$BV7,F$9,0))</f>
        <v>1740000</v>
      </c>
      <c r="G3" s="873">
        <f ca="1">IF(G$11="",0,OFFSET('Tssco-bond portfolio(2)'!$BV7,G$9,0))</f>
        <v>2640000</v>
      </c>
      <c r="H3" s="873">
        <f ca="1">IF(H$11="",0,OFFSET('Tssco-bond portfolio(2)'!$BV7,H$9,0))</f>
        <v>2640000</v>
      </c>
      <c r="I3" s="873">
        <f ca="1">IF(I$11="",0,OFFSET('Tssco-bond portfolio(2)'!$BV7,I$9,0))</f>
        <v>0</v>
      </c>
      <c r="J3" s="873">
        <f ca="1">IF(J$11="",0,OFFSET('Tssco-bond portfolio(2)'!$BV7,J$9,0))</f>
        <v>0</v>
      </c>
      <c r="K3" s="873">
        <f ca="1">IF(K$11="",0,OFFSET('Tssco-bond portfolio(2)'!$BV7,K$9,0))</f>
        <v>0</v>
      </c>
      <c r="L3" s="873">
        <f ca="1">IF(L$11="",0,OFFSET('Tssco-bond portfolio(2)'!$BV7,L$9,0))</f>
        <v>0</v>
      </c>
      <c r="M3" s="873">
        <f ca="1">IF(M$11="",0,OFFSET('Tssco-bond portfolio(2)'!$BV7,M$9,0))</f>
        <v>0</v>
      </c>
      <c r="N3" s="873">
        <f ca="1">IF(N$11="",0,OFFSET('Tssco-bond portfolio(2)'!$BV7,N$9,0))</f>
        <v>0</v>
      </c>
      <c r="O3" s="873">
        <f ca="1">IF(O$11="",0,OFFSET('Tssco-bond portfolio(2)'!$BV7,O$9,0))</f>
        <v>0</v>
      </c>
      <c r="P3" s="873">
        <f ca="1">IF(P$11="",0,OFFSET('Tssco-bond portfolio(2)'!$BV7,P$9,0))</f>
        <v>0</v>
      </c>
      <c r="Q3" s="979">
        <f t="shared" ref="Q3:Q5" ca="1" si="0">SUMIF(E3:P3,"&gt;0")</f>
        <v>9960000</v>
      </c>
    </row>
    <row r="4" spans="1:17">
      <c r="A4" t="s">
        <v>4496</v>
      </c>
      <c r="D4" s="596" t="s">
        <v>4464</v>
      </c>
      <c r="E4" s="873">
        <f ca="1">IF(E$11="",0,OFFSET('Tssco-bond portfolio(2)'!$BX7,E$9,0))</f>
        <v>3140932.1886000005</v>
      </c>
      <c r="F4" s="873">
        <f ca="1">IF(F$11="",0,OFFSET('Tssco-bond portfolio(2)'!$BX7,F$9,0))</f>
        <v>1796728.7403000002</v>
      </c>
      <c r="G4" s="873">
        <f ca="1">IF(G$11="",0,OFFSET('Tssco-bond portfolio(2)'!$BX7,G$9,0))</f>
        <v>3071491.0586999999</v>
      </c>
      <c r="H4" s="873">
        <f ca="1">IF(H$11="",0,OFFSET('Tssco-bond portfolio(2)'!$BX7,H$9,0))</f>
        <v>2822712.5835000002</v>
      </c>
      <c r="I4" s="873">
        <f ca="1">IF(I$11="",0,OFFSET('Tssco-bond portfolio(2)'!$BX7,I$9,0))</f>
        <v>0</v>
      </c>
      <c r="J4" s="873">
        <f ca="1">IF(J$11="",0,OFFSET('Tssco-bond portfolio(2)'!$BX7,J$9,0))</f>
        <v>0</v>
      </c>
      <c r="K4" s="873">
        <f ca="1">IF(K$11="",0,OFFSET('Tssco-bond portfolio(2)'!$BX7,K$9,0))</f>
        <v>0</v>
      </c>
      <c r="L4" s="873">
        <f ca="1">IF(L$11="",0,OFFSET('Tssco-bond portfolio(2)'!$BX7,L$9,0))</f>
        <v>0</v>
      </c>
      <c r="M4" s="873">
        <f ca="1">IF(M$11="",0,OFFSET('Tssco-bond portfolio(2)'!$BX7,M$9,0))</f>
        <v>0</v>
      </c>
      <c r="N4" s="873">
        <f ca="1">IF(N$11="",0,OFFSET('Tssco-bond portfolio(2)'!$BX7,N$9,0))</f>
        <v>0</v>
      </c>
      <c r="O4" s="873">
        <f ca="1">IF(O$11="",0,OFFSET('Tssco-bond portfolio(2)'!$BX7,O$9,0))</f>
        <v>0</v>
      </c>
      <c r="P4" s="873">
        <f ca="1">IF(P$11="",0,OFFSET('Tssco-bond portfolio(2)'!$BX7,P$9,0))</f>
        <v>0</v>
      </c>
      <c r="Q4" s="979">
        <f t="shared" ca="1" si="0"/>
        <v>10831864.5711</v>
      </c>
    </row>
    <row r="5" spans="1:17">
      <c r="D5" s="596" t="s">
        <v>4465</v>
      </c>
      <c r="E5" s="873">
        <f ca="1">IF(E$11="",0,OFFSET('Tssco-bond portfolio(2)'!$BZ7,E$9,0))</f>
        <v>78766.424999999988</v>
      </c>
      <c r="F5" s="873">
        <f ca="1">IF(F$11="",0,OFFSET('Tssco-bond portfolio(2)'!$BZ7,F$9,0))</f>
        <v>36541.125</v>
      </c>
      <c r="G5" s="873">
        <f ca="1">IF(G$11="",0,OFFSET('Tssco-bond portfolio(2)'!$BZ7,G$9,0))</f>
        <v>79172.4375</v>
      </c>
      <c r="H5" s="873">
        <f ca="1">IF(H$11="",0,OFFSET('Tssco-bond portfolio(2)'!$BZ7,H$9,0))</f>
        <v>72270.22500000002</v>
      </c>
      <c r="I5" s="873">
        <f ca="1">IF(I$11="",0,OFFSET('Tssco-bond portfolio(2)'!$BZ7,I$9,0))</f>
        <v>0</v>
      </c>
      <c r="J5" s="873">
        <f ca="1">IF(J$11="",0,OFFSET('Tssco-bond portfolio(2)'!$BZ7,J$9,0))</f>
        <v>0</v>
      </c>
      <c r="K5" s="873">
        <f ca="1">IF(K$11="",0,OFFSET('Tssco-bond portfolio(2)'!$BZ7,K$9,0))</f>
        <v>0</v>
      </c>
      <c r="L5" s="873">
        <f ca="1">IF(L$11="",0,OFFSET('Tssco-bond portfolio(2)'!$BZ7,L$9,0))</f>
        <v>0</v>
      </c>
      <c r="M5" s="873">
        <f ca="1">IF(M$11="",0,OFFSET('Tssco-bond portfolio(2)'!$BZ7,M$9,0))</f>
        <v>0</v>
      </c>
      <c r="N5" s="873">
        <f ca="1">IF(N$11="",0,OFFSET('Tssco-bond portfolio(2)'!$BZ7,N$9,0))</f>
        <v>0</v>
      </c>
      <c r="O5" s="873">
        <f ca="1">IF(O$11="",0,OFFSET('Tssco-bond portfolio(2)'!$BZ7,O$9,0))</f>
        <v>0</v>
      </c>
      <c r="P5" s="873">
        <f ca="1">IF(P$11="",0,OFFSET('Tssco-bond portfolio(2)'!$BZ7,P$9,0))</f>
        <v>0</v>
      </c>
      <c r="Q5" s="979">
        <f t="shared" ca="1" si="0"/>
        <v>266750.21250000002</v>
      </c>
    </row>
    <row r="6" spans="1:17">
      <c r="A6" s="1791">
        <f ca="1">'Tssco-bond portfolio(2)'!BQ1</f>
        <v>1</v>
      </c>
      <c r="B6" t="s">
        <v>4498</v>
      </c>
      <c r="E6" s="873"/>
      <c r="F6" s="509"/>
      <c r="G6" s="509"/>
      <c r="H6" s="509"/>
      <c r="I6" s="509"/>
      <c r="J6" s="509"/>
      <c r="K6" s="509"/>
      <c r="L6" s="509"/>
      <c r="M6" s="509"/>
      <c r="N6" s="509"/>
      <c r="O6" s="509"/>
      <c r="P6" s="509"/>
      <c r="Q6" s="979"/>
    </row>
    <row r="7" spans="1:17">
      <c r="A7" s="1791" t="str">
        <f ca="1">IFERROR('Tssco-bond portfolio(2)'!BR2,"TWD")</f>
        <v>USD</v>
      </c>
      <c r="Q7" s="979"/>
    </row>
    <row r="8" spans="1:17" ht="16" thickBot="1">
      <c r="E8" s="510"/>
      <c r="F8" s="510"/>
      <c r="G8" s="510"/>
      <c r="H8" s="510"/>
      <c r="I8" s="510"/>
      <c r="J8" s="510"/>
      <c r="K8" s="510"/>
      <c r="L8" s="510"/>
      <c r="M8" s="510"/>
      <c r="N8" s="510"/>
      <c r="O8" s="510"/>
      <c r="P8" s="510"/>
      <c r="Q8" s="979"/>
    </row>
    <row r="9" spans="1:17" ht="16" thickBot="1">
      <c r="D9" s="668" t="s">
        <v>4451</v>
      </c>
      <c r="E9" s="1710">
        <f>庫存管理!BJ5</f>
        <v>0</v>
      </c>
      <c r="F9" s="1710">
        <f>E9+1</f>
        <v>1</v>
      </c>
      <c r="G9" s="1710">
        <f t="shared" ref="G9:P9" si="1">F9+1</f>
        <v>2</v>
      </c>
      <c r="H9" s="1710">
        <f t="shared" si="1"/>
        <v>3</v>
      </c>
      <c r="I9" s="1710">
        <f t="shared" si="1"/>
        <v>4</v>
      </c>
      <c r="J9" s="1710">
        <f t="shared" si="1"/>
        <v>5</v>
      </c>
      <c r="K9" s="1710">
        <f t="shared" si="1"/>
        <v>6</v>
      </c>
      <c r="L9" s="1710">
        <f t="shared" si="1"/>
        <v>7</v>
      </c>
      <c r="M9" s="1710">
        <f t="shared" si="1"/>
        <v>8</v>
      </c>
      <c r="N9" s="1710">
        <f t="shared" si="1"/>
        <v>9</v>
      </c>
      <c r="O9" s="1710">
        <f t="shared" si="1"/>
        <v>10</v>
      </c>
      <c r="P9" s="1019">
        <f t="shared" si="1"/>
        <v>11</v>
      </c>
    </row>
    <row r="10" spans="1:17">
      <c r="E10" s="503" t="str">
        <f ca="1">IFERROR(LEFT(VLOOKUP(E11,庫存管理!$P$7:$U$36,2,0),3),"      ")</f>
        <v>蘋果公</v>
      </c>
      <c r="F10" s="503" t="str">
        <f ca="1">IFERROR(LEFT(VLOOKUP(F11,庫存管理!$P$7:$U$36,2,0),3),"      ")</f>
        <v>Alp</v>
      </c>
      <c r="G10" s="503" t="str">
        <f ca="1">IFERROR(LEFT(VLOOKUP(G11,庫存管理!$P$7:$U$36,2,0),3),"      ")</f>
        <v>禮來公</v>
      </c>
      <c r="H10" s="503" t="str">
        <f ca="1">IFERROR(LEFT(VLOOKUP(H11,庫存管理!$P$7:$U$36,2,0),3),"      ")</f>
        <v>MET</v>
      </c>
      <c r="I10" s="503" t="str">
        <f ca="1">IFERROR(LEFT(VLOOKUP(I11,庫存管理!$P$7:$U$36,2,0),3),"      ")</f>
        <v/>
      </c>
      <c r="J10" s="503" t="str">
        <f ca="1">IFERROR(LEFT(VLOOKUP(J11,庫存管理!$P$7:$U$36,2,0),3),"      ")</f>
        <v/>
      </c>
      <c r="K10" s="503" t="str">
        <f ca="1">IFERROR(LEFT(VLOOKUP(K11,庫存管理!$P$7:$U$36,2,0),3),"      ")</f>
        <v/>
      </c>
      <c r="L10" s="503" t="str">
        <f ca="1">IFERROR(LEFT(VLOOKUP(L11,庫存管理!$P$7:$U$36,2,0),3),"      ")</f>
        <v/>
      </c>
      <c r="M10" s="503" t="str">
        <f ca="1">IFERROR(LEFT(VLOOKUP(M11,庫存管理!$P$7:$U$36,2,0),3),"      ")</f>
        <v/>
      </c>
      <c r="N10" s="503" t="str">
        <f ca="1">IFERROR(LEFT(VLOOKUP(N11,庫存管理!$P$7:$U$36,2,0),3),"      ")</f>
        <v/>
      </c>
      <c r="O10" s="503" t="str">
        <f ca="1">IFERROR(LEFT(VLOOKUP(O11,庫存管理!$P$7:$U$36,2,0),3),"      ")</f>
        <v/>
      </c>
      <c r="P10" s="503" t="str">
        <f ca="1">IFERROR(LEFT(VLOOKUP(P11,庫存管理!$P$7:$U$36,2,0),3),"      ")</f>
        <v/>
      </c>
    </row>
    <row r="11" spans="1:17">
      <c r="D11" s="596" t="s">
        <v>2025</v>
      </c>
      <c r="E11" s="503" t="str">
        <f>IF(庫存管理!$P7=0,"",庫存管理!$P7)</f>
        <v>XH430</v>
      </c>
      <c r="F11" s="503" t="str">
        <f>IF(庫存管理!$P8=0,"",庫存管理!$P8)</f>
        <v>XG300</v>
      </c>
      <c r="G11" s="503" t="str">
        <f>IF(庫存管理!$P9=0,"",庫存管理!$P9)</f>
        <v>XH750</v>
      </c>
      <c r="H11" s="503" t="str">
        <f>IF(庫存管理!$P10=0,"",庫存管理!$P10)</f>
        <v>XH040</v>
      </c>
      <c r="I11" s="503" t="str">
        <f>IF(庫存管理!$P11=0,"",庫存管理!$P11)</f>
        <v/>
      </c>
      <c r="J11" s="503" t="str">
        <f>IF(庫存管理!$P12=0,"",庫存管理!$P12)</f>
        <v/>
      </c>
      <c r="K11" s="503" t="str">
        <f>IF(庫存管理!$P13=0,"",庫存管理!$P13)</f>
        <v/>
      </c>
      <c r="L11" s="503" t="str">
        <f>IF(庫存管理!$P14=0,"",庫存管理!$P14)</f>
        <v/>
      </c>
      <c r="M11" s="503" t="str">
        <f>IF(庫存管理!$P15=0,"",庫存管理!$P15)</f>
        <v/>
      </c>
      <c r="N11" s="503" t="str">
        <f>IF(庫存管理!$P16=0,"",庫存管理!$P16)</f>
        <v/>
      </c>
      <c r="O11" s="503" t="str">
        <f>IF(庫存管理!$P17=0,"",庫存管理!$P17)</f>
        <v/>
      </c>
      <c r="P11" s="503" t="str">
        <f>IF(庫存管理!$P18=0,"",庫存管理!$P18)</f>
        <v/>
      </c>
    </row>
    <row r="13" spans="1:17">
      <c r="A13" t="s">
        <v>2122</v>
      </c>
      <c r="B13" t="s">
        <v>2121</v>
      </c>
      <c r="C13" t="s">
        <v>2115</v>
      </c>
      <c r="D13" s="596" t="s">
        <v>1989</v>
      </c>
      <c r="E13" t="s">
        <v>2026</v>
      </c>
      <c r="F13" t="s">
        <v>2027</v>
      </c>
      <c r="G13" t="s">
        <v>2028</v>
      </c>
      <c r="H13" t="s">
        <v>2029</v>
      </c>
      <c r="I13" t="s">
        <v>2030</v>
      </c>
      <c r="J13" t="s">
        <v>2031</v>
      </c>
      <c r="K13" t="s">
        <v>2032</v>
      </c>
      <c r="L13" t="s">
        <v>2033</v>
      </c>
      <c r="M13" t="s">
        <v>2034</v>
      </c>
      <c r="N13" t="s">
        <v>2035</v>
      </c>
      <c r="O13" t="s">
        <v>2036</v>
      </c>
      <c r="P13" t="s">
        <v>2037</v>
      </c>
    </row>
    <row r="14" spans="1:17" ht="15.75" hidden="1" customHeight="1">
      <c r="A14">
        <v>2</v>
      </c>
      <c r="B14">
        <v>1</v>
      </c>
      <c r="C14" t="str">
        <f ca="1">IF($A$3&lt;1,"1) -",IF($A$3&gt;1,"1) 不適用",CONCATENATE("1) "&amp;'Tssco-bond portfolio(2)'!$BR$2)))</f>
        <v>1) USD</v>
      </c>
      <c r="D14" s="596" t="s">
        <v>2213</v>
      </c>
      <c r="E14" s="510">
        <f ca="1">OFFSET('Tssco-bond portfolio(2)'!$AC7,E$9,0)*100</f>
        <v>-1.3259183673469328</v>
      </c>
      <c r="F14" s="510">
        <f ca="1">OFFSET('Tssco-bond portfolio(2)'!$AC7,F$9,0)*100</f>
        <v>-4.6270689655172363</v>
      </c>
      <c r="G14" s="510">
        <f ca="1">OFFSET('Tssco-bond portfolio(2)'!$AC7,G$9,0)*100</f>
        <v>7.4576136363636332</v>
      </c>
      <c r="H14" s="510">
        <f ca="1">OFFSET('Tssco-bond portfolio(2)'!$AC7,H$9,0)*100</f>
        <v>-1.2460227272727271</v>
      </c>
      <c r="I14" s="510">
        <f ca="1">OFFSET('Tssco-bond portfolio(2)'!$AC7,I$9,0)*100</f>
        <v>0</v>
      </c>
      <c r="J14" s="510">
        <f ca="1">OFFSET('Tssco-bond portfolio(2)'!$AC7,J$9,0)*100</f>
        <v>0</v>
      </c>
      <c r="K14" s="510">
        <f ca="1">OFFSET('Tssco-bond portfolio(2)'!$AC7,K$9,0)*100</f>
        <v>0</v>
      </c>
      <c r="L14" s="510">
        <f ca="1">OFFSET('Tssco-bond portfolio(2)'!$AC7,L$9,0)*100</f>
        <v>0</v>
      </c>
      <c r="M14" s="510">
        <f ca="1">OFFSET('Tssco-bond portfolio(2)'!$AC7,M$9,0)*100</f>
        <v>0</v>
      </c>
      <c r="N14" s="510">
        <f ca="1">OFFSET('Tssco-bond portfolio(2)'!$AC7,N$9,0)*100</f>
        <v>0</v>
      </c>
      <c r="O14" s="510">
        <f ca="1">OFFSET('Tssco-bond portfolio(2)'!$AC7,O$9,0)*100</f>
        <v>0</v>
      </c>
      <c r="P14" s="510">
        <f ca="1">OFFSET('Tssco-bond portfolio(2)'!$AC7,P$9,0)*100</f>
        <v>0</v>
      </c>
    </row>
    <row r="15" spans="1:17" ht="15.75" hidden="1" customHeight="1">
      <c r="A15">
        <v>2</v>
      </c>
      <c r="B15">
        <v>2</v>
      </c>
      <c r="C15" t="str">
        <f ca="1">IF($A$3&lt;1,"1) -",IF($A$3&gt;1,"1) 不適用",CONCATENATE("1) "&amp;'Tssco-bond portfolio(2)'!$BR$2)))</f>
        <v>1) USD</v>
      </c>
      <c r="D15" s="596" t="s">
        <v>2211</v>
      </c>
      <c r="E15" s="510">
        <f ca="1">OFFSET('Tssco-bond portfolio(2)'!$AU7,E$9,0)*100</f>
        <v>2.4744897959183669</v>
      </c>
      <c r="F15" s="510">
        <f ca="1">OFFSET('Tssco-bond portfolio(2)'!$AU7,F$9,0)*100</f>
        <v>1.9396551724137931</v>
      </c>
      <c r="G15" s="510">
        <f ca="1">OFFSET('Tssco-bond portfolio(2)'!$AU7,G$9,0)*100</f>
        <v>2.7698863636363638</v>
      </c>
      <c r="H15" s="510">
        <f ca="1">OFFSET('Tssco-bond portfolio(2)'!$AU7,H$9,0)*100</f>
        <v>2.5284090909090917</v>
      </c>
      <c r="I15" s="510">
        <f ca="1">OFFSET('Tssco-bond portfolio(2)'!$AU7,I$9,0)*100</f>
        <v>0</v>
      </c>
      <c r="J15" s="510">
        <f ca="1">OFFSET('Tssco-bond portfolio(2)'!$AU7,J$9,0)*100</f>
        <v>0</v>
      </c>
      <c r="K15" s="510">
        <f ca="1">OFFSET('Tssco-bond portfolio(2)'!$AU7,K$9,0)*100</f>
        <v>0</v>
      </c>
      <c r="L15" s="510">
        <f ca="1">OFFSET('Tssco-bond portfolio(2)'!$AU7,L$9,0)*100</f>
        <v>0</v>
      </c>
      <c r="M15" s="510">
        <f ca="1">OFFSET('Tssco-bond portfolio(2)'!$AU7,M$9,0)*100</f>
        <v>0</v>
      </c>
      <c r="N15" s="510">
        <f ca="1">OFFSET('Tssco-bond portfolio(2)'!$AU7,N$9,0)*100</f>
        <v>0</v>
      </c>
      <c r="O15" s="510">
        <f ca="1">OFFSET('Tssco-bond portfolio(2)'!$AU7,O$9,0)*100</f>
        <v>0</v>
      </c>
      <c r="P15" s="510">
        <f ca="1">OFFSET('Tssco-bond portfolio(2)'!$AU7,P$9,0)*100</f>
        <v>0</v>
      </c>
    </row>
    <row r="16" spans="1:17" s="1195" customFormat="1" ht="15.75" customHeight="1">
      <c r="A16" s="1195">
        <v>2</v>
      </c>
      <c r="B16" s="1195">
        <v>5</v>
      </c>
      <c r="C16" s="1195" t="str">
        <f ca="1">IF($A$3&lt;1,"1) -",IF($A$3&gt;1,"1) 不適用",CONCATENATE("1) "&amp;'Tssco-bond portfolio(2)'!$BR$2)))</f>
        <v>1) USD</v>
      </c>
      <c r="D16" s="1787" t="s">
        <v>2212</v>
      </c>
      <c r="E16" s="1788">
        <f ca="1">IF(表格5_5[[#This Row],[匯率索引]]=$A$4,E$19,OFFSET('Tssco-bond portfolio(2)'!$AW7,E$9,0)*100)</f>
        <v>1.1485714285714341</v>
      </c>
      <c r="F16" s="1788">
        <f ca="1">IF(表格5_5[[#This Row],[匯率索引]]=$A$4,F$19,OFFSET('Tssco-bond portfolio(2)'!$AW7,F$9,0)*100)</f>
        <v>-2.6874137931034432</v>
      </c>
      <c r="G16" s="1788">
        <f ca="1">IF(表格5_5[[#This Row],[匯率索引]]=$A$4,G$19,OFFSET('Tssco-bond portfolio(2)'!$AW7,G$9,0)*100)</f>
        <v>10.227499999999996</v>
      </c>
      <c r="H16" s="1788">
        <f ca="1">IF(表格5_5[[#This Row],[匯率索引]]=$A$4,H$19,OFFSET('Tssco-bond portfolio(2)'!$AW7,H$9,0)*100)</f>
        <v>1.2823863636363642</v>
      </c>
      <c r="I16" s="1788">
        <f ca="1">IF(表格5_5[[#This Row],[匯率索引]]=$A$4,I$19,OFFSET('Tssco-bond portfolio(2)'!$AW7,I$9,0)*100)</f>
        <v>0</v>
      </c>
      <c r="J16" s="1788">
        <f ca="1">IF(表格5_5[[#This Row],[匯率索引]]=$A$4,J$19,OFFSET('Tssco-bond portfolio(2)'!$AW7,J$9,0)*100)</f>
        <v>0</v>
      </c>
      <c r="K16" s="1788">
        <f ca="1">IF(表格5_5[[#This Row],[匯率索引]]=$A$4,K$19,OFFSET('Tssco-bond portfolio(2)'!$AW7,K$9,0)*100)</f>
        <v>0</v>
      </c>
      <c r="L16" s="1788">
        <f ca="1">IF(表格5_5[[#This Row],[匯率索引]]=$A$4,L$19,OFFSET('Tssco-bond portfolio(2)'!$AW7,L$9,0)*100)</f>
        <v>0</v>
      </c>
      <c r="M16" s="1788">
        <f ca="1">IF(表格5_5[[#This Row],[匯率索引]]=$A$4,M$19,OFFSET('Tssco-bond portfolio(2)'!$AW7,M$9,0)*100)</f>
        <v>0</v>
      </c>
      <c r="N16" s="1788">
        <f ca="1">IF(表格5_5[[#This Row],[匯率索引]]=$A$4,N$19,OFFSET('Tssco-bond portfolio(2)'!$AW7,N$9,0)*100)</f>
        <v>0</v>
      </c>
      <c r="O16" s="1788">
        <f ca="1">IF(表格5_5[[#This Row],[匯率索引]]=$A$4,O$19,OFFSET('Tssco-bond portfolio(2)'!$AW7,O$9,0)*100)</f>
        <v>0</v>
      </c>
      <c r="P16" s="1788">
        <f ca="1">IF(表格5_5[[#This Row],[匯率索引]]=$A$4,P$19,OFFSET('Tssco-bond portfolio(2)'!$AW7,P$9,0)*100)</f>
        <v>0</v>
      </c>
    </row>
    <row r="17" spans="1:18" ht="15.75" hidden="1" customHeight="1">
      <c r="A17">
        <v>1</v>
      </c>
      <c r="B17">
        <v>1</v>
      </c>
      <c r="C17" t="s">
        <v>3770</v>
      </c>
      <c r="D17" s="596" t="s">
        <v>2213</v>
      </c>
      <c r="E17" s="510">
        <f ca="1">OFFSET('Tssco-bond portfolio(2)'!$CD7,E$9,0)*100</f>
        <v>-1.3259183673469328</v>
      </c>
      <c r="F17" s="510">
        <f ca="1">OFFSET('Tssco-bond portfolio(2)'!$CD7,F$9,0)*100</f>
        <v>-4.6270689655172363</v>
      </c>
      <c r="G17" s="510">
        <f ca="1">OFFSET('Tssco-bond portfolio(2)'!$CD7,G$9,0)*100</f>
        <v>7.4576136363636332</v>
      </c>
      <c r="H17" s="510">
        <f ca="1">OFFSET('Tssco-bond portfolio(2)'!$CD7,H$9,0)*100</f>
        <v>-1.2460227272727271</v>
      </c>
      <c r="I17" s="510">
        <f ca="1">OFFSET('Tssco-bond portfolio(2)'!$CD7,I$9,0)*100</f>
        <v>0</v>
      </c>
      <c r="J17" s="510">
        <f ca="1">OFFSET('Tssco-bond portfolio(2)'!$CD7,J$9,0)*100</f>
        <v>0</v>
      </c>
      <c r="K17" s="510">
        <f ca="1">OFFSET('Tssco-bond portfolio(2)'!$CD7,K$9,0)*100</f>
        <v>0</v>
      </c>
      <c r="L17" s="510">
        <f ca="1">OFFSET('Tssco-bond portfolio(2)'!$CD7,L$9,0)*100</f>
        <v>0</v>
      </c>
      <c r="M17" s="510">
        <f ca="1">OFFSET('Tssco-bond portfolio(2)'!$CD7,M$9,0)*100</f>
        <v>0</v>
      </c>
      <c r="N17" s="510">
        <f ca="1">OFFSET('Tssco-bond portfolio(2)'!$CD7,N$9,0)*100</f>
        <v>0</v>
      </c>
      <c r="O17" s="510">
        <f ca="1">OFFSET('Tssco-bond portfolio(2)'!$CD7,O$9,0)*100</f>
        <v>0</v>
      </c>
      <c r="P17" s="510">
        <f ca="1">OFFSET('Tssco-bond portfolio(2)'!$CD7,P$9,0)*100</f>
        <v>0</v>
      </c>
    </row>
    <row r="18" spans="1:18" ht="15.75" hidden="1" customHeight="1">
      <c r="A18">
        <v>1</v>
      </c>
      <c r="B18">
        <v>2</v>
      </c>
      <c r="C18" t="s">
        <v>3770</v>
      </c>
      <c r="D18" s="596" t="s">
        <v>2211</v>
      </c>
      <c r="E18" s="586">
        <f ca="1">OFFSET('Tssco-bond portfolio(2)'!$CC7,E$9,0)*100</f>
        <v>2.4744897959183669</v>
      </c>
      <c r="F18" s="586">
        <f ca="1">OFFSET('Tssco-bond portfolio(2)'!$CC7,F$9,0)*100</f>
        <v>1.9396551724137931</v>
      </c>
      <c r="G18" s="586">
        <f ca="1">OFFSET('Tssco-bond portfolio(2)'!$CC7,G$9,0)*100</f>
        <v>2.7698863636363638</v>
      </c>
      <c r="H18" s="586">
        <f ca="1">OFFSET('Tssco-bond portfolio(2)'!$CC7,H$9,0)*100</f>
        <v>2.5284090909090917</v>
      </c>
      <c r="I18" s="586">
        <f ca="1">OFFSET('Tssco-bond portfolio(2)'!$CC7,I$9,0)*100</f>
        <v>0</v>
      </c>
      <c r="J18" s="586">
        <f ca="1">OFFSET('Tssco-bond portfolio(2)'!$CC7,J$9,0)*100</f>
        <v>0</v>
      </c>
      <c r="K18" s="586">
        <f ca="1">OFFSET('Tssco-bond portfolio(2)'!$CC7,K$9,0)*100</f>
        <v>0</v>
      </c>
      <c r="L18" s="586">
        <f ca="1">OFFSET('Tssco-bond portfolio(2)'!$CC7,L$9,0)*100</f>
        <v>0</v>
      </c>
      <c r="M18" s="586">
        <f ca="1">OFFSET('Tssco-bond portfolio(2)'!$CC7,M$9,0)*100</f>
        <v>0</v>
      </c>
      <c r="N18" s="586">
        <f ca="1">OFFSET('Tssco-bond portfolio(2)'!$CC7,N$9,0)*100</f>
        <v>0</v>
      </c>
      <c r="O18" s="586">
        <f ca="1">OFFSET('Tssco-bond portfolio(2)'!$CC7,O$9,0)*100</f>
        <v>0</v>
      </c>
      <c r="P18" s="586">
        <f ca="1">OFFSET('Tssco-bond portfolio(2)'!$CC7,P$9,0)*100</f>
        <v>0</v>
      </c>
    </row>
    <row r="19" spans="1:18" hidden="1">
      <c r="A19">
        <v>1</v>
      </c>
      <c r="B19">
        <v>5</v>
      </c>
      <c r="C19" t="s">
        <v>3770</v>
      </c>
      <c r="D19" s="596" t="s">
        <v>2212</v>
      </c>
      <c r="E19" s="586">
        <f ca="1">OFFSET('Tssco-bond portfolio(2)'!$CF7,E$9,0)*100</f>
        <v>9.5135582857142964</v>
      </c>
      <c r="F19" s="586">
        <f ca="1">OFFSET('Tssco-bond portfolio(2)'!$CF7,F$9,0)*100</f>
        <v>5.3603370862069122</v>
      </c>
      <c r="G19" s="586">
        <f ca="1">OFFSET('Tssco-bond portfolio(2)'!$CF7,G$9,0)*100</f>
        <v>19.343314249999999</v>
      </c>
      <c r="H19" s="586">
        <f ca="1">OFFSET('Tssco-bond portfolio(2)'!$CF7,H$9,0)*100</f>
        <v>9.6584397159090951</v>
      </c>
      <c r="I19" s="586">
        <f ca="1">OFFSET('Tssco-bond portfolio(2)'!$CF7,I$9,0)*100</f>
        <v>0</v>
      </c>
      <c r="J19" s="586">
        <f ca="1">OFFSET('Tssco-bond portfolio(2)'!$CF7,J$9,0)*100</f>
        <v>0</v>
      </c>
      <c r="K19" s="586">
        <f ca="1">OFFSET('Tssco-bond portfolio(2)'!$CF7,K$9,0)*100</f>
        <v>0</v>
      </c>
      <c r="L19" s="586">
        <f ca="1">OFFSET('Tssco-bond portfolio(2)'!$CF7,L$9,0)*100</f>
        <v>0</v>
      </c>
      <c r="M19" s="586">
        <f ca="1">OFFSET('Tssco-bond portfolio(2)'!$CF7,M$9,0)*100</f>
        <v>0</v>
      </c>
      <c r="N19" s="586">
        <f ca="1">OFFSET('Tssco-bond portfolio(2)'!$CF7,N$9,0)*100</f>
        <v>0</v>
      </c>
      <c r="O19" s="586">
        <f ca="1">OFFSET('Tssco-bond portfolio(2)'!$CF7,O$9,0)*100</f>
        <v>0</v>
      </c>
      <c r="P19" s="586">
        <f ca="1">OFFSET('Tssco-bond portfolio(2)'!$CF7,P$9,0)*100</f>
        <v>0</v>
      </c>
    </row>
    <row r="20" spans="1:18" ht="15.75" hidden="1" customHeight="1">
      <c r="A20">
        <v>1</v>
      </c>
      <c r="B20">
        <v>9</v>
      </c>
      <c r="C20" t="s">
        <v>3770</v>
      </c>
      <c r="D20" s="596" t="s">
        <v>2214</v>
      </c>
      <c r="E20" s="586">
        <f ca="1">ROUND(OFFSET('Tssco-bond portfolio(2)'!$CE7,E$9,0)*100,2)</f>
        <v>8.36</v>
      </c>
      <c r="F20" s="586">
        <f ca="1">ROUND(OFFSET('Tssco-bond portfolio(2)'!$CE7,F$9,0)*100,2)</f>
        <v>8.0500000000000007</v>
      </c>
      <c r="G20" s="586">
        <f ca="1">ROUND(OFFSET('Tssco-bond portfolio(2)'!$CE7,G$9,0)*100,2)</f>
        <v>9.1199999999999992</v>
      </c>
      <c r="H20" s="586">
        <f ca="1">ROUND(OFFSET('Tssco-bond portfolio(2)'!$CE7,H$9,0)*100,2)</f>
        <v>8.3800000000000008</v>
      </c>
      <c r="I20" s="586">
        <f ca="1">ROUND(OFFSET('Tssco-bond portfolio(2)'!$CE7,I$9,0)*100,2)</f>
        <v>0</v>
      </c>
      <c r="J20" s="586">
        <f ca="1">ROUND(OFFSET('Tssco-bond portfolio(2)'!$CE7,J$9,0)*100,2)</f>
        <v>0</v>
      </c>
      <c r="K20" s="586">
        <f ca="1">ROUND(OFFSET('Tssco-bond portfolio(2)'!$CE7,K$9,0)*100,2)</f>
        <v>0</v>
      </c>
      <c r="L20" s="586">
        <f ca="1">ROUND(OFFSET('Tssco-bond portfolio(2)'!$CE7,L$9,0)*100,2)</f>
        <v>0</v>
      </c>
      <c r="M20" s="586">
        <f ca="1">ROUND(OFFSET('Tssco-bond portfolio(2)'!$CE7,M$9,0)*100,2)</f>
        <v>0</v>
      </c>
      <c r="N20" s="586">
        <f ca="1">ROUND(OFFSET('Tssco-bond portfolio(2)'!$CE7,N$9,0)*100,2)</f>
        <v>0</v>
      </c>
      <c r="O20" s="586">
        <f ca="1">ROUND(OFFSET('Tssco-bond portfolio(2)'!$CE7,O$9,0)*100,2)</f>
        <v>0</v>
      </c>
      <c r="P20" s="586">
        <f ca="1">ROUND(OFFSET('Tssco-bond portfolio(2)'!$CE7,P$9,0)*100,2)</f>
        <v>0</v>
      </c>
    </row>
    <row r="24" spans="1:18">
      <c r="E24" s="707"/>
      <c r="F24" s="707"/>
      <c r="G24" s="707"/>
      <c r="H24" s="707"/>
      <c r="I24" s="707"/>
      <c r="J24" s="707"/>
      <c r="K24" s="707"/>
      <c r="L24" s="707"/>
      <c r="M24" s="707"/>
      <c r="N24" s="707"/>
      <c r="O24" s="707"/>
      <c r="P24" s="707"/>
      <c r="Q24" s="707"/>
    </row>
    <row r="26" spans="1:18">
      <c r="D26" s="706"/>
      <c r="E26" s="663"/>
      <c r="F26" s="663"/>
      <c r="G26" s="663"/>
      <c r="H26" s="663"/>
      <c r="I26" s="663"/>
      <c r="J26" s="663"/>
      <c r="K26" s="663"/>
      <c r="L26" s="663"/>
      <c r="M26" s="663"/>
      <c r="N26" s="663"/>
      <c r="O26" s="663"/>
      <c r="P26" s="663"/>
    </row>
    <row r="27" spans="1:18">
      <c r="D27" s="706"/>
      <c r="E27" s="1707"/>
      <c r="F27" s="1707"/>
      <c r="G27" s="1707"/>
      <c r="H27" s="1707"/>
      <c r="I27" s="1707"/>
      <c r="J27" s="1707"/>
      <c r="K27" s="1707"/>
      <c r="L27" s="1707"/>
      <c r="M27" s="1707"/>
      <c r="N27" s="1707"/>
      <c r="O27" s="1707"/>
      <c r="P27" s="1707"/>
    </row>
    <row r="28" spans="1:18">
      <c r="D28" s="706"/>
      <c r="E28" s="1707"/>
      <c r="F28" s="1707"/>
      <c r="G28" s="1707"/>
      <c r="H28" s="1707"/>
      <c r="I28" s="1707"/>
      <c r="J28" s="1707"/>
      <c r="K28" s="1707"/>
      <c r="L28" s="1707"/>
      <c r="M28" s="1707"/>
      <c r="N28" s="1707"/>
      <c r="O28" s="1707"/>
      <c r="P28" s="1707"/>
    </row>
    <row r="29" spans="1:18">
      <c r="E29" s="1708"/>
      <c r="F29" s="1708"/>
      <c r="G29" s="1708"/>
      <c r="H29" s="1708"/>
      <c r="I29" s="1708"/>
      <c r="J29" s="1708"/>
      <c r="K29" s="1708"/>
      <c r="L29" s="1708"/>
      <c r="M29" s="1708"/>
      <c r="N29" s="1708"/>
      <c r="O29" s="1708"/>
      <c r="P29" s="1708"/>
    </row>
    <row r="30" spans="1:18">
      <c r="D30" s="709"/>
      <c r="E30" s="1709"/>
      <c r="F30" s="1709"/>
      <c r="G30" s="1709"/>
      <c r="H30" s="1709"/>
      <c r="I30" s="1709"/>
      <c r="J30" s="1709"/>
      <c r="K30" s="1709"/>
      <c r="L30" s="1709"/>
      <c r="M30" s="1709"/>
      <c r="N30" s="1709"/>
      <c r="O30" s="1709"/>
      <c r="P30" s="1709"/>
      <c r="Q30" s="708"/>
      <c r="R30" s="708"/>
    </row>
    <row r="31" spans="1:18">
      <c r="E31" s="1708"/>
      <c r="F31" s="1708"/>
      <c r="G31" s="1708"/>
      <c r="H31" s="1708"/>
      <c r="I31" s="1708"/>
      <c r="J31" s="1708"/>
      <c r="K31" s="1708"/>
      <c r="L31" s="1708"/>
      <c r="M31" s="1708"/>
      <c r="N31" s="1708"/>
      <c r="O31" s="1708"/>
      <c r="P31" s="1708"/>
    </row>
    <row r="32" spans="1:18">
      <c r="E32" s="1708"/>
      <c r="F32" s="1708"/>
      <c r="G32" s="1708"/>
      <c r="H32" s="1708"/>
      <c r="I32" s="1708"/>
      <c r="J32" s="1708"/>
      <c r="K32" s="1708"/>
      <c r="L32" s="1708"/>
      <c r="M32" s="1708"/>
      <c r="N32" s="1708"/>
      <c r="O32" s="1708"/>
      <c r="P32" s="1708"/>
    </row>
    <row r="33" spans="5:16">
      <c r="E33" s="1708"/>
      <c r="F33" s="1708"/>
      <c r="G33" s="1708"/>
      <c r="H33" s="1708"/>
      <c r="I33" s="1708"/>
      <c r="J33" s="1708"/>
      <c r="K33" s="1708"/>
      <c r="L33" s="1708"/>
      <c r="M33" s="1708"/>
      <c r="N33" s="1708"/>
      <c r="O33" s="1708"/>
      <c r="P33" s="1708"/>
    </row>
    <row r="47" spans="5:16" ht="15" customHeight="1"/>
  </sheetData>
  <phoneticPr fontId="53" type="noConversion"/>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工作表17"/>
  <dimension ref="A1:AJ47"/>
  <sheetViews>
    <sheetView workbookViewId="0"/>
  </sheetViews>
  <sheetFormatPr defaultRowHeight="15.5"/>
  <cols>
    <col min="1" max="1" width="9.28515625" bestFit="1" customWidth="1"/>
    <col min="2" max="2" width="10.42578125" customWidth="1"/>
    <col min="3" max="3" width="10.640625" bestFit="1" customWidth="1"/>
    <col min="4" max="4" width="25.85546875" style="596" bestFit="1" customWidth="1"/>
    <col min="5" max="5" width="20" bestFit="1" customWidth="1"/>
    <col min="6" max="34" width="11.42578125" bestFit="1" customWidth="1"/>
  </cols>
  <sheetData>
    <row r="1" spans="1:34">
      <c r="A1" s="503">
        <f>IFERROR(SUBTOTAL(101,表格5[匯率代碼]),4)</f>
        <v>1</v>
      </c>
      <c r="B1" t="s">
        <v>2124</v>
      </c>
    </row>
    <row r="2" spans="1:34">
      <c r="A2" s="503">
        <f>SUBTOTAL(109,表格5[報酬代碼])</f>
        <v>2</v>
      </c>
      <c r="B2" t="s">
        <v>2123</v>
      </c>
      <c r="D2" s="667" t="s">
        <v>2038</v>
      </c>
    </row>
    <row r="3" spans="1:34">
      <c r="A3" s="664">
        <f ca="1">'Tssco-bond portfolio(Pro)'!BO1</f>
        <v>1</v>
      </c>
      <c r="B3" t="s">
        <v>2187</v>
      </c>
      <c r="D3" s="667" t="s">
        <v>2040</v>
      </c>
      <c r="E3" s="515">
        <f>CHOOSE($A$2,0,0,0,0,E7,IF(E14&gt;0,MAX(E5:AH5)-E14,MAX(E5:AH5)),IF(A1=1,MAX(E5:AH5)-E18,MAX(E5:AH5)-E15),0,0,0,0,0,0,IF(E20&gt;0,MAX(E5:AH5)-E20,MAX(E5:AH5)),0)</f>
        <v>0</v>
      </c>
      <c r="F3" s="515">
        <f>CHOOSE($A$2,0,0,0,0,F7,IF(F14&lt;0,MIN(E6:AH6)-F14,MIN(E6:AH6)),MIN(E6:AH6),0,0,0,0,0,0,IF(F20&lt;0,MIN(E6:AH6)-F20,MIN(E6:AH6)),0,0)</f>
        <v>0</v>
      </c>
      <c r="G3" s="515">
        <f>CHOOSE($A$2,0,0,0,0,G7,0,0,0,0,0,0,0,0,0,0,0,0)</f>
        <v>0</v>
      </c>
      <c r="H3" s="515">
        <f t="shared" ref="H3:AH3" si="0">CHOOSE($A$2,0,0,0,0,H7,0,0,0,0,0,0,0,0,0,0,0,0)</f>
        <v>0</v>
      </c>
      <c r="I3" s="515">
        <f t="shared" si="0"/>
        <v>0</v>
      </c>
      <c r="J3" s="515">
        <f t="shared" si="0"/>
        <v>0</v>
      </c>
      <c r="K3" s="515">
        <f t="shared" si="0"/>
        <v>0</v>
      </c>
      <c r="L3" s="515">
        <f t="shared" si="0"/>
        <v>0</v>
      </c>
      <c r="M3" s="515">
        <f t="shared" si="0"/>
        <v>0</v>
      </c>
      <c r="N3" s="515">
        <f t="shared" si="0"/>
        <v>0</v>
      </c>
      <c r="O3" s="515">
        <f t="shared" si="0"/>
        <v>0</v>
      </c>
      <c r="P3" s="515">
        <f t="shared" si="0"/>
        <v>0</v>
      </c>
      <c r="Q3" s="515">
        <f t="shared" si="0"/>
        <v>0</v>
      </c>
      <c r="R3" s="515">
        <f t="shared" si="0"/>
        <v>0</v>
      </c>
      <c r="S3" s="515">
        <f t="shared" si="0"/>
        <v>0</v>
      </c>
      <c r="T3" s="515">
        <f t="shared" si="0"/>
        <v>0</v>
      </c>
      <c r="U3" s="515">
        <f t="shared" si="0"/>
        <v>0</v>
      </c>
      <c r="V3" s="515">
        <f t="shared" si="0"/>
        <v>0</v>
      </c>
      <c r="W3" s="515">
        <f t="shared" si="0"/>
        <v>0</v>
      </c>
      <c r="X3" s="515">
        <f t="shared" si="0"/>
        <v>0</v>
      </c>
      <c r="Y3" s="515">
        <f t="shared" si="0"/>
        <v>0</v>
      </c>
      <c r="Z3" s="515">
        <f t="shared" si="0"/>
        <v>0</v>
      </c>
      <c r="AA3" s="515">
        <f t="shared" si="0"/>
        <v>0</v>
      </c>
      <c r="AB3" s="515">
        <f t="shared" si="0"/>
        <v>0</v>
      </c>
      <c r="AC3" s="515">
        <f t="shared" si="0"/>
        <v>0</v>
      </c>
      <c r="AD3" s="515">
        <f t="shared" si="0"/>
        <v>0</v>
      </c>
      <c r="AE3" s="515">
        <f t="shared" si="0"/>
        <v>0</v>
      </c>
      <c r="AF3" s="515">
        <f t="shared" si="0"/>
        <v>0</v>
      </c>
      <c r="AG3" s="515">
        <f t="shared" si="0"/>
        <v>0</v>
      </c>
      <c r="AH3" s="515">
        <f t="shared" si="0"/>
        <v>0</v>
      </c>
    </row>
    <row r="4" spans="1:34">
      <c r="A4" t="s">
        <v>2195</v>
      </c>
      <c r="D4" s="667" t="s">
        <v>2041</v>
      </c>
      <c r="E4" s="515">
        <f ca="1">CHOOSE($A$2,IF($A$1=1,E17,E14),IF($A$1=1,E18,E15),MAX(E8:AH8),0,0,IF($A$1=1,MAX(E17:AH17),MAX(E14:AH14)),IF(A1=1,MAX(E18:AH18),MAX(E15:AH15)),MAX(E5:AH5),E20,0,MAX(E8:AH8),MAX(E8:AH8),0,MAX(E20:AH20),0,0,0)</f>
        <v>3.0026756149479659</v>
      </c>
      <c r="F4" s="515">
        <f ca="1">CHOOSE($A$2,IF($A$1=1,F17,F14),IF($A$1=1,F18,F15),MIN(E9:AH9),0,0,IF($A$1=1,MIN(E17:AH17),MIN(E14:AH14)),IF(A1=1,MIN(E18:AH18),MIN(E15:AH15)),MIN(E6:AH6),F20,0,MIN(E9:AH9),MIN(E9:AH9),0,MIN(E20:AH20),0,0,0)</f>
        <v>5.7852190108607839</v>
      </c>
      <c r="G4" s="515">
        <f ca="1">CHOOSE($A$2,IF($A$1=1,G17,G14),IF($A$1=1,G18,G15),0,0,0,0,0,0,G20,0,0,0,0,0,0,0,0)</f>
        <v>4.7751199397773103</v>
      </c>
      <c r="H4" s="515">
        <f ca="1">CHOOSE($A$2,IF($A$1=1,H17,H14),IF($A$1=1,H18,H15),0,0,0,0,0,0,H20,0,0,0,0,0,0,0,0)</f>
        <v>2.1691176470588234</v>
      </c>
      <c r="I4" s="515">
        <f t="shared" ref="I4:AH4" ca="1" si="1">CHOOSE($A$2,IF($A$1=1,I17,I14),IF($A$1=1,I18,I15),0,0,0,0,0,0,I20,0,0,0,0,0,0,0,0)</f>
        <v>2.6318955663839261</v>
      </c>
      <c r="J4" s="515">
        <f t="shared" ca="1" si="1"/>
        <v>0</v>
      </c>
      <c r="K4" s="515">
        <f t="shared" ca="1" si="1"/>
        <v>0</v>
      </c>
      <c r="L4" s="515">
        <f t="shared" ca="1" si="1"/>
        <v>0</v>
      </c>
      <c r="M4" s="515">
        <f t="shared" ca="1" si="1"/>
        <v>0</v>
      </c>
      <c r="N4" s="515">
        <f t="shared" ca="1" si="1"/>
        <v>0</v>
      </c>
      <c r="O4" s="515">
        <f t="shared" ca="1" si="1"/>
        <v>0</v>
      </c>
      <c r="P4" s="515">
        <f t="shared" ca="1" si="1"/>
        <v>0</v>
      </c>
      <c r="Q4" s="515">
        <f t="shared" ca="1" si="1"/>
        <v>0</v>
      </c>
      <c r="R4" s="515">
        <f t="shared" ca="1" si="1"/>
        <v>0</v>
      </c>
      <c r="S4" s="515">
        <f t="shared" ca="1" si="1"/>
        <v>0</v>
      </c>
      <c r="T4" s="515">
        <f t="shared" ca="1" si="1"/>
        <v>0</v>
      </c>
      <c r="U4" s="515">
        <f t="shared" ca="1" si="1"/>
        <v>0</v>
      </c>
      <c r="V4" s="515">
        <f t="shared" ca="1" si="1"/>
        <v>0</v>
      </c>
      <c r="W4" s="515">
        <f t="shared" ca="1" si="1"/>
        <v>0</v>
      </c>
      <c r="X4" s="515">
        <f t="shared" ca="1" si="1"/>
        <v>0</v>
      </c>
      <c r="Y4" s="515">
        <f t="shared" ca="1" si="1"/>
        <v>0</v>
      </c>
      <c r="Z4" s="515">
        <f t="shared" ca="1" si="1"/>
        <v>0</v>
      </c>
      <c r="AA4" s="515">
        <f t="shared" ca="1" si="1"/>
        <v>0</v>
      </c>
      <c r="AB4" s="515">
        <f t="shared" ca="1" si="1"/>
        <v>0</v>
      </c>
      <c r="AC4" s="515">
        <f t="shared" ca="1" si="1"/>
        <v>0</v>
      </c>
      <c r="AD4" s="515">
        <f t="shared" ca="1" si="1"/>
        <v>0</v>
      </c>
      <c r="AE4" s="515">
        <f t="shared" ca="1" si="1"/>
        <v>0</v>
      </c>
      <c r="AF4" s="515">
        <f t="shared" ca="1" si="1"/>
        <v>0</v>
      </c>
      <c r="AG4" s="515">
        <f t="shared" ca="1" si="1"/>
        <v>0</v>
      </c>
      <c r="AH4" s="515">
        <f t="shared" ca="1" si="1"/>
        <v>0</v>
      </c>
    </row>
    <row r="5" spans="1:34">
      <c r="D5" s="596" t="s">
        <v>2042</v>
      </c>
      <c r="E5" s="509">
        <f ca="1">SUBTOTAL(104,表格5[第1檔])</f>
        <v>3.0026756149479659</v>
      </c>
      <c r="F5" s="509">
        <f ca="1">SUBTOTAL(104,表格5[第2檔])</f>
        <v>5.7852190108607839</v>
      </c>
      <c r="G5" s="509">
        <f ca="1">SUBTOTAL(104,表格5[第3檔])</f>
        <v>4.7751199397773103</v>
      </c>
      <c r="H5" s="509">
        <f ca="1">SUBTOTAL(104,表格5[第4檔])</f>
        <v>2.1691176470588234</v>
      </c>
      <c r="I5" s="509">
        <f ca="1">SUBTOTAL(104,表格5[第5檔])</f>
        <v>2.6318955663839261</v>
      </c>
      <c r="J5" s="509">
        <f ca="1">SUBTOTAL(104,表格5[第6檔])</f>
        <v>0</v>
      </c>
      <c r="K5" s="509">
        <f ca="1">SUBTOTAL(104,表格5[第7檔])</f>
        <v>0</v>
      </c>
      <c r="L5" s="509">
        <f ca="1">SUBTOTAL(104,表格5[第8檔])</f>
        <v>0</v>
      </c>
      <c r="M5" s="509">
        <f ca="1">SUBTOTAL(104,表格5[第9檔])</f>
        <v>0</v>
      </c>
      <c r="N5" s="509">
        <f ca="1">SUBTOTAL(104,表格5[第10檔])</f>
        <v>0</v>
      </c>
      <c r="O5" s="509">
        <f ca="1">SUBTOTAL(104,表格5[第11檔])</f>
        <v>0</v>
      </c>
      <c r="P5" s="509">
        <f ca="1">SUBTOTAL(104,表格5[第12檔])</f>
        <v>0</v>
      </c>
      <c r="Q5" s="509">
        <f ca="1">SUBTOTAL(104,表格5[第13檔])</f>
        <v>0</v>
      </c>
      <c r="R5" s="509">
        <f ca="1">SUBTOTAL(104,表格5[第14檔])</f>
        <v>0</v>
      </c>
      <c r="S5" s="509">
        <f ca="1">SUBTOTAL(104,表格5[第15檔])</f>
        <v>0</v>
      </c>
      <c r="T5" s="509">
        <f ca="1">SUBTOTAL(104,表格5[第16檔])</f>
        <v>0</v>
      </c>
      <c r="U5" s="509">
        <f ca="1">SUBTOTAL(104,表格5[第17檔])</f>
        <v>0</v>
      </c>
      <c r="V5" s="509">
        <f ca="1">SUBTOTAL(104,表格5[第18檔])</f>
        <v>0</v>
      </c>
      <c r="W5" s="509">
        <f ca="1">SUBTOTAL(104,表格5[第19檔])</f>
        <v>0</v>
      </c>
      <c r="X5" s="509">
        <f ca="1">SUBTOTAL(104,表格5[第20檔])</f>
        <v>0</v>
      </c>
      <c r="Y5" s="509">
        <f ca="1">SUBTOTAL(104,表格5[第21檔])</f>
        <v>0</v>
      </c>
      <c r="Z5" s="509">
        <f ca="1">SUBTOTAL(104,表格5[第22檔])</f>
        <v>0</v>
      </c>
      <c r="AA5" s="509">
        <f ca="1">SUBTOTAL(104,表格5[第23檔])</f>
        <v>0</v>
      </c>
      <c r="AB5" s="509">
        <f ca="1">SUBTOTAL(104,表格5[第24檔])</f>
        <v>0</v>
      </c>
      <c r="AC5" s="509">
        <f ca="1">SUBTOTAL(104,表格5[第25檔])</f>
        <v>0</v>
      </c>
      <c r="AD5" s="509">
        <f ca="1">SUBTOTAL(104,表格5[第26檔])</f>
        <v>0</v>
      </c>
      <c r="AE5" s="509">
        <f ca="1">SUBTOTAL(104,表格5[第27檔])</f>
        <v>0</v>
      </c>
      <c r="AF5" s="509">
        <f ca="1">SUBTOTAL(104,表格5[第28檔])</f>
        <v>0</v>
      </c>
      <c r="AG5" s="509">
        <f ca="1">SUBTOTAL(104,表格5[第29檔])</f>
        <v>0</v>
      </c>
      <c r="AH5" s="509">
        <f ca="1">SUBTOTAL(104,表格5[第30檔])</f>
        <v>0</v>
      </c>
    </row>
    <row r="6" spans="1:34" ht="16" thickBot="1">
      <c r="A6" s="503">
        <f ca="1">IF('Tssco-bond portfolio(Pro)'!H1=0,30,'Tssco-bond portfolio(Pro)'!H1)</f>
        <v>5</v>
      </c>
      <c r="B6" t="s">
        <v>2330</v>
      </c>
      <c r="D6" s="596" t="s">
        <v>2043</v>
      </c>
      <c r="E6" s="509">
        <f ca="1">SUBTOTAL(105,表格5[第1檔])</f>
        <v>3.0026756149479659</v>
      </c>
      <c r="F6" s="509">
        <f ca="1">SUBTOTAL(105,表格5[第2檔])</f>
        <v>5.7852190108607839</v>
      </c>
      <c r="G6" s="509">
        <f ca="1">SUBTOTAL(105,表格5[第3檔])</f>
        <v>4.7751199397773103</v>
      </c>
      <c r="H6" s="509">
        <f ca="1">SUBTOTAL(105,表格5[第4檔])</f>
        <v>2.1691176470588234</v>
      </c>
      <c r="I6" s="509">
        <f ca="1">SUBTOTAL(105,表格5[第5檔])</f>
        <v>2.6318955663839261</v>
      </c>
      <c r="J6" s="509">
        <f ca="1">SUBTOTAL(105,表格5[第6檔])</f>
        <v>0</v>
      </c>
      <c r="K6" s="509">
        <f ca="1">SUBTOTAL(105,表格5[第7檔])</f>
        <v>0</v>
      </c>
      <c r="L6" s="509">
        <f ca="1">SUBTOTAL(105,表格5[第8檔])</f>
        <v>0</v>
      </c>
      <c r="M6" s="509">
        <f ca="1">SUBTOTAL(105,表格5[第9檔])</f>
        <v>0</v>
      </c>
      <c r="N6" s="509">
        <f ca="1">SUBTOTAL(105,表格5[第10檔])</f>
        <v>0</v>
      </c>
      <c r="O6" s="509">
        <f ca="1">SUBTOTAL(105,表格5[第11檔])</f>
        <v>0</v>
      </c>
      <c r="P6" s="509">
        <f ca="1">SUBTOTAL(105,表格5[第12檔])</f>
        <v>0</v>
      </c>
      <c r="Q6" s="509">
        <f ca="1">SUBTOTAL(105,表格5[第13檔])</f>
        <v>0</v>
      </c>
      <c r="R6" s="509">
        <f ca="1">SUBTOTAL(105,表格5[第14檔])</f>
        <v>0</v>
      </c>
      <c r="S6" s="509">
        <f ca="1">SUBTOTAL(105,表格5[第15檔])</f>
        <v>0</v>
      </c>
      <c r="T6" s="509">
        <f ca="1">SUBTOTAL(105,表格5[第16檔])</f>
        <v>0</v>
      </c>
      <c r="U6" s="509">
        <f ca="1">SUBTOTAL(105,表格5[第17檔])</f>
        <v>0</v>
      </c>
      <c r="V6" s="509">
        <f ca="1">SUBTOTAL(105,表格5[第18檔])</f>
        <v>0</v>
      </c>
      <c r="W6" s="509">
        <f ca="1">SUBTOTAL(105,表格5[第19檔])</f>
        <v>0</v>
      </c>
      <c r="X6" s="509">
        <f ca="1">SUBTOTAL(105,表格5[第20檔])</f>
        <v>0</v>
      </c>
      <c r="Y6" s="509">
        <f ca="1">SUBTOTAL(105,表格5[第21檔])</f>
        <v>0</v>
      </c>
      <c r="Z6" s="509">
        <f ca="1">SUBTOTAL(105,表格5[第22檔])</f>
        <v>0</v>
      </c>
      <c r="AA6" s="509">
        <f ca="1">SUBTOTAL(105,表格5[第23檔])</f>
        <v>0</v>
      </c>
      <c r="AB6" s="509">
        <f ca="1">SUBTOTAL(105,表格5[第24檔])</f>
        <v>0</v>
      </c>
      <c r="AC6" s="509">
        <f ca="1">SUBTOTAL(105,表格5[第25檔])</f>
        <v>0</v>
      </c>
      <c r="AD6" s="509">
        <f ca="1">SUBTOTAL(105,表格5[第26檔])</f>
        <v>0</v>
      </c>
      <c r="AE6" s="509">
        <f ca="1">SUBTOTAL(105,表格5[第27檔])</f>
        <v>0</v>
      </c>
      <c r="AF6" s="509">
        <f ca="1">SUBTOTAL(105,表格5[第28檔])</f>
        <v>0</v>
      </c>
      <c r="AG6" s="509">
        <f ca="1">SUBTOTAL(105,表格5[第29檔])</f>
        <v>0</v>
      </c>
      <c r="AH6" s="509">
        <f ca="1">SUBTOTAL(105,表格5[第30檔])</f>
        <v>0</v>
      </c>
    </row>
    <row r="7" spans="1:34" ht="16" thickBot="1">
      <c r="D7" s="668" t="s">
        <v>2039</v>
      </c>
      <c r="E7" s="516">
        <f ca="1">CHOOSE($A$1,E19,E16)</f>
        <v>13.717403729600285</v>
      </c>
      <c r="F7" s="516">
        <f t="shared" ref="F7:O7" ca="1" si="2">CHOOSE($A$1,F19,F16)</f>
        <v>16.723886517143892</v>
      </c>
      <c r="G7" s="516">
        <f t="shared" ca="1" si="2"/>
        <v>8.7842651652191517</v>
      </c>
      <c r="H7" s="516">
        <f t="shared" ca="1" si="2"/>
        <v>6.0305624264705981</v>
      </c>
      <c r="I7" s="516">
        <f t="shared" ca="1" si="2"/>
        <v>13.043571737953453</v>
      </c>
      <c r="J7" s="516">
        <f t="shared" ca="1" si="2"/>
        <v>0</v>
      </c>
      <c r="K7" s="516">
        <f t="shared" ca="1" si="2"/>
        <v>0</v>
      </c>
      <c r="L7" s="516">
        <f t="shared" ca="1" si="2"/>
        <v>0</v>
      </c>
      <c r="M7" s="516">
        <f t="shared" ca="1" si="2"/>
        <v>0</v>
      </c>
      <c r="N7" s="516">
        <f t="shared" ca="1" si="2"/>
        <v>0</v>
      </c>
      <c r="O7" s="516">
        <f t="shared" ca="1" si="2"/>
        <v>0</v>
      </c>
      <c r="P7" s="516">
        <f t="shared" ref="P7:AH7" ca="1" si="3">CHOOSE($A$1,P19,P16)</f>
        <v>0</v>
      </c>
      <c r="Q7" s="516">
        <f t="shared" ca="1" si="3"/>
        <v>0</v>
      </c>
      <c r="R7" s="516">
        <f t="shared" ca="1" si="3"/>
        <v>0</v>
      </c>
      <c r="S7" s="516">
        <f t="shared" ca="1" si="3"/>
        <v>0</v>
      </c>
      <c r="T7" s="516">
        <f t="shared" ca="1" si="3"/>
        <v>0</v>
      </c>
      <c r="U7" s="516">
        <f t="shared" ca="1" si="3"/>
        <v>0</v>
      </c>
      <c r="V7" s="516">
        <f t="shared" ca="1" si="3"/>
        <v>0</v>
      </c>
      <c r="W7" s="516">
        <f t="shared" ca="1" si="3"/>
        <v>0</v>
      </c>
      <c r="X7" s="516">
        <f t="shared" ca="1" si="3"/>
        <v>0</v>
      </c>
      <c r="Y7" s="516">
        <f t="shared" ca="1" si="3"/>
        <v>0</v>
      </c>
      <c r="Z7" s="516">
        <f t="shared" ca="1" si="3"/>
        <v>0</v>
      </c>
      <c r="AA7" s="516">
        <f t="shared" ca="1" si="3"/>
        <v>0</v>
      </c>
      <c r="AB7" s="516">
        <f t="shared" ca="1" si="3"/>
        <v>0</v>
      </c>
      <c r="AC7" s="516">
        <f t="shared" ca="1" si="3"/>
        <v>0</v>
      </c>
      <c r="AD7" s="516">
        <f t="shared" ca="1" si="3"/>
        <v>0</v>
      </c>
      <c r="AE7" s="516">
        <f t="shared" ca="1" si="3"/>
        <v>0</v>
      </c>
      <c r="AF7" s="516">
        <f t="shared" ca="1" si="3"/>
        <v>0</v>
      </c>
      <c r="AG7" s="516">
        <f t="shared" ca="1" si="3"/>
        <v>0</v>
      </c>
      <c r="AH7" s="516">
        <f t="shared" ca="1" si="3"/>
        <v>0</v>
      </c>
    </row>
    <row r="8" spans="1:34">
      <c r="D8" s="596" t="s">
        <v>2125</v>
      </c>
      <c r="E8" s="510">
        <f t="array" aca="1" ref="E8" ca="1">SUMPRODUCT(INT(表格5[第1檔]&gt;0),SUBTOTAL(109,OFFSET(E14,ROW(表格5[第1檔])-ROW(E14),0)))</f>
        <v>3.0026756149479659</v>
      </c>
      <c r="F8" s="510">
        <f t="array" aca="1" ref="F8" ca="1">SUMPRODUCT(INT(表格5[第2檔]&gt;0),SUBTOTAL(109,OFFSET(F14,ROW(表格5[第2檔])-ROW(F14),0)))</f>
        <v>5.7852190108607839</v>
      </c>
      <c r="G8" s="510">
        <f t="array" aca="1" ref="G8" ca="1">SUMPRODUCT(INT(表格5[第3檔]&gt;0),SUBTOTAL(109,OFFSET(G14,ROW(表格5[第3檔])-ROW(G14),0)))</f>
        <v>4.7751199397773103</v>
      </c>
      <c r="H8" s="510">
        <f t="array" aca="1" ref="H8" ca="1">SUMPRODUCT(INT(表格5[第4檔]&gt;0),SUBTOTAL(109,OFFSET(H14,ROW(表格5[第4檔])-ROW(H14),0)))</f>
        <v>2.1691176470588234</v>
      </c>
      <c r="I8" s="510">
        <f t="array" aca="1" ref="I8" ca="1">SUMPRODUCT(INT(表格5[第5檔]&gt;0),SUBTOTAL(109,OFFSET(I14,ROW(表格5[第5檔])-ROW(I14),0)))</f>
        <v>2.6318955663839261</v>
      </c>
      <c r="J8" s="510">
        <f t="array" aca="1" ref="J8" ca="1">SUMPRODUCT(INT(表格5[第6檔]&gt;0),SUBTOTAL(109,OFFSET(J14,ROW(表格5[第6檔])-ROW(J14),0)))</f>
        <v>0</v>
      </c>
      <c r="K8" s="510">
        <f t="array" aca="1" ref="K8" ca="1">SUMPRODUCT(INT(表格5[第7檔]&gt;0),SUBTOTAL(109,OFFSET(K14,ROW(表格5[第7檔])-ROW(K14),0)))</f>
        <v>0</v>
      </c>
      <c r="L8" s="510">
        <f t="array" aca="1" ref="L8" ca="1">SUMPRODUCT(INT(表格5[第8檔]&gt;0),SUBTOTAL(109,OFFSET(L14,ROW(表格5[第8檔])-ROW(L14),0)))</f>
        <v>0</v>
      </c>
      <c r="M8" s="510">
        <f t="array" aca="1" ref="M8" ca="1">SUMPRODUCT(INT(表格5[第9檔]&gt;0),SUBTOTAL(109,OFFSET(M14,ROW(表格5[第9檔])-ROW(M14),0)))</f>
        <v>0</v>
      </c>
      <c r="N8" s="510">
        <f t="array" aca="1" ref="N8" ca="1">SUMPRODUCT(INT(表格5[第10檔]&gt;0),SUBTOTAL(109,OFFSET(N14,ROW(表格5[第10檔])-ROW(N14),0)))</f>
        <v>0</v>
      </c>
      <c r="O8" s="510">
        <f t="array" aca="1" ref="O8" ca="1">SUMPRODUCT(INT(表格5[第11檔]&gt;0),SUBTOTAL(109,OFFSET(O14,ROW(表格5[第11檔])-ROW(O14),0)))</f>
        <v>0</v>
      </c>
      <c r="P8" s="510">
        <f t="array" aca="1" ref="P8" ca="1">SUMPRODUCT(INT(表格5[第12檔]&gt;0),SUBTOTAL(109,OFFSET(P14,ROW(表格5[第12檔])-ROW(P14),0)))</f>
        <v>0</v>
      </c>
      <c r="Q8" s="510">
        <f t="array" aca="1" ref="Q8" ca="1">SUMPRODUCT(INT(表格5[第13檔]&gt;0),SUBTOTAL(109,OFFSET(Q14,ROW(表格5[第13檔])-ROW(Q14),0)))</f>
        <v>0</v>
      </c>
      <c r="R8" s="510">
        <f t="array" aca="1" ref="R8" ca="1">SUMPRODUCT(INT(表格5[第14檔]&gt;0),SUBTOTAL(109,OFFSET(R14,ROW(表格5[第14檔])-ROW(R14),0)))</f>
        <v>0</v>
      </c>
      <c r="S8" s="510">
        <f t="array" aca="1" ref="S8" ca="1">SUMPRODUCT(INT(表格5[第15檔]&gt;0),SUBTOTAL(109,OFFSET(S14,ROW(表格5[第15檔])-ROW(S14),0)))</f>
        <v>0</v>
      </c>
      <c r="T8" s="510">
        <f t="array" aca="1" ref="T8" ca="1">SUMPRODUCT(INT(表格5[第16檔]&gt;0),SUBTOTAL(109,OFFSET(T14,ROW(表格5[第16檔])-ROW(T14),0)))</f>
        <v>0</v>
      </c>
      <c r="U8" s="510">
        <f t="array" aca="1" ref="U8" ca="1">SUMPRODUCT(INT(表格5[第17檔]&gt;0),SUBTOTAL(109,OFFSET(U14,ROW(表格5[第17檔])-ROW(U14),0)))</f>
        <v>0</v>
      </c>
      <c r="V8" s="510">
        <f t="array" aca="1" ref="V8" ca="1">SUMPRODUCT(INT(表格5[第18檔]&gt;0),SUBTOTAL(109,OFFSET(V14,ROW(表格5[第18檔])-ROW(V14),0)))</f>
        <v>0</v>
      </c>
      <c r="W8" s="510">
        <f t="array" aca="1" ref="W8" ca="1">SUMPRODUCT(INT(表格5[第19檔]&gt;0),SUBTOTAL(109,OFFSET(W14,ROW(表格5[第19檔])-ROW(W14),0)))</f>
        <v>0</v>
      </c>
      <c r="X8" s="510">
        <f t="array" aca="1" ref="X8" ca="1">SUMPRODUCT(INT(表格5[第20檔]&gt;0),SUBTOTAL(109,OFFSET(X14,ROW(表格5[第20檔])-ROW(X14),0)))</f>
        <v>0</v>
      </c>
      <c r="Y8" s="510">
        <f t="array" aca="1" ref="Y8" ca="1">SUMPRODUCT(INT(表格5[第21檔]&gt;0),SUBTOTAL(109,OFFSET(Y14,ROW(表格5[第21檔])-ROW(Y14),0)))</f>
        <v>0</v>
      </c>
      <c r="Z8" s="510">
        <f t="array" aca="1" ref="Z8" ca="1">SUMPRODUCT(INT(表格5[第22檔]&gt;0),SUBTOTAL(109,OFFSET(Z14,ROW(表格5[第22檔])-ROW(Z14),0)))</f>
        <v>0</v>
      </c>
      <c r="AA8" s="510">
        <f t="array" aca="1" ref="AA8" ca="1">SUMPRODUCT(INT(表格5[第23檔]&gt;0),SUBTOTAL(109,OFFSET(AA14,ROW(表格5[第23檔])-ROW(AA14),0)))</f>
        <v>0</v>
      </c>
      <c r="AB8" s="510">
        <f t="array" aca="1" ref="AB8" ca="1">SUMPRODUCT(INT(表格5[第24檔]&gt;0),SUBTOTAL(109,OFFSET(AB14,ROW(表格5[第24檔])-ROW(AB14),0)))</f>
        <v>0</v>
      </c>
      <c r="AC8" s="510">
        <f t="array" aca="1" ref="AC8" ca="1">SUMPRODUCT(INT(表格5[第25檔]&gt;0),SUBTOTAL(109,OFFSET(AC14,ROW(表格5[第25檔])-ROW(AC14),0)))</f>
        <v>0</v>
      </c>
      <c r="AD8" s="510">
        <f t="array" aca="1" ref="AD8" ca="1">SUMPRODUCT(INT(表格5[第26檔]&gt;0),SUBTOTAL(109,OFFSET(AD14,ROW(表格5[第26檔])-ROW(AD14),0)))</f>
        <v>0</v>
      </c>
      <c r="AE8" s="510">
        <f t="array" aca="1" ref="AE8" ca="1">SUMPRODUCT(INT(表格5[第27檔]&gt;0),SUBTOTAL(109,OFFSET(AE14,ROW(表格5[第27檔])-ROW(AE14),0)))</f>
        <v>0</v>
      </c>
      <c r="AF8" s="510">
        <f t="array" aca="1" ref="AF8" ca="1">SUMPRODUCT(INT(表格5[第28檔]&gt;0),SUBTOTAL(109,OFFSET(AF14,ROW(表格5[第28檔])-ROW(AF14),0)))</f>
        <v>0</v>
      </c>
      <c r="AG8" s="510">
        <f t="array" aca="1" ref="AG8" ca="1">SUMPRODUCT(INT(表格5[第29檔]&gt;0),SUBTOTAL(109,OFFSET(AG14,ROW(表格5[第29檔])-ROW(AG14),0)))</f>
        <v>0</v>
      </c>
      <c r="AH8" s="510">
        <f t="array" aca="1" ref="AH8" ca="1">SUMPRODUCT(INT(表格5[第30檔]&gt;0),SUBTOTAL(109,OFFSET(AH14,ROW(表格5[第30檔])-ROW(AH14),0)))</f>
        <v>0</v>
      </c>
    </row>
    <row r="9" spans="1:34">
      <c r="D9" s="596" t="s">
        <v>2126</v>
      </c>
      <c r="E9" s="510">
        <f t="array" aca="1" ref="E9" ca="1">SUMPRODUCT(INT(表格5[第1檔]&lt;0),SUBTOTAL(109,OFFSET(E14,ROW(表格5[第1檔])-ROW(E14),0)))</f>
        <v>0</v>
      </c>
      <c r="F9" s="510">
        <f t="array" aca="1" ref="F9" ca="1">SUMPRODUCT(INT(表格5[第2檔]&lt;0),SUBTOTAL(109,OFFSET(F14,ROW(表格5[第2檔])-ROW(F14),0)))</f>
        <v>0</v>
      </c>
      <c r="G9" s="510">
        <f t="array" aca="1" ref="G9" ca="1">SUMPRODUCT(INT(表格5[第3檔]&lt;0),SUBTOTAL(109,OFFSET(G14,ROW(表格5[第3檔])-ROW(G14),0)))</f>
        <v>0</v>
      </c>
      <c r="H9" s="510">
        <f t="array" aca="1" ref="H9" ca="1">SUMPRODUCT(INT(表格5[第4檔]&lt;0),SUBTOTAL(109,OFFSET(H14,ROW(表格5[第4檔])-ROW(H14),0)))</f>
        <v>0</v>
      </c>
      <c r="I9" s="510">
        <f t="array" aca="1" ref="I9" ca="1">SUMPRODUCT(INT(表格5[第5檔]&lt;0),SUBTOTAL(109,OFFSET(I14,ROW(表格5[第5檔])-ROW(I14),0)))</f>
        <v>0</v>
      </c>
      <c r="J9" s="510">
        <f t="array" aca="1" ref="J9" ca="1">SUMPRODUCT(INT(表格5[第6檔]&lt;0),SUBTOTAL(109,OFFSET(J14,ROW(表格5[第6檔])-ROW(J14),0)))</f>
        <v>0</v>
      </c>
      <c r="K9" s="510">
        <f t="array" aca="1" ref="K9" ca="1">SUMPRODUCT(INT(表格5[第7檔]&lt;0),SUBTOTAL(109,OFFSET(K14,ROW(表格5[第7檔])-ROW(K14),0)))</f>
        <v>0</v>
      </c>
      <c r="L9" s="510">
        <f t="array" aca="1" ref="L9" ca="1">SUMPRODUCT(INT(表格5[第8檔]&lt;0),SUBTOTAL(109,OFFSET(L14,ROW(表格5[第8檔])-ROW(L14),0)))</f>
        <v>0</v>
      </c>
      <c r="M9" s="510">
        <f t="array" aca="1" ref="M9" ca="1">SUMPRODUCT(INT(表格5[第9檔]&lt;0),SUBTOTAL(109,OFFSET(M14,ROW(表格5[第9檔])-ROW(M14),0)))</f>
        <v>0</v>
      </c>
      <c r="N9" s="510">
        <f t="array" aca="1" ref="N9" ca="1">SUMPRODUCT(INT(表格5[第10檔]&lt;0),SUBTOTAL(109,OFFSET(N14,ROW(表格5[第10檔])-ROW(N14),0)))</f>
        <v>0</v>
      </c>
      <c r="O9" s="510">
        <f t="array" aca="1" ref="O9" ca="1">SUMPRODUCT(INT(表格5[第11檔]&lt;0),SUBTOTAL(109,OFFSET(O14,ROW(表格5[第11檔])-ROW(O14),0)))</f>
        <v>0</v>
      </c>
      <c r="P9" s="510">
        <f t="array" aca="1" ref="P9" ca="1">SUMPRODUCT(INT(表格5[第12檔]&lt;0),SUBTOTAL(109,OFFSET(P14,ROW(表格5[第12檔])-ROW(P14),0)))</f>
        <v>0</v>
      </c>
      <c r="Q9" s="510">
        <f t="array" aca="1" ref="Q9" ca="1">SUMPRODUCT(INT(表格5[第13檔]&lt;0),SUBTOTAL(109,OFFSET(Q14,ROW(表格5[第13檔])-ROW(Q14),0)))</f>
        <v>0</v>
      </c>
      <c r="R9" s="510">
        <f t="array" aca="1" ref="R9" ca="1">SUMPRODUCT(INT(表格5[第14檔]&lt;0),SUBTOTAL(109,OFFSET(R14,ROW(表格5[第14檔])-ROW(R14),0)))</f>
        <v>0</v>
      </c>
      <c r="S9" s="510">
        <f t="array" aca="1" ref="S9" ca="1">SUMPRODUCT(INT(表格5[第15檔]&lt;0),SUBTOTAL(109,OFFSET(S14,ROW(表格5[第15檔])-ROW(S14),0)))</f>
        <v>0</v>
      </c>
      <c r="T9" s="510">
        <f t="array" aca="1" ref="T9" ca="1">SUMPRODUCT(INT(表格5[第16檔]&lt;0),SUBTOTAL(109,OFFSET(T14,ROW(表格5[第16檔])-ROW(T14),0)))</f>
        <v>0</v>
      </c>
      <c r="U9" s="510">
        <f t="array" aca="1" ref="U9" ca="1">SUMPRODUCT(INT(表格5[第17檔]&lt;0),SUBTOTAL(109,OFFSET(U14,ROW(表格5[第17檔])-ROW(U14),0)))</f>
        <v>0</v>
      </c>
      <c r="V9" s="510">
        <f t="array" aca="1" ref="V9" ca="1">SUMPRODUCT(INT(表格5[第18檔]&lt;0),SUBTOTAL(109,OFFSET(V14,ROW(表格5[第18檔])-ROW(V14),0)))</f>
        <v>0</v>
      </c>
      <c r="W9" s="510">
        <f t="array" aca="1" ref="W9" ca="1">SUMPRODUCT(INT(表格5[第19檔]&lt;0),SUBTOTAL(109,OFFSET(W14,ROW(表格5[第19檔])-ROW(W14),0)))</f>
        <v>0</v>
      </c>
      <c r="X9" s="510">
        <f t="array" aca="1" ref="X9" ca="1">SUMPRODUCT(INT(表格5[第20檔]&lt;0),SUBTOTAL(109,OFFSET(X14,ROW(表格5[第20檔])-ROW(X14),0)))</f>
        <v>0</v>
      </c>
      <c r="Y9" s="510">
        <f t="array" aca="1" ref="Y9" ca="1">SUMPRODUCT(INT(表格5[第21檔]&lt;0),SUBTOTAL(109,OFFSET(Y14,ROW(表格5[第21檔])-ROW(Y14),0)))</f>
        <v>0</v>
      </c>
      <c r="Z9" s="510">
        <f t="array" aca="1" ref="Z9" ca="1">SUMPRODUCT(INT(表格5[第22檔]&lt;0),SUBTOTAL(109,OFFSET(Z14,ROW(表格5[第22檔])-ROW(Z14),0)))</f>
        <v>0</v>
      </c>
      <c r="AA9" s="510">
        <f t="array" aca="1" ref="AA9" ca="1">SUMPRODUCT(INT(表格5[第23檔]&lt;0),SUBTOTAL(109,OFFSET(AA14,ROW(表格5[第23檔])-ROW(AA14),0)))</f>
        <v>0</v>
      </c>
      <c r="AB9" s="510">
        <f t="array" aca="1" ref="AB9" ca="1">SUMPRODUCT(INT(表格5[第24檔]&lt;0),SUBTOTAL(109,OFFSET(AB14,ROW(表格5[第24檔])-ROW(AB14),0)))</f>
        <v>0</v>
      </c>
      <c r="AC9" s="510">
        <f t="array" aca="1" ref="AC9" ca="1">SUMPRODUCT(INT(表格5[第25檔]&lt;0),SUBTOTAL(109,OFFSET(AC14,ROW(表格5[第25檔])-ROW(AC14),0)))</f>
        <v>0</v>
      </c>
      <c r="AD9" s="510">
        <f t="array" aca="1" ref="AD9" ca="1">SUMPRODUCT(INT(表格5[第26檔]&lt;0),SUBTOTAL(109,OFFSET(AD14,ROW(表格5[第26檔])-ROW(AD14),0)))</f>
        <v>0</v>
      </c>
      <c r="AE9" s="510">
        <f t="array" aca="1" ref="AE9" ca="1">SUMPRODUCT(INT(表格5[第27檔]&lt;0),SUBTOTAL(109,OFFSET(AE14,ROW(表格5[第27檔])-ROW(AE14),0)))</f>
        <v>0</v>
      </c>
      <c r="AF9" s="510">
        <f t="array" aca="1" ref="AF9" ca="1">SUMPRODUCT(INT(表格5[第28檔]&lt;0),SUBTOTAL(109,OFFSET(AF14,ROW(表格5[第28檔])-ROW(AF14),0)))</f>
        <v>0</v>
      </c>
      <c r="AG9" s="510">
        <f t="array" aca="1" ref="AG9" ca="1">SUMPRODUCT(INT(表格5[第29檔]&lt;0),SUBTOTAL(109,OFFSET(AG14,ROW(表格5[第29檔])-ROW(AG14),0)))</f>
        <v>0</v>
      </c>
      <c r="AH9" s="510">
        <f t="array" aca="1" ref="AH9" ca="1">SUMPRODUCT(INT(表格5[第30檔]&lt;0),SUBTOTAL(109,OFFSET(AH14,ROW(表格5[第30檔])-ROW(AH14),0)))</f>
        <v>0</v>
      </c>
    </row>
    <row r="10" spans="1:34">
      <c r="E10" s="503" t="str">
        <f ca="1">IFERROR(LEFT(VLOOKUP(E11,'庫存管理(Pro)'!$B$7:$G$36,2,0),3),"      ")</f>
        <v>印尼國</v>
      </c>
      <c r="F10" s="503" t="str">
        <f ca="1">IFERROR(LEFT(VLOOKUP(F11,'庫存管理(Pro)'!$B$7:$G$36,2,0),3),"      ")</f>
        <v>Unu</v>
      </c>
      <c r="G10" s="503" t="str">
        <f ca="1">IFERROR(LEFT(VLOOKUP(G11,'庫存管理(Pro)'!$B$7:$G$36,2,0),3),"      ")</f>
        <v>信諾公</v>
      </c>
      <c r="H10" s="503" t="str">
        <f ca="1">IFERROR(LEFT(VLOOKUP(H11,'庫存管理(Pro)'!$B$7:$G$36,2,0),3),"      ")</f>
        <v>目標百</v>
      </c>
      <c r="I10" s="503" t="str">
        <f ca="1">IFERROR(LEFT(VLOOKUP(I11,'庫存管理(Pro)'!$B$7:$G$36,2,0),3),"      ")</f>
        <v>美國醫</v>
      </c>
      <c r="J10" s="503" t="str">
        <f ca="1">IFERROR(LEFT(VLOOKUP(J11,'庫存管理(Pro)'!$B$7:$G$36,2,0),3),"      ")</f>
        <v xml:space="preserve">      </v>
      </c>
      <c r="K10" s="503" t="str">
        <f ca="1">IFERROR(LEFT(VLOOKUP(K11,'庫存管理(Pro)'!$B$7:$G$36,2,0),3),"      ")</f>
        <v xml:space="preserve">      </v>
      </c>
      <c r="L10" s="503" t="str">
        <f ca="1">IFERROR(LEFT(VLOOKUP(L11,'庫存管理(Pro)'!$B$7:$G$36,2,0),3),"      ")</f>
        <v xml:space="preserve">      </v>
      </c>
      <c r="M10" s="503" t="str">
        <f ca="1">IFERROR(LEFT(VLOOKUP(M11,'庫存管理(Pro)'!$B$7:$G$36,2,0),3),"      ")</f>
        <v xml:space="preserve">      </v>
      </c>
      <c r="N10" s="503" t="str">
        <f ca="1">IFERROR(LEFT(VLOOKUP(N11,'庫存管理(Pro)'!$B$7:$G$36,2,0),3),"      ")</f>
        <v xml:space="preserve">      </v>
      </c>
      <c r="O10" s="503" t="str">
        <f ca="1">IFERROR(LEFT(VLOOKUP(O11,'庫存管理(Pro)'!$B$7:$G$36,2,0),3),"      ")</f>
        <v xml:space="preserve">      </v>
      </c>
      <c r="P10" s="503" t="str">
        <f ca="1">IFERROR(LEFT(VLOOKUP(P11,'庫存管理(Pro)'!$B$7:$G$36,2,0),3),"      ")</f>
        <v xml:space="preserve">      </v>
      </c>
      <c r="Q10" s="503" t="str">
        <f ca="1">IFERROR(LEFT(VLOOKUP(Q11,'庫存管理(Pro)'!$B$7:$G$36,2,0),3),"      ")</f>
        <v xml:space="preserve">      </v>
      </c>
      <c r="R10" s="503" t="str">
        <f ca="1">IFERROR(LEFT(VLOOKUP(R11,'庫存管理(Pro)'!$B$7:$G$36,2,0),3),"      ")</f>
        <v xml:space="preserve">      </v>
      </c>
      <c r="S10" s="503" t="str">
        <f ca="1">IFERROR(LEFT(VLOOKUP(S11,'庫存管理(Pro)'!$B$7:$G$36,2,0),3),"      ")</f>
        <v xml:space="preserve">      </v>
      </c>
      <c r="T10" s="503" t="str">
        <f ca="1">IFERROR(LEFT(VLOOKUP(T11,'庫存管理(Pro)'!$B$7:$G$36,2,0),3),"      ")</f>
        <v xml:space="preserve">      </v>
      </c>
      <c r="U10" s="503" t="str">
        <f ca="1">IFERROR(LEFT(VLOOKUP(U11,'庫存管理(Pro)'!$B$7:$G$36,2,0),3),"      ")</f>
        <v xml:space="preserve">      </v>
      </c>
      <c r="V10" s="503" t="str">
        <f ca="1">IFERROR(LEFT(VLOOKUP(V11,'庫存管理(Pro)'!$B$7:$G$36,2,0),3),"      ")</f>
        <v xml:space="preserve">      </v>
      </c>
      <c r="W10" s="503" t="str">
        <f ca="1">IFERROR(LEFT(VLOOKUP(W11,'庫存管理(Pro)'!$B$7:$G$36,2,0),3),"      ")</f>
        <v xml:space="preserve">      </v>
      </c>
      <c r="X10" s="503" t="str">
        <f ca="1">IFERROR(LEFT(VLOOKUP(X11,'庫存管理(Pro)'!$B$7:$G$36,2,0),3),"      ")</f>
        <v xml:space="preserve">      </v>
      </c>
      <c r="Y10" s="503" t="str">
        <f ca="1">IFERROR(LEFT(VLOOKUP(Y11,'庫存管理(Pro)'!$B$7:$G$36,2,0),3),"      ")</f>
        <v xml:space="preserve">      </v>
      </c>
      <c r="Z10" s="503" t="str">
        <f ca="1">IFERROR(LEFT(VLOOKUP(Z11,'庫存管理(Pro)'!$B$7:$G$36,2,0),3),"      ")</f>
        <v xml:space="preserve">      </v>
      </c>
      <c r="AA10" s="503" t="str">
        <f ca="1">IFERROR(LEFT(VLOOKUP(AA11,'庫存管理(Pro)'!$B$7:$G$36,2,0),3),"      ")</f>
        <v xml:space="preserve">      </v>
      </c>
      <c r="AB10" s="503" t="str">
        <f ca="1">IFERROR(LEFT(VLOOKUP(AB11,'庫存管理(Pro)'!$B$7:$G$36,2,0),3),"      ")</f>
        <v xml:space="preserve">      </v>
      </c>
      <c r="AC10" s="503" t="str">
        <f ca="1">IFERROR(LEFT(VLOOKUP(AC11,'庫存管理(Pro)'!$B$7:$G$36,2,0),3),"      ")</f>
        <v xml:space="preserve">      </v>
      </c>
      <c r="AD10" s="503" t="str">
        <f ca="1">IFERROR(LEFT(VLOOKUP(AD11,'庫存管理(Pro)'!$B$7:$G$36,2,0),3),"      ")</f>
        <v xml:space="preserve">      </v>
      </c>
      <c r="AE10" s="503" t="str">
        <f ca="1">IFERROR(LEFT(VLOOKUP(AE11,'庫存管理(Pro)'!$B$7:$G$36,2,0),3),"      ")</f>
        <v xml:space="preserve">      </v>
      </c>
      <c r="AF10" s="503" t="str">
        <f ca="1">IFERROR(LEFT(VLOOKUP(AF11,'庫存管理(Pro)'!$B$7:$G$36,2,0),3),"      ")</f>
        <v xml:space="preserve">      </v>
      </c>
      <c r="AG10" s="503" t="str">
        <f ca="1">IFERROR(LEFT(VLOOKUP(AG11,'庫存管理(Pro)'!$B$7:$G$36,2,0),3),"      ")</f>
        <v xml:space="preserve">      </v>
      </c>
      <c r="AH10" s="503" t="str">
        <f ca="1">IFERROR(LEFT(VLOOKUP(AH11,'庫存管理(Pro)'!$B$7:$G$36,2,0),3),"      ")</f>
        <v xml:space="preserve">      </v>
      </c>
    </row>
    <row r="11" spans="1:34">
      <c r="D11" s="596" t="s">
        <v>2025</v>
      </c>
      <c r="E11" s="503" t="str">
        <f ca="1">IF('Tssco-bond portfolio(Pro)'!$H7=0,"",'Tssco-bond portfolio(Pro)'!$H7)</f>
        <v>XFV30</v>
      </c>
      <c r="F11" s="503" t="str">
        <f ca="1">IF('Tssco-bond portfolio(Pro)'!$H8=0,"",'Tssco-bond portfolio(Pro)'!$H8)</f>
        <v>XG500</v>
      </c>
      <c r="G11" s="503" t="str">
        <f ca="1">IF('Tssco-bond portfolio(Pro)'!$H9=0,"",'Tssco-bond portfolio(Pro)'!$H9)</f>
        <v>XG440</v>
      </c>
      <c r="H11" s="503" t="str">
        <f ca="1">IF('Tssco-bond portfolio(Pro)'!$H10=0,"",'Tssco-bond portfolio(Pro)'!$H10)</f>
        <v>XH240</v>
      </c>
      <c r="I11" s="503" t="str">
        <f ca="1">IF('Tssco-bond portfolio(Pro)'!$H11=0,"",'Tssco-bond portfolio(Pro)'!$H11)</f>
        <v>XG490</v>
      </c>
      <c r="J11" s="503" t="str">
        <f ca="1">IF('Tssco-bond portfolio(Pro)'!$H12=0,"",'Tssco-bond portfolio(Pro)'!$H12)</f>
        <v/>
      </c>
      <c r="K11" s="503" t="str">
        <f ca="1">IF('Tssco-bond portfolio(Pro)'!$H13=0,"",'Tssco-bond portfolio(Pro)'!$H13)</f>
        <v/>
      </c>
      <c r="L11" s="503" t="str">
        <f ca="1">IF('Tssco-bond portfolio(Pro)'!$H14=0,"",'Tssco-bond portfolio(Pro)'!$H14)</f>
        <v/>
      </c>
      <c r="M11" s="503" t="str">
        <f ca="1">IF('Tssco-bond portfolio(Pro)'!$H15=0,"",'Tssco-bond portfolio(Pro)'!$H15)</f>
        <v/>
      </c>
      <c r="N11" s="503" t="str">
        <f ca="1">IF('Tssco-bond portfolio(Pro)'!$H16=0,"",'Tssco-bond portfolio(Pro)'!$H16)</f>
        <v/>
      </c>
      <c r="O11" s="503" t="str">
        <f ca="1">IF('Tssco-bond portfolio(Pro)'!$H17=0,"",'Tssco-bond portfolio(Pro)'!$H17)</f>
        <v/>
      </c>
      <c r="P11" s="503" t="str">
        <f ca="1">IF('Tssco-bond portfolio(Pro)'!$H18=0,"",'Tssco-bond portfolio(Pro)'!$H18)</f>
        <v/>
      </c>
      <c r="Q11" s="503" t="str">
        <f ca="1">IF('Tssco-bond portfolio(Pro)'!$H18=0,"",'Tssco-bond portfolio(Pro)'!$H19)</f>
        <v/>
      </c>
      <c r="R11" s="503" t="str">
        <f ca="1">IF('Tssco-bond portfolio(Pro)'!$H18=0,"",'Tssco-bond portfolio(Pro)'!$H20)</f>
        <v/>
      </c>
      <c r="S11" s="503" t="str">
        <f ca="1">IF('Tssco-bond portfolio(Pro)'!$H18=0,"",'Tssco-bond portfolio(Pro)'!$H21)</f>
        <v/>
      </c>
      <c r="T11" s="503" t="str">
        <f ca="1">IF('Tssco-bond portfolio(Pro)'!$H18=0,"",'Tssco-bond portfolio(Pro)'!$H22)</f>
        <v/>
      </c>
      <c r="U11" s="503" t="str">
        <f ca="1">IF('Tssco-bond portfolio(Pro)'!$H18=0,"",'Tssco-bond portfolio(Pro)'!$H23)</f>
        <v/>
      </c>
      <c r="V11" s="503" t="str">
        <f ca="1">IF('Tssco-bond portfolio(Pro)'!$H18=0,"",'Tssco-bond portfolio(Pro)'!$H24)</f>
        <v/>
      </c>
      <c r="W11" s="503" t="str">
        <f ca="1">IF('Tssco-bond portfolio(Pro)'!$H18=0,"",'Tssco-bond portfolio(Pro)'!$H25)</f>
        <v/>
      </c>
      <c r="X11" s="503" t="str">
        <f ca="1">IF('Tssco-bond portfolio(Pro)'!$H18=0,"",'Tssco-bond portfolio(Pro)'!$H26)</f>
        <v/>
      </c>
      <c r="Y11" s="503" t="str">
        <f ca="1">IF('Tssco-bond portfolio(Pro)'!$H18=0,"",'Tssco-bond portfolio(Pro)'!$H27)</f>
        <v/>
      </c>
      <c r="Z11" s="503" t="str">
        <f ca="1">IF('Tssco-bond portfolio(Pro)'!$H18=0,"",'Tssco-bond portfolio(Pro)'!$H28)</f>
        <v/>
      </c>
      <c r="AA11" s="503" t="str">
        <f ca="1">IF('Tssco-bond portfolio(Pro)'!$H18=0,"",'Tssco-bond portfolio(Pro)'!$H29)</f>
        <v/>
      </c>
      <c r="AB11" s="503" t="str">
        <f ca="1">IF('Tssco-bond portfolio(Pro)'!$H18=0,"",'Tssco-bond portfolio(Pro)'!$H30)</f>
        <v/>
      </c>
      <c r="AC11" s="503" t="str">
        <f ca="1">IF('Tssco-bond portfolio(Pro)'!$H18=0,"",'Tssco-bond portfolio(Pro)'!$H31)</f>
        <v/>
      </c>
      <c r="AD11" s="503" t="str">
        <f ca="1">IF('Tssco-bond portfolio(Pro)'!$H18=0,"",'Tssco-bond portfolio(Pro)'!$H32)</f>
        <v/>
      </c>
      <c r="AE11" s="503" t="str">
        <f ca="1">IF('Tssco-bond portfolio(Pro)'!$H18=0,"",'Tssco-bond portfolio(Pro)'!$H33)</f>
        <v/>
      </c>
      <c r="AF11" s="503" t="str">
        <f ca="1">IF('Tssco-bond portfolio(Pro)'!$H18=0,"",'Tssco-bond portfolio(Pro)'!$H34)</f>
        <v/>
      </c>
      <c r="AG11" s="503" t="str">
        <f ca="1">IF('Tssco-bond portfolio(Pro)'!$H18=0,"",'Tssco-bond portfolio(Pro)'!$H35)</f>
        <v/>
      </c>
      <c r="AH11" s="503" t="str">
        <f ca="1">IF('Tssco-bond portfolio(Pro)'!$H18=0,"",'Tssco-bond portfolio(Pro)'!$H36)</f>
        <v/>
      </c>
    </row>
    <row r="13" spans="1:34">
      <c r="A13" t="s">
        <v>2122</v>
      </c>
      <c r="B13" t="s">
        <v>2121</v>
      </c>
      <c r="C13" t="s">
        <v>2115</v>
      </c>
      <c r="D13" s="596" t="s">
        <v>1989</v>
      </c>
      <c r="E13" t="s">
        <v>2026</v>
      </c>
      <c r="F13" t="s">
        <v>2027</v>
      </c>
      <c r="G13" t="s">
        <v>2028</v>
      </c>
      <c r="H13" t="s">
        <v>2029</v>
      </c>
      <c r="I13" t="s">
        <v>2030</v>
      </c>
      <c r="J13" t="s">
        <v>2031</v>
      </c>
      <c r="K13" t="s">
        <v>2032</v>
      </c>
      <c r="L13" t="s">
        <v>2033</v>
      </c>
      <c r="M13" t="s">
        <v>2034</v>
      </c>
      <c r="N13" t="s">
        <v>2035</v>
      </c>
      <c r="O13" t="s">
        <v>2036</v>
      </c>
      <c r="P13" t="s">
        <v>2037</v>
      </c>
      <c r="Q13" t="s">
        <v>2240</v>
      </c>
      <c r="R13" t="s">
        <v>2241</v>
      </c>
      <c r="S13" t="s">
        <v>2242</v>
      </c>
      <c r="T13" t="s">
        <v>2243</v>
      </c>
      <c r="U13" t="s">
        <v>2244</v>
      </c>
      <c r="V13" t="s">
        <v>2245</v>
      </c>
      <c r="W13" t="s">
        <v>2246</v>
      </c>
      <c r="X13" t="s">
        <v>2247</v>
      </c>
      <c r="Y13" t="s">
        <v>2248</v>
      </c>
      <c r="Z13" t="s">
        <v>2249</v>
      </c>
      <c r="AA13" t="s">
        <v>2250</v>
      </c>
      <c r="AB13" t="s">
        <v>2251</v>
      </c>
      <c r="AC13" t="s">
        <v>2252</v>
      </c>
      <c r="AD13" t="s">
        <v>2253</v>
      </c>
      <c r="AE13" t="s">
        <v>2254</v>
      </c>
      <c r="AF13" t="s">
        <v>2255</v>
      </c>
      <c r="AG13" t="s">
        <v>2256</v>
      </c>
      <c r="AH13" t="s">
        <v>2257</v>
      </c>
    </row>
    <row r="14" spans="1:34" ht="15.75" hidden="1" customHeight="1">
      <c r="A14">
        <v>2</v>
      </c>
      <c r="B14">
        <v>1</v>
      </c>
      <c r="C14" t="str">
        <f ca="1">IF($A$3&lt;1,"1) -",IF($A$3&gt;1,"1) 不適用",CONCATENATE("1) "&amp;'Tssco-bond portfolio(Pro)'!$BP$2)))</f>
        <v>1) USD</v>
      </c>
      <c r="D14" s="596" t="s">
        <v>2213</v>
      </c>
      <c r="E14" s="510">
        <f ca="1">'Tssco-bond portfolio(Pro)'!$AB7*100</f>
        <v>2.0286384421318195</v>
      </c>
      <c r="F14" s="510">
        <f ca="1">'Tssco-bond portfolio(Pro)'!$AB8*100</f>
        <v>2.02293330939772</v>
      </c>
      <c r="G14" s="510">
        <f ca="1">'Tssco-bond portfolio(Pro)'!$AB9*100</f>
        <v>-4.3001359504735799</v>
      </c>
      <c r="H14" s="510">
        <f ca="1">'Tssco-bond portfolio(Pro)'!$AB10*100</f>
        <v>-4.2375000000000007</v>
      </c>
      <c r="I14" s="510">
        <f ca="1">'Tssco-bond portfolio(Pro)'!$AB11*100</f>
        <v>1.7770558864224355</v>
      </c>
      <c r="J14" s="510">
        <f ca="1">'Tssco-bond portfolio(Pro)'!$AB12*100</f>
        <v>0</v>
      </c>
      <c r="K14" s="510">
        <f ca="1">'Tssco-bond portfolio(Pro)'!$AB13*100</f>
        <v>0</v>
      </c>
      <c r="L14" s="510">
        <f ca="1">'Tssco-bond portfolio(Pro)'!$AB14*100</f>
        <v>0</v>
      </c>
      <c r="M14" s="510">
        <f ca="1">'Tssco-bond portfolio(Pro)'!$AB15*100</f>
        <v>0</v>
      </c>
      <c r="N14" s="510">
        <f ca="1">'Tssco-bond portfolio(Pro)'!$AB16*100</f>
        <v>0</v>
      </c>
      <c r="O14" s="510">
        <f ca="1">'Tssco-bond portfolio(Pro)'!$AB17*100</f>
        <v>0</v>
      </c>
      <c r="P14" s="510">
        <f ca="1">'Tssco-bond portfolio(Pro)'!$AB18*100</f>
        <v>0</v>
      </c>
      <c r="Q14" s="510">
        <f ca="1">'Tssco-bond portfolio(Pro)'!$AB19*100</f>
        <v>0</v>
      </c>
      <c r="R14" s="510">
        <f ca="1">'Tssco-bond portfolio(Pro)'!$AB20*100</f>
        <v>0</v>
      </c>
      <c r="S14" s="510">
        <f ca="1">'Tssco-bond portfolio(Pro)'!$AB21*100</f>
        <v>0</v>
      </c>
      <c r="T14" s="510">
        <f ca="1">'Tssco-bond portfolio(Pro)'!$AB22*100</f>
        <v>0</v>
      </c>
      <c r="U14" s="510">
        <f ca="1">'Tssco-bond portfolio(Pro)'!$AB23*100</f>
        <v>0</v>
      </c>
      <c r="V14" s="510">
        <f ca="1">'Tssco-bond portfolio(Pro)'!$AB24*100</f>
        <v>0</v>
      </c>
      <c r="W14" s="510">
        <f ca="1">'Tssco-bond portfolio(Pro)'!$AB25*100</f>
        <v>0</v>
      </c>
      <c r="X14" s="510">
        <f ca="1">'Tssco-bond portfolio(Pro)'!$AB26*100</f>
        <v>0</v>
      </c>
      <c r="Y14" s="510">
        <f ca="1">'Tssco-bond portfolio(Pro)'!$AB27*100</f>
        <v>0</v>
      </c>
      <c r="Z14" s="510">
        <f ca="1">'Tssco-bond portfolio(Pro)'!$AB28*100</f>
        <v>0</v>
      </c>
      <c r="AA14" s="510">
        <f ca="1">'Tssco-bond portfolio(Pro)'!$AB29*100</f>
        <v>0</v>
      </c>
      <c r="AB14" s="510">
        <f ca="1">'Tssco-bond portfolio(Pro)'!$AB30*100</f>
        <v>0</v>
      </c>
      <c r="AC14" s="510">
        <f ca="1">'Tssco-bond portfolio(Pro)'!$AB31*100</f>
        <v>0</v>
      </c>
      <c r="AD14" s="510">
        <f ca="1">'Tssco-bond portfolio(Pro)'!$AB32*100</f>
        <v>0</v>
      </c>
      <c r="AE14" s="510">
        <f ca="1">'Tssco-bond portfolio(Pro)'!$AB33*100</f>
        <v>0</v>
      </c>
      <c r="AF14" s="510">
        <f ca="1">'Tssco-bond portfolio(Pro)'!$AB34*100</f>
        <v>0</v>
      </c>
      <c r="AG14" s="510">
        <f ca="1">'Tssco-bond portfolio(Pro)'!$AB35*100</f>
        <v>0</v>
      </c>
      <c r="AH14" s="510">
        <f ca="1">'Tssco-bond portfolio(Pro)'!$AB36*100</f>
        <v>0</v>
      </c>
    </row>
    <row r="15" spans="1:34" ht="15.75" hidden="1" customHeight="1">
      <c r="A15">
        <v>2</v>
      </c>
      <c r="B15">
        <v>2</v>
      </c>
      <c r="C15" t="str">
        <f ca="1">IF($A$3&lt;1,"1) -",IF($A$3&gt;1,"1) 不適用",CONCATENATE("1) "&amp;'Tssco-bond portfolio(Pro)'!$BP$2)))</f>
        <v>1) USD</v>
      </c>
      <c r="D15" s="596" t="s">
        <v>2211</v>
      </c>
      <c r="E15" s="510">
        <f ca="1">'Tssco-bond portfolio(Pro)'!$AS7*100</f>
        <v>3.0026756149479659</v>
      </c>
      <c r="F15" s="510">
        <f ca="1">'Tssco-bond portfolio(Pro)'!$AS8*100</f>
        <v>5.7852190108607839</v>
      </c>
      <c r="G15" s="510">
        <f ca="1">'Tssco-bond portfolio(Pro)'!$AS9*100</f>
        <v>4.7751199397773103</v>
      </c>
      <c r="H15" s="510">
        <f ca="1">'Tssco-bond portfolio(Pro)'!$AS10*100</f>
        <v>2.1691176470588234</v>
      </c>
      <c r="I15" s="510">
        <f ca="1">'Tssco-bond portfolio(Pro)'!$AS11*100</f>
        <v>2.6318955663839261</v>
      </c>
      <c r="J15" s="510">
        <f ca="1">'Tssco-bond portfolio(Pro)'!$AS12*100</f>
        <v>0</v>
      </c>
      <c r="K15" s="510">
        <f ca="1">'Tssco-bond portfolio(Pro)'!$AS13*100</f>
        <v>0</v>
      </c>
      <c r="L15" s="510">
        <f ca="1">'Tssco-bond portfolio(Pro)'!$AS14*100</f>
        <v>0</v>
      </c>
      <c r="M15" s="510">
        <f ca="1">'Tssco-bond portfolio(Pro)'!$AS15*100</f>
        <v>0</v>
      </c>
      <c r="N15" s="510">
        <f ca="1">'Tssco-bond portfolio(Pro)'!$AS16*100</f>
        <v>0</v>
      </c>
      <c r="O15" s="510">
        <f ca="1">'Tssco-bond portfolio(Pro)'!$AS17*100</f>
        <v>0</v>
      </c>
      <c r="P15" s="510">
        <f ca="1">'Tssco-bond portfolio(Pro)'!$AS18*100</f>
        <v>0</v>
      </c>
      <c r="Q15" s="510">
        <f ca="1">'Tssco-bond portfolio(Pro)'!$AS19*100</f>
        <v>0</v>
      </c>
      <c r="R15" s="510">
        <f ca="1">'Tssco-bond portfolio(Pro)'!$AS20*100</f>
        <v>0</v>
      </c>
      <c r="S15" s="510">
        <f ca="1">'Tssco-bond portfolio(Pro)'!$AS21*100</f>
        <v>0</v>
      </c>
      <c r="T15" s="510">
        <f ca="1">'Tssco-bond portfolio(Pro)'!$AS22*100</f>
        <v>0</v>
      </c>
      <c r="U15" s="510">
        <f ca="1">'Tssco-bond portfolio(Pro)'!$AS23*100</f>
        <v>0</v>
      </c>
      <c r="V15" s="510">
        <f ca="1">'Tssco-bond portfolio(Pro)'!$AS24*100</f>
        <v>0</v>
      </c>
      <c r="W15" s="510">
        <f ca="1">'Tssco-bond portfolio(Pro)'!$AS25*100</f>
        <v>0</v>
      </c>
      <c r="X15" s="510">
        <f ca="1">'Tssco-bond portfolio(Pro)'!$AS26*100</f>
        <v>0</v>
      </c>
      <c r="Y15" s="510">
        <f ca="1">'Tssco-bond portfolio(Pro)'!$AS27*100</f>
        <v>0</v>
      </c>
      <c r="Z15" s="510">
        <f ca="1">'Tssco-bond portfolio(Pro)'!$AS28*100</f>
        <v>0</v>
      </c>
      <c r="AA15" s="510">
        <f ca="1">'Tssco-bond portfolio(Pro)'!$AS29*100</f>
        <v>0</v>
      </c>
      <c r="AB15" s="510">
        <f ca="1">'Tssco-bond portfolio(Pro)'!$AS30*100</f>
        <v>0</v>
      </c>
      <c r="AC15" s="510">
        <f ca="1">'Tssco-bond portfolio(Pro)'!$AS31*100</f>
        <v>0</v>
      </c>
      <c r="AD15" s="510">
        <f ca="1">'Tssco-bond portfolio(Pro)'!$AS32*100</f>
        <v>0</v>
      </c>
      <c r="AE15" s="510">
        <f ca="1">'Tssco-bond portfolio(Pro)'!$AS33*100</f>
        <v>0</v>
      </c>
      <c r="AF15" s="510">
        <f ca="1">'Tssco-bond portfolio(Pro)'!$AS34*100</f>
        <v>0</v>
      </c>
      <c r="AG15" s="510">
        <f ca="1">'Tssco-bond portfolio(Pro)'!$AS35*100</f>
        <v>0</v>
      </c>
      <c r="AH15" s="510">
        <f ca="1">'Tssco-bond portfolio(Pro)'!$AS36*100</f>
        <v>0</v>
      </c>
    </row>
    <row r="16" spans="1:34" ht="15.75" hidden="1" customHeight="1">
      <c r="A16">
        <v>2</v>
      </c>
      <c r="B16">
        <v>5</v>
      </c>
      <c r="C16" t="str">
        <f ca="1">IF($A$3&lt;1,"1) -",IF($A$3&gt;1,"1) 不適用",CONCATENATE("1) "&amp;'Tssco-bond portfolio(Pro)'!$BP$2)))</f>
        <v>1) USD</v>
      </c>
      <c r="D16" s="596" t="s">
        <v>2212</v>
      </c>
      <c r="E16" s="510">
        <f ca="1">IF(表格5[[#This Row],[匯率索引]]=$A$4,E$19,'Tssco-bond portfolio(Pro)'!$AU7*100)</f>
        <v>5.0313140570797854</v>
      </c>
      <c r="F16" s="510">
        <f ca="1">IF(表格5[[#This Row],[匯率索引]]=$A$4,F$19,'Tssco-bond portfolio(Pro)'!$AU8*100)</f>
        <v>7.8081523202585048</v>
      </c>
      <c r="G16" s="510">
        <f ca="1">IF(表格5[[#This Row],[匯率索引]]=$A$4,G$19,'Tssco-bond portfolio(Pro)'!$AU9*100)</f>
        <v>0.47498398930373131</v>
      </c>
      <c r="H16" s="510">
        <f ca="1">IF(表格5[[#This Row],[匯率索引]]=$A$4,H$19,'Tssco-bond portfolio(Pro)'!$AU10*100)</f>
        <v>-2.0683823529411764</v>
      </c>
      <c r="I16" s="510">
        <f ca="1">IF(表格5[[#This Row],[匯率索引]]=$A$4,I$19,'Tssco-bond portfolio(Pro)'!$AU11*100)</f>
        <v>4.4089514528063614</v>
      </c>
      <c r="J16" s="510">
        <f ca="1">IF(表格5[[#This Row],[匯率索引]]=$A$4,J$19,'Tssco-bond portfolio(Pro)'!$AU12*100)</f>
        <v>0</v>
      </c>
      <c r="K16" s="510">
        <f ca="1">IF(表格5[[#This Row],[匯率索引]]=$A$4,K$19,'Tssco-bond portfolio(Pro)'!$AU13*100)</f>
        <v>0</v>
      </c>
      <c r="L16" s="510">
        <f ca="1">IF(表格5[[#This Row],[匯率索引]]=$A$4,L$19,'Tssco-bond portfolio(Pro)'!$AU14*100)</f>
        <v>0</v>
      </c>
      <c r="M16" s="510">
        <f ca="1">IF(表格5[[#This Row],[匯率索引]]=$A$4,M$19,'Tssco-bond portfolio(Pro)'!$AU15*100)</f>
        <v>0</v>
      </c>
      <c r="N16" s="510">
        <f ca="1">IF(表格5[[#This Row],[匯率索引]]=$A$4,N$19,'Tssco-bond portfolio(Pro)'!$AU16*100)</f>
        <v>0</v>
      </c>
      <c r="O16" s="510">
        <f ca="1">IF(表格5[[#This Row],[匯率索引]]=$A$4,O$19,'Tssco-bond portfolio(Pro)'!$AU17*100)</f>
        <v>0</v>
      </c>
      <c r="P16" s="510">
        <f ca="1">IF(表格5[[#This Row],[匯率索引]]=$A$4,P$19,'Tssco-bond portfolio(Pro)'!$AU18*100)</f>
        <v>0</v>
      </c>
      <c r="Q16" s="510">
        <f ca="1">IF(表格5[[#This Row],[報酬率]]=$A$4,Q$19,'Tssco-bond portfolio(Pro)'!$AU19*100)</f>
        <v>0</v>
      </c>
      <c r="R16" s="510">
        <f ca="1">IF(表格5[[#This Row],[第1檔]]=$A$4,R$19,'Tssco-bond portfolio(Pro)'!$AU20*100)</f>
        <v>0</v>
      </c>
      <c r="S16" s="510">
        <f ca="1">IF(表格5[[#This Row],[第2檔]]=$A$4,S$19,'Tssco-bond portfolio(Pro)'!$AU21*100)</f>
        <v>0</v>
      </c>
      <c r="T16" s="510">
        <f ca="1">IF(表格5[[#This Row],[第3檔]]=$A$4,T$19,'Tssco-bond portfolio(Pro)'!$AU22*100)</f>
        <v>0</v>
      </c>
      <c r="U16" s="510">
        <f ca="1">IF(表格5[[#This Row],[第4檔]]=$A$4,U$19,'Tssco-bond portfolio(Pro)'!$AU23*100)</f>
        <v>0</v>
      </c>
      <c r="V16" s="510">
        <f ca="1">IF(表格5[[#This Row],[第5檔]]=$A$4,V$19,'Tssco-bond portfolio(Pro)'!$AU24*100)</f>
        <v>0</v>
      </c>
      <c r="W16" s="510">
        <f ca="1">IF(表格5[[#This Row],[第6檔]]=$A$4,W$19,'Tssco-bond portfolio(Pro)'!$AU25*100)</f>
        <v>0</v>
      </c>
      <c r="X16" s="510">
        <f ca="1">IF(表格5[[#This Row],[第7檔]]=$A$4,X$19,'Tssco-bond portfolio(Pro)'!$AU26*100)</f>
        <v>0</v>
      </c>
      <c r="Y16" s="510">
        <f ca="1">IF(表格5[[#This Row],[第8檔]]=$A$4,Y$19,'Tssco-bond portfolio(Pro)'!$AU27*100)</f>
        <v>0</v>
      </c>
      <c r="Z16" s="510">
        <f ca="1">IF(表格5[[#This Row],[第9檔]]=$A$4,Z$19,'Tssco-bond portfolio(Pro)'!$AU28*100)</f>
        <v>0</v>
      </c>
      <c r="AA16" s="510">
        <f ca="1">IF(表格5[[#This Row],[第10檔]]=$A$4,AA$19,'Tssco-bond portfolio(Pro)'!$AU29*100)</f>
        <v>0</v>
      </c>
      <c r="AB16" s="510">
        <f ca="1">IF(表格5[[#This Row],[第11檔]]=$A$4,AB$19,'Tssco-bond portfolio(Pro)'!$AU30*100)</f>
        <v>0</v>
      </c>
      <c r="AC16" s="510">
        <f ca="1">IF(表格5[[#This Row],[第12檔]]=$A$4,AC$19,'Tssco-bond portfolio(Pro)'!$AU31*100)</f>
        <v>0</v>
      </c>
      <c r="AD16" s="510">
        <f ca="1">IF(表格5[[#This Row],[第13檔]]=$A$4,AD$19,'Tssco-bond portfolio(Pro)'!$AU32*100)</f>
        <v>0</v>
      </c>
      <c r="AE16" s="510">
        <f ca="1">IF(表格5[[#This Row],[第14檔]]=$A$4,AE$19,'Tssco-bond portfolio(Pro)'!$AU33*100)</f>
        <v>0</v>
      </c>
      <c r="AF16" s="510">
        <f ca="1">IF(表格5[[#This Row],[第15檔]]=$A$4,AF$19,'Tssco-bond portfolio(Pro)'!$AU34*100)</f>
        <v>0</v>
      </c>
      <c r="AG16" s="510">
        <f ca="1">IF(表格5[[#This Row],[第16檔]]=$A$4,AG$19,'Tssco-bond portfolio(Pro)'!$AU35*100)</f>
        <v>0</v>
      </c>
      <c r="AH16" s="510">
        <f ca="1">IF(表格5[[#This Row],[第17檔]]=$A$4,AH$19,'Tssco-bond portfolio(Pro)'!$AU36*100)</f>
        <v>0</v>
      </c>
    </row>
    <row r="17" spans="1:36" ht="15.75" hidden="1" customHeight="1">
      <c r="A17">
        <v>1</v>
      </c>
      <c r="B17">
        <v>1</v>
      </c>
      <c r="C17" t="s">
        <v>3770</v>
      </c>
      <c r="D17" s="596" t="s">
        <v>2213</v>
      </c>
      <c r="E17" s="510">
        <f ca="1">'Tssco-bond portfolio(Pro)'!$CB7*100</f>
        <v>2.0286384421318195</v>
      </c>
      <c r="F17" s="510">
        <f ca="1">'Tssco-bond portfolio(Pro)'!$CB8*100</f>
        <v>2.02293330939772</v>
      </c>
      <c r="G17" s="510">
        <f ca="1">'Tssco-bond portfolio(Pro)'!$CB9*100</f>
        <v>-4.3001359504735799</v>
      </c>
      <c r="H17" s="510">
        <f ca="1">'Tssco-bond portfolio(Pro)'!$CB10*100</f>
        <v>-4.2375000000000007</v>
      </c>
      <c r="I17" s="510">
        <f ca="1">'Tssco-bond portfolio(Pro)'!$CB11*100</f>
        <v>1.7770558864224355</v>
      </c>
      <c r="J17" s="510">
        <f ca="1">'Tssco-bond portfolio(Pro)'!$CB12*100</f>
        <v>0</v>
      </c>
      <c r="K17" s="510">
        <f ca="1">'Tssco-bond portfolio(Pro)'!$CB13*100</f>
        <v>0</v>
      </c>
      <c r="L17" s="510">
        <f ca="1">'Tssco-bond portfolio(Pro)'!$CB14*100</f>
        <v>0</v>
      </c>
      <c r="M17" s="510">
        <f ca="1">'Tssco-bond portfolio(Pro)'!$CB15*100</f>
        <v>0</v>
      </c>
      <c r="N17" s="510">
        <f ca="1">'Tssco-bond portfolio(Pro)'!$CB16*100</f>
        <v>0</v>
      </c>
      <c r="O17" s="510">
        <f ca="1">'Tssco-bond portfolio(Pro)'!$CB17*100</f>
        <v>0</v>
      </c>
      <c r="P17" s="510">
        <f ca="1">'Tssco-bond portfolio(Pro)'!$CB18*100</f>
        <v>0</v>
      </c>
      <c r="Q17" s="510">
        <f ca="1">'Tssco-bond portfolio(Pro)'!$CB19*100</f>
        <v>0</v>
      </c>
      <c r="R17" s="510">
        <f ca="1">'Tssco-bond portfolio(Pro)'!$CB20*100</f>
        <v>0</v>
      </c>
      <c r="S17" s="510">
        <f ca="1">'Tssco-bond portfolio(Pro)'!$CB21*100</f>
        <v>0</v>
      </c>
      <c r="T17" s="510">
        <f ca="1">'Tssco-bond portfolio(Pro)'!$CB22*100</f>
        <v>0</v>
      </c>
      <c r="U17" s="510">
        <f ca="1">'Tssco-bond portfolio(Pro)'!$CB23*100</f>
        <v>0</v>
      </c>
      <c r="V17" s="510">
        <f ca="1">'Tssco-bond portfolio(Pro)'!$CB24*100</f>
        <v>0</v>
      </c>
      <c r="W17" s="510">
        <f ca="1">'Tssco-bond portfolio(Pro)'!$CB25*100</f>
        <v>0</v>
      </c>
      <c r="X17" s="510">
        <f ca="1">'Tssco-bond portfolio(Pro)'!$CB26*100</f>
        <v>0</v>
      </c>
      <c r="Y17" s="510">
        <f ca="1">'Tssco-bond portfolio(Pro)'!$CB27*100</f>
        <v>0</v>
      </c>
      <c r="Z17" s="510">
        <f ca="1">'Tssco-bond portfolio(Pro)'!$CB28*100</f>
        <v>0</v>
      </c>
      <c r="AA17" s="510">
        <f ca="1">'Tssco-bond portfolio(Pro)'!$CB29*100</f>
        <v>0</v>
      </c>
      <c r="AB17" s="510">
        <f ca="1">'Tssco-bond portfolio(Pro)'!$CB30*100</f>
        <v>0</v>
      </c>
      <c r="AC17" s="510">
        <f ca="1">'Tssco-bond portfolio(Pro)'!$CB31*100</f>
        <v>0</v>
      </c>
      <c r="AD17" s="510">
        <f ca="1">'Tssco-bond portfolio(Pro)'!$CB32*100</f>
        <v>0</v>
      </c>
      <c r="AE17" s="510">
        <f ca="1">'Tssco-bond portfolio(Pro)'!$CB33*100</f>
        <v>0</v>
      </c>
      <c r="AF17" s="510">
        <f ca="1">'Tssco-bond portfolio(Pro)'!$CB34*100</f>
        <v>0</v>
      </c>
      <c r="AG17" s="510">
        <f ca="1">'Tssco-bond portfolio(Pro)'!$CB35*100</f>
        <v>0</v>
      </c>
      <c r="AH17" s="510">
        <f ca="1">'Tssco-bond portfolio(Pro)'!$CB36*100</f>
        <v>0</v>
      </c>
    </row>
    <row r="18" spans="1:36" ht="15.75" customHeight="1">
      <c r="A18">
        <v>1</v>
      </c>
      <c r="B18">
        <v>2</v>
      </c>
      <c r="C18" t="s">
        <v>3770</v>
      </c>
      <c r="D18" s="596" t="s">
        <v>2211</v>
      </c>
      <c r="E18" s="586">
        <f ca="1">'Tssco-bond portfolio(Pro)'!$CA7*100</f>
        <v>3.0026756149479659</v>
      </c>
      <c r="F18" s="586">
        <f ca="1">'Tssco-bond portfolio(Pro)'!$CA8*100</f>
        <v>5.7852190108607839</v>
      </c>
      <c r="G18" s="586">
        <f ca="1">'Tssco-bond portfolio(Pro)'!$CA9*100</f>
        <v>4.7751199397773103</v>
      </c>
      <c r="H18" s="586">
        <f ca="1">'Tssco-bond portfolio(Pro)'!$CA10*100</f>
        <v>2.1691176470588234</v>
      </c>
      <c r="I18" s="586">
        <f ca="1">'Tssco-bond portfolio(Pro)'!$CA11*100</f>
        <v>2.6318955663839261</v>
      </c>
      <c r="J18" s="586">
        <f ca="1">'Tssco-bond portfolio(Pro)'!$CA12*100</f>
        <v>0</v>
      </c>
      <c r="K18" s="586">
        <f ca="1">'Tssco-bond portfolio(Pro)'!$CA13*100</f>
        <v>0</v>
      </c>
      <c r="L18" s="586">
        <f ca="1">'Tssco-bond portfolio(Pro)'!$CA14*100</f>
        <v>0</v>
      </c>
      <c r="M18" s="586">
        <f ca="1">'Tssco-bond portfolio(Pro)'!$CA15*100</f>
        <v>0</v>
      </c>
      <c r="N18" s="586">
        <f ca="1">'Tssco-bond portfolio(Pro)'!$CA16*100</f>
        <v>0</v>
      </c>
      <c r="O18" s="586">
        <f ca="1">'Tssco-bond portfolio(Pro)'!$CA17*100</f>
        <v>0</v>
      </c>
      <c r="P18" s="586">
        <f ca="1">'Tssco-bond portfolio(Pro)'!$CA18*100</f>
        <v>0</v>
      </c>
      <c r="Q18" s="586">
        <f ca="1">'Tssco-bond portfolio(Pro)'!$CA19*100</f>
        <v>0</v>
      </c>
      <c r="R18" s="586">
        <f ca="1">'Tssco-bond portfolio(Pro)'!$CA20*100</f>
        <v>0</v>
      </c>
      <c r="S18" s="586">
        <f ca="1">'Tssco-bond portfolio(Pro)'!$CA21*100</f>
        <v>0</v>
      </c>
      <c r="T18" s="586">
        <f ca="1">'Tssco-bond portfolio(Pro)'!$CA22*100</f>
        <v>0</v>
      </c>
      <c r="U18" s="586">
        <f ca="1">'Tssco-bond portfolio(Pro)'!$CA23*100</f>
        <v>0</v>
      </c>
      <c r="V18" s="586">
        <f ca="1">'Tssco-bond portfolio(Pro)'!$CA24*100</f>
        <v>0</v>
      </c>
      <c r="W18" s="586">
        <f ca="1">'Tssco-bond portfolio(Pro)'!$CA25*100</f>
        <v>0</v>
      </c>
      <c r="X18" s="586">
        <f ca="1">'Tssco-bond portfolio(Pro)'!$CA26*100</f>
        <v>0</v>
      </c>
      <c r="Y18" s="586">
        <f ca="1">'Tssco-bond portfolio(Pro)'!$CA27*100</f>
        <v>0</v>
      </c>
      <c r="Z18" s="586">
        <f ca="1">'Tssco-bond portfolio(Pro)'!$CA28*100</f>
        <v>0</v>
      </c>
      <c r="AA18" s="586">
        <f ca="1">'Tssco-bond portfolio(Pro)'!$CA29*100</f>
        <v>0</v>
      </c>
      <c r="AB18" s="586">
        <f ca="1">'Tssco-bond portfolio(Pro)'!$CA30*100</f>
        <v>0</v>
      </c>
      <c r="AC18" s="586">
        <f ca="1">'Tssco-bond portfolio(Pro)'!$CA31*100</f>
        <v>0</v>
      </c>
      <c r="AD18" s="586">
        <f ca="1">'Tssco-bond portfolio(Pro)'!$CA32*100</f>
        <v>0</v>
      </c>
      <c r="AE18" s="586">
        <f ca="1">'Tssco-bond portfolio(Pro)'!$CA33*100</f>
        <v>0</v>
      </c>
      <c r="AF18" s="586">
        <f ca="1">'Tssco-bond portfolio(Pro)'!$CA34*100</f>
        <v>0</v>
      </c>
      <c r="AG18" s="586">
        <f ca="1">'Tssco-bond portfolio(Pro)'!$CA35*100</f>
        <v>0</v>
      </c>
      <c r="AH18" s="586">
        <f ca="1">'Tssco-bond portfolio(Pro)'!$CA36*100</f>
        <v>0</v>
      </c>
    </row>
    <row r="19" spans="1:36" hidden="1">
      <c r="A19">
        <v>1</v>
      </c>
      <c r="B19">
        <v>5</v>
      </c>
      <c r="C19" t="s">
        <v>3770</v>
      </c>
      <c r="D19" s="596" t="s">
        <v>2212</v>
      </c>
      <c r="E19" s="586">
        <f ca="1">'Tssco-bond portfolio(Pro)'!$CD7*100</f>
        <v>13.717403729600285</v>
      </c>
      <c r="F19" s="586">
        <f ca="1">'Tssco-bond portfolio(Pro)'!$CD8*100</f>
        <v>16.723886517143892</v>
      </c>
      <c r="G19" s="586">
        <f ca="1">'Tssco-bond portfolio(Pro)'!$CD9*100</f>
        <v>8.7842651652191517</v>
      </c>
      <c r="H19" s="586">
        <f ca="1">'Tssco-bond portfolio(Pro)'!$CD10*100</f>
        <v>6.0305624264705981</v>
      </c>
      <c r="I19" s="586">
        <f ca="1">'Tssco-bond portfolio(Pro)'!$CD11*100</f>
        <v>13.043571737953453</v>
      </c>
      <c r="J19" s="586">
        <f ca="1">'Tssco-bond portfolio(Pro)'!$CD12*100</f>
        <v>0</v>
      </c>
      <c r="K19" s="586">
        <f ca="1">'Tssco-bond portfolio(Pro)'!$CD13*100</f>
        <v>0</v>
      </c>
      <c r="L19" s="586">
        <f ca="1">'Tssco-bond portfolio(Pro)'!$CD14*100</f>
        <v>0</v>
      </c>
      <c r="M19" s="586">
        <f ca="1">'Tssco-bond portfolio(Pro)'!$CD15*100</f>
        <v>0</v>
      </c>
      <c r="N19" s="586">
        <f ca="1">'Tssco-bond portfolio(Pro)'!$CD16*100</f>
        <v>0</v>
      </c>
      <c r="O19" s="586">
        <f ca="1">'Tssco-bond portfolio(Pro)'!$CD17*100</f>
        <v>0</v>
      </c>
      <c r="P19" s="586">
        <f ca="1">'Tssco-bond portfolio(Pro)'!$CD18*100</f>
        <v>0</v>
      </c>
      <c r="Q19" s="586">
        <f ca="1">'Tssco-bond portfolio(Pro)'!$CD19*100</f>
        <v>0</v>
      </c>
      <c r="R19" s="586">
        <f ca="1">'Tssco-bond portfolio(Pro)'!$CD20*100</f>
        <v>0</v>
      </c>
      <c r="S19" s="586">
        <f ca="1">'Tssco-bond portfolio(Pro)'!$CD21*100</f>
        <v>0</v>
      </c>
      <c r="T19" s="586">
        <f ca="1">'Tssco-bond portfolio(Pro)'!$CD22*100</f>
        <v>0</v>
      </c>
      <c r="U19" s="586">
        <f ca="1">'Tssco-bond portfolio(Pro)'!$CD23*100</f>
        <v>0</v>
      </c>
      <c r="V19" s="586">
        <f ca="1">'Tssco-bond portfolio(Pro)'!$CD24*100</f>
        <v>0</v>
      </c>
      <c r="W19" s="586">
        <f ca="1">'Tssco-bond portfolio(Pro)'!$CD25*100</f>
        <v>0</v>
      </c>
      <c r="X19" s="586">
        <f ca="1">'Tssco-bond portfolio(Pro)'!$CD26*100</f>
        <v>0</v>
      </c>
      <c r="Y19" s="586">
        <f ca="1">'Tssco-bond portfolio(Pro)'!$CD27*100</f>
        <v>0</v>
      </c>
      <c r="Z19" s="586">
        <f ca="1">'Tssco-bond portfolio(Pro)'!$CD28*100</f>
        <v>0</v>
      </c>
      <c r="AA19" s="586">
        <f ca="1">'Tssco-bond portfolio(Pro)'!$CD29*100</f>
        <v>0</v>
      </c>
      <c r="AB19" s="586">
        <f ca="1">'Tssco-bond portfolio(Pro)'!$CD30*100</f>
        <v>0</v>
      </c>
      <c r="AC19" s="586">
        <f ca="1">'Tssco-bond portfolio(Pro)'!$CD31*100</f>
        <v>0</v>
      </c>
      <c r="AD19" s="586">
        <f ca="1">'Tssco-bond portfolio(Pro)'!$CD32*100</f>
        <v>0</v>
      </c>
      <c r="AE19" s="586">
        <f ca="1">'Tssco-bond portfolio(Pro)'!$CD33*100</f>
        <v>0</v>
      </c>
      <c r="AF19" s="586">
        <f ca="1">'Tssco-bond portfolio(Pro)'!$CD34*100</f>
        <v>0</v>
      </c>
      <c r="AG19" s="586">
        <f ca="1">'Tssco-bond portfolio(Pro)'!$CD35*100</f>
        <v>0</v>
      </c>
      <c r="AH19" s="586">
        <f ca="1">'Tssco-bond portfolio(Pro)'!$CD36*100</f>
        <v>0</v>
      </c>
    </row>
    <row r="20" spans="1:36" ht="15.75" hidden="1" customHeight="1">
      <c r="A20">
        <v>1</v>
      </c>
      <c r="B20">
        <v>9</v>
      </c>
      <c r="C20" t="s">
        <v>3770</v>
      </c>
      <c r="D20" s="596" t="s">
        <v>2214</v>
      </c>
      <c r="E20" s="586">
        <f ca="1">ROUND('Tssco-bond portfolio(Pro)'!$CC7*100,2)</f>
        <v>8.69</v>
      </c>
      <c r="F20" s="586">
        <f ca="1">ROUND('Tssco-bond portfolio(Pro)'!$CC8*100,2)</f>
        <v>8.92</v>
      </c>
      <c r="G20" s="586">
        <f ca="1">ROUND('Tssco-bond portfolio(Pro)'!$CC9*100,2)</f>
        <v>8.31</v>
      </c>
      <c r="H20" s="586">
        <f ca="1">ROUND('Tssco-bond portfolio(Pro)'!$CC10*100,2)</f>
        <v>8.1</v>
      </c>
      <c r="I20" s="586">
        <f ca="1">ROUND('Tssco-bond portfolio(Pro)'!$CC11*100,2)</f>
        <v>8.6300000000000008</v>
      </c>
      <c r="J20" s="586">
        <f ca="1">ROUND('Tssco-bond portfolio(Pro)'!$CC12*100,2)</f>
        <v>0</v>
      </c>
      <c r="K20" s="586">
        <f ca="1">ROUND('Tssco-bond portfolio(Pro)'!$CC13*100,2)</f>
        <v>0</v>
      </c>
      <c r="L20" s="586">
        <f ca="1">ROUND('Tssco-bond portfolio(Pro)'!$CC14*100,2)</f>
        <v>0</v>
      </c>
      <c r="M20" s="586">
        <f ca="1">ROUND('Tssco-bond portfolio(Pro)'!$CC15*100,2)</f>
        <v>0</v>
      </c>
      <c r="N20" s="586">
        <f ca="1">ROUND('Tssco-bond portfolio(Pro)'!$CC16*100,2)</f>
        <v>0</v>
      </c>
      <c r="O20" s="586">
        <f ca="1">ROUND('Tssco-bond portfolio(Pro)'!$CC17*100,2)</f>
        <v>0</v>
      </c>
      <c r="P20" s="586">
        <f ca="1">ROUND('Tssco-bond portfolio(Pro)'!$CC18*100,2)</f>
        <v>0</v>
      </c>
      <c r="Q20" s="586">
        <f ca="1">ROUND('Tssco-bond portfolio(Pro)'!$CC19*100,2)</f>
        <v>0</v>
      </c>
      <c r="R20" s="586">
        <f ca="1">ROUND('Tssco-bond portfolio(Pro)'!$CC20*100,2)</f>
        <v>0</v>
      </c>
      <c r="S20" s="586">
        <f ca="1">ROUND('Tssco-bond portfolio(Pro)'!$CC21*100,2)</f>
        <v>0</v>
      </c>
      <c r="T20" s="586">
        <f ca="1">ROUND('Tssco-bond portfolio(Pro)'!$CC22*100,2)</f>
        <v>0</v>
      </c>
      <c r="U20" s="586">
        <f ca="1">ROUND('Tssco-bond portfolio(Pro)'!$CC23*100,2)</f>
        <v>0</v>
      </c>
      <c r="V20" s="586">
        <f ca="1">ROUND('Tssco-bond portfolio(Pro)'!$CC24*100,2)</f>
        <v>0</v>
      </c>
      <c r="W20" s="586">
        <f ca="1">ROUND('Tssco-bond portfolio(Pro)'!$CC25*100,2)</f>
        <v>0</v>
      </c>
      <c r="X20" s="586">
        <f ca="1">ROUND('Tssco-bond portfolio(Pro)'!$CC26*100,2)</f>
        <v>0</v>
      </c>
      <c r="Y20" s="586">
        <f ca="1">ROUND('Tssco-bond portfolio(Pro)'!$CC27*100,2)</f>
        <v>0</v>
      </c>
      <c r="Z20" s="586">
        <f ca="1">ROUND('Tssco-bond portfolio(Pro)'!$CC28*100,2)</f>
        <v>0</v>
      </c>
      <c r="AA20" s="586">
        <f ca="1">ROUND('Tssco-bond portfolio(Pro)'!$CC29*100,2)</f>
        <v>0</v>
      </c>
      <c r="AB20" s="586">
        <f ca="1">ROUND('Tssco-bond portfolio(Pro)'!$CC30*100,2)</f>
        <v>0</v>
      </c>
      <c r="AC20" s="586">
        <f ca="1">ROUND('Tssco-bond portfolio(Pro)'!$CC31*100,2)</f>
        <v>0</v>
      </c>
      <c r="AD20" s="586">
        <f ca="1">ROUND('Tssco-bond portfolio(Pro)'!$CC32*100,2)</f>
        <v>0</v>
      </c>
      <c r="AE20" s="586">
        <f ca="1">ROUND('Tssco-bond portfolio(Pro)'!$CC33*100,2)</f>
        <v>0</v>
      </c>
      <c r="AF20" s="586">
        <f ca="1">ROUND('Tssco-bond portfolio(Pro)'!$CC34*100,2)</f>
        <v>0</v>
      </c>
      <c r="AG20" s="586">
        <f ca="1">ROUND('Tssco-bond portfolio(Pro)'!$CC35*100,2)</f>
        <v>0</v>
      </c>
      <c r="AH20" s="586">
        <f ca="1">ROUND('Tssco-bond portfolio(Pro)'!$CC36*100,2)</f>
        <v>0</v>
      </c>
    </row>
    <row r="24" spans="1:36">
      <c r="E24" s="707"/>
      <c r="F24" s="707"/>
      <c r="G24" s="707"/>
      <c r="H24" s="707"/>
      <c r="I24" s="707"/>
      <c r="J24" s="707"/>
      <c r="K24" s="707"/>
      <c r="L24" s="707"/>
      <c r="M24" s="707"/>
      <c r="N24" s="707"/>
      <c r="O24" s="707"/>
      <c r="P24" s="707"/>
      <c r="Q24" s="707"/>
      <c r="R24" s="707"/>
      <c r="S24" s="707"/>
      <c r="T24" s="707"/>
      <c r="U24" s="707"/>
      <c r="V24" s="707"/>
      <c r="W24" s="707"/>
      <c r="X24" s="707"/>
      <c r="Y24" s="707"/>
      <c r="Z24" s="707"/>
      <c r="AA24" s="707"/>
      <c r="AB24" s="707"/>
      <c r="AC24" s="707"/>
      <c r="AD24" s="707"/>
      <c r="AE24" s="707"/>
      <c r="AF24" s="707"/>
      <c r="AG24" s="707"/>
      <c r="AH24" s="707"/>
      <c r="AI24" s="707"/>
    </row>
    <row r="26" spans="1:36">
      <c r="D26" s="706"/>
      <c r="E26" s="663"/>
      <c r="F26" s="663"/>
      <c r="G26" s="663"/>
      <c r="H26" s="663"/>
      <c r="I26" s="663"/>
      <c r="J26" s="663"/>
      <c r="K26" s="663"/>
      <c r="L26" s="663"/>
      <c r="M26" s="663"/>
      <c r="N26" s="663"/>
      <c r="O26" s="663"/>
      <c r="P26" s="663"/>
      <c r="Q26" s="663"/>
      <c r="R26" s="663"/>
      <c r="S26" s="663"/>
      <c r="T26" s="663"/>
      <c r="U26" s="663"/>
      <c r="V26" s="663"/>
      <c r="W26" s="663"/>
      <c r="X26" s="663"/>
      <c r="Y26" s="663"/>
      <c r="Z26" s="663"/>
      <c r="AA26" s="663"/>
      <c r="AB26" s="663"/>
      <c r="AC26" s="663"/>
      <c r="AD26" s="663"/>
      <c r="AE26" s="663"/>
      <c r="AF26" s="663"/>
      <c r="AG26" s="663"/>
      <c r="AH26" s="663"/>
    </row>
    <row r="27" spans="1:36">
      <c r="D27" s="706"/>
      <c r="E27" s="663"/>
      <c r="F27" s="663"/>
      <c r="G27" s="663"/>
      <c r="H27" s="663"/>
      <c r="I27" s="663"/>
      <c r="J27" s="663"/>
      <c r="K27" s="663"/>
      <c r="L27" s="663"/>
      <c r="M27" s="663"/>
      <c r="N27" s="663"/>
      <c r="O27" s="663"/>
      <c r="P27" s="663"/>
      <c r="Q27" s="663"/>
      <c r="R27" s="663"/>
      <c r="S27" s="663"/>
      <c r="T27" s="663"/>
      <c r="U27" s="663"/>
      <c r="V27" s="663"/>
      <c r="W27" s="663"/>
      <c r="X27" s="663"/>
      <c r="Y27" s="663"/>
      <c r="Z27" s="663"/>
      <c r="AA27" s="663"/>
      <c r="AB27" s="663"/>
      <c r="AC27" s="663"/>
      <c r="AD27" s="663"/>
      <c r="AE27" s="663"/>
      <c r="AF27" s="663"/>
      <c r="AG27" s="663"/>
      <c r="AH27" s="663"/>
    </row>
    <row r="28" spans="1:36">
      <c r="D28" s="706"/>
      <c r="E28" s="663"/>
      <c r="F28" s="663"/>
      <c r="G28" s="663"/>
      <c r="H28" s="663"/>
      <c r="I28" s="663"/>
      <c r="J28" s="663"/>
      <c r="K28" s="663"/>
      <c r="L28" s="663"/>
      <c r="M28" s="663"/>
      <c r="N28" s="663"/>
      <c r="O28" s="663"/>
      <c r="P28" s="663"/>
      <c r="Q28" s="663"/>
      <c r="R28" s="663"/>
      <c r="S28" s="663"/>
      <c r="T28" s="663"/>
      <c r="U28" s="663"/>
      <c r="V28" s="663"/>
      <c r="W28" s="663"/>
      <c r="X28" s="663"/>
      <c r="Y28" s="663"/>
      <c r="Z28" s="663"/>
      <c r="AA28" s="663"/>
      <c r="AB28" s="663"/>
      <c r="AC28" s="663"/>
      <c r="AD28" s="663"/>
      <c r="AE28" s="663"/>
      <c r="AF28" s="663"/>
      <c r="AG28" s="663"/>
      <c r="AH28" s="663"/>
    </row>
    <row r="30" spans="1:36">
      <c r="D30" s="709"/>
      <c r="E30" s="708"/>
      <c r="F30" s="708"/>
      <c r="G30" s="708"/>
      <c r="H30" s="708"/>
      <c r="I30" s="708"/>
      <c r="J30" s="708"/>
      <c r="K30" s="708"/>
      <c r="L30" s="708"/>
      <c r="M30" s="708"/>
      <c r="N30" s="708"/>
      <c r="O30" s="708"/>
      <c r="P30" s="708"/>
      <c r="Q30" s="708"/>
      <c r="R30" s="708"/>
      <c r="S30" s="708"/>
      <c r="T30" s="708"/>
      <c r="U30" s="708"/>
      <c r="V30" s="708"/>
      <c r="W30" s="708"/>
      <c r="X30" s="708"/>
      <c r="Y30" s="708"/>
      <c r="Z30" s="708"/>
      <c r="AA30" s="708"/>
      <c r="AB30" s="708"/>
      <c r="AC30" s="708"/>
      <c r="AD30" s="708"/>
      <c r="AE30" s="708"/>
      <c r="AF30" s="708"/>
      <c r="AG30" s="708"/>
      <c r="AH30" s="708"/>
      <c r="AI30" s="708"/>
      <c r="AJ30" s="708"/>
    </row>
    <row r="47" ht="15" customHeight="1"/>
  </sheetData>
  <phoneticPr fontId="53" type="noConversion"/>
  <pageMargins left="0.7" right="0.7" top="0.75" bottom="0.75" header="0.3" footer="0.3"/>
  <pageSetup paperSize="9"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工作表4">
    <tabColor theme="9" tint="0.59999389629810485"/>
  </sheetPr>
  <dimension ref="A1:AP588"/>
  <sheetViews>
    <sheetView workbookViewId="0">
      <selection activeCell="V34" sqref="V34"/>
    </sheetView>
  </sheetViews>
  <sheetFormatPr defaultColWidth="15.42578125" defaultRowHeight="15.5"/>
  <cols>
    <col min="1" max="1" width="14.0703125" style="88" customWidth="1"/>
    <col min="2" max="2" width="14.85546875" style="87" customWidth="1"/>
    <col min="3" max="3" width="10.85546875" style="88" customWidth="1"/>
    <col min="4" max="4" width="57.640625" style="87" customWidth="1"/>
    <col min="5" max="5" width="20.42578125" style="87" customWidth="1"/>
    <col min="6" max="6" width="10.42578125" style="87" customWidth="1"/>
    <col min="7" max="7" width="16" style="89" customWidth="1"/>
    <col min="8" max="8" width="9.42578125" style="201" customWidth="1"/>
    <col min="9" max="9" width="8.85546875" style="87" customWidth="1"/>
    <col min="10" max="10" width="10.42578125" style="181" customWidth="1"/>
    <col min="11" max="11" width="15.42578125" style="87" customWidth="1"/>
    <col min="12" max="12" width="10.42578125" style="138" customWidth="1"/>
    <col min="13" max="13" width="22.28515625" style="143" customWidth="1"/>
    <col min="14" max="14" width="16.640625" style="139" customWidth="1"/>
    <col min="15" max="15" width="16.640625" style="140" customWidth="1"/>
    <col min="16" max="16" width="15.42578125" style="128" customWidth="1"/>
    <col min="17" max="17" width="15.42578125" style="86" customWidth="1"/>
    <col min="18" max="18" width="26.640625" style="86" customWidth="1"/>
    <col min="19" max="19" width="15.42578125" style="86" customWidth="1"/>
    <col min="20" max="20" width="35.42578125" style="86" customWidth="1"/>
    <col min="21" max="21" width="29.0703125" style="86" customWidth="1"/>
    <col min="22" max="22" width="15.42578125" style="86"/>
    <col min="23" max="23" width="8.85546875" style="86" customWidth="1"/>
    <col min="24" max="26" width="8.640625" style="86" customWidth="1"/>
    <col min="27" max="27" width="8.85546875" style="134" customWidth="1"/>
    <col min="28" max="28" width="15.42578125" style="134"/>
    <col min="29" max="29" width="8.85546875" style="86" customWidth="1"/>
    <col min="30" max="30" width="9.640625" style="86" customWidth="1"/>
    <col min="31" max="31" width="15.42578125" style="248"/>
    <col min="32" max="35" width="15.42578125" style="86"/>
    <col min="36" max="36" width="7.28515625" style="86" bestFit="1" customWidth="1"/>
    <col min="37" max="37" width="11.42578125" style="593" customWidth="1"/>
    <col min="38" max="39" width="15.42578125" style="86"/>
    <col min="40" max="40" width="8.0703125" style="86" customWidth="1"/>
    <col min="41" max="16384" width="15.42578125" style="86"/>
  </cols>
  <sheetData>
    <row r="1" spans="1:42" ht="13">
      <c r="A1" s="145">
        <f>bond!AV4</f>
        <v>45474</v>
      </c>
      <c r="B1" s="710">
        <f ca="1">TODAY()</f>
        <v>45474</v>
      </c>
      <c r="C1" s="778" t="b">
        <f ca="1">IF(NETWORKDAYS(A1,B1,休TWD)&gt;3,FALSE,TRUE)</f>
        <v>1</v>
      </c>
      <c r="D1" s="392"/>
      <c r="G1" s="87"/>
      <c r="H1" s="87"/>
      <c r="J1" s="87"/>
      <c r="L1" s="87"/>
      <c r="M1" s="87"/>
      <c r="N1" s="87"/>
      <c r="O1" s="87"/>
      <c r="P1" s="87"/>
      <c r="Q1" s="87"/>
      <c r="R1" s="87"/>
      <c r="S1" s="87"/>
      <c r="T1" s="87"/>
      <c r="U1" s="87"/>
      <c r="V1" s="87"/>
      <c r="W1" s="87"/>
      <c r="X1" s="87"/>
      <c r="Y1" s="87"/>
      <c r="Z1" s="87"/>
      <c r="AA1" s="87"/>
      <c r="AB1" s="87"/>
      <c r="AC1" s="87"/>
      <c r="AD1" s="87"/>
      <c r="AE1" s="87"/>
      <c r="AF1" s="87"/>
    </row>
    <row r="2" spans="1:42" s="178" customFormat="1" ht="43.5">
      <c r="A2" s="173" t="s">
        <v>311</v>
      </c>
      <c r="B2" s="173" t="s">
        <v>310</v>
      </c>
      <c r="C2" s="203" t="s">
        <v>202</v>
      </c>
      <c r="D2" s="204" t="s">
        <v>538</v>
      </c>
      <c r="E2" s="203" t="s">
        <v>519</v>
      </c>
      <c r="F2" s="204" t="s">
        <v>536</v>
      </c>
      <c r="G2" s="204" t="s">
        <v>525</v>
      </c>
      <c r="H2" s="205" t="s">
        <v>200</v>
      </c>
      <c r="I2" s="203" t="s">
        <v>201</v>
      </c>
      <c r="J2" s="204" t="s">
        <v>117</v>
      </c>
      <c r="K2" s="204" t="s">
        <v>1279</v>
      </c>
      <c r="L2" s="206" t="s">
        <v>203</v>
      </c>
      <c r="M2" s="204" t="s">
        <v>1284</v>
      </c>
      <c r="N2" s="204" t="s">
        <v>537</v>
      </c>
      <c r="O2" s="204" t="s">
        <v>535</v>
      </c>
      <c r="P2" s="203" t="s">
        <v>78</v>
      </c>
      <c r="Q2" s="203" t="s">
        <v>204</v>
      </c>
      <c r="R2" s="203" t="s">
        <v>174</v>
      </c>
      <c r="S2" s="203" t="s">
        <v>175</v>
      </c>
      <c r="T2" s="203" t="s">
        <v>176</v>
      </c>
      <c r="U2" s="203" t="s">
        <v>205</v>
      </c>
      <c r="V2" s="556" t="s">
        <v>2097</v>
      </c>
      <c r="W2" s="175" t="s">
        <v>500</v>
      </c>
      <c r="X2" s="173" t="s">
        <v>526</v>
      </c>
      <c r="Y2" s="173" t="s">
        <v>527</v>
      </c>
      <c r="Z2" s="173" t="s">
        <v>528</v>
      </c>
      <c r="AA2" s="176" t="s">
        <v>337</v>
      </c>
      <c r="AB2" s="176" t="s">
        <v>338</v>
      </c>
      <c r="AC2" s="176" t="s">
        <v>339</v>
      </c>
      <c r="AD2" s="177" t="s">
        <v>500</v>
      </c>
      <c r="AE2" s="174" t="s">
        <v>1711</v>
      </c>
      <c r="AF2" s="174" t="s">
        <v>1712</v>
      </c>
      <c r="AG2" s="174" t="s">
        <v>1715</v>
      </c>
      <c r="AH2" s="175" t="s">
        <v>1816</v>
      </c>
      <c r="AI2" s="174" t="s">
        <v>1813</v>
      </c>
      <c r="AJ2" s="174" t="s">
        <v>1818</v>
      </c>
      <c r="AK2" s="592" t="s">
        <v>1953</v>
      </c>
      <c r="AL2" s="203" t="s">
        <v>2305</v>
      </c>
      <c r="AM2" s="203" t="s">
        <v>2309</v>
      </c>
      <c r="AN2" s="863" t="s">
        <v>3768</v>
      </c>
      <c r="AO2" s="945" t="s">
        <v>3728</v>
      </c>
      <c r="AP2" s="945" t="s">
        <v>3536</v>
      </c>
    </row>
    <row r="3" spans="1:42" s="136" customFormat="1">
      <c r="A3" s="141" t="str">
        <f>bond!F4</f>
        <v>US01609WAQ50</v>
      </c>
      <c r="B3" s="151" t="str">
        <f ca="1">IF($C$1=TRUE,bond!B4,"")</f>
        <v>XF860</v>
      </c>
      <c r="C3" s="95" t="str">
        <f>VLOOKUP(A3,bond!F:G,2,FALSE)</f>
        <v>USD</v>
      </c>
      <c r="D3" s="142" t="str">
        <f ca="1">VLOOKUP(B3,bond!B:C,2,FALSE)</f>
        <v>阿里巴巴集團美元配息債券 3.6% 2024/11/28</v>
      </c>
      <c r="E3" s="95" t="str">
        <f ca="1">VLOOKUP(B3,bond!B:D,3,FALSE)</f>
        <v>A1 / A+ / A+</v>
      </c>
      <c r="F3" s="99" t="str">
        <f ca="1">VLOOKUP(B3,bond!B:AB,27,FALSE)</f>
        <v>2024/11/28</v>
      </c>
      <c r="G3" s="90">
        <f ca="1">VLOOKUP(B3,bond!B:E,4,FALSE)</f>
        <v>0.41</v>
      </c>
      <c r="H3" s="202">
        <f ca="1">VLOOKUP(B3,bond!B:Y,24,FALSE)</f>
        <v>3.6000000000000004E-2</v>
      </c>
      <c r="I3" s="95">
        <f ca="1">VLOOKUP(B3,bond!B:Z,25,FALSE)</f>
        <v>2</v>
      </c>
      <c r="J3" s="180">
        <f ca="1">VLOOKUP(B3,bond!B:K,10,FALSE)</f>
        <v>0.34</v>
      </c>
      <c r="K3" s="96">
        <f ca="1">VLOOKUP($B3,bond!B:S,14,FALSE)</f>
        <v>101.36</v>
      </c>
      <c r="L3" s="91" t="str">
        <f ca="1">VLOOKUP(B3,bond!B:H,7,FALSE)</f>
        <v>2024/7/2</v>
      </c>
      <c r="M3" s="144">
        <f ca="1">VLOOKUP($B3,bond!$B:$Q,16,FALSE)</f>
        <v>1.0699999999999999E-2</v>
      </c>
      <c r="N3" s="136">
        <f ca="1">VALUE(LEFT(VLOOKUP(B3,bond!B:R,17,FALSE),SEARCH(" ",VLOOKUP(B3,bond!B:R,17,FALSE),1)))</f>
        <v>200000</v>
      </c>
      <c r="O3" s="136">
        <f ca="1">VALUE(RIGHT(VLOOKUP(B3,bond!B:R,17,FALSE),LEN(VLOOKUP(B3,bond!B:R,17,FALSE))-LEN(N3)-3))</f>
        <v>1000</v>
      </c>
      <c r="P3" s="135" t="str">
        <f ca="1">VLOOKUP($B3,bond!$B:$AG,32,FALSE)</f>
        <v>2024/11/28</v>
      </c>
      <c r="Q3" s="135" t="str">
        <f ca="1">VLOOKUP($B3,bond!$B:$AH,33,FALSE)</f>
        <v>非核心消費</v>
      </c>
      <c r="R3" s="135" t="str">
        <f ca="1">VLOOKUP(B3,bond!B:AA,26,FALSE)</f>
        <v>阿里巴巴集團控股有限公司</v>
      </c>
      <c r="S3" s="135" t="str">
        <f ca="1">VLOOKUP(B3,bond!B:AI,34,FALSE)</f>
        <v>BABA</v>
      </c>
      <c r="T3" s="135" t="str">
        <f ca="1">CONCATENATE(R3,"/",S3)</f>
        <v>阿里巴巴集團控股有限公司/BABA</v>
      </c>
      <c r="U3" s="207" t="str">
        <f ca="1">IFERROR(VLOOKUP(T3,Bond_DES!D:E,2,FALSE),VLOOKUP(S3,bond!AI:AJ,2,FALSE))</f>
        <v>阿里巴巴集團控股有限公司(Alibaba Group Holding Limited)業務含括核心商業、雲計算、數位媒體、娛樂以及創新業務，名列2023年《Forbes》全球上市公司2000強第54位，並為全球市值第3大的電子商務公司(2024/6/6)。</v>
      </c>
      <c r="V3" s="136" t="str">
        <f ca="1">IFERROR(VLOOKUP(B3,'1_重設數據'!L:M,2,FALSE),IF(Q3="政府",IF(AD3&gt;16,"(NPI)非專投",IF(AD3&gt;10,"(PI)專投","高資產")),IF(VLOOKUP(B3,bond!B:AN,39,FALSE)="Y","(PI)專投",IF(AD3&gt;=15,"(NPI)非專投",IF(AD3&gt;=10,"(PI)專投","高資產")))))</f>
        <v>(NPI)非專投</v>
      </c>
      <c r="W3" s="136" t="str">
        <f ca="1">VLOOKUP(AD3,'credit rating'!$F$2:$H$22,3,FALSE)</f>
        <v>A+</v>
      </c>
      <c r="X3" s="136" t="str">
        <f ca="1">LEFT(E3,SEARCH(" /",E3)-1)</f>
        <v>A1</v>
      </c>
      <c r="Y3" s="136" t="str">
        <f ca="1">MID(E3,LEN(X3)+4,LEN(E3)-LEN(X3)-LEN(Z3)-6)</f>
        <v>A+</v>
      </c>
      <c r="Z3" s="136" t="str">
        <f ca="1">TRIM(RIGHT(SUBSTITUTE(E3,"/ ",REPT(" ",99)),99))</f>
        <v>A+</v>
      </c>
      <c r="AA3" s="134">
        <f ca="1">IFERROR(VLOOKUP(X3,'credit rating'!A:C,3,FALSE),0)</f>
        <v>17</v>
      </c>
      <c r="AB3" s="134">
        <f ca="1">IFERROR(VLOOKUP(Y3,'credit rating'!B:C,2,FALSE),0)</f>
        <v>17</v>
      </c>
      <c r="AC3" s="136">
        <f ca="1">IFERROR(VLOOKUP(Z3,'credit rating'!B:C,2,FALSE),0)</f>
        <v>17</v>
      </c>
      <c r="AD3" s="136">
        <f ca="1">MAX(AA3:AC3)</f>
        <v>17</v>
      </c>
      <c r="AE3" s="249">
        <f ca="1">IFERROR(VLOOKUP(B3,bond!B:U,20,FALSE),"")</f>
        <v>-2.92E-2</v>
      </c>
      <c r="AF3" s="136" t="str">
        <f ca="1">IF(VLOOKUP(B3,bond!B:AK,36,FALSE)="#N/A Field Not Applicable","",VLOOKUP(B3,bond!B:AK,36,FALSE))</f>
        <v>2024/8/28</v>
      </c>
      <c r="AG3" s="136" t="str">
        <f ca="1">IF(VLOOKUP(B3,bond!B:AL,37,FALSE)="FIXED","固定",IF(VLOOKUP(B3,bond!B:AL,37,FALSE)="FLOATING","浮動",IF(VLOOKUP(B3,bond!B:AL,37,FALSE)="VARIABLE","變動",IF(VLOOKUP(B3,bond!B:AL,37,FALSE)="FLAT TRADING","不含息交易",IF(VLOOKUP(B3,bond!B:AL,37,FALSE)="ZERO COUPON","零息",VLOOKUP(B3,bond!B:AL,37,FALSE))))))</f>
        <v>固定</v>
      </c>
      <c r="AH3" s="136" t="str">
        <f>VLOOKUP(C3,'2_Check_code'!I:J,2,FALSE)</f>
        <v>美元(USD)</v>
      </c>
      <c r="AI3" s="136" t="str">
        <f ca="1">IF(AND(I3=2,C3="USD"),"自由選清單","")</f>
        <v>自由選清單</v>
      </c>
      <c r="AJ3" s="136">
        <f ca="1">IF(AND(I3=2,C3="USD"),0,1)</f>
        <v>0</v>
      </c>
      <c r="AK3" s="594" t="str">
        <f ca="1">IF(VLOOKUP(B3,bond!B:S,18,FALSE)="是","有",IF(VLOOKUP(B3,bond!B:S,18,FALSE)="NO OFFER","無","需查詢"))</f>
        <v>有</v>
      </c>
      <c r="AL3" s="136" t="str">
        <f>IF(VLOOKUP(A3,bond!F:AR,39,FALSE)="#N/A Field Not Applicable",VLOOKUP(A3,bond!F:AR,38,FALSE),IFERROR(VLOOKUP(A3,'7_發行日例外'!A:B,2,FALSE),VLOOKUP(A3,bond!F:AR,39,FALSE)))</f>
        <v>2015/5/28</v>
      </c>
      <c r="AM3" s="136" t="str">
        <f ca="1">VLOOKUP(B3,bond!B:AK,36,FALSE)</f>
        <v>2024/8/28</v>
      </c>
      <c r="AN3" s="136" t="str">
        <f ca="1">IFERROR(VLOOKUP(B3,'3_是否下架'!A:A,1,FALSE),"")</f>
        <v>XF860</v>
      </c>
      <c r="AO3" s="136">
        <f ca="1">VLOOKUP(B3,bond!B:J,9,FALSE)</f>
        <v>99.52000000000001</v>
      </c>
      <c r="AP3" s="136">
        <f ca="1">VLOOKUP(B3,bond!B:V,21,FALSE)</f>
        <v>0.15479999999999999</v>
      </c>
    </row>
    <row r="4" spans="1:42" s="136" customFormat="1">
      <c r="A4" s="141" t="str">
        <f>bond!F5</f>
        <v>US06738EAE59</v>
      </c>
      <c r="B4" s="151" t="str">
        <f ca="1">IF($C$1=TRUE,bond!B5,"")</f>
        <v>XFA60</v>
      </c>
      <c r="C4" s="95" t="str">
        <f>VLOOKUP(A4,bond!F:G,2,FALSE)</f>
        <v>USD</v>
      </c>
      <c r="D4" s="142" t="str">
        <f ca="1">VLOOKUP(B4,bond!B:C,2,FALSE)</f>
        <v>巴克萊集團美元配息債券 3.65% 2025/3/16</v>
      </c>
      <c r="E4" s="95" t="str">
        <f ca="1">VLOOKUP(B4,bond!B:D,3,FALSE)</f>
        <v>Baa1 / BBB+ / A</v>
      </c>
      <c r="F4" s="99" t="str">
        <f ca="1">VLOOKUP(B4,bond!B:AB,27,FALSE)</f>
        <v>2025/3/16</v>
      </c>
      <c r="G4" s="90">
        <f ca="1">VLOOKUP(B4,bond!B:E,4,FALSE)</f>
        <v>0.7</v>
      </c>
      <c r="H4" s="202">
        <f ca="1">VLOOKUP(B4,bond!B:Y,24,FALSE)</f>
        <v>3.6499999999999998E-2</v>
      </c>
      <c r="I4" s="95">
        <f ca="1">VLOOKUP(B4,bond!B:Z,25,FALSE)</f>
        <v>2</v>
      </c>
      <c r="J4" s="180">
        <f ca="1">VLOOKUP(B4,bond!B:K,10,FALSE)</f>
        <v>1.0747</v>
      </c>
      <c r="K4" s="96">
        <f ca="1">VLOOKUP($B4,bond!B:S,14,FALSE)</f>
        <v>100.21</v>
      </c>
      <c r="L4" s="91" t="str">
        <f ca="1">VLOOKUP(B4,bond!B:H,7,FALSE)</f>
        <v>2024/7/2</v>
      </c>
      <c r="M4" s="144">
        <f ca="1">VLOOKUP($B4,bond!$B:$Q,16,FALSE)</f>
        <v>4.9000000000000002E-2</v>
      </c>
      <c r="N4" s="136">
        <f ca="1">VALUE(LEFT(VLOOKUP(B4,bond!B:R,17,FALSE),SEARCH(" ",VLOOKUP(B4,bond!B:R,17,FALSE),1)))</f>
        <v>200000</v>
      </c>
      <c r="O4" s="136">
        <f ca="1">VALUE(RIGHT(VLOOKUP(B4,bond!B:R,17,FALSE),LEN(VLOOKUP(B4,bond!B:R,17,FALSE))-LEN(N4)-3))</f>
        <v>1000</v>
      </c>
      <c r="P4" s="135" t="str">
        <f ca="1">VLOOKUP($B4,bond!$B:$AG,32,FALSE)</f>
        <v>2024/9/16</v>
      </c>
      <c r="Q4" s="135" t="str">
        <f ca="1">VLOOKUP($B4,bond!$B:$AH,33,FALSE)</f>
        <v>金融</v>
      </c>
      <c r="R4" s="135" t="str">
        <f ca="1">VLOOKUP(B4,bond!B:AA,26,FALSE)</f>
        <v>巴克萊集團</v>
      </c>
      <c r="S4" s="135" t="str">
        <f ca="1">VLOOKUP(B4,bond!B:AI,34,FALSE)</f>
        <v>BACR</v>
      </c>
      <c r="T4" s="135" t="str">
        <f t="shared" ref="T4:T67" ca="1" si="0">CONCATENATE(R4,"/",S4)</f>
        <v>巴克萊集團/BACR</v>
      </c>
      <c r="U4" s="207" t="str">
        <f ca="1">IFERROR(VLOOKUP(T4,Bond_DES!D:E,2,FALSE),VLOOKUP(S4,bond!AI:AJ,2,FALSE))</f>
        <v>巴克萊集團(Barclays PLC)為全球系統重要性銀行(G-SIBs)之一，按資產為英國第2大、全球第18大行(S&amp;P  Global 2024)，亦是一家多元化的全能銀行，提供零售和商業銀行、企業和投資銀行，以及廣泛的國際消費貸款、信用卡和支付服務。2023年營收逾8成聚焦於英國及美國。</v>
      </c>
      <c r="V4" s="136" t="str">
        <f ca="1">IFERROR(VLOOKUP(B4,'1_重設數據'!L:M,2,FALSE),IF(Q4="政府",IF(AD4&gt;16,"(NPI)非專投",IF(AD4&gt;10,"(PI)專投","高資產")),IF(VLOOKUP(B4,bond!B:AN,39,FALSE)="Y","(PI)專投",IF(AD4&gt;=15,"(NPI)非專投",IF(AD4&gt;=10,"(PI)專投","高資產")))))</f>
        <v>(PI)專投</v>
      </c>
      <c r="W4" s="136" t="str">
        <f ca="1">VLOOKUP(AD4,'credit rating'!$F$2:$H$22,3,FALSE)</f>
        <v>A</v>
      </c>
      <c r="X4" s="136" t="str">
        <f t="shared" ref="X4:X67" ca="1" si="1">LEFT(E4,SEARCH(" /",E4)-1)</f>
        <v>Baa1</v>
      </c>
      <c r="Y4" s="136" t="str">
        <f t="shared" ref="Y4:Y67" ca="1" si="2">MID(E4,LEN(X4)+4,LEN(E4)-LEN(X4)-LEN(Z4)-6)</f>
        <v>BBB+</v>
      </c>
      <c r="Z4" s="136" t="str">
        <f t="shared" ref="Z4:Z67" ca="1" si="3">TRIM(RIGHT(SUBSTITUTE(E4,"/ ",REPT(" ",99)),99))</f>
        <v>A</v>
      </c>
      <c r="AA4" s="134">
        <f ca="1">IFERROR(VLOOKUP(X4,'credit rating'!A:C,3,FALSE),0)</f>
        <v>14</v>
      </c>
      <c r="AB4" s="134">
        <f ca="1">IFERROR(VLOOKUP(Y4,'credit rating'!B:C,2,FALSE),0)</f>
        <v>14</v>
      </c>
      <c r="AC4" s="136">
        <f ca="1">IFERROR(VLOOKUP(Z4,'credit rating'!B:C,2,FALSE),0)</f>
        <v>16</v>
      </c>
      <c r="AD4" s="136">
        <f t="shared" ref="AD4:AD67" ca="1" si="4">MAX(AA4:AC4)</f>
        <v>16</v>
      </c>
      <c r="AE4" s="249" t="str">
        <f ca="1">IFERROR(VLOOKUP(B4,bond!B:U,20,FALSE),"")</f>
        <v xml:space="preserve"> </v>
      </c>
      <c r="AF4" s="136" t="str">
        <f ca="1">IF(VLOOKUP(B4,bond!B:AK,36,FALSE)="#N/A Field Not Applicable","",VLOOKUP(B4,bond!B:AK,36,FALSE))</f>
        <v/>
      </c>
      <c r="AG4" s="136" t="str">
        <f ca="1">IF(VLOOKUP(B4,bond!B:AL,37,FALSE)="FIXED","固定",IF(VLOOKUP(B4,bond!B:AL,37,FALSE)="FLOATING","浮動",IF(VLOOKUP(B4,bond!B:AL,37,FALSE)="VARIABLE","變動",IF(VLOOKUP(B4,bond!B:AL,37,FALSE)="FLAT TRADING","不含息交易",IF(VLOOKUP(B4,bond!B:AL,37,FALSE)="ZERO COUPON","零息",VLOOKUP(B4,bond!B:AL,37,FALSE))))))</f>
        <v>固定</v>
      </c>
      <c r="AH4" s="136" t="str">
        <f>VLOOKUP(C4,'2_Check_code'!I:J,2,FALSE)</f>
        <v>美元(USD)</v>
      </c>
      <c r="AI4" s="136" t="str">
        <f t="shared" ref="AI4:AI67" ca="1" si="5">IF(AND(I4=2,C4="USD"),"自由選清單","")</f>
        <v>自由選清單</v>
      </c>
      <c r="AJ4" s="136">
        <f t="shared" ref="AJ4:AJ67" ca="1" si="6">IF(AND(I4=2,C4="USD"),0,1)</f>
        <v>0</v>
      </c>
      <c r="AK4" s="594" t="str">
        <f ca="1">IF(VLOOKUP(B4,bond!B:S,18,FALSE)="是","有",IF(VLOOKUP(B4,bond!B:S,18,FALSE)="NO OFFER","無","需查詢"))</f>
        <v>有</v>
      </c>
      <c r="AL4" s="136" t="str">
        <f>IF(VLOOKUP(A4,bond!F:AR,39,FALSE)="#N/A Field Not Applicable",VLOOKUP(A4,bond!F:AR,38,FALSE),IFERROR(VLOOKUP(A4,'7_發行日例外'!A:B,2,FALSE),VLOOKUP(A4,bond!F:AR,39,FALSE)))</f>
        <v>2015/3/16</v>
      </c>
      <c r="AM4" s="136" t="str">
        <f ca="1">VLOOKUP(B4,bond!B:AK,36,FALSE)</f>
        <v>#N/A Field Not Applicable</v>
      </c>
      <c r="AN4" s="136" t="str">
        <f ca="1">IFERROR(VLOOKUP(B4,'3_是否下架'!A:A,1,FALSE),"")</f>
        <v/>
      </c>
      <c r="AO4" s="136">
        <f ca="1">VLOOKUP(B4,bond!B:J,9,FALSE)</f>
        <v>98.84</v>
      </c>
      <c r="AP4" s="136">
        <f ca="1">VLOOKUP(B4,bond!B:V,21,FALSE)</f>
        <v>0.67820000000000003</v>
      </c>
    </row>
    <row r="5" spans="1:42" s="137" customFormat="1">
      <c r="A5" s="141" t="str">
        <f>bond!F6</f>
        <v>HK0000098928</v>
      </c>
      <c r="B5" s="151" t="str">
        <f ca="1">IF($C$1=TRUE,bond!B6,"")</f>
        <v>XD050</v>
      </c>
      <c r="C5" s="95" t="str">
        <f>VLOOKUP(A5,bond!F:G,2,FALSE)</f>
        <v>CNY</v>
      </c>
      <c r="D5" s="142" t="str">
        <f ca="1">VLOOKUP(B5,bond!B:C,2,FALSE)</f>
        <v>國家開發銀行人民幣配息債券 4.2% 2027/1/19</v>
      </c>
      <c r="E5" s="95" t="str">
        <f ca="1">VLOOKUP(B5,bond!B:D,3,FALSE)</f>
        <v>NR / A+u / -</v>
      </c>
      <c r="F5" s="99" t="str">
        <f ca="1">VLOOKUP(B5,bond!B:AB,27,FALSE)</f>
        <v>2027/1/19</v>
      </c>
      <c r="G5" s="90">
        <f ca="1">VLOOKUP(B5,bond!B:E,4,FALSE)</f>
        <v>2.54</v>
      </c>
      <c r="H5" s="202">
        <f ca="1">VLOOKUP(B5,bond!B:Y,24,FALSE)</f>
        <v>4.2000000000000003E-2</v>
      </c>
      <c r="I5" s="95">
        <f ca="1">VLOOKUP(B5,bond!B:Z,25,FALSE)</f>
        <v>2</v>
      </c>
      <c r="J5" s="180">
        <f ca="1">VLOOKUP(B5,bond!B:K,10,FALSE)</f>
        <v>1.9216</v>
      </c>
      <c r="K5" s="96">
        <f ca="1">VLOOKUP($B5,bond!B:S,14,FALSE)</f>
        <v>109.18</v>
      </c>
      <c r="L5" s="91" t="str">
        <f ca="1">VLOOKUP(B5,bond!B:H,7,FALSE)</f>
        <v>2024/7/4</v>
      </c>
      <c r="M5" s="144">
        <f ca="1">VLOOKUP($B5,bond!$B:$Q,16,FALSE)</f>
        <v>1.29E-2</v>
      </c>
      <c r="N5" s="136">
        <f ca="1">VALUE(LEFT(VLOOKUP(B5,bond!B:R,17,FALSE),SEARCH(" ",VLOOKUP(B5,bond!B:R,17,FALSE),1)))</f>
        <v>1000000</v>
      </c>
      <c r="O5" s="136">
        <f ca="1">VALUE(RIGHT(VLOOKUP(B5,bond!B:R,17,FALSE),LEN(VLOOKUP(B5,bond!B:R,17,FALSE))-LEN(N5)-3))</f>
        <v>1000000</v>
      </c>
      <c r="P5" s="135" t="str">
        <f ca="1">VLOOKUP($B5,bond!$B:$AG,32,FALSE)</f>
        <v>2024/7/19</v>
      </c>
      <c r="Q5" s="135" t="str">
        <f ca="1">VLOOKUP($B5,bond!$B:$AH,33,FALSE)</f>
        <v>政府</v>
      </c>
      <c r="R5" s="135" t="str">
        <f ca="1">VLOOKUP(B5,bond!B:AA,26,FALSE)</f>
        <v>國家開發銀行</v>
      </c>
      <c r="S5" s="135" t="str">
        <f ca="1">VLOOKUP(B5,bond!B:AI,34,FALSE)</f>
        <v>SDBC</v>
      </c>
      <c r="T5" s="135" t="str">
        <f t="shared" ca="1" si="0"/>
        <v>國家開發銀行/SDBC</v>
      </c>
      <c r="U5" s="207" t="str">
        <f ca="1">IFERROR(VLOOKUP(T5,Bond_DES!D:E,2,FALSE),VLOOKUP(S5,bond!AI:AJ,2,FALSE))</f>
        <v>國家開發銀行(China Development Bank)為一家政府開發銀行。該公司提供存款、貸款、融資、債券發行、投資、財務運作，以及其他服務。國家開發銀行於全球各地提供服務。</v>
      </c>
      <c r="V5" s="136" t="str">
        <f ca="1">IFERROR(VLOOKUP(B5,'1_重設數據'!L:M,2,FALSE),IF(Q5="政府",IF(AD5&gt;16,"(NPI)非專投",IF(AD5&gt;10,"(PI)專投","高資產")),IF(VLOOKUP(B5,bond!B:AN,39,FALSE)="Y","(PI)專投",IF(AD5&gt;=15,"(NPI)非專投",IF(AD5&gt;=10,"(PI)專投","高資產")))))</f>
        <v>(NPI)非專投</v>
      </c>
      <c r="W5" s="136" t="str">
        <f ca="1">VLOOKUP(AD5,'credit rating'!$F$2:$H$22,3,FALSE)</f>
        <v>A+</v>
      </c>
      <c r="X5" s="136" t="str">
        <f t="shared" ca="1" si="1"/>
        <v>NR</v>
      </c>
      <c r="Y5" s="136" t="str">
        <f t="shared" ca="1" si="2"/>
        <v>A+u</v>
      </c>
      <c r="Z5" s="136" t="str">
        <f t="shared" ca="1" si="3"/>
        <v>-</v>
      </c>
      <c r="AA5" s="134">
        <f ca="1">IFERROR(VLOOKUP(X5,'credit rating'!A:C,3,FALSE),0)</f>
        <v>0</v>
      </c>
      <c r="AB5" s="134">
        <f ca="1">IFERROR(VLOOKUP(Y5,'credit rating'!B:C,2,FALSE),0)</f>
        <v>17</v>
      </c>
      <c r="AC5" s="136">
        <f ca="1">IFERROR(VLOOKUP(Z5,'credit rating'!B:C,2,FALSE),0)</f>
        <v>0</v>
      </c>
      <c r="AD5" s="136">
        <f t="shared" ca="1" si="4"/>
        <v>17</v>
      </c>
      <c r="AE5" s="249" t="str">
        <f ca="1">IFERROR(VLOOKUP(B5,bond!B:U,20,FALSE),"")</f>
        <v xml:space="preserve"> </v>
      </c>
      <c r="AF5" s="136" t="str">
        <f ca="1">IF(VLOOKUP(B5,bond!B:AK,36,FALSE)="#N/A Field Not Applicable","",VLOOKUP(B5,bond!B:AK,36,FALSE))</f>
        <v/>
      </c>
      <c r="AG5" s="136" t="str">
        <f ca="1">IF(VLOOKUP(B5,bond!B:AL,37,FALSE)="FIXED","固定",IF(VLOOKUP(B5,bond!B:AL,37,FALSE)="FLOATING","浮動",IF(VLOOKUP(B5,bond!B:AL,37,FALSE)="VARIABLE","變動",IF(VLOOKUP(B5,bond!B:AL,37,FALSE)="FLAT TRADING","不含息交易",IF(VLOOKUP(B5,bond!B:AL,37,FALSE)="ZERO COUPON","零息",VLOOKUP(B5,bond!B:AL,37,FALSE))))))</f>
        <v>固定</v>
      </c>
      <c r="AH5" s="136" t="str">
        <f>VLOOKUP(C5,'2_Check_code'!I:J,2,FALSE)</f>
        <v>人民幣(CNY)</v>
      </c>
      <c r="AI5" s="136" t="str">
        <f t="shared" ca="1" si="5"/>
        <v/>
      </c>
      <c r="AJ5" s="136">
        <f t="shared" ca="1" si="6"/>
        <v>1</v>
      </c>
      <c r="AK5" s="594" t="str">
        <f ca="1">IF(VLOOKUP(B5,bond!B:S,18,FALSE)="是","有",IF(VLOOKUP(B5,bond!B:S,18,FALSE)="NO OFFER","無","需查詢"))</f>
        <v>需查詢</v>
      </c>
      <c r="AL5" s="136" t="str">
        <f>IF(VLOOKUP(A5,bond!F:AR,39,FALSE)="#N/A Field Not Applicable",VLOOKUP(A5,bond!F:AR,38,FALSE),IFERROR(VLOOKUP(A5,'7_發行日例外'!A:B,2,FALSE),VLOOKUP(A5,bond!F:AR,39,FALSE)))</f>
        <v>2012/1/19</v>
      </c>
      <c r="AM5" s="136" t="str">
        <f ca="1">VLOOKUP(B5,bond!B:AK,36,FALSE)</f>
        <v>#N/A Field Not Applicable</v>
      </c>
      <c r="AN5" s="136" t="str">
        <f ca="1">IFERROR(VLOOKUP(B5,'3_是否下架'!A:A,1,FALSE),"")</f>
        <v>XD050</v>
      </c>
      <c r="AO5" s="136">
        <f ca="1">VLOOKUP(B5,bond!B:J,9,FALSE)</f>
        <v>104.76</v>
      </c>
      <c r="AP5" s="136">
        <f ca="1">VLOOKUP(B5,bond!B:V,21,FALSE)</f>
        <v>2.3774999999999999</v>
      </c>
    </row>
    <row r="6" spans="1:42" s="136" customFormat="1">
      <c r="A6" s="141" t="str">
        <f>bond!F7</f>
        <v>XS1214406792</v>
      </c>
      <c r="B6" s="151" t="str">
        <f ca="1">IF($C$1=TRUE,bond!B7,"")</f>
        <v>XF560</v>
      </c>
      <c r="C6" s="95" t="str">
        <f>VLOOKUP(A6,bond!F:G,2,FALSE)</f>
        <v>USD</v>
      </c>
      <c r="D6" s="142" t="str">
        <f ca="1">VLOOKUP(B6,bond!B:C,2,FALSE)</f>
        <v>台塑集團投資(開曼)美元配息債券 3.375% 2025/4/22</v>
      </c>
      <c r="E6" s="95" t="str">
        <f ca="1">VLOOKUP(B6,bond!B:D,3,FALSE)</f>
        <v>- / BBB+ / -</v>
      </c>
      <c r="F6" s="99" t="str">
        <f ca="1">VLOOKUP(B6,bond!B:AB,27,FALSE)</f>
        <v>2025/4/22</v>
      </c>
      <c r="G6" s="90">
        <f ca="1">VLOOKUP(B6,bond!B:E,4,FALSE)</f>
        <v>0.8</v>
      </c>
      <c r="H6" s="202">
        <f ca="1">VLOOKUP(B6,bond!B:Y,24,FALSE)</f>
        <v>3.3750000000000002E-2</v>
      </c>
      <c r="I6" s="95">
        <f ca="1">VLOOKUP(B6,bond!B:Z,25,FALSE)</f>
        <v>2</v>
      </c>
      <c r="J6" s="180">
        <f ca="1">VLOOKUP(B6,bond!B:K,10,FALSE)</f>
        <v>0.66559999999999997</v>
      </c>
      <c r="K6" s="96">
        <f ca="1">VLOOKUP($B6,bond!B:S,14,FALSE)</f>
        <v>100.07</v>
      </c>
      <c r="L6" s="91" t="str">
        <f ca="1">VLOOKUP(B6,bond!B:H,7,FALSE)</f>
        <v>2024/7/3</v>
      </c>
      <c r="M6" s="144">
        <f ca="1">VLOOKUP($B6,bond!$B:$Q,16,FALSE)</f>
        <v>4.1399999999999999E-2</v>
      </c>
      <c r="N6" s="136">
        <f ca="1">VALUE(LEFT(VLOOKUP(B6,bond!B:R,17,FALSE),SEARCH(" ",VLOOKUP(B6,bond!B:R,17,FALSE),1)))</f>
        <v>200000</v>
      </c>
      <c r="O6" s="136">
        <f ca="1">VALUE(RIGHT(VLOOKUP(B6,bond!B:R,17,FALSE),LEN(VLOOKUP(B6,bond!B:R,17,FALSE))-LEN(N6)-3))</f>
        <v>1000</v>
      </c>
      <c r="P6" s="135" t="str">
        <f ca="1">VLOOKUP($B6,bond!$B:$AG,32,FALSE)</f>
        <v>2024/10/22</v>
      </c>
      <c r="Q6" s="135" t="str">
        <f ca="1">VLOOKUP($B6,bond!$B:$AH,33,FALSE)</f>
        <v>原物料</v>
      </c>
      <c r="R6" s="135" t="str">
        <f ca="1">VLOOKUP(B6,bond!B:AA,26,FALSE)</f>
        <v>Formosa Group Cayman Ltd</v>
      </c>
      <c r="S6" s="135" t="str">
        <f ca="1">VLOOKUP(B6,bond!B:AI,34,FALSE)</f>
        <v>FORCAY</v>
      </c>
      <c r="T6" s="135" t="str">
        <f t="shared" ca="1" si="0"/>
        <v>Formosa Group Cayman Ltd/FORCAY</v>
      </c>
      <c r="U6" s="207" t="str">
        <f ca="1">IFERROR(VLOOKUP(T6,Bond_DES!D:E,2,FALSE),VLOOKUP(S6,bond!AI:AJ,2,FALSE))</f>
        <v>台塑集團開曼有限公司(Formosa Group Cayman Limited)由四家核心公司，即台塑四寶，台灣塑膠公司、南亞塑膠公司、台灣化學纖維公司與台塑石化公司於英國開曼群島共同設立，並為本券提供保證。而根據2023年《Forbes》全球上市公司2000強，台塑排名第981位。</v>
      </c>
      <c r="V6" s="136" t="str">
        <f ca="1">IFERROR(VLOOKUP(B6,'1_重設數據'!L:M,2,FALSE),IF(Q6="政府",IF(AD6&gt;16,"(NPI)非專投",IF(AD6&gt;10,"(PI)專投","高資產")),IF(VLOOKUP(B6,bond!B:AN,39,FALSE)="Y","(PI)專投",IF(AD6&gt;=15,"(NPI)非專投",IF(AD6&gt;=10,"(PI)專投","高資產")))))</f>
        <v>(PI)專投</v>
      </c>
      <c r="W6" s="136" t="str">
        <f ca="1">VLOOKUP(AD6,'credit rating'!$F$2:$H$22,3,FALSE)</f>
        <v>BBB+</v>
      </c>
      <c r="X6" s="136" t="str">
        <f t="shared" ca="1" si="1"/>
        <v>-</v>
      </c>
      <c r="Y6" s="136" t="str">
        <f t="shared" ca="1" si="2"/>
        <v>BBB+</v>
      </c>
      <c r="Z6" s="136" t="str">
        <f t="shared" ca="1" si="3"/>
        <v>-</v>
      </c>
      <c r="AA6" s="134">
        <f ca="1">IFERROR(VLOOKUP(X6,'credit rating'!A:C,3,FALSE),0)</f>
        <v>0</v>
      </c>
      <c r="AB6" s="134">
        <f ca="1">IFERROR(VLOOKUP(Y6,'credit rating'!B:C,2,FALSE),0)</f>
        <v>14</v>
      </c>
      <c r="AC6" s="136">
        <f ca="1">IFERROR(VLOOKUP(Z6,'credit rating'!B:C,2,FALSE),0)</f>
        <v>0</v>
      </c>
      <c r="AD6" s="136">
        <f t="shared" ca="1" si="4"/>
        <v>14</v>
      </c>
      <c r="AE6" s="249" t="str">
        <f ca="1">IFERROR(VLOOKUP(B6,bond!B:U,20,FALSE),"")</f>
        <v xml:space="preserve"> </v>
      </c>
      <c r="AF6" s="136" t="str">
        <f ca="1">IF(VLOOKUP(B6,bond!B:AK,36,FALSE)="#N/A Field Not Applicable","",VLOOKUP(B6,bond!B:AK,36,FALSE))</f>
        <v/>
      </c>
      <c r="AG6" s="136" t="str">
        <f ca="1">IF(VLOOKUP(B6,bond!B:AL,37,FALSE)="FIXED","固定",IF(VLOOKUP(B6,bond!B:AL,37,FALSE)="FLOATING","浮動",IF(VLOOKUP(B6,bond!B:AL,37,FALSE)="VARIABLE","變動",IF(VLOOKUP(B6,bond!B:AL,37,FALSE)="FLAT TRADING","不含息交易",IF(VLOOKUP(B6,bond!B:AL,37,FALSE)="ZERO COUPON","零息",VLOOKUP(B6,bond!B:AL,37,FALSE))))))</f>
        <v>固定</v>
      </c>
      <c r="AH6" s="136" t="str">
        <f>VLOOKUP(C6,'2_Check_code'!I:J,2,FALSE)</f>
        <v>美元(USD)</v>
      </c>
      <c r="AI6" s="136" t="str">
        <f t="shared" ca="1" si="5"/>
        <v>自由選清單</v>
      </c>
      <c r="AJ6" s="136">
        <f t="shared" ca="1" si="6"/>
        <v>0</v>
      </c>
      <c r="AK6" s="594" t="str">
        <f ca="1">IF(VLOOKUP(B6,bond!B:S,18,FALSE)="是","有",IF(VLOOKUP(B6,bond!B:S,18,FALSE)="NO OFFER","無","需查詢"))</f>
        <v>需查詢</v>
      </c>
      <c r="AL6" s="136" t="str">
        <f>IF(VLOOKUP(A6,bond!F:AR,39,FALSE)="#N/A Field Not Applicable",VLOOKUP(A6,bond!F:AR,38,FALSE),IFERROR(VLOOKUP(A6,'7_發行日例外'!A:B,2,FALSE),VLOOKUP(A6,bond!F:AR,39,FALSE)))</f>
        <v>2015/4/22</v>
      </c>
      <c r="AM6" s="136" t="str">
        <f ca="1">VLOOKUP(B6,bond!B:AK,36,FALSE)</f>
        <v>#N/A Field Not Applicable</v>
      </c>
      <c r="AN6" s="136" t="str">
        <f ca="1">IFERROR(VLOOKUP(B6,'3_是否下架'!A:A,1,FALSE),"")</f>
        <v/>
      </c>
      <c r="AO6" s="136">
        <f ca="1">VLOOKUP(B6,bond!B:J,9,FALSE)</f>
        <v>99.15</v>
      </c>
      <c r="AP6" s="136">
        <f ca="1">VLOOKUP(B6,bond!B:V,21,FALSE)</f>
        <v>0.7752</v>
      </c>
    </row>
    <row r="7" spans="1:42" s="136" customFormat="1">
      <c r="A7" s="141" t="str">
        <f>bond!F8</f>
        <v>XS1219971774</v>
      </c>
      <c r="B7" s="151" t="str">
        <f ca="1">IF($C$1=TRUE,bond!B8,"")</f>
        <v>XFB20</v>
      </c>
      <c r="C7" s="95" t="str">
        <f>VLOOKUP(A7,bond!F:G,2,FALSE)</f>
        <v>USD</v>
      </c>
      <c r="D7" s="142" t="str">
        <f ca="1">VLOOKUP(B7,bond!B:C,2,FALSE)</f>
        <v>渣打集團美元配息債券 3.2% 2025/4/17</v>
      </c>
      <c r="E7" s="95" t="str">
        <f ca="1">VLOOKUP(B7,bond!B:D,3,FALSE)</f>
        <v>A3 / BBB+ / A</v>
      </c>
      <c r="F7" s="99" t="str">
        <f ca="1">VLOOKUP(B7,bond!B:AB,27,FALSE)</f>
        <v>2025/4/17</v>
      </c>
      <c r="G7" s="90">
        <f ca="1">VLOOKUP(B7,bond!B:E,4,FALSE)</f>
        <v>0.79</v>
      </c>
      <c r="H7" s="202">
        <f ca="1">VLOOKUP(B7,bond!B:Y,24,FALSE)</f>
        <v>3.2000000000000001E-2</v>
      </c>
      <c r="I7" s="95">
        <f ca="1">VLOOKUP(B7,bond!B:Z,25,FALSE)</f>
        <v>2</v>
      </c>
      <c r="J7" s="180">
        <f ca="1">VLOOKUP(B7,bond!B:K,10,FALSE)</f>
        <v>0.67559999999999998</v>
      </c>
      <c r="K7" s="96">
        <f ca="1">VLOOKUP($B7,bond!B:S,14,FALSE)</f>
        <v>99.84</v>
      </c>
      <c r="L7" s="91" t="str">
        <f ca="1">VLOOKUP(B7,bond!B:H,7,FALSE)</f>
        <v>2024/7/3</v>
      </c>
      <c r="M7" s="144">
        <f ca="1">VLOOKUP($B7,bond!$B:$Q,16,FALSE)</f>
        <v>4.2900000000000001E-2</v>
      </c>
      <c r="N7" s="136">
        <f ca="1">VALUE(LEFT(VLOOKUP(B7,bond!B:R,17,FALSE),SEARCH(" ",VLOOKUP(B7,bond!B:R,17,FALSE),1)))</f>
        <v>200000</v>
      </c>
      <c r="O7" s="136">
        <f ca="1">VALUE(RIGHT(VLOOKUP(B7,bond!B:R,17,FALSE),LEN(VLOOKUP(B7,bond!B:R,17,FALSE))-LEN(N7)-3))</f>
        <v>1000</v>
      </c>
      <c r="P7" s="135" t="str">
        <f ca="1">VLOOKUP($B7,bond!$B:$AG,32,FALSE)</f>
        <v>2024/10/17</v>
      </c>
      <c r="Q7" s="135" t="str">
        <f ca="1">VLOOKUP($B7,bond!$B:$AH,33,FALSE)</f>
        <v>金融</v>
      </c>
      <c r="R7" s="135" t="str">
        <f ca="1">VLOOKUP(B7,bond!B:AA,26,FALSE)</f>
        <v>渣打集團有限公司</v>
      </c>
      <c r="S7" s="135" t="str">
        <f ca="1">VLOOKUP(B7,bond!B:AI,34,FALSE)</f>
        <v>STANLN</v>
      </c>
      <c r="T7" s="135" t="str">
        <f t="shared" ca="1" si="0"/>
        <v>渣打集團有限公司/STANLN</v>
      </c>
      <c r="U7" s="207" t="str">
        <f ca="1">IFERROR(VLOOKUP(T7,Bond_DES!D:E,2,FALSE),VLOOKUP(S7,bond!AI:AJ,2,FALSE))</f>
        <v>渣打集團(Standard Chartered PLC)為一家國際銀行集團，主要在亞洲、非洲及中東經營業務。該公司提供個人、消費、企業、機構與理財各領域的產品。</v>
      </c>
      <c r="V7" s="136" t="str">
        <f ca="1">IFERROR(VLOOKUP(B7,'1_重設數據'!L:M,2,FALSE),IF(Q7="政府",IF(AD7&gt;16,"(NPI)非專投",IF(AD7&gt;10,"(PI)專投","高資產")),IF(VLOOKUP(B7,bond!B:AN,39,FALSE)="Y","(PI)專投",IF(AD7&gt;=15,"(NPI)非專投",IF(AD7&gt;=10,"(PI)專投","高資產")))))</f>
        <v>(PI)專投</v>
      </c>
      <c r="W7" s="136" t="str">
        <f ca="1">VLOOKUP(AD7,'credit rating'!$F$2:$H$22,3,FALSE)</f>
        <v>A</v>
      </c>
      <c r="X7" s="136" t="str">
        <f t="shared" ca="1" si="1"/>
        <v>A3</v>
      </c>
      <c r="Y7" s="136" t="str">
        <f t="shared" ca="1" si="2"/>
        <v>BBB+</v>
      </c>
      <c r="Z7" s="136" t="str">
        <f t="shared" ca="1" si="3"/>
        <v>A</v>
      </c>
      <c r="AA7" s="134">
        <f ca="1">IFERROR(VLOOKUP(X7,'credit rating'!A:C,3,FALSE),0)</f>
        <v>15</v>
      </c>
      <c r="AB7" s="134">
        <f ca="1">IFERROR(VLOOKUP(Y7,'credit rating'!B:C,2,FALSE),0)</f>
        <v>14</v>
      </c>
      <c r="AC7" s="136">
        <f ca="1">IFERROR(VLOOKUP(Z7,'credit rating'!B:C,2,FALSE),0)</f>
        <v>16</v>
      </c>
      <c r="AD7" s="136">
        <f t="shared" ca="1" si="4"/>
        <v>16</v>
      </c>
      <c r="AE7" s="249" t="str">
        <f ca="1">IFERROR(VLOOKUP(B7,bond!B:U,20,FALSE),"")</f>
        <v xml:space="preserve"> </v>
      </c>
      <c r="AF7" s="136" t="str">
        <f ca="1">IF(VLOOKUP(B7,bond!B:AK,36,FALSE)="#N/A Field Not Applicable","",VLOOKUP(B7,bond!B:AK,36,FALSE))</f>
        <v/>
      </c>
      <c r="AG7" s="136" t="str">
        <f ca="1">IF(VLOOKUP(B7,bond!B:AL,37,FALSE)="FIXED","固定",IF(VLOOKUP(B7,bond!B:AL,37,FALSE)="FLOATING","浮動",IF(VLOOKUP(B7,bond!B:AL,37,FALSE)="VARIABLE","變動",IF(VLOOKUP(B7,bond!B:AL,37,FALSE)="FLAT TRADING","不含息交易",IF(VLOOKUP(B7,bond!B:AL,37,FALSE)="ZERO COUPON","零息",VLOOKUP(B7,bond!B:AL,37,FALSE))))))</f>
        <v>固定</v>
      </c>
      <c r="AH7" s="136" t="str">
        <f>VLOOKUP(C7,'2_Check_code'!I:J,2,FALSE)</f>
        <v>美元(USD)</v>
      </c>
      <c r="AI7" s="136" t="str">
        <f t="shared" ca="1" si="5"/>
        <v>自由選清單</v>
      </c>
      <c r="AJ7" s="136">
        <f t="shared" ca="1" si="6"/>
        <v>0</v>
      </c>
      <c r="AK7" s="594" t="str">
        <f ca="1">IF(VLOOKUP(B7,bond!B:S,18,FALSE)="是","有",IF(VLOOKUP(B7,bond!B:S,18,FALSE)="NO OFFER","無","需查詢"))</f>
        <v>需查詢</v>
      </c>
      <c r="AL7" s="136" t="str">
        <f>IF(VLOOKUP(A7,bond!F:AR,39,FALSE)="#N/A Field Not Applicable",VLOOKUP(A7,bond!F:AR,38,FALSE),IFERROR(VLOOKUP(A7,'7_發行日例外'!A:B,2,FALSE),VLOOKUP(A7,bond!F:AR,39,FALSE)))</f>
        <v>2015/4/17</v>
      </c>
      <c r="AM7" s="136" t="str">
        <f ca="1">VLOOKUP(B7,bond!B:AK,36,FALSE)</f>
        <v>#N/A Field Not Applicable</v>
      </c>
      <c r="AN7" s="136" t="str">
        <f ca="1">IFERROR(VLOOKUP(B7,'3_是否下架'!A:A,1,FALSE),"")</f>
        <v/>
      </c>
      <c r="AO7" s="136">
        <f ca="1">VLOOKUP(B7,bond!B:J,9,FALSE)</f>
        <v>98.910000000000011</v>
      </c>
      <c r="AP7" s="136">
        <f ca="1">VLOOKUP(B7,bond!B:V,21,FALSE)</f>
        <v>0.76200000000000001</v>
      </c>
    </row>
    <row r="8" spans="1:42">
      <c r="A8" s="141" t="str">
        <f>bond!F9</f>
        <v>US404280AG49</v>
      </c>
      <c r="B8" s="151" t="str">
        <f ca="1">IF($C$1=TRUE,bond!B9,"")</f>
        <v>XFB60</v>
      </c>
      <c r="C8" s="95" t="str">
        <f>VLOOKUP(A8,bond!F:G,2,FALSE)</f>
        <v>USD</v>
      </c>
      <c r="D8" s="142" t="str">
        <f ca="1">VLOOKUP(B8,bond!B:C,2,FALSE)</f>
        <v>匯豐控股公司美元配息債券 6.5% 2036/5/2</v>
      </c>
      <c r="E8" s="95" t="str">
        <f ca="1">VLOOKUP(B8,bond!B:D,3,FALSE)</f>
        <v>Baa1 / BBB / A-</v>
      </c>
      <c r="F8" s="99" t="str">
        <f ca="1">VLOOKUP(B8,bond!B:AB,27,FALSE)</f>
        <v>2036/5/2</v>
      </c>
      <c r="G8" s="90">
        <f ca="1">VLOOKUP(B8,bond!B:E,4,FALSE)</f>
        <v>11.83</v>
      </c>
      <c r="H8" s="202">
        <f ca="1">VLOOKUP(B8,bond!B:Y,24,FALSE)</f>
        <v>6.5000000000000002E-2</v>
      </c>
      <c r="I8" s="95">
        <f ca="1">VLOOKUP(B8,bond!B:Z,25,FALSE)</f>
        <v>2</v>
      </c>
      <c r="J8" s="180">
        <f ca="1">VLOOKUP(B8,bond!B:K,10,FALSE)</f>
        <v>1.0832999999999999</v>
      </c>
      <c r="K8" s="96">
        <f ca="1">VLOOKUP($B8,bond!B:S,14,FALSE)</f>
        <v>109.68</v>
      </c>
      <c r="L8" s="91" t="str">
        <f ca="1">VLOOKUP(B8,bond!B:H,7,FALSE)</f>
        <v>2024/7/2</v>
      </c>
      <c r="M8" s="144">
        <f ca="1">VLOOKUP($B8,bond!$B:$Q,16,FALSE)</f>
        <v>5.5E-2</v>
      </c>
      <c r="N8" s="136">
        <f ca="1">VALUE(LEFT(VLOOKUP(B8,bond!B:R,17,FALSE),SEARCH(" ",VLOOKUP(B8,bond!B:R,17,FALSE),1)))</f>
        <v>100000</v>
      </c>
      <c r="O8" s="136">
        <f ca="1">VALUE(RIGHT(VLOOKUP(B8,bond!B:R,17,FALSE),LEN(VLOOKUP(B8,bond!B:R,17,FALSE))-LEN(N8)-3))</f>
        <v>1000</v>
      </c>
      <c r="P8" s="135" t="str">
        <f ca="1">VLOOKUP($B8,bond!$B:$AG,32,FALSE)</f>
        <v>2024/11/2</v>
      </c>
      <c r="Q8" s="135" t="str">
        <f ca="1">VLOOKUP($B8,bond!$B:$AH,33,FALSE)</f>
        <v>金融</v>
      </c>
      <c r="R8" s="135" t="str">
        <f ca="1">VLOOKUP(B8,bond!B:AA,26,FALSE)</f>
        <v>匯豐控股有限公司</v>
      </c>
      <c r="S8" s="135" t="str">
        <f ca="1">VLOOKUP(B8,bond!B:AI,34,FALSE)</f>
        <v>HSBC</v>
      </c>
      <c r="T8" s="135" t="str">
        <f t="shared" ca="1" si="0"/>
        <v>匯豐控股有限公司/HSBC</v>
      </c>
      <c r="U8" s="207" t="str">
        <f ca="1">IFERROR(VLOOKUP(T8,Bond_DES!D:E,2,FALSE),VLOOKUP(S8,bond!AI:AJ,2,FALSE))</f>
        <v>匯豐控股有限公司(HSBC Holdings plc)為匯豐集團的控股公司，是全球規模最大的銀行及金融服務機構之一，業務分為個人銀行、商業銀行、全球銀行和市場等三個部門。於2023年《銀行家》全球1000大銀行排名，按一級資本名列第10位；2023年《Fortune》全球500大企業中商業銀行營收排名第10。</v>
      </c>
      <c r="V8" s="136" t="str">
        <f ca="1">IFERROR(VLOOKUP(B8,'1_重設數據'!L:M,2,FALSE),IF(Q8="政府",IF(AD8&gt;16,"(NPI)非專投",IF(AD8&gt;10,"(PI)專投","高資產")),IF(VLOOKUP(B8,bond!B:AN,39,FALSE)="Y","(PI)專投",IF(AD8&gt;=15,"(NPI)非專投",IF(AD8&gt;=10,"(PI)專投","高資產")))))</f>
        <v>(PI)專投</v>
      </c>
      <c r="W8" s="136" t="str">
        <f ca="1">VLOOKUP(AD8,'credit rating'!$F$2:$H$22,3,FALSE)</f>
        <v>A-</v>
      </c>
      <c r="X8" s="136" t="str">
        <f t="shared" ca="1" si="1"/>
        <v>Baa1</v>
      </c>
      <c r="Y8" s="136" t="str">
        <f t="shared" ca="1" si="2"/>
        <v>BBB</v>
      </c>
      <c r="Z8" s="136" t="str">
        <f t="shared" ca="1" si="3"/>
        <v>A-</v>
      </c>
      <c r="AA8" s="134">
        <f ca="1">IFERROR(VLOOKUP(X8,'credit rating'!A:C,3,FALSE),0)</f>
        <v>14</v>
      </c>
      <c r="AB8" s="134">
        <f ca="1">IFERROR(VLOOKUP(Y8,'credit rating'!B:C,2,FALSE),0)</f>
        <v>13</v>
      </c>
      <c r="AC8" s="136">
        <f ca="1">IFERROR(VLOOKUP(Z8,'credit rating'!B:C,2,FALSE),0)</f>
        <v>15</v>
      </c>
      <c r="AD8" s="136">
        <f t="shared" ca="1" si="4"/>
        <v>15</v>
      </c>
      <c r="AE8" s="249" t="str">
        <f ca="1">IFERROR(VLOOKUP(B8,bond!B:U,20,FALSE),"")</f>
        <v xml:space="preserve"> </v>
      </c>
      <c r="AF8" s="136" t="str">
        <f ca="1">IF(VLOOKUP(B8,bond!B:AK,36,FALSE)="#N/A Field Not Applicable","",VLOOKUP(B8,bond!B:AK,36,FALSE))</f>
        <v/>
      </c>
      <c r="AG8" s="136" t="str">
        <f ca="1">IF(VLOOKUP(B8,bond!B:AL,37,FALSE)="FIXED","固定",IF(VLOOKUP(B8,bond!B:AL,37,FALSE)="FLOATING","浮動",IF(VLOOKUP(B8,bond!B:AL,37,FALSE)="VARIABLE","變動",IF(VLOOKUP(B8,bond!B:AL,37,FALSE)="FLAT TRADING","不含息交易",IF(VLOOKUP(B8,bond!B:AL,37,FALSE)="ZERO COUPON","零息",VLOOKUP(B8,bond!B:AL,37,FALSE))))))</f>
        <v>固定</v>
      </c>
      <c r="AH8" s="136" t="str">
        <f>VLOOKUP(C8,'2_Check_code'!I:J,2,FALSE)</f>
        <v>美元(USD)</v>
      </c>
      <c r="AI8" s="136" t="str">
        <f t="shared" ca="1" si="5"/>
        <v>自由選清單</v>
      </c>
      <c r="AJ8" s="136">
        <f t="shared" ca="1" si="6"/>
        <v>0</v>
      </c>
      <c r="AK8" s="594" t="str">
        <f ca="1">IF(VLOOKUP(B8,bond!B:S,18,FALSE)="是","有",IF(VLOOKUP(B8,bond!B:S,18,FALSE)="NO OFFER","無","需查詢"))</f>
        <v>有</v>
      </c>
      <c r="AL8" s="136" t="str">
        <f>IF(VLOOKUP(A8,bond!F:AR,39,FALSE)="#N/A Field Not Applicable",VLOOKUP(A8,bond!F:AR,38,FALSE),IFERROR(VLOOKUP(A8,'7_發行日例外'!A:B,2,FALSE),VLOOKUP(A8,bond!F:AR,39,FALSE)))</f>
        <v>2006/5/3</v>
      </c>
      <c r="AM8" s="136" t="str">
        <f ca="1">VLOOKUP(B8,bond!B:AK,36,FALSE)</f>
        <v>#N/A Field Not Applicable</v>
      </c>
      <c r="AN8" s="136" t="str">
        <f ca="1">IFERROR(VLOOKUP(B8,'3_是否下架'!A:A,1,FALSE),"")</f>
        <v/>
      </c>
      <c r="AO8" s="136">
        <f ca="1">VLOOKUP(B8,bond!B:J,9,FALSE)</f>
        <v>105.60000000000001</v>
      </c>
      <c r="AP8" s="136">
        <f ca="1">VLOOKUP(B8,bond!B:V,21,FALSE)</f>
        <v>8.2279</v>
      </c>
    </row>
    <row r="9" spans="1:42">
      <c r="A9" s="141" t="str">
        <f>bond!F10</f>
        <v>US822582BE14</v>
      </c>
      <c r="B9" s="151" t="str">
        <f ca="1">IF($C$1=TRUE,bond!B10,"")</f>
        <v>XFD40</v>
      </c>
      <c r="C9" s="95" t="str">
        <f>VLOOKUP(A9,bond!F:G,2,FALSE)</f>
        <v>USD</v>
      </c>
      <c r="D9" s="142" t="str">
        <f ca="1">VLOOKUP(B9,bond!B:C,2,FALSE)</f>
        <v>殼牌國際金融公司美元配息債券  4.125% 2035/5/11</v>
      </c>
      <c r="E9" s="95" t="str">
        <f ca="1">VLOOKUP(B9,bond!B:D,3,FALSE)</f>
        <v>Aa2 / A+ / AA-u</v>
      </c>
      <c r="F9" s="99" t="str">
        <f ca="1">VLOOKUP(B9,bond!B:AB,27,FALSE)</f>
        <v>2035/5/11</v>
      </c>
      <c r="G9" s="90">
        <f ca="1">VLOOKUP(B9,bond!B:E,4,FALSE)</f>
        <v>10.86</v>
      </c>
      <c r="H9" s="202">
        <f ca="1">VLOOKUP(B9,bond!B:Y,24,FALSE)</f>
        <v>4.1250000000000002E-2</v>
      </c>
      <c r="I9" s="95">
        <f ca="1">VLOOKUP(B9,bond!B:Z,25,FALSE)</f>
        <v>2</v>
      </c>
      <c r="J9" s="180">
        <f ca="1">VLOOKUP(B9,bond!B:K,10,FALSE)</f>
        <v>0.58440000000000003</v>
      </c>
      <c r="K9" s="96">
        <f ca="1">VLOOKUP($B9,bond!B:S,14,FALSE)</f>
        <v>95.57</v>
      </c>
      <c r="L9" s="91" t="str">
        <f ca="1">VLOOKUP(B9,bond!B:H,7,FALSE)</f>
        <v>2024/7/2</v>
      </c>
      <c r="M9" s="144">
        <f ca="1">VLOOKUP($B9,bond!$B:$Q,16,FALSE)</f>
        <v>4.7199999999999999E-2</v>
      </c>
      <c r="N9" s="136">
        <f ca="1">VALUE(LEFT(VLOOKUP(B9,bond!B:R,17,FALSE),SEARCH(" ",VLOOKUP(B9,bond!B:R,17,FALSE),1)))</f>
        <v>10000</v>
      </c>
      <c r="O9" s="136">
        <f ca="1">VALUE(RIGHT(VLOOKUP(B9,bond!B:R,17,FALSE),LEN(VLOOKUP(B9,bond!B:R,17,FALSE))-LEN(N9)-3))</f>
        <v>1000</v>
      </c>
      <c r="P9" s="135" t="str">
        <f ca="1">VLOOKUP($B9,bond!$B:$AG,32,FALSE)</f>
        <v>2024/11/11</v>
      </c>
      <c r="Q9" s="135" t="str">
        <f ca="1">VLOOKUP($B9,bond!$B:$AH,33,FALSE)</f>
        <v>能源</v>
      </c>
      <c r="R9" s="135" t="str">
        <f ca="1">VLOOKUP(B9,bond!B:AA,26,FALSE)</f>
        <v>殼牌國際金融私人有限公司</v>
      </c>
      <c r="S9" s="135" t="str">
        <f ca="1">VLOOKUP(B9,bond!B:AI,34,FALSE)</f>
        <v>RDSALN</v>
      </c>
      <c r="T9" s="135" t="str">
        <f t="shared" ca="1" si="0"/>
        <v>殼牌國際金融私人有限公司/RDSALN</v>
      </c>
      <c r="U9" s="207" t="str">
        <f ca="1">IFERROR(VLOOKUP(T9,Bond_DES!D:E,2,FALSE),VLOOKUP(S9,bond!AI:AJ,2,FALSE))</f>
        <v>殼牌國際金融私人有限公司(Shell International Finance B.V.)為一家特殊目的機構。保證機構殼牌(Royal Dutch Shell plc)擁有超過100年歷史，是一家全球性的能源及石化公司集團，亦是全球油氣50強品牌價值龍頭(Brand Finance 2024)，為石油天然氣、能源、化工等領域的重要領航者。</v>
      </c>
      <c r="V9" s="136" t="str">
        <f ca="1">IFERROR(VLOOKUP(B9,'1_重設數據'!L:M,2,FALSE),IF(Q9="政府",IF(AD9&gt;16,"(NPI)非專投",IF(AD9&gt;10,"(PI)專投","高資產")),IF(VLOOKUP(B9,bond!B:AN,39,FALSE)="Y","(PI)專投",IF(AD9&gt;=15,"(NPI)非專投",IF(AD9&gt;=10,"(PI)專投","高資產")))))</f>
        <v>(NPI)非專投</v>
      </c>
      <c r="W9" s="136" t="str">
        <f ca="1">VLOOKUP(AD9,'credit rating'!$F$2:$H$22,3,FALSE)</f>
        <v>AA</v>
      </c>
      <c r="X9" s="136" t="str">
        <f t="shared" ca="1" si="1"/>
        <v>Aa2</v>
      </c>
      <c r="Y9" s="136" t="str">
        <f t="shared" ca="1" si="2"/>
        <v>A+</v>
      </c>
      <c r="Z9" s="136" t="str">
        <f t="shared" ca="1" si="3"/>
        <v>AA-u</v>
      </c>
      <c r="AA9" s="134">
        <f ca="1">IFERROR(VLOOKUP(X9,'credit rating'!A:C,3,FALSE),0)</f>
        <v>19</v>
      </c>
      <c r="AB9" s="134">
        <f ca="1">IFERROR(VLOOKUP(Y9,'credit rating'!B:C,2,FALSE),0)</f>
        <v>17</v>
      </c>
      <c r="AC9" s="136">
        <f ca="1">IFERROR(VLOOKUP(Z9,'credit rating'!B:C,2,FALSE),0)</f>
        <v>18</v>
      </c>
      <c r="AD9" s="136">
        <f t="shared" ca="1" si="4"/>
        <v>19</v>
      </c>
      <c r="AE9" s="249" t="str">
        <f ca="1">IFERROR(VLOOKUP(B9,bond!B:U,20,FALSE),"")</f>
        <v xml:space="preserve"> </v>
      </c>
      <c r="AF9" s="136" t="str">
        <f ca="1">IF(VLOOKUP(B9,bond!B:AK,36,FALSE)="#N/A Field Not Applicable","",VLOOKUP(B9,bond!B:AK,36,FALSE))</f>
        <v/>
      </c>
      <c r="AG9" s="136" t="str">
        <f ca="1">IF(VLOOKUP(B9,bond!B:AL,37,FALSE)="FIXED","固定",IF(VLOOKUP(B9,bond!B:AL,37,FALSE)="FLOATING","浮動",IF(VLOOKUP(B9,bond!B:AL,37,FALSE)="VARIABLE","變動",IF(VLOOKUP(B9,bond!B:AL,37,FALSE)="FLAT TRADING","不含息交易",IF(VLOOKUP(B9,bond!B:AL,37,FALSE)="ZERO COUPON","零息",VLOOKUP(B9,bond!B:AL,37,FALSE))))))</f>
        <v>固定</v>
      </c>
      <c r="AH9" s="136" t="str">
        <f>VLOOKUP(C9,'2_Check_code'!I:J,2,FALSE)</f>
        <v>美元(USD)</v>
      </c>
      <c r="AI9" s="136" t="str">
        <f t="shared" ca="1" si="5"/>
        <v>自由選清單</v>
      </c>
      <c r="AJ9" s="136">
        <f t="shared" ca="1" si="6"/>
        <v>0</v>
      </c>
      <c r="AK9" s="594" t="str">
        <f ca="1">IF(VLOOKUP(B9,bond!B:S,18,FALSE)="是","有",IF(VLOOKUP(B9,bond!B:S,18,FALSE)="NO OFFER","無","需查詢"))</f>
        <v>有</v>
      </c>
      <c r="AL9" s="136" t="str">
        <f>IF(VLOOKUP(A9,bond!F:AR,39,FALSE)="#N/A Field Not Applicable",VLOOKUP(A9,bond!F:AR,38,FALSE),IFERROR(VLOOKUP(A9,'7_發行日例外'!A:B,2,FALSE),VLOOKUP(A9,bond!F:AR,39,FALSE)))</f>
        <v>2015/5/11</v>
      </c>
      <c r="AM9" s="136" t="str">
        <f ca="1">VLOOKUP(B9,bond!B:AK,36,FALSE)</f>
        <v>#N/A Field Not Applicable</v>
      </c>
      <c r="AN9" s="136" t="str">
        <f ca="1">IFERROR(VLOOKUP(B9,'3_是否下架'!A:A,1,FALSE),"")</f>
        <v/>
      </c>
      <c r="AO9" s="136">
        <f ca="1">VLOOKUP(B9,bond!B:J,9,FALSE)</f>
        <v>92.490000000000009</v>
      </c>
      <c r="AP9" s="136">
        <f ca="1">VLOOKUP(B9,bond!B:V,21,FALSE)</f>
        <v>8.5144000000000002</v>
      </c>
    </row>
    <row r="10" spans="1:42">
      <c r="A10" s="141" t="str">
        <f>bond!F11</f>
        <v>XS1266660122</v>
      </c>
      <c r="B10" s="151" t="str">
        <f ca="1">IF($C$1=TRUE,bond!B11,"")</f>
        <v>XFD50</v>
      </c>
      <c r="C10" s="95" t="str">
        <f>VLOOKUP(A10,bond!F:G,2,FALSE)</f>
        <v>USD</v>
      </c>
      <c r="D10" s="142" t="str">
        <f ca="1">VLOOKUP(B10,bond!B:C,2,FALSE)</f>
        <v>軟銀集團公司美元配息債券 6% 2025/7/30</v>
      </c>
      <c r="E10" s="95" t="str">
        <f ca="1">VLOOKUP(B10,bond!B:D,3,FALSE)</f>
        <v>Ba3u / BB+ / -</v>
      </c>
      <c r="F10" s="99" t="str">
        <f ca="1">VLOOKUP(B10,bond!B:AB,27,FALSE)</f>
        <v>2025/7/30</v>
      </c>
      <c r="G10" s="90">
        <f ca="1">VLOOKUP(B10,bond!B:E,4,FALSE)</f>
        <v>1.07</v>
      </c>
      <c r="H10" s="202">
        <f ca="1">VLOOKUP(B10,bond!B:Y,24,FALSE)</f>
        <v>0.06</v>
      </c>
      <c r="I10" s="95">
        <f ca="1">VLOOKUP(B10,bond!B:Z,25,FALSE)</f>
        <v>2</v>
      </c>
      <c r="J10" s="180">
        <f ca="1">VLOOKUP(B10,bond!B:K,10,FALSE)</f>
        <v>2.5499999999999998</v>
      </c>
      <c r="K10" s="96">
        <f ca="1">VLOOKUP($B10,bond!B:S,14,FALSE)</f>
        <v>103.23</v>
      </c>
      <c r="L10" s="91" t="str">
        <f ca="1">VLOOKUP(B10,bond!B:H,7,FALSE)</f>
        <v>2024/7/3</v>
      </c>
      <c r="M10" s="144">
        <f ca="1">VLOOKUP($B10,bond!$B:$Q,16,FALSE)</f>
        <v>5.3400000000000003E-2</v>
      </c>
      <c r="N10" s="136">
        <f ca="1">VALUE(LEFT(VLOOKUP(B10,bond!B:R,17,FALSE),SEARCH(" ",VLOOKUP(B10,bond!B:R,17,FALSE),1)))</f>
        <v>200000</v>
      </c>
      <c r="O10" s="136">
        <f ca="1">VALUE(RIGHT(VLOOKUP(B10,bond!B:R,17,FALSE),LEN(VLOOKUP(B10,bond!B:R,17,FALSE))-LEN(N10)-3))</f>
        <v>1000</v>
      </c>
      <c r="P10" s="135" t="str">
        <f ca="1">VLOOKUP($B10,bond!$B:$AG,32,FALSE)</f>
        <v>2024/7/30</v>
      </c>
      <c r="Q10" s="135" t="str">
        <f ca="1">VLOOKUP($B10,bond!$B:$AH,33,FALSE)</f>
        <v>通訊</v>
      </c>
      <c r="R10" s="135" t="str">
        <f ca="1">VLOOKUP(B10,bond!B:AA,26,FALSE)</f>
        <v>軟銀</v>
      </c>
      <c r="S10" s="135" t="str">
        <f ca="1">VLOOKUP(B10,bond!B:AI,34,FALSE)</f>
        <v>SOFTBK</v>
      </c>
      <c r="T10" s="135" t="str">
        <f t="shared" ca="1" si="0"/>
        <v>軟銀/SOFTBK</v>
      </c>
      <c r="U10" s="207" t="str">
        <f ca="1">IFERROR(VLOOKUP(T10,Bond_DES!D:E,2,FALSE),VLOOKUP(S10,bond!AI:AJ,2,FALSE))</f>
        <v>軟銀集團公司(SoftBank Group Corp.)是一家純控股公司，創辦人及執行長孫正義為其最大股東，欲透過軟銀願景基金(Vision Fund)加速AI革命。2023《Fortune》全球500大企業排名第295，旗下英國晶片設計公司安謀(Arm)為2023年全球最大IPO公司。</v>
      </c>
      <c r="V10" s="136" t="str">
        <f ca="1">IFERROR(VLOOKUP(B10,'1_重設數據'!L:M,2,FALSE),IF(Q10="政府",IF(AD10&gt;16,"(NPI)非專投",IF(AD10&gt;10,"(PI)專投","高資產")),IF(VLOOKUP(B10,bond!B:AN,39,FALSE)="Y","(PI)專投",IF(AD10&gt;=15,"(NPI)非專投",IF(AD10&gt;=10,"(PI)專投","高資產")))))</f>
        <v>(PI)專投</v>
      </c>
      <c r="W10" s="136" t="str">
        <f ca="1">VLOOKUP(AD10,'credit rating'!$F$2:$H$22,3,FALSE)</f>
        <v>BB+</v>
      </c>
      <c r="X10" s="136" t="str">
        <f t="shared" ca="1" si="1"/>
        <v>Ba3u</v>
      </c>
      <c r="Y10" s="136" t="str">
        <f t="shared" ca="1" si="2"/>
        <v>BB+</v>
      </c>
      <c r="Z10" s="136" t="str">
        <f t="shared" ca="1" si="3"/>
        <v>-</v>
      </c>
      <c r="AA10" s="134">
        <f ca="1">IFERROR(VLOOKUP(X10,'credit rating'!A:C,3,FALSE),0)</f>
        <v>9</v>
      </c>
      <c r="AB10" s="134">
        <f ca="1">IFERROR(VLOOKUP(Y10,'credit rating'!B:C,2,FALSE),0)</f>
        <v>11</v>
      </c>
      <c r="AC10" s="136">
        <f ca="1">IFERROR(VLOOKUP(Z10,'credit rating'!B:C,2,FALSE),0)</f>
        <v>0</v>
      </c>
      <c r="AD10" s="136">
        <f t="shared" ca="1" si="4"/>
        <v>11</v>
      </c>
      <c r="AE10" s="249">
        <f ca="1">IFERROR(VLOOKUP(B10,bond!B:U,20,FALSE),"")</f>
        <v>5.1499999999999997E-2</v>
      </c>
      <c r="AF10" s="136" t="str">
        <f ca="1">IF(VLOOKUP(B10,bond!B:AK,36,FALSE)="#N/A Field Not Applicable","",VLOOKUP(B10,bond!B:AK,36,FALSE))</f>
        <v>2025/4/30</v>
      </c>
      <c r="AG10" s="136" t="str">
        <f ca="1">IF(VLOOKUP(B10,bond!B:AL,37,FALSE)="FIXED","固定",IF(VLOOKUP(B10,bond!B:AL,37,FALSE)="FLOATING","浮動",IF(VLOOKUP(B10,bond!B:AL,37,FALSE)="VARIABLE","變動",IF(VLOOKUP(B10,bond!B:AL,37,FALSE)="FLAT TRADING","不含息交易",IF(VLOOKUP(B10,bond!B:AL,37,FALSE)="ZERO COUPON","零息",VLOOKUP(B10,bond!B:AL,37,FALSE))))))</f>
        <v>固定</v>
      </c>
      <c r="AH10" s="136" t="str">
        <f>VLOOKUP(C10,'2_Check_code'!I:J,2,FALSE)</f>
        <v>美元(USD)</v>
      </c>
      <c r="AI10" s="136" t="str">
        <f t="shared" ca="1" si="5"/>
        <v>自由選清單</v>
      </c>
      <c r="AJ10" s="136">
        <f t="shared" ca="1" si="6"/>
        <v>0</v>
      </c>
      <c r="AK10" s="594" t="str">
        <f ca="1">IF(VLOOKUP(B10,bond!B:S,18,FALSE)="是","有",IF(VLOOKUP(B10,bond!B:S,18,FALSE)="NO OFFER","無","需查詢"))</f>
        <v>無</v>
      </c>
      <c r="AL10" s="136" t="str">
        <f>IF(VLOOKUP(A10,bond!F:AR,39,FALSE)="#N/A Field Not Applicable",VLOOKUP(A10,bond!F:AR,38,FALSE),IFERROR(VLOOKUP(A10,'7_發行日例外'!A:B,2,FALSE),VLOOKUP(A10,bond!F:AR,39,FALSE)))</f>
        <v>2015/7/28</v>
      </c>
      <c r="AM10" s="136" t="str">
        <f ca="1">VLOOKUP(B10,bond!B:AK,36,FALSE)</f>
        <v>2025/4/30</v>
      </c>
      <c r="AN10" s="136" t="str">
        <f ca="1">IFERROR(VLOOKUP(B10,'3_是否下架'!A:A,1,FALSE),"")</f>
        <v/>
      </c>
      <c r="AO10" s="136">
        <f ca="1">VLOOKUP(B10,bond!B:J,9,FALSE)</f>
        <v>100.18</v>
      </c>
      <c r="AP10" s="136">
        <f ca="1">VLOOKUP(B10,bond!B:V,21,FALSE)</f>
        <v>0.77359999999999995</v>
      </c>
    </row>
    <row r="11" spans="1:42">
      <c r="A11" s="141" t="str">
        <f>bond!F12</f>
        <v>US02364WAJ45</v>
      </c>
      <c r="B11" s="151" t="str">
        <f ca="1">IF($C$1=TRUE,bond!B12,"")</f>
        <v>XFE20</v>
      </c>
      <c r="C11" s="95" t="str">
        <f>VLOOKUP(A11,bond!F:G,2,FALSE)</f>
        <v>USD</v>
      </c>
      <c r="D11" s="142" t="str">
        <f ca="1">VLOOKUP(B11,bond!B:C,2,FALSE)</f>
        <v>美洲電信公司美元配息債券 6.375% 2035/3/1</v>
      </c>
      <c r="E11" s="95" t="str">
        <f ca="1">VLOOKUP(B11,bond!B:D,3,FALSE)</f>
        <v>Baa1 / A- / A-</v>
      </c>
      <c r="F11" s="99" t="str">
        <f ca="1">VLOOKUP(B11,bond!B:AB,27,FALSE)</f>
        <v>2035/3/1</v>
      </c>
      <c r="G11" s="90">
        <f ca="1">VLOOKUP(B11,bond!B:E,4,FALSE)</f>
        <v>10.66</v>
      </c>
      <c r="H11" s="202">
        <f ca="1">VLOOKUP(B11,bond!B:Y,24,FALSE)</f>
        <v>6.3750000000000001E-2</v>
      </c>
      <c r="I11" s="95">
        <f ca="1">VLOOKUP(B11,bond!B:Z,25,FALSE)</f>
        <v>2</v>
      </c>
      <c r="J11" s="180">
        <f ca="1">VLOOKUP(B11,bond!B:K,10,FALSE)</f>
        <v>2.1427</v>
      </c>
      <c r="K11" s="96">
        <f ca="1">VLOOKUP($B11,bond!B:S,14,FALSE)</f>
        <v>112.65</v>
      </c>
      <c r="L11" s="91" t="str">
        <f ca="1">VLOOKUP(B11,bond!B:H,7,FALSE)</f>
        <v>2024/7/2</v>
      </c>
      <c r="M11" s="144">
        <f ca="1">VLOOKUP($B11,bond!$B:$Q,16,FALSE)</f>
        <v>5.0799999999999998E-2</v>
      </c>
      <c r="N11" s="136">
        <f ca="1">VALUE(LEFT(VLOOKUP(B11,bond!B:R,17,FALSE),SEARCH(" ",VLOOKUP(B11,bond!B:R,17,FALSE),1)))</f>
        <v>10000</v>
      </c>
      <c r="O11" s="136">
        <f ca="1">VALUE(RIGHT(VLOOKUP(B11,bond!B:R,17,FALSE),LEN(VLOOKUP(B11,bond!B:R,17,FALSE))-LEN(N11)-3))</f>
        <v>1000</v>
      </c>
      <c r="P11" s="135" t="str">
        <f ca="1">VLOOKUP($B11,bond!$B:$AG,32,FALSE)</f>
        <v>2024/9/1</v>
      </c>
      <c r="Q11" s="135" t="str">
        <f ca="1">VLOOKUP($B11,bond!$B:$AH,33,FALSE)</f>
        <v>通訊</v>
      </c>
      <c r="R11" s="135" t="str">
        <f ca="1">VLOOKUP(B11,bond!B:AA,26,FALSE)</f>
        <v>美洲移動通訊公司</v>
      </c>
      <c r="S11" s="135" t="str">
        <f ca="1">VLOOKUP(B11,bond!B:AI,34,FALSE)</f>
        <v>AMXLMM</v>
      </c>
      <c r="T11" s="135" t="str">
        <f t="shared" ca="1" si="0"/>
        <v>美洲移動通訊公司/AMXLMM</v>
      </c>
      <c r="U11" s="207" t="str">
        <f ca="1">IFERROR(VLOOKUP(T11,Bond_DES!D:E,2,FALSE),VLOOKUP(S11,bond!AI:AJ,2,FALSE))</f>
        <v>美洲移動通訊公司(America Movil SAB de C.V.)為拉丁美洲綜合電信服務的領導供應商，擁有全球最多的無線用戶(排除中國及印度市場)並為客戶提供增值服務與增強通訊解決方案，為2023年《Fortune》世界500強電信企業排名第13位。</v>
      </c>
      <c r="V11" s="136" t="str">
        <f ca="1">IFERROR(VLOOKUP(B11,'1_重設數據'!L:M,2,FALSE),IF(Q11="政府",IF(AD11&gt;16,"(NPI)非專投",IF(AD11&gt;10,"(PI)專投","高資產")),IF(VLOOKUP(B11,bond!B:AN,39,FALSE)="Y","(PI)專投",IF(AD11&gt;=15,"(NPI)非專投",IF(AD11&gt;=10,"(PI)專投","高資產")))))</f>
        <v>(NPI)非專投</v>
      </c>
      <c r="W11" s="136" t="str">
        <f ca="1">VLOOKUP(AD11,'credit rating'!$F$2:$H$22,3,FALSE)</f>
        <v>A-</v>
      </c>
      <c r="X11" s="136" t="str">
        <f t="shared" ca="1" si="1"/>
        <v>Baa1</v>
      </c>
      <c r="Y11" s="136" t="str">
        <f t="shared" ca="1" si="2"/>
        <v>A-</v>
      </c>
      <c r="Z11" s="136" t="str">
        <f t="shared" ca="1" si="3"/>
        <v>A-</v>
      </c>
      <c r="AA11" s="134">
        <f ca="1">IFERROR(VLOOKUP(X11,'credit rating'!A:C,3,FALSE),0)</f>
        <v>14</v>
      </c>
      <c r="AB11" s="134">
        <f ca="1">IFERROR(VLOOKUP(Y11,'credit rating'!B:C,2,FALSE),0)</f>
        <v>15</v>
      </c>
      <c r="AC11" s="136">
        <f ca="1">IFERROR(VLOOKUP(Z11,'credit rating'!B:C,2,FALSE),0)</f>
        <v>15</v>
      </c>
      <c r="AD11" s="136">
        <f t="shared" ca="1" si="4"/>
        <v>15</v>
      </c>
      <c r="AE11" s="249" t="str">
        <f ca="1">IFERROR(VLOOKUP(B11,bond!B:U,20,FALSE),"")</f>
        <v xml:space="preserve"> </v>
      </c>
      <c r="AF11" s="136" t="str">
        <f ca="1">IF(VLOOKUP(B11,bond!B:AK,36,FALSE)="#N/A Field Not Applicable","",VLOOKUP(B11,bond!B:AK,36,FALSE))</f>
        <v/>
      </c>
      <c r="AG11" s="136" t="str">
        <f ca="1">IF(VLOOKUP(B11,bond!B:AL,37,FALSE)="FIXED","固定",IF(VLOOKUP(B11,bond!B:AL,37,FALSE)="FLOATING","浮動",IF(VLOOKUP(B11,bond!B:AL,37,FALSE)="VARIABLE","變動",IF(VLOOKUP(B11,bond!B:AL,37,FALSE)="FLAT TRADING","不含息交易",IF(VLOOKUP(B11,bond!B:AL,37,FALSE)="ZERO COUPON","零息",VLOOKUP(B11,bond!B:AL,37,FALSE))))))</f>
        <v>固定</v>
      </c>
      <c r="AH11" s="136" t="str">
        <f>VLOOKUP(C11,'2_Check_code'!I:J,2,FALSE)</f>
        <v>美元(USD)</v>
      </c>
      <c r="AI11" s="136" t="str">
        <f t="shared" ca="1" si="5"/>
        <v>自由選清單</v>
      </c>
      <c r="AJ11" s="136">
        <f t="shared" ca="1" si="6"/>
        <v>0</v>
      </c>
      <c r="AK11" s="594" t="str">
        <f ca="1">IF(VLOOKUP(B11,bond!B:S,18,FALSE)="是","有",IF(VLOOKUP(B11,bond!B:S,18,FALSE)="NO OFFER","無","需查詢"))</f>
        <v>需查詢</v>
      </c>
      <c r="AL11" s="136" t="str">
        <f>IF(VLOOKUP(A11,bond!F:AR,39,FALSE)="#N/A Field Not Applicable",VLOOKUP(A11,bond!F:AR,38,FALSE),IFERROR(VLOOKUP(A11,'7_發行日例外'!A:B,2,FALSE),VLOOKUP(A11,bond!F:AR,39,FALSE)))</f>
        <v>2005/2/25</v>
      </c>
      <c r="AM11" s="136" t="str">
        <f ca="1">VLOOKUP(B11,bond!B:AK,36,FALSE)</f>
        <v>#N/A Field Not Applicable</v>
      </c>
      <c r="AN11" s="136" t="str">
        <f ca="1">IFERROR(VLOOKUP(B11,'3_是否下架'!A:A,1,FALSE),"")</f>
        <v>XFE20</v>
      </c>
      <c r="AO11" s="136">
        <f ca="1">VLOOKUP(B11,bond!B:J,9,FALSE)</f>
        <v>108.01</v>
      </c>
      <c r="AP11" s="136">
        <f ca="1">VLOOKUP(B11,bond!B:V,21,FALSE)</f>
        <v>7.6726000000000001</v>
      </c>
    </row>
    <row r="12" spans="1:42">
      <c r="A12" s="141" t="str">
        <f>bond!F13</f>
        <v>USY7138AAD29</v>
      </c>
      <c r="B12" s="151" t="str">
        <f ca="1">IF($C$1=TRUE,bond!B13,"")</f>
        <v>XFE30</v>
      </c>
      <c r="C12" s="95" t="str">
        <f>VLOOKUP(A12,bond!F:G,2,FALSE)</f>
        <v>USD</v>
      </c>
      <c r="D12" s="142" t="str">
        <f ca="1">VLOOKUP(B12,bond!B:C,2,FALSE)</f>
        <v>印尼國家能源公司美元配息債券 6% 2042/5/3</v>
      </c>
      <c r="E12" s="95" t="str">
        <f ca="1">VLOOKUP(B12,bond!B:D,3,FALSE)</f>
        <v>Baa2 / BBB / BBB</v>
      </c>
      <c r="F12" s="99" t="str">
        <f ca="1">VLOOKUP(B12,bond!B:AB,27,FALSE)</f>
        <v>2042/5/3</v>
      </c>
      <c r="G12" s="90">
        <f ca="1">VLOOKUP(B12,bond!B:E,4,FALSE)</f>
        <v>17.829999999999998</v>
      </c>
      <c r="H12" s="202">
        <f ca="1">VLOOKUP(B12,bond!B:Y,24,FALSE)</f>
        <v>0.06</v>
      </c>
      <c r="I12" s="95">
        <f ca="1">VLOOKUP(B12,bond!B:Z,25,FALSE)</f>
        <v>2</v>
      </c>
      <c r="J12" s="180">
        <f ca="1">VLOOKUP(B12,bond!B:K,10,FALSE)</f>
        <v>0.98329999999999995</v>
      </c>
      <c r="K12" s="96">
        <f ca="1">VLOOKUP($B12,bond!B:S,14,FALSE)</f>
        <v>105.12</v>
      </c>
      <c r="L12" s="91" t="str">
        <f ca="1">VLOOKUP(B12,bond!B:H,7,FALSE)</f>
        <v>2024/7/2</v>
      </c>
      <c r="M12" s="144">
        <f ca="1">VLOOKUP($B12,bond!$B:$Q,16,FALSE)</f>
        <v>5.6300000000000003E-2</v>
      </c>
      <c r="N12" s="136">
        <f ca="1">VALUE(LEFT(VLOOKUP(B12,bond!B:R,17,FALSE),SEARCH(" ",VLOOKUP(B12,bond!B:R,17,FALSE),1)))</f>
        <v>200000</v>
      </c>
      <c r="O12" s="136">
        <f ca="1">VALUE(RIGHT(VLOOKUP(B12,bond!B:R,17,FALSE),LEN(VLOOKUP(B12,bond!B:R,17,FALSE))-LEN(N12)-3))</f>
        <v>1000</v>
      </c>
      <c r="P12" s="135" t="str">
        <f ca="1">VLOOKUP($B12,bond!$B:$AG,32,FALSE)</f>
        <v>2024/11/3</v>
      </c>
      <c r="Q12" s="135" t="str">
        <f ca="1">VLOOKUP($B12,bond!$B:$AH,33,FALSE)</f>
        <v>能源</v>
      </c>
      <c r="R12" s="135" t="str">
        <f ca="1">VLOOKUP(B12,bond!B:AA,26,FALSE)</f>
        <v>印尼國家石油有限公司</v>
      </c>
      <c r="S12" s="135" t="str">
        <f ca="1">VLOOKUP(B12,bond!B:AI,34,FALSE)</f>
        <v>PERTIJ</v>
      </c>
      <c r="T12" s="135" t="str">
        <f t="shared" ca="1" si="0"/>
        <v>印尼國家石油有限公司/PERTIJ</v>
      </c>
      <c r="U12" s="207" t="str">
        <f ca="1">IFERROR(VLOOKUP(T12,Bond_DES!D:E,2,FALSE),VLOOKUP(S12,bond!AI:AJ,2,FALSE))</f>
        <v>印尼國家石油公司(PT Pertamina)總部位於雅加達，為一家從事石油、天然氣、新能源和可再生能源等能源領域的印尼國有企業，具國家重要戰略地位並為印尼最大的油氣公司。印尼國家石油公司於2023年《Fortune》全球500大企業同產業排名中，名列第19名。</v>
      </c>
      <c r="V12" s="136" t="str">
        <f ca="1">IFERROR(VLOOKUP(B12,'1_重設數據'!L:M,2,FALSE),IF(Q12="政府",IF(AD12&gt;16,"(NPI)非專投",IF(AD12&gt;10,"(PI)專投","高資產")),IF(VLOOKUP(B12,bond!B:AN,39,FALSE)="Y","(PI)專投",IF(AD12&gt;=15,"(NPI)非專投",IF(AD12&gt;=10,"(PI)專投","高資產")))))</f>
        <v>(PI)專投</v>
      </c>
      <c r="W12" s="136" t="str">
        <f ca="1">VLOOKUP(AD12,'credit rating'!$F$2:$H$22,3,FALSE)</f>
        <v>BBB</v>
      </c>
      <c r="X12" s="136" t="str">
        <f t="shared" ca="1" si="1"/>
        <v>Baa2</v>
      </c>
      <c r="Y12" s="136" t="str">
        <f t="shared" ca="1" si="2"/>
        <v>BBB</v>
      </c>
      <c r="Z12" s="136" t="str">
        <f t="shared" ca="1" si="3"/>
        <v>BBB</v>
      </c>
      <c r="AA12" s="134">
        <f ca="1">IFERROR(VLOOKUP(X12,'credit rating'!A:C,3,FALSE),0)</f>
        <v>13</v>
      </c>
      <c r="AB12" s="134">
        <f ca="1">IFERROR(VLOOKUP(Y12,'credit rating'!B:C,2,FALSE),0)</f>
        <v>13</v>
      </c>
      <c r="AC12" s="136">
        <f ca="1">IFERROR(VLOOKUP(Z12,'credit rating'!B:C,2,FALSE),0)</f>
        <v>13</v>
      </c>
      <c r="AD12" s="136">
        <f t="shared" ca="1" si="4"/>
        <v>13</v>
      </c>
      <c r="AE12" s="249" t="str">
        <f ca="1">IFERROR(VLOOKUP(B12,bond!B:U,20,FALSE),"")</f>
        <v xml:space="preserve"> </v>
      </c>
      <c r="AF12" s="136" t="str">
        <f ca="1">IF(VLOOKUP(B12,bond!B:AK,36,FALSE)="#N/A Field Not Applicable","",VLOOKUP(B12,bond!B:AK,36,FALSE))</f>
        <v/>
      </c>
      <c r="AG12" s="136" t="str">
        <f ca="1">IF(VLOOKUP(B12,bond!B:AL,37,FALSE)="FIXED","固定",IF(VLOOKUP(B12,bond!B:AL,37,FALSE)="FLOATING","浮動",IF(VLOOKUP(B12,bond!B:AL,37,FALSE)="VARIABLE","變動",IF(VLOOKUP(B12,bond!B:AL,37,FALSE)="FLAT TRADING","不含息交易",IF(VLOOKUP(B12,bond!B:AL,37,FALSE)="ZERO COUPON","零息",VLOOKUP(B12,bond!B:AL,37,FALSE))))))</f>
        <v>固定</v>
      </c>
      <c r="AH12" s="136" t="str">
        <f>VLOOKUP(C12,'2_Check_code'!I:J,2,FALSE)</f>
        <v>美元(USD)</v>
      </c>
      <c r="AI12" s="136" t="str">
        <f t="shared" ca="1" si="5"/>
        <v>自由選清單</v>
      </c>
      <c r="AJ12" s="136">
        <f t="shared" ca="1" si="6"/>
        <v>0</v>
      </c>
      <c r="AK12" s="594" t="str">
        <f ca="1">IF(VLOOKUP(B12,bond!B:S,18,FALSE)="是","有",IF(VLOOKUP(B12,bond!B:S,18,FALSE)="NO OFFER","無","需查詢"))</f>
        <v>需查詢</v>
      </c>
      <c r="AL12" s="136" t="str">
        <f>IF(VLOOKUP(A12,bond!F:AR,39,FALSE)="#N/A Field Not Applicable",VLOOKUP(A12,bond!F:AR,38,FALSE),IFERROR(VLOOKUP(A12,'7_發行日例外'!A:B,2,FALSE),VLOOKUP(A12,bond!F:AR,39,FALSE)))</f>
        <v>2012/5/3</v>
      </c>
      <c r="AM12" s="136" t="str">
        <f ca="1">VLOOKUP(B12,bond!B:AK,36,FALSE)</f>
        <v>#N/A Field Not Applicable</v>
      </c>
      <c r="AN12" s="136" t="str">
        <f ca="1">IFERROR(VLOOKUP(B12,'3_是否下架'!A:A,1,FALSE),"")</f>
        <v/>
      </c>
      <c r="AO12" s="136">
        <f ca="1">VLOOKUP(B12,bond!B:J,9,FALSE)</f>
        <v>101.14</v>
      </c>
      <c r="AP12" s="136">
        <f ca="1">VLOOKUP(B12,bond!B:V,21,FALSE)</f>
        <v>10.833500000000001</v>
      </c>
    </row>
    <row r="13" spans="1:42">
      <c r="A13" s="141" t="str">
        <f>bond!F14</f>
        <v>XS1274823571</v>
      </c>
      <c r="B13" s="151" t="str">
        <f ca="1">IF($C$1=TRUE,bond!B14,"")</f>
        <v>XFE40</v>
      </c>
      <c r="C13" s="95" t="str">
        <f>VLOOKUP(A13,bond!F:G,2,FALSE)</f>
        <v>ZAR</v>
      </c>
      <c r="D13" s="142" t="str">
        <f ca="1">VLOOKUP(B13,bond!B:C,2,FALSE)</f>
        <v>歐洲投資銀行南非幣配息債券 8.75% 2025/8/18</v>
      </c>
      <c r="E13" s="95" t="str">
        <f ca="1">VLOOKUP(B13,bond!B:D,3,FALSE)</f>
        <v>Aaa / AAA / AAA</v>
      </c>
      <c r="F13" s="99" t="str">
        <f ca="1">VLOOKUP(B13,bond!B:AB,27,FALSE)</f>
        <v>2025/8/18</v>
      </c>
      <c r="G13" s="90">
        <f ca="1">VLOOKUP(B13,bond!B:E,4,FALSE)</f>
        <v>1.1299999999999999</v>
      </c>
      <c r="H13" s="202">
        <f ca="1">VLOOKUP(B13,bond!B:Y,24,FALSE)</f>
        <v>8.7499999999999994E-2</v>
      </c>
      <c r="I13" s="95">
        <f ca="1">VLOOKUP(B13,bond!B:Z,25,FALSE)</f>
        <v>1</v>
      </c>
      <c r="J13" s="180">
        <f ca="1">VLOOKUP(B13,bond!B:K,10,FALSE)</f>
        <v>7.6502999999999997</v>
      </c>
      <c r="K13" s="96">
        <f ca="1">VLOOKUP($B13,bond!B:S,14,FALSE)</f>
        <v>109.54</v>
      </c>
      <c r="L13" s="91" t="str">
        <f ca="1">VLOOKUP(B13,bond!B:H,7,FALSE)</f>
        <v>2024/7/3</v>
      </c>
      <c r="M13" s="144">
        <f ca="1">VLOOKUP($B13,bond!$B:$Q,16,FALSE)</f>
        <v>6.9199999999999998E-2</v>
      </c>
      <c r="N13" s="136">
        <f ca="1">VALUE(LEFT(VLOOKUP(B13,bond!B:R,17,FALSE),SEARCH(" ",VLOOKUP(B13,bond!B:R,17,FALSE),1)))</f>
        <v>100000</v>
      </c>
      <c r="O13" s="136">
        <f ca="1">VALUE(RIGHT(VLOOKUP(B13,bond!B:R,17,FALSE),LEN(VLOOKUP(B13,bond!B:R,17,FALSE))-LEN(N13)-3))</f>
        <v>5000</v>
      </c>
      <c r="P13" s="135" t="str">
        <f ca="1">VLOOKUP($B13,bond!$B:$AG,32,FALSE)</f>
        <v>2024/8/18</v>
      </c>
      <c r="Q13" s="135" t="str">
        <f ca="1">VLOOKUP($B13,bond!$B:$AH,33,FALSE)</f>
        <v>政府</v>
      </c>
      <c r="R13" s="135" t="str">
        <f ca="1">VLOOKUP(B13,bond!B:AA,26,FALSE)</f>
        <v>歐洲投資銀行</v>
      </c>
      <c r="S13" s="135" t="str">
        <f ca="1">VLOOKUP(B13,bond!B:AI,34,FALSE)</f>
        <v>EIB</v>
      </c>
      <c r="T13" s="135" t="str">
        <f t="shared" ca="1" si="0"/>
        <v>歐洲投資銀行/EIB</v>
      </c>
      <c r="U13" s="207" t="str">
        <f ca="1">IFERROR(VLOOKUP(T13,Bond_DES!D:E,2,FALSE),VLOOKUP(S13,bond!AI:AJ,2,FALSE))</f>
        <v>歐洲投資銀行(European Investment Bank)為一家融資機構。該銀行提供專案貸款、債券、創投、運輸基礎設施、專案資金、擔保、微型信貸、股票投資，以及都市開發解決方案。歐洲投資銀行服務全球客戶。</v>
      </c>
      <c r="V13" s="136" t="str">
        <f ca="1">IFERROR(VLOOKUP(B13,'1_重設數據'!L:M,2,FALSE),IF(Q13="政府",IF(AD13&gt;16,"(NPI)非專投",IF(AD13&gt;10,"(PI)專投","高資產")),IF(VLOOKUP(B13,bond!B:AN,39,FALSE)="Y","(PI)專投",IF(AD13&gt;=15,"(NPI)非專投",IF(AD13&gt;=10,"(PI)專投","高資產")))))</f>
        <v>(NPI)非專投</v>
      </c>
      <c r="W13" s="136" t="str">
        <f ca="1">VLOOKUP(AD13,'credit rating'!$F$2:$H$22,3,FALSE)</f>
        <v>AAA</v>
      </c>
      <c r="X13" s="136" t="str">
        <f t="shared" ca="1" si="1"/>
        <v>Aaa</v>
      </c>
      <c r="Y13" s="136" t="str">
        <f t="shared" ca="1" si="2"/>
        <v>AAA</v>
      </c>
      <c r="Z13" s="136" t="str">
        <f t="shared" ca="1" si="3"/>
        <v>AAA</v>
      </c>
      <c r="AA13" s="134">
        <f ca="1">IFERROR(VLOOKUP(X13,'credit rating'!A:C,3,FALSE),0)</f>
        <v>21</v>
      </c>
      <c r="AB13" s="134">
        <f ca="1">IFERROR(VLOOKUP(Y13,'credit rating'!B:C,2,FALSE),0)</f>
        <v>21</v>
      </c>
      <c r="AC13" s="136">
        <f ca="1">IFERROR(VLOOKUP(Z13,'credit rating'!B:C,2,FALSE),0)</f>
        <v>21</v>
      </c>
      <c r="AD13" s="136">
        <f t="shared" ca="1" si="4"/>
        <v>21</v>
      </c>
      <c r="AE13" s="249" t="str">
        <f ca="1">IFERROR(VLOOKUP(B13,bond!B:U,20,FALSE),"")</f>
        <v xml:space="preserve"> </v>
      </c>
      <c r="AF13" s="136" t="str">
        <f ca="1">IF(VLOOKUP(B13,bond!B:AK,36,FALSE)="#N/A Field Not Applicable","",VLOOKUP(B13,bond!B:AK,36,FALSE))</f>
        <v/>
      </c>
      <c r="AG13" s="136" t="str">
        <f ca="1">IF(VLOOKUP(B13,bond!B:AL,37,FALSE)="FIXED","固定",IF(VLOOKUP(B13,bond!B:AL,37,FALSE)="FLOATING","浮動",IF(VLOOKUP(B13,bond!B:AL,37,FALSE)="VARIABLE","變動",IF(VLOOKUP(B13,bond!B:AL,37,FALSE)="FLAT TRADING","不含息交易",IF(VLOOKUP(B13,bond!B:AL,37,FALSE)="ZERO COUPON","零息",VLOOKUP(B13,bond!B:AL,37,FALSE))))))</f>
        <v>固定</v>
      </c>
      <c r="AH13" s="136" t="str">
        <f>VLOOKUP(C13,'2_Check_code'!I:J,2,FALSE)</f>
        <v>南非幣(ZAR)</v>
      </c>
      <c r="AI13" s="136" t="str">
        <f t="shared" ca="1" si="5"/>
        <v/>
      </c>
      <c r="AJ13" s="136">
        <f t="shared" ca="1" si="6"/>
        <v>1</v>
      </c>
      <c r="AK13" s="594" t="str">
        <f ca="1">IF(VLOOKUP(B13,bond!B:S,18,FALSE)="是","有",IF(VLOOKUP(B13,bond!B:S,18,FALSE)="NO OFFER","無","需查詢"))</f>
        <v>有</v>
      </c>
      <c r="AL13" s="136" t="str">
        <f>IF(VLOOKUP(A13,bond!F:AR,39,FALSE)="#N/A Field Not Applicable",VLOOKUP(A13,bond!F:AR,38,FALSE),IFERROR(VLOOKUP(A13,'7_發行日例外'!A:B,2,FALSE),VLOOKUP(A13,bond!F:AR,39,FALSE)))</f>
        <v>2015/8/18</v>
      </c>
      <c r="AM13" s="136" t="str">
        <f ca="1">VLOOKUP(B13,bond!B:AK,36,FALSE)</f>
        <v>#N/A Field Not Applicable</v>
      </c>
      <c r="AN13" s="136" t="str">
        <f ca="1">IFERROR(VLOOKUP(B13,'3_是否下架'!A:A,1,FALSE),"")</f>
        <v/>
      </c>
      <c r="AO13" s="136">
        <f ca="1">VLOOKUP(B13,bond!B:J,9,FALSE)</f>
        <v>101.39</v>
      </c>
      <c r="AP13" s="136">
        <f ca="1">VLOOKUP(B13,bond!B:V,21,FALSE)</f>
        <v>0.97170000000000001</v>
      </c>
    </row>
    <row r="14" spans="1:42">
      <c r="A14" s="141" t="str">
        <f>bond!F15</f>
        <v>XS1054250318</v>
      </c>
      <c r="B14" s="151" t="str">
        <f ca="1">IF($C$1=TRUE,bond!B15,"")</f>
        <v>XFF20 </v>
      </c>
      <c r="C14" s="95" t="str">
        <f>VLOOKUP(A14,bond!F:G,2,FALSE)</f>
        <v>USD</v>
      </c>
      <c r="D14" s="142" t="str">
        <f ca="1">VLOOKUP(B14,bond!B:C,2,FALSE)</f>
        <v>沙烏地電力美元配息債券 5.5% 2044/4/8</v>
      </c>
      <c r="E14" s="95" t="str">
        <f ca="1">VLOOKUP(B14,bond!B:D,3,FALSE)</f>
        <v>A1 / A / A+</v>
      </c>
      <c r="F14" s="99" t="str">
        <f ca="1">VLOOKUP(B14,bond!B:AB,27,FALSE)</f>
        <v>2044/4/8</v>
      </c>
      <c r="G14" s="90">
        <f ca="1">VLOOKUP(B14,bond!B:E,4,FALSE)</f>
        <v>19.760000000000002</v>
      </c>
      <c r="H14" s="202">
        <f ca="1">VLOOKUP(B14,bond!B:Y,24,FALSE)</f>
        <v>5.5E-2</v>
      </c>
      <c r="I14" s="95">
        <f ca="1">VLOOKUP(B14,bond!B:Z,25,FALSE)</f>
        <v>2</v>
      </c>
      <c r="J14" s="180">
        <f ca="1">VLOOKUP(B14,bond!B:K,10,FALSE)</f>
        <v>1.2986</v>
      </c>
      <c r="K14" s="96">
        <f ca="1">VLOOKUP($B14,bond!B:S,14,FALSE)</f>
        <v>102.29</v>
      </c>
      <c r="L14" s="91" t="str">
        <f ca="1">VLOOKUP(B14,bond!B:H,7,FALSE)</f>
        <v>2024/7/3</v>
      </c>
      <c r="M14" s="144">
        <f ca="1">VLOOKUP($B14,bond!$B:$Q,16,FALSE)</f>
        <v>5.4199999999999998E-2</v>
      </c>
      <c r="N14" s="136">
        <f ca="1">VALUE(LEFT(VLOOKUP(B14,bond!B:R,17,FALSE),SEARCH(" ",VLOOKUP(B14,bond!B:R,17,FALSE),1)))</f>
        <v>200000</v>
      </c>
      <c r="O14" s="136">
        <f ca="1">VALUE(RIGHT(VLOOKUP(B14,bond!B:R,17,FALSE),LEN(VLOOKUP(B14,bond!B:R,17,FALSE))-LEN(N14)-3))</f>
        <v>1000</v>
      </c>
      <c r="P14" s="135" t="str">
        <f ca="1">VLOOKUP($B14,bond!$B:$AG,32,FALSE)</f>
        <v>2024/10/8</v>
      </c>
      <c r="Q14" s="135" t="str">
        <f ca="1">VLOOKUP($B14,bond!$B:$AH,33,FALSE)</f>
        <v>公用事業</v>
      </c>
      <c r="R14" s="135" t="str">
        <f ca="1">VLOOKUP(B14,bond!B:AA,26,FALSE)</f>
        <v>沙烏地電力環球伊斯蘭債券公司</v>
      </c>
      <c r="S14" s="135" t="str">
        <f ca="1">VLOOKUP(B14,bond!B:AI,34,FALSE)</f>
        <v>SECO</v>
      </c>
      <c r="T14" s="135" t="str">
        <f t="shared" ca="1" si="0"/>
        <v>沙烏地電力環球伊斯蘭債券公司/SECO</v>
      </c>
      <c r="U14" s="207" t="str">
        <f ca="1">IFERROR(VLOOKUP(T14,Bond_DES!D:E,2,FALSE),VLOOKUP(S14,bond!AI:AJ,2,FALSE))</f>
        <v>沙烏地電力環球伊斯蘭債券公司3(Saudi Electricity Global SUKUK Company 3)為特殊目的機構。母公司沙烏地電力公司(Saudi Electricity Company)為中東北非(MENA)最大的電力公司，在阿拉伯擁有38家發電廠，壟斷沙國輸配電網，沙國政府為其最大股東。</v>
      </c>
      <c r="V14" s="136" t="str">
        <f ca="1">IFERROR(VLOOKUP(B14,'1_重設數據'!L:M,2,FALSE),IF(Q14="政府",IF(AD14&gt;16,"(NPI)非專投",IF(AD14&gt;10,"(PI)專投","高資產")),IF(VLOOKUP(B14,bond!B:AN,39,FALSE)="Y","(PI)專投",IF(AD14&gt;=15,"(NPI)非專投",IF(AD14&gt;=10,"(PI)專投","高資產")))))</f>
        <v>(NPI)非專投</v>
      </c>
      <c r="W14" s="136" t="str">
        <f ca="1">VLOOKUP(AD14,'credit rating'!$F$2:$H$22,3,FALSE)</f>
        <v>A+</v>
      </c>
      <c r="X14" s="136" t="str">
        <f t="shared" ca="1" si="1"/>
        <v>A1</v>
      </c>
      <c r="Y14" s="136" t="str">
        <f t="shared" ca="1" si="2"/>
        <v>A</v>
      </c>
      <c r="Z14" s="136" t="str">
        <f t="shared" ca="1" si="3"/>
        <v>A+</v>
      </c>
      <c r="AA14" s="134">
        <f ca="1">IFERROR(VLOOKUP(X14,'credit rating'!A:C,3,FALSE),0)</f>
        <v>17</v>
      </c>
      <c r="AB14" s="134">
        <f ca="1">IFERROR(VLOOKUP(Y14,'credit rating'!B:C,2,FALSE),0)</f>
        <v>16</v>
      </c>
      <c r="AC14" s="136">
        <f ca="1">IFERROR(VLOOKUP(Z14,'credit rating'!B:C,2,FALSE),0)</f>
        <v>17</v>
      </c>
      <c r="AD14" s="136">
        <f t="shared" ca="1" si="4"/>
        <v>17</v>
      </c>
      <c r="AE14" s="249" t="str">
        <f ca="1">IFERROR(VLOOKUP(B14,bond!B:U,20,FALSE),"")</f>
        <v xml:space="preserve"> </v>
      </c>
      <c r="AF14" s="136" t="str">
        <f ca="1">IF(VLOOKUP(B14,bond!B:AK,36,FALSE)="#N/A Field Not Applicable","",VLOOKUP(B14,bond!B:AK,36,FALSE))</f>
        <v/>
      </c>
      <c r="AG14" s="136" t="str">
        <f ca="1">IF(VLOOKUP(B14,bond!B:AL,37,FALSE)="FIXED","固定",IF(VLOOKUP(B14,bond!B:AL,37,FALSE)="FLOATING","浮動",IF(VLOOKUP(B14,bond!B:AL,37,FALSE)="VARIABLE","變動",IF(VLOOKUP(B14,bond!B:AL,37,FALSE)="FLAT TRADING","不含息交易",IF(VLOOKUP(B14,bond!B:AL,37,FALSE)="ZERO COUPON","零息",VLOOKUP(B14,bond!B:AL,37,FALSE))))))</f>
        <v>固定</v>
      </c>
      <c r="AH14" s="136" t="str">
        <f>VLOOKUP(C14,'2_Check_code'!I:J,2,FALSE)</f>
        <v>美元(USD)</v>
      </c>
      <c r="AI14" s="136" t="str">
        <f t="shared" ca="1" si="5"/>
        <v>自由選清單</v>
      </c>
      <c r="AJ14" s="136">
        <f t="shared" ca="1" si="6"/>
        <v>0</v>
      </c>
      <c r="AK14" s="594" t="str">
        <f ca="1">IF(VLOOKUP(B14,bond!B:S,18,FALSE)="是","有",IF(VLOOKUP(B14,bond!B:S,18,FALSE)="NO OFFER","無","需查詢"))</f>
        <v>無</v>
      </c>
      <c r="AL14" s="136" t="str">
        <f>IF(VLOOKUP(A14,bond!F:AR,39,FALSE)="#N/A Field Not Applicable",VLOOKUP(A14,bond!F:AR,38,FALSE),IFERROR(VLOOKUP(A14,'7_發行日例外'!A:B,2,FALSE),VLOOKUP(A14,bond!F:AR,39,FALSE)))</f>
        <v>2014/4/8</v>
      </c>
      <c r="AM14" s="136" t="str">
        <f ca="1">VLOOKUP(B14,bond!B:AK,36,FALSE)</f>
        <v>#N/A Field Not Applicable</v>
      </c>
      <c r="AN14" s="136" t="str">
        <f ca="1">IFERROR(VLOOKUP(B14,'3_是否下架'!A:A,1,FALSE),"")</f>
        <v>XFF20 </v>
      </c>
      <c r="AO14" s="136">
        <f ca="1">VLOOKUP(B14,bond!B:J,9,FALSE)</f>
        <v>97.990000000000009</v>
      </c>
      <c r="AP14" s="136">
        <f ca="1">VLOOKUP(B14,bond!B:V,21,FALSE)</f>
        <v>11.747</v>
      </c>
    </row>
    <row r="15" spans="1:42">
      <c r="A15" s="141" t="str">
        <f>bond!F16</f>
        <v>XS1291352711</v>
      </c>
      <c r="B15" s="151" t="str">
        <f ca="1">IF($C$1=TRUE,bond!B16,"")</f>
        <v>OAZ20</v>
      </c>
      <c r="C15" s="95" t="str">
        <f>VLOOKUP(A15,bond!F:G,2,FALSE)</f>
        <v>USD</v>
      </c>
      <c r="D15" s="142" t="str">
        <f ca="1">VLOOKUP(B15,bond!B:C,2,FALSE)</f>
        <v>西班牙國際銀行英國控股公司美元配息債券 5.625% 2045/9/15</v>
      </c>
      <c r="E15" s="95" t="str">
        <f ca="1">VLOOKUP(B15,bond!B:D,3,FALSE)</f>
        <v>Baa2 / BB+ / BBB+</v>
      </c>
      <c r="F15" s="99" t="str">
        <f ca="1">VLOOKUP(B15,bond!B:AB,27,FALSE)</f>
        <v>2045/9/15</v>
      </c>
      <c r="G15" s="90">
        <f ca="1">VLOOKUP(B15,bond!B:E,4,FALSE)</f>
        <v>21.2</v>
      </c>
      <c r="H15" s="202">
        <f ca="1">VLOOKUP(B15,bond!B:Y,24,FALSE)</f>
        <v>5.6250000000000001E-2</v>
      </c>
      <c r="I15" s="95">
        <f ca="1">VLOOKUP(B15,bond!B:Z,25,FALSE)</f>
        <v>2</v>
      </c>
      <c r="J15" s="180">
        <f ca="1">VLOOKUP(B15,bond!B:K,10,FALSE)</f>
        <v>1.6875</v>
      </c>
      <c r="K15" s="96">
        <f ca="1">VLOOKUP($B15,bond!B:S,14,FALSE)</f>
        <v>89.85</v>
      </c>
      <c r="L15" s="91" t="str">
        <f ca="1">VLOOKUP(B15,bond!B:H,7,FALSE)</f>
        <v>2024/7/3</v>
      </c>
      <c r="M15" s="144">
        <f ca="1">VLOOKUP($B15,bond!$B:$Q,16,FALSE)</f>
        <v>6.6799999999999998E-2</v>
      </c>
      <c r="N15" s="136">
        <f ca="1">VALUE(LEFT(VLOOKUP(B15,bond!B:R,17,FALSE),SEARCH(" ",VLOOKUP(B15,bond!B:R,17,FALSE),1)))</f>
        <v>200000</v>
      </c>
      <c r="O15" s="136">
        <f ca="1">VALUE(RIGHT(VLOOKUP(B15,bond!B:R,17,FALSE),LEN(VLOOKUP(B15,bond!B:R,17,FALSE))-LEN(N15)-3))</f>
        <v>1000</v>
      </c>
      <c r="P15" s="135" t="str">
        <f ca="1">VLOOKUP($B15,bond!$B:$AG,32,FALSE)</f>
        <v>2024/9/15</v>
      </c>
      <c r="Q15" s="135" t="str">
        <f ca="1">VLOOKUP($B15,bond!$B:$AH,33,FALSE)</f>
        <v>金融</v>
      </c>
      <c r="R15" s="135" t="str">
        <f ca="1">VLOOKUP(B15,bond!B:AA,26,FALSE)</f>
        <v>桑坦德集團控股(英國)</v>
      </c>
      <c r="S15" s="135" t="str">
        <f ca="1">VLOOKUP(B15,bond!B:AI,34,FALSE)</f>
        <v>SANUK</v>
      </c>
      <c r="T15" s="135" t="str">
        <f t="shared" ca="1" si="0"/>
        <v>桑坦德集團控股(英國)/SANUK</v>
      </c>
      <c r="U15" s="207" t="str">
        <f ca="1">IFERROR(VLOOKUP(T15,Bond_DES!D:E,2,FALSE),VLOOKUP(S15,bond!AI:AJ,2,FALSE))</f>
        <v>桑坦德集團控股公開有限公司/英國(Santander UK Group Holdings PLC)為一家控股公司，透過旗下子公司經營大型零售及商業銀行業務。其母公司西班牙國際銀行(Banco Santander)名列2023年度《銀行家》全球1000大銀行第20位，西班牙第一大行。</v>
      </c>
      <c r="V15" s="136" t="str">
        <f ca="1">IFERROR(VLOOKUP(B15,'1_重設數據'!L:M,2,FALSE),IF(Q15="政府",IF(AD15&gt;16,"(NPI)非專投",IF(AD15&gt;10,"(PI)專投","高資產")),IF(VLOOKUP(B15,bond!B:AN,39,FALSE)="Y","(PI)專投",IF(AD15&gt;=15,"(NPI)非專投",IF(AD15&gt;=10,"(PI)專投","高資產")))))</f>
        <v>(PI)專投</v>
      </c>
      <c r="W15" s="136" t="str">
        <f ca="1">VLOOKUP(AD15,'credit rating'!$F$2:$H$22,3,FALSE)</f>
        <v>BBB+</v>
      </c>
      <c r="X15" s="136" t="str">
        <f t="shared" ca="1" si="1"/>
        <v>Baa2</v>
      </c>
      <c r="Y15" s="136" t="str">
        <f t="shared" ca="1" si="2"/>
        <v>BB+</v>
      </c>
      <c r="Z15" s="136" t="str">
        <f t="shared" ca="1" si="3"/>
        <v>BBB+</v>
      </c>
      <c r="AA15" s="134">
        <f ca="1">IFERROR(VLOOKUP(X15,'credit rating'!A:C,3,FALSE),0)</f>
        <v>13</v>
      </c>
      <c r="AB15" s="134">
        <f ca="1">IFERROR(VLOOKUP(Y15,'credit rating'!B:C,2,FALSE),0)</f>
        <v>11</v>
      </c>
      <c r="AC15" s="136">
        <f ca="1">IFERROR(VLOOKUP(Z15,'credit rating'!B:C,2,FALSE),0)</f>
        <v>14</v>
      </c>
      <c r="AD15" s="136">
        <f t="shared" ca="1" si="4"/>
        <v>14</v>
      </c>
      <c r="AE15" s="249" t="str">
        <f ca="1">IFERROR(VLOOKUP(B15,bond!B:U,20,FALSE),"")</f>
        <v xml:space="preserve"> </v>
      </c>
      <c r="AF15" s="136" t="str">
        <f ca="1">IF(VLOOKUP(B15,bond!B:AK,36,FALSE)="#N/A Field Not Applicable","",VLOOKUP(B15,bond!B:AK,36,FALSE))</f>
        <v/>
      </c>
      <c r="AG15" s="136" t="str">
        <f ca="1">IF(VLOOKUP(B15,bond!B:AL,37,FALSE)="FIXED","固定",IF(VLOOKUP(B15,bond!B:AL,37,FALSE)="FLOATING","浮動",IF(VLOOKUP(B15,bond!B:AL,37,FALSE)="VARIABLE","變動",IF(VLOOKUP(B15,bond!B:AL,37,FALSE)="FLAT TRADING","不含息交易",IF(VLOOKUP(B15,bond!B:AL,37,FALSE)="ZERO COUPON","零息",VLOOKUP(B15,bond!B:AL,37,FALSE))))))</f>
        <v>固定</v>
      </c>
      <c r="AH15" s="136" t="str">
        <f>VLOOKUP(C15,'2_Check_code'!I:J,2,FALSE)</f>
        <v>美元(USD)</v>
      </c>
      <c r="AI15" s="136" t="str">
        <f t="shared" ca="1" si="5"/>
        <v>自由選清單</v>
      </c>
      <c r="AJ15" s="136">
        <f t="shared" ca="1" si="6"/>
        <v>0</v>
      </c>
      <c r="AK15" s="594" t="str">
        <f ca="1">IF(VLOOKUP(B15,bond!B:S,18,FALSE)="是","有",IF(VLOOKUP(B15,bond!B:S,18,FALSE)="NO OFFER","無","需查詢"))</f>
        <v>需查詢</v>
      </c>
      <c r="AL15" s="136" t="str">
        <f>IF(VLOOKUP(A15,bond!F:AR,39,FALSE)="#N/A Field Not Applicable",VLOOKUP(A15,bond!F:AR,38,FALSE),IFERROR(VLOOKUP(A15,'7_發行日例外'!A:B,2,FALSE),VLOOKUP(A15,bond!F:AR,39,FALSE)))</f>
        <v>2015/9/15</v>
      </c>
      <c r="AM15" s="136" t="str">
        <f ca="1">VLOOKUP(B15,bond!B:AK,36,FALSE)</f>
        <v>#N/A Field Not Applicable</v>
      </c>
      <c r="AN15" s="136" t="str">
        <f ca="1">IFERROR(VLOOKUP(B15,'3_是否下架'!A:A,1,FALSE),"")</f>
        <v>OAZ20</v>
      </c>
      <c r="AO15" s="136">
        <f ca="1">VLOOKUP(B15,bond!B:J,9,FALSE)</f>
        <v>84.16</v>
      </c>
      <c r="AP15" s="136">
        <f ca="1">VLOOKUP(B15,bond!B:V,21,FALSE)</f>
        <v>11.256500000000001</v>
      </c>
    </row>
    <row r="16" spans="1:42">
      <c r="A16" s="141" t="str">
        <f>bond!F17</f>
        <v>XS0082826255</v>
      </c>
      <c r="B16" s="151" t="str">
        <f ca="1">IF($C$1=TRUE,bond!B17,"")</f>
        <v>XFE90</v>
      </c>
      <c r="C16" s="95" t="str">
        <f>VLOOKUP(A16,bond!F:G,2,FALSE)</f>
        <v>ZAR</v>
      </c>
      <c r="D16" s="142" t="str">
        <f ca="1">VLOOKUP(B16,bond!B:C,2,FALSE)</f>
        <v>歐洲復興開發銀行南非幣零息債券 0% 2028/12/29</v>
      </c>
      <c r="E16" s="95" t="str">
        <f ca="1">VLOOKUP(B16,bond!B:D,3,FALSE)</f>
        <v>Aaau / AAA / AAA</v>
      </c>
      <c r="F16" s="99" t="str">
        <f ca="1">VLOOKUP(B16,bond!B:AB,27,FALSE)</f>
        <v>2028/12/29</v>
      </c>
      <c r="G16" s="90">
        <f ca="1">VLOOKUP(B16,bond!B:E,4,FALSE)</f>
        <v>4.49</v>
      </c>
      <c r="H16" s="202">
        <f ca="1">VLOOKUP(B16,bond!B:Y,24,FALSE)</f>
        <v>0</v>
      </c>
      <c r="I16" s="95">
        <f ca="1">VLOOKUP(B16,bond!B:Z,25,FALSE)</f>
        <v>0</v>
      </c>
      <c r="J16" s="180">
        <f ca="1">VLOOKUP(B16,bond!B:K,10,FALSE)</f>
        <v>0</v>
      </c>
      <c r="K16" s="96">
        <f ca="1">VLOOKUP($B16,bond!B:S,14,FALSE)</f>
        <v>72.069999999999993</v>
      </c>
      <c r="L16" s="91" t="str">
        <f ca="1">VLOOKUP(B16,bond!B:H,7,FALSE)</f>
        <v>2024/7/3</v>
      </c>
      <c r="M16" s="144">
        <f ca="1">VLOOKUP($B16,bond!$B:$Q,16,FALSE)</f>
        <v>7.5700000000000003E-2</v>
      </c>
      <c r="N16" s="136">
        <f ca="1">VALUE(LEFT(VLOOKUP(B16,bond!B:R,17,FALSE),SEARCH(" ",VLOOKUP(B16,bond!B:R,17,FALSE),1)))</f>
        <v>100000</v>
      </c>
      <c r="O16" s="136">
        <f ca="1">VALUE(RIGHT(VLOOKUP(B16,bond!B:R,17,FALSE),LEN(VLOOKUP(B16,bond!B:R,17,FALSE))-LEN(N16)-3))</f>
        <v>50000</v>
      </c>
      <c r="P16" s="135" t="str">
        <f ca="1">VLOOKUP($B16,bond!$B:$AG,32,FALSE)</f>
        <v>#N/A Field Not Applicable</v>
      </c>
      <c r="Q16" s="135" t="str">
        <f ca="1">VLOOKUP($B16,bond!$B:$AH,33,FALSE)</f>
        <v>政府</v>
      </c>
      <c r="R16" s="135" t="str">
        <f ca="1">VLOOKUP(B16,bond!B:AA,26,FALSE)</f>
        <v>歐洲復興開發銀行</v>
      </c>
      <c r="S16" s="135" t="str">
        <f ca="1">VLOOKUP(B16,bond!B:AI,34,FALSE)</f>
        <v>EBRD</v>
      </c>
      <c r="T16" s="135" t="str">
        <f t="shared" ca="1" si="0"/>
        <v>歐洲復興開發銀行/EBRD</v>
      </c>
      <c r="U16" s="207" t="str">
        <f ca="1">IFERROR(VLOOKUP(T16,Bond_DES!D:E,2,FALSE),VLOOKUP(S16,bond!AI:AJ,2,FALSE))</f>
        <v>歐洲復興開發銀行(European Bank for Reconstruction and Development)是歐洲最重要的多邊開發銀行(MDBs)之一，主要目標之一乃支持微中小型企業(MSMES)的發展，並成為以綠色銀行為主的跨國際組織。由橫跨五大洲的69個國家及2個國際組織(歐盟及歐洲投資銀行)共同擁有，獲信評機構賦予AAA最高信用評等。</v>
      </c>
      <c r="V16" s="136" t="str">
        <f ca="1">IFERROR(VLOOKUP(B16,'1_重設數據'!L:M,2,FALSE),IF(Q16="政府",IF(AD16&gt;16,"(NPI)非專投",IF(AD16&gt;10,"(PI)專投","高資產")),IF(VLOOKUP(B16,bond!B:AN,39,FALSE)="Y","(PI)專投",IF(AD16&gt;=15,"(NPI)非專投",IF(AD16&gt;=10,"(PI)專投","高資產")))))</f>
        <v>(NPI)非專投</v>
      </c>
      <c r="W16" s="136" t="str">
        <f ca="1">VLOOKUP(AD16,'credit rating'!$F$2:$H$22,3,FALSE)</f>
        <v>AAA</v>
      </c>
      <c r="X16" s="136" t="str">
        <f t="shared" ca="1" si="1"/>
        <v>Aaau</v>
      </c>
      <c r="Y16" s="136" t="str">
        <f t="shared" ca="1" si="2"/>
        <v>AAA</v>
      </c>
      <c r="Z16" s="136" t="str">
        <f t="shared" ca="1" si="3"/>
        <v>AAA</v>
      </c>
      <c r="AA16" s="134">
        <f ca="1">IFERROR(VLOOKUP(X16,'credit rating'!A:C,3,FALSE),0)</f>
        <v>21</v>
      </c>
      <c r="AB16" s="134">
        <f ca="1">IFERROR(VLOOKUP(Y16,'credit rating'!B:C,2,FALSE),0)</f>
        <v>21</v>
      </c>
      <c r="AC16" s="136">
        <f ca="1">IFERROR(VLOOKUP(Z16,'credit rating'!B:C,2,FALSE),0)</f>
        <v>21</v>
      </c>
      <c r="AD16" s="136">
        <f t="shared" ca="1" si="4"/>
        <v>21</v>
      </c>
      <c r="AE16" s="249" t="str">
        <f ca="1">IFERROR(VLOOKUP(B16,bond!B:U,20,FALSE),"")</f>
        <v xml:space="preserve"> </v>
      </c>
      <c r="AF16" s="136" t="str">
        <f ca="1">IF(VLOOKUP(B16,bond!B:AK,36,FALSE)="#N/A Field Not Applicable","",VLOOKUP(B16,bond!B:AK,36,FALSE))</f>
        <v/>
      </c>
      <c r="AG16" s="136" t="str">
        <f ca="1">IF(VLOOKUP(B16,bond!B:AL,37,FALSE)="FIXED","固定",IF(VLOOKUP(B16,bond!B:AL,37,FALSE)="FLOATING","浮動",IF(VLOOKUP(B16,bond!B:AL,37,FALSE)="VARIABLE","變動",IF(VLOOKUP(B16,bond!B:AL,37,FALSE)="FLAT TRADING","不含息交易",IF(VLOOKUP(B16,bond!B:AL,37,FALSE)="ZERO COUPON","零息",VLOOKUP(B16,bond!B:AL,37,FALSE))))))</f>
        <v>零息</v>
      </c>
      <c r="AH16" s="136" t="str">
        <f>VLOOKUP(C16,'2_Check_code'!I:J,2,FALSE)</f>
        <v>南非幣(ZAR)</v>
      </c>
      <c r="AI16" s="136" t="str">
        <f t="shared" ca="1" si="5"/>
        <v/>
      </c>
      <c r="AJ16" s="136">
        <f t="shared" ca="1" si="6"/>
        <v>1</v>
      </c>
      <c r="AK16" s="594" t="str">
        <f ca="1">IF(VLOOKUP(B16,bond!B:S,18,FALSE)="是","有",IF(VLOOKUP(B16,bond!B:S,18,FALSE)="NO OFFER","無","需查詢"))</f>
        <v>無</v>
      </c>
      <c r="AL16" s="136" t="str">
        <f>IF(VLOOKUP(A16,bond!F:AR,39,FALSE)="#N/A Field Not Applicable",VLOOKUP(A16,bond!F:AR,38,FALSE),IFERROR(VLOOKUP(A16,'7_發行日例外'!A:B,2,FALSE),VLOOKUP(A16,bond!F:AR,39,FALSE)))</f>
        <v>1998/1/5</v>
      </c>
      <c r="AM16" s="136" t="str">
        <f ca="1">VLOOKUP(B16,bond!B:AK,36,FALSE)</f>
        <v>#N/A Field Not Applicable</v>
      </c>
      <c r="AN16" s="136" t="str">
        <f ca="1">IFERROR(VLOOKUP(B16,'3_是否下架'!A:A,1,FALSE),"")</f>
        <v>XFE90</v>
      </c>
      <c r="AO16" s="136">
        <f ca="1">VLOOKUP(B16,bond!B:J,9,FALSE)</f>
        <v>70.070000000000007</v>
      </c>
      <c r="AP16" s="136">
        <f ca="1">VLOOKUP(B16,bond!B:V,21,FALSE)</f>
        <v>4.3151999999999999</v>
      </c>
    </row>
    <row r="17" spans="1:42">
      <c r="A17" s="141" t="str">
        <f>bond!F18</f>
        <v>US056752AG38</v>
      </c>
      <c r="B17" s="151" t="str">
        <f ca="1">IF($C$1=TRUE,bond!B18,"")</f>
        <v>XFF40</v>
      </c>
      <c r="C17" s="95" t="str">
        <f>VLOOKUP(A17,bond!F:G,2,FALSE)</f>
        <v>USD</v>
      </c>
      <c r="D17" s="142" t="str">
        <f ca="1">VLOOKUP(B17,bond!B:C,2,FALSE)</f>
        <v>百度公司美元配息債券 4.125% 2025/6/30</v>
      </c>
      <c r="E17" s="95" t="str">
        <f ca="1">VLOOKUP(B17,bond!B:D,3,FALSE)</f>
        <v>A3 / - / A</v>
      </c>
      <c r="F17" s="99" t="str">
        <f ca="1">VLOOKUP(B17,bond!B:AB,27,FALSE)</f>
        <v>2025/6/30</v>
      </c>
      <c r="G17" s="90">
        <f ca="1">VLOOKUP(B17,bond!B:E,4,FALSE)</f>
        <v>0.99</v>
      </c>
      <c r="H17" s="202">
        <f ca="1">VLOOKUP(B17,bond!B:Y,24,FALSE)</f>
        <v>4.1250000000000002E-2</v>
      </c>
      <c r="I17" s="95">
        <f ca="1">VLOOKUP(B17,bond!B:Z,25,FALSE)</f>
        <v>2</v>
      </c>
      <c r="J17" s="180">
        <f ca="1">VLOOKUP(B17,bond!B:K,10,FALSE)</f>
        <v>2.29E-2</v>
      </c>
      <c r="K17" s="96">
        <f ca="1">VLOOKUP($B17,bond!B:S,14,FALSE)</f>
        <v>100.07</v>
      </c>
      <c r="L17" s="91" t="str">
        <f ca="1">VLOOKUP(B17,bond!B:H,7,FALSE)</f>
        <v>2024/7/2</v>
      </c>
      <c r="M17" s="144">
        <f ca="1">VLOOKUP($B17,bond!$B:$Q,16,FALSE)</f>
        <v>4.07E-2</v>
      </c>
      <c r="N17" s="136">
        <f ca="1">VALUE(LEFT(VLOOKUP(B17,bond!B:R,17,FALSE),SEARCH(" ",VLOOKUP(B17,bond!B:R,17,FALSE),1)))</f>
        <v>200000</v>
      </c>
      <c r="O17" s="136">
        <f ca="1">VALUE(RIGHT(VLOOKUP(B17,bond!B:R,17,FALSE),LEN(VLOOKUP(B17,bond!B:R,17,FALSE))-LEN(N17)-3))</f>
        <v>1000</v>
      </c>
      <c r="P17" s="135" t="str">
        <f ca="1">VLOOKUP($B17,bond!$B:$AG,32,FALSE)</f>
        <v>2024/12/30</v>
      </c>
      <c r="Q17" s="135" t="str">
        <f ca="1">VLOOKUP($B17,bond!$B:$AH,33,FALSE)</f>
        <v>通訊</v>
      </c>
      <c r="R17" s="135" t="str">
        <f ca="1">VLOOKUP(B17,bond!B:AA,26,FALSE)</f>
        <v>百度集團股份有限公司</v>
      </c>
      <c r="S17" s="135" t="str">
        <f ca="1">VLOOKUP(B17,bond!B:AI,34,FALSE)</f>
        <v>BIDU</v>
      </c>
      <c r="T17" s="135" t="str">
        <f t="shared" ca="1" si="0"/>
        <v>百度集團股份有限公司/BIDU</v>
      </c>
      <c r="U17" s="207" t="str">
        <f ca="1">IFERROR(VLOOKUP(T17,Bond_DES!D:E,2,FALSE),VLOOKUP(S17,bond!AI:AJ,2,FALSE))</f>
        <v>百度股份有限公司(Baidu Inc.)是一家經營網路搜尋引擎的公司。該公司提供演算法搜索、企業搜索、新聞、MP3，以及影像搜索、語音輔助、網路儲存，以及導航服務。百度服務全球的客戶。</v>
      </c>
      <c r="V17" s="136" t="str">
        <f ca="1">IFERROR(VLOOKUP(B17,'1_重設數據'!L:M,2,FALSE),IF(Q17="政府",IF(AD17&gt;16,"(NPI)非專投",IF(AD17&gt;10,"(PI)專投","高資產")),IF(VLOOKUP(B17,bond!B:AN,39,FALSE)="Y","(PI)專投",IF(AD17&gt;=15,"(NPI)非專投",IF(AD17&gt;=10,"(PI)專投","高資產")))))</f>
        <v>(NPI)非專投</v>
      </c>
      <c r="W17" s="136" t="str">
        <f ca="1">VLOOKUP(AD17,'credit rating'!$F$2:$H$22,3,FALSE)</f>
        <v>A</v>
      </c>
      <c r="X17" s="136" t="str">
        <f t="shared" ca="1" si="1"/>
        <v>A3</v>
      </c>
      <c r="Y17" s="136" t="str">
        <f t="shared" ca="1" si="2"/>
        <v>-</v>
      </c>
      <c r="Z17" s="136" t="str">
        <f t="shared" ca="1" si="3"/>
        <v>A</v>
      </c>
      <c r="AA17" s="134">
        <f ca="1">IFERROR(VLOOKUP(X17,'credit rating'!A:C,3,FALSE),0)</f>
        <v>15</v>
      </c>
      <c r="AB17" s="134">
        <f ca="1">IFERROR(VLOOKUP(Y17,'credit rating'!B:C,2,FALSE),0)</f>
        <v>0</v>
      </c>
      <c r="AC17" s="136">
        <f ca="1">IFERROR(VLOOKUP(Z17,'credit rating'!B:C,2,FALSE),0)</f>
        <v>16</v>
      </c>
      <c r="AD17" s="136">
        <f t="shared" ca="1" si="4"/>
        <v>16</v>
      </c>
      <c r="AE17" s="249" t="str">
        <f ca="1">IFERROR(VLOOKUP(B17,bond!B:U,20,FALSE),"")</f>
        <v xml:space="preserve"> </v>
      </c>
      <c r="AF17" s="136" t="str">
        <f ca="1">IF(VLOOKUP(B17,bond!B:AK,36,FALSE)="#N/A Field Not Applicable","",VLOOKUP(B17,bond!B:AK,36,FALSE))</f>
        <v/>
      </c>
      <c r="AG17" s="136" t="str">
        <f ca="1">IF(VLOOKUP(B17,bond!B:AL,37,FALSE)="FIXED","固定",IF(VLOOKUP(B17,bond!B:AL,37,FALSE)="FLOATING","浮動",IF(VLOOKUP(B17,bond!B:AL,37,FALSE)="VARIABLE","變動",IF(VLOOKUP(B17,bond!B:AL,37,FALSE)="FLAT TRADING","不含息交易",IF(VLOOKUP(B17,bond!B:AL,37,FALSE)="ZERO COUPON","零息",VLOOKUP(B17,bond!B:AL,37,FALSE))))))</f>
        <v>固定</v>
      </c>
      <c r="AH17" s="136" t="str">
        <f>VLOOKUP(C17,'2_Check_code'!I:J,2,FALSE)</f>
        <v>美元(USD)</v>
      </c>
      <c r="AI17" s="136" t="str">
        <f t="shared" ca="1" si="5"/>
        <v>自由選清單</v>
      </c>
      <c r="AJ17" s="136">
        <f t="shared" ca="1" si="6"/>
        <v>0</v>
      </c>
      <c r="AK17" s="594" t="str">
        <f ca="1">IF(VLOOKUP(B17,bond!B:S,18,FALSE)="是","有",IF(VLOOKUP(B17,bond!B:S,18,FALSE)="NO OFFER","無","需查詢"))</f>
        <v>無</v>
      </c>
      <c r="AL17" s="136" t="str">
        <f>IF(VLOOKUP(A17,bond!F:AR,39,FALSE)="#N/A Field Not Applicable",VLOOKUP(A17,bond!F:AR,38,FALSE),IFERROR(VLOOKUP(A17,'7_發行日例外'!A:B,2,FALSE),VLOOKUP(A17,bond!F:AR,39,FALSE)))</f>
        <v>2015/6/30</v>
      </c>
      <c r="AM17" s="136" t="str">
        <f ca="1">VLOOKUP(B17,bond!B:AK,36,FALSE)</f>
        <v>#N/A Field Not Applicable</v>
      </c>
      <c r="AN17" s="136" t="str">
        <f ca="1">IFERROR(VLOOKUP(B17,'3_是否下架'!A:A,1,FALSE),"")</f>
        <v>XFF40</v>
      </c>
      <c r="AO17" s="136">
        <f ca="1">VLOOKUP(B17,bond!B:J,9,FALSE)</f>
        <v>99.050000000000011</v>
      </c>
      <c r="AP17" s="136">
        <f ca="1">VLOOKUP(B17,bond!B:V,21,FALSE)</f>
        <v>0.96120000000000005</v>
      </c>
    </row>
    <row r="18" spans="1:42">
      <c r="A18" s="141" t="str">
        <f>bond!F19</f>
        <v>US81180WAL54</v>
      </c>
      <c r="B18" s="151" t="str">
        <f ca="1">IF($C$1=TRUE,bond!B19,"")</f>
        <v>XFF50</v>
      </c>
      <c r="C18" s="95" t="str">
        <f>VLOOKUP(A18,bond!F:G,2,FALSE)</f>
        <v>USD</v>
      </c>
      <c r="D18" s="142" t="str">
        <f ca="1">VLOOKUP(B18,bond!B:C,2,FALSE)</f>
        <v>希捷硬碟美元配息債券 4.75% 2025/1/1</v>
      </c>
      <c r="E18" s="95" t="str">
        <f ca="1">VLOOKUP(B18,bond!B:D,3,FALSE)</f>
        <v>Ba3 / BB / BB+</v>
      </c>
      <c r="F18" s="99" t="str">
        <f ca="1">VLOOKUP(B18,bond!B:AB,27,FALSE)</f>
        <v>2025/1/1</v>
      </c>
      <c r="G18" s="90">
        <f ca="1">VLOOKUP(B18,bond!B:E,4,FALSE)</f>
        <v>0.5</v>
      </c>
      <c r="H18" s="202">
        <f ca="1">VLOOKUP(B18,bond!B:Y,24,FALSE)</f>
        <v>4.7500000000000001E-2</v>
      </c>
      <c r="I18" s="95">
        <f ca="1">VLOOKUP(B18,bond!B:Z,25,FALSE)</f>
        <v>2</v>
      </c>
      <c r="J18" s="180">
        <f ca="1">VLOOKUP(B18,bond!B:K,10,FALSE)</f>
        <v>1.32E-2</v>
      </c>
      <c r="K18" s="96">
        <f ca="1">VLOOKUP($B18,bond!B:S,14,FALSE)</f>
        <v>101.77</v>
      </c>
      <c r="L18" s="91" t="str">
        <f ca="1">VLOOKUP(B18,bond!B:H,7,FALSE)</f>
        <v>2024/7/2</v>
      </c>
      <c r="M18" s="144">
        <f ca="1">VLOOKUP($B18,bond!$B:$Q,16,FALSE)</f>
        <v>1.1900000000000001E-2</v>
      </c>
      <c r="N18" s="136">
        <f ca="1">VALUE(LEFT(VLOOKUP(B18,bond!B:R,17,FALSE),SEARCH(" ",VLOOKUP(B18,bond!B:R,17,FALSE),1)))</f>
        <v>10000</v>
      </c>
      <c r="O18" s="136">
        <f ca="1">VALUE(RIGHT(VLOOKUP(B18,bond!B:R,17,FALSE),LEN(VLOOKUP(B18,bond!B:R,17,FALSE))-LEN(N18)-3))</f>
        <v>1000</v>
      </c>
      <c r="P18" s="135" t="str">
        <f ca="1">VLOOKUP($B18,bond!$B:$AG,32,FALSE)</f>
        <v>2025/1/1</v>
      </c>
      <c r="Q18" s="135" t="str">
        <f ca="1">VLOOKUP($B18,bond!$B:$AH,33,FALSE)</f>
        <v>科技</v>
      </c>
      <c r="R18" s="135" t="str">
        <f ca="1">VLOOKUP(B18,bond!B:AA,26,FALSE)</f>
        <v>希捷HDD開曼群島</v>
      </c>
      <c r="S18" s="135" t="str">
        <f ca="1">VLOOKUP(B18,bond!B:AI,34,FALSE)</f>
        <v>STX</v>
      </c>
      <c r="T18" s="135" t="str">
        <f t="shared" ca="1" si="0"/>
        <v>希捷HDD開曼群島/STX</v>
      </c>
      <c r="U18" s="207" t="str">
        <f ca="1">IFERROR(VLOOKUP(T18,Bond_DES!D:E,2,FALSE),VLOOKUP(S18,bond!AI:AJ,2,FALSE))</f>
        <v>希捷HDD開曼(Seagate HDD Cayman)為其母公司希捷科技為於開曼註冊成立的全資子公司，為母公司向全球資本市場進行籌資借款的媒介。母公司希捷科技為資料儲存解決方案的全球領導者之一，透過製造及銷售硬碟、固態硬碟及儲存系統行銷全球，並為全球前二大硬碟製造商。</v>
      </c>
      <c r="V18" s="136" t="str">
        <f ca="1">IFERROR(VLOOKUP(B18,'1_重設數據'!L:M,2,FALSE),IF(Q18="政府",IF(AD18&gt;16,"(NPI)非專投",IF(AD18&gt;10,"(PI)專投","高資產")),IF(VLOOKUP(B18,bond!B:AN,39,FALSE)="Y","(PI)專投",IF(AD18&gt;=15,"(NPI)非專投",IF(AD18&gt;=10,"(PI)專投","高資產")))))</f>
        <v>(PI)專投</v>
      </c>
      <c r="W18" s="136" t="str">
        <f ca="1">VLOOKUP(AD18,'credit rating'!$F$2:$H$22,3,FALSE)</f>
        <v>BB+</v>
      </c>
      <c r="X18" s="136" t="str">
        <f t="shared" ca="1" si="1"/>
        <v>Ba3</v>
      </c>
      <c r="Y18" s="136" t="str">
        <f t="shared" ca="1" si="2"/>
        <v>BB</v>
      </c>
      <c r="Z18" s="136" t="str">
        <f t="shared" ca="1" si="3"/>
        <v>BB+</v>
      </c>
      <c r="AA18" s="134">
        <f ca="1">IFERROR(VLOOKUP(X18,'credit rating'!A:C,3,FALSE),0)</f>
        <v>9</v>
      </c>
      <c r="AB18" s="134">
        <f ca="1">IFERROR(VLOOKUP(Y18,'credit rating'!B:C,2,FALSE),0)</f>
        <v>10</v>
      </c>
      <c r="AC18" s="136">
        <f ca="1">IFERROR(VLOOKUP(Z18,'credit rating'!B:C,2,FALSE),0)</f>
        <v>11</v>
      </c>
      <c r="AD18" s="136">
        <f t="shared" ca="1" si="4"/>
        <v>11</v>
      </c>
      <c r="AE18" s="249" t="str">
        <f ca="1">IFERROR(VLOOKUP(B18,bond!B:U,20,FALSE),"")</f>
        <v xml:space="preserve"> </v>
      </c>
      <c r="AF18" s="136" t="str">
        <f ca="1">IF(VLOOKUP(B18,bond!B:AK,36,FALSE)="#N/A Field Not Applicable","",VLOOKUP(B18,bond!B:AK,36,FALSE))</f>
        <v/>
      </c>
      <c r="AG18" s="136" t="str">
        <f ca="1">IF(VLOOKUP(B18,bond!B:AL,37,FALSE)="FIXED","固定",IF(VLOOKUP(B18,bond!B:AL,37,FALSE)="FLOATING","浮動",IF(VLOOKUP(B18,bond!B:AL,37,FALSE)="VARIABLE","變動",IF(VLOOKUP(B18,bond!B:AL,37,FALSE)="FLAT TRADING","不含息交易",IF(VLOOKUP(B18,bond!B:AL,37,FALSE)="ZERO COUPON","零息",VLOOKUP(B18,bond!B:AL,37,FALSE))))))</f>
        <v>固定</v>
      </c>
      <c r="AH18" s="136" t="str">
        <f>VLOOKUP(C18,'2_Check_code'!I:J,2,FALSE)</f>
        <v>美元(USD)</v>
      </c>
      <c r="AI18" s="136" t="str">
        <f t="shared" ca="1" si="5"/>
        <v>自由選清單</v>
      </c>
      <c r="AJ18" s="136">
        <f t="shared" ca="1" si="6"/>
        <v>0</v>
      </c>
      <c r="AK18" s="594" t="str">
        <f ca="1">IF(VLOOKUP(B18,bond!B:S,18,FALSE)="是","有",IF(VLOOKUP(B18,bond!B:S,18,FALSE)="NO OFFER","無","需查詢"))</f>
        <v>有</v>
      </c>
      <c r="AL18" s="136" t="str">
        <f>IF(VLOOKUP(A18,bond!F:AR,39,FALSE)="#N/A Field Not Applicable",VLOOKUP(A18,bond!F:AR,38,FALSE),IFERROR(VLOOKUP(A18,'7_發行日例外'!A:B,2,FALSE),VLOOKUP(A18,bond!F:AR,39,FALSE)))</f>
        <v>2014/5/28</v>
      </c>
      <c r="AM18" s="136" t="str">
        <f ca="1">VLOOKUP(B18,bond!B:AK,36,FALSE)</f>
        <v>#N/A Field Not Applicable</v>
      </c>
      <c r="AN18" s="136" t="str">
        <f ca="1">IFERROR(VLOOKUP(B18,'3_是否下架'!A:A,1,FALSE),"")</f>
        <v>XFF50</v>
      </c>
      <c r="AO18" s="136">
        <f ca="1">VLOOKUP(B18,bond!B:J,9,FALSE)</f>
        <v>99.76</v>
      </c>
      <c r="AP18" s="136">
        <f ca="1">VLOOKUP(B18,bond!B:V,21,FALSE)</f>
        <v>0.48780000000000001</v>
      </c>
    </row>
    <row r="19" spans="1:42">
      <c r="A19" s="141" t="str">
        <f>bond!F20</f>
        <v>US594918BS26</v>
      </c>
      <c r="B19" s="151" t="str">
        <f ca="1">IF($C$1=TRUE,bond!B20,"")</f>
        <v>XFF70</v>
      </c>
      <c r="C19" s="95" t="str">
        <f>VLOOKUP(A19,bond!F:G,2,FALSE)</f>
        <v>USD</v>
      </c>
      <c r="D19" s="142" t="str">
        <f ca="1">VLOOKUP(B19,bond!B:C,2,FALSE)</f>
        <v>微軟美元配息債券 3.45% 2036/8/8</v>
      </c>
      <c r="E19" s="95" t="str">
        <f ca="1">VLOOKUP(B19,bond!B:D,3,FALSE)</f>
        <v>Aaa / AAA / WD</v>
      </c>
      <c r="F19" s="99" t="str">
        <f ca="1">VLOOKUP(B19,bond!B:AB,27,FALSE)</f>
        <v>2036/8/8</v>
      </c>
      <c r="G19" s="90">
        <f ca="1">VLOOKUP(B19,bond!B:E,4,FALSE)</f>
        <v>12.1</v>
      </c>
      <c r="H19" s="202">
        <f ca="1">VLOOKUP(B19,bond!B:Y,24,FALSE)</f>
        <v>3.4500000000000003E-2</v>
      </c>
      <c r="I19" s="95">
        <f ca="1">VLOOKUP(B19,bond!B:Z,25,FALSE)</f>
        <v>2</v>
      </c>
      <c r="J19" s="180">
        <f ca="1">VLOOKUP(B19,bond!B:K,10,FALSE)</f>
        <v>1.38</v>
      </c>
      <c r="K19" s="96">
        <f ca="1">VLOOKUP($B19,bond!B:S,14,FALSE)</f>
        <v>91.72</v>
      </c>
      <c r="L19" s="91" t="str">
        <f ca="1">VLOOKUP(B19,bond!B:H,7,FALSE)</f>
        <v>2024/7/2</v>
      </c>
      <c r="M19" s="144">
        <f ca="1">VLOOKUP($B19,bond!$B:$Q,16,FALSE)</f>
        <v>4.4900000000000002E-2</v>
      </c>
      <c r="N19" s="136">
        <f ca="1">VALUE(LEFT(VLOOKUP(B19,bond!B:R,17,FALSE),SEARCH(" ",VLOOKUP(B19,bond!B:R,17,FALSE),1)))</f>
        <v>10000</v>
      </c>
      <c r="O19" s="136">
        <f ca="1">VALUE(RIGHT(VLOOKUP(B19,bond!B:R,17,FALSE),LEN(VLOOKUP(B19,bond!B:R,17,FALSE))-LEN(N19)-3))</f>
        <v>1000</v>
      </c>
      <c r="P19" s="135" t="str">
        <f ca="1">VLOOKUP($B19,bond!$B:$AG,32,FALSE)</f>
        <v>2024/8/8</v>
      </c>
      <c r="Q19" s="135" t="str">
        <f ca="1">VLOOKUP($B19,bond!$B:$AH,33,FALSE)</f>
        <v>科技</v>
      </c>
      <c r="R19" s="135" t="str">
        <f ca="1">VLOOKUP(B19,bond!B:AA,26,FALSE)</f>
        <v>微軟</v>
      </c>
      <c r="S19" s="135" t="str">
        <f ca="1">VLOOKUP(B19,bond!B:AI,34,FALSE)</f>
        <v>MSFT</v>
      </c>
      <c r="T19" s="135" t="str">
        <f t="shared" ca="1" si="0"/>
        <v>微軟/MSFT</v>
      </c>
      <c r="U19" s="207" t="str">
        <f ca="1">IFERROR(VLOOKUP(T19,Bond_DES!D:E,2,FALSE),VLOOKUP(S19,bond!AI:AJ,2,FALSE))</f>
        <v>微軟(Microsoft Corp)是全球軟體霸主，擁有Windows作業系統、Xbox遊戲、LinkedIn、Office系列與雲端運算等多項產品，近年來雲端服務Azure漸成營收主要成長引擎，於全球雲基礎設施服務供應商市佔第2(僅次於亞馬遜)； 2023年10月完成併購動視暴雪讓微軟擠身遊戲巨頭之列。</v>
      </c>
      <c r="V19" s="136" t="str">
        <f ca="1">IFERROR(VLOOKUP(B19,'1_重設數據'!L:M,2,FALSE),IF(Q19="政府",IF(AD19&gt;16,"(NPI)非專投",IF(AD19&gt;10,"(PI)專投","高資產")),IF(VLOOKUP(B19,bond!B:AN,39,FALSE)="Y","(PI)專投",IF(AD19&gt;=15,"(NPI)非專投",IF(AD19&gt;=10,"(PI)專投","高資產")))))</f>
        <v>(NPI)非專投</v>
      </c>
      <c r="W19" s="136" t="str">
        <f ca="1">VLOOKUP(AD19,'credit rating'!$F$2:$H$22,3,FALSE)</f>
        <v>AAA</v>
      </c>
      <c r="X19" s="136" t="str">
        <f t="shared" ca="1" si="1"/>
        <v>Aaa</v>
      </c>
      <c r="Y19" s="136" t="str">
        <f t="shared" ca="1" si="2"/>
        <v>AAA</v>
      </c>
      <c r="Z19" s="136" t="str">
        <f t="shared" ca="1" si="3"/>
        <v>WD</v>
      </c>
      <c r="AA19" s="134">
        <f ca="1">IFERROR(VLOOKUP(X19,'credit rating'!A:C,3,FALSE),0)</f>
        <v>21</v>
      </c>
      <c r="AB19" s="134">
        <f ca="1">IFERROR(VLOOKUP(Y19,'credit rating'!B:C,2,FALSE),0)</f>
        <v>21</v>
      </c>
      <c r="AC19" s="136">
        <f ca="1">IFERROR(VLOOKUP(Z19,'credit rating'!B:C,2,FALSE),0)</f>
        <v>0</v>
      </c>
      <c r="AD19" s="136">
        <f t="shared" ca="1" si="4"/>
        <v>21</v>
      </c>
      <c r="AE19" s="249">
        <f ca="1">IFERROR(VLOOKUP(B19,bond!B:U,20,FALSE),"")</f>
        <v>4.53E-2</v>
      </c>
      <c r="AF19" s="136" t="str">
        <f ca="1">IF(VLOOKUP(B19,bond!B:AK,36,FALSE)="#N/A Field Not Applicable","",VLOOKUP(B19,bond!B:AK,36,FALSE))</f>
        <v>2036/2/8</v>
      </c>
      <c r="AG19" s="136" t="str">
        <f ca="1">IF(VLOOKUP(B19,bond!B:AL,37,FALSE)="FIXED","固定",IF(VLOOKUP(B19,bond!B:AL,37,FALSE)="FLOATING","浮動",IF(VLOOKUP(B19,bond!B:AL,37,FALSE)="VARIABLE","變動",IF(VLOOKUP(B19,bond!B:AL,37,FALSE)="FLAT TRADING","不含息交易",IF(VLOOKUP(B19,bond!B:AL,37,FALSE)="ZERO COUPON","零息",VLOOKUP(B19,bond!B:AL,37,FALSE))))))</f>
        <v>固定</v>
      </c>
      <c r="AH19" s="136" t="str">
        <f>VLOOKUP(C19,'2_Check_code'!I:J,2,FALSE)</f>
        <v>美元(USD)</v>
      </c>
      <c r="AI19" s="136" t="str">
        <f t="shared" ca="1" si="5"/>
        <v>自由選清單</v>
      </c>
      <c r="AJ19" s="136">
        <f t="shared" ca="1" si="6"/>
        <v>0</v>
      </c>
      <c r="AK19" s="594" t="str">
        <f ca="1">IF(VLOOKUP(B19,bond!B:S,18,FALSE)="是","有",IF(VLOOKUP(B19,bond!B:S,18,FALSE)="NO OFFER","無","需查詢"))</f>
        <v>有</v>
      </c>
      <c r="AL19" s="136" t="str">
        <f>IF(VLOOKUP(A19,bond!F:AR,39,FALSE)="#N/A Field Not Applicable",VLOOKUP(A19,bond!F:AR,38,FALSE),IFERROR(VLOOKUP(A19,'7_發行日例外'!A:B,2,FALSE),VLOOKUP(A19,bond!F:AR,39,FALSE)))</f>
        <v>2016/8/8</v>
      </c>
      <c r="AM19" s="136" t="str">
        <f ca="1">VLOOKUP(B19,bond!B:AK,36,FALSE)</f>
        <v>2036/2/8</v>
      </c>
      <c r="AN19" s="136" t="str">
        <f ca="1">IFERROR(VLOOKUP(B19,'3_是否下架'!A:A,1,FALSE),"")</f>
        <v/>
      </c>
      <c r="AO19" s="136">
        <f ca="1">VLOOKUP(B19,bond!B:J,9,FALSE)</f>
        <v>87.84</v>
      </c>
      <c r="AP19" s="136">
        <f ca="1">VLOOKUP(B19,bond!B:V,21,FALSE)</f>
        <v>9.4621999999999993</v>
      </c>
    </row>
    <row r="20" spans="1:42">
      <c r="A20" s="141" t="str">
        <f>bond!F21</f>
        <v>US037833BZ29</v>
      </c>
      <c r="B20" s="151" t="str">
        <f ca="1">IF($C$1=TRUE,bond!B21,"")</f>
        <v>XFF80</v>
      </c>
      <c r="C20" s="95" t="str">
        <f>VLOOKUP(A20,bond!F:G,2,FALSE)</f>
        <v>USD</v>
      </c>
      <c r="D20" s="142" t="str">
        <f ca="1">VLOOKUP(B20,bond!B:C,2,FALSE)</f>
        <v>蘋果公司美元配息債券 2.45% 2026/8/4</v>
      </c>
      <c r="E20" s="95" t="str">
        <f ca="1">VLOOKUP(B20,bond!B:D,3,FALSE)</f>
        <v>Aaa / AA+ / -</v>
      </c>
      <c r="F20" s="99" t="str">
        <f ca="1">VLOOKUP(B20,bond!B:AB,27,FALSE)</f>
        <v>2026/8/4</v>
      </c>
      <c r="G20" s="90">
        <f ca="1">VLOOKUP(B20,bond!B:E,4,FALSE)</f>
        <v>2.09</v>
      </c>
      <c r="H20" s="202">
        <f ca="1">VLOOKUP(B20,bond!B:Y,24,FALSE)</f>
        <v>2.4500000000000001E-2</v>
      </c>
      <c r="I20" s="95">
        <f ca="1">VLOOKUP(B20,bond!B:Z,25,FALSE)</f>
        <v>2</v>
      </c>
      <c r="J20" s="180">
        <f ca="1">VLOOKUP(B20,bond!B:K,10,FALSE)</f>
        <v>1.0072000000000001</v>
      </c>
      <c r="K20" s="96">
        <f ca="1">VLOOKUP($B20,bond!B:S,14,FALSE)</f>
        <v>97.25</v>
      </c>
      <c r="L20" s="91" t="str">
        <f ca="1">VLOOKUP(B20,bond!B:H,7,FALSE)</f>
        <v>2024/7/2</v>
      </c>
      <c r="M20" s="144">
        <f ca="1">VLOOKUP($B20,bond!$B:$Q,16,FALSE)</f>
        <v>4.3499999999999997E-2</v>
      </c>
      <c r="N20" s="136">
        <f ca="1">VALUE(LEFT(VLOOKUP(B20,bond!B:R,17,FALSE),SEARCH(" ",VLOOKUP(B20,bond!B:R,17,FALSE),1)))</f>
        <v>10000</v>
      </c>
      <c r="O20" s="136">
        <f ca="1">VALUE(RIGHT(VLOOKUP(B20,bond!B:R,17,FALSE),LEN(VLOOKUP(B20,bond!B:R,17,FALSE))-LEN(N20)-3))</f>
        <v>1000</v>
      </c>
      <c r="P20" s="135" t="str">
        <f ca="1">VLOOKUP($B20,bond!$B:$AG,32,FALSE)</f>
        <v>2024/8/4</v>
      </c>
      <c r="Q20" s="135" t="str">
        <f ca="1">VLOOKUP($B20,bond!$B:$AH,33,FALSE)</f>
        <v>科技</v>
      </c>
      <c r="R20" s="135" t="str">
        <f ca="1">VLOOKUP(B20,bond!B:AA,26,FALSE)</f>
        <v>蘋果公司</v>
      </c>
      <c r="S20" s="135" t="str">
        <f ca="1">VLOOKUP(B20,bond!B:AI,34,FALSE)</f>
        <v>AAPL</v>
      </c>
      <c r="T20" s="135" t="str">
        <f t="shared" ca="1" si="0"/>
        <v>蘋果公司/AAPL</v>
      </c>
      <c r="U20" s="207" t="str">
        <f ca="1">IFERROR(VLOOKUP(T20,Bond_DES!D:E,2,FALSE),VLOOKUP(S20,bond!AI:AJ,2,FALSE))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0" s="136" t="str">
        <f ca="1">IFERROR(VLOOKUP(B20,'1_重設數據'!L:M,2,FALSE),IF(Q20="政府",IF(AD20&gt;16,"(NPI)非專投",IF(AD20&gt;10,"(PI)專投","高資產")),IF(VLOOKUP(B20,bond!B:AN,39,FALSE)="Y","(PI)專投",IF(AD20&gt;=15,"(NPI)非專投",IF(AD20&gt;=10,"(PI)專投","高資產")))))</f>
        <v>(NPI)非專投</v>
      </c>
      <c r="W20" s="136" t="str">
        <f ca="1">VLOOKUP(AD20,'credit rating'!$F$2:$H$22,3,FALSE)</f>
        <v>AAA</v>
      </c>
      <c r="X20" s="136" t="str">
        <f t="shared" ca="1" si="1"/>
        <v>Aaa</v>
      </c>
      <c r="Y20" s="136" t="str">
        <f t="shared" ca="1" si="2"/>
        <v>AA+</v>
      </c>
      <c r="Z20" s="136" t="str">
        <f t="shared" ca="1" si="3"/>
        <v>-</v>
      </c>
      <c r="AA20" s="134">
        <f ca="1">IFERROR(VLOOKUP(X20,'credit rating'!A:C,3,FALSE),0)</f>
        <v>21</v>
      </c>
      <c r="AB20" s="134">
        <f ca="1">IFERROR(VLOOKUP(Y20,'credit rating'!B:C,2,FALSE),0)</f>
        <v>20</v>
      </c>
      <c r="AC20" s="136">
        <f ca="1">IFERROR(VLOOKUP(Z20,'credit rating'!B:C,2,FALSE),0)</f>
        <v>0</v>
      </c>
      <c r="AD20" s="136">
        <f t="shared" ca="1" si="4"/>
        <v>21</v>
      </c>
      <c r="AE20" s="249">
        <f ca="1">IFERROR(VLOOKUP(B20,bond!B:U,20,FALSE),"")</f>
        <v>4.6100000000000002E-2</v>
      </c>
      <c r="AF20" s="136" t="str">
        <f ca="1">IF(VLOOKUP(B20,bond!B:AK,36,FALSE)="#N/A Field Not Applicable","",VLOOKUP(B20,bond!B:AK,36,FALSE))</f>
        <v>2026/5/4</v>
      </c>
      <c r="AG20" s="136" t="str">
        <f ca="1">IF(VLOOKUP(B20,bond!B:AL,37,FALSE)="FIXED","固定",IF(VLOOKUP(B20,bond!B:AL,37,FALSE)="FLOATING","浮動",IF(VLOOKUP(B20,bond!B:AL,37,FALSE)="VARIABLE","變動",IF(VLOOKUP(B20,bond!B:AL,37,FALSE)="FLAT TRADING","不含息交易",IF(VLOOKUP(B20,bond!B:AL,37,FALSE)="ZERO COUPON","零息",VLOOKUP(B20,bond!B:AL,37,FALSE))))))</f>
        <v>固定</v>
      </c>
      <c r="AH20" s="136" t="str">
        <f>VLOOKUP(C20,'2_Check_code'!I:J,2,FALSE)</f>
        <v>美元(USD)</v>
      </c>
      <c r="AI20" s="136" t="str">
        <f t="shared" ca="1" si="5"/>
        <v>自由選清單</v>
      </c>
      <c r="AJ20" s="136">
        <f t="shared" ca="1" si="6"/>
        <v>0</v>
      </c>
      <c r="AK20" s="594" t="str">
        <f ca="1">IF(VLOOKUP(B20,bond!B:S,18,FALSE)="是","有",IF(VLOOKUP(B20,bond!B:S,18,FALSE)="NO OFFER","無","需查詢"))</f>
        <v>有</v>
      </c>
      <c r="AL20" s="136" t="str">
        <f>IF(VLOOKUP(A20,bond!F:AR,39,FALSE)="#N/A Field Not Applicable",VLOOKUP(A20,bond!F:AR,38,FALSE),IFERROR(VLOOKUP(A20,'7_發行日例外'!A:B,2,FALSE),VLOOKUP(A20,bond!F:AR,39,FALSE)))</f>
        <v>2016/8/4</v>
      </c>
      <c r="AM20" s="136" t="str">
        <f ca="1">VLOOKUP(B20,bond!B:AK,36,FALSE)</f>
        <v>2026/5/4</v>
      </c>
      <c r="AN20" s="136" t="str">
        <f ca="1">IFERROR(VLOOKUP(B20,'3_是否下架'!A:A,1,FALSE),"")</f>
        <v/>
      </c>
      <c r="AO20" s="136">
        <f ca="1">VLOOKUP(B20,bond!B:J,9,FALSE)</f>
        <v>95.440000000000012</v>
      </c>
      <c r="AP20" s="136">
        <f ca="1">VLOOKUP(B20,bond!B:V,21,FALSE)</f>
        <v>1.9805999999999999</v>
      </c>
    </row>
    <row r="21" spans="1:42">
      <c r="A21" s="141" t="str">
        <f>bond!F22</f>
        <v>US037833AL42</v>
      </c>
      <c r="B21" s="151" t="str">
        <f ca="1">IF($C$1=TRUE,bond!B22,"")</f>
        <v>XFF90</v>
      </c>
      <c r="C21" s="95" t="str">
        <f>VLOOKUP(A21,bond!F:G,2,FALSE)</f>
        <v>USD</v>
      </c>
      <c r="D21" s="142" t="str">
        <f ca="1">VLOOKUP(B21,bond!B:C,2,FALSE)</f>
        <v>蘋果公司美元配息債券 3.85% 2043/5/4</v>
      </c>
      <c r="E21" s="95" t="str">
        <f ca="1">VLOOKUP(B21,bond!B:D,3,FALSE)</f>
        <v>Aaa / AA+ / -</v>
      </c>
      <c r="F21" s="99" t="str">
        <f ca="1">VLOOKUP(B21,bond!B:AB,27,FALSE)</f>
        <v>2043/5/4</v>
      </c>
      <c r="G21" s="90">
        <f ca="1">VLOOKUP(B21,bond!B:E,4,FALSE)</f>
        <v>18.84</v>
      </c>
      <c r="H21" s="202">
        <f ca="1">VLOOKUP(B21,bond!B:Y,24,FALSE)</f>
        <v>3.85E-2</v>
      </c>
      <c r="I21" s="95">
        <f ca="1">VLOOKUP(B21,bond!B:Z,25,FALSE)</f>
        <v>2</v>
      </c>
      <c r="J21" s="180">
        <f ca="1">VLOOKUP(B21,bond!B:K,10,FALSE)</f>
        <v>0.62029999999999996</v>
      </c>
      <c r="K21" s="96">
        <f ca="1">VLOOKUP($B21,bond!B:S,14,FALSE)</f>
        <v>88.03</v>
      </c>
      <c r="L21" s="91" t="str">
        <f ca="1">VLOOKUP(B21,bond!B:H,7,FALSE)</f>
        <v>2024/7/2</v>
      </c>
      <c r="M21" s="144">
        <f ca="1">VLOOKUP($B21,bond!$B:$Q,16,FALSE)</f>
        <v>4.8800000000000003E-2</v>
      </c>
      <c r="N21" s="136">
        <f ca="1">VALUE(LEFT(VLOOKUP(B21,bond!B:R,17,FALSE),SEARCH(" ",VLOOKUP(B21,bond!B:R,17,FALSE),1)))</f>
        <v>10000</v>
      </c>
      <c r="O21" s="136">
        <f ca="1">VALUE(RIGHT(VLOOKUP(B21,bond!B:R,17,FALSE),LEN(VLOOKUP(B21,bond!B:R,17,FALSE))-LEN(N21)-3))</f>
        <v>1000</v>
      </c>
      <c r="P21" s="135" t="str">
        <f ca="1">VLOOKUP($B21,bond!$B:$AG,32,FALSE)</f>
        <v>2024/11/4</v>
      </c>
      <c r="Q21" s="135" t="str">
        <f ca="1">VLOOKUP($B21,bond!$B:$AH,33,FALSE)</f>
        <v>科技</v>
      </c>
      <c r="R21" s="135" t="str">
        <f ca="1">VLOOKUP(B21,bond!B:AA,26,FALSE)</f>
        <v>蘋果公司</v>
      </c>
      <c r="S21" s="135" t="str">
        <f ca="1">VLOOKUP(B21,bond!B:AI,34,FALSE)</f>
        <v>AAPL</v>
      </c>
      <c r="T21" s="135" t="str">
        <f t="shared" ca="1" si="0"/>
        <v>蘋果公司/AAPL</v>
      </c>
      <c r="U21" s="207" t="str">
        <f ca="1">IFERROR(VLOOKUP(T21,Bond_DES!D:E,2,FALSE),VLOOKUP(S21,bond!AI:AJ,2,FALSE))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1" s="136" t="str">
        <f ca="1">IFERROR(VLOOKUP(B21,'1_重設數據'!L:M,2,FALSE),IF(Q21="政府",IF(AD21&gt;16,"(NPI)非專投",IF(AD21&gt;10,"(PI)專投","高資產")),IF(VLOOKUP(B21,bond!B:AN,39,FALSE)="Y","(PI)專投",IF(AD21&gt;=15,"(NPI)非專投",IF(AD21&gt;=10,"(PI)專投","高資產")))))</f>
        <v>(NPI)非專投</v>
      </c>
      <c r="W21" s="136" t="str">
        <f ca="1">VLOOKUP(AD21,'credit rating'!$F$2:$H$22,3,FALSE)</f>
        <v>AAA</v>
      </c>
      <c r="X21" s="136" t="str">
        <f t="shared" ca="1" si="1"/>
        <v>Aaa</v>
      </c>
      <c r="Y21" s="136" t="str">
        <f t="shared" ca="1" si="2"/>
        <v>AA+</v>
      </c>
      <c r="Z21" s="136" t="str">
        <f t="shared" ca="1" si="3"/>
        <v>-</v>
      </c>
      <c r="AA21" s="134">
        <f ca="1">IFERROR(VLOOKUP(X21,'credit rating'!A:C,3,FALSE),0)</f>
        <v>21</v>
      </c>
      <c r="AB21" s="134">
        <f ca="1">IFERROR(VLOOKUP(Y21,'credit rating'!B:C,2,FALSE),0)</f>
        <v>20</v>
      </c>
      <c r="AC21" s="136">
        <f ca="1">IFERROR(VLOOKUP(Z21,'credit rating'!B:C,2,FALSE),0)</f>
        <v>0</v>
      </c>
      <c r="AD21" s="136">
        <f t="shared" ca="1" si="4"/>
        <v>21</v>
      </c>
      <c r="AE21" s="249" t="str">
        <f ca="1">IFERROR(VLOOKUP(B21,bond!B:U,20,FALSE),"")</f>
        <v xml:space="preserve"> </v>
      </c>
      <c r="AF21" s="136" t="str">
        <f ca="1">IF(VLOOKUP(B21,bond!B:AK,36,FALSE)="#N/A Field Not Applicable","",VLOOKUP(B21,bond!B:AK,36,FALSE))</f>
        <v/>
      </c>
      <c r="AG21" s="136" t="str">
        <f ca="1">IF(VLOOKUP(B21,bond!B:AL,37,FALSE)="FIXED","固定",IF(VLOOKUP(B21,bond!B:AL,37,FALSE)="FLOATING","浮動",IF(VLOOKUP(B21,bond!B:AL,37,FALSE)="VARIABLE","變動",IF(VLOOKUP(B21,bond!B:AL,37,FALSE)="FLAT TRADING","不含息交易",IF(VLOOKUP(B21,bond!B:AL,37,FALSE)="ZERO COUPON","零息",VLOOKUP(B21,bond!B:AL,37,FALSE))))))</f>
        <v>固定</v>
      </c>
      <c r="AH21" s="136" t="str">
        <f>VLOOKUP(C21,'2_Check_code'!I:J,2,FALSE)</f>
        <v>美元(USD)</v>
      </c>
      <c r="AI21" s="136" t="str">
        <f t="shared" ca="1" si="5"/>
        <v>自由選清單</v>
      </c>
      <c r="AJ21" s="136">
        <f t="shared" ca="1" si="6"/>
        <v>0</v>
      </c>
      <c r="AK21" s="594" t="str">
        <f ca="1">IF(VLOOKUP(B21,bond!B:S,18,FALSE)="是","有",IF(VLOOKUP(B21,bond!B:S,18,FALSE)="NO OFFER","無","需查詢"))</f>
        <v>有</v>
      </c>
      <c r="AL21" s="136" t="str">
        <f>IF(VLOOKUP(A21,bond!F:AR,39,FALSE)="#N/A Field Not Applicable",VLOOKUP(A21,bond!F:AR,38,FALSE),IFERROR(VLOOKUP(A21,'7_發行日例外'!A:B,2,FALSE),VLOOKUP(A21,bond!F:AR,39,FALSE)))</f>
        <v>2013/5/3</v>
      </c>
      <c r="AM21" s="136" t="str">
        <f ca="1">VLOOKUP(B21,bond!B:AK,36,FALSE)</f>
        <v>#N/A Field Not Applicable</v>
      </c>
      <c r="AN21" s="136" t="str">
        <f ca="1">IFERROR(VLOOKUP(B21,'3_是否下架'!A:A,1,FALSE),"")</f>
        <v/>
      </c>
      <c r="AO21" s="136">
        <f ca="1">VLOOKUP(B21,bond!B:J,9,FALSE)</f>
        <v>84.410000000000011</v>
      </c>
      <c r="AP21" s="136">
        <f ca="1">VLOOKUP(B21,bond!B:V,21,FALSE)</f>
        <v>12.655799999999999</v>
      </c>
    </row>
    <row r="22" spans="1:42">
      <c r="A22" s="141" t="str">
        <f>bond!F23</f>
        <v>US00206RCG56</v>
      </c>
      <c r="B22" s="151" t="str">
        <f ca="1">IF($C$1=TRUE,bond!B23,"")</f>
        <v>XFG10</v>
      </c>
      <c r="C22" s="95" t="str">
        <f>VLOOKUP(A22,bond!F:G,2,FALSE)</f>
        <v>USD</v>
      </c>
      <c r="D22" s="142" t="str">
        <f ca="1">VLOOKUP(B22,bond!B:C,2,FALSE)</f>
        <v>AT&amp;T公司美元配息債券 4.8% 2044/6/15</v>
      </c>
      <c r="E22" s="95" t="str">
        <f ca="1">VLOOKUP(B22,bond!B:D,3,FALSE)</f>
        <v>Baa2 / BBB / BBB+</v>
      </c>
      <c r="F22" s="99" t="str">
        <f ca="1">VLOOKUP(B22,bond!B:AB,27,FALSE)</f>
        <v>2044/6/15</v>
      </c>
      <c r="G22" s="90">
        <f ca="1">VLOOKUP(B22,bond!B:E,4,FALSE)</f>
        <v>19.95</v>
      </c>
      <c r="H22" s="202">
        <f ca="1">VLOOKUP(B22,bond!B:Y,24,FALSE)</f>
        <v>4.8000000000000001E-2</v>
      </c>
      <c r="I22" s="95">
        <f ca="1">VLOOKUP(B22,bond!B:Z,25,FALSE)</f>
        <v>2</v>
      </c>
      <c r="J22" s="180">
        <f ca="1">VLOOKUP(B22,bond!B:K,10,FALSE)</f>
        <v>0.22670000000000001</v>
      </c>
      <c r="K22" s="96">
        <f ca="1">VLOOKUP($B22,bond!B:S,14,FALSE)</f>
        <v>91.06</v>
      </c>
      <c r="L22" s="91" t="str">
        <f ca="1">VLOOKUP(B22,bond!B:H,7,FALSE)</f>
        <v>2024/7/2</v>
      </c>
      <c r="M22" s="144">
        <f ca="1">VLOOKUP($B22,bond!$B:$Q,16,FALSE)</f>
        <v>5.57E-2</v>
      </c>
      <c r="N22" s="136">
        <f ca="1">VALUE(LEFT(VLOOKUP(B22,bond!B:R,17,FALSE),SEARCH(" ",VLOOKUP(B22,bond!B:R,17,FALSE),1)))</f>
        <v>10000</v>
      </c>
      <c r="O22" s="136">
        <f ca="1">VALUE(RIGHT(VLOOKUP(B22,bond!B:R,17,FALSE),LEN(VLOOKUP(B22,bond!B:R,17,FALSE))-LEN(N22)-3))</f>
        <v>1000</v>
      </c>
      <c r="P22" s="135" t="str">
        <f ca="1">VLOOKUP($B22,bond!$B:$AG,32,FALSE)</f>
        <v>2024/12/15</v>
      </c>
      <c r="Q22" s="135" t="str">
        <f ca="1">VLOOKUP($B22,bond!$B:$AH,33,FALSE)</f>
        <v>通訊</v>
      </c>
      <c r="R22" s="135" t="str">
        <f ca="1">VLOOKUP(B22,bond!B:AA,26,FALSE)</f>
        <v>AT&amp;T公司</v>
      </c>
      <c r="S22" s="135" t="str">
        <f ca="1">VLOOKUP(B22,bond!B:AI,34,FALSE)</f>
        <v>T</v>
      </c>
      <c r="T22" s="135" t="str">
        <f t="shared" ca="1" si="0"/>
        <v>AT&amp;T公司/T</v>
      </c>
      <c r="U22" s="207" t="str">
        <f ca="1">IFERROR(VLOOKUP(T22,Bond_DES!D:E,2,FALSE),VLOOKUP(S22,bond!AI:AJ,2,FALSE))</f>
        <v>AT&amp;T公司(AT&amp;T Inc.)為美國三大電信巨頭之一，於全球電信品牌價值排名第3位(Brand Finance 2024)、美國電信業營收排名第2位(Fortune 2024)，5G網絡覆蓋美國逾3億人；為致力專注本業發展，已陸續於近年完成分拆全美最大衛星電視服務供應商DirecTV和華納媒體，徹底打造純通訊服務。</v>
      </c>
      <c r="V22" s="136" t="str">
        <f ca="1">IFERROR(VLOOKUP(B22,'1_重設數據'!L:M,2,FALSE),IF(Q22="政府",IF(AD22&gt;16,"(NPI)非專投",IF(AD22&gt;10,"(PI)專投","高資產")),IF(VLOOKUP(B22,bond!B:AN,39,FALSE)="Y","(PI)專投",IF(AD22&gt;=15,"(NPI)非專投",IF(AD22&gt;=10,"(PI)專投","高資產")))))</f>
        <v>(PI)專投</v>
      </c>
      <c r="W22" s="136" t="str">
        <f ca="1">VLOOKUP(AD22,'credit rating'!$F$2:$H$22,3,FALSE)</f>
        <v>BBB+</v>
      </c>
      <c r="X22" s="136" t="str">
        <f t="shared" ca="1" si="1"/>
        <v>Baa2</v>
      </c>
      <c r="Y22" s="136" t="str">
        <f t="shared" ca="1" si="2"/>
        <v>BBB</v>
      </c>
      <c r="Z22" s="136" t="str">
        <f t="shared" ca="1" si="3"/>
        <v>BBB+</v>
      </c>
      <c r="AA22" s="134">
        <f ca="1">IFERROR(VLOOKUP(X22,'credit rating'!A:C,3,FALSE),0)</f>
        <v>13</v>
      </c>
      <c r="AB22" s="134">
        <f ca="1">IFERROR(VLOOKUP(Y22,'credit rating'!B:C,2,FALSE),0)</f>
        <v>13</v>
      </c>
      <c r="AC22" s="136">
        <f ca="1">IFERROR(VLOOKUP(Z22,'credit rating'!B:C,2,FALSE),0)</f>
        <v>14</v>
      </c>
      <c r="AD22" s="136">
        <f t="shared" ca="1" si="4"/>
        <v>14</v>
      </c>
      <c r="AE22" s="249">
        <f ca="1">IFERROR(VLOOKUP(B22,bond!B:U,20,FALSE),"")</f>
        <v>5.5800000000000002E-2</v>
      </c>
      <c r="AF22" s="136" t="str">
        <f ca="1">IF(VLOOKUP(B22,bond!B:AK,36,FALSE)="#N/A Field Not Applicable","",VLOOKUP(B22,bond!B:AK,36,FALSE))</f>
        <v>2043/12/15</v>
      </c>
      <c r="AG22" s="136" t="str">
        <f ca="1">IF(VLOOKUP(B22,bond!B:AL,37,FALSE)="FIXED","固定",IF(VLOOKUP(B22,bond!B:AL,37,FALSE)="FLOATING","浮動",IF(VLOOKUP(B22,bond!B:AL,37,FALSE)="VARIABLE","變動",IF(VLOOKUP(B22,bond!B:AL,37,FALSE)="FLAT TRADING","不含息交易",IF(VLOOKUP(B22,bond!B:AL,37,FALSE)="ZERO COUPON","零息",VLOOKUP(B22,bond!B:AL,37,FALSE))))))</f>
        <v>固定</v>
      </c>
      <c r="AH22" s="136" t="str">
        <f>VLOOKUP(C22,'2_Check_code'!I:J,2,FALSE)</f>
        <v>美元(USD)</v>
      </c>
      <c r="AI22" s="136" t="str">
        <f t="shared" ca="1" si="5"/>
        <v>自由選清單</v>
      </c>
      <c r="AJ22" s="136">
        <f t="shared" ca="1" si="6"/>
        <v>0</v>
      </c>
      <c r="AK22" s="594" t="str">
        <f ca="1">IF(VLOOKUP(B22,bond!B:S,18,FALSE)="是","有",IF(VLOOKUP(B22,bond!B:S,18,FALSE)="NO OFFER","無","需查詢"))</f>
        <v>需查詢</v>
      </c>
      <c r="AL22" s="136" t="str">
        <f>IF(VLOOKUP(A22,bond!F:AR,39,FALSE)="#N/A Field Not Applicable",VLOOKUP(A22,bond!F:AR,38,FALSE),IFERROR(VLOOKUP(A22,'7_發行日例外'!A:B,2,FALSE),VLOOKUP(A22,bond!F:AR,39,FALSE)))</f>
        <v>2014/6/10</v>
      </c>
      <c r="AM22" s="136" t="str">
        <f ca="1">VLOOKUP(B22,bond!B:AK,36,FALSE)</f>
        <v>2043/12/15</v>
      </c>
      <c r="AN22" s="136" t="str">
        <f ca="1">IFERROR(VLOOKUP(B22,'3_是否下架'!A:A,1,FALSE),"")</f>
        <v/>
      </c>
      <c r="AO22" s="136">
        <f ca="1">VLOOKUP(B22,bond!B:J,9,FALSE)</f>
        <v>87.83</v>
      </c>
      <c r="AP22" s="136">
        <f ca="1">VLOOKUP(B22,bond!B:V,21,FALSE)</f>
        <v>12.202299999999999</v>
      </c>
    </row>
    <row r="23" spans="1:42">
      <c r="A23" s="141" t="str">
        <f>bond!F24</f>
        <v>US42824CAY57</v>
      </c>
      <c r="B23" s="151" t="str">
        <f ca="1">IF($C$1=TRUE,bond!B24,"")</f>
        <v>XFG70</v>
      </c>
      <c r="C23" s="95" t="str">
        <f>VLOOKUP(A23,bond!F:G,2,FALSE)</f>
        <v>USD</v>
      </c>
      <c r="D23" s="142" t="str">
        <f ca="1">VLOOKUP(B23,bond!B:C,2,FALSE)</f>
        <v>惠普企業公司美元配息債券  6.35% 2045/10/15</v>
      </c>
      <c r="E23" s="95" t="str">
        <f ca="1">VLOOKUP(B23,bond!B:D,3,FALSE)</f>
        <v>Baa2 / BBB / BBB+</v>
      </c>
      <c r="F23" s="99" t="str">
        <f ca="1">VLOOKUP(B23,bond!B:AB,27,FALSE)</f>
        <v>2045/10/15</v>
      </c>
      <c r="G23" s="90">
        <f ca="1">VLOOKUP(B23,bond!B:E,4,FALSE)</f>
        <v>21.29</v>
      </c>
      <c r="H23" s="202">
        <f ca="1">VLOOKUP(B23,bond!B:Y,24,FALSE)</f>
        <v>6.3500000000000001E-2</v>
      </c>
      <c r="I23" s="95">
        <f ca="1">VLOOKUP(B23,bond!B:Z,25,FALSE)</f>
        <v>2</v>
      </c>
      <c r="J23" s="180">
        <f ca="1">VLOOKUP(B23,bond!B:K,10,FALSE)</f>
        <v>1.3582000000000001</v>
      </c>
      <c r="K23" s="96">
        <f ca="1">VLOOKUP($B23,bond!B:S,14,FALSE)</f>
        <v>110.29</v>
      </c>
      <c r="L23" s="91" t="str">
        <f ca="1">VLOOKUP(B23,bond!B:H,7,FALSE)</f>
        <v>2024/7/2</v>
      </c>
      <c r="M23" s="144">
        <f ca="1">VLOOKUP($B23,bond!$B:$Q,16,FALSE)</f>
        <v>5.62E-2</v>
      </c>
      <c r="N23" s="136">
        <f ca="1">VALUE(LEFT(VLOOKUP(B23,bond!B:R,17,FALSE),SEARCH(" ",VLOOKUP(B23,bond!B:R,17,FALSE),1)))</f>
        <v>10000</v>
      </c>
      <c r="O23" s="136">
        <f ca="1">VALUE(RIGHT(VLOOKUP(B23,bond!B:R,17,FALSE),LEN(VLOOKUP(B23,bond!B:R,17,FALSE))-LEN(N23)-3))</f>
        <v>1000</v>
      </c>
      <c r="P23" s="135" t="str">
        <f ca="1">VLOOKUP($B23,bond!$B:$AG,32,FALSE)</f>
        <v>2024/10/15</v>
      </c>
      <c r="Q23" s="135" t="str">
        <f ca="1">VLOOKUP($B23,bond!$B:$AH,33,FALSE)</f>
        <v>科技</v>
      </c>
      <c r="R23" s="135" t="str">
        <f ca="1">VLOOKUP(B23,bond!B:AA,26,FALSE)</f>
        <v>慧與</v>
      </c>
      <c r="S23" s="135" t="str">
        <f ca="1">VLOOKUP(B23,bond!B:AI,34,FALSE)</f>
        <v>HPE</v>
      </c>
      <c r="T23" s="135" t="str">
        <f t="shared" ca="1" si="0"/>
        <v>慧與/HPE</v>
      </c>
      <c r="U23" s="207" t="str">
        <f ca="1">IFERROR(VLOOKUP(T23,Bond_DES!D:E,2,FALSE),VLOOKUP(S23,bond!AI:AJ,2,FALSE))</f>
        <v>慧與科技(Hewlett Packard Enterprise Company)為一家全球性的邊緣到雲端平台即服務公司，主要業務是為大型企業與中小型企業，針對雲端及伺服器等設備，為企業用戶提供電腦硬體製造與軟體服務。並於2024年《Fortune》美國500強公司中排名第147位。</v>
      </c>
      <c r="V23" s="136" t="str">
        <f ca="1">IFERROR(VLOOKUP(B23,'1_重設數據'!L:M,2,FALSE),IF(Q23="政府",IF(AD23&gt;16,"(NPI)非專投",IF(AD23&gt;10,"(PI)專投","高資產")),IF(VLOOKUP(B23,bond!B:AN,39,FALSE)="Y","(PI)專投",IF(AD23&gt;=15,"(NPI)非專投",IF(AD23&gt;=10,"(PI)專投","高資產")))))</f>
        <v>(PI)專投</v>
      </c>
      <c r="W23" s="136" t="str">
        <f ca="1">VLOOKUP(AD23,'credit rating'!$F$2:$H$22,3,FALSE)</f>
        <v>BBB+</v>
      </c>
      <c r="X23" s="136" t="str">
        <f t="shared" ca="1" si="1"/>
        <v>Baa2</v>
      </c>
      <c r="Y23" s="136" t="str">
        <f t="shared" ca="1" si="2"/>
        <v>BBB</v>
      </c>
      <c r="Z23" s="136" t="str">
        <f t="shared" ca="1" si="3"/>
        <v>BBB+</v>
      </c>
      <c r="AA23" s="134">
        <f ca="1">IFERROR(VLOOKUP(X23,'credit rating'!A:C,3,FALSE),0)</f>
        <v>13</v>
      </c>
      <c r="AB23" s="134">
        <f ca="1">IFERROR(VLOOKUP(Y23,'credit rating'!B:C,2,FALSE),0)</f>
        <v>13</v>
      </c>
      <c r="AC23" s="136">
        <f ca="1">IFERROR(VLOOKUP(Z23,'credit rating'!B:C,2,FALSE),0)</f>
        <v>14</v>
      </c>
      <c r="AD23" s="136">
        <f t="shared" ca="1" si="4"/>
        <v>14</v>
      </c>
      <c r="AE23" s="249">
        <f ca="1">IFERROR(VLOOKUP(B23,bond!B:U,20,FALSE),"")</f>
        <v>5.62E-2</v>
      </c>
      <c r="AF23" s="136" t="str">
        <f ca="1">IF(VLOOKUP(B23,bond!B:AK,36,FALSE)="#N/A Field Not Applicable","",VLOOKUP(B23,bond!B:AK,36,FALSE))</f>
        <v>2045/4/15</v>
      </c>
      <c r="AG23" s="136" t="str">
        <f ca="1">IF(VLOOKUP(B23,bond!B:AL,37,FALSE)="FIXED","固定",IF(VLOOKUP(B23,bond!B:AL,37,FALSE)="FLOATING","浮動",IF(VLOOKUP(B23,bond!B:AL,37,FALSE)="VARIABLE","變動",IF(VLOOKUP(B23,bond!B:AL,37,FALSE)="FLAT TRADING","不含息交易",IF(VLOOKUP(B23,bond!B:AL,37,FALSE)="ZERO COUPON","零息",VLOOKUP(B23,bond!B:AL,37,FALSE))))))</f>
        <v>固定</v>
      </c>
      <c r="AH23" s="136" t="str">
        <f>VLOOKUP(C23,'2_Check_code'!I:J,2,FALSE)</f>
        <v>美元(USD)</v>
      </c>
      <c r="AI23" s="136" t="str">
        <f t="shared" ca="1" si="5"/>
        <v>自由選清單</v>
      </c>
      <c r="AJ23" s="136">
        <f t="shared" ca="1" si="6"/>
        <v>0</v>
      </c>
      <c r="AK23" s="594" t="str">
        <f ca="1">IF(VLOOKUP(B23,bond!B:S,18,FALSE)="是","有",IF(VLOOKUP(B23,bond!B:S,18,FALSE)="NO OFFER","無","需查詢"))</f>
        <v>有</v>
      </c>
      <c r="AL23" s="136" t="str">
        <f>IF(VLOOKUP(A23,bond!F:AR,39,FALSE)="#N/A Field Not Applicable",VLOOKUP(A23,bond!F:AR,38,FALSE),IFERROR(VLOOKUP(A23,'7_發行日例外'!A:B,2,FALSE),VLOOKUP(A23,bond!F:AR,39,FALSE)))</f>
        <v>2016/10/15</v>
      </c>
      <c r="AM23" s="136" t="str">
        <f ca="1">VLOOKUP(B23,bond!B:AK,36,FALSE)</f>
        <v>2045/4/15</v>
      </c>
      <c r="AN23" s="136" t="str">
        <f ca="1">IFERROR(VLOOKUP(B23,'3_是否下架'!A:A,1,FALSE),"")</f>
        <v/>
      </c>
      <c r="AO23" s="136">
        <f ca="1">VLOOKUP(B23,bond!B:J,9,FALSE)</f>
        <v>105.93</v>
      </c>
      <c r="AP23" s="136">
        <f ca="1">VLOOKUP(B23,bond!B:V,21,FALSE)</f>
        <v>11.6347</v>
      </c>
    </row>
    <row r="24" spans="1:42">
      <c r="A24" s="141" t="str">
        <f>bond!F25</f>
        <v>US38141GCU67</v>
      </c>
      <c r="B24" s="151" t="str">
        <f ca="1">IF($C$1=TRUE,bond!B25,"")</f>
        <v>XFG80</v>
      </c>
      <c r="C24" s="95" t="str">
        <f>VLOOKUP(A24,bond!F:G,2,FALSE)</f>
        <v>USD</v>
      </c>
      <c r="D24" s="142" t="str">
        <f ca="1">VLOOKUP(B24,bond!B:C,2,FALSE)</f>
        <v>高盛集團美元配息債券 6.125% 2033/2/15</v>
      </c>
      <c r="E24" s="95" t="str">
        <f ca="1">VLOOKUP(B24,bond!B:D,3,FALSE)</f>
        <v>A2 / BBB+ / A</v>
      </c>
      <c r="F24" s="99" t="str">
        <f ca="1">VLOOKUP(B24,bond!B:AB,27,FALSE)</f>
        <v>2033/2/15</v>
      </c>
      <c r="G24" s="90">
        <f ca="1">VLOOKUP(B24,bond!B:E,4,FALSE)</f>
        <v>8.6199999999999992</v>
      </c>
      <c r="H24" s="202">
        <f ca="1">VLOOKUP(B24,bond!B:Y,24,FALSE)</f>
        <v>6.1249999999999999E-2</v>
      </c>
      <c r="I24" s="95">
        <f ca="1">VLOOKUP(B24,bond!B:Z,25,FALSE)</f>
        <v>2</v>
      </c>
      <c r="J24" s="180">
        <f ca="1">VLOOKUP(B24,bond!B:K,10,FALSE)</f>
        <v>2.3309000000000002</v>
      </c>
      <c r="K24" s="96">
        <f ca="1">VLOOKUP($B24,bond!B:S,14,FALSE)</f>
        <v>111.41</v>
      </c>
      <c r="L24" s="91" t="str">
        <f ca="1">VLOOKUP(B24,bond!B:H,7,FALSE)</f>
        <v>2024/7/2</v>
      </c>
      <c r="M24" s="144">
        <f ca="1">VLOOKUP($B24,bond!$B:$Q,16,FALSE)</f>
        <v>4.82E-2</v>
      </c>
      <c r="N24" s="136">
        <f ca="1">VALUE(LEFT(VLOOKUP(B24,bond!B:R,17,FALSE),SEARCH(" ",VLOOKUP(B24,bond!B:R,17,FALSE),1)))</f>
        <v>10000</v>
      </c>
      <c r="O24" s="136">
        <f ca="1">VALUE(RIGHT(VLOOKUP(B24,bond!B:R,17,FALSE),LEN(VLOOKUP(B24,bond!B:R,17,FALSE))-LEN(N24)-3))</f>
        <v>1000</v>
      </c>
      <c r="P24" s="135" t="str">
        <f ca="1">VLOOKUP($B24,bond!$B:$AG,32,FALSE)</f>
        <v>2024/8/15</v>
      </c>
      <c r="Q24" s="135" t="str">
        <f ca="1">VLOOKUP($B24,bond!$B:$AH,33,FALSE)</f>
        <v>金融</v>
      </c>
      <c r="R24" s="135" t="str">
        <f ca="1">VLOOKUP(B24,bond!B:AA,26,FALSE)</f>
        <v>高盛集團</v>
      </c>
      <c r="S24" s="135" t="str">
        <f ca="1">VLOOKUP(B24,bond!B:AI,34,FALSE)</f>
        <v>GS</v>
      </c>
      <c r="T24" s="135" t="str">
        <f t="shared" ca="1" si="0"/>
        <v>高盛集團/GS</v>
      </c>
      <c r="U24" s="207" t="str">
        <f ca="1">IFERROR(VLOOKUP(T24,Bond_DES!D:E,2,FALSE),VLOOKUP(S24,bond!AI:AJ,2,FALSE))</f>
        <v>高盛集團(Goldman Sachs Group)為全世界歷史最悠久、規模最大的投資銀行之一，其宣佈並完成之併購交易量及交易金額皆排行全球第一，股票及股權相關發行業務亦排名全球第一，名列2023年《The Banker》全球第16大銀行與美國第5大銀行地位。</v>
      </c>
      <c r="V24" s="136" t="str">
        <f ca="1">IFERROR(VLOOKUP(B24,'1_重設數據'!L:M,2,FALSE),IF(Q24="政府",IF(AD24&gt;16,"(NPI)非專投",IF(AD24&gt;10,"(PI)專投","高資產")),IF(VLOOKUP(B24,bond!B:AN,39,FALSE)="Y","(PI)專投",IF(AD24&gt;=15,"(NPI)非專投",IF(AD24&gt;=10,"(PI)專投","高資產")))))</f>
        <v>(PI)專投</v>
      </c>
      <c r="W24" s="136" t="str">
        <f ca="1">VLOOKUP(AD24,'credit rating'!$F$2:$H$22,3,FALSE)</f>
        <v>A</v>
      </c>
      <c r="X24" s="136" t="str">
        <f t="shared" ca="1" si="1"/>
        <v>A2</v>
      </c>
      <c r="Y24" s="136" t="str">
        <f t="shared" ca="1" si="2"/>
        <v>BBB+</v>
      </c>
      <c r="Z24" s="136" t="str">
        <f t="shared" ca="1" si="3"/>
        <v>A</v>
      </c>
      <c r="AA24" s="134">
        <f ca="1">IFERROR(VLOOKUP(X24,'credit rating'!A:C,3,FALSE),0)</f>
        <v>16</v>
      </c>
      <c r="AB24" s="134">
        <f ca="1">IFERROR(VLOOKUP(Y24,'credit rating'!B:C,2,FALSE),0)</f>
        <v>14</v>
      </c>
      <c r="AC24" s="136">
        <f ca="1">IFERROR(VLOOKUP(Z24,'credit rating'!B:C,2,FALSE),0)</f>
        <v>16</v>
      </c>
      <c r="AD24" s="136">
        <f t="shared" ca="1" si="4"/>
        <v>16</v>
      </c>
      <c r="AE24" s="249" t="str">
        <f ca="1">IFERROR(VLOOKUP(B24,bond!B:U,20,FALSE),"")</f>
        <v xml:space="preserve"> </v>
      </c>
      <c r="AF24" s="136" t="str">
        <f ca="1">IF(VLOOKUP(B24,bond!B:AK,36,FALSE)="#N/A Field Not Applicable","",VLOOKUP(B24,bond!B:AK,36,FALSE))</f>
        <v/>
      </c>
      <c r="AG24" s="136" t="str">
        <f ca="1">IF(VLOOKUP(B24,bond!B:AL,37,FALSE)="FIXED","固定",IF(VLOOKUP(B24,bond!B:AL,37,FALSE)="FLOATING","浮動",IF(VLOOKUP(B24,bond!B:AL,37,FALSE)="VARIABLE","變動",IF(VLOOKUP(B24,bond!B:AL,37,FALSE)="FLAT TRADING","不含息交易",IF(VLOOKUP(B24,bond!B:AL,37,FALSE)="ZERO COUPON","零息",VLOOKUP(B24,bond!B:AL,37,FALSE))))))</f>
        <v>固定</v>
      </c>
      <c r="AH24" s="136" t="str">
        <f>VLOOKUP(C24,'2_Check_code'!I:J,2,FALSE)</f>
        <v>美元(USD)</v>
      </c>
      <c r="AI24" s="136" t="str">
        <f t="shared" ca="1" si="5"/>
        <v>自由選清單</v>
      </c>
      <c r="AJ24" s="136">
        <f t="shared" ca="1" si="6"/>
        <v>0</v>
      </c>
      <c r="AK24" s="594" t="str">
        <f ca="1">IF(VLOOKUP(B24,bond!B:S,18,FALSE)="是","有",IF(VLOOKUP(B24,bond!B:S,18,FALSE)="NO OFFER","無","需查詢"))</f>
        <v>有</v>
      </c>
      <c r="AL24" s="136" t="str">
        <f>IF(VLOOKUP(A24,bond!F:AR,39,FALSE)="#N/A Field Not Applicable",VLOOKUP(A24,bond!F:AR,38,FALSE),IFERROR(VLOOKUP(A24,'7_發行日例外'!A:B,2,FALSE),VLOOKUP(A24,bond!F:AR,39,FALSE)))</f>
        <v>2003/2/13</v>
      </c>
      <c r="AM24" s="136" t="str">
        <f ca="1">VLOOKUP(B24,bond!B:AK,36,FALSE)</f>
        <v>#N/A Field Not Applicable</v>
      </c>
      <c r="AN24" s="136" t="str">
        <f ca="1">IFERROR(VLOOKUP(B24,'3_是否下架'!A:A,1,FALSE),"")</f>
        <v/>
      </c>
      <c r="AO24" s="136">
        <f ca="1">VLOOKUP(B24,bond!B:J,9,FALSE)</f>
        <v>106.58</v>
      </c>
      <c r="AP24" s="136">
        <f ca="1">VLOOKUP(B24,bond!B:V,21,FALSE)</f>
        <v>6.5862999999999996</v>
      </c>
    </row>
    <row r="25" spans="1:42">
      <c r="A25" s="141" t="str">
        <f>bond!F26</f>
        <v>XS0085517661</v>
      </c>
      <c r="B25" s="151" t="str">
        <f ca="1">IF($C$1=TRUE,bond!B26,"")</f>
        <v>XFI10</v>
      </c>
      <c r="C25" s="95" t="str">
        <f>VLOOKUP(A25,bond!F:G,2,FALSE)</f>
        <v>ZAR</v>
      </c>
      <c r="D25" s="142" t="str">
        <f ca="1">VLOOKUP(B25,bond!B:C,2,FALSE)</f>
        <v>荷蘭市鎮銀行南非幣零息債券 0% 2025/12/31</v>
      </c>
      <c r="E25" s="95" t="str">
        <f ca="1">VLOOKUP(B25,bond!B:D,3,FALSE)</f>
        <v>Aaa / AAA / AAA</v>
      </c>
      <c r="F25" s="99" t="str">
        <f ca="1">VLOOKUP(B25,bond!B:AB,27,FALSE)</f>
        <v>2025/12/31</v>
      </c>
      <c r="G25" s="90">
        <f ca="1">VLOOKUP(B25,bond!B:E,4,FALSE)</f>
        <v>1.49</v>
      </c>
      <c r="H25" s="202">
        <f ca="1">VLOOKUP(B25,bond!B:Y,24,FALSE)</f>
        <v>0</v>
      </c>
      <c r="I25" s="95">
        <f ca="1">VLOOKUP(B25,bond!B:Z,25,FALSE)</f>
        <v>0</v>
      </c>
      <c r="J25" s="180">
        <f ca="1">VLOOKUP(B25,bond!B:K,10,FALSE)</f>
        <v>0</v>
      </c>
      <c r="K25" s="96">
        <f ca="1">VLOOKUP($B25,bond!B:S,14,FALSE)</f>
        <v>90.58</v>
      </c>
      <c r="L25" s="91" t="str">
        <f ca="1">VLOOKUP(B25,bond!B:H,7,FALSE)</f>
        <v>2024/7/3</v>
      </c>
      <c r="M25" s="144">
        <f ca="1">VLOOKUP($B25,bond!$B:$Q,16,FALSE)</f>
        <v>6.8599999999999994E-2</v>
      </c>
      <c r="N25" s="136">
        <f ca="1">VALUE(LEFT(VLOOKUP(B25,bond!B:R,17,FALSE),SEARCH(" ",VLOOKUP(B25,bond!B:R,17,FALSE),1)))</f>
        <v>100000</v>
      </c>
      <c r="O25" s="136">
        <f ca="1">VALUE(RIGHT(VLOOKUP(B25,bond!B:R,17,FALSE),LEN(VLOOKUP(B25,bond!B:R,17,FALSE))-LEN(N25)-3))</f>
        <v>5000</v>
      </c>
      <c r="P25" s="135" t="str">
        <f ca="1">VLOOKUP($B25,bond!$B:$AG,32,FALSE)</f>
        <v>#N/A Field Not Applicable</v>
      </c>
      <c r="Q25" s="135" t="str">
        <f ca="1">VLOOKUP($B25,bond!$B:$AH,33,FALSE)</f>
        <v>政府</v>
      </c>
      <c r="R25" s="135" t="str">
        <f ca="1">VLOOKUP(B25,bond!B:AA,26,FALSE)</f>
        <v>荷蘭市政銀行公眾有限公司</v>
      </c>
      <c r="S25" s="135" t="str">
        <f ca="1">VLOOKUP(B25,bond!B:AI,34,FALSE)</f>
        <v>BNG</v>
      </c>
      <c r="T25" s="135" t="str">
        <f t="shared" ca="1" si="0"/>
        <v>荷蘭市政銀行公眾有限公司/BNG</v>
      </c>
      <c r="U25" s="207" t="str">
        <f ca="1">IFERROR(VLOOKUP(T25,Bond_DES!D:E,2,FALSE),VLOOKUP(S25,bond!AI:AJ,2,FALSE))</f>
        <v>荷蘭市政銀行公眾有限公司(BNG Bank N.V.)提供銀行服務。該公司提供的金融服務包括：貸款、借貸、資金轉帳、顧問與諮詢服務、電子銀行，以及投資基金。荷蘭市政銀行服務荷蘭的客戶。</v>
      </c>
      <c r="V25" s="136" t="str">
        <f ca="1">IFERROR(VLOOKUP(B25,'1_重設數據'!L:M,2,FALSE),IF(Q25="政府",IF(AD25&gt;16,"(NPI)非專投",IF(AD25&gt;10,"(PI)專投","高資產")),IF(VLOOKUP(B25,bond!B:AN,39,FALSE)="Y","(PI)專投",IF(AD25&gt;=15,"(NPI)非專投",IF(AD25&gt;=10,"(PI)專投","高資產")))))</f>
        <v>(NPI)非專投</v>
      </c>
      <c r="W25" s="136" t="str">
        <f ca="1">VLOOKUP(AD25,'credit rating'!$F$2:$H$22,3,FALSE)</f>
        <v>AAA</v>
      </c>
      <c r="X25" s="136" t="str">
        <f t="shared" ca="1" si="1"/>
        <v>Aaa</v>
      </c>
      <c r="Y25" s="136" t="str">
        <f t="shared" ca="1" si="2"/>
        <v>AAA</v>
      </c>
      <c r="Z25" s="136" t="str">
        <f t="shared" ca="1" si="3"/>
        <v>AAA</v>
      </c>
      <c r="AA25" s="134">
        <f ca="1">IFERROR(VLOOKUP(X25,'credit rating'!A:C,3,FALSE),0)</f>
        <v>21</v>
      </c>
      <c r="AB25" s="134">
        <f ca="1">IFERROR(VLOOKUP(Y25,'credit rating'!B:C,2,FALSE),0)</f>
        <v>21</v>
      </c>
      <c r="AC25" s="136">
        <f ca="1">IFERROR(VLOOKUP(Z25,'credit rating'!B:C,2,FALSE),0)</f>
        <v>21</v>
      </c>
      <c r="AD25" s="136">
        <f t="shared" ca="1" si="4"/>
        <v>21</v>
      </c>
      <c r="AE25" s="249" t="str">
        <f ca="1">IFERROR(VLOOKUP(B25,bond!B:U,20,FALSE),"")</f>
        <v xml:space="preserve"> </v>
      </c>
      <c r="AF25" s="136" t="str">
        <f ca="1">IF(VLOOKUP(B25,bond!B:AK,36,FALSE)="#N/A Field Not Applicable","",VLOOKUP(B25,bond!B:AK,36,FALSE))</f>
        <v/>
      </c>
      <c r="AG25" s="136" t="str">
        <f ca="1">IF(VLOOKUP(B25,bond!B:AL,37,FALSE)="FIXED","固定",IF(VLOOKUP(B25,bond!B:AL,37,FALSE)="FLOATING","浮動",IF(VLOOKUP(B25,bond!B:AL,37,FALSE)="VARIABLE","變動",IF(VLOOKUP(B25,bond!B:AL,37,FALSE)="FLAT TRADING","不含息交易",IF(VLOOKUP(B25,bond!B:AL,37,FALSE)="ZERO COUPON","零息",VLOOKUP(B25,bond!B:AL,37,FALSE))))))</f>
        <v>零息</v>
      </c>
      <c r="AH25" s="136" t="str">
        <f>VLOOKUP(C25,'2_Check_code'!I:J,2,FALSE)</f>
        <v>南非幣(ZAR)</v>
      </c>
      <c r="AI25" s="136" t="str">
        <f t="shared" ca="1" si="5"/>
        <v/>
      </c>
      <c r="AJ25" s="136">
        <f t="shared" ca="1" si="6"/>
        <v>1</v>
      </c>
      <c r="AK25" s="594" t="str">
        <f ca="1">IF(VLOOKUP(B25,bond!B:S,18,FALSE)="是","有",IF(VLOOKUP(B25,bond!B:S,18,FALSE)="NO OFFER","無","需查詢"))</f>
        <v>無</v>
      </c>
      <c r="AL25" s="136" t="str">
        <f>IF(VLOOKUP(A25,bond!F:AR,39,FALSE)="#N/A Field Not Applicable",VLOOKUP(A25,bond!F:AR,38,FALSE),IFERROR(VLOOKUP(A25,'7_發行日例外'!A:B,2,FALSE),VLOOKUP(A25,bond!F:AR,39,FALSE)))</f>
        <v>1998/3/31</v>
      </c>
      <c r="AM25" s="136" t="str">
        <f ca="1">VLOOKUP(B25,bond!B:AK,36,FALSE)</f>
        <v>#N/A Field Not Applicable</v>
      </c>
      <c r="AN25" s="136" t="str">
        <f ca="1">IFERROR(VLOOKUP(B25,'3_是否下架'!A:A,1,FALSE),"")</f>
        <v>XFI10</v>
      </c>
      <c r="AO25" s="136">
        <f ca="1">VLOOKUP(B25,bond!B:J,9,FALSE)</f>
        <v>89.58</v>
      </c>
      <c r="AP25" s="136">
        <f ca="1">VLOOKUP(B25,bond!B:V,21,FALSE)</f>
        <v>1.3824000000000001</v>
      </c>
    </row>
    <row r="26" spans="1:42">
      <c r="A26" s="141" t="str">
        <f>bond!F27</f>
        <v>XS0078962809</v>
      </c>
      <c r="B26" s="151" t="str">
        <f ca="1">IF($C$1=TRUE,bond!B27,"")</f>
        <v>XFI60</v>
      </c>
      <c r="C26" s="95" t="str">
        <f>VLOOKUP(A26,bond!F:G,2,FALSE)</f>
        <v>ZAR</v>
      </c>
      <c r="D26" s="142" t="str">
        <f ca="1">VLOOKUP(B26,bond!B:C,2,FALSE)</f>
        <v>南非開發銀行南非幣零息債券 0% 2027/12/31</v>
      </c>
      <c r="E26" s="95" t="str">
        <f ca="1">VLOOKUP(B26,bond!B:D,3,FALSE)</f>
        <v>- / BB / -</v>
      </c>
      <c r="F26" s="99" t="str">
        <f ca="1">VLOOKUP(B26,bond!B:AB,27,FALSE)</f>
        <v>2027/12/31</v>
      </c>
      <c r="G26" s="90">
        <f ca="1">VLOOKUP(B26,bond!B:E,4,FALSE)</f>
        <v>3.49</v>
      </c>
      <c r="H26" s="202">
        <f ca="1">VLOOKUP(B26,bond!B:Y,24,FALSE)</f>
        <v>0</v>
      </c>
      <c r="I26" s="95">
        <f ca="1">VLOOKUP(B26,bond!B:Z,25,FALSE)</f>
        <v>0</v>
      </c>
      <c r="J26" s="180">
        <f ca="1">VLOOKUP(B26,bond!B:K,10,FALSE)</f>
        <v>0</v>
      </c>
      <c r="K26" s="96">
        <f ca="1">VLOOKUP($B26,bond!B:S,14,FALSE)</f>
        <v>72</v>
      </c>
      <c r="L26" s="91" t="str">
        <f ca="1">VLOOKUP(B26,bond!B:H,7,FALSE)</f>
        <v>2024/7/3</v>
      </c>
      <c r="M26" s="144">
        <f ca="1">VLOOKUP($B26,bond!$B:$Q,16,FALSE)</f>
        <v>9.8699999999999996E-2</v>
      </c>
      <c r="N26" s="136">
        <f ca="1">VALUE(LEFT(VLOOKUP(B26,bond!B:R,17,FALSE),SEARCH(" ",VLOOKUP(B26,bond!B:R,17,FALSE),1)))</f>
        <v>100000</v>
      </c>
      <c r="O26" s="136">
        <f ca="1">VALUE(RIGHT(VLOOKUP(B26,bond!B:R,17,FALSE),LEN(VLOOKUP(B26,bond!B:R,17,FALSE))-LEN(N26)-3))</f>
        <v>5000</v>
      </c>
      <c r="P26" s="135" t="str">
        <f ca="1">VLOOKUP($B26,bond!$B:$AG,32,FALSE)</f>
        <v>#N/A Field Not Applicable</v>
      </c>
      <c r="Q26" s="135" t="str">
        <f ca="1">VLOOKUP($B26,bond!$B:$AH,33,FALSE)</f>
        <v>政府</v>
      </c>
      <c r="R26" s="135" t="str">
        <f ca="1">VLOOKUP(B26,bond!B:AA,26,FALSE)</f>
        <v>非洲南部開發銀行有限公司</v>
      </c>
      <c r="S26" s="135" t="str">
        <f ca="1">VLOOKUP(B26,bond!B:AI,34,FALSE)</f>
        <v>DEVSA</v>
      </c>
      <c r="T26" s="135" t="str">
        <f t="shared" ca="1" si="0"/>
        <v>非洲南部開發銀行有限公司/DEVSA</v>
      </c>
      <c r="U26" s="207" t="str">
        <f ca="1">IFERROR(VLOOKUP(T26,Bond_DES!D:E,2,FALSE),VLOOKUP(S26,bond!AI:AJ,2,FALSE))</f>
        <v>非洲南部開發銀行有限公司(Development Bank of Southern Africa Limited (DBSA))為一家政府開發銀行。該銀行銀透過社會和經濟基礎設施行業，提供金融和非金融投資，以供社會經濟發展，改善人民的生活。非洲南部開發銀行服務南非的客戶。</v>
      </c>
      <c r="V26" s="136" t="str">
        <f ca="1">IFERROR(VLOOKUP(B26,'1_重設數據'!L:M,2,FALSE),IF(Q26="政府",IF(AD26&gt;16,"(NPI)非專投",IF(AD26&gt;10,"(PI)專投","高資產")),IF(VLOOKUP(B26,bond!B:AN,39,FALSE)="Y","(PI)專投",IF(AD26&gt;=15,"(NPI)非專投",IF(AD26&gt;=10,"(PI)專投","高資產")))))</f>
        <v>高資產</v>
      </c>
      <c r="W26" s="136" t="str">
        <f ca="1">VLOOKUP(AD26,'credit rating'!$F$2:$H$22,3,FALSE)</f>
        <v>BB</v>
      </c>
      <c r="X26" s="136" t="str">
        <f t="shared" ca="1" si="1"/>
        <v>-</v>
      </c>
      <c r="Y26" s="136" t="str">
        <f t="shared" ca="1" si="2"/>
        <v>BB</v>
      </c>
      <c r="Z26" s="136" t="str">
        <f t="shared" ca="1" si="3"/>
        <v>-</v>
      </c>
      <c r="AA26" s="134">
        <f ca="1">IFERROR(VLOOKUP(X26,'credit rating'!A:C,3,FALSE),0)</f>
        <v>0</v>
      </c>
      <c r="AB26" s="134">
        <f ca="1">IFERROR(VLOOKUP(Y26,'credit rating'!B:C,2,FALSE),0)</f>
        <v>10</v>
      </c>
      <c r="AC26" s="136">
        <f ca="1">IFERROR(VLOOKUP(Z26,'credit rating'!B:C,2,FALSE),0)</f>
        <v>0</v>
      </c>
      <c r="AD26" s="136">
        <f t="shared" ca="1" si="4"/>
        <v>10</v>
      </c>
      <c r="AE26" s="249" t="str">
        <f ca="1">IFERROR(VLOOKUP(B26,bond!B:U,20,FALSE),"")</f>
        <v xml:space="preserve"> </v>
      </c>
      <c r="AF26" s="136" t="str">
        <f ca="1">IF(VLOOKUP(B26,bond!B:AK,36,FALSE)="#N/A Field Not Applicable","",VLOOKUP(B26,bond!B:AK,36,FALSE))</f>
        <v/>
      </c>
      <c r="AG26" s="136" t="str">
        <f ca="1">IF(VLOOKUP(B26,bond!B:AL,37,FALSE)="FIXED","固定",IF(VLOOKUP(B26,bond!B:AL,37,FALSE)="FLOATING","浮動",IF(VLOOKUP(B26,bond!B:AL,37,FALSE)="VARIABLE","變動",IF(VLOOKUP(B26,bond!B:AL,37,FALSE)="FLAT TRADING","不含息交易",IF(VLOOKUP(B26,bond!B:AL,37,FALSE)="ZERO COUPON","零息",VLOOKUP(B26,bond!B:AL,37,FALSE))))))</f>
        <v>零息</v>
      </c>
      <c r="AH26" s="136" t="str">
        <f>VLOOKUP(C26,'2_Check_code'!I:J,2,FALSE)</f>
        <v>南非幣(ZAR)</v>
      </c>
      <c r="AI26" s="136" t="str">
        <f t="shared" ca="1" si="5"/>
        <v/>
      </c>
      <c r="AJ26" s="136">
        <f t="shared" ca="1" si="6"/>
        <v>1</v>
      </c>
      <c r="AK26" s="594" t="str">
        <f ca="1">IF(VLOOKUP(B26,bond!B:S,18,FALSE)="是","有",IF(VLOOKUP(B26,bond!B:S,18,FALSE)="NO OFFER","無","需查詢"))</f>
        <v>有</v>
      </c>
      <c r="AL26" s="136" t="str">
        <f>IF(VLOOKUP(A26,bond!F:AR,39,FALSE)="#N/A Field Not Applicable",VLOOKUP(A26,bond!F:AR,38,FALSE),IFERROR(VLOOKUP(A26,'7_發行日例外'!A:B,2,FALSE),VLOOKUP(A26,bond!F:AR,39,FALSE)))</f>
        <v>1997/8/11</v>
      </c>
      <c r="AM26" s="136" t="str">
        <f ca="1">VLOOKUP(B26,bond!B:AK,36,FALSE)</f>
        <v>#N/A Field Not Applicable</v>
      </c>
      <c r="AN26" s="136" t="str">
        <f ca="1">IFERROR(VLOOKUP(B26,'3_是否下架'!A:A,1,FALSE),"")</f>
        <v>XFI60</v>
      </c>
      <c r="AO26" s="136">
        <f ca="1">VLOOKUP(B26,bond!B:J,9,FALSE)</f>
        <v>69.5</v>
      </c>
      <c r="AP26" s="136">
        <f ca="1">VLOOKUP(B26,bond!B:V,21,FALSE)</f>
        <v>3.3146</v>
      </c>
    </row>
    <row r="27" spans="1:42">
      <c r="A27" s="141" t="str">
        <f>bond!F28</f>
        <v>US59562VAR87</v>
      </c>
      <c r="B27" s="151" t="str">
        <f ca="1">IF($C$1=TRUE,bond!B28,"")</f>
        <v>XFI70</v>
      </c>
      <c r="C27" s="95" t="str">
        <f>VLOOKUP(A27,bond!F:G,2,FALSE)</f>
        <v>USD</v>
      </c>
      <c r="D27" s="142" t="str">
        <f ca="1">VLOOKUP(B27,bond!B:C,2,FALSE)</f>
        <v>波克夏海瑟威能源公司美元配息債券 6.5% 2037/9/15</v>
      </c>
      <c r="E27" s="95" t="str">
        <f ca="1">VLOOKUP(B27,bond!B:D,3,FALSE)</f>
        <v>A3 / A- / WD</v>
      </c>
      <c r="F27" s="99" t="str">
        <f ca="1">VLOOKUP(B27,bond!B:AB,27,FALSE)</f>
        <v>2037/9/15</v>
      </c>
      <c r="G27" s="90">
        <f ca="1">VLOOKUP(B27,bond!B:E,4,FALSE)</f>
        <v>13.2</v>
      </c>
      <c r="H27" s="202">
        <f ca="1">VLOOKUP(B27,bond!B:Y,24,FALSE)</f>
        <v>6.5000000000000002E-2</v>
      </c>
      <c r="I27" s="95">
        <f ca="1">VLOOKUP(B27,bond!B:Z,25,FALSE)</f>
        <v>2</v>
      </c>
      <c r="J27" s="180">
        <f ca="1">VLOOKUP(B27,bond!B:K,10,FALSE)</f>
        <v>1.9319</v>
      </c>
      <c r="K27" s="96">
        <f ca="1">VLOOKUP($B27,bond!B:S,14,FALSE)</f>
        <v>112.67</v>
      </c>
      <c r="L27" s="91" t="str">
        <f ca="1">VLOOKUP(B27,bond!B:H,7,FALSE)</f>
        <v>2024/7/2</v>
      </c>
      <c r="M27" s="144">
        <f ca="1">VLOOKUP($B27,bond!$B:$Q,16,FALSE)</f>
        <v>5.3499999999999999E-2</v>
      </c>
      <c r="N27" s="136">
        <f ca="1">VALUE(LEFT(VLOOKUP(B27,bond!B:R,17,FALSE),SEARCH(" ",VLOOKUP(B27,bond!B:R,17,FALSE),1)))</f>
        <v>10000</v>
      </c>
      <c r="O27" s="136">
        <f ca="1">VALUE(RIGHT(VLOOKUP(B27,bond!B:R,17,FALSE),LEN(VLOOKUP(B27,bond!B:R,17,FALSE))-LEN(N27)-3))</f>
        <v>1000</v>
      </c>
      <c r="P27" s="135" t="str">
        <f ca="1">VLOOKUP($B27,bond!$B:$AG,32,FALSE)</f>
        <v>2024/9/15</v>
      </c>
      <c r="Q27" s="135" t="str">
        <f ca="1">VLOOKUP($B27,bond!$B:$AH,33,FALSE)</f>
        <v>公用事業</v>
      </c>
      <c r="R27" s="135" t="str">
        <f ca="1">VLOOKUP(B27,bond!B:AA,26,FALSE)</f>
        <v>巴郡哈薩威能源公司</v>
      </c>
      <c r="S27" s="135" t="str">
        <f ca="1">VLOOKUP(B27,bond!B:AI,34,FALSE)</f>
        <v>BRKHEC</v>
      </c>
      <c r="T27" s="135" t="str">
        <f t="shared" ca="1" si="0"/>
        <v>巴郡哈薩威能源公司/BRKHEC</v>
      </c>
      <c r="U27" s="207" t="str">
        <f ca="1">IFERROR(VLOOKUP(T27,Bond_DES!D:E,2,FALSE),VLOOKUP(S27,bond!AI:AJ,2,FALSE))</f>
        <v>巴郡哈薩威能源公司(Berkshire Hathaway Energy Company)為控股公司，紮根於可再生能源，生產、運輸、儲存、分配和供應電力及天然氣。母公司波克夏海瑟威(Berkshire Hathaway Inc.)由「股神」巴菲特所職掌，其經營資產橫跨保險、鐵路、公用事業及能源等多項領域，使其享有高度多元的利潤和現金流，市值長期居於全球前10。</v>
      </c>
      <c r="V27" s="136" t="str">
        <f ca="1">IFERROR(VLOOKUP(B27,'1_重設數據'!L:M,2,FALSE),IF(Q27="政府",IF(AD27&gt;16,"(NPI)非專投",IF(AD27&gt;10,"(PI)專投","高資產")),IF(VLOOKUP(B27,bond!B:AN,39,FALSE)="Y","(PI)專投",IF(AD27&gt;=15,"(NPI)非專投",IF(AD27&gt;=10,"(PI)專投","高資產")))))</f>
        <v>(NPI)非專投</v>
      </c>
      <c r="W27" s="136" t="str">
        <f ca="1">VLOOKUP(AD27,'credit rating'!$F$2:$H$22,3,FALSE)</f>
        <v>A-</v>
      </c>
      <c r="X27" s="136" t="str">
        <f t="shared" ca="1" si="1"/>
        <v>A3</v>
      </c>
      <c r="Y27" s="136" t="str">
        <f t="shared" ca="1" si="2"/>
        <v>A-</v>
      </c>
      <c r="Z27" s="136" t="str">
        <f t="shared" ca="1" si="3"/>
        <v>WD</v>
      </c>
      <c r="AA27" s="134">
        <f ca="1">IFERROR(VLOOKUP(X27,'credit rating'!A:C,3,FALSE),0)</f>
        <v>15</v>
      </c>
      <c r="AB27" s="134">
        <f ca="1">IFERROR(VLOOKUP(Y27,'credit rating'!B:C,2,FALSE),0)</f>
        <v>15</v>
      </c>
      <c r="AC27" s="136">
        <f ca="1">IFERROR(VLOOKUP(Z27,'credit rating'!B:C,2,FALSE),0)</f>
        <v>0</v>
      </c>
      <c r="AD27" s="136">
        <f t="shared" ca="1" si="4"/>
        <v>15</v>
      </c>
      <c r="AE27" s="249" t="str">
        <f ca="1">IFERROR(VLOOKUP(B27,bond!B:U,20,FALSE),"")</f>
        <v xml:space="preserve"> </v>
      </c>
      <c r="AF27" s="136" t="str">
        <f ca="1">IF(VLOOKUP(B27,bond!B:AK,36,FALSE)="#N/A Field Not Applicable","",VLOOKUP(B27,bond!B:AK,36,FALSE))</f>
        <v/>
      </c>
      <c r="AG27" s="136" t="str">
        <f ca="1">IF(VLOOKUP(B27,bond!B:AL,37,FALSE)="FIXED","固定",IF(VLOOKUP(B27,bond!B:AL,37,FALSE)="FLOATING","浮動",IF(VLOOKUP(B27,bond!B:AL,37,FALSE)="VARIABLE","變動",IF(VLOOKUP(B27,bond!B:AL,37,FALSE)="FLAT TRADING","不含息交易",IF(VLOOKUP(B27,bond!B:AL,37,FALSE)="ZERO COUPON","零息",VLOOKUP(B27,bond!B:AL,37,FALSE))))))</f>
        <v>固定</v>
      </c>
      <c r="AH27" s="136" t="str">
        <f>VLOOKUP(C27,'2_Check_code'!I:J,2,FALSE)</f>
        <v>美元(USD)</v>
      </c>
      <c r="AI27" s="136" t="str">
        <f t="shared" ca="1" si="5"/>
        <v>自由選清單</v>
      </c>
      <c r="AJ27" s="136">
        <f t="shared" ca="1" si="6"/>
        <v>0</v>
      </c>
      <c r="AK27" s="594" t="str">
        <f ca="1">IF(VLOOKUP(B27,bond!B:S,18,FALSE)="是","有",IF(VLOOKUP(B27,bond!B:S,18,FALSE)="NO OFFER","無","需查詢"))</f>
        <v>無</v>
      </c>
      <c r="AL27" s="136" t="str">
        <f>IF(VLOOKUP(A27,bond!F:AR,39,FALSE)="#N/A Field Not Applicable",VLOOKUP(A27,bond!F:AR,38,FALSE),IFERROR(VLOOKUP(A27,'7_發行日例外'!A:B,2,FALSE),VLOOKUP(A27,bond!F:AR,39,FALSE)))</f>
        <v>2007/8/28</v>
      </c>
      <c r="AM27" s="136" t="str">
        <f ca="1">VLOOKUP(B27,bond!B:AK,36,FALSE)</f>
        <v>#N/A Field Not Applicable</v>
      </c>
      <c r="AN27" s="136" t="str">
        <f ca="1">IFERROR(VLOOKUP(B27,'3_是否下架'!A:A,1,FALSE),"")</f>
        <v>XFI70</v>
      </c>
      <c r="AO27" s="136">
        <f ca="1">VLOOKUP(B27,bond!B:J,9,FALSE)</f>
        <v>108.24000000000001</v>
      </c>
      <c r="AP27" s="136">
        <f ca="1">VLOOKUP(B27,bond!B:V,21,FALSE)</f>
        <v>8.8469999999999995</v>
      </c>
    </row>
    <row r="28" spans="1:42">
      <c r="A28" s="141" t="str">
        <f>bond!F29</f>
        <v>XS1490623516</v>
      </c>
      <c r="B28" s="151" t="str">
        <f ca="1">IF($C$1=TRUE,bond!B29,"")</f>
        <v>XFI80</v>
      </c>
      <c r="C28" s="95" t="str">
        <f>VLOOKUP(A28,bond!F:G,2,FALSE)</f>
        <v>USD</v>
      </c>
      <c r="D28" s="142" t="str">
        <f ca="1">VLOOKUP(B28,bond!B:C,2,FALSE)</f>
        <v>富士康美元配息債券 3% 2026/9/23</v>
      </c>
      <c r="E28" s="95" t="str">
        <f ca="1">VLOOKUP(B28,bond!B:D,3,FALSE)</f>
        <v>- / A- / -</v>
      </c>
      <c r="F28" s="99" t="str">
        <f ca="1">VLOOKUP(B28,bond!B:AB,27,FALSE)</f>
        <v>2026/9/23</v>
      </c>
      <c r="G28" s="90">
        <f ca="1">VLOOKUP(B28,bond!B:E,4,FALSE)</f>
        <v>2.2200000000000002</v>
      </c>
      <c r="H28" s="202">
        <f ca="1">VLOOKUP(B28,bond!B:Y,24,FALSE)</f>
        <v>0.03</v>
      </c>
      <c r="I28" s="95">
        <f ca="1">VLOOKUP(B28,bond!B:Z,25,FALSE)</f>
        <v>2</v>
      </c>
      <c r="J28" s="180">
        <f ca="1">VLOOKUP(B28,bond!B:K,10,FALSE)</f>
        <v>0.83330000000000004</v>
      </c>
      <c r="K28" s="96">
        <f ca="1">VLOOKUP($B28,bond!B:S,14,FALSE)</f>
        <v>97.929999999999993</v>
      </c>
      <c r="L28" s="91" t="str">
        <f ca="1">VLOOKUP(B28,bond!B:H,7,FALSE)</f>
        <v>2024/7/3</v>
      </c>
      <c r="M28" s="144">
        <f ca="1">VLOOKUP($B28,bond!$B:$Q,16,FALSE)</f>
        <v>4.3799999999999999E-2</v>
      </c>
      <c r="N28" s="136">
        <f ca="1">VALUE(LEFT(VLOOKUP(B28,bond!B:R,17,FALSE),SEARCH(" ",VLOOKUP(B28,bond!B:R,17,FALSE),1)))</f>
        <v>200000</v>
      </c>
      <c r="O28" s="136">
        <f ca="1">VALUE(RIGHT(VLOOKUP(B28,bond!B:R,17,FALSE),LEN(VLOOKUP(B28,bond!B:R,17,FALSE))-LEN(N28)-3))</f>
        <v>1000</v>
      </c>
      <c r="P28" s="135" t="str">
        <f ca="1">VLOOKUP($B28,bond!$B:$AG,32,FALSE)</f>
        <v>2024/9/23</v>
      </c>
      <c r="Q28" s="135" t="str">
        <f ca="1">VLOOKUP($B28,bond!$B:$AH,33,FALSE)</f>
        <v>工業</v>
      </c>
      <c r="R28" s="135" t="str">
        <f ca="1">VLOOKUP(B28,bond!B:AA,26,FALSE)</f>
        <v>富士康遠東有限公司</v>
      </c>
      <c r="S28" s="135" t="str">
        <f ca="1">VLOOKUP(B28,bond!B:AI,34,FALSE)</f>
        <v>HONHAI</v>
      </c>
      <c r="T28" s="135" t="str">
        <f t="shared" ca="1" si="0"/>
        <v>富士康遠東有限公司/HONHAI</v>
      </c>
      <c r="U28" s="207" t="str">
        <f ca="1">IFERROR(VLOOKUP(T28,Bond_DES!D:E,2,FALSE),VLOOKUP(S28,bond!AI:AJ,2,FALSE))</f>
        <v>富士康遠東有限公司(Foxconn Far East Limited)為台灣鴻海精密的全資附屬公司。母公司鴻海於電子代工服務領域(EMS)排名全球第一，市佔超過4成，為蘋果公司的主要代工廠之一，2023年按營收為台灣第1大企業，並於2023年《Forbes》全球上市公司2000強排名第116位。</v>
      </c>
      <c r="V28" s="136" t="str">
        <f ca="1">IFERROR(VLOOKUP(B28,'1_重設數據'!L:M,2,FALSE),IF(Q28="政府",IF(AD28&gt;16,"(NPI)非專投",IF(AD28&gt;10,"(PI)專投","高資產")),IF(VLOOKUP(B28,bond!B:AN,39,FALSE)="Y","(PI)專投",IF(AD28&gt;=15,"(NPI)非專投",IF(AD28&gt;=10,"(PI)專投","高資產")))))</f>
        <v>(NPI)非專投</v>
      </c>
      <c r="W28" s="136" t="str">
        <f ca="1">VLOOKUP(AD28,'credit rating'!$F$2:$H$22,3,FALSE)</f>
        <v>A-</v>
      </c>
      <c r="X28" s="136" t="str">
        <f t="shared" ca="1" si="1"/>
        <v>-</v>
      </c>
      <c r="Y28" s="136" t="str">
        <f t="shared" ca="1" si="2"/>
        <v>A-</v>
      </c>
      <c r="Z28" s="136" t="str">
        <f t="shared" ca="1" si="3"/>
        <v>-</v>
      </c>
      <c r="AA28" s="134">
        <f ca="1">IFERROR(VLOOKUP(X28,'credit rating'!A:C,3,FALSE),0)</f>
        <v>0</v>
      </c>
      <c r="AB28" s="134">
        <f ca="1">IFERROR(VLOOKUP(Y28,'credit rating'!B:C,2,FALSE),0)</f>
        <v>15</v>
      </c>
      <c r="AC28" s="136">
        <f ca="1">IFERROR(VLOOKUP(Z28,'credit rating'!B:C,2,FALSE),0)</f>
        <v>0</v>
      </c>
      <c r="AD28" s="136">
        <f t="shared" ca="1" si="4"/>
        <v>15</v>
      </c>
      <c r="AE28" s="249" t="str">
        <f ca="1">IFERROR(VLOOKUP(B28,bond!B:U,20,FALSE),"")</f>
        <v xml:space="preserve"> </v>
      </c>
      <c r="AF28" s="136" t="str">
        <f ca="1">IF(VLOOKUP(B28,bond!B:AK,36,FALSE)="#N/A Field Not Applicable","",VLOOKUP(B28,bond!B:AK,36,FALSE))</f>
        <v/>
      </c>
      <c r="AG28" s="136" t="str">
        <f ca="1">IF(VLOOKUP(B28,bond!B:AL,37,FALSE)="FIXED","固定",IF(VLOOKUP(B28,bond!B:AL,37,FALSE)="FLOATING","浮動",IF(VLOOKUP(B28,bond!B:AL,37,FALSE)="VARIABLE","變動",IF(VLOOKUP(B28,bond!B:AL,37,FALSE)="FLAT TRADING","不含息交易",IF(VLOOKUP(B28,bond!B:AL,37,FALSE)="ZERO COUPON","零息",VLOOKUP(B28,bond!B:AL,37,FALSE))))))</f>
        <v>固定</v>
      </c>
      <c r="AH28" s="136" t="str">
        <f>VLOOKUP(C28,'2_Check_code'!I:J,2,FALSE)</f>
        <v>美元(USD)</v>
      </c>
      <c r="AI28" s="136" t="str">
        <f t="shared" ca="1" si="5"/>
        <v>自由選清單</v>
      </c>
      <c r="AJ28" s="136">
        <f t="shared" ca="1" si="6"/>
        <v>0</v>
      </c>
      <c r="AK28" s="594" t="str">
        <f ca="1">IF(VLOOKUP(B28,bond!B:S,18,FALSE)="是","有",IF(VLOOKUP(B28,bond!B:S,18,FALSE)="NO OFFER","無","需查詢"))</f>
        <v>無</v>
      </c>
      <c r="AL28" s="136" t="str">
        <f>IF(VLOOKUP(A28,bond!F:AR,39,FALSE)="#N/A Field Not Applicable",VLOOKUP(A28,bond!F:AR,38,FALSE),IFERROR(VLOOKUP(A28,'7_發行日例外'!A:B,2,FALSE),VLOOKUP(A28,bond!F:AR,39,FALSE)))</f>
        <v>2016/9/23</v>
      </c>
      <c r="AM28" s="136" t="str">
        <f ca="1">VLOOKUP(B28,bond!B:AK,36,FALSE)</f>
        <v>#N/A Field Not Applicable</v>
      </c>
      <c r="AN28" s="136" t="str">
        <f ca="1">IFERROR(VLOOKUP(B28,'3_是否下架'!A:A,1,FALSE),"")</f>
        <v/>
      </c>
      <c r="AO28" s="136">
        <f ca="1">VLOOKUP(B28,bond!B:J,9,FALSE)</f>
        <v>96</v>
      </c>
      <c r="AP28" s="136">
        <f ca="1">VLOOKUP(B28,bond!B:V,21,FALSE)</f>
        <v>2.0952000000000002</v>
      </c>
    </row>
    <row r="29" spans="1:42">
      <c r="A29" s="141" t="str">
        <f>bond!F30</f>
        <v>US92343VDU52</v>
      </c>
      <c r="B29" s="151" t="str">
        <f ca="1">IF($C$1=TRUE,bond!B30,"")</f>
        <v>XFJ50</v>
      </c>
      <c r="C29" s="95" t="str">
        <f>VLOOKUP(A29,bond!F:G,2,FALSE)</f>
        <v>USD</v>
      </c>
      <c r="D29" s="142" t="str">
        <f ca="1">VLOOKUP(B29,bond!B:C,2,FALSE)</f>
        <v>威瑞森電信公司美元配息債券 5.25% 2037/3/16</v>
      </c>
      <c r="E29" s="95" t="str">
        <f ca="1">VLOOKUP(B29,bond!B:D,3,FALSE)</f>
        <v>Baa1 / BBB+ / A-</v>
      </c>
      <c r="F29" s="99" t="str">
        <f ca="1">VLOOKUP(B29,bond!B:AB,27,FALSE)</f>
        <v>2037/3/16</v>
      </c>
      <c r="G29" s="90">
        <f ca="1">VLOOKUP(B29,bond!B:E,4,FALSE)</f>
        <v>12.7</v>
      </c>
      <c r="H29" s="202">
        <f ca="1">VLOOKUP(B29,bond!B:Y,24,FALSE)</f>
        <v>5.2499999999999998E-2</v>
      </c>
      <c r="I29" s="95">
        <f ca="1">VLOOKUP(B29,bond!B:Z,25,FALSE)</f>
        <v>2</v>
      </c>
      <c r="J29" s="180">
        <f ca="1">VLOOKUP(B29,bond!B:K,10,FALSE)</f>
        <v>1.5458000000000001</v>
      </c>
      <c r="K29" s="96">
        <f ca="1">VLOOKUP($B29,bond!B:S,14,FALSE)</f>
        <v>103.59</v>
      </c>
      <c r="L29" s="91" t="str">
        <f ca="1">VLOOKUP(B29,bond!B:H,7,FALSE)</f>
        <v>2024/7/2</v>
      </c>
      <c r="M29" s="144">
        <f ca="1">VLOOKUP($B29,bond!$B:$Q,16,FALSE)</f>
        <v>5.0299999999999997E-2</v>
      </c>
      <c r="N29" s="136">
        <f ca="1">VALUE(LEFT(VLOOKUP(B29,bond!B:R,17,FALSE),SEARCH(" ",VLOOKUP(B29,bond!B:R,17,FALSE),1)))</f>
        <v>2000</v>
      </c>
      <c r="O29" s="136">
        <f ca="1">VALUE(RIGHT(VLOOKUP(B29,bond!B:R,17,FALSE),LEN(VLOOKUP(B29,bond!B:R,17,FALSE))-LEN(N29)-3))</f>
        <v>1000</v>
      </c>
      <c r="P29" s="135" t="str">
        <f ca="1">VLOOKUP($B29,bond!$B:$AG,32,FALSE)</f>
        <v>2024/9/16</v>
      </c>
      <c r="Q29" s="135" t="str">
        <f ca="1">VLOOKUP($B29,bond!$B:$AH,33,FALSE)</f>
        <v>通訊</v>
      </c>
      <c r="R29" s="135" t="str">
        <f ca="1">VLOOKUP(B29,bond!B:AA,26,FALSE)</f>
        <v>威瑞森電信公司</v>
      </c>
      <c r="S29" s="135" t="str">
        <f ca="1">VLOOKUP(B29,bond!B:AI,34,FALSE)</f>
        <v>VZ</v>
      </c>
      <c r="T29" s="135" t="str">
        <f t="shared" ca="1" si="0"/>
        <v>威瑞森電信公司/VZ</v>
      </c>
      <c r="U29" s="207" t="str">
        <f ca="1">IFERROR(VLOOKUP(T29,Bond_DES!D:E,2,FALSE),VLOOKUP(S29,bond!AI:AJ,2,FALSE))</f>
        <v>威瑞森電信(Verizon Communications Inc.)為全球電信業者中，產業規模最大且最會賺錢的電信商，且是唯一具備A級評等的美國無線通訊服務供應商，2021年完成收購美國最大的預付行動電話營運商TracFone後，進一步稱霸北美零售無線後付費及預付費通訊市場，於美國零售無線用戶市佔第一，總零售無線用戶數逾1.4億戶。</v>
      </c>
      <c r="V29" s="136" t="str">
        <f ca="1">IFERROR(VLOOKUP(B29,'1_重設數據'!L:M,2,FALSE),IF(Q29="政府",IF(AD29&gt;16,"(NPI)非專投",IF(AD29&gt;10,"(PI)專投","高資產")),IF(VLOOKUP(B29,bond!B:AN,39,FALSE)="Y","(PI)專投",IF(AD29&gt;=15,"(NPI)非專投",IF(AD29&gt;=10,"(PI)專投","高資產")))))</f>
        <v>(NPI)非專投</v>
      </c>
      <c r="W29" s="136" t="str">
        <f ca="1">VLOOKUP(AD29,'credit rating'!$F$2:$H$22,3,FALSE)</f>
        <v>A-</v>
      </c>
      <c r="X29" s="136" t="str">
        <f t="shared" ca="1" si="1"/>
        <v>Baa1</v>
      </c>
      <c r="Y29" s="136" t="str">
        <f t="shared" ca="1" si="2"/>
        <v>BBB+</v>
      </c>
      <c r="Z29" s="136" t="str">
        <f t="shared" ca="1" si="3"/>
        <v>A-</v>
      </c>
      <c r="AA29" s="134">
        <f ca="1">IFERROR(VLOOKUP(X29,'credit rating'!A:C,3,FALSE),0)</f>
        <v>14</v>
      </c>
      <c r="AB29" s="134">
        <f ca="1">IFERROR(VLOOKUP(Y29,'credit rating'!B:C,2,FALSE),0)</f>
        <v>14</v>
      </c>
      <c r="AC29" s="136">
        <f ca="1">IFERROR(VLOOKUP(Z29,'credit rating'!B:C,2,FALSE),0)</f>
        <v>15</v>
      </c>
      <c r="AD29" s="136">
        <f t="shared" ca="1" si="4"/>
        <v>15</v>
      </c>
      <c r="AE29" s="249" t="str">
        <f ca="1">IFERROR(VLOOKUP(B29,bond!B:U,20,FALSE),"")</f>
        <v xml:space="preserve"> </v>
      </c>
      <c r="AF29" s="136" t="str">
        <f ca="1">IF(VLOOKUP(B29,bond!B:AK,36,FALSE)="#N/A Field Not Applicable","",VLOOKUP(B29,bond!B:AK,36,FALSE))</f>
        <v/>
      </c>
      <c r="AG29" s="136" t="str">
        <f ca="1">IF(VLOOKUP(B29,bond!B:AL,37,FALSE)="FIXED","固定",IF(VLOOKUP(B29,bond!B:AL,37,FALSE)="FLOATING","浮動",IF(VLOOKUP(B29,bond!B:AL,37,FALSE)="VARIABLE","變動",IF(VLOOKUP(B29,bond!B:AL,37,FALSE)="FLAT TRADING","不含息交易",IF(VLOOKUP(B29,bond!B:AL,37,FALSE)="ZERO COUPON","零息",VLOOKUP(B29,bond!B:AL,37,FALSE))))))</f>
        <v>固定</v>
      </c>
      <c r="AH29" s="136" t="str">
        <f>VLOOKUP(C29,'2_Check_code'!I:J,2,FALSE)</f>
        <v>美元(USD)</v>
      </c>
      <c r="AI29" s="136" t="str">
        <f t="shared" ca="1" si="5"/>
        <v>自由選清單</v>
      </c>
      <c r="AJ29" s="136">
        <f t="shared" ca="1" si="6"/>
        <v>0</v>
      </c>
      <c r="AK29" s="594" t="str">
        <f ca="1">IF(VLOOKUP(B29,bond!B:S,18,FALSE)="是","有",IF(VLOOKUP(B29,bond!B:S,18,FALSE)="NO OFFER","無","需查詢"))</f>
        <v>有</v>
      </c>
      <c r="AL29" s="136" t="str">
        <f>IF(VLOOKUP(A29,bond!F:AR,39,FALSE)="#N/A Field Not Applicable",VLOOKUP(A29,bond!F:AR,38,FALSE),IFERROR(VLOOKUP(A29,'7_發行日例外'!A:B,2,FALSE),VLOOKUP(A29,bond!F:AR,39,FALSE)))</f>
        <v>2017/3/16</v>
      </c>
      <c r="AM29" s="136" t="str">
        <f ca="1">VLOOKUP(B29,bond!B:AK,36,FALSE)</f>
        <v>#N/A Field Not Applicable</v>
      </c>
      <c r="AN29" s="136" t="str">
        <f ca="1">IFERROR(VLOOKUP(B29,'3_是否下架'!A:A,1,FALSE),"")</f>
        <v/>
      </c>
      <c r="AO29" s="136">
        <f ca="1">VLOOKUP(B29,bond!B:J,9,FALSE)</f>
        <v>99.54</v>
      </c>
      <c r="AP29" s="136">
        <f ca="1">VLOOKUP(B29,bond!B:V,21,FALSE)</f>
        <v>9.0589999999999993</v>
      </c>
    </row>
    <row r="30" spans="1:42">
      <c r="A30" s="141" t="str">
        <f>bond!F31</f>
        <v>US900123AL40</v>
      </c>
      <c r="B30" s="151" t="str">
        <f ca="1">IF($C$1=TRUE,bond!B31,"")</f>
        <v>XFJ60</v>
      </c>
      <c r="C30" s="95" t="str">
        <f>VLOOKUP(A30,bond!F:G,2,FALSE)</f>
        <v>USD</v>
      </c>
      <c r="D30" s="142" t="str">
        <f ca="1">VLOOKUP(B30,bond!B:C,2,FALSE)</f>
        <v>土耳其政府美元配息債券 11.875% 2030/1/15</v>
      </c>
      <c r="E30" s="95" t="str">
        <f ca="1">VLOOKUP(B30,bond!B:D,3,FALSE)</f>
        <v>B3 / NR / B+</v>
      </c>
      <c r="F30" s="99" t="str">
        <f ca="1">VLOOKUP(B30,bond!B:AB,27,FALSE)</f>
        <v>2030/1/15</v>
      </c>
      <c r="G30" s="90">
        <f ca="1">VLOOKUP(B30,bond!B:E,4,FALSE)</f>
        <v>5.54</v>
      </c>
      <c r="H30" s="202">
        <f ca="1">VLOOKUP(B30,bond!B:Y,24,FALSE)</f>
        <v>0.11874999999999999</v>
      </c>
      <c r="I30" s="95">
        <f ca="1">VLOOKUP(B30,bond!B:Z,25,FALSE)</f>
        <v>2</v>
      </c>
      <c r="J30" s="180">
        <f ca="1">VLOOKUP(B30,bond!B:K,10,FALSE)</f>
        <v>5.5087000000000002</v>
      </c>
      <c r="K30" s="96">
        <f ca="1">VLOOKUP($B30,bond!B:S,14,FALSE)</f>
        <v>134.80000000000001</v>
      </c>
      <c r="L30" s="91" t="str">
        <f ca="1">VLOOKUP(B30,bond!B:H,7,FALSE)</f>
        <v>2024/7/2</v>
      </c>
      <c r="M30" s="144">
        <f ca="1">VLOOKUP($B30,bond!$B:$Q,16,FALSE)</f>
        <v>5.6399999999999999E-2</v>
      </c>
      <c r="N30" s="136">
        <f ca="1">VALUE(LEFT(VLOOKUP(B30,bond!B:R,17,FALSE),SEARCH(" ",VLOOKUP(B30,bond!B:R,17,FALSE),1)))</f>
        <v>10000</v>
      </c>
      <c r="O30" s="136">
        <f ca="1">VALUE(RIGHT(VLOOKUP(B30,bond!B:R,17,FALSE),LEN(VLOOKUP(B30,bond!B:R,17,FALSE))-LEN(N30)-3))</f>
        <v>1000</v>
      </c>
      <c r="P30" s="135" t="str">
        <f ca="1">VLOOKUP($B30,bond!$B:$AG,32,FALSE)</f>
        <v>2024/7/15</v>
      </c>
      <c r="Q30" s="135" t="str">
        <f ca="1">VLOOKUP($B30,bond!$B:$AH,33,FALSE)</f>
        <v>政府</v>
      </c>
      <c r="R30" s="135" t="str">
        <f ca="1">VLOOKUP(B30,bond!B:AA,26,FALSE)</f>
        <v>土耳其政府國際債券</v>
      </c>
      <c r="S30" s="135" t="str">
        <f ca="1">VLOOKUP(B30,bond!B:AI,34,FALSE)</f>
        <v>TURKEY</v>
      </c>
      <c r="T30" s="135" t="str">
        <f t="shared" ca="1" si="0"/>
        <v>土耳其政府國際債券/TURKEY</v>
      </c>
      <c r="U30" s="207" t="str">
        <f ca="1">IFERROR(VLOOKUP(T30,Bond_DES!D:E,2,FALSE),VLOOKUP(S30,bond!AI:AJ,2,FALSE))</f>
        <v>土耳其共和國(Republic of Turkey)橫跨歐亞兩洲，名列世界第17大經濟體(IMF 2023)，同時亦為OECD創始會員國、G20成員國及歐盟關稅同盟國。自然資源豐富，硼礦藏量世界第一；經濟發展迅速，且被認為是中東地區最強的軍事力量，全球軍力排名第11位(Global Firepower 2023)。</v>
      </c>
      <c r="V30" s="136" t="str">
        <f ca="1">IFERROR(VLOOKUP(B30,'1_重設數據'!L:M,2,FALSE),IF(Q30="政府",IF(AD30&gt;16,"(NPI)非專投",IF(AD30&gt;10,"(PI)專投","高資產")),IF(VLOOKUP(B30,bond!B:AN,39,FALSE)="Y","(PI)專投",IF(AD30&gt;=15,"(NPI)非專投",IF(AD30&gt;=10,"(PI)專投","高資產")))))</f>
        <v>高資產</v>
      </c>
      <c r="W30" s="136" t="str">
        <f ca="1">VLOOKUP(AD30,'credit rating'!$F$2:$H$22,3,FALSE)</f>
        <v>B+</v>
      </c>
      <c r="X30" s="136" t="str">
        <f t="shared" ca="1" si="1"/>
        <v>B3</v>
      </c>
      <c r="Y30" s="136" t="str">
        <f t="shared" ca="1" si="2"/>
        <v>NR</v>
      </c>
      <c r="Z30" s="136" t="str">
        <f t="shared" ca="1" si="3"/>
        <v>B+</v>
      </c>
      <c r="AA30" s="134">
        <f ca="1">IFERROR(VLOOKUP(X30,'credit rating'!A:C,3,FALSE),0)</f>
        <v>6</v>
      </c>
      <c r="AB30" s="134">
        <f ca="1">IFERROR(VLOOKUP(Y30,'credit rating'!B:C,2,FALSE),0)</f>
        <v>0</v>
      </c>
      <c r="AC30" s="136">
        <f ca="1">IFERROR(VLOOKUP(Z30,'credit rating'!B:C,2,FALSE),0)</f>
        <v>8</v>
      </c>
      <c r="AD30" s="136">
        <f t="shared" ca="1" si="4"/>
        <v>8</v>
      </c>
      <c r="AE30" s="249" t="str">
        <f ca="1">IFERROR(VLOOKUP(B30,bond!B:U,20,FALSE),"")</f>
        <v xml:space="preserve"> </v>
      </c>
      <c r="AF30" s="136" t="str">
        <f ca="1">IF(VLOOKUP(B30,bond!B:AK,36,FALSE)="#N/A Field Not Applicable","",VLOOKUP(B30,bond!B:AK,36,FALSE))</f>
        <v/>
      </c>
      <c r="AG30" s="136" t="str">
        <f ca="1">IF(VLOOKUP(B30,bond!B:AL,37,FALSE)="FIXED","固定",IF(VLOOKUP(B30,bond!B:AL,37,FALSE)="FLOATING","浮動",IF(VLOOKUP(B30,bond!B:AL,37,FALSE)="VARIABLE","變動",IF(VLOOKUP(B30,bond!B:AL,37,FALSE)="FLAT TRADING","不含息交易",IF(VLOOKUP(B30,bond!B:AL,37,FALSE)="ZERO COUPON","零息",VLOOKUP(B30,bond!B:AL,37,FALSE))))))</f>
        <v>固定</v>
      </c>
      <c r="AH30" s="136" t="str">
        <f>VLOOKUP(C30,'2_Check_code'!I:J,2,FALSE)</f>
        <v>美元(USD)</v>
      </c>
      <c r="AI30" s="136" t="str">
        <f t="shared" ca="1" si="5"/>
        <v>自由選清單</v>
      </c>
      <c r="AJ30" s="136">
        <f t="shared" ca="1" si="6"/>
        <v>0</v>
      </c>
      <c r="AK30" s="594" t="str">
        <f ca="1">IF(VLOOKUP(B30,bond!B:S,18,FALSE)="是","有",IF(VLOOKUP(B30,bond!B:S,18,FALSE)="NO OFFER","無","需查詢"))</f>
        <v>有</v>
      </c>
      <c r="AL30" s="136" t="str">
        <f>IF(VLOOKUP(A30,bond!F:AR,39,FALSE)="#N/A Field Not Applicable",VLOOKUP(A30,bond!F:AR,38,FALSE),IFERROR(VLOOKUP(A30,'7_發行日例外'!A:B,2,FALSE),VLOOKUP(A30,bond!F:AR,39,FALSE)))</f>
        <v>2000/1/18</v>
      </c>
      <c r="AM30" s="136" t="str">
        <f ca="1">VLOOKUP(B30,bond!B:AK,36,FALSE)</f>
        <v>#N/A Field Not Applicable</v>
      </c>
      <c r="AN30" s="136" t="str">
        <f ca="1">IFERROR(VLOOKUP(B30,'3_是否下架'!A:A,1,FALSE),"")</f>
        <v>XFJ60</v>
      </c>
      <c r="AO30" s="136">
        <f ca="1">VLOOKUP(B30,bond!B:J,9,FALSE)</f>
        <v>126.29</v>
      </c>
      <c r="AP30" s="136">
        <f ca="1">VLOOKUP(B30,bond!B:V,21,FALSE)</f>
        <v>4.0728</v>
      </c>
    </row>
    <row r="31" spans="1:42">
      <c r="A31" s="141" t="str">
        <f>bond!F32</f>
        <v>XS1238805102</v>
      </c>
      <c r="B31" s="151" t="str">
        <f ca="1">IF($C$1=TRUE,bond!B32,"")</f>
        <v>XFJ70</v>
      </c>
      <c r="C31" s="95" t="str">
        <f>VLOOKUP(A31,bond!F:G,2,FALSE)</f>
        <v>ZAR</v>
      </c>
      <c r="D31" s="142" t="str">
        <f ca="1">VLOOKUP(B31,bond!B:C,2,FALSE)</f>
        <v>國際復興開發銀行南非幣零息債券 0% 2035/5/29</v>
      </c>
      <c r="E31" s="95" t="str">
        <f ca="1">VLOOKUP(B31,bond!B:D,3,FALSE)</f>
        <v>Aaa / - / -</v>
      </c>
      <c r="F31" s="99" t="str">
        <f ca="1">VLOOKUP(B31,bond!B:AB,27,FALSE)</f>
        <v>2035/5/29</v>
      </c>
      <c r="G31" s="90">
        <f ca="1">VLOOKUP(B31,bond!B:E,4,FALSE)</f>
        <v>10.9</v>
      </c>
      <c r="H31" s="202">
        <f ca="1">VLOOKUP(B31,bond!B:Y,24,FALSE)</f>
        <v>0</v>
      </c>
      <c r="I31" s="95">
        <f ca="1">VLOOKUP(B31,bond!B:Z,25,FALSE)</f>
        <v>0</v>
      </c>
      <c r="J31" s="180">
        <f ca="1">VLOOKUP(B31,bond!B:K,10,FALSE)</f>
        <v>0</v>
      </c>
      <c r="K31" s="96">
        <f ca="1">VLOOKUP($B31,bond!B:S,14,FALSE)</f>
        <v>37.659999999999997</v>
      </c>
      <c r="L31" s="91" t="str">
        <f ca="1">VLOOKUP(B31,bond!B:H,7,FALSE)</f>
        <v>2024/7/3</v>
      </c>
      <c r="M31" s="144">
        <f ca="1">VLOOKUP($B31,bond!$B:$Q,16,FALSE)</f>
        <v>9.3700000000000006E-2</v>
      </c>
      <c r="N31" s="136">
        <f ca="1">VALUE(LEFT(VLOOKUP(B31,bond!B:R,17,FALSE),SEARCH(" ",VLOOKUP(B31,bond!B:R,17,FALSE),1)))</f>
        <v>100000</v>
      </c>
      <c r="O31" s="136">
        <f ca="1">VALUE(RIGHT(VLOOKUP(B31,bond!B:R,17,FALSE),LEN(VLOOKUP(B31,bond!B:R,17,FALSE))-LEN(N31)-3))</f>
        <v>10000</v>
      </c>
      <c r="P31" s="135" t="str">
        <f ca="1">VLOOKUP($B31,bond!$B:$AG,32,FALSE)</f>
        <v>#N/A Field Not Applicable</v>
      </c>
      <c r="Q31" s="135" t="str">
        <f ca="1">VLOOKUP($B31,bond!$B:$AH,33,FALSE)</f>
        <v>政府</v>
      </c>
      <c r="R31" s="135" t="str">
        <f ca="1">VLOOKUP(B31,bond!B:AA,26,FALSE)</f>
        <v>國際復興開發銀行</v>
      </c>
      <c r="S31" s="135" t="str">
        <f ca="1">VLOOKUP(B31,bond!B:AI,34,FALSE)</f>
        <v>IBRD</v>
      </c>
      <c r="T31" s="135" t="str">
        <f t="shared" ca="1" si="0"/>
        <v>國際復興開發銀行/IBRD</v>
      </c>
      <c r="U31" s="207" t="str">
        <f ca="1">IFERROR(VLOOKUP(T31,Bond_DES!D:E,2,FALSE),VLOOKUP(S31,bond!AI:AJ,2,FALSE))</f>
        <v>國際復興開發銀行(International Bank for Reconstruction and Development)為一家金融服務公司，為189個國家共有的全球開發合作機構。IBRD為世界最大的開發銀行，通過向中等收入國家和資信良好的低收入國家提供貸款、擔保、風險管理產品和諮詢服務，支持世界銀行集團的使命。</v>
      </c>
      <c r="V31" s="136" t="str">
        <f ca="1">IFERROR(VLOOKUP(B31,'1_重設數據'!L:M,2,FALSE),IF(Q31="政府",IF(AD31&gt;16,"(NPI)非專投",IF(AD31&gt;10,"(PI)專投","高資產")),IF(VLOOKUP(B31,bond!B:AN,39,FALSE)="Y","(PI)專投",IF(AD31&gt;=15,"(NPI)非專投",IF(AD31&gt;=10,"(PI)專投","高資產")))))</f>
        <v>(NPI)非專投</v>
      </c>
      <c r="W31" s="136" t="str">
        <f ca="1">VLOOKUP(AD31,'credit rating'!$F$2:$H$22,3,FALSE)</f>
        <v>AAA</v>
      </c>
      <c r="X31" s="136" t="str">
        <f t="shared" ca="1" si="1"/>
        <v>Aaa</v>
      </c>
      <c r="Y31" s="136" t="str">
        <f t="shared" ca="1" si="2"/>
        <v>-</v>
      </c>
      <c r="Z31" s="136" t="str">
        <f t="shared" ca="1" si="3"/>
        <v>-</v>
      </c>
      <c r="AA31" s="134">
        <f ca="1">IFERROR(VLOOKUP(X31,'credit rating'!A:C,3,FALSE),0)</f>
        <v>21</v>
      </c>
      <c r="AB31" s="134">
        <f ca="1">IFERROR(VLOOKUP(Y31,'credit rating'!B:C,2,FALSE),0)</f>
        <v>0</v>
      </c>
      <c r="AC31" s="136">
        <f ca="1">IFERROR(VLOOKUP(Z31,'credit rating'!B:C,2,FALSE),0)</f>
        <v>0</v>
      </c>
      <c r="AD31" s="136">
        <f t="shared" ca="1" si="4"/>
        <v>21</v>
      </c>
      <c r="AE31" s="249" t="str">
        <f ca="1">IFERROR(VLOOKUP(B31,bond!B:U,20,FALSE),"")</f>
        <v xml:space="preserve"> </v>
      </c>
      <c r="AF31" s="136" t="str">
        <f ca="1">IF(VLOOKUP(B31,bond!B:AK,36,FALSE)="#N/A Field Not Applicable","",VLOOKUP(B31,bond!B:AK,36,FALSE))</f>
        <v/>
      </c>
      <c r="AG31" s="136" t="str">
        <f ca="1">IF(VLOOKUP(B31,bond!B:AL,37,FALSE)="FIXED","固定",IF(VLOOKUP(B31,bond!B:AL,37,FALSE)="FLOATING","浮動",IF(VLOOKUP(B31,bond!B:AL,37,FALSE)="VARIABLE","變動",IF(VLOOKUP(B31,bond!B:AL,37,FALSE)="FLAT TRADING","不含息交易",IF(VLOOKUP(B31,bond!B:AL,37,FALSE)="ZERO COUPON","零息",VLOOKUP(B31,bond!B:AL,37,FALSE))))))</f>
        <v>零息</v>
      </c>
      <c r="AH31" s="136" t="str">
        <f>VLOOKUP(C31,'2_Check_code'!I:J,2,FALSE)</f>
        <v>南非幣(ZAR)</v>
      </c>
      <c r="AI31" s="136" t="str">
        <f t="shared" ca="1" si="5"/>
        <v/>
      </c>
      <c r="AJ31" s="136">
        <f t="shared" ca="1" si="6"/>
        <v>1</v>
      </c>
      <c r="AK31" s="594" t="str">
        <f ca="1">IF(VLOOKUP(B31,bond!B:S,18,FALSE)="是","有",IF(VLOOKUP(B31,bond!B:S,18,FALSE)="NO OFFER","無","需查詢"))</f>
        <v>有</v>
      </c>
      <c r="AL31" s="136" t="str">
        <f>IF(VLOOKUP(A31,bond!F:AR,39,FALSE)="#N/A Field Not Applicable",VLOOKUP(A31,bond!F:AR,38,FALSE),IFERROR(VLOOKUP(A31,'7_發行日例外'!A:B,2,FALSE),VLOOKUP(A31,bond!F:AR,39,FALSE)))</f>
        <v>2015/5/29</v>
      </c>
      <c r="AM31" s="136" t="str">
        <f ca="1">VLOOKUP(B31,bond!B:AK,36,FALSE)</f>
        <v>#N/A Field Not Applicable</v>
      </c>
      <c r="AN31" s="136" t="str">
        <f ca="1">IFERROR(VLOOKUP(B31,'3_是否下架'!A:A,1,FALSE),"")</f>
        <v/>
      </c>
      <c r="AO31" s="136">
        <f ca="1">VLOOKUP(B31,bond!B:J,9,FALSE)</f>
        <v>36.159999999999997</v>
      </c>
      <c r="AP31" s="136">
        <f ca="1">VLOOKUP(B31,bond!B:V,21,FALSE)</f>
        <v>10.407400000000001</v>
      </c>
    </row>
    <row r="32" spans="1:42">
      <c r="A32" s="141" t="str">
        <f>bond!F33</f>
        <v>US478160BJ28</v>
      </c>
      <c r="B32" s="151" t="str">
        <f ca="1">IF($C$1=TRUE,bond!B33,"")</f>
        <v>XFJ90</v>
      </c>
      <c r="C32" s="95" t="str">
        <f>VLOOKUP(A32,bond!F:G,2,FALSE)</f>
        <v>USD</v>
      </c>
      <c r="D32" s="142" t="str">
        <f ca="1">VLOOKUP(B32,bond!B:C,2,FALSE)</f>
        <v>嬌生公司美元配息債券 4.375% 2033/12/5</v>
      </c>
      <c r="E32" s="95" t="str">
        <f ca="1">VLOOKUP(B32,bond!B:D,3,FALSE)</f>
        <v>Aaa / AAA / WD</v>
      </c>
      <c r="F32" s="99" t="str">
        <f ca="1">VLOOKUP(B32,bond!B:AB,27,FALSE)</f>
        <v>2033/12/5</v>
      </c>
      <c r="G32" s="90">
        <f ca="1">VLOOKUP(B32,bond!B:E,4,FALSE)</f>
        <v>9.43</v>
      </c>
      <c r="H32" s="202">
        <f ca="1">VLOOKUP(B32,bond!B:Y,24,FALSE)</f>
        <v>4.3749999999999997E-2</v>
      </c>
      <c r="I32" s="95">
        <f ca="1">VLOOKUP(B32,bond!B:Z,25,FALSE)</f>
        <v>2</v>
      </c>
      <c r="J32" s="180">
        <f ca="1">VLOOKUP(B32,bond!B:K,10,FALSE)</f>
        <v>0.3281</v>
      </c>
      <c r="K32" s="96">
        <f ca="1">VLOOKUP($B32,bond!B:S,14,FALSE)</f>
        <v>101.51</v>
      </c>
      <c r="L32" s="91" t="str">
        <f ca="1">VLOOKUP(B32,bond!B:H,7,FALSE)</f>
        <v>2024/7/2</v>
      </c>
      <c r="M32" s="144">
        <f ca="1">VLOOKUP($B32,bond!$B:$Q,16,FALSE)</f>
        <v>4.2200000000000001E-2</v>
      </c>
      <c r="N32" s="136">
        <f ca="1">VALUE(LEFT(VLOOKUP(B32,bond!B:R,17,FALSE),SEARCH(" ",VLOOKUP(B32,bond!B:R,17,FALSE),1)))</f>
        <v>10000</v>
      </c>
      <c r="O32" s="136">
        <f ca="1">VALUE(RIGHT(VLOOKUP(B32,bond!B:R,17,FALSE),LEN(VLOOKUP(B32,bond!B:R,17,FALSE))-LEN(N32)-3))</f>
        <v>1000</v>
      </c>
      <c r="P32" s="135" t="str">
        <f ca="1">VLOOKUP($B32,bond!$B:$AG,32,FALSE)</f>
        <v>2024/12/5</v>
      </c>
      <c r="Q32" s="135" t="str">
        <f ca="1">VLOOKUP($B32,bond!$B:$AH,33,FALSE)</f>
        <v>醫療保健</v>
      </c>
      <c r="R32" s="135" t="str">
        <f ca="1">VLOOKUP(B32,bond!B:AA,26,FALSE)</f>
        <v>嬌生公司</v>
      </c>
      <c r="S32" s="135" t="str">
        <f ca="1">VLOOKUP(B32,bond!B:AI,34,FALSE)</f>
        <v>JNJ</v>
      </c>
      <c r="T32" s="135" t="str">
        <f t="shared" ca="1" si="0"/>
        <v>嬌生公司/JNJ</v>
      </c>
      <c r="U32" s="207" t="str">
        <f ca="1">IFERROR(VLOOKUP(T32,Bond_DES!D:E,2,FALSE),VLOOKUP(S32,bond!AI:AJ,2,FALSE))</f>
        <v>嬌生公司(Johnson &amp; Johnson)全球市值前三大藥廠，且是全球最佳信用紀錄保持人，連續36年保持AAA評等，與微軟及蘋果並列為全球信評最佳企業；連續11年入選全球最受尊敬公司製藥行業榜單(Fortune 2024)且前10年排名第1，在基於處方藥銷售的全球製藥企業50強排行榜名列第1位(Pharm Exec 2024)。</v>
      </c>
      <c r="V32" s="136" t="str">
        <f ca="1">IFERROR(VLOOKUP(B32,'1_重設數據'!L:M,2,FALSE),IF(Q32="政府",IF(AD32&gt;16,"(NPI)非專投",IF(AD32&gt;10,"(PI)專投","高資產")),IF(VLOOKUP(B32,bond!B:AN,39,FALSE)="Y","(PI)專投",IF(AD32&gt;=15,"(NPI)非專投",IF(AD32&gt;=10,"(PI)專投","高資產")))))</f>
        <v>(NPI)非專投</v>
      </c>
      <c r="W32" s="136" t="str">
        <f ca="1">VLOOKUP(AD32,'credit rating'!$F$2:$H$22,3,FALSE)</f>
        <v>AAA</v>
      </c>
      <c r="X32" s="136" t="str">
        <f t="shared" ca="1" si="1"/>
        <v>Aaa</v>
      </c>
      <c r="Y32" s="136" t="str">
        <f t="shared" ca="1" si="2"/>
        <v>AAA</v>
      </c>
      <c r="Z32" s="136" t="str">
        <f t="shared" ca="1" si="3"/>
        <v>WD</v>
      </c>
      <c r="AA32" s="134">
        <f ca="1">IFERROR(VLOOKUP(X32,'credit rating'!A:C,3,FALSE),0)</f>
        <v>21</v>
      </c>
      <c r="AB32" s="134">
        <f ca="1">IFERROR(VLOOKUP(Y32,'credit rating'!B:C,2,FALSE),0)</f>
        <v>21</v>
      </c>
      <c r="AC32" s="136">
        <f ca="1">IFERROR(VLOOKUP(Z32,'credit rating'!B:C,2,FALSE),0)</f>
        <v>0</v>
      </c>
      <c r="AD32" s="136">
        <f t="shared" ca="1" si="4"/>
        <v>21</v>
      </c>
      <c r="AE32" s="249">
        <f ca="1">IFERROR(VLOOKUP(B32,bond!B:U,20,FALSE),"")</f>
        <v>4.2099999999999999E-2</v>
      </c>
      <c r="AF32" s="136" t="str">
        <f ca="1">IF(VLOOKUP(B32,bond!B:AK,36,FALSE)="#N/A Field Not Applicable","",VLOOKUP(B32,bond!B:AK,36,FALSE))</f>
        <v>2033/6/5</v>
      </c>
      <c r="AG32" s="136" t="str">
        <f ca="1">IF(VLOOKUP(B32,bond!B:AL,37,FALSE)="FIXED","固定",IF(VLOOKUP(B32,bond!B:AL,37,FALSE)="FLOATING","浮動",IF(VLOOKUP(B32,bond!B:AL,37,FALSE)="VARIABLE","變動",IF(VLOOKUP(B32,bond!B:AL,37,FALSE)="FLAT TRADING","不含息交易",IF(VLOOKUP(B32,bond!B:AL,37,FALSE)="ZERO COUPON","零息",VLOOKUP(B32,bond!B:AL,37,FALSE))))))</f>
        <v>固定</v>
      </c>
      <c r="AH32" s="136" t="str">
        <f>VLOOKUP(C32,'2_Check_code'!I:J,2,FALSE)</f>
        <v>美元(USD)</v>
      </c>
      <c r="AI32" s="136" t="str">
        <f t="shared" ca="1" si="5"/>
        <v>自由選清單</v>
      </c>
      <c r="AJ32" s="136">
        <f t="shared" ca="1" si="6"/>
        <v>0</v>
      </c>
      <c r="AK32" s="594" t="str">
        <f ca="1">IF(VLOOKUP(B32,bond!B:S,18,FALSE)="是","有",IF(VLOOKUP(B32,bond!B:S,18,FALSE)="NO OFFER","無","需查詢"))</f>
        <v>有</v>
      </c>
      <c r="AL32" s="136" t="str">
        <f>IF(VLOOKUP(A32,bond!F:AR,39,FALSE)="#N/A Field Not Applicable",VLOOKUP(A32,bond!F:AR,38,FALSE),IFERROR(VLOOKUP(A32,'7_發行日例外'!A:B,2,FALSE),VLOOKUP(A32,bond!F:AR,39,FALSE)))</f>
        <v>2013/12/5</v>
      </c>
      <c r="AM32" s="136" t="str">
        <f ca="1">VLOOKUP(B32,bond!B:AK,36,FALSE)</f>
        <v>2033/6/5</v>
      </c>
      <c r="AN32" s="136" t="str">
        <f ca="1">IFERROR(VLOOKUP(B32,'3_是否下架'!A:A,1,FALSE),"")</f>
        <v/>
      </c>
      <c r="AO32" s="136">
        <f ca="1">VLOOKUP(B32,bond!B:J,9,FALSE)</f>
        <v>98.68</v>
      </c>
      <c r="AP32" s="136">
        <f ca="1">VLOOKUP(B32,bond!B:V,21,FALSE)</f>
        <v>7.6245000000000003</v>
      </c>
    </row>
    <row r="33" spans="1:42">
      <c r="A33" s="141" t="str">
        <f>bond!F34</f>
        <v>US458140AT73</v>
      </c>
      <c r="B33" s="151" t="str">
        <f ca="1">IF($C$1=TRUE,bond!B34,"")</f>
        <v>XFK10</v>
      </c>
      <c r="C33" s="95" t="str">
        <f>VLOOKUP(A33,bond!F:G,2,FALSE)</f>
        <v>USD</v>
      </c>
      <c r="D33" s="142" t="str">
        <f ca="1">VLOOKUP(B33,bond!B:C,2,FALSE)</f>
        <v>英特爾公司美元配息債券 4.9% 2045/7/29</v>
      </c>
      <c r="E33" s="95" t="str">
        <f ca="1">VLOOKUP(B33,bond!B:D,3,FALSE)</f>
        <v>A3 / A- / A-</v>
      </c>
      <c r="F33" s="99" t="str">
        <f ca="1">VLOOKUP(B33,bond!B:AB,27,FALSE)</f>
        <v>2045/7/29</v>
      </c>
      <c r="G33" s="90">
        <f ca="1">VLOOKUP(B33,bond!B:E,4,FALSE)</f>
        <v>21.07</v>
      </c>
      <c r="H33" s="202">
        <f ca="1">VLOOKUP(B33,bond!B:Y,24,FALSE)</f>
        <v>4.9000000000000002E-2</v>
      </c>
      <c r="I33" s="95">
        <f ca="1">VLOOKUP(B33,bond!B:Z,25,FALSE)</f>
        <v>2</v>
      </c>
      <c r="J33" s="180">
        <f ca="1">VLOOKUP(B33,bond!B:K,10,FALSE)</f>
        <v>2.0825</v>
      </c>
      <c r="K33" s="96">
        <f ca="1">VLOOKUP($B33,bond!B:S,14,FALSE)</f>
        <v>97.24</v>
      </c>
      <c r="L33" s="91" t="str">
        <f ca="1">VLOOKUP(B33,bond!B:H,7,FALSE)</f>
        <v>2024/7/2</v>
      </c>
      <c r="M33" s="144">
        <f ca="1">VLOOKUP($B33,bond!$B:$Q,16,FALSE)</f>
        <v>5.28E-2</v>
      </c>
      <c r="N33" s="136">
        <f ca="1">VALUE(LEFT(VLOOKUP(B33,bond!B:R,17,FALSE),SEARCH(" ",VLOOKUP(B33,bond!B:R,17,FALSE),1)))</f>
        <v>10000</v>
      </c>
      <c r="O33" s="136">
        <f ca="1">VALUE(RIGHT(VLOOKUP(B33,bond!B:R,17,FALSE),LEN(VLOOKUP(B33,bond!B:R,17,FALSE))-LEN(N33)-3))</f>
        <v>1000</v>
      </c>
      <c r="P33" s="135" t="str">
        <f ca="1">VLOOKUP($B33,bond!$B:$AG,32,FALSE)</f>
        <v>2024/7/29</v>
      </c>
      <c r="Q33" s="135" t="str">
        <f ca="1">VLOOKUP($B33,bond!$B:$AH,33,FALSE)</f>
        <v>科技</v>
      </c>
      <c r="R33" s="135" t="str">
        <f ca="1">VLOOKUP(B33,bond!B:AA,26,FALSE)</f>
        <v>英特爾</v>
      </c>
      <c r="S33" s="135" t="str">
        <f ca="1">VLOOKUP(B33,bond!B:AI,34,FALSE)</f>
        <v>INTC</v>
      </c>
      <c r="T33" s="135" t="str">
        <f t="shared" ca="1" si="0"/>
        <v>英特爾/INTC</v>
      </c>
      <c r="U33" s="207" t="str">
        <f ca="1">IFERROR(VLOOKUP(T33,Bond_DES!D:E,2,FALSE),VLOOKUP(S33,bond!AI:AJ,2,FALSE))</f>
        <v>英特爾(Intel Corporation)1971年推出全球首個x86架構CPU，奠定其成為全球最大的中央處理器(CPU)生產商，當前產品應用範疇已擴展至邊緣運算、5G網路、雲端、AI和自動駕駛等領域。根據Gartner統計，2023年全球半導體企業營收排行榜，英特爾超越三星，奪回全球半導體龍頭寶座。</v>
      </c>
      <c r="V33" s="136" t="str">
        <f ca="1">IFERROR(VLOOKUP(B33,'1_重設數據'!L:M,2,FALSE),IF(Q33="政府",IF(AD33&gt;16,"(NPI)非專投",IF(AD33&gt;10,"(PI)專投","高資產")),IF(VLOOKUP(B33,bond!B:AN,39,FALSE)="Y","(PI)專投",IF(AD33&gt;=15,"(NPI)非專投",IF(AD33&gt;=10,"(PI)專投","高資產")))))</f>
        <v>(NPI)非專投</v>
      </c>
      <c r="W33" s="136" t="str">
        <f ca="1">VLOOKUP(AD33,'credit rating'!$F$2:$H$22,3,FALSE)</f>
        <v>A-</v>
      </c>
      <c r="X33" s="136" t="str">
        <f t="shared" ca="1" si="1"/>
        <v>A3</v>
      </c>
      <c r="Y33" s="136" t="str">
        <f t="shared" ca="1" si="2"/>
        <v>A-</v>
      </c>
      <c r="Z33" s="136" t="str">
        <f t="shared" ca="1" si="3"/>
        <v>A-</v>
      </c>
      <c r="AA33" s="134">
        <f ca="1">IFERROR(VLOOKUP(X33,'credit rating'!A:C,3,FALSE),0)</f>
        <v>15</v>
      </c>
      <c r="AB33" s="134">
        <f ca="1">IFERROR(VLOOKUP(Y33,'credit rating'!B:C,2,FALSE),0)</f>
        <v>15</v>
      </c>
      <c r="AC33" s="136">
        <f ca="1">IFERROR(VLOOKUP(Z33,'credit rating'!B:C,2,FALSE),0)</f>
        <v>15</v>
      </c>
      <c r="AD33" s="136">
        <f t="shared" ca="1" si="4"/>
        <v>15</v>
      </c>
      <c r="AE33" s="249">
        <f ca="1">IFERROR(VLOOKUP(B33,bond!B:U,20,FALSE),"")</f>
        <v>5.2900000000000003E-2</v>
      </c>
      <c r="AF33" s="136" t="str">
        <f ca="1">IF(VLOOKUP(B33,bond!B:AK,36,FALSE)="#N/A Field Not Applicable","",VLOOKUP(B33,bond!B:AK,36,FALSE))</f>
        <v>2045/1/29</v>
      </c>
      <c r="AG33" s="136" t="str">
        <f ca="1">IF(VLOOKUP(B33,bond!B:AL,37,FALSE)="FIXED","固定",IF(VLOOKUP(B33,bond!B:AL,37,FALSE)="FLOATING","浮動",IF(VLOOKUP(B33,bond!B:AL,37,FALSE)="VARIABLE","變動",IF(VLOOKUP(B33,bond!B:AL,37,FALSE)="FLAT TRADING","不含息交易",IF(VLOOKUP(B33,bond!B:AL,37,FALSE)="ZERO COUPON","零息",VLOOKUP(B33,bond!B:AL,37,FALSE))))))</f>
        <v>固定</v>
      </c>
      <c r="AH33" s="136" t="str">
        <f>VLOOKUP(C33,'2_Check_code'!I:J,2,FALSE)</f>
        <v>美元(USD)</v>
      </c>
      <c r="AI33" s="136" t="str">
        <f t="shared" ca="1" si="5"/>
        <v>自由選清單</v>
      </c>
      <c r="AJ33" s="136">
        <f t="shared" ca="1" si="6"/>
        <v>0</v>
      </c>
      <c r="AK33" s="594" t="str">
        <f ca="1">IF(VLOOKUP(B33,bond!B:S,18,FALSE)="是","有",IF(VLOOKUP(B33,bond!B:S,18,FALSE)="NO OFFER","無","需查詢"))</f>
        <v>有</v>
      </c>
      <c r="AL33" s="136" t="str">
        <f>IF(VLOOKUP(A33,bond!F:AR,39,FALSE)="#N/A Field Not Applicable",VLOOKUP(A33,bond!F:AR,38,FALSE),IFERROR(VLOOKUP(A33,'7_發行日例外'!A:B,2,FALSE),VLOOKUP(A33,bond!F:AR,39,FALSE)))</f>
        <v>2015/7/29</v>
      </c>
      <c r="AM33" s="136" t="str">
        <f ca="1">VLOOKUP(B33,bond!B:AK,36,FALSE)</f>
        <v>2045/1/29</v>
      </c>
      <c r="AN33" s="136" t="str">
        <f ca="1">IFERROR(VLOOKUP(B33,'3_是否下架'!A:A,1,FALSE),"")</f>
        <v/>
      </c>
      <c r="AO33" s="136">
        <f ca="1">VLOOKUP(B33,bond!B:J,9,FALSE)</f>
        <v>92.160000000000011</v>
      </c>
      <c r="AP33" s="136">
        <f ca="1">VLOOKUP(B33,bond!B:V,21,FALSE)</f>
        <v>12.4467</v>
      </c>
    </row>
    <row r="34" spans="1:42">
      <c r="A34" s="141" t="str">
        <f>bond!F35</f>
        <v>US71654QCG55</v>
      </c>
      <c r="B34" s="151" t="str">
        <f ca="1">IF($C$1=TRUE,bond!B35,"")</f>
        <v>XFK20</v>
      </c>
      <c r="C34" s="95" t="str">
        <f>VLOOKUP(A34,bond!F:G,2,FALSE)</f>
        <v>USD</v>
      </c>
      <c r="D34" s="142" t="str">
        <f ca="1">VLOOKUP(B34,bond!B:C,2,FALSE)</f>
        <v>墨西哥石油公司美元配息債券 6.5% 2027/3/13</v>
      </c>
      <c r="E34" s="95" t="str">
        <f ca="1">VLOOKUP(B34,bond!B:D,3,FALSE)</f>
        <v>B3 / BBB / B+u</v>
      </c>
      <c r="F34" s="99" t="str">
        <f ca="1">VLOOKUP(B34,bond!B:AB,27,FALSE)</f>
        <v>2027/3/13</v>
      </c>
      <c r="G34" s="90">
        <f ca="1">VLOOKUP(B34,bond!B:E,4,FALSE)</f>
        <v>2.69</v>
      </c>
      <c r="H34" s="202">
        <f ca="1">VLOOKUP(B34,bond!B:Y,24,FALSE)</f>
        <v>6.5000000000000002E-2</v>
      </c>
      <c r="I34" s="95">
        <f ca="1">VLOOKUP(B34,bond!B:Z,25,FALSE)</f>
        <v>2</v>
      </c>
      <c r="J34" s="180">
        <f ca="1">VLOOKUP(B34,bond!B:K,10,FALSE)</f>
        <v>1.9681</v>
      </c>
      <c r="K34" s="96">
        <f ca="1">VLOOKUP($B34,bond!B:S,14,FALSE)</f>
        <v>99.47</v>
      </c>
      <c r="L34" s="91" t="str">
        <f ca="1">VLOOKUP(B34,bond!B:H,7,FALSE)</f>
        <v>2024/7/2</v>
      </c>
      <c r="M34" s="144">
        <f ca="1">VLOOKUP($B34,bond!$B:$Q,16,FALSE)</f>
        <v>7.5399999999999995E-2</v>
      </c>
      <c r="N34" s="136">
        <f ca="1">VALUE(LEFT(VLOOKUP(B34,bond!B:R,17,FALSE),SEARCH(" ",VLOOKUP(B34,bond!B:R,17,FALSE),1)))</f>
        <v>10000</v>
      </c>
      <c r="O34" s="136">
        <f ca="1">VALUE(RIGHT(VLOOKUP(B34,bond!B:R,17,FALSE),LEN(VLOOKUP(B34,bond!B:R,17,FALSE))-LEN(N34)-3))</f>
        <v>1000</v>
      </c>
      <c r="P34" s="135" t="str">
        <f ca="1">VLOOKUP($B34,bond!$B:$AG,32,FALSE)</f>
        <v>2024/9/13</v>
      </c>
      <c r="Q34" s="135" t="str">
        <f ca="1">VLOOKUP($B34,bond!$B:$AH,33,FALSE)</f>
        <v>能源</v>
      </c>
      <c r="R34" s="135" t="str">
        <f ca="1">VLOOKUP(B34,bond!B:AA,26,FALSE)</f>
        <v>墨西哥石油公司</v>
      </c>
      <c r="S34" s="135" t="str">
        <f ca="1">VLOOKUP(B34,bond!B:AI,34,FALSE)</f>
        <v>PEMEX</v>
      </c>
      <c r="T34" s="135" t="str">
        <f t="shared" ca="1" si="0"/>
        <v>墨西哥石油公司/PEMEX</v>
      </c>
      <c r="U34" s="207" t="str">
        <f ca="1">IFERROR(VLOOKUP(T34,Bond_DES!D:E,2,FALSE),VLOOKUP(S34,bond!AI:AJ,2,FALSE))</f>
        <v>墨西哥石油(Petroleos Mexicanos)為一整合性石油公司，提供從勘探、生產、工業加工提煉、物流到市場營銷等完整服務。為墨西哥政府最大的稅收貢獻者及主要外匯收入來源企業，亦為拉丁美洲最大的公司之一。</v>
      </c>
      <c r="V34" s="136" t="str">
        <f ca="1">IFERROR(VLOOKUP(B34,'1_重設數據'!L:M,2,FALSE),IF(Q34="政府",IF(AD34&gt;16,"(NPI)非專投",IF(AD34&gt;10,"(PI)專投","高資產")),IF(VLOOKUP(B34,bond!B:AN,39,FALSE)="Y","(PI)專投",IF(AD34&gt;=15,"(NPI)非專投",IF(AD34&gt;=10,"(PI)專投","高資產")))))</f>
        <v>高資產</v>
      </c>
      <c r="W34" s="136" t="str">
        <f ca="1">VLOOKUP(AD34,'credit rating'!$F$2:$H$22,3,FALSE)</f>
        <v>BBB</v>
      </c>
      <c r="X34" s="136" t="str">
        <f t="shared" ca="1" si="1"/>
        <v>B3</v>
      </c>
      <c r="Y34" s="136" t="str">
        <f t="shared" ca="1" si="2"/>
        <v>BBB</v>
      </c>
      <c r="Z34" s="136" t="str">
        <f t="shared" ca="1" si="3"/>
        <v>B+u</v>
      </c>
      <c r="AA34" s="134">
        <f ca="1">IFERROR(VLOOKUP(X34,'credit rating'!A:C,3,FALSE),0)</f>
        <v>6</v>
      </c>
      <c r="AB34" s="134">
        <f ca="1">IFERROR(VLOOKUP(Y34,'credit rating'!B:C,2,FALSE),0)</f>
        <v>13</v>
      </c>
      <c r="AC34" s="136">
        <f ca="1">IFERROR(VLOOKUP(Z34,'credit rating'!B:C,2,FALSE),0)</f>
        <v>8</v>
      </c>
      <c r="AD34" s="136">
        <f t="shared" ca="1" si="4"/>
        <v>13</v>
      </c>
      <c r="AE34" s="249" t="str">
        <f ca="1">IFERROR(VLOOKUP(B34,bond!B:U,20,FALSE),"")</f>
        <v xml:space="preserve"> </v>
      </c>
      <c r="AF34" s="136" t="str">
        <f ca="1">IF(VLOOKUP(B34,bond!B:AK,36,FALSE)="#N/A Field Not Applicable","",VLOOKUP(B34,bond!B:AK,36,FALSE))</f>
        <v/>
      </c>
      <c r="AG34" s="136" t="str">
        <f ca="1">IF(VLOOKUP(B34,bond!B:AL,37,FALSE)="FIXED","固定",IF(VLOOKUP(B34,bond!B:AL,37,FALSE)="FLOATING","浮動",IF(VLOOKUP(B34,bond!B:AL,37,FALSE)="VARIABLE","變動",IF(VLOOKUP(B34,bond!B:AL,37,FALSE)="FLAT TRADING","不含息交易",IF(VLOOKUP(B34,bond!B:AL,37,FALSE)="ZERO COUPON","零息",VLOOKUP(B34,bond!B:AL,37,FALSE))))))</f>
        <v>固定</v>
      </c>
      <c r="AH34" s="136" t="str">
        <f>VLOOKUP(C34,'2_Check_code'!I:J,2,FALSE)</f>
        <v>美元(USD)</v>
      </c>
      <c r="AI34" s="136" t="str">
        <f t="shared" ca="1" si="5"/>
        <v>自由選清單</v>
      </c>
      <c r="AJ34" s="136">
        <f t="shared" ca="1" si="6"/>
        <v>0</v>
      </c>
      <c r="AK34" s="594" t="str">
        <f ca="1">IF(VLOOKUP(B34,bond!B:S,18,FALSE)="是","有",IF(VLOOKUP(B34,bond!B:S,18,FALSE)="NO OFFER","無","需查詢"))</f>
        <v>有</v>
      </c>
      <c r="AL34" s="136">
        <f>IF(VLOOKUP(A34,bond!F:AR,39,FALSE)="#N/A Field Not Applicable",VLOOKUP(A34,bond!F:AR,38,FALSE),IFERROR(VLOOKUP(A34,'7_發行日例外'!A:B,2,FALSE),VLOOKUP(A34,bond!F:AR,39,FALSE)))</f>
        <v>42717</v>
      </c>
      <c r="AM34" s="136" t="str">
        <f ca="1">VLOOKUP(B34,bond!B:AK,36,FALSE)</f>
        <v>#N/A Field Not Applicable</v>
      </c>
      <c r="AN34" s="136" t="str">
        <f ca="1">IFERROR(VLOOKUP(B34,'3_是否下架'!A:A,1,FALSE),"")</f>
        <v/>
      </c>
      <c r="AO34" s="136">
        <f ca="1">VLOOKUP(B34,bond!B:J,9,FALSE)</f>
        <v>96.300000000000011</v>
      </c>
      <c r="AP34" s="136">
        <f ca="1">VLOOKUP(B34,bond!B:V,21,FALSE)</f>
        <v>2.37</v>
      </c>
    </row>
    <row r="35" spans="1:42">
      <c r="A35" s="141" t="str">
        <f>bond!F36</f>
        <v>XS1615104244</v>
      </c>
      <c r="B35" s="151" t="str">
        <f ca="1">IF($C$1=TRUE,bond!B36,"")</f>
        <v>XFK30</v>
      </c>
      <c r="C35" s="95" t="str">
        <f>VLOOKUP(A35,bond!F:G,2,FALSE)</f>
        <v>AUD</v>
      </c>
      <c r="D35" s="142" t="str">
        <f ca="1">VLOOKUP(B35,bond!B:C,2,FALSE)</f>
        <v>法國興業銀行澳幣年配息債券 5% 2027/5/19</v>
      </c>
      <c r="E35" s="95" t="str">
        <f ca="1">VLOOKUP(B35,bond!B:D,3,FALSE)</f>
        <v>Baa3 / BBB- / BBB</v>
      </c>
      <c r="F35" s="99" t="str">
        <f ca="1">VLOOKUP(B35,bond!B:AB,27,FALSE)</f>
        <v>2027/5/19</v>
      </c>
      <c r="G35" s="90">
        <f ca="1">VLOOKUP(B35,bond!B:E,4,FALSE)</f>
        <v>2.87</v>
      </c>
      <c r="H35" s="202">
        <f ca="1">VLOOKUP(B35,bond!B:Y,24,FALSE)</f>
        <v>0.05</v>
      </c>
      <c r="I35" s="95">
        <f ca="1">VLOOKUP(B35,bond!B:Z,25,FALSE)</f>
        <v>1</v>
      </c>
      <c r="J35" s="180">
        <f ca="1">VLOOKUP(B35,bond!B:K,10,FALSE)</f>
        <v>0.61639999999999995</v>
      </c>
      <c r="K35" s="96">
        <f ca="1">VLOOKUP($B35,bond!B:S,14,FALSE)</f>
        <v>100.7</v>
      </c>
      <c r="L35" s="91" t="str">
        <f ca="1">VLOOKUP(B35,bond!B:H,7,FALSE)</f>
        <v>2024/7/3</v>
      </c>
      <c r="M35" s="144">
        <f ca="1">VLOOKUP($B35,bond!$B:$Q,16,FALSE)</f>
        <v>4.9599999999999998E-2</v>
      </c>
      <c r="N35" s="136">
        <f ca="1">VALUE(LEFT(VLOOKUP(B35,bond!B:R,17,FALSE),SEARCH(" ",VLOOKUP(B35,bond!B:R,17,FALSE),1)))</f>
        <v>200000</v>
      </c>
      <c r="O35" s="136">
        <f ca="1">VALUE(RIGHT(VLOOKUP(B35,bond!B:R,17,FALSE),LEN(VLOOKUP(B35,bond!B:R,17,FALSE))-LEN(N35)-3))</f>
        <v>2000</v>
      </c>
      <c r="P35" s="135" t="str">
        <f ca="1">VLOOKUP($B35,bond!$B:$AG,32,FALSE)</f>
        <v>2025/5/19</v>
      </c>
      <c r="Q35" s="135" t="str">
        <f ca="1">VLOOKUP($B35,bond!$B:$AH,33,FALSE)</f>
        <v>金融</v>
      </c>
      <c r="R35" s="135" t="str">
        <f ca="1">VLOOKUP(B35,bond!B:AA,26,FALSE)</f>
        <v>法國興業銀行股份有限公司</v>
      </c>
      <c r="S35" s="135" t="str">
        <f ca="1">VLOOKUP(B35,bond!B:AI,34,FALSE)</f>
        <v>SOCGEN</v>
      </c>
      <c r="T35" s="135" t="str">
        <f t="shared" ca="1" si="0"/>
        <v>法國興業銀行股份有限公司/SOCGEN</v>
      </c>
      <c r="U35" s="207" t="str">
        <f ca="1">IFERROR(VLOOKUP(T35,Bond_DES!D:E,2,FALSE),VLOOKUP(S35,bond!AI:AJ,2,FALSE))</f>
        <v>法國興業銀行(Societe Generale)提供商業、零售、投資，以及私人銀行服務。該銀行提供消費信貸、車輛租賃融資、資訊科技設備租賃、壽險及非壽險、保管、貿易與專案融資、匯兌、財資、金融，以及商品經紀服務。法國興業銀行服務全球客戶。</v>
      </c>
      <c r="V35" s="136" t="str">
        <f ca="1">IFERROR(VLOOKUP(B35,'1_重設數據'!L:M,2,FALSE),IF(Q35="政府",IF(AD35&gt;16,"(NPI)非專投",IF(AD35&gt;10,"(PI)專投","高資產")),IF(VLOOKUP(B35,bond!B:AN,39,FALSE)="Y","(PI)專投",IF(AD35&gt;=15,"(NPI)非專投",IF(AD35&gt;=10,"(PI)專投","高資產")))))</f>
        <v>(PI)專投</v>
      </c>
      <c r="W35" s="136" t="str">
        <f ca="1">VLOOKUP(AD35,'credit rating'!$F$2:$H$22,3,FALSE)</f>
        <v>BBB</v>
      </c>
      <c r="X35" s="136" t="str">
        <f t="shared" ca="1" si="1"/>
        <v>Baa3</v>
      </c>
      <c r="Y35" s="136" t="str">
        <f t="shared" ca="1" si="2"/>
        <v>BBB-</v>
      </c>
      <c r="Z35" s="136" t="str">
        <f t="shared" ca="1" si="3"/>
        <v>BBB</v>
      </c>
      <c r="AA35" s="134">
        <f ca="1">IFERROR(VLOOKUP(X35,'credit rating'!A:C,3,FALSE),0)</f>
        <v>12</v>
      </c>
      <c r="AB35" s="134">
        <f ca="1">IFERROR(VLOOKUP(Y35,'credit rating'!B:C,2,FALSE),0)</f>
        <v>12</v>
      </c>
      <c r="AC35" s="136">
        <f ca="1">IFERROR(VLOOKUP(Z35,'credit rating'!B:C,2,FALSE),0)</f>
        <v>13</v>
      </c>
      <c r="AD35" s="136">
        <f t="shared" ca="1" si="4"/>
        <v>13</v>
      </c>
      <c r="AE35" s="249" t="str">
        <f ca="1">IFERROR(VLOOKUP(B35,bond!B:U,20,FALSE),"")</f>
        <v xml:space="preserve"> </v>
      </c>
      <c r="AF35" s="136" t="str">
        <f ca="1">IF(VLOOKUP(B35,bond!B:AK,36,FALSE)="#N/A Field Not Applicable","",VLOOKUP(B35,bond!B:AK,36,FALSE))</f>
        <v/>
      </c>
      <c r="AG35" s="136" t="str">
        <f ca="1">IF(VLOOKUP(B35,bond!B:AL,37,FALSE)="FIXED","固定",IF(VLOOKUP(B35,bond!B:AL,37,FALSE)="FLOATING","浮動",IF(VLOOKUP(B35,bond!B:AL,37,FALSE)="VARIABLE","變動",IF(VLOOKUP(B35,bond!B:AL,37,FALSE)="FLAT TRADING","不含息交易",IF(VLOOKUP(B35,bond!B:AL,37,FALSE)="ZERO COUPON","零息",VLOOKUP(B35,bond!B:AL,37,FALSE))))))</f>
        <v>固定</v>
      </c>
      <c r="AH35" s="136" t="str">
        <f>VLOOKUP(C35,'2_Check_code'!I:J,2,FALSE)</f>
        <v>澳幣(AUD)</v>
      </c>
      <c r="AI35" s="136" t="str">
        <f t="shared" ca="1" si="5"/>
        <v/>
      </c>
      <c r="AJ35" s="136">
        <f t="shared" ca="1" si="6"/>
        <v>1</v>
      </c>
      <c r="AK35" s="594" t="str">
        <f ca="1">IF(VLOOKUP(B35,bond!B:S,18,FALSE)="是","有",IF(VLOOKUP(B35,bond!B:S,18,FALSE)="NO OFFER","無","需查詢"))</f>
        <v>需查詢</v>
      </c>
      <c r="AL35" s="136" t="str">
        <f>IF(VLOOKUP(A35,bond!F:AR,39,FALSE)="#N/A Field Not Applicable",VLOOKUP(A35,bond!F:AR,38,FALSE),IFERROR(VLOOKUP(A35,'7_發行日例外'!A:B,2,FALSE),VLOOKUP(A35,bond!F:AR,39,FALSE)))</f>
        <v>2017/5/19</v>
      </c>
      <c r="AM35" s="136" t="str">
        <f ca="1">VLOOKUP(B35,bond!B:AK,36,FALSE)</f>
        <v>#N/A Field Not Applicable</v>
      </c>
      <c r="AN35" s="136" t="str">
        <f ca="1">IFERROR(VLOOKUP(B35,'3_是否下架'!A:A,1,FALSE),"")</f>
        <v/>
      </c>
      <c r="AO35" s="136">
        <f ca="1">VLOOKUP(B35,bond!B:J,9,FALSE)</f>
        <v>98.88000000000001</v>
      </c>
      <c r="AP35" s="136">
        <f ca="1">VLOOKUP(B35,bond!B:V,21,FALSE)</f>
        <v>2.6614</v>
      </c>
    </row>
    <row r="36" spans="1:42">
      <c r="A36" s="141" t="str">
        <f>bond!F37</f>
        <v>US02079KAC18</v>
      </c>
      <c r="B36" s="151" t="str">
        <f ca="1">IF($C$1=TRUE,bond!B37,"")</f>
        <v>XFK60</v>
      </c>
      <c r="C36" s="95" t="str">
        <f>VLOOKUP(A36,bond!F:G,2,FALSE)</f>
        <v>USD</v>
      </c>
      <c r="D36" s="142" t="str">
        <f ca="1">VLOOKUP(B36,bond!B:C,2,FALSE)</f>
        <v>Alphabet公司美元配息債券 1.998% 2026/8/15</v>
      </c>
      <c r="E36" s="95" t="str">
        <f ca="1">VLOOKUP(B36,bond!B:D,3,FALSE)</f>
        <v>Aa2 / AA+ / -</v>
      </c>
      <c r="F36" s="99" t="str">
        <f ca="1">VLOOKUP(B36,bond!B:AB,27,FALSE)</f>
        <v>2026/8/15</v>
      </c>
      <c r="G36" s="90">
        <f ca="1">VLOOKUP(B36,bond!B:E,4,FALSE)</f>
        <v>2.12</v>
      </c>
      <c r="H36" s="202">
        <f ca="1">VLOOKUP(B36,bond!B:Y,24,FALSE)</f>
        <v>1.9980000000000001E-2</v>
      </c>
      <c r="I36" s="95">
        <f ca="1">VLOOKUP(B36,bond!B:Z,25,FALSE)</f>
        <v>2</v>
      </c>
      <c r="J36" s="180">
        <f ca="1">VLOOKUP(B36,bond!B:K,10,FALSE)</f>
        <v>0.76039999999999996</v>
      </c>
      <c r="K36" s="96">
        <f ca="1">VLOOKUP($B36,bond!B:S,14,FALSE)</f>
        <v>96.9</v>
      </c>
      <c r="L36" s="91" t="str">
        <f ca="1">VLOOKUP(B36,bond!B:H,7,FALSE)</f>
        <v>2024/7/2</v>
      </c>
      <c r="M36" s="144">
        <f ca="1">VLOOKUP($B36,bond!$B:$Q,16,FALSE)</f>
        <v>3.9100000000000003E-2</v>
      </c>
      <c r="N36" s="136">
        <f ca="1">VALUE(LEFT(VLOOKUP(B36,bond!B:R,17,FALSE),SEARCH(" ",VLOOKUP(B36,bond!B:R,17,FALSE),1)))</f>
        <v>10000</v>
      </c>
      <c r="O36" s="136">
        <f ca="1">VALUE(RIGHT(VLOOKUP(B36,bond!B:R,17,FALSE),LEN(VLOOKUP(B36,bond!B:R,17,FALSE))-LEN(N36)-3))</f>
        <v>1000</v>
      </c>
      <c r="P36" s="135" t="str">
        <f ca="1">VLOOKUP($B36,bond!$B:$AG,32,FALSE)</f>
        <v>2024/8/15</v>
      </c>
      <c r="Q36" s="135" t="str">
        <f ca="1">VLOOKUP($B36,bond!$B:$AH,33,FALSE)</f>
        <v>通訊</v>
      </c>
      <c r="R36" s="135" t="str">
        <f ca="1">VLOOKUP(B36,bond!B:AA,26,FALSE)</f>
        <v>Alphabet公司</v>
      </c>
      <c r="S36" s="135" t="str">
        <f ca="1">VLOOKUP(B36,bond!B:AI,34,FALSE)</f>
        <v>GOOGL</v>
      </c>
      <c r="T36" s="135" t="str">
        <f t="shared" ca="1" si="0"/>
        <v>Alphabet公司/GOOGL</v>
      </c>
      <c r="U36" s="207" t="str">
        <f ca="1">IFERROR(VLOOKUP(T36,Bond_DES!D:E,2,FALSE),VLOOKUP(S36,bond!AI:AJ,2,FALSE))</f>
        <v>字母控股(Alphabet Inc.)為Google的母公司，旗下Google作為全球領先的網路搜尋引擎和數位廣告服務商；Google Cloud為全球前三大雲端服務平台；Waymo則為自駕車領域的領導廠商，並為2024年《Brand Finance》全球最具價值品牌排行第3位。</v>
      </c>
      <c r="V36" s="136" t="str">
        <f ca="1">IFERROR(VLOOKUP(B36,'1_重設數據'!L:M,2,FALSE),IF(Q36="政府",IF(AD36&gt;16,"(NPI)非專投",IF(AD36&gt;10,"(PI)專投","高資產")),IF(VLOOKUP(B36,bond!B:AN,39,FALSE)="Y","(PI)專投",IF(AD36&gt;=15,"(NPI)非專投",IF(AD36&gt;=10,"(PI)專投","高資產")))))</f>
        <v>(NPI)非專投</v>
      </c>
      <c r="W36" s="136" t="str">
        <f ca="1">VLOOKUP(AD36,'credit rating'!$F$2:$H$22,3,FALSE)</f>
        <v>AA+</v>
      </c>
      <c r="X36" s="136" t="str">
        <f t="shared" ca="1" si="1"/>
        <v>Aa2</v>
      </c>
      <c r="Y36" s="136" t="str">
        <f t="shared" ca="1" si="2"/>
        <v>AA+</v>
      </c>
      <c r="Z36" s="136" t="str">
        <f t="shared" ca="1" si="3"/>
        <v>-</v>
      </c>
      <c r="AA36" s="134">
        <f ca="1">IFERROR(VLOOKUP(X36,'credit rating'!A:C,3,FALSE),0)</f>
        <v>19</v>
      </c>
      <c r="AB36" s="134">
        <f ca="1">IFERROR(VLOOKUP(Y36,'credit rating'!B:C,2,FALSE),0)</f>
        <v>20</v>
      </c>
      <c r="AC36" s="136">
        <f ca="1">IFERROR(VLOOKUP(Z36,'credit rating'!B:C,2,FALSE),0)</f>
        <v>0</v>
      </c>
      <c r="AD36" s="136">
        <f t="shared" ca="1" si="4"/>
        <v>20</v>
      </c>
      <c r="AE36" s="249">
        <f ca="1">IFERROR(VLOOKUP(B36,bond!B:U,20,FALSE),"")</f>
        <v>4.1700000000000001E-2</v>
      </c>
      <c r="AF36" s="136" t="str">
        <f ca="1">IF(VLOOKUP(B36,bond!B:AK,36,FALSE)="#N/A Field Not Applicable","",VLOOKUP(B36,bond!B:AK,36,FALSE))</f>
        <v>2026/5/15</v>
      </c>
      <c r="AG36" s="136" t="str">
        <f ca="1">IF(VLOOKUP(B36,bond!B:AL,37,FALSE)="FIXED","固定",IF(VLOOKUP(B36,bond!B:AL,37,FALSE)="FLOATING","浮動",IF(VLOOKUP(B36,bond!B:AL,37,FALSE)="VARIABLE","變動",IF(VLOOKUP(B36,bond!B:AL,37,FALSE)="FLAT TRADING","不含息交易",IF(VLOOKUP(B36,bond!B:AL,37,FALSE)="ZERO COUPON","零息",VLOOKUP(B36,bond!B:AL,37,FALSE))))))</f>
        <v>固定</v>
      </c>
      <c r="AH36" s="136" t="str">
        <f>VLOOKUP(C36,'2_Check_code'!I:J,2,FALSE)</f>
        <v>美元(USD)</v>
      </c>
      <c r="AI36" s="136" t="str">
        <f t="shared" ca="1" si="5"/>
        <v>自由選清單</v>
      </c>
      <c r="AJ36" s="136">
        <f t="shared" ca="1" si="6"/>
        <v>0</v>
      </c>
      <c r="AK36" s="594" t="str">
        <f ca="1">IF(VLOOKUP(B36,bond!B:S,18,FALSE)="是","有",IF(VLOOKUP(B36,bond!B:S,18,FALSE)="NO OFFER","無","需查詢"))</f>
        <v>有</v>
      </c>
      <c r="AL36" s="136" t="str">
        <f>IF(VLOOKUP(A36,bond!F:AR,39,FALSE)="#N/A Field Not Applicable",VLOOKUP(A36,bond!F:AR,38,FALSE),IFERROR(VLOOKUP(A36,'7_發行日例外'!A:B,2,FALSE),VLOOKUP(A36,bond!F:AR,39,FALSE)))</f>
        <v>2016/8/9</v>
      </c>
      <c r="AM36" s="136" t="str">
        <f ca="1">VLOOKUP(B36,bond!B:AK,36,FALSE)</f>
        <v>2026/5/15</v>
      </c>
      <c r="AN36" s="136" t="str">
        <f ca="1">IFERROR(VLOOKUP(B36,'3_是否下架'!A:A,1,FALSE),"")</f>
        <v>XFK60</v>
      </c>
      <c r="AO36" s="136">
        <f ca="1">VLOOKUP(B36,bond!B:J,9,FALSE)</f>
        <v>94.64</v>
      </c>
      <c r="AP36" s="136">
        <f ca="1">VLOOKUP(B36,bond!B:V,21,FALSE)</f>
        <v>2.0238</v>
      </c>
    </row>
    <row r="37" spans="1:42">
      <c r="A37" s="141" t="str">
        <f>bond!F38</f>
        <v>US023135AQ91</v>
      </c>
      <c r="B37" s="151" t="str">
        <f ca="1">IF($C$1=TRUE,bond!B38,"")</f>
        <v>XFK70</v>
      </c>
      <c r="C37" s="95" t="str">
        <f>VLOOKUP(A37,bond!F:G,2,FALSE)</f>
        <v>USD</v>
      </c>
      <c r="D37" s="142" t="str">
        <f ca="1">VLOOKUP(B37,bond!B:C,2,FALSE)</f>
        <v>亞馬遜公司美元配息債券 4.95% 2044/12/5</v>
      </c>
      <c r="E37" s="95" t="str">
        <f ca="1">VLOOKUP(B37,bond!B:D,3,FALSE)</f>
        <v>A1 / AA / AA-</v>
      </c>
      <c r="F37" s="99" t="str">
        <f ca="1">VLOOKUP(B37,bond!B:AB,27,FALSE)</f>
        <v>2044/12/5</v>
      </c>
      <c r="G37" s="90">
        <f ca="1">VLOOKUP(B37,bond!B:E,4,FALSE)</f>
        <v>20.43</v>
      </c>
      <c r="H37" s="202">
        <f ca="1">VLOOKUP(B37,bond!B:Y,24,FALSE)</f>
        <v>4.9500000000000002E-2</v>
      </c>
      <c r="I37" s="95">
        <f ca="1">VLOOKUP(B37,bond!B:Z,25,FALSE)</f>
        <v>2</v>
      </c>
      <c r="J37" s="180">
        <f ca="1">VLOOKUP(B37,bond!B:K,10,FALSE)</f>
        <v>0.37130000000000002</v>
      </c>
      <c r="K37" s="96">
        <f ca="1">VLOOKUP($B37,bond!B:S,14,FALSE)</f>
        <v>100.91</v>
      </c>
      <c r="L37" s="91" t="str">
        <f ca="1">VLOOKUP(B37,bond!B:H,7,FALSE)</f>
        <v>2024/7/2</v>
      </c>
      <c r="M37" s="144">
        <f ca="1">VLOOKUP($B37,bond!$B:$Q,16,FALSE)</f>
        <v>4.9099999999999998E-2</v>
      </c>
      <c r="N37" s="136">
        <f ca="1">VALUE(LEFT(VLOOKUP(B37,bond!B:R,17,FALSE),SEARCH(" ",VLOOKUP(B37,bond!B:R,17,FALSE),1)))</f>
        <v>2000</v>
      </c>
      <c r="O37" s="136">
        <f ca="1">VALUE(RIGHT(VLOOKUP(B37,bond!B:R,17,FALSE),LEN(VLOOKUP(B37,bond!B:R,17,FALSE))-LEN(N37)-3))</f>
        <v>1000</v>
      </c>
      <c r="P37" s="135" t="str">
        <f ca="1">VLOOKUP($B37,bond!$B:$AG,32,FALSE)</f>
        <v>2024/12/5</v>
      </c>
      <c r="Q37" s="135" t="str">
        <f ca="1">VLOOKUP($B37,bond!$B:$AH,33,FALSE)</f>
        <v>非核心消費</v>
      </c>
      <c r="R37" s="135" t="str">
        <f ca="1">VLOOKUP(B37,bond!B:AA,26,FALSE)</f>
        <v>亞馬遜公司</v>
      </c>
      <c r="S37" s="135" t="str">
        <f ca="1">VLOOKUP(B37,bond!B:AI,34,FALSE)</f>
        <v>AMZN</v>
      </c>
      <c r="T37" s="135" t="str">
        <f t="shared" ca="1" si="0"/>
        <v>亞馬遜公司/AMZN</v>
      </c>
      <c r="U37" s="207" t="str">
        <f ca="1">IFERROR(VLOOKUP(T37,Bond_DES!D:E,2,FALSE),VLOOKUP(S37,bond!AI:AJ,2,FALSE))</f>
        <v>亞馬遜公司(Amazon.com, Inc.)按營收為美國第2大、全球第4大企業(Fortune 2023)，是全球最大的網路零售商與雲端基礎建設供應商，商品銷售市占在美國達5成、雲端AWS囊括全球1/3市占，並在全球擁有超過2億的Prime付費會員。</v>
      </c>
      <c r="V37" s="136" t="str">
        <f ca="1">IFERROR(VLOOKUP(B37,'1_重設數據'!L:M,2,FALSE),IF(Q37="政府",IF(AD37&gt;16,"(NPI)非專投",IF(AD37&gt;10,"(PI)專投","高資產")),IF(VLOOKUP(B37,bond!B:AN,39,FALSE)="Y","(PI)專投",IF(AD37&gt;=15,"(NPI)非專投",IF(AD37&gt;=10,"(PI)專投","高資產")))))</f>
        <v>(NPI)非專投</v>
      </c>
      <c r="W37" s="136" t="str">
        <f ca="1">VLOOKUP(AD37,'credit rating'!$F$2:$H$22,3,FALSE)</f>
        <v>AA</v>
      </c>
      <c r="X37" s="136" t="str">
        <f t="shared" ca="1" si="1"/>
        <v>A1</v>
      </c>
      <c r="Y37" s="136" t="str">
        <f t="shared" ca="1" si="2"/>
        <v>AA</v>
      </c>
      <c r="Z37" s="136" t="str">
        <f t="shared" ca="1" si="3"/>
        <v>AA-</v>
      </c>
      <c r="AA37" s="134">
        <f ca="1">IFERROR(VLOOKUP(X37,'credit rating'!A:C,3,FALSE),0)</f>
        <v>17</v>
      </c>
      <c r="AB37" s="134">
        <f ca="1">IFERROR(VLOOKUP(Y37,'credit rating'!B:C,2,FALSE),0)</f>
        <v>19</v>
      </c>
      <c r="AC37" s="136">
        <f ca="1">IFERROR(VLOOKUP(Z37,'credit rating'!B:C,2,FALSE),0)</f>
        <v>18</v>
      </c>
      <c r="AD37" s="136">
        <f t="shared" ca="1" si="4"/>
        <v>19</v>
      </c>
      <c r="AE37" s="249">
        <f ca="1">IFERROR(VLOOKUP(B37,bond!B:U,20,FALSE),"")</f>
        <v>4.9099999999999998E-2</v>
      </c>
      <c r="AF37" s="136" t="str">
        <f ca="1">IF(VLOOKUP(B37,bond!B:AK,36,FALSE)="#N/A Field Not Applicable","",VLOOKUP(B37,bond!B:AK,36,FALSE))</f>
        <v>2044/6/5</v>
      </c>
      <c r="AG37" s="136" t="str">
        <f ca="1">IF(VLOOKUP(B37,bond!B:AL,37,FALSE)="FIXED","固定",IF(VLOOKUP(B37,bond!B:AL,37,FALSE)="FLOATING","浮動",IF(VLOOKUP(B37,bond!B:AL,37,FALSE)="VARIABLE","變動",IF(VLOOKUP(B37,bond!B:AL,37,FALSE)="FLAT TRADING","不含息交易",IF(VLOOKUP(B37,bond!B:AL,37,FALSE)="ZERO COUPON","零息",VLOOKUP(B37,bond!B:AL,37,FALSE))))))</f>
        <v>固定</v>
      </c>
      <c r="AH37" s="136" t="str">
        <f>VLOOKUP(C37,'2_Check_code'!I:J,2,FALSE)</f>
        <v>美元(USD)</v>
      </c>
      <c r="AI37" s="136" t="str">
        <f t="shared" ca="1" si="5"/>
        <v>自由選清單</v>
      </c>
      <c r="AJ37" s="136">
        <f t="shared" ca="1" si="6"/>
        <v>0</v>
      </c>
      <c r="AK37" s="594" t="str">
        <f ca="1">IF(VLOOKUP(B37,bond!B:S,18,FALSE)="是","有",IF(VLOOKUP(B37,bond!B:S,18,FALSE)="NO OFFER","無","需查詢"))</f>
        <v>有</v>
      </c>
      <c r="AL37" s="136" t="str">
        <f>IF(VLOOKUP(A37,bond!F:AR,39,FALSE)="#N/A Field Not Applicable",VLOOKUP(A37,bond!F:AR,38,FALSE),IFERROR(VLOOKUP(A37,'7_發行日例外'!A:B,2,FALSE),VLOOKUP(A37,bond!F:AR,39,FALSE)))</f>
        <v>2014/12/5</v>
      </c>
      <c r="AM37" s="136" t="str">
        <f ca="1">VLOOKUP(B37,bond!B:AK,36,FALSE)</f>
        <v>2044/6/5</v>
      </c>
      <c r="AN37" s="136" t="str">
        <f ca="1">IFERROR(VLOOKUP(B37,'3_是否下架'!A:A,1,FALSE),"")</f>
        <v/>
      </c>
      <c r="AO37" s="136">
        <f ca="1">VLOOKUP(B37,bond!B:J,9,FALSE)</f>
        <v>97.54</v>
      </c>
      <c r="AP37" s="136">
        <f ca="1">VLOOKUP(B37,bond!B:V,21,FALSE)</f>
        <v>12.6425</v>
      </c>
    </row>
    <row r="38" spans="1:42">
      <c r="A38" s="141" t="str">
        <f>bond!F39</f>
        <v>US29078EAA38</v>
      </c>
      <c r="B38" s="151" t="str">
        <f ca="1">IF($C$1=TRUE,bond!B39,"")</f>
        <v>XFK80</v>
      </c>
      <c r="C38" s="95" t="str">
        <f>VLOOKUP(A38,bond!F:G,2,FALSE)</f>
        <v>USD</v>
      </c>
      <c r="D38" s="142" t="str">
        <f ca="1">VLOOKUP(B38,bond!B:C,2,FALSE)</f>
        <v>音巴克公司美元配息債券 7.995% 2036/6/1</v>
      </c>
      <c r="E38" s="95" t="str">
        <f ca="1">VLOOKUP(B38,bond!B:D,3,FALSE)</f>
        <v>Caa3 / CC / C</v>
      </c>
      <c r="F38" s="99" t="str">
        <f ca="1">VLOOKUP(B38,bond!B:AB,27,FALSE)</f>
        <v>2036/6/1</v>
      </c>
      <c r="G38" s="90">
        <f ca="1">VLOOKUP(B38,bond!B:E,4,FALSE)</f>
        <v>11.92</v>
      </c>
      <c r="H38" s="202">
        <f ca="1">VLOOKUP(B38,bond!B:Y,24,FALSE)</f>
        <v>7.9950000000000007E-2</v>
      </c>
      <c r="I38" s="95">
        <f ca="1">VLOOKUP(B38,bond!B:Z,25,FALSE)</f>
        <v>2</v>
      </c>
      <c r="J38" s="180">
        <f ca="1">VLOOKUP(B38,bond!B:K,10,FALSE)</f>
        <v>0.6885</v>
      </c>
      <c r="K38" s="96">
        <f ca="1">VLOOKUP($B38,bond!B:S,14,FALSE)</f>
        <v>17.240000000000002</v>
      </c>
      <c r="L38" s="91" t="str">
        <f ca="1">VLOOKUP(B38,bond!B:H,7,FALSE)</f>
        <v>2024/7/2</v>
      </c>
      <c r="M38" s="144">
        <f ca="1">VLOOKUP($B38,bond!$B:$Q,16,FALSE)</f>
        <v>0.49419999999999997</v>
      </c>
      <c r="N38" s="136">
        <f ca="1">VALUE(LEFT(VLOOKUP(B38,bond!B:R,17,FALSE),SEARCH(" ",VLOOKUP(B38,bond!B:R,17,FALSE),1)))</f>
        <v>10000</v>
      </c>
      <c r="O38" s="136">
        <f ca="1">VALUE(RIGHT(VLOOKUP(B38,bond!B:R,17,FALSE),LEN(VLOOKUP(B38,bond!B:R,17,FALSE))-LEN(N38)-3))</f>
        <v>1000</v>
      </c>
      <c r="P38" s="135" t="str">
        <f ca="1">VLOOKUP($B38,bond!$B:$AG,32,FALSE)</f>
        <v>2024/12/1</v>
      </c>
      <c r="Q38" s="135" t="str">
        <f ca="1">VLOOKUP($B38,bond!$B:$AH,33,FALSE)</f>
        <v>通訊</v>
      </c>
      <c r="R38" s="135" t="str">
        <f ca="1">VLOOKUP(B38,bond!B:AA,26,FALSE)</f>
        <v>音巴克公司</v>
      </c>
      <c r="S38" s="135" t="str">
        <f ca="1">VLOOKUP(B38,bond!B:AI,34,FALSE)</f>
        <v>EMBARQ</v>
      </c>
      <c r="T38" s="135" t="str">
        <f t="shared" ca="1" si="0"/>
        <v>音巴克公司/EMBARQ</v>
      </c>
      <c r="U38" s="207" t="str">
        <f ca="1">IFERROR(VLOOKUP(T38,Bond_DES!D:E,2,FALSE),VLOOKUP(S38,bond!AI:AJ,2,FALSE))</f>
        <v>音巴克公司(Embarq Corporation)提供無線電信服務。</v>
      </c>
      <c r="V38" s="136" t="str">
        <f ca="1">IFERROR(VLOOKUP(B38,'1_重設數據'!L:M,2,FALSE),IF(Q38="政府",IF(AD38&gt;16,"(NPI)非專投",IF(AD38&gt;10,"(PI)專投","高資產")),IF(VLOOKUP(B38,bond!B:AN,39,FALSE)="Y","(PI)專投",IF(AD38&gt;=15,"(NPI)非專投",IF(AD38&gt;=10,"(PI)專投","高資產")))))</f>
        <v>高資產</v>
      </c>
      <c r="W38" s="136" t="str">
        <f ca="1">VLOOKUP(AD38,'credit rating'!$F$2:$H$22,3,FALSE)</f>
        <v>CCC-</v>
      </c>
      <c r="X38" s="136" t="str">
        <f t="shared" ca="1" si="1"/>
        <v>Caa3</v>
      </c>
      <c r="Y38" s="136" t="str">
        <f t="shared" ca="1" si="2"/>
        <v>CC</v>
      </c>
      <c r="Z38" s="136" t="str">
        <f t="shared" ca="1" si="3"/>
        <v>C</v>
      </c>
      <c r="AA38" s="134">
        <f ca="1">IFERROR(VLOOKUP(X38,'credit rating'!A:C,3,FALSE),0)</f>
        <v>3</v>
      </c>
      <c r="AB38" s="134">
        <f ca="1">IFERROR(VLOOKUP(Y38,'credit rating'!B:C,2,FALSE),0)</f>
        <v>2</v>
      </c>
      <c r="AC38" s="136">
        <f ca="1">IFERROR(VLOOKUP(Z38,'credit rating'!B:C,2,FALSE),0)</f>
        <v>1</v>
      </c>
      <c r="AD38" s="136">
        <f t="shared" ca="1" si="4"/>
        <v>3</v>
      </c>
      <c r="AE38" s="249" t="str">
        <f ca="1">IFERROR(VLOOKUP(B38,bond!B:U,20,FALSE),"")</f>
        <v xml:space="preserve"> </v>
      </c>
      <c r="AF38" s="136" t="str">
        <f ca="1">IF(VLOOKUP(B38,bond!B:AK,36,FALSE)="#N/A Field Not Applicable","",VLOOKUP(B38,bond!B:AK,36,FALSE))</f>
        <v/>
      </c>
      <c r="AG38" s="136" t="str">
        <f ca="1">IF(VLOOKUP(B38,bond!B:AL,37,FALSE)="FIXED","固定",IF(VLOOKUP(B38,bond!B:AL,37,FALSE)="FLOATING","浮動",IF(VLOOKUP(B38,bond!B:AL,37,FALSE)="VARIABLE","變動",IF(VLOOKUP(B38,bond!B:AL,37,FALSE)="FLAT TRADING","不含息交易",IF(VLOOKUP(B38,bond!B:AL,37,FALSE)="ZERO COUPON","零息",VLOOKUP(B38,bond!B:AL,37,FALSE))))))</f>
        <v>固定</v>
      </c>
      <c r="AH38" s="136" t="str">
        <f>VLOOKUP(C38,'2_Check_code'!I:J,2,FALSE)</f>
        <v>美元(USD)</v>
      </c>
      <c r="AI38" s="136" t="str">
        <f t="shared" ca="1" si="5"/>
        <v>自由選清單</v>
      </c>
      <c r="AJ38" s="136">
        <f t="shared" ca="1" si="6"/>
        <v>0</v>
      </c>
      <c r="AK38" s="594" t="str">
        <f ca="1">IF(VLOOKUP(B38,bond!B:S,18,FALSE)="是","有",IF(VLOOKUP(B38,bond!B:S,18,FALSE)="NO OFFER","無","需查詢"))</f>
        <v>有</v>
      </c>
      <c r="AL38" s="136" t="str">
        <f>IF(VLOOKUP(A38,bond!F:AR,39,FALSE)="#N/A Field Not Applicable",VLOOKUP(A38,bond!F:AR,38,FALSE),IFERROR(VLOOKUP(A38,'7_發行日例外'!A:B,2,FALSE),VLOOKUP(A38,bond!F:AR,39,FALSE)))</f>
        <v>2006/5/17</v>
      </c>
      <c r="AM38" s="136" t="str">
        <f ca="1">VLOOKUP(B38,bond!B:AK,36,FALSE)</f>
        <v>#N/A Field Not Applicable</v>
      </c>
      <c r="AN38" s="136" t="str">
        <f ca="1">IFERROR(VLOOKUP(B38,'3_是否下架'!A:A,1,FALSE),"")</f>
        <v>XFK80</v>
      </c>
      <c r="AO38" s="136">
        <f ca="1">VLOOKUP(B38,bond!B:J,9,FALSE)</f>
        <v>13.549999999999999</v>
      </c>
      <c r="AP38" s="136">
        <f ca="1">VLOOKUP(B38,bond!B:V,21,FALSE)</f>
        <v>1.8764000000000001</v>
      </c>
    </row>
    <row r="39" spans="1:42">
      <c r="A39" s="141" t="str">
        <f>bond!F40</f>
        <v>XS1602313279</v>
      </c>
      <c r="B39" s="151" t="str">
        <f ca="1">IF($C$1=TRUE,bond!B40,"")</f>
        <v>XFK90</v>
      </c>
      <c r="C39" s="95" t="str">
        <f>VLOOKUP(A39,bond!F:G,2,FALSE)</f>
        <v>AUD</v>
      </c>
      <c r="D39" s="142" t="str">
        <f ca="1">VLOOKUP(B39,bond!B:C,2,FALSE)</f>
        <v>富國銀行澳幣配息債券 4% 2027/4/27</v>
      </c>
      <c r="E39" s="95" t="str">
        <f ca="1">VLOOKUP(B39,bond!B:D,3,FALSE)</f>
        <v>A1 / BBB+ / A+</v>
      </c>
      <c r="F39" s="99" t="str">
        <f ca="1">VLOOKUP(B39,bond!B:AB,27,FALSE)</f>
        <v>2027/4/27</v>
      </c>
      <c r="G39" s="90">
        <f ca="1">VLOOKUP(B39,bond!B:E,4,FALSE)</f>
        <v>2.81</v>
      </c>
      <c r="H39" s="202">
        <f ca="1">VLOOKUP(B39,bond!B:Y,24,FALSE)</f>
        <v>0.04</v>
      </c>
      <c r="I39" s="95">
        <f ca="1">VLOOKUP(B39,bond!B:Z,25,FALSE)</f>
        <v>2</v>
      </c>
      <c r="J39" s="180">
        <f ca="1">VLOOKUP(B39,bond!B:K,10,FALSE)</f>
        <v>0.73199999999999998</v>
      </c>
      <c r="K39" s="96">
        <f ca="1">VLOOKUP($B39,bond!B:S,14,FALSE)</f>
        <v>100.38000000000001</v>
      </c>
      <c r="L39" s="91" t="str">
        <f ca="1">VLOOKUP(B39,bond!B:H,7,FALSE)</f>
        <v>2024/7/3</v>
      </c>
      <c r="M39" s="144">
        <f ca="1">VLOOKUP($B39,bond!$B:$Q,16,FALSE)</f>
        <v>4.1300000000000003E-2</v>
      </c>
      <c r="N39" s="136">
        <f ca="1">VALUE(LEFT(VLOOKUP(B39,bond!B:R,17,FALSE),SEARCH(" ",VLOOKUP(B39,bond!B:R,17,FALSE),1)))</f>
        <v>10000</v>
      </c>
      <c r="O39" s="136">
        <f ca="1">VALUE(RIGHT(VLOOKUP(B39,bond!B:R,17,FALSE),LEN(VLOOKUP(B39,bond!B:R,17,FALSE))-LEN(N39)-3))</f>
        <v>1000</v>
      </c>
      <c r="P39" s="135" t="str">
        <f ca="1">VLOOKUP($B39,bond!$B:$AG,32,FALSE)</f>
        <v>2024/10/27</v>
      </c>
      <c r="Q39" s="135" t="str">
        <f ca="1">VLOOKUP($B39,bond!$B:$AH,33,FALSE)</f>
        <v>金融</v>
      </c>
      <c r="R39" s="135" t="str">
        <f ca="1">VLOOKUP(B39,bond!B:AA,26,FALSE)</f>
        <v>富國銀行</v>
      </c>
      <c r="S39" s="135" t="str">
        <f ca="1">VLOOKUP(B39,bond!B:AI,34,FALSE)</f>
        <v>WFC</v>
      </c>
      <c r="T39" s="135" t="str">
        <f t="shared" ca="1" si="0"/>
        <v>富國銀行/WFC</v>
      </c>
      <c r="U39" s="207" t="str">
        <f ca="1">IFERROR(VLOOKUP(T39,Bond_DES!D:E,2,FALSE),VLOOKUP(S39,bond!AI:AJ,2,FALSE))</f>
        <v>富國銀行公司(Wells Fargo &amp; Company)是全球系統重要性銀行(G-SIBs)之一，按一級資本排名位居全球第8大行、美國第4大行地位，在美國的住房抵押貸款、總體汽車貸款、就學貸款、商用房地產貸款等眾多領域位居前列，每三戶家庭就有一戶選擇富國銀行。</v>
      </c>
      <c r="V39" s="136" t="str">
        <f ca="1">IFERROR(VLOOKUP(B39,'1_重設數據'!L:M,2,FALSE),IF(Q39="政府",IF(AD39&gt;16,"(NPI)非專投",IF(AD39&gt;10,"(PI)專投","高資產")),IF(VLOOKUP(B39,bond!B:AN,39,FALSE)="Y","(PI)專投",IF(AD39&gt;=15,"(NPI)非專投",IF(AD39&gt;=10,"(PI)專投","高資產")))))</f>
        <v>(PI)專投</v>
      </c>
      <c r="W39" s="136" t="str">
        <f ca="1">VLOOKUP(AD39,'credit rating'!$F$2:$H$22,3,FALSE)</f>
        <v>A+</v>
      </c>
      <c r="X39" s="136" t="str">
        <f t="shared" ca="1" si="1"/>
        <v>A1</v>
      </c>
      <c r="Y39" s="136" t="str">
        <f t="shared" ca="1" si="2"/>
        <v>BBB+</v>
      </c>
      <c r="Z39" s="136" t="str">
        <f t="shared" ca="1" si="3"/>
        <v>A+</v>
      </c>
      <c r="AA39" s="134">
        <f ca="1">IFERROR(VLOOKUP(X39,'credit rating'!A:C,3,FALSE),0)</f>
        <v>17</v>
      </c>
      <c r="AB39" s="134">
        <f ca="1">IFERROR(VLOOKUP(Y39,'credit rating'!B:C,2,FALSE),0)</f>
        <v>14</v>
      </c>
      <c r="AC39" s="136">
        <f ca="1">IFERROR(VLOOKUP(Z39,'credit rating'!B:C,2,FALSE),0)</f>
        <v>17</v>
      </c>
      <c r="AD39" s="136">
        <f t="shared" ca="1" si="4"/>
        <v>17</v>
      </c>
      <c r="AE39" s="249" t="str">
        <f ca="1">IFERROR(VLOOKUP(B39,bond!B:U,20,FALSE),"")</f>
        <v xml:space="preserve"> </v>
      </c>
      <c r="AF39" s="136" t="str">
        <f ca="1">IF(VLOOKUP(B39,bond!B:AK,36,FALSE)="#N/A Field Not Applicable","",VLOOKUP(B39,bond!B:AK,36,FALSE))</f>
        <v/>
      </c>
      <c r="AG39" s="136" t="str">
        <f ca="1">IF(VLOOKUP(B39,bond!B:AL,37,FALSE)="FIXED","固定",IF(VLOOKUP(B39,bond!B:AL,37,FALSE)="FLOATING","浮動",IF(VLOOKUP(B39,bond!B:AL,37,FALSE)="VARIABLE","變動",IF(VLOOKUP(B39,bond!B:AL,37,FALSE)="FLAT TRADING","不含息交易",IF(VLOOKUP(B39,bond!B:AL,37,FALSE)="ZERO COUPON","零息",VLOOKUP(B39,bond!B:AL,37,FALSE))))))</f>
        <v>固定</v>
      </c>
      <c r="AH39" s="136" t="str">
        <f>VLOOKUP(C39,'2_Check_code'!I:J,2,FALSE)</f>
        <v>澳幣(AUD)</v>
      </c>
      <c r="AI39" s="136" t="str">
        <f t="shared" ca="1" si="5"/>
        <v/>
      </c>
      <c r="AJ39" s="136">
        <f t="shared" ca="1" si="6"/>
        <v>1</v>
      </c>
      <c r="AK39" s="594" t="str">
        <f ca="1">IF(VLOOKUP(B39,bond!B:S,18,FALSE)="是","有",IF(VLOOKUP(B39,bond!B:S,18,FALSE)="NO OFFER","無","需查詢"))</f>
        <v>需查詢</v>
      </c>
      <c r="AL39" s="136" t="str">
        <f>IF(VLOOKUP(A39,bond!F:AR,39,FALSE)="#N/A Field Not Applicable",VLOOKUP(A39,bond!F:AR,38,FALSE),IFERROR(VLOOKUP(A39,'7_發行日例外'!A:B,2,FALSE),VLOOKUP(A39,bond!F:AR,39,FALSE)))</f>
        <v>2017/4/27</v>
      </c>
      <c r="AM39" s="136" t="str">
        <f ca="1">VLOOKUP(B39,bond!B:AK,36,FALSE)</f>
        <v>#N/A Field Not Applicable</v>
      </c>
      <c r="AN39" s="136" t="str">
        <f ca="1">IFERROR(VLOOKUP(B39,'3_是否下架'!A:A,1,FALSE),"")</f>
        <v/>
      </c>
      <c r="AO39" s="136">
        <f ca="1">VLOOKUP(B39,bond!B:J,9,FALSE)</f>
        <v>98.45</v>
      </c>
      <c r="AP39" s="136">
        <f ca="1">VLOOKUP(B39,bond!B:V,21,FALSE)</f>
        <v>2.6109</v>
      </c>
    </row>
    <row r="40" spans="1:42">
      <c r="A40" s="141" t="str">
        <f>bond!F41</f>
        <v>US46625HHF01</v>
      </c>
      <c r="B40" s="151" t="str">
        <f ca="1">IF($C$1=TRUE,bond!B41,"")</f>
        <v>XFL20</v>
      </c>
      <c r="C40" s="95" t="str">
        <f>VLOOKUP(A40,bond!F:G,2,FALSE)</f>
        <v>USD</v>
      </c>
      <c r="D40" s="142" t="str">
        <f ca="1">VLOOKUP(B40,bond!B:C,2,FALSE)</f>
        <v>摩根大通銀行美元配息債券 6.4% 2038/5/15</v>
      </c>
      <c r="E40" s="95" t="str">
        <f ca="1">VLOOKUP(B40,bond!B:D,3,FALSE)</f>
        <v>A1 / A- / AA-</v>
      </c>
      <c r="F40" s="99" t="str">
        <f ca="1">VLOOKUP(B40,bond!B:AB,27,FALSE)</f>
        <v>2038/5/15</v>
      </c>
      <c r="G40" s="90">
        <f ca="1">VLOOKUP(B40,bond!B:E,4,FALSE)</f>
        <v>13.87</v>
      </c>
      <c r="H40" s="202">
        <f ca="1">VLOOKUP(B40,bond!B:Y,24,FALSE)</f>
        <v>6.4000000000000001E-2</v>
      </c>
      <c r="I40" s="95">
        <f ca="1">VLOOKUP(B40,bond!B:Z,25,FALSE)</f>
        <v>2</v>
      </c>
      <c r="J40" s="180">
        <f ca="1">VLOOKUP(B40,bond!B:K,10,FALSE)</f>
        <v>0.83560000000000001</v>
      </c>
      <c r="K40" s="96">
        <f ca="1">VLOOKUP($B40,bond!B:S,14,FALSE)</f>
        <v>114.54</v>
      </c>
      <c r="L40" s="91" t="str">
        <f ca="1">VLOOKUP(B40,bond!B:H,7,FALSE)</f>
        <v>2024/7/2</v>
      </c>
      <c r="M40" s="144">
        <f ca="1">VLOOKUP($B40,bond!$B:$Q,16,FALSE)</f>
        <v>5.0200000000000002E-2</v>
      </c>
      <c r="N40" s="136">
        <f ca="1">VALUE(LEFT(VLOOKUP(B40,bond!B:R,17,FALSE),SEARCH(" ",VLOOKUP(B40,bond!B:R,17,FALSE),1)))</f>
        <v>10000</v>
      </c>
      <c r="O40" s="136">
        <f ca="1">VALUE(RIGHT(VLOOKUP(B40,bond!B:R,17,FALSE),LEN(VLOOKUP(B40,bond!B:R,17,FALSE))-LEN(N40)-3))</f>
        <v>1000</v>
      </c>
      <c r="P40" s="135" t="str">
        <f ca="1">VLOOKUP($B40,bond!$B:$AG,32,FALSE)</f>
        <v>2024/11/15</v>
      </c>
      <c r="Q40" s="135" t="str">
        <f ca="1">VLOOKUP($B40,bond!$B:$AH,33,FALSE)</f>
        <v>金融</v>
      </c>
      <c r="R40" s="135" t="str">
        <f ca="1">VLOOKUP(B40,bond!B:AA,26,FALSE)</f>
        <v>摩根大通銀行</v>
      </c>
      <c r="S40" s="135" t="str">
        <f ca="1">VLOOKUP(B40,bond!B:AI,34,FALSE)</f>
        <v>JPM</v>
      </c>
      <c r="T40" s="135" t="str">
        <f t="shared" ca="1" si="0"/>
        <v>摩根大通銀行/JPM</v>
      </c>
      <c r="U40" s="207" t="str">
        <f ca="1">IFERROR(VLOOKUP(T40,Bond_DES!D:E,2,FALSE),VLOOKUP(S40,bond!AI:AJ,2,FALSE))</f>
        <v>摩根大通銀行 (JPMorgan Chase &amp; Co.)成立歷史悠久逾200年，是全球系統重要性銀行(G-SIBs)之一，按一級資本排名位居全球第5大行、美國第1大行地位，財富500大企業有超過80%為其客戶，且為美國最大的信用卡及聯合發卡銀行。</v>
      </c>
      <c r="V40" s="136" t="str">
        <f ca="1">IFERROR(VLOOKUP(B40,'1_重設數據'!L:M,2,FALSE),IF(Q40="政府",IF(AD40&gt;16,"(NPI)非專投",IF(AD40&gt;10,"(PI)專投","高資產")),IF(VLOOKUP(B40,bond!B:AN,39,FALSE)="Y","(PI)專投",IF(AD40&gt;=15,"(NPI)非專投",IF(AD40&gt;=10,"(PI)專投","高資產")))))</f>
        <v>(PI)專投</v>
      </c>
      <c r="W40" s="136" t="str">
        <f ca="1">VLOOKUP(AD40,'credit rating'!$F$2:$H$22,3,FALSE)</f>
        <v>AA-</v>
      </c>
      <c r="X40" s="136" t="str">
        <f t="shared" ca="1" si="1"/>
        <v>A1</v>
      </c>
      <c r="Y40" s="136" t="str">
        <f t="shared" ca="1" si="2"/>
        <v>A-</v>
      </c>
      <c r="Z40" s="136" t="str">
        <f t="shared" ca="1" si="3"/>
        <v>AA-</v>
      </c>
      <c r="AA40" s="134">
        <f ca="1">IFERROR(VLOOKUP(X40,'credit rating'!A:C,3,FALSE),0)</f>
        <v>17</v>
      </c>
      <c r="AB40" s="134">
        <f ca="1">IFERROR(VLOOKUP(Y40,'credit rating'!B:C,2,FALSE),0)</f>
        <v>15</v>
      </c>
      <c r="AC40" s="136">
        <f ca="1">IFERROR(VLOOKUP(Z40,'credit rating'!B:C,2,FALSE),0)</f>
        <v>18</v>
      </c>
      <c r="AD40" s="136">
        <f t="shared" ca="1" si="4"/>
        <v>18</v>
      </c>
      <c r="AE40" s="249" t="str">
        <f ca="1">IFERROR(VLOOKUP(B40,bond!B:U,20,FALSE),"")</f>
        <v xml:space="preserve"> </v>
      </c>
      <c r="AF40" s="136" t="str">
        <f ca="1">IF(VLOOKUP(B40,bond!B:AK,36,FALSE)="#N/A Field Not Applicable","",VLOOKUP(B40,bond!B:AK,36,FALSE))</f>
        <v/>
      </c>
      <c r="AG40" s="136" t="str">
        <f ca="1">IF(VLOOKUP(B40,bond!B:AL,37,FALSE)="FIXED","固定",IF(VLOOKUP(B40,bond!B:AL,37,FALSE)="FLOATING","浮動",IF(VLOOKUP(B40,bond!B:AL,37,FALSE)="VARIABLE","變動",IF(VLOOKUP(B40,bond!B:AL,37,FALSE)="FLAT TRADING","不含息交易",IF(VLOOKUP(B40,bond!B:AL,37,FALSE)="ZERO COUPON","零息",VLOOKUP(B40,bond!B:AL,37,FALSE))))))</f>
        <v>固定</v>
      </c>
      <c r="AH40" s="136" t="str">
        <f>VLOOKUP(C40,'2_Check_code'!I:J,2,FALSE)</f>
        <v>美元(USD)</v>
      </c>
      <c r="AI40" s="136" t="str">
        <f t="shared" ca="1" si="5"/>
        <v>自由選清單</v>
      </c>
      <c r="AJ40" s="136">
        <f t="shared" ca="1" si="6"/>
        <v>0</v>
      </c>
      <c r="AK40" s="594" t="str">
        <f ca="1">IF(VLOOKUP(B40,bond!B:S,18,FALSE)="是","有",IF(VLOOKUP(B40,bond!B:S,18,FALSE)="NO OFFER","無","需查詢"))</f>
        <v>有</v>
      </c>
      <c r="AL40" s="136" t="str">
        <f>IF(VLOOKUP(A40,bond!F:AR,39,FALSE)="#N/A Field Not Applicable",VLOOKUP(A40,bond!F:AR,38,FALSE),IFERROR(VLOOKUP(A40,'7_發行日例外'!A:B,2,FALSE),VLOOKUP(A40,bond!F:AR,39,FALSE)))</f>
        <v>2008/5/22</v>
      </c>
      <c r="AM40" s="136" t="str">
        <f ca="1">VLOOKUP(B40,bond!B:AK,36,FALSE)</f>
        <v>#N/A Field Not Applicable</v>
      </c>
      <c r="AN40" s="136" t="str">
        <f ca="1">IFERROR(VLOOKUP(B40,'3_是否下架'!A:A,1,FALSE),"")</f>
        <v/>
      </c>
      <c r="AO40" s="136">
        <f ca="1">VLOOKUP(B40,bond!B:J,9,FALSE)</f>
        <v>111.2</v>
      </c>
      <c r="AP40" s="136">
        <f ca="1">VLOOKUP(B40,bond!B:V,21,FALSE)</f>
        <v>9.3504000000000005</v>
      </c>
    </row>
    <row r="41" spans="1:42">
      <c r="A41" s="141" t="str">
        <f>bond!F42</f>
        <v>US30231GAW24</v>
      </c>
      <c r="B41" s="151" t="str">
        <f ca="1">IF($C$1=TRUE,bond!B42,"")</f>
        <v>XFL30</v>
      </c>
      <c r="C41" s="95" t="str">
        <f>VLOOKUP(A41,bond!F:G,2,FALSE)</f>
        <v>USD</v>
      </c>
      <c r="D41" s="142" t="str">
        <f ca="1">VLOOKUP(B41,bond!B:C,2,FALSE)</f>
        <v>艾克索美孚石油美元債券 4.114% 2046/3/1</v>
      </c>
      <c r="E41" s="95" t="str">
        <f ca="1">VLOOKUP(B41,bond!B:D,3,FALSE)</f>
        <v>Aa2 / AA- / -</v>
      </c>
      <c r="F41" s="99" t="str">
        <f ca="1">VLOOKUP(B41,bond!B:AB,27,FALSE)</f>
        <v>2046/3/1</v>
      </c>
      <c r="G41" s="90">
        <f ca="1">VLOOKUP(B41,bond!B:E,4,FALSE)</f>
        <v>21.66</v>
      </c>
      <c r="H41" s="202">
        <f ca="1">VLOOKUP(B41,bond!B:Y,24,FALSE)</f>
        <v>4.1139999999999996E-2</v>
      </c>
      <c r="I41" s="95">
        <f ca="1">VLOOKUP(B41,bond!B:Z,25,FALSE)</f>
        <v>2</v>
      </c>
      <c r="J41" s="180">
        <f ca="1">VLOOKUP(B41,bond!B:K,10,FALSE)</f>
        <v>1.3828</v>
      </c>
      <c r="K41" s="96">
        <f ca="1">VLOOKUP($B41,bond!B:S,14,FALSE)</f>
        <v>87.56</v>
      </c>
      <c r="L41" s="91" t="str">
        <f ca="1">VLOOKUP(B41,bond!B:H,7,FALSE)</f>
        <v>2024/7/2</v>
      </c>
      <c r="M41" s="144">
        <f ca="1">VLOOKUP($B41,bond!$B:$Q,16,FALSE)</f>
        <v>5.1799999999999999E-2</v>
      </c>
      <c r="N41" s="136">
        <f ca="1">VALUE(LEFT(VLOOKUP(B41,bond!B:R,17,FALSE),SEARCH(" ",VLOOKUP(B41,bond!B:R,17,FALSE),1)))</f>
        <v>10000</v>
      </c>
      <c r="O41" s="136">
        <f ca="1">VALUE(RIGHT(VLOOKUP(B41,bond!B:R,17,FALSE),LEN(VLOOKUP(B41,bond!B:R,17,FALSE))-LEN(N41)-3))</f>
        <v>1000</v>
      </c>
      <c r="P41" s="135" t="str">
        <f ca="1">VLOOKUP($B41,bond!$B:$AG,32,FALSE)</f>
        <v>2024/9/1</v>
      </c>
      <c r="Q41" s="135" t="str">
        <f ca="1">VLOOKUP($B41,bond!$B:$AH,33,FALSE)</f>
        <v>能源</v>
      </c>
      <c r="R41" s="135" t="str">
        <f ca="1">VLOOKUP(B41,bond!B:AA,26,FALSE)</f>
        <v>埃克森美孚公司</v>
      </c>
      <c r="S41" s="135" t="str">
        <f ca="1">VLOOKUP(B41,bond!B:AI,34,FALSE)</f>
        <v>XOM</v>
      </c>
      <c r="T41" s="135" t="str">
        <f t="shared" ca="1" si="0"/>
        <v>埃克森美孚公司/XOM</v>
      </c>
      <c r="U41" s="207" t="str">
        <f ca="1">IFERROR(VLOOKUP(T41,Bond_DES!D:E,2,FALSE),VLOOKUP(S41,bond!AI:AJ,2,FALSE))</f>
        <v>埃克森美孚公司(Exxon Mobil Corporation)為美國同業市值第1大、全球市值居次的綜合石油生產商(僅次於沙烏地阿美)，該公司相較同業擁有較高的平均產量及已探明儲量、較強勁的資產負債表及較高的信用評等，穩健性冠同業。2023年《Fortune》全球500強第7位，於「石油煉製」行業營收排名第3位。</v>
      </c>
      <c r="V41" s="136" t="str">
        <f ca="1">IFERROR(VLOOKUP(B41,'1_重設數據'!L:M,2,FALSE),IF(Q41="政府",IF(AD41&gt;16,"(NPI)非專投",IF(AD41&gt;10,"(PI)專投","高資產")),IF(VLOOKUP(B41,bond!B:AN,39,FALSE)="Y","(PI)專投",IF(AD41&gt;=15,"(NPI)非專投",IF(AD41&gt;=10,"(PI)專投","高資產")))))</f>
        <v>(NPI)非專投</v>
      </c>
      <c r="W41" s="136" t="str">
        <f ca="1">VLOOKUP(AD41,'credit rating'!$F$2:$H$22,3,FALSE)</f>
        <v>AA</v>
      </c>
      <c r="X41" s="136" t="str">
        <f t="shared" ca="1" si="1"/>
        <v>Aa2</v>
      </c>
      <c r="Y41" s="136" t="str">
        <f t="shared" ca="1" si="2"/>
        <v>AA-</v>
      </c>
      <c r="Z41" s="136" t="str">
        <f t="shared" ca="1" si="3"/>
        <v>-</v>
      </c>
      <c r="AA41" s="134">
        <f ca="1">IFERROR(VLOOKUP(X41,'credit rating'!A:C,3,FALSE),0)</f>
        <v>19</v>
      </c>
      <c r="AB41" s="134">
        <f ca="1">IFERROR(VLOOKUP(Y41,'credit rating'!B:C,2,FALSE),0)</f>
        <v>18</v>
      </c>
      <c r="AC41" s="136">
        <f ca="1">IFERROR(VLOOKUP(Z41,'credit rating'!B:C,2,FALSE),0)</f>
        <v>0</v>
      </c>
      <c r="AD41" s="136">
        <f t="shared" ca="1" si="4"/>
        <v>19</v>
      </c>
      <c r="AE41" s="249">
        <f ca="1">IFERROR(VLOOKUP(B41,bond!B:U,20,FALSE),"")</f>
        <v>5.1999999999999998E-2</v>
      </c>
      <c r="AF41" s="136" t="str">
        <f ca="1">IF(VLOOKUP(B41,bond!B:AK,36,FALSE)="#N/A Field Not Applicable","",VLOOKUP(B41,bond!B:AK,36,FALSE))</f>
        <v>2045/9/1</v>
      </c>
      <c r="AG41" s="136" t="str">
        <f ca="1">IF(VLOOKUP(B41,bond!B:AL,37,FALSE)="FIXED","固定",IF(VLOOKUP(B41,bond!B:AL,37,FALSE)="FLOATING","浮動",IF(VLOOKUP(B41,bond!B:AL,37,FALSE)="VARIABLE","變動",IF(VLOOKUP(B41,bond!B:AL,37,FALSE)="FLAT TRADING","不含息交易",IF(VLOOKUP(B41,bond!B:AL,37,FALSE)="ZERO COUPON","零息",VLOOKUP(B41,bond!B:AL,37,FALSE))))))</f>
        <v>固定</v>
      </c>
      <c r="AH41" s="136" t="str">
        <f>VLOOKUP(C41,'2_Check_code'!I:J,2,FALSE)</f>
        <v>美元(USD)</v>
      </c>
      <c r="AI41" s="136" t="str">
        <f t="shared" ca="1" si="5"/>
        <v>自由選清單</v>
      </c>
      <c r="AJ41" s="136">
        <f t="shared" ca="1" si="6"/>
        <v>0</v>
      </c>
      <c r="AK41" s="594" t="str">
        <f ca="1">IF(VLOOKUP(B41,bond!B:S,18,FALSE)="是","有",IF(VLOOKUP(B41,bond!B:S,18,FALSE)="NO OFFER","無","需查詢"))</f>
        <v>有</v>
      </c>
      <c r="AL41" s="136" t="str">
        <f>IF(VLOOKUP(A41,bond!F:AR,39,FALSE)="#N/A Field Not Applicable",VLOOKUP(A41,bond!F:AR,38,FALSE),IFERROR(VLOOKUP(A41,'7_發行日例外'!A:B,2,FALSE),VLOOKUP(A41,bond!F:AR,39,FALSE)))</f>
        <v>2016/3/3</v>
      </c>
      <c r="AM41" s="136" t="str">
        <f ca="1">VLOOKUP(B41,bond!B:AK,36,FALSE)</f>
        <v>2045/9/1</v>
      </c>
      <c r="AN41" s="136" t="str">
        <f ca="1">IFERROR(VLOOKUP(B41,'3_是否下架'!A:A,1,FALSE),"")</f>
        <v/>
      </c>
      <c r="AO41" s="136">
        <f ca="1">VLOOKUP(B41,bond!B:J,9,FALSE)</f>
        <v>83.18</v>
      </c>
      <c r="AP41" s="136">
        <f ca="1">VLOOKUP(B41,bond!B:V,21,FALSE)</f>
        <v>13.2376</v>
      </c>
    </row>
    <row r="42" spans="1:42">
      <c r="A42" s="141" t="str">
        <f>bond!F43</f>
        <v>USY20721AE96</v>
      </c>
      <c r="B42" s="151" t="str">
        <f ca="1">IF($C$1=TRUE,bond!B43,"")</f>
        <v>XFL40</v>
      </c>
      <c r="C42" s="95" t="str">
        <f>VLOOKUP(A42,bond!F:G,2,FALSE)</f>
        <v>USD</v>
      </c>
      <c r="D42" s="142" t="str">
        <f ca="1">VLOOKUP(B42,bond!B:C,2,FALSE)</f>
        <v>印尼政府美元配息債券 8.5% 2035/10/12</v>
      </c>
      <c r="E42" s="95" t="str">
        <f ca="1">VLOOKUP(B42,bond!B:D,3,FALSE)</f>
        <v>Baa2 / BBB / BBB</v>
      </c>
      <c r="F42" s="99" t="str">
        <f ca="1">VLOOKUP(B42,bond!B:AB,27,FALSE)</f>
        <v>2035/10/12</v>
      </c>
      <c r="G42" s="90">
        <f ca="1">VLOOKUP(B42,bond!B:E,4,FALSE)</f>
        <v>11.28</v>
      </c>
      <c r="H42" s="202">
        <f ca="1">VLOOKUP(B42,bond!B:Y,24,FALSE)</f>
        <v>8.5000000000000006E-2</v>
      </c>
      <c r="I42" s="95">
        <f ca="1">VLOOKUP(B42,bond!B:Z,25,FALSE)</f>
        <v>2</v>
      </c>
      <c r="J42" s="180">
        <f ca="1">VLOOKUP(B42,bond!B:K,10,FALSE)</f>
        <v>1.8889</v>
      </c>
      <c r="K42" s="96">
        <f ca="1">VLOOKUP($B42,bond!B:S,14,FALSE)</f>
        <v>132.18</v>
      </c>
      <c r="L42" s="91" t="str">
        <f ca="1">VLOOKUP(B42,bond!B:H,7,FALSE)</f>
        <v>2024/7/2</v>
      </c>
      <c r="M42" s="144">
        <f ca="1">VLOOKUP($B42,bond!$B:$Q,16,FALSE)</f>
        <v>4.9599999999999998E-2</v>
      </c>
      <c r="N42" s="136">
        <f ca="1">VALUE(LEFT(VLOOKUP(B42,bond!B:R,17,FALSE),SEARCH(" ",VLOOKUP(B42,bond!B:R,17,FALSE),1)))</f>
        <v>100000</v>
      </c>
      <c r="O42" s="136">
        <f ca="1">VALUE(RIGHT(VLOOKUP(B42,bond!B:R,17,FALSE),LEN(VLOOKUP(B42,bond!B:R,17,FALSE))-LEN(N42)-3))</f>
        <v>1000</v>
      </c>
      <c r="P42" s="135" t="str">
        <f ca="1">VLOOKUP($B42,bond!$B:$AG,32,FALSE)</f>
        <v>2024/10/12</v>
      </c>
      <c r="Q42" s="135" t="str">
        <f ca="1">VLOOKUP($B42,bond!$B:$AH,33,FALSE)</f>
        <v>政府</v>
      </c>
      <c r="R42" s="135" t="str">
        <f ca="1">VLOOKUP(B42,bond!B:AA,26,FALSE)</f>
        <v>印尼政府國際債券</v>
      </c>
      <c r="S42" s="135" t="str">
        <f ca="1">VLOOKUP(B42,bond!B:AI,34,FALSE)</f>
        <v>INDON</v>
      </c>
      <c r="T42" s="135" t="str">
        <f t="shared" ca="1" si="0"/>
        <v>印尼政府國際債券/INDON</v>
      </c>
      <c r="U42" s="207" t="str">
        <f ca="1">IFERROR(VLOOKUP(T42,Bond_DES!D:E,2,FALSE),VLOOKUP(S42,bond!AI:AJ,2,FALSE))</f>
        <v>印度尼西亞共和國(Republic of Indonesia)地處東南亞，是世界上最大的群島國，也是世界上人口最多的穆斯林國家。世界第16大經濟體(IMF 2023)，同時亦為東南亞最大經濟體及G20成員國。過去10年經濟成長率多維持在5%以上，IMF預估印尼實質GDP成長率在2024-2028年將維持在5%。</v>
      </c>
      <c r="V42" s="136" t="str">
        <f ca="1">IFERROR(VLOOKUP(B42,'1_重設數據'!L:M,2,FALSE),IF(Q42="政府",IF(AD42&gt;16,"(NPI)非專投",IF(AD42&gt;10,"(PI)專投","高資產")),IF(VLOOKUP(B42,bond!B:AN,39,FALSE)="Y","(PI)專投",IF(AD42&gt;=15,"(NPI)非專投",IF(AD42&gt;=10,"(PI)專投","高資產")))))</f>
        <v>(PI)專投</v>
      </c>
      <c r="W42" s="136" t="str">
        <f ca="1">VLOOKUP(AD42,'credit rating'!$F$2:$H$22,3,FALSE)</f>
        <v>BBB</v>
      </c>
      <c r="X42" s="136" t="str">
        <f t="shared" ca="1" si="1"/>
        <v>Baa2</v>
      </c>
      <c r="Y42" s="136" t="str">
        <f t="shared" ca="1" si="2"/>
        <v>BBB</v>
      </c>
      <c r="Z42" s="136" t="str">
        <f t="shared" ca="1" si="3"/>
        <v>BBB</v>
      </c>
      <c r="AA42" s="134">
        <f ca="1">IFERROR(VLOOKUP(X42,'credit rating'!A:C,3,FALSE),0)</f>
        <v>13</v>
      </c>
      <c r="AB42" s="134">
        <f ca="1">IFERROR(VLOOKUP(Y42,'credit rating'!B:C,2,FALSE),0)</f>
        <v>13</v>
      </c>
      <c r="AC42" s="136">
        <f ca="1">IFERROR(VLOOKUP(Z42,'credit rating'!B:C,2,FALSE),0)</f>
        <v>13</v>
      </c>
      <c r="AD42" s="136">
        <f t="shared" ca="1" si="4"/>
        <v>13</v>
      </c>
      <c r="AE42" s="249" t="str">
        <f ca="1">IFERROR(VLOOKUP(B42,bond!B:U,20,FALSE),"")</f>
        <v xml:space="preserve"> </v>
      </c>
      <c r="AF42" s="136" t="str">
        <f ca="1">IF(VLOOKUP(B42,bond!B:AK,36,FALSE)="#N/A Field Not Applicable","",VLOOKUP(B42,bond!B:AK,36,FALSE))</f>
        <v/>
      </c>
      <c r="AG42" s="136" t="str">
        <f ca="1">IF(VLOOKUP(B42,bond!B:AL,37,FALSE)="FIXED","固定",IF(VLOOKUP(B42,bond!B:AL,37,FALSE)="FLOATING","浮動",IF(VLOOKUP(B42,bond!B:AL,37,FALSE)="VARIABLE","變動",IF(VLOOKUP(B42,bond!B:AL,37,FALSE)="FLAT TRADING","不含息交易",IF(VLOOKUP(B42,bond!B:AL,37,FALSE)="ZERO COUPON","零息",VLOOKUP(B42,bond!B:AL,37,FALSE))))))</f>
        <v>固定</v>
      </c>
      <c r="AH42" s="136" t="str">
        <f>VLOOKUP(C42,'2_Check_code'!I:J,2,FALSE)</f>
        <v>美元(USD)</v>
      </c>
      <c r="AI42" s="136" t="str">
        <f t="shared" ca="1" si="5"/>
        <v>自由選清單</v>
      </c>
      <c r="AJ42" s="136">
        <f t="shared" ca="1" si="6"/>
        <v>0</v>
      </c>
      <c r="AK42" s="594" t="str">
        <f ca="1">IF(VLOOKUP(B42,bond!B:S,18,FALSE)="是","有",IF(VLOOKUP(B42,bond!B:S,18,FALSE)="NO OFFER","無","需查詢"))</f>
        <v>有</v>
      </c>
      <c r="AL42" s="136" t="str">
        <f>IF(VLOOKUP(A42,bond!F:AR,39,FALSE)="#N/A Field Not Applicable",VLOOKUP(A42,bond!F:AR,38,FALSE),IFERROR(VLOOKUP(A42,'7_發行日例外'!A:B,2,FALSE),VLOOKUP(A42,bond!F:AR,39,FALSE)))</f>
        <v>2005/10/12</v>
      </c>
      <c r="AM42" s="136" t="str">
        <f ca="1">VLOOKUP(B42,bond!B:AK,36,FALSE)</f>
        <v>#N/A Field Not Applicable</v>
      </c>
      <c r="AN42" s="136" t="str">
        <f ca="1">IFERROR(VLOOKUP(B42,'3_是否下架'!A:A,1,FALSE),"")</f>
        <v/>
      </c>
      <c r="AO42" s="136">
        <f ca="1">VLOOKUP(B42,bond!B:J,9,FALSE)</f>
        <v>127.29</v>
      </c>
      <c r="AP42" s="136">
        <f ca="1">VLOOKUP(B42,bond!B:V,21,FALSE)</f>
        <v>7.6413000000000002</v>
      </c>
    </row>
    <row r="43" spans="1:42">
      <c r="A43" s="141" t="str">
        <f>bond!F44</f>
        <v>USP30179AK43</v>
      </c>
      <c r="B43" s="151" t="str">
        <f ca="1">IF($C$1=TRUE,bond!B44,"")</f>
        <v>XFL50</v>
      </c>
      <c r="C43" s="95" t="str">
        <f>VLOOKUP(A43,bond!F:G,2,FALSE)</f>
        <v>USD</v>
      </c>
      <c r="D43" s="142" t="str">
        <f ca="1">VLOOKUP(B43,bond!B:C,2,FALSE)</f>
        <v>墨西哥國家電力美元配息債券 5.75% 2042/2/14</v>
      </c>
      <c r="E43" s="95" t="str">
        <f ca="1">VLOOKUP(B43,bond!B:D,3,FALSE)</f>
        <v>Baa2 / BBB / BBB-</v>
      </c>
      <c r="F43" s="99" t="str">
        <f ca="1">VLOOKUP(B43,bond!B:AB,27,FALSE)</f>
        <v>2042/2/14</v>
      </c>
      <c r="G43" s="90">
        <f ca="1">VLOOKUP(B43,bond!B:E,4,FALSE)</f>
        <v>17.62</v>
      </c>
      <c r="H43" s="202">
        <f ca="1">VLOOKUP(B43,bond!B:Y,24,FALSE)</f>
        <v>5.7500000000000002E-2</v>
      </c>
      <c r="I43" s="95">
        <f ca="1">VLOOKUP(B43,bond!B:Z,25,FALSE)</f>
        <v>2</v>
      </c>
      <c r="J43" s="180">
        <f ca="1">VLOOKUP(B43,bond!B:K,10,FALSE)</f>
        <v>2.2042000000000002</v>
      </c>
      <c r="K43" s="96">
        <f ca="1">VLOOKUP($B43,bond!B:S,14,FALSE)</f>
        <v>98.23</v>
      </c>
      <c r="L43" s="91" t="str">
        <f ca="1">VLOOKUP(B43,bond!B:H,7,FALSE)</f>
        <v>2024/7/2</v>
      </c>
      <c r="M43" s="144">
        <f ca="1">VLOOKUP($B43,bond!$B:$Q,16,FALSE)</f>
        <v>6.1199999999999997E-2</v>
      </c>
      <c r="N43" s="136">
        <f ca="1">VALUE(LEFT(VLOOKUP(B43,bond!B:R,17,FALSE),SEARCH(" ",VLOOKUP(B43,bond!B:R,17,FALSE),1)))</f>
        <v>200000</v>
      </c>
      <c r="O43" s="136">
        <f ca="1">VALUE(RIGHT(VLOOKUP(B43,bond!B:R,17,FALSE),LEN(VLOOKUP(B43,bond!B:R,17,FALSE))-LEN(N43)-3))</f>
        <v>1000</v>
      </c>
      <c r="P43" s="135" t="str">
        <f ca="1">VLOOKUP($B43,bond!$B:$AG,32,FALSE)</f>
        <v>2024/8/14</v>
      </c>
      <c r="Q43" s="135" t="str">
        <f ca="1">VLOOKUP($B43,bond!$B:$AH,33,FALSE)</f>
        <v>公用事業</v>
      </c>
      <c r="R43" s="135" t="str">
        <f ca="1">VLOOKUP(B43,bond!B:AA,26,FALSE)</f>
        <v>聯邦電力委員會</v>
      </c>
      <c r="S43" s="135" t="str">
        <f ca="1">VLOOKUP(B43,bond!B:AI,34,FALSE)</f>
        <v>CFELEC</v>
      </c>
      <c r="T43" s="135" t="str">
        <f t="shared" ca="1" si="0"/>
        <v>聯邦電力委員會/CFELEC</v>
      </c>
      <c r="U43" s="207" t="str">
        <f ca="1">IFERROR(VLOOKUP(T43,Bond_DES!D:E,2,FALSE),VLOOKUP(S43,bond!AI:AJ,2,FALSE))</f>
        <v>聯邦電力委員會(Comision Federal de Electricidad)由墨西哥政府100%持有，是墨西哥唯一的垂直整合電力公司，提供發電、輸電及配電一體化服務，於墨西哥獨家負責輸配電業務，並為墨西哥的主要電力生產商。CFE為墨西哥少數曾上榜《Fortune》全球500強的企業之一。</v>
      </c>
      <c r="V43" s="136" t="str">
        <f ca="1">IFERROR(VLOOKUP(B43,'1_重設數據'!L:M,2,FALSE),IF(Q43="政府",IF(AD43&gt;16,"(NPI)非專投",IF(AD43&gt;10,"(PI)專投","高資產")),IF(VLOOKUP(B43,bond!B:AN,39,FALSE)="Y","(PI)專投",IF(AD43&gt;=15,"(NPI)非專投",IF(AD43&gt;=10,"(PI)專投","高資產")))))</f>
        <v>(PI)專投</v>
      </c>
      <c r="W43" s="136" t="str">
        <f ca="1">VLOOKUP(AD43,'credit rating'!$F$2:$H$22,3,FALSE)</f>
        <v>BBB</v>
      </c>
      <c r="X43" s="136" t="str">
        <f t="shared" ca="1" si="1"/>
        <v>Baa2</v>
      </c>
      <c r="Y43" s="136" t="str">
        <f t="shared" ca="1" si="2"/>
        <v>BBB</v>
      </c>
      <c r="Z43" s="136" t="str">
        <f t="shared" ca="1" si="3"/>
        <v>BBB-</v>
      </c>
      <c r="AA43" s="134">
        <f ca="1">IFERROR(VLOOKUP(X43,'credit rating'!A:C,3,FALSE),0)</f>
        <v>13</v>
      </c>
      <c r="AB43" s="134">
        <f ca="1">IFERROR(VLOOKUP(Y43,'credit rating'!B:C,2,FALSE),0)</f>
        <v>13</v>
      </c>
      <c r="AC43" s="136">
        <f ca="1">IFERROR(VLOOKUP(Z43,'credit rating'!B:C,2,FALSE),0)</f>
        <v>12</v>
      </c>
      <c r="AD43" s="136">
        <f t="shared" ca="1" si="4"/>
        <v>13</v>
      </c>
      <c r="AE43" s="249" t="str">
        <f ca="1">IFERROR(VLOOKUP(B43,bond!B:U,20,FALSE),"")</f>
        <v xml:space="preserve"> </v>
      </c>
      <c r="AF43" s="136" t="str">
        <f ca="1">IF(VLOOKUP(B43,bond!B:AK,36,FALSE)="#N/A Field Not Applicable","",VLOOKUP(B43,bond!B:AK,36,FALSE))</f>
        <v/>
      </c>
      <c r="AG43" s="136" t="str">
        <f ca="1">IF(VLOOKUP(B43,bond!B:AL,37,FALSE)="FIXED","固定",IF(VLOOKUP(B43,bond!B:AL,37,FALSE)="FLOATING","浮動",IF(VLOOKUP(B43,bond!B:AL,37,FALSE)="VARIABLE","變動",IF(VLOOKUP(B43,bond!B:AL,37,FALSE)="FLAT TRADING","不含息交易",IF(VLOOKUP(B43,bond!B:AL,37,FALSE)="ZERO COUPON","零息",VLOOKUP(B43,bond!B:AL,37,FALSE))))))</f>
        <v>固定</v>
      </c>
      <c r="AH43" s="136" t="str">
        <f>VLOOKUP(C43,'2_Check_code'!I:J,2,FALSE)</f>
        <v>美元(USD)</v>
      </c>
      <c r="AI43" s="136" t="str">
        <f t="shared" ca="1" si="5"/>
        <v>自由選清單</v>
      </c>
      <c r="AJ43" s="136">
        <f t="shared" ca="1" si="6"/>
        <v>0</v>
      </c>
      <c r="AK43" s="594" t="str">
        <f ca="1">IF(VLOOKUP(B43,bond!B:S,18,FALSE)="是","有",IF(VLOOKUP(B43,bond!B:S,18,FALSE)="NO OFFER","無","需查詢"))</f>
        <v>需查詢</v>
      </c>
      <c r="AL43" s="136" t="str">
        <f>IF(VLOOKUP(A43,bond!F:AR,39,FALSE)="#N/A Field Not Applicable",VLOOKUP(A43,bond!F:AR,38,FALSE),IFERROR(VLOOKUP(A43,'7_發行日例外'!A:B,2,FALSE),VLOOKUP(A43,bond!F:AR,39,FALSE)))</f>
        <v>2012/2/14</v>
      </c>
      <c r="AM43" s="136" t="str">
        <f ca="1">VLOOKUP(B43,bond!B:AK,36,FALSE)</f>
        <v>#N/A Field Not Applicable</v>
      </c>
      <c r="AN43" s="136" t="str">
        <f ca="1">IFERROR(VLOOKUP(B43,'3_是否下架'!A:A,1,FALSE),"")</f>
        <v/>
      </c>
      <c r="AO43" s="136">
        <f ca="1">VLOOKUP(B43,bond!B:J,9,FALSE)</f>
        <v>93.03</v>
      </c>
      <c r="AP43" s="136">
        <f ca="1">VLOOKUP(B43,bond!B:V,21,FALSE)</f>
        <v>10.426399999999999</v>
      </c>
    </row>
    <row r="44" spans="1:42">
      <c r="A44" s="141" t="str">
        <f>bond!F45</f>
        <v>US00206RBK77</v>
      </c>
      <c r="B44" s="151" t="str">
        <f ca="1">IF($C$1=TRUE,bond!B45,"")</f>
        <v>XFL60</v>
      </c>
      <c r="C44" s="95" t="str">
        <f>VLOOKUP(A44,bond!F:G,2,FALSE)</f>
        <v>USD</v>
      </c>
      <c r="D44" s="142" t="str">
        <f ca="1">VLOOKUP(B44,bond!B:C,2,FALSE)</f>
        <v>AT&amp;T公司美元配息債券 4.35% 2045/6/15</v>
      </c>
      <c r="E44" s="95" t="str">
        <f ca="1">VLOOKUP(B44,bond!B:D,3,FALSE)</f>
        <v>Baa2 / BBB / BBB+</v>
      </c>
      <c r="F44" s="99" t="str">
        <f ca="1">VLOOKUP(B44,bond!B:AB,27,FALSE)</f>
        <v>2045/6/15</v>
      </c>
      <c r="G44" s="90">
        <f ca="1">VLOOKUP(B44,bond!B:E,4,FALSE)</f>
        <v>20.95</v>
      </c>
      <c r="H44" s="202">
        <f ca="1">VLOOKUP(B44,bond!B:Y,24,FALSE)</f>
        <v>4.3499999999999997E-2</v>
      </c>
      <c r="I44" s="95">
        <f ca="1">VLOOKUP(B44,bond!B:Z,25,FALSE)</f>
        <v>2</v>
      </c>
      <c r="J44" s="180">
        <f ca="1">VLOOKUP(B44,bond!B:K,10,FALSE)</f>
        <v>0.2054</v>
      </c>
      <c r="K44" s="96">
        <f ca="1">VLOOKUP($B44,bond!B:S,14,FALSE)</f>
        <v>86.94</v>
      </c>
      <c r="L44" s="91" t="str">
        <f ca="1">VLOOKUP(B44,bond!B:H,7,FALSE)</f>
        <v>2024/7/2</v>
      </c>
      <c r="M44" s="144">
        <f ca="1">VLOOKUP($B44,bond!$B:$Q,16,FALSE)</f>
        <v>5.4199999999999998E-2</v>
      </c>
      <c r="N44" s="136">
        <f ca="1">VALUE(LEFT(VLOOKUP(B44,bond!B:R,17,FALSE),SEARCH(" ",VLOOKUP(B44,bond!B:R,17,FALSE),1)))</f>
        <v>10000</v>
      </c>
      <c r="O44" s="136">
        <f ca="1">VALUE(RIGHT(VLOOKUP(B44,bond!B:R,17,FALSE),LEN(VLOOKUP(B44,bond!B:R,17,FALSE))-LEN(N44)-3))</f>
        <v>1000</v>
      </c>
      <c r="P44" s="135" t="str">
        <f ca="1">VLOOKUP($B44,bond!$B:$AG,32,FALSE)</f>
        <v>2024/12/15</v>
      </c>
      <c r="Q44" s="135" t="str">
        <f ca="1">VLOOKUP($B44,bond!$B:$AH,33,FALSE)</f>
        <v>通訊</v>
      </c>
      <c r="R44" s="135" t="str">
        <f ca="1">VLOOKUP(B44,bond!B:AA,26,FALSE)</f>
        <v>AT&amp;T公司</v>
      </c>
      <c r="S44" s="135" t="str">
        <f ca="1">VLOOKUP(B44,bond!B:AI,34,FALSE)</f>
        <v>T</v>
      </c>
      <c r="T44" s="135" t="str">
        <f t="shared" ca="1" si="0"/>
        <v>AT&amp;T公司/T</v>
      </c>
      <c r="U44" s="207" t="str">
        <f ca="1">IFERROR(VLOOKUP(T44,Bond_DES!D:E,2,FALSE),VLOOKUP(S44,bond!AI:AJ,2,FALSE))</f>
        <v>AT&amp;T公司(AT&amp;T Inc.)為美國三大電信巨頭之一，於全球電信品牌價值排名第3位(Brand Finance 2024)、美國電信業營收排名第2位(Fortune 2024)，5G網絡覆蓋美國逾3億人；為致力專注本業發展，已陸續於近年完成分拆全美最大衛星電視服務供應商DirecTV和華納媒體，徹底打造純通訊服務。</v>
      </c>
      <c r="V44" s="136" t="str">
        <f ca="1">IFERROR(VLOOKUP(B44,'1_重設數據'!L:M,2,FALSE),IF(Q44="政府",IF(AD44&gt;16,"(NPI)非專投",IF(AD44&gt;10,"(PI)專投","高資產")),IF(VLOOKUP(B44,bond!B:AN,39,FALSE)="Y","(PI)專投",IF(AD44&gt;=15,"(NPI)非專投",IF(AD44&gt;=10,"(PI)專投","高資產")))))</f>
        <v>(PI)專投</v>
      </c>
      <c r="W44" s="136" t="str">
        <f ca="1">VLOOKUP(AD44,'credit rating'!$F$2:$H$22,3,FALSE)</f>
        <v>BBB+</v>
      </c>
      <c r="X44" s="136" t="str">
        <f t="shared" ca="1" si="1"/>
        <v>Baa2</v>
      </c>
      <c r="Y44" s="136" t="str">
        <f t="shared" ca="1" si="2"/>
        <v>BBB</v>
      </c>
      <c r="Z44" s="136" t="str">
        <f t="shared" ca="1" si="3"/>
        <v>BBB+</v>
      </c>
      <c r="AA44" s="134">
        <f ca="1">IFERROR(VLOOKUP(X44,'credit rating'!A:C,3,FALSE),0)</f>
        <v>13</v>
      </c>
      <c r="AB44" s="134">
        <f ca="1">IFERROR(VLOOKUP(Y44,'credit rating'!B:C,2,FALSE),0)</f>
        <v>13</v>
      </c>
      <c r="AC44" s="136">
        <f ca="1">IFERROR(VLOOKUP(Z44,'credit rating'!B:C,2,FALSE),0)</f>
        <v>14</v>
      </c>
      <c r="AD44" s="136">
        <f t="shared" ca="1" si="4"/>
        <v>14</v>
      </c>
      <c r="AE44" s="249">
        <f ca="1">IFERROR(VLOOKUP(B44,bond!B:U,20,FALSE),"")</f>
        <v>5.4300000000000001E-2</v>
      </c>
      <c r="AF44" s="136" t="str">
        <f ca="1">IF(VLOOKUP(B44,bond!B:AK,36,FALSE)="#N/A Field Not Applicable","",VLOOKUP(B44,bond!B:AK,36,FALSE))</f>
        <v>2044/12/15</v>
      </c>
      <c r="AG44" s="136" t="str">
        <f ca="1">IF(VLOOKUP(B44,bond!B:AL,37,FALSE)="FIXED","固定",IF(VLOOKUP(B44,bond!B:AL,37,FALSE)="FLOATING","浮動",IF(VLOOKUP(B44,bond!B:AL,37,FALSE)="VARIABLE","變動",IF(VLOOKUP(B44,bond!B:AL,37,FALSE)="FLAT TRADING","不含息交易",IF(VLOOKUP(B44,bond!B:AL,37,FALSE)="ZERO COUPON","零息",VLOOKUP(B44,bond!B:AL,37,FALSE))))))</f>
        <v>固定</v>
      </c>
      <c r="AH44" s="136" t="str">
        <f>VLOOKUP(C44,'2_Check_code'!I:J,2,FALSE)</f>
        <v>美元(USD)</v>
      </c>
      <c r="AI44" s="136" t="str">
        <f t="shared" ca="1" si="5"/>
        <v>自由選清單</v>
      </c>
      <c r="AJ44" s="136">
        <f t="shared" ca="1" si="6"/>
        <v>0</v>
      </c>
      <c r="AK44" s="594" t="str">
        <f ca="1">IF(VLOOKUP(B44,bond!B:S,18,FALSE)="是","有",IF(VLOOKUP(B44,bond!B:S,18,FALSE)="NO OFFER","無","需查詢"))</f>
        <v>有</v>
      </c>
      <c r="AL44" s="136" t="str">
        <f>IF(VLOOKUP(A44,bond!F:AR,39,FALSE)="#N/A Field Not Applicable",VLOOKUP(A44,bond!F:AR,38,FALSE),IFERROR(VLOOKUP(A44,'7_發行日例外'!A:B,2,FALSE),VLOOKUP(A44,bond!F:AR,39,FALSE)))</f>
        <v>2013/6/15</v>
      </c>
      <c r="AM44" s="136" t="str">
        <f ca="1">VLOOKUP(B44,bond!B:AK,36,FALSE)</f>
        <v>2044/12/15</v>
      </c>
      <c r="AN44" s="136" t="str">
        <f ca="1">IFERROR(VLOOKUP(B44,'3_是否下架'!A:A,1,FALSE),"")</f>
        <v/>
      </c>
      <c r="AO44" s="136">
        <f ca="1">VLOOKUP(B44,bond!B:J,9,FALSE)</f>
        <v>83.73</v>
      </c>
      <c r="AP44" s="136">
        <f ca="1">VLOOKUP(B44,bond!B:V,21,FALSE)</f>
        <v>12.8805</v>
      </c>
    </row>
    <row r="45" spans="1:42">
      <c r="A45" s="141" t="str">
        <f>bond!F46</f>
        <v>US717081EC37</v>
      </c>
      <c r="B45" s="151" t="str">
        <f ca="1">IF($C$1=TRUE,bond!B46,"")</f>
        <v>XFL70</v>
      </c>
      <c r="C45" s="95" t="str">
        <f>VLOOKUP(A45,bond!F:G,2,FALSE)</f>
        <v>USD</v>
      </c>
      <c r="D45" s="142" t="str">
        <f ca="1">VLOOKUP(B45,bond!B:C,2,FALSE)</f>
        <v>輝瑞大藥廠美元配息債券 4% 2036/12/15</v>
      </c>
      <c r="E45" s="95" t="str">
        <f ca="1">VLOOKUP(B45,bond!B:D,3,FALSE)</f>
        <v>A2 / A / WD</v>
      </c>
      <c r="F45" s="99" t="str">
        <f ca="1">VLOOKUP(B45,bond!B:AB,27,FALSE)</f>
        <v>2036/12/15</v>
      </c>
      <c r="G45" s="90">
        <f ca="1">VLOOKUP(B45,bond!B:E,4,FALSE)</f>
        <v>12.45</v>
      </c>
      <c r="H45" s="202">
        <f ca="1">VLOOKUP(B45,bond!B:Y,24,FALSE)</f>
        <v>0.04</v>
      </c>
      <c r="I45" s="95">
        <f ca="1">VLOOKUP(B45,bond!B:Z,25,FALSE)</f>
        <v>2</v>
      </c>
      <c r="J45" s="180">
        <f ca="1">VLOOKUP(B45,bond!B:K,10,FALSE)</f>
        <v>0.18890000000000001</v>
      </c>
      <c r="K45" s="96">
        <f ca="1">VLOOKUP($B45,bond!B:S,14,FALSE)</f>
        <v>92.93</v>
      </c>
      <c r="L45" s="91" t="str">
        <f ca="1">VLOOKUP(B45,bond!B:H,7,FALSE)</f>
        <v>2024/7/2</v>
      </c>
      <c r="M45" s="144">
        <f ca="1">VLOOKUP($B45,bond!$B:$Q,16,FALSE)</f>
        <v>4.7800000000000002E-2</v>
      </c>
      <c r="N45" s="136">
        <f ca="1">VALUE(LEFT(VLOOKUP(B45,bond!B:R,17,FALSE),SEARCH(" ",VLOOKUP(B45,bond!B:R,17,FALSE),1)))</f>
        <v>10000</v>
      </c>
      <c r="O45" s="136">
        <f ca="1">VALUE(RIGHT(VLOOKUP(B45,bond!B:R,17,FALSE),LEN(VLOOKUP(B45,bond!B:R,17,FALSE))-LEN(N45)-3))</f>
        <v>1000</v>
      </c>
      <c r="P45" s="135" t="str">
        <f ca="1">VLOOKUP($B45,bond!$B:$AG,32,FALSE)</f>
        <v>2024/12/15</v>
      </c>
      <c r="Q45" s="135" t="str">
        <f ca="1">VLOOKUP($B45,bond!$B:$AH,33,FALSE)</f>
        <v>醫療保健</v>
      </c>
      <c r="R45" s="135" t="str">
        <f ca="1">VLOOKUP(B45,bond!B:AA,26,FALSE)</f>
        <v>輝瑞大藥廠股份有限公司</v>
      </c>
      <c r="S45" s="135" t="str">
        <f ca="1">VLOOKUP(B45,bond!B:AI,34,FALSE)</f>
        <v>PFE</v>
      </c>
      <c r="T45" s="135" t="str">
        <f t="shared" ca="1" si="0"/>
        <v>輝瑞大藥廠股份有限公司/PFE</v>
      </c>
      <c r="U45" s="207" t="str">
        <f ca="1">IFERROR(VLOOKUP(T45,Bond_DES!D:E,2,FALSE),VLOOKUP(S45,bond!AI:AJ,2,FALSE))</f>
        <v>輝瑞大藥廠(Pfizer Inc.)是全球頂尖的生物製藥公司，在腫瘤學和疫苗方面尤具優勢，疫苗之王-沛兒肺炎鏈球菌13價結合型疫苗為其明星藥品之一，與德國BioNTech合作研發的「BNT162b2」是美國首獲核准的新冠疫苗其帶來鉅額收益，挹注該公司於2022、2023年《製藥經理人》全球製藥企業50強榜單奪得龍頭寶座。</v>
      </c>
      <c r="V45" s="136" t="str">
        <f ca="1">IFERROR(VLOOKUP(B45,'1_重設數據'!L:M,2,FALSE),IF(Q45="政府",IF(AD45&gt;16,"(NPI)非專投",IF(AD45&gt;10,"(PI)專投","高資產")),IF(VLOOKUP(B45,bond!B:AN,39,FALSE)="Y","(PI)專投",IF(AD45&gt;=15,"(NPI)非專投",IF(AD45&gt;=10,"(PI)專投","高資產")))))</f>
        <v>(NPI)非專投</v>
      </c>
      <c r="W45" s="136" t="str">
        <f ca="1">VLOOKUP(AD45,'credit rating'!$F$2:$H$22,3,FALSE)</f>
        <v>A</v>
      </c>
      <c r="X45" s="136" t="str">
        <f t="shared" ca="1" si="1"/>
        <v>A2</v>
      </c>
      <c r="Y45" s="136" t="str">
        <f t="shared" ca="1" si="2"/>
        <v>A</v>
      </c>
      <c r="Z45" s="136" t="str">
        <f t="shared" ca="1" si="3"/>
        <v>WD</v>
      </c>
      <c r="AA45" s="134">
        <f ca="1">IFERROR(VLOOKUP(X45,'credit rating'!A:C,3,FALSE),0)</f>
        <v>16</v>
      </c>
      <c r="AB45" s="134">
        <f ca="1">IFERROR(VLOOKUP(Y45,'credit rating'!B:C,2,FALSE),0)</f>
        <v>16</v>
      </c>
      <c r="AC45" s="136">
        <f ca="1">IFERROR(VLOOKUP(Z45,'credit rating'!B:C,2,FALSE),0)</f>
        <v>0</v>
      </c>
      <c r="AD45" s="136">
        <f t="shared" ca="1" si="4"/>
        <v>16</v>
      </c>
      <c r="AE45" s="249" t="str">
        <f ca="1">IFERROR(VLOOKUP(B45,bond!B:U,20,FALSE),"")</f>
        <v xml:space="preserve"> </v>
      </c>
      <c r="AF45" s="136" t="str">
        <f ca="1">IF(VLOOKUP(B45,bond!B:AK,36,FALSE)="#N/A Field Not Applicable","",VLOOKUP(B45,bond!B:AK,36,FALSE))</f>
        <v/>
      </c>
      <c r="AG45" s="136" t="str">
        <f ca="1">IF(VLOOKUP(B45,bond!B:AL,37,FALSE)="FIXED","固定",IF(VLOOKUP(B45,bond!B:AL,37,FALSE)="FLOATING","浮動",IF(VLOOKUP(B45,bond!B:AL,37,FALSE)="VARIABLE","變動",IF(VLOOKUP(B45,bond!B:AL,37,FALSE)="FLAT TRADING","不含息交易",IF(VLOOKUP(B45,bond!B:AL,37,FALSE)="ZERO COUPON","零息",VLOOKUP(B45,bond!B:AL,37,FALSE))))))</f>
        <v>固定</v>
      </c>
      <c r="AH45" s="136" t="str">
        <f>VLOOKUP(C45,'2_Check_code'!I:J,2,FALSE)</f>
        <v>美元(USD)</v>
      </c>
      <c r="AI45" s="136" t="str">
        <f t="shared" ca="1" si="5"/>
        <v>自由選清單</v>
      </c>
      <c r="AJ45" s="136">
        <f t="shared" ca="1" si="6"/>
        <v>0</v>
      </c>
      <c r="AK45" s="594" t="str">
        <f ca="1">IF(VLOOKUP(B45,bond!B:S,18,FALSE)="是","有",IF(VLOOKUP(B45,bond!B:S,18,FALSE)="NO OFFER","無","需查詢"))</f>
        <v>有</v>
      </c>
      <c r="AL45" s="136" t="str">
        <f>IF(VLOOKUP(A45,bond!F:AR,39,FALSE)="#N/A Field Not Applicable",VLOOKUP(A45,bond!F:AR,38,FALSE),IFERROR(VLOOKUP(A45,'7_發行日例外'!A:B,2,FALSE),VLOOKUP(A45,bond!F:AR,39,FALSE)))</f>
        <v>2016/11/21</v>
      </c>
      <c r="AM45" s="136" t="str">
        <f ca="1">VLOOKUP(B45,bond!B:AK,36,FALSE)</f>
        <v>#N/A Field Not Applicable</v>
      </c>
      <c r="AN45" s="136" t="str">
        <f ca="1">IFERROR(VLOOKUP(B45,'3_是否下架'!A:A,1,FALSE),"")</f>
        <v/>
      </c>
      <c r="AO45" s="136">
        <f ca="1">VLOOKUP(B45,bond!B:J,9,FALSE)</f>
        <v>90.240000000000009</v>
      </c>
      <c r="AP45" s="136">
        <f ca="1">VLOOKUP(B45,bond!B:V,21,FALSE)</f>
        <v>9.5267999999999997</v>
      </c>
    </row>
    <row r="46" spans="1:42">
      <c r="A46" s="141" t="str">
        <f>bond!F47</f>
        <v>USY0889VAA80</v>
      </c>
      <c r="B46" s="151" t="str">
        <f ca="1">IF($C$1=TRUE,bond!B47,"")</f>
        <v>XFL90</v>
      </c>
      <c r="C46" s="95" t="str">
        <f>VLOOKUP(A46,bond!F:G,2,FALSE)</f>
        <v>USD</v>
      </c>
      <c r="D46" s="142" t="str">
        <f ca="1">VLOOKUP(B46,bond!B:C,2,FALSE)</f>
        <v>印度巴帝電信美元配息債券 4.375% 2025/6/10</v>
      </c>
      <c r="E46" s="95" t="str">
        <f ca="1">VLOOKUP(B46,bond!B:D,3,FALSE)</f>
        <v>Baa3 / BBB- / BBB-</v>
      </c>
      <c r="F46" s="99" t="str">
        <f ca="1">VLOOKUP(B46,bond!B:AB,27,FALSE)</f>
        <v>2025/6/10</v>
      </c>
      <c r="G46" s="90">
        <f ca="1">VLOOKUP(B46,bond!B:E,4,FALSE)</f>
        <v>0.94</v>
      </c>
      <c r="H46" s="202">
        <f ca="1">VLOOKUP(B46,bond!B:Y,24,FALSE)</f>
        <v>4.3749999999999997E-2</v>
      </c>
      <c r="I46" s="95">
        <f ca="1">VLOOKUP(B46,bond!B:Z,25,FALSE)</f>
        <v>2</v>
      </c>
      <c r="J46" s="180">
        <f ca="1">VLOOKUP(B46,bond!B:K,10,FALSE)</f>
        <v>0.26740000000000003</v>
      </c>
      <c r="K46" s="96">
        <f ca="1">VLOOKUP($B46,bond!B:S,14,FALSE)</f>
        <v>99.95</v>
      </c>
      <c r="L46" s="91" t="str">
        <f ca="1">VLOOKUP(B46,bond!B:H,7,FALSE)</f>
        <v>2024/7/2</v>
      </c>
      <c r="M46" s="144">
        <f ca="1">VLOOKUP($B46,bond!$B:$Q,16,FALSE)</f>
        <v>4.7199999999999999E-2</v>
      </c>
      <c r="N46" s="136">
        <f ca="1">VALUE(LEFT(VLOOKUP(B46,bond!B:R,17,FALSE),SEARCH(" ",VLOOKUP(B46,bond!B:R,17,FALSE),1)))</f>
        <v>200000</v>
      </c>
      <c r="O46" s="136">
        <f ca="1">VALUE(RIGHT(VLOOKUP(B46,bond!B:R,17,FALSE),LEN(VLOOKUP(B46,bond!B:R,17,FALSE))-LEN(N46)-3))</f>
        <v>1000</v>
      </c>
      <c r="P46" s="135" t="str">
        <f ca="1">VLOOKUP($B46,bond!$B:$AG,32,FALSE)</f>
        <v>2024/12/10</v>
      </c>
      <c r="Q46" s="135" t="str">
        <f ca="1">VLOOKUP($B46,bond!$B:$AH,33,FALSE)</f>
        <v>通訊</v>
      </c>
      <c r="R46" s="135" t="str">
        <f ca="1">VLOOKUP(B46,bond!B:AA,26,FALSE)</f>
        <v>巴帝電信有限公司</v>
      </c>
      <c r="S46" s="135" t="str">
        <f ca="1">VLOOKUP(B46,bond!B:AI,34,FALSE)</f>
        <v>BHARTI</v>
      </c>
      <c r="T46" s="135" t="str">
        <f t="shared" ca="1" si="0"/>
        <v>巴帝電信有限公司/BHARTI</v>
      </c>
      <c r="U46" s="207" t="str">
        <f ca="1">IFERROR(VLOOKUP(T46,Bond_DES!D:E,2,FALSE),VLOOKUP(S46,bond!AI:AJ,2,FALSE))</f>
        <v>巴帝電信有限公司(Bharti Airtel Limited)總部位於新德里，為印度三大電信公司市值排名最高者，於印度提供2G、3G和4G無線服務及行動商務，市場版圖橫跨亞洲的印度、斯里蘭卡、孟加拉及非洲的肯亞、坦尚尼亞、烏干達等共17個國家，全球用戶數超過5億。</v>
      </c>
      <c r="V46" s="136" t="str">
        <f ca="1">IFERROR(VLOOKUP(B46,'1_重設數據'!L:M,2,FALSE),IF(Q46="政府",IF(AD46&gt;16,"(NPI)非專投",IF(AD46&gt;10,"(PI)專投","高資產")),IF(VLOOKUP(B46,bond!B:AN,39,FALSE)="Y","(PI)專投",IF(AD46&gt;=15,"(NPI)非專投",IF(AD46&gt;=10,"(PI)專投","高資產")))))</f>
        <v>(PI)專投</v>
      </c>
      <c r="W46" s="136" t="str">
        <f ca="1">VLOOKUP(AD46,'credit rating'!$F$2:$H$22,3,FALSE)</f>
        <v>BBB-</v>
      </c>
      <c r="X46" s="136" t="str">
        <f t="shared" ca="1" si="1"/>
        <v>Baa3</v>
      </c>
      <c r="Y46" s="136" t="str">
        <f t="shared" ca="1" si="2"/>
        <v>BBB-</v>
      </c>
      <c r="Z46" s="136" t="str">
        <f t="shared" ca="1" si="3"/>
        <v>BBB-</v>
      </c>
      <c r="AA46" s="134">
        <f ca="1">IFERROR(VLOOKUP(X46,'credit rating'!A:C,3,FALSE),0)</f>
        <v>12</v>
      </c>
      <c r="AB46" s="134">
        <f ca="1">IFERROR(VLOOKUP(Y46,'credit rating'!B:C,2,FALSE),0)</f>
        <v>12</v>
      </c>
      <c r="AC46" s="136">
        <f ca="1">IFERROR(VLOOKUP(Z46,'credit rating'!B:C,2,FALSE),0)</f>
        <v>12</v>
      </c>
      <c r="AD46" s="136">
        <f t="shared" ca="1" si="4"/>
        <v>12</v>
      </c>
      <c r="AE46" s="249" t="str">
        <f ca="1">IFERROR(VLOOKUP(B46,bond!B:U,20,FALSE),"")</f>
        <v xml:space="preserve"> </v>
      </c>
      <c r="AF46" s="136" t="str">
        <f ca="1">IF(VLOOKUP(B46,bond!B:AK,36,FALSE)="#N/A Field Not Applicable","",VLOOKUP(B46,bond!B:AK,36,FALSE))</f>
        <v/>
      </c>
      <c r="AG46" s="136" t="str">
        <f ca="1">IF(VLOOKUP(B46,bond!B:AL,37,FALSE)="FIXED","固定",IF(VLOOKUP(B46,bond!B:AL,37,FALSE)="FLOATING","浮動",IF(VLOOKUP(B46,bond!B:AL,37,FALSE)="VARIABLE","變動",IF(VLOOKUP(B46,bond!B:AL,37,FALSE)="FLAT TRADING","不含息交易",IF(VLOOKUP(B46,bond!B:AL,37,FALSE)="ZERO COUPON","零息",VLOOKUP(B46,bond!B:AL,37,FALSE))))))</f>
        <v>固定</v>
      </c>
      <c r="AH46" s="136" t="str">
        <f>VLOOKUP(C46,'2_Check_code'!I:J,2,FALSE)</f>
        <v>美元(USD)</v>
      </c>
      <c r="AI46" s="136" t="str">
        <f t="shared" ca="1" si="5"/>
        <v>自由選清單</v>
      </c>
      <c r="AJ46" s="136">
        <f t="shared" ca="1" si="6"/>
        <v>0</v>
      </c>
      <c r="AK46" s="594" t="str">
        <f ca="1">IF(VLOOKUP(B46,bond!B:S,18,FALSE)="是","有",IF(VLOOKUP(B46,bond!B:S,18,FALSE)="NO OFFER","無","需查詢"))</f>
        <v>有</v>
      </c>
      <c r="AL46" s="136" t="str">
        <f>IF(VLOOKUP(A46,bond!F:AR,39,FALSE)="#N/A Field Not Applicable",VLOOKUP(A46,bond!F:AR,38,FALSE),IFERROR(VLOOKUP(A46,'7_發行日例外'!A:B,2,FALSE),VLOOKUP(A46,bond!F:AR,39,FALSE)))</f>
        <v>2015/6/10</v>
      </c>
      <c r="AM46" s="136" t="str">
        <f ca="1">VLOOKUP(B46,bond!B:AK,36,FALSE)</f>
        <v>#N/A Field Not Applicable</v>
      </c>
      <c r="AN46" s="136" t="str">
        <f ca="1">IFERROR(VLOOKUP(B46,'3_是否下架'!A:A,1,FALSE),"")</f>
        <v/>
      </c>
      <c r="AO46" s="136">
        <f ca="1">VLOOKUP(B46,bond!B:J,9,FALSE)</f>
        <v>99.28</v>
      </c>
      <c r="AP46" s="136">
        <f ca="1">VLOOKUP(B46,bond!B:V,21,FALSE)</f>
        <v>0.90490000000000004</v>
      </c>
    </row>
    <row r="47" spans="1:42">
      <c r="A47" s="141" t="str">
        <f>bond!F48</f>
        <v>US92343VDC54</v>
      </c>
      <c r="B47" s="151" t="str">
        <f ca="1">IF($C$1=TRUE,bond!B48,"")</f>
        <v>XFM10</v>
      </c>
      <c r="C47" s="95" t="str">
        <f>VLOOKUP(A47,bond!F:G,2,FALSE)</f>
        <v>USD</v>
      </c>
      <c r="D47" s="142" t="str">
        <f ca="1">VLOOKUP(B47,bond!B:C,2,FALSE)</f>
        <v>威瑞森電信公司美元配息債券 4.125% 2046/8/15</v>
      </c>
      <c r="E47" s="95" t="str">
        <f ca="1">VLOOKUP(B47,bond!B:D,3,FALSE)</f>
        <v>Baa1 / BBB+ / A-</v>
      </c>
      <c r="F47" s="99" t="str">
        <f ca="1">VLOOKUP(B47,bond!B:AB,27,FALSE)</f>
        <v>2046/8/15</v>
      </c>
      <c r="G47" s="90">
        <f ca="1">VLOOKUP(B47,bond!B:E,4,FALSE)</f>
        <v>22.12</v>
      </c>
      <c r="H47" s="202">
        <f ca="1">VLOOKUP(B47,bond!B:Y,24,FALSE)</f>
        <v>4.1250000000000002E-2</v>
      </c>
      <c r="I47" s="95">
        <f ca="1">VLOOKUP(B47,bond!B:Z,25,FALSE)</f>
        <v>2</v>
      </c>
      <c r="J47" s="180">
        <f ca="1">VLOOKUP(B47,bond!B:K,10,FALSE)</f>
        <v>1.5698000000000001</v>
      </c>
      <c r="K47" s="96">
        <f ca="1">VLOOKUP($B47,bond!B:S,14,FALSE)</f>
        <v>86.36</v>
      </c>
      <c r="L47" s="91" t="str">
        <f ca="1">VLOOKUP(B47,bond!B:H,7,FALSE)</f>
        <v>2024/7/2</v>
      </c>
      <c r="M47" s="144">
        <f ca="1">VLOOKUP($B47,bond!$B:$Q,16,FALSE)</f>
        <v>5.2999999999999999E-2</v>
      </c>
      <c r="N47" s="136">
        <f ca="1">VALUE(LEFT(VLOOKUP(B47,bond!B:R,17,FALSE),SEARCH(" ",VLOOKUP(B47,bond!B:R,17,FALSE),1)))</f>
        <v>10000</v>
      </c>
      <c r="O47" s="136">
        <f ca="1">VALUE(RIGHT(VLOOKUP(B47,bond!B:R,17,FALSE),LEN(VLOOKUP(B47,bond!B:R,17,FALSE))-LEN(N47)-3))</f>
        <v>1000</v>
      </c>
      <c r="P47" s="135" t="str">
        <f ca="1">VLOOKUP($B47,bond!$B:$AG,32,FALSE)</f>
        <v>2024/8/15</v>
      </c>
      <c r="Q47" s="135" t="str">
        <f ca="1">VLOOKUP($B47,bond!$B:$AH,33,FALSE)</f>
        <v>通訊</v>
      </c>
      <c r="R47" s="135" t="str">
        <f ca="1">VLOOKUP(B47,bond!B:AA,26,FALSE)</f>
        <v>威瑞森電信公司</v>
      </c>
      <c r="S47" s="135" t="str">
        <f ca="1">VLOOKUP(B47,bond!B:AI,34,FALSE)</f>
        <v>VZ</v>
      </c>
      <c r="T47" s="135" t="str">
        <f t="shared" ca="1" si="0"/>
        <v>威瑞森電信公司/VZ</v>
      </c>
      <c r="U47" s="207" t="str">
        <f ca="1">IFERROR(VLOOKUP(T47,Bond_DES!D:E,2,FALSE),VLOOKUP(S47,bond!AI:AJ,2,FALSE))</f>
        <v>威瑞森電信(Verizon Communications Inc.)為全球電信業者中，產業規模最大且最會賺錢的電信商，且是唯一具備A級評等的美國無線通訊服務供應商，2021年完成收購美國最大的預付行動電話營運商TracFone後，進一步稱霸北美零售無線後付費及預付費通訊市場，於美國零售無線用戶市佔第一，總零售無線用戶數逾1.4億戶。</v>
      </c>
      <c r="V47" s="136" t="str">
        <f ca="1">IFERROR(VLOOKUP(B47,'1_重設數據'!L:M,2,FALSE),IF(Q47="政府",IF(AD47&gt;16,"(NPI)非專投",IF(AD47&gt;10,"(PI)專投","高資產")),IF(VLOOKUP(B47,bond!B:AN,39,FALSE)="Y","(PI)專投",IF(AD47&gt;=15,"(NPI)非專投",IF(AD47&gt;=10,"(PI)專投","高資產")))))</f>
        <v>(NPI)非專投</v>
      </c>
      <c r="W47" s="136" t="str">
        <f ca="1">VLOOKUP(AD47,'credit rating'!$F$2:$H$22,3,FALSE)</f>
        <v>A-</v>
      </c>
      <c r="X47" s="136" t="str">
        <f t="shared" ca="1" si="1"/>
        <v>Baa1</v>
      </c>
      <c r="Y47" s="136" t="str">
        <f t="shared" ca="1" si="2"/>
        <v>BBB+</v>
      </c>
      <c r="Z47" s="136" t="str">
        <f t="shared" ca="1" si="3"/>
        <v>A-</v>
      </c>
      <c r="AA47" s="134">
        <f ca="1">IFERROR(VLOOKUP(X47,'credit rating'!A:C,3,FALSE),0)</f>
        <v>14</v>
      </c>
      <c r="AB47" s="134">
        <f ca="1">IFERROR(VLOOKUP(Y47,'credit rating'!B:C,2,FALSE),0)</f>
        <v>14</v>
      </c>
      <c r="AC47" s="136">
        <f ca="1">IFERROR(VLOOKUP(Z47,'credit rating'!B:C,2,FALSE),0)</f>
        <v>15</v>
      </c>
      <c r="AD47" s="136">
        <f t="shared" ca="1" si="4"/>
        <v>15</v>
      </c>
      <c r="AE47" s="249" t="str">
        <f ca="1">IFERROR(VLOOKUP(B47,bond!B:U,20,FALSE),"")</f>
        <v xml:space="preserve"> </v>
      </c>
      <c r="AF47" s="136" t="str">
        <f ca="1">IF(VLOOKUP(B47,bond!B:AK,36,FALSE)="#N/A Field Not Applicable","",VLOOKUP(B47,bond!B:AK,36,FALSE))</f>
        <v/>
      </c>
      <c r="AG47" s="136" t="str">
        <f ca="1">IF(VLOOKUP(B47,bond!B:AL,37,FALSE)="FIXED","固定",IF(VLOOKUP(B47,bond!B:AL,37,FALSE)="FLOATING","浮動",IF(VLOOKUP(B47,bond!B:AL,37,FALSE)="VARIABLE","變動",IF(VLOOKUP(B47,bond!B:AL,37,FALSE)="FLAT TRADING","不含息交易",IF(VLOOKUP(B47,bond!B:AL,37,FALSE)="ZERO COUPON","零息",VLOOKUP(B47,bond!B:AL,37,FALSE))))))</f>
        <v>固定</v>
      </c>
      <c r="AH47" s="136" t="str">
        <f>VLOOKUP(C47,'2_Check_code'!I:J,2,FALSE)</f>
        <v>美元(USD)</v>
      </c>
      <c r="AI47" s="136" t="str">
        <f t="shared" ca="1" si="5"/>
        <v>自由選清單</v>
      </c>
      <c r="AJ47" s="136">
        <f t="shared" ca="1" si="6"/>
        <v>0</v>
      </c>
      <c r="AK47" s="594" t="str">
        <f ca="1">IF(VLOOKUP(B47,bond!B:S,18,FALSE)="是","有",IF(VLOOKUP(B47,bond!B:S,18,FALSE)="NO OFFER","無","需查詢"))</f>
        <v>有</v>
      </c>
      <c r="AL47" s="136" t="str">
        <f>IF(VLOOKUP(A47,bond!F:AR,39,FALSE)="#N/A Field Not Applicable",VLOOKUP(A47,bond!F:AR,38,FALSE),IFERROR(VLOOKUP(A47,'7_發行日例外'!A:B,2,FALSE),VLOOKUP(A47,bond!F:AR,39,FALSE)))</f>
        <v>2016/8/1</v>
      </c>
      <c r="AM47" s="136" t="str">
        <f ca="1">VLOOKUP(B47,bond!B:AK,36,FALSE)</f>
        <v>#N/A Field Not Applicable</v>
      </c>
      <c r="AN47" s="136" t="str">
        <f ca="1">IFERROR(VLOOKUP(B47,'3_是否下架'!A:A,1,FALSE),"")</f>
        <v/>
      </c>
      <c r="AO47" s="136">
        <f ca="1">VLOOKUP(B47,bond!B:J,9,FALSE)</f>
        <v>81.790000000000006</v>
      </c>
      <c r="AP47" s="136">
        <f ca="1">VLOOKUP(B47,bond!B:V,21,FALSE)</f>
        <v>13.2621</v>
      </c>
    </row>
    <row r="48" spans="1:42">
      <c r="A48" s="141" t="str">
        <f>bond!F49</f>
        <v>US925524AX89</v>
      </c>
      <c r="B48" s="151" t="str">
        <f ca="1">IF($C$1=TRUE,bond!B49,"")</f>
        <v>XFM20</v>
      </c>
      <c r="C48" s="95" t="str">
        <f>VLOOKUP(A48,bond!F:G,2,FALSE)</f>
        <v>USD</v>
      </c>
      <c r="D48" s="142" t="str">
        <f ca="1">VLOOKUP(B48,bond!B:C,2,FALSE)</f>
        <v>派拉蒙全球公司美元配息債券6.875%  2036/4/30</v>
      </c>
      <c r="E48" s="95" t="str">
        <f ca="1">VLOOKUP(B48,bond!B:D,3,FALSE)</f>
        <v>Baa3 / BB+ / BBB-</v>
      </c>
      <c r="F48" s="99" t="str">
        <f ca="1">VLOOKUP(B48,bond!B:AB,27,FALSE)</f>
        <v>2036/4/30</v>
      </c>
      <c r="G48" s="90">
        <f ca="1">VLOOKUP(B48,bond!B:E,4,FALSE)</f>
        <v>11.83</v>
      </c>
      <c r="H48" s="202">
        <f ca="1">VLOOKUP(B48,bond!B:Y,24,FALSE)</f>
        <v>6.8750000000000006E-2</v>
      </c>
      <c r="I48" s="95">
        <f ca="1">VLOOKUP(B48,bond!B:Z,25,FALSE)</f>
        <v>2</v>
      </c>
      <c r="J48" s="180">
        <f ca="1">VLOOKUP(B48,bond!B:K,10,FALSE)</f>
        <v>1.1839999999999999</v>
      </c>
      <c r="K48" s="96">
        <f ca="1">VLOOKUP($B48,bond!B:S,14,FALSE)</f>
        <v>98.94</v>
      </c>
      <c r="L48" s="91" t="str">
        <f ca="1">VLOOKUP(B48,bond!B:H,7,FALSE)</f>
        <v>2024/7/2</v>
      </c>
      <c r="M48" s="144">
        <f ca="1">VLOOKUP($B48,bond!$B:$Q,16,FALSE)</f>
        <v>7.1599999999999997E-2</v>
      </c>
      <c r="N48" s="136">
        <f ca="1">VALUE(LEFT(VLOOKUP(B48,bond!B:R,17,FALSE),SEARCH(" ",VLOOKUP(B48,bond!B:R,17,FALSE),1)))</f>
        <v>10000</v>
      </c>
      <c r="O48" s="136">
        <f ca="1">VALUE(RIGHT(VLOOKUP(B48,bond!B:R,17,FALSE),LEN(VLOOKUP(B48,bond!B:R,17,FALSE))-LEN(N48)-3))</f>
        <v>1000</v>
      </c>
      <c r="P48" s="135" t="str">
        <f ca="1">VLOOKUP($B48,bond!$B:$AG,32,FALSE)</f>
        <v>2024/10/30</v>
      </c>
      <c r="Q48" s="135" t="str">
        <f ca="1">VLOOKUP($B48,bond!$B:$AH,33,FALSE)</f>
        <v>通訊</v>
      </c>
      <c r="R48" s="135" t="str">
        <f ca="1">VLOOKUP(B48,bond!B:AA,26,FALSE)</f>
        <v>派拉蒙全球</v>
      </c>
      <c r="S48" s="135" t="str">
        <f ca="1">VLOOKUP(B48,bond!B:AI,34,FALSE)</f>
        <v>PARA</v>
      </c>
      <c r="T48" s="135" t="str">
        <f t="shared" ca="1" si="0"/>
        <v>派拉蒙全球/PARA</v>
      </c>
      <c r="U48" s="207" t="str">
        <f ca="1">IFERROR(VLOOKUP(T48,Bond_DES!D:E,2,FALSE),VLOOKUP(S48,bond!AI:AJ,2,FALSE))</f>
        <v>派拉蒙全球(Paramount Global)是全球最大的媒體公司之一，旗下分為直接對消費者、影視及電影拍攝三大部門。派拉蒙擁有多個全球知名的版權，如教父、海綿寶寶、變形金剛及印第安那瓊斯系列，也曾拍攝多部高票房影視作品，如鐵達尼號、捍衛戰士、鋼鐵人及史瑞克等，旗下影業公司為美國第二悠久的製片廠。</v>
      </c>
      <c r="V48" s="136" t="str">
        <f ca="1">IFERROR(VLOOKUP(B48,'1_重設數據'!L:M,2,FALSE),IF(Q48="政府",IF(AD48&gt;16,"(NPI)非專投",IF(AD48&gt;10,"(PI)專投","高資產")),IF(VLOOKUP(B48,bond!B:AN,39,FALSE)="Y","(PI)專投",IF(AD48&gt;=15,"(NPI)非專投",IF(AD48&gt;=10,"(PI)專投","高資產")))))</f>
        <v>(PI)專投</v>
      </c>
      <c r="W48" s="136" t="str">
        <f ca="1">VLOOKUP(AD48,'credit rating'!$F$2:$H$22,3,FALSE)</f>
        <v>BBB-</v>
      </c>
      <c r="X48" s="136" t="str">
        <f t="shared" ca="1" si="1"/>
        <v>Baa3</v>
      </c>
      <c r="Y48" s="136" t="str">
        <f t="shared" ca="1" si="2"/>
        <v>BB+</v>
      </c>
      <c r="Z48" s="136" t="str">
        <f t="shared" ca="1" si="3"/>
        <v>BBB-</v>
      </c>
      <c r="AA48" s="134">
        <f ca="1">IFERROR(VLOOKUP(X48,'credit rating'!A:C,3,FALSE),0)</f>
        <v>12</v>
      </c>
      <c r="AB48" s="134">
        <f ca="1">IFERROR(VLOOKUP(Y48,'credit rating'!B:C,2,FALSE),0)</f>
        <v>11</v>
      </c>
      <c r="AC48" s="136">
        <f ca="1">IFERROR(VLOOKUP(Z48,'credit rating'!B:C,2,FALSE),0)</f>
        <v>12</v>
      </c>
      <c r="AD48" s="136">
        <f t="shared" ca="1" si="4"/>
        <v>12</v>
      </c>
      <c r="AE48" s="249" t="str">
        <f ca="1">IFERROR(VLOOKUP(B48,bond!B:U,20,FALSE),"")</f>
        <v xml:space="preserve"> </v>
      </c>
      <c r="AF48" s="136" t="str">
        <f ca="1">IF(VLOOKUP(B48,bond!B:AK,36,FALSE)="#N/A Field Not Applicable","",VLOOKUP(B48,bond!B:AK,36,FALSE))</f>
        <v/>
      </c>
      <c r="AG48" s="136" t="str">
        <f ca="1">IF(VLOOKUP(B48,bond!B:AL,37,FALSE)="FIXED","固定",IF(VLOOKUP(B48,bond!B:AL,37,FALSE)="FLOATING","浮動",IF(VLOOKUP(B48,bond!B:AL,37,FALSE)="VARIABLE","變動",IF(VLOOKUP(B48,bond!B:AL,37,FALSE)="FLAT TRADING","不含息交易",IF(VLOOKUP(B48,bond!B:AL,37,FALSE)="ZERO COUPON","零息",VLOOKUP(B48,bond!B:AL,37,FALSE))))))</f>
        <v>固定</v>
      </c>
      <c r="AH48" s="136" t="str">
        <f>VLOOKUP(C48,'2_Check_code'!I:J,2,FALSE)</f>
        <v>美元(USD)</v>
      </c>
      <c r="AI48" s="136" t="str">
        <f t="shared" ca="1" si="5"/>
        <v>自由選清單</v>
      </c>
      <c r="AJ48" s="136">
        <f t="shared" ca="1" si="6"/>
        <v>0</v>
      </c>
      <c r="AK48" s="594" t="str">
        <f ca="1">IF(VLOOKUP(B48,bond!B:S,18,FALSE)="是","有",IF(VLOOKUP(B48,bond!B:S,18,FALSE)="NO OFFER","無","需查詢"))</f>
        <v>有</v>
      </c>
      <c r="AL48" s="136" t="str">
        <f>IF(VLOOKUP(A48,bond!F:AR,39,FALSE)="#N/A Field Not Applicable",VLOOKUP(A48,bond!F:AR,38,FALSE),IFERROR(VLOOKUP(A48,'7_發行日例外'!A:B,2,FALSE),VLOOKUP(A48,bond!F:AR,39,FALSE)))</f>
        <v>2006/4/12</v>
      </c>
      <c r="AM48" s="136" t="str">
        <f ca="1">VLOOKUP(B48,bond!B:AK,36,FALSE)</f>
        <v>#N/A Field Not Applicable</v>
      </c>
      <c r="AN48" s="136" t="str">
        <f ca="1">IFERROR(VLOOKUP(B48,'3_是否下架'!A:A,1,FALSE),"")</f>
        <v/>
      </c>
      <c r="AO48" s="136">
        <f ca="1">VLOOKUP(B48,bond!B:J,9,FALSE)</f>
        <v>94.76</v>
      </c>
      <c r="AP48" s="136">
        <f ca="1">VLOOKUP(B48,bond!B:V,21,FALSE)</f>
        <v>7.7984</v>
      </c>
    </row>
    <row r="49" spans="1:42">
      <c r="A49" s="141" t="str">
        <f>bond!F50</f>
        <v>USY68851AK32</v>
      </c>
      <c r="B49" s="151" t="str">
        <f ca="1">IF($C$1=TRUE,bond!B50,"")</f>
        <v>XFM50</v>
      </c>
      <c r="C49" s="95" t="str">
        <f>VLOOKUP(A49,bond!F:G,2,FALSE)</f>
        <v>USD</v>
      </c>
      <c r="D49" s="142" t="str">
        <f ca="1">VLOOKUP(B49,bond!B:C,2,FALSE)</f>
        <v>馬來西亞國家石油公司美元配息債券 7.625% 2026/10/15</v>
      </c>
      <c r="E49" s="95" t="str">
        <f ca="1">VLOOKUP(B49,bond!B:D,3,FALSE)</f>
        <v>A2 / A- / BBB+</v>
      </c>
      <c r="F49" s="99" t="str">
        <f ca="1">VLOOKUP(B49,bond!B:AB,27,FALSE)</f>
        <v>2026/10/15</v>
      </c>
      <c r="G49" s="90">
        <f ca="1">VLOOKUP(B49,bond!B:E,4,FALSE)</f>
        <v>2.29</v>
      </c>
      <c r="H49" s="202">
        <f ca="1">VLOOKUP(B49,bond!B:Y,24,FALSE)</f>
        <v>7.6249999999999998E-2</v>
      </c>
      <c r="I49" s="95">
        <f ca="1">VLOOKUP(B49,bond!B:Z,25,FALSE)</f>
        <v>2</v>
      </c>
      <c r="J49" s="180">
        <f ca="1">VLOOKUP(B49,bond!B:K,10,FALSE)</f>
        <v>1.6309</v>
      </c>
      <c r="K49" s="96">
        <f ca="1">VLOOKUP($B49,bond!B:S,14,FALSE)</f>
        <v>108.17</v>
      </c>
      <c r="L49" s="91" t="str">
        <f ca="1">VLOOKUP(B49,bond!B:H,7,FALSE)</f>
        <v>2024/7/2</v>
      </c>
      <c r="M49" s="144">
        <f ca="1">VLOOKUP($B49,bond!$B:$Q,16,FALSE)</f>
        <v>4.5699999999999998E-2</v>
      </c>
      <c r="N49" s="136">
        <f ca="1">VALUE(LEFT(VLOOKUP(B49,bond!B:R,17,FALSE),SEARCH(" ",VLOOKUP(B49,bond!B:R,17,FALSE),1)))</f>
        <v>100000</v>
      </c>
      <c r="O49" s="136">
        <f ca="1">VALUE(RIGHT(VLOOKUP(B49,bond!B:R,17,FALSE),LEN(VLOOKUP(B49,bond!B:R,17,FALSE))-LEN(N49)-3))</f>
        <v>1000</v>
      </c>
      <c r="P49" s="135" t="str">
        <f ca="1">VLOOKUP($B49,bond!$B:$AG,32,FALSE)</f>
        <v>2024/10/15</v>
      </c>
      <c r="Q49" s="135" t="str">
        <f ca="1">VLOOKUP($B49,bond!$B:$AH,33,FALSE)</f>
        <v>能源</v>
      </c>
      <c r="R49" s="135" t="str">
        <f ca="1">VLOOKUP(B49,bond!B:AA,26,FALSE)</f>
        <v>馬來西亞國家石油公司</v>
      </c>
      <c r="S49" s="135" t="str">
        <f ca="1">VLOOKUP(B49,bond!B:AI,34,FALSE)</f>
        <v>PETMK</v>
      </c>
      <c r="T49" s="135" t="str">
        <f t="shared" ca="1" si="0"/>
        <v>馬來西亞國家石油公司/PETMK</v>
      </c>
      <c r="U49" s="207" t="str">
        <f ca="1">IFERROR(VLOOKUP(T49,Bond_DES!D:E,2,FALSE),VLOOKUP(S49,bond!AI:AJ,2,FALSE))</f>
        <v>馬來西亞國家石油公司(Petroliam Nasional Berhad)是馬來西亞的國有石油及天然氣公司，著重於原油及天然氣的探勘、開發及生產。作為政府的全資控股公司，該公司掌握了全國的所有石油及天然氣資源，其非常強大的獨立信用狀況，獲穆迪賦予高於馬來西亞主權的信評水準。</v>
      </c>
      <c r="V49" s="136" t="str">
        <f ca="1">IFERROR(VLOOKUP(B49,'1_重設數據'!L:M,2,FALSE),IF(Q49="政府",IF(AD49&gt;16,"(NPI)非專投",IF(AD49&gt;10,"(PI)專投","高資產")),IF(VLOOKUP(B49,bond!B:AN,39,FALSE)="Y","(PI)專投",IF(AD49&gt;=15,"(NPI)非專投",IF(AD49&gt;=10,"(PI)專投","高資產")))))</f>
        <v>(NPI)非專投</v>
      </c>
      <c r="W49" s="136" t="str">
        <f ca="1">VLOOKUP(AD49,'credit rating'!$F$2:$H$22,3,FALSE)</f>
        <v>A</v>
      </c>
      <c r="X49" s="136" t="str">
        <f t="shared" ca="1" si="1"/>
        <v>A2</v>
      </c>
      <c r="Y49" s="136" t="str">
        <f t="shared" ca="1" si="2"/>
        <v>A-</v>
      </c>
      <c r="Z49" s="136" t="str">
        <f t="shared" ca="1" si="3"/>
        <v>BBB+</v>
      </c>
      <c r="AA49" s="134">
        <f ca="1">IFERROR(VLOOKUP(X49,'credit rating'!A:C,3,FALSE),0)</f>
        <v>16</v>
      </c>
      <c r="AB49" s="134">
        <f ca="1">IFERROR(VLOOKUP(Y49,'credit rating'!B:C,2,FALSE),0)</f>
        <v>15</v>
      </c>
      <c r="AC49" s="136">
        <f ca="1">IFERROR(VLOOKUP(Z49,'credit rating'!B:C,2,FALSE),0)</f>
        <v>14</v>
      </c>
      <c r="AD49" s="136">
        <f t="shared" ca="1" si="4"/>
        <v>16</v>
      </c>
      <c r="AE49" s="249" t="str">
        <f ca="1">IFERROR(VLOOKUP(B49,bond!B:U,20,FALSE),"")</f>
        <v xml:space="preserve"> </v>
      </c>
      <c r="AF49" s="136" t="str">
        <f ca="1">IF(VLOOKUP(B49,bond!B:AK,36,FALSE)="#N/A Field Not Applicable","",VLOOKUP(B49,bond!B:AK,36,FALSE))</f>
        <v/>
      </c>
      <c r="AG49" s="136" t="str">
        <f ca="1">IF(VLOOKUP(B49,bond!B:AL,37,FALSE)="FIXED","固定",IF(VLOOKUP(B49,bond!B:AL,37,FALSE)="FLOATING","浮動",IF(VLOOKUP(B49,bond!B:AL,37,FALSE)="VARIABLE","變動",IF(VLOOKUP(B49,bond!B:AL,37,FALSE)="FLAT TRADING","不含息交易",IF(VLOOKUP(B49,bond!B:AL,37,FALSE)="ZERO COUPON","零息",VLOOKUP(B49,bond!B:AL,37,FALSE))))))</f>
        <v>固定</v>
      </c>
      <c r="AH49" s="136" t="str">
        <f>VLOOKUP(C49,'2_Check_code'!I:J,2,FALSE)</f>
        <v>美元(USD)</v>
      </c>
      <c r="AI49" s="136" t="str">
        <f t="shared" ca="1" si="5"/>
        <v>自由選清單</v>
      </c>
      <c r="AJ49" s="136">
        <f t="shared" ca="1" si="6"/>
        <v>0</v>
      </c>
      <c r="AK49" s="594" t="str">
        <f ca="1">IF(VLOOKUP(B49,bond!B:S,18,FALSE)="是","有",IF(VLOOKUP(B49,bond!B:S,18,FALSE)="NO OFFER","無","需查詢"))</f>
        <v>有</v>
      </c>
      <c r="AL49" s="136" t="str">
        <f>IF(VLOOKUP(A49,bond!F:AR,39,FALSE)="#N/A Field Not Applicable",VLOOKUP(A49,bond!F:AR,38,FALSE),IFERROR(VLOOKUP(A49,'7_發行日例外'!A:B,2,FALSE),VLOOKUP(A49,bond!F:AR,39,FALSE)))</f>
        <v>1996/10/18</v>
      </c>
      <c r="AM49" s="136" t="str">
        <f ca="1">VLOOKUP(B49,bond!B:AK,36,FALSE)</f>
        <v>#N/A Field Not Applicable</v>
      </c>
      <c r="AN49" s="136" t="str">
        <f ca="1">IFERROR(VLOOKUP(B49,'3_是否下架'!A:A,1,FALSE),"")</f>
        <v/>
      </c>
      <c r="AO49" s="136">
        <f ca="1">VLOOKUP(B49,bond!B:J,9,FALSE)</f>
        <v>105.54</v>
      </c>
      <c r="AP49" s="136">
        <f ca="1">VLOOKUP(B49,bond!B:V,21,FALSE)</f>
        <v>2.0640999999999998</v>
      </c>
    </row>
    <row r="50" spans="1:42">
      <c r="A50" s="141" t="str">
        <f>bond!F51</f>
        <v>US747525AU71</v>
      </c>
      <c r="B50" s="151" t="str">
        <f ca="1">IF($C$1=TRUE,bond!B51,"")</f>
        <v>XFM60</v>
      </c>
      <c r="C50" s="95" t="str">
        <f>VLOOKUP(A50,bond!F:G,2,FALSE)</f>
        <v>USD</v>
      </c>
      <c r="D50" s="142" t="str">
        <f ca="1">VLOOKUP(B50,bond!B:C,2,FALSE)</f>
        <v>高通公司美元配息債券 3.25% 2027/5/20</v>
      </c>
      <c r="E50" s="95" t="str">
        <f ca="1">VLOOKUP(B50,bond!B:D,3,FALSE)</f>
        <v>A2 / A / -</v>
      </c>
      <c r="F50" s="99" t="str">
        <f ca="1">VLOOKUP(B50,bond!B:AB,27,FALSE)</f>
        <v>2027/5/20</v>
      </c>
      <c r="G50" s="90">
        <f ca="1">VLOOKUP(B50,bond!B:E,4,FALSE)</f>
        <v>2.88</v>
      </c>
      <c r="H50" s="202">
        <f ca="1">VLOOKUP(B50,bond!B:Y,24,FALSE)</f>
        <v>3.2500000000000001E-2</v>
      </c>
      <c r="I50" s="95">
        <f ca="1">VLOOKUP(B50,bond!B:Z,25,FALSE)</f>
        <v>2</v>
      </c>
      <c r="J50" s="180">
        <f ca="1">VLOOKUP(B50,bond!B:K,10,FALSE)</f>
        <v>0.37919999999999998</v>
      </c>
      <c r="K50" s="96">
        <f ca="1">VLOOKUP($B50,bond!B:S,14,FALSE)</f>
        <v>97.33</v>
      </c>
      <c r="L50" s="91" t="str">
        <f ca="1">VLOOKUP(B50,bond!B:H,7,FALSE)</f>
        <v>2024/7/2</v>
      </c>
      <c r="M50" s="144">
        <f ca="1">VLOOKUP($B50,bond!$B:$Q,16,FALSE)</f>
        <v>4.3900000000000002E-2</v>
      </c>
      <c r="N50" s="136">
        <f ca="1">VALUE(LEFT(VLOOKUP(B50,bond!B:R,17,FALSE),SEARCH(" ",VLOOKUP(B50,bond!B:R,17,FALSE),1)))</f>
        <v>10000</v>
      </c>
      <c r="O50" s="136">
        <f ca="1">VALUE(RIGHT(VLOOKUP(B50,bond!B:R,17,FALSE),LEN(VLOOKUP(B50,bond!B:R,17,FALSE))-LEN(N50)-3))</f>
        <v>1000</v>
      </c>
      <c r="P50" s="135" t="str">
        <f ca="1">VLOOKUP($B50,bond!$B:$AG,32,FALSE)</f>
        <v>2024/11/20</v>
      </c>
      <c r="Q50" s="135" t="str">
        <f ca="1">VLOOKUP($B50,bond!$B:$AH,33,FALSE)</f>
        <v>科技</v>
      </c>
      <c r="R50" s="135" t="str">
        <f ca="1">VLOOKUP(B50,bond!B:AA,26,FALSE)</f>
        <v>高通公司</v>
      </c>
      <c r="S50" s="135" t="str">
        <f ca="1">VLOOKUP(B50,bond!B:AI,34,FALSE)</f>
        <v>QCOM</v>
      </c>
      <c r="T50" s="135" t="str">
        <f t="shared" ca="1" si="0"/>
        <v>高通公司/QCOM</v>
      </c>
      <c r="U50" s="207" t="str">
        <f ca="1">IFERROR(VLOOKUP(T50,Bond_DES!D:E,2,FALSE),VLOOKUP(S50,bond!AI:AJ,2,FALSE))</f>
        <v>高通公司(Qualcomm Incorporated)為全球CDMA與無線技術領導廠商、IC設計收入冠軍，且在1Q24全球智慧手機晶片市佔上位居第2位(僅次於聯發科)，按銷售金額則排在第1位。公司主要從事設計、開發、製造及銷售數位通訊產品，業務涵蓋技術領先的3G/4G/5G晶片、系統軟體以及開發工具和產品。</v>
      </c>
      <c r="V50" s="136" t="str">
        <f ca="1">IFERROR(VLOOKUP(B50,'1_重設數據'!L:M,2,FALSE),IF(Q50="政府",IF(AD50&gt;16,"(NPI)非專投",IF(AD50&gt;10,"(PI)專投","高資產")),IF(VLOOKUP(B50,bond!B:AN,39,FALSE)="Y","(PI)專投",IF(AD50&gt;=15,"(NPI)非專投",IF(AD50&gt;=10,"(PI)專投","高資產")))))</f>
        <v>(NPI)非專投</v>
      </c>
      <c r="W50" s="136" t="str">
        <f ca="1">VLOOKUP(AD50,'credit rating'!$F$2:$H$22,3,FALSE)</f>
        <v>A</v>
      </c>
      <c r="X50" s="136" t="str">
        <f t="shared" ca="1" si="1"/>
        <v>A2</v>
      </c>
      <c r="Y50" s="136" t="str">
        <f t="shared" ca="1" si="2"/>
        <v>A</v>
      </c>
      <c r="Z50" s="136" t="str">
        <f t="shared" ca="1" si="3"/>
        <v>-</v>
      </c>
      <c r="AA50" s="134">
        <f ca="1">IFERROR(VLOOKUP(X50,'credit rating'!A:C,3,FALSE),0)</f>
        <v>16</v>
      </c>
      <c r="AB50" s="134">
        <f ca="1">IFERROR(VLOOKUP(Y50,'credit rating'!B:C,2,FALSE),0)</f>
        <v>16</v>
      </c>
      <c r="AC50" s="136">
        <f ca="1">IFERROR(VLOOKUP(Z50,'credit rating'!B:C,2,FALSE),0)</f>
        <v>0</v>
      </c>
      <c r="AD50" s="136">
        <f t="shared" ca="1" si="4"/>
        <v>16</v>
      </c>
      <c r="AE50" s="249">
        <f ca="1">IFERROR(VLOOKUP(B50,bond!B:U,20,FALSE),"")</f>
        <v>4.4900000000000002E-2</v>
      </c>
      <c r="AF50" s="136" t="str">
        <f ca="1">IF(VLOOKUP(B50,bond!B:AK,36,FALSE)="#N/A Field Not Applicable","",VLOOKUP(B50,bond!B:AK,36,FALSE))</f>
        <v>2027/2/20</v>
      </c>
      <c r="AG50" s="136" t="str">
        <f ca="1">IF(VLOOKUP(B50,bond!B:AL,37,FALSE)="FIXED","固定",IF(VLOOKUP(B50,bond!B:AL,37,FALSE)="FLOATING","浮動",IF(VLOOKUP(B50,bond!B:AL,37,FALSE)="VARIABLE","變動",IF(VLOOKUP(B50,bond!B:AL,37,FALSE)="FLAT TRADING","不含息交易",IF(VLOOKUP(B50,bond!B:AL,37,FALSE)="ZERO COUPON","零息",VLOOKUP(B50,bond!B:AL,37,FALSE))))))</f>
        <v>固定</v>
      </c>
      <c r="AH50" s="136" t="str">
        <f>VLOOKUP(C50,'2_Check_code'!I:J,2,FALSE)</f>
        <v>美元(USD)</v>
      </c>
      <c r="AI50" s="136" t="str">
        <f t="shared" ca="1" si="5"/>
        <v>自由選清單</v>
      </c>
      <c r="AJ50" s="136">
        <f t="shared" ca="1" si="6"/>
        <v>0</v>
      </c>
      <c r="AK50" s="594" t="str">
        <f ca="1">IF(VLOOKUP(B50,bond!B:S,18,FALSE)="是","有",IF(VLOOKUP(B50,bond!B:S,18,FALSE)="NO OFFER","無","需查詢"))</f>
        <v>有</v>
      </c>
      <c r="AL50" s="136" t="str">
        <f>IF(VLOOKUP(A50,bond!F:AR,39,FALSE)="#N/A Field Not Applicable",VLOOKUP(A50,bond!F:AR,38,FALSE),IFERROR(VLOOKUP(A50,'7_發行日例外'!A:B,2,FALSE),VLOOKUP(A50,bond!F:AR,39,FALSE)))</f>
        <v>2017/5/26</v>
      </c>
      <c r="AM50" s="136" t="str">
        <f ca="1">VLOOKUP(B50,bond!B:AK,36,FALSE)</f>
        <v>2027/2/20</v>
      </c>
      <c r="AN50" s="136" t="str">
        <f ca="1">IFERROR(VLOOKUP(B50,'3_是否下架'!A:A,1,FALSE),"")</f>
        <v/>
      </c>
      <c r="AO50" s="136">
        <f ca="1">VLOOKUP(B50,bond!B:J,9,FALSE)</f>
        <v>95.95</v>
      </c>
      <c r="AP50" s="136">
        <f ca="1">VLOOKUP(B50,bond!B:V,21,FALSE)</f>
        <v>2.7</v>
      </c>
    </row>
    <row r="51" spans="1:42">
      <c r="A51" s="141" t="str">
        <f>bond!F52</f>
        <v>XS1508675417</v>
      </c>
      <c r="B51" s="151" t="str">
        <f ca="1">IF($C$1=TRUE,bond!B52,"")</f>
        <v>XFM80</v>
      </c>
      <c r="C51" s="95" t="str">
        <f>VLOOKUP(A51,bond!F:G,2,FALSE)</f>
        <v>USD</v>
      </c>
      <c r="D51" s="142" t="str">
        <f ca="1">VLOOKUP(B51,bond!B:C,2,FALSE)</f>
        <v>沙烏地阿拉伯政府美元配息債券 3.25% 2026/10/26</v>
      </c>
      <c r="E51" s="95" t="str">
        <f ca="1">VLOOKUP(B51,bond!B:D,3,FALSE)</f>
        <v>A1 / - / A+</v>
      </c>
      <c r="F51" s="99" t="str">
        <f ca="1">VLOOKUP(B51,bond!B:AB,27,FALSE)</f>
        <v>2026/10/26</v>
      </c>
      <c r="G51" s="90">
        <f ca="1">VLOOKUP(B51,bond!B:E,4,FALSE)</f>
        <v>2.31</v>
      </c>
      <c r="H51" s="202">
        <f ca="1">VLOOKUP(B51,bond!B:Y,24,FALSE)</f>
        <v>3.2500000000000001E-2</v>
      </c>
      <c r="I51" s="95">
        <f ca="1">VLOOKUP(B51,bond!B:Z,25,FALSE)</f>
        <v>2</v>
      </c>
      <c r="J51" s="180">
        <f ca="1">VLOOKUP(B51,bond!B:K,10,FALSE)</f>
        <v>0.60489999999999999</v>
      </c>
      <c r="K51" s="96">
        <f ca="1">VLOOKUP($B51,bond!B:S,14,FALSE)</f>
        <v>98.17</v>
      </c>
      <c r="L51" s="91" t="str">
        <f ca="1">VLOOKUP(B51,bond!B:H,7,FALSE)</f>
        <v>2024/7/3</v>
      </c>
      <c r="M51" s="144">
        <f ca="1">VLOOKUP($B51,bond!$B:$Q,16,FALSE)</f>
        <v>4.36E-2</v>
      </c>
      <c r="N51" s="136">
        <f ca="1">VALUE(LEFT(VLOOKUP(B51,bond!B:R,17,FALSE),SEARCH(" ",VLOOKUP(B51,bond!B:R,17,FALSE),1)))</f>
        <v>200000</v>
      </c>
      <c r="O51" s="136">
        <f ca="1">VALUE(RIGHT(VLOOKUP(B51,bond!B:R,17,FALSE),LEN(VLOOKUP(B51,bond!B:R,17,FALSE))-LEN(N51)-3))</f>
        <v>1000</v>
      </c>
      <c r="P51" s="135" t="str">
        <f ca="1">VLOOKUP($B51,bond!$B:$AG,32,FALSE)</f>
        <v>2024/10/26</v>
      </c>
      <c r="Q51" s="135" t="str">
        <f ca="1">VLOOKUP($B51,bond!$B:$AH,33,FALSE)</f>
        <v>政府</v>
      </c>
      <c r="R51" s="135" t="str">
        <f ca="1">VLOOKUP(B51,bond!B:AA,26,FALSE)</f>
        <v>Saudi Government Internation</v>
      </c>
      <c r="S51" s="135" t="str">
        <f ca="1">VLOOKUP(B51,bond!B:AI,34,FALSE)</f>
        <v>KSA</v>
      </c>
      <c r="T51" s="135" t="str">
        <f t="shared" ca="1" si="0"/>
        <v>Saudi Government Internation/KSA</v>
      </c>
      <c r="U51" s="207" t="str">
        <f ca="1">IFERROR(VLOOKUP(T51,Bond_DES!D:E,2,FALSE),VLOOKUP(S51,bond!AI:AJ,2,FALSE))</f>
        <v>沙烏地阿拉伯政府(Kingdom of Saudi Arabi)是阿拉伯世界地理面積第2大的國家。沙國是中東北非最大經濟體和全球第19大經濟體(IMF 2023)，且沙國主權基金管理資產位居全球第6大(SWFI 2023)。石油為沙國的經濟支柱，且沙國是OPEC的主要成員國，為全球最大的石油出口國和第2大原油蘊藏量國家。</v>
      </c>
      <c r="V51" s="136" t="str">
        <f ca="1">IFERROR(VLOOKUP(B51,'1_重設數據'!L:M,2,FALSE),IF(Q51="政府",IF(AD51&gt;16,"(NPI)非專投",IF(AD51&gt;10,"(PI)專投","高資產")),IF(VLOOKUP(B51,bond!B:AN,39,FALSE)="Y","(PI)專投",IF(AD51&gt;=15,"(NPI)非專投",IF(AD51&gt;=10,"(PI)專投","高資產")))))</f>
        <v>(NPI)非專投</v>
      </c>
      <c r="W51" s="136" t="str">
        <f ca="1">VLOOKUP(AD51,'credit rating'!$F$2:$H$22,3,FALSE)</f>
        <v>A+</v>
      </c>
      <c r="X51" s="136" t="str">
        <f t="shared" ca="1" si="1"/>
        <v>A1</v>
      </c>
      <c r="Y51" s="136" t="str">
        <f t="shared" ca="1" si="2"/>
        <v>-</v>
      </c>
      <c r="Z51" s="136" t="str">
        <f t="shared" ca="1" si="3"/>
        <v>A+</v>
      </c>
      <c r="AA51" s="134">
        <f ca="1">IFERROR(VLOOKUP(X51,'credit rating'!A:C,3,FALSE),0)</f>
        <v>17</v>
      </c>
      <c r="AB51" s="134">
        <f ca="1">IFERROR(VLOOKUP(Y51,'credit rating'!B:C,2,FALSE),0)</f>
        <v>0</v>
      </c>
      <c r="AC51" s="136">
        <f ca="1">IFERROR(VLOOKUP(Z51,'credit rating'!B:C,2,FALSE),0)</f>
        <v>17</v>
      </c>
      <c r="AD51" s="136">
        <f t="shared" ca="1" si="4"/>
        <v>17</v>
      </c>
      <c r="AE51" s="249" t="str">
        <f ca="1">IFERROR(VLOOKUP(B51,bond!B:U,20,FALSE),"")</f>
        <v xml:space="preserve"> </v>
      </c>
      <c r="AF51" s="136" t="str">
        <f ca="1">IF(VLOOKUP(B51,bond!B:AK,36,FALSE)="#N/A Field Not Applicable","",VLOOKUP(B51,bond!B:AK,36,FALSE))</f>
        <v/>
      </c>
      <c r="AG51" s="136" t="str">
        <f ca="1">IF(VLOOKUP(B51,bond!B:AL,37,FALSE)="FIXED","固定",IF(VLOOKUP(B51,bond!B:AL,37,FALSE)="FLOATING","浮動",IF(VLOOKUP(B51,bond!B:AL,37,FALSE)="VARIABLE","變動",IF(VLOOKUP(B51,bond!B:AL,37,FALSE)="FLAT TRADING","不含息交易",IF(VLOOKUP(B51,bond!B:AL,37,FALSE)="ZERO COUPON","零息",VLOOKUP(B51,bond!B:AL,37,FALSE))))))</f>
        <v>固定</v>
      </c>
      <c r="AH51" s="136" t="str">
        <f>VLOOKUP(C51,'2_Check_code'!I:J,2,FALSE)</f>
        <v>美元(USD)</v>
      </c>
      <c r="AI51" s="136" t="str">
        <f t="shared" ca="1" si="5"/>
        <v>自由選清單</v>
      </c>
      <c r="AJ51" s="136">
        <f t="shared" ca="1" si="6"/>
        <v>0</v>
      </c>
      <c r="AK51" s="594" t="str">
        <f ca="1">IF(VLOOKUP(B51,bond!B:S,18,FALSE)="是","有",IF(VLOOKUP(B51,bond!B:S,18,FALSE)="NO OFFER","無","需查詢"))</f>
        <v>有</v>
      </c>
      <c r="AL51" s="136" t="str">
        <f>IF(VLOOKUP(A51,bond!F:AR,39,FALSE)="#N/A Field Not Applicable",VLOOKUP(A51,bond!F:AR,38,FALSE),IFERROR(VLOOKUP(A51,'7_發行日例外'!A:B,2,FALSE),VLOOKUP(A51,bond!F:AR,39,FALSE)))</f>
        <v>2016/10/26</v>
      </c>
      <c r="AM51" s="136" t="str">
        <f ca="1">VLOOKUP(B51,bond!B:AK,36,FALSE)</f>
        <v>#N/A Field Not Applicable</v>
      </c>
      <c r="AN51" s="136" t="str">
        <f ca="1">IFERROR(VLOOKUP(B51,'3_是否下架'!A:A,1,FALSE),"")</f>
        <v/>
      </c>
      <c r="AO51" s="136">
        <f ca="1">VLOOKUP(B51,bond!B:J,9,FALSE)</f>
        <v>96.570000000000007</v>
      </c>
      <c r="AP51" s="136">
        <f ca="1">VLOOKUP(B51,bond!B:V,21,FALSE)</f>
        <v>2.1804000000000001</v>
      </c>
    </row>
    <row r="52" spans="1:42">
      <c r="A52" s="141" t="str">
        <f>bond!F53</f>
        <v>RU000A0JXTS9</v>
      </c>
      <c r="B52" s="151" t="str">
        <f ca="1">IF($C$1=TRUE,bond!B53,"")</f>
        <v>XFM90</v>
      </c>
      <c r="C52" s="95" t="str">
        <f>VLOOKUP(A52,bond!F:G,2,FALSE)</f>
        <v>USD</v>
      </c>
      <c r="D52" s="142" t="str">
        <f ca="1">VLOOKUP(B52,bond!B:C,2,FALSE)</f>
        <v>俄羅斯聯邦政府美元配息債券 4.25% 2027/6/23</v>
      </c>
      <c r="E52" s="95" t="str">
        <f ca="1">VLOOKUP(B52,bond!B:D,3,FALSE)</f>
        <v>- / - / WD</v>
      </c>
      <c r="F52" s="99" t="str">
        <f ca="1">VLOOKUP(B52,bond!B:AB,27,FALSE)</f>
        <v>2027/6/23</v>
      </c>
      <c r="G52" s="90">
        <f ca="1">VLOOKUP(B52,bond!B:E,4,FALSE)</f>
        <v>2.97</v>
      </c>
      <c r="H52" s="202">
        <f ca="1">VLOOKUP(B52,bond!B:Y,24,FALSE)</f>
        <v>4.2500000000000003E-2</v>
      </c>
      <c r="I52" s="95">
        <f ca="1">VLOOKUP(B52,bond!B:Z,25,FALSE)</f>
        <v>2</v>
      </c>
      <c r="J52" s="180">
        <f ca="1">VLOOKUP(B52,bond!B:K,10,FALSE)</f>
        <v>0</v>
      </c>
      <c r="K52" s="96">
        <f ca="1">VLOOKUP($B52,bond!B:S,14,FALSE)</f>
        <v>78.17</v>
      </c>
      <c r="L52" s="91" t="str">
        <f ca="1">VLOOKUP(B52,bond!B:H,7,FALSE)</f>
        <v>2024/7/3</v>
      </c>
      <c r="M52" s="144">
        <f ca="1">VLOOKUP($B52,bond!$B:$Q,16,FALSE)</f>
        <v>0.12479999999999999</v>
      </c>
      <c r="N52" s="136">
        <f ca="1">VALUE(LEFT(VLOOKUP(B52,bond!B:R,17,FALSE),SEARCH(" ",VLOOKUP(B52,bond!B:R,17,FALSE),1)))</f>
        <v>200000</v>
      </c>
      <c r="O52" s="136">
        <f ca="1">VALUE(RIGHT(VLOOKUP(B52,bond!B:R,17,FALSE),LEN(VLOOKUP(B52,bond!B:R,17,FALSE))-LEN(N52)-3))</f>
        <v>200000</v>
      </c>
      <c r="P52" s="135" t="str">
        <f ca="1">VLOOKUP($B52,bond!$B:$AG,32,FALSE)</f>
        <v>2024/12/23</v>
      </c>
      <c r="Q52" s="135" t="str">
        <f ca="1">VLOOKUP($B52,bond!$B:$AH,33,FALSE)</f>
        <v>政府</v>
      </c>
      <c r="R52" s="135" t="str">
        <f ca="1">VLOOKUP(B52,bond!B:AA,26,FALSE)</f>
        <v>俄羅斯外國債券-歐洲債券</v>
      </c>
      <c r="S52" s="135" t="str">
        <f ca="1">VLOOKUP(B52,bond!B:AI,34,FALSE)</f>
        <v>RUSSIA</v>
      </c>
      <c r="T52" s="135" t="str">
        <f t="shared" ca="1" si="0"/>
        <v>俄羅斯外國債券-歐洲債券/RUSSIA</v>
      </c>
      <c r="U52" s="207" t="str">
        <f ca="1">IFERROR(VLOOKUP(T52,Bond_DES!D:E,2,FALSE),VLOOKUP(S52,bond!AI:AJ,2,FALSE))</f>
        <v>俄羅斯(Russia)國土橫跨歐亞兩大洲，為全世界領土面積最大的國家，亦是世界第9大人口國家，首都位於莫斯科。該國資源豐富，科技發達，經濟發展穩定，為世界第11大經濟體(IMF 2023)。以俄羅斯總統普丁和總理米舒斯京為核心的政治精英把持政局，使俄羅斯處於蘇聯解體以來政局最穩階段。</v>
      </c>
      <c r="V52" s="136" t="str">
        <f ca="1">IFERROR(VLOOKUP(B52,'1_重設數據'!L:M,2,FALSE),IF(Q52="政府",IF(AD52&gt;16,"(NPI)非專投",IF(AD52&gt;10,"(PI)專投","高資產")),IF(VLOOKUP(B52,bond!B:AN,39,FALSE)="Y","(PI)專投",IF(AD52&gt;=15,"(NPI)非專投",IF(AD52&gt;=10,"(PI)專投","高資產")))))</f>
        <v>高資產</v>
      </c>
      <c r="W52" s="136" t="e">
        <f ca="1">VLOOKUP(AD52,'credit rating'!$F$2:$H$22,3,FALSE)</f>
        <v>#N/A</v>
      </c>
      <c r="X52" s="136" t="str">
        <f t="shared" ca="1" si="1"/>
        <v>-</v>
      </c>
      <c r="Y52" s="136" t="str">
        <f t="shared" ca="1" si="2"/>
        <v>-</v>
      </c>
      <c r="Z52" s="136" t="str">
        <f t="shared" ca="1" si="3"/>
        <v>WD</v>
      </c>
      <c r="AA52" s="134">
        <f ca="1">IFERROR(VLOOKUP(X52,'credit rating'!A:C,3,FALSE),0)</f>
        <v>0</v>
      </c>
      <c r="AB52" s="134">
        <f ca="1">IFERROR(VLOOKUP(Y52,'credit rating'!B:C,2,FALSE),0)</f>
        <v>0</v>
      </c>
      <c r="AC52" s="136">
        <f ca="1">IFERROR(VLOOKUP(Z52,'credit rating'!B:C,2,FALSE),0)</f>
        <v>0</v>
      </c>
      <c r="AD52" s="136">
        <f t="shared" ca="1" si="4"/>
        <v>0</v>
      </c>
      <c r="AE52" s="249" t="str">
        <f ca="1">IFERROR(VLOOKUP(B52,bond!B:U,20,FALSE),"")</f>
        <v xml:space="preserve"> </v>
      </c>
      <c r="AF52" s="136" t="str">
        <f ca="1">IF(VLOOKUP(B52,bond!B:AK,36,FALSE)="#N/A Field Not Applicable","",VLOOKUP(B52,bond!B:AK,36,FALSE))</f>
        <v/>
      </c>
      <c r="AG52" s="136" t="str">
        <f ca="1">IF(VLOOKUP(B52,bond!B:AL,37,FALSE)="FIXED","固定",IF(VLOOKUP(B52,bond!B:AL,37,FALSE)="FLOATING","浮動",IF(VLOOKUP(B52,bond!B:AL,37,FALSE)="VARIABLE","變動",IF(VLOOKUP(B52,bond!B:AL,37,FALSE)="FLAT TRADING","不含息交易",IF(VLOOKUP(B52,bond!B:AL,37,FALSE)="ZERO COUPON","零息",VLOOKUP(B52,bond!B:AL,37,FALSE))))))</f>
        <v>不含息交易</v>
      </c>
      <c r="AH52" s="136" t="str">
        <f>VLOOKUP(C52,'2_Check_code'!I:J,2,FALSE)</f>
        <v>美元(USD)</v>
      </c>
      <c r="AI52" s="136" t="str">
        <f t="shared" ca="1" si="5"/>
        <v>自由選清單</v>
      </c>
      <c r="AJ52" s="136">
        <f t="shared" ca="1" si="6"/>
        <v>0</v>
      </c>
      <c r="AK52" s="594" t="str">
        <f ca="1">IF(VLOOKUP(B52,bond!B:S,18,FALSE)="是","有",IF(VLOOKUP(B52,bond!B:S,18,FALSE)="NO OFFER","無","需查詢"))</f>
        <v>需查詢</v>
      </c>
      <c r="AL52" s="136" t="str">
        <f>IF(VLOOKUP(A52,bond!F:AR,39,FALSE)="#N/A Field Not Applicable",VLOOKUP(A52,bond!F:AR,38,FALSE),IFERROR(VLOOKUP(A52,'7_發行日例外'!A:B,2,FALSE),VLOOKUP(A52,bond!F:AR,39,FALSE)))</f>
        <v>2017/6/23</v>
      </c>
      <c r="AM52" s="136" t="str">
        <f ca="1">VLOOKUP(B52,bond!B:AK,36,FALSE)</f>
        <v>#N/A Field Not Applicable</v>
      </c>
      <c r="AN52" s="136" t="str">
        <f ca="1">IFERROR(VLOOKUP(B52,'3_是否下架'!A:A,1,FALSE),"")</f>
        <v>XFM90</v>
      </c>
      <c r="AO52" s="136">
        <f ca="1">VLOOKUP(B52,bond!B:J,9,FALSE)</f>
        <v>75.67</v>
      </c>
      <c r="AP52" s="136">
        <f ca="1">VLOOKUP(B52,bond!B:V,21,FALSE)</f>
        <v>2.6739000000000002</v>
      </c>
    </row>
    <row r="53" spans="1:42">
      <c r="A53" s="141" t="str">
        <f>bond!F54</f>
        <v>US91086QAV05</v>
      </c>
      <c r="B53" s="151" t="str">
        <f ca="1">IF($C$1=TRUE,bond!B54,"")</f>
        <v>XFN30</v>
      </c>
      <c r="C53" s="95" t="str">
        <f>VLOOKUP(A53,bond!F:G,2,FALSE)</f>
        <v>USD</v>
      </c>
      <c r="D53" s="142" t="str">
        <f ca="1">VLOOKUP(B53,bond!B:C,2,FALSE)</f>
        <v>墨西哥政府美元配息債券 6.05% 2040/1/11</v>
      </c>
      <c r="E53" s="95" t="str">
        <f ca="1">VLOOKUP(B53,bond!B:D,3,FALSE)</f>
        <v>Baa2 / BBB / BBB-</v>
      </c>
      <c r="F53" s="99" t="str">
        <f ca="1">VLOOKUP(B53,bond!B:AB,27,FALSE)</f>
        <v>2040/1/11</v>
      </c>
      <c r="G53" s="90">
        <f ca="1">VLOOKUP(B53,bond!B:E,4,FALSE)</f>
        <v>15.53</v>
      </c>
      <c r="H53" s="202">
        <f ca="1">VLOOKUP(B53,bond!B:Y,24,FALSE)</f>
        <v>6.0499999999999998E-2</v>
      </c>
      <c r="I53" s="95">
        <f ca="1">VLOOKUP(B53,bond!B:Z,25,FALSE)</f>
        <v>2</v>
      </c>
      <c r="J53" s="180">
        <f ca="1">VLOOKUP(B53,bond!B:K,10,FALSE)</f>
        <v>2.8738000000000001</v>
      </c>
      <c r="K53" s="96">
        <f ca="1">VLOOKUP($B53,bond!B:S,14,FALSE)</f>
        <v>103.68</v>
      </c>
      <c r="L53" s="91" t="str">
        <f ca="1">VLOOKUP(B53,bond!B:H,7,FALSE)</f>
        <v>2024/7/2</v>
      </c>
      <c r="M53" s="144">
        <f ca="1">VLOOKUP($B53,bond!$B:$Q,16,FALSE)</f>
        <v>5.9700000000000003E-2</v>
      </c>
      <c r="N53" s="136">
        <f ca="1">VALUE(LEFT(VLOOKUP(B53,bond!B:R,17,FALSE),SEARCH(" ",VLOOKUP(B53,bond!B:R,17,FALSE),1)))</f>
        <v>10000</v>
      </c>
      <c r="O53" s="136">
        <f ca="1">VALUE(RIGHT(VLOOKUP(B53,bond!B:R,17,FALSE),LEN(VLOOKUP(B53,bond!B:R,17,FALSE))-LEN(N53)-3))</f>
        <v>2000</v>
      </c>
      <c r="P53" s="135" t="str">
        <f ca="1">VLOOKUP($B53,bond!$B:$AG,32,FALSE)</f>
        <v>2024/7/11</v>
      </c>
      <c r="Q53" s="135" t="str">
        <f ca="1">VLOOKUP($B53,bond!$B:$AH,33,FALSE)</f>
        <v>政府</v>
      </c>
      <c r="R53" s="135" t="str">
        <f ca="1">VLOOKUP(B53,bond!B:AA,26,FALSE)</f>
        <v>墨西哥政府國際債券</v>
      </c>
      <c r="S53" s="135" t="str">
        <f ca="1">VLOOKUP(B53,bond!B:AI,34,FALSE)</f>
        <v>MEX</v>
      </c>
      <c r="T53" s="135" t="str">
        <f t="shared" ca="1" si="0"/>
        <v>墨西哥政府國際債券/MEX</v>
      </c>
      <c r="U53" s="207" t="str">
        <f ca="1">IFERROR(VLOOKUP(T53,Bond_DES!D:E,2,FALSE),VLOOKUP(S53,bond!AI:AJ,2,FALSE))</f>
        <v>墨西哥合眾國(United Mexican States)通稱墨西哥，是世界第10大人口國家(人口約1.3億)，世界銀行將其歸為中高收入國家。墨西哥為世界第12大經濟體(IMF 2023)，GDP規模居拉美第二(僅次於巴西)，該國經濟與其美墨加協定(USMCA)貿易夥伴緊密相關，且自2021年起成為美國最大的貿易夥伴(按總貿易額)。</v>
      </c>
      <c r="V53" s="136" t="str">
        <f ca="1">IFERROR(VLOOKUP(B53,'1_重設數據'!L:M,2,FALSE),IF(Q53="政府",IF(AD53&gt;16,"(NPI)非專投",IF(AD53&gt;10,"(PI)專投","高資產")),IF(VLOOKUP(B53,bond!B:AN,39,FALSE)="Y","(PI)專投",IF(AD53&gt;=15,"(NPI)非專投",IF(AD53&gt;=10,"(PI)專投","高資產")))))</f>
        <v>(PI)專投</v>
      </c>
      <c r="W53" s="136" t="str">
        <f ca="1">VLOOKUP(AD53,'credit rating'!$F$2:$H$22,3,FALSE)</f>
        <v>BBB</v>
      </c>
      <c r="X53" s="136" t="str">
        <f t="shared" ca="1" si="1"/>
        <v>Baa2</v>
      </c>
      <c r="Y53" s="136" t="str">
        <f t="shared" ca="1" si="2"/>
        <v>BBB</v>
      </c>
      <c r="Z53" s="136" t="str">
        <f t="shared" ca="1" si="3"/>
        <v>BBB-</v>
      </c>
      <c r="AA53" s="134">
        <f ca="1">IFERROR(VLOOKUP(X53,'credit rating'!A:C,3,FALSE),0)</f>
        <v>13</v>
      </c>
      <c r="AB53" s="134">
        <f ca="1">IFERROR(VLOOKUP(Y53,'credit rating'!B:C,2,FALSE),0)</f>
        <v>13</v>
      </c>
      <c r="AC53" s="136">
        <f ca="1">IFERROR(VLOOKUP(Z53,'credit rating'!B:C,2,FALSE),0)</f>
        <v>12</v>
      </c>
      <c r="AD53" s="136">
        <f t="shared" ca="1" si="4"/>
        <v>13</v>
      </c>
      <c r="AE53" s="249" t="str">
        <f ca="1">IFERROR(VLOOKUP(B53,bond!B:U,20,FALSE),"")</f>
        <v xml:space="preserve"> </v>
      </c>
      <c r="AF53" s="136" t="str">
        <f ca="1">IF(VLOOKUP(B53,bond!B:AK,36,FALSE)="#N/A Field Not Applicable","",VLOOKUP(B53,bond!B:AK,36,FALSE))</f>
        <v/>
      </c>
      <c r="AG53" s="136" t="str">
        <f ca="1">IF(VLOOKUP(B53,bond!B:AL,37,FALSE)="FIXED","固定",IF(VLOOKUP(B53,bond!B:AL,37,FALSE)="FLOATING","浮動",IF(VLOOKUP(B53,bond!B:AL,37,FALSE)="VARIABLE","變動",IF(VLOOKUP(B53,bond!B:AL,37,FALSE)="FLAT TRADING","不含息交易",IF(VLOOKUP(B53,bond!B:AL,37,FALSE)="ZERO COUPON","零息",VLOOKUP(B53,bond!B:AL,37,FALSE))))))</f>
        <v>固定</v>
      </c>
      <c r="AH53" s="136" t="str">
        <f>VLOOKUP(C53,'2_Check_code'!I:J,2,FALSE)</f>
        <v>美元(USD)</v>
      </c>
      <c r="AI53" s="136" t="str">
        <f t="shared" ca="1" si="5"/>
        <v>自由選清單</v>
      </c>
      <c r="AJ53" s="136">
        <f t="shared" ca="1" si="6"/>
        <v>0</v>
      </c>
      <c r="AK53" s="594" t="str">
        <f ca="1">IF(VLOOKUP(B53,bond!B:S,18,FALSE)="是","有",IF(VLOOKUP(B53,bond!B:S,18,FALSE)="NO OFFER","無","需查詢"))</f>
        <v>有</v>
      </c>
      <c r="AL53" s="136" t="str">
        <f>IF(VLOOKUP(A53,bond!F:AR,39,FALSE)="#N/A Field Not Applicable",VLOOKUP(A53,bond!F:AR,38,FALSE),IFERROR(VLOOKUP(A53,'7_發行日例外'!A:B,2,FALSE),VLOOKUP(A53,bond!F:AR,39,FALSE)))</f>
        <v>2008/1/11</v>
      </c>
      <c r="AM53" s="136" t="str">
        <f ca="1">VLOOKUP(B53,bond!B:AK,36,FALSE)</f>
        <v>#N/A Field Not Applicable</v>
      </c>
      <c r="AN53" s="136" t="str">
        <f ca="1">IFERROR(VLOOKUP(B53,'3_是否下架'!A:A,1,FALSE),"")</f>
        <v/>
      </c>
      <c r="AO53" s="136">
        <f ca="1">VLOOKUP(B53,bond!B:J,9,FALSE)</f>
        <v>97.81</v>
      </c>
      <c r="AP53" s="136">
        <f ca="1">VLOOKUP(B53,bond!B:V,21,FALSE)</f>
        <v>9.6557999999999993</v>
      </c>
    </row>
    <row r="54" spans="1:42">
      <c r="A54" s="141" t="str">
        <f>bond!F55</f>
        <v>XS0316524130</v>
      </c>
      <c r="B54" s="151" t="str">
        <f ca="1">IF($C$1=TRUE,bond!B55,"")</f>
        <v>XFN40</v>
      </c>
      <c r="C54" s="95" t="str">
        <f>VLOOKUP(A54,bond!F:G,2,FALSE)</f>
        <v>USD</v>
      </c>
      <c r="D54" s="142" t="str">
        <f ca="1">VLOOKUP(B54,bond!B:C,2,FALSE)</f>
        <v>俄羅斯天然氣集團美元配息債券 7.288% 2037/8/16</v>
      </c>
      <c r="E54" s="95" t="str">
        <f ca="1">VLOOKUP(B54,bond!B:D,3,FALSE)</f>
        <v>WR / NR / WD</v>
      </c>
      <c r="F54" s="99" t="str">
        <f ca="1">VLOOKUP(B54,bond!B:AB,27,FALSE)</f>
        <v>2037/8/16</v>
      </c>
      <c r="G54" s="90">
        <f ca="1">VLOOKUP(B54,bond!B:E,4,FALSE)</f>
        <v>13.12</v>
      </c>
      <c r="H54" s="202">
        <f ca="1">VLOOKUP(B54,bond!B:Y,24,FALSE)</f>
        <v>7.288E-2</v>
      </c>
      <c r="I54" s="95">
        <f ca="1">VLOOKUP(B54,bond!B:Z,25,FALSE)</f>
        <v>2</v>
      </c>
      <c r="J54" s="180">
        <f ca="1">VLOOKUP(B54,bond!B:K,10,FALSE)</f>
        <v>2.7734999999999999</v>
      </c>
      <c r="K54" s="96">
        <f ca="1">VLOOKUP($B54,bond!B:S,14,FALSE)</f>
        <v>86.27</v>
      </c>
      <c r="L54" s="91" t="str">
        <f ca="1">VLOOKUP(B54,bond!B:H,7,FALSE)</f>
        <v>2024/7/3</v>
      </c>
      <c r="M54" s="144">
        <f ca="1">VLOOKUP($B54,bond!$B:$Q,16,FALSE)</f>
        <v>9.5100000000000004E-2</v>
      </c>
      <c r="N54" s="136">
        <f ca="1">VALUE(LEFT(VLOOKUP(B54,bond!B:R,17,FALSE),SEARCH(" ",VLOOKUP(B54,bond!B:R,17,FALSE),1)))</f>
        <v>100000</v>
      </c>
      <c r="O54" s="136">
        <f ca="1">VALUE(RIGHT(VLOOKUP(B54,bond!B:R,17,FALSE),LEN(VLOOKUP(B54,bond!B:R,17,FALSE))-LEN(N54)-3))</f>
        <v>1000</v>
      </c>
      <c r="P54" s="135" t="str">
        <f ca="1">VLOOKUP($B54,bond!$B:$AG,32,FALSE)</f>
        <v>2024/8/16</v>
      </c>
      <c r="Q54" s="135" t="str">
        <f ca="1">VLOOKUP($B54,bond!$B:$AH,33,FALSE)</f>
        <v>能源</v>
      </c>
      <c r="R54" s="135" t="str">
        <f ca="1">VLOOKUP(B54,bond!B:AA,26,FALSE)</f>
        <v>俄羅斯天然氣集團透過Gaz資本</v>
      </c>
      <c r="S54" s="135" t="str">
        <f ca="1">VLOOKUP(B54,bond!B:AI,34,FALSE)</f>
        <v>GAZPRU</v>
      </c>
      <c r="T54" s="135" t="str">
        <f t="shared" ca="1" si="0"/>
        <v>俄羅斯天然氣集團透過Gaz資本/GAZPRU</v>
      </c>
      <c r="U54" s="207" t="str">
        <f ca="1">IFERROR(VLOOKUP(T54,Bond_DES!D:E,2,FALSE),VLOOKUP(S54,bond!AI:AJ,2,FALSE))</f>
        <v>俄羅斯天然氣集團透過Gaz資本有限責任公司(Gazprom PJSC Via Gaz Capital SA)Gaz Capital S.A是為了參與控股母公司-Gazprom PJSC財務活動而成立的特殊目的機構。Gazprom PJSC是俄羅斯國有控股的跨國能源公司，按營收為俄羅斯最大公司，且是世界最大的天然氣生產商、俄羅斯前四大石油生產商之一。</v>
      </c>
      <c r="V54" s="136" t="str">
        <f ca="1">IFERROR(VLOOKUP(B54,'1_重設數據'!L:M,2,FALSE),IF(Q54="政府",IF(AD54&gt;16,"(NPI)非專投",IF(AD54&gt;10,"(PI)專投","高資產")),IF(VLOOKUP(B54,bond!B:AN,39,FALSE)="Y","(PI)專投",IF(AD54&gt;=15,"(NPI)非專投",IF(AD54&gt;=10,"(PI)專投","高資產")))))</f>
        <v>高資產</v>
      </c>
      <c r="W54" s="136" t="e">
        <f ca="1">VLOOKUP(AD54,'credit rating'!$F$2:$H$22,3,FALSE)</f>
        <v>#N/A</v>
      </c>
      <c r="X54" s="136" t="str">
        <f t="shared" ca="1" si="1"/>
        <v>WR</v>
      </c>
      <c r="Y54" s="136" t="str">
        <f t="shared" ca="1" si="2"/>
        <v>NR</v>
      </c>
      <c r="Z54" s="136" t="str">
        <f t="shared" ca="1" si="3"/>
        <v>WD</v>
      </c>
      <c r="AA54" s="134">
        <f ca="1">IFERROR(VLOOKUP(X54,'credit rating'!A:C,3,FALSE),0)</f>
        <v>0</v>
      </c>
      <c r="AB54" s="134">
        <f ca="1">IFERROR(VLOOKUP(Y54,'credit rating'!B:C,2,FALSE),0)</f>
        <v>0</v>
      </c>
      <c r="AC54" s="136">
        <f ca="1">IFERROR(VLOOKUP(Z54,'credit rating'!B:C,2,FALSE),0)</f>
        <v>0</v>
      </c>
      <c r="AD54" s="136">
        <f t="shared" ca="1" si="4"/>
        <v>0</v>
      </c>
      <c r="AE54" s="249" t="str">
        <f ca="1">IFERROR(VLOOKUP(B54,bond!B:U,20,FALSE),"")</f>
        <v xml:space="preserve"> </v>
      </c>
      <c r="AF54" s="136" t="str">
        <f ca="1">IF(VLOOKUP(B54,bond!B:AK,36,FALSE)="#N/A Field Not Applicable","",VLOOKUP(B54,bond!B:AK,36,FALSE))</f>
        <v/>
      </c>
      <c r="AG54" s="136" t="str">
        <f ca="1">IF(VLOOKUP(B54,bond!B:AL,37,FALSE)="FIXED","固定",IF(VLOOKUP(B54,bond!B:AL,37,FALSE)="FLOATING","浮動",IF(VLOOKUP(B54,bond!B:AL,37,FALSE)="VARIABLE","變動",IF(VLOOKUP(B54,bond!B:AL,37,FALSE)="FLAT TRADING","不含息交易",IF(VLOOKUP(B54,bond!B:AL,37,FALSE)="ZERO COUPON","零息",VLOOKUP(B54,bond!B:AL,37,FALSE))))))</f>
        <v>固定</v>
      </c>
      <c r="AH54" s="136" t="str">
        <f>VLOOKUP(C54,'2_Check_code'!I:J,2,FALSE)</f>
        <v>美元(USD)</v>
      </c>
      <c r="AI54" s="136" t="str">
        <f t="shared" ca="1" si="5"/>
        <v>自由選清單</v>
      </c>
      <c r="AJ54" s="136">
        <f t="shared" ca="1" si="6"/>
        <v>0</v>
      </c>
      <c r="AK54" s="594" t="str">
        <f ca="1">IF(VLOOKUP(B54,bond!B:S,18,FALSE)="是","有",IF(VLOOKUP(B54,bond!B:S,18,FALSE)="NO OFFER","無","需查詢"))</f>
        <v>需查詢</v>
      </c>
      <c r="AL54" s="136" t="str">
        <f>IF(VLOOKUP(A54,bond!F:AR,39,FALSE)="#N/A Field Not Applicable",VLOOKUP(A54,bond!F:AR,38,FALSE),IFERROR(VLOOKUP(A54,'7_發行日例外'!A:B,2,FALSE),VLOOKUP(A54,bond!F:AR,39,FALSE)))</f>
        <v>2007/8/16</v>
      </c>
      <c r="AM54" s="136" t="str">
        <f ca="1">VLOOKUP(B54,bond!B:AK,36,FALSE)</f>
        <v>#N/A Field Not Applicable</v>
      </c>
      <c r="AN54" s="136" t="str">
        <f ca="1">IFERROR(VLOOKUP(B54,'3_是否下架'!A:A,1,FALSE),"")</f>
        <v>XFN40</v>
      </c>
      <c r="AO54" s="136">
        <f ca="1">VLOOKUP(B54,bond!B:J,9,FALSE)</f>
        <v>80.5</v>
      </c>
      <c r="AP54" s="136">
        <f ca="1">VLOOKUP(B54,bond!B:V,21,FALSE)</f>
        <v>7.5000999999999998</v>
      </c>
    </row>
    <row r="55" spans="1:42">
      <c r="A55" s="141" t="str">
        <f>bond!F56</f>
        <v>US025816BR90</v>
      </c>
      <c r="B55" s="151" t="str">
        <f ca="1">IF($C$1=TRUE,bond!B56,"")</f>
        <v>XFN60</v>
      </c>
      <c r="C55" s="95" t="str">
        <f>VLOOKUP(A55,bond!F:G,2,FALSE)</f>
        <v>USD</v>
      </c>
      <c r="D55" s="142" t="str">
        <f ca="1">VLOOKUP(B55,bond!B:C,2,FALSE)</f>
        <v>美國運通美元配息債券 3% 2024/10/30</v>
      </c>
      <c r="E55" s="95" t="str">
        <f ca="1">VLOOKUP(B55,bond!B:D,3,FALSE)</f>
        <v>A2 / BBB+ / A</v>
      </c>
      <c r="F55" s="99" t="str">
        <f ca="1">VLOOKUP(B55,bond!B:AB,27,FALSE)</f>
        <v>2024/10/30</v>
      </c>
      <c r="G55" s="90">
        <f ca="1">VLOOKUP(B55,bond!B:E,4,FALSE)</f>
        <v>0.33</v>
      </c>
      <c r="H55" s="202">
        <f ca="1">VLOOKUP(B55,bond!B:Y,24,FALSE)</f>
        <v>0.03</v>
      </c>
      <c r="I55" s="95">
        <f ca="1">VLOOKUP(B55,bond!B:Z,25,FALSE)</f>
        <v>2</v>
      </c>
      <c r="J55" s="180">
        <f ca="1">VLOOKUP(B55,bond!B:K,10,FALSE)</f>
        <v>0.51670000000000005</v>
      </c>
      <c r="K55" s="96">
        <f ca="1">VLOOKUP($B55,bond!B:S,14,FALSE)</f>
        <v>101.21000000000001</v>
      </c>
      <c r="L55" s="91" t="str">
        <f ca="1">VLOOKUP(B55,bond!B:H,7,FALSE)</f>
        <v>2024/7/2</v>
      </c>
      <c r="M55" s="144">
        <f ca="1">VLOOKUP($B55,bond!$B:$Q,16,FALSE)</f>
        <v>8.8000000000000005E-3</v>
      </c>
      <c r="N55" s="136">
        <f ca="1">VALUE(LEFT(VLOOKUP(B55,bond!B:R,17,FALSE),SEARCH(" ",VLOOKUP(B55,bond!B:R,17,FALSE),1)))</f>
        <v>10000</v>
      </c>
      <c r="O55" s="136">
        <f ca="1">VALUE(RIGHT(VLOOKUP(B55,bond!B:R,17,FALSE),LEN(VLOOKUP(B55,bond!B:R,17,FALSE))-LEN(N55)-3))</f>
        <v>1000</v>
      </c>
      <c r="P55" s="135" t="str">
        <f ca="1">VLOOKUP($B55,bond!$B:$AG,32,FALSE)</f>
        <v>2024/10/30</v>
      </c>
      <c r="Q55" s="135" t="str">
        <f ca="1">VLOOKUP($B55,bond!$B:$AH,33,FALSE)</f>
        <v>金融</v>
      </c>
      <c r="R55" s="135" t="str">
        <f ca="1">VLOOKUP(B55,bond!B:AA,26,FALSE)</f>
        <v>美國運通</v>
      </c>
      <c r="S55" s="135" t="str">
        <f ca="1">VLOOKUP(B55,bond!B:AI,34,FALSE)</f>
        <v>AXP</v>
      </c>
      <c r="T55" s="135" t="str">
        <f t="shared" ca="1" si="0"/>
        <v>美國運通/AXP</v>
      </c>
      <c r="U55" s="207" t="str">
        <f ca="1">IFERROR(VLOOKUP(T55,Bond_DES!D:E,2,FALSE),VLOOKUP(S55,bond!AI:AJ,2,FALSE))</f>
        <v>美國運通(American Express)是一家全球性綜合支付公司，亦是世界上唯一一家同時身兼發卡、商戶收單和卡網路支付清算業務於一身的公司，名列富比世百大企業、財富全球500大公司之一，美國運通發行的頂級黑卡「 百夫長卡」被讚譽為世界上最強的信用卡。公司最大股東為巴菲特所職掌的波克夏海瑟威公司，持有美國運通已超過25年。</v>
      </c>
      <c r="V55" s="136" t="str">
        <f ca="1">IFERROR(VLOOKUP(B55,'1_重設數據'!L:M,2,FALSE),IF(Q55="政府",IF(AD55&gt;16,"(NPI)非專投",IF(AD55&gt;10,"(PI)專投","高資產")),IF(VLOOKUP(B55,bond!B:AN,39,FALSE)="Y","(PI)專投",IF(AD55&gt;=15,"(NPI)非專投",IF(AD55&gt;=10,"(PI)專投","高資產")))))</f>
        <v>(NPI)非專投</v>
      </c>
      <c r="W55" s="136" t="str">
        <f ca="1">VLOOKUP(AD55,'credit rating'!$F$2:$H$22,3,FALSE)</f>
        <v>A</v>
      </c>
      <c r="X55" s="136" t="str">
        <f t="shared" ca="1" si="1"/>
        <v>A2</v>
      </c>
      <c r="Y55" s="136" t="str">
        <f t="shared" ca="1" si="2"/>
        <v>BBB+</v>
      </c>
      <c r="Z55" s="136" t="str">
        <f t="shared" ca="1" si="3"/>
        <v>A</v>
      </c>
      <c r="AA55" s="134">
        <f ca="1">IFERROR(VLOOKUP(X55,'credit rating'!A:C,3,FALSE),0)</f>
        <v>16</v>
      </c>
      <c r="AB55" s="134">
        <f ca="1">IFERROR(VLOOKUP(Y55,'credit rating'!B:C,2,FALSE),0)</f>
        <v>14</v>
      </c>
      <c r="AC55" s="136">
        <f ca="1">IFERROR(VLOOKUP(Z55,'credit rating'!B:C,2,FALSE),0)</f>
        <v>16</v>
      </c>
      <c r="AD55" s="136">
        <f t="shared" ca="1" si="4"/>
        <v>16</v>
      </c>
      <c r="AE55" s="249">
        <f ca="1">IFERROR(VLOOKUP(B55,bond!B:U,20,FALSE),"")</f>
        <v>1.4E-3</v>
      </c>
      <c r="AF55" s="136" t="str">
        <f ca="1">IF(VLOOKUP(B55,bond!B:AK,36,FALSE)="#N/A Field Not Applicable","",VLOOKUP(B55,bond!B:AK,36,FALSE))</f>
        <v>2024/9/29</v>
      </c>
      <c r="AG55" s="136" t="str">
        <f ca="1">IF(VLOOKUP(B55,bond!B:AL,37,FALSE)="FIXED","固定",IF(VLOOKUP(B55,bond!B:AL,37,FALSE)="FLOATING","浮動",IF(VLOOKUP(B55,bond!B:AL,37,FALSE)="VARIABLE","變動",IF(VLOOKUP(B55,bond!B:AL,37,FALSE)="FLAT TRADING","不含息交易",IF(VLOOKUP(B55,bond!B:AL,37,FALSE)="ZERO COUPON","零息",VLOOKUP(B55,bond!B:AL,37,FALSE))))))</f>
        <v>固定</v>
      </c>
      <c r="AH55" s="136" t="str">
        <f>VLOOKUP(C55,'2_Check_code'!I:J,2,FALSE)</f>
        <v>美元(USD)</v>
      </c>
      <c r="AI55" s="136" t="str">
        <f t="shared" ca="1" si="5"/>
        <v>自由選清單</v>
      </c>
      <c r="AJ55" s="136">
        <f t="shared" ca="1" si="6"/>
        <v>0</v>
      </c>
      <c r="AK55" s="594" t="str">
        <f ca="1">IF(VLOOKUP(B55,bond!B:S,18,FALSE)="是","有",IF(VLOOKUP(B55,bond!B:S,18,FALSE)="NO OFFER","無","需查詢"))</f>
        <v>有</v>
      </c>
      <c r="AL55" s="136" t="str">
        <f>IF(VLOOKUP(A55,bond!F:AR,39,FALSE)="#N/A Field Not Applicable",VLOOKUP(A55,bond!F:AR,38,FALSE),IFERROR(VLOOKUP(A55,'7_發行日例外'!A:B,2,FALSE),VLOOKUP(A55,bond!F:AR,39,FALSE)))</f>
        <v>2017/10/30</v>
      </c>
      <c r="AM55" s="136" t="str">
        <f ca="1">VLOOKUP(B55,bond!B:AK,36,FALSE)</f>
        <v>2024/9/29</v>
      </c>
      <c r="AN55" s="136" t="str">
        <f ca="1">IFERROR(VLOOKUP(B55,'3_是否下架'!A:A,1,FALSE),"")</f>
        <v>XFN60</v>
      </c>
      <c r="AO55" s="136">
        <f ca="1">VLOOKUP(B55,bond!B:J,9,FALSE)</f>
        <v>99.490000000000009</v>
      </c>
      <c r="AP55" s="136">
        <f ca="1">VLOOKUP(B55,bond!B:V,21,FALSE)</f>
        <v>0.32429999999999998</v>
      </c>
    </row>
    <row r="56" spans="1:42">
      <c r="A56" s="141" t="str">
        <f>bond!F57</f>
        <v>US345370CA64</v>
      </c>
      <c r="B56" s="151" t="str">
        <f ca="1">IF($C$1=TRUE,bond!B57,"")</f>
        <v>XFN70</v>
      </c>
      <c r="C56" s="95" t="str">
        <f>VLOOKUP(A56,bond!F:G,2,FALSE)</f>
        <v>USD</v>
      </c>
      <c r="D56" s="142" t="str">
        <f ca="1">VLOOKUP(B56,bond!B:C,2,FALSE)</f>
        <v>福特汽車公司美元配息債券 7.45% 2031/7/16</v>
      </c>
      <c r="E56" s="95" t="str">
        <f ca="1">VLOOKUP(B56,bond!B:D,3,FALSE)</f>
        <v>Ba1 / BBB- / BBB-</v>
      </c>
      <c r="F56" s="99" t="str">
        <f ca="1">VLOOKUP(B56,bond!B:AB,27,FALSE)</f>
        <v>2031/7/16</v>
      </c>
      <c r="G56" s="90">
        <f ca="1">VLOOKUP(B56,bond!B:E,4,FALSE)</f>
        <v>7.04</v>
      </c>
      <c r="H56" s="202">
        <f ca="1">VLOOKUP(B56,bond!B:Y,24,FALSE)</f>
        <v>7.4499999999999997E-2</v>
      </c>
      <c r="I56" s="95">
        <f ca="1">VLOOKUP(B56,bond!B:Z,25,FALSE)</f>
        <v>2</v>
      </c>
      <c r="J56" s="180">
        <f ca="1">VLOOKUP(B56,bond!B:K,10,FALSE)</f>
        <v>3.4352999999999998</v>
      </c>
      <c r="K56" s="96">
        <f ca="1">VLOOKUP($B56,bond!B:S,14,FALSE)</f>
        <v>113.76</v>
      </c>
      <c r="L56" s="91" t="str">
        <f ca="1">VLOOKUP(B56,bond!B:H,7,FALSE)</f>
        <v>2024/7/2</v>
      </c>
      <c r="M56" s="144">
        <f ca="1">VLOOKUP($B56,bond!$B:$Q,16,FALSE)</f>
        <v>5.6500000000000002E-2</v>
      </c>
      <c r="N56" s="136">
        <f ca="1">VALUE(LEFT(VLOOKUP(B56,bond!B:R,17,FALSE),SEARCH(" ",VLOOKUP(B56,bond!B:R,17,FALSE),1)))</f>
        <v>10000</v>
      </c>
      <c r="O56" s="136">
        <f ca="1">VALUE(RIGHT(VLOOKUP(B56,bond!B:R,17,FALSE),LEN(VLOOKUP(B56,bond!B:R,17,FALSE))-LEN(N56)-3))</f>
        <v>1000</v>
      </c>
      <c r="P56" s="135" t="str">
        <f ca="1">VLOOKUP($B56,bond!$B:$AG,32,FALSE)</f>
        <v>2024/7/16</v>
      </c>
      <c r="Q56" s="135" t="str">
        <f ca="1">VLOOKUP($B56,bond!$B:$AH,33,FALSE)</f>
        <v>非核心消費</v>
      </c>
      <c r="R56" s="135" t="str">
        <f ca="1">VLOOKUP(B56,bond!B:AA,26,FALSE)</f>
        <v>福特汽車公司</v>
      </c>
      <c r="S56" s="135" t="str">
        <f ca="1">VLOOKUP(B56,bond!B:AI,34,FALSE)</f>
        <v>F</v>
      </c>
      <c r="T56" s="135" t="str">
        <f t="shared" ca="1" si="0"/>
        <v>福特汽車公司/F</v>
      </c>
      <c r="U56" s="207" t="str">
        <f ca="1">IFERROR(VLOOKUP(T56,Bond_DES!D:E,2,FALSE),VLOOKUP(S56,bond!AI:AJ,2,FALSE))</f>
        <v>福特汽車公司(Ford Motor Company)按營收為全球第4大、美國第1大車廠(Fortune 2024)，主要設計、製造、銷售福特卡車、休旅車、商旅車、電動車及林肯(Lincoln)豪華車款，2023年福特F系列連續第47年蟬聯美國皮卡銷量冠軍，平均每46秒可售出一台F系列皮卡車。</v>
      </c>
      <c r="V56" s="136" t="str">
        <f ca="1">IFERROR(VLOOKUP(B56,'1_重設數據'!L:M,2,FALSE),IF(Q56="政府",IF(AD56&gt;16,"(NPI)非專投",IF(AD56&gt;10,"(PI)專投","高資產")),IF(VLOOKUP(B56,bond!B:AN,39,FALSE)="Y","(PI)專投",IF(AD56&gt;=15,"(NPI)非專投",IF(AD56&gt;=10,"(PI)專投","高資產")))))</f>
        <v>(PI)專投</v>
      </c>
      <c r="W56" s="136" t="str">
        <f ca="1">VLOOKUP(AD56,'credit rating'!$F$2:$H$22,3,FALSE)</f>
        <v>BBB-</v>
      </c>
      <c r="X56" s="136" t="str">
        <f t="shared" ca="1" si="1"/>
        <v>Ba1</v>
      </c>
      <c r="Y56" s="136" t="str">
        <f t="shared" ca="1" si="2"/>
        <v>BBB-</v>
      </c>
      <c r="Z56" s="136" t="str">
        <f t="shared" ca="1" si="3"/>
        <v>BBB-</v>
      </c>
      <c r="AA56" s="134">
        <f ca="1">IFERROR(VLOOKUP(X56,'credit rating'!A:C,3,FALSE),0)</f>
        <v>11</v>
      </c>
      <c r="AB56" s="134">
        <f ca="1">IFERROR(VLOOKUP(Y56,'credit rating'!B:C,2,FALSE),0)</f>
        <v>12</v>
      </c>
      <c r="AC56" s="136">
        <f ca="1">IFERROR(VLOOKUP(Z56,'credit rating'!B:C,2,FALSE),0)</f>
        <v>12</v>
      </c>
      <c r="AD56" s="136">
        <f t="shared" ca="1" si="4"/>
        <v>12</v>
      </c>
      <c r="AE56" s="249" t="str">
        <f ca="1">IFERROR(VLOOKUP(B56,bond!B:U,20,FALSE),"")</f>
        <v xml:space="preserve"> </v>
      </c>
      <c r="AF56" s="136" t="str">
        <f ca="1">IF(VLOOKUP(B56,bond!B:AK,36,FALSE)="#N/A Field Not Applicable","",VLOOKUP(B56,bond!B:AK,36,FALSE))</f>
        <v/>
      </c>
      <c r="AG56" s="136" t="str">
        <f ca="1">IF(VLOOKUP(B56,bond!B:AL,37,FALSE)="FIXED","固定",IF(VLOOKUP(B56,bond!B:AL,37,FALSE)="FLOATING","浮動",IF(VLOOKUP(B56,bond!B:AL,37,FALSE)="VARIABLE","變動",IF(VLOOKUP(B56,bond!B:AL,37,FALSE)="FLAT TRADING","不含息交易",IF(VLOOKUP(B56,bond!B:AL,37,FALSE)="ZERO COUPON","零息",VLOOKUP(B56,bond!B:AL,37,FALSE))))))</f>
        <v>固定</v>
      </c>
      <c r="AH56" s="136" t="str">
        <f>VLOOKUP(C56,'2_Check_code'!I:J,2,FALSE)</f>
        <v>美元(USD)</v>
      </c>
      <c r="AI56" s="136" t="str">
        <f t="shared" ca="1" si="5"/>
        <v>自由選清單</v>
      </c>
      <c r="AJ56" s="136">
        <f t="shared" ca="1" si="6"/>
        <v>0</v>
      </c>
      <c r="AK56" s="594" t="str">
        <f ca="1">IF(VLOOKUP(B56,bond!B:S,18,FALSE)="是","有",IF(VLOOKUP(B56,bond!B:S,18,FALSE)="NO OFFER","無","需查詢"))</f>
        <v>有</v>
      </c>
      <c r="AL56" s="136" t="str">
        <f>IF(VLOOKUP(A56,bond!F:AR,39,FALSE)="#N/A Field Not Applicable",VLOOKUP(A56,bond!F:AR,38,FALSE),IFERROR(VLOOKUP(A56,'7_發行日例外'!A:B,2,FALSE),VLOOKUP(A56,bond!F:AR,39,FALSE)))</f>
        <v>1999/7/16</v>
      </c>
      <c r="AM56" s="136" t="str">
        <f ca="1">VLOOKUP(B56,bond!B:AK,36,FALSE)</f>
        <v>#N/A Field Not Applicable</v>
      </c>
      <c r="AN56" s="136" t="str">
        <f ca="1">IFERROR(VLOOKUP(B56,'3_是否下架'!A:A,1,FALSE),"")</f>
        <v/>
      </c>
      <c r="AO56" s="136">
        <f ca="1">VLOOKUP(B56,bond!B:J,9,FALSE)</f>
        <v>108.32</v>
      </c>
      <c r="AP56" s="136">
        <f ca="1">VLOOKUP(B56,bond!B:V,21,FALSE)</f>
        <v>5.3428000000000004</v>
      </c>
    </row>
    <row r="57" spans="1:42">
      <c r="A57" s="141" t="str">
        <f>bond!F58</f>
        <v>AU3CB0246239</v>
      </c>
      <c r="B57" s="151" t="str">
        <f ca="1">IF($C$1=TRUE,bond!B58,"")</f>
        <v>XFN80</v>
      </c>
      <c r="C57" s="95" t="str">
        <f>VLOOKUP(A57,bond!F:G,2,FALSE)</f>
        <v>AUD</v>
      </c>
      <c r="D57" s="142" t="str">
        <f ca="1">VLOOKUP(B57,bond!B:C,2,FALSE)</f>
        <v>威瑞森電信公司澳幣配息債券 4.5% 2027/8/17</v>
      </c>
      <c r="E57" s="95" t="str">
        <f ca="1">VLOOKUP(B57,bond!B:D,3,FALSE)</f>
        <v>Baa1 / BBB+ / A-</v>
      </c>
      <c r="F57" s="99" t="str">
        <f ca="1">VLOOKUP(B57,bond!B:AB,27,FALSE)</f>
        <v>2027/8/17</v>
      </c>
      <c r="G57" s="90">
        <f ca="1">VLOOKUP(B57,bond!B:E,4,FALSE)</f>
        <v>3.12</v>
      </c>
      <c r="H57" s="202">
        <f ca="1">VLOOKUP(B57,bond!B:Y,24,FALSE)</f>
        <v>4.4999999999999998E-2</v>
      </c>
      <c r="I57" s="95">
        <f ca="1">VLOOKUP(B57,bond!B:Z,25,FALSE)</f>
        <v>2</v>
      </c>
      <c r="J57" s="180">
        <f ca="1">VLOOKUP(B57,bond!B:K,10,FALSE)</f>
        <v>1.694</v>
      </c>
      <c r="K57" s="96">
        <f ca="1">VLOOKUP($B57,bond!B:S,14,FALSE)</f>
        <v>103.26</v>
      </c>
      <c r="L57" s="91" t="str">
        <f ca="1">VLOOKUP(B57,bond!B:H,7,FALSE)</f>
        <v>2024/7/3</v>
      </c>
      <c r="M57" s="144">
        <f ca="1">VLOOKUP($B57,bond!$B:$Q,16,FALSE)</f>
        <v>3.9600000000000003E-2</v>
      </c>
      <c r="N57" s="136">
        <f ca="1">VALUE(LEFT(VLOOKUP(B57,bond!B:R,17,FALSE),SEARCH(" ",VLOOKUP(B57,bond!B:R,17,FALSE),1)))</f>
        <v>10000</v>
      </c>
      <c r="O57" s="136">
        <f ca="1">VALUE(RIGHT(VLOOKUP(B57,bond!B:R,17,FALSE),LEN(VLOOKUP(B57,bond!B:R,17,FALSE))-LEN(N57)-3))</f>
        <v>10000</v>
      </c>
      <c r="P57" s="135" t="str">
        <f ca="1">VLOOKUP($B57,bond!$B:$AG,32,FALSE)</f>
        <v>2024/8/17</v>
      </c>
      <c r="Q57" s="135" t="str">
        <f ca="1">VLOOKUP($B57,bond!$B:$AH,33,FALSE)</f>
        <v>通訊</v>
      </c>
      <c r="R57" s="135" t="str">
        <f ca="1">VLOOKUP(B57,bond!B:AA,26,FALSE)</f>
        <v>威瑞森電信公司</v>
      </c>
      <c r="S57" s="135" t="str">
        <f ca="1">VLOOKUP(B57,bond!B:AI,34,FALSE)</f>
        <v>VZ</v>
      </c>
      <c r="T57" s="135" t="str">
        <f t="shared" ca="1" si="0"/>
        <v>威瑞森電信公司/VZ</v>
      </c>
      <c r="U57" s="207" t="str">
        <f ca="1">IFERROR(VLOOKUP(T57,Bond_DES!D:E,2,FALSE),VLOOKUP(S57,bond!AI:AJ,2,FALSE))</f>
        <v>威瑞森電信(Verizon Communications Inc.)為全球電信業者中，產業規模最大且最會賺錢的電信商，且是唯一具備A級評等的美國無線通訊服務供應商，2021年完成收購美國最大的預付行動電話營運商TracFone後，進一步稱霸北美零售無線後付費及預付費通訊市場，於美國零售無線用戶市佔第一，總零售無線用戶數逾1.4億戶。</v>
      </c>
      <c r="V57" s="136" t="str">
        <f ca="1">IFERROR(VLOOKUP(B57,'1_重設數據'!L:M,2,FALSE),IF(Q57="政府",IF(AD57&gt;16,"(NPI)非專投",IF(AD57&gt;10,"(PI)專投","高資產")),IF(VLOOKUP(B57,bond!B:AN,39,FALSE)="Y","(PI)專投",IF(AD57&gt;=15,"(NPI)非專投",IF(AD57&gt;=10,"(PI)專投","高資產")))))</f>
        <v>(NPI)非專投</v>
      </c>
      <c r="W57" s="136" t="str">
        <f ca="1">VLOOKUP(AD57,'credit rating'!$F$2:$H$22,3,FALSE)</f>
        <v>A-</v>
      </c>
      <c r="X57" s="136" t="str">
        <f t="shared" ca="1" si="1"/>
        <v>Baa1</v>
      </c>
      <c r="Y57" s="136" t="str">
        <f t="shared" ca="1" si="2"/>
        <v>BBB+</v>
      </c>
      <c r="Z57" s="136" t="str">
        <f t="shared" ca="1" si="3"/>
        <v>A-</v>
      </c>
      <c r="AA57" s="134">
        <f ca="1">IFERROR(VLOOKUP(X57,'credit rating'!A:C,3,FALSE),0)</f>
        <v>14</v>
      </c>
      <c r="AB57" s="134">
        <f ca="1">IFERROR(VLOOKUP(Y57,'credit rating'!B:C,2,FALSE),0)</f>
        <v>14</v>
      </c>
      <c r="AC57" s="136">
        <f ca="1">IFERROR(VLOOKUP(Z57,'credit rating'!B:C,2,FALSE),0)</f>
        <v>15</v>
      </c>
      <c r="AD57" s="136">
        <f t="shared" ca="1" si="4"/>
        <v>15</v>
      </c>
      <c r="AE57" s="249" t="str">
        <f ca="1">IFERROR(VLOOKUP(B57,bond!B:U,20,FALSE),"")</f>
        <v xml:space="preserve"> </v>
      </c>
      <c r="AF57" s="136" t="str">
        <f ca="1">IF(VLOOKUP(B57,bond!B:AK,36,FALSE)="#N/A Field Not Applicable","",VLOOKUP(B57,bond!B:AK,36,FALSE))</f>
        <v/>
      </c>
      <c r="AG57" s="136" t="str">
        <f ca="1">IF(VLOOKUP(B57,bond!B:AL,37,FALSE)="FIXED","固定",IF(VLOOKUP(B57,bond!B:AL,37,FALSE)="FLOATING","浮動",IF(VLOOKUP(B57,bond!B:AL,37,FALSE)="VARIABLE","變動",IF(VLOOKUP(B57,bond!B:AL,37,FALSE)="FLAT TRADING","不含息交易",IF(VLOOKUP(B57,bond!B:AL,37,FALSE)="ZERO COUPON","零息",VLOOKUP(B57,bond!B:AL,37,FALSE))))))</f>
        <v>固定</v>
      </c>
      <c r="AH57" s="136" t="str">
        <f>VLOOKUP(C57,'2_Check_code'!I:J,2,FALSE)</f>
        <v>澳幣(AUD)</v>
      </c>
      <c r="AI57" s="136" t="str">
        <f t="shared" ca="1" si="5"/>
        <v/>
      </c>
      <c r="AJ57" s="136">
        <f t="shared" ca="1" si="6"/>
        <v>1</v>
      </c>
      <c r="AK57" s="594" t="str">
        <f ca="1">IF(VLOOKUP(B57,bond!B:S,18,FALSE)="是","有",IF(VLOOKUP(B57,bond!B:S,18,FALSE)="NO OFFER","無","需查詢"))</f>
        <v>無</v>
      </c>
      <c r="AL57" s="136" t="str">
        <f>IF(VLOOKUP(A57,bond!F:AR,39,FALSE)="#N/A Field Not Applicable",VLOOKUP(A57,bond!F:AR,38,FALSE),IFERROR(VLOOKUP(A57,'7_發行日例外'!A:B,2,FALSE),VLOOKUP(A57,bond!F:AR,39,FALSE)))</f>
        <v>2017/8/17</v>
      </c>
      <c r="AM57" s="136" t="str">
        <f ca="1">VLOOKUP(B57,bond!B:AK,36,FALSE)</f>
        <v>#N/A Field Not Applicable</v>
      </c>
      <c r="AN57" s="136" t="str">
        <f ca="1">IFERROR(VLOOKUP(B57,'3_是否下架'!A:A,1,FALSE),"")</f>
        <v>XFN80</v>
      </c>
      <c r="AO57" s="136">
        <f ca="1">VLOOKUP(B57,bond!B:J,9,FALSE)</f>
        <v>99.570000000000007</v>
      </c>
      <c r="AP57" s="136">
        <f ca="1">VLOOKUP(B57,bond!B:V,21,FALSE)</f>
        <v>2.8348</v>
      </c>
    </row>
    <row r="58" spans="1:42">
      <c r="A58" s="141" t="str">
        <f>bond!F59</f>
        <v>XS1793255198</v>
      </c>
      <c r="B58" s="151" t="str">
        <f ca="1">IF($C$1=TRUE,bond!B59,"")</f>
        <v>XFN90</v>
      </c>
      <c r="C58" s="95" t="str">
        <f>VLOOKUP(A58,bond!F:G,2,FALSE)</f>
        <v>USD</v>
      </c>
      <c r="D58" s="142" t="str">
        <f ca="1">VLOOKUP(B58,bond!B:C,2,FALSE)</f>
        <v>軟體銀行公司美元配息債券 6.25% 2028/4/15</v>
      </c>
      <c r="E58" s="95" t="str">
        <f ca="1">VLOOKUP(B58,bond!B:D,3,FALSE)</f>
        <v>Ba3u / BB+ / -</v>
      </c>
      <c r="F58" s="99" t="str">
        <f ca="1">VLOOKUP(B58,bond!B:AB,27,FALSE)</f>
        <v>2028/4/15</v>
      </c>
      <c r="G58" s="90">
        <f ca="1">VLOOKUP(B58,bond!B:E,4,FALSE)</f>
        <v>3.78</v>
      </c>
      <c r="H58" s="202">
        <f ca="1">VLOOKUP(B58,bond!B:Y,24,FALSE)</f>
        <v>6.25E-2</v>
      </c>
      <c r="I58" s="95">
        <f ca="1">VLOOKUP(B58,bond!B:Z,25,FALSE)</f>
        <v>2</v>
      </c>
      <c r="J58" s="180">
        <f ca="1">VLOOKUP(B58,bond!B:K,10,FALSE)</f>
        <v>1.3542000000000001</v>
      </c>
      <c r="K58" s="96">
        <f ca="1">VLOOKUP($B58,bond!B:S,14,FALSE)</f>
        <v>102.32</v>
      </c>
      <c r="L58" s="91" t="str">
        <f ca="1">VLOOKUP(B58,bond!B:H,7,FALSE)</f>
        <v>2024/7/3</v>
      </c>
      <c r="M58" s="144">
        <f ca="1">VLOOKUP($B58,bond!$B:$Q,16,FALSE)</f>
        <v>5.96E-2</v>
      </c>
      <c r="N58" s="136">
        <f ca="1">VALUE(LEFT(VLOOKUP(B58,bond!B:R,17,FALSE),SEARCH(" ",VLOOKUP(B58,bond!B:R,17,FALSE),1)))</f>
        <v>200000</v>
      </c>
      <c r="O58" s="136">
        <f ca="1">VALUE(RIGHT(VLOOKUP(B58,bond!B:R,17,FALSE),LEN(VLOOKUP(B58,bond!B:R,17,FALSE))-LEN(N58)-3))</f>
        <v>1000</v>
      </c>
      <c r="P58" s="135" t="str">
        <f ca="1">VLOOKUP($B58,bond!$B:$AG,32,FALSE)</f>
        <v>2024/10/15</v>
      </c>
      <c r="Q58" s="135" t="str">
        <f ca="1">VLOOKUP($B58,bond!$B:$AH,33,FALSE)</f>
        <v>通訊</v>
      </c>
      <c r="R58" s="135" t="str">
        <f ca="1">VLOOKUP(B58,bond!B:AA,26,FALSE)</f>
        <v>軟銀</v>
      </c>
      <c r="S58" s="135" t="str">
        <f ca="1">VLOOKUP(B58,bond!B:AI,34,FALSE)</f>
        <v>SOFTBK</v>
      </c>
      <c r="T58" s="135" t="str">
        <f t="shared" ca="1" si="0"/>
        <v>軟銀/SOFTBK</v>
      </c>
      <c r="U58" s="207" t="str">
        <f ca="1">IFERROR(VLOOKUP(T58,Bond_DES!D:E,2,FALSE),VLOOKUP(S58,bond!AI:AJ,2,FALSE))</f>
        <v>軟銀集團公司(SoftBank Group Corp.)是一家純控股公司，創辦人及執行長孫正義為其最大股東，欲透過軟銀願景基金(Vision Fund)加速AI革命。2023《Fortune》全球500大企業排名第295，旗下英國晶片設計公司安謀(Arm)為2023年全球最大IPO公司。</v>
      </c>
      <c r="V58" s="136" t="str">
        <f ca="1">IFERROR(VLOOKUP(B58,'1_重設數據'!L:M,2,FALSE),IF(Q58="政府",IF(AD58&gt;16,"(NPI)非專投",IF(AD58&gt;10,"(PI)專投","高資產")),IF(VLOOKUP(B58,bond!B:AN,39,FALSE)="Y","(PI)專投",IF(AD58&gt;=15,"(NPI)非專投",IF(AD58&gt;=10,"(PI)專投","高資產")))))</f>
        <v>(PI)專投</v>
      </c>
      <c r="W58" s="136" t="str">
        <f ca="1">VLOOKUP(AD58,'credit rating'!$F$2:$H$22,3,FALSE)</f>
        <v>BB+</v>
      </c>
      <c r="X58" s="136" t="str">
        <f t="shared" ca="1" si="1"/>
        <v>Ba3u</v>
      </c>
      <c r="Y58" s="136" t="str">
        <f t="shared" ca="1" si="2"/>
        <v>BB+</v>
      </c>
      <c r="Z58" s="136" t="str">
        <f t="shared" ca="1" si="3"/>
        <v>-</v>
      </c>
      <c r="AA58" s="134">
        <f ca="1">IFERROR(VLOOKUP(X58,'credit rating'!A:C,3,FALSE),0)</f>
        <v>9</v>
      </c>
      <c r="AB58" s="134">
        <f ca="1">IFERROR(VLOOKUP(Y58,'credit rating'!B:C,2,FALSE),0)</f>
        <v>11</v>
      </c>
      <c r="AC58" s="136">
        <f ca="1">IFERROR(VLOOKUP(Z58,'credit rating'!B:C,2,FALSE),0)</f>
        <v>0</v>
      </c>
      <c r="AD58" s="136">
        <f t="shared" ca="1" si="4"/>
        <v>11</v>
      </c>
      <c r="AE58" s="249">
        <f ca="1">IFERROR(VLOOKUP(B58,bond!B:U,20,FALSE),"")</f>
        <v>5.9400000000000001E-2</v>
      </c>
      <c r="AF58" s="136" t="str">
        <f ca="1">IF(VLOOKUP(B58,bond!B:AK,36,FALSE)="#N/A Field Not Applicable","",VLOOKUP(B58,bond!B:AK,36,FALSE))</f>
        <v>2028/1/16</v>
      </c>
      <c r="AG58" s="136" t="str">
        <f ca="1">IF(VLOOKUP(B58,bond!B:AL,37,FALSE)="FIXED","固定",IF(VLOOKUP(B58,bond!B:AL,37,FALSE)="FLOATING","浮動",IF(VLOOKUP(B58,bond!B:AL,37,FALSE)="VARIABLE","變動",IF(VLOOKUP(B58,bond!B:AL,37,FALSE)="FLAT TRADING","不含息交易",IF(VLOOKUP(B58,bond!B:AL,37,FALSE)="ZERO COUPON","零息",VLOOKUP(B58,bond!B:AL,37,FALSE))))))</f>
        <v>固定</v>
      </c>
      <c r="AH58" s="136" t="str">
        <f>VLOOKUP(C58,'2_Check_code'!I:J,2,FALSE)</f>
        <v>美元(USD)</v>
      </c>
      <c r="AI58" s="136" t="str">
        <f t="shared" ca="1" si="5"/>
        <v>自由選清單</v>
      </c>
      <c r="AJ58" s="136">
        <f t="shared" ca="1" si="6"/>
        <v>0</v>
      </c>
      <c r="AK58" s="594" t="str">
        <f ca="1">IF(VLOOKUP(B58,bond!B:S,18,FALSE)="是","有",IF(VLOOKUP(B58,bond!B:S,18,FALSE)="NO OFFER","無","需查詢"))</f>
        <v>無</v>
      </c>
      <c r="AL58" s="136" t="str">
        <f>IF(VLOOKUP(A58,bond!F:AR,39,FALSE)="#N/A Field Not Applicable",VLOOKUP(A58,bond!F:AR,38,FALSE),IFERROR(VLOOKUP(A58,'7_發行日例外'!A:B,2,FALSE),VLOOKUP(A58,bond!F:AR,39,FALSE)))</f>
        <v>2018/4/3</v>
      </c>
      <c r="AM58" s="136" t="str">
        <f ca="1">VLOOKUP(B58,bond!B:AK,36,FALSE)</f>
        <v>2028/1/16</v>
      </c>
      <c r="AN58" s="136" t="str">
        <f ca="1">IFERROR(VLOOKUP(B58,'3_是否下架'!A:A,1,FALSE),"")</f>
        <v/>
      </c>
      <c r="AO58" s="136">
        <f ca="1">VLOOKUP(B58,bond!B:J,9,FALSE)</f>
        <v>99.47</v>
      </c>
      <c r="AP58" s="136">
        <f ca="1">VLOOKUP(B58,bond!B:V,21,FALSE)</f>
        <v>3.2786</v>
      </c>
    </row>
    <row r="59" spans="1:42">
      <c r="A59" s="141" t="str">
        <f>bond!F60</f>
        <v>US55608KAN54</v>
      </c>
      <c r="B59" s="151" t="str">
        <f ca="1">IF($C$1=TRUE,bond!B60,"")</f>
        <v>XFO10</v>
      </c>
      <c r="C59" s="95" t="str">
        <f>VLOOKUP(A59,bond!F:G,2,FALSE)</f>
        <v>USD</v>
      </c>
      <c r="D59" s="142" t="str">
        <f ca="1">VLOOKUP(B59,bond!B:C,2,FALSE)</f>
        <v>麥格理集團美元配息債券 4.654% 2029/3/27</v>
      </c>
      <c r="E59" s="95" t="str">
        <f ca="1">VLOOKUP(B59,bond!B:D,3,FALSE)</f>
        <v>A1 / BBB+ / A</v>
      </c>
      <c r="F59" s="99" t="str">
        <f ca="1">VLOOKUP(B59,bond!B:AB,27,FALSE)</f>
        <v>2029/3/27</v>
      </c>
      <c r="G59" s="90">
        <f ca="1">VLOOKUP(B59,bond!B:E,4,FALSE)</f>
        <v>4.7300000000000004</v>
      </c>
      <c r="H59" s="202">
        <f ca="1">VLOOKUP(B59,bond!B:Y,24,FALSE)</f>
        <v>4.6539999999999998E-2</v>
      </c>
      <c r="I59" s="95">
        <f ca="1">VLOOKUP(B59,bond!B:Z,25,FALSE)</f>
        <v>2</v>
      </c>
      <c r="J59" s="180">
        <f ca="1">VLOOKUP(B59,bond!B:K,10,FALSE)</f>
        <v>1.2281</v>
      </c>
      <c r="K59" s="96">
        <f ca="1">VLOOKUP($B59,bond!B:S,14,FALSE)</f>
        <v>102.35</v>
      </c>
      <c r="L59" s="91" t="str">
        <f ca="1">VLOOKUP(B59,bond!B:H,7,FALSE)</f>
        <v>2024/7/2</v>
      </c>
      <c r="M59" s="144">
        <f ca="1">VLOOKUP($B59,bond!$B:$Q,16,FALSE)</f>
        <v>4.9000000000000002E-2</v>
      </c>
      <c r="N59" s="136">
        <f ca="1">VALUE(LEFT(VLOOKUP(B59,bond!B:R,17,FALSE),SEARCH(" ",VLOOKUP(B59,bond!B:R,17,FALSE),1)))</f>
        <v>10000</v>
      </c>
      <c r="O59" s="136">
        <f ca="1">VALUE(RIGHT(VLOOKUP(B59,bond!B:R,17,FALSE),LEN(VLOOKUP(B59,bond!B:R,17,FALSE))-LEN(N59)-3))</f>
        <v>1000</v>
      </c>
      <c r="P59" s="135" t="str">
        <f ca="1">VLOOKUP($B59,bond!$B:$AG,32,FALSE)</f>
        <v>2024/9/27</v>
      </c>
      <c r="Q59" s="135" t="str">
        <f ca="1">VLOOKUP($B59,bond!$B:$AH,33,FALSE)</f>
        <v>金融</v>
      </c>
      <c r="R59" s="135" t="str">
        <f ca="1">VLOOKUP(B59,bond!B:AA,26,FALSE)</f>
        <v>麥格理集團有限公司</v>
      </c>
      <c r="S59" s="135" t="str">
        <f ca="1">VLOOKUP(B59,bond!B:AI,34,FALSE)</f>
        <v>MQGAU</v>
      </c>
      <c r="T59" s="135" t="str">
        <f t="shared" ca="1" si="0"/>
        <v>麥格理集團有限公司/MQGAU</v>
      </c>
      <c r="U59" s="207" t="str">
        <f ca="1">IFERROR(VLOOKUP(T59,Bond_DES!D:E,2,FALSE),VLOOKUP(S59,bond!AI:AJ,2,FALSE))</f>
        <v>麥格理集團(Macquarie Group Limited)一家多元化的全球金融集團，按資產為澳洲第五大行，提供資產管理及融資、銀行業務、諮詢，以及橫跨債券、股票及商品的風險和資本解決方案。憑藉業務多元及全球化平台優勢，以及穩健的資本實力及風險管理框架，成就逾50年連續盈利之紀錄。</v>
      </c>
      <c r="V59" s="136" t="str">
        <f ca="1">IFERROR(VLOOKUP(B59,'1_重設數據'!L:M,2,FALSE),IF(Q59="政府",IF(AD59&gt;16,"(NPI)非專投",IF(AD59&gt;10,"(PI)專投","高資產")),IF(VLOOKUP(B59,bond!B:AN,39,FALSE)="Y","(PI)專投",IF(AD59&gt;=15,"(NPI)非專投",IF(AD59&gt;=10,"(PI)專投","高資產")))))</f>
        <v>(NPI)非專投</v>
      </c>
      <c r="W59" s="136" t="str">
        <f ca="1">VLOOKUP(AD59,'credit rating'!$F$2:$H$22,3,FALSE)</f>
        <v>A+</v>
      </c>
      <c r="X59" s="136" t="str">
        <f t="shared" ca="1" si="1"/>
        <v>A1</v>
      </c>
      <c r="Y59" s="136" t="str">
        <f t="shared" ca="1" si="2"/>
        <v>BBB+</v>
      </c>
      <c r="Z59" s="136" t="str">
        <f t="shared" ca="1" si="3"/>
        <v>A</v>
      </c>
      <c r="AA59" s="134">
        <f ca="1">IFERROR(VLOOKUP(X59,'credit rating'!A:C,3,FALSE),0)</f>
        <v>17</v>
      </c>
      <c r="AB59" s="134">
        <f ca="1">IFERROR(VLOOKUP(Y59,'credit rating'!B:C,2,FALSE),0)</f>
        <v>14</v>
      </c>
      <c r="AC59" s="136">
        <f ca="1">IFERROR(VLOOKUP(Z59,'credit rating'!B:C,2,FALSE),0)</f>
        <v>16</v>
      </c>
      <c r="AD59" s="136">
        <f t="shared" ca="1" si="4"/>
        <v>17</v>
      </c>
      <c r="AE59" s="249">
        <f ca="1">IFERROR(VLOOKUP(B59,bond!B:U,20,FALSE),"")</f>
        <v>4.3200000000000002E-2</v>
      </c>
      <c r="AF59" s="136" t="str">
        <f ca="1">IF(VLOOKUP(B59,bond!B:AK,36,FALSE)="#N/A Field Not Applicable","",VLOOKUP(B59,bond!B:AK,36,FALSE))</f>
        <v>2028/3/27</v>
      </c>
      <c r="AG59" s="136" t="str">
        <f ca="1">IF(VLOOKUP(B59,bond!B:AL,37,FALSE)="FIXED","固定",IF(VLOOKUP(B59,bond!B:AL,37,FALSE)="FLOATING","浮動",IF(VLOOKUP(B59,bond!B:AL,37,FALSE)="VARIABLE","變動",IF(VLOOKUP(B59,bond!B:AL,37,FALSE)="FLAT TRADING","不含息交易",IF(VLOOKUP(B59,bond!B:AL,37,FALSE)="ZERO COUPON","零息",VLOOKUP(B59,bond!B:AL,37,FALSE))))))</f>
        <v>變動</v>
      </c>
      <c r="AH59" s="136" t="str">
        <f>VLOOKUP(C59,'2_Check_code'!I:J,2,FALSE)</f>
        <v>美元(USD)</v>
      </c>
      <c r="AI59" s="136" t="str">
        <f t="shared" ca="1" si="5"/>
        <v>自由選清單</v>
      </c>
      <c r="AJ59" s="136">
        <f t="shared" ca="1" si="6"/>
        <v>0</v>
      </c>
      <c r="AK59" s="594" t="str">
        <f ca="1">IF(VLOOKUP(B59,bond!B:S,18,FALSE)="是","有",IF(VLOOKUP(B59,bond!B:S,18,FALSE)="NO OFFER","無","需查詢"))</f>
        <v>需查詢</v>
      </c>
      <c r="AL59" s="136" t="str">
        <f>IF(VLOOKUP(A59,bond!F:AR,39,FALSE)="#N/A Field Not Applicable",VLOOKUP(A59,bond!F:AR,38,FALSE),IFERROR(VLOOKUP(A59,'7_發行日例外'!A:B,2,FALSE),VLOOKUP(A59,bond!F:AR,39,FALSE)))</f>
        <v>2018/3/27</v>
      </c>
      <c r="AM59" s="136" t="str">
        <f ca="1">VLOOKUP(B59,bond!B:AK,36,FALSE)</f>
        <v>2028/3/27</v>
      </c>
      <c r="AN59" s="136" t="str">
        <f ca="1">IFERROR(VLOOKUP(B59,'3_是否下架'!A:A,1,FALSE),"")</f>
        <v/>
      </c>
      <c r="AO59" s="136">
        <f ca="1">VLOOKUP(B59,bond!B:J,9,FALSE)</f>
        <v>99.12</v>
      </c>
      <c r="AP59" s="136">
        <f ca="1">VLOOKUP(B59,bond!B:V,21,FALSE)</f>
        <v>3.3496000000000001</v>
      </c>
    </row>
    <row r="60" spans="1:42">
      <c r="A60" s="141" t="str">
        <f>bond!F61</f>
        <v>CAG5533WBW69</v>
      </c>
      <c r="B60" s="151" t="str">
        <f ca="1">IF($C$1=TRUE,bond!B61,"")</f>
        <v>XFO20</v>
      </c>
      <c r="C60" s="95" t="str">
        <f>VLOOKUP(A60,bond!F:G,2,FALSE)</f>
        <v>CAD</v>
      </c>
      <c r="D60" s="142" t="str">
        <f ca="1">VLOOKUP(B60,bond!B:C,2,FALSE)</f>
        <v>駿懋銀行集團加幣配息債券 3.5% 2025/2/3</v>
      </c>
      <c r="E60" s="95" t="str">
        <f ca="1">VLOOKUP(B60,bond!B:D,3,FALSE)</f>
        <v>A3 / BBB+ / A</v>
      </c>
      <c r="F60" s="99" t="str">
        <f ca="1">VLOOKUP(B60,bond!B:AB,27,FALSE)</f>
        <v>2025/2/3</v>
      </c>
      <c r="G60" s="90">
        <f ca="1">VLOOKUP(B60,bond!B:E,4,FALSE)</f>
        <v>0.59</v>
      </c>
      <c r="H60" s="202">
        <f ca="1">VLOOKUP(B60,bond!B:Y,24,FALSE)</f>
        <v>3.5000000000000003E-2</v>
      </c>
      <c r="I60" s="95">
        <f ca="1">VLOOKUP(B60,bond!B:Z,25,FALSE)</f>
        <v>2</v>
      </c>
      <c r="J60" s="180">
        <f ca="1">VLOOKUP(B60,bond!B:K,10,FALSE)</f>
        <v>1.4383999999999999</v>
      </c>
      <c r="K60" s="96">
        <f ca="1">VLOOKUP($B60,bond!B:S,14,FALSE)</f>
        <v>101.19</v>
      </c>
      <c r="L60" s="91" t="str">
        <f ca="1">VLOOKUP(B60,bond!B:H,7,FALSE)</f>
        <v>2024/7/2</v>
      </c>
      <c r="M60" s="144">
        <f ca="1">VLOOKUP($B60,bond!$B:$Q,16,FALSE)</f>
        <v>3.9300000000000002E-2</v>
      </c>
      <c r="N60" s="136">
        <f ca="1">VALUE(LEFT(VLOOKUP(B60,bond!B:R,17,FALSE),SEARCH(" ",VLOOKUP(B60,bond!B:R,17,FALSE),1)))</f>
        <v>200000</v>
      </c>
      <c r="O60" s="136">
        <f ca="1">VALUE(RIGHT(VLOOKUP(B60,bond!B:R,17,FALSE),LEN(VLOOKUP(B60,bond!B:R,17,FALSE))-LEN(N60)-3))</f>
        <v>1000</v>
      </c>
      <c r="P60" s="135" t="str">
        <f ca="1">VLOOKUP($B60,bond!$B:$AG,32,FALSE)</f>
        <v>2024/8/3</v>
      </c>
      <c r="Q60" s="135" t="str">
        <f ca="1">VLOOKUP($B60,bond!$B:$AH,33,FALSE)</f>
        <v>金融</v>
      </c>
      <c r="R60" s="135" t="str">
        <f ca="1">VLOOKUP(B60,bond!B:AA,26,FALSE)</f>
        <v>勞埃德銀行集團</v>
      </c>
      <c r="S60" s="135" t="str">
        <f ca="1">VLOOKUP(B60,bond!B:AI,34,FALSE)</f>
        <v>LLOYDS</v>
      </c>
      <c r="T60" s="135" t="str">
        <f t="shared" ca="1" si="0"/>
        <v>勞埃德銀行集團/LLOYDS</v>
      </c>
      <c r="U60" s="207" t="str">
        <f ca="1">IFERROR(VLOOKUP(T60,Bond_DES!D:E,2,FALSE),VLOOKUP(S60,bond!AI:AJ,2,FALSE))</f>
        <v>勞埃德銀行集團(Lloyds Banking Group plc)為個人及商業客戶提供廣泛的金融服務，是為英國第三大行，主營零售、商業銀行、保險及財富管理，並透過駿懋銀行、蘇格蘭銀行、哈利法克斯(Halifax)等旗下知名品牌分銷管道進行業務擴展。2024標普全球以銀行資產排名第33位，居英國第3大銀行。</v>
      </c>
      <c r="V60" s="136" t="str">
        <f ca="1">IFERROR(VLOOKUP(B60,'1_重設數據'!L:M,2,FALSE),IF(Q60="政府",IF(AD60&gt;16,"(NPI)非專投",IF(AD60&gt;10,"(PI)專投","高資產")),IF(VLOOKUP(B60,bond!B:AN,39,FALSE)="Y","(PI)專投",IF(AD60&gt;=15,"(NPI)非專投",IF(AD60&gt;=10,"(PI)專投","高資產")))))</f>
        <v>(PI)專投</v>
      </c>
      <c r="W60" s="136" t="str">
        <f ca="1">VLOOKUP(AD60,'credit rating'!$F$2:$H$22,3,FALSE)</f>
        <v>A</v>
      </c>
      <c r="X60" s="136" t="str">
        <f t="shared" ca="1" si="1"/>
        <v>A3</v>
      </c>
      <c r="Y60" s="136" t="str">
        <f t="shared" ca="1" si="2"/>
        <v>BBB+</v>
      </c>
      <c r="Z60" s="136" t="str">
        <f t="shared" ca="1" si="3"/>
        <v>A</v>
      </c>
      <c r="AA60" s="134">
        <f ca="1">IFERROR(VLOOKUP(X60,'credit rating'!A:C,3,FALSE),0)</f>
        <v>15</v>
      </c>
      <c r="AB60" s="134">
        <f ca="1">IFERROR(VLOOKUP(Y60,'credit rating'!B:C,2,FALSE),0)</f>
        <v>14</v>
      </c>
      <c r="AC60" s="136">
        <f ca="1">IFERROR(VLOOKUP(Z60,'credit rating'!B:C,2,FALSE),0)</f>
        <v>16</v>
      </c>
      <c r="AD60" s="136">
        <f t="shared" ca="1" si="4"/>
        <v>16</v>
      </c>
      <c r="AE60" s="249" t="str">
        <f ca="1">IFERROR(VLOOKUP(B60,bond!B:U,20,FALSE),"")</f>
        <v xml:space="preserve"> </v>
      </c>
      <c r="AF60" s="136" t="str">
        <f ca="1">IF(VLOOKUP(B60,bond!B:AK,36,FALSE)="#N/A Field Not Applicable","",VLOOKUP(B60,bond!B:AK,36,FALSE))</f>
        <v/>
      </c>
      <c r="AG60" s="136" t="str">
        <f ca="1">IF(VLOOKUP(B60,bond!B:AL,37,FALSE)="FIXED","固定",IF(VLOOKUP(B60,bond!B:AL,37,FALSE)="FLOATING","浮動",IF(VLOOKUP(B60,bond!B:AL,37,FALSE)="VARIABLE","變動",IF(VLOOKUP(B60,bond!B:AL,37,FALSE)="FLAT TRADING","不含息交易",IF(VLOOKUP(B60,bond!B:AL,37,FALSE)="ZERO COUPON","零息",VLOOKUP(B60,bond!B:AL,37,FALSE))))))</f>
        <v>固定</v>
      </c>
      <c r="AH60" s="136" t="str">
        <f>VLOOKUP(C60,'2_Check_code'!I:J,2,FALSE)</f>
        <v>加幣(CAD)</v>
      </c>
      <c r="AI60" s="136" t="str">
        <f t="shared" ca="1" si="5"/>
        <v/>
      </c>
      <c r="AJ60" s="136">
        <f t="shared" ca="1" si="6"/>
        <v>1</v>
      </c>
      <c r="AK60" s="594" t="str">
        <f ca="1">IF(VLOOKUP(B60,bond!B:S,18,FALSE)="是","有",IF(VLOOKUP(B60,bond!B:S,18,FALSE)="NO OFFER","無","需查詢"))</f>
        <v>有</v>
      </c>
      <c r="AL60" s="136" t="str">
        <f>IF(VLOOKUP(A60,bond!F:AR,39,FALSE)="#N/A Field Not Applicable",VLOOKUP(A60,bond!F:AR,38,FALSE),IFERROR(VLOOKUP(A60,'7_發行日例外'!A:B,2,FALSE),VLOOKUP(A60,bond!F:AR,39,FALSE)))</f>
        <v>2018/2/1</v>
      </c>
      <c r="AM60" s="136" t="str">
        <f ca="1">VLOOKUP(B60,bond!B:AK,36,FALSE)</f>
        <v>#N/A Field Not Applicable</v>
      </c>
      <c r="AN60" s="136" t="str">
        <f ca="1">IFERROR(VLOOKUP(B60,'3_是否下架'!A:A,1,FALSE),"")</f>
        <v/>
      </c>
      <c r="AO60" s="136">
        <f ca="1">VLOOKUP(B60,bond!B:J,9,FALSE)</f>
        <v>99.550000000000011</v>
      </c>
      <c r="AP60" s="136">
        <f ca="1">VLOOKUP(B60,bond!B:V,21,FALSE)</f>
        <v>0.55369999999999997</v>
      </c>
    </row>
    <row r="61" spans="1:42">
      <c r="A61" s="141" t="str">
        <f>bond!F62</f>
        <v>NZLGFDT007C4</v>
      </c>
      <c r="B61" s="151" t="str">
        <f ca="1">IF($C$1=TRUE,bond!B62,"")</f>
        <v>XFO30</v>
      </c>
      <c r="C61" s="95" t="str">
        <f>VLOOKUP(A61,bond!F:G,2,FALSE)</f>
        <v>NZD</v>
      </c>
      <c r="D61" s="142" t="str">
        <f ca="1">VLOOKUP(B61,bond!B:C,2,FALSE)</f>
        <v>紐西蘭地方政府紐幣配息債券 4.5% 2027/4/15</v>
      </c>
      <c r="E61" s="95" t="str">
        <f ca="1">VLOOKUP(B61,bond!B:D,3,FALSE)</f>
        <v>- / AAA / AA+</v>
      </c>
      <c r="F61" s="99" t="str">
        <f ca="1">VLOOKUP(B61,bond!B:AB,27,FALSE)</f>
        <v>2027/4/15</v>
      </c>
      <c r="G61" s="90">
        <f ca="1">VLOOKUP(B61,bond!B:E,4,FALSE)</f>
        <v>2.78</v>
      </c>
      <c r="H61" s="202">
        <f ca="1">VLOOKUP(B61,bond!B:Y,24,FALSE)</f>
        <v>4.4999999999999998E-2</v>
      </c>
      <c r="I61" s="95">
        <f ca="1">VLOOKUP(B61,bond!B:Z,25,FALSE)</f>
        <v>2</v>
      </c>
      <c r="J61" s="180">
        <f ca="1">VLOOKUP(B61,bond!B:K,10,FALSE)</f>
        <v>0.97130000000000005</v>
      </c>
      <c r="K61" s="96">
        <f ca="1">VLOOKUP($B61,bond!B:S,14,FALSE)</f>
        <v>101.96</v>
      </c>
      <c r="L61" s="91" t="str">
        <f ca="1">VLOOKUP(B61,bond!B:H,7,FALSE)</f>
        <v>2024/7/3</v>
      </c>
      <c r="M61" s="144">
        <f ca="1">VLOOKUP($B61,bond!$B:$Q,16,FALSE)</f>
        <v>4.1200000000000001E-2</v>
      </c>
      <c r="N61" s="136">
        <f ca="1">VALUE(LEFT(VLOOKUP(B61,bond!B:R,17,FALSE),SEARCH(" ",VLOOKUP(B61,bond!B:R,17,FALSE),1)))</f>
        <v>10000</v>
      </c>
      <c r="O61" s="136">
        <f ca="1">VALUE(RIGHT(VLOOKUP(B61,bond!B:R,17,FALSE),LEN(VLOOKUP(B61,bond!B:R,17,FALSE))-LEN(N61)-3))</f>
        <v>1000</v>
      </c>
      <c r="P61" s="135" t="str">
        <f ca="1">VLOOKUP($B61,bond!$B:$AG,32,FALSE)</f>
        <v>2024/10/15</v>
      </c>
      <c r="Q61" s="135" t="str">
        <f ca="1">VLOOKUP($B61,bond!$B:$AH,33,FALSE)</f>
        <v>政府</v>
      </c>
      <c r="R61" s="135" t="str">
        <f ca="1">VLOOKUP(B61,bond!B:AA,26,FALSE)</f>
        <v>紐西蘭地方政府融資機構</v>
      </c>
      <c r="S61" s="135" t="str">
        <f ca="1">VLOOKUP(B61,bond!B:AI,34,FALSE)</f>
        <v>NZLGFA</v>
      </c>
      <c r="T61" s="135" t="str">
        <f t="shared" ca="1" si="0"/>
        <v>紐西蘭地方政府融資機構/NZLGFA</v>
      </c>
      <c r="U61" s="207" t="str">
        <f ca="1">IFERROR(VLOOKUP(T61,Bond_DES!D:E,2,FALSE),VLOOKUP(S61,bond!AI:AJ,2,FALSE))</f>
        <v>紐西蘭地方政府融資機構有限公司(New Zealand Local Government Funding Agency Limited)為一家政府機構。該公司提供金融支援、證券交易、債券發行、國庫券招標及其他服務。紐西蘭地方政府融資機構於紐西蘭經營其業務。</v>
      </c>
      <c r="V61" s="136" t="str">
        <f ca="1">IFERROR(VLOOKUP(B61,'1_重設數據'!L:M,2,FALSE),IF(Q61="政府",IF(AD61&gt;16,"(NPI)非專投",IF(AD61&gt;10,"(PI)專投","高資產")),IF(VLOOKUP(B61,bond!B:AN,39,FALSE)="Y","(PI)專投",IF(AD61&gt;=15,"(NPI)非專投",IF(AD61&gt;=10,"(PI)專投","高資產")))))</f>
        <v>(NPI)非專投</v>
      </c>
      <c r="W61" s="136" t="str">
        <f ca="1">VLOOKUP(AD61,'credit rating'!$F$2:$H$22,3,FALSE)</f>
        <v>AAA</v>
      </c>
      <c r="X61" s="136" t="str">
        <f t="shared" ca="1" si="1"/>
        <v>-</v>
      </c>
      <c r="Y61" s="136" t="str">
        <f t="shared" ca="1" si="2"/>
        <v>AAA</v>
      </c>
      <c r="Z61" s="136" t="str">
        <f t="shared" ca="1" si="3"/>
        <v>AA+</v>
      </c>
      <c r="AA61" s="134">
        <f ca="1">IFERROR(VLOOKUP(X61,'credit rating'!A:C,3,FALSE),0)</f>
        <v>0</v>
      </c>
      <c r="AB61" s="134">
        <f ca="1">IFERROR(VLOOKUP(Y61,'credit rating'!B:C,2,FALSE),0)</f>
        <v>21</v>
      </c>
      <c r="AC61" s="136">
        <f ca="1">IFERROR(VLOOKUP(Z61,'credit rating'!B:C,2,FALSE),0)</f>
        <v>20</v>
      </c>
      <c r="AD61" s="136">
        <f t="shared" ca="1" si="4"/>
        <v>21</v>
      </c>
      <c r="AE61" s="249" t="str">
        <f ca="1">IFERROR(VLOOKUP(B61,bond!B:U,20,FALSE),"")</f>
        <v xml:space="preserve"> </v>
      </c>
      <c r="AF61" s="136" t="str">
        <f ca="1">IF(VLOOKUP(B61,bond!B:AK,36,FALSE)="#N/A Field Not Applicable","",VLOOKUP(B61,bond!B:AK,36,FALSE))</f>
        <v/>
      </c>
      <c r="AG61" s="136" t="str">
        <f ca="1">IF(VLOOKUP(B61,bond!B:AL,37,FALSE)="FIXED","固定",IF(VLOOKUP(B61,bond!B:AL,37,FALSE)="FLOATING","浮動",IF(VLOOKUP(B61,bond!B:AL,37,FALSE)="VARIABLE","變動",IF(VLOOKUP(B61,bond!B:AL,37,FALSE)="FLAT TRADING","不含息交易",IF(VLOOKUP(B61,bond!B:AL,37,FALSE)="ZERO COUPON","零息",VLOOKUP(B61,bond!B:AL,37,FALSE))))))</f>
        <v>固定</v>
      </c>
      <c r="AH61" s="136" t="str">
        <f>VLOOKUP(C61,'2_Check_code'!I:J,2,FALSE)</f>
        <v>紐幣(NZD)</v>
      </c>
      <c r="AI61" s="136" t="str">
        <f t="shared" ca="1" si="5"/>
        <v/>
      </c>
      <c r="AJ61" s="136">
        <f t="shared" ca="1" si="6"/>
        <v>1</v>
      </c>
      <c r="AK61" s="594" t="str">
        <f ca="1">IF(VLOOKUP(B61,bond!B:S,18,FALSE)="是","有",IF(VLOOKUP(B61,bond!B:S,18,FALSE)="NO OFFER","無","需查詢"))</f>
        <v>有</v>
      </c>
      <c r="AL61" s="136" t="str">
        <f>IF(VLOOKUP(A61,bond!F:AR,39,FALSE)="#N/A Field Not Applicable",VLOOKUP(A61,bond!F:AR,38,FALSE),IFERROR(VLOOKUP(A61,'7_發行日例外'!A:B,2,FALSE),VLOOKUP(A61,bond!F:AR,39,FALSE)))</f>
        <v>2014/10/15</v>
      </c>
      <c r="AM61" s="136" t="str">
        <f ca="1">VLOOKUP(B61,bond!B:AK,36,FALSE)</f>
        <v>#N/A Field Not Applicable</v>
      </c>
      <c r="AN61" s="136" t="str">
        <f ca="1">IFERROR(VLOOKUP(B61,'3_是否下架'!A:A,1,FALSE),"")</f>
        <v/>
      </c>
      <c r="AO61" s="136">
        <f ca="1">VLOOKUP(B61,bond!B:J,9,FALSE)</f>
        <v>99.99</v>
      </c>
      <c r="AP61" s="136">
        <f ca="1">VLOOKUP(B61,bond!B:V,21,FALSE)</f>
        <v>2.5653000000000001</v>
      </c>
    </row>
    <row r="62" spans="1:42">
      <c r="A62" s="141" t="str">
        <f>bond!F63</f>
        <v>US20030NCH26</v>
      </c>
      <c r="B62" s="151" t="str">
        <f ca="1">IF($C$1=TRUE,bond!B63,"")</f>
        <v>XFP20</v>
      </c>
      <c r="C62" s="95" t="str">
        <f>VLOOKUP(A62,bond!F:G,2,FALSE)</f>
        <v>USD</v>
      </c>
      <c r="D62" s="142" t="str">
        <f ca="1">VLOOKUP(B62,bond!B:C,2,FALSE)</f>
        <v>康卡斯特公司美元配息債券 3.55% 2028/5/1</v>
      </c>
      <c r="E62" s="95" t="str">
        <f ca="1">VLOOKUP(B62,bond!B:D,3,FALSE)</f>
        <v>A3 / A- / A-</v>
      </c>
      <c r="F62" s="99" t="str">
        <f ca="1">VLOOKUP(B62,bond!B:AB,27,FALSE)</f>
        <v>2028/5/1</v>
      </c>
      <c r="G62" s="90">
        <f ca="1">VLOOKUP(B62,bond!B:E,4,FALSE)</f>
        <v>3.83</v>
      </c>
      <c r="H62" s="202">
        <f ca="1">VLOOKUP(B62,bond!B:Y,24,FALSE)</f>
        <v>3.5499999999999997E-2</v>
      </c>
      <c r="I62" s="95">
        <f ca="1">VLOOKUP(B62,bond!B:Z,25,FALSE)</f>
        <v>2</v>
      </c>
      <c r="J62" s="180">
        <f ca="1">VLOOKUP(B62,bond!B:K,10,FALSE)</f>
        <v>0.60150000000000003</v>
      </c>
      <c r="K62" s="96">
        <f ca="1">VLOOKUP($B62,bond!B:S,14,FALSE)</f>
        <v>97.53</v>
      </c>
      <c r="L62" s="91" t="str">
        <f ca="1">VLOOKUP(B62,bond!B:H,7,FALSE)</f>
        <v>2024/7/2</v>
      </c>
      <c r="M62" s="144">
        <f ca="1">VLOOKUP($B62,bond!$B:$Q,16,FALSE)</f>
        <v>4.4299999999999999E-2</v>
      </c>
      <c r="N62" s="136">
        <f ca="1">VALUE(LEFT(VLOOKUP(B62,bond!B:R,17,FALSE),SEARCH(" ",VLOOKUP(B62,bond!B:R,17,FALSE),1)))</f>
        <v>10000</v>
      </c>
      <c r="O62" s="136">
        <f ca="1">VALUE(RIGHT(VLOOKUP(B62,bond!B:R,17,FALSE),LEN(VLOOKUP(B62,bond!B:R,17,FALSE))-LEN(N62)-3))</f>
        <v>1000</v>
      </c>
      <c r="P62" s="135" t="str">
        <f ca="1">VLOOKUP($B62,bond!$B:$AG,32,FALSE)</f>
        <v>2024/11/1</v>
      </c>
      <c r="Q62" s="135" t="str">
        <f ca="1">VLOOKUP($B62,bond!$B:$AH,33,FALSE)</f>
        <v>通訊</v>
      </c>
      <c r="R62" s="135" t="str">
        <f ca="1">VLOOKUP(B62,bond!B:AA,26,FALSE)</f>
        <v>康卡斯特公司</v>
      </c>
      <c r="S62" s="135" t="str">
        <f ca="1">VLOOKUP(B62,bond!B:AI,34,FALSE)</f>
        <v>CMCSA</v>
      </c>
      <c r="T62" s="135" t="str">
        <f t="shared" ca="1" si="0"/>
        <v>康卡斯特公司/CMCSA</v>
      </c>
      <c r="U62" s="207" t="str">
        <f ca="1">IFERROR(VLOOKUP(T62,Bond_DES!D:E,2,FALSE),VLOOKUP(S62,bond!AI:AJ,2,FALSE))</f>
        <v>康卡斯特公司(Comcast Corporation)為全球媒體與科技巨頭，按營收是美國第3大電信商(Fortune 2024)，且是唯一全A級的美國電信商；按訂戶數為美國最大的傳統有線付費電視供應商，且旗下環球影業按2023年度票房位居全球第一大電影發行公司地位，並憑藉著環球影城擁有全球第二大的主題樂園收入。</v>
      </c>
      <c r="V62" s="136" t="str">
        <f ca="1">IFERROR(VLOOKUP(B62,'1_重設數據'!L:M,2,FALSE),IF(Q62="政府",IF(AD62&gt;16,"(NPI)非專投",IF(AD62&gt;10,"(PI)專投","高資產")),IF(VLOOKUP(B62,bond!B:AN,39,FALSE)="Y","(PI)專投",IF(AD62&gt;=15,"(NPI)非專投",IF(AD62&gt;=10,"(PI)專投","高資產")))))</f>
        <v>(NPI)非專投</v>
      </c>
      <c r="W62" s="136" t="str">
        <f ca="1">VLOOKUP(AD62,'credit rating'!$F$2:$H$22,3,FALSE)</f>
        <v>A-</v>
      </c>
      <c r="X62" s="136" t="str">
        <f t="shared" ca="1" si="1"/>
        <v>A3</v>
      </c>
      <c r="Y62" s="136" t="str">
        <f t="shared" ca="1" si="2"/>
        <v>A-</v>
      </c>
      <c r="Z62" s="136" t="str">
        <f t="shared" ca="1" si="3"/>
        <v>A-</v>
      </c>
      <c r="AA62" s="134">
        <f ca="1">IFERROR(VLOOKUP(X62,'credit rating'!A:C,3,FALSE),0)</f>
        <v>15</v>
      </c>
      <c r="AB62" s="134">
        <f ca="1">IFERROR(VLOOKUP(Y62,'credit rating'!B:C,2,FALSE),0)</f>
        <v>15</v>
      </c>
      <c r="AC62" s="136">
        <f ca="1">IFERROR(VLOOKUP(Z62,'credit rating'!B:C,2,FALSE),0)</f>
        <v>15</v>
      </c>
      <c r="AD62" s="136">
        <f t="shared" ca="1" si="4"/>
        <v>15</v>
      </c>
      <c r="AE62" s="249">
        <f ca="1">IFERROR(VLOOKUP(B62,bond!B:U,20,FALSE),"")</f>
        <v>4.4900000000000002E-2</v>
      </c>
      <c r="AF62" s="136" t="str">
        <f ca="1">IF(VLOOKUP(B62,bond!B:AK,36,FALSE)="#N/A Field Not Applicable","",VLOOKUP(B62,bond!B:AK,36,FALSE))</f>
        <v>2028/2/1</v>
      </c>
      <c r="AG62" s="136" t="str">
        <f ca="1">IF(VLOOKUP(B62,bond!B:AL,37,FALSE)="FIXED","固定",IF(VLOOKUP(B62,bond!B:AL,37,FALSE)="FLOATING","浮動",IF(VLOOKUP(B62,bond!B:AL,37,FALSE)="VARIABLE","變動",IF(VLOOKUP(B62,bond!B:AL,37,FALSE)="FLAT TRADING","不含息交易",IF(VLOOKUP(B62,bond!B:AL,37,FALSE)="ZERO COUPON","零息",VLOOKUP(B62,bond!B:AL,37,FALSE))))))</f>
        <v>固定</v>
      </c>
      <c r="AH62" s="136" t="str">
        <f>VLOOKUP(C62,'2_Check_code'!I:J,2,FALSE)</f>
        <v>美元(USD)</v>
      </c>
      <c r="AI62" s="136" t="str">
        <f t="shared" ca="1" si="5"/>
        <v>自由選清單</v>
      </c>
      <c r="AJ62" s="136">
        <f t="shared" ca="1" si="6"/>
        <v>0</v>
      </c>
      <c r="AK62" s="594" t="str">
        <f ca="1">IF(VLOOKUP(B62,bond!B:S,18,FALSE)="是","有",IF(VLOOKUP(B62,bond!B:S,18,FALSE)="NO OFFER","無","需查詢"))</f>
        <v>有</v>
      </c>
      <c r="AL62" s="136" t="str">
        <f>IF(VLOOKUP(A62,bond!F:AR,39,FALSE)="#N/A Field Not Applicable",VLOOKUP(A62,bond!F:AR,38,FALSE),IFERROR(VLOOKUP(A62,'7_發行日例外'!A:B,2,FALSE),VLOOKUP(A62,bond!F:AR,39,FALSE)))</f>
        <v>2018/2/8</v>
      </c>
      <c r="AM62" s="136" t="str">
        <f ca="1">VLOOKUP(B62,bond!B:AK,36,FALSE)</f>
        <v>2028/2/1</v>
      </c>
      <c r="AN62" s="136" t="str">
        <f ca="1">IFERROR(VLOOKUP(B62,'3_是否下架'!A:A,1,FALSE),"")</f>
        <v/>
      </c>
      <c r="AO62" s="136">
        <f ca="1">VLOOKUP(B62,bond!B:J,9,FALSE)</f>
        <v>95.33</v>
      </c>
      <c r="AP62" s="136">
        <f ca="1">VLOOKUP(B62,bond!B:V,21,FALSE)</f>
        <v>3.5055000000000001</v>
      </c>
    </row>
    <row r="63" spans="1:42">
      <c r="A63" s="141" t="str">
        <f>bond!F64</f>
        <v>US88032XAH70</v>
      </c>
      <c r="B63" s="151" t="str">
        <f ca="1">IF($C$1=TRUE,bond!B64,"")</f>
        <v>XFP90</v>
      </c>
      <c r="C63" s="95" t="str">
        <f>VLOOKUP(A63,bond!F:G,2,FALSE)</f>
        <v>USD</v>
      </c>
      <c r="D63" s="142" t="str">
        <f ca="1">VLOOKUP(B63,bond!B:C,2,FALSE)</f>
        <v>騰訊控股有限公司美元配息債券 3.925% 2038/1/19</v>
      </c>
      <c r="E63" s="95" t="str">
        <f ca="1">VLOOKUP(B63,bond!B:D,3,FALSE)</f>
        <v>A1 / A+ / A+</v>
      </c>
      <c r="F63" s="99" t="str">
        <f ca="1">VLOOKUP(B63,bond!B:AB,27,FALSE)</f>
        <v>2038/1/19</v>
      </c>
      <c r="G63" s="90">
        <f ca="1">VLOOKUP(B63,bond!B:E,4,FALSE)</f>
        <v>13.55</v>
      </c>
      <c r="H63" s="202">
        <f ca="1">VLOOKUP(B63,bond!B:Y,24,FALSE)</f>
        <v>3.925E-2</v>
      </c>
      <c r="I63" s="95">
        <f ca="1">VLOOKUP(B63,bond!B:Z,25,FALSE)</f>
        <v>2</v>
      </c>
      <c r="J63" s="180">
        <f ca="1">VLOOKUP(B63,bond!B:K,10,FALSE)</f>
        <v>1.7771999999999999</v>
      </c>
      <c r="K63" s="96">
        <f ca="1">VLOOKUP($B63,bond!B:S,14,FALSE)</f>
        <v>89.06</v>
      </c>
      <c r="L63" s="91" t="str">
        <f ca="1">VLOOKUP(B63,bond!B:H,7,FALSE)</f>
        <v>2024/7/2</v>
      </c>
      <c r="M63" s="144">
        <f ca="1">VLOOKUP($B63,bond!$B:$Q,16,FALSE)</f>
        <v>5.2499999999999998E-2</v>
      </c>
      <c r="N63" s="136">
        <f ca="1">VALUE(LEFT(VLOOKUP(B63,bond!B:R,17,FALSE),SEARCH(" ",VLOOKUP(B63,bond!B:R,17,FALSE),1)))</f>
        <v>200000</v>
      </c>
      <c r="O63" s="136">
        <f ca="1">VALUE(RIGHT(VLOOKUP(B63,bond!B:R,17,FALSE),LEN(VLOOKUP(B63,bond!B:R,17,FALSE))-LEN(N63)-3))</f>
        <v>1000</v>
      </c>
      <c r="P63" s="135" t="str">
        <f ca="1">VLOOKUP($B63,bond!$B:$AG,32,FALSE)</f>
        <v>2024/7/19</v>
      </c>
      <c r="Q63" s="135" t="str">
        <f ca="1">VLOOKUP($B63,bond!$B:$AH,33,FALSE)</f>
        <v>通訊</v>
      </c>
      <c r="R63" s="135" t="str">
        <f ca="1">VLOOKUP(B63,bond!B:AA,26,FALSE)</f>
        <v>騰訊控股有限公司</v>
      </c>
      <c r="S63" s="135" t="str">
        <f ca="1">VLOOKUP(B63,bond!B:AI,34,FALSE)</f>
        <v>TENCNT</v>
      </c>
      <c r="T63" s="135" t="str">
        <f t="shared" ca="1" si="0"/>
        <v>騰訊控股有限公司/TENCNT</v>
      </c>
      <c r="U63" s="207" t="str">
        <f ca="1">IFERROR(VLOOKUP(T63,Bond_DES!D:E,2,FALSE),VLOOKUP(S63,bond!AI:AJ,2,FALSE))</f>
        <v>騰訊控股有限公司(Tencent Holdings Limited)中國市值最大的網際網路公司，2023年12月統計該公司市值為中國所有上市公司之最。騰訊亦是全球用戶最多的數位娛樂平台，通過全球月活躍帳戶數超過10億的微信和WeChat發展生態系，提供豐富的數位內容及金融科技等服務。</v>
      </c>
      <c r="V63" s="136" t="str">
        <f ca="1">IFERROR(VLOOKUP(B63,'1_重設數據'!L:M,2,FALSE),IF(Q63="政府",IF(AD63&gt;16,"(NPI)非專投",IF(AD63&gt;10,"(PI)專投","高資產")),IF(VLOOKUP(B63,bond!B:AN,39,FALSE)="Y","(PI)專投",IF(AD63&gt;=15,"(NPI)非專投",IF(AD63&gt;=10,"(PI)專投","高資產")))))</f>
        <v>(NPI)非專投</v>
      </c>
      <c r="W63" s="136" t="str">
        <f ca="1">VLOOKUP(AD63,'credit rating'!$F$2:$H$22,3,FALSE)</f>
        <v>A+</v>
      </c>
      <c r="X63" s="136" t="str">
        <f t="shared" ca="1" si="1"/>
        <v>A1</v>
      </c>
      <c r="Y63" s="136" t="str">
        <f t="shared" ca="1" si="2"/>
        <v>A+</v>
      </c>
      <c r="Z63" s="136" t="str">
        <f t="shared" ca="1" si="3"/>
        <v>A+</v>
      </c>
      <c r="AA63" s="134">
        <f ca="1">IFERROR(VLOOKUP(X63,'credit rating'!A:C,3,FALSE),0)</f>
        <v>17</v>
      </c>
      <c r="AB63" s="134">
        <f ca="1">IFERROR(VLOOKUP(Y63,'credit rating'!B:C,2,FALSE),0)</f>
        <v>17</v>
      </c>
      <c r="AC63" s="136">
        <f ca="1">IFERROR(VLOOKUP(Z63,'credit rating'!B:C,2,FALSE),0)</f>
        <v>17</v>
      </c>
      <c r="AD63" s="136">
        <f t="shared" ca="1" si="4"/>
        <v>17</v>
      </c>
      <c r="AE63" s="249">
        <f ca="1">IFERROR(VLOOKUP(B63,bond!B:U,20,FALSE),"")</f>
        <v>5.2900000000000003E-2</v>
      </c>
      <c r="AF63" s="136" t="str">
        <f ca="1">IF(VLOOKUP(B63,bond!B:AK,36,FALSE)="#N/A Field Not Applicable","",VLOOKUP(B63,bond!B:AK,36,FALSE))</f>
        <v>2037/7/19</v>
      </c>
      <c r="AG63" s="136" t="str">
        <f ca="1">IF(VLOOKUP(B63,bond!B:AL,37,FALSE)="FIXED","固定",IF(VLOOKUP(B63,bond!B:AL,37,FALSE)="FLOATING","浮動",IF(VLOOKUP(B63,bond!B:AL,37,FALSE)="VARIABLE","變動",IF(VLOOKUP(B63,bond!B:AL,37,FALSE)="FLAT TRADING","不含息交易",IF(VLOOKUP(B63,bond!B:AL,37,FALSE)="ZERO COUPON","零息",VLOOKUP(B63,bond!B:AL,37,FALSE))))))</f>
        <v>固定</v>
      </c>
      <c r="AH63" s="136" t="str">
        <f>VLOOKUP(C63,'2_Check_code'!I:J,2,FALSE)</f>
        <v>美元(USD)</v>
      </c>
      <c r="AI63" s="136" t="str">
        <f t="shared" ca="1" si="5"/>
        <v>自由選清單</v>
      </c>
      <c r="AJ63" s="136">
        <f t="shared" ca="1" si="6"/>
        <v>0</v>
      </c>
      <c r="AK63" s="594" t="str">
        <f ca="1">IF(VLOOKUP(B63,bond!B:S,18,FALSE)="是","有",IF(VLOOKUP(B63,bond!B:S,18,FALSE)="NO OFFER","無","需查詢"))</f>
        <v>有</v>
      </c>
      <c r="AL63" s="136" t="str">
        <f>IF(VLOOKUP(A63,bond!F:AR,39,FALSE)="#N/A Field Not Applicable",VLOOKUP(A63,bond!F:AR,38,FALSE),IFERROR(VLOOKUP(A63,'7_發行日例外'!A:B,2,FALSE),VLOOKUP(A63,bond!F:AR,39,FALSE)))</f>
        <v>2018/1/19</v>
      </c>
      <c r="AM63" s="136" t="str">
        <f ca="1">VLOOKUP(B63,bond!B:AK,36,FALSE)</f>
        <v>2037/7/19</v>
      </c>
      <c r="AN63" s="136" t="str">
        <f ca="1">IFERROR(VLOOKUP(B63,'3_是否下架'!A:A,1,FALSE),"")</f>
        <v/>
      </c>
      <c r="AO63" s="136">
        <f ca="1">VLOOKUP(B63,bond!B:J,9,FALSE)</f>
        <v>84.78</v>
      </c>
      <c r="AP63" s="136">
        <f ca="1">VLOOKUP(B63,bond!B:V,21,FALSE)</f>
        <v>9.8633000000000006</v>
      </c>
    </row>
    <row r="64" spans="1:42">
      <c r="A64" s="141" t="str">
        <f>bond!F65</f>
        <v>US00206RDQ20</v>
      </c>
      <c r="B64" s="151" t="str">
        <f ca="1">IF($C$1=TRUE,bond!B65,"")</f>
        <v>XFQ20</v>
      </c>
      <c r="C64" s="95" t="str">
        <f>VLOOKUP(A64,bond!F:G,2,FALSE)</f>
        <v>USD</v>
      </c>
      <c r="D64" s="142" t="str">
        <f ca="1">VLOOKUP(B64,bond!B:C,2,FALSE)</f>
        <v>AT&amp;T公司美元配息債券 4.25% 2027/3/1</v>
      </c>
      <c r="E64" s="95" t="str">
        <f ca="1">VLOOKUP(B64,bond!B:D,3,FALSE)</f>
        <v>Baa2 / BBB / BBB+</v>
      </c>
      <c r="F64" s="99" t="str">
        <f ca="1">VLOOKUP(B64,bond!B:AB,27,FALSE)</f>
        <v>2027/3/1</v>
      </c>
      <c r="G64" s="90">
        <f ca="1">VLOOKUP(B64,bond!B:E,4,FALSE)</f>
        <v>2.66</v>
      </c>
      <c r="H64" s="202">
        <f ca="1">VLOOKUP(B64,bond!B:Y,24,FALSE)</f>
        <v>4.2500000000000003E-2</v>
      </c>
      <c r="I64" s="95">
        <f ca="1">VLOOKUP(B64,bond!B:Z,25,FALSE)</f>
        <v>2</v>
      </c>
      <c r="J64" s="180">
        <f ca="1">VLOOKUP(B64,bond!B:K,10,FALSE)</f>
        <v>1.4285000000000001</v>
      </c>
      <c r="K64" s="96">
        <f ca="1">VLOOKUP($B64,bond!B:S,14,FALSE)</f>
        <v>100.86</v>
      </c>
      <c r="L64" s="91" t="str">
        <f ca="1">VLOOKUP(B64,bond!B:H,7,FALSE)</f>
        <v>2024/7/2</v>
      </c>
      <c r="M64" s="144">
        <f ca="1">VLOOKUP($B64,bond!$B:$Q,16,FALSE)</f>
        <v>4.48E-2</v>
      </c>
      <c r="N64" s="136">
        <f ca="1">VALUE(LEFT(VLOOKUP(B64,bond!B:R,17,FALSE),SEARCH(" ",VLOOKUP(B64,bond!B:R,17,FALSE),1)))</f>
        <v>10000</v>
      </c>
      <c r="O64" s="136">
        <f ca="1">VALUE(RIGHT(VLOOKUP(B64,bond!B:R,17,FALSE),LEN(VLOOKUP(B64,bond!B:R,17,FALSE))-LEN(N64)-3))</f>
        <v>1000</v>
      </c>
      <c r="P64" s="135" t="str">
        <f ca="1">VLOOKUP($B64,bond!$B:$AG,32,FALSE)</f>
        <v>2024/9/1</v>
      </c>
      <c r="Q64" s="135" t="str">
        <f ca="1">VLOOKUP($B64,bond!$B:$AH,33,FALSE)</f>
        <v>通訊</v>
      </c>
      <c r="R64" s="135" t="str">
        <f ca="1">VLOOKUP(B64,bond!B:AA,26,FALSE)</f>
        <v>AT&amp;T公司</v>
      </c>
      <c r="S64" s="135" t="str">
        <f ca="1">VLOOKUP(B64,bond!B:AI,34,FALSE)</f>
        <v>T</v>
      </c>
      <c r="T64" s="135" t="str">
        <f t="shared" ca="1" si="0"/>
        <v>AT&amp;T公司/T</v>
      </c>
      <c r="U64" s="207" t="str">
        <f ca="1">IFERROR(VLOOKUP(T64,Bond_DES!D:E,2,FALSE),VLOOKUP(S64,bond!AI:AJ,2,FALSE))</f>
        <v>AT&amp;T公司(AT&amp;T Inc.)為美國三大電信巨頭之一，於全球電信品牌價值排名第3位(Brand Finance 2024)、美國電信業營收排名第2位(Fortune 2024)，5G網絡覆蓋美國逾3億人；為致力專注本業發展，已陸續於近年完成分拆全美最大衛星電視服務供應商DirecTV和華納媒體，徹底打造純通訊服務。</v>
      </c>
      <c r="V64" s="136" t="str">
        <f ca="1">IFERROR(VLOOKUP(B64,'1_重設數據'!L:M,2,FALSE),IF(Q64="政府",IF(AD64&gt;16,"(NPI)非專投",IF(AD64&gt;10,"(PI)專投","高資產")),IF(VLOOKUP(B64,bond!B:AN,39,FALSE)="Y","(PI)專投",IF(AD64&gt;=15,"(NPI)非專投",IF(AD64&gt;=10,"(PI)專投","高資產")))))</f>
        <v>(PI)專投</v>
      </c>
      <c r="W64" s="136" t="str">
        <f ca="1">VLOOKUP(AD64,'credit rating'!$F$2:$H$22,3,FALSE)</f>
        <v>BBB+</v>
      </c>
      <c r="X64" s="136" t="str">
        <f t="shared" ca="1" si="1"/>
        <v>Baa2</v>
      </c>
      <c r="Y64" s="136" t="str">
        <f t="shared" ca="1" si="2"/>
        <v>BBB</v>
      </c>
      <c r="Z64" s="136" t="str">
        <f t="shared" ca="1" si="3"/>
        <v>BBB+</v>
      </c>
      <c r="AA64" s="134">
        <f ca="1">IFERROR(VLOOKUP(X64,'credit rating'!A:C,3,FALSE),0)</f>
        <v>13</v>
      </c>
      <c r="AB64" s="134">
        <f ca="1">IFERROR(VLOOKUP(Y64,'credit rating'!B:C,2,FALSE),0)</f>
        <v>13</v>
      </c>
      <c r="AC64" s="136">
        <f ca="1">IFERROR(VLOOKUP(Z64,'credit rating'!B:C,2,FALSE),0)</f>
        <v>14</v>
      </c>
      <c r="AD64" s="136">
        <f t="shared" ca="1" si="4"/>
        <v>14</v>
      </c>
      <c r="AE64" s="249">
        <f ca="1">IFERROR(VLOOKUP(B64,bond!B:U,20,FALSE),"")</f>
        <v>4.4999999999999998E-2</v>
      </c>
      <c r="AF64" s="136" t="str">
        <f ca="1">IF(VLOOKUP(B64,bond!B:AK,36,FALSE)="#N/A Field Not Applicable","",VLOOKUP(B64,bond!B:AK,36,FALSE))</f>
        <v>2026/12/1</v>
      </c>
      <c r="AG64" s="136" t="str">
        <f ca="1">IF(VLOOKUP(B64,bond!B:AL,37,FALSE)="FIXED","固定",IF(VLOOKUP(B64,bond!B:AL,37,FALSE)="FLOATING","浮動",IF(VLOOKUP(B64,bond!B:AL,37,FALSE)="VARIABLE","變動",IF(VLOOKUP(B64,bond!B:AL,37,FALSE)="FLAT TRADING","不含息交易",IF(VLOOKUP(B64,bond!B:AL,37,FALSE)="ZERO COUPON","零息",VLOOKUP(B64,bond!B:AL,37,FALSE))))))</f>
        <v>固定</v>
      </c>
      <c r="AH64" s="136" t="str">
        <f>VLOOKUP(C64,'2_Check_code'!I:J,2,FALSE)</f>
        <v>美元(USD)</v>
      </c>
      <c r="AI64" s="136" t="str">
        <f t="shared" ca="1" si="5"/>
        <v>自由選清單</v>
      </c>
      <c r="AJ64" s="136">
        <f t="shared" ca="1" si="6"/>
        <v>0</v>
      </c>
      <c r="AK64" s="594" t="str">
        <f ca="1">IF(VLOOKUP(B64,bond!B:S,18,FALSE)="是","有",IF(VLOOKUP(B64,bond!B:S,18,FALSE)="NO OFFER","無","需查詢"))</f>
        <v>有</v>
      </c>
      <c r="AL64" s="136" t="str">
        <f>IF(VLOOKUP(A64,bond!F:AR,39,FALSE)="#N/A Field Not Applicable",VLOOKUP(A64,bond!F:AR,38,FALSE),IFERROR(VLOOKUP(A64,'7_發行日例外'!A:B,2,FALSE),VLOOKUP(A64,bond!F:AR,39,FALSE)))</f>
        <v>2017/2/9</v>
      </c>
      <c r="AM64" s="136" t="str">
        <f ca="1">VLOOKUP(B64,bond!B:AK,36,FALSE)</f>
        <v>2026/12/1</v>
      </c>
      <c r="AN64" s="136" t="str">
        <f ca="1">IFERROR(VLOOKUP(B64,'3_是否下架'!A:A,1,FALSE),"")</f>
        <v/>
      </c>
      <c r="AO64" s="136">
        <f ca="1">VLOOKUP(B64,bond!B:J,9,FALSE)</f>
        <v>98.23</v>
      </c>
      <c r="AP64" s="136">
        <f ca="1">VLOOKUP(B64,bond!B:V,21,FALSE)</f>
        <v>2.4512999999999998</v>
      </c>
    </row>
    <row r="65" spans="1:42">
      <c r="A65" s="141" t="str">
        <f>bond!F66</f>
        <v>US06738EAP07</v>
      </c>
      <c r="B65" s="151" t="str">
        <f ca="1">IF($C$1=TRUE,bond!B66,"")</f>
        <v>XFQ50</v>
      </c>
      <c r="C65" s="95" t="str">
        <f>VLOOKUP(A65,bond!F:G,2,FALSE)</f>
        <v>USD</v>
      </c>
      <c r="D65" s="142" t="str">
        <f ca="1">VLOOKUP(B65,bond!B:C,2,FALSE)</f>
        <v>巴克萊集團美元配息債券 5.2% 2026/5/12</v>
      </c>
      <c r="E65" s="95" t="str">
        <f ca="1">VLOOKUP(B65,bond!B:D,3,FALSE)</f>
        <v>Baa1 / BBB- / BBB+</v>
      </c>
      <c r="F65" s="99" t="str">
        <f ca="1">VLOOKUP(B65,bond!B:AB,27,FALSE)</f>
        <v>2026/5/12</v>
      </c>
      <c r="G65" s="90">
        <f ca="1">VLOOKUP(B65,bond!B:E,4,FALSE)</f>
        <v>1.86</v>
      </c>
      <c r="H65" s="202">
        <f ca="1">VLOOKUP(B65,bond!B:Y,24,FALSE)</f>
        <v>5.2000000000000005E-2</v>
      </c>
      <c r="I65" s="95">
        <f ca="1">VLOOKUP(B65,bond!B:Z,25,FALSE)</f>
        <v>2</v>
      </c>
      <c r="J65" s="180">
        <f ca="1">VLOOKUP(B65,bond!B:K,10,FALSE)</f>
        <v>0.72219999999999995</v>
      </c>
      <c r="K65" s="96">
        <f ca="1">VLOOKUP($B65,bond!B:S,14,FALSE)</f>
        <v>100.73</v>
      </c>
      <c r="L65" s="91" t="str">
        <f ca="1">VLOOKUP(B65,bond!B:H,7,FALSE)</f>
        <v>2024/7/2</v>
      </c>
      <c r="M65" s="144">
        <f ca="1">VLOOKUP($B65,bond!$B:$Q,16,FALSE)</f>
        <v>5.1900000000000002E-2</v>
      </c>
      <c r="N65" s="136">
        <f ca="1">VALUE(LEFT(VLOOKUP(B65,bond!B:R,17,FALSE),SEARCH(" ",VLOOKUP(B65,bond!B:R,17,FALSE),1)))</f>
        <v>200000</v>
      </c>
      <c r="O65" s="136">
        <f ca="1">VALUE(RIGHT(VLOOKUP(B65,bond!B:R,17,FALSE),LEN(VLOOKUP(B65,bond!B:R,17,FALSE))-LEN(N65)-3))</f>
        <v>1000</v>
      </c>
      <c r="P65" s="135" t="str">
        <f ca="1">VLOOKUP($B65,bond!$B:$AG,32,FALSE)</f>
        <v>2024/11/12</v>
      </c>
      <c r="Q65" s="135" t="str">
        <f ca="1">VLOOKUP($B65,bond!$B:$AH,33,FALSE)</f>
        <v>金融</v>
      </c>
      <c r="R65" s="135" t="str">
        <f ca="1">VLOOKUP(B65,bond!B:AA,26,FALSE)</f>
        <v>巴克萊集團</v>
      </c>
      <c r="S65" s="135" t="str">
        <f ca="1">VLOOKUP(B65,bond!B:AI,34,FALSE)</f>
        <v>BACR</v>
      </c>
      <c r="T65" s="135" t="str">
        <f t="shared" ca="1" si="0"/>
        <v>巴克萊集團/BACR</v>
      </c>
      <c r="U65" s="207" t="str">
        <f ca="1">IFERROR(VLOOKUP(T65,Bond_DES!D:E,2,FALSE),VLOOKUP(S65,bond!AI:AJ,2,FALSE))</f>
        <v>巴克萊集團(Barclays PLC)為全球系統重要性銀行(G-SIBs)之一，按資產為英國第2大、全球第18大行(S&amp;P  Global 2024)，亦是一家多元化的全能銀行，提供零售和商業銀行、企業和投資銀行，以及廣泛的國際消費貸款、信用卡和支付服務。2023年營收逾8成聚焦於英國及美國。</v>
      </c>
      <c r="V65" s="136" t="str">
        <f ca="1">IFERROR(VLOOKUP(B65,'1_重設數據'!L:M,2,FALSE),IF(Q65="政府",IF(AD65&gt;16,"(NPI)非專投",IF(AD65&gt;10,"(PI)專投","高資產")),IF(VLOOKUP(B65,bond!B:AN,39,FALSE)="Y","(PI)專投",IF(AD65&gt;=15,"(NPI)非專投",IF(AD65&gt;=10,"(PI)專投","高資產")))))</f>
        <v>(PI)專投</v>
      </c>
      <c r="W65" s="136" t="str">
        <f ca="1">VLOOKUP(AD65,'credit rating'!$F$2:$H$22,3,FALSE)</f>
        <v>BBB+</v>
      </c>
      <c r="X65" s="136" t="str">
        <f t="shared" ca="1" si="1"/>
        <v>Baa1</v>
      </c>
      <c r="Y65" s="136" t="str">
        <f t="shared" ca="1" si="2"/>
        <v>BBB-</v>
      </c>
      <c r="Z65" s="136" t="str">
        <f t="shared" ca="1" si="3"/>
        <v>BBB+</v>
      </c>
      <c r="AA65" s="134">
        <f ca="1">IFERROR(VLOOKUP(X65,'credit rating'!A:C,3,FALSE),0)</f>
        <v>14</v>
      </c>
      <c r="AB65" s="134">
        <f ca="1">IFERROR(VLOOKUP(Y65,'credit rating'!B:C,2,FALSE),0)</f>
        <v>12</v>
      </c>
      <c r="AC65" s="136">
        <f ca="1">IFERROR(VLOOKUP(Z65,'credit rating'!B:C,2,FALSE),0)</f>
        <v>14</v>
      </c>
      <c r="AD65" s="136">
        <f t="shared" ca="1" si="4"/>
        <v>14</v>
      </c>
      <c r="AE65" s="249" t="str">
        <f ca="1">IFERROR(VLOOKUP(B65,bond!B:U,20,FALSE),"")</f>
        <v xml:space="preserve"> </v>
      </c>
      <c r="AF65" s="136" t="str">
        <f ca="1">IF(VLOOKUP(B65,bond!B:AK,36,FALSE)="#N/A Field Not Applicable","",VLOOKUP(B65,bond!B:AK,36,FALSE))</f>
        <v/>
      </c>
      <c r="AG65" s="136" t="str">
        <f ca="1">IF(VLOOKUP(B65,bond!B:AL,37,FALSE)="FIXED","固定",IF(VLOOKUP(B65,bond!B:AL,37,FALSE)="FLOATING","浮動",IF(VLOOKUP(B65,bond!B:AL,37,FALSE)="VARIABLE","變動",IF(VLOOKUP(B65,bond!B:AL,37,FALSE)="FLAT TRADING","不含息交易",IF(VLOOKUP(B65,bond!B:AL,37,FALSE)="ZERO COUPON","零息",VLOOKUP(B65,bond!B:AL,37,FALSE))))))</f>
        <v>固定</v>
      </c>
      <c r="AH65" s="136" t="str">
        <f>VLOOKUP(C65,'2_Check_code'!I:J,2,FALSE)</f>
        <v>美元(USD)</v>
      </c>
      <c r="AI65" s="136" t="str">
        <f t="shared" ca="1" si="5"/>
        <v>自由選清單</v>
      </c>
      <c r="AJ65" s="136">
        <f t="shared" ca="1" si="6"/>
        <v>0</v>
      </c>
      <c r="AK65" s="594" t="str">
        <f ca="1">IF(VLOOKUP(B65,bond!B:S,18,FALSE)="是","有",IF(VLOOKUP(B65,bond!B:S,18,FALSE)="NO OFFER","無","需查詢"))</f>
        <v>有</v>
      </c>
      <c r="AL65" s="136" t="str">
        <f>IF(VLOOKUP(A65,bond!F:AR,39,FALSE)="#N/A Field Not Applicable",VLOOKUP(A65,bond!F:AR,38,FALSE),IFERROR(VLOOKUP(A65,'7_發行日例外'!A:B,2,FALSE),VLOOKUP(A65,bond!F:AR,39,FALSE)))</f>
        <v>2016/5/12</v>
      </c>
      <c r="AM65" s="136" t="str">
        <f ca="1">VLOOKUP(B65,bond!B:AK,36,FALSE)</f>
        <v>#N/A Field Not Applicable</v>
      </c>
      <c r="AN65" s="136" t="str">
        <f ca="1">IFERROR(VLOOKUP(B65,'3_是否下架'!A:A,1,FALSE),"")</f>
        <v/>
      </c>
      <c r="AO65" s="136">
        <f ca="1">VLOOKUP(B65,bond!B:J,9,FALSE)</f>
        <v>99.21</v>
      </c>
      <c r="AP65" s="136">
        <f ca="1">VLOOKUP(B65,bond!B:V,21,FALSE)</f>
        <v>1.7378</v>
      </c>
    </row>
    <row r="66" spans="1:42">
      <c r="A66" s="141" t="str">
        <f>bond!F67</f>
        <v>US382550BF73</v>
      </c>
      <c r="B66" s="151" t="str">
        <f ca="1">IF($C$1=TRUE,bond!B67,"")</f>
        <v>XFQ60</v>
      </c>
      <c r="C66" s="95" t="str">
        <f>VLOOKUP(A66,bond!F:G,2,FALSE)</f>
        <v>USD</v>
      </c>
      <c r="D66" s="142" t="str">
        <f ca="1">VLOOKUP(B66,bond!B:C,2,FALSE)</f>
        <v>固特異輪胎橡膠公司美元配息債券 5% 2026/5/31</v>
      </c>
      <c r="E66" s="95" t="str">
        <f ca="1">VLOOKUP(B66,bond!B:D,3,FALSE)</f>
        <v>B2 / B+ / BB-</v>
      </c>
      <c r="F66" s="99" t="str">
        <f ca="1">VLOOKUP(B66,bond!B:AB,27,FALSE)</f>
        <v>2026/5/31</v>
      </c>
      <c r="G66" s="90">
        <f ca="1">VLOOKUP(B66,bond!B:E,4,FALSE)</f>
        <v>1.91</v>
      </c>
      <c r="H66" s="202">
        <f ca="1">VLOOKUP(B66,bond!B:Y,24,FALSE)</f>
        <v>0.05</v>
      </c>
      <c r="I66" s="95">
        <f ca="1">VLOOKUP(B66,bond!B:Z,25,FALSE)</f>
        <v>2</v>
      </c>
      <c r="J66" s="180">
        <f ca="1">VLOOKUP(B66,bond!B:K,10,FALSE)</f>
        <v>0.44440000000000002</v>
      </c>
      <c r="K66" s="96">
        <f ca="1">VLOOKUP($B66,bond!B:S,14,FALSE)</f>
        <v>101.25</v>
      </c>
      <c r="L66" s="91" t="str">
        <f ca="1">VLOOKUP(B66,bond!B:H,7,FALSE)</f>
        <v>2024/7/2</v>
      </c>
      <c r="M66" s="144">
        <f ca="1">VLOOKUP($B66,bond!$B:$Q,16,FALSE)</f>
        <v>4.5499999999999999E-2</v>
      </c>
      <c r="N66" s="136">
        <f ca="1">VALUE(LEFT(VLOOKUP(B66,bond!B:R,17,FALSE),SEARCH(" ",VLOOKUP(B66,bond!B:R,17,FALSE),1)))</f>
        <v>10000</v>
      </c>
      <c r="O66" s="136">
        <f ca="1">VALUE(RIGHT(VLOOKUP(B66,bond!B:R,17,FALSE),LEN(VLOOKUP(B66,bond!B:R,17,FALSE))-LEN(N66)-3))</f>
        <v>1000</v>
      </c>
      <c r="P66" s="135" t="str">
        <f ca="1">VLOOKUP($B66,bond!$B:$AG,32,FALSE)</f>
        <v>2024/11/30</v>
      </c>
      <c r="Q66" s="135" t="str">
        <f ca="1">VLOOKUP($B66,bond!$B:$AH,33,FALSE)</f>
        <v>非核心消費</v>
      </c>
      <c r="R66" s="135" t="str">
        <f ca="1">VLOOKUP(B66,bond!B:AA,26,FALSE)</f>
        <v>固特異輪胎公司</v>
      </c>
      <c r="S66" s="135" t="str">
        <f ca="1">VLOOKUP(B66,bond!B:AI,34,FALSE)</f>
        <v>GT</v>
      </c>
      <c r="T66" s="135" t="str">
        <f t="shared" ca="1" si="0"/>
        <v>固特異輪胎公司/GT</v>
      </c>
      <c r="U66" s="207" t="str">
        <f ca="1">IFERROR(VLOOKUP(T66,Bond_DES!D:E,2,FALSE),VLOOKUP(S66,bond!AI:AJ,2,FALSE))</f>
        <v>固特異輪胎公司(The Goodyear Tire &amp; Rubber Company)專於開發、製造、行銷各式功能的輪胎，按《Tire Business》2023調查輪胎銷售額為美國最大、世界第三大的輪胎製造商(僅次於米其林及普利司通)。2024年《Brand Finance》全球10大輪胎品牌價值排行第4位。</v>
      </c>
      <c r="V66" s="136" t="str">
        <f ca="1">IFERROR(VLOOKUP(B66,'1_重設數據'!L:M,2,FALSE),IF(Q66="政府",IF(AD66&gt;16,"(NPI)非專投",IF(AD66&gt;10,"(PI)專投","高資產")),IF(VLOOKUP(B66,bond!B:AN,39,FALSE)="Y","(PI)專投",IF(AD66&gt;=15,"(NPI)非專投",IF(AD66&gt;=10,"(PI)專投","高資產")))))</f>
        <v>高資產</v>
      </c>
      <c r="W66" s="136" t="str">
        <f ca="1">VLOOKUP(AD66,'credit rating'!$F$2:$H$22,3,FALSE)</f>
        <v>BB-</v>
      </c>
      <c r="X66" s="136" t="str">
        <f t="shared" ca="1" si="1"/>
        <v>B2</v>
      </c>
      <c r="Y66" s="136" t="str">
        <f t="shared" ca="1" si="2"/>
        <v>B+</v>
      </c>
      <c r="Z66" s="136" t="str">
        <f t="shared" ca="1" si="3"/>
        <v>BB-</v>
      </c>
      <c r="AA66" s="134">
        <f ca="1">IFERROR(VLOOKUP(X66,'credit rating'!A:C,3,FALSE),0)</f>
        <v>7</v>
      </c>
      <c r="AB66" s="134">
        <f ca="1">IFERROR(VLOOKUP(Y66,'credit rating'!B:C,2,FALSE),0)</f>
        <v>8</v>
      </c>
      <c r="AC66" s="136">
        <f ca="1">IFERROR(VLOOKUP(Z66,'credit rating'!B:C,2,FALSE),0)</f>
        <v>9</v>
      </c>
      <c r="AD66" s="136">
        <f t="shared" ca="1" si="4"/>
        <v>9</v>
      </c>
      <c r="AE66" s="249">
        <f ca="1">IFERROR(VLOOKUP(B66,bond!B:U,20,FALSE),"")</f>
        <v>-4.99E-2</v>
      </c>
      <c r="AF66" s="136" t="str">
        <f ca="1">IF(VLOOKUP(B66,bond!B:AK,36,FALSE)="#N/A Field Not Applicable","",VLOOKUP(B66,bond!B:AK,36,FALSE))</f>
        <v>2024/8/1</v>
      </c>
      <c r="AG66" s="136" t="str">
        <f ca="1">IF(VLOOKUP(B66,bond!B:AL,37,FALSE)="FIXED","固定",IF(VLOOKUP(B66,bond!B:AL,37,FALSE)="FLOATING","浮動",IF(VLOOKUP(B66,bond!B:AL,37,FALSE)="VARIABLE","變動",IF(VLOOKUP(B66,bond!B:AL,37,FALSE)="FLAT TRADING","不含息交易",IF(VLOOKUP(B66,bond!B:AL,37,FALSE)="ZERO COUPON","零息",VLOOKUP(B66,bond!B:AL,37,FALSE))))))</f>
        <v>固定</v>
      </c>
      <c r="AH66" s="136" t="str">
        <f>VLOOKUP(C66,'2_Check_code'!I:J,2,FALSE)</f>
        <v>美元(USD)</v>
      </c>
      <c r="AI66" s="136" t="str">
        <f t="shared" ca="1" si="5"/>
        <v>自由選清單</v>
      </c>
      <c r="AJ66" s="136">
        <f t="shared" ca="1" si="6"/>
        <v>0</v>
      </c>
      <c r="AK66" s="594" t="str">
        <f ca="1">IF(VLOOKUP(B66,bond!B:S,18,FALSE)="是","有",IF(VLOOKUP(B66,bond!B:S,18,FALSE)="NO OFFER","無","需查詢"))</f>
        <v>有</v>
      </c>
      <c r="AL66" s="136" t="str">
        <f>IF(VLOOKUP(A66,bond!F:AR,39,FALSE)="#N/A Field Not Applicable",VLOOKUP(A66,bond!F:AR,38,FALSE),IFERROR(VLOOKUP(A66,'7_發行日例外'!A:B,2,FALSE),VLOOKUP(A66,bond!F:AR,39,FALSE)))</f>
        <v>2016/5/13</v>
      </c>
      <c r="AM66" s="136" t="str">
        <f ca="1">VLOOKUP(B66,bond!B:AK,36,FALSE)</f>
        <v>2024/8/1</v>
      </c>
      <c r="AN66" s="136" t="str">
        <f ca="1">IFERROR(VLOOKUP(B66,'3_是否下架'!A:A,1,FALSE),"")</f>
        <v>XFQ60</v>
      </c>
      <c r="AO66" s="136">
        <f ca="1">VLOOKUP(B66,bond!B:J,9,FALSE)</f>
        <v>98.81</v>
      </c>
      <c r="AP66" s="136">
        <f ca="1">VLOOKUP(B66,bond!B:V,21,FALSE)</f>
        <v>1.7917000000000001</v>
      </c>
    </row>
    <row r="67" spans="1:42">
      <c r="A67" s="141" t="str">
        <f>bond!F68</f>
        <v>US038222AL98</v>
      </c>
      <c r="B67" s="151" t="str">
        <f ca="1">IF($C$1=TRUE,bond!B68,"")</f>
        <v>XFR10</v>
      </c>
      <c r="C67" s="95" t="str">
        <f>VLOOKUP(A67,bond!F:G,2,FALSE)</f>
        <v>USD</v>
      </c>
      <c r="D67" s="142" t="str">
        <f ca="1">VLOOKUP(B67,bond!B:C,2,FALSE)</f>
        <v>應用材料公司美元配息債券 3.3% 2027/4/1</v>
      </c>
      <c r="E67" s="95" t="str">
        <f ca="1">VLOOKUP(B67,bond!B:D,3,FALSE)</f>
        <v>A2 / A / -</v>
      </c>
      <c r="F67" s="99" t="str">
        <f ca="1">VLOOKUP(B67,bond!B:AB,27,FALSE)</f>
        <v>2027/4/1</v>
      </c>
      <c r="G67" s="90">
        <f ca="1">VLOOKUP(B67,bond!B:E,4,FALSE)</f>
        <v>2.75</v>
      </c>
      <c r="H67" s="202">
        <f ca="1">VLOOKUP(B67,bond!B:Y,24,FALSE)</f>
        <v>3.3000000000000002E-2</v>
      </c>
      <c r="I67" s="95">
        <f ca="1">VLOOKUP(B67,bond!B:Z,25,FALSE)</f>
        <v>2</v>
      </c>
      <c r="J67" s="180">
        <f ca="1">VLOOKUP(B67,bond!B:K,10,FALSE)</f>
        <v>0.83420000000000005</v>
      </c>
      <c r="K67" s="96">
        <f ca="1">VLOOKUP($B67,bond!B:S,14,FALSE)</f>
        <v>98.570000000000007</v>
      </c>
      <c r="L67" s="91" t="str">
        <f ca="1">VLOOKUP(B67,bond!B:H,7,FALSE)</f>
        <v>2024/7/2</v>
      </c>
      <c r="M67" s="144">
        <f ca="1">VLOOKUP($B67,bond!$B:$Q,16,FALSE)</f>
        <v>4.1799999999999997E-2</v>
      </c>
      <c r="N67" s="136">
        <f ca="1">VALUE(LEFT(VLOOKUP(B67,bond!B:R,17,FALSE),SEARCH(" ",VLOOKUP(B67,bond!B:R,17,FALSE),1)))</f>
        <v>10000</v>
      </c>
      <c r="O67" s="136">
        <f ca="1">VALUE(RIGHT(VLOOKUP(B67,bond!B:R,17,FALSE),LEN(VLOOKUP(B67,bond!B:R,17,FALSE))-LEN(N67)-3))</f>
        <v>1000</v>
      </c>
      <c r="P67" s="135" t="str">
        <f ca="1">VLOOKUP($B67,bond!$B:$AG,32,FALSE)</f>
        <v>2024/10/1</v>
      </c>
      <c r="Q67" s="135" t="str">
        <f ca="1">VLOOKUP($B67,bond!$B:$AH,33,FALSE)</f>
        <v>科技</v>
      </c>
      <c r="R67" s="135" t="str">
        <f ca="1">VLOOKUP(B67,bond!B:AA,26,FALSE)</f>
        <v>應用材料</v>
      </c>
      <c r="S67" s="135" t="str">
        <f ca="1">VLOOKUP(B67,bond!B:AI,34,FALSE)</f>
        <v>AMAT</v>
      </c>
      <c r="T67" s="135" t="str">
        <f t="shared" ca="1" si="0"/>
        <v>應用材料/AMAT</v>
      </c>
      <c r="U67" s="207" t="str">
        <f ca="1">IFERROR(VLOOKUP(T67,Bond_DES!D:E,2,FALSE),VLOOKUP(S67,bond!AI:AJ,2,FALSE))</f>
        <v>應用材料公司(Applied Materials, Inc.)為全球領先的晶圓廠設備(WFE)製造商，主要生產半導體晶片所需的前端製程設備，產品幾乎覆蓋除了曝光機(艾司摩爾控股公司ASML的強項)以外的大部分設備，台積電、三星電子、英特爾等全球知名半導體大廠皆為其客戶。</v>
      </c>
      <c r="V67" s="136" t="str">
        <f ca="1">IFERROR(VLOOKUP(B67,'1_重設數據'!L:M,2,FALSE),IF(Q67="政府",IF(AD67&gt;16,"(NPI)非專投",IF(AD67&gt;10,"(PI)專投","高資產")),IF(VLOOKUP(B67,bond!B:AN,39,FALSE)="Y","(PI)專投",IF(AD67&gt;=15,"(NPI)非專投",IF(AD67&gt;=10,"(PI)專投","高資產")))))</f>
        <v>(NPI)非專投</v>
      </c>
      <c r="W67" s="136" t="str">
        <f ca="1">VLOOKUP(AD67,'credit rating'!$F$2:$H$22,3,FALSE)</f>
        <v>A</v>
      </c>
      <c r="X67" s="136" t="str">
        <f t="shared" ca="1" si="1"/>
        <v>A2</v>
      </c>
      <c r="Y67" s="136" t="str">
        <f t="shared" ca="1" si="2"/>
        <v>A</v>
      </c>
      <c r="Z67" s="136" t="str">
        <f t="shared" ca="1" si="3"/>
        <v>-</v>
      </c>
      <c r="AA67" s="134">
        <f ca="1">IFERROR(VLOOKUP(X67,'credit rating'!A:C,3,FALSE),0)</f>
        <v>16</v>
      </c>
      <c r="AB67" s="134">
        <f ca="1">IFERROR(VLOOKUP(Y67,'credit rating'!B:C,2,FALSE),0)</f>
        <v>16</v>
      </c>
      <c r="AC67" s="136">
        <f ca="1">IFERROR(VLOOKUP(Z67,'credit rating'!B:C,2,FALSE),0)</f>
        <v>0</v>
      </c>
      <c r="AD67" s="136">
        <f t="shared" ca="1" si="4"/>
        <v>16</v>
      </c>
      <c r="AE67" s="249">
        <f ca="1">IFERROR(VLOOKUP(B67,bond!B:U,20,FALSE),"")</f>
        <v>4.2599999999999999E-2</v>
      </c>
      <c r="AF67" s="136" t="str">
        <f ca="1">IF(VLOOKUP(B67,bond!B:AK,36,FALSE)="#N/A Field Not Applicable","",VLOOKUP(B67,bond!B:AK,36,FALSE))</f>
        <v>2027/1/1</v>
      </c>
      <c r="AG67" s="136" t="str">
        <f ca="1">IF(VLOOKUP(B67,bond!B:AL,37,FALSE)="FIXED","固定",IF(VLOOKUP(B67,bond!B:AL,37,FALSE)="FLOATING","浮動",IF(VLOOKUP(B67,bond!B:AL,37,FALSE)="VARIABLE","變動",IF(VLOOKUP(B67,bond!B:AL,37,FALSE)="FLAT TRADING","不含息交易",IF(VLOOKUP(B67,bond!B:AL,37,FALSE)="ZERO COUPON","零息",VLOOKUP(B67,bond!B:AL,37,FALSE))))))</f>
        <v>固定</v>
      </c>
      <c r="AH67" s="136" t="str">
        <f>VLOOKUP(C67,'2_Check_code'!I:J,2,FALSE)</f>
        <v>美元(USD)</v>
      </c>
      <c r="AI67" s="136" t="str">
        <f t="shared" ca="1" si="5"/>
        <v>自由選清單</v>
      </c>
      <c r="AJ67" s="136">
        <f t="shared" ca="1" si="6"/>
        <v>0</v>
      </c>
      <c r="AK67" s="594" t="str">
        <f ca="1">IF(VLOOKUP(B67,bond!B:S,18,FALSE)="是","有",IF(VLOOKUP(B67,bond!B:S,18,FALSE)="NO OFFER","無","需查詢"))</f>
        <v>有</v>
      </c>
      <c r="AL67" s="136" t="str">
        <f>IF(VLOOKUP(A67,bond!F:AR,39,FALSE)="#N/A Field Not Applicable",VLOOKUP(A67,bond!F:AR,38,FALSE),IFERROR(VLOOKUP(A67,'7_發行日例外'!A:B,2,FALSE),VLOOKUP(A67,bond!F:AR,39,FALSE)))</f>
        <v>2017/3/31</v>
      </c>
      <c r="AM67" s="136" t="str">
        <f ca="1">VLOOKUP(B67,bond!B:AK,36,FALSE)</f>
        <v>2027/1/1</v>
      </c>
      <c r="AN67" s="136" t="str">
        <f ca="1">IFERROR(VLOOKUP(B67,'3_是否下架'!A:A,1,FALSE),"")</f>
        <v/>
      </c>
      <c r="AO67" s="136">
        <f ca="1">VLOOKUP(B67,bond!B:J,9,FALSE)</f>
        <v>96.54</v>
      </c>
      <c r="AP67" s="136">
        <f ca="1">VLOOKUP(B67,bond!B:V,21,FALSE)</f>
        <v>2.5676999999999999</v>
      </c>
    </row>
    <row r="68" spans="1:42">
      <c r="A68" s="141" t="str">
        <f>bond!F69</f>
        <v>US035240AL43</v>
      </c>
      <c r="B68" s="151" t="str">
        <f ca="1">IF($C$1=TRUE,bond!B69,"")</f>
        <v>XFR50</v>
      </c>
      <c r="C68" s="95" t="str">
        <f>VLOOKUP(A68,bond!F:G,2,FALSE)</f>
        <v>USD</v>
      </c>
      <c r="D68" s="142" t="str">
        <f ca="1">VLOOKUP(B68,bond!B:C,2,FALSE)</f>
        <v>安海斯-布希英博全球公司美元配息 4% 2028/4/13</v>
      </c>
      <c r="E68" s="95" t="str">
        <f ca="1">VLOOKUP(B68,bond!B:D,3,FALSE)</f>
        <v>A3 / A- / WD</v>
      </c>
      <c r="F68" s="99" t="str">
        <f ca="1">VLOOKUP(B68,bond!B:AB,27,FALSE)</f>
        <v>2028/4/13</v>
      </c>
      <c r="G68" s="90">
        <f ca="1">VLOOKUP(B68,bond!B:E,4,FALSE)</f>
        <v>3.78</v>
      </c>
      <c r="H68" s="202">
        <f ca="1">VLOOKUP(B68,bond!B:Y,24,FALSE)</f>
        <v>0.04</v>
      </c>
      <c r="I68" s="95">
        <f ca="1">VLOOKUP(B68,bond!B:Z,25,FALSE)</f>
        <v>2</v>
      </c>
      <c r="J68" s="180">
        <f ca="1">VLOOKUP(B68,bond!B:K,10,FALSE)</f>
        <v>0.87780000000000002</v>
      </c>
      <c r="K68" s="96">
        <f ca="1">VLOOKUP($B68,bond!B:S,14,FALSE)</f>
        <v>100.13</v>
      </c>
      <c r="L68" s="91" t="str">
        <f ca="1">VLOOKUP(B68,bond!B:H,7,FALSE)</f>
        <v>2024/7/2</v>
      </c>
      <c r="M68" s="144">
        <f ca="1">VLOOKUP($B68,bond!$B:$Q,16,FALSE)</f>
        <v>4.2200000000000001E-2</v>
      </c>
      <c r="N68" s="136">
        <f ca="1">VALUE(LEFT(VLOOKUP(B68,bond!B:R,17,FALSE),SEARCH(" ",VLOOKUP(B68,bond!B:R,17,FALSE),1)))</f>
        <v>10000</v>
      </c>
      <c r="O68" s="136">
        <f ca="1">VALUE(RIGHT(VLOOKUP(B68,bond!B:R,17,FALSE),LEN(VLOOKUP(B68,bond!B:R,17,FALSE))-LEN(N68)-3))</f>
        <v>1000</v>
      </c>
      <c r="P68" s="135" t="str">
        <f ca="1">VLOOKUP($B68,bond!$B:$AG,32,FALSE)</f>
        <v>2024/10/13</v>
      </c>
      <c r="Q68" s="135" t="str">
        <f ca="1">VLOOKUP($B68,bond!$B:$AH,33,FALSE)</f>
        <v>核心消費</v>
      </c>
      <c r="R68" s="135" t="str">
        <f ca="1">VLOOKUP(B68,bond!B:AA,26,FALSE)</f>
        <v>安海斯-布希英博全球公司</v>
      </c>
      <c r="S68" s="135" t="str">
        <f ca="1">VLOOKUP(B68,bond!B:AI,34,FALSE)</f>
        <v>ABIBB</v>
      </c>
      <c r="T68" s="135" t="str">
        <f t="shared" ref="T68:T131" ca="1" si="7">CONCATENATE(R68,"/",S68)</f>
        <v>安海斯-布希英博全球公司/ABIBB</v>
      </c>
      <c r="U68" s="207" t="str">
        <f ca="1">IFERROR(VLOOKUP(T68,Bond_DES!D:E,2,FALSE),VLOOKUP(S68,bond!AI:AJ,2,FALSE))</f>
        <v>安海斯-布希英博全球公司(Anheuser-Busch InBev Worldwide Inc.)從事釀酒業務。保證機構百威英博(Anheuser-Busch InBev SA/NV)是世界最大的啤酒製造商，擁有逾500個啤酒品牌，全球旗艦品牌-可樂娜及百威於全球啤酒品牌價值排名第1及第3位(Brand finance 2024)。</v>
      </c>
      <c r="V68" s="136" t="str">
        <f ca="1">IFERROR(VLOOKUP(B68,'1_重設數據'!L:M,2,FALSE),IF(Q68="政府",IF(AD68&gt;16,"(NPI)非專投",IF(AD68&gt;10,"(PI)專投","高資產")),IF(VLOOKUP(B68,bond!B:AN,39,FALSE)="Y","(PI)專投",IF(AD68&gt;=15,"(NPI)非專投",IF(AD68&gt;=10,"(PI)專投","高資產")))))</f>
        <v>(PI)專投</v>
      </c>
      <c r="W68" s="136" t="str">
        <f ca="1">VLOOKUP(AD68,'credit rating'!$F$2:$H$22,3,FALSE)</f>
        <v>A-</v>
      </c>
      <c r="X68" s="136" t="str">
        <f t="shared" ref="X68:X131" ca="1" si="8">LEFT(E68,SEARCH(" /",E68)-1)</f>
        <v>A3</v>
      </c>
      <c r="Y68" s="136" t="str">
        <f t="shared" ref="Y68:Y131" ca="1" si="9">MID(E68,LEN(X68)+4,LEN(E68)-LEN(X68)-LEN(Z68)-6)</f>
        <v>A-</v>
      </c>
      <c r="Z68" s="136" t="str">
        <f t="shared" ref="Z68:Z131" ca="1" si="10">TRIM(RIGHT(SUBSTITUTE(E68,"/ ",REPT(" ",99)),99))</f>
        <v>WD</v>
      </c>
      <c r="AA68" s="134">
        <f ca="1">IFERROR(VLOOKUP(X68,'credit rating'!A:C,3,FALSE),0)</f>
        <v>15</v>
      </c>
      <c r="AB68" s="134">
        <f ca="1">IFERROR(VLOOKUP(Y68,'credit rating'!B:C,2,FALSE),0)</f>
        <v>15</v>
      </c>
      <c r="AC68" s="136">
        <f ca="1">IFERROR(VLOOKUP(Z68,'credit rating'!B:C,2,FALSE),0)</f>
        <v>0</v>
      </c>
      <c r="AD68" s="136">
        <f t="shared" ref="AD68:AD131" ca="1" si="11">MAX(AA68:AC68)</f>
        <v>15</v>
      </c>
      <c r="AE68" s="249">
        <f ca="1">IFERROR(VLOOKUP(B68,bond!B:U,20,FALSE),"")</f>
        <v>4.2299999999999997E-2</v>
      </c>
      <c r="AF68" s="136" t="str">
        <f ca="1">IF(VLOOKUP(B68,bond!B:AK,36,FALSE)="#N/A Field Not Applicable","",VLOOKUP(B68,bond!B:AK,36,FALSE))</f>
        <v>2028/1/13</v>
      </c>
      <c r="AG68" s="136" t="str">
        <f ca="1">IF(VLOOKUP(B68,bond!B:AL,37,FALSE)="FIXED","固定",IF(VLOOKUP(B68,bond!B:AL,37,FALSE)="FLOATING","浮動",IF(VLOOKUP(B68,bond!B:AL,37,FALSE)="VARIABLE","變動",IF(VLOOKUP(B68,bond!B:AL,37,FALSE)="FLAT TRADING","不含息交易",IF(VLOOKUP(B68,bond!B:AL,37,FALSE)="ZERO COUPON","零息",VLOOKUP(B68,bond!B:AL,37,FALSE))))))</f>
        <v>固定</v>
      </c>
      <c r="AH68" s="136" t="str">
        <f>VLOOKUP(C68,'2_Check_code'!I:J,2,FALSE)</f>
        <v>美元(USD)</v>
      </c>
      <c r="AI68" s="136" t="str">
        <f t="shared" ref="AI68:AI131" ca="1" si="12">IF(AND(I68=2,C68="USD"),"自由選清單","")</f>
        <v>自由選清單</v>
      </c>
      <c r="AJ68" s="136">
        <f t="shared" ref="AJ68:AJ131" ca="1" si="13">IF(AND(I68=2,C68="USD"),0,1)</f>
        <v>0</v>
      </c>
      <c r="AK68" s="594" t="str">
        <f ca="1">IF(VLOOKUP(B68,bond!B:S,18,FALSE)="是","有",IF(VLOOKUP(B68,bond!B:S,18,FALSE)="NO OFFER","無","需查詢"))</f>
        <v>有</v>
      </c>
      <c r="AL68" s="136" t="str">
        <f>IF(VLOOKUP(A68,bond!F:AR,39,FALSE)="#N/A Field Not Applicable",VLOOKUP(A68,bond!F:AR,38,FALSE),IFERROR(VLOOKUP(A68,'7_發行日例外'!A:B,2,FALSE),VLOOKUP(A68,bond!F:AR,39,FALSE)))</f>
        <v>2018/4/4</v>
      </c>
      <c r="AM68" s="136" t="str">
        <f ca="1">VLOOKUP(B68,bond!B:AK,36,FALSE)</f>
        <v>2028/1/13</v>
      </c>
      <c r="AN68" s="136" t="str">
        <f ca="1">IFERROR(VLOOKUP(B68,'3_是否下架'!A:A,1,FALSE),"")</f>
        <v/>
      </c>
      <c r="AO68" s="136">
        <f ca="1">VLOOKUP(B68,bond!B:J,9,FALSE)</f>
        <v>97.65</v>
      </c>
      <c r="AP68" s="136">
        <f ca="1">VLOOKUP(B68,bond!B:V,21,FALSE)</f>
        <v>3.4356</v>
      </c>
    </row>
    <row r="69" spans="1:42">
      <c r="A69" s="141" t="str">
        <f>bond!F70</f>
        <v>US00287YAY59</v>
      </c>
      <c r="B69" s="151" t="str">
        <f ca="1">IF($C$1=TRUE,bond!B70,"")</f>
        <v>XFR80</v>
      </c>
      <c r="C69" s="95" t="str">
        <f>VLOOKUP(A69,bond!F:G,2,FALSE)</f>
        <v>USD</v>
      </c>
      <c r="D69" s="142" t="str">
        <f ca="1">VLOOKUP(B69,bond!B:C,2,FALSE)</f>
        <v>艾伯維藥品有限公司美元配息債券 3.2% 2026/5/14</v>
      </c>
      <c r="E69" s="95" t="str">
        <f ca="1">VLOOKUP(B69,bond!B:D,3,FALSE)</f>
        <v>A3 / A- / -</v>
      </c>
      <c r="F69" s="99" t="str">
        <f ca="1">VLOOKUP(B69,bond!B:AB,27,FALSE)</f>
        <v>2026/5/14</v>
      </c>
      <c r="G69" s="90">
        <f ca="1">VLOOKUP(B69,bond!B:E,4,FALSE)</f>
        <v>1.86</v>
      </c>
      <c r="H69" s="202">
        <f ca="1">VLOOKUP(B69,bond!B:Y,24,FALSE)</f>
        <v>3.2000000000000001E-2</v>
      </c>
      <c r="I69" s="95">
        <f ca="1">VLOOKUP(B69,bond!B:Z,25,FALSE)</f>
        <v>2</v>
      </c>
      <c r="J69" s="180">
        <f ca="1">VLOOKUP(B69,bond!B:K,10,FALSE)</f>
        <v>0.42670000000000002</v>
      </c>
      <c r="K69" s="96">
        <f ca="1">VLOOKUP($B69,bond!B:S,14,FALSE)</f>
        <v>98.17</v>
      </c>
      <c r="L69" s="91" t="str">
        <f ca="1">VLOOKUP(B69,bond!B:H,7,FALSE)</f>
        <v>2024/7/2</v>
      </c>
      <c r="M69" s="144">
        <f ca="1">VLOOKUP($B69,bond!$B:$Q,16,FALSE)</f>
        <v>4.4699999999999997E-2</v>
      </c>
      <c r="N69" s="136">
        <f ca="1">VALUE(LEFT(VLOOKUP(B69,bond!B:R,17,FALSE),SEARCH(" ",VLOOKUP(B69,bond!B:R,17,FALSE),1)))</f>
        <v>10000</v>
      </c>
      <c r="O69" s="136">
        <f ca="1">VALUE(RIGHT(VLOOKUP(B69,bond!B:R,17,FALSE),LEN(VLOOKUP(B69,bond!B:R,17,FALSE))-LEN(N69)-3))</f>
        <v>1000</v>
      </c>
      <c r="P69" s="135" t="str">
        <f ca="1">VLOOKUP($B69,bond!$B:$AG,32,FALSE)</f>
        <v>2024/11/14</v>
      </c>
      <c r="Q69" s="135" t="str">
        <f ca="1">VLOOKUP($B69,bond!$B:$AH,33,FALSE)</f>
        <v>醫療保健</v>
      </c>
      <c r="R69" s="135" t="str">
        <f ca="1">VLOOKUP(B69,bond!B:AA,26,FALSE)</f>
        <v>艾伯維公司</v>
      </c>
      <c r="S69" s="135" t="str">
        <f ca="1">VLOOKUP(B69,bond!B:AI,34,FALSE)</f>
        <v>ABBV</v>
      </c>
      <c r="T69" s="135" t="str">
        <f t="shared" ca="1" si="7"/>
        <v>艾伯維公司/ABBV</v>
      </c>
      <c r="U69" s="207" t="str">
        <f ca="1">IFERROR(VLOOKUP(T69,Bond_DES!D:E,2,FALSE),VLOOKUP(S69,bond!AI:AJ,2,FALSE))</f>
        <v>艾伯維藥品有限公司(AbbVie Inc.)是一家生物製藥公司，其第一大明星藥品即為疫前全球暢銷處方藥之首的風濕性關節炎藥物修美樂(Humira)，2020年完成收購肉毒桿菌素製造商愛力根(Allegan)，取得醫美學界最大企業的控制權。按處方藥銷售額名列全球藥企第2位(Pharm Exec 2024)、按營收名列全球藥企第5位(Fortune 2023)。</v>
      </c>
      <c r="V69" s="136" t="str">
        <f ca="1">IFERROR(VLOOKUP(B69,'1_重設數據'!L:M,2,FALSE),IF(Q69="政府",IF(AD69&gt;16,"(NPI)非專投",IF(AD69&gt;10,"(PI)專投","高資產")),IF(VLOOKUP(B69,bond!B:AN,39,FALSE)="Y","(PI)專投",IF(AD69&gt;=15,"(NPI)非專投",IF(AD69&gt;=10,"(PI)專投","高資產")))))</f>
        <v>(NPI)非專投</v>
      </c>
      <c r="W69" s="136" t="str">
        <f ca="1">VLOOKUP(AD69,'credit rating'!$F$2:$H$22,3,FALSE)</f>
        <v>A-</v>
      </c>
      <c r="X69" s="136" t="str">
        <f t="shared" ca="1" si="8"/>
        <v>A3</v>
      </c>
      <c r="Y69" s="136" t="str">
        <f t="shared" ca="1" si="9"/>
        <v>A-</v>
      </c>
      <c r="Z69" s="136" t="str">
        <f t="shared" ca="1" si="10"/>
        <v>-</v>
      </c>
      <c r="AA69" s="134">
        <f ca="1">IFERROR(VLOOKUP(X69,'credit rating'!A:C,3,FALSE),0)</f>
        <v>15</v>
      </c>
      <c r="AB69" s="134">
        <f ca="1">IFERROR(VLOOKUP(Y69,'credit rating'!B:C,2,FALSE),0)</f>
        <v>15</v>
      </c>
      <c r="AC69" s="136">
        <f ca="1">IFERROR(VLOOKUP(Z69,'credit rating'!B:C,2,FALSE),0)</f>
        <v>0</v>
      </c>
      <c r="AD69" s="136">
        <f t="shared" ca="1" si="11"/>
        <v>15</v>
      </c>
      <c r="AE69" s="249">
        <f ca="1">IFERROR(VLOOKUP(B69,bond!B:U,20,FALSE),"")</f>
        <v>4.6699999999999998E-2</v>
      </c>
      <c r="AF69" s="136" t="str">
        <f ca="1">IF(VLOOKUP(B69,bond!B:AK,36,FALSE)="#N/A Field Not Applicable","",VLOOKUP(B69,bond!B:AK,36,FALSE))</f>
        <v>2026/2/14</v>
      </c>
      <c r="AG69" s="136" t="str">
        <f ca="1">IF(VLOOKUP(B69,bond!B:AL,37,FALSE)="FIXED","固定",IF(VLOOKUP(B69,bond!B:AL,37,FALSE)="FLOATING","浮動",IF(VLOOKUP(B69,bond!B:AL,37,FALSE)="VARIABLE","變動",IF(VLOOKUP(B69,bond!B:AL,37,FALSE)="FLAT TRADING","不含息交易",IF(VLOOKUP(B69,bond!B:AL,37,FALSE)="ZERO COUPON","零息",VLOOKUP(B69,bond!B:AL,37,FALSE))))))</f>
        <v>固定</v>
      </c>
      <c r="AH69" s="136" t="str">
        <f>VLOOKUP(C69,'2_Check_code'!I:J,2,FALSE)</f>
        <v>美元(USD)</v>
      </c>
      <c r="AI69" s="136" t="str">
        <f t="shared" ca="1" si="12"/>
        <v>自由選清單</v>
      </c>
      <c r="AJ69" s="136">
        <f t="shared" ca="1" si="13"/>
        <v>0</v>
      </c>
      <c r="AK69" s="594" t="str">
        <f ca="1">IF(VLOOKUP(B69,bond!B:S,18,FALSE)="是","有",IF(VLOOKUP(B69,bond!B:S,18,FALSE)="NO OFFER","無","需查詢"))</f>
        <v>有</v>
      </c>
      <c r="AL69" s="136" t="str">
        <f>IF(VLOOKUP(A69,bond!F:AR,39,FALSE)="#N/A Field Not Applicable",VLOOKUP(A69,bond!F:AR,38,FALSE),IFERROR(VLOOKUP(A69,'7_發行日例外'!A:B,2,FALSE),VLOOKUP(A69,bond!F:AR,39,FALSE)))</f>
        <v>2016/5/12</v>
      </c>
      <c r="AM69" s="136" t="str">
        <f ca="1">VLOOKUP(B69,bond!B:AK,36,FALSE)</f>
        <v>2026/2/14</v>
      </c>
      <c r="AN69" s="136" t="str">
        <f ca="1">IFERROR(VLOOKUP(B69,'3_是否下架'!A:A,1,FALSE),"")</f>
        <v/>
      </c>
      <c r="AO69" s="136">
        <f ca="1">VLOOKUP(B69,bond!B:J,9,FALSE)</f>
        <v>96.940000000000012</v>
      </c>
      <c r="AP69" s="136">
        <f ca="1">VLOOKUP(B69,bond!B:V,21,FALSE)</f>
        <v>1.7762</v>
      </c>
    </row>
    <row r="70" spans="1:42">
      <c r="A70" s="141" t="str">
        <f>bond!F71</f>
        <v>US06738EAU91</v>
      </c>
      <c r="B70" s="151" t="str">
        <f ca="1">IF($C$1=TRUE,bond!B71,"")</f>
        <v>XFS30</v>
      </c>
      <c r="C70" s="95" t="str">
        <f>VLOOKUP(A70,bond!F:G,2,FALSE)</f>
        <v>USD</v>
      </c>
      <c r="D70" s="142" t="str">
        <f ca="1">VLOOKUP(B70,bond!B:C,2,FALSE)</f>
        <v>巴克萊集團美元配息債券 4.337% 2028/1/10</v>
      </c>
      <c r="E70" s="95" t="str">
        <f ca="1">VLOOKUP(B70,bond!B:D,3,FALSE)</f>
        <v>Baa1 / BBB+ / A</v>
      </c>
      <c r="F70" s="99" t="str">
        <f ca="1">VLOOKUP(B70,bond!B:AB,27,FALSE)</f>
        <v>2028/1/10</v>
      </c>
      <c r="G70" s="90">
        <f ca="1">VLOOKUP(B70,bond!B:E,4,FALSE)</f>
        <v>3.52</v>
      </c>
      <c r="H70" s="202">
        <f ca="1">VLOOKUP(B70,bond!B:Y,24,FALSE)</f>
        <v>4.3369999999999999E-2</v>
      </c>
      <c r="I70" s="95">
        <f ca="1">VLOOKUP(B70,bond!B:Z,25,FALSE)</f>
        <v>2</v>
      </c>
      <c r="J70" s="180">
        <f ca="1">VLOOKUP(B70,bond!B:K,10,FALSE)</f>
        <v>2.0720999999999998</v>
      </c>
      <c r="K70" s="96">
        <f ca="1">VLOOKUP($B70,bond!B:S,14,FALSE)</f>
        <v>100.3</v>
      </c>
      <c r="L70" s="91" t="str">
        <f ca="1">VLOOKUP(B70,bond!B:H,7,FALSE)</f>
        <v>2024/7/2</v>
      </c>
      <c r="M70" s="144">
        <f ca="1">VLOOKUP($B70,bond!$B:$Q,16,FALSE)</f>
        <v>4.8899999999999999E-2</v>
      </c>
      <c r="N70" s="136">
        <f ca="1">VALUE(LEFT(VLOOKUP(B70,bond!B:R,17,FALSE),SEARCH(" ",VLOOKUP(B70,bond!B:R,17,FALSE),1)))</f>
        <v>200000</v>
      </c>
      <c r="O70" s="136">
        <f ca="1">VALUE(RIGHT(VLOOKUP(B70,bond!B:R,17,FALSE),LEN(VLOOKUP(B70,bond!B:R,17,FALSE))-LEN(N70)-3))</f>
        <v>1000</v>
      </c>
      <c r="P70" s="135" t="str">
        <f ca="1">VLOOKUP($B70,bond!$B:$AG,32,FALSE)</f>
        <v>2024/7/10</v>
      </c>
      <c r="Q70" s="135" t="str">
        <f ca="1">VLOOKUP($B70,bond!$B:$AH,33,FALSE)</f>
        <v>金融</v>
      </c>
      <c r="R70" s="135" t="str">
        <f ca="1">VLOOKUP(B70,bond!B:AA,26,FALSE)</f>
        <v>巴克萊集團</v>
      </c>
      <c r="S70" s="135" t="str">
        <f ca="1">VLOOKUP(B70,bond!B:AI,34,FALSE)</f>
        <v>BACR</v>
      </c>
      <c r="T70" s="135" t="str">
        <f t="shared" ca="1" si="7"/>
        <v>巴克萊集團/BACR</v>
      </c>
      <c r="U70" s="207" t="str">
        <f ca="1">IFERROR(VLOOKUP(T70,Bond_DES!D:E,2,FALSE),VLOOKUP(S70,bond!AI:AJ,2,FALSE))</f>
        <v>巴克萊集團(Barclays PLC)為全球系統重要性銀行(G-SIBs)之一，按資產為英國第2大、全球第18大行(S&amp;P  Global 2024)，亦是一家多元化的全能銀行，提供零售和商業銀行、企業和投資銀行，以及廣泛的國際消費貸款、信用卡和支付服務。2023年營收逾8成聚焦於英國及美國。</v>
      </c>
      <c r="V70" s="136" t="str">
        <f ca="1">IFERROR(VLOOKUP(B70,'1_重設數據'!L:M,2,FALSE),IF(Q70="政府",IF(AD70&gt;16,"(NPI)非專投",IF(AD70&gt;10,"(PI)專投","高資產")),IF(VLOOKUP(B70,bond!B:AN,39,FALSE)="Y","(PI)專投",IF(AD70&gt;=15,"(NPI)非專投",IF(AD70&gt;=10,"(PI)專投","高資產")))))</f>
        <v>(PI)專投</v>
      </c>
      <c r="W70" s="136" t="str">
        <f ca="1">VLOOKUP(AD70,'credit rating'!$F$2:$H$22,3,FALSE)</f>
        <v>A</v>
      </c>
      <c r="X70" s="136" t="str">
        <f t="shared" ca="1" si="8"/>
        <v>Baa1</v>
      </c>
      <c r="Y70" s="136" t="str">
        <f t="shared" ca="1" si="9"/>
        <v>BBB+</v>
      </c>
      <c r="Z70" s="136" t="str">
        <f t="shared" ca="1" si="10"/>
        <v>A</v>
      </c>
      <c r="AA70" s="134">
        <f ca="1">IFERROR(VLOOKUP(X70,'credit rating'!A:C,3,FALSE),0)</f>
        <v>14</v>
      </c>
      <c r="AB70" s="134">
        <f ca="1">IFERROR(VLOOKUP(Y70,'credit rating'!B:C,2,FALSE),0)</f>
        <v>14</v>
      </c>
      <c r="AC70" s="136">
        <f ca="1">IFERROR(VLOOKUP(Z70,'credit rating'!B:C,2,FALSE),0)</f>
        <v>16</v>
      </c>
      <c r="AD70" s="136">
        <f t="shared" ca="1" si="11"/>
        <v>16</v>
      </c>
      <c r="AE70" s="249">
        <f ca="1">IFERROR(VLOOKUP(B70,bond!B:U,20,FALSE),"")</f>
        <v>5.0900000000000001E-2</v>
      </c>
      <c r="AF70" s="136" t="str">
        <f ca="1">IF(VLOOKUP(B70,bond!B:AK,36,FALSE)="#N/A Field Not Applicable","",VLOOKUP(B70,bond!B:AK,36,FALSE))</f>
        <v>2027/1/10</v>
      </c>
      <c r="AG70" s="136" t="str">
        <f ca="1">IF(VLOOKUP(B70,bond!B:AL,37,FALSE)="FIXED","固定",IF(VLOOKUP(B70,bond!B:AL,37,FALSE)="FLOATING","浮動",IF(VLOOKUP(B70,bond!B:AL,37,FALSE)="VARIABLE","變動",IF(VLOOKUP(B70,bond!B:AL,37,FALSE)="FLAT TRADING","不含息交易",IF(VLOOKUP(B70,bond!B:AL,37,FALSE)="ZERO COUPON","零息",VLOOKUP(B70,bond!B:AL,37,FALSE))))))</f>
        <v>固定</v>
      </c>
      <c r="AH70" s="136" t="str">
        <f>VLOOKUP(C70,'2_Check_code'!I:J,2,FALSE)</f>
        <v>美元(USD)</v>
      </c>
      <c r="AI70" s="136" t="str">
        <f t="shared" ca="1" si="12"/>
        <v>自由選清單</v>
      </c>
      <c r="AJ70" s="136">
        <f t="shared" ca="1" si="13"/>
        <v>0</v>
      </c>
      <c r="AK70" s="594" t="str">
        <f ca="1">IF(VLOOKUP(B70,bond!B:S,18,FALSE)="是","有",IF(VLOOKUP(B70,bond!B:S,18,FALSE)="NO OFFER","無","需查詢"))</f>
        <v>有</v>
      </c>
      <c r="AL70" s="136" t="str">
        <f>IF(VLOOKUP(A70,bond!F:AR,39,FALSE)="#N/A Field Not Applicable",VLOOKUP(A70,bond!F:AR,38,FALSE),IFERROR(VLOOKUP(A70,'7_發行日例外'!A:B,2,FALSE),VLOOKUP(A70,bond!F:AR,39,FALSE)))</f>
        <v>2017/1/10</v>
      </c>
      <c r="AM70" s="136" t="str">
        <f ca="1">VLOOKUP(B70,bond!B:AK,36,FALSE)</f>
        <v>2027/1/10</v>
      </c>
      <c r="AN70" s="136" t="str">
        <f ca="1">IFERROR(VLOOKUP(B70,'3_是否下架'!A:A,1,FALSE),"")</f>
        <v/>
      </c>
      <c r="AO70" s="136">
        <f ca="1">VLOOKUP(B70,bond!B:J,9,FALSE)</f>
        <v>96.73</v>
      </c>
      <c r="AP70" s="136">
        <f ca="1">VLOOKUP(B70,bond!B:V,21,FALSE)</f>
        <v>3.1496</v>
      </c>
    </row>
    <row r="71" spans="1:42">
      <c r="A71" s="141" t="str">
        <f>bond!F72</f>
        <v>US958102AM75</v>
      </c>
      <c r="B71" s="151" t="str">
        <f ca="1">IF($C$1=TRUE,bond!B72,"")</f>
        <v>XFS40 </v>
      </c>
      <c r="C71" s="95" t="str">
        <f>VLOOKUP(A71,bond!F:G,2,FALSE)</f>
        <v>USD</v>
      </c>
      <c r="D71" s="142" t="str">
        <f ca="1">VLOOKUP(B71,bond!B:C,2,FALSE)</f>
        <v>威騰電子公司美元配息債券 4.75% 2026/2/15</v>
      </c>
      <c r="E71" s="95" t="str">
        <f ca="1">VLOOKUP(B71,bond!B:D,3,FALSE)</f>
        <v>Ba2 *- / BB- *- / BB+ *-</v>
      </c>
      <c r="F71" s="99" t="str">
        <f ca="1">VLOOKUP(B71,bond!B:AB,27,FALSE)</f>
        <v>2026/2/15</v>
      </c>
      <c r="G71" s="90">
        <f ca="1">VLOOKUP(B71,bond!B:E,4,FALSE)</f>
        <v>1.62</v>
      </c>
      <c r="H71" s="202">
        <f ca="1">VLOOKUP(B71,bond!B:Y,24,FALSE)</f>
        <v>4.7500000000000001E-2</v>
      </c>
      <c r="I71" s="95">
        <f ca="1">VLOOKUP(B71,bond!B:Z,25,FALSE)</f>
        <v>2</v>
      </c>
      <c r="J71" s="180">
        <f ca="1">VLOOKUP(B71,bond!B:K,10,FALSE)</f>
        <v>1.8076000000000001</v>
      </c>
      <c r="K71" s="96">
        <f ca="1">VLOOKUP($B71,bond!B:S,14,FALSE)</f>
        <v>102.1</v>
      </c>
      <c r="L71" s="91" t="str">
        <f ca="1">VLOOKUP(B71,bond!B:H,7,FALSE)</f>
        <v>2024/7/2</v>
      </c>
      <c r="M71" s="144">
        <f ca="1">VLOOKUP($B71,bond!$B:$Q,16,FALSE)</f>
        <v>4.5600000000000002E-2</v>
      </c>
      <c r="N71" s="136">
        <f ca="1">VALUE(LEFT(VLOOKUP(B71,bond!B:R,17,FALSE),SEARCH(" ",VLOOKUP(B71,bond!B:R,17,FALSE),1)))</f>
        <v>10000</v>
      </c>
      <c r="O71" s="136">
        <f ca="1">VALUE(RIGHT(VLOOKUP(B71,bond!B:R,17,FALSE),LEN(VLOOKUP(B71,bond!B:R,17,FALSE))-LEN(N71)-3))</f>
        <v>1000</v>
      </c>
      <c r="P71" s="135" t="str">
        <f ca="1">VLOOKUP($B71,bond!$B:$AG,32,FALSE)</f>
        <v>2024/8/15</v>
      </c>
      <c r="Q71" s="135" t="str">
        <f ca="1">VLOOKUP($B71,bond!$B:$AH,33,FALSE)</f>
        <v>科技</v>
      </c>
      <c r="R71" s="135" t="str">
        <f ca="1">VLOOKUP(B71,bond!B:AA,26,FALSE)</f>
        <v>威騰電子公司</v>
      </c>
      <c r="S71" s="135" t="str">
        <f ca="1">VLOOKUP(B71,bond!B:AI,34,FALSE)</f>
        <v>WDC</v>
      </c>
      <c r="T71" s="135" t="str">
        <f t="shared" ca="1" si="7"/>
        <v>威騰電子公司/WDC</v>
      </c>
      <c r="U71" s="207" t="str">
        <f ca="1">IFERROR(VLOOKUP(T71,Bond_DES!D:E,2,FALSE),VLOOKUP(S71,bond!AI:AJ,2,FALSE))</f>
        <v>威騰電子公司(Western Digital Corporation)為硬碟及快閃記憶體的市場領導者，與希捷(Seagate)為HDD市佔前兩大廠商，提供數位內容的收集 、儲存、管理、保護和使用，包括語音與影像的解決方案，名列2023年《Fortune》美國500大企業電腦與辦公設備產業排名第5位。</v>
      </c>
      <c r="V71" s="136" t="str">
        <f ca="1">IFERROR(VLOOKUP(B71,'1_重設數據'!L:M,2,FALSE),IF(Q71="政府",IF(AD71&gt;16,"(NPI)非專投",IF(AD71&gt;10,"(PI)專投","高資產")),IF(VLOOKUP(B71,bond!B:AN,39,FALSE)="Y","(PI)專投",IF(AD71&gt;=15,"(NPI)非專投",IF(AD71&gt;=10,"(PI)專投","高資產")))))</f>
        <v>(PI)專投</v>
      </c>
      <c r="W71" s="136" t="str">
        <f ca="1">VLOOKUP(AD71,'credit rating'!$F$2:$H$22,3,FALSE)</f>
        <v>BB+</v>
      </c>
      <c r="X71" s="136" t="str">
        <f t="shared" ca="1" si="8"/>
        <v>Ba2 *-</v>
      </c>
      <c r="Y71" s="136" t="str">
        <f t="shared" ca="1" si="9"/>
        <v>BB- *-</v>
      </c>
      <c r="Z71" s="136" t="str">
        <f t="shared" ca="1" si="10"/>
        <v>BB+ *-</v>
      </c>
      <c r="AA71" s="134">
        <f ca="1">IFERROR(VLOOKUP(X71,'credit rating'!A:C,3,FALSE),0)</f>
        <v>10</v>
      </c>
      <c r="AB71" s="134">
        <f ca="1">IFERROR(VLOOKUP(Y71,'credit rating'!B:C,2,FALSE),0)</f>
        <v>9</v>
      </c>
      <c r="AC71" s="136">
        <f ca="1">IFERROR(VLOOKUP(Z71,'credit rating'!B:C,2,FALSE),0)</f>
        <v>11</v>
      </c>
      <c r="AD71" s="136">
        <f t="shared" ca="1" si="11"/>
        <v>11</v>
      </c>
      <c r="AE71" s="249">
        <f ca="1">IFERROR(VLOOKUP(B71,bond!B:U,20,FALSE),"")</f>
        <v>4.53E-2</v>
      </c>
      <c r="AF71" s="136" t="str">
        <f ca="1">IF(VLOOKUP(B71,bond!B:AK,36,FALSE)="#N/A Field Not Applicable","",VLOOKUP(B71,bond!B:AK,36,FALSE))</f>
        <v>2025/11/15</v>
      </c>
      <c r="AG71" s="136" t="str">
        <f ca="1">IF(VLOOKUP(B71,bond!B:AL,37,FALSE)="FIXED","固定",IF(VLOOKUP(B71,bond!B:AL,37,FALSE)="FLOATING","浮動",IF(VLOOKUP(B71,bond!B:AL,37,FALSE)="VARIABLE","變動",IF(VLOOKUP(B71,bond!B:AL,37,FALSE)="FLAT TRADING","不含息交易",IF(VLOOKUP(B71,bond!B:AL,37,FALSE)="ZERO COUPON","零息",VLOOKUP(B71,bond!B:AL,37,FALSE))))))</f>
        <v>固定</v>
      </c>
      <c r="AH71" s="136" t="str">
        <f>VLOOKUP(C71,'2_Check_code'!I:J,2,FALSE)</f>
        <v>美元(USD)</v>
      </c>
      <c r="AI71" s="136" t="str">
        <f t="shared" ca="1" si="12"/>
        <v>自由選清單</v>
      </c>
      <c r="AJ71" s="136">
        <f t="shared" ca="1" si="13"/>
        <v>0</v>
      </c>
      <c r="AK71" s="594" t="str">
        <f ca="1">IF(VLOOKUP(B71,bond!B:S,18,FALSE)="是","有",IF(VLOOKUP(B71,bond!B:S,18,FALSE)="NO OFFER","無","需查詢"))</f>
        <v>有</v>
      </c>
      <c r="AL71" s="136" t="str">
        <f>IF(VLOOKUP(A71,bond!F:AR,39,FALSE)="#N/A Field Not Applicable",VLOOKUP(A71,bond!F:AR,38,FALSE),IFERROR(VLOOKUP(A71,'7_發行日例外'!A:B,2,FALSE),VLOOKUP(A71,bond!F:AR,39,FALSE)))</f>
        <v>2018/2/13</v>
      </c>
      <c r="AM71" s="136" t="str">
        <f ca="1">VLOOKUP(B71,bond!B:AK,36,FALSE)</f>
        <v>2025/11/15</v>
      </c>
      <c r="AN71" s="136" t="str">
        <f ca="1">IFERROR(VLOOKUP(B71,'3_是否下架'!A:A,1,FALSE),"")</f>
        <v>XFS40 </v>
      </c>
      <c r="AO71" s="136">
        <f ca="1">VLOOKUP(B71,bond!B:J,9,FALSE)</f>
        <v>98.29</v>
      </c>
      <c r="AP71" s="136">
        <f ca="1">VLOOKUP(B71,bond!B:V,21,FALSE)</f>
        <v>1.5101</v>
      </c>
    </row>
    <row r="72" spans="1:42">
      <c r="A72" s="141" t="str">
        <f>bond!F73</f>
        <v>XS1891687300</v>
      </c>
      <c r="B72" s="151" t="str">
        <f ca="1">IF($C$1=TRUE,bond!B73,"")</f>
        <v>XFS80</v>
      </c>
      <c r="C72" s="95" t="str">
        <f>VLOOKUP(A72,bond!F:G,2,FALSE)</f>
        <v>USD</v>
      </c>
      <c r="D72" s="142" t="str">
        <f ca="1">VLOOKUP(B72,bond!B:C,2,FALSE)</f>
        <v>鴻海子公司美元配息債券 4.25% 2029/3/12</v>
      </c>
      <c r="E72" s="95" t="str">
        <f ca="1">VLOOKUP(B72,bond!B:D,3,FALSE)</f>
        <v>- / A- / -</v>
      </c>
      <c r="F72" s="99" t="str">
        <f ca="1">VLOOKUP(B72,bond!B:AB,27,FALSE)</f>
        <v>2029/3/12</v>
      </c>
      <c r="G72" s="90">
        <f ca="1">VLOOKUP(B72,bond!B:E,4,FALSE)</f>
        <v>4.6900000000000004</v>
      </c>
      <c r="H72" s="202">
        <f ca="1">VLOOKUP(B72,bond!B:Y,24,FALSE)</f>
        <v>4.2500000000000003E-2</v>
      </c>
      <c r="I72" s="95">
        <f ca="1">VLOOKUP(B72,bond!B:Z,25,FALSE)</f>
        <v>2</v>
      </c>
      <c r="J72" s="180">
        <f ca="1">VLOOKUP(B72,bond!B:K,10,FALSE)</f>
        <v>1.3104</v>
      </c>
      <c r="K72" s="96">
        <f ca="1">VLOOKUP($B72,bond!B:S,14,FALSE)</f>
        <v>100.6</v>
      </c>
      <c r="L72" s="91" t="str">
        <f ca="1">VLOOKUP(B72,bond!B:H,7,FALSE)</f>
        <v>2024/7/3</v>
      </c>
      <c r="M72" s="144">
        <f ca="1">VLOOKUP($B72,bond!$B:$Q,16,FALSE)</f>
        <v>4.4200000000000003E-2</v>
      </c>
      <c r="N72" s="136">
        <f ca="1">VALUE(LEFT(VLOOKUP(B72,bond!B:R,17,FALSE),SEARCH(" ",VLOOKUP(B72,bond!B:R,17,FALSE),1)))</f>
        <v>200000</v>
      </c>
      <c r="O72" s="136">
        <f ca="1">VALUE(RIGHT(VLOOKUP(B72,bond!B:R,17,FALSE),LEN(VLOOKUP(B72,bond!B:R,17,FALSE))-LEN(N72)-3))</f>
        <v>1000</v>
      </c>
      <c r="P72" s="135" t="str">
        <f ca="1">VLOOKUP($B72,bond!$B:$AG,32,FALSE)</f>
        <v>2024/9/12</v>
      </c>
      <c r="Q72" s="135" t="str">
        <f ca="1">VLOOKUP($B72,bond!$B:$AH,33,FALSE)</f>
        <v>工業</v>
      </c>
      <c r="R72" s="135" t="str">
        <f ca="1">VLOOKUP(B72,bond!B:AA,26,FALSE)</f>
        <v>競賽隊伍科技有限公司</v>
      </c>
      <c r="S72" s="135" t="str">
        <f ca="1">VLOOKUP(B72,bond!B:AI,34,FALSE)</f>
        <v>HONHAI</v>
      </c>
      <c r="T72" s="135" t="str">
        <f t="shared" ca="1" si="7"/>
        <v>競賽隊伍科技有限公司/HONHAI</v>
      </c>
      <c r="U72" s="207" t="str">
        <f ca="1">IFERROR(VLOOKUP(T72,Bond_DES!D:E,2,FALSE),VLOOKUP(S72,bond!AI:AJ,2,FALSE))</f>
        <v>競賽隊伍科技有限公司(Competition Team Technologies Ltd.)註冊於巴哈馬，為鴻海全資子公司。保證機構鴻海精密工業(2317 TT)於電子代工服務領域(EMS)排名全球第一，市佔超過4成，為蘋果公司主要代工廠之一，2023年按營收為台灣第一大企業，並於2023年《Forbes》全球上市公司2000強排名第116位。</v>
      </c>
      <c r="V72" s="136" t="str">
        <f ca="1">IFERROR(VLOOKUP(B72,'1_重設數據'!L:M,2,FALSE),IF(Q72="政府",IF(AD72&gt;16,"(NPI)非專投",IF(AD72&gt;10,"(PI)專投","高資產")),IF(VLOOKUP(B72,bond!B:AN,39,FALSE)="Y","(PI)專投",IF(AD72&gt;=15,"(NPI)非專投",IF(AD72&gt;=10,"(PI)專投","高資產")))))</f>
        <v>(NPI)非專投</v>
      </c>
      <c r="W72" s="136" t="str">
        <f ca="1">VLOOKUP(AD72,'credit rating'!$F$2:$H$22,3,FALSE)</f>
        <v>A-</v>
      </c>
      <c r="X72" s="136" t="str">
        <f t="shared" ca="1" si="8"/>
        <v>-</v>
      </c>
      <c r="Y72" s="136" t="str">
        <f t="shared" ca="1" si="9"/>
        <v>A-</v>
      </c>
      <c r="Z72" s="136" t="str">
        <f t="shared" ca="1" si="10"/>
        <v>-</v>
      </c>
      <c r="AA72" s="134">
        <f ca="1">IFERROR(VLOOKUP(X72,'credit rating'!A:C,3,FALSE),0)</f>
        <v>0</v>
      </c>
      <c r="AB72" s="134">
        <f ca="1">IFERROR(VLOOKUP(Y72,'credit rating'!B:C,2,FALSE),0)</f>
        <v>15</v>
      </c>
      <c r="AC72" s="136">
        <f ca="1">IFERROR(VLOOKUP(Z72,'credit rating'!B:C,2,FALSE),0)</f>
        <v>0</v>
      </c>
      <c r="AD72" s="136">
        <f t="shared" ca="1" si="11"/>
        <v>15</v>
      </c>
      <c r="AE72" s="249" t="str">
        <f ca="1">IFERROR(VLOOKUP(B72,bond!B:U,20,FALSE),"")</f>
        <v xml:space="preserve"> </v>
      </c>
      <c r="AF72" s="136" t="str">
        <f ca="1">IF(VLOOKUP(B72,bond!B:AK,36,FALSE)="#N/A Field Not Applicable","",VLOOKUP(B72,bond!B:AK,36,FALSE))</f>
        <v/>
      </c>
      <c r="AG72" s="136" t="str">
        <f ca="1">IF(VLOOKUP(B72,bond!B:AL,37,FALSE)="FIXED","固定",IF(VLOOKUP(B72,bond!B:AL,37,FALSE)="FLOATING","浮動",IF(VLOOKUP(B72,bond!B:AL,37,FALSE)="VARIABLE","變動",IF(VLOOKUP(B72,bond!B:AL,37,FALSE)="FLAT TRADING","不含息交易",IF(VLOOKUP(B72,bond!B:AL,37,FALSE)="ZERO COUPON","零息",VLOOKUP(B72,bond!B:AL,37,FALSE))))))</f>
        <v>固定</v>
      </c>
      <c r="AH72" s="136" t="str">
        <f>VLOOKUP(C72,'2_Check_code'!I:J,2,FALSE)</f>
        <v>美元(USD)</v>
      </c>
      <c r="AI72" s="136" t="str">
        <f t="shared" ca="1" si="12"/>
        <v>自由選清單</v>
      </c>
      <c r="AJ72" s="136">
        <f t="shared" ca="1" si="13"/>
        <v>0</v>
      </c>
      <c r="AK72" s="594" t="str">
        <f ca="1">IF(VLOOKUP(B72,bond!B:S,18,FALSE)="是","有",IF(VLOOKUP(B72,bond!B:S,18,FALSE)="NO OFFER","無","需查詢"))</f>
        <v>需查詢</v>
      </c>
      <c r="AL72" s="136" t="str">
        <f>IF(VLOOKUP(A72,bond!F:AR,39,FALSE)="#N/A Field Not Applicable",VLOOKUP(A72,bond!F:AR,38,FALSE),IFERROR(VLOOKUP(A72,'7_發行日例外'!A:B,2,FALSE),VLOOKUP(A72,bond!F:AR,39,FALSE)))</f>
        <v>2019/3/12</v>
      </c>
      <c r="AM72" s="136" t="str">
        <f ca="1">VLOOKUP(B72,bond!B:AK,36,FALSE)</f>
        <v>#N/A Field Not Applicable</v>
      </c>
      <c r="AN72" s="136" t="str">
        <f ca="1">IFERROR(VLOOKUP(B72,'3_是否下架'!A:A,1,FALSE),"")</f>
        <v/>
      </c>
      <c r="AO72" s="136">
        <f ca="1">VLOOKUP(B72,bond!B:J,9,FALSE)</f>
        <v>97.29</v>
      </c>
      <c r="AP72" s="136">
        <f ca="1">VLOOKUP(B72,bond!B:V,21,FALSE)</f>
        <v>4.1418999999999997</v>
      </c>
    </row>
    <row r="73" spans="1:42">
      <c r="A73" s="141" t="str">
        <f>bond!F74</f>
        <v>USU07265AF50</v>
      </c>
      <c r="B73" s="151" t="str">
        <f ca="1">IF($C$1=TRUE,bond!B74,"")</f>
        <v>XFS50</v>
      </c>
      <c r="C73" s="95" t="str">
        <f>VLOOKUP(A73,bond!F:G,2,FALSE)</f>
        <v>USD</v>
      </c>
      <c r="D73" s="142" t="str">
        <f ca="1">VLOOKUP(B73,bond!B:C,2,FALSE)</f>
        <v>拜耳金融公司美元配息債券 4.375% 2028/12/15</v>
      </c>
      <c r="E73" s="95" t="str">
        <f ca="1">VLOOKUP(B73,bond!B:D,3,FALSE)</f>
        <v>Baa2 / BBB / BBB</v>
      </c>
      <c r="F73" s="99" t="str">
        <f ca="1">VLOOKUP(B73,bond!B:AB,27,FALSE)</f>
        <v>2028/12/15</v>
      </c>
      <c r="G73" s="90">
        <f ca="1">VLOOKUP(B73,bond!B:E,4,FALSE)</f>
        <v>4.45</v>
      </c>
      <c r="H73" s="202">
        <f ca="1">VLOOKUP(B73,bond!B:Y,24,FALSE)</f>
        <v>4.3749999999999997E-2</v>
      </c>
      <c r="I73" s="95">
        <f ca="1">VLOOKUP(B73,bond!B:Z,25,FALSE)</f>
        <v>2</v>
      </c>
      <c r="J73" s="180">
        <f ca="1">VLOOKUP(B73,bond!B:K,10,FALSE)</f>
        <v>0.20660000000000001</v>
      </c>
      <c r="K73" s="96">
        <f ca="1">VLOOKUP($B73,bond!B:S,14,FALSE)</f>
        <v>96.98</v>
      </c>
      <c r="L73" s="91" t="str">
        <f ca="1">VLOOKUP(B73,bond!B:H,7,FALSE)</f>
        <v>2024/7/2</v>
      </c>
      <c r="M73" s="144">
        <f ca="1">VLOOKUP($B73,bond!$B:$Q,16,FALSE)</f>
        <v>5.1999999999999998E-2</v>
      </c>
      <c r="N73" s="136">
        <f ca="1">VALUE(LEFT(VLOOKUP(B73,bond!B:R,17,FALSE),SEARCH(" ",VLOOKUP(B73,bond!B:R,17,FALSE),1)))</f>
        <v>200000</v>
      </c>
      <c r="O73" s="136">
        <f ca="1">VALUE(RIGHT(VLOOKUP(B73,bond!B:R,17,FALSE),LEN(VLOOKUP(B73,bond!B:R,17,FALSE))-LEN(N73)-3))</f>
        <v>1000</v>
      </c>
      <c r="P73" s="135" t="str">
        <f ca="1">VLOOKUP($B73,bond!$B:$AG,32,FALSE)</f>
        <v>2024/12/15</v>
      </c>
      <c r="Q73" s="135" t="str">
        <f ca="1">VLOOKUP($B73,bond!$B:$AH,33,FALSE)</f>
        <v>醫療保健</v>
      </c>
      <c r="R73" s="135" t="str">
        <f ca="1">VLOOKUP(B73,bond!B:AA,26,FALSE)</f>
        <v>拜耳美國金融II有限責任公司</v>
      </c>
      <c r="S73" s="135" t="str">
        <f ca="1">VLOOKUP(B73,bond!B:AI,34,FALSE)</f>
        <v>BAYNGR</v>
      </c>
      <c r="T73" s="135" t="str">
        <f t="shared" ca="1" si="7"/>
        <v>拜耳美國金融II有限責任公司/BAYNGR</v>
      </c>
      <c r="U73" s="207" t="str">
        <f ca="1">IFERROR(VLOOKUP(T73,Bond_DES!D:E,2,FALSE),VLOOKUP(S73,bond!AI:AJ,2,FALSE))</f>
        <v>拜耳美國金融II有限責任公司(Bayer US Finance II LLC)為製藥公司。保證機構暨母公司拜耳(Bayer AG)歷史超過150年，主要專業領域為醫療保健與作物科學，名列2024年《Brand Finance》農業科學(Agriscience)品牌價值冠軍、2023年《Fortune》全球製藥業第6位。</v>
      </c>
      <c r="V73" s="136" t="str">
        <f ca="1">IFERROR(VLOOKUP(B73,'1_重設數據'!L:M,2,FALSE),IF(Q73="政府",IF(AD73&gt;16,"(NPI)非專投",IF(AD73&gt;10,"(PI)專投","高資產")),IF(VLOOKUP(B73,bond!B:AN,39,FALSE)="Y","(PI)專投",IF(AD73&gt;=15,"(NPI)非專投",IF(AD73&gt;=10,"(PI)專投","高資產")))))</f>
        <v>(PI)專投</v>
      </c>
      <c r="W73" s="136" t="str">
        <f ca="1">VLOOKUP(AD73,'credit rating'!$F$2:$H$22,3,FALSE)</f>
        <v>BBB</v>
      </c>
      <c r="X73" s="136" t="str">
        <f t="shared" ca="1" si="8"/>
        <v>Baa2</v>
      </c>
      <c r="Y73" s="136" t="str">
        <f t="shared" ca="1" si="9"/>
        <v>BBB</v>
      </c>
      <c r="Z73" s="136" t="str">
        <f t="shared" ca="1" si="10"/>
        <v>BBB</v>
      </c>
      <c r="AA73" s="134">
        <f ca="1">IFERROR(VLOOKUP(X73,'credit rating'!A:C,3,FALSE),0)</f>
        <v>13</v>
      </c>
      <c r="AB73" s="134">
        <f ca="1">IFERROR(VLOOKUP(Y73,'credit rating'!B:C,2,FALSE),0)</f>
        <v>13</v>
      </c>
      <c r="AC73" s="136">
        <f ca="1">IFERROR(VLOOKUP(Z73,'credit rating'!B:C,2,FALSE),0)</f>
        <v>13</v>
      </c>
      <c r="AD73" s="136">
        <f t="shared" ca="1" si="11"/>
        <v>13</v>
      </c>
      <c r="AE73" s="249">
        <f ca="1">IFERROR(VLOOKUP(B73,bond!B:U,20,FALSE),"")</f>
        <v>5.2400000000000002E-2</v>
      </c>
      <c r="AF73" s="136" t="str">
        <f ca="1">IF(VLOOKUP(B73,bond!B:AK,36,FALSE)="#N/A Field Not Applicable","",VLOOKUP(B73,bond!B:AK,36,FALSE))</f>
        <v>2028/9/15</v>
      </c>
      <c r="AG73" s="136" t="str">
        <f ca="1">IF(VLOOKUP(B73,bond!B:AL,37,FALSE)="FIXED","固定",IF(VLOOKUP(B73,bond!B:AL,37,FALSE)="FLOATING","浮動",IF(VLOOKUP(B73,bond!B:AL,37,FALSE)="VARIABLE","變動",IF(VLOOKUP(B73,bond!B:AL,37,FALSE)="FLAT TRADING","不含息交易",IF(VLOOKUP(B73,bond!B:AL,37,FALSE)="ZERO COUPON","零息",VLOOKUP(B73,bond!B:AL,37,FALSE))))))</f>
        <v>固定</v>
      </c>
      <c r="AH73" s="136" t="str">
        <f>VLOOKUP(C73,'2_Check_code'!I:J,2,FALSE)</f>
        <v>美元(USD)</v>
      </c>
      <c r="AI73" s="136" t="str">
        <f t="shared" ca="1" si="12"/>
        <v>自由選清單</v>
      </c>
      <c r="AJ73" s="136">
        <f t="shared" ca="1" si="13"/>
        <v>0</v>
      </c>
      <c r="AK73" s="594" t="str">
        <f ca="1">IF(VLOOKUP(B73,bond!B:S,18,FALSE)="是","有",IF(VLOOKUP(B73,bond!B:S,18,FALSE)="NO OFFER","無","需查詢"))</f>
        <v>有</v>
      </c>
      <c r="AL73" s="136" t="str">
        <f>IF(VLOOKUP(A73,bond!F:AR,39,FALSE)="#N/A Field Not Applicable",VLOOKUP(A73,bond!F:AR,38,FALSE),IFERROR(VLOOKUP(A73,'7_發行日例外'!A:B,2,FALSE),VLOOKUP(A73,bond!F:AR,39,FALSE)))</f>
        <v>2018/6/25</v>
      </c>
      <c r="AM73" s="136" t="str">
        <f ca="1">VLOOKUP(B73,bond!B:AK,36,FALSE)</f>
        <v>2028/9/15</v>
      </c>
      <c r="AN73" s="136" t="str">
        <f ca="1">IFERROR(VLOOKUP(B73,'3_是否下架'!A:A,1,FALSE),"")</f>
        <v/>
      </c>
      <c r="AO73" s="136">
        <f ca="1">VLOOKUP(B73,bond!B:J,9,FALSE)</f>
        <v>95.27000000000001</v>
      </c>
      <c r="AP73" s="136">
        <f ca="1">VLOOKUP(B73,bond!B:V,21,FALSE)</f>
        <v>3.9676999999999998</v>
      </c>
    </row>
    <row r="74" spans="1:42">
      <c r="A74" s="141" t="str">
        <f>bond!F75</f>
        <v>US92857WBK53</v>
      </c>
      <c r="B74" s="151" t="str">
        <f ca="1">IF($C$1=TRUE,bond!B75,"")</f>
        <v>XFS60</v>
      </c>
      <c r="C74" s="95" t="str">
        <f>VLOOKUP(A74,bond!F:G,2,FALSE)</f>
        <v>USD</v>
      </c>
      <c r="D74" s="142" t="str">
        <f ca="1">VLOOKUP(B74,bond!B:C,2,FALSE)</f>
        <v>伏得風集團美元配息債券 4.375% 2028/5/30</v>
      </c>
      <c r="E74" s="95" t="str">
        <f ca="1">VLOOKUP(B74,bond!B:D,3,FALSE)</f>
        <v>Baa2 / BBB / BBB</v>
      </c>
      <c r="F74" s="99" t="str">
        <f ca="1">VLOOKUP(B74,bond!B:AB,27,FALSE)</f>
        <v>2028/5/30</v>
      </c>
      <c r="G74" s="90">
        <f ca="1">VLOOKUP(B74,bond!B:E,4,FALSE)</f>
        <v>3.91</v>
      </c>
      <c r="H74" s="202">
        <f ca="1">VLOOKUP(B74,bond!B:Y,24,FALSE)</f>
        <v>4.3749999999999997E-2</v>
      </c>
      <c r="I74" s="95">
        <f ca="1">VLOOKUP(B74,bond!B:Z,25,FALSE)</f>
        <v>2</v>
      </c>
      <c r="J74" s="180">
        <f ca="1">VLOOKUP(B74,bond!B:K,10,FALSE)</f>
        <v>0.38890000000000002</v>
      </c>
      <c r="K74" s="96">
        <f ca="1">VLOOKUP($B74,bond!B:S,14,FALSE)</f>
        <v>100.31</v>
      </c>
      <c r="L74" s="91" t="str">
        <f ca="1">VLOOKUP(B74,bond!B:H,7,FALSE)</f>
        <v>2024/7/2</v>
      </c>
      <c r="M74" s="144">
        <f ca="1">VLOOKUP($B74,bond!$B:$Q,16,FALSE)</f>
        <v>4.3999999999999997E-2</v>
      </c>
      <c r="N74" s="136">
        <f ca="1">VALUE(LEFT(VLOOKUP(B74,bond!B:R,17,FALSE),SEARCH(" ",VLOOKUP(B74,bond!B:R,17,FALSE),1)))</f>
        <v>10000</v>
      </c>
      <c r="O74" s="136">
        <f ca="1">VALUE(RIGHT(VLOOKUP(B74,bond!B:R,17,FALSE),LEN(VLOOKUP(B74,bond!B:R,17,FALSE))-LEN(N74)-3))</f>
        <v>1000</v>
      </c>
      <c r="P74" s="135" t="str">
        <f ca="1">VLOOKUP($B74,bond!$B:$AG,32,FALSE)</f>
        <v>2024/11/30</v>
      </c>
      <c r="Q74" s="135" t="str">
        <f ca="1">VLOOKUP($B74,bond!$B:$AH,33,FALSE)</f>
        <v>通訊</v>
      </c>
      <c r="R74" s="135" t="str">
        <f ca="1">VLOOKUP(B74,bond!B:AA,26,FALSE)</f>
        <v>沃達豐集團公開有限公司</v>
      </c>
      <c r="S74" s="135" t="str">
        <f ca="1">VLOOKUP(B74,bond!B:AI,34,FALSE)</f>
        <v>VOD</v>
      </c>
      <c r="T74" s="135" t="str">
        <f t="shared" ca="1" si="7"/>
        <v>沃達豐集團公開有限公司/VOD</v>
      </c>
      <c r="U74" s="207" t="str">
        <f ca="1">IFERROR(VLOOKUP(T74,Bond_DES!D:E,2,FALSE),VLOOKUP(S74,bond!AI:AJ,2,FALSE))</f>
        <v>沃達豐集團公開有限公司(Vodafone Group PLC)為於歐洲及非洲的領導電信商，主要透過GigaKombi及One兩個品牌行銷並提供用戶電信服務，沃達豐也提供物聯網、汽車保險、公有及私有雲服務、IP傳輸等企業級解決方案，名列2023《Fortune》全球電信業按營收排名第11位、2023年《Brand Finance》全球150大電信品牌價值排行第10位。</v>
      </c>
      <c r="V74" s="136" t="str">
        <f ca="1">IFERROR(VLOOKUP(B74,'1_重設數據'!L:M,2,FALSE),IF(Q74="政府",IF(AD74&gt;16,"(NPI)非專投",IF(AD74&gt;10,"(PI)專投","高資產")),IF(VLOOKUP(B74,bond!B:AN,39,FALSE)="Y","(PI)專投",IF(AD74&gt;=15,"(NPI)非專投",IF(AD74&gt;=10,"(PI)專投","高資產")))))</f>
        <v>(PI)專投</v>
      </c>
      <c r="W74" s="136" t="str">
        <f ca="1">VLOOKUP(AD74,'credit rating'!$F$2:$H$22,3,FALSE)</f>
        <v>BBB</v>
      </c>
      <c r="X74" s="136" t="str">
        <f t="shared" ca="1" si="8"/>
        <v>Baa2</v>
      </c>
      <c r="Y74" s="136" t="str">
        <f t="shared" ca="1" si="9"/>
        <v>BBB</v>
      </c>
      <c r="Z74" s="136" t="str">
        <f t="shared" ca="1" si="10"/>
        <v>BBB</v>
      </c>
      <c r="AA74" s="134">
        <f ca="1">IFERROR(VLOOKUP(X74,'credit rating'!A:C,3,FALSE),0)</f>
        <v>13</v>
      </c>
      <c r="AB74" s="134">
        <f ca="1">IFERROR(VLOOKUP(Y74,'credit rating'!B:C,2,FALSE),0)</f>
        <v>13</v>
      </c>
      <c r="AC74" s="136">
        <f ca="1">IFERROR(VLOOKUP(Z74,'credit rating'!B:C,2,FALSE),0)</f>
        <v>13</v>
      </c>
      <c r="AD74" s="136">
        <f t="shared" ca="1" si="11"/>
        <v>13</v>
      </c>
      <c r="AE74" s="249" t="str">
        <f ca="1">IFERROR(VLOOKUP(B74,bond!B:U,20,FALSE),"")</f>
        <v xml:space="preserve"> </v>
      </c>
      <c r="AF74" s="136" t="str">
        <f ca="1">IF(VLOOKUP(B74,bond!B:AK,36,FALSE)="#N/A Field Not Applicable","",VLOOKUP(B74,bond!B:AK,36,FALSE))</f>
        <v/>
      </c>
      <c r="AG74" s="136" t="str">
        <f ca="1">IF(VLOOKUP(B74,bond!B:AL,37,FALSE)="FIXED","固定",IF(VLOOKUP(B74,bond!B:AL,37,FALSE)="FLOATING","浮動",IF(VLOOKUP(B74,bond!B:AL,37,FALSE)="VARIABLE","變動",IF(VLOOKUP(B74,bond!B:AL,37,FALSE)="FLAT TRADING","不含息交易",IF(VLOOKUP(B74,bond!B:AL,37,FALSE)="ZERO COUPON","零息",VLOOKUP(B74,bond!B:AL,37,FALSE))))))</f>
        <v>固定</v>
      </c>
      <c r="AH74" s="136" t="str">
        <f>VLOOKUP(C74,'2_Check_code'!I:J,2,FALSE)</f>
        <v>美元(USD)</v>
      </c>
      <c r="AI74" s="136" t="str">
        <f t="shared" ca="1" si="12"/>
        <v>自由選清單</v>
      </c>
      <c r="AJ74" s="136">
        <f t="shared" ca="1" si="13"/>
        <v>0</v>
      </c>
      <c r="AK74" s="594" t="str">
        <f ca="1">IF(VLOOKUP(B74,bond!B:S,18,FALSE)="是","有",IF(VLOOKUP(B74,bond!B:S,18,FALSE)="NO OFFER","無","需查詢"))</f>
        <v>需查詢</v>
      </c>
      <c r="AL74" s="136" t="str">
        <f>IF(VLOOKUP(A74,bond!F:AR,39,FALSE)="#N/A Field Not Applicable",VLOOKUP(A74,bond!F:AR,38,FALSE),IFERROR(VLOOKUP(A74,'7_發行日例外'!A:B,2,FALSE),VLOOKUP(A74,bond!F:AR,39,FALSE)))</f>
        <v>2018/5/30</v>
      </c>
      <c r="AM74" s="136" t="str">
        <f ca="1">VLOOKUP(B74,bond!B:AK,36,FALSE)</f>
        <v>#N/A Field Not Applicable</v>
      </c>
      <c r="AN74" s="136" t="str">
        <f ca="1">IFERROR(VLOOKUP(B74,'3_是否下架'!A:A,1,FALSE),"")</f>
        <v/>
      </c>
      <c r="AO74" s="136">
        <f ca="1">VLOOKUP(B74,bond!B:J,9,FALSE)</f>
        <v>98.42</v>
      </c>
      <c r="AP74" s="136">
        <f ca="1">VLOOKUP(B74,bond!B:V,21,FALSE)</f>
        <v>3.5390000000000001</v>
      </c>
    </row>
    <row r="75" spans="1:42">
      <c r="A75" s="141" t="str">
        <f>bond!F76</f>
        <v>XS1982113463</v>
      </c>
      <c r="B75" s="151" t="str">
        <f ca="1">IF($C$1=TRUE,bond!B76,"")</f>
        <v>XFS90</v>
      </c>
      <c r="C75" s="95" t="str">
        <f>VLOOKUP(A75,bond!F:G,2,FALSE)</f>
        <v>USD</v>
      </c>
      <c r="D75" s="142" t="str">
        <f ca="1">VLOOKUP(B75,bond!B:C,2,FALSE)</f>
        <v>沙烏地阿拉伯石油公司美元配息債券 4.25% 2039/4/16</v>
      </c>
      <c r="E75" s="95" t="str">
        <f ca="1">VLOOKUP(B75,bond!B:D,3,FALSE)</f>
        <v>A1 / - / A+</v>
      </c>
      <c r="F75" s="99" t="str">
        <f ca="1">VLOOKUP(B75,bond!B:AB,27,FALSE)</f>
        <v>2039/4/16</v>
      </c>
      <c r="G75" s="90">
        <f ca="1">VLOOKUP(B75,bond!B:E,4,FALSE)</f>
        <v>14.78</v>
      </c>
      <c r="H75" s="202">
        <f ca="1">VLOOKUP(B75,bond!B:Y,24,FALSE)</f>
        <v>4.2500000000000003E-2</v>
      </c>
      <c r="I75" s="95">
        <f ca="1">VLOOKUP(B75,bond!B:Z,25,FALSE)</f>
        <v>2</v>
      </c>
      <c r="J75" s="180">
        <f ca="1">VLOOKUP(B75,bond!B:K,10,FALSE)</f>
        <v>0.90900000000000003</v>
      </c>
      <c r="K75" s="96">
        <f ca="1">VLOOKUP($B75,bond!B:S,14,FALSE)</f>
        <v>91.64</v>
      </c>
      <c r="L75" s="91" t="str">
        <f ca="1">VLOOKUP(B75,bond!B:H,7,FALSE)</f>
        <v>2024/7/3</v>
      </c>
      <c r="M75" s="144">
        <f ca="1">VLOOKUP($B75,bond!$B:$Q,16,FALSE)</f>
        <v>5.1499999999999997E-2</v>
      </c>
      <c r="N75" s="136">
        <f ca="1">VALUE(LEFT(VLOOKUP(B75,bond!B:R,17,FALSE),SEARCH(" ",VLOOKUP(B75,bond!B:R,17,FALSE),1)))</f>
        <v>200000</v>
      </c>
      <c r="O75" s="136">
        <f ca="1">VALUE(RIGHT(VLOOKUP(B75,bond!B:R,17,FALSE),LEN(VLOOKUP(B75,bond!B:R,17,FALSE))-LEN(N75)-3))</f>
        <v>1000</v>
      </c>
      <c r="P75" s="135" t="str">
        <f ca="1">VLOOKUP($B75,bond!$B:$AG,32,FALSE)</f>
        <v>2024/10/16</v>
      </c>
      <c r="Q75" s="135" t="str">
        <f ca="1">VLOOKUP($B75,bond!$B:$AH,33,FALSE)</f>
        <v>能源</v>
      </c>
      <c r="R75" s="135" t="str">
        <f ca="1">VLOOKUP(B75,bond!B:AA,26,FALSE)</f>
        <v>沙烏地阿拉伯國家石油公司</v>
      </c>
      <c r="S75" s="135" t="str">
        <f ca="1">VLOOKUP(B75,bond!B:AI,34,FALSE)</f>
        <v>ARAMCO</v>
      </c>
      <c r="T75" s="135" t="str">
        <f t="shared" ca="1" si="7"/>
        <v>沙烏地阿拉伯國家石油公司/ARAMCO</v>
      </c>
      <c r="U75" s="207" t="str">
        <f ca="1">IFERROR(VLOOKUP(T75,Bond_DES!D:E,2,FALSE),VLOOKUP(S75,bond!AI:AJ,2,FALSE))</f>
        <v>沙烏地阿拉伯石油公司(Saudi Arabian Oil Company) 逾90%股權由國家持有，為全球營收最高、市值最高且獲利最豐的原油與天然氣整合公司，已探明原油儲量位居全球第二，日產量居油企之首。2024年6月總市值為全球第6大，達1.8兆美元，為非美企業榜首。</v>
      </c>
      <c r="V75" s="136" t="str">
        <f ca="1">IFERROR(VLOOKUP(B75,'1_重設數據'!L:M,2,FALSE),IF(Q75="政府",IF(AD75&gt;16,"(NPI)非專投",IF(AD75&gt;10,"(PI)專投","高資產")),IF(VLOOKUP(B75,bond!B:AN,39,FALSE)="Y","(PI)專投",IF(AD75&gt;=15,"(NPI)非專投",IF(AD75&gt;=10,"(PI)專投","高資產")))))</f>
        <v>(NPI)非專投</v>
      </c>
      <c r="W75" s="136" t="str">
        <f ca="1">VLOOKUP(AD75,'credit rating'!$F$2:$H$22,3,FALSE)</f>
        <v>A+</v>
      </c>
      <c r="X75" s="136" t="str">
        <f t="shared" ca="1" si="8"/>
        <v>A1</v>
      </c>
      <c r="Y75" s="136" t="str">
        <f t="shared" ca="1" si="9"/>
        <v>-</v>
      </c>
      <c r="Z75" s="136" t="str">
        <f t="shared" ca="1" si="10"/>
        <v>A+</v>
      </c>
      <c r="AA75" s="134">
        <f ca="1">IFERROR(VLOOKUP(X75,'credit rating'!A:C,3,FALSE),0)</f>
        <v>17</v>
      </c>
      <c r="AB75" s="134">
        <f ca="1">IFERROR(VLOOKUP(Y75,'credit rating'!B:C,2,FALSE),0)</f>
        <v>0</v>
      </c>
      <c r="AC75" s="136">
        <f ca="1">IFERROR(VLOOKUP(Z75,'credit rating'!B:C,2,FALSE),0)</f>
        <v>17</v>
      </c>
      <c r="AD75" s="136">
        <f t="shared" ca="1" si="11"/>
        <v>17</v>
      </c>
      <c r="AE75" s="249" t="str">
        <f ca="1">IFERROR(VLOOKUP(B75,bond!B:U,20,FALSE),"")</f>
        <v xml:space="preserve"> </v>
      </c>
      <c r="AF75" s="136" t="str">
        <f ca="1">IF(VLOOKUP(B75,bond!B:AK,36,FALSE)="#N/A Field Not Applicable","",VLOOKUP(B75,bond!B:AK,36,FALSE))</f>
        <v/>
      </c>
      <c r="AG75" s="136" t="str">
        <f ca="1">IF(VLOOKUP(B75,bond!B:AL,37,FALSE)="FIXED","固定",IF(VLOOKUP(B75,bond!B:AL,37,FALSE)="FLOATING","浮動",IF(VLOOKUP(B75,bond!B:AL,37,FALSE)="VARIABLE","變動",IF(VLOOKUP(B75,bond!B:AL,37,FALSE)="FLAT TRADING","不含息交易",IF(VLOOKUP(B75,bond!B:AL,37,FALSE)="ZERO COUPON","零息",VLOOKUP(B75,bond!B:AL,37,FALSE))))))</f>
        <v>固定</v>
      </c>
      <c r="AH75" s="136" t="str">
        <f>VLOOKUP(C75,'2_Check_code'!I:J,2,FALSE)</f>
        <v>美元(USD)</v>
      </c>
      <c r="AI75" s="136" t="str">
        <f t="shared" ca="1" si="12"/>
        <v>自由選清單</v>
      </c>
      <c r="AJ75" s="136">
        <f t="shared" ca="1" si="13"/>
        <v>0</v>
      </c>
      <c r="AK75" s="594" t="str">
        <f ca="1">IF(VLOOKUP(B75,bond!B:S,18,FALSE)="是","有",IF(VLOOKUP(B75,bond!B:S,18,FALSE)="NO OFFER","無","需查詢"))</f>
        <v>有</v>
      </c>
      <c r="AL75" s="136" t="str">
        <f>IF(VLOOKUP(A75,bond!F:AR,39,FALSE)="#N/A Field Not Applicable",VLOOKUP(A75,bond!F:AR,38,FALSE),IFERROR(VLOOKUP(A75,'7_發行日例外'!A:B,2,FALSE),VLOOKUP(A75,bond!F:AR,39,FALSE)))</f>
        <v>2019/4/16</v>
      </c>
      <c r="AM75" s="136" t="str">
        <f ca="1">VLOOKUP(B75,bond!B:AK,36,FALSE)</f>
        <v>#N/A Field Not Applicable</v>
      </c>
      <c r="AN75" s="136" t="str">
        <f ca="1">IFERROR(VLOOKUP(B75,'3_是否下架'!A:A,1,FALSE),"")</f>
        <v/>
      </c>
      <c r="AO75" s="136">
        <f ca="1">VLOOKUP(B75,bond!B:J,9,FALSE)</f>
        <v>88.23</v>
      </c>
      <c r="AP75" s="136">
        <f ca="1">VLOOKUP(B75,bond!B:V,21,FALSE)</f>
        <v>10.4665</v>
      </c>
    </row>
    <row r="76" spans="1:42">
      <c r="A76" s="141" t="str">
        <f>bond!F77</f>
        <v>AU3CB0261402</v>
      </c>
      <c r="B76" s="151" t="str">
        <f ca="1">IF($C$1=TRUE,bond!B77,"")</f>
        <v>XFT10</v>
      </c>
      <c r="C76" s="95" t="str">
        <f>VLOOKUP(A76,bond!F:G,2,FALSE)</f>
        <v>AUD</v>
      </c>
      <c r="D76" s="142" t="str">
        <f ca="1">VLOOKUP(B76,bond!B:C,2,FALSE)</f>
        <v>麥當勞公司澳幣配息債券 3.8% 2029/3/8</v>
      </c>
      <c r="E76" s="95" t="str">
        <f ca="1">VLOOKUP(B76,bond!B:D,3,FALSE)</f>
        <v>Baa1 / BBB+ / WD</v>
      </c>
      <c r="F76" s="99" t="str">
        <f ca="1">VLOOKUP(B76,bond!B:AB,27,FALSE)</f>
        <v>2029/3/8</v>
      </c>
      <c r="G76" s="90">
        <f ca="1">VLOOKUP(B76,bond!B:E,4,FALSE)</f>
        <v>4.68</v>
      </c>
      <c r="H76" s="202">
        <f ca="1">VLOOKUP(B76,bond!B:Y,24,FALSE)</f>
        <v>3.7999999999999999E-2</v>
      </c>
      <c r="I76" s="95">
        <f ca="1">VLOOKUP(B76,bond!B:Z,25,FALSE)</f>
        <v>2</v>
      </c>
      <c r="J76" s="180">
        <f ca="1">VLOOKUP(B76,bond!B:K,10,FALSE)</f>
        <v>1.208</v>
      </c>
      <c r="K76" s="96">
        <f ca="1">VLOOKUP($B76,bond!B:S,14,FALSE)</f>
        <v>99.36</v>
      </c>
      <c r="L76" s="91" t="str">
        <f ca="1">VLOOKUP(B76,bond!B:H,7,FALSE)</f>
        <v>2024/7/3</v>
      </c>
      <c r="M76" s="144">
        <f ca="1">VLOOKUP($B76,bond!$B:$Q,16,FALSE)</f>
        <v>4.24E-2</v>
      </c>
      <c r="N76" s="136">
        <f ca="1">VALUE(LEFT(VLOOKUP(B76,bond!B:R,17,FALSE),SEARCH(" ",VLOOKUP(B76,bond!B:R,17,FALSE),1)))</f>
        <v>10000</v>
      </c>
      <c r="O76" s="136">
        <f ca="1">VALUE(RIGHT(VLOOKUP(B76,bond!B:R,17,FALSE),LEN(VLOOKUP(B76,bond!B:R,17,FALSE))-LEN(N76)-3))</f>
        <v>10000</v>
      </c>
      <c r="P76" s="135" t="str">
        <f ca="1">VLOOKUP($B76,bond!$B:$AG,32,FALSE)</f>
        <v>2024/9/8</v>
      </c>
      <c r="Q76" s="135" t="str">
        <f ca="1">VLOOKUP($B76,bond!$B:$AH,33,FALSE)</f>
        <v>非核心消費</v>
      </c>
      <c r="R76" s="135" t="str">
        <f ca="1">VLOOKUP(B76,bond!B:AA,26,FALSE)</f>
        <v>麥當勞公司</v>
      </c>
      <c r="S76" s="135" t="str">
        <f ca="1">VLOOKUP(B76,bond!B:AI,34,FALSE)</f>
        <v>MCD</v>
      </c>
      <c r="T76" s="135" t="str">
        <f t="shared" ca="1" si="7"/>
        <v>麥當勞公司/MCD</v>
      </c>
      <c r="U76" s="207" t="str">
        <f ca="1">IFERROR(VLOOKUP(T76,Bond_DES!D:E,2,FALSE),VLOOKUP(S76,bond!AI:AJ,2,FALSE))</f>
        <v>麥當勞公司(McDonald's Corporation)總部位於美國芝加哥，為全球速食連鎖餐廳巨擘，在全球餐廳產業授權加盟並經營速食餐廳，販售漢堡、薯條、炸雞、碳酸飲料、沙拉及冰品等速食，獲利來源除了食品外，還包含加盟商需付給麥當勞的租金及特許經營費。2024年《Brand Finance》全球25大餐廳品牌價值排名第2位(僅次於星巴克)。</v>
      </c>
      <c r="V76" s="136" t="str">
        <f ca="1">IFERROR(VLOOKUP(B76,'1_重設數據'!L:M,2,FALSE),IF(Q76="政府",IF(AD76&gt;16,"(NPI)非專投",IF(AD76&gt;10,"(PI)專投","高資產")),IF(VLOOKUP(B76,bond!B:AN,39,FALSE)="Y","(PI)專投",IF(AD76&gt;=15,"(NPI)非專投",IF(AD76&gt;=10,"(PI)專投","高資產")))))</f>
        <v>(PI)專投</v>
      </c>
      <c r="W76" s="136" t="str">
        <f ca="1">VLOOKUP(AD76,'credit rating'!$F$2:$H$22,3,FALSE)</f>
        <v>BBB+</v>
      </c>
      <c r="X76" s="136" t="str">
        <f t="shared" ca="1" si="8"/>
        <v>Baa1</v>
      </c>
      <c r="Y76" s="136" t="str">
        <f t="shared" ca="1" si="9"/>
        <v>BBB+</v>
      </c>
      <c r="Z76" s="136" t="str">
        <f t="shared" ca="1" si="10"/>
        <v>WD</v>
      </c>
      <c r="AA76" s="134">
        <f ca="1">IFERROR(VLOOKUP(X76,'credit rating'!A:C,3,FALSE),0)</f>
        <v>14</v>
      </c>
      <c r="AB76" s="134">
        <f ca="1">IFERROR(VLOOKUP(Y76,'credit rating'!B:C,2,FALSE),0)</f>
        <v>14</v>
      </c>
      <c r="AC76" s="136">
        <f ca="1">IFERROR(VLOOKUP(Z76,'credit rating'!B:C,2,FALSE),0)</f>
        <v>0</v>
      </c>
      <c r="AD76" s="136">
        <f t="shared" ca="1" si="11"/>
        <v>14</v>
      </c>
      <c r="AE76" s="249">
        <f ca="1">IFERROR(VLOOKUP(B76,bond!B:U,20,FALSE),"")</f>
        <v>4.2599999999999999E-2</v>
      </c>
      <c r="AF76" s="136" t="str">
        <f ca="1">IF(VLOOKUP(B76,bond!B:AK,36,FALSE)="#N/A Field Not Applicable","",VLOOKUP(B76,bond!B:AK,36,FALSE))</f>
        <v>2028/12/8</v>
      </c>
      <c r="AG76" s="136" t="str">
        <f ca="1">IF(VLOOKUP(B76,bond!B:AL,37,FALSE)="FIXED","固定",IF(VLOOKUP(B76,bond!B:AL,37,FALSE)="FLOATING","浮動",IF(VLOOKUP(B76,bond!B:AL,37,FALSE)="VARIABLE","變動",IF(VLOOKUP(B76,bond!B:AL,37,FALSE)="FLAT TRADING","不含息交易",IF(VLOOKUP(B76,bond!B:AL,37,FALSE)="ZERO COUPON","零息",VLOOKUP(B76,bond!B:AL,37,FALSE))))))</f>
        <v>固定</v>
      </c>
      <c r="AH76" s="136" t="str">
        <f>VLOOKUP(C76,'2_Check_code'!I:J,2,FALSE)</f>
        <v>澳幣(AUD)</v>
      </c>
      <c r="AI76" s="136" t="str">
        <f t="shared" ca="1" si="12"/>
        <v/>
      </c>
      <c r="AJ76" s="136">
        <f t="shared" ca="1" si="13"/>
        <v>1</v>
      </c>
      <c r="AK76" s="594" t="str">
        <f ca="1">IF(VLOOKUP(B76,bond!B:S,18,FALSE)="是","有",IF(VLOOKUP(B76,bond!B:S,18,FALSE)="NO OFFER","無","需查詢"))</f>
        <v>需查詢</v>
      </c>
      <c r="AL76" s="136" t="str">
        <f>IF(VLOOKUP(A76,bond!F:AR,39,FALSE)="#N/A Field Not Applicable",VLOOKUP(A76,bond!F:AR,38,FALSE),IFERROR(VLOOKUP(A76,'7_發行日例外'!A:B,2,FALSE),VLOOKUP(A76,bond!F:AR,39,FALSE)))</f>
        <v>2019/3/8</v>
      </c>
      <c r="AM76" s="136" t="str">
        <f ca="1">VLOOKUP(B76,bond!B:AK,36,FALSE)</f>
        <v>2028/12/8</v>
      </c>
      <c r="AN76" s="136" t="str">
        <f ca="1">IFERROR(VLOOKUP(B76,'3_是否下架'!A:A,1,FALSE),"")</f>
        <v/>
      </c>
      <c r="AO76" s="136">
        <f ca="1">VLOOKUP(B76,bond!B:J,9,FALSE)</f>
        <v>96.15</v>
      </c>
      <c r="AP76" s="136">
        <f ca="1">VLOOKUP(B76,bond!B:V,21,FALSE)</f>
        <v>4.1738999999999997</v>
      </c>
    </row>
    <row r="77" spans="1:42">
      <c r="A77" s="141" t="str">
        <f>bond!F78</f>
        <v>AU3CB0256915</v>
      </c>
      <c r="B77" s="151" t="str">
        <f ca="1">IF($C$1=TRUE,bond!B78,"")</f>
        <v>XFT50</v>
      </c>
      <c r="C77" s="95" t="str">
        <f>VLOOKUP(A77,bond!F:G,2,FALSE)</f>
        <v>AUD</v>
      </c>
      <c r="D77" s="142" t="str">
        <f ca="1">VLOOKUP(B77,bond!B:C,2,FALSE)</f>
        <v>AT&amp;T公司澳幣配息債券 4.6% 2028/9/19</v>
      </c>
      <c r="E77" s="95" t="str">
        <f ca="1">VLOOKUP(B77,bond!B:D,3,FALSE)</f>
        <v>Baa2 / BBB / BBB+</v>
      </c>
      <c r="F77" s="99" t="str">
        <f ca="1">VLOOKUP(B77,bond!B:AB,27,FALSE)</f>
        <v>2028/9/19</v>
      </c>
      <c r="G77" s="90">
        <f ca="1">VLOOKUP(B77,bond!B:E,4,FALSE)</f>
        <v>4.21</v>
      </c>
      <c r="H77" s="202">
        <f ca="1">VLOOKUP(B77,bond!B:Y,24,FALSE)</f>
        <v>4.5999999999999999E-2</v>
      </c>
      <c r="I77" s="95">
        <f ca="1">VLOOKUP(B77,bond!B:Z,25,FALSE)</f>
        <v>2</v>
      </c>
      <c r="J77" s="180">
        <f ca="1">VLOOKUP(B77,bond!B:K,10,FALSE)</f>
        <v>1.325</v>
      </c>
      <c r="K77" s="96">
        <f ca="1">VLOOKUP($B77,bond!B:S,14,FALSE)</f>
        <v>101.71</v>
      </c>
      <c r="L77" s="91" t="str">
        <f ca="1">VLOOKUP(B77,bond!B:H,7,FALSE)</f>
        <v>2024/7/3</v>
      </c>
      <c r="M77" s="144">
        <f ca="1">VLOOKUP($B77,bond!$B:$Q,16,FALSE)</f>
        <v>4.4999999999999998E-2</v>
      </c>
      <c r="N77" s="136">
        <f ca="1">VALUE(LEFT(VLOOKUP(B77,bond!B:R,17,FALSE),SEARCH(" ",VLOOKUP(B77,bond!B:R,17,FALSE),1)))</f>
        <v>10000</v>
      </c>
      <c r="O77" s="136">
        <f ca="1">VALUE(RIGHT(VLOOKUP(B77,bond!B:R,17,FALSE),LEN(VLOOKUP(B77,bond!B:R,17,FALSE))-LEN(N77)-3))</f>
        <v>10000</v>
      </c>
      <c r="P77" s="135" t="str">
        <f ca="1">VLOOKUP($B77,bond!$B:$AG,32,FALSE)</f>
        <v>2024/9/19</v>
      </c>
      <c r="Q77" s="135" t="str">
        <f ca="1">VLOOKUP($B77,bond!$B:$AH,33,FALSE)</f>
        <v>通訊</v>
      </c>
      <c r="R77" s="135" t="str">
        <f ca="1">VLOOKUP(B77,bond!B:AA,26,FALSE)</f>
        <v>AT&amp;T公司</v>
      </c>
      <c r="S77" s="135" t="str">
        <f ca="1">VLOOKUP(B77,bond!B:AI,34,FALSE)</f>
        <v>T</v>
      </c>
      <c r="T77" s="135" t="str">
        <f t="shared" ca="1" si="7"/>
        <v>AT&amp;T公司/T</v>
      </c>
      <c r="U77" s="207" t="str">
        <f ca="1">IFERROR(VLOOKUP(T77,Bond_DES!D:E,2,FALSE),VLOOKUP(S77,bond!AI:AJ,2,FALSE))</f>
        <v>AT&amp;T公司(AT&amp;T Inc.)為美國三大電信巨頭之一，於全球電信品牌價值排名第3位(Brand Finance 2024)、美國電信業營收排名第2位(Fortune 2024)，5G網絡覆蓋美國逾3億人；為致力專注本業發展，已陸續於近年完成分拆全美最大衛星電視服務供應商DirecTV和華納媒體，徹底打造純通訊服務。</v>
      </c>
      <c r="V77" s="136" t="str">
        <f ca="1">IFERROR(VLOOKUP(B77,'1_重設數據'!L:M,2,FALSE),IF(Q77="政府",IF(AD77&gt;16,"(NPI)非專投",IF(AD77&gt;10,"(PI)專投","高資產")),IF(VLOOKUP(B77,bond!B:AN,39,FALSE)="Y","(PI)專投",IF(AD77&gt;=15,"(NPI)非專投",IF(AD77&gt;=10,"(PI)專投","高資產")))))</f>
        <v>(PI)專投</v>
      </c>
      <c r="W77" s="136" t="str">
        <f ca="1">VLOOKUP(AD77,'credit rating'!$F$2:$H$22,3,FALSE)</f>
        <v>BBB+</v>
      </c>
      <c r="X77" s="136" t="str">
        <f t="shared" ca="1" si="8"/>
        <v>Baa2</v>
      </c>
      <c r="Y77" s="136" t="str">
        <f t="shared" ca="1" si="9"/>
        <v>BBB</v>
      </c>
      <c r="Z77" s="136" t="str">
        <f t="shared" ca="1" si="10"/>
        <v>BBB+</v>
      </c>
      <c r="AA77" s="134">
        <f ca="1">IFERROR(VLOOKUP(X77,'credit rating'!A:C,3,FALSE),0)</f>
        <v>13</v>
      </c>
      <c r="AB77" s="134">
        <f ca="1">IFERROR(VLOOKUP(Y77,'credit rating'!B:C,2,FALSE),0)</f>
        <v>13</v>
      </c>
      <c r="AC77" s="136">
        <f ca="1">IFERROR(VLOOKUP(Z77,'credit rating'!B:C,2,FALSE),0)</f>
        <v>14</v>
      </c>
      <c r="AD77" s="136">
        <f t="shared" ca="1" si="11"/>
        <v>14</v>
      </c>
      <c r="AE77" s="249" t="str">
        <f ca="1">IFERROR(VLOOKUP(B77,bond!B:U,20,FALSE),"")</f>
        <v xml:space="preserve"> </v>
      </c>
      <c r="AF77" s="136" t="str">
        <f ca="1">IF(VLOOKUP(B77,bond!B:AK,36,FALSE)="#N/A Field Not Applicable","",VLOOKUP(B77,bond!B:AK,36,FALSE))</f>
        <v/>
      </c>
      <c r="AG77" s="136" t="str">
        <f ca="1">IF(VLOOKUP(B77,bond!B:AL,37,FALSE)="FIXED","固定",IF(VLOOKUP(B77,bond!B:AL,37,FALSE)="FLOATING","浮動",IF(VLOOKUP(B77,bond!B:AL,37,FALSE)="VARIABLE","變動",IF(VLOOKUP(B77,bond!B:AL,37,FALSE)="FLAT TRADING","不含息交易",IF(VLOOKUP(B77,bond!B:AL,37,FALSE)="ZERO COUPON","零息",VLOOKUP(B77,bond!B:AL,37,FALSE))))))</f>
        <v>固定</v>
      </c>
      <c r="AH77" s="136" t="str">
        <f>VLOOKUP(C77,'2_Check_code'!I:J,2,FALSE)</f>
        <v>澳幣(AUD)</v>
      </c>
      <c r="AI77" s="136" t="str">
        <f t="shared" ca="1" si="12"/>
        <v/>
      </c>
      <c r="AJ77" s="136">
        <f t="shared" ca="1" si="13"/>
        <v>1</v>
      </c>
      <c r="AK77" s="594" t="str">
        <f ca="1">IF(VLOOKUP(B77,bond!B:S,18,FALSE)="是","有",IF(VLOOKUP(B77,bond!B:S,18,FALSE)="NO OFFER","無","需查詢"))</f>
        <v>需查詢</v>
      </c>
      <c r="AL77" s="136" t="str">
        <f>IF(VLOOKUP(A77,bond!F:AR,39,FALSE)="#N/A Field Not Applicable",VLOOKUP(A77,bond!F:AR,38,FALSE),IFERROR(VLOOKUP(A77,'7_發行日例外'!A:B,2,FALSE),VLOOKUP(A77,bond!F:AR,39,FALSE)))</f>
        <v>2018/9/19</v>
      </c>
      <c r="AM77" s="136" t="str">
        <f ca="1">VLOOKUP(B77,bond!B:AK,36,FALSE)</f>
        <v>#N/A Field Not Applicable</v>
      </c>
      <c r="AN77" s="136" t="str">
        <f ca="1">IFERROR(VLOOKUP(B77,'3_是否下架'!A:A,1,FALSE),"")</f>
        <v/>
      </c>
      <c r="AO77" s="136">
        <f ca="1">VLOOKUP(B77,bond!B:J,9,FALSE)</f>
        <v>98.88000000000001</v>
      </c>
      <c r="AP77" s="136">
        <f ca="1">VLOOKUP(B77,bond!B:V,21,FALSE)</f>
        <v>3.7324999999999999</v>
      </c>
    </row>
    <row r="78" spans="1:42">
      <c r="A78" s="141" t="str">
        <f>bond!F79</f>
        <v>US404119BW86</v>
      </c>
      <c r="B78" s="151" t="str">
        <f ca="1">IF($C$1=TRUE,bond!B79,"")</f>
        <v>XFT60</v>
      </c>
      <c r="C78" s="95" t="str">
        <f>VLOOKUP(A78,bond!F:G,2,FALSE)</f>
        <v>USD</v>
      </c>
      <c r="D78" s="142" t="str">
        <f ca="1">VLOOKUP(B78,bond!B:C,2,FALSE)</f>
        <v>美國醫院公司美元配息債券 5.875% 2029/2/1</v>
      </c>
      <c r="E78" s="95" t="str">
        <f ca="1">VLOOKUP(B78,bond!B:D,3,FALSE)</f>
        <v>Baa3 / BBB- / WD</v>
      </c>
      <c r="F78" s="99" t="str">
        <f ca="1">VLOOKUP(B78,bond!B:AB,27,FALSE)</f>
        <v>2029/2/1</v>
      </c>
      <c r="G78" s="90">
        <f ca="1">VLOOKUP(B78,bond!B:E,4,FALSE)</f>
        <v>4.59</v>
      </c>
      <c r="H78" s="202">
        <f ca="1">VLOOKUP(B78,bond!B:Y,24,FALSE)</f>
        <v>5.8749999999999997E-2</v>
      </c>
      <c r="I78" s="95">
        <f ca="1">VLOOKUP(B78,bond!B:Z,25,FALSE)</f>
        <v>2</v>
      </c>
      <c r="J78" s="180">
        <f ca="1">VLOOKUP(B78,bond!B:K,10,FALSE)</f>
        <v>2.4641999999999999</v>
      </c>
      <c r="K78" s="96">
        <f ca="1">VLOOKUP($B78,bond!B:S,14,FALSE)</f>
        <v>106.69</v>
      </c>
      <c r="L78" s="91" t="str">
        <f ca="1">VLOOKUP(B78,bond!B:H,7,FALSE)</f>
        <v>2024/7/2</v>
      </c>
      <c r="M78" s="144">
        <f ca="1">VLOOKUP($B78,bond!$B:$Q,16,FALSE)</f>
        <v>4.8300000000000003E-2</v>
      </c>
      <c r="N78" s="136">
        <f ca="1">VALUE(LEFT(VLOOKUP(B78,bond!B:R,17,FALSE),SEARCH(" ",VLOOKUP(B78,bond!B:R,17,FALSE),1)))</f>
        <v>10000</v>
      </c>
      <c r="O78" s="136">
        <f ca="1">VALUE(RIGHT(VLOOKUP(B78,bond!B:R,17,FALSE),LEN(VLOOKUP(B78,bond!B:R,17,FALSE))-LEN(N78)-3))</f>
        <v>1000</v>
      </c>
      <c r="P78" s="135" t="str">
        <f ca="1">VLOOKUP($B78,bond!$B:$AG,32,FALSE)</f>
        <v>2024/8/1</v>
      </c>
      <c r="Q78" s="135" t="str">
        <f ca="1">VLOOKUP($B78,bond!$B:$AH,33,FALSE)</f>
        <v>醫療保健</v>
      </c>
      <c r="R78" s="135" t="str">
        <f ca="1">VLOOKUP(B78,bond!B:AA,26,FALSE)</f>
        <v>美國醫院公司</v>
      </c>
      <c r="S78" s="135" t="str">
        <f ca="1">VLOOKUP(B78,bond!B:AI,34,FALSE)</f>
        <v>HCA</v>
      </c>
      <c r="T78" s="135" t="str">
        <f t="shared" ca="1" si="7"/>
        <v>美國醫院公司/HCA</v>
      </c>
      <c r="U78" s="207" t="str">
        <f ca="1">IFERROR(VLOOKUP(T78,Bond_DES!D:E,2,FALSE),VLOOKUP(S78,bond!AI:AJ,2,FALSE))</f>
        <v>美國醫院公司(HCA Inc.)是HCA醫療保健公司(HCA Healthcare, Inc.)之全資子公司，經營急症照護醫院、門診設施、診所等醫療服務場所。保證機構HCA醫療保健公司於全球醫院產業營收居冠，2023年底在美國20個州和英國擁有179家醫院和和約120個獨立手術中心。2024年《Fortune》美國500強排名第61名，連續上榜逾20年。</v>
      </c>
      <c r="V78" s="136" t="str">
        <f ca="1">IFERROR(VLOOKUP(B78,'1_重設數據'!L:M,2,FALSE),IF(Q78="政府",IF(AD78&gt;16,"(NPI)非專投",IF(AD78&gt;10,"(PI)專投","高資產")),IF(VLOOKUP(B78,bond!B:AN,39,FALSE)="Y","(PI)專投",IF(AD78&gt;=15,"(NPI)非專投",IF(AD78&gt;=10,"(PI)專投","高資產")))))</f>
        <v>(PI)專投</v>
      </c>
      <c r="W78" s="136" t="str">
        <f ca="1">VLOOKUP(AD78,'credit rating'!$F$2:$H$22,3,FALSE)</f>
        <v>BBB-</v>
      </c>
      <c r="X78" s="136" t="str">
        <f t="shared" ca="1" si="8"/>
        <v>Baa3</v>
      </c>
      <c r="Y78" s="136" t="str">
        <f t="shared" ca="1" si="9"/>
        <v>BBB-</v>
      </c>
      <c r="Z78" s="136" t="str">
        <f t="shared" ca="1" si="10"/>
        <v>WD</v>
      </c>
      <c r="AA78" s="134">
        <f ca="1">IFERROR(VLOOKUP(X78,'credit rating'!A:C,3,FALSE),0)</f>
        <v>12</v>
      </c>
      <c r="AB78" s="134">
        <f ca="1">IFERROR(VLOOKUP(Y78,'credit rating'!B:C,2,FALSE),0)</f>
        <v>12</v>
      </c>
      <c r="AC78" s="136">
        <f ca="1">IFERROR(VLOOKUP(Z78,'credit rating'!B:C,2,FALSE),0)</f>
        <v>0</v>
      </c>
      <c r="AD78" s="136">
        <f t="shared" ca="1" si="11"/>
        <v>12</v>
      </c>
      <c r="AE78" s="249">
        <f ca="1">IFERROR(VLOOKUP(B78,bond!B:U,20,FALSE),"")</f>
        <v>4.7199999999999999E-2</v>
      </c>
      <c r="AF78" s="136" t="str">
        <f ca="1">IF(VLOOKUP(B78,bond!B:AK,36,FALSE)="#N/A Field Not Applicable","",VLOOKUP(B78,bond!B:AK,36,FALSE))</f>
        <v>2028/8/1</v>
      </c>
      <c r="AG78" s="136" t="str">
        <f ca="1">IF(VLOOKUP(B78,bond!B:AL,37,FALSE)="FIXED","固定",IF(VLOOKUP(B78,bond!B:AL,37,FALSE)="FLOATING","浮動",IF(VLOOKUP(B78,bond!B:AL,37,FALSE)="VARIABLE","變動",IF(VLOOKUP(B78,bond!B:AL,37,FALSE)="FLAT TRADING","不含息交易",IF(VLOOKUP(B78,bond!B:AL,37,FALSE)="ZERO COUPON","零息",VLOOKUP(B78,bond!B:AL,37,FALSE))))))</f>
        <v>固定</v>
      </c>
      <c r="AH78" s="136" t="str">
        <f>VLOOKUP(C78,'2_Check_code'!I:J,2,FALSE)</f>
        <v>美元(USD)</v>
      </c>
      <c r="AI78" s="136" t="str">
        <f t="shared" ca="1" si="12"/>
        <v>自由選清單</v>
      </c>
      <c r="AJ78" s="136">
        <f t="shared" ca="1" si="13"/>
        <v>0</v>
      </c>
      <c r="AK78" s="594" t="str">
        <f ca="1">IF(VLOOKUP(B78,bond!B:S,18,FALSE)="是","有",IF(VLOOKUP(B78,bond!B:S,18,FALSE)="NO OFFER","無","需查詢"))</f>
        <v>有</v>
      </c>
      <c r="AL78" s="136" t="str">
        <f>IF(VLOOKUP(A78,bond!F:AR,39,FALSE)="#N/A Field Not Applicable",VLOOKUP(A78,bond!F:AR,38,FALSE),IFERROR(VLOOKUP(A78,'7_發行日例外'!A:B,2,FALSE),VLOOKUP(A78,bond!F:AR,39,FALSE)))</f>
        <v>2019/1/30</v>
      </c>
      <c r="AM78" s="136" t="str">
        <f ca="1">VLOOKUP(B78,bond!B:AK,36,FALSE)</f>
        <v>2028/8/1</v>
      </c>
      <c r="AN78" s="136" t="str">
        <f ca="1">IFERROR(VLOOKUP(B78,'3_是否下架'!A:A,1,FALSE),"")</f>
        <v/>
      </c>
      <c r="AO78" s="136">
        <f ca="1">VLOOKUP(B78,bond!B:J,9,FALSE)</f>
        <v>102.23</v>
      </c>
      <c r="AP78" s="136">
        <f ca="1">VLOOKUP(B78,bond!B:V,21,FALSE)</f>
        <v>3.5190999999999999</v>
      </c>
    </row>
    <row r="79" spans="1:42">
      <c r="A79" s="141" t="str">
        <f>bond!F80</f>
        <v>US26078JAF75</v>
      </c>
      <c r="B79" s="151" t="str">
        <f ca="1">IF($C$1=TRUE,bond!B80,"")</f>
        <v>XFU10</v>
      </c>
      <c r="C79" s="95" t="str">
        <f>VLOOKUP(A79,bond!F:G,2,FALSE)</f>
        <v>USD</v>
      </c>
      <c r="D79" s="142" t="str">
        <f ca="1">VLOOKUP(B79,bond!B:C,2,FALSE)</f>
        <v>杜邦公司美元配息債券 5.419% 2048/11/15</v>
      </c>
      <c r="E79" s="95" t="str">
        <f ca="1">VLOOKUP(B79,bond!B:D,3,FALSE)</f>
        <v>Baa1 / BBB+ *- / BBB+</v>
      </c>
      <c r="F79" s="99" t="str">
        <f ca="1">VLOOKUP(B79,bond!B:AB,27,FALSE)</f>
        <v>2048/11/15</v>
      </c>
      <c r="G79" s="90">
        <f ca="1">VLOOKUP(B79,bond!B:E,4,FALSE)</f>
        <v>24.37</v>
      </c>
      <c r="H79" s="202">
        <f ca="1">VLOOKUP(B79,bond!B:Y,24,FALSE)</f>
        <v>5.4189999999999995E-2</v>
      </c>
      <c r="I79" s="95">
        <f ca="1">VLOOKUP(B79,bond!B:Z,25,FALSE)</f>
        <v>2</v>
      </c>
      <c r="J79" s="180">
        <f ca="1">VLOOKUP(B79,bond!B:K,10,FALSE)</f>
        <v>0.70750000000000002</v>
      </c>
      <c r="K79" s="96">
        <f ca="1">VLOOKUP($B79,bond!B:S,14,FALSE)</f>
        <v>108.5</v>
      </c>
      <c r="L79" s="91" t="str">
        <f ca="1">VLOOKUP(B79,bond!B:H,7,FALSE)</f>
        <v>2024/7/2</v>
      </c>
      <c r="M79" s="144">
        <f ca="1">VLOOKUP($B79,bond!$B:$Q,16,FALSE)</f>
        <v>4.87E-2</v>
      </c>
      <c r="N79" s="136">
        <f ca="1">VALUE(LEFT(VLOOKUP(B79,bond!B:R,17,FALSE),SEARCH(" ",VLOOKUP(B79,bond!B:R,17,FALSE),1)))</f>
        <v>10000</v>
      </c>
      <c r="O79" s="136">
        <f ca="1">VALUE(RIGHT(VLOOKUP(B79,bond!B:R,17,FALSE),LEN(VLOOKUP(B79,bond!B:R,17,FALSE))-LEN(N79)-3))</f>
        <v>1000</v>
      </c>
      <c r="P79" s="135" t="str">
        <f ca="1">VLOOKUP($B79,bond!$B:$AG,32,FALSE)</f>
        <v>2024/11/15</v>
      </c>
      <c r="Q79" s="135" t="str">
        <f ca="1">VLOOKUP($B79,bond!$B:$AH,33,FALSE)</f>
        <v>原物料</v>
      </c>
      <c r="R79" s="135" t="str">
        <f ca="1">VLOOKUP(B79,bond!B:AA,26,FALSE)</f>
        <v>新杜邦公司</v>
      </c>
      <c r="S79" s="135" t="str">
        <f ca="1">VLOOKUP(B79,bond!B:AI,34,FALSE)</f>
        <v>DD</v>
      </c>
      <c r="T79" s="135" t="str">
        <f t="shared" ca="1" si="7"/>
        <v>新杜邦公司/DD</v>
      </c>
      <c r="U79" s="207" t="str">
        <f ca="1">IFERROR(VLOOKUP(T79,Bond_DES!D:E,2,FALSE),VLOOKUP(S79,bond!AI:AJ,2,FALSE))</f>
        <v>新杜邦公司(DuPont de Nemours, Inc.)由陶氏化學(DOW)與杜邦(DuPont)合併而成，2019年將農業部門分拆後更為現名，產品以特種化學為主，包含黏著劑、動物營養品、生物材料、清潔技術、建築材料、纖維及生物活性劑等，且擁有多項生產專利，於2023年全球《Fortune》500大企業中的化工產業排名第6。</v>
      </c>
      <c r="V79" s="136" t="str">
        <f ca="1">IFERROR(VLOOKUP(B79,'1_重設數據'!L:M,2,FALSE),IF(Q79="政府",IF(AD79&gt;16,"(NPI)非專投",IF(AD79&gt;10,"(PI)專投","高資產")),IF(VLOOKUP(B79,bond!B:AN,39,FALSE)="Y","(PI)專投",IF(AD79&gt;=15,"(NPI)非專投",IF(AD79&gt;=10,"(PI)專投","高資產")))))</f>
        <v>(PI)專投</v>
      </c>
      <c r="W79" s="136" t="str">
        <f ca="1">VLOOKUP(AD79,'credit rating'!$F$2:$H$22,3,FALSE)</f>
        <v>BBB+</v>
      </c>
      <c r="X79" s="136" t="str">
        <f t="shared" ca="1" si="8"/>
        <v>Baa1</v>
      </c>
      <c r="Y79" s="136" t="str">
        <f t="shared" ca="1" si="9"/>
        <v>BBB+ *-</v>
      </c>
      <c r="Z79" s="136" t="str">
        <f t="shared" ca="1" si="10"/>
        <v>BBB+</v>
      </c>
      <c r="AA79" s="134">
        <f ca="1">IFERROR(VLOOKUP(X79,'credit rating'!A:C,3,FALSE),0)</f>
        <v>14</v>
      </c>
      <c r="AB79" s="134">
        <f ca="1">IFERROR(VLOOKUP(Y79,'credit rating'!B:C,2,FALSE),0)</f>
        <v>14</v>
      </c>
      <c r="AC79" s="136">
        <f ca="1">IFERROR(VLOOKUP(Z79,'credit rating'!B:C,2,FALSE),0)</f>
        <v>14</v>
      </c>
      <c r="AD79" s="136">
        <f t="shared" ca="1" si="11"/>
        <v>14</v>
      </c>
      <c r="AE79" s="249">
        <f ca="1">IFERROR(VLOOKUP(B79,bond!B:U,20,FALSE),"")</f>
        <v>4.8599999999999997E-2</v>
      </c>
      <c r="AF79" s="136" t="str">
        <f ca="1">IF(VLOOKUP(B79,bond!B:AK,36,FALSE)="#N/A Field Not Applicable","",VLOOKUP(B79,bond!B:AK,36,FALSE))</f>
        <v>2048/5/15</v>
      </c>
      <c r="AG79" s="136" t="str">
        <f ca="1">IF(VLOOKUP(B79,bond!B:AL,37,FALSE)="FIXED","固定",IF(VLOOKUP(B79,bond!B:AL,37,FALSE)="FLOATING","浮動",IF(VLOOKUP(B79,bond!B:AL,37,FALSE)="VARIABLE","變動",IF(VLOOKUP(B79,bond!B:AL,37,FALSE)="FLAT TRADING","不含息交易",IF(VLOOKUP(B79,bond!B:AL,37,FALSE)="ZERO COUPON","零息",VLOOKUP(B79,bond!B:AL,37,FALSE))))))</f>
        <v>固定</v>
      </c>
      <c r="AH79" s="136" t="str">
        <f>VLOOKUP(C79,'2_Check_code'!I:J,2,FALSE)</f>
        <v>美元(USD)</v>
      </c>
      <c r="AI79" s="136" t="str">
        <f t="shared" ca="1" si="12"/>
        <v>自由選清單</v>
      </c>
      <c r="AJ79" s="136">
        <f t="shared" ca="1" si="13"/>
        <v>0</v>
      </c>
      <c r="AK79" s="594" t="str">
        <f ca="1">IF(VLOOKUP(B79,bond!B:S,18,FALSE)="是","有",IF(VLOOKUP(B79,bond!B:S,18,FALSE)="NO OFFER","無","需查詢"))</f>
        <v>有</v>
      </c>
      <c r="AL79" s="136" t="str">
        <f>IF(VLOOKUP(A79,bond!F:AR,39,FALSE)="#N/A Field Not Applicable",VLOOKUP(A79,bond!F:AR,38,FALSE),IFERROR(VLOOKUP(A79,'7_發行日例外'!A:B,2,FALSE),VLOOKUP(A79,bond!F:AR,39,FALSE)))</f>
        <v>2018/11/28</v>
      </c>
      <c r="AM79" s="136" t="str">
        <f ca="1">VLOOKUP(B79,bond!B:AK,36,FALSE)</f>
        <v>2048/5/15</v>
      </c>
      <c r="AN79" s="136" t="str">
        <f ca="1">IFERROR(VLOOKUP(B79,'3_是否下架'!A:A,1,FALSE),"")</f>
        <v/>
      </c>
      <c r="AO79" s="136">
        <f ca="1">VLOOKUP(B79,bond!B:J,9,FALSE)</f>
        <v>104.29</v>
      </c>
      <c r="AP79" s="136">
        <f ca="1">VLOOKUP(B79,bond!B:V,21,FALSE)</f>
        <v>13.5124</v>
      </c>
    </row>
    <row r="80" spans="1:42">
      <c r="A80" s="141" t="str">
        <f>bond!F81</f>
        <v>USU1109MAB29</v>
      </c>
      <c r="B80" s="151" t="str">
        <f ca="1">IF($C$1=TRUE,bond!B81,"")</f>
        <v>XFU20</v>
      </c>
      <c r="C80" s="95" t="str">
        <f>VLOOKUP(A80,bond!F:G,2,FALSE)</f>
        <v>USD</v>
      </c>
      <c r="D80" s="142" t="str">
        <f ca="1">VLOOKUP(B80,bond!B:C,2,FALSE)</f>
        <v>博通公司美元配息債券 4.75% 2029/4/15</v>
      </c>
      <c r="E80" s="95" t="str">
        <f ca="1">VLOOKUP(B80,bond!B:D,3,FALSE)</f>
        <v>Baa3 / BBB / BBB-</v>
      </c>
      <c r="F80" s="99" t="str">
        <f ca="1">VLOOKUP(B80,bond!B:AB,27,FALSE)</f>
        <v>2029/4/15</v>
      </c>
      <c r="G80" s="90">
        <f ca="1">VLOOKUP(B80,bond!B:E,4,FALSE)</f>
        <v>4.79</v>
      </c>
      <c r="H80" s="202">
        <f ca="1">VLOOKUP(B80,bond!B:Y,24,FALSE)</f>
        <v>4.7500000000000001E-2</v>
      </c>
      <c r="I80" s="95">
        <f ca="1">VLOOKUP(B80,bond!B:Z,25,FALSE)</f>
        <v>2</v>
      </c>
      <c r="J80" s="180">
        <f ca="1">VLOOKUP(B80,bond!B:K,10,FALSE)</f>
        <v>1.016</v>
      </c>
      <c r="K80" s="96">
        <f ca="1">VLOOKUP($B80,bond!B:S,14,FALSE)</f>
        <v>102.03</v>
      </c>
      <c r="L80" s="91" t="str">
        <f ca="1">VLOOKUP(B80,bond!B:H,7,FALSE)</f>
        <v>2024/7/2</v>
      </c>
      <c r="M80" s="144">
        <f ca="1">VLOOKUP($B80,bond!$B:$Q,16,FALSE)</f>
        <v>4.5100000000000001E-2</v>
      </c>
      <c r="N80" s="136">
        <f ca="1">VALUE(LEFT(VLOOKUP(B80,bond!B:R,17,FALSE),SEARCH(" ",VLOOKUP(B80,bond!B:R,17,FALSE),1)))</f>
        <v>10000</v>
      </c>
      <c r="O80" s="136">
        <f ca="1">VALUE(RIGHT(VLOOKUP(B80,bond!B:R,17,FALSE),LEN(VLOOKUP(B80,bond!B:R,17,FALSE))-LEN(N80)-3))</f>
        <v>1000</v>
      </c>
      <c r="P80" s="135" t="str">
        <f ca="1">VLOOKUP($B80,bond!$B:$AG,32,FALSE)</f>
        <v>2024/10/15</v>
      </c>
      <c r="Q80" s="135" t="str">
        <f ca="1">VLOOKUP($B80,bond!$B:$AH,33,FALSE)</f>
        <v>科技</v>
      </c>
      <c r="R80" s="135" t="str">
        <f ca="1">VLOOKUP(B80,bond!B:AA,26,FALSE)</f>
        <v>博通公司</v>
      </c>
      <c r="S80" s="135" t="str">
        <f ca="1">VLOOKUP(B80,bond!B:AI,34,FALSE)</f>
        <v>AVGO</v>
      </c>
      <c r="T80" s="135" t="str">
        <f t="shared" ca="1" si="7"/>
        <v>博通公司/AVGO</v>
      </c>
      <c r="U80" s="207" t="str">
        <f ca="1">IFERROR(VLOOKUP(T80,Bond_DES!D:E,2,FALSE),VLOOKUP(S80,bond!AI:AJ,2,FALSE))</f>
        <v>博通公司(Broadcom Inc.)為美國半導體公司，負責晶片設計與銷售，並將生產、測試與封裝環節外包，發展歷程中透過不斷併購壯大集團實力，近年來多次蟬聯全球IC設計公司前三名榜單，與高通、輝達三強鼎立。2024年《Brand Finance》品牌價值中，博通排名全球半導體產業第6。</v>
      </c>
      <c r="V80" s="136" t="str">
        <f ca="1">IFERROR(VLOOKUP(B80,'1_重設數據'!L:M,2,FALSE),IF(Q80="政府",IF(AD80&gt;16,"(NPI)非專投",IF(AD80&gt;10,"(PI)專投","高資產")),IF(VLOOKUP(B80,bond!B:AN,39,FALSE)="Y","(PI)專投",IF(AD80&gt;=15,"(NPI)非專投",IF(AD80&gt;=10,"(PI)專投","高資產")))))</f>
        <v>(PI)專投</v>
      </c>
      <c r="W80" s="136" t="str">
        <f ca="1">VLOOKUP(AD80,'credit rating'!$F$2:$H$22,3,FALSE)</f>
        <v>BBB</v>
      </c>
      <c r="X80" s="136" t="str">
        <f t="shared" ca="1" si="8"/>
        <v>Baa3</v>
      </c>
      <c r="Y80" s="136" t="str">
        <f t="shared" ca="1" si="9"/>
        <v>BBB</v>
      </c>
      <c r="Z80" s="136" t="str">
        <f t="shared" ca="1" si="10"/>
        <v>BBB-</v>
      </c>
      <c r="AA80" s="134">
        <f ca="1">IFERROR(VLOOKUP(X80,'credit rating'!A:C,3,FALSE),0)</f>
        <v>12</v>
      </c>
      <c r="AB80" s="134">
        <f ca="1">IFERROR(VLOOKUP(Y80,'credit rating'!B:C,2,FALSE),0)</f>
        <v>13</v>
      </c>
      <c r="AC80" s="136">
        <f ca="1">IFERROR(VLOOKUP(Z80,'credit rating'!B:C,2,FALSE),0)</f>
        <v>12</v>
      </c>
      <c r="AD80" s="136">
        <f t="shared" ca="1" si="11"/>
        <v>13</v>
      </c>
      <c r="AE80" s="249">
        <f ca="1">IFERROR(VLOOKUP(B80,bond!B:U,20,FALSE),"")</f>
        <v>4.4999999999999998E-2</v>
      </c>
      <c r="AF80" s="136" t="str">
        <f ca="1">IF(VLOOKUP(B80,bond!B:AK,36,FALSE)="#N/A Field Not Applicable","",VLOOKUP(B80,bond!B:AK,36,FALSE))</f>
        <v>2029/1/15</v>
      </c>
      <c r="AG80" s="136" t="str">
        <f ca="1">IF(VLOOKUP(B80,bond!B:AL,37,FALSE)="FIXED","固定",IF(VLOOKUP(B80,bond!B:AL,37,FALSE)="FLOATING","浮動",IF(VLOOKUP(B80,bond!B:AL,37,FALSE)="VARIABLE","變動",IF(VLOOKUP(B80,bond!B:AL,37,FALSE)="FLAT TRADING","不含息交易",IF(VLOOKUP(B80,bond!B:AL,37,FALSE)="ZERO COUPON","零息",VLOOKUP(B80,bond!B:AL,37,FALSE))))))</f>
        <v>固定</v>
      </c>
      <c r="AH80" s="136" t="str">
        <f>VLOOKUP(C80,'2_Check_code'!I:J,2,FALSE)</f>
        <v>美元(USD)</v>
      </c>
      <c r="AI80" s="136" t="str">
        <f t="shared" ca="1" si="12"/>
        <v>自由選清單</v>
      </c>
      <c r="AJ80" s="136">
        <f t="shared" ca="1" si="13"/>
        <v>0</v>
      </c>
      <c r="AK80" s="594" t="str">
        <f ca="1">IF(VLOOKUP(B80,bond!B:S,18,FALSE)="是","有",IF(VLOOKUP(B80,bond!B:S,18,FALSE)="NO OFFER","無","需查詢"))</f>
        <v>需查詢</v>
      </c>
      <c r="AL80" s="136" t="str">
        <f>IF(VLOOKUP(A80,bond!F:AR,39,FALSE)="#N/A Field Not Applicable",VLOOKUP(A80,bond!F:AR,38,FALSE),IFERROR(VLOOKUP(A80,'7_發行日例外'!A:B,2,FALSE),VLOOKUP(A80,bond!F:AR,39,FALSE)))</f>
        <v>2019/4/5</v>
      </c>
      <c r="AM80" s="136" t="str">
        <f ca="1">VLOOKUP(B80,bond!B:AK,36,FALSE)</f>
        <v>2029/1/15</v>
      </c>
      <c r="AN80" s="136" t="str">
        <f ca="1">IFERROR(VLOOKUP(B80,'3_是否下架'!A:A,1,FALSE),"")</f>
        <v/>
      </c>
      <c r="AO80" s="136">
        <f ca="1">VLOOKUP(B80,bond!B:J,9,FALSE)</f>
        <v>99.01</v>
      </c>
      <c r="AP80" s="136">
        <f ca="1">VLOOKUP(B80,bond!B:V,21,FALSE)</f>
        <v>4.1940999999999997</v>
      </c>
    </row>
    <row r="81" spans="1:42">
      <c r="A81" s="141" t="str">
        <f>bond!F82</f>
        <v>US06738EAJ47</v>
      </c>
      <c r="B81" s="151" t="str">
        <f ca="1">IF($C$1=TRUE,bond!B82,"")</f>
        <v>XFU60</v>
      </c>
      <c r="C81" s="95" t="str">
        <f>VLOOKUP(A81,bond!F:G,2,FALSE)</f>
        <v>USD</v>
      </c>
      <c r="D81" s="142" t="str">
        <f ca="1">VLOOKUP(B81,bond!B:C,2,FALSE)</f>
        <v>巴克萊集團美元配息債券 5.25% 2045/8/17</v>
      </c>
      <c r="E81" s="95" t="str">
        <f ca="1">VLOOKUP(B81,bond!B:D,3,FALSE)</f>
        <v>Baa1 / BBB+ / A</v>
      </c>
      <c r="F81" s="99" t="str">
        <f ca="1">VLOOKUP(B81,bond!B:AB,27,FALSE)</f>
        <v>2045/8/17</v>
      </c>
      <c r="G81" s="90">
        <f ca="1">VLOOKUP(B81,bond!B:E,4,FALSE)</f>
        <v>21.13</v>
      </c>
      <c r="H81" s="202">
        <f ca="1">VLOOKUP(B81,bond!B:Y,24,FALSE)</f>
        <v>5.2499999999999998E-2</v>
      </c>
      <c r="I81" s="95">
        <f ca="1">VLOOKUP(B81,bond!B:Z,25,FALSE)</f>
        <v>2</v>
      </c>
      <c r="J81" s="180">
        <f ca="1">VLOOKUP(B81,bond!B:K,10,FALSE)</f>
        <v>1.9688000000000001</v>
      </c>
      <c r="K81" s="96">
        <f ca="1">VLOOKUP($B81,bond!B:S,14,FALSE)</f>
        <v>100.79</v>
      </c>
      <c r="L81" s="91" t="str">
        <f ca="1">VLOOKUP(B81,bond!B:H,7,FALSE)</f>
        <v>2024/7/2</v>
      </c>
      <c r="M81" s="144">
        <f ca="1">VLOOKUP($B81,bond!$B:$Q,16,FALSE)</f>
        <v>5.3400000000000003E-2</v>
      </c>
      <c r="N81" s="136">
        <f ca="1">VALUE(LEFT(VLOOKUP(B81,bond!B:R,17,FALSE),SEARCH(" ",VLOOKUP(B81,bond!B:R,17,FALSE),1)))</f>
        <v>200000</v>
      </c>
      <c r="O81" s="136">
        <f ca="1">VALUE(RIGHT(VLOOKUP(B81,bond!B:R,17,FALSE),LEN(VLOOKUP(B81,bond!B:R,17,FALSE))-LEN(N81)-3))</f>
        <v>1000</v>
      </c>
      <c r="P81" s="135" t="str">
        <f ca="1">VLOOKUP($B81,bond!$B:$AG,32,FALSE)</f>
        <v>2024/8/17</v>
      </c>
      <c r="Q81" s="135" t="str">
        <f ca="1">VLOOKUP($B81,bond!$B:$AH,33,FALSE)</f>
        <v>金融</v>
      </c>
      <c r="R81" s="135" t="str">
        <f ca="1">VLOOKUP(B81,bond!B:AA,26,FALSE)</f>
        <v>巴克萊集團</v>
      </c>
      <c r="S81" s="135" t="str">
        <f ca="1">VLOOKUP(B81,bond!B:AI,34,FALSE)</f>
        <v>BACR</v>
      </c>
      <c r="T81" s="135" t="str">
        <f t="shared" ca="1" si="7"/>
        <v>巴克萊集團/BACR</v>
      </c>
      <c r="U81" s="207" t="str">
        <f ca="1">IFERROR(VLOOKUP(T81,Bond_DES!D:E,2,FALSE),VLOOKUP(S81,bond!AI:AJ,2,FALSE))</f>
        <v>巴克萊集團(Barclays PLC)為全球系統重要性銀行(G-SIBs)之一，按資產為英國第2大、全球第18大行(S&amp;P  Global 2024)，亦是一家多元化的全能銀行，提供零售和商業銀行、企業和投資銀行，以及廣泛的國際消費貸款、信用卡和支付服務。2023年營收逾8成聚焦於英國及美國。</v>
      </c>
      <c r="V81" s="136" t="str">
        <f ca="1">IFERROR(VLOOKUP(B81,'1_重設數據'!L:M,2,FALSE),IF(Q81="政府",IF(AD81&gt;16,"(NPI)非專投",IF(AD81&gt;10,"(PI)專投","高資產")),IF(VLOOKUP(B81,bond!B:AN,39,FALSE)="Y","(PI)專投",IF(AD81&gt;=15,"(NPI)非專投",IF(AD81&gt;=10,"(PI)專投","高資產")))))</f>
        <v>(PI)專投</v>
      </c>
      <c r="W81" s="136" t="str">
        <f ca="1">VLOOKUP(AD81,'credit rating'!$F$2:$H$22,3,FALSE)</f>
        <v>A</v>
      </c>
      <c r="X81" s="136" t="str">
        <f t="shared" ca="1" si="8"/>
        <v>Baa1</v>
      </c>
      <c r="Y81" s="136" t="str">
        <f t="shared" ca="1" si="9"/>
        <v>BBB+</v>
      </c>
      <c r="Z81" s="136" t="str">
        <f t="shared" ca="1" si="10"/>
        <v>A</v>
      </c>
      <c r="AA81" s="134">
        <f ca="1">IFERROR(VLOOKUP(X81,'credit rating'!A:C,3,FALSE),0)</f>
        <v>14</v>
      </c>
      <c r="AB81" s="134">
        <f ca="1">IFERROR(VLOOKUP(Y81,'credit rating'!B:C,2,FALSE),0)</f>
        <v>14</v>
      </c>
      <c r="AC81" s="136">
        <f ca="1">IFERROR(VLOOKUP(Z81,'credit rating'!B:C,2,FALSE),0)</f>
        <v>16</v>
      </c>
      <c r="AD81" s="136">
        <f t="shared" ca="1" si="11"/>
        <v>16</v>
      </c>
      <c r="AE81" s="249" t="str">
        <f ca="1">IFERROR(VLOOKUP(B81,bond!B:U,20,FALSE),"")</f>
        <v xml:space="preserve"> </v>
      </c>
      <c r="AF81" s="136" t="str">
        <f ca="1">IF(VLOOKUP(B81,bond!B:AK,36,FALSE)="#N/A Field Not Applicable","",VLOOKUP(B81,bond!B:AK,36,FALSE))</f>
        <v/>
      </c>
      <c r="AG81" s="136" t="str">
        <f ca="1">IF(VLOOKUP(B81,bond!B:AL,37,FALSE)="FIXED","固定",IF(VLOOKUP(B81,bond!B:AL,37,FALSE)="FLOATING","浮動",IF(VLOOKUP(B81,bond!B:AL,37,FALSE)="VARIABLE","變動",IF(VLOOKUP(B81,bond!B:AL,37,FALSE)="FLAT TRADING","不含息交易",IF(VLOOKUP(B81,bond!B:AL,37,FALSE)="ZERO COUPON","零息",VLOOKUP(B81,bond!B:AL,37,FALSE))))))</f>
        <v>固定</v>
      </c>
      <c r="AH81" s="136" t="str">
        <f>VLOOKUP(C81,'2_Check_code'!I:J,2,FALSE)</f>
        <v>美元(USD)</v>
      </c>
      <c r="AI81" s="136" t="str">
        <f t="shared" ca="1" si="12"/>
        <v>自由選清單</v>
      </c>
      <c r="AJ81" s="136">
        <f t="shared" ca="1" si="13"/>
        <v>0</v>
      </c>
      <c r="AK81" s="594" t="str">
        <f ca="1">IF(VLOOKUP(B81,bond!B:S,18,FALSE)="是","有",IF(VLOOKUP(B81,bond!B:S,18,FALSE)="NO OFFER","無","需查詢"))</f>
        <v>有</v>
      </c>
      <c r="AL81" s="136" t="str">
        <f>IF(VLOOKUP(A81,bond!F:AR,39,FALSE)="#N/A Field Not Applicable",VLOOKUP(A81,bond!F:AR,38,FALSE),IFERROR(VLOOKUP(A81,'7_發行日例外'!A:B,2,FALSE),VLOOKUP(A81,bond!F:AR,39,FALSE)))</f>
        <v>2015/8/17</v>
      </c>
      <c r="AM81" s="136" t="str">
        <f ca="1">VLOOKUP(B81,bond!B:AK,36,FALSE)</f>
        <v>#N/A Field Not Applicable</v>
      </c>
      <c r="AN81" s="136" t="str">
        <f ca="1">IFERROR(VLOOKUP(B81,'3_是否下架'!A:A,1,FALSE),"")</f>
        <v/>
      </c>
      <c r="AO81" s="136">
        <f ca="1">VLOOKUP(B81,bond!B:J,9,FALSE)</f>
        <v>95.820000000000007</v>
      </c>
      <c r="AP81" s="136">
        <f ca="1">VLOOKUP(B81,bond!B:V,21,FALSE)</f>
        <v>12.2403</v>
      </c>
    </row>
    <row r="82" spans="1:42">
      <c r="A82" s="141" t="str">
        <f>bond!F83</f>
        <v>US87927VAV09</v>
      </c>
      <c r="B82" s="151" t="str">
        <f ca="1">IF($C$1=TRUE,bond!B83,"")</f>
        <v>XFU70</v>
      </c>
      <c r="C82" s="95" t="str">
        <f>VLOOKUP(A82,bond!F:G,2,FALSE)</f>
        <v>USD</v>
      </c>
      <c r="D82" s="142" t="str">
        <f ca="1">VLOOKUP(B82,bond!B:C,2,FALSE)</f>
        <v>義大利電信資本公司美元配息債券 7.721% 2038/6/4</v>
      </c>
      <c r="E82" s="95" t="str">
        <f ca="1">VLOOKUP(B82,bond!B:D,3,FALSE)</f>
        <v>Ba3 / B+ *+ / BB- *+</v>
      </c>
      <c r="F82" s="99" t="str">
        <f ca="1">VLOOKUP(B82,bond!B:AB,27,FALSE)</f>
        <v>2038/6/4</v>
      </c>
      <c r="G82" s="90">
        <f ca="1">VLOOKUP(B82,bond!B:E,4,FALSE)</f>
        <v>13.92</v>
      </c>
      <c r="H82" s="202">
        <f ca="1">VLOOKUP(B82,bond!B:Y,24,FALSE)</f>
        <v>7.7210000000000001E-2</v>
      </c>
      <c r="I82" s="95">
        <f ca="1">VLOOKUP(B82,bond!B:Z,25,FALSE)</f>
        <v>2</v>
      </c>
      <c r="J82" s="180">
        <f ca="1">VLOOKUP(B82,bond!B:K,10,FALSE)</f>
        <v>0.60050000000000003</v>
      </c>
      <c r="K82" s="96">
        <f ca="1">VLOOKUP($B82,bond!B:S,14,FALSE)</f>
        <v>102.29</v>
      </c>
      <c r="L82" s="91" t="str">
        <f ca="1">VLOOKUP(B82,bond!B:H,7,FALSE)</f>
        <v>2024/7/2</v>
      </c>
      <c r="M82" s="144">
        <f ca="1">VLOOKUP($B82,bond!$B:$Q,16,FALSE)</f>
        <v>7.5200000000000003E-2</v>
      </c>
      <c r="N82" s="136">
        <f ca="1">VALUE(LEFT(VLOOKUP(B82,bond!B:R,17,FALSE),SEARCH(" ",VLOOKUP(B82,bond!B:R,17,FALSE),1)))</f>
        <v>10000</v>
      </c>
      <c r="O82" s="136">
        <f ca="1">VALUE(RIGHT(VLOOKUP(B82,bond!B:R,17,FALSE),LEN(VLOOKUP(B82,bond!B:R,17,FALSE))-LEN(N82)-3))</f>
        <v>1000</v>
      </c>
      <c r="P82" s="135" t="str">
        <f ca="1">VLOOKUP($B82,bond!$B:$AG,32,FALSE)</f>
        <v>2024/12/4</v>
      </c>
      <c r="Q82" s="135" t="str">
        <f ca="1">VLOOKUP($B82,bond!$B:$AH,33,FALSE)</f>
        <v>通訊</v>
      </c>
      <c r="R82" s="135" t="str">
        <f ca="1">VLOOKUP(B82,bond!B:AA,26,FALSE)</f>
        <v>義大利電信資本公司</v>
      </c>
      <c r="S82" s="135" t="str">
        <f ca="1">VLOOKUP(B82,bond!B:AI,34,FALSE)</f>
        <v>TITIM</v>
      </c>
      <c r="T82" s="135" t="str">
        <f t="shared" ca="1" si="7"/>
        <v>義大利電信資本公司/TITIM</v>
      </c>
      <c r="U82" s="207" t="str">
        <f ca="1">IFERROR(VLOOKUP(T82,Bond_DES!D:E,2,FALSE),VLOOKUP(S82,bond!AI:AJ,2,FALSE))</f>
        <v>義大利電信資本有限責任公司(Telecom Italia Capital S.A.)提供金融服務，該公司為母公司發行債券以及其他證券。母公司及保證人為義大利電信公司，其總部位於羅馬，提供電話、移動通訊及DSL數據服務，義大利政府則透過國有銀行持有其約9.81%的股份。</v>
      </c>
      <c r="V82" s="136" t="str">
        <f ca="1">IFERROR(VLOOKUP(B82,'1_重設數據'!L:M,2,FALSE),IF(Q82="政府",IF(AD82&gt;16,"(NPI)非專投",IF(AD82&gt;10,"(PI)專投","高資產")),IF(VLOOKUP(B82,bond!B:AN,39,FALSE)="Y","(PI)專投",IF(AD82&gt;=15,"(NPI)非專投",IF(AD82&gt;=10,"(PI)專投","高資產")))))</f>
        <v>高資產</v>
      </c>
      <c r="W82" s="136" t="str">
        <f ca="1">VLOOKUP(AD82,'credit rating'!$F$2:$H$22,3,FALSE)</f>
        <v>BB-</v>
      </c>
      <c r="X82" s="136" t="str">
        <f t="shared" ca="1" si="8"/>
        <v>Ba3</v>
      </c>
      <c r="Y82" s="136" t="str">
        <f t="shared" ca="1" si="9"/>
        <v>B+ *+</v>
      </c>
      <c r="Z82" s="136" t="str">
        <f t="shared" ca="1" si="10"/>
        <v>BB- *+</v>
      </c>
      <c r="AA82" s="134">
        <f ca="1">IFERROR(VLOOKUP(X82,'credit rating'!A:C,3,FALSE),0)</f>
        <v>9</v>
      </c>
      <c r="AB82" s="134">
        <f ca="1">IFERROR(VLOOKUP(Y82,'credit rating'!B:C,2,FALSE),0)</f>
        <v>8</v>
      </c>
      <c r="AC82" s="136">
        <f ca="1">IFERROR(VLOOKUP(Z82,'credit rating'!B:C,2,FALSE),0)</f>
        <v>9</v>
      </c>
      <c r="AD82" s="136">
        <f t="shared" ca="1" si="11"/>
        <v>9</v>
      </c>
      <c r="AE82" s="249" t="str">
        <f ca="1">IFERROR(VLOOKUP(B82,bond!B:U,20,FALSE),"")</f>
        <v xml:space="preserve"> </v>
      </c>
      <c r="AF82" s="136" t="str">
        <f ca="1">IF(VLOOKUP(B82,bond!B:AK,36,FALSE)="#N/A Field Not Applicable","",VLOOKUP(B82,bond!B:AK,36,FALSE))</f>
        <v/>
      </c>
      <c r="AG82" s="136" t="str">
        <f ca="1">IF(VLOOKUP(B82,bond!B:AL,37,FALSE)="FIXED","固定",IF(VLOOKUP(B82,bond!B:AL,37,FALSE)="FLOATING","浮動",IF(VLOOKUP(B82,bond!B:AL,37,FALSE)="VARIABLE","變動",IF(VLOOKUP(B82,bond!B:AL,37,FALSE)="FLAT TRADING","不含息交易",IF(VLOOKUP(B82,bond!B:AL,37,FALSE)="ZERO COUPON","零息",VLOOKUP(B82,bond!B:AL,37,FALSE))))))</f>
        <v>固定</v>
      </c>
      <c r="AH82" s="136" t="str">
        <f>VLOOKUP(C82,'2_Check_code'!I:J,2,FALSE)</f>
        <v>美元(USD)</v>
      </c>
      <c r="AI82" s="136" t="str">
        <f t="shared" ca="1" si="12"/>
        <v>自由選清單</v>
      </c>
      <c r="AJ82" s="136">
        <f t="shared" ca="1" si="13"/>
        <v>0</v>
      </c>
      <c r="AK82" s="594" t="str">
        <f ca="1">IF(VLOOKUP(B82,bond!B:S,18,FALSE)="是","有",IF(VLOOKUP(B82,bond!B:S,18,FALSE)="NO OFFER","無","需查詢"))</f>
        <v>需查詢</v>
      </c>
      <c r="AL82" s="136" t="str">
        <f>IF(VLOOKUP(A82,bond!F:AR,39,FALSE)="#N/A Field Not Applicable",VLOOKUP(A82,bond!F:AR,38,FALSE),IFERROR(VLOOKUP(A82,'7_發行日例外'!A:B,2,FALSE),VLOOKUP(A82,bond!F:AR,39,FALSE)))</f>
        <v>2008/6/4</v>
      </c>
      <c r="AM82" s="136" t="str">
        <f ca="1">VLOOKUP(B82,bond!B:AK,36,FALSE)</f>
        <v>#N/A Field Not Applicable</v>
      </c>
      <c r="AN82" s="136" t="str">
        <f ca="1">IFERROR(VLOOKUP(B82,'3_是否下架'!A:A,1,FALSE),"")</f>
        <v>XFU70</v>
      </c>
      <c r="AO82" s="136">
        <f ca="1">VLOOKUP(B82,bond!B:J,9,FALSE)</f>
        <v>98.69</v>
      </c>
      <c r="AP82" s="136">
        <f ca="1">VLOOKUP(B82,bond!B:V,21,FALSE)</f>
        <v>8.4009999999999998</v>
      </c>
    </row>
    <row r="83" spans="1:42">
      <c r="A83" s="141" t="str">
        <f>bond!F84</f>
        <v>XS1568888777</v>
      </c>
      <c r="B83" s="151" t="str">
        <f ca="1">IF($C$1=TRUE,bond!B84,"")</f>
        <v>XFU80</v>
      </c>
      <c r="C83" s="95" t="str">
        <f>VLOOKUP(A83,bond!F:G,2,FALSE)</f>
        <v>EUR</v>
      </c>
      <c r="D83" s="142" t="str">
        <f ca="1">VLOOKUP(B83,bond!B:C,2,FALSE)</f>
        <v>墨西哥石油公司歐元配息債券 4.875% 2028/2/21</v>
      </c>
      <c r="E83" s="95" t="str">
        <f ca="1">VLOOKUP(B83,bond!B:D,3,FALSE)</f>
        <v>B3 / BBB / B+u</v>
      </c>
      <c r="F83" s="99" t="str">
        <f ca="1">VLOOKUP(B83,bond!B:AB,27,FALSE)</f>
        <v>2028/2/21</v>
      </c>
      <c r="G83" s="90">
        <f ca="1">VLOOKUP(B83,bond!B:E,4,FALSE)</f>
        <v>3.64</v>
      </c>
      <c r="H83" s="202">
        <f ca="1">VLOOKUP(B83,bond!B:Y,24,FALSE)</f>
        <v>4.8750000000000002E-2</v>
      </c>
      <c r="I83" s="95">
        <f ca="1">VLOOKUP(B83,bond!B:Z,25,FALSE)</f>
        <v>1</v>
      </c>
      <c r="J83" s="180">
        <f ca="1">VLOOKUP(B83,bond!B:K,10,FALSE)</f>
        <v>1.7715000000000001</v>
      </c>
      <c r="K83" s="96">
        <f ca="1">VLOOKUP($B83,bond!B:S,14,FALSE)</f>
        <v>95.71</v>
      </c>
      <c r="L83" s="91" t="str">
        <f ca="1">VLOOKUP(B83,bond!B:H,7,FALSE)</f>
        <v>2024/7/3</v>
      </c>
      <c r="M83" s="144">
        <f ca="1">VLOOKUP($B83,bond!$B:$Q,16,FALSE)</f>
        <v>6.8000000000000005E-2</v>
      </c>
      <c r="N83" s="136">
        <f ca="1">VALUE(LEFT(VLOOKUP(B83,bond!B:R,17,FALSE),SEARCH(" ",VLOOKUP(B83,bond!B:R,17,FALSE),1)))</f>
        <v>100000</v>
      </c>
      <c r="O83" s="136">
        <f ca="1">VALUE(RIGHT(VLOOKUP(B83,bond!B:R,17,FALSE),LEN(VLOOKUP(B83,bond!B:R,17,FALSE))-LEN(N83)-3))</f>
        <v>1000</v>
      </c>
      <c r="P83" s="135" t="str">
        <f ca="1">VLOOKUP($B83,bond!$B:$AG,32,FALSE)</f>
        <v>2025/2/21</v>
      </c>
      <c r="Q83" s="135" t="str">
        <f ca="1">VLOOKUP($B83,bond!$B:$AH,33,FALSE)</f>
        <v>能源</v>
      </c>
      <c r="R83" s="135" t="str">
        <f ca="1">VLOOKUP(B83,bond!B:AA,26,FALSE)</f>
        <v>墨西哥石油公司</v>
      </c>
      <c r="S83" s="135" t="str">
        <f ca="1">VLOOKUP(B83,bond!B:AI,34,FALSE)</f>
        <v>PEMEX</v>
      </c>
      <c r="T83" s="135" t="str">
        <f t="shared" ca="1" si="7"/>
        <v>墨西哥石油公司/PEMEX</v>
      </c>
      <c r="U83" s="207" t="str">
        <f ca="1">IFERROR(VLOOKUP(T83,Bond_DES!D:E,2,FALSE),VLOOKUP(S83,bond!AI:AJ,2,FALSE))</f>
        <v>墨西哥石油(Petroleos Mexicanos)為一整合性石油公司，提供從勘探、生產、工業加工提煉、物流到市場營銷等完整服務。為墨西哥政府最大的稅收貢獻者及主要外匯收入來源企業，亦為拉丁美洲最大的公司之一。</v>
      </c>
      <c r="V83" s="136" t="str">
        <f ca="1">IFERROR(VLOOKUP(B83,'1_重設數據'!L:M,2,FALSE),IF(Q83="政府",IF(AD83&gt;16,"(NPI)非專投",IF(AD83&gt;10,"(PI)專投","高資產")),IF(VLOOKUP(B83,bond!B:AN,39,FALSE)="Y","(PI)專投",IF(AD83&gt;=15,"(NPI)非專投",IF(AD83&gt;=10,"(PI)專投","高資產")))))</f>
        <v>高資產</v>
      </c>
      <c r="W83" s="136" t="str">
        <f ca="1">VLOOKUP(AD83,'credit rating'!$F$2:$H$22,3,FALSE)</f>
        <v>BBB</v>
      </c>
      <c r="X83" s="136" t="str">
        <f t="shared" ca="1" si="8"/>
        <v>B3</v>
      </c>
      <c r="Y83" s="136" t="str">
        <f t="shared" ca="1" si="9"/>
        <v>BBB</v>
      </c>
      <c r="Z83" s="136" t="str">
        <f t="shared" ca="1" si="10"/>
        <v>B+u</v>
      </c>
      <c r="AA83" s="134">
        <f ca="1">IFERROR(VLOOKUP(X83,'credit rating'!A:C,3,FALSE),0)</f>
        <v>6</v>
      </c>
      <c r="AB83" s="134">
        <f ca="1">IFERROR(VLOOKUP(Y83,'credit rating'!B:C,2,FALSE),0)</f>
        <v>13</v>
      </c>
      <c r="AC83" s="136">
        <f ca="1">IFERROR(VLOOKUP(Z83,'credit rating'!B:C,2,FALSE),0)</f>
        <v>8</v>
      </c>
      <c r="AD83" s="136">
        <f t="shared" ca="1" si="11"/>
        <v>13</v>
      </c>
      <c r="AE83" s="249" t="str">
        <f ca="1">IFERROR(VLOOKUP(B83,bond!B:U,20,FALSE),"")</f>
        <v xml:space="preserve"> </v>
      </c>
      <c r="AF83" s="136" t="str">
        <f ca="1">IF(VLOOKUP(B83,bond!B:AK,36,FALSE)="#N/A Field Not Applicable","",VLOOKUP(B83,bond!B:AK,36,FALSE))</f>
        <v/>
      </c>
      <c r="AG83" s="136" t="str">
        <f ca="1">IF(VLOOKUP(B83,bond!B:AL,37,FALSE)="FIXED","固定",IF(VLOOKUP(B83,bond!B:AL,37,FALSE)="FLOATING","浮動",IF(VLOOKUP(B83,bond!B:AL,37,FALSE)="VARIABLE","變動",IF(VLOOKUP(B83,bond!B:AL,37,FALSE)="FLAT TRADING","不含息交易",IF(VLOOKUP(B83,bond!B:AL,37,FALSE)="ZERO COUPON","零息",VLOOKUP(B83,bond!B:AL,37,FALSE))))))</f>
        <v>固定</v>
      </c>
      <c r="AH83" s="136" t="str">
        <f>VLOOKUP(C83,'2_Check_code'!I:J,2,FALSE)</f>
        <v>歐元(EUR)</v>
      </c>
      <c r="AI83" s="136" t="str">
        <f t="shared" ca="1" si="12"/>
        <v/>
      </c>
      <c r="AJ83" s="136">
        <f t="shared" ca="1" si="13"/>
        <v>1</v>
      </c>
      <c r="AK83" s="594" t="str">
        <f ca="1">IF(VLOOKUP(B83,bond!B:S,18,FALSE)="是","有",IF(VLOOKUP(B83,bond!B:S,18,FALSE)="NO OFFER","無","需查詢"))</f>
        <v>有</v>
      </c>
      <c r="AL83" s="136" t="str">
        <f>IF(VLOOKUP(A83,bond!F:AR,39,FALSE)="#N/A Field Not Applicable",VLOOKUP(A83,bond!F:AR,38,FALSE),IFERROR(VLOOKUP(A83,'7_發行日例外'!A:B,2,FALSE),VLOOKUP(A83,bond!F:AR,39,FALSE)))</f>
        <v>2017/2/21</v>
      </c>
      <c r="AM83" s="136" t="str">
        <f ca="1">VLOOKUP(B83,bond!B:AK,36,FALSE)</f>
        <v>#N/A Field Not Applicable</v>
      </c>
      <c r="AN83" s="136" t="str">
        <f ca="1">IFERROR(VLOOKUP(B83,'3_是否下架'!A:A,1,FALSE),"")</f>
        <v/>
      </c>
      <c r="AO83" s="136">
        <f ca="1">VLOOKUP(B83,bond!B:J,9,FALSE)</f>
        <v>92.440000000000012</v>
      </c>
      <c r="AP83" s="136">
        <f ca="1">VLOOKUP(B83,bond!B:V,21,FALSE)</f>
        <v>3.1238999999999999</v>
      </c>
    </row>
    <row r="84" spans="1:42">
      <c r="A84" s="141" t="str">
        <f>bond!F85</f>
        <v>US30219GAP37</v>
      </c>
      <c r="B84" s="151" t="str">
        <f ca="1">IF($C$1=TRUE,bond!B85,"")</f>
        <v>XFV20</v>
      </c>
      <c r="C84" s="95" t="str">
        <f>VLOOKUP(A84,bond!F:G,2,FALSE)</f>
        <v>USD</v>
      </c>
      <c r="D84" s="142" t="str">
        <f ca="1">VLOOKUP(B84,bond!B:C,2,FALSE)</f>
        <v>快捷藥方控股公司美元配息債券 4.8% 2046/7/15</v>
      </c>
      <c r="E84" s="95" t="str">
        <f ca="1">VLOOKUP(B84,bond!B:D,3,FALSE)</f>
        <v>WR / A- / BBB+</v>
      </c>
      <c r="F84" s="99" t="str">
        <f ca="1">VLOOKUP(B84,bond!B:AB,27,FALSE)</f>
        <v>2046/7/15</v>
      </c>
      <c r="G84" s="90">
        <f ca="1">VLOOKUP(B84,bond!B:E,4,FALSE)</f>
        <v>22.03</v>
      </c>
      <c r="H84" s="202">
        <f ca="1">VLOOKUP(B84,bond!B:Y,24,FALSE)</f>
        <v>4.8000000000000001E-2</v>
      </c>
      <c r="I84" s="95">
        <f ca="1">VLOOKUP(B84,bond!B:Z,25,FALSE)</f>
        <v>2</v>
      </c>
      <c r="J84" s="180">
        <f ca="1">VLOOKUP(B84,bond!B:K,10,FALSE)</f>
        <v>2.2267000000000001</v>
      </c>
      <c r="K84" s="96">
        <f ca="1">VLOOKUP($B84,bond!B:S,14,FALSE)</f>
        <v>90.02</v>
      </c>
      <c r="L84" s="91" t="str">
        <f ca="1">VLOOKUP(B84,bond!B:H,7,FALSE)</f>
        <v>2024/7/2</v>
      </c>
      <c r="M84" s="144">
        <f ca="1">VLOOKUP($B84,bond!$B:$Q,16,FALSE)</f>
        <v>5.79E-2</v>
      </c>
      <c r="N84" s="136">
        <f ca="1">VALUE(LEFT(VLOOKUP(B84,bond!B:R,17,FALSE),SEARCH(" ",VLOOKUP(B84,bond!B:R,17,FALSE),1)))</f>
        <v>10000</v>
      </c>
      <c r="O84" s="136">
        <f ca="1">VALUE(RIGHT(VLOOKUP(B84,bond!B:R,17,FALSE),LEN(VLOOKUP(B84,bond!B:R,17,FALSE))-LEN(N84)-3))</f>
        <v>1000</v>
      </c>
      <c r="P84" s="135" t="str">
        <f ca="1">VLOOKUP($B84,bond!$B:$AG,32,FALSE)</f>
        <v>2024/7/15</v>
      </c>
      <c r="Q84" s="135" t="str">
        <f ca="1">VLOOKUP($B84,bond!$B:$AH,33,FALSE)</f>
        <v>醫療保健</v>
      </c>
      <c r="R84" s="135" t="str">
        <f ca="1">VLOOKUP(B84,bond!B:AA,26,FALSE)</f>
        <v>Evernorth健康公司</v>
      </c>
      <c r="S84" s="135" t="str">
        <f ca="1">VLOOKUP(B84,bond!B:AI,34,FALSE)</f>
        <v>CI</v>
      </c>
      <c r="T84" s="135" t="str">
        <f t="shared" ca="1" si="7"/>
        <v>Evernorth健康公司/CI</v>
      </c>
      <c r="U84" s="207" t="str">
        <f ca="1">IFERROR(VLOOKUP(T84,Bond_DES!D:E,2,FALSE),VLOOKUP(S84,bond!AI:AJ,2,FALSE))</f>
        <v>Evernorth健康公司(Evernorth Health, Inc.)為信諾(Cigna Corp.)的全資子公司，提供藥物福利管理、專業藥房、分銷與護理等服務，旗下主要包括信諾收購的藥品福利管理(PBM)機構-快捷藥方(ESI)。信諾位居世界500強第35位(Fortune 2023)，並名列2024年《Brand Finance》醫療保健服務品牌價值第6位。</v>
      </c>
      <c r="V84" s="136" t="str">
        <f ca="1">IFERROR(VLOOKUP(B84,'1_重設數據'!L:M,2,FALSE),IF(Q84="政府",IF(AD84&gt;16,"(NPI)非專投",IF(AD84&gt;10,"(PI)專投","高資產")),IF(VLOOKUP(B84,bond!B:AN,39,FALSE)="Y","(PI)專投",IF(AD84&gt;=15,"(NPI)非專投",IF(AD84&gt;=10,"(PI)專投","高資產")))))</f>
        <v>(NPI)非專投</v>
      </c>
      <c r="W84" s="136" t="str">
        <f ca="1">VLOOKUP(AD84,'credit rating'!$F$2:$H$22,3,FALSE)</f>
        <v>A-</v>
      </c>
      <c r="X84" s="136" t="str">
        <f t="shared" ca="1" si="8"/>
        <v>WR</v>
      </c>
      <c r="Y84" s="136" t="str">
        <f t="shared" ca="1" si="9"/>
        <v>A-</v>
      </c>
      <c r="Z84" s="136" t="str">
        <f t="shared" ca="1" si="10"/>
        <v>BBB+</v>
      </c>
      <c r="AA84" s="134">
        <f ca="1">IFERROR(VLOOKUP(X84,'credit rating'!A:C,3,FALSE),0)</f>
        <v>0</v>
      </c>
      <c r="AB84" s="134">
        <f ca="1">IFERROR(VLOOKUP(Y84,'credit rating'!B:C,2,FALSE),0)</f>
        <v>15</v>
      </c>
      <c r="AC84" s="136">
        <f ca="1">IFERROR(VLOOKUP(Z84,'credit rating'!B:C,2,FALSE),0)</f>
        <v>14</v>
      </c>
      <c r="AD84" s="136">
        <f t="shared" ca="1" si="11"/>
        <v>15</v>
      </c>
      <c r="AE84" s="249">
        <f ca="1">IFERROR(VLOOKUP(B84,bond!B:U,20,FALSE),"")</f>
        <v>5.8000000000000003E-2</v>
      </c>
      <c r="AF84" s="136" t="str">
        <f ca="1">IF(VLOOKUP(B84,bond!B:AK,36,FALSE)="#N/A Field Not Applicable","",VLOOKUP(B84,bond!B:AK,36,FALSE))</f>
        <v>2046/1/16</v>
      </c>
      <c r="AG84" s="136" t="str">
        <f ca="1">IF(VLOOKUP(B84,bond!B:AL,37,FALSE)="FIXED","固定",IF(VLOOKUP(B84,bond!B:AL,37,FALSE)="FLOATING","浮動",IF(VLOOKUP(B84,bond!B:AL,37,FALSE)="VARIABLE","變動",IF(VLOOKUP(B84,bond!B:AL,37,FALSE)="FLAT TRADING","不含息交易",IF(VLOOKUP(B84,bond!B:AL,37,FALSE)="ZERO COUPON","零息",VLOOKUP(B84,bond!B:AL,37,FALSE))))))</f>
        <v>固定</v>
      </c>
      <c r="AH84" s="136" t="str">
        <f>VLOOKUP(C84,'2_Check_code'!I:J,2,FALSE)</f>
        <v>美元(USD)</v>
      </c>
      <c r="AI84" s="136" t="str">
        <f t="shared" ca="1" si="12"/>
        <v>自由選清單</v>
      </c>
      <c r="AJ84" s="136">
        <f t="shared" ca="1" si="13"/>
        <v>0</v>
      </c>
      <c r="AK84" s="594" t="str">
        <f ca="1">IF(VLOOKUP(B84,bond!B:S,18,FALSE)="是","有",IF(VLOOKUP(B84,bond!B:S,18,FALSE)="NO OFFER","無","需查詢"))</f>
        <v>需查詢</v>
      </c>
      <c r="AL84" s="136" t="str">
        <f>IF(VLOOKUP(A84,bond!F:AR,39,FALSE)="#N/A Field Not Applicable",VLOOKUP(A84,bond!F:AR,38,FALSE),IFERROR(VLOOKUP(A84,'7_發行日例外'!A:B,2,FALSE),VLOOKUP(A84,bond!F:AR,39,FALSE)))</f>
        <v>2016/7/5</v>
      </c>
      <c r="AM84" s="136" t="str">
        <f ca="1">VLOOKUP(B84,bond!B:AK,36,FALSE)</f>
        <v>2046/1/16</v>
      </c>
      <c r="AN84" s="136" t="str">
        <f ca="1">IFERROR(VLOOKUP(B84,'3_是否下架'!A:A,1,FALSE),"")</f>
        <v>XFV20</v>
      </c>
      <c r="AO84" s="136">
        <f ca="1">VLOOKUP(B84,bond!B:J,9,FALSE)</f>
        <v>84.79</v>
      </c>
      <c r="AP84" s="136">
        <f ca="1">VLOOKUP(B84,bond!B:V,21,FALSE)</f>
        <v>12.2967</v>
      </c>
    </row>
    <row r="85" spans="1:42">
      <c r="A85" s="141" t="str">
        <f>bond!F86</f>
        <v>US71568QAK31</v>
      </c>
      <c r="B85" s="151" t="str">
        <f ca="1">IF($C$1=TRUE,bond!B86,"")</f>
        <v>XFV30</v>
      </c>
      <c r="C85" s="95" t="str">
        <f>VLOOKUP(A85,bond!F:G,2,FALSE)</f>
        <v>USD</v>
      </c>
      <c r="D85" s="142" t="str">
        <f ca="1">VLOOKUP(B85,bond!B:C,2,FALSE)</f>
        <v>印尼國家電力公司美元配息債券 4.875% 2049/7/17</v>
      </c>
      <c r="E85" s="95" t="str">
        <f ca="1">VLOOKUP(B85,bond!B:D,3,FALSE)</f>
        <v>Baa2 / BBB / BBB</v>
      </c>
      <c r="F85" s="99" t="str">
        <f ca="1">VLOOKUP(B85,bond!B:AB,27,FALSE)</f>
        <v>2049/7/17</v>
      </c>
      <c r="G85" s="90">
        <f ca="1">VLOOKUP(B85,bond!B:E,4,FALSE)</f>
        <v>25.04</v>
      </c>
      <c r="H85" s="202">
        <f ca="1">VLOOKUP(B85,bond!B:Y,24,FALSE)</f>
        <v>4.8750000000000002E-2</v>
      </c>
      <c r="I85" s="95">
        <f ca="1">VLOOKUP(B85,bond!B:Z,25,FALSE)</f>
        <v>2</v>
      </c>
      <c r="J85" s="180">
        <f ca="1">VLOOKUP(B85,bond!B:K,10,FALSE)</f>
        <v>2.2343999999999999</v>
      </c>
      <c r="K85" s="96">
        <f ca="1">VLOOKUP($B85,bond!B:S,14,FALSE)</f>
        <v>88.4</v>
      </c>
      <c r="L85" s="91" t="str">
        <f ca="1">VLOOKUP(B85,bond!B:H,7,FALSE)</f>
        <v>2024/7/2</v>
      </c>
      <c r="M85" s="144">
        <f ca="1">VLOOKUP($B85,bond!$B:$Q,16,FALSE)</f>
        <v>5.9400000000000001E-2</v>
      </c>
      <c r="N85" s="136">
        <f ca="1">VALUE(LEFT(VLOOKUP(B85,bond!B:R,17,FALSE),SEARCH(" ",VLOOKUP(B85,bond!B:R,17,FALSE),1)))</f>
        <v>200000</v>
      </c>
      <c r="O85" s="136">
        <f ca="1">VALUE(RIGHT(VLOOKUP(B85,bond!B:R,17,FALSE),LEN(VLOOKUP(B85,bond!B:R,17,FALSE))-LEN(N85)-3))</f>
        <v>1000</v>
      </c>
      <c r="P85" s="135" t="str">
        <f ca="1">VLOOKUP($B85,bond!$B:$AG,32,FALSE)</f>
        <v>2024/7/17</v>
      </c>
      <c r="Q85" s="135" t="str">
        <f ca="1">VLOOKUP($B85,bond!$B:$AH,33,FALSE)</f>
        <v>公用事業</v>
      </c>
      <c r="R85" s="135" t="str">
        <f ca="1">VLOOKUP(B85,bond!B:AA,26,FALSE)</f>
        <v>國家電力公司</v>
      </c>
      <c r="S85" s="135" t="str">
        <f ca="1">VLOOKUP(B85,bond!B:AI,34,FALSE)</f>
        <v>PLNIJ</v>
      </c>
      <c r="T85" s="135" t="str">
        <f t="shared" ca="1" si="7"/>
        <v>國家電力公司/PLNIJ</v>
      </c>
      <c r="U85" s="207" t="str">
        <f ca="1">IFERROR(VLOOKUP(T85,Bond_DES!D:E,2,FALSE),VLOOKUP(S85,bond!AI:AJ,2,FALSE))</f>
        <v>印尼國家電力公司(Perusahaan Listrik Negara)為一家近乎壟斷印尼輸配電的國有企業，由印尼政府透過國有企業部(MSOE)全資擁有，並提供印尼所有電力及電力基礎設施，為印尼唯一的垂直整合電力公司。</v>
      </c>
      <c r="V85" s="136" t="str">
        <f ca="1">IFERROR(VLOOKUP(B85,'1_重設數據'!L:M,2,FALSE),IF(Q85="政府",IF(AD85&gt;16,"(NPI)非專投",IF(AD85&gt;10,"(PI)專投","高資產")),IF(VLOOKUP(B85,bond!B:AN,39,FALSE)="Y","(PI)專投",IF(AD85&gt;=15,"(NPI)非專投",IF(AD85&gt;=10,"(PI)專投","高資產")))))</f>
        <v>(PI)專投</v>
      </c>
      <c r="W85" s="136" t="str">
        <f ca="1">VLOOKUP(AD85,'credit rating'!$F$2:$H$22,3,FALSE)</f>
        <v>BBB</v>
      </c>
      <c r="X85" s="136" t="str">
        <f t="shared" ca="1" si="8"/>
        <v>Baa2</v>
      </c>
      <c r="Y85" s="136" t="str">
        <f t="shared" ca="1" si="9"/>
        <v>BBB</v>
      </c>
      <c r="Z85" s="136" t="str">
        <f t="shared" ca="1" si="10"/>
        <v>BBB</v>
      </c>
      <c r="AA85" s="134">
        <f ca="1">IFERROR(VLOOKUP(X85,'credit rating'!A:C,3,FALSE),0)</f>
        <v>13</v>
      </c>
      <c r="AB85" s="134">
        <f ca="1">IFERROR(VLOOKUP(Y85,'credit rating'!B:C,2,FALSE),0)</f>
        <v>13</v>
      </c>
      <c r="AC85" s="136">
        <f ca="1">IFERROR(VLOOKUP(Z85,'credit rating'!B:C,2,FALSE),0)</f>
        <v>13</v>
      </c>
      <c r="AD85" s="136">
        <f t="shared" ca="1" si="11"/>
        <v>13</v>
      </c>
      <c r="AE85" s="249" t="str">
        <f ca="1">IFERROR(VLOOKUP(B85,bond!B:U,20,FALSE),"")</f>
        <v xml:space="preserve"> </v>
      </c>
      <c r="AF85" s="136" t="str">
        <f ca="1">IF(VLOOKUP(B85,bond!B:AK,36,FALSE)="#N/A Field Not Applicable","",VLOOKUP(B85,bond!B:AK,36,FALSE))</f>
        <v/>
      </c>
      <c r="AG85" s="136" t="str">
        <f ca="1">IF(VLOOKUP(B85,bond!B:AL,37,FALSE)="FIXED","固定",IF(VLOOKUP(B85,bond!B:AL,37,FALSE)="FLOATING","浮動",IF(VLOOKUP(B85,bond!B:AL,37,FALSE)="VARIABLE","變動",IF(VLOOKUP(B85,bond!B:AL,37,FALSE)="FLAT TRADING","不含息交易",IF(VLOOKUP(B85,bond!B:AL,37,FALSE)="ZERO COUPON","零息",VLOOKUP(B85,bond!B:AL,37,FALSE))))))</f>
        <v>固定</v>
      </c>
      <c r="AH85" s="136" t="str">
        <f>VLOOKUP(C85,'2_Check_code'!I:J,2,FALSE)</f>
        <v>美元(USD)</v>
      </c>
      <c r="AI85" s="136" t="str">
        <f t="shared" ca="1" si="12"/>
        <v>自由選清單</v>
      </c>
      <c r="AJ85" s="136">
        <f t="shared" ca="1" si="13"/>
        <v>0</v>
      </c>
      <c r="AK85" s="594" t="str">
        <f ca="1">IF(VLOOKUP(B85,bond!B:S,18,FALSE)="是","有",IF(VLOOKUP(B85,bond!B:S,18,FALSE)="NO OFFER","無","需查詢"))</f>
        <v>需查詢</v>
      </c>
      <c r="AL85" s="136" t="str">
        <f>IF(VLOOKUP(A85,bond!F:AR,39,FALSE)="#N/A Field Not Applicable",VLOOKUP(A85,bond!F:AR,38,FALSE),IFERROR(VLOOKUP(A85,'7_發行日例外'!A:B,2,FALSE),VLOOKUP(A85,bond!F:AR,39,FALSE)))</f>
        <v>2019/7/17</v>
      </c>
      <c r="AM85" s="136" t="str">
        <f ca="1">VLOOKUP(B85,bond!B:AK,36,FALSE)</f>
        <v>#N/A Field Not Applicable</v>
      </c>
      <c r="AN85" s="136" t="str">
        <f ca="1">IFERROR(VLOOKUP(B85,'3_是否下架'!A:A,1,FALSE),"")</f>
        <v/>
      </c>
      <c r="AO85" s="136">
        <f ca="1">VLOOKUP(B85,bond!B:J,9,FALSE)</f>
        <v>82.67</v>
      </c>
      <c r="AP85" s="136">
        <f ca="1">VLOOKUP(B85,bond!B:V,21,FALSE)</f>
        <v>12.9787</v>
      </c>
    </row>
    <row r="86" spans="1:42">
      <c r="A86" s="141" t="str">
        <f>bond!F87</f>
        <v>XS1910948675</v>
      </c>
      <c r="B86" s="151" t="str">
        <f ca="1">IF($C$1=TRUE,bond!B87,"")</f>
        <v>XFV40</v>
      </c>
      <c r="C86" s="95" t="str">
        <f>VLOOKUP(A86,bond!F:G,2,FALSE)</f>
        <v>EUR</v>
      </c>
      <c r="D86" s="142" t="str">
        <f ca="1">VLOOKUP(B86,bond!B:C,2,FALSE)</f>
        <v>福斯汽車國際金融公司歐元配息債券 4.125% 2038/11/16</v>
      </c>
      <c r="E86" s="95" t="str">
        <f ca="1">VLOOKUP(B86,bond!B:D,3,FALSE)</f>
        <v>A3 / BBB+ / A-</v>
      </c>
      <c r="F86" s="99" t="str">
        <f ca="1">VLOOKUP(B86,bond!B:AB,27,FALSE)</f>
        <v>2038/11/16</v>
      </c>
      <c r="G86" s="90">
        <f ca="1">VLOOKUP(B86,bond!B:E,4,FALSE)</f>
        <v>14.37</v>
      </c>
      <c r="H86" s="202">
        <f ca="1">VLOOKUP(B86,bond!B:Y,24,FALSE)</f>
        <v>4.1250000000000002E-2</v>
      </c>
      <c r="I86" s="95">
        <f ca="1">VLOOKUP(B86,bond!B:Z,25,FALSE)</f>
        <v>1</v>
      </c>
      <c r="J86" s="180">
        <f ca="1">VLOOKUP(B86,bond!B:K,10,FALSE)</f>
        <v>2.5922000000000001</v>
      </c>
      <c r="K86" s="96">
        <f ca="1">VLOOKUP($B86,bond!B:S,14,FALSE)</f>
        <v>107.64</v>
      </c>
      <c r="L86" s="91" t="str">
        <f ca="1">VLOOKUP(B86,bond!B:H,7,FALSE)</f>
        <v>2024/7/3</v>
      </c>
      <c r="M86" s="144">
        <f ca="1">VLOOKUP($B86,bond!$B:$Q,16,FALSE)</f>
        <v>3.6700000000000003E-2</v>
      </c>
      <c r="N86" s="136">
        <f ca="1">VALUE(LEFT(VLOOKUP(B86,bond!B:R,17,FALSE),SEARCH(" ",VLOOKUP(B86,bond!B:R,17,FALSE),1)))</f>
        <v>100000</v>
      </c>
      <c r="O86" s="136">
        <f ca="1">VALUE(RIGHT(VLOOKUP(B86,bond!B:R,17,FALSE),LEN(VLOOKUP(B86,bond!B:R,17,FALSE))-LEN(N86)-3))</f>
        <v>100000</v>
      </c>
      <c r="P86" s="135" t="str">
        <f ca="1">VLOOKUP($B86,bond!$B:$AG,32,FALSE)</f>
        <v>2024/11/16</v>
      </c>
      <c r="Q86" s="135" t="str">
        <f ca="1">VLOOKUP($B86,bond!$B:$AH,33,FALSE)</f>
        <v>非核心消費</v>
      </c>
      <c r="R86" s="135" t="str">
        <f ca="1">VLOOKUP(B86,bond!B:AA,26,FALSE)</f>
        <v>福斯汽車國際金融公眾有限公司</v>
      </c>
      <c r="S86" s="135" t="str">
        <f ca="1">VLOOKUP(B86,bond!B:AI,34,FALSE)</f>
        <v>VW</v>
      </c>
      <c r="T86" s="135" t="str">
        <f t="shared" ca="1" si="7"/>
        <v>福斯汽車國際金融公眾有限公司/VW</v>
      </c>
      <c r="U86" s="207" t="str">
        <f ca="1">IFERROR(VLOOKUP(T86,Bond_DES!D:E,2,FALSE),VLOOKUP(S86,bond!AI:AJ,2,FALSE))</f>
        <v>福斯集團美國金融有限責任公司(Volkswagen Group of America Finance, LLC)為特殊目的機構，本券由福斯股份有限公司(Volkswagen AG)提供保證。福斯是歐洲市值最大汽車製造商、全球汽車製造營收龍頭，擁有Volkswagen、Audi、ŠKODA、Porsche等眾多知名汽車品牌。</v>
      </c>
      <c r="V86" s="136" t="str">
        <f ca="1">IFERROR(VLOOKUP(B86,'1_重設數據'!L:M,2,FALSE),IF(Q86="政府",IF(AD86&gt;16,"(NPI)非專投",IF(AD86&gt;10,"(PI)專投","高資產")),IF(VLOOKUP(B86,bond!B:AN,39,FALSE)="Y","(PI)專投",IF(AD86&gt;=15,"(NPI)非專投",IF(AD86&gt;=10,"(PI)專投","高資產")))))</f>
        <v>(NPI)非專投</v>
      </c>
      <c r="W86" s="136" t="str">
        <f ca="1">VLOOKUP(AD86,'credit rating'!$F$2:$H$22,3,FALSE)</f>
        <v>A-</v>
      </c>
      <c r="X86" s="136" t="str">
        <f t="shared" ca="1" si="8"/>
        <v>A3</v>
      </c>
      <c r="Y86" s="136" t="str">
        <f t="shared" ca="1" si="9"/>
        <v>BBB+</v>
      </c>
      <c r="Z86" s="136" t="str">
        <f t="shared" ca="1" si="10"/>
        <v>A-</v>
      </c>
      <c r="AA86" s="134">
        <f ca="1">IFERROR(VLOOKUP(X86,'credit rating'!A:C,3,FALSE),0)</f>
        <v>15</v>
      </c>
      <c r="AB86" s="134">
        <f ca="1">IFERROR(VLOOKUP(Y86,'credit rating'!B:C,2,FALSE),0)</f>
        <v>14</v>
      </c>
      <c r="AC86" s="136">
        <f ca="1">IFERROR(VLOOKUP(Z86,'credit rating'!B:C,2,FALSE),0)</f>
        <v>15</v>
      </c>
      <c r="AD86" s="136">
        <f t="shared" ca="1" si="11"/>
        <v>15</v>
      </c>
      <c r="AE86" s="249" t="str">
        <f ca="1">IFERROR(VLOOKUP(B86,bond!B:U,20,FALSE),"")</f>
        <v xml:space="preserve"> </v>
      </c>
      <c r="AF86" s="136" t="str">
        <f ca="1">IF(VLOOKUP(B86,bond!B:AK,36,FALSE)="#N/A Field Not Applicable","",VLOOKUP(B86,bond!B:AK,36,FALSE))</f>
        <v/>
      </c>
      <c r="AG86" s="136" t="str">
        <f ca="1">IF(VLOOKUP(B86,bond!B:AL,37,FALSE)="FIXED","固定",IF(VLOOKUP(B86,bond!B:AL,37,FALSE)="FLOATING","浮動",IF(VLOOKUP(B86,bond!B:AL,37,FALSE)="VARIABLE","變動",IF(VLOOKUP(B86,bond!B:AL,37,FALSE)="FLAT TRADING","不含息交易",IF(VLOOKUP(B86,bond!B:AL,37,FALSE)="ZERO COUPON","零息",VLOOKUP(B86,bond!B:AL,37,FALSE))))))</f>
        <v>固定</v>
      </c>
      <c r="AH86" s="136" t="str">
        <f>VLOOKUP(C86,'2_Check_code'!I:J,2,FALSE)</f>
        <v>歐元(EUR)</v>
      </c>
      <c r="AI86" s="136" t="str">
        <f t="shared" ca="1" si="12"/>
        <v/>
      </c>
      <c r="AJ86" s="136">
        <f t="shared" ca="1" si="13"/>
        <v>1</v>
      </c>
      <c r="AK86" s="594" t="str">
        <f ca="1">IF(VLOOKUP(B86,bond!B:S,18,FALSE)="是","有",IF(VLOOKUP(B86,bond!B:S,18,FALSE)="NO OFFER","無","需查詢"))</f>
        <v>需查詢</v>
      </c>
      <c r="AL86" s="136" t="str">
        <f>IF(VLOOKUP(A86,bond!F:AR,39,FALSE)="#N/A Field Not Applicable",VLOOKUP(A86,bond!F:AR,38,FALSE),IFERROR(VLOOKUP(A86,'7_發行日例外'!A:B,2,FALSE),VLOOKUP(A86,bond!F:AR,39,FALSE)))</f>
        <v>2018/11/16</v>
      </c>
      <c r="AM86" s="136" t="str">
        <f ca="1">VLOOKUP(B86,bond!B:AK,36,FALSE)</f>
        <v>#N/A Field Not Applicable</v>
      </c>
      <c r="AN86" s="136" t="str">
        <f ca="1">IFERROR(VLOOKUP(B86,'3_是否下架'!A:A,1,FALSE),"")</f>
        <v/>
      </c>
      <c r="AO86" s="136">
        <f ca="1">VLOOKUP(B86,bond!B:J,9,FALSE)</f>
        <v>102.05000000000001</v>
      </c>
      <c r="AP86" s="136">
        <f ca="1">VLOOKUP(B86,bond!B:V,21,FALSE)</f>
        <v>10.4902</v>
      </c>
    </row>
    <row r="87" spans="1:42">
      <c r="A87" s="141" t="str">
        <f>bond!F88</f>
        <v>XS1684385591</v>
      </c>
      <c r="B87" s="151" t="str">
        <f ca="1">IF($C$1=TRUE,bond!B88,"")</f>
        <v>XFV50</v>
      </c>
      <c r="C87" s="95" t="str">
        <f>VLOOKUP(A87,bond!F:G,2,FALSE)</f>
        <v>EUR</v>
      </c>
      <c r="D87" s="142" t="str">
        <f ca="1">VLOOKUP(B87,bond!B:C,2,FALSE)</f>
        <v>軟銀集團公司歐元配息債券 4% 2029/9/19</v>
      </c>
      <c r="E87" s="95" t="str">
        <f ca="1">VLOOKUP(B87,bond!B:D,3,FALSE)</f>
        <v>Ba3u / BB+ / -</v>
      </c>
      <c r="F87" s="99" t="str">
        <f ca="1">VLOOKUP(B87,bond!B:AB,27,FALSE)</f>
        <v>2029/9/19</v>
      </c>
      <c r="G87" s="90">
        <f ca="1">VLOOKUP(B87,bond!B:E,4,FALSE)</f>
        <v>5.21</v>
      </c>
      <c r="H87" s="202">
        <f ca="1">VLOOKUP(B87,bond!B:Y,24,FALSE)</f>
        <v>0.04</v>
      </c>
      <c r="I87" s="95">
        <f ca="1">VLOOKUP(B87,bond!B:Z,25,FALSE)</f>
        <v>2</v>
      </c>
      <c r="J87" s="180">
        <f ca="1">VLOOKUP(B87,bond!B:K,10,FALSE)</f>
        <v>1.1556</v>
      </c>
      <c r="K87" s="96">
        <f ca="1">VLOOKUP($B87,bond!B:S,14,FALSE)</f>
        <v>99.65</v>
      </c>
      <c r="L87" s="91" t="str">
        <f ca="1">VLOOKUP(B87,bond!B:H,7,FALSE)</f>
        <v>2024/7/3</v>
      </c>
      <c r="M87" s="144">
        <f ca="1">VLOOKUP($B87,bond!$B:$Q,16,FALSE)</f>
        <v>4.3299999999999998E-2</v>
      </c>
      <c r="N87" s="136">
        <f ca="1">VALUE(LEFT(VLOOKUP(B87,bond!B:R,17,FALSE),SEARCH(" ",VLOOKUP(B87,bond!B:R,17,FALSE),1)))</f>
        <v>100000</v>
      </c>
      <c r="O87" s="136">
        <f ca="1">VALUE(RIGHT(VLOOKUP(B87,bond!B:R,17,FALSE),LEN(VLOOKUP(B87,bond!B:R,17,FALSE))-LEN(N87)-3))</f>
        <v>1000</v>
      </c>
      <c r="P87" s="135" t="str">
        <f ca="1">VLOOKUP($B87,bond!$B:$AG,32,FALSE)</f>
        <v>2024/9/19</v>
      </c>
      <c r="Q87" s="135" t="str">
        <f ca="1">VLOOKUP($B87,bond!$B:$AH,33,FALSE)</f>
        <v>通訊</v>
      </c>
      <c r="R87" s="135" t="str">
        <f ca="1">VLOOKUP(B87,bond!B:AA,26,FALSE)</f>
        <v>軟銀</v>
      </c>
      <c r="S87" s="135" t="str">
        <f ca="1">VLOOKUP(B87,bond!B:AI,34,FALSE)</f>
        <v>SOFTBK</v>
      </c>
      <c r="T87" s="135" t="str">
        <f t="shared" ca="1" si="7"/>
        <v>軟銀/SOFTBK</v>
      </c>
      <c r="U87" s="207" t="str">
        <f ca="1">IFERROR(VLOOKUP(T87,Bond_DES!D:E,2,FALSE),VLOOKUP(S87,bond!AI:AJ,2,FALSE))</f>
        <v>軟銀集團公司(SoftBank Group Corp.)是一家純控股公司，創辦人及執行長孫正義為其最大股東，欲透過軟銀願景基金(Vision Fund)加速AI革命。2023《Fortune》全球500大企業排名第295，旗下英國晶片設計公司安謀(Arm)為2023年全球最大IPO公司。</v>
      </c>
      <c r="V87" s="136" t="str">
        <f ca="1">IFERROR(VLOOKUP(B87,'1_重設數據'!L:M,2,FALSE),IF(Q87="政府",IF(AD87&gt;16,"(NPI)非專投",IF(AD87&gt;10,"(PI)專投","高資產")),IF(VLOOKUP(B87,bond!B:AN,39,FALSE)="Y","(PI)專投",IF(AD87&gt;=15,"(NPI)非專投",IF(AD87&gt;=10,"(PI)專投","高資產")))))</f>
        <v>(PI)專投</v>
      </c>
      <c r="W87" s="136" t="str">
        <f ca="1">VLOOKUP(AD87,'credit rating'!$F$2:$H$22,3,FALSE)</f>
        <v>BB+</v>
      </c>
      <c r="X87" s="136" t="str">
        <f t="shared" ca="1" si="8"/>
        <v>Ba3u</v>
      </c>
      <c r="Y87" s="136" t="str">
        <f t="shared" ca="1" si="9"/>
        <v>BB+</v>
      </c>
      <c r="Z87" s="136" t="str">
        <f t="shared" ca="1" si="10"/>
        <v>-</v>
      </c>
      <c r="AA87" s="134">
        <f ca="1">IFERROR(VLOOKUP(X87,'credit rating'!A:C,3,FALSE),0)</f>
        <v>9</v>
      </c>
      <c r="AB87" s="134">
        <f ca="1">IFERROR(VLOOKUP(Y87,'credit rating'!B:C,2,FALSE),0)</f>
        <v>11</v>
      </c>
      <c r="AC87" s="136">
        <f ca="1">IFERROR(VLOOKUP(Z87,'credit rating'!B:C,2,FALSE),0)</f>
        <v>0</v>
      </c>
      <c r="AD87" s="136">
        <f t="shared" ca="1" si="11"/>
        <v>11</v>
      </c>
      <c r="AE87" s="249">
        <f ca="1">IFERROR(VLOOKUP(B87,bond!B:U,20,FALSE),"")</f>
        <v>4.3400000000000001E-2</v>
      </c>
      <c r="AF87" s="136" t="str">
        <f ca="1">IF(VLOOKUP(B87,bond!B:AK,36,FALSE)="#N/A Field Not Applicable","",VLOOKUP(B87,bond!B:AK,36,FALSE))</f>
        <v>2029/6/21</v>
      </c>
      <c r="AG87" s="136" t="str">
        <f ca="1">IF(VLOOKUP(B87,bond!B:AL,37,FALSE)="FIXED","固定",IF(VLOOKUP(B87,bond!B:AL,37,FALSE)="FLOATING","浮動",IF(VLOOKUP(B87,bond!B:AL,37,FALSE)="VARIABLE","變動",IF(VLOOKUP(B87,bond!B:AL,37,FALSE)="FLAT TRADING","不含息交易",IF(VLOOKUP(B87,bond!B:AL,37,FALSE)="ZERO COUPON","零息",VLOOKUP(B87,bond!B:AL,37,FALSE))))))</f>
        <v>固定</v>
      </c>
      <c r="AH87" s="136" t="str">
        <f>VLOOKUP(C87,'2_Check_code'!I:J,2,FALSE)</f>
        <v>歐元(EUR)</v>
      </c>
      <c r="AI87" s="136" t="str">
        <f t="shared" ca="1" si="12"/>
        <v/>
      </c>
      <c r="AJ87" s="136">
        <f t="shared" ca="1" si="13"/>
        <v>1</v>
      </c>
      <c r="AK87" s="594" t="str">
        <f ca="1">IF(VLOOKUP(B87,bond!B:S,18,FALSE)="是","有",IF(VLOOKUP(B87,bond!B:S,18,FALSE)="NO OFFER","無","需查詢"))</f>
        <v>需查詢</v>
      </c>
      <c r="AL87" s="136" t="str">
        <f>IF(VLOOKUP(A87,bond!F:AR,39,FALSE)="#N/A Field Not Applicable",VLOOKUP(A87,bond!F:AR,38,FALSE),IFERROR(VLOOKUP(A87,'7_發行日例外'!A:B,2,FALSE),VLOOKUP(A87,bond!F:AR,39,FALSE)))</f>
        <v>2017/9/19</v>
      </c>
      <c r="AM87" s="136" t="str">
        <f ca="1">VLOOKUP(B87,bond!B:AK,36,FALSE)</f>
        <v>2029/6/21</v>
      </c>
      <c r="AN87" s="136" t="str">
        <f ca="1">IFERROR(VLOOKUP(B87,'3_是否下架'!A:A,1,FALSE),"")</f>
        <v/>
      </c>
      <c r="AO87" s="136">
        <f ca="1">VLOOKUP(B87,bond!B:J,9,FALSE)</f>
        <v>96.490000000000009</v>
      </c>
      <c r="AP87" s="136">
        <f ca="1">VLOOKUP(B87,bond!B:V,21,FALSE)</f>
        <v>4.4715999999999996</v>
      </c>
    </row>
    <row r="88" spans="1:42">
      <c r="A88" s="141" t="str">
        <f>bond!F89</f>
        <v>USN30707AE88</v>
      </c>
      <c r="B88" s="151" t="str">
        <f ca="1">IF($C$1=TRUE,bond!B89,"")</f>
        <v>XFV60</v>
      </c>
      <c r="C88" s="95" t="str">
        <f>VLOOKUP(A88,bond!F:G,2,FALSE)</f>
        <v>USD</v>
      </c>
      <c r="D88" s="142" t="str">
        <f ca="1">VLOOKUP(B88,bond!B:C,2,FALSE)</f>
        <v>義大利國家電力金融公司美元配息債券 4.75% 2047/5/25</v>
      </c>
      <c r="E88" s="95" t="str">
        <f ca="1">VLOOKUP(B88,bond!B:D,3,FALSE)</f>
        <v>Baa1 / BBB / BBB+</v>
      </c>
      <c r="F88" s="99" t="str">
        <f ca="1">VLOOKUP(B88,bond!B:AB,27,FALSE)</f>
        <v>2047/5/25</v>
      </c>
      <c r="G88" s="90">
        <f ca="1">VLOOKUP(B88,bond!B:E,4,FALSE)</f>
        <v>22.89</v>
      </c>
      <c r="H88" s="202">
        <f ca="1">VLOOKUP(B88,bond!B:Y,24,FALSE)</f>
        <v>4.7500000000000001E-2</v>
      </c>
      <c r="I88" s="95">
        <f ca="1">VLOOKUP(B88,bond!B:Z,25,FALSE)</f>
        <v>2</v>
      </c>
      <c r="J88" s="180">
        <f ca="1">VLOOKUP(B88,bond!B:K,10,FALSE)</f>
        <v>0.48820000000000002</v>
      </c>
      <c r="K88" s="96">
        <f ca="1">VLOOKUP($B88,bond!B:S,14,FALSE)</f>
        <v>88.91</v>
      </c>
      <c r="L88" s="91" t="str">
        <f ca="1">VLOOKUP(B88,bond!B:H,7,FALSE)</f>
        <v>2024/7/2</v>
      </c>
      <c r="M88" s="144">
        <f ca="1">VLOOKUP($B88,bond!$B:$Q,16,FALSE)</f>
        <v>5.6599999999999998E-2</v>
      </c>
      <c r="N88" s="136">
        <f ca="1">VALUE(LEFT(VLOOKUP(B88,bond!B:R,17,FALSE),SEARCH(" ",VLOOKUP(B88,bond!B:R,17,FALSE),1)))</f>
        <v>200000</v>
      </c>
      <c r="O88" s="136">
        <f ca="1">VALUE(RIGHT(VLOOKUP(B88,bond!B:R,17,FALSE),LEN(VLOOKUP(B88,bond!B:R,17,FALSE))-LEN(N88)-3))</f>
        <v>1000</v>
      </c>
      <c r="P88" s="135" t="str">
        <f ca="1">VLOOKUP($B88,bond!$B:$AG,32,FALSE)</f>
        <v>2024/11/25</v>
      </c>
      <c r="Q88" s="135" t="str">
        <f ca="1">VLOOKUP($B88,bond!$B:$AH,33,FALSE)</f>
        <v>公用事業</v>
      </c>
      <c r="R88" s="135" t="str">
        <f ca="1">VLOOKUP(B88,bond!B:AA,26,FALSE)</f>
        <v>義大利國家電力金融國際公眾有</v>
      </c>
      <c r="S88" s="135" t="str">
        <f ca="1">VLOOKUP(B88,bond!B:AI,34,FALSE)</f>
        <v>ENELIM</v>
      </c>
      <c r="T88" s="135" t="str">
        <f t="shared" ca="1" si="7"/>
        <v>義大利國家電力金融國際公眾有/ENELIM</v>
      </c>
      <c r="U88" s="207" t="str">
        <f ca="1">IFERROR(VLOOKUP(T88,Bond_DES!D:E,2,FALSE),VLOOKUP(S88,bond!AI:AJ,2,FALSE))</f>
        <v>義大利國家電力金融國際公眾有限公司(ENEL Finance International N.V.)配送、生產，並銷售電力。母公司及保證機構義大利國家電力公司(Enel SpA)為義大利的能源公司，由義大利政府持有約23.6%的股份，該公司於2023年《財富》全球500強排名第59位。</v>
      </c>
      <c r="V88" s="136" t="str">
        <f ca="1">IFERROR(VLOOKUP(B88,'1_重設數據'!L:M,2,FALSE),IF(Q88="政府",IF(AD88&gt;16,"(NPI)非專投",IF(AD88&gt;10,"(PI)專投","高資產")),IF(VLOOKUP(B88,bond!B:AN,39,FALSE)="Y","(PI)專投",IF(AD88&gt;=15,"(NPI)非專投",IF(AD88&gt;=10,"(PI)專投","高資產")))))</f>
        <v>(PI)專投</v>
      </c>
      <c r="W88" s="136" t="str">
        <f ca="1">VLOOKUP(AD88,'credit rating'!$F$2:$H$22,3,FALSE)</f>
        <v>BBB+</v>
      </c>
      <c r="X88" s="136" t="str">
        <f t="shared" ca="1" si="8"/>
        <v>Baa1</v>
      </c>
      <c r="Y88" s="136" t="str">
        <f t="shared" ca="1" si="9"/>
        <v>BBB</v>
      </c>
      <c r="Z88" s="136" t="str">
        <f t="shared" ca="1" si="10"/>
        <v>BBB+</v>
      </c>
      <c r="AA88" s="134">
        <f ca="1">IFERROR(VLOOKUP(X88,'credit rating'!A:C,3,FALSE),0)</f>
        <v>14</v>
      </c>
      <c r="AB88" s="134">
        <f ca="1">IFERROR(VLOOKUP(Y88,'credit rating'!B:C,2,FALSE),0)</f>
        <v>13</v>
      </c>
      <c r="AC88" s="136">
        <f ca="1">IFERROR(VLOOKUP(Z88,'credit rating'!B:C,2,FALSE),0)</f>
        <v>14</v>
      </c>
      <c r="AD88" s="136">
        <f t="shared" ca="1" si="11"/>
        <v>14</v>
      </c>
      <c r="AE88" s="249" t="str">
        <f ca="1">IFERROR(VLOOKUP(B88,bond!B:U,20,FALSE),"")</f>
        <v xml:space="preserve"> </v>
      </c>
      <c r="AF88" s="136" t="str">
        <f ca="1">IF(VLOOKUP(B88,bond!B:AK,36,FALSE)="#N/A Field Not Applicable","",VLOOKUP(B88,bond!B:AK,36,FALSE))</f>
        <v/>
      </c>
      <c r="AG88" s="136" t="str">
        <f ca="1">IF(VLOOKUP(B88,bond!B:AL,37,FALSE)="FIXED","固定",IF(VLOOKUP(B88,bond!B:AL,37,FALSE)="FLOATING","浮動",IF(VLOOKUP(B88,bond!B:AL,37,FALSE)="VARIABLE","變動",IF(VLOOKUP(B88,bond!B:AL,37,FALSE)="FLAT TRADING","不含息交易",IF(VLOOKUP(B88,bond!B:AL,37,FALSE)="ZERO COUPON","零息",VLOOKUP(B88,bond!B:AL,37,FALSE))))))</f>
        <v>固定</v>
      </c>
      <c r="AH88" s="136" t="str">
        <f>VLOOKUP(C88,'2_Check_code'!I:J,2,FALSE)</f>
        <v>美元(USD)</v>
      </c>
      <c r="AI88" s="136" t="str">
        <f t="shared" ca="1" si="12"/>
        <v>自由選清單</v>
      </c>
      <c r="AJ88" s="136">
        <f t="shared" ca="1" si="13"/>
        <v>0</v>
      </c>
      <c r="AK88" s="594" t="str">
        <f ca="1">IF(VLOOKUP(B88,bond!B:S,18,FALSE)="是","有",IF(VLOOKUP(B88,bond!B:S,18,FALSE)="NO OFFER","無","需查詢"))</f>
        <v>有</v>
      </c>
      <c r="AL88" s="136" t="str">
        <f>IF(VLOOKUP(A88,bond!F:AR,39,FALSE)="#N/A Field Not Applicable",VLOOKUP(A88,bond!F:AR,38,FALSE),IFERROR(VLOOKUP(A88,'7_發行日例外'!A:B,2,FALSE),VLOOKUP(A88,bond!F:AR,39,FALSE)))</f>
        <v>2017/5/25</v>
      </c>
      <c r="AM88" s="136" t="str">
        <f ca="1">VLOOKUP(B88,bond!B:AK,36,FALSE)</f>
        <v>#N/A Field Not Applicable</v>
      </c>
      <c r="AN88" s="136" t="str">
        <f ca="1">IFERROR(VLOOKUP(B88,'3_是否下架'!A:A,1,FALSE),"")</f>
        <v/>
      </c>
      <c r="AO88" s="136">
        <f ca="1">VLOOKUP(B88,bond!B:J,9,FALSE)</f>
        <v>84.92</v>
      </c>
      <c r="AP88" s="136">
        <f ca="1">VLOOKUP(B88,bond!B:V,21,FALSE)</f>
        <v>12.996700000000001</v>
      </c>
    </row>
    <row r="89" spans="1:42">
      <c r="A89" s="141" t="str">
        <f>bond!F90</f>
        <v>USP57908AH15</v>
      </c>
      <c r="B89" s="151" t="str">
        <f ca="1">IF($C$1=TRUE,bond!B90,"")</f>
        <v>XFV70</v>
      </c>
      <c r="C89" s="95" t="str">
        <f>VLOOKUP(A89,bond!F:G,2,FALSE)</f>
        <v>USD</v>
      </c>
      <c r="D89" s="142" t="str">
        <f ca="1">VLOOKUP(B89,bond!B:C,2,FALSE)</f>
        <v>墨西哥化工公司美元配息債券 5.5% 2048/1/15</v>
      </c>
      <c r="E89" s="95" t="str">
        <f ca="1">VLOOKUP(B89,bond!B:D,3,FALSE)</f>
        <v>Baa3 / BBB- / BBB</v>
      </c>
      <c r="F89" s="99" t="str">
        <f ca="1">VLOOKUP(B89,bond!B:AB,27,FALSE)</f>
        <v>2048/1/15</v>
      </c>
      <c r="G89" s="90">
        <f ca="1">VLOOKUP(B89,bond!B:E,4,FALSE)</f>
        <v>23.54</v>
      </c>
      <c r="H89" s="202">
        <f ca="1">VLOOKUP(B89,bond!B:Y,24,FALSE)</f>
        <v>5.5E-2</v>
      </c>
      <c r="I89" s="95">
        <f ca="1">VLOOKUP(B89,bond!B:Z,25,FALSE)</f>
        <v>2</v>
      </c>
      <c r="J89" s="180">
        <f ca="1">VLOOKUP(B89,bond!B:K,10,FALSE)</f>
        <v>2.5514000000000001</v>
      </c>
      <c r="K89" s="96">
        <f ca="1">VLOOKUP($B89,bond!B:S,14,FALSE)</f>
        <v>92</v>
      </c>
      <c r="L89" s="91" t="str">
        <f ca="1">VLOOKUP(B89,bond!B:H,7,FALSE)</f>
        <v>2024/7/2</v>
      </c>
      <c r="M89" s="144">
        <f ca="1">VLOOKUP($B89,bond!$B:$Q,16,FALSE)</f>
        <v>6.3700000000000007E-2</v>
      </c>
      <c r="N89" s="136">
        <f ca="1">VALUE(LEFT(VLOOKUP(B89,bond!B:R,17,FALSE),SEARCH(" ",VLOOKUP(B89,bond!B:R,17,FALSE),1)))</f>
        <v>200000</v>
      </c>
      <c r="O89" s="136">
        <f ca="1">VALUE(RIGHT(VLOOKUP(B89,bond!B:R,17,FALSE),LEN(VLOOKUP(B89,bond!B:R,17,FALSE))-LEN(N89)-3))</f>
        <v>1000</v>
      </c>
      <c r="P89" s="135" t="str">
        <f ca="1">VLOOKUP($B89,bond!$B:$AG,32,FALSE)</f>
        <v>2024/7/15</v>
      </c>
      <c r="Q89" s="135" t="str">
        <f ca="1">VLOOKUP($B89,bond!$B:$AH,33,FALSE)</f>
        <v>原物料</v>
      </c>
      <c r="R89" s="135" t="str">
        <f ca="1">VLOOKUP(B89,bond!B:AA,26,FALSE)</f>
        <v>歐比亞先進可變資本有限公司</v>
      </c>
      <c r="S89" s="135" t="str">
        <f ca="1">VLOOKUP(B89,bond!B:AI,34,FALSE)</f>
        <v>ORBIA</v>
      </c>
      <c r="T89" s="135" t="str">
        <f t="shared" ca="1" si="7"/>
        <v>歐比亞先進可變資本有限公司/ORBIA</v>
      </c>
      <c r="U89" s="207" t="str">
        <f ca="1">IFERROR(VLOOKUP(T89,Bond_DES!D:E,2,FALSE),VLOOKUP(S89,bond!AI:AJ,2,FALSE))</f>
        <v>歐比亞先進可變資本有限公司(Orbia Advance Corporation S.A.B. de CV)總部位於墨西哥，旗下含括精密農業、建築與基礎設施、氟化物、數據通訊及聚合物解決方案等五大部門，主要提供如灌溉系統、農業、溫室技術等服務，基礎建設部門則包含電纜、飲用水設施等，聚合物方面則提供如樹酯、PVC等化合物或添加劑產品。</v>
      </c>
      <c r="V89" s="136" t="str">
        <f ca="1">IFERROR(VLOOKUP(B89,'1_重設數據'!L:M,2,FALSE),IF(Q89="政府",IF(AD89&gt;16,"(NPI)非專投",IF(AD89&gt;10,"(PI)專投","高資產")),IF(VLOOKUP(B89,bond!B:AN,39,FALSE)="Y","(PI)專投",IF(AD89&gt;=15,"(NPI)非專投",IF(AD89&gt;=10,"(PI)專投","高資產")))))</f>
        <v>(PI)專投</v>
      </c>
      <c r="W89" s="136" t="str">
        <f ca="1">VLOOKUP(AD89,'credit rating'!$F$2:$H$22,3,FALSE)</f>
        <v>BBB</v>
      </c>
      <c r="X89" s="136" t="str">
        <f t="shared" ca="1" si="8"/>
        <v>Baa3</v>
      </c>
      <c r="Y89" s="136" t="str">
        <f t="shared" ca="1" si="9"/>
        <v>BBB-</v>
      </c>
      <c r="Z89" s="136" t="str">
        <f t="shared" ca="1" si="10"/>
        <v>BBB</v>
      </c>
      <c r="AA89" s="134">
        <f ca="1">IFERROR(VLOOKUP(X89,'credit rating'!A:C,3,FALSE),0)</f>
        <v>12</v>
      </c>
      <c r="AB89" s="134">
        <f ca="1">IFERROR(VLOOKUP(Y89,'credit rating'!B:C,2,FALSE),0)</f>
        <v>12</v>
      </c>
      <c r="AC89" s="136">
        <f ca="1">IFERROR(VLOOKUP(Z89,'credit rating'!B:C,2,FALSE),0)</f>
        <v>13</v>
      </c>
      <c r="AD89" s="136">
        <f t="shared" ca="1" si="11"/>
        <v>13</v>
      </c>
      <c r="AE89" s="249">
        <f ca="1">IFERROR(VLOOKUP(B89,bond!B:U,20,FALSE),"")</f>
        <v>6.3799999999999996E-2</v>
      </c>
      <c r="AF89" s="136" t="str">
        <f ca="1">IF(VLOOKUP(B89,bond!B:AK,36,FALSE)="#N/A Field Not Applicable","",VLOOKUP(B89,bond!B:AK,36,FALSE))</f>
        <v>2047/7/15</v>
      </c>
      <c r="AG89" s="136" t="str">
        <f ca="1">IF(VLOOKUP(B89,bond!B:AL,37,FALSE)="FIXED","固定",IF(VLOOKUP(B89,bond!B:AL,37,FALSE)="FLOATING","浮動",IF(VLOOKUP(B89,bond!B:AL,37,FALSE)="VARIABLE","變動",IF(VLOOKUP(B89,bond!B:AL,37,FALSE)="FLAT TRADING","不含息交易",IF(VLOOKUP(B89,bond!B:AL,37,FALSE)="ZERO COUPON","零息",VLOOKUP(B89,bond!B:AL,37,FALSE))))))</f>
        <v>固定</v>
      </c>
      <c r="AH89" s="136" t="str">
        <f>VLOOKUP(C89,'2_Check_code'!I:J,2,FALSE)</f>
        <v>美元(USD)</v>
      </c>
      <c r="AI89" s="136" t="str">
        <f t="shared" ca="1" si="12"/>
        <v>自由選清單</v>
      </c>
      <c r="AJ89" s="136">
        <f t="shared" ca="1" si="13"/>
        <v>0</v>
      </c>
      <c r="AK89" s="594" t="str">
        <f ca="1">IF(VLOOKUP(B89,bond!B:S,18,FALSE)="是","有",IF(VLOOKUP(B89,bond!B:S,18,FALSE)="NO OFFER","無","需查詢"))</f>
        <v>需查詢</v>
      </c>
      <c r="AL89" s="136" t="str">
        <f>IF(VLOOKUP(A89,bond!F:AR,39,FALSE)="#N/A Field Not Applicable",VLOOKUP(A89,bond!F:AR,38,FALSE),IFERROR(VLOOKUP(A89,'7_發行日例外'!A:B,2,FALSE),VLOOKUP(A89,bond!F:AR,39,FALSE)))</f>
        <v>2017/10/4</v>
      </c>
      <c r="AM89" s="136" t="str">
        <f ca="1">VLOOKUP(B89,bond!B:AK,36,FALSE)</f>
        <v>2047/7/15</v>
      </c>
      <c r="AN89" s="136" t="str">
        <f ca="1">IFERROR(VLOOKUP(B89,'3_是否下架'!A:A,1,FALSE),"")</f>
        <v/>
      </c>
      <c r="AO89" s="136">
        <f ca="1">VLOOKUP(B89,bond!B:J,9,FALSE)</f>
        <v>85.95</v>
      </c>
      <c r="AP89" s="136">
        <f ca="1">VLOOKUP(B89,bond!B:V,21,FALSE)</f>
        <v>11.930199999999999</v>
      </c>
    </row>
    <row r="90" spans="1:42">
      <c r="A90" s="141" t="str">
        <f>bond!F91</f>
        <v>USF2893TAE67</v>
      </c>
      <c r="B90" s="151" t="str">
        <f ca="1">IF($C$1=TRUE,bond!B91,"")</f>
        <v>XFV80</v>
      </c>
      <c r="C90" s="95" t="str">
        <f>VLOOKUP(A90,bond!F:G,2,FALSE)</f>
        <v>USD</v>
      </c>
      <c r="D90" s="142" t="str">
        <f ca="1">VLOOKUP(B90,bond!B:C,2,FALSE)</f>
        <v>法國電力公司美元配息債券 5.6% 2040/1/27</v>
      </c>
      <c r="E90" s="95" t="str">
        <f ca="1">VLOOKUP(B90,bond!B:D,3,FALSE)</f>
        <v>Baa1 / BBB / BBB+</v>
      </c>
      <c r="F90" s="99" t="str">
        <f ca="1">VLOOKUP(B90,bond!B:AB,27,FALSE)</f>
        <v>2040/1/27</v>
      </c>
      <c r="G90" s="90">
        <f ca="1">VLOOKUP(B90,bond!B:E,4,FALSE)</f>
        <v>15.57</v>
      </c>
      <c r="H90" s="202">
        <f ca="1">VLOOKUP(B90,bond!B:Y,24,FALSE)</f>
        <v>5.5999999999999994E-2</v>
      </c>
      <c r="I90" s="95">
        <f ca="1">VLOOKUP(B90,bond!B:Z,25,FALSE)</f>
        <v>2</v>
      </c>
      <c r="J90" s="180">
        <f ca="1">VLOOKUP(B90,bond!B:K,10,FALSE)</f>
        <v>2.4110999999999998</v>
      </c>
      <c r="K90" s="96">
        <f ca="1">VLOOKUP($B90,bond!B:S,14,FALSE)</f>
        <v>105.01</v>
      </c>
      <c r="L90" s="91" t="str">
        <f ca="1">VLOOKUP(B90,bond!B:H,7,FALSE)</f>
        <v>2024/7/2</v>
      </c>
      <c r="M90" s="144">
        <f ca="1">VLOOKUP($B90,bond!$B:$Q,16,FALSE)</f>
        <v>5.3499999999999999E-2</v>
      </c>
      <c r="N90" s="136">
        <f ca="1">VALUE(LEFT(VLOOKUP(B90,bond!B:R,17,FALSE),SEARCH(" ",VLOOKUP(B90,bond!B:R,17,FALSE),1)))</f>
        <v>10000</v>
      </c>
      <c r="O90" s="136">
        <f ca="1">VALUE(RIGHT(VLOOKUP(B90,bond!B:R,17,FALSE),LEN(VLOOKUP(B90,bond!B:R,17,FALSE))-LEN(N90)-3))</f>
        <v>1000</v>
      </c>
      <c r="P90" s="135" t="str">
        <f ca="1">VLOOKUP($B90,bond!$B:$AG,32,FALSE)</f>
        <v>2024/7/27</v>
      </c>
      <c r="Q90" s="135" t="str">
        <f ca="1">VLOOKUP($B90,bond!$B:$AH,33,FALSE)</f>
        <v>公用事業</v>
      </c>
      <c r="R90" s="135" t="str">
        <f ca="1">VLOOKUP(B90,bond!B:AA,26,FALSE)</f>
        <v>法國電力有限責任公司</v>
      </c>
      <c r="S90" s="135" t="str">
        <f ca="1">VLOOKUP(B90,bond!B:AI,34,FALSE)</f>
        <v>EDF</v>
      </c>
      <c r="T90" s="135" t="str">
        <f t="shared" ca="1" si="7"/>
        <v>法國電力有限責任公司/EDF</v>
      </c>
      <c r="U90" s="207" t="str">
        <f ca="1">IFERROR(VLOOKUP(T90,Bond_DES!D:E,2,FALSE),VLOOKUP(S90,bond!AI:AJ,2,FALSE))</f>
        <v>法國電力(Électricité de France)為法國公用電力公司，法國政府為保障能源安全，於2023年重新將EDF收歸國有，彰顯其重要性。EDF是世界上最大的垂直整合公用事業之一，且是低碳能源全球領導者，透過核能和再生能源發電，90%發電無排放二氧化碳。2023年《Brand Finance》全球公用事業公司品牌價值排名第3位。</v>
      </c>
      <c r="V90" s="136" t="str">
        <f ca="1">IFERROR(VLOOKUP(B90,'1_重設數據'!L:M,2,FALSE),IF(Q90="政府",IF(AD90&gt;16,"(NPI)非專投",IF(AD90&gt;10,"(PI)專投","高資產")),IF(VLOOKUP(B90,bond!B:AN,39,FALSE)="Y","(PI)專投",IF(AD90&gt;=15,"(NPI)非專投",IF(AD90&gt;=10,"(PI)專投","高資產")))))</f>
        <v>(PI)專投</v>
      </c>
      <c r="W90" s="136" t="str">
        <f ca="1">VLOOKUP(AD90,'credit rating'!$F$2:$H$22,3,FALSE)</f>
        <v>BBB+</v>
      </c>
      <c r="X90" s="136" t="str">
        <f t="shared" ca="1" si="8"/>
        <v>Baa1</v>
      </c>
      <c r="Y90" s="136" t="str">
        <f t="shared" ca="1" si="9"/>
        <v>BBB</v>
      </c>
      <c r="Z90" s="136" t="str">
        <f t="shared" ca="1" si="10"/>
        <v>BBB+</v>
      </c>
      <c r="AA90" s="134">
        <f ca="1">IFERROR(VLOOKUP(X90,'credit rating'!A:C,3,FALSE),0)</f>
        <v>14</v>
      </c>
      <c r="AB90" s="134">
        <f ca="1">IFERROR(VLOOKUP(Y90,'credit rating'!B:C,2,FALSE),0)</f>
        <v>13</v>
      </c>
      <c r="AC90" s="136">
        <f ca="1">IFERROR(VLOOKUP(Z90,'credit rating'!B:C,2,FALSE),0)</f>
        <v>14</v>
      </c>
      <c r="AD90" s="136">
        <f t="shared" ca="1" si="11"/>
        <v>14</v>
      </c>
      <c r="AE90" s="249" t="str">
        <f ca="1">IFERROR(VLOOKUP(B90,bond!B:U,20,FALSE),"")</f>
        <v xml:space="preserve"> </v>
      </c>
      <c r="AF90" s="136" t="str">
        <f ca="1">IF(VLOOKUP(B90,bond!B:AK,36,FALSE)="#N/A Field Not Applicable","",VLOOKUP(B90,bond!B:AK,36,FALSE))</f>
        <v/>
      </c>
      <c r="AG90" s="136" t="str">
        <f ca="1">IF(VLOOKUP(B90,bond!B:AL,37,FALSE)="FIXED","固定",IF(VLOOKUP(B90,bond!B:AL,37,FALSE)="FLOATING","浮動",IF(VLOOKUP(B90,bond!B:AL,37,FALSE)="VARIABLE","變動",IF(VLOOKUP(B90,bond!B:AL,37,FALSE)="FLAT TRADING","不含息交易",IF(VLOOKUP(B90,bond!B:AL,37,FALSE)="ZERO COUPON","零息",VLOOKUP(B90,bond!B:AL,37,FALSE))))))</f>
        <v>固定</v>
      </c>
      <c r="AH90" s="136" t="str">
        <f>VLOOKUP(C90,'2_Check_code'!I:J,2,FALSE)</f>
        <v>美元(USD)</v>
      </c>
      <c r="AI90" s="136" t="str">
        <f t="shared" ca="1" si="12"/>
        <v>自由選清單</v>
      </c>
      <c r="AJ90" s="136">
        <f t="shared" ca="1" si="13"/>
        <v>0</v>
      </c>
      <c r="AK90" s="594" t="str">
        <f ca="1">IF(VLOOKUP(B90,bond!B:S,18,FALSE)="是","有",IF(VLOOKUP(B90,bond!B:S,18,FALSE)="NO OFFER","無","需查詢"))</f>
        <v>無</v>
      </c>
      <c r="AL90" s="136" t="str">
        <f>IF(VLOOKUP(A90,bond!F:AR,39,FALSE)="#N/A Field Not Applicable",VLOOKUP(A90,bond!F:AR,38,FALSE),IFERROR(VLOOKUP(A90,'7_發行日例外'!A:B,2,FALSE),VLOOKUP(A90,bond!F:AR,39,FALSE)))</f>
        <v>2010/1/26</v>
      </c>
      <c r="AM90" s="136" t="str">
        <f ca="1">VLOOKUP(B90,bond!B:AK,36,FALSE)</f>
        <v>#N/A Field Not Applicable</v>
      </c>
      <c r="AN90" s="136" t="str">
        <f ca="1">IFERROR(VLOOKUP(B90,'3_是否下架'!A:A,1,FALSE),"")</f>
        <v>XFV80</v>
      </c>
      <c r="AO90" s="136">
        <f ca="1">VLOOKUP(B90,bond!B:J,9,FALSE)</f>
        <v>99.600000000000009</v>
      </c>
      <c r="AP90" s="136">
        <f ca="1">VLOOKUP(B90,bond!B:V,21,FALSE)</f>
        <v>10.0481</v>
      </c>
    </row>
    <row r="91" spans="1:42">
      <c r="A91" s="141" t="str">
        <f>bond!F92</f>
        <v>US58013MFA71</v>
      </c>
      <c r="B91" s="151" t="str">
        <f ca="1">IF($C$1=TRUE,bond!B92,"")</f>
        <v>XFV90</v>
      </c>
      <c r="C91" s="95" t="str">
        <f>VLOOKUP(A91,bond!F:G,2,FALSE)</f>
        <v>USD</v>
      </c>
      <c r="D91" s="142" t="str">
        <f ca="1">VLOOKUP(B91,bond!B:C,2,FALSE)</f>
        <v>麥當勞公司美元配息債券 4.875% 2045/12/9</v>
      </c>
      <c r="E91" s="95" t="str">
        <f ca="1">VLOOKUP(B91,bond!B:D,3,FALSE)</f>
        <v>Baa1 / BBB+ / WD</v>
      </c>
      <c r="F91" s="99" t="str">
        <f ca="1">VLOOKUP(B91,bond!B:AB,27,FALSE)</f>
        <v>2045/12/9</v>
      </c>
      <c r="G91" s="90">
        <f ca="1">VLOOKUP(B91,bond!B:E,4,FALSE)</f>
        <v>21.44</v>
      </c>
      <c r="H91" s="202">
        <f ca="1">VLOOKUP(B91,bond!B:Y,24,FALSE)</f>
        <v>4.8750000000000002E-2</v>
      </c>
      <c r="I91" s="95">
        <f ca="1">VLOOKUP(B91,bond!B:Z,25,FALSE)</f>
        <v>2</v>
      </c>
      <c r="J91" s="180">
        <f ca="1">VLOOKUP(B91,bond!B:K,10,FALSE)</f>
        <v>0.3115</v>
      </c>
      <c r="K91" s="96">
        <f ca="1">VLOOKUP($B91,bond!B:S,14,FALSE)</f>
        <v>93.85</v>
      </c>
      <c r="L91" s="91" t="str">
        <f ca="1">VLOOKUP(B91,bond!B:H,7,FALSE)</f>
        <v>2024/7/2</v>
      </c>
      <c r="M91" s="144">
        <f ca="1">VLOOKUP($B91,bond!$B:$Q,16,FALSE)</f>
        <v>5.3900000000000003E-2</v>
      </c>
      <c r="N91" s="136">
        <f ca="1">VALUE(LEFT(VLOOKUP(B91,bond!B:R,17,FALSE),SEARCH(" ",VLOOKUP(B91,bond!B:R,17,FALSE),1)))</f>
        <v>10000</v>
      </c>
      <c r="O91" s="136">
        <f ca="1">VALUE(RIGHT(VLOOKUP(B91,bond!B:R,17,FALSE),LEN(VLOOKUP(B91,bond!B:R,17,FALSE))-LEN(N91)-3))</f>
        <v>1000</v>
      </c>
      <c r="P91" s="135" t="str">
        <f ca="1">VLOOKUP($B91,bond!$B:$AG,32,FALSE)</f>
        <v>2024/12/9</v>
      </c>
      <c r="Q91" s="135" t="str">
        <f ca="1">VLOOKUP($B91,bond!$B:$AH,33,FALSE)</f>
        <v>非核心消費</v>
      </c>
      <c r="R91" s="135" t="str">
        <f ca="1">VLOOKUP(B91,bond!B:AA,26,FALSE)</f>
        <v>麥當勞公司</v>
      </c>
      <c r="S91" s="135" t="str">
        <f ca="1">VLOOKUP(B91,bond!B:AI,34,FALSE)</f>
        <v>MCD</v>
      </c>
      <c r="T91" s="135" t="str">
        <f t="shared" ca="1" si="7"/>
        <v>麥當勞公司/MCD</v>
      </c>
      <c r="U91" s="207" t="str">
        <f ca="1">IFERROR(VLOOKUP(T91,Bond_DES!D:E,2,FALSE),VLOOKUP(S91,bond!AI:AJ,2,FALSE))</f>
        <v>麥當勞公司(McDonald's Corporation)總部位於美國芝加哥，為全球速食連鎖餐廳巨擘，在全球餐廳產業授權加盟並經營速食餐廳，販售漢堡、薯條、炸雞、碳酸飲料、沙拉及冰品等速食，獲利來源除了食品外，還包含加盟商需付給麥當勞的租金及特許經營費。2024年《Brand Finance》全球25大餐廳品牌價值排名第2位(僅次於星巴克)。</v>
      </c>
      <c r="V91" s="136" t="str">
        <f ca="1">IFERROR(VLOOKUP(B91,'1_重設數據'!L:M,2,FALSE),IF(Q91="政府",IF(AD91&gt;16,"(NPI)非專投",IF(AD91&gt;10,"(PI)專投","高資產")),IF(VLOOKUP(B91,bond!B:AN,39,FALSE)="Y","(PI)專投",IF(AD91&gt;=15,"(NPI)非專投",IF(AD91&gt;=10,"(PI)專投","高資產")))))</f>
        <v>(PI)專投</v>
      </c>
      <c r="W91" s="136" t="str">
        <f ca="1">VLOOKUP(AD91,'credit rating'!$F$2:$H$22,3,FALSE)</f>
        <v>BBB+</v>
      </c>
      <c r="X91" s="136" t="str">
        <f t="shared" ca="1" si="8"/>
        <v>Baa1</v>
      </c>
      <c r="Y91" s="136" t="str">
        <f t="shared" ca="1" si="9"/>
        <v>BBB+</v>
      </c>
      <c r="Z91" s="136" t="str">
        <f t="shared" ca="1" si="10"/>
        <v>WD</v>
      </c>
      <c r="AA91" s="134">
        <f ca="1">IFERROR(VLOOKUP(X91,'credit rating'!A:C,3,FALSE),0)</f>
        <v>14</v>
      </c>
      <c r="AB91" s="134">
        <f ca="1">IFERROR(VLOOKUP(Y91,'credit rating'!B:C,2,FALSE),0)</f>
        <v>14</v>
      </c>
      <c r="AC91" s="136">
        <f ca="1">IFERROR(VLOOKUP(Z91,'credit rating'!B:C,2,FALSE),0)</f>
        <v>0</v>
      </c>
      <c r="AD91" s="136">
        <f t="shared" ca="1" si="11"/>
        <v>14</v>
      </c>
      <c r="AE91" s="249">
        <f ca="1">IFERROR(VLOOKUP(B91,bond!B:U,20,FALSE),"")</f>
        <v>5.3900000000000003E-2</v>
      </c>
      <c r="AF91" s="136" t="str">
        <f ca="1">IF(VLOOKUP(B91,bond!B:AK,36,FALSE)="#N/A Field Not Applicable","",VLOOKUP(B91,bond!B:AK,36,FALSE))</f>
        <v>2045/6/9</v>
      </c>
      <c r="AG91" s="136" t="str">
        <f ca="1">IF(VLOOKUP(B91,bond!B:AL,37,FALSE)="FIXED","固定",IF(VLOOKUP(B91,bond!B:AL,37,FALSE)="FLOATING","浮動",IF(VLOOKUP(B91,bond!B:AL,37,FALSE)="VARIABLE","變動",IF(VLOOKUP(B91,bond!B:AL,37,FALSE)="FLAT TRADING","不含息交易",IF(VLOOKUP(B91,bond!B:AL,37,FALSE)="ZERO COUPON","零息",VLOOKUP(B91,bond!B:AL,37,FALSE))))))</f>
        <v>固定</v>
      </c>
      <c r="AH91" s="136" t="str">
        <f>VLOOKUP(C91,'2_Check_code'!I:J,2,FALSE)</f>
        <v>美元(USD)</v>
      </c>
      <c r="AI91" s="136" t="str">
        <f t="shared" ca="1" si="12"/>
        <v>自由選清單</v>
      </c>
      <c r="AJ91" s="136">
        <f t="shared" ca="1" si="13"/>
        <v>0</v>
      </c>
      <c r="AK91" s="594" t="str">
        <f ca="1">IF(VLOOKUP(B91,bond!B:S,18,FALSE)="是","有",IF(VLOOKUP(B91,bond!B:S,18,FALSE)="NO OFFER","無","需查詢"))</f>
        <v>有</v>
      </c>
      <c r="AL91" s="136" t="str">
        <f>IF(VLOOKUP(A91,bond!F:AR,39,FALSE)="#N/A Field Not Applicable",VLOOKUP(A91,bond!F:AR,38,FALSE),IFERROR(VLOOKUP(A91,'7_發行日例外'!A:B,2,FALSE),VLOOKUP(A91,bond!F:AR,39,FALSE)))</f>
        <v>2015/12/9</v>
      </c>
      <c r="AM91" s="136" t="str">
        <f ca="1">VLOOKUP(B91,bond!B:AK,36,FALSE)</f>
        <v>2045/6/9</v>
      </c>
      <c r="AN91" s="136" t="str">
        <f ca="1">IFERROR(VLOOKUP(B91,'3_是否下架'!A:A,1,FALSE),"")</f>
        <v/>
      </c>
      <c r="AO91" s="136">
        <f ca="1">VLOOKUP(B91,bond!B:J,9,FALSE)</f>
        <v>90.54</v>
      </c>
      <c r="AP91" s="136">
        <f ca="1">VLOOKUP(B91,bond!B:V,21,FALSE)</f>
        <v>12.735799999999999</v>
      </c>
    </row>
    <row r="92" spans="1:42">
      <c r="A92" s="141" t="str">
        <f>bond!F93</f>
        <v>US126650CZ11</v>
      </c>
      <c r="B92" s="151" t="str">
        <f ca="1">IF($C$1=TRUE,bond!B93,"")</f>
        <v>XFW10</v>
      </c>
      <c r="C92" s="95" t="str">
        <f>VLOOKUP(A92,bond!F:G,2,FALSE)</f>
        <v>USD</v>
      </c>
      <c r="D92" s="142" t="str">
        <f ca="1">VLOOKUP(B92,bond!B:C,2,FALSE)</f>
        <v>CVSHEALTH公司美元配息債券 5.05% 2048/3/25</v>
      </c>
      <c r="E92" s="95" t="str">
        <f ca="1">VLOOKUP(B92,bond!B:D,3,FALSE)</f>
        <v>Baa2 / BBB / -</v>
      </c>
      <c r="F92" s="99" t="str">
        <f ca="1">VLOOKUP(B92,bond!B:AB,27,FALSE)</f>
        <v>2048/3/25</v>
      </c>
      <c r="G92" s="90">
        <f ca="1">VLOOKUP(B92,bond!B:E,4,FALSE)</f>
        <v>23.73</v>
      </c>
      <c r="H92" s="202">
        <f ca="1">VLOOKUP(B92,bond!B:Y,24,FALSE)</f>
        <v>5.0499999999999996E-2</v>
      </c>
      <c r="I92" s="95">
        <f ca="1">VLOOKUP(B92,bond!B:Z,25,FALSE)</f>
        <v>2</v>
      </c>
      <c r="J92" s="180">
        <f ca="1">VLOOKUP(B92,bond!B:K,10,FALSE)</f>
        <v>1.3607</v>
      </c>
      <c r="K92" s="96">
        <f ca="1">VLOOKUP($B92,bond!B:S,14,FALSE)</f>
        <v>91.65</v>
      </c>
      <c r="L92" s="91" t="str">
        <f ca="1">VLOOKUP(B92,bond!B:H,7,FALSE)</f>
        <v>2024/7/2</v>
      </c>
      <c r="M92" s="144">
        <f ca="1">VLOOKUP($B92,bond!$B:$Q,16,FALSE)</f>
        <v>5.8099999999999999E-2</v>
      </c>
      <c r="N92" s="136">
        <f ca="1">VALUE(LEFT(VLOOKUP(B92,bond!B:R,17,FALSE),SEARCH(" ",VLOOKUP(B92,bond!B:R,17,FALSE),1)))</f>
        <v>10000</v>
      </c>
      <c r="O92" s="136">
        <f ca="1">VALUE(RIGHT(VLOOKUP(B92,bond!B:R,17,FALSE),LEN(VLOOKUP(B92,bond!B:R,17,FALSE))-LEN(N92)-3))</f>
        <v>1000</v>
      </c>
      <c r="P92" s="135" t="str">
        <f ca="1">VLOOKUP($B92,bond!$B:$AG,32,FALSE)</f>
        <v>2024/9/25</v>
      </c>
      <c r="Q92" s="135" t="str">
        <f ca="1">VLOOKUP($B92,bond!$B:$AH,33,FALSE)</f>
        <v>醫療保健</v>
      </c>
      <c r="R92" s="135" t="str">
        <f ca="1">VLOOKUP(B92,bond!B:AA,26,FALSE)</f>
        <v>CVS保健公司</v>
      </c>
      <c r="S92" s="135" t="str">
        <f ca="1">VLOOKUP(B92,bond!B:AI,34,FALSE)</f>
        <v>CVS</v>
      </c>
      <c r="T92" s="135" t="str">
        <f t="shared" ca="1" si="7"/>
        <v>CVS保健公司/CVS</v>
      </c>
      <c r="U92" s="207" t="str">
        <f ca="1">IFERROR(VLOOKUP(T92,Bond_DES!D:E,2,FALSE),VLOOKUP(S92,bond!AI:AJ,2,FALSE))</f>
        <v>CVS保健公司(CVS Health Corp.)是美國老牌藥品連鎖企業，於「藥房及其他服務業」營收全球第一，除傳統藥局服務外，還提供如專業藥劑輸液、處方管理系統等相關應用服務，名列2024年《Fortune》美國500強第6位。過去數年來透過一系列併購策略擴張市場版圖，成為美國首屈一指的健康創新公司。</v>
      </c>
      <c r="V92" s="136" t="str">
        <f ca="1">IFERROR(VLOOKUP(B92,'1_重設數據'!L:M,2,FALSE),IF(Q92="政府",IF(AD92&gt;16,"(NPI)非專投",IF(AD92&gt;10,"(PI)專投","高資產")),IF(VLOOKUP(B92,bond!B:AN,39,FALSE)="Y","(PI)專投",IF(AD92&gt;=15,"(NPI)非專投",IF(AD92&gt;=10,"(PI)專投","高資產")))))</f>
        <v>(PI)專投</v>
      </c>
      <c r="W92" s="136" t="str">
        <f ca="1">VLOOKUP(AD92,'credit rating'!$F$2:$H$22,3,FALSE)</f>
        <v>BBB</v>
      </c>
      <c r="X92" s="136" t="str">
        <f t="shared" ca="1" si="8"/>
        <v>Baa2</v>
      </c>
      <c r="Y92" s="136" t="str">
        <f t="shared" ca="1" si="9"/>
        <v>BBB</v>
      </c>
      <c r="Z92" s="136" t="str">
        <f t="shared" ca="1" si="10"/>
        <v>-</v>
      </c>
      <c r="AA92" s="134">
        <f ca="1">IFERROR(VLOOKUP(X92,'credit rating'!A:C,3,FALSE),0)</f>
        <v>13</v>
      </c>
      <c r="AB92" s="134">
        <f ca="1">IFERROR(VLOOKUP(Y92,'credit rating'!B:C,2,FALSE),0)</f>
        <v>13</v>
      </c>
      <c r="AC92" s="136">
        <f ca="1">IFERROR(VLOOKUP(Z92,'credit rating'!B:C,2,FALSE),0)</f>
        <v>0</v>
      </c>
      <c r="AD92" s="136">
        <f t="shared" ca="1" si="11"/>
        <v>13</v>
      </c>
      <c r="AE92" s="249">
        <f ca="1">IFERROR(VLOOKUP(B92,bond!B:U,20,FALSE),"")</f>
        <v>5.8200000000000002E-2</v>
      </c>
      <c r="AF92" s="136" t="str">
        <f ca="1">IF(VLOOKUP(B92,bond!B:AK,36,FALSE)="#N/A Field Not Applicable","",VLOOKUP(B92,bond!B:AK,36,FALSE))</f>
        <v>2047/9/25</v>
      </c>
      <c r="AG92" s="136" t="str">
        <f ca="1">IF(VLOOKUP(B92,bond!B:AL,37,FALSE)="FIXED","固定",IF(VLOOKUP(B92,bond!B:AL,37,FALSE)="FLOATING","浮動",IF(VLOOKUP(B92,bond!B:AL,37,FALSE)="VARIABLE","變動",IF(VLOOKUP(B92,bond!B:AL,37,FALSE)="FLAT TRADING","不含息交易",IF(VLOOKUP(B92,bond!B:AL,37,FALSE)="ZERO COUPON","零息",VLOOKUP(B92,bond!B:AL,37,FALSE))))))</f>
        <v>固定</v>
      </c>
      <c r="AH92" s="136" t="str">
        <f>VLOOKUP(C92,'2_Check_code'!I:J,2,FALSE)</f>
        <v>美元(USD)</v>
      </c>
      <c r="AI92" s="136" t="str">
        <f t="shared" ca="1" si="12"/>
        <v>自由選清單</v>
      </c>
      <c r="AJ92" s="136">
        <f t="shared" ca="1" si="13"/>
        <v>0</v>
      </c>
      <c r="AK92" s="594" t="str">
        <f ca="1">IF(VLOOKUP(B92,bond!B:S,18,FALSE)="是","有",IF(VLOOKUP(B92,bond!B:S,18,FALSE)="NO OFFER","無","需查詢"))</f>
        <v>有</v>
      </c>
      <c r="AL92" s="136" t="str">
        <f>IF(VLOOKUP(A92,bond!F:AR,39,FALSE)="#N/A Field Not Applicable",VLOOKUP(A92,bond!F:AR,38,FALSE),IFERROR(VLOOKUP(A92,'7_發行日例外'!A:B,2,FALSE),VLOOKUP(A92,bond!F:AR,39,FALSE)))</f>
        <v>2018/3/9</v>
      </c>
      <c r="AM92" s="136" t="str">
        <f ca="1">VLOOKUP(B92,bond!B:AK,36,FALSE)</f>
        <v>2047/9/25</v>
      </c>
      <c r="AN92" s="136" t="str">
        <f ca="1">IFERROR(VLOOKUP(B92,'3_是否下架'!A:A,1,FALSE),"")</f>
        <v/>
      </c>
      <c r="AO92" s="136">
        <f ca="1">VLOOKUP(B92,bond!B:J,9,FALSE)</f>
        <v>86.79</v>
      </c>
      <c r="AP92" s="136">
        <f ca="1">VLOOKUP(B92,bond!B:V,21,FALSE)</f>
        <v>12.8414</v>
      </c>
    </row>
    <row r="93" spans="1:42">
      <c r="A93" s="141" t="str">
        <f>bond!F94</f>
        <v>US931142EP44</v>
      </c>
      <c r="B93" s="151" t="str">
        <f ca="1">IF($C$1=TRUE,bond!B94,"")</f>
        <v>XFW50</v>
      </c>
      <c r="C93" s="95" t="str">
        <f>VLOOKUP(A93,bond!F:G,2,FALSE)</f>
        <v>USD</v>
      </c>
      <c r="D93" s="142" t="str">
        <f ca="1">VLOOKUP(B93,bond!B:C,2,FALSE)</f>
        <v>沃爾瑪公司美元配息債券 2.95% 2049/9/24</v>
      </c>
      <c r="E93" s="95" t="str">
        <f ca="1">VLOOKUP(B93,bond!B:D,3,FALSE)</f>
        <v>Aa2 / AA / AA</v>
      </c>
      <c r="F93" s="99" t="str">
        <f ca="1">VLOOKUP(B93,bond!B:AB,27,FALSE)</f>
        <v>2049/9/24</v>
      </c>
      <c r="G93" s="90">
        <f ca="1">VLOOKUP(B93,bond!B:E,4,FALSE)</f>
        <v>25.23</v>
      </c>
      <c r="H93" s="202">
        <f ca="1">VLOOKUP(B93,bond!B:Y,24,FALSE)</f>
        <v>2.9500000000000002E-2</v>
      </c>
      <c r="I93" s="95">
        <f ca="1">VLOOKUP(B93,bond!B:Z,25,FALSE)</f>
        <v>2</v>
      </c>
      <c r="J93" s="180">
        <f ca="1">VLOOKUP(B93,bond!B:K,10,FALSE)</f>
        <v>0.80310000000000004</v>
      </c>
      <c r="K93" s="96">
        <f ca="1">VLOOKUP($B93,bond!B:S,14,FALSE)</f>
        <v>70.81</v>
      </c>
      <c r="L93" s="91" t="str">
        <f ca="1">VLOOKUP(B93,bond!B:H,7,FALSE)</f>
        <v>2024/7/2</v>
      </c>
      <c r="M93" s="144">
        <f ca="1">VLOOKUP($B93,bond!$B:$Q,16,FALSE)</f>
        <v>5.0700000000000002E-2</v>
      </c>
      <c r="N93" s="136">
        <f ca="1">VALUE(LEFT(VLOOKUP(B93,bond!B:R,17,FALSE),SEARCH(" ",VLOOKUP(B93,bond!B:R,17,FALSE),1)))</f>
        <v>2000</v>
      </c>
      <c r="O93" s="136">
        <f ca="1">VALUE(RIGHT(VLOOKUP(B93,bond!B:R,17,FALSE),LEN(VLOOKUP(B93,bond!B:R,17,FALSE))-LEN(N93)-3))</f>
        <v>1000</v>
      </c>
      <c r="P93" s="135" t="str">
        <f ca="1">VLOOKUP($B93,bond!$B:$AG,32,FALSE)</f>
        <v>2024/9/24</v>
      </c>
      <c r="Q93" s="135" t="str">
        <f ca="1">VLOOKUP($B93,bond!$B:$AH,33,FALSE)</f>
        <v>核心消費</v>
      </c>
      <c r="R93" s="135" t="str">
        <f ca="1">VLOOKUP(B93,bond!B:AA,26,FALSE)</f>
        <v>沃爾瑪公司</v>
      </c>
      <c r="S93" s="135" t="str">
        <f ca="1">VLOOKUP(B93,bond!B:AI,34,FALSE)</f>
        <v>WMT</v>
      </c>
      <c r="T93" s="135" t="str">
        <f t="shared" ca="1" si="7"/>
        <v>沃爾瑪公司/WMT</v>
      </c>
      <c r="U93" s="207" t="str">
        <f ca="1">IFERROR(VLOOKUP(T93,Bond_DES!D:E,2,FALSE),VLOOKUP(S93,bond!AI:AJ,2,FALSE))</f>
        <v>沃爾瑪(Walmart Inc.)是全美第一大連鎖零售量販店，按營收亦是世界第一大零售商，同時為世界最大的私人雇主，業務別區方為美國沃爾瑪、沃爾瑪國際及山姆會員商店三種，名列2023年《Fortune》世界500強之首，自2013年以來持續蟬聯全球企業營收龍頭寶座。</v>
      </c>
      <c r="V93" s="136" t="str">
        <f ca="1">IFERROR(VLOOKUP(B93,'1_重設數據'!L:M,2,FALSE),IF(Q93="政府",IF(AD93&gt;16,"(NPI)非專投",IF(AD93&gt;10,"(PI)專投","高資產")),IF(VLOOKUP(B93,bond!B:AN,39,FALSE)="Y","(PI)專投",IF(AD93&gt;=15,"(NPI)非專投",IF(AD93&gt;=10,"(PI)專投","高資產")))))</f>
        <v>(NPI)非專投</v>
      </c>
      <c r="W93" s="136" t="str">
        <f ca="1">VLOOKUP(AD93,'credit rating'!$F$2:$H$22,3,FALSE)</f>
        <v>AA</v>
      </c>
      <c r="X93" s="136" t="str">
        <f t="shared" ca="1" si="8"/>
        <v>Aa2</v>
      </c>
      <c r="Y93" s="136" t="str">
        <f t="shared" ca="1" si="9"/>
        <v>AA</v>
      </c>
      <c r="Z93" s="136" t="str">
        <f t="shared" ca="1" si="10"/>
        <v>AA</v>
      </c>
      <c r="AA93" s="134">
        <f ca="1">IFERROR(VLOOKUP(X93,'credit rating'!A:C,3,FALSE),0)</f>
        <v>19</v>
      </c>
      <c r="AB93" s="134">
        <f ca="1">IFERROR(VLOOKUP(Y93,'credit rating'!B:C,2,FALSE),0)</f>
        <v>19</v>
      </c>
      <c r="AC93" s="136">
        <f ca="1">IFERROR(VLOOKUP(Z93,'credit rating'!B:C,2,FALSE),0)</f>
        <v>19</v>
      </c>
      <c r="AD93" s="136">
        <f t="shared" ca="1" si="11"/>
        <v>19</v>
      </c>
      <c r="AE93" s="249">
        <f ca="1">IFERROR(VLOOKUP(B93,bond!B:U,20,FALSE),"")</f>
        <v>5.0999999999999997E-2</v>
      </c>
      <c r="AF93" s="136" t="str">
        <f ca="1">IF(VLOOKUP(B93,bond!B:AK,36,FALSE)="#N/A Field Not Applicable","",VLOOKUP(B93,bond!B:AK,36,FALSE))</f>
        <v>2049/3/24</v>
      </c>
      <c r="AG93" s="136" t="str">
        <f ca="1">IF(VLOOKUP(B93,bond!B:AL,37,FALSE)="FIXED","固定",IF(VLOOKUP(B93,bond!B:AL,37,FALSE)="FLOATING","浮動",IF(VLOOKUP(B93,bond!B:AL,37,FALSE)="VARIABLE","變動",IF(VLOOKUP(B93,bond!B:AL,37,FALSE)="FLAT TRADING","不含息交易",IF(VLOOKUP(B93,bond!B:AL,37,FALSE)="ZERO COUPON","零息",VLOOKUP(B93,bond!B:AL,37,FALSE))))))</f>
        <v>固定</v>
      </c>
      <c r="AH93" s="136" t="str">
        <f>VLOOKUP(C93,'2_Check_code'!I:J,2,FALSE)</f>
        <v>美元(USD)</v>
      </c>
      <c r="AI93" s="136" t="str">
        <f t="shared" ca="1" si="12"/>
        <v>自由選清單</v>
      </c>
      <c r="AJ93" s="136">
        <f t="shared" ca="1" si="13"/>
        <v>0</v>
      </c>
      <c r="AK93" s="594" t="str">
        <f ca="1">IF(VLOOKUP(B93,bond!B:S,18,FALSE)="是","有",IF(VLOOKUP(B93,bond!B:S,18,FALSE)="NO OFFER","無","需查詢"))</f>
        <v>有</v>
      </c>
      <c r="AL93" s="136" t="str">
        <f>IF(VLOOKUP(A93,bond!F:AR,39,FALSE)="#N/A Field Not Applicable",VLOOKUP(A93,bond!F:AR,38,FALSE),IFERROR(VLOOKUP(A93,'7_發行日例外'!A:B,2,FALSE),VLOOKUP(A93,bond!F:AR,39,FALSE)))</f>
        <v>2019/9/24</v>
      </c>
      <c r="AM93" s="136" t="str">
        <f ca="1">VLOOKUP(B93,bond!B:AK,36,FALSE)</f>
        <v>2049/3/24</v>
      </c>
      <c r="AN93" s="136" t="str">
        <f ca="1">IFERROR(VLOOKUP(B93,'3_是否下架'!A:A,1,FALSE),"")</f>
        <v/>
      </c>
      <c r="AO93" s="136">
        <f ca="1">VLOOKUP(B93,bond!B:J,9,FALSE)</f>
        <v>69.010000000000005</v>
      </c>
      <c r="AP93" s="136">
        <f ca="1">VLOOKUP(B93,bond!B:V,21,FALSE)</f>
        <v>15.648999999999999</v>
      </c>
    </row>
    <row r="94" spans="1:42">
      <c r="A94" s="141" t="str">
        <f>bond!F95</f>
        <v>US911312BS40</v>
      </c>
      <c r="B94" s="151" t="str">
        <f ca="1">IF($C$1=TRUE,bond!B95,"")</f>
        <v>XFW60</v>
      </c>
      <c r="C94" s="95" t="str">
        <f>VLOOKUP(A94,bond!F:G,2,FALSE)</f>
        <v>USD</v>
      </c>
      <c r="D94" s="142" t="str">
        <f ca="1">VLOOKUP(B94,bond!B:C,2,FALSE)</f>
        <v>聯合包裹服務公司美元配息債券 3.4% 2049/9/1</v>
      </c>
      <c r="E94" s="95" t="str">
        <f ca="1">VLOOKUP(B94,bond!B:D,3,FALSE)</f>
        <v>A2 / A / -</v>
      </c>
      <c r="F94" s="99" t="str">
        <f ca="1">VLOOKUP(B94,bond!B:AB,27,FALSE)</f>
        <v>2049/9/1</v>
      </c>
      <c r="G94" s="90">
        <f ca="1">VLOOKUP(B94,bond!B:E,4,FALSE)</f>
        <v>25.17</v>
      </c>
      <c r="H94" s="202">
        <f ca="1">VLOOKUP(B94,bond!B:Y,24,FALSE)</f>
        <v>3.4000000000000002E-2</v>
      </c>
      <c r="I94" s="95">
        <f ca="1">VLOOKUP(B94,bond!B:Z,25,FALSE)</f>
        <v>2</v>
      </c>
      <c r="J94" s="180">
        <f ca="1">VLOOKUP(B94,bond!B:K,10,FALSE)</f>
        <v>1.1428</v>
      </c>
      <c r="K94" s="96">
        <f ca="1">VLOOKUP($B94,bond!B:S,14,FALSE)</f>
        <v>77.53</v>
      </c>
      <c r="L94" s="91" t="str">
        <f ca="1">VLOOKUP(B94,bond!B:H,7,FALSE)</f>
        <v>2024/7/2</v>
      </c>
      <c r="M94" s="144">
        <f ca="1">VLOOKUP($B94,bond!$B:$Q,16,FALSE)</f>
        <v>5.0700000000000002E-2</v>
      </c>
      <c r="N94" s="136">
        <f ca="1">VALUE(LEFT(VLOOKUP(B94,bond!B:R,17,FALSE),SEARCH(" ",VLOOKUP(B94,bond!B:R,17,FALSE),1)))</f>
        <v>10000</v>
      </c>
      <c r="O94" s="136">
        <f ca="1">VALUE(RIGHT(VLOOKUP(B94,bond!B:R,17,FALSE),LEN(VLOOKUP(B94,bond!B:R,17,FALSE))-LEN(N94)-3))</f>
        <v>1000</v>
      </c>
      <c r="P94" s="135" t="str">
        <f ca="1">VLOOKUP($B94,bond!$B:$AG,32,FALSE)</f>
        <v>2024/9/1</v>
      </c>
      <c r="Q94" s="135" t="str">
        <f ca="1">VLOOKUP($B94,bond!$B:$AH,33,FALSE)</f>
        <v>工業</v>
      </c>
      <c r="R94" s="135" t="str">
        <f ca="1">VLOOKUP(B94,bond!B:AA,26,FALSE)</f>
        <v>聯合包裹服務公司</v>
      </c>
      <c r="S94" s="135" t="str">
        <f ca="1">VLOOKUP(B94,bond!B:AI,34,FALSE)</f>
        <v>UPS</v>
      </c>
      <c r="T94" s="135" t="str">
        <f t="shared" ca="1" si="7"/>
        <v>聯合包裹服務公司/UPS</v>
      </c>
      <c r="U94" s="207" t="str">
        <f ca="1">IFERROR(VLOOKUP(T94,Bond_DES!D:E,2,FALSE),VLOOKUP(S94,bond!AI:AJ,2,FALSE))</f>
        <v>聯合包裹服務公司(United Parcel Service, Inc. (UPS)是全球最大的包裹遞送公司及全球領先的供應鏈管理解決方案提供商，為全球物流公司品牌價值之首，擁有著自己的貨運航空公司「UPS Airlines」、無人機航空公司「UPS Flight Forward」，並營運著全球最大的替代燃料車隊之一，足跡遍佈全球200多個國家和地區，年遞送包裹達57億件。</v>
      </c>
      <c r="V94" s="136" t="str">
        <f ca="1">IFERROR(VLOOKUP(B94,'1_重設數據'!L:M,2,FALSE),IF(Q94="政府",IF(AD94&gt;16,"(NPI)非專投",IF(AD94&gt;10,"(PI)專投","高資產")),IF(VLOOKUP(B94,bond!B:AN,39,FALSE)="Y","(PI)專投",IF(AD94&gt;=15,"(NPI)非專投",IF(AD94&gt;=10,"(PI)專投","高資產")))))</f>
        <v>(NPI)非專投</v>
      </c>
      <c r="W94" s="136" t="str">
        <f ca="1">VLOOKUP(AD94,'credit rating'!$F$2:$H$22,3,FALSE)</f>
        <v>A</v>
      </c>
      <c r="X94" s="136" t="str">
        <f t="shared" ca="1" si="8"/>
        <v>A2</v>
      </c>
      <c r="Y94" s="136" t="str">
        <f t="shared" ca="1" si="9"/>
        <v>A</v>
      </c>
      <c r="Z94" s="136" t="str">
        <f t="shared" ca="1" si="10"/>
        <v>-</v>
      </c>
      <c r="AA94" s="134">
        <f ca="1">IFERROR(VLOOKUP(X94,'credit rating'!A:C,3,FALSE),0)</f>
        <v>16</v>
      </c>
      <c r="AB94" s="134">
        <f ca="1">IFERROR(VLOOKUP(Y94,'credit rating'!B:C,2,FALSE),0)</f>
        <v>16</v>
      </c>
      <c r="AC94" s="136">
        <f ca="1">IFERROR(VLOOKUP(Z94,'credit rating'!B:C,2,FALSE),0)</f>
        <v>0</v>
      </c>
      <c r="AD94" s="136">
        <f t="shared" ca="1" si="11"/>
        <v>16</v>
      </c>
      <c r="AE94" s="249">
        <f ca="1">IFERROR(VLOOKUP(B94,bond!B:U,20,FALSE),"")</f>
        <v>5.0900000000000001E-2</v>
      </c>
      <c r="AF94" s="136" t="str">
        <f ca="1">IF(VLOOKUP(B94,bond!B:AK,36,FALSE)="#N/A Field Not Applicable","",VLOOKUP(B94,bond!B:AK,36,FALSE))</f>
        <v>2049/3/1</v>
      </c>
      <c r="AG94" s="136" t="str">
        <f ca="1">IF(VLOOKUP(B94,bond!B:AL,37,FALSE)="FIXED","固定",IF(VLOOKUP(B94,bond!B:AL,37,FALSE)="FLOATING","浮動",IF(VLOOKUP(B94,bond!B:AL,37,FALSE)="VARIABLE","變動",IF(VLOOKUP(B94,bond!B:AL,37,FALSE)="FLAT TRADING","不含息交易",IF(VLOOKUP(B94,bond!B:AL,37,FALSE)="ZERO COUPON","零息",VLOOKUP(B94,bond!B:AL,37,FALSE))))))</f>
        <v>固定</v>
      </c>
      <c r="AH94" s="136" t="str">
        <f>VLOOKUP(C94,'2_Check_code'!I:J,2,FALSE)</f>
        <v>美元(USD)</v>
      </c>
      <c r="AI94" s="136" t="str">
        <f t="shared" ca="1" si="12"/>
        <v>自由選清單</v>
      </c>
      <c r="AJ94" s="136">
        <f t="shared" ca="1" si="13"/>
        <v>0</v>
      </c>
      <c r="AK94" s="594" t="str">
        <f ca="1">IF(VLOOKUP(B94,bond!B:S,18,FALSE)="是","有",IF(VLOOKUP(B94,bond!B:S,18,FALSE)="NO OFFER","無","需查詢"))</f>
        <v>有</v>
      </c>
      <c r="AL94" s="136" t="str">
        <f>IF(VLOOKUP(A94,bond!F:AR,39,FALSE)="#N/A Field Not Applicable",VLOOKUP(A94,bond!F:AR,38,FALSE),IFERROR(VLOOKUP(A94,'7_發行日例外'!A:B,2,FALSE),VLOOKUP(A94,bond!F:AR,39,FALSE)))</f>
        <v>2019/8/16</v>
      </c>
      <c r="AM94" s="136" t="str">
        <f ca="1">VLOOKUP(B94,bond!B:AK,36,FALSE)</f>
        <v>2049/3/1</v>
      </c>
      <c r="AN94" s="136" t="str">
        <f ca="1">IFERROR(VLOOKUP(B94,'3_是否下架'!A:A,1,FALSE),"")</f>
        <v/>
      </c>
      <c r="AO94" s="136">
        <f ca="1">VLOOKUP(B94,bond!B:J,9,FALSE)</f>
        <v>72.89</v>
      </c>
      <c r="AP94" s="136">
        <f ca="1">VLOOKUP(B94,bond!B:V,21,FALSE)</f>
        <v>14.9969</v>
      </c>
    </row>
    <row r="95" spans="1:42">
      <c r="A95" s="141" t="str">
        <f>bond!F96</f>
        <v>US00287YAS81</v>
      </c>
      <c r="B95" s="151" t="str">
        <f ca="1">IF($C$1=TRUE,bond!B96,"")</f>
        <v>XFW70</v>
      </c>
      <c r="C95" s="95" t="str">
        <f>VLOOKUP(A95,bond!F:G,2,FALSE)</f>
        <v>USD</v>
      </c>
      <c r="D95" s="142" t="str">
        <f ca="1">VLOOKUP(B95,bond!B:C,2,FALSE)</f>
        <v>艾伯維藥品有限公司美元配息債券 4.7% 2045/5/14</v>
      </c>
      <c r="E95" s="95" t="str">
        <f ca="1">VLOOKUP(B95,bond!B:D,3,FALSE)</f>
        <v>A3 / A- / -</v>
      </c>
      <c r="F95" s="99" t="str">
        <f ca="1">VLOOKUP(B95,bond!B:AB,27,FALSE)</f>
        <v>2045/5/14</v>
      </c>
      <c r="G95" s="90">
        <f ca="1">VLOOKUP(B95,bond!B:E,4,FALSE)</f>
        <v>20.87</v>
      </c>
      <c r="H95" s="202">
        <f ca="1">VLOOKUP(B95,bond!B:Y,24,FALSE)</f>
        <v>4.7E-2</v>
      </c>
      <c r="I95" s="95">
        <f ca="1">VLOOKUP(B95,bond!B:Z,25,FALSE)</f>
        <v>2</v>
      </c>
      <c r="J95" s="180">
        <f ca="1">VLOOKUP(B95,bond!B:K,10,FALSE)</f>
        <v>0.62670000000000003</v>
      </c>
      <c r="K95" s="96">
        <f ca="1">VLOOKUP($B95,bond!B:S,14,FALSE)</f>
        <v>94.66</v>
      </c>
      <c r="L95" s="91" t="str">
        <f ca="1">VLOOKUP(B95,bond!B:H,7,FALSE)</f>
        <v>2024/7/2</v>
      </c>
      <c r="M95" s="144">
        <f ca="1">VLOOKUP($B95,bond!$B:$Q,16,FALSE)</f>
        <v>5.1700000000000003E-2</v>
      </c>
      <c r="N95" s="136">
        <f ca="1">VALUE(LEFT(VLOOKUP(B95,bond!B:R,17,FALSE),SEARCH(" ",VLOOKUP(B95,bond!B:R,17,FALSE),1)))</f>
        <v>10000</v>
      </c>
      <c r="O95" s="136">
        <f ca="1">VALUE(RIGHT(VLOOKUP(B95,bond!B:R,17,FALSE),LEN(VLOOKUP(B95,bond!B:R,17,FALSE))-LEN(N95)-3))</f>
        <v>1000</v>
      </c>
      <c r="P95" s="135" t="str">
        <f ca="1">VLOOKUP($B95,bond!$B:$AG,32,FALSE)</f>
        <v>2024/11/14</v>
      </c>
      <c r="Q95" s="135" t="str">
        <f ca="1">VLOOKUP($B95,bond!$B:$AH,33,FALSE)</f>
        <v>醫療保健</v>
      </c>
      <c r="R95" s="135" t="str">
        <f ca="1">VLOOKUP(B95,bond!B:AA,26,FALSE)</f>
        <v>艾伯維公司</v>
      </c>
      <c r="S95" s="135" t="str">
        <f ca="1">VLOOKUP(B95,bond!B:AI,34,FALSE)</f>
        <v>ABBV</v>
      </c>
      <c r="T95" s="135" t="str">
        <f t="shared" ca="1" si="7"/>
        <v>艾伯維公司/ABBV</v>
      </c>
      <c r="U95" s="207" t="str">
        <f ca="1">IFERROR(VLOOKUP(T95,Bond_DES!D:E,2,FALSE),VLOOKUP(S95,bond!AI:AJ,2,FALSE))</f>
        <v>艾伯維藥品有限公司(AbbVie Inc.)是一家生物製藥公司，其第一大明星藥品即為疫前全球暢銷處方藥之首的風濕性關節炎藥物修美樂(Humira)，2020年完成收購肉毒桿菌素製造商愛力根(Allegan)，取得醫美學界最大企業的控制權。按處方藥銷售額名列全球藥企第2位(Pharm Exec 2024)、按營收名列全球藥企第5位(Fortune 2023)。</v>
      </c>
      <c r="V95" s="136" t="str">
        <f ca="1">IFERROR(VLOOKUP(B95,'1_重設數據'!L:M,2,FALSE),IF(Q95="政府",IF(AD95&gt;16,"(NPI)非專投",IF(AD95&gt;10,"(PI)專投","高資產")),IF(VLOOKUP(B95,bond!B:AN,39,FALSE)="Y","(PI)專投",IF(AD95&gt;=15,"(NPI)非專投",IF(AD95&gt;=10,"(PI)專投","高資產")))))</f>
        <v>(NPI)非專投</v>
      </c>
      <c r="W95" s="136" t="str">
        <f ca="1">VLOOKUP(AD95,'credit rating'!$F$2:$H$22,3,FALSE)</f>
        <v>A-</v>
      </c>
      <c r="X95" s="136" t="str">
        <f t="shared" ca="1" si="8"/>
        <v>A3</v>
      </c>
      <c r="Y95" s="136" t="str">
        <f t="shared" ca="1" si="9"/>
        <v>A-</v>
      </c>
      <c r="Z95" s="136" t="str">
        <f t="shared" ca="1" si="10"/>
        <v>-</v>
      </c>
      <c r="AA95" s="134">
        <f ca="1">IFERROR(VLOOKUP(X95,'credit rating'!A:C,3,FALSE),0)</f>
        <v>15</v>
      </c>
      <c r="AB95" s="134">
        <f ca="1">IFERROR(VLOOKUP(Y95,'credit rating'!B:C,2,FALSE),0)</f>
        <v>15</v>
      </c>
      <c r="AC95" s="136">
        <f ca="1">IFERROR(VLOOKUP(Z95,'credit rating'!B:C,2,FALSE),0)</f>
        <v>0</v>
      </c>
      <c r="AD95" s="136">
        <f t="shared" ca="1" si="11"/>
        <v>15</v>
      </c>
      <c r="AE95" s="249">
        <f ca="1">IFERROR(VLOOKUP(B95,bond!B:U,20,FALSE),"")</f>
        <v>5.1799999999999999E-2</v>
      </c>
      <c r="AF95" s="136" t="str">
        <f ca="1">IF(VLOOKUP(B95,bond!B:AK,36,FALSE)="#N/A Field Not Applicable","",VLOOKUP(B95,bond!B:AK,36,FALSE))</f>
        <v>2044/11/14</v>
      </c>
      <c r="AG95" s="136" t="str">
        <f ca="1">IF(VLOOKUP(B95,bond!B:AL,37,FALSE)="FIXED","固定",IF(VLOOKUP(B95,bond!B:AL,37,FALSE)="FLOATING","浮動",IF(VLOOKUP(B95,bond!B:AL,37,FALSE)="VARIABLE","變動",IF(VLOOKUP(B95,bond!B:AL,37,FALSE)="FLAT TRADING","不含息交易",IF(VLOOKUP(B95,bond!B:AL,37,FALSE)="ZERO COUPON","零息",VLOOKUP(B95,bond!B:AL,37,FALSE))))))</f>
        <v>固定</v>
      </c>
      <c r="AH95" s="136" t="str">
        <f>VLOOKUP(C95,'2_Check_code'!I:J,2,FALSE)</f>
        <v>美元(USD)</v>
      </c>
      <c r="AI95" s="136" t="str">
        <f t="shared" ca="1" si="12"/>
        <v>自由選清單</v>
      </c>
      <c r="AJ95" s="136">
        <f t="shared" ca="1" si="13"/>
        <v>0</v>
      </c>
      <c r="AK95" s="594" t="str">
        <f ca="1">IF(VLOOKUP(B95,bond!B:S,18,FALSE)="是","有",IF(VLOOKUP(B95,bond!B:S,18,FALSE)="NO OFFER","無","需查詢"))</f>
        <v>有</v>
      </c>
      <c r="AL95" s="136" t="str">
        <f>IF(VLOOKUP(A95,bond!F:AR,39,FALSE)="#N/A Field Not Applicable",VLOOKUP(A95,bond!F:AR,38,FALSE),IFERROR(VLOOKUP(A95,'7_發行日例外'!A:B,2,FALSE),VLOOKUP(A95,bond!F:AR,39,FALSE)))</f>
        <v>2015/5/14</v>
      </c>
      <c r="AM95" s="136" t="str">
        <f ca="1">VLOOKUP(B95,bond!B:AK,36,FALSE)</f>
        <v>2044/11/14</v>
      </c>
      <c r="AN95" s="136" t="str">
        <f ca="1">IFERROR(VLOOKUP(B95,'3_是否下架'!A:A,1,FALSE),"")</f>
        <v/>
      </c>
      <c r="AO95" s="136">
        <f ca="1">VLOOKUP(B95,bond!B:J,9,FALSE)</f>
        <v>91.03</v>
      </c>
      <c r="AP95" s="136">
        <f ca="1">VLOOKUP(B95,bond!B:V,21,FALSE)</f>
        <v>12.7453</v>
      </c>
    </row>
    <row r="96" spans="1:42">
      <c r="A96" s="141" t="str">
        <f>bond!F97</f>
        <v>US406216BK61</v>
      </c>
      <c r="B96" s="151" t="str">
        <f ca="1">IF($C$1=TRUE,bond!B97,"")</f>
        <v>XFW80</v>
      </c>
      <c r="C96" s="95" t="str">
        <f>VLOOKUP(A96,bond!F:G,2,FALSE)</f>
        <v>USD</v>
      </c>
      <c r="D96" s="142" t="str">
        <f ca="1">VLOOKUP(B96,bond!B:C,2,FALSE)</f>
        <v>哈里伯頓公司美元配息債券 5% 2045/11/15</v>
      </c>
      <c r="E96" s="95" t="str">
        <f ca="1">VLOOKUP(B96,bond!B:D,3,FALSE)</f>
        <v>A3 / BBB+ / WD</v>
      </c>
      <c r="F96" s="99" t="str">
        <f ca="1">VLOOKUP(B96,bond!B:AB,27,FALSE)</f>
        <v>2045/11/15</v>
      </c>
      <c r="G96" s="90">
        <f ca="1">VLOOKUP(B96,bond!B:E,4,FALSE)</f>
        <v>21.37</v>
      </c>
      <c r="H96" s="202">
        <f ca="1">VLOOKUP(B96,bond!B:Y,24,FALSE)</f>
        <v>0.05</v>
      </c>
      <c r="I96" s="95">
        <f ca="1">VLOOKUP(B96,bond!B:Z,25,FALSE)</f>
        <v>2</v>
      </c>
      <c r="J96" s="180">
        <f ca="1">VLOOKUP(B96,bond!B:K,10,FALSE)</f>
        <v>0.65280000000000005</v>
      </c>
      <c r="K96" s="96">
        <f ca="1">VLOOKUP($B96,bond!B:S,14,FALSE)</f>
        <v>94.77</v>
      </c>
      <c r="L96" s="91" t="str">
        <f ca="1">VLOOKUP(B96,bond!B:H,7,FALSE)</f>
        <v>2024/7/2</v>
      </c>
      <c r="M96" s="144">
        <f ca="1">VLOOKUP($B96,bond!$B:$Q,16,FALSE)</f>
        <v>5.4699999999999999E-2</v>
      </c>
      <c r="N96" s="136">
        <f ca="1">VALUE(LEFT(VLOOKUP(B96,bond!B:R,17,FALSE),SEARCH(" ",VLOOKUP(B96,bond!B:R,17,FALSE),1)))</f>
        <v>10000</v>
      </c>
      <c r="O96" s="136">
        <f ca="1">VALUE(RIGHT(VLOOKUP(B96,bond!B:R,17,FALSE),LEN(VLOOKUP(B96,bond!B:R,17,FALSE))-LEN(N96)-3))</f>
        <v>1000</v>
      </c>
      <c r="P96" s="135" t="str">
        <f ca="1">VLOOKUP($B96,bond!$B:$AG,32,FALSE)</f>
        <v>2024/11/15</v>
      </c>
      <c r="Q96" s="135" t="str">
        <f ca="1">VLOOKUP($B96,bond!$B:$AH,33,FALSE)</f>
        <v>能源</v>
      </c>
      <c r="R96" s="135" t="str">
        <f ca="1">VLOOKUP(B96,bond!B:AA,26,FALSE)</f>
        <v>哈里伯頓公司</v>
      </c>
      <c r="S96" s="135" t="str">
        <f ca="1">VLOOKUP(B96,bond!B:AI,34,FALSE)</f>
        <v>HAL</v>
      </c>
      <c r="T96" s="135" t="str">
        <f t="shared" ca="1" si="7"/>
        <v>哈里伯頓公司/HAL</v>
      </c>
      <c r="U96" s="207" t="str">
        <f ca="1">IFERROR(VLOOKUP(T96,Bond_DES!D:E,2,FALSE),VLOOKUP(S96,bond!AI:AJ,2,FALSE))</f>
        <v>哈里伯頓公司(Halliburton Company)為美國三大油田服務公司之一，僱用來自70多個國家逾4萬名員工，為從事探勘、開發及生產石油及天然氣的客戶，提供服務、產品及整合解決方案 。名列2024年《Fortune》美國500強企業第177位。</v>
      </c>
      <c r="V96" s="136" t="str">
        <f ca="1">IFERROR(VLOOKUP(B96,'1_重設數據'!L:M,2,FALSE),IF(Q96="政府",IF(AD96&gt;16,"(NPI)非專投",IF(AD96&gt;10,"(PI)專投","高資產")),IF(VLOOKUP(B96,bond!B:AN,39,FALSE)="Y","(PI)專投",IF(AD96&gt;=15,"(NPI)非專投",IF(AD96&gt;=10,"(PI)專投","高資產")))))</f>
        <v>(NPI)非專投</v>
      </c>
      <c r="W96" s="136" t="str">
        <f ca="1">VLOOKUP(AD96,'credit rating'!$F$2:$H$22,3,FALSE)</f>
        <v>A-</v>
      </c>
      <c r="X96" s="136" t="str">
        <f t="shared" ca="1" si="8"/>
        <v>A3</v>
      </c>
      <c r="Y96" s="136" t="str">
        <f t="shared" ca="1" si="9"/>
        <v>BBB+</v>
      </c>
      <c r="Z96" s="136" t="str">
        <f t="shared" ca="1" si="10"/>
        <v>WD</v>
      </c>
      <c r="AA96" s="134">
        <f ca="1">IFERROR(VLOOKUP(X96,'credit rating'!A:C,3,FALSE),0)</f>
        <v>15</v>
      </c>
      <c r="AB96" s="134">
        <f ca="1">IFERROR(VLOOKUP(Y96,'credit rating'!B:C,2,FALSE),0)</f>
        <v>14</v>
      </c>
      <c r="AC96" s="136">
        <f ca="1">IFERROR(VLOOKUP(Z96,'credit rating'!B:C,2,FALSE),0)</f>
        <v>0</v>
      </c>
      <c r="AD96" s="136">
        <f t="shared" ca="1" si="11"/>
        <v>15</v>
      </c>
      <c r="AE96" s="249">
        <f ca="1">IFERROR(VLOOKUP(B96,bond!B:U,20,FALSE),"")</f>
        <v>5.4800000000000001E-2</v>
      </c>
      <c r="AF96" s="136" t="str">
        <f ca="1">IF(VLOOKUP(B96,bond!B:AK,36,FALSE)="#N/A Field Not Applicable","",VLOOKUP(B96,bond!B:AK,36,FALSE))</f>
        <v>2045/5/15</v>
      </c>
      <c r="AG96" s="136" t="str">
        <f ca="1">IF(VLOOKUP(B96,bond!B:AL,37,FALSE)="FIXED","固定",IF(VLOOKUP(B96,bond!B:AL,37,FALSE)="FLOATING","浮動",IF(VLOOKUP(B96,bond!B:AL,37,FALSE)="VARIABLE","變動",IF(VLOOKUP(B96,bond!B:AL,37,FALSE)="FLAT TRADING","不含息交易",IF(VLOOKUP(B96,bond!B:AL,37,FALSE)="ZERO COUPON","零息",VLOOKUP(B96,bond!B:AL,37,FALSE))))))</f>
        <v>固定</v>
      </c>
      <c r="AH96" s="136" t="str">
        <f>VLOOKUP(C96,'2_Check_code'!I:J,2,FALSE)</f>
        <v>美元(USD)</v>
      </c>
      <c r="AI96" s="136" t="str">
        <f t="shared" ca="1" si="12"/>
        <v>自由選清單</v>
      </c>
      <c r="AJ96" s="136">
        <f t="shared" ca="1" si="13"/>
        <v>0</v>
      </c>
      <c r="AK96" s="594" t="str">
        <f ca="1">IF(VLOOKUP(B96,bond!B:S,18,FALSE)="是","有",IF(VLOOKUP(B96,bond!B:S,18,FALSE)="NO OFFER","無","需查詢"))</f>
        <v>需查詢</v>
      </c>
      <c r="AL96" s="136" t="str">
        <f>IF(VLOOKUP(A96,bond!F:AR,39,FALSE)="#N/A Field Not Applicable",VLOOKUP(A96,bond!F:AR,38,FALSE),IFERROR(VLOOKUP(A96,'7_發行日例外'!A:B,2,FALSE),VLOOKUP(A96,bond!F:AR,39,FALSE)))</f>
        <v>2015/11/13</v>
      </c>
      <c r="AM96" s="136" t="str">
        <f ca="1">VLOOKUP(B96,bond!B:AK,36,FALSE)</f>
        <v>2045/5/15</v>
      </c>
      <c r="AN96" s="136" t="str">
        <f ca="1">IFERROR(VLOOKUP(B96,'3_是否下架'!A:A,1,FALSE),"")</f>
        <v/>
      </c>
      <c r="AO96" s="136">
        <f ca="1">VLOOKUP(B96,bond!B:J,9,FALSE)</f>
        <v>91.12</v>
      </c>
      <c r="AP96" s="136">
        <f ca="1">VLOOKUP(B96,bond!B:V,21,FALSE)</f>
        <v>12.560600000000001</v>
      </c>
    </row>
    <row r="97" spans="1:42">
      <c r="A97" s="141" t="str">
        <f>bond!F98</f>
        <v>US254687FM36</v>
      </c>
      <c r="B97" s="151" t="str">
        <f ca="1">IF($C$1=TRUE,bond!B98,"")</f>
        <v>XFW90</v>
      </c>
      <c r="C97" s="95" t="str">
        <f>VLOOKUP(A97,bond!F:G,2,FALSE)</f>
        <v>USD</v>
      </c>
      <c r="D97" s="142" t="str">
        <f ca="1">VLOOKUP(B97,bond!B:C,2,FALSE)</f>
        <v>華特迪士尼公司美元配息債券 2.75% 2049/9/1</v>
      </c>
      <c r="E97" s="95" t="str">
        <f ca="1">VLOOKUP(B97,bond!B:D,3,FALSE)</f>
        <v>A2 / A- / A-</v>
      </c>
      <c r="F97" s="99" t="str">
        <f ca="1">VLOOKUP(B97,bond!B:AB,27,FALSE)</f>
        <v>2049/9/1</v>
      </c>
      <c r="G97" s="90">
        <f ca="1">VLOOKUP(B97,bond!B:E,4,FALSE)</f>
        <v>25.17</v>
      </c>
      <c r="H97" s="202">
        <f ca="1">VLOOKUP(B97,bond!B:Y,24,FALSE)</f>
        <v>2.75E-2</v>
      </c>
      <c r="I97" s="95">
        <f ca="1">VLOOKUP(B97,bond!B:Z,25,FALSE)</f>
        <v>2</v>
      </c>
      <c r="J97" s="180">
        <f ca="1">VLOOKUP(B97,bond!B:K,10,FALSE)</f>
        <v>0.92430000000000001</v>
      </c>
      <c r="K97" s="96">
        <f ca="1">VLOOKUP($B97,bond!B:S,14,FALSE)</f>
        <v>68.56</v>
      </c>
      <c r="L97" s="91" t="str">
        <f ca="1">VLOOKUP(B97,bond!B:H,7,FALSE)</f>
        <v>2024/7/2</v>
      </c>
      <c r="M97" s="144">
        <f ca="1">VLOOKUP($B97,bond!$B:$Q,16,FALSE)</f>
        <v>5.0299999999999997E-2</v>
      </c>
      <c r="N97" s="136">
        <f ca="1">VALUE(LEFT(VLOOKUP(B97,bond!B:R,17,FALSE),SEARCH(" ",VLOOKUP(B97,bond!B:R,17,FALSE),1)))</f>
        <v>10000</v>
      </c>
      <c r="O97" s="136">
        <f ca="1">VALUE(RIGHT(VLOOKUP(B97,bond!B:R,17,FALSE),LEN(VLOOKUP(B97,bond!B:R,17,FALSE))-LEN(N97)-3))</f>
        <v>1000</v>
      </c>
      <c r="P97" s="135" t="str">
        <f ca="1">VLOOKUP($B97,bond!$B:$AG,32,FALSE)</f>
        <v>2024/9/1</v>
      </c>
      <c r="Q97" s="135" t="str">
        <f ca="1">VLOOKUP($B97,bond!$B:$AH,33,FALSE)</f>
        <v>通訊</v>
      </c>
      <c r="R97" s="135" t="str">
        <f ca="1">VLOOKUP(B97,bond!B:AA,26,FALSE)</f>
        <v>華特迪士尼公司</v>
      </c>
      <c r="S97" s="135" t="str">
        <f ca="1">VLOOKUP(B97,bond!B:AI,34,FALSE)</f>
        <v>DIS</v>
      </c>
      <c r="T97" s="135" t="str">
        <f t="shared" ca="1" si="7"/>
        <v>華特迪士尼公司/DIS</v>
      </c>
      <c r="U97" s="207" t="str">
        <f ca="1">IFERROR(VLOOKUP(T97,Bond_DES!D:E,2,FALSE),VLOOKUP(S97,bond!AI:AJ,2,FALSE))</f>
        <v>華特迪士尼公司(The Walt Disney Company)是一家跨國多元化家庭娛樂及媒體巨頭，透過收購皮克斯、漫威、盧卡斯影業及21世紀福斯等核心資產，成為擄獲大人與小孩的智慧財產(IP)王國，並利用主題樂園、影院、線性平台及串流平台等媒體模式變現。截至2023年底，旗下包括Disney+在內的串流媒體平台總訂閱數達2億。</v>
      </c>
      <c r="V97" s="136" t="str">
        <f ca="1">IFERROR(VLOOKUP(B97,'1_重設數據'!L:M,2,FALSE),IF(Q97="政府",IF(AD97&gt;16,"(NPI)非專投",IF(AD97&gt;10,"(PI)專投","高資產")),IF(VLOOKUP(B97,bond!B:AN,39,FALSE)="Y","(PI)專投",IF(AD97&gt;=15,"(NPI)非專投",IF(AD97&gt;=10,"(PI)專投","高資產")))))</f>
        <v>(NPI)非專投</v>
      </c>
      <c r="W97" s="136" t="str">
        <f ca="1">VLOOKUP(AD97,'credit rating'!$F$2:$H$22,3,FALSE)</f>
        <v>A</v>
      </c>
      <c r="X97" s="136" t="str">
        <f t="shared" ca="1" si="8"/>
        <v>A2</v>
      </c>
      <c r="Y97" s="136" t="str">
        <f t="shared" ca="1" si="9"/>
        <v>A-</v>
      </c>
      <c r="Z97" s="136" t="str">
        <f t="shared" ca="1" si="10"/>
        <v>A-</v>
      </c>
      <c r="AA97" s="134">
        <f ca="1">IFERROR(VLOOKUP(X97,'credit rating'!A:C,3,FALSE),0)</f>
        <v>16</v>
      </c>
      <c r="AB97" s="134">
        <f ca="1">IFERROR(VLOOKUP(Y97,'credit rating'!B:C,2,FALSE),0)</f>
        <v>15</v>
      </c>
      <c r="AC97" s="136">
        <f ca="1">IFERROR(VLOOKUP(Z97,'credit rating'!B:C,2,FALSE),0)</f>
        <v>15</v>
      </c>
      <c r="AD97" s="136">
        <f t="shared" ca="1" si="11"/>
        <v>16</v>
      </c>
      <c r="AE97" s="249">
        <f ca="1">IFERROR(VLOOKUP(B97,bond!B:U,20,FALSE),"")</f>
        <v>5.0599999999999999E-2</v>
      </c>
      <c r="AF97" s="136" t="str">
        <f ca="1">IF(VLOOKUP(B97,bond!B:AK,36,FALSE)="#N/A Field Not Applicable","",VLOOKUP(B97,bond!B:AK,36,FALSE))</f>
        <v>2049/3/1</v>
      </c>
      <c r="AG97" s="136" t="str">
        <f ca="1">IF(VLOOKUP(B97,bond!B:AL,37,FALSE)="FIXED","固定",IF(VLOOKUP(B97,bond!B:AL,37,FALSE)="FLOATING","浮動",IF(VLOOKUP(B97,bond!B:AL,37,FALSE)="VARIABLE","變動",IF(VLOOKUP(B97,bond!B:AL,37,FALSE)="FLAT TRADING","不含息交易",IF(VLOOKUP(B97,bond!B:AL,37,FALSE)="ZERO COUPON","零息",VLOOKUP(B97,bond!B:AL,37,FALSE))))))</f>
        <v>固定</v>
      </c>
      <c r="AH97" s="136" t="str">
        <f>VLOOKUP(C97,'2_Check_code'!I:J,2,FALSE)</f>
        <v>美元(USD)</v>
      </c>
      <c r="AI97" s="136" t="str">
        <f t="shared" ca="1" si="12"/>
        <v>自由選清單</v>
      </c>
      <c r="AJ97" s="136">
        <f t="shared" ca="1" si="13"/>
        <v>0</v>
      </c>
      <c r="AK97" s="594" t="str">
        <f ca="1">IF(VLOOKUP(B97,bond!B:S,18,FALSE)="是","有",IF(VLOOKUP(B97,bond!B:S,18,FALSE)="NO OFFER","無","需查詢"))</f>
        <v>有</v>
      </c>
      <c r="AL97" s="136" t="str">
        <f>IF(VLOOKUP(A97,bond!F:AR,39,FALSE)="#N/A Field Not Applicable",VLOOKUP(A97,bond!F:AR,38,FALSE),IFERROR(VLOOKUP(A97,'7_發行日例外'!A:B,2,FALSE),VLOOKUP(A97,bond!F:AR,39,FALSE)))</f>
        <v>2019/9/6</v>
      </c>
      <c r="AM97" s="136" t="str">
        <f ca="1">VLOOKUP(B97,bond!B:AK,36,FALSE)</f>
        <v>2049/3/1</v>
      </c>
      <c r="AN97" s="136" t="str">
        <f ca="1">IFERROR(VLOOKUP(B97,'3_是否下架'!A:A,1,FALSE),"")</f>
        <v/>
      </c>
      <c r="AO97" s="136">
        <f ca="1">VLOOKUP(B97,bond!B:J,9,FALSE)</f>
        <v>64.14</v>
      </c>
      <c r="AP97" s="136">
        <f ca="1">VLOOKUP(B97,bond!B:V,21,FALSE)</f>
        <v>15.770099999999999</v>
      </c>
    </row>
    <row r="98" spans="1:42">
      <c r="A98" s="141" t="str">
        <f>bond!F99</f>
        <v>US50077LAB27</v>
      </c>
      <c r="B98" s="151" t="str">
        <f ca="1">IF($C$1=TRUE,bond!B99,"")</f>
        <v>XFX10</v>
      </c>
      <c r="C98" s="95" t="str">
        <f>VLOOKUP(A98,bond!F:G,2,FALSE)</f>
        <v>USD</v>
      </c>
      <c r="D98" s="142" t="str">
        <f ca="1">VLOOKUP(B98,bond!B:C,2,FALSE)</f>
        <v>卡夫亨氏食品公司美元配息債券 4.375% 2046/6/1</v>
      </c>
      <c r="E98" s="95" t="str">
        <f ca="1">VLOOKUP(B98,bond!B:D,3,FALSE)</f>
        <v>Baa2 / BBB / BBB</v>
      </c>
      <c r="F98" s="99" t="str">
        <f ca="1">VLOOKUP(B98,bond!B:AB,27,FALSE)</f>
        <v>2046/6/1</v>
      </c>
      <c r="G98" s="90">
        <f ca="1">VLOOKUP(B98,bond!B:E,4,FALSE)</f>
        <v>21.91</v>
      </c>
      <c r="H98" s="202">
        <f ca="1">VLOOKUP(B98,bond!B:Y,24,FALSE)</f>
        <v>4.3749999999999997E-2</v>
      </c>
      <c r="I98" s="95">
        <f ca="1">VLOOKUP(B98,bond!B:Z,25,FALSE)</f>
        <v>2</v>
      </c>
      <c r="J98" s="180">
        <f ca="1">VLOOKUP(B98,bond!B:K,10,FALSE)</f>
        <v>0.37669999999999998</v>
      </c>
      <c r="K98" s="96">
        <f ca="1">VLOOKUP($B98,bond!B:S,14,FALSE)</f>
        <v>85.64</v>
      </c>
      <c r="L98" s="91" t="str">
        <f ca="1">VLOOKUP(B98,bond!B:H,7,FALSE)</f>
        <v>2024/7/2</v>
      </c>
      <c r="M98" s="144">
        <f ca="1">VLOOKUP($B98,bond!$B:$Q,16,FALSE)</f>
        <v>5.5399999999999998E-2</v>
      </c>
      <c r="N98" s="136">
        <f ca="1">VALUE(LEFT(VLOOKUP(B98,bond!B:R,17,FALSE),SEARCH(" ",VLOOKUP(B98,bond!B:R,17,FALSE),1)))</f>
        <v>10000</v>
      </c>
      <c r="O98" s="136">
        <f ca="1">VALUE(RIGHT(VLOOKUP(B98,bond!B:R,17,FALSE),LEN(VLOOKUP(B98,bond!B:R,17,FALSE))-LEN(N98)-3))</f>
        <v>1000</v>
      </c>
      <c r="P98" s="135" t="str">
        <f ca="1">VLOOKUP($B98,bond!$B:$AG,32,FALSE)</f>
        <v>2024/12/1</v>
      </c>
      <c r="Q98" s="135" t="str">
        <f ca="1">VLOOKUP($B98,bond!$B:$AH,33,FALSE)</f>
        <v>核心消費</v>
      </c>
      <c r="R98" s="135" t="str">
        <f ca="1">VLOOKUP(B98,bond!B:AA,26,FALSE)</f>
        <v>卡夫亨氏食品公司</v>
      </c>
      <c r="S98" s="135" t="str">
        <f ca="1">VLOOKUP(B98,bond!B:AI,34,FALSE)</f>
        <v>KHC</v>
      </c>
      <c r="T98" s="135" t="str">
        <f t="shared" ca="1" si="7"/>
        <v>卡夫亨氏食品公司/KHC</v>
      </c>
      <c r="U98" s="207" t="str">
        <f ca="1">IFERROR(VLOOKUP(T98,Bond_DES!D:E,2,FALSE),VLOOKUP(S98,bond!AI:AJ,2,FALSE))</f>
        <v>卡夫亨氏食品公司(Kraft Heinz Food Company)為一家食品飲料公司，本券由其母公司卡夫亨氏(The Kraft Heinz Company)提供債務保證。以生產蕃茄醬聞名世界的卡夫亨氏為全球第市值第10大、北美營收第3大食品消費品公司，擁有8個年營收逾10億美元的品牌，巴菲特職掌的波克夏海瑟威公司為其最大股東。</v>
      </c>
      <c r="V98" s="136" t="str">
        <f ca="1">IFERROR(VLOOKUP(B98,'1_重設數據'!L:M,2,FALSE),IF(Q98="政府",IF(AD98&gt;16,"(NPI)非專投",IF(AD98&gt;10,"(PI)專投","高資產")),IF(VLOOKUP(B98,bond!B:AN,39,FALSE)="Y","(PI)專投",IF(AD98&gt;=15,"(NPI)非專投",IF(AD98&gt;=10,"(PI)專投","高資產")))))</f>
        <v>(PI)專投</v>
      </c>
      <c r="W98" s="136" t="str">
        <f ca="1">VLOOKUP(AD98,'credit rating'!$F$2:$H$22,3,FALSE)</f>
        <v>BBB</v>
      </c>
      <c r="X98" s="136" t="str">
        <f t="shared" ca="1" si="8"/>
        <v>Baa2</v>
      </c>
      <c r="Y98" s="136" t="str">
        <f t="shared" ca="1" si="9"/>
        <v>BBB</v>
      </c>
      <c r="Z98" s="136" t="str">
        <f t="shared" ca="1" si="10"/>
        <v>BBB</v>
      </c>
      <c r="AA98" s="134">
        <f ca="1">IFERROR(VLOOKUP(X98,'credit rating'!A:C,3,FALSE),0)</f>
        <v>13</v>
      </c>
      <c r="AB98" s="134">
        <f ca="1">IFERROR(VLOOKUP(Y98,'credit rating'!B:C,2,FALSE),0)</f>
        <v>13</v>
      </c>
      <c r="AC98" s="136">
        <f ca="1">IFERROR(VLOOKUP(Z98,'credit rating'!B:C,2,FALSE),0)</f>
        <v>13</v>
      </c>
      <c r="AD98" s="136">
        <f t="shared" ca="1" si="11"/>
        <v>13</v>
      </c>
      <c r="AE98" s="249">
        <f ca="1">IFERROR(VLOOKUP(B98,bond!B:U,20,FALSE),"")</f>
        <v>5.5599999999999997E-2</v>
      </c>
      <c r="AF98" s="136" t="str">
        <f ca="1">IF(VLOOKUP(B98,bond!B:AK,36,FALSE)="#N/A Field Not Applicable","",VLOOKUP(B98,bond!B:AK,36,FALSE))</f>
        <v>2045/12/1</v>
      </c>
      <c r="AG98" s="136" t="str">
        <f ca="1">IF(VLOOKUP(B98,bond!B:AL,37,FALSE)="FIXED","固定",IF(VLOOKUP(B98,bond!B:AL,37,FALSE)="FLOATING","浮動",IF(VLOOKUP(B98,bond!B:AL,37,FALSE)="VARIABLE","變動",IF(VLOOKUP(B98,bond!B:AL,37,FALSE)="FLAT TRADING","不含息交易",IF(VLOOKUP(B98,bond!B:AL,37,FALSE)="ZERO COUPON","零息",VLOOKUP(B98,bond!B:AL,37,FALSE))))))</f>
        <v>固定</v>
      </c>
      <c r="AH98" s="136" t="str">
        <f>VLOOKUP(C98,'2_Check_code'!I:J,2,FALSE)</f>
        <v>美元(USD)</v>
      </c>
      <c r="AI98" s="136" t="str">
        <f t="shared" ca="1" si="12"/>
        <v>自由選清單</v>
      </c>
      <c r="AJ98" s="136">
        <f t="shared" ca="1" si="13"/>
        <v>0</v>
      </c>
      <c r="AK98" s="594" t="str">
        <f ca="1">IF(VLOOKUP(B98,bond!B:S,18,FALSE)="是","有",IF(VLOOKUP(B98,bond!B:S,18,FALSE)="NO OFFER","無","需查詢"))</f>
        <v>有</v>
      </c>
      <c r="AL98" s="136" t="str">
        <f>IF(VLOOKUP(A98,bond!F:AR,39,FALSE)="#N/A Field Not Applicable",VLOOKUP(A98,bond!F:AR,38,FALSE),IFERROR(VLOOKUP(A98,'7_發行日例外'!A:B,2,FALSE),VLOOKUP(A98,bond!F:AR,39,FALSE)))</f>
        <v>2016/5/24</v>
      </c>
      <c r="AM98" s="136" t="str">
        <f ca="1">VLOOKUP(B98,bond!B:AK,36,FALSE)</f>
        <v>2045/12/1</v>
      </c>
      <c r="AN98" s="136" t="str">
        <f ca="1">IFERROR(VLOOKUP(B98,'3_是否下架'!A:A,1,FALSE),"")</f>
        <v/>
      </c>
      <c r="AO98" s="136">
        <f ca="1">VLOOKUP(B98,bond!B:J,9,FALSE)</f>
        <v>82.26</v>
      </c>
      <c r="AP98" s="136">
        <f ca="1">VLOOKUP(B98,bond!B:V,21,FALSE)</f>
        <v>13.0779</v>
      </c>
    </row>
    <row r="99" spans="1:42">
      <c r="A99" s="141" t="str">
        <f>bond!F100</f>
        <v>USY52758AD47</v>
      </c>
      <c r="B99" s="151" t="str">
        <f ca="1">IF($C$1=TRUE,bond!B100,"")</f>
        <v>XFX20</v>
      </c>
      <c r="C99" s="95" t="str">
        <f>VLOOKUP(A99,bond!F:G,2,FALSE)</f>
        <v>USD</v>
      </c>
      <c r="D99" s="142" t="str">
        <f ca="1">VLOOKUP(B99,bond!B:C,2,FALSE)</f>
        <v>LG化學公司美元配息債券 3.625% 2029/4/15</v>
      </c>
      <c r="E99" s="95" t="str">
        <f ca="1">VLOOKUP(B99,bond!B:D,3,FALSE)</f>
        <v>A3 / BBB+ / -</v>
      </c>
      <c r="F99" s="99" t="str">
        <f ca="1">VLOOKUP(B99,bond!B:AB,27,FALSE)</f>
        <v>2029/4/15</v>
      </c>
      <c r="G99" s="90">
        <f ca="1">VLOOKUP(B99,bond!B:E,4,FALSE)</f>
        <v>4.79</v>
      </c>
      <c r="H99" s="202">
        <f ca="1">VLOOKUP(B99,bond!B:Y,24,FALSE)</f>
        <v>3.6249999999999998E-2</v>
      </c>
      <c r="I99" s="95">
        <f ca="1">VLOOKUP(B99,bond!B:Z,25,FALSE)</f>
        <v>2</v>
      </c>
      <c r="J99" s="180">
        <f ca="1">VLOOKUP(B99,bond!B:K,10,FALSE)</f>
        <v>0.77529999999999999</v>
      </c>
      <c r="K99" s="96">
        <f ca="1">VLOOKUP($B99,bond!B:S,14,FALSE)</f>
        <v>96.97</v>
      </c>
      <c r="L99" s="91" t="str">
        <f ca="1">VLOOKUP(B99,bond!B:H,7,FALSE)</f>
        <v>2024/7/2</v>
      </c>
      <c r="M99" s="144">
        <f ca="1">VLOOKUP($B99,bond!$B:$Q,16,FALSE)</f>
        <v>4.5199999999999997E-2</v>
      </c>
      <c r="N99" s="136">
        <f ca="1">VALUE(LEFT(VLOOKUP(B99,bond!B:R,17,FALSE),SEARCH(" ",VLOOKUP(B99,bond!B:R,17,FALSE),1)))</f>
        <v>200000</v>
      </c>
      <c r="O99" s="136">
        <f ca="1">VALUE(RIGHT(VLOOKUP(B99,bond!B:R,17,FALSE),LEN(VLOOKUP(B99,bond!B:R,17,FALSE))-LEN(N99)-3))</f>
        <v>1000</v>
      </c>
      <c r="P99" s="135" t="str">
        <f ca="1">VLOOKUP($B99,bond!$B:$AG,32,FALSE)</f>
        <v>2024/10/15</v>
      </c>
      <c r="Q99" s="135" t="str">
        <f ca="1">VLOOKUP($B99,bond!$B:$AH,33,FALSE)</f>
        <v>原物料</v>
      </c>
      <c r="R99" s="135" t="str">
        <f ca="1">VLOOKUP(B99,bond!B:AA,26,FALSE)</f>
        <v>LG化學有限公司</v>
      </c>
      <c r="S99" s="135" t="str">
        <f ca="1">VLOOKUP(B99,bond!B:AI,34,FALSE)</f>
        <v>LGCHM</v>
      </c>
      <c r="T99" s="135" t="str">
        <f t="shared" ca="1" si="7"/>
        <v>LG化學有限公司/LGCHM</v>
      </c>
      <c r="U99" s="207" t="str">
        <f ca="1">IFERROR(VLOOKUP(T99,Bond_DES!D:E,2,FALSE),VLOOKUP(S99,bond!AI:AJ,2,FALSE))</f>
        <v>樂金化學公司(LG Chem Ltd.)為韓國第一大化學廠商，旗下含括三大事業體，分別為石油化學、尖端材料及生命科學，名列2023年《Forbes》全球上市公司2000強第339位，並位居2024年《Brand Finance》全球最具價值化學品牌排行第5名。</v>
      </c>
      <c r="V99" s="136" t="str">
        <f ca="1">IFERROR(VLOOKUP(B99,'1_重設數據'!L:M,2,FALSE),IF(Q99="政府",IF(AD99&gt;16,"(NPI)非專投",IF(AD99&gt;10,"(PI)專投","高資產")),IF(VLOOKUP(B99,bond!B:AN,39,FALSE)="Y","(PI)專投",IF(AD99&gt;=15,"(NPI)非專投",IF(AD99&gt;=10,"(PI)專投","高資產")))))</f>
        <v>(NPI)非專投</v>
      </c>
      <c r="W99" s="136" t="str">
        <f ca="1">VLOOKUP(AD99,'credit rating'!$F$2:$H$22,3,FALSE)</f>
        <v>A-</v>
      </c>
      <c r="X99" s="136" t="str">
        <f t="shared" ca="1" si="8"/>
        <v>A3</v>
      </c>
      <c r="Y99" s="136" t="str">
        <f t="shared" ca="1" si="9"/>
        <v>BBB+</v>
      </c>
      <c r="Z99" s="136" t="str">
        <f t="shared" ca="1" si="10"/>
        <v>-</v>
      </c>
      <c r="AA99" s="134">
        <f ca="1">IFERROR(VLOOKUP(X99,'credit rating'!A:C,3,FALSE),0)</f>
        <v>15</v>
      </c>
      <c r="AB99" s="134">
        <f ca="1">IFERROR(VLOOKUP(Y99,'credit rating'!B:C,2,FALSE),0)</f>
        <v>14</v>
      </c>
      <c r="AC99" s="136">
        <f ca="1">IFERROR(VLOOKUP(Z99,'credit rating'!B:C,2,FALSE),0)</f>
        <v>0</v>
      </c>
      <c r="AD99" s="136">
        <f t="shared" ca="1" si="11"/>
        <v>15</v>
      </c>
      <c r="AE99" s="249" t="str">
        <f ca="1">IFERROR(VLOOKUP(B99,bond!B:U,20,FALSE),"")</f>
        <v xml:space="preserve"> </v>
      </c>
      <c r="AF99" s="136" t="str">
        <f ca="1">IF(VLOOKUP(B99,bond!B:AK,36,FALSE)="#N/A Field Not Applicable","",VLOOKUP(B99,bond!B:AK,36,FALSE))</f>
        <v/>
      </c>
      <c r="AG99" s="136" t="str">
        <f ca="1">IF(VLOOKUP(B99,bond!B:AL,37,FALSE)="FIXED","固定",IF(VLOOKUP(B99,bond!B:AL,37,FALSE)="FLOATING","浮動",IF(VLOOKUP(B99,bond!B:AL,37,FALSE)="VARIABLE","變動",IF(VLOOKUP(B99,bond!B:AL,37,FALSE)="FLAT TRADING","不含息交易",IF(VLOOKUP(B99,bond!B:AL,37,FALSE)="ZERO COUPON","零息",VLOOKUP(B99,bond!B:AL,37,FALSE))))))</f>
        <v>固定</v>
      </c>
      <c r="AH99" s="136" t="str">
        <f>VLOOKUP(C99,'2_Check_code'!I:J,2,FALSE)</f>
        <v>美元(USD)</v>
      </c>
      <c r="AI99" s="136" t="str">
        <f t="shared" ca="1" si="12"/>
        <v>自由選清單</v>
      </c>
      <c r="AJ99" s="136">
        <f t="shared" ca="1" si="13"/>
        <v>0</v>
      </c>
      <c r="AK99" s="594" t="str">
        <f ca="1">IF(VLOOKUP(B99,bond!B:S,18,FALSE)="是","有",IF(VLOOKUP(B99,bond!B:S,18,FALSE)="NO OFFER","無","需查詢"))</f>
        <v>需查詢</v>
      </c>
      <c r="AL99" s="136" t="str">
        <f>IF(VLOOKUP(A99,bond!F:AR,39,FALSE)="#N/A Field Not Applicable",VLOOKUP(A99,bond!F:AR,38,FALSE),IFERROR(VLOOKUP(A99,'7_發行日例外'!A:B,2,FALSE),VLOOKUP(A99,bond!F:AR,39,FALSE)))</f>
        <v>2019/4/15</v>
      </c>
      <c r="AM99" s="136" t="str">
        <f ca="1">VLOOKUP(B99,bond!B:AK,36,FALSE)</f>
        <v>#N/A Field Not Applicable</v>
      </c>
      <c r="AN99" s="136" t="str">
        <f ca="1">IFERROR(VLOOKUP(B99,'3_是否下架'!A:A,1,FALSE),"")</f>
        <v/>
      </c>
      <c r="AO99" s="136">
        <f ca="1">VLOOKUP(B99,bond!B:J,9,FALSE)</f>
        <v>94.190000000000012</v>
      </c>
      <c r="AP99" s="136">
        <f ca="1">VLOOKUP(B99,bond!B:V,21,FALSE)</f>
        <v>4.2846000000000002</v>
      </c>
    </row>
    <row r="100" spans="1:42">
      <c r="A100" s="141" t="str">
        <f>bond!F101</f>
        <v>USN8438JAB46</v>
      </c>
      <c r="B100" s="151" t="str">
        <f ca="1">IF($C$1=TRUE,bond!B101,"")</f>
        <v>XFX30</v>
      </c>
      <c r="C100" s="95" t="str">
        <f>VLOOKUP(A100,bond!F:G,2,FALSE)</f>
        <v>USD</v>
      </c>
      <c r="D100" s="142" t="str">
        <f ca="1">VLOOKUP(B100,bond!B:C,2,FALSE)</f>
        <v>Fibria海外金融有限公司美元配息債券 5.5% 2027/1/17</v>
      </c>
      <c r="E100" s="95" t="str">
        <f ca="1">VLOOKUP(B100,bond!B:D,3,FALSE)</f>
        <v>- / BBB- / BBB-</v>
      </c>
      <c r="F100" s="99" t="str">
        <f ca="1">VLOOKUP(B100,bond!B:AB,27,FALSE)</f>
        <v>2027/1/17</v>
      </c>
      <c r="G100" s="90">
        <f ca="1">VLOOKUP(B100,bond!B:E,4,FALSE)</f>
        <v>2.54</v>
      </c>
      <c r="H100" s="202">
        <f ca="1">VLOOKUP(B100,bond!B:Y,24,FALSE)</f>
        <v>5.5E-2</v>
      </c>
      <c r="I100" s="95">
        <f ca="1">VLOOKUP(B100,bond!B:Z,25,FALSE)</f>
        <v>2</v>
      </c>
      <c r="J100" s="180">
        <f ca="1">VLOOKUP(B100,bond!B:K,10,FALSE)</f>
        <v>2.5207999999999999</v>
      </c>
      <c r="K100" s="96">
        <f ca="1">VLOOKUP($B100,bond!B:S,14,FALSE)</f>
        <v>104.87</v>
      </c>
      <c r="L100" s="91" t="str">
        <f ca="1">VLOOKUP(B100,bond!B:H,7,FALSE)</f>
        <v>2024/7/2</v>
      </c>
      <c r="M100" s="144">
        <f ca="1">VLOOKUP($B100,bond!$B:$Q,16,FALSE)</f>
        <v>4.5100000000000001E-2</v>
      </c>
      <c r="N100" s="136">
        <f ca="1">VALUE(LEFT(VLOOKUP(B100,bond!B:R,17,FALSE),SEARCH(" ",VLOOKUP(B100,bond!B:R,17,FALSE),1)))</f>
        <v>10000</v>
      </c>
      <c r="O100" s="136">
        <f ca="1">VALUE(RIGHT(VLOOKUP(B100,bond!B:R,17,FALSE),LEN(VLOOKUP(B100,bond!B:R,17,FALSE))-LEN(N100)-3))</f>
        <v>1000</v>
      </c>
      <c r="P100" s="135" t="str">
        <f ca="1">VLOOKUP($B100,bond!$B:$AG,32,FALSE)</f>
        <v>2024/7/17</v>
      </c>
      <c r="Q100" s="135" t="str">
        <f ca="1">VLOOKUP($B100,bond!$B:$AH,33,FALSE)</f>
        <v>原物料</v>
      </c>
      <c r="R100" s="135" t="str">
        <f ca="1">VLOOKUP(B100,bond!B:AA,26,FALSE)</f>
        <v>Suzano International Finance</v>
      </c>
      <c r="S100" s="135" t="str">
        <f ca="1">VLOOKUP(B100,bond!B:AI,34,FALSE)</f>
        <v>SUZANO</v>
      </c>
      <c r="T100" s="135" t="str">
        <f t="shared" ca="1" si="7"/>
        <v>Suzano International Finance/SUZANO</v>
      </c>
      <c r="U100" s="207" t="str">
        <f ca="1">IFERROR(VLOOKUP(T100,Bond_DES!D:E,2,FALSE),VLOOKUP(S100,bond!AI:AJ,2,FALSE))</f>
        <v>N/A</v>
      </c>
      <c r="V100" s="136" t="str">
        <f ca="1">IFERROR(VLOOKUP(B100,'1_重設數據'!L:M,2,FALSE),IF(Q100="政府",IF(AD100&gt;16,"(NPI)非專投",IF(AD100&gt;10,"(PI)專投","高資產")),IF(VLOOKUP(B100,bond!B:AN,39,FALSE)="Y","(PI)專投",IF(AD100&gt;=15,"(NPI)非專投",IF(AD100&gt;=10,"(PI)專投","高資產")))))</f>
        <v>(PI)專投</v>
      </c>
      <c r="W100" s="136" t="str">
        <f ca="1">VLOOKUP(AD100,'credit rating'!$F$2:$H$22,3,FALSE)</f>
        <v>BBB-</v>
      </c>
      <c r="X100" s="136" t="str">
        <f t="shared" ca="1" si="8"/>
        <v>-</v>
      </c>
      <c r="Y100" s="136" t="str">
        <f t="shared" ca="1" si="9"/>
        <v>BBB-</v>
      </c>
      <c r="Z100" s="136" t="str">
        <f t="shared" ca="1" si="10"/>
        <v>BBB-</v>
      </c>
      <c r="AA100" s="134">
        <f ca="1">IFERROR(VLOOKUP(X100,'credit rating'!A:C,3,FALSE),0)</f>
        <v>0</v>
      </c>
      <c r="AB100" s="134">
        <f ca="1">IFERROR(VLOOKUP(Y100,'credit rating'!B:C,2,FALSE),0)</f>
        <v>12</v>
      </c>
      <c r="AC100" s="136">
        <f ca="1">IFERROR(VLOOKUP(Z100,'credit rating'!B:C,2,FALSE),0)</f>
        <v>12</v>
      </c>
      <c r="AD100" s="136">
        <f t="shared" ca="1" si="11"/>
        <v>12</v>
      </c>
      <c r="AE100" s="249" t="str">
        <f ca="1">IFERROR(VLOOKUP(B100,bond!B:U,20,FALSE),"")</f>
        <v xml:space="preserve"> </v>
      </c>
      <c r="AF100" s="136" t="str">
        <f ca="1">IF(VLOOKUP(B100,bond!B:AK,36,FALSE)="#N/A Field Not Applicable","",VLOOKUP(B100,bond!B:AK,36,FALSE))</f>
        <v/>
      </c>
      <c r="AG100" s="136" t="str">
        <f ca="1">IF(VLOOKUP(B100,bond!B:AL,37,FALSE)="FIXED","固定",IF(VLOOKUP(B100,bond!B:AL,37,FALSE)="FLOATING","浮動",IF(VLOOKUP(B100,bond!B:AL,37,FALSE)="VARIABLE","變動",IF(VLOOKUP(B100,bond!B:AL,37,FALSE)="FLAT TRADING","不含息交易",IF(VLOOKUP(B100,bond!B:AL,37,FALSE)="ZERO COUPON","零息",VLOOKUP(B100,bond!B:AL,37,FALSE))))))</f>
        <v>固定</v>
      </c>
      <c r="AH100" s="136" t="str">
        <f>VLOOKUP(C100,'2_Check_code'!I:J,2,FALSE)</f>
        <v>美元(USD)</v>
      </c>
      <c r="AI100" s="136" t="str">
        <f t="shared" ca="1" si="12"/>
        <v>自由選清單</v>
      </c>
      <c r="AJ100" s="136">
        <f t="shared" ca="1" si="13"/>
        <v>0</v>
      </c>
      <c r="AK100" s="594" t="str">
        <f ca="1">IF(VLOOKUP(B100,bond!B:S,18,FALSE)="是","有",IF(VLOOKUP(B100,bond!B:S,18,FALSE)="NO OFFER","無","需查詢"))</f>
        <v>有</v>
      </c>
      <c r="AL100" s="136" t="str">
        <f>IF(VLOOKUP(A100,bond!F:AR,39,FALSE)="#N/A Field Not Applicable",VLOOKUP(A100,bond!F:AR,38,FALSE),IFERROR(VLOOKUP(A100,'7_發行日例外'!A:B,2,FALSE),VLOOKUP(A100,bond!F:AR,39,FALSE)))</f>
        <v>2017/1/17</v>
      </c>
      <c r="AM100" s="136" t="str">
        <f ca="1">VLOOKUP(B100,bond!B:AK,36,FALSE)</f>
        <v>#N/A Field Not Applicable</v>
      </c>
      <c r="AN100" s="136" t="str">
        <f ca="1">IFERROR(VLOOKUP(B100,'3_是否下架'!A:A,1,FALSE),"")</f>
        <v>XFX30</v>
      </c>
      <c r="AO100" s="136">
        <f ca="1">VLOOKUP(B100,bond!B:J,9,FALSE)</f>
        <v>100.35000000000001</v>
      </c>
      <c r="AP100" s="136">
        <f ca="1">VLOOKUP(B100,bond!B:V,21,FALSE)</f>
        <v>2.2898000000000001</v>
      </c>
    </row>
    <row r="101" spans="1:42">
      <c r="A101" s="141" t="str">
        <f>bond!F102</f>
        <v>US428236BR31</v>
      </c>
      <c r="B101" s="151" t="str">
        <f ca="1">IF($C$1=TRUE,bond!B102,"")</f>
        <v>XFX60</v>
      </c>
      <c r="C101" s="95" t="str">
        <f>VLOOKUP(A101,bond!F:G,2,FALSE)</f>
        <v>USD</v>
      </c>
      <c r="D101" s="142" t="str">
        <f ca="1">VLOOKUP(B101,bond!B:C,2,FALSE)</f>
        <v>惠普公司美元配息債券 6% 2041/9/15</v>
      </c>
      <c r="E101" s="95" t="str">
        <f ca="1">VLOOKUP(B101,bond!B:D,3,FALSE)</f>
        <v>Baa2 / BBB / BBB+</v>
      </c>
      <c r="F101" s="99" t="str">
        <f ca="1">VLOOKUP(B101,bond!B:AB,27,FALSE)</f>
        <v>2041/9/15</v>
      </c>
      <c r="G101" s="90">
        <f ca="1">VLOOKUP(B101,bond!B:E,4,FALSE)</f>
        <v>17.2</v>
      </c>
      <c r="H101" s="202">
        <f ca="1">VLOOKUP(B101,bond!B:Y,24,FALSE)</f>
        <v>0.06</v>
      </c>
      <c r="I101" s="95">
        <f ca="1">VLOOKUP(B101,bond!B:Z,25,FALSE)</f>
        <v>2</v>
      </c>
      <c r="J101" s="180">
        <f ca="1">VLOOKUP(B101,bond!B:K,10,FALSE)</f>
        <v>1.7833000000000001</v>
      </c>
      <c r="K101" s="96">
        <f ca="1">VLOOKUP($B101,bond!B:S,14,FALSE)</f>
        <v>107.57</v>
      </c>
      <c r="L101" s="91" t="str">
        <f ca="1">VLOOKUP(B101,bond!B:H,7,FALSE)</f>
        <v>2024/7/2</v>
      </c>
      <c r="M101" s="144">
        <f ca="1">VLOOKUP($B101,bond!$B:$Q,16,FALSE)</f>
        <v>5.4800000000000001E-2</v>
      </c>
      <c r="N101" s="136">
        <f ca="1">VALUE(LEFT(VLOOKUP(B101,bond!B:R,17,FALSE),SEARCH(" ",VLOOKUP(B101,bond!B:R,17,FALSE),1)))</f>
        <v>10000</v>
      </c>
      <c r="O101" s="136">
        <f ca="1">VALUE(RIGHT(VLOOKUP(B101,bond!B:R,17,FALSE),LEN(VLOOKUP(B101,bond!B:R,17,FALSE))-LEN(N101)-3))</f>
        <v>1000</v>
      </c>
      <c r="P101" s="135" t="str">
        <f ca="1">VLOOKUP($B101,bond!$B:$AG,32,FALSE)</f>
        <v>2024/9/15</v>
      </c>
      <c r="Q101" s="135" t="str">
        <f ca="1">VLOOKUP($B101,bond!$B:$AH,33,FALSE)</f>
        <v>科技</v>
      </c>
      <c r="R101" s="135" t="str">
        <f ca="1">VLOOKUP(B101,bond!B:AA,26,FALSE)</f>
        <v>惠普公司</v>
      </c>
      <c r="S101" s="135" t="str">
        <f ca="1">VLOOKUP(B101,bond!B:AI,34,FALSE)</f>
        <v>HPQ</v>
      </c>
      <c r="T101" s="135" t="str">
        <f t="shared" ca="1" si="7"/>
        <v>惠普公司/HPQ</v>
      </c>
      <c r="U101" s="207" t="str">
        <f ca="1">IFERROR(VLOOKUP(T101,Bond_DES!D:E,2,FALSE),VLOOKUP(S101,bond!AI:AJ,2,FALSE))</f>
        <v>惠普公司(HP Inc.)為全球印表機龍頭、全球第二大個人電腦品牌廠，通過個人系統及列印二大事業別，提供筆電、桌機等電腦硬體設備，以及印表機及3D列印解決方案的產品及服務。據Gartner 統計，HP於4Q23的PC出貨市佔率約22%；名列2024年《Fortune》美國電腦及辦公設備業營收排名第3。</v>
      </c>
      <c r="V101" s="136" t="str">
        <f ca="1">IFERROR(VLOOKUP(B101,'1_重設數據'!L:M,2,FALSE),IF(Q101="政府",IF(AD101&gt;16,"(NPI)非專投",IF(AD101&gt;10,"(PI)專投","高資產")),IF(VLOOKUP(B101,bond!B:AN,39,FALSE)="Y","(PI)專投",IF(AD101&gt;=15,"(NPI)非專投",IF(AD101&gt;=10,"(PI)專投","高資產")))))</f>
        <v>(PI)專投</v>
      </c>
      <c r="W101" s="136" t="str">
        <f ca="1">VLOOKUP(AD101,'credit rating'!$F$2:$H$22,3,FALSE)</f>
        <v>BBB+</v>
      </c>
      <c r="X101" s="136" t="str">
        <f t="shared" ca="1" si="8"/>
        <v>Baa2</v>
      </c>
      <c r="Y101" s="136" t="str">
        <f t="shared" ca="1" si="9"/>
        <v>BBB</v>
      </c>
      <c r="Z101" s="136" t="str">
        <f t="shared" ca="1" si="10"/>
        <v>BBB+</v>
      </c>
      <c r="AA101" s="134">
        <f ca="1">IFERROR(VLOOKUP(X101,'credit rating'!A:C,3,FALSE),0)</f>
        <v>13</v>
      </c>
      <c r="AB101" s="134">
        <f ca="1">IFERROR(VLOOKUP(Y101,'credit rating'!B:C,2,FALSE),0)</f>
        <v>13</v>
      </c>
      <c r="AC101" s="136">
        <f ca="1">IFERROR(VLOOKUP(Z101,'credit rating'!B:C,2,FALSE),0)</f>
        <v>14</v>
      </c>
      <c r="AD101" s="136">
        <f t="shared" ca="1" si="11"/>
        <v>14</v>
      </c>
      <c r="AE101" s="249" t="str">
        <f ca="1">IFERROR(VLOOKUP(B101,bond!B:U,20,FALSE),"")</f>
        <v xml:space="preserve"> </v>
      </c>
      <c r="AF101" s="136" t="str">
        <f ca="1">IF(VLOOKUP(B101,bond!B:AK,36,FALSE)="#N/A Field Not Applicable","",VLOOKUP(B101,bond!B:AK,36,FALSE))</f>
        <v/>
      </c>
      <c r="AG101" s="136" t="str">
        <f ca="1">IF(VLOOKUP(B101,bond!B:AL,37,FALSE)="FIXED","固定",IF(VLOOKUP(B101,bond!B:AL,37,FALSE)="FLOATING","浮動",IF(VLOOKUP(B101,bond!B:AL,37,FALSE)="VARIABLE","變動",IF(VLOOKUP(B101,bond!B:AL,37,FALSE)="FLAT TRADING","不含息交易",IF(VLOOKUP(B101,bond!B:AL,37,FALSE)="ZERO COUPON","零息",VLOOKUP(B101,bond!B:AL,37,FALSE))))))</f>
        <v>固定</v>
      </c>
      <c r="AH101" s="136" t="str">
        <f>VLOOKUP(C101,'2_Check_code'!I:J,2,FALSE)</f>
        <v>美元(USD)</v>
      </c>
      <c r="AI101" s="136" t="str">
        <f t="shared" ca="1" si="12"/>
        <v>自由選清單</v>
      </c>
      <c r="AJ101" s="136">
        <f t="shared" ca="1" si="13"/>
        <v>0</v>
      </c>
      <c r="AK101" s="594" t="str">
        <f ca="1">IF(VLOOKUP(B101,bond!B:S,18,FALSE)="是","有",IF(VLOOKUP(B101,bond!B:S,18,FALSE)="NO OFFER","無","需查詢"))</f>
        <v>有</v>
      </c>
      <c r="AL101" s="136" t="str">
        <f>IF(VLOOKUP(A101,bond!F:AR,39,FALSE)="#N/A Field Not Applicable",VLOOKUP(A101,bond!F:AR,38,FALSE),IFERROR(VLOOKUP(A101,'7_發行日例外'!A:B,2,FALSE),VLOOKUP(A101,bond!F:AR,39,FALSE)))</f>
        <v>2011/9/19</v>
      </c>
      <c r="AM101" s="136" t="str">
        <f ca="1">VLOOKUP(B101,bond!B:AK,36,FALSE)</f>
        <v>#N/A Field Not Applicable</v>
      </c>
      <c r="AN101" s="136" t="str">
        <f ca="1">IFERROR(VLOOKUP(B101,'3_是否下架'!A:A,1,FALSE),"")</f>
        <v/>
      </c>
      <c r="AO101" s="136">
        <f ca="1">VLOOKUP(B101,bond!B:J,9,FALSE)</f>
        <v>102.79</v>
      </c>
      <c r="AP101" s="136">
        <f ca="1">VLOOKUP(B101,bond!B:V,21,FALSE)</f>
        <v>10.600199999999999</v>
      </c>
    </row>
    <row r="102" spans="1:42">
      <c r="A102" s="141" t="str">
        <f>bond!F103</f>
        <v>US418056AU19</v>
      </c>
      <c r="B102" s="151" t="str">
        <f ca="1">IF($C$1=TRUE,bond!B103,"")</f>
        <v>XFX80</v>
      </c>
      <c r="C102" s="95" t="str">
        <f>VLOOKUP(A102,bond!F:G,2,FALSE)</f>
        <v>USD</v>
      </c>
      <c r="D102" s="142" t="str">
        <f ca="1">VLOOKUP(B102,bond!B:C,2,FALSE)</f>
        <v>孩之寶公司美元配息債券 5.1% 2044/5/15</v>
      </c>
      <c r="E102" s="95" t="str">
        <f ca="1">VLOOKUP(B102,bond!B:D,3,FALSE)</f>
        <v>Baa2 / BBB / BBB-</v>
      </c>
      <c r="F102" s="99" t="str">
        <f ca="1">VLOOKUP(B102,bond!B:AB,27,FALSE)</f>
        <v>2044/5/15</v>
      </c>
      <c r="G102" s="90">
        <f ca="1">VLOOKUP(B102,bond!B:E,4,FALSE)</f>
        <v>19.87</v>
      </c>
      <c r="H102" s="202">
        <f ca="1">VLOOKUP(B102,bond!B:Y,24,FALSE)</f>
        <v>5.0999999999999997E-2</v>
      </c>
      <c r="I102" s="95">
        <f ca="1">VLOOKUP(B102,bond!B:Z,25,FALSE)</f>
        <v>2</v>
      </c>
      <c r="J102" s="180">
        <f ca="1">VLOOKUP(B102,bond!B:K,10,FALSE)</f>
        <v>0.66579999999999995</v>
      </c>
      <c r="K102" s="96">
        <f ca="1">VLOOKUP($B102,bond!B:S,14,FALSE)</f>
        <v>90.38</v>
      </c>
      <c r="L102" s="91" t="str">
        <f ca="1">VLOOKUP(B102,bond!B:H,7,FALSE)</f>
        <v>2024/7/2</v>
      </c>
      <c r="M102" s="144">
        <f ca="1">VLOOKUP($B102,bond!$B:$Q,16,FALSE)</f>
        <v>5.9900000000000002E-2</v>
      </c>
      <c r="N102" s="136">
        <f ca="1">VALUE(LEFT(VLOOKUP(B102,bond!B:R,17,FALSE),SEARCH(" ",VLOOKUP(B102,bond!B:R,17,FALSE),1)))</f>
        <v>10000</v>
      </c>
      <c r="O102" s="136">
        <f ca="1">VALUE(RIGHT(VLOOKUP(B102,bond!B:R,17,FALSE),LEN(VLOOKUP(B102,bond!B:R,17,FALSE))-LEN(N102)-3))</f>
        <v>1000</v>
      </c>
      <c r="P102" s="135" t="str">
        <f ca="1">VLOOKUP($B102,bond!$B:$AG,32,FALSE)</f>
        <v>2024/11/15</v>
      </c>
      <c r="Q102" s="135" t="str">
        <f ca="1">VLOOKUP($B102,bond!$B:$AH,33,FALSE)</f>
        <v>非核心消費</v>
      </c>
      <c r="R102" s="135" t="str">
        <f ca="1">VLOOKUP(B102,bond!B:AA,26,FALSE)</f>
        <v>孩之寶公司</v>
      </c>
      <c r="S102" s="135" t="str">
        <f ca="1">VLOOKUP(B102,bond!B:AI,34,FALSE)</f>
        <v>HAS</v>
      </c>
      <c r="T102" s="135" t="str">
        <f t="shared" ca="1" si="7"/>
        <v>孩之寶公司/HAS</v>
      </c>
      <c r="U102" s="207" t="str">
        <f ca="1">IFERROR(VLOOKUP(T102,Bond_DES!D:E,2,FALSE),VLOOKUP(S102,bond!AI:AJ,2,FALSE))</f>
        <v>孩之寶公司(Hasbro, Inc.)是一家全球性的遊戲和娛樂公司，亦是全球最大的玩具製造商之一，旗下擁有萬智牌、孩之寶遊戲、射擊玩具NERF、變形金剛、培樂多，以及名聞遐邇的奇幻系列遊戲《魔法風雲會》和《龍與地下城》等知名且經典的玩具、桌遊及遊戲品牌，且透過併入英國影視發行商eOne進一步將佩佩豬和睡衣小英雄等優質IP納入囊中。</v>
      </c>
      <c r="V102" s="136" t="str">
        <f ca="1">IFERROR(VLOOKUP(B102,'1_重設數據'!L:M,2,FALSE),IF(Q102="政府",IF(AD102&gt;16,"(NPI)非專投",IF(AD102&gt;10,"(PI)專投","高資產")),IF(VLOOKUP(B102,bond!B:AN,39,FALSE)="Y","(PI)專投",IF(AD102&gt;=15,"(NPI)非專投",IF(AD102&gt;=10,"(PI)專投","高資產")))))</f>
        <v>(PI)專投</v>
      </c>
      <c r="W102" s="136" t="str">
        <f ca="1">VLOOKUP(AD102,'credit rating'!$F$2:$H$22,3,FALSE)</f>
        <v>BBB</v>
      </c>
      <c r="X102" s="136" t="str">
        <f t="shared" ca="1" si="8"/>
        <v>Baa2</v>
      </c>
      <c r="Y102" s="136" t="str">
        <f t="shared" ca="1" si="9"/>
        <v>BBB</v>
      </c>
      <c r="Z102" s="136" t="str">
        <f t="shared" ca="1" si="10"/>
        <v>BBB-</v>
      </c>
      <c r="AA102" s="134">
        <f ca="1">IFERROR(VLOOKUP(X102,'credit rating'!A:C,3,FALSE),0)</f>
        <v>13</v>
      </c>
      <c r="AB102" s="134">
        <f ca="1">IFERROR(VLOOKUP(Y102,'credit rating'!B:C,2,FALSE),0)</f>
        <v>13</v>
      </c>
      <c r="AC102" s="136">
        <f ca="1">IFERROR(VLOOKUP(Z102,'credit rating'!B:C,2,FALSE),0)</f>
        <v>12</v>
      </c>
      <c r="AD102" s="136">
        <f t="shared" ca="1" si="11"/>
        <v>13</v>
      </c>
      <c r="AE102" s="249">
        <f ca="1">IFERROR(VLOOKUP(B102,bond!B:U,20,FALSE),"")</f>
        <v>6.0100000000000001E-2</v>
      </c>
      <c r="AF102" s="136" t="str">
        <f ca="1">IF(VLOOKUP(B102,bond!B:AK,36,FALSE)="#N/A Field Not Applicable","",VLOOKUP(B102,bond!B:AK,36,FALSE))</f>
        <v>2043/11/15</v>
      </c>
      <c r="AG102" s="136" t="str">
        <f ca="1">IF(VLOOKUP(B102,bond!B:AL,37,FALSE)="FIXED","固定",IF(VLOOKUP(B102,bond!B:AL,37,FALSE)="FLOATING","浮動",IF(VLOOKUP(B102,bond!B:AL,37,FALSE)="VARIABLE","變動",IF(VLOOKUP(B102,bond!B:AL,37,FALSE)="FLAT TRADING","不含息交易",IF(VLOOKUP(B102,bond!B:AL,37,FALSE)="ZERO COUPON","零息",VLOOKUP(B102,bond!B:AL,37,FALSE))))))</f>
        <v>固定</v>
      </c>
      <c r="AH102" s="136" t="str">
        <f>VLOOKUP(C102,'2_Check_code'!I:J,2,FALSE)</f>
        <v>美元(USD)</v>
      </c>
      <c r="AI102" s="136" t="str">
        <f t="shared" ca="1" si="12"/>
        <v>自由選清單</v>
      </c>
      <c r="AJ102" s="136">
        <f t="shared" ca="1" si="13"/>
        <v>0</v>
      </c>
      <c r="AK102" s="594" t="str">
        <f ca="1">IF(VLOOKUP(B102,bond!B:S,18,FALSE)="是","有",IF(VLOOKUP(B102,bond!B:S,18,FALSE)="NO OFFER","無","需查詢"))</f>
        <v>需查詢</v>
      </c>
      <c r="AL102" s="136" t="str">
        <f>IF(VLOOKUP(A102,bond!F:AR,39,FALSE)="#N/A Field Not Applicable",VLOOKUP(A102,bond!F:AR,38,FALSE),IFERROR(VLOOKUP(A102,'7_發行日例外'!A:B,2,FALSE),VLOOKUP(A102,bond!F:AR,39,FALSE)))</f>
        <v>2014/5/13</v>
      </c>
      <c r="AM102" s="136" t="str">
        <f ca="1">VLOOKUP(B102,bond!B:AK,36,FALSE)</f>
        <v>2043/11/15</v>
      </c>
      <c r="AN102" s="136" t="str">
        <f ca="1">IFERROR(VLOOKUP(B102,'3_是否下架'!A:A,1,FALSE),"")</f>
        <v/>
      </c>
      <c r="AO102" s="136">
        <f ca="1">VLOOKUP(B102,bond!B:J,9,FALSE)</f>
        <v>86.710000000000008</v>
      </c>
      <c r="AP102" s="136">
        <f ca="1">VLOOKUP(B102,bond!B:V,21,FALSE)</f>
        <v>11.7331</v>
      </c>
    </row>
    <row r="103" spans="1:42">
      <c r="A103" s="141" t="str">
        <f>bond!F104</f>
        <v>US30212PAP09</v>
      </c>
      <c r="B103" s="151" t="str">
        <f ca="1">IF($C$1=TRUE,bond!B104,"")</f>
        <v>XFX90</v>
      </c>
      <c r="C103" s="95" t="str">
        <f>VLOOKUP(A103,bond!F:G,2,FALSE)</f>
        <v>USD</v>
      </c>
      <c r="D103" s="142" t="str">
        <f ca="1">VLOOKUP(B103,bond!B:C,2,FALSE)</f>
        <v>智遊網集團公司美元配息債券 3.8% 2028/2/15</v>
      </c>
      <c r="E103" s="95" t="str">
        <f ca="1">VLOOKUP(B103,bond!B:D,3,FALSE)</f>
        <v>Baa2 / BBB / BBB-</v>
      </c>
      <c r="F103" s="99" t="str">
        <f ca="1">VLOOKUP(B103,bond!B:AB,27,FALSE)</f>
        <v>2028/2/15</v>
      </c>
      <c r="G103" s="90">
        <f ca="1">VLOOKUP(B103,bond!B:E,4,FALSE)</f>
        <v>3.62</v>
      </c>
      <c r="H103" s="202">
        <f ca="1">VLOOKUP(B103,bond!B:Y,24,FALSE)</f>
        <v>3.7999999999999999E-2</v>
      </c>
      <c r="I103" s="95">
        <f ca="1">VLOOKUP(B103,bond!B:Z,25,FALSE)</f>
        <v>2</v>
      </c>
      <c r="J103" s="180">
        <f ca="1">VLOOKUP(B103,bond!B:K,10,FALSE)</f>
        <v>1.4460999999999999</v>
      </c>
      <c r="K103" s="96">
        <f ca="1">VLOOKUP($B103,bond!B:S,14,FALSE)</f>
        <v>99.13</v>
      </c>
      <c r="L103" s="91" t="str">
        <f ca="1">VLOOKUP(B103,bond!B:H,7,FALSE)</f>
        <v>2024/7/2</v>
      </c>
      <c r="M103" s="144">
        <f ca="1">VLOOKUP($B103,bond!$B:$Q,16,FALSE)</f>
        <v>4.4999999999999998E-2</v>
      </c>
      <c r="N103" s="136">
        <f ca="1">VALUE(LEFT(VLOOKUP(B103,bond!B:R,17,FALSE),SEARCH(" ",VLOOKUP(B103,bond!B:R,17,FALSE),1)))</f>
        <v>10000</v>
      </c>
      <c r="O103" s="136">
        <f ca="1">VALUE(RIGHT(VLOOKUP(B103,bond!B:R,17,FALSE),LEN(VLOOKUP(B103,bond!B:R,17,FALSE))-LEN(N103)-3))</f>
        <v>1000</v>
      </c>
      <c r="P103" s="135" t="str">
        <f ca="1">VLOOKUP($B103,bond!$B:$AG,32,FALSE)</f>
        <v>2024/8/15</v>
      </c>
      <c r="Q103" s="135" t="str">
        <f ca="1">VLOOKUP($B103,bond!$B:$AH,33,FALSE)</f>
        <v>通訊</v>
      </c>
      <c r="R103" s="135" t="str">
        <f ca="1">VLOOKUP(B103,bond!B:AA,26,FALSE)</f>
        <v>智遊網集團公司</v>
      </c>
      <c r="S103" s="135" t="str">
        <f ca="1">VLOOKUP(B103,bond!B:AI,34,FALSE)</f>
        <v>EXPE</v>
      </c>
      <c r="T103" s="135" t="str">
        <f t="shared" ca="1" si="7"/>
        <v>智遊網集團公司/EXPE</v>
      </c>
      <c r="U103" s="207" t="str">
        <f ca="1">IFERROR(VLOOKUP(T103,Bond_DES!D:E,2,FALSE),VLOOKUP(S103,bond!AI:AJ,2,FALSE))</f>
        <v>智遊網集團公司(Expedia, Inc.)為一家專為休閒旅遊者及小企業的商務旅行者提供旅行產品和服務的線上旅遊服務公司，旗下擁有知名線上住房平台Trivago、Orbitz.com等，為全球領先的線上旅遊品牌之一，名列2024年《Fortune》美國500強企業第315位。</v>
      </c>
      <c r="V103" s="136" t="str">
        <f ca="1">IFERROR(VLOOKUP(B103,'1_重設數據'!L:M,2,FALSE),IF(Q103="政府",IF(AD103&gt;16,"(NPI)非專投",IF(AD103&gt;10,"(PI)專投","高資產")),IF(VLOOKUP(B103,bond!B:AN,39,FALSE)="Y","(PI)專投",IF(AD103&gt;=15,"(NPI)非專投",IF(AD103&gt;=10,"(PI)專投","高資產")))))</f>
        <v>(PI)專投</v>
      </c>
      <c r="W103" s="136" t="str">
        <f ca="1">VLOOKUP(AD103,'credit rating'!$F$2:$H$22,3,FALSE)</f>
        <v>BBB</v>
      </c>
      <c r="X103" s="136" t="str">
        <f t="shared" ca="1" si="8"/>
        <v>Baa2</v>
      </c>
      <c r="Y103" s="136" t="str">
        <f t="shared" ca="1" si="9"/>
        <v>BBB</v>
      </c>
      <c r="Z103" s="136" t="str">
        <f t="shared" ca="1" si="10"/>
        <v>BBB-</v>
      </c>
      <c r="AA103" s="134">
        <f ca="1">IFERROR(VLOOKUP(X103,'credit rating'!A:C,3,FALSE),0)</f>
        <v>13</v>
      </c>
      <c r="AB103" s="134">
        <f ca="1">IFERROR(VLOOKUP(Y103,'credit rating'!B:C,2,FALSE),0)</f>
        <v>13</v>
      </c>
      <c r="AC103" s="136">
        <f ca="1">IFERROR(VLOOKUP(Z103,'credit rating'!B:C,2,FALSE),0)</f>
        <v>12</v>
      </c>
      <c r="AD103" s="136">
        <f t="shared" ca="1" si="11"/>
        <v>13</v>
      </c>
      <c r="AE103" s="249">
        <f ca="1">IFERROR(VLOOKUP(B103,bond!B:U,20,FALSE),"")</f>
        <v>4.5499999999999999E-2</v>
      </c>
      <c r="AF103" s="136" t="str">
        <f ca="1">IF(VLOOKUP(B103,bond!B:AK,36,FALSE)="#N/A Field Not Applicable","",VLOOKUP(B103,bond!B:AK,36,FALSE))</f>
        <v>2027/11/15</v>
      </c>
      <c r="AG103" s="136" t="str">
        <f ca="1">IF(VLOOKUP(B103,bond!B:AL,37,FALSE)="FIXED","固定",IF(VLOOKUP(B103,bond!B:AL,37,FALSE)="FLOATING","浮動",IF(VLOOKUP(B103,bond!B:AL,37,FALSE)="VARIABLE","變動",IF(VLOOKUP(B103,bond!B:AL,37,FALSE)="FLAT TRADING","不含息交易",IF(VLOOKUP(B103,bond!B:AL,37,FALSE)="ZERO COUPON","零息",VLOOKUP(B103,bond!B:AL,37,FALSE))))))</f>
        <v>固定</v>
      </c>
      <c r="AH103" s="136" t="str">
        <f>VLOOKUP(C103,'2_Check_code'!I:J,2,FALSE)</f>
        <v>美元(USD)</v>
      </c>
      <c r="AI103" s="136" t="str">
        <f t="shared" ca="1" si="12"/>
        <v>自由選清單</v>
      </c>
      <c r="AJ103" s="136">
        <f t="shared" ca="1" si="13"/>
        <v>0</v>
      </c>
      <c r="AK103" s="594" t="str">
        <f ca="1">IF(VLOOKUP(B103,bond!B:S,18,FALSE)="是","有",IF(VLOOKUP(B103,bond!B:S,18,FALSE)="NO OFFER","無","需查詢"))</f>
        <v>有</v>
      </c>
      <c r="AL103" s="136" t="str">
        <f>IF(VLOOKUP(A103,bond!F:AR,39,FALSE)="#N/A Field Not Applicable",VLOOKUP(A103,bond!F:AR,38,FALSE),IFERROR(VLOOKUP(A103,'7_發行日例外'!A:B,2,FALSE),VLOOKUP(A103,bond!F:AR,39,FALSE)))</f>
        <v>2017/9/21</v>
      </c>
      <c r="AM103" s="136" t="str">
        <f ca="1">VLOOKUP(B103,bond!B:AK,36,FALSE)</f>
        <v>2027/11/15</v>
      </c>
      <c r="AN103" s="136" t="str">
        <f ca="1">IFERROR(VLOOKUP(B103,'3_是否下架'!A:A,1,FALSE),"")</f>
        <v>XFX90</v>
      </c>
      <c r="AO103" s="136">
        <f ca="1">VLOOKUP(B103,bond!B:J,9,FALSE)</f>
        <v>95.68</v>
      </c>
      <c r="AP103" s="136">
        <f ca="1">VLOOKUP(B103,bond!B:V,21,FALSE)</f>
        <v>3.2814000000000001</v>
      </c>
    </row>
    <row r="104" spans="1:42">
      <c r="A104" s="141" t="str">
        <f>bond!F105</f>
        <v>US88579YBK64</v>
      </c>
      <c r="B104" s="151" t="str">
        <f ca="1">IF($C$1=TRUE,bond!B105,"")</f>
        <v>XFY20</v>
      </c>
      <c r="C104" s="95" t="str">
        <f>VLOOKUP(A104,bond!F:G,2,FALSE)</f>
        <v>USD</v>
      </c>
      <c r="D104" s="142" t="str">
        <f ca="1">VLOOKUP(B104,bond!B:C,2,FALSE)</f>
        <v>3M公司美元配息債券 3.25% 2049/8/26</v>
      </c>
      <c r="E104" s="95" t="str">
        <f ca="1">VLOOKUP(B104,bond!B:D,3,FALSE)</f>
        <v>A3 / BBB+ / A-</v>
      </c>
      <c r="F104" s="99" t="str">
        <f ca="1">VLOOKUP(B104,bond!B:AB,27,FALSE)</f>
        <v>2049/8/26</v>
      </c>
      <c r="G104" s="90">
        <f ca="1">VLOOKUP(B104,bond!B:E,4,FALSE)</f>
        <v>25.15</v>
      </c>
      <c r="H104" s="202">
        <f ca="1">VLOOKUP(B104,bond!B:Y,24,FALSE)</f>
        <v>3.2500000000000001E-2</v>
      </c>
      <c r="I104" s="95">
        <f ca="1">VLOOKUP(B104,bond!B:Z,25,FALSE)</f>
        <v>2</v>
      </c>
      <c r="J104" s="180">
        <f ca="1">VLOOKUP(B104,bond!B:K,10,FALSE)</f>
        <v>1.1375</v>
      </c>
      <c r="K104" s="96">
        <f ca="1">VLOOKUP($B104,bond!B:S,14,FALSE)</f>
        <v>70.760000000000005</v>
      </c>
      <c r="L104" s="91" t="str">
        <f ca="1">VLOOKUP(B104,bond!B:H,7,FALSE)</f>
        <v>2024/7/2</v>
      </c>
      <c r="M104" s="144">
        <f ca="1">VLOOKUP($B104,bond!$B:$Q,16,FALSE)</f>
        <v>5.4899999999999997E-2</v>
      </c>
      <c r="N104" s="136">
        <f ca="1">VALUE(LEFT(VLOOKUP(B104,bond!B:R,17,FALSE),SEARCH(" ",VLOOKUP(B104,bond!B:R,17,FALSE),1)))</f>
        <v>2000</v>
      </c>
      <c r="O104" s="136">
        <f ca="1">VALUE(RIGHT(VLOOKUP(B104,bond!B:R,17,FALSE),LEN(VLOOKUP(B104,bond!B:R,17,FALSE))-LEN(N104)-3))</f>
        <v>1000</v>
      </c>
      <c r="P104" s="135" t="str">
        <f ca="1">VLOOKUP($B104,bond!$B:$AG,32,FALSE)</f>
        <v>2024/8/26</v>
      </c>
      <c r="Q104" s="135" t="str">
        <f ca="1">VLOOKUP($B104,bond!$B:$AH,33,FALSE)</f>
        <v>工業</v>
      </c>
      <c r="R104" s="135" t="str">
        <f ca="1">VLOOKUP(B104,bond!B:AA,26,FALSE)</f>
        <v>3M</v>
      </c>
      <c r="S104" s="135" t="str">
        <f ca="1">VLOOKUP(B104,bond!B:AI,34,FALSE)</f>
        <v>MMM</v>
      </c>
      <c r="T104" s="135" t="str">
        <f t="shared" ca="1" si="7"/>
        <v>3M/MMM</v>
      </c>
      <c r="U104" s="207" t="str">
        <f ca="1">IFERROR(VLOOKUP(T104,Bond_DES!D:E,2,FALSE),VLOOKUP(S104,bond!AI:AJ,2,FALSE))</f>
        <v>3M公司(3M Company)透過安全與工業產品、運輸及電子產品、醫療產品及消費品等四大事業群於全球開發、製造並銷售各類產品，2024年4月完成醫療保健業務的分拆，名列2024年《Fortune》美國500強企業中化學品產業第2位，受《Interbrand》評為2023年最佳全球品牌。</v>
      </c>
      <c r="V104" s="136" t="str">
        <f ca="1">IFERROR(VLOOKUP(B104,'1_重設數據'!L:M,2,FALSE),IF(Q104="政府",IF(AD104&gt;16,"(NPI)非專投",IF(AD104&gt;10,"(PI)專投","高資產")),IF(VLOOKUP(B104,bond!B:AN,39,FALSE)="Y","(PI)專投",IF(AD104&gt;=15,"(NPI)非專投",IF(AD104&gt;=10,"(PI)專投","高資產")))))</f>
        <v>(NPI)非專投</v>
      </c>
      <c r="W104" s="136" t="str">
        <f ca="1">VLOOKUP(AD104,'credit rating'!$F$2:$H$22,3,FALSE)</f>
        <v>A-</v>
      </c>
      <c r="X104" s="136" t="str">
        <f t="shared" ca="1" si="8"/>
        <v>A3</v>
      </c>
      <c r="Y104" s="136" t="str">
        <f t="shared" ca="1" si="9"/>
        <v>BBB+</v>
      </c>
      <c r="Z104" s="136" t="str">
        <f t="shared" ca="1" si="10"/>
        <v>A-</v>
      </c>
      <c r="AA104" s="134">
        <f ca="1">IFERROR(VLOOKUP(X104,'credit rating'!A:C,3,FALSE),0)</f>
        <v>15</v>
      </c>
      <c r="AB104" s="134">
        <f ca="1">IFERROR(VLOOKUP(Y104,'credit rating'!B:C,2,FALSE),0)</f>
        <v>14</v>
      </c>
      <c r="AC104" s="136">
        <f ca="1">IFERROR(VLOOKUP(Z104,'credit rating'!B:C,2,FALSE),0)</f>
        <v>15</v>
      </c>
      <c r="AD104" s="136">
        <f t="shared" ca="1" si="11"/>
        <v>15</v>
      </c>
      <c r="AE104" s="249">
        <f ca="1">IFERROR(VLOOKUP(B104,bond!B:U,20,FALSE),"")</f>
        <v>5.5199999999999999E-2</v>
      </c>
      <c r="AF104" s="136" t="str">
        <f ca="1">IF(VLOOKUP(B104,bond!B:AK,36,FALSE)="#N/A Field Not Applicable","",VLOOKUP(B104,bond!B:AK,36,FALSE))</f>
        <v>2049/2/26</v>
      </c>
      <c r="AG104" s="136" t="str">
        <f ca="1">IF(VLOOKUP(B104,bond!B:AL,37,FALSE)="FIXED","固定",IF(VLOOKUP(B104,bond!B:AL,37,FALSE)="FLOATING","浮動",IF(VLOOKUP(B104,bond!B:AL,37,FALSE)="VARIABLE","變動",IF(VLOOKUP(B104,bond!B:AL,37,FALSE)="FLAT TRADING","不含息交易",IF(VLOOKUP(B104,bond!B:AL,37,FALSE)="ZERO COUPON","零息",VLOOKUP(B104,bond!B:AL,37,FALSE))))))</f>
        <v>固定</v>
      </c>
      <c r="AH104" s="136" t="str">
        <f>VLOOKUP(C104,'2_Check_code'!I:J,2,FALSE)</f>
        <v>美元(USD)</v>
      </c>
      <c r="AI104" s="136" t="str">
        <f t="shared" ca="1" si="12"/>
        <v>自由選清單</v>
      </c>
      <c r="AJ104" s="136">
        <f t="shared" ca="1" si="13"/>
        <v>0</v>
      </c>
      <c r="AK104" s="594" t="str">
        <f ca="1">IF(VLOOKUP(B104,bond!B:S,18,FALSE)="是","有",IF(VLOOKUP(B104,bond!B:S,18,FALSE)="NO OFFER","無","需查詢"))</f>
        <v>有</v>
      </c>
      <c r="AL104" s="136" t="str">
        <f>IF(VLOOKUP(A104,bond!F:AR,39,FALSE)="#N/A Field Not Applicable",VLOOKUP(A104,bond!F:AR,38,FALSE),IFERROR(VLOOKUP(A104,'7_發行日例外'!A:B,2,FALSE),VLOOKUP(A104,bond!F:AR,39,FALSE)))</f>
        <v>2019/8/26</v>
      </c>
      <c r="AM104" s="136" t="str">
        <f ca="1">VLOOKUP(B104,bond!B:AK,36,FALSE)</f>
        <v>2049/2/26</v>
      </c>
      <c r="AN104" s="136" t="str">
        <f ca="1">IFERROR(VLOOKUP(B104,'3_是否下架'!A:A,1,FALSE),"")</f>
        <v/>
      </c>
      <c r="AO104" s="136">
        <f ca="1">VLOOKUP(B104,bond!B:J,9,FALSE)</f>
        <v>68.62</v>
      </c>
      <c r="AP104" s="136">
        <f ca="1">VLOOKUP(B104,bond!B:V,21,FALSE)</f>
        <v>14.863300000000001</v>
      </c>
    </row>
    <row r="105" spans="1:42">
      <c r="A105" s="141" t="str">
        <f>bond!F106</f>
        <v>US713448EP96</v>
      </c>
      <c r="B105" s="151" t="str">
        <f ca="1">IF($C$1=TRUE,bond!B106,"")</f>
        <v>XFY30</v>
      </c>
      <c r="C105" s="95" t="str">
        <f>VLOOKUP(A105,bond!F:G,2,FALSE)</f>
        <v>USD</v>
      </c>
      <c r="D105" s="142" t="str">
        <f ca="1">VLOOKUP(B105,bond!B:C,2,FALSE)</f>
        <v>百事公司美元配息債券 2.875% 2049/10/15</v>
      </c>
      <c r="E105" s="95" t="str">
        <f ca="1">VLOOKUP(B105,bond!B:D,3,FALSE)</f>
        <v>A1 / A+ / WD</v>
      </c>
      <c r="F105" s="99" t="str">
        <f ca="1">VLOOKUP(B105,bond!B:AB,27,FALSE)</f>
        <v>2049/10/15</v>
      </c>
      <c r="G105" s="90">
        <f ca="1">VLOOKUP(B105,bond!B:E,4,FALSE)</f>
        <v>25.29</v>
      </c>
      <c r="H105" s="202">
        <f ca="1">VLOOKUP(B105,bond!B:Y,24,FALSE)</f>
        <v>2.8750000000000001E-2</v>
      </c>
      <c r="I105" s="95">
        <f ca="1">VLOOKUP(B105,bond!B:Z,25,FALSE)</f>
        <v>2</v>
      </c>
      <c r="J105" s="180">
        <f ca="1">VLOOKUP(B105,bond!B:K,10,FALSE)</f>
        <v>0.6149</v>
      </c>
      <c r="K105" s="96">
        <f ca="1">VLOOKUP($B105,bond!B:S,14,FALSE)</f>
        <v>68.75</v>
      </c>
      <c r="L105" s="91" t="str">
        <f ca="1">VLOOKUP(B105,bond!B:H,7,FALSE)</f>
        <v>2024/7/2</v>
      </c>
      <c r="M105" s="144">
        <f ca="1">VLOOKUP($B105,bond!$B:$Q,16,FALSE)</f>
        <v>5.1400000000000001E-2</v>
      </c>
      <c r="N105" s="136">
        <f ca="1">VALUE(LEFT(VLOOKUP(B105,bond!B:R,17,FALSE),SEARCH(" ",VLOOKUP(B105,bond!B:R,17,FALSE),1)))</f>
        <v>2000</v>
      </c>
      <c r="O105" s="136">
        <f ca="1">VALUE(RIGHT(VLOOKUP(B105,bond!B:R,17,FALSE),LEN(VLOOKUP(B105,bond!B:R,17,FALSE))-LEN(N105)-3))</f>
        <v>1000</v>
      </c>
      <c r="P105" s="135" t="str">
        <f ca="1">VLOOKUP($B105,bond!$B:$AG,32,FALSE)</f>
        <v>2024/10/15</v>
      </c>
      <c r="Q105" s="135" t="str">
        <f ca="1">VLOOKUP($B105,bond!$B:$AH,33,FALSE)</f>
        <v>核心消費</v>
      </c>
      <c r="R105" s="135" t="str">
        <f ca="1">VLOOKUP(B105,bond!B:AA,26,FALSE)</f>
        <v>百事可樂公司</v>
      </c>
      <c r="S105" s="135" t="str">
        <f ca="1">VLOOKUP(B105,bond!B:AI,34,FALSE)</f>
        <v>PEP</v>
      </c>
      <c r="T105" s="135" t="str">
        <f t="shared" ca="1" si="7"/>
        <v>百事可樂公司/PEP</v>
      </c>
      <c r="U105" s="207" t="str">
        <f ca="1">IFERROR(VLOOKUP(T105,Bond_DES!D:E,2,FALSE),VLOOKUP(S105,bond!AI:AJ,2,FALSE))</f>
        <v>百事可樂公司(PepsiCo, Inc.)經營食品及飲料業務，於零食及飲料事業均衡佈局，旗下產品銷往200多個國家和地區，知名飲料品牌包含：百事可樂、七喜等；休閒食品品牌有樂事、多力多滋、奇多等；穀物食品品牌如桂格。按彭博產業營收，高居全球零食龍頭，以及全球第二大非酒精飲料公司。</v>
      </c>
      <c r="V105" s="136" t="str">
        <f ca="1">IFERROR(VLOOKUP(B105,'1_重設數據'!L:M,2,FALSE),IF(Q105="政府",IF(AD105&gt;16,"(NPI)非專投",IF(AD105&gt;10,"(PI)專投","高資產")),IF(VLOOKUP(B105,bond!B:AN,39,FALSE)="Y","(PI)專投",IF(AD105&gt;=15,"(NPI)非專投",IF(AD105&gt;=10,"(PI)專投","高資產")))))</f>
        <v>(NPI)非專投</v>
      </c>
      <c r="W105" s="136" t="str">
        <f ca="1">VLOOKUP(AD105,'credit rating'!$F$2:$H$22,3,FALSE)</f>
        <v>A+</v>
      </c>
      <c r="X105" s="136" t="str">
        <f t="shared" ca="1" si="8"/>
        <v>A1</v>
      </c>
      <c r="Y105" s="136" t="str">
        <f t="shared" ca="1" si="9"/>
        <v>A+</v>
      </c>
      <c r="Z105" s="136" t="str">
        <f t="shared" ca="1" si="10"/>
        <v>WD</v>
      </c>
      <c r="AA105" s="134">
        <f ca="1">IFERROR(VLOOKUP(X105,'credit rating'!A:C,3,FALSE),0)</f>
        <v>17</v>
      </c>
      <c r="AB105" s="134">
        <f ca="1">IFERROR(VLOOKUP(Y105,'credit rating'!B:C,2,FALSE),0)</f>
        <v>17</v>
      </c>
      <c r="AC105" s="136">
        <f ca="1">IFERROR(VLOOKUP(Z105,'credit rating'!B:C,2,FALSE),0)</f>
        <v>0</v>
      </c>
      <c r="AD105" s="136">
        <f t="shared" ca="1" si="11"/>
        <v>17</v>
      </c>
      <c r="AE105" s="249">
        <f ca="1">IFERROR(VLOOKUP(B105,bond!B:U,20,FALSE),"")</f>
        <v>5.1700000000000003E-2</v>
      </c>
      <c r="AF105" s="136" t="str">
        <f ca="1">IF(VLOOKUP(B105,bond!B:AK,36,FALSE)="#N/A Field Not Applicable","",VLOOKUP(B105,bond!B:AK,36,FALSE))</f>
        <v>2049/4/15</v>
      </c>
      <c r="AG105" s="136" t="str">
        <f ca="1">IF(VLOOKUP(B105,bond!B:AL,37,FALSE)="FIXED","固定",IF(VLOOKUP(B105,bond!B:AL,37,FALSE)="FLOATING","浮動",IF(VLOOKUP(B105,bond!B:AL,37,FALSE)="VARIABLE","變動",IF(VLOOKUP(B105,bond!B:AL,37,FALSE)="FLAT TRADING","不含息交易",IF(VLOOKUP(B105,bond!B:AL,37,FALSE)="ZERO COUPON","零息",VLOOKUP(B105,bond!B:AL,37,FALSE))))))</f>
        <v>固定</v>
      </c>
      <c r="AH105" s="136" t="str">
        <f>VLOOKUP(C105,'2_Check_code'!I:J,2,FALSE)</f>
        <v>美元(USD)</v>
      </c>
      <c r="AI105" s="136" t="str">
        <f t="shared" ca="1" si="12"/>
        <v>自由選清單</v>
      </c>
      <c r="AJ105" s="136">
        <f t="shared" ca="1" si="13"/>
        <v>0</v>
      </c>
      <c r="AK105" s="594" t="str">
        <f ca="1">IF(VLOOKUP(B105,bond!B:S,18,FALSE)="是","有",IF(VLOOKUP(B105,bond!B:S,18,FALSE)="NO OFFER","無","需查詢"))</f>
        <v>有</v>
      </c>
      <c r="AL105" s="136" t="str">
        <f>IF(VLOOKUP(A105,bond!F:AR,39,FALSE)="#N/A Field Not Applicable",VLOOKUP(A105,bond!F:AR,38,FALSE),IFERROR(VLOOKUP(A105,'7_發行日例外'!A:B,2,FALSE),VLOOKUP(A105,bond!F:AR,39,FALSE)))</f>
        <v>2019/10/9</v>
      </c>
      <c r="AM105" s="136" t="str">
        <f ca="1">VLOOKUP(B105,bond!B:AK,36,FALSE)</f>
        <v>2049/4/15</v>
      </c>
      <c r="AN105" s="136" t="str">
        <f ca="1">IFERROR(VLOOKUP(B105,'3_是否下架'!A:A,1,FALSE),"")</f>
        <v/>
      </c>
      <c r="AO105" s="136">
        <f ca="1">VLOOKUP(B105,bond!B:J,9,FALSE)</f>
        <v>67.14</v>
      </c>
      <c r="AP105" s="136">
        <f ca="1">VLOOKUP(B105,bond!B:V,21,FALSE)</f>
        <v>15.7402</v>
      </c>
    </row>
    <row r="106" spans="1:42">
      <c r="A106" s="141" t="str">
        <f>bond!F107</f>
        <v>US375558BK80</v>
      </c>
      <c r="B106" s="151" t="str">
        <f ca="1">IF($C$1=TRUE,bond!B107,"")</f>
        <v>XFY40</v>
      </c>
      <c r="C106" s="95" t="str">
        <f>VLOOKUP(A106,bond!F:G,2,FALSE)</f>
        <v>USD</v>
      </c>
      <c r="D106" s="142" t="str">
        <f ca="1">VLOOKUP(B106,bond!B:C,2,FALSE)</f>
        <v>吉利德科學公司美元配息債券 4.15% 2047/3/1</v>
      </c>
      <c r="E106" s="95" t="str">
        <f ca="1">VLOOKUP(B106,bond!B:D,3,FALSE)</f>
        <v>A3 / BBB+ / -</v>
      </c>
      <c r="F106" s="99" t="str">
        <f ca="1">VLOOKUP(B106,bond!B:AB,27,FALSE)</f>
        <v>2047/3/1</v>
      </c>
      <c r="G106" s="90">
        <f ca="1">VLOOKUP(B106,bond!B:E,4,FALSE)</f>
        <v>22.66</v>
      </c>
      <c r="H106" s="202">
        <f ca="1">VLOOKUP(B106,bond!B:Y,24,FALSE)</f>
        <v>4.1500000000000002E-2</v>
      </c>
      <c r="I106" s="95">
        <f ca="1">VLOOKUP(B106,bond!B:Z,25,FALSE)</f>
        <v>2</v>
      </c>
      <c r="J106" s="180">
        <f ca="1">VLOOKUP(B106,bond!B:K,10,FALSE)</f>
        <v>1.3949</v>
      </c>
      <c r="K106" s="96">
        <f ca="1">VLOOKUP($B106,bond!B:S,14,FALSE)</f>
        <v>86.39</v>
      </c>
      <c r="L106" s="91" t="str">
        <f ca="1">VLOOKUP(B106,bond!B:H,7,FALSE)</f>
        <v>2024/7/2</v>
      </c>
      <c r="M106" s="144">
        <f ca="1">VLOOKUP($B106,bond!$B:$Q,16,FALSE)</f>
        <v>5.2900000000000003E-2</v>
      </c>
      <c r="N106" s="136">
        <f ca="1">VALUE(LEFT(VLOOKUP(B106,bond!B:R,17,FALSE),SEARCH(" ",VLOOKUP(B106,bond!B:R,17,FALSE),1)))</f>
        <v>10000</v>
      </c>
      <c r="O106" s="136">
        <f ca="1">VALUE(RIGHT(VLOOKUP(B106,bond!B:R,17,FALSE),LEN(VLOOKUP(B106,bond!B:R,17,FALSE))-LEN(N106)-3))</f>
        <v>1000</v>
      </c>
      <c r="P106" s="135" t="str">
        <f ca="1">VLOOKUP($B106,bond!$B:$AG,32,FALSE)</f>
        <v>2024/9/1</v>
      </c>
      <c r="Q106" s="135" t="str">
        <f ca="1">VLOOKUP($B106,bond!$B:$AH,33,FALSE)</f>
        <v>醫療保健</v>
      </c>
      <c r="R106" s="135" t="str">
        <f ca="1">VLOOKUP(B106,bond!B:AA,26,FALSE)</f>
        <v>吉利德科學公司</v>
      </c>
      <c r="S106" s="135" t="str">
        <f ca="1">VLOOKUP(B106,bond!B:AI,34,FALSE)</f>
        <v>GILD</v>
      </c>
      <c r="T106" s="135" t="str">
        <f t="shared" ca="1" si="7"/>
        <v>吉利德科學公司/GILD</v>
      </c>
      <c r="U106" s="207" t="str">
        <f ca="1">IFERROR(VLOOKUP(T106,Bond_DES!D:E,2,FALSE),VLOOKUP(S106,bond!AI:AJ,2,FALSE))</f>
        <v>吉利德科學公司(Gilead Sciences, Inc.)是抗病毒藥物市場龍頭，名列全球藥企50強第15位(製藥經理人 2024)，在愛滋病治療與C型肝炎治療領域市佔率穩坐第一位，旗下抗病毒用藥-瑞德西韋(Remdesivir)為美國首獲FDA批准的新冠肺炎治療藥物。</v>
      </c>
      <c r="V106" s="136" t="str">
        <f ca="1">IFERROR(VLOOKUP(B106,'1_重設數據'!L:M,2,FALSE),IF(Q106="政府",IF(AD106&gt;16,"(NPI)非專投",IF(AD106&gt;10,"(PI)專投","高資產")),IF(VLOOKUP(B106,bond!B:AN,39,FALSE)="Y","(PI)專投",IF(AD106&gt;=15,"(NPI)非專投",IF(AD106&gt;=10,"(PI)專投","高資產")))))</f>
        <v>(NPI)非專投</v>
      </c>
      <c r="W106" s="136" t="str">
        <f ca="1">VLOOKUP(AD106,'credit rating'!$F$2:$H$22,3,FALSE)</f>
        <v>A-</v>
      </c>
      <c r="X106" s="136" t="str">
        <f t="shared" ca="1" si="8"/>
        <v>A3</v>
      </c>
      <c r="Y106" s="136" t="str">
        <f t="shared" ca="1" si="9"/>
        <v>BBB+</v>
      </c>
      <c r="Z106" s="136" t="str">
        <f t="shared" ca="1" si="10"/>
        <v>-</v>
      </c>
      <c r="AA106" s="134">
        <f ca="1">IFERROR(VLOOKUP(X106,'credit rating'!A:C,3,FALSE),0)</f>
        <v>15</v>
      </c>
      <c r="AB106" s="134">
        <f ca="1">IFERROR(VLOOKUP(Y106,'credit rating'!B:C,2,FALSE),0)</f>
        <v>14</v>
      </c>
      <c r="AC106" s="136">
        <f ca="1">IFERROR(VLOOKUP(Z106,'credit rating'!B:C,2,FALSE),0)</f>
        <v>0</v>
      </c>
      <c r="AD106" s="136">
        <f t="shared" ca="1" si="11"/>
        <v>15</v>
      </c>
      <c r="AE106" s="249">
        <f ca="1">IFERROR(VLOOKUP(B106,bond!B:U,20,FALSE),"")</f>
        <v>5.3100000000000001E-2</v>
      </c>
      <c r="AF106" s="136" t="str">
        <f ca="1">IF(VLOOKUP(B106,bond!B:AK,36,FALSE)="#N/A Field Not Applicable","",VLOOKUP(B106,bond!B:AK,36,FALSE))</f>
        <v>2046/9/1</v>
      </c>
      <c r="AG106" s="136" t="str">
        <f ca="1">IF(VLOOKUP(B106,bond!B:AL,37,FALSE)="FIXED","固定",IF(VLOOKUP(B106,bond!B:AL,37,FALSE)="FLOATING","浮動",IF(VLOOKUP(B106,bond!B:AL,37,FALSE)="VARIABLE","變動",IF(VLOOKUP(B106,bond!B:AL,37,FALSE)="FLAT TRADING","不含息交易",IF(VLOOKUP(B106,bond!B:AL,37,FALSE)="ZERO COUPON","零息",VLOOKUP(B106,bond!B:AL,37,FALSE))))))</f>
        <v>固定</v>
      </c>
      <c r="AH106" s="136" t="str">
        <f>VLOOKUP(C106,'2_Check_code'!I:J,2,FALSE)</f>
        <v>美元(USD)</v>
      </c>
      <c r="AI106" s="136" t="str">
        <f t="shared" ca="1" si="12"/>
        <v>自由選清單</v>
      </c>
      <c r="AJ106" s="136">
        <f t="shared" ca="1" si="13"/>
        <v>0</v>
      </c>
      <c r="AK106" s="594" t="str">
        <f ca="1">IF(VLOOKUP(B106,bond!B:S,18,FALSE)="是","有",IF(VLOOKUP(B106,bond!B:S,18,FALSE)="NO OFFER","無","需查詢"))</f>
        <v>有</v>
      </c>
      <c r="AL106" s="136" t="str">
        <f>IF(VLOOKUP(A106,bond!F:AR,39,FALSE)="#N/A Field Not Applicable",VLOOKUP(A106,bond!F:AR,38,FALSE),IFERROR(VLOOKUP(A106,'7_發行日例外'!A:B,2,FALSE),VLOOKUP(A106,bond!F:AR,39,FALSE)))</f>
        <v>2016/9/20</v>
      </c>
      <c r="AM106" s="136" t="str">
        <f ca="1">VLOOKUP(B106,bond!B:AK,36,FALSE)</f>
        <v>2046/9/1</v>
      </c>
      <c r="AN106" s="136" t="str">
        <f ca="1">IFERROR(VLOOKUP(B106,'3_是否下架'!A:A,1,FALSE),"")</f>
        <v/>
      </c>
      <c r="AO106" s="136">
        <f ca="1">VLOOKUP(B106,bond!B:J,9,FALSE)</f>
        <v>82</v>
      </c>
      <c r="AP106" s="136">
        <f ca="1">VLOOKUP(B106,bond!B:V,21,FALSE)</f>
        <v>13.4552</v>
      </c>
    </row>
    <row r="107" spans="1:42">
      <c r="A107" s="141" t="str">
        <f>bond!F108</f>
        <v>US437076BY77</v>
      </c>
      <c r="B107" s="151" t="str">
        <f ca="1">IF($C$1=TRUE,bond!B108,"")</f>
        <v>XFY50</v>
      </c>
      <c r="C107" s="95" t="str">
        <f>VLOOKUP(A107,bond!F:G,2,FALSE)</f>
        <v>USD</v>
      </c>
      <c r="D107" s="142" t="str">
        <f ca="1">VLOOKUP(B107,bond!B:C,2,FALSE)</f>
        <v>家得寶公司美元配息債券 2.95% 2029/6/15</v>
      </c>
      <c r="E107" s="95" t="str">
        <f ca="1">VLOOKUP(B107,bond!B:D,3,FALSE)</f>
        <v>A2 / A / A</v>
      </c>
      <c r="F107" s="99" t="str">
        <f ca="1">VLOOKUP(B107,bond!B:AB,27,FALSE)</f>
        <v>2029/6/15</v>
      </c>
      <c r="G107" s="90">
        <f ca="1">VLOOKUP(B107,bond!B:E,4,FALSE)</f>
        <v>4.95</v>
      </c>
      <c r="H107" s="202">
        <f ca="1">VLOOKUP(B107,bond!B:Y,24,FALSE)</f>
        <v>2.9500000000000002E-2</v>
      </c>
      <c r="I107" s="95">
        <f ca="1">VLOOKUP(B107,bond!B:Z,25,FALSE)</f>
        <v>2</v>
      </c>
      <c r="J107" s="180">
        <f ca="1">VLOOKUP(B107,bond!B:K,10,FALSE)</f>
        <v>0.13930000000000001</v>
      </c>
      <c r="K107" s="96">
        <f ca="1">VLOOKUP($B107,bond!B:S,14,FALSE)</f>
        <v>93.72</v>
      </c>
      <c r="L107" s="91" t="str">
        <f ca="1">VLOOKUP(B107,bond!B:H,7,FALSE)</f>
        <v>2024/7/2</v>
      </c>
      <c r="M107" s="144">
        <f ca="1">VLOOKUP($B107,bond!$B:$Q,16,FALSE)</f>
        <v>4.41E-2</v>
      </c>
      <c r="N107" s="136">
        <f ca="1">VALUE(LEFT(VLOOKUP(B107,bond!B:R,17,FALSE),SEARCH(" ",VLOOKUP(B107,bond!B:R,17,FALSE),1)))</f>
        <v>10000</v>
      </c>
      <c r="O107" s="136">
        <f ca="1">VALUE(RIGHT(VLOOKUP(B107,bond!B:R,17,FALSE),LEN(VLOOKUP(B107,bond!B:R,17,FALSE))-LEN(N107)-3))</f>
        <v>1000</v>
      </c>
      <c r="P107" s="135" t="str">
        <f ca="1">VLOOKUP($B107,bond!$B:$AG,32,FALSE)</f>
        <v>2024/12/15</v>
      </c>
      <c r="Q107" s="135" t="str">
        <f ca="1">VLOOKUP($B107,bond!$B:$AH,33,FALSE)</f>
        <v>非核心消費</v>
      </c>
      <c r="R107" s="135" t="str">
        <f ca="1">VLOOKUP(B107,bond!B:AA,26,FALSE)</f>
        <v>家得寶公司</v>
      </c>
      <c r="S107" s="135" t="str">
        <f ca="1">VLOOKUP(B107,bond!B:AI,34,FALSE)</f>
        <v>HD</v>
      </c>
      <c r="T107" s="135" t="str">
        <f t="shared" ca="1" si="7"/>
        <v>家得寶公司/HD</v>
      </c>
      <c r="U107" s="207" t="str">
        <f ca="1">IFERROR(VLOOKUP(T107,Bond_DES!D:E,2,FALSE),VLOOKUP(S107,bond!AI:AJ,2,FALSE))</f>
        <v>家得寶(Home Depot, Inc.)為世界最大的家居修繕零售商，銷售各種建材、家居修繕及草坪與園藝用品，並提供安裝及設備租賃等多項服務，在美國、加拿大和墨西哥擁有2,300多家商店，目前有3萬5千多種商品於實體店面，超過1百萬種商品於線上銷售。2024年《Brand Finance》全球零售品牌價值名列第3位(僅次於亞馬遜及沃爾瑪)。</v>
      </c>
      <c r="V107" s="136" t="str">
        <f ca="1">IFERROR(VLOOKUP(B107,'1_重設數據'!L:M,2,FALSE),IF(Q107="政府",IF(AD107&gt;16,"(NPI)非專投",IF(AD107&gt;10,"(PI)專投","高資產")),IF(VLOOKUP(B107,bond!B:AN,39,FALSE)="Y","(PI)專投",IF(AD107&gt;=15,"(NPI)非專投",IF(AD107&gt;=10,"(PI)專投","高資產")))))</f>
        <v>(NPI)非專投</v>
      </c>
      <c r="W107" s="136" t="str">
        <f ca="1">VLOOKUP(AD107,'credit rating'!$F$2:$H$22,3,FALSE)</f>
        <v>A</v>
      </c>
      <c r="X107" s="136" t="str">
        <f t="shared" ca="1" si="8"/>
        <v>A2</v>
      </c>
      <c r="Y107" s="136" t="str">
        <f t="shared" ca="1" si="9"/>
        <v>A</v>
      </c>
      <c r="Z107" s="136" t="str">
        <f t="shared" ca="1" si="10"/>
        <v>A</v>
      </c>
      <c r="AA107" s="134">
        <f ca="1">IFERROR(VLOOKUP(X107,'credit rating'!A:C,3,FALSE),0)</f>
        <v>16</v>
      </c>
      <c r="AB107" s="134">
        <f ca="1">IFERROR(VLOOKUP(Y107,'credit rating'!B:C,2,FALSE),0)</f>
        <v>16</v>
      </c>
      <c r="AC107" s="136">
        <f ca="1">IFERROR(VLOOKUP(Z107,'credit rating'!B:C,2,FALSE),0)</f>
        <v>16</v>
      </c>
      <c r="AD107" s="136">
        <f t="shared" ca="1" si="11"/>
        <v>16</v>
      </c>
      <c r="AE107" s="249">
        <f ca="1">IFERROR(VLOOKUP(B107,bond!B:U,20,FALSE),"")</f>
        <v>4.48E-2</v>
      </c>
      <c r="AF107" s="136" t="str">
        <f ca="1">IF(VLOOKUP(B107,bond!B:AK,36,FALSE)="#N/A Field Not Applicable","",VLOOKUP(B107,bond!B:AK,36,FALSE))</f>
        <v>2029/3/15</v>
      </c>
      <c r="AG107" s="136" t="str">
        <f ca="1">IF(VLOOKUP(B107,bond!B:AL,37,FALSE)="FIXED","固定",IF(VLOOKUP(B107,bond!B:AL,37,FALSE)="FLOATING","浮動",IF(VLOOKUP(B107,bond!B:AL,37,FALSE)="VARIABLE","變動",IF(VLOOKUP(B107,bond!B:AL,37,FALSE)="FLAT TRADING","不含息交易",IF(VLOOKUP(B107,bond!B:AL,37,FALSE)="ZERO COUPON","零息",VLOOKUP(B107,bond!B:AL,37,FALSE))))))</f>
        <v>固定</v>
      </c>
      <c r="AH107" s="136" t="str">
        <f>VLOOKUP(C107,'2_Check_code'!I:J,2,FALSE)</f>
        <v>美元(USD)</v>
      </c>
      <c r="AI107" s="136" t="str">
        <f t="shared" ca="1" si="12"/>
        <v>自由選清單</v>
      </c>
      <c r="AJ107" s="136">
        <f t="shared" ca="1" si="13"/>
        <v>0</v>
      </c>
      <c r="AK107" s="594" t="str">
        <f ca="1">IF(VLOOKUP(B107,bond!B:S,18,FALSE)="是","有",IF(VLOOKUP(B107,bond!B:S,18,FALSE)="NO OFFER","無","需查詢"))</f>
        <v>有</v>
      </c>
      <c r="AL107" s="136" t="str">
        <f>IF(VLOOKUP(A107,bond!F:AR,39,FALSE)="#N/A Field Not Applicable",VLOOKUP(A107,bond!F:AR,38,FALSE),IFERROR(VLOOKUP(A107,'7_發行日例外'!A:B,2,FALSE),VLOOKUP(A107,bond!F:AR,39,FALSE)))</f>
        <v>2019/6/17</v>
      </c>
      <c r="AM107" s="136" t="str">
        <f ca="1">VLOOKUP(B107,bond!B:AK,36,FALSE)</f>
        <v>2029/3/15</v>
      </c>
      <c r="AN107" s="136" t="str">
        <f ca="1">IFERROR(VLOOKUP(B107,'3_是否下架'!A:A,1,FALSE),"")</f>
        <v/>
      </c>
      <c r="AO107" s="136">
        <f ca="1">VLOOKUP(B107,bond!B:J,9,FALSE)</f>
        <v>91.98</v>
      </c>
      <c r="AP107" s="136">
        <f ca="1">VLOOKUP(B107,bond!B:V,21,FALSE)</f>
        <v>4.5175999999999998</v>
      </c>
    </row>
    <row r="108" spans="1:42">
      <c r="A108" s="141" t="str">
        <f>bond!F109</f>
        <v>US655664AR15</v>
      </c>
      <c r="B108" s="151" t="str">
        <f ca="1">IF($C$1=TRUE,bond!B109,"")</f>
        <v>XFY70</v>
      </c>
      <c r="C108" s="95" t="str">
        <f>VLOOKUP(A108,bond!F:G,2,FALSE)</f>
        <v>USD</v>
      </c>
      <c r="D108" s="142" t="str">
        <f ca="1">VLOOKUP(B108,bond!B:C,2,FALSE)</f>
        <v>諾德斯特隆公司美元配息債券 5% 2044/1/15</v>
      </c>
      <c r="E108" s="95" t="str">
        <f ca="1">VLOOKUP(B108,bond!B:D,3,FALSE)</f>
        <v>Ba2 / BB+ / BB</v>
      </c>
      <c r="F108" s="99" t="str">
        <f ca="1">VLOOKUP(B108,bond!B:AB,27,FALSE)</f>
        <v>2044/1/15</v>
      </c>
      <c r="G108" s="90">
        <f ca="1">VLOOKUP(B108,bond!B:E,4,FALSE)</f>
        <v>19.54</v>
      </c>
      <c r="H108" s="202">
        <f ca="1">VLOOKUP(B108,bond!B:Y,24,FALSE)</f>
        <v>0.05</v>
      </c>
      <c r="I108" s="95">
        <f ca="1">VLOOKUP(B108,bond!B:Z,25,FALSE)</f>
        <v>2</v>
      </c>
      <c r="J108" s="180">
        <f ca="1">VLOOKUP(B108,bond!B:K,10,FALSE)</f>
        <v>2.3193999999999999</v>
      </c>
      <c r="K108" s="96">
        <f ca="1">VLOOKUP($B108,bond!B:S,14,FALSE)</f>
        <v>87.04</v>
      </c>
      <c r="L108" s="91" t="str">
        <f ca="1">VLOOKUP(B108,bond!B:H,7,FALSE)</f>
        <v>2024/7/2</v>
      </c>
      <c r="M108" s="144">
        <f ca="1">VLOOKUP($B108,bond!$B:$Q,16,FALSE)</f>
        <v>6.3799999999999996E-2</v>
      </c>
      <c r="N108" s="136">
        <f ca="1">VALUE(LEFT(VLOOKUP(B108,bond!B:R,17,FALSE),SEARCH(" ",VLOOKUP(B108,bond!B:R,17,FALSE),1)))</f>
        <v>10000</v>
      </c>
      <c r="O108" s="136">
        <f ca="1">VALUE(RIGHT(VLOOKUP(B108,bond!B:R,17,FALSE),LEN(VLOOKUP(B108,bond!B:R,17,FALSE))-LEN(N108)-3))</f>
        <v>1000</v>
      </c>
      <c r="P108" s="135" t="str">
        <f ca="1">VLOOKUP($B108,bond!$B:$AG,32,FALSE)</f>
        <v>2024/7/15</v>
      </c>
      <c r="Q108" s="135" t="str">
        <f ca="1">VLOOKUP($B108,bond!$B:$AH,33,FALSE)</f>
        <v>非核心消費</v>
      </c>
      <c r="R108" s="135" t="str">
        <f ca="1">VLOOKUP(B108,bond!B:AA,26,FALSE)</f>
        <v>諾德斯特龍公司</v>
      </c>
      <c r="S108" s="135" t="str">
        <f ca="1">VLOOKUP(B108,bond!B:AI,34,FALSE)</f>
        <v>JWN</v>
      </c>
      <c r="T108" s="135" t="str">
        <f t="shared" ca="1" si="7"/>
        <v>諾德斯特龍公司/JWN</v>
      </c>
      <c r="U108" s="207" t="str">
        <f ca="1">IFERROR(VLOOKUP(T108,Bond_DES!D:E,2,FALSE),VLOOKUP(S108,bond!AI:AJ,2,FALSE))</f>
        <v>諾德斯特龍公司(Nordstrom, Inc.)成立於1901年，以鞋業起家，迄今已成為美國高檔時裝百貨公司，是一家專注於男女及孩童的流行服飾、鞋子及配件的零售領導者，按彭博「高級百貨公司」產業營收位居全球龍頭地位，並位居2024年《Fortune》美國500強企業第286位。</v>
      </c>
      <c r="V108" s="136" t="str">
        <f ca="1">IFERROR(VLOOKUP(B108,'1_重設數據'!L:M,2,FALSE),IF(Q108="政府",IF(AD108&gt;16,"(NPI)非專投",IF(AD108&gt;10,"(PI)專投","高資產")),IF(VLOOKUP(B108,bond!B:AN,39,FALSE)="Y","(PI)專投",IF(AD108&gt;=15,"(NPI)非專投",IF(AD108&gt;=10,"(PI)專投","高資產")))))</f>
        <v>(PI)專投</v>
      </c>
      <c r="W108" s="136" t="str">
        <f ca="1">VLOOKUP(AD108,'credit rating'!$F$2:$H$22,3,FALSE)</f>
        <v>BB+</v>
      </c>
      <c r="X108" s="136" t="str">
        <f t="shared" ca="1" si="8"/>
        <v>Ba2</v>
      </c>
      <c r="Y108" s="136" t="str">
        <f t="shared" ca="1" si="9"/>
        <v>BB+</v>
      </c>
      <c r="Z108" s="136" t="str">
        <f t="shared" ca="1" si="10"/>
        <v>BB</v>
      </c>
      <c r="AA108" s="134">
        <f ca="1">IFERROR(VLOOKUP(X108,'credit rating'!A:C,3,FALSE),0)</f>
        <v>10</v>
      </c>
      <c r="AB108" s="134">
        <f ca="1">IFERROR(VLOOKUP(Y108,'credit rating'!B:C,2,FALSE),0)</f>
        <v>11</v>
      </c>
      <c r="AC108" s="136">
        <f ca="1">IFERROR(VLOOKUP(Z108,'credit rating'!B:C,2,FALSE),0)</f>
        <v>10</v>
      </c>
      <c r="AD108" s="136">
        <f t="shared" ca="1" si="11"/>
        <v>11</v>
      </c>
      <c r="AE108" s="249">
        <f ca="1">IFERROR(VLOOKUP(B108,bond!B:U,20,FALSE),"")</f>
        <v>6.4000000000000001E-2</v>
      </c>
      <c r="AF108" s="136" t="str">
        <f ca="1">IF(VLOOKUP(B108,bond!B:AK,36,FALSE)="#N/A Field Not Applicable","",VLOOKUP(B108,bond!B:AK,36,FALSE))</f>
        <v>2043/7/15</v>
      </c>
      <c r="AG108" s="136" t="str">
        <f ca="1">IF(VLOOKUP(B108,bond!B:AL,37,FALSE)="FIXED","固定",IF(VLOOKUP(B108,bond!B:AL,37,FALSE)="FLOATING","浮動",IF(VLOOKUP(B108,bond!B:AL,37,FALSE)="VARIABLE","變動",IF(VLOOKUP(B108,bond!B:AL,37,FALSE)="FLAT TRADING","不含息交易",IF(VLOOKUP(B108,bond!B:AL,37,FALSE)="ZERO COUPON","零息",VLOOKUP(B108,bond!B:AL,37,FALSE))))))</f>
        <v>固定</v>
      </c>
      <c r="AH108" s="136" t="str">
        <f>VLOOKUP(C108,'2_Check_code'!I:J,2,FALSE)</f>
        <v>美元(USD)</v>
      </c>
      <c r="AI108" s="136" t="str">
        <f t="shared" ca="1" si="12"/>
        <v>自由選清單</v>
      </c>
      <c r="AJ108" s="136">
        <f t="shared" ca="1" si="13"/>
        <v>0</v>
      </c>
      <c r="AK108" s="594" t="str">
        <f ca="1">IF(VLOOKUP(B108,bond!B:S,18,FALSE)="是","有",IF(VLOOKUP(B108,bond!B:S,18,FALSE)="NO OFFER","無","需查詢"))</f>
        <v>有</v>
      </c>
      <c r="AL108" s="136" t="str">
        <f>IF(VLOOKUP(A108,bond!F:AR,39,FALSE)="#N/A Field Not Applicable",VLOOKUP(A108,bond!F:AR,38,FALSE),IFERROR(VLOOKUP(A108,'7_發行日例外'!A:B,2,FALSE),VLOOKUP(A108,bond!F:AR,39,FALSE)))</f>
        <v>2013/12/12</v>
      </c>
      <c r="AM108" s="136" t="str">
        <f ca="1">VLOOKUP(B108,bond!B:AK,36,FALSE)</f>
        <v>2043/7/15</v>
      </c>
      <c r="AN108" s="136" t="str">
        <f ca="1">IFERROR(VLOOKUP(B108,'3_是否下架'!A:A,1,FALSE),"")</f>
        <v/>
      </c>
      <c r="AO108" s="136">
        <f ca="1">VLOOKUP(B108,bond!B:J,9,FALSE)</f>
        <v>81.72</v>
      </c>
      <c r="AP108" s="136">
        <f ca="1">VLOOKUP(B108,bond!B:V,21,FALSE)</f>
        <v>11.227600000000001</v>
      </c>
    </row>
    <row r="109" spans="1:42">
      <c r="A109" s="141" t="str">
        <f>bond!F110</f>
        <v>US69370RAE71</v>
      </c>
      <c r="B109" s="151" t="str">
        <f ca="1">IF($C$1=TRUE,bond!B110,"")</f>
        <v>XFY80</v>
      </c>
      <c r="C109" s="95" t="str">
        <f>VLOOKUP(A109,bond!F:G,2,FALSE)</f>
        <v>USD</v>
      </c>
      <c r="D109" s="142" t="str">
        <f ca="1">VLOOKUP(B109,bond!B:C,2,FALSE)</f>
        <v>印尼國家石油有限公司美元配息債券 4.7% 2049/7/30</v>
      </c>
      <c r="E109" s="95" t="str">
        <f ca="1">VLOOKUP(B109,bond!B:D,3,FALSE)</f>
        <v>Baa2 / - / BBB</v>
      </c>
      <c r="F109" s="99" t="str">
        <f ca="1">VLOOKUP(B109,bond!B:AB,27,FALSE)</f>
        <v>2049/7/30</v>
      </c>
      <c r="G109" s="90">
        <f ca="1">VLOOKUP(B109,bond!B:E,4,FALSE)</f>
        <v>25.08</v>
      </c>
      <c r="H109" s="202">
        <f ca="1">VLOOKUP(B109,bond!B:Y,24,FALSE)</f>
        <v>4.7E-2</v>
      </c>
      <c r="I109" s="95">
        <f ca="1">VLOOKUP(B109,bond!B:Z,25,FALSE)</f>
        <v>2</v>
      </c>
      <c r="J109" s="180">
        <f ca="1">VLOOKUP(B109,bond!B:K,10,FALSE)</f>
        <v>1.9843999999999999</v>
      </c>
      <c r="K109" s="96">
        <f ca="1">VLOOKUP($B109,bond!B:S,14,FALSE)</f>
        <v>90.71</v>
      </c>
      <c r="L109" s="91" t="str">
        <f ca="1">VLOOKUP(B109,bond!B:H,7,FALSE)</f>
        <v>2024/7/2</v>
      </c>
      <c r="M109" s="144">
        <f ca="1">VLOOKUP($B109,bond!$B:$Q,16,FALSE)</f>
        <v>5.5399999999999998E-2</v>
      </c>
      <c r="N109" s="136">
        <f ca="1">VALUE(LEFT(VLOOKUP(B109,bond!B:R,17,FALSE),SEARCH(" ",VLOOKUP(B109,bond!B:R,17,FALSE),1)))</f>
        <v>200000</v>
      </c>
      <c r="O109" s="136">
        <f ca="1">VALUE(RIGHT(VLOOKUP(B109,bond!B:R,17,FALSE),LEN(VLOOKUP(B109,bond!B:R,17,FALSE))-LEN(N109)-3))</f>
        <v>1000</v>
      </c>
      <c r="P109" s="135" t="str">
        <f ca="1">VLOOKUP($B109,bond!$B:$AG,32,FALSE)</f>
        <v>2024/7/30</v>
      </c>
      <c r="Q109" s="135" t="str">
        <f ca="1">VLOOKUP($B109,bond!$B:$AH,33,FALSE)</f>
        <v>能源</v>
      </c>
      <c r="R109" s="135" t="str">
        <f ca="1">VLOOKUP(B109,bond!B:AA,26,FALSE)</f>
        <v>印尼國家石油有限公司</v>
      </c>
      <c r="S109" s="135" t="str">
        <f ca="1">VLOOKUP(B109,bond!B:AI,34,FALSE)</f>
        <v>PERTIJ</v>
      </c>
      <c r="T109" s="135" t="str">
        <f t="shared" ca="1" si="7"/>
        <v>印尼國家石油有限公司/PERTIJ</v>
      </c>
      <c r="U109" s="207" t="str">
        <f ca="1">IFERROR(VLOOKUP(T109,Bond_DES!D:E,2,FALSE),VLOOKUP(S109,bond!AI:AJ,2,FALSE))</f>
        <v>印尼國家石油公司(PT Pertamina)總部位於雅加達，為一家從事石油、天然氣、新能源和可再生能源等能源領域的印尼國有企業，具國家重要戰略地位並為印尼最大的油氣公司。印尼國家石油公司於2023年《Fortune》全球500大企業同產業排名中，名列第19名。</v>
      </c>
      <c r="V109" s="136" t="str">
        <f ca="1">IFERROR(VLOOKUP(B109,'1_重設數據'!L:M,2,FALSE),IF(Q109="政府",IF(AD109&gt;16,"(NPI)非專投",IF(AD109&gt;10,"(PI)專投","高資產")),IF(VLOOKUP(B109,bond!B:AN,39,FALSE)="Y","(PI)專投",IF(AD109&gt;=15,"(NPI)非專投",IF(AD109&gt;=10,"(PI)專投","高資產")))))</f>
        <v>(PI)專投</v>
      </c>
      <c r="W109" s="136" t="str">
        <f ca="1">VLOOKUP(AD109,'credit rating'!$F$2:$H$22,3,FALSE)</f>
        <v>BBB</v>
      </c>
      <c r="X109" s="136" t="str">
        <f t="shared" ca="1" si="8"/>
        <v>Baa2</v>
      </c>
      <c r="Y109" s="136" t="str">
        <f t="shared" ca="1" si="9"/>
        <v>-</v>
      </c>
      <c r="Z109" s="136" t="str">
        <f t="shared" ca="1" si="10"/>
        <v>BBB</v>
      </c>
      <c r="AA109" s="134">
        <f ca="1">IFERROR(VLOOKUP(X109,'credit rating'!A:C,3,FALSE),0)</f>
        <v>13</v>
      </c>
      <c r="AB109" s="134">
        <f ca="1">IFERROR(VLOOKUP(Y109,'credit rating'!B:C,2,FALSE),0)</f>
        <v>0</v>
      </c>
      <c r="AC109" s="136">
        <f ca="1">IFERROR(VLOOKUP(Z109,'credit rating'!B:C,2,FALSE),0)</f>
        <v>13</v>
      </c>
      <c r="AD109" s="136">
        <f t="shared" ca="1" si="11"/>
        <v>13</v>
      </c>
      <c r="AE109" s="249" t="str">
        <f ca="1">IFERROR(VLOOKUP(B109,bond!B:U,20,FALSE),"")</f>
        <v xml:space="preserve"> </v>
      </c>
      <c r="AF109" s="136" t="str">
        <f ca="1">IF(VLOOKUP(B109,bond!B:AK,36,FALSE)="#N/A Field Not Applicable","",VLOOKUP(B109,bond!B:AK,36,FALSE))</f>
        <v/>
      </c>
      <c r="AG109" s="136" t="str">
        <f ca="1">IF(VLOOKUP(B109,bond!B:AL,37,FALSE)="FIXED","固定",IF(VLOOKUP(B109,bond!B:AL,37,FALSE)="FLOATING","浮動",IF(VLOOKUP(B109,bond!B:AL,37,FALSE)="VARIABLE","變動",IF(VLOOKUP(B109,bond!B:AL,37,FALSE)="FLAT TRADING","不含息交易",IF(VLOOKUP(B109,bond!B:AL,37,FALSE)="ZERO COUPON","零息",VLOOKUP(B109,bond!B:AL,37,FALSE))))))</f>
        <v>固定</v>
      </c>
      <c r="AH109" s="136" t="str">
        <f>VLOOKUP(C109,'2_Check_code'!I:J,2,FALSE)</f>
        <v>美元(USD)</v>
      </c>
      <c r="AI109" s="136" t="str">
        <f t="shared" ca="1" si="12"/>
        <v>自由選清單</v>
      </c>
      <c r="AJ109" s="136">
        <f t="shared" ca="1" si="13"/>
        <v>0</v>
      </c>
      <c r="AK109" s="594" t="str">
        <f ca="1">IF(VLOOKUP(B109,bond!B:S,18,FALSE)="是","有",IF(VLOOKUP(B109,bond!B:S,18,FALSE)="NO OFFER","無","需查詢"))</f>
        <v>有</v>
      </c>
      <c r="AL109" s="136" t="str">
        <f>IF(VLOOKUP(A109,bond!F:AR,39,FALSE)="#N/A Field Not Applicable",VLOOKUP(A109,bond!F:AR,38,FALSE),IFERROR(VLOOKUP(A109,'7_發行日例外'!A:B,2,FALSE),VLOOKUP(A109,bond!F:AR,39,FALSE)))</f>
        <v>2019/7/30</v>
      </c>
      <c r="AM109" s="136" t="str">
        <f ca="1">VLOOKUP(B109,bond!B:AK,36,FALSE)</f>
        <v>#N/A Field Not Applicable</v>
      </c>
      <c r="AN109" s="136" t="str">
        <f ca="1">IFERROR(VLOOKUP(B109,'3_是否下架'!A:A,1,FALSE),"")</f>
        <v/>
      </c>
      <c r="AO109" s="136">
        <f ca="1">VLOOKUP(B109,bond!B:J,9,FALSE)</f>
        <v>85.23</v>
      </c>
      <c r="AP109" s="136">
        <f ca="1">VLOOKUP(B109,bond!B:V,21,FALSE)</f>
        <v>13.4587</v>
      </c>
    </row>
    <row r="110" spans="1:42">
      <c r="A110" s="141" t="str">
        <f>bond!F111</f>
        <v>AU0000078644</v>
      </c>
      <c r="B110" s="151" t="str">
        <f ca="1">IF($C$1=TRUE,bond!B111,"")</f>
        <v>XFY90</v>
      </c>
      <c r="C110" s="95" t="str">
        <f>VLOOKUP(A110,bond!F:G,2,FALSE)</f>
        <v>AUD</v>
      </c>
      <c r="D110" s="142" t="str">
        <f ca="1">VLOOKUP(B110,bond!B:C,2,FALSE)</f>
        <v>阿聯酋杜拜國家銀行澳幣配息債券 3.05% 2030/2/26</v>
      </c>
      <c r="E110" s="95" t="str">
        <f ca="1">VLOOKUP(B110,bond!B:D,3,FALSE)</f>
        <v>A2 / - / A+</v>
      </c>
      <c r="F110" s="99" t="str">
        <f ca="1">VLOOKUP(B110,bond!B:AB,27,FALSE)</f>
        <v>2030/2/26</v>
      </c>
      <c r="G110" s="90">
        <f ca="1">VLOOKUP(B110,bond!B:E,4,FALSE)</f>
        <v>5.65</v>
      </c>
      <c r="H110" s="202">
        <f ca="1">VLOOKUP(B110,bond!B:Y,24,FALSE)</f>
        <v>3.0499999999999999E-2</v>
      </c>
      <c r="I110" s="95">
        <f ca="1">VLOOKUP(B110,bond!B:Z,25,FALSE)</f>
        <v>2</v>
      </c>
      <c r="J110" s="180">
        <f ca="1">VLOOKUP(B110,bond!B:K,10,FALSE)</f>
        <v>1.073</v>
      </c>
      <c r="K110" s="96">
        <f ca="1">VLOOKUP($B110,bond!B:S,14,FALSE)</f>
        <v>92.68</v>
      </c>
      <c r="L110" s="91" t="str">
        <f ca="1">VLOOKUP(B110,bond!B:H,7,FALSE)</f>
        <v>2024/7/3</v>
      </c>
      <c r="M110" s="144">
        <f ca="1">VLOOKUP($B110,bond!$B:$Q,16,FALSE)</f>
        <v>4.7600000000000003E-2</v>
      </c>
      <c r="N110" s="136">
        <f ca="1">VALUE(LEFT(VLOOKUP(B110,bond!B:R,17,FALSE),SEARCH(" ",VLOOKUP(B110,bond!B:R,17,FALSE),1)))</f>
        <v>10000</v>
      </c>
      <c r="O110" s="136">
        <f ca="1">VALUE(RIGHT(VLOOKUP(B110,bond!B:R,17,FALSE),LEN(VLOOKUP(B110,bond!B:R,17,FALSE))-LEN(N110)-3))</f>
        <v>10000</v>
      </c>
      <c r="P110" s="135" t="str">
        <f ca="1">VLOOKUP($B110,bond!$B:$AG,32,FALSE)</f>
        <v>2024/8/26</v>
      </c>
      <c r="Q110" s="135" t="str">
        <f ca="1">VLOOKUP($B110,bond!$B:$AH,33,FALSE)</f>
        <v>金融</v>
      </c>
      <c r="R110" s="135" t="str">
        <f ca="1">VLOOKUP(B110,bond!B:AA,26,FALSE)</f>
        <v>Emirates NBD Bank PJSC</v>
      </c>
      <c r="S110" s="135" t="str">
        <f ca="1">VLOOKUP(B110,bond!B:AI,34,FALSE)</f>
        <v>EBIUH</v>
      </c>
      <c r="T110" s="135" t="str">
        <f t="shared" ca="1" si="7"/>
        <v>Emirates NBD Bank PJSC/EBIUH</v>
      </c>
      <c r="U110" s="207" t="str">
        <f ca="1">IFERROR(VLOOKUP(T110,Bond_DES!D:E,2,FALSE),VLOOKUP(S110,bond!AI:AJ,2,FALSE))</f>
        <v>阿聯酋NBD銀行(Emirates NBD PJSC)由酋長國國際銀行及杜拜國家銀行合併而成，提供全方位的金融產品服務，橫跨零售銀行、企業銀行、私人銀行、伊斯蘭銀行、投資銀行等領域，其總部設於阿拉伯聯合大公國的杜拜，杜拜政府間接持有超過50%股權。</v>
      </c>
      <c r="V110" s="136" t="str">
        <f ca="1">IFERROR(VLOOKUP(B110,'1_重設數據'!L:M,2,FALSE),IF(Q110="政府",IF(AD110&gt;16,"(NPI)非專投",IF(AD110&gt;10,"(PI)專投","高資產")),IF(VLOOKUP(B110,bond!B:AN,39,FALSE)="Y","(PI)專投",IF(AD110&gt;=15,"(NPI)非專投",IF(AD110&gt;=10,"(PI)專投","高資產")))))</f>
        <v>(NPI)非專投</v>
      </c>
      <c r="W110" s="136" t="str">
        <f ca="1">VLOOKUP(AD110,'credit rating'!$F$2:$H$22,3,FALSE)</f>
        <v>A+</v>
      </c>
      <c r="X110" s="136" t="str">
        <f t="shared" ca="1" si="8"/>
        <v>A2</v>
      </c>
      <c r="Y110" s="136" t="str">
        <f t="shared" ca="1" si="9"/>
        <v>-</v>
      </c>
      <c r="Z110" s="136" t="str">
        <f t="shared" ca="1" si="10"/>
        <v>A+</v>
      </c>
      <c r="AA110" s="134">
        <f ca="1">IFERROR(VLOOKUP(X110,'credit rating'!A:C,3,FALSE),0)</f>
        <v>16</v>
      </c>
      <c r="AB110" s="134">
        <f ca="1">IFERROR(VLOOKUP(Y110,'credit rating'!B:C,2,FALSE),0)</f>
        <v>0</v>
      </c>
      <c r="AC110" s="136">
        <f ca="1">IFERROR(VLOOKUP(Z110,'credit rating'!B:C,2,FALSE),0)</f>
        <v>17</v>
      </c>
      <c r="AD110" s="136">
        <f t="shared" ca="1" si="11"/>
        <v>17</v>
      </c>
      <c r="AE110" s="249" t="str">
        <f ca="1">IFERROR(VLOOKUP(B110,bond!B:U,20,FALSE),"")</f>
        <v xml:space="preserve"> </v>
      </c>
      <c r="AF110" s="136" t="str">
        <f ca="1">IF(VLOOKUP(B110,bond!B:AK,36,FALSE)="#N/A Field Not Applicable","",VLOOKUP(B110,bond!B:AK,36,FALSE))</f>
        <v/>
      </c>
      <c r="AG110" s="136" t="str">
        <f ca="1">IF(VLOOKUP(B110,bond!B:AL,37,FALSE)="FIXED","固定",IF(VLOOKUP(B110,bond!B:AL,37,FALSE)="FLOATING","浮動",IF(VLOOKUP(B110,bond!B:AL,37,FALSE)="VARIABLE","變動",IF(VLOOKUP(B110,bond!B:AL,37,FALSE)="FLAT TRADING","不含息交易",IF(VLOOKUP(B110,bond!B:AL,37,FALSE)="ZERO COUPON","零息",VLOOKUP(B110,bond!B:AL,37,FALSE))))))</f>
        <v>固定</v>
      </c>
      <c r="AH110" s="136" t="str">
        <f>VLOOKUP(C110,'2_Check_code'!I:J,2,FALSE)</f>
        <v>澳幣(AUD)</v>
      </c>
      <c r="AI110" s="136" t="str">
        <f t="shared" ca="1" si="12"/>
        <v/>
      </c>
      <c r="AJ110" s="136">
        <f t="shared" ca="1" si="13"/>
        <v>1</v>
      </c>
      <c r="AK110" s="594" t="str">
        <f ca="1">IF(VLOOKUP(B110,bond!B:S,18,FALSE)="是","有",IF(VLOOKUP(B110,bond!B:S,18,FALSE)="NO OFFER","無","需查詢"))</f>
        <v>無</v>
      </c>
      <c r="AL110" s="136" t="str">
        <f>IF(VLOOKUP(A110,bond!F:AR,39,FALSE)="#N/A Field Not Applicable",VLOOKUP(A110,bond!F:AR,38,FALSE),IFERROR(VLOOKUP(A110,'7_發行日例外'!A:B,2,FALSE),VLOOKUP(A110,bond!F:AR,39,FALSE)))</f>
        <v>2020/2/26</v>
      </c>
      <c r="AM110" s="136" t="str">
        <f ca="1">VLOOKUP(B110,bond!B:AK,36,FALSE)</f>
        <v>#N/A Field Not Applicable</v>
      </c>
      <c r="AN110" s="136" t="str">
        <f ca="1">IFERROR(VLOOKUP(B110,'3_是否下架'!A:A,1,FALSE),"")</f>
        <v>XFY90</v>
      </c>
      <c r="AO110" s="136">
        <f ca="1">VLOOKUP(B110,bond!B:J,9,FALSE)</f>
        <v>89.61</v>
      </c>
      <c r="AP110" s="136">
        <f ca="1">VLOOKUP(B110,bond!B:V,21,FALSE)</f>
        <v>5.0106000000000002</v>
      </c>
    </row>
    <row r="111" spans="1:42">
      <c r="A111" s="141" t="str">
        <f>bond!F112</f>
        <v>US125523AK66</v>
      </c>
      <c r="B111" s="151" t="str">
        <f ca="1">IF($C$1=TRUE,bond!B112,"")</f>
        <v>XFZ10</v>
      </c>
      <c r="C111" s="95" t="str">
        <f>VLOOKUP(A111,bond!F:G,2,FALSE)</f>
        <v>USD</v>
      </c>
      <c r="D111" s="142" t="str">
        <f ca="1">VLOOKUP(B111,bond!B:C,2,FALSE)</f>
        <v>信諾公司美元配息債券 4.9% 2048/12/15</v>
      </c>
      <c r="E111" s="95" t="str">
        <f ca="1">VLOOKUP(B111,bond!B:D,3,FALSE)</f>
        <v>Baa1 / A- / BBB+</v>
      </c>
      <c r="F111" s="99" t="str">
        <f ca="1">VLOOKUP(B111,bond!B:AB,27,FALSE)</f>
        <v>2048/12/15</v>
      </c>
      <c r="G111" s="90">
        <f ca="1">VLOOKUP(B111,bond!B:E,4,FALSE)</f>
        <v>24.45</v>
      </c>
      <c r="H111" s="202">
        <f ca="1">VLOOKUP(B111,bond!B:Y,24,FALSE)</f>
        <v>4.9000000000000002E-2</v>
      </c>
      <c r="I111" s="95">
        <f ca="1">VLOOKUP(B111,bond!B:Z,25,FALSE)</f>
        <v>2</v>
      </c>
      <c r="J111" s="180">
        <f ca="1">VLOOKUP(B111,bond!B:K,10,FALSE)</f>
        <v>0.23139999999999999</v>
      </c>
      <c r="K111" s="96">
        <f ca="1">VLOOKUP($B111,bond!B:S,14,FALSE)</f>
        <v>92.21</v>
      </c>
      <c r="L111" s="91" t="str">
        <f ca="1">VLOOKUP(B111,bond!B:H,7,FALSE)</f>
        <v>2024/7/2</v>
      </c>
      <c r="M111" s="144">
        <f ca="1">VLOOKUP($B111,bond!$B:$Q,16,FALSE)</f>
        <v>5.5E-2</v>
      </c>
      <c r="N111" s="136">
        <f ca="1">VALUE(LEFT(VLOOKUP(B111,bond!B:R,17,FALSE),SEARCH(" ",VLOOKUP(B111,bond!B:R,17,FALSE),1)))</f>
        <v>10000</v>
      </c>
      <c r="O111" s="136">
        <f ca="1">VALUE(RIGHT(VLOOKUP(B111,bond!B:R,17,FALSE),LEN(VLOOKUP(B111,bond!B:R,17,FALSE))-LEN(N111)-3))</f>
        <v>1000</v>
      </c>
      <c r="P111" s="135" t="str">
        <f ca="1">VLOOKUP($B111,bond!$B:$AG,32,FALSE)</f>
        <v>2024/12/15</v>
      </c>
      <c r="Q111" s="135" t="str">
        <f ca="1">VLOOKUP($B111,bond!$B:$AH,33,FALSE)</f>
        <v>醫療保健</v>
      </c>
      <c r="R111" s="135" t="str">
        <f ca="1">VLOOKUP(B111,bond!B:AA,26,FALSE)</f>
        <v>信諾集團</v>
      </c>
      <c r="S111" s="135" t="str">
        <f ca="1">VLOOKUP(B111,bond!B:AI,34,FALSE)</f>
        <v>CI</v>
      </c>
      <c r="T111" s="135" t="str">
        <f t="shared" ca="1" si="7"/>
        <v>信諾集團/CI</v>
      </c>
      <c r="U111" s="207" t="str">
        <f ca="1">IFERROR(VLOOKUP(T111,Bond_DES!D:E,2,FALSE),VLOOKUP(S111,bond!AI:AJ,2,FALSE))</f>
        <v>信諾集團(Cigna Corporation)是一家全球性的醫療保健服務公司，提供醫療保險、藥品福利管理(PBM)、專業藥房服務、送藥上門等一系列廣泛的保險及藥品服務。2018年併入美市佔前三的PBM機構-快捷藥方(ESI)，促營收規模躍升至世界500強第35位(Fortune 2023)，並名列2024年《Brand Finance》醫療保健服務品牌價值第6位。</v>
      </c>
      <c r="V111" s="136" t="str">
        <f ca="1">IFERROR(VLOOKUP(B111,'1_重設數據'!L:M,2,FALSE),IF(Q111="政府",IF(AD111&gt;16,"(NPI)非專投",IF(AD111&gt;10,"(PI)專投","高資產")),IF(VLOOKUP(B111,bond!B:AN,39,FALSE)="Y","(PI)專投",IF(AD111&gt;=15,"(NPI)非專投",IF(AD111&gt;=10,"(PI)專投","高資產")))))</f>
        <v>(NPI)非專投</v>
      </c>
      <c r="W111" s="136" t="str">
        <f ca="1">VLOOKUP(AD111,'credit rating'!$F$2:$H$22,3,FALSE)</f>
        <v>A-</v>
      </c>
      <c r="X111" s="136" t="str">
        <f t="shared" ca="1" si="8"/>
        <v>Baa1</v>
      </c>
      <c r="Y111" s="136" t="str">
        <f t="shared" ca="1" si="9"/>
        <v>A-</v>
      </c>
      <c r="Z111" s="136" t="str">
        <f t="shared" ca="1" si="10"/>
        <v>BBB+</v>
      </c>
      <c r="AA111" s="134">
        <f ca="1">IFERROR(VLOOKUP(X111,'credit rating'!A:C,3,FALSE),0)</f>
        <v>14</v>
      </c>
      <c r="AB111" s="134">
        <f ca="1">IFERROR(VLOOKUP(Y111,'credit rating'!B:C,2,FALSE),0)</f>
        <v>15</v>
      </c>
      <c r="AC111" s="136">
        <f ca="1">IFERROR(VLOOKUP(Z111,'credit rating'!B:C,2,FALSE),0)</f>
        <v>14</v>
      </c>
      <c r="AD111" s="136">
        <f t="shared" ca="1" si="11"/>
        <v>15</v>
      </c>
      <c r="AE111" s="249">
        <f ca="1">IFERROR(VLOOKUP(B111,bond!B:U,20,FALSE),"")</f>
        <v>5.5100000000000003E-2</v>
      </c>
      <c r="AF111" s="136" t="str">
        <f ca="1">IF(VLOOKUP(B111,bond!B:AK,36,FALSE)="#N/A Field Not Applicable","",VLOOKUP(B111,bond!B:AK,36,FALSE))</f>
        <v>2048/6/15</v>
      </c>
      <c r="AG111" s="136" t="str">
        <f ca="1">IF(VLOOKUP(B111,bond!B:AL,37,FALSE)="FIXED","固定",IF(VLOOKUP(B111,bond!B:AL,37,FALSE)="FLOATING","浮動",IF(VLOOKUP(B111,bond!B:AL,37,FALSE)="VARIABLE","變動",IF(VLOOKUP(B111,bond!B:AL,37,FALSE)="FLAT TRADING","不含息交易",IF(VLOOKUP(B111,bond!B:AL,37,FALSE)="ZERO COUPON","零息",VLOOKUP(B111,bond!B:AL,37,FALSE))))))</f>
        <v>固定</v>
      </c>
      <c r="AH111" s="136" t="str">
        <f>VLOOKUP(C111,'2_Check_code'!I:J,2,FALSE)</f>
        <v>美元(USD)</v>
      </c>
      <c r="AI111" s="136" t="str">
        <f t="shared" ca="1" si="12"/>
        <v>自由選清單</v>
      </c>
      <c r="AJ111" s="136">
        <f t="shared" ca="1" si="13"/>
        <v>0</v>
      </c>
      <c r="AK111" s="594" t="str">
        <f ca="1">IF(VLOOKUP(B111,bond!B:S,18,FALSE)="是","有",IF(VLOOKUP(B111,bond!B:S,18,FALSE)="NO OFFER","無","需查詢"))</f>
        <v>有</v>
      </c>
      <c r="AL111" s="136" t="str">
        <f>IF(VLOOKUP(A111,bond!F:AR,39,FALSE)="#N/A Field Not Applicable",VLOOKUP(A111,bond!F:AR,38,FALSE),IFERROR(VLOOKUP(A111,'7_發行日例外'!A:B,2,FALSE),VLOOKUP(A111,bond!F:AR,39,FALSE)))</f>
        <v>2019/6/15</v>
      </c>
      <c r="AM111" s="136" t="str">
        <f ca="1">VLOOKUP(B111,bond!B:AK,36,FALSE)</f>
        <v>2048/6/15</v>
      </c>
      <c r="AN111" s="136" t="str">
        <f ca="1">IFERROR(VLOOKUP(B111,'3_是否下架'!A:A,1,FALSE),"")</f>
        <v/>
      </c>
      <c r="AO111" s="136">
        <f ca="1">VLOOKUP(B111,bond!B:J,9,FALSE)</f>
        <v>88.48</v>
      </c>
      <c r="AP111" s="136">
        <f ca="1">VLOOKUP(B111,bond!B:V,21,FALSE)</f>
        <v>13.513400000000001</v>
      </c>
    </row>
    <row r="112" spans="1:42">
      <c r="A112" s="141" t="str">
        <f>bond!F113</f>
        <v>US278642AW32</v>
      </c>
      <c r="B112" s="151" t="str">
        <f ca="1">IF($C$1=TRUE,bond!B113,"")</f>
        <v>XFZ20</v>
      </c>
      <c r="C112" s="95" t="str">
        <f>VLOOKUP(A112,bond!F:G,2,FALSE)</f>
        <v>USD</v>
      </c>
      <c r="D112" s="142" t="str">
        <f ca="1">VLOOKUP(B112,bond!B:C,2,FALSE)</f>
        <v>eBay公司美元配息債券 2.7% 2030/3/11</v>
      </c>
      <c r="E112" s="95" t="str">
        <f ca="1">VLOOKUP(B112,bond!B:D,3,FALSE)</f>
        <v>Baa1 / BBB+ / WD</v>
      </c>
      <c r="F112" s="99" t="str">
        <f ca="1">VLOOKUP(B112,bond!B:AB,27,FALSE)</f>
        <v>2030/3/11</v>
      </c>
      <c r="G112" s="90">
        <f ca="1">VLOOKUP(B112,bond!B:E,4,FALSE)</f>
        <v>5.69</v>
      </c>
      <c r="H112" s="202">
        <f ca="1">VLOOKUP(B112,bond!B:Y,24,FALSE)</f>
        <v>2.7000000000000003E-2</v>
      </c>
      <c r="I112" s="95">
        <f ca="1">VLOOKUP(B112,bond!B:Z,25,FALSE)</f>
        <v>2</v>
      </c>
      <c r="J112" s="180">
        <f ca="1">VLOOKUP(B112,bond!B:K,10,FALSE)</f>
        <v>0.83250000000000002</v>
      </c>
      <c r="K112" s="96">
        <f ca="1">VLOOKUP($B112,bond!B:S,14,FALSE)</f>
        <v>91.47</v>
      </c>
      <c r="L112" s="91" t="str">
        <f ca="1">VLOOKUP(B112,bond!B:H,7,FALSE)</f>
        <v>2024/7/2</v>
      </c>
      <c r="M112" s="144">
        <f ca="1">VLOOKUP($B112,bond!$B:$Q,16,FALSE)</f>
        <v>4.5900000000000003E-2</v>
      </c>
      <c r="N112" s="136">
        <f ca="1">VALUE(LEFT(VLOOKUP(B112,bond!B:R,17,FALSE),SEARCH(" ",VLOOKUP(B112,bond!B:R,17,FALSE),1)))</f>
        <v>10000</v>
      </c>
      <c r="O112" s="136">
        <f ca="1">VALUE(RIGHT(VLOOKUP(B112,bond!B:R,17,FALSE),LEN(VLOOKUP(B112,bond!B:R,17,FALSE))-LEN(N112)-3))</f>
        <v>1000</v>
      </c>
      <c r="P112" s="135" t="str">
        <f ca="1">VLOOKUP($B112,bond!$B:$AG,32,FALSE)</f>
        <v>2024/9/11</v>
      </c>
      <c r="Q112" s="135" t="str">
        <f ca="1">VLOOKUP($B112,bond!$B:$AH,33,FALSE)</f>
        <v>非核心消費</v>
      </c>
      <c r="R112" s="135" t="str">
        <f ca="1">VLOOKUP(B112,bond!B:AA,26,FALSE)</f>
        <v>電子灣拍賣網站公司</v>
      </c>
      <c r="S112" s="135" t="str">
        <f ca="1">VLOOKUP(B112,bond!B:AI,34,FALSE)</f>
        <v>EBAY</v>
      </c>
      <c r="T112" s="135" t="str">
        <f t="shared" ca="1" si="7"/>
        <v>電子灣拍賣網站公司/EBAY</v>
      </c>
      <c r="U112" s="207" t="str">
        <f ca="1">IFERROR(VLOOKUP(T112,Bond_DES!D:E,2,FALSE),VLOOKUP(S112,bond!AI:AJ,2,FALSE))</f>
        <v>電子灣拍賣網站公司(eBay Inc.)為一家全球電子商務公司，該公司的平台設計讓全球賣家進行商品庫存整理並提供銷售，並透過讓賣家及買家同時瀏覽商品促進出價及交易，全球有超過1.35億個會員，根據Similarweb 2024調查為全球第二大受歡迎的線上購物網站，僅次於亞馬遜。</v>
      </c>
      <c r="V112" s="136" t="str">
        <f ca="1">IFERROR(VLOOKUP(B112,'1_重設數據'!L:M,2,FALSE),IF(Q112="政府",IF(AD112&gt;16,"(NPI)非專投",IF(AD112&gt;10,"(PI)專投","高資產")),IF(VLOOKUP(B112,bond!B:AN,39,FALSE)="Y","(PI)專投",IF(AD112&gt;=15,"(NPI)非專投",IF(AD112&gt;=10,"(PI)專投","高資產")))))</f>
        <v>(PI)專投</v>
      </c>
      <c r="W112" s="136" t="str">
        <f ca="1">VLOOKUP(AD112,'credit rating'!$F$2:$H$22,3,FALSE)</f>
        <v>BBB+</v>
      </c>
      <c r="X112" s="136" t="str">
        <f t="shared" ca="1" si="8"/>
        <v>Baa1</v>
      </c>
      <c r="Y112" s="136" t="str">
        <f t="shared" ca="1" si="9"/>
        <v>BBB+</v>
      </c>
      <c r="Z112" s="136" t="str">
        <f t="shared" ca="1" si="10"/>
        <v>WD</v>
      </c>
      <c r="AA112" s="134">
        <f ca="1">IFERROR(VLOOKUP(X112,'credit rating'!A:C,3,FALSE),0)</f>
        <v>14</v>
      </c>
      <c r="AB112" s="134">
        <f ca="1">IFERROR(VLOOKUP(Y112,'credit rating'!B:C,2,FALSE),0)</f>
        <v>14</v>
      </c>
      <c r="AC112" s="136">
        <f ca="1">IFERROR(VLOOKUP(Z112,'credit rating'!B:C,2,FALSE),0)</f>
        <v>0</v>
      </c>
      <c r="AD112" s="136">
        <f t="shared" ca="1" si="11"/>
        <v>14</v>
      </c>
      <c r="AE112" s="249">
        <f ca="1">IFERROR(VLOOKUP(B112,bond!B:U,20,FALSE),"")</f>
        <v>4.6699999999999998E-2</v>
      </c>
      <c r="AF112" s="136" t="str">
        <f ca="1">IF(VLOOKUP(B112,bond!B:AK,36,FALSE)="#N/A Field Not Applicable","",VLOOKUP(B112,bond!B:AK,36,FALSE))</f>
        <v>2029/12/11</v>
      </c>
      <c r="AG112" s="136" t="str">
        <f ca="1">IF(VLOOKUP(B112,bond!B:AL,37,FALSE)="FIXED","固定",IF(VLOOKUP(B112,bond!B:AL,37,FALSE)="FLOATING","浮動",IF(VLOOKUP(B112,bond!B:AL,37,FALSE)="VARIABLE","變動",IF(VLOOKUP(B112,bond!B:AL,37,FALSE)="FLAT TRADING","不含息交易",IF(VLOOKUP(B112,bond!B:AL,37,FALSE)="ZERO COUPON","零息",VLOOKUP(B112,bond!B:AL,37,FALSE))))))</f>
        <v>固定</v>
      </c>
      <c r="AH112" s="136" t="str">
        <f>VLOOKUP(C112,'2_Check_code'!I:J,2,FALSE)</f>
        <v>美元(USD)</v>
      </c>
      <c r="AI112" s="136" t="str">
        <f t="shared" ca="1" si="12"/>
        <v>自由選清單</v>
      </c>
      <c r="AJ112" s="136">
        <f t="shared" ca="1" si="13"/>
        <v>0</v>
      </c>
      <c r="AK112" s="594" t="str">
        <f ca="1">IF(VLOOKUP(B112,bond!B:S,18,FALSE)="是","有",IF(VLOOKUP(B112,bond!B:S,18,FALSE)="NO OFFER","無","需查詢"))</f>
        <v>有</v>
      </c>
      <c r="AL112" s="136" t="str">
        <f>IF(VLOOKUP(A112,bond!F:AR,39,FALSE)="#N/A Field Not Applicable",VLOOKUP(A112,bond!F:AR,38,FALSE),IFERROR(VLOOKUP(A112,'7_發行日例外'!A:B,2,FALSE),VLOOKUP(A112,bond!F:AR,39,FALSE)))</f>
        <v>2020/3/11</v>
      </c>
      <c r="AM112" s="136" t="str">
        <f ca="1">VLOOKUP(B112,bond!B:AK,36,FALSE)</f>
        <v>2029/12/11</v>
      </c>
      <c r="AN112" s="136" t="str">
        <f ca="1">IFERROR(VLOOKUP(B112,'3_是否下架'!A:A,1,FALSE),"")</f>
        <v/>
      </c>
      <c r="AO112" s="136">
        <f ca="1">VLOOKUP(B112,bond!B:J,9,FALSE)</f>
        <v>88.64</v>
      </c>
      <c r="AP112" s="136">
        <f ca="1">VLOOKUP(B112,bond!B:V,21,FALSE)</f>
        <v>5.1140999999999996</v>
      </c>
    </row>
    <row r="113" spans="1:42">
      <c r="A113" s="141" t="str">
        <f>bond!F114</f>
        <v>US92826CAF95</v>
      </c>
      <c r="B113" s="151" t="str">
        <f ca="1">IF($C$1=TRUE,bond!B114,"")</f>
        <v>XFZ30</v>
      </c>
      <c r="C113" s="95" t="str">
        <f>VLOOKUP(A113,bond!F:G,2,FALSE)</f>
        <v>USD</v>
      </c>
      <c r="D113" s="142" t="str">
        <f ca="1">VLOOKUP(B113,bond!B:C,2,FALSE)</f>
        <v>威士卡公司美元配息債券 4.3% 2045/12/14</v>
      </c>
      <c r="E113" s="95" t="str">
        <f ca="1">VLOOKUP(B113,bond!B:D,3,FALSE)</f>
        <v>Aa3 / AA- / -</v>
      </c>
      <c r="F113" s="99" t="str">
        <f ca="1">VLOOKUP(B113,bond!B:AB,27,FALSE)</f>
        <v>2045/12/14</v>
      </c>
      <c r="G113" s="90">
        <f ca="1">VLOOKUP(B113,bond!B:E,4,FALSE)</f>
        <v>21.45</v>
      </c>
      <c r="H113" s="202">
        <f ca="1">VLOOKUP(B113,bond!B:Y,24,FALSE)</f>
        <v>4.2999999999999997E-2</v>
      </c>
      <c r="I113" s="95">
        <f ca="1">VLOOKUP(B113,bond!B:Z,25,FALSE)</f>
        <v>2</v>
      </c>
      <c r="J113" s="180">
        <f ca="1">VLOOKUP(B113,bond!B:K,10,FALSE)</f>
        <v>0.215</v>
      </c>
      <c r="K113" s="96">
        <f ca="1">VLOOKUP($B113,bond!B:S,14,FALSE)</f>
        <v>88.53</v>
      </c>
      <c r="L113" s="91" t="str">
        <f ca="1">VLOOKUP(B113,bond!B:H,7,FALSE)</f>
        <v>2024/7/2</v>
      </c>
      <c r="M113" s="144">
        <f ca="1">VLOOKUP($B113,bond!$B:$Q,16,FALSE)</f>
        <v>5.21E-2</v>
      </c>
      <c r="N113" s="136">
        <f ca="1">VALUE(LEFT(VLOOKUP(B113,bond!B:R,17,FALSE),SEARCH(" ",VLOOKUP(B113,bond!B:R,17,FALSE),1)))</f>
        <v>2000</v>
      </c>
      <c r="O113" s="136">
        <f ca="1">VALUE(RIGHT(VLOOKUP(B113,bond!B:R,17,FALSE),LEN(VLOOKUP(B113,bond!B:R,17,FALSE))-LEN(N113)-3))</f>
        <v>1000</v>
      </c>
      <c r="P113" s="135" t="str">
        <f ca="1">VLOOKUP($B113,bond!$B:$AG,32,FALSE)</f>
        <v>2024/12/14</v>
      </c>
      <c r="Q113" s="135" t="str">
        <f ca="1">VLOOKUP($B113,bond!$B:$AH,33,FALSE)</f>
        <v>金融</v>
      </c>
      <c r="R113" s="135" t="str">
        <f ca="1">VLOOKUP(B113,bond!B:AA,26,FALSE)</f>
        <v>威士卡</v>
      </c>
      <c r="S113" s="135" t="str">
        <f ca="1">VLOOKUP(B113,bond!B:AI,34,FALSE)</f>
        <v>V</v>
      </c>
      <c r="T113" s="135" t="str">
        <f t="shared" ca="1" si="7"/>
        <v>威士卡/V</v>
      </c>
      <c r="U113" s="207" t="str">
        <f ca="1">IFERROR(VLOOKUP(T113,Bond_DES!D:E,2,FALSE),VLOOKUP(S113,bond!AI:AJ,2,FALSE))</f>
        <v>威士卡(Visa Inc.)是全球領先的數位支付公司，服務橫跨全球200多個國家和地區的消費者、商家、金融機構和政府，透過先進的全球支付處理網路VisaNet，在全世界提供安全可靠的支付服務，每秒可處理超過65,000筆交易。Visa亦是全球最大的國際發卡組織，截至2023財年底在全球流通的Visa信用卡達41.6億張。</v>
      </c>
      <c r="V113" s="136" t="str">
        <f ca="1">IFERROR(VLOOKUP(B113,'1_重設數據'!L:M,2,FALSE),IF(Q113="政府",IF(AD113&gt;16,"(NPI)非專投",IF(AD113&gt;10,"(PI)專投","高資產")),IF(VLOOKUP(B113,bond!B:AN,39,FALSE)="Y","(PI)專投",IF(AD113&gt;=15,"(NPI)非專投",IF(AD113&gt;=10,"(PI)專投","高資產")))))</f>
        <v>(NPI)非專投</v>
      </c>
      <c r="W113" s="136" t="str">
        <f ca="1">VLOOKUP(AD113,'credit rating'!$F$2:$H$22,3,FALSE)</f>
        <v>AA-</v>
      </c>
      <c r="X113" s="136" t="str">
        <f t="shared" ca="1" si="8"/>
        <v>Aa3</v>
      </c>
      <c r="Y113" s="136" t="str">
        <f t="shared" ca="1" si="9"/>
        <v>AA-</v>
      </c>
      <c r="Z113" s="136" t="str">
        <f t="shared" ca="1" si="10"/>
        <v>-</v>
      </c>
      <c r="AA113" s="134">
        <f ca="1">IFERROR(VLOOKUP(X113,'credit rating'!A:C,3,FALSE),0)</f>
        <v>18</v>
      </c>
      <c r="AB113" s="134">
        <f ca="1">IFERROR(VLOOKUP(Y113,'credit rating'!B:C,2,FALSE),0)</f>
        <v>18</v>
      </c>
      <c r="AC113" s="136">
        <f ca="1">IFERROR(VLOOKUP(Z113,'credit rating'!B:C,2,FALSE),0)</f>
        <v>0</v>
      </c>
      <c r="AD113" s="136">
        <f t="shared" ca="1" si="11"/>
        <v>18</v>
      </c>
      <c r="AE113" s="249">
        <f ca="1">IFERROR(VLOOKUP(B113,bond!B:U,20,FALSE),"")</f>
        <v>5.2200000000000003E-2</v>
      </c>
      <c r="AF113" s="136" t="str">
        <f ca="1">IF(VLOOKUP(B113,bond!B:AK,36,FALSE)="#N/A Field Not Applicable","",VLOOKUP(B113,bond!B:AK,36,FALSE))</f>
        <v>2045/6/14</v>
      </c>
      <c r="AG113" s="136" t="str">
        <f ca="1">IF(VLOOKUP(B113,bond!B:AL,37,FALSE)="FIXED","固定",IF(VLOOKUP(B113,bond!B:AL,37,FALSE)="FLOATING","浮動",IF(VLOOKUP(B113,bond!B:AL,37,FALSE)="VARIABLE","變動",IF(VLOOKUP(B113,bond!B:AL,37,FALSE)="FLAT TRADING","不含息交易",IF(VLOOKUP(B113,bond!B:AL,37,FALSE)="ZERO COUPON","零息",VLOOKUP(B113,bond!B:AL,37,FALSE))))))</f>
        <v>固定</v>
      </c>
      <c r="AH113" s="136" t="str">
        <f>VLOOKUP(C113,'2_Check_code'!I:J,2,FALSE)</f>
        <v>美元(USD)</v>
      </c>
      <c r="AI113" s="136" t="str">
        <f t="shared" ca="1" si="12"/>
        <v>自由選清單</v>
      </c>
      <c r="AJ113" s="136">
        <f t="shared" ca="1" si="13"/>
        <v>0</v>
      </c>
      <c r="AK113" s="594" t="str">
        <f ca="1">IF(VLOOKUP(B113,bond!B:S,18,FALSE)="是","有",IF(VLOOKUP(B113,bond!B:S,18,FALSE)="NO OFFER","無","需查詢"))</f>
        <v>有</v>
      </c>
      <c r="AL113" s="136" t="str">
        <f>IF(VLOOKUP(A113,bond!F:AR,39,FALSE)="#N/A Field Not Applicable",VLOOKUP(A113,bond!F:AR,38,FALSE),IFERROR(VLOOKUP(A113,'7_發行日例外'!A:B,2,FALSE),VLOOKUP(A113,bond!F:AR,39,FALSE)))</f>
        <v>2015/12/14</v>
      </c>
      <c r="AM113" s="136" t="str">
        <f ca="1">VLOOKUP(B113,bond!B:AK,36,FALSE)</f>
        <v>2045/6/14</v>
      </c>
      <c r="AN113" s="136" t="str">
        <f ca="1">IFERROR(VLOOKUP(B113,'3_是否下架'!A:A,1,FALSE),"")</f>
        <v/>
      </c>
      <c r="AO113" s="136">
        <f ca="1">VLOOKUP(B113,bond!B:J,9,FALSE)</f>
        <v>87.31</v>
      </c>
      <c r="AP113" s="136">
        <f ca="1">VLOOKUP(B113,bond!B:V,21,FALSE)</f>
        <v>13.272399999999999</v>
      </c>
    </row>
    <row r="114" spans="1:42">
      <c r="A114" s="141" t="str">
        <f>bond!F115</f>
        <v>US68389XAV73</v>
      </c>
      <c r="B114" s="151" t="str">
        <f ca="1">IF($C$1=TRUE,bond!B115,"")</f>
        <v>XFZ40</v>
      </c>
      <c r="C114" s="95" t="str">
        <f>VLOOKUP(A114,bond!F:G,2,FALSE)</f>
        <v>USD</v>
      </c>
      <c r="D114" s="142" t="str">
        <f ca="1">VLOOKUP(B114,bond!B:C,2,FALSE)</f>
        <v>甲骨文公司美元配息債券 4.3% 2034/7/8</v>
      </c>
      <c r="E114" s="95" t="str">
        <f ca="1">VLOOKUP(B114,bond!B:D,3,FALSE)</f>
        <v>Baa2 / BBB / BBB</v>
      </c>
      <c r="F114" s="99" t="str">
        <f ca="1">VLOOKUP(B114,bond!B:AB,27,FALSE)</f>
        <v>2034/7/8</v>
      </c>
      <c r="G114" s="90">
        <f ca="1">VLOOKUP(B114,bond!B:E,4,FALSE)</f>
        <v>10.02</v>
      </c>
      <c r="H114" s="202">
        <f ca="1">VLOOKUP(B114,bond!B:Y,24,FALSE)</f>
        <v>4.2999999999999997E-2</v>
      </c>
      <c r="I114" s="95">
        <f ca="1">VLOOKUP(B114,bond!B:Z,25,FALSE)</f>
        <v>2</v>
      </c>
      <c r="J114" s="180">
        <f ca="1">VLOOKUP(B114,bond!B:K,10,FALSE)</f>
        <v>2.0783</v>
      </c>
      <c r="K114" s="96">
        <f ca="1">VLOOKUP($B114,bond!B:S,14,FALSE)</f>
        <v>96.21</v>
      </c>
      <c r="L114" s="91" t="str">
        <f ca="1">VLOOKUP(B114,bond!B:H,7,FALSE)</f>
        <v>2024/7/2</v>
      </c>
      <c r="M114" s="144">
        <f ca="1">VLOOKUP($B114,bond!$B:$Q,16,FALSE)</f>
        <v>5.0500000000000003E-2</v>
      </c>
      <c r="N114" s="136">
        <f ca="1">VALUE(LEFT(VLOOKUP(B114,bond!B:R,17,FALSE),SEARCH(" ",VLOOKUP(B114,bond!B:R,17,FALSE),1)))</f>
        <v>10000</v>
      </c>
      <c r="O114" s="136">
        <f ca="1">VALUE(RIGHT(VLOOKUP(B114,bond!B:R,17,FALSE),LEN(VLOOKUP(B114,bond!B:R,17,FALSE))-LEN(N114)-3))</f>
        <v>1000</v>
      </c>
      <c r="P114" s="135" t="str">
        <f ca="1">VLOOKUP($B114,bond!$B:$AG,32,FALSE)</f>
        <v>2024/7/8</v>
      </c>
      <c r="Q114" s="135" t="str">
        <f ca="1">VLOOKUP($B114,bond!$B:$AH,33,FALSE)</f>
        <v>科技</v>
      </c>
      <c r="R114" s="135" t="str">
        <f ca="1">VLOOKUP(B114,bond!B:AA,26,FALSE)</f>
        <v>甲骨文公司</v>
      </c>
      <c r="S114" s="135" t="str">
        <f ca="1">VLOOKUP(B114,bond!B:AI,34,FALSE)</f>
        <v>ORCL</v>
      </c>
      <c r="T114" s="135" t="str">
        <f t="shared" ca="1" si="7"/>
        <v>甲骨文公司/ORCL</v>
      </c>
      <c r="U114" s="207" t="str">
        <f ca="1">IFERROR(VLOOKUP(T114,Bond_DES!D:E,2,FALSE),VLOOKUP(S114,bond!AI:AJ,2,FALSE))</f>
        <v>甲骨文公司(Oracle)為全球最大資料庫軟體公司及最大的企業級軟體公司，僅次於微軟的全球第二大純軟體公司，近年積極切入雲端服務，結合過去在關聯式資料庫和企業用應用軟體(ERP、CRM等)之競爭優勢，搶占雲端運算服務商機，且名列2024年《Brand Finance》全球網路與軟體公司品牌價值第2位。</v>
      </c>
      <c r="V114" s="136" t="str">
        <f ca="1">IFERROR(VLOOKUP(B114,'1_重設數據'!L:M,2,FALSE),IF(Q114="政府",IF(AD114&gt;16,"(NPI)非專投",IF(AD114&gt;10,"(PI)專投","高資產")),IF(VLOOKUP(B114,bond!B:AN,39,FALSE)="Y","(PI)專投",IF(AD114&gt;=15,"(NPI)非專投",IF(AD114&gt;=10,"(PI)專投","高資產")))))</f>
        <v>(PI)專投</v>
      </c>
      <c r="W114" s="136" t="str">
        <f ca="1">VLOOKUP(AD114,'credit rating'!$F$2:$H$22,3,FALSE)</f>
        <v>BBB</v>
      </c>
      <c r="X114" s="136" t="str">
        <f t="shared" ca="1" si="8"/>
        <v>Baa2</v>
      </c>
      <c r="Y114" s="136" t="str">
        <f t="shared" ca="1" si="9"/>
        <v>BBB</v>
      </c>
      <c r="Z114" s="136" t="str">
        <f t="shared" ca="1" si="10"/>
        <v>BBB</v>
      </c>
      <c r="AA114" s="134">
        <f ca="1">IFERROR(VLOOKUP(X114,'credit rating'!A:C,3,FALSE),0)</f>
        <v>13</v>
      </c>
      <c r="AB114" s="134">
        <f ca="1">IFERROR(VLOOKUP(Y114,'credit rating'!B:C,2,FALSE),0)</f>
        <v>13</v>
      </c>
      <c r="AC114" s="136">
        <f ca="1">IFERROR(VLOOKUP(Z114,'credit rating'!B:C,2,FALSE),0)</f>
        <v>13</v>
      </c>
      <c r="AD114" s="136">
        <f t="shared" ca="1" si="11"/>
        <v>13</v>
      </c>
      <c r="AE114" s="249">
        <f ca="1">IFERROR(VLOOKUP(B114,bond!B:U,20,FALSE),"")</f>
        <v>5.0900000000000001E-2</v>
      </c>
      <c r="AF114" s="136" t="str">
        <f ca="1">IF(VLOOKUP(B114,bond!B:AK,36,FALSE)="#N/A Field Not Applicable","",VLOOKUP(B114,bond!B:AK,36,FALSE))</f>
        <v>2034/1/8</v>
      </c>
      <c r="AG114" s="136" t="str">
        <f ca="1">IF(VLOOKUP(B114,bond!B:AL,37,FALSE)="FIXED","固定",IF(VLOOKUP(B114,bond!B:AL,37,FALSE)="FLOATING","浮動",IF(VLOOKUP(B114,bond!B:AL,37,FALSE)="VARIABLE","變動",IF(VLOOKUP(B114,bond!B:AL,37,FALSE)="FLAT TRADING","不含息交易",IF(VLOOKUP(B114,bond!B:AL,37,FALSE)="ZERO COUPON","零息",VLOOKUP(B114,bond!B:AL,37,FALSE))))))</f>
        <v>固定</v>
      </c>
      <c r="AH114" s="136" t="str">
        <f>VLOOKUP(C114,'2_Check_code'!I:J,2,FALSE)</f>
        <v>美元(USD)</v>
      </c>
      <c r="AI114" s="136" t="str">
        <f t="shared" ca="1" si="12"/>
        <v>自由選清單</v>
      </c>
      <c r="AJ114" s="136">
        <f t="shared" ca="1" si="13"/>
        <v>0</v>
      </c>
      <c r="AK114" s="594" t="str">
        <f ca="1">IF(VLOOKUP(B114,bond!B:S,18,FALSE)="是","有",IF(VLOOKUP(B114,bond!B:S,18,FALSE)="NO OFFER","無","需查詢"))</f>
        <v>有</v>
      </c>
      <c r="AL114" s="136" t="str">
        <f>IF(VLOOKUP(A114,bond!F:AR,39,FALSE)="#N/A Field Not Applicable",VLOOKUP(A114,bond!F:AR,38,FALSE),IFERROR(VLOOKUP(A114,'7_發行日例外'!A:B,2,FALSE),VLOOKUP(A114,bond!F:AR,39,FALSE)))</f>
        <v>2014/7/8</v>
      </c>
      <c r="AM114" s="136" t="str">
        <f ca="1">VLOOKUP(B114,bond!B:AK,36,FALSE)</f>
        <v>2034/1/8</v>
      </c>
      <c r="AN114" s="136" t="str">
        <f ca="1">IFERROR(VLOOKUP(B114,'3_是否下架'!A:A,1,FALSE),"")</f>
        <v/>
      </c>
      <c r="AO114" s="136">
        <f ca="1">VLOOKUP(B114,bond!B:J,9,FALSE)</f>
        <v>91.63</v>
      </c>
      <c r="AP114" s="136">
        <f ca="1">VLOOKUP(B114,bond!B:V,21,FALSE)</f>
        <v>7.7744999999999997</v>
      </c>
    </row>
    <row r="115" spans="1:42">
      <c r="A115" s="141" t="str">
        <f>bond!F116</f>
        <v>US539830BB41</v>
      </c>
      <c r="B115" s="151" t="str">
        <f ca="1">IF($C$1=TRUE,bond!B116,"")</f>
        <v>XFZ50</v>
      </c>
      <c r="C115" s="95" t="str">
        <f>VLOOKUP(A115,bond!F:G,2,FALSE)</f>
        <v>USD</v>
      </c>
      <c r="D115" s="142" t="str">
        <f ca="1">VLOOKUP(B115,bond!B:C,2,FALSE)</f>
        <v>洛克希德馬丁公司美元配息債券 4.07% 2042/12/15</v>
      </c>
      <c r="E115" s="95" t="str">
        <f ca="1">VLOOKUP(B115,bond!B:D,3,FALSE)</f>
        <v>A2 / A- / A</v>
      </c>
      <c r="F115" s="99" t="str">
        <f ca="1">VLOOKUP(B115,bond!B:AB,27,FALSE)</f>
        <v>2042/12/15</v>
      </c>
      <c r="G115" s="90">
        <f ca="1">VLOOKUP(B115,bond!B:E,4,FALSE)</f>
        <v>18.45</v>
      </c>
      <c r="H115" s="202">
        <f ca="1">VLOOKUP(B115,bond!B:Y,24,FALSE)</f>
        <v>4.07E-2</v>
      </c>
      <c r="I115" s="95">
        <f ca="1">VLOOKUP(B115,bond!B:Z,25,FALSE)</f>
        <v>2</v>
      </c>
      <c r="J115" s="180">
        <f ca="1">VLOOKUP(B115,bond!B:K,10,FALSE)</f>
        <v>0.19220000000000001</v>
      </c>
      <c r="K115" s="96">
        <f ca="1">VLOOKUP($B115,bond!B:S,14,FALSE)</f>
        <v>88</v>
      </c>
      <c r="L115" s="91" t="str">
        <f ca="1">VLOOKUP(B115,bond!B:H,7,FALSE)</f>
        <v>2024/7/2</v>
      </c>
      <c r="M115" s="144">
        <f ca="1">VLOOKUP($B115,bond!$B:$Q,16,FALSE)</f>
        <v>5.0999999999999997E-2</v>
      </c>
      <c r="N115" s="136">
        <f ca="1">VALUE(LEFT(VLOOKUP(B115,bond!B:R,17,FALSE),SEARCH(" ",VLOOKUP(B115,bond!B:R,17,FALSE),1)))</f>
        <v>10000</v>
      </c>
      <c r="O115" s="136">
        <f ca="1">VALUE(RIGHT(VLOOKUP(B115,bond!B:R,17,FALSE),LEN(VLOOKUP(B115,bond!B:R,17,FALSE))-LEN(N115)-3))</f>
        <v>1000</v>
      </c>
      <c r="P115" s="135" t="str">
        <f ca="1">VLOOKUP($B115,bond!$B:$AG,32,FALSE)</f>
        <v>2024/12/15</v>
      </c>
      <c r="Q115" s="135" t="str">
        <f ca="1">VLOOKUP($B115,bond!$B:$AH,33,FALSE)</f>
        <v>工業</v>
      </c>
      <c r="R115" s="135" t="str">
        <f ca="1">VLOOKUP(B115,bond!B:AA,26,FALSE)</f>
        <v>洛克希德馬丁</v>
      </c>
      <c r="S115" s="135" t="str">
        <f ca="1">VLOOKUP(B115,bond!B:AI,34,FALSE)</f>
        <v>LMT</v>
      </c>
      <c r="T115" s="135" t="str">
        <f t="shared" ca="1" si="7"/>
        <v>洛克希德馬丁/LMT</v>
      </c>
      <c r="U115" s="207" t="str">
        <f ca="1">IFERROR(VLOOKUP(T115,Bond_DES!D:E,2,FALSE),VLOOKUP(S115,bond!AI:AJ,2,FALSE))</f>
        <v>洛克希德馬丁(Lockheed Martin Corporation)為全球最大國防工業承包商，按航太與國防行業企業營收排名全球第5大(Fortune 2023)，知名產品有F-35與F-16戰鬥機、C-130J運輸機、黑鷹直升機、愛國者(PAC-3)/薩德(THAAD)導彈和導彈防禦系統等。</v>
      </c>
      <c r="V115" s="136" t="str">
        <f ca="1">IFERROR(VLOOKUP(B115,'1_重設數據'!L:M,2,FALSE),IF(Q115="政府",IF(AD115&gt;16,"(NPI)非專投",IF(AD115&gt;10,"(PI)專投","高資產")),IF(VLOOKUP(B115,bond!B:AN,39,FALSE)="Y","(PI)專投",IF(AD115&gt;=15,"(NPI)非專投",IF(AD115&gt;=10,"(PI)專投","高資產")))))</f>
        <v>(NPI)非專投</v>
      </c>
      <c r="W115" s="136" t="str">
        <f ca="1">VLOOKUP(AD115,'credit rating'!$F$2:$H$22,3,FALSE)</f>
        <v>A</v>
      </c>
      <c r="X115" s="136" t="str">
        <f t="shared" ca="1" si="8"/>
        <v>A2</v>
      </c>
      <c r="Y115" s="136" t="str">
        <f t="shared" ca="1" si="9"/>
        <v>A-</v>
      </c>
      <c r="Z115" s="136" t="str">
        <f t="shared" ca="1" si="10"/>
        <v>A</v>
      </c>
      <c r="AA115" s="134">
        <f ca="1">IFERROR(VLOOKUP(X115,'credit rating'!A:C,3,FALSE),0)</f>
        <v>16</v>
      </c>
      <c r="AB115" s="134">
        <f ca="1">IFERROR(VLOOKUP(Y115,'credit rating'!B:C,2,FALSE),0)</f>
        <v>15</v>
      </c>
      <c r="AC115" s="136">
        <f ca="1">IFERROR(VLOOKUP(Z115,'credit rating'!B:C,2,FALSE),0)</f>
        <v>16</v>
      </c>
      <c r="AD115" s="136">
        <f t="shared" ca="1" si="11"/>
        <v>16</v>
      </c>
      <c r="AE115" s="249" t="str">
        <f ca="1">IFERROR(VLOOKUP(B115,bond!B:U,20,FALSE),"")</f>
        <v xml:space="preserve"> </v>
      </c>
      <c r="AF115" s="136" t="str">
        <f ca="1">IF(VLOOKUP(B115,bond!B:AK,36,FALSE)="#N/A Field Not Applicable","",VLOOKUP(B115,bond!B:AK,36,FALSE))</f>
        <v/>
      </c>
      <c r="AG115" s="136" t="str">
        <f ca="1">IF(VLOOKUP(B115,bond!B:AL,37,FALSE)="FIXED","固定",IF(VLOOKUP(B115,bond!B:AL,37,FALSE)="FLOATING","浮動",IF(VLOOKUP(B115,bond!B:AL,37,FALSE)="VARIABLE","變動",IF(VLOOKUP(B115,bond!B:AL,37,FALSE)="FLAT TRADING","不含息交易",IF(VLOOKUP(B115,bond!B:AL,37,FALSE)="ZERO COUPON","零息",VLOOKUP(B115,bond!B:AL,37,FALSE))))))</f>
        <v>固定</v>
      </c>
      <c r="AH115" s="136" t="str">
        <f>VLOOKUP(C115,'2_Check_code'!I:J,2,FALSE)</f>
        <v>美元(USD)</v>
      </c>
      <c r="AI115" s="136" t="str">
        <f t="shared" ca="1" si="12"/>
        <v>自由選清單</v>
      </c>
      <c r="AJ115" s="136">
        <f t="shared" ca="1" si="13"/>
        <v>0</v>
      </c>
      <c r="AK115" s="594" t="str">
        <f ca="1">IF(VLOOKUP(B115,bond!B:S,18,FALSE)="是","有",IF(VLOOKUP(B115,bond!B:S,18,FALSE)="NO OFFER","無","需查詢"))</f>
        <v>有</v>
      </c>
      <c r="AL115" s="136" t="str">
        <f>IF(VLOOKUP(A115,bond!F:AR,39,FALSE)="#N/A Field Not Applicable",VLOOKUP(A115,bond!F:AR,38,FALSE),IFERROR(VLOOKUP(A115,'7_發行日例外'!A:B,2,FALSE),VLOOKUP(A115,bond!F:AR,39,FALSE)))</f>
        <v>2012/12/14</v>
      </c>
      <c r="AM115" s="136" t="str">
        <f ca="1">VLOOKUP(B115,bond!B:AK,36,FALSE)</f>
        <v>#N/A Field Not Applicable</v>
      </c>
      <c r="AN115" s="136" t="str">
        <f ca="1">IFERROR(VLOOKUP(B115,'3_是否下架'!A:A,1,FALSE),"")</f>
        <v/>
      </c>
      <c r="AO115" s="136">
        <f ca="1">VLOOKUP(B115,bond!B:J,9,FALSE)</f>
        <v>84.81</v>
      </c>
      <c r="AP115" s="136">
        <f ca="1">VLOOKUP(B115,bond!B:V,21,FALSE)</f>
        <v>12.3126</v>
      </c>
    </row>
    <row r="116" spans="1:42">
      <c r="A116" s="141" t="str">
        <f>bond!F117</f>
        <v>XS1808738212</v>
      </c>
      <c r="B116" s="151" t="str">
        <f ca="1">IF($C$1=TRUE,bond!B117,"")</f>
        <v>XFZ60</v>
      </c>
      <c r="C116" s="95" t="str">
        <f>VLOOKUP(A116,bond!F:G,2,FALSE)</f>
        <v>USD</v>
      </c>
      <c r="D116" s="142" t="str">
        <f ca="1">VLOOKUP(B116,bond!B:C,2,FALSE)</f>
        <v>阿布達比國家能源公司美元配息債券 4.875% 2030/4/23</v>
      </c>
      <c r="E116" s="95" t="str">
        <f ca="1">VLOOKUP(B116,bond!B:D,3,FALSE)</f>
        <v>Aa3 / - / AA</v>
      </c>
      <c r="F116" s="99" t="str">
        <f ca="1">VLOOKUP(B116,bond!B:AB,27,FALSE)</f>
        <v>2030/4/23</v>
      </c>
      <c r="G116" s="90">
        <f ca="1">VLOOKUP(B116,bond!B:E,4,FALSE)</f>
        <v>5.8</v>
      </c>
      <c r="H116" s="202">
        <f ca="1">VLOOKUP(B116,bond!B:Y,24,FALSE)</f>
        <v>4.8750000000000002E-2</v>
      </c>
      <c r="I116" s="95">
        <f ca="1">VLOOKUP(B116,bond!B:Z,25,FALSE)</f>
        <v>2</v>
      </c>
      <c r="J116" s="180">
        <f ca="1">VLOOKUP(B116,bond!B:K,10,FALSE)</f>
        <v>0.94789999999999996</v>
      </c>
      <c r="K116" s="96">
        <f ca="1">VLOOKUP($B116,bond!B:S,14,FALSE)</f>
        <v>103.5</v>
      </c>
      <c r="L116" s="91" t="str">
        <f ca="1">VLOOKUP(B116,bond!B:H,7,FALSE)</f>
        <v>2024/7/3</v>
      </c>
      <c r="M116" s="144">
        <f ca="1">VLOOKUP($B116,bond!$B:$Q,16,FALSE)</f>
        <v>4.3700000000000003E-2</v>
      </c>
      <c r="N116" s="136">
        <f ca="1">VALUE(LEFT(VLOOKUP(B116,bond!B:R,17,FALSE),SEARCH(" ",VLOOKUP(B116,bond!B:R,17,FALSE),1)))</f>
        <v>200000</v>
      </c>
      <c r="O116" s="136">
        <f ca="1">VALUE(RIGHT(VLOOKUP(B116,bond!B:R,17,FALSE),LEN(VLOOKUP(B116,bond!B:R,17,FALSE))-LEN(N116)-3))</f>
        <v>1000</v>
      </c>
      <c r="P116" s="135" t="str">
        <f ca="1">VLOOKUP($B116,bond!$B:$AG,32,FALSE)</f>
        <v>2024/10/23</v>
      </c>
      <c r="Q116" s="135" t="str">
        <f ca="1">VLOOKUP($B116,bond!$B:$AH,33,FALSE)</f>
        <v>公用事業</v>
      </c>
      <c r="R116" s="135" t="str">
        <f ca="1">VLOOKUP(B116,bond!B:AA,26,FALSE)</f>
        <v>阿布達比國家能源公司</v>
      </c>
      <c r="S116" s="135" t="str">
        <f ca="1">VLOOKUP(B116,bond!B:AI,34,FALSE)</f>
        <v>TAQAUH</v>
      </c>
      <c r="T116" s="135" t="str">
        <f t="shared" ca="1" si="7"/>
        <v>阿布達比國家能源公司/TAQAUH</v>
      </c>
      <c r="U116" s="207" t="str">
        <f ca="1">IFERROR(VLOOKUP(T116,Bond_DES!D:E,2,FALSE),VLOOKUP(S116,bond!AI:AJ,2,FALSE))</f>
        <v>阿布達比國家能源公司(Abu Dhabi National Energy Company)於全球經營電力、水、石油和天然氣等能源業務，為EMEA地區(歐非中東)十大綜合公共事業排名之首。</v>
      </c>
      <c r="V116" s="136" t="str">
        <f ca="1">IFERROR(VLOOKUP(B116,'1_重設數據'!L:M,2,FALSE),IF(Q116="政府",IF(AD116&gt;16,"(NPI)非專投",IF(AD116&gt;10,"(PI)專投","高資產")),IF(VLOOKUP(B116,bond!B:AN,39,FALSE)="Y","(PI)專投",IF(AD116&gt;=15,"(NPI)非專投",IF(AD116&gt;=10,"(PI)專投","高資產")))))</f>
        <v>(NPI)非專投</v>
      </c>
      <c r="W116" s="136" t="str">
        <f ca="1">VLOOKUP(AD116,'credit rating'!$F$2:$H$22,3,FALSE)</f>
        <v>AA</v>
      </c>
      <c r="X116" s="136" t="str">
        <f t="shared" ca="1" si="8"/>
        <v>Aa3</v>
      </c>
      <c r="Y116" s="136" t="str">
        <f t="shared" ca="1" si="9"/>
        <v>-</v>
      </c>
      <c r="Z116" s="136" t="str">
        <f t="shared" ca="1" si="10"/>
        <v>AA</v>
      </c>
      <c r="AA116" s="134">
        <f ca="1">IFERROR(VLOOKUP(X116,'credit rating'!A:C,3,FALSE),0)</f>
        <v>18</v>
      </c>
      <c r="AB116" s="134">
        <f ca="1">IFERROR(VLOOKUP(Y116,'credit rating'!B:C,2,FALSE),0)</f>
        <v>0</v>
      </c>
      <c r="AC116" s="136">
        <f ca="1">IFERROR(VLOOKUP(Z116,'credit rating'!B:C,2,FALSE),0)</f>
        <v>19</v>
      </c>
      <c r="AD116" s="136">
        <f t="shared" ca="1" si="11"/>
        <v>19</v>
      </c>
      <c r="AE116" s="249" t="str">
        <f ca="1">IFERROR(VLOOKUP(B116,bond!B:U,20,FALSE),"")</f>
        <v xml:space="preserve"> </v>
      </c>
      <c r="AF116" s="136" t="str">
        <f ca="1">IF(VLOOKUP(B116,bond!B:AK,36,FALSE)="#N/A Field Not Applicable","",VLOOKUP(B116,bond!B:AK,36,FALSE))</f>
        <v/>
      </c>
      <c r="AG116" s="136" t="str">
        <f ca="1">IF(VLOOKUP(B116,bond!B:AL,37,FALSE)="FIXED","固定",IF(VLOOKUP(B116,bond!B:AL,37,FALSE)="FLOATING","浮動",IF(VLOOKUP(B116,bond!B:AL,37,FALSE)="VARIABLE","變動",IF(VLOOKUP(B116,bond!B:AL,37,FALSE)="FLAT TRADING","不含息交易",IF(VLOOKUP(B116,bond!B:AL,37,FALSE)="ZERO COUPON","零息",VLOOKUP(B116,bond!B:AL,37,FALSE))))))</f>
        <v>固定</v>
      </c>
      <c r="AH116" s="136" t="str">
        <f>VLOOKUP(C116,'2_Check_code'!I:J,2,FALSE)</f>
        <v>美元(USD)</v>
      </c>
      <c r="AI116" s="136" t="str">
        <f t="shared" ca="1" si="12"/>
        <v>自由選清單</v>
      </c>
      <c r="AJ116" s="136">
        <f t="shared" ca="1" si="13"/>
        <v>0</v>
      </c>
      <c r="AK116" s="594" t="str">
        <f ca="1">IF(VLOOKUP(B116,bond!B:S,18,FALSE)="是","有",IF(VLOOKUP(B116,bond!B:S,18,FALSE)="NO OFFER","無","需查詢"))</f>
        <v>有</v>
      </c>
      <c r="AL116" s="136" t="str">
        <f>IF(VLOOKUP(A116,bond!F:AR,39,FALSE)="#N/A Field Not Applicable",VLOOKUP(A116,bond!F:AR,38,FALSE),IFERROR(VLOOKUP(A116,'7_發行日例外'!A:B,2,FALSE),VLOOKUP(A116,bond!F:AR,39,FALSE)))</f>
        <v>2018/4/23</v>
      </c>
      <c r="AM116" s="136" t="str">
        <f ca="1">VLOOKUP(B116,bond!B:AK,36,FALSE)</f>
        <v>#N/A Field Not Applicable</v>
      </c>
      <c r="AN116" s="136" t="str">
        <f ca="1">IFERROR(VLOOKUP(B116,'3_是否下架'!A:A,1,FALSE),"")</f>
        <v/>
      </c>
      <c r="AO116" s="136">
        <f ca="1">VLOOKUP(B116,bond!B:J,9,FALSE)</f>
        <v>100.55</v>
      </c>
      <c r="AP116" s="136">
        <f ca="1">VLOOKUP(B116,bond!B:V,21,FALSE)</f>
        <v>4.9672000000000001</v>
      </c>
    </row>
    <row r="117" spans="1:42">
      <c r="A117" s="141" t="str">
        <f>bond!F118</f>
        <v>US037833DW79</v>
      </c>
      <c r="B117" s="151" t="str">
        <f ca="1">IF($C$1=TRUE,bond!B118,"")</f>
        <v>XFZ80</v>
      </c>
      <c r="C117" s="95" t="str">
        <f>VLOOKUP(A117,bond!F:G,2,FALSE)</f>
        <v>USD</v>
      </c>
      <c r="D117" s="142" t="str">
        <f ca="1">VLOOKUP(B117,bond!B:C,2,FALSE)</f>
        <v>蘋果公司美元配息債券 2.65% 2050/5/11</v>
      </c>
      <c r="E117" s="95" t="str">
        <f ca="1">VLOOKUP(B117,bond!B:D,3,FALSE)</f>
        <v>Aaa / AA+ / -</v>
      </c>
      <c r="F117" s="99" t="str">
        <f ca="1">VLOOKUP(B117,bond!B:AB,27,FALSE)</f>
        <v>2050/5/11</v>
      </c>
      <c r="G117" s="90">
        <f ca="1">VLOOKUP(B117,bond!B:E,4,FALSE)</f>
        <v>25.86</v>
      </c>
      <c r="H117" s="202">
        <f ca="1">VLOOKUP(B117,bond!B:Y,24,FALSE)</f>
        <v>2.6499999999999999E-2</v>
      </c>
      <c r="I117" s="95">
        <f ca="1">VLOOKUP(B117,bond!B:Z,25,FALSE)</f>
        <v>2</v>
      </c>
      <c r="J117" s="180">
        <f ca="1">VLOOKUP(B117,bond!B:K,10,FALSE)</f>
        <v>0.37540000000000001</v>
      </c>
      <c r="K117" s="96">
        <f ca="1">VLOOKUP($B117,bond!B:S,14,FALSE)</f>
        <v>65.849999999999994</v>
      </c>
      <c r="L117" s="91" t="str">
        <f ca="1">VLOOKUP(B117,bond!B:H,7,FALSE)</f>
        <v>2024/7/2</v>
      </c>
      <c r="M117" s="144">
        <f ca="1">VLOOKUP($B117,bond!$B:$Q,16,FALSE)</f>
        <v>5.0599999999999999E-2</v>
      </c>
      <c r="N117" s="136">
        <f ca="1">VALUE(LEFT(VLOOKUP(B117,bond!B:R,17,FALSE),SEARCH(" ",VLOOKUP(B117,bond!B:R,17,FALSE),1)))</f>
        <v>2000</v>
      </c>
      <c r="O117" s="136">
        <f ca="1">VALUE(RIGHT(VLOOKUP(B117,bond!B:R,17,FALSE),LEN(VLOOKUP(B117,bond!B:R,17,FALSE))-LEN(N117)-3))</f>
        <v>1000</v>
      </c>
      <c r="P117" s="135" t="str">
        <f ca="1">VLOOKUP($B117,bond!$B:$AG,32,FALSE)</f>
        <v>2024/11/11</v>
      </c>
      <c r="Q117" s="135" t="str">
        <f ca="1">VLOOKUP($B117,bond!$B:$AH,33,FALSE)</f>
        <v>科技</v>
      </c>
      <c r="R117" s="135" t="str">
        <f ca="1">VLOOKUP(B117,bond!B:AA,26,FALSE)</f>
        <v>蘋果公司</v>
      </c>
      <c r="S117" s="135" t="str">
        <f ca="1">VLOOKUP(B117,bond!B:AI,34,FALSE)</f>
        <v>AAPL</v>
      </c>
      <c r="T117" s="135" t="str">
        <f t="shared" ca="1" si="7"/>
        <v>蘋果公司/AAPL</v>
      </c>
      <c r="U117" s="207" t="str">
        <f ca="1">IFERROR(VLOOKUP(T117,Bond_DES!D:E,2,FALSE),VLOOKUP(S117,bond!AI:AJ,2,FALSE))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117" s="136" t="str">
        <f ca="1">IFERROR(VLOOKUP(B117,'1_重設數據'!L:M,2,FALSE),IF(Q117="政府",IF(AD117&gt;16,"(NPI)非專投",IF(AD117&gt;10,"(PI)專投","高資產")),IF(VLOOKUP(B117,bond!B:AN,39,FALSE)="Y","(PI)專投",IF(AD117&gt;=15,"(NPI)非專投",IF(AD117&gt;=10,"(PI)專投","高資產")))))</f>
        <v>(NPI)非專投</v>
      </c>
      <c r="W117" s="136" t="str">
        <f ca="1">VLOOKUP(AD117,'credit rating'!$F$2:$H$22,3,FALSE)</f>
        <v>AAA</v>
      </c>
      <c r="X117" s="136" t="str">
        <f t="shared" ca="1" si="8"/>
        <v>Aaa</v>
      </c>
      <c r="Y117" s="136" t="str">
        <f t="shared" ca="1" si="9"/>
        <v>AA+</v>
      </c>
      <c r="Z117" s="136" t="str">
        <f t="shared" ca="1" si="10"/>
        <v>-</v>
      </c>
      <c r="AA117" s="134">
        <f ca="1">IFERROR(VLOOKUP(X117,'credit rating'!A:C,3,FALSE),0)</f>
        <v>21</v>
      </c>
      <c r="AB117" s="134">
        <f ca="1">IFERROR(VLOOKUP(Y117,'credit rating'!B:C,2,FALSE),0)</f>
        <v>20</v>
      </c>
      <c r="AC117" s="136">
        <f ca="1">IFERROR(VLOOKUP(Z117,'credit rating'!B:C,2,FALSE),0)</f>
        <v>0</v>
      </c>
      <c r="AD117" s="136">
        <f t="shared" ca="1" si="11"/>
        <v>21</v>
      </c>
      <c r="AE117" s="249">
        <f ca="1">IFERROR(VLOOKUP(B117,bond!B:U,20,FALSE),"")</f>
        <v>5.0900000000000001E-2</v>
      </c>
      <c r="AF117" s="136" t="str">
        <f ca="1">IF(VLOOKUP(B117,bond!B:AK,36,FALSE)="#N/A Field Not Applicable","",VLOOKUP(B117,bond!B:AK,36,FALSE))</f>
        <v>2049/11/11</v>
      </c>
      <c r="AG117" s="136" t="str">
        <f ca="1">IF(VLOOKUP(B117,bond!B:AL,37,FALSE)="FIXED","固定",IF(VLOOKUP(B117,bond!B:AL,37,FALSE)="FLOATING","浮動",IF(VLOOKUP(B117,bond!B:AL,37,FALSE)="VARIABLE","變動",IF(VLOOKUP(B117,bond!B:AL,37,FALSE)="FLAT TRADING","不含息交易",IF(VLOOKUP(B117,bond!B:AL,37,FALSE)="ZERO COUPON","零息",VLOOKUP(B117,bond!B:AL,37,FALSE))))))</f>
        <v>固定</v>
      </c>
      <c r="AH117" s="136" t="str">
        <f>VLOOKUP(C117,'2_Check_code'!I:J,2,FALSE)</f>
        <v>美元(USD)</v>
      </c>
      <c r="AI117" s="136" t="str">
        <f t="shared" ca="1" si="12"/>
        <v>自由選清單</v>
      </c>
      <c r="AJ117" s="136">
        <f t="shared" ca="1" si="13"/>
        <v>0</v>
      </c>
      <c r="AK117" s="594" t="str">
        <f ca="1">IF(VLOOKUP(B117,bond!B:S,18,FALSE)="是","有",IF(VLOOKUP(B117,bond!B:S,18,FALSE)="NO OFFER","無","需查詢"))</f>
        <v>有</v>
      </c>
      <c r="AL117" s="136" t="str">
        <f>IF(VLOOKUP(A117,bond!F:AR,39,FALSE)="#N/A Field Not Applicable",VLOOKUP(A117,bond!F:AR,38,FALSE),IFERROR(VLOOKUP(A117,'7_發行日例外'!A:B,2,FALSE),VLOOKUP(A117,bond!F:AR,39,FALSE)))</f>
        <v>2020/5/11</v>
      </c>
      <c r="AM117" s="136" t="str">
        <f ca="1">VLOOKUP(B117,bond!B:AK,36,FALSE)</f>
        <v>2049/11/11</v>
      </c>
      <c r="AN117" s="136" t="str">
        <f ca="1">IFERROR(VLOOKUP(B117,'3_是否下架'!A:A,1,FALSE),"")</f>
        <v/>
      </c>
      <c r="AO117" s="136">
        <f ca="1">VLOOKUP(B117,bond!B:J,9,FALSE)</f>
        <v>64.47</v>
      </c>
      <c r="AP117" s="136">
        <f ca="1">VLOOKUP(B117,bond!B:V,21,FALSE)</f>
        <v>16.338699999999999</v>
      </c>
    </row>
    <row r="118" spans="1:42">
      <c r="A118" s="141" t="str">
        <f>bond!F119</f>
        <v>US20030NDL29</v>
      </c>
      <c r="B118" s="151" t="str">
        <f ca="1">IF($C$1=TRUE,bond!B119,"")</f>
        <v>XFZ90</v>
      </c>
      <c r="C118" s="95" t="str">
        <f>VLOOKUP(A118,bond!F:G,2,FALSE)</f>
        <v>USD</v>
      </c>
      <c r="D118" s="142" t="str">
        <f ca="1">VLOOKUP(B118,bond!B:C,2,FALSE)</f>
        <v>康卡斯特公司美元配息債券 2.8% 2051/1/15</v>
      </c>
      <c r="E118" s="95" t="str">
        <f ca="1">VLOOKUP(B118,bond!B:D,3,FALSE)</f>
        <v>A3 / A- / A-</v>
      </c>
      <c r="F118" s="99" t="str">
        <f ca="1">VLOOKUP(B118,bond!B:AB,27,FALSE)</f>
        <v>2051/1/15</v>
      </c>
      <c r="G118" s="90">
        <f ca="1">VLOOKUP(B118,bond!B:E,4,FALSE)</f>
        <v>26.54</v>
      </c>
      <c r="H118" s="202">
        <f ca="1">VLOOKUP(B118,bond!B:Y,24,FALSE)</f>
        <v>2.7999999999999997E-2</v>
      </c>
      <c r="I118" s="95">
        <f ca="1">VLOOKUP(B118,bond!B:Z,25,FALSE)</f>
        <v>2</v>
      </c>
      <c r="J118" s="180">
        <f ca="1">VLOOKUP(B118,bond!B:K,10,FALSE)</f>
        <v>1.2988999999999999</v>
      </c>
      <c r="K118" s="96">
        <f ca="1">VLOOKUP($B118,bond!B:S,14,FALSE)</f>
        <v>64.64</v>
      </c>
      <c r="L118" s="91" t="str">
        <f ca="1">VLOOKUP(B118,bond!B:H,7,FALSE)</f>
        <v>2024/7/2</v>
      </c>
      <c r="M118" s="144">
        <f ca="1">VLOOKUP($B118,bond!$B:$Q,16,FALSE)</f>
        <v>5.4199999999999998E-2</v>
      </c>
      <c r="N118" s="136">
        <f ca="1">VALUE(LEFT(VLOOKUP(B118,bond!B:R,17,FALSE),SEARCH(" ",VLOOKUP(B118,bond!B:R,17,FALSE),1)))</f>
        <v>2000</v>
      </c>
      <c r="O118" s="136">
        <f ca="1">VALUE(RIGHT(VLOOKUP(B118,bond!B:R,17,FALSE),LEN(VLOOKUP(B118,bond!B:R,17,FALSE))-LEN(N118)-3))</f>
        <v>1000</v>
      </c>
      <c r="P118" s="135" t="str">
        <f ca="1">VLOOKUP($B118,bond!$B:$AG,32,FALSE)</f>
        <v>2024/7/15</v>
      </c>
      <c r="Q118" s="135" t="str">
        <f ca="1">VLOOKUP($B118,bond!$B:$AH,33,FALSE)</f>
        <v>通訊</v>
      </c>
      <c r="R118" s="135" t="str">
        <f ca="1">VLOOKUP(B118,bond!B:AA,26,FALSE)</f>
        <v>康卡斯特公司</v>
      </c>
      <c r="S118" s="135" t="str">
        <f ca="1">VLOOKUP(B118,bond!B:AI,34,FALSE)</f>
        <v>CMCSA</v>
      </c>
      <c r="T118" s="135" t="str">
        <f t="shared" ca="1" si="7"/>
        <v>康卡斯特公司/CMCSA</v>
      </c>
      <c r="U118" s="207" t="str">
        <f ca="1">IFERROR(VLOOKUP(T118,Bond_DES!D:E,2,FALSE),VLOOKUP(S118,bond!AI:AJ,2,FALSE))</f>
        <v>康卡斯特公司(Comcast Corporation)為全球媒體與科技巨頭，按營收是美國第3大電信商(Fortune 2024)，且是唯一全A級的美國電信商；按訂戶數為美國最大的傳統有線付費電視供應商，且旗下環球影業按2023年度票房位居全球第一大電影發行公司地位，並憑藉著環球影城擁有全球第二大的主題樂園收入。</v>
      </c>
      <c r="V118" s="136" t="str">
        <f ca="1">IFERROR(VLOOKUP(B118,'1_重設數據'!L:M,2,FALSE),IF(Q118="政府",IF(AD118&gt;16,"(NPI)非專投",IF(AD118&gt;10,"(PI)專投","高資產")),IF(VLOOKUP(B118,bond!B:AN,39,FALSE)="Y","(PI)專投",IF(AD118&gt;=15,"(NPI)非專投",IF(AD118&gt;=10,"(PI)專投","高資產")))))</f>
        <v>(NPI)非專投</v>
      </c>
      <c r="W118" s="136" t="str">
        <f ca="1">VLOOKUP(AD118,'credit rating'!$F$2:$H$22,3,FALSE)</f>
        <v>A-</v>
      </c>
      <c r="X118" s="136" t="str">
        <f t="shared" ca="1" si="8"/>
        <v>A3</v>
      </c>
      <c r="Y118" s="136" t="str">
        <f t="shared" ca="1" si="9"/>
        <v>A-</v>
      </c>
      <c r="Z118" s="136" t="str">
        <f t="shared" ca="1" si="10"/>
        <v>A-</v>
      </c>
      <c r="AA118" s="134">
        <f ca="1">IFERROR(VLOOKUP(X118,'credit rating'!A:C,3,FALSE),0)</f>
        <v>15</v>
      </c>
      <c r="AB118" s="134">
        <f ca="1">IFERROR(VLOOKUP(Y118,'credit rating'!B:C,2,FALSE),0)</f>
        <v>15</v>
      </c>
      <c r="AC118" s="136">
        <f ca="1">IFERROR(VLOOKUP(Z118,'credit rating'!B:C,2,FALSE),0)</f>
        <v>15</v>
      </c>
      <c r="AD118" s="136">
        <f t="shared" ca="1" si="11"/>
        <v>15</v>
      </c>
      <c r="AE118" s="249">
        <f ca="1">IFERROR(VLOOKUP(B118,bond!B:U,20,FALSE),"")</f>
        <v>5.45E-2</v>
      </c>
      <c r="AF118" s="136" t="str">
        <f ca="1">IF(VLOOKUP(B118,bond!B:AK,36,FALSE)="#N/A Field Not Applicable","",VLOOKUP(B118,bond!B:AK,36,FALSE))</f>
        <v>2050/7/15</v>
      </c>
      <c r="AG118" s="136" t="str">
        <f ca="1">IF(VLOOKUP(B118,bond!B:AL,37,FALSE)="FIXED","固定",IF(VLOOKUP(B118,bond!B:AL,37,FALSE)="FLOATING","浮動",IF(VLOOKUP(B118,bond!B:AL,37,FALSE)="VARIABLE","變動",IF(VLOOKUP(B118,bond!B:AL,37,FALSE)="FLAT TRADING","不含息交易",IF(VLOOKUP(B118,bond!B:AL,37,FALSE)="ZERO COUPON","零息",VLOOKUP(B118,bond!B:AL,37,FALSE))))))</f>
        <v>固定</v>
      </c>
      <c r="AH118" s="136" t="str">
        <f>VLOOKUP(C118,'2_Check_code'!I:J,2,FALSE)</f>
        <v>美元(USD)</v>
      </c>
      <c r="AI118" s="136" t="str">
        <f t="shared" ca="1" si="12"/>
        <v>自由選清單</v>
      </c>
      <c r="AJ118" s="136">
        <f t="shared" ca="1" si="13"/>
        <v>0</v>
      </c>
      <c r="AK118" s="594" t="str">
        <f ca="1">IF(VLOOKUP(B118,bond!B:S,18,FALSE)="是","有",IF(VLOOKUP(B118,bond!B:S,18,FALSE)="NO OFFER","無","需查詢"))</f>
        <v>有</v>
      </c>
      <c r="AL118" s="136" t="str">
        <f>IF(VLOOKUP(A118,bond!F:AR,39,FALSE)="#N/A Field Not Applicable",VLOOKUP(A118,bond!F:AR,38,FALSE),IFERROR(VLOOKUP(A118,'7_發行日例外'!A:B,2,FALSE),VLOOKUP(A118,bond!F:AR,39,FALSE)))</f>
        <v>2020/5/28</v>
      </c>
      <c r="AM118" s="136" t="str">
        <f ca="1">VLOOKUP(B118,bond!B:AK,36,FALSE)</f>
        <v>2050/7/15</v>
      </c>
      <c r="AN118" s="136" t="str">
        <f ca="1">IFERROR(VLOOKUP(B118,'3_是否下架'!A:A,1,FALSE),"")</f>
        <v/>
      </c>
      <c r="AO118" s="136">
        <f ca="1">VLOOKUP(B118,bond!B:J,9,FALSE)</f>
        <v>62.339999999999996</v>
      </c>
      <c r="AP118" s="136">
        <f ca="1">VLOOKUP(B118,bond!B:V,21,FALSE)</f>
        <v>15.7608</v>
      </c>
    </row>
    <row r="119" spans="1:42">
      <c r="A119" s="141" t="str">
        <f>bond!F120</f>
        <v>XS1508675508</v>
      </c>
      <c r="B119" s="151" t="str">
        <f ca="1">IF($C$1=TRUE,bond!B120,"")</f>
        <v>XG020</v>
      </c>
      <c r="C119" s="95" t="str">
        <f>VLOOKUP(A119,bond!F:G,2,FALSE)</f>
        <v>USD</v>
      </c>
      <c r="D119" s="142" t="str">
        <f ca="1">VLOOKUP(B119,bond!B:C,2,FALSE)</f>
        <v>沙烏地阿拉伯政府美元配息債券 4.5% 2046/10/26</v>
      </c>
      <c r="E119" s="95" t="str">
        <f ca="1">VLOOKUP(B119,bond!B:D,3,FALSE)</f>
        <v>A1 / - / A+</v>
      </c>
      <c r="F119" s="99" t="str">
        <f ca="1">VLOOKUP(B119,bond!B:AB,27,FALSE)</f>
        <v>2046/10/26</v>
      </c>
      <c r="G119" s="90">
        <f ca="1">VLOOKUP(B119,bond!B:E,4,FALSE)</f>
        <v>22.31</v>
      </c>
      <c r="H119" s="202">
        <f ca="1">VLOOKUP(B119,bond!B:Y,24,FALSE)</f>
        <v>4.4999999999999998E-2</v>
      </c>
      <c r="I119" s="95">
        <f ca="1">VLOOKUP(B119,bond!B:Z,25,FALSE)</f>
        <v>2</v>
      </c>
      <c r="J119" s="180">
        <f ca="1">VLOOKUP(B119,bond!B:K,10,FALSE)</f>
        <v>0.83750000000000002</v>
      </c>
      <c r="K119" s="96">
        <f ca="1">VLOOKUP($B119,bond!B:S,14,FALSE)</f>
        <v>89.14</v>
      </c>
      <c r="L119" s="91" t="str">
        <f ca="1">VLOOKUP(B119,bond!B:H,7,FALSE)</f>
        <v>2024/7/3</v>
      </c>
      <c r="M119" s="144">
        <f ca="1">VLOOKUP($B119,bond!$B:$Q,16,FALSE)</f>
        <v>5.4100000000000002E-2</v>
      </c>
      <c r="N119" s="136">
        <f ca="1">VALUE(LEFT(VLOOKUP(B119,bond!B:R,17,FALSE),SEARCH(" ",VLOOKUP(B119,bond!B:R,17,FALSE),1)))</f>
        <v>200000</v>
      </c>
      <c r="O119" s="136">
        <f ca="1">VALUE(RIGHT(VLOOKUP(B119,bond!B:R,17,FALSE),LEN(VLOOKUP(B119,bond!B:R,17,FALSE))-LEN(N119)-3))</f>
        <v>1000</v>
      </c>
      <c r="P119" s="135" t="str">
        <f ca="1">VLOOKUP($B119,bond!$B:$AG,32,FALSE)</f>
        <v>2024/10/26</v>
      </c>
      <c r="Q119" s="135" t="str">
        <f ca="1">VLOOKUP($B119,bond!$B:$AH,33,FALSE)</f>
        <v>政府</v>
      </c>
      <c r="R119" s="135" t="str">
        <f ca="1">VLOOKUP(B119,bond!B:AA,26,FALSE)</f>
        <v>Saudi Government Internation</v>
      </c>
      <c r="S119" s="135" t="str">
        <f ca="1">VLOOKUP(B119,bond!B:AI,34,FALSE)</f>
        <v>KSA</v>
      </c>
      <c r="T119" s="135" t="str">
        <f t="shared" ca="1" si="7"/>
        <v>Saudi Government Internation/KSA</v>
      </c>
      <c r="U119" s="207" t="str">
        <f ca="1">IFERROR(VLOOKUP(T119,Bond_DES!D:E,2,FALSE),VLOOKUP(S119,bond!AI:AJ,2,FALSE))</f>
        <v>沙烏地阿拉伯政府(Kingdom of Saudi Arabi)是阿拉伯世界地理面積第2大的國家。沙國是中東北非最大經濟體和全球第19大經濟體(IMF 2023)，且沙國主權基金管理資產位居全球第6大(SWFI 2023)。石油為沙國的經濟支柱，且沙國是OPEC的主要成員國，為全球最大的石油出口國和第2大原油蘊藏量國家。</v>
      </c>
      <c r="V119" s="136" t="str">
        <f ca="1">IFERROR(VLOOKUP(B119,'1_重設數據'!L:M,2,FALSE),IF(Q119="政府",IF(AD119&gt;16,"(NPI)非專投",IF(AD119&gt;10,"(PI)專投","高資產")),IF(VLOOKUP(B119,bond!B:AN,39,FALSE)="Y","(PI)專投",IF(AD119&gt;=15,"(NPI)非專投",IF(AD119&gt;=10,"(PI)專投","高資產")))))</f>
        <v>(NPI)非專投</v>
      </c>
      <c r="W119" s="136" t="str">
        <f ca="1">VLOOKUP(AD119,'credit rating'!$F$2:$H$22,3,FALSE)</f>
        <v>A+</v>
      </c>
      <c r="X119" s="136" t="str">
        <f t="shared" ca="1" si="8"/>
        <v>A1</v>
      </c>
      <c r="Y119" s="136" t="str">
        <f t="shared" ca="1" si="9"/>
        <v>-</v>
      </c>
      <c r="Z119" s="136" t="str">
        <f t="shared" ca="1" si="10"/>
        <v>A+</v>
      </c>
      <c r="AA119" s="134">
        <f ca="1">IFERROR(VLOOKUP(X119,'credit rating'!A:C,3,FALSE),0)</f>
        <v>17</v>
      </c>
      <c r="AB119" s="134">
        <f ca="1">IFERROR(VLOOKUP(Y119,'credit rating'!B:C,2,FALSE),0)</f>
        <v>0</v>
      </c>
      <c r="AC119" s="136">
        <f ca="1">IFERROR(VLOOKUP(Z119,'credit rating'!B:C,2,FALSE),0)</f>
        <v>17</v>
      </c>
      <c r="AD119" s="136">
        <f t="shared" ca="1" si="11"/>
        <v>17</v>
      </c>
      <c r="AE119" s="249" t="str">
        <f ca="1">IFERROR(VLOOKUP(B119,bond!B:U,20,FALSE),"")</f>
        <v xml:space="preserve"> </v>
      </c>
      <c r="AF119" s="136" t="str">
        <f ca="1">IF(VLOOKUP(B119,bond!B:AK,36,FALSE)="#N/A Field Not Applicable","",VLOOKUP(B119,bond!B:AK,36,FALSE))</f>
        <v/>
      </c>
      <c r="AG119" s="136" t="str">
        <f ca="1">IF(VLOOKUP(B119,bond!B:AL,37,FALSE)="FIXED","固定",IF(VLOOKUP(B119,bond!B:AL,37,FALSE)="FLOATING","浮動",IF(VLOOKUP(B119,bond!B:AL,37,FALSE)="VARIABLE","變動",IF(VLOOKUP(B119,bond!B:AL,37,FALSE)="FLAT TRADING","不含息交易",IF(VLOOKUP(B119,bond!B:AL,37,FALSE)="ZERO COUPON","零息",VLOOKUP(B119,bond!B:AL,37,FALSE))))))</f>
        <v>固定</v>
      </c>
      <c r="AH119" s="136" t="str">
        <f>VLOOKUP(C119,'2_Check_code'!I:J,2,FALSE)</f>
        <v>美元(USD)</v>
      </c>
      <c r="AI119" s="136" t="str">
        <f t="shared" ca="1" si="12"/>
        <v>自由選清單</v>
      </c>
      <c r="AJ119" s="136">
        <f t="shared" ca="1" si="13"/>
        <v>0</v>
      </c>
      <c r="AK119" s="594" t="str">
        <f ca="1">IF(VLOOKUP(B119,bond!B:S,18,FALSE)="是","有",IF(VLOOKUP(B119,bond!B:S,18,FALSE)="NO OFFER","無","需查詢"))</f>
        <v>有</v>
      </c>
      <c r="AL119" s="136" t="str">
        <f>IF(VLOOKUP(A119,bond!F:AR,39,FALSE)="#N/A Field Not Applicable",VLOOKUP(A119,bond!F:AR,38,FALSE),IFERROR(VLOOKUP(A119,'7_發行日例外'!A:B,2,FALSE),VLOOKUP(A119,bond!F:AR,39,FALSE)))</f>
        <v>2016/10/26</v>
      </c>
      <c r="AM119" s="136" t="str">
        <f ca="1">VLOOKUP(B119,bond!B:AK,36,FALSE)</f>
        <v>#N/A Field Not Applicable</v>
      </c>
      <c r="AN119" s="136" t="str">
        <f ca="1">IFERROR(VLOOKUP(B119,'3_是否下架'!A:A,1,FALSE),"")</f>
        <v/>
      </c>
      <c r="AO119" s="136">
        <f ca="1">VLOOKUP(B119,bond!B:J,9,FALSE)</f>
        <v>85.300000000000011</v>
      </c>
      <c r="AP119" s="136">
        <f ca="1">VLOOKUP(B119,bond!B:V,21,FALSE)</f>
        <v>13.1318</v>
      </c>
    </row>
    <row r="120" spans="1:42">
      <c r="A120" s="141" t="str">
        <f>bond!F121</f>
        <v>US097023CY98</v>
      </c>
      <c r="B120" s="151" t="str">
        <f ca="1">IF($C$1=TRUE,bond!B121,"")</f>
        <v>XG030</v>
      </c>
      <c r="C120" s="95" t="str">
        <f>VLOOKUP(A120,bond!F:G,2,FALSE)</f>
        <v>USD</v>
      </c>
      <c r="D120" s="142" t="str">
        <f ca="1">VLOOKUP(B120,bond!B:C,2,FALSE)</f>
        <v>波音公司美元配息債券 5.15% 2030/5/1</v>
      </c>
      <c r="E120" s="95" t="str">
        <f ca="1">VLOOKUP(B120,bond!B:D,3,FALSE)</f>
        <v>Baa3 / BBB- / BBB-</v>
      </c>
      <c r="F120" s="99" t="str">
        <f ca="1">VLOOKUP(B120,bond!B:AB,27,FALSE)</f>
        <v>2030/5/1</v>
      </c>
      <c r="G120" s="90">
        <f ca="1">VLOOKUP(B120,bond!B:E,4,FALSE)</f>
        <v>5.83</v>
      </c>
      <c r="H120" s="202">
        <f ca="1">VLOOKUP(B120,bond!B:Y,24,FALSE)</f>
        <v>5.1500000000000004E-2</v>
      </c>
      <c r="I120" s="95">
        <f ca="1">VLOOKUP(B120,bond!B:Z,25,FALSE)</f>
        <v>2</v>
      </c>
      <c r="J120" s="180">
        <f ca="1">VLOOKUP(B120,bond!B:K,10,FALSE)</f>
        <v>0.87260000000000004</v>
      </c>
      <c r="K120" s="96">
        <f ca="1">VLOOKUP($B120,bond!B:S,14,FALSE)</f>
        <v>99.45</v>
      </c>
      <c r="L120" s="91" t="str">
        <f ca="1">VLOOKUP(B120,bond!B:H,7,FALSE)</f>
        <v>2024/7/2</v>
      </c>
      <c r="M120" s="144">
        <f ca="1">VLOOKUP($B120,bond!$B:$Q,16,FALSE)</f>
        <v>5.4399999999999997E-2</v>
      </c>
      <c r="N120" s="136">
        <f ca="1">VALUE(LEFT(VLOOKUP(B120,bond!B:R,17,FALSE),SEARCH(" ",VLOOKUP(B120,bond!B:R,17,FALSE),1)))</f>
        <v>10000</v>
      </c>
      <c r="O120" s="136">
        <f ca="1">VALUE(RIGHT(VLOOKUP(B120,bond!B:R,17,FALSE),LEN(VLOOKUP(B120,bond!B:R,17,FALSE))-LEN(N120)-3))</f>
        <v>1000</v>
      </c>
      <c r="P120" s="135" t="str">
        <f ca="1">VLOOKUP($B120,bond!$B:$AG,32,FALSE)</f>
        <v>2024/11/1</v>
      </c>
      <c r="Q120" s="135" t="str">
        <f ca="1">VLOOKUP($B120,bond!$B:$AH,33,FALSE)</f>
        <v>工業</v>
      </c>
      <c r="R120" s="135" t="str">
        <f ca="1">VLOOKUP(B120,bond!B:AA,26,FALSE)</f>
        <v>波音公司</v>
      </c>
      <c r="S120" s="135" t="str">
        <f ca="1">VLOOKUP(B120,bond!B:AI,34,FALSE)</f>
        <v>BA</v>
      </c>
      <c r="T120" s="135" t="str">
        <f t="shared" ca="1" si="7"/>
        <v>波音公司/BA</v>
      </c>
      <c r="U120" s="207" t="str">
        <f ca="1">IFERROR(VLOOKUP(T120,Bond_DES!D:E,2,FALSE),VLOOKUP(S120,bond!AI:AJ,2,FALSE))</f>
        <v>波音公司(The Boeing Company)航空、航太及國防技術領域的領導者，與空巴為全球唯二能夠生產大型寬體客機的製造商，且是全球第5大國防承包商(DefenseNews 2023)，於美國科技及軍事實力地位「舉足輕重」。2024年《Brand Finance》航太國防品牌價值位居第一。</v>
      </c>
      <c r="V120" s="136" t="str">
        <f ca="1">IFERROR(VLOOKUP(B120,'1_重設數據'!L:M,2,FALSE),IF(Q120="政府",IF(AD120&gt;16,"(NPI)非專投",IF(AD120&gt;10,"(PI)專投","高資產")),IF(VLOOKUP(B120,bond!B:AN,39,FALSE)="Y","(PI)專投",IF(AD120&gt;=15,"(NPI)非專投",IF(AD120&gt;=10,"(PI)專投","高資產")))))</f>
        <v>(PI)專投</v>
      </c>
      <c r="W120" s="136" t="str">
        <f ca="1">VLOOKUP(AD120,'credit rating'!$F$2:$H$22,3,FALSE)</f>
        <v>BBB-</v>
      </c>
      <c r="X120" s="136" t="str">
        <f t="shared" ca="1" si="8"/>
        <v>Baa3</v>
      </c>
      <c r="Y120" s="136" t="str">
        <f t="shared" ca="1" si="9"/>
        <v>BBB-</v>
      </c>
      <c r="Z120" s="136" t="str">
        <f t="shared" ca="1" si="10"/>
        <v>BBB-</v>
      </c>
      <c r="AA120" s="134">
        <f ca="1">IFERROR(VLOOKUP(X120,'credit rating'!A:C,3,FALSE),0)</f>
        <v>12</v>
      </c>
      <c r="AB120" s="134">
        <f ca="1">IFERROR(VLOOKUP(Y120,'credit rating'!B:C,2,FALSE),0)</f>
        <v>12</v>
      </c>
      <c r="AC120" s="136">
        <f ca="1">IFERROR(VLOOKUP(Z120,'credit rating'!B:C,2,FALSE),0)</f>
        <v>12</v>
      </c>
      <c r="AD120" s="136">
        <f t="shared" ca="1" si="11"/>
        <v>12</v>
      </c>
      <c r="AE120" s="249">
        <f ca="1">IFERROR(VLOOKUP(B120,bond!B:U,20,FALSE),"")</f>
        <v>5.45E-2</v>
      </c>
      <c r="AF120" s="136" t="str">
        <f ca="1">IF(VLOOKUP(B120,bond!B:AK,36,FALSE)="#N/A Field Not Applicable","",VLOOKUP(B120,bond!B:AK,36,FALSE))</f>
        <v>2030/2/1</v>
      </c>
      <c r="AG120" s="136" t="str">
        <f ca="1">IF(VLOOKUP(B120,bond!B:AL,37,FALSE)="FIXED","固定",IF(VLOOKUP(B120,bond!B:AL,37,FALSE)="FLOATING","浮動",IF(VLOOKUP(B120,bond!B:AL,37,FALSE)="VARIABLE","變動",IF(VLOOKUP(B120,bond!B:AL,37,FALSE)="FLAT TRADING","不含息交易",IF(VLOOKUP(B120,bond!B:AL,37,FALSE)="ZERO COUPON","零息",VLOOKUP(B120,bond!B:AL,37,FALSE))))))</f>
        <v>固定</v>
      </c>
      <c r="AH120" s="136" t="str">
        <f>VLOOKUP(C120,'2_Check_code'!I:J,2,FALSE)</f>
        <v>美元(USD)</v>
      </c>
      <c r="AI120" s="136" t="str">
        <f t="shared" ca="1" si="12"/>
        <v>自由選清單</v>
      </c>
      <c r="AJ120" s="136">
        <f t="shared" ca="1" si="13"/>
        <v>0</v>
      </c>
      <c r="AK120" s="594" t="str">
        <f ca="1">IF(VLOOKUP(B120,bond!B:S,18,FALSE)="是","有",IF(VLOOKUP(B120,bond!B:S,18,FALSE)="NO OFFER","無","需查詢"))</f>
        <v>有</v>
      </c>
      <c r="AL120" s="136" t="str">
        <f>IF(VLOOKUP(A120,bond!F:AR,39,FALSE)="#N/A Field Not Applicable",VLOOKUP(A120,bond!F:AR,38,FALSE),IFERROR(VLOOKUP(A120,'7_發行日例外'!A:B,2,FALSE),VLOOKUP(A120,bond!F:AR,39,FALSE)))</f>
        <v>2020/5/4</v>
      </c>
      <c r="AM120" s="136" t="str">
        <f ca="1">VLOOKUP(B120,bond!B:AK,36,FALSE)</f>
        <v>2030/2/1</v>
      </c>
      <c r="AN120" s="136" t="str">
        <f ca="1">IFERROR(VLOOKUP(B120,'3_是否下架'!A:A,1,FALSE),"")</f>
        <v/>
      </c>
      <c r="AO120" s="136">
        <f ca="1">VLOOKUP(B120,bond!B:J,9,FALSE)</f>
        <v>96.58</v>
      </c>
      <c r="AP120" s="136">
        <f ca="1">VLOOKUP(B120,bond!B:V,21,FALSE)</f>
        <v>4.9138000000000002</v>
      </c>
    </row>
    <row r="121" spans="1:42">
      <c r="A121" s="141" t="str">
        <f>bond!F122</f>
        <v>US233835AQ08</v>
      </c>
      <c r="B121" s="151" t="str">
        <f ca="1">IF($C$1=TRUE,bond!B122,"")</f>
        <v>XG040</v>
      </c>
      <c r="C121" s="95" t="str">
        <f>VLOOKUP(A121,bond!F:G,2,FALSE)</f>
        <v>USD</v>
      </c>
      <c r="D121" s="142" t="str">
        <f ca="1">VLOOKUP(B121,bond!B:C,2,FALSE)</f>
        <v>戴姆勒金融北美有限責任公司美元配息債券 8.5% 2031/1/18</v>
      </c>
      <c r="E121" s="95" t="str">
        <f ca="1">VLOOKUP(B121,bond!B:D,3,FALSE)</f>
        <v>A2 / A / A</v>
      </c>
      <c r="F121" s="99" t="str">
        <f ca="1">VLOOKUP(B121,bond!B:AB,27,FALSE)</f>
        <v>2031/1/18</v>
      </c>
      <c r="G121" s="90">
        <f ca="1">VLOOKUP(B121,bond!B:E,4,FALSE)</f>
        <v>6.55</v>
      </c>
      <c r="H121" s="202">
        <f ca="1">VLOOKUP(B121,bond!B:Y,24,FALSE)</f>
        <v>8.5000000000000006E-2</v>
      </c>
      <c r="I121" s="95">
        <f ca="1">VLOOKUP(B121,bond!B:Z,25,FALSE)</f>
        <v>2</v>
      </c>
      <c r="J121" s="180">
        <f ca="1">VLOOKUP(B121,bond!B:K,10,FALSE)</f>
        <v>3.8721999999999999</v>
      </c>
      <c r="K121" s="96">
        <f ca="1">VLOOKUP($B121,bond!B:S,14,FALSE)</f>
        <v>125.56</v>
      </c>
      <c r="L121" s="91" t="str">
        <f ca="1">VLOOKUP(B121,bond!B:H,7,FALSE)</f>
        <v>2024/7/2</v>
      </c>
      <c r="M121" s="144">
        <f ca="1">VLOOKUP($B121,bond!$B:$Q,16,FALSE)</f>
        <v>4.6199999999999998E-2</v>
      </c>
      <c r="N121" s="136">
        <f ca="1">VALUE(LEFT(VLOOKUP(B121,bond!B:R,17,FALSE),SEARCH(" ",VLOOKUP(B121,bond!B:R,17,FALSE),1)))</f>
        <v>10000</v>
      </c>
      <c r="O121" s="136">
        <f ca="1">VALUE(RIGHT(VLOOKUP(B121,bond!B:R,17,FALSE),LEN(VLOOKUP(B121,bond!B:R,17,FALSE))-LEN(N121)-3))</f>
        <v>1000</v>
      </c>
      <c r="P121" s="135" t="str">
        <f ca="1">VLOOKUP($B121,bond!$B:$AG,32,FALSE)</f>
        <v>2024/7/18</v>
      </c>
      <c r="Q121" s="135" t="str">
        <f ca="1">VLOOKUP($B121,bond!$B:$AH,33,FALSE)</f>
        <v>非核心消費</v>
      </c>
      <c r="R121" s="135" t="str">
        <f ca="1">VLOOKUP(B121,bond!B:AA,26,FALSE)</f>
        <v>梅賽德斯-賓士金融北美有限責</v>
      </c>
      <c r="S121" s="135" t="str">
        <f ca="1">VLOOKUP(B121,bond!B:AI,34,FALSE)</f>
        <v>MBGGR</v>
      </c>
      <c r="T121" s="135" t="str">
        <f t="shared" ca="1" si="7"/>
        <v>梅賽德斯-賓士金融北美有限責/MBGGR</v>
      </c>
      <c r="U121" s="207" t="str">
        <f ca="1">IFERROR(VLOOKUP(T121,Bond_DES!D:E,2,FALSE),VLOOKUP(S121,bond!AI:AJ,2,FALSE))</f>
        <v>梅賽德斯-賓士金融北美有限責任公司(Mercedes-Benz Finance North America LLC)為一家特殊目的機構。保證機構賓士集團(Mercedes-Benz Group)前身為Daimler AG，2021年底分拆商用車業務(卡車及巴士)後更為現名；根據2025年《Interbrand》旗下賓士汽車品牌價值高居汽車產業全球第二(僅次於豐田)。</v>
      </c>
      <c r="V121" s="136" t="str">
        <f ca="1">IFERROR(VLOOKUP(B121,'1_重設數據'!L:M,2,FALSE),IF(Q121="政府",IF(AD121&gt;16,"(NPI)非專投",IF(AD121&gt;10,"(PI)專投","高資產")),IF(VLOOKUP(B121,bond!B:AN,39,FALSE)="Y","(PI)專投",IF(AD121&gt;=15,"(NPI)非專投",IF(AD121&gt;=10,"(PI)專投","高資產")))))</f>
        <v>(NPI)非專投</v>
      </c>
      <c r="W121" s="136" t="str">
        <f ca="1">VLOOKUP(AD121,'credit rating'!$F$2:$H$22,3,FALSE)</f>
        <v>A</v>
      </c>
      <c r="X121" s="136" t="str">
        <f t="shared" ca="1" si="8"/>
        <v>A2</v>
      </c>
      <c r="Y121" s="136" t="str">
        <f t="shared" ca="1" si="9"/>
        <v>A</v>
      </c>
      <c r="Z121" s="136" t="str">
        <f t="shared" ca="1" si="10"/>
        <v>A</v>
      </c>
      <c r="AA121" s="134">
        <f ca="1">IFERROR(VLOOKUP(X121,'credit rating'!A:C,3,FALSE),0)</f>
        <v>16</v>
      </c>
      <c r="AB121" s="134">
        <f ca="1">IFERROR(VLOOKUP(Y121,'credit rating'!B:C,2,FALSE),0)</f>
        <v>16</v>
      </c>
      <c r="AC121" s="136">
        <f ca="1">IFERROR(VLOOKUP(Z121,'credit rating'!B:C,2,FALSE),0)</f>
        <v>16</v>
      </c>
      <c r="AD121" s="136">
        <f t="shared" ca="1" si="11"/>
        <v>16</v>
      </c>
      <c r="AE121" s="249" t="str">
        <f ca="1">IFERROR(VLOOKUP(B121,bond!B:U,20,FALSE),"")</f>
        <v xml:space="preserve"> </v>
      </c>
      <c r="AF121" s="136" t="str">
        <f ca="1">IF(VLOOKUP(B121,bond!B:AK,36,FALSE)="#N/A Field Not Applicable","",VLOOKUP(B121,bond!B:AK,36,FALSE))</f>
        <v/>
      </c>
      <c r="AG121" s="136" t="str">
        <f ca="1">IF(VLOOKUP(B121,bond!B:AL,37,FALSE)="FIXED","固定",IF(VLOOKUP(B121,bond!B:AL,37,FALSE)="FLOATING","浮動",IF(VLOOKUP(B121,bond!B:AL,37,FALSE)="VARIABLE","變動",IF(VLOOKUP(B121,bond!B:AL,37,FALSE)="FLAT TRADING","不含息交易",IF(VLOOKUP(B121,bond!B:AL,37,FALSE)="ZERO COUPON","零息",VLOOKUP(B121,bond!B:AL,37,FALSE))))))</f>
        <v>固定</v>
      </c>
      <c r="AH121" s="136" t="str">
        <f>VLOOKUP(C121,'2_Check_code'!I:J,2,FALSE)</f>
        <v>美元(USD)</v>
      </c>
      <c r="AI121" s="136" t="str">
        <f t="shared" ca="1" si="12"/>
        <v>自由選清單</v>
      </c>
      <c r="AJ121" s="136">
        <f t="shared" ca="1" si="13"/>
        <v>0</v>
      </c>
      <c r="AK121" s="594" t="str">
        <f ca="1">IF(VLOOKUP(B121,bond!B:S,18,FALSE)="是","有",IF(VLOOKUP(B121,bond!B:S,18,FALSE)="NO OFFER","無","需查詢"))</f>
        <v>有</v>
      </c>
      <c r="AL121" s="136" t="str">
        <f>IF(VLOOKUP(A121,bond!F:AR,39,FALSE)="#N/A Field Not Applicable",VLOOKUP(A121,bond!F:AR,38,FALSE),IFERROR(VLOOKUP(A121,'7_發行日例外'!A:B,2,FALSE),VLOOKUP(A121,bond!F:AR,39,FALSE)))</f>
        <v>2001/1/18</v>
      </c>
      <c r="AM121" s="136" t="str">
        <f ca="1">VLOOKUP(B121,bond!B:AK,36,FALSE)</f>
        <v>#N/A Field Not Applicable</v>
      </c>
      <c r="AN121" s="136" t="str">
        <f ca="1">IFERROR(VLOOKUP(B121,'3_是否下架'!A:A,1,FALSE),"")</f>
        <v/>
      </c>
      <c r="AO121" s="136">
        <f ca="1">VLOOKUP(B121,bond!B:J,9,FALSE)</f>
        <v>119.69000000000001</v>
      </c>
      <c r="AP121" s="136">
        <f ca="1">VLOOKUP(B121,bond!B:V,21,FALSE)</f>
        <v>5.0064000000000002</v>
      </c>
    </row>
    <row r="122" spans="1:42">
      <c r="A122" s="141" t="str">
        <f>bond!F123</f>
        <v>US00287YAV11</v>
      </c>
      <c r="B122" s="151" t="str">
        <f ca="1">IF($C$1=TRUE,bond!B123,"")</f>
        <v>XG050</v>
      </c>
      <c r="C122" s="95" t="str">
        <f>VLOOKUP(A122,bond!F:G,2,FALSE)</f>
        <v>USD</v>
      </c>
      <c r="D122" s="142" t="str">
        <f ca="1">VLOOKUP(B122,bond!B:C,2,FALSE)</f>
        <v>艾伯維藥品有限公司美元配息債券  4.3% 2036/5/14</v>
      </c>
      <c r="E122" s="95" t="str">
        <f ca="1">VLOOKUP(B122,bond!B:D,3,FALSE)</f>
        <v>A3 / A- / -</v>
      </c>
      <c r="F122" s="99" t="str">
        <f ca="1">VLOOKUP(B122,bond!B:AB,27,FALSE)</f>
        <v>2036/5/14</v>
      </c>
      <c r="G122" s="90">
        <f ca="1">VLOOKUP(B122,bond!B:E,4,FALSE)</f>
        <v>11.87</v>
      </c>
      <c r="H122" s="202">
        <f ca="1">VLOOKUP(B122,bond!B:Y,24,FALSE)</f>
        <v>4.2999999999999997E-2</v>
      </c>
      <c r="I122" s="95">
        <f ca="1">VLOOKUP(B122,bond!B:Z,25,FALSE)</f>
        <v>2</v>
      </c>
      <c r="J122" s="180">
        <f ca="1">VLOOKUP(B122,bond!B:K,10,FALSE)</f>
        <v>0.57330000000000003</v>
      </c>
      <c r="K122" s="96">
        <f ca="1">VLOOKUP($B122,bond!B:S,14,FALSE)</f>
        <v>95.69</v>
      </c>
      <c r="L122" s="91" t="str">
        <f ca="1">VLOOKUP(B122,bond!B:H,7,FALSE)</f>
        <v>2024/7/2</v>
      </c>
      <c r="M122" s="144">
        <f ca="1">VLOOKUP($B122,bond!$B:$Q,16,FALSE)</f>
        <v>4.8399999999999999E-2</v>
      </c>
      <c r="N122" s="136">
        <f ca="1">VALUE(LEFT(VLOOKUP(B122,bond!B:R,17,FALSE),SEARCH(" ",VLOOKUP(B122,bond!B:R,17,FALSE),1)))</f>
        <v>10000</v>
      </c>
      <c r="O122" s="136">
        <f ca="1">VALUE(RIGHT(VLOOKUP(B122,bond!B:R,17,FALSE),LEN(VLOOKUP(B122,bond!B:R,17,FALSE))-LEN(N122)-3))</f>
        <v>1000</v>
      </c>
      <c r="P122" s="135" t="str">
        <f ca="1">VLOOKUP($B122,bond!$B:$AG,32,FALSE)</f>
        <v>2024/11/14</v>
      </c>
      <c r="Q122" s="135" t="str">
        <f ca="1">VLOOKUP($B122,bond!$B:$AH,33,FALSE)</f>
        <v>醫療保健</v>
      </c>
      <c r="R122" s="135" t="str">
        <f ca="1">VLOOKUP(B122,bond!B:AA,26,FALSE)</f>
        <v>艾伯維公司</v>
      </c>
      <c r="S122" s="135" t="str">
        <f ca="1">VLOOKUP(B122,bond!B:AI,34,FALSE)</f>
        <v>ABBV</v>
      </c>
      <c r="T122" s="135" t="str">
        <f t="shared" ca="1" si="7"/>
        <v>艾伯維公司/ABBV</v>
      </c>
      <c r="U122" s="207" t="str">
        <f ca="1">IFERROR(VLOOKUP(T122,Bond_DES!D:E,2,FALSE),VLOOKUP(S122,bond!AI:AJ,2,FALSE))</f>
        <v>艾伯維藥品有限公司(AbbVie Inc.)是一家生物製藥公司，其第一大明星藥品即為疫前全球暢銷處方藥之首的風濕性關節炎藥物修美樂(Humira)，2020年完成收購肉毒桿菌素製造商愛力根(Allegan)，取得醫美學界最大企業的控制權。按處方藥銷售額名列全球藥企第2位(Pharm Exec 2024)、按營收名列全球藥企第5位(Fortune 2023)。</v>
      </c>
      <c r="V122" s="136" t="str">
        <f ca="1">IFERROR(VLOOKUP(B122,'1_重設數據'!L:M,2,FALSE),IF(Q122="政府",IF(AD122&gt;16,"(NPI)非專投",IF(AD122&gt;10,"(PI)專投","高資產")),IF(VLOOKUP(B122,bond!B:AN,39,FALSE)="Y","(PI)專投",IF(AD122&gt;=15,"(NPI)非專投",IF(AD122&gt;=10,"(PI)專投","高資產")))))</f>
        <v>(NPI)非專投</v>
      </c>
      <c r="W122" s="136" t="str">
        <f ca="1">VLOOKUP(AD122,'credit rating'!$F$2:$H$22,3,FALSE)</f>
        <v>A-</v>
      </c>
      <c r="X122" s="136" t="str">
        <f t="shared" ca="1" si="8"/>
        <v>A3</v>
      </c>
      <c r="Y122" s="136" t="str">
        <f t="shared" ca="1" si="9"/>
        <v>A-</v>
      </c>
      <c r="Z122" s="136" t="str">
        <f t="shared" ca="1" si="10"/>
        <v>-</v>
      </c>
      <c r="AA122" s="134">
        <f ca="1">IFERROR(VLOOKUP(X122,'credit rating'!A:C,3,FALSE),0)</f>
        <v>15</v>
      </c>
      <c r="AB122" s="134">
        <f ca="1">IFERROR(VLOOKUP(Y122,'credit rating'!B:C,2,FALSE),0)</f>
        <v>15</v>
      </c>
      <c r="AC122" s="136">
        <f ca="1">IFERROR(VLOOKUP(Z122,'credit rating'!B:C,2,FALSE),0)</f>
        <v>0</v>
      </c>
      <c r="AD122" s="136">
        <f t="shared" ca="1" si="11"/>
        <v>15</v>
      </c>
      <c r="AE122" s="249">
        <f ca="1">IFERROR(VLOOKUP(B122,bond!B:U,20,FALSE),"")</f>
        <v>4.8599999999999997E-2</v>
      </c>
      <c r="AF122" s="136" t="str">
        <f ca="1">IF(VLOOKUP(B122,bond!B:AK,36,FALSE)="#N/A Field Not Applicable","",VLOOKUP(B122,bond!B:AK,36,FALSE))</f>
        <v>2035/11/14</v>
      </c>
      <c r="AG122" s="136" t="str">
        <f ca="1">IF(VLOOKUP(B122,bond!B:AL,37,FALSE)="FIXED","固定",IF(VLOOKUP(B122,bond!B:AL,37,FALSE)="FLOATING","浮動",IF(VLOOKUP(B122,bond!B:AL,37,FALSE)="VARIABLE","變動",IF(VLOOKUP(B122,bond!B:AL,37,FALSE)="FLAT TRADING","不含息交易",IF(VLOOKUP(B122,bond!B:AL,37,FALSE)="ZERO COUPON","零息",VLOOKUP(B122,bond!B:AL,37,FALSE))))))</f>
        <v>固定</v>
      </c>
      <c r="AH122" s="136" t="str">
        <f>VLOOKUP(C122,'2_Check_code'!I:J,2,FALSE)</f>
        <v>美元(USD)</v>
      </c>
      <c r="AI122" s="136" t="str">
        <f t="shared" ca="1" si="12"/>
        <v>自由選清單</v>
      </c>
      <c r="AJ122" s="136">
        <f t="shared" ca="1" si="13"/>
        <v>0</v>
      </c>
      <c r="AK122" s="594" t="str">
        <f ca="1">IF(VLOOKUP(B122,bond!B:S,18,FALSE)="是","有",IF(VLOOKUP(B122,bond!B:S,18,FALSE)="NO OFFER","無","需查詢"))</f>
        <v>有</v>
      </c>
      <c r="AL122" s="136" t="str">
        <f>IF(VLOOKUP(A122,bond!F:AR,39,FALSE)="#N/A Field Not Applicable",VLOOKUP(A122,bond!F:AR,38,FALSE),IFERROR(VLOOKUP(A122,'7_發行日例外'!A:B,2,FALSE),VLOOKUP(A122,bond!F:AR,39,FALSE)))</f>
        <v>2016/5/12</v>
      </c>
      <c r="AM122" s="136" t="str">
        <f ca="1">VLOOKUP(B122,bond!B:AK,36,FALSE)</f>
        <v>2035/11/14</v>
      </c>
      <c r="AN122" s="136" t="str">
        <f ca="1">IFERROR(VLOOKUP(B122,'3_是否下架'!A:A,1,FALSE),"")</f>
        <v/>
      </c>
      <c r="AO122" s="136">
        <f ca="1">VLOOKUP(B122,bond!B:J,9,FALSE)</f>
        <v>92.62</v>
      </c>
      <c r="AP122" s="136">
        <f ca="1">VLOOKUP(B122,bond!B:V,21,FALSE)</f>
        <v>9.0341000000000005</v>
      </c>
    </row>
    <row r="123" spans="1:42">
      <c r="A123" s="141" t="str">
        <f>bond!F124</f>
        <v>US037833AT77</v>
      </c>
      <c r="B123" s="151" t="str">
        <f ca="1">IF($C$1=TRUE,bond!B124,"")</f>
        <v>XG060</v>
      </c>
      <c r="C123" s="95" t="str">
        <f>VLOOKUP(A123,bond!F:G,2,FALSE)</f>
        <v>USD</v>
      </c>
      <c r="D123" s="142" t="str">
        <f ca="1">VLOOKUP(B123,bond!B:C,2,FALSE)</f>
        <v>蘋果公司美元配息債券 4.45% 2044/5/6</v>
      </c>
      <c r="E123" s="95" t="str">
        <f ca="1">VLOOKUP(B123,bond!B:D,3,FALSE)</f>
        <v>Aaa / AA+ / -</v>
      </c>
      <c r="F123" s="99" t="str">
        <f ca="1">VLOOKUP(B123,bond!B:AB,27,FALSE)</f>
        <v>2044/5/6</v>
      </c>
      <c r="G123" s="90">
        <f ca="1">VLOOKUP(B123,bond!B:E,4,FALSE)</f>
        <v>19.84</v>
      </c>
      <c r="H123" s="202">
        <f ca="1">VLOOKUP(B123,bond!B:Y,24,FALSE)</f>
        <v>4.4500000000000005E-2</v>
      </c>
      <c r="I123" s="95">
        <f ca="1">VLOOKUP(B123,bond!B:Z,25,FALSE)</f>
        <v>2</v>
      </c>
      <c r="J123" s="180">
        <f ca="1">VLOOKUP(B123,bond!B:K,10,FALSE)</f>
        <v>0.69220000000000004</v>
      </c>
      <c r="K123" s="96">
        <f ca="1">VLOOKUP($B123,bond!B:S,14,FALSE)</f>
        <v>96.76</v>
      </c>
      <c r="L123" s="91" t="str">
        <f ca="1">VLOOKUP(B123,bond!B:H,7,FALSE)</f>
        <v>2024/7/2</v>
      </c>
      <c r="M123" s="144">
        <f ca="1">VLOOKUP($B123,bond!$B:$Q,16,FALSE)</f>
        <v>4.7600000000000003E-2</v>
      </c>
      <c r="N123" s="136">
        <f ca="1">VALUE(LEFT(VLOOKUP(B123,bond!B:R,17,FALSE),SEARCH(" ",VLOOKUP(B123,bond!B:R,17,FALSE),1)))</f>
        <v>10000</v>
      </c>
      <c r="O123" s="136">
        <f ca="1">VALUE(RIGHT(VLOOKUP(B123,bond!B:R,17,FALSE),LEN(VLOOKUP(B123,bond!B:R,17,FALSE))-LEN(N123)-3))</f>
        <v>1000</v>
      </c>
      <c r="P123" s="135" t="str">
        <f ca="1">VLOOKUP($B123,bond!$B:$AG,32,FALSE)</f>
        <v>2024/11/6</v>
      </c>
      <c r="Q123" s="135" t="str">
        <f ca="1">VLOOKUP($B123,bond!$B:$AH,33,FALSE)</f>
        <v>科技</v>
      </c>
      <c r="R123" s="135" t="str">
        <f ca="1">VLOOKUP(B123,bond!B:AA,26,FALSE)</f>
        <v>蘋果公司</v>
      </c>
      <c r="S123" s="135" t="str">
        <f ca="1">VLOOKUP(B123,bond!B:AI,34,FALSE)</f>
        <v>AAPL</v>
      </c>
      <c r="T123" s="135" t="str">
        <f t="shared" ca="1" si="7"/>
        <v>蘋果公司/AAPL</v>
      </c>
      <c r="U123" s="207" t="str">
        <f ca="1">IFERROR(VLOOKUP(T123,Bond_DES!D:E,2,FALSE),VLOOKUP(S123,bond!AI:AJ,2,FALSE))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123" s="136" t="str">
        <f ca="1">IFERROR(VLOOKUP(B123,'1_重設數據'!L:M,2,FALSE),IF(Q123="政府",IF(AD123&gt;16,"(NPI)非專投",IF(AD123&gt;10,"(PI)專投","高資產")),IF(VLOOKUP(B123,bond!B:AN,39,FALSE)="Y","(PI)專投",IF(AD123&gt;=15,"(NPI)非專投",IF(AD123&gt;=10,"(PI)專投","高資產")))))</f>
        <v>(NPI)非專投</v>
      </c>
      <c r="W123" s="136" t="str">
        <f ca="1">VLOOKUP(AD123,'credit rating'!$F$2:$H$22,3,FALSE)</f>
        <v>AAA</v>
      </c>
      <c r="X123" s="136" t="str">
        <f t="shared" ca="1" si="8"/>
        <v>Aaa</v>
      </c>
      <c r="Y123" s="136" t="str">
        <f t="shared" ca="1" si="9"/>
        <v>AA+</v>
      </c>
      <c r="Z123" s="136" t="str">
        <f t="shared" ca="1" si="10"/>
        <v>-</v>
      </c>
      <c r="AA123" s="134">
        <f ca="1">IFERROR(VLOOKUP(X123,'credit rating'!A:C,3,FALSE),0)</f>
        <v>21</v>
      </c>
      <c r="AB123" s="134">
        <f ca="1">IFERROR(VLOOKUP(Y123,'credit rating'!B:C,2,FALSE),0)</f>
        <v>20</v>
      </c>
      <c r="AC123" s="136">
        <f ca="1">IFERROR(VLOOKUP(Z123,'credit rating'!B:C,2,FALSE),0)</f>
        <v>0</v>
      </c>
      <c r="AD123" s="136">
        <f t="shared" ca="1" si="11"/>
        <v>21</v>
      </c>
      <c r="AE123" s="249" t="str">
        <f ca="1">IFERROR(VLOOKUP(B123,bond!B:U,20,FALSE),"")</f>
        <v xml:space="preserve"> </v>
      </c>
      <c r="AF123" s="136" t="str">
        <f ca="1">IF(VLOOKUP(B123,bond!B:AK,36,FALSE)="#N/A Field Not Applicable","",VLOOKUP(B123,bond!B:AK,36,FALSE))</f>
        <v/>
      </c>
      <c r="AG123" s="136" t="str">
        <f ca="1">IF(VLOOKUP(B123,bond!B:AL,37,FALSE)="FIXED","固定",IF(VLOOKUP(B123,bond!B:AL,37,FALSE)="FLOATING","浮動",IF(VLOOKUP(B123,bond!B:AL,37,FALSE)="VARIABLE","變動",IF(VLOOKUP(B123,bond!B:AL,37,FALSE)="FLAT TRADING","不含息交易",IF(VLOOKUP(B123,bond!B:AL,37,FALSE)="ZERO COUPON","零息",VLOOKUP(B123,bond!B:AL,37,FALSE))))))</f>
        <v>固定</v>
      </c>
      <c r="AH123" s="136" t="str">
        <f>VLOOKUP(C123,'2_Check_code'!I:J,2,FALSE)</f>
        <v>美元(USD)</v>
      </c>
      <c r="AI123" s="136" t="str">
        <f t="shared" ca="1" si="12"/>
        <v>自由選清單</v>
      </c>
      <c r="AJ123" s="136">
        <f t="shared" ca="1" si="13"/>
        <v>0</v>
      </c>
      <c r="AK123" s="594" t="str">
        <f ca="1">IF(VLOOKUP(B123,bond!B:S,18,FALSE)="是","有",IF(VLOOKUP(B123,bond!B:S,18,FALSE)="NO OFFER","無","需查詢"))</f>
        <v>有</v>
      </c>
      <c r="AL123" s="136" t="str">
        <f>IF(VLOOKUP(A123,bond!F:AR,39,FALSE)="#N/A Field Not Applicable",VLOOKUP(A123,bond!F:AR,38,FALSE),IFERROR(VLOOKUP(A123,'7_發行日例外'!A:B,2,FALSE),VLOOKUP(A123,bond!F:AR,39,FALSE)))</f>
        <v>2014/5/6</v>
      </c>
      <c r="AM123" s="136" t="str">
        <f ca="1">VLOOKUP(B123,bond!B:AK,36,FALSE)</f>
        <v>#N/A Field Not Applicable</v>
      </c>
      <c r="AN123" s="136" t="str">
        <f ca="1">IFERROR(VLOOKUP(B123,'3_是否下架'!A:A,1,FALSE),"")</f>
        <v/>
      </c>
      <c r="AO123" s="136">
        <f ca="1">VLOOKUP(B123,bond!B:J,9,FALSE)</f>
        <v>93.07</v>
      </c>
      <c r="AP123" s="136">
        <f ca="1">VLOOKUP(B123,bond!B:V,21,FALSE)</f>
        <v>12.7517</v>
      </c>
    </row>
    <row r="124" spans="1:42">
      <c r="A124" s="141" t="str">
        <f>bond!F125</f>
        <v>US375558BD48</v>
      </c>
      <c r="B124" s="151" t="str">
        <f ca="1">IF($C$1=TRUE,bond!B125,"")</f>
        <v>XG070</v>
      </c>
      <c r="C124" s="95" t="str">
        <f>VLOOKUP(A124,bond!F:G,2,FALSE)</f>
        <v>USD</v>
      </c>
      <c r="D124" s="142" t="str">
        <f ca="1">VLOOKUP(B124,bond!B:C,2,FALSE)</f>
        <v>吉利德科學公司美元配息債券 4.75% 2046/3/1</v>
      </c>
      <c r="E124" s="95" t="str">
        <f ca="1">VLOOKUP(B124,bond!B:D,3,FALSE)</f>
        <v>A3 / BBB+ / -</v>
      </c>
      <c r="F124" s="99" t="str">
        <f ca="1">VLOOKUP(B124,bond!B:AB,27,FALSE)</f>
        <v>2046/3/1</v>
      </c>
      <c r="G124" s="90">
        <f ca="1">VLOOKUP(B124,bond!B:E,4,FALSE)</f>
        <v>21.66</v>
      </c>
      <c r="H124" s="202">
        <f ca="1">VLOOKUP(B124,bond!B:Y,24,FALSE)</f>
        <v>4.7500000000000001E-2</v>
      </c>
      <c r="I124" s="95">
        <f ca="1">VLOOKUP(B124,bond!B:Z,25,FALSE)</f>
        <v>2</v>
      </c>
      <c r="J124" s="180">
        <f ca="1">VLOOKUP(B124,bond!B:K,10,FALSE)</f>
        <v>1.5965</v>
      </c>
      <c r="K124" s="96">
        <f ca="1">VLOOKUP($B124,bond!B:S,14,FALSE)</f>
        <v>94.4</v>
      </c>
      <c r="L124" s="91" t="str">
        <f ca="1">VLOOKUP(B124,bond!B:H,7,FALSE)</f>
        <v>2024/7/2</v>
      </c>
      <c r="M124" s="144">
        <f ca="1">VLOOKUP($B124,bond!$B:$Q,16,FALSE)</f>
        <v>5.3100000000000001E-2</v>
      </c>
      <c r="N124" s="136">
        <f ca="1">VALUE(LEFT(VLOOKUP(B124,bond!B:R,17,FALSE),SEARCH(" ",VLOOKUP(B124,bond!B:R,17,FALSE),1)))</f>
        <v>10000</v>
      </c>
      <c r="O124" s="136">
        <f ca="1">VALUE(RIGHT(VLOOKUP(B124,bond!B:R,17,FALSE),LEN(VLOOKUP(B124,bond!B:R,17,FALSE))-LEN(N124)-3))</f>
        <v>1000</v>
      </c>
      <c r="P124" s="135" t="str">
        <f ca="1">VLOOKUP($B124,bond!$B:$AG,32,FALSE)</f>
        <v>2024/9/1</v>
      </c>
      <c r="Q124" s="135" t="str">
        <f ca="1">VLOOKUP($B124,bond!$B:$AH,33,FALSE)</f>
        <v>醫療保健</v>
      </c>
      <c r="R124" s="135" t="str">
        <f ca="1">VLOOKUP(B124,bond!B:AA,26,FALSE)</f>
        <v>吉利德科學公司</v>
      </c>
      <c r="S124" s="135" t="str">
        <f ca="1">VLOOKUP(B124,bond!B:AI,34,FALSE)</f>
        <v>GILD</v>
      </c>
      <c r="T124" s="135" t="str">
        <f t="shared" ca="1" si="7"/>
        <v>吉利德科學公司/GILD</v>
      </c>
      <c r="U124" s="207" t="str">
        <f ca="1">IFERROR(VLOOKUP(T124,Bond_DES!D:E,2,FALSE),VLOOKUP(S124,bond!AI:AJ,2,FALSE))</f>
        <v>吉利德科學公司(Gilead Sciences, Inc.)是抗病毒藥物市場龍頭，名列全球藥企50強第15位(製藥經理人 2024)，在愛滋病治療與C型肝炎治療領域市佔率穩坐第一位，旗下抗病毒用藥-瑞德西韋(Remdesivir)為美國首獲FDA批准的新冠肺炎治療藥物。</v>
      </c>
      <c r="V124" s="136" t="str">
        <f ca="1">IFERROR(VLOOKUP(B124,'1_重設數據'!L:M,2,FALSE),IF(Q124="政府",IF(AD124&gt;16,"(NPI)非專投",IF(AD124&gt;10,"(PI)專投","高資產")),IF(VLOOKUP(B124,bond!B:AN,39,FALSE)="Y","(PI)專投",IF(AD124&gt;=15,"(NPI)非專投",IF(AD124&gt;=10,"(PI)專投","高資產")))))</f>
        <v>(NPI)非專投</v>
      </c>
      <c r="W124" s="136" t="str">
        <f ca="1">VLOOKUP(AD124,'credit rating'!$F$2:$H$22,3,FALSE)</f>
        <v>A-</v>
      </c>
      <c r="X124" s="136" t="str">
        <f t="shared" ca="1" si="8"/>
        <v>A3</v>
      </c>
      <c r="Y124" s="136" t="str">
        <f t="shared" ca="1" si="9"/>
        <v>BBB+</v>
      </c>
      <c r="Z124" s="136" t="str">
        <f t="shared" ca="1" si="10"/>
        <v>-</v>
      </c>
      <c r="AA124" s="134">
        <f ca="1">IFERROR(VLOOKUP(X124,'credit rating'!A:C,3,FALSE),0)</f>
        <v>15</v>
      </c>
      <c r="AB124" s="134">
        <f ca="1">IFERROR(VLOOKUP(Y124,'credit rating'!B:C,2,FALSE),0)</f>
        <v>14</v>
      </c>
      <c r="AC124" s="136">
        <f ca="1">IFERROR(VLOOKUP(Z124,'credit rating'!B:C,2,FALSE),0)</f>
        <v>0</v>
      </c>
      <c r="AD124" s="136">
        <f t="shared" ca="1" si="11"/>
        <v>15</v>
      </c>
      <c r="AE124" s="249">
        <f ca="1">IFERROR(VLOOKUP(B124,bond!B:U,20,FALSE),"")</f>
        <v>5.3199999999999997E-2</v>
      </c>
      <c r="AF124" s="136" t="str">
        <f ca="1">IF(VLOOKUP(B124,bond!B:AK,36,FALSE)="#N/A Field Not Applicable","",VLOOKUP(B124,bond!B:AK,36,FALSE))</f>
        <v>2045/9/1</v>
      </c>
      <c r="AG124" s="136" t="str">
        <f ca="1">IF(VLOOKUP(B124,bond!B:AL,37,FALSE)="FIXED","固定",IF(VLOOKUP(B124,bond!B:AL,37,FALSE)="FLOATING","浮動",IF(VLOOKUP(B124,bond!B:AL,37,FALSE)="VARIABLE","變動",IF(VLOOKUP(B124,bond!B:AL,37,FALSE)="FLAT TRADING","不含息交易",IF(VLOOKUP(B124,bond!B:AL,37,FALSE)="ZERO COUPON","零息",VLOOKUP(B124,bond!B:AL,37,FALSE))))))</f>
        <v>固定</v>
      </c>
      <c r="AH124" s="136" t="str">
        <f>VLOOKUP(C124,'2_Check_code'!I:J,2,FALSE)</f>
        <v>美元(USD)</v>
      </c>
      <c r="AI124" s="136" t="str">
        <f t="shared" ca="1" si="12"/>
        <v>自由選清單</v>
      </c>
      <c r="AJ124" s="136">
        <f t="shared" ca="1" si="13"/>
        <v>0</v>
      </c>
      <c r="AK124" s="594" t="str">
        <f ca="1">IF(VLOOKUP(B124,bond!B:S,18,FALSE)="是","有",IF(VLOOKUP(B124,bond!B:S,18,FALSE)="NO OFFER","無","需查詢"))</f>
        <v>有</v>
      </c>
      <c r="AL124" s="136" t="str">
        <f>IF(VLOOKUP(A124,bond!F:AR,39,FALSE)="#N/A Field Not Applicable",VLOOKUP(A124,bond!F:AR,38,FALSE),IFERROR(VLOOKUP(A124,'7_發行日例外'!A:B,2,FALSE),VLOOKUP(A124,bond!F:AR,39,FALSE)))</f>
        <v>2015/9/14</v>
      </c>
      <c r="AM124" s="136" t="str">
        <f ca="1">VLOOKUP(B124,bond!B:AK,36,FALSE)</f>
        <v>2045/9/1</v>
      </c>
      <c r="AN124" s="136" t="str">
        <f ca="1">IFERROR(VLOOKUP(B124,'3_是否下架'!A:A,1,FALSE),"")</f>
        <v/>
      </c>
      <c r="AO124" s="136">
        <f ca="1">VLOOKUP(B124,bond!B:J,9,FALSE)</f>
        <v>89.800000000000011</v>
      </c>
      <c r="AP124" s="136">
        <f ca="1">VLOOKUP(B124,bond!B:V,21,FALSE)</f>
        <v>12.7578</v>
      </c>
    </row>
    <row r="125" spans="1:42">
      <c r="A125" s="141" t="str">
        <f>bond!F126</f>
        <v>XS1697550512</v>
      </c>
      <c r="B125" s="151" t="str">
        <f ca="1">IF($C$1=TRUE,bond!B126,"")</f>
        <v>XG090</v>
      </c>
      <c r="C125" s="95" t="str">
        <f>VLOOKUP(A125,bond!F:G,2,FALSE)</f>
        <v>ZAR</v>
      </c>
      <c r="D125" s="142" t="str">
        <f ca="1">VLOOKUP(B125,bond!B:C,2,FALSE)</f>
        <v>歐洲投資銀行南非幣零息債券 0% 2032/10/18</v>
      </c>
      <c r="E125" s="95" t="str">
        <f ca="1">VLOOKUP(B125,bond!B:D,3,FALSE)</f>
        <v>Aaa / AAA / AAA</v>
      </c>
      <c r="F125" s="99" t="str">
        <f ca="1">VLOOKUP(B125,bond!B:AB,27,FALSE)</f>
        <v>2032/10/18</v>
      </c>
      <c r="G125" s="90">
        <f ca="1">VLOOKUP(B125,bond!B:E,4,FALSE)</f>
        <v>8.2899999999999991</v>
      </c>
      <c r="H125" s="202">
        <f ca="1">VLOOKUP(B125,bond!B:Y,24,FALSE)</f>
        <v>0</v>
      </c>
      <c r="I125" s="95">
        <f ca="1">VLOOKUP(B125,bond!B:Z,25,FALSE)</f>
        <v>0</v>
      </c>
      <c r="J125" s="180">
        <f ca="1">VLOOKUP(B125,bond!B:K,10,FALSE)</f>
        <v>0</v>
      </c>
      <c r="K125" s="96">
        <f ca="1">VLOOKUP($B125,bond!B:S,14,FALSE)</f>
        <v>49.89</v>
      </c>
      <c r="L125" s="91" t="str">
        <f ca="1">VLOOKUP(B125,bond!B:H,7,FALSE)</f>
        <v>2024/7/3</v>
      </c>
      <c r="M125" s="144">
        <f ca="1">VLOOKUP($B125,bond!$B:$Q,16,FALSE)</f>
        <v>8.7499999999999994E-2</v>
      </c>
      <c r="N125" s="136">
        <f ca="1">VALUE(LEFT(VLOOKUP(B125,bond!B:R,17,FALSE),SEARCH(" ",VLOOKUP(B125,bond!B:R,17,FALSE),1)))</f>
        <v>10000</v>
      </c>
      <c r="O125" s="136">
        <f ca="1">VALUE(RIGHT(VLOOKUP(B125,bond!B:R,17,FALSE),LEN(VLOOKUP(B125,bond!B:R,17,FALSE))-LEN(N125)-3))</f>
        <v>10000</v>
      </c>
      <c r="P125" s="135" t="str">
        <f ca="1">VLOOKUP($B125,bond!$B:$AG,32,FALSE)</f>
        <v>#N/A Field Not Applicable</v>
      </c>
      <c r="Q125" s="135" t="str">
        <f ca="1">VLOOKUP($B125,bond!$B:$AH,33,FALSE)</f>
        <v>政府</v>
      </c>
      <c r="R125" s="135" t="str">
        <f ca="1">VLOOKUP(B125,bond!B:AA,26,FALSE)</f>
        <v>歐洲投資銀行</v>
      </c>
      <c r="S125" s="135" t="str">
        <f ca="1">VLOOKUP(B125,bond!B:AI,34,FALSE)</f>
        <v>EIB</v>
      </c>
      <c r="T125" s="135" t="str">
        <f t="shared" ca="1" si="7"/>
        <v>歐洲投資銀行/EIB</v>
      </c>
      <c r="U125" s="207" t="str">
        <f ca="1">IFERROR(VLOOKUP(T125,Bond_DES!D:E,2,FALSE),VLOOKUP(S125,bond!AI:AJ,2,FALSE))</f>
        <v>歐洲投資銀行(European Investment Bank)為一家融資機構。該銀行提供專案貸款、債券、創投、運輸基礎設施、專案資金、擔保、微型信貸、股票投資，以及都市開發解決方案。歐洲投資銀行服務全球客戶。</v>
      </c>
      <c r="V125" s="136" t="str">
        <f ca="1">IFERROR(VLOOKUP(B125,'1_重設數據'!L:M,2,FALSE),IF(Q125="政府",IF(AD125&gt;16,"(NPI)非專投",IF(AD125&gt;10,"(PI)專投","高資產")),IF(VLOOKUP(B125,bond!B:AN,39,FALSE)="Y","(PI)專投",IF(AD125&gt;=15,"(NPI)非專投",IF(AD125&gt;=10,"(PI)專投","高資產")))))</f>
        <v>(NPI)非專投</v>
      </c>
      <c r="W125" s="136" t="str">
        <f ca="1">VLOOKUP(AD125,'credit rating'!$F$2:$H$22,3,FALSE)</f>
        <v>AAA</v>
      </c>
      <c r="X125" s="136" t="str">
        <f t="shared" ca="1" si="8"/>
        <v>Aaa</v>
      </c>
      <c r="Y125" s="136" t="str">
        <f t="shared" ca="1" si="9"/>
        <v>AAA</v>
      </c>
      <c r="Z125" s="136" t="str">
        <f t="shared" ca="1" si="10"/>
        <v>AAA</v>
      </c>
      <c r="AA125" s="134">
        <f ca="1">IFERROR(VLOOKUP(X125,'credit rating'!A:C,3,FALSE),0)</f>
        <v>21</v>
      </c>
      <c r="AB125" s="134">
        <f ca="1">IFERROR(VLOOKUP(Y125,'credit rating'!B:C,2,FALSE),0)</f>
        <v>21</v>
      </c>
      <c r="AC125" s="136">
        <f ca="1">IFERROR(VLOOKUP(Z125,'credit rating'!B:C,2,FALSE),0)</f>
        <v>21</v>
      </c>
      <c r="AD125" s="136">
        <f t="shared" ca="1" si="11"/>
        <v>21</v>
      </c>
      <c r="AE125" s="249" t="str">
        <f ca="1">IFERROR(VLOOKUP(B125,bond!B:U,20,FALSE),"")</f>
        <v xml:space="preserve"> </v>
      </c>
      <c r="AF125" s="136" t="str">
        <f ca="1">IF(VLOOKUP(B125,bond!B:AK,36,FALSE)="#N/A Field Not Applicable","",VLOOKUP(B125,bond!B:AK,36,FALSE))</f>
        <v/>
      </c>
      <c r="AG125" s="136" t="str">
        <f ca="1">IF(VLOOKUP(B125,bond!B:AL,37,FALSE)="FIXED","固定",IF(VLOOKUP(B125,bond!B:AL,37,FALSE)="FLOATING","浮動",IF(VLOOKUP(B125,bond!B:AL,37,FALSE)="VARIABLE","變動",IF(VLOOKUP(B125,bond!B:AL,37,FALSE)="FLAT TRADING","不含息交易",IF(VLOOKUP(B125,bond!B:AL,37,FALSE)="ZERO COUPON","零息",VLOOKUP(B125,bond!B:AL,37,FALSE))))))</f>
        <v>零息</v>
      </c>
      <c r="AH125" s="136" t="str">
        <f>VLOOKUP(C125,'2_Check_code'!I:J,2,FALSE)</f>
        <v>南非幣(ZAR)</v>
      </c>
      <c r="AI125" s="136" t="str">
        <f t="shared" ca="1" si="12"/>
        <v/>
      </c>
      <c r="AJ125" s="136">
        <f t="shared" ca="1" si="13"/>
        <v>1</v>
      </c>
      <c r="AK125" s="594" t="str">
        <f ca="1">IF(VLOOKUP(B125,bond!B:S,18,FALSE)="是","有",IF(VLOOKUP(B125,bond!B:S,18,FALSE)="NO OFFER","無","需查詢"))</f>
        <v>需查詢</v>
      </c>
      <c r="AL125" s="136" t="str">
        <f>IF(VLOOKUP(A125,bond!F:AR,39,FALSE)="#N/A Field Not Applicable",VLOOKUP(A125,bond!F:AR,38,FALSE),IFERROR(VLOOKUP(A125,'7_發行日例外'!A:B,2,FALSE),VLOOKUP(A125,bond!F:AR,39,FALSE)))</f>
        <v>2017/10/18</v>
      </c>
      <c r="AM125" s="136" t="str">
        <f ca="1">VLOOKUP(B125,bond!B:AK,36,FALSE)</f>
        <v>#N/A Field Not Applicable</v>
      </c>
      <c r="AN125" s="136" t="str">
        <f ca="1">IFERROR(VLOOKUP(B125,'3_是否下架'!A:A,1,FALSE),"")</f>
        <v/>
      </c>
      <c r="AO125" s="136">
        <f ca="1">VLOOKUP(B125,bond!B:J,9,FALSE)</f>
        <v>48.29</v>
      </c>
      <c r="AP125" s="136">
        <f ca="1">VLOOKUP(B125,bond!B:V,21,FALSE)</f>
        <v>7.9372999999999996</v>
      </c>
    </row>
    <row r="126" spans="1:42">
      <c r="A126" s="141" t="str">
        <f>bond!F127</f>
        <v>US254687FZ49</v>
      </c>
      <c r="B126" s="151" t="str">
        <f ca="1">IF($C$1=TRUE,bond!B127,"")</f>
        <v>XG100</v>
      </c>
      <c r="C126" s="95" t="str">
        <f>VLOOKUP(A126,bond!F:G,2,FALSE)</f>
        <v>USD</v>
      </c>
      <c r="D126" s="142" t="str">
        <f ca="1">VLOOKUP(B126,bond!B:C,2,FALSE)</f>
        <v>華特迪士尼公司美元配息債券 3.6% 2051/1/13</v>
      </c>
      <c r="E126" s="95" t="str">
        <f ca="1">VLOOKUP(B126,bond!B:D,3,FALSE)</f>
        <v>A2 / A- / A-</v>
      </c>
      <c r="F126" s="99" t="str">
        <f ca="1">VLOOKUP(B126,bond!B:AB,27,FALSE)</f>
        <v>2051/1/13</v>
      </c>
      <c r="G126" s="90">
        <f ca="1">VLOOKUP(B126,bond!B:E,4,FALSE)</f>
        <v>26.53</v>
      </c>
      <c r="H126" s="202">
        <f ca="1">VLOOKUP(B126,bond!B:Y,24,FALSE)</f>
        <v>3.6000000000000004E-2</v>
      </c>
      <c r="I126" s="95">
        <f ca="1">VLOOKUP(B126,bond!B:Z,25,FALSE)</f>
        <v>2</v>
      </c>
      <c r="J126" s="180">
        <f ca="1">VLOOKUP(B126,bond!B:K,10,FALSE)</f>
        <v>1.69</v>
      </c>
      <c r="K126" s="96">
        <f ca="1">VLOOKUP($B126,bond!B:S,14,FALSE)</f>
        <v>80.400000000000006</v>
      </c>
      <c r="L126" s="91" t="str">
        <f ca="1">VLOOKUP(B126,bond!B:H,7,FALSE)</f>
        <v>2024/7/2</v>
      </c>
      <c r="M126" s="144">
        <f ca="1">VLOOKUP($B126,bond!$B:$Q,16,FALSE)</f>
        <v>5.0700000000000002E-2</v>
      </c>
      <c r="N126" s="136">
        <f ca="1">VALUE(LEFT(VLOOKUP(B126,bond!B:R,17,FALSE),SEARCH(" ",VLOOKUP(B126,bond!B:R,17,FALSE),1)))</f>
        <v>10000</v>
      </c>
      <c r="O126" s="136">
        <f ca="1">VALUE(RIGHT(VLOOKUP(B126,bond!B:R,17,FALSE),LEN(VLOOKUP(B126,bond!B:R,17,FALSE))-LEN(N126)-3))</f>
        <v>1000</v>
      </c>
      <c r="P126" s="135" t="str">
        <f ca="1">VLOOKUP($B126,bond!$B:$AG,32,FALSE)</f>
        <v>2024/7/13</v>
      </c>
      <c r="Q126" s="135" t="str">
        <f ca="1">VLOOKUP($B126,bond!$B:$AH,33,FALSE)</f>
        <v>通訊</v>
      </c>
      <c r="R126" s="135" t="str">
        <f ca="1">VLOOKUP(B126,bond!B:AA,26,FALSE)</f>
        <v>華特迪士尼公司</v>
      </c>
      <c r="S126" s="135" t="str">
        <f ca="1">VLOOKUP(B126,bond!B:AI,34,FALSE)</f>
        <v>DIS</v>
      </c>
      <c r="T126" s="135" t="str">
        <f t="shared" ca="1" si="7"/>
        <v>華特迪士尼公司/DIS</v>
      </c>
      <c r="U126" s="207" t="str">
        <f ca="1">IFERROR(VLOOKUP(T126,Bond_DES!D:E,2,FALSE),VLOOKUP(S126,bond!AI:AJ,2,FALSE))</f>
        <v>華特迪士尼公司(The Walt Disney Company)是一家跨國多元化家庭娛樂及媒體巨頭，透過收購皮克斯、漫威、盧卡斯影業及21世紀福斯等核心資產，成為擄獲大人與小孩的智慧財產(IP)王國，並利用主題樂園、影院、線性平台及串流平台等媒體模式變現。截至2023年底，旗下包括Disney+在內的串流媒體平台總訂閱數達2億。</v>
      </c>
      <c r="V126" s="136" t="str">
        <f ca="1">IFERROR(VLOOKUP(B126,'1_重設數據'!L:M,2,FALSE),IF(Q126="政府",IF(AD126&gt;16,"(NPI)非專投",IF(AD126&gt;10,"(PI)專投","高資產")),IF(VLOOKUP(B126,bond!B:AN,39,FALSE)="Y","(PI)專投",IF(AD126&gt;=15,"(NPI)非專投",IF(AD126&gt;=10,"(PI)專投","高資產")))))</f>
        <v>(NPI)非專投</v>
      </c>
      <c r="W126" s="136" t="str">
        <f ca="1">VLOOKUP(AD126,'credit rating'!$F$2:$H$22,3,FALSE)</f>
        <v>A</v>
      </c>
      <c r="X126" s="136" t="str">
        <f t="shared" ca="1" si="8"/>
        <v>A2</v>
      </c>
      <c r="Y126" s="136" t="str">
        <f t="shared" ca="1" si="9"/>
        <v>A-</v>
      </c>
      <c r="Z126" s="136" t="str">
        <f t="shared" ca="1" si="10"/>
        <v>A-</v>
      </c>
      <c r="AA126" s="134">
        <f ca="1">IFERROR(VLOOKUP(X126,'credit rating'!A:C,3,FALSE),0)</f>
        <v>16</v>
      </c>
      <c r="AB126" s="134">
        <f ca="1">IFERROR(VLOOKUP(Y126,'credit rating'!B:C,2,FALSE),0)</f>
        <v>15</v>
      </c>
      <c r="AC126" s="136">
        <f ca="1">IFERROR(VLOOKUP(Z126,'credit rating'!B:C,2,FALSE),0)</f>
        <v>15</v>
      </c>
      <c r="AD126" s="136">
        <f t="shared" ca="1" si="11"/>
        <v>16</v>
      </c>
      <c r="AE126" s="249">
        <f ca="1">IFERROR(VLOOKUP(B126,bond!B:U,20,FALSE),"")</f>
        <v>5.0799999999999998E-2</v>
      </c>
      <c r="AF126" s="136" t="str">
        <f ca="1">IF(VLOOKUP(B126,bond!B:AK,36,FALSE)="#N/A Field Not Applicable","",VLOOKUP(B126,bond!B:AK,36,FALSE))</f>
        <v>2050/7/13</v>
      </c>
      <c r="AG126" s="136" t="str">
        <f ca="1">IF(VLOOKUP(B126,bond!B:AL,37,FALSE)="FIXED","固定",IF(VLOOKUP(B126,bond!B:AL,37,FALSE)="FLOATING","浮動",IF(VLOOKUP(B126,bond!B:AL,37,FALSE)="VARIABLE","變動",IF(VLOOKUP(B126,bond!B:AL,37,FALSE)="FLAT TRADING","不含息交易",IF(VLOOKUP(B126,bond!B:AL,37,FALSE)="ZERO COUPON","零息",VLOOKUP(B126,bond!B:AL,37,FALSE))))))</f>
        <v>固定</v>
      </c>
      <c r="AH126" s="136" t="str">
        <f>VLOOKUP(C126,'2_Check_code'!I:J,2,FALSE)</f>
        <v>美元(USD)</v>
      </c>
      <c r="AI126" s="136" t="str">
        <f t="shared" ca="1" si="12"/>
        <v>自由選清單</v>
      </c>
      <c r="AJ126" s="136">
        <f t="shared" ca="1" si="13"/>
        <v>0</v>
      </c>
      <c r="AK126" s="594" t="str">
        <f ca="1">IF(VLOOKUP(B126,bond!B:S,18,FALSE)="是","有",IF(VLOOKUP(B126,bond!B:S,18,FALSE)="NO OFFER","無","需查詢"))</f>
        <v>需查詢</v>
      </c>
      <c r="AL126" s="136" t="str">
        <f>IF(VLOOKUP(A126,bond!F:AR,39,FALSE)="#N/A Field Not Applicable",VLOOKUP(A126,bond!F:AR,38,FALSE),IFERROR(VLOOKUP(A126,'7_發行日例外'!A:B,2,FALSE),VLOOKUP(A126,bond!F:AR,39,FALSE)))</f>
        <v>2020/5/13</v>
      </c>
      <c r="AM126" s="136" t="str">
        <f ca="1">VLOOKUP(B126,bond!B:AK,36,FALSE)</f>
        <v>2050/7/13</v>
      </c>
      <c r="AN126" s="136" t="str">
        <f ca="1">IFERROR(VLOOKUP(B126,'3_是否下架'!A:A,1,FALSE),"")</f>
        <v/>
      </c>
      <c r="AO126" s="136">
        <f ca="1">VLOOKUP(B126,bond!B:J,9,FALSE)</f>
        <v>75.210000000000008</v>
      </c>
      <c r="AP126" s="136">
        <f ca="1">VLOOKUP(B126,bond!B:V,21,FALSE)</f>
        <v>15.1081</v>
      </c>
    </row>
    <row r="127" spans="1:42">
      <c r="A127" s="141" t="str">
        <f>bond!F128</f>
        <v>US31428XBG07</v>
      </c>
      <c r="B127" s="151" t="str">
        <f ca="1">IF($C$1=TRUE,bond!B128,"")</f>
        <v>XG110</v>
      </c>
      <c r="C127" s="95" t="str">
        <f>VLOOKUP(A127,bond!F:G,2,FALSE)</f>
        <v>USD</v>
      </c>
      <c r="D127" s="142" t="str">
        <f ca="1">VLOOKUP(B127,bond!B:C,2,FALSE)</f>
        <v>聯邦快遞美元配息債券 4.55% 2046/4/1</v>
      </c>
      <c r="E127" s="95" t="str">
        <f ca="1">VLOOKUP(B127,bond!B:D,3,FALSE)</f>
        <v>Baa2 / BBB / -</v>
      </c>
      <c r="F127" s="99" t="str">
        <f ca="1">VLOOKUP(B127,bond!B:AB,27,FALSE)</f>
        <v>2046/4/1</v>
      </c>
      <c r="G127" s="90">
        <f ca="1">VLOOKUP(B127,bond!B:E,4,FALSE)</f>
        <v>21.75</v>
      </c>
      <c r="H127" s="202">
        <f ca="1">VLOOKUP(B127,bond!B:Y,24,FALSE)</f>
        <v>4.5499999999999999E-2</v>
      </c>
      <c r="I127" s="95">
        <f ca="1">VLOOKUP(B127,bond!B:Z,25,FALSE)</f>
        <v>2</v>
      </c>
      <c r="J127" s="180">
        <f ca="1">VLOOKUP(B127,bond!B:K,10,FALSE)</f>
        <v>1.1500999999999999</v>
      </c>
      <c r="K127" s="96">
        <f ca="1">VLOOKUP($B127,bond!B:S,14,FALSE)</f>
        <v>88.43</v>
      </c>
      <c r="L127" s="91" t="str">
        <f ca="1">VLOOKUP(B127,bond!B:H,7,FALSE)</f>
        <v>2024/7/2</v>
      </c>
      <c r="M127" s="144">
        <f ca="1">VLOOKUP($B127,bond!$B:$Q,16,FALSE)</f>
        <v>5.57E-2</v>
      </c>
      <c r="N127" s="136">
        <f ca="1">VALUE(LEFT(VLOOKUP(B127,bond!B:R,17,FALSE),SEARCH(" ",VLOOKUP(B127,bond!B:R,17,FALSE),1)))</f>
        <v>10000</v>
      </c>
      <c r="O127" s="136">
        <f ca="1">VALUE(RIGHT(VLOOKUP(B127,bond!B:R,17,FALSE),LEN(VLOOKUP(B127,bond!B:R,17,FALSE))-LEN(N127)-3))</f>
        <v>1000</v>
      </c>
      <c r="P127" s="135" t="str">
        <f ca="1">VLOOKUP($B127,bond!$B:$AG,32,FALSE)</f>
        <v>2024/10/1</v>
      </c>
      <c r="Q127" s="135" t="str">
        <f ca="1">VLOOKUP($B127,bond!$B:$AH,33,FALSE)</f>
        <v>工業</v>
      </c>
      <c r="R127" s="135" t="str">
        <f ca="1">VLOOKUP(B127,bond!B:AA,26,FALSE)</f>
        <v>聯邦快遞公司</v>
      </c>
      <c r="S127" s="135" t="str">
        <f ca="1">VLOOKUP(B127,bond!B:AI,34,FALSE)</f>
        <v>FDX</v>
      </c>
      <c r="T127" s="135" t="str">
        <f t="shared" ca="1" si="7"/>
        <v>聯邦快遞公司/FDX</v>
      </c>
      <c r="U127" s="207" t="str">
        <f ca="1">IFERROR(VLOOKUP(T127,Bond_DES!D:E,2,FALSE),VLOOKUP(S127,bond!AI:AJ,2,FALSE))</f>
        <v>聯邦快遞公司(FedEx Corp.)透過整合全球網絡，遞送包裹及貨物至多個國家及領土，為全球第三、全美第二大的快遞公司。旗下的FDX Express是最大的隔夜快遞服務商及美國航空快遞領域創始公司，其一般包裹運運送FedEx Ground全球市佔率超過30%。此外，公司亦名列2023年《Fortune》全球500強企業第114位。</v>
      </c>
      <c r="V127" s="136" t="str">
        <f ca="1">IFERROR(VLOOKUP(B127,'1_重設數據'!L:M,2,FALSE),IF(Q127="政府",IF(AD127&gt;16,"(NPI)非專投",IF(AD127&gt;10,"(PI)專投","高資產")),IF(VLOOKUP(B127,bond!B:AN,39,FALSE)="Y","(PI)專投",IF(AD127&gt;=15,"(NPI)非專投",IF(AD127&gt;=10,"(PI)專投","高資產")))))</f>
        <v>(PI)專投</v>
      </c>
      <c r="W127" s="136" t="str">
        <f ca="1">VLOOKUP(AD127,'credit rating'!$F$2:$H$22,3,FALSE)</f>
        <v>BBB</v>
      </c>
      <c r="X127" s="136" t="str">
        <f t="shared" ca="1" si="8"/>
        <v>Baa2</v>
      </c>
      <c r="Y127" s="136" t="str">
        <f t="shared" ca="1" si="9"/>
        <v>BBB</v>
      </c>
      <c r="Z127" s="136" t="str">
        <f t="shared" ca="1" si="10"/>
        <v>-</v>
      </c>
      <c r="AA127" s="134">
        <f ca="1">IFERROR(VLOOKUP(X127,'credit rating'!A:C,3,FALSE),0)</f>
        <v>13</v>
      </c>
      <c r="AB127" s="134">
        <f ca="1">IFERROR(VLOOKUP(Y127,'credit rating'!B:C,2,FALSE),0)</f>
        <v>13</v>
      </c>
      <c r="AC127" s="136">
        <f ca="1">IFERROR(VLOOKUP(Z127,'credit rating'!B:C,2,FALSE),0)</f>
        <v>0</v>
      </c>
      <c r="AD127" s="136">
        <f t="shared" ca="1" si="11"/>
        <v>13</v>
      </c>
      <c r="AE127" s="249">
        <f ca="1">IFERROR(VLOOKUP(B127,bond!B:U,20,FALSE),"")</f>
        <v>5.5800000000000002E-2</v>
      </c>
      <c r="AF127" s="136" t="str">
        <f ca="1">IF(VLOOKUP(B127,bond!B:AK,36,FALSE)="#N/A Field Not Applicable","",VLOOKUP(B127,bond!B:AK,36,FALSE))</f>
        <v>2045/10/1</v>
      </c>
      <c r="AG127" s="136" t="str">
        <f ca="1">IF(VLOOKUP(B127,bond!B:AL,37,FALSE)="FIXED","固定",IF(VLOOKUP(B127,bond!B:AL,37,FALSE)="FLOATING","浮動",IF(VLOOKUP(B127,bond!B:AL,37,FALSE)="VARIABLE","變動",IF(VLOOKUP(B127,bond!B:AL,37,FALSE)="FLAT TRADING","不含息交易",IF(VLOOKUP(B127,bond!B:AL,37,FALSE)="ZERO COUPON","零息",VLOOKUP(B127,bond!B:AL,37,FALSE))))))</f>
        <v>固定</v>
      </c>
      <c r="AH127" s="136" t="str">
        <f>VLOOKUP(C127,'2_Check_code'!I:J,2,FALSE)</f>
        <v>美元(USD)</v>
      </c>
      <c r="AI127" s="136" t="str">
        <f t="shared" ca="1" si="12"/>
        <v>自由選清單</v>
      </c>
      <c r="AJ127" s="136">
        <f t="shared" ca="1" si="13"/>
        <v>0</v>
      </c>
      <c r="AK127" s="594" t="str">
        <f ca="1">IF(VLOOKUP(B127,bond!B:S,18,FALSE)="是","有",IF(VLOOKUP(B127,bond!B:S,18,FALSE)="NO OFFER","無","需查詢"))</f>
        <v>有</v>
      </c>
      <c r="AL127" s="136" t="str">
        <f>IF(VLOOKUP(A127,bond!F:AR,39,FALSE)="#N/A Field Not Applicable",VLOOKUP(A127,bond!F:AR,38,FALSE),IFERROR(VLOOKUP(A127,'7_發行日例外'!A:B,2,FALSE),VLOOKUP(A127,bond!F:AR,39,FALSE)))</f>
        <v>2016/3/24</v>
      </c>
      <c r="AM127" s="136" t="str">
        <f ca="1">VLOOKUP(B127,bond!B:AK,36,FALSE)</f>
        <v>2045/10/1</v>
      </c>
      <c r="AN127" s="136" t="str">
        <f ca="1">IFERROR(VLOOKUP(B127,'3_是否下架'!A:A,1,FALSE),"")</f>
        <v/>
      </c>
      <c r="AO127" s="136">
        <f ca="1">VLOOKUP(B127,bond!B:J,9,FALSE)</f>
        <v>84.28</v>
      </c>
      <c r="AP127" s="136">
        <f ca="1">VLOOKUP(B127,bond!B:V,21,FALSE)</f>
        <v>12.776999999999999</v>
      </c>
    </row>
    <row r="128" spans="1:42">
      <c r="A128" s="141" t="str">
        <f>bond!F129</f>
        <v>US00206RKE17</v>
      </c>
      <c r="B128" s="151" t="str">
        <f ca="1">IF($C$1=TRUE,bond!B129,"")</f>
        <v>XG120</v>
      </c>
      <c r="C128" s="95" t="str">
        <f>VLOOKUP(A128,bond!F:G,2,FALSE)</f>
        <v>USD</v>
      </c>
      <c r="D128" s="142" t="str">
        <f ca="1">VLOOKUP(B128,bond!B:C,2,FALSE)</f>
        <v>AT&amp;T公司美元配息債券 3.3% 2052/2/1</v>
      </c>
      <c r="E128" s="95" t="str">
        <f ca="1">VLOOKUP(B128,bond!B:D,3,FALSE)</f>
        <v>Baa2 / BBB / BBB+</v>
      </c>
      <c r="F128" s="99" t="str">
        <f ca="1">VLOOKUP(B128,bond!B:AB,27,FALSE)</f>
        <v>2052/2/1</v>
      </c>
      <c r="G128" s="90">
        <f ca="1">VLOOKUP(B128,bond!B:E,4,FALSE)</f>
        <v>27.58</v>
      </c>
      <c r="H128" s="202">
        <f ca="1">VLOOKUP(B128,bond!B:Y,24,FALSE)</f>
        <v>3.3000000000000002E-2</v>
      </c>
      <c r="I128" s="95">
        <f ca="1">VLOOKUP(B128,bond!B:Z,25,FALSE)</f>
        <v>2</v>
      </c>
      <c r="J128" s="180">
        <f ca="1">VLOOKUP(B128,bond!B:K,10,FALSE)</f>
        <v>1.3842000000000001</v>
      </c>
      <c r="K128" s="96">
        <f ca="1">VLOOKUP($B128,bond!B:S,14,FALSE)</f>
        <v>72.260000000000005</v>
      </c>
      <c r="L128" s="91" t="str">
        <f ca="1">VLOOKUP(B128,bond!B:H,7,FALSE)</f>
        <v>2024/7/2</v>
      </c>
      <c r="M128" s="144">
        <f ca="1">VLOOKUP($B128,bond!$B:$Q,16,FALSE)</f>
        <v>5.33E-2</v>
      </c>
      <c r="N128" s="136">
        <f ca="1">VALUE(LEFT(VLOOKUP(B128,bond!B:R,17,FALSE),SEARCH(" ",VLOOKUP(B128,bond!B:R,17,FALSE),1)))</f>
        <v>10000</v>
      </c>
      <c r="O128" s="136">
        <f ca="1">VALUE(RIGHT(VLOOKUP(B128,bond!B:R,17,FALSE),LEN(VLOOKUP(B128,bond!B:R,17,FALSE))-LEN(N128)-3))</f>
        <v>1000</v>
      </c>
      <c r="P128" s="135" t="str">
        <f ca="1">VLOOKUP($B128,bond!$B:$AG,32,FALSE)</f>
        <v>2024/8/1</v>
      </c>
      <c r="Q128" s="135" t="str">
        <f ca="1">VLOOKUP($B128,bond!$B:$AH,33,FALSE)</f>
        <v>通訊</v>
      </c>
      <c r="R128" s="135" t="str">
        <f ca="1">VLOOKUP(B128,bond!B:AA,26,FALSE)</f>
        <v>AT&amp;T公司</v>
      </c>
      <c r="S128" s="135" t="str">
        <f ca="1">VLOOKUP(B128,bond!B:AI,34,FALSE)</f>
        <v>T</v>
      </c>
      <c r="T128" s="135" t="str">
        <f t="shared" ca="1" si="7"/>
        <v>AT&amp;T公司/T</v>
      </c>
      <c r="U128" s="207" t="str">
        <f ca="1">IFERROR(VLOOKUP(T128,Bond_DES!D:E,2,FALSE),VLOOKUP(S128,bond!AI:AJ,2,FALSE))</f>
        <v>AT&amp;T公司(AT&amp;T Inc.)為美國三大電信巨頭之一，於全球電信品牌價值排名第3位(Brand Finance 2024)、美國電信業營收排名第2位(Fortune 2024)，5G網絡覆蓋美國逾3億人；為致力專注本業發展，已陸續於近年完成分拆全美最大衛星電視服務供應商DirecTV和華納媒體，徹底打造純通訊服務。</v>
      </c>
      <c r="V128" s="136" t="str">
        <f ca="1">IFERROR(VLOOKUP(B128,'1_重設數據'!L:M,2,FALSE),IF(Q128="政府",IF(AD128&gt;16,"(NPI)非專投",IF(AD128&gt;10,"(PI)專投","高資產")),IF(VLOOKUP(B128,bond!B:AN,39,FALSE)="Y","(PI)專投",IF(AD128&gt;=15,"(NPI)非專投",IF(AD128&gt;=10,"(PI)專投","高資產")))))</f>
        <v>(PI)專投</v>
      </c>
      <c r="W128" s="136" t="str">
        <f ca="1">VLOOKUP(AD128,'credit rating'!$F$2:$H$22,3,FALSE)</f>
        <v>BBB+</v>
      </c>
      <c r="X128" s="136" t="str">
        <f t="shared" ca="1" si="8"/>
        <v>Baa2</v>
      </c>
      <c r="Y128" s="136" t="str">
        <f t="shared" ca="1" si="9"/>
        <v>BBB</v>
      </c>
      <c r="Z128" s="136" t="str">
        <f t="shared" ca="1" si="10"/>
        <v>BBB+</v>
      </c>
      <c r="AA128" s="134">
        <f ca="1">IFERROR(VLOOKUP(X128,'credit rating'!A:C,3,FALSE),0)</f>
        <v>13</v>
      </c>
      <c r="AB128" s="134">
        <f ca="1">IFERROR(VLOOKUP(Y128,'credit rating'!B:C,2,FALSE),0)</f>
        <v>13</v>
      </c>
      <c r="AC128" s="136">
        <f ca="1">IFERROR(VLOOKUP(Z128,'credit rating'!B:C,2,FALSE),0)</f>
        <v>14</v>
      </c>
      <c r="AD128" s="136">
        <f t="shared" ca="1" si="11"/>
        <v>14</v>
      </c>
      <c r="AE128" s="249">
        <f ca="1">IFERROR(VLOOKUP(B128,bond!B:U,20,FALSE),"")</f>
        <v>5.3499999999999999E-2</v>
      </c>
      <c r="AF128" s="136" t="str">
        <f ca="1">IF(VLOOKUP(B128,bond!B:AK,36,FALSE)="#N/A Field Not Applicable","",VLOOKUP(B128,bond!B:AK,36,FALSE))</f>
        <v>2051/8/1</v>
      </c>
      <c r="AG128" s="136" t="str">
        <f ca="1">IF(VLOOKUP(B128,bond!B:AL,37,FALSE)="FIXED","固定",IF(VLOOKUP(B128,bond!B:AL,37,FALSE)="FLOATING","浮動",IF(VLOOKUP(B128,bond!B:AL,37,FALSE)="VARIABLE","變動",IF(VLOOKUP(B128,bond!B:AL,37,FALSE)="FLAT TRADING","不含息交易",IF(VLOOKUP(B128,bond!B:AL,37,FALSE)="ZERO COUPON","零息",VLOOKUP(B128,bond!B:AL,37,FALSE))))))</f>
        <v>固定</v>
      </c>
      <c r="AH128" s="136" t="str">
        <f>VLOOKUP(C128,'2_Check_code'!I:J,2,FALSE)</f>
        <v>美元(USD)</v>
      </c>
      <c r="AI128" s="136" t="str">
        <f t="shared" ca="1" si="12"/>
        <v>自由選清單</v>
      </c>
      <c r="AJ128" s="136">
        <f t="shared" ca="1" si="13"/>
        <v>0</v>
      </c>
      <c r="AK128" s="594" t="str">
        <f ca="1">IF(VLOOKUP(B128,bond!B:S,18,FALSE)="是","有",IF(VLOOKUP(B128,bond!B:S,18,FALSE)="NO OFFER","無","需查詢"))</f>
        <v>有</v>
      </c>
      <c r="AL128" s="136" t="str">
        <f>IF(VLOOKUP(A128,bond!F:AR,39,FALSE)="#N/A Field Not Applicable",VLOOKUP(A128,bond!F:AR,38,FALSE),IFERROR(VLOOKUP(A128,'7_發行日例外'!A:B,2,FALSE),VLOOKUP(A128,bond!F:AR,39,FALSE)))</f>
        <v>2020/8/4</v>
      </c>
      <c r="AM128" s="136" t="str">
        <f ca="1">VLOOKUP(B128,bond!B:AK,36,FALSE)</f>
        <v>2051/8/1</v>
      </c>
      <c r="AN128" s="136" t="str">
        <f ca="1">IFERROR(VLOOKUP(B128,'3_是否下架'!A:A,1,FALSE),"")</f>
        <v/>
      </c>
      <c r="AO128" s="136">
        <f ca="1">VLOOKUP(B128,bond!B:J,9,FALSE)</f>
        <v>67.38000000000001</v>
      </c>
      <c r="AP128" s="136">
        <f ca="1">VLOOKUP(B128,bond!B:V,21,FALSE)</f>
        <v>15.3986</v>
      </c>
    </row>
    <row r="129" spans="1:42">
      <c r="A129" s="141" t="str">
        <f>bond!F130</f>
        <v>US88579YBD22</v>
      </c>
      <c r="B129" s="151" t="str">
        <f ca="1">IF($C$1=TRUE,bond!B130,"")</f>
        <v>XG130</v>
      </c>
      <c r="C129" s="95" t="str">
        <f>VLOOKUP(A129,bond!F:G,2,FALSE)</f>
        <v>USD</v>
      </c>
      <c r="D129" s="142" t="str">
        <f ca="1">VLOOKUP(B129,bond!B:C,2,FALSE)</f>
        <v>3M公司美元配息債券 4% 2048/9/14</v>
      </c>
      <c r="E129" s="95" t="str">
        <f ca="1">VLOOKUP(B129,bond!B:D,3,FALSE)</f>
        <v>A3 / BBB+ / A-</v>
      </c>
      <c r="F129" s="99" t="str">
        <f ca="1">VLOOKUP(B129,bond!B:AB,27,FALSE)</f>
        <v>2048/9/14</v>
      </c>
      <c r="G129" s="90">
        <f ca="1">VLOOKUP(B129,bond!B:E,4,FALSE)</f>
        <v>24.2</v>
      </c>
      <c r="H129" s="202">
        <f ca="1">VLOOKUP(B129,bond!B:Y,24,FALSE)</f>
        <v>0.04</v>
      </c>
      <c r="I129" s="95">
        <f ca="1">VLOOKUP(B129,bond!B:Z,25,FALSE)</f>
        <v>2</v>
      </c>
      <c r="J129" s="180">
        <f ca="1">VLOOKUP(B129,bond!B:K,10,FALSE)</f>
        <v>1.2</v>
      </c>
      <c r="K129" s="96">
        <f ca="1">VLOOKUP($B129,bond!B:S,14,FALSE)</f>
        <v>85.07</v>
      </c>
      <c r="L129" s="91" t="str">
        <f ca="1">VLOOKUP(B129,bond!B:H,7,FALSE)</f>
        <v>2024/7/2</v>
      </c>
      <c r="M129" s="144">
        <f ca="1">VLOOKUP($B129,bond!$B:$Q,16,FALSE)</f>
        <v>5.1799999999999999E-2</v>
      </c>
      <c r="N129" s="136">
        <f ca="1">VALUE(LEFT(VLOOKUP(B129,bond!B:R,17,FALSE),SEARCH(" ",VLOOKUP(B129,bond!B:R,17,FALSE),1)))</f>
        <v>10000</v>
      </c>
      <c r="O129" s="136">
        <f ca="1">VALUE(RIGHT(VLOOKUP(B129,bond!B:R,17,FALSE),LEN(VLOOKUP(B129,bond!B:R,17,FALSE))-LEN(N129)-3))</f>
        <v>1000</v>
      </c>
      <c r="P129" s="135" t="str">
        <f ca="1">VLOOKUP($B129,bond!$B:$AG,32,FALSE)</f>
        <v>2024/9/14</v>
      </c>
      <c r="Q129" s="135" t="str">
        <f ca="1">VLOOKUP($B129,bond!$B:$AH,33,FALSE)</f>
        <v>工業</v>
      </c>
      <c r="R129" s="135" t="str">
        <f ca="1">VLOOKUP(B129,bond!B:AA,26,FALSE)</f>
        <v>3M</v>
      </c>
      <c r="S129" s="135" t="str">
        <f ca="1">VLOOKUP(B129,bond!B:AI,34,FALSE)</f>
        <v>MMM</v>
      </c>
      <c r="T129" s="135" t="str">
        <f t="shared" ca="1" si="7"/>
        <v>3M/MMM</v>
      </c>
      <c r="U129" s="207" t="str">
        <f ca="1">IFERROR(VLOOKUP(T129,Bond_DES!D:E,2,FALSE),VLOOKUP(S129,bond!AI:AJ,2,FALSE))</f>
        <v>3M公司(3M Company)透過安全與工業產品、運輸及電子產品、醫療產品及消費品等四大事業群於全球開發、製造並銷售各類產品，2024年4月完成醫療保健業務的分拆，名列2024年《Fortune》美國500強企業中化學品產業第2位，受《Interbrand》評為2023年最佳全球品牌。</v>
      </c>
      <c r="V129" s="136" t="str">
        <f ca="1">IFERROR(VLOOKUP(B129,'1_重設數據'!L:M,2,FALSE),IF(Q129="政府",IF(AD129&gt;16,"(NPI)非專投",IF(AD129&gt;10,"(PI)專投","高資產")),IF(VLOOKUP(B129,bond!B:AN,39,FALSE)="Y","(PI)專投",IF(AD129&gt;=15,"(NPI)非專投",IF(AD129&gt;=10,"(PI)專投","高資產")))))</f>
        <v>(NPI)非專投</v>
      </c>
      <c r="W129" s="136" t="str">
        <f ca="1">VLOOKUP(AD129,'credit rating'!$F$2:$H$22,3,FALSE)</f>
        <v>A-</v>
      </c>
      <c r="X129" s="136" t="str">
        <f t="shared" ca="1" si="8"/>
        <v>A3</v>
      </c>
      <c r="Y129" s="136" t="str">
        <f t="shared" ca="1" si="9"/>
        <v>BBB+</v>
      </c>
      <c r="Z129" s="136" t="str">
        <f t="shared" ca="1" si="10"/>
        <v>A-</v>
      </c>
      <c r="AA129" s="134">
        <f ca="1">IFERROR(VLOOKUP(X129,'credit rating'!A:C,3,FALSE),0)</f>
        <v>15</v>
      </c>
      <c r="AB129" s="134">
        <f ca="1">IFERROR(VLOOKUP(Y129,'credit rating'!B:C,2,FALSE),0)</f>
        <v>14</v>
      </c>
      <c r="AC129" s="136">
        <f ca="1">IFERROR(VLOOKUP(Z129,'credit rating'!B:C,2,FALSE),0)</f>
        <v>15</v>
      </c>
      <c r="AD129" s="136">
        <f t="shared" ca="1" si="11"/>
        <v>15</v>
      </c>
      <c r="AE129" s="249">
        <f ca="1">IFERROR(VLOOKUP(B129,bond!B:U,20,FALSE),"")</f>
        <v>5.1900000000000002E-2</v>
      </c>
      <c r="AF129" s="136" t="str">
        <f ca="1">IF(VLOOKUP(B129,bond!B:AK,36,FALSE)="#N/A Field Not Applicable","",VLOOKUP(B129,bond!B:AK,36,FALSE))</f>
        <v>2048/3/14</v>
      </c>
      <c r="AG129" s="136" t="str">
        <f ca="1">IF(VLOOKUP(B129,bond!B:AL,37,FALSE)="FIXED","固定",IF(VLOOKUP(B129,bond!B:AL,37,FALSE)="FLOATING","浮動",IF(VLOOKUP(B129,bond!B:AL,37,FALSE)="VARIABLE","變動",IF(VLOOKUP(B129,bond!B:AL,37,FALSE)="FLAT TRADING","不含息交易",IF(VLOOKUP(B129,bond!B:AL,37,FALSE)="ZERO COUPON","零息",VLOOKUP(B129,bond!B:AL,37,FALSE))))))</f>
        <v>固定</v>
      </c>
      <c r="AH129" s="136" t="str">
        <f>VLOOKUP(C129,'2_Check_code'!I:J,2,FALSE)</f>
        <v>美元(USD)</v>
      </c>
      <c r="AI129" s="136" t="str">
        <f t="shared" ca="1" si="12"/>
        <v>自由選清單</v>
      </c>
      <c r="AJ129" s="136">
        <f t="shared" ca="1" si="13"/>
        <v>0</v>
      </c>
      <c r="AK129" s="594" t="str">
        <f ca="1">IF(VLOOKUP(B129,bond!B:S,18,FALSE)="是","有",IF(VLOOKUP(B129,bond!B:S,18,FALSE)="NO OFFER","無","需查詢"))</f>
        <v>有</v>
      </c>
      <c r="AL129" s="136" t="str">
        <f>IF(VLOOKUP(A129,bond!F:AR,39,FALSE)="#N/A Field Not Applicable",VLOOKUP(A129,bond!F:AR,38,FALSE),IFERROR(VLOOKUP(A129,'7_發行日例外'!A:B,2,FALSE),VLOOKUP(A129,bond!F:AR,39,FALSE)))</f>
        <v>2018/9/14</v>
      </c>
      <c r="AM129" s="136" t="str">
        <f ca="1">VLOOKUP(B129,bond!B:AK,36,FALSE)</f>
        <v>2048/3/14</v>
      </c>
      <c r="AN129" s="136" t="str">
        <f ca="1">IFERROR(VLOOKUP(B129,'3_是否下架'!A:A,1,FALSE),"")</f>
        <v/>
      </c>
      <c r="AO129" s="136">
        <f ca="1">VLOOKUP(B129,bond!B:J,9,FALSE)</f>
        <v>80.37</v>
      </c>
      <c r="AP129" s="136">
        <f ca="1">VLOOKUP(B129,bond!B:V,21,FALSE)</f>
        <v>14.1205</v>
      </c>
    </row>
    <row r="130" spans="1:42">
      <c r="A130" s="141" t="str">
        <f>bond!F131</f>
        <v>US25468PDN33</v>
      </c>
      <c r="B130" s="151" t="str">
        <f ca="1">IF($C$1=TRUE,bond!B131,"")</f>
        <v>XG140</v>
      </c>
      <c r="C130" s="95" t="str">
        <f>VLOOKUP(A130,bond!F:G,2,FALSE)</f>
        <v>USD</v>
      </c>
      <c r="D130" s="142" t="str">
        <f ca="1">VLOOKUP(B130,bond!B:C,2,FALSE)</f>
        <v>TWDC企業18公司美元配息債券 3% 2046/7/30</v>
      </c>
      <c r="E130" s="95" t="str">
        <f ca="1">VLOOKUP(B130,bond!B:D,3,FALSE)</f>
        <v>A2 / A- / A-</v>
      </c>
      <c r="F130" s="99" t="str">
        <f ca="1">VLOOKUP(B130,bond!B:AB,27,FALSE)</f>
        <v>2046/7/30</v>
      </c>
      <c r="G130" s="90">
        <f ca="1">VLOOKUP(B130,bond!B:E,4,FALSE)</f>
        <v>22.08</v>
      </c>
      <c r="H130" s="202">
        <f ca="1">VLOOKUP(B130,bond!B:Y,24,FALSE)</f>
        <v>0.03</v>
      </c>
      <c r="I130" s="95">
        <f ca="1">VLOOKUP(B130,bond!B:Z,25,FALSE)</f>
        <v>2</v>
      </c>
      <c r="J130" s="180">
        <f ca="1">VLOOKUP(B130,bond!B:K,10,FALSE)</f>
        <v>1.2666999999999999</v>
      </c>
      <c r="K130" s="96">
        <f ca="1">VLOOKUP($B130,bond!B:S,14,FALSE)</f>
        <v>73.14</v>
      </c>
      <c r="L130" s="91" t="str">
        <f ca="1">VLOOKUP(B130,bond!B:H,7,FALSE)</f>
        <v>2024/7/2</v>
      </c>
      <c r="M130" s="144">
        <f ca="1">VLOOKUP($B130,bond!$B:$Q,16,FALSE)</f>
        <v>5.1499999999999997E-2</v>
      </c>
      <c r="N130" s="136">
        <f ca="1">VALUE(LEFT(VLOOKUP(B130,bond!B:R,17,FALSE),SEARCH(" ",VLOOKUP(B130,bond!B:R,17,FALSE),1)))</f>
        <v>10000</v>
      </c>
      <c r="O130" s="136">
        <f ca="1">VALUE(RIGHT(VLOOKUP(B130,bond!B:R,17,FALSE),LEN(VLOOKUP(B130,bond!B:R,17,FALSE))-LEN(N130)-3))</f>
        <v>1000</v>
      </c>
      <c r="P130" s="135" t="str">
        <f ca="1">VLOOKUP($B130,bond!$B:$AG,32,FALSE)</f>
        <v>2024/7/30</v>
      </c>
      <c r="Q130" s="135" t="str">
        <f ca="1">VLOOKUP($B130,bond!$B:$AH,33,FALSE)</f>
        <v>通訊</v>
      </c>
      <c r="R130" s="135" t="str">
        <f ca="1">VLOOKUP(B130,bond!B:AA,26,FALSE)</f>
        <v>TWDC企業18公司</v>
      </c>
      <c r="S130" s="135" t="str">
        <f ca="1">VLOOKUP(B130,bond!B:AI,34,FALSE)</f>
        <v>DIS</v>
      </c>
      <c r="T130" s="135" t="str">
        <f t="shared" ca="1" si="7"/>
        <v>TWDC企業18公司/DIS</v>
      </c>
      <c r="U130" s="207" t="str">
        <f ca="1">IFERROR(VLOOKUP(T130,Bond_DES!D:E,2,FALSE),VLOOKUP(S130,bond!AI:AJ,2,FALSE))</f>
        <v>TWDC企業18公司(TWDC Enterprises 18 Corp.)華特迪士尼公司的全資子公司。保證機構華特迪士尼是全球最大的媒體集團，透過收購皮克斯、漫威、盧卡斯影業及21世紀福斯核心資產，打造智慧財產(IP)王國，並利用主題樂園、影院及串流平台等媒體模式變現。截至2023年底，旗下包括Disney+在內的串流媒體平台總訂閱數達2億。</v>
      </c>
      <c r="V130" s="136" t="str">
        <f ca="1">IFERROR(VLOOKUP(B130,'1_重設數據'!L:M,2,FALSE),IF(Q130="政府",IF(AD130&gt;16,"(NPI)非專投",IF(AD130&gt;10,"(PI)專投","高資產")),IF(VLOOKUP(B130,bond!B:AN,39,FALSE)="Y","(PI)專投",IF(AD130&gt;=15,"(NPI)非專投",IF(AD130&gt;=10,"(PI)專投","高資產")))))</f>
        <v>(NPI)非專投</v>
      </c>
      <c r="W130" s="136" t="str">
        <f ca="1">VLOOKUP(AD130,'credit rating'!$F$2:$H$22,3,FALSE)</f>
        <v>A</v>
      </c>
      <c r="X130" s="136" t="str">
        <f t="shared" ca="1" si="8"/>
        <v>A2</v>
      </c>
      <c r="Y130" s="136" t="str">
        <f t="shared" ca="1" si="9"/>
        <v>A-</v>
      </c>
      <c r="Z130" s="136" t="str">
        <f t="shared" ca="1" si="10"/>
        <v>A-</v>
      </c>
      <c r="AA130" s="134">
        <f ca="1">IFERROR(VLOOKUP(X130,'credit rating'!A:C,3,FALSE),0)</f>
        <v>16</v>
      </c>
      <c r="AB130" s="134">
        <f ca="1">IFERROR(VLOOKUP(Y130,'credit rating'!B:C,2,FALSE),0)</f>
        <v>15</v>
      </c>
      <c r="AC130" s="136">
        <f ca="1">IFERROR(VLOOKUP(Z130,'credit rating'!B:C,2,FALSE),0)</f>
        <v>15</v>
      </c>
      <c r="AD130" s="136">
        <f t="shared" ca="1" si="11"/>
        <v>16</v>
      </c>
      <c r="AE130" s="249" t="str">
        <f ca="1">IFERROR(VLOOKUP(B130,bond!B:U,20,FALSE),"")</f>
        <v xml:space="preserve"> </v>
      </c>
      <c r="AF130" s="136" t="str">
        <f ca="1">IF(VLOOKUP(B130,bond!B:AK,36,FALSE)="#N/A Field Not Applicable","",VLOOKUP(B130,bond!B:AK,36,FALSE))</f>
        <v/>
      </c>
      <c r="AG130" s="136" t="str">
        <f ca="1">IF(VLOOKUP(B130,bond!B:AL,37,FALSE)="FIXED","固定",IF(VLOOKUP(B130,bond!B:AL,37,FALSE)="FLOATING","浮動",IF(VLOOKUP(B130,bond!B:AL,37,FALSE)="VARIABLE","變動",IF(VLOOKUP(B130,bond!B:AL,37,FALSE)="FLAT TRADING","不含息交易",IF(VLOOKUP(B130,bond!B:AL,37,FALSE)="ZERO COUPON","零息",VLOOKUP(B130,bond!B:AL,37,FALSE))))))</f>
        <v>固定</v>
      </c>
      <c r="AH130" s="136" t="str">
        <f>VLOOKUP(C130,'2_Check_code'!I:J,2,FALSE)</f>
        <v>美元(USD)</v>
      </c>
      <c r="AI130" s="136" t="str">
        <f t="shared" ca="1" si="12"/>
        <v>自由選清單</v>
      </c>
      <c r="AJ130" s="136">
        <f t="shared" ca="1" si="13"/>
        <v>0</v>
      </c>
      <c r="AK130" s="594" t="str">
        <f ca="1">IF(VLOOKUP(B130,bond!B:S,18,FALSE)="是","有",IF(VLOOKUP(B130,bond!B:S,18,FALSE)="NO OFFER","無","需查詢"))</f>
        <v>有</v>
      </c>
      <c r="AL130" s="136" t="str">
        <f>IF(VLOOKUP(A130,bond!F:AR,39,FALSE)="#N/A Field Not Applicable",VLOOKUP(A130,bond!F:AR,38,FALSE),IFERROR(VLOOKUP(A130,'7_發行日例外'!A:B,2,FALSE),VLOOKUP(A130,bond!F:AR,39,FALSE)))</f>
        <v>2016/7/12</v>
      </c>
      <c r="AM130" s="136" t="str">
        <f ca="1">VLOOKUP(B130,bond!B:AK,36,FALSE)</f>
        <v>#N/A Field Not Applicable</v>
      </c>
      <c r="AN130" s="136" t="str">
        <f ca="1">IFERROR(VLOOKUP(B130,'3_是否下架'!A:A,1,FALSE),"")</f>
        <v/>
      </c>
      <c r="AO130" s="136">
        <f ca="1">VLOOKUP(B130,bond!B:J,9,FALSE)</f>
        <v>68.87</v>
      </c>
      <c r="AP130" s="136">
        <f ca="1">VLOOKUP(B130,bond!B:V,21,FALSE)</f>
        <v>14.3055</v>
      </c>
    </row>
    <row r="131" spans="1:42">
      <c r="A131" s="141" t="str">
        <f>bond!F132</f>
        <v>US10373QBG47</v>
      </c>
      <c r="B131" s="151" t="str">
        <f ca="1">IF($C$1=TRUE,bond!B132,"")</f>
        <v>XG150</v>
      </c>
      <c r="C131" s="95" t="str">
        <f>VLOOKUP(A131,bond!F:G,2,FALSE)</f>
        <v>USD</v>
      </c>
      <c r="D131" s="142" t="str">
        <f ca="1">VLOOKUP(B131,bond!B:C,2,FALSE)</f>
        <v>BP資本市場美國公司美元配息債券 3% 2050/2/24</v>
      </c>
      <c r="E131" s="95" t="str">
        <f ca="1">VLOOKUP(B131,bond!B:D,3,FALSE)</f>
        <v>A1 / A- / A+</v>
      </c>
      <c r="F131" s="99" t="str">
        <f ca="1">VLOOKUP(B131,bond!B:AB,27,FALSE)</f>
        <v>2050/2/24</v>
      </c>
      <c r="G131" s="90">
        <f ca="1">VLOOKUP(B131,bond!B:E,4,FALSE)</f>
        <v>25.65</v>
      </c>
      <c r="H131" s="202">
        <f ca="1">VLOOKUP(B131,bond!B:Y,24,FALSE)</f>
        <v>0.03</v>
      </c>
      <c r="I131" s="95">
        <f ca="1">VLOOKUP(B131,bond!B:Z,25,FALSE)</f>
        <v>2</v>
      </c>
      <c r="J131" s="180">
        <f ca="1">VLOOKUP(B131,bond!B:K,10,FALSE)</f>
        <v>1.0667</v>
      </c>
      <c r="K131" s="96">
        <f ca="1">VLOOKUP($B131,bond!B:S,14,FALSE)</f>
        <v>70.260000000000005</v>
      </c>
      <c r="L131" s="91" t="str">
        <f ca="1">VLOOKUP(B131,bond!B:H,7,FALSE)</f>
        <v>2024/7/2</v>
      </c>
      <c r="M131" s="144">
        <f ca="1">VLOOKUP($B131,bond!$B:$Q,16,FALSE)</f>
        <v>5.1900000000000002E-2</v>
      </c>
      <c r="N131" s="136">
        <f ca="1">VALUE(LEFT(VLOOKUP(B131,bond!B:R,17,FALSE),SEARCH(" ",VLOOKUP(B131,bond!B:R,17,FALSE),1)))</f>
        <v>10000</v>
      </c>
      <c r="O131" s="136">
        <f ca="1">VALUE(RIGHT(VLOOKUP(B131,bond!B:R,17,FALSE),LEN(VLOOKUP(B131,bond!B:R,17,FALSE))-LEN(N131)-3))</f>
        <v>1000</v>
      </c>
      <c r="P131" s="135" t="str">
        <f ca="1">VLOOKUP($B131,bond!$B:$AG,32,FALSE)</f>
        <v>2024/8/24</v>
      </c>
      <c r="Q131" s="135" t="str">
        <f ca="1">VLOOKUP($B131,bond!$B:$AH,33,FALSE)</f>
        <v>能源</v>
      </c>
      <c r="R131" s="135" t="str">
        <f ca="1">VLOOKUP(B131,bond!B:AA,26,FALSE)</f>
        <v>BP資本市場美國公司</v>
      </c>
      <c r="S131" s="135" t="str">
        <f ca="1">VLOOKUP(B131,bond!B:AI,34,FALSE)</f>
        <v>BPLN</v>
      </c>
      <c r="T131" s="135" t="str">
        <f t="shared" ca="1" si="7"/>
        <v>BP資本市場美國公司/BPLN</v>
      </c>
      <c r="U131" s="207" t="str">
        <f ca="1">IFERROR(VLOOKUP(T131,Bond_DES!D:E,2,FALSE),VLOOKUP(S131,bond!AI:AJ,2,FALSE))</f>
        <v>BP資本市場美國公司(BP Capital Markets America Inc.)為一家特殊目的機構。本券由BP公司(BP PLC)提供保證，BP為全球五大的私營石油公司之一，探勘及生產原油和天然氣，精煉、行銷及供應石油產品、產出太陽能，並製造與行銷化學品。2023年在《Fortune》全球500大企業中排名第22位，於「石油煉製」行業中營收排名第6。</v>
      </c>
      <c r="V131" s="136" t="str">
        <f ca="1">IFERROR(VLOOKUP(B131,'1_重設數據'!L:M,2,FALSE),IF(Q131="政府",IF(AD131&gt;16,"(NPI)非專投",IF(AD131&gt;10,"(PI)專投","高資產")),IF(VLOOKUP(B131,bond!B:AN,39,FALSE)="Y","(PI)專投",IF(AD131&gt;=15,"(NPI)非專投",IF(AD131&gt;=10,"(PI)專投","高資產")))))</f>
        <v>(NPI)非專投</v>
      </c>
      <c r="W131" s="136" t="str">
        <f ca="1">VLOOKUP(AD131,'credit rating'!$F$2:$H$22,3,FALSE)</f>
        <v>A+</v>
      </c>
      <c r="X131" s="136" t="str">
        <f t="shared" ca="1" si="8"/>
        <v>A1</v>
      </c>
      <c r="Y131" s="136" t="str">
        <f t="shared" ca="1" si="9"/>
        <v>A-</v>
      </c>
      <c r="Z131" s="136" t="str">
        <f t="shared" ca="1" si="10"/>
        <v>A+</v>
      </c>
      <c r="AA131" s="134">
        <f ca="1">IFERROR(VLOOKUP(X131,'credit rating'!A:C,3,FALSE),0)</f>
        <v>17</v>
      </c>
      <c r="AB131" s="134">
        <f ca="1">IFERROR(VLOOKUP(Y131,'credit rating'!B:C,2,FALSE),0)</f>
        <v>15</v>
      </c>
      <c r="AC131" s="136">
        <f ca="1">IFERROR(VLOOKUP(Z131,'credit rating'!B:C,2,FALSE),0)</f>
        <v>17</v>
      </c>
      <c r="AD131" s="136">
        <f t="shared" ca="1" si="11"/>
        <v>17</v>
      </c>
      <c r="AE131" s="249">
        <f ca="1">IFERROR(VLOOKUP(B131,bond!B:U,20,FALSE),"")</f>
        <v>5.21E-2</v>
      </c>
      <c r="AF131" s="136" t="str">
        <f ca="1">IF(VLOOKUP(B131,bond!B:AK,36,FALSE)="#N/A Field Not Applicable","",VLOOKUP(B131,bond!B:AK,36,FALSE))</f>
        <v>2049/8/24</v>
      </c>
      <c r="AG131" s="136" t="str">
        <f ca="1">IF(VLOOKUP(B131,bond!B:AL,37,FALSE)="FIXED","固定",IF(VLOOKUP(B131,bond!B:AL,37,FALSE)="FLOATING","浮動",IF(VLOOKUP(B131,bond!B:AL,37,FALSE)="VARIABLE","變動",IF(VLOOKUP(B131,bond!B:AL,37,FALSE)="FLAT TRADING","不含息交易",IF(VLOOKUP(B131,bond!B:AL,37,FALSE)="ZERO COUPON","零息",VLOOKUP(B131,bond!B:AL,37,FALSE))))))</f>
        <v>固定</v>
      </c>
      <c r="AH131" s="136" t="str">
        <f>VLOOKUP(C131,'2_Check_code'!I:J,2,FALSE)</f>
        <v>美元(USD)</v>
      </c>
      <c r="AI131" s="136" t="str">
        <f t="shared" ca="1" si="12"/>
        <v>自由選清單</v>
      </c>
      <c r="AJ131" s="136">
        <f t="shared" ca="1" si="13"/>
        <v>0</v>
      </c>
      <c r="AK131" s="594" t="str">
        <f ca="1">IF(VLOOKUP(B131,bond!B:S,18,FALSE)="是","有",IF(VLOOKUP(B131,bond!B:S,18,FALSE)="NO OFFER","無","需查詢"))</f>
        <v>有</v>
      </c>
      <c r="AL131" s="136" t="str">
        <f>IF(VLOOKUP(A131,bond!F:AR,39,FALSE)="#N/A Field Not Applicable",VLOOKUP(A131,bond!F:AR,38,FALSE),IFERROR(VLOOKUP(A131,'7_發行日例外'!A:B,2,FALSE),VLOOKUP(A131,bond!F:AR,39,FALSE)))</f>
        <v>2020/2/24</v>
      </c>
      <c r="AM131" s="136" t="str">
        <f ca="1">VLOOKUP(B131,bond!B:AK,36,FALSE)</f>
        <v>2049/8/24</v>
      </c>
      <c r="AN131" s="136" t="str">
        <f ca="1">IFERROR(VLOOKUP(B131,'3_是否下架'!A:A,1,FALSE),"")</f>
        <v/>
      </c>
      <c r="AO131" s="136">
        <f ca="1">VLOOKUP(B131,bond!B:J,9,FALSE)</f>
        <v>65.69</v>
      </c>
      <c r="AP131" s="136">
        <f ca="1">VLOOKUP(B131,bond!B:V,21,FALSE)</f>
        <v>15.459300000000001</v>
      </c>
    </row>
    <row r="132" spans="1:42">
      <c r="A132" s="141" t="str">
        <f>bond!F133</f>
        <v>US68389XBX21</v>
      </c>
      <c r="B132" s="151" t="str">
        <f ca="1">IF($C$1=TRUE,bond!B133,"")</f>
        <v>XG160</v>
      </c>
      <c r="C132" s="95" t="str">
        <f>VLOOKUP(A132,bond!F:G,2,FALSE)</f>
        <v>USD</v>
      </c>
      <c r="D132" s="142" t="str">
        <f ca="1">VLOOKUP(B132,bond!B:C,2,FALSE)</f>
        <v>甲骨文公司美元配息債券  3.6% 2050/4/1</v>
      </c>
      <c r="E132" s="95" t="str">
        <f ca="1">VLOOKUP(B132,bond!B:D,3,FALSE)</f>
        <v>Baa2 / BBB / BBB</v>
      </c>
      <c r="F132" s="99" t="str">
        <f ca="1">VLOOKUP(B132,bond!B:AB,27,FALSE)</f>
        <v>2050/4/1</v>
      </c>
      <c r="G132" s="90">
        <f ca="1">VLOOKUP(B132,bond!B:E,4,FALSE)</f>
        <v>25.75</v>
      </c>
      <c r="H132" s="202">
        <f ca="1">VLOOKUP(B132,bond!B:Y,24,FALSE)</f>
        <v>3.6000000000000004E-2</v>
      </c>
      <c r="I132" s="95">
        <f ca="1">VLOOKUP(B132,bond!B:Z,25,FALSE)</f>
        <v>2</v>
      </c>
      <c r="J132" s="180">
        <f ca="1">VLOOKUP(B132,bond!B:K,10,FALSE)</f>
        <v>0.91</v>
      </c>
      <c r="K132" s="96">
        <f ca="1">VLOOKUP($B132,bond!B:S,14,FALSE)</f>
        <v>74.88</v>
      </c>
      <c r="L132" s="91" t="str">
        <f ca="1">VLOOKUP(B132,bond!B:H,7,FALSE)</f>
        <v>2024/7/2</v>
      </c>
      <c r="M132" s="144">
        <f ca="1">VLOOKUP($B132,bond!$B:$Q,16,FALSE)</f>
        <v>5.5E-2</v>
      </c>
      <c r="N132" s="136">
        <f ca="1">VALUE(LEFT(VLOOKUP(B132,bond!B:R,17,FALSE),SEARCH(" ",VLOOKUP(B132,bond!B:R,17,FALSE),1)))</f>
        <v>10000</v>
      </c>
      <c r="O132" s="136">
        <f ca="1">VALUE(RIGHT(VLOOKUP(B132,bond!B:R,17,FALSE),LEN(VLOOKUP(B132,bond!B:R,17,FALSE))-LEN(N132)-3))</f>
        <v>1000</v>
      </c>
      <c r="P132" s="135" t="str">
        <f ca="1">VLOOKUP($B132,bond!$B:$AG,32,FALSE)</f>
        <v>2024/10/1</v>
      </c>
      <c r="Q132" s="135" t="str">
        <f ca="1">VLOOKUP($B132,bond!$B:$AH,33,FALSE)</f>
        <v>科技</v>
      </c>
      <c r="R132" s="135" t="str">
        <f ca="1">VLOOKUP(B132,bond!B:AA,26,FALSE)</f>
        <v>甲骨文公司</v>
      </c>
      <c r="S132" s="135" t="str">
        <f ca="1">VLOOKUP(B132,bond!B:AI,34,FALSE)</f>
        <v>ORCL</v>
      </c>
      <c r="T132" s="135" t="str">
        <f t="shared" ref="T132:T195" ca="1" si="14">CONCATENATE(R132,"/",S132)</f>
        <v>甲骨文公司/ORCL</v>
      </c>
      <c r="U132" s="207" t="str">
        <f ca="1">IFERROR(VLOOKUP(T132,Bond_DES!D:E,2,FALSE),VLOOKUP(S132,bond!AI:AJ,2,FALSE))</f>
        <v>甲骨文公司(Oracle)為全球最大資料庫軟體公司及最大的企業級軟體公司，僅次於微軟的全球第二大純軟體公司，近年積極切入雲端服務，結合過去在關聯式資料庫和企業用應用軟體(ERP、CRM等)之競爭優勢，搶占雲端運算服務商機，且名列2024年《Brand Finance》全球網路與軟體公司品牌價值第2位。</v>
      </c>
      <c r="V132" s="136" t="str">
        <f ca="1">IFERROR(VLOOKUP(B132,'1_重設數據'!L:M,2,FALSE),IF(Q132="政府",IF(AD132&gt;16,"(NPI)非專投",IF(AD132&gt;10,"(PI)專投","高資產")),IF(VLOOKUP(B132,bond!B:AN,39,FALSE)="Y","(PI)專投",IF(AD132&gt;=15,"(NPI)非專投",IF(AD132&gt;=10,"(PI)專投","高資產")))))</f>
        <v>(PI)專投</v>
      </c>
      <c r="W132" s="136" t="str">
        <f ca="1">VLOOKUP(AD132,'credit rating'!$F$2:$H$22,3,FALSE)</f>
        <v>BBB</v>
      </c>
      <c r="X132" s="136" t="str">
        <f t="shared" ref="X132:X195" ca="1" si="15">LEFT(E132,SEARCH(" /",E132)-1)</f>
        <v>Baa2</v>
      </c>
      <c r="Y132" s="136" t="str">
        <f t="shared" ref="Y132:Y195" ca="1" si="16">MID(E132,LEN(X132)+4,LEN(E132)-LEN(X132)-LEN(Z132)-6)</f>
        <v>BBB</v>
      </c>
      <c r="Z132" s="136" t="str">
        <f t="shared" ref="Z132:Z195" ca="1" si="17">TRIM(RIGHT(SUBSTITUTE(E132,"/ ",REPT(" ",99)),99))</f>
        <v>BBB</v>
      </c>
      <c r="AA132" s="134">
        <f ca="1">IFERROR(VLOOKUP(X132,'credit rating'!A:C,3,FALSE),0)</f>
        <v>13</v>
      </c>
      <c r="AB132" s="134">
        <f ca="1">IFERROR(VLOOKUP(Y132,'credit rating'!B:C,2,FALSE),0)</f>
        <v>13</v>
      </c>
      <c r="AC132" s="136">
        <f ca="1">IFERROR(VLOOKUP(Z132,'credit rating'!B:C,2,FALSE),0)</f>
        <v>13</v>
      </c>
      <c r="AD132" s="136">
        <f t="shared" ref="AD132:AD195" ca="1" si="18">MAX(AA132:AC132)</f>
        <v>13</v>
      </c>
      <c r="AE132" s="249">
        <f ca="1">IFERROR(VLOOKUP(B132,bond!B:U,20,FALSE),"")</f>
        <v>5.5199999999999999E-2</v>
      </c>
      <c r="AF132" s="136" t="str">
        <f ca="1">IF(VLOOKUP(B132,bond!B:AK,36,FALSE)="#N/A Field Not Applicable","",VLOOKUP(B132,bond!B:AK,36,FALSE))</f>
        <v>2049/10/1</v>
      </c>
      <c r="AG132" s="136" t="str">
        <f ca="1">IF(VLOOKUP(B132,bond!B:AL,37,FALSE)="FIXED","固定",IF(VLOOKUP(B132,bond!B:AL,37,FALSE)="FLOATING","浮動",IF(VLOOKUP(B132,bond!B:AL,37,FALSE)="VARIABLE","變動",IF(VLOOKUP(B132,bond!B:AL,37,FALSE)="FLAT TRADING","不含息交易",IF(VLOOKUP(B132,bond!B:AL,37,FALSE)="ZERO COUPON","零息",VLOOKUP(B132,bond!B:AL,37,FALSE))))))</f>
        <v>固定</v>
      </c>
      <c r="AH132" s="136" t="str">
        <f>VLOOKUP(C132,'2_Check_code'!I:J,2,FALSE)</f>
        <v>美元(USD)</v>
      </c>
      <c r="AI132" s="136" t="str">
        <f t="shared" ref="AI132:AI195" ca="1" si="19">IF(AND(I132=2,C132="USD"),"自由選清單","")</f>
        <v>自由選清單</v>
      </c>
      <c r="AJ132" s="136">
        <f t="shared" ref="AJ132:AJ195" ca="1" si="20">IF(AND(I132=2,C132="USD"),0,1)</f>
        <v>0</v>
      </c>
      <c r="AK132" s="594" t="str">
        <f ca="1">IF(VLOOKUP(B132,bond!B:S,18,FALSE)="是","有",IF(VLOOKUP(B132,bond!B:S,18,FALSE)="NO OFFER","無","需查詢"))</f>
        <v>有</v>
      </c>
      <c r="AL132" s="136" t="str">
        <f>IF(VLOOKUP(A132,bond!F:AR,39,FALSE)="#N/A Field Not Applicable",VLOOKUP(A132,bond!F:AR,38,FALSE),IFERROR(VLOOKUP(A132,'7_發行日例外'!A:B,2,FALSE),VLOOKUP(A132,bond!F:AR,39,FALSE)))</f>
        <v>2020/4/1</v>
      </c>
      <c r="AM132" s="136" t="str">
        <f ca="1">VLOOKUP(B132,bond!B:AK,36,FALSE)</f>
        <v>2049/10/1</v>
      </c>
      <c r="AN132" s="136" t="str">
        <f ca="1">IFERROR(VLOOKUP(B132,'3_是否下架'!A:A,1,FALSE),"")</f>
        <v/>
      </c>
      <c r="AO132" s="136">
        <f ca="1">VLOOKUP(B132,bond!B:J,9,FALSE)</f>
        <v>70.47</v>
      </c>
      <c r="AP132" s="136">
        <f ca="1">VLOOKUP(B132,bond!B:V,21,FALSE)</f>
        <v>14.6212</v>
      </c>
    </row>
    <row r="133" spans="1:42">
      <c r="A133" s="141" t="str">
        <f>bond!F134</f>
        <v>US03027XBD12</v>
      </c>
      <c r="B133" s="151" t="str">
        <f ca="1">IF($C$1=TRUE,bond!B134,"")</f>
        <v>XG170</v>
      </c>
      <c r="C133" s="95" t="str">
        <f>VLOOKUP(A133,bond!F:G,2,FALSE)</f>
        <v>USD</v>
      </c>
      <c r="D133" s="142" t="str">
        <f ca="1">VLOOKUP(B133,bond!B:C,2,FALSE)</f>
        <v>美國電塔公司美元配息債券 3.1% 2050/6/15</v>
      </c>
      <c r="E133" s="95" t="str">
        <f ca="1">VLOOKUP(B133,bond!B:D,3,FALSE)</f>
        <v>Baa3 / BBB- / BBB+</v>
      </c>
      <c r="F133" s="99" t="str">
        <f ca="1">VLOOKUP(B133,bond!B:AB,27,FALSE)</f>
        <v>2050/6/15</v>
      </c>
      <c r="G133" s="90">
        <f ca="1">VLOOKUP(B133,bond!B:E,4,FALSE)</f>
        <v>25.95</v>
      </c>
      <c r="H133" s="202">
        <f ca="1">VLOOKUP(B133,bond!B:Y,24,FALSE)</f>
        <v>3.1E-2</v>
      </c>
      <c r="I133" s="95">
        <f ca="1">VLOOKUP(B133,bond!B:Z,25,FALSE)</f>
        <v>2</v>
      </c>
      <c r="J133" s="180">
        <f ca="1">VLOOKUP(B133,bond!B:K,10,FALSE)</f>
        <v>0.1464</v>
      </c>
      <c r="K133" s="96">
        <f ca="1">VLOOKUP($B133,bond!B:S,14,FALSE)</f>
        <v>69.03</v>
      </c>
      <c r="L133" s="91" t="str">
        <f ca="1">VLOOKUP(B133,bond!B:H,7,FALSE)</f>
        <v>2024/7/2</v>
      </c>
      <c r="M133" s="144">
        <f ca="1">VLOOKUP($B133,bond!$B:$Q,16,FALSE)</f>
        <v>5.33E-2</v>
      </c>
      <c r="N133" s="136">
        <f ca="1">VALUE(LEFT(VLOOKUP(B133,bond!B:R,17,FALSE),SEARCH(" ",VLOOKUP(B133,bond!B:R,17,FALSE),1)))</f>
        <v>10000</v>
      </c>
      <c r="O133" s="136">
        <f ca="1">VALUE(RIGHT(VLOOKUP(B133,bond!B:R,17,FALSE),LEN(VLOOKUP(B133,bond!B:R,17,FALSE))-LEN(N133)-3))</f>
        <v>1000</v>
      </c>
      <c r="P133" s="135" t="str">
        <f ca="1">VLOOKUP($B133,bond!$B:$AG,32,FALSE)</f>
        <v>2024/12/15</v>
      </c>
      <c r="Q133" s="135" t="str">
        <f ca="1">VLOOKUP($B133,bond!$B:$AH,33,FALSE)</f>
        <v>金融</v>
      </c>
      <c r="R133" s="135" t="str">
        <f ca="1">VLOOKUP(B133,bond!B:AA,26,FALSE)</f>
        <v>美國電塔</v>
      </c>
      <c r="S133" s="135" t="str">
        <f ca="1">VLOOKUP(B133,bond!B:AI,34,FALSE)</f>
        <v>AMT</v>
      </c>
      <c r="T133" s="135" t="str">
        <f t="shared" ca="1" si="14"/>
        <v>美國電塔/AMT</v>
      </c>
      <c r="U133" s="207" t="str">
        <f ca="1">IFERROR(VLOOKUP(T133,Bond_DES!D:E,2,FALSE),VLOOKUP(S133,bond!AI:AJ,2,FALSE))</f>
        <v>美國電塔公司(American Tower Corporation)是一家無線通訊以及廣播基礎設施公司，同時也是不動產投資信託(REITs)。橫跨17國基地台租賃業務，專攻基地台租賃(營收佔比98.5%)，基礎設施服務1.5%。北美市佔第一(37.7%)，美國以外業務以印度與巴西為最，分別經營7.5萬與1.9萬座鐵塔。2024年獲《新聞週刊》評為美國最值得信賴的公司之一。</v>
      </c>
      <c r="V133" s="136" t="str">
        <f ca="1">IFERROR(VLOOKUP(B133,'1_重設數據'!L:M,2,FALSE),IF(Q133="政府",IF(AD133&gt;16,"(NPI)非專投",IF(AD133&gt;10,"(PI)專投","高資產")),IF(VLOOKUP(B133,bond!B:AN,39,FALSE)="Y","(PI)專投",IF(AD133&gt;=15,"(NPI)非專投",IF(AD133&gt;=10,"(PI)專投","高資產")))))</f>
        <v>(PI)專投</v>
      </c>
      <c r="W133" s="136" t="str">
        <f ca="1">VLOOKUP(AD133,'credit rating'!$F$2:$H$22,3,FALSE)</f>
        <v>BBB+</v>
      </c>
      <c r="X133" s="136" t="str">
        <f t="shared" ca="1" si="15"/>
        <v>Baa3</v>
      </c>
      <c r="Y133" s="136" t="str">
        <f t="shared" ca="1" si="16"/>
        <v>BBB-</v>
      </c>
      <c r="Z133" s="136" t="str">
        <f t="shared" ca="1" si="17"/>
        <v>BBB+</v>
      </c>
      <c r="AA133" s="134">
        <f ca="1">IFERROR(VLOOKUP(X133,'credit rating'!A:C,3,FALSE),0)</f>
        <v>12</v>
      </c>
      <c r="AB133" s="134">
        <f ca="1">IFERROR(VLOOKUP(Y133,'credit rating'!B:C,2,FALSE),0)</f>
        <v>12</v>
      </c>
      <c r="AC133" s="136">
        <f ca="1">IFERROR(VLOOKUP(Z133,'credit rating'!B:C,2,FALSE),0)</f>
        <v>14</v>
      </c>
      <c r="AD133" s="136">
        <f t="shared" ca="1" si="18"/>
        <v>14</v>
      </c>
      <c r="AE133" s="249">
        <f ca="1">IFERROR(VLOOKUP(B133,bond!B:U,20,FALSE),"")</f>
        <v>5.3499999999999999E-2</v>
      </c>
      <c r="AF133" s="136" t="str">
        <f ca="1">IF(VLOOKUP(B133,bond!B:AK,36,FALSE)="#N/A Field Not Applicable","",VLOOKUP(B133,bond!B:AK,36,FALSE))</f>
        <v>2049/12/15</v>
      </c>
      <c r="AG133" s="136" t="str">
        <f ca="1">IF(VLOOKUP(B133,bond!B:AL,37,FALSE)="FIXED","固定",IF(VLOOKUP(B133,bond!B:AL,37,FALSE)="FLOATING","浮動",IF(VLOOKUP(B133,bond!B:AL,37,FALSE)="VARIABLE","變動",IF(VLOOKUP(B133,bond!B:AL,37,FALSE)="FLAT TRADING","不含息交易",IF(VLOOKUP(B133,bond!B:AL,37,FALSE)="ZERO COUPON","零息",VLOOKUP(B133,bond!B:AL,37,FALSE))))))</f>
        <v>固定</v>
      </c>
      <c r="AH133" s="136" t="str">
        <f>VLOOKUP(C133,'2_Check_code'!I:J,2,FALSE)</f>
        <v>美元(USD)</v>
      </c>
      <c r="AI133" s="136" t="str">
        <f t="shared" ca="1" si="19"/>
        <v>自由選清單</v>
      </c>
      <c r="AJ133" s="136">
        <f t="shared" ca="1" si="20"/>
        <v>0</v>
      </c>
      <c r="AK133" s="594" t="str">
        <f ca="1">IF(VLOOKUP(B133,bond!B:S,18,FALSE)="是","有",IF(VLOOKUP(B133,bond!B:S,18,FALSE)="NO OFFER","無","需查詢"))</f>
        <v>有</v>
      </c>
      <c r="AL133" s="136" t="str">
        <f>IF(VLOOKUP(A133,bond!F:AR,39,FALSE)="#N/A Field Not Applicable",VLOOKUP(A133,bond!F:AR,38,FALSE),IFERROR(VLOOKUP(A133,'7_發行日例外'!A:B,2,FALSE),VLOOKUP(A133,bond!F:AR,39,FALSE)))</f>
        <v>2020/6/3</v>
      </c>
      <c r="AM133" s="136" t="str">
        <f ca="1">VLOOKUP(B133,bond!B:AK,36,FALSE)</f>
        <v>2049/12/15</v>
      </c>
      <c r="AN133" s="136" t="str">
        <f ca="1">IFERROR(VLOOKUP(B133,'3_是否下架'!A:A,1,FALSE),"")</f>
        <v/>
      </c>
      <c r="AO133" s="136">
        <f ca="1">VLOOKUP(B133,bond!B:J,9,FALSE)</f>
        <v>65.38000000000001</v>
      </c>
      <c r="AP133" s="136">
        <f ca="1">VLOOKUP(B133,bond!B:V,21,FALSE)</f>
        <v>15.494</v>
      </c>
    </row>
    <row r="134" spans="1:42">
      <c r="A134" s="141" t="str">
        <f>bond!F135</f>
        <v>XS2236363227</v>
      </c>
      <c r="B134" s="151" t="str">
        <f ca="1">IF($C$1=TRUE,bond!B135,"")</f>
        <v>XG180</v>
      </c>
      <c r="C134" s="95" t="str">
        <f>VLOOKUP(A134,bond!F:G,2,FALSE)</f>
        <v>USD</v>
      </c>
      <c r="D134" s="142" t="str">
        <f ca="1">VLOOKUP(B134,bond!B:C,2,FALSE)</f>
        <v>富士康遠東有限公司美元配息債券 2.5% 2030/10/28</v>
      </c>
      <c r="E134" s="95" t="str">
        <f ca="1">VLOOKUP(B134,bond!B:D,3,FALSE)</f>
        <v>- / A- / -</v>
      </c>
      <c r="F134" s="99" t="str">
        <f ca="1">VLOOKUP(B134,bond!B:AB,27,FALSE)</f>
        <v>2030/10/28</v>
      </c>
      <c r="G134" s="90">
        <f ca="1">VLOOKUP(B134,bond!B:E,4,FALSE)</f>
        <v>6.32</v>
      </c>
      <c r="H134" s="202">
        <f ca="1">VLOOKUP(B134,bond!B:Y,24,FALSE)</f>
        <v>2.5000000000000001E-2</v>
      </c>
      <c r="I134" s="95">
        <f ca="1">VLOOKUP(B134,bond!B:Z,25,FALSE)</f>
        <v>2</v>
      </c>
      <c r="J134" s="180">
        <f ca="1">VLOOKUP(B134,bond!B:K,10,FALSE)</f>
        <v>0.45140000000000002</v>
      </c>
      <c r="K134" s="96">
        <f ca="1">VLOOKUP($B134,bond!B:S,14,FALSE)</f>
        <v>88.23</v>
      </c>
      <c r="L134" s="91" t="str">
        <f ca="1">VLOOKUP(B134,bond!B:H,7,FALSE)</f>
        <v>2024/7/3</v>
      </c>
      <c r="M134" s="144">
        <f ca="1">VLOOKUP($B134,bond!$B:$Q,16,FALSE)</f>
        <v>4.7600000000000003E-2</v>
      </c>
      <c r="N134" s="136">
        <f ca="1">VALUE(LEFT(VLOOKUP(B134,bond!B:R,17,FALSE),SEARCH(" ",VLOOKUP(B134,bond!B:R,17,FALSE),1)))</f>
        <v>200000</v>
      </c>
      <c r="O134" s="136">
        <f ca="1">VALUE(RIGHT(VLOOKUP(B134,bond!B:R,17,FALSE),LEN(VLOOKUP(B134,bond!B:R,17,FALSE))-LEN(N134)-3))</f>
        <v>1000</v>
      </c>
      <c r="P134" s="135" t="str">
        <f ca="1">VLOOKUP($B134,bond!$B:$AG,32,FALSE)</f>
        <v>2024/10/28</v>
      </c>
      <c r="Q134" s="135" t="str">
        <f ca="1">VLOOKUP($B134,bond!$B:$AH,33,FALSE)</f>
        <v>工業</v>
      </c>
      <c r="R134" s="135" t="str">
        <f ca="1">VLOOKUP(B134,bond!B:AA,26,FALSE)</f>
        <v>富士康遠東有限公司</v>
      </c>
      <c r="S134" s="135" t="str">
        <f ca="1">VLOOKUP(B134,bond!B:AI,34,FALSE)</f>
        <v>HONHAI</v>
      </c>
      <c r="T134" s="135" t="str">
        <f t="shared" ca="1" si="14"/>
        <v>富士康遠東有限公司/HONHAI</v>
      </c>
      <c r="U134" s="207" t="str">
        <f ca="1">IFERROR(VLOOKUP(T134,Bond_DES!D:E,2,FALSE),VLOOKUP(S134,bond!AI:AJ,2,FALSE))</f>
        <v>富士康遠東有限公司(Foxconn Far East Limited)為台灣鴻海精密的全資附屬公司。母公司鴻海於電子代工服務領域(EMS)排名全球第一，市佔超過4成，為蘋果公司的主要代工廠之一，2023年按營收為台灣第1大企業，並於2023年《Forbes》全球上市公司2000強排名第116位。</v>
      </c>
      <c r="V134" s="136" t="str">
        <f ca="1">IFERROR(VLOOKUP(B134,'1_重設數據'!L:M,2,FALSE),IF(Q134="政府",IF(AD134&gt;16,"(NPI)非專投",IF(AD134&gt;10,"(PI)專投","高資產")),IF(VLOOKUP(B134,bond!B:AN,39,FALSE)="Y","(PI)專投",IF(AD134&gt;=15,"(NPI)非專投",IF(AD134&gt;=10,"(PI)專投","高資產")))))</f>
        <v>(NPI)非專投</v>
      </c>
      <c r="W134" s="136" t="str">
        <f ca="1">VLOOKUP(AD134,'credit rating'!$F$2:$H$22,3,FALSE)</f>
        <v>A-</v>
      </c>
      <c r="X134" s="136" t="str">
        <f t="shared" ca="1" si="15"/>
        <v>-</v>
      </c>
      <c r="Y134" s="136" t="str">
        <f t="shared" ca="1" si="16"/>
        <v>A-</v>
      </c>
      <c r="Z134" s="136" t="str">
        <f t="shared" ca="1" si="17"/>
        <v>-</v>
      </c>
      <c r="AA134" s="134">
        <f ca="1">IFERROR(VLOOKUP(X134,'credit rating'!A:C,3,FALSE),0)</f>
        <v>0</v>
      </c>
      <c r="AB134" s="134">
        <f ca="1">IFERROR(VLOOKUP(Y134,'credit rating'!B:C,2,FALSE),0)</f>
        <v>15</v>
      </c>
      <c r="AC134" s="136">
        <f ca="1">IFERROR(VLOOKUP(Z134,'credit rating'!B:C,2,FALSE),0)</f>
        <v>0</v>
      </c>
      <c r="AD134" s="136">
        <f t="shared" ca="1" si="18"/>
        <v>15</v>
      </c>
      <c r="AE134" s="249" t="str">
        <f ca="1">IFERROR(VLOOKUP(B134,bond!B:U,20,FALSE),"")</f>
        <v xml:space="preserve"> </v>
      </c>
      <c r="AF134" s="136" t="str">
        <f ca="1">IF(VLOOKUP(B134,bond!B:AK,36,FALSE)="#N/A Field Not Applicable","",VLOOKUP(B134,bond!B:AK,36,FALSE))</f>
        <v/>
      </c>
      <c r="AG134" s="136" t="str">
        <f ca="1">IF(VLOOKUP(B134,bond!B:AL,37,FALSE)="FIXED","固定",IF(VLOOKUP(B134,bond!B:AL,37,FALSE)="FLOATING","浮動",IF(VLOOKUP(B134,bond!B:AL,37,FALSE)="VARIABLE","變動",IF(VLOOKUP(B134,bond!B:AL,37,FALSE)="FLAT TRADING","不含息交易",IF(VLOOKUP(B134,bond!B:AL,37,FALSE)="ZERO COUPON","零息",VLOOKUP(B134,bond!B:AL,37,FALSE))))))</f>
        <v>固定</v>
      </c>
      <c r="AH134" s="136" t="str">
        <f>VLOOKUP(C134,'2_Check_code'!I:J,2,FALSE)</f>
        <v>美元(USD)</v>
      </c>
      <c r="AI134" s="136" t="str">
        <f t="shared" ca="1" si="19"/>
        <v>自由選清單</v>
      </c>
      <c r="AJ134" s="136">
        <f t="shared" ca="1" si="20"/>
        <v>0</v>
      </c>
      <c r="AK134" s="594" t="str">
        <f ca="1">IF(VLOOKUP(B134,bond!B:S,18,FALSE)="是","有",IF(VLOOKUP(B134,bond!B:S,18,FALSE)="NO OFFER","無","需查詢"))</f>
        <v>有</v>
      </c>
      <c r="AL134" s="136" t="str">
        <f>IF(VLOOKUP(A134,bond!F:AR,39,FALSE)="#N/A Field Not Applicable",VLOOKUP(A134,bond!F:AR,38,FALSE),IFERROR(VLOOKUP(A134,'7_發行日例外'!A:B,2,FALSE),VLOOKUP(A134,bond!F:AR,39,FALSE)))</f>
        <v>2020/10/28</v>
      </c>
      <c r="AM134" s="136" t="str">
        <f ca="1">VLOOKUP(B134,bond!B:AK,36,FALSE)</f>
        <v>#N/A Field Not Applicable</v>
      </c>
      <c r="AN134" s="136" t="str">
        <f ca="1">IFERROR(VLOOKUP(B134,'3_是否下架'!A:A,1,FALSE),"")</f>
        <v/>
      </c>
      <c r="AO134" s="136">
        <f ca="1">VLOOKUP(B134,bond!B:J,9,FALSE)</f>
        <v>86.28</v>
      </c>
      <c r="AP134" s="136">
        <f ca="1">VLOOKUP(B134,bond!B:V,21,FALSE)</f>
        <v>5.6727999999999996</v>
      </c>
    </row>
    <row r="135" spans="1:42">
      <c r="A135" s="141" t="str">
        <f>bond!F136</f>
        <v>US478160BV55</v>
      </c>
      <c r="B135" s="151" t="str">
        <f ca="1">IF($C$1=TRUE,bond!B136,"")</f>
        <v>XG190</v>
      </c>
      <c r="C135" s="95" t="str">
        <f>VLOOKUP(A135,bond!F:G,2,FALSE)</f>
        <v>USD</v>
      </c>
      <c r="D135" s="142" t="str">
        <f ca="1">VLOOKUP(B135,bond!B:C,2,FALSE)</f>
        <v>嬌生公司美元配息債券 3.7% 2046/3/1</v>
      </c>
      <c r="E135" s="95" t="str">
        <f ca="1">VLOOKUP(B135,bond!B:D,3,FALSE)</f>
        <v>Aaa / AAA / WD</v>
      </c>
      <c r="F135" s="99" t="str">
        <f ca="1">VLOOKUP(B135,bond!B:AB,27,FALSE)</f>
        <v>2046/3/1</v>
      </c>
      <c r="G135" s="90">
        <f ca="1">VLOOKUP(B135,bond!B:E,4,FALSE)</f>
        <v>21.66</v>
      </c>
      <c r="H135" s="202">
        <f ca="1">VLOOKUP(B135,bond!B:Y,24,FALSE)</f>
        <v>3.7000000000000005E-2</v>
      </c>
      <c r="I135" s="95">
        <f ca="1">VLOOKUP(B135,bond!B:Z,25,FALSE)</f>
        <v>2</v>
      </c>
      <c r="J135" s="180">
        <f ca="1">VLOOKUP(B135,bond!B:K,10,FALSE)</f>
        <v>1.2436</v>
      </c>
      <c r="K135" s="96">
        <f ca="1">VLOOKUP($B135,bond!B:S,14,FALSE)</f>
        <v>85.29</v>
      </c>
      <c r="L135" s="91" t="str">
        <f ca="1">VLOOKUP(B135,bond!B:H,7,FALSE)</f>
        <v>2024/7/2</v>
      </c>
      <c r="M135" s="144">
        <f ca="1">VLOOKUP($B135,bond!$B:$Q,16,FALSE)</f>
        <v>4.9000000000000002E-2</v>
      </c>
      <c r="N135" s="136">
        <f ca="1">VALUE(LEFT(VLOOKUP(B135,bond!B:R,17,FALSE),SEARCH(" ",VLOOKUP(B135,bond!B:R,17,FALSE),1)))</f>
        <v>10000</v>
      </c>
      <c r="O135" s="136">
        <f ca="1">VALUE(RIGHT(VLOOKUP(B135,bond!B:R,17,FALSE),LEN(VLOOKUP(B135,bond!B:R,17,FALSE))-LEN(N135)-3))</f>
        <v>1000</v>
      </c>
      <c r="P135" s="135" t="str">
        <f ca="1">VLOOKUP($B135,bond!$B:$AG,32,FALSE)</f>
        <v>2024/9/1</v>
      </c>
      <c r="Q135" s="135" t="str">
        <f ca="1">VLOOKUP($B135,bond!$B:$AH,33,FALSE)</f>
        <v>醫療保健</v>
      </c>
      <c r="R135" s="135" t="str">
        <f ca="1">VLOOKUP(B135,bond!B:AA,26,FALSE)</f>
        <v>嬌生公司</v>
      </c>
      <c r="S135" s="135" t="str">
        <f ca="1">VLOOKUP(B135,bond!B:AI,34,FALSE)</f>
        <v>JNJ</v>
      </c>
      <c r="T135" s="135" t="str">
        <f t="shared" ca="1" si="14"/>
        <v>嬌生公司/JNJ</v>
      </c>
      <c r="U135" s="207" t="str">
        <f ca="1">IFERROR(VLOOKUP(T135,Bond_DES!D:E,2,FALSE),VLOOKUP(S135,bond!AI:AJ,2,FALSE))</f>
        <v>嬌生公司(Johnson &amp; Johnson)全球市值前三大藥廠，且是全球最佳信用紀錄保持人，連續36年保持AAA評等，與微軟及蘋果並列為全球信評最佳企業；連續11年入選全球最受尊敬公司製藥行業榜單(Fortune 2024)且前10年排名第1，在基於處方藥銷售的全球製藥企業50強排行榜名列第1位(Pharm Exec 2024)。</v>
      </c>
      <c r="V135" s="136" t="str">
        <f ca="1">IFERROR(VLOOKUP(B135,'1_重設數據'!L:M,2,FALSE),IF(Q135="政府",IF(AD135&gt;16,"(NPI)非專投",IF(AD135&gt;10,"(PI)專投","高資產")),IF(VLOOKUP(B135,bond!B:AN,39,FALSE)="Y","(PI)專投",IF(AD135&gt;=15,"(NPI)非專投",IF(AD135&gt;=10,"(PI)專投","高資產")))))</f>
        <v>(NPI)非專投</v>
      </c>
      <c r="W135" s="136" t="str">
        <f ca="1">VLOOKUP(AD135,'credit rating'!$F$2:$H$22,3,FALSE)</f>
        <v>AAA</v>
      </c>
      <c r="X135" s="136" t="str">
        <f t="shared" ca="1" si="15"/>
        <v>Aaa</v>
      </c>
      <c r="Y135" s="136" t="str">
        <f t="shared" ca="1" si="16"/>
        <v>AAA</v>
      </c>
      <c r="Z135" s="136" t="str">
        <f t="shared" ca="1" si="17"/>
        <v>WD</v>
      </c>
      <c r="AA135" s="134">
        <f ca="1">IFERROR(VLOOKUP(X135,'credit rating'!A:C,3,FALSE),0)</f>
        <v>21</v>
      </c>
      <c r="AB135" s="134">
        <f ca="1">IFERROR(VLOOKUP(Y135,'credit rating'!B:C,2,FALSE),0)</f>
        <v>21</v>
      </c>
      <c r="AC135" s="136">
        <f ca="1">IFERROR(VLOOKUP(Z135,'credit rating'!B:C,2,FALSE),0)</f>
        <v>0</v>
      </c>
      <c r="AD135" s="136">
        <f t="shared" ca="1" si="18"/>
        <v>21</v>
      </c>
      <c r="AE135" s="249">
        <f ca="1">IFERROR(VLOOKUP(B135,bond!B:U,20,FALSE),"")</f>
        <v>4.9200000000000001E-2</v>
      </c>
      <c r="AF135" s="136" t="str">
        <f ca="1">IF(VLOOKUP(B135,bond!B:AK,36,FALSE)="#N/A Field Not Applicable","",VLOOKUP(B135,bond!B:AK,36,FALSE))</f>
        <v>2045/9/1</v>
      </c>
      <c r="AG135" s="136" t="str">
        <f ca="1">IF(VLOOKUP(B135,bond!B:AL,37,FALSE)="FIXED","固定",IF(VLOOKUP(B135,bond!B:AL,37,FALSE)="FLOATING","浮動",IF(VLOOKUP(B135,bond!B:AL,37,FALSE)="VARIABLE","變動",IF(VLOOKUP(B135,bond!B:AL,37,FALSE)="FLAT TRADING","不含息交易",IF(VLOOKUP(B135,bond!B:AL,37,FALSE)="ZERO COUPON","零息",VLOOKUP(B135,bond!B:AL,37,FALSE))))))</f>
        <v>固定</v>
      </c>
      <c r="AH135" s="136" t="str">
        <f>VLOOKUP(C135,'2_Check_code'!I:J,2,FALSE)</f>
        <v>美元(USD)</v>
      </c>
      <c r="AI135" s="136" t="str">
        <f t="shared" ca="1" si="19"/>
        <v>自由選清單</v>
      </c>
      <c r="AJ135" s="136">
        <f t="shared" ca="1" si="20"/>
        <v>0</v>
      </c>
      <c r="AK135" s="594" t="str">
        <f ca="1">IF(VLOOKUP(B135,bond!B:S,18,FALSE)="是","有",IF(VLOOKUP(B135,bond!B:S,18,FALSE)="NO OFFER","無","需查詢"))</f>
        <v>有</v>
      </c>
      <c r="AL135" s="136" t="str">
        <f>IF(VLOOKUP(A135,bond!F:AR,39,FALSE)="#N/A Field Not Applicable",VLOOKUP(A135,bond!F:AR,38,FALSE),IFERROR(VLOOKUP(A135,'7_發行日例外'!A:B,2,FALSE),VLOOKUP(A135,bond!F:AR,39,FALSE)))</f>
        <v>2016/3/1</v>
      </c>
      <c r="AM135" s="136" t="str">
        <f ca="1">VLOOKUP(B135,bond!B:AK,36,FALSE)</f>
        <v>2045/9/1</v>
      </c>
      <c r="AN135" s="136" t="str">
        <f ca="1">IFERROR(VLOOKUP(B135,'3_是否下架'!A:A,1,FALSE),"")</f>
        <v/>
      </c>
      <c r="AO135" s="136">
        <f ca="1">VLOOKUP(B135,bond!B:J,9,FALSE)</f>
        <v>81.05</v>
      </c>
      <c r="AP135" s="136">
        <f ca="1">VLOOKUP(B135,bond!B:V,21,FALSE)</f>
        <v>13.7463</v>
      </c>
    </row>
    <row r="136" spans="1:42">
      <c r="A136" s="141" t="str">
        <f>bond!F137</f>
        <v>US437076CD22</v>
      </c>
      <c r="B136" s="151" t="str">
        <f ca="1">IF($C$1=TRUE,bond!B137,"")</f>
        <v>XG200</v>
      </c>
      <c r="C136" s="95" t="str">
        <f>VLOOKUP(A136,bond!F:G,2,FALSE)</f>
        <v>USD</v>
      </c>
      <c r="D136" s="142" t="str">
        <f ca="1">VLOOKUP(B136,bond!B:C,2,FALSE)</f>
        <v>家得寶公司美元配息債券  3.35% 2050/4/15</v>
      </c>
      <c r="E136" s="95" t="str">
        <f ca="1">VLOOKUP(B136,bond!B:D,3,FALSE)</f>
        <v>A2 / A / A</v>
      </c>
      <c r="F136" s="99" t="str">
        <f ca="1">VLOOKUP(B136,bond!B:AB,27,FALSE)</f>
        <v>2050/4/15</v>
      </c>
      <c r="G136" s="90">
        <f ca="1">VLOOKUP(B136,bond!B:E,4,FALSE)</f>
        <v>25.79</v>
      </c>
      <c r="H136" s="202">
        <f ca="1">VLOOKUP(B136,bond!B:Y,24,FALSE)</f>
        <v>3.3500000000000002E-2</v>
      </c>
      <c r="I136" s="95">
        <f ca="1">VLOOKUP(B136,bond!B:Z,25,FALSE)</f>
        <v>2</v>
      </c>
      <c r="J136" s="180">
        <f ca="1">VLOOKUP(B136,bond!B:K,10,FALSE)</f>
        <v>0.71650000000000003</v>
      </c>
      <c r="K136" s="96">
        <f ca="1">VLOOKUP($B136,bond!B:S,14,FALSE)</f>
        <v>75.959999999999994</v>
      </c>
      <c r="L136" s="91" t="str">
        <f ca="1">VLOOKUP(B136,bond!B:H,7,FALSE)</f>
        <v>2024/7/2</v>
      </c>
      <c r="M136" s="144">
        <f ca="1">VLOOKUP($B136,bond!$B:$Q,16,FALSE)</f>
        <v>5.0799999999999998E-2</v>
      </c>
      <c r="N136" s="136">
        <f ca="1">VALUE(LEFT(VLOOKUP(B136,bond!B:R,17,FALSE),SEARCH(" ",VLOOKUP(B136,bond!B:R,17,FALSE),1)))</f>
        <v>2000</v>
      </c>
      <c r="O136" s="136">
        <f ca="1">VALUE(RIGHT(VLOOKUP(B136,bond!B:R,17,FALSE),LEN(VLOOKUP(B136,bond!B:R,17,FALSE))-LEN(N136)-3))</f>
        <v>1000</v>
      </c>
      <c r="P136" s="135" t="str">
        <f ca="1">VLOOKUP($B136,bond!$B:$AG,32,FALSE)</f>
        <v>2024/10/15</v>
      </c>
      <c r="Q136" s="135" t="str">
        <f ca="1">VLOOKUP($B136,bond!$B:$AH,33,FALSE)</f>
        <v>非核心消費</v>
      </c>
      <c r="R136" s="135" t="str">
        <f ca="1">VLOOKUP(B136,bond!B:AA,26,FALSE)</f>
        <v>家得寶公司</v>
      </c>
      <c r="S136" s="135" t="str">
        <f ca="1">VLOOKUP(B136,bond!B:AI,34,FALSE)</f>
        <v>HD</v>
      </c>
      <c r="T136" s="135" t="str">
        <f t="shared" ca="1" si="14"/>
        <v>家得寶公司/HD</v>
      </c>
      <c r="U136" s="207" t="str">
        <f ca="1">IFERROR(VLOOKUP(T136,Bond_DES!D:E,2,FALSE),VLOOKUP(S136,bond!AI:AJ,2,FALSE))</f>
        <v>家得寶(Home Depot, Inc.)為世界最大的家居修繕零售商，銷售各種建材、家居修繕及草坪與園藝用品，並提供安裝及設備租賃等多項服務，在美國、加拿大和墨西哥擁有2,300多家商店，目前有3萬5千多種商品於實體店面，超過1百萬種商品於線上銷售。2024年《Brand Finance》全球零售品牌價值名列第3位(僅次於亞馬遜及沃爾瑪)。</v>
      </c>
      <c r="V136" s="136" t="str">
        <f ca="1">IFERROR(VLOOKUP(B136,'1_重設數據'!L:M,2,FALSE),IF(Q136="政府",IF(AD136&gt;16,"(NPI)非專投",IF(AD136&gt;10,"(PI)專投","高資產")),IF(VLOOKUP(B136,bond!B:AN,39,FALSE)="Y","(PI)專投",IF(AD136&gt;=15,"(NPI)非專投",IF(AD136&gt;=10,"(PI)專投","高資產")))))</f>
        <v>(NPI)非專投</v>
      </c>
      <c r="W136" s="136" t="str">
        <f ca="1">VLOOKUP(AD136,'credit rating'!$F$2:$H$22,3,FALSE)</f>
        <v>A</v>
      </c>
      <c r="X136" s="136" t="str">
        <f t="shared" ca="1" si="15"/>
        <v>A2</v>
      </c>
      <c r="Y136" s="136" t="str">
        <f t="shared" ca="1" si="16"/>
        <v>A</v>
      </c>
      <c r="Z136" s="136" t="str">
        <f t="shared" ca="1" si="17"/>
        <v>A</v>
      </c>
      <c r="AA136" s="134">
        <f ca="1">IFERROR(VLOOKUP(X136,'credit rating'!A:C,3,FALSE),0)</f>
        <v>16</v>
      </c>
      <c r="AB136" s="134">
        <f ca="1">IFERROR(VLOOKUP(Y136,'credit rating'!B:C,2,FALSE),0)</f>
        <v>16</v>
      </c>
      <c r="AC136" s="136">
        <f ca="1">IFERROR(VLOOKUP(Z136,'credit rating'!B:C,2,FALSE),0)</f>
        <v>16</v>
      </c>
      <c r="AD136" s="136">
        <f t="shared" ca="1" si="18"/>
        <v>16</v>
      </c>
      <c r="AE136" s="249">
        <f ca="1">IFERROR(VLOOKUP(B136,bond!B:U,20,FALSE),"")</f>
        <v>5.0999999999999997E-2</v>
      </c>
      <c r="AF136" s="136" t="str">
        <f ca="1">IF(VLOOKUP(B136,bond!B:AK,36,FALSE)="#N/A Field Not Applicable","",VLOOKUP(B136,bond!B:AK,36,FALSE))</f>
        <v>2049/10/15</v>
      </c>
      <c r="AG136" s="136" t="str">
        <f ca="1">IF(VLOOKUP(B136,bond!B:AL,37,FALSE)="FIXED","固定",IF(VLOOKUP(B136,bond!B:AL,37,FALSE)="FLOATING","浮動",IF(VLOOKUP(B136,bond!B:AL,37,FALSE)="VARIABLE","變動",IF(VLOOKUP(B136,bond!B:AL,37,FALSE)="FLAT TRADING","不含息交易",IF(VLOOKUP(B136,bond!B:AL,37,FALSE)="ZERO COUPON","零息",VLOOKUP(B136,bond!B:AL,37,FALSE))))))</f>
        <v>固定</v>
      </c>
      <c r="AH136" s="136" t="str">
        <f>VLOOKUP(C136,'2_Check_code'!I:J,2,FALSE)</f>
        <v>美元(USD)</v>
      </c>
      <c r="AI136" s="136" t="str">
        <f t="shared" ca="1" si="19"/>
        <v>自由選清單</v>
      </c>
      <c r="AJ136" s="136">
        <f t="shared" ca="1" si="20"/>
        <v>0</v>
      </c>
      <c r="AK136" s="594" t="str">
        <f ca="1">IF(VLOOKUP(B136,bond!B:S,18,FALSE)="是","有",IF(VLOOKUP(B136,bond!B:S,18,FALSE)="NO OFFER","無","需查詢"))</f>
        <v>有</v>
      </c>
      <c r="AL136" s="136" t="str">
        <f>IF(VLOOKUP(A136,bond!F:AR,39,FALSE)="#N/A Field Not Applicable",VLOOKUP(A136,bond!F:AR,38,FALSE),IFERROR(VLOOKUP(A136,'7_發行日例外'!A:B,2,FALSE),VLOOKUP(A136,bond!F:AR,39,FALSE)))</f>
        <v>2020/3/30</v>
      </c>
      <c r="AM136" s="136" t="str">
        <f ca="1">VLOOKUP(B136,bond!B:AK,36,FALSE)</f>
        <v>2049/10/15</v>
      </c>
      <c r="AN136" s="136" t="str">
        <f ca="1">IFERROR(VLOOKUP(B136,'3_是否下架'!A:A,1,FALSE),"")</f>
        <v/>
      </c>
      <c r="AO136" s="136">
        <f ca="1">VLOOKUP(B136,bond!B:J,9,FALSE)</f>
        <v>71.740000000000009</v>
      </c>
      <c r="AP136" s="136">
        <f ca="1">VLOOKUP(B136,bond!B:V,21,FALSE)</f>
        <v>15.3073</v>
      </c>
    </row>
    <row r="137" spans="1:42">
      <c r="A137" s="141" t="str">
        <f>bond!F138</f>
        <v>US37045VAL45</v>
      </c>
      <c r="B137" s="151" t="str">
        <f ca="1">IF($C$1=TRUE,bond!B138,"")</f>
        <v>XG210</v>
      </c>
      <c r="C137" s="95" t="str">
        <f>VLOOKUP(A137,bond!F:G,2,FALSE)</f>
        <v>USD</v>
      </c>
      <c r="D137" s="142" t="str">
        <f ca="1">VLOOKUP(B137,bond!B:C,2,FALSE)</f>
        <v>通用汽車公司美元配息債券  6.75% 2046/4/1</v>
      </c>
      <c r="E137" s="95" t="str">
        <f ca="1">VLOOKUP(B137,bond!B:D,3,FALSE)</f>
        <v>Baa2 / BBB / BBB</v>
      </c>
      <c r="F137" s="99" t="str">
        <f ca="1">VLOOKUP(B137,bond!B:AB,27,FALSE)</f>
        <v>2046/4/1</v>
      </c>
      <c r="G137" s="90">
        <f ca="1">VLOOKUP(B137,bond!B:E,4,FALSE)</f>
        <v>21.75</v>
      </c>
      <c r="H137" s="202">
        <f ca="1">VLOOKUP(B137,bond!B:Y,24,FALSE)</f>
        <v>6.7500000000000004E-2</v>
      </c>
      <c r="I137" s="95">
        <f ca="1">VLOOKUP(B137,bond!B:Z,25,FALSE)</f>
        <v>2</v>
      </c>
      <c r="J137" s="180">
        <f ca="1">VLOOKUP(B137,bond!B:K,10,FALSE)</f>
        <v>1.7062999999999999</v>
      </c>
      <c r="K137" s="96">
        <f ca="1">VLOOKUP($B137,bond!B:S,14,FALSE)</f>
        <v>110.26</v>
      </c>
      <c r="L137" s="91" t="str">
        <f ca="1">VLOOKUP(B137,bond!B:H,7,FALSE)</f>
        <v>2024/7/2</v>
      </c>
      <c r="M137" s="144">
        <f ca="1">VLOOKUP($B137,bond!$B:$Q,16,FALSE)</f>
        <v>6.0400000000000002E-2</v>
      </c>
      <c r="N137" s="136">
        <f ca="1">VALUE(LEFT(VLOOKUP(B137,bond!B:R,17,FALSE),SEARCH(" ",VLOOKUP(B137,bond!B:R,17,FALSE),1)))</f>
        <v>10000</v>
      </c>
      <c r="O137" s="136">
        <f ca="1">VALUE(RIGHT(VLOOKUP(B137,bond!B:R,17,FALSE),LEN(VLOOKUP(B137,bond!B:R,17,FALSE))-LEN(N137)-3))</f>
        <v>1000</v>
      </c>
      <c r="P137" s="135" t="str">
        <f ca="1">VLOOKUP($B137,bond!$B:$AG,32,FALSE)</f>
        <v>2024/10/1</v>
      </c>
      <c r="Q137" s="135" t="str">
        <f ca="1">VLOOKUP($B137,bond!$B:$AH,33,FALSE)</f>
        <v>非核心消費</v>
      </c>
      <c r="R137" s="135" t="str">
        <f ca="1">VLOOKUP(B137,bond!B:AA,26,FALSE)</f>
        <v>通用汽車公司</v>
      </c>
      <c r="S137" s="135" t="str">
        <f ca="1">VLOOKUP(B137,bond!B:AI,34,FALSE)</f>
        <v>GM</v>
      </c>
      <c r="T137" s="135" t="str">
        <f t="shared" ca="1" si="14"/>
        <v>通用汽車公司/GM</v>
      </c>
      <c r="U137" s="207" t="str">
        <f ca="1">IFERROR(VLOOKUP(T137,Bond_DES!D:E,2,FALSE),VLOOKUP(S137,bond!AI:AJ,2,FALSE))</f>
        <v>通用汽車公司(General Motors Company)設計、製造和銷售汽車、卡車、跨界休旅車及汽車零件。該公司提供車輛保護、零件、配件、維護、衛星廣播及汽車融資服務。通用汽車公司於全球各地提供產品及服務。</v>
      </c>
      <c r="V137" s="136" t="str">
        <f ca="1">IFERROR(VLOOKUP(B137,'1_重設數據'!L:M,2,FALSE),IF(Q137="政府",IF(AD137&gt;16,"(NPI)非專投",IF(AD137&gt;10,"(PI)專投","高資產")),IF(VLOOKUP(B137,bond!B:AN,39,FALSE)="Y","(PI)專投",IF(AD137&gt;=15,"(NPI)非專投",IF(AD137&gt;=10,"(PI)專投","高資產")))))</f>
        <v>(PI)專投</v>
      </c>
      <c r="W137" s="136" t="str">
        <f ca="1">VLOOKUP(AD137,'credit rating'!$F$2:$H$22,3,FALSE)</f>
        <v>BBB</v>
      </c>
      <c r="X137" s="136" t="str">
        <f t="shared" ca="1" si="15"/>
        <v>Baa2</v>
      </c>
      <c r="Y137" s="136" t="str">
        <f t="shared" ca="1" si="16"/>
        <v>BBB</v>
      </c>
      <c r="Z137" s="136" t="str">
        <f t="shared" ca="1" si="17"/>
        <v>BBB</v>
      </c>
      <c r="AA137" s="134">
        <f ca="1">IFERROR(VLOOKUP(X137,'credit rating'!A:C,3,FALSE),0)</f>
        <v>13</v>
      </c>
      <c r="AB137" s="134">
        <f ca="1">IFERROR(VLOOKUP(Y137,'credit rating'!B:C,2,FALSE),0)</f>
        <v>13</v>
      </c>
      <c r="AC137" s="136">
        <f ca="1">IFERROR(VLOOKUP(Z137,'credit rating'!B:C,2,FALSE),0)</f>
        <v>13</v>
      </c>
      <c r="AD137" s="136">
        <f t="shared" ca="1" si="18"/>
        <v>13</v>
      </c>
      <c r="AE137" s="249">
        <f ca="1">IFERROR(VLOOKUP(B137,bond!B:U,20,FALSE),"")</f>
        <v>6.0299999999999999E-2</v>
      </c>
      <c r="AF137" s="136" t="str">
        <f ca="1">IF(VLOOKUP(B137,bond!B:AK,36,FALSE)="#N/A Field Not Applicable","",VLOOKUP(B137,bond!B:AK,36,FALSE))</f>
        <v>2045/10/1</v>
      </c>
      <c r="AG137" s="136" t="str">
        <f ca="1">IF(VLOOKUP(B137,bond!B:AL,37,FALSE)="FIXED","固定",IF(VLOOKUP(B137,bond!B:AL,37,FALSE)="FLOATING","浮動",IF(VLOOKUP(B137,bond!B:AL,37,FALSE)="VARIABLE","變動",IF(VLOOKUP(B137,bond!B:AL,37,FALSE)="FLAT TRADING","不含息交易",IF(VLOOKUP(B137,bond!B:AL,37,FALSE)="ZERO COUPON","零息",VLOOKUP(B137,bond!B:AL,37,FALSE))))))</f>
        <v>固定</v>
      </c>
      <c r="AH137" s="136" t="str">
        <f>VLOOKUP(C137,'2_Check_code'!I:J,2,FALSE)</f>
        <v>美元(USD)</v>
      </c>
      <c r="AI137" s="136" t="str">
        <f t="shared" ca="1" si="19"/>
        <v>自由選清單</v>
      </c>
      <c r="AJ137" s="136">
        <f t="shared" ca="1" si="20"/>
        <v>0</v>
      </c>
      <c r="AK137" s="594" t="str">
        <f ca="1">IF(VLOOKUP(B137,bond!B:S,18,FALSE)="是","有",IF(VLOOKUP(B137,bond!B:S,18,FALSE)="NO OFFER","無","需查詢"))</f>
        <v>有</v>
      </c>
      <c r="AL137" s="136" t="str">
        <f>IF(VLOOKUP(A137,bond!F:AR,39,FALSE)="#N/A Field Not Applicable",VLOOKUP(A137,bond!F:AR,38,FALSE),IFERROR(VLOOKUP(A137,'7_發行日例外'!A:B,2,FALSE),VLOOKUP(A137,bond!F:AR,39,FALSE)))</f>
        <v>2016/2/23</v>
      </c>
      <c r="AM137" s="136" t="str">
        <f ca="1">VLOOKUP(B137,bond!B:AK,36,FALSE)</f>
        <v>2045/10/1</v>
      </c>
      <c r="AN137" s="136" t="str">
        <f ca="1">IFERROR(VLOOKUP(B137,'3_是否下架'!A:A,1,FALSE),"")</f>
        <v/>
      </c>
      <c r="AO137" s="136">
        <f ca="1">VLOOKUP(B137,bond!B:J,9,FALSE)</f>
        <v>105.55000000000001</v>
      </c>
      <c r="AP137" s="136">
        <f ca="1">VLOOKUP(B137,bond!B:V,21,FALSE)</f>
        <v>11.3269</v>
      </c>
    </row>
    <row r="138" spans="1:42">
      <c r="A138" s="141" t="str">
        <f>bond!F139</f>
        <v>US501044DN88</v>
      </c>
      <c r="B138" s="151" t="str">
        <f ca="1">IF($C$1=TRUE,bond!B139,"")</f>
        <v>XG220</v>
      </c>
      <c r="C138" s="95" t="str">
        <f>VLOOKUP(A138,bond!F:G,2,FALSE)</f>
        <v>USD</v>
      </c>
      <c r="D138" s="142" t="str">
        <f ca="1">VLOOKUP(B138,bond!B:C,2,FALSE)</f>
        <v>克羅格公司美元配息債券 3.95% 2050/1/15</v>
      </c>
      <c r="E138" s="95" t="str">
        <f ca="1">VLOOKUP(B138,bond!B:D,3,FALSE)</f>
        <v>Baa1 / BBB / -</v>
      </c>
      <c r="F138" s="99" t="str">
        <f ca="1">VLOOKUP(B138,bond!B:AB,27,FALSE)</f>
        <v>2050/1/15</v>
      </c>
      <c r="G138" s="90">
        <f ca="1">VLOOKUP(B138,bond!B:E,4,FALSE)</f>
        <v>25.54</v>
      </c>
      <c r="H138" s="202">
        <f ca="1">VLOOKUP(B138,bond!B:Y,24,FALSE)</f>
        <v>3.95E-2</v>
      </c>
      <c r="I138" s="95">
        <f ca="1">VLOOKUP(B138,bond!B:Z,25,FALSE)</f>
        <v>2</v>
      </c>
      <c r="J138" s="180">
        <f ca="1">VLOOKUP(B138,bond!B:K,10,FALSE)</f>
        <v>1.8324</v>
      </c>
      <c r="K138" s="96">
        <f ca="1">VLOOKUP($B138,bond!B:S,14,FALSE)</f>
        <v>83.31</v>
      </c>
      <c r="L138" s="91" t="str">
        <f ca="1">VLOOKUP(B138,bond!B:H,7,FALSE)</f>
        <v>2024/7/2</v>
      </c>
      <c r="M138" s="144">
        <f ca="1">VLOOKUP($B138,bond!$B:$Q,16,FALSE)</f>
        <v>5.28E-2</v>
      </c>
      <c r="N138" s="136">
        <f ca="1">VALUE(LEFT(VLOOKUP(B138,bond!B:R,17,FALSE),SEARCH(" ",VLOOKUP(B138,bond!B:R,17,FALSE),1)))</f>
        <v>10000</v>
      </c>
      <c r="O138" s="136">
        <f ca="1">VALUE(RIGHT(VLOOKUP(B138,bond!B:R,17,FALSE),LEN(VLOOKUP(B138,bond!B:R,17,FALSE))-LEN(N138)-3))</f>
        <v>1000</v>
      </c>
      <c r="P138" s="135" t="str">
        <f ca="1">VLOOKUP($B138,bond!$B:$AG,32,FALSE)</f>
        <v>2024/7/15</v>
      </c>
      <c r="Q138" s="135" t="str">
        <f ca="1">VLOOKUP($B138,bond!$B:$AH,33,FALSE)</f>
        <v>核心消費</v>
      </c>
      <c r="R138" s="135" t="str">
        <f ca="1">VLOOKUP(B138,bond!B:AA,26,FALSE)</f>
        <v>克羅格公司</v>
      </c>
      <c r="S138" s="135" t="str">
        <f ca="1">VLOOKUP(B138,bond!B:AI,34,FALSE)</f>
        <v>KR</v>
      </c>
      <c r="T138" s="135" t="str">
        <f t="shared" ca="1" si="14"/>
        <v>克羅格公司/KR</v>
      </c>
      <c r="U138" s="207" t="str">
        <f ca="1">IFERROR(VLOOKUP(T138,Bond_DES!D:E,2,FALSE),VLOOKUP(S138,bond!AI:AJ,2,FALSE))</f>
        <v>克羅格(The Kroger Co.)是美國最大的傳統日常雜貨用品連鎖店，在1883年創建於俄亥俄州辛辛那提，已有超過140年歷史。截至2024年1月，全美擁有2,722家超市以多品牌營運，約83%的商店設有藥局、57%設有加油中心，於「食物及藥局」行業營收排名第1(Fortune 500 2024)。</v>
      </c>
      <c r="V138" s="136" t="str">
        <f ca="1">IFERROR(VLOOKUP(B138,'1_重設數據'!L:M,2,FALSE),IF(Q138="政府",IF(AD138&gt;16,"(NPI)非專投",IF(AD138&gt;10,"(PI)專投","高資產")),IF(VLOOKUP(B138,bond!B:AN,39,FALSE)="Y","(PI)專投",IF(AD138&gt;=15,"(NPI)非專投",IF(AD138&gt;=10,"(PI)專投","高資產")))))</f>
        <v>(PI)專投</v>
      </c>
      <c r="W138" s="136" t="str">
        <f ca="1">VLOOKUP(AD138,'credit rating'!$F$2:$H$22,3,FALSE)</f>
        <v>BBB+</v>
      </c>
      <c r="X138" s="136" t="str">
        <f t="shared" ca="1" si="15"/>
        <v>Baa1</v>
      </c>
      <c r="Y138" s="136" t="str">
        <f t="shared" ca="1" si="16"/>
        <v>BBB</v>
      </c>
      <c r="Z138" s="136" t="str">
        <f t="shared" ca="1" si="17"/>
        <v>-</v>
      </c>
      <c r="AA138" s="134">
        <f ca="1">IFERROR(VLOOKUP(X138,'credit rating'!A:C,3,FALSE),0)</f>
        <v>14</v>
      </c>
      <c r="AB138" s="134">
        <f ca="1">IFERROR(VLOOKUP(Y138,'credit rating'!B:C,2,FALSE),0)</f>
        <v>13</v>
      </c>
      <c r="AC138" s="136">
        <f ca="1">IFERROR(VLOOKUP(Z138,'credit rating'!B:C,2,FALSE),0)</f>
        <v>0</v>
      </c>
      <c r="AD138" s="136">
        <f t="shared" ca="1" si="18"/>
        <v>14</v>
      </c>
      <c r="AE138" s="249">
        <f ca="1">IFERROR(VLOOKUP(B138,bond!B:U,20,FALSE),"")</f>
        <v>5.2900000000000003E-2</v>
      </c>
      <c r="AF138" s="136" t="str">
        <f ca="1">IF(VLOOKUP(B138,bond!B:AK,36,FALSE)="#N/A Field Not Applicable","",VLOOKUP(B138,bond!B:AK,36,FALSE))</f>
        <v>2049/7/15</v>
      </c>
      <c r="AG138" s="136" t="str">
        <f ca="1">IF(VLOOKUP(B138,bond!B:AL,37,FALSE)="FIXED","固定",IF(VLOOKUP(B138,bond!B:AL,37,FALSE)="FLOATING","浮動",IF(VLOOKUP(B138,bond!B:AL,37,FALSE)="VARIABLE","變動",IF(VLOOKUP(B138,bond!B:AL,37,FALSE)="FLAT TRADING","不含息交易",IF(VLOOKUP(B138,bond!B:AL,37,FALSE)="ZERO COUPON","零息",VLOOKUP(B138,bond!B:AL,37,FALSE))))))</f>
        <v>固定</v>
      </c>
      <c r="AH138" s="136" t="str">
        <f>VLOOKUP(C138,'2_Check_code'!I:J,2,FALSE)</f>
        <v>美元(USD)</v>
      </c>
      <c r="AI138" s="136" t="str">
        <f t="shared" ca="1" si="19"/>
        <v>自由選清單</v>
      </c>
      <c r="AJ138" s="136">
        <f t="shared" ca="1" si="20"/>
        <v>0</v>
      </c>
      <c r="AK138" s="594" t="str">
        <f ca="1">IF(VLOOKUP(B138,bond!B:S,18,FALSE)="是","有",IF(VLOOKUP(B138,bond!B:S,18,FALSE)="NO OFFER","無","需查詢"))</f>
        <v>有</v>
      </c>
      <c r="AL138" s="136" t="str">
        <f>IF(VLOOKUP(A138,bond!F:AR,39,FALSE)="#N/A Field Not Applicable",VLOOKUP(A138,bond!F:AR,38,FALSE),IFERROR(VLOOKUP(A138,'7_發行日例外'!A:B,2,FALSE),VLOOKUP(A138,bond!F:AR,39,FALSE)))</f>
        <v>2020/1/13</v>
      </c>
      <c r="AM138" s="136" t="str">
        <f ca="1">VLOOKUP(B138,bond!B:AK,36,FALSE)</f>
        <v>2049/7/15</v>
      </c>
      <c r="AN138" s="136" t="str">
        <f ca="1">IFERROR(VLOOKUP(B138,'3_是否下架'!A:A,1,FALSE),"")</f>
        <v/>
      </c>
      <c r="AO138" s="136">
        <f ca="1">VLOOKUP(B138,bond!B:J,9,FALSE)</f>
        <v>77.98</v>
      </c>
      <c r="AP138" s="136">
        <f ca="1">VLOOKUP(B138,bond!B:V,21,FALSE)</f>
        <v>14.325699999999999</v>
      </c>
    </row>
    <row r="139" spans="1:42">
      <c r="A139" s="141" t="str">
        <f>bond!F140</f>
        <v>US931427AT57</v>
      </c>
      <c r="B139" s="151" t="str">
        <f ca="1">IF($C$1=TRUE,bond!B140,"")</f>
        <v>XG230</v>
      </c>
      <c r="C139" s="95" t="str">
        <f>VLOOKUP(A139,bond!F:G,2,FALSE)</f>
        <v>USD</v>
      </c>
      <c r="D139" s="142" t="str">
        <f ca="1">VLOOKUP(B139,bond!B:C,2,FALSE)</f>
        <v>沃爾格林博姿聯合公司美元配息債券 4.1% 2050/4/15</v>
      </c>
      <c r="E139" s="95" t="str">
        <f ca="1">VLOOKUP(B139,bond!B:D,3,FALSE)</f>
        <v>Ba2 / BBB- / WD</v>
      </c>
      <c r="F139" s="99" t="str">
        <f ca="1">VLOOKUP(B139,bond!B:AB,27,FALSE)</f>
        <v>2050/4/15</v>
      </c>
      <c r="G139" s="90">
        <f ca="1">VLOOKUP(B139,bond!B:E,4,FALSE)</f>
        <v>25.79</v>
      </c>
      <c r="H139" s="202">
        <f ca="1">VLOOKUP(B139,bond!B:Y,24,FALSE)</f>
        <v>4.0999999999999995E-2</v>
      </c>
      <c r="I139" s="95">
        <f ca="1">VLOOKUP(B139,bond!B:Z,25,FALSE)</f>
        <v>2</v>
      </c>
      <c r="J139" s="180">
        <f ca="1">VLOOKUP(B139,bond!B:K,10,FALSE)</f>
        <v>0.87690000000000001</v>
      </c>
      <c r="K139" s="96">
        <f ca="1">VLOOKUP($B139,bond!B:S,14,FALSE)</f>
        <v>74.12</v>
      </c>
      <c r="L139" s="91" t="str">
        <f ca="1">VLOOKUP(B139,bond!B:H,7,FALSE)</f>
        <v>2024/7/2</v>
      </c>
      <c r="M139" s="144">
        <f ca="1">VLOOKUP($B139,bond!$B:$Q,16,FALSE)</f>
        <v>6.1899999999999997E-2</v>
      </c>
      <c r="N139" s="136">
        <f ca="1">VALUE(LEFT(VLOOKUP(B139,bond!B:R,17,FALSE),SEARCH(" ",VLOOKUP(B139,bond!B:R,17,FALSE),1)))</f>
        <v>10000</v>
      </c>
      <c r="O139" s="136">
        <f ca="1">VALUE(RIGHT(VLOOKUP(B139,bond!B:R,17,FALSE),LEN(VLOOKUP(B139,bond!B:R,17,FALSE))-LEN(N139)-3))</f>
        <v>1000</v>
      </c>
      <c r="P139" s="135" t="str">
        <f ca="1">VLOOKUP($B139,bond!$B:$AG,32,FALSE)</f>
        <v>2024/10/15</v>
      </c>
      <c r="Q139" s="135" t="str">
        <f ca="1">VLOOKUP($B139,bond!$B:$AH,33,FALSE)</f>
        <v>核心消費</v>
      </c>
      <c r="R139" s="135" t="str">
        <f ca="1">VLOOKUP(B139,bond!B:AA,26,FALSE)</f>
        <v>沃博聯公司</v>
      </c>
      <c r="S139" s="135" t="str">
        <f ca="1">VLOOKUP(B139,bond!B:AI,34,FALSE)</f>
        <v>WBA</v>
      </c>
      <c r="T139" s="135" t="str">
        <f t="shared" ca="1" si="14"/>
        <v>沃博聯公司/WBA</v>
      </c>
      <c r="U139" s="207" t="str">
        <f ca="1">IFERROR(VLOOKUP(T139,Bond_DES!D:E,2,FALSE),VLOOKUP(S139,bond!AI:AJ,2,FALSE))</f>
        <v>沃博聯(Walgreens Boots Alliance, Inc.)是全球最大的批發及零售藥房之一，主要經營藥品分銷、保健品、居家用品、美容護膚及個人護理產品銷售業務，在美、歐及亞洲有超過13,000家門市。於2023年《財富》全美500強排名第27位，亦為全球市值第2高的藥妝通路商。</v>
      </c>
      <c r="V139" s="136" t="str">
        <f ca="1">IFERROR(VLOOKUP(B139,'1_重設數據'!L:M,2,FALSE),IF(Q139="政府",IF(AD139&gt;16,"(NPI)非專投",IF(AD139&gt;10,"(PI)專投","高資產")),IF(VLOOKUP(B139,bond!B:AN,39,FALSE)="Y","(PI)專投",IF(AD139&gt;=15,"(NPI)非專投",IF(AD139&gt;=10,"(PI)專投","高資產")))))</f>
        <v>(PI)專投</v>
      </c>
      <c r="W139" s="136" t="str">
        <f ca="1">VLOOKUP(AD139,'credit rating'!$F$2:$H$22,3,FALSE)</f>
        <v>BBB-</v>
      </c>
      <c r="X139" s="136" t="str">
        <f t="shared" ca="1" si="15"/>
        <v>Ba2</v>
      </c>
      <c r="Y139" s="136" t="str">
        <f t="shared" ca="1" si="16"/>
        <v>BBB-</v>
      </c>
      <c r="Z139" s="136" t="str">
        <f t="shared" ca="1" si="17"/>
        <v>WD</v>
      </c>
      <c r="AA139" s="134">
        <f ca="1">IFERROR(VLOOKUP(X139,'credit rating'!A:C,3,FALSE),0)</f>
        <v>10</v>
      </c>
      <c r="AB139" s="134">
        <f ca="1">IFERROR(VLOOKUP(Y139,'credit rating'!B:C,2,FALSE),0)</f>
        <v>12</v>
      </c>
      <c r="AC139" s="136">
        <f ca="1">IFERROR(VLOOKUP(Z139,'credit rating'!B:C,2,FALSE),0)</f>
        <v>0</v>
      </c>
      <c r="AD139" s="136">
        <f t="shared" ca="1" si="18"/>
        <v>12</v>
      </c>
      <c r="AE139" s="249">
        <f ca="1">IFERROR(VLOOKUP(B139,bond!B:U,20,FALSE),"")</f>
        <v>6.2100000000000002E-2</v>
      </c>
      <c r="AF139" s="136" t="str">
        <f ca="1">IF(VLOOKUP(B139,bond!B:AK,36,FALSE)="#N/A Field Not Applicable","",VLOOKUP(B139,bond!B:AK,36,FALSE))</f>
        <v>2049/10/15</v>
      </c>
      <c r="AG139" s="136" t="str">
        <f ca="1">IF(VLOOKUP(B139,bond!B:AL,37,FALSE)="FIXED","固定",IF(VLOOKUP(B139,bond!B:AL,37,FALSE)="FLOATING","浮動",IF(VLOOKUP(B139,bond!B:AL,37,FALSE)="VARIABLE","變動",IF(VLOOKUP(B139,bond!B:AL,37,FALSE)="FLAT TRADING","不含息交易",IF(VLOOKUP(B139,bond!B:AL,37,FALSE)="ZERO COUPON","零息",VLOOKUP(B139,bond!B:AL,37,FALSE))))))</f>
        <v>固定</v>
      </c>
      <c r="AH139" s="136" t="str">
        <f>VLOOKUP(C139,'2_Check_code'!I:J,2,FALSE)</f>
        <v>美元(USD)</v>
      </c>
      <c r="AI139" s="136" t="str">
        <f t="shared" ca="1" si="19"/>
        <v>自由選清單</v>
      </c>
      <c r="AJ139" s="136">
        <f t="shared" ca="1" si="20"/>
        <v>0</v>
      </c>
      <c r="AK139" s="594" t="str">
        <f ca="1">IF(VLOOKUP(B139,bond!B:S,18,FALSE)="是","有",IF(VLOOKUP(B139,bond!B:S,18,FALSE)="NO OFFER","無","需查詢"))</f>
        <v>有</v>
      </c>
      <c r="AL139" s="136" t="str">
        <f>IF(VLOOKUP(A139,bond!F:AR,39,FALSE)="#N/A Field Not Applicable",VLOOKUP(A139,bond!F:AR,38,FALSE),IFERROR(VLOOKUP(A139,'7_發行日例外'!A:B,2,FALSE),VLOOKUP(A139,bond!F:AR,39,FALSE)))</f>
        <v>2020/4/15</v>
      </c>
      <c r="AM139" s="136" t="str">
        <f ca="1">VLOOKUP(B139,bond!B:AK,36,FALSE)</f>
        <v>2049/10/15</v>
      </c>
      <c r="AN139" s="136" t="str">
        <f ca="1">IFERROR(VLOOKUP(B139,'3_是否下架'!A:A,1,FALSE),"")</f>
        <v/>
      </c>
      <c r="AO139" s="136">
        <f ca="1">VLOOKUP(B139,bond!B:J,9,FALSE)</f>
        <v>69.740000000000009</v>
      </c>
      <c r="AP139" s="136">
        <f ca="1">VLOOKUP(B139,bond!B:V,21,FALSE)</f>
        <v>13.5687</v>
      </c>
    </row>
    <row r="140" spans="1:42">
      <c r="A140" s="141" t="str">
        <f>bond!F141</f>
        <v>US00206RKA94</v>
      </c>
      <c r="B140" s="151" t="str">
        <f ca="1">IF($C$1=TRUE,bond!B141,"")</f>
        <v>XG240</v>
      </c>
      <c r="C140" s="95" t="str">
        <f>VLOOKUP(A140,bond!F:G,2,FALSE)</f>
        <v>USD</v>
      </c>
      <c r="D140" s="142" t="str">
        <f ca="1">VLOOKUP(B140,bond!B:C,2,FALSE)</f>
        <v>AT&amp;T公司美元配息債券 3.65% 2051/6/1</v>
      </c>
      <c r="E140" s="95" t="str">
        <f ca="1">VLOOKUP(B140,bond!B:D,3,FALSE)</f>
        <v>Baa2 / BBB / BBB+</v>
      </c>
      <c r="F140" s="99" t="str">
        <f ca="1">VLOOKUP(B140,bond!B:AB,27,FALSE)</f>
        <v>2051/6/1</v>
      </c>
      <c r="G140" s="90">
        <f ca="1">VLOOKUP(B140,bond!B:E,4,FALSE)</f>
        <v>26.91</v>
      </c>
      <c r="H140" s="202">
        <f ca="1">VLOOKUP(B140,bond!B:Y,24,FALSE)</f>
        <v>3.6499999999999998E-2</v>
      </c>
      <c r="I140" s="95">
        <f ca="1">VLOOKUP(B140,bond!B:Z,25,FALSE)</f>
        <v>2</v>
      </c>
      <c r="J140" s="180">
        <f ca="1">VLOOKUP(B140,bond!B:K,10,FALSE)</f>
        <v>0.31430000000000002</v>
      </c>
      <c r="K140" s="96">
        <f ca="1">VLOOKUP($B140,bond!B:S,14,FALSE)</f>
        <v>75.06</v>
      </c>
      <c r="L140" s="91" t="str">
        <f ca="1">VLOOKUP(B140,bond!B:H,7,FALSE)</f>
        <v>2024/7/2</v>
      </c>
      <c r="M140" s="144">
        <f ca="1">VLOOKUP($B140,bond!$B:$Q,16,FALSE)</f>
        <v>5.45E-2</v>
      </c>
      <c r="N140" s="136">
        <f ca="1">VALUE(LEFT(VLOOKUP(B140,bond!B:R,17,FALSE),SEARCH(" ",VLOOKUP(B140,bond!B:R,17,FALSE),1)))</f>
        <v>10000</v>
      </c>
      <c r="O140" s="136">
        <f ca="1">VALUE(RIGHT(VLOOKUP(B140,bond!B:R,17,FALSE),LEN(VLOOKUP(B140,bond!B:R,17,FALSE))-LEN(N140)-3))</f>
        <v>1000</v>
      </c>
      <c r="P140" s="135" t="str">
        <f ca="1">VLOOKUP($B140,bond!$B:$AG,32,FALSE)</f>
        <v>2024/12/1</v>
      </c>
      <c r="Q140" s="135" t="str">
        <f ca="1">VLOOKUP($B140,bond!$B:$AH,33,FALSE)</f>
        <v>通訊</v>
      </c>
      <c r="R140" s="135" t="str">
        <f ca="1">VLOOKUP(B140,bond!B:AA,26,FALSE)</f>
        <v>AT&amp;T公司</v>
      </c>
      <c r="S140" s="135" t="str">
        <f ca="1">VLOOKUP(B140,bond!B:AI,34,FALSE)</f>
        <v>T</v>
      </c>
      <c r="T140" s="135" t="str">
        <f t="shared" ca="1" si="14"/>
        <v>AT&amp;T公司/T</v>
      </c>
      <c r="U140" s="207" t="str">
        <f ca="1">IFERROR(VLOOKUP(T140,Bond_DES!D:E,2,FALSE),VLOOKUP(S140,bond!AI:AJ,2,FALSE))</f>
        <v>AT&amp;T公司(AT&amp;T Inc.)為美國三大電信巨頭之一，於全球電信品牌價值排名第3位(Brand Finance 2024)、美國電信業營收排名第2位(Fortune 2024)，5G網絡覆蓋美國逾3億人；為致力專注本業發展，已陸續於近年完成分拆全美最大衛星電視服務供應商DirecTV和華納媒體，徹底打造純通訊服務。</v>
      </c>
      <c r="V140" s="136" t="str">
        <f ca="1">IFERROR(VLOOKUP(B140,'1_重設數據'!L:M,2,FALSE),IF(Q140="政府",IF(AD140&gt;16,"(NPI)非專投",IF(AD140&gt;10,"(PI)專投","高資產")),IF(VLOOKUP(B140,bond!B:AN,39,FALSE)="Y","(PI)專投",IF(AD140&gt;=15,"(NPI)非專投",IF(AD140&gt;=10,"(PI)專投","高資產")))))</f>
        <v>(PI)專投</v>
      </c>
      <c r="W140" s="136" t="str">
        <f ca="1">VLOOKUP(AD140,'credit rating'!$F$2:$H$22,3,FALSE)</f>
        <v>BBB+</v>
      </c>
      <c r="X140" s="136" t="str">
        <f t="shared" ca="1" si="15"/>
        <v>Baa2</v>
      </c>
      <c r="Y140" s="136" t="str">
        <f t="shared" ca="1" si="16"/>
        <v>BBB</v>
      </c>
      <c r="Z140" s="136" t="str">
        <f t="shared" ca="1" si="17"/>
        <v>BBB+</v>
      </c>
      <c r="AA140" s="134">
        <f ca="1">IFERROR(VLOOKUP(X140,'credit rating'!A:C,3,FALSE),0)</f>
        <v>13</v>
      </c>
      <c r="AB140" s="134">
        <f ca="1">IFERROR(VLOOKUP(Y140,'credit rating'!B:C,2,FALSE),0)</f>
        <v>13</v>
      </c>
      <c r="AC140" s="136">
        <f ca="1">IFERROR(VLOOKUP(Z140,'credit rating'!B:C,2,FALSE),0)</f>
        <v>14</v>
      </c>
      <c r="AD140" s="136">
        <f t="shared" ca="1" si="18"/>
        <v>14</v>
      </c>
      <c r="AE140" s="249">
        <f ca="1">IFERROR(VLOOKUP(B140,bond!B:U,20,FALSE),"")</f>
        <v>5.4699999999999999E-2</v>
      </c>
      <c r="AF140" s="136" t="str">
        <f ca="1">IF(VLOOKUP(B140,bond!B:AK,36,FALSE)="#N/A Field Not Applicable","",VLOOKUP(B140,bond!B:AK,36,FALSE))</f>
        <v>2050/12/1</v>
      </c>
      <c r="AG140" s="136" t="str">
        <f ca="1">IF(VLOOKUP(B140,bond!B:AL,37,FALSE)="FIXED","固定",IF(VLOOKUP(B140,bond!B:AL,37,FALSE)="FLOATING","浮動",IF(VLOOKUP(B140,bond!B:AL,37,FALSE)="VARIABLE","變動",IF(VLOOKUP(B140,bond!B:AL,37,FALSE)="FLAT TRADING","不含息交易",IF(VLOOKUP(B140,bond!B:AL,37,FALSE)="ZERO COUPON","零息",VLOOKUP(B140,bond!B:AL,37,FALSE))))))</f>
        <v>固定</v>
      </c>
      <c r="AH140" s="136" t="str">
        <f>VLOOKUP(C140,'2_Check_code'!I:J,2,FALSE)</f>
        <v>美元(USD)</v>
      </c>
      <c r="AI140" s="136" t="str">
        <f t="shared" ca="1" si="19"/>
        <v>自由選清單</v>
      </c>
      <c r="AJ140" s="136">
        <f t="shared" ca="1" si="20"/>
        <v>0</v>
      </c>
      <c r="AK140" s="594" t="str">
        <f ca="1">IF(VLOOKUP(B140,bond!B:S,18,FALSE)="是","有",IF(VLOOKUP(B140,bond!B:S,18,FALSE)="NO OFFER","無","需查詢"))</f>
        <v>有</v>
      </c>
      <c r="AL140" s="136" t="str">
        <f>IF(VLOOKUP(A140,bond!F:AR,39,FALSE)="#N/A Field Not Applicable",VLOOKUP(A140,bond!F:AR,38,FALSE),IFERROR(VLOOKUP(A140,'7_發行日例外'!A:B,2,FALSE),VLOOKUP(A140,bond!F:AR,39,FALSE)))</f>
        <v>2020/5/28</v>
      </c>
      <c r="AM140" s="136" t="str">
        <f ca="1">VLOOKUP(B140,bond!B:AK,36,FALSE)</f>
        <v>2050/12/1</v>
      </c>
      <c r="AN140" s="136" t="str">
        <f ca="1">IFERROR(VLOOKUP(B140,'3_是否下架'!A:A,1,FALSE),"")</f>
        <v/>
      </c>
      <c r="AO140" s="136">
        <f ca="1">VLOOKUP(B140,bond!B:J,9,FALSE)</f>
        <v>71.25</v>
      </c>
      <c r="AP140" s="136">
        <f ca="1">VLOOKUP(B140,bond!B:V,21,FALSE)</f>
        <v>15.046900000000001</v>
      </c>
    </row>
    <row r="141" spans="1:42">
      <c r="A141" s="141" t="str">
        <f>bond!F142</f>
        <v>US594918BT09</v>
      </c>
      <c r="B141" s="151" t="str">
        <f ca="1">IF($C$1=TRUE,bond!B142,"")</f>
        <v>XG250</v>
      </c>
      <c r="C141" s="95" t="str">
        <f>VLOOKUP(A141,bond!F:G,2,FALSE)</f>
        <v>USD</v>
      </c>
      <c r="D141" s="142" t="str">
        <f ca="1">VLOOKUP(B141,bond!B:C,2,FALSE)</f>
        <v>微軟公司美元配息債券 3.7% 2046/8/8</v>
      </c>
      <c r="E141" s="95" t="str">
        <f ca="1">VLOOKUP(B141,bond!B:D,3,FALSE)</f>
        <v>Aaa / AAA / WD</v>
      </c>
      <c r="F141" s="99" t="str">
        <f ca="1">VLOOKUP(B141,bond!B:AB,27,FALSE)</f>
        <v>2046/8/8</v>
      </c>
      <c r="G141" s="90">
        <f ca="1">VLOOKUP(B141,bond!B:E,4,FALSE)</f>
        <v>22.1</v>
      </c>
      <c r="H141" s="202">
        <f ca="1">VLOOKUP(B141,bond!B:Y,24,FALSE)</f>
        <v>3.7000000000000005E-2</v>
      </c>
      <c r="I141" s="95">
        <f ca="1">VLOOKUP(B141,bond!B:Z,25,FALSE)</f>
        <v>2</v>
      </c>
      <c r="J141" s="180">
        <f ca="1">VLOOKUP(B141,bond!B:K,10,FALSE)</f>
        <v>1.48</v>
      </c>
      <c r="K141" s="96">
        <f ca="1">VLOOKUP($B141,bond!B:S,14,FALSE)</f>
        <v>87.19</v>
      </c>
      <c r="L141" s="91" t="str">
        <f ca="1">VLOOKUP(B141,bond!B:H,7,FALSE)</f>
        <v>2024/7/2</v>
      </c>
      <c r="M141" s="144">
        <f ca="1">VLOOKUP($B141,bond!$B:$Q,16,FALSE)</f>
        <v>4.7500000000000001E-2</v>
      </c>
      <c r="N141" s="136">
        <f ca="1">VALUE(LEFT(VLOOKUP(B141,bond!B:R,17,FALSE),SEARCH(" ",VLOOKUP(B141,bond!B:R,17,FALSE),1)))</f>
        <v>10000</v>
      </c>
      <c r="O141" s="136">
        <f ca="1">VALUE(RIGHT(VLOOKUP(B141,bond!B:R,17,FALSE),LEN(VLOOKUP(B141,bond!B:R,17,FALSE))-LEN(N141)-3))</f>
        <v>1000</v>
      </c>
      <c r="P141" s="135" t="str">
        <f ca="1">VLOOKUP($B141,bond!$B:$AG,32,FALSE)</f>
        <v>2024/8/8</v>
      </c>
      <c r="Q141" s="135" t="str">
        <f ca="1">VLOOKUP($B141,bond!$B:$AH,33,FALSE)</f>
        <v>科技</v>
      </c>
      <c r="R141" s="135" t="str">
        <f ca="1">VLOOKUP(B141,bond!B:AA,26,FALSE)</f>
        <v>微軟</v>
      </c>
      <c r="S141" s="135" t="str">
        <f ca="1">VLOOKUP(B141,bond!B:AI,34,FALSE)</f>
        <v>MSFT</v>
      </c>
      <c r="T141" s="135" t="str">
        <f t="shared" ca="1" si="14"/>
        <v>微軟/MSFT</v>
      </c>
      <c r="U141" s="207" t="str">
        <f ca="1">IFERROR(VLOOKUP(T141,Bond_DES!D:E,2,FALSE),VLOOKUP(S141,bond!AI:AJ,2,FALSE))</f>
        <v>微軟(Microsoft Corp)是全球軟體霸主，擁有Windows作業系統、Xbox遊戲、LinkedIn、Office系列與雲端運算等多項產品，近年來雲端服務Azure漸成營收主要成長引擎，於全球雲基礎設施服務供應商市佔第2(僅次於亞馬遜)； 2023年10月完成併購動視暴雪讓微軟擠身遊戲巨頭之列。</v>
      </c>
      <c r="V141" s="136" t="str">
        <f ca="1">IFERROR(VLOOKUP(B141,'1_重設數據'!L:M,2,FALSE),IF(Q141="政府",IF(AD141&gt;16,"(NPI)非專投",IF(AD141&gt;10,"(PI)專投","高資產")),IF(VLOOKUP(B141,bond!B:AN,39,FALSE)="Y","(PI)專投",IF(AD141&gt;=15,"(NPI)非專投",IF(AD141&gt;=10,"(PI)專投","高資產")))))</f>
        <v>(NPI)非專投</v>
      </c>
      <c r="W141" s="136" t="str">
        <f ca="1">VLOOKUP(AD141,'credit rating'!$F$2:$H$22,3,FALSE)</f>
        <v>AAA</v>
      </c>
      <c r="X141" s="136" t="str">
        <f t="shared" ca="1" si="15"/>
        <v>Aaa</v>
      </c>
      <c r="Y141" s="136" t="str">
        <f t="shared" ca="1" si="16"/>
        <v>AAA</v>
      </c>
      <c r="Z141" s="136" t="str">
        <f t="shared" ca="1" si="17"/>
        <v>WD</v>
      </c>
      <c r="AA141" s="134">
        <f ca="1">IFERROR(VLOOKUP(X141,'credit rating'!A:C,3,FALSE),0)</f>
        <v>21</v>
      </c>
      <c r="AB141" s="134">
        <f ca="1">IFERROR(VLOOKUP(Y141,'credit rating'!B:C,2,FALSE),0)</f>
        <v>21</v>
      </c>
      <c r="AC141" s="136">
        <f ca="1">IFERROR(VLOOKUP(Z141,'credit rating'!B:C,2,FALSE),0)</f>
        <v>0</v>
      </c>
      <c r="AD141" s="136">
        <f t="shared" ca="1" si="18"/>
        <v>21</v>
      </c>
      <c r="AE141" s="249">
        <f ca="1">IFERROR(VLOOKUP(B141,bond!B:U,20,FALSE),"")</f>
        <v>4.7699999999999999E-2</v>
      </c>
      <c r="AF141" s="136" t="str">
        <f ca="1">IF(VLOOKUP(B141,bond!B:AK,36,FALSE)="#N/A Field Not Applicable","",VLOOKUP(B141,bond!B:AK,36,FALSE))</f>
        <v>2046/2/8</v>
      </c>
      <c r="AG141" s="136" t="str">
        <f ca="1">IF(VLOOKUP(B141,bond!B:AL,37,FALSE)="FIXED","固定",IF(VLOOKUP(B141,bond!B:AL,37,FALSE)="FLOATING","浮動",IF(VLOOKUP(B141,bond!B:AL,37,FALSE)="VARIABLE","變動",IF(VLOOKUP(B141,bond!B:AL,37,FALSE)="FLAT TRADING","不含息交易",IF(VLOOKUP(B141,bond!B:AL,37,FALSE)="ZERO COUPON","零息",VLOOKUP(B141,bond!B:AL,37,FALSE))))))</f>
        <v>固定</v>
      </c>
      <c r="AH141" s="136" t="str">
        <f>VLOOKUP(C141,'2_Check_code'!I:J,2,FALSE)</f>
        <v>美元(USD)</v>
      </c>
      <c r="AI141" s="136" t="str">
        <f t="shared" ca="1" si="19"/>
        <v>自由選清單</v>
      </c>
      <c r="AJ141" s="136">
        <f t="shared" ca="1" si="20"/>
        <v>0</v>
      </c>
      <c r="AK141" s="594" t="str">
        <f ca="1">IF(VLOOKUP(B141,bond!B:S,18,FALSE)="是","有",IF(VLOOKUP(B141,bond!B:S,18,FALSE)="NO OFFER","無","需查詢"))</f>
        <v>有</v>
      </c>
      <c r="AL141" s="136" t="str">
        <f>IF(VLOOKUP(A141,bond!F:AR,39,FALSE)="#N/A Field Not Applicable",VLOOKUP(A141,bond!F:AR,38,FALSE),IFERROR(VLOOKUP(A141,'7_發行日例外'!A:B,2,FALSE),VLOOKUP(A141,bond!F:AR,39,FALSE)))</f>
        <v>2016/8/8</v>
      </c>
      <c r="AM141" s="136" t="str">
        <f ca="1">VLOOKUP(B141,bond!B:AK,36,FALSE)</f>
        <v>2046/2/8</v>
      </c>
      <c r="AN141" s="136" t="str">
        <f ca="1">IFERROR(VLOOKUP(B141,'3_是否下架'!A:A,1,FALSE),"")</f>
        <v/>
      </c>
      <c r="AO141" s="136">
        <f ca="1">VLOOKUP(B141,bond!B:J,9,FALSE)</f>
        <v>82.710000000000008</v>
      </c>
      <c r="AP141" s="136">
        <f ca="1">VLOOKUP(B141,bond!B:V,21,FALSE)</f>
        <v>13.9755</v>
      </c>
    </row>
    <row r="142" spans="1:42">
      <c r="A142" s="141" t="str">
        <f>bond!F143</f>
        <v>XS2216795638</v>
      </c>
      <c r="B142" s="151" t="str">
        <f ca="1">IF($C$1=TRUE,bond!B143,"")</f>
        <v>XG270</v>
      </c>
      <c r="C142" s="95" t="str">
        <f>VLOOKUP(A142,bond!F:G,2,FALSE)</f>
        <v>ZAR</v>
      </c>
      <c r="D142" s="142" t="str">
        <f ca="1">VLOOKUP(B142,bond!B:C,2,FALSE)</f>
        <v>花旗環球證券控股公司南非幣配息債券  7% 2030/12/23</v>
      </c>
      <c r="E142" s="95" t="str">
        <f ca="1">VLOOKUP(B142,bond!B:D,3,FALSE)</f>
        <v>A2 / - / -</v>
      </c>
      <c r="F142" s="99" t="str">
        <f ca="1">VLOOKUP(B142,bond!B:AB,27,FALSE)</f>
        <v>2030/12/23</v>
      </c>
      <c r="G142" s="90">
        <f ca="1">VLOOKUP(B142,bond!B:E,4,FALSE)</f>
        <v>6.47</v>
      </c>
      <c r="H142" s="202">
        <f ca="1">VLOOKUP(B142,bond!B:Y,24,FALSE)</f>
        <v>7.0000000000000007E-2</v>
      </c>
      <c r="I142" s="95">
        <f ca="1">VLOOKUP(B142,bond!B:Z,25,FALSE)</f>
        <v>1</v>
      </c>
      <c r="J142" s="180">
        <f ca="1">VLOOKUP(B142,bond!B:K,10,FALSE)</f>
        <v>3.7139000000000002</v>
      </c>
      <c r="K142" s="96">
        <f ca="1">VLOOKUP($B142,bond!B:S,14,FALSE)</f>
        <v>0</v>
      </c>
      <c r="L142" s="91" t="str">
        <f ca="1">VLOOKUP(B142,bond!B:H,7,FALSE)</f>
        <v>2024/7/4</v>
      </c>
      <c r="M142" s="144">
        <f ca="1">VLOOKUP($B142,bond!$B:$Q,16,FALSE)</f>
        <v>0</v>
      </c>
      <c r="N142" s="136">
        <f ca="1">VALUE(LEFT(VLOOKUP(B142,bond!B:R,17,FALSE),SEARCH(" ",VLOOKUP(B142,bond!B:R,17,FALSE),1)))</f>
        <v>100000</v>
      </c>
      <c r="O142" s="136">
        <f ca="1">VALUE(RIGHT(VLOOKUP(B142,bond!B:R,17,FALSE),LEN(VLOOKUP(B142,bond!B:R,17,FALSE))-LEN(N142)-3))</f>
        <v>10000</v>
      </c>
      <c r="P142" s="135" t="str">
        <f ca="1">VLOOKUP($B142,bond!$B:$AG,32,FALSE)</f>
        <v>2024/12/23</v>
      </c>
      <c r="Q142" s="135" t="str">
        <f ca="1">VLOOKUP($B142,bond!$B:$AH,33,FALSE)</f>
        <v>金融</v>
      </c>
      <c r="R142" s="135" t="str">
        <f ca="1">VLOOKUP(B142,bond!B:AA,26,FALSE)</f>
        <v>花旗環球證券控股公司(美國)</v>
      </c>
      <c r="S142" s="135" t="str">
        <f ca="1">VLOOKUP(B142,bond!B:AI,34,FALSE)</f>
        <v>C</v>
      </c>
      <c r="T142" s="135" t="str">
        <f t="shared" ca="1" si="14"/>
        <v>花旗環球證券控股公司(美國)/C</v>
      </c>
      <c r="U142" s="207" t="str">
        <f ca="1">IFERROR(VLOOKUP(T142,Bond_DES!D:E,2,FALSE),VLOOKUP(S142,bond!AI:AJ,2,FALSE))</f>
        <v>花旗環球證券控股公司(Citigroup Global Markets Holdings Inc.)提供廣泛的金融服務。保證機構花旗集團(Citigroup Inc.)是一家全球性多元化金融服務控股公司，按一級資本為全球第7大、美國第3大行(The Banker 2023)，營收、品牌、資本水準高居美國前五大行地位。</v>
      </c>
      <c r="V142" s="136" t="str">
        <f ca="1">IFERROR(VLOOKUP(B142,'1_重設數據'!L:M,2,FALSE),IF(Q142="政府",IF(AD142&gt;16,"(NPI)非專投",IF(AD142&gt;10,"(PI)專投","高資產")),IF(VLOOKUP(B142,bond!B:AN,39,FALSE)="Y","(PI)專投",IF(AD142&gt;=15,"(NPI)非專投",IF(AD142&gt;=10,"(PI)專投","高資產")))))</f>
        <v>(NPI)非專投</v>
      </c>
      <c r="W142" s="136" t="str">
        <f ca="1">VLOOKUP(AD142,'credit rating'!$F$2:$H$22,3,FALSE)</f>
        <v>A</v>
      </c>
      <c r="X142" s="136" t="str">
        <f t="shared" ca="1" si="15"/>
        <v>A2</v>
      </c>
      <c r="Y142" s="136" t="str">
        <f t="shared" ca="1" si="16"/>
        <v>-</v>
      </c>
      <c r="Z142" s="136" t="str">
        <f t="shared" ca="1" si="17"/>
        <v>-</v>
      </c>
      <c r="AA142" s="134">
        <f ca="1">IFERROR(VLOOKUP(X142,'credit rating'!A:C,3,FALSE),0)</f>
        <v>16</v>
      </c>
      <c r="AB142" s="134">
        <f ca="1">IFERROR(VLOOKUP(Y142,'credit rating'!B:C,2,FALSE),0)</f>
        <v>0</v>
      </c>
      <c r="AC142" s="136">
        <f ca="1">IFERROR(VLOOKUP(Z142,'credit rating'!B:C,2,FALSE),0)</f>
        <v>0</v>
      </c>
      <c r="AD142" s="136">
        <f t="shared" ca="1" si="18"/>
        <v>16</v>
      </c>
      <c r="AE142" s="249">
        <f ca="1">IFERROR(VLOOKUP(B142,bond!B:U,20,FALSE),"")</f>
        <v>29.465699999999998</v>
      </c>
      <c r="AF142" s="136" t="str">
        <f ca="1">IF(VLOOKUP(B142,bond!B:AK,36,FALSE)="#N/A Field Not Applicable","",VLOOKUP(B142,bond!B:AK,36,FALSE))</f>
        <v>2024/12/23</v>
      </c>
      <c r="AG142" s="136" t="str">
        <f ca="1">IF(VLOOKUP(B142,bond!B:AL,37,FALSE)="FIXED","固定",IF(VLOOKUP(B142,bond!B:AL,37,FALSE)="FLOATING","浮動",IF(VLOOKUP(B142,bond!B:AL,37,FALSE)="VARIABLE","變動",IF(VLOOKUP(B142,bond!B:AL,37,FALSE)="FLAT TRADING","不含息交易",IF(VLOOKUP(B142,bond!B:AL,37,FALSE)="ZERO COUPON","零息",VLOOKUP(B142,bond!B:AL,37,FALSE))))))</f>
        <v>固定</v>
      </c>
      <c r="AH142" s="136" t="str">
        <f>VLOOKUP(C142,'2_Check_code'!I:J,2,FALSE)</f>
        <v>南非幣(ZAR)</v>
      </c>
      <c r="AI142" s="136" t="str">
        <f t="shared" ca="1" si="19"/>
        <v/>
      </c>
      <c r="AJ142" s="136">
        <f t="shared" ca="1" si="20"/>
        <v>1</v>
      </c>
      <c r="AK142" s="594" t="str">
        <f ca="1">IF(VLOOKUP(B142,bond!B:S,18,FALSE)="是","有",IF(VLOOKUP(B142,bond!B:S,18,FALSE)="NO OFFER","無","需查詢"))</f>
        <v>無</v>
      </c>
      <c r="AL142" s="136" t="str">
        <f>IF(VLOOKUP(A142,bond!F:AR,39,FALSE)="#N/A Field Not Applicable",VLOOKUP(A142,bond!F:AR,38,FALSE),IFERROR(VLOOKUP(A142,'7_發行日例外'!A:B,2,FALSE),VLOOKUP(A142,bond!F:AR,39,FALSE)))</f>
        <v>2020/12/23</v>
      </c>
      <c r="AM142" s="136" t="str">
        <f ca="1">VLOOKUP(B142,bond!B:AK,36,FALSE)</f>
        <v>2024/12/23</v>
      </c>
      <c r="AN142" s="136" t="str">
        <f ca="1">IFERROR(VLOOKUP(B142,'3_是否下架'!A:A,1,FALSE),"")</f>
        <v>XG270</v>
      </c>
      <c r="AO142" s="136">
        <f ca="1">VLOOKUP(B142,bond!B:J,9,FALSE)</f>
        <v>0</v>
      </c>
      <c r="AP142" s="136">
        <f ca="1">VLOOKUP(B142,bond!B:V,21,FALSE)</f>
        <v>4.0027999999999997</v>
      </c>
    </row>
    <row r="143" spans="1:42">
      <c r="A143" s="141" t="str">
        <f>bond!F144</f>
        <v>US654106AM50</v>
      </c>
      <c r="B143" s="151" t="str">
        <f ca="1">IF($C$1=TRUE,bond!B144,"")</f>
        <v>XG280</v>
      </c>
      <c r="C143" s="95" t="str">
        <f>VLOOKUP(A143,bond!F:G,2,FALSE)</f>
        <v>USD</v>
      </c>
      <c r="D143" s="142" t="str">
        <f ca="1">VLOOKUP(B143,bond!B:C,2,FALSE)</f>
        <v>NIKE公司美元配息債券 3.375% 2050/3/27</v>
      </c>
      <c r="E143" s="95" t="str">
        <f ca="1">VLOOKUP(B143,bond!B:D,3,FALSE)</f>
        <v>A1 / AA- / -</v>
      </c>
      <c r="F143" s="99" t="str">
        <f ca="1">VLOOKUP(B143,bond!B:AB,27,FALSE)</f>
        <v>2050/3/27</v>
      </c>
      <c r="G143" s="90">
        <f ca="1">VLOOKUP(B143,bond!B:E,4,FALSE)</f>
        <v>25.73</v>
      </c>
      <c r="H143" s="202">
        <f ca="1">VLOOKUP(B143,bond!B:Y,24,FALSE)</f>
        <v>3.3750000000000002E-2</v>
      </c>
      <c r="I143" s="95">
        <f ca="1">VLOOKUP(B143,bond!B:Z,25,FALSE)</f>
        <v>2</v>
      </c>
      <c r="J143" s="180">
        <f ca="1">VLOOKUP(B143,bond!B:K,10,FALSE)</f>
        <v>0.89059999999999995</v>
      </c>
      <c r="K143" s="96">
        <f ca="1">VLOOKUP($B143,bond!B:S,14,FALSE)</f>
        <v>77.11</v>
      </c>
      <c r="L143" s="91" t="str">
        <f ca="1">VLOOKUP(B143,bond!B:H,7,FALSE)</f>
        <v>2024/7/2</v>
      </c>
      <c r="M143" s="144">
        <f ca="1">VLOOKUP($B143,bond!$B:$Q,16,FALSE)</f>
        <v>5.0299999999999997E-2</v>
      </c>
      <c r="N143" s="136">
        <f ca="1">VALUE(LEFT(VLOOKUP(B143,bond!B:R,17,FALSE),SEARCH(" ",VLOOKUP(B143,bond!B:R,17,FALSE),1)))</f>
        <v>10000</v>
      </c>
      <c r="O143" s="136">
        <f ca="1">VALUE(RIGHT(VLOOKUP(B143,bond!B:R,17,FALSE),LEN(VLOOKUP(B143,bond!B:R,17,FALSE))-LEN(N143)-3))</f>
        <v>1000</v>
      </c>
      <c r="P143" s="135" t="str">
        <f ca="1">VLOOKUP($B143,bond!$B:$AG,32,FALSE)</f>
        <v>2024/9/27</v>
      </c>
      <c r="Q143" s="135" t="str">
        <f ca="1">VLOOKUP($B143,bond!$B:$AH,33,FALSE)</f>
        <v>非核心消費</v>
      </c>
      <c r="R143" s="135" t="str">
        <f ca="1">VLOOKUP(B143,bond!B:AA,26,FALSE)</f>
        <v>耐吉公司</v>
      </c>
      <c r="S143" s="135" t="str">
        <f ca="1">VLOOKUP(B143,bond!B:AI,34,FALSE)</f>
        <v>NKE</v>
      </c>
      <c r="T143" s="135" t="str">
        <f t="shared" ca="1" si="14"/>
        <v>耐吉公司/NKE</v>
      </c>
      <c r="U143" s="207" t="str">
        <f ca="1">IFERROR(VLOOKUP(T143,Bond_DES!D:E,2,FALSE),VLOOKUP(S143,bond!AI:AJ,2,FALSE))</f>
        <v>耐吉公司(NIKE, Inc.)全球運動鞋市值龍頭，為各類體育運動和健身活動設計及行銷運動鞋類、服裝、設備和配件，以“Just Do It”口號享譽全球，NIKE獨特的標誌是最受消費者認可的全球性品牌，於2024年《Brand Finance》服飾類品牌價值排名第2位，僅次於路易威登。</v>
      </c>
      <c r="V143" s="136" t="str">
        <f ca="1">IFERROR(VLOOKUP(B143,'1_重設數據'!L:M,2,FALSE),IF(Q143="政府",IF(AD143&gt;16,"(NPI)非專投",IF(AD143&gt;10,"(PI)專投","高資產")),IF(VLOOKUP(B143,bond!B:AN,39,FALSE)="Y","(PI)專投",IF(AD143&gt;=15,"(NPI)非專投",IF(AD143&gt;=10,"(PI)專投","高資產")))))</f>
        <v>(NPI)非專投</v>
      </c>
      <c r="W143" s="136" t="str">
        <f ca="1">VLOOKUP(AD143,'credit rating'!$F$2:$H$22,3,FALSE)</f>
        <v>AA-</v>
      </c>
      <c r="X143" s="136" t="str">
        <f t="shared" ca="1" si="15"/>
        <v>A1</v>
      </c>
      <c r="Y143" s="136" t="str">
        <f t="shared" ca="1" si="16"/>
        <v>AA-</v>
      </c>
      <c r="Z143" s="136" t="str">
        <f t="shared" ca="1" si="17"/>
        <v>-</v>
      </c>
      <c r="AA143" s="134">
        <f ca="1">IFERROR(VLOOKUP(X143,'credit rating'!A:C,3,FALSE),0)</f>
        <v>17</v>
      </c>
      <c r="AB143" s="134">
        <f ca="1">IFERROR(VLOOKUP(Y143,'credit rating'!B:C,2,FALSE),0)</f>
        <v>18</v>
      </c>
      <c r="AC143" s="136">
        <f ca="1">IFERROR(VLOOKUP(Z143,'credit rating'!B:C,2,FALSE),0)</f>
        <v>0</v>
      </c>
      <c r="AD143" s="136">
        <f t="shared" ca="1" si="18"/>
        <v>18</v>
      </c>
      <c r="AE143" s="249">
        <f ca="1">IFERROR(VLOOKUP(B143,bond!B:U,20,FALSE),"")</f>
        <v>5.0500000000000003E-2</v>
      </c>
      <c r="AF143" s="136" t="str">
        <f ca="1">IF(VLOOKUP(B143,bond!B:AK,36,FALSE)="#N/A Field Not Applicable","",VLOOKUP(B143,bond!B:AK,36,FALSE))</f>
        <v>2049/9/27</v>
      </c>
      <c r="AG143" s="136" t="str">
        <f ca="1">IF(VLOOKUP(B143,bond!B:AL,37,FALSE)="FIXED","固定",IF(VLOOKUP(B143,bond!B:AL,37,FALSE)="FLOATING","浮動",IF(VLOOKUP(B143,bond!B:AL,37,FALSE)="VARIABLE","變動",IF(VLOOKUP(B143,bond!B:AL,37,FALSE)="FLAT TRADING","不含息交易",IF(VLOOKUP(B143,bond!B:AL,37,FALSE)="ZERO COUPON","零息",VLOOKUP(B143,bond!B:AL,37,FALSE))))))</f>
        <v>固定</v>
      </c>
      <c r="AH143" s="136" t="str">
        <f>VLOOKUP(C143,'2_Check_code'!I:J,2,FALSE)</f>
        <v>美元(USD)</v>
      </c>
      <c r="AI143" s="136" t="str">
        <f t="shared" ca="1" si="19"/>
        <v>自由選清單</v>
      </c>
      <c r="AJ143" s="136">
        <f t="shared" ca="1" si="20"/>
        <v>0</v>
      </c>
      <c r="AK143" s="594" t="str">
        <f ca="1">IF(VLOOKUP(B143,bond!B:S,18,FALSE)="是","有",IF(VLOOKUP(B143,bond!B:S,18,FALSE)="NO OFFER","無","需查詢"))</f>
        <v>有</v>
      </c>
      <c r="AL143" s="136" t="str">
        <f>IF(VLOOKUP(A143,bond!F:AR,39,FALSE)="#N/A Field Not Applicable",VLOOKUP(A143,bond!F:AR,38,FALSE),IFERROR(VLOOKUP(A143,'7_發行日例外'!A:B,2,FALSE),VLOOKUP(A143,bond!F:AR,39,FALSE)))</f>
        <v>2020/3/27</v>
      </c>
      <c r="AM143" s="136" t="str">
        <f ca="1">VLOOKUP(B143,bond!B:AK,36,FALSE)</f>
        <v>2049/9/27</v>
      </c>
      <c r="AN143" s="136" t="str">
        <f ca="1">IFERROR(VLOOKUP(B143,'3_是否下架'!A:A,1,FALSE),"")</f>
        <v/>
      </c>
      <c r="AO143" s="136">
        <f ca="1">VLOOKUP(B143,bond!B:J,9,FALSE)</f>
        <v>72.72</v>
      </c>
      <c r="AP143" s="136">
        <f ca="1">VLOOKUP(B143,bond!B:V,21,FALSE)</f>
        <v>15.2905</v>
      </c>
    </row>
    <row r="144" spans="1:42">
      <c r="A144" s="141" t="str">
        <f>bond!F145</f>
        <v>XS2262853349</v>
      </c>
      <c r="B144" s="151" t="str">
        <f ca="1">IF($C$1=TRUE,bond!B145,"")</f>
        <v>XG290</v>
      </c>
      <c r="C144" s="95" t="str">
        <f>VLOOKUP(A144,bond!F:G,2,FALSE)</f>
        <v>USD</v>
      </c>
      <c r="D144" s="142" t="str">
        <f ca="1">VLOOKUP(B144,bond!B:C,2,FALSE)</f>
        <v>沙烏地阿拉伯國家石油公司美元配息債券 3.25% 2050/11/24</v>
      </c>
      <c r="E144" s="95" t="str">
        <f ca="1">VLOOKUP(B144,bond!B:D,3,FALSE)</f>
        <v>A1 / - / A+</v>
      </c>
      <c r="F144" s="99" t="str">
        <f ca="1">VLOOKUP(B144,bond!B:AB,27,FALSE)</f>
        <v>2050/11/24</v>
      </c>
      <c r="G144" s="90">
        <f ca="1">VLOOKUP(B144,bond!B:E,4,FALSE)</f>
        <v>26.39</v>
      </c>
      <c r="H144" s="202">
        <f ca="1">VLOOKUP(B144,bond!B:Y,24,FALSE)</f>
        <v>3.2500000000000001E-2</v>
      </c>
      <c r="I144" s="95">
        <f ca="1">VLOOKUP(B144,bond!B:Z,25,FALSE)</f>
        <v>2</v>
      </c>
      <c r="J144" s="180">
        <f ca="1">VLOOKUP(B144,bond!B:K,10,FALSE)</f>
        <v>0.35210000000000002</v>
      </c>
      <c r="K144" s="96">
        <f ca="1">VLOOKUP($B144,bond!B:S,14,FALSE)</f>
        <v>71.55</v>
      </c>
      <c r="L144" s="91" t="str">
        <f ca="1">VLOOKUP(B144,bond!B:H,7,FALSE)</f>
        <v>2024/7/3</v>
      </c>
      <c r="M144" s="144">
        <f ca="1">VLOOKUP($B144,bond!$B:$Q,16,FALSE)</f>
        <v>5.2900000000000003E-2</v>
      </c>
      <c r="N144" s="136">
        <f ca="1">VALUE(LEFT(VLOOKUP(B144,bond!B:R,17,FALSE),SEARCH(" ",VLOOKUP(B144,bond!B:R,17,FALSE),1)))</f>
        <v>200000</v>
      </c>
      <c r="O144" s="136">
        <f ca="1">VALUE(RIGHT(VLOOKUP(B144,bond!B:R,17,FALSE),LEN(VLOOKUP(B144,bond!B:R,17,FALSE))-LEN(N144)-3))</f>
        <v>1000</v>
      </c>
      <c r="P144" s="135" t="str">
        <f ca="1">VLOOKUP($B144,bond!$B:$AG,32,FALSE)</f>
        <v>2024/11/24</v>
      </c>
      <c r="Q144" s="135" t="str">
        <f ca="1">VLOOKUP($B144,bond!$B:$AH,33,FALSE)</f>
        <v>能源</v>
      </c>
      <c r="R144" s="135" t="str">
        <f ca="1">VLOOKUP(B144,bond!B:AA,26,FALSE)</f>
        <v>沙烏地阿拉伯國家石油公司</v>
      </c>
      <c r="S144" s="135" t="str">
        <f ca="1">VLOOKUP(B144,bond!B:AI,34,FALSE)</f>
        <v>ARAMCO</v>
      </c>
      <c r="T144" s="135" t="str">
        <f t="shared" ca="1" si="14"/>
        <v>沙烏地阿拉伯國家石油公司/ARAMCO</v>
      </c>
      <c r="U144" s="207" t="str">
        <f ca="1">IFERROR(VLOOKUP(T144,Bond_DES!D:E,2,FALSE),VLOOKUP(S144,bond!AI:AJ,2,FALSE))</f>
        <v>沙烏地阿拉伯石油公司(Saudi Arabian Oil Company) 逾90%股權由國家持有，為全球營收最高、市值最高且獲利最豐的原油與天然氣整合公司，已探明原油儲量位居全球第二，日產量居油企之首。2024年6月總市值為全球第6大，達1.8兆美元，為非美企業榜首。</v>
      </c>
      <c r="V144" s="136" t="str">
        <f ca="1">IFERROR(VLOOKUP(B144,'1_重設數據'!L:M,2,FALSE),IF(Q144="政府",IF(AD144&gt;16,"(NPI)非專投",IF(AD144&gt;10,"(PI)專投","高資產")),IF(VLOOKUP(B144,bond!B:AN,39,FALSE)="Y","(PI)專投",IF(AD144&gt;=15,"(NPI)非專投",IF(AD144&gt;=10,"(PI)專投","高資產")))))</f>
        <v>(NPI)非專投</v>
      </c>
      <c r="W144" s="136" t="str">
        <f ca="1">VLOOKUP(AD144,'credit rating'!$F$2:$H$22,3,FALSE)</f>
        <v>A+</v>
      </c>
      <c r="X144" s="136" t="str">
        <f t="shared" ca="1" si="15"/>
        <v>A1</v>
      </c>
      <c r="Y144" s="136" t="str">
        <f t="shared" ca="1" si="16"/>
        <v>-</v>
      </c>
      <c r="Z144" s="136" t="str">
        <f t="shared" ca="1" si="17"/>
        <v>A+</v>
      </c>
      <c r="AA144" s="134">
        <f ca="1">IFERROR(VLOOKUP(X144,'credit rating'!A:C,3,FALSE),0)</f>
        <v>17</v>
      </c>
      <c r="AB144" s="134">
        <f ca="1">IFERROR(VLOOKUP(Y144,'credit rating'!B:C,2,FALSE),0)</f>
        <v>0</v>
      </c>
      <c r="AC144" s="136">
        <f ca="1">IFERROR(VLOOKUP(Z144,'credit rating'!B:C,2,FALSE),0)</f>
        <v>17</v>
      </c>
      <c r="AD144" s="136">
        <f t="shared" ca="1" si="18"/>
        <v>17</v>
      </c>
      <c r="AE144" s="249">
        <f ca="1">IFERROR(VLOOKUP(B144,bond!B:U,20,FALSE),"")</f>
        <v>5.3100000000000001E-2</v>
      </c>
      <c r="AF144" s="136" t="str">
        <f ca="1">IF(VLOOKUP(B144,bond!B:AK,36,FALSE)="#N/A Field Not Applicable","",VLOOKUP(B144,bond!B:AK,36,FALSE))</f>
        <v>2050/5/24</v>
      </c>
      <c r="AG144" s="136" t="str">
        <f ca="1">IF(VLOOKUP(B144,bond!B:AL,37,FALSE)="FIXED","固定",IF(VLOOKUP(B144,bond!B:AL,37,FALSE)="FLOATING","浮動",IF(VLOOKUP(B144,bond!B:AL,37,FALSE)="VARIABLE","變動",IF(VLOOKUP(B144,bond!B:AL,37,FALSE)="FLAT TRADING","不含息交易",IF(VLOOKUP(B144,bond!B:AL,37,FALSE)="ZERO COUPON","零息",VLOOKUP(B144,bond!B:AL,37,FALSE))))))</f>
        <v>固定</v>
      </c>
      <c r="AH144" s="136" t="str">
        <f>VLOOKUP(C144,'2_Check_code'!I:J,2,FALSE)</f>
        <v>美元(USD)</v>
      </c>
      <c r="AI144" s="136" t="str">
        <f t="shared" ca="1" si="19"/>
        <v>自由選清單</v>
      </c>
      <c r="AJ144" s="136">
        <f t="shared" ca="1" si="20"/>
        <v>0</v>
      </c>
      <c r="AK144" s="594" t="str">
        <f ca="1">IF(VLOOKUP(B144,bond!B:S,18,FALSE)="是","有",IF(VLOOKUP(B144,bond!B:S,18,FALSE)="NO OFFER","無","需查詢"))</f>
        <v>有</v>
      </c>
      <c r="AL144" s="136" t="str">
        <f>IF(VLOOKUP(A144,bond!F:AR,39,FALSE)="#N/A Field Not Applicable",VLOOKUP(A144,bond!F:AR,38,FALSE),IFERROR(VLOOKUP(A144,'7_發行日例外'!A:B,2,FALSE),VLOOKUP(A144,bond!F:AR,39,FALSE)))</f>
        <v>2020/11/24</v>
      </c>
      <c r="AM144" s="136" t="str">
        <f ca="1">VLOOKUP(B144,bond!B:AK,36,FALSE)</f>
        <v>2050/5/24</v>
      </c>
      <c r="AN144" s="136" t="str">
        <f ca="1">IFERROR(VLOOKUP(B144,'3_是否下架'!A:A,1,FALSE),"")</f>
        <v/>
      </c>
      <c r="AO144" s="136">
        <f ca="1">VLOOKUP(B144,bond!B:J,9,FALSE)</f>
        <v>67.7</v>
      </c>
      <c r="AP144" s="136">
        <f ca="1">VLOOKUP(B144,bond!B:V,21,FALSE)</f>
        <v>15.4412</v>
      </c>
    </row>
    <row r="145" spans="1:42">
      <c r="A145" s="141" t="str">
        <f>bond!F146</f>
        <v>US02079KAG22</v>
      </c>
      <c r="B145" s="151" t="str">
        <f ca="1">IF($C$1=TRUE,bond!B146,"")</f>
        <v>XG300</v>
      </c>
      <c r="C145" s="95" t="str">
        <f>VLOOKUP(A145,bond!F:G,2,FALSE)</f>
        <v>USD</v>
      </c>
      <c r="D145" s="142" t="str">
        <f ca="1">VLOOKUP(B145,bond!B:C,2,FALSE)</f>
        <v>Alphabet公司美元配息債券 2.25% 2060/8/15</v>
      </c>
      <c r="E145" s="95" t="str">
        <f ca="1">VLOOKUP(B145,bond!B:D,3,FALSE)</f>
        <v>Aa2 / AA+ / -</v>
      </c>
      <c r="F145" s="99" t="str">
        <f ca="1">VLOOKUP(B145,bond!B:AB,27,FALSE)</f>
        <v>2060/8/15</v>
      </c>
      <c r="G145" s="90">
        <f ca="1">VLOOKUP(B145,bond!B:E,4,FALSE)</f>
        <v>36.119999999999997</v>
      </c>
      <c r="H145" s="202">
        <f ca="1">VLOOKUP(B145,bond!B:Y,24,FALSE)</f>
        <v>2.2499999999999999E-2</v>
      </c>
      <c r="I145" s="95">
        <f ca="1">VLOOKUP(B145,bond!B:Z,25,FALSE)</f>
        <v>2</v>
      </c>
      <c r="J145" s="180">
        <f ca="1">VLOOKUP(B145,bond!B:K,10,FALSE)</f>
        <v>0.85629999999999995</v>
      </c>
      <c r="K145" s="96">
        <f ca="1">VLOOKUP($B145,bond!B:S,14,FALSE)</f>
        <v>60.32</v>
      </c>
      <c r="L145" s="91" t="str">
        <f ca="1">VLOOKUP(B145,bond!B:H,7,FALSE)</f>
        <v>2024/7/2</v>
      </c>
      <c r="M145" s="144">
        <f ca="1">VLOOKUP($B145,bond!$B:$Q,16,FALSE)</f>
        <v>4.5499999999999999E-2</v>
      </c>
      <c r="N145" s="136">
        <f ca="1">VALUE(LEFT(VLOOKUP(B145,bond!B:R,17,FALSE),SEARCH(" ",VLOOKUP(B145,bond!B:R,17,FALSE),1)))</f>
        <v>10000</v>
      </c>
      <c r="O145" s="136">
        <f ca="1">VALUE(RIGHT(VLOOKUP(B145,bond!B:R,17,FALSE),LEN(VLOOKUP(B145,bond!B:R,17,FALSE))-LEN(N145)-3))</f>
        <v>1000</v>
      </c>
      <c r="P145" s="135" t="str">
        <f ca="1">VLOOKUP($B145,bond!$B:$AG,32,FALSE)</f>
        <v>2024/8/15</v>
      </c>
      <c r="Q145" s="135" t="str">
        <f ca="1">VLOOKUP($B145,bond!$B:$AH,33,FALSE)</f>
        <v>通訊</v>
      </c>
      <c r="R145" s="135" t="str">
        <f ca="1">VLOOKUP(B145,bond!B:AA,26,FALSE)</f>
        <v>Alphabet公司</v>
      </c>
      <c r="S145" s="135" t="str">
        <f ca="1">VLOOKUP(B145,bond!B:AI,34,FALSE)</f>
        <v>GOOGL</v>
      </c>
      <c r="T145" s="135" t="str">
        <f t="shared" ca="1" si="14"/>
        <v>Alphabet公司/GOOGL</v>
      </c>
      <c r="U145" s="207" t="str">
        <f ca="1">IFERROR(VLOOKUP(T145,Bond_DES!D:E,2,FALSE),VLOOKUP(S145,bond!AI:AJ,2,FALSE))</f>
        <v>字母控股(Alphabet Inc.)為Google的母公司，旗下Google作為全球領先的網路搜尋引擎和數位廣告服務商；Google Cloud為全球前三大雲端服務平台；Waymo則為自駕車領域的領導廠商，並為2024年《Brand Finance》全球最具價值品牌排行第3位。</v>
      </c>
      <c r="V145" s="136" t="str">
        <f ca="1">IFERROR(VLOOKUP(B145,'1_重設數據'!L:M,2,FALSE),IF(Q145="政府",IF(AD145&gt;16,"(NPI)非專投",IF(AD145&gt;10,"(PI)專投","高資產")),IF(VLOOKUP(B145,bond!B:AN,39,FALSE)="Y","(PI)專投",IF(AD145&gt;=15,"(NPI)非專投",IF(AD145&gt;=10,"(PI)專投","高資產")))))</f>
        <v>(NPI)非專投</v>
      </c>
      <c r="W145" s="136" t="str">
        <f ca="1">VLOOKUP(AD145,'credit rating'!$F$2:$H$22,3,FALSE)</f>
        <v>AA+</v>
      </c>
      <c r="X145" s="136" t="str">
        <f t="shared" ca="1" si="15"/>
        <v>Aa2</v>
      </c>
      <c r="Y145" s="136" t="str">
        <f t="shared" ca="1" si="16"/>
        <v>AA+</v>
      </c>
      <c r="Z145" s="136" t="str">
        <f t="shared" ca="1" si="17"/>
        <v>-</v>
      </c>
      <c r="AA145" s="134">
        <f ca="1">IFERROR(VLOOKUP(X145,'credit rating'!A:C,3,FALSE),0)</f>
        <v>19</v>
      </c>
      <c r="AB145" s="134">
        <f ca="1">IFERROR(VLOOKUP(Y145,'credit rating'!B:C,2,FALSE),0)</f>
        <v>20</v>
      </c>
      <c r="AC145" s="136">
        <f ca="1">IFERROR(VLOOKUP(Z145,'credit rating'!B:C,2,FALSE),0)</f>
        <v>0</v>
      </c>
      <c r="AD145" s="136">
        <f t="shared" ca="1" si="18"/>
        <v>20</v>
      </c>
      <c r="AE145" s="249">
        <f ca="1">IFERROR(VLOOKUP(B145,bond!B:U,20,FALSE),"")</f>
        <v>4.5600000000000002E-2</v>
      </c>
      <c r="AF145" s="136" t="str">
        <f ca="1">IF(VLOOKUP(B145,bond!B:AK,36,FALSE)="#N/A Field Not Applicable","",VLOOKUP(B145,bond!B:AK,36,FALSE))</f>
        <v>2060/2/15</v>
      </c>
      <c r="AG145" s="136" t="str">
        <f ca="1">IF(VLOOKUP(B145,bond!B:AL,37,FALSE)="FIXED","固定",IF(VLOOKUP(B145,bond!B:AL,37,FALSE)="FLOATING","浮動",IF(VLOOKUP(B145,bond!B:AL,37,FALSE)="VARIABLE","變動",IF(VLOOKUP(B145,bond!B:AL,37,FALSE)="FLAT TRADING","不含息交易",IF(VLOOKUP(B145,bond!B:AL,37,FALSE)="ZERO COUPON","零息",VLOOKUP(B145,bond!B:AL,37,FALSE))))))</f>
        <v>固定</v>
      </c>
      <c r="AH145" s="136" t="str">
        <f>VLOOKUP(C145,'2_Check_code'!I:J,2,FALSE)</f>
        <v>美元(USD)</v>
      </c>
      <c r="AI145" s="136" t="str">
        <f t="shared" ca="1" si="19"/>
        <v>自由選清單</v>
      </c>
      <c r="AJ145" s="136">
        <f t="shared" ca="1" si="20"/>
        <v>0</v>
      </c>
      <c r="AK145" s="594" t="str">
        <f ca="1">IF(VLOOKUP(B145,bond!B:S,18,FALSE)="是","有",IF(VLOOKUP(B145,bond!B:S,18,FALSE)="NO OFFER","無","需查詢"))</f>
        <v>有</v>
      </c>
      <c r="AL145" s="136" t="str">
        <f>IF(VLOOKUP(A145,bond!F:AR,39,FALSE)="#N/A Field Not Applicable",VLOOKUP(A145,bond!F:AR,38,FALSE),IFERROR(VLOOKUP(A145,'7_發行日例外'!A:B,2,FALSE),VLOOKUP(A145,bond!F:AR,39,FALSE)))</f>
        <v>2020/8/5</v>
      </c>
      <c r="AM145" s="136" t="str">
        <f ca="1">VLOOKUP(B145,bond!B:AK,36,FALSE)</f>
        <v>2060/2/15</v>
      </c>
      <c r="AN145" s="136" t="str">
        <f ca="1">IFERROR(VLOOKUP(B145,'3_是否下架'!A:A,1,FALSE),"")</f>
        <v/>
      </c>
      <c r="AO145" s="136">
        <f ca="1">VLOOKUP(B145,bond!B:J,9,FALSE)</f>
        <v>55.96</v>
      </c>
      <c r="AP145" s="136">
        <f ca="1">VLOOKUP(B145,bond!B:V,21,FALSE)</f>
        <v>19.9892</v>
      </c>
    </row>
    <row r="146" spans="1:42">
      <c r="A146" s="141" t="str">
        <f>bond!F147</f>
        <v>US855244AH20</v>
      </c>
      <c r="B146" s="151" t="str">
        <f ca="1">IF($C$1=TRUE,bond!B147,"")</f>
        <v>XG310</v>
      </c>
      <c r="C146" s="95" t="str">
        <f>VLOOKUP(A146,bond!F:G,2,FALSE)</f>
        <v>USD</v>
      </c>
      <c r="D146" s="142" t="str">
        <f ca="1">VLOOKUP(B146,bond!B:C,2,FALSE)</f>
        <v>星巴克公司美元配息債券 4.3% 2045/6/15</v>
      </c>
      <c r="E146" s="95" t="str">
        <f ca="1">VLOOKUP(B146,bond!B:D,3,FALSE)</f>
        <v>Baa1 / BBB+ / WD</v>
      </c>
      <c r="F146" s="99" t="str">
        <f ca="1">VLOOKUP(B146,bond!B:AB,27,FALSE)</f>
        <v>2045/6/15</v>
      </c>
      <c r="G146" s="90">
        <f ca="1">VLOOKUP(B146,bond!B:E,4,FALSE)</f>
        <v>20.95</v>
      </c>
      <c r="H146" s="202">
        <f ca="1">VLOOKUP(B146,bond!B:Y,24,FALSE)</f>
        <v>4.2999999999999997E-2</v>
      </c>
      <c r="I146" s="95">
        <f ca="1">VLOOKUP(B146,bond!B:Z,25,FALSE)</f>
        <v>2</v>
      </c>
      <c r="J146" s="180">
        <f ca="1">VLOOKUP(B146,bond!B:K,10,FALSE)</f>
        <v>0.2031</v>
      </c>
      <c r="K146" s="96">
        <f ca="1">VLOOKUP($B146,bond!B:S,14,FALSE)</f>
        <v>86.41</v>
      </c>
      <c r="L146" s="91" t="str">
        <f ca="1">VLOOKUP(B146,bond!B:H,7,FALSE)</f>
        <v>2024/7/2</v>
      </c>
      <c r="M146" s="144">
        <f ca="1">VLOOKUP($B146,bond!$B:$Q,16,FALSE)</f>
        <v>5.4100000000000002E-2</v>
      </c>
      <c r="N146" s="136">
        <f ca="1">VALUE(LEFT(VLOOKUP(B146,bond!B:R,17,FALSE),SEARCH(" ",VLOOKUP(B146,bond!B:R,17,FALSE),1)))</f>
        <v>10000</v>
      </c>
      <c r="O146" s="136">
        <f ca="1">VALUE(RIGHT(VLOOKUP(B146,bond!B:R,17,FALSE),LEN(VLOOKUP(B146,bond!B:R,17,FALSE))-LEN(N146)-3))</f>
        <v>1000</v>
      </c>
      <c r="P146" s="135" t="str">
        <f ca="1">VLOOKUP($B146,bond!$B:$AG,32,FALSE)</f>
        <v>2024/12/15</v>
      </c>
      <c r="Q146" s="135" t="str">
        <f ca="1">VLOOKUP($B146,bond!$B:$AH,33,FALSE)</f>
        <v>非核心消費</v>
      </c>
      <c r="R146" s="135" t="str">
        <f ca="1">VLOOKUP(B146,bond!B:AA,26,FALSE)</f>
        <v>星巴克</v>
      </c>
      <c r="S146" s="135" t="str">
        <f ca="1">VLOOKUP(B146,bond!B:AI,34,FALSE)</f>
        <v>SBUX</v>
      </c>
      <c r="T146" s="135" t="str">
        <f t="shared" ca="1" si="14"/>
        <v>星巴克/SBUX</v>
      </c>
      <c r="U146" s="207" t="str">
        <f ca="1">IFERROR(VLOOKUP(T146,Bond_DES!D:E,2,FALSE),VLOOKUP(S146,bond!AI:AJ,2,FALSE))</f>
        <v>星巴克公司(Starbucks Corporation)是全球首屈一指的精品咖啡(specialty coffee)烘焙商和零售商。從1998財年到2024年4月，門市從1,886家增加到38,951家，是美國門市數量最多的咖啡品牌，且在全球80多個國家擁有銷售門市。在2024年《Brand Finance》雜誌全球餐廳25排名中，星巴克名列全球第1。</v>
      </c>
      <c r="V146" s="136" t="str">
        <f ca="1">IFERROR(VLOOKUP(B146,'1_重設數據'!L:M,2,FALSE),IF(Q146="政府",IF(AD146&gt;16,"(NPI)非專投",IF(AD146&gt;10,"(PI)專投","高資產")),IF(VLOOKUP(B146,bond!B:AN,39,FALSE)="Y","(PI)專投",IF(AD146&gt;=15,"(NPI)非專投",IF(AD146&gt;=10,"(PI)專投","高資產")))))</f>
        <v>(PI)專投</v>
      </c>
      <c r="W146" s="136" t="str">
        <f ca="1">VLOOKUP(AD146,'credit rating'!$F$2:$H$22,3,FALSE)</f>
        <v>BBB+</v>
      </c>
      <c r="X146" s="136" t="str">
        <f t="shared" ca="1" si="15"/>
        <v>Baa1</v>
      </c>
      <c r="Y146" s="136" t="str">
        <f t="shared" ca="1" si="16"/>
        <v>BBB+</v>
      </c>
      <c r="Z146" s="136" t="str">
        <f t="shared" ca="1" si="17"/>
        <v>WD</v>
      </c>
      <c r="AA146" s="134">
        <f ca="1">IFERROR(VLOOKUP(X146,'credit rating'!A:C,3,FALSE),0)</f>
        <v>14</v>
      </c>
      <c r="AB146" s="134">
        <f ca="1">IFERROR(VLOOKUP(Y146,'credit rating'!B:C,2,FALSE),0)</f>
        <v>14</v>
      </c>
      <c r="AC146" s="136">
        <f ca="1">IFERROR(VLOOKUP(Z146,'credit rating'!B:C,2,FALSE),0)</f>
        <v>0</v>
      </c>
      <c r="AD146" s="136">
        <f t="shared" ca="1" si="18"/>
        <v>14</v>
      </c>
      <c r="AE146" s="249">
        <f ca="1">IFERROR(VLOOKUP(B146,bond!B:U,20,FALSE),"")</f>
        <v>5.4199999999999998E-2</v>
      </c>
      <c r="AF146" s="136" t="str">
        <f ca="1">IF(VLOOKUP(B146,bond!B:AK,36,FALSE)="#N/A Field Not Applicable","",VLOOKUP(B146,bond!B:AK,36,FALSE))</f>
        <v>2044/12/15</v>
      </c>
      <c r="AG146" s="136" t="str">
        <f ca="1">IF(VLOOKUP(B146,bond!B:AL,37,FALSE)="FIXED","固定",IF(VLOOKUP(B146,bond!B:AL,37,FALSE)="FLOATING","浮動",IF(VLOOKUP(B146,bond!B:AL,37,FALSE)="VARIABLE","變動",IF(VLOOKUP(B146,bond!B:AL,37,FALSE)="FLAT TRADING","不含息交易",IF(VLOOKUP(B146,bond!B:AL,37,FALSE)="ZERO COUPON","零息",VLOOKUP(B146,bond!B:AL,37,FALSE))))))</f>
        <v>固定</v>
      </c>
      <c r="AH146" s="136" t="str">
        <f>VLOOKUP(C146,'2_Check_code'!I:J,2,FALSE)</f>
        <v>美元(USD)</v>
      </c>
      <c r="AI146" s="136" t="str">
        <f t="shared" ca="1" si="19"/>
        <v>自由選清單</v>
      </c>
      <c r="AJ146" s="136">
        <f t="shared" ca="1" si="20"/>
        <v>0</v>
      </c>
      <c r="AK146" s="594" t="str">
        <f ca="1">IF(VLOOKUP(B146,bond!B:S,18,FALSE)="是","有",IF(VLOOKUP(B146,bond!B:S,18,FALSE)="NO OFFER","無","需查詢"))</f>
        <v>需查詢</v>
      </c>
      <c r="AL146" s="136" t="str">
        <f>IF(VLOOKUP(A146,bond!F:AR,39,FALSE)="#N/A Field Not Applicable",VLOOKUP(A146,bond!F:AR,38,FALSE),IFERROR(VLOOKUP(A146,'7_發行日例外'!A:B,2,FALSE),VLOOKUP(A146,bond!F:AR,39,FALSE)))</f>
        <v>2015/6/10</v>
      </c>
      <c r="AM146" s="136" t="str">
        <f ca="1">VLOOKUP(B146,bond!B:AK,36,FALSE)</f>
        <v>2044/12/15</v>
      </c>
      <c r="AN146" s="136" t="str">
        <f ca="1">IFERROR(VLOOKUP(B146,'3_是否下架'!A:A,1,FALSE),"")</f>
        <v/>
      </c>
      <c r="AO146" s="136">
        <f ca="1">VLOOKUP(B146,bond!B:J,9,FALSE)</f>
        <v>83.210000000000008</v>
      </c>
      <c r="AP146" s="136">
        <f ca="1">VLOOKUP(B146,bond!B:V,21,FALSE)</f>
        <v>12.9217</v>
      </c>
    </row>
    <row r="147" spans="1:42">
      <c r="A147" s="141" t="str">
        <f>bond!F148</f>
        <v>USU1109MAT37</v>
      </c>
      <c r="B147" s="151" t="str">
        <f ca="1">IF($C$1=TRUE,bond!B148,"")</f>
        <v>XG320</v>
      </c>
      <c r="C147" s="95" t="str">
        <f>VLOOKUP(A147,bond!F:G,2,FALSE)</f>
        <v>USD</v>
      </c>
      <c r="D147" s="142" t="str">
        <f ca="1">VLOOKUP(B147,bond!B:C,2,FALSE)</f>
        <v>博通公司美元配息債券 3.5% 2041/2/15</v>
      </c>
      <c r="E147" s="95" t="str">
        <f ca="1">VLOOKUP(B147,bond!B:D,3,FALSE)</f>
        <v>Baa3 / BBB / BBB-</v>
      </c>
      <c r="F147" s="99" t="str">
        <f ca="1">VLOOKUP(B147,bond!B:AB,27,FALSE)</f>
        <v>2041/2/15</v>
      </c>
      <c r="G147" s="90">
        <f ca="1">VLOOKUP(B147,bond!B:E,4,FALSE)</f>
        <v>16.62</v>
      </c>
      <c r="H147" s="202">
        <f ca="1">VLOOKUP(B147,bond!B:Y,24,FALSE)</f>
        <v>3.5000000000000003E-2</v>
      </c>
      <c r="I147" s="95">
        <f ca="1">VLOOKUP(B147,bond!B:Z,25,FALSE)</f>
        <v>2</v>
      </c>
      <c r="J147" s="180">
        <f ca="1">VLOOKUP(B147,bond!B:K,10,FALSE)</f>
        <v>1.3319000000000001</v>
      </c>
      <c r="K147" s="96">
        <f ca="1">VLOOKUP($B147,bond!B:S,14,FALSE)</f>
        <v>81.92</v>
      </c>
      <c r="L147" s="91" t="str">
        <f ca="1">VLOOKUP(B147,bond!B:H,7,FALSE)</f>
        <v>2024/7/2</v>
      </c>
      <c r="M147" s="144">
        <f ca="1">VLOOKUP($B147,bond!$B:$Q,16,FALSE)</f>
        <v>5.2699999999999997E-2</v>
      </c>
      <c r="N147" s="136">
        <f ca="1">VALUE(LEFT(VLOOKUP(B147,bond!B:R,17,FALSE),SEARCH(" ",VLOOKUP(B147,bond!B:R,17,FALSE),1)))</f>
        <v>10000</v>
      </c>
      <c r="O147" s="136">
        <f ca="1">VALUE(RIGHT(VLOOKUP(B147,bond!B:R,17,FALSE),LEN(VLOOKUP(B147,bond!B:R,17,FALSE))-LEN(N147)-3))</f>
        <v>1000</v>
      </c>
      <c r="P147" s="135" t="str">
        <f ca="1">VLOOKUP($B147,bond!$B:$AG,32,FALSE)</f>
        <v>2024/8/15</v>
      </c>
      <c r="Q147" s="135" t="str">
        <f ca="1">VLOOKUP($B147,bond!$B:$AH,33,FALSE)</f>
        <v>科技</v>
      </c>
      <c r="R147" s="135" t="str">
        <f ca="1">VLOOKUP(B147,bond!B:AA,26,FALSE)</f>
        <v>博通公司</v>
      </c>
      <c r="S147" s="135" t="str">
        <f ca="1">VLOOKUP(B147,bond!B:AI,34,FALSE)</f>
        <v>AVGO</v>
      </c>
      <c r="T147" s="135" t="str">
        <f t="shared" ca="1" si="14"/>
        <v>博通公司/AVGO</v>
      </c>
      <c r="U147" s="207" t="str">
        <f ca="1">IFERROR(VLOOKUP(T147,Bond_DES!D:E,2,FALSE),VLOOKUP(S147,bond!AI:AJ,2,FALSE))</f>
        <v>博通公司(Broadcom Inc.)為美國半導體公司，負責晶片設計與銷售，並將生產、測試與封裝環節外包，發展歷程中透過不斷併購壯大集團實力，近年來多次蟬聯全球IC設計公司前三名榜單，與高通、輝達三強鼎立。2024年《Brand Finance》品牌價值中，博通排名全球半導體產業第6。</v>
      </c>
      <c r="V147" s="136" t="str">
        <f ca="1">IFERROR(VLOOKUP(B147,'1_重設數據'!L:M,2,FALSE),IF(Q147="政府",IF(AD147&gt;16,"(NPI)非專投",IF(AD147&gt;10,"(PI)專投","高資產")),IF(VLOOKUP(B147,bond!B:AN,39,FALSE)="Y","(PI)專投",IF(AD147&gt;=15,"(NPI)非專投",IF(AD147&gt;=10,"(PI)專投","高資產")))))</f>
        <v>(PI)專投</v>
      </c>
      <c r="W147" s="136" t="str">
        <f ca="1">VLOOKUP(AD147,'credit rating'!$F$2:$H$22,3,FALSE)</f>
        <v>BBB</v>
      </c>
      <c r="X147" s="136" t="str">
        <f t="shared" ca="1" si="15"/>
        <v>Baa3</v>
      </c>
      <c r="Y147" s="136" t="str">
        <f t="shared" ca="1" si="16"/>
        <v>BBB</v>
      </c>
      <c r="Z147" s="136" t="str">
        <f t="shared" ca="1" si="17"/>
        <v>BBB-</v>
      </c>
      <c r="AA147" s="134">
        <f ca="1">IFERROR(VLOOKUP(X147,'credit rating'!A:C,3,FALSE),0)</f>
        <v>12</v>
      </c>
      <c r="AB147" s="134">
        <f ca="1">IFERROR(VLOOKUP(Y147,'credit rating'!B:C,2,FALSE),0)</f>
        <v>13</v>
      </c>
      <c r="AC147" s="136">
        <f ca="1">IFERROR(VLOOKUP(Z147,'credit rating'!B:C,2,FALSE),0)</f>
        <v>12</v>
      </c>
      <c r="AD147" s="136">
        <f t="shared" ca="1" si="18"/>
        <v>13</v>
      </c>
      <c r="AE147" s="249">
        <f ca="1">IFERROR(VLOOKUP(B147,bond!B:U,20,FALSE),"")</f>
        <v>5.3100000000000001E-2</v>
      </c>
      <c r="AF147" s="136" t="str">
        <f ca="1">IF(VLOOKUP(B147,bond!B:AK,36,FALSE)="#N/A Field Not Applicable","",VLOOKUP(B147,bond!B:AK,36,FALSE))</f>
        <v>2040/8/15</v>
      </c>
      <c r="AG147" s="136" t="str">
        <f ca="1">IF(VLOOKUP(B147,bond!B:AL,37,FALSE)="FIXED","固定",IF(VLOOKUP(B147,bond!B:AL,37,FALSE)="FLOATING","浮動",IF(VLOOKUP(B147,bond!B:AL,37,FALSE)="VARIABLE","變動",IF(VLOOKUP(B147,bond!B:AL,37,FALSE)="FLAT TRADING","不含息交易",IF(VLOOKUP(B147,bond!B:AL,37,FALSE)="ZERO COUPON","零息",VLOOKUP(B147,bond!B:AL,37,FALSE))))))</f>
        <v>固定</v>
      </c>
      <c r="AH147" s="136" t="str">
        <f>VLOOKUP(C147,'2_Check_code'!I:J,2,FALSE)</f>
        <v>美元(USD)</v>
      </c>
      <c r="AI147" s="136" t="str">
        <f t="shared" ca="1" si="19"/>
        <v>自由選清單</v>
      </c>
      <c r="AJ147" s="136">
        <f t="shared" ca="1" si="20"/>
        <v>0</v>
      </c>
      <c r="AK147" s="594" t="str">
        <f ca="1">IF(VLOOKUP(B147,bond!B:S,18,FALSE)="是","有",IF(VLOOKUP(B147,bond!B:S,18,FALSE)="NO OFFER","無","需查詢"))</f>
        <v>有</v>
      </c>
      <c r="AL147" s="136" t="str">
        <f>IF(VLOOKUP(A147,bond!F:AR,39,FALSE)="#N/A Field Not Applicable",VLOOKUP(A147,bond!F:AR,38,FALSE),IFERROR(VLOOKUP(A147,'7_發行日例外'!A:B,2,FALSE),VLOOKUP(A147,bond!F:AR,39,FALSE)))</f>
        <v>2021/1/19</v>
      </c>
      <c r="AM147" s="136" t="str">
        <f ca="1">VLOOKUP(B147,bond!B:AK,36,FALSE)</f>
        <v>2040/8/15</v>
      </c>
      <c r="AN147" s="136" t="str">
        <f ca="1">IFERROR(VLOOKUP(B147,'3_是否下架'!A:A,1,FALSE),"")</f>
        <v/>
      </c>
      <c r="AO147" s="136">
        <f ca="1">VLOOKUP(B147,bond!B:J,9,FALSE)</f>
        <v>77.59</v>
      </c>
      <c r="AP147" s="136">
        <f ca="1">VLOOKUP(B147,bond!B:V,21,FALSE)</f>
        <v>11.625</v>
      </c>
    </row>
    <row r="148" spans="1:42">
      <c r="A148" s="141" t="str">
        <f>bond!F149</f>
        <v>US91912EAA38</v>
      </c>
      <c r="B148" s="151" t="str">
        <f ca="1">IF($C$1=TRUE,bond!B149,"")</f>
        <v>XG330</v>
      </c>
      <c r="C148" s="95" t="str">
        <f>VLOOKUP(A148,bond!F:G,2,FALSE)</f>
        <v>USD</v>
      </c>
      <c r="D148" s="142" t="str">
        <f ca="1">VLOOKUP(B148,bond!B:C,2,FALSE)</f>
        <v>巴西淡水河谷公司美元配息債券  5.625% 2042/9/11</v>
      </c>
      <c r="E148" s="95" t="str">
        <f ca="1">VLOOKUP(B148,bond!B:D,3,FALSE)</f>
        <v>Baa3 / BBB- / BBB</v>
      </c>
      <c r="F148" s="99" t="str">
        <f ca="1">VLOOKUP(B148,bond!B:AB,27,FALSE)</f>
        <v>2042/9/11</v>
      </c>
      <c r="G148" s="90">
        <f ca="1">VLOOKUP(B148,bond!B:E,4,FALSE)</f>
        <v>18.190000000000001</v>
      </c>
      <c r="H148" s="202">
        <f ca="1">VLOOKUP(B148,bond!B:Y,24,FALSE)</f>
        <v>5.6250000000000001E-2</v>
      </c>
      <c r="I148" s="95">
        <f ca="1">VLOOKUP(B148,bond!B:Z,25,FALSE)</f>
        <v>2</v>
      </c>
      <c r="J148" s="180">
        <f ca="1">VLOOKUP(B148,bond!B:K,10,FALSE)</f>
        <v>1.7343999999999999</v>
      </c>
      <c r="K148" s="96">
        <f ca="1">VLOOKUP($B148,bond!B:S,14,FALSE)</f>
        <v>103.37</v>
      </c>
      <c r="L148" s="91" t="str">
        <f ca="1">VLOOKUP(B148,bond!B:H,7,FALSE)</f>
        <v>2024/7/2</v>
      </c>
      <c r="M148" s="144">
        <f ca="1">VLOOKUP($B148,bond!$B:$Q,16,FALSE)</f>
        <v>5.4800000000000001E-2</v>
      </c>
      <c r="N148" s="136">
        <f ca="1">VALUE(LEFT(VLOOKUP(B148,bond!B:R,17,FALSE),SEARCH(" ",VLOOKUP(B148,bond!B:R,17,FALSE),1)))</f>
        <v>10000</v>
      </c>
      <c r="O148" s="136">
        <f ca="1">VALUE(RIGHT(VLOOKUP(B148,bond!B:R,17,FALSE),LEN(VLOOKUP(B148,bond!B:R,17,FALSE))-LEN(N148)-3))</f>
        <v>1000</v>
      </c>
      <c r="P148" s="135" t="str">
        <f ca="1">VLOOKUP($B148,bond!$B:$AG,32,FALSE)</f>
        <v>2024/9/11</v>
      </c>
      <c r="Q148" s="135" t="str">
        <f ca="1">VLOOKUP($B148,bond!$B:$AH,33,FALSE)</f>
        <v>原物料</v>
      </c>
      <c r="R148" s="135" t="str">
        <f ca="1">VLOOKUP(B148,bond!B:AA,26,FALSE)</f>
        <v>淡水河谷</v>
      </c>
      <c r="S148" s="135" t="str">
        <f ca="1">VLOOKUP(B148,bond!B:AI,34,FALSE)</f>
        <v>VALEBZ</v>
      </c>
      <c r="T148" s="135" t="str">
        <f t="shared" ca="1" si="14"/>
        <v>淡水河谷/VALEBZ</v>
      </c>
      <c r="U148" s="207" t="str">
        <f ca="1">IFERROR(VLOOKUP(T148,Bond_DES!D:E,2,FALSE),VLOOKUP(S148,bond!AI:AJ,2,FALSE))</f>
        <v>巴西淡水河谷有限責任公司(Vale S.A.)為全球最大的鐵、鎳礦生產商，為全球市值第六大金屬礦業公司，也是巴西市值第二大公司。除採礦之外也從事物流(鐵路、港口、碼頭等基礎設施)，並與能源、煉鋼等產業合作，為巴西最大的物流企業之一。於2023年《Brand Finance》全球採礦及金屬50品牌價值排行第12位。</v>
      </c>
      <c r="V148" s="136" t="str">
        <f ca="1">IFERROR(VLOOKUP(B148,'1_重設數據'!L:M,2,FALSE),IF(Q148="政府",IF(AD148&gt;16,"(NPI)非專投",IF(AD148&gt;10,"(PI)專投","高資產")),IF(VLOOKUP(B148,bond!B:AN,39,FALSE)="Y","(PI)專投",IF(AD148&gt;=15,"(NPI)非專投",IF(AD148&gt;=10,"(PI)專投","高資產")))))</f>
        <v>(PI)專投</v>
      </c>
      <c r="W148" s="136" t="str">
        <f ca="1">VLOOKUP(AD148,'credit rating'!$F$2:$H$22,3,FALSE)</f>
        <v>BBB</v>
      </c>
      <c r="X148" s="136" t="str">
        <f t="shared" ca="1" si="15"/>
        <v>Baa3</v>
      </c>
      <c r="Y148" s="136" t="str">
        <f t="shared" ca="1" si="16"/>
        <v>BBB-</v>
      </c>
      <c r="Z148" s="136" t="str">
        <f t="shared" ca="1" si="17"/>
        <v>BBB</v>
      </c>
      <c r="AA148" s="134">
        <f ca="1">IFERROR(VLOOKUP(X148,'credit rating'!A:C,3,FALSE),0)</f>
        <v>12</v>
      </c>
      <c r="AB148" s="134">
        <f ca="1">IFERROR(VLOOKUP(Y148,'credit rating'!B:C,2,FALSE),0)</f>
        <v>12</v>
      </c>
      <c r="AC148" s="136">
        <f ca="1">IFERROR(VLOOKUP(Z148,'credit rating'!B:C,2,FALSE),0)</f>
        <v>13</v>
      </c>
      <c r="AD148" s="136">
        <f t="shared" ca="1" si="18"/>
        <v>13</v>
      </c>
      <c r="AE148" s="249" t="str">
        <f ca="1">IFERROR(VLOOKUP(B148,bond!B:U,20,FALSE),"")</f>
        <v xml:space="preserve"> </v>
      </c>
      <c r="AF148" s="136" t="str">
        <f ca="1">IF(VLOOKUP(B148,bond!B:AK,36,FALSE)="#N/A Field Not Applicable","",VLOOKUP(B148,bond!B:AK,36,FALSE))</f>
        <v/>
      </c>
      <c r="AG148" s="136" t="str">
        <f ca="1">IF(VLOOKUP(B148,bond!B:AL,37,FALSE)="FIXED","固定",IF(VLOOKUP(B148,bond!B:AL,37,FALSE)="FLOATING","浮動",IF(VLOOKUP(B148,bond!B:AL,37,FALSE)="VARIABLE","變動",IF(VLOOKUP(B148,bond!B:AL,37,FALSE)="FLAT TRADING","不含息交易",IF(VLOOKUP(B148,bond!B:AL,37,FALSE)="ZERO COUPON","零息",VLOOKUP(B148,bond!B:AL,37,FALSE))))))</f>
        <v>固定</v>
      </c>
      <c r="AH148" s="136" t="str">
        <f>VLOOKUP(C148,'2_Check_code'!I:J,2,FALSE)</f>
        <v>美元(USD)</v>
      </c>
      <c r="AI148" s="136" t="str">
        <f t="shared" ca="1" si="19"/>
        <v>自由選清單</v>
      </c>
      <c r="AJ148" s="136">
        <f t="shared" ca="1" si="20"/>
        <v>0</v>
      </c>
      <c r="AK148" s="594" t="str">
        <f ca="1">IF(VLOOKUP(B148,bond!B:S,18,FALSE)="是","有",IF(VLOOKUP(B148,bond!B:S,18,FALSE)="NO OFFER","無","需查詢"))</f>
        <v>有</v>
      </c>
      <c r="AL148" s="136" t="str">
        <f>IF(VLOOKUP(A148,bond!F:AR,39,FALSE)="#N/A Field Not Applicable",VLOOKUP(A148,bond!F:AR,38,FALSE),IFERROR(VLOOKUP(A148,'7_發行日例外'!A:B,2,FALSE),VLOOKUP(A148,bond!F:AR,39,FALSE)))</f>
        <v>2012/9/11</v>
      </c>
      <c r="AM148" s="136" t="str">
        <f ca="1">VLOOKUP(B148,bond!B:AK,36,FALSE)</f>
        <v>#N/A Field Not Applicable</v>
      </c>
      <c r="AN148" s="136" t="str">
        <f ca="1">IFERROR(VLOOKUP(B148,'3_是否下架'!A:A,1,FALSE),"")</f>
        <v/>
      </c>
      <c r="AO148" s="136">
        <f ca="1">VLOOKUP(B148,bond!B:J,9,FALSE)</f>
        <v>98.64</v>
      </c>
      <c r="AP148" s="136">
        <f ca="1">VLOOKUP(B148,bond!B:V,21,FALSE)</f>
        <v>11.076000000000001</v>
      </c>
    </row>
    <row r="149" spans="1:42">
      <c r="A149" s="141" t="str">
        <f>bond!F150</f>
        <v>US912810SS87</v>
      </c>
      <c r="B149" s="151" t="str">
        <f ca="1">IF($C$1=TRUE,bond!B150,"")</f>
        <v>XG340</v>
      </c>
      <c r="C149" s="95" t="str">
        <f>VLOOKUP(A149,bond!F:G,2,FALSE)</f>
        <v>USD</v>
      </c>
      <c r="D149" s="142" t="str">
        <f ca="1">VLOOKUP(B149,bond!B:C,2,FALSE)</f>
        <v>美國政府公債 1.625% 2050/11/15</v>
      </c>
      <c r="E149" s="95" t="str">
        <f ca="1">VLOOKUP(B149,bond!B:D,3,FALSE)</f>
        <v>Aaa / - / AA+u</v>
      </c>
      <c r="F149" s="99" t="str">
        <f ca="1">VLOOKUP(B149,bond!B:AB,27,FALSE)</f>
        <v>2050/11/15</v>
      </c>
      <c r="G149" s="90">
        <f ca="1">VLOOKUP(B149,bond!B:E,4,FALSE)</f>
        <v>26.37</v>
      </c>
      <c r="H149" s="202">
        <f ca="1">VLOOKUP(B149,bond!B:Y,24,FALSE)</f>
        <v>1.6250000000000001E-2</v>
      </c>
      <c r="I149" s="95">
        <f ca="1">VLOOKUP(B149,bond!B:Z,25,FALSE)</f>
        <v>2</v>
      </c>
      <c r="J149" s="180">
        <f ca="1">VLOOKUP(B149,bond!B:K,10,FALSE)</f>
        <v>0.21199999999999999</v>
      </c>
      <c r="K149" s="96">
        <f ca="1">VLOOKUP($B149,bond!B:S,14,FALSE)</f>
        <v>57.45</v>
      </c>
      <c r="L149" s="91" t="str">
        <f ca="1">VLOOKUP(B149,bond!B:H,7,FALSE)</f>
        <v>2024/7/2</v>
      </c>
      <c r="M149" s="144">
        <f ca="1">VLOOKUP($B149,bond!$B:$Q,16,FALSE)</f>
        <v>4.3700000000000003E-2</v>
      </c>
      <c r="N149" s="136">
        <f ca="1">VALUE(LEFT(VLOOKUP(B149,bond!B:R,17,FALSE),SEARCH(" ",VLOOKUP(B149,bond!B:R,17,FALSE),1)))</f>
        <v>10000</v>
      </c>
      <c r="O149" s="136">
        <f ca="1">VALUE(RIGHT(VLOOKUP(B149,bond!B:R,17,FALSE),LEN(VLOOKUP(B149,bond!B:R,17,FALSE))-LEN(N149)-3))</f>
        <v>100</v>
      </c>
      <c r="P149" s="135" t="str">
        <f ca="1">VLOOKUP($B149,bond!$B:$AG,32,FALSE)</f>
        <v>2024/11/15</v>
      </c>
      <c r="Q149" s="135" t="str">
        <f ca="1">VLOOKUP($B149,bond!$B:$AH,33,FALSE)</f>
        <v>政府</v>
      </c>
      <c r="R149" s="135" t="str">
        <f ca="1">VLOOKUP(B149,bond!B:AA,26,FALSE)</f>
        <v>美國國庫債券</v>
      </c>
      <c r="S149" s="135" t="str">
        <f ca="1">VLOOKUP(B149,bond!B:AI,34,FALSE)</f>
        <v>T</v>
      </c>
      <c r="T149" s="135" t="str">
        <f t="shared" ca="1" si="14"/>
        <v>美國國庫債券/T</v>
      </c>
      <c r="U149" s="207" t="str">
        <f ca="1">IFERROR(VLOOKUP(T149,Bond_DES!D:E,2,FALSE),VLOOKUP(S149,bond!AI:AJ,2,FALSE))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149" s="136" t="str">
        <f ca="1">IFERROR(VLOOKUP(B149,'1_重設數據'!L:M,2,FALSE),IF(Q149="政府",IF(AD149&gt;16,"(NPI)非專投",IF(AD149&gt;10,"(PI)專投","高資產")),IF(VLOOKUP(B149,bond!B:AN,39,FALSE)="Y","(PI)專投",IF(AD149&gt;=15,"(NPI)非專投",IF(AD149&gt;=10,"(PI)專投","高資產")))))</f>
        <v>(NPI)非專投</v>
      </c>
      <c r="W149" s="136" t="str">
        <f ca="1">VLOOKUP(AD149,'credit rating'!$F$2:$H$22,3,FALSE)</f>
        <v>AAA</v>
      </c>
      <c r="X149" s="136" t="str">
        <f t="shared" ca="1" si="15"/>
        <v>Aaa</v>
      </c>
      <c r="Y149" s="136" t="str">
        <f t="shared" ca="1" si="16"/>
        <v>-</v>
      </c>
      <c r="Z149" s="136" t="str">
        <f t="shared" ca="1" si="17"/>
        <v>AA+u</v>
      </c>
      <c r="AA149" s="134">
        <f ca="1">IFERROR(VLOOKUP(X149,'credit rating'!A:C,3,FALSE),0)</f>
        <v>21</v>
      </c>
      <c r="AB149" s="134">
        <f ca="1">IFERROR(VLOOKUP(Y149,'credit rating'!B:C,2,FALSE),0)</f>
        <v>0</v>
      </c>
      <c r="AC149" s="136">
        <f ca="1">IFERROR(VLOOKUP(Z149,'credit rating'!B:C,2,FALSE),0)</f>
        <v>20</v>
      </c>
      <c r="AD149" s="136">
        <f t="shared" ca="1" si="18"/>
        <v>21</v>
      </c>
      <c r="AE149" s="249" t="str">
        <f ca="1">IFERROR(VLOOKUP(B149,bond!B:U,20,FALSE),"")</f>
        <v xml:space="preserve"> </v>
      </c>
      <c r="AF149" s="136" t="str">
        <f ca="1">IF(VLOOKUP(B149,bond!B:AK,36,FALSE)="#N/A Field Not Applicable","",VLOOKUP(B149,bond!B:AK,36,FALSE))</f>
        <v/>
      </c>
      <c r="AG149" s="136" t="str">
        <f ca="1">IF(VLOOKUP(B149,bond!B:AL,37,FALSE)="FIXED","固定",IF(VLOOKUP(B149,bond!B:AL,37,FALSE)="FLOATING","浮動",IF(VLOOKUP(B149,bond!B:AL,37,FALSE)="VARIABLE","變動",IF(VLOOKUP(B149,bond!B:AL,37,FALSE)="FLAT TRADING","不含息交易",IF(VLOOKUP(B149,bond!B:AL,37,FALSE)="ZERO COUPON","零息",VLOOKUP(B149,bond!B:AL,37,FALSE))))))</f>
        <v>固定</v>
      </c>
      <c r="AH149" s="136" t="str">
        <f>VLOOKUP(C149,'2_Check_code'!I:J,2,FALSE)</f>
        <v>美元(USD)</v>
      </c>
      <c r="AI149" s="136" t="str">
        <f t="shared" ca="1" si="19"/>
        <v>自由選清單</v>
      </c>
      <c r="AJ149" s="136">
        <f t="shared" ca="1" si="20"/>
        <v>0</v>
      </c>
      <c r="AK149" s="594" t="str">
        <f ca="1">IF(VLOOKUP(B149,bond!B:S,18,FALSE)="是","有",IF(VLOOKUP(B149,bond!B:S,18,FALSE)="NO OFFER","無","需查詢"))</f>
        <v>有</v>
      </c>
      <c r="AL149" s="136" t="str">
        <f>IF(VLOOKUP(A149,bond!F:AR,39,FALSE)="#N/A Field Not Applicable",VLOOKUP(A149,bond!F:AR,38,FALSE),IFERROR(VLOOKUP(A149,'7_發行日例外'!A:B,2,FALSE),VLOOKUP(A149,bond!F:AR,39,FALSE)))</f>
        <v>2020/11/15</v>
      </c>
      <c r="AM149" s="136" t="str">
        <f ca="1">VLOOKUP(B149,bond!B:AK,36,FALSE)</f>
        <v>#N/A Field Not Applicable</v>
      </c>
      <c r="AN149" s="136" t="str">
        <f ca="1">IFERROR(VLOOKUP(B149,'3_是否下架'!A:A,1,FALSE),"")</f>
        <v/>
      </c>
      <c r="AO149" s="136">
        <f ca="1">VLOOKUP(B149,bond!B:J,9,FALSE)</f>
        <v>55.239999999999995</v>
      </c>
      <c r="AP149" s="136">
        <f ca="1">VLOOKUP(B149,bond!B:V,21,FALSE)</f>
        <v>18.971</v>
      </c>
    </row>
    <row r="150" spans="1:42">
      <c r="A150" s="141" t="str">
        <f>bond!F151</f>
        <v>USU74078CC58</v>
      </c>
      <c r="B150" s="151" t="str">
        <f ca="1">IF($C$1=TRUE,bond!B151,"")</f>
        <v>XG350</v>
      </c>
      <c r="C150" s="95" t="str">
        <f>VLOOKUP(A150,bond!F:G,2,FALSE)</f>
        <v>USD</v>
      </c>
      <c r="D150" s="142" t="str">
        <f ca="1">VLOOKUP(B150,bond!B:C,2,FALSE)</f>
        <v>雀巢控股公司美元配息債券 3.9% 2038/9/24</v>
      </c>
      <c r="E150" s="95" t="str">
        <f ca="1">VLOOKUP(B150,bond!B:D,3,FALSE)</f>
        <v>Aa3 / AA- / -</v>
      </c>
      <c r="F150" s="99" t="str">
        <f ca="1">VLOOKUP(B150,bond!B:AB,27,FALSE)</f>
        <v>2038/9/24</v>
      </c>
      <c r="G150" s="90">
        <f ca="1">VLOOKUP(B150,bond!B:E,4,FALSE)</f>
        <v>14.23</v>
      </c>
      <c r="H150" s="202">
        <f ca="1">VLOOKUP(B150,bond!B:Y,24,FALSE)</f>
        <v>3.9E-2</v>
      </c>
      <c r="I150" s="95">
        <f ca="1">VLOOKUP(B150,bond!B:Z,25,FALSE)</f>
        <v>2</v>
      </c>
      <c r="J150" s="180">
        <f ca="1">VLOOKUP(B150,bond!B:K,10,FALSE)</f>
        <v>1.0617000000000001</v>
      </c>
      <c r="K150" s="96">
        <f ca="1">VLOOKUP($B150,bond!B:S,14,FALSE)</f>
        <v>90.47</v>
      </c>
      <c r="L150" s="91" t="str">
        <f ca="1">VLOOKUP(B150,bond!B:H,7,FALSE)</f>
        <v>2024/7/2</v>
      </c>
      <c r="M150" s="144">
        <f ca="1">VLOOKUP($B150,bond!$B:$Q,16,FALSE)</f>
        <v>4.9399999999999999E-2</v>
      </c>
      <c r="N150" s="136">
        <f ca="1">VALUE(LEFT(VLOOKUP(B150,bond!B:R,17,FALSE),SEARCH(" ",VLOOKUP(B150,bond!B:R,17,FALSE),1)))</f>
        <v>150000</v>
      </c>
      <c r="O150" s="136">
        <f ca="1">VALUE(RIGHT(VLOOKUP(B150,bond!B:R,17,FALSE),LEN(VLOOKUP(B150,bond!B:R,17,FALSE))-LEN(N150)-3))</f>
        <v>1000</v>
      </c>
      <c r="P150" s="135" t="str">
        <f ca="1">VLOOKUP($B150,bond!$B:$AG,32,FALSE)</f>
        <v>2024/9/24</v>
      </c>
      <c r="Q150" s="135" t="str">
        <f ca="1">VLOOKUP($B150,bond!$B:$AH,33,FALSE)</f>
        <v>核心消費</v>
      </c>
      <c r="R150" s="135" t="str">
        <f ca="1">VLOOKUP(B150,bond!B:AA,26,FALSE)</f>
        <v>雀巢控股公司</v>
      </c>
      <c r="S150" s="135" t="str">
        <f ca="1">VLOOKUP(B150,bond!B:AI,34,FALSE)</f>
        <v>NESNVX</v>
      </c>
      <c r="T150" s="135" t="str">
        <f t="shared" ca="1" si="14"/>
        <v>雀巢控股公司/NESNVX</v>
      </c>
      <c r="U150" s="207" t="str">
        <f ca="1">IFERROR(VLOOKUP(T150,Bond_DES!D:E,2,FALSE),VLOOKUP(S150,bond!AI:AJ,2,FALSE))</f>
        <v>雀巢控股公司(Nestle Holdings, Inc.)創立於1866年，總部位於瑞士，為一家控股公司，透過旗下子公司提供食物、乳製品、飲料，以及營養產品。雀巢為全球最大的包裝食品製造公司，並位居2024全球50大快速消費品公司(FMCG)冠軍，擁有超過2,000個品牌，並遍佈全球188個國家。</v>
      </c>
      <c r="V150" s="136" t="str">
        <f ca="1">IFERROR(VLOOKUP(B150,'1_重設數據'!L:M,2,FALSE),IF(Q150="政府",IF(AD150&gt;16,"(NPI)非專投",IF(AD150&gt;10,"(PI)專投","高資產")),IF(VLOOKUP(B150,bond!B:AN,39,FALSE)="Y","(PI)專投",IF(AD150&gt;=15,"(NPI)非專投",IF(AD150&gt;=10,"(PI)專投","高資產")))))</f>
        <v>(NPI)非專投</v>
      </c>
      <c r="W150" s="136" t="str">
        <f ca="1">VLOOKUP(AD150,'credit rating'!$F$2:$H$22,3,FALSE)</f>
        <v>AA-</v>
      </c>
      <c r="X150" s="136" t="str">
        <f t="shared" ca="1" si="15"/>
        <v>Aa3</v>
      </c>
      <c r="Y150" s="136" t="str">
        <f t="shared" ca="1" si="16"/>
        <v>AA-</v>
      </c>
      <c r="Z150" s="136" t="str">
        <f t="shared" ca="1" si="17"/>
        <v>-</v>
      </c>
      <c r="AA150" s="134">
        <f ca="1">IFERROR(VLOOKUP(X150,'credit rating'!A:C,3,FALSE),0)</f>
        <v>18</v>
      </c>
      <c r="AB150" s="134">
        <f ca="1">IFERROR(VLOOKUP(Y150,'credit rating'!B:C,2,FALSE),0)</f>
        <v>18</v>
      </c>
      <c r="AC150" s="136">
        <f ca="1">IFERROR(VLOOKUP(Z150,'credit rating'!B:C,2,FALSE),0)</f>
        <v>0</v>
      </c>
      <c r="AD150" s="136">
        <f t="shared" ca="1" si="18"/>
        <v>18</v>
      </c>
      <c r="AE150" s="249">
        <f ca="1">IFERROR(VLOOKUP(B150,bond!B:U,20,FALSE),"")</f>
        <v>4.9700000000000001E-2</v>
      </c>
      <c r="AF150" s="136" t="str">
        <f ca="1">IF(VLOOKUP(B150,bond!B:AK,36,FALSE)="#N/A Field Not Applicable","",VLOOKUP(B150,bond!B:AK,36,FALSE))</f>
        <v>2038/3/24</v>
      </c>
      <c r="AG150" s="136" t="str">
        <f ca="1">IF(VLOOKUP(B150,bond!B:AL,37,FALSE)="FIXED","固定",IF(VLOOKUP(B150,bond!B:AL,37,FALSE)="FLOATING","浮動",IF(VLOOKUP(B150,bond!B:AL,37,FALSE)="VARIABLE","變動",IF(VLOOKUP(B150,bond!B:AL,37,FALSE)="FLAT TRADING","不含息交易",IF(VLOOKUP(B150,bond!B:AL,37,FALSE)="ZERO COUPON","零息",VLOOKUP(B150,bond!B:AL,37,FALSE))))))</f>
        <v>固定</v>
      </c>
      <c r="AH150" s="136" t="str">
        <f>VLOOKUP(C150,'2_Check_code'!I:J,2,FALSE)</f>
        <v>美元(USD)</v>
      </c>
      <c r="AI150" s="136" t="str">
        <f t="shared" ca="1" si="19"/>
        <v>自由選清單</v>
      </c>
      <c r="AJ150" s="136">
        <f t="shared" ca="1" si="20"/>
        <v>0</v>
      </c>
      <c r="AK150" s="594" t="str">
        <f ca="1">IF(VLOOKUP(B150,bond!B:S,18,FALSE)="是","有",IF(VLOOKUP(B150,bond!B:S,18,FALSE)="NO OFFER","無","需查詢"))</f>
        <v>有</v>
      </c>
      <c r="AL150" s="136" t="str">
        <f>IF(VLOOKUP(A150,bond!F:AR,39,FALSE)="#N/A Field Not Applicable",VLOOKUP(A150,bond!F:AR,38,FALSE),IFERROR(VLOOKUP(A150,'7_發行日例外'!A:B,2,FALSE),VLOOKUP(A150,bond!F:AR,39,FALSE)))</f>
        <v>2018/9/24</v>
      </c>
      <c r="AM150" s="136" t="str">
        <f ca="1">VLOOKUP(B150,bond!B:AK,36,FALSE)</f>
        <v>2038/3/24</v>
      </c>
      <c r="AN150" s="136" t="str">
        <f ca="1">IFERROR(VLOOKUP(B150,'3_是否下架'!A:A,1,FALSE),"")</f>
        <v/>
      </c>
      <c r="AO150" s="136">
        <f ca="1">VLOOKUP(B150,bond!B:J,9,FALSE)</f>
        <v>87.410000000000011</v>
      </c>
      <c r="AP150" s="136">
        <f ca="1">VLOOKUP(B150,bond!B:V,21,FALSE)</f>
        <v>10.4087</v>
      </c>
    </row>
    <row r="151" spans="1:42">
      <c r="A151" s="141" t="str">
        <f>bond!F152</f>
        <v>US58933YAV74</v>
      </c>
      <c r="B151" s="151" t="str">
        <f ca="1">IF($C$1=TRUE,bond!B152,"")</f>
        <v>XG360</v>
      </c>
      <c r="C151" s="95" t="str">
        <f>VLOOKUP(A151,bond!F:G,2,FALSE)</f>
        <v>USD</v>
      </c>
      <c r="D151" s="142" t="str">
        <f ca="1">VLOOKUP(B151,bond!B:C,2,FALSE)</f>
        <v>默克公司美元配息債券 3.9% 2039/3/7</v>
      </c>
      <c r="E151" s="95" t="str">
        <f ca="1">VLOOKUP(B151,bond!B:D,3,FALSE)</f>
        <v>A1 / A+ / WD</v>
      </c>
      <c r="F151" s="99" t="str">
        <f ca="1">VLOOKUP(B151,bond!B:AB,27,FALSE)</f>
        <v>2039/3/7</v>
      </c>
      <c r="G151" s="90">
        <f ca="1">VLOOKUP(B151,bond!B:E,4,FALSE)</f>
        <v>14.68</v>
      </c>
      <c r="H151" s="202">
        <f ca="1">VLOOKUP(B151,bond!B:Y,24,FALSE)</f>
        <v>3.9E-2</v>
      </c>
      <c r="I151" s="95">
        <f ca="1">VLOOKUP(B151,bond!B:Z,25,FALSE)</f>
        <v>2</v>
      </c>
      <c r="J151" s="180">
        <f ca="1">VLOOKUP(B151,bond!B:K,10,FALSE)</f>
        <v>1.2458</v>
      </c>
      <c r="K151" s="96">
        <f ca="1">VLOOKUP($B151,bond!B:S,14,FALSE)</f>
        <v>90.21</v>
      </c>
      <c r="L151" s="91" t="str">
        <f ca="1">VLOOKUP(B151,bond!B:H,7,FALSE)</f>
        <v>2024/7/2</v>
      </c>
      <c r="M151" s="144">
        <f ca="1">VLOOKUP($B151,bond!$B:$Q,16,FALSE)</f>
        <v>4.9700000000000001E-2</v>
      </c>
      <c r="N151" s="136">
        <f ca="1">VALUE(LEFT(VLOOKUP(B151,bond!B:R,17,FALSE),SEARCH(" ",VLOOKUP(B151,bond!B:R,17,FALSE),1)))</f>
        <v>10000</v>
      </c>
      <c r="O151" s="136">
        <f ca="1">VALUE(RIGHT(VLOOKUP(B151,bond!B:R,17,FALSE),LEN(VLOOKUP(B151,bond!B:R,17,FALSE))-LEN(N151)-3))</f>
        <v>1000</v>
      </c>
      <c r="P151" s="135" t="str">
        <f ca="1">VLOOKUP($B151,bond!$B:$AG,32,FALSE)</f>
        <v>2024/9/7</v>
      </c>
      <c r="Q151" s="135" t="str">
        <f ca="1">VLOOKUP($B151,bond!$B:$AH,33,FALSE)</f>
        <v>醫療保健</v>
      </c>
      <c r="R151" s="135" t="str">
        <f ca="1">VLOOKUP(B151,bond!B:AA,26,FALSE)</f>
        <v>默克藥廠</v>
      </c>
      <c r="S151" s="135" t="str">
        <f ca="1">VLOOKUP(B151,bond!B:AI,34,FALSE)</f>
        <v>MRK</v>
      </c>
      <c r="T151" s="135" t="str">
        <f t="shared" ca="1" si="14"/>
        <v>默克藥廠/MRK</v>
      </c>
      <c r="U151" s="207" t="str">
        <f ca="1">IFERROR(VLOOKUP(T151,Bond_DES!D:E,2,FALSE),VLOOKUP(S151,bond!AI:AJ,2,FALSE))</f>
        <v>默克公司(Merck &amp; Co., Inc)是一家全球醫療保健公司，於美加以外地區被稱為「默沙東(MSD)」，研發重點聚焦於癌症藥物、疫苗和動物保健產品等高成長領域。2023年《Fortune》於全球製藥行業名列第4、2023年《製藥經理人》全球製藥企業50強第5位，2024年《Fortune》美國製藥排名第2位。</v>
      </c>
      <c r="V151" s="136" t="str">
        <f ca="1">IFERROR(VLOOKUP(B151,'1_重設數據'!L:M,2,FALSE),IF(Q151="政府",IF(AD151&gt;16,"(NPI)非專投",IF(AD151&gt;10,"(PI)專投","高資產")),IF(VLOOKUP(B151,bond!B:AN,39,FALSE)="Y","(PI)專投",IF(AD151&gt;=15,"(NPI)非專投",IF(AD151&gt;=10,"(PI)專投","高資產")))))</f>
        <v>(NPI)非專投</v>
      </c>
      <c r="W151" s="136" t="str">
        <f ca="1">VLOOKUP(AD151,'credit rating'!$F$2:$H$22,3,FALSE)</f>
        <v>A+</v>
      </c>
      <c r="X151" s="136" t="str">
        <f t="shared" ca="1" si="15"/>
        <v>A1</v>
      </c>
      <c r="Y151" s="136" t="str">
        <f t="shared" ca="1" si="16"/>
        <v>A+</v>
      </c>
      <c r="Z151" s="136" t="str">
        <f t="shared" ca="1" si="17"/>
        <v>WD</v>
      </c>
      <c r="AA151" s="134">
        <f ca="1">IFERROR(VLOOKUP(X151,'credit rating'!A:C,3,FALSE),0)</f>
        <v>17</v>
      </c>
      <c r="AB151" s="134">
        <f ca="1">IFERROR(VLOOKUP(Y151,'credit rating'!B:C,2,FALSE),0)</f>
        <v>17</v>
      </c>
      <c r="AC151" s="136">
        <f ca="1">IFERROR(VLOOKUP(Z151,'credit rating'!B:C,2,FALSE),0)</f>
        <v>0</v>
      </c>
      <c r="AD151" s="136">
        <f t="shared" ca="1" si="18"/>
        <v>17</v>
      </c>
      <c r="AE151" s="249">
        <f ca="1">IFERROR(VLOOKUP(B151,bond!B:U,20,FALSE),"")</f>
        <v>0.05</v>
      </c>
      <c r="AF151" s="136" t="str">
        <f ca="1">IF(VLOOKUP(B151,bond!B:AK,36,FALSE)="#N/A Field Not Applicable","",VLOOKUP(B151,bond!B:AK,36,FALSE))</f>
        <v>2038/9/7</v>
      </c>
      <c r="AG151" s="136" t="str">
        <f ca="1">IF(VLOOKUP(B151,bond!B:AL,37,FALSE)="FIXED","固定",IF(VLOOKUP(B151,bond!B:AL,37,FALSE)="FLOATING","浮動",IF(VLOOKUP(B151,bond!B:AL,37,FALSE)="VARIABLE","變動",IF(VLOOKUP(B151,bond!B:AL,37,FALSE)="FLAT TRADING","不含息交易",IF(VLOOKUP(B151,bond!B:AL,37,FALSE)="ZERO COUPON","零息",VLOOKUP(B151,bond!B:AL,37,FALSE))))))</f>
        <v>固定</v>
      </c>
      <c r="AH151" s="136" t="str">
        <f>VLOOKUP(C151,'2_Check_code'!I:J,2,FALSE)</f>
        <v>美元(USD)</v>
      </c>
      <c r="AI151" s="136" t="str">
        <f t="shared" ca="1" si="19"/>
        <v>自由選清單</v>
      </c>
      <c r="AJ151" s="136">
        <f t="shared" ca="1" si="20"/>
        <v>0</v>
      </c>
      <c r="AK151" s="594" t="str">
        <f ca="1">IF(VLOOKUP(B151,bond!B:S,18,FALSE)="是","有",IF(VLOOKUP(B151,bond!B:S,18,FALSE)="NO OFFER","無","需查詢"))</f>
        <v>有</v>
      </c>
      <c r="AL151" s="136" t="str">
        <f>IF(VLOOKUP(A151,bond!F:AR,39,FALSE)="#N/A Field Not Applicable",VLOOKUP(A151,bond!F:AR,38,FALSE),IFERROR(VLOOKUP(A151,'7_發行日例外'!A:B,2,FALSE),VLOOKUP(A151,bond!F:AR,39,FALSE)))</f>
        <v>2019/3/7</v>
      </c>
      <c r="AM151" s="136" t="str">
        <f ca="1">VLOOKUP(B151,bond!B:AK,36,FALSE)</f>
        <v>2038/9/7</v>
      </c>
      <c r="AN151" s="136" t="str">
        <f ca="1">IFERROR(VLOOKUP(B151,'3_是否下架'!A:A,1,FALSE),"")</f>
        <v/>
      </c>
      <c r="AO151" s="136">
        <f ca="1">VLOOKUP(B151,bond!B:J,9,FALSE)</f>
        <v>86.960000000000008</v>
      </c>
      <c r="AP151" s="136">
        <f ca="1">VLOOKUP(B151,bond!B:V,21,FALSE)</f>
        <v>10.6127</v>
      </c>
    </row>
    <row r="152" spans="1:42">
      <c r="A152" s="141" t="str">
        <f>bond!F153</f>
        <v>US002824BG43</v>
      </c>
      <c r="B152" s="151" t="str">
        <f ca="1">IF($C$1=TRUE,bond!B153,"")</f>
        <v>XG370</v>
      </c>
      <c r="C152" s="95" t="str">
        <f>VLOOKUP(A152,bond!F:G,2,FALSE)</f>
        <v>USD</v>
      </c>
      <c r="D152" s="142" t="str">
        <f ca="1">VLOOKUP(B152,bond!B:C,2,FALSE)</f>
        <v>亞培公司美元配息債券 4.75% 2036/11/30</v>
      </c>
      <c r="E152" s="95" t="str">
        <f ca="1">VLOOKUP(B152,bond!B:D,3,FALSE)</f>
        <v>Aa3 / AA- / WD</v>
      </c>
      <c r="F152" s="99" t="str">
        <f ca="1">VLOOKUP(B152,bond!B:AB,27,FALSE)</f>
        <v>2036/11/30</v>
      </c>
      <c r="G152" s="90">
        <f ca="1">VLOOKUP(B152,bond!B:E,4,FALSE)</f>
        <v>12.41</v>
      </c>
      <c r="H152" s="202">
        <f ca="1">VLOOKUP(B152,bond!B:Y,24,FALSE)</f>
        <v>4.7500000000000001E-2</v>
      </c>
      <c r="I152" s="95">
        <f ca="1">VLOOKUP(B152,bond!B:Z,25,FALSE)</f>
        <v>2</v>
      </c>
      <c r="J152" s="180">
        <f ca="1">VLOOKUP(B152,bond!B:K,10,FALSE)</f>
        <v>0.42220000000000002</v>
      </c>
      <c r="K152" s="96">
        <f ca="1">VLOOKUP($B152,bond!B:S,14,FALSE)</f>
        <v>99.98</v>
      </c>
      <c r="L152" s="91" t="str">
        <f ca="1">VLOOKUP(B152,bond!B:H,7,FALSE)</f>
        <v>2024/7/2</v>
      </c>
      <c r="M152" s="144">
        <f ca="1">VLOOKUP($B152,bond!$B:$Q,16,FALSE)</f>
        <v>4.8000000000000001E-2</v>
      </c>
      <c r="N152" s="136">
        <f ca="1">VALUE(LEFT(VLOOKUP(B152,bond!B:R,17,FALSE),SEARCH(" ",VLOOKUP(B152,bond!B:R,17,FALSE),1)))</f>
        <v>10000</v>
      </c>
      <c r="O152" s="136">
        <f ca="1">VALUE(RIGHT(VLOOKUP(B152,bond!B:R,17,FALSE),LEN(VLOOKUP(B152,bond!B:R,17,FALSE))-LEN(N152)-3))</f>
        <v>1000</v>
      </c>
      <c r="P152" s="135" t="str">
        <f ca="1">VLOOKUP($B152,bond!$B:$AG,32,FALSE)</f>
        <v>2024/11/30</v>
      </c>
      <c r="Q152" s="135" t="str">
        <f ca="1">VLOOKUP($B152,bond!$B:$AH,33,FALSE)</f>
        <v>醫療保健</v>
      </c>
      <c r="R152" s="135" t="str">
        <f ca="1">VLOOKUP(B152,bond!B:AA,26,FALSE)</f>
        <v>亞培</v>
      </c>
      <c r="S152" s="135" t="str">
        <f ca="1">VLOOKUP(B152,bond!B:AI,34,FALSE)</f>
        <v>ABT</v>
      </c>
      <c r="T152" s="135" t="str">
        <f t="shared" ca="1" si="14"/>
        <v>亞培/ABT</v>
      </c>
      <c r="U152" s="207" t="str">
        <f ca="1">IFERROR(VLOOKUP(T152,Bond_DES!D:E,2,FALSE),VLOOKUP(S152,bond!AI:AJ,2,FALSE))</f>
        <v>亞培公司(Abbott Laboratories)是全球醫療保健領導者，業務觸及醫療設備、檢驗試劑、營養品及品牌學名藥等多元領域，旗下知名品牌有亞培安素、嬰兒配方奶粉Similac(心美力)、連續監控血糖檢測儀Freestyle libre等。2023年亞培連續第11年獲道瓊永續發展指數(DJSI)評為「醫療保健設備與用品」全球行業領導者地位。</v>
      </c>
      <c r="V152" s="136" t="str">
        <f ca="1">IFERROR(VLOOKUP(B152,'1_重設數據'!L:M,2,FALSE),IF(Q152="政府",IF(AD152&gt;16,"(NPI)非專投",IF(AD152&gt;10,"(PI)專投","高資產")),IF(VLOOKUP(B152,bond!B:AN,39,FALSE)="Y","(PI)專投",IF(AD152&gt;=15,"(NPI)非專投",IF(AD152&gt;=10,"(PI)專投","高資產")))))</f>
        <v>(NPI)非專投</v>
      </c>
      <c r="W152" s="136" t="str">
        <f ca="1">VLOOKUP(AD152,'credit rating'!$F$2:$H$22,3,FALSE)</f>
        <v>AA-</v>
      </c>
      <c r="X152" s="136" t="str">
        <f t="shared" ca="1" si="15"/>
        <v>Aa3</v>
      </c>
      <c r="Y152" s="136" t="str">
        <f t="shared" ca="1" si="16"/>
        <v>AA-</v>
      </c>
      <c r="Z152" s="136" t="str">
        <f t="shared" ca="1" si="17"/>
        <v>WD</v>
      </c>
      <c r="AA152" s="134">
        <f ca="1">IFERROR(VLOOKUP(X152,'credit rating'!A:C,3,FALSE),0)</f>
        <v>18</v>
      </c>
      <c r="AB152" s="134">
        <f ca="1">IFERROR(VLOOKUP(Y152,'credit rating'!B:C,2,FALSE),0)</f>
        <v>18</v>
      </c>
      <c r="AC152" s="136">
        <f ca="1">IFERROR(VLOOKUP(Z152,'credit rating'!B:C,2,FALSE),0)</f>
        <v>0</v>
      </c>
      <c r="AD152" s="136">
        <f t="shared" ca="1" si="18"/>
        <v>18</v>
      </c>
      <c r="AE152" s="249">
        <f ca="1">IFERROR(VLOOKUP(B152,bond!B:U,20,FALSE),"")</f>
        <v>4.8000000000000001E-2</v>
      </c>
      <c r="AF152" s="136" t="str">
        <f ca="1">IF(VLOOKUP(B152,bond!B:AK,36,FALSE)="#N/A Field Not Applicable","",VLOOKUP(B152,bond!B:AK,36,FALSE))</f>
        <v>2036/5/30</v>
      </c>
      <c r="AG152" s="136" t="str">
        <f ca="1">IF(VLOOKUP(B152,bond!B:AL,37,FALSE)="FIXED","固定",IF(VLOOKUP(B152,bond!B:AL,37,FALSE)="FLOATING","浮動",IF(VLOOKUP(B152,bond!B:AL,37,FALSE)="VARIABLE","變動",IF(VLOOKUP(B152,bond!B:AL,37,FALSE)="FLAT TRADING","不含息交易",IF(VLOOKUP(B152,bond!B:AL,37,FALSE)="ZERO COUPON","零息",VLOOKUP(B152,bond!B:AL,37,FALSE))))))</f>
        <v>固定</v>
      </c>
      <c r="AH152" s="136" t="str">
        <f>VLOOKUP(C152,'2_Check_code'!I:J,2,FALSE)</f>
        <v>美元(USD)</v>
      </c>
      <c r="AI152" s="136" t="str">
        <f t="shared" ca="1" si="19"/>
        <v>自由選清單</v>
      </c>
      <c r="AJ152" s="136">
        <f t="shared" ca="1" si="20"/>
        <v>0</v>
      </c>
      <c r="AK152" s="594" t="str">
        <f ca="1">IF(VLOOKUP(B152,bond!B:S,18,FALSE)="是","有",IF(VLOOKUP(B152,bond!B:S,18,FALSE)="NO OFFER","無","需查詢"))</f>
        <v>有</v>
      </c>
      <c r="AL152" s="136" t="str">
        <f>IF(VLOOKUP(A152,bond!F:AR,39,FALSE)="#N/A Field Not Applicable",VLOOKUP(A152,bond!F:AR,38,FALSE),IFERROR(VLOOKUP(A152,'7_發行日例外'!A:B,2,FALSE),VLOOKUP(A152,bond!F:AR,39,FALSE)))</f>
        <v>2016/11/22</v>
      </c>
      <c r="AM152" s="136" t="str">
        <f ca="1">VLOOKUP(B152,bond!B:AK,36,FALSE)</f>
        <v>2036/5/30</v>
      </c>
      <c r="AN152" s="136" t="str">
        <f ca="1">IFERROR(VLOOKUP(B152,'3_是否下架'!A:A,1,FALSE),"")</f>
        <v/>
      </c>
      <c r="AO152" s="136">
        <f ca="1">VLOOKUP(B152,bond!B:J,9,FALSE)</f>
        <v>97.56</v>
      </c>
      <c r="AP152" s="136">
        <f ca="1">VLOOKUP(B152,bond!B:V,21,FALSE)</f>
        <v>9.2169000000000008</v>
      </c>
    </row>
    <row r="153" spans="1:42">
      <c r="A153" s="141" t="str">
        <f>bond!F154</f>
        <v>US92343VFE92</v>
      </c>
      <c r="B153" s="151" t="str">
        <f ca="1">IF($C$1=TRUE,bond!B154,"")</f>
        <v>XG380</v>
      </c>
      <c r="C153" s="95" t="str">
        <f>VLOOKUP(A153,bond!F:G,2,FALSE)</f>
        <v>USD</v>
      </c>
      <c r="D153" s="142" t="str">
        <f ca="1">VLOOKUP(B153,bond!B:C,2,FALSE)</f>
        <v>威瑞森電信公司美元配息債券 3.15% 2030/3/22</v>
      </c>
      <c r="E153" s="95" t="str">
        <f ca="1">VLOOKUP(B153,bond!B:D,3,FALSE)</f>
        <v>Baa1 / BBB+ / A-</v>
      </c>
      <c r="F153" s="99" t="str">
        <f ca="1">VLOOKUP(B153,bond!B:AB,27,FALSE)</f>
        <v>2030/3/22</v>
      </c>
      <c r="G153" s="90">
        <f ca="1">VLOOKUP(B153,bond!B:E,4,FALSE)</f>
        <v>5.72</v>
      </c>
      <c r="H153" s="202">
        <f ca="1">VLOOKUP(B153,bond!B:Y,24,FALSE)</f>
        <v>3.15E-2</v>
      </c>
      <c r="I153" s="95">
        <f ca="1">VLOOKUP(B153,bond!B:Z,25,FALSE)</f>
        <v>2</v>
      </c>
      <c r="J153" s="180">
        <f ca="1">VLOOKUP(B153,bond!B:K,10,FALSE)</f>
        <v>0.875</v>
      </c>
      <c r="K153" s="96">
        <f ca="1">VLOOKUP($B153,bond!B:S,14,FALSE)</f>
        <v>93.21</v>
      </c>
      <c r="L153" s="91" t="str">
        <f ca="1">VLOOKUP(B153,bond!B:H,7,FALSE)</f>
        <v>2024/7/2</v>
      </c>
      <c r="M153" s="144">
        <f ca="1">VLOOKUP($B153,bond!$B:$Q,16,FALSE)</f>
        <v>4.6899999999999997E-2</v>
      </c>
      <c r="N153" s="136">
        <f ca="1">VALUE(LEFT(VLOOKUP(B153,bond!B:R,17,FALSE),SEARCH(" ",VLOOKUP(B153,bond!B:R,17,FALSE),1)))</f>
        <v>10000</v>
      </c>
      <c r="O153" s="136">
        <f ca="1">VALUE(RIGHT(VLOOKUP(B153,bond!B:R,17,FALSE),LEN(VLOOKUP(B153,bond!B:R,17,FALSE))-LEN(N153)-3))</f>
        <v>1000</v>
      </c>
      <c r="P153" s="135" t="str">
        <f ca="1">VLOOKUP($B153,bond!$B:$AG,32,FALSE)</f>
        <v>2024/9/22</v>
      </c>
      <c r="Q153" s="135" t="str">
        <f ca="1">VLOOKUP($B153,bond!$B:$AH,33,FALSE)</f>
        <v>通訊</v>
      </c>
      <c r="R153" s="135" t="str">
        <f ca="1">VLOOKUP(B153,bond!B:AA,26,FALSE)</f>
        <v>威瑞森電信公司</v>
      </c>
      <c r="S153" s="135" t="str">
        <f ca="1">VLOOKUP(B153,bond!B:AI,34,FALSE)</f>
        <v>VZ</v>
      </c>
      <c r="T153" s="135" t="str">
        <f t="shared" ca="1" si="14"/>
        <v>威瑞森電信公司/VZ</v>
      </c>
      <c r="U153" s="207" t="str">
        <f ca="1">IFERROR(VLOOKUP(T153,Bond_DES!D:E,2,FALSE),VLOOKUP(S153,bond!AI:AJ,2,FALSE))</f>
        <v>威瑞森電信(Verizon Communications Inc.)為全球電信業者中，產業規模最大且最會賺錢的電信商，且是唯一具備A級評等的美國無線通訊服務供應商，2021年完成收購美國最大的預付行動電話營運商TracFone後，進一步稱霸北美零售無線後付費及預付費通訊市場，於美國零售無線用戶市佔第一，總零售無線用戶數逾1.4億戶。</v>
      </c>
      <c r="V153" s="136" t="str">
        <f ca="1">IFERROR(VLOOKUP(B153,'1_重設數據'!L:M,2,FALSE),IF(Q153="政府",IF(AD153&gt;16,"(NPI)非專投",IF(AD153&gt;10,"(PI)專投","高資產")),IF(VLOOKUP(B153,bond!B:AN,39,FALSE)="Y","(PI)專投",IF(AD153&gt;=15,"(NPI)非專投",IF(AD153&gt;=10,"(PI)專投","高資產")))))</f>
        <v>(NPI)非專投</v>
      </c>
      <c r="W153" s="136" t="str">
        <f ca="1">VLOOKUP(AD153,'credit rating'!$F$2:$H$22,3,FALSE)</f>
        <v>A-</v>
      </c>
      <c r="X153" s="136" t="str">
        <f t="shared" ca="1" si="15"/>
        <v>Baa1</v>
      </c>
      <c r="Y153" s="136" t="str">
        <f t="shared" ca="1" si="16"/>
        <v>BBB+</v>
      </c>
      <c r="Z153" s="136" t="str">
        <f t="shared" ca="1" si="17"/>
        <v>A-</v>
      </c>
      <c r="AA153" s="134">
        <f ca="1">IFERROR(VLOOKUP(X153,'credit rating'!A:C,3,FALSE),0)</f>
        <v>14</v>
      </c>
      <c r="AB153" s="134">
        <f ca="1">IFERROR(VLOOKUP(Y153,'credit rating'!B:C,2,FALSE),0)</f>
        <v>14</v>
      </c>
      <c r="AC153" s="136">
        <f ca="1">IFERROR(VLOOKUP(Z153,'credit rating'!B:C,2,FALSE),0)</f>
        <v>15</v>
      </c>
      <c r="AD153" s="136">
        <f t="shared" ca="1" si="18"/>
        <v>15</v>
      </c>
      <c r="AE153" s="249">
        <f ca="1">IFERROR(VLOOKUP(B153,bond!B:U,20,FALSE),"")</f>
        <v>4.7600000000000003E-2</v>
      </c>
      <c r="AF153" s="136" t="str">
        <f ca="1">IF(VLOOKUP(B153,bond!B:AK,36,FALSE)="#N/A Field Not Applicable","",VLOOKUP(B153,bond!B:AK,36,FALSE))</f>
        <v>2029/12/22</v>
      </c>
      <c r="AG153" s="136" t="str">
        <f ca="1">IF(VLOOKUP(B153,bond!B:AL,37,FALSE)="FIXED","固定",IF(VLOOKUP(B153,bond!B:AL,37,FALSE)="FLOATING","浮動",IF(VLOOKUP(B153,bond!B:AL,37,FALSE)="VARIABLE","變動",IF(VLOOKUP(B153,bond!B:AL,37,FALSE)="FLAT TRADING","不含息交易",IF(VLOOKUP(B153,bond!B:AL,37,FALSE)="ZERO COUPON","零息",VLOOKUP(B153,bond!B:AL,37,FALSE))))))</f>
        <v>固定</v>
      </c>
      <c r="AH153" s="136" t="str">
        <f>VLOOKUP(C153,'2_Check_code'!I:J,2,FALSE)</f>
        <v>美元(USD)</v>
      </c>
      <c r="AI153" s="136" t="str">
        <f t="shared" ca="1" si="19"/>
        <v>自由選清單</v>
      </c>
      <c r="AJ153" s="136">
        <f t="shared" ca="1" si="20"/>
        <v>0</v>
      </c>
      <c r="AK153" s="594" t="str">
        <f ca="1">IF(VLOOKUP(B153,bond!B:S,18,FALSE)="是","有",IF(VLOOKUP(B153,bond!B:S,18,FALSE)="NO OFFER","無","需查詢"))</f>
        <v>有</v>
      </c>
      <c r="AL153" s="136" t="str">
        <f>IF(VLOOKUP(A153,bond!F:AR,39,FALSE)="#N/A Field Not Applicable",VLOOKUP(A153,bond!F:AR,38,FALSE),IFERROR(VLOOKUP(A153,'7_發行日例外'!A:B,2,FALSE),VLOOKUP(A153,bond!F:AR,39,FALSE)))</f>
        <v>2020/3/20</v>
      </c>
      <c r="AM153" s="136" t="str">
        <f ca="1">VLOOKUP(B153,bond!B:AK,36,FALSE)</f>
        <v>2029/12/22</v>
      </c>
      <c r="AN153" s="136" t="str">
        <f ca="1">IFERROR(VLOOKUP(B153,'3_是否下架'!A:A,1,FALSE),"")</f>
        <v/>
      </c>
      <c r="AO153" s="136">
        <f ca="1">VLOOKUP(B153,bond!B:J,9,FALSE)</f>
        <v>90.83</v>
      </c>
      <c r="AP153" s="136">
        <f ca="1">VLOOKUP(B153,bond!B:V,21,FALSE)</f>
        <v>5.0799000000000003</v>
      </c>
    </row>
    <row r="154" spans="1:42">
      <c r="A154" s="141" t="str">
        <f>bond!F155</f>
        <v>US88032XAV64</v>
      </c>
      <c r="B154" s="151" t="str">
        <f ca="1">IF($C$1=TRUE,bond!B155,"")</f>
        <v>XG390</v>
      </c>
      <c r="C154" s="95" t="str">
        <f>VLOOKUP(A154,bond!F:G,2,FALSE)</f>
        <v>USD</v>
      </c>
      <c r="D154" s="142" t="str">
        <f ca="1">VLOOKUP(B154,bond!B:C,2,FALSE)</f>
        <v>騰訊控股美元配息債券 3.24% 2050/6/3</v>
      </c>
      <c r="E154" s="95" t="str">
        <f ca="1">VLOOKUP(B154,bond!B:D,3,FALSE)</f>
        <v>A1 / A+ / A+</v>
      </c>
      <c r="F154" s="99" t="str">
        <f ca="1">VLOOKUP(B154,bond!B:AB,27,FALSE)</f>
        <v>2050/6/3</v>
      </c>
      <c r="G154" s="90">
        <f ca="1">VLOOKUP(B154,bond!B:E,4,FALSE)</f>
        <v>25.92</v>
      </c>
      <c r="H154" s="202">
        <f ca="1">VLOOKUP(B154,bond!B:Y,24,FALSE)</f>
        <v>3.2400000000000005E-2</v>
      </c>
      <c r="I154" s="95">
        <f ca="1">VLOOKUP(B154,bond!B:Z,25,FALSE)</f>
        <v>2</v>
      </c>
      <c r="J154" s="180">
        <f ca="1">VLOOKUP(B154,bond!B:K,10,FALSE)</f>
        <v>0.26100000000000001</v>
      </c>
      <c r="K154" s="96">
        <f ca="1">VLOOKUP($B154,bond!B:S,14,FALSE)</f>
        <v>69.989999999999995</v>
      </c>
      <c r="L154" s="91" t="str">
        <f ca="1">VLOOKUP(B154,bond!B:H,7,FALSE)</f>
        <v>2024/7/2</v>
      </c>
      <c r="M154" s="144">
        <f ca="1">VLOOKUP($B154,bond!$B:$Q,16,FALSE)</f>
        <v>5.4300000000000001E-2</v>
      </c>
      <c r="N154" s="136">
        <f ca="1">VALUE(LEFT(VLOOKUP(B154,bond!B:R,17,FALSE),SEARCH(" ",VLOOKUP(B154,bond!B:R,17,FALSE),1)))</f>
        <v>200000</v>
      </c>
      <c r="O154" s="136">
        <f ca="1">VALUE(RIGHT(VLOOKUP(B154,bond!B:R,17,FALSE),LEN(VLOOKUP(B154,bond!B:R,17,FALSE))-LEN(N154)-3))</f>
        <v>1000</v>
      </c>
      <c r="P154" s="135" t="str">
        <f ca="1">VLOOKUP($B154,bond!$B:$AG,32,FALSE)</f>
        <v>2024/12/3</v>
      </c>
      <c r="Q154" s="135" t="str">
        <f ca="1">VLOOKUP($B154,bond!$B:$AH,33,FALSE)</f>
        <v>通訊</v>
      </c>
      <c r="R154" s="135" t="str">
        <f ca="1">VLOOKUP(B154,bond!B:AA,26,FALSE)</f>
        <v>騰訊控股有限公司</v>
      </c>
      <c r="S154" s="135" t="str">
        <f ca="1">VLOOKUP(B154,bond!B:AI,34,FALSE)</f>
        <v>TENCNT</v>
      </c>
      <c r="T154" s="135" t="str">
        <f t="shared" ca="1" si="14"/>
        <v>騰訊控股有限公司/TENCNT</v>
      </c>
      <c r="U154" s="207" t="str">
        <f ca="1">IFERROR(VLOOKUP(T154,Bond_DES!D:E,2,FALSE),VLOOKUP(S154,bond!AI:AJ,2,FALSE))</f>
        <v>騰訊控股有限公司(Tencent Holdings Limited)中國市值最大的網際網路公司，2023年12月統計該公司市值為中國所有上市公司之最。騰訊亦是全球用戶最多的數位娛樂平台，通過全球月活躍帳戶數超過10億的微信和WeChat發展生態系，提供豐富的數位內容及金融科技等服務。</v>
      </c>
      <c r="V154" s="136" t="str">
        <f ca="1">IFERROR(VLOOKUP(B154,'1_重設數據'!L:M,2,FALSE),IF(Q154="政府",IF(AD154&gt;16,"(NPI)非專投",IF(AD154&gt;10,"(PI)專投","高資產")),IF(VLOOKUP(B154,bond!B:AN,39,FALSE)="Y","(PI)專投",IF(AD154&gt;=15,"(NPI)非專投",IF(AD154&gt;=10,"(PI)專投","高資產")))))</f>
        <v>(NPI)非專投</v>
      </c>
      <c r="W154" s="136" t="str">
        <f ca="1">VLOOKUP(AD154,'credit rating'!$F$2:$H$22,3,FALSE)</f>
        <v>A+</v>
      </c>
      <c r="X154" s="136" t="str">
        <f t="shared" ca="1" si="15"/>
        <v>A1</v>
      </c>
      <c r="Y154" s="136" t="str">
        <f t="shared" ca="1" si="16"/>
        <v>A+</v>
      </c>
      <c r="Z154" s="136" t="str">
        <f t="shared" ca="1" si="17"/>
        <v>A+</v>
      </c>
      <c r="AA154" s="134">
        <f ca="1">IFERROR(VLOOKUP(X154,'credit rating'!A:C,3,FALSE),0)</f>
        <v>17</v>
      </c>
      <c r="AB154" s="134">
        <f ca="1">IFERROR(VLOOKUP(Y154,'credit rating'!B:C,2,FALSE),0)</f>
        <v>17</v>
      </c>
      <c r="AC154" s="136">
        <f ca="1">IFERROR(VLOOKUP(Z154,'credit rating'!B:C,2,FALSE),0)</f>
        <v>17</v>
      </c>
      <c r="AD154" s="136">
        <f t="shared" ca="1" si="18"/>
        <v>17</v>
      </c>
      <c r="AE154" s="249">
        <f ca="1">IFERROR(VLOOKUP(B154,bond!B:U,20,FALSE),"")</f>
        <v>5.4600000000000003E-2</v>
      </c>
      <c r="AF154" s="136" t="str">
        <f ca="1">IF(VLOOKUP(B154,bond!B:AK,36,FALSE)="#N/A Field Not Applicable","",VLOOKUP(B154,bond!B:AK,36,FALSE))</f>
        <v>2049/12/3</v>
      </c>
      <c r="AG154" s="136" t="str">
        <f ca="1">IF(VLOOKUP(B154,bond!B:AL,37,FALSE)="FIXED","固定",IF(VLOOKUP(B154,bond!B:AL,37,FALSE)="FLOATING","浮動",IF(VLOOKUP(B154,bond!B:AL,37,FALSE)="VARIABLE","變動",IF(VLOOKUP(B154,bond!B:AL,37,FALSE)="FLAT TRADING","不含息交易",IF(VLOOKUP(B154,bond!B:AL,37,FALSE)="ZERO COUPON","零息",VLOOKUP(B154,bond!B:AL,37,FALSE))))))</f>
        <v>固定</v>
      </c>
      <c r="AH154" s="136" t="str">
        <f>VLOOKUP(C154,'2_Check_code'!I:J,2,FALSE)</f>
        <v>美元(USD)</v>
      </c>
      <c r="AI154" s="136" t="str">
        <f t="shared" ca="1" si="19"/>
        <v>自由選清單</v>
      </c>
      <c r="AJ154" s="136">
        <f t="shared" ca="1" si="20"/>
        <v>0</v>
      </c>
      <c r="AK154" s="594" t="str">
        <f ca="1">IF(VLOOKUP(B154,bond!B:S,18,FALSE)="是","有",IF(VLOOKUP(B154,bond!B:S,18,FALSE)="NO OFFER","無","需查詢"))</f>
        <v>有</v>
      </c>
      <c r="AL154" s="136" t="str">
        <f>IF(VLOOKUP(A154,bond!F:AR,39,FALSE)="#N/A Field Not Applicable",VLOOKUP(A154,bond!F:AR,38,FALSE),IFERROR(VLOOKUP(A154,'7_發行日例外'!A:B,2,FALSE),VLOOKUP(A154,bond!F:AR,39,FALSE)))</f>
        <v>2020/6/3</v>
      </c>
      <c r="AM154" s="136" t="str">
        <f ca="1">VLOOKUP(B154,bond!B:AK,36,FALSE)</f>
        <v>2049/12/3</v>
      </c>
      <c r="AN154" s="136" t="str">
        <f ca="1">IFERROR(VLOOKUP(B154,'3_是否下架'!A:A,1,FALSE),"")</f>
        <v/>
      </c>
      <c r="AO154" s="136">
        <f ca="1">VLOOKUP(B154,bond!B:J,9,FALSE)</f>
        <v>66.23</v>
      </c>
      <c r="AP154" s="136">
        <f ca="1">VLOOKUP(B154,bond!B:V,21,FALSE)</f>
        <v>15.210599999999999</v>
      </c>
    </row>
    <row r="155" spans="1:42">
      <c r="A155" s="141" t="str">
        <f>bond!F156</f>
        <v>US209111FY40</v>
      </c>
      <c r="B155" s="151" t="str">
        <f ca="1">IF($C$1=TRUE,bond!B156,"")</f>
        <v>XG400</v>
      </c>
      <c r="C155" s="95" t="str">
        <f>VLOOKUP(A155,bond!F:G,2,FALSE)</f>
        <v>USD</v>
      </c>
      <c r="D155" s="142" t="str">
        <f ca="1">VLOOKUP(B155,bond!B:C,2,FALSE)</f>
        <v>紐約聯合愛迪生公司美元配息債券 3.95% 2050/4/1</v>
      </c>
      <c r="E155" s="95" t="str">
        <f ca="1">VLOOKUP(B155,bond!B:D,3,FALSE)</f>
        <v>A3 / A- / A-</v>
      </c>
      <c r="F155" s="99" t="str">
        <f ca="1">VLOOKUP(B155,bond!B:AB,27,FALSE)</f>
        <v>2050/4/1</v>
      </c>
      <c r="G155" s="90">
        <f ca="1">VLOOKUP(B155,bond!B:E,4,FALSE)</f>
        <v>25.75</v>
      </c>
      <c r="H155" s="202">
        <f ca="1">VLOOKUP(B155,bond!B:Y,24,FALSE)</f>
        <v>3.95E-2</v>
      </c>
      <c r="I155" s="95">
        <f ca="1">VLOOKUP(B155,bond!B:Z,25,FALSE)</f>
        <v>2</v>
      </c>
      <c r="J155" s="180">
        <f ca="1">VLOOKUP(B155,bond!B:K,10,FALSE)</f>
        <v>0.99850000000000005</v>
      </c>
      <c r="K155" s="96">
        <f ca="1">VLOOKUP($B155,bond!B:S,14,FALSE)</f>
        <v>83.43</v>
      </c>
      <c r="L155" s="91" t="str">
        <f ca="1">VLOOKUP(B155,bond!B:H,7,FALSE)</f>
        <v>2024/7/2</v>
      </c>
      <c r="M155" s="144">
        <f ca="1">VLOOKUP($B155,bond!$B:$Q,16,FALSE)</f>
        <v>5.1900000000000002E-2</v>
      </c>
      <c r="N155" s="136">
        <f ca="1">VALUE(LEFT(VLOOKUP(B155,bond!B:R,17,FALSE),SEARCH(" ",VLOOKUP(B155,bond!B:R,17,FALSE),1)))</f>
        <v>10000</v>
      </c>
      <c r="O155" s="136">
        <f ca="1">VALUE(RIGHT(VLOOKUP(B155,bond!B:R,17,FALSE),LEN(VLOOKUP(B155,bond!B:R,17,FALSE))-LEN(N155)-3))</f>
        <v>1000</v>
      </c>
      <c r="P155" s="135" t="str">
        <f ca="1">VLOOKUP($B155,bond!$B:$AG,32,FALSE)</f>
        <v>2024/10/1</v>
      </c>
      <c r="Q155" s="135" t="str">
        <f ca="1">VLOOKUP($B155,bond!$B:$AH,33,FALSE)</f>
        <v>公用事業</v>
      </c>
      <c r="R155" s="135" t="str">
        <f ca="1">VLOOKUP(B155,bond!B:AA,26,FALSE)</f>
        <v>紐約聯合愛迪生公司</v>
      </c>
      <c r="S155" s="135" t="str">
        <f ca="1">VLOOKUP(B155,bond!B:AI,34,FALSE)</f>
        <v>ED</v>
      </c>
      <c r="T155" s="135" t="str">
        <f t="shared" ca="1" si="14"/>
        <v>紐約聯合愛迪生公司/ED</v>
      </c>
      <c r="U155" s="207" t="str">
        <f ca="1">IFERROR(VLOOKUP(T155,Bond_DES!D:E,2,FALSE),VLOOKUP(S155,bond!AI:AJ,2,FALSE))</f>
        <v>紐約聯合愛迪生公司(Consolidated Edison Company of New York, Inc.)是美國最大的電力和天然氣輸配(T&amp;D)公用事業公司之一，主要服務紐約州客戶，亦為聯合愛迪生(Consolidated Edison, Inc.)的旗艦子公司(佔年度營收逾8成)；母公司CEI於2024年《Fortune》美國500強企業排名第289位。</v>
      </c>
      <c r="V155" s="136" t="str">
        <f ca="1">IFERROR(VLOOKUP(B155,'1_重設數據'!L:M,2,FALSE),IF(Q155="政府",IF(AD155&gt;16,"(NPI)非專投",IF(AD155&gt;10,"(PI)專投","高資產")),IF(VLOOKUP(B155,bond!B:AN,39,FALSE)="Y","(PI)專投",IF(AD155&gt;=15,"(NPI)非專投",IF(AD155&gt;=10,"(PI)專投","高資產")))))</f>
        <v>(PI)專投</v>
      </c>
      <c r="W155" s="136" t="str">
        <f ca="1">VLOOKUP(AD155,'credit rating'!$F$2:$H$22,3,FALSE)</f>
        <v>A-</v>
      </c>
      <c r="X155" s="136" t="str">
        <f t="shared" ca="1" si="15"/>
        <v>A3</v>
      </c>
      <c r="Y155" s="136" t="str">
        <f t="shared" ca="1" si="16"/>
        <v>A-</v>
      </c>
      <c r="Z155" s="136" t="str">
        <f t="shared" ca="1" si="17"/>
        <v>A-</v>
      </c>
      <c r="AA155" s="134">
        <f ca="1">IFERROR(VLOOKUP(X155,'credit rating'!A:C,3,FALSE),0)</f>
        <v>15</v>
      </c>
      <c r="AB155" s="134">
        <f ca="1">IFERROR(VLOOKUP(Y155,'credit rating'!B:C,2,FALSE),0)</f>
        <v>15</v>
      </c>
      <c r="AC155" s="136">
        <f ca="1">IFERROR(VLOOKUP(Z155,'credit rating'!B:C,2,FALSE),0)</f>
        <v>15</v>
      </c>
      <c r="AD155" s="136">
        <f t="shared" ca="1" si="18"/>
        <v>15</v>
      </c>
      <c r="AE155" s="249">
        <f ca="1">IFERROR(VLOOKUP(B155,bond!B:U,20,FALSE),"")</f>
        <v>5.21E-2</v>
      </c>
      <c r="AF155" s="136" t="str">
        <f ca="1">IF(VLOOKUP(B155,bond!B:AK,36,FALSE)="#N/A Field Not Applicable","",VLOOKUP(B155,bond!B:AK,36,FALSE))</f>
        <v>2049/10/1</v>
      </c>
      <c r="AG155" s="136" t="str">
        <f ca="1">IF(VLOOKUP(B155,bond!B:AL,37,FALSE)="FIXED","固定",IF(VLOOKUP(B155,bond!B:AL,37,FALSE)="FLOATING","浮動",IF(VLOOKUP(B155,bond!B:AL,37,FALSE)="VARIABLE","變動",IF(VLOOKUP(B155,bond!B:AL,37,FALSE)="FLAT TRADING","不含息交易",IF(VLOOKUP(B155,bond!B:AL,37,FALSE)="ZERO COUPON","零息",VLOOKUP(B155,bond!B:AL,37,FALSE))))))</f>
        <v>固定</v>
      </c>
      <c r="AH155" s="136" t="str">
        <f>VLOOKUP(C155,'2_Check_code'!I:J,2,FALSE)</f>
        <v>美元(USD)</v>
      </c>
      <c r="AI155" s="136" t="str">
        <f t="shared" ca="1" si="19"/>
        <v>自由選清單</v>
      </c>
      <c r="AJ155" s="136">
        <f t="shared" ca="1" si="20"/>
        <v>0</v>
      </c>
      <c r="AK155" s="594" t="str">
        <f ca="1">IF(VLOOKUP(B155,bond!B:S,18,FALSE)="是","有",IF(VLOOKUP(B155,bond!B:S,18,FALSE)="NO OFFER","無","需查詢"))</f>
        <v>有</v>
      </c>
      <c r="AL155" s="136" t="str">
        <f>IF(VLOOKUP(A155,bond!F:AR,39,FALSE)="#N/A Field Not Applicable",VLOOKUP(A155,bond!F:AR,38,FALSE),IFERROR(VLOOKUP(A155,'7_發行日例外'!A:B,2,FALSE),VLOOKUP(A155,bond!F:AR,39,FALSE)))</f>
        <v>2020/3/31</v>
      </c>
      <c r="AM155" s="136" t="str">
        <f ca="1">VLOOKUP(B155,bond!B:AK,36,FALSE)</f>
        <v>2049/10/1</v>
      </c>
      <c r="AN155" s="136" t="str">
        <f ca="1">IFERROR(VLOOKUP(B155,'3_是否下架'!A:A,1,FALSE),"")</f>
        <v/>
      </c>
      <c r="AO155" s="136">
        <f ca="1">VLOOKUP(B155,bond!B:J,9,FALSE)</f>
        <v>78.930000000000007</v>
      </c>
      <c r="AP155" s="136">
        <f ca="1">VLOOKUP(B155,bond!B:V,21,FALSE)</f>
        <v>14.6214</v>
      </c>
    </row>
    <row r="156" spans="1:42">
      <c r="A156" s="141" t="str">
        <f>bond!F157</f>
        <v>US46647PCD69</v>
      </c>
      <c r="B156" s="151" t="str">
        <f ca="1">IF($C$1=TRUE,bond!B157,"")</f>
        <v>XG410</v>
      </c>
      <c r="C156" s="95" t="str">
        <f>VLOOKUP(A156,bond!F:G,2,FALSE)</f>
        <v>USD</v>
      </c>
      <c r="D156" s="142" t="str">
        <f ca="1">VLOOKUP(B156,bond!B:C,2,FALSE)</f>
        <v>摩根大通銀行美元配息債券  3.157% 2042/4/22</v>
      </c>
      <c r="E156" s="95" t="str">
        <f ca="1">VLOOKUP(B156,bond!B:D,3,FALSE)</f>
        <v>A1 / A- / AA-</v>
      </c>
      <c r="F156" s="99" t="str">
        <f ca="1">VLOOKUP(B156,bond!B:AB,27,FALSE)</f>
        <v>2042/4/22</v>
      </c>
      <c r="G156" s="90">
        <f ca="1">VLOOKUP(B156,bond!B:E,4,FALSE)</f>
        <v>17.8</v>
      </c>
      <c r="H156" s="202">
        <f ca="1">VLOOKUP(B156,bond!B:Y,24,FALSE)</f>
        <v>3.1570000000000001E-2</v>
      </c>
      <c r="I156" s="95">
        <f ca="1">VLOOKUP(B156,bond!B:Z,25,FALSE)</f>
        <v>2</v>
      </c>
      <c r="J156" s="180">
        <f ca="1">VLOOKUP(B156,bond!B:K,10,FALSE)</f>
        <v>0.6139</v>
      </c>
      <c r="K156" s="96">
        <f ca="1">VLOOKUP($B156,bond!B:S,14,FALSE)</f>
        <v>78.2</v>
      </c>
      <c r="L156" s="91" t="str">
        <f ca="1">VLOOKUP(B156,bond!B:H,7,FALSE)</f>
        <v>2024/7/2</v>
      </c>
      <c r="M156" s="144">
        <f ca="1">VLOOKUP($B156,bond!$B:$Q,16,FALSE)</f>
        <v>5.2400000000000002E-2</v>
      </c>
      <c r="N156" s="136">
        <f ca="1">VALUE(LEFT(VLOOKUP(B156,bond!B:R,17,FALSE),SEARCH(" ",VLOOKUP(B156,bond!B:R,17,FALSE),1)))</f>
        <v>10000</v>
      </c>
      <c r="O156" s="136">
        <f ca="1">VALUE(RIGHT(VLOOKUP(B156,bond!B:R,17,FALSE),LEN(VLOOKUP(B156,bond!B:R,17,FALSE))-LEN(N156)-3))</f>
        <v>1000</v>
      </c>
      <c r="P156" s="135" t="str">
        <f ca="1">VLOOKUP($B156,bond!$B:$AG,32,FALSE)</f>
        <v>2024/10/22</v>
      </c>
      <c r="Q156" s="135" t="str">
        <f ca="1">VLOOKUP($B156,bond!$B:$AH,33,FALSE)</f>
        <v>金融</v>
      </c>
      <c r="R156" s="135" t="str">
        <f ca="1">VLOOKUP(B156,bond!B:AA,26,FALSE)</f>
        <v>摩根大通銀行</v>
      </c>
      <c r="S156" s="135" t="str">
        <f ca="1">VLOOKUP(B156,bond!B:AI,34,FALSE)</f>
        <v>JPM</v>
      </c>
      <c r="T156" s="135" t="str">
        <f t="shared" ca="1" si="14"/>
        <v>摩根大通銀行/JPM</v>
      </c>
      <c r="U156" s="207" t="str">
        <f ca="1">IFERROR(VLOOKUP(T156,Bond_DES!D:E,2,FALSE),VLOOKUP(S156,bond!AI:AJ,2,FALSE))</f>
        <v>摩根大通銀行 (JPMorgan Chase &amp; Co.)成立歷史悠久逾200年，是全球系統重要性銀行(G-SIBs)之一，按一級資本排名位居全球第5大行、美國第1大行地位，財富500大企業有超過80%為其客戶，且為美國最大的信用卡及聯合發卡銀行。</v>
      </c>
      <c r="V156" s="136" t="str">
        <f ca="1">IFERROR(VLOOKUP(B156,'1_重設數據'!L:M,2,FALSE),IF(Q156="政府",IF(AD156&gt;16,"(NPI)非專投",IF(AD156&gt;10,"(PI)專投","高資產")),IF(VLOOKUP(B156,bond!B:AN,39,FALSE)="Y","(PI)專投",IF(AD156&gt;=15,"(NPI)非專投",IF(AD156&gt;=10,"(PI)專投","高資產")))))</f>
        <v>(PI)專投</v>
      </c>
      <c r="W156" s="136" t="str">
        <f ca="1">VLOOKUP(AD156,'credit rating'!$F$2:$H$22,3,FALSE)</f>
        <v>AA-</v>
      </c>
      <c r="X156" s="136" t="str">
        <f t="shared" ca="1" si="15"/>
        <v>A1</v>
      </c>
      <c r="Y156" s="136" t="str">
        <f t="shared" ca="1" si="16"/>
        <v>A-</v>
      </c>
      <c r="Z156" s="136" t="str">
        <f t="shared" ca="1" si="17"/>
        <v>AA-</v>
      </c>
      <c r="AA156" s="134">
        <f ca="1">IFERROR(VLOOKUP(X156,'credit rating'!A:C,3,FALSE),0)</f>
        <v>17</v>
      </c>
      <c r="AB156" s="134">
        <f ca="1">IFERROR(VLOOKUP(Y156,'credit rating'!B:C,2,FALSE),0)</f>
        <v>15</v>
      </c>
      <c r="AC156" s="136">
        <f ca="1">IFERROR(VLOOKUP(Z156,'credit rating'!B:C,2,FALSE),0)</f>
        <v>18</v>
      </c>
      <c r="AD156" s="136">
        <f t="shared" ca="1" si="18"/>
        <v>18</v>
      </c>
      <c r="AE156" s="249">
        <f ca="1">IFERROR(VLOOKUP(B156,bond!B:U,20,FALSE),"")</f>
        <v>5.1700000000000003E-2</v>
      </c>
      <c r="AF156" s="136" t="str">
        <f ca="1">IF(VLOOKUP(B156,bond!B:AK,36,FALSE)="#N/A Field Not Applicable","",VLOOKUP(B156,bond!B:AK,36,FALSE))</f>
        <v>2041/4/22</v>
      </c>
      <c r="AG156" s="136" t="str">
        <f ca="1">IF(VLOOKUP(B156,bond!B:AL,37,FALSE)="FIXED","固定",IF(VLOOKUP(B156,bond!B:AL,37,FALSE)="FLOATING","浮動",IF(VLOOKUP(B156,bond!B:AL,37,FALSE)="VARIABLE","變動",IF(VLOOKUP(B156,bond!B:AL,37,FALSE)="FLAT TRADING","不含息交易",IF(VLOOKUP(B156,bond!B:AL,37,FALSE)="ZERO COUPON","零息",VLOOKUP(B156,bond!B:AL,37,FALSE))))))</f>
        <v>變動</v>
      </c>
      <c r="AH156" s="136" t="str">
        <f>VLOOKUP(C156,'2_Check_code'!I:J,2,FALSE)</f>
        <v>美元(USD)</v>
      </c>
      <c r="AI156" s="136" t="str">
        <f t="shared" ca="1" si="19"/>
        <v>自由選清單</v>
      </c>
      <c r="AJ156" s="136">
        <f t="shared" ca="1" si="20"/>
        <v>0</v>
      </c>
      <c r="AK156" s="594" t="str">
        <f ca="1">IF(VLOOKUP(B156,bond!B:S,18,FALSE)="是","有",IF(VLOOKUP(B156,bond!B:S,18,FALSE)="NO OFFER","無","需查詢"))</f>
        <v>有</v>
      </c>
      <c r="AL156" s="136" t="str">
        <f>IF(VLOOKUP(A156,bond!F:AR,39,FALSE)="#N/A Field Not Applicable",VLOOKUP(A156,bond!F:AR,38,FALSE),IFERROR(VLOOKUP(A156,'7_發行日例外'!A:B,2,FALSE),VLOOKUP(A156,bond!F:AR,39,FALSE)))</f>
        <v>2021/4/22</v>
      </c>
      <c r="AM156" s="136" t="str">
        <f ca="1">VLOOKUP(B156,bond!B:AK,36,FALSE)</f>
        <v>2041/4/22</v>
      </c>
      <c r="AN156" s="136" t="str">
        <f ca="1">IFERROR(VLOOKUP(B156,'3_是否下架'!A:A,1,FALSE),"")</f>
        <v/>
      </c>
      <c r="AO156" s="136">
        <f ca="1">VLOOKUP(B156,bond!B:J,9,FALSE)</f>
        <v>75.09</v>
      </c>
      <c r="AP156" s="136">
        <f ca="1">VLOOKUP(B156,bond!B:V,21,FALSE)</f>
        <v>12.0928</v>
      </c>
    </row>
    <row r="157" spans="1:42">
      <c r="A157" s="141" t="str">
        <f>bond!F158</f>
        <v>US38141GYC22</v>
      </c>
      <c r="B157" s="151" t="str">
        <f ca="1">IF($C$1=TRUE,bond!B158,"")</f>
        <v>XG420</v>
      </c>
      <c r="C157" s="95" t="str">
        <f>VLOOKUP(A157,bond!F:G,2,FALSE)</f>
        <v>USD</v>
      </c>
      <c r="D157" s="142" t="str">
        <f ca="1">VLOOKUP(B157,bond!B:C,2,FALSE)</f>
        <v>高盛集團美元配息債券 3.21% 2042/4/22</v>
      </c>
      <c r="E157" s="95" t="str">
        <f ca="1">VLOOKUP(B157,bond!B:D,3,FALSE)</f>
        <v>A2 / BBB+ / A</v>
      </c>
      <c r="F157" s="99" t="str">
        <f ca="1">VLOOKUP(B157,bond!B:AB,27,FALSE)</f>
        <v>2042/4/22</v>
      </c>
      <c r="G157" s="90">
        <f ca="1">VLOOKUP(B157,bond!B:E,4,FALSE)</f>
        <v>17.8</v>
      </c>
      <c r="H157" s="202">
        <f ca="1">VLOOKUP(B157,bond!B:Y,24,FALSE)</f>
        <v>3.2099999999999997E-2</v>
      </c>
      <c r="I157" s="95">
        <f ca="1">VLOOKUP(B157,bond!B:Z,25,FALSE)</f>
        <v>2</v>
      </c>
      <c r="J157" s="180">
        <f ca="1">VLOOKUP(B157,bond!B:K,10,FALSE)</f>
        <v>0.62419999999999998</v>
      </c>
      <c r="K157" s="96">
        <f ca="1">VLOOKUP($B157,bond!B:S,14,FALSE)</f>
        <v>77.790000000000006</v>
      </c>
      <c r="L157" s="91" t="str">
        <f ca="1">VLOOKUP(B157,bond!B:H,7,FALSE)</f>
        <v>2024/7/2</v>
      </c>
      <c r="M157" s="144">
        <f ca="1">VLOOKUP($B157,bond!$B:$Q,16,FALSE)</f>
        <v>5.3400000000000003E-2</v>
      </c>
      <c r="N157" s="136">
        <f ca="1">VALUE(LEFT(VLOOKUP(B157,bond!B:R,17,FALSE),SEARCH(" ",VLOOKUP(B157,bond!B:R,17,FALSE),1)))</f>
        <v>10000</v>
      </c>
      <c r="O157" s="136">
        <f ca="1">VALUE(RIGHT(VLOOKUP(B157,bond!B:R,17,FALSE),LEN(VLOOKUP(B157,bond!B:R,17,FALSE))-LEN(N157)-3))</f>
        <v>1000</v>
      </c>
      <c r="P157" s="135" t="str">
        <f ca="1">VLOOKUP($B157,bond!$B:$AG,32,FALSE)</f>
        <v>2024/10/22</v>
      </c>
      <c r="Q157" s="135" t="str">
        <f ca="1">VLOOKUP($B157,bond!$B:$AH,33,FALSE)</f>
        <v>金融</v>
      </c>
      <c r="R157" s="135" t="str">
        <f ca="1">VLOOKUP(B157,bond!B:AA,26,FALSE)</f>
        <v>高盛集團</v>
      </c>
      <c r="S157" s="135" t="str">
        <f ca="1">VLOOKUP(B157,bond!B:AI,34,FALSE)</f>
        <v>GS</v>
      </c>
      <c r="T157" s="135" t="str">
        <f t="shared" ca="1" si="14"/>
        <v>高盛集團/GS</v>
      </c>
      <c r="U157" s="207" t="str">
        <f ca="1">IFERROR(VLOOKUP(T157,Bond_DES!D:E,2,FALSE),VLOOKUP(S157,bond!AI:AJ,2,FALSE))</f>
        <v>高盛集團(Goldman Sachs Group)為全世界歷史最悠久、規模最大的投資銀行之一，其宣佈並完成之併購交易量及交易金額皆排行全球第一，股票及股權相關發行業務亦排名全球第一，名列2023年《The Banker》全球第16大銀行與美國第5大銀行地位。</v>
      </c>
      <c r="V157" s="136" t="str">
        <f ca="1">IFERROR(VLOOKUP(B157,'1_重設數據'!L:M,2,FALSE),IF(Q157="政府",IF(AD157&gt;16,"(NPI)非專投",IF(AD157&gt;10,"(PI)專投","高資產")),IF(VLOOKUP(B157,bond!B:AN,39,FALSE)="Y","(PI)專投",IF(AD157&gt;=15,"(NPI)非專投",IF(AD157&gt;=10,"(PI)專投","高資產")))))</f>
        <v>(PI)專投</v>
      </c>
      <c r="W157" s="136" t="str">
        <f ca="1">VLOOKUP(AD157,'credit rating'!$F$2:$H$22,3,FALSE)</f>
        <v>A</v>
      </c>
      <c r="X157" s="136" t="str">
        <f t="shared" ca="1" si="15"/>
        <v>A2</v>
      </c>
      <c r="Y157" s="136" t="str">
        <f t="shared" ca="1" si="16"/>
        <v>BBB+</v>
      </c>
      <c r="Z157" s="136" t="str">
        <f t="shared" ca="1" si="17"/>
        <v>A</v>
      </c>
      <c r="AA157" s="134">
        <f ca="1">IFERROR(VLOOKUP(X157,'credit rating'!A:C,3,FALSE),0)</f>
        <v>16</v>
      </c>
      <c r="AB157" s="134">
        <f ca="1">IFERROR(VLOOKUP(Y157,'credit rating'!B:C,2,FALSE),0)</f>
        <v>14</v>
      </c>
      <c r="AC157" s="136">
        <f ca="1">IFERROR(VLOOKUP(Z157,'credit rating'!B:C,2,FALSE),0)</f>
        <v>16</v>
      </c>
      <c r="AD157" s="136">
        <f t="shared" ca="1" si="18"/>
        <v>16</v>
      </c>
      <c r="AE157" s="249">
        <f ca="1">IFERROR(VLOOKUP(B157,bond!B:U,20,FALSE),"")</f>
        <v>5.2699999999999997E-2</v>
      </c>
      <c r="AF157" s="136" t="str">
        <f ca="1">IF(VLOOKUP(B157,bond!B:AK,36,FALSE)="#N/A Field Not Applicable","",VLOOKUP(B157,bond!B:AK,36,FALSE))</f>
        <v>2041/4/22</v>
      </c>
      <c r="AG157" s="136" t="str">
        <f ca="1">IF(VLOOKUP(B157,bond!B:AL,37,FALSE)="FIXED","固定",IF(VLOOKUP(B157,bond!B:AL,37,FALSE)="FLOATING","浮動",IF(VLOOKUP(B157,bond!B:AL,37,FALSE)="VARIABLE","變動",IF(VLOOKUP(B157,bond!B:AL,37,FALSE)="FLAT TRADING","不含息交易",IF(VLOOKUP(B157,bond!B:AL,37,FALSE)="ZERO COUPON","零息",VLOOKUP(B157,bond!B:AL,37,FALSE))))))</f>
        <v>變動</v>
      </c>
      <c r="AH157" s="136" t="str">
        <f>VLOOKUP(C157,'2_Check_code'!I:J,2,FALSE)</f>
        <v>美元(USD)</v>
      </c>
      <c r="AI157" s="136" t="str">
        <f t="shared" ca="1" si="19"/>
        <v>自由選清單</v>
      </c>
      <c r="AJ157" s="136">
        <f t="shared" ca="1" si="20"/>
        <v>0</v>
      </c>
      <c r="AK157" s="594" t="str">
        <f ca="1">IF(VLOOKUP(B157,bond!B:S,18,FALSE)="是","有",IF(VLOOKUP(B157,bond!B:S,18,FALSE)="NO OFFER","無","需查詢"))</f>
        <v>有</v>
      </c>
      <c r="AL157" s="136" t="str">
        <f>IF(VLOOKUP(A157,bond!F:AR,39,FALSE)="#N/A Field Not Applicable",VLOOKUP(A157,bond!F:AR,38,FALSE),IFERROR(VLOOKUP(A157,'7_發行日例外'!A:B,2,FALSE),VLOOKUP(A157,bond!F:AR,39,FALSE)))</f>
        <v>2021/4/22</v>
      </c>
      <c r="AM157" s="136" t="str">
        <f ca="1">VLOOKUP(B157,bond!B:AK,36,FALSE)</f>
        <v>2041/4/22</v>
      </c>
      <c r="AN157" s="136" t="str">
        <f ca="1">IFERROR(VLOOKUP(B157,'3_是否下架'!A:A,1,FALSE),"")</f>
        <v/>
      </c>
      <c r="AO157" s="136">
        <f ca="1">VLOOKUP(B157,bond!B:J,9,FALSE)</f>
        <v>74.67</v>
      </c>
      <c r="AP157" s="136">
        <f ca="1">VLOOKUP(B157,bond!B:V,21,FALSE)</f>
        <v>12.0146</v>
      </c>
    </row>
    <row r="158" spans="1:42">
      <c r="A158" s="141" t="str">
        <f>bond!F159</f>
        <v>US92343VFD10</v>
      </c>
      <c r="B158" s="151" t="str">
        <f ca="1">IF($C$1=TRUE,bond!B159,"")</f>
        <v>XG430</v>
      </c>
      <c r="C158" s="95" t="str">
        <f>VLOOKUP(A158,bond!F:G,2,FALSE)</f>
        <v>USD</v>
      </c>
      <c r="D158" s="142" t="str">
        <f ca="1">VLOOKUP(B158,bond!B:C,2,FALSE)</f>
        <v>威瑞森電信公司美元配息債券 4% 2050/3/22</v>
      </c>
      <c r="E158" s="95" t="str">
        <f ca="1">VLOOKUP(B158,bond!B:D,3,FALSE)</f>
        <v>Baa1 / BBB+ / A-</v>
      </c>
      <c r="F158" s="99" t="str">
        <f ca="1">VLOOKUP(B158,bond!B:AB,27,FALSE)</f>
        <v>2050/3/22</v>
      </c>
      <c r="G158" s="90">
        <f ca="1">VLOOKUP(B158,bond!B:E,4,FALSE)</f>
        <v>25.72</v>
      </c>
      <c r="H158" s="202">
        <f ca="1">VLOOKUP(B158,bond!B:Y,24,FALSE)</f>
        <v>0.04</v>
      </c>
      <c r="I158" s="95">
        <f ca="1">VLOOKUP(B158,bond!B:Z,25,FALSE)</f>
        <v>2</v>
      </c>
      <c r="J158" s="180">
        <f ca="1">VLOOKUP(B158,bond!B:K,10,FALSE)</f>
        <v>1.1111</v>
      </c>
      <c r="K158" s="96">
        <f ca="1">VLOOKUP($B158,bond!B:S,14,FALSE)</f>
        <v>83.44</v>
      </c>
      <c r="L158" s="91" t="str">
        <f ca="1">VLOOKUP(B158,bond!B:H,7,FALSE)</f>
        <v>2024/7/2</v>
      </c>
      <c r="M158" s="144">
        <f ca="1">VLOOKUP($B158,bond!$B:$Q,16,FALSE)</f>
        <v>5.2600000000000001E-2</v>
      </c>
      <c r="N158" s="136">
        <f ca="1">VALUE(LEFT(VLOOKUP(B158,bond!B:R,17,FALSE),SEARCH(" ",VLOOKUP(B158,bond!B:R,17,FALSE),1)))</f>
        <v>10000</v>
      </c>
      <c r="O158" s="136">
        <f ca="1">VALUE(RIGHT(VLOOKUP(B158,bond!B:R,17,FALSE),LEN(VLOOKUP(B158,bond!B:R,17,FALSE))-LEN(N158)-3))</f>
        <v>1000</v>
      </c>
      <c r="P158" s="135" t="str">
        <f ca="1">VLOOKUP($B158,bond!$B:$AG,32,FALSE)</f>
        <v>2024/9/22</v>
      </c>
      <c r="Q158" s="135" t="str">
        <f ca="1">VLOOKUP($B158,bond!$B:$AH,33,FALSE)</f>
        <v>通訊</v>
      </c>
      <c r="R158" s="135" t="str">
        <f ca="1">VLOOKUP(B158,bond!B:AA,26,FALSE)</f>
        <v>威瑞森電信公司</v>
      </c>
      <c r="S158" s="135" t="str">
        <f ca="1">VLOOKUP(B158,bond!B:AI,34,FALSE)</f>
        <v>VZ</v>
      </c>
      <c r="T158" s="135" t="str">
        <f t="shared" ca="1" si="14"/>
        <v>威瑞森電信公司/VZ</v>
      </c>
      <c r="U158" s="207" t="str">
        <f ca="1">IFERROR(VLOOKUP(T158,Bond_DES!D:E,2,FALSE),VLOOKUP(S158,bond!AI:AJ,2,FALSE))</f>
        <v>威瑞森電信(Verizon Communications Inc.)為全球電信業者中，產業規模最大且最會賺錢的電信商，且是唯一具備A級評等的美國無線通訊服務供應商，2021年完成收購美國最大的預付行動電話營運商TracFone後，進一步稱霸北美零售無線後付費及預付費通訊市場，於美國零售無線用戶市佔第一，總零售無線用戶數逾1.4億戶。</v>
      </c>
      <c r="V158" s="136" t="str">
        <f ca="1">IFERROR(VLOOKUP(B158,'1_重設數據'!L:M,2,FALSE),IF(Q158="政府",IF(AD158&gt;16,"(NPI)非專投",IF(AD158&gt;10,"(PI)專投","高資產")),IF(VLOOKUP(B158,bond!B:AN,39,FALSE)="Y","(PI)專投",IF(AD158&gt;=15,"(NPI)非專投",IF(AD158&gt;=10,"(PI)專投","高資產")))))</f>
        <v>(NPI)非專投</v>
      </c>
      <c r="W158" s="136" t="str">
        <f ca="1">VLOOKUP(AD158,'credit rating'!$F$2:$H$22,3,FALSE)</f>
        <v>A-</v>
      </c>
      <c r="X158" s="136" t="str">
        <f t="shared" ca="1" si="15"/>
        <v>Baa1</v>
      </c>
      <c r="Y158" s="136" t="str">
        <f t="shared" ca="1" si="16"/>
        <v>BBB+</v>
      </c>
      <c r="Z158" s="136" t="str">
        <f t="shared" ca="1" si="17"/>
        <v>A-</v>
      </c>
      <c r="AA158" s="134">
        <f ca="1">IFERROR(VLOOKUP(X158,'credit rating'!A:C,3,FALSE),0)</f>
        <v>14</v>
      </c>
      <c r="AB158" s="134">
        <f ca="1">IFERROR(VLOOKUP(Y158,'credit rating'!B:C,2,FALSE),0)</f>
        <v>14</v>
      </c>
      <c r="AC158" s="136">
        <f ca="1">IFERROR(VLOOKUP(Z158,'credit rating'!B:C,2,FALSE),0)</f>
        <v>15</v>
      </c>
      <c r="AD158" s="136">
        <f t="shared" ca="1" si="18"/>
        <v>15</v>
      </c>
      <c r="AE158" s="249">
        <f ca="1">IFERROR(VLOOKUP(B158,bond!B:U,20,FALSE),"")</f>
        <v>5.2699999999999997E-2</v>
      </c>
      <c r="AF158" s="136" t="str">
        <f ca="1">IF(VLOOKUP(B158,bond!B:AK,36,FALSE)="#N/A Field Not Applicable","",VLOOKUP(B158,bond!B:AK,36,FALSE))</f>
        <v>2049/9/22</v>
      </c>
      <c r="AG158" s="136" t="str">
        <f ca="1">IF(VLOOKUP(B158,bond!B:AL,37,FALSE)="FIXED","固定",IF(VLOOKUP(B158,bond!B:AL,37,FALSE)="FLOATING","浮動",IF(VLOOKUP(B158,bond!B:AL,37,FALSE)="VARIABLE","變動",IF(VLOOKUP(B158,bond!B:AL,37,FALSE)="FLAT TRADING","不含息交易",IF(VLOOKUP(B158,bond!B:AL,37,FALSE)="ZERO COUPON","零息",VLOOKUP(B158,bond!B:AL,37,FALSE))))))</f>
        <v>固定</v>
      </c>
      <c r="AH158" s="136" t="str">
        <f>VLOOKUP(C158,'2_Check_code'!I:J,2,FALSE)</f>
        <v>美元(USD)</v>
      </c>
      <c r="AI158" s="136" t="str">
        <f t="shared" ca="1" si="19"/>
        <v>自由選清單</v>
      </c>
      <c r="AJ158" s="136">
        <f t="shared" ca="1" si="20"/>
        <v>0</v>
      </c>
      <c r="AK158" s="594" t="str">
        <f ca="1">IF(VLOOKUP(B158,bond!B:S,18,FALSE)="是","有",IF(VLOOKUP(B158,bond!B:S,18,FALSE)="NO OFFER","無","需查詢"))</f>
        <v>有</v>
      </c>
      <c r="AL158" s="136" t="str">
        <f>IF(VLOOKUP(A158,bond!F:AR,39,FALSE)="#N/A Field Not Applicable",VLOOKUP(A158,bond!F:AR,38,FALSE),IFERROR(VLOOKUP(A158,'7_發行日例外'!A:B,2,FALSE),VLOOKUP(A158,bond!F:AR,39,FALSE)))</f>
        <v>2020/3/20</v>
      </c>
      <c r="AM158" s="136" t="str">
        <f ca="1">VLOOKUP(B158,bond!B:AK,36,FALSE)</f>
        <v>2049/9/22</v>
      </c>
      <c r="AN158" s="136" t="str">
        <f ca="1">IFERROR(VLOOKUP(B158,'3_是否下架'!A:A,1,FALSE),"")</f>
        <v/>
      </c>
      <c r="AO158" s="136">
        <f ca="1">VLOOKUP(B158,bond!B:J,9,FALSE)</f>
        <v>78.83</v>
      </c>
      <c r="AP158" s="136">
        <f ca="1">VLOOKUP(B158,bond!B:V,21,FALSE)</f>
        <v>14.474399999999999</v>
      </c>
    </row>
    <row r="159" spans="1:42">
      <c r="A159" s="141" t="str">
        <f>bond!F160</f>
        <v>US125523CQ19</v>
      </c>
      <c r="B159" s="151" t="str">
        <f ca="1">IF($C$1=TRUE,bond!B160,"")</f>
        <v>XG440</v>
      </c>
      <c r="C159" s="95" t="str">
        <f>VLOOKUP(A159,bond!F:G,2,FALSE)</f>
        <v>USD</v>
      </c>
      <c r="D159" s="142" t="str">
        <f ca="1">VLOOKUP(B159,bond!B:C,2,FALSE)</f>
        <v>信諾公司美元配息債券 3.4% 2051/3/15</v>
      </c>
      <c r="E159" s="95" t="str">
        <f ca="1">VLOOKUP(B159,bond!B:D,3,FALSE)</f>
        <v>Baa1 / A- / BBB+</v>
      </c>
      <c r="F159" s="99" t="str">
        <f ca="1">VLOOKUP(B159,bond!B:AB,27,FALSE)</f>
        <v>2051/3/15</v>
      </c>
      <c r="G159" s="90">
        <f ca="1">VLOOKUP(B159,bond!B:E,4,FALSE)</f>
        <v>26.7</v>
      </c>
      <c r="H159" s="202">
        <f ca="1">VLOOKUP(B159,bond!B:Y,24,FALSE)</f>
        <v>3.4000000000000002E-2</v>
      </c>
      <c r="I159" s="95">
        <f ca="1">VLOOKUP(B159,bond!B:Z,25,FALSE)</f>
        <v>2</v>
      </c>
      <c r="J159" s="180">
        <f ca="1">VLOOKUP(B159,bond!B:K,10,FALSE)</f>
        <v>1.0105999999999999</v>
      </c>
      <c r="K159" s="96">
        <f ca="1">VLOOKUP($B159,bond!B:S,14,FALSE)</f>
        <v>73.260000000000005</v>
      </c>
      <c r="L159" s="91" t="str">
        <f ca="1">VLOOKUP(B159,bond!B:H,7,FALSE)</f>
        <v>2024/7/2</v>
      </c>
      <c r="M159" s="144">
        <f ca="1">VLOOKUP($B159,bond!$B:$Q,16,FALSE)</f>
        <v>5.3699999999999998E-2</v>
      </c>
      <c r="N159" s="136">
        <f ca="1">VALUE(LEFT(VLOOKUP(B159,bond!B:R,17,FALSE),SEARCH(" ",VLOOKUP(B159,bond!B:R,17,FALSE),1)))</f>
        <v>10000</v>
      </c>
      <c r="O159" s="136">
        <f ca="1">VALUE(RIGHT(VLOOKUP(B159,bond!B:R,17,FALSE),LEN(VLOOKUP(B159,bond!B:R,17,FALSE))-LEN(N159)-3))</f>
        <v>1000</v>
      </c>
      <c r="P159" s="135" t="str">
        <f ca="1">VLOOKUP($B159,bond!$B:$AG,32,FALSE)</f>
        <v>2024/9/15</v>
      </c>
      <c r="Q159" s="135" t="str">
        <f ca="1">VLOOKUP($B159,bond!$B:$AH,33,FALSE)</f>
        <v>醫療保健</v>
      </c>
      <c r="R159" s="135" t="str">
        <f ca="1">VLOOKUP(B159,bond!B:AA,26,FALSE)</f>
        <v>信諾集團</v>
      </c>
      <c r="S159" s="135" t="str">
        <f ca="1">VLOOKUP(B159,bond!B:AI,34,FALSE)</f>
        <v>CI</v>
      </c>
      <c r="T159" s="135" t="str">
        <f t="shared" ca="1" si="14"/>
        <v>信諾集團/CI</v>
      </c>
      <c r="U159" s="207" t="str">
        <f ca="1">IFERROR(VLOOKUP(T159,Bond_DES!D:E,2,FALSE),VLOOKUP(S159,bond!AI:AJ,2,FALSE))</f>
        <v>信諾集團(Cigna Corporation)是一家全球性的醫療保健服務公司，提供醫療保險、藥品福利管理(PBM)、專業藥房服務、送藥上門等一系列廣泛的保險及藥品服務。2018年併入美市佔前三的PBM機構-快捷藥方(ESI)，促營收規模躍升至世界500強第35位(Fortune 2023)，並名列2024年《Brand Finance》醫療保健服務品牌價值第6位。</v>
      </c>
      <c r="V159" s="136" t="str">
        <f ca="1">IFERROR(VLOOKUP(B159,'1_重設數據'!L:M,2,FALSE),IF(Q159="政府",IF(AD159&gt;16,"(NPI)非專投",IF(AD159&gt;10,"(PI)專投","高資產")),IF(VLOOKUP(B159,bond!B:AN,39,FALSE)="Y","(PI)專投",IF(AD159&gt;=15,"(NPI)非專投",IF(AD159&gt;=10,"(PI)專投","高資產")))))</f>
        <v>(NPI)非專投</v>
      </c>
      <c r="W159" s="136" t="str">
        <f ca="1">VLOOKUP(AD159,'credit rating'!$F$2:$H$22,3,FALSE)</f>
        <v>A-</v>
      </c>
      <c r="X159" s="136" t="str">
        <f t="shared" ca="1" si="15"/>
        <v>Baa1</v>
      </c>
      <c r="Y159" s="136" t="str">
        <f t="shared" ca="1" si="16"/>
        <v>A-</v>
      </c>
      <c r="Z159" s="136" t="str">
        <f t="shared" ca="1" si="17"/>
        <v>BBB+</v>
      </c>
      <c r="AA159" s="134">
        <f ca="1">IFERROR(VLOOKUP(X159,'credit rating'!A:C,3,FALSE),0)</f>
        <v>14</v>
      </c>
      <c r="AB159" s="134">
        <f ca="1">IFERROR(VLOOKUP(Y159,'credit rating'!B:C,2,FALSE),0)</f>
        <v>15</v>
      </c>
      <c r="AC159" s="136">
        <f ca="1">IFERROR(VLOOKUP(Z159,'credit rating'!B:C,2,FALSE),0)</f>
        <v>14</v>
      </c>
      <c r="AD159" s="136">
        <f t="shared" ca="1" si="18"/>
        <v>15</v>
      </c>
      <c r="AE159" s="249">
        <f ca="1">IFERROR(VLOOKUP(B159,bond!B:U,20,FALSE),"")</f>
        <v>5.3900000000000003E-2</v>
      </c>
      <c r="AF159" s="136" t="str">
        <f ca="1">IF(VLOOKUP(B159,bond!B:AK,36,FALSE)="#N/A Field Not Applicable","",VLOOKUP(B159,bond!B:AK,36,FALSE))</f>
        <v>2050/9/15</v>
      </c>
      <c r="AG159" s="136" t="str">
        <f ca="1">IF(VLOOKUP(B159,bond!B:AL,37,FALSE)="FIXED","固定",IF(VLOOKUP(B159,bond!B:AL,37,FALSE)="FLOATING","浮動",IF(VLOOKUP(B159,bond!B:AL,37,FALSE)="VARIABLE","變動",IF(VLOOKUP(B159,bond!B:AL,37,FALSE)="FLAT TRADING","不含息交易",IF(VLOOKUP(B159,bond!B:AL,37,FALSE)="ZERO COUPON","零息",VLOOKUP(B159,bond!B:AL,37,FALSE))))))</f>
        <v>固定</v>
      </c>
      <c r="AH159" s="136" t="str">
        <f>VLOOKUP(C159,'2_Check_code'!I:J,2,FALSE)</f>
        <v>美元(USD)</v>
      </c>
      <c r="AI159" s="136" t="str">
        <f t="shared" ca="1" si="19"/>
        <v>自由選清單</v>
      </c>
      <c r="AJ159" s="136">
        <f t="shared" ca="1" si="20"/>
        <v>0</v>
      </c>
      <c r="AK159" s="594" t="str">
        <f ca="1">IF(VLOOKUP(B159,bond!B:S,18,FALSE)="是","有",IF(VLOOKUP(B159,bond!B:S,18,FALSE)="NO OFFER","無","需查詢"))</f>
        <v>有</v>
      </c>
      <c r="AL159" s="136" t="str">
        <f>IF(VLOOKUP(A159,bond!F:AR,39,FALSE)="#N/A Field Not Applicable",VLOOKUP(A159,bond!F:AR,38,FALSE),IFERROR(VLOOKUP(A159,'7_發行日例外'!A:B,2,FALSE),VLOOKUP(A159,bond!F:AR,39,FALSE)))</f>
        <v>2021/3/3</v>
      </c>
      <c r="AM159" s="136" t="str">
        <f ca="1">VLOOKUP(B159,bond!B:AK,36,FALSE)</f>
        <v>2050/9/15</v>
      </c>
      <c r="AN159" s="136" t="str">
        <f ca="1">IFERROR(VLOOKUP(B159,'3_是否下架'!A:A,1,FALSE),"")</f>
        <v/>
      </c>
      <c r="AO159" s="136">
        <f ca="1">VLOOKUP(B159,bond!B:J,9,FALSE)</f>
        <v>68.75</v>
      </c>
      <c r="AP159" s="136">
        <f ca="1">VLOOKUP(B159,bond!B:V,21,FALSE)</f>
        <v>15.154999999999999</v>
      </c>
    </row>
    <row r="160" spans="1:42">
      <c r="A160" s="141" t="str">
        <f>bond!F161</f>
        <v>US285512AF68</v>
      </c>
      <c r="B160" s="151" t="str">
        <f ca="1">IF($C$1=TRUE,bond!B161,"")</f>
        <v>XG450</v>
      </c>
      <c r="C160" s="95" t="str">
        <f>VLOOKUP(A160,bond!F:G,2,FALSE)</f>
        <v>USD</v>
      </c>
      <c r="D160" s="142" t="str">
        <f ca="1">VLOOKUP(B160,bond!B:C,2,FALSE)</f>
        <v>美商藝電公司美元配息債券 2.95% 2051/2/15</v>
      </c>
      <c r="E160" s="95" t="str">
        <f ca="1">VLOOKUP(B160,bond!B:D,3,FALSE)</f>
        <v>Baa1 / BBB+ / A-</v>
      </c>
      <c r="F160" s="99" t="str">
        <f ca="1">VLOOKUP(B160,bond!B:AB,27,FALSE)</f>
        <v>2051/2/15</v>
      </c>
      <c r="G160" s="90">
        <f ca="1">VLOOKUP(B160,bond!B:E,4,FALSE)</f>
        <v>26.62</v>
      </c>
      <c r="H160" s="202">
        <f ca="1">VLOOKUP(B160,bond!B:Y,24,FALSE)</f>
        <v>2.9500000000000002E-2</v>
      </c>
      <c r="I160" s="95">
        <f ca="1">VLOOKUP(B160,bond!B:Z,25,FALSE)</f>
        <v>2</v>
      </c>
      <c r="J160" s="180">
        <f ca="1">VLOOKUP(B160,bond!B:K,10,FALSE)</f>
        <v>1.1226</v>
      </c>
      <c r="K160" s="96">
        <f ca="1">VLOOKUP($B160,bond!B:S,14,FALSE)</f>
        <v>70</v>
      </c>
      <c r="L160" s="91" t="str">
        <f ca="1">VLOOKUP(B160,bond!B:H,7,FALSE)</f>
        <v>2024/7/2</v>
      </c>
      <c r="M160" s="144">
        <f ca="1">VLOOKUP($B160,bond!$B:$Q,16,FALSE)</f>
        <v>5.0999999999999997E-2</v>
      </c>
      <c r="N160" s="136">
        <f ca="1">VALUE(LEFT(VLOOKUP(B160,bond!B:R,17,FALSE),SEARCH(" ",VLOOKUP(B160,bond!B:R,17,FALSE),1)))</f>
        <v>10000</v>
      </c>
      <c r="O160" s="136">
        <f ca="1">VALUE(RIGHT(VLOOKUP(B160,bond!B:R,17,FALSE),LEN(VLOOKUP(B160,bond!B:R,17,FALSE))-LEN(N160)-3))</f>
        <v>1000</v>
      </c>
      <c r="P160" s="135" t="str">
        <f ca="1">VLOOKUP($B160,bond!$B:$AG,32,FALSE)</f>
        <v>2024/8/15</v>
      </c>
      <c r="Q160" s="135" t="str">
        <f ca="1">VLOOKUP($B160,bond!$B:$AH,33,FALSE)</f>
        <v>科技</v>
      </c>
      <c r="R160" s="135" t="str">
        <f ca="1">VLOOKUP(B160,bond!B:AA,26,FALSE)</f>
        <v>美商藝電公司</v>
      </c>
      <c r="S160" s="135" t="str">
        <f ca="1">VLOOKUP(B160,bond!B:AI,34,FALSE)</f>
        <v>EA</v>
      </c>
      <c r="T160" s="135" t="str">
        <f t="shared" ca="1" si="14"/>
        <v>美商藝電公司/EA</v>
      </c>
      <c r="U160" s="207" t="str">
        <f ca="1">IFERROR(VLOOKUP(T160,Bond_DES!D:E,2,FALSE),VLOOKUP(S160,bond!AI:AJ,2,FALSE))</f>
        <v>美商藝電公司(Electronic Arts, Inc.)為全球最大的娛樂電玩製造商之一，擁有強勁的產品系列如戰地風雲、Apex英雄、極速快感與其他熱門遊戲，且受惠廣大地理多元性，國際收入佔營收高達六成，在美國500大企業娛樂產業類別中排名第8位(Fortune 2024)，美國電子遊戲產業市值排名第2(2024/6/7)。</v>
      </c>
      <c r="V160" s="136" t="str">
        <f ca="1">IFERROR(VLOOKUP(B160,'1_重設數據'!L:M,2,FALSE),IF(Q160="政府",IF(AD160&gt;16,"(NPI)非專投",IF(AD160&gt;10,"(PI)專投","高資產")),IF(VLOOKUP(B160,bond!B:AN,39,FALSE)="Y","(PI)專投",IF(AD160&gt;=15,"(NPI)非專投",IF(AD160&gt;=10,"(PI)專投","高資產")))))</f>
        <v>(NPI)非專投</v>
      </c>
      <c r="W160" s="136" t="str">
        <f ca="1">VLOOKUP(AD160,'credit rating'!$F$2:$H$22,3,FALSE)</f>
        <v>A-</v>
      </c>
      <c r="X160" s="136" t="str">
        <f t="shared" ca="1" si="15"/>
        <v>Baa1</v>
      </c>
      <c r="Y160" s="136" t="str">
        <f t="shared" ca="1" si="16"/>
        <v>BBB+</v>
      </c>
      <c r="Z160" s="136" t="str">
        <f t="shared" ca="1" si="17"/>
        <v>A-</v>
      </c>
      <c r="AA160" s="134">
        <f ca="1">IFERROR(VLOOKUP(X160,'credit rating'!A:C,3,FALSE),0)</f>
        <v>14</v>
      </c>
      <c r="AB160" s="134">
        <f ca="1">IFERROR(VLOOKUP(Y160,'credit rating'!B:C,2,FALSE),0)</f>
        <v>14</v>
      </c>
      <c r="AC160" s="136">
        <f ca="1">IFERROR(VLOOKUP(Z160,'credit rating'!B:C,2,FALSE),0)</f>
        <v>15</v>
      </c>
      <c r="AD160" s="136">
        <f t="shared" ca="1" si="18"/>
        <v>15</v>
      </c>
      <c r="AE160" s="249">
        <f ca="1">IFERROR(VLOOKUP(B160,bond!B:U,20,FALSE),"")</f>
        <v>5.1200000000000002E-2</v>
      </c>
      <c r="AF160" s="136" t="str">
        <f ca="1">IF(VLOOKUP(B160,bond!B:AK,36,FALSE)="#N/A Field Not Applicable","",VLOOKUP(B160,bond!B:AK,36,FALSE))</f>
        <v>2050/8/15</v>
      </c>
      <c r="AG160" s="136" t="str">
        <f ca="1">IF(VLOOKUP(B160,bond!B:AL,37,FALSE)="FIXED","固定",IF(VLOOKUP(B160,bond!B:AL,37,FALSE)="FLOATING","浮動",IF(VLOOKUP(B160,bond!B:AL,37,FALSE)="VARIABLE","變動",IF(VLOOKUP(B160,bond!B:AL,37,FALSE)="FLAT TRADING","不含息交易",IF(VLOOKUP(B160,bond!B:AL,37,FALSE)="ZERO COUPON","零息",VLOOKUP(B160,bond!B:AL,37,FALSE))))))</f>
        <v>固定</v>
      </c>
      <c r="AH160" s="136" t="str">
        <f>VLOOKUP(C160,'2_Check_code'!I:J,2,FALSE)</f>
        <v>美元(USD)</v>
      </c>
      <c r="AI160" s="136" t="str">
        <f t="shared" ca="1" si="19"/>
        <v>自由選清單</v>
      </c>
      <c r="AJ160" s="136">
        <f t="shared" ca="1" si="20"/>
        <v>0</v>
      </c>
      <c r="AK160" s="594" t="str">
        <f ca="1">IF(VLOOKUP(B160,bond!B:S,18,FALSE)="是","有",IF(VLOOKUP(B160,bond!B:S,18,FALSE)="NO OFFER","無","需查詢"))</f>
        <v>有</v>
      </c>
      <c r="AL160" s="136" t="str">
        <f>IF(VLOOKUP(A160,bond!F:AR,39,FALSE)="#N/A Field Not Applicable",VLOOKUP(A160,bond!F:AR,38,FALSE),IFERROR(VLOOKUP(A160,'7_發行日例外'!A:B,2,FALSE),VLOOKUP(A160,bond!F:AR,39,FALSE)))</f>
        <v>2021/2/11</v>
      </c>
      <c r="AM160" s="136" t="str">
        <f ca="1">VLOOKUP(B160,bond!B:AK,36,FALSE)</f>
        <v>2050/8/15</v>
      </c>
      <c r="AN160" s="136" t="str">
        <f ca="1">IFERROR(VLOOKUP(B160,'3_是否下架'!A:A,1,FALSE),"")</f>
        <v/>
      </c>
      <c r="AO160" s="136">
        <f ca="1">VLOOKUP(B160,bond!B:J,9,FALSE)</f>
        <v>65.38000000000001</v>
      </c>
      <c r="AP160" s="136">
        <f ca="1">VLOOKUP(B160,bond!B:V,21,FALSE)</f>
        <v>15.8666</v>
      </c>
    </row>
    <row r="161" spans="1:42">
      <c r="A161" s="141" t="str">
        <f>bond!F162</f>
        <v>US046353AX64</v>
      </c>
      <c r="B161" s="151" t="str">
        <f ca="1">IF($C$1=TRUE,bond!B162,"")</f>
        <v>XG460</v>
      </c>
      <c r="C161" s="95" t="str">
        <f>VLOOKUP(A161,bond!F:G,2,FALSE)</f>
        <v>USD</v>
      </c>
      <c r="D161" s="142" t="str">
        <f ca="1">VLOOKUP(B161,bond!B:C,2,FALSE)</f>
        <v>阿斯特捷利康公開有限公司美元配息債券 2.125% 2050/8/6</v>
      </c>
      <c r="E161" s="95" t="str">
        <f ca="1">VLOOKUP(B161,bond!B:D,3,FALSE)</f>
        <v>A2 / A / A-u</v>
      </c>
      <c r="F161" s="99" t="str">
        <f ca="1">VLOOKUP(B161,bond!B:AB,27,FALSE)</f>
        <v>2050/8/6</v>
      </c>
      <c r="G161" s="90">
        <f ca="1">VLOOKUP(B161,bond!B:E,4,FALSE)</f>
        <v>26.09</v>
      </c>
      <c r="H161" s="202">
        <f ca="1">VLOOKUP(B161,bond!B:Y,24,FALSE)</f>
        <v>2.1250000000000002E-2</v>
      </c>
      <c r="I161" s="95">
        <f ca="1">VLOOKUP(B161,bond!B:Z,25,FALSE)</f>
        <v>2</v>
      </c>
      <c r="J161" s="180">
        <f ca="1">VLOOKUP(B161,bond!B:K,10,FALSE)</f>
        <v>0.86180000000000001</v>
      </c>
      <c r="K161" s="96">
        <f ca="1">VLOOKUP($B161,bond!B:S,14,FALSE)</f>
        <v>61.73</v>
      </c>
      <c r="L161" s="91" t="str">
        <f ca="1">VLOOKUP(B161,bond!B:H,7,FALSE)</f>
        <v>2024/7/2</v>
      </c>
      <c r="M161" s="144">
        <f ca="1">VLOOKUP($B161,bond!$B:$Q,16,FALSE)</f>
        <v>4.7600000000000003E-2</v>
      </c>
      <c r="N161" s="136">
        <f ca="1">VALUE(LEFT(VLOOKUP(B161,bond!B:R,17,FALSE),SEARCH(" ",VLOOKUP(B161,bond!B:R,17,FALSE),1)))</f>
        <v>10000</v>
      </c>
      <c r="O161" s="136">
        <f ca="1">VALUE(RIGHT(VLOOKUP(B161,bond!B:R,17,FALSE),LEN(VLOOKUP(B161,bond!B:R,17,FALSE))-LEN(N161)-3))</f>
        <v>1000</v>
      </c>
      <c r="P161" s="135" t="str">
        <f ca="1">VLOOKUP($B161,bond!$B:$AG,32,FALSE)</f>
        <v>2024/8/6</v>
      </c>
      <c r="Q161" s="135" t="str">
        <f ca="1">VLOOKUP($B161,bond!$B:$AH,33,FALSE)</f>
        <v>醫療保健</v>
      </c>
      <c r="R161" s="135" t="str">
        <f ca="1">VLOOKUP(B161,bond!B:AA,26,FALSE)</f>
        <v>阿斯特捷利康公開有限公司</v>
      </c>
      <c r="S161" s="135" t="str">
        <f ca="1">VLOOKUP(B161,bond!B:AI,34,FALSE)</f>
        <v>AZN</v>
      </c>
      <c r="T161" s="135" t="str">
        <f t="shared" ca="1" si="14"/>
        <v>阿斯特捷利康公開有限公司/AZN</v>
      </c>
      <c r="U161" s="207" t="str">
        <f ca="1">IFERROR(VLOOKUP(T161,Bond_DES!D:E,2,FALSE),VLOOKUP(S161,bond!AI:AJ,2,FALSE))</f>
        <v>阿斯特捷利康(AstraZeneca)英國市值最大藥廠、全球藥企50強第8位(製藥經理人 2024)，並為國際主要三家Covid-19疫苗開發商之一，2021年併入美國罕病藥物開發Alexion製藥公司，加速轉型成創新驅動型的全球生物製藥公司，專注於腫瘤、罕見疾病和生物製藥(包括心血管、腎臟和代謝、呼吸和免疫學)等領域。</v>
      </c>
      <c r="V161" s="136" t="str">
        <f ca="1">IFERROR(VLOOKUP(B161,'1_重設數據'!L:M,2,FALSE),IF(Q161="政府",IF(AD161&gt;16,"(NPI)非專投",IF(AD161&gt;10,"(PI)專投","高資產")),IF(VLOOKUP(B161,bond!B:AN,39,FALSE)="Y","(PI)專投",IF(AD161&gt;=15,"(NPI)非專投",IF(AD161&gt;=10,"(PI)專投","高資產")))))</f>
        <v>(NPI)非專投</v>
      </c>
      <c r="W161" s="136" t="str">
        <f ca="1">VLOOKUP(AD161,'credit rating'!$F$2:$H$22,3,FALSE)</f>
        <v>A</v>
      </c>
      <c r="X161" s="136" t="str">
        <f t="shared" ca="1" si="15"/>
        <v>A2</v>
      </c>
      <c r="Y161" s="136" t="str">
        <f t="shared" ca="1" si="16"/>
        <v>A</v>
      </c>
      <c r="Z161" s="136" t="str">
        <f t="shared" ca="1" si="17"/>
        <v>A-u</v>
      </c>
      <c r="AA161" s="134">
        <f ca="1">IFERROR(VLOOKUP(X161,'credit rating'!A:C,3,FALSE),0)</f>
        <v>16</v>
      </c>
      <c r="AB161" s="134">
        <f ca="1">IFERROR(VLOOKUP(Y161,'credit rating'!B:C,2,FALSE),0)</f>
        <v>16</v>
      </c>
      <c r="AC161" s="136">
        <f ca="1">IFERROR(VLOOKUP(Z161,'credit rating'!B:C,2,FALSE),0)</f>
        <v>15</v>
      </c>
      <c r="AD161" s="136">
        <f t="shared" ca="1" si="18"/>
        <v>16</v>
      </c>
      <c r="AE161" s="249">
        <f ca="1">IFERROR(VLOOKUP(B161,bond!B:U,20,FALSE),"")</f>
        <v>4.8000000000000001E-2</v>
      </c>
      <c r="AF161" s="136" t="str">
        <f ca="1">IF(VLOOKUP(B161,bond!B:AK,36,FALSE)="#N/A Field Not Applicable","",VLOOKUP(B161,bond!B:AK,36,FALSE))</f>
        <v>2050/2/6</v>
      </c>
      <c r="AG161" s="136" t="str">
        <f ca="1">IF(VLOOKUP(B161,bond!B:AL,37,FALSE)="FIXED","固定",IF(VLOOKUP(B161,bond!B:AL,37,FALSE)="FLOATING","浮動",IF(VLOOKUP(B161,bond!B:AL,37,FALSE)="VARIABLE","變動",IF(VLOOKUP(B161,bond!B:AL,37,FALSE)="FLAT TRADING","不含息交易",IF(VLOOKUP(B161,bond!B:AL,37,FALSE)="ZERO COUPON","零息",VLOOKUP(B161,bond!B:AL,37,FALSE))))))</f>
        <v>固定</v>
      </c>
      <c r="AH161" s="136" t="str">
        <f>VLOOKUP(C161,'2_Check_code'!I:J,2,FALSE)</f>
        <v>美元(USD)</v>
      </c>
      <c r="AI161" s="136" t="str">
        <f t="shared" ca="1" si="19"/>
        <v>自由選清單</v>
      </c>
      <c r="AJ161" s="136">
        <f t="shared" ca="1" si="20"/>
        <v>0</v>
      </c>
      <c r="AK161" s="594" t="str">
        <f ca="1">IF(VLOOKUP(B161,bond!B:S,18,FALSE)="是","有",IF(VLOOKUP(B161,bond!B:S,18,FALSE)="NO OFFER","無","需查詢"))</f>
        <v>有</v>
      </c>
      <c r="AL161" s="136" t="str">
        <f>IF(VLOOKUP(A161,bond!F:AR,39,FALSE)="#N/A Field Not Applicable",VLOOKUP(A161,bond!F:AR,38,FALSE),IFERROR(VLOOKUP(A161,'7_發行日例外'!A:B,2,FALSE),VLOOKUP(A161,bond!F:AR,39,FALSE)))</f>
        <v>2020/8/6</v>
      </c>
      <c r="AM161" s="136" t="str">
        <f ca="1">VLOOKUP(B161,bond!B:AK,36,FALSE)</f>
        <v>2050/2/6</v>
      </c>
      <c r="AN161" s="136" t="str">
        <f ca="1">IFERROR(VLOOKUP(B161,'3_是否下架'!A:A,1,FALSE),"")</f>
        <v/>
      </c>
      <c r="AO161" s="136">
        <f ca="1">VLOOKUP(B161,bond!B:J,9,FALSE)</f>
        <v>57.37</v>
      </c>
      <c r="AP161" s="136">
        <f ca="1">VLOOKUP(B161,bond!B:V,21,FALSE)</f>
        <v>17.215599999999998</v>
      </c>
    </row>
    <row r="162" spans="1:42">
      <c r="A162" s="141" t="str">
        <f>bond!F163</f>
        <v>US09062XAG88</v>
      </c>
      <c r="B162" s="151" t="str">
        <f ca="1">IF($C$1=TRUE,bond!B163,"")</f>
        <v>XG470</v>
      </c>
      <c r="C162" s="95" t="str">
        <f>VLOOKUP(A162,bond!F:G,2,FALSE)</f>
        <v>USD</v>
      </c>
      <c r="D162" s="142" t="str">
        <f ca="1">VLOOKUP(B162,bond!B:C,2,FALSE)</f>
        <v>生物基因公司美元配息債券 3.15% 2050/5/1</v>
      </c>
      <c r="E162" s="95" t="str">
        <f ca="1">VLOOKUP(B162,bond!B:D,3,FALSE)</f>
        <v>Baa2 / BBB+ / -</v>
      </c>
      <c r="F162" s="99" t="str">
        <f ca="1">VLOOKUP(B162,bond!B:AB,27,FALSE)</f>
        <v>2050/5/1</v>
      </c>
      <c r="G162" s="90">
        <f ca="1">VLOOKUP(B162,bond!B:E,4,FALSE)</f>
        <v>25.83</v>
      </c>
      <c r="H162" s="202">
        <f ca="1">VLOOKUP(B162,bond!B:Y,24,FALSE)</f>
        <v>3.15E-2</v>
      </c>
      <c r="I162" s="95">
        <f ca="1">VLOOKUP(B162,bond!B:Z,25,FALSE)</f>
        <v>2</v>
      </c>
      <c r="J162" s="180">
        <f ca="1">VLOOKUP(B162,bond!B:K,10,FALSE)</f>
        <v>0.53380000000000005</v>
      </c>
      <c r="K162" s="96">
        <f ca="1">VLOOKUP($B162,bond!B:S,14,FALSE)</f>
        <v>69.37</v>
      </c>
      <c r="L162" s="91" t="str">
        <f ca="1">VLOOKUP(B162,bond!B:H,7,FALSE)</f>
        <v>2024/7/2</v>
      </c>
      <c r="M162" s="144">
        <f ca="1">VLOOKUP($B162,bond!$B:$Q,16,FALSE)</f>
        <v>5.3999999999999999E-2</v>
      </c>
      <c r="N162" s="136">
        <f ca="1">VALUE(LEFT(VLOOKUP(B162,bond!B:R,17,FALSE),SEARCH(" ",VLOOKUP(B162,bond!B:R,17,FALSE),1)))</f>
        <v>10000</v>
      </c>
      <c r="O162" s="136">
        <f ca="1">VALUE(RIGHT(VLOOKUP(B162,bond!B:R,17,FALSE),LEN(VLOOKUP(B162,bond!B:R,17,FALSE))-LEN(N162)-3))</f>
        <v>1000</v>
      </c>
      <c r="P162" s="135" t="str">
        <f ca="1">VLOOKUP($B162,bond!$B:$AG,32,FALSE)</f>
        <v>2024/11/1</v>
      </c>
      <c r="Q162" s="135" t="str">
        <f ca="1">VLOOKUP($B162,bond!$B:$AH,33,FALSE)</f>
        <v>醫療保健</v>
      </c>
      <c r="R162" s="135" t="str">
        <f ca="1">VLOOKUP(B162,bond!B:AA,26,FALSE)</f>
        <v>百健公司</v>
      </c>
      <c r="S162" s="135" t="str">
        <f ca="1">VLOOKUP(B162,bond!B:AI,34,FALSE)</f>
        <v>BIIB</v>
      </c>
      <c r="T162" s="135" t="str">
        <f t="shared" ca="1" si="14"/>
        <v>百健公司/BIIB</v>
      </c>
      <c r="U162" s="207" t="str">
        <f ca="1">IFERROR(VLOOKUP(T162,Bond_DES!D:E,2,FALSE),VLOOKUP(S162,bond!AI:AJ,2,FALSE))</f>
        <v>百健公司(Biogen Inc.)是一家全球生物製藥公司，為神經科學領域的先驅，專注於推進多發性硬化症及神經免疫學、阿茲海默症和癡呆症、神經肌肉疾病、眼科等研究。所開發之「aducanumab(ADUHELM)」是首獲FDA批准治療阿茲海默症用藥、與日本衛采(Eisai)藥廠合作開發的新藥Lecanemab為第二個獲FDA核准的阿茲海默症藥物。</v>
      </c>
      <c r="V162" s="136" t="str">
        <f ca="1">IFERROR(VLOOKUP(B162,'1_重設數據'!L:M,2,FALSE),IF(Q162="政府",IF(AD162&gt;16,"(NPI)非專投",IF(AD162&gt;10,"(PI)專投","高資產")),IF(VLOOKUP(B162,bond!B:AN,39,FALSE)="Y","(PI)專投",IF(AD162&gt;=15,"(NPI)非專投",IF(AD162&gt;=10,"(PI)專投","高資產")))))</f>
        <v>(PI)專投</v>
      </c>
      <c r="W162" s="136" t="str">
        <f ca="1">VLOOKUP(AD162,'credit rating'!$F$2:$H$22,3,FALSE)</f>
        <v>BBB+</v>
      </c>
      <c r="X162" s="136" t="str">
        <f t="shared" ca="1" si="15"/>
        <v>Baa2</v>
      </c>
      <c r="Y162" s="136" t="str">
        <f t="shared" ca="1" si="16"/>
        <v>BBB+</v>
      </c>
      <c r="Z162" s="136" t="str">
        <f t="shared" ca="1" si="17"/>
        <v>-</v>
      </c>
      <c r="AA162" s="134">
        <f ca="1">IFERROR(VLOOKUP(X162,'credit rating'!A:C,3,FALSE),0)</f>
        <v>13</v>
      </c>
      <c r="AB162" s="134">
        <f ca="1">IFERROR(VLOOKUP(Y162,'credit rating'!B:C,2,FALSE),0)</f>
        <v>14</v>
      </c>
      <c r="AC162" s="136">
        <f ca="1">IFERROR(VLOOKUP(Z162,'credit rating'!B:C,2,FALSE),0)</f>
        <v>0</v>
      </c>
      <c r="AD162" s="136">
        <f t="shared" ca="1" si="18"/>
        <v>14</v>
      </c>
      <c r="AE162" s="249">
        <f ca="1">IFERROR(VLOOKUP(B162,bond!B:U,20,FALSE),"")</f>
        <v>5.4300000000000001E-2</v>
      </c>
      <c r="AF162" s="136" t="str">
        <f ca="1">IF(VLOOKUP(B162,bond!B:AK,36,FALSE)="#N/A Field Not Applicable","",VLOOKUP(B162,bond!B:AK,36,FALSE))</f>
        <v>2049/11/1</v>
      </c>
      <c r="AG162" s="136" t="str">
        <f ca="1">IF(VLOOKUP(B162,bond!B:AL,37,FALSE)="FIXED","固定",IF(VLOOKUP(B162,bond!B:AL,37,FALSE)="FLOATING","浮動",IF(VLOOKUP(B162,bond!B:AL,37,FALSE)="VARIABLE","變動",IF(VLOOKUP(B162,bond!B:AL,37,FALSE)="FLAT TRADING","不含息交易",IF(VLOOKUP(B162,bond!B:AL,37,FALSE)="ZERO COUPON","零息",VLOOKUP(B162,bond!B:AL,37,FALSE))))))</f>
        <v>固定</v>
      </c>
      <c r="AH162" s="136" t="str">
        <f>VLOOKUP(C162,'2_Check_code'!I:J,2,FALSE)</f>
        <v>美元(USD)</v>
      </c>
      <c r="AI162" s="136" t="str">
        <f t="shared" ca="1" si="19"/>
        <v>自由選清單</v>
      </c>
      <c r="AJ162" s="136">
        <f t="shared" ca="1" si="20"/>
        <v>0</v>
      </c>
      <c r="AK162" s="594" t="str">
        <f ca="1">IF(VLOOKUP(B162,bond!B:S,18,FALSE)="是","有",IF(VLOOKUP(B162,bond!B:S,18,FALSE)="NO OFFER","無","需查詢"))</f>
        <v>有</v>
      </c>
      <c r="AL162" s="136" t="str">
        <f>IF(VLOOKUP(A162,bond!F:AR,39,FALSE)="#N/A Field Not Applicable",VLOOKUP(A162,bond!F:AR,38,FALSE),IFERROR(VLOOKUP(A162,'7_發行日例外'!A:B,2,FALSE),VLOOKUP(A162,bond!F:AR,39,FALSE)))</f>
        <v>2020/4/30</v>
      </c>
      <c r="AM162" s="136" t="str">
        <f ca="1">VLOOKUP(B162,bond!B:AK,36,FALSE)</f>
        <v>2049/11/1</v>
      </c>
      <c r="AN162" s="136" t="str">
        <f ca="1">IFERROR(VLOOKUP(B162,'3_是否下架'!A:A,1,FALSE),"")</f>
        <v/>
      </c>
      <c r="AO162" s="136">
        <f ca="1">VLOOKUP(B162,bond!B:J,9,FALSE)</f>
        <v>65.34</v>
      </c>
      <c r="AP162" s="136">
        <f ca="1">VLOOKUP(B162,bond!B:V,21,FALSE)</f>
        <v>15.257999999999999</v>
      </c>
    </row>
    <row r="163" spans="1:42">
      <c r="A163" s="141" t="str">
        <f>bond!F164</f>
        <v>US25470DBH17</v>
      </c>
      <c r="B163" s="151" t="str">
        <f ca="1">IF($C$1=TRUE,bond!B164,"")</f>
        <v>XG480</v>
      </c>
      <c r="C163" s="95" t="str">
        <f>VLOOKUP(A163,bond!F:G,2,FALSE)</f>
        <v>USD</v>
      </c>
      <c r="D163" s="142" t="str">
        <f ca="1">VLOOKUP(B163,bond!B:C,2,FALSE)</f>
        <v>Discovery傳播有限責任公司美元配息債券 4.65% 2050/5/15</v>
      </c>
      <c r="E163" s="95" t="str">
        <f ca="1">VLOOKUP(B163,bond!B:D,3,FALSE)</f>
        <v>Baa3 / BBB- / BBB-</v>
      </c>
      <c r="F163" s="99" t="str">
        <f ca="1">VLOOKUP(B163,bond!B:AB,27,FALSE)</f>
        <v>2050/5/15</v>
      </c>
      <c r="G163" s="90">
        <f ca="1">VLOOKUP(B163,bond!B:E,4,FALSE)</f>
        <v>25.87</v>
      </c>
      <c r="H163" s="202">
        <f ca="1">VLOOKUP(B163,bond!B:Y,24,FALSE)</f>
        <v>4.6500000000000007E-2</v>
      </c>
      <c r="I163" s="95">
        <f ca="1">VLOOKUP(B163,bond!B:Z,25,FALSE)</f>
        <v>2</v>
      </c>
      <c r="J163" s="180">
        <f ca="1">VLOOKUP(B163,bond!B:K,10,FALSE)</f>
        <v>0.60709999999999997</v>
      </c>
      <c r="K163" s="96">
        <f ca="1">VLOOKUP($B163,bond!B:S,14,FALSE)</f>
        <v>77.95</v>
      </c>
      <c r="L163" s="91" t="str">
        <f ca="1">VLOOKUP(B163,bond!B:H,7,FALSE)</f>
        <v>2024/7/2</v>
      </c>
      <c r="M163" s="144">
        <f ca="1">VLOOKUP($B163,bond!$B:$Q,16,FALSE)</f>
        <v>6.4600000000000005E-2</v>
      </c>
      <c r="N163" s="136">
        <f ca="1">VALUE(LEFT(VLOOKUP(B163,bond!B:R,17,FALSE),SEARCH(" ",VLOOKUP(B163,bond!B:R,17,FALSE),1)))</f>
        <v>10000</v>
      </c>
      <c r="O163" s="136">
        <f ca="1">VALUE(RIGHT(VLOOKUP(B163,bond!B:R,17,FALSE),LEN(VLOOKUP(B163,bond!B:R,17,FALSE))-LEN(N163)-3))</f>
        <v>1000</v>
      </c>
      <c r="P163" s="135" t="str">
        <f ca="1">VLOOKUP($B163,bond!$B:$AG,32,FALSE)</f>
        <v>2024/11/15</v>
      </c>
      <c r="Q163" s="135" t="str">
        <f ca="1">VLOOKUP($B163,bond!$B:$AH,33,FALSE)</f>
        <v>通訊</v>
      </c>
      <c r="R163" s="135" t="str">
        <f ca="1">VLOOKUP(B163,bond!B:AA,26,FALSE)</f>
        <v>探索傳播有限責任公司</v>
      </c>
      <c r="S163" s="135" t="str">
        <f ca="1">VLOOKUP(B163,bond!B:AI,34,FALSE)</f>
        <v>WBD</v>
      </c>
      <c r="T163" s="135" t="str">
        <f t="shared" ca="1" si="14"/>
        <v>探索傳播有限責任公司/WBD</v>
      </c>
      <c r="U163" s="207" t="str">
        <f ca="1">IFERROR(VLOOKUP(T163,Bond_DES!D:E,2,FALSE),VLOOKUP(S163,bond!AI:AJ,2,FALSE))</f>
        <v>探索傳播有限責任公司(Discovery Communications LLC)提供有線及衛星電視服務，本券由其母公司華納兄弟探索公司(Warner Bros. Discovery, Inc.，簡稱WBD)提供保證。WBD是一家可與Disney+匹敵的全球串流媒體新巨擎，於2022年4月由AT&amp;T旗下華納媒體與Discovery合併而成，擁有華納兄弟、CNN、HBO等龐大影音媒體資產。</v>
      </c>
      <c r="V163" s="136" t="str">
        <f ca="1">IFERROR(VLOOKUP(B163,'1_重設數據'!L:M,2,FALSE),IF(Q163="政府",IF(AD163&gt;16,"(NPI)非專投",IF(AD163&gt;10,"(PI)專投","高資產")),IF(VLOOKUP(B163,bond!B:AN,39,FALSE)="Y","(PI)專投",IF(AD163&gt;=15,"(NPI)非專投",IF(AD163&gt;=10,"(PI)專投","高資產")))))</f>
        <v>(PI)專投</v>
      </c>
      <c r="W163" s="136" t="str">
        <f ca="1">VLOOKUP(AD163,'credit rating'!$F$2:$H$22,3,FALSE)</f>
        <v>BBB-</v>
      </c>
      <c r="X163" s="136" t="str">
        <f t="shared" ca="1" si="15"/>
        <v>Baa3</v>
      </c>
      <c r="Y163" s="136" t="str">
        <f t="shared" ca="1" si="16"/>
        <v>BBB-</v>
      </c>
      <c r="Z163" s="136" t="str">
        <f t="shared" ca="1" si="17"/>
        <v>BBB-</v>
      </c>
      <c r="AA163" s="134">
        <f ca="1">IFERROR(VLOOKUP(X163,'credit rating'!A:C,3,FALSE),0)</f>
        <v>12</v>
      </c>
      <c r="AB163" s="134">
        <f ca="1">IFERROR(VLOOKUP(Y163,'credit rating'!B:C,2,FALSE),0)</f>
        <v>12</v>
      </c>
      <c r="AC163" s="136">
        <f ca="1">IFERROR(VLOOKUP(Z163,'credit rating'!B:C,2,FALSE),0)</f>
        <v>12</v>
      </c>
      <c r="AD163" s="136">
        <f t="shared" ca="1" si="18"/>
        <v>12</v>
      </c>
      <c r="AE163" s="249">
        <f ca="1">IFERROR(VLOOKUP(B163,bond!B:U,20,FALSE),"")</f>
        <v>6.4799999999999996E-2</v>
      </c>
      <c r="AF163" s="136" t="str">
        <f ca="1">IF(VLOOKUP(B163,bond!B:AK,36,FALSE)="#N/A Field Not Applicable","",VLOOKUP(B163,bond!B:AK,36,FALSE))</f>
        <v>2049/11/15</v>
      </c>
      <c r="AG163" s="136" t="str">
        <f ca="1">IF(VLOOKUP(B163,bond!B:AL,37,FALSE)="FIXED","固定",IF(VLOOKUP(B163,bond!B:AL,37,FALSE)="FLOATING","浮動",IF(VLOOKUP(B163,bond!B:AL,37,FALSE)="VARIABLE","變動",IF(VLOOKUP(B163,bond!B:AL,37,FALSE)="FLAT TRADING","不含息交易",IF(VLOOKUP(B163,bond!B:AL,37,FALSE)="ZERO COUPON","零息",VLOOKUP(B163,bond!B:AL,37,FALSE))))))</f>
        <v>固定</v>
      </c>
      <c r="AH163" s="136" t="str">
        <f>VLOOKUP(C163,'2_Check_code'!I:J,2,FALSE)</f>
        <v>美元(USD)</v>
      </c>
      <c r="AI163" s="136" t="str">
        <f t="shared" ca="1" si="19"/>
        <v>自由選清單</v>
      </c>
      <c r="AJ163" s="136">
        <f t="shared" ca="1" si="20"/>
        <v>0</v>
      </c>
      <c r="AK163" s="594" t="str">
        <f ca="1">IF(VLOOKUP(B163,bond!B:S,18,FALSE)="是","有",IF(VLOOKUP(B163,bond!B:S,18,FALSE)="NO OFFER","無","需查詢"))</f>
        <v>有</v>
      </c>
      <c r="AL163" s="136" t="str">
        <f>IF(VLOOKUP(A163,bond!F:AR,39,FALSE)="#N/A Field Not Applicable",VLOOKUP(A163,bond!F:AR,38,FALSE),IFERROR(VLOOKUP(A163,'7_發行日例外'!A:B,2,FALSE),VLOOKUP(A163,bond!F:AR,39,FALSE)))</f>
        <v>2020/5/18</v>
      </c>
      <c r="AM163" s="136" t="str">
        <f ca="1">VLOOKUP(B163,bond!B:AK,36,FALSE)</f>
        <v>2049/11/15</v>
      </c>
      <c r="AN163" s="136" t="str">
        <f ca="1">IFERROR(VLOOKUP(B163,'3_是否下架'!A:A,1,FALSE),"")</f>
        <v/>
      </c>
      <c r="AO163" s="136">
        <f ca="1">VLOOKUP(B163,bond!B:J,9,FALSE)</f>
        <v>73.84</v>
      </c>
      <c r="AP163" s="136">
        <f ca="1">VLOOKUP(B163,bond!B:V,21,FALSE)</f>
        <v>13.0832</v>
      </c>
    </row>
    <row r="164" spans="1:42">
      <c r="A164" s="141" t="str">
        <f>bond!F165</f>
        <v>US404119CB31</v>
      </c>
      <c r="B164" s="151" t="str">
        <f ca="1">IF($C$1=TRUE,bond!B165,"")</f>
        <v>XG490</v>
      </c>
      <c r="C164" s="95" t="str">
        <f>VLOOKUP(A164,bond!F:G,2,FALSE)</f>
        <v>USD</v>
      </c>
      <c r="D164" s="142" t="str">
        <f ca="1">VLOOKUP(B164,bond!B:C,2,FALSE)</f>
        <v>美國醫院公司美元配息債券 3.5% 2051/7/15</v>
      </c>
      <c r="E164" s="95" t="str">
        <f ca="1">VLOOKUP(B164,bond!B:D,3,FALSE)</f>
        <v>Baa3 / BBB- / WD</v>
      </c>
      <c r="F164" s="99" t="str">
        <f ca="1">VLOOKUP(B164,bond!B:AB,27,FALSE)</f>
        <v>2051/7/15</v>
      </c>
      <c r="G164" s="90">
        <f ca="1">VLOOKUP(B164,bond!B:E,4,FALSE)</f>
        <v>27.03</v>
      </c>
      <c r="H164" s="202">
        <f ca="1">VLOOKUP(B164,bond!B:Y,24,FALSE)</f>
        <v>3.5000000000000003E-2</v>
      </c>
      <c r="I164" s="95">
        <f ca="1">VLOOKUP(B164,bond!B:Z,25,FALSE)</f>
        <v>2</v>
      </c>
      <c r="J164" s="180">
        <f ca="1">VLOOKUP(B164,bond!B:K,10,FALSE)</f>
        <v>1.6235999999999999</v>
      </c>
      <c r="K164" s="96">
        <f ca="1">VLOOKUP($B164,bond!B:S,14,FALSE)</f>
        <v>72.69</v>
      </c>
      <c r="L164" s="91" t="str">
        <f ca="1">VLOOKUP(B164,bond!B:H,7,FALSE)</f>
        <v>2024/7/2</v>
      </c>
      <c r="M164" s="144">
        <f ca="1">VLOOKUP($B164,bond!$B:$Q,16,FALSE)</f>
        <v>5.5899999999999998E-2</v>
      </c>
      <c r="N164" s="136">
        <f ca="1">VALUE(LEFT(VLOOKUP(B164,bond!B:R,17,FALSE),SEARCH(" ",VLOOKUP(B164,bond!B:R,17,FALSE),1)))</f>
        <v>10000</v>
      </c>
      <c r="O164" s="136">
        <f ca="1">VALUE(RIGHT(VLOOKUP(B164,bond!B:R,17,FALSE),LEN(VLOOKUP(B164,bond!B:R,17,FALSE))-LEN(N164)-3))</f>
        <v>1000</v>
      </c>
      <c r="P164" s="135" t="str">
        <f ca="1">VLOOKUP($B164,bond!$B:$AG,32,FALSE)</f>
        <v>2024/7/15</v>
      </c>
      <c r="Q164" s="135" t="str">
        <f ca="1">VLOOKUP($B164,bond!$B:$AH,33,FALSE)</f>
        <v>醫療保健</v>
      </c>
      <c r="R164" s="135" t="str">
        <f ca="1">VLOOKUP(B164,bond!B:AA,26,FALSE)</f>
        <v>美國醫院公司</v>
      </c>
      <c r="S164" s="135" t="str">
        <f ca="1">VLOOKUP(B164,bond!B:AI,34,FALSE)</f>
        <v>HCA</v>
      </c>
      <c r="T164" s="135" t="str">
        <f t="shared" ca="1" si="14"/>
        <v>美國醫院公司/HCA</v>
      </c>
      <c r="U164" s="207" t="str">
        <f ca="1">IFERROR(VLOOKUP(T164,Bond_DES!D:E,2,FALSE),VLOOKUP(S164,bond!AI:AJ,2,FALSE))</f>
        <v>美國醫院公司(HCA Inc.)是HCA醫療保健公司(HCA Healthcare, Inc.)之全資子公司，經營急症照護醫院、門診設施、診所等醫療服務場所。保證機構HCA醫療保健公司於全球醫院產業營收居冠，2023年底在美國20個州和英國擁有179家醫院和和約120個獨立手術中心。2024年《Fortune》美國500強排名第61名，連續上榜逾20年。</v>
      </c>
      <c r="V164" s="136" t="str">
        <f ca="1">IFERROR(VLOOKUP(B164,'1_重設數據'!L:M,2,FALSE),IF(Q164="政府",IF(AD164&gt;16,"(NPI)非專投",IF(AD164&gt;10,"(PI)專投","高資產")),IF(VLOOKUP(B164,bond!B:AN,39,FALSE)="Y","(PI)專投",IF(AD164&gt;=15,"(NPI)非專投",IF(AD164&gt;=10,"(PI)專投","高資產")))))</f>
        <v>(PI)專投</v>
      </c>
      <c r="W164" s="136" t="str">
        <f ca="1">VLOOKUP(AD164,'credit rating'!$F$2:$H$22,3,FALSE)</f>
        <v>BBB-</v>
      </c>
      <c r="X164" s="136" t="str">
        <f t="shared" ca="1" si="15"/>
        <v>Baa3</v>
      </c>
      <c r="Y164" s="136" t="str">
        <f t="shared" ca="1" si="16"/>
        <v>BBB-</v>
      </c>
      <c r="Z164" s="136" t="str">
        <f t="shared" ca="1" si="17"/>
        <v>WD</v>
      </c>
      <c r="AA164" s="134">
        <f ca="1">IFERROR(VLOOKUP(X164,'credit rating'!A:C,3,FALSE),0)</f>
        <v>12</v>
      </c>
      <c r="AB164" s="134">
        <f ca="1">IFERROR(VLOOKUP(Y164,'credit rating'!B:C,2,FALSE),0)</f>
        <v>12</v>
      </c>
      <c r="AC164" s="136">
        <f ca="1">IFERROR(VLOOKUP(Z164,'credit rating'!B:C,2,FALSE),0)</f>
        <v>0</v>
      </c>
      <c r="AD164" s="136">
        <f t="shared" ca="1" si="18"/>
        <v>12</v>
      </c>
      <c r="AE164" s="249">
        <f ca="1">IFERROR(VLOOKUP(B164,bond!B:U,20,FALSE),"")</f>
        <v>5.6099999999999997E-2</v>
      </c>
      <c r="AF164" s="136" t="str">
        <f ca="1">IF(VLOOKUP(B164,bond!B:AK,36,FALSE)="#N/A Field Not Applicable","",VLOOKUP(B164,bond!B:AK,36,FALSE))</f>
        <v>2051/1/15</v>
      </c>
      <c r="AG164" s="136" t="str">
        <f ca="1">IF(VLOOKUP(B164,bond!B:AL,37,FALSE)="FIXED","固定",IF(VLOOKUP(B164,bond!B:AL,37,FALSE)="FLOATING","浮動",IF(VLOOKUP(B164,bond!B:AL,37,FALSE)="VARIABLE","變動",IF(VLOOKUP(B164,bond!B:AL,37,FALSE)="FLAT TRADING","不含息交易",IF(VLOOKUP(B164,bond!B:AL,37,FALSE)="ZERO COUPON","零息",VLOOKUP(B164,bond!B:AL,37,FALSE))))))</f>
        <v>固定</v>
      </c>
      <c r="AH164" s="136" t="str">
        <f>VLOOKUP(C164,'2_Check_code'!I:J,2,FALSE)</f>
        <v>美元(USD)</v>
      </c>
      <c r="AI164" s="136" t="str">
        <f t="shared" ca="1" si="19"/>
        <v>自由選清單</v>
      </c>
      <c r="AJ164" s="136">
        <f t="shared" ca="1" si="20"/>
        <v>0</v>
      </c>
      <c r="AK164" s="594" t="str">
        <f ca="1">IF(VLOOKUP(B164,bond!B:S,18,FALSE)="是","有",IF(VLOOKUP(B164,bond!B:S,18,FALSE)="NO OFFER","無","需查詢"))</f>
        <v>有</v>
      </c>
      <c r="AL164" s="136" t="str">
        <f>IF(VLOOKUP(A164,bond!F:AR,39,FALSE)="#N/A Field Not Applicable",VLOOKUP(A164,bond!F:AR,38,FALSE),IFERROR(VLOOKUP(A164,'7_發行日例外'!A:B,2,FALSE),VLOOKUP(A164,bond!F:AR,39,FALSE)))</f>
        <v>2021/6/30</v>
      </c>
      <c r="AM164" s="136" t="str">
        <f ca="1">VLOOKUP(B164,bond!B:AK,36,FALSE)</f>
        <v>2051/1/15</v>
      </c>
      <c r="AN164" s="136" t="str">
        <f ca="1">IFERROR(VLOOKUP(B164,'3_是否下架'!A:A,1,FALSE),"")</f>
        <v/>
      </c>
      <c r="AO164" s="136">
        <f ca="1">VLOOKUP(B164,bond!B:J,9,FALSE)</f>
        <v>67.570000000000007</v>
      </c>
      <c r="AP164" s="136">
        <f ca="1">VLOOKUP(B164,bond!B:V,21,FALSE)</f>
        <v>14.7934</v>
      </c>
    </row>
    <row r="165" spans="1:42">
      <c r="A165" s="141" t="str">
        <f>bond!F166</f>
        <v>US91529YAR71</v>
      </c>
      <c r="B165" s="151" t="str">
        <f ca="1">IF($C$1=TRUE,bond!B166,"")</f>
        <v>XG500</v>
      </c>
      <c r="C165" s="95" t="str">
        <f>VLOOKUP(A165,bond!F:G,2,FALSE)</f>
        <v>USD</v>
      </c>
      <c r="D165" s="142" t="str">
        <f ca="1">VLOOKUP(B165,bond!B:C,2,FALSE)</f>
        <v>Unum集團美元配息債券 4.125% 2051/6/15</v>
      </c>
      <c r="E165" s="95" t="str">
        <f ca="1">VLOOKUP(B165,bond!B:D,3,FALSE)</f>
        <v>Baa2 / BBB / BBB</v>
      </c>
      <c r="F165" s="99" t="str">
        <f ca="1">VLOOKUP(B165,bond!B:AB,27,FALSE)</f>
        <v>2051/6/15</v>
      </c>
      <c r="G165" s="90">
        <f ca="1">VLOOKUP(B165,bond!B:E,4,FALSE)</f>
        <v>26.95</v>
      </c>
      <c r="H165" s="202">
        <f ca="1">VLOOKUP(B165,bond!B:Y,24,FALSE)</f>
        <v>4.1250000000000002E-2</v>
      </c>
      <c r="I165" s="95">
        <f ca="1">VLOOKUP(B165,bond!B:Z,25,FALSE)</f>
        <v>2</v>
      </c>
      <c r="J165" s="180">
        <f ca="1">VLOOKUP(B165,bond!B:K,10,FALSE)</f>
        <v>0.1948</v>
      </c>
      <c r="K165" s="96">
        <f ca="1">VLOOKUP($B165,bond!B:S,14,FALSE)</f>
        <v>77.930000000000007</v>
      </c>
      <c r="L165" s="91" t="str">
        <f ca="1">VLOOKUP(B165,bond!B:H,7,FALSE)</f>
        <v>2024/7/2</v>
      </c>
      <c r="M165" s="144">
        <f ca="1">VLOOKUP($B165,bond!$B:$Q,16,FALSE)</f>
        <v>5.7599999999999998E-2</v>
      </c>
      <c r="N165" s="136">
        <f ca="1">VALUE(LEFT(VLOOKUP(B165,bond!B:R,17,FALSE),SEARCH(" ",VLOOKUP(B165,bond!B:R,17,FALSE),1)))</f>
        <v>10000</v>
      </c>
      <c r="O165" s="136">
        <f ca="1">VALUE(RIGHT(VLOOKUP(B165,bond!B:R,17,FALSE),LEN(VLOOKUP(B165,bond!B:R,17,FALSE))-LEN(N165)-3))</f>
        <v>1000</v>
      </c>
      <c r="P165" s="135" t="str">
        <f ca="1">VLOOKUP($B165,bond!$B:$AG,32,FALSE)</f>
        <v>2024/12/15</v>
      </c>
      <c r="Q165" s="135" t="str">
        <f ca="1">VLOOKUP($B165,bond!$B:$AH,33,FALSE)</f>
        <v>金融</v>
      </c>
      <c r="R165" s="135" t="str">
        <f ca="1">VLOOKUP(B165,bond!B:AA,26,FALSE)</f>
        <v>Unum集團</v>
      </c>
      <c r="S165" s="135" t="str">
        <f ca="1">VLOOKUP(B165,bond!B:AI,34,FALSE)</f>
        <v>UNM</v>
      </c>
      <c r="T165" s="135" t="str">
        <f t="shared" ca="1" si="14"/>
        <v>Unum集團/UNM</v>
      </c>
      <c r="U165" s="207" t="str">
        <f ca="1">IFERROR(VLOOKUP(T165,Bond_DES!D:E,2,FALSE),VLOOKUP(S165,bond!AI:AJ,2,FALSE))</f>
        <v>Unum集團(Unum Group)擁有170年歷史，為全美最大團體失能保險公司之一，亦是團體壽險和僱員自購保障計畫的主要提供商之一，保險產品組合涵蓋失能、壽險、意外、重大疾病、癌症、牙齒及視力保險，營業據點遍及美國、英國及波蘭。該集團於2023美國財富「保險：壽險及醫療險」行業上市公司營收排名第10位。</v>
      </c>
      <c r="V165" s="136" t="str">
        <f ca="1">IFERROR(VLOOKUP(B165,'1_重設數據'!L:M,2,FALSE),IF(Q165="政府",IF(AD165&gt;16,"(NPI)非專投",IF(AD165&gt;10,"(PI)專投","高資產")),IF(VLOOKUP(B165,bond!B:AN,39,FALSE)="Y","(PI)專投",IF(AD165&gt;=15,"(NPI)非專投",IF(AD165&gt;=10,"(PI)專投","高資產")))))</f>
        <v>(PI)專投</v>
      </c>
      <c r="W165" s="136" t="str">
        <f ca="1">VLOOKUP(AD165,'credit rating'!$F$2:$H$22,3,FALSE)</f>
        <v>BBB</v>
      </c>
      <c r="X165" s="136" t="str">
        <f t="shared" ca="1" si="15"/>
        <v>Baa2</v>
      </c>
      <c r="Y165" s="136" t="str">
        <f t="shared" ca="1" si="16"/>
        <v>BBB</v>
      </c>
      <c r="Z165" s="136" t="str">
        <f t="shared" ca="1" si="17"/>
        <v>BBB</v>
      </c>
      <c r="AA165" s="134">
        <f ca="1">IFERROR(VLOOKUP(X165,'credit rating'!A:C,3,FALSE),0)</f>
        <v>13</v>
      </c>
      <c r="AB165" s="134">
        <f ca="1">IFERROR(VLOOKUP(Y165,'credit rating'!B:C,2,FALSE),0)</f>
        <v>13</v>
      </c>
      <c r="AC165" s="136">
        <f ca="1">IFERROR(VLOOKUP(Z165,'credit rating'!B:C,2,FALSE),0)</f>
        <v>13</v>
      </c>
      <c r="AD165" s="136">
        <f t="shared" ca="1" si="18"/>
        <v>13</v>
      </c>
      <c r="AE165" s="249">
        <f ca="1">IFERROR(VLOOKUP(B165,bond!B:U,20,FALSE),"")</f>
        <v>5.7799999999999997E-2</v>
      </c>
      <c r="AF165" s="136" t="str">
        <f ca="1">IF(VLOOKUP(B165,bond!B:AK,36,FALSE)="#N/A Field Not Applicable","",VLOOKUP(B165,bond!B:AK,36,FALSE))</f>
        <v>2050/12/15</v>
      </c>
      <c r="AG165" s="136" t="str">
        <f ca="1">IF(VLOOKUP(B165,bond!B:AL,37,FALSE)="FIXED","固定",IF(VLOOKUP(B165,bond!B:AL,37,FALSE)="FLOATING","浮動",IF(VLOOKUP(B165,bond!B:AL,37,FALSE)="VARIABLE","變動",IF(VLOOKUP(B165,bond!B:AL,37,FALSE)="FLAT TRADING","不含息交易",IF(VLOOKUP(B165,bond!B:AL,37,FALSE)="ZERO COUPON","零息",VLOOKUP(B165,bond!B:AL,37,FALSE))))))</f>
        <v>固定</v>
      </c>
      <c r="AH165" s="136" t="str">
        <f>VLOOKUP(C165,'2_Check_code'!I:J,2,FALSE)</f>
        <v>美元(USD)</v>
      </c>
      <c r="AI165" s="136" t="str">
        <f t="shared" ca="1" si="19"/>
        <v>自由選清單</v>
      </c>
      <c r="AJ165" s="136">
        <f t="shared" ca="1" si="20"/>
        <v>0</v>
      </c>
      <c r="AK165" s="594" t="str">
        <f ca="1">IF(VLOOKUP(B165,bond!B:S,18,FALSE)="是","有",IF(VLOOKUP(B165,bond!B:S,18,FALSE)="NO OFFER","無","需查詢"))</f>
        <v>有</v>
      </c>
      <c r="AL165" s="136" t="str">
        <f>IF(VLOOKUP(A165,bond!F:AR,39,FALSE)="#N/A Field Not Applicable",VLOOKUP(A165,bond!F:AR,38,FALSE),IFERROR(VLOOKUP(A165,'7_發行日例外'!A:B,2,FALSE),VLOOKUP(A165,bond!F:AR,39,FALSE)))</f>
        <v>2021/6/14</v>
      </c>
      <c r="AM165" s="136" t="str">
        <f ca="1">VLOOKUP(B165,bond!B:AK,36,FALSE)</f>
        <v>2050/12/15</v>
      </c>
      <c r="AN165" s="136" t="str">
        <f ca="1">IFERROR(VLOOKUP(B165,'3_是否下架'!A:A,1,FALSE),"")</f>
        <v/>
      </c>
      <c r="AO165" s="136">
        <f ca="1">VLOOKUP(B165,bond!B:J,9,FALSE)</f>
        <v>74.239999999999995</v>
      </c>
      <c r="AP165" s="136">
        <f ca="1">VLOOKUP(B165,bond!B:V,21,FALSE)</f>
        <v>14.351100000000001</v>
      </c>
    </row>
    <row r="166" spans="1:42">
      <c r="A166" s="141" t="str">
        <f>bond!F167</f>
        <v>US35671DBC83</v>
      </c>
      <c r="B166" s="151" t="str">
        <f ca="1">IF($C$1=TRUE,bond!B167,"")</f>
        <v>XG510</v>
      </c>
      <c r="C166" s="95" t="str">
        <f>VLOOKUP(A166,bond!F:G,2,FALSE)</f>
        <v>USD</v>
      </c>
      <c r="D166" s="142" t="str">
        <f ca="1">VLOOKUP(B166,bond!B:C,2,FALSE)</f>
        <v>自由港麥克莫蘭銅金公司美元配息債券 5.45% 2043/3/15</v>
      </c>
      <c r="E166" s="95" t="str">
        <f ca="1">VLOOKUP(B166,bond!B:D,3,FALSE)</f>
        <v>Baa2 / BBB- / BBB</v>
      </c>
      <c r="F166" s="99" t="str">
        <f ca="1">VLOOKUP(B166,bond!B:AB,27,FALSE)</f>
        <v>2043/3/15</v>
      </c>
      <c r="G166" s="90">
        <f ca="1">VLOOKUP(B166,bond!B:E,4,FALSE)</f>
        <v>18.7</v>
      </c>
      <c r="H166" s="202">
        <f ca="1">VLOOKUP(B166,bond!B:Y,24,FALSE)</f>
        <v>5.45E-2</v>
      </c>
      <c r="I166" s="95">
        <f ca="1">VLOOKUP(B166,bond!B:Z,25,FALSE)</f>
        <v>2</v>
      </c>
      <c r="J166" s="180">
        <f ca="1">VLOOKUP(B166,bond!B:K,10,FALSE)</f>
        <v>1.6198999999999999</v>
      </c>
      <c r="K166" s="96">
        <f ca="1">VLOOKUP($B166,bond!B:S,14,FALSE)</f>
        <v>99.64</v>
      </c>
      <c r="L166" s="91" t="str">
        <f ca="1">VLOOKUP(B166,bond!B:H,7,FALSE)</f>
        <v>2024/7/2</v>
      </c>
      <c r="M166" s="144">
        <f ca="1">VLOOKUP($B166,bond!$B:$Q,16,FALSE)</f>
        <v>5.62E-2</v>
      </c>
      <c r="N166" s="136">
        <f ca="1">VALUE(LEFT(VLOOKUP(B166,bond!B:R,17,FALSE),SEARCH(" ",VLOOKUP(B166,bond!B:R,17,FALSE),1)))</f>
        <v>10000</v>
      </c>
      <c r="O166" s="136">
        <f ca="1">VALUE(RIGHT(VLOOKUP(B166,bond!B:R,17,FALSE),LEN(VLOOKUP(B166,bond!B:R,17,FALSE))-LEN(N166)-3))</f>
        <v>1000</v>
      </c>
      <c r="P166" s="135" t="str">
        <f ca="1">VLOOKUP($B166,bond!$B:$AG,32,FALSE)</f>
        <v>2024/9/15</v>
      </c>
      <c r="Q166" s="135" t="str">
        <f ca="1">VLOOKUP($B166,bond!$B:$AH,33,FALSE)</f>
        <v>原物料</v>
      </c>
      <c r="R166" s="135" t="str">
        <f ca="1">VLOOKUP(B166,bond!B:AA,26,FALSE)</f>
        <v>自由港麥克莫蘭銅金公司</v>
      </c>
      <c r="S166" s="135" t="str">
        <f ca="1">VLOOKUP(B166,bond!B:AI,34,FALSE)</f>
        <v>FCX</v>
      </c>
      <c r="T166" s="135" t="str">
        <f t="shared" ca="1" si="14"/>
        <v>自由港麥克莫蘭銅金公司/FCX</v>
      </c>
      <c r="U166" s="207" t="str">
        <f ca="1">IFERROR(VLOOKUP(T166,Bond_DES!D:E,2,FALSE),VLOOKUP(S166,bond!AI:AJ,2,FALSE))</f>
        <v>自由港麥克莫蘭銅金公司(Freeport-McMoRan Inc.)是一家領先的國際礦業公司，按彭博FY23產業營收為世界前5大銅生產商，經營大型長期且地區多元的資產，擁有豐富的銅、金、鉬礦蘊藏量。受惠電動汽車、電動車充電基礎設施和儲能應用的需求上升，成為銅消費的最大驅動力。</v>
      </c>
      <c r="V166" s="136" t="str">
        <f ca="1">IFERROR(VLOOKUP(B166,'1_重設數據'!L:M,2,FALSE),IF(Q166="政府",IF(AD166&gt;16,"(NPI)非專投",IF(AD166&gt;10,"(PI)專投","高資產")),IF(VLOOKUP(B166,bond!B:AN,39,FALSE)="Y","(PI)專投",IF(AD166&gt;=15,"(NPI)非專投",IF(AD166&gt;=10,"(PI)專投","高資產")))))</f>
        <v>(PI)專投</v>
      </c>
      <c r="W166" s="136" t="str">
        <f ca="1">VLOOKUP(AD166,'credit rating'!$F$2:$H$22,3,FALSE)</f>
        <v>BBB</v>
      </c>
      <c r="X166" s="136" t="str">
        <f t="shared" ca="1" si="15"/>
        <v>Baa2</v>
      </c>
      <c r="Y166" s="136" t="str">
        <f t="shared" ca="1" si="16"/>
        <v>BBB-</v>
      </c>
      <c r="Z166" s="136" t="str">
        <f t="shared" ca="1" si="17"/>
        <v>BBB</v>
      </c>
      <c r="AA166" s="134">
        <f ca="1">IFERROR(VLOOKUP(X166,'credit rating'!A:C,3,FALSE),0)</f>
        <v>13</v>
      </c>
      <c r="AB166" s="134">
        <f ca="1">IFERROR(VLOOKUP(Y166,'credit rating'!B:C,2,FALSE),0)</f>
        <v>12</v>
      </c>
      <c r="AC166" s="136">
        <f ca="1">IFERROR(VLOOKUP(Z166,'credit rating'!B:C,2,FALSE),0)</f>
        <v>13</v>
      </c>
      <c r="AD166" s="136">
        <f t="shared" ca="1" si="18"/>
        <v>13</v>
      </c>
      <c r="AE166" s="249">
        <f ca="1">IFERROR(VLOOKUP(B166,bond!B:U,20,FALSE),"")</f>
        <v>5.62E-2</v>
      </c>
      <c r="AF166" s="136" t="str">
        <f ca="1">IF(VLOOKUP(B166,bond!B:AK,36,FALSE)="#N/A Field Not Applicable","",VLOOKUP(B166,bond!B:AK,36,FALSE))</f>
        <v>2042/9/15</v>
      </c>
      <c r="AG166" s="136" t="str">
        <f ca="1">IF(VLOOKUP(B166,bond!B:AL,37,FALSE)="FIXED","固定",IF(VLOOKUP(B166,bond!B:AL,37,FALSE)="FLOATING","浮動",IF(VLOOKUP(B166,bond!B:AL,37,FALSE)="VARIABLE","變動",IF(VLOOKUP(B166,bond!B:AL,37,FALSE)="FLAT TRADING","不含息交易",IF(VLOOKUP(B166,bond!B:AL,37,FALSE)="ZERO COUPON","零息",VLOOKUP(B166,bond!B:AL,37,FALSE))))))</f>
        <v>固定</v>
      </c>
      <c r="AH166" s="136" t="str">
        <f>VLOOKUP(C166,'2_Check_code'!I:J,2,FALSE)</f>
        <v>美元(USD)</v>
      </c>
      <c r="AI166" s="136" t="str">
        <f t="shared" ca="1" si="19"/>
        <v>自由選清單</v>
      </c>
      <c r="AJ166" s="136">
        <f t="shared" ca="1" si="20"/>
        <v>0</v>
      </c>
      <c r="AK166" s="594" t="str">
        <f ca="1">IF(VLOOKUP(B166,bond!B:S,18,FALSE)="是","有",IF(VLOOKUP(B166,bond!B:S,18,FALSE)="NO OFFER","無","需查詢"))</f>
        <v>有</v>
      </c>
      <c r="AL166" s="136" t="str">
        <f>IF(VLOOKUP(A166,bond!F:AR,39,FALSE)="#N/A Field Not Applicable",VLOOKUP(A166,bond!F:AR,38,FALSE),IFERROR(VLOOKUP(A166,'7_發行日例外'!A:B,2,FALSE),VLOOKUP(A166,bond!F:AR,39,FALSE)))</f>
        <v>2013/9/15</v>
      </c>
      <c r="AM166" s="136" t="str">
        <f ca="1">VLOOKUP(B166,bond!B:AK,36,FALSE)</f>
        <v>2042/9/15</v>
      </c>
      <c r="AN166" s="136" t="str">
        <f ca="1">IFERROR(VLOOKUP(B166,'3_是否下架'!A:A,1,FALSE),"")</f>
        <v/>
      </c>
      <c r="AO166" s="136">
        <f ca="1">VLOOKUP(B166,bond!B:J,9,FALSE)</f>
        <v>95.02</v>
      </c>
      <c r="AP166" s="136">
        <f ca="1">VLOOKUP(B166,bond!B:V,21,FALSE)</f>
        <v>11.282500000000001</v>
      </c>
    </row>
    <row r="167" spans="1:42">
      <c r="A167" s="141" t="str">
        <f>bond!F168</f>
        <v>US345370CQ17</v>
      </c>
      <c r="B167" s="151" t="str">
        <f ca="1">IF($C$1=TRUE,bond!B168,"")</f>
        <v>XG520</v>
      </c>
      <c r="C167" s="95" t="str">
        <f>VLOOKUP(A167,bond!F:G,2,FALSE)</f>
        <v>USD</v>
      </c>
      <c r="D167" s="142" t="str">
        <f ca="1">VLOOKUP(B167,bond!B:C,2,FALSE)</f>
        <v>福特汽車公司美元配息債券 4.75% 2043/1/15</v>
      </c>
      <c r="E167" s="95" t="str">
        <f ca="1">VLOOKUP(B167,bond!B:D,3,FALSE)</f>
        <v>Ba1 / BBB- / BBB-</v>
      </c>
      <c r="F167" s="99" t="str">
        <f ca="1">VLOOKUP(B167,bond!B:AB,27,FALSE)</f>
        <v>2043/1/15</v>
      </c>
      <c r="G167" s="90">
        <f ca="1">VLOOKUP(B167,bond!B:E,4,FALSE)</f>
        <v>18.54</v>
      </c>
      <c r="H167" s="202">
        <f ca="1">VLOOKUP(B167,bond!B:Y,24,FALSE)</f>
        <v>4.7500000000000001E-2</v>
      </c>
      <c r="I167" s="95">
        <f ca="1">VLOOKUP(B167,bond!B:Z,25,FALSE)</f>
        <v>2</v>
      </c>
      <c r="J167" s="180">
        <f ca="1">VLOOKUP(B167,bond!B:K,10,FALSE)</f>
        <v>2.2035</v>
      </c>
      <c r="K167" s="96">
        <f ca="1">VLOOKUP($B167,bond!B:S,14,FALSE)</f>
        <v>86.8</v>
      </c>
      <c r="L167" s="91" t="str">
        <f ca="1">VLOOKUP(B167,bond!B:H,7,FALSE)</f>
        <v>2024/7/2</v>
      </c>
      <c r="M167" s="144">
        <f ca="1">VLOOKUP($B167,bond!$B:$Q,16,FALSE)</f>
        <v>6.1499999999999999E-2</v>
      </c>
      <c r="N167" s="136">
        <f ca="1">VALUE(LEFT(VLOOKUP(B167,bond!B:R,17,FALSE),SEARCH(" ",VLOOKUP(B167,bond!B:R,17,FALSE),1)))</f>
        <v>10000</v>
      </c>
      <c r="O167" s="136">
        <f ca="1">VALUE(RIGHT(VLOOKUP(B167,bond!B:R,17,FALSE),LEN(VLOOKUP(B167,bond!B:R,17,FALSE))-LEN(N167)-3))</f>
        <v>1000</v>
      </c>
      <c r="P167" s="135" t="str">
        <f ca="1">VLOOKUP($B167,bond!$B:$AG,32,FALSE)</f>
        <v>2024/7/15</v>
      </c>
      <c r="Q167" s="135" t="str">
        <f ca="1">VLOOKUP($B167,bond!$B:$AH,33,FALSE)</f>
        <v>非核心消費</v>
      </c>
      <c r="R167" s="135" t="str">
        <f ca="1">VLOOKUP(B167,bond!B:AA,26,FALSE)</f>
        <v>福特汽車公司</v>
      </c>
      <c r="S167" s="135" t="str">
        <f ca="1">VLOOKUP(B167,bond!B:AI,34,FALSE)</f>
        <v>F</v>
      </c>
      <c r="T167" s="135" t="str">
        <f t="shared" ca="1" si="14"/>
        <v>福特汽車公司/F</v>
      </c>
      <c r="U167" s="207" t="str">
        <f ca="1">IFERROR(VLOOKUP(T167,Bond_DES!D:E,2,FALSE),VLOOKUP(S167,bond!AI:AJ,2,FALSE))</f>
        <v>福特汽車公司(Ford Motor Company)按營收為全球第4大、美國第1大車廠(Fortune 2024)，主要設計、製造、銷售福特卡車、休旅車、商旅車、電動車及林肯(Lincoln)豪華車款，2023年福特F系列連續第47年蟬聯美國皮卡銷量冠軍，平均每46秒可售出一台F系列皮卡車。</v>
      </c>
      <c r="V167" s="136" t="str">
        <f ca="1">IFERROR(VLOOKUP(B167,'1_重設數據'!L:M,2,FALSE),IF(Q167="政府",IF(AD167&gt;16,"(NPI)非專投",IF(AD167&gt;10,"(PI)專投","高資產")),IF(VLOOKUP(B167,bond!B:AN,39,FALSE)="Y","(PI)專投",IF(AD167&gt;=15,"(NPI)非專投",IF(AD167&gt;=10,"(PI)專投","高資產")))))</f>
        <v>(PI)專投</v>
      </c>
      <c r="W167" s="136" t="str">
        <f ca="1">VLOOKUP(AD167,'credit rating'!$F$2:$H$22,3,FALSE)</f>
        <v>BBB-</v>
      </c>
      <c r="X167" s="136" t="str">
        <f t="shared" ca="1" si="15"/>
        <v>Ba1</v>
      </c>
      <c r="Y167" s="136" t="str">
        <f t="shared" ca="1" si="16"/>
        <v>BBB-</v>
      </c>
      <c r="Z167" s="136" t="str">
        <f t="shared" ca="1" si="17"/>
        <v>BBB-</v>
      </c>
      <c r="AA167" s="134">
        <f ca="1">IFERROR(VLOOKUP(X167,'credit rating'!A:C,3,FALSE),0)</f>
        <v>11</v>
      </c>
      <c r="AB167" s="134">
        <f ca="1">IFERROR(VLOOKUP(Y167,'credit rating'!B:C,2,FALSE),0)</f>
        <v>12</v>
      </c>
      <c r="AC167" s="136">
        <f ca="1">IFERROR(VLOOKUP(Z167,'credit rating'!B:C,2,FALSE),0)</f>
        <v>12</v>
      </c>
      <c r="AD167" s="136">
        <f t="shared" ca="1" si="18"/>
        <v>12</v>
      </c>
      <c r="AE167" s="249" t="str">
        <f ca="1">IFERROR(VLOOKUP(B167,bond!B:U,20,FALSE),"")</f>
        <v xml:space="preserve"> </v>
      </c>
      <c r="AF167" s="136" t="str">
        <f ca="1">IF(VLOOKUP(B167,bond!B:AK,36,FALSE)="#N/A Field Not Applicable","",VLOOKUP(B167,bond!B:AK,36,FALSE))</f>
        <v/>
      </c>
      <c r="AG167" s="136" t="str">
        <f ca="1">IF(VLOOKUP(B167,bond!B:AL,37,FALSE)="FIXED","固定",IF(VLOOKUP(B167,bond!B:AL,37,FALSE)="FLOATING","浮動",IF(VLOOKUP(B167,bond!B:AL,37,FALSE)="VARIABLE","變動",IF(VLOOKUP(B167,bond!B:AL,37,FALSE)="FLAT TRADING","不含息交易",IF(VLOOKUP(B167,bond!B:AL,37,FALSE)="ZERO COUPON","零息",VLOOKUP(B167,bond!B:AL,37,FALSE))))))</f>
        <v>固定</v>
      </c>
      <c r="AH167" s="136" t="str">
        <f>VLOOKUP(C167,'2_Check_code'!I:J,2,FALSE)</f>
        <v>美元(USD)</v>
      </c>
      <c r="AI167" s="136" t="str">
        <f t="shared" ca="1" si="19"/>
        <v>自由選清單</v>
      </c>
      <c r="AJ167" s="136">
        <f t="shared" ca="1" si="20"/>
        <v>0</v>
      </c>
      <c r="AK167" s="594" t="str">
        <f ca="1">IF(VLOOKUP(B167,bond!B:S,18,FALSE)="是","有",IF(VLOOKUP(B167,bond!B:S,18,FALSE)="NO OFFER","無","需查詢"))</f>
        <v>有</v>
      </c>
      <c r="AL167" s="136" t="str">
        <f>IF(VLOOKUP(A167,bond!F:AR,39,FALSE)="#N/A Field Not Applicable",VLOOKUP(A167,bond!F:AR,38,FALSE),IFERROR(VLOOKUP(A167,'7_發行日例外'!A:B,2,FALSE),VLOOKUP(A167,bond!F:AR,39,FALSE)))</f>
        <v>2013/1/8</v>
      </c>
      <c r="AM167" s="136" t="str">
        <f ca="1">VLOOKUP(B167,bond!B:AK,36,FALSE)</f>
        <v>#N/A Field Not Applicable</v>
      </c>
      <c r="AN167" s="136" t="str">
        <f ca="1">IFERROR(VLOOKUP(B167,'3_是否下架'!A:A,1,FALSE),"")</f>
        <v/>
      </c>
      <c r="AO167" s="136">
        <f ca="1">VLOOKUP(B167,bond!B:J,9,FALSE)</f>
        <v>81.600000000000009</v>
      </c>
      <c r="AP167" s="136">
        <f ca="1">VLOOKUP(B167,bond!B:V,21,FALSE)</f>
        <v>11.183</v>
      </c>
    </row>
    <row r="168" spans="1:42">
      <c r="A168" s="141" t="str">
        <f>bond!F169</f>
        <v>US674599CJ22</v>
      </c>
      <c r="B168" s="151" t="str">
        <f ca="1">IF($C$1=TRUE,bond!B169,"")</f>
        <v>XG530</v>
      </c>
      <c r="C168" s="95" t="str">
        <f>VLOOKUP(A168,bond!F:G,2,FALSE)</f>
        <v>USD</v>
      </c>
      <c r="D168" s="142" t="str">
        <f ca="1">VLOOKUP(B168,bond!B:C,2,FALSE)</f>
        <v>西方石油公司美元配息債券  4.4% 2046/4/15</v>
      </c>
      <c r="E168" s="95" t="str">
        <f ca="1">VLOOKUP(B168,bond!B:D,3,FALSE)</f>
        <v>Baa3 / BB+ / BBB-</v>
      </c>
      <c r="F168" s="99" t="str">
        <f ca="1">VLOOKUP(B168,bond!B:AB,27,FALSE)</f>
        <v>2046/4/15</v>
      </c>
      <c r="G168" s="90">
        <f ca="1">VLOOKUP(B168,bond!B:E,4,FALSE)</f>
        <v>21.79</v>
      </c>
      <c r="H168" s="202">
        <f ca="1">VLOOKUP(B168,bond!B:Y,24,FALSE)</f>
        <v>4.4000000000000004E-2</v>
      </c>
      <c r="I168" s="95">
        <f ca="1">VLOOKUP(B168,bond!B:Z,25,FALSE)</f>
        <v>2</v>
      </c>
      <c r="J168" s="180">
        <f ca="1">VLOOKUP(B168,bond!B:K,10,FALSE)</f>
        <v>0.94110000000000005</v>
      </c>
      <c r="K168" s="96">
        <f ca="1">VLOOKUP($B168,bond!B:S,14,FALSE)</f>
        <v>83.24</v>
      </c>
      <c r="L168" s="91" t="str">
        <f ca="1">VLOOKUP(B168,bond!B:H,7,FALSE)</f>
        <v>2024/7/2</v>
      </c>
      <c r="M168" s="144">
        <f ca="1">VLOOKUP($B168,bond!$B:$Q,16,FALSE)</f>
        <v>5.8500000000000003E-2</v>
      </c>
      <c r="N168" s="136">
        <f ca="1">VALUE(LEFT(VLOOKUP(B168,bond!B:R,17,FALSE),SEARCH(" ",VLOOKUP(B168,bond!B:R,17,FALSE),1)))</f>
        <v>10000</v>
      </c>
      <c r="O168" s="136">
        <f ca="1">VALUE(RIGHT(VLOOKUP(B168,bond!B:R,17,FALSE),LEN(VLOOKUP(B168,bond!B:R,17,FALSE))-LEN(N168)-3))</f>
        <v>1000</v>
      </c>
      <c r="P168" s="135" t="str">
        <f ca="1">VLOOKUP($B168,bond!$B:$AG,32,FALSE)</f>
        <v>2024/10/15</v>
      </c>
      <c r="Q168" s="135" t="str">
        <f ca="1">VLOOKUP($B168,bond!$B:$AH,33,FALSE)</f>
        <v>能源</v>
      </c>
      <c r="R168" s="135" t="str">
        <f ca="1">VLOOKUP(B168,bond!B:AA,26,FALSE)</f>
        <v>西方石油</v>
      </c>
      <c r="S168" s="135" t="str">
        <f ca="1">VLOOKUP(B168,bond!B:AI,34,FALSE)</f>
        <v>OXY</v>
      </c>
      <c r="T168" s="135" t="str">
        <f t="shared" ca="1" si="14"/>
        <v>西方石油/OXY</v>
      </c>
      <c r="U168" s="207" t="str">
        <f ca="1">IFERROR(VLOOKUP(T168,Bond_DES!D:E,2,FALSE),VLOOKUP(S168,bond!AI:AJ,2,FALSE))</f>
        <v>西方石油公司(Occidental Petroleum Corporation)是美國前五大獨立勘探和生產(E&amp;P)公司之一、全球「碳捕捉」技術開發的領導者，巴菲特職掌的波克夏海瑟威為其最大股東；從事探勘、開發、生產及行銷原油與天然氣，亦製造及行銷多種基本化學原料、乙烯基及特用化學品。按營收於「礦業、原油生產」行業排名位居美國第2，僅次於康菲石油(Fortune 2024)</v>
      </c>
      <c r="V168" s="136" t="str">
        <f ca="1">IFERROR(VLOOKUP(B168,'1_重設數據'!L:M,2,FALSE),IF(Q168="政府",IF(AD168&gt;16,"(NPI)非專投",IF(AD168&gt;10,"(PI)專投","高資產")),IF(VLOOKUP(B168,bond!B:AN,39,FALSE)="Y","(PI)專投",IF(AD168&gt;=15,"(NPI)非專投",IF(AD168&gt;=10,"(PI)專投","高資產")))))</f>
        <v>(PI)專投</v>
      </c>
      <c r="W168" s="136" t="str">
        <f ca="1">VLOOKUP(AD168,'credit rating'!$F$2:$H$22,3,FALSE)</f>
        <v>BBB-</v>
      </c>
      <c r="X168" s="136" t="str">
        <f t="shared" ca="1" si="15"/>
        <v>Baa3</v>
      </c>
      <c r="Y168" s="136" t="str">
        <f t="shared" ca="1" si="16"/>
        <v>BB+</v>
      </c>
      <c r="Z168" s="136" t="str">
        <f t="shared" ca="1" si="17"/>
        <v>BBB-</v>
      </c>
      <c r="AA168" s="134">
        <f ca="1">IFERROR(VLOOKUP(X168,'credit rating'!A:C,3,FALSE),0)</f>
        <v>12</v>
      </c>
      <c r="AB168" s="134">
        <f ca="1">IFERROR(VLOOKUP(Y168,'credit rating'!B:C,2,FALSE),0)</f>
        <v>11</v>
      </c>
      <c r="AC168" s="136">
        <f ca="1">IFERROR(VLOOKUP(Z168,'credit rating'!B:C,2,FALSE),0)</f>
        <v>12</v>
      </c>
      <c r="AD168" s="136">
        <f t="shared" ca="1" si="18"/>
        <v>12</v>
      </c>
      <c r="AE168" s="249">
        <f ca="1">IFERROR(VLOOKUP(B168,bond!B:U,20,FALSE),"")</f>
        <v>5.8700000000000002E-2</v>
      </c>
      <c r="AF168" s="136" t="str">
        <f ca="1">IF(VLOOKUP(B168,bond!B:AK,36,FALSE)="#N/A Field Not Applicable","",VLOOKUP(B168,bond!B:AK,36,FALSE))</f>
        <v>2045/10/15</v>
      </c>
      <c r="AG168" s="136" t="str">
        <f ca="1">IF(VLOOKUP(B168,bond!B:AL,37,FALSE)="FIXED","固定",IF(VLOOKUP(B168,bond!B:AL,37,FALSE)="FLOATING","浮動",IF(VLOOKUP(B168,bond!B:AL,37,FALSE)="VARIABLE","變動",IF(VLOOKUP(B168,bond!B:AL,37,FALSE)="FLAT TRADING","不含息交易",IF(VLOOKUP(B168,bond!B:AL,37,FALSE)="ZERO COUPON","零息",VLOOKUP(B168,bond!B:AL,37,FALSE))))))</f>
        <v>固定</v>
      </c>
      <c r="AH168" s="136" t="str">
        <f>VLOOKUP(C168,'2_Check_code'!I:J,2,FALSE)</f>
        <v>美元(USD)</v>
      </c>
      <c r="AI168" s="136" t="str">
        <f t="shared" ca="1" si="19"/>
        <v>自由選清單</v>
      </c>
      <c r="AJ168" s="136">
        <f t="shared" ca="1" si="20"/>
        <v>0</v>
      </c>
      <c r="AK168" s="594" t="str">
        <f ca="1">IF(VLOOKUP(B168,bond!B:S,18,FALSE)="是","有",IF(VLOOKUP(B168,bond!B:S,18,FALSE)="NO OFFER","無","需查詢"))</f>
        <v>有</v>
      </c>
      <c r="AL168" s="136" t="str">
        <f>IF(VLOOKUP(A168,bond!F:AR,39,FALSE)="#N/A Field Not Applicable",VLOOKUP(A168,bond!F:AR,38,FALSE),IFERROR(VLOOKUP(A168,'7_發行日例外'!A:B,2,FALSE),VLOOKUP(A168,bond!F:AR,39,FALSE)))</f>
        <v>2016/4/4</v>
      </c>
      <c r="AM168" s="136" t="str">
        <f ca="1">VLOOKUP(B168,bond!B:AK,36,FALSE)</f>
        <v>2045/10/15</v>
      </c>
      <c r="AN168" s="136" t="str">
        <f ca="1">IFERROR(VLOOKUP(B168,'3_是否下架'!A:A,1,FALSE),"")</f>
        <v/>
      </c>
      <c r="AO168" s="136">
        <f ca="1">VLOOKUP(B168,bond!B:J,9,FALSE)</f>
        <v>79.300000000000011</v>
      </c>
      <c r="AP168" s="136">
        <f ca="1">VLOOKUP(B168,bond!B:V,21,FALSE)</f>
        <v>12.7112</v>
      </c>
    </row>
    <row r="169" spans="1:42">
      <c r="A169" s="141" t="str">
        <f>bond!F170</f>
        <v>US279158AE95</v>
      </c>
      <c r="B169" s="151" t="str">
        <f ca="1">IF($C$1=TRUE,bond!B170,"")</f>
        <v>XG540</v>
      </c>
      <c r="C169" s="95" t="str">
        <f>VLOOKUP(A169,bond!F:G,2,FALSE)</f>
        <v>USD</v>
      </c>
      <c r="D169" s="142" t="str">
        <f ca="1">VLOOKUP(B169,bond!B:C,2,FALSE)</f>
        <v>哥倫比亞國家石油公司美元配息債券 7.375% 2043/9/18</v>
      </c>
      <c r="E169" s="95" t="str">
        <f ca="1">VLOOKUP(B169,bond!B:D,3,FALSE)</f>
        <v>Ba1 / BB+ / BB+</v>
      </c>
      <c r="F169" s="99" t="str">
        <f ca="1">VLOOKUP(B169,bond!B:AB,27,FALSE)</f>
        <v>2043/9/18</v>
      </c>
      <c r="G169" s="90">
        <f ca="1">VLOOKUP(B169,bond!B:E,4,FALSE)</f>
        <v>19.21</v>
      </c>
      <c r="H169" s="202">
        <f ca="1">VLOOKUP(B169,bond!B:Y,24,FALSE)</f>
        <v>7.3749999999999996E-2</v>
      </c>
      <c r="I169" s="95">
        <f ca="1">VLOOKUP(B169,bond!B:Z,25,FALSE)</f>
        <v>2</v>
      </c>
      <c r="J169" s="180">
        <f ca="1">VLOOKUP(B169,bond!B:K,10,FALSE)</f>
        <v>2.1305999999999998</v>
      </c>
      <c r="K169" s="96">
        <f ca="1">VLOOKUP($B169,bond!B:S,14,FALSE)</f>
        <v>95.21</v>
      </c>
      <c r="L169" s="91" t="str">
        <f ca="1">VLOOKUP(B169,bond!B:H,7,FALSE)</f>
        <v>2024/7/2</v>
      </c>
      <c r="M169" s="144">
        <f ca="1">VLOOKUP($B169,bond!$B:$Q,16,FALSE)</f>
        <v>8.09E-2</v>
      </c>
      <c r="N169" s="136">
        <f ca="1">VALUE(LEFT(VLOOKUP(B169,bond!B:R,17,FALSE),SEARCH(" ",VLOOKUP(B169,bond!B:R,17,FALSE),1)))</f>
        <v>10000</v>
      </c>
      <c r="O169" s="136">
        <f ca="1">VALUE(RIGHT(VLOOKUP(B169,bond!B:R,17,FALSE),LEN(VLOOKUP(B169,bond!B:R,17,FALSE))-LEN(N169)-3))</f>
        <v>1000</v>
      </c>
      <c r="P169" s="135" t="str">
        <f ca="1">VLOOKUP($B169,bond!$B:$AG,32,FALSE)</f>
        <v>2024/9/18</v>
      </c>
      <c r="Q169" s="135" t="str">
        <f ca="1">VLOOKUP($B169,bond!$B:$AH,33,FALSE)</f>
        <v>能源</v>
      </c>
      <c r="R169" s="135" t="str">
        <f ca="1">VLOOKUP(B169,bond!B:AA,26,FALSE)</f>
        <v>哥倫比亞國家石油公司</v>
      </c>
      <c r="S169" s="135" t="str">
        <f ca="1">VLOOKUP(B169,bond!B:AI,34,FALSE)</f>
        <v>ECOPET</v>
      </c>
      <c r="T169" s="135" t="str">
        <f t="shared" ca="1" si="14"/>
        <v>哥倫比亞國家石油公司/ECOPET</v>
      </c>
      <c r="U169" s="207" t="str">
        <f ca="1">IFERROR(VLOOKUP(T169,Bond_DES!D:E,2,FALSE),VLOOKUP(S169,bond!AI:AJ,2,FALSE))</f>
        <v>哥倫比亞國家石油公司(Ecopetrol SA)為綜合石油公司，主要在哥倫比亞、祕魯、巴西、安哥拉及美國墨西哥灣沿岸從事探勘、開發石化燃料。該公司業務分成探勘與生產、運輸與物流及煉油、石油化工及生質燃料三部分，公司也擁有遍佈哥倫比亞全境的管線輸送網路。</v>
      </c>
      <c r="V169" s="136" t="str">
        <f ca="1">IFERROR(VLOOKUP(B169,'1_重設數據'!L:M,2,FALSE),IF(Q169="政府",IF(AD169&gt;16,"(NPI)非專投",IF(AD169&gt;10,"(PI)專投","高資產")),IF(VLOOKUP(B169,bond!B:AN,39,FALSE)="Y","(PI)專投",IF(AD169&gt;=15,"(NPI)非專投",IF(AD169&gt;=10,"(PI)專投","高資產")))))</f>
        <v>(PI)專投</v>
      </c>
      <c r="W169" s="136" t="str">
        <f ca="1">VLOOKUP(AD169,'credit rating'!$F$2:$H$22,3,FALSE)</f>
        <v>BB+</v>
      </c>
      <c r="X169" s="136" t="str">
        <f t="shared" ca="1" si="15"/>
        <v>Ba1</v>
      </c>
      <c r="Y169" s="136" t="str">
        <f t="shared" ca="1" si="16"/>
        <v>BB+</v>
      </c>
      <c r="Z169" s="136" t="str">
        <f t="shared" ca="1" si="17"/>
        <v>BB+</v>
      </c>
      <c r="AA169" s="134">
        <f ca="1">IFERROR(VLOOKUP(X169,'credit rating'!A:C,3,FALSE),0)</f>
        <v>11</v>
      </c>
      <c r="AB169" s="134">
        <f ca="1">IFERROR(VLOOKUP(Y169,'credit rating'!B:C,2,FALSE),0)</f>
        <v>11</v>
      </c>
      <c r="AC169" s="136">
        <f ca="1">IFERROR(VLOOKUP(Z169,'credit rating'!B:C,2,FALSE),0)</f>
        <v>11</v>
      </c>
      <c r="AD169" s="136">
        <f t="shared" ca="1" si="18"/>
        <v>11</v>
      </c>
      <c r="AE169" s="249" t="str">
        <f ca="1">IFERROR(VLOOKUP(B169,bond!B:U,20,FALSE),"")</f>
        <v xml:space="preserve"> </v>
      </c>
      <c r="AF169" s="136" t="str">
        <f ca="1">IF(VLOOKUP(B169,bond!B:AK,36,FALSE)="#N/A Field Not Applicable","",VLOOKUP(B169,bond!B:AK,36,FALSE))</f>
        <v/>
      </c>
      <c r="AG169" s="136" t="str">
        <f ca="1">IF(VLOOKUP(B169,bond!B:AL,37,FALSE)="FIXED","固定",IF(VLOOKUP(B169,bond!B:AL,37,FALSE)="FLOATING","浮動",IF(VLOOKUP(B169,bond!B:AL,37,FALSE)="VARIABLE","變動",IF(VLOOKUP(B169,bond!B:AL,37,FALSE)="FLAT TRADING","不含息交易",IF(VLOOKUP(B169,bond!B:AL,37,FALSE)="ZERO COUPON","零息",VLOOKUP(B169,bond!B:AL,37,FALSE))))))</f>
        <v>固定</v>
      </c>
      <c r="AH169" s="136" t="str">
        <f>VLOOKUP(C169,'2_Check_code'!I:J,2,FALSE)</f>
        <v>美元(USD)</v>
      </c>
      <c r="AI169" s="136" t="str">
        <f t="shared" ca="1" si="19"/>
        <v>自由選清單</v>
      </c>
      <c r="AJ169" s="136">
        <f t="shared" ca="1" si="20"/>
        <v>0</v>
      </c>
      <c r="AK169" s="594" t="str">
        <f ca="1">IF(VLOOKUP(B169,bond!B:S,18,FALSE)="是","有",IF(VLOOKUP(B169,bond!B:S,18,FALSE)="NO OFFER","無","需查詢"))</f>
        <v>有</v>
      </c>
      <c r="AL169" s="136" t="str">
        <f>IF(VLOOKUP(A169,bond!F:AR,39,FALSE)="#N/A Field Not Applicable",VLOOKUP(A169,bond!F:AR,38,FALSE),IFERROR(VLOOKUP(A169,'7_發行日例外'!A:B,2,FALSE),VLOOKUP(A169,bond!F:AR,39,FALSE)))</f>
        <v>2013/9/18</v>
      </c>
      <c r="AM169" s="136" t="str">
        <f ca="1">VLOOKUP(B169,bond!B:AK,36,FALSE)</f>
        <v>#N/A Field Not Applicable</v>
      </c>
      <c r="AN169" s="136" t="str">
        <f ca="1">IFERROR(VLOOKUP(B169,'3_是否下架'!A:A,1,FALSE),"")</f>
        <v/>
      </c>
      <c r="AO169" s="136">
        <f ca="1">VLOOKUP(B169,bond!B:J,9,FALSE)</f>
        <v>90.08</v>
      </c>
      <c r="AP169" s="136">
        <f ca="1">VLOOKUP(B169,bond!B:V,21,FALSE)</f>
        <v>9.4692000000000007</v>
      </c>
    </row>
    <row r="170" spans="1:42">
      <c r="A170" s="141" t="str">
        <f>bond!F171</f>
        <v>USP1905CJX94</v>
      </c>
      <c r="B170" s="151" t="str">
        <f ca="1">IF($C$1=TRUE,bond!B171,"")</f>
        <v>XG550</v>
      </c>
      <c r="C170" s="95" t="str">
        <f>VLOOKUP(A170,bond!F:G,2,FALSE)</f>
        <v>USD</v>
      </c>
      <c r="D170" s="142" t="str">
        <f ca="1">VLOOKUP(B170,bond!B:C,2,FALSE)</f>
        <v>巴西食品公司美元配息債券  4.875% 2030/1/24</v>
      </c>
      <c r="E170" s="95" t="str">
        <f ca="1">VLOOKUP(B170,bond!B:D,3,FALSE)</f>
        <v>Ba3 / - / BB+</v>
      </c>
      <c r="F170" s="99" t="str">
        <f ca="1">VLOOKUP(B170,bond!B:AB,27,FALSE)</f>
        <v>2030/1/24</v>
      </c>
      <c r="G170" s="90">
        <f ca="1">VLOOKUP(B170,bond!B:E,4,FALSE)</f>
        <v>5.56</v>
      </c>
      <c r="H170" s="202">
        <f ca="1">VLOOKUP(B170,bond!B:Y,24,FALSE)</f>
        <v>4.8750000000000002E-2</v>
      </c>
      <c r="I170" s="95">
        <f ca="1">VLOOKUP(B170,bond!B:Z,25,FALSE)</f>
        <v>2</v>
      </c>
      <c r="J170" s="180">
        <f ca="1">VLOOKUP(B170,bond!B:K,10,FALSE)</f>
        <v>2.1396000000000002</v>
      </c>
      <c r="K170" s="96">
        <f ca="1">VLOOKUP($B170,bond!B:S,14,FALSE)</f>
        <v>96.29</v>
      </c>
      <c r="L170" s="91" t="str">
        <f ca="1">VLOOKUP(B170,bond!B:H,7,FALSE)</f>
        <v>2024/7/2</v>
      </c>
      <c r="M170" s="144">
        <f ca="1">VLOOKUP($B170,bond!$B:$Q,16,FALSE)</f>
        <v>6.13E-2</v>
      </c>
      <c r="N170" s="136">
        <f ca="1">VALUE(LEFT(VLOOKUP(B170,bond!B:R,17,FALSE),SEARCH(" ",VLOOKUP(B170,bond!B:R,17,FALSE),1)))</f>
        <v>200000</v>
      </c>
      <c r="O170" s="136">
        <f ca="1">VALUE(RIGHT(VLOOKUP(B170,bond!B:R,17,FALSE),LEN(VLOOKUP(B170,bond!B:R,17,FALSE))-LEN(N170)-3))</f>
        <v>1000</v>
      </c>
      <c r="P170" s="135" t="str">
        <f ca="1">VLOOKUP($B170,bond!$B:$AG,32,FALSE)</f>
        <v>2024/7/24</v>
      </c>
      <c r="Q170" s="135" t="str">
        <f ca="1">VLOOKUP($B170,bond!$B:$AH,33,FALSE)</f>
        <v>核心消費</v>
      </c>
      <c r="R170" s="135" t="str">
        <f ca="1">VLOOKUP(B170,bond!B:AA,26,FALSE)</f>
        <v>BRF SA</v>
      </c>
      <c r="S170" s="135" t="str">
        <f ca="1">VLOOKUP(B170,bond!B:AI,34,FALSE)</f>
        <v>BRFSBZ</v>
      </c>
      <c r="T170" s="135" t="str">
        <f t="shared" ca="1" si="14"/>
        <v>BRF SA/BRFSBZ</v>
      </c>
      <c r="U170" s="207" t="str">
        <f ca="1">IFERROR(VLOOKUP(T170,Bond_DES!D:E,2,FALSE),VLOOKUP(S170,bond!AI:AJ,2,FALSE))</f>
        <v>巴西食品公司(BRF SA)為食品加工業者，在巴西及海外地區建立品牌，例如：Sadia、Perdiago、Qualy、Chester、Perdix及Paty的投資組合。該公司提供肉類(家禽及豬肉)、肉類食品加工、披薩、義大利麵及冷凍蔬菜業務部門。BRF SA經營遍及歐洲、拉丁美洲、中東、非洲、歐亞及亞洲市場。</v>
      </c>
      <c r="V170" s="136" t="str">
        <f ca="1">IFERROR(VLOOKUP(B170,'1_重設數據'!L:M,2,FALSE),IF(Q170="政府",IF(AD170&gt;16,"(NPI)非專投",IF(AD170&gt;10,"(PI)專投","高資產")),IF(VLOOKUP(B170,bond!B:AN,39,FALSE)="Y","(PI)專投",IF(AD170&gt;=15,"(NPI)非專投",IF(AD170&gt;=10,"(PI)專投","高資產")))))</f>
        <v>(PI)專投</v>
      </c>
      <c r="W170" s="136" t="str">
        <f ca="1">VLOOKUP(AD170,'credit rating'!$F$2:$H$22,3,FALSE)</f>
        <v>BB+</v>
      </c>
      <c r="X170" s="136" t="str">
        <f t="shared" ca="1" si="15"/>
        <v>Ba3</v>
      </c>
      <c r="Y170" s="136" t="str">
        <f t="shared" ca="1" si="16"/>
        <v>-</v>
      </c>
      <c r="Z170" s="136" t="str">
        <f t="shared" ca="1" si="17"/>
        <v>BB+</v>
      </c>
      <c r="AA170" s="134">
        <f ca="1">IFERROR(VLOOKUP(X170,'credit rating'!A:C,3,FALSE),0)</f>
        <v>9</v>
      </c>
      <c r="AB170" s="134">
        <f ca="1">IFERROR(VLOOKUP(Y170,'credit rating'!B:C,2,FALSE),0)</f>
        <v>0</v>
      </c>
      <c r="AC170" s="136">
        <f ca="1">IFERROR(VLOOKUP(Z170,'credit rating'!B:C,2,FALSE),0)</f>
        <v>11</v>
      </c>
      <c r="AD170" s="136">
        <f t="shared" ca="1" si="18"/>
        <v>11</v>
      </c>
      <c r="AE170" s="249">
        <f ca="1">IFERROR(VLOOKUP(B170,bond!B:U,20,FALSE),"")</f>
        <v>6.1800000000000001E-2</v>
      </c>
      <c r="AF170" s="136" t="str">
        <f ca="1">IF(VLOOKUP(B170,bond!B:AK,36,FALSE)="#N/A Field Not Applicable","",VLOOKUP(B170,bond!B:AK,36,FALSE))</f>
        <v>2029/10/24</v>
      </c>
      <c r="AG170" s="136" t="str">
        <f ca="1">IF(VLOOKUP(B170,bond!B:AL,37,FALSE)="FIXED","固定",IF(VLOOKUP(B170,bond!B:AL,37,FALSE)="FLOATING","浮動",IF(VLOOKUP(B170,bond!B:AL,37,FALSE)="VARIABLE","變動",IF(VLOOKUP(B170,bond!B:AL,37,FALSE)="FLAT TRADING","不含息交易",IF(VLOOKUP(B170,bond!B:AL,37,FALSE)="ZERO COUPON","零息",VLOOKUP(B170,bond!B:AL,37,FALSE))))))</f>
        <v>固定</v>
      </c>
      <c r="AH170" s="136" t="str">
        <f>VLOOKUP(C170,'2_Check_code'!I:J,2,FALSE)</f>
        <v>美元(USD)</v>
      </c>
      <c r="AI170" s="136" t="str">
        <f t="shared" ca="1" si="19"/>
        <v>自由選清單</v>
      </c>
      <c r="AJ170" s="136">
        <f t="shared" ca="1" si="20"/>
        <v>0</v>
      </c>
      <c r="AK170" s="594" t="str">
        <f ca="1">IF(VLOOKUP(B170,bond!B:S,18,FALSE)="是","有",IF(VLOOKUP(B170,bond!B:S,18,FALSE)="NO OFFER","無","需查詢"))</f>
        <v>有</v>
      </c>
      <c r="AL170" s="136" t="str">
        <f>IF(VLOOKUP(A170,bond!F:AR,39,FALSE)="#N/A Field Not Applicable",VLOOKUP(A170,bond!F:AR,38,FALSE),IFERROR(VLOOKUP(A170,'7_發行日例外'!A:B,2,FALSE),VLOOKUP(A170,bond!F:AR,39,FALSE)))</f>
        <v>2019/9/24</v>
      </c>
      <c r="AM170" s="136" t="str">
        <f ca="1">VLOOKUP(B170,bond!B:AK,36,FALSE)</f>
        <v>2029/10/24</v>
      </c>
      <c r="AN170" s="136" t="str">
        <f ca="1">IFERROR(VLOOKUP(B170,'3_是否下架'!A:A,1,FALSE),"")</f>
        <v/>
      </c>
      <c r="AO170" s="136">
        <f ca="1">VLOOKUP(B170,bond!B:J,9,FALSE)</f>
        <v>92.65</v>
      </c>
      <c r="AP170" s="136">
        <f ca="1">VLOOKUP(B170,bond!B:V,21,FALSE)</f>
        <v>4.6497000000000002</v>
      </c>
    </row>
    <row r="171" spans="1:42">
      <c r="A171" s="141" t="str">
        <f>bond!F172</f>
        <v>XS2361253607</v>
      </c>
      <c r="B171" s="151" t="str">
        <f ca="1">IF($C$1=TRUE,bond!B172,"")</f>
        <v>XG560</v>
      </c>
      <c r="C171" s="95" t="str">
        <f>VLOOKUP(A171,bond!F:G,2,FALSE)</f>
        <v>USD</v>
      </c>
      <c r="D171" s="142" t="str">
        <f ca="1">VLOOKUP(B171,bond!B:C,2,FALSE)</f>
        <v>軟銀集團公司美元配息債券  5.25% 2031/7/6</v>
      </c>
      <c r="E171" s="95" t="str">
        <f ca="1">VLOOKUP(B171,bond!B:D,3,FALSE)</f>
        <v>- / BB+ / -</v>
      </c>
      <c r="F171" s="99" t="str">
        <f ca="1">VLOOKUP(B171,bond!B:AB,27,FALSE)</f>
        <v>2031/7/6</v>
      </c>
      <c r="G171" s="90">
        <f ca="1">VLOOKUP(B171,bond!B:E,4,FALSE)</f>
        <v>7.01</v>
      </c>
      <c r="H171" s="202">
        <f ca="1">VLOOKUP(B171,bond!B:Y,24,FALSE)</f>
        <v>5.2499999999999998E-2</v>
      </c>
      <c r="I171" s="95">
        <f ca="1">VLOOKUP(B171,bond!B:Z,25,FALSE)</f>
        <v>2</v>
      </c>
      <c r="J171" s="180">
        <f ca="1">VLOOKUP(B171,bond!B:K,10,FALSE)</f>
        <v>2.5813000000000001</v>
      </c>
      <c r="K171" s="96">
        <f ca="1">VLOOKUP($B171,bond!B:S,14,FALSE)</f>
        <v>97.3</v>
      </c>
      <c r="L171" s="91" t="str">
        <f ca="1">VLOOKUP(B171,bond!B:H,7,FALSE)</f>
        <v>2024/7/3</v>
      </c>
      <c r="M171" s="144">
        <f ca="1">VLOOKUP($B171,bond!$B:$Q,16,FALSE)</f>
        <v>6.1899999999999997E-2</v>
      </c>
      <c r="N171" s="136">
        <f ca="1">VALUE(LEFT(VLOOKUP(B171,bond!B:R,17,FALSE),SEARCH(" ",VLOOKUP(B171,bond!B:R,17,FALSE),1)))</f>
        <v>200000</v>
      </c>
      <c r="O171" s="136">
        <f ca="1">VALUE(RIGHT(VLOOKUP(B171,bond!B:R,17,FALSE),LEN(VLOOKUP(B171,bond!B:R,17,FALSE))-LEN(N171)-3))</f>
        <v>1000</v>
      </c>
      <c r="P171" s="135" t="str">
        <f ca="1">VLOOKUP($B171,bond!$B:$AG,32,FALSE)</f>
        <v>2024/7/6</v>
      </c>
      <c r="Q171" s="135" t="str">
        <f ca="1">VLOOKUP($B171,bond!$B:$AH,33,FALSE)</f>
        <v>通訊</v>
      </c>
      <c r="R171" s="135" t="str">
        <f ca="1">VLOOKUP(B171,bond!B:AA,26,FALSE)</f>
        <v>軟銀</v>
      </c>
      <c r="S171" s="135" t="str">
        <f ca="1">VLOOKUP(B171,bond!B:AI,34,FALSE)</f>
        <v>SOFTBK</v>
      </c>
      <c r="T171" s="135" t="str">
        <f t="shared" ca="1" si="14"/>
        <v>軟銀/SOFTBK</v>
      </c>
      <c r="U171" s="207" t="str">
        <f ca="1">IFERROR(VLOOKUP(T171,Bond_DES!D:E,2,FALSE),VLOOKUP(S171,bond!AI:AJ,2,FALSE))</f>
        <v>軟銀集團公司(SoftBank Group Corp.)是一家純控股公司，創辦人及執行長孫正義為其最大股東，欲透過軟銀願景基金(Vision Fund)加速AI革命。2023《Fortune》全球500大企業排名第295，旗下英國晶片設計公司安謀(Arm)為2023年全球最大IPO公司。</v>
      </c>
      <c r="V171" s="136" t="str">
        <f ca="1">IFERROR(VLOOKUP(B171,'1_重設數據'!L:M,2,FALSE),IF(Q171="政府",IF(AD171&gt;16,"(NPI)非專投",IF(AD171&gt;10,"(PI)專投","高資產")),IF(VLOOKUP(B171,bond!B:AN,39,FALSE)="Y","(PI)專投",IF(AD171&gt;=15,"(NPI)非專投",IF(AD171&gt;=10,"(PI)專投","高資產")))))</f>
        <v>(PI)專投</v>
      </c>
      <c r="W171" s="136" t="str">
        <f ca="1">VLOOKUP(AD171,'credit rating'!$F$2:$H$22,3,FALSE)</f>
        <v>BB+</v>
      </c>
      <c r="X171" s="136" t="str">
        <f t="shared" ca="1" si="15"/>
        <v>-</v>
      </c>
      <c r="Y171" s="136" t="str">
        <f t="shared" ca="1" si="16"/>
        <v>BB+</v>
      </c>
      <c r="Z171" s="136" t="str">
        <f t="shared" ca="1" si="17"/>
        <v>-</v>
      </c>
      <c r="AA171" s="134">
        <f ca="1">IFERROR(VLOOKUP(X171,'credit rating'!A:C,3,FALSE),0)</f>
        <v>0</v>
      </c>
      <c r="AB171" s="134">
        <f ca="1">IFERROR(VLOOKUP(Y171,'credit rating'!B:C,2,FALSE),0)</f>
        <v>11</v>
      </c>
      <c r="AC171" s="136">
        <f ca="1">IFERROR(VLOOKUP(Z171,'credit rating'!B:C,2,FALSE),0)</f>
        <v>0</v>
      </c>
      <c r="AD171" s="136">
        <f t="shared" ca="1" si="18"/>
        <v>11</v>
      </c>
      <c r="AE171" s="249">
        <f ca="1">IFERROR(VLOOKUP(B171,bond!B:U,20,FALSE),"")</f>
        <v>6.2199999999999998E-2</v>
      </c>
      <c r="AF171" s="136" t="str">
        <f ca="1">IF(VLOOKUP(B171,bond!B:AK,36,FALSE)="#N/A Field Not Applicable","",VLOOKUP(B171,bond!B:AK,36,FALSE))</f>
        <v>2031/4/7</v>
      </c>
      <c r="AG171" s="136" t="str">
        <f ca="1">IF(VLOOKUP(B171,bond!B:AL,37,FALSE)="FIXED","固定",IF(VLOOKUP(B171,bond!B:AL,37,FALSE)="FLOATING","浮動",IF(VLOOKUP(B171,bond!B:AL,37,FALSE)="VARIABLE","變動",IF(VLOOKUP(B171,bond!B:AL,37,FALSE)="FLAT TRADING","不含息交易",IF(VLOOKUP(B171,bond!B:AL,37,FALSE)="ZERO COUPON","零息",VLOOKUP(B171,bond!B:AL,37,FALSE))))))</f>
        <v>固定</v>
      </c>
      <c r="AH171" s="136" t="str">
        <f>VLOOKUP(C171,'2_Check_code'!I:J,2,FALSE)</f>
        <v>美元(USD)</v>
      </c>
      <c r="AI171" s="136" t="str">
        <f t="shared" ca="1" si="19"/>
        <v>自由選清單</v>
      </c>
      <c r="AJ171" s="136">
        <f t="shared" ca="1" si="20"/>
        <v>0</v>
      </c>
      <c r="AK171" s="594" t="str">
        <f ca="1">IF(VLOOKUP(B171,bond!B:S,18,FALSE)="是","有",IF(VLOOKUP(B171,bond!B:S,18,FALSE)="NO OFFER","無","需查詢"))</f>
        <v>有</v>
      </c>
      <c r="AL171" s="136" t="str">
        <f>IF(VLOOKUP(A171,bond!F:AR,39,FALSE)="#N/A Field Not Applicable",VLOOKUP(A171,bond!F:AR,38,FALSE),IFERROR(VLOOKUP(A171,'7_發行日例外'!A:B,2,FALSE),VLOOKUP(A171,bond!F:AR,39,FALSE)))</f>
        <v>2021/7/6</v>
      </c>
      <c r="AM171" s="136" t="str">
        <f ca="1">VLOOKUP(B171,bond!B:AK,36,FALSE)</f>
        <v>2031/4/7</v>
      </c>
      <c r="AN171" s="136" t="str">
        <f ca="1">IFERROR(VLOOKUP(B171,'3_是否下架'!A:A,1,FALSE),"")</f>
        <v/>
      </c>
      <c r="AO171" s="136">
        <f ca="1">VLOOKUP(B171,bond!B:J,9,FALSE)</f>
        <v>92.22</v>
      </c>
      <c r="AP171" s="136">
        <f ca="1">VLOOKUP(B171,bond!B:V,21,FALSE)</f>
        <v>5.5636999999999999</v>
      </c>
    </row>
    <row r="172" spans="1:42">
      <c r="A172" s="141" t="str">
        <f>bond!F173</f>
        <v>US189754AC88</v>
      </c>
      <c r="B172" s="151" t="str">
        <f ca="1">IF($C$1=TRUE,bond!B173,"")</f>
        <v>XG570</v>
      </c>
      <c r="C172" s="95" t="str">
        <f>VLOOKUP(A172,bond!F:G,2,FALSE)</f>
        <v>USD</v>
      </c>
      <c r="D172" s="142" t="str">
        <f ca="1">VLOOKUP(B172,bond!B:C,2,FALSE)</f>
        <v>Tapestry公司美元配息債券 4.125% 2027/7/15</v>
      </c>
      <c r="E172" s="95" t="str">
        <f ca="1">VLOOKUP(B172,bond!B:D,3,FALSE)</f>
        <v>Baa2 *- / BBB / WD</v>
      </c>
      <c r="F172" s="99" t="str">
        <f ca="1">VLOOKUP(B172,bond!B:AB,27,FALSE)</f>
        <v>2027/7/15</v>
      </c>
      <c r="G172" s="90">
        <f ca="1">VLOOKUP(B172,bond!B:E,4,FALSE)</f>
        <v>3.03</v>
      </c>
      <c r="H172" s="202">
        <f ca="1">VLOOKUP(B172,bond!B:Y,24,FALSE)</f>
        <v>4.1250000000000002E-2</v>
      </c>
      <c r="I172" s="95">
        <f ca="1">VLOOKUP(B172,bond!B:Z,25,FALSE)</f>
        <v>2</v>
      </c>
      <c r="J172" s="180">
        <f ca="1">VLOOKUP(B172,bond!B:K,10,FALSE)</f>
        <v>1.9135</v>
      </c>
      <c r="K172" s="96">
        <f ca="1">VLOOKUP($B172,bond!B:S,14,FALSE)</f>
        <v>99.48</v>
      </c>
      <c r="L172" s="91" t="str">
        <f ca="1">VLOOKUP(B172,bond!B:H,7,FALSE)</f>
        <v>2024/7/2</v>
      </c>
      <c r="M172" s="144">
        <f ca="1">VLOOKUP($B172,bond!$B:$Q,16,FALSE)</f>
        <v>0.05</v>
      </c>
      <c r="N172" s="136">
        <f ca="1">VALUE(LEFT(VLOOKUP(B172,bond!B:R,17,FALSE),SEARCH(" ",VLOOKUP(B172,bond!B:R,17,FALSE),1)))</f>
        <v>10000</v>
      </c>
      <c r="O172" s="136">
        <f ca="1">VALUE(RIGHT(VLOOKUP(B172,bond!B:R,17,FALSE),LEN(VLOOKUP(B172,bond!B:R,17,FALSE))-LEN(N172)-3))</f>
        <v>1000</v>
      </c>
      <c r="P172" s="135" t="str">
        <f ca="1">VLOOKUP($B172,bond!$B:$AG,32,FALSE)</f>
        <v>2024/7/15</v>
      </c>
      <c r="Q172" s="135" t="str">
        <f ca="1">VLOOKUP($B172,bond!$B:$AH,33,FALSE)</f>
        <v>非核心消費</v>
      </c>
      <c r="R172" s="135" t="str">
        <f ca="1">VLOOKUP(B172,bond!B:AA,26,FALSE)</f>
        <v>掛毯公司</v>
      </c>
      <c r="S172" s="135" t="str">
        <f ca="1">VLOOKUP(B172,bond!B:AI,34,FALSE)</f>
        <v>TPR</v>
      </c>
      <c r="T172" s="135" t="str">
        <f t="shared" ca="1" si="14"/>
        <v>掛毯公司/TPR</v>
      </c>
      <c r="U172" s="207" t="str">
        <f ca="1">IFERROR(VLOOKUP(T172,Bond_DES!D:E,2,FALSE),VLOOKUP(S172,bond!AI:AJ,2,FALSE))</f>
        <v>掛毯公司(Tapestry, Inc.)成立於1941年，總部位於紐約，在全球設計及行銷服飾及配件。旗下擁有一系列具領導地位的高級時裝品牌，如Coach、Kate Spade New York及Stuart Weitzman，商品包含背包、女性手袋、配飾、皮件、香水及太陽眼鏡等，並透過電子商務平台、專櫃或第三方經銷商銷售。</v>
      </c>
      <c r="V172" s="136" t="str">
        <f ca="1">IFERROR(VLOOKUP(B172,'1_重設數據'!L:M,2,FALSE),IF(Q172="政府",IF(AD172&gt;16,"(NPI)非專投",IF(AD172&gt;10,"(PI)專投","高資產")),IF(VLOOKUP(B172,bond!B:AN,39,FALSE)="Y","(PI)專投",IF(AD172&gt;=15,"(NPI)非專投",IF(AD172&gt;=10,"(PI)專投","高資產")))))</f>
        <v>(PI)專投</v>
      </c>
      <c r="W172" s="136" t="str">
        <f ca="1">VLOOKUP(AD172,'credit rating'!$F$2:$H$22,3,FALSE)</f>
        <v>BBB</v>
      </c>
      <c r="X172" s="136" t="str">
        <f t="shared" ca="1" si="15"/>
        <v>Baa2 *-</v>
      </c>
      <c r="Y172" s="136" t="str">
        <f t="shared" ca="1" si="16"/>
        <v>BBB</v>
      </c>
      <c r="Z172" s="136" t="str">
        <f t="shared" ca="1" si="17"/>
        <v>WD</v>
      </c>
      <c r="AA172" s="134">
        <f ca="1">IFERROR(VLOOKUP(X172,'credit rating'!A:C,3,FALSE),0)</f>
        <v>13</v>
      </c>
      <c r="AB172" s="134">
        <f ca="1">IFERROR(VLOOKUP(Y172,'credit rating'!B:C,2,FALSE),0)</f>
        <v>13</v>
      </c>
      <c r="AC172" s="136">
        <f ca="1">IFERROR(VLOOKUP(Z172,'credit rating'!B:C,2,FALSE),0)</f>
        <v>0</v>
      </c>
      <c r="AD172" s="136">
        <f t="shared" ca="1" si="18"/>
        <v>13</v>
      </c>
      <c r="AE172" s="249">
        <f ca="1">IFERROR(VLOOKUP(B172,bond!B:U,20,FALSE),"")</f>
        <v>5.0700000000000002E-2</v>
      </c>
      <c r="AF172" s="136" t="str">
        <f ca="1">IF(VLOOKUP(B172,bond!B:AK,36,FALSE)="#N/A Field Not Applicable","",VLOOKUP(B172,bond!B:AK,36,FALSE))</f>
        <v>2027/4/15</v>
      </c>
      <c r="AG172" s="136" t="str">
        <f ca="1">IF(VLOOKUP(B172,bond!B:AL,37,FALSE)="FIXED","固定",IF(VLOOKUP(B172,bond!B:AL,37,FALSE)="FLOATING","浮動",IF(VLOOKUP(B172,bond!B:AL,37,FALSE)="VARIABLE","變動",IF(VLOOKUP(B172,bond!B:AL,37,FALSE)="FLAT TRADING","不含息交易",IF(VLOOKUP(B172,bond!B:AL,37,FALSE)="ZERO COUPON","零息",VLOOKUP(B172,bond!B:AL,37,FALSE))))))</f>
        <v>固定</v>
      </c>
      <c r="AH172" s="136" t="str">
        <f>VLOOKUP(C172,'2_Check_code'!I:J,2,FALSE)</f>
        <v>美元(USD)</v>
      </c>
      <c r="AI172" s="136" t="str">
        <f t="shared" ca="1" si="19"/>
        <v>自由選清單</v>
      </c>
      <c r="AJ172" s="136">
        <f t="shared" ca="1" si="20"/>
        <v>0</v>
      </c>
      <c r="AK172" s="594" t="str">
        <f ca="1">IF(VLOOKUP(B172,bond!B:S,18,FALSE)="是","有",IF(VLOOKUP(B172,bond!B:S,18,FALSE)="NO OFFER","無","需查詢"))</f>
        <v>有</v>
      </c>
      <c r="AL172" s="136" t="str">
        <f>IF(VLOOKUP(A172,bond!F:AR,39,FALSE)="#N/A Field Not Applicable",VLOOKUP(A172,bond!F:AR,38,FALSE),IFERROR(VLOOKUP(A172,'7_發行日例外'!A:B,2,FALSE),VLOOKUP(A172,bond!F:AR,39,FALSE)))</f>
        <v>2017/6/20</v>
      </c>
      <c r="AM172" s="136" t="str">
        <f ca="1">VLOOKUP(B172,bond!B:AK,36,FALSE)</f>
        <v>2027/4/15</v>
      </c>
      <c r="AN172" s="136" t="str">
        <f ca="1">IFERROR(VLOOKUP(B172,'3_是否下架'!A:A,1,FALSE),"")</f>
        <v/>
      </c>
      <c r="AO172" s="136">
        <f ca="1">VLOOKUP(B172,bond!B:J,9,FALSE)</f>
        <v>96.37</v>
      </c>
      <c r="AP172" s="136">
        <f ca="1">VLOOKUP(B172,bond!B:V,21,FALSE)</f>
        <v>2.7524000000000002</v>
      </c>
    </row>
    <row r="173" spans="1:42">
      <c r="A173" s="141" t="str">
        <f>bond!F174</f>
        <v>US345397B694</v>
      </c>
      <c r="B173" s="151" t="str">
        <f ca="1">IF($C$1=TRUE,bond!B174,"")</f>
        <v>XG580</v>
      </c>
      <c r="C173" s="95" t="str">
        <f>VLOOKUP(A173,bond!F:G,2,FALSE)</f>
        <v>USD</v>
      </c>
      <c r="D173" s="142" t="str">
        <f ca="1">VLOOKUP(B173,bond!B:C,2,FALSE)</f>
        <v>福特汽車信用有限責任公司美元配息債券  3.625% 2031/6/17</v>
      </c>
      <c r="E173" s="95" t="str">
        <f ca="1">VLOOKUP(B173,bond!B:D,3,FALSE)</f>
        <v>Ba1 / BBB- / BBB-</v>
      </c>
      <c r="F173" s="99" t="str">
        <f ca="1">VLOOKUP(B173,bond!B:AB,27,FALSE)</f>
        <v>2031/6/17</v>
      </c>
      <c r="G173" s="90">
        <f ca="1">VLOOKUP(B173,bond!B:E,4,FALSE)</f>
        <v>6.96</v>
      </c>
      <c r="H173" s="202">
        <f ca="1">VLOOKUP(B173,bond!B:Y,24,FALSE)</f>
        <v>3.6249999999999998E-2</v>
      </c>
      <c r="I173" s="95">
        <f ca="1">VLOOKUP(B173,bond!B:Z,25,FALSE)</f>
        <v>2</v>
      </c>
      <c r="J173" s="180">
        <f ca="1">VLOOKUP(B173,bond!B:K,10,FALSE)</f>
        <v>0.151</v>
      </c>
      <c r="K173" s="96">
        <f ca="1">VLOOKUP($B173,bond!B:S,14,FALSE)</f>
        <v>89.42</v>
      </c>
      <c r="L173" s="91" t="str">
        <f ca="1">VLOOKUP(B173,bond!B:H,7,FALSE)</f>
        <v>2024/7/2</v>
      </c>
      <c r="M173" s="144">
        <f ca="1">VLOOKUP($B173,bond!$B:$Q,16,FALSE)</f>
        <v>5.5E-2</v>
      </c>
      <c r="N173" s="136">
        <f ca="1">VALUE(LEFT(VLOOKUP(B173,bond!B:R,17,FALSE),SEARCH(" ",VLOOKUP(B173,bond!B:R,17,FALSE),1)))</f>
        <v>200000</v>
      </c>
      <c r="O173" s="136">
        <f ca="1">VALUE(RIGHT(VLOOKUP(B173,bond!B:R,17,FALSE),LEN(VLOOKUP(B173,bond!B:R,17,FALSE))-LEN(N173)-3))</f>
        <v>1000</v>
      </c>
      <c r="P173" s="135" t="str">
        <f ca="1">VLOOKUP($B173,bond!$B:$AG,32,FALSE)</f>
        <v>2024/12/17</v>
      </c>
      <c r="Q173" s="135" t="str">
        <f ca="1">VLOOKUP($B173,bond!$B:$AH,33,FALSE)</f>
        <v>非核心消費</v>
      </c>
      <c r="R173" s="135" t="str">
        <f ca="1">VLOOKUP(B173,bond!B:AA,26,FALSE)</f>
        <v>福特汽車信用有限責任公司</v>
      </c>
      <c r="S173" s="135" t="str">
        <f ca="1">VLOOKUP(B173,bond!B:AI,34,FALSE)</f>
        <v>F</v>
      </c>
      <c r="T173" s="135" t="str">
        <f t="shared" ca="1" si="14"/>
        <v>福特汽車信用有限責任公司/F</v>
      </c>
      <c r="U173" s="207" t="str">
        <f ca="1">IFERROR(VLOOKUP(T173,Bond_DES!D:E,2,FALSE),VLOOKUP(S173,bond!AI:AJ,2,FALSE))</f>
        <v>福特汽車信用有限責任公司(Ford Motor Credit Company LLC)是福特汽車公司的間接全資子公司，提供零售分期付款、租賃合約及直接融資等汽車金融服務，主要業務乃為Ford及Lincoln品牌車提供融資，並為汽車經銷商提供融資支持。其母公司福特汽車公司按營收為全球第4大、美國第1大車廠(Fortune 2024)。</v>
      </c>
      <c r="V173" s="136" t="str">
        <f ca="1">IFERROR(VLOOKUP(B173,'1_重設數據'!L:M,2,FALSE),IF(Q173="政府",IF(AD173&gt;16,"(NPI)非專投",IF(AD173&gt;10,"(PI)專投","高資產")),IF(VLOOKUP(B173,bond!B:AN,39,FALSE)="Y","(PI)專投",IF(AD173&gt;=15,"(NPI)非專投",IF(AD173&gt;=10,"(PI)專投","高資產")))))</f>
        <v>(PI)專投</v>
      </c>
      <c r="W173" s="136" t="str">
        <f ca="1">VLOOKUP(AD173,'credit rating'!$F$2:$H$22,3,FALSE)</f>
        <v>BBB-</v>
      </c>
      <c r="X173" s="136" t="str">
        <f t="shared" ca="1" si="15"/>
        <v>Ba1</v>
      </c>
      <c r="Y173" s="136" t="str">
        <f t="shared" ca="1" si="16"/>
        <v>BBB-</v>
      </c>
      <c r="Z173" s="136" t="str">
        <f t="shared" ca="1" si="17"/>
        <v>BBB-</v>
      </c>
      <c r="AA173" s="134">
        <f ca="1">IFERROR(VLOOKUP(X173,'credit rating'!A:C,3,FALSE),0)</f>
        <v>11</v>
      </c>
      <c r="AB173" s="134">
        <f ca="1">IFERROR(VLOOKUP(Y173,'credit rating'!B:C,2,FALSE),0)</f>
        <v>12</v>
      </c>
      <c r="AC173" s="136">
        <f ca="1">IFERROR(VLOOKUP(Z173,'credit rating'!B:C,2,FALSE),0)</f>
        <v>12</v>
      </c>
      <c r="AD173" s="136">
        <f t="shared" ca="1" si="18"/>
        <v>12</v>
      </c>
      <c r="AE173" s="249">
        <f ca="1">IFERROR(VLOOKUP(B173,bond!B:U,20,FALSE),"")</f>
        <v>5.5599999999999997E-2</v>
      </c>
      <c r="AF173" s="136" t="str">
        <f ca="1">IF(VLOOKUP(B173,bond!B:AK,36,FALSE)="#N/A Field Not Applicable","",VLOOKUP(B173,bond!B:AK,36,FALSE))</f>
        <v>2031/3/17</v>
      </c>
      <c r="AG173" s="136" t="str">
        <f ca="1">IF(VLOOKUP(B173,bond!B:AL,37,FALSE)="FIXED","固定",IF(VLOOKUP(B173,bond!B:AL,37,FALSE)="FLOATING","浮動",IF(VLOOKUP(B173,bond!B:AL,37,FALSE)="VARIABLE","變動",IF(VLOOKUP(B173,bond!B:AL,37,FALSE)="FLAT TRADING","不含息交易",IF(VLOOKUP(B173,bond!B:AL,37,FALSE)="ZERO COUPON","零息",VLOOKUP(B173,bond!B:AL,37,FALSE))))))</f>
        <v>固定</v>
      </c>
      <c r="AH173" s="136" t="str">
        <f>VLOOKUP(C173,'2_Check_code'!I:J,2,FALSE)</f>
        <v>美元(USD)</v>
      </c>
      <c r="AI173" s="136" t="str">
        <f t="shared" ca="1" si="19"/>
        <v>自由選清單</v>
      </c>
      <c r="AJ173" s="136">
        <f t="shared" ca="1" si="20"/>
        <v>0</v>
      </c>
      <c r="AK173" s="594" t="str">
        <f ca="1">IF(VLOOKUP(B173,bond!B:S,18,FALSE)="是","有",IF(VLOOKUP(B173,bond!B:S,18,FALSE)="NO OFFER","無","需查詢"))</f>
        <v>有</v>
      </c>
      <c r="AL173" s="136" t="str">
        <f>IF(VLOOKUP(A173,bond!F:AR,39,FALSE)="#N/A Field Not Applicable",VLOOKUP(A173,bond!F:AR,38,FALSE),IFERROR(VLOOKUP(A173,'7_發行日例外'!A:B,2,FALSE),VLOOKUP(A173,bond!F:AR,39,FALSE)))</f>
        <v>2021/6/25</v>
      </c>
      <c r="AM173" s="136" t="str">
        <f ca="1">VLOOKUP(B173,bond!B:AK,36,FALSE)</f>
        <v>2031/3/17</v>
      </c>
      <c r="AN173" s="136" t="str">
        <f ca="1">IFERROR(VLOOKUP(B173,'3_是否下架'!A:A,1,FALSE),"")</f>
        <v/>
      </c>
      <c r="AO173" s="136">
        <f ca="1">VLOOKUP(B173,bond!B:J,9,FALSE)</f>
        <v>86.77000000000001</v>
      </c>
      <c r="AP173" s="136">
        <f ca="1">VLOOKUP(B173,bond!B:V,21,FALSE)</f>
        <v>5.9612999999999996</v>
      </c>
    </row>
    <row r="174" spans="1:42">
      <c r="A174" s="141" t="str">
        <f>bond!F175</f>
        <v>US105756BW95</v>
      </c>
      <c r="B174" s="151" t="str">
        <f ca="1">IF($C$1=TRUE,bond!B175,"")</f>
        <v>XG590</v>
      </c>
      <c r="C174" s="95" t="str">
        <f>VLOOKUP(A174,bond!F:G,2,FALSE)</f>
        <v>USD</v>
      </c>
      <c r="D174" s="142" t="str">
        <f ca="1">VLOOKUP(B174,bond!B:C,2,FALSE)</f>
        <v>巴西政府公債美元配息債券 5% 2045/1/27</v>
      </c>
      <c r="E174" s="95" t="str">
        <f ca="1">VLOOKUP(B174,bond!B:D,3,FALSE)</f>
        <v>Ba2 / BB / BB</v>
      </c>
      <c r="F174" s="99" t="str">
        <f ca="1">VLOOKUP(B174,bond!B:AB,27,FALSE)</f>
        <v>2045/1/27</v>
      </c>
      <c r="G174" s="90">
        <f ca="1">VLOOKUP(B174,bond!B:E,4,FALSE)</f>
        <v>20.57</v>
      </c>
      <c r="H174" s="202">
        <f ca="1">VLOOKUP(B174,bond!B:Y,24,FALSE)</f>
        <v>0.05</v>
      </c>
      <c r="I174" s="95">
        <f ca="1">VLOOKUP(B174,bond!B:Z,25,FALSE)</f>
        <v>2</v>
      </c>
      <c r="J174" s="180">
        <f ca="1">VLOOKUP(B174,bond!B:K,10,FALSE)</f>
        <v>2.1528</v>
      </c>
      <c r="K174" s="96">
        <f ca="1">VLOOKUP($B174,bond!B:S,14,FALSE)</f>
        <v>83.27</v>
      </c>
      <c r="L174" s="91" t="str">
        <f ca="1">VLOOKUP(B174,bond!B:H,7,FALSE)</f>
        <v>2024/7/2</v>
      </c>
      <c r="M174" s="144">
        <f ca="1">VLOOKUP($B174,bond!$B:$Q,16,FALSE)</f>
        <v>6.7000000000000004E-2</v>
      </c>
      <c r="N174" s="136">
        <f ca="1">VALUE(LEFT(VLOOKUP(B174,bond!B:R,17,FALSE),SEARCH(" ",VLOOKUP(B174,bond!B:R,17,FALSE),1)))</f>
        <v>200000</v>
      </c>
      <c r="O174" s="136">
        <f ca="1">VALUE(RIGHT(VLOOKUP(B174,bond!B:R,17,FALSE),LEN(VLOOKUP(B174,bond!B:R,17,FALSE))-LEN(N174)-3))</f>
        <v>1000</v>
      </c>
      <c r="P174" s="135" t="str">
        <f ca="1">VLOOKUP($B174,bond!$B:$AG,32,FALSE)</f>
        <v>2024/7/27</v>
      </c>
      <c r="Q174" s="135" t="str">
        <f ca="1">VLOOKUP($B174,bond!$B:$AH,33,FALSE)</f>
        <v>政府</v>
      </c>
      <c r="R174" s="135" t="str">
        <f ca="1">VLOOKUP(B174,bond!B:AA,26,FALSE)</f>
        <v>巴西政府國際公債</v>
      </c>
      <c r="S174" s="135" t="str">
        <f ca="1">VLOOKUP(B174,bond!B:AI,34,FALSE)</f>
        <v>BRAZIL</v>
      </c>
      <c r="T174" s="135" t="str">
        <f t="shared" ca="1" si="14"/>
        <v>巴西政府國際公債/BRAZIL</v>
      </c>
      <c r="U174" s="207" t="str">
        <f ca="1">IFERROR(VLOOKUP(T174,Bond_DES!D:E,2,FALSE),VLOOKUP(S174,bond!AI:AJ,2,FALSE))</f>
        <v>巴西(Brazil)位於南美洲東部，是拉丁美洲地區面積最大、人口最多國家，亦是南美洲最大經濟體，名目GDP達2.27兆美元(2023 IMF)。巴西境內石油、鐵礦、森林等自然資源豐富，農牧業得益於可耕地面積和氣候特點，為全球農產品出口大國及糧食重要供應來源，並是世界第二大鐵礦砂生產國及儲量國。</v>
      </c>
      <c r="V174" s="136" t="str">
        <f ca="1">IFERROR(VLOOKUP(B174,'1_重設數據'!L:M,2,FALSE),IF(Q174="政府",IF(AD174&gt;16,"(NPI)非專投",IF(AD174&gt;10,"(PI)專投","高資產")),IF(VLOOKUP(B174,bond!B:AN,39,FALSE)="Y","(PI)專投",IF(AD174&gt;=15,"(NPI)非專投",IF(AD174&gt;=10,"(PI)專投","高資產")))))</f>
        <v>高資產</v>
      </c>
      <c r="W174" s="136" t="str">
        <f ca="1">VLOOKUP(AD174,'credit rating'!$F$2:$H$22,3,FALSE)</f>
        <v>BB</v>
      </c>
      <c r="X174" s="136" t="str">
        <f t="shared" ca="1" si="15"/>
        <v>Ba2</v>
      </c>
      <c r="Y174" s="136" t="str">
        <f t="shared" ca="1" si="16"/>
        <v>BB</v>
      </c>
      <c r="Z174" s="136" t="str">
        <f t="shared" ca="1" si="17"/>
        <v>BB</v>
      </c>
      <c r="AA174" s="134">
        <f ca="1">IFERROR(VLOOKUP(X174,'credit rating'!A:C,3,FALSE),0)</f>
        <v>10</v>
      </c>
      <c r="AB174" s="134">
        <f ca="1">IFERROR(VLOOKUP(Y174,'credit rating'!B:C,2,FALSE),0)</f>
        <v>10</v>
      </c>
      <c r="AC174" s="136">
        <f ca="1">IFERROR(VLOOKUP(Z174,'credit rating'!B:C,2,FALSE),0)</f>
        <v>10</v>
      </c>
      <c r="AD174" s="136">
        <f t="shared" ca="1" si="18"/>
        <v>10</v>
      </c>
      <c r="AE174" s="249" t="str">
        <f ca="1">IFERROR(VLOOKUP(B174,bond!B:U,20,FALSE),"")</f>
        <v xml:space="preserve"> </v>
      </c>
      <c r="AF174" s="136" t="str">
        <f ca="1">IF(VLOOKUP(B174,bond!B:AK,36,FALSE)="#N/A Field Not Applicable","",VLOOKUP(B174,bond!B:AK,36,FALSE))</f>
        <v/>
      </c>
      <c r="AG174" s="136" t="str">
        <f ca="1">IF(VLOOKUP(B174,bond!B:AL,37,FALSE)="FIXED","固定",IF(VLOOKUP(B174,bond!B:AL,37,FALSE)="FLOATING","浮動",IF(VLOOKUP(B174,bond!B:AL,37,FALSE)="VARIABLE","變動",IF(VLOOKUP(B174,bond!B:AL,37,FALSE)="FLAT TRADING","不含息交易",IF(VLOOKUP(B174,bond!B:AL,37,FALSE)="ZERO COUPON","零息",VLOOKUP(B174,bond!B:AL,37,FALSE))))))</f>
        <v>固定</v>
      </c>
      <c r="AH174" s="136" t="str">
        <f>VLOOKUP(C174,'2_Check_code'!I:J,2,FALSE)</f>
        <v>美元(USD)</v>
      </c>
      <c r="AI174" s="136" t="str">
        <f t="shared" ca="1" si="19"/>
        <v>自由選清單</v>
      </c>
      <c r="AJ174" s="136">
        <f t="shared" ca="1" si="20"/>
        <v>0</v>
      </c>
      <c r="AK174" s="594" t="str">
        <f ca="1">IF(VLOOKUP(B174,bond!B:S,18,FALSE)="是","有",IF(VLOOKUP(B174,bond!B:S,18,FALSE)="NO OFFER","無","需查詢"))</f>
        <v>有</v>
      </c>
      <c r="AL174" s="136" t="str">
        <f>IF(VLOOKUP(A174,bond!F:AR,39,FALSE)="#N/A Field Not Applicable",VLOOKUP(A174,bond!F:AR,38,FALSE),IFERROR(VLOOKUP(A174,'7_發行日例外'!A:B,2,FALSE),VLOOKUP(A174,bond!F:AR,39,FALSE)))</f>
        <v>2014/8/1</v>
      </c>
      <c r="AM174" s="136" t="str">
        <f ca="1">VLOOKUP(B174,bond!B:AK,36,FALSE)</f>
        <v>#N/A Field Not Applicable</v>
      </c>
      <c r="AN174" s="136" t="str">
        <f ca="1">IFERROR(VLOOKUP(B174,'3_是否下架'!A:A,1,FALSE),"")</f>
        <v/>
      </c>
      <c r="AO174" s="136">
        <f ca="1">VLOOKUP(B174,bond!B:J,9,FALSE)</f>
        <v>78.12</v>
      </c>
      <c r="AP174" s="136">
        <f ca="1">VLOOKUP(B174,bond!B:V,21,FALSE)</f>
        <v>11.356199999999999</v>
      </c>
    </row>
    <row r="175" spans="1:42">
      <c r="A175" s="141" t="str">
        <f>bond!F176</f>
        <v>US900123DC14</v>
      </c>
      <c r="B175" s="151" t="str">
        <f ca="1">IF($C$1=TRUE,bond!B176,"")</f>
        <v>XG600</v>
      </c>
      <c r="C175" s="95" t="str">
        <f>VLOOKUP(A175,bond!F:G,2,FALSE)</f>
        <v>USD</v>
      </c>
      <c r="D175" s="142" t="str">
        <f ca="1">VLOOKUP(B175,bond!B:C,2,FALSE)</f>
        <v>土耳其政府國際債券美元配息債券 5.875% 2031/6/26</v>
      </c>
      <c r="E175" s="95" t="str">
        <f ca="1">VLOOKUP(B175,bond!B:D,3,FALSE)</f>
        <v>B3 / - / B+</v>
      </c>
      <c r="F175" s="99" t="str">
        <f ca="1">VLOOKUP(B175,bond!B:AB,27,FALSE)</f>
        <v>2031/6/26</v>
      </c>
      <c r="G175" s="90">
        <f ca="1">VLOOKUP(B175,bond!B:E,4,FALSE)</f>
        <v>6.98</v>
      </c>
      <c r="H175" s="202">
        <f ca="1">VLOOKUP(B175,bond!B:Y,24,FALSE)</f>
        <v>5.8749999999999997E-2</v>
      </c>
      <c r="I175" s="95">
        <f ca="1">VLOOKUP(B175,bond!B:Z,25,FALSE)</f>
        <v>2</v>
      </c>
      <c r="J175" s="180">
        <f ca="1">VLOOKUP(B175,bond!B:K,10,FALSE)</f>
        <v>9.7900000000000001E-2</v>
      </c>
      <c r="K175" s="96">
        <f ca="1">VLOOKUP($B175,bond!B:S,14,FALSE)</f>
        <v>95.67</v>
      </c>
      <c r="L175" s="91" t="str">
        <f ca="1">VLOOKUP(B175,bond!B:H,7,FALSE)</f>
        <v>2024/7/2</v>
      </c>
      <c r="M175" s="144">
        <f ca="1">VLOOKUP($B175,bond!$B:$Q,16,FALSE)</f>
        <v>6.6799999999999998E-2</v>
      </c>
      <c r="N175" s="136">
        <f ca="1">VALUE(LEFT(VLOOKUP(B175,bond!B:R,17,FALSE),SEARCH(" ",VLOOKUP(B175,bond!B:R,17,FALSE),1)))</f>
        <v>200000</v>
      </c>
      <c r="O175" s="136">
        <f ca="1">VALUE(RIGHT(VLOOKUP(B175,bond!B:R,17,FALSE),LEN(VLOOKUP(B175,bond!B:R,17,FALSE))-LEN(N175)-3))</f>
        <v>1000</v>
      </c>
      <c r="P175" s="135" t="str">
        <f ca="1">VLOOKUP($B175,bond!$B:$AG,32,FALSE)</f>
        <v>2024/12/26</v>
      </c>
      <c r="Q175" s="135" t="str">
        <f ca="1">VLOOKUP($B175,bond!$B:$AH,33,FALSE)</f>
        <v>政府</v>
      </c>
      <c r="R175" s="135" t="str">
        <f ca="1">VLOOKUP(B175,bond!B:AA,26,FALSE)</f>
        <v>土耳其政府國際債券</v>
      </c>
      <c r="S175" s="135" t="str">
        <f ca="1">VLOOKUP(B175,bond!B:AI,34,FALSE)</f>
        <v>TURKEY</v>
      </c>
      <c r="T175" s="135" t="str">
        <f t="shared" ca="1" si="14"/>
        <v>土耳其政府國際債券/TURKEY</v>
      </c>
      <c r="U175" s="207" t="str">
        <f ca="1">IFERROR(VLOOKUP(T175,Bond_DES!D:E,2,FALSE),VLOOKUP(S175,bond!AI:AJ,2,FALSE))</f>
        <v>土耳其共和國(Republic of Turkey)橫跨歐亞兩洲，名列世界第17大經濟體(IMF 2023)，同時亦為OECD創始會員國、G20成員國及歐盟關稅同盟國。自然資源豐富，硼礦藏量世界第一；經濟發展迅速，且被認為是中東地區最強的軍事力量，全球軍力排名第11位(Global Firepower 2023)。</v>
      </c>
      <c r="V175" s="136" t="str">
        <f ca="1">IFERROR(VLOOKUP(B175,'1_重設數據'!L:M,2,FALSE),IF(Q175="政府",IF(AD175&gt;16,"(NPI)非專投",IF(AD175&gt;10,"(PI)專投","高資產")),IF(VLOOKUP(B175,bond!B:AN,39,FALSE)="Y","(PI)專投",IF(AD175&gt;=15,"(NPI)非專投",IF(AD175&gt;=10,"(PI)專投","高資產")))))</f>
        <v>高資產</v>
      </c>
      <c r="W175" s="136" t="str">
        <f ca="1">VLOOKUP(AD175,'credit rating'!$F$2:$H$22,3,FALSE)</f>
        <v>B+</v>
      </c>
      <c r="X175" s="136" t="str">
        <f t="shared" ca="1" si="15"/>
        <v>B3</v>
      </c>
      <c r="Y175" s="136" t="str">
        <f t="shared" ca="1" si="16"/>
        <v>-</v>
      </c>
      <c r="Z175" s="136" t="str">
        <f t="shared" ca="1" si="17"/>
        <v>B+</v>
      </c>
      <c r="AA175" s="134">
        <f ca="1">IFERROR(VLOOKUP(X175,'credit rating'!A:C,3,FALSE),0)</f>
        <v>6</v>
      </c>
      <c r="AB175" s="134">
        <f ca="1">IFERROR(VLOOKUP(Y175,'credit rating'!B:C,2,FALSE),0)</f>
        <v>0</v>
      </c>
      <c r="AC175" s="136">
        <f ca="1">IFERROR(VLOOKUP(Z175,'credit rating'!B:C,2,FALSE),0)</f>
        <v>8</v>
      </c>
      <c r="AD175" s="136">
        <f t="shared" ca="1" si="18"/>
        <v>8</v>
      </c>
      <c r="AE175" s="249" t="str">
        <f ca="1">IFERROR(VLOOKUP(B175,bond!B:U,20,FALSE),"")</f>
        <v xml:space="preserve"> </v>
      </c>
      <c r="AF175" s="136" t="str">
        <f ca="1">IF(VLOOKUP(B175,bond!B:AK,36,FALSE)="#N/A Field Not Applicable","",VLOOKUP(B175,bond!B:AK,36,FALSE))</f>
        <v/>
      </c>
      <c r="AG175" s="136" t="str">
        <f ca="1">IF(VLOOKUP(B175,bond!B:AL,37,FALSE)="FIXED","固定",IF(VLOOKUP(B175,bond!B:AL,37,FALSE)="FLOATING","浮動",IF(VLOOKUP(B175,bond!B:AL,37,FALSE)="VARIABLE","變動",IF(VLOOKUP(B175,bond!B:AL,37,FALSE)="FLAT TRADING","不含息交易",IF(VLOOKUP(B175,bond!B:AL,37,FALSE)="ZERO COUPON","零息",VLOOKUP(B175,bond!B:AL,37,FALSE))))))</f>
        <v>固定</v>
      </c>
      <c r="AH175" s="136" t="str">
        <f>VLOOKUP(C175,'2_Check_code'!I:J,2,FALSE)</f>
        <v>美元(USD)</v>
      </c>
      <c r="AI175" s="136" t="str">
        <f t="shared" ca="1" si="19"/>
        <v>自由選清單</v>
      </c>
      <c r="AJ175" s="136">
        <f t="shared" ca="1" si="20"/>
        <v>0</v>
      </c>
      <c r="AK175" s="594" t="str">
        <f ca="1">IF(VLOOKUP(B175,bond!B:S,18,FALSE)="是","有",IF(VLOOKUP(B175,bond!B:S,18,FALSE)="NO OFFER","無","需查詢"))</f>
        <v>有</v>
      </c>
      <c r="AL175" s="136" t="str">
        <f>IF(VLOOKUP(A175,bond!F:AR,39,FALSE)="#N/A Field Not Applicable",VLOOKUP(A175,bond!F:AR,38,FALSE),IFERROR(VLOOKUP(A175,'7_發行日例外'!A:B,2,FALSE),VLOOKUP(A175,bond!F:AR,39,FALSE)))</f>
        <v>2021/1/26</v>
      </c>
      <c r="AM175" s="136" t="str">
        <f ca="1">VLOOKUP(B175,bond!B:AK,36,FALSE)</f>
        <v>#N/A Field Not Applicable</v>
      </c>
      <c r="AN175" s="136" t="str">
        <f ca="1">IFERROR(VLOOKUP(B175,'3_是否下架'!A:A,1,FALSE),"")</f>
        <v/>
      </c>
      <c r="AO175" s="136">
        <f ca="1">VLOOKUP(B175,bond!B:J,9,FALSE)</f>
        <v>93.070000000000007</v>
      </c>
      <c r="AP175" s="136">
        <f ca="1">VLOOKUP(B175,bond!B:V,21,FALSE)</f>
        <v>5.5795000000000003</v>
      </c>
    </row>
    <row r="176" spans="1:42">
      <c r="A176" s="141" t="str">
        <f>bond!F177</f>
        <v>US382550BJ95</v>
      </c>
      <c r="B176" s="151" t="str">
        <f ca="1">IF($C$1=TRUE,bond!B177,"")</f>
        <v>XG610</v>
      </c>
      <c r="C176" s="95" t="str">
        <f>VLOOKUP(A176,bond!F:G,2,FALSE)</f>
        <v>USD</v>
      </c>
      <c r="D176" s="142" t="str">
        <f ca="1">VLOOKUP(B176,bond!B:C,2,FALSE)</f>
        <v>固特異美元配息債券  5.25% 2031/4/30</v>
      </c>
      <c r="E176" s="95" t="str">
        <f ca="1">VLOOKUP(B176,bond!B:D,3,FALSE)</f>
        <v>B2 / B+ / BB-</v>
      </c>
      <c r="F176" s="99" t="str">
        <f ca="1">VLOOKUP(B176,bond!B:AB,27,FALSE)</f>
        <v>2031/4/30</v>
      </c>
      <c r="G176" s="90">
        <f ca="1">VLOOKUP(B176,bond!B:E,4,FALSE)</f>
        <v>6.83</v>
      </c>
      <c r="H176" s="202">
        <f ca="1">VLOOKUP(B176,bond!B:Y,24,FALSE)</f>
        <v>5.2499999999999998E-2</v>
      </c>
      <c r="I176" s="95">
        <f ca="1">VLOOKUP(B176,bond!B:Z,25,FALSE)</f>
        <v>2</v>
      </c>
      <c r="J176" s="180">
        <f ca="1">VLOOKUP(B176,bond!B:K,10,FALSE)</f>
        <v>0.9042</v>
      </c>
      <c r="K176" s="96">
        <f ca="1">VLOOKUP($B176,bond!B:S,14,FALSE)</f>
        <v>95.68</v>
      </c>
      <c r="L176" s="91" t="str">
        <f ca="1">VLOOKUP(B176,bond!B:H,7,FALSE)</f>
        <v>2024/7/2</v>
      </c>
      <c r="M176" s="144">
        <f ca="1">VLOOKUP($B176,bond!$B:$Q,16,FALSE)</f>
        <v>6.2E-2</v>
      </c>
      <c r="N176" s="136">
        <f ca="1">VALUE(LEFT(VLOOKUP(B176,bond!B:R,17,FALSE),SEARCH(" ",VLOOKUP(B176,bond!B:R,17,FALSE),1)))</f>
        <v>10000</v>
      </c>
      <c r="O176" s="136">
        <f ca="1">VALUE(RIGHT(VLOOKUP(B176,bond!B:R,17,FALSE),LEN(VLOOKUP(B176,bond!B:R,17,FALSE))-LEN(N176)-3))</f>
        <v>1000</v>
      </c>
      <c r="P176" s="135" t="str">
        <f ca="1">VLOOKUP($B176,bond!$B:$AG,32,FALSE)</f>
        <v>2024/10/30</v>
      </c>
      <c r="Q176" s="135" t="str">
        <f ca="1">VLOOKUP($B176,bond!$B:$AH,33,FALSE)</f>
        <v>非核心消費</v>
      </c>
      <c r="R176" s="135" t="str">
        <f ca="1">VLOOKUP(B176,bond!B:AA,26,FALSE)</f>
        <v>固特異輪胎公司</v>
      </c>
      <c r="S176" s="135" t="str">
        <f ca="1">VLOOKUP(B176,bond!B:AI,34,FALSE)</f>
        <v>GT</v>
      </c>
      <c r="T176" s="135" t="str">
        <f t="shared" ca="1" si="14"/>
        <v>固特異輪胎公司/GT</v>
      </c>
      <c r="U176" s="207" t="str">
        <f ca="1">IFERROR(VLOOKUP(T176,Bond_DES!D:E,2,FALSE),VLOOKUP(S176,bond!AI:AJ,2,FALSE))</f>
        <v>固特異輪胎公司(The Goodyear Tire &amp; Rubber Company)專於開發、製造、行銷各式功能的輪胎，按《Tire Business》2023調查輪胎銷售額為美國最大、世界第三大的輪胎製造商(僅次於米其林及普利司通)。2024年《Brand Finance》全球10大輪胎品牌價值排行第4位。</v>
      </c>
      <c r="V176" s="136" t="str">
        <f ca="1">IFERROR(VLOOKUP(B176,'1_重設數據'!L:M,2,FALSE),IF(Q176="政府",IF(AD176&gt;16,"(NPI)非專投",IF(AD176&gt;10,"(PI)專投","高資產")),IF(VLOOKUP(B176,bond!B:AN,39,FALSE)="Y","(PI)專投",IF(AD176&gt;=15,"(NPI)非專投",IF(AD176&gt;=10,"(PI)專投","高資產")))))</f>
        <v>高資產</v>
      </c>
      <c r="W176" s="136" t="str">
        <f ca="1">VLOOKUP(AD176,'credit rating'!$F$2:$H$22,3,FALSE)</f>
        <v>BB-</v>
      </c>
      <c r="X176" s="136" t="str">
        <f t="shared" ca="1" si="15"/>
        <v>B2</v>
      </c>
      <c r="Y176" s="136" t="str">
        <f t="shared" ca="1" si="16"/>
        <v>B+</v>
      </c>
      <c r="Z176" s="136" t="str">
        <f t="shared" ca="1" si="17"/>
        <v>BB-</v>
      </c>
      <c r="AA176" s="134">
        <f ca="1">IFERROR(VLOOKUP(X176,'credit rating'!A:C,3,FALSE),0)</f>
        <v>7</v>
      </c>
      <c r="AB176" s="134">
        <f ca="1">IFERROR(VLOOKUP(Y176,'credit rating'!B:C,2,FALSE),0)</f>
        <v>8</v>
      </c>
      <c r="AC176" s="136">
        <f ca="1">IFERROR(VLOOKUP(Z176,'credit rating'!B:C,2,FALSE),0)</f>
        <v>9</v>
      </c>
      <c r="AD176" s="136">
        <f t="shared" ca="1" si="18"/>
        <v>9</v>
      </c>
      <c r="AE176" s="249">
        <f ca="1">IFERROR(VLOOKUP(B176,bond!B:U,20,FALSE),"")</f>
        <v>6.2300000000000001E-2</v>
      </c>
      <c r="AF176" s="136" t="str">
        <f ca="1">IF(VLOOKUP(B176,bond!B:AK,36,FALSE)="#N/A Field Not Applicable","",VLOOKUP(B176,bond!B:AK,36,FALSE))</f>
        <v>2031/1/30</v>
      </c>
      <c r="AG176" s="136" t="str">
        <f ca="1">IF(VLOOKUP(B176,bond!B:AL,37,FALSE)="FIXED","固定",IF(VLOOKUP(B176,bond!B:AL,37,FALSE)="FLOATING","浮動",IF(VLOOKUP(B176,bond!B:AL,37,FALSE)="VARIABLE","變動",IF(VLOOKUP(B176,bond!B:AL,37,FALSE)="FLAT TRADING","不含息交易",IF(VLOOKUP(B176,bond!B:AL,37,FALSE)="ZERO COUPON","零息",VLOOKUP(B176,bond!B:AL,37,FALSE))))))</f>
        <v>固定</v>
      </c>
      <c r="AH176" s="136" t="str">
        <f>VLOOKUP(C176,'2_Check_code'!I:J,2,FALSE)</f>
        <v>美元(USD)</v>
      </c>
      <c r="AI176" s="136" t="str">
        <f t="shared" ca="1" si="19"/>
        <v>自由選清單</v>
      </c>
      <c r="AJ176" s="136">
        <f t="shared" ca="1" si="20"/>
        <v>0</v>
      </c>
      <c r="AK176" s="594" t="str">
        <f ca="1">IF(VLOOKUP(B176,bond!B:S,18,FALSE)="是","有",IF(VLOOKUP(B176,bond!B:S,18,FALSE)="NO OFFER","無","需查詢"))</f>
        <v>有</v>
      </c>
      <c r="AL176" s="136" t="str">
        <f>IF(VLOOKUP(A176,bond!F:AR,39,FALSE)="#N/A Field Not Applicable",VLOOKUP(A176,bond!F:AR,38,FALSE),IFERROR(VLOOKUP(A176,'7_發行日例外'!A:B,2,FALSE),VLOOKUP(A176,bond!F:AR,39,FALSE)))</f>
        <v>2021/4/6</v>
      </c>
      <c r="AM176" s="136" t="str">
        <f ca="1">VLOOKUP(B176,bond!B:AK,36,FALSE)</f>
        <v>2031/1/30</v>
      </c>
      <c r="AN176" s="136" t="str">
        <f ca="1">IFERROR(VLOOKUP(B176,'3_是否下架'!A:A,1,FALSE),"")</f>
        <v/>
      </c>
      <c r="AO176" s="136">
        <f ca="1">VLOOKUP(B176,bond!B:J,9,FALSE)</f>
        <v>92.28</v>
      </c>
      <c r="AP176" s="136">
        <f ca="1">VLOOKUP(B176,bond!B:V,21,FALSE)</f>
        <v>5.5446999999999997</v>
      </c>
    </row>
    <row r="177" spans="1:42">
      <c r="A177" s="141" t="str">
        <f>bond!F178</f>
        <v>USV7780TAE39</v>
      </c>
      <c r="B177" s="151" t="str">
        <f ca="1">IF($C$1=TRUE,bond!B178,"")</f>
        <v>XG620</v>
      </c>
      <c r="C177" s="95" t="str">
        <f>VLOOKUP(A177,bond!F:G,2,FALSE)</f>
        <v>USD</v>
      </c>
      <c r="D177" s="142" t="str">
        <f ca="1">VLOOKUP(B177,bond!B:C,2,FALSE)</f>
        <v>皇家加勒比國際郵輪美元配息債券  5.5% 2028/4/1</v>
      </c>
      <c r="E177" s="95" t="str">
        <f ca="1">VLOOKUP(B177,bond!B:D,3,FALSE)</f>
        <v>Ba2 / BB+ / -</v>
      </c>
      <c r="F177" s="99" t="str">
        <f ca="1">VLOOKUP(B177,bond!B:AB,27,FALSE)</f>
        <v>2028/4/1</v>
      </c>
      <c r="G177" s="90">
        <f ca="1">VLOOKUP(B177,bond!B:E,4,FALSE)</f>
        <v>3.75</v>
      </c>
      <c r="H177" s="202">
        <f ca="1">VLOOKUP(B177,bond!B:Y,24,FALSE)</f>
        <v>5.5E-2</v>
      </c>
      <c r="I177" s="95">
        <f ca="1">VLOOKUP(B177,bond!B:Z,25,FALSE)</f>
        <v>2</v>
      </c>
      <c r="J177" s="180">
        <f ca="1">VLOOKUP(B177,bond!B:K,10,FALSE)</f>
        <v>1.3903000000000001</v>
      </c>
      <c r="K177" s="96">
        <f ca="1">VLOOKUP($B177,bond!B:S,14,FALSE)</f>
        <v>102.57</v>
      </c>
      <c r="L177" s="91" t="str">
        <f ca="1">VLOOKUP(B177,bond!B:H,7,FALSE)</f>
        <v>2024/7/2</v>
      </c>
      <c r="M177" s="144">
        <f ca="1">VLOOKUP($B177,bond!$B:$Q,16,FALSE)</f>
        <v>5.1499999999999997E-2</v>
      </c>
      <c r="N177" s="136">
        <f ca="1">VALUE(LEFT(VLOOKUP(B177,bond!B:R,17,FALSE),SEARCH(" ",VLOOKUP(B177,bond!B:R,17,FALSE),1)))</f>
        <v>10000</v>
      </c>
      <c r="O177" s="136">
        <f ca="1">VALUE(RIGHT(VLOOKUP(B177,bond!B:R,17,FALSE),LEN(VLOOKUP(B177,bond!B:R,17,FALSE))-LEN(N177)-3))</f>
        <v>1000</v>
      </c>
      <c r="P177" s="135" t="str">
        <f ca="1">VLOOKUP($B177,bond!$B:$AG,32,FALSE)</f>
        <v>2024/10/1</v>
      </c>
      <c r="Q177" s="135" t="str">
        <f ca="1">VLOOKUP($B177,bond!$B:$AH,33,FALSE)</f>
        <v>非核心消費</v>
      </c>
      <c r="R177" s="135" t="str">
        <f ca="1">VLOOKUP(B177,bond!B:AA,26,FALSE)</f>
        <v>皇家加勒比國際遊輪有限公司</v>
      </c>
      <c r="S177" s="135" t="str">
        <f ca="1">VLOOKUP(B177,bond!B:AI,34,FALSE)</f>
        <v>RCL</v>
      </c>
      <c r="T177" s="135" t="str">
        <f t="shared" ca="1" si="14"/>
        <v>皇家加勒比國際遊輪有限公司/RCL</v>
      </c>
      <c r="U177" s="207" t="str">
        <f ca="1">IFERROR(VLOOKUP(T177,Bond_DES!D:E,2,FALSE),VLOOKUP(S177,bond!AI:AJ,2,FALSE))</f>
        <v>#N/A Field Not Applicable</v>
      </c>
      <c r="V177" s="136" t="str">
        <f ca="1">IFERROR(VLOOKUP(B177,'1_重設數據'!L:M,2,FALSE),IF(Q177="政府",IF(AD177&gt;16,"(NPI)非專投",IF(AD177&gt;10,"(PI)專投","高資產")),IF(VLOOKUP(B177,bond!B:AN,39,FALSE)="Y","(PI)專投",IF(AD177&gt;=15,"(NPI)非專投",IF(AD177&gt;=10,"(PI)專投","高資產")))))</f>
        <v>高資產</v>
      </c>
      <c r="W177" s="136" t="str">
        <f ca="1">VLOOKUP(AD177,'credit rating'!$F$2:$H$22,3,FALSE)</f>
        <v>BB+</v>
      </c>
      <c r="X177" s="136" t="str">
        <f t="shared" ca="1" si="15"/>
        <v>Ba2</v>
      </c>
      <c r="Y177" s="136" t="str">
        <f t="shared" ca="1" si="16"/>
        <v>BB+</v>
      </c>
      <c r="Z177" s="136" t="str">
        <f t="shared" ca="1" si="17"/>
        <v>-</v>
      </c>
      <c r="AA177" s="134">
        <f ca="1">IFERROR(VLOOKUP(X177,'credit rating'!A:C,3,FALSE),0)</f>
        <v>10</v>
      </c>
      <c r="AB177" s="134">
        <f ca="1">IFERROR(VLOOKUP(Y177,'credit rating'!B:C,2,FALSE),0)</f>
        <v>11</v>
      </c>
      <c r="AC177" s="136">
        <f ca="1">IFERROR(VLOOKUP(Z177,'credit rating'!B:C,2,FALSE),0)</f>
        <v>0</v>
      </c>
      <c r="AD177" s="136">
        <f t="shared" ca="1" si="18"/>
        <v>11</v>
      </c>
      <c r="AE177" s="249">
        <f ca="1">IFERROR(VLOOKUP(B177,bond!B:U,20,FALSE),"")</f>
        <v>5.0999999999999997E-2</v>
      </c>
      <c r="AF177" s="136" t="str">
        <f ca="1">IF(VLOOKUP(B177,bond!B:AK,36,FALSE)="#N/A Field Not Applicable","",VLOOKUP(B177,bond!B:AK,36,FALSE))</f>
        <v>2027/10/1</v>
      </c>
      <c r="AG177" s="136" t="str">
        <f ca="1">IF(VLOOKUP(B177,bond!B:AL,37,FALSE)="FIXED","固定",IF(VLOOKUP(B177,bond!B:AL,37,FALSE)="FLOATING","浮動",IF(VLOOKUP(B177,bond!B:AL,37,FALSE)="VARIABLE","變動",IF(VLOOKUP(B177,bond!B:AL,37,FALSE)="FLAT TRADING","不含息交易",IF(VLOOKUP(B177,bond!B:AL,37,FALSE)="ZERO COUPON","零息",VLOOKUP(B177,bond!B:AL,37,FALSE))))))</f>
        <v>固定</v>
      </c>
      <c r="AH177" s="136" t="str">
        <f>VLOOKUP(C177,'2_Check_code'!I:J,2,FALSE)</f>
        <v>美元(USD)</v>
      </c>
      <c r="AI177" s="136" t="str">
        <f t="shared" ca="1" si="19"/>
        <v>自由選清單</v>
      </c>
      <c r="AJ177" s="136">
        <f t="shared" ca="1" si="20"/>
        <v>0</v>
      </c>
      <c r="AK177" s="594" t="str">
        <f ca="1">IF(VLOOKUP(B177,bond!B:S,18,FALSE)="是","有",IF(VLOOKUP(B177,bond!B:S,18,FALSE)="NO OFFER","無","需查詢"))</f>
        <v>有</v>
      </c>
      <c r="AL177" s="136" t="str">
        <f>IF(VLOOKUP(A177,bond!F:AR,39,FALSE)="#N/A Field Not Applicable",VLOOKUP(A177,bond!F:AR,38,FALSE),IFERROR(VLOOKUP(A177,'7_發行日例外'!A:B,2,FALSE),VLOOKUP(A177,bond!F:AR,39,FALSE)))</f>
        <v>2021/3/29</v>
      </c>
      <c r="AM177" s="136" t="str">
        <f ca="1">VLOOKUP(B177,bond!B:AK,36,FALSE)</f>
        <v>2027/10/1</v>
      </c>
      <c r="AN177" s="136" t="str">
        <f ca="1">IFERROR(VLOOKUP(B177,'3_是否下架'!A:A,1,FALSE),"")</f>
        <v/>
      </c>
      <c r="AO177" s="136">
        <f ca="1">VLOOKUP(B177,bond!B:J,9,FALSE)</f>
        <v>99.58</v>
      </c>
      <c r="AP177" s="136">
        <f ca="1">VLOOKUP(B177,bond!B:V,21,FALSE)</f>
        <v>3.2999000000000001</v>
      </c>
    </row>
    <row r="178" spans="1:42">
      <c r="A178" s="141" t="str">
        <f>bond!F179</f>
        <v>US404280CF48</v>
      </c>
      <c r="B178" s="151" t="str">
        <f ca="1">IF($C$1=TRUE,bond!B179,"")</f>
        <v>XG630</v>
      </c>
      <c r="C178" s="95" t="str">
        <f>VLOOKUP(A178,bond!F:G,2,FALSE)</f>
        <v>USD</v>
      </c>
      <c r="D178" s="142" t="str">
        <f ca="1">VLOOKUP(B178,bond!B:C,2,FALSE)</f>
        <v>匯豐控股公司美元配息債券  4.95% 2030/3/31</v>
      </c>
      <c r="E178" s="95" t="str">
        <f ca="1">VLOOKUP(B178,bond!B:D,3,FALSE)</f>
        <v>A3 / A- / A+</v>
      </c>
      <c r="F178" s="99" t="str">
        <f ca="1">VLOOKUP(B178,bond!B:AB,27,FALSE)</f>
        <v>2030/3/31</v>
      </c>
      <c r="G178" s="90">
        <f ca="1">VLOOKUP(B178,bond!B:E,4,FALSE)</f>
        <v>5.74</v>
      </c>
      <c r="H178" s="202">
        <f ca="1">VLOOKUP(B178,bond!B:Y,24,FALSE)</f>
        <v>4.9500000000000002E-2</v>
      </c>
      <c r="I178" s="95">
        <f ca="1">VLOOKUP(B178,bond!B:Z,25,FALSE)</f>
        <v>2</v>
      </c>
      <c r="J178" s="180">
        <f ca="1">VLOOKUP(B178,bond!B:K,10,FALSE)</f>
        <v>1.2649999999999999</v>
      </c>
      <c r="K178" s="96">
        <f ca="1">VLOOKUP($B178,bond!B:S,14,FALSE)</f>
        <v>102.02</v>
      </c>
      <c r="L178" s="91" t="str">
        <f ca="1">VLOOKUP(B178,bond!B:H,7,FALSE)</f>
        <v>2024/7/2</v>
      </c>
      <c r="M178" s="144">
        <f ca="1">VLOOKUP($B178,bond!$B:$Q,16,FALSE)</f>
        <v>4.8000000000000001E-2</v>
      </c>
      <c r="N178" s="136">
        <f ca="1">VALUE(LEFT(VLOOKUP(B178,bond!B:R,17,FALSE),SEARCH(" ",VLOOKUP(B178,bond!B:R,17,FALSE),1)))</f>
        <v>200000</v>
      </c>
      <c r="O178" s="136">
        <f ca="1">VALUE(RIGHT(VLOOKUP(B178,bond!B:R,17,FALSE),LEN(VLOOKUP(B178,bond!B:R,17,FALSE))-LEN(N178)-3))</f>
        <v>1000</v>
      </c>
      <c r="P178" s="135" t="str">
        <f ca="1">VLOOKUP($B178,bond!$B:$AG,32,FALSE)</f>
        <v>2024/9/30</v>
      </c>
      <c r="Q178" s="135" t="str">
        <f ca="1">VLOOKUP($B178,bond!$B:$AH,33,FALSE)</f>
        <v>金融</v>
      </c>
      <c r="R178" s="135" t="str">
        <f ca="1">VLOOKUP(B178,bond!B:AA,26,FALSE)</f>
        <v>匯豐控股有限公司</v>
      </c>
      <c r="S178" s="135" t="str">
        <f ca="1">VLOOKUP(B178,bond!B:AI,34,FALSE)</f>
        <v>HSBC</v>
      </c>
      <c r="T178" s="135" t="str">
        <f t="shared" ca="1" si="14"/>
        <v>匯豐控股有限公司/HSBC</v>
      </c>
      <c r="U178" s="207" t="str">
        <f ca="1">IFERROR(VLOOKUP(T178,Bond_DES!D:E,2,FALSE),VLOOKUP(S178,bond!AI:AJ,2,FALSE))</f>
        <v>匯豐控股有限公司(HSBC Holdings plc)為匯豐集團的控股公司，是全球規模最大的銀行及金融服務機構之一，業務分為個人銀行、商業銀行、全球銀行和市場等三個部門。於2023年《銀行家》全球1000大銀行排名，按一級資本名列第10位；2023年《Fortune》全球500大企業中商業銀行營收排名第10。</v>
      </c>
      <c r="V178" s="136" t="str">
        <f ca="1">IFERROR(VLOOKUP(B178,'1_重設數據'!L:M,2,FALSE),IF(Q178="政府",IF(AD178&gt;16,"(NPI)非專投",IF(AD178&gt;10,"(PI)專投","高資產")),IF(VLOOKUP(B178,bond!B:AN,39,FALSE)="Y","(PI)專投",IF(AD178&gt;=15,"(NPI)非專投",IF(AD178&gt;=10,"(PI)專投","高資產")))))</f>
        <v>(PI)專投</v>
      </c>
      <c r="W178" s="136" t="str">
        <f ca="1">VLOOKUP(AD178,'credit rating'!$F$2:$H$22,3,FALSE)</f>
        <v>A+</v>
      </c>
      <c r="X178" s="136" t="str">
        <f t="shared" ca="1" si="15"/>
        <v>A3</v>
      </c>
      <c r="Y178" s="136" t="str">
        <f t="shared" ca="1" si="16"/>
        <v>A-</v>
      </c>
      <c r="Z178" s="136" t="str">
        <f t="shared" ca="1" si="17"/>
        <v>A+</v>
      </c>
      <c r="AA178" s="134">
        <f ca="1">IFERROR(VLOOKUP(X178,'credit rating'!A:C,3,FALSE),0)</f>
        <v>15</v>
      </c>
      <c r="AB178" s="134">
        <f ca="1">IFERROR(VLOOKUP(Y178,'credit rating'!B:C,2,FALSE),0)</f>
        <v>15</v>
      </c>
      <c r="AC178" s="136">
        <f ca="1">IFERROR(VLOOKUP(Z178,'credit rating'!B:C,2,FALSE),0)</f>
        <v>17</v>
      </c>
      <c r="AD178" s="136">
        <f t="shared" ca="1" si="18"/>
        <v>17</v>
      </c>
      <c r="AE178" s="249" t="str">
        <f ca="1">IFERROR(VLOOKUP(B178,bond!B:U,20,FALSE),"")</f>
        <v xml:space="preserve"> </v>
      </c>
      <c r="AF178" s="136" t="str">
        <f ca="1">IF(VLOOKUP(B178,bond!B:AK,36,FALSE)="#N/A Field Not Applicable","",VLOOKUP(B178,bond!B:AK,36,FALSE))</f>
        <v/>
      </c>
      <c r="AG178" s="136" t="str">
        <f ca="1">IF(VLOOKUP(B178,bond!B:AL,37,FALSE)="FIXED","固定",IF(VLOOKUP(B178,bond!B:AL,37,FALSE)="FLOATING","浮動",IF(VLOOKUP(B178,bond!B:AL,37,FALSE)="VARIABLE","變動",IF(VLOOKUP(B178,bond!B:AL,37,FALSE)="FLAT TRADING","不含息交易",IF(VLOOKUP(B178,bond!B:AL,37,FALSE)="ZERO COUPON","零息",VLOOKUP(B178,bond!B:AL,37,FALSE))))))</f>
        <v>固定</v>
      </c>
      <c r="AH178" s="136" t="str">
        <f>VLOOKUP(C178,'2_Check_code'!I:J,2,FALSE)</f>
        <v>美元(USD)</v>
      </c>
      <c r="AI178" s="136" t="str">
        <f t="shared" ca="1" si="19"/>
        <v>自由選清單</v>
      </c>
      <c r="AJ178" s="136">
        <f t="shared" ca="1" si="20"/>
        <v>0</v>
      </c>
      <c r="AK178" s="594" t="str">
        <f ca="1">IF(VLOOKUP(B178,bond!B:S,18,FALSE)="是","有",IF(VLOOKUP(B178,bond!B:S,18,FALSE)="NO OFFER","無","需查詢"))</f>
        <v>有</v>
      </c>
      <c r="AL178" s="136" t="str">
        <f>IF(VLOOKUP(A178,bond!F:AR,39,FALSE)="#N/A Field Not Applicable",VLOOKUP(A178,bond!F:AR,38,FALSE),IFERROR(VLOOKUP(A178,'7_發行日例外'!A:B,2,FALSE),VLOOKUP(A178,bond!F:AR,39,FALSE)))</f>
        <v>2020/3/31</v>
      </c>
      <c r="AM178" s="136" t="str">
        <f ca="1">VLOOKUP(B178,bond!B:AK,36,FALSE)</f>
        <v>#N/A Field Not Applicable</v>
      </c>
      <c r="AN178" s="136" t="str">
        <f ca="1">IFERROR(VLOOKUP(B178,'3_是否下架'!A:A,1,FALSE),"")</f>
        <v/>
      </c>
      <c r="AO178" s="136">
        <f ca="1">VLOOKUP(B178,bond!B:J,9,FALSE)</f>
        <v>98.75</v>
      </c>
      <c r="AP178" s="136">
        <f ca="1">VLOOKUP(B178,bond!B:V,21,FALSE)</f>
        <v>4.8821000000000003</v>
      </c>
    </row>
    <row r="179" spans="1:42">
      <c r="A179" s="141" t="str">
        <f>bond!F180</f>
        <v>XS2057866191</v>
      </c>
      <c r="B179" s="151" t="str">
        <f ca="1">IF($C$1=TRUE,bond!B180,"")</f>
        <v>XG640</v>
      </c>
      <c r="C179" s="95" t="str">
        <f>VLOOKUP(A179,bond!F:G,2,FALSE)</f>
        <v>USD</v>
      </c>
      <c r="D179" s="142" t="str">
        <f ca="1">VLOOKUP(B179,bond!B:C,2,FALSE)</f>
        <v>阿布達比政府國際美元配息債券 3.125% 2049/9/30</v>
      </c>
      <c r="E179" s="95" t="str">
        <f ca="1">VLOOKUP(B179,bond!B:D,3,FALSE)</f>
        <v>Aa2u / AA / AA</v>
      </c>
      <c r="F179" s="99" t="str">
        <f ca="1">VLOOKUP(B179,bond!B:AB,27,FALSE)</f>
        <v>2049/9/30</v>
      </c>
      <c r="G179" s="90">
        <f ca="1">VLOOKUP(B179,bond!B:E,4,FALSE)</f>
        <v>25.24</v>
      </c>
      <c r="H179" s="202">
        <f ca="1">VLOOKUP(B179,bond!B:Y,24,FALSE)</f>
        <v>3.125E-2</v>
      </c>
      <c r="I179" s="95">
        <f ca="1">VLOOKUP(B179,bond!B:Z,25,FALSE)</f>
        <v>2</v>
      </c>
      <c r="J179" s="180">
        <f ca="1">VLOOKUP(B179,bond!B:K,10,FALSE)</f>
        <v>0.80730000000000002</v>
      </c>
      <c r="K179" s="96">
        <f ca="1">VLOOKUP($B179,bond!B:S,14,FALSE)</f>
        <v>74.61</v>
      </c>
      <c r="L179" s="91" t="str">
        <f ca="1">VLOOKUP(B179,bond!B:H,7,FALSE)</f>
        <v>2024/7/3</v>
      </c>
      <c r="M179" s="144">
        <f ca="1">VLOOKUP($B179,bond!$B:$Q,16,FALSE)</f>
        <v>4.9500000000000002E-2</v>
      </c>
      <c r="N179" s="136">
        <f ca="1">VALUE(LEFT(VLOOKUP(B179,bond!B:R,17,FALSE),SEARCH(" ",VLOOKUP(B179,bond!B:R,17,FALSE),1)))</f>
        <v>200000</v>
      </c>
      <c r="O179" s="136">
        <f ca="1">VALUE(RIGHT(VLOOKUP(B179,bond!B:R,17,FALSE),LEN(VLOOKUP(B179,bond!B:R,17,FALSE))-LEN(N179)-3))</f>
        <v>1000</v>
      </c>
      <c r="P179" s="135" t="str">
        <f ca="1">VLOOKUP($B179,bond!$B:$AG,32,FALSE)</f>
        <v>2024/9/30</v>
      </c>
      <c r="Q179" s="135" t="str">
        <f ca="1">VLOOKUP($B179,bond!$B:$AH,33,FALSE)</f>
        <v>政府</v>
      </c>
      <c r="R179" s="135" t="str">
        <f ca="1">VLOOKUP(B179,bond!B:AA,26,FALSE)</f>
        <v>阿布達比政府國際債券</v>
      </c>
      <c r="S179" s="135" t="str">
        <f ca="1">VLOOKUP(B179,bond!B:AI,34,FALSE)</f>
        <v>ADGB</v>
      </c>
      <c r="T179" s="135" t="str">
        <f t="shared" ca="1" si="14"/>
        <v>阿布達比政府國際債券/ADGB</v>
      </c>
      <c r="U179" s="207" t="str">
        <f ca="1">IFERROR(VLOOKUP(T179,Bond_DES!D:E,2,FALSE),VLOOKUP(S179,bond!AI:AJ,2,FALSE))</f>
        <v>阿布達比(Emirate of Abu Dhabi)為阿拉伯聯合大公國(阿聯酋)首都，為境內最大邦，歷年的阿聯酋總統皆由阿布達比邦長擔任；阿布達比主要GDP來源為石油，每年貢獻聯邦政府的財政收入約達四分之一。坐擁全球第五大石油蘊藏，為生活費用僅次於杜拜昂貴的城市，但人均GDP超過12萬美元，是杜拜的4倍。</v>
      </c>
      <c r="V179" s="136" t="str">
        <f ca="1">IFERROR(VLOOKUP(B179,'1_重設數據'!L:M,2,FALSE),IF(Q179="政府",IF(AD179&gt;16,"(NPI)非專投",IF(AD179&gt;10,"(PI)專投","高資產")),IF(VLOOKUP(B179,bond!B:AN,39,FALSE)="Y","(PI)專投",IF(AD179&gt;=15,"(NPI)非專投",IF(AD179&gt;=10,"(PI)專投","高資產")))))</f>
        <v>(NPI)非專投</v>
      </c>
      <c r="W179" s="136" t="str">
        <f ca="1">VLOOKUP(AD179,'credit rating'!$F$2:$H$22,3,FALSE)</f>
        <v>AA</v>
      </c>
      <c r="X179" s="136" t="str">
        <f t="shared" ca="1" si="15"/>
        <v>Aa2u</v>
      </c>
      <c r="Y179" s="136" t="str">
        <f t="shared" ca="1" si="16"/>
        <v>AA</v>
      </c>
      <c r="Z179" s="136" t="str">
        <f t="shared" ca="1" si="17"/>
        <v>AA</v>
      </c>
      <c r="AA179" s="134">
        <f ca="1">IFERROR(VLOOKUP(X179,'credit rating'!A:C,3,FALSE),0)</f>
        <v>19</v>
      </c>
      <c r="AB179" s="134">
        <f ca="1">IFERROR(VLOOKUP(Y179,'credit rating'!B:C,2,FALSE),0)</f>
        <v>19</v>
      </c>
      <c r="AC179" s="136">
        <f ca="1">IFERROR(VLOOKUP(Z179,'credit rating'!B:C,2,FALSE),0)</f>
        <v>19</v>
      </c>
      <c r="AD179" s="136">
        <f t="shared" ca="1" si="18"/>
        <v>19</v>
      </c>
      <c r="AE179" s="249" t="str">
        <f ca="1">IFERROR(VLOOKUP(B179,bond!B:U,20,FALSE),"")</f>
        <v xml:space="preserve"> </v>
      </c>
      <c r="AF179" s="136" t="str">
        <f ca="1">IF(VLOOKUP(B179,bond!B:AK,36,FALSE)="#N/A Field Not Applicable","",VLOOKUP(B179,bond!B:AK,36,FALSE))</f>
        <v/>
      </c>
      <c r="AG179" s="136" t="str">
        <f ca="1">IF(VLOOKUP(B179,bond!B:AL,37,FALSE)="FIXED","固定",IF(VLOOKUP(B179,bond!B:AL,37,FALSE)="FLOATING","浮動",IF(VLOOKUP(B179,bond!B:AL,37,FALSE)="VARIABLE","變動",IF(VLOOKUP(B179,bond!B:AL,37,FALSE)="FLAT TRADING","不含息交易",IF(VLOOKUP(B179,bond!B:AL,37,FALSE)="ZERO COUPON","零息",VLOOKUP(B179,bond!B:AL,37,FALSE))))))</f>
        <v>固定</v>
      </c>
      <c r="AH179" s="136" t="str">
        <f>VLOOKUP(C179,'2_Check_code'!I:J,2,FALSE)</f>
        <v>美元(USD)</v>
      </c>
      <c r="AI179" s="136" t="str">
        <f t="shared" ca="1" si="19"/>
        <v>自由選清單</v>
      </c>
      <c r="AJ179" s="136">
        <f t="shared" ca="1" si="20"/>
        <v>0</v>
      </c>
      <c r="AK179" s="594" t="str">
        <f ca="1">IF(VLOOKUP(B179,bond!B:S,18,FALSE)="是","有",IF(VLOOKUP(B179,bond!B:S,18,FALSE)="NO OFFER","無","需查詢"))</f>
        <v>有</v>
      </c>
      <c r="AL179" s="136" t="str">
        <f>IF(VLOOKUP(A179,bond!F:AR,39,FALSE)="#N/A Field Not Applicable",VLOOKUP(A179,bond!F:AR,38,FALSE),IFERROR(VLOOKUP(A179,'7_發行日例外'!A:B,2,FALSE),VLOOKUP(A179,bond!F:AR,39,FALSE)))</f>
        <v>2019/9/30</v>
      </c>
      <c r="AM179" s="136" t="str">
        <f ca="1">VLOOKUP(B179,bond!B:AK,36,FALSE)</f>
        <v>#N/A Field Not Applicable</v>
      </c>
      <c r="AN179" s="136" t="str">
        <f ca="1">IFERROR(VLOOKUP(B179,'3_是否下架'!A:A,1,FALSE),"")</f>
        <v/>
      </c>
      <c r="AO179" s="136">
        <f ca="1">VLOOKUP(B179,bond!B:J,9,FALSE)</f>
        <v>70.300000000000011</v>
      </c>
      <c r="AP179" s="136">
        <f ca="1">VLOOKUP(B179,bond!B:V,21,FALSE)</f>
        <v>15.460599999999999</v>
      </c>
    </row>
    <row r="180" spans="1:42">
      <c r="A180" s="141" t="str">
        <f>bond!F181</f>
        <v>US747525AK99</v>
      </c>
      <c r="B180" s="151" t="str">
        <f ca="1">IF($C$1=TRUE,bond!B181,"")</f>
        <v>XG650</v>
      </c>
      <c r="C180" s="95" t="str">
        <f>VLOOKUP(A180,bond!F:G,2,FALSE)</f>
        <v>USD</v>
      </c>
      <c r="D180" s="142" t="str">
        <f ca="1">VLOOKUP(B180,bond!B:C,2,FALSE)</f>
        <v>高通公司美元配息債券  4.8% 2045/5/20</v>
      </c>
      <c r="E180" s="95" t="str">
        <f ca="1">VLOOKUP(B180,bond!B:D,3,FALSE)</f>
        <v>A2 / A / -</v>
      </c>
      <c r="F180" s="99" t="str">
        <f ca="1">VLOOKUP(B180,bond!B:AB,27,FALSE)</f>
        <v>2045/5/20</v>
      </c>
      <c r="G180" s="90">
        <f ca="1">VLOOKUP(B180,bond!B:E,4,FALSE)</f>
        <v>20.88</v>
      </c>
      <c r="H180" s="202">
        <f ca="1">VLOOKUP(B180,bond!B:Y,24,FALSE)</f>
        <v>4.8000000000000001E-2</v>
      </c>
      <c r="I180" s="95">
        <f ca="1">VLOOKUP(B180,bond!B:Z,25,FALSE)</f>
        <v>2</v>
      </c>
      <c r="J180" s="180">
        <f ca="1">VLOOKUP(B180,bond!B:K,10,FALSE)</f>
        <v>0.56000000000000005</v>
      </c>
      <c r="K180" s="96">
        <f ca="1">VLOOKUP($B180,bond!B:S,14,FALSE)</f>
        <v>96.73</v>
      </c>
      <c r="L180" s="91" t="str">
        <f ca="1">VLOOKUP(B180,bond!B:H,7,FALSE)</f>
        <v>2024/7/2</v>
      </c>
      <c r="M180" s="144">
        <f ca="1">VLOOKUP($B180,bond!$B:$Q,16,FALSE)</f>
        <v>5.0999999999999997E-2</v>
      </c>
      <c r="N180" s="136">
        <f ca="1">VALUE(LEFT(VLOOKUP(B180,bond!B:R,17,FALSE),SEARCH(" ",VLOOKUP(B180,bond!B:R,17,FALSE),1)))</f>
        <v>10000</v>
      </c>
      <c r="O180" s="136">
        <f ca="1">VALUE(RIGHT(VLOOKUP(B180,bond!B:R,17,FALSE),LEN(VLOOKUP(B180,bond!B:R,17,FALSE))-LEN(N180)-3))</f>
        <v>1000</v>
      </c>
      <c r="P180" s="135" t="str">
        <f ca="1">VLOOKUP($B180,bond!$B:$AG,32,FALSE)</f>
        <v>2024/11/20</v>
      </c>
      <c r="Q180" s="135" t="str">
        <f ca="1">VLOOKUP($B180,bond!$B:$AH,33,FALSE)</f>
        <v>科技</v>
      </c>
      <c r="R180" s="135" t="str">
        <f ca="1">VLOOKUP(B180,bond!B:AA,26,FALSE)</f>
        <v>高通公司</v>
      </c>
      <c r="S180" s="135" t="str">
        <f ca="1">VLOOKUP(B180,bond!B:AI,34,FALSE)</f>
        <v>QCOM</v>
      </c>
      <c r="T180" s="135" t="str">
        <f t="shared" ca="1" si="14"/>
        <v>高通公司/QCOM</v>
      </c>
      <c r="U180" s="207" t="str">
        <f ca="1">IFERROR(VLOOKUP(T180,Bond_DES!D:E,2,FALSE),VLOOKUP(S180,bond!AI:AJ,2,FALSE))</f>
        <v>高通公司(Qualcomm Incorporated)為全球CDMA與無線技術領導廠商、IC設計收入冠軍，且在1Q24全球智慧手機晶片市佔上位居第2位(僅次於聯發科)，按銷售金額則排在第1位。公司主要從事設計、開發、製造及銷售數位通訊產品，業務涵蓋技術領先的3G/4G/5G晶片、系統軟體以及開發工具和產品。</v>
      </c>
      <c r="V180" s="136" t="str">
        <f ca="1">IFERROR(VLOOKUP(B180,'1_重設數據'!L:M,2,FALSE),IF(Q180="政府",IF(AD180&gt;16,"(NPI)非專投",IF(AD180&gt;10,"(PI)專投","高資產")),IF(VLOOKUP(B180,bond!B:AN,39,FALSE)="Y","(PI)專投",IF(AD180&gt;=15,"(NPI)非專投",IF(AD180&gt;=10,"(PI)專投","高資產")))))</f>
        <v>(NPI)非專投</v>
      </c>
      <c r="W180" s="136" t="str">
        <f ca="1">VLOOKUP(AD180,'credit rating'!$F$2:$H$22,3,FALSE)</f>
        <v>A</v>
      </c>
      <c r="X180" s="136" t="str">
        <f t="shared" ca="1" si="15"/>
        <v>A2</v>
      </c>
      <c r="Y180" s="136" t="str">
        <f t="shared" ca="1" si="16"/>
        <v>A</v>
      </c>
      <c r="Z180" s="136" t="str">
        <f t="shared" ca="1" si="17"/>
        <v>-</v>
      </c>
      <c r="AA180" s="134">
        <f ca="1">IFERROR(VLOOKUP(X180,'credit rating'!A:C,3,FALSE),0)</f>
        <v>16</v>
      </c>
      <c r="AB180" s="134">
        <f ca="1">IFERROR(VLOOKUP(Y180,'credit rating'!B:C,2,FALSE),0)</f>
        <v>16</v>
      </c>
      <c r="AC180" s="136">
        <f ca="1">IFERROR(VLOOKUP(Z180,'credit rating'!B:C,2,FALSE),0)</f>
        <v>0</v>
      </c>
      <c r="AD180" s="136">
        <f t="shared" ca="1" si="18"/>
        <v>16</v>
      </c>
      <c r="AE180" s="249">
        <f ca="1">IFERROR(VLOOKUP(B180,bond!B:U,20,FALSE),"")</f>
        <v>5.0999999999999997E-2</v>
      </c>
      <c r="AF180" s="136" t="str">
        <f ca="1">IF(VLOOKUP(B180,bond!B:AK,36,FALSE)="#N/A Field Not Applicable","",VLOOKUP(B180,bond!B:AK,36,FALSE))</f>
        <v>2044/11/20</v>
      </c>
      <c r="AG180" s="136" t="str">
        <f ca="1">IF(VLOOKUP(B180,bond!B:AL,37,FALSE)="FIXED","固定",IF(VLOOKUP(B180,bond!B:AL,37,FALSE)="FLOATING","浮動",IF(VLOOKUP(B180,bond!B:AL,37,FALSE)="VARIABLE","變動",IF(VLOOKUP(B180,bond!B:AL,37,FALSE)="FLAT TRADING","不含息交易",IF(VLOOKUP(B180,bond!B:AL,37,FALSE)="ZERO COUPON","零息",VLOOKUP(B180,bond!B:AL,37,FALSE))))))</f>
        <v>固定</v>
      </c>
      <c r="AH180" s="136" t="str">
        <f>VLOOKUP(C180,'2_Check_code'!I:J,2,FALSE)</f>
        <v>美元(USD)</v>
      </c>
      <c r="AI180" s="136" t="str">
        <f t="shared" ca="1" si="19"/>
        <v>自由選清單</v>
      </c>
      <c r="AJ180" s="136">
        <f t="shared" ca="1" si="20"/>
        <v>0</v>
      </c>
      <c r="AK180" s="594" t="str">
        <f ca="1">IF(VLOOKUP(B180,bond!B:S,18,FALSE)="是","有",IF(VLOOKUP(B180,bond!B:S,18,FALSE)="NO OFFER","無","需查詢"))</f>
        <v>有</v>
      </c>
      <c r="AL180" s="136" t="str">
        <f>IF(VLOOKUP(A180,bond!F:AR,39,FALSE)="#N/A Field Not Applicable",VLOOKUP(A180,bond!F:AR,38,FALSE),IFERROR(VLOOKUP(A180,'7_發行日例外'!A:B,2,FALSE),VLOOKUP(A180,bond!F:AR,39,FALSE)))</f>
        <v>2015/5/20</v>
      </c>
      <c r="AM180" s="136" t="str">
        <f ca="1">VLOOKUP(B180,bond!B:AK,36,FALSE)</f>
        <v>2044/11/20</v>
      </c>
      <c r="AN180" s="136" t="str">
        <f ca="1">IFERROR(VLOOKUP(B180,'3_是否下架'!A:A,1,FALSE),"")</f>
        <v/>
      </c>
      <c r="AO180" s="136">
        <f ca="1">VLOOKUP(B180,bond!B:J,9,FALSE)</f>
        <v>93.17</v>
      </c>
      <c r="AP180" s="136">
        <f ca="1">VLOOKUP(B180,bond!B:V,21,FALSE)</f>
        <v>12.7455</v>
      </c>
    </row>
    <row r="181" spans="1:42">
      <c r="A181" s="141" t="str">
        <f>bond!F182</f>
        <v>US87264ABL89</v>
      </c>
      <c r="B181" s="151" t="str">
        <f ca="1">IF($C$1=TRUE,bond!B182,"")</f>
        <v>XG660</v>
      </c>
      <c r="C181" s="95" t="str">
        <f>VLOOKUP(A181,bond!F:G,2,FALSE)</f>
        <v>USD</v>
      </c>
      <c r="D181" s="142" t="str">
        <f ca="1">VLOOKUP(B181,bond!B:C,2,FALSE)</f>
        <v>T-Mobile公司美元配息債券 3% 2041/2/15</v>
      </c>
      <c r="E181" s="95" t="str">
        <f ca="1">VLOOKUP(B181,bond!B:D,3,FALSE)</f>
        <v>Baa2 / BBB / BBB+</v>
      </c>
      <c r="F181" s="99" t="str">
        <f ca="1">VLOOKUP(B181,bond!B:AB,27,FALSE)</f>
        <v>2041/2/15</v>
      </c>
      <c r="G181" s="90">
        <f ca="1">VLOOKUP(B181,bond!B:E,4,FALSE)</f>
        <v>16.62</v>
      </c>
      <c r="H181" s="202">
        <f ca="1">VLOOKUP(B181,bond!B:Y,24,FALSE)</f>
        <v>0.03</v>
      </c>
      <c r="I181" s="95">
        <f ca="1">VLOOKUP(B181,bond!B:Z,25,FALSE)</f>
        <v>2</v>
      </c>
      <c r="J181" s="180">
        <f ca="1">VLOOKUP(B181,bond!B:K,10,FALSE)</f>
        <v>1.1416999999999999</v>
      </c>
      <c r="K181" s="96">
        <f ca="1">VLOOKUP($B181,bond!B:S,14,FALSE)</f>
        <v>76.319999999999993</v>
      </c>
      <c r="L181" s="91" t="str">
        <f ca="1">VLOOKUP(B181,bond!B:H,7,FALSE)</f>
        <v>2024/7/2</v>
      </c>
      <c r="M181" s="144">
        <f ca="1">VLOOKUP($B181,bond!$B:$Q,16,FALSE)</f>
        <v>5.2600000000000001E-2</v>
      </c>
      <c r="N181" s="136">
        <f ca="1">VALUE(LEFT(VLOOKUP(B181,bond!B:R,17,FALSE),SEARCH(" ",VLOOKUP(B181,bond!B:R,17,FALSE),1)))</f>
        <v>10000</v>
      </c>
      <c r="O181" s="136">
        <f ca="1">VALUE(RIGHT(VLOOKUP(B181,bond!B:R,17,FALSE),LEN(VLOOKUP(B181,bond!B:R,17,FALSE))-LEN(N181)-3))</f>
        <v>1000</v>
      </c>
      <c r="P181" s="135" t="str">
        <f ca="1">VLOOKUP($B181,bond!$B:$AG,32,FALSE)</f>
        <v>2024/8/15</v>
      </c>
      <c r="Q181" s="135" t="str">
        <f ca="1">VLOOKUP($B181,bond!$B:$AH,33,FALSE)</f>
        <v>通訊</v>
      </c>
      <c r="R181" s="135" t="str">
        <f ca="1">VLOOKUP(B181,bond!B:AA,26,FALSE)</f>
        <v>T-Mobile美國公司</v>
      </c>
      <c r="S181" s="135" t="str">
        <f ca="1">VLOOKUP(B181,bond!B:AI,34,FALSE)</f>
        <v>TMUS</v>
      </c>
      <c r="T181" s="135" t="str">
        <f t="shared" ca="1" si="14"/>
        <v>T-Mobile美國公司/TMUS</v>
      </c>
      <c r="U181" s="207" t="str">
        <f ca="1">IFERROR(VLOOKUP(T181,Bond_DES!D:E,2,FALSE),VLOOKUP(S181,bond!AI:AJ,2,FALSE))</f>
        <v>T-Mobile美國公司(T-Mobile USA, Inc.)提供電信服務。保證機構T-Mobile US, Inc.為德意志電信(Deutsche Telekom)旗下子公司，併入Sprint挹注用戶數突破1億，並成為全美5G覆蓋率最廣之行動電信商。德意志電信於2023年《Brand Finance》全球150大電信品牌價值排行第2位。</v>
      </c>
      <c r="V181" s="136" t="str">
        <f ca="1">IFERROR(VLOOKUP(B181,'1_重設數據'!L:M,2,FALSE),IF(Q181="政府",IF(AD181&gt;16,"(NPI)非專投",IF(AD181&gt;10,"(PI)專投","高資產")),IF(VLOOKUP(B181,bond!B:AN,39,FALSE)="Y","(PI)專投",IF(AD181&gt;=15,"(NPI)非專投",IF(AD181&gt;=10,"(PI)專投","高資產")))))</f>
        <v>(PI)專投</v>
      </c>
      <c r="W181" s="136" t="str">
        <f ca="1">VLOOKUP(AD181,'credit rating'!$F$2:$H$22,3,FALSE)</f>
        <v>BBB+</v>
      </c>
      <c r="X181" s="136" t="str">
        <f t="shared" ca="1" si="15"/>
        <v>Baa2</v>
      </c>
      <c r="Y181" s="136" t="str">
        <f t="shared" ca="1" si="16"/>
        <v>BBB</v>
      </c>
      <c r="Z181" s="136" t="str">
        <f t="shared" ca="1" si="17"/>
        <v>BBB+</v>
      </c>
      <c r="AA181" s="134">
        <f ca="1">IFERROR(VLOOKUP(X181,'credit rating'!A:C,3,FALSE),0)</f>
        <v>13</v>
      </c>
      <c r="AB181" s="134">
        <f ca="1">IFERROR(VLOOKUP(Y181,'credit rating'!B:C,2,FALSE),0)</f>
        <v>13</v>
      </c>
      <c r="AC181" s="136">
        <f ca="1">IFERROR(VLOOKUP(Z181,'credit rating'!B:C,2,FALSE),0)</f>
        <v>14</v>
      </c>
      <c r="AD181" s="136">
        <f t="shared" ca="1" si="18"/>
        <v>14</v>
      </c>
      <c r="AE181" s="249">
        <f ca="1">IFERROR(VLOOKUP(B181,bond!B:U,20,FALSE),"")</f>
        <v>5.3100000000000001E-2</v>
      </c>
      <c r="AF181" s="136" t="str">
        <f ca="1">IF(VLOOKUP(B181,bond!B:AK,36,FALSE)="#N/A Field Not Applicable","",VLOOKUP(B181,bond!B:AK,36,FALSE))</f>
        <v>2040/8/15</v>
      </c>
      <c r="AG181" s="136" t="str">
        <f ca="1">IF(VLOOKUP(B181,bond!B:AL,37,FALSE)="FIXED","固定",IF(VLOOKUP(B181,bond!B:AL,37,FALSE)="FLOATING","浮動",IF(VLOOKUP(B181,bond!B:AL,37,FALSE)="VARIABLE","變動",IF(VLOOKUP(B181,bond!B:AL,37,FALSE)="FLAT TRADING","不含息交易",IF(VLOOKUP(B181,bond!B:AL,37,FALSE)="ZERO COUPON","零息",VLOOKUP(B181,bond!B:AL,37,FALSE))))))</f>
        <v>固定</v>
      </c>
      <c r="AH181" s="136" t="str">
        <f>VLOOKUP(C181,'2_Check_code'!I:J,2,FALSE)</f>
        <v>美元(USD)</v>
      </c>
      <c r="AI181" s="136" t="str">
        <f t="shared" ca="1" si="19"/>
        <v>自由選清單</v>
      </c>
      <c r="AJ181" s="136">
        <f t="shared" ca="1" si="20"/>
        <v>0</v>
      </c>
      <c r="AK181" s="594" t="str">
        <f ca="1">IF(VLOOKUP(B181,bond!B:S,18,FALSE)="是","有",IF(VLOOKUP(B181,bond!B:S,18,FALSE)="NO OFFER","無","需查詢"))</f>
        <v>有</v>
      </c>
      <c r="AL181" s="136" t="str">
        <f>IF(VLOOKUP(A181,bond!F:AR,39,FALSE)="#N/A Field Not Applicable",VLOOKUP(A181,bond!F:AR,38,FALSE),IFERROR(VLOOKUP(A181,'7_發行日例外'!A:B,2,FALSE),VLOOKUP(A181,bond!F:AR,39,FALSE)))</f>
        <v>2021/2/15</v>
      </c>
      <c r="AM181" s="136" t="str">
        <f ca="1">VLOOKUP(B181,bond!B:AK,36,FALSE)</f>
        <v>2040/8/15</v>
      </c>
      <c r="AN181" s="136" t="str">
        <f ca="1">IFERROR(VLOOKUP(B181,'3_是否下架'!A:A,1,FALSE),"")</f>
        <v/>
      </c>
      <c r="AO181" s="136">
        <f ca="1">VLOOKUP(B181,bond!B:J,9,FALSE)</f>
        <v>72.180000000000007</v>
      </c>
      <c r="AP181" s="136">
        <f ca="1">VLOOKUP(B181,bond!B:V,21,FALSE)</f>
        <v>11.988899999999999</v>
      </c>
    </row>
    <row r="182" spans="1:42">
      <c r="A182" s="141" t="str">
        <f>bond!F183</f>
        <v>AU3CB0268167</v>
      </c>
      <c r="B182" s="151" t="str">
        <f ca="1">IF($C$1=TRUE,bond!B183,"")</f>
        <v>XG670</v>
      </c>
      <c r="C182" s="95" t="str">
        <f>VLOOKUP(A182,bond!F:G,2,FALSE)</f>
        <v>AUD</v>
      </c>
      <c r="D182" s="142" t="str">
        <f ca="1">VLOOKUP(B182,bond!B:C,2,FALSE)</f>
        <v>威瑞森電信公司澳幣配息債券  3.5% 2039/11/4</v>
      </c>
      <c r="E182" s="95" t="str">
        <f ca="1">VLOOKUP(B182,bond!B:D,3,FALSE)</f>
        <v>Baa1 / BBB+ / A-</v>
      </c>
      <c r="F182" s="99" t="str">
        <f ca="1">VLOOKUP(B182,bond!B:AB,27,FALSE)</f>
        <v>2039/11/4</v>
      </c>
      <c r="G182" s="90">
        <f ca="1">VLOOKUP(B182,bond!B:E,4,FALSE)</f>
        <v>15.34</v>
      </c>
      <c r="H182" s="202">
        <f ca="1">VLOOKUP(B182,bond!B:Y,24,FALSE)</f>
        <v>3.5000000000000003E-2</v>
      </c>
      <c r="I182" s="95">
        <f ca="1">VLOOKUP(B182,bond!B:Z,25,FALSE)</f>
        <v>2</v>
      </c>
      <c r="J182" s="180">
        <f ca="1">VLOOKUP(B182,bond!B:K,10,FALSE)</f>
        <v>0.57099999999999995</v>
      </c>
      <c r="K182" s="96">
        <f ca="1">VLOOKUP($B182,bond!B:S,14,FALSE)</f>
        <v>75.66</v>
      </c>
      <c r="L182" s="91" t="str">
        <f ca="1">VLOOKUP(B182,bond!B:H,7,FALSE)</f>
        <v>2024/7/3</v>
      </c>
      <c r="M182" s="144">
        <f ca="1">VLOOKUP($B182,bond!$B:$Q,16,FALSE)</f>
        <v>6.0100000000000001E-2</v>
      </c>
      <c r="N182" s="136">
        <f ca="1">VALUE(LEFT(VLOOKUP(B182,bond!B:R,17,FALSE),SEARCH(" ",VLOOKUP(B182,bond!B:R,17,FALSE),1)))</f>
        <v>200000</v>
      </c>
      <c r="O182" s="136">
        <f ca="1">VALUE(RIGHT(VLOOKUP(B182,bond!B:R,17,FALSE),LEN(VLOOKUP(B182,bond!B:R,17,FALSE))-LEN(N182)-3))</f>
        <v>10000</v>
      </c>
      <c r="P182" s="135" t="str">
        <f ca="1">VLOOKUP($B182,bond!$B:$AG,32,FALSE)</f>
        <v>2024/11/4</v>
      </c>
      <c r="Q182" s="135" t="str">
        <f ca="1">VLOOKUP($B182,bond!$B:$AH,33,FALSE)</f>
        <v>通訊</v>
      </c>
      <c r="R182" s="135" t="str">
        <f ca="1">VLOOKUP(B182,bond!B:AA,26,FALSE)</f>
        <v>威瑞森電信公司</v>
      </c>
      <c r="S182" s="135" t="str">
        <f ca="1">VLOOKUP(B182,bond!B:AI,34,FALSE)</f>
        <v>VZ</v>
      </c>
      <c r="T182" s="135" t="str">
        <f t="shared" ca="1" si="14"/>
        <v>威瑞森電信公司/VZ</v>
      </c>
      <c r="U182" s="207" t="str">
        <f ca="1">IFERROR(VLOOKUP(T182,Bond_DES!D:E,2,FALSE),VLOOKUP(S182,bond!AI:AJ,2,FALSE))</f>
        <v>威瑞森電信(Verizon Communications Inc.)為全球電信業者中，產業規模最大且最會賺錢的電信商，且是唯一具備A級評等的美國無線通訊服務供應商，2021年完成收購美國最大的預付行動電話營運商TracFone後，進一步稱霸北美零售無線後付費及預付費通訊市場，於美國零售無線用戶市佔第一，總零售無線用戶數逾1.4億戶。</v>
      </c>
      <c r="V182" s="136" t="str">
        <f ca="1">IFERROR(VLOOKUP(B182,'1_重設數據'!L:M,2,FALSE),IF(Q182="政府",IF(AD182&gt;16,"(NPI)非專投",IF(AD182&gt;10,"(PI)專投","高資產")),IF(VLOOKUP(B182,bond!B:AN,39,FALSE)="Y","(PI)專投",IF(AD182&gt;=15,"(NPI)非專投",IF(AD182&gt;=10,"(PI)專投","高資產")))))</f>
        <v>(NPI)非專投</v>
      </c>
      <c r="W182" s="136" t="str">
        <f ca="1">VLOOKUP(AD182,'credit rating'!$F$2:$H$22,3,FALSE)</f>
        <v>A-</v>
      </c>
      <c r="X182" s="136" t="str">
        <f t="shared" ca="1" si="15"/>
        <v>Baa1</v>
      </c>
      <c r="Y182" s="136" t="str">
        <f t="shared" ca="1" si="16"/>
        <v>BBB+</v>
      </c>
      <c r="Z182" s="136" t="str">
        <f t="shared" ca="1" si="17"/>
        <v>A-</v>
      </c>
      <c r="AA182" s="134">
        <f ca="1">IFERROR(VLOOKUP(X182,'credit rating'!A:C,3,FALSE),0)</f>
        <v>14</v>
      </c>
      <c r="AB182" s="134">
        <f ca="1">IFERROR(VLOOKUP(Y182,'credit rating'!B:C,2,FALSE),0)</f>
        <v>14</v>
      </c>
      <c r="AC182" s="136">
        <f ca="1">IFERROR(VLOOKUP(Z182,'credit rating'!B:C,2,FALSE),0)</f>
        <v>15</v>
      </c>
      <c r="AD182" s="136">
        <f t="shared" ca="1" si="18"/>
        <v>15</v>
      </c>
      <c r="AE182" s="249" t="str">
        <f ca="1">IFERROR(VLOOKUP(B182,bond!B:U,20,FALSE),"")</f>
        <v xml:space="preserve"> </v>
      </c>
      <c r="AF182" s="136" t="str">
        <f ca="1">IF(VLOOKUP(B182,bond!B:AK,36,FALSE)="#N/A Field Not Applicable","",VLOOKUP(B182,bond!B:AK,36,FALSE))</f>
        <v/>
      </c>
      <c r="AG182" s="136" t="str">
        <f ca="1">IF(VLOOKUP(B182,bond!B:AL,37,FALSE)="FIXED","固定",IF(VLOOKUP(B182,bond!B:AL,37,FALSE)="FLOATING","浮動",IF(VLOOKUP(B182,bond!B:AL,37,FALSE)="VARIABLE","變動",IF(VLOOKUP(B182,bond!B:AL,37,FALSE)="FLAT TRADING","不含息交易",IF(VLOOKUP(B182,bond!B:AL,37,FALSE)="ZERO COUPON","零息",VLOOKUP(B182,bond!B:AL,37,FALSE))))))</f>
        <v>固定</v>
      </c>
      <c r="AH182" s="136" t="str">
        <f>VLOOKUP(C182,'2_Check_code'!I:J,2,FALSE)</f>
        <v>澳幣(AUD)</v>
      </c>
      <c r="AI182" s="136" t="str">
        <f t="shared" ca="1" si="19"/>
        <v/>
      </c>
      <c r="AJ182" s="136">
        <f t="shared" ca="1" si="20"/>
        <v>1</v>
      </c>
      <c r="AK182" s="594" t="str">
        <f ca="1">IF(VLOOKUP(B182,bond!B:S,18,FALSE)="是","有",IF(VLOOKUP(B182,bond!B:S,18,FALSE)="NO OFFER","無","需查詢"))</f>
        <v>無</v>
      </c>
      <c r="AL182" s="136" t="str">
        <f>IF(VLOOKUP(A182,bond!F:AR,39,FALSE)="#N/A Field Not Applicable",VLOOKUP(A182,bond!F:AR,38,FALSE),IFERROR(VLOOKUP(A182,'7_發行日例外'!A:B,2,FALSE),VLOOKUP(A182,bond!F:AR,39,FALSE)))</f>
        <v>2019/11/4</v>
      </c>
      <c r="AM182" s="136" t="str">
        <f ca="1">VLOOKUP(B182,bond!B:AK,36,FALSE)</f>
        <v>#N/A Field Not Applicable</v>
      </c>
      <c r="AN182" s="136" t="str">
        <f ca="1">IFERROR(VLOOKUP(B182,'3_是否下架'!A:A,1,FALSE),"")</f>
        <v>XG670</v>
      </c>
      <c r="AO182" s="136">
        <f ca="1">VLOOKUP(B182,bond!B:J,9,FALSE)</f>
        <v>72.59</v>
      </c>
      <c r="AP182" s="136">
        <f ca="1">VLOOKUP(B182,bond!B:V,21,FALSE)</f>
        <v>10.8348</v>
      </c>
    </row>
    <row r="183" spans="1:42">
      <c r="A183" s="141" t="str">
        <f>bond!F184</f>
        <v>XS1944412748</v>
      </c>
      <c r="B183" s="151" t="str">
        <f ca="1">IF($C$1=TRUE,bond!B184,"")</f>
        <v>XG680</v>
      </c>
      <c r="C183" s="95" t="str">
        <f>VLOOKUP(A183,bond!F:G,2,FALSE)</f>
        <v>USD</v>
      </c>
      <c r="D183" s="142" t="str">
        <f ca="1">VLOOKUP(B183,bond!B:C,2,FALSE)</f>
        <v>阿曼政府國際公債美元配息債券 6% 2029/8/1</v>
      </c>
      <c r="E183" s="95" t="str">
        <f ca="1">VLOOKUP(B183,bond!B:D,3,FALSE)</f>
        <v>Ba1 / - / BB+</v>
      </c>
      <c r="F183" s="99" t="str">
        <f ca="1">VLOOKUP(B183,bond!B:AB,27,FALSE)</f>
        <v>2029/8/1</v>
      </c>
      <c r="G183" s="90">
        <f ca="1">VLOOKUP(B183,bond!B:E,4,FALSE)</f>
        <v>5.08</v>
      </c>
      <c r="H183" s="202">
        <f ca="1">VLOOKUP(B183,bond!B:Y,24,FALSE)</f>
        <v>0.06</v>
      </c>
      <c r="I183" s="95">
        <f ca="1">VLOOKUP(B183,bond!B:Z,25,FALSE)</f>
        <v>2</v>
      </c>
      <c r="J183" s="180">
        <f ca="1">VLOOKUP(B183,bond!B:K,10,FALSE)</f>
        <v>2.5333000000000001</v>
      </c>
      <c r="K183" s="96">
        <f ca="1">VLOOKUP($B183,bond!B:S,14,FALSE)</f>
        <v>106.85</v>
      </c>
      <c r="L183" s="91" t="str">
        <f ca="1">VLOOKUP(B183,bond!B:H,7,FALSE)</f>
        <v>2024/7/3</v>
      </c>
      <c r="M183" s="144">
        <f ca="1">VLOOKUP($B183,bond!$B:$Q,16,FALSE)</f>
        <v>5.0200000000000002E-2</v>
      </c>
      <c r="N183" s="136">
        <f ca="1">VALUE(LEFT(VLOOKUP(B183,bond!B:R,17,FALSE),SEARCH(" ",VLOOKUP(B183,bond!B:R,17,FALSE),1)))</f>
        <v>200000</v>
      </c>
      <c r="O183" s="136">
        <f ca="1">VALUE(RIGHT(VLOOKUP(B183,bond!B:R,17,FALSE),LEN(VLOOKUP(B183,bond!B:R,17,FALSE))-LEN(N183)-3))</f>
        <v>1000</v>
      </c>
      <c r="P183" s="135" t="str">
        <f ca="1">VLOOKUP($B183,bond!$B:$AG,32,FALSE)</f>
        <v>2024/8/1</v>
      </c>
      <c r="Q183" s="135" t="str">
        <f ca="1">VLOOKUP($B183,bond!$B:$AH,33,FALSE)</f>
        <v>政府</v>
      </c>
      <c r="R183" s="135" t="str">
        <f ca="1">VLOOKUP(B183,bond!B:AA,26,FALSE)</f>
        <v>阿曼政府國際債券</v>
      </c>
      <c r="S183" s="135" t="str">
        <f ca="1">VLOOKUP(B183,bond!B:AI,34,FALSE)</f>
        <v>OMAN</v>
      </c>
      <c r="T183" s="135" t="str">
        <f t="shared" ca="1" si="14"/>
        <v>阿曼政府國際債券/OMAN</v>
      </c>
      <c r="U183" s="207" t="str">
        <f ca="1">IFERROR(VLOOKUP(T183,Bond_DES!D:E,2,FALSE),VLOOKUP(S183,bond!AI:AJ,2,FALSE))</f>
        <v>阿曼蘇丹國(Sultanate of Oman，簡稱阿曼)是海灣國家合作委員會(GCC)成員國中按面積第2大的國家，首都馬斯開特(Muscat)又名「阿拉伯之珠」。阿曼為典型的資源輸出型國家，原油及天然氣產業為重要經濟支柱，2023年人均GDP高於中國、墨西哥等經濟大國。</v>
      </c>
      <c r="V183" s="136" t="str">
        <f ca="1">IFERROR(VLOOKUP(B183,'1_重設數據'!L:M,2,FALSE),IF(Q183="政府",IF(AD183&gt;16,"(NPI)非專投",IF(AD183&gt;10,"(PI)專投","高資產")),IF(VLOOKUP(B183,bond!B:AN,39,FALSE)="Y","(PI)專投",IF(AD183&gt;=15,"(NPI)非專投",IF(AD183&gt;=10,"(PI)專投","高資產")))))</f>
        <v>高資產</v>
      </c>
      <c r="W183" s="136" t="str">
        <f ca="1">VLOOKUP(AD183,'credit rating'!$F$2:$H$22,3,FALSE)</f>
        <v>BB+</v>
      </c>
      <c r="X183" s="136" t="str">
        <f t="shared" ca="1" si="15"/>
        <v>Ba1</v>
      </c>
      <c r="Y183" s="136" t="str">
        <f t="shared" ca="1" si="16"/>
        <v>-</v>
      </c>
      <c r="Z183" s="136" t="str">
        <f t="shared" ca="1" si="17"/>
        <v>BB+</v>
      </c>
      <c r="AA183" s="134">
        <f ca="1">IFERROR(VLOOKUP(X183,'credit rating'!A:C,3,FALSE),0)</f>
        <v>11</v>
      </c>
      <c r="AB183" s="134">
        <f ca="1">IFERROR(VLOOKUP(Y183,'credit rating'!B:C,2,FALSE),0)</f>
        <v>0</v>
      </c>
      <c r="AC183" s="136">
        <f ca="1">IFERROR(VLOOKUP(Z183,'credit rating'!B:C,2,FALSE),0)</f>
        <v>11</v>
      </c>
      <c r="AD183" s="136">
        <f t="shared" ca="1" si="18"/>
        <v>11</v>
      </c>
      <c r="AE183" s="249" t="str">
        <f ca="1">IFERROR(VLOOKUP(B183,bond!B:U,20,FALSE),"")</f>
        <v xml:space="preserve"> </v>
      </c>
      <c r="AF183" s="136" t="str">
        <f ca="1">IF(VLOOKUP(B183,bond!B:AK,36,FALSE)="#N/A Field Not Applicable","",VLOOKUP(B183,bond!B:AK,36,FALSE))</f>
        <v/>
      </c>
      <c r="AG183" s="136" t="str">
        <f ca="1">IF(VLOOKUP(B183,bond!B:AL,37,FALSE)="FIXED","固定",IF(VLOOKUP(B183,bond!B:AL,37,FALSE)="FLOATING","浮動",IF(VLOOKUP(B183,bond!B:AL,37,FALSE)="VARIABLE","變動",IF(VLOOKUP(B183,bond!B:AL,37,FALSE)="FLAT TRADING","不含息交易",IF(VLOOKUP(B183,bond!B:AL,37,FALSE)="ZERO COUPON","零息",VLOOKUP(B183,bond!B:AL,37,FALSE))))))</f>
        <v>固定</v>
      </c>
      <c r="AH183" s="136" t="str">
        <f>VLOOKUP(C183,'2_Check_code'!I:J,2,FALSE)</f>
        <v>美元(USD)</v>
      </c>
      <c r="AI183" s="136" t="str">
        <f t="shared" ca="1" si="19"/>
        <v>自由選清單</v>
      </c>
      <c r="AJ183" s="136">
        <f t="shared" ca="1" si="20"/>
        <v>0</v>
      </c>
      <c r="AK183" s="594" t="str">
        <f ca="1">IF(VLOOKUP(B183,bond!B:S,18,FALSE)="是","有",IF(VLOOKUP(B183,bond!B:S,18,FALSE)="NO OFFER","無","需查詢"))</f>
        <v>有</v>
      </c>
      <c r="AL183" s="136" t="str">
        <f>IF(VLOOKUP(A183,bond!F:AR,39,FALSE)="#N/A Field Not Applicable",VLOOKUP(A183,bond!F:AR,38,FALSE),IFERROR(VLOOKUP(A183,'7_發行日例外'!A:B,2,FALSE),VLOOKUP(A183,bond!F:AR,39,FALSE)))</f>
        <v>2019/8/1</v>
      </c>
      <c r="AM183" s="136" t="str">
        <f ca="1">VLOOKUP(B183,bond!B:AK,36,FALSE)</f>
        <v>#N/A Field Not Applicable</v>
      </c>
      <c r="AN183" s="136" t="str">
        <f ca="1">IFERROR(VLOOKUP(B183,'3_是否下架'!A:A,1,FALSE),"")</f>
        <v/>
      </c>
      <c r="AO183" s="136">
        <f ca="1">VLOOKUP(B183,bond!B:J,9,FALSE)</f>
        <v>102.32000000000001</v>
      </c>
      <c r="AP183" s="136">
        <f ca="1">VLOOKUP(B183,bond!B:V,21,FALSE)</f>
        <v>4.2404000000000002</v>
      </c>
    </row>
    <row r="184" spans="1:42">
      <c r="A184" s="141" t="str">
        <f>bond!F185</f>
        <v>US71645WAS08</v>
      </c>
      <c r="B184" s="151" t="str">
        <f ca="1">IF($C$1=TRUE,bond!B185,"")</f>
        <v>XG690</v>
      </c>
      <c r="C184" s="95" t="str">
        <f>VLOOKUP(A184,bond!F:G,2,FALSE)</f>
        <v>USD</v>
      </c>
      <c r="D184" s="142" t="str">
        <f ca="1">VLOOKUP(B184,bond!B:C,2,FALSE)</f>
        <v>巴西石油全球金融私人有限公司美元配息債券 6.75% 2041/1/27</v>
      </c>
      <c r="E184" s="95" t="str">
        <f ca="1">VLOOKUP(B184,bond!B:D,3,FALSE)</f>
        <v>Ba1 / BB / BB</v>
      </c>
      <c r="F184" s="99" t="str">
        <f ca="1">VLOOKUP(B184,bond!B:AB,27,FALSE)</f>
        <v>2041/1/27</v>
      </c>
      <c r="G184" s="90">
        <f ca="1">VLOOKUP(B184,bond!B:E,4,FALSE)</f>
        <v>16.57</v>
      </c>
      <c r="H184" s="202">
        <f ca="1">VLOOKUP(B184,bond!B:Y,24,FALSE)</f>
        <v>6.7500000000000004E-2</v>
      </c>
      <c r="I184" s="95">
        <f ca="1">VLOOKUP(B184,bond!B:Z,25,FALSE)</f>
        <v>2</v>
      </c>
      <c r="J184" s="180">
        <f ca="1">VLOOKUP(B184,bond!B:K,10,FALSE)</f>
        <v>2.9062999999999999</v>
      </c>
      <c r="K184" s="96">
        <f ca="1">VLOOKUP($B184,bond!B:S,14,FALSE)</f>
        <v>103.26</v>
      </c>
      <c r="L184" s="91" t="str">
        <f ca="1">VLOOKUP(B184,bond!B:H,7,FALSE)</f>
        <v>2024/7/2</v>
      </c>
      <c r="M184" s="144">
        <f ca="1">VLOOKUP($B184,bond!$B:$Q,16,FALSE)</f>
        <v>6.7100000000000007E-2</v>
      </c>
      <c r="N184" s="136">
        <f ca="1">VALUE(LEFT(VLOOKUP(B184,bond!B:R,17,FALSE),SEARCH(" ",VLOOKUP(B184,bond!B:R,17,FALSE),1)))</f>
        <v>10000</v>
      </c>
      <c r="O184" s="136">
        <f ca="1">VALUE(RIGHT(VLOOKUP(B184,bond!B:R,17,FALSE),LEN(VLOOKUP(B184,bond!B:R,17,FALSE))-LEN(N184)-3))</f>
        <v>1000</v>
      </c>
      <c r="P184" s="135" t="str">
        <f ca="1">VLOOKUP($B184,bond!$B:$AG,32,FALSE)</f>
        <v>2024/7/27</v>
      </c>
      <c r="Q184" s="135" t="str">
        <f ca="1">VLOOKUP($B184,bond!$B:$AH,33,FALSE)</f>
        <v>能源</v>
      </c>
      <c r="R184" s="135" t="str">
        <f ca="1">VLOOKUP(B184,bond!B:AA,26,FALSE)</f>
        <v>巴西石油全球金融私人有限公司</v>
      </c>
      <c r="S184" s="135" t="str">
        <f ca="1">VLOOKUP(B184,bond!B:AI,34,FALSE)</f>
        <v>PETBRA</v>
      </c>
      <c r="T184" s="135" t="str">
        <f t="shared" ca="1" si="14"/>
        <v>巴西石油全球金融私人有限公司/PETBRA</v>
      </c>
      <c r="U184" s="207" t="str">
        <f ca="1">IFERROR(VLOOKUP(T184,Bond_DES!D:E,2,FALSE),VLOOKUP(S184,bond!AI:AJ,2,FALSE))</f>
        <v>巴西石油全球金融私人有限公司(Petrobras Global Finance B.V.)為一家特殊目的機構。保證機構及母公司巴西石油公司(Petroleo Brasileiro SA)探勘及生產石油與天然氣，對巴西具戰略重要性地位，巴西聯邦政府擁有多數股權及控制權。巴西石油公司於2023年《Fortune》全球500大企業同產業排名中，名列第13名。</v>
      </c>
      <c r="V184" s="136" t="str">
        <f ca="1">IFERROR(VLOOKUP(B184,'1_重設數據'!L:M,2,FALSE),IF(Q184="政府",IF(AD184&gt;16,"(NPI)非專投",IF(AD184&gt;10,"(PI)專投","高資產")),IF(VLOOKUP(B184,bond!B:AN,39,FALSE)="Y","(PI)專投",IF(AD184&gt;=15,"(NPI)非專投",IF(AD184&gt;=10,"(PI)專投","高資產")))))</f>
        <v>高資產</v>
      </c>
      <c r="W184" s="136" t="str">
        <f ca="1">VLOOKUP(AD184,'credit rating'!$F$2:$H$22,3,FALSE)</f>
        <v>BB+</v>
      </c>
      <c r="X184" s="136" t="str">
        <f t="shared" ca="1" si="15"/>
        <v>Ba1</v>
      </c>
      <c r="Y184" s="136" t="str">
        <f t="shared" ca="1" si="16"/>
        <v>BB</v>
      </c>
      <c r="Z184" s="136" t="str">
        <f t="shared" ca="1" si="17"/>
        <v>BB</v>
      </c>
      <c r="AA184" s="134">
        <f ca="1">IFERROR(VLOOKUP(X184,'credit rating'!A:C,3,FALSE),0)</f>
        <v>11</v>
      </c>
      <c r="AB184" s="134">
        <f ca="1">IFERROR(VLOOKUP(Y184,'credit rating'!B:C,2,FALSE),0)</f>
        <v>10</v>
      </c>
      <c r="AC184" s="136">
        <f ca="1">IFERROR(VLOOKUP(Z184,'credit rating'!B:C,2,FALSE),0)</f>
        <v>10</v>
      </c>
      <c r="AD184" s="136">
        <f t="shared" ca="1" si="18"/>
        <v>11</v>
      </c>
      <c r="AE184" s="249" t="str">
        <f ca="1">IFERROR(VLOOKUP(B184,bond!B:U,20,FALSE),"")</f>
        <v xml:space="preserve"> </v>
      </c>
      <c r="AF184" s="136" t="str">
        <f ca="1">IF(VLOOKUP(B184,bond!B:AK,36,FALSE)="#N/A Field Not Applicable","",VLOOKUP(B184,bond!B:AK,36,FALSE))</f>
        <v/>
      </c>
      <c r="AG184" s="136" t="str">
        <f ca="1">IF(VLOOKUP(B184,bond!B:AL,37,FALSE)="FIXED","固定",IF(VLOOKUP(B184,bond!B:AL,37,FALSE)="FLOATING","浮動",IF(VLOOKUP(B184,bond!B:AL,37,FALSE)="VARIABLE","變動",IF(VLOOKUP(B184,bond!B:AL,37,FALSE)="FLAT TRADING","不含息交易",IF(VLOOKUP(B184,bond!B:AL,37,FALSE)="ZERO COUPON","零息",VLOOKUP(B184,bond!B:AL,37,FALSE))))))</f>
        <v>固定</v>
      </c>
      <c r="AH184" s="136" t="str">
        <f>VLOOKUP(C184,'2_Check_code'!I:J,2,FALSE)</f>
        <v>美元(USD)</v>
      </c>
      <c r="AI184" s="136" t="str">
        <f t="shared" ca="1" si="19"/>
        <v>自由選清單</v>
      </c>
      <c r="AJ184" s="136">
        <f t="shared" ca="1" si="20"/>
        <v>0</v>
      </c>
      <c r="AK184" s="594" t="str">
        <f ca="1">IF(VLOOKUP(B184,bond!B:S,18,FALSE)="是","有",IF(VLOOKUP(B184,bond!B:S,18,FALSE)="NO OFFER","無","需查詢"))</f>
        <v>有</v>
      </c>
      <c r="AL184" s="136" t="str">
        <f>IF(VLOOKUP(A184,bond!F:AR,39,FALSE)="#N/A Field Not Applicable",VLOOKUP(A184,bond!F:AR,38,FALSE),IFERROR(VLOOKUP(A184,'7_發行日例外'!A:B,2,FALSE),VLOOKUP(A184,bond!F:AR,39,FALSE)))</f>
        <v>2011/1/27</v>
      </c>
      <c r="AM184" s="136" t="str">
        <f ca="1">VLOOKUP(B184,bond!B:AK,36,FALSE)</f>
        <v>#N/A Field Not Applicable</v>
      </c>
      <c r="AN184" s="136" t="str">
        <f ca="1">IFERROR(VLOOKUP(B184,'3_是否下架'!A:A,1,FALSE),"")</f>
        <v/>
      </c>
      <c r="AO184" s="136">
        <f ca="1">VLOOKUP(B184,bond!B:J,9,FALSE)</f>
        <v>97.350000000000009</v>
      </c>
      <c r="AP184" s="136">
        <f ca="1">VLOOKUP(B184,bond!B:V,21,FALSE)</f>
        <v>9.5225000000000009</v>
      </c>
    </row>
    <row r="185" spans="1:42">
      <c r="A185" s="141" t="str">
        <f>bond!F186</f>
        <v>US71654QCC42</v>
      </c>
      <c r="B185" s="151" t="str">
        <f ca="1">IF($C$1=TRUE,bond!B186,"")</f>
        <v>XG700</v>
      </c>
      <c r="C185" s="95" t="str">
        <f>VLOOKUP(A185,bond!F:G,2,FALSE)</f>
        <v>USD</v>
      </c>
      <c r="D185" s="142" t="str">
        <f ca="1">VLOOKUP(B185,bond!B:C,2,FALSE)</f>
        <v>墨西哥石油公司美元配息債券 6.75% 2047/9/21</v>
      </c>
      <c r="E185" s="95" t="str">
        <f ca="1">VLOOKUP(B185,bond!B:D,3,FALSE)</f>
        <v>B3 / BBB / B+u</v>
      </c>
      <c r="F185" s="99" t="str">
        <f ca="1">VLOOKUP(B185,bond!B:AB,27,FALSE)</f>
        <v>2047/9/21</v>
      </c>
      <c r="G185" s="90">
        <f ca="1">VLOOKUP(B185,bond!B:E,4,FALSE)</f>
        <v>23.22</v>
      </c>
      <c r="H185" s="202">
        <f ca="1">VLOOKUP(B185,bond!B:Y,24,FALSE)</f>
        <v>6.7500000000000004E-2</v>
      </c>
      <c r="I185" s="95">
        <f ca="1">VLOOKUP(B185,bond!B:Z,25,FALSE)</f>
        <v>2</v>
      </c>
      <c r="J185" s="180">
        <f ca="1">VLOOKUP(B185,bond!B:K,10,FALSE)</f>
        <v>1.8937999999999999</v>
      </c>
      <c r="K185" s="96">
        <f ca="1">VLOOKUP($B185,bond!B:S,14,FALSE)</f>
        <v>72.55</v>
      </c>
      <c r="L185" s="91" t="str">
        <f ca="1">VLOOKUP(B185,bond!B:H,7,FALSE)</f>
        <v>2024/7/2</v>
      </c>
      <c r="M185" s="144">
        <f ca="1">VLOOKUP($B185,bond!$B:$Q,16,FALSE)</f>
        <v>0.1003</v>
      </c>
      <c r="N185" s="136">
        <f ca="1">VALUE(LEFT(VLOOKUP(B185,bond!B:R,17,FALSE),SEARCH(" ",VLOOKUP(B185,bond!B:R,17,FALSE),1)))</f>
        <v>10000</v>
      </c>
      <c r="O185" s="136">
        <f ca="1">VALUE(RIGHT(VLOOKUP(B185,bond!B:R,17,FALSE),LEN(VLOOKUP(B185,bond!B:R,17,FALSE))-LEN(N185)-3))</f>
        <v>1000</v>
      </c>
      <c r="P185" s="135" t="str">
        <f ca="1">VLOOKUP($B185,bond!$B:$AG,32,FALSE)</f>
        <v>2024/9/21</v>
      </c>
      <c r="Q185" s="135" t="str">
        <f ca="1">VLOOKUP($B185,bond!$B:$AH,33,FALSE)</f>
        <v>能源</v>
      </c>
      <c r="R185" s="135" t="str">
        <f ca="1">VLOOKUP(B185,bond!B:AA,26,FALSE)</f>
        <v>墨西哥石油公司</v>
      </c>
      <c r="S185" s="135" t="str">
        <f ca="1">VLOOKUP(B185,bond!B:AI,34,FALSE)</f>
        <v>PEMEX</v>
      </c>
      <c r="T185" s="135" t="str">
        <f t="shared" ca="1" si="14"/>
        <v>墨西哥石油公司/PEMEX</v>
      </c>
      <c r="U185" s="207" t="str">
        <f ca="1">IFERROR(VLOOKUP(T185,Bond_DES!D:E,2,FALSE),VLOOKUP(S185,bond!AI:AJ,2,FALSE))</f>
        <v>墨西哥石油(Petroleos Mexicanos)為一整合性石油公司，提供從勘探、生產、工業加工提煉、物流到市場營銷等完整服務。為墨西哥政府最大的稅收貢獻者及主要外匯收入來源企業，亦為拉丁美洲最大的公司之一。</v>
      </c>
      <c r="V185" s="136" t="str">
        <f ca="1">IFERROR(VLOOKUP(B185,'1_重設數據'!L:M,2,FALSE),IF(Q185="政府",IF(AD185&gt;16,"(NPI)非專投",IF(AD185&gt;10,"(PI)專投","高資產")),IF(VLOOKUP(B185,bond!B:AN,39,FALSE)="Y","(PI)專投",IF(AD185&gt;=15,"(NPI)非專投",IF(AD185&gt;=10,"(PI)專投","高資產")))))</f>
        <v>高資產</v>
      </c>
      <c r="W185" s="136" t="str">
        <f ca="1">VLOOKUP(AD185,'credit rating'!$F$2:$H$22,3,FALSE)</f>
        <v>BBB</v>
      </c>
      <c r="X185" s="136" t="str">
        <f t="shared" ca="1" si="15"/>
        <v>B3</v>
      </c>
      <c r="Y185" s="136" t="str">
        <f t="shared" ca="1" si="16"/>
        <v>BBB</v>
      </c>
      <c r="Z185" s="136" t="str">
        <f t="shared" ca="1" si="17"/>
        <v>B+u</v>
      </c>
      <c r="AA185" s="134">
        <f ca="1">IFERROR(VLOOKUP(X185,'credit rating'!A:C,3,FALSE),0)</f>
        <v>6</v>
      </c>
      <c r="AB185" s="134">
        <f ca="1">IFERROR(VLOOKUP(Y185,'credit rating'!B:C,2,FALSE),0)</f>
        <v>13</v>
      </c>
      <c r="AC185" s="136">
        <f ca="1">IFERROR(VLOOKUP(Z185,'credit rating'!B:C,2,FALSE),0)</f>
        <v>8</v>
      </c>
      <c r="AD185" s="136">
        <f t="shared" ca="1" si="18"/>
        <v>13</v>
      </c>
      <c r="AE185" s="249" t="str">
        <f ca="1">IFERROR(VLOOKUP(B185,bond!B:U,20,FALSE),"")</f>
        <v xml:space="preserve"> </v>
      </c>
      <c r="AF185" s="136" t="str">
        <f ca="1">IF(VLOOKUP(B185,bond!B:AK,36,FALSE)="#N/A Field Not Applicable","",VLOOKUP(B185,bond!B:AK,36,FALSE))</f>
        <v/>
      </c>
      <c r="AG185" s="136" t="str">
        <f ca="1">IF(VLOOKUP(B185,bond!B:AL,37,FALSE)="FIXED","固定",IF(VLOOKUP(B185,bond!B:AL,37,FALSE)="FLOATING","浮動",IF(VLOOKUP(B185,bond!B:AL,37,FALSE)="VARIABLE","變動",IF(VLOOKUP(B185,bond!B:AL,37,FALSE)="FLAT TRADING","不含息交易",IF(VLOOKUP(B185,bond!B:AL,37,FALSE)="ZERO COUPON","零息",VLOOKUP(B185,bond!B:AL,37,FALSE))))))</f>
        <v>固定</v>
      </c>
      <c r="AH185" s="136" t="str">
        <f>VLOOKUP(C185,'2_Check_code'!I:J,2,FALSE)</f>
        <v>美元(USD)</v>
      </c>
      <c r="AI185" s="136" t="str">
        <f t="shared" ca="1" si="19"/>
        <v>自由選清單</v>
      </c>
      <c r="AJ185" s="136">
        <f t="shared" ca="1" si="20"/>
        <v>0</v>
      </c>
      <c r="AK185" s="594" t="str">
        <f ca="1">IF(VLOOKUP(B185,bond!B:S,18,FALSE)="是","有",IF(VLOOKUP(B185,bond!B:S,18,FALSE)="NO OFFER","無","需查詢"))</f>
        <v>有</v>
      </c>
      <c r="AL185" s="136" t="str">
        <f>IF(VLOOKUP(A185,bond!F:AR,39,FALSE)="#N/A Field Not Applicable",VLOOKUP(A185,bond!F:AR,38,FALSE),IFERROR(VLOOKUP(A185,'7_發行日例外'!A:B,2,FALSE),VLOOKUP(A185,bond!F:AR,39,FALSE)))</f>
        <v>2016/9/21</v>
      </c>
      <c r="AM185" s="136" t="str">
        <f ca="1">VLOOKUP(B185,bond!B:AK,36,FALSE)</f>
        <v>#N/A Field Not Applicable</v>
      </c>
      <c r="AN185" s="136" t="str">
        <f ca="1">IFERROR(VLOOKUP(B185,'3_是否下架'!A:A,1,FALSE),"")</f>
        <v/>
      </c>
      <c r="AO185" s="136">
        <f ca="1">VLOOKUP(B185,bond!B:J,9,FALSE)</f>
        <v>67.16</v>
      </c>
      <c r="AP185" s="136">
        <f ca="1">VLOOKUP(B185,bond!B:V,21,FALSE)</f>
        <v>9.0693999999999999</v>
      </c>
    </row>
    <row r="186" spans="1:42">
      <c r="A186" s="141" t="str">
        <f>bond!F187</f>
        <v>USU59340AM85</v>
      </c>
      <c r="B186" s="151" t="str">
        <f ca="1">IF($C$1=TRUE,bond!B187,"")</f>
        <v>XG720</v>
      </c>
      <c r="C186" s="95" t="str">
        <f>VLOOKUP(A186,bond!F:G,2,FALSE)</f>
        <v>USD</v>
      </c>
      <c r="D186" s="142" t="str">
        <f ca="1">VLOOKUP(B186,bond!B:C,2,FALSE)</f>
        <v>微軟公司美元配息債券 2.5% 2050/9/15</v>
      </c>
      <c r="E186" s="95" t="str">
        <f ca="1">VLOOKUP(B186,bond!B:D,3,FALSE)</f>
        <v>WR / NR / -</v>
      </c>
      <c r="F186" s="99" t="str">
        <f ca="1">VLOOKUP(B186,bond!B:AB,27,FALSE)</f>
        <v>2050/9/15</v>
      </c>
      <c r="G186" s="90">
        <f ca="1">VLOOKUP(B186,bond!B:E,4,FALSE)</f>
        <v>26.2</v>
      </c>
      <c r="H186" s="202">
        <f ca="1">VLOOKUP(B186,bond!B:Y,24,FALSE)</f>
        <v>2.5000000000000001E-2</v>
      </c>
      <c r="I186" s="95">
        <f ca="1">VLOOKUP(B186,bond!B:Z,25,FALSE)</f>
        <v>2</v>
      </c>
      <c r="J186" s="180">
        <f ca="1">VLOOKUP(B186,bond!B:K,10,FALSE)</f>
        <v>0.74309999999999998</v>
      </c>
      <c r="K186" s="96">
        <f ca="1">VLOOKUP($B186,bond!B:S,14,FALSE)</f>
        <v>67.239999999999995</v>
      </c>
      <c r="L186" s="91" t="str">
        <f ca="1">VLOOKUP(B186,bond!B:H,7,FALSE)</f>
        <v>2024/7/2</v>
      </c>
      <c r="M186" s="144">
        <f ca="1">VLOOKUP($B186,bond!$B:$Q,16,FALSE)</f>
        <v>4.7500000000000001E-2</v>
      </c>
      <c r="N186" s="136">
        <f ca="1">VALUE(LEFT(VLOOKUP(B186,bond!B:R,17,FALSE),SEARCH(" ",VLOOKUP(B186,bond!B:R,17,FALSE),1)))</f>
        <v>10000</v>
      </c>
      <c r="O186" s="136">
        <f ca="1">VALUE(RIGHT(VLOOKUP(B186,bond!B:R,17,FALSE),LEN(VLOOKUP(B186,bond!B:R,17,FALSE))-LEN(N186)-3))</f>
        <v>1000</v>
      </c>
      <c r="P186" s="135" t="str">
        <f ca="1">VLOOKUP($B186,bond!$B:$AG,32,FALSE)</f>
        <v>2024/9/15</v>
      </c>
      <c r="Q186" s="135" t="str">
        <f ca="1">VLOOKUP($B186,bond!$B:$AH,33,FALSE)</f>
        <v>科技</v>
      </c>
      <c r="R186" s="135" t="str">
        <f ca="1">VLOOKUP(B186,bond!B:AA,26,FALSE)</f>
        <v>微軟</v>
      </c>
      <c r="S186" s="135" t="str">
        <f ca="1">VLOOKUP(B186,bond!B:AI,34,FALSE)</f>
        <v>MSFT</v>
      </c>
      <c r="T186" s="135" t="str">
        <f t="shared" ca="1" si="14"/>
        <v>微軟/MSFT</v>
      </c>
      <c r="U186" s="207" t="str">
        <f ca="1">IFERROR(VLOOKUP(T186,Bond_DES!D:E,2,FALSE),VLOOKUP(S186,bond!AI:AJ,2,FALSE))</f>
        <v>微軟(Microsoft Corp)是全球軟體霸主，擁有Windows作業系統、Xbox遊戲、LinkedIn、Office系列與雲端運算等多項產品，近年來雲端服務Azure漸成營收主要成長引擎，於全球雲基礎設施服務供應商市佔第2(僅次於亞馬遜)； 2023年10月完成併購動視暴雪讓微軟擠身遊戲巨頭之列。</v>
      </c>
      <c r="V186" s="136" t="str">
        <f ca="1">IFERROR(VLOOKUP(B186,'1_重設數據'!L:M,2,FALSE),IF(Q186="政府",IF(AD186&gt;16,"(NPI)非專投",IF(AD186&gt;10,"(PI)專投","高資產")),IF(VLOOKUP(B186,bond!B:AN,39,FALSE)="Y","(PI)專投",IF(AD186&gt;=15,"(NPI)非專投",IF(AD186&gt;=10,"(PI)專投","高資產")))))</f>
        <v>高資產</v>
      </c>
      <c r="W186" s="136" t="e">
        <f ca="1">VLOOKUP(AD186,'credit rating'!$F$2:$H$22,3,FALSE)</f>
        <v>#N/A</v>
      </c>
      <c r="X186" s="136" t="str">
        <f t="shared" ca="1" si="15"/>
        <v>WR</v>
      </c>
      <c r="Y186" s="136" t="str">
        <f t="shared" ca="1" si="16"/>
        <v>NR</v>
      </c>
      <c r="Z186" s="136" t="str">
        <f t="shared" ca="1" si="17"/>
        <v>-</v>
      </c>
      <c r="AA186" s="134">
        <f ca="1">IFERROR(VLOOKUP(X186,'credit rating'!A:C,3,FALSE),0)</f>
        <v>0</v>
      </c>
      <c r="AB186" s="134">
        <f ca="1">IFERROR(VLOOKUP(Y186,'credit rating'!B:C,2,FALSE),0)</f>
        <v>0</v>
      </c>
      <c r="AC186" s="136">
        <f ca="1">IFERROR(VLOOKUP(Z186,'credit rating'!B:C,2,FALSE),0)</f>
        <v>0</v>
      </c>
      <c r="AD186" s="136">
        <f t="shared" ca="1" si="18"/>
        <v>0</v>
      </c>
      <c r="AE186" s="249">
        <f ca="1">IFERROR(VLOOKUP(B186,bond!B:U,20,FALSE),"")</f>
        <v>4.7800000000000002E-2</v>
      </c>
      <c r="AF186" s="136" t="str">
        <f ca="1">IF(VLOOKUP(B186,bond!B:AK,36,FALSE)="#N/A Field Not Applicable","",VLOOKUP(B186,bond!B:AK,36,FALSE))</f>
        <v>2050/3/15</v>
      </c>
      <c r="AG186" s="136" t="str">
        <f ca="1">IF(VLOOKUP(B186,bond!B:AL,37,FALSE)="FIXED","固定",IF(VLOOKUP(B186,bond!B:AL,37,FALSE)="FLOATING","浮動",IF(VLOOKUP(B186,bond!B:AL,37,FALSE)="VARIABLE","變動",IF(VLOOKUP(B186,bond!B:AL,37,FALSE)="FLAT TRADING","不含息交易",IF(VLOOKUP(B186,bond!B:AL,37,FALSE)="ZERO COUPON","零息",VLOOKUP(B186,bond!B:AL,37,FALSE))))))</f>
        <v>固定</v>
      </c>
      <c r="AH186" s="136" t="str">
        <f>VLOOKUP(C186,'2_Check_code'!I:J,2,FALSE)</f>
        <v>美元(USD)</v>
      </c>
      <c r="AI186" s="136" t="str">
        <f t="shared" ca="1" si="19"/>
        <v>自由選清單</v>
      </c>
      <c r="AJ186" s="136">
        <f t="shared" ca="1" si="20"/>
        <v>0</v>
      </c>
      <c r="AK186" s="594" t="str">
        <f ca="1">IF(VLOOKUP(B186,bond!B:S,18,FALSE)="是","有",IF(VLOOKUP(B186,bond!B:S,18,FALSE)="NO OFFER","無","需查詢"))</f>
        <v>需查詢</v>
      </c>
      <c r="AL186" s="136" t="str">
        <f>IF(VLOOKUP(A186,bond!F:AR,39,FALSE)="#N/A Field Not Applicable",VLOOKUP(A186,bond!F:AR,38,FALSE),IFERROR(VLOOKUP(A186,'7_發行日例外'!A:B,2,FALSE),VLOOKUP(A186,bond!F:AR,39,FALSE)))</f>
        <v>2023/9/15</v>
      </c>
      <c r="AM186" s="136" t="str">
        <f ca="1">VLOOKUP(B186,bond!B:AK,36,FALSE)</f>
        <v>2050/3/15</v>
      </c>
      <c r="AN186" s="136" t="str">
        <f ca="1">IFERROR(VLOOKUP(B186,'3_是否下架'!A:A,1,FALSE),"")</f>
        <v/>
      </c>
      <c r="AO186" s="136">
        <f ca="1">VLOOKUP(B186,bond!B:J,9,FALSE)</f>
        <v>63.5</v>
      </c>
      <c r="AP186" s="136">
        <f ca="1">VLOOKUP(B186,bond!B:V,21,FALSE)</f>
        <v>16.7669</v>
      </c>
    </row>
    <row r="187" spans="1:42">
      <c r="A187" s="141" t="str">
        <f>bond!F188</f>
        <v>XS2399787899</v>
      </c>
      <c r="B187" s="151" t="str">
        <f ca="1">IF($C$1=TRUE,bond!B188,"")</f>
        <v>XG730</v>
      </c>
      <c r="C187" s="95" t="str">
        <f>VLOOKUP(A187,bond!F:G,2,FALSE)</f>
        <v>USD</v>
      </c>
      <c r="D187" s="142" t="str">
        <f ca="1">VLOOKUP(B187,bond!B:C,2,FALSE)</f>
        <v>印多福公司美元配息債券 3.541% 2032/4/27</v>
      </c>
      <c r="E187" s="95" t="str">
        <f ca="1">VLOOKUP(B187,bond!B:D,3,FALSE)</f>
        <v>Baa3 / - / BBB-</v>
      </c>
      <c r="F187" s="99" t="str">
        <f ca="1">VLOOKUP(B187,bond!B:AB,27,FALSE)</f>
        <v>2032/4/27</v>
      </c>
      <c r="G187" s="90">
        <f ca="1">VLOOKUP(B187,bond!B:E,4,FALSE)</f>
        <v>7.82</v>
      </c>
      <c r="H187" s="202">
        <f ca="1">VLOOKUP(B187,bond!B:Y,24,FALSE)</f>
        <v>3.5409999999999997E-2</v>
      </c>
      <c r="I187" s="95">
        <f ca="1">VLOOKUP(B187,bond!B:Z,25,FALSE)</f>
        <v>2</v>
      </c>
      <c r="J187" s="180">
        <f ca="1">VLOOKUP(B187,bond!B:K,10,FALSE)</f>
        <v>0.6492</v>
      </c>
      <c r="K187" s="96">
        <f ca="1">VLOOKUP($B187,bond!B:S,14,FALSE)</f>
        <v>89.61</v>
      </c>
      <c r="L187" s="91" t="str">
        <f ca="1">VLOOKUP(B187,bond!B:H,7,FALSE)</f>
        <v>2024/7/3</v>
      </c>
      <c r="M187" s="144">
        <f ca="1">VLOOKUP($B187,bond!$B:$Q,16,FALSE)</f>
        <v>5.28E-2</v>
      </c>
      <c r="N187" s="136">
        <f ca="1">VALUE(LEFT(VLOOKUP(B187,bond!B:R,17,FALSE),SEARCH(" ",VLOOKUP(B187,bond!B:R,17,FALSE),1)))</f>
        <v>200000</v>
      </c>
      <c r="O187" s="136">
        <f ca="1">VALUE(RIGHT(VLOOKUP(B187,bond!B:R,17,FALSE),LEN(VLOOKUP(B187,bond!B:R,17,FALSE))-LEN(N187)-3))</f>
        <v>1000</v>
      </c>
      <c r="P187" s="135" t="str">
        <f ca="1">VLOOKUP($B187,bond!$B:$AG,32,FALSE)</f>
        <v>2024/10/27</v>
      </c>
      <c r="Q187" s="135" t="str">
        <f ca="1">VLOOKUP($B187,bond!$B:$AH,33,FALSE)</f>
        <v>核心消費</v>
      </c>
      <c r="R187" s="135" t="str">
        <f ca="1">VLOOKUP(B187,bond!B:AA,26,FALSE)</f>
        <v>印多福公司</v>
      </c>
      <c r="S187" s="135" t="str">
        <f ca="1">VLOOKUP(B187,bond!B:AI,34,FALSE)</f>
        <v>ICBPIJ</v>
      </c>
      <c r="T187" s="135" t="str">
        <f t="shared" ca="1" si="14"/>
        <v>印多福公司/ICBPIJ</v>
      </c>
      <c r="U187" s="207" t="str">
        <f ca="1">IFERROR(VLOOKUP(T187,Bond_DES!D:E,2,FALSE),VLOOKUP(S187,bond!AI:AJ,2,FALSE))</f>
        <v>印多福公司(PT Indofood CBP Sukses Makmur Tbk)是印尼最大的包裝食品生產商之一，銷售遍及全球五大洲一百多個國家，為印尼前十大上市公司，其產品組合包括泡麵、乳製品、零食、調味料和飲料。據2023 Kantar統計，旗下產品營多麵(Indomie)在全球前50最受歡迎的食品品牌排名中排名第10。</v>
      </c>
      <c r="V187" s="136" t="str">
        <f ca="1">IFERROR(VLOOKUP(B187,'1_重設數據'!L:M,2,FALSE),IF(Q187="政府",IF(AD187&gt;16,"(NPI)非專投",IF(AD187&gt;10,"(PI)專投","高資產")),IF(VLOOKUP(B187,bond!B:AN,39,FALSE)="Y","(PI)專投",IF(AD187&gt;=15,"(NPI)非專投",IF(AD187&gt;=10,"(PI)專投","高資產")))))</f>
        <v>(PI)專投</v>
      </c>
      <c r="W187" s="136" t="str">
        <f ca="1">VLOOKUP(AD187,'credit rating'!$F$2:$H$22,3,FALSE)</f>
        <v>BBB-</v>
      </c>
      <c r="X187" s="136" t="str">
        <f t="shared" ca="1" si="15"/>
        <v>Baa3</v>
      </c>
      <c r="Y187" s="136" t="str">
        <f t="shared" ca="1" si="16"/>
        <v>-</v>
      </c>
      <c r="Z187" s="136" t="str">
        <f t="shared" ca="1" si="17"/>
        <v>BBB-</v>
      </c>
      <c r="AA187" s="134">
        <f ca="1">IFERROR(VLOOKUP(X187,'credit rating'!A:C,3,FALSE),0)</f>
        <v>12</v>
      </c>
      <c r="AB187" s="134">
        <f ca="1">IFERROR(VLOOKUP(Y187,'credit rating'!B:C,2,FALSE),0)</f>
        <v>0</v>
      </c>
      <c r="AC187" s="136">
        <f ca="1">IFERROR(VLOOKUP(Z187,'credit rating'!B:C,2,FALSE),0)</f>
        <v>12</v>
      </c>
      <c r="AD187" s="136">
        <f t="shared" ca="1" si="18"/>
        <v>12</v>
      </c>
      <c r="AE187" s="249">
        <f ca="1">IFERROR(VLOOKUP(B187,bond!B:U,20,FALSE),"")</f>
        <v>5.3900000000000003E-2</v>
      </c>
      <c r="AF187" s="136" t="str">
        <f ca="1">IF(VLOOKUP(B187,bond!B:AK,36,FALSE)="#N/A Field Not Applicable","",VLOOKUP(B187,bond!B:AK,36,FALSE))</f>
        <v>2031/10/27</v>
      </c>
      <c r="AG187" s="136" t="str">
        <f ca="1">IF(VLOOKUP(B187,bond!B:AL,37,FALSE)="FIXED","固定",IF(VLOOKUP(B187,bond!B:AL,37,FALSE)="FLOATING","浮動",IF(VLOOKUP(B187,bond!B:AL,37,FALSE)="VARIABLE","變動",IF(VLOOKUP(B187,bond!B:AL,37,FALSE)="FLAT TRADING","不含息交易",IF(VLOOKUP(B187,bond!B:AL,37,FALSE)="ZERO COUPON","零息",VLOOKUP(B187,bond!B:AL,37,FALSE))))))</f>
        <v>固定</v>
      </c>
      <c r="AH187" s="136" t="str">
        <f>VLOOKUP(C187,'2_Check_code'!I:J,2,FALSE)</f>
        <v>美元(USD)</v>
      </c>
      <c r="AI187" s="136" t="str">
        <f t="shared" ca="1" si="19"/>
        <v>自由選清單</v>
      </c>
      <c r="AJ187" s="136">
        <f t="shared" ca="1" si="20"/>
        <v>0</v>
      </c>
      <c r="AK187" s="594" t="str">
        <f ca="1">IF(VLOOKUP(B187,bond!B:S,18,FALSE)="是","有",IF(VLOOKUP(B187,bond!B:S,18,FALSE)="NO OFFER","無","需查詢"))</f>
        <v>有</v>
      </c>
      <c r="AL187" s="136" t="str">
        <f>IF(VLOOKUP(A187,bond!F:AR,39,FALSE)="#N/A Field Not Applicable",VLOOKUP(A187,bond!F:AR,38,FALSE),IFERROR(VLOOKUP(A187,'7_發行日例外'!A:B,2,FALSE),VLOOKUP(A187,bond!F:AR,39,FALSE)))</f>
        <v>2021/10/27</v>
      </c>
      <c r="AM187" s="136" t="str">
        <f ca="1">VLOOKUP(B187,bond!B:AK,36,FALSE)</f>
        <v>2031/10/27</v>
      </c>
      <c r="AN187" s="136" t="str">
        <f ca="1">IFERROR(VLOOKUP(B187,'3_是否下架'!A:A,1,FALSE),"")</f>
        <v/>
      </c>
      <c r="AO187" s="136">
        <f ca="1">VLOOKUP(B187,bond!B:J,9,FALSE)</f>
        <v>86.960000000000008</v>
      </c>
      <c r="AP187" s="136">
        <f ca="1">VLOOKUP(B187,bond!B:V,21,FALSE)</f>
        <v>6.5868000000000002</v>
      </c>
    </row>
    <row r="188" spans="1:42">
      <c r="A188" s="141" t="str">
        <f>bond!F189</f>
        <v>USY00130YU53</v>
      </c>
      <c r="B188" s="151" t="str">
        <f ca="1">IF($C$1=TRUE,bond!B189,"")</f>
        <v>XG740</v>
      </c>
      <c r="C188" s="95" t="str">
        <f>VLOOKUP(A188,bond!F:G,2,FALSE)</f>
        <v>USD</v>
      </c>
      <c r="D188" s="142" t="str">
        <f ca="1">VLOOKUP(B188,bond!B:C,2,FALSE)</f>
        <v>Adani港口及特別經濟區有限公司美元配息債券 5% 2041/8/2</v>
      </c>
      <c r="E188" s="95" t="str">
        <f ca="1">VLOOKUP(B188,bond!B:D,3,FALSE)</f>
        <v>Baa3 / BBB- / BBB-</v>
      </c>
      <c r="F188" s="99" t="str">
        <f ca="1">VLOOKUP(B188,bond!B:AB,27,FALSE)</f>
        <v>2041/8/2</v>
      </c>
      <c r="G188" s="90">
        <f ca="1">VLOOKUP(B188,bond!B:E,4,FALSE)</f>
        <v>17.079999999999998</v>
      </c>
      <c r="H188" s="202">
        <f ca="1">VLOOKUP(B188,bond!B:Y,24,FALSE)</f>
        <v>0.05</v>
      </c>
      <c r="I188" s="95">
        <f ca="1">VLOOKUP(B188,bond!B:Z,25,FALSE)</f>
        <v>2</v>
      </c>
      <c r="J188" s="180">
        <f ca="1">VLOOKUP(B188,bond!B:K,10,FALSE)</f>
        <v>2.0832999999999999</v>
      </c>
      <c r="K188" s="96">
        <f ca="1">VLOOKUP($B188,bond!B:S,14,FALSE)</f>
        <v>84.07</v>
      </c>
      <c r="L188" s="91" t="str">
        <f ca="1">VLOOKUP(B188,bond!B:H,7,FALSE)</f>
        <v>2024/7/2</v>
      </c>
      <c r="M188" s="144">
        <f ca="1">VLOOKUP($B188,bond!$B:$Q,16,FALSE)</f>
        <v>6.8000000000000005E-2</v>
      </c>
      <c r="N188" s="136">
        <f ca="1">VALUE(LEFT(VLOOKUP(B188,bond!B:R,17,FALSE),SEARCH(" ",VLOOKUP(B188,bond!B:R,17,FALSE),1)))</f>
        <v>200000</v>
      </c>
      <c r="O188" s="136">
        <f ca="1">VALUE(RIGHT(VLOOKUP(B188,bond!B:R,17,FALSE),LEN(VLOOKUP(B188,bond!B:R,17,FALSE))-LEN(N188)-3))</f>
        <v>1000</v>
      </c>
      <c r="P188" s="135" t="str">
        <f ca="1">VLOOKUP($B188,bond!$B:$AG,32,FALSE)</f>
        <v>2024/8/2</v>
      </c>
      <c r="Q188" s="135" t="str">
        <f ca="1">VLOOKUP($B188,bond!$B:$AH,33,FALSE)</f>
        <v>工業</v>
      </c>
      <c r="R188" s="135" t="str">
        <f ca="1">VLOOKUP(B188,bond!B:AA,26,FALSE)</f>
        <v>Adani港口及特別經濟區有限公</v>
      </c>
      <c r="S188" s="135" t="str">
        <f ca="1">VLOOKUP(B188,bond!B:AI,34,FALSE)</f>
        <v>ADSEZ</v>
      </c>
      <c r="T188" s="135" t="str">
        <f t="shared" ca="1" si="14"/>
        <v>Adani港口及特別經濟區有限公/ADSEZ</v>
      </c>
      <c r="U188" s="207" t="str">
        <f ca="1">IFERROR(VLOOKUP(T188,Bond_DES!D:E,2,FALSE),VLOOKUP(S188,bond!AI:AJ,2,FALSE))</f>
        <v>Adani港口及特別經濟區有限公司(Adani Ports and Special Economic Zone Limited)是印度最大的商業港口運營商，佔該國貨物運輸量近四分之一。該公司於印度西岸經營貨運港口，提供貨物處理、運輸、倉儲、物流及轉送服務，予能源、鐵路、熱能發電傳輸、農業及物流產業。</v>
      </c>
      <c r="V188" s="136" t="str">
        <f ca="1">IFERROR(VLOOKUP(B188,'1_重設數據'!L:M,2,FALSE),IF(Q188="政府",IF(AD188&gt;16,"(NPI)非專投",IF(AD188&gt;10,"(PI)專投","高資產")),IF(VLOOKUP(B188,bond!B:AN,39,FALSE)="Y","(PI)專投",IF(AD188&gt;=15,"(NPI)非專投",IF(AD188&gt;=10,"(PI)專投","高資產")))))</f>
        <v>(PI)專投</v>
      </c>
      <c r="W188" s="136" t="str">
        <f ca="1">VLOOKUP(AD188,'credit rating'!$F$2:$H$22,3,FALSE)</f>
        <v>BBB-</v>
      </c>
      <c r="X188" s="136" t="str">
        <f t="shared" ca="1" si="15"/>
        <v>Baa3</v>
      </c>
      <c r="Y188" s="136" t="str">
        <f t="shared" ca="1" si="16"/>
        <v>BBB-</v>
      </c>
      <c r="Z188" s="136" t="str">
        <f t="shared" ca="1" si="17"/>
        <v>BBB-</v>
      </c>
      <c r="AA188" s="134">
        <f ca="1">IFERROR(VLOOKUP(X188,'credit rating'!A:C,3,FALSE),0)</f>
        <v>12</v>
      </c>
      <c r="AB188" s="134">
        <f ca="1">IFERROR(VLOOKUP(Y188,'credit rating'!B:C,2,FALSE),0)</f>
        <v>12</v>
      </c>
      <c r="AC188" s="136">
        <f ca="1">IFERROR(VLOOKUP(Z188,'credit rating'!B:C,2,FALSE),0)</f>
        <v>12</v>
      </c>
      <c r="AD188" s="136">
        <f t="shared" ca="1" si="18"/>
        <v>12</v>
      </c>
      <c r="AE188" s="249">
        <f ca="1">IFERROR(VLOOKUP(B188,bond!B:U,20,FALSE),"")</f>
        <v>6.83E-2</v>
      </c>
      <c r="AF188" s="136" t="str">
        <f ca="1">IF(VLOOKUP(B188,bond!B:AK,36,FALSE)="#N/A Field Not Applicable","",VLOOKUP(B188,bond!B:AK,36,FALSE))</f>
        <v>2041/2/2</v>
      </c>
      <c r="AG188" s="136" t="str">
        <f ca="1">IF(VLOOKUP(B188,bond!B:AL,37,FALSE)="FIXED","固定",IF(VLOOKUP(B188,bond!B:AL,37,FALSE)="FLOATING","浮動",IF(VLOOKUP(B188,bond!B:AL,37,FALSE)="VARIABLE","變動",IF(VLOOKUP(B188,bond!B:AL,37,FALSE)="FLAT TRADING","不含息交易",IF(VLOOKUP(B188,bond!B:AL,37,FALSE)="ZERO COUPON","零息",VLOOKUP(B188,bond!B:AL,37,FALSE))))))</f>
        <v>固定</v>
      </c>
      <c r="AH188" s="136" t="str">
        <f>VLOOKUP(C188,'2_Check_code'!I:J,2,FALSE)</f>
        <v>美元(USD)</v>
      </c>
      <c r="AI188" s="136" t="str">
        <f t="shared" ca="1" si="19"/>
        <v>自由選清單</v>
      </c>
      <c r="AJ188" s="136">
        <f t="shared" ca="1" si="20"/>
        <v>0</v>
      </c>
      <c r="AK188" s="594" t="str">
        <f ca="1">IF(VLOOKUP(B188,bond!B:S,18,FALSE)="是","有",IF(VLOOKUP(B188,bond!B:S,18,FALSE)="NO OFFER","無","需查詢"))</f>
        <v>無</v>
      </c>
      <c r="AL188" s="136" t="str">
        <f>IF(VLOOKUP(A188,bond!F:AR,39,FALSE)="#N/A Field Not Applicable",VLOOKUP(A188,bond!F:AR,38,FALSE),IFERROR(VLOOKUP(A188,'7_發行日例外'!A:B,2,FALSE),VLOOKUP(A188,bond!F:AR,39,FALSE)))</f>
        <v>2021/8/2</v>
      </c>
      <c r="AM188" s="136" t="str">
        <f ca="1">VLOOKUP(B188,bond!B:AK,36,FALSE)</f>
        <v>2041/2/2</v>
      </c>
      <c r="AN188" s="136" t="str">
        <f ca="1">IFERROR(VLOOKUP(B188,'3_是否下架'!A:A,1,FALSE),"")</f>
        <v/>
      </c>
      <c r="AO188" s="136">
        <f ca="1">VLOOKUP(B188,bond!B:J,9,FALSE)</f>
        <v>78.990000000000009</v>
      </c>
      <c r="AP188" s="136">
        <f ca="1">VLOOKUP(B188,bond!B:V,21,FALSE)</f>
        <v>10.2904</v>
      </c>
    </row>
    <row r="189" spans="1:42">
      <c r="A189" s="141" t="str">
        <f>bond!F190</f>
        <v>USJ57160DZ32</v>
      </c>
      <c r="B189" s="151" t="str">
        <f ca="1">IF($C$1=TRUE,bond!B190,"")</f>
        <v>XG750</v>
      </c>
      <c r="C189" s="95" t="str">
        <f>VLOOKUP(A189,bond!F:G,2,FALSE)</f>
        <v>USD</v>
      </c>
      <c r="D189" s="142" t="str">
        <f ca="1">VLOOKUP(B189,bond!B:C,2,FALSE)</f>
        <v>日產汽車公司美元配息債券  4.81% 2030/9/17</v>
      </c>
      <c r="E189" s="95" t="str">
        <f ca="1">VLOOKUP(B189,bond!B:D,3,FALSE)</f>
        <v>Baa3 / BB+ / BBB-</v>
      </c>
      <c r="F189" s="99" t="str">
        <f ca="1">VLOOKUP(B189,bond!B:AB,27,FALSE)</f>
        <v>2030/9/17</v>
      </c>
      <c r="G189" s="90">
        <f ca="1">VLOOKUP(B189,bond!B:E,4,FALSE)</f>
        <v>6.21</v>
      </c>
      <c r="H189" s="202">
        <f ca="1">VLOOKUP(B189,bond!B:Y,24,FALSE)</f>
        <v>4.8099999999999997E-2</v>
      </c>
      <c r="I189" s="95">
        <f ca="1">VLOOKUP(B189,bond!B:Z,25,FALSE)</f>
        <v>2</v>
      </c>
      <c r="J189" s="180">
        <f ca="1">VLOOKUP(B189,bond!B:K,10,FALSE)</f>
        <v>1.4029</v>
      </c>
      <c r="K189" s="96">
        <f ca="1">VLOOKUP($B189,bond!B:S,14,FALSE)</f>
        <v>97.07</v>
      </c>
      <c r="L189" s="91" t="str">
        <f ca="1">VLOOKUP(B189,bond!B:H,7,FALSE)</f>
        <v>2024/7/2</v>
      </c>
      <c r="M189" s="144">
        <f ca="1">VLOOKUP($B189,bond!$B:$Q,16,FALSE)</f>
        <v>5.6399999999999999E-2</v>
      </c>
      <c r="N189" s="136">
        <f ca="1">VALUE(LEFT(VLOOKUP(B189,bond!B:R,17,FALSE),SEARCH(" ",VLOOKUP(B189,bond!B:R,17,FALSE),1)))</f>
        <v>200000</v>
      </c>
      <c r="O189" s="136">
        <f ca="1">VALUE(RIGHT(VLOOKUP(B189,bond!B:R,17,FALSE),LEN(VLOOKUP(B189,bond!B:R,17,FALSE))-LEN(N189)-3))</f>
        <v>1000</v>
      </c>
      <c r="P189" s="135" t="str">
        <f ca="1">VLOOKUP($B189,bond!$B:$AG,32,FALSE)</f>
        <v>2024/9/17</v>
      </c>
      <c r="Q189" s="135" t="str">
        <f ca="1">VLOOKUP($B189,bond!$B:$AH,33,FALSE)</f>
        <v>非核心消費</v>
      </c>
      <c r="R189" s="135" t="str">
        <f ca="1">VLOOKUP(B189,bond!B:AA,26,FALSE)</f>
        <v>日產汽車有限公司</v>
      </c>
      <c r="S189" s="135" t="str">
        <f ca="1">VLOOKUP(B189,bond!B:AI,34,FALSE)</f>
        <v>NSANY</v>
      </c>
      <c r="T189" s="135" t="str">
        <f t="shared" ca="1" si="14"/>
        <v>日產汽車有限公司/NSANY</v>
      </c>
      <c r="U189" s="207" t="str">
        <f ca="1">IFERROR(VLOOKUP(T189,Bond_DES!D:E,2,FALSE),VLOOKUP(S189,bond!AI:AJ,2,FALSE))</f>
        <v>日產汽車(Nissan Motor Co., Ltd.)是一家日本跨國汽車製造商，旗下主力品牌有NISSAN、INFINITI，另外有與中國東風汽車的合資品牌啟辰(Venucia)；日產與雷諾和三菱汽車共組戰略聯盟來搶攻市佔，據focus2move，雷諾-日產-三菱聯盟的2023年總銷量為563萬輛，為全球第四大汽車集團。</v>
      </c>
      <c r="V189" s="136" t="str">
        <f ca="1">IFERROR(VLOOKUP(B189,'1_重設數據'!L:M,2,FALSE),IF(Q189="政府",IF(AD189&gt;16,"(NPI)非專投",IF(AD189&gt;10,"(PI)專投","高資產")),IF(VLOOKUP(B189,bond!B:AN,39,FALSE)="Y","(PI)專投",IF(AD189&gt;=15,"(NPI)非專投",IF(AD189&gt;=10,"(PI)專投","高資產")))))</f>
        <v>(PI)專投</v>
      </c>
      <c r="W189" s="136" t="str">
        <f ca="1">VLOOKUP(AD189,'credit rating'!$F$2:$H$22,3,FALSE)</f>
        <v>BBB-</v>
      </c>
      <c r="X189" s="136" t="str">
        <f t="shared" ca="1" si="15"/>
        <v>Baa3</v>
      </c>
      <c r="Y189" s="136" t="str">
        <f t="shared" ca="1" si="16"/>
        <v>BB+</v>
      </c>
      <c r="Z189" s="136" t="str">
        <f t="shared" ca="1" si="17"/>
        <v>BBB-</v>
      </c>
      <c r="AA189" s="134">
        <f ca="1">IFERROR(VLOOKUP(X189,'credit rating'!A:C,3,FALSE),0)</f>
        <v>12</v>
      </c>
      <c r="AB189" s="134">
        <f ca="1">IFERROR(VLOOKUP(Y189,'credit rating'!B:C,2,FALSE),0)</f>
        <v>11</v>
      </c>
      <c r="AC189" s="136">
        <f ca="1">IFERROR(VLOOKUP(Z189,'credit rating'!B:C,2,FALSE),0)</f>
        <v>12</v>
      </c>
      <c r="AD189" s="136">
        <f t="shared" ca="1" si="18"/>
        <v>12</v>
      </c>
      <c r="AE189" s="249">
        <f ca="1">IFERROR(VLOOKUP(B189,bond!B:U,20,FALSE),"")</f>
        <v>5.6800000000000003E-2</v>
      </c>
      <c r="AF189" s="136" t="str">
        <f ca="1">IF(VLOOKUP(B189,bond!B:AK,36,FALSE)="#N/A Field Not Applicable","",VLOOKUP(B189,bond!B:AK,36,FALSE))</f>
        <v>2030/6/17</v>
      </c>
      <c r="AG189" s="136" t="str">
        <f ca="1">IF(VLOOKUP(B189,bond!B:AL,37,FALSE)="FIXED","固定",IF(VLOOKUP(B189,bond!B:AL,37,FALSE)="FLOATING","浮動",IF(VLOOKUP(B189,bond!B:AL,37,FALSE)="VARIABLE","變動",IF(VLOOKUP(B189,bond!B:AL,37,FALSE)="FLAT TRADING","不含息交易",IF(VLOOKUP(B189,bond!B:AL,37,FALSE)="ZERO COUPON","零息",VLOOKUP(B189,bond!B:AL,37,FALSE))))))</f>
        <v>固定</v>
      </c>
      <c r="AH189" s="136" t="str">
        <f>VLOOKUP(C189,'2_Check_code'!I:J,2,FALSE)</f>
        <v>美元(USD)</v>
      </c>
      <c r="AI189" s="136" t="str">
        <f t="shared" ca="1" si="19"/>
        <v>自由選清單</v>
      </c>
      <c r="AJ189" s="136">
        <f t="shared" ca="1" si="20"/>
        <v>0</v>
      </c>
      <c r="AK189" s="594" t="str">
        <f ca="1">IF(VLOOKUP(B189,bond!B:S,18,FALSE)="是","有",IF(VLOOKUP(B189,bond!B:S,18,FALSE)="NO OFFER","無","需查詢"))</f>
        <v>有</v>
      </c>
      <c r="AL189" s="136" t="str">
        <f>IF(VLOOKUP(A189,bond!F:AR,39,FALSE)="#N/A Field Not Applicable",VLOOKUP(A189,bond!F:AR,38,FALSE),IFERROR(VLOOKUP(A189,'7_發行日例外'!A:B,2,FALSE),VLOOKUP(A189,bond!F:AR,39,FALSE)))</f>
        <v>2020/9/17</v>
      </c>
      <c r="AM189" s="136" t="str">
        <f ca="1">VLOOKUP(B189,bond!B:AK,36,FALSE)</f>
        <v>2030/6/17</v>
      </c>
      <c r="AN189" s="136" t="str">
        <f ca="1">IFERROR(VLOOKUP(B189,'3_是否下架'!A:A,1,FALSE),"")</f>
        <v/>
      </c>
      <c r="AO189" s="136">
        <f ca="1">VLOOKUP(B189,bond!B:J,9,FALSE)</f>
        <v>93.67</v>
      </c>
      <c r="AP189" s="136">
        <f ca="1">VLOOKUP(B189,bond!B:V,21,FALSE)</f>
        <v>5.1802000000000001</v>
      </c>
    </row>
    <row r="190" spans="1:42">
      <c r="A190" s="141" t="str">
        <f>bond!F191</f>
        <v>US097023CW33</v>
      </c>
      <c r="B190" s="151" t="str">
        <f ca="1">IF($C$1=TRUE,bond!B191,"")</f>
        <v>XG760</v>
      </c>
      <c r="C190" s="95" t="str">
        <f>VLOOKUP(A190,bond!F:G,2,FALSE)</f>
        <v>USD</v>
      </c>
      <c r="D190" s="142" t="str">
        <f ca="1">VLOOKUP(B190,bond!B:C,2,FALSE)</f>
        <v>波音公司美元配息債券 5.805% 2050/5/1</v>
      </c>
      <c r="E190" s="95" t="str">
        <f ca="1">VLOOKUP(B190,bond!B:D,3,FALSE)</f>
        <v>Baa3 / BBB- / BBB-</v>
      </c>
      <c r="F190" s="99" t="str">
        <f ca="1">VLOOKUP(B190,bond!B:AB,27,FALSE)</f>
        <v>2050/5/1</v>
      </c>
      <c r="G190" s="90">
        <f ca="1">VLOOKUP(B190,bond!B:E,4,FALSE)</f>
        <v>25.83</v>
      </c>
      <c r="H190" s="202">
        <f ca="1">VLOOKUP(B190,bond!B:Y,24,FALSE)</f>
        <v>5.8049999999999997E-2</v>
      </c>
      <c r="I190" s="95">
        <f ca="1">VLOOKUP(B190,bond!B:Z,25,FALSE)</f>
        <v>2</v>
      </c>
      <c r="J190" s="180">
        <f ca="1">VLOOKUP(B190,bond!B:K,10,FALSE)</f>
        <v>0.98360000000000003</v>
      </c>
      <c r="K190" s="96">
        <f ca="1">VLOOKUP($B190,bond!B:S,14,FALSE)</f>
        <v>95.6</v>
      </c>
      <c r="L190" s="91" t="str">
        <f ca="1">VLOOKUP(B190,bond!B:H,7,FALSE)</f>
        <v>2024/7/2</v>
      </c>
      <c r="M190" s="144">
        <f ca="1">VLOOKUP($B190,bond!$B:$Q,16,FALSE)</f>
        <v>6.2300000000000001E-2</v>
      </c>
      <c r="N190" s="136">
        <f ca="1">VALUE(LEFT(VLOOKUP(B190,bond!B:R,17,FALSE),SEARCH(" ",VLOOKUP(B190,bond!B:R,17,FALSE),1)))</f>
        <v>10000</v>
      </c>
      <c r="O190" s="136">
        <f ca="1">VALUE(RIGHT(VLOOKUP(B190,bond!B:R,17,FALSE),LEN(VLOOKUP(B190,bond!B:R,17,FALSE))-LEN(N190)-3))</f>
        <v>1000</v>
      </c>
      <c r="P190" s="135" t="str">
        <f ca="1">VLOOKUP($B190,bond!$B:$AG,32,FALSE)</f>
        <v>2024/11/1</v>
      </c>
      <c r="Q190" s="135" t="str">
        <f ca="1">VLOOKUP($B190,bond!$B:$AH,33,FALSE)</f>
        <v>工業</v>
      </c>
      <c r="R190" s="135" t="str">
        <f ca="1">VLOOKUP(B190,bond!B:AA,26,FALSE)</f>
        <v>波音公司</v>
      </c>
      <c r="S190" s="135" t="str">
        <f ca="1">VLOOKUP(B190,bond!B:AI,34,FALSE)</f>
        <v>BA</v>
      </c>
      <c r="T190" s="135" t="str">
        <f t="shared" ca="1" si="14"/>
        <v>波音公司/BA</v>
      </c>
      <c r="U190" s="207" t="str">
        <f ca="1">IFERROR(VLOOKUP(T190,Bond_DES!D:E,2,FALSE),VLOOKUP(S190,bond!AI:AJ,2,FALSE))</f>
        <v>波音公司(The Boeing Company)航空、航太及國防技術領域的領導者，與空巴為全球唯二能夠生產大型寬體客機的製造商，且是全球第5大國防承包商(DefenseNews 2023)，於美國科技及軍事實力地位「舉足輕重」。2024年《Brand Finance》航太國防品牌價值位居第一。</v>
      </c>
      <c r="V190" s="136" t="str">
        <f ca="1">IFERROR(VLOOKUP(B190,'1_重設數據'!L:M,2,FALSE),IF(Q190="政府",IF(AD190&gt;16,"(NPI)非專投",IF(AD190&gt;10,"(PI)專投","高資產")),IF(VLOOKUP(B190,bond!B:AN,39,FALSE)="Y","(PI)專投",IF(AD190&gt;=15,"(NPI)非專投",IF(AD190&gt;=10,"(PI)專投","高資產")))))</f>
        <v>(PI)專投</v>
      </c>
      <c r="W190" s="136" t="str">
        <f ca="1">VLOOKUP(AD190,'credit rating'!$F$2:$H$22,3,FALSE)</f>
        <v>BBB-</v>
      </c>
      <c r="X190" s="136" t="str">
        <f t="shared" ca="1" si="15"/>
        <v>Baa3</v>
      </c>
      <c r="Y190" s="136" t="str">
        <f t="shared" ca="1" si="16"/>
        <v>BBB-</v>
      </c>
      <c r="Z190" s="136" t="str">
        <f t="shared" ca="1" si="17"/>
        <v>BBB-</v>
      </c>
      <c r="AA190" s="134">
        <f ca="1">IFERROR(VLOOKUP(X190,'credit rating'!A:C,3,FALSE),0)</f>
        <v>12</v>
      </c>
      <c r="AB190" s="134">
        <f ca="1">IFERROR(VLOOKUP(Y190,'credit rating'!B:C,2,FALSE),0)</f>
        <v>12</v>
      </c>
      <c r="AC190" s="136">
        <f ca="1">IFERROR(VLOOKUP(Z190,'credit rating'!B:C,2,FALSE),0)</f>
        <v>12</v>
      </c>
      <c r="AD190" s="136">
        <f t="shared" ca="1" si="18"/>
        <v>12</v>
      </c>
      <c r="AE190" s="249">
        <f ca="1">IFERROR(VLOOKUP(B190,bond!B:U,20,FALSE),"")</f>
        <v>6.2300000000000001E-2</v>
      </c>
      <c r="AF190" s="136" t="str">
        <f ca="1">IF(VLOOKUP(B190,bond!B:AK,36,FALSE)="#N/A Field Not Applicable","",VLOOKUP(B190,bond!B:AK,36,FALSE))</f>
        <v>2049/11/1</v>
      </c>
      <c r="AG190" s="136" t="str">
        <f ca="1">IF(VLOOKUP(B190,bond!B:AL,37,FALSE)="FIXED","固定",IF(VLOOKUP(B190,bond!B:AL,37,FALSE)="FLOATING","浮動",IF(VLOOKUP(B190,bond!B:AL,37,FALSE)="VARIABLE","變動",IF(VLOOKUP(B190,bond!B:AL,37,FALSE)="FLAT TRADING","不含息交易",IF(VLOOKUP(B190,bond!B:AL,37,FALSE)="ZERO COUPON","零息",VLOOKUP(B190,bond!B:AL,37,FALSE))))))</f>
        <v>固定</v>
      </c>
      <c r="AH190" s="136" t="str">
        <f>VLOOKUP(C190,'2_Check_code'!I:J,2,FALSE)</f>
        <v>美元(USD)</v>
      </c>
      <c r="AI190" s="136" t="str">
        <f t="shared" ca="1" si="19"/>
        <v>自由選清單</v>
      </c>
      <c r="AJ190" s="136">
        <f t="shared" ca="1" si="20"/>
        <v>0</v>
      </c>
      <c r="AK190" s="594" t="str">
        <f ca="1">IF(VLOOKUP(B190,bond!B:S,18,FALSE)="是","有",IF(VLOOKUP(B190,bond!B:S,18,FALSE)="NO OFFER","無","需查詢"))</f>
        <v>有</v>
      </c>
      <c r="AL190" s="136" t="str">
        <f>IF(VLOOKUP(A190,bond!F:AR,39,FALSE)="#N/A Field Not Applicable",VLOOKUP(A190,bond!F:AR,38,FALSE),IFERROR(VLOOKUP(A190,'7_發行日例外'!A:B,2,FALSE),VLOOKUP(A190,bond!F:AR,39,FALSE)))</f>
        <v>2020/5/4</v>
      </c>
      <c r="AM190" s="136" t="str">
        <f ca="1">VLOOKUP(B190,bond!B:AK,36,FALSE)</f>
        <v>2049/11/1</v>
      </c>
      <c r="AN190" s="136" t="str">
        <f ca="1">IFERROR(VLOOKUP(B190,'3_是否下架'!A:A,1,FALSE),"")</f>
        <v/>
      </c>
      <c r="AO190" s="136">
        <f ca="1">VLOOKUP(B190,bond!B:J,9,FALSE)</f>
        <v>91.12</v>
      </c>
      <c r="AP190" s="136">
        <f ca="1">VLOOKUP(B190,bond!B:V,21,FALSE)</f>
        <v>12.670400000000001</v>
      </c>
    </row>
    <row r="191" spans="1:42">
      <c r="A191" s="141" t="str">
        <f>bond!F192</f>
        <v>USP7088CAC03</v>
      </c>
      <c r="B191" s="151" t="str">
        <f ca="1">IF($C$1=TRUE,bond!B192,"")</f>
        <v>XG770</v>
      </c>
      <c r="C191" s="95" t="str">
        <f>VLOOKUP(A191,bond!F:G,2,FALSE)</f>
        <v>USD</v>
      </c>
      <c r="D191" s="142" t="str">
        <f ca="1">VLOOKUP(B191,bond!B:C,2,FALSE)</f>
        <v>大自然化妝品公司美元配息債券 4.125% 2028/5/3</v>
      </c>
      <c r="E191" s="95" t="str">
        <f ca="1">VLOOKUP(B191,bond!B:D,3,FALSE)</f>
        <v>Ba2 / BB / BB+</v>
      </c>
      <c r="F191" s="99" t="str">
        <f ca="1">VLOOKUP(B191,bond!B:AB,27,FALSE)</f>
        <v>2028/5/3</v>
      </c>
      <c r="G191" s="90">
        <f ca="1">VLOOKUP(B191,bond!B:E,4,FALSE)</f>
        <v>3.84</v>
      </c>
      <c r="H191" s="202">
        <f ca="1">VLOOKUP(B191,bond!B:Y,24,FALSE)</f>
        <v>4.1250000000000002E-2</v>
      </c>
      <c r="I191" s="95">
        <f ca="1">VLOOKUP(B191,bond!B:Z,25,FALSE)</f>
        <v>2</v>
      </c>
      <c r="J191" s="180">
        <f ca="1">VLOOKUP(B191,bond!B:K,10,FALSE)</f>
        <v>0.67600000000000005</v>
      </c>
      <c r="K191" s="96">
        <f ca="1">VLOOKUP($B191,bond!B:S,14,FALSE)</f>
        <v>94.86</v>
      </c>
      <c r="L191" s="91" t="str">
        <f ca="1">VLOOKUP(B191,bond!B:H,7,FALSE)</f>
        <v>2024/7/2</v>
      </c>
      <c r="M191" s="144">
        <f ca="1">VLOOKUP($B191,bond!$B:$Q,16,FALSE)</f>
        <v>5.8400000000000001E-2</v>
      </c>
      <c r="N191" s="136">
        <f ca="1">VALUE(LEFT(VLOOKUP(B191,bond!B:R,17,FALSE),SEARCH(" ",VLOOKUP(B191,bond!B:R,17,FALSE),1)))</f>
        <v>200000</v>
      </c>
      <c r="O191" s="136">
        <f ca="1">VALUE(RIGHT(VLOOKUP(B191,bond!B:R,17,FALSE),LEN(VLOOKUP(B191,bond!B:R,17,FALSE))-LEN(N191)-3))</f>
        <v>1000</v>
      </c>
      <c r="P191" s="135" t="str">
        <f ca="1">VLOOKUP($B191,bond!$B:$AG,32,FALSE)</f>
        <v>2024/11/3</v>
      </c>
      <c r="Q191" s="135" t="str">
        <f ca="1">VLOOKUP($B191,bond!$B:$AH,33,FALSE)</f>
        <v>核心消費</v>
      </c>
      <c r="R191" s="135" t="str">
        <f ca="1">VLOOKUP(B191,bond!B:AA,26,FALSE)</f>
        <v>Natura &amp;Co Luxembourg Holdin</v>
      </c>
      <c r="S191" s="135" t="str">
        <f ca="1">VLOOKUP(B191,bond!B:AI,34,FALSE)</f>
        <v>NATURA</v>
      </c>
      <c r="T191" s="135" t="str">
        <f t="shared" ca="1" si="14"/>
        <v>Natura &amp;Co Luxembourg Holdin/NATURA</v>
      </c>
      <c r="U191" s="207" t="str">
        <f ca="1">IFERROR(VLOOKUP(T191,Bond_DES!D:E,2,FALSE),VLOOKUP(S191,bond!AI:AJ,2,FALSE))</f>
        <v>N/A</v>
      </c>
      <c r="V191" s="136" t="str">
        <f ca="1">IFERROR(VLOOKUP(B191,'1_重設數據'!L:M,2,FALSE),IF(Q191="政府",IF(AD191&gt;16,"(NPI)非專投",IF(AD191&gt;10,"(PI)專投","高資產")),IF(VLOOKUP(B191,bond!B:AN,39,FALSE)="Y","(PI)專投",IF(AD191&gt;=15,"(NPI)非專投",IF(AD191&gt;=10,"(PI)專投","高資產")))))</f>
        <v>(PI)專投</v>
      </c>
      <c r="W191" s="136" t="str">
        <f ca="1">VLOOKUP(AD191,'credit rating'!$F$2:$H$22,3,FALSE)</f>
        <v>BB+</v>
      </c>
      <c r="X191" s="136" t="str">
        <f t="shared" ca="1" si="15"/>
        <v>Ba2</v>
      </c>
      <c r="Y191" s="136" t="str">
        <f t="shared" ca="1" si="16"/>
        <v>BB</v>
      </c>
      <c r="Z191" s="136" t="str">
        <f t="shared" ca="1" si="17"/>
        <v>BB+</v>
      </c>
      <c r="AA191" s="134">
        <f ca="1">IFERROR(VLOOKUP(X191,'credit rating'!A:C,3,FALSE),0)</f>
        <v>10</v>
      </c>
      <c r="AB191" s="134">
        <f ca="1">IFERROR(VLOOKUP(Y191,'credit rating'!B:C,2,FALSE),0)</f>
        <v>10</v>
      </c>
      <c r="AC191" s="136">
        <f ca="1">IFERROR(VLOOKUP(Z191,'credit rating'!B:C,2,FALSE),0)</f>
        <v>11</v>
      </c>
      <c r="AD191" s="136">
        <f t="shared" ca="1" si="18"/>
        <v>11</v>
      </c>
      <c r="AE191" s="249">
        <f ca="1">IFERROR(VLOOKUP(B191,bond!B:U,20,FALSE),"")</f>
        <v>5.91E-2</v>
      </c>
      <c r="AF191" s="136" t="str">
        <f ca="1">IF(VLOOKUP(B191,bond!B:AK,36,FALSE)="#N/A Field Not Applicable","",VLOOKUP(B191,bond!B:AK,36,FALSE))</f>
        <v>2028/3/3</v>
      </c>
      <c r="AG191" s="136" t="str">
        <f ca="1">IF(VLOOKUP(B191,bond!B:AL,37,FALSE)="FIXED","固定",IF(VLOOKUP(B191,bond!B:AL,37,FALSE)="FLOATING","浮動",IF(VLOOKUP(B191,bond!B:AL,37,FALSE)="VARIABLE","變動",IF(VLOOKUP(B191,bond!B:AL,37,FALSE)="FLAT TRADING","不含息交易",IF(VLOOKUP(B191,bond!B:AL,37,FALSE)="ZERO COUPON","零息",VLOOKUP(B191,bond!B:AL,37,FALSE))))))</f>
        <v>固定</v>
      </c>
      <c r="AH191" s="136" t="str">
        <f>VLOOKUP(C191,'2_Check_code'!I:J,2,FALSE)</f>
        <v>美元(USD)</v>
      </c>
      <c r="AI191" s="136" t="str">
        <f t="shared" ca="1" si="19"/>
        <v>自由選清單</v>
      </c>
      <c r="AJ191" s="136">
        <f t="shared" ca="1" si="20"/>
        <v>0</v>
      </c>
      <c r="AK191" s="594" t="str">
        <f ca="1">IF(VLOOKUP(B191,bond!B:S,18,FALSE)="是","有",IF(VLOOKUP(B191,bond!B:S,18,FALSE)="NO OFFER","無","需查詢"))</f>
        <v>有</v>
      </c>
      <c r="AL191" s="136" t="str">
        <f>IF(VLOOKUP(A191,bond!F:AR,39,FALSE)="#N/A Field Not Applicable",VLOOKUP(A191,bond!F:AR,38,FALSE),IFERROR(VLOOKUP(A191,'7_發行日例外'!A:B,2,FALSE),VLOOKUP(A191,bond!F:AR,39,FALSE)))</f>
        <v>2021/5/3</v>
      </c>
      <c r="AM191" s="136" t="str">
        <f ca="1">VLOOKUP(B191,bond!B:AK,36,FALSE)</f>
        <v>2028/3/3</v>
      </c>
      <c r="AN191" s="136" t="str">
        <f ca="1">IFERROR(VLOOKUP(B191,'3_是否下架'!A:A,1,FALSE),"")</f>
        <v/>
      </c>
      <c r="AO191" s="136">
        <f ca="1">VLOOKUP(B191,bond!B:J,9,FALSE)</f>
        <v>92.68</v>
      </c>
      <c r="AP191" s="136">
        <f ca="1">VLOOKUP(B191,bond!B:V,21,FALSE)</f>
        <v>3.4407000000000001</v>
      </c>
    </row>
    <row r="192" spans="1:42">
      <c r="A192" s="141" t="str">
        <f>bond!F193</f>
        <v>US988498AN16</v>
      </c>
      <c r="B192" s="151" t="str">
        <f ca="1">IF($C$1=TRUE,bond!B193,"")</f>
        <v>XG790</v>
      </c>
      <c r="C192" s="95" t="str">
        <f>VLOOKUP(A192,bond!F:G,2,FALSE)</f>
        <v>USD</v>
      </c>
      <c r="D192" s="142" t="str">
        <f ca="1">VLOOKUP(B192,bond!B:C,2,FALSE)</f>
        <v>百勝餐飲美元配息債券 3.625% 2031/3/15</v>
      </c>
      <c r="E192" s="95" t="str">
        <f ca="1">VLOOKUP(B192,bond!B:D,3,FALSE)</f>
        <v>Ba3 / BB / -</v>
      </c>
      <c r="F192" s="99" t="str">
        <f ca="1">VLOOKUP(B192,bond!B:AB,27,FALSE)</f>
        <v>2031/3/15</v>
      </c>
      <c r="G192" s="90">
        <f ca="1">VLOOKUP(B192,bond!B:E,4,FALSE)</f>
        <v>6.7</v>
      </c>
      <c r="H192" s="202">
        <f ca="1">VLOOKUP(B192,bond!B:Y,24,FALSE)</f>
        <v>3.6249999999999998E-2</v>
      </c>
      <c r="I192" s="95">
        <f ca="1">VLOOKUP(B192,bond!B:Z,25,FALSE)</f>
        <v>2</v>
      </c>
      <c r="J192" s="180">
        <f ca="1">VLOOKUP(B192,bond!B:K,10,FALSE)</f>
        <v>1.0773999999999999</v>
      </c>
      <c r="K192" s="96">
        <f ca="1">VLOOKUP($B192,bond!B:S,14,FALSE)</f>
        <v>91.92</v>
      </c>
      <c r="L192" s="91" t="str">
        <f ca="1">VLOOKUP(B192,bond!B:H,7,FALSE)</f>
        <v>2024/7/2</v>
      </c>
      <c r="M192" s="144">
        <f ca="1">VLOOKUP($B192,bond!$B:$Q,16,FALSE)</f>
        <v>5.2600000000000001E-2</v>
      </c>
      <c r="N192" s="136">
        <f ca="1">VALUE(LEFT(VLOOKUP(B192,bond!B:R,17,FALSE),SEARCH(" ",VLOOKUP(B192,bond!B:R,17,FALSE),1)))</f>
        <v>10000</v>
      </c>
      <c r="O192" s="136">
        <f ca="1">VALUE(RIGHT(VLOOKUP(B192,bond!B:R,17,FALSE),LEN(VLOOKUP(B192,bond!B:R,17,FALSE))-LEN(N192)-3))</f>
        <v>1000</v>
      </c>
      <c r="P192" s="135" t="str">
        <f ca="1">VLOOKUP($B192,bond!$B:$AG,32,FALSE)</f>
        <v>2024/9/15</v>
      </c>
      <c r="Q192" s="135" t="str">
        <f ca="1">VLOOKUP($B192,bond!$B:$AH,33,FALSE)</f>
        <v>非核心消費</v>
      </c>
      <c r="R192" s="135" t="str">
        <f ca="1">VLOOKUP(B192,bond!B:AA,26,FALSE)</f>
        <v>百勝餐飲</v>
      </c>
      <c r="S192" s="135" t="str">
        <f ca="1">VLOOKUP(B192,bond!B:AI,34,FALSE)</f>
        <v>YUM</v>
      </c>
      <c r="T192" s="135" t="str">
        <f t="shared" ca="1" si="14"/>
        <v>百勝餐飲/YUM</v>
      </c>
      <c r="U192" s="207" t="str">
        <f ca="1">IFERROR(VLOOKUP(T192,Bond_DES!D:E,2,FALSE),VLOOKUP(S192,bond!AI:AJ,2,FALSE))</f>
        <v>百勝餐飲(Yum Brands Inc.)是雞肉、披薩和墨西哥風味食品的全球領導者，亦是全球速食餐廳規模排名第一的速食連鎖集團，旗下擁有、營運及特許經營的速食餐廳有肯德基(KFC)、墨西哥速食Taco Bell、必勝客(Pizza Hut)，以及美國加州超人氣炭烤漢堡Habit Burger。</v>
      </c>
      <c r="V192" s="136" t="str">
        <f ca="1">IFERROR(VLOOKUP(B192,'1_重設數據'!L:M,2,FALSE),IF(Q192="政府",IF(AD192&gt;16,"(NPI)非專投",IF(AD192&gt;10,"(PI)專投","高資產")),IF(VLOOKUP(B192,bond!B:AN,39,FALSE)="Y","(PI)專投",IF(AD192&gt;=15,"(NPI)非專投",IF(AD192&gt;=10,"(PI)專投","高資產")))))</f>
        <v>高資產</v>
      </c>
      <c r="W192" s="136" t="str">
        <f ca="1">VLOOKUP(AD192,'credit rating'!$F$2:$H$22,3,FALSE)</f>
        <v>BB</v>
      </c>
      <c r="X192" s="136" t="str">
        <f t="shared" ca="1" si="15"/>
        <v>Ba3</v>
      </c>
      <c r="Y192" s="136" t="str">
        <f t="shared" ca="1" si="16"/>
        <v>BB</v>
      </c>
      <c r="Z192" s="136" t="str">
        <f t="shared" ca="1" si="17"/>
        <v>-</v>
      </c>
      <c r="AA192" s="134">
        <f ca="1">IFERROR(VLOOKUP(X192,'credit rating'!A:C,3,FALSE),0)</f>
        <v>9</v>
      </c>
      <c r="AB192" s="134">
        <f ca="1">IFERROR(VLOOKUP(Y192,'credit rating'!B:C,2,FALSE),0)</f>
        <v>10</v>
      </c>
      <c r="AC192" s="136">
        <f ca="1">IFERROR(VLOOKUP(Z192,'credit rating'!B:C,2,FALSE),0)</f>
        <v>0</v>
      </c>
      <c r="AD192" s="136">
        <f t="shared" ca="1" si="18"/>
        <v>10</v>
      </c>
      <c r="AE192" s="249">
        <f ca="1">IFERROR(VLOOKUP(B192,bond!B:U,20,FALSE),"")</f>
        <v>5.3199999999999997E-2</v>
      </c>
      <c r="AF192" s="136" t="str">
        <f ca="1">IF(VLOOKUP(B192,bond!B:AK,36,FALSE)="#N/A Field Not Applicable","",VLOOKUP(B192,bond!B:AK,36,FALSE))</f>
        <v>2030/12/15</v>
      </c>
      <c r="AG192" s="136" t="str">
        <f ca="1">IF(VLOOKUP(B192,bond!B:AL,37,FALSE)="FIXED","固定",IF(VLOOKUP(B192,bond!B:AL,37,FALSE)="FLOATING","浮動",IF(VLOOKUP(B192,bond!B:AL,37,FALSE)="VARIABLE","變動",IF(VLOOKUP(B192,bond!B:AL,37,FALSE)="FLAT TRADING","不含息交易",IF(VLOOKUP(B192,bond!B:AL,37,FALSE)="ZERO COUPON","零息",VLOOKUP(B192,bond!B:AL,37,FALSE))))))</f>
        <v>固定</v>
      </c>
      <c r="AH192" s="136" t="str">
        <f>VLOOKUP(C192,'2_Check_code'!I:J,2,FALSE)</f>
        <v>美元(USD)</v>
      </c>
      <c r="AI192" s="136" t="str">
        <f t="shared" ca="1" si="19"/>
        <v>自由選清單</v>
      </c>
      <c r="AJ192" s="136">
        <f t="shared" ca="1" si="20"/>
        <v>0</v>
      </c>
      <c r="AK192" s="594" t="str">
        <f ca="1">IF(VLOOKUP(B192,bond!B:S,18,FALSE)="是","有",IF(VLOOKUP(B192,bond!B:S,18,FALSE)="NO OFFER","無","需查詢"))</f>
        <v>有</v>
      </c>
      <c r="AL192" s="136" t="str">
        <f>IF(VLOOKUP(A192,bond!F:AR,39,FALSE)="#N/A Field Not Applicable",VLOOKUP(A192,bond!F:AR,38,FALSE),IFERROR(VLOOKUP(A192,'7_發行日例外'!A:B,2,FALSE),VLOOKUP(A192,bond!F:AR,39,FALSE)))</f>
        <v>2020/9/25</v>
      </c>
      <c r="AM192" s="136" t="str">
        <f ca="1">VLOOKUP(B192,bond!B:AK,36,FALSE)</f>
        <v>2030/12/15</v>
      </c>
      <c r="AN192" s="136" t="str">
        <f ca="1">IFERROR(VLOOKUP(B192,'3_是否下架'!A:A,1,FALSE),"")</f>
        <v/>
      </c>
      <c r="AO192" s="136">
        <f ca="1">VLOOKUP(B192,bond!B:J,9,FALSE)</f>
        <v>88.84</v>
      </c>
      <c r="AP192" s="136">
        <f ca="1">VLOOKUP(B192,bond!B:V,21,FALSE)</f>
        <v>5.7336</v>
      </c>
    </row>
    <row r="193" spans="1:42">
      <c r="A193" s="141" t="str">
        <f>bond!F194</f>
        <v>US70450YAJ29</v>
      </c>
      <c r="B193" s="151" t="str">
        <f ca="1">IF($C$1=TRUE,bond!B194,"")</f>
        <v>XG800</v>
      </c>
      <c r="C193" s="95" t="str">
        <f>VLOOKUP(A193,bond!F:G,2,FALSE)</f>
        <v>USD</v>
      </c>
      <c r="D193" s="142" t="str">
        <f ca="1">VLOOKUP(B193,bond!B:C,2,FALSE)</f>
        <v>Paypal控股有限公司美元配息債券 3.25% 2050/6/1</v>
      </c>
      <c r="E193" s="95" t="str">
        <f ca="1">VLOOKUP(B193,bond!B:D,3,FALSE)</f>
        <v>A3 / A- / A-</v>
      </c>
      <c r="F193" s="99" t="str">
        <f ca="1">VLOOKUP(B193,bond!B:AB,27,FALSE)</f>
        <v>2050/6/1</v>
      </c>
      <c r="G193" s="90">
        <f ca="1">VLOOKUP(B193,bond!B:E,4,FALSE)</f>
        <v>25.91</v>
      </c>
      <c r="H193" s="202">
        <f ca="1">VLOOKUP(B193,bond!B:Y,24,FALSE)</f>
        <v>3.2500000000000001E-2</v>
      </c>
      <c r="I193" s="95">
        <f ca="1">VLOOKUP(B193,bond!B:Z,25,FALSE)</f>
        <v>2</v>
      </c>
      <c r="J193" s="180">
        <f ca="1">VLOOKUP(B193,bond!B:K,10,FALSE)</f>
        <v>0.27989999999999998</v>
      </c>
      <c r="K193" s="96">
        <f ca="1">VLOOKUP($B193,bond!B:S,14,FALSE)</f>
        <v>72.25</v>
      </c>
      <c r="L193" s="91" t="str">
        <f ca="1">VLOOKUP(B193,bond!B:H,7,FALSE)</f>
        <v>2024/7/2</v>
      </c>
      <c r="M193" s="144">
        <f ca="1">VLOOKUP($B193,bond!$B:$Q,16,FALSE)</f>
        <v>5.2400000000000002E-2</v>
      </c>
      <c r="N193" s="136">
        <f ca="1">VALUE(LEFT(VLOOKUP(B193,bond!B:R,17,FALSE),SEARCH(" ",VLOOKUP(B193,bond!B:R,17,FALSE),1)))</f>
        <v>10000</v>
      </c>
      <c r="O193" s="136">
        <f ca="1">VALUE(RIGHT(VLOOKUP(B193,bond!B:R,17,FALSE),LEN(VLOOKUP(B193,bond!B:R,17,FALSE))-LEN(N193)-3))</f>
        <v>1000</v>
      </c>
      <c r="P193" s="135" t="str">
        <f ca="1">VLOOKUP($B193,bond!$B:$AG,32,FALSE)</f>
        <v>2024/12/1</v>
      </c>
      <c r="Q193" s="135" t="str">
        <f ca="1">VLOOKUP($B193,bond!$B:$AH,33,FALSE)</f>
        <v>金融</v>
      </c>
      <c r="R193" s="135" t="str">
        <f ca="1">VLOOKUP(B193,bond!B:AA,26,FALSE)</f>
        <v>Paypal控股有限公司</v>
      </c>
      <c r="S193" s="135" t="str">
        <f ca="1">VLOOKUP(B193,bond!B:AI,34,FALSE)</f>
        <v>PYPL</v>
      </c>
      <c r="T193" s="135" t="str">
        <f t="shared" ca="1" si="14"/>
        <v>Paypal控股有限公司/PYPL</v>
      </c>
      <c r="U193" s="207" t="str">
        <f ca="1">IFERROR(VLOOKUP(T193,Bond_DES!D:E,2,FALSE),VLOOKUP(S193,bond!AI:AJ,2,FALSE))</f>
        <v>PayPal控股有限公司(PayPal Holdings, Inc.)是全球最大的線上支付平台，作為消費者及商家間的橋梁，提供安全簡單的跨境電商收付款選擇，服務範圍遍及全球逾200個市場，擁有逾4億活躍用戶。據Statista統計數據顯示，截至2023年12月Paypal於全球線上支付處理軟體技術的市佔約為40%。</v>
      </c>
      <c r="V193" s="136" t="str">
        <f ca="1">IFERROR(VLOOKUP(B193,'1_重設數據'!L:M,2,FALSE),IF(Q193="政府",IF(AD193&gt;16,"(NPI)非專投",IF(AD193&gt;10,"(PI)專投","高資產")),IF(VLOOKUP(B193,bond!B:AN,39,FALSE)="Y","(PI)專投",IF(AD193&gt;=15,"(NPI)非專投",IF(AD193&gt;=10,"(PI)專投","高資產")))))</f>
        <v>(NPI)非專投</v>
      </c>
      <c r="W193" s="136" t="str">
        <f ca="1">VLOOKUP(AD193,'credit rating'!$F$2:$H$22,3,FALSE)</f>
        <v>A-</v>
      </c>
      <c r="X193" s="136" t="str">
        <f t="shared" ca="1" si="15"/>
        <v>A3</v>
      </c>
      <c r="Y193" s="136" t="str">
        <f t="shared" ca="1" si="16"/>
        <v>A-</v>
      </c>
      <c r="Z193" s="136" t="str">
        <f t="shared" ca="1" si="17"/>
        <v>A-</v>
      </c>
      <c r="AA193" s="134">
        <f ca="1">IFERROR(VLOOKUP(X193,'credit rating'!A:C,3,FALSE),0)</f>
        <v>15</v>
      </c>
      <c r="AB193" s="134">
        <f ca="1">IFERROR(VLOOKUP(Y193,'credit rating'!B:C,2,FALSE),0)</f>
        <v>15</v>
      </c>
      <c r="AC193" s="136">
        <f ca="1">IFERROR(VLOOKUP(Z193,'credit rating'!B:C,2,FALSE),0)</f>
        <v>15</v>
      </c>
      <c r="AD193" s="136">
        <f t="shared" ca="1" si="18"/>
        <v>15</v>
      </c>
      <c r="AE193" s="249">
        <f ca="1">IFERROR(VLOOKUP(B193,bond!B:U,20,FALSE),"")</f>
        <v>5.2600000000000001E-2</v>
      </c>
      <c r="AF193" s="136" t="str">
        <f ca="1">IF(VLOOKUP(B193,bond!B:AK,36,FALSE)="#N/A Field Not Applicable","",VLOOKUP(B193,bond!B:AK,36,FALSE))</f>
        <v>2049/12/1</v>
      </c>
      <c r="AG193" s="136" t="str">
        <f ca="1">IF(VLOOKUP(B193,bond!B:AL,37,FALSE)="FIXED","固定",IF(VLOOKUP(B193,bond!B:AL,37,FALSE)="FLOATING","浮動",IF(VLOOKUP(B193,bond!B:AL,37,FALSE)="VARIABLE","變動",IF(VLOOKUP(B193,bond!B:AL,37,FALSE)="FLAT TRADING","不含息交易",IF(VLOOKUP(B193,bond!B:AL,37,FALSE)="ZERO COUPON","零息",VLOOKUP(B193,bond!B:AL,37,FALSE))))))</f>
        <v>固定</v>
      </c>
      <c r="AH193" s="136" t="str">
        <f>VLOOKUP(C193,'2_Check_code'!I:J,2,FALSE)</f>
        <v>美元(USD)</v>
      </c>
      <c r="AI193" s="136" t="str">
        <f t="shared" ca="1" si="19"/>
        <v>自由選清單</v>
      </c>
      <c r="AJ193" s="136">
        <f t="shared" ca="1" si="20"/>
        <v>0</v>
      </c>
      <c r="AK193" s="594" t="str">
        <f ca="1">IF(VLOOKUP(B193,bond!B:S,18,FALSE)="是","有",IF(VLOOKUP(B193,bond!B:S,18,FALSE)="NO OFFER","無","需查詢"))</f>
        <v>有</v>
      </c>
      <c r="AL193" s="136" t="str">
        <f>IF(VLOOKUP(A193,bond!F:AR,39,FALSE)="#N/A Field Not Applicable",VLOOKUP(A193,bond!F:AR,38,FALSE),IFERROR(VLOOKUP(A193,'7_發行日例外'!A:B,2,FALSE),VLOOKUP(A193,bond!F:AR,39,FALSE)))</f>
        <v>2020/5/18</v>
      </c>
      <c r="AM193" s="136" t="str">
        <f ca="1">VLOOKUP(B193,bond!B:AK,36,FALSE)</f>
        <v>2049/12/1</v>
      </c>
      <c r="AN193" s="136" t="str">
        <f ca="1">IFERROR(VLOOKUP(B193,'3_是否下架'!A:A,1,FALSE),"")</f>
        <v/>
      </c>
      <c r="AO193" s="136">
        <f ca="1">VLOOKUP(B193,bond!B:J,9,FALSE)</f>
        <v>68.47</v>
      </c>
      <c r="AP193" s="136">
        <f ca="1">VLOOKUP(B193,bond!B:V,21,FALSE)</f>
        <v>15.3908</v>
      </c>
    </row>
    <row r="194" spans="1:42">
      <c r="A194" s="141" t="str">
        <f>bond!F195</f>
        <v>US459200KL41</v>
      </c>
      <c r="B194" s="151" t="str">
        <f ca="1">IF($C$1=TRUE,bond!B195,"")</f>
        <v>XG810</v>
      </c>
      <c r="C194" s="95" t="str">
        <f>VLOOKUP(A194,bond!F:G,2,FALSE)</f>
        <v>USD</v>
      </c>
      <c r="D194" s="142" t="str">
        <f ca="1">VLOOKUP(B194,bond!B:C,2,FALSE)</f>
        <v>國際商業機器公司美元配息債券 2.95% 2050/5/15</v>
      </c>
      <c r="E194" s="95" t="str">
        <f ca="1">VLOOKUP(B194,bond!B:D,3,FALSE)</f>
        <v>A3 / A- / A-</v>
      </c>
      <c r="F194" s="99" t="str">
        <f ca="1">VLOOKUP(B194,bond!B:AB,27,FALSE)</f>
        <v>2050/5/15</v>
      </c>
      <c r="G194" s="90">
        <f ca="1">VLOOKUP(B194,bond!B:E,4,FALSE)</f>
        <v>25.87</v>
      </c>
      <c r="H194" s="202">
        <f ca="1">VLOOKUP(B194,bond!B:Y,24,FALSE)</f>
        <v>2.9500000000000002E-2</v>
      </c>
      <c r="I194" s="95">
        <f ca="1">VLOOKUP(B194,bond!B:Z,25,FALSE)</f>
        <v>2</v>
      </c>
      <c r="J194" s="180">
        <f ca="1">VLOOKUP(B194,bond!B:K,10,FALSE)</f>
        <v>0.3851</v>
      </c>
      <c r="K194" s="96">
        <f ca="1">VLOOKUP($B194,bond!B:S,14,FALSE)</f>
        <v>68.260000000000005</v>
      </c>
      <c r="L194" s="91" t="str">
        <f ca="1">VLOOKUP(B194,bond!B:H,7,FALSE)</f>
        <v>2024/7/2</v>
      </c>
      <c r="M194" s="144">
        <f ca="1">VLOOKUP($B194,bond!$B:$Q,16,FALSE)</f>
        <v>5.2299999999999999E-2</v>
      </c>
      <c r="N194" s="136">
        <f ca="1">VALUE(LEFT(VLOOKUP(B194,bond!B:R,17,FALSE),SEARCH(" ",VLOOKUP(B194,bond!B:R,17,FALSE),1)))</f>
        <v>100000</v>
      </c>
      <c r="O194" s="136">
        <f ca="1">VALUE(RIGHT(VLOOKUP(B194,bond!B:R,17,FALSE),LEN(VLOOKUP(B194,bond!B:R,17,FALSE))-LEN(N194)-3))</f>
        <v>1000</v>
      </c>
      <c r="P194" s="135" t="str">
        <f ca="1">VLOOKUP($B194,bond!$B:$AG,32,FALSE)</f>
        <v>2024/11/15</v>
      </c>
      <c r="Q194" s="135" t="str">
        <f ca="1">VLOOKUP($B194,bond!$B:$AH,33,FALSE)</f>
        <v>科技</v>
      </c>
      <c r="R194" s="135" t="str">
        <f ca="1">VLOOKUP(B194,bond!B:AA,26,FALSE)</f>
        <v>國際商業機器</v>
      </c>
      <c r="S194" s="135" t="str">
        <f ca="1">VLOOKUP(B194,bond!B:AI,34,FALSE)</f>
        <v>IBM</v>
      </c>
      <c r="T194" s="135" t="str">
        <f t="shared" ca="1" si="14"/>
        <v>國際商業機器/IBM</v>
      </c>
      <c r="U194" s="207" t="str">
        <f ca="1">IFERROR(VLOOKUP(T194,Bond_DES!D:E,2,FALSE),VLOOKUP(S194,bond!AI:AJ,2,FALSE))</f>
        <v>國際商業機器公司(International Business Machines Corporation，簡稱IBM)為一家逾百年歷史的跨國科技公司，早年由硬體起家的IBM有「藍色巨人」之稱，在把電腦業務出售給聯想後轉型為聚焦軟體、服務、混合雲平台的公司，業務遍及全球175個國家。2024年《Fortune》全美500強第63位。</v>
      </c>
      <c r="V194" s="136" t="str">
        <f ca="1">IFERROR(VLOOKUP(B194,'1_重設數據'!L:M,2,FALSE),IF(Q194="政府",IF(AD194&gt;16,"(NPI)非專投",IF(AD194&gt;10,"(PI)專投","高資產")),IF(VLOOKUP(B194,bond!B:AN,39,FALSE)="Y","(PI)專投",IF(AD194&gt;=15,"(NPI)非專投",IF(AD194&gt;=10,"(PI)專投","高資產")))))</f>
        <v>(NPI)非專投</v>
      </c>
      <c r="W194" s="136" t="str">
        <f ca="1">VLOOKUP(AD194,'credit rating'!$F$2:$H$22,3,FALSE)</f>
        <v>A-</v>
      </c>
      <c r="X194" s="136" t="str">
        <f t="shared" ca="1" si="15"/>
        <v>A3</v>
      </c>
      <c r="Y194" s="136" t="str">
        <f t="shared" ca="1" si="16"/>
        <v>A-</v>
      </c>
      <c r="Z194" s="136" t="str">
        <f t="shared" ca="1" si="17"/>
        <v>A-</v>
      </c>
      <c r="AA194" s="134">
        <f ca="1">IFERROR(VLOOKUP(X194,'credit rating'!A:C,3,FALSE),0)</f>
        <v>15</v>
      </c>
      <c r="AB194" s="134">
        <f ca="1">IFERROR(VLOOKUP(Y194,'credit rating'!B:C,2,FALSE),0)</f>
        <v>15</v>
      </c>
      <c r="AC194" s="136">
        <f ca="1">IFERROR(VLOOKUP(Z194,'credit rating'!B:C,2,FALSE),0)</f>
        <v>15</v>
      </c>
      <c r="AD194" s="136">
        <f t="shared" ca="1" si="18"/>
        <v>15</v>
      </c>
      <c r="AE194" s="249">
        <f ca="1">IFERROR(VLOOKUP(B194,bond!B:U,20,FALSE),"")</f>
        <v>5.2600000000000001E-2</v>
      </c>
      <c r="AF194" s="136" t="str">
        <f ca="1">IF(VLOOKUP(B194,bond!B:AK,36,FALSE)="#N/A Field Not Applicable","",VLOOKUP(B194,bond!B:AK,36,FALSE))</f>
        <v>2049/11/15</v>
      </c>
      <c r="AG194" s="136" t="str">
        <f ca="1">IF(VLOOKUP(B194,bond!B:AL,37,FALSE)="FIXED","固定",IF(VLOOKUP(B194,bond!B:AL,37,FALSE)="FLOATING","浮動",IF(VLOOKUP(B194,bond!B:AL,37,FALSE)="VARIABLE","變動",IF(VLOOKUP(B194,bond!B:AL,37,FALSE)="FLAT TRADING","不含息交易",IF(VLOOKUP(B194,bond!B:AL,37,FALSE)="ZERO COUPON","零息",VLOOKUP(B194,bond!B:AL,37,FALSE))))))</f>
        <v>固定</v>
      </c>
      <c r="AH194" s="136" t="str">
        <f>VLOOKUP(C194,'2_Check_code'!I:J,2,FALSE)</f>
        <v>美元(USD)</v>
      </c>
      <c r="AI194" s="136" t="str">
        <f t="shared" ca="1" si="19"/>
        <v>自由選清單</v>
      </c>
      <c r="AJ194" s="136">
        <f t="shared" ca="1" si="20"/>
        <v>0</v>
      </c>
      <c r="AK194" s="594" t="str">
        <f ca="1">IF(VLOOKUP(B194,bond!B:S,18,FALSE)="是","有",IF(VLOOKUP(B194,bond!B:S,18,FALSE)="NO OFFER","無","需查詢"))</f>
        <v>有</v>
      </c>
      <c r="AL194" s="136" t="str">
        <f>IF(VLOOKUP(A194,bond!F:AR,39,FALSE)="#N/A Field Not Applicable",VLOOKUP(A194,bond!F:AR,38,FALSE),IFERROR(VLOOKUP(A194,'7_發行日例外'!A:B,2,FALSE),VLOOKUP(A194,bond!F:AR,39,FALSE)))</f>
        <v>2020/5/7</v>
      </c>
      <c r="AM194" s="136" t="str">
        <f ca="1">VLOOKUP(B194,bond!B:AK,36,FALSE)</f>
        <v>2049/11/15</v>
      </c>
      <c r="AN194" s="136" t="str">
        <f ca="1">IFERROR(VLOOKUP(B194,'3_是否下架'!A:A,1,FALSE),"")</f>
        <v/>
      </c>
      <c r="AO194" s="136">
        <f ca="1">VLOOKUP(B194,bond!B:J,9,FALSE)</f>
        <v>64.37</v>
      </c>
      <c r="AP194" s="136">
        <f ca="1">VLOOKUP(B194,bond!B:V,21,FALSE)</f>
        <v>15.682600000000001</v>
      </c>
    </row>
    <row r="195" spans="1:42">
      <c r="A195" s="141" t="str">
        <f>bond!F196</f>
        <v>USU8801TAE74</v>
      </c>
      <c r="B195" s="151" t="str">
        <f ca="1">IF($C$1=TRUE,bond!B196,"")</f>
        <v>XG820</v>
      </c>
      <c r="C195" s="95" t="str">
        <f>VLOOKUP(A195,bond!F:G,2,FALSE)</f>
        <v>USD</v>
      </c>
      <c r="D195" s="142" t="str">
        <f ca="1">VLOOKUP(B195,bond!B:C,2,FALSE)</f>
        <v>丹普席伊麗國際公司美元配息債券 3.875% 2031/10/15</v>
      </c>
      <c r="E195" s="95" t="str">
        <f ca="1">VLOOKUP(B195,bond!B:D,3,FALSE)</f>
        <v>Ba2 *- / BB / BB+ *-</v>
      </c>
      <c r="F195" s="99" t="str">
        <f ca="1">VLOOKUP(B195,bond!B:AB,27,FALSE)</f>
        <v>2031/10/15</v>
      </c>
      <c r="G195" s="90">
        <f ca="1">VLOOKUP(B195,bond!B:E,4,FALSE)</f>
        <v>7.29</v>
      </c>
      <c r="H195" s="202">
        <f ca="1">VLOOKUP(B195,bond!B:Y,24,FALSE)</f>
        <v>3.875E-2</v>
      </c>
      <c r="I195" s="95">
        <f ca="1">VLOOKUP(B195,bond!B:Z,25,FALSE)</f>
        <v>2</v>
      </c>
      <c r="J195" s="180">
        <f ca="1">VLOOKUP(B195,bond!B:K,10,FALSE)</f>
        <v>0.82879999999999998</v>
      </c>
      <c r="K195" s="96">
        <f ca="1">VLOOKUP($B195,bond!B:S,14,FALSE)</f>
        <v>87.98</v>
      </c>
      <c r="L195" s="91" t="str">
        <f ca="1">VLOOKUP(B195,bond!B:H,7,FALSE)</f>
        <v>2024/7/2</v>
      </c>
      <c r="M195" s="144">
        <f ca="1">VLOOKUP($B195,bond!$B:$Q,16,FALSE)</f>
        <v>6.08E-2</v>
      </c>
      <c r="N195" s="136">
        <f ca="1">VALUE(LEFT(VLOOKUP(B195,bond!B:R,17,FALSE),SEARCH(" ",VLOOKUP(B195,bond!B:R,17,FALSE),1)))</f>
        <v>10000</v>
      </c>
      <c r="O195" s="136">
        <f ca="1">VALUE(RIGHT(VLOOKUP(B195,bond!B:R,17,FALSE),LEN(VLOOKUP(B195,bond!B:R,17,FALSE))-LEN(N195)-3))</f>
        <v>1000</v>
      </c>
      <c r="P195" s="135" t="str">
        <f ca="1">VLOOKUP($B195,bond!$B:$AG,32,FALSE)</f>
        <v>2024/10/15</v>
      </c>
      <c r="Q195" s="135" t="str">
        <f ca="1">VLOOKUP($B195,bond!$B:$AH,33,FALSE)</f>
        <v>非核心消費</v>
      </c>
      <c r="R195" s="135" t="str">
        <f ca="1">VLOOKUP(B195,bond!B:AA,26,FALSE)</f>
        <v>丹普席伊麗國際公司</v>
      </c>
      <c r="S195" s="135" t="str">
        <f ca="1">VLOOKUP(B195,bond!B:AI,34,FALSE)</f>
        <v>TPX</v>
      </c>
      <c r="T195" s="135" t="str">
        <f t="shared" ca="1" si="14"/>
        <v>丹普席伊麗國際公司/TPX</v>
      </c>
      <c r="U195" s="207" t="str">
        <f ca="1">IFERROR(VLOOKUP(T195,Bond_DES!D:E,2,FALSE),VLOOKUP(S195,bond!AI:AJ,2,FALSE))</f>
        <v>丹普席伊麗國際公司(Tempur Sealy International, Inc.)為全球睡眠產業的第一大公司，透過旗下主要子公司製造並行銷寢具產品，旗下主要品牌有丹普TEMPUR、Stearns &amp; Foster及席伊麗Sealy，其中，席伊麗Sealy是四季酒店、萬豪酒店、晶華酒店、喜來登大飯店等五星級飯店的指定名床品牌。</v>
      </c>
      <c r="V195" s="136" t="str">
        <f ca="1">IFERROR(VLOOKUP(B195,'1_重設數據'!L:M,2,FALSE),IF(Q195="政府",IF(AD195&gt;16,"(NPI)非專投",IF(AD195&gt;10,"(PI)專投","高資產")),IF(VLOOKUP(B195,bond!B:AN,39,FALSE)="Y","(PI)專投",IF(AD195&gt;=15,"(NPI)非專投",IF(AD195&gt;=10,"(PI)專投","高資產")))))</f>
        <v>(PI)專投</v>
      </c>
      <c r="W195" s="136" t="str">
        <f ca="1">VLOOKUP(AD195,'credit rating'!$F$2:$H$22,3,FALSE)</f>
        <v>BB+</v>
      </c>
      <c r="X195" s="136" t="str">
        <f t="shared" ca="1" si="15"/>
        <v>Ba2 *-</v>
      </c>
      <c r="Y195" s="136" t="str">
        <f t="shared" ca="1" si="16"/>
        <v>BB</v>
      </c>
      <c r="Z195" s="136" t="str">
        <f t="shared" ca="1" si="17"/>
        <v>BB+ *-</v>
      </c>
      <c r="AA195" s="134">
        <f ca="1">IFERROR(VLOOKUP(X195,'credit rating'!A:C,3,FALSE),0)</f>
        <v>10</v>
      </c>
      <c r="AB195" s="134">
        <f ca="1">IFERROR(VLOOKUP(Y195,'credit rating'!B:C,2,FALSE),0)</f>
        <v>10</v>
      </c>
      <c r="AC195" s="136">
        <f ca="1">IFERROR(VLOOKUP(Z195,'credit rating'!B:C,2,FALSE),0)</f>
        <v>11</v>
      </c>
      <c r="AD195" s="136">
        <f t="shared" ca="1" si="18"/>
        <v>11</v>
      </c>
      <c r="AE195" s="249">
        <f ca="1">IFERROR(VLOOKUP(B195,bond!B:U,20,FALSE),"")</f>
        <v>0.1116</v>
      </c>
      <c r="AF195" s="136" t="str">
        <f ca="1">IF(VLOOKUP(B195,bond!B:AK,36,FALSE)="#N/A Field Not Applicable","",VLOOKUP(B195,bond!B:AK,36,FALSE))</f>
        <v>2026/10/15</v>
      </c>
      <c r="AG195" s="136" t="str">
        <f ca="1">IF(VLOOKUP(B195,bond!B:AL,37,FALSE)="FIXED","固定",IF(VLOOKUP(B195,bond!B:AL,37,FALSE)="FLOATING","浮動",IF(VLOOKUP(B195,bond!B:AL,37,FALSE)="VARIABLE","變動",IF(VLOOKUP(B195,bond!B:AL,37,FALSE)="FLAT TRADING","不含息交易",IF(VLOOKUP(B195,bond!B:AL,37,FALSE)="ZERO COUPON","零息",VLOOKUP(B195,bond!B:AL,37,FALSE))))))</f>
        <v>固定</v>
      </c>
      <c r="AH195" s="136" t="str">
        <f>VLOOKUP(C195,'2_Check_code'!I:J,2,FALSE)</f>
        <v>美元(USD)</v>
      </c>
      <c r="AI195" s="136" t="str">
        <f t="shared" ca="1" si="19"/>
        <v>自由選清單</v>
      </c>
      <c r="AJ195" s="136">
        <f t="shared" ca="1" si="20"/>
        <v>0</v>
      </c>
      <c r="AK195" s="594" t="str">
        <f ca="1">IF(VLOOKUP(B195,bond!B:S,18,FALSE)="是","有",IF(VLOOKUP(B195,bond!B:S,18,FALSE)="NO OFFER","無","需查詢"))</f>
        <v>需查詢</v>
      </c>
      <c r="AL195" s="136" t="str">
        <f>IF(VLOOKUP(A195,bond!F:AR,39,FALSE)="#N/A Field Not Applicable",VLOOKUP(A195,bond!F:AR,38,FALSE),IFERROR(VLOOKUP(A195,'7_發行日例外'!A:B,2,FALSE),VLOOKUP(A195,bond!F:AR,39,FALSE)))</f>
        <v>2021/9/24</v>
      </c>
      <c r="AM195" s="136" t="str">
        <f ca="1">VLOOKUP(B195,bond!B:AK,36,FALSE)</f>
        <v>2026/10/15</v>
      </c>
      <c r="AN195" s="136" t="str">
        <f ca="1">IFERROR(VLOOKUP(B195,'3_是否下架'!A:A,1,FALSE),"")</f>
        <v/>
      </c>
      <c r="AO195" s="136">
        <f ca="1">VLOOKUP(B195,bond!B:J,9,FALSE)</f>
        <v>85.15</v>
      </c>
      <c r="AP195" s="136">
        <f ca="1">VLOOKUP(B195,bond!B:V,21,FALSE)</f>
        <v>6.0759999999999996</v>
      </c>
    </row>
    <row r="196" spans="1:42">
      <c r="A196" s="141" t="str">
        <f>bond!F197</f>
        <v>US023135BJ40</v>
      </c>
      <c r="B196" s="151" t="str">
        <f ca="1">IF($C$1=TRUE,bond!B197,"")</f>
        <v>XG830</v>
      </c>
      <c r="C196" s="95" t="str">
        <f>VLOOKUP(A196,bond!F:G,2,FALSE)</f>
        <v>USD</v>
      </c>
      <c r="D196" s="142" t="str">
        <f ca="1">VLOOKUP(B196,bond!B:C,2,FALSE)</f>
        <v>亞馬遜公司美元配息債券 4.05% 2047/8/22</v>
      </c>
      <c r="E196" s="95" t="str">
        <f ca="1">VLOOKUP(B196,bond!B:D,3,FALSE)</f>
        <v>A1 / AA / AA-</v>
      </c>
      <c r="F196" s="99" t="str">
        <f ca="1">VLOOKUP(B196,bond!B:AB,27,FALSE)</f>
        <v>2047/8/22</v>
      </c>
      <c r="G196" s="90">
        <f ca="1">VLOOKUP(B196,bond!B:E,4,FALSE)</f>
        <v>23.14</v>
      </c>
      <c r="H196" s="202">
        <f ca="1">VLOOKUP(B196,bond!B:Y,24,FALSE)</f>
        <v>4.0500000000000001E-2</v>
      </c>
      <c r="I196" s="95">
        <f ca="1">VLOOKUP(B196,bond!B:Z,25,FALSE)</f>
        <v>2</v>
      </c>
      <c r="J196" s="180">
        <f ca="1">VLOOKUP(B196,bond!B:K,10,FALSE)</f>
        <v>1.4624999999999999</v>
      </c>
      <c r="K196" s="96">
        <f ca="1">VLOOKUP($B196,bond!B:S,14,FALSE)</f>
        <v>89.15</v>
      </c>
      <c r="L196" s="91" t="str">
        <f ca="1">VLOOKUP(B196,bond!B:H,7,FALSE)</f>
        <v>2024/7/2</v>
      </c>
      <c r="M196" s="144">
        <f ca="1">VLOOKUP($B196,bond!$B:$Q,16,FALSE)</f>
        <v>4.9500000000000002E-2</v>
      </c>
      <c r="N196" s="136">
        <f ca="1">VALUE(LEFT(VLOOKUP(B196,bond!B:R,17,FALSE),SEARCH(" ",VLOOKUP(B196,bond!B:R,17,FALSE),1)))</f>
        <v>10000</v>
      </c>
      <c r="O196" s="136">
        <f ca="1">VALUE(RIGHT(VLOOKUP(B196,bond!B:R,17,FALSE),LEN(VLOOKUP(B196,bond!B:R,17,FALSE))-LEN(N196)-3))</f>
        <v>1000</v>
      </c>
      <c r="P196" s="135" t="str">
        <f ca="1">VLOOKUP($B196,bond!$B:$AG,32,FALSE)</f>
        <v>2024/8/22</v>
      </c>
      <c r="Q196" s="135" t="str">
        <f ca="1">VLOOKUP($B196,bond!$B:$AH,33,FALSE)</f>
        <v>非核心消費</v>
      </c>
      <c r="R196" s="135" t="str">
        <f ca="1">VLOOKUP(B196,bond!B:AA,26,FALSE)</f>
        <v>亞馬遜公司</v>
      </c>
      <c r="S196" s="135" t="str">
        <f ca="1">VLOOKUP(B196,bond!B:AI,34,FALSE)</f>
        <v>AMZN</v>
      </c>
      <c r="T196" s="135" t="str">
        <f t="shared" ref="T196:T259" ca="1" si="21">CONCATENATE(R196,"/",S196)</f>
        <v>亞馬遜公司/AMZN</v>
      </c>
      <c r="U196" s="207" t="str">
        <f ca="1">IFERROR(VLOOKUP(T196,Bond_DES!D:E,2,FALSE),VLOOKUP(S196,bond!AI:AJ,2,FALSE))</f>
        <v>亞馬遜公司(Amazon.com, Inc.)按營收為美國第2大、全球第4大企業(Fortune 2023)，是全球最大的網路零售商與雲端基礎建設供應商，商品銷售市占在美國達5成、雲端AWS囊括全球1/3市占，並在全球擁有超過2億的Prime付費會員。</v>
      </c>
      <c r="V196" s="136" t="str">
        <f ca="1">IFERROR(VLOOKUP(B196,'1_重設數據'!L:M,2,FALSE),IF(Q196="政府",IF(AD196&gt;16,"(NPI)非專投",IF(AD196&gt;10,"(PI)專投","高資產")),IF(VLOOKUP(B196,bond!B:AN,39,FALSE)="Y","(PI)專投",IF(AD196&gt;=15,"(NPI)非專投",IF(AD196&gt;=10,"(PI)專投","高資產")))))</f>
        <v>(NPI)非專投</v>
      </c>
      <c r="W196" s="136" t="str">
        <f ca="1">VLOOKUP(AD196,'credit rating'!$F$2:$H$22,3,FALSE)</f>
        <v>AA</v>
      </c>
      <c r="X196" s="136" t="str">
        <f t="shared" ref="X196:X259" ca="1" si="22">LEFT(E196,SEARCH(" /",E196)-1)</f>
        <v>A1</v>
      </c>
      <c r="Y196" s="136" t="str">
        <f t="shared" ref="Y196:Y259" ca="1" si="23">MID(E196,LEN(X196)+4,LEN(E196)-LEN(X196)-LEN(Z196)-6)</f>
        <v>AA</v>
      </c>
      <c r="Z196" s="136" t="str">
        <f t="shared" ref="Z196:Z259" ca="1" si="24">TRIM(RIGHT(SUBSTITUTE(E196,"/ ",REPT(" ",99)),99))</f>
        <v>AA-</v>
      </c>
      <c r="AA196" s="134">
        <f ca="1">IFERROR(VLOOKUP(X196,'credit rating'!A:C,3,FALSE),0)</f>
        <v>17</v>
      </c>
      <c r="AB196" s="134">
        <f ca="1">IFERROR(VLOOKUP(Y196,'credit rating'!B:C,2,FALSE),0)</f>
        <v>19</v>
      </c>
      <c r="AC196" s="136">
        <f ca="1">IFERROR(VLOOKUP(Z196,'credit rating'!B:C,2,FALSE),0)</f>
        <v>18</v>
      </c>
      <c r="AD196" s="136">
        <f t="shared" ref="AD196:AD259" ca="1" si="25">MAX(AA196:AC196)</f>
        <v>19</v>
      </c>
      <c r="AE196" s="249">
        <f ca="1">IFERROR(VLOOKUP(B196,bond!B:U,20,FALSE),"")</f>
        <v>4.9599999999999998E-2</v>
      </c>
      <c r="AF196" s="136" t="str">
        <f ca="1">IF(VLOOKUP(B196,bond!B:AK,36,FALSE)="#N/A Field Not Applicable","",VLOOKUP(B196,bond!B:AK,36,FALSE))</f>
        <v>2047/2/22</v>
      </c>
      <c r="AG196" s="136" t="str">
        <f ca="1">IF(VLOOKUP(B196,bond!B:AL,37,FALSE)="FIXED","固定",IF(VLOOKUP(B196,bond!B:AL,37,FALSE)="FLOATING","浮動",IF(VLOOKUP(B196,bond!B:AL,37,FALSE)="VARIABLE","變動",IF(VLOOKUP(B196,bond!B:AL,37,FALSE)="FLAT TRADING","不含息交易",IF(VLOOKUP(B196,bond!B:AL,37,FALSE)="ZERO COUPON","零息",VLOOKUP(B196,bond!B:AL,37,FALSE))))))</f>
        <v>固定</v>
      </c>
      <c r="AH196" s="136" t="str">
        <f>VLOOKUP(C196,'2_Check_code'!I:J,2,FALSE)</f>
        <v>美元(USD)</v>
      </c>
      <c r="AI196" s="136" t="str">
        <f t="shared" ref="AI196:AI259" ca="1" si="26">IF(AND(I196=2,C196="USD"),"自由選清單","")</f>
        <v>自由選清單</v>
      </c>
      <c r="AJ196" s="136">
        <f t="shared" ref="AJ196:AJ259" ca="1" si="27">IF(AND(I196=2,C196="USD"),0,1)</f>
        <v>0</v>
      </c>
      <c r="AK196" s="594" t="str">
        <f ca="1">IF(VLOOKUP(B196,bond!B:S,18,FALSE)="是","有",IF(VLOOKUP(B196,bond!B:S,18,FALSE)="NO OFFER","無","需查詢"))</f>
        <v>有</v>
      </c>
      <c r="AL196" s="136" t="str">
        <f>IF(VLOOKUP(A196,bond!F:AR,39,FALSE)="#N/A Field Not Applicable",VLOOKUP(A196,bond!F:AR,38,FALSE),IFERROR(VLOOKUP(A196,'7_發行日例外'!A:B,2,FALSE),VLOOKUP(A196,bond!F:AR,39,FALSE)))</f>
        <v>2018/2/22</v>
      </c>
      <c r="AM196" s="136" t="str">
        <f ca="1">VLOOKUP(B196,bond!B:AK,36,FALSE)</f>
        <v>2047/2/22</v>
      </c>
      <c r="AN196" s="136" t="str">
        <f ca="1">IFERROR(VLOOKUP(B196,'3_是否下架'!A:A,1,FALSE),"")</f>
        <v/>
      </c>
      <c r="AO196" s="136">
        <f ca="1">VLOOKUP(B196,bond!B:J,9,FALSE)</f>
        <v>84.190000000000012</v>
      </c>
      <c r="AP196" s="136">
        <f ca="1">VLOOKUP(B196,bond!B:V,21,FALSE)</f>
        <v>13.8955</v>
      </c>
    </row>
    <row r="197" spans="1:42">
      <c r="A197" s="141" t="str">
        <f>bond!F198</f>
        <v>US031162CS70</v>
      </c>
      <c r="B197" s="151" t="str">
        <f ca="1">IF($C$1=TRUE,bond!B198,"")</f>
        <v>XG840</v>
      </c>
      <c r="C197" s="95" t="str">
        <f>VLOOKUP(A197,bond!F:G,2,FALSE)</f>
        <v>USD</v>
      </c>
      <c r="D197" s="142" t="str">
        <f ca="1">VLOOKUP(B197,bond!B:C,2,FALSE)</f>
        <v>安進公司美元配息債券 3.375% 2050/2/21</v>
      </c>
      <c r="E197" s="95" t="str">
        <f ca="1">VLOOKUP(B197,bond!B:D,3,FALSE)</f>
        <v>Baa1 / BBB+ / BBB</v>
      </c>
      <c r="F197" s="99" t="str">
        <f ca="1">VLOOKUP(B197,bond!B:AB,27,FALSE)</f>
        <v>2050/2/21</v>
      </c>
      <c r="G197" s="90">
        <f ca="1">VLOOKUP(B197,bond!B:E,4,FALSE)</f>
        <v>25.64</v>
      </c>
      <c r="H197" s="202">
        <f ca="1">VLOOKUP(B197,bond!B:Y,24,FALSE)</f>
        <v>3.3750000000000002E-2</v>
      </c>
      <c r="I197" s="95">
        <f ca="1">VLOOKUP(B197,bond!B:Z,25,FALSE)</f>
        <v>2</v>
      </c>
      <c r="J197" s="180">
        <f ca="1">VLOOKUP(B197,bond!B:K,10,FALSE)</f>
        <v>1.2281</v>
      </c>
      <c r="K197" s="96">
        <f ca="1">VLOOKUP($B197,bond!B:S,14,FALSE)</f>
        <v>75.33</v>
      </c>
      <c r="L197" s="91" t="str">
        <f ca="1">VLOOKUP(B197,bond!B:H,7,FALSE)</f>
        <v>2024/7/2</v>
      </c>
      <c r="M197" s="144">
        <f ca="1">VLOOKUP($B197,bond!$B:$Q,16,FALSE)</f>
        <v>5.2200000000000003E-2</v>
      </c>
      <c r="N197" s="136">
        <f ca="1">VALUE(LEFT(VLOOKUP(B197,bond!B:R,17,FALSE),SEARCH(" ",VLOOKUP(B197,bond!B:R,17,FALSE),1)))</f>
        <v>10000</v>
      </c>
      <c r="O197" s="136">
        <f ca="1">VALUE(RIGHT(VLOOKUP(B197,bond!B:R,17,FALSE),LEN(VLOOKUP(B197,bond!B:R,17,FALSE))-LEN(N197)-3))</f>
        <v>1000</v>
      </c>
      <c r="P197" s="135" t="str">
        <f ca="1">VLOOKUP($B197,bond!$B:$AG,32,FALSE)</f>
        <v>2024/8/21</v>
      </c>
      <c r="Q197" s="135" t="str">
        <f ca="1">VLOOKUP($B197,bond!$B:$AH,33,FALSE)</f>
        <v>醫療保健</v>
      </c>
      <c r="R197" s="135" t="str">
        <f ca="1">VLOOKUP(B197,bond!B:AA,26,FALSE)</f>
        <v>安進公司</v>
      </c>
      <c r="S197" s="135" t="str">
        <f ca="1">VLOOKUP(B197,bond!B:AI,34,FALSE)</f>
        <v>AMGN</v>
      </c>
      <c r="T197" s="135" t="str">
        <f t="shared" ca="1" si="21"/>
        <v>安進公司/AMGN</v>
      </c>
      <c r="U197" s="207" t="str">
        <f ca="1">IFERROR(VLOOKUP(T197,Bond_DES!D:E,2,FALSE),VLOOKUP(S197,bond!AI:AJ,2,FALSE))</f>
        <v>安進公司(Amgen Inc.)為一家年營收超過250億美元的全球最大獨立生技醫藥公司，研發目標著重於六大領域：癌症／血液學、心血管疾病、炎症、骨質健康、神經科學及腎臟科，業務遍及全球約100個國家。該公司用於治療乾癬的「Otezla」為於美國市佔第一的口服治療藥物，公司於2024年《製藥經理人》全球50大藥企排名第14位。</v>
      </c>
      <c r="V197" s="136" t="str">
        <f ca="1">IFERROR(VLOOKUP(B197,'1_重設數據'!L:M,2,FALSE),IF(Q197="政府",IF(AD197&gt;16,"(NPI)非專投",IF(AD197&gt;10,"(PI)專投","高資產")),IF(VLOOKUP(B197,bond!B:AN,39,FALSE)="Y","(PI)專投",IF(AD197&gt;=15,"(NPI)非專投",IF(AD197&gt;=10,"(PI)專投","高資產")))))</f>
        <v>(PI)專投</v>
      </c>
      <c r="W197" s="136" t="str">
        <f ca="1">VLOOKUP(AD197,'credit rating'!$F$2:$H$22,3,FALSE)</f>
        <v>BBB+</v>
      </c>
      <c r="X197" s="136" t="str">
        <f t="shared" ca="1" si="22"/>
        <v>Baa1</v>
      </c>
      <c r="Y197" s="136" t="str">
        <f t="shared" ca="1" si="23"/>
        <v>BBB+</v>
      </c>
      <c r="Z197" s="136" t="str">
        <f t="shared" ca="1" si="24"/>
        <v>BBB</v>
      </c>
      <c r="AA197" s="134">
        <f ca="1">IFERROR(VLOOKUP(X197,'credit rating'!A:C,3,FALSE),0)</f>
        <v>14</v>
      </c>
      <c r="AB197" s="134">
        <f ca="1">IFERROR(VLOOKUP(Y197,'credit rating'!B:C,2,FALSE),0)</f>
        <v>14</v>
      </c>
      <c r="AC197" s="136">
        <f ca="1">IFERROR(VLOOKUP(Z197,'credit rating'!B:C,2,FALSE),0)</f>
        <v>13</v>
      </c>
      <c r="AD197" s="136">
        <f t="shared" ca="1" si="25"/>
        <v>14</v>
      </c>
      <c r="AE197" s="249">
        <f ca="1">IFERROR(VLOOKUP(B197,bond!B:U,20,FALSE),"")</f>
        <v>5.2400000000000002E-2</v>
      </c>
      <c r="AF197" s="136" t="str">
        <f ca="1">IF(VLOOKUP(B197,bond!B:AK,36,FALSE)="#N/A Field Not Applicable","",VLOOKUP(B197,bond!B:AK,36,FALSE))</f>
        <v>2049/8/21</v>
      </c>
      <c r="AG197" s="136" t="str">
        <f ca="1">IF(VLOOKUP(B197,bond!B:AL,37,FALSE)="FIXED","固定",IF(VLOOKUP(B197,bond!B:AL,37,FALSE)="FLOATING","浮動",IF(VLOOKUP(B197,bond!B:AL,37,FALSE)="VARIABLE","變動",IF(VLOOKUP(B197,bond!B:AL,37,FALSE)="FLAT TRADING","不含息交易",IF(VLOOKUP(B197,bond!B:AL,37,FALSE)="ZERO COUPON","零息",VLOOKUP(B197,bond!B:AL,37,FALSE))))))</f>
        <v>固定</v>
      </c>
      <c r="AH197" s="136" t="str">
        <f>VLOOKUP(C197,'2_Check_code'!I:J,2,FALSE)</f>
        <v>美元(USD)</v>
      </c>
      <c r="AI197" s="136" t="str">
        <f t="shared" ca="1" si="26"/>
        <v>自由選清單</v>
      </c>
      <c r="AJ197" s="136">
        <f t="shared" ca="1" si="27"/>
        <v>0</v>
      </c>
      <c r="AK197" s="594" t="str">
        <f ca="1">IF(VLOOKUP(B197,bond!B:S,18,FALSE)="是","有",IF(VLOOKUP(B197,bond!B:S,18,FALSE)="NO OFFER","無","需查詢"))</f>
        <v>有</v>
      </c>
      <c r="AL197" s="136" t="str">
        <f>IF(VLOOKUP(A197,bond!F:AR,39,FALSE)="#N/A Field Not Applicable",VLOOKUP(A197,bond!F:AR,38,FALSE),IFERROR(VLOOKUP(A197,'7_發行日例外'!A:B,2,FALSE),VLOOKUP(A197,bond!F:AR,39,FALSE)))</f>
        <v>2020/2/21</v>
      </c>
      <c r="AM197" s="136" t="str">
        <f ca="1">VLOOKUP(B197,bond!B:AK,36,FALSE)</f>
        <v>2049/8/21</v>
      </c>
      <c r="AN197" s="136" t="str">
        <f ca="1">IFERROR(VLOOKUP(B197,'3_是否下架'!A:A,1,FALSE),"")</f>
        <v>XG840</v>
      </c>
      <c r="AO197" s="136">
        <f ca="1">VLOOKUP(B197,bond!B:J,9,FALSE)</f>
        <v>71.100000000000009</v>
      </c>
      <c r="AP197" s="136">
        <f ca="1">VLOOKUP(B197,bond!B:V,21,FALSE)</f>
        <v>15.036300000000001</v>
      </c>
    </row>
    <row r="198" spans="1:42">
      <c r="A198" s="141" t="str">
        <f>bond!F199</f>
        <v>US29446MAG78</v>
      </c>
      <c r="B198" s="151" t="str">
        <f ca="1">IF($C$1=TRUE,bond!B199,"")</f>
        <v>XG850</v>
      </c>
      <c r="C198" s="95" t="str">
        <f>VLOOKUP(A198,bond!F:G,2,FALSE)</f>
        <v>USD</v>
      </c>
      <c r="D198" s="142" t="str">
        <f ca="1">VLOOKUP(B198,bond!B:C,2,FALSE)</f>
        <v>挪威國家石油公司美元配息債券 3.625% 2040/4/6</v>
      </c>
      <c r="E198" s="95" t="str">
        <f ca="1">VLOOKUP(B198,bond!B:D,3,FALSE)</f>
        <v>Aa2 / AA- / -</v>
      </c>
      <c r="F198" s="99" t="str">
        <f ca="1">VLOOKUP(B198,bond!B:AB,27,FALSE)</f>
        <v>2040/4/6</v>
      </c>
      <c r="G198" s="90">
        <f ca="1">VLOOKUP(B198,bond!B:E,4,FALSE)</f>
        <v>15.76</v>
      </c>
      <c r="H198" s="202">
        <f ca="1">VLOOKUP(B198,bond!B:Y,24,FALSE)</f>
        <v>3.6249999999999998E-2</v>
      </c>
      <c r="I198" s="95">
        <f ca="1">VLOOKUP(B198,bond!B:Z,25,FALSE)</f>
        <v>2</v>
      </c>
      <c r="J198" s="180">
        <f ca="1">VLOOKUP(B198,bond!B:K,10,FALSE)</f>
        <v>0.86599999999999999</v>
      </c>
      <c r="K198" s="96">
        <f ca="1">VLOOKUP($B198,bond!B:S,14,FALSE)</f>
        <v>85.09</v>
      </c>
      <c r="L198" s="91" t="str">
        <f ca="1">VLOOKUP(B198,bond!B:H,7,FALSE)</f>
        <v>2024/7/2</v>
      </c>
      <c r="M198" s="144">
        <f ca="1">VLOOKUP($B198,bond!$B:$Q,16,FALSE)</f>
        <v>5.0900000000000001E-2</v>
      </c>
      <c r="N198" s="136">
        <f ca="1">VALUE(LEFT(VLOOKUP(B198,bond!B:R,17,FALSE),SEARCH(" ",VLOOKUP(B198,bond!B:R,17,FALSE),1)))</f>
        <v>10000</v>
      </c>
      <c r="O198" s="136">
        <f ca="1">VALUE(RIGHT(VLOOKUP(B198,bond!B:R,17,FALSE),LEN(VLOOKUP(B198,bond!B:R,17,FALSE))-LEN(N198)-3))</f>
        <v>1000</v>
      </c>
      <c r="P198" s="135" t="str">
        <f ca="1">VLOOKUP($B198,bond!$B:$AG,32,FALSE)</f>
        <v>2024/10/6</v>
      </c>
      <c r="Q198" s="135" t="str">
        <f ca="1">VLOOKUP($B198,bond!$B:$AH,33,FALSE)</f>
        <v>能源</v>
      </c>
      <c r="R198" s="135" t="str">
        <f ca="1">VLOOKUP(B198,bond!B:AA,26,FALSE)</f>
        <v>挪威國家石油公司</v>
      </c>
      <c r="S198" s="135" t="str">
        <f ca="1">VLOOKUP(B198,bond!B:AI,34,FALSE)</f>
        <v>EQNR</v>
      </c>
      <c r="T198" s="135" t="str">
        <f t="shared" ca="1" si="21"/>
        <v>挪威國家石油公司/EQNR</v>
      </c>
      <c r="U198" s="207" t="str">
        <f ca="1">IFERROR(VLOOKUP(T198,Bond_DES!D:E,2,FALSE),VLOOKUP(S198,bond!AI:AJ,2,FALSE))</f>
        <v>挪威國家石油公司(Equinor ASA)總部位於挪威斯塔萬格，前身為為管理國內石油及天然氣資源而成立的國有企業，業務包含開發石油、天然氣、風力及太陽能專案，也涉足再生能源領域，如風電及太陽能的開發。該公司於2023年《財富》全球500強排名第59位，亦為北歐最大的石油公司。</v>
      </c>
      <c r="V198" s="136" t="str">
        <f ca="1">IFERROR(VLOOKUP(B198,'1_重設數據'!L:M,2,FALSE),IF(Q198="政府",IF(AD198&gt;16,"(NPI)非專投",IF(AD198&gt;10,"(PI)專投","高資產")),IF(VLOOKUP(B198,bond!B:AN,39,FALSE)="Y","(PI)專投",IF(AD198&gt;=15,"(NPI)非專投",IF(AD198&gt;=10,"(PI)專投","高資產")))))</f>
        <v>(NPI)非專投</v>
      </c>
      <c r="W198" s="136" t="str">
        <f ca="1">VLOOKUP(AD198,'credit rating'!$F$2:$H$22,3,FALSE)</f>
        <v>AA</v>
      </c>
      <c r="X198" s="136" t="str">
        <f t="shared" ca="1" si="22"/>
        <v>Aa2</v>
      </c>
      <c r="Y198" s="136" t="str">
        <f t="shared" ca="1" si="23"/>
        <v>AA-</v>
      </c>
      <c r="Z198" s="136" t="str">
        <f t="shared" ca="1" si="24"/>
        <v>-</v>
      </c>
      <c r="AA198" s="134">
        <f ca="1">IFERROR(VLOOKUP(X198,'credit rating'!A:C,3,FALSE),0)</f>
        <v>19</v>
      </c>
      <c r="AB198" s="134">
        <f ca="1">IFERROR(VLOOKUP(Y198,'credit rating'!B:C,2,FALSE),0)</f>
        <v>18</v>
      </c>
      <c r="AC198" s="136">
        <f ca="1">IFERROR(VLOOKUP(Z198,'credit rating'!B:C,2,FALSE),0)</f>
        <v>0</v>
      </c>
      <c r="AD198" s="136">
        <f t="shared" ca="1" si="25"/>
        <v>19</v>
      </c>
      <c r="AE198" s="249">
        <f ca="1">IFERROR(VLOOKUP(B198,bond!B:U,20,FALSE),"")</f>
        <v>5.1299999999999998E-2</v>
      </c>
      <c r="AF198" s="136" t="str">
        <f ca="1">IF(VLOOKUP(B198,bond!B:AK,36,FALSE)="#N/A Field Not Applicable","",VLOOKUP(B198,bond!B:AK,36,FALSE))</f>
        <v>2039/10/6</v>
      </c>
      <c r="AG198" s="136" t="str">
        <f ca="1">IF(VLOOKUP(B198,bond!B:AL,37,FALSE)="FIXED","固定",IF(VLOOKUP(B198,bond!B:AL,37,FALSE)="FLOATING","浮動",IF(VLOOKUP(B198,bond!B:AL,37,FALSE)="VARIABLE","變動",IF(VLOOKUP(B198,bond!B:AL,37,FALSE)="FLAT TRADING","不含息交易",IF(VLOOKUP(B198,bond!B:AL,37,FALSE)="ZERO COUPON","零息",VLOOKUP(B198,bond!B:AL,37,FALSE))))))</f>
        <v>固定</v>
      </c>
      <c r="AH198" s="136" t="str">
        <f>VLOOKUP(C198,'2_Check_code'!I:J,2,FALSE)</f>
        <v>美元(USD)</v>
      </c>
      <c r="AI198" s="136" t="str">
        <f t="shared" ca="1" si="26"/>
        <v>自由選清單</v>
      </c>
      <c r="AJ198" s="136">
        <f t="shared" ca="1" si="27"/>
        <v>0</v>
      </c>
      <c r="AK198" s="594" t="str">
        <f ca="1">IF(VLOOKUP(B198,bond!B:S,18,FALSE)="是","有",IF(VLOOKUP(B198,bond!B:S,18,FALSE)="NO OFFER","無","需查詢"))</f>
        <v>有</v>
      </c>
      <c r="AL198" s="136" t="str">
        <f>IF(VLOOKUP(A198,bond!F:AR,39,FALSE)="#N/A Field Not Applicable",VLOOKUP(A198,bond!F:AR,38,FALSE),IFERROR(VLOOKUP(A198,'7_發行日例外'!A:B,2,FALSE),VLOOKUP(A198,bond!F:AR,39,FALSE)))</f>
        <v>2020/4/6</v>
      </c>
      <c r="AM198" s="136" t="str">
        <f ca="1">VLOOKUP(B198,bond!B:AK,36,FALSE)</f>
        <v>2039/10/6</v>
      </c>
      <c r="AN198" s="136" t="str">
        <f ca="1">IFERROR(VLOOKUP(B198,'3_是否下架'!A:A,1,FALSE),"")</f>
        <v/>
      </c>
      <c r="AO198" s="136">
        <f ca="1">VLOOKUP(B198,bond!B:J,9,FALSE)</f>
        <v>82.22</v>
      </c>
      <c r="AP198" s="136">
        <f ca="1">VLOOKUP(B198,bond!B:V,21,FALSE)</f>
        <v>11.2758</v>
      </c>
    </row>
    <row r="199" spans="1:42">
      <c r="A199" s="141" t="str">
        <f>bond!F200</f>
        <v>USU09513JL42</v>
      </c>
      <c r="B199" s="151" t="str">
        <f ca="1">IF($C$1=TRUE,bond!B200,"")</f>
        <v>XG870</v>
      </c>
      <c r="C199" s="95" t="str">
        <f>VLOOKUP(A199,bond!F:G,2,FALSE)</f>
        <v>USD</v>
      </c>
      <c r="D199" s="142" t="str">
        <f ca="1">VLOOKUP(B199,bond!B:C,2,FALSE)</f>
        <v>寶馬美國資本有限責任公司美元配息債券 3.7% 2032/4/1</v>
      </c>
      <c r="E199" s="95" t="str">
        <f ca="1">VLOOKUP(B199,bond!B:D,3,FALSE)</f>
        <v>A2 / A / -</v>
      </c>
      <c r="F199" s="99" t="str">
        <f ca="1">VLOOKUP(B199,bond!B:AB,27,FALSE)</f>
        <v>2032/4/1</v>
      </c>
      <c r="G199" s="90">
        <f ca="1">VLOOKUP(B199,bond!B:E,4,FALSE)</f>
        <v>7.75</v>
      </c>
      <c r="H199" s="202">
        <f ca="1">VLOOKUP(B199,bond!B:Y,24,FALSE)</f>
        <v>3.7000000000000005E-2</v>
      </c>
      <c r="I199" s="95">
        <f ca="1">VLOOKUP(B199,bond!B:Z,25,FALSE)</f>
        <v>2</v>
      </c>
      <c r="J199" s="180">
        <f ca="1">VLOOKUP(B199,bond!B:K,10,FALSE)</f>
        <v>0.93530000000000002</v>
      </c>
      <c r="K199" s="96">
        <f ca="1">VLOOKUP($B199,bond!B:S,14,FALSE)</f>
        <v>94.14</v>
      </c>
      <c r="L199" s="91" t="str">
        <f ca="1">VLOOKUP(B199,bond!B:H,7,FALSE)</f>
        <v>2024/7/2</v>
      </c>
      <c r="M199" s="144">
        <f ca="1">VLOOKUP($B199,bond!$B:$Q,16,FALSE)</f>
        <v>4.7600000000000003E-2</v>
      </c>
      <c r="N199" s="136">
        <f ca="1">VALUE(LEFT(VLOOKUP(B199,bond!B:R,17,FALSE),SEARCH(" ",VLOOKUP(B199,bond!B:R,17,FALSE),1)))</f>
        <v>10000</v>
      </c>
      <c r="O199" s="136">
        <f ca="1">VALUE(RIGHT(VLOOKUP(B199,bond!B:R,17,FALSE),LEN(VLOOKUP(B199,bond!B:R,17,FALSE))-LEN(N199)-3))</f>
        <v>1000</v>
      </c>
      <c r="P199" s="135" t="str">
        <f ca="1">VLOOKUP($B199,bond!$B:$AG,32,FALSE)</f>
        <v>2024/10/1</v>
      </c>
      <c r="Q199" s="135" t="str">
        <f ca="1">VLOOKUP($B199,bond!$B:$AH,33,FALSE)</f>
        <v>非核心消費</v>
      </c>
      <c r="R199" s="135" t="str">
        <f ca="1">VLOOKUP(B199,bond!B:AA,26,FALSE)</f>
        <v>寶馬美國資本有限責任公司</v>
      </c>
      <c r="S199" s="135" t="str">
        <f ca="1">VLOOKUP(B199,bond!B:AI,34,FALSE)</f>
        <v>BMW</v>
      </c>
      <c r="T199" s="135" t="str">
        <f t="shared" ca="1" si="21"/>
        <v>寶馬美國資本有限責任公司/BMW</v>
      </c>
      <c r="U199" s="207" t="str">
        <f ca="1">IFERROR(VLOOKUP(T199,Bond_DES!D:E,2,FALSE),VLOOKUP(S199,bond!AI:AJ,2,FALSE))</f>
        <v>寶馬美國資本有限責任公司(BMW US Capital, LLC)是為BMW Group美洲地區營運實體的企業財務中心。保證機構寶馬汽車(BMW)是德國一家跨國豪華汽車及重機製造商，旗下擁有BMW、MINI和Rolls-Royce(勞斯萊斯)三大汽車品牌，其中，2023年BMW銷售逾225萬輛車，連續三年奪得全球豪華品牌銷售冠軍。</v>
      </c>
      <c r="V199" s="136" t="str">
        <f ca="1">IFERROR(VLOOKUP(B199,'1_重設數據'!L:M,2,FALSE),IF(Q199="政府",IF(AD199&gt;16,"(NPI)非專投",IF(AD199&gt;10,"(PI)專投","高資產")),IF(VLOOKUP(B199,bond!B:AN,39,FALSE)="Y","(PI)專投",IF(AD199&gt;=15,"(NPI)非專投",IF(AD199&gt;=10,"(PI)專投","高資產")))))</f>
        <v>(NPI)非專投</v>
      </c>
      <c r="W199" s="136" t="str">
        <f ca="1">VLOOKUP(AD199,'credit rating'!$F$2:$H$22,3,FALSE)</f>
        <v>A</v>
      </c>
      <c r="X199" s="136" t="str">
        <f t="shared" ca="1" si="22"/>
        <v>A2</v>
      </c>
      <c r="Y199" s="136" t="str">
        <f t="shared" ca="1" si="23"/>
        <v>A</v>
      </c>
      <c r="Z199" s="136" t="str">
        <f t="shared" ca="1" si="24"/>
        <v>-</v>
      </c>
      <c r="AA199" s="134">
        <f ca="1">IFERROR(VLOOKUP(X199,'credit rating'!A:C,3,FALSE),0)</f>
        <v>16</v>
      </c>
      <c r="AB199" s="134">
        <f ca="1">IFERROR(VLOOKUP(Y199,'credit rating'!B:C,2,FALSE),0)</f>
        <v>16</v>
      </c>
      <c r="AC199" s="136">
        <f ca="1">IFERROR(VLOOKUP(Z199,'credit rating'!B:C,2,FALSE),0)</f>
        <v>0</v>
      </c>
      <c r="AD199" s="136">
        <f t="shared" ca="1" si="25"/>
        <v>16</v>
      </c>
      <c r="AE199" s="249">
        <f ca="1">IFERROR(VLOOKUP(B199,bond!B:U,20,FALSE),"")</f>
        <v>4.7899999999999998E-2</v>
      </c>
      <c r="AF199" s="136" t="str">
        <f ca="1">IF(VLOOKUP(B199,bond!B:AK,36,FALSE)="#N/A Field Not Applicable","",VLOOKUP(B199,bond!B:AK,36,FALSE))</f>
        <v>2032/1/1</v>
      </c>
      <c r="AG199" s="136" t="str">
        <f ca="1">IF(VLOOKUP(B199,bond!B:AL,37,FALSE)="FIXED","固定",IF(VLOOKUP(B199,bond!B:AL,37,FALSE)="FLOATING","浮動",IF(VLOOKUP(B199,bond!B:AL,37,FALSE)="VARIABLE","變動",IF(VLOOKUP(B199,bond!B:AL,37,FALSE)="FLAT TRADING","不含息交易",IF(VLOOKUP(B199,bond!B:AL,37,FALSE)="ZERO COUPON","零息",VLOOKUP(B199,bond!B:AL,37,FALSE))))))</f>
        <v>固定</v>
      </c>
      <c r="AH199" s="136" t="str">
        <f>VLOOKUP(C199,'2_Check_code'!I:J,2,FALSE)</f>
        <v>美元(USD)</v>
      </c>
      <c r="AI199" s="136" t="str">
        <f t="shared" ca="1" si="26"/>
        <v>自由選清單</v>
      </c>
      <c r="AJ199" s="136">
        <f t="shared" ca="1" si="27"/>
        <v>0</v>
      </c>
      <c r="AK199" s="594" t="str">
        <f ca="1">IF(VLOOKUP(B199,bond!B:S,18,FALSE)="是","有",IF(VLOOKUP(B199,bond!B:S,18,FALSE)="NO OFFER","無","需查詢"))</f>
        <v>需查詢</v>
      </c>
      <c r="AL199" s="136" t="str">
        <f>IF(VLOOKUP(A199,bond!F:AR,39,FALSE)="#N/A Field Not Applicable",VLOOKUP(A199,bond!F:AR,38,FALSE),IFERROR(VLOOKUP(A199,'7_發行日例外'!A:B,2,FALSE),VLOOKUP(A199,bond!F:AR,39,FALSE)))</f>
        <v>2022/4/1</v>
      </c>
      <c r="AM199" s="136" t="str">
        <f ca="1">VLOOKUP(B199,bond!B:AK,36,FALSE)</f>
        <v>2032/1/1</v>
      </c>
      <c r="AN199" s="136" t="str">
        <f ca="1">IFERROR(VLOOKUP(B199,'3_是否下架'!A:A,1,FALSE),"")</f>
        <v/>
      </c>
      <c r="AO199" s="136">
        <f ca="1">VLOOKUP(B199,bond!B:J,9,FALSE)</f>
        <v>91.2</v>
      </c>
      <c r="AP199" s="136">
        <f ca="1">VLOOKUP(B199,bond!B:V,21,FALSE)</f>
        <v>6.5254000000000003</v>
      </c>
    </row>
    <row r="200" spans="1:42">
      <c r="A200" s="141" t="str">
        <f>bond!F201</f>
        <v>US747525AJ27</v>
      </c>
      <c r="B200" s="151" t="str">
        <f ca="1">IF($C$1=TRUE,bond!B201,"")</f>
        <v>XG880</v>
      </c>
      <c r="C200" s="95" t="str">
        <f>VLOOKUP(A200,bond!F:G,2,FALSE)</f>
        <v>USD</v>
      </c>
      <c r="D200" s="142" t="str">
        <f ca="1">VLOOKUP(B200,bond!B:C,2,FALSE)</f>
        <v>高通公司美元配息債券 4.65% 2035/5/20</v>
      </c>
      <c r="E200" s="95" t="str">
        <f ca="1">VLOOKUP(B200,bond!B:D,3,FALSE)</f>
        <v>A2 / A / -</v>
      </c>
      <c r="F200" s="99" t="str">
        <f ca="1">VLOOKUP(B200,bond!B:AB,27,FALSE)</f>
        <v>2035/5/20</v>
      </c>
      <c r="G200" s="90">
        <f ca="1">VLOOKUP(B200,bond!B:E,4,FALSE)</f>
        <v>10.88</v>
      </c>
      <c r="H200" s="202">
        <f ca="1">VLOOKUP(B200,bond!B:Y,24,FALSE)</f>
        <v>4.6500000000000007E-2</v>
      </c>
      <c r="I200" s="95">
        <f ca="1">VLOOKUP(B200,bond!B:Z,25,FALSE)</f>
        <v>2</v>
      </c>
      <c r="J200" s="180">
        <f ca="1">VLOOKUP(B200,bond!B:K,10,FALSE)</f>
        <v>0.54249999999999998</v>
      </c>
      <c r="K200" s="96">
        <f ca="1">VLOOKUP($B200,bond!B:S,14,FALSE)</f>
        <v>100.52</v>
      </c>
      <c r="L200" s="91" t="str">
        <f ca="1">VLOOKUP(B200,bond!B:H,7,FALSE)</f>
        <v>2024/7/2</v>
      </c>
      <c r="M200" s="144">
        <f ca="1">VLOOKUP($B200,bond!$B:$Q,16,FALSE)</f>
        <v>4.65E-2</v>
      </c>
      <c r="N200" s="136">
        <f ca="1">VALUE(LEFT(VLOOKUP(B200,bond!B:R,17,FALSE),SEARCH(" ",VLOOKUP(B200,bond!B:R,17,FALSE),1)))</f>
        <v>10000</v>
      </c>
      <c r="O200" s="136">
        <f ca="1">VALUE(RIGHT(VLOOKUP(B200,bond!B:R,17,FALSE),LEN(VLOOKUP(B200,bond!B:R,17,FALSE))-LEN(N200)-3))</f>
        <v>1000</v>
      </c>
      <c r="P200" s="135" t="str">
        <f ca="1">VLOOKUP($B200,bond!$B:$AG,32,FALSE)</f>
        <v>2024/11/20</v>
      </c>
      <c r="Q200" s="135" t="str">
        <f ca="1">VLOOKUP($B200,bond!$B:$AH,33,FALSE)</f>
        <v>科技</v>
      </c>
      <c r="R200" s="135" t="str">
        <f ca="1">VLOOKUP(B200,bond!B:AA,26,FALSE)</f>
        <v>高通公司</v>
      </c>
      <c r="S200" s="135" t="str">
        <f ca="1">VLOOKUP(B200,bond!B:AI,34,FALSE)</f>
        <v>QCOM</v>
      </c>
      <c r="T200" s="135" t="str">
        <f t="shared" ca="1" si="21"/>
        <v>高通公司/QCOM</v>
      </c>
      <c r="U200" s="207" t="str">
        <f ca="1">IFERROR(VLOOKUP(T200,Bond_DES!D:E,2,FALSE),VLOOKUP(S200,bond!AI:AJ,2,FALSE))</f>
        <v>高通公司(Qualcomm Incorporated)為全球CDMA與無線技術領導廠商、IC設計收入冠軍，且在1Q24全球智慧手機晶片市佔上位居第2位(僅次於聯發科)，按銷售金額則排在第1位。公司主要從事設計、開發、製造及銷售數位通訊產品，業務涵蓋技術領先的3G/4G/5G晶片、系統軟體以及開發工具和產品。</v>
      </c>
      <c r="V200" s="136" t="str">
        <f ca="1">IFERROR(VLOOKUP(B200,'1_重設數據'!L:M,2,FALSE),IF(Q200="政府",IF(AD200&gt;16,"(NPI)非專投",IF(AD200&gt;10,"(PI)專投","高資產")),IF(VLOOKUP(B200,bond!B:AN,39,FALSE)="Y","(PI)專投",IF(AD200&gt;=15,"(NPI)非專投",IF(AD200&gt;=10,"(PI)專投","高資產")))))</f>
        <v>(NPI)非專投</v>
      </c>
      <c r="W200" s="136" t="str">
        <f ca="1">VLOOKUP(AD200,'credit rating'!$F$2:$H$22,3,FALSE)</f>
        <v>A</v>
      </c>
      <c r="X200" s="136" t="str">
        <f t="shared" ca="1" si="22"/>
        <v>A2</v>
      </c>
      <c r="Y200" s="136" t="str">
        <f t="shared" ca="1" si="23"/>
        <v>A</v>
      </c>
      <c r="Z200" s="136" t="str">
        <f t="shared" ca="1" si="24"/>
        <v>-</v>
      </c>
      <c r="AA200" s="134">
        <f ca="1">IFERROR(VLOOKUP(X200,'credit rating'!A:C,3,FALSE),0)</f>
        <v>16</v>
      </c>
      <c r="AB200" s="134">
        <f ca="1">IFERROR(VLOOKUP(Y200,'credit rating'!B:C,2,FALSE),0)</f>
        <v>16</v>
      </c>
      <c r="AC200" s="136">
        <f ca="1">IFERROR(VLOOKUP(Z200,'credit rating'!B:C,2,FALSE),0)</f>
        <v>0</v>
      </c>
      <c r="AD200" s="136">
        <f t="shared" ca="1" si="25"/>
        <v>16</v>
      </c>
      <c r="AE200" s="249">
        <f ca="1">IFERROR(VLOOKUP(B200,bond!B:U,20,FALSE),"")</f>
        <v>4.65E-2</v>
      </c>
      <c r="AF200" s="136" t="str">
        <f ca="1">IF(VLOOKUP(B200,bond!B:AK,36,FALSE)="#N/A Field Not Applicable","",VLOOKUP(B200,bond!B:AK,36,FALSE))</f>
        <v>2034/11/20</v>
      </c>
      <c r="AG200" s="136" t="str">
        <f ca="1">IF(VLOOKUP(B200,bond!B:AL,37,FALSE)="FIXED","固定",IF(VLOOKUP(B200,bond!B:AL,37,FALSE)="FLOATING","浮動",IF(VLOOKUP(B200,bond!B:AL,37,FALSE)="VARIABLE","變動",IF(VLOOKUP(B200,bond!B:AL,37,FALSE)="FLAT TRADING","不含息交易",IF(VLOOKUP(B200,bond!B:AL,37,FALSE)="ZERO COUPON","零息",VLOOKUP(B200,bond!B:AL,37,FALSE))))))</f>
        <v>固定</v>
      </c>
      <c r="AH200" s="136" t="str">
        <f>VLOOKUP(C200,'2_Check_code'!I:J,2,FALSE)</f>
        <v>美元(USD)</v>
      </c>
      <c r="AI200" s="136" t="str">
        <f t="shared" ca="1" si="26"/>
        <v>自由選清單</v>
      </c>
      <c r="AJ200" s="136">
        <f t="shared" ca="1" si="27"/>
        <v>0</v>
      </c>
      <c r="AK200" s="594" t="str">
        <f ca="1">IF(VLOOKUP(B200,bond!B:S,18,FALSE)="是","有",IF(VLOOKUP(B200,bond!B:S,18,FALSE)="NO OFFER","無","需查詢"))</f>
        <v>有</v>
      </c>
      <c r="AL200" s="136" t="str">
        <f>IF(VLOOKUP(A200,bond!F:AR,39,FALSE)="#N/A Field Not Applicable",VLOOKUP(A200,bond!F:AR,38,FALSE),IFERROR(VLOOKUP(A200,'7_發行日例外'!A:B,2,FALSE),VLOOKUP(A200,bond!F:AR,39,FALSE)))</f>
        <v>2015/5/20</v>
      </c>
      <c r="AM200" s="136" t="str">
        <f ca="1">VLOOKUP(B200,bond!B:AK,36,FALSE)</f>
        <v>2034/11/20</v>
      </c>
      <c r="AN200" s="136" t="str">
        <f ca="1">IFERROR(VLOOKUP(B200,'3_是否下架'!A:A,1,FALSE),"")</f>
        <v/>
      </c>
      <c r="AO200" s="136">
        <f ca="1">VLOOKUP(B200,bond!B:J,9,FALSE)</f>
        <v>97.98</v>
      </c>
      <c r="AP200" s="136">
        <f ca="1">VLOOKUP(B200,bond!B:V,21,FALSE)</f>
        <v>8.3945000000000007</v>
      </c>
    </row>
    <row r="201" spans="1:42">
      <c r="A201" s="141" t="str">
        <f>bond!F202</f>
        <v>US20030NDH17</v>
      </c>
      <c r="B201" s="151" t="str">
        <f ca="1">IF($C$1=TRUE,bond!B202,"")</f>
        <v>XG890</v>
      </c>
      <c r="C201" s="95" t="str">
        <f>VLOOKUP(A201,bond!F:G,2,FALSE)</f>
        <v>USD</v>
      </c>
      <c r="D201" s="142" t="str">
        <f ca="1">VLOOKUP(B201,bond!B:C,2,FALSE)</f>
        <v>康卡斯特公司美元配息債券 3.75% 2040/4/1</v>
      </c>
      <c r="E201" s="95" t="str">
        <f ca="1">VLOOKUP(B201,bond!B:D,3,FALSE)</f>
        <v>A3 / A- / A-</v>
      </c>
      <c r="F201" s="99" t="str">
        <f ca="1">VLOOKUP(B201,bond!B:AB,27,FALSE)</f>
        <v>2040/4/1</v>
      </c>
      <c r="G201" s="90">
        <f ca="1">VLOOKUP(B201,bond!B:E,4,FALSE)</f>
        <v>15.75</v>
      </c>
      <c r="H201" s="202">
        <f ca="1">VLOOKUP(B201,bond!B:Y,24,FALSE)</f>
        <v>3.7499999999999999E-2</v>
      </c>
      <c r="I201" s="95">
        <f ca="1">VLOOKUP(B201,bond!B:Z,25,FALSE)</f>
        <v>2</v>
      </c>
      <c r="J201" s="180">
        <f ca="1">VLOOKUP(B201,bond!B:K,10,FALSE)</f>
        <v>0.94789999999999996</v>
      </c>
      <c r="K201" s="96">
        <f ca="1">VLOOKUP($B201,bond!B:S,14,FALSE)</f>
        <v>84.83</v>
      </c>
      <c r="L201" s="91" t="str">
        <f ca="1">VLOOKUP(B201,bond!B:H,7,FALSE)</f>
        <v>2024/7/2</v>
      </c>
      <c r="M201" s="144">
        <f ca="1">VLOOKUP($B201,bond!$B:$Q,16,FALSE)</f>
        <v>5.2699999999999997E-2</v>
      </c>
      <c r="N201" s="136">
        <f ca="1">VALUE(LEFT(VLOOKUP(B201,bond!B:R,17,FALSE),SEARCH(" ",VLOOKUP(B201,bond!B:R,17,FALSE),1)))</f>
        <v>10000</v>
      </c>
      <c r="O201" s="136">
        <f ca="1">VALUE(RIGHT(VLOOKUP(B201,bond!B:R,17,FALSE),LEN(VLOOKUP(B201,bond!B:R,17,FALSE))-LEN(N201)-3))</f>
        <v>1000</v>
      </c>
      <c r="P201" s="135" t="str">
        <f ca="1">VLOOKUP($B201,bond!$B:$AG,32,FALSE)</f>
        <v>2024/10/1</v>
      </c>
      <c r="Q201" s="135" t="str">
        <f ca="1">VLOOKUP($B201,bond!$B:$AH,33,FALSE)</f>
        <v>通訊</v>
      </c>
      <c r="R201" s="135" t="str">
        <f ca="1">VLOOKUP(B201,bond!B:AA,26,FALSE)</f>
        <v>康卡斯特公司</v>
      </c>
      <c r="S201" s="135" t="str">
        <f ca="1">VLOOKUP(B201,bond!B:AI,34,FALSE)</f>
        <v>CMCSA</v>
      </c>
      <c r="T201" s="135" t="str">
        <f t="shared" ca="1" si="21"/>
        <v>康卡斯特公司/CMCSA</v>
      </c>
      <c r="U201" s="207" t="str">
        <f ca="1">IFERROR(VLOOKUP(T201,Bond_DES!D:E,2,FALSE),VLOOKUP(S201,bond!AI:AJ,2,FALSE))</f>
        <v>康卡斯特公司(Comcast Corporation)為全球媒體與科技巨頭，按營收是美國第3大電信商(Fortune 2024)，且是唯一全A級的美國電信商；按訂戶數為美國最大的傳統有線付費電視供應商，且旗下環球影業按2023年度票房位居全球第一大電影發行公司地位，並憑藉著環球影城擁有全球第二大的主題樂園收入。</v>
      </c>
      <c r="V201" s="136" t="str">
        <f ca="1">IFERROR(VLOOKUP(B201,'1_重設數據'!L:M,2,FALSE),IF(Q201="政府",IF(AD201&gt;16,"(NPI)非專投",IF(AD201&gt;10,"(PI)專投","高資產")),IF(VLOOKUP(B201,bond!B:AN,39,FALSE)="Y","(PI)專投",IF(AD201&gt;=15,"(NPI)非專投",IF(AD201&gt;=10,"(PI)專投","高資產")))))</f>
        <v>(NPI)非專投</v>
      </c>
      <c r="W201" s="136" t="str">
        <f ca="1">VLOOKUP(AD201,'credit rating'!$F$2:$H$22,3,FALSE)</f>
        <v>A-</v>
      </c>
      <c r="X201" s="136" t="str">
        <f t="shared" ca="1" si="22"/>
        <v>A3</v>
      </c>
      <c r="Y201" s="136" t="str">
        <f t="shared" ca="1" si="23"/>
        <v>A-</v>
      </c>
      <c r="Z201" s="136" t="str">
        <f t="shared" ca="1" si="24"/>
        <v>A-</v>
      </c>
      <c r="AA201" s="134">
        <f ca="1">IFERROR(VLOOKUP(X201,'credit rating'!A:C,3,FALSE),0)</f>
        <v>15</v>
      </c>
      <c r="AB201" s="134">
        <f ca="1">IFERROR(VLOOKUP(Y201,'credit rating'!B:C,2,FALSE),0)</f>
        <v>15</v>
      </c>
      <c r="AC201" s="136">
        <f ca="1">IFERROR(VLOOKUP(Z201,'credit rating'!B:C,2,FALSE),0)</f>
        <v>15</v>
      </c>
      <c r="AD201" s="136">
        <f t="shared" ca="1" si="25"/>
        <v>15</v>
      </c>
      <c r="AE201" s="249">
        <f ca="1">IFERROR(VLOOKUP(B201,bond!B:U,20,FALSE),"")</f>
        <v>5.2999999999999999E-2</v>
      </c>
      <c r="AF201" s="136" t="str">
        <f ca="1">IF(VLOOKUP(B201,bond!B:AK,36,FALSE)="#N/A Field Not Applicable","",VLOOKUP(B201,bond!B:AK,36,FALSE))</f>
        <v>2039/10/1</v>
      </c>
      <c r="AG201" s="136" t="str">
        <f ca="1">IF(VLOOKUP(B201,bond!B:AL,37,FALSE)="FIXED","固定",IF(VLOOKUP(B201,bond!B:AL,37,FALSE)="FLOATING","浮動",IF(VLOOKUP(B201,bond!B:AL,37,FALSE)="VARIABLE","變動",IF(VLOOKUP(B201,bond!B:AL,37,FALSE)="FLAT TRADING","不含息交易",IF(VLOOKUP(B201,bond!B:AL,37,FALSE)="ZERO COUPON","零息",VLOOKUP(B201,bond!B:AL,37,FALSE))))))</f>
        <v>固定</v>
      </c>
      <c r="AH201" s="136" t="str">
        <f>VLOOKUP(C201,'2_Check_code'!I:J,2,FALSE)</f>
        <v>美元(USD)</v>
      </c>
      <c r="AI201" s="136" t="str">
        <f t="shared" ca="1" si="26"/>
        <v>自由選清單</v>
      </c>
      <c r="AJ201" s="136">
        <f t="shared" ca="1" si="27"/>
        <v>0</v>
      </c>
      <c r="AK201" s="594" t="str">
        <f ca="1">IF(VLOOKUP(B201,bond!B:S,18,FALSE)="是","有",IF(VLOOKUP(B201,bond!B:S,18,FALSE)="NO OFFER","無","需查詢"))</f>
        <v>有</v>
      </c>
      <c r="AL201" s="136" t="str">
        <f>IF(VLOOKUP(A201,bond!F:AR,39,FALSE)="#N/A Field Not Applicable",VLOOKUP(A201,bond!F:AR,38,FALSE),IFERROR(VLOOKUP(A201,'7_發行日例外'!A:B,2,FALSE),VLOOKUP(A201,bond!F:AR,39,FALSE)))</f>
        <v>2020/3/27</v>
      </c>
      <c r="AM201" s="136" t="str">
        <f ca="1">VLOOKUP(B201,bond!B:AK,36,FALSE)</f>
        <v>2039/10/1</v>
      </c>
      <c r="AN201" s="136" t="str">
        <f ca="1">IFERROR(VLOOKUP(B201,'3_是否下架'!A:A,1,FALSE),"")</f>
        <v/>
      </c>
      <c r="AO201" s="136">
        <f ca="1">VLOOKUP(B201,bond!B:J,9,FALSE)</f>
        <v>81.88</v>
      </c>
      <c r="AP201" s="136">
        <f ca="1">VLOOKUP(B201,bond!B:V,21,FALSE)</f>
        <v>11.1547</v>
      </c>
    </row>
    <row r="202" spans="1:42">
      <c r="A202" s="141" t="str">
        <f>bond!F203</f>
        <v>US254687FY73</v>
      </c>
      <c r="B202" s="151" t="str">
        <f ca="1">IF($C$1=TRUE,bond!B203,"")</f>
        <v>XG900</v>
      </c>
      <c r="C202" s="95" t="str">
        <f>VLOOKUP(A202,bond!F:G,2,FALSE)</f>
        <v>USD</v>
      </c>
      <c r="D202" s="142" t="str">
        <f ca="1">VLOOKUP(B202,bond!B:C,2,FALSE)</f>
        <v>華特迪士尼公司美元配息債券 3.5% 2040/5/13</v>
      </c>
      <c r="E202" s="95" t="str">
        <f ca="1">VLOOKUP(B202,bond!B:D,3,FALSE)</f>
        <v>A2 / A- / A-</v>
      </c>
      <c r="F202" s="99" t="str">
        <f ca="1">VLOOKUP(B202,bond!B:AB,27,FALSE)</f>
        <v>2040/5/13</v>
      </c>
      <c r="G202" s="90">
        <f ca="1">VLOOKUP(B202,bond!B:E,4,FALSE)</f>
        <v>15.86</v>
      </c>
      <c r="H202" s="202">
        <f ca="1">VLOOKUP(B202,bond!B:Y,24,FALSE)</f>
        <v>3.5000000000000003E-2</v>
      </c>
      <c r="I202" s="95">
        <f ca="1">VLOOKUP(B202,bond!B:Z,25,FALSE)</f>
        <v>2</v>
      </c>
      <c r="J202" s="180">
        <f ca="1">VLOOKUP(B202,bond!B:K,10,FALSE)</f>
        <v>0.47639999999999999</v>
      </c>
      <c r="K202" s="96">
        <f ca="1">VLOOKUP($B202,bond!B:S,14,FALSE)</f>
        <v>82.97</v>
      </c>
      <c r="L202" s="91" t="str">
        <f ca="1">VLOOKUP(B202,bond!B:H,7,FALSE)</f>
        <v>2024/7/2</v>
      </c>
      <c r="M202" s="144">
        <f ca="1">VLOOKUP($B202,bond!$B:$Q,16,FALSE)</f>
        <v>5.1299999999999998E-2</v>
      </c>
      <c r="N202" s="136">
        <f ca="1">VALUE(LEFT(VLOOKUP(B202,bond!B:R,17,FALSE),SEARCH(" ",VLOOKUP(B202,bond!B:R,17,FALSE),1)))</f>
        <v>2000</v>
      </c>
      <c r="O202" s="136">
        <f ca="1">VALUE(RIGHT(VLOOKUP(B202,bond!B:R,17,FALSE),LEN(VLOOKUP(B202,bond!B:R,17,FALSE))-LEN(N202)-3))</f>
        <v>1000</v>
      </c>
      <c r="P202" s="135" t="str">
        <f ca="1">VLOOKUP($B202,bond!$B:$AG,32,FALSE)</f>
        <v>2024/11/13</v>
      </c>
      <c r="Q202" s="135" t="str">
        <f ca="1">VLOOKUP($B202,bond!$B:$AH,33,FALSE)</f>
        <v>通訊</v>
      </c>
      <c r="R202" s="135" t="str">
        <f ca="1">VLOOKUP(B202,bond!B:AA,26,FALSE)</f>
        <v>華特迪士尼公司</v>
      </c>
      <c r="S202" s="135" t="str">
        <f ca="1">VLOOKUP(B202,bond!B:AI,34,FALSE)</f>
        <v>DIS</v>
      </c>
      <c r="T202" s="135" t="str">
        <f t="shared" ca="1" si="21"/>
        <v>華特迪士尼公司/DIS</v>
      </c>
      <c r="U202" s="207" t="str">
        <f ca="1">IFERROR(VLOOKUP(T202,Bond_DES!D:E,2,FALSE),VLOOKUP(S202,bond!AI:AJ,2,FALSE))</f>
        <v>華特迪士尼公司(The Walt Disney Company)是一家跨國多元化家庭娛樂及媒體巨頭，透過收購皮克斯、漫威、盧卡斯影業及21世紀福斯等核心資產，成為擄獲大人與小孩的智慧財產(IP)王國，並利用主題樂園、影院、線性平台及串流平台等媒體模式變現。截至2023年底，旗下包括Disney+在內的串流媒體平台總訂閱數達2億。</v>
      </c>
      <c r="V202" s="136" t="str">
        <f ca="1">IFERROR(VLOOKUP(B202,'1_重設數據'!L:M,2,FALSE),IF(Q202="政府",IF(AD202&gt;16,"(NPI)非專投",IF(AD202&gt;10,"(PI)專投","高資產")),IF(VLOOKUP(B202,bond!B:AN,39,FALSE)="Y","(PI)專投",IF(AD202&gt;=15,"(NPI)非專投",IF(AD202&gt;=10,"(PI)專投","高資產")))))</f>
        <v>(NPI)非專投</v>
      </c>
      <c r="W202" s="136" t="str">
        <f ca="1">VLOOKUP(AD202,'credit rating'!$F$2:$H$22,3,FALSE)</f>
        <v>A</v>
      </c>
      <c r="X202" s="136" t="str">
        <f t="shared" ca="1" si="22"/>
        <v>A2</v>
      </c>
      <c r="Y202" s="136" t="str">
        <f t="shared" ca="1" si="23"/>
        <v>A-</v>
      </c>
      <c r="Z202" s="136" t="str">
        <f t="shared" ca="1" si="24"/>
        <v>A-</v>
      </c>
      <c r="AA202" s="134">
        <f ca="1">IFERROR(VLOOKUP(X202,'credit rating'!A:C,3,FALSE),0)</f>
        <v>16</v>
      </c>
      <c r="AB202" s="134">
        <f ca="1">IFERROR(VLOOKUP(Y202,'credit rating'!B:C,2,FALSE),0)</f>
        <v>15</v>
      </c>
      <c r="AC202" s="136">
        <f ca="1">IFERROR(VLOOKUP(Z202,'credit rating'!B:C,2,FALSE),0)</f>
        <v>15</v>
      </c>
      <c r="AD202" s="136">
        <f t="shared" ca="1" si="25"/>
        <v>16</v>
      </c>
      <c r="AE202" s="249">
        <f ca="1">IFERROR(VLOOKUP(B202,bond!B:U,20,FALSE),"")</f>
        <v>5.16E-2</v>
      </c>
      <c r="AF202" s="136" t="str">
        <f ca="1">IF(VLOOKUP(B202,bond!B:AK,36,FALSE)="#N/A Field Not Applicable","",VLOOKUP(B202,bond!B:AK,36,FALSE))</f>
        <v>2039/11/13</v>
      </c>
      <c r="AG202" s="136" t="str">
        <f ca="1">IF(VLOOKUP(B202,bond!B:AL,37,FALSE)="FIXED","固定",IF(VLOOKUP(B202,bond!B:AL,37,FALSE)="FLOATING","浮動",IF(VLOOKUP(B202,bond!B:AL,37,FALSE)="VARIABLE","變動",IF(VLOOKUP(B202,bond!B:AL,37,FALSE)="FLAT TRADING","不含息交易",IF(VLOOKUP(B202,bond!B:AL,37,FALSE)="ZERO COUPON","零息",VLOOKUP(B202,bond!B:AL,37,FALSE))))))</f>
        <v>固定</v>
      </c>
      <c r="AH202" s="136" t="str">
        <f>VLOOKUP(C202,'2_Check_code'!I:J,2,FALSE)</f>
        <v>美元(USD)</v>
      </c>
      <c r="AI202" s="136" t="str">
        <f t="shared" ca="1" si="26"/>
        <v>自由選清單</v>
      </c>
      <c r="AJ202" s="136">
        <f t="shared" ca="1" si="27"/>
        <v>0</v>
      </c>
      <c r="AK202" s="594" t="str">
        <f ca="1">IF(VLOOKUP(B202,bond!B:S,18,FALSE)="是","有",IF(VLOOKUP(B202,bond!B:S,18,FALSE)="NO OFFER","無","需查詢"))</f>
        <v>有</v>
      </c>
      <c r="AL202" s="136" t="str">
        <f>IF(VLOOKUP(A202,bond!F:AR,39,FALSE)="#N/A Field Not Applicable",VLOOKUP(A202,bond!F:AR,38,FALSE),IFERROR(VLOOKUP(A202,'7_發行日例外'!A:B,2,FALSE),VLOOKUP(A202,bond!F:AR,39,FALSE)))</f>
        <v>2020/5/13</v>
      </c>
      <c r="AM202" s="136" t="str">
        <f ca="1">VLOOKUP(B202,bond!B:AK,36,FALSE)</f>
        <v>2039/11/13</v>
      </c>
      <c r="AN202" s="136" t="str">
        <f ca="1">IFERROR(VLOOKUP(B202,'3_是否下架'!A:A,1,FALSE),"")</f>
        <v/>
      </c>
      <c r="AO202" s="136">
        <f ca="1">VLOOKUP(B202,bond!B:J,9,FALSE)</f>
        <v>80.490000000000009</v>
      </c>
      <c r="AP202" s="136">
        <f ca="1">VLOOKUP(B202,bond!B:V,21,FALSE)</f>
        <v>11.464399999999999</v>
      </c>
    </row>
    <row r="203" spans="1:42">
      <c r="A203" s="141" t="str">
        <f>bond!F204</f>
        <v>US961214DW04</v>
      </c>
      <c r="B203" s="151" t="str">
        <f ca="1">IF($C$1=TRUE,bond!B204,"")</f>
        <v>XG910</v>
      </c>
      <c r="C203" s="95" t="str">
        <f>VLOOKUP(A203,bond!F:G,2,FALSE)</f>
        <v>USD</v>
      </c>
      <c r="D203" s="142" t="str">
        <f ca="1">VLOOKUP(B203,bond!B:C,2,FALSE)</f>
        <v>西太平洋銀行公司美元配息債券 3.4% 2028/1/25</v>
      </c>
      <c r="E203" s="95" t="str">
        <f ca="1">VLOOKUP(B203,bond!B:D,3,FALSE)</f>
        <v>Aa2 / AA- / AA-</v>
      </c>
      <c r="F203" s="99" t="str">
        <f ca="1">VLOOKUP(B203,bond!B:AB,27,FALSE)</f>
        <v>2028/1/25</v>
      </c>
      <c r="G203" s="90">
        <f ca="1">VLOOKUP(B203,bond!B:E,4,FALSE)</f>
        <v>3.56</v>
      </c>
      <c r="H203" s="202">
        <f ca="1">VLOOKUP(B203,bond!B:Y,24,FALSE)</f>
        <v>3.4000000000000002E-2</v>
      </c>
      <c r="I203" s="95">
        <f ca="1">VLOOKUP(B203,bond!B:Z,25,FALSE)</f>
        <v>2</v>
      </c>
      <c r="J203" s="180">
        <f ca="1">VLOOKUP(B203,bond!B:K,10,FALSE)</f>
        <v>1.4827999999999999</v>
      </c>
      <c r="K203" s="96">
        <f ca="1">VLOOKUP($B203,bond!B:S,14,FALSE)</f>
        <v>98.63</v>
      </c>
      <c r="L203" s="91" t="str">
        <f ca="1">VLOOKUP(B203,bond!B:H,7,FALSE)</f>
        <v>2024/7/2</v>
      </c>
      <c r="M203" s="144">
        <f ca="1">VLOOKUP($B203,bond!$B:$Q,16,FALSE)</f>
        <v>4.2700000000000002E-2</v>
      </c>
      <c r="N203" s="136">
        <f ca="1">VALUE(LEFT(VLOOKUP(B203,bond!B:R,17,FALSE),SEARCH(" ",VLOOKUP(B203,bond!B:R,17,FALSE),1)))</f>
        <v>10000</v>
      </c>
      <c r="O203" s="136">
        <f ca="1">VALUE(RIGHT(VLOOKUP(B203,bond!B:R,17,FALSE),LEN(VLOOKUP(B203,bond!B:R,17,FALSE))-LEN(N203)-3))</f>
        <v>1000</v>
      </c>
      <c r="P203" s="135" t="str">
        <f ca="1">VLOOKUP($B203,bond!$B:$AG,32,FALSE)</f>
        <v>2024/7/25</v>
      </c>
      <c r="Q203" s="135" t="str">
        <f ca="1">VLOOKUP($B203,bond!$B:$AH,33,FALSE)</f>
        <v>金融</v>
      </c>
      <c r="R203" s="135" t="str">
        <f ca="1">VLOOKUP(B203,bond!B:AA,26,FALSE)</f>
        <v>西太平洋銀行公司</v>
      </c>
      <c r="S203" s="135" t="str">
        <f ca="1">VLOOKUP(B203,bond!B:AI,34,FALSE)</f>
        <v>WSTP</v>
      </c>
      <c r="T203" s="135" t="str">
        <f t="shared" ca="1" si="21"/>
        <v>西太平洋銀行公司/WSTP</v>
      </c>
      <c r="U203" s="207" t="str">
        <f ca="1">IFERROR(VLOOKUP(T203,Bond_DES!D:E,2,FALSE),VLOOKUP(S203,bond!AI:AJ,2,FALSE))</f>
        <v>西太平洋銀行公司(Westpac Banking Corporation)提供銀行服務。為澳洲第一家銀行，並為澳洲四大銀行之一，及紐西蘭最大銀行之一，名列2023年《Forbes》全球上市公司2000強排名第197位，澳洲排名第5。</v>
      </c>
      <c r="V203" s="136" t="str">
        <f ca="1">IFERROR(VLOOKUP(B203,'1_重設數據'!L:M,2,FALSE),IF(Q203="政府",IF(AD203&gt;16,"(NPI)非專投",IF(AD203&gt;10,"(PI)專投","高資產")),IF(VLOOKUP(B203,bond!B:AN,39,FALSE)="Y","(PI)專投",IF(AD203&gt;=15,"(NPI)非專投",IF(AD203&gt;=10,"(PI)專投","高資產")))))</f>
        <v>(NPI)非專投</v>
      </c>
      <c r="W203" s="136" t="str">
        <f ca="1">VLOOKUP(AD203,'credit rating'!$F$2:$H$22,3,FALSE)</f>
        <v>AA</v>
      </c>
      <c r="X203" s="136" t="str">
        <f t="shared" ca="1" si="22"/>
        <v>Aa2</v>
      </c>
      <c r="Y203" s="136" t="str">
        <f t="shared" ca="1" si="23"/>
        <v>AA-</v>
      </c>
      <c r="Z203" s="136" t="str">
        <f t="shared" ca="1" si="24"/>
        <v>AA-</v>
      </c>
      <c r="AA203" s="134">
        <f ca="1">IFERROR(VLOOKUP(X203,'credit rating'!A:C,3,FALSE),0)</f>
        <v>19</v>
      </c>
      <c r="AB203" s="134">
        <f ca="1">IFERROR(VLOOKUP(Y203,'credit rating'!B:C,2,FALSE),0)</f>
        <v>18</v>
      </c>
      <c r="AC203" s="136">
        <f ca="1">IFERROR(VLOOKUP(Z203,'credit rating'!B:C,2,FALSE),0)</f>
        <v>18</v>
      </c>
      <c r="AD203" s="136">
        <f t="shared" ca="1" si="25"/>
        <v>19</v>
      </c>
      <c r="AE203" s="249" t="str">
        <f ca="1">IFERROR(VLOOKUP(B203,bond!B:U,20,FALSE),"")</f>
        <v xml:space="preserve"> </v>
      </c>
      <c r="AF203" s="136" t="str">
        <f ca="1">IF(VLOOKUP(B203,bond!B:AK,36,FALSE)="#N/A Field Not Applicable","",VLOOKUP(B203,bond!B:AK,36,FALSE))</f>
        <v/>
      </c>
      <c r="AG203" s="136" t="str">
        <f ca="1">IF(VLOOKUP(B203,bond!B:AL,37,FALSE)="FIXED","固定",IF(VLOOKUP(B203,bond!B:AL,37,FALSE)="FLOATING","浮動",IF(VLOOKUP(B203,bond!B:AL,37,FALSE)="VARIABLE","變動",IF(VLOOKUP(B203,bond!B:AL,37,FALSE)="FLAT TRADING","不含息交易",IF(VLOOKUP(B203,bond!B:AL,37,FALSE)="ZERO COUPON","零息",VLOOKUP(B203,bond!B:AL,37,FALSE))))))</f>
        <v>固定</v>
      </c>
      <c r="AH203" s="136" t="str">
        <f>VLOOKUP(C203,'2_Check_code'!I:J,2,FALSE)</f>
        <v>美元(USD)</v>
      </c>
      <c r="AI203" s="136" t="str">
        <f t="shared" ca="1" si="26"/>
        <v>自由選清單</v>
      </c>
      <c r="AJ203" s="136">
        <f t="shared" ca="1" si="27"/>
        <v>0</v>
      </c>
      <c r="AK203" s="594" t="str">
        <f ca="1">IF(VLOOKUP(B203,bond!B:S,18,FALSE)="是","有",IF(VLOOKUP(B203,bond!B:S,18,FALSE)="NO OFFER","無","需查詢"))</f>
        <v>有</v>
      </c>
      <c r="AL203" s="136" t="str">
        <f>IF(VLOOKUP(A203,bond!F:AR,39,FALSE)="#N/A Field Not Applicable",VLOOKUP(A203,bond!F:AR,38,FALSE),IFERROR(VLOOKUP(A203,'7_發行日例外'!A:B,2,FALSE),VLOOKUP(A203,bond!F:AR,39,FALSE)))</f>
        <v>2018/1/25</v>
      </c>
      <c r="AM203" s="136" t="str">
        <f ca="1">VLOOKUP(B203,bond!B:AK,36,FALSE)</f>
        <v>#N/A Field Not Applicable</v>
      </c>
      <c r="AN203" s="136" t="str">
        <f ca="1">IFERROR(VLOOKUP(B203,'3_是否下架'!A:A,1,FALSE),"")</f>
        <v/>
      </c>
      <c r="AO203" s="136">
        <f ca="1">VLOOKUP(B203,bond!B:J,9,FALSE)</f>
        <v>95.65</v>
      </c>
      <c r="AP203" s="136">
        <f ca="1">VLOOKUP(B203,bond!B:V,21,FALSE)</f>
        <v>3.2559</v>
      </c>
    </row>
    <row r="204" spans="1:42">
      <c r="A204" s="141" t="str">
        <f>bond!F205</f>
        <v>US084670BK32</v>
      </c>
      <c r="B204" s="151" t="str">
        <f ca="1">IF($C$1=TRUE,bond!B205,"")</f>
        <v>XG930</v>
      </c>
      <c r="C204" s="95" t="str">
        <f>VLOOKUP(A204,bond!F:G,2,FALSE)</f>
        <v>USD</v>
      </c>
      <c r="D204" s="142" t="str">
        <f ca="1">VLOOKUP(B204,bond!B:C,2,FALSE)</f>
        <v>波克夏海瑟威公司美元配息債券 4.5% 2043/2/11</v>
      </c>
      <c r="E204" s="95" t="str">
        <f ca="1">VLOOKUP(B204,bond!B:D,3,FALSE)</f>
        <v>Aa2 / AA / A+u</v>
      </c>
      <c r="F204" s="99" t="str">
        <f ca="1">VLOOKUP(B204,bond!B:AB,27,FALSE)</f>
        <v>2043/2/11</v>
      </c>
      <c r="G204" s="90">
        <f ca="1">VLOOKUP(B204,bond!B:E,4,FALSE)</f>
        <v>18.61</v>
      </c>
      <c r="H204" s="202">
        <f ca="1">VLOOKUP(B204,bond!B:Y,24,FALSE)</f>
        <v>4.4999999999999998E-2</v>
      </c>
      <c r="I204" s="95">
        <f ca="1">VLOOKUP(B204,bond!B:Z,25,FALSE)</f>
        <v>2</v>
      </c>
      <c r="J204" s="180">
        <f ca="1">VLOOKUP(B204,bond!B:K,10,FALSE)</f>
        <v>1.7625</v>
      </c>
      <c r="K204" s="96">
        <f ca="1">VLOOKUP($B204,bond!B:S,14,FALSE)</f>
        <v>97.83</v>
      </c>
      <c r="L204" s="91" t="str">
        <f ca="1">VLOOKUP(B204,bond!B:H,7,FALSE)</f>
        <v>2024/7/2</v>
      </c>
      <c r="M204" s="144">
        <f ca="1">VLOOKUP($B204,bond!$B:$Q,16,FALSE)</f>
        <v>4.82E-2</v>
      </c>
      <c r="N204" s="136">
        <f ca="1">VALUE(LEFT(VLOOKUP(B204,bond!B:R,17,FALSE),SEARCH(" ",VLOOKUP(B204,bond!B:R,17,FALSE),1)))</f>
        <v>2000</v>
      </c>
      <c r="O204" s="136">
        <f ca="1">VALUE(RIGHT(VLOOKUP(B204,bond!B:R,17,FALSE),LEN(VLOOKUP(B204,bond!B:R,17,FALSE))-LEN(N204)-3))</f>
        <v>1000</v>
      </c>
      <c r="P204" s="135" t="str">
        <f ca="1">VLOOKUP($B204,bond!$B:$AG,32,FALSE)</f>
        <v>2024/8/11</v>
      </c>
      <c r="Q204" s="135" t="str">
        <f ca="1">VLOOKUP($B204,bond!$B:$AH,33,FALSE)</f>
        <v>金融</v>
      </c>
      <c r="R204" s="135" t="str">
        <f ca="1">VLOOKUP(B204,bond!B:AA,26,FALSE)</f>
        <v>波克夏海瑟威公司</v>
      </c>
      <c r="S204" s="135" t="str">
        <f ca="1">VLOOKUP(B204,bond!B:AI,34,FALSE)</f>
        <v>BRK</v>
      </c>
      <c r="T204" s="135" t="str">
        <f t="shared" ca="1" si="21"/>
        <v>波克夏海瑟威公司/BRK</v>
      </c>
      <c r="U204" s="207" t="str">
        <f ca="1">IFERROR(VLOOKUP(T204,Bond_DES!D:E,2,FALSE),VLOOKUP(S204,bond!AI:AJ,2,FALSE))</f>
        <v>波克夏海瑟威公司(Berkshire Hathaway Inc.)為一家美國跨國集團的控股公司，「股神」巴菲特(Warren Buffett)為其董事長兼執行長。波克夏經營資產橫跨保險、鐵路、公用事業及能源等多項領域，使其享有高度多元的利潤和現金流，市值長期居於全球前10。</v>
      </c>
      <c r="V204" s="136" t="str">
        <f ca="1">IFERROR(VLOOKUP(B204,'1_重設數據'!L:M,2,FALSE),IF(Q204="政府",IF(AD204&gt;16,"(NPI)非專投",IF(AD204&gt;10,"(PI)專投","高資產")),IF(VLOOKUP(B204,bond!B:AN,39,FALSE)="Y","(PI)專投",IF(AD204&gt;=15,"(NPI)非專投",IF(AD204&gt;=10,"(PI)專投","高資產")))))</f>
        <v>(NPI)非專投</v>
      </c>
      <c r="W204" s="136" t="str">
        <f ca="1">VLOOKUP(AD204,'credit rating'!$F$2:$H$22,3,FALSE)</f>
        <v>AA</v>
      </c>
      <c r="X204" s="136" t="str">
        <f t="shared" ca="1" si="22"/>
        <v>Aa2</v>
      </c>
      <c r="Y204" s="136" t="str">
        <f t="shared" ca="1" si="23"/>
        <v>AA</v>
      </c>
      <c r="Z204" s="136" t="str">
        <f t="shared" ca="1" si="24"/>
        <v>A+u</v>
      </c>
      <c r="AA204" s="134">
        <f ca="1">IFERROR(VLOOKUP(X204,'credit rating'!A:C,3,FALSE),0)</f>
        <v>19</v>
      </c>
      <c r="AB204" s="134">
        <f ca="1">IFERROR(VLOOKUP(Y204,'credit rating'!B:C,2,FALSE),0)</f>
        <v>19</v>
      </c>
      <c r="AC204" s="136">
        <f ca="1">IFERROR(VLOOKUP(Z204,'credit rating'!B:C,2,FALSE),0)</f>
        <v>17</v>
      </c>
      <c r="AD204" s="136">
        <f t="shared" ca="1" si="25"/>
        <v>19</v>
      </c>
      <c r="AE204" s="249" t="str">
        <f ca="1">IFERROR(VLOOKUP(B204,bond!B:U,20,FALSE),"")</f>
        <v xml:space="preserve"> </v>
      </c>
      <c r="AF204" s="136" t="str">
        <f ca="1">IF(VLOOKUP(B204,bond!B:AK,36,FALSE)="#N/A Field Not Applicable","",VLOOKUP(B204,bond!B:AK,36,FALSE))</f>
        <v/>
      </c>
      <c r="AG204" s="136" t="str">
        <f ca="1">IF(VLOOKUP(B204,bond!B:AL,37,FALSE)="FIXED","固定",IF(VLOOKUP(B204,bond!B:AL,37,FALSE)="FLOATING","浮動",IF(VLOOKUP(B204,bond!B:AL,37,FALSE)="VARIABLE","變動",IF(VLOOKUP(B204,bond!B:AL,37,FALSE)="FLAT TRADING","不含息交易",IF(VLOOKUP(B204,bond!B:AL,37,FALSE)="ZERO COUPON","零息",VLOOKUP(B204,bond!B:AL,37,FALSE))))))</f>
        <v>固定</v>
      </c>
      <c r="AH204" s="136" t="str">
        <f>VLOOKUP(C204,'2_Check_code'!I:J,2,FALSE)</f>
        <v>美元(USD)</v>
      </c>
      <c r="AI204" s="136" t="str">
        <f t="shared" ca="1" si="26"/>
        <v>自由選清單</v>
      </c>
      <c r="AJ204" s="136">
        <f t="shared" ca="1" si="27"/>
        <v>0</v>
      </c>
      <c r="AK204" s="594" t="str">
        <f ca="1">IF(VLOOKUP(B204,bond!B:S,18,FALSE)="是","有",IF(VLOOKUP(B204,bond!B:S,18,FALSE)="NO OFFER","無","需查詢"))</f>
        <v>有</v>
      </c>
      <c r="AL204" s="136" t="str">
        <f>IF(VLOOKUP(A204,bond!F:AR,39,FALSE)="#N/A Field Not Applicable",VLOOKUP(A204,bond!F:AR,38,FALSE),IFERROR(VLOOKUP(A204,'7_發行日例外'!A:B,2,FALSE),VLOOKUP(A204,bond!F:AR,39,FALSE)))</f>
        <v>2013/2/11</v>
      </c>
      <c r="AM204" s="136" t="str">
        <f ca="1">VLOOKUP(B204,bond!B:AK,36,FALSE)</f>
        <v>#N/A Field Not Applicable</v>
      </c>
      <c r="AN204" s="136" t="str">
        <f ca="1">IFERROR(VLOOKUP(B204,'3_是否下架'!A:A,1,FALSE),"")</f>
        <v/>
      </c>
      <c r="AO204" s="136">
        <f ca="1">VLOOKUP(B204,bond!B:J,9,FALSE)</f>
        <v>93.570000000000007</v>
      </c>
      <c r="AP204" s="136">
        <f ca="1">VLOOKUP(B204,bond!B:V,21,FALSE)</f>
        <v>12.057</v>
      </c>
    </row>
    <row r="205" spans="1:42">
      <c r="A205" s="141" t="str">
        <f>bond!F206</f>
        <v>US17275RAD44</v>
      </c>
      <c r="B205" s="151" t="str">
        <f ca="1">IF($C$1=TRUE,bond!B206,"")</f>
        <v>XG940</v>
      </c>
      <c r="C205" s="95" t="str">
        <f>VLOOKUP(A205,bond!F:G,2,FALSE)</f>
        <v>USD</v>
      </c>
      <c r="D205" s="142" t="str">
        <f ca="1">VLOOKUP(B205,bond!B:C,2,FALSE)</f>
        <v>思科系統股份有限公司美元配息債券 5.9% 2039/2/15</v>
      </c>
      <c r="E205" s="95" t="str">
        <f ca="1">VLOOKUP(B205,bond!B:D,3,FALSE)</f>
        <v>A1 / AA- / -</v>
      </c>
      <c r="F205" s="99" t="str">
        <f ca="1">VLOOKUP(B205,bond!B:AB,27,FALSE)</f>
        <v>2039/2/15</v>
      </c>
      <c r="G205" s="90">
        <f ca="1">VLOOKUP(B205,bond!B:E,4,FALSE)</f>
        <v>14.62</v>
      </c>
      <c r="H205" s="202">
        <f ca="1">VLOOKUP(B205,bond!B:Y,24,FALSE)</f>
        <v>5.9000000000000004E-2</v>
      </c>
      <c r="I205" s="95">
        <f ca="1">VLOOKUP(B205,bond!B:Z,25,FALSE)</f>
        <v>2</v>
      </c>
      <c r="J205" s="180">
        <f ca="1">VLOOKUP(B205,bond!B:K,10,FALSE)</f>
        <v>2.2452999999999999</v>
      </c>
      <c r="K205" s="96">
        <f ca="1">VLOOKUP($B205,bond!B:S,14,FALSE)</f>
        <v>111.06</v>
      </c>
      <c r="L205" s="91" t="str">
        <f ca="1">VLOOKUP(B205,bond!B:H,7,FALSE)</f>
        <v>2024/7/2</v>
      </c>
      <c r="M205" s="144">
        <f ca="1">VLOOKUP($B205,bond!$B:$Q,16,FALSE)</f>
        <v>5.04E-2</v>
      </c>
      <c r="N205" s="136">
        <f ca="1">VALUE(LEFT(VLOOKUP(B205,bond!B:R,17,FALSE),SEARCH(" ",VLOOKUP(B205,bond!B:R,17,FALSE),1)))</f>
        <v>10000</v>
      </c>
      <c r="O205" s="136">
        <f ca="1">VALUE(RIGHT(VLOOKUP(B205,bond!B:R,17,FALSE),LEN(VLOOKUP(B205,bond!B:R,17,FALSE))-LEN(N205)-3))</f>
        <v>1000</v>
      </c>
      <c r="P205" s="135" t="str">
        <f ca="1">VLOOKUP($B205,bond!$B:$AG,32,FALSE)</f>
        <v>2024/8/15</v>
      </c>
      <c r="Q205" s="135" t="str">
        <f ca="1">VLOOKUP($B205,bond!$B:$AH,33,FALSE)</f>
        <v>科技</v>
      </c>
      <c r="R205" s="135" t="str">
        <f ca="1">VLOOKUP(B205,bond!B:AA,26,FALSE)</f>
        <v>思科</v>
      </c>
      <c r="S205" s="135" t="str">
        <f ca="1">VLOOKUP(B205,bond!B:AI,34,FALSE)</f>
        <v>CSCO</v>
      </c>
      <c r="T205" s="135" t="str">
        <f t="shared" ca="1" si="21"/>
        <v>思科/CSCO</v>
      </c>
      <c r="U205" s="207" t="str">
        <f ca="1">IFERROR(VLOOKUP(T205,Bond_DES!D:E,2,FALSE),VLOOKUP(S205,bond!AI:AJ,2,FALSE))</f>
        <v>思科系統公司(Cisco Systems, Inc.)提供資訊科技及網路服務。該公司提供企業網路安全、軟體開發、資料合作、雲端計算，以及其他相關服務。思科系統服務美國的客戶。</v>
      </c>
      <c r="V205" s="136" t="str">
        <f ca="1">IFERROR(VLOOKUP(B205,'1_重設數據'!L:M,2,FALSE),IF(Q205="政府",IF(AD205&gt;16,"(NPI)非專投",IF(AD205&gt;10,"(PI)專投","高資產")),IF(VLOOKUP(B205,bond!B:AN,39,FALSE)="Y","(PI)專投",IF(AD205&gt;=15,"(NPI)非專投",IF(AD205&gt;=10,"(PI)專投","高資產")))))</f>
        <v>(NPI)非專投</v>
      </c>
      <c r="W205" s="136" t="str">
        <f ca="1">VLOOKUP(AD205,'credit rating'!$F$2:$H$22,3,FALSE)</f>
        <v>AA-</v>
      </c>
      <c r="X205" s="136" t="str">
        <f t="shared" ca="1" si="22"/>
        <v>A1</v>
      </c>
      <c r="Y205" s="136" t="str">
        <f t="shared" ca="1" si="23"/>
        <v>AA-</v>
      </c>
      <c r="Z205" s="136" t="str">
        <f t="shared" ca="1" si="24"/>
        <v>-</v>
      </c>
      <c r="AA205" s="134">
        <f ca="1">IFERROR(VLOOKUP(X205,'credit rating'!A:C,3,FALSE),0)</f>
        <v>17</v>
      </c>
      <c r="AB205" s="134">
        <f ca="1">IFERROR(VLOOKUP(Y205,'credit rating'!B:C,2,FALSE),0)</f>
        <v>18</v>
      </c>
      <c r="AC205" s="136">
        <f ca="1">IFERROR(VLOOKUP(Z205,'credit rating'!B:C,2,FALSE),0)</f>
        <v>0</v>
      </c>
      <c r="AD205" s="136">
        <f t="shared" ca="1" si="25"/>
        <v>18</v>
      </c>
      <c r="AE205" s="249" t="str">
        <f ca="1">IFERROR(VLOOKUP(B205,bond!B:U,20,FALSE),"")</f>
        <v xml:space="preserve"> </v>
      </c>
      <c r="AF205" s="136" t="str">
        <f ca="1">IF(VLOOKUP(B205,bond!B:AK,36,FALSE)="#N/A Field Not Applicable","",VLOOKUP(B205,bond!B:AK,36,FALSE))</f>
        <v/>
      </c>
      <c r="AG205" s="136" t="str">
        <f ca="1">IF(VLOOKUP(B205,bond!B:AL,37,FALSE)="FIXED","固定",IF(VLOOKUP(B205,bond!B:AL,37,FALSE)="FLOATING","浮動",IF(VLOOKUP(B205,bond!B:AL,37,FALSE)="VARIABLE","變動",IF(VLOOKUP(B205,bond!B:AL,37,FALSE)="FLAT TRADING","不含息交易",IF(VLOOKUP(B205,bond!B:AL,37,FALSE)="ZERO COUPON","零息",VLOOKUP(B205,bond!B:AL,37,FALSE))))))</f>
        <v>固定</v>
      </c>
      <c r="AH205" s="136" t="str">
        <f>VLOOKUP(C205,'2_Check_code'!I:J,2,FALSE)</f>
        <v>美元(USD)</v>
      </c>
      <c r="AI205" s="136" t="str">
        <f t="shared" ca="1" si="26"/>
        <v>自由選清單</v>
      </c>
      <c r="AJ205" s="136">
        <f t="shared" ca="1" si="27"/>
        <v>0</v>
      </c>
      <c r="AK205" s="594" t="str">
        <f ca="1">IF(VLOOKUP(B205,bond!B:S,18,FALSE)="是","有",IF(VLOOKUP(B205,bond!B:S,18,FALSE)="NO OFFER","無","需查詢"))</f>
        <v>有</v>
      </c>
      <c r="AL205" s="136" t="str">
        <f>IF(VLOOKUP(A205,bond!F:AR,39,FALSE)="#N/A Field Not Applicable",VLOOKUP(A205,bond!F:AR,38,FALSE),IFERROR(VLOOKUP(A205,'7_發行日例外'!A:B,2,FALSE),VLOOKUP(A205,bond!F:AR,39,FALSE)))</f>
        <v>2009/2/17</v>
      </c>
      <c r="AM205" s="136" t="str">
        <f ca="1">VLOOKUP(B205,bond!B:AK,36,FALSE)</f>
        <v>#N/A Field Not Applicable</v>
      </c>
      <c r="AN205" s="136" t="str">
        <f ca="1">IFERROR(VLOOKUP(B205,'3_是否下架'!A:A,1,FALSE),"")</f>
        <v/>
      </c>
      <c r="AO205" s="136">
        <f ca="1">VLOOKUP(B205,bond!B:J,9,FALSE)</f>
        <v>106.81</v>
      </c>
      <c r="AP205" s="136">
        <f ca="1">VLOOKUP(B205,bond!B:V,21,FALSE)</f>
        <v>9.7140000000000004</v>
      </c>
    </row>
    <row r="206" spans="1:42">
      <c r="A206" s="141" t="str">
        <f>bond!F207</f>
        <v>US172967KN09</v>
      </c>
      <c r="B206" s="151" t="str">
        <f ca="1">IF($C$1=TRUE,bond!B207,"")</f>
        <v>XG950</v>
      </c>
      <c r="C206" s="95" t="str">
        <f>VLOOKUP(A206,bond!F:G,2,FALSE)</f>
        <v>USD</v>
      </c>
      <c r="D206" s="142" t="str">
        <f ca="1">VLOOKUP(B206,bond!B:C,2,FALSE)</f>
        <v>花旗集團美元配息債券 3.4% 2026/5/1</v>
      </c>
      <c r="E206" s="95" t="str">
        <f ca="1">VLOOKUP(B206,bond!B:D,3,FALSE)</f>
        <v>A3 / BBB+ / A</v>
      </c>
      <c r="F206" s="99" t="str">
        <f ca="1">VLOOKUP(B206,bond!B:AB,27,FALSE)</f>
        <v>2026/5/1</v>
      </c>
      <c r="G206" s="90">
        <f ca="1">VLOOKUP(B206,bond!B:E,4,FALSE)</f>
        <v>1.83</v>
      </c>
      <c r="H206" s="202">
        <f ca="1">VLOOKUP(B206,bond!B:Y,24,FALSE)</f>
        <v>3.4000000000000002E-2</v>
      </c>
      <c r="I206" s="95">
        <f ca="1">VLOOKUP(B206,bond!B:Z,25,FALSE)</f>
        <v>2</v>
      </c>
      <c r="J206" s="180">
        <f ca="1">VLOOKUP(B206,bond!B:K,10,FALSE)</f>
        <v>0.57609999999999995</v>
      </c>
      <c r="K206" s="96">
        <f ca="1">VLOOKUP($B206,bond!B:S,14,FALSE)</f>
        <v>98.36</v>
      </c>
      <c r="L206" s="91" t="str">
        <f ca="1">VLOOKUP(B206,bond!B:H,7,FALSE)</f>
        <v>2024/7/2</v>
      </c>
      <c r="M206" s="144">
        <f ca="1">VLOOKUP($B206,bond!$B:$Q,16,FALSE)</f>
        <v>4.6800000000000001E-2</v>
      </c>
      <c r="N206" s="136">
        <f ca="1">VALUE(LEFT(VLOOKUP(B206,bond!B:R,17,FALSE),SEARCH(" ",VLOOKUP(B206,bond!B:R,17,FALSE),1)))</f>
        <v>10000</v>
      </c>
      <c r="O206" s="136">
        <f ca="1">VALUE(RIGHT(VLOOKUP(B206,bond!B:R,17,FALSE),LEN(VLOOKUP(B206,bond!B:R,17,FALSE))-LEN(N206)-3))</f>
        <v>1000</v>
      </c>
      <c r="P206" s="135" t="str">
        <f ca="1">VLOOKUP($B206,bond!$B:$AG,32,FALSE)</f>
        <v>2024/11/1</v>
      </c>
      <c r="Q206" s="135" t="str">
        <f ca="1">VLOOKUP($B206,bond!$B:$AH,33,FALSE)</f>
        <v>金融</v>
      </c>
      <c r="R206" s="135" t="str">
        <f ca="1">VLOOKUP(B206,bond!B:AA,26,FALSE)</f>
        <v>花旗集團</v>
      </c>
      <c r="S206" s="135" t="str">
        <f ca="1">VLOOKUP(B206,bond!B:AI,34,FALSE)</f>
        <v>C</v>
      </c>
      <c r="T206" s="135" t="str">
        <f t="shared" ca="1" si="21"/>
        <v>花旗集團/C</v>
      </c>
      <c r="U206" s="207" t="str">
        <f ca="1">IFERROR(VLOOKUP(T206,Bond_DES!D:E,2,FALSE),VLOOKUP(S206,bond!AI:AJ,2,FALSE))</f>
        <v>花旗集團(Citigroup Inc.)是一家全球性多元化金融服務控股公司，按一級資本為全球第7大、美國第3大行(The Banker 2023)，營收、品牌、資本水準高居美國前五大行。</v>
      </c>
      <c r="V206" s="136" t="str">
        <f ca="1">IFERROR(VLOOKUP(B206,'1_重設數據'!L:M,2,FALSE),IF(Q206="政府",IF(AD206&gt;16,"(NPI)非專投",IF(AD206&gt;10,"(PI)專投","高資產")),IF(VLOOKUP(B206,bond!B:AN,39,FALSE)="Y","(PI)專投",IF(AD206&gt;=15,"(NPI)非專投",IF(AD206&gt;=10,"(PI)專投","高資產")))))</f>
        <v>(PI)專投</v>
      </c>
      <c r="W206" s="136" t="str">
        <f ca="1">VLOOKUP(AD206,'credit rating'!$F$2:$H$22,3,FALSE)</f>
        <v>A</v>
      </c>
      <c r="X206" s="136" t="str">
        <f t="shared" ca="1" si="22"/>
        <v>A3</v>
      </c>
      <c r="Y206" s="136" t="str">
        <f t="shared" ca="1" si="23"/>
        <v>BBB+</v>
      </c>
      <c r="Z206" s="136" t="str">
        <f t="shared" ca="1" si="24"/>
        <v>A</v>
      </c>
      <c r="AA206" s="134">
        <f ca="1">IFERROR(VLOOKUP(X206,'credit rating'!A:C,3,FALSE),0)</f>
        <v>15</v>
      </c>
      <c r="AB206" s="134">
        <f ca="1">IFERROR(VLOOKUP(Y206,'credit rating'!B:C,2,FALSE),0)</f>
        <v>14</v>
      </c>
      <c r="AC206" s="136">
        <f ca="1">IFERROR(VLOOKUP(Z206,'credit rating'!B:C,2,FALSE),0)</f>
        <v>16</v>
      </c>
      <c r="AD206" s="136">
        <f t="shared" ca="1" si="25"/>
        <v>16</v>
      </c>
      <c r="AE206" s="249" t="str">
        <f ca="1">IFERROR(VLOOKUP(B206,bond!B:U,20,FALSE),"")</f>
        <v xml:space="preserve"> </v>
      </c>
      <c r="AF206" s="136" t="str">
        <f ca="1">IF(VLOOKUP(B206,bond!B:AK,36,FALSE)="#N/A Field Not Applicable","",VLOOKUP(B206,bond!B:AK,36,FALSE))</f>
        <v/>
      </c>
      <c r="AG206" s="136" t="str">
        <f ca="1">IF(VLOOKUP(B206,bond!B:AL,37,FALSE)="FIXED","固定",IF(VLOOKUP(B206,bond!B:AL,37,FALSE)="FLOATING","浮動",IF(VLOOKUP(B206,bond!B:AL,37,FALSE)="VARIABLE","變動",IF(VLOOKUP(B206,bond!B:AL,37,FALSE)="FLAT TRADING","不含息交易",IF(VLOOKUP(B206,bond!B:AL,37,FALSE)="ZERO COUPON","零息",VLOOKUP(B206,bond!B:AL,37,FALSE))))))</f>
        <v>固定</v>
      </c>
      <c r="AH206" s="136" t="str">
        <f>VLOOKUP(C206,'2_Check_code'!I:J,2,FALSE)</f>
        <v>美元(USD)</v>
      </c>
      <c r="AI206" s="136" t="str">
        <f t="shared" ca="1" si="26"/>
        <v>自由選清單</v>
      </c>
      <c r="AJ206" s="136">
        <f t="shared" ca="1" si="27"/>
        <v>0</v>
      </c>
      <c r="AK206" s="594" t="str">
        <f ca="1">IF(VLOOKUP(B206,bond!B:S,18,FALSE)="是","有",IF(VLOOKUP(B206,bond!B:S,18,FALSE)="NO OFFER","無","需查詢"))</f>
        <v>有</v>
      </c>
      <c r="AL206" s="136" t="str">
        <f>IF(VLOOKUP(A206,bond!F:AR,39,FALSE)="#N/A Field Not Applicable",VLOOKUP(A206,bond!F:AR,38,FALSE),IFERROR(VLOOKUP(A206,'7_發行日例外'!A:B,2,FALSE),VLOOKUP(A206,bond!F:AR,39,FALSE)))</f>
        <v>2016/5/2</v>
      </c>
      <c r="AM206" s="136" t="str">
        <f ca="1">VLOOKUP(B206,bond!B:AK,36,FALSE)</f>
        <v>#N/A Field Not Applicable</v>
      </c>
      <c r="AN206" s="136" t="str">
        <f ca="1">IFERROR(VLOOKUP(B206,'3_是否下架'!A:A,1,FALSE),"")</f>
        <v/>
      </c>
      <c r="AO206" s="136">
        <f ca="1">VLOOKUP(B206,bond!B:J,9,FALSE)</f>
        <v>96.98</v>
      </c>
      <c r="AP206" s="136">
        <f ca="1">VLOOKUP(B206,bond!B:V,21,FALSE)</f>
        <v>1.7363</v>
      </c>
    </row>
    <row r="207" spans="1:42">
      <c r="A207" s="141" t="str">
        <f>bond!F208</f>
        <v>US92553PAP71</v>
      </c>
      <c r="B207" s="151" t="str">
        <f ca="1">IF($C$1=TRUE,bond!B208,"")</f>
        <v>XG960</v>
      </c>
      <c r="C207" s="95" t="str">
        <f>VLOOKUP(A207,bond!F:G,2,FALSE)</f>
        <v>USD</v>
      </c>
      <c r="D207" s="142" t="str">
        <f ca="1">VLOOKUP(B207,bond!B:C,2,FALSE)</f>
        <v>派拉蒙全球美元配息債券 4.375% 2043/3/15</v>
      </c>
      <c r="E207" s="95" t="str">
        <f ca="1">VLOOKUP(B207,bond!B:D,3,FALSE)</f>
        <v>Baa3 / BB+ / BBB-</v>
      </c>
      <c r="F207" s="99" t="str">
        <f ca="1">VLOOKUP(B207,bond!B:AB,27,FALSE)</f>
        <v>2043/3/15</v>
      </c>
      <c r="G207" s="90">
        <f ca="1">VLOOKUP(B207,bond!B:E,4,FALSE)</f>
        <v>18.7</v>
      </c>
      <c r="H207" s="202">
        <f ca="1">VLOOKUP(B207,bond!B:Y,24,FALSE)</f>
        <v>4.3749999999999997E-2</v>
      </c>
      <c r="I207" s="95">
        <f ca="1">VLOOKUP(B207,bond!B:Z,25,FALSE)</f>
        <v>2</v>
      </c>
      <c r="J207" s="180">
        <f ca="1">VLOOKUP(B207,bond!B:K,10,FALSE)</f>
        <v>1.3003</v>
      </c>
      <c r="K207" s="96">
        <f ca="1">VLOOKUP($B207,bond!B:S,14,FALSE)</f>
        <v>70.930000000000007</v>
      </c>
      <c r="L207" s="91" t="str">
        <f ca="1">VLOOKUP(B207,bond!B:H,7,FALSE)</f>
        <v>2024/7/2</v>
      </c>
      <c r="M207" s="144">
        <f ca="1">VLOOKUP($B207,bond!$B:$Q,16,FALSE)</f>
        <v>7.3999999999999996E-2</v>
      </c>
      <c r="N207" s="136">
        <f ca="1">VALUE(LEFT(VLOOKUP(B207,bond!B:R,17,FALSE),SEARCH(" ",VLOOKUP(B207,bond!B:R,17,FALSE),1)))</f>
        <v>10000</v>
      </c>
      <c r="O207" s="136">
        <f ca="1">VALUE(RIGHT(VLOOKUP(B207,bond!B:R,17,FALSE),LEN(VLOOKUP(B207,bond!B:R,17,FALSE))-LEN(N207)-3))</f>
        <v>1000</v>
      </c>
      <c r="P207" s="135" t="str">
        <f ca="1">VLOOKUP($B207,bond!$B:$AG,32,FALSE)</f>
        <v>2024/9/15</v>
      </c>
      <c r="Q207" s="135" t="str">
        <f ca="1">VLOOKUP($B207,bond!$B:$AH,33,FALSE)</f>
        <v>通訊</v>
      </c>
      <c r="R207" s="135" t="str">
        <f ca="1">VLOOKUP(B207,bond!B:AA,26,FALSE)</f>
        <v>派拉蒙全球</v>
      </c>
      <c r="S207" s="135" t="str">
        <f ca="1">VLOOKUP(B207,bond!B:AI,34,FALSE)</f>
        <v>PARA</v>
      </c>
      <c r="T207" s="135" t="str">
        <f t="shared" ca="1" si="21"/>
        <v>派拉蒙全球/PARA</v>
      </c>
      <c r="U207" s="207" t="str">
        <f ca="1">IFERROR(VLOOKUP(T207,Bond_DES!D:E,2,FALSE),VLOOKUP(S207,bond!AI:AJ,2,FALSE))</f>
        <v>派拉蒙全球(Paramount Global)是全球最大的媒體公司之一，旗下分為直接對消費者、影視及電影拍攝三大部門。派拉蒙擁有多個全球知名的版權，如教父、海綿寶寶、變形金剛及印第安那瓊斯系列，也曾拍攝多部高票房影視作品，如鐵達尼號、捍衛戰士、鋼鐵人及史瑞克等，旗下影業公司為美國第二悠久的製片廠。</v>
      </c>
      <c r="V207" s="136" t="str">
        <f ca="1">IFERROR(VLOOKUP(B207,'1_重設數據'!L:M,2,FALSE),IF(Q207="政府",IF(AD207&gt;16,"(NPI)非專投",IF(AD207&gt;10,"(PI)專投","高資產")),IF(VLOOKUP(B207,bond!B:AN,39,FALSE)="Y","(PI)專投",IF(AD207&gt;=15,"(NPI)非專投",IF(AD207&gt;=10,"(PI)專投","高資產")))))</f>
        <v>(PI)專投</v>
      </c>
      <c r="W207" s="136" t="str">
        <f ca="1">VLOOKUP(AD207,'credit rating'!$F$2:$H$22,3,FALSE)</f>
        <v>BBB-</v>
      </c>
      <c r="X207" s="136" t="str">
        <f t="shared" ca="1" si="22"/>
        <v>Baa3</v>
      </c>
      <c r="Y207" s="136" t="str">
        <f t="shared" ca="1" si="23"/>
        <v>BB+</v>
      </c>
      <c r="Z207" s="136" t="str">
        <f t="shared" ca="1" si="24"/>
        <v>BBB-</v>
      </c>
      <c r="AA207" s="134">
        <f ca="1">IFERROR(VLOOKUP(X207,'credit rating'!A:C,3,FALSE),0)</f>
        <v>12</v>
      </c>
      <c r="AB207" s="134">
        <f ca="1">IFERROR(VLOOKUP(Y207,'credit rating'!B:C,2,FALSE),0)</f>
        <v>11</v>
      </c>
      <c r="AC207" s="136">
        <f ca="1">IFERROR(VLOOKUP(Z207,'credit rating'!B:C,2,FALSE),0)</f>
        <v>12</v>
      </c>
      <c r="AD207" s="136">
        <f t="shared" ca="1" si="25"/>
        <v>12</v>
      </c>
      <c r="AE207" s="249" t="str">
        <f ca="1">IFERROR(VLOOKUP(B207,bond!B:U,20,FALSE),"")</f>
        <v xml:space="preserve"> </v>
      </c>
      <c r="AF207" s="136" t="str">
        <f ca="1">IF(VLOOKUP(B207,bond!B:AK,36,FALSE)="#N/A Field Not Applicable","",VLOOKUP(B207,bond!B:AK,36,FALSE))</f>
        <v/>
      </c>
      <c r="AG207" s="136" t="str">
        <f ca="1">IF(VLOOKUP(B207,bond!B:AL,37,FALSE)="FIXED","固定",IF(VLOOKUP(B207,bond!B:AL,37,FALSE)="FLOATING","浮動",IF(VLOOKUP(B207,bond!B:AL,37,FALSE)="VARIABLE","變動",IF(VLOOKUP(B207,bond!B:AL,37,FALSE)="FLAT TRADING","不含息交易",IF(VLOOKUP(B207,bond!B:AL,37,FALSE)="ZERO COUPON","零息",VLOOKUP(B207,bond!B:AL,37,FALSE))))))</f>
        <v>固定</v>
      </c>
      <c r="AH207" s="136" t="str">
        <f>VLOOKUP(C207,'2_Check_code'!I:J,2,FALSE)</f>
        <v>美元(USD)</v>
      </c>
      <c r="AI207" s="136" t="str">
        <f t="shared" ca="1" si="26"/>
        <v>自由選清單</v>
      </c>
      <c r="AJ207" s="136">
        <f t="shared" ca="1" si="27"/>
        <v>0</v>
      </c>
      <c r="AK207" s="594" t="str">
        <f ca="1">IF(VLOOKUP(B207,bond!B:S,18,FALSE)="是","有",IF(VLOOKUP(B207,bond!B:S,18,FALSE)="NO OFFER","無","需查詢"))</f>
        <v>有</v>
      </c>
      <c r="AL207" s="136" t="str">
        <f>IF(VLOOKUP(A207,bond!F:AR,39,FALSE)="#N/A Field Not Applicable",VLOOKUP(A207,bond!F:AR,38,FALSE),IFERROR(VLOOKUP(A207,'7_發行日例外'!A:B,2,FALSE),VLOOKUP(A207,bond!F:AR,39,FALSE)))</f>
        <v>2013/3/15</v>
      </c>
      <c r="AM207" s="136" t="str">
        <f ca="1">VLOOKUP(B207,bond!B:AK,36,FALSE)</f>
        <v>#N/A Field Not Applicable</v>
      </c>
      <c r="AN207" s="136" t="str">
        <f ca="1">IFERROR(VLOOKUP(B207,'3_是否下架'!A:A,1,FALSE),"")</f>
        <v/>
      </c>
      <c r="AO207" s="136">
        <f ca="1">VLOOKUP(B207,bond!B:J,9,FALSE)</f>
        <v>67.13000000000001</v>
      </c>
      <c r="AP207" s="136">
        <f ca="1">VLOOKUP(B207,bond!B:V,21,FALSE)</f>
        <v>10.9193</v>
      </c>
    </row>
    <row r="208" spans="1:42">
      <c r="A208" s="141" t="str">
        <f>bond!F209</f>
        <v>US674599DZ54</v>
      </c>
      <c r="B208" s="151" t="str">
        <f ca="1">IF($C$1=TRUE,bond!B209,"")</f>
        <v>XG970</v>
      </c>
      <c r="C208" s="95" t="str">
        <f>VLOOKUP(A208,bond!F:G,2,FALSE)</f>
        <v>USD</v>
      </c>
      <c r="D208" s="142" t="str">
        <f ca="1">VLOOKUP(B208,bond!B:C,2,FALSE)</f>
        <v>西方石油公司美元配息債券 8.5% 2027/7/15</v>
      </c>
      <c r="E208" s="95" t="str">
        <f ca="1">VLOOKUP(B208,bond!B:D,3,FALSE)</f>
        <v>Baa3 / BB+ / BBB-</v>
      </c>
      <c r="F208" s="99" t="str">
        <f ca="1">VLOOKUP(B208,bond!B:AB,27,FALSE)</f>
        <v>2027/7/15</v>
      </c>
      <c r="G208" s="90">
        <f ca="1">VLOOKUP(B208,bond!B:E,4,FALSE)</f>
        <v>3.03</v>
      </c>
      <c r="H208" s="202">
        <f ca="1">VLOOKUP(B208,bond!B:Y,24,FALSE)</f>
        <v>8.5000000000000006E-2</v>
      </c>
      <c r="I208" s="95">
        <f ca="1">VLOOKUP(B208,bond!B:Z,25,FALSE)</f>
        <v>2</v>
      </c>
      <c r="J208" s="180">
        <f ca="1">VLOOKUP(B208,bond!B:K,10,FALSE)</f>
        <v>3.9430999999999998</v>
      </c>
      <c r="K208" s="96">
        <f ca="1">VLOOKUP($B208,bond!B:S,14,FALSE)</f>
        <v>113.11</v>
      </c>
      <c r="L208" s="91" t="str">
        <f ca="1">VLOOKUP(B208,bond!B:H,7,FALSE)</f>
        <v>2024/7/2</v>
      </c>
      <c r="M208" s="144">
        <f ca="1">VLOOKUP($B208,bond!$B:$Q,16,FALSE)</f>
        <v>5.1900000000000002E-2</v>
      </c>
      <c r="N208" s="136">
        <f ca="1">VALUE(LEFT(VLOOKUP(B208,bond!B:R,17,FALSE),SEARCH(" ",VLOOKUP(B208,bond!B:R,17,FALSE),1)))</f>
        <v>10000</v>
      </c>
      <c r="O208" s="136">
        <f ca="1">VALUE(RIGHT(VLOOKUP(B208,bond!B:R,17,FALSE),LEN(VLOOKUP(B208,bond!B:R,17,FALSE))-LEN(N208)-3))</f>
        <v>1000</v>
      </c>
      <c r="P208" s="135" t="str">
        <f ca="1">VLOOKUP($B208,bond!$B:$AG,32,FALSE)</f>
        <v>2024/7/15</v>
      </c>
      <c r="Q208" s="135" t="str">
        <f ca="1">VLOOKUP($B208,bond!$B:$AH,33,FALSE)</f>
        <v>能源</v>
      </c>
      <c r="R208" s="135" t="str">
        <f ca="1">VLOOKUP(B208,bond!B:AA,26,FALSE)</f>
        <v>西方石油</v>
      </c>
      <c r="S208" s="135" t="str">
        <f ca="1">VLOOKUP(B208,bond!B:AI,34,FALSE)</f>
        <v>OXY</v>
      </c>
      <c r="T208" s="135" t="str">
        <f t="shared" ca="1" si="21"/>
        <v>西方石油/OXY</v>
      </c>
      <c r="U208" s="207" t="str">
        <f ca="1">IFERROR(VLOOKUP(T208,Bond_DES!D:E,2,FALSE),VLOOKUP(S208,bond!AI:AJ,2,FALSE))</f>
        <v>西方石油公司(Occidental Petroleum Corporation)是美國前五大獨立勘探和生產(E&amp;P)公司之一、全球「碳捕捉」技術開發的領導者，巴菲特職掌的波克夏海瑟威為其最大股東；從事探勘、開發、生產及行銷原油與天然氣，亦製造及行銷多種基本化學原料、乙烯基及特用化學品。按營收於「礦業、原油生產」行業排名位居美國第2，僅次於康菲石油(Fortune 2024)</v>
      </c>
      <c r="V208" s="136" t="str">
        <f ca="1">IFERROR(VLOOKUP(B208,'1_重設數據'!L:M,2,FALSE),IF(Q208="政府",IF(AD208&gt;16,"(NPI)非專投",IF(AD208&gt;10,"(PI)專投","高資產")),IF(VLOOKUP(B208,bond!B:AN,39,FALSE)="Y","(PI)專投",IF(AD208&gt;=15,"(NPI)非專投",IF(AD208&gt;=10,"(PI)專投","高資產")))))</f>
        <v>(PI)專投</v>
      </c>
      <c r="W208" s="136" t="str">
        <f ca="1">VLOOKUP(AD208,'credit rating'!$F$2:$H$22,3,FALSE)</f>
        <v>BBB-</v>
      </c>
      <c r="X208" s="136" t="str">
        <f t="shared" ca="1" si="22"/>
        <v>Baa3</v>
      </c>
      <c r="Y208" s="136" t="str">
        <f t="shared" ca="1" si="23"/>
        <v>BB+</v>
      </c>
      <c r="Z208" s="136" t="str">
        <f t="shared" ca="1" si="24"/>
        <v>BBB-</v>
      </c>
      <c r="AA208" s="134">
        <f ca="1">IFERROR(VLOOKUP(X208,'credit rating'!A:C,3,FALSE),0)</f>
        <v>12</v>
      </c>
      <c r="AB208" s="134">
        <f ca="1">IFERROR(VLOOKUP(Y208,'credit rating'!B:C,2,FALSE),0)</f>
        <v>11</v>
      </c>
      <c r="AC208" s="136">
        <f ca="1">IFERROR(VLOOKUP(Z208,'credit rating'!B:C,2,FALSE),0)</f>
        <v>12</v>
      </c>
      <c r="AD208" s="136">
        <f t="shared" ca="1" si="25"/>
        <v>12</v>
      </c>
      <c r="AE208" s="249">
        <f ca="1">IFERROR(VLOOKUP(B208,bond!B:U,20,FALSE),"")</f>
        <v>4.6300000000000001E-2</v>
      </c>
      <c r="AF208" s="136" t="str">
        <f ca="1">IF(VLOOKUP(B208,bond!B:AK,36,FALSE)="#N/A Field Not Applicable","",VLOOKUP(B208,bond!B:AK,36,FALSE))</f>
        <v>2027/1/15</v>
      </c>
      <c r="AG208" s="136" t="str">
        <f ca="1">IF(VLOOKUP(B208,bond!B:AL,37,FALSE)="FIXED","固定",IF(VLOOKUP(B208,bond!B:AL,37,FALSE)="FLOATING","浮動",IF(VLOOKUP(B208,bond!B:AL,37,FALSE)="VARIABLE","變動",IF(VLOOKUP(B208,bond!B:AL,37,FALSE)="FLAT TRADING","不含息交易",IF(VLOOKUP(B208,bond!B:AL,37,FALSE)="ZERO COUPON","零息",VLOOKUP(B208,bond!B:AL,37,FALSE))))))</f>
        <v>固定</v>
      </c>
      <c r="AH208" s="136" t="str">
        <f>VLOOKUP(C208,'2_Check_code'!I:J,2,FALSE)</f>
        <v>美元(USD)</v>
      </c>
      <c r="AI208" s="136" t="str">
        <f t="shared" ca="1" si="26"/>
        <v>自由選清單</v>
      </c>
      <c r="AJ208" s="136">
        <f t="shared" ca="1" si="27"/>
        <v>0</v>
      </c>
      <c r="AK208" s="594" t="str">
        <f ca="1">IF(VLOOKUP(B208,bond!B:S,18,FALSE)="是","有",IF(VLOOKUP(B208,bond!B:S,18,FALSE)="NO OFFER","無","需查詢"))</f>
        <v>有</v>
      </c>
      <c r="AL208" s="136" t="str">
        <f>IF(VLOOKUP(A208,bond!F:AR,39,FALSE)="#N/A Field Not Applicable",VLOOKUP(A208,bond!F:AR,38,FALSE),IFERROR(VLOOKUP(A208,'7_發行日例外'!A:B,2,FALSE),VLOOKUP(A208,bond!F:AR,39,FALSE)))</f>
        <v>2020/7/13</v>
      </c>
      <c r="AM208" s="136" t="str">
        <f ca="1">VLOOKUP(B208,bond!B:AK,36,FALSE)</f>
        <v>2027/1/15</v>
      </c>
      <c r="AN208" s="136" t="str">
        <f ca="1">IFERROR(VLOOKUP(B208,'3_是否下架'!A:A,1,FALSE),"")</f>
        <v/>
      </c>
      <c r="AO208" s="136">
        <f ca="1">VLOOKUP(B208,bond!B:J,9,FALSE)</f>
        <v>107.67</v>
      </c>
      <c r="AP208" s="136">
        <f ca="1">VLOOKUP(B208,bond!B:V,21,FALSE)</f>
        <v>2.2052</v>
      </c>
    </row>
    <row r="209" spans="1:42">
      <c r="A209" s="141" t="str">
        <f>bond!F210</f>
        <v>XS2114850949</v>
      </c>
      <c r="B209" s="151" t="str">
        <f ca="1">IF($C$1=TRUE,bond!B210,"")</f>
        <v>XG980</v>
      </c>
      <c r="C209" s="95" t="str">
        <f>VLOOKUP(A209,bond!F:G,2,FALSE)</f>
        <v>USD</v>
      </c>
      <c r="D209" s="142" t="str">
        <f ca="1">VLOOKUP(B209,bond!B:C,2,FALSE)</f>
        <v>卡達國家銀行金融有限公司美元配息債券 2.75% 2027/2/12</v>
      </c>
      <c r="E209" s="95" t="str">
        <f ca="1">VLOOKUP(B209,bond!B:D,3,FALSE)</f>
        <v>Aa3 / A+ / A+</v>
      </c>
      <c r="F209" s="99" t="str">
        <f ca="1">VLOOKUP(B209,bond!B:AB,27,FALSE)</f>
        <v>2027/2/12</v>
      </c>
      <c r="G209" s="90">
        <f ca="1">VLOOKUP(B209,bond!B:E,4,FALSE)</f>
        <v>2.61</v>
      </c>
      <c r="H209" s="202">
        <f ca="1">VLOOKUP(B209,bond!B:Y,24,FALSE)</f>
        <v>2.75E-2</v>
      </c>
      <c r="I209" s="95">
        <f ca="1">VLOOKUP(B209,bond!B:Z,25,FALSE)</f>
        <v>2</v>
      </c>
      <c r="J209" s="180">
        <f ca="1">VLOOKUP(B209,bond!B:K,10,FALSE)</f>
        <v>1.0770999999999999</v>
      </c>
      <c r="K209" s="96">
        <f ca="1">VLOOKUP($B209,bond!B:S,14,FALSE)</f>
        <v>96.63</v>
      </c>
      <c r="L209" s="91" t="str">
        <f ca="1">VLOOKUP(B209,bond!B:H,7,FALSE)</f>
        <v>2024/7/3</v>
      </c>
      <c r="M209" s="144">
        <f ca="1">VLOOKUP($B209,bond!$B:$Q,16,FALSE)</f>
        <v>4.58E-2</v>
      </c>
      <c r="N209" s="136">
        <f ca="1">VALUE(LEFT(VLOOKUP(B209,bond!B:R,17,FALSE),SEARCH(" ",VLOOKUP(B209,bond!B:R,17,FALSE),1)))</f>
        <v>200000</v>
      </c>
      <c r="O209" s="136">
        <f ca="1">VALUE(RIGHT(VLOOKUP(B209,bond!B:R,17,FALSE),LEN(VLOOKUP(B209,bond!B:R,17,FALSE))-LEN(N209)-3))</f>
        <v>1000</v>
      </c>
      <c r="P209" s="135" t="str">
        <f ca="1">VLOOKUP($B209,bond!$B:$AG,32,FALSE)</f>
        <v>2024/8/12</v>
      </c>
      <c r="Q209" s="135" t="str">
        <f ca="1">VLOOKUP($B209,bond!$B:$AH,33,FALSE)</f>
        <v>金融</v>
      </c>
      <c r="R209" s="135" t="str">
        <f ca="1">VLOOKUP(B209,bond!B:AA,26,FALSE)</f>
        <v>卡達國家銀行金融有限公司</v>
      </c>
      <c r="S209" s="135" t="str">
        <f ca="1">VLOOKUP(B209,bond!B:AI,34,FALSE)</f>
        <v>QNBK</v>
      </c>
      <c r="T209" s="135" t="str">
        <f t="shared" ca="1" si="21"/>
        <v>卡達國家銀行金融有限公司/QNBK</v>
      </c>
      <c r="U209" s="207" t="str">
        <f ca="1">IFERROR(VLOOKUP(T209,Bond_DES!D:E,2,FALSE),VLOOKUP(S209,bond!AI:AJ,2,FALSE))</f>
        <v>卡達國家銀行金融有限公司(QNB Finance Ltd)為卡達國家銀行集團旗下的一家特殊目的機構；本券保證機構卡達國家銀行(Qatar National Bank (Q.P.S.C.))是卡達第一家國有商業銀行，卡達投資局(QIA)持股50%，按資產排名，QNB是中東和非洲(MEA)最大的銀行，且是中東最具價值銀行品牌。</v>
      </c>
      <c r="V209" s="136" t="str">
        <f ca="1">IFERROR(VLOOKUP(B209,'1_重設數據'!L:M,2,FALSE),IF(Q209="政府",IF(AD209&gt;16,"(NPI)非專投",IF(AD209&gt;10,"(PI)專投","高資產")),IF(VLOOKUP(B209,bond!B:AN,39,FALSE)="Y","(PI)專投",IF(AD209&gt;=15,"(NPI)非專投",IF(AD209&gt;=10,"(PI)專投","高資產")))))</f>
        <v>(NPI)非專投</v>
      </c>
      <c r="W209" s="136" t="str">
        <f ca="1">VLOOKUP(AD209,'credit rating'!$F$2:$H$22,3,FALSE)</f>
        <v>AA-</v>
      </c>
      <c r="X209" s="136" t="str">
        <f t="shared" ca="1" si="22"/>
        <v>Aa3</v>
      </c>
      <c r="Y209" s="136" t="str">
        <f t="shared" ca="1" si="23"/>
        <v>A+</v>
      </c>
      <c r="Z209" s="136" t="str">
        <f t="shared" ca="1" si="24"/>
        <v>A+</v>
      </c>
      <c r="AA209" s="134">
        <f ca="1">IFERROR(VLOOKUP(X209,'credit rating'!A:C,3,FALSE),0)</f>
        <v>18</v>
      </c>
      <c r="AB209" s="134">
        <f ca="1">IFERROR(VLOOKUP(Y209,'credit rating'!B:C,2,FALSE),0)</f>
        <v>17</v>
      </c>
      <c r="AC209" s="136">
        <f ca="1">IFERROR(VLOOKUP(Z209,'credit rating'!B:C,2,FALSE),0)</f>
        <v>17</v>
      </c>
      <c r="AD209" s="136">
        <f t="shared" ca="1" si="25"/>
        <v>18</v>
      </c>
      <c r="AE209" s="249" t="str">
        <f ca="1">IFERROR(VLOOKUP(B209,bond!B:U,20,FALSE),"")</f>
        <v xml:space="preserve"> </v>
      </c>
      <c r="AF209" s="136" t="str">
        <f ca="1">IF(VLOOKUP(B209,bond!B:AK,36,FALSE)="#N/A Field Not Applicable","",VLOOKUP(B209,bond!B:AK,36,FALSE))</f>
        <v/>
      </c>
      <c r="AG209" s="136" t="str">
        <f ca="1">IF(VLOOKUP(B209,bond!B:AL,37,FALSE)="FIXED","固定",IF(VLOOKUP(B209,bond!B:AL,37,FALSE)="FLOATING","浮動",IF(VLOOKUP(B209,bond!B:AL,37,FALSE)="VARIABLE","變動",IF(VLOOKUP(B209,bond!B:AL,37,FALSE)="FLAT TRADING","不含息交易",IF(VLOOKUP(B209,bond!B:AL,37,FALSE)="ZERO COUPON","零息",VLOOKUP(B209,bond!B:AL,37,FALSE))))))</f>
        <v>固定</v>
      </c>
      <c r="AH209" s="136" t="str">
        <f>VLOOKUP(C209,'2_Check_code'!I:J,2,FALSE)</f>
        <v>美元(USD)</v>
      </c>
      <c r="AI209" s="136" t="str">
        <f t="shared" ca="1" si="26"/>
        <v>自由選清單</v>
      </c>
      <c r="AJ209" s="136">
        <f t="shared" ca="1" si="27"/>
        <v>0</v>
      </c>
      <c r="AK209" s="594" t="str">
        <f ca="1">IF(VLOOKUP(B209,bond!B:S,18,FALSE)="是","有",IF(VLOOKUP(B209,bond!B:S,18,FALSE)="NO OFFER","無","需查詢"))</f>
        <v>有</v>
      </c>
      <c r="AL209" s="136" t="str">
        <f>IF(VLOOKUP(A209,bond!F:AR,39,FALSE)="#N/A Field Not Applicable",VLOOKUP(A209,bond!F:AR,38,FALSE),IFERROR(VLOOKUP(A209,'7_發行日例外'!A:B,2,FALSE),VLOOKUP(A209,bond!F:AR,39,FALSE)))</f>
        <v>2020/2/12</v>
      </c>
      <c r="AM209" s="136" t="str">
        <f ca="1">VLOOKUP(B209,bond!B:AK,36,FALSE)</f>
        <v>#N/A Field Not Applicable</v>
      </c>
      <c r="AN209" s="136" t="str">
        <f ca="1">IFERROR(VLOOKUP(B209,'3_是否下架'!A:A,1,FALSE),"")</f>
        <v/>
      </c>
      <c r="AO209" s="136">
        <f ca="1">VLOOKUP(B209,bond!B:J,9,FALSE)</f>
        <v>94.550000000000011</v>
      </c>
      <c r="AP209" s="136">
        <f ca="1">VLOOKUP(B209,bond!B:V,21,FALSE)</f>
        <v>2.4441000000000002</v>
      </c>
    </row>
    <row r="210" spans="1:42">
      <c r="A210" s="141" t="str">
        <f>bond!F211</f>
        <v>US83368TBM99</v>
      </c>
      <c r="B210" s="151" t="str">
        <f ca="1">IF($C$1=TRUE,bond!B211,"")</f>
        <v>XG990</v>
      </c>
      <c r="C210" s="95" t="str">
        <f>VLOOKUP(A210,bond!F:G,2,FALSE)</f>
        <v>USD</v>
      </c>
      <c r="D210" s="142" t="str">
        <f ca="1">VLOOKUP(B210,bond!B:C,2,FALSE)</f>
        <v>法國興業銀行美元配息債券 4.677% 2027/6/15</v>
      </c>
      <c r="E210" s="95" t="str">
        <f ca="1">VLOOKUP(B210,bond!B:D,3,FALSE)</f>
        <v>A1 / A / A</v>
      </c>
      <c r="F210" s="99" t="str">
        <f ca="1">VLOOKUP(B210,bond!B:AB,27,FALSE)</f>
        <v>2027/6/15</v>
      </c>
      <c r="G210" s="90">
        <f ca="1">VLOOKUP(B210,bond!B:E,4,FALSE)</f>
        <v>2.95</v>
      </c>
      <c r="H210" s="202">
        <f ca="1">VLOOKUP(B210,bond!B:Y,24,FALSE)</f>
        <v>4.6769999999999999E-2</v>
      </c>
      <c r="I210" s="95">
        <f ca="1">VLOOKUP(B210,bond!B:Z,25,FALSE)</f>
        <v>2</v>
      </c>
      <c r="J210" s="180">
        <f ca="1">VLOOKUP(B210,bond!B:K,10,FALSE)</f>
        <v>0.22090000000000001</v>
      </c>
      <c r="K210" s="96">
        <f ca="1">VLOOKUP($B210,bond!B:S,14,FALSE)</f>
        <v>100.59</v>
      </c>
      <c r="L210" s="91" t="str">
        <f ca="1">VLOOKUP(B210,bond!B:H,7,FALSE)</f>
        <v>2024/7/2</v>
      </c>
      <c r="M210" s="144">
        <f ca="1">VLOOKUP($B210,bond!$B:$Q,16,FALSE)</f>
        <v>4.5400000000000003E-2</v>
      </c>
      <c r="N210" s="136">
        <f ca="1">VALUE(LEFT(VLOOKUP(B210,bond!B:R,17,FALSE),SEARCH(" ",VLOOKUP(B210,bond!B:R,17,FALSE),1)))</f>
        <v>200000</v>
      </c>
      <c r="O210" s="136">
        <f ca="1">VALUE(RIGHT(VLOOKUP(B210,bond!B:R,17,FALSE),LEN(VLOOKUP(B210,bond!B:R,17,FALSE))-LEN(N210)-3))</f>
        <v>1000</v>
      </c>
      <c r="P210" s="135" t="str">
        <f ca="1">VLOOKUP($B210,bond!$B:$AG,32,FALSE)</f>
        <v>2024/12/15</v>
      </c>
      <c r="Q210" s="135" t="str">
        <f ca="1">VLOOKUP($B210,bond!$B:$AH,33,FALSE)</f>
        <v>金融</v>
      </c>
      <c r="R210" s="135" t="str">
        <f ca="1">VLOOKUP(B210,bond!B:AA,26,FALSE)</f>
        <v>法國興業銀行股份有限公司</v>
      </c>
      <c r="S210" s="135" t="str">
        <f ca="1">VLOOKUP(B210,bond!B:AI,34,FALSE)</f>
        <v>SOCGEN</v>
      </c>
      <c r="T210" s="135" t="str">
        <f t="shared" ca="1" si="21"/>
        <v>法國興業銀行股份有限公司/SOCGEN</v>
      </c>
      <c r="U210" s="207" t="str">
        <f ca="1">IFERROR(VLOOKUP(T210,Bond_DES!D:E,2,FALSE),VLOOKUP(S210,bond!AI:AJ,2,FALSE))</f>
        <v>法國興業銀行(Societe Generale)提供商業、零售、投資，以及私人銀行服務。該銀行提供消費信貸、車輛租賃融資、資訊科技設備租賃、壽險及非壽險、保管、貿易與專案融資、匯兌、財資、金融，以及商品經紀服務。法國興業銀行服務全球客戶。</v>
      </c>
      <c r="V210" s="136" t="str">
        <f ca="1">IFERROR(VLOOKUP(B210,'1_重設數據'!L:M,2,FALSE),IF(Q210="政府",IF(AD210&gt;16,"(NPI)非專投",IF(AD210&gt;10,"(PI)專投","高資產")),IF(VLOOKUP(B210,bond!B:AN,39,FALSE)="Y","(PI)專投",IF(AD210&gt;=15,"(NPI)非專投",IF(AD210&gt;=10,"(PI)專投","高資產")))))</f>
        <v>(PI)專投</v>
      </c>
      <c r="W210" s="136" t="str">
        <f ca="1">VLOOKUP(AD210,'credit rating'!$F$2:$H$22,3,FALSE)</f>
        <v>A+</v>
      </c>
      <c r="X210" s="136" t="str">
        <f t="shared" ca="1" si="22"/>
        <v>A1</v>
      </c>
      <c r="Y210" s="136" t="str">
        <f t="shared" ca="1" si="23"/>
        <v>A</v>
      </c>
      <c r="Z210" s="136" t="str">
        <f t="shared" ca="1" si="24"/>
        <v>A</v>
      </c>
      <c r="AA210" s="134">
        <f ca="1">IFERROR(VLOOKUP(X210,'credit rating'!A:C,3,FALSE),0)</f>
        <v>17</v>
      </c>
      <c r="AB210" s="134">
        <f ca="1">IFERROR(VLOOKUP(Y210,'credit rating'!B:C,2,FALSE),0)</f>
        <v>16</v>
      </c>
      <c r="AC210" s="136">
        <f ca="1">IFERROR(VLOOKUP(Z210,'credit rating'!B:C,2,FALSE),0)</f>
        <v>16</v>
      </c>
      <c r="AD210" s="136">
        <f t="shared" ca="1" si="25"/>
        <v>17</v>
      </c>
      <c r="AE210" s="249" t="str">
        <f ca="1">IFERROR(VLOOKUP(B210,bond!B:U,20,FALSE),"")</f>
        <v xml:space="preserve"> </v>
      </c>
      <c r="AF210" s="136" t="str">
        <f ca="1">IF(VLOOKUP(B210,bond!B:AK,36,FALSE)="#N/A Field Not Applicable","",VLOOKUP(B210,bond!B:AK,36,FALSE))</f>
        <v/>
      </c>
      <c r="AG210" s="136" t="str">
        <f ca="1">IF(VLOOKUP(B210,bond!B:AL,37,FALSE)="FIXED","固定",IF(VLOOKUP(B210,bond!B:AL,37,FALSE)="FLOATING","浮動",IF(VLOOKUP(B210,bond!B:AL,37,FALSE)="VARIABLE","變動",IF(VLOOKUP(B210,bond!B:AL,37,FALSE)="FLAT TRADING","不含息交易",IF(VLOOKUP(B210,bond!B:AL,37,FALSE)="ZERO COUPON","零息",VLOOKUP(B210,bond!B:AL,37,FALSE))))))</f>
        <v>固定</v>
      </c>
      <c r="AH210" s="136" t="str">
        <f>VLOOKUP(C210,'2_Check_code'!I:J,2,FALSE)</f>
        <v>美元(USD)</v>
      </c>
      <c r="AI210" s="136" t="str">
        <f t="shared" ca="1" si="26"/>
        <v>自由選清單</v>
      </c>
      <c r="AJ210" s="136">
        <f t="shared" ca="1" si="27"/>
        <v>0</v>
      </c>
      <c r="AK210" s="594" t="str">
        <f ca="1">IF(VLOOKUP(B210,bond!B:S,18,FALSE)="是","有",IF(VLOOKUP(B210,bond!B:S,18,FALSE)="NO OFFER","無","需查詢"))</f>
        <v>有</v>
      </c>
      <c r="AL210" s="136" t="str">
        <f>IF(VLOOKUP(A210,bond!F:AR,39,FALSE)="#N/A Field Not Applicable",VLOOKUP(A210,bond!F:AR,38,FALSE),IFERROR(VLOOKUP(A210,'7_發行日例外'!A:B,2,FALSE),VLOOKUP(A210,bond!F:AR,39,FALSE)))</f>
        <v>2022/6/15</v>
      </c>
      <c r="AM210" s="136" t="str">
        <f ca="1">VLOOKUP(B210,bond!B:AK,36,FALSE)</f>
        <v>#N/A Field Not Applicable</v>
      </c>
      <c r="AN210" s="136" t="str">
        <f ca="1">IFERROR(VLOOKUP(B210,'3_是否下架'!A:A,1,FALSE),"")</f>
        <v/>
      </c>
      <c r="AO210" s="136">
        <f ca="1">VLOOKUP(B210,bond!B:J,9,FALSE)</f>
        <v>99.17</v>
      </c>
      <c r="AP210" s="136">
        <f ca="1">VLOOKUP(B210,bond!B:V,21,FALSE)</f>
        <v>2.7187999999999999</v>
      </c>
    </row>
    <row r="211" spans="1:42">
      <c r="A211" s="141" t="str">
        <f>bond!F212</f>
        <v>US037833EN61</v>
      </c>
      <c r="B211" s="151" t="str">
        <f ca="1">IF($C$1=TRUE,bond!B212,"")</f>
        <v>XH010</v>
      </c>
      <c r="C211" s="95" t="str">
        <f>VLOOKUP(A211,bond!F:G,2,FALSE)</f>
        <v>USD</v>
      </c>
      <c r="D211" s="142" t="str">
        <f ca="1">VLOOKUP(B211,bond!B:C,2,FALSE)</f>
        <v>蘋果公司美元配息債券 3.25% 2029/8/8</v>
      </c>
      <c r="E211" s="95" t="str">
        <f ca="1">VLOOKUP(B211,bond!B:D,3,FALSE)</f>
        <v>Aaa / AA+ / -</v>
      </c>
      <c r="F211" s="99" t="str">
        <f ca="1">VLOOKUP(B211,bond!B:AB,27,FALSE)</f>
        <v>2029/8/8</v>
      </c>
      <c r="G211" s="90">
        <f ca="1">VLOOKUP(B211,bond!B:E,4,FALSE)</f>
        <v>5.0999999999999996</v>
      </c>
      <c r="H211" s="202">
        <f ca="1">VLOOKUP(B211,bond!B:Y,24,FALSE)</f>
        <v>3.2500000000000001E-2</v>
      </c>
      <c r="I211" s="95">
        <f ca="1">VLOOKUP(B211,bond!B:Z,25,FALSE)</f>
        <v>2</v>
      </c>
      <c r="J211" s="180">
        <f ca="1">VLOOKUP(B211,bond!B:K,10,FALSE)</f>
        <v>1.3</v>
      </c>
      <c r="K211" s="96">
        <f ca="1">VLOOKUP($B211,bond!B:S,14,FALSE)</f>
        <v>96.93</v>
      </c>
      <c r="L211" s="91" t="str">
        <f ca="1">VLOOKUP(B211,bond!B:H,7,FALSE)</f>
        <v>2024/7/2</v>
      </c>
      <c r="M211" s="144">
        <f ca="1">VLOOKUP($B211,bond!$B:$Q,16,FALSE)</f>
        <v>4.2099999999999999E-2</v>
      </c>
      <c r="N211" s="136">
        <f ca="1">VALUE(LEFT(VLOOKUP(B211,bond!B:R,17,FALSE),SEARCH(" ",VLOOKUP(B211,bond!B:R,17,FALSE),1)))</f>
        <v>10000</v>
      </c>
      <c r="O211" s="136">
        <f ca="1">VALUE(RIGHT(VLOOKUP(B211,bond!B:R,17,FALSE),LEN(VLOOKUP(B211,bond!B:R,17,FALSE))-LEN(N211)-3))</f>
        <v>1000</v>
      </c>
      <c r="P211" s="135" t="str">
        <f ca="1">VLOOKUP($B211,bond!$B:$AG,32,FALSE)</f>
        <v>2024/8/8</v>
      </c>
      <c r="Q211" s="135" t="str">
        <f ca="1">VLOOKUP($B211,bond!$B:$AH,33,FALSE)</f>
        <v>科技</v>
      </c>
      <c r="R211" s="135" t="str">
        <f ca="1">VLOOKUP(B211,bond!B:AA,26,FALSE)</f>
        <v>蘋果公司</v>
      </c>
      <c r="S211" s="135" t="str">
        <f ca="1">VLOOKUP(B211,bond!B:AI,34,FALSE)</f>
        <v>AAPL</v>
      </c>
      <c r="T211" s="135" t="str">
        <f t="shared" ca="1" si="21"/>
        <v>蘋果公司/AAPL</v>
      </c>
      <c r="U211" s="207" t="str">
        <f ca="1">IFERROR(VLOOKUP(T211,Bond_DES!D:E,2,FALSE),VLOOKUP(S211,bond!AI:AJ,2,FALSE))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11" s="136" t="str">
        <f ca="1">IFERROR(VLOOKUP(B211,'1_重設數據'!L:M,2,FALSE),IF(Q211="政府",IF(AD211&gt;16,"(NPI)非專投",IF(AD211&gt;10,"(PI)專投","高資產")),IF(VLOOKUP(B211,bond!B:AN,39,FALSE)="Y","(PI)專投",IF(AD211&gt;=15,"(NPI)非專投",IF(AD211&gt;=10,"(PI)專投","高資產")))))</f>
        <v>(NPI)非專投</v>
      </c>
      <c r="W211" s="136" t="str">
        <f ca="1">VLOOKUP(AD211,'credit rating'!$F$2:$H$22,3,FALSE)</f>
        <v>AAA</v>
      </c>
      <c r="X211" s="136" t="str">
        <f t="shared" ca="1" si="22"/>
        <v>Aaa</v>
      </c>
      <c r="Y211" s="136" t="str">
        <f t="shared" ca="1" si="23"/>
        <v>AA+</v>
      </c>
      <c r="Z211" s="136" t="str">
        <f t="shared" ca="1" si="24"/>
        <v>-</v>
      </c>
      <c r="AA211" s="134">
        <f ca="1">IFERROR(VLOOKUP(X211,'credit rating'!A:C,3,FALSE),0)</f>
        <v>21</v>
      </c>
      <c r="AB211" s="134">
        <f ca="1">IFERROR(VLOOKUP(Y211,'credit rating'!B:C,2,FALSE),0)</f>
        <v>20</v>
      </c>
      <c r="AC211" s="136">
        <f ca="1">IFERROR(VLOOKUP(Z211,'credit rating'!B:C,2,FALSE),0)</f>
        <v>0</v>
      </c>
      <c r="AD211" s="136">
        <f t="shared" ca="1" si="25"/>
        <v>21</v>
      </c>
      <c r="AE211" s="249">
        <f ca="1">IFERROR(VLOOKUP(B211,bond!B:U,20,FALSE),"")</f>
        <v>4.24E-2</v>
      </c>
      <c r="AF211" s="136" t="str">
        <f ca="1">IF(VLOOKUP(B211,bond!B:AK,36,FALSE)="#N/A Field Not Applicable","",VLOOKUP(B211,bond!B:AK,36,FALSE))</f>
        <v>2029/6/8</v>
      </c>
      <c r="AG211" s="136" t="str">
        <f ca="1">IF(VLOOKUP(B211,bond!B:AL,37,FALSE)="FIXED","固定",IF(VLOOKUP(B211,bond!B:AL,37,FALSE)="FLOATING","浮動",IF(VLOOKUP(B211,bond!B:AL,37,FALSE)="VARIABLE","變動",IF(VLOOKUP(B211,bond!B:AL,37,FALSE)="FLAT TRADING","不含息交易",IF(VLOOKUP(B211,bond!B:AL,37,FALSE)="ZERO COUPON","零息",VLOOKUP(B211,bond!B:AL,37,FALSE))))))</f>
        <v>固定</v>
      </c>
      <c r="AH211" s="136" t="str">
        <f>VLOOKUP(C211,'2_Check_code'!I:J,2,FALSE)</f>
        <v>美元(USD)</v>
      </c>
      <c r="AI211" s="136" t="str">
        <f t="shared" ca="1" si="26"/>
        <v>自由選清單</v>
      </c>
      <c r="AJ211" s="136">
        <f t="shared" ca="1" si="27"/>
        <v>0</v>
      </c>
      <c r="AK211" s="594" t="str">
        <f ca="1">IF(VLOOKUP(B211,bond!B:S,18,FALSE)="是","有",IF(VLOOKUP(B211,bond!B:S,18,FALSE)="NO OFFER","無","需查詢"))</f>
        <v>有</v>
      </c>
      <c r="AL211" s="136" t="str">
        <f>IF(VLOOKUP(A211,bond!F:AR,39,FALSE)="#N/A Field Not Applicable",VLOOKUP(A211,bond!F:AR,38,FALSE),IFERROR(VLOOKUP(A211,'7_發行日例外'!A:B,2,FALSE),VLOOKUP(A211,bond!F:AR,39,FALSE)))</f>
        <v>2022/8/8</v>
      </c>
      <c r="AM211" s="136" t="str">
        <f ca="1">VLOOKUP(B211,bond!B:AK,36,FALSE)</f>
        <v>2029/6/8</v>
      </c>
      <c r="AN211" s="136" t="str">
        <f ca="1">IFERROR(VLOOKUP(B211,'3_是否下架'!A:A,1,FALSE),"")</f>
        <v/>
      </c>
      <c r="AO211" s="136">
        <f ca="1">VLOOKUP(B211,bond!B:J,9,FALSE)</f>
        <v>94.13000000000001</v>
      </c>
      <c r="AP211" s="136">
        <f ca="1">VLOOKUP(B211,bond!B:V,21,FALSE)</f>
        <v>4.5629</v>
      </c>
    </row>
    <row r="212" spans="1:42">
      <c r="A212" s="141" t="str">
        <f>bond!F213</f>
        <v>US037833EP10</v>
      </c>
      <c r="B212" s="151" t="str">
        <f ca="1">IF($C$1=TRUE,bond!B213,"")</f>
        <v>XH020</v>
      </c>
      <c r="C212" s="95" t="str">
        <f>VLOOKUP(A212,bond!F:G,2,FALSE)</f>
        <v>USD</v>
      </c>
      <c r="D212" s="142" t="str">
        <f ca="1">VLOOKUP(B212,bond!B:C,2,FALSE)</f>
        <v>蘋果公司美元配息債券 3.35% 2032/8/8</v>
      </c>
      <c r="E212" s="95" t="str">
        <f ca="1">VLOOKUP(B212,bond!B:D,3,FALSE)</f>
        <v>Aaa / AA+ / -</v>
      </c>
      <c r="F212" s="99" t="str">
        <f ca="1">VLOOKUP(B212,bond!B:AB,27,FALSE)</f>
        <v>2032/8/8</v>
      </c>
      <c r="G212" s="90">
        <f ca="1">VLOOKUP(B212,bond!B:E,4,FALSE)</f>
        <v>8.1</v>
      </c>
      <c r="H212" s="202">
        <f ca="1">VLOOKUP(B212,bond!B:Y,24,FALSE)</f>
        <v>3.3500000000000002E-2</v>
      </c>
      <c r="I212" s="95">
        <f ca="1">VLOOKUP(B212,bond!B:Z,25,FALSE)</f>
        <v>2</v>
      </c>
      <c r="J212" s="180">
        <f ca="1">VLOOKUP(B212,bond!B:K,10,FALSE)</f>
        <v>1.34</v>
      </c>
      <c r="K212" s="96">
        <f ca="1">VLOOKUP($B212,bond!B:S,14,FALSE)</f>
        <v>94.58</v>
      </c>
      <c r="L212" s="91" t="str">
        <f ca="1">VLOOKUP(B212,bond!B:H,7,FALSE)</f>
        <v>2024/7/2</v>
      </c>
      <c r="M212" s="144">
        <f ca="1">VLOOKUP($B212,bond!$B:$Q,16,FALSE)</f>
        <v>4.3499999999999997E-2</v>
      </c>
      <c r="N212" s="136">
        <f ca="1">VALUE(LEFT(VLOOKUP(B212,bond!B:R,17,FALSE),SEARCH(" ",VLOOKUP(B212,bond!B:R,17,FALSE),1)))</f>
        <v>10000</v>
      </c>
      <c r="O212" s="136">
        <f ca="1">VALUE(RIGHT(VLOOKUP(B212,bond!B:R,17,FALSE),LEN(VLOOKUP(B212,bond!B:R,17,FALSE))-LEN(N212)-3))</f>
        <v>1000</v>
      </c>
      <c r="P212" s="135" t="str">
        <f ca="1">VLOOKUP($B212,bond!$B:$AG,32,FALSE)</f>
        <v>2024/8/8</v>
      </c>
      <c r="Q212" s="135" t="str">
        <f ca="1">VLOOKUP($B212,bond!$B:$AH,33,FALSE)</f>
        <v>科技</v>
      </c>
      <c r="R212" s="135" t="str">
        <f ca="1">VLOOKUP(B212,bond!B:AA,26,FALSE)</f>
        <v>蘋果公司</v>
      </c>
      <c r="S212" s="135" t="str">
        <f ca="1">VLOOKUP(B212,bond!B:AI,34,FALSE)</f>
        <v>AAPL</v>
      </c>
      <c r="T212" s="135" t="str">
        <f t="shared" ca="1" si="21"/>
        <v>蘋果公司/AAPL</v>
      </c>
      <c r="U212" s="207" t="str">
        <f ca="1">IFERROR(VLOOKUP(T212,Bond_DES!D:E,2,FALSE),VLOOKUP(S212,bond!AI:AJ,2,FALSE))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12" s="136" t="str">
        <f ca="1">IFERROR(VLOOKUP(B212,'1_重設數據'!L:M,2,FALSE),IF(Q212="政府",IF(AD212&gt;16,"(NPI)非專投",IF(AD212&gt;10,"(PI)專投","高資產")),IF(VLOOKUP(B212,bond!B:AN,39,FALSE)="Y","(PI)專投",IF(AD212&gt;=15,"(NPI)非專投",IF(AD212&gt;=10,"(PI)專投","高資產")))))</f>
        <v>(NPI)非專投</v>
      </c>
      <c r="W212" s="136" t="str">
        <f ca="1">VLOOKUP(AD212,'credit rating'!$F$2:$H$22,3,FALSE)</f>
        <v>AAA</v>
      </c>
      <c r="X212" s="136" t="str">
        <f t="shared" ca="1" si="22"/>
        <v>Aaa</v>
      </c>
      <c r="Y212" s="136" t="str">
        <f t="shared" ca="1" si="23"/>
        <v>AA+</v>
      </c>
      <c r="Z212" s="136" t="str">
        <f t="shared" ca="1" si="24"/>
        <v>-</v>
      </c>
      <c r="AA212" s="134">
        <f ca="1">IFERROR(VLOOKUP(X212,'credit rating'!A:C,3,FALSE),0)</f>
        <v>21</v>
      </c>
      <c r="AB212" s="134">
        <f ca="1">IFERROR(VLOOKUP(Y212,'credit rating'!B:C,2,FALSE),0)</f>
        <v>20</v>
      </c>
      <c r="AC212" s="136">
        <f ca="1">IFERROR(VLOOKUP(Z212,'credit rating'!B:C,2,FALSE),0)</f>
        <v>0</v>
      </c>
      <c r="AD212" s="136">
        <f t="shared" ca="1" si="25"/>
        <v>21</v>
      </c>
      <c r="AE212" s="249">
        <f ca="1">IFERROR(VLOOKUP(B212,bond!B:U,20,FALSE),"")</f>
        <v>4.3799999999999999E-2</v>
      </c>
      <c r="AF212" s="136" t="str">
        <f ca="1">IF(VLOOKUP(B212,bond!B:AK,36,FALSE)="#N/A Field Not Applicable","",VLOOKUP(B212,bond!B:AK,36,FALSE))</f>
        <v>2032/5/8</v>
      </c>
      <c r="AG212" s="136" t="str">
        <f ca="1">IF(VLOOKUP(B212,bond!B:AL,37,FALSE)="FIXED","固定",IF(VLOOKUP(B212,bond!B:AL,37,FALSE)="FLOATING","浮動",IF(VLOOKUP(B212,bond!B:AL,37,FALSE)="VARIABLE","變動",IF(VLOOKUP(B212,bond!B:AL,37,FALSE)="FLAT TRADING","不含息交易",IF(VLOOKUP(B212,bond!B:AL,37,FALSE)="ZERO COUPON","零息",VLOOKUP(B212,bond!B:AL,37,FALSE))))))</f>
        <v>固定</v>
      </c>
      <c r="AH212" s="136" t="str">
        <f>VLOOKUP(C212,'2_Check_code'!I:J,2,FALSE)</f>
        <v>美元(USD)</v>
      </c>
      <c r="AI212" s="136" t="str">
        <f t="shared" ca="1" si="26"/>
        <v>自由選清單</v>
      </c>
      <c r="AJ212" s="136">
        <f t="shared" ca="1" si="27"/>
        <v>0</v>
      </c>
      <c r="AK212" s="594" t="str">
        <f ca="1">IF(VLOOKUP(B212,bond!B:S,18,FALSE)="是","有",IF(VLOOKUP(B212,bond!B:S,18,FALSE)="NO OFFER","無","需查詢"))</f>
        <v>有</v>
      </c>
      <c r="AL212" s="136" t="str">
        <f>IF(VLOOKUP(A212,bond!F:AR,39,FALSE)="#N/A Field Not Applicable",VLOOKUP(A212,bond!F:AR,38,FALSE),IFERROR(VLOOKUP(A212,'7_發行日例外'!A:B,2,FALSE),VLOOKUP(A212,bond!F:AR,39,FALSE)))</f>
        <v>2022/8/8</v>
      </c>
      <c r="AM212" s="136" t="str">
        <f ca="1">VLOOKUP(B212,bond!B:AK,36,FALSE)</f>
        <v>2032/5/8</v>
      </c>
      <c r="AN212" s="136" t="str">
        <f ca="1">IFERROR(VLOOKUP(B212,'3_是否下架'!A:A,1,FALSE),"")</f>
        <v/>
      </c>
      <c r="AO212" s="136">
        <f ca="1">VLOOKUP(B212,bond!B:J,9,FALSE)</f>
        <v>91.24</v>
      </c>
      <c r="AP212" s="136">
        <f ca="1">VLOOKUP(B212,bond!B:V,21,FALSE)</f>
        <v>6.8532999999999999</v>
      </c>
    </row>
    <row r="213" spans="1:42">
      <c r="A213" s="141" t="str">
        <f>bond!F214</f>
        <v>US30303M8H84</v>
      </c>
      <c r="B213" s="151" t="str">
        <f ca="1">IF($C$1=TRUE,bond!B214,"")</f>
        <v>XH030</v>
      </c>
      <c r="C213" s="95" t="str">
        <f>VLOOKUP(A213,bond!F:G,2,FALSE)</f>
        <v>USD</v>
      </c>
      <c r="D213" s="142" t="str">
        <f ca="1">VLOOKUP(B213,bond!B:C,2,FALSE)</f>
        <v>META平台公司美元配息債券 3.85% 2032/8/15</v>
      </c>
      <c r="E213" s="95" t="str">
        <f ca="1">VLOOKUP(B213,bond!B:D,3,FALSE)</f>
        <v>Aa3 / AA- / -</v>
      </c>
      <c r="F213" s="99" t="str">
        <f ca="1">VLOOKUP(B213,bond!B:AB,27,FALSE)</f>
        <v>2032/8/15</v>
      </c>
      <c r="G213" s="90">
        <f ca="1">VLOOKUP(B213,bond!B:E,4,FALSE)</f>
        <v>8.1199999999999992</v>
      </c>
      <c r="H213" s="202">
        <f ca="1">VLOOKUP(B213,bond!B:Y,24,FALSE)</f>
        <v>3.85E-2</v>
      </c>
      <c r="I213" s="95">
        <f ca="1">VLOOKUP(B213,bond!B:Z,25,FALSE)</f>
        <v>2</v>
      </c>
      <c r="J213" s="180">
        <f ca="1">VLOOKUP(B213,bond!B:K,10,FALSE)</f>
        <v>1.4651000000000001</v>
      </c>
      <c r="K213" s="96">
        <f ca="1">VLOOKUP($B213,bond!B:S,14,FALSE)</f>
        <v>96.96</v>
      </c>
      <c r="L213" s="91" t="str">
        <f ca="1">VLOOKUP(B213,bond!B:H,7,FALSE)</f>
        <v>2024/7/2</v>
      </c>
      <c r="M213" s="144">
        <f ca="1">VLOOKUP($B213,bond!$B:$Q,16,FALSE)</f>
        <v>4.5199999999999997E-2</v>
      </c>
      <c r="N213" s="136">
        <f ca="1">VALUE(LEFT(VLOOKUP(B213,bond!B:R,17,FALSE),SEARCH(" ",VLOOKUP(B213,bond!B:R,17,FALSE),1)))</f>
        <v>10000</v>
      </c>
      <c r="O213" s="136">
        <f ca="1">VALUE(RIGHT(VLOOKUP(B213,bond!B:R,17,FALSE),LEN(VLOOKUP(B213,bond!B:R,17,FALSE))-LEN(N213)-3))</f>
        <v>1000</v>
      </c>
      <c r="P213" s="135" t="str">
        <f ca="1">VLOOKUP($B213,bond!$B:$AG,32,FALSE)</f>
        <v>2024/8/15</v>
      </c>
      <c r="Q213" s="135" t="str">
        <f ca="1">VLOOKUP($B213,bond!$B:$AH,33,FALSE)</f>
        <v>通訊</v>
      </c>
      <c r="R213" s="135" t="str">
        <f ca="1">VLOOKUP(B213,bond!B:AA,26,FALSE)</f>
        <v>Meta平台公司</v>
      </c>
      <c r="S213" s="135" t="str">
        <f ca="1">VLOOKUP(B213,bond!B:AI,34,FALSE)</f>
        <v>META</v>
      </c>
      <c r="T213" s="135" t="str">
        <f t="shared" ca="1" si="21"/>
        <v>Meta平台公司/META</v>
      </c>
      <c r="U213" s="207" t="str">
        <f ca="1">IFERROR(VLOOKUP(T213,Bond_DES!D:E,2,FALSE),VLOOKUP(S213,bond!AI:AJ,2,FALSE))</f>
        <v>Meta平台公司(Meta Platforms, Inc.)前身為Facebook, Inc.，是美國一家經營社群網路、虛擬實境、元宇宙等產品的網際網路科技公司，擁有全球最大的社群網路，旗下最知名的社群媒體平台為Facebook，同時還擁有Instagram、WhatsApp及Messenger等社群軟體平台，亦是全球市佔第二大的數位廣告收入公司(僅次於Google)。</v>
      </c>
      <c r="V213" s="136" t="str">
        <f ca="1">IFERROR(VLOOKUP(B213,'1_重設數據'!L:M,2,FALSE),IF(Q213="政府",IF(AD213&gt;16,"(NPI)非專投",IF(AD213&gt;10,"(PI)專投","高資產")),IF(VLOOKUP(B213,bond!B:AN,39,FALSE)="Y","(PI)專投",IF(AD213&gt;=15,"(NPI)非專投",IF(AD213&gt;=10,"(PI)專投","高資產")))))</f>
        <v>(NPI)非專投</v>
      </c>
      <c r="W213" s="136" t="str">
        <f ca="1">VLOOKUP(AD213,'credit rating'!$F$2:$H$22,3,FALSE)</f>
        <v>AA-</v>
      </c>
      <c r="X213" s="136" t="str">
        <f t="shared" ca="1" si="22"/>
        <v>Aa3</v>
      </c>
      <c r="Y213" s="136" t="str">
        <f t="shared" ca="1" si="23"/>
        <v>AA-</v>
      </c>
      <c r="Z213" s="136" t="str">
        <f t="shared" ca="1" si="24"/>
        <v>-</v>
      </c>
      <c r="AA213" s="134">
        <f ca="1">IFERROR(VLOOKUP(X213,'credit rating'!A:C,3,FALSE),0)</f>
        <v>18</v>
      </c>
      <c r="AB213" s="134">
        <f ca="1">IFERROR(VLOOKUP(Y213,'credit rating'!B:C,2,FALSE),0)</f>
        <v>18</v>
      </c>
      <c r="AC213" s="136">
        <f ca="1">IFERROR(VLOOKUP(Z213,'credit rating'!B:C,2,FALSE),0)</f>
        <v>0</v>
      </c>
      <c r="AD213" s="136">
        <f t="shared" ca="1" si="25"/>
        <v>18</v>
      </c>
      <c r="AE213" s="249">
        <f ca="1">IFERROR(VLOOKUP(B213,bond!B:U,20,FALSE),"")</f>
        <v>4.5400000000000003E-2</v>
      </c>
      <c r="AF213" s="136" t="str">
        <f ca="1">IF(VLOOKUP(B213,bond!B:AK,36,FALSE)="#N/A Field Not Applicable","",VLOOKUP(B213,bond!B:AK,36,FALSE))</f>
        <v>2032/5/15</v>
      </c>
      <c r="AG213" s="136" t="str">
        <f ca="1">IF(VLOOKUP(B213,bond!B:AL,37,FALSE)="FIXED","固定",IF(VLOOKUP(B213,bond!B:AL,37,FALSE)="FLOATING","浮動",IF(VLOOKUP(B213,bond!B:AL,37,FALSE)="VARIABLE","變動",IF(VLOOKUP(B213,bond!B:AL,37,FALSE)="FLAT TRADING","不含息交易",IF(VLOOKUP(B213,bond!B:AL,37,FALSE)="ZERO COUPON","零息",VLOOKUP(B213,bond!B:AL,37,FALSE))))))</f>
        <v>固定</v>
      </c>
      <c r="AH213" s="136" t="str">
        <f>VLOOKUP(C213,'2_Check_code'!I:J,2,FALSE)</f>
        <v>美元(USD)</v>
      </c>
      <c r="AI213" s="136" t="str">
        <f t="shared" ca="1" si="26"/>
        <v>自由選清單</v>
      </c>
      <c r="AJ213" s="136">
        <f t="shared" ca="1" si="27"/>
        <v>0</v>
      </c>
      <c r="AK213" s="594" t="str">
        <f ca="1">IF(VLOOKUP(B213,bond!B:S,18,FALSE)="是","有",IF(VLOOKUP(B213,bond!B:S,18,FALSE)="NO OFFER","無","需查詢"))</f>
        <v>有</v>
      </c>
      <c r="AL213" s="136" t="str">
        <f>IF(VLOOKUP(A213,bond!F:AR,39,FALSE)="#N/A Field Not Applicable",VLOOKUP(A213,bond!F:AR,38,FALSE),IFERROR(VLOOKUP(A213,'7_發行日例外'!A:B,2,FALSE),VLOOKUP(A213,bond!F:AR,39,FALSE)))</f>
        <v>2022/8/9</v>
      </c>
      <c r="AM213" s="136" t="str">
        <f ca="1">VLOOKUP(B213,bond!B:AK,36,FALSE)</f>
        <v>2032/5/15</v>
      </c>
      <c r="AN213" s="136" t="str">
        <f ca="1">IFERROR(VLOOKUP(B213,'3_是否下架'!A:A,1,FALSE),"")</f>
        <v/>
      </c>
      <c r="AO213" s="136">
        <f ca="1">VLOOKUP(B213,bond!B:J,9,FALSE)</f>
        <v>93.490000000000009</v>
      </c>
      <c r="AP213" s="136">
        <f ca="1">VLOOKUP(B213,bond!B:V,21,FALSE)</f>
        <v>6.7439</v>
      </c>
    </row>
    <row r="214" spans="1:42">
      <c r="A214" s="141" t="str">
        <f>bond!F215</f>
        <v>US30303M8J41</v>
      </c>
      <c r="B214" s="151" t="str">
        <f ca="1">IF($C$1=TRUE,bond!B215,"")</f>
        <v>XH040</v>
      </c>
      <c r="C214" s="95" t="str">
        <f>VLOOKUP(A214,bond!F:G,2,FALSE)</f>
        <v>USD</v>
      </c>
      <c r="D214" s="142" t="str">
        <f ca="1">VLOOKUP(B214,bond!B:C,2,FALSE)</f>
        <v>META平台公司美元配息債券 4.45% 2052/8/15</v>
      </c>
      <c r="E214" s="95" t="str">
        <f ca="1">VLOOKUP(B214,bond!B:D,3,FALSE)</f>
        <v>Aa3 / AA- / -</v>
      </c>
      <c r="F214" s="99" t="str">
        <f ca="1">VLOOKUP(B214,bond!B:AB,27,FALSE)</f>
        <v>2052/8/15</v>
      </c>
      <c r="G214" s="90">
        <f ca="1">VLOOKUP(B214,bond!B:E,4,FALSE)</f>
        <v>28.12</v>
      </c>
      <c r="H214" s="202">
        <f ca="1">VLOOKUP(B214,bond!B:Y,24,FALSE)</f>
        <v>4.4500000000000005E-2</v>
      </c>
      <c r="I214" s="95">
        <f ca="1">VLOOKUP(B214,bond!B:Z,25,FALSE)</f>
        <v>2</v>
      </c>
      <c r="J214" s="180">
        <f ca="1">VLOOKUP(B214,bond!B:K,10,FALSE)</f>
        <v>1.6935</v>
      </c>
      <c r="K214" s="96">
        <f ca="1">VLOOKUP($B214,bond!B:S,14,FALSE)</f>
        <v>91.89</v>
      </c>
      <c r="L214" s="91" t="str">
        <f ca="1">VLOOKUP(B214,bond!B:H,7,FALSE)</f>
        <v>2024/7/2</v>
      </c>
      <c r="M214" s="144">
        <f ca="1">VLOOKUP($B214,bond!$B:$Q,16,FALSE)</f>
        <v>5.11E-2</v>
      </c>
      <c r="N214" s="136">
        <f ca="1">VALUE(LEFT(VLOOKUP(B214,bond!B:R,17,FALSE),SEARCH(" ",VLOOKUP(B214,bond!B:R,17,FALSE),1)))</f>
        <v>10000</v>
      </c>
      <c r="O214" s="136">
        <f ca="1">VALUE(RIGHT(VLOOKUP(B214,bond!B:R,17,FALSE),LEN(VLOOKUP(B214,bond!B:R,17,FALSE))-LEN(N214)-3))</f>
        <v>1000</v>
      </c>
      <c r="P214" s="135" t="str">
        <f ca="1">VLOOKUP($B214,bond!$B:$AG,32,FALSE)</f>
        <v>2024/8/15</v>
      </c>
      <c r="Q214" s="135" t="str">
        <f ca="1">VLOOKUP($B214,bond!$B:$AH,33,FALSE)</f>
        <v>通訊</v>
      </c>
      <c r="R214" s="135" t="str">
        <f ca="1">VLOOKUP(B214,bond!B:AA,26,FALSE)</f>
        <v>Meta平台公司</v>
      </c>
      <c r="S214" s="135" t="str">
        <f ca="1">VLOOKUP(B214,bond!B:AI,34,FALSE)</f>
        <v>META</v>
      </c>
      <c r="T214" s="135" t="str">
        <f t="shared" ca="1" si="21"/>
        <v>Meta平台公司/META</v>
      </c>
      <c r="U214" s="207" t="str">
        <f ca="1">IFERROR(VLOOKUP(T214,Bond_DES!D:E,2,FALSE),VLOOKUP(S214,bond!AI:AJ,2,FALSE))</f>
        <v>Meta平台公司(Meta Platforms, Inc.)前身為Facebook, Inc.，是美國一家經營社群網路、虛擬實境、元宇宙等產品的網際網路科技公司，擁有全球最大的社群網路，旗下最知名的社群媒體平台為Facebook，同時還擁有Instagram、WhatsApp及Messenger等社群軟體平台，亦是全球市佔第二大的數位廣告收入公司(僅次於Google)。</v>
      </c>
      <c r="V214" s="136" t="str">
        <f ca="1">IFERROR(VLOOKUP(B214,'1_重設數據'!L:M,2,FALSE),IF(Q214="政府",IF(AD214&gt;16,"(NPI)非專投",IF(AD214&gt;10,"(PI)專投","高資產")),IF(VLOOKUP(B214,bond!B:AN,39,FALSE)="Y","(PI)專投",IF(AD214&gt;=15,"(NPI)非專投",IF(AD214&gt;=10,"(PI)專投","高資產")))))</f>
        <v>(NPI)非專投</v>
      </c>
      <c r="W214" s="136" t="str">
        <f ca="1">VLOOKUP(AD214,'credit rating'!$F$2:$H$22,3,FALSE)</f>
        <v>AA-</v>
      </c>
      <c r="X214" s="136" t="str">
        <f t="shared" ca="1" si="22"/>
        <v>Aa3</v>
      </c>
      <c r="Y214" s="136" t="str">
        <f t="shared" ca="1" si="23"/>
        <v>AA-</v>
      </c>
      <c r="Z214" s="136" t="str">
        <f t="shared" ca="1" si="24"/>
        <v>-</v>
      </c>
      <c r="AA214" s="134">
        <f ca="1">IFERROR(VLOOKUP(X214,'credit rating'!A:C,3,FALSE),0)</f>
        <v>18</v>
      </c>
      <c r="AB214" s="134">
        <f ca="1">IFERROR(VLOOKUP(Y214,'credit rating'!B:C,2,FALSE),0)</f>
        <v>18</v>
      </c>
      <c r="AC214" s="136">
        <f ca="1">IFERROR(VLOOKUP(Z214,'credit rating'!B:C,2,FALSE),0)</f>
        <v>0</v>
      </c>
      <c r="AD214" s="136">
        <f t="shared" ca="1" si="25"/>
        <v>18</v>
      </c>
      <c r="AE214" s="249">
        <f ca="1">IFERROR(VLOOKUP(B214,bond!B:U,20,FALSE),"")</f>
        <v>5.1200000000000002E-2</v>
      </c>
      <c r="AF214" s="136" t="str">
        <f ca="1">IF(VLOOKUP(B214,bond!B:AK,36,FALSE)="#N/A Field Not Applicable","",VLOOKUP(B214,bond!B:AK,36,FALSE))</f>
        <v>2052/2/15</v>
      </c>
      <c r="AG214" s="136" t="str">
        <f ca="1">IF(VLOOKUP(B214,bond!B:AL,37,FALSE)="FIXED","固定",IF(VLOOKUP(B214,bond!B:AL,37,FALSE)="FLOATING","浮動",IF(VLOOKUP(B214,bond!B:AL,37,FALSE)="VARIABLE","變動",IF(VLOOKUP(B214,bond!B:AL,37,FALSE)="FLAT TRADING","不含息交易",IF(VLOOKUP(B214,bond!B:AL,37,FALSE)="ZERO COUPON","零息",VLOOKUP(B214,bond!B:AL,37,FALSE))))))</f>
        <v>固定</v>
      </c>
      <c r="AH214" s="136" t="str">
        <f>VLOOKUP(C214,'2_Check_code'!I:J,2,FALSE)</f>
        <v>美元(USD)</v>
      </c>
      <c r="AI214" s="136" t="str">
        <f t="shared" ca="1" si="26"/>
        <v>自由選清單</v>
      </c>
      <c r="AJ214" s="136">
        <f t="shared" ca="1" si="27"/>
        <v>0</v>
      </c>
      <c r="AK214" s="594" t="str">
        <f ca="1">IF(VLOOKUP(B214,bond!B:S,18,FALSE)="是","有",IF(VLOOKUP(B214,bond!B:S,18,FALSE)="NO OFFER","無","需查詢"))</f>
        <v>有</v>
      </c>
      <c r="AL214" s="136" t="str">
        <f>IF(VLOOKUP(A214,bond!F:AR,39,FALSE)="#N/A Field Not Applicable",VLOOKUP(A214,bond!F:AR,38,FALSE),IFERROR(VLOOKUP(A214,'7_發行日例外'!A:B,2,FALSE),VLOOKUP(A214,bond!F:AR,39,FALSE)))</f>
        <v>2022/8/9</v>
      </c>
      <c r="AM214" s="136" t="str">
        <f ca="1">VLOOKUP(B214,bond!B:AK,36,FALSE)</f>
        <v>2052/2/15</v>
      </c>
      <c r="AN214" s="136" t="str">
        <f ca="1">IFERROR(VLOOKUP(B214,'3_是否下架'!A:A,1,FALSE),"")</f>
        <v/>
      </c>
      <c r="AO214" s="136">
        <f ca="1">VLOOKUP(B214,bond!B:J,9,FALSE)</f>
        <v>86.7</v>
      </c>
      <c r="AP214" s="136">
        <f ca="1">VLOOKUP(B214,bond!B:V,21,FALSE)</f>
        <v>14.818899999999999</v>
      </c>
    </row>
    <row r="215" spans="1:42">
      <c r="A215" s="141" t="str">
        <f>bond!F216</f>
        <v>US194162AP89</v>
      </c>
      <c r="B215" s="151" t="str">
        <f ca="1">IF($C$1=TRUE,bond!B216,"")</f>
        <v>XH050</v>
      </c>
      <c r="C215" s="95" t="str">
        <f>VLOOKUP(A215,bond!F:G,2,FALSE)</f>
        <v>USD</v>
      </c>
      <c r="D215" s="142" t="str">
        <f ca="1">VLOOKUP(B215,bond!B:C,2,FALSE)</f>
        <v>高露潔-棕欖公司美元配息債券 3.25% 2032/8/15</v>
      </c>
      <c r="E215" s="95" t="str">
        <f ca="1">VLOOKUP(B215,bond!B:D,3,FALSE)</f>
        <v>Aa3 / A+ / -</v>
      </c>
      <c r="F215" s="99" t="str">
        <f ca="1">VLOOKUP(B215,bond!B:AB,27,FALSE)</f>
        <v>2032/8/15</v>
      </c>
      <c r="G215" s="90">
        <f ca="1">VLOOKUP(B215,bond!B:E,4,FALSE)</f>
        <v>8.1199999999999992</v>
      </c>
      <c r="H215" s="202">
        <f ca="1">VLOOKUP(B215,bond!B:Y,24,FALSE)</f>
        <v>3.2500000000000001E-2</v>
      </c>
      <c r="I215" s="95">
        <f ca="1">VLOOKUP(B215,bond!B:Z,25,FALSE)</f>
        <v>2</v>
      </c>
      <c r="J215" s="180">
        <f ca="1">VLOOKUP(B215,bond!B:K,10,FALSE)</f>
        <v>1.2367999999999999</v>
      </c>
      <c r="K215" s="96">
        <f ca="1">VLOOKUP($B215,bond!B:S,14,FALSE)</f>
        <v>93.26</v>
      </c>
      <c r="L215" s="91" t="str">
        <f ca="1">VLOOKUP(B215,bond!B:H,7,FALSE)</f>
        <v>2024/7/2</v>
      </c>
      <c r="M215" s="144">
        <f ca="1">VLOOKUP($B215,bond!$B:$Q,16,FALSE)</f>
        <v>4.4299999999999999E-2</v>
      </c>
      <c r="N215" s="136">
        <f ca="1">VALUE(LEFT(VLOOKUP(B215,bond!B:R,17,FALSE),SEARCH(" ",VLOOKUP(B215,bond!B:R,17,FALSE),1)))</f>
        <v>10000</v>
      </c>
      <c r="O215" s="136">
        <f ca="1">VALUE(RIGHT(VLOOKUP(B215,bond!B:R,17,FALSE),LEN(VLOOKUP(B215,bond!B:R,17,FALSE))-LEN(N215)-3))</f>
        <v>1000</v>
      </c>
      <c r="P215" s="135" t="str">
        <f ca="1">VLOOKUP($B215,bond!$B:$AG,32,FALSE)</f>
        <v>2024/8/15</v>
      </c>
      <c r="Q215" s="135" t="str">
        <f ca="1">VLOOKUP($B215,bond!$B:$AH,33,FALSE)</f>
        <v>核心消費</v>
      </c>
      <c r="R215" s="135" t="str">
        <f ca="1">VLOOKUP(B215,bond!B:AA,26,FALSE)</f>
        <v>高露潔-棕欖公司</v>
      </c>
      <c r="S215" s="135" t="str">
        <f ca="1">VLOOKUP(B215,bond!B:AI,34,FALSE)</f>
        <v>CL</v>
      </c>
      <c r="T215" s="135" t="str">
        <f t="shared" ca="1" si="21"/>
        <v>高露潔-棕欖公司/CL</v>
      </c>
      <c r="U215" s="207" t="str">
        <f ca="1">IFERROR(VLOOKUP(T215,Bond_DES!D:E,2,FALSE),VLOOKUP(S215,bond!AI:AJ,2,FALSE))</f>
        <v>高露潔-棕欖公司(Colgate-Palmolive Company)是全球最大的牙膏、手動牙刷與香皂企業，華人地區知名的「黑人牙膏(現已改名為好來)」即為其子品牌。高露潔產品分為兩大類別「口腔、個人和家庭護理」以及「寵物營養」，其中以牙膏及手動牙刷為營收主要來源，但近10年來，旗下寵物營養業務營收比重攀升，成為公司成長較快的業務領域。</v>
      </c>
      <c r="V215" s="136" t="str">
        <f ca="1">IFERROR(VLOOKUP(B215,'1_重設數據'!L:M,2,FALSE),IF(Q215="政府",IF(AD215&gt;16,"(NPI)非專投",IF(AD215&gt;10,"(PI)專投","高資產")),IF(VLOOKUP(B215,bond!B:AN,39,FALSE)="Y","(PI)專投",IF(AD215&gt;=15,"(NPI)非專投",IF(AD215&gt;=10,"(PI)專投","高資產")))))</f>
        <v>(NPI)非專投</v>
      </c>
      <c r="W215" s="136" t="str">
        <f ca="1">VLOOKUP(AD215,'credit rating'!$F$2:$H$22,3,FALSE)</f>
        <v>AA-</v>
      </c>
      <c r="X215" s="136" t="str">
        <f t="shared" ca="1" si="22"/>
        <v>Aa3</v>
      </c>
      <c r="Y215" s="136" t="str">
        <f t="shared" ca="1" si="23"/>
        <v>A+</v>
      </c>
      <c r="Z215" s="136" t="str">
        <f t="shared" ca="1" si="24"/>
        <v>-</v>
      </c>
      <c r="AA215" s="134">
        <f ca="1">IFERROR(VLOOKUP(X215,'credit rating'!A:C,3,FALSE),0)</f>
        <v>18</v>
      </c>
      <c r="AB215" s="134">
        <f ca="1">IFERROR(VLOOKUP(Y215,'credit rating'!B:C,2,FALSE),0)</f>
        <v>17</v>
      </c>
      <c r="AC215" s="136">
        <f ca="1">IFERROR(VLOOKUP(Z215,'credit rating'!B:C,2,FALSE),0)</f>
        <v>0</v>
      </c>
      <c r="AD215" s="136">
        <f t="shared" ca="1" si="25"/>
        <v>18</v>
      </c>
      <c r="AE215" s="249">
        <f ca="1">IFERROR(VLOOKUP(B215,bond!B:U,20,FALSE),"")</f>
        <v>4.4600000000000001E-2</v>
      </c>
      <c r="AF215" s="136" t="str">
        <f ca="1">IF(VLOOKUP(B215,bond!B:AK,36,FALSE)="#N/A Field Not Applicable","",VLOOKUP(B215,bond!B:AK,36,FALSE))</f>
        <v>2032/5/15</v>
      </c>
      <c r="AG215" s="136" t="str">
        <f ca="1">IF(VLOOKUP(B215,bond!B:AL,37,FALSE)="FIXED","固定",IF(VLOOKUP(B215,bond!B:AL,37,FALSE)="FLOATING","浮動",IF(VLOOKUP(B215,bond!B:AL,37,FALSE)="VARIABLE","變動",IF(VLOOKUP(B215,bond!B:AL,37,FALSE)="FLAT TRADING","不含息交易",IF(VLOOKUP(B215,bond!B:AL,37,FALSE)="ZERO COUPON","零息",VLOOKUP(B215,bond!B:AL,37,FALSE))))))</f>
        <v>固定</v>
      </c>
      <c r="AH215" s="136" t="str">
        <f>VLOOKUP(C215,'2_Check_code'!I:J,2,FALSE)</f>
        <v>美元(USD)</v>
      </c>
      <c r="AI215" s="136" t="str">
        <f t="shared" ca="1" si="26"/>
        <v>自由選清單</v>
      </c>
      <c r="AJ215" s="136">
        <f t="shared" ca="1" si="27"/>
        <v>0</v>
      </c>
      <c r="AK215" s="594" t="str">
        <f ca="1">IF(VLOOKUP(B215,bond!B:S,18,FALSE)="是","有",IF(VLOOKUP(B215,bond!B:S,18,FALSE)="NO OFFER","無","需查詢"))</f>
        <v>有</v>
      </c>
      <c r="AL215" s="136" t="str">
        <f>IF(VLOOKUP(A215,bond!F:AR,39,FALSE)="#N/A Field Not Applicable",VLOOKUP(A215,bond!F:AR,38,FALSE),IFERROR(VLOOKUP(A215,'7_發行日例外'!A:B,2,FALSE),VLOOKUP(A215,bond!F:AR,39,FALSE)))</f>
        <v>2022/8/9</v>
      </c>
      <c r="AM215" s="136" t="str">
        <f ca="1">VLOOKUP(B215,bond!B:AK,36,FALSE)</f>
        <v>2032/5/15</v>
      </c>
      <c r="AN215" s="136" t="str">
        <f ca="1">IFERROR(VLOOKUP(B215,'3_是否下架'!A:A,1,FALSE),"")</f>
        <v/>
      </c>
      <c r="AO215" s="136">
        <f ca="1">VLOOKUP(B215,bond!B:J,9,FALSE)</f>
        <v>90.02000000000001</v>
      </c>
      <c r="AP215" s="136">
        <f ca="1">VLOOKUP(B215,bond!B:V,21,FALSE)</f>
        <v>6.8879999999999999</v>
      </c>
    </row>
    <row r="216" spans="1:42">
      <c r="A216" s="141" t="str">
        <f>bond!F217</f>
        <v>XS2454678009</v>
      </c>
      <c r="B216" s="151" t="str">
        <f ca="1">IF($C$1=TRUE,bond!B217,"")</f>
        <v>XH060</v>
      </c>
      <c r="C216" s="95" t="str">
        <f>VLOOKUP(A216,bond!F:G,2,FALSE)</f>
        <v>CNY</v>
      </c>
      <c r="D216" s="142" t="str">
        <f ca="1">VLOOKUP(B216,bond!B:C,2,FALSE)</f>
        <v>卡達國家銀行金融有限公司人民幣配息債券 4% 2027/3/14</v>
      </c>
      <c r="E216" s="95" t="str">
        <f ca="1">VLOOKUP(B216,bond!B:D,3,FALSE)</f>
        <v>Aa3 / - / -</v>
      </c>
      <c r="F216" s="99" t="str">
        <f ca="1">VLOOKUP(B216,bond!B:AB,27,FALSE)</f>
        <v>2027/3/14</v>
      </c>
      <c r="G216" s="90">
        <f ca="1">VLOOKUP(B216,bond!B:E,4,FALSE)</f>
        <v>2.69</v>
      </c>
      <c r="H216" s="202">
        <f ca="1">VLOOKUP(B216,bond!B:Y,24,FALSE)</f>
        <v>0.04</v>
      </c>
      <c r="I216" s="95">
        <f ca="1">VLOOKUP(B216,bond!B:Z,25,FALSE)</f>
        <v>1</v>
      </c>
      <c r="J216" s="180">
        <f ca="1">VLOOKUP(B216,bond!B:K,10,FALSE)</f>
        <v>1.2163999999999999</v>
      </c>
      <c r="K216" s="96">
        <f ca="1">VLOOKUP($B216,bond!B:S,14,FALSE)</f>
        <v>105.26</v>
      </c>
      <c r="L216" s="91" t="str">
        <f ca="1">VLOOKUP(B216,bond!B:H,7,FALSE)</f>
        <v>2024/7/3</v>
      </c>
      <c r="M216" s="144">
        <f ca="1">VLOOKUP($B216,bond!$B:$Q,16,FALSE)</f>
        <v>2.4299999999999999E-2</v>
      </c>
      <c r="N216" s="136">
        <f ca="1">VALUE(LEFT(VLOOKUP(B216,bond!B:R,17,FALSE),SEARCH(" ",VLOOKUP(B216,bond!B:R,17,FALSE),1)))</f>
        <v>1000000</v>
      </c>
      <c r="O216" s="136">
        <f ca="1">VALUE(RIGHT(VLOOKUP(B216,bond!B:R,17,FALSE),LEN(VLOOKUP(B216,bond!B:R,17,FALSE))-LEN(N216)-3))</f>
        <v>10000</v>
      </c>
      <c r="P216" s="135" t="str">
        <f ca="1">VLOOKUP($B216,bond!$B:$AG,32,FALSE)</f>
        <v>2025/3/14</v>
      </c>
      <c r="Q216" s="135" t="str">
        <f ca="1">VLOOKUP($B216,bond!$B:$AH,33,FALSE)</f>
        <v>金融</v>
      </c>
      <c r="R216" s="135" t="str">
        <f ca="1">VLOOKUP(B216,bond!B:AA,26,FALSE)</f>
        <v>卡達國家銀行金融有限公司</v>
      </c>
      <c r="S216" s="135" t="str">
        <f ca="1">VLOOKUP(B216,bond!B:AI,34,FALSE)</f>
        <v>QNBK</v>
      </c>
      <c r="T216" s="135" t="str">
        <f t="shared" ca="1" si="21"/>
        <v>卡達國家銀行金融有限公司/QNBK</v>
      </c>
      <c r="U216" s="207" t="str">
        <f ca="1">IFERROR(VLOOKUP(T216,Bond_DES!D:E,2,FALSE),VLOOKUP(S216,bond!AI:AJ,2,FALSE))</f>
        <v>卡達國家銀行金融有限公司(QNB Finance Ltd)為卡達國家銀行集團旗下的一家特殊目的機構；本券保證機構卡達國家銀行(Qatar National Bank (Q.P.S.C.))是卡達第一家國有商業銀行，卡達投資局(QIA)持股50%，按資產排名，QNB是中東和非洲(MEA)最大的銀行，且是中東最具價值銀行品牌。</v>
      </c>
      <c r="V216" s="136" t="str">
        <f ca="1">IFERROR(VLOOKUP(B216,'1_重設數據'!L:M,2,FALSE),IF(Q216="政府",IF(AD216&gt;16,"(NPI)非專投",IF(AD216&gt;10,"(PI)專投","高資產")),IF(VLOOKUP(B216,bond!B:AN,39,FALSE)="Y","(PI)專投",IF(AD216&gt;=15,"(NPI)非專投",IF(AD216&gt;=10,"(PI)專投","高資產")))))</f>
        <v>(NPI)非專投</v>
      </c>
      <c r="W216" s="136" t="str">
        <f ca="1">VLOOKUP(AD216,'credit rating'!$F$2:$H$22,3,FALSE)</f>
        <v>AA-</v>
      </c>
      <c r="X216" s="136" t="str">
        <f t="shared" ca="1" si="22"/>
        <v>Aa3</v>
      </c>
      <c r="Y216" s="136" t="str">
        <f t="shared" ca="1" si="23"/>
        <v>-</v>
      </c>
      <c r="Z216" s="136" t="str">
        <f t="shared" ca="1" si="24"/>
        <v>-</v>
      </c>
      <c r="AA216" s="134">
        <f ca="1">IFERROR(VLOOKUP(X216,'credit rating'!A:C,3,FALSE),0)</f>
        <v>18</v>
      </c>
      <c r="AB216" s="134">
        <f ca="1">IFERROR(VLOOKUP(Y216,'credit rating'!B:C,2,FALSE),0)</f>
        <v>0</v>
      </c>
      <c r="AC216" s="136">
        <f ca="1">IFERROR(VLOOKUP(Z216,'credit rating'!B:C,2,FALSE),0)</f>
        <v>0</v>
      </c>
      <c r="AD216" s="136">
        <f t="shared" ca="1" si="25"/>
        <v>18</v>
      </c>
      <c r="AE216" s="249" t="str">
        <f ca="1">IFERROR(VLOOKUP(B216,bond!B:U,20,FALSE),"")</f>
        <v xml:space="preserve"> </v>
      </c>
      <c r="AF216" s="136" t="str">
        <f ca="1">IF(VLOOKUP(B216,bond!B:AK,36,FALSE)="#N/A Field Not Applicable","",VLOOKUP(B216,bond!B:AK,36,FALSE))</f>
        <v/>
      </c>
      <c r="AG216" s="136" t="str">
        <f ca="1">IF(VLOOKUP(B216,bond!B:AL,37,FALSE)="FIXED","固定",IF(VLOOKUP(B216,bond!B:AL,37,FALSE)="FLOATING","浮動",IF(VLOOKUP(B216,bond!B:AL,37,FALSE)="VARIABLE","變動",IF(VLOOKUP(B216,bond!B:AL,37,FALSE)="FLAT TRADING","不含息交易",IF(VLOOKUP(B216,bond!B:AL,37,FALSE)="ZERO COUPON","零息",VLOOKUP(B216,bond!B:AL,37,FALSE))))))</f>
        <v>固定</v>
      </c>
      <c r="AH216" s="136" t="str">
        <f>VLOOKUP(C216,'2_Check_code'!I:J,2,FALSE)</f>
        <v>人民幣(CNY)</v>
      </c>
      <c r="AI216" s="136" t="str">
        <f t="shared" ca="1" si="26"/>
        <v/>
      </c>
      <c r="AJ216" s="136">
        <f t="shared" ca="1" si="27"/>
        <v>1</v>
      </c>
      <c r="AK216" s="594" t="str">
        <f ca="1">IF(VLOOKUP(B216,bond!B:S,18,FALSE)="是","有",IF(VLOOKUP(B216,bond!B:S,18,FALSE)="NO OFFER","無","需查詢"))</f>
        <v>需查詢</v>
      </c>
      <c r="AL216" s="136" t="str">
        <f>IF(VLOOKUP(A216,bond!F:AR,39,FALSE)="#N/A Field Not Applicable",VLOOKUP(A216,bond!F:AR,38,FALSE),IFERROR(VLOOKUP(A216,'7_發行日例外'!A:B,2,FALSE),VLOOKUP(A216,bond!F:AR,39,FALSE)))</f>
        <v>2022/3/14</v>
      </c>
      <c r="AM216" s="136" t="str">
        <f ca="1">VLOOKUP(B216,bond!B:AK,36,FALSE)</f>
        <v>#N/A Field Not Applicable</v>
      </c>
      <c r="AN216" s="136" t="str">
        <f ca="1">IFERROR(VLOOKUP(B216,'3_是否下架'!A:A,1,FALSE),"")</f>
        <v>XH060</v>
      </c>
      <c r="AO216" s="136">
        <f ca="1">VLOOKUP(B216,bond!B:J,9,FALSE)</f>
        <v>103.04</v>
      </c>
      <c r="AP216" s="136">
        <f ca="1">VLOOKUP(B216,bond!B:V,21,FALSE)</f>
        <v>2.5495999999999999</v>
      </c>
    </row>
    <row r="217" spans="1:42">
      <c r="A217" s="141" t="str">
        <f>bond!F218</f>
        <v>US91282CEW73</v>
      </c>
      <c r="B217" s="151" t="str">
        <f ca="1">IF($C$1=TRUE,bond!B218,"")</f>
        <v>XH070</v>
      </c>
      <c r="C217" s="95" t="str">
        <f>VLOOKUP(A217,bond!F:G,2,FALSE)</f>
        <v>USD</v>
      </c>
      <c r="D217" s="142" t="str">
        <f ca="1">VLOOKUP(B217,bond!B:C,2,FALSE)</f>
        <v>美國政府公債 3.25% 2027/6/30</v>
      </c>
      <c r="E217" s="95" t="str">
        <f ca="1">VLOOKUP(B217,bond!B:D,3,FALSE)</f>
        <v>Aaa / - / AA+u</v>
      </c>
      <c r="F217" s="99" t="str">
        <f ca="1">VLOOKUP(B217,bond!B:AB,27,FALSE)</f>
        <v>2027/6/30</v>
      </c>
      <c r="G217" s="90">
        <f ca="1">VLOOKUP(B217,bond!B:E,4,FALSE)</f>
        <v>2.99</v>
      </c>
      <c r="H217" s="202">
        <f ca="1">VLOOKUP(B217,bond!B:Y,24,FALSE)</f>
        <v>3.2500000000000001E-2</v>
      </c>
      <c r="I217" s="95">
        <f ca="1">VLOOKUP(B217,bond!B:Z,25,FALSE)</f>
        <v>2</v>
      </c>
      <c r="J217" s="180">
        <f ca="1">VLOOKUP(B217,bond!B:K,10,FALSE)</f>
        <v>1.77E-2</v>
      </c>
      <c r="K217" s="96">
        <f ca="1">VLOOKUP($B217,bond!B:S,14,FALSE)</f>
        <v>97.94</v>
      </c>
      <c r="L217" s="91" t="str">
        <f ca="1">VLOOKUP(B217,bond!B:H,7,FALSE)</f>
        <v>2024/7/2</v>
      </c>
      <c r="M217" s="144">
        <f ca="1">VLOOKUP($B217,bond!$B:$Q,16,FALSE)</f>
        <v>3.9899999999999998E-2</v>
      </c>
      <c r="N217" s="136">
        <f ca="1">VALUE(LEFT(VLOOKUP(B217,bond!B:R,17,FALSE),SEARCH(" ",VLOOKUP(B217,bond!B:R,17,FALSE),1)))</f>
        <v>10000</v>
      </c>
      <c r="O217" s="136">
        <f ca="1">VALUE(RIGHT(VLOOKUP(B217,bond!B:R,17,FALSE),LEN(VLOOKUP(B217,bond!B:R,17,FALSE))-LEN(N217)-3))</f>
        <v>100</v>
      </c>
      <c r="P217" s="135" t="str">
        <f ca="1">VLOOKUP($B217,bond!$B:$AG,32,FALSE)</f>
        <v>2024/12/31</v>
      </c>
      <c r="Q217" s="135" t="str">
        <f ca="1">VLOOKUP($B217,bond!$B:$AH,33,FALSE)</f>
        <v>政府</v>
      </c>
      <c r="R217" s="135" t="str">
        <f ca="1">VLOOKUP(B217,bond!B:AA,26,FALSE)</f>
        <v>美國國庫債券</v>
      </c>
      <c r="S217" s="135" t="str">
        <f ca="1">VLOOKUP(B217,bond!B:AI,34,FALSE)</f>
        <v>T</v>
      </c>
      <c r="T217" s="135" t="str">
        <f t="shared" ca="1" si="21"/>
        <v>美國國庫債券/T</v>
      </c>
      <c r="U217" s="207" t="str">
        <f ca="1">IFERROR(VLOOKUP(T217,Bond_DES!D:E,2,FALSE),VLOOKUP(S217,bond!AI:AJ,2,FALSE))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217" s="136" t="str">
        <f ca="1">IFERROR(VLOOKUP(B217,'1_重設數據'!L:M,2,FALSE),IF(Q217="政府",IF(AD217&gt;16,"(NPI)非專投",IF(AD217&gt;10,"(PI)專投","高資產")),IF(VLOOKUP(B217,bond!B:AN,39,FALSE)="Y","(PI)專投",IF(AD217&gt;=15,"(NPI)非專投",IF(AD217&gt;=10,"(PI)專投","高資產")))))</f>
        <v>(NPI)非專投</v>
      </c>
      <c r="W217" s="136" t="str">
        <f ca="1">VLOOKUP(AD217,'credit rating'!$F$2:$H$22,3,FALSE)</f>
        <v>AAA</v>
      </c>
      <c r="X217" s="136" t="str">
        <f t="shared" ca="1" si="22"/>
        <v>Aaa</v>
      </c>
      <c r="Y217" s="136" t="str">
        <f t="shared" ca="1" si="23"/>
        <v>-</v>
      </c>
      <c r="Z217" s="136" t="str">
        <f t="shared" ca="1" si="24"/>
        <v>AA+u</v>
      </c>
      <c r="AA217" s="134">
        <f ca="1">IFERROR(VLOOKUP(X217,'credit rating'!A:C,3,FALSE),0)</f>
        <v>21</v>
      </c>
      <c r="AB217" s="134">
        <f ca="1">IFERROR(VLOOKUP(Y217,'credit rating'!B:C,2,FALSE),0)</f>
        <v>0</v>
      </c>
      <c r="AC217" s="136">
        <f ca="1">IFERROR(VLOOKUP(Z217,'credit rating'!B:C,2,FALSE),0)</f>
        <v>20</v>
      </c>
      <c r="AD217" s="136">
        <f t="shared" ca="1" si="25"/>
        <v>21</v>
      </c>
      <c r="AE217" s="249" t="str">
        <f ca="1">IFERROR(VLOOKUP(B217,bond!B:U,20,FALSE),"")</f>
        <v xml:space="preserve"> </v>
      </c>
      <c r="AF217" s="136" t="str">
        <f ca="1">IF(VLOOKUP(B217,bond!B:AK,36,FALSE)="#N/A Field Not Applicable","",VLOOKUP(B217,bond!B:AK,36,FALSE))</f>
        <v/>
      </c>
      <c r="AG217" s="136" t="str">
        <f ca="1">IF(VLOOKUP(B217,bond!B:AL,37,FALSE)="FIXED","固定",IF(VLOOKUP(B217,bond!B:AL,37,FALSE)="FLOATING","浮動",IF(VLOOKUP(B217,bond!B:AL,37,FALSE)="VARIABLE","變動",IF(VLOOKUP(B217,bond!B:AL,37,FALSE)="FLAT TRADING","不含息交易",IF(VLOOKUP(B217,bond!B:AL,37,FALSE)="ZERO COUPON","零息",VLOOKUP(B217,bond!B:AL,37,FALSE))))))</f>
        <v>固定</v>
      </c>
      <c r="AH217" s="136" t="str">
        <f>VLOOKUP(C217,'2_Check_code'!I:J,2,FALSE)</f>
        <v>美元(USD)</v>
      </c>
      <c r="AI217" s="136" t="str">
        <f t="shared" ca="1" si="26"/>
        <v>自由選清單</v>
      </c>
      <c r="AJ217" s="136">
        <f t="shared" ca="1" si="27"/>
        <v>0</v>
      </c>
      <c r="AK217" s="594" t="str">
        <f ca="1">IF(VLOOKUP(B217,bond!B:S,18,FALSE)="是","有",IF(VLOOKUP(B217,bond!B:S,18,FALSE)="NO OFFER","無","需查詢"))</f>
        <v>有</v>
      </c>
      <c r="AL217" s="136" t="str">
        <f>IF(VLOOKUP(A217,bond!F:AR,39,FALSE)="#N/A Field Not Applicable",VLOOKUP(A217,bond!F:AR,38,FALSE),IFERROR(VLOOKUP(A217,'7_發行日例外'!A:B,2,FALSE),VLOOKUP(A217,bond!F:AR,39,FALSE)))</f>
        <v>2022/6/30</v>
      </c>
      <c r="AM217" s="136" t="str">
        <f ca="1">VLOOKUP(B217,bond!B:AK,36,FALSE)</f>
        <v>#N/A Field Not Applicable</v>
      </c>
      <c r="AN217" s="136" t="str">
        <f ca="1">IFERROR(VLOOKUP(B217,'3_是否下架'!A:A,1,FALSE),"")</f>
        <v/>
      </c>
      <c r="AO217" s="136">
        <f ca="1">VLOOKUP(B217,bond!B:J,9,FALSE)</f>
        <v>96.92</v>
      </c>
      <c r="AP217" s="136">
        <f ca="1">VLOOKUP(B217,bond!B:V,21,FALSE)</f>
        <v>2.8149999999999999</v>
      </c>
    </row>
    <row r="218" spans="1:42">
      <c r="A218" s="141" t="str">
        <f>bond!F219</f>
        <v>US912810TK43</v>
      </c>
      <c r="B218" s="151" t="str">
        <f ca="1">IF($C$1=TRUE,bond!B219,"")</f>
        <v>XH080</v>
      </c>
      <c r="C218" s="95" t="str">
        <f>VLOOKUP(A218,bond!F:G,2,FALSE)</f>
        <v>USD</v>
      </c>
      <c r="D218" s="142" t="str">
        <f ca="1">VLOOKUP(B218,bond!B:C,2,FALSE)</f>
        <v>美國政府公債 3.375% 2042/8/15</v>
      </c>
      <c r="E218" s="95" t="str">
        <f ca="1">VLOOKUP(B218,bond!B:D,3,FALSE)</f>
        <v>Aaa / - / AA+u</v>
      </c>
      <c r="F218" s="99" t="str">
        <f ca="1">VLOOKUP(B218,bond!B:AB,27,FALSE)</f>
        <v>2042/8/15</v>
      </c>
      <c r="G218" s="90">
        <f ca="1">VLOOKUP(B218,bond!B:E,4,FALSE)</f>
        <v>18.12</v>
      </c>
      <c r="H218" s="202">
        <f ca="1">VLOOKUP(B218,bond!B:Y,24,FALSE)</f>
        <v>3.3750000000000002E-2</v>
      </c>
      <c r="I218" s="95">
        <f ca="1">VLOOKUP(B218,bond!B:Z,25,FALSE)</f>
        <v>2</v>
      </c>
      <c r="J218" s="180">
        <f ca="1">VLOOKUP(B218,bond!B:K,10,FALSE)</f>
        <v>1.2795000000000001</v>
      </c>
      <c r="K218" s="96">
        <f ca="1">VLOOKUP($B218,bond!B:S,14,FALSE)</f>
        <v>88.25</v>
      </c>
      <c r="L218" s="91" t="str">
        <f ca="1">VLOOKUP(B218,bond!B:H,7,FALSE)</f>
        <v>2024/7/2</v>
      </c>
      <c r="M218" s="144">
        <f ca="1">VLOOKUP($B218,bond!$B:$Q,16,FALSE)</f>
        <v>4.4299999999999999E-2</v>
      </c>
      <c r="N218" s="136">
        <f ca="1">VALUE(LEFT(VLOOKUP(B218,bond!B:R,17,FALSE),SEARCH(" ",VLOOKUP(B218,bond!B:R,17,FALSE),1)))</f>
        <v>10000</v>
      </c>
      <c r="O218" s="136">
        <f ca="1">VALUE(RIGHT(VLOOKUP(B218,bond!B:R,17,FALSE),LEN(VLOOKUP(B218,bond!B:R,17,FALSE))-LEN(N218)-3))</f>
        <v>100</v>
      </c>
      <c r="P218" s="135" t="str">
        <f ca="1">VLOOKUP($B218,bond!$B:$AG,32,FALSE)</f>
        <v>2024/8/15</v>
      </c>
      <c r="Q218" s="135" t="str">
        <f ca="1">VLOOKUP($B218,bond!$B:$AH,33,FALSE)</f>
        <v>政府</v>
      </c>
      <c r="R218" s="135" t="str">
        <f ca="1">VLOOKUP(B218,bond!B:AA,26,FALSE)</f>
        <v>美國國庫債券</v>
      </c>
      <c r="S218" s="135" t="str">
        <f ca="1">VLOOKUP(B218,bond!B:AI,34,FALSE)</f>
        <v>T</v>
      </c>
      <c r="T218" s="135" t="str">
        <f t="shared" ca="1" si="21"/>
        <v>美國國庫債券/T</v>
      </c>
      <c r="U218" s="207" t="str">
        <f ca="1">IFERROR(VLOOKUP(T218,Bond_DES!D:E,2,FALSE),VLOOKUP(S218,bond!AI:AJ,2,FALSE))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218" s="136" t="str">
        <f ca="1">IFERROR(VLOOKUP(B218,'1_重設數據'!L:M,2,FALSE),IF(Q218="政府",IF(AD218&gt;16,"(NPI)非專投",IF(AD218&gt;10,"(PI)專投","高資產")),IF(VLOOKUP(B218,bond!B:AN,39,FALSE)="Y","(PI)專投",IF(AD218&gt;=15,"(NPI)非專投",IF(AD218&gt;=10,"(PI)專投","高資產")))))</f>
        <v>(NPI)非專投</v>
      </c>
      <c r="W218" s="136" t="str">
        <f ca="1">VLOOKUP(AD218,'credit rating'!$F$2:$H$22,3,FALSE)</f>
        <v>AAA</v>
      </c>
      <c r="X218" s="136" t="str">
        <f t="shared" ca="1" si="22"/>
        <v>Aaa</v>
      </c>
      <c r="Y218" s="136" t="str">
        <f t="shared" ca="1" si="23"/>
        <v>-</v>
      </c>
      <c r="Z218" s="136" t="str">
        <f t="shared" ca="1" si="24"/>
        <v>AA+u</v>
      </c>
      <c r="AA218" s="134">
        <f ca="1">IFERROR(VLOOKUP(X218,'credit rating'!A:C,3,FALSE),0)</f>
        <v>21</v>
      </c>
      <c r="AB218" s="134">
        <f ca="1">IFERROR(VLOOKUP(Y218,'credit rating'!B:C,2,FALSE),0)</f>
        <v>0</v>
      </c>
      <c r="AC218" s="136">
        <f ca="1">IFERROR(VLOOKUP(Z218,'credit rating'!B:C,2,FALSE),0)</f>
        <v>20</v>
      </c>
      <c r="AD218" s="136">
        <f t="shared" ca="1" si="25"/>
        <v>21</v>
      </c>
      <c r="AE218" s="249" t="str">
        <f ca="1">IFERROR(VLOOKUP(B218,bond!B:U,20,FALSE),"")</f>
        <v xml:space="preserve"> </v>
      </c>
      <c r="AF218" s="136" t="str">
        <f ca="1">IF(VLOOKUP(B218,bond!B:AK,36,FALSE)="#N/A Field Not Applicable","",VLOOKUP(B218,bond!B:AK,36,FALSE))</f>
        <v/>
      </c>
      <c r="AG218" s="136" t="str">
        <f ca="1">IF(VLOOKUP(B218,bond!B:AL,37,FALSE)="FIXED","固定",IF(VLOOKUP(B218,bond!B:AL,37,FALSE)="FLOATING","浮動",IF(VLOOKUP(B218,bond!B:AL,37,FALSE)="VARIABLE","變動",IF(VLOOKUP(B218,bond!B:AL,37,FALSE)="FLAT TRADING","不含息交易",IF(VLOOKUP(B218,bond!B:AL,37,FALSE)="ZERO COUPON","零息",VLOOKUP(B218,bond!B:AL,37,FALSE))))))</f>
        <v>固定</v>
      </c>
      <c r="AH218" s="136" t="str">
        <f>VLOOKUP(C218,'2_Check_code'!I:J,2,FALSE)</f>
        <v>美元(USD)</v>
      </c>
      <c r="AI218" s="136" t="str">
        <f t="shared" ca="1" si="26"/>
        <v>自由選清單</v>
      </c>
      <c r="AJ218" s="136">
        <f t="shared" ca="1" si="27"/>
        <v>0</v>
      </c>
      <c r="AK218" s="594" t="str">
        <f ca="1">IF(VLOOKUP(B218,bond!B:S,18,FALSE)="是","有",IF(VLOOKUP(B218,bond!B:S,18,FALSE)="NO OFFER","無","需查詢"))</f>
        <v>有</v>
      </c>
      <c r="AL218" s="136" t="str">
        <f>IF(VLOOKUP(A218,bond!F:AR,39,FALSE)="#N/A Field Not Applicable",VLOOKUP(A218,bond!F:AR,38,FALSE),IFERROR(VLOOKUP(A218,'7_發行日例外'!A:B,2,FALSE),VLOOKUP(A218,bond!F:AR,39,FALSE)))</f>
        <v>2022/8/15</v>
      </c>
      <c r="AM218" s="136" t="str">
        <f ca="1">VLOOKUP(B218,bond!B:AK,36,FALSE)</f>
        <v>#N/A Field Not Applicable</v>
      </c>
      <c r="AN218" s="136" t="str">
        <f ca="1">IFERROR(VLOOKUP(B218,'3_是否下架'!A:A,1,FALSE),"")</f>
        <v/>
      </c>
      <c r="AO218" s="136">
        <f ca="1">VLOOKUP(B218,bond!B:J,9,FALSE)</f>
        <v>84.97</v>
      </c>
      <c r="AP218" s="136">
        <f ca="1">VLOOKUP(B218,bond!B:V,21,FALSE)</f>
        <v>12.7896</v>
      </c>
    </row>
    <row r="219" spans="1:42">
      <c r="A219" s="141" t="str">
        <f>bond!F220</f>
        <v>US91282CFN65</v>
      </c>
      <c r="B219" s="151" t="str">
        <f ca="1">IF($C$1=TRUE,bond!B220,"")</f>
        <v>XH130</v>
      </c>
      <c r="C219" s="95" t="str">
        <f>VLOOKUP(A219,bond!F:G,2,FALSE)</f>
        <v>USD</v>
      </c>
      <c r="D219" s="142" t="str">
        <f ca="1">VLOOKUP(B219,bond!B:C,2,FALSE)</f>
        <v>美國政府公債 4.25% 2024/9/30</v>
      </c>
      <c r="E219" s="95" t="str">
        <f ca="1">VLOOKUP(B219,bond!B:D,3,FALSE)</f>
        <v>Aaa / - / AA+u</v>
      </c>
      <c r="F219" s="99" t="str">
        <f ca="1">VLOOKUP(B219,bond!B:AB,27,FALSE)</f>
        <v>2024/9/30</v>
      </c>
      <c r="G219" s="90">
        <f ca="1">VLOOKUP(B219,bond!B:E,4,FALSE)</f>
        <v>0.25</v>
      </c>
      <c r="H219" s="202">
        <f ca="1">VLOOKUP(B219,bond!B:Y,24,FALSE)</f>
        <v>4.2500000000000003E-2</v>
      </c>
      <c r="I219" s="95">
        <f ca="1">VLOOKUP(B219,bond!B:Z,25,FALSE)</f>
        <v>2</v>
      </c>
      <c r="J219" s="180">
        <f ca="1">VLOOKUP(B219,bond!B:K,10,FALSE)</f>
        <v>1.0799000000000001</v>
      </c>
      <c r="K219" s="96">
        <f ca="1">VLOOKUP($B219,bond!B:S,14,FALSE)</f>
        <v>101.25</v>
      </c>
      <c r="L219" s="91" t="str">
        <f ca="1">VLOOKUP(B219,bond!B:H,7,FALSE)</f>
        <v>2024/7/2</v>
      </c>
      <c r="M219" s="144">
        <f ca="1">VLOOKUP($B219,bond!$B:$Q,16,FALSE)</f>
        <v>3.5099999999999999E-2</v>
      </c>
      <c r="N219" s="136">
        <f ca="1">VALUE(LEFT(VLOOKUP(B219,bond!B:R,17,FALSE),SEARCH(" ",VLOOKUP(B219,bond!B:R,17,FALSE),1)))</f>
        <v>10000</v>
      </c>
      <c r="O219" s="136">
        <f ca="1">VALUE(RIGHT(VLOOKUP(B219,bond!B:R,17,FALSE),LEN(VLOOKUP(B219,bond!B:R,17,FALSE))-LEN(N219)-3))</f>
        <v>100</v>
      </c>
      <c r="P219" s="135" t="str">
        <f ca="1">VLOOKUP($B219,bond!$B:$AG,32,FALSE)</f>
        <v>2024/9/30</v>
      </c>
      <c r="Q219" s="135" t="str">
        <f ca="1">VLOOKUP($B219,bond!$B:$AH,33,FALSE)</f>
        <v>政府</v>
      </c>
      <c r="R219" s="135" t="str">
        <f ca="1">VLOOKUP(B219,bond!B:AA,26,FALSE)</f>
        <v>美國國庫債券</v>
      </c>
      <c r="S219" s="135" t="str">
        <f ca="1">VLOOKUP(B219,bond!B:AI,34,FALSE)</f>
        <v>T</v>
      </c>
      <c r="T219" s="135" t="str">
        <f t="shared" ca="1" si="21"/>
        <v>美國國庫債券/T</v>
      </c>
      <c r="U219" s="207" t="str">
        <f ca="1">IFERROR(VLOOKUP(T219,Bond_DES!D:E,2,FALSE),VLOOKUP(S219,bond!AI:AJ,2,FALSE))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219" s="136" t="str">
        <f ca="1">IFERROR(VLOOKUP(B219,'1_重設數據'!L:M,2,FALSE),IF(Q219="政府",IF(AD219&gt;16,"(NPI)非專投",IF(AD219&gt;10,"(PI)專投","高資產")),IF(VLOOKUP(B219,bond!B:AN,39,FALSE)="Y","(PI)專投",IF(AD219&gt;=15,"(NPI)非專投",IF(AD219&gt;=10,"(PI)專投","高資產")))))</f>
        <v>(NPI)非專投</v>
      </c>
      <c r="W219" s="136" t="str">
        <f ca="1">VLOOKUP(AD219,'credit rating'!$F$2:$H$22,3,FALSE)</f>
        <v>AAA</v>
      </c>
      <c r="X219" s="136" t="str">
        <f t="shared" ca="1" si="22"/>
        <v>Aaa</v>
      </c>
      <c r="Y219" s="136" t="str">
        <f t="shared" ca="1" si="23"/>
        <v>-</v>
      </c>
      <c r="Z219" s="136" t="str">
        <f t="shared" ca="1" si="24"/>
        <v>AA+u</v>
      </c>
      <c r="AA219" s="134">
        <f ca="1">IFERROR(VLOOKUP(X219,'credit rating'!A:C,3,FALSE),0)</f>
        <v>21</v>
      </c>
      <c r="AB219" s="134">
        <f ca="1">IFERROR(VLOOKUP(Y219,'credit rating'!B:C,2,FALSE),0)</f>
        <v>0</v>
      </c>
      <c r="AC219" s="136">
        <f ca="1">IFERROR(VLOOKUP(Z219,'credit rating'!B:C,2,FALSE),0)</f>
        <v>20</v>
      </c>
      <c r="AD219" s="136">
        <f t="shared" ca="1" si="25"/>
        <v>21</v>
      </c>
      <c r="AE219" s="249" t="str">
        <f ca="1">IFERROR(VLOOKUP(B219,bond!B:U,20,FALSE),"")</f>
        <v xml:space="preserve"> </v>
      </c>
      <c r="AF219" s="136" t="str">
        <f ca="1">IF(VLOOKUP(B219,bond!B:AK,36,FALSE)="#N/A Field Not Applicable","",VLOOKUP(B219,bond!B:AK,36,FALSE))</f>
        <v/>
      </c>
      <c r="AG219" s="136" t="str">
        <f ca="1">IF(VLOOKUP(B219,bond!B:AL,37,FALSE)="FIXED","固定",IF(VLOOKUP(B219,bond!B:AL,37,FALSE)="FLOATING","浮動",IF(VLOOKUP(B219,bond!B:AL,37,FALSE)="VARIABLE","變動",IF(VLOOKUP(B219,bond!B:AL,37,FALSE)="FLAT TRADING","不含息交易",IF(VLOOKUP(B219,bond!B:AL,37,FALSE)="ZERO COUPON","零息",VLOOKUP(B219,bond!B:AL,37,FALSE))))))</f>
        <v>固定</v>
      </c>
      <c r="AH219" s="136" t="str">
        <f>VLOOKUP(C219,'2_Check_code'!I:J,2,FALSE)</f>
        <v>美元(USD)</v>
      </c>
      <c r="AI219" s="136" t="str">
        <f t="shared" ca="1" si="26"/>
        <v>自由選清單</v>
      </c>
      <c r="AJ219" s="136">
        <f t="shared" ca="1" si="27"/>
        <v>0</v>
      </c>
      <c r="AK219" s="594" t="str">
        <f ca="1">IF(VLOOKUP(B219,bond!B:S,18,FALSE)="是","有",IF(VLOOKUP(B219,bond!B:S,18,FALSE)="NO OFFER","無","需查詢"))</f>
        <v>有</v>
      </c>
      <c r="AL219" s="136" t="str">
        <f>IF(VLOOKUP(A219,bond!F:AR,39,FALSE)="#N/A Field Not Applicable",VLOOKUP(A219,bond!F:AR,38,FALSE),IFERROR(VLOOKUP(A219,'7_發行日例外'!A:B,2,FALSE),VLOOKUP(A219,bond!F:AR,39,FALSE)))</f>
        <v>2022/9/30</v>
      </c>
      <c r="AM219" s="136" t="str">
        <f ca="1">VLOOKUP(B219,bond!B:AK,36,FALSE)</f>
        <v>#N/A Field Not Applicable</v>
      </c>
      <c r="AN219" s="136" t="str">
        <f ca="1">IFERROR(VLOOKUP(B219,'3_是否下架'!A:A,1,FALSE),"")</f>
        <v/>
      </c>
      <c r="AO219" s="136">
        <f ca="1">VLOOKUP(B219,bond!B:J,9,FALSE)</f>
        <v>100.07000000000001</v>
      </c>
      <c r="AP219" s="136">
        <f ca="1">VLOOKUP(B219,bond!B:V,21,FALSE)</f>
        <v>0.24329999999999999</v>
      </c>
    </row>
    <row r="220" spans="1:42">
      <c r="A220" s="141" t="str">
        <f>bond!F221</f>
        <v>US91282CFK27</v>
      </c>
      <c r="B220" s="151" t="str">
        <f ca="1">IF($C$1=TRUE,bond!B221,"")</f>
        <v>XH140</v>
      </c>
      <c r="C220" s="95" t="str">
        <f>VLOOKUP(A220,bond!F:G,2,FALSE)</f>
        <v>USD</v>
      </c>
      <c r="D220" s="142" t="str">
        <f ca="1">VLOOKUP(B220,bond!B:C,2,FALSE)</f>
        <v>美國政府公債 3.5% 2025/9/15</v>
      </c>
      <c r="E220" s="95" t="str">
        <f ca="1">VLOOKUP(B220,bond!B:D,3,FALSE)</f>
        <v>Aaa / - / AA+u</v>
      </c>
      <c r="F220" s="99" t="str">
        <f ca="1">VLOOKUP(B220,bond!B:AB,27,FALSE)</f>
        <v>2025/9/15</v>
      </c>
      <c r="G220" s="90">
        <f ca="1">VLOOKUP(B220,bond!B:E,4,FALSE)</f>
        <v>1.2</v>
      </c>
      <c r="H220" s="202">
        <f ca="1">VLOOKUP(B220,bond!B:Y,24,FALSE)</f>
        <v>3.5000000000000003E-2</v>
      </c>
      <c r="I220" s="95">
        <f ca="1">VLOOKUP(B220,bond!B:Z,25,FALSE)</f>
        <v>2</v>
      </c>
      <c r="J220" s="180">
        <f ca="1">VLOOKUP(B220,bond!B:K,10,FALSE)</f>
        <v>1.0367</v>
      </c>
      <c r="K220" s="96">
        <f ca="1">VLOOKUP($B220,bond!B:S,14,FALSE)</f>
        <v>100.07</v>
      </c>
      <c r="L220" s="91" t="str">
        <f ca="1">VLOOKUP(B220,bond!B:H,7,FALSE)</f>
        <v>2024/7/2</v>
      </c>
      <c r="M220" s="144">
        <f ca="1">VLOOKUP($B220,bond!$B:$Q,16,FALSE)</f>
        <v>4.3299999999999998E-2</v>
      </c>
      <c r="N220" s="136">
        <f ca="1">VALUE(LEFT(VLOOKUP(B220,bond!B:R,17,FALSE),SEARCH(" ",VLOOKUP(B220,bond!B:R,17,FALSE),1)))</f>
        <v>10000</v>
      </c>
      <c r="O220" s="136">
        <f ca="1">VALUE(RIGHT(VLOOKUP(B220,bond!B:R,17,FALSE),LEN(VLOOKUP(B220,bond!B:R,17,FALSE))-LEN(N220)-3))</f>
        <v>100</v>
      </c>
      <c r="P220" s="135" t="str">
        <f ca="1">VLOOKUP($B220,bond!$B:$AG,32,FALSE)</f>
        <v>2024/9/15</v>
      </c>
      <c r="Q220" s="135" t="str">
        <f ca="1">VLOOKUP($B220,bond!$B:$AH,33,FALSE)</f>
        <v>政府</v>
      </c>
      <c r="R220" s="135" t="str">
        <f ca="1">VLOOKUP(B220,bond!B:AA,26,FALSE)</f>
        <v>美國國庫債券</v>
      </c>
      <c r="S220" s="135" t="str">
        <f ca="1">VLOOKUP(B220,bond!B:AI,34,FALSE)</f>
        <v>T</v>
      </c>
      <c r="T220" s="135" t="str">
        <f t="shared" ca="1" si="21"/>
        <v>美國國庫債券/T</v>
      </c>
      <c r="U220" s="207" t="str">
        <f ca="1">IFERROR(VLOOKUP(T220,Bond_DES!D:E,2,FALSE),VLOOKUP(S220,bond!AI:AJ,2,FALSE))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220" s="136" t="str">
        <f ca="1">IFERROR(VLOOKUP(B220,'1_重設數據'!L:M,2,FALSE),IF(Q220="政府",IF(AD220&gt;16,"(NPI)非專投",IF(AD220&gt;10,"(PI)專投","高資產")),IF(VLOOKUP(B220,bond!B:AN,39,FALSE)="Y","(PI)專投",IF(AD220&gt;=15,"(NPI)非專投",IF(AD220&gt;=10,"(PI)專投","高資產")))))</f>
        <v>(NPI)非專投</v>
      </c>
      <c r="W220" s="136" t="str">
        <f ca="1">VLOOKUP(AD220,'credit rating'!$F$2:$H$22,3,FALSE)</f>
        <v>AAA</v>
      </c>
      <c r="X220" s="136" t="str">
        <f t="shared" ca="1" si="22"/>
        <v>Aaa</v>
      </c>
      <c r="Y220" s="136" t="str">
        <f t="shared" ca="1" si="23"/>
        <v>-</v>
      </c>
      <c r="Z220" s="136" t="str">
        <f t="shared" ca="1" si="24"/>
        <v>AA+u</v>
      </c>
      <c r="AA220" s="134">
        <f ca="1">IFERROR(VLOOKUP(X220,'credit rating'!A:C,3,FALSE),0)</f>
        <v>21</v>
      </c>
      <c r="AB220" s="134">
        <f ca="1">IFERROR(VLOOKUP(Y220,'credit rating'!B:C,2,FALSE),0)</f>
        <v>0</v>
      </c>
      <c r="AC220" s="136">
        <f ca="1">IFERROR(VLOOKUP(Z220,'credit rating'!B:C,2,FALSE),0)</f>
        <v>20</v>
      </c>
      <c r="AD220" s="136">
        <f t="shared" ca="1" si="25"/>
        <v>21</v>
      </c>
      <c r="AE220" s="249" t="str">
        <f ca="1">IFERROR(VLOOKUP(B220,bond!B:U,20,FALSE),"")</f>
        <v xml:space="preserve"> </v>
      </c>
      <c r="AF220" s="136" t="str">
        <f ca="1">IF(VLOOKUP(B220,bond!B:AK,36,FALSE)="#N/A Field Not Applicable","",VLOOKUP(B220,bond!B:AK,36,FALSE))</f>
        <v/>
      </c>
      <c r="AG220" s="136" t="str">
        <f ca="1">IF(VLOOKUP(B220,bond!B:AL,37,FALSE)="FIXED","固定",IF(VLOOKUP(B220,bond!B:AL,37,FALSE)="FLOATING","浮動",IF(VLOOKUP(B220,bond!B:AL,37,FALSE)="VARIABLE","變動",IF(VLOOKUP(B220,bond!B:AL,37,FALSE)="FLAT TRADING","不含息交易",IF(VLOOKUP(B220,bond!B:AL,37,FALSE)="ZERO COUPON","零息",VLOOKUP(B220,bond!B:AL,37,FALSE))))))</f>
        <v>固定</v>
      </c>
      <c r="AH220" s="136" t="str">
        <f>VLOOKUP(C220,'2_Check_code'!I:J,2,FALSE)</f>
        <v>美元(USD)</v>
      </c>
      <c r="AI220" s="136" t="str">
        <f t="shared" ca="1" si="26"/>
        <v>自由選清單</v>
      </c>
      <c r="AJ220" s="136">
        <f t="shared" ca="1" si="27"/>
        <v>0</v>
      </c>
      <c r="AK220" s="594" t="str">
        <f ca="1">IF(VLOOKUP(B220,bond!B:S,18,FALSE)="是","有",IF(VLOOKUP(B220,bond!B:S,18,FALSE)="NO OFFER","無","需查詢"))</f>
        <v>有</v>
      </c>
      <c r="AL220" s="136" t="str">
        <f>IF(VLOOKUP(A220,bond!F:AR,39,FALSE)="#N/A Field Not Applicable",VLOOKUP(A220,bond!F:AR,38,FALSE),IFERROR(VLOOKUP(A220,'7_發行日例外'!A:B,2,FALSE),VLOOKUP(A220,bond!F:AR,39,FALSE)))</f>
        <v>2022/9/15</v>
      </c>
      <c r="AM220" s="136" t="str">
        <f ca="1">VLOOKUP(B220,bond!B:AK,36,FALSE)</f>
        <v>#N/A Field Not Applicable</v>
      </c>
      <c r="AN220" s="136" t="str">
        <f ca="1">IFERROR(VLOOKUP(B220,'3_是否下架'!A:A,1,FALSE),"")</f>
        <v/>
      </c>
      <c r="AO220" s="136">
        <f ca="1">VLOOKUP(B220,bond!B:J,9,FALSE)</f>
        <v>98.53</v>
      </c>
      <c r="AP220" s="136">
        <f ca="1">VLOOKUP(B220,bond!B:V,21,FALSE)</f>
        <v>1.1508</v>
      </c>
    </row>
    <row r="221" spans="1:42">
      <c r="A221" s="141" t="str">
        <f>bond!F222</f>
        <v>US686330AQ49</v>
      </c>
      <c r="B221" s="151" t="str">
        <f ca="1">IF($C$1=TRUE,bond!B222,"")</f>
        <v>XH150</v>
      </c>
      <c r="C221" s="95" t="str">
        <f>VLOOKUP(A221,bond!F:G,2,FALSE)</f>
        <v>USD</v>
      </c>
      <c r="D221" s="142" t="str">
        <f ca="1">VLOOKUP(B221,bond!B:C,2,FALSE)</f>
        <v>歐力士公司美元配息債券 5% 2027/9/13</v>
      </c>
      <c r="E221" s="95" t="str">
        <f ca="1">VLOOKUP(B221,bond!B:D,3,FALSE)</f>
        <v>A3 / BBB+ / A-</v>
      </c>
      <c r="F221" s="99" t="str">
        <f ca="1">VLOOKUP(B221,bond!B:AB,27,FALSE)</f>
        <v>2027/9/13</v>
      </c>
      <c r="G221" s="90">
        <f ca="1">VLOOKUP(B221,bond!B:E,4,FALSE)</f>
        <v>3.2</v>
      </c>
      <c r="H221" s="202">
        <f ca="1">VLOOKUP(B221,bond!B:Y,24,FALSE)</f>
        <v>0.05</v>
      </c>
      <c r="I221" s="95">
        <f ca="1">VLOOKUP(B221,bond!B:Z,25,FALSE)</f>
        <v>2</v>
      </c>
      <c r="J221" s="180">
        <f ca="1">VLOOKUP(B221,bond!B:K,10,FALSE)</f>
        <v>1.5139</v>
      </c>
      <c r="K221" s="96">
        <f ca="1">VLOOKUP($B221,bond!B:S,14,FALSE)</f>
        <v>102.93</v>
      </c>
      <c r="L221" s="91" t="str">
        <f ca="1">VLOOKUP(B221,bond!B:H,7,FALSE)</f>
        <v>2024/7/2</v>
      </c>
      <c r="M221" s="144">
        <f ca="1">VLOOKUP($B221,bond!$B:$Q,16,FALSE)</f>
        <v>4.5199999999999997E-2</v>
      </c>
      <c r="N221" s="136">
        <f ca="1">VALUE(LEFT(VLOOKUP(B221,bond!B:R,17,FALSE),SEARCH(" ",VLOOKUP(B221,bond!B:R,17,FALSE),1)))</f>
        <v>10000</v>
      </c>
      <c r="O221" s="136">
        <f ca="1">VALUE(RIGHT(VLOOKUP(B221,bond!B:R,17,FALSE),LEN(VLOOKUP(B221,bond!B:R,17,FALSE))-LEN(N221)-3))</f>
        <v>1000</v>
      </c>
      <c r="P221" s="135" t="str">
        <f ca="1">VLOOKUP($B221,bond!$B:$AG,32,FALSE)</f>
        <v>2024/9/13</v>
      </c>
      <c r="Q221" s="135" t="str">
        <f ca="1">VLOOKUP($B221,bond!$B:$AH,33,FALSE)</f>
        <v>金融</v>
      </c>
      <c r="R221" s="135" t="str">
        <f ca="1">VLOOKUP(B221,bond!B:AA,26,FALSE)</f>
        <v>歐力士公司</v>
      </c>
      <c r="S221" s="135" t="str">
        <f ca="1">VLOOKUP(B221,bond!B:AI,34,FALSE)</f>
        <v>ORIX</v>
      </c>
      <c r="T221" s="135" t="str">
        <f t="shared" ca="1" si="21"/>
        <v>歐力士公司/ORIX</v>
      </c>
      <c r="U221" s="207" t="str">
        <f ca="1">IFERROR(VLOOKUP(T221,Bond_DES!D:E,2,FALSE),VLOOKUP(S221,bond!AI:AJ,2,FALSE))</f>
        <v>歐力士(Orix Corporation)是一家綜合性金融服務，營運涵蓋汽車、船舶和飛機租賃、住房貸款、企業融資、投資銀行、資產管理、人壽保險、房地產以及環保新能源等多元業務；ORIX是亞洲第一大汽車租賃公司，同時也是日本關西機場第一大股東並經營日本職棒歐力士猛牛隊，且憑藉多元業務實現了連續逾50年獲利佳績。</v>
      </c>
      <c r="V221" s="136" t="str">
        <f ca="1">IFERROR(VLOOKUP(B221,'1_重設數據'!L:M,2,FALSE),IF(Q221="政府",IF(AD221&gt;16,"(NPI)非專投",IF(AD221&gt;10,"(PI)專投","高資產")),IF(VLOOKUP(B221,bond!B:AN,39,FALSE)="Y","(PI)專投",IF(AD221&gt;=15,"(NPI)非專投",IF(AD221&gt;=10,"(PI)專投","高資產")))))</f>
        <v>(NPI)非專投</v>
      </c>
      <c r="W221" s="136" t="str">
        <f ca="1">VLOOKUP(AD221,'credit rating'!$F$2:$H$22,3,FALSE)</f>
        <v>A-</v>
      </c>
      <c r="X221" s="136" t="str">
        <f t="shared" ca="1" si="22"/>
        <v>A3</v>
      </c>
      <c r="Y221" s="136" t="str">
        <f t="shared" ca="1" si="23"/>
        <v>BBB+</v>
      </c>
      <c r="Z221" s="136" t="str">
        <f t="shared" ca="1" si="24"/>
        <v>A-</v>
      </c>
      <c r="AA221" s="134">
        <f ca="1">IFERROR(VLOOKUP(X221,'credit rating'!A:C,3,FALSE),0)</f>
        <v>15</v>
      </c>
      <c r="AB221" s="134">
        <f ca="1">IFERROR(VLOOKUP(Y221,'credit rating'!B:C,2,FALSE),0)</f>
        <v>14</v>
      </c>
      <c r="AC221" s="136">
        <f ca="1">IFERROR(VLOOKUP(Z221,'credit rating'!B:C,2,FALSE),0)</f>
        <v>15</v>
      </c>
      <c r="AD221" s="136">
        <f t="shared" ca="1" si="25"/>
        <v>15</v>
      </c>
      <c r="AE221" s="249" t="str">
        <f ca="1">IFERROR(VLOOKUP(B221,bond!B:U,20,FALSE),"")</f>
        <v xml:space="preserve"> </v>
      </c>
      <c r="AF221" s="136" t="str">
        <f ca="1">IF(VLOOKUP(B221,bond!B:AK,36,FALSE)="#N/A Field Not Applicable","",VLOOKUP(B221,bond!B:AK,36,FALSE))</f>
        <v/>
      </c>
      <c r="AG221" s="136" t="str">
        <f ca="1">IF(VLOOKUP(B221,bond!B:AL,37,FALSE)="FIXED","固定",IF(VLOOKUP(B221,bond!B:AL,37,FALSE)="FLOATING","浮動",IF(VLOOKUP(B221,bond!B:AL,37,FALSE)="VARIABLE","變動",IF(VLOOKUP(B221,bond!B:AL,37,FALSE)="FLAT TRADING","不含息交易",IF(VLOOKUP(B221,bond!B:AL,37,FALSE)="ZERO COUPON","零息",VLOOKUP(B221,bond!B:AL,37,FALSE))))))</f>
        <v>固定</v>
      </c>
      <c r="AH221" s="136" t="str">
        <f>VLOOKUP(C221,'2_Check_code'!I:J,2,FALSE)</f>
        <v>美元(USD)</v>
      </c>
      <c r="AI221" s="136" t="str">
        <f t="shared" ca="1" si="26"/>
        <v>自由選清單</v>
      </c>
      <c r="AJ221" s="136">
        <f t="shared" ca="1" si="27"/>
        <v>0</v>
      </c>
      <c r="AK221" s="594" t="str">
        <f ca="1">IF(VLOOKUP(B221,bond!B:S,18,FALSE)="是","有",IF(VLOOKUP(B221,bond!B:S,18,FALSE)="NO OFFER","無","需查詢"))</f>
        <v>有</v>
      </c>
      <c r="AL221" s="136" t="str">
        <f>IF(VLOOKUP(A221,bond!F:AR,39,FALSE)="#N/A Field Not Applicable",VLOOKUP(A221,bond!F:AR,38,FALSE),IFERROR(VLOOKUP(A221,'7_發行日例外'!A:B,2,FALSE),VLOOKUP(A221,bond!F:AR,39,FALSE)))</f>
        <v>2022/9/13</v>
      </c>
      <c r="AM221" s="136" t="str">
        <f ca="1">VLOOKUP(B221,bond!B:AK,36,FALSE)</f>
        <v>#N/A Field Not Applicable</v>
      </c>
      <c r="AN221" s="136" t="str">
        <f ca="1">IFERROR(VLOOKUP(B221,'3_是否下架'!A:A,1,FALSE),"")</f>
        <v/>
      </c>
      <c r="AO221" s="136">
        <f ca="1">VLOOKUP(B221,bond!B:J,9,FALSE)</f>
        <v>100.42</v>
      </c>
      <c r="AP221" s="136">
        <f ca="1">VLOOKUP(B221,bond!B:V,21,FALSE)</f>
        <v>2.8818000000000001</v>
      </c>
    </row>
    <row r="222" spans="1:42">
      <c r="A222" s="141" t="str">
        <f>bond!F223</f>
        <v>US60687YCL11</v>
      </c>
      <c r="B222" s="151" t="str">
        <f ca="1">IF($C$1=TRUE,bond!B223,"")</f>
        <v>XH160</v>
      </c>
      <c r="C222" s="95" t="str">
        <f>VLOOKUP(A222,bond!F:G,2,FALSE)</f>
        <v>USD</v>
      </c>
      <c r="D222" s="142" t="str">
        <f ca="1">VLOOKUP(B222,bond!B:C,2,FALSE)</f>
        <v>瑞穗金融集團美元配息債券 5.414% 2028/9/13</v>
      </c>
      <c r="E222" s="95" t="str">
        <f ca="1">VLOOKUP(B222,bond!B:D,3,FALSE)</f>
        <v>A1 / A- / -</v>
      </c>
      <c r="F222" s="99" t="str">
        <f ca="1">VLOOKUP(B222,bond!B:AB,27,FALSE)</f>
        <v>2028/9/13</v>
      </c>
      <c r="G222" s="90">
        <f ca="1">VLOOKUP(B222,bond!B:E,4,FALSE)</f>
        <v>4.2</v>
      </c>
      <c r="H222" s="202">
        <f ca="1">VLOOKUP(B222,bond!B:Y,24,FALSE)</f>
        <v>5.4139999999999994E-2</v>
      </c>
      <c r="I222" s="95">
        <f ca="1">VLOOKUP(B222,bond!B:Z,25,FALSE)</f>
        <v>2</v>
      </c>
      <c r="J222" s="180">
        <f ca="1">VLOOKUP(B222,bond!B:K,10,FALSE)</f>
        <v>1.6392</v>
      </c>
      <c r="K222" s="96">
        <f ca="1">VLOOKUP($B222,bond!B:S,14,FALSE)</f>
        <v>103.85</v>
      </c>
      <c r="L222" s="91" t="str">
        <f ca="1">VLOOKUP(B222,bond!B:H,7,FALSE)</f>
        <v>2024/7/2</v>
      </c>
      <c r="M222" s="144">
        <f ca="1">VLOOKUP($B222,bond!$B:$Q,16,FALSE)</f>
        <v>5.1999999999999998E-2</v>
      </c>
      <c r="N222" s="136">
        <f ca="1">VALUE(LEFT(VLOOKUP(B222,bond!B:R,17,FALSE),SEARCH(" ",VLOOKUP(B222,bond!B:R,17,FALSE),1)))</f>
        <v>200000</v>
      </c>
      <c r="O222" s="136">
        <f ca="1">VALUE(RIGHT(VLOOKUP(B222,bond!B:R,17,FALSE),LEN(VLOOKUP(B222,bond!B:R,17,FALSE))-LEN(N222)-3))</f>
        <v>1000</v>
      </c>
      <c r="P222" s="135" t="str">
        <f ca="1">VLOOKUP($B222,bond!$B:$AG,32,FALSE)</f>
        <v>2024/9/13</v>
      </c>
      <c r="Q222" s="135" t="str">
        <f ca="1">VLOOKUP($B222,bond!$B:$AH,33,FALSE)</f>
        <v>金融</v>
      </c>
      <c r="R222" s="135" t="str">
        <f ca="1">VLOOKUP(B222,bond!B:AA,26,FALSE)</f>
        <v>瑞穗金融集團</v>
      </c>
      <c r="S222" s="135" t="str">
        <f ca="1">VLOOKUP(B222,bond!B:AI,34,FALSE)</f>
        <v>MIZUHO</v>
      </c>
      <c r="T222" s="135" t="str">
        <f t="shared" ca="1" si="21"/>
        <v>瑞穗金融集團/MIZUHO</v>
      </c>
      <c r="U222" s="207" t="str">
        <f ca="1">IFERROR(VLOOKUP(T222,Bond_DES!D:E,2,FALSE),VLOOKUP(S222,bond!AI:AJ,2,FALSE))</f>
        <v>瑞穗金融集團(Mizuho Financial Group, Inc.)為日本三大巨型銀行之一，提供銀行、證券、信託、資產管理等多元金融服務，2023年按資產排名為日本第三大金融集團，資產價值272兆日圓。</v>
      </c>
      <c r="V222" s="136" t="str">
        <f ca="1">IFERROR(VLOOKUP(B222,'1_重設數據'!L:M,2,FALSE),IF(Q222="政府",IF(AD222&gt;16,"(NPI)非專投",IF(AD222&gt;10,"(PI)專投","高資產")),IF(VLOOKUP(B222,bond!B:AN,39,FALSE)="Y","(PI)專投",IF(AD222&gt;=15,"(NPI)非專投",IF(AD222&gt;=10,"(PI)專投","高資產")))))</f>
        <v>(PI)專投</v>
      </c>
      <c r="W222" s="136" t="str">
        <f ca="1">VLOOKUP(AD222,'credit rating'!$F$2:$H$22,3,FALSE)</f>
        <v>A+</v>
      </c>
      <c r="X222" s="136" t="str">
        <f t="shared" ca="1" si="22"/>
        <v>A1</v>
      </c>
      <c r="Y222" s="136" t="str">
        <f t="shared" ca="1" si="23"/>
        <v>A-</v>
      </c>
      <c r="Z222" s="136" t="str">
        <f t="shared" ca="1" si="24"/>
        <v>-</v>
      </c>
      <c r="AA222" s="134">
        <f ca="1">IFERROR(VLOOKUP(X222,'credit rating'!A:C,3,FALSE),0)</f>
        <v>17</v>
      </c>
      <c r="AB222" s="134">
        <f ca="1">IFERROR(VLOOKUP(Y222,'credit rating'!B:C,2,FALSE),0)</f>
        <v>15</v>
      </c>
      <c r="AC222" s="136">
        <f ca="1">IFERROR(VLOOKUP(Z222,'credit rating'!B:C,2,FALSE),0)</f>
        <v>0</v>
      </c>
      <c r="AD222" s="136">
        <f t="shared" ca="1" si="25"/>
        <v>17</v>
      </c>
      <c r="AE222" s="249">
        <f ca="1">IFERROR(VLOOKUP(B222,bond!B:U,20,FALSE),"")</f>
        <v>4.6600000000000003E-2</v>
      </c>
      <c r="AF222" s="136" t="str">
        <f ca="1">IF(VLOOKUP(B222,bond!B:AK,36,FALSE)="#N/A Field Not Applicable","",VLOOKUP(B222,bond!B:AK,36,FALSE))</f>
        <v>2027/9/13</v>
      </c>
      <c r="AG222" s="136" t="str">
        <f ca="1">IF(VLOOKUP(B222,bond!B:AL,37,FALSE)="FIXED","固定",IF(VLOOKUP(B222,bond!B:AL,37,FALSE)="FLOATING","浮動",IF(VLOOKUP(B222,bond!B:AL,37,FALSE)="VARIABLE","變動",IF(VLOOKUP(B222,bond!B:AL,37,FALSE)="FLAT TRADING","不含息交易",IF(VLOOKUP(B222,bond!B:AL,37,FALSE)="ZERO COUPON","零息",VLOOKUP(B222,bond!B:AL,37,FALSE))))))</f>
        <v>變動</v>
      </c>
      <c r="AH222" s="136" t="str">
        <f>VLOOKUP(C222,'2_Check_code'!I:J,2,FALSE)</f>
        <v>美元(USD)</v>
      </c>
      <c r="AI222" s="136" t="str">
        <f t="shared" ca="1" si="26"/>
        <v>自由選清單</v>
      </c>
      <c r="AJ222" s="136">
        <f t="shared" ca="1" si="27"/>
        <v>0</v>
      </c>
      <c r="AK222" s="594" t="str">
        <f ca="1">IF(VLOOKUP(B222,bond!B:S,18,FALSE)="是","有",IF(VLOOKUP(B222,bond!B:S,18,FALSE)="NO OFFER","無","需查詢"))</f>
        <v>有</v>
      </c>
      <c r="AL222" s="136" t="str">
        <f>IF(VLOOKUP(A222,bond!F:AR,39,FALSE)="#N/A Field Not Applicable",VLOOKUP(A222,bond!F:AR,38,FALSE),IFERROR(VLOOKUP(A222,'7_發行日例外'!A:B,2,FALSE),VLOOKUP(A222,bond!F:AR,39,FALSE)))</f>
        <v>2022/9/13</v>
      </c>
      <c r="AM222" s="136" t="str">
        <f ca="1">VLOOKUP(B222,bond!B:AK,36,FALSE)</f>
        <v>2027/9/13</v>
      </c>
      <c r="AN222" s="136" t="str">
        <f ca="1">IFERROR(VLOOKUP(B222,'3_是否下架'!A:A,1,FALSE),"")</f>
        <v/>
      </c>
      <c r="AO222" s="136">
        <f ca="1">VLOOKUP(B222,bond!B:J,9,FALSE)</f>
        <v>100.71000000000001</v>
      </c>
      <c r="AP222" s="136">
        <f ca="1">VLOOKUP(B222,bond!B:V,21,FALSE)</f>
        <v>2.8628999999999998</v>
      </c>
    </row>
    <row r="223" spans="1:42">
      <c r="A223" s="141" t="str">
        <f>bond!F224</f>
        <v>US06051GGA13</v>
      </c>
      <c r="B223" s="151" t="str">
        <f ca="1">IF($C$1=TRUE,bond!B224,"")</f>
        <v>XH170</v>
      </c>
      <c r="C223" s="95" t="str">
        <f>VLOOKUP(A223,bond!F:G,2,FALSE)</f>
        <v>USD</v>
      </c>
      <c r="D223" s="142" t="str">
        <f ca="1">VLOOKUP(B223,bond!B:C,2,FALSE)</f>
        <v>美國銀行美元配息債券 3.248% 2027/10/21</v>
      </c>
      <c r="E223" s="95" t="str">
        <f ca="1">VLOOKUP(B223,bond!B:D,3,FALSE)</f>
        <v>A1 / A- / AA-</v>
      </c>
      <c r="F223" s="99" t="str">
        <f ca="1">VLOOKUP(B223,bond!B:AB,27,FALSE)</f>
        <v>2027/10/21</v>
      </c>
      <c r="G223" s="90">
        <f ca="1">VLOOKUP(B223,bond!B:E,4,FALSE)</f>
        <v>3.3</v>
      </c>
      <c r="H223" s="202">
        <f ca="1">VLOOKUP(B223,bond!B:Y,24,FALSE)</f>
        <v>3.2480000000000002E-2</v>
      </c>
      <c r="I223" s="95">
        <f ca="1">VLOOKUP(B223,bond!B:Z,25,FALSE)</f>
        <v>2</v>
      </c>
      <c r="J223" s="180">
        <f ca="1">VLOOKUP(B223,bond!B:K,10,FALSE)</f>
        <v>0.64059999999999995</v>
      </c>
      <c r="K223" s="96">
        <f ca="1">VLOOKUP($B223,bond!B:S,14,FALSE)</f>
        <v>96.92</v>
      </c>
      <c r="L223" s="91" t="str">
        <f ca="1">VLOOKUP(B223,bond!B:H,7,FALSE)</f>
        <v>2024/7/2</v>
      </c>
      <c r="M223" s="144">
        <f ca="1">VLOOKUP($B223,bond!$B:$Q,16,FALSE)</f>
        <v>4.4699999999999997E-2</v>
      </c>
      <c r="N223" s="136">
        <f ca="1">VALUE(LEFT(VLOOKUP(B223,bond!B:R,17,FALSE),SEARCH(" ",VLOOKUP(B223,bond!B:R,17,FALSE),1)))</f>
        <v>10000</v>
      </c>
      <c r="O223" s="136">
        <f ca="1">VALUE(RIGHT(VLOOKUP(B223,bond!B:R,17,FALSE),LEN(VLOOKUP(B223,bond!B:R,17,FALSE))-LEN(N223)-3))</f>
        <v>1000</v>
      </c>
      <c r="P223" s="135" t="str">
        <f ca="1">VLOOKUP($B223,bond!$B:$AG,32,FALSE)</f>
        <v>2024/10/21</v>
      </c>
      <c r="Q223" s="135" t="str">
        <f ca="1">VLOOKUP($B223,bond!$B:$AH,33,FALSE)</f>
        <v>金融</v>
      </c>
      <c r="R223" s="135" t="str">
        <f ca="1">VLOOKUP(B223,bond!B:AA,26,FALSE)</f>
        <v>美國銀行</v>
      </c>
      <c r="S223" s="135" t="str">
        <f ca="1">VLOOKUP(B223,bond!B:AI,34,FALSE)</f>
        <v>BAC</v>
      </c>
      <c r="T223" s="135" t="str">
        <f t="shared" ca="1" si="21"/>
        <v>美國銀行/BAC</v>
      </c>
      <c r="U223" s="207" t="str">
        <f ca="1">IFERROR(VLOOKUP(T223,Bond_DES!D:E,2,FALSE),VLOOKUP(S223,bond!AI:AJ,2,FALSE))</f>
        <v>美國銀行(Bank of America Corporation)為全球系統重要性銀行(G-SIBs)之一，按一級資本排名位居全球第6大行、美國第2大行地位(The banker 2023)，名列2024年《Brand Finance》美系銀行品牌價值之首；自2017年以來美國銀行就持續保持在波克夏前三大持股。</v>
      </c>
      <c r="V223" s="136" t="str">
        <f ca="1">IFERROR(VLOOKUP(B223,'1_重設數據'!L:M,2,FALSE),IF(Q223="政府",IF(AD223&gt;16,"(NPI)非專投",IF(AD223&gt;10,"(PI)專投","高資產")),IF(VLOOKUP(B223,bond!B:AN,39,FALSE)="Y","(PI)專投",IF(AD223&gt;=15,"(NPI)非專投",IF(AD223&gt;=10,"(PI)專投","高資產")))))</f>
        <v>(PI)專投</v>
      </c>
      <c r="W223" s="136" t="str">
        <f ca="1">VLOOKUP(AD223,'credit rating'!$F$2:$H$22,3,FALSE)</f>
        <v>AA-</v>
      </c>
      <c r="X223" s="136" t="str">
        <f t="shared" ca="1" si="22"/>
        <v>A1</v>
      </c>
      <c r="Y223" s="136" t="str">
        <f t="shared" ca="1" si="23"/>
        <v>A-</v>
      </c>
      <c r="Z223" s="136" t="str">
        <f t="shared" ca="1" si="24"/>
        <v>AA-</v>
      </c>
      <c r="AA223" s="134">
        <f ca="1">IFERROR(VLOOKUP(X223,'credit rating'!A:C,3,FALSE),0)</f>
        <v>17</v>
      </c>
      <c r="AB223" s="134">
        <f ca="1">IFERROR(VLOOKUP(Y223,'credit rating'!B:C,2,FALSE),0)</f>
        <v>15</v>
      </c>
      <c r="AC223" s="136">
        <f ca="1">IFERROR(VLOOKUP(Z223,'credit rating'!B:C,2,FALSE),0)</f>
        <v>18</v>
      </c>
      <c r="AD223" s="136">
        <f t="shared" ca="1" si="25"/>
        <v>18</v>
      </c>
      <c r="AE223" s="249">
        <f ca="1">IFERROR(VLOOKUP(B223,bond!B:U,20,FALSE),"")</f>
        <v>4.9799999999999997E-2</v>
      </c>
      <c r="AF223" s="136" t="str">
        <f ca="1">IF(VLOOKUP(B223,bond!B:AK,36,FALSE)="#N/A Field Not Applicable","",VLOOKUP(B223,bond!B:AK,36,FALSE))</f>
        <v>2026/10/21</v>
      </c>
      <c r="AG223" s="136" t="str">
        <f ca="1">IF(VLOOKUP(B223,bond!B:AL,37,FALSE)="FIXED","固定",IF(VLOOKUP(B223,bond!B:AL,37,FALSE)="FLOATING","浮動",IF(VLOOKUP(B223,bond!B:AL,37,FALSE)="VARIABLE","變動",IF(VLOOKUP(B223,bond!B:AL,37,FALSE)="FLAT TRADING","不含息交易",IF(VLOOKUP(B223,bond!B:AL,37,FALSE)="ZERO COUPON","零息",VLOOKUP(B223,bond!B:AL,37,FALSE))))))</f>
        <v>固定</v>
      </c>
      <c r="AH223" s="136" t="str">
        <f>VLOOKUP(C223,'2_Check_code'!I:J,2,FALSE)</f>
        <v>美元(USD)</v>
      </c>
      <c r="AI223" s="136" t="str">
        <f t="shared" ca="1" si="26"/>
        <v>自由選清單</v>
      </c>
      <c r="AJ223" s="136">
        <f t="shared" ca="1" si="27"/>
        <v>0</v>
      </c>
      <c r="AK223" s="594" t="str">
        <f ca="1">IF(VLOOKUP(B223,bond!B:S,18,FALSE)="是","有",IF(VLOOKUP(B223,bond!B:S,18,FALSE)="NO OFFER","無","需查詢"))</f>
        <v>有</v>
      </c>
      <c r="AL223" s="136" t="str">
        <f>IF(VLOOKUP(A223,bond!F:AR,39,FALSE)="#N/A Field Not Applicable",VLOOKUP(A223,bond!F:AR,38,FALSE),IFERROR(VLOOKUP(A223,'7_發行日例外'!A:B,2,FALSE),VLOOKUP(A223,bond!F:AR,39,FALSE)))</f>
        <v>2016/10/21</v>
      </c>
      <c r="AM223" s="136" t="str">
        <f ca="1">VLOOKUP(B223,bond!B:AK,36,FALSE)</f>
        <v>2026/10/21</v>
      </c>
      <c r="AN223" s="136" t="str">
        <f ca="1">IFERROR(VLOOKUP(B223,'3_是否下架'!A:A,1,FALSE),"")</f>
        <v/>
      </c>
      <c r="AO223" s="136">
        <f ca="1">VLOOKUP(B223,bond!B:J,9,FALSE)</f>
        <v>95.08</v>
      </c>
      <c r="AP223" s="136">
        <f ca="1">VLOOKUP(B223,bond!B:V,21,FALSE)</f>
        <v>3.0607000000000002</v>
      </c>
    </row>
    <row r="224" spans="1:42">
      <c r="A224" s="141" t="str">
        <f>bond!F225</f>
        <v>US438516CK03</v>
      </c>
      <c r="B224" s="151" t="str">
        <f ca="1">IF($C$1=TRUE,bond!B225,"")</f>
        <v>XH180</v>
      </c>
      <c r="C224" s="95" t="str">
        <f>VLOOKUP(A224,bond!F:G,2,FALSE)</f>
        <v>USD</v>
      </c>
      <c r="D224" s="142" t="str">
        <f ca="1">VLOOKUP(B224,bond!B:C,2,FALSE)</f>
        <v>漢威聯合國際公司美元配息債券 5% 2033/2/15</v>
      </c>
      <c r="E224" s="95" t="str">
        <f ca="1">VLOOKUP(B224,bond!B:D,3,FALSE)</f>
        <v>A2 / A / A</v>
      </c>
      <c r="F224" s="99" t="str">
        <f ca="1">VLOOKUP(B224,bond!B:AB,27,FALSE)</f>
        <v>2033/2/15</v>
      </c>
      <c r="G224" s="90">
        <f ca="1">VLOOKUP(B224,bond!B:E,4,FALSE)</f>
        <v>8.6199999999999992</v>
      </c>
      <c r="H224" s="202">
        <f ca="1">VLOOKUP(B224,bond!B:Y,24,FALSE)</f>
        <v>0.05</v>
      </c>
      <c r="I224" s="95">
        <f ca="1">VLOOKUP(B224,bond!B:Z,25,FALSE)</f>
        <v>2</v>
      </c>
      <c r="J224" s="180">
        <f ca="1">VLOOKUP(B224,bond!B:K,10,FALSE)</f>
        <v>1.9028</v>
      </c>
      <c r="K224" s="96">
        <f ca="1">VLOOKUP($B224,bond!B:S,14,FALSE)</f>
        <v>103.93</v>
      </c>
      <c r="L224" s="91" t="str">
        <f ca="1">VLOOKUP(B224,bond!B:H,7,FALSE)</f>
        <v>2024/7/2</v>
      </c>
      <c r="M224" s="144">
        <f ca="1">VLOOKUP($B224,bond!$B:$Q,16,FALSE)</f>
        <v>4.7100000000000003E-2</v>
      </c>
      <c r="N224" s="136">
        <f ca="1">VALUE(LEFT(VLOOKUP(B224,bond!B:R,17,FALSE),SEARCH(" ",VLOOKUP(B224,bond!B:R,17,FALSE),1)))</f>
        <v>10000</v>
      </c>
      <c r="O224" s="136">
        <f ca="1">VALUE(RIGHT(VLOOKUP(B224,bond!B:R,17,FALSE),LEN(VLOOKUP(B224,bond!B:R,17,FALSE))-LEN(N224)-3))</f>
        <v>1000</v>
      </c>
      <c r="P224" s="135" t="str">
        <f ca="1">VLOOKUP($B224,bond!$B:$AG,32,FALSE)</f>
        <v>2024/8/15</v>
      </c>
      <c r="Q224" s="135" t="str">
        <f ca="1">VLOOKUP($B224,bond!$B:$AH,33,FALSE)</f>
        <v>工業</v>
      </c>
      <c r="R224" s="135" t="str">
        <f ca="1">VLOOKUP(B224,bond!B:AA,26,FALSE)</f>
        <v>漢威聯合國際公司</v>
      </c>
      <c r="S224" s="135" t="str">
        <f ca="1">VLOOKUP(B224,bond!B:AI,34,FALSE)</f>
        <v>HON</v>
      </c>
      <c r="T224" s="135" t="str">
        <f t="shared" ca="1" si="21"/>
        <v>漢威聯合國際公司/HON</v>
      </c>
      <c r="U224" s="207" t="str">
        <f ca="1">IFERROR(VLOOKUP(T224,Bond_DES!D:E,2,FALSE),VLOOKUP(S224,bond!AI:AJ,2,FALSE))</f>
        <v>漢威聯合國際公司(Honeywell International Inc.)是全球性的多元化技術與製造公司，位居航空航太產業市值龍頭，業務涵蓋電子消費品生產、工程技術服務和航空航太系統；該公司所生產的空氣清淨機是獲美國過敏醫師推薦的第一品牌，在台灣連續10年銷售冠軍，此外，該公司也是波音、空中巴士兩家商用客機製造商的主要供應商之一。</v>
      </c>
      <c r="V224" s="136" t="str">
        <f ca="1">IFERROR(VLOOKUP(B224,'1_重設數據'!L:M,2,FALSE),IF(Q224="政府",IF(AD224&gt;16,"(NPI)非專投",IF(AD224&gt;10,"(PI)專投","高資產")),IF(VLOOKUP(B224,bond!B:AN,39,FALSE)="Y","(PI)專投",IF(AD224&gt;=15,"(NPI)非專投",IF(AD224&gt;=10,"(PI)專投","高資產")))))</f>
        <v>(NPI)非專投</v>
      </c>
      <c r="W224" s="136" t="str">
        <f ca="1">VLOOKUP(AD224,'credit rating'!$F$2:$H$22,3,FALSE)</f>
        <v>A</v>
      </c>
      <c r="X224" s="136" t="str">
        <f t="shared" ca="1" si="22"/>
        <v>A2</v>
      </c>
      <c r="Y224" s="136" t="str">
        <f t="shared" ca="1" si="23"/>
        <v>A</v>
      </c>
      <c r="Z224" s="136" t="str">
        <f t="shared" ca="1" si="24"/>
        <v>A</v>
      </c>
      <c r="AA224" s="134">
        <f ca="1">IFERROR(VLOOKUP(X224,'credit rating'!A:C,3,FALSE),0)</f>
        <v>16</v>
      </c>
      <c r="AB224" s="134">
        <f ca="1">IFERROR(VLOOKUP(Y224,'credit rating'!B:C,2,FALSE),0)</f>
        <v>16</v>
      </c>
      <c r="AC224" s="136">
        <f ca="1">IFERROR(VLOOKUP(Z224,'credit rating'!B:C,2,FALSE),0)</f>
        <v>16</v>
      </c>
      <c r="AD224" s="136">
        <f t="shared" ca="1" si="25"/>
        <v>16</v>
      </c>
      <c r="AE224" s="249">
        <f ca="1">IFERROR(VLOOKUP(B224,bond!B:U,20,FALSE),"")</f>
        <v>4.7E-2</v>
      </c>
      <c r="AF224" s="136" t="str">
        <f ca="1">IF(VLOOKUP(B224,bond!B:AK,36,FALSE)="#N/A Field Not Applicable","",VLOOKUP(B224,bond!B:AK,36,FALSE))</f>
        <v>2032/11/15</v>
      </c>
      <c r="AG224" s="136" t="str">
        <f ca="1">IF(VLOOKUP(B224,bond!B:AL,37,FALSE)="FIXED","固定",IF(VLOOKUP(B224,bond!B:AL,37,FALSE)="FLOATING","浮動",IF(VLOOKUP(B224,bond!B:AL,37,FALSE)="VARIABLE","變動",IF(VLOOKUP(B224,bond!B:AL,37,FALSE)="FLAT TRADING","不含息交易",IF(VLOOKUP(B224,bond!B:AL,37,FALSE)="ZERO COUPON","零息",VLOOKUP(B224,bond!B:AL,37,FALSE))))))</f>
        <v>固定</v>
      </c>
      <c r="AH224" s="136" t="str">
        <f>VLOOKUP(C224,'2_Check_code'!I:J,2,FALSE)</f>
        <v>美元(USD)</v>
      </c>
      <c r="AI224" s="136" t="str">
        <f t="shared" ca="1" si="26"/>
        <v>自由選清單</v>
      </c>
      <c r="AJ224" s="136">
        <f t="shared" ca="1" si="27"/>
        <v>0</v>
      </c>
      <c r="AK224" s="594" t="str">
        <f ca="1">IF(VLOOKUP(B224,bond!B:S,18,FALSE)="是","有",IF(VLOOKUP(B224,bond!B:S,18,FALSE)="NO OFFER","無","需查詢"))</f>
        <v>有</v>
      </c>
      <c r="AL224" s="136" t="str">
        <f>IF(VLOOKUP(A224,bond!F:AR,39,FALSE)="#N/A Field Not Applicable",VLOOKUP(A224,bond!F:AR,38,FALSE),IFERROR(VLOOKUP(A224,'7_發行日例外'!A:B,2,FALSE),VLOOKUP(A224,bond!F:AR,39,FALSE)))</f>
        <v>2022/11/2</v>
      </c>
      <c r="AM224" s="136" t="str">
        <f ca="1">VLOOKUP(B224,bond!B:AK,36,FALSE)</f>
        <v>2032/11/15</v>
      </c>
      <c r="AN224" s="136" t="str">
        <f ca="1">IFERROR(VLOOKUP(B224,'3_是否下架'!A:A,1,FALSE),"")</f>
        <v/>
      </c>
      <c r="AO224" s="136">
        <f ca="1">VLOOKUP(B224,bond!B:J,9,FALSE)</f>
        <v>100.53</v>
      </c>
      <c r="AP224" s="136">
        <f ca="1">VLOOKUP(B224,bond!B:V,21,FALSE)</f>
        <v>6.6574</v>
      </c>
    </row>
    <row r="225" spans="1:42">
      <c r="A225" s="141" t="str">
        <f>bond!F226</f>
        <v>US025816BF52</v>
      </c>
      <c r="B225" s="151" t="str">
        <f ca="1">IF($C$1=TRUE,bond!B226,"")</f>
        <v>XH190</v>
      </c>
      <c r="C225" s="95" t="str">
        <f>VLOOKUP(A225,bond!F:G,2,FALSE)</f>
        <v>USD</v>
      </c>
      <c r="D225" s="142" t="str">
        <f ca="1">VLOOKUP(B225,bond!B:C,2,FALSE)</f>
        <v>美國運通公司美元配息債券 4.05% 2042/12/3</v>
      </c>
      <c r="E225" s="95" t="str">
        <f ca="1">VLOOKUP(B225,bond!B:D,3,FALSE)</f>
        <v>A2 / BBB+ / A</v>
      </c>
      <c r="F225" s="99" t="str">
        <f ca="1">VLOOKUP(B225,bond!B:AB,27,FALSE)</f>
        <v>2042/12/3</v>
      </c>
      <c r="G225" s="90">
        <f ca="1">VLOOKUP(B225,bond!B:E,4,FALSE)</f>
        <v>18.420000000000002</v>
      </c>
      <c r="H225" s="202">
        <f ca="1">VLOOKUP(B225,bond!B:Y,24,FALSE)</f>
        <v>4.0500000000000001E-2</v>
      </c>
      <c r="I225" s="95">
        <f ca="1">VLOOKUP(B225,bond!B:Z,25,FALSE)</f>
        <v>2</v>
      </c>
      <c r="J225" s="180">
        <f ca="1">VLOOKUP(B225,bond!B:K,10,FALSE)</f>
        <v>0.32629999999999998</v>
      </c>
      <c r="K225" s="96">
        <f ca="1">VLOOKUP($B225,bond!B:S,14,FALSE)</f>
        <v>86.85</v>
      </c>
      <c r="L225" s="91" t="str">
        <f ca="1">VLOOKUP(B225,bond!B:H,7,FALSE)</f>
        <v>2024/7/2</v>
      </c>
      <c r="M225" s="144">
        <f ca="1">VLOOKUP($B225,bond!$B:$Q,16,FALSE)</f>
        <v>5.1999999999999998E-2</v>
      </c>
      <c r="N225" s="136">
        <f ca="1">VALUE(LEFT(VLOOKUP(B225,bond!B:R,17,FALSE),SEARCH(" ",VLOOKUP(B225,bond!B:R,17,FALSE),1)))</f>
        <v>10000</v>
      </c>
      <c r="O225" s="136">
        <f ca="1">VALUE(RIGHT(VLOOKUP(B225,bond!B:R,17,FALSE),LEN(VLOOKUP(B225,bond!B:R,17,FALSE))-LEN(N225)-3))</f>
        <v>1000</v>
      </c>
      <c r="P225" s="135" t="str">
        <f ca="1">VLOOKUP($B225,bond!$B:$AG,32,FALSE)</f>
        <v>2024/12/3</v>
      </c>
      <c r="Q225" s="135" t="str">
        <f ca="1">VLOOKUP($B225,bond!$B:$AH,33,FALSE)</f>
        <v>金融</v>
      </c>
      <c r="R225" s="135" t="str">
        <f ca="1">VLOOKUP(B225,bond!B:AA,26,FALSE)</f>
        <v>美國運通</v>
      </c>
      <c r="S225" s="135" t="str">
        <f ca="1">VLOOKUP(B225,bond!B:AI,34,FALSE)</f>
        <v>AXP</v>
      </c>
      <c r="T225" s="135" t="str">
        <f t="shared" ca="1" si="21"/>
        <v>美國運通/AXP</v>
      </c>
      <c r="U225" s="207" t="str">
        <f ca="1">IFERROR(VLOOKUP(T225,Bond_DES!D:E,2,FALSE),VLOOKUP(S225,bond!AI:AJ,2,FALSE))</f>
        <v>美國運通(American Express)是一家全球性綜合支付公司，亦是世界上唯一一家同時身兼發卡、商戶收單和卡網路支付清算業務於一身的公司，名列富比世百大企業、財富全球500大公司之一，美國運通發行的頂級黑卡「 百夫長卡」被讚譽為世界上最強的信用卡。公司最大股東為巴菲特所職掌的波克夏海瑟威公司，持有美國運通已超過25年。</v>
      </c>
      <c r="V225" s="136" t="str">
        <f ca="1">IFERROR(VLOOKUP(B225,'1_重設數據'!L:M,2,FALSE),IF(Q225="政府",IF(AD225&gt;16,"(NPI)非專投",IF(AD225&gt;10,"(PI)專投","高資產")),IF(VLOOKUP(B225,bond!B:AN,39,FALSE)="Y","(PI)專投",IF(AD225&gt;=15,"(NPI)非專投",IF(AD225&gt;=10,"(PI)專投","高資產")))))</f>
        <v>(NPI)非專投</v>
      </c>
      <c r="W225" s="136" t="str">
        <f ca="1">VLOOKUP(AD225,'credit rating'!$F$2:$H$22,3,FALSE)</f>
        <v>A</v>
      </c>
      <c r="X225" s="136" t="str">
        <f t="shared" ca="1" si="22"/>
        <v>A2</v>
      </c>
      <c r="Y225" s="136" t="str">
        <f t="shared" ca="1" si="23"/>
        <v>BBB+</v>
      </c>
      <c r="Z225" s="136" t="str">
        <f t="shared" ca="1" si="24"/>
        <v>A</v>
      </c>
      <c r="AA225" s="134">
        <f ca="1">IFERROR(VLOOKUP(X225,'credit rating'!A:C,3,FALSE),0)</f>
        <v>16</v>
      </c>
      <c r="AB225" s="134">
        <f ca="1">IFERROR(VLOOKUP(Y225,'credit rating'!B:C,2,FALSE),0)</f>
        <v>14</v>
      </c>
      <c r="AC225" s="136">
        <f ca="1">IFERROR(VLOOKUP(Z225,'credit rating'!B:C,2,FALSE),0)</f>
        <v>16</v>
      </c>
      <c r="AD225" s="136">
        <f t="shared" ca="1" si="25"/>
        <v>16</v>
      </c>
      <c r="AE225" s="249" t="str">
        <f ca="1">IFERROR(VLOOKUP(B225,bond!B:U,20,FALSE),"")</f>
        <v xml:space="preserve"> </v>
      </c>
      <c r="AF225" s="136" t="str">
        <f ca="1">IF(VLOOKUP(B225,bond!B:AK,36,FALSE)="#N/A Field Not Applicable","",VLOOKUP(B225,bond!B:AK,36,FALSE))</f>
        <v/>
      </c>
      <c r="AG225" s="136" t="str">
        <f ca="1">IF(VLOOKUP(B225,bond!B:AL,37,FALSE)="FIXED","固定",IF(VLOOKUP(B225,bond!B:AL,37,FALSE)="FLOATING","浮動",IF(VLOOKUP(B225,bond!B:AL,37,FALSE)="VARIABLE","變動",IF(VLOOKUP(B225,bond!B:AL,37,FALSE)="FLAT TRADING","不含息交易",IF(VLOOKUP(B225,bond!B:AL,37,FALSE)="ZERO COUPON","零息",VLOOKUP(B225,bond!B:AL,37,FALSE))))))</f>
        <v>固定</v>
      </c>
      <c r="AH225" s="136" t="str">
        <f>VLOOKUP(C225,'2_Check_code'!I:J,2,FALSE)</f>
        <v>美元(USD)</v>
      </c>
      <c r="AI225" s="136" t="str">
        <f t="shared" ca="1" si="26"/>
        <v>自由選清單</v>
      </c>
      <c r="AJ225" s="136">
        <f t="shared" ca="1" si="27"/>
        <v>0</v>
      </c>
      <c r="AK225" s="594" t="str">
        <f ca="1">IF(VLOOKUP(B225,bond!B:S,18,FALSE)="是","有",IF(VLOOKUP(B225,bond!B:S,18,FALSE)="NO OFFER","無","需查詢"))</f>
        <v>有</v>
      </c>
      <c r="AL225" s="136" t="str">
        <f>IF(VLOOKUP(A225,bond!F:AR,39,FALSE)="#N/A Field Not Applicable",VLOOKUP(A225,bond!F:AR,38,FALSE),IFERROR(VLOOKUP(A225,'7_發行日例外'!A:B,2,FALSE),VLOOKUP(A225,bond!F:AR,39,FALSE)))</f>
        <v>2012/12/3</v>
      </c>
      <c r="AM225" s="136" t="str">
        <f ca="1">VLOOKUP(B225,bond!B:AK,36,FALSE)</f>
        <v>#N/A Field Not Applicable</v>
      </c>
      <c r="AN225" s="136" t="str">
        <f ca="1">IFERROR(VLOOKUP(B225,'3_是否下架'!A:A,1,FALSE),"")</f>
        <v/>
      </c>
      <c r="AO225" s="136">
        <f ca="1">VLOOKUP(B225,bond!B:J,9,FALSE)</f>
        <v>84.02000000000001</v>
      </c>
      <c r="AP225" s="136">
        <f ca="1">VLOOKUP(B225,bond!B:V,21,FALSE)</f>
        <v>12.253</v>
      </c>
    </row>
    <row r="226" spans="1:42">
      <c r="A226" s="141" t="str">
        <f>bond!F227</f>
        <v>US74432QCA13</v>
      </c>
      <c r="B226" s="151" t="str">
        <f ca="1">IF($C$1=TRUE,bond!B227,"")</f>
        <v>XH200</v>
      </c>
      <c r="C226" s="95" t="str">
        <f>VLOOKUP(A226,bond!F:G,2,FALSE)</f>
        <v>USD</v>
      </c>
      <c r="D226" s="142" t="str">
        <f ca="1">VLOOKUP(B226,bond!B:C,2,FALSE)</f>
        <v>保德信金融公司美元配息債券 4.6% 2044/5/15</v>
      </c>
      <c r="E226" s="95" t="str">
        <f ca="1">VLOOKUP(B226,bond!B:D,3,FALSE)</f>
        <v>A3 / A / A-</v>
      </c>
      <c r="F226" s="99" t="str">
        <f ca="1">VLOOKUP(B226,bond!B:AB,27,FALSE)</f>
        <v>2044/5/15</v>
      </c>
      <c r="G226" s="90">
        <f ca="1">VLOOKUP(B226,bond!B:E,4,FALSE)</f>
        <v>19.87</v>
      </c>
      <c r="H226" s="202">
        <f ca="1">VLOOKUP(B226,bond!B:Y,24,FALSE)</f>
        <v>4.5999999999999999E-2</v>
      </c>
      <c r="I226" s="95">
        <f ca="1">VLOOKUP(B226,bond!B:Z,25,FALSE)</f>
        <v>2</v>
      </c>
      <c r="J226" s="180">
        <f ca="1">VLOOKUP(B226,bond!B:K,10,FALSE)</f>
        <v>0.60060000000000002</v>
      </c>
      <c r="K226" s="96">
        <f ca="1">VLOOKUP($B226,bond!B:S,14,FALSE)</f>
        <v>91.3</v>
      </c>
      <c r="L226" s="91" t="str">
        <f ca="1">VLOOKUP(B226,bond!B:H,7,FALSE)</f>
        <v>2024/7/2</v>
      </c>
      <c r="M226" s="144">
        <f ca="1">VLOOKUP($B226,bond!$B:$Q,16,FALSE)</f>
        <v>5.3699999999999998E-2</v>
      </c>
      <c r="N226" s="136">
        <f ca="1">VALUE(LEFT(VLOOKUP(B226,bond!B:R,17,FALSE),SEARCH(" ",VLOOKUP(B226,bond!B:R,17,FALSE),1)))</f>
        <v>10000</v>
      </c>
      <c r="O226" s="136">
        <f ca="1">VALUE(RIGHT(VLOOKUP(B226,bond!B:R,17,FALSE),LEN(VLOOKUP(B226,bond!B:R,17,FALSE))-LEN(N226)-3))</f>
        <v>1000</v>
      </c>
      <c r="P226" s="135" t="str">
        <f ca="1">VLOOKUP($B226,bond!$B:$AG,32,FALSE)</f>
        <v>2024/11/15</v>
      </c>
      <c r="Q226" s="135" t="str">
        <f ca="1">VLOOKUP($B226,bond!$B:$AH,33,FALSE)</f>
        <v>金融</v>
      </c>
      <c r="R226" s="135" t="str">
        <f ca="1">VLOOKUP(B226,bond!B:AA,26,FALSE)</f>
        <v>保德信金融</v>
      </c>
      <c r="S226" s="135" t="str">
        <f ca="1">VLOOKUP(B226,bond!B:AI,34,FALSE)</f>
        <v>PRU</v>
      </c>
      <c r="T226" s="135" t="str">
        <f t="shared" ca="1" si="21"/>
        <v>保德信金融/PRU</v>
      </c>
      <c r="U226" s="207" t="str">
        <f ca="1">IFERROR(VLOOKUP(T226,Bond_DES!D:E,2,FALSE),VLOOKUP(S226,bond!AI:AJ,2,FALSE))</f>
        <v>保德信金融公司(Prudential Financial, Inc.)為美國的保險金融集團，提供遍及全球40多個國家的金融服務，名列2023年《Fortune》美國500強企業第67位且在壽險產業中為第2位(僅次於大都會保險)。據2023《退休金與投資》統計，該公司旗下保德信投資管理(PGIM)為全球第11大資產管理公司。</v>
      </c>
      <c r="V226" s="136" t="str">
        <f ca="1">IFERROR(VLOOKUP(B226,'1_重設數據'!L:M,2,FALSE),IF(Q226="政府",IF(AD226&gt;16,"(NPI)非專投",IF(AD226&gt;10,"(PI)專投","高資產")),IF(VLOOKUP(B226,bond!B:AN,39,FALSE)="Y","(PI)專投",IF(AD226&gt;=15,"(NPI)非專投",IF(AD226&gt;=10,"(PI)專投","高資產")))))</f>
        <v>(NPI)非專投</v>
      </c>
      <c r="W226" s="136" t="str">
        <f ca="1">VLOOKUP(AD226,'credit rating'!$F$2:$H$22,3,FALSE)</f>
        <v>A</v>
      </c>
      <c r="X226" s="136" t="str">
        <f t="shared" ca="1" si="22"/>
        <v>A3</v>
      </c>
      <c r="Y226" s="136" t="str">
        <f t="shared" ca="1" si="23"/>
        <v>A</v>
      </c>
      <c r="Z226" s="136" t="str">
        <f t="shared" ca="1" si="24"/>
        <v>A-</v>
      </c>
      <c r="AA226" s="134">
        <f ca="1">IFERROR(VLOOKUP(X226,'credit rating'!A:C,3,FALSE),0)</f>
        <v>15</v>
      </c>
      <c r="AB226" s="134">
        <f ca="1">IFERROR(VLOOKUP(Y226,'credit rating'!B:C,2,FALSE),0)</f>
        <v>16</v>
      </c>
      <c r="AC226" s="136">
        <f ca="1">IFERROR(VLOOKUP(Z226,'credit rating'!B:C,2,FALSE),0)</f>
        <v>15</v>
      </c>
      <c r="AD226" s="136">
        <f t="shared" ca="1" si="25"/>
        <v>16</v>
      </c>
      <c r="AE226" s="249" t="str">
        <f ca="1">IFERROR(VLOOKUP(B226,bond!B:U,20,FALSE),"")</f>
        <v xml:space="preserve"> </v>
      </c>
      <c r="AF226" s="136" t="str">
        <f ca="1">IF(VLOOKUP(B226,bond!B:AK,36,FALSE)="#N/A Field Not Applicable","",VLOOKUP(B226,bond!B:AK,36,FALSE))</f>
        <v/>
      </c>
      <c r="AG226" s="136" t="str">
        <f ca="1">IF(VLOOKUP(B226,bond!B:AL,37,FALSE)="FIXED","固定",IF(VLOOKUP(B226,bond!B:AL,37,FALSE)="FLOATING","浮動",IF(VLOOKUP(B226,bond!B:AL,37,FALSE)="VARIABLE","變動",IF(VLOOKUP(B226,bond!B:AL,37,FALSE)="FLAT TRADING","不含息交易",IF(VLOOKUP(B226,bond!B:AL,37,FALSE)="ZERO COUPON","零息",VLOOKUP(B226,bond!B:AL,37,FALSE))))))</f>
        <v>固定</v>
      </c>
      <c r="AH226" s="136" t="str">
        <f>VLOOKUP(C226,'2_Check_code'!I:J,2,FALSE)</f>
        <v>美元(USD)</v>
      </c>
      <c r="AI226" s="136" t="str">
        <f t="shared" ca="1" si="26"/>
        <v>自由選清單</v>
      </c>
      <c r="AJ226" s="136">
        <f t="shared" ca="1" si="27"/>
        <v>0</v>
      </c>
      <c r="AK226" s="594" t="str">
        <f ca="1">IF(VLOOKUP(B226,bond!B:S,18,FALSE)="是","有",IF(VLOOKUP(B226,bond!B:S,18,FALSE)="NO OFFER","無","需查詢"))</f>
        <v>有</v>
      </c>
      <c r="AL226" s="136" t="str">
        <f>IF(VLOOKUP(A226,bond!F:AR,39,FALSE)="#N/A Field Not Applicable",VLOOKUP(A226,bond!F:AR,38,FALSE),IFERROR(VLOOKUP(A226,'7_發行日例外'!A:B,2,FALSE),VLOOKUP(A226,bond!F:AR,39,FALSE)))</f>
        <v>2014/5/15</v>
      </c>
      <c r="AM226" s="136" t="str">
        <f ca="1">VLOOKUP(B226,bond!B:AK,36,FALSE)</f>
        <v>#N/A Field Not Applicable</v>
      </c>
      <c r="AN226" s="136" t="str">
        <f ca="1">IFERROR(VLOOKUP(B226,'3_是否下架'!A:A,1,FALSE),"")</f>
        <v/>
      </c>
      <c r="AO226" s="136">
        <f ca="1">VLOOKUP(B226,bond!B:J,9,FALSE)</f>
        <v>88.2</v>
      </c>
      <c r="AP226" s="136">
        <f ca="1">VLOOKUP(B226,bond!B:V,21,FALSE)</f>
        <v>12.357900000000001</v>
      </c>
    </row>
    <row r="227" spans="1:42">
      <c r="A227" s="141" t="str">
        <f>bond!F228</f>
        <v>USU9273ADM46</v>
      </c>
      <c r="B227" s="151" t="str">
        <f ca="1">IF($C$1=TRUE,bond!B228,"")</f>
        <v>XH220</v>
      </c>
      <c r="C227" s="95" t="str">
        <f>VLOOKUP(A227,bond!F:G,2,FALSE)</f>
        <v>USD</v>
      </c>
      <c r="D227" s="142" t="str">
        <f ca="1">VLOOKUP(B227,bond!B:C,2,FALSE)</f>
        <v>福斯集團(美國)金融有限責任公司美元配息債券 4.6% 2029/6/8</v>
      </c>
      <c r="E227" s="95" t="str">
        <f ca="1">VLOOKUP(B227,bond!B:D,3,FALSE)</f>
        <v>A3 / BBB+ / A-</v>
      </c>
      <c r="F227" s="99" t="str">
        <f ca="1">VLOOKUP(B227,bond!B:AB,27,FALSE)</f>
        <v>2029/6/8</v>
      </c>
      <c r="G227" s="90">
        <f ca="1">VLOOKUP(B227,bond!B:E,4,FALSE)</f>
        <v>4.93</v>
      </c>
      <c r="H227" s="202">
        <f ca="1">VLOOKUP(B227,bond!B:Y,24,FALSE)</f>
        <v>4.5999999999999999E-2</v>
      </c>
      <c r="I227" s="95">
        <f ca="1">VLOOKUP(B227,bond!B:Z,25,FALSE)</f>
        <v>2</v>
      </c>
      <c r="J227" s="180">
        <f ca="1">VLOOKUP(B227,bond!B:K,10,FALSE)</f>
        <v>0.30669999999999997</v>
      </c>
      <c r="K227" s="96">
        <f ca="1">VLOOKUP($B227,bond!B:S,14,FALSE)</f>
        <v>99.24</v>
      </c>
      <c r="L227" s="91" t="str">
        <f ca="1">VLOOKUP(B227,bond!B:H,7,FALSE)</f>
        <v>2024/7/2</v>
      </c>
      <c r="M227" s="144">
        <f ca="1">VLOOKUP($B227,bond!$B:$Q,16,FALSE)</f>
        <v>4.8500000000000001E-2</v>
      </c>
      <c r="N227" s="136">
        <f ca="1">VALUE(LEFT(VLOOKUP(B227,bond!B:R,17,FALSE),SEARCH(" ",VLOOKUP(B227,bond!B:R,17,FALSE),1)))</f>
        <v>200000</v>
      </c>
      <c r="O227" s="136">
        <f ca="1">VALUE(RIGHT(VLOOKUP(B227,bond!B:R,17,FALSE),LEN(VLOOKUP(B227,bond!B:R,17,FALSE))-LEN(N227)-3))</f>
        <v>1000</v>
      </c>
      <c r="P227" s="135" t="str">
        <f ca="1">VLOOKUP($B227,bond!$B:$AG,32,FALSE)</f>
        <v>2024/12/8</v>
      </c>
      <c r="Q227" s="135" t="str">
        <f ca="1">VLOOKUP($B227,bond!$B:$AH,33,FALSE)</f>
        <v>非核心消費</v>
      </c>
      <c r="R227" s="135" t="str">
        <f ca="1">VLOOKUP(B227,bond!B:AA,26,FALSE)</f>
        <v>福斯集團(美國)金融</v>
      </c>
      <c r="S227" s="135" t="str">
        <f ca="1">VLOOKUP(B227,bond!B:AI,34,FALSE)</f>
        <v>VW</v>
      </c>
      <c r="T227" s="135" t="str">
        <f t="shared" ca="1" si="21"/>
        <v>福斯集團(美國)金融/VW</v>
      </c>
      <c r="U227" s="207" t="str">
        <f ca="1">IFERROR(VLOOKUP(T227,Bond_DES!D:E,2,FALSE),VLOOKUP(S227,bond!AI:AJ,2,FALSE))</f>
        <v>福斯集團美國金融有限責任公司(Volkswagen Group of America Finance, LLC)為特殊目的機構，本券由福斯股份有限公司(Volkswagen AG)提供保證。福斯是歐洲市值最大汽車製造商、全球汽車製造營收龍頭，擁有Volkswagen、Audi、ŠKODA、Porsche等眾多知名汽車品牌。</v>
      </c>
      <c r="V227" s="136" t="str">
        <f ca="1">IFERROR(VLOOKUP(B227,'1_重設數據'!L:M,2,FALSE),IF(Q227="政府",IF(AD227&gt;16,"(NPI)非專投",IF(AD227&gt;10,"(PI)專投","高資產")),IF(VLOOKUP(B227,bond!B:AN,39,FALSE)="Y","(PI)專投",IF(AD227&gt;=15,"(NPI)非專投",IF(AD227&gt;=10,"(PI)專投","高資產")))))</f>
        <v>(NPI)非專投</v>
      </c>
      <c r="W227" s="136" t="str">
        <f ca="1">VLOOKUP(AD227,'credit rating'!$F$2:$H$22,3,FALSE)</f>
        <v>A-</v>
      </c>
      <c r="X227" s="136" t="str">
        <f t="shared" ca="1" si="22"/>
        <v>A3</v>
      </c>
      <c r="Y227" s="136" t="str">
        <f t="shared" ca="1" si="23"/>
        <v>BBB+</v>
      </c>
      <c r="Z227" s="136" t="str">
        <f t="shared" ca="1" si="24"/>
        <v>A-</v>
      </c>
      <c r="AA227" s="134">
        <f ca="1">IFERROR(VLOOKUP(X227,'credit rating'!A:C,3,FALSE),0)</f>
        <v>15</v>
      </c>
      <c r="AB227" s="134">
        <f ca="1">IFERROR(VLOOKUP(Y227,'credit rating'!B:C,2,FALSE),0)</f>
        <v>14</v>
      </c>
      <c r="AC227" s="136">
        <f ca="1">IFERROR(VLOOKUP(Z227,'credit rating'!B:C,2,FALSE),0)</f>
        <v>15</v>
      </c>
      <c r="AD227" s="136">
        <f t="shared" ca="1" si="25"/>
        <v>15</v>
      </c>
      <c r="AE227" s="249">
        <f ca="1">IFERROR(VLOOKUP(B227,bond!B:U,20,FALSE),"")</f>
        <v>4.8500000000000001E-2</v>
      </c>
      <c r="AF227" s="136" t="str">
        <f ca="1">IF(VLOOKUP(B227,bond!B:AK,36,FALSE)="#N/A Field Not Applicable","",VLOOKUP(B227,bond!B:AK,36,FALSE))</f>
        <v>2029/4/8</v>
      </c>
      <c r="AG227" s="136" t="str">
        <f ca="1">IF(VLOOKUP(B227,bond!B:AL,37,FALSE)="FIXED","固定",IF(VLOOKUP(B227,bond!B:AL,37,FALSE)="FLOATING","浮動",IF(VLOOKUP(B227,bond!B:AL,37,FALSE)="VARIABLE","變動",IF(VLOOKUP(B227,bond!B:AL,37,FALSE)="FLAT TRADING","不含息交易",IF(VLOOKUP(B227,bond!B:AL,37,FALSE)="ZERO COUPON","零息",VLOOKUP(B227,bond!B:AL,37,FALSE))))))</f>
        <v>固定</v>
      </c>
      <c r="AH227" s="136" t="str">
        <f>VLOOKUP(C227,'2_Check_code'!I:J,2,FALSE)</f>
        <v>美元(USD)</v>
      </c>
      <c r="AI227" s="136" t="str">
        <f t="shared" ca="1" si="26"/>
        <v>自由選清單</v>
      </c>
      <c r="AJ227" s="136">
        <f t="shared" ca="1" si="27"/>
        <v>0</v>
      </c>
      <c r="AK227" s="594" t="str">
        <f ca="1">IF(VLOOKUP(B227,bond!B:S,18,FALSE)="是","有",IF(VLOOKUP(B227,bond!B:S,18,FALSE)="NO OFFER","無","需查詢"))</f>
        <v>有</v>
      </c>
      <c r="AL227" s="136" t="str">
        <f>IF(VLOOKUP(A227,bond!F:AR,39,FALSE)="#N/A Field Not Applicable",VLOOKUP(A227,bond!F:AR,38,FALSE),IFERROR(VLOOKUP(A227,'7_發行日例外'!A:B,2,FALSE),VLOOKUP(A227,bond!F:AR,39,FALSE)))</f>
        <v>2022/6/8</v>
      </c>
      <c r="AM227" s="136" t="str">
        <f ca="1">VLOOKUP(B227,bond!B:AK,36,FALSE)</f>
        <v>2029/4/8</v>
      </c>
      <c r="AN227" s="136" t="str">
        <f ca="1">IFERROR(VLOOKUP(B227,'3_是否下架'!A:A,1,FALSE),"")</f>
        <v/>
      </c>
      <c r="AO227" s="136">
        <f ca="1">VLOOKUP(B227,bond!B:J,9,FALSE)</f>
        <v>97.43</v>
      </c>
      <c r="AP227" s="136">
        <f ca="1">VLOOKUP(B227,bond!B:V,21,FALSE)</f>
        <v>4.3391000000000002</v>
      </c>
    </row>
    <row r="228" spans="1:42">
      <c r="A228" s="141" t="str">
        <f>bond!F229</f>
        <v>USU5876JAC90</v>
      </c>
      <c r="B228" s="151" t="str">
        <f ca="1">IF($C$1=TRUE,bond!B229,"")</f>
        <v>XH230</v>
      </c>
      <c r="C228" s="95" t="str">
        <f>VLOOKUP(A228,bond!F:G,2,FALSE)</f>
        <v>USD</v>
      </c>
      <c r="D228" s="142" t="str">
        <f ca="1">VLOOKUP(B228,bond!B:C,2,FALSE)</f>
        <v>梅賽德斯-賓士金融北美有限責任公司美元配息債券 5.25% 2027/11/29</v>
      </c>
      <c r="E228" s="95" t="str">
        <f ca="1">VLOOKUP(B228,bond!B:D,3,FALSE)</f>
        <v>A2 / A / A</v>
      </c>
      <c r="F228" s="99" t="str">
        <f ca="1">VLOOKUP(B228,bond!B:AB,27,FALSE)</f>
        <v>2027/11/29</v>
      </c>
      <c r="G228" s="90">
        <f ca="1">VLOOKUP(B228,bond!B:E,4,FALSE)</f>
        <v>3.41</v>
      </c>
      <c r="H228" s="202">
        <f ca="1">VLOOKUP(B228,bond!B:Y,24,FALSE)</f>
        <v>5.2499999999999998E-2</v>
      </c>
      <c r="I228" s="95">
        <f ca="1">VLOOKUP(B228,bond!B:Z,25,FALSE)</f>
        <v>2</v>
      </c>
      <c r="J228" s="180">
        <f ca="1">VLOOKUP(B228,bond!B:K,10,FALSE)</f>
        <v>0.48130000000000001</v>
      </c>
      <c r="K228" s="96">
        <f ca="1">VLOOKUP($B228,bond!B:S,14,FALSE)</f>
        <v>103.08</v>
      </c>
      <c r="L228" s="91" t="str">
        <f ca="1">VLOOKUP(B228,bond!B:H,7,FALSE)</f>
        <v>2024/7/2</v>
      </c>
      <c r="M228" s="144">
        <f ca="1">VLOOKUP($B228,bond!$B:$Q,16,FALSE)</f>
        <v>4.4200000000000003E-2</v>
      </c>
      <c r="N228" s="136">
        <f ca="1">VALUE(LEFT(VLOOKUP(B228,bond!B:R,17,FALSE),SEARCH(" ",VLOOKUP(B228,bond!B:R,17,FALSE),1)))</f>
        <v>200000</v>
      </c>
      <c r="O228" s="136">
        <f ca="1">VALUE(RIGHT(VLOOKUP(B228,bond!B:R,17,FALSE),LEN(VLOOKUP(B228,bond!B:R,17,FALSE))-LEN(N228)-3))</f>
        <v>1000</v>
      </c>
      <c r="P228" s="135" t="str">
        <f ca="1">VLOOKUP($B228,bond!$B:$AG,32,FALSE)</f>
        <v>2024/11/29</v>
      </c>
      <c r="Q228" s="135" t="str">
        <f ca="1">VLOOKUP($B228,bond!$B:$AH,33,FALSE)</f>
        <v>非核心消費</v>
      </c>
      <c r="R228" s="135" t="str">
        <f ca="1">VLOOKUP(B228,bond!B:AA,26,FALSE)</f>
        <v>梅賽德斯-賓士金融北美有限責</v>
      </c>
      <c r="S228" s="135" t="str">
        <f ca="1">VLOOKUP(B228,bond!B:AI,34,FALSE)</f>
        <v>MBGGR</v>
      </c>
      <c r="T228" s="135" t="str">
        <f t="shared" ca="1" si="21"/>
        <v>梅賽德斯-賓士金融北美有限責/MBGGR</v>
      </c>
      <c r="U228" s="207" t="str">
        <f ca="1">IFERROR(VLOOKUP(T228,Bond_DES!D:E,2,FALSE),VLOOKUP(S228,bond!AI:AJ,2,FALSE))</f>
        <v>梅賽德斯-賓士金融北美有限責任公司(Mercedes-Benz Finance North America LLC)為一家特殊目的機構。保證機構賓士集團(Mercedes-Benz Group)前身為Daimler AG，2021年底分拆商用車業務(卡車及巴士)後更為現名；根據2025年《Interbrand》旗下賓士汽車品牌價值高居汽車產業全球第二(僅次於豐田)。</v>
      </c>
      <c r="V228" s="136" t="str">
        <f ca="1">IFERROR(VLOOKUP(B228,'1_重設數據'!L:M,2,FALSE),IF(Q228="政府",IF(AD228&gt;16,"(NPI)非專投",IF(AD228&gt;10,"(PI)專投","高資產")),IF(VLOOKUP(B228,bond!B:AN,39,FALSE)="Y","(PI)專投",IF(AD228&gt;=15,"(NPI)非專投",IF(AD228&gt;=10,"(PI)專投","高資產")))))</f>
        <v>(NPI)非專投</v>
      </c>
      <c r="W228" s="136" t="str">
        <f ca="1">VLOOKUP(AD228,'credit rating'!$F$2:$H$22,3,FALSE)</f>
        <v>A</v>
      </c>
      <c r="X228" s="136" t="str">
        <f t="shared" ca="1" si="22"/>
        <v>A2</v>
      </c>
      <c r="Y228" s="136" t="str">
        <f t="shared" ca="1" si="23"/>
        <v>A</v>
      </c>
      <c r="Z228" s="136" t="str">
        <f t="shared" ca="1" si="24"/>
        <v>A</v>
      </c>
      <c r="AA228" s="134">
        <f ca="1">IFERROR(VLOOKUP(X228,'credit rating'!A:C,3,FALSE),0)</f>
        <v>16</v>
      </c>
      <c r="AB228" s="134">
        <f ca="1">IFERROR(VLOOKUP(Y228,'credit rating'!B:C,2,FALSE),0)</f>
        <v>16</v>
      </c>
      <c r="AC228" s="136">
        <f ca="1">IFERROR(VLOOKUP(Z228,'credit rating'!B:C,2,FALSE),0)</f>
        <v>16</v>
      </c>
      <c r="AD228" s="136">
        <f t="shared" ca="1" si="25"/>
        <v>16</v>
      </c>
      <c r="AE228" s="249" t="str">
        <f ca="1">IFERROR(VLOOKUP(B228,bond!B:U,20,FALSE),"")</f>
        <v xml:space="preserve"> </v>
      </c>
      <c r="AF228" s="136" t="str">
        <f ca="1">IF(VLOOKUP(B228,bond!B:AK,36,FALSE)="#N/A Field Not Applicable","",VLOOKUP(B228,bond!B:AK,36,FALSE))</f>
        <v/>
      </c>
      <c r="AG228" s="136" t="str">
        <f ca="1">IF(VLOOKUP(B228,bond!B:AL,37,FALSE)="FIXED","固定",IF(VLOOKUP(B228,bond!B:AL,37,FALSE)="FLOATING","浮動",IF(VLOOKUP(B228,bond!B:AL,37,FALSE)="VARIABLE","變動",IF(VLOOKUP(B228,bond!B:AL,37,FALSE)="FLAT TRADING","不含息交易",IF(VLOOKUP(B228,bond!B:AL,37,FALSE)="ZERO COUPON","零息",VLOOKUP(B228,bond!B:AL,37,FALSE))))))</f>
        <v>固定</v>
      </c>
      <c r="AH228" s="136" t="str">
        <f>VLOOKUP(C228,'2_Check_code'!I:J,2,FALSE)</f>
        <v>美元(USD)</v>
      </c>
      <c r="AI228" s="136" t="str">
        <f t="shared" ca="1" si="26"/>
        <v>自由選清單</v>
      </c>
      <c r="AJ228" s="136">
        <f t="shared" ca="1" si="27"/>
        <v>0</v>
      </c>
      <c r="AK228" s="594" t="str">
        <f ca="1">IF(VLOOKUP(B228,bond!B:S,18,FALSE)="是","有",IF(VLOOKUP(B228,bond!B:S,18,FALSE)="NO OFFER","無","需查詢"))</f>
        <v>有</v>
      </c>
      <c r="AL228" s="136" t="str">
        <f>IF(VLOOKUP(A228,bond!F:AR,39,FALSE)="#N/A Field Not Applicable",VLOOKUP(A228,bond!F:AR,38,FALSE),IFERROR(VLOOKUP(A228,'7_發行日例外'!A:B,2,FALSE),VLOOKUP(A228,bond!F:AR,39,FALSE)))</f>
        <v>2022/11/28</v>
      </c>
      <c r="AM228" s="136" t="str">
        <f ca="1">VLOOKUP(B228,bond!B:AK,36,FALSE)</f>
        <v>#N/A Field Not Applicable</v>
      </c>
      <c r="AN228" s="136" t="str">
        <f ca="1">IFERROR(VLOOKUP(B228,'3_是否下架'!A:A,1,FALSE),"")</f>
        <v/>
      </c>
      <c r="AO228" s="136">
        <f ca="1">VLOOKUP(B228,bond!B:J,9,FALSE)</f>
        <v>101.10000000000001</v>
      </c>
      <c r="AP228" s="136">
        <f ca="1">VLOOKUP(B228,bond!B:V,21,FALSE)</f>
        <v>3.0798000000000001</v>
      </c>
    </row>
    <row r="229" spans="1:42">
      <c r="A229" s="141" t="str">
        <f>bond!F230</f>
        <v>US87612EBN58</v>
      </c>
      <c r="B229" s="151" t="str">
        <f ca="1">IF($C$1=TRUE,bond!B230,"")</f>
        <v>XH240</v>
      </c>
      <c r="C229" s="95" t="str">
        <f>VLOOKUP(A229,bond!F:G,2,FALSE)</f>
        <v>USD</v>
      </c>
      <c r="D229" s="142" t="str">
        <f ca="1">VLOOKUP(B229,bond!B:C,2,FALSE)</f>
        <v>目標百貨公司美元配息債券 2.95% 2052/1/15</v>
      </c>
      <c r="E229" s="95" t="str">
        <f ca="1">VLOOKUP(B229,bond!B:D,3,FALSE)</f>
        <v>A2 / A / A</v>
      </c>
      <c r="F229" s="99" t="str">
        <f ca="1">VLOOKUP(B229,bond!B:AB,27,FALSE)</f>
        <v>2052/1/15</v>
      </c>
      <c r="G229" s="90">
        <f ca="1">VLOOKUP(B229,bond!B:E,4,FALSE)</f>
        <v>27.54</v>
      </c>
      <c r="H229" s="202">
        <f ca="1">VLOOKUP(B229,bond!B:Y,24,FALSE)</f>
        <v>2.9500000000000002E-2</v>
      </c>
      <c r="I229" s="95">
        <f ca="1">VLOOKUP(B229,bond!B:Z,25,FALSE)</f>
        <v>2</v>
      </c>
      <c r="J229" s="180">
        <f ca="1">VLOOKUP(B229,bond!B:K,10,FALSE)</f>
        <v>1.3685</v>
      </c>
      <c r="K229" s="96">
        <f ca="1">VLOOKUP($B229,bond!B:S,14,FALSE)</f>
        <v>70.12</v>
      </c>
      <c r="L229" s="91" t="str">
        <f ca="1">VLOOKUP(B229,bond!B:H,7,FALSE)</f>
        <v>2024/7/2</v>
      </c>
      <c r="M229" s="144">
        <f ca="1">VLOOKUP($B229,bond!$B:$Q,16,FALSE)</f>
        <v>5.0700000000000002E-2</v>
      </c>
      <c r="N229" s="136">
        <f ca="1">VALUE(LEFT(VLOOKUP(B229,bond!B:R,17,FALSE),SEARCH(" ",VLOOKUP(B229,bond!B:R,17,FALSE),1)))</f>
        <v>10000</v>
      </c>
      <c r="O229" s="136">
        <f ca="1">VALUE(RIGHT(VLOOKUP(B229,bond!B:R,17,FALSE),LEN(VLOOKUP(B229,bond!B:R,17,FALSE))-LEN(N229)-3))</f>
        <v>1000</v>
      </c>
      <c r="P229" s="135" t="str">
        <f ca="1">VLOOKUP($B229,bond!$B:$AG,32,FALSE)</f>
        <v>2024/7/15</v>
      </c>
      <c r="Q229" s="135" t="str">
        <f ca="1">VLOOKUP($B229,bond!$B:$AH,33,FALSE)</f>
        <v>核心消費</v>
      </c>
      <c r="R229" s="135" t="str">
        <f ca="1">VLOOKUP(B229,bond!B:AA,26,FALSE)</f>
        <v>目標百貨公司</v>
      </c>
      <c r="S229" s="135" t="str">
        <f ca="1">VLOOKUP(B229,bond!B:AI,34,FALSE)</f>
        <v>TGT</v>
      </c>
      <c r="T229" s="135" t="str">
        <f t="shared" ca="1" si="21"/>
        <v>目標百貨公司/TGT</v>
      </c>
      <c r="U229" s="207" t="str">
        <f ca="1">IFERROR(VLOOKUP(T229,Bond_DES!D:E,2,FALSE),VLOOKUP(S229,bond!AI:AJ,2,FALSE))</f>
        <v>目標百貨(Target Corporation)起源於1902年，按營收為全球100強企業、全球三大日用百貨之一，將市場定位為「高級折扣零售店」；旗下擁有折扣商店Target和超大型超市SuperTarget，在美國50州和哥倫比亞特區皆有設點，共擁有1,900多家商店，以及超過45個自有品牌，同時開設線上銷售平台target.com。</v>
      </c>
      <c r="V229" s="136" t="str">
        <f ca="1">IFERROR(VLOOKUP(B229,'1_重設數據'!L:M,2,FALSE),IF(Q229="政府",IF(AD229&gt;16,"(NPI)非專投",IF(AD229&gt;10,"(PI)專投","高資產")),IF(VLOOKUP(B229,bond!B:AN,39,FALSE)="Y","(PI)專投",IF(AD229&gt;=15,"(NPI)非專投",IF(AD229&gt;=10,"(PI)專投","高資產")))))</f>
        <v>(NPI)非專投</v>
      </c>
      <c r="W229" s="136" t="str">
        <f ca="1">VLOOKUP(AD229,'credit rating'!$F$2:$H$22,3,FALSE)</f>
        <v>A</v>
      </c>
      <c r="X229" s="136" t="str">
        <f t="shared" ca="1" si="22"/>
        <v>A2</v>
      </c>
      <c r="Y229" s="136" t="str">
        <f t="shared" ca="1" si="23"/>
        <v>A</v>
      </c>
      <c r="Z229" s="136" t="str">
        <f t="shared" ca="1" si="24"/>
        <v>A</v>
      </c>
      <c r="AA229" s="134">
        <f ca="1">IFERROR(VLOOKUP(X229,'credit rating'!A:C,3,FALSE),0)</f>
        <v>16</v>
      </c>
      <c r="AB229" s="134">
        <f ca="1">IFERROR(VLOOKUP(Y229,'credit rating'!B:C,2,FALSE),0)</f>
        <v>16</v>
      </c>
      <c r="AC229" s="136">
        <f ca="1">IFERROR(VLOOKUP(Z229,'credit rating'!B:C,2,FALSE),0)</f>
        <v>16</v>
      </c>
      <c r="AD229" s="136">
        <f t="shared" ca="1" si="25"/>
        <v>16</v>
      </c>
      <c r="AE229" s="249">
        <f ca="1">IFERROR(VLOOKUP(B229,bond!B:U,20,FALSE),"")</f>
        <v>5.0900000000000001E-2</v>
      </c>
      <c r="AF229" s="136" t="str">
        <f ca="1">IF(VLOOKUP(B229,bond!B:AK,36,FALSE)="#N/A Field Not Applicable","",VLOOKUP(B229,bond!B:AK,36,FALSE))</f>
        <v>2051/7/15</v>
      </c>
      <c r="AG229" s="136" t="str">
        <f ca="1">IF(VLOOKUP(B229,bond!B:AL,37,FALSE)="FIXED","固定",IF(VLOOKUP(B229,bond!B:AL,37,FALSE)="FLOATING","浮動",IF(VLOOKUP(B229,bond!B:AL,37,FALSE)="VARIABLE","變動",IF(VLOOKUP(B229,bond!B:AL,37,FALSE)="FLAT TRADING","不含息交易",IF(VLOOKUP(B229,bond!B:AL,37,FALSE)="ZERO COUPON","零息",VLOOKUP(B229,bond!B:AL,37,FALSE))))))</f>
        <v>固定</v>
      </c>
      <c r="AH229" s="136" t="str">
        <f>VLOOKUP(C229,'2_Check_code'!I:J,2,FALSE)</f>
        <v>美元(USD)</v>
      </c>
      <c r="AI229" s="136" t="str">
        <f t="shared" ca="1" si="26"/>
        <v>自由選清單</v>
      </c>
      <c r="AJ229" s="136">
        <f t="shared" ca="1" si="27"/>
        <v>0</v>
      </c>
      <c r="AK229" s="594" t="str">
        <f ca="1">IF(VLOOKUP(B229,bond!B:S,18,FALSE)="是","有",IF(VLOOKUP(B229,bond!B:S,18,FALSE)="NO OFFER","無","需查詢"))</f>
        <v>有</v>
      </c>
      <c r="AL229" s="136" t="str">
        <f>IF(VLOOKUP(A229,bond!F:AR,39,FALSE)="#N/A Field Not Applicable",VLOOKUP(A229,bond!F:AR,38,FALSE),IFERROR(VLOOKUP(A229,'7_發行日例外'!A:B,2,FALSE),VLOOKUP(A229,bond!F:AR,39,FALSE)))</f>
        <v>2022/1/24</v>
      </c>
      <c r="AM229" s="136" t="str">
        <f ca="1">VLOOKUP(B229,bond!B:AK,36,FALSE)</f>
        <v>2051/7/15</v>
      </c>
      <c r="AN229" s="136" t="str">
        <f ca="1">IFERROR(VLOOKUP(B229,'3_是否下架'!A:A,1,FALSE),"")</f>
        <v/>
      </c>
      <c r="AO229" s="136">
        <f ca="1">VLOOKUP(B229,bond!B:J,9,FALSE)</f>
        <v>65.25</v>
      </c>
      <c r="AP229" s="136">
        <f ca="1">VLOOKUP(B229,bond!B:V,21,FALSE)</f>
        <v>16.0761</v>
      </c>
    </row>
    <row r="230" spans="1:42">
      <c r="A230" s="141" t="str">
        <f>bond!F231</f>
        <v>US92556VAF31</v>
      </c>
      <c r="B230" s="151" t="str">
        <f ca="1">IF($C$1=TRUE,bond!B231,"")</f>
        <v>XH250</v>
      </c>
      <c r="C230" s="95" t="str">
        <f>VLOOKUP(A230,bond!F:G,2,FALSE)</f>
        <v>USD</v>
      </c>
      <c r="D230" s="142" t="str">
        <f ca="1">VLOOKUP(B230,bond!B:C,2,FALSE)</f>
        <v>暉致公司美元配息債券 4% 2050/6/22</v>
      </c>
      <c r="E230" s="95" t="str">
        <f ca="1">VLOOKUP(B230,bond!B:D,3,FALSE)</f>
        <v>Baa3 / BBB- / BBB</v>
      </c>
      <c r="F230" s="99" t="str">
        <f ca="1">VLOOKUP(B230,bond!B:AB,27,FALSE)</f>
        <v>2050/6/22</v>
      </c>
      <c r="G230" s="90">
        <f ca="1">VLOOKUP(B230,bond!B:E,4,FALSE)</f>
        <v>25.97</v>
      </c>
      <c r="H230" s="202">
        <f ca="1">VLOOKUP(B230,bond!B:Y,24,FALSE)</f>
        <v>0.04</v>
      </c>
      <c r="I230" s="95">
        <f ca="1">VLOOKUP(B230,bond!B:Z,25,FALSE)</f>
        <v>2</v>
      </c>
      <c r="J230" s="180">
        <f ca="1">VLOOKUP(B230,bond!B:K,10,FALSE)</f>
        <v>0.1111</v>
      </c>
      <c r="K230" s="96">
        <f ca="1">VLOOKUP($B230,bond!B:S,14,FALSE)</f>
        <v>71.63</v>
      </c>
      <c r="L230" s="91" t="str">
        <f ca="1">VLOOKUP(B230,bond!B:H,7,FALSE)</f>
        <v>2024/7/2</v>
      </c>
      <c r="M230" s="144">
        <f ca="1">VLOOKUP($B230,bond!$B:$Q,16,FALSE)</f>
        <v>6.2300000000000001E-2</v>
      </c>
      <c r="N230" s="136">
        <f ca="1">VALUE(LEFT(VLOOKUP(B230,bond!B:R,17,FALSE),SEARCH(" ",VLOOKUP(B230,bond!B:R,17,FALSE),1)))</f>
        <v>10000</v>
      </c>
      <c r="O230" s="136">
        <f ca="1">VALUE(RIGHT(VLOOKUP(B230,bond!B:R,17,FALSE),LEN(VLOOKUP(B230,bond!B:R,17,FALSE))-LEN(N230)-3))</f>
        <v>1000</v>
      </c>
      <c r="P230" s="135" t="str">
        <f ca="1">VLOOKUP($B230,bond!$B:$AG,32,FALSE)</f>
        <v>2024/12/22</v>
      </c>
      <c r="Q230" s="135" t="str">
        <f ca="1">VLOOKUP($B230,bond!$B:$AH,33,FALSE)</f>
        <v>醫療保健</v>
      </c>
      <c r="R230" s="135" t="str">
        <f ca="1">VLOOKUP(B230,bond!B:AA,26,FALSE)</f>
        <v>暉致公司</v>
      </c>
      <c r="S230" s="135" t="str">
        <f ca="1">VLOOKUP(B230,bond!B:AI,34,FALSE)</f>
        <v>VTRS</v>
      </c>
      <c r="T230" s="135" t="str">
        <f t="shared" ca="1" si="21"/>
        <v>暉致公司/VTRS</v>
      </c>
      <c r="U230" s="207" t="str">
        <f ca="1">IFERROR(VLOOKUP(T230,Bond_DES!D:E,2,FALSE),VLOOKUP(S230,bond!AI:AJ,2,FALSE))</f>
        <v>暉致公司(Viatris Inc.)由仿製藥巨頭邁蘭(Mylan N.V.)和輝瑞旗下非專利原廠藥業務Upjohn合併而成，為全球第18大製藥公司(Pharma 50, 2024)、全球三大學名藥廠之一，產品組合包括學名藥及非專利原廠藥，如降血脂Lipitor、高血壓與心絞痛藥Norvasc、止痛與抗癲癇藥Lyrica、威而剛Viagra等暢銷藥品。</v>
      </c>
      <c r="V230" s="136" t="str">
        <f ca="1">IFERROR(VLOOKUP(B230,'1_重設數據'!L:M,2,FALSE),IF(Q230="政府",IF(AD230&gt;16,"(NPI)非專投",IF(AD230&gt;10,"(PI)專投","高資產")),IF(VLOOKUP(B230,bond!B:AN,39,FALSE)="Y","(PI)專投",IF(AD230&gt;=15,"(NPI)非專投",IF(AD230&gt;=10,"(PI)專投","高資產")))))</f>
        <v>(PI)專投</v>
      </c>
      <c r="W230" s="136" t="str">
        <f ca="1">VLOOKUP(AD230,'credit rating'!$F$2:$H$22,3,FALSE)</f>
        <v>BBB</v>
      </c>
      <c r="X230" s="136" t="str">
        <f t="shared" ca="1" si="22"/>
        <v>Baa3</v>
      </c>
      <c r="Y230" s="136" t="str">
        <f t="shared" ca="1" si="23"/>
        <v>BBB-</v>
      </c>
      <c r="Z230" s="136" t="str">
        <f t="shared" ca="1" si="24"/>
        <v>BBB</v>
      </c>
      <c r="AA230" s="134">
        <f ca="1">IFERROR(VLOOKUP(X230,'credit rating'!A:C,3,FALSE),0)</f>
        <v>12</v>
      </c>
      <c r="AB230" s="134">
        <f ca="1">IFERROR(VLOOKUP(Y230,'credit rating'!B:C,2,FALSE),0)</f>
        <v>12</v>
      </c>
      <c r="AC230" s="136">
        <f ca="1">IFERROR(VLOOKUP(Z230,'credit rating'!B:C,2,FALSE),0)</f>
        <v>13</v>
      </c>
      <c r="AD230" s="136">
        <f t="shared" ca="1" si="25"/>
        <v>13</v>
      </c>
      <c r="AE230" s="249">
        <f ca="1">IFERROR(VLOOKUP(B230,bond!B:U,20,FALSE),"")</f>
        <v>6.25E-2</v>
      </c>
      <c r="AF230" s="136" t="str">
        <f ca="1">IF(VLOOKUP(B230,bond!B:AK,36,FALSE)="#N/A Field Not Applicable","",VLOOKUP(B230,bond!B:AK,36,FALSE))</f>
        <v>2049/12/22</v>
      </c>
      <c r="AG230" s="136" t="str">
        <f ca="1">IF(VLOOKUP(B230,bond!B:AL,37,FALSE)="FIXED","固定",IF(VLOOKUP(B230,bond!B:AL,37,FALSE)="FLOATING","浮動",IF(VLOOKUP(B230,bond!B:AL,37,FALSE)="VARIABLE","變動",IF(VLOOKUP(B230,bond!B:AL,37,FALSE)="FLAT TRADING","不含息交易",IF(VLOOKUP(B230,bond!B:AL,37,FALSE)="ZERO COUPON","零息",VLOOKUP(B230,bond!B:AL,37,FALSE))))))</f>
        <v>固定</v>
      </c>
      <c r="AH230" s="136" t="str">
        <f>VLOOKUP(C230,'2_Check_code'!I:J,2,FALSE)</f>
        <v>美元(USD)</v>
      </c>
      <c r="AI230" s="136" t="str">
        <f t="shared" ca="1" si="26"/>
        <v>自由選清單</v>
      </c>
      <c r="AJ230" s="136">
        <f t="shared" ca="1" si="27"/>
        <v>0</v>
      </c>
      <c r="AK230" s="594" t="str">
        <f ca="1">IF(VLOOKUP(B230,bond!B:S,18,FALSE)="是","有",IF(VLOOKUP(B230,bond!B:S,18,FALSE)="NO OFFER","無","需查詢"))</f>
        <v>有</v>
      </c>
      <c r="AL230" s="136" t="str">
        <f>IF(VLOOKUP(A230,bond!F:AR,39,FALSE)="#N/A Field Not Applicable",VLOOKUP(A230,bond!F:AR,38,FALSE),IFERROR(VLOOKUP(A230,'7_發行日例外'!A:B,2,FALSE),VLOOKUP(A230,bond!F:AR,39,FALSE)))</f>
        <v>2021/6/22</v>
      </c>
      <c r="AM230" s="136" t="str">
        <f ca="1">VLOOKUP(B230,bond!B:AK,36,FALSE)</f>
        <v>2049/12/22</v>
      </c>
      <c r="AN230" s="136" t="str">
        <f ca="1">IFERROR(VLOOKUP(B230,'3_是否下架'!A:A,1,FALSE),"")</f>
        <v/>
      </c>
      <c r="AO230" s="136">
        <f ca="1">VLOOKUP(B230,bond!B:J,9,FALSE)</f>
        <v>68.02</v>
      </c>
      <c r="AP230" s="136">
        <f ca="1">VLOOKUP(B230,bond!B:V,21,FALSE)</f>
        <v>13.8291</v>
      </c>
    </row>
    <row r="231" spans="1:42">
      <c r="A231" s="141" t="str">
        <f>bond!F232</f>
        <v>US717081DK61</v>
      </c>
      <c r="B231" s="151" t="str">
        <f ca="1">IF($C$1=TRUE,bond!B232,"")</f>
        <v>XH260</v>
      </c>
      <c r="C231" s="95" t="str">
        <f>VLOOKUP(A231,bond!F:G,2,FALSE)</f>
        <v>USD</v>
      </c>
      <c r="D231" s="142" t="str">
        <f ca="1">VLOOKUP(B231,bond!B:C,2,FALSE)</f>
        <v>輝瑞大藥廠美元配息債券 4.4% 2044/5/15</v>
      </c>
      <c r="E231" s="95" t="str">
        <f ca="1">VLOOKUP(B231,bond!B:D,3,FALSE)</f>
        <v>A2 / A / WD</v>
      </c>
      <c r="F231" s="99" t="str">
        <f ca="1">VLOOKUP(B231,bond!B:AB,27,FALSE)</f>
        <v>2044/5/15</v>
      </c>
      <c r="G231" s="90">
        <f ca="1">VLOOKUP(B231,bond!B:E,4,FALSE)</f>
        <v>19.87</v>
      </c>
      <c r="H231" s="202">
        <f ca="1">VLOOKUP(B231,bond!B:Y,24,FALSE)</f>
        <v>4.4000000000000004E-2</v>
      </c>
      <c r="I231" s="95">
        <f ca="1">VLOOKUP(B231,bond!B:Z,25,FALSE)</f>
        <v>2</v>
      </c>
      <c r="J231" s="180">
        <f ca="1">VLOOKUP(B231,bond!B:K,10,FALSE)</f>
        <v>0.57440000000000002</v>
      </c>
      <c r="K231" s="96">
        <f ca="1">VLOOKUP($B231,bond!B:S,14,FALSE)</f>
        <v>92.56</v>
      </c>
      <c r="L231" s="91" t="str">
        <f ca="1">VLOOKUP(B231,bond!B:H,7,FALSE)</f>
        <v>2024/7/2</v>
      </c>
      <c r="M231" s="144">
        <f ca="1">VLOOKUP($B231,bond!$B:$Q,16,FALSE)</f>
        <v>5.04E-2</v>
      </c>
      <c r="N231" s="136">
        <f ca="1">VALUE(LEFT(VLOOKUP(B231,bond!B:R,17,FALSE),SEARCH(" ",VLOOKUP(B231,bond!B:R,17,FALSE),1)))</f>
        <v>10000</v>
      </c>
      <c r="O231" s="136">
        <f ca="1">VALUE(RIGHT(VLOOKUP(B231,bond!B:R,17,FALSE),LEN(VLOOKUP(B231,bond!B:R,17,FALSE))-LEN(N231)-3))</f>
        <v>1000</v>
      </c>
      <c r="P231" s="135" t="str">
        <f ca="1">VLOOKUP($B231,bond!$B:$AG,32,FALSE)</f>
        <v>2024/11/15</v>
      </c>
      <c r="Q231" s="135" t="str">
        <f ca="1">VLOOKUP($B231,bond!$B:$AH,33,FALSE)</f>
        <v>醫療保健</v>
      </c>
      <c r="R231" s="135" t="str">
        <f ca="1">VLOOKUP(B231,bond!B:AA,26,FALSE)</f>
        <v>輝瑞大藥廠股份有限公司</v>
      </c>
      <c r="S231" s="135" t="str">
        <f ca="1">VLOOKUP(B231,bond!B:AI,34,FALSE)</f>
        <v>PFE</v>
      </c>
      <c r="T231" s="135" t="str">
        <f t="shared" ca="1" si="21"/>
        <v>輝瑞大藥廠股份有限公司/PFE</v>
      </c>
      <c r="U231" s="207" t="str">
        <f ca="1">IFERROR(VLOOKUP(T231,Bond_DES!D:E,2,FALSE),VLOOKUP(S231,bond!AI:AJ,2,FALSE))</f>
        <v>輝瑞大藥廠(Pfizer Inc.)是全球頂尖的生物製藥公司，在腫瘤學和疫苗方面尤具優勢，疫苗之王-沛兒肺炎鏈球菌13價結合型疫苗為其明星藥品之一，與德國BioNTech合作研發的「BNT162b2」是美國首獲核准的新冠疫苗其帶來鉅額收益，挹注該公司於2022、2023年《製藥經理人》全球製藥企業50強榜單奪得龍頭寶座。</v>
      </c>
      <c r="V231" s="136" t="str">
        <f ca="1">IFERROR(VLOOKUP(B231,'1_重設數據'!L:M,2,FALSE),IF(Q231="政府",IF(AD231&gt;16,"(NPI)非專投",IF(AD231&gt;10,"(PI)專投","高資產")),IF(VLOOKUP(B231,bond!B:AN,39,FALSE)="Y","(PI)專投",IF(AD231&gt;=15,"(NPI)非專投",IF(AD231&gt;=10,"(PI)專投","高資產")))))</f>
        <v>(NPI)非專投</v>
      </c>
      <c r="W231" s="136" t="str">
        <f ca="1">VLOOKUP(AD231,'credit rating'!$F$2:$H$22,3,FALSE)</f>
        <v>A</v>
      </c>
      <c r="X231" s="136" t="str">
        <f t="shared" ca="1" si="22"/>
        <v>A2</v>
      </c>
      <c r="Y231" s="136" t="str">
        <f t="shared" ca="1" si="23"/>
        <v>A</v>
      </c>
      <c r="Z231" s="136" t="str">
        <f t="shared" ca="1" si="24"/>
        <v>WD</v>
      </c>
      <c r="AA231" s="134">
        <f ca="1">IFERROR(VLOOKUP(X231,'credit rating'!A:C,3,FALSE),0)</f>
        <v>16</v>
      </c>
      <c r="AB231" s="134">
        <f ca="1">IFERROR(VLOOKUP(Y231,'credit rating'!B:C,2,FALSE),0)</f>
        <v>16</v>
      </c>
      <c r="AC231" s="136">
        <f ca="1">IFERROR(VLOOKUP(Z231,'credit rating'!B:C,2,FALSE),0)</f>
        <v>0</v>
      </c>
      <c r="AD231" s="136">
        <f t="shared" ca="1" si="25"/>
        <v>16</v>
      </c>
      <c r="AE231" s="249" t="str">
        <f ca="1">IFERROR(VLOOKUP(B231,bond!B:U,20,FALSE),"")</f>
        <v xml:space="preserve"> </v>
      </c>
      <c r="AF231" s="136" t="str">
        <f ca="1">IF(VLOOKUP(B231,bond!B:AK,36,FALSE)="#N/A Field Not Applicable","",VLOOKUP(B231,bond!B:AK,36,FALSE))</f>
        <v/>
      </c>
      <c r="AG231" s="136" t="str">
        <f ca="1">IF(VLOOKUP(B231,bond!B:AL,37,FALSE)="FIXED","固定",IF(VLOOKUP(B231,bond!B:AL,37,FALSE)="FLOATING","浮動",IF(VLOOKUP(B231,bond!B:AL,37,FALSE)="VARIABLE","變動",IF(VLOOKUP(B231,bond!B:AL,37,FALSE)="FLAT TRADING","不含息交易",IF(VLOOKUP(B231,bond!B:AL,37,FALSE)="ZERO COUPON","零息",VLOOKUP(B231,bond!B:AL,37,FALSE))))))</f>
        <v>固定</v>
      </c>
      <c r="AH231" s="136" t="str">
        <f>VLOOKUP(C231,'2_Check_code'!I:J,2,FALSE)</f>
        <v>美元(USD)</v>
      </c>
      <c r="AI231" s="136" t="str">
        <f t="shared" ca="1" si="26"/>
        <v>自由選清單</v>
      </c>
      <c r="AJ231" s="136">
        <f t="shared" ca="1" si="27"/>
        <v>0</v>
      </c>
      <c r="AK231" s="594" t="str">
        <f ca="1">IF(VLOOKUP(B231,bond!B:S,18,FALSE)="是","有",IF(VLOOKUP(B231,bond!B:S,18,FALSE)="NO OFFER","無","需查詢"))</f>
        <v>有</v>
      </c>
      <c r="AL231" s="136" t="str">
        <f>IF(VLOOKUP(A231,bond!F:AR,39,FALSE)="#N/A Field Not Applicable",VLOOKUP(A231,bond!F:AR,38,FALSE),IFERROR(VLOOKUP(A231,'7_發行日例外'!A:B,2,FALSE),VLOOKUP(A231,bond!F:AR,39,FALSE)))</f>
        <v>2014/5/15</v>
      </c>
      <c r="AM231" s="136" t="str">
        <f ca="1">VLOOKUP(B231,bond!B:AK,36,FALSE)</f>
        <v>#N/A Field Not Applicable</v>
      </c>
      <c r="AN231" s="136" t="str">
        <f ca="1">IFERROR(VLOOKUP(B231,'3_是否下架'!A:A,1,FALSE),"")</f>
        <v/>
      </c>
      <c r="AO231" s="136">
        <f ca="1">VLOOKUP(B231,bond!B:J,9,FALSE)</f>
        <v>89.490000000000009</v>
      </c>
      <c r="AP231" s="136">
        <f ca="1">VLOOKUP(B231,bond!B:V,21,FALSE)</f>
        <v>12.652799999999999</v>
      </c>
    </row>
    <row r="232" spans="1:42">
      <c r="A232" s="141" t="str">
        <f>bond!F233</f>
        <v>US59156RBN70</v>
      </c>
      <c r="B232" s="151" t="str">
        <f ca="1">IF($C$1=TRUE,bond!B233,"")</f>
        <v>XH270</v>
      </c>
      <c r="C232" s="95" t="str">
        <f>VLOOKUP(A232,bond!F:G,2,FALSE)</f>
        <v>USD</v>
      </c>
      <c r="D232" s="142" t="str">
        <f ca="1">VLOOKUP(B232,bond!B:C,2,FALSE)</f>
        <v>大都會人壽美元配息債券 4.05% 2045/3/1</v>
      </c>
      <c r="E232" s="95" t="str">
        <f ca="1">VLOOKUP(B232,bond!B:D,3,FALSE)</f>
        <v>A3 / A- / A-</v>
      </c>
      <c r="F232" s="99" t="str">
        <f ca="1">VLOOKUP(B232,bond!B:AB,27,FALSE)</f>
        <v>2045/3/1</v>
      </c>
      <c r="G232" s="90">
        <f ca="1">VLOOKUP(B232,bond!B:E,4,FALSE)</f>
        <v>20.66</v>
      </c>
      <c r="H232" s="202">
        <f ca="1">VLOOKUP(B232,bond!B:Y,24,FALSE)</f>
        <v>4.0500000000000001E-2</v>
      </c>
      <c r="I232" s="95">
        <f ca="1">VLOOKUP(B232,bond!B:Z,25,FALSE)</f>
        <v>2</v>
      </c>
      <c r="J232" s="180">
        <f ca="1">VLOOKUP(B232,bond!B:K,10,FALSE)</f>
        <v>1.3613</v>
      </c>
      <c r="K232" s="96">
        <f ca="1">VLOOKUP($B232,bond!B:S,14,FALSE)</f>
        <v>84.8</v>
      </c>
      <c r="L232" s="91" t="str">
        <f ca="1">VLOOKUP(B232,bond!B:H,7,FALSE)</f>
        <v>2024/7/2</v>
      </c>
      <c r="M232" s="144">
        <f ca="1">VLOOKUP($B232,bond!$B:$Q,16,FALSE)</f>
        <v>5.3900000000000003E-2</v>
      </c>
      <c r="N232" s="136">
        <f ca="1">VALUE(LEFT(VLOOKUP(B232,bond!B:R,17,FALSE),SEARCH(" ",VLOOKUP(B232,bond!B:R,17,FALSE),1)))</f>
        <v>10000</v>
      </c>
      <c r="O232" s="136">
        <f ca="1">VALUE(RIGHT(VLOOKUP(B232,bond!B:R,17,FALSE),LEN(VLOOKUP(B232,bond!B:R,17,FALSE))-LEN(N232)-3))</f>
        <v>1000</v>
      </c>
      <c r="P232" s="135" t="str">
        <f ca="1">VLOOKUP($B232,bond!$B:$AG,32,FALSE)</f>
        <v>2024/9/1</v>
      </c>
      <c r="Q232" s="135" t="str">
        <f ca="1">VLOOKUP($B232,bond!$B:$AH,33,FALSE)</f>
        <v>金融</v>
      </c>
      <c r="R232" s="135" t="str">
        <f ca="1">VLOOKUP(B232,bond!B:AA,26,FALSE)</f>
        <v>大都會人壽</v>
      </c>
      <c r="S232" s="135" t="str">
        <f ca="1">VLOOKUP(B232,bond!B:AI,34,FALSE)</f>
        <v>MET</v>
      </c>
      <c r="T232" s="135" t="str">
        <f t="shared" ca="1" si="21"/>
        <v>大都會人壽/MET</v>
      </c>
      <c r="U232" s="207" t="str">
        <f ca="1">IFERROR(VLOOKUP(T232,Bond_DES!D:E,2,FALSE),VLOOKUP(S232,bond!AI:AJ,2,FALSE))</f>
        <v>大都會人壽(MetLife, Inc.)是美國第一大壽險公司(Fortune 2024)，通過其子公司及關聯公司提供保險、年金、員工福利和資產管理，全球福利網路遍及超過115個國家；在美國的團體福利及退休與收入解決方案具領先優勢；據rankingslatam排名，MetLife於4Q23以17.7億美元的保費，成為智利最大的保險公司，整體於拉美排名第12。</v>
      </c>
      <c r="V232" s="136" t="str">
        <f ca="1">IFERROR(VLOOKUP(B232,'1_重設數據'!L:M,2,FALSE),IF(Q232="政府",IF(AD232&gt;16,"(NPI)非專投",IF(AD232&gt;10,"(PI)專投","高資產")),IF(VLOOKUP(B232,bond!B:AN,39,FALSE)="Y","(PI)專投",IF(AD232&gt;=15,"(NPI)非專投",IF(AD232&gt;=10,"(PI)專投","高資產")))))</f>
        <v>(NPI)非專投</v>
      </c>
      <c r="W232" s="136" t="str">
        <f ca="1">VLOOKUP(AD232,'credit rating'!$F$2:$H$22,3,FALSE)</f>
        <v>A-</v>
      </c>
      <c r="X232" s="136" t="str">
        <f t="shared" ca="1" si="22"/>
        <v>A3</v>
      </c>
      <c r="Y232" s="136" t="str">
        <f t="shared" ca="1" si="23"/>
        <v>A-</v>
      </c>
      <c r="Z232" s="136" t="str">
        <f t="shared" ca="1" si="24"/>
        <v>A-</v>
      </c>
      <c r="AA232" s="134">
        <f ca="1">IFERROR(VLOOKUP(X232,'credit rating'!A:C,3,FALSE),0)</f>
        <v>15</v>
      </c>
      <c r="AB232" s="134">
        <f ca="1">IFERROR(VLOOKUP(Y232,'credit rating'!B:C,2,FALSE),0)</f>
        <v>15</v>
      </c>
      <c r="AC232" s="136">
        <f ca="1">IFERROR(VLOOKUP(Z232,'credit rating'!B:C,2,FALSE),0)</f>
        <v>15</v>
      </c>
      <c r="AD232" s="136">
        <f t="shared" ca="1" si="25"/>
        <v>15</v>
      </c>
      <c r="AE232" s="249" t="str">
        <f ca="1">IFERROR(VLOOKUP(B232,bond!B:U,20,FALSE),"")</f>
        <v xml:space="preserve"> </v>
      </c>
      <c r="AF232" s="136" t="str">
        <f ca="1">IF(VLOOKUP(B232,bond!B:AK,36,FALSE)="#N/A Field Not Applicable","",VLOOKUP(B232,bond!B:AK,36,FALSE))</f>
        <v/>
      </c>
      <c r="AG232" s="136" t="str">
        <f ca="1">IF(VLOOKUP(B232,bond!B:AL,37,FALSE)="FIXED","固定",IF(VLOOKUP(B232,bond!B:AL,37,FALSE)="FLOATING","浮動",IF(VLOOKUP(B232,bond!B:AL,37,FALSE)="VARIABLE","變動",IF(VLOOKUP(B232,bond!B:AL,37,FALSE)="FLAT TRADING","不含息交易",IF(VLOOKUP(B232,bond!B:AL,37,FALSE)="ZERO COUPON","零息",VLOOKUP(B232,bond!B:AL,37,FALSE))))))</f>
        <v>固定</v>
      </c>
      <c r="AH232" s="136" t="str">
        <f>VLOOKUP(C232,'2_Check_code'!I:J,2,FALSE)</f>
        <v>美元(USD)</v>
      </c>
      <c r="AI232" s="136" t="str">
        <f t="shared" ca="1" si="26"/>
        <v>自由選清單</v>
      </c>
      <c r="AJ232" s="136">
        <f t="shared" ca="1" si="27"/>
        <v>0</v>
      </c>
      <c r="AK232" s="594" t="str">
        <f ca="1">IF(VLOOKUP(B232,bond!B:S,18,FALSE)="是","有",IF(VLOOKUP(B232,bond!B:S,18,FALSE)="NO OFFER","無","需查詢"))</f>
        <v>有</v>
      </c>
      <c r="AL232" s="136" t="str">
        <f>IF(VLOOKUP(A232,bond!F:AR,39,FALSE)="#N/A Field Not Applicable",VLOOKUP(A232,bond!F:AR,38,FALSE),IFERROR(VLOOKUP(A232,'7_發行日例外'!A:B,2,FALSE),VLOOKUP(A232,bond!F:AR,39,FALSE)))</f>
        <v>2015/3/5</v>
      </c>
      <c r="AM232" s="136" t="str">
        <f ca="1">VLOOKUP(B232,bond!B:AK,36,FALSE)</f>
        <v>#N/A Field Not Applicable</v>
      </c>
      <c r="AN232" s="136" t="str">
        <f ca="1">IFERROR(VLOOKUP(B232,'3_是否下架'!A:A,1,FALSE),"")</f>
        <v/>
      </c>
      <c r="AO232" s="136">
        <f ca="1">VLOOKUP(B232,bond!B:J,9,FALSE)</f>
        <v>80.940000000000012</v>
      </c>
      <c r="AP232" s="136">
        <f ca="1">VLOOKUP(B232,bond!B:V,21,FALSE)</f>
        <v>12.843400000000001</v>
      </c>
    </row>
    <row r="233" spans="1:42">
      <c r="A233" s="141" t="str">
        <f>bond!F234</f>
        <v>XS2577135127</v>
      </c>
      <c r="B233" s="151" t="str">
        <f ca="1">IF($C$1=TRUE,bond!B234,"")</f>
        <v>XH280</v>
      </c>
      <c r="C233" s="95" t="str">
        <f>VLOOKUP(A233,bond!F:G,2,FALSE)</f>
        <v>USD</v>
      </c>
      <c r="D233" s="142" t="str">
        <f ca="1">VLOOKUP(B233,bond!B:C,2,FALSE)</f>
        <v>沙烏地阿拉伯政府美元配息債券 4.875% 2033/7/18</v>
      </c>
      <c r="E233" s="95" t="str">
        <f ca="1">VLOOKUP(B233,bond!B:D,3,FALSE)</f>
        <v>A1 / - / A+</v>
      </c>
      <c r="F233" s="99" t="str">
        <f ca="1">VLOOKUP(B233,bond!B:AB,27,FALSE)</f>
        <v>2033/7/18</v>
      </c>
      <c r="G233" s="90">
        <f ca="1">VLOOKUP(B233,bond!B:E,4,FALSE)</f>
        <v>9.0399999999999991</v>
      </c>
      <c r="H233" s="202">
        <f ca="1">VLOOKUP(B233,bond!B:Y,24,FALSE)</f>
        <v>4.8750000000000002E-2</v>
      </c>
      <c r="I233" s="95">
        <f ca="1">VLOOKUP(B233,bond!B:Z,25,FALSE)</f>
        <v>2</v>
      </c>
      <c r="J233" s="180">
        <f ca="1">VLOOKUP(B233,bond!B:K,10,FALSE)</f>
        <v>2.2343999999999999</v>
      </c>
      <c r="K233" s="96">
        <f ca="1">VLOOKUP($B233,bond!B:S,14,FALSE)</f>
        <v>102.26</v>
      </c>
      <c r="L233" s="91" t="str">
        <f ca="1">VLOOKUP(B233,bond!B:H,7,FALSE)</f>
        <v>2024/7/3</v>
      </c>
      <c r="M233" s="144">
        <f ca="1">VLOOKUP($B233,bond!$B:$Q,16,FALSE)</f>
        <v>4.87E-2</v>
      </c>
      <c r="N233" s="136">
        <f ca="1">VALUE(LEFT(VLOOKUP(B233,bond!B:R,17,FALSE),SEARCH(" ",VLOOKUP(B233,bond!B:R,17,FALSE),1)))</f>
        <v>200000</v>
      </c>
      <c r="O233" s="136">
        <f ca="1">VALUE(RIGHT(VLOOKUP(B233,bond!B:R,17,FALSE),LEN(VLOOKUP(B233,bond!B:R,17,FALSE))-LEN(N233)-3))</f>
        <v>1000</v>
      </c>
      <c r="P233" s="135" t="str">
        <f ca="1">VLOOKUP($B233,bond!$B:$AG,32,FALSE)</f>
        <v>2024/7/18</v>
      </c>
      <c r="Q233" s="135" t="str">
        <f ca="1">VLOOKUP($B233,bond!$B:$AH,33,FALSE)</f>
        <v>政府</v>
      </c>
      <c r="R233" s="135" t="str">
        <f ca="1">VLOOKUP(B233,bond!B:AA,26,FALSE)</f>
        <v>Saudi Government Internation</v>
      </c>
      <c r="S233" s="135" t="str">
        <f ca="1">VLOOKUP(B233,bond!B:AI,34,FALSE)</f>
        <v>KSA</v>
      </c>
      <c r="T233" s="135" t="str">
        <f t="shared" ca="1" si="21"/>
        <v>Saudi Government Internation/KSA</v>
      </c>
      <c r="U233" s="207" t="str">
        <f ca="1">IFERROR(VLOOKUP(T233,Bond_DES!D:E,2,FALSE),VLOOKUP(S233,bond!AI:AJ,2,FALSE))</f>
        <v>沙烏地阿拉伯政府(Kingdom of Saudi Arabi)是阿拉伯世界地理面積第2大的國家。沙國是中東北非最大經濟體和全球第19大經濟體(IMF 2023)，且沙國主權基金管理資產位居全球第6大(SWFI 2023)。石油為沙國的經濟支柱，且沙國是OPEC的主要成員國，為全球最大的石油出口國和第2大原油蘊藏量國家。</v>
      </c>
      <c r="V233" s="136" t="str">
        <f ca="1">IFERROR(VLOOKUP(B233,'1_重設數據'!L:M,2,FALSE),IF(Q233="政府",IF(AD233&gt;16,"(NPI)非專投",IF(AD233&gt;10,"(PI)專投","高資產")),IF(VLOOKUP(B233,bond!B:AN,39,FALSE)="Y","(PI)專投",IF(AD233&gt;=15,"(NPI)非專投",IF(AD233&gt;=10,"(PI)專投","高資產")))))</f>
        <v>(NPI)非專投</v>
      </c>
      <c r="W233" s="136" t="str">
        <f ca="1">VLOOKUP(AD233,'credit rating'!$F$2:$H$22,3,FALSE)</f>
        <v>A+</v>
      </c>
      <c r="X233" s="136" t="str">
        <f t="shared" ca="1" si="22"/>
        <v>A1</v>
      </c>
      <c r="Y233" s="136" t="str">
        <f t="shared" ca="1" si="23"/>
        <v>-</v>
      </c>
      <c r="Z233" s="136" t="str">
        <f t="shared" ca="1" si="24"/>
        <v>A+</v>
      </c>
      <c r="AA233" s="134">
        <f ca="1">IFERROR(VLOOKUP(X233,'credit rating'!A:C,3,FALSE),0)</f>
        <v>17</v>
      </c>
      <c r="AB233" s="134">
        <f ca="1">IFERROR(VLOOKUP(Y233,'credit rating'!B:C,2,FALSE),0)</f>
        <v>0</v>
      </c>
      <c r="AC233" s="136">
        <f ca="1">IFERROR(VLOOKUP(Z233,'credit rating'!B:C,2,FALSE),0)</f>
        <v>17</v>
      </c>
      <c r="AD233" s="136">
        <f t="shared" ca="1" si="25"/>
        <v>17</v>
      </c>
      <c r="AE233" s="249" t="str">
        <f ca="1">IFERROR(VLOOKUP(B233,bond!B:U,20,FALSE),"")</f>
        <v xml:space="preserve"> </v>
      </c>
      <c r="AF233" s="136" t="str">
        <f ca="1">IF(VLOOKUP(B233,bond!B:AK,36,FALSE)="#N/A Field Not Applicable","",VLOOKUP(B233,bond!B:AK,36,FALSE))</f>
        <v/>
      </c>
      <c r="AG233" s="136" t="str">
        <f ca="1">IF(VLOOKUP(B233,bond!B:AL,37,FALSE)="FIXED","固定",IF(VLOOKUP(B233,bond!B:AL,37,FALSE)="FLOATING","浮動",IF(VLOOKUP(B233,bond!B:AL,37,FALSE)="VARIABLE","變動",IF(VLOOKUP(B233,bond!B:AL,37,FALSE)="FLAT TRADING","不含息交易",IF(VLOOKUP(B233,bond!B:AL,37,FALSE)="ZERO COUPON","零息",VLOOKUP(B233,bond!B:AL,37,FALSE))))))</f>
        <v>固定</v>
      </c>
      <c r="AH233" s="136" t="str">
        <f>VLOOKUP(C233,'2_Check_code'!I:J,2,FALSE)</f>
        <v>美元(USD)</v>
      </c>
      <c r="AI233" s="136" t="str">
        <f t="shared" ca="1" si="26"/>
        <v>自由選清單</v>
      </c>
      <c r="AJ233" s="136">
        <f t="shared" ca="1" si="27"/>
        <v>0</v>
      </c>
      <c r="AK233" s="594" t="str">
        <f ca="1">IF(VLOOKUP(B233,bond!B:S,18,FALSE)="是","有",IF(VLOOKUP(B233,bond!B:S,18,FALSE)="NO OFFER","無","需查詢"))</f>
        <v>有</v>
      </c>
      <c r="AL233" s="136" t="str">
        <f>IF(VLOOKUP(A233,bond!F:AR,39,FALSE)="#N/A Field Not Applicable",VLOOKUP(A233,bond!F:AR,38,FALSE),IFERROR(VLOOKUP(A233,'7_發行日例外'!A:B,2,FALSE),VLOOKUP(A233,bond!F:AR,39,FALSE)))</f>
        <v>2023/1/18</v>
      </c>
      <c r="AM233" s="136" t="str">
        <f ca="1">VLOOKUP(B233,bond!B:AK,36,FALSE)</f>
        <v>#N/A Field Not Applicable</v>
      </c>
      <c r="AN233" s="136" t="str">
        <f ca="1">IFERROR(VLOOKUP(B233,'3_是否下架'!A:A,1,FALSE),"")</f>
        <v/>
      </c>
      <c r="AO233" s="136">
        <f ca="1">VLOOKUP(B233,bond!B:J,9,FALSE)</f>
        <v>98.03</v>
      </c>
      <c r="AP233" s="136">
        <f ca="1">VLOOKUP(B233,bond!B:V,21,FALSE)</f>
        <v>7.0598999999999998</v>
      </c>
    </row>
    <row r="234" spans="1:42">
      <c r="A234" s="141" t="str">
        <f>bond!F235</f>
        <v>US91324PAR38</v>
      </c>
      <c r="B234" s="151" t="str">
        <f ca="1">IF($C$1=TRUE,bond!B235,"")</f>
        <v>XH290</v>
      </c>
      <c r="C234" s="95" t="str">
        <f>VLOOKUP(A234,bond!F:G,2,FALSE)</f>
        <v>USD</v>
      </c>
      <c r="D234" s="142" t="str">
        <f ca="1">VLOOKUP(B234,bond!B:C,2,FALSE)</f>
        <v>聯合健康集團美元配息債券 5.8% 2036/3/15</v>
      </c>
      <c r="E234" s="95" t="str">
        <f ca="1">VLOOKUP(B234,bond!B:D,3,FALSE)</f>
        <v>A2 / A+ / A</v>
      </c>
      <c r="F234" s="99" t="str">
        <f ca="1">VLOOKUP(B234,bond!B:AB,27,FALSE)</f>
        <v>2036/3/15</v>
      </c>
      <c r="G234" s="90">
        <f ca="1">VLOOKUP(B234,bond!B:E,4,FALSE)</f>
        <v>11.7</v>
      </c>
      <c r="H234" s="202">
        <f ca="1">VLOOKUP(B234,bond!B:Y,24,FALSE)</f>
        <v>5.7999999999999996E-2</v>
      </c>
      <c r="I234" s="95">
        <f ca="1">VLOOKUP(B234,bond!B:Z,25,FALSE)</f>
        <v>2</v>
      </c>
      <c r="J234" s="180">
        <f ca="1">VLOOKUP(B234,bond!B:K,10,FALSE)</f>
        <v>1.7239</v>
      </c>
      <c r="K234" s="96">
        <f ca="1">VLOOKUP($B234,bond!B:S,14,FALSE)</f>
        <v>109.03</v>
      </c>
      <c r="L234" s="91" t="str">
        <f ca="1">VLOOKUP(B234,bond!B:H,7,FALSE)</f>
        <v>2024/7/2</v>
      </c>
      <c r="M234" s="144">
        <f ca="1">VLOOKUP($B234,bond!$B:$Q,16,FALSE)</f>
        <v>4.9700000000000001E-2</v>
      </c>
      <c r="N234" s="136">
        <f ca="1">VALUE(LEFT(VLOOKUP(B234,bond!B:R,17,FALSE),SEARCH(" ",VLOOKUP(B234,bond!B:R,17,FALSE),1)))</f>
        <v>10000</v>
      </c>
      <c r="O234" s="136">
        <f ca="1">VALUE(RIGHT(VLOOKUP(B234,bond!B:R,17,FALSE),LEN(VLOOKUP(B234,bond!B:R,17,FALSE))-LEN(N234)-3))</f>
        <v>1000</v>
      </c>
      <c r="P234" s="135" t="str">
        <f ca="1">VLOOKUP($B234,bond!$B:$AG,32,FALSE)</f>
        <v>2024/9/15</v>
      </c>
      <c r="Q234" s="135" t="str">
        <f ca="1">VLOOKUP($B234,bond!$B:$AH,33,FALSE)</f>
        <v>醫療保健</v>
      </c>
      <c r="R234" s="135" t="str">
        <f ca="1">VLOOKUP(B234,bond!B:AA,26,FALSE)</f>
        <v>聯合健康集團公司</v>
      </c>
      <c r="S234" s="135" t="str">
        <f ca="1">VLOOKUP(B234,bond!B:AI,34,FALSE)</f>
        <v>UNH</v>
      </c>
      <c r="T234" s="135" t="str">
        <f t="shared" ca="1" si="21"/>
        <v>聯合健康集團公司/UNH</v>
      </c>
      <c r="U234" s="207" t="str">
        <f ca="1">IFERROR(VLOOKUP(T234,Bond_DES!D:E,2,FALSE),VLOOKUP(S234,bond!AI:AJ,2,FALSE))</f>
        <v>聯合健康集團公司(UnitedHealth Group Incorporated)全球醫療保健企業市值與全球醫療保健服務品牌價值龍頭，為結合醫療與資訊科技(IT)的巨擘，經營兩大事業別-聯合健康保險(UnitedHealthcare)及健康服務平台(Optum)，前者為美國最大醫療保險公司，後者業務涵蓋藥品管理服務、健康管理與健康資訊的完整醫療網絡，為集團脫穎而出的關鍵。</v>
      </c>
      <c r="V234" s="136" t="str">
        <f ca="1">IFERROR(VLOOKUP(B234,'1_重設數據'!L:M,2,FALSE),IF(Q234="政府",IF(AD234&gt;16,"(NPI)非專投",IF(AD234&gt;10,"(PI)專投","高資產")),IF(VLOOKUP(B234,bond!B:AN,39,FALSE)="Y","(PI)專投",IF(AD234&gt;=15,"(NPI)非專投",IF(AD234&gt;=10,"(PI)專投","高資產")))))</f>
        <v>(NPI)非專投</v>
      </c>
      <c r="W234" s="136" t="str">
        <f ca="1">VLOOKUP(AD234,'credit rating'!$F$2:$H$22,3,FALSE)</f>
        <v>A+</v>
      </c>
      <c r="X234" s="136" t="str">
        <f t="shared" ca="1" si="22"/>
        <v>A2</v>
      </c>
      <c r="Y234" s="136" t="str">
        <f t="shared" ca="1" si="23"/>
        <v>A+</v>
      </c>
      <c r="Z234" s="136" t="str">
        <f t="shared" ca="1" si="24"/>
        <v>A</v>
      </c>
      <c r="AA234" s="134">
        <f ca="1">IFERROR(VLOOKUP(X234,'credit rating'!A:C,3,FALSE),0)</f>
        <v>16</v>
      </c>
      <c r="AB234" s="134">
        <f ca="1">IFERROR(VLOOKUP(Y234,'credit rating'!B:C,2,FALSE),0)</f>
        <v>17</v>
      </c>
      <c r="AC234" s="136">
        <f ca="1">IFERROR(VLOOKUP(Z234,'credit rating'!B:C,2,FALSE),0)</f>
        <v>16</v>
      </c>
      <c r="AD234" s="136">
        <f t="shared" ca="1" si="25"/>
        <v>17</v>
      </c>
      <c r="AE234" s="249" t="str">
        <f ca="1">IFERROR(VLOOKUP(B234,bond!B:U,20,FALSE),"")</f>
        <v xml:space="preserve"> </v>
      </c>
      <c r="AF234" s="136" t="str">
        <f ca="1">IF(VLOOKUP(B234,bond!B:AK,36,FALSE)="#N/A Field Not Applicable","",VLOOKUP(B234,bond!B:AK,36,FALSE))</f>
        <v/>
      </c>
      <c r="AG234" s="136" t="str">
        <f ca="1">IF(VLOOKUP(B234,bond!B:AL,37,FALSE)="FIXED","固定",IF(VLOOKUP(B234,bond!B:AL,37,FALSE)="FLOATING","浮動",IF(VLOOKUP(B234,bond!B:AL,37,FALSE)="VARIABLE","變動",IF(VLOOKUP(B234,bond!B:AL,37,FALSE)="FLAT TRADING","不含息交易",IF(VLOOKUP(B234,bond!B:AL,37,FALSE)="ZERO COUPON","零息",VLOOKUP(B234,bond!B:AL,37,FALSE))))))</f>
        <v>固定</v>
      </c>
      <c r="AH234" s="136" t="str">
        <f>VLOOKUP(C234,'2_Check_code'!I:J,2,FALSE)</f>
        <v>美元(USD)</v>
      </c>
      <c r="AI234" s="136" t="str">
        <f t="shared" ca="1" si="26"/>
        <v>自由選清單</v>
      </c>
      <c r="AJ234" s="136">
        <f t="shared" ca="1" si="27"/>
        <v>0</v>
      </c>
      <c r="AK234" s="594" t="str">
        <f ca="1">IF(VLOOKUP(B234,bond!B:S,18,FALSE)="是","有",IF(VLOOKUP(B234,bond!B:S,18,FALSE)="NO OFFER","無","需查詢"))</f>
        <v>有</v>
      </c>
      <c r="AL234" s="136" t="str">
        <f>IF(VLOOKUP(A234,bond!F:AR,39,FALSE)="#N/A Field Not Applicable",VLOOKUP(A234,bond!F:AR,38,FALSE),IFERROR(VLOOKUP(A234,'7_發行日例外'!A:B,2,FALSE),VLOOKUP(A234,bond!F:AR,39,FALSE)))</f>
        <v>2006/3/2</v>
      </c>
      <c r="AM234" s="136" t="str">
        <f ca="1">VLOOKUP(B234,bond!B:AK,36,FALSE)</f>
        <v>#N/A Field Not Applicable</v>
      </c>
      <c r="AN234" s="136" t="str">
        <f ca="1">IFERROR(VLOOKUP(B234,'3_是否下架'!A:A,1,FALSE),"")</f>
        <v/>
      </c>
      <c r="AO234" s="136">
        <f ca="1">VLOOKUP(B234,bond!B:J,9,FALSE)</f>
        <v>105.31</v>
      </c>
      <c r="AP234" s="136">
        <f ca="1">VLOOKUP(B234,bond!B:V,21,FALSE)</f>
        <v>8.3977000000000004</v>
      </c>
    </row>
    <row r="235" spans="1:42">
      <c r="A235" s="141" t="str">
        <f>bond!F236</f>
        <v>US91324PBW14</v>
      </c>
      <c r="B235" s="151" t="str">
        <f ca="1">IF($C$1=TRUE,bond!B236,"")</f>
        <v>XH300</v>
      </c>
      <c r="C235" s="95" t="str">
        <f>VLOOKUP(A235,bond!F:G,2,FALSE)</f>
        <v>USD</v>
      </c>
      <c r="D235" s="142" t="str">
        <f ca="1">VLOOKUP(B235,bond!B:C,2,FALSE)</f>
        <v>聯合健康集團美元配息債券 4.375% 2042/3/15</v>
      </c>
      <c r="E235" s="95" t="str">
        <f ca="1">VLOOKUP(B235,bond!B:D,3,FALSE)</f>
        <v>A2 / A+ / A</v>
      </c>
      <c r="F235" s="99" t="str">
        <f ca="1">VLOOKUP(B235,bond!B:AB,27,FALSE)</f>
        <v>2042/3/15</v>
      </c>
      <c r="G235" s="90">
        <f ca="1">VLOOKUP(B235,bond!B:E,4,FALSE)</f>
        <v>17.7</v>
      </c>
      <c r="H235" s="202">
        <f ca="1">VLOOKUP(B235,bond!B:Y,24,FALSE)</f>
        <v>4.3749999999999997E-2</v>
      </c>
      <c r="I235" s="95">
        <f ca="1">VLOOKUP(B235,bond!B:Z,25,FALSE)</f>
        <v>2</v>
      </c>
      <c r="J235" s="180">
        <f ca="1">VLOOKUP(B235,bond!B:K,10,FALSE)</f>
        <v>1.3003</v>
      </c>
      <c r="K235" s="96">
        <f ca="1">VLOOKUP($B235,bond!B:S,14,FALSE)</f>
        <v>92.34</v>
      </c>
      <c r="L235" s="91" t="str">
        <f ca="1">VLOOKUP(B235,bond!B:H,7,FALSE)</f>
        <v>2024/7/2</v>
      </c>
      <c r="M235" s="144">
        <f ca="1">VLOOKUP($B235,bond!$B:$Q,16,FALSE)</f>
        <v>5.1499999999999997E-2</v>
      </c>
      <c r="N235" s="136">
        <f ca="1">VALUE(LEFT(VLOOKUP(B235,bond!B:R,17,FALSE),SEARCH(" ",VLOOKUP(B235,bond!B:R,17,FALSE),1)))</f>
        <v>10000</v>
      </c>
      <c r="O235" s="136">
        <f ca="1">VALUE(RIGHT(VLOOKUP(B235,bond!B:R,17,FALSE),LEN(VLOOKUP(B235,bond!B:R,17,FALSE))-LEN(N235)-3))</f>
        <v>1000</v>
      </c>
      <c r="P235" s="135" t="str">
        <f ca="1">VLOOKUP($B235,bond!$B:$AG,32,FALSE)</f>
        <v>2024/9/15</v>
      </c>
      <c r="Q235" s="135" t="str">
        <f ca="1">VLOOKUP($B235,bond!$B:$AH,33,FALSE)</f>
        <v>醫療保健</v>
      </c>
      <c r="R235" s="135" t="str">
        <f ca="1">VLOOKUP(B235,bond!B:AA,26,FALSE)</f>
        <v>聯合健康集團公司</v>
      </c>
      <c r="S235" s="135" t="str">
        <f ca="1">VLOOKUP(B235,bond!B:AI,34,FALSE)</f>
        <v>UNH</v>
      </c>
      <c r="T235" s="135" t="str">
        <f t="shared" ca="1" si="21"/>
        <v>聯合健康集團公司/UNH</v>
      </c>
      <c r="U235" s="207" t="str">
        <f ca="1">IFERROR(VLOOKUP(T235,Bond_DES!D:E,2,FALSE),VLOOKUP(S235,bond!AI:AJ,2,FALSE))</f>
        <v>聯合健康集團公司(UnitedHealth Group Incorporated)全球醫療保健企業市值與全球醫療保健服務品牌價值龍頭，為結合醫療與資訊科技(IT)的巨擘，經營兩大事業別-聯合健康保險(UnitedHealthcare)及健康服務平台(Optum)，前者為美國最大醫療保險公司，後者業務涵蓋藥品管理服務、健康管理與健康資訊的完整醫療網絡，為集團脫穎而出的關鍵。</v>
      </c>
      <c r="V235" s="136" t="str">
        <f ca="1">IFERROR(VLOOKUP(B235,'1_重設數據'!L:M,2,FALSE),IF(Q235="政府",IF(AD235&gt;16,"(NPI)非專投",IF(AD235&gt;10,"(PI)專投","高資產")),IF(VLOOKUP(B235,bond!B:AN,39,FALSE)="Y","(PI)專投",IF(AD235&gt;=15,"(NPI)非專投",IF(AD235&gt;=10,"(PI)專投","高資產")))))</f>
        <v>(NPI)非專投</v>
      </c>
      <c r="W235" s="136" t="str">
        <f ca="1">VLOOKUP(AD235,'credit rating'!$F$2:$H$22,3,FALSE)</f>
        <v>A+</v>
      </c>
      <c r="X235" s="136" t="str">
        <f t="shared" ca="1" si="22"/>
        <v>A2</v>
      </c>
      <c r="Y235" s="136" t="str">
        <f t="shared" ca="1" si="23"/>
        <v>A+</v>
      </c>
      <c r="Z235" s="136" t="str">
        <f t="shared" ca="1" si="24"/>
        <v>A</v>
      </c>
      <c r="AA235" s="134">
        <f ca="1">IFERROR(VLOOKUP(X235,'credit rating'!A:C,3,FALSE),0)</f>
        <v>16</v>
      </c>
      <c r="AB235" s="134">
        <f ca="1">IFERROR(VLOOKUP(Y235,'credit rating'!B:C,2,FALSE),0)</f>
        <v>17</v>
      </c>
      <c r="AC235" s="136">
        <f ca="1">IFERROR(VLOOKUP(Z235,'credit rating'!B:C,2,FALSE),0)</f>
        <v>16</v>
      </c>
      <c r="AD235" s="136">
        <f t="shared" ca="1" si="25"/>
        <v>17</v>
      </c>
      <c r="AE235" s="249">
        <f ca="1">IFERROR(VLOOKUP(B235,bond!B:U,20,FALSE),"")</f>
        <v>5.1700000000000003E-2</v>
      </c>
      <c r="AF235" s="136" t="str">
        <f ca="1">IF(VLOOKUP(B235,bond!B:AK,36,FALSE)="#N/A Field Not Applicable","",VLOOKUP(B235,bond!B:AK,36,FALSE))</f>
        <v>2041/9/15</v>
      </c>
      <c r="AG235" s="136" t="str">
        <f ca="1">IF(VLOOKUP(B235,bond!B:AL,37,FALSE)="FIXED","固定",IF(VLOOKUP(B235,bond!B:AL,37,FALSE)="FLOATING","浮動",IF(VLOOKUP(B235,bond!B:AL,37,FALSE)="VARIABLE","變動",IF(VLOOKUP(B235,bond!B:AL,37,FALSE)="FLAT TRADING","不含息交易",IF(VLOOKUP(B235,bond!B:AL,37,FALSE)="ZERO COUPON","零息",VLOOKUP(B235,bond!B:AL,37,FALSE))))))</f>
        <v>固定</v>
      </c>
      <c r="AH235" s="136" t="str">
        <f>VLOOKUP(C235,'2_Check_code'!I:J,2,FALSE)</f>
        <v>美元(USD)</v>
      </c>
      <c r="AI235" s="136" t="str">
        <f t="shared" ca="1" si="26"/>
        <v>自由選清單</v>
      </c>
      <c r="AJ235" s="136">
        <f t="shared" ca="1" si="27"/>
        <v>0</v>
      </c>
      <c r="AK235" s="594" t="str">
        <f ca="1">IF(VLOOKUP(B235,bond!B:S,18,FALSE)="是","有",IF(VLOOKUP(B235,bond!B:S,18,FALSE)="NO OFFER","無","需查詢"))</f>
        <v>有</v>
      </c>
      <c r="AL235" s="136" t="str">
        <f>IF(VLOOKUP(A235,bond!F:AR,39,FALSE)="#N/A Field Not Applicable",VLOOKUP(A235,bond!F:AR,38,FALSE),IFERROR(VLOOKUP(A235,'7_發行日例外'!A:B,2,FALSE),VLOOKUP(A235,bond!F:AR,39,FALSE)))</f>
        <v>2012/3/8</v>
      </c>
      <c r="AM235" s="136" t="str">
        <f ca="1">VLOOKUP(B235,bond!B:AK,36,FALSE)</f>
        <v>2041/9/15</v>
      </c>
      <c r="AN235" s="136" t="str">
        <f ca="1">IFERROR(VLOOKUP(B235,'3_是否下架'!A:A,1,FALSE),"")</f>
        <v/>
      </c>
      <c r="AO235" s="136">
        <f ca="1">VLOOKUP(B235,bond!B:J,9,FALSE)</f>
        <v>88.54</v>
      </c>
      <c r="AP235" s="136">
        <f ca="1">VLOOKUP(B235,bond!B:V,21,FALSE)</f>
        <v>11.663399999999999</v>
      </c>
    </row>
    <row r="236" spans="1:42">
      <c r="A236" s="141" t="str">
        <f>bond!F237</f>
        <v>US654106AE35</v>
      </c>
      <c r="B236" s="151" t="str">
        <f ca="1">IF($C$1=TRUE,bond!B237,"")</f>
        <v>XH310</v>
      </c>
      <c r="C236" s="95" t="str">
        <f>VLOOKUP(A236,bond!F:G,2,FALSE)</f>
        <v>USD</v>
      </c>
      <c r="D236" s="142" t="str">
        <f ca="1">VLOOKUP(B236,bond!B:C,2,FALSE)</f>
        <v>NIKE公司美元配息債券 3.875% 2045/11/1</v>
      </c>
      <c r="E236" s="95" t="str">
        <f ca="1">VLOOKUP(B236,bond!B:D,3,FALSE)</f>
        <v>A1 / AA- / -</v>
      </c>
      <c r="F236" s="99" t="str">
        <f ca="1">VLOOKUP(B236,bond!B:AB,27,FALSE)</f>
        <v>2045/11/1</v>
      </c>
      <c r="G236" s="90">
        <f ca="1">VLOOKUP(B236,bond!B:E,4,FALSE)</f>
        <v>21.33</v>
      </c>
      <c r="H236" s="202">
        <f ca="1">VLOOKUP(B236,bond!B:Y,24,FALSE)</f>
        <v>3.875E-2</v>
      </c>
      <c r="I236" s="95">
        <f ca="1">VLOOKUP(B236,bond!B:Z,25,FALSE)</f>
        <v>2</v>
      </c>
      <c r="J236" s="180">
        <f ca="1">VLOOKUP(B236,bond!B:K,10,FALSE)</f>
        <v>0.65659999999999996</v>
      </c>
      <c r="K236" s="96">
        <f ca="1">VLOOKUP($B236,bond!B:S,14,FALSE)</f>
        <v>84.56</v>
      </c>
      <c r="L236" s="91" t="str">
        <f ca="1">VLOOKUP(B236,bond!B:H,7,FALSE)</f>
        <v>2024/7/2</v>
      </c>
      <c r="M236" s="144">
        <f ca="1">VLOOKUP($B236,bond!$B:$Q,16,FALSE)</f>
        <v>5.1200000000000002E-2</v>
      </c>
      <c r="N236" s="136">
        <f ca="1">VALUE(LEFT(VLOOKUP(B236,bond!B:R,17,FALSE),SEARCH(" ",VLOOKUP(B236,bond!B:R,17,FALSE),1)))</f>
        <v>10000</v>
      </c>
      <c r="O236" s="136">
        <f ca="1">VALUE(RIGHT(VLOOKUP(B236,bond!B:R,17,FALSE),LEN(VLOOKUP(B236,bond!B:R,17,FALSE))-LEN(N236)-3))</f>
        <v>1000</v>
      </c>
      <c r="P236" s="135" t="str">
        <f ca="1">VLOOKUP($B236,bond!$B:$AG,32,FALSE)</f>
        <v>2024/11/1</v>
      </c>
      <c r="Q236" s="135" t="str">
        <f ca="1">VLOOKUP($B236,bond!$B:$AH,33,FALSE)</f>
        <v>非核心消費</v>
      </c>
      <c r="R236" s="135" t="str">
        <f ca="1">VLOOKUP(B236,bond!B:AA,26,FALSE)</f>
        <v>耐吉公司</v>
      </c>
      <c r="S236" s="135" t="str">
        <f ca="1">VLOOKUP(B236,bond!B:AI,34,FALSE)</f>
        <v>NKE</v>
      </c>
      <c r="T236" s="135" t="str">
        <f t="shared" ca="1" si="21"/>
        <v>耐吉公司/NKE</v>
      </c>
      <c r="U236" s="207" t="str">
        <f ca="1">IFERROR(VLOOKUP(T236,Bond_DES!D:E,2,FALSE),VLOOKUP(S236,bond!AI:AJ,2,FALSE))</f>
        <v>耐吉公司(NIKE, Inc.)全球運動鞋市值龍頭，為各類體育運動和健身活動設計及行銷運動鞋類、服裝、設備和配件，以“Just Do It”口號享譽全球，NIKE獨特的標誌是最受消費者認可的全球性品牌，於2024年《Brand Finance》服飾類品牌價值排名第2位，僅次於路易威登。</v>
      </c>
      <c r="V236" s="136" t="str">
        <f ca="1">IFERROR(VLOOKUP(B236,'1_重設數據'!L:M,2,FALSE),IF(Q236="政府",IF(AD236&gt;16,"(NPI)非專投",IF(AD236&gt;10,"(PI)專投","高資產")),IF(VLOOKUP(B236,bond!B:AN,39,FALSE)="Y","(PI)專投",IF(AD236&gt;=15,"(NPI)非專投",IF(AD236&gt;=10,"(PI)專投","高資產")))))</f>
        <v>(NPI)非專投</v>
      </c>
      <c r="W236" s="136" t="str">
        <f ca="1">VLOOKUP(AD236,'credit rating'!$F$2:$H$22,3,FALSE)</f>
        <v>AA-</v>
      </c>
      <c r="X236" s="136" t="str">
        <f t="shared" ca="1" si="22"/>
        <v>A1</v>
      </c>
      <c r="Y236" s="136" t="str">
        <f t="shared" ca="1" si="23"/>
        <v>AA-</v>
      </c>
      <c r="Z236" s="136" t="str">
        <f t="shared" ca="1" si="24"/>
        <v>-</v>
      </c>
      <c r="AA236" s="134">
        <f ca="1">IFERROR(VLOOKUP(X236,'credit rating'!A:C,3,FALSE),0)</f>
        <v>17</v>
      </c>
      <c r="AB236" s="134">
        <f ca="1">IFERROR(VLOOKUP(Y236,'credit rating'!B:C,2,FALSE),0)</f>
        <v>18</v>
      </c>
      <c r="AC236" s="136">
        <f ca="1">IFERROR(VLOOKUP(Z236,'credit rating'!B:C,2,FALSE),0)</f>
        <v>0</v>
      </c>
      <c r="AD236" s="136">
        <f t="shared" ca="1" si="25"/>
        <v>18</v>
      </c>
      <c r="AE236" s="249">
        <f ca="1">IFERROR(VLOOKUP(B236,bond!B:U,20,FALSE),"")</f>
        <v>5.1400000000000001E-2</v>
      </c>
      <c r="AF236" s="136" t="str">
        <f ca="1">IF(VLOOKUP(B236,bond!B:AK,36,FALSE)="#N/A Field Not Applicable","",VLOOKUP(B236,bond!B:AK,36,FALSE))</f>
        <v>2045/5/1</v>
      </c>
      <c r="AG236" s="136" t="str">
        <f ca="1">IF(VLOOKUP(B236,bond!B:AL,37,FALSE)="FIXED","固定",IF(VLOOKUP(B236,bond!B:AL,37,FALSE)="FLOATING","浮動",IF(VLOOKUP(B236,bond!B:AL,37,FALSE)="VARIABLE","變動",IF(VLOOKUP(B236,bond!B:AL,37,FALSE)="FLAT TRADING","不含息交易",IF(VLOOKUP(B236,bond!B:AL,37,FALSE)="ZERO COUPON","零息",VLOOKUP(B236,bond!B:AL,37,FALSE))))))</f>
        <v>固定</v>
      </c>
      <c r="AH236" s="136" t="str">
        <f>VLOOKUP(C236,'2_Check_code'!I:J,2,FALSE)</f>
        <v>美元(USD)</v>
      </c>
      <c r="AI236" s="136" t="str">
        <f t="shared" ca="1" si="26"/>
        <v>自由選清單</v>
      </c>
      <c r="AJ236" s="136">
        <f t="shared" ca="1" si="27"/>
        <v>0</v>
      </c>
      <c r="AK236" s="594" t="str">
        <f ca="1">IF(VLOOKUP(B236,bond!B:S,18,FALSE)="是","有",IF(VLOOKUP(B236,bond!B:S,18,FALSE)="NO OFFER","無","需查詢"))</f>
        <v>有</v>
      </c>
      <c r="AL236" s="136" t="str">
        <f>IF(VLOOKUP(A236,bond!F:AR,39,FALSE)="#N/A Field Not Applicable",VLOOKUP(A236,bond!F:AR,38,FALSE),IFERROR(VLOOKUP(A236,'7_發行日例外'!A:B,2,FALSE),VLOOKUP(A236,bond!F:AR,39,FALSE)))</f>
        <v>2015/10/29</v>
      </c>
      <c r="AM236" s="136" t="str">
        <f ca="1">VLOOKUP(B236,bond!B:AK,36,FALSE)</f>
        <v>2045/5/1</v>
      </c>
      <c r="AN236" s="136" t="str">
        <f ca="1">IFERROR(VLOOKUP(B236,'3_是否下架'!A:A,1,FALSE),"")</f>
        <v/>
      </c>
      <c r="AO236" s="136">
        <f ca="1">VLOOKUP(B236,bond!B:J,9,FALSE)</f>
        <v>80.900000000000006</v>
      </c>
      <c r="AP236" s="136">
        <f ca="1">VLOOKUP(B236,bond!B:V,21,FALSE)</f>
        <v>13.453099999999999</v>
      </c>
    </row>
    <row r="237" spans="1:42">
      <c r="A237" s="141" t="str">
        <f>bond!F238</f>
        <v>US912810FT08</v>
      </c>
      <c r="B237" s="151" t="str">
        <f ca="1">IF($C$1=TRUE,bond!B238,"")</f>
        <v>XH320</v>
      </c>
      <c r="C237" s="95" t="str">
        <f>VLOOKUP(A237,bond!F:G,2,FALSE)</f>
        <v>USD</v>
      </c>
      <c r="D237" s="142" t="str">
        <f ca="1">VLOOKUP(B237,bond!B:C,2,FALSE)</f>
        <v>美國政府債券 4.5% 2036/2/15</v>
      </c>
      <c r="E237" s="95" t="str">
        <f ca="1">VLOOKUP(B237,bond!B:D,3,FALSE)</f>
        <v>Aaa / - / AA+u</v>
      </c>
      <c r="F237" s="99" t="str">
        <f ca="1">VLOOKUP(B237,bond!B:AB,27,FALSE)</f>
        <v>2036/2/15</v>
      </c>
      <c r="G237" s="90">
        <f ca="1">VLOOKUP(B237,bond!B:E,4,FALSE)</f>
        <v>11.62</v>
      </c>
      <c r="H237" s="202">
        <f ca="1">VLOOKUP(B237,bond!B:Y,24,FALSE)</f>
        <v>4.4999999999999998E-2</v>
      </c>
      <c r="I237" s="95">
        <f ca="1">VLOOKUP(B237,bond!B:Z,25,FALSE)</f>
        <v>2</v>
      </c>
      <c r="J237" s="180">
        <f ca="1">VLOOKUP(B237,bond!B:K,10,FALSE)</f>
        <v>1.706</v>
      </c>
      <c r="K237" s="96">
        <f ca="1">VLOOKUP($B237,bond!B:S,14,FALSE)</f>
        <v>105.7</v>
      </c>
      <c r="L237" s="91" t="str">
        <f ca="1">VLOOKUP(B237,bond!B:H,7,FALSE)</f>
        <v>2024/7/2</v>
      </c>
      <c r="M237" s="144">
        <f ca="1">VLOOKUP($B237,bond!$B:$Q,16,FALSE)</f>
        <v>4.07E-2</v>
      </c>
      <c r="N237" s="136">
        <f ca="1">VALUE(LEFT(VLOOKUP(B237,bond!B:R,17,FALSE),SEARCH(" ",VLOOKUP(B237,bond!B:R,17,FALSE),1)))</f>
        <v>10000</v>
      </c>
      <c r="O237" s="136">
        <f ca="1">VALUE(RIGHT(VLOOKUP(B237,bond!B:R,17,FALSE),LEN(VLOOKUP(B237,bond!B:R,17,FALSE))-LEN(N237)-3))</f>
        <v>100</v>
      </c>
      <c r="P237" s="135" t="str">
        <f ca="1">VLOOKUP($B237,bond!$B:$AG,32,FALSE)</f>
        <v>2024/8/15</v>
      </c>
      <c r="Q237" s="135" t="str">
        <f ca="1">VLOOKUP($B237,bond!$B:$AH,33,FALSE)</f>
        <v>政府</v>
      </c>
      <c r="R237" s="135" t="str">
        <f ca="1">VLOOKUP(B237,bond!B:AA,26,FALSE)</f>
        <v>美國國庫債券</v>
      </c>
      <c r="S237" s="135" t="str">
        <f ca="1">VLOOKUP(B237,bond!B:AI,34,FALSE)</f>
        <v>T</v>
      </c>
      <c r="T237" s="135" t="str">
        <f t="shared" ca="1" si="21"/>
        <v>美國國庫債券/T</v>
      </c>
      <c r="U237" s="207" t="str">
        <f ca="1">IFERROR(VLOOKUP(T237,Bond_DES!D:E,2,FALSE),VLOOKUP(S237,bond!AI:AJ,2,FALSE))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237" s="136" t="str">
        <f ca="1">IFERROR(VLOOKUP(B237,'1_重設數據'!L:M,2,FALSE),IF(Q237="政府",IF(AD237&gt;16,"(NPI)非專投",IF(AD237&gt;10,"(PI)專投","高資產")),IF(VLOOKUP(B237,bond!B:AN,39,FALSE)="Y","(PI)專投",IF(AD237&gt;=15,"(NPI)非專投",IF(AD237&gt;=10,"(PI)專投","高資產")))))</f>
        <v>(NPI)非專投</v>
      </c>
      <c r="W237" s="136" t="str">
        <f ca="1">VLOOKUP(AD237,'credit rating'!$F$2:$H$22,3,FALSE)</f>
        <v>AAA</v>
      </c>
      <c r="X237" s="136" t="str">
        <f t="shared" ca="1" si="22"/>
        <v>Aaa</v>
      </c>
      <c r="Y237" s="136" t="str">
        <f t="shared" ca="1" si="23"/>
        <v>-</v>
      </c>
      <c r="Z237" s="136" t="str">
        <f t="shared" ca="1" si="24"/>
        <v>AA+u</v>
      </c>
      <c r="AA237" s="134">
        <f ca="1">IFERROR(VLOOKUP(X237,'credit rating'!A:C,3,FALSE),0)</f>
        <v>21</v>
      </c>
      <c r="AB237" s="134">
        <f ca="1">IFERROR(VLOOKUP(Y237,'credit rating'!B:C,2,FALSE),0)</f>
        <v>0</v>
      </c>
      <c r="AC237" s="136">
        <f ca="1">IFERROR(VLOOKUP(Z237,'credit rating'!B:C,2,FALSE),0)</f>
        <v>20</v>
      </c>
      <c r="AD237" s="136">
        <f t="shared" ca="1" si="25"/>
        <v>21</v>
      </c>
      <c r="AE237" s="249" t="str">
        <f ca="1">IFERROR(VLOOKUP(B237,bond!B:U,20,FALSE),"")</f>
        <v xml:space="preserve"> </v>
      </c>
      <c r="AF237" s="136" t="str">
        <f ca="1">IF(VLOOKUP(B237,bond!B:AK,36,FALSE)="#N/A Field Not Applicable","",VLOOKUP(B237,bond!B:AK,36,FALSE))</f>
        <v/>
      </c>
      <c r="AG237" s="136" t="str">
        <f ca="1">IF(VLOOKUP(B237,bond!B:AL,37,FALSE)="FIXED","固定",IF(VLOOKUP(B237,bond!B:AL,37,FALSE)="FLOATING","浮動",IF(VLOOKUP(B237,bond!B:AL,37,FALSE)="VARIABLE","變動",IF(VLOOKUP(B237,bond!B:AL,37,FALSE)="FLAT TRADING","不含息交易",IF(VLOOKUP(B237,bond!B:AL,37,FALSE)="ZERO COUPON","零息",VLOOKUP(B237,bond!B:AL,37,FALSE))))))</f>
        <v>固定</v>
      </c>
      <c r="AH237" s="136" t="str">
        <f>VLOOKUP(C237,'2_Check_code'!I:J,2,FALSE)</f>
        <v>美元(USD)</v>
      </c>
      <c r="AI237" s="136" t="str">
        <f t="shared" ca="1" si="26"/>
        <v>自由選清單</v>
      </c>
      <c r="AJ237" s="136">
        <f t="shared" ca="1" si="27"/>
        <v>0</v>
      </c>
      <c r="AK237" s="594" t="str">
        <f ca="1">IF(VLOOKUP(B237,bond!B:S,18,FALSE)="是","有",IF(VLOOKUP(B237,bond!B:S,18,FALSE)="NO OFFER","無","需查詢"))</f>
        <v>有</v>
      </c>
      <c r="AL237" s="136" t="str">
        <f>IF(VLOOKUP(A237,bond!F:AR,39,FALSE)="#N/A Field Not Applicable",VLOOKUP(A237,bond!F:AR,38,FALSE),IFERROR(VLOOKUP(A237,'7_發行日例外'!A:B,2,FALSE),VLOOKUP(A237,bond!F:AR,39,FALSE)))</f>
        <v>2006/2/15</v>
      </c>
      <c r="AM237" s="136" t="str">
        <f ca="1">VLOOKUP(B237,bond!B:AK,36,FALSE)</f>
        <v>#N/A Field Not Applicable</v>
      </c>
      <c r="AN237" s="136" t="str">
        <f ca="1">IFERROR(VLOOKUP(B237,'3_是否下架'!A:A,1,FALSE),"")</f>
        <v/>
      </c>
      <c r="AO237" s="136">
        <f ca="1">VLOOKUP(B237,bond!B:J,9,FALSE)</f>
        <v>102.49000000000001</v>
      </c>
      <c r="AP237" s="136">
        <f ca="1">VLOOKUP(B237,bond!B:V,21,FALSE)</f>
        <v>8.8780000000000001</v>
      </c>
    </row>
    <row r="238" spans="1:42">
      <c r="A238" s="141" t="str">
        <f>bond!F239</f>
        <v>US57636QAH74</v>
      </c>
      <c r="B238" s="151" t="str">
        <f ca="1">IF($C$1=TRUE,bond!B239,"")</f>
        <v>XH330</v>
      </c>
      <c r="C238" s="95" t="str">
        <f>VLOOKUP(A238,bond!F:G,2,FALSE)</f>
        <v>USD</v>
      </c>
      <c r="D238" s="142" t="str">
        <f ca="1">VLOOKUP(B238,bond!B:C,2,FALSE)</f>
        <v>萬事達卡公司美元配息債券 3.8% 2046/11/21</v>
      </c>
      <c r="E238" s="95" t="str">
        <f ca="1">VLOOKUP(B238,bond!B:D,3,FALSE)</f>
        <v>Aa3 / A+ / -</v>
      </c>
      <c r="F238" s="99" t="str">
        <f ca="1">VLOOKUP(B238,bond!B:AB,27,FALSE)</f>
        <v>2046/11/21</v>
      </c>
      <c r="G238" s="90">
        <f ca="1">VLOOKUP(B238,bond!B:E,4,FALSE)</f>
        <v>22.39</v>
      </c>
      <c r="H238" s="202">
        <f ca="1">VLOOKUP(B238,bond!B:Y,24,FALSE)</f>
        <v>3.7999999999999999E-2</v>
      </c>
      <c r="I238" s="95">
        <f ca="1">VLOOKUP(B238,bond!B:Z,25,FALSE)</f>
        <v>2</v>
      </c>
      <c r="J238" s="180">
        <f ca="1">VLOOKUP(B238,bond!B:K,10,FALSE)</f>
        <v>0.43280000000000002</v>
      </c>
      <c r="K238" s="96">
        <f ca="1">VLOOKUP($B238,bond!B:S,14,FALSE)</f>
        <v>83.8</v>
      </c>
      <c r="L238" s="91" t="str">
        <f ca="1">VLOOKUP(B238,bond!B:H,7,FALSE)</f>
        <v>2024/7/2</v>
      </c>
      <c r="M238" s="144">
        <f ca="1">VLOOKUP($B238,bond!$B:$Q,16,FALSE)</f>
        <v>5.0500000000000003E-2</v>
      </c>
      <c r="N238" s="136">
        <f ca="1">VALUE(LEFT(VLOOKUP(B238,bond!B:R,17,FALSE),SEARCH(" ",VLOOKUP(B238,bond!B:R,17,FALSE),1)))</f>
        <v>10000</v>
      </c>
      <c r="O238" s="136">
        <f ca="1">VALUE(RIGHT(VLOOKUP(B238,bond!B:R,17,FALSE),LEN(VLOOKUP(B238,bond!B:R,17,FALSE))-LEN(N238)-3))</f>
        <v>1000</v>
      </c>
      <c r="P238" s="135" t="str">
        <f ca="1">VLOOKUP($B238,bond!$B:$AG,32,FALSE)</f>
        <v>2024/11/21</v>
      </c>
      <c r="Q238" s="135" t="str">
        <f ca="1">VLOOKUP($B238,bond!$B:$AH,33,FALSE)</f>
        <v>金融</v>
      </c>
      <c r="R238" s="135" t="str">
        <f ca="1">VLOOKUP(B238,bond!B:AA,26,FALSE)</f>
        <v>萬事達卡</v>
      </c>
      <c r="S238" s="135" t="str">
        <f ca="1">VLOOKUP(B238,bond!B:AI,34,FALSE)</f>
        <v>MA</v>
      </c>
      <c r="T238" s="135" t="str">
        <f t="shared" ca="1" si="21"/>
        <v>萬事達卡/MA</v>
      </c>
      <c r="U238" s="207" t="str">
        <f ca="1">IFERROR(VLOOKUP(T238,Bond_DES!D:E,2,FALSE),VLOOKUP(S238,bond!AI:AJ,2,FALSE))</f>
        <v>萬事達卡公司(Mastercard Incorporated)是全球創新支付科技領導者之一，提供了廣泛的支付解決方案和服務品牌，包括以信用卡為主的MasterCard、簽帳卡品牌Maestro、以及國際金融卡Cirrus。按支付額及交易筆數位居全球第二大的國際發卡組織地位；按彭博，於全球「金融交易處理服務」產業市值第二，僅次於VISA。</v>
      </c>
      <c r="V238" s="136" t="str">
        <f ca="1">IFERROR(VLOOKUP(B238,'1_重設數據'!L:M,2,FALSE),IF(Q238="政府",IF(AD238&gt;16,"(NPI)非專投",IF(AD238&gt;10,"(PI)專投","高資產")),IF(VLOOKUP(B238,bond!B:AN,39,FALSE)="Y","(PI)專投",IF(AD238&gt;=15,"(NPI)非專投",IF(AD238&gt;=10,"(PI)專投","高資產")))))</f>
        <v>(NPI)非專投</v>
      </c>
      <c r="W238" s="136" t="str">
        <f ca="1">VLOOKUP(AD238,'credit rating'!$F$2:$H$22,3,FALSE)</f>
        <v>AA-</v>
      </c>
      <c r="X238" s="136" t="str">
        <f t="shared" ca="1" si="22"/>
        <v>Aa3</v>
      </c>
      <c r="Y238" s="136" t="str">
        <f t="shared" ca="1" si="23"/>
        <v>A+</v>
      </c>
      <c r="Z238" s="136" t="str">
        <f t="shared" ca="1" si="24"/>
        <v>-</v>
      </c>
      <c r="AA238" s="134">
        <f ca="1">IFERROR(VLOOKUP(X238,'credit rating'!A:C,3,FALSE),0)</f>
        <v>18</v>
      </c>
      <c r="AB238" s="134">
        <f ca="1">IFERROR(VLOOKUP(Y238,'credit rating'!B:C,2,FALSE),0)</f>
        <v>17</v>
      </c>
      <c r="AC238" s="136">
        <f ca="1">IFERROR(VLOOKUP(Z238,'credit rating'!B:C,2,FALSE),0)</f>
        <v>0</v>
      </c>
      <c r="AD238" s="136">
        <f t="shared" ca="1" si="25"/>
        <v>18</v>
      </c>
      <c r="AE238" s="249">
        <f ca="1">IFERROR(VLOOKUP(B238,bond!B:U,20,FALSE),"")</f>
        <v>5.0700000000000002E-2</v>
      </c>
      <c r="AF238" s="136" t="str">
        <f ca="1">IF(VLOOKUP(B238,bond!B:AK,36,FALSE)="#N/A Field Not Applicable","",VLOOKUP(B238,bond!B:AK,36,FALSE))</f>
        <v>2046/5/21</v>
      </c>
      <c r="AG238" s="136" t="str">
        <f ca="1">IF(VLOOKUP(B238,bond!B:AL,37,FALSE)="FIXED","固定",IF(VLOOKUP(B238,bond!B:AL,37,FALSE)="FLOATING","浮動",IF(VLOOKUP(B238,bond!B:AL,37,FALSE)="VARIABLE","變動",IF(VLOOKUP(B238,bond!B:AL,37,FALSE)="FLAT TRADING","不含息交易",IF(VLOOKUP(B238,bond!B:AL,37,FALSE)="ZERO COUPON","零息",VLOOKUP(B238,bond!B:AL,37,FALSE))))))</f>
        <v>固定</v>
      </c>
      <c r="AH238" s="136" t="str">
        <f>VLOOKUP(C238,'2_Check_code'!I:J,2,FALSE)</f>
        <v>美元(USD)</v>
      </c>
      <c r="AI238" s="136" t="str">
        <f t="shared" ca="1" si="26"/>
        <v>自由選清單</v>
      </c>
      <c r="AJ238" s="136">
        <f t="shared" ca="1" si="27"/>
        <v>0</v>
      </c>
      <c r="AK238" s="594" t="str">
        <f ca="1">IF(VLOOKUP(B238,bond!B:S,18,FALSE)="是","有",IF(VLOOKUP(B238,bond!B:S,18,FALSE)="NO OFFER","無","需查詢"))</f>
        <v>有</v>
      </c>
      <c r="AL238" s="136" t="str">
        <f>IF(VLOOKUP(A238,bond!F:AR,39,FALSE)="#N/A Field Not Applicable",VLOOKUP(A238,bond!F:AR,38,FALSE),IFERROR(VLOOKUP(A238,'7_發行日例外'!A:B,2,FALSE),VLOOKUP(A238,bond!F:AR,39,FALSE)))</f>
        <v>2016/11/21</v>
      </c>
      <c r="AM238" s="136" t="str">
        <f ca="1">VLOOKUP(B238,bond!B:AK,36,FALSE)</f>
        <v>2046/5/21</v>
      </c>
      <c r="AN238" s="136" t="str">
        <f ca="1">IFERROR(VLOOKUP(B238,'3_是否下架'!A:A,1,FALSE),"")</f>
        <v/>
      </c>
      <c r="AO238" s="136">
        <f ca="1">VLOOKUP(B238,bond!B:J,9,FALSE)</f>
        <v>80.37</v>
      </c>
      <c r="AP238" s="136">
        <f ca="1">VLOOKUP(B238,bond!B:V,21,FALSE)</f>
        <v>13.9498</v>
      </c>
    </row>
    <row r="239" spans="1:42">
      <c r="A239" s="141" t="str">
        <f>bond!F240</f>
        <v>US742718GA10</v>
      </c>
      <c r="B239" s="151" t="str">
        <f ca="1">IF($C$1=TRUE,bond!B240,"")</f>
        <v>XH340</v>
      </c>
      <c r="C239" s="95" t="str">
        <f>VLOOKUP(A239,bond!F:G,2,FALSE)</f>
        <v>USD</v>
      </c>
      <c r="D239" s="142" t="str">
        <f ca="1">VLOOKUP(B239,bond!B:C,2,FALSE)</f>
        <v>寶僑公司美元配息債券 4.05% 2033/1/26</v>
      </c>
      <c r="E239" s="95" t="str">
        <f ca="1">VLOOKUP(B239,bond!B:D,3,FALSE)</f>
        <v>Aa3 / AA- / -</v>
      </c>
      <c r="F239" s="99" t="str">
        <f ca="1">VLOOKUP(B239,bond!B:AB,27,FALSE)</f>
        <v>2033/1/26</v>
      </c>
      <c r="G239" s="90">
        <f ca="1">VLOOKUP(B239,bond!B:E,4,FALSE)</f>
        <v>8.57</v>
      </c>
      <c r="H239" s="202">
        <f ca="1">VLOOKUP(B239,bond!B:Y,24,FALSE)</f>
        <v>4.0500000000000001E-2</v>
      </c>
      <c r="I239" s="95">
        <f ca="1">VLOOKUP(B239,bond!B:Z,25,FALSE)</f>
        <v>2</v>
      </c>
      <c r="J239" s="180">
        <f ca="1">VLOOKUP(B239,bond!B:K,10,FALSE)</f>
        <v>1.7549999999999999</v>
      </c>
      <c r="K239" s="96">
        <f ca="1">VLOOKUP($B239,bond!B:S,14,FALSE)</f>
        <v>99.71</v>
      </c>
      <c r="L239" s="91" t="str">
        <f ca="1">VLOOKUP(B239,bond!B:H,7,FALSE)</f>
        <v>2024/7/2</v>
      </c>
      <c r="M239" s="144">
        <f ca="1">VLOOKUP($B239,bond!$B:$Q,16,FALSE)</f>
        <v>4.3400000000000001E-2</v>
      </c>
      <c r="N239" s="136">
        <f ca="1">VALUE(LEFT(VLOOKUP(B239,bond!B:R,17,FALSE),SEARCH(" ",VLOOKUP(B239,bond!B:R,17,FALSE),1)))</f>
        <v>2000</v>
      </c>
      <c r="O239" s="136">
        <f ca="1">VALUE(RIGHT(VLOOKUP(B239,bond!B:R,17,FALSE),LEN(VLOOKUP(B239,bond!B:R,17,FALSE))-LEN(N239)-3))</f>
        <v>1000</v>
      </c>
      <c r="P239" s="135" t="str">
        <f ca="1">VLOOKUP($B239,bond!$B:$AG,32,FALSE)</f>
        <v>2024/7/26</v>
      </c>
      <c r="Q239" s="135" t="str">
        <f ca="1">VLOOKUP($B239,bond!$B:$AH,33,FALSE)</f>
        <v>核心消費</v>
      </c>
      <c r="R239" s="135" t="str">
        <f ca="1">VLOOKUP(B239,bond!B:AA,26,FALSE)</f>
        <v>寶僑公司</v>
      </c>
      <c r="S239" s="135" t="str">
        <f ca="1">VLOOKUP(B239,bond!B:AI,34,FALSE)</f>
        <v>PG</v>
      </c>
      <c r="T239" s="135" t="str">
        <f t="shared" ca="1" si="21"/>
        <v>寶僑公司/PG</v>
      </c>
      <c r="U239" s="207" t="str">
        <f ca="1">IFERROR(VLOOKUP(T239,Bond_DES!D:E,2,FALSE),VLOOKUP(S239,bond!AI:AJ,2,FALSE))</f>
        <v>寶僑公司(The Procter &amp; Gamble Company)為全球消費性用品產業翹楚，位居彭博「家庭用品」產業營收全球龍頭地位，提供產品包括：美妝、除毛、健康護理、清潔用品，以及嬰兒和女性家庭用品，Always®、Oral-B®、Pampers®、Pantene®、SK-II®、Tide®等皆是旗下知名品牌，業務遍及全球約70個國家。</v>
      </c>
      <c r="V239" s="136" t="str">
        <f ca="1">IFERROR(VLOOKUP(B239,'1_重設數據'!L:M,2,FALSE),IF(Q239="政府",IF(AD239&gt;16,"(NPI)非專投",IF(AD239&gt;10,"(PI)專投","高資產")),IF(VLOOKUP(B239,bond!B:AN,39,FALSE)="Y","(PI)專投",IF(AD239&gt;=15,"(NPI)非專投",IF(AD239&gt;=10,"(PI)專投","高資產")))))</f>
        <v>(NPI)非專投</v>
      </c>
      <c r="W239" s="136" t="str">
        <f ca="1">VLOOKUP(AD239,'credit rating'!$F$2:$H$22,3,FALSE)</f>
        <v>AA-</v>
      </c>
      <c r="X239" s="136" t="str">
        <f t="shared" ca="1" si="22"/>
        <v>Aa3</v>
      </c>
      <c r="Y239" s="136" t="str">
        <f t="shared" ca="1" si="23"/>
        <v>AA-</v>
      </c>
      <c r="Z239" s="136" t="str">
        <f t="shared" ca="1" si="24"/>
        <v>-</v>
      </c>
      <c r="AA239" s="134">
        <f ca="1">IFERROR(VLOOKUP(X239,'credit rating'!A:C,3,FALSE),0)</f>
        <v>18</v>
      </c>
      <c r="AB239" s="134">
        <f ca="1">IFERROR(VLOOKUP(Y239,'credit rating'!B:C,2,FALSE),0)</f>
        <v>18</v>
      </c>
      <c r="AC239" s="136">
        <f ca="1">IFERROR(VLOOKUP(Z239,'credit rating'!B:C,2,FALSE),0)</f>
        <v>0</v>
      </c>
      <c r="AD239" s="136">
        <f t="shared" ca="1" si="25"/>
        <v>18</v>
      </c>
      <c r="AE239" s="249" t="str">
        <f ca="1">IFERROR(VLOOKUP(B239,bond!B:U,20,FALSE),"")</f>
        <v xml:space="preserve"> </v>
      </c>
      <c r="AF239" s="136" t="str">
        <f ca="1">IF(VLOOKUP(B239,bond!B:AK,36,FALSE)="#N/A Field Not Applicable","",VLOOKUP(B239,bond!B:AK,36,FALSE))</f>
        <v/>
      </c>
      <c r="AG239" s="136" t="str">
        <f ca="1">IF(VLOOKUP(B239,bond!B:AL,37,FALSE)="FIXED","固定",IF(VLOOKUP(B239,bond!B:AL,37,FALSE)="FLOATING","浮動",IF(VLOOKUP(B239,bond!B:AL,37,FALSE)="VARIABLE","變動",IF(VLOOKUP(B239,bond!B:AL,37,FALSE)="FLAT TRADING","不含息交易",IF(VLOOKUP(B239,bond!B:AL,37,FALSE)="ZERO COUPON","零息",VLOOKUP(B239,bond!B:AL,37,FALSE))))))</f>
        <v>固定</v>
      </c>
      <c r="AH239" s="136" t="str">
        <f>VLOOKUP(C239,'2_Check_code'!I:J,2,FALSE)</f>
        <v>美元(USD)</v>
      </c>
      <c r="AI239" s="136" t="str">
        <f t="shared" ca="1" si="26"/>
        <v>自由選清單</v>
      </c>
      <c r="AJ239" s="136">
        <f t="shared" ca="1" si="27"/>
        <v>0</v>
      </c>
      <c r="AK239" s="594" t="str">
        <f ca="1">IF(VLOOKUP(B239,bond!B:S,18,FALSE)="是","有",IF(VLOOKUP(B239,bond!B:S,18,FALSE)="NO OFFER","無","需查詢"))</f>
        <v>有</v>
      </c>
      <c r="AL239" s="136" t="str">
        <f>IF(VLOOKUP(A239,bond!F:AR,39,FALSE)="#N/A Field Not Applicable",VLOOKUP(A239,bond!F:AR,38,FALSE),IFERROR(VLOOKUP(A239,'7_發行日例外'!A:B,2,FALSE),VLOOKUP(A239,bond!F:AR,39,FALSE)))</f>
        <v>2023/1/26</v>
      </c>
      <c r="AM239" s="136" t="str">
        <f ca="1">VLOOKUP(B239,bond!B:AK,36,FALSE)</f>
        <v>#N/A Field Not Applicable</v>
      </c>
      <c r="AN239" s="136" t="str">
        <f ca="1">IFERROR(VLOOKUP(B239,'3_是否下架'!A:A,1,FALSE),"")</f>
        <v/>
      </c>
      <c r="AO239" s="136">
        <f ca="1">VLOOKUP(B239,bond!B:J,9,FALSE)</f>
        <v>96.45</v>
      </c>
      <c r="AP239" s="136">
        <f ca="1">VLOOKUP(B239,bond!B:V,21,FALSE)</f>
        <v>7.0119999999999996</v>
      </c>
    </row>
    <row r="240" spans="1:42">
      <c r="A240" s="141" t="str">
        <f>bond!F241</f>
        <v>US674599DF90</v>
      </c>
      <c r="B240" s="151" t="str">
        <f ca="1">IF($C$1=TRUE,bond!B241,"")</f>
        <v>XH350</v>
      </c>
      <c r="C240" s="95" t="str">
        <f>VLOOKUP(A240,bond!F:G,2,FALSE)</f>
        <v>USD</v>
      </c>
      <c r="D240" s="142" t="str">
        <f ca="1">VLOOKUP(B240,bond!B:C,2,FALSE)</f>
        <v>西方石油公司美元配息債券 6.45% 2036/9/15</v>
      </c>
      <c r="E240" s="95" t="str">
        <f ca="1">VLOOKUP(B240,bond!B:D,3,FALSE)</f>
        <v>Baa3 / BB+ / BBB-</v>
      </c>
      <c r="F240" s="99" t="str">
        <f ca="1">VLOOKUP(B240,bond!B:AB,27,FALSE)</f>
        <v>2036/9/15</v>
      </c>
      <c r="G240" s="90">
        <f ca="1">VLOOKUP(B240,bond!B:E,4,FALSE)</f>
        <v>12.21</v>
      </c>
      <c r="H240" s="202">
        <f ca="1">VLOOKUP(B240,bond!B:Y,24,FALSE)</f>
        <v>6.4500000000000002E-2</v>
      </c>
      <c r="I240" s="95">
        <f ca="1">VLOOKUP(B240,bond!B:Z,25,FALSE)</f>
        <v>2</v>
      </c>
      <c r="J240" s="180">
        <f ca="1">VLOOKUP(B240,bond!B:K,10,FALSE)</f>
        <v>1.9171</v>
      </c>
      <c r="K240" s="96">
        <f ca="1">VLOOKUP($B240,bond!B:S,14,FALSE)</f>
        <v>108.82</v>
      </c>
      <c r="L240" s="91" t="str">
        <f ca="1">VLOOKUP(B240,bond!B:H,7,FALSE)</f>
        <v>2024/7/2</v>
      </c>
      <c r="M240" s="144">
        <f ca="1">VLOOKUP($B240,bond!$B:$Q,16,FALSE)</f>
        <v>5.6599999999999998E-2</v>
      </c>
      <c r="N240" s="136">
        <f ca="1">VALUE(LEFT(VLOOKUP(B240,bond!B:R,17,FALSE),SEARCH(" ",VLOOKUP(B240,bond!B:R,17,FALSE),1)))</f>
        <v>10000</v>
      </c>
      <c r="O240" s="136">
        <f ca="1">VALUE(RIGHT(VLOOKUP(B240,bond!B:R,17,FALSE),LEN(VLOOKUP(B240,bond!B:R,17,FALSE))-LEN(N240)-3))</f>
        <v>1000</v>
      </c>
      <c r="P240" s="135" t="str">
        <f ca="1">VLOOKUP($B240,bond!$B:$AG,32,FALSE)</f>
        <v>2024/9/15</v>
      </c>
      <c r="Q240" s="135" t="str">
        <f ca="1">VLOOKUP($B240,bond!$B:$AH,33,FALSE)</f>
        <v>能源</v>
      </c>
      <c r="R240" s="135" t="str">
        <f ca="1">VLOOKUP(B240,bond!B:AA,26,FALSE)</f>
        <v>西方石油</v>
      </c>
      <c r="S240" s="135" t="str">
        <f ca="1">VLOOKUP(B240,bond!B:AI,34,FALSE)</f>
        <v>OXY</v>
      </c>
      <c r="T240" s="135" t="str">
        <f t="shared" ca="1" si="21"/>
        <v>西方石油/OXY</v>
      </c>
      <c r="U240" s="207" t="str">
        <f ca="1">IFERROR(VLOOKUP(T240,Bond_DES!D:E,2,FALSE),VLOOKUP(S240,bond!AI:AJ,2,FALSE))</f>
        <v>西方石油公司(Occidental Petroleum Corporation)是美國前五大獨立勘探和生產(E&amp;P)公司之一、全球「碳捕捉」技術開發的領導者，巴菲特職掌的波克夏海瑟威為其最大股東；從事探勘、開發、生產及行銷原油與天然氣，亦製造及行銷多種基本化學原料、乙烯基及特用化學品。按營收於「礦業、原油生產」行業排名位居美國第2，僅次於康菲石油(Fortune 2024)</v>
      </c>
      <c r="V240" s="136" t="str">
        <f ca="1">IFERROR(VLOOKUP(B240,'1_重設數據'!L:M,2,FALSE),IF(Q240="政府",IF(AD240&gt;16,"(NPI)非專投",IF(AD240&gt;10,"(PI)專投","高資產")),IF(VLOOKUP(B240,bond!B:AN,39,FALSE)="Y","(PI)專投",IF(AD240&gt;=15,"(NPI)非專投",IF(AD240&gt;=10,"(PI)專投","高資產")))))</f>
        <v>(PI)專投</v>
      </c>
      <c r="W240" s="136" t="str">
        <f ca="1">VLOOKUP(AD240,'credit rating'!$F$2:$H$22,3,FALSE)</f>
        <v>BBB-</v>
      </c>
      <c r="X240" s="136" t="str">
        <f t="shared" ca="1" si="22"/>
        <v>Baa3</v>
      </c>
      <c r="Y240" s="136" t="str">
        <f t="shared" ca="1" si="23"/>
        <v>BB+</v>
      </c>
      <c r="Z240" s="136" t="str">
        <f t="shared" ca="1" si="24"/>
        <v>BBB-</v>
      </c>
      <c r="AA240" s="134">
        <f ca="1">IFERROR(VLOOKUP(X240,'credit rating'!A:C,3,FALSE),0)</f>
        <v>12</v>
      </c>
      <c r="AB240" s="134">
        <f ca="1">IFERROR(VLOOKUP(Y240,'credit rating'!B:C,2,FALSE),0)</f>
        <v>11</v>
      </c>
      <c r="AC240" s="136">
        <f ca="1">IFERROR(VLOOKUP(Z240,'credit rating'!B:C,2,FALSE),0)</f>
        <v>12</v>
      </c>
      <c r="AD240" s="136">
        <f t="shared" ca="1" si="25"/>
        <v>12</v>
      </c>
      <c r="AE240" s="249" t="str">
        <f ca="1">IFERROR(VLOOKUP(B240,bond!B:U,20,FALSE),"")</f>
        <v xml:space="preserve"> </v>
      </c>
      <c r="AF240" s="136" t="str">
        <f ca="1">IF(VLOOKUP(B240,bond!B:AK,36,FALSE)="#N/A Field Not Applicable","",VLOOKUP(B240,bond!B:AK,36,FALSE))</f>
        <v/>
      </c>
      <c r="AG240" s="136" t="str">
        <f ca="1">IF(VLOOKUP(B240,bond!B:AL,37,FALSE)="FIXED","固定",IF(VLOOKUP(B240,bond!B:AL,37,FALSE)="FLOATING","浮動",IF(VLOOKUP(B240,bond!B:AL,37,FALSE)="VARIABLE","變動",IF(VLOOKUP(B240,bond!B:AL,37,FALSE)="FLAT TRADING","不含息交易",IF(VLOOKUP(B240,bond!B:AL,37,FALSE)="ZERO COUPON","零息",VLOOKUP(B240,bond!B:AL,37,FALSE))))))</f>
        <v>固定</v>
      </c>
      <c r="AH240" s="136" t="str">
        <f>VLOOKUP(C240,'2_Check_code'!I:J,2,FALSE)</f>
        <v>美元(USD)</v>
      </c>
      <c r="AI240" s="136" t="str">
        <f t="shared" ca="1" si="26"/>
        <v>自由選清單</v>
      </c>
      <c r="AJ240" s="136">
        <f t="shared" ca="1" si="27"/>
        <v>0</v>
      </c>
      <c r="AK240" s="594" t="str">
        <f ca="1">IF(VLOOKUP(B240,bond!B:S,18,FALSE)="是","有",IF(VLOOKUP(B240,bond!B:S,18,FALSE)="NO OFFER","無","需查詢"))</f>
        <v>有</v>
      </c>
      <c r="AL240" s="136" t="str">
        <f>IF(VLOOKUP(A240,bond!F:AR,39,FALSE)="#N/A Field Not Applicable",VLOOKUP(A240,bond!F:AR,38,FALSE),IFERROR(VLOOKUP(A240,'7_發行日例外'!A:B,2,FALSE),VLOOKUP(A240,bond!F:AR,39,FALSE)))</f>
        <v>2019/9/15</v>
      </c>
      <c r="AM240" s="136" t="str">
        <f ca="1">VLOOKUP(B240,bond!B:AK,36,FALSE)</f>
        <v>#N/A Field Not Applicable</v>
      </c>
      <c r="AN240" s="136" t="str">
        <f ca="1">IFERROR(VLOOKUP(B240,'3_是否下架'!A:A,1,FALSE),"")</f>
        <v/>
      </c>
      <c r="AO240" s="136">
        <f ca="1">VLOOKUP(B240,bond!B:J,9,FALSE)</f>
        <v>104.9</v>
      </c>
      <c r="AP240" s="136">
        <f ca="1">VLOOKUP(B240,bond!B:V,21,FALSE)</f>
        <v>8.3361000000000001</v>
      </c>
    </row>
    <row r="241" spans="1:42">
      <c r="A241" s="141" t="str">
        <f>bond!F242</f>
        <v>US71568QAG29</v>
      </c>
      <c r="B241" s="151" t="str">
        <f ca="1">IF($C$1=TRUE,bond!B242,"")</f>
        <v>XH360</v>
      </c>
      <c r="C241" s="95" t="str">
        <f>VLOOKUP(A241,bond!F:G,2,FALSE)</f>
        <v>USD</v>
      </c>
      <c r="D241" s="142" t="str">
        <f ca="1">VLOOKUP(B241,bond!B:C,2,FALSE)</f>
        <v>印尼國家電力公司美元配息債券 5.375% 2029/1/25</v>
      </c>
      <c r="E241" s="95" t="str">
        <f ca="1">VLOOKUP(B241,bond!B:D,3,FALSE)</f>
        <v>Baa2 / BBB / BBB</v>
      </c>
      <c r="F241" s="99" t="str">
        <f ca="1">VLOOKUP(B241,bond!B:AB,27,FALSE)</f>
        <v>2029/1/25</v>
      </c>
      <c r="G241" s="90">
        <f ca="1">VLOOKUP(B241,bond!B:E,4,FALSE)</f>
        <v>4.57</v>
      </c>
      <c r="H241" s="202">
        <f ca="1">VLOOKUP(B241,bond!B:Y,24,FALSE)</f>
        <v>5.3749999999999999E-2</v>
      </c>
      <c r="I241" s="95">
        <f ca="1">VLOOKUP(B241,bond!B:Z,25,FALSE)</f>
        <v>2</v>
      </c>
      <c r="J241" s="180">
        <f ca="1">VLOOKUP(B241,bond!B:K,10,FALSE)</f>
        <v>2.3441000000000001</v>
      </c>
      <c r="K241" s="96">
        <f ca="1">VLOOKUP($B241,bond!B:S,14,FALSE)</f>
        <v>103.95</v>
      </c>
      <c r="L241" s="91" t="str">
        <f ca="1">VLOOKUP(B241,bond!B:H,7,FALSE)</f>
        <v>2024/7/2</v>
      </c>
      <c r="M241" s="144">
        <f ca="1">VLOOKUP($B241,bond!$B:$Q,16,FALSE)</f>
        <v>4.9799999999999997E-2</v>
      </c>
      <c r="N241" s="136">
        <f ca="1">VALUE(LEFT(VLOOKUP(B241,bond!B:R,17,FALSE),SEARCH(" ",VLOOKUP(B241,bond!B:R,17,FALSE),1)))</f>
        <v>200000</v>
      </c>
      <c r="O241" s="136">
        <f ca="1">VALUE(RIGHT(VLOOKUP(B241,bond!B:R,17,FALSE),LEN(VLOOKUP(B241,bond!B:R,17,FALSE))-LEN(N241)-3))</f>
        <v>1000</v>
      </c>
      <c r="P241" s="135" t="str">
        <f ca="1">VLOOKUP($B241,bond!$B:$AG,32,FALSE)</f>
        <v>2024/7/25</v>
      </c>
      <c r="Q241" s="135" t="str">
        <f ca="1">VLOOKUP($B241,bond!$B:$AH,33,FALSE)</f>
        <v>公用事業</v>
      </c>
      <c r="R241" s="135" t="str">
        <f ca="1">VLOOKUP(B241,bond!B:AA,26,FALSE)</f>
        <v>國家電力公司</v>
      </c>
      <c r="S241" s="135" t="str">
        <f ca="1">VLOOKUP(B241,bond!B:AI,34,FALSE)</f>
        <v>PLNIJ</v>
      </c>
      <c r="T241" s="135" t="str">
        <f t="shared" ca="1" si="21"/>
        <v>國家電力公司/PLNIJ</v>
      </c>
      <c r="U241" s="207" t="str">
        <f ca="1">IFERROR(VLOOKUP(T241,Bond_DES!D:E,2,FALSE),VLOOKUP(S241,bond!AI:AJ,2,FALSE))</f>
        <v>印尼國家電力公司(Perusahaan Listrik Negara)為一家近乎壟斷印尼輸配電的國有企業，由印尼政府透過國有企業部(MSOE)全資擁有，並提供印尼所有電力及電力基礎設施，為印尼唯一的垂直整合電力公司。</v>
      </c>
      <c r="V241" s="136" t="str">
        <f ca="1">IFERROR(VLOOKUP(B241,'1_重設數據'!L:M,2,FALSE),IF(Q241="政府",IF(AD241&gt;16,"(NPI)非專投",IF(AD241&gt;10,"(PI)專投","高資產")),IF(VLOOKUP(B241,bond!B:AN,39,FALSE)="Y","(PI)專投",IF(AD241&gt;=15,"(NPI)非專投",IF(AD241&gt;=10,"(PI)專投","高資產")))))</f>
        <v>(PI)專投</v>
      </c>
      <c r="W241" s="136" t="str">
        <f ca="1">VLOOKUP(AD241,'credit rating'!$F$2:$H$22,3,FALSE)</f>
        <v>BBB</v>
      </c>
      <c r="X241" s="136" t="str">
        <f t="shared" ca="1" si="22"/>
        <v>Baa2</v>
      </c>
      <c r="Y241" s="136" t="str">
        <f t="shared" ca="1" si="23"/>
        <v>BBB</v>
      </c>
      <c r="Z241" s="136" t="str">
        <f t="shared" ca="1" si="24"/>
        <v>BBB</v>
      </c>
      <c r="AA241" s="134">
        <f ca="1">IFERROR(VLOOKUP(X241,'credit rating'!A:C,3,FALSE),0)</f>
        <v>13</v>
      </c>
      <c r="AB241" s="134">
        <f ca="1">IFERROR(VLOOKUP(Y241,'credit rating'!B:C,2,FALSE),0)</f>
        <v>13</v>
      </c>
      <c r="AC241" s="136">
        <f ca="1">IFERROR(VLOOKUP(Z241,'credit rating'!B:C,2,FALSE),0)</f>
        <v>13</v>
      </c>
      <c r="AD241" s="136">
        <f t="shared" ca="1" si="25"/>
        <v>13</v>
      </c>
      <c r="AE241" s="249" t="str">
        <f ca="1">IFERROR(VLOOKUP(B241,bond!B:U,20,FALSE),"")</f>
        <v xml:space="preserve"> </v>
      </c>
      <c r="AF241" s="136" t="str">
        <f ca="1">IF(VLOOKUP(B241,bond!B:AK,36,FALSE)="#N/A Field Not Applicable","",VLOOKUP(B241,bond!B:AK,36,FALSE))</f>
        <v/>
      </c>
      <c r="AG241" s="136" t="str">
        <f ca="1">IF(VLOOKUP(B241,bond!B:AL,37,FALSE)="FIXED","固定",IF(VLOOKUP(B241,bond!B:AL,37,FALSE)="FLOATING","浮動",IF(VLOOKUP(B241,bond!B:AL,37,FALSE)="VARIABLE","變動",IF(VLOOKUP(B241,bond!B:AL,37,FALSE)="FLAT TRADING","不含息交易",IF(VLOOKUP(B241,bond!B:AL,37,FALSE)="ZERO COUPON","零息",VLOOKUP(B241,bond!B:AL,37,FALSE))))))</f>
        <v>固定</v>
      </c>
      <c r="AH241" s="136" t="str">
        <f>VLOOKUP(C241,'2_Check_code'!I:J,2,FALSE)</f>
        <v>美元(USD)</v>
      </c>
      <c r="AI241" s="136" t="str">
        <f t="shared" ca="1" si="26"/>
        <v>自由選清單</v>
      </c>
      <c r="AJ241" s="136">
        <f t="shared" ca="1" si="27"/>
        <v>0</v>
      </c>
      <c r="AK241" s="594" t="str">
        <f ca="1">IF(VLOOKUP(B241,bond!B:S,18,FALSE)="是","有",IF(VLOOKUP(B241,bond!B:S,18,FALSE)="NO OFFER","無","需查詢"))</f>
        <v>有</v>
      </c>
      <c r="AL241" s="136" t="str">
        <f>IF(VLOOKUP(A241,bond!F:AR,39,FALSE)="#N/A Field Not Applicable",VLOOKUP(A241,bond!F:AR,38,FALSE),IFERROR(VLOOKUP(A241,'7_發行日例外'!A:B,2,FALSE),VLOOKUP(A241,bond!F:AR,39,FALSE)))</f>
        <v>2018/10/25</v>
      </c>
      <c r="AM241" s="136" t="str">
        <f ca="1">VLOOKUP(B241,bond!B:AK,36,FALSE)</f>
        <v>#N/A Field Not Applicable</v>
      </c>
      <c r="AN241" s="136" t="str">
        <f ca="1">IFERROR(VLOOKUP(B241,'3_是否下架'!A:A,1,FALSE),"")</f>
        <v/>
      </c>
      <c r="AO241" s="136">
        <f ca="1">VLOOKUP(B241,bond!B:J,9,FALSE)</f>
        <v>100.11</v>
      </c>
      <c r="AP241" s="136">
        <f ca="1">VLOOKUP(B241,bond!B:V,21,FALSE)</f>
        <v>3.9127999999999998</v>
      </c>
    </row>
    <row r="242" spans="1:42">
      <c r="A242" s="141" t="str">
        <f>bond!F243</f>
        <v>ZAG000107004</v>
      </c>
      <c r="B242" s="151" t="str">
        <f ca="1">IF($C$1=TRUE,bond!B243,"")</f>
        <v>XH370</v>
      </c>
      <c r="C242" s="95" t="str">
        <f>VLOOKUP(A242,bond!F:G,2,FALSE)</f>
        <v>ZAR</v>
      </c>
      <c r="D242" s="142" t="str">
        <f ca="1">VLOOKUP(B242,bond!B:C,2,FALSE)</f>
        <v>南非政府公債南非幣配息債券 8.25% 2032/03/31</v>
      </c>
      <c r="E242" s="95" t="str">
        <f ca="1">VLOOKUP(B242,bond!B:D,3,FALSE)</f>
        <v>Ba2 / BB / BB-</v>
      </c>
      <c r="F242" s="99" t="str">
        <f ca="1">VLOOKUP(B242,bond!B:AB,27,FALSE)</f>
        <v>2032/3/31</v>
      </c>
      <c r="G242" s="90">
        <f ca="1">VLOOKUP(B242,bond!B:E,4,FALSE)</f>
        <v>7.74</v>
      </c>
      <c r="H242" s="202">
        <f ca="1">VLOOKUP(B242,bond!B:Y,24,FALSE)</f>
        <v>8.2500000000000004E-2</v>
      </c>
      <c r="I242" s="95">
        <f ca="1">VLOOKUP(B242,bond!B:Z,25,FALSE)</f>
        <v>2</v>
      </c>
      <c r="J242" s="180">
        <f ca="1">VLOOKUP(B242,bond!B:K,10,FALSE)</f>
        <v>2.1473</v>
      </c>
      <c r="K242" s="96">
        <f ca="1">VLOOKUP($B242,bond!B:S,14,FALSE)</f>
        <v>92.17</v>
      </c>
      <c r="L242" s="91" t="str">
        <f ca="1">VLOOKUP(B242,bond!B:H,7,FALSE)</f>
        <v>2024/7/4</v>
      </c>
      <c r="M242" s="144">
        <f ca="1">VLOOKUP($B242,bond!$B:$Q,16,FALSE)</f>
        <v>0.1014</v>
      </c>
      <c r="N242" s="136">
        <f ca="1">VALUE(LEFT(VLOOKUP(B242,bond!B:R,17,FALSE),SEARCH(" ",VLOOKUP(B242,bond!B:R,17,FALSE),1)))</f>
        <v>100000</v>
      </c>
      <c r="O242" s="136">
        <f ca="1">VALUE(RIGHT(VLOOKUP(B242,bond!B:R,17,FALSE),LEN(VLOOKUP(B242,bond!B:R,17,FALSE))-LEN(N242)-3))</f>
        <v>10000</v>
      </c>
      <c r="P242" s="135" t="str">
        <f ca="1">VLOOKUP($B242,bond!$B:$AG,32,FALSE)</f>
        <v>2024/9/30</v>
      </c>
      <c r="Q242" s="135" t="str">
        <f ca="1">VLOOKUP($B242,bond!$B:$AH,33,FALSE)</f>
        <v>政府</v>
      </c>
      <c r="R242" s="135" t="str">
        <f ca="1">VLOOKUP(B242,bond!B:AA,26,FALSE)</f>
        <v>南非公債</v>
      </c>
      <c r="S242" s="135" t="str">
        <f ca="1">VLOOKUP(B242,bond!B:AI,34,FALSE)</f>
        <v>SAGB</v>
      </c>
      <c r="T242" s="135" t="str">
        <f t="shared" ca="1" si="21"/>
        <v>南非公債/SAGB</v>
      </c>
      <c r="U242" s="207" t="str">
        <f ca="1">IFERROR(VLOOKUP(T242,Bond_DES!D:E,2,FALSE),VLOOKUP(S242,bond!AI:AJ,2,FALSE))</f>
        <v>南非共和國(Republic of South Africa)是非洲工業化程度最高的國家，非洲第二大經濟體(僅次於奈及利亞)，並為G20與金磚國家之一員，處世界汽車工業大國行列，連續15年成為中國在非洲第一大交易夥伴，礦產資源豐富，鉑金產量全球居首。</v>
      </c>
      <c r="V242" s="136" t="str">
        <f ca="1">IFERROR(VLOOKUP(B242,'1_重設數據'!L:M,2,FALSE),IF(Q242="政府",IF(AD242&gt;16,"(NPI)非專投",IF(AD242&gt;10,"(PI)專投","高資產")),IF(VLOOKUP(B242,bond!B:AN,39,FALSE)="Y","(PI)專投",IF(AD242&gt;=15,"(NPI)非專投",IF(AD242&gt;=10,"(PI)專投","高資產")))))</f>
        <v>高資產</v>
      </c>
      <c r="W242" s="136" t="str">
        <f ca="1">VLOOKUP(AD242,'credit rating'!$F$2:$H$22,3,FALSE)</f>
        <v>BB</v>
      </c>
      <c r="X242" s="136" t="str">
        <f t="shared" ca="1" si="22"/>
        <v>Ba2</v>
      </c>
      <c r="Y242" s="136" t="str">
        <f t="shared" ca="1" si="23"/>
        <v>BB</v>
      </c>
      <c r="Z242" s="136" t="str">
        <f t="shared" ca="1" si="24"/>
        <v>BB-</v>
      </c>
      <c r="AA242" s="134">
        <f ca="1">IFERROR(VLOOKUP(X242,'credit rating'!A:C,3,FALSE),0)</f>
        <v>10</v>
      </c>
      <c r="AB242" s="134">
        <f ca="1">IFERROR(VLOOKUP(Y242,'credit rating'!B:C,2,FALSE),0)</f>
        <v>10</v>
      </c>
      <c r="AC242" s="136">
        <f ca="1">IFERROR(VLOOKUP(Z242,'credit rating'!B:C,2,FALSE),0)</f>
        <v>9</v>
      </c>
      <c r="AD242" s="136">
        <f t="shared" ca="1" si="25"/>
        <v>10</v>
      </c>
      <c r="AE242" s="249" t="str">
        <f ca="1">IFERROR(VLOOKUP(B242,bond!B:U,20,FALSE),"")</f>
        <v xml:space="preserve"> </v>
      </c>
      <c r="AF242" s="136" t="str">
        <f ca="1">IF(VLOOKUP(B242,bond!B:AK,36,FALSE)="#N/A Field Not Applicable","",VLOOKUP(B242,bond!B:AK,36,FALSE))</f>
        <v/>
      </c>
      <c r="AG242" s="136" t="str">
        <f ca="1">IF(VLOOKUP(B242,bond!B:AL,37,FALSE)="FIXED","固定",IF(VLOOKUP(B242,bond!B:AL,37,FALSE)="FLOATING","浮動",IF(VLOOKUP(B242,bond!B:AL,37,FALSE)="VARIABLE","變動",IF(VLOOKUP(B242,bond!B:AL,37,FALSE)="FLAT TRADING","不含息交易",IF(VLOOKUP(B242,bond!B:AL,37,FALSE)="ZERO COUPON","零息",VLOOKUP(B242,bond!B:AL,37,FALSE))))))</f>
        <v>固定</v>
      </c>
      <c r="AH242" s="136" t="str">
        <f>VLOOKUP(C242,'2_Check_code'!I:J,2,FALSE)</f>
        <v>南非幣(ZAR)</v>
      </c>
      <c r="AI242" s="136" t="str">
        <f t="shared" ca="1" si="26"/>
        <v/>
      </c>
      <c r="AJ242" s="136">
        <f t="shared" ca="1" si="27"/>
        <v>1</v>
      </c>
      <c r="AK242" s="594" t="str">
        <f ca="1">IF(VLOOKUP(B242,bond!B:S,18,FALSE)="是","有",IF(VLOOKUP(B242,bond!B:S,18,FALSE)="NO OFFER","無","需查詢"))</f>
        <v>有</v>
      </c>
      <c r="AL242" s="136" t="str">
        <f>IF(VLOOKUP(A242,bond!F:AR,39,FALSE)="#N/A Field Not Applicable",VLOOKUP(A242,bond!F:AR,38,FALSE),IFERROR(VLOOKUP(A242,'7_發行日例外'!A:B,2,FALSE),VLOOKUP(A242,bond!F:AR,39,FALSE)))</f>
        <v>2014/3/31</v>
      </c>
      <c r="AM242" s="136" t="str">
        <f ca="1">VLOOKUP(B242,bond!B:AK,36,FALSE)</f>
        <v>#N/A Field Not Applicable</v>
      </c>
      <c r="AN242" s="136" t="str">
        <f ca="1">IFERROR(VLOOKUP(B242,'3_是否下架'!A:A,1,FALSE),"")</f>
        <v/>
      </c>
      <c r="AO242" s="136">
        <f ca="1">VLOOKUP(B242,bond!B:J,9,FALSE)</f>
        <v>88.02000000000001</v>
      </c>
      <c r="AP242" s="136">
        <f ca="1">VLOOKUP(B242,bond!B:V,21,FALSE)</f>
        <v>5.3282999999999996</v>
      </c>
    </row>
    <row r="243" spans="1:42">
      <c r="A243" s="141" t="str">
        <f>bond!F244</f>
        <v>US92826CAE21</v>
      </c>
      <c r="B243" s="151" t="str">
        <f ca="1">IF($C$1=TRUE,bond!B244,"")</f>
        <v>XH380</v>
      </c>
      <c r="C243" s="95" t="str">
        <f>VLOOKUP(A243,bond!F:G,2,FALSE)</f>
        <v>USD</v>
      </c>
      <c r="D243" s="142" t="str">
        <f ca="1">VLOOKUP(B243,bond!B:C,2,FALSE)</f>
        <v>威士卡公司美元配息債券 4.15% 2035/12/14</v>
      </c>
      <c r="E243" s="95" t="str">
        <f ca="1">VLOOKUP(B243,bond!B:D,3,FALSE)</f>
        <v>Aa3 / AA- / -</v>
      </c>
      <c r="F243" s="99" t="str">
        <f ca="1">VLOOKUP(B243,bond!B:AB,27,FALSE)</f>
        <v>2035/12/14</v>
      </c>
      <c r="G243" s="90">
        <f ca="1">VLOOKUP(B243,bond!B:E,4,FALSE)</f>
        <v>11.45</v>
      </c>
      <c r="H243" s="202">
        <f ca="1">VLOOKUP(B243,bond!B:Y,24,FALSE)</f>
        <v>4.1500000000000002E-2</v>
      </c>
      <c r="I243" s="95">
        <f ca="1">VLOOKUP(B243,bond!B:Z,25,FALSE)</f>
        <v>2</v>
      </c>
      <c r="J243" s="180">
        <f ca="1">VLOOKUP(B243,bond!B:K,10,FALSE)</f>
        <v>0.20749999999999999</v>
      </c>
      <c r="K243" s="96">
        <f ca="1">VLOOKUP($B243,bond!B:S,14,FALSE)</f>
        <v>96.12</v>
      </c>
      <c r="L243" s="91" t="str">
        <f ca="1">VLOOKUP(B243,bond!B:H,7,FALSE)</f>
        <v>2024/7/2</v>
      </c>
      <c r="M243" s="144">
        <f ca="1">VLOOKUP($B243,bond!$B:$Q,16,FALSE)</f>
        <v>4.6100000000000002E-2</v>
      </c>
      <c r="N243" s="136">
        <f ca="1">VALUE(LEFT(VLOOKUP(B243,bond!B:R,17,FALSE),SEARCH(" ",VLOOKUP(B243,bond!B:R,17,FALSE),1)))</f>
        <v>10000</v>
      </c>
      <c r="O243" s="136">
        <f ca="1">VALUE(RIGHT(VLOOKUP(B243,bond!B:R,17,FALSE),LEN(VLOOKUP(B243,bond!B:R,17,FALSE))-LEN(N243)-3))</f>
        <v>1000</v>
      </c>
      <c r="P243" s="135" t="str">
        <f ca="1">VLOOKUP($B243,bond!$B:$AG,32,FALSE)</f>
        <v>2024/12/14</v>
      </c>
      <c r="Q243" s="135" t="str">
        <f ca="1">VLOOKUP($B243,bond!$B:$AH,33,FALSE)</f>
        <v>金融</v>
      </c>
      <c r="R243" s="135" t="str">
        <f ca="1">VLOOKUP(B243,bond!B:AA,26,FALSE)</f>
        <v>威士卡</v>
      </c>
      <c r="S243" s="135" t="str">
        <f ca="1">VLOOKUP(B243,bond!B:AI,34,FALSE)</f>
        <v>V</v>
      </c>
      <c r="T243" s="135" t="str">
        <f t="shared" ca="1" si="21"/>
        <v>威士卡/V</v>
      </c>
      <c r="U243" s="207" t="str">
        <f ca="1">IFERROR(VLOOKUP(T243,Bond_DES!D:E,2,FALSE),VLOOKUP(S243,bond!AI:AJ,2,FALSE))</f>
        <v>威士卡(Visa Inc.)是全球領先的數位支付公司，服務橫跨全球200多個國家和地區的消費者、商家、金融機構和政府，透過先進的全球支付處理網路VisaNet，在全世界提供安全可靠的支付服務，每秒可處理超過65,000筆交易。Visa亦是全球最大的國際發卡組織，截至2023財年底在全球流通的Visa信用卡達41.6億張。</v>
      </c>
      <c r="V243" s="136" t="str">
        <f ca="1">IFERROR(VLOOKUP(B243,'1_重設數據'!L:M,2,FALSE),IF(Q243="政府",IF(AD243&gt;16,"(NPI)非專投",IF(AD243&gt;10,"(PI)專投","高資產")),IF(VLOOKUP(B243,bond!B:AN,39,FALSE)="Y","(PI)專投",IF(AD243&gt;=15,"(NPI)非專投",IF(AD243&gt;=10,"(PI)專投","高資產")))))</f>
        <v>(NPI)非專投</v>
      </c>
      <c r="W243" s="136" t="str">
        <f ca="1">VLOOKUP(AD243,'credit rating'!$F$2:$H$22,3,FALSE)</f>
        <v>AA-</v>
      </c>
      <c r="X243" s="136" t="str">
        <f t="shared" ca="1" si="22"/>
        <v>Aa3</v>
      </c>
      <c r="Y243" s="136" t="str">
        <f t="shared" ca="1" si="23"/>
        <v>AA-</v>
      </c>
      <c r="Z243" s="136" t="str">
        <f t="shared" ca="1" si="24"/>
        <v>-</v>
      </c>
      <c r="AA243" s="134">
        <f ca="1">IFERROR(VLOOKUP(X243,'credit rating'!A:C,3,FALSE),0)</f>
        <v>18</v>
      </c>
      <c r="AB243" s="134">
        <f ca="1">IFERROR(VLOOKUP(Y243,'credit rating'!B:C,2,FALSE),0)</f>
        <v>18</v>
      </c>
      <c r="AC243" s="136">
        <f ca="1">IFERROR(VLOOKUP(Z243,'credit rating'!B:C,2,FALSE),0)</f>
        <v>0</v>
      </c>
      <c r="AD243" s="136">
        <f t="shared" ca="1" si="25"/>
        <v>18</v>
      </c>
      <c r="AE243" s="249">
        <f ca="1">IFERROR(VLOOKUP(B243,bond!B:U,20,FALSE),"")</f>
        <v>4.6300000000000001E-2</v>
      </c>
      <c r="AF243" s="136" t="str">
        <f ca="1">IF(VLOOKUP(B243,bond!B:AK,36,FALSE)="#N/A Field Not Applicable","",VLOOKUP(B243,bond!B:AK,36,FALSE))</f>
        <v>2035/6/14</v>
      </c>
      <c r="AG243" s="136" t="str">
        <f ca="1">IF(VLOOKUP(B243,bond!B:AL,37,FALSE)="FIXED","固定",IF(VLOOKUP(B243,bond!B:AL,37,FALSE)="FLOATING","浮動",IF(VLOOKUP(B243,bond!B:AL,37,FALSE)="VARIABLE","變動",IF(VLOOKUP(B243,bond!B:AL,37,FALSE)="FLAT TRADING","不含息交易",IF(VLOOKUP(B243,bond!B:AL,37,FALSE)="ZERO COUPON","零息",VLOOKUP(B243,bond!B:AL,37,FALSE))))))</f>
        <v>固定</v>
      </c>
      <c r="AH243" s="136" t="str">
        <f>VLOOKUP(C243,'2_Check_code'!I:J,2,FALSE)</f>
        <v>美元(USD)</v>
      </c>
      <c r="AI243" s="136" t="str">
        <f t="shared" ca="1" si="26"/>
        <v>自由選清單</v>
      </c>
      <c r="AJ243" s="136">
        <f t="shared" ca="1" si="27"/>
        <v>0</v>
      </c>
      <c r="AK243" s="594" t="str">
        <f ca="1">IF(VLOOKUP(B243,bond!B:S,18,FALSE)="是","有",IF(VLOOKUP(B243,bond!B:S,18,FALSE)="NO OFFER","無","需查詢"))</f>
        <v>有</v>
      </c>
      <c r="AL243" s="136" t="str">
        <f>IF(VLOOKUP(A243,bond!F:AR,39,FALSE)="#N/A Field Not Applicable",VLOOKUP(A243,bond!F:AR,38,FALSE),IFERROR(VLOOKUP(A243,'7_發行日例外'!A:B,2,FALSE),VLOOKUP(A243,bond!F:AR,39,FALSE)))</f>
        <v>2015/12/14</v>
      </c>
      <c r="AM243" s="136" t="str">
        <f ca="1">VLOOKUP(B243,bond!B:AK,36,FALSE)</f>
        <v>2035/6/14</v>
      </c>
      <c r="AN243" s="136" t="str">
        <f ca="1">IFERROR(VLOOKUP(B243,'3_是否下架'!A:A,1,FALSE),"")</f>
        <v/>
      </c>
      <c r="AO243" s="136">
        <f ca="1">VLOOKUP(B243,bond!B:J,9,FALSE)</f>
        <v>93.91</v>
      </c>
      <c r="AP243" s="136">
        <f ca="1">VLOOKUP(B243,bond!B:V,21,FALSE)</f>
        <v>8.9179999999999993</v>
      </c>
    </row>
    <row r="244" spans="1:42">
      <c r="A244" s="141" t="str">
        <f>bond!F245</f>
        <v>US037833ES58</v>
      </c>
      <c r="B244" s="151" t="str">
        <f ca="1">IF($C$1=TRUE,bond!B245,"")</f>
        <v>XH390</v>
      </c>
      <c r="C244" s="95" t="str">
        <f>VLOOKUP(A244,bond!F:G,2,FALSE)</f>
        <v>USD</v>
      </c>
      <c r="D244" s="142" t="str">
        <f ca="1">VLOOKUP(B244,bond!B:C,2,FALSE)</f>
        <v>蘋果公司美元配息債券 4.421% 2026/5/8</v>
      </c>
      <c r="E244" s="95" t="str">
        <f ca="1">VLOOKUP(B244,bond!B:D,3,FALSE)</f>
        <v>Aaa / AA+ / -</v>
      </c>
      <c r="F244" s="99" t="str">
        <f ca="1">VLOOKUP(B244,bond!B:AB,27,FALSE)</f>
        <v>2026/5/8</v>
      </c>
      <c r="G244" s="90">
        <f ca="1">VLOOKUP(B244,bond!B:E,4,FALSE)</f>
        <v>1.85</v>
      </c>
      <c r="H244" s="202">
        <f ca="1">VLOOKUP(B244,bond!B:Y,24,FALSE)</f>
        <v>4.4209999999999999E-2</v>
      </c>
      <c r="I244" s="95">
        <f ca="1">VLOOKUP(B244,bond!B:Z,25,FALSE)</f>
        <v>2</v>
      </c>
      <c r="J244" s="180">
        <f ca="1">VLOOKUP(B244,bond!B:K,10,FALSE)</f>
        <v>0.66320000000000001</v>
      </c>
      <c r="K244" s="96">
        <f ca="1">VLOOKUP($B244,bond!B:S,14,FALSE)</f>
        <v>101.14999999999999</v>
      </c>
      <c r="L244" s="91" t="str">
        <f ca="1">VLOOKUP(B244,bond!B:H,7,FALSE)</f>
        <v>2024/7/2</v>
      </c>
      <c r="M244" s="144">
        <f ca="1">VLOOKUP($B244,bond!$B:$Q,16,FALSE)</f>
        <v>4.1399999999999999E-2</v>
      </c>
      <c r="N244" s="136">
        <f ca="1">VALUE(LEFT(VLOOKUP(B244,bond!B:R,17,FALSE),SEARCH(" ",VLOOKUP(B244,bond!B:R,17,FALSE),1)))</f>
        <v>10000</v>
      </c>
      <c r="O244" s="136">
        <f ca="1">VALUE(RIGHT(VLOOKUP(B244,bond!B:R,17,FALSE),LEN(VLOOKUP(B244,bond!B:R,17,FALSE))-LEN(N244)-3))</f>
        <v>1000</v>
      </c>
      <c r="P244" s="135" t="str">
        <f ca="1">VLOOKUP($B244,bond!$B:$AG,32,FALSE)</f>
        <v>2024/11/8</v>
      </c>
      <c r="Q244" s="135" t="str">
        <f ca="1">VLOOKUP($B244,bond!$B:$AH,33,FALSE)</f>
        <v>科技</v>
      </c>
      <c r="R244" s="135" t="str">
        <f ca="1">VLOOKUP(B244,bond!B:AA,26,FALSE)</f>
        <v>蘋果公司</v>
      </c>
      <c r="S244" s="135" t="str">
        <f ca="1">VLOOKUP(B244,bond!B:AI,34,FALSE)</f>
        <v>AAPL</v>
      </c>
      <c r="T244" s="135" t="str">
        <f t="shared" ca="1" si="21"/>
        <v>蘋果公司/AAPL</v>
      </c>
      <c r="U244" s="207" t="str">
        <f ca="1">IFERROR(VLOOKUP(T244,Bond_DES!D:E,2,FALSE),VLOOKUP(S244,bond!AI:AJ,2,FALSE))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44" s="136" t="str">
        <f ca="1">IFERROR(VLOOKUP(B244,'1_重設數據'!L:M,2,FALSE),IF(Q244="政府",IF(AD244&gt;16,"(NPI)非專投",IF(AD244&gt;10,"(PI)專投","高資產")),IF(VLOOKUP(B244,bond!B:AN,39,FALSE)="Y","(PI)專投",IF(AD244&gt;=15,"(NPI)非專投",IF(AD244&gt;=10,"(PI)專投","高資產")))))</f>
        <v>(NPI)非專投</v>
      </c>
      <c r="W244" s="136" t="str">
        <f ca="1">VLOOKUP(AD244,'credit rating'!$F$2:$H$22,3,FALSE)</f>
        <v>AAA</v>
      </c>
      <c r="X244" s="136" t="str">
        <f t="shared" ca="1" si="22"/>
        <v>Aaa</v>
      </c>
      <c r="Y244" s="136" t="str">
        <f t="shared" ca="1" si="23"/>
        <v>AA+</v>
      </c>
      <c r="Z244" s="136" t="str">
        <f t="shared" ca="1" si="24"/>
        <v>-</v>
      </c>
      <c r="AA244" s="134">
        <f ca="1">IFERROR(VLOOKUP(X244,'credit rating'!A:C,3,FALSE),0)</f>
        <v>21</v>
      </c>
      <c r="AB244" s="134">
        <f ca="1">IFERROR(VLOOKUP(Y244,'credit rating'!B:C,2,FALSE),0)</f>
        <v>20</v>
      </c>
      <c r="AC244" s="136">
        <f ca="1">IFERROR(VLOOKUP(Z244,'credit rating'!B:C,2,FALSE),0)</f>
        <v>0</v>
      </c>
      <c r="AD244" s="136">
        <f t="shared" ca="1" si="25"/>
        <v>21</v>
      </c>
      <c r="AE244" s="249">
        <f ca="1">IFERROR(VLOOKUP(B244,bond!B:U,20,FALSE),"")</f>
        <v>-0.13070000000000001</v>
      </c>
      <c r="AF244" s="136" t="str">
        <f ca="1">IF(VLOOKUP(B244,bond!B:AK,36,FALSE)="#N/A Field Not Applicable","",VLOOKUP(B244,bond!B:AK,36,FALSE))</f>
        <v>2024/7/12</v>
      </c>
      <c r="AG244" s="136" t="str">
        <f ca="1">IF(VLOOKUP(B244,bond!B:AL,37,FALSE)="FIXED","固定",IF(VLOOKUP(B244,bond!B:AL,37,FALSE)="FLOATING","浮動",IF(VLOOKUP(B244,bond!B:AL,37,FALSE)="VARIABLE","變動",IF(VLOOKUP(B244,bond!B:AL,37,FALSE)="FLAT TRADING","不含息交易",IF(VLOOKUP(B244,bond!B:AL,37,FALSE)="ZERO COUPON","零息",VLOOKUP(B244,bond!B:AL,37,FALSE))))))</f>
        <v>固定</v>
      </c>
      <c r="AH244" s="136" t="str">
        <f>VLOOKUP(C244,'2_Check_code'!I:J,2,FALSE)</f>
        <v>美元(USD)</v>
      </c>
      <c r="AI244" s="136" t="str">
        <f t="shared" ca="1" si="26"/>
        <v>自由選清單</v>
      </c>
      <c r="AJ244" s="136">
        <f t="shared" ca="1" si="27"/>
        <v>0</v>
      </c>
      <c r="AK244" s="594" t="str">
        <f ca="1">IF(VLOOKUP(B244,bond!B:S,18,FALSE)="是","有",IF(VLOOKUP(B244,bond!B:S,18,FALSE)="NO OFFER","無","需查詢"))</f>
        <v>有</v>
      </c>
      <c r="AL244" s="136" t="str">
        <f>IF(VLOOKUP(A244,bond!F:AR,39,FALSE)="#N/A Field Not Applicable",VLOOKUP(A244,bond!F:AR,38,FALSE),IFERROR(VLOOKUP(A244,'7_發行日例外'!A:B,2,FALSE),VLOOKUP(A244,bond!F:AR,39,FALSE)))</f>
        <v>2023/5/10</v>
      </c>
      <c r="AM244" s="136" t="str">
        <f ca="1">VLOOKUP(B244,bond!B:AK,36,FALSE)</f>
        <v>2024/7/12</v>
      </c>
      <c r="AN244" s="136" t="str">
        <f ca="1">IFERROR(VLOOKUP(B244,'3_是否下架'!A:A,1,FALSE),"")</f>
        <v/>
      </c>
      <c r="AO244" s="136">
        <f ca="1">VLOOKUP(B244,bond!B:J,9,FALSE)</f>
        <v>99.690000000000012</v>
      </c>
      <c r="AP244" s="136">
        <f ca="1">VLOOKUP(B244,bond!B:V,21,FALSE)</f>
        <v>1.7468999999999999</v>
      </c>
    </row>
    <row r="245" spans="1:42">
      <c r="A245" s="141" t="str">
        <f>bond!F246</f>
        <v>US037833ET32</v>
      </c>
      <c r="B245" s="151" t="str">
        <f ca="1">IF($C$1=TRUE,bond!B246,"")</f>
        <v>XH400</v>
      </c>
      <c r="C245" s="95" t="str">
        <f>VLOOKUP(A245,bond!F:G,2,FALSE)</f>
        <v>USD</v>
      </c>
      <c r="D245" s="142" t="str">
        <f ca="1">VLOOKUP(B245,bond!B:C,2,FALSE)</f>
        <v>蘋果公司美元配息債券 4% 2028/5/10</v>
      </c>
      <c r="E245" s="95" t="str">
        <f ca="1">VLOOKUP(B245,bond!B:D,3,FALSE)</f>
        <v>Aaa / AA+ / -</v>
      </c>
      <c r="F245" s="99" t="str">
        <f ca="1">VLOOKUP(B245,bond!B:AB,27,FALSE)</f>
        <v>2028/5/10</v>
      </c>
      <c r="G245" s="90">
        <f ca="1">VLOOKUP(B245,bond!B:E,4,FALSE)</f>
        <v>3.85</v>
      </c>
      <c r="H245" s="202">
        <f ca="1">VLOOKUP(B245,bond!B:Y,24,FALSE)</f>
        <v>0.04</v>
      </c>
      <c r="I245" s="95">
        <f ca="1">VLOOKUP(B245,bond!B:Z,25,FALSE)</f>
        <v>2</v>
      </c>
      <c r="J245" s="180">
        <f ca="1">VLOOKUP(B245,bond!B:K,10,FALSE)</f>
        <v>0.57779999999999998</v>
      </c>
      <c r="K245" s="96">
        <f ca="1">VLOOKUP($B245,bond!B:S,14,FALSE)</f>
        <v>100.33</v>
      </c>
      <c r="L245" s="91" t="str">
        <f ca="1">VLOOKUP(B245,bond!B:H,7,FALSE)</f>
        <v>2024/7/2</v>
      </c>
      <c r="M245" s="144">
        <f ca="1">VLOOKUP($B245,bond!$B:$Q,16,FALSE)</f>
        <v>4.07E-2</v>
      </c>
      <c r="N245" s="136">
        <f ca="1">VALUE(LEFT(VLOOKUP(B245,bond!B:R,17,FALSE),SEARCH(" ",VLOOKUP(B245,bond!B:R,17,FALSE),1)))</f>
        <v>10000</v>
      </c>
      <c r="O245" s="136">
        <f ca="1">VALUE(RIGHT(VLOOKUP(B245,bond!B:R,17,FALSE),LEN(VLOOKUP(B245,bond!B:R,17,FALSE))-LEN(N245)-3))</f>
        <v>1000</v>
      </c>
      <c r="P245" s="135" t="str">
        <f ca="1">VLOOKUP($B245,bond!$B:$AG,32,FALSE)</f>
        <v>2024/11/10</v>
      </c>
      <c r="Q245" s="135" t="str">
        <f ca="1">VLOOKUP($B245,bond!$B:$AH,33,FALSE)</f>
        <v>科技</v>
      </c>
      <c r="R245" s="135" t="str">
        <f ca="1">VLOOKUP(B245,bond!B:AA,26,FALSE)</f>
        <v>蘋果公司</v>
      </c>
      <c r="S245" s="135" t="str">
        <f ca="1">VLOOKUP(B245,bond!B:AI,34,FALSE)</f>
        <v>AAPL</v>
      </c>
      <c r="T245" s="135" t="str">
        <f t="shared" ca="1" si="21"/>
        <v>蘋果公司/AAPL</v>
      </c>
      <c r="U245" s="207" t="str">
        <f ca="1">IFERROR(VLOOKUP(T245,Bond_DES!D:E,2,FALSE),VLOOKUP(S245,bond!AI:AJ,2,FALSE))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45" s="136" t="str">
        <f ca="1">IFERROR(VLOOKUP(B245,'1_重設數據'!L:M,2,FALSE),IF(Q245="政府",IF(AD245&gt;16,"(NPI)非專投",IF(AD245&gt;10,"(PI)專投","高資產")),IF(VLOOKUP(B245,bond!B:AN,39,FALSE)="Y","(PI)專投",IF(AD245&gt;=15,"(NPI)非專投",IF(AD245&gt;=10,"(PI)專投","高資產")))))</f>
        <v>(NPI)非專投</v>
      </c>
      <c r="W245" s="136" t="str">
        <f ca="1">VLOOKUP(AD245,'credit rating'!$F$2:$H$22,3,FALSE)</f>
        <v>AAA</v>
      </c>
      <c r="X245" s="136" t="str">
        <f t="shared" ca="1" si="22"/>
        <v>Aaa</v>
      </c>
      <c r="Y245" s="136" t="str">
        <f t="shared" ca="1" si="23"/>
        <v>AA+</v>
      </c>
      <c r="Z245" s="136" t="str">
        <f t="shared" ca="1" si="24"/>
        <v>-</v>
      </c>
      <c r="AA245" s="134">
        <f ca="1">IFERROR(VLOOKUP(X245,'credit rating'!A:C,3,FALSE),0)</f>
        <v>21</v>
      </c>
      <c r="AB245" s="134">
        <f ca="1">IFERROR(VLOOKUP(Y245,'credit rating'!B:C,2,FALSE),0)</f>
        <v>20</v>
      </c>
      <c r="AC245" s="136">
        <f ca="1">IFERROR(VLOOKUP(Z245,'credit rating'!B:C,2,FALSE),0)</f>
        <v>0</v>
      </c>
      <c r="AD245" s="136">
        <f t="shared" ca="1" si="25"/>
        <v>21</v>
      </c>
      <c r="AE245" s="249">
        <f ca="1">IFERROR(VLOOKUP(B245,bond!B:U,20,FALSE),"")</f>
        <v>4.07E-2</v>
      </c>
      <c r="AF245" s="136" t="str">
        <f ca="1">IF(VLOOKUP(B245,bond!B:AK,36,FALSE)="#N/A Field Not Applicable","",VLOOKUP(B245,bond!B:AK,36,FALSE))</f>
        <v>2028/4/10</v>
      </c>
      <c r="AG245" s="136" t="str">
        <f ca="1">IF(VLOOKUP(B245,bond!B:AL,37,FALSE)="FIXED","固定",IF(VLOOKUP(B245,bond!B:AL,37,FALSE)="FLOATING","浮動",IF(VLOOKUP(B245,bond!B:AL,37,FALSE)="VARIABLE","變動",IF(VLOOKUP(B245,bond!B:AL,37,FALSE)="FLAT TRADING","不含息交易",IF(VLOOKUP(B245,bond!B:AL,37,FALSE)="ZERO COUPON","零息",VLOOKUP(B245,bond!B:AL,37,FALSE))))))</f>
        <v>固定</v>
      </c>
      <c r="AH245" s="136" t="str">
        <f>VLOOKUP(C245,'2_Check_code'!I:J,2,FALSE)</f>
        <v>美元(USD)</v>
      </c>
      <c r="AI245" s="136" t="str">
        <f t="shared" ca="1" si="26"/>
        <v>自由選清單</v>
      </c>
      <c r="AJ245" s="136">
        <f t="shared" ca="1" si="27"/>
        <v>0</v>
      </c>
      <c r="AK245" s="594" t="str">
        <f ca="1">IF(VLOOKUP(B245,bond!B:S,18,FALSE)="是","有",IF(VLOOKUP(B245,bond!B:S,18,FALSE)="NO OFFER","無","需查詢"))</f>
        <v>有</v>
      </c>
      <c r="AL245" s="136" t="str">
        <f>IF(VLOOKUP(A245,bond!F:AR,39,FALSE)="#N/A Field Not Applicable",VLOOKUP(A245,bond!F:AR,38,FALSE),IFERROR(VLOOKUP(A245,'7_發行日例外'!A:B,2,FALSE),VLOOKUP(A245,bond!F:AR,39,FALSE)))</f>
        <v>2023/5/10</v>
      </c>
      <c r="AM245" s="136" t="str">
        <f ca="1">VLOOKUP(B245,bond!B:AK,36,FALSE)</f>
        <v>2028/4/10</v>
      </c>
      <c r="AN245" s="136" t="str">
        <f ca="1">IFERROR(VLOOKUP(B245,'3_是否下架'!A:A,1,FALSE),"")</f>
        <v/>
      </c>
      <c r="AO245" s="136">
        <f ca="1">VLOOKUP(B245,bond!B:J,9,FALSE)</f>
        <v>98.25</v>
      </c>
      <c r="AP245" s="136">
        <f ca="1">VLOOKUP(B245,bond!B:V,21,FALSE)</f>
        <v>3.5129000000000001</v>
      </c>
    </row>
    <row r="246" spans="1:42">
      <c r="A246" s="141" t="str">
        <f>bond!F247</f>
        <v>US037833EU05</v>
      </c>
      <c r="B246" s="151" t="str">
        <f ca="1">IF($C$1=TRUE,bond!B247,"")</f>
        <v>XH410</v>
      </c>
      <c r="C246" s="95" t="str">
        <f>VLOOKUP(A246,bond!F:G,2,FALSE)</f>
        <v>USD</v>
      </c>
      <c r="D246" s="142" t="str">
        <f ca="1">VLOOKUP(B246,bond!B:C,2,FALSE)</f>
        <v>蘋果公司美元配息債券 4.15% 2030/5/10</v>
      </c>
      <c r="E246" s="95" t="str">
        <f ca="1">VLOOKUP(B246,bond!B:D,3,FALSE)</f>
        <v>Aaa / AA+ / -</v>
      </c>
      <c r="F246" s="99" t="str">
        <f ca="1">VLOOKUP(B246,bond!B:AB,27,FALSE)</f>
        <v>2030/5/10</v>
      </c>
      <c r="G246" s="90">
        <f ca="1">VLOOKUP(B246,bond!B:E,4,FALSE)</f>
        <v>5.85</v>
      </c>
      <c r="H246" s="202">
        <f ca="1">VLOOKUP(B246,bond!B:Y,24,FALSE)</f>
        <v>4.1500000000000002E-2</v>
      </c>
      <c r="I246" s="95">
        <f ca="1">VLOOKUP(B246,bond!B:Z,25,FALSE)</f>
        <v>2</v>
      </c>
      <c r="J246" s="180">
        <f ca="1">VLOOKUP(B246,bond!B:K,10,FALSE)</f>
        <v>0.59940000000000004</v>
      </c>
      <c r="K246" s="96">
        <f ca="1">VLOOKUP($B246,bond!B:S,14,FALSE)</f>
        <v>100.76</v>
      </c>
      <c r="L246" s="91" t="str">
        <f ca="1">VLOOKUP(B246,bond!B:H,7,FALSE)</f>
        <v>2024/7/2</v>
      </c>
      <c r="M246" s="144">
        <f ca="1">VLOOKUP($B246,bond!$B:$Q,16,FALSE)</f>
        <v>4.1200000000000001E-2</v>
      </c>
      <c r="N246" s="136">
        <f ca="1">VALUE(LEFT(VLOOKUP(B246,bond!B:R,17,FALSE),SEARCH(" ",VLOOKUP(B246,bond!B:R,17,FALSE),1)))</f>
        <v>10000</v>
      </c>
      <c r="O246" s="136">
        <f ca="1">VALUE(RIGHT(VLOOKUP(B246,bond!B:R,17,FALSE),LEN(VLOOKUP(B246,bond!B:R,17,FALSE))-LEN(N246)-3))</f>
        <v>1000</v>
      </c>
      <c r="P246" s="135" t="str">
        <f ca="1">VLOOKUP($B246,bond!$B:$AG,32,FALSE)</f>
        <v>2024/11/10</v>
      </c>
      <c r="Q246" s="135" t="str">
        <f ca="1">VLOOKUP($B246,bond!$B:$AH,33,FALSE)</f>
        <v>科技</v>
      </c>
      <c r="R246" s="135" t="str">
        <f ca="1">VLOOKUP(B246,bond!B:AA,26,FALSE)</f>
        <v>蘋果公司</v>
      </c>
      <c r="S246" s="135" t="str">
        <f ca="1">VLOOKUP(B246,bond!B:AI,34,FALSE)</f>
        <v>AAPL</v>
      </c>
      <c r="T246" s="135" t="str">
        <f t="shared" ca="1" si="21"/>
        <v>蘋果公司/AAPL</v>
      </c>
      <c r="U246" s="207" t="str">
        <f ca="1">IFERROR(VLOOKUP(T246,Bond_DES!D:E,2,FALSE),VLOOKUP(S246,bond!AI:AJ,2,FALSE))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46" s="136" t="str">
        <f ca="1">IFERROR(VLOOKUP(B246,'1_重設數據'!L:M,2,FALSE),IF(Q246="政府",IF(AD246&gt;16,"(NPI)非專投",IF(AD246&gt;10,"(PI)專投","高資產")),IF(VLOOKUP(B246,bond!B:AN,39,FALSE)="Y","(PI)專投",IF(AD246&gt;=15,"(NPI)非專投",IF(AD246&gt;=10,"(PI)專投","高資產")))))</f>
        <v>(NPI)非專投</v>
      </c>
      <c r="W246" s="136" t="str">
        <f ca="1">VLOOKUP(AD246,'credit rating'!$F$2:$H$22,3,FALSE)</f>
        <v>AAA</v>
      </c>
      <c r="X246" s="136" t="str">
        <f t="shared" ca="1" si="22"/>
        <v>Aaa</v>
      </c>
      <c r="Y246" s="136" t="str">
        <f t="shared" ca="1" si="23"/>
        <v>AA+</v>
      </c>
      <c r="Z246" s="136" t="str">
        <f t="shared" ca="1" si="24"/>
        <v>-</v>
      </c>
      <c r="AA246" s="134">
        <f ca="1">IFERROR(VLOOKUP(X246,'credit rating'!A:C,3,FALSE),0)</f>
        <v>21</v>
      </c>
      <c r="AB246" s="134">
        <f ca="1">IFERROR(VLOOKUP(Y246,'credit rating'!B:C,2,FALSE),0)</f>
        <v>20</v>
      </c>
      <c r="AC246" s="136">
        <f ca="1">IFERROR(VLOOKUP(Z246,'credit rating'!B:C,2,FALSE),0)</f>
        <v>0</v>
      </c>
      <c r="AD246" s="136">
        <f t="shared" ca="1" si="25"/>
        <v>21</v>
      </c>
      <c r="AE246" s="249">
        <f ca="1">IFERROR(VLOOKUP(B246,bond!B:U,20,FALSE),"")</f>
        <v>4.1200000000000001E-2</v>
      </c>
      <c r="AF246" s="136" t="str">
        <f ca="1">IF(VLOOKUP(B246,bond!B:AK,36,FALSE)="#N/A Field Not Applicable","",VLOOKUP(B246,bond!B:AK,36,FALSE))</f>
        <v>2030/3/10</v>
      </c>
      <c r="AG246" s="136" t="str">
        <f ca="1">IF(VLOOKUP(B246,bond!B:AL,37,FALSE)="FIXED","固定",IF(VLOOKUP(B246,bond!B:AL,37,FALSE)="FLOATING","浮動",IF(VLOOKUP(B246,bond!B:AL,37,FALSE)="VARIABLE","變動",IF(VLOOKUP(B246,bond!B:AL,37,FALSE)="FLAT TRADING","不含息交易",IF(VLOOKUP(B246,bond!B:AL,37,FALSE)="ZERO COUPON","零息",VLOOKUP(B246,bond!B:AL,37,FALSE))))))</f>
        <v>固定</v>
      </c>
      <c r="AH246" s="136" t="str">
        <f>VLOOKUP(C246,'2_Check_code'!I:J,2,FALSE)</f>
        <v>美元(USD)</v>
      </c>
      <c r="AI246" s="136" t="str">
        <f t="shared" ca="1" si="26"/>
        <v>自由選清單</v>
      </c>
      <c r="AJ246" s="136">
        <f t="shared" ca="1" si="27"/>
        <v>0</v>
      </c>
      <c r="AK246" s="594" t="str">
        <f ca="1">IF(VLOOKUP(B246,bond!B:S,18,FALSE)="是","有",IF(VLOOKUP(B246,bond!B:S,18,FALSE)="NO OFFER","無","需查詢"))</f>
        <v>有</v>
      </c>
      <c r="AL246" s="136" t="str">
        <f>IF(VLOOKUP(A246,bond!F:AR,39,FALSE)="#N/A Field Not Applicable",VLOOKUP(A246,bond!F:AR,38,FALSE),IFERROR(VLOOKUP(A246,'7_發行日例外'!A:B,2,FALSE),VLOOKUP(A246,bond!F:AR,39,FALSE)))</f>
        <v>2023/5/10</v>
      </c>
      <c r="AM246" s="136" t="str">
        <f ca="1">VLOOKUP(B246,bond!B:AK,36,FALSE)</f>
        <v>2030/3/10</v>
      </c>
      <c r="AN246" s="136" t="str">
        <f ca="1">IFERROR(VLOOKUP(B246,'3_是否下架'!A:A,1,FALSE),"")</f>
        <v/>
      </c>
      <c r="AO246" s="136">
        <f ca="1">VLOOKUP(B246,bond!B:J,9,FALSE)</f>
        <v>98.660000000000011</v>
      </c>
      <c r="AP246" s="136">
        <f ca="1">VLOOKUP(B246,bond!B:V,21,FALSE)</f>
        <v>5.1138000000000003</v>
      </c>
    </row>
    <row r="247" spans="1:42">
      <c r="A247" s="141" t="str">
        <f>bond!F248</f>
        <v>US037833EV87</v>
      </c>
      <c r="B247" s="151" t="str">
        <f ca="1">IF($C$1=TRUE,bond!B248,"")</f>
        <v>XH420</v>
      </c>
      <c r="C247" s="95" t="str">
        <f>VLOOKUP(A247,bond!F:G,2,FALSE)</f>
        <v>USD</v>
      </c>
      <c r="D247" s="142" t="str">
        <f ca="1">VLOOKUP(B247,bond!B:C,2,FALSE)</f>
        <v>蘋果公司美元配息債券 4.3% 2033/5/10</v>
      </c>
      <c r="E247" s="95" t="str">
        <f ca="1">VLOOKUP(B247,bond!B:D,3,FALSE)</f>
        <v>Aaa / AA+ / -</v>
      </c>
      <c r="F247" s="99" t="str">
        <f ca="1">VLOOKUP(B247,bond!B:AB,27,FALSE)</f>
        <v>2033/5/10</v>
      </c>
      <c r="G247" s="90">
        <f ca="1">VLOOKUP(B247,bond!B:E,4,FALSE)</f>
        <v>8.85</v>
      </c>
      <c r="H247" s="202">
        <f ca="1">VLOOKUP(B247,bond!B:Y,24,FALSE)</f>
        <v>4.2999999999999997E-2</v>
      </c>
      <c r="I247" s="95">
        <f ca="1">VLOOKUP(B247,bond!B:Z,25,FALSE)</f>
        <v>2</v>
      </c>
      <c r="J247" s="180">
        <f ca="1">VLOOKUP(B247,bond!B:K,10,FALSE)</f>
        <v>0.62109999999999999</v>
      </c>
      <c r="K247" s="96">
        <f ca="1">VLOOKUP($B247,bond!B:S,14,FALSE)</f>
        <v>101.8</v>
      </c>
      <c r="L247" s="91" t="str">
        <f ca="1">VLOOKUP(B247,bond!B:H,7,FALSE)</f>
        <v>2024/7/2</v>
      </c>
      <c r="M247" s="144">
        <f ca="1">VLOOKUP($B247,bond!$B:$Q,16,FALSE)</f>
        <v>4.1399999999999999E-2</v>
      </c>
      <c r="N247" s="136">
        <f ca="1">VALUE(LEFT(VLOOKUP(B247,bond!B:R,17,FALSE),SEARCH(" ",VLOOKUP(B247,bond!B:R,17,FALSE),1)))</f>
        <v>10000</v>
      </c>
      <c r="O247" s="136">
        <f ca="1">VALUE(RIGHT(VLOOKUP(B247,bond!B:R,17,FALSE),LEN(VLOOKUP(B247,bond!B:R,17,FALSE))-LEN(N247)-3))</f>
        <v>1000</v>
      </c>
      <c r="P247" s="135" t="str">
        <f ca="1">VLOOKUP($B247,bond!$B:$AG,32,FALSE)</f>
        <v>2024/11/10</v>
      </c>
      <c r="Q247" s="135" t="str">
        <f ca="1">VLOOKUP($B247,bond!$B:$AH,33,FALSE)</f>
        <v>科技</v>
      </c>
      <c r="R247" s="135" t="str">
        <f ca="1">VLOOKUP(B247,bond!B:AA,26,FALSE)</f>
        <v>蘋果公司</v>
      </c>
      <c r="S247" s="135" t="str">
        <f ca="1">VLOOKUP(B247,bond!B:AI,34,FALSE)</f>
        <v>AAPL</v>
      </c>
      <c r="T247" s="135" t="str">
        <f t="shared" ca="1" si="21"/>
        <v>蘋果公司/AAPL</v>
      </c>
      <c r="U247" s="207" t="str">
        <f ca="1">IFERROR(VLOOKUP(T247,Bond_DES!D:E,2,FALSE),VLOOKUP(S247,bond!AI:AJ,2,FALSE))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47" s="136" t="str">
        <f ca="1">IFERROR(VLOOKUP(B247,'1_重設數據'!L:M,2,FALSE),IF(Q247="政府",IF(AD247&gt;16,"(NPI)非專投",IF(AD247&gt;10,"(PI)專投","高資產")),IF(VLOOKUP(B247,bond!B:AN,39,FALSE)="Y","(PI)專投",IF(AD247&gt;=15,"(NPI)非專投",IF(AD247&gt;=10,"(PI)專投","高資產")))))</f>
        <v>(NPI)非專投</v>
      </c>
      <c r="W247" s="136" t="str">
        <f ca="1">VLOOKUP(AD247,'credit rating'!$F$2:$H$22,3,FALSE)</f>
        <v>AAA</v>
      </c>
      <c r="X247" s="136" t="str">
        <f t="shared" ca="1" si="22"/>
        <v>Aaa</v>
      </c>
      <c r="Y247" s="136" t="str">
        <f t="shared" ca="1" si="23"/>
        <v>AA+</v>
      </c>
      <c r="Z247" s="136" t="str">
        <f t="shared" ca="1" si="24"/>
        <v>-</v>
      </c>
      <c r="AA247" s="134">
        <f ca="1">IFERROR(VLOOKUP(X247,'credit rating'!A:C,3,FALSE),0)</f>
        <v>21</v>
      </c>
      <c r="AB247" s="134">
        <f ca="1">IFERROR(VLOOKUP(Y247,'credit rating'!B:C,2,FALSE),0)</f>
        <v>20</v>
      </c>
      <c r="AC247" s="136">
        <f ca="1">IFERROR(VLOOKUP(Z247,'credit rating'!B:C,2,FALSE),0)</f>
        <v>0</v>
      </c>
      <c r="AD247" s="136">
        <f t="shared" ca="1" si="25"/>
        <v>21</v>
      </c>
      <c r="AE247" s="249">
        <f ca="1">IFERROR(VLOOKUP(B247,bond!B:U,20,FALSE),"")</f>
        <v>4.1399999999999999E-2</v>
      </c>
      <c r="AF247" s="136" t="str">
        <f ca="1">IF(VLOOKUP(B247,bond!B:AK,36,FALSE)="#N/A Field Not Applicable","",VLOOKUP(B247,bond!B:AK,36,FALSE))</f>
        <v>2033/2/10</v>
      </c>
      <c r="AG247" s="136" t="str">
        <f ca="1">IF(VLOOKUP(B247,bond!B:AL,37,FALSE)="FIXED","固定",IF(VLOOKUP(B247,bond!B:AL,37,FALSE)="FLOATING","浮動",IF(VLOOKUP(B247,bond!B:AL,37,FALSE)="VARIABLE","變動",IF(VLOOKUP(B247,bond!B:AL,37,FALSE)="FLAT TRADING","不含息交易",IF(VLOOKUP(B247,bond!B:AL,37,FALSE)="ZERO COUPON","零息",VLOOKUP(B247,bond!B:AL,37,FALSE))))))</f>
        <v>固定</v>
      </c>
      <c r="AH247" s="136" t="str">
        <f>VLOOKUP(C247,'2_Check_code'!I:J,2,FALSE)</f>
        <v>美元(USD)</v>
      </c>
      <c r="AI247" s="136" t="str">
        <f t="shared" ca="1" si="26"/>
        <v>自由選清單</v>
      </c>
      <c r="AJ247" s="136">
        <f t="shared" ca="1" si="27"/>
        <v>0</v>
      </c>
      <c r="AK247" s="594" t="str">
        <f ca="1">IF(VLOOKUP(B247,bond!B:S,18,FALSE)="是","有",IF(VLOOKUP(B247,bond!B:S,18,FALSE)="NO OFFER","無","需查詢"))</f>
        <v>有</v>
      </c>
      <c r="AL247" s="136" t="str">
        <f>IF(VLOOKUP(A247,bond!F:AR,39,FALSE)="#N/A Field Not Applicable",VLOOKUP(A247,bond!F:AR,38,FALSE),IFERROR(VLOOKUP(A247,'7_發行日例外'!A:B,2,FALSE),VLOOKUP(A247,bond!F:AR,39,FALSE)))</f>
        <v>2023/5/10</v>
      </c>
      <c r="AM247" s="136" t="str">
        <f ca="1">VLOOKUP(B247,bond!B:AK,36,FALSE)</f>
        <v>2033/2/10</v>
      </c>
      <c r="AN247" s="136" t="str">
        <f ca="1">IFERROR(VLOOKUP(B247,'3_是否下架'!A:A,1,FALSE),"")</f>
        <v/>
      </c>
      <c r="AO247" s="136">
        <f ca="1">VLOOKUP(B247,bond!B:J,9,FALSE)</f>
        <v>99.18</v>
      </c>
      <c r="AP247" s="136">
        <f ca="1">VLOOKUP(B247,bond!B:V,21,FALSE)</f>
        <v>7.2535999999999996</v>
      </c>
    </row>
    <row r="248" spans="1:42">
      <c r="A248" s="141" t="str">
        <f>bond!F249</f>
        <v>US037833EW60</v>
      </c>
      <c r="B248" s="151" t="str">
        <f ca="1">IF($C$1=TRUE,bond!B249,"")</f>
        <v>XH430</v>
      </c>
      <c r="C248" s="95" t="str">
        <f>VLOOKUP(A248,bond!F:G,2,FALSE)</f>
        <v>USD</v>
      </c>
      <c r="D248" s="142" t="str">
        <f ca="1">VLOOKUP(B248,bond!B:C,2,FALSE)</f>
        <v>蘋果公司美元配息債券 4.85% 2053/5/10</v>
      </c>
      <c r="E248" s="95" t="str">
        <f ca="1">VLOOKUP(B248,bond!B:D,3,FALSE)</f>
        <v>Aaa / AA+ / -</v>
      </c>
      <c r="F248" s="99" t="str">
        <f ca="1">VLOOKUP(B248,bond!B:AB,27,FALSE)</f>
        <v>2053/5/10</v>
      </c>
      <c r="G248" s="90">
        <f ca="1">VLOOKUP(B248,bond!B:E,4,FALSE)</f>
        <v>28.85</v>
      </c>
      <c r="H248" s="202">
        <f ca="1">VLOOKUP(B248,bond!B:Y,24,FALSE)</f>
        <v>4.8499999999999995E-2</v>
      </c>
      <c r="I248" s="95">
        <f ca="1">VLOOKUP(B248,bond!B:Z,25,FALSE)</f>
        <v>2</v>
      </c>
      <c r="J248" s="180">
        <f ca="1">VLOOKUP(B248,bond!B:K,10,FALSE)</f>
        <v>0.7006</v>
      </c>
      <c r="K248" s="96">
        <f ca="1">VLOOKUP($B248,bond!B:S,14,FALSE)</f>
        <v>101.87</v>
      </c>
      <c r="L248" s="91" t="str">
        <f ca="1">VLOOKUP(B248,bond!B:H,7,FALSE)</f>
        <v>2024/7/2</v>
      </c>
      <c r="M248" s="144">
        <f ca="1">VLOOKUP($B248,bond!$B:$Q,16,FALSE)</f>
        <v>4.7699999999999999E-2</v>
      </c>
      <c r="N248" s="136">
        <f ca="1">VALUE(LEFT(VLOOKUP(B248,bond!B:R,17,FALSE),SEARCH(" ",VLOOKUP(B248,bond!B:R,17,FALSE),1)))</f>
        <v>10000</v>
      </c>
      <c r="O248" s="136">
        <f ca="1">VALUE(RIGHT(VLOOKUP(B248,bond!B:R,17,FALSE),LEN(VLOOKUP(B248,bond!B:R,17,FALSE))-LEN(N248)-3))</f>
        <v>1000</v>
      </c>
      <c r="P248" s="135" t="str">
        <f ca="1">VLOOKUP($B248,bond!$B:$AG,32,FALSE)</f>
        <v>2024/11/10</v>
      </c>
      <c r="Q248" s="135" t="str">
        <f ca="1">VLOOKUP($B248,bond!$B:$AH,33,FALSE)</f>
        <v>科技</v>
      </c>
      <c r="R248" s="135" t="str">
        <f ca="1">VLOOKUP(B248,bond!B:AA,26,FALSE)</f>
        <v>蘋果公司</v>
      </c>
      <c r="S248" s="135" t="str">
        <f ca="1">VLOOKUP(B248,bond!B:AI,34,FALSE)</f>
        <v>AAPL</v>
      </c>
      <c r="T248" s="135" t="str">
        <f t="shared" ca="1" si="21"/>
        <v>蘋果公司/AAPL</v>
      </c>
      <c r="U248" s="207" t="str">
        <f ca="1">IFERROR(VLOOKUP(T248,Bond_DES!D:E,2,FALSE),VLOOKUP(S248,bond!AI:AJ,2,FALSE))</f>
        <v>蘋果公司(Apple Inc.)從事設計、製造和銷售行動通訊、媒體設備及個人電腦，並銷售多種相關軟體、服務、配件、第三方數位內容及應用程式APP。蘋果軟硬體結合的強大生態系奠定全球品牌價值龍頭地位，且是為繼微軟和嬌生後的擁有Aaa頂級信評的美企，不論營收或利潤皆穩居世界智慧手機製造商之首，並於穿戴式裝置全球市佔第一。</v>
      </c>
      <c r="V248" s="136" t="str">
        <f ca="1">IFERROR(VLOOKUP(B248,'1_重設數據'!L:M,2,FALSE),IF(Q248="政府",IF(AD248&gt;16,"(NPI)非專投",IF(AD248&gt;10,"(PI)專投","高資產")),IF(VLOOKUP(B248,bond!B:AN,39,FALSE)="Y","(PI)專投",IF(AD248&gt;=15,"(NPI)非專投",IF(AD248&gt;=10,"(PI)專投","高資產")))))</f>
        <v>(NPI)非專投</v>
      </c>
      <c r="W248" s="136" t="str">
        <f ca="1">VLOOKUP(AD248,'credit rating'!$F$2:$H$22,3,FALSE)</f>
        <v>AAA</v>
      </c>
      <c r="X248" s="136" t="str">
        <f t="shared" ca="1" si="22"/>
        <v>Aaa</v>
      </c>
      <c r="Y248" s="136" t="str">
        <f t="shared" ca="1" si="23"/>
        <v>AA+</v>
      </c>
      <c r="Z248" s="136" t="str">
        <f t="shared" ca="1" si="24"/>
        <v>-</v>
      </c>
      <c r="AA248" s="134">
        <f ca="1">IFERROR(VLOOKUP(X248,'credit rating'!A:C,3,FALSE),0)</f>
        <v>21</v>
      </c>
      <c r="AB248" s="134">
        <f ca="1">IFERROR(VLOOKUP(Y248,'credit rating'!B:C,2,FALSE),0)</f>
        <v>20</v>
      </c>
      <c r="AC248" s="136">
        <f ca="1">IFERROR(VLOOKUP(Z248,'credit rating'!B:C,2,FALSE),0)</f>
        <v>0</v>
      </c>
      <c r="AD248" s="136">
        <f t="shared" ca="1" si="25"/>
        <v>21</v>
      </c>
      <c r="AE248" s="249">
        <f ca="1">IFERROR(VLOOKUP(B248,bond!B:U,20,FALSE),"")</f>
        <v>4.7699999999999999E-2</v>
      </c>
      <c r="AF248" s="136" t="str">
        <f ca="1">IF(VLOOKUP(B248,bond!B:AK,36,FALSE)="#N/A Field Not Applicable","",VLOOKUP(B248,bond!B:AK,36,FALSE))</f>
        <v>2052/11/10</v>
      </c>
      <c r="AG248" s="136" t="str">
        <f ca="1">IF(VLOOKUP(B248,bond!B:AL,37,FALSE)="FIXED","固定",IF(VLOOKUP(B248,bond!B:AL,37,FALSE)="FLOATING","浮動",IF(VLOOKUP(B248,bond!B:AL,37,FALSE)="VARIABLE","變動",IF(VLOOKUP(B248,bond!B:AL,37,FALSE)="FLAT TRADING","不含息交易",IF(VLOOKUP(B248,bond!B:AL,37,FALSE)="ZERO COUPON","零息",VLOOKUP(B248,bond!B:AL,37,FALSE))))))</f>
        <v>固定</v>
      </c>
      <c r="AH248" s="136" t="str">
        <f>VLOOKUP(C248,'2_Check_code'!I:J,2,FALSE)</f>
        <v>美元(USD)</v>
      </c>
      <c r="AI248" s="136" t="str">
        <f t="shared" ca="1" si="26"/>
        <v>自由選清單</v>
      </c>
      <c r="AJ248" s="136">
        <f t="shared" ca="1" si="27"/>
        <v>0</v>
      </c>
      <c r="AK248" s="594" t="str">
        <f ca="1">IF(VLOOKUP(B248,bond!B:S,18,FALSE)="是","有",IF(VLOOKUP(B248,bond!B:S,18,FALSE)="NO OFFER","無","需查詢"))</f>
        <v>有</v>
      </c>
      <c r="AL248" s="136" t="str">
        <f>IF(VLOOKUP(A248,bond!F:AR,39,FALSE)="#N/A Field Not Applicable",VLOOKUP(A248,bond!F:AR,38,FALSE),IFERROR(VLOOKUP(A248,'7_發行日例外'!A:B,2,FALSE),VLOOKUP(A248,bond!F:AR,39,FALSE)))</f>
        <v>2023/5/10</v>
      </c>
      <c r="AM248" s="136" t="str">
        <f ca="1">VLOOKUP(B248,bond!B:AK,36,FALSE)</f>
        <v>2052/11/10</v>
      </c>
      <c r="AN248" s="136" t="str">
        <f ca="1">IFERROR(VLOOKUP(B248,'3_是否下架'!A:A,1,FALSE),"")</f>
        <v/>
      </c>
      <c r="AO248" s="136">
        <f ca="1">VLOOKUP(B248,bond!B:J,9,FALSE)</f>
        <v>97.67</v>
      </c>
      <c r="AP248" s="136">
        <f ca="1">VLOOKUP(B248,bond!B:V,21,FALSE)</f>
        <v>15.2515</v>
      </c>
    </row>
    <row r="249" spans="1:42">
      <c r="A249" s="141" t="str">
        <f>bond!F250</f>
        <v>US65535HBF55</v>
      </c>
      <c r="B249" s="151" t="str">
        <f ca="1">IF($C$1=TRUE,bond!B250,"")</f>
        <v>XH460</v>
      </c>
      <c r="C249" s="95" t="str">
        <f>VLOOKUP(A249,bond!F:G,2,FALSE)</f>
        <v>USD</v>
      </c>
      <c r="D249" s="142" t="str">
        <f ca="1">VLOOKUP(B249,bond!B:C,2,FALSE)</f>
        <v>野村控股公司美元配息債券 5.386% 2027/7/6</v>
      </c>
      <c r="E249" s="95" t="str">
        <f ca="1">VLOOKUP(B249,bond!B:D,3,FALSE)</f>
        <v>Baa1 / BBB+ / -</v>
      </c>
      <c r="F249" s="99" t="str">
        <f ca="1">VLOOKUP(B249,bond!B:AB,27,FALSE)</f>
        <v>2027/7/6</v>
      </c>
      <c r="G249" s="90">
        <f ca="1">VLOOKUP(B249,bond!B:E,4,FALSE)</f>
        <v>3.01</v>
      </c>
      <c r="H249" s="202">
        <f ca="1">VLOOKUP(B249,bond!B:Y,24,FALSE)</f>
        <v>5.3859999999999998E-2</v>
      </c>
      <c r="I249" s="95">
        <f ca="1">VLOOKUP(B249,bond!B:Z,25,FALSE)</f>
        <v>2</v>
      </c>
      <c r="J249" s="180">
        <f ca="1">VLOOKUP(B249,bond!B:K,10,FALSE)</f>
        <v>2.6332</v>
      </c>
      <c r="K249" s="96">
        <f ca="1">VLOOKUP($B249,bond!B:S,14,FALSE)</f>
        <v>103.86</v>
      </c>
      <c r="L249" s="91" t="str">
        <f ca="1">VLOOKUP(B249,bond!B:H,7,FALSE)</f>
        <v>2024/7/2</v>
      </c>
      <c r="M249" s="144">
        <f ca="1">VLOOKUP($B249,bond!$B:$Q,16,FALSE)</f>
        <v>4.9399999999999999E-2</v>
      </c>
      <c r="N249" s="136">
        <f ca="1">VALUE(LEFT(VLOOKUP(B249,bond!B:R,17,FALSE),SEARCH(" ",VLOOKUP(B249,bond!B:R,17,FALSE),1)))</f>
        <v>200000</v>
      </c>
      <c r="O249" s="136">
        <f ca="1">VALUE(RIGHT(VLOOKUP(B249,bond!B:R,17,FALSE),LEN(VLOOKUP(B249,bond!B:R,17,FALSE))-LEN(N249)-3))</f>
        <v>1000</v>
      </c>
      <c r="P249" s="135" t="str">
        <f ca="1">VLOOKUP($B249,bond!$B:$AG,32,FALSE)</f>
        <v>2024/7/6</v>
      </c>
      <c r="Q249" s="135" t="str">
        <f ca="1">VLOOKUP($B249,bond!$B:$AH,33,FALSE)</f>
        <v>金融</v>
      </c>
      <c r="R249" s="135" t="str">
        <f ca="1">VLOOKUP(B249,bond!B:AA,26,FALSE)</f>
        <v>野村控股</v>
      </c>
      <c r="S249" s="135" t="str">
        <f ca="1">VLOOKUP(B249,bond!B:AI,34,FALSE)</f>
        <v>NOMURA</v>
      </c>
      <c r="T249" s="135" t="str">
        <f t="shared" ca="1" si="21"/>
        <v>野村控股/NOMURA</v>
      </c>
      <c r="U249" s="207" t="str">
        <f ca="1">IFERROR(VLOOKUP(T249,Bond_DES!D:E,2,FALSE),VLOOKUP(S249,bond!AI:AJ,2,FALSE))</f>
        <v>野村控股公司(Nomura Holdings, Inc.)成立於1925年，為日本最大券商與資產管理公司，亦是道瓊世界指數和道瓊亞太指數公司之一，以投行和經紀業務聞名，業務網絡連接東西方市場，覆蓋美國、亞洲及歐非中東達30多個國家，於《Vault》2024年日本投資銀行聲望排名中排名第1。</v>
      </c>
      <c r="V249" s="136" t="str">
        <f ca="1">IFERROR(VLOOKUP(B249,'1_重設數據'!L:M,2,FALSE),IF(Q249="政府",IF(AD249&gt;16,"(NPI)非專投",IF(AD249&gt;10,"(PI)專投","高資產")),IF(VLOOKUP(B249,bond!B:AN,39,FALSE)="Y","(PI)專投",IF(AD249&gt;=15,"(NPI)非專投",IF(AD249&gt;=10,"(PI)專投","高資產")))))</f>
        <v>(PI)專投</v>
      </c>
      <c r="W249" s="136" t="str">
        <f ca="1">VLOOKUP(AD249,'credit rating'!$F$2:$H$22,3,FALSE)</f>
        <v>BBB+</v>
      </c>
      <c r="X249" s="136" t="str">
        <f t="shared" ca="1" si="22"/>
        <v>Baa1</v>
      </c>
      <c r="Y249" s="136" t="str">
        <f t="shared" ca="1" si="23"/>
        <v>BBB+</v>
      </c>
      <c r="Z249" s="136" t="str">
        <f t="shared" ca="1" si="24"/>
        <v>-</v>
      </c>
      <c r="AA249" s="134">
        <f ca="1">IFERROR(VLOOKUP(X249,'credit rating'!A:C,3,FALSE),0)</f>
        <v>14</v>
      </c>
      <c r="AB249" s="134">
        <f ca="1">IFERROR(VLOOKUP(Y249,'credit rating'!B:C,2,FALSE),0)</f>
        <v>14</v>
      </c>
      <c r="AC249" s="136">
        <f ca="1">IFERROR(VLOOKUP(Z249,'credit rating'!B:C,2,FALSE),0)</f>
        <v>0</v>
      </c>
      <c r="AD249" s="136">
        <f t="shared" ca="1" si="25"/>
        <v>14</v>
      </c>
      <c r="AE249" s="249" t="str">
        <f ca="1">IFERROR(VLOOKUP(B249,bond!B:U,20,FALSE),"")</f>
        <v xml:space="preserve"> </v>
      </c>
      <c r="AF249" s="136" t="str">
        <f ca="1">IF(VLOOKUP(B249,bond!B:AK,36,FALSE)="#N/A Field Not Applicable","",VLOOKUP(B249,bond!B:AK,36,FALSE))</f>
        <v/>
      </c>
      <c r="AG249" s="136" t="str">
        <f ca="1">IF(VLOOKUP(B249,bond!B:AL,37,FALSE)="FIXED","固定",IF(VLOOKUP(B249,bond!B:AL,37,FALSE)="FLOATING","浮動",IF(VLOOKUP(B249,bond!B:AL,37,FALSE)="VARIABLE","變動",IF(VLOOKUP(B249,bond!B:AL,37,FALSE)="FLAT TRADING","不含息交易",IF(VLOOKUP(B249,bond!B:AL,37,FALSE)="ZERO COUPON","零息",VLOOKUP(B249,bond!B:AL,37,FALSE))))))</f>
        <v>固定</v>
      </c>
      <c r="AH249" s="136" t="str">
        <f>VLOOKUP(C249,'2_Check_code'!I:J,2,FALSE)</f>
        <v>美元(USD)</v>
      </c>
      <c r="AI249" s="136" t="str">
        <f t="shared" ca="1" si="26"/>
        <v>自由選清單</v>
      </c>
      <c r="AJ249" s="136">
        <f t="shared" ca="1" si="27"/>
        <v>0</v>
      </c>
      <c r="AK249" s="594" t="str">
        <f ca="1">IF(VLOOKUP(B249,bond!B:S,18,FALSE)="是","有",IF(VLOOKUP(B249,bond!B:S,18,FALSE)="NO OFFER","無","需查詢"))</f>
        <v>有</v>
      </c>
      <c r="AL249" s="136" t="str">
        <f>IF(VLOOKUP(A249,bond!F:AR,39,FALSE)="#N/A Field Not Applicable",VLOOKUP(A249,bond!F:AR,38,FALSE),IFERROR(VLOOKUP(A249,'7_發行日例外'!A:B,2,FALSE),VLOOKUP(A249,bond!F:AR,39,FALSE)))</f>
        <v>2022/7/6</v>
      </c>
      <c r="AM249" s="136" t="str">
        <f ca="1">VLOOKUP(B249,bond!B:AK,36,FALSE)</f>
        <v>#N/A Field Not Applicable</v>
      </c>
      <c r="AN249" s="136" t="str">
        <f ca="1">IFERROR(VLOOKUP(B249,'3_是否下架'!A:A,1,FALSE),"")</f>
        <v/>
      </c>
      <c r="AO249" s="136">
        <f ca="1">VLOOKUP(B249,bond!B:J,9,FALSE)</f>
        <v>100.23</v>
      </c>
      <c r="AP249" s="136">
        <f ca="1">VLOOKUP(B249,bond!B:V,21,FALSE)</f>
        <v>2.6785999999999999</v>
      </c>
    </row>
    <row r="250" spans="1:42">
      <c r="A250" s="141" t="str">
        <f>bond!F251</f>
        <v>US29736RAT77</v>
      </c>
      <c r="B250" s="151" t="str">
        <f ca="1">IF($C$1=TRUE,bond!B251,"")</f>
        <v>XH470</v>
      </c>
      <c r="C250" s="95" t="str">
        <f>VLOOKUP(A250,bond!F:G,2,FALSE)</f>
        <v>USD</v>
      </c>
      <c r="D250" s="142" t="str">
        <f ca="1">VLOOKUP(B250,bond!B:C,2,FALSE)</f>
        <v>雅詩蘭黛公司美元配息債券 4.65% 2033/5/15</v>
      </c>
      <c r="E250" s="95" t="str">
        <f ca="1">VLOOKUP(B250,bond!B:D,3,FALSE)</f>
        <v>A1 / A / -</v>
      </c>
      <c r="F250" s="99" t="str">
        <f ca="1">VLOOKUP(B250,bond!B:AB,27,FALSE)</f>
        <v>2033/5/15</v>
      </c>
      <c r="G250" s="90">
        <f ca="1">VLOOKUP(B250,bond!B:E,4,FALSE)</f>
        <v>8.8699999999999992</v>
      </c>
      <c r="H250" s="202">
        <f ca="1">VLOOKUP(B250,bond!B:Y,24,FALSE)</f>
        <v>4.6500000000000007E-2</v>
      </c>
      <c r="I250" s="95">
        <f ca="1">VLOOKUP(B250,bond!B:Z,25,FALSE)</f>
        <v>2</v>
      </c>
      <c r="J250" s="180">
        <f ca="1">VLOOKUP(B250,bond!B:K,10,FALSE)</f>
        <v>0.60709999999999997</v>
      </c>
      <c r="K250" s="96">
        <f ca="1">VLOOKUP($B250,bond!B:S,14,FALSE)</f>
        <v>99.78</v>
      </c>
      <c r="L250" s="91" t="str">
        <f ca="1">VLOOKUP(B250,bond!B:H,7,FALSE)</f>
        <v>2024/7/2</v>
      </c>
      <c r="M250" s="144">
        <f ca="1">VLOOKUP($B250,bond!$B:$Q,16,FALSE)</f>
        <v>4.7699999999999999E-2</v>
      </c>
      <c r="N250" s="136">
        <f ca="1">VALUE(LEFT(VLOOKUP(B250,bond!B:R,17,FALSE),SEARCH(" ",VLOOKUP(B250,bond!B:R,17,FALSE),1)))</f>
        <v>10000</v>
      </c>
      <c r="O250" s="136">
        <f ca="1">VALUE(RIGHT(VLOOKUP(B250,bond!B:R,17,FALSE),LEN(VLOOKUP(B250,bond!B:R,17,FALSE))-LEN(N250)-3))</f>
        <v>1000</v>
      </c>
      <c r="P250" s="135" t="str">
        <f ca="1">VLOOKUP($B250,bond!$B:$AG,32,FALSE)</f>
        <v>2024/11/15</v>
      </c>
      <c r="Q250" s="135" t="str">
        <f ca="1">VLOOKUP($B250,bond!$B:$AH,33,FALSE)</f>
        <v>核心消費</v>
      </c>
      <c r="R250" s="135" t="str">
        <f ca="1">VLOOKUP(B250,bond!B:AA,26,FALSE)</f>
        <v>雅詩蘭黛</v>
      </c>
      <c r="S250" s="135" t="str">
        <f ca="1">VLOOKUP(B250,bond!B:AI,34,FALSE)</f>
        <v>EL</v>
      </c>
      <c r="T250" s="135" t="str">
        <f t="shared" ca="1" si="21"/>
        <v>雅詩蘭黛/EL</v>
      </c>
      <c r="U250" s="207" t="str">
        <f ca="1">IFERROR(VLOOKUP(T250,Bond_DES!D:E,2,FALSE),VLOOKUP(S250,bond!AI:AJ,2,FALSE))</f>
        <v>雅詩蘭黛(Estee Lauder Companies Inc.)是全球專櫃美妝產品領導者、美國化妝品及美容公司市值龍頭，產品類別涵蓋皮膚保養、化妝品、香水與頭髮護理等，旗下知名品牌包括雅詩蘭黛、倩碧、M.A.C、海洋拉娜(La Mer)、Jo Malone、Aveda、Bobbi Brown、品木宣言等20多個品牌。</v>
      </c>
      <c r="V250" s="136" t="str">
        <f ca="1">IFERROR(VLOOKUP(B250,'1_重設數據'!L:M,2,FALSE),IF(Q250="政府",IF(AD250&gt;16,"(NPI)非專投",IF(AD250&gt;10,"(PI)專投","高資產")),IF(VLOOKUP(B250,bond!B:AN,39,FALSE)="Y","(PI)專投",IF(AD250&gt;=15,"(NPI)非專投",IF(AD250&gt;=10,"(PI)專投","高資產")))))</f>
        <v>(NPI)非專投</v>
      </c>
      <c r="W250" s="136" t="str">
        <f ca="1">VLOOKUP(AD250,'credit rating'!$F$2:$H$22,3,FALSE)</f>
        <v>A+</v>
      </c>
      <c r="X250" s="136" t="str">
        <f t="shared" ca="1" si="22"/>
        <v>A1</v>
      </c>
      <c r="Y250" s="136" t="str">
        <f t="shared" ca="1" si="23"/>
        <v>A</v>
      </c>
      <c r="Z250" s="136" t="str">
        <f t="shared" ca="1" si="24"/>
        <v>-</v>
      </c>
      <c r="AA250" s="134">
        <f ca="1">IFERROR(VLOOKUP(X250,'credit rating'!A:C,3,FALSE),0)</f>
        <v>17</v>
      </c>
      <c r="AB250" s="134">
        <f ca="1">IFERROR(VLOOKUP(Y250,'credit rating'!B:C,2,FALSE),0)</f>
        <v>16</v>
      </c>
      <c r="AC250" s="136">
        <f ca="1">IFERROR(VLOOKUP(Z250,'credit rating'!B:C,2,FALSE),0)</f>
        <v>0</v>
      </c>
      <c r="AD250" s="136">
        <f t="shared" ca="1" si="25"/>
        <v>17</v>
      </c>
      <c r="AE250" s="249">
        <f ca="1">IFERROR(VLOOKUP(B250,bond!B:U,20,FALSE),"")</f>
        <v>4.7699999999999999E-2</v>
      </c>
      <c r="AF250" s="136" t="str">
        <f ca="1">IF(VLOOKUP(B250,bond!B:AK,36,FALSE)="#N/A Field Not Applicable","",VLOOKUP(B250,bond!B:AK,36,FALSE))</f>
        <v>2033/2/15</v>
      </c>
      <c r="AG250" s="136" t="str">
        <f ca="1">IF(VLOOKUP(B250,bond!B:AL,37,FALSE)="FIXED","固定",IF(VLOOKUP(B250,bond!B:AL,37,FALSE)="FLOATING","浮動",IF(VLOOKUP(B250,bond!B:AL,37,FALSE)="VARIABLE","變動",IF(VLOOKUP(B250,bond!B:AL,37,FALSE)="FLAT TRADING","不含息交易",IF(VLOOKUP(B250,bond!B:AL,37,FALSE)="ZERO COUPON","零息",VLOOKUP(B250,bond!B:AL,37,FALSE))))))</f>
        <v>固定</v>
      </c>
      <c r="AH250" s="136" t="str">
        <f>VLOOKUP(C250,'2_Check_code'!I:J,2,FALSE)</f>
        <v>美元(USD)</v>
      </c>
      <c r="AI250" s="136" t="str">
        <f t="shared" ca="1" si="26"/>
        <v>自由選清單</v>
      </c>
      <c r="AJ250" s="136">
        <f t="shared" ca="1" si="27"/>
        <v>0</v>
      </c>
      <c r="AK250" s="594" t="str">
        <f ca="1">IF(VLOOKUP(B250,bond!B:S,18,FALSE)="是","有",IF(VLOOKUP(B250,bond!B:S,18,FALSE)="NO OFFER","無","需查詢"))</f>
        <v>有</v>
      </c>
      <c r="AL250" s="136" t="str">
        <f>IF(VLOOKUP(A250,bond!F:AR,39,FALSE)="#N/A Field Not Applicable",VLOOKUP(A250,bond!F:AR,38,FALSE),IFERROR(VLOOKUP(A250,'7_發行日例外'!A:B,2,FALSE),VLOOKUP(A250,bond!F:AR,39,FALSE)))</f>
        <v>2023/5/12</v>
      </c>
      <c r="AM250" s="136" t="str">
        <f ca="1">VLOOKUP(B250,bond!B:AK,36,FALSE)</f>
        <v>2033/2/15</v>
      </c>
      <c r="AN250" s="136" t="str">
        <f ca="1">IFERROR(VLOOKUP(B250,'3_是否下架'!A:A,1,FALSE),"")</f>
        <v/>
      </c>
      <c r="AO250" s="136">
        <f ca="1">VLOOKUP(B250,bond!B:J,9,FALSE)</f>
        <v>97.17</v>
      </c>
      <c r="AP250" s="136">
        <f ca="1">VLOOKUP(B250,bond!B:V,21,FALSE)</f>
        <v>7.1268000000000002</v>
      </c>
    </row>
    <row r="251" spans="1:42">
      <c r="A251" s="141" t="str">
        <f>bond!F252</f>
        <v>US084664CQ25</v>
      </c>
      <c r="B251" s="151" t="str">
        <f ca="1">IF($C$1=TRUE,bond!B252,"")</f>
        <v>XH480</v>
      </c>
      <c r="C251" s="95" t="str">
        <f>VLOOKUP(A251,bond!F:G,2,FALSE)</f>
        <v>USD</v>
      </c>
      <c r="D251" s="142" t="str">
        <f ca="1">VLOOKUP(B251,bond!B:C,2,FALSE)</f>
        <v>波克夏海瑟威金融公司美元配息債券 4.2% 2048/8/15</v>
      </c>
      <c r="E251" s="95" t="str">
        <f ca="1">VLOOKUP(B251,bond!B:D,3,FALSE)</f>
        <v>Aa2 / AA / A+u</v>
      </c>
      <c r="F251" s="99" t="str">
        <f ca="1">VLOOKUP(B251,bond!B:AB,27,FALSE)</f>
        <v>2048/8/15</v>
      </c>
      <c r="G251" s="90">
        <f ca="1">VLOOKUP(B251,bond!B:E,4,FALSE)</f>
        <v>24.12</v>
      </c>
      <c r="H251" s="202">
        <f ca="1">VLOOKUP(B251,bond!B:Y,24,FALSE)</f>
        <v>4.2000000000000003E-2</v>
      </c>
      <c r="I251" s="95">
        <f ca="1">VLOOKUP(B251,bond!B:Z,25,FALSE)</f>
        <v>2</v>
      </c>
      <c r="J251" s="180">
        <f ca="1">VLOOKUP(B251,bond!B:K,10,FALSE)</f>
        <v>1.5983000000000001</v>
      </c>
      <c r="K251" s="96">
        <f ca="1">VLOOKUP($B251,bond!B:S,14,FALSE)</f>
        <v>89.93</v>
      </c>
      <c r="L251" s="91" t="str">
        <f ca="1">VLOOKUP(B251,bond!B:H,7,FALSE)</f>
        <v>2024/7/2</v>
      </c>
      <c r="M251" s="144">
        <f ca="1">VLOOKUP($B251,bond!$B:$Q,16,FALSE)</f>
        <v>5.04E-2</v>
      </c>
      <c r="N251" s="136">
        <f ca="1">VALUE(LEFT(VLOOKUP(B251,bond!B:R,17,FALSE),SEARCH(" ",VLOOKUP(B251,bond!B:R,17,FALSE),1)))</f>
        <v>10000</v>
      </c>
      <c r="O251" s="136">
        <f ca="1">VALUE(RIGHT(VLOOKUP(B251,bond!B:R,17,FALSE),LEN(VLOOKUP(B251,bond!B:R,17,FALSE))-LEN(N251)-3))</f>
        <v>1000</v>
      </c>
      <c r="P251" s="135" t="str">
        <f ca="1">VLOOKUP($B251,bond!$B:$AG,32,FALSE)</f>
        <v>2024/8/15</v>
      </c>
      <c r="Q251" s="135" t="str">
        <f ca="1">VLOOKUP($B251,bond!$B:$AH,33,FALSE)</f>
        <v>金融</v>
      </c>
      <c r="R251" s="135" t="str">
        <f ca="1">VLOOKUP(B251,bond!B:AA,26,FALSE)</f>
        <v>波克夏海瑟威金融公司</v>
      </c>
      <c r="S251" s="135" t="str">
        <f ca="1">VLOOKUP(B251,bond!B:AI,34,FALSE)</f>
        <v>BRK</v>
      </c>
      <c r="T251" s="135" t="str">
        <f t="shared" ca="1" si="21"/>
        <v>波克夏海瑟威金融公司/BRK</v>
      </c>
      <c r="U251" s="207" t="str">
        <f ca="1">IFERROR(VLOOKUP(T251,Bond_DES!D:E,2,FALSE),VLOOKUP(S251,bond!AI:AJ,2,FALSE))</f>
        <v>波克夏海瑟威金融公司(Berkshire Hathaway Finance Corporation)提供保險服務。保證機構為「股神」巴菲特所執掌的波克夏海瑟威(Berkshire Hathaway Inc.)，其經營資產橫跨保險、鐵路、公用及能源等多元領域，並持有蘋果、美銀及可口可樂等強大的投組，市值長期居於全球前10。</v>
      </c>
      <c r="V251" s="136" t="str">
        <f ca="1">IFERROR(VLOOKUP(B251,'1_重設數據'!L:M,2,FALSE),IF(Q251="政府",IF(AD251&gt;16,"(NPI)非專投",IF(AD251&gt;10,"(PI)專投","高資產")),IF(VLOOKUP(B251,bond!B:AN,39,FALSE)="Y","(PI)專投",IF(AD251&gt;=15,"(NPI)非專投",IF(AD251&gt;=10,"(PI)專投","高資產")))))</f>
        <v>(NPI)非專投</v>
      </c>
      <c r="W251" s="136" t="str">
        <f ca="1">VLOOKUP(AD251,'credit rating'!$F$2:$H$22,3,FALSE)</f>
        <v>AA</v>
      </c>
      <c r="X251" s="136" t="str">
        <f t="shared" ca="1" si="22"/>
        <v>Aa2</v>
      </c>
      <c r="Y251" s="136" t="str">
        <f t="shared" ca="1" si="23"/>
        <v>AA</v>
      </c>
      <c r="Z251" s="136" t="str">
        <f t="shared" ca="1" si="24"/>
        <v>A+u</v>
      </c>
      <c r="AA251" s="134">
        <f ca="1">IFERROR(VLOOKUP(X251,'credit rating'!A:C,3,FALSE),0)</f>
        <v>19</v>
      </c>
      <c r="AB251" s="134">
        <f ca="1">IFERROR(VLOOKUP(Y251,'credit rating'!B:C,2,FALSE),0)</f>
        <v>19</v>
      </c>
      <c r="AC251" s="136">
        <f ca="1">IFERROR(VLOOKUP(Z251,'credit rating'!B:C,2,FALSE),0)</f>
        <v>17</v>
      </c>
      <c r="AD251" s="136">
        <f t="shared" ca="1" si="25"/>
        <v>19</v>
      </c>
      <c r="AE251" s="249">
        <f ca="1">IFERROR(VLOOKUP(B251,bond!B:U,20,FALSE),"")</f>
        <v>5.0500000000000003E-2</v>
      </c>
      <c r="AF251" s="136" t="str">
        <f ca="1">IF(VLOOKUP(B251,bond!B:AK,36,FALSE)="#N/A Field Not Applicable","",VLOOKUP(B251,bond!B:AK,36,FALSE))</f>
        <v>2048/2/15</v>
      </c>
      <c r="AG251" s="136" t="str">
        <f ca="1">IF(VLOOKUP(B251,bond!B:AL,37,FALSE)="FIXED","固定",IF(VLOOKUP(B251,bond!B:AL,37,FALSE)="FLOATING","浮動",IF(VLOOKUP(B251,bond!B:AL,37,FALSE)="VARIABLE","變動",IF(VLOOKUP(B251,bond!B:AL,37,FALSE)="FLAT TRADING","不含息交易",IF(VLOOKUP(B251,bond!B:AL,37,FALSE)="ZERO COUPON","零息",VLOOKUP(B251,bond!B:AL,37,FALSE))))))</f>
        <v>固定</v>
      </c>
      <c r="AH251" s="136" t="str">
        <f>VLOOKUP(C251,'2_Check_code'!I:J,2,FALSE)</f>
        <v>美元(USD)</v>
      </c>
      <c r="AI251" s="136" t="str">
        <f t="shared" ca="1" si="26"/>
        <v>自由選清單</v>
      </c>
      <c r="AJ251" s="136">
        <f t="shared" ca="1" si="27"/>
        <v>0</v>
      </c>
      <c r="AK251" s="594" t="str">
        <f ca="1">IF(VLOOKUP(B251,bond!B:S,18,FALSE)="是","有",IF(VLOOKUP(B251,bond!B:S,18,FALSE)="NO OFFER","無","需查詢"))</f>
        <v>有</v>
      </c>
      <c r="AL251" s="136" t="str">
        <f>IF(VLOOKUP(A251,bond!F:AR,39,FALSE)="#N/A Field Not Applicable",VLOOKUP(A251,bond!F:AR,38,FALSE),IFERROR(VLOOKUP(A251,'7_發行日例外'!A:B,2,FALSE),VLOOKUP(A251,bond!F:AR,39,FALSE)))</f>
        <v>2018/8/15</v>
      </c>
      <c r="AM251" s="136" t="str">
        <f ca="1">VLOOKUP(B251,bond!B:AK,36,FALSE)</f>
        <v>2048/2/15</v>
      </c>
      <c r="AN251" s="136" t="str">
        <f ca="1">IFERROR(VLOOKUP(B251,'3_是否下架'!A:A,1,FALSE),"")</f>
        <v/>
      </c>
      <c r="AO251" s="136">
        <f ca="1">VLOOKUP(B251,bond!B:J,9,FALSE)</f>
        <v>84.83</v>
      </c>
      <c r="AP251" s="136">
        <f ca="1">VLOOKUP(B251,bond!B:V,21,FALSE)</f>
        <v>14.009600000000001</v>
      </c>
    </row>
    <row r="252" spans="1:42">
      <c r="A252" s="141" t="str">
        <f>bond!F253</f>
        <v>US88579EAC93</v>
      </c>
      <c r="B252" s="151" t="str">
        <f ca="1">IF($C$1=TRUE,bond!B253,"")</f>
        <v>XH500</v>
      </c>
      <c r="C252" s="95" t="str">
        <f>VLOOKUP(A252,bond!F:G,2,FALSE)</f>
        <v>USD</v>
      </c>
      <c r="D252" s="142" t="str">
        <f ca="1">VLOOKUP(B252,bond!B:C,2,FALSE)</f>
        <v>3M公司美元配息債券 5.7% 2037/3/15</v>
      </c>
      <c r="E252" s="95" t="str">
        <f ca="1">VLOOKUP(B252,bond!B:D,3,FALSE)</f>
        <v>A3 / BBB+ / A-</v>
      </c>
      <c r="F252" s="99" t="str">
        <f ca="1">VLOOKUP(B252,bond!B:AB,27,FALSE)</f>
        <v>2037/3/15</v>
      </c>
      <c r="G252" s="90">
        <f ca="1">VLOOKUP(B252,bond!B:E,4,FALSE)</f>
        <v>12.7</v>
      </c>
      <c r="H252" s="202">
        <f ca="1">VLOOKUP(B252,bond!B:Y,24,FALSE)</f>
        <v>5.7000000000000002E-2</v>
      </c>
      <c r="I252" s="95">
        <f ca="1">VLOOKUP(B252,bond!B:Z,25,FALSE)</f>
        <v>2</v>
      </c>
      <c r="J252" s="180">
        <f ca="1">VLOOKUP(B252,bond!B:K,10,FALSE)</f>
        <v>1.6941999999999999</v>
      </c>
      <c r="K252" s="96">
        <f ca="1">VLOOKUP($B252,bond!B:S,14,FALSE)</f>
        <v>108.43</v>
      </c>
      <c r="L252" s="91" t="str">
        <f ca="1">VLOOKUP(B252,bond!B:H,7,FALSE)</f>
        <v>2024/7/2</v>
      </c>
      <c r="M252" s="144">
        <f ca="1">VLOOKUP($B252,bond!$B:$Q,16,FALSE)</f>
        <v>4.9799999999999997E-2</v>
      </c>
      <c r="N252" s="136">
        <f ca="1">VALUE(LEFT(VLOOKUP(B252,bond!B:R,17,FALSE),SEARCH(" ",VLOOKUP(B252,bond!B:R,17,FALSE),1)))</f>
        <v>10000</v>
      </c>
      <c r="O252" s="136">
        <f ca="1">VALUE(RIGHT(VLOOKUP(B252,bond!B:R,17,FALSE),LEN(VLOOKUP(B252,bond!B:R,17,FALSE))-LEN(N252)-3))</f>
        <v>1000</v>
      </c>
      <c r="P252" s="135" t="str">
        <f ca="1">VLOOKUP($B252,bond!$B:$AG,32,FALSE)</f>
        <v>2024/9/15</v>
      </c>
      <c r="Q252" s="135" t="str">
        <f ca="1">VLOOKUP($B252,bond!$B:$AH,33,FALSE)</f>
        <v>工業</v>
      </c>
      <c r="R252" s="135" t="str">
        <f ca="1">VLOOKUP(B252,bond!B:AA,26,FALSE)</f>
        <v>3M</v>
      </c>
      <c r="S252" s="135" t="str">
        <f ca="1">VLOOKUP(B252,bond!B:AI,34,FALSE)</f>
        <v>MMM</v>
      </c>
      <c r="T252" s="135" t="str">
        <f t="shared" ca="1" si="21"/>
        <v>3M/MMM</v>
      </c>
      <c r="U252" s="207" t="str">
        <f ca="1">IFERROR(VLOOKUP(T252,Bond_DES!D:E,2,FALSE),VLOOKUP(S252,bond!AI:AJ,2,FALSE))</f>
        <v>3M公司(3M Company)透過安全與工業產品、運輸及電子產品、醫療產品及消費品等四大事業群於全球開發、製造並銷售各類產品，2024年4月完成醫療保健業務的分拆，名列2024年《Fortune》美國500強企業中化學品產業第2位，受《Interbrand》評為2023年最佳全球品牌。</v>
      </c>
      <c r="V252" s="136" t="str">
        <f ca="1">IFERROR(VLOOKUP(B252,'1_重設數據'!L:M,2,FALSE),IF(Q252="政府",IF(AD252&gt;16,"(NPI)非專投",IF(AD252&gt;10,"(PI)專投","高資產")),IF(VLOOKUP(B252,bond!B:AN,39,FALSE)="Y","(PI)專投",IF(AD252&gt;=15,"(NPI)非專投",IF(AD252&gt;=10,"(PI)專投","高資產")))))</f>
        <v>(NPI)非專投</v>
      </c>
      <c r="W252" s="136" t="str">
        <f ca="1">VLOOKUP(AD252,'credit rating'!$F$2:$H$22,3,FALSE)</f>
        <v>A-</v>
      </c>
      <c r="X252" s="136" t="str">
        <f t="shared" ca="1" si="22"/>
        <v>A3</v>
      </c>
      <c r="Y252" s="136" t="str">
        <f t="shared" ca="1" si="23"/>
        <v>BBB+</v>
      </c>
      <c r="Z252" s="136" t="str">
        <f t="shared" ca="1" si="24"/>
        <v>A-</v>
      </c>
      <c r="AA252" s="134">
        <f ca="1">IFERROR(VLOOKUP(X252,'credit rating'!A:C,3,FALSE),0)</f>
        <v>15</v>
      </c>
      <c r="AB252" s="134">
        <f ca="1">IFERROR(VLOOKUP(Y252,'credit rating'!B:C,2,FALSE),0)</f>
        <v>14</v>
      </c>
      <c r="AC252" s="136">
        <f ca="1">IFERROR(VLOOKUP(Z252,'credit rating'!B:C,2,FALSE),0)</f>
        <v>15</v>
      </c>
      <c r="AD252" s="136">
        <f t="shared" ca="1" si="25"/>
        <v>15</v>
      </c>
      <c r="AE252" s="249" t="str">
        <f ca="1">IFERROR(VLOOKUP(B252,bond!B:U,20,FALSE),"")</f>
        <v xml:space="preserve"> </v>
      </c>
      <c r="AF252" s="136" t="str">
        <f ca="1">IF(VLOOKUP(B252,bond!B:AK,36,FALSE)="#N/A Field Not Applicable","",VLOOKUP(B252,bond!B:AK,36,FALSE))</f>
        <v/>
      </c>
      <c r="AG252" s="136" t="str">
        <f ca="1">IF(VLOOKUP(B252,bond!B:AL,37,FALSE)="FIXED","固定",IF(VLOOKUP(B252,bond!B:AL,37,FALSE)="FLOATING","浮動",IF(VLOOKUP(B252,bond!B:AL,37,FALSE)="VARIABLE","變動",IF(VLOOKUP(B252,bond!B:AL,37,FALSE)="FLAT TRADING","不含息交易",IF(VLOOKUP(B252,bond!B:AL,37,FALSE)="ZERO COUPON","零息",VLOOKUP(B252,bond!B:AL,37,FALSE))))))</f>
        <v>固定</v>
      </c>
      <c r="AH252" s="136" t="str">
        <f>VLOOKUP(C252,'2_Check_code'!I:J,2,FALSE)</f>
        <v>美元(USD)</v>
      </c>
      <c r="AI252" s="136" t="str">
        <f t="shared" ca="1" si="26"/>
        <v>自由選清單</v>
      </c>
      <c r="AJ252" s="136">
        <f t="shared" ca="1" si="27"/>
        <v>0</v>
      </c>
      <c r="AK252" s="594" t="str">
        <f ca="1">IF(VLOOKUP(B252,bond!B:S,18,FALSE)="是","有",IF(VLOOKUP(B252,bond!B:S,18,FALSE)="NO OFFER","無","需查詢"))</f>
        <v>有</v>
      </c>
      <c r="AL252" s="136" t="str">
        <f>IF(VLOOKUP(A252,bond!F:AR,39,FALSE)="#N/A Field Not Applicable",VLOOKUP(A252,bond!F:AR,38,FALSE),IFERROR(VLOOKUP(A252,'7_發行日例外'!A:B,2,FALSE),VLOOKUP(A252,bond!F:AR,39,FALSE)))</f>
        <v>2007/3/29</v>
      </c>
      <c r="AM252" s="136" t="str">
        <f ca="1">VLOOKUP(B252,bond!B:AK,36,FALSE)</f>
        <v>#N/A Field Not Applicable</v>
      </c>
      <c r="AN252" s="136" t="str">
        <f ca="1">IFERROR(VLOOKUP(B252,'3_是否下架'!A:A,1,FALSE),"")</f>
        <v/>
      </c>
      <c r="AO252" s="136">
        <f ca="1">VLOOKUP(B252,bond!B:J,9,FALSE)</f>
        <v>104.74000000000001</v>
      </c>
      <c r="AP252" s="136">
        <f ca="1">VLOOKUP(B252,bond!B:V,21,FALSE)</f>
        <v>8.9278999999999993</v>
      </c>
    </row>
    <row r="253" spans="1:42">
      <c r="A253" s="141" t="str">
        <f>bond!F254</f>
        <v>US002824AV29</v>
      </c>
      <c r="B253" s="151" t="str">
        <f ca="1">IF($C$1=TRUE,bond!B254,"")</f>
        <v>XH510</v>
      </c>
      <c r="C253" s="95" t="str">
        <f>VLOOKUP(A253,bond!F:G,2,FALSE)</f>
        <v>USD</v>
      </c>
      <c r="D253" s="142" t="str">
        <f ca="1">VLOOKUP(B253,bond!B:C,2,FALSE)</f>
        <v>亞培公司美元配息債券 6% 2039/4/1</v>
      </c>
      <c r="E253" s="95" t="str">
        <f ca="1">VLOOKUP(B253,bond!B:D,3,FALSE)</f>
        <v>Aa3 / AA- / WD</v>
      </c>
      <c r="F253" s="99" t="str">
        <f ca="1">VLOOKUP(B253,bond!B:AB,27,FALSE)</f>
        <v>2039/4/1</v>
      </c>
      <c r="G253" s="90">
        <f ca="1">VLOOKUP(B253,bond!B:E,4,FALSE)</f>
        <v>14.75</v>
      </c>
      <c r="H253" s="202">
        <f ca="1">VLOOKUP(B253,bond!B:Y,24,FALSE)</f>
        <v>0.06</v>
      </c>
      <c r="I253" s="95">
        <f ca="1">VLOOKUP(B253,bond!B:Z,25,FALSE)</f>
        <v>2</v>
      </c>
      <c r="J253" s="180">
        <f ca="1">VLOOKUP(B253,bond!B:K,10,FALSE)</f>
        <v>1.5166999999999999</v>
      </c>
      <c r="K253" s="96">
        <f ca="1">VLOOKUP($B253,bond!B:S,14,FALSE)</f>
        <v>112.97</v>
      </c>
      <c r="L253" s="91" t="str">
        <f ca="1">VLOOKUP(B253,bond!B:H,7,FALSE)</f>
        <v>2024/7/2</v>
      </c>
      <c r="M253" s="144">
        <f ca="1">VLOOKUP($B253,bond!$B:$Q,16,FALSE)</f>
        <v>4.9000000000000002E-2</v>
      </c>
      <c r="N253" s="136">
        <f ca="1">VALUE(LEFT(VLOOKUP(B253,bond!B:R,17,FALSE),SEARCH(" ",VLOOKUP(B253,bond!B:R,17,FALSE),1)))</f>
        <v>10000</v>
      </c>
      <c r="O253" s="136">
        <f ca="1">VALUE(RIGHT(VLOOKUP(B253,bond!B:R,17,FALSE),LEN(VLOOKUP(B253,bond!B:R,17,FALSE))-LEN(N253)-3))</f>
        <v>1000</v>
      </c>
      <c r="P253" s="135" t="str">
        <f ca="1">VLOOKUP($B253,bond!$B:$AG,32,FALSE)</f>
        <v>2024/10/1</v>
      </c>
      <c r="Q253" s="135" t="str">
        <f ca="1">VLOOKUP($B253,bond!$B:$AH,33,FALSE)</f>
        <v>醫療保健</v>
      </c>
      <c r="R253" s="135" t="str">
        <f ca="1">VLOOKUP(B253,bond!B:AA,26,FALSE)</f>
        <v>亞培</v>
      </c>
      <c r="S253" s="135" t="str">
        <f ca="1">VLOOKUP(B253,bond!B:AI,34,FALSE)</f>
        <v>ABT</v>
      </c>
      <c r="T253" s="135" t="str">
        <f t="shared" ca="1" si="21"/>
        <v>亞培/ABT</v>
      </c>
      <c r="U253" s="207" t="str">
        <f ca="1">IFERROR(VLOOKUP(T253,Bond_DES!D:E,2,FALSE),VLOOKUP(S253,bond!AI:AJ,2,FALSE))</f>
        <v>亞培公司(Abbott Laboratories)是全球醫療保健領導者，業務觸及醫療設備、檢驗試劑、營養品及品牌學名藥等多元領域，旗下知名品牌有亞培安素、嬰兒配方奶粉Similac(心美力)、連續監控血糖檢測儀Freestyle libre等。2023年亞培連續第11年獲道瓊永續發展指數(DJSI)評為「醫療保健設備與用品」全球行業領導者地位。</v>
      </c>
      <c r="V253" s="136" t="str">
        <f ca="1">IFERROR(VLOOKUP(B253,'1_重設數據'!L:M,2,FALSE),IF(Q253="政府",IF(AD253&gt;16,"(NPI)非專投",IF(AD253&gt;10,"(PI)專投","高資產")),IF(VLOOKUP(B253,bond!B:AN,39,FALSE)="Y","(PI)專投",IF(AD253&gt;=15,"(NPI)非專投",IF(AD253&gt;=10,"(PI)專投","高資產")))))</f>
        <v>(NPI)非專投</v>
      </c>
      <c r="W253" s="136" t="str">
        <f ca="1">VLOOKUP(AD253,'credit rating'!$F$2:$H$22,3,FALSE)</f>
        <v>AA-</v>
      </c>
      <c r="X253" s="136" t="str">
        <f t="shared" ca="1" si="22"/>
        <v>Aa3</v>
      </c>
      <c r="Y253" s="136" t="str">
        <f t="shared" ca="1" si="23"/>
        <v>AA-</v>
      </c>
      <c r="Z253" s="136" t="str">
        <f t="shared" ca="1" si="24"/>
        <v>WD</v>
      </c>
      <c r="AA253" s="134">
        <f ca="1">IFERROR(VLOOKUP(X253,'credit rating'!A:C,3,FALSE),0)</f>
        <v>18</v>
      </c>
      <c r="AB253" s="134">
        <f ca="1">IFERROR(VLOOKUP(Y253,'credit rating'!B:C,2,FALSE),0)</f>
        <v>18</v>
      </c>
      <c r="AC253" s="136">
        <f ca="1">IFERROR(VLOOKUP(Z253,'credit rating'!B:C,2,FALSE),0)</f>
        <v>0</v>
      </c>
      <c r="AD253" s="136">
        <f t="shared" ca="1" si="25"/>
        <v>18</v>
      </c>
      <c r="AE253" s="249" t="str">
        <f ca="1">IFERROR(VLOOKUP(B253,bond!B:U,20,FALSE),"")</f>
        <v xml:space="preserve"> </v>
      </c>
      <c r="AF253" s="136" t="str">
        <f ca="1">IF(VLOOKUP(B253,bond!B:AK,36,FALSE)="#N/A Field Not Applicable","",VLOOKUP(B253,bond!B:AK,36,FALSE))</f>
        <v/>
      </c>
      <c r="AG253" s="136" t="str">
        <f ca="1">IF(VLOOKUP(B253,bond!B:AL,37,FALSE)="FIXED","固定",IF(VLOOKUP(B253,bond!B:AL,37,FALSE)="FLOATING","浮動",IF(VLOOKUP(B253,bond!B:AL,37,FALSE)="VARIABLE","變動",IF(VLOOKUP(B253,bond!B:AL,37,FALSE)="FLAT TRADING","不含息交易",IF(VLOOKUP(B253,bond!B:AL,37,FALSE)="ZERO COUPON","零息",VLOOKUP(B253,bond!B:AL,37,FALSE))))))</f>
        <v>固定</v>
      </c>
      <c r="AH253" s="136" t="str">
        <f>VLOOKUP(C253,'2_Check_code'!I:J,2,FALSE)</f>
        <v>美元(USD)</v>
      </c>
      <c r="AI253" s="136" t="str">
        <f t="shared" ca="1" si="26"/>
        <v>自由選清單</v>
      </c>
      <c r="AJ253" s="136">
        <f t="shared" ca="1" si="27"/>
        <v>0</v>
      </c>
      <c r="AK253" s="594" t="str">
        <f ca="1">IF(VLOOKUP(B253,bond!B:S,18,FALSE)="是","有",IF(VLOOKUP(B253,bond!B:S,18,FALSE)="NO OFFER","無","需查詢"))</f>
        <v>需查詢</v>
      </c>
      <c r="AL253" s="136" t="str">
        <f>IF(VLOOKUP(A253,bond!F:AR,39,FALSE)="#N/A Field Not Applicable",VLOOKUP(A253,bond!F:AR,38,FALSE),IFERROR(VLOOKUP(A253,'7_發行日例外'!A:B,2,FALSE),VLOOKUP(A253,bond!F:AR,39,FALSE)))</f>
        <v>2009/3/3</v>
      </c>
      <c r="AM253" s="136" t="str">
        <f ca="1">VLOOKUP(B253,bond!B:AK,36,FALSE)</f>
        <v>#N/A Field Not Applicable</v>
      </c>
      <c r="AN253" s="136" t="str">
        <f ca="1">IFERROR(VLOOKUP(B253,'3_是否下架'!A:A,1,FALSE),"")</f>
        <v/>
      </c>
      <c r="AO253" s="136">
        <f ca="1">VLOOKUP(B253,bond!B:J,9,FALSE)</f>
        <v>109.45</v>
      </c>
      <c r="AP253" s="136">
        <f ca="1">VLOOKUP(B253,bond!B:V,21,FALSE)</f>
        <v>9.8422000000000001</v>
      </c>
    </row>
    <row r="254" spans="1:42">
      <c r="A254" s="141" t="str">
        <f>bond!F255</f>
        <v>US172967FX46</v>
      </c>
      <c r="B254" s="151" t="str">
        <f ca="1">IF($C$1=TRUE,bond!B255,"")</f>
        <v>XH520</v>
      </c>
      <c r="C254" s="95" t="str">
        <f>VLOOKUP(A254,bond!F:G,2,FALSE)</f>
        <v>USD</v>
      </c>
      <c r="D254" s="142" t="str">
        <f ca="1">VLOOKUP(B254,bond!B:C,2,FALSE)</f>
        <v>花旗集團美元配息債券 5.875% 2042/1/30</v>
      </c>
      <c r="E254" s="95" t="str">
        <f ca="1">VLOOKUP(B254,bond!B:D,3,FALSE)</f>
        <v>A3 / BBB+ / A</v>
      </c>
      <c r="F254" s="99" t="str">
        <f ca="1">VLOOKUP(B254,bond!B:AB,27,FALSE)</f>
        <v>2042/1/30</v>
      </c>
      <c r="G254" s="90">
        <f ca="1">VLOOKUP(B254,bond!B:E,4,FALSE)</f>
        <v>17.579999999999998</v>
      </c>
      <c r="H254" s="202">
        <f ca="1">VLOOKUP(B254,bond!B:Y,24,FALSE)</f>
        <v>5.8749999999999997E-2</v>
      </c>
      <c r="I254" s="95">
        <f ca="1">VLOOKUP(B254,bond!B:Z,25,FALSE)</f>
        <v>2</v>
      </c>
      <c r="J254" s="180">
        <f ca="1">VLOOKUP(B254,bond!B:K,10,FALSE)</f>
        <v>2.4805999999999999</v>
      </c>
      <c r="K254" s="96">
        <f ca="1">VLOOKUP($B254,bond!B:S,14,FALSE)</f>
        <v>108.44</v>
      </c>
      <c r="L254" s="91" t="str">
        <f ca="1">VLOOKUP(B254,bond!B:H,7,FALSE)</f>
        <v>2024/7/2</v>
      </c>
      <c r="M254" s="144">
        <f ca="1">VLOOKUP($B254,bond!$B:$Q,16,FALSE)</f>
        <v>5.3499999999999999E-2</v>
      </c>
      <c r="N254" s="136">
        <f ca="1">VALUE(LEFT(VLOOKUP(B254,bond!B:R,17,FALSE),SEARCH(" ",VLOOKUP(B254,bond!B:R,17,FALSE),1)))</f>
        <v>10000</v>
      </c>
      <c r="O254" s="136">
        <f ca="1">VALUE(RIGHT(VLOOKUP(B254,bond!B:R,17,FALSE),LEN(VLOOKUP(B254,bond!B:R,17,FALSE))-LEN(N254)-3))</f>
        <v>1000</v>
      </c>
      <c r="P254" s="135" t="str">
        <f ca="1">VLOOKUP($B254,bond!$B:$AG,32,FALSE)</f>
        <v>2024/7/30</v>
      </c>
      <c r="Q254" s="135" t="str">
        <f ca="1">VLOOKUP($B254,bond!$B:$AH,33,FALSE)</f>
        <v>金融</v>
      </c>
      <c r="R254" s="135" t="str">
        <f ca="1">VLOOKUP(B254,bond!B:AA,26,FALSE)</f>
        <v>花旗集團</v>
      </c>
      <c r="S254" s="135" t="str">
        <f ca="1">VLOOKUP(B254,bond!B:AI,34,FALSE)</f>
        <v>C</v>
      </c>
      <c r="T254" s="135" t="str">
        <f t="shared" ca="1" si="21"/>
        <v>花旗集團/C</v>
      </c>
      <c r="U254" s="207" t="str">
        <f ca="1">IFERROR(VLOOKUP(T254,Bond_DES!D:E,2,FALSE),VLOOKUP(S254,bond!AI:AJ,2,FALSE))</f>
        <v>花旗集團(Citigroup Inc.)是一家全球性多元化金融服務控股公司，按一級資本為全球第7大、美國第3大行(The Banker 2023)，營收、品牌、資本水準高居美國前五大行。</v>
      </c>
      <c r="V254" s="136" t="str">
        <f ca="1">IFERROR(VLOOKUP(B254,'1_重設數據'!L:M,2,FALSE),IF(Q254="政府",IF(AD254&gt;16,"(NPI)非專投",IF(AD254&gt;10,"(PI)專投","高資產")),IF(VLOOKUP(B254,bond!B:AN,39,FALSE)="Y","(PI)專投",IF(AD254&gt;=15,"(NPI)非專投",IF(AD254&gt;=10,"(PI)專投","高資產")))))</f>
        <v>(PI)專投</v>
      </c>
      <c r="W254" s="136" t="str">
        <f ca="1">VLOOKUP(AD254,'credit rating'!$F$2:$H$22,3,FALSE)</f>
        <v>A</v>
      </c>
      <c r="X254" s="136" t="str">
        <f t="shared" ca="1" si="22"/>
        <v>A3</v>
      </c>
      <c r="Y254" s="136" t="str">
        <f t="shared" ca="1" si="23"/>
        <v>BBB+</v>
      </c>
      <c r="Z254" s="136" t="str">
        <f t="shared" ca="1" si="24"/>
        <v>A</v>
      </c>
      <c r="AA254" s="134">
        <f ca="1">IFERROR(VLOOKUP(X254,'credit rating'!A:C,3,FALSE),0)</f>
        <v>15</v>
      </c>
      <c r="AB254" s="134">
        <f ca="1">IFERROR(VLOOKUP(Y254,'credit rating'!B:C,2,FALSE),0)</f>
        <v>14</v>
      </c>
      <c r="AC254" s="136">
        <f ca="1">IFERROR(VLOOKUP(Z254,'credit rating'!B:C,2,FALSE),0)</f>
        <v>16</v>
      </c>
      <c r="AD254" s="136">
        <f t="shared" ca="1" si="25"/>
        <v>16</v>
      </c>
      <c r="AE254" s="249" t="str">
        <f ca="1">IFERROR(VLOOKUP(B254,bond!B:U,20,FALSE),"")</f>
        <v xml:space="preserve"> </v>
      </c>
      <c r="AF254" s="136" t="str">
        <f ca="1">IF(VLOOKUP(B254,bond!B:AK,36,FALSE)="#N/A Field Not Applicable","",VLOOKUP(B254,bond!B:AK,36,FALSE))</f>
        <v/>
      </c>
      <c r="AG254" s="136" t="str">
        <f ca="1">IF(VLOOKUP(B254,bond!B:AL,37,FALSE)="FIXED","固定",IF(VLOOKUP(B254,bond!B:AL,37,FALSE)="FLOATING","浮動",IF(VLOOKUP(B254,bond!B:AL,37,FALSE)="VARIABLE","變動",IF(VLOOKUP(B254,bond!B:AL,37,FALSE)="FLAT TRADING","不含息交易",IF(VLOOKUP(B254,bond!B:AL,37,FALSE)="ZERO COUPON","零息",VLOOKUP(B254,bond!B:AL,37,FALSE))))))</f>
        <v>固定</v>
      </c>
      <c r="AH254" s="136" t="str">
        <f>VLOOKUP(C254,'2_Check_code'!I:J,2,FALSE)</f>
        <v>美元(USD)</v>
      </c>
      <c r="AI254" s="136" t="str">
        <f t="shared" ca="1" si="26"/>
        <v>自由選清單</v>
      </c>
      <c r="AJ254" s="136">
        <f t="shared" ca="1" si="27"/>
        <v>0</v>
      </c>
      <c r="AK254" s="594" t="str">
        <f ca="1">IF(VLOOKUP(B254,bond!B:S,18,FALSE)="是","有",IF(VLOOKUP(B254,bond!B:S,18,FALSE)="NO OFFER","無","需查詢"))</f>
        <v>有</v>
      </c>
      <c r="AL254" s="136" t="str">
        <f>IF(VLOOKUP(A254,bond!F:AR,39,FALSE)="#N/A Field Not Applicable",VLOOKUP(A254,bond!F:AR,38,FALSE),IFERROR(VLOOKUP(A254,'7_發行日例外'!A:B,2,FALSE),VLOOKUP(A254,bond!F:AR,39,FALSE)))</f>
        <v>2012/1/26</v>
      </c>
      <c r="AM254" s="136" t="str">
        <f ca="1">VLOOKUP(B254,bond!B:AK,36,FALSE)</f>
        <v>#N/A Field Not Applicable</v>
      </c>
      <c r="AN254" s="136" t="str">
        <f ca="1">IFERROR(VLOOKUP(B254,'3_是否下架'!A:A,1,FALSE),"")</f>
        <v/>
      </c>
      <c r="AO254" s="136">
        <f ca="1">VLOOKUP(B254,bond!B:J,9,FALSE)</f>
        <v>103.46</v>
      </c>
      <c r="AP254" s="136">
        <f ca="1">VLOOKUP(B254,bond!B:V,21,FALSE)</f>
        <v>10.7684</v>
      </c>
    </row>
    <row r="255" spans="1:42">
      <c r="A255" s="141" t="str">
        <f>bond!F256</f>
        <v>US172967MD09</v>
      </c>
      <c r="B255" s="151" t="str">
        <f ca="1">IF($C$1=TRUE,bond!B256,"")</f>
        <v>XH530</v>
      </c>
      <c r="C255" s="95" t="str">
        <f>VLOOKUP(A255,bond!F:G,2,FALSE)</f>
        <v>USD</v>
      </c>
      <c r="D255" s="142" t="str">
        <f ca="1">VLOOKUP(B255,bond!B:C,2,FALSE)</f>
        <v>花旗集團美元配息債券 4.65% 2048/7/23</v>
      </c>
      <c r="E255" s="95" t="str">
        <f ca="1">VLOOKUP(B255,bond!B:D,3,FALSE)</f>
        <v>A3 / BBB+ / A</v>
      </c>
      <c r="F255" s="99" t="str">
        <f ca="1">VLOOKUP(B255,bond!B:AB,27,FALSE)</f>
        <v>2048/7/23</v>
      </c>
      <c r="G255" s="90">
        <f ca="1">VLOOKUP(B255,bond!B:E,4,FALSE)</f>
        <v>24.06</v>
      </c>
      <c r="H255" s="202">
        <f ca="1">VLOOKUP(B255,bond!B:Y,24,FALSE)</f>
        <v>4.6500000000000007E-2</v>
      </c>
      <c r="I255" s="95">
        <f ca="1">VLOOKUP(B255,bond!B:Z,25,FALSE)</f>
        <v>2</v>
      </c>
      <c r="J255" s="180">
        <f ca="1">VLOOKUP(B255,bond!B:K,10,FALSE)</f>
        <v>2.0537999999999998</v>
      </c>
      <c r="K255" s="96">
        <f ca="1">VLOOKUP($B255,bond!B:S,14,FALSE)</f>
        <v>93.46</v>
      </c>
      <c r="L255" s="91" t="str">
        <f ca="1">VLOOKUP(B255,bond!B:H,7,FALSE)</f>
        <v>2024/7/2</v>
      </c>
      <c r="M255" s="144">
        <f ca="1">VLOOKUP($B255,bond!$B:$Q,16,FALSE)</f>
        <v>5.28E-2</v>
      </c>
      <c r="N255" s="136">
        <f ca="1">VALUE(LEFT(VLOOKUP(B255,bond!B:R,17,FALSE),SEARCH(" ",VLOOKUP(B255,bond!B:R,17,FALSE),1)))</f>
        <v>10000</v>
      </c>
      <c r="O255" s="136">
        <f ca="1">VALUE(RIGHT(VLOOKUP(B255,bond!B:R,17,FALSE),LEN(VLOOKUP(B255,bond!B:R,17,FALSE))-LEN(N255)-3))</f>
        <v>1000</v>
      </c>
      <c r="P255" s="135" t="str">
        <f ca="1">VLOOKUP($B255,bond!$B:$AG,32,FALSE)</f>
        <v>2024/7/23</v>
      </c>
      <c r="Q255" s="135" t="str">
        <f ca="1">VLOOKUP($B255,bond!$B:$AH,33,FALSE)</f>
        <v>金融</v>
      </c>
      <c r="R255" s="135" t="str">
        <f ca="1">VLOOKUP(B255,bond!B:AA,26,FALSE)</f>
        <v>花旗集團</v>
      </c>
      <c r="S255" s="135" t="str">
        <f ca="1">VLOOKUP(B255,bond!B:AI,34,FALSE)</f>
        <v>C</v>
      </c>
      <c r="T255" s="135" t="str">
        <f t="shared" ca="1" si="21"/>
        <v>花旗集團/C</v>
      </c>
      <c r="U255" s="207" t="str">
        <f ca="1">IFERROR(VLOOKUP(T255,Bond_DES!D:E,2,FALSE),VLOOKUP(S255,bond!AI:AJ,2,FALSE))</f>
        <v>花旗集團(Citigroup Inc.)是一家全球性多元化金融服務控股公司，按一級資本為全球第7大、美國第3大行(The Banker 2023)，營收、品牌、資本水準高居美國前五大行。</v>
      </c>
      <c r="V255" s="136" t="str">
        <f ca="1">IFERROR(VLOOKUP(B255,'1_重設數據'!L:M,2,FALSE),IF(Q255="政府",IF(AD255&gt;16,"(NPI)非專投",IF(AD255&gt;10,"(PI)專投","高資產")),IF(VLOOKUP(B255,bond!B:AN,39,FALSE)="Y","(PI)專投",IF(AD255&gt;=15,"(NPI)非專投",IF(AD255&gt;=10,"(PI)專投","高資產")))))</f>
        <v>(PI)專投</v>
      </c>
      <c r="W255" s="136" t="str">
        <f ca="1">VLOOKUP(AD255,'credit rating'!$F$2:$H$22,3,FALSE)</f>
        <v>A</v>
      </c>
      <c r="X255" s="136" t="str">
        <f t="shared" ca="1" si="22"/>
        <v>A3</v>
      </c>
      <c r="Y255" s="136" t="str">
        <f t="shared" ca="1" si="23"/>
        <v>BBB+</v>
      </c>
      <c r="Z255" s="136" t="str">
        <f t="shared" ca="1" si="24"/>
        <v>A</v>
      </c>
      <c r="AA255" s="134">
        <f ca="1">IFERROR(VLOOKUP(X255,'credit rating'!A:C,3,FALSE),0)</f>
        <v>15</v>
      </c>
      <c r="AB255" s="134">
        <f ca="1">IFERROR(VLOOKUP(Y255,'credit rating'!B:C,2,FALSE),0)</f>
        <v>14</v>
      </c>
      <c r="AC255" s="136">
        <f ca="1">IFERROR(VLOOKUP(Z255,'credit rating'!B:C,2,FALSE),0)</f>
        <v>16</v>
      </c>
      <c r="AD255" s="136">
        <f t="shared" ca="1" si="25"/>
        <v>16</v>
      </c>
      <c r="AE255" s="249">
        <f ca="1">IFERROR(VLOOKUP(B255,bond!B:U,20,FALSE),"")</f>
        <v>5.2900000000000003E-2</v>
      </c>
      <c r="AF255" s="136" t="str">
        <f ca="1">IF(VLOOKUP(B255,bond!B:AK,36,FALSE)="#N/A Field Not Applicable","",VLOOKUP(B255,bond!B:AK,36,FALSE))</f>
        <v>2048/6/23</v>
      </c>
      <c r="AG255" s="136" t="str">
        <f ca="1">IF(VLOOKUP(B255,bond!B:AL,37,FALSE)="FIXED","固定",IF(VLOOKUP(B255,bond!B:AL,37,FALSE)="FLOATING","浮動",IF(VLOOKUP(B255,bond!B:AL,37,FALSE)="VARIABLE","變動",IF(VLOOKUP(B255,bond!B:AL,37,FALSE)="FLAT TRADING","不含息交易",IF(VLOOKUP(B255,bond!B:AL,37,FALSE)="ZERO COUPON","零息",VLOOKUP(B255,bond!B:AL,37,FALSE))))))</f>
        <v>固定</v>
      </c>
      <c r="AH255" s="136" t="str">
        <f>VLOOKUP(C255,'2_Check_code'!I:J,2,FALSE)</f>
        <v>美元(USD)</v>
      </c>
      <c r="AI255" s="136" t="str">
        <f t="shared" ca="1" si="26"/>
        <v>自由選清單</v>
      </c>
      <c r="AJ255" s="136">
        <f t="shared" ca="1" si="27"/>
        <v>0</v>
      </c>
      <c r="AK255" s="594" t="str">
        <f ca="1">IF(VLOOKUP(B255,bond!B:S,18,FALSE)="是","有",IF(VLOOKUP(B255,bond!B:S,18,FALSE)="NO OFFER","無","需查詢"))</f>
        <v>有</v>
      </c>
      <c r="AL255" s="136" t="str">
        <f>IF(VLOOKUP(A255,bond!F:AR,39,FALSE)="#N/A Field Not Applicable",VLOOKUP(A255,bond!F:AR,38,FALSE),IFERROR(VLOOKUP(A255,'7_發行日例外'!A:B,2,FALSE),VLOOKUP(A255,bond!F:AR,39,FALSE)))</f>
        <v>2018/7/23</v>
      </c>
      <c r="AM255" s="136" t="str">
        <f ca="1">VLOOKUP(B255,bond!B:AK,36,FALSE)</f>
        <v>2048/6/23</v>
      </c>
      <c r="AN255" s="136" t="str">
        <f ca="1">IFERROR(VLOOKUP(B255,'3_是否下架'!A:A,1,FALSE),"")</f>
        <v/>
      </c>
      <c r="AO255" s="136">
        <f ca="1">VLOOKUP(B255,bond!B:J,9,FALSE)</f>
        <v>87.910000000000011</v>
      </c>
      <c r="AP255" s="136">
        <f ca="1">VLOOKUP(B255,bond!B:V,21,FALSE)</f>
        <v>13.444699999999999</v>
      </c>
    </row>
    <row r="256" spans="1:42">
      <c r="A256" s="141" t="str">
        <f>bond!F257</f>
        <v>AU000XCLWAQ1</v>
      </c>
      <c r="B256" s="151" t="str">
        <f ca="1">IF($C$1=TRUE,bond!B257,"")</f>
        <v>XH540</v>
      </c>
      <c r="C256" s="95" t="str">
        <f>VLOOKUP(A256,bond!F:G,2,FALSE)</f>
        <v>AUD</v>
      </c>
      <c r="D256" s="142" t="str">
        <f ca="1">VLOOKUP(B256,bond!B:C,2,FALSE)</f>
        <v>澳洲政府公債澳幣配息債券 2.75% 2027/11/21</v>
      </c>
      <c r="E256" s="95" t="str">
        <f ca="1">VLOOKUP(B256,bond!B:D,3,FALSE)</f>
        <v>Aaau / - / AAAu</v>
      </c>
      <c r="F256" s="99" t="str">
        <f ca="1">VLOOKUP(B256,bond!B:AB,27,FALSE)</f>
        <v>2027/11/21</v>
      </c>
      <c r="G256" s="90">
        <f ca="1">VLOOKUP(B256,bond!B:E,4,FALSE)</f>
        <v>3.38</v>
      </c>
      <c r="H256" s="202">
        <f ca="1">VLOOKUP(B256,bond!B:Y,24,FALSE)</f>
        <v>2.75E-2</v>
      </c>
      <c r="I256" s="95">
        <f ca="1">VLOOKUP(B256,bond!B:Z,25,FALSE)</f>
        <v>2</v>
      </c>
      <c r="J256" s="180">
        <f ca="1">VLOOKUP(B256,bond!B:K,10,FALSE)</f>
        <v>0.32100000000000001</v>
      </c>
      <c r="K256" s="96">
        <f ca="1">VLOOKUP($B256,bond!B:S,14,FALSE)</f>
        <v>98</v>
      </c>
      <c r="L256" s="91" t="str">
        <f ca="1">VLOOKUP(B256,bond!B:H,7,FALSE)</f>
        <v>2024/7/3</v>
      </c>
      <c r="M256" s="144">
        <f ca="1">VLOOKUP($B256,bond!$B:$Q,16,FALSE)</f>
        <v>3.4799999999999998E-2</v>
      </c>
      <c r="N256" s="136">
        <f ca="1">VALUE(LEFT(VLOOKUP(B256,bond!B:R,17,FALSE),SEARCH(" ",VLOOKUP(B256,bond!B:R,17,FALSE),1)))</f>
        <v>10000</v>
      </c>
      <c r="O256" s="136">
        <f ca="1">VALUE(RIGHT(VLOOKUP(B256,bond!B:R,17,FALSE),LEN(VLOOKUP(B256,bond!B:R,17,FALSE))-LEN(N256)-3))</f>
        <v>1000</v>
      </c>
      <c r="P256" s="135" t="str">
        <f ca="1">VLOOKUP($B256,bond!$B:$AG,32,FALSE)</f>
        <v>2024/11/21</v>
      </c>
      <c r="Q256" s="135" t="str">
        <f ca="1">VLOOKUP($B256,bond!$B:$AH,33,FALSE)</f>
        <v>政府</v>
      </c>
      <c r="R256" s="135" t="str">
        <f ca="1">VLOOKUP(B256,bond!B:AA,26,FALSE)</f>
        <v>澳洲公債</v>
      </c>
      <c r="S256" s="135" t="str">
        <f ca="1">VLOOKUP(B256,bond!B:AI,34,FALSE)</f>
        <v>ACGB</v>
      </c>
      <c r="T256" s="135" t="str">
        <f t="shared" ca="1" si="21"/>
        <v>澳洲公債/ACGB</v>
      </c>
      <c r="U256" s="207" t="str">
        <f ca="1">IFERROR(VLOOKUP(T256,Bond_DES!D:E,2,FALSE),VLOOKUP(S256,bond!AI:AJ,2,FALSE))</f>
        <v xml:space="preserve">澳洲(Australia)為南半球經濟最發達的國家，以礦産出口和農牧業為主要經濟來源，被譽為「騎在羊背上、坐在礦車上、手持麥穗的國家」。疫前，澳洲實質GDP實現連續近30年正增長，三大信評機構並賦予AAA級最高信用評等，媲美美國、德國等富裕先進國家。
</v>
      </c>
      <c r="V256" s="136" t="str">
        <f ca="1">IFERROR(VLOOKUP(B256,'1_重設數據'!L:M,2,FALSE),IF(Q256="政府",IF(AD256&gt;16,"(NPI)非專投",IF(AD256&gt;10,"(PI)專投","高資產")),IF(VLOOKUP(B256,bond!B:AN,39,FALSE)="Y","(PI)專投",IF(AD256&gt;=15,"(NPI)非專投",IF(AD256&gt;=10,"(PI)專投","高資產")))))</f>
        <v>(NPI)非專投</v>
      </c>
      <c r="W256" s="136" t="str">
        <f ca="1">VLOOKUP(AD256,'credit rating'!$F$2:$H$22,3,FALSE)</f>
        <v>AAA</v>
      </c>
      <c r="X256" s="136" t="str">
        <f t="shared" ca="1" si="22"/>
        <v>Aaau</v>
      </c>
      <c r="Y256" s="136" t="str">
        <f t="shared" ca="1" si="23"/>
        <v>-</v>
      </c>
      <c r="Z256" s="136" t="str">
        <f t="shared" ca="1" si="24"/>
        <v>AAAu</v>
      </c>
      <c r="AA256" s="134">
        <f ca="1">IFERROR(VLOOKUP(X256,'credit rating'!A:C,3,FALSE),0)</f>
        <v>21</v>
      </c>
      <c r="AB256" s="134">
        <f ca="1">IFERROR(VLOOKUP(Y256,'credit rating'!B:C,2,FALSE),0)</f>
        <v>0</v>
      </c>
      <c r="AC256" s="136">
        <f ca="1">IFERROR(VLOOKUP(Z256,'credit rating'!B:C,2,FALSE),0)</f>
        <v>21</v>
      </c>
      <c r="AD256" s="136">
        <f t="shared" ca="1" si="25"/>
        <v>21</v>
      </c>
      <c r="AE256" s="249" t="str">
        <f ca="1">IFERROR(VLOOKUP(B256,bond!B:U,20,FALSE),"")</f>
        <v xml:space="preserve"> </v>
      </c>
      <c r="AF256" s="136" t="str">
        <f ca="1">IF(VLOOKUP(B256,bond!B:AK,36,FALSE)="#N/A Field Not Applicable","",VLOOKUP(B256,bond!B:AK,36,FALSE))</f>
        <v/>
      </c>
      <c r="AG256" s="136" t="str">
        <f ca="1">IF(VLOOKUP(B256,bond!B:AL,37,FALSE)="FIXED","固定",IF(VLOOKUP(B256,bond!B:AL,37,FALSE)="FLOATING","浮動",IF(VLOOKUP(B256,bond!B:AL,37,FALSE)="VARIABLE","變動",IF(VLOOKUP(B256,bond!B:AL,37,FALSE)="FLAT TRADING","不含息交易",IF(VLOOKUP(B256,bond!B:AL,37,FALSE)="ZERO COUPON","零息",VLOOKUP(B256,bond!B:AL,37,FALSE))))))</f>
        <v>固定</v>
      </c>
      <c r="AH256" s="136" t="str">
        <f>VLOOKUP(C256,'2_Check_code'!I:J,2,FALSE)</f>
        <v>澳幣(AUD)</v>
      </c>
      <c r="AI256" s="136" t="str">
        <f t="shared" ca="1" si="26"/>
        <v/>
      </c>
      <c r="AJ256" s="136">
        <f t="shared" ca="1" si="27"/>
        <v>1</v>
      </c>
      <c r="AK256" s="594" t="str">
        <f ca="1">IF(VLOOKUP(B256,bond!B:S,18,FALSE)="是","有",IF(VLOOKUP(B256,bond!B:S,18,FALSE)="NO OFFER","無","需查詢"))</f>
        <v>有</v>
      </c>
      <c r="AL256" s="136" t="str">
        <f>IF(VLOOKUP(A256,bond!F:AR,39,FALSE)="#N/A Field Not Applicable",VLOOKUP(A256,bond!F:AR,38,FALSE),IFERROR(VLOOKUP(A256,'7_發行日例外'!A:B,2,FALSE),VLOOKUP(A256,bond!F:AR,39,FALSE)))</f>
        <v>2015/11/21</v>
      </c>
      <c r="AM256" s="136" t="str">
        <f ca="1">VLOOKUP(B256,bond!B:AK,36,FALSE)</f>
        <v>#N/A Field Not Applicable</v>
      </c>
      <c r="AN256" s="136" t="str">
        <f ca="1">IFERROR(VLOOKUP(B256,'3_是否下架'!A:A,1,FALSE),"")</f>
        <v/>
      </c>
      <c r="AO256" s="136">
        <f ca="1">VLOOKUP(B256,bond!B:J,9,FALSE)</f>
        <v>96.18</v>
      </c>
      <c r="AP256" s="136">
        <f ca="1">VLOOKUP(B256,bond!B:V,21,FALSE)</f>
        <v>3.1804999999999999</v>
      </c>
    </row>
    <row r="257" spans="1:42">
      <c r="A257" s="141" t="str">
        <f>bond!F258</f>
        <v>AU000XCLWAX7</v>
      </c>
      <c r="B257" s="151" t="str">
        <f ca="1">IF($C$1=TRUE,bond!B258,"")</f>
        <v>XH550</v>
      </c>
      <c r="C257" s="95" t="str">
        <f>VLOOKUP(A257,bond!F:G,2,FALSE)</f>
        <v>AUD</v>
      </c>
      <c r="D257" s="142" t="str">
        <f ca="1">VLOOKUP(B257,bond!B:C,2,FALSE)</f>
        <v>澳洲政府公債澳幣配息債券 2.75% 2029/11/21</v>
      </c>
      <c r="E257" s="95" t="str">
        <f ca="1">VLOOKUP(B257,bond!B:D,3,FALSE)</f>
        <v>Aaau / - / AAAu</v>
      </c>
      <c r="F257" s="99" t="str">
        <f ca="1">VLOOKUP(B257,bond!B:AB,27,FALSE)</f>
        <v>2029/11/21</v>
      </c>
      <c r="G257" s="90">
        <f ca="1">VLOOKUP(B257,bond!B:E,4,FALSE)</f>
        <v>5.39</v>
      </c>
      <c r="H257" s="202">
        <f ca="1">VLOOKUP(B257,bond!B:Y,24,FALSE)</f>
        <v>2.75E-2</v>
      </c>
      <c r="I257" s="95">
        <f ca="1">VLOOKUP(B257,bond!B:Z,25,FALSE)</f>
        <v>2</v>
      </c>
      <c r="J257" s="180">
        <f ca="1">VLOOKUP(B257,bond!B:K,10,FALSE)</f>
        <v>0.32100000000000001</v>
      </c>
      <c r="K257" s="96">
        <f ca="1">VLOOKUP($B257,bond!B:S,14,FALSE)</f>
        <v>96.24</v>
      </c>
      <c r="L257" s="91" t="str">
        <f ca="1">VLOOKUP(B257,bond!B:H,7,FALSE)</f>
        <v>2024/7/3</v>
      </c>
      <c r="M257" s="144">
        <f ca="1">VLOOKUP($B257,bond!$B:$Q,16,FALSE)</f>
        <v>3.5900000000000001E-2</v>
      </c>
      <c r="N257" s="136">
        <f ca="1">VALUE(LEFT(VLOOKUP(B257,bond!B:R,17,FALSE),SEARCH(" ",VLOOKUP(B257,bond!B:R,17,FALSE),1)))</f>
        <v>10000</v>
      </c>
      <c r="O257" s="136">
        <f ca="1">VALUE(RIGHT(VLOOKUP(B257,bond!B:R,17,FALSE),LEN(VLOOKUP(B257,bond!B:R,17,FALSE))-LEN(N257)-3))</f>
        <v>1000</v>
      </c>
      <c r="P257" s="135" t="str">
        <f ca="1">VLOOKUP($B257,bond!$B:$AG,32,FALSE)</f>
        <v>2024/11/21</v>
      </c>
      <c r="Q257" s="135" t="str">
        <f ca="1">VLOOKUP($B257,bond!$B:$AH,33,FALSE)</f>
        <v>政府</v>
      </c>
      <c r="R257" s="135" t="str">
        <f ca="1">VLOOKUP(B257,bond!B:AA,26,FALSE)</f>
        <v>澳洲公債</v>
      </c>
      <c r="S257" s="135" t="str">
        <f ca="1">VLOOKUP(B257,bond!B:AI,34,FALSE)</f>
        <v>ACGB</v>
      </c>
      <c r="T257" s="135" t="str">
        <f t="shared" ca="1" si="21"/>
        <v>澳洲公債/ACGB</v>
      </c>
      <c r="U257" s="207" t="str">
        <f ca="1">IFERROR(VLOOKUP(T257,Bond_DES!D:E,2,FALSE),VLOOKUP(S257,bond!AI:AJ,2,FALSE))</f>
        <v xml:space="preserve">澳洲(Australia)為南半球經濟最發達的國家，以礦産出口和農牧業為主要經濟來源，被譽為「騎在羊背上、坐在礦車上、手持麥穗的國家」。疫前，澳洲實質GDP實現連續近30年正增長，三大信評機構並賦予AAA級最高信用評等，媲美美國、德國等富裕先進國家。
</v>
      </c>
      <c r="V257" s="136" t="str">
        <f ca="1">IFERROR(VLOOKUP(B257,'1_重設數據'!L:M,2,FALSE),IF(Q257="政府",IF(AD257&gt;16,"(NPI)非專投",IF(AD257&gt;10,"(PI)專投","高資產")),IF(VLOOKUP(B257,bond!B:AN,39,FALSE)="Y","(PI)專投",IF(AD257&gt;=15,"(NPI)非專投",IF(AD257&gt;=10,"(PI)專投","高資產")))))</f>
        <v>(NPI)非專投</v>
      </c>
      <c r="W257" s="136" t="str">
        <f ca="1">VLOOKUP(AD257,'credit rating'!$F$2:$H$22,3,FALSE)</f>
        <v>AAA</v>
      </c>
      <c r="X257" s="136" t="str">
        <f t="shared" ca="1" si="22"/>
        <v>Aaau</v>
      </c>
      <c r="Y257" s="136" t="str">
        <f t="shared" ca="1" si="23"/>
        <v>-</v>
      </c>
      <c r="Z257" s="136" t="str">
        <f t="shared" ca="1" si="24"/>
        <v>AAAu</v>
      </c>
      <c r="AA257" s="134">
        <f ca="1">IFERROR(VLOOKUP(X257,'credit rating'!A:C,3,FALSE),0)</f>
        <v>21</v>
      </c>
      <c r="AB257" s="134">
        <f ca="1">IFERROR(VLOOKUP(Y257,'credit rating'!B:C,2,FALSE),0)</f>
        <v>0</v>
      </c>
      <c r="AC257" s="136">
        <f ca="1">IFERROR(VLOOKUP(Z257,'credit rating'!B:C,2,FALSE),0)</f>
        <v>21</v>
      </c>
      <c r="AD257" s="136">
        <f t="shared" ca="1" si="25"/>
        <v>21</v>
      </c>
      <c r="AE257" s="249" t="str">
        <f ca="1">IFERROR(VLOOKUP(B257,bond!B:U,20,FALSE),"")</f>
        <v xml:space="preserve"> </v>
      </c>
      <c r="AF257" s="136" t="str">
        <f ca="1">IF(VLOOKUP(B257,bond!B:AK,36,FALSE)="#N/A Field Not Applicable","",VLOOKUP(B257,bond!B:AK,36,FALSE))</f>
        <v/>
      </c>
      <c r="AG257" s="136" t="str">
        <f ca="1">IF(VLOOKUP(B257,bond!B:AL,37,FALSE)="FIXED","固定",IF(VLOOKUP(B257,bond!B:AL,37,FALSE)="FLOATING","浮動",IF(VLOOKUP(B257,bond!B:AL,37,FALSE)="VARIABLE","變動",IF(VLOOKUP(B257,bond!B:AL,37,FALSE)="FLAT TRADING","不含息交易",IF(VLOOKUP(B257,bond!B:AL,37,FALSE)="ZERO COUPON","零息",VLOOKUP(B257,bond!B:AL,37,FALSE))))))</f>
        <v>固定</v>
      </c>
      <c r="AH257" s="136" t="str">
        <f>VLOOKUP(C257,'2_Check_code'!I:J,2,FALSE)</f>
        <v>澳幣(AUD)</v>
      </c>
      <c r="AI257" s="136" t="str">
        <f t="shared" ca="1" si="26"/>
        <v/>
      </c>
      <c r="AJ257" s="136">
        <f t="shared" ca="1" si="27"/>
        <v>1</v>
      </c>
      <c r="AK257" s="594" t="str">
        <f ca="1">IF(VLOOKUP(B257,bond!B:S,18,FALSE)="是","有",IF(VLOOKUP(B257,bond!B:S,18,FALSE)="NO OFFER","無","需查詢"))</f>
        <v>有</v>
      </c>
      <c r="AL257" s="136" t="str">
        <f>IF(VLOOKUP(A257,bond!F:AR,39,FALSE)="#N/A Field Not Applicable",VLOOKUP(A257,bond!F:AR,38,FALSE),IFERROR(VLOOKUP(A257,'7_發行日例外'!A:B,2,FALSE),VLOOKUP(A257,bond!F:AR,39,FALSE)))</f>
        <v>2017/11/21</v>
      </c>
      <c r="AM257" s="136" t="str">
        <f ca="1">VLOOKUP(B257,bond!B:AK,36,FALSE)</f>
        <v>#N/A Field Not Applicable</v>
      </c>
      <c r="AN257" s="136" t="str">
        <f ca="1">IFERROR(VLOOKUP(B257,'3_是否下架'!A:A,1,FALSE),"")</f>
        <v/>
      </c>
      <c r="AO257" s="136">
        <f ca="1">VLOOKUP(B257,bond!B:J,9,FALSE)</f>
        <v>93.92</v>
      </c>
      <c r="AP257" s="136">
        <f ca="1">VLOOKUP(B257,bond!B:V,21,FALSE)</f>
        <v>4.9169</v>
      </c>
    </row>
    <row r="258" spans="1:42">
      <c r="A258" s="141" t="str">
        <f>bond!F259</f>
        <v>AU0000013740</v>
      </c>
      <c r="B258" s="151" t="str">
        <f ca="1">IF($C$1=TRUE,bond!B259,"")</f>
        <v>XH560</v>
      </c>
      <c r="C258" s="95" t="str">
        <f>VLOOKUP(A258,bond!F:G,2,FALSE)</f>
        <v>AUD</v>
      </c>
      <c r="D258" s="142" t="str">
        <f ca="1">VLOOKUP(B258,bond!B:C,2,FALSE)</f>
        <v>澳洲政府公債澳幣配息債券 2.5% 2030/5/21</v>
      </c>
      <c r="E258" s="95" t="str">
        <f ca="1">VLOOKUP(B258,bond!B:D,3,FALSE)</f>
        <v>- / - / AAAu</v>
      </c>
      <c r="F258" s="99" t="str">
        <f ca="1">VLOOKUP(B258,bond!B:AB,27,FALSE)</f>
        <v>2030/5/21</v>
      </c>
      <c r="G258" s="90">
        <f ca="1">VLOOKUP(B258,bond!B:E,4,FALSE)</f>
        <v>5.88</v>
      </c>
      <c r="H258" s="202">
        <f ca="1">VLOOKUP(B258,bond!B:Y,24,FALSE)</f>
        <v>2.5000000000000001E-2</v>
      </c>
      <c r="I258" s="95">
        <f ca="1">VLOOKUP(B258,bond!B:Z,25,FALSE)</f>
        <v>2</v>
      </c>
      <c r="J258" s="180">
        <f ca="1">VLOOKUP(B258,bond!B:K,10,FALSE)</f>
        <v>0.29199999999999998</v>
      </c>
      <c r="K258" s="96">
        <f ca="1">VLOOKUP($B258,bond!B:S,14,FALSE)</f>
        <v>94.2</v>
      </c>
      <c r="L258" s="91" t="str">
        <f ca="1">VLOOKUP(B258,bond!B:H,7,FALSE)</f>
        <v>2024/7/3</v>
      </c>
      <c r="M258" s="144">
        <f ca="1">VLOOKUP($B258,bond!$B:$Q,16,FALSE)</f>
        <v>3.6600000000000001E-2</v>
      </c>
      <c r="N258" s="136">
        <f ca="1">VALUE(LEFT(VLOOKUP(B258,bond!B:R,17,FALSE),SEARCH(" ",VLOOKUP(B258,bond!B:R,17,FALSE),1)))</f>
        <v>10000</v>
      </c>
      <c r="O258" s="136">
        <f ca="1">VALUE(RIGHT(VLOOKUP(B258,bond!B:R,17,FALSE),LEN(VLOOKUP(B258,bond!B:R,17,FALSE))-LEN(N258)-3))</f>
        <v>1000</v>
      </c>
      <c r="P258" s="135" t="str">
        <f ca="1">VLOOKUP($B258,bond!$B:$AG,32,FALSE)</f>
        <v>2024/11/21</v>
      </c>
      <c r="Q258" s="135" t="str">
        <f ca="1">VLOOKUP($B258,bond!$B:$AH,33,FALSE)</f>
        <v>政府</v>
      </c>
      <c r="R258" s="135" t="str">
        <f ca="1">VLOOKUP(B258,bond!B:AA,26,FALSE)</f>
        <v>澳洲公債</v>
      </c>
      <c r="S258" s="135" t="str">
        <f ca="1">VLOOKUP(B258,bond!B:AI,34,FALSE)</f>
        <v>ACGB</v>
      </c>
      <c r="T258" s="135" t="str">
        <f t="shared" ca="1" si="21"/>
        <v>澳洲公債/ACGB</v>
      </c>
      <c r="U258" s="207" t="str">
        <f ca="1">IFERROR(VLOOKUP(T258,Bond_DES!D:E,2,FALSE),VLOOKUP(S258,bond!AI:AJ,2,FALSE))</f>
        <v xml:space="preserve">澳洲(Australia)為南半球經濟最發達的國家，以礦産出口和農牧業為主要經濟來源，被譽為「騎在羊背上、坐在礦車上、手持麥穗的國家」。疫前，澳洲實質GDP實現連續近30年正增長，三大信評機構並賦予AAA級最高信用評等，媲美美國、德國等富裕先進國家。
</v>
      </c>
      <c r="V258" s="136" t="str">
        <f ca="1">IFERROR(VLOOKUP(B258,'1_重設數據'!L:M,2,FALSE),IF(Q258="政府",IF(AD258&gt;16,"(NPI)非專投",IF(AD258&gt;10,"(PI)專投","高資產")),IF(VLOOKUP(B258,bond!B:AN,39,FALSE)="Y","(PI)專投",IF(AD258&gt;=15,"(NPI)非專投",IF(AD258&gt;=10,"(PI)專投","高資產")))))</f>
        <v>(NPI)非專投</v>
      </c>
      <c r="W258" s="136" t="str">
        <f ca="1">VLOOKUP(AD258,'credit rating'!$F$2:$H$22,3,FALSE)</f>
        <v>AAA</v>
      </c>
      <c r="X258" s="136" t="str">
        <f t="shared" ca="1" si="22"/>
        <v>-</v>
      </c>
      <c r="Y258" s="136" t="str">
        <f t="shared" ca="1" si="23"/>
        <v>-</v>
      </c>
      <c r="Z258" s="136" t="str">
        <f t="shared" ca="1" si="24"/>
        <v>AAAu</v>
      </c>
      <c r="AA258" s="134">
        <f ca="1">IFERROR(VLOOKUP(X258,'credit rating'!A:C,3,FALSE),0)</f>
        <v>0</v>
      </c>
      <c r="AB258" s="134">
        <f ca="1">IFERROR(VLOOKUP(Y258,'credit rating'!B:C,2,FALSE),0)</f>
        <v>0</v>
      </c>
      <c r="AC258" s="136">
        <f ca="1">IFERROR(VLOOKUP(Z258,'credit rating'!B:C,2,FALSE),0)</f>
        <v>21</v>
      </c>
      <c r="AD258" s="136">
        <f t="shared" ca="1" si="25"/>
        <v>21</v>
      </c>
      <c r="AE258" s="249" t="str">
        <f ca="1">IFERROR(VLOOKUP(B258,bond!B:U,20,FALSE),"")</f>
        <v xml:space="preserve"> </v>
      </c>
      <c r="AF258" s="136" t="str">
        <f ca="1">IF(VLOOKUP(B258,bond!B:AK,36,FALSE)="#N/A Field Not Applicable","",VLOOKUP(B258,bond!B:AK,36,FALSE))</f>
        <v/>
      </c>
      <c r="AG258" s="136" t="str">
        <f ca="1">IF(VLOOKUP(B258,bond!B:AL,37,FALSE)="FIXED","固定",IF(VLOOKUP(B258,bond!B:AL,37,FALSE)="FLOATING","浮動",IF(VLOOKUP(B258,bond!B:AL,37,FALSE)="VARIABLE","變動",IF(VLOOKUP(B258,bond!B:AL,37,FALSE)="FLAT TRADING","不含息交易",IF(VLOOKUP(B258,bond!B:AL,37,FALSE)="ZERO COUPON","零息",VLOOKUP(B258,bond!B:AL,37,FALSE))))))</f>
        <v>固定</v>
      </c>
      <c r="AH258" s="136" t="str">
        <f>VLOOKUP(C258,'2_Check_code'!I:J,2,FALSE)</f>
        <v>澳幣(AUD)</v>
      </c>
      <c r="AI258" s="136" t="str">
        <f t="shared" ca="1" si="26"/>
        <v/>
      </c>
      <c r="AJ258" s="136">
        <f t="shared" ca="1" si="27"/>
        <v>1</v>
      </c>
      <c r="AK258" s="594" t="str">
        <f ca="1">IF(VLOOKUP(B258,bond!B:S,18,FALSE)="是","有",IF(VLOOKUP(B258,bond!B:S,18,FALSE)="NO OFFER","無","需查詢"))</f>
        <v>有</v>
      </c>
      <c r="AL258" s="136" t="str">
        <f>IF(VLOOKUP(A258,bond!F:AR,39,FALSE)="#N/A Field Not Applicable",VLOOKUP(A258,bond!F:AR,38,FALSE),IFERROR(VLOOKUP(A258,'7_發行日例外'!A:B,2,FALSE),VLOOKUP(A258,bond!F:AR,39,FALSE)))</f>
        <v>2018/5/21</v>
      </c>
      <c r="AM258" s="136" t="str">
        <f ca="1">VLOOKUP(B258,bond!B:AK,36,FALSE)</f>
        <v>#N/A Field Not Applicable</v>
      </c>
      <c r="AN258" s="136" t="str">
        <f ca="1">IFERROR(VLOOKUP(B258,'3_是否下架'!A:A,1,FALSE),"")</f>
        <v/>
      </c>
      <c r="AO258" s="136">
        <f ca="1">VLOOKUP(B258,bond!B:J,9,FALSE)</f>
        <v>91.91</v>
      </c>
      <c r="AP258" s="136">
        <f ca="1">VLOOKUP(B258,bond!B:V,21,FALSE)</f>
        <v>5.3672000000000004</v>
      </c>
    </row>
    <row r="259" spans="1:42">
      <c r="A259" s="141" t="str">
        <f>bond!F260</f>
        <v>US25470DAD12</v>
      </c>
      <c r="B259" s="151" t="str">
        <f ca="1">IF($C$1=TRUE,bond!B260,"")</f>
        <v>XH570</v>
      </c>
      <c r="C259" s="95" t="str">
        <f>VLOOKUP(A259,bond!F:G,2,FALSE)</f>
        <v>USD</v>
      </c>
      <c r="D259" s="142" t="str">
        <f ca="1">VLOOKUP(B259,bond!B:C,2,FALSE)</f>
        <v>探索傳播有限責任公司美元配息債券 6.35% 2040/6/1</v>
      </c>
      <c r="E259" s="95" t="str">
        <f ca="1">VLOOKUP(B259,bond!B:D,3,FALSE)</f>
        <v>Baa3 / BBB- / BBB-</v>
      </c>
      <c r="F259" s="99" t="str">
        <f ca="1">VLOOKUP(B259,bond!B:AB,27,FALSE)</f>
        <v>2040/6/1</v>
      </c>
      <c r="G259" s="90">
        <f ca="1">VLOOKUP(B259,bond!B:E,4,FALSE)</f>
        <v>15.92</v>
      </c>
      <c r="H259" s="202">
        <f ca="1">VLOOKUP(B259,bond!B:Y,24,FALSE)</f>
        <v>6.3500000000000001E-2</v>
      </c>
      <c r="I259" s="95">
        <f ca="1">VLOOKUP(B259,bond!B:Z,25,FALSE)</f>
        <v>2</v>
      </c>
      <c r="J259" s="180">
        <f ca="1">VLOOKUP(B259,bond!B:K,10,FALSE)</f>
        <v>0.54679999999999995</v>
      </c>
      <c r="K259" s="96">
        <f ca="1">VLOOKUP($B259,bond!B:S,14,FALSE)</f>
        <v>98.81</v>
      </c>
      <c r="L259" s="91" t="str">
        <f ca="1">VLOOKUP(B259,bond!B:H,7,FALSE)</f>
        <v>2024/7/2</v>
      </c>
      <c r="M259" s="144">
        <f ca="1">VLOOKUP($B259,bond!$B:$Q,16,FALSE)</f>
        <v>6.5299999999999997E-2</v>
      </c>
      <c r="N259" s="136">
        <f ca="1">VALUE(LEFT(VLOOKUP(B259,bond!B:R,17,FALSE),SEARCH(" ",VLOOKUP(B259,bond!B:R,17,FALSE),1)))</f>
        <v>10000</v>
      </c>
      <c r="O259" s="136">
        <f ca="1">VALUE(RIGHT(VLOOKUP(B259,bond!B:R,17,FALSE),LEN(VLOOKUP(B259,bond!B:R,17,FALSE))-LEN(N259)-3))</f>
        <v>1000</v>
      </c>
      <c r="P259" s="135" t="str">
        <f ca="1">VLOOKUP($B259,bond!$B:$AG,32,FALSE)</f>
        <v>2024/12/1</v>
      </c>
      <c r="Q259" s="135" t="str">
        <f ca="1">VLOOKUP($B259,bond!$B:$AH,33,FALSE)</f>
        <v>通訊</v>
      </c>
      <c r="R259" s="135" t="str">
        <f ca="1">VLOOKUP(B259,bond!B:AA,26,FALSE)</f>
        <v>探索傳播有限責任公司</v>
      </c>
      <c r="S259" s="135" t="str">
        <f ca="1">VLOOKUP(B259,bond!B:AI,34,FALSE)</f>
        <v>WBD</v>
      </c>
      <c r="T259" s="135" t="str">
        <f t="shared" ca="1" si="21"/>
        <v>探索傳播有限責任公司/WBD</v>
      </c>
      <c r="U259" s="207" t="str">
        <f ca="1">IFERROR(VLOOKUP(T259,Bond_DES!D:E,2,FALSE),VLOOKUP(S259,bond!AI:AJ,2,FALSE))</f>
        <v>探索傳播有限責任公司(Discovery Communications LLC)提供有線及衛星電視服務，本券由其母公司華納兄弟探索公司(Warner Bros. Discovery, Inc.，簡稱WBD)提供保證。WBD是一家可與Disney+匹敵的全球串流媒體新巨擎，於2022年4月由AT&amp;T旗下華納媒體與Discovery合併而成，擁有華納兄弟、CNN、HBO等龐大影音媒體資產。</v>
      </c>
      <c r="V259" s="136" t="str">
        <f ca="1">IFERROR(VLOOKUP(B259,'1_重設數據'!L:M,2,FALSE),IF(Q259="政府",IF(AD259&gt;16,"(NPI)非專投",IF(AD259&gt;10,"(PI)專投","高資產")),IF(VLOOKUP(B259,bond!B:AN,39,FALSE)="Y","(PI)專投",IF(AD259&gt;=15,"(NPI)非專投",IF(AD259&gt;=10,"(PI)專投","高資產")))))</f>
        <v>(PI)專投</v>
      </c>
      <c r="W259" s="136" t="str">
        <f ca="1">VLOOKUP(AD259,'credit rating'!$F$2:$H$22,3,FALSE)</f>
        <v>BBB-</v>
      </c>
      <c r="X259" s="136" t="str">
        <f t="shared" ca="1" si="22"/>
        <v>Baa3</v>
      </c>
      <c r="Y259" s="136" t="str">
        <f t="shared" ca="1" si="23"/>
        <v>BBB-</v>
      </c>
      <c r="Z259" s="136" t="str">
        <f t="shared" ca="1" si="24"/>
        <v>BBB-</v>
      </c>
      <c r="AA259" s="134">
        <f ca="1">IFERROR(VLOOKUP(X259,'credit rating'!A:C,3,FALSE),0)</f>
        <v>12</v>
      </c>
      <c r="AB259" s="134">
        <f ca="1">IFERROR(VLOOKUP(Y259,'credit rating'!B:C,2,FALSE),0)</f>
        <v>12</v>
      </c>
      <c r="AC259" s="136">
        <f ca="1">IFERROR(VLOOKUP(Z259,'credit rating'!B:C,2,FALSE),0)</f>
        <v>12</v>
      </c>
      <c r="AD259" s="136">
        <f t="shared" ca="1" si="25"/>
        <v>12</v>
      </c>
      <c r="AE259" s="249" t="str">
        <f ca="1">IFERROR(VLOOKUP(B259,bond!B:U,20,FALSE),"")</f>
        <v xml:space="preserve"> </v>
      </c>
      <c r="AF259" s="136" t="str">
        <f ca="1">IF(VLOOKUP(B259,bond!B:AK,36,FALSE)="#N/A Field Not Applicable","",VLOOKUP(B259,bond!B:AK,36,FALSE))</f>
        <v/>
      </c>
      <c r="AG259" s="136" t="str">
        <f ca="1">IF(VLOOKUP(B259,bond!B:AL,37,FALSE)="FIXED","固定",IF(VLOOKUP(B259,bond!B:AL,37,FALSE)="FLOATING","浮動",IF(VLOOKUP(B259,bond!B:AL,37,FALSE)="VARIABLE","變動",IF(VLOOKUP(B259,bond!B:AL,37,FALSE)="FLAT TRADING","不含息交易",IF(VLOOKUP(B259,bond!B:AL,37,FALSE)="ZERO COUPON","零息",VLOOKUP(B259,bond!B:AL,37,FALSE))))))</f>
        <v>固定</v>
      </c>
      <c r="AH259" s="136" t="str">
        <f>VLOOKUP(C259,'2_Check_code'!I:J,2,FALSE)</f>
        <v>美元(USD)</v>
      </c>
      <c r="AI259" s="136" t="str">
        <f t="shared" ca="1" si="26"/>
        <v>自由選清單</v>
      </c>
      <c r="AJ259" s="136">
        <f t="shared" ca="1" si="27"/>
        <v>0</v>
      </c>
      <c r="AK259" s="594" t="str">
        <f ca="1">IF(VLOOKUP(B259,bond!B:S,18,FALSE)="是","有",IF(VLOOKUP(B259,bond!B:S,18,FALSE)="NO OFFER","無","需查詢"))</f>
        <v>有</v>
      </c>
      <c r="AL259" s="136" t="str">
        <f>IF(VLOOKUP(A259,bond!F:AR,39,FALSE)="#N/A Field Not Applicable",VLOOKUP(A259,bond!F:AR,38,FALSE),IFERROR(VLOOKUP(A259,'7_發行日例外'!A:B,2,FALSE),VLOOKUP(A259,bond!F:AR,39,FALSE)))</f>
        <v>2010/6/3</v>
      </c>
      <c r="AM259" s="136" t="str">
        <f ca="1">VLOOKUP(B259,bond!B:AK,36,FALSE)</f>
        <v>#N/A Field Not Applicable</v>
      </c>
      <c r="AN259" s="136" t="str">
        <f ca="1">IFERROR(VLOOKUP(B259,'3_是否下架'!A:A,1,FALSE),"")</f>
        <v/>
      </c>
      <c r="AO259" s="136">
        <f ca="1">VLOOKUP(B259,bond!B:J,9,FALSE)</f>
        <v>96.26</v>
      </c>
      <c r="AP259" s="136">
        <f ca="1">VLOOKUP(B259,bond!B:V,21,FALSE)</f>
        <v>9.7555999999999994</v>
      </c>
    </row>
    <row r="260" spans="1:42">
      <c r="A260" s="141" t="str">
        <f>bond!F261</f>
        <v>US56585AAF93</v>
      </c>
      <c r="B260" s="151" t="str">
        <f ca="1">IF($C$1=TRUE,bond!B261,"")</f>
        <v>XH580</v>
      </c>
      <c r="C260" s="95" t="str">
        <f>VLOOKUP(A260,bond!F:G,2,FALSE)</f>
        <v>USD</v>
      </c>
      <c r="D260" s="142" t="str">
        <f ca="1">VLOOKUP(B260,bond!B:C,2,FALSE)</f>
        <v>馬拉松石油公司美元配息債券 6.5% 2041/3/1</v>
      </c>
      <c r="E260" s="95" t="str">
        <f ca="1">VLOOKUP(B260,bond!B:D,3,FALSE)</f>
        <v>Baa2 / BBB / BBB</v>
      </c>
      <c r="F260" s="99" t="str">
        <f ca="1">VLOOKUP(B260,bond!B:AB,27,FALSE)</f>
        <v>2041/3/1</v>
      </c>
      <c r="G260" s="90">
        <f ca="1">VLOOKUP(B260,bond!B:E,4,FALSE)</f>
        <v>16.66</v>
      </c>
      <c r="H260" s="202">
        <f ca="1">VLOOKUP(B260,bond!B:Y,24,FALSE)</f>
        <v>6.5000000000000002E-2</v>
      </c>
      <c r="I260" s="95">
        <f ca="1">VLOOKUP(B260,bond!B:Z,25,FALSE)</f>
        <v>2</v>
      </c>
      <c r="J260" s="180">
        <f ca="1">VLOOKUP(B260,bond!B:K,10,FALSE)</f>
        <v>2.1846999999999999</v>
      </c>
      <c r="K260" s="96">
        <f ca="1">VLOOKUP($B260,bond!B:S,14,FALSE)</f>
        <v>109.58</v>
      </c>
      <c r="L260" s="91" t="str">
        <f ca="1">VLOOKUP(B260,bond!B:H,7,FALSE)</f>
        <v>2024/7/2</v>
      </c>
      <c r="M260" s="144">
        <f ca="1">VLOOKUP($B260,bond!$B:$Q,16,FALSE)</f>
        <v>5.8000000000000003E-2</v>
      </c>
      <c r="N260" s="136">
        <f ca="1">VALUE(LEFT(VLOOKUP(B260,bond!B:R,17,FALSE),SEARCH(" ",VLOOKUP(B260,bond!B:R,17,FALSE),1)))</f>
        <v>10000</v>
      </c>
      <c r="O260" s="136">
        <f ca="1">VALUE(RIGHT(VLOOKUP(B260,bond!B:R,17,FALSE),LEN(VLOOKUP(B260,bond!B:R,17,FALSE))-LEN(N260)-3))</f>
        <v>1000</v>
      </c>
      <c r="P260" s="135" t="str">
        <f ca="1">VLOOKUP($B260,bond!$B:$AG,32,FALSE)</f>
        <v>2024/9/1</v>
      </c>
      <c r="Q260" s="135" t="str">
        <f ca="1">VLOOKUP($B260,bond!$B:$AH,33,FALSE)</f>
        <v>能源</v>
      </c>
      <c r="R260" s="135" t="str">
        <f ca="1">VLOOKUP(B260,bond!B:AA,26,FALSE)</f>
        <v>馬拉松石油公司</v>
      </c>
      <c r="S260" s="135" t="str">
        <f ca="1">VLOOKUP(B260,bond!B:AI,34,FALSE)</f>
        <v>MPC</v>
      </c>
      <c r="T260" s="135" t="str">
        <f t="shared" ref="T260:T323" ca="1" si="28">CONCATENATE(R260,"/",S260)</f>
        <v>馬拉松石油公司/MPC</v>
      </c>
      <c r="U260" s="207" t="str">
        <f ca="1">IFERROR(VLOOKUP(T260,Bond_DES!D:E,2,FALSE),VLOOKUP(S260,bond!AI:AJ,2,FALSE))</f>
        <v>馬拉松石油公司(Marathon Petroleum Corporation)為美國最大獨立煉油商，從事提煉、營銷及中游服務，旗下13家煉油廠的原油煉油能力約為每天300萬桶，業務分佈主要集中在墨西哥灣沿岸、中州和西海岸。彭博「石油煉製」產業營收排名居全球第二，僅次於中國石油化工集團，並位居美國能源公司市值前十之列。</v>
      </c>
      <c r="V260" s="136" t="str">
        <f ca="1">IFERROR(VLOOKUP(B260,'1_重設數據'!L:M,2,FALSE),IF(Q260="政府",IF(AD260&gt;16,"(NPI)非專投",IF(AD260&gt;10,"(PI)專投","高資產")),IF(VLOOKUP(B260,bond!B:AN,39,FALSE)="Y","(PI)專投",IF(AD260&gt;=15,"(NPI)非專投",IF(AD260&gt;=10,"(PI)專投","高資產")))))</f>
        <v>(PI)專投</v>
      </c>
      <c r="W260" s="136" t="str">
        <f ca="1">VLOOKUP(AD260,'credit rating'!$F$2:$H$22,3,FALSE)</f>
        <v>BBB</v>
      </c>
      <c r="X260" s="136" t="str">
        <f t="shared" ref="X260:X323" ca="1" si="29">LEFT(E260,SEARCH(" /",E260)-1)</f>
        <v>Baa2</v>
      </c>
      <c r="Y260" s="136" t="str">
        <f t="shared" ref="Y260:Y323" ca="1" si="30">MID(E260,LEN(X260)+4,LEN(E260)-LEN(X260)-LEN(Z260)-6)</f>
        <v>BBB</v>
      </c>
      <c r="Z260" s="136" t="str">
        <f t="shared" ref="Z260:Z323" ca="1" si="31">TRIM(RIGHT(SUBSTITUTE(E260,"/ ",REPT(" ",99)),99))</f>
        <v>BBB</v>
      </c>
      <c r="AA260" s="134">
        <f ca="1">IFERROR(VLOOKUP(X260,'credit rating'!A:C,3,FALSE),0)</f>
        <v>13</v>
      </c>
      <c r="AB260" s="134">
        <f ca="1">IFERROR(VLOOKUP(Y260,'credit rating'!B:C,2,FALSE),0)</f>
        <v>13</v>
      </c>
      <c r="AC260" s="136">
        <f ca="1">IFERROR(VLOOKUP(Z260,'credit rating'!B:C,2,FALSE),0)</f>
        <v>13</v>
      </c>
      <c r="AD260" s="136">
        <f t="shared" ref="AD260:AD323" ca="1" si="32">MAX(AA260:AC260)</f>
        <v>13</v>
      </c>
      <c r="AE260" s="249">
        <f ca="1">IFERROR(VLOOKUP(B260,bond!B:U,20,FALSE),"")</f>
        <v>5.79E-2</v>
      </c>
      <c r="AF260" s="136" t="str">
        <f ca="1">IF(VLOOKUP(B260,bond!B:AK,36,FALSE)="#N/A Field Not Applicable","",VLOOKUP(B260,bond!B:AK,36,FALSE))</f>
        <v>2040/9/1</v>
      </c>
      <c r="AG260" s="136" t="str">
        <f ca="1">IF(VLOOKUP(B260,bond!B:AL,37,FALSE)="FIXED","固定",IF(VLOOKUP(B260,bond!B:AL,37,FALSE)="FLOATING","浮動",IF(VLOOKUP(B260,bond!B:AL,37,FALSE)="VARIABLE","變動",IF(VLOOKUP(B260,bond!B:AL,37,FALSE)="FLAT TRADING","不含息交易",IF(VLOOKUP(B260,bond!B:AL,37,FALSE)="ZERO COUPON","零息",VLOOKUP(B260,bond!B:AL,37,FALSE))))))</f>
        <v>固定</v>
      </c>
      <c r="AH260" s="136" t="str">
        <f>VLOOKUP(C260,'2_Check_code'!I:J,2,FALSE)</f>
        <v>美元(USD)</v>
      </c>
      <c r="AI260" s="136" t="str">
        <f t="shared" ref="AI260:AI323" ca="1" si="33">IF(AND(I260=2,C260="USD"),"自由選清單","")</f>
        <v>自由選清單</v>
      </c>
      <c r="AJ260" s="136">
        <f t="shared" ref="AJ260:AJ323" ca="1" si="34">IF(AND(I260=2,C260="USD"),0,1)</f>
        <v>0</v>
      </c>
      <c r="AK260" s="594" t="str">
        <f ca="1">IF(VLOOKUP(B260,bond!B:S,18,FALSE)="是","有",IF(VLOOKUP(B260,bond!B:S,18,FALSE)="NO OFFER","無","需查詢"))</f>
        <v>有</v>
      </c>
      <c r="AL260" s="136" t="str">
        <f>IF(VLOOKUP(A260,bond!F:AR,39,FALSE)="#N/A Field Not Applicable",VLOOKUP(A260,bond!F:AR,38,FALSE),IFERROR(VLOOKUP(A260,'7_發行日例外'!A:B,2,FALSE),VLOOKUP(A260,bond!F:AR,39,FALSE)))</f>
        <v>2011/9/1</v>
      </c>
      <c r="AM260" s="136" t="str">
        <f ca="1">VLOOKUP(B260,bond!B:AK,36,FALSE)</f>
        <v>2040/9/1</v>
      </c>
      <c r="AN260" s="136" t="str">
        <f ca="1">IFERROR(VLOOKUP(B260,'3_是否下架'!A:A,1,FALSE),"")</f>
        <v/>
      </c>
      <c r="AO260" s="136">
        <f ca="1">VLOOKUP(B260,bond!B:J,9,FALSE)</f>
        <v>104.9</v>
      </c>
      <c r="AP260" s="136">
        <f ca="1">VLOOKUP(B260,bond!B:V,21,FALSE)</f>
        <v>9.8988999999999994</v>
      </c>
    </row>
    <row r="261" spans="1:42">
      <c r="A261" s="141" t="str">
        <f>bond!F262</f>
        <v>USF29416AD06</v>
      </c>
      <c r="B261" s="151" t="str">
        <f ca="1">IF($C$1=TRUE,bond!B262,"")</f>
        <v>XH590</v>
      </c>
      <c r="C261" s="95" t="str">
        <f>VLOOKUP(A261,bond!F:G,2,FALSE)</f>
        <v>USD</v>
      </c>
      <c r="D261" s="142" t="str">
        <f ca="1">VLOOKUP(B261,bond!B:C,2,FALSE)</f>
        <v>法國電力公司美元配息債券 6.9% 2053/5/23</v>
      </c>
      <c r="E261" s="95" t="str">
        <f ca="1">VLOOKUP(B261,bond!B:D,3,FALSE)</f>
        <v>Baa1 / BBB / BBB+</v>
      </c>
      <c r="F261" s="99" t="str">
        <f ca="1">VLOOKUP(B261,bond!B:AB,27,FALSE)</f>
        <v>2053/5/23</v>
      </c>
      <c r="G261" s="90">
        <f ca="1">VLOOKUP(B261,bond!B:E,4,FALSE)</f>
        <v>28.89</v>
      </c>
      <c r="H261" s="202">
        <f ca="1">VLOOKUP(B261,bond!B:Y,24,FALSE)</f>
        <v>6.9000000000000006E-2</v>
      </c>
      <c r="I261" s="95">
        <f ca="1">VLOOKUP(B261,bond!B:Z,25,FALSE)</f>
        <v>2</v>
      </c>
      <c r="J261" s="180">
        <f ca="1">VLOOKUP(B261,bond!B:K,10,FALSE)</f>
        <v>0.74750000000000005</v>
      </c>
      <c r="K261" s="96">
        <f ca="1">VLOOKUP($B261,bond!B:S,14,FALSE)</f>
        <v>112.06</v>
      </c>
      <c r="L261" s="91" t="str">
        <f ca="1">VLOOKUP(B261,bond!B:H,7,FALSE)</f>
        <v>2024/7/2</v>
      </c>
      <c r="M261" s="144">
        <f ca="1">VLOOKUP($B261,bond!$B:$Q,16,FALSE)</f>
        <v>6.0600000000000001E-2</v>
      </c>
      <c r="N261" s="136">
        <f ca="1">VALUE(LEFT(VLOOKUP(B261,bond!B:R,17,FALSE),SEARCH(" ",VLOOKUP(B261,bond!B:R,17,FALSE),1)))</f>
        <v>200000</v>
      </c>
      <c r="O261" s="136">
        <f ca="1">VALUE(RIGHT(VLOOKUP(B261,bond!B:R,17,FALSE),LEN(VLOOKUP(B261,bond!B:R,17,FALSE))-LEN(N261)-3))</f>
        <v>1000</v>
      </c>
      <c r="P261" s="135" t="str">
        <f ca="1">VLOOKUP($B261,bond!$B:$AG,32,FALSE)</f>
        <v>2024/11/23</v>
      </c>
      <c r="Q261" s="135" t="str">
        <f ca="1">VLOOKUP($B261,bond!$B:$AH,33,FALSE)</f>
        <v>公用事業</v>
      </c>
      <c r="R261" s="135" t="str">
        <f ca="1">VLOOKUP(B261,bond!B:AA,26,FALSE)</f>
        <v>法國電力有限責任公司</v>
      </c>
      <c r="S261" s="135" t="str">
        <f ca="1">VLOOKUP(B261,bond!B:AI,34,FALSE)</f>
        <v>EDF</v>
      </c>
      <c r="T261" s="135" t="str">
        <f t="shared" ca="1" si="28"/>
        <v>法國電力有限責任公司/EDF</v>
      </c>
      <c r="U261" s="207" t="str">
        <f ca="1">IFERROR(VLOOKUP(T261,Bond_DES!D:E,2,FALSE),VLOOKUP(S261,bond!AI:AJ,2,FALSE))</f>
        <v>法國電力(Électricité de France)為法國公用電力公司，法國政府為保障能源安全，於2023年重新將EDF收歸國有，彰顯其重要性。EDF是世界上最大的垂直整合公用事業之一，且是低碳能源全球領導者，透過核能和再生能源發電，90%發電無排放二氧化碳。2023年《Brand Finance》全球公用事業公司品牌價值排名第3位。</v>
      </c>
      <c r="V261" s="136" t="str">
        <f ca="1">IFERROR(VLOOKUP(B261,'1_重設數據'!L:M,2,FALSE),IF(Q261="政府",IF(AD261&gt;16,"(NPI)非專投",IF(AD261&gt;10,"(PI)專投","高資產")),IF(VLOOKUP(B261,bond!B:AN,39,FALSE)="Y","(PI)專投",IF(AD261&gt;=15,"(NPI)非專投",IF(AD261&gt;=10,"(PI)專投","高資產")))))</f>
        <v>(PI)專投</v>
      </c>
      <c r="W261" s="136" t="str">
        <f ca="1">VLOOKUP(AD261,'credit rating'!$F$2:$H$22,3,FALSE)</f>
        <v>BBB+</v>
      </c>
      <c r="X261" s="136" t="str">
        <f t="shared" ca="1" si="29"/>
        <v>Baa1</v>
      </c>
      <c r="Y261" s="136" t="str">
        <f t="shared" ca="1" si="30"/>
        <v>BBB</v>
      </c>
      <c r="Z261" s="136" t="str">
        <f t="shared" ca="1" si="31"/>
        <v>BBB+</v>
      </c>
      <c r="AA261" s="134">
        <f ca="1">IFERROR(VLOOKUP(X261,'credit rating'!A:C,3,FALSE),0)</f>
        <v>14</v>
      </c>
      <c r="AB261" s="134">
        <f ca="1">IFERROR(VLOOKUP(Y261,'credit rating'!B:C,2,FALSE),0)</f>
        <v>13</v>
      </c>
      <c r="AC261" s="136">
        <f ca="1">IFERROR(VLOOKUP(Z261,'credit rating'!B:C,2,FALSE),0)</f>
        <v>14</v>
      </c>
      <c r="AD261" s="136">
        <f t="shared" ca="1" si="32"/>
        <v>14</v>
      </c>
      <c r="AE261" s="249">
        <f ca="1">IFERROR(VLOOKUP(B261,bond!B:U,20,FALSE),"")</f>
        <v>6.0600000000000001E-2</v>
      </c>
      <c r="AF261" s="136" t="str">
        <f ca="1">IF(VLOOKUP(B261,bond!B:AK,36,FALSE)="#N/A Field Not Applicable","",VLOOKUP(B261,bond!B:AK,36,FALSE))</f>
        <v>2052/11/23</v>
      </c>
      <c r="AG261" s="136" t="str">
        <f ca="1">IF(VLOOKUP(B261,bond!B:AL,37,FALSE)="FIXED","固定",IF(VLOOKUP(B261,bond!B:AL,37,FALSE)="FLOATING","浮動",IF(VLOOKUP(B261,bond!B:AL,37,FALSE)="VARIABLE","變動",IF(VLOOKUP(B261,bond!B:AL,37,FALSE)="FLAT TRADING","不含息交易",IF(VLOOKUP(B261,bond!B:AL,37,FALSE)="ZERO COUPON","零息",VLOOKUP(B261,bond!B:AL,37,FALSE))))))</f>
        <v>固定</v>
      </c>
      <c r="AH261" s="136" t="str">
        <f>VLOOKUP(C261,'2_Check_code'!I:J,2,FALSE)</f>
        <v>美元(USD)</v>
      </c>
      <c r="AI261" s="136" t="str">
        <f t="shared" ca="1" si="33"/>
        <v>自由選清單</v>
      </c>
      <c r="AJ261" s="136">
        <f t="shared" ca="1" si="34"/>
        <v>0</v>
      </c>
      <c r="AK261" s="594" t="str">
        <f ca="1">IF(VLOOKUP(B261,bond!B:S,18,FALSE)="是","有",IF(VLOOKUP(B261,bond!B:S,18,FALSE)="NO OFFER","無","需查詢"))</f>
        <v>有</v>
      </c>
      <c r="AL261" s="136" t="str">
        <f>IF(VLOOKUP(A261,bond!F:AR,39,FALSE)="#N/A Field Not Applicable",VLOOKUP(A261,bond!F:AR,38,FALSE),IFERROR(VLOOKUP(A261,'7_發行日例外'!A:B,2,FALSE),VLOOKUP(A261,bond!F:AR,39,FALSE)))</f>
        <v>2023/5/23</v>
      </c>
      <c r="AM261" s="136" t="str">
        <f ca="1">VLOOKUP(B261,bond!B:AK,36,FALSE)</f>
        <v>2052/11/23</v>
      </c>
      <c r="AN261" s="136" t="str">
        <f ca="1">IFERROR(VLOOKUP(B261,'3_是否下架'!A:A,1,FALSE),"")</f>
        <v/>
      </c>
      <c r="AO261" s="136">
        <f ca="1">VLOOKUP(B261,bond!B:J,9,FALSE)</f>
        <v>107.81</v>
      </c>
      <c r="AP261" s="136">
        <f ca="1">VLOOKUP(B261,bond!B:V,21,FALSE)</f>
        <v>12.886699999999999</v>
      </c>
    </row>
    <row r="262" spans="1:42">
      <c r="A262" s="141" t="str">
        <f>bond!F263</f>
        <v>US91087BAX82</v>
      </c>
      <c r="B262" s="151" t="str">
        <f ca="1">IF($C$1=TRUE,bond!B263,"")</f>
        <v>XH600</v>
      </c>
      <c r="C262" s="95" t="str">
        <f>VLOOKUP(A262,bond!F:G,2,FALSE)</f>
        <v>USD</v>
      </c>
      <c r="D262" s="142" t="str">
        <f ca="1">VLOOKUP(B262,bond!B:C,2,FALSE)</f>
        <v>墨西哥政府美元配息債券 6.338% 2053/5/4</v>
      </c>
      <c r="E262" s="95" t="str">
        <f ca="1">VLOOKUP(B262,bond!B:D,3,FALSE)</f>
        <v>Baa2 / BBB / BBB-</v>
      </c>
      <c r="F262" s="99" t="str">
        <f ca="1">VLOOKUP(B262,bond!B:AB,27,FALSE)</f>
        <v>2053/5/4</v>
      </c>
      <c r="G262" s="90">
        <f ca="1">VLOOKUP(B262,bond!B:E,4,FALSE)</f>
        <v>28.84</v>
      </c>
      <c r="H262" s="202">
        <f ca="1">VLOOKUP(B262,bond!B:Y,24,FALSE)</f>
        <v>6.3380000000000006E-2</v>
      </c>
      <c r="I262" s="95">
        <f ca="1">VLOOKUP(B262,bond!B:Z,25,FALSE)</f>
        <v>2</v>
      </c>
      <c r="J262" s="180">
        <f ca="1">VLOOKUP(B262,bond!B:K,10,FALSE)</f>
        <v>1.0210999999999999</v>
      </c>
      <c r="K262" s="96">
        <f ca="1">VLOOKUP($B262,bond!B:S,14,FALSE)</f>
        <v>99.65</v>
      </c>
      <c r="L262" s="91" t="str">
        <f ca="1">VLOOKUP(B262,bond!B:H,7,FALSE)</f>
        <v>2024/7/2</v>
      </c>
      <c r="M262" s="144">
        <f ca="1">VLOOKUP($B262,bond!$B:$Q,16,FALSE)</f>
        <v>6.4399999999999999E-2</v>
      </c>
      <c r="N262" s="136">
        <f ca="1">VALUE(LEFT(VLOOKUP(B262,bond!B:R,17,FALSE),SEARCH(" ",VLOOKUP(B262,bond!B:R,17,FALSE),1)))</f>
        <v>200000</v>
      </c>
      <c r="O262" s="136">
        <f ca="1">VALUE(RIGHT(VLOOKUP(B262,bond!B:R,17,FALSE),LEN(VLOOKUP(B262,bond!B:R,17,FALSE))-LEN(N262)-3))</f>
        <v>1000</v>
      </c>
      <c r="P262" s="135" t="str">
        <f ca="1">VLOOKUP($B262,bond!$B:$AG,32,FALSE)</f>
        <v>2024/11/4</v>
      </c>
      <c r="Q262" s="135" t="str">
        <f ca="1">VLOOKUP($B262,bond!$B:$AH,33,FALSE)</f>
        <v>政府</v>
      </c>
      <c r="R262" s="135" t="str">
        <f ca="1">VLOOKUP(B262,bond!B:AA,26,FALSE)</f>
        <v>墨西哥政府國際債券</v>
      </c>
      <c r="S262" s="135" t="str">
        <f ca="1">VLOOKUP(B262,bond!B:AI,34,FALSE)</f>
        <v>MEX</v>
      </c>
      <c r="T262" s="135" t="str">
        <f t="shared" ca="1" si="28"/>
        <v>墨西哥政府國際債券/MEX</v>
      </c>
      <c r="U262" s="207" t="str">
        <f ca="1">IFERROR(VLOOKUP(T262,Bond_DES!D:E,2,FALSE),VLOOKUP(S262,bond!AI:AJ,2,FALSE))</f>
        <v>墨西哥合眾國(United Mexican States)通稱墨西哥，是世界第10大人口國家(人口約1.3億)，世界銀行將其歸為中高收入國家。墨西哥為世界第12大經濟體(IMF 2023)，GDP規模居拉美第二(僅次於巴西)，該國經濟與其美墨加協定(USMCA)貿易夥伴緊密相關，且自2021年起成為美國最大的貿易夥伴(按總貿易額)。</v>
      </c>
      <c r="V262" s="136" t="str">
        <f ca="1">IFERROR(VLOOKUP(B262,'1_重設數據'!L:M,2,FALSE),IF(Q262="政府",IF(AD262&gt;16,"(NPI)非專投",IF(AD262&gt;10,"(PI)專投","高資產")),IF(VLOOKUP(B262,bond!B:AN,39,FALSE)="Y","(PI)專投",IF(AD262&gt;=15,"(NPI)非專投",IF(AD262&gt;=10,"(PI)專投","高資產")))))</f>
        <v>(PI)專投</v>
      </c>
      <c r="W262" s="136" t="str">
        <f ca="1">VLOOKUP(AD262,'credit rating'!$F$2:$H$22,3,FALSE)</f>
        <v>BBB</v>
      </c>
      <c r="X262" s="136" t="str">
        <f t="shared" ca="1" si="29"/>
        <v>Baa2</v>
      </c>
      <c r="Y262" s="136" t="str">
        <f t="shared" ca="1" si="30"/>
        <v>BBB</v>
      </c>
      <c r="Z262" s="136" t="str">
        <f t="shared" ca="1" si="31"/>
        <v>BBB-</v>
      </c>
      <c r="AA262" s="134">
        <f ca="1">IFERROR(VLOOKUP(X262,'credit rating'!A:C,3,FALSE),0)</f>
        <v>13</v>
      </c>
      <c r="AB262" s="134">
        <f ca="1">IFERROR(VLOOKUP(Y262,'credit rating'!B:C,2,FALSE),0)</f>
        <v>13</v>
      </c>
      <c r="AC262" s="136">
        <f ca="1">IFERROR(VLOOKUP(Z262,'credit rating'!B:C,2,FALSE),0)</f>
        <v>12</v>
      </c>
      <c r="AD262" s="136">
        <f t="shared" ca="1" si="32"/>
        <v>13</v>
      </c>
      <c r="AE262" s="249">
        <f ca="1">IFERROR(VLOOKUP(B262,bond!B:U,20,FALSE),"")</f>
        <v>6.4399999999999999E-2</v>
      </c>
      <c r="AF262" s="136" t="str">
        <f ca="1">IF(VLOOKUP(B262,bond!B:AK,36,FALSE)="#N/A Field Not Applicable","",VLOOKUP(B262,bond!B:AK,36,FALSE))</f>
        <v>2052/11/4</v>
      </c>
      <c r="AG262" s="136" t="str">
        <f ca="1">IF(VLOOKUP(B262,bond!B:AL,37,FALSE)="FIXED","固定",IF(VLOOKUP(B262,bond!B:AL,37,FALSE)="FLOATING","浮動",IF(VLOOKUP(B262,bond!B:AL,37,FALSE)="VARIABLE","變動",IF(VLOOKUP(B262,bond!B:AL,37,FALSE)="FLAT TRADING","不含息交易",IF(VLOOKUP(B262,bond!B:AL,37,FALSE)="ZERO COUPON","零息",VLOOKUP(B262,bond!B:AL,37,FALSE))))))</f>
        <v>固定</v>
      </c>
      <c r="AH262" s="136" t="str">
        <f>VLOOKUP(C262,'2_Check_code'!I:J,2,FALSE)</f>
        <v>美元(USD)</v>
      </c>
      <c r="AI262" s="136" t="str">
        <f t="shared" ca="1" si="33"/>
        <v>自由選清單</v>
      </c>
      <c r="AJ262" s="136">
        <f t="shared" ca="1" si="34"/>
        <v>0</v>
      </c>
      <c r="AK262" s="594" t="str">
        <f ca="1">IF(VLOOKUP(B262,bond!B:S,18,FALSE)="是","有",IF(VLOOKUP(B262,bond!B:S,18,FALSE)="NO OFFER","無","需查詢"))</f>
        <v>有</v>
      </c>
      <c r="AL262" s="136" t="str">
        <f>IF(VLOOKUP(A262,bond!F:AR,39,FALSE)="#N/A Field Not Applicable",VLOOKUP(A262,bond!F:AR,38,FALSE),IFERROR(VLOOKUP(A262,'7_發行日例外'!A:B,2,FALSE),VLOOKUP(A262,bond!F:AR,39,FALSE)))</f>
        <v>2023/4/28</v>
      </c>
      <c r="AM262" s="136" t="str">
        <f ca="1">VLOOKUP(B262,bond!B:AK,36,FALSE)</f>
        <v>2052/11/4</v>
      </c>
      <c r="AN262" s="136" t="str">
        <f ca="1">IFERROR(VLOOKUP(B262,'3_是否下架'!A:A,1,FALSE),"")</f>
        <v/>
      </c>
      <c r="AO262" s="136">
        <f ca="1">VLOOKUP(B262,bond!B:J,9,FALSE)</f>
        <v>95.13000000000001</v>
      </c>
      <c r="AP262" s="136">
        <f ca="1">VLOOKUP(B262,bond!B:V,21,FALSE)</f>
        <v>12.755800000000001</v>
      </c>
    </row>
    <row r="263" spans="1:42">
      <c r="A263" s="141" t="str">
        <f>bond!F264</f>
        <v>US46625HHV50</v>
      </c>
      <c r="B263" s="151" t="str">
        <f ca="1">IF($C$1=TRUE,bond!B264,"")</f>
        <v>XH610</v>
      </c>
      <c r="C263" s="95" t="str">
        <f>VLOOKUP(A263,bond!F:G,2,FALSE)</f>
        <v>USD</v>
      </c>
      <c r="D263" s="142" t="str">
        <f ca="1">VLOOKUP(B263,bond!B:C,2,FALSE)</f>
        <v>摩根大通銀行美元配息債券 5.5% 2040/10/15</v>
      </c>
      <c r="E263" s="95" t="str">
        <f ca="1">VLOOKUP(B263,bond!B:D,3,FALSE)</f>
        <v>A1 / A- / AA-</v>
      </c>
      <c r="F263" s="99" t="str">
        <f ca="1">VLOOKUP(B263,bond!B:AB,27,FALSE)</f>
        <v>2040/10/15</v>
      </c>
      <c r="G263" s="90">
        <f ca="1">VLOOKUP(B263,bond!B:E,4,FALSE)</f>
        <v>16.29</v>
      </c>
      <c r="H263" s="202">
        <f ca="1">VLOOKUP(B263,bond!B:Y,24,FALSE)</f>
        <v>5.5E-2</v>
      </c>
      <c r="I263" s="95">
        <f ca="1">VLOOKUP(B263,bond!B:Z,25,FALSE)</f>
        <v>2</v>
      </c>
      <c r="J263" s="180">
        <f ca="1">VLOOKUP(B263,bond!B:K,10,FALSE)</f>
        <v>1.1763999999999999</v>
      </c>
      <c r="K263" s="96">
        <f ca="1">VLOOKUP($B263,bond!B:S,14,FALSE)</f>
        <v>104.98</v>
      </c>
      <c r="L263" s="91" t="str">
        <f ca="1">VLOOKUP(B263,bond!B:H,7,FALSE)</f>
        <v>2024/7/2</v>
      </c>
      <c r="M263" s="144">
        <f ca="1">VLOOKUP($B263,bond!$B:$Q,16,FALSE)</f>
        <v>5.1499999999999997E-2</v>
      </c>
      <c r="N263" s="136">
        <f ca="1">VALUE(LEFT(VLOOKUP(B263,bond!B:R,17,FALSE),SEARCH(" ",VLOOKUP(B263,bond!B:R,17,FALSE),1)))</f>
        <v>10000</v>
      </c>
      <c r="O263" s="136">
        <f ca="1">VALUE(RIGHT(VLOOKUP(B263,bond!B:R,17,FALSE),LEN(VLOOKUP(B263,bond!B:R,17,FALSE))-LEN(N263)-3))</f>
        <v>1000</v>
      </c>
      <c r="P263" s="135" t="str">
        <f ca="1">VLOOKUP($B263,bond!$B:$AG,32,FALSE)</f>
        <v>2024/10/15</v>
      </c>
      <c r="Q263" s="135" t="str">
        <f ca="1">VLOOKUP($B263,bond!$B:$AH,33,FALSE)</f>
        <v>金融</v>
      </c>
      <c r="R263" s="135" t="str">
        <f ca="1">VLOOKUP(B263,bond!B:AA,26,FALSE)</f>
        <v>摩根大通銀行</v>
      </c>
      <c r="S263" s="135" t="str">
        <f ca="1">VLOOKUP(B263,bond!B:AI,34,FALSE)</f>
        <v>JPM</v>
      </c>
      <c r="T263" s="135" t="str">
        <f t="shared" ca="1" si="28"/>
        <v>摩根大通銀行/JPM</v>
      </c>
      <c r="U263" s="207" t="str">
        <f ca="1">IFERROR(VLOOKUP(T263,Bond_DES!D:E,2,FALSE),VLOOKUP(S263,bond!AI:AJ,2,FALSE))</f>
        <v>摩根大通銀行 (JPMorgan Chase &amp; Co.)成立歷史悠久逾200年，是全球系統重要性銀行(G-SIBs)之一，按一級資本排名位居全球第5大行、美國第1大行地位，財富500大企業有超過80%為其客戶，且為美國最大的信用卡及聯合發卡銀行。</v>
      </c>
      <c r="V263" s="136" t="str">
        <f ca="1">IFERROR(VLOOKUP(B263,'1_重設數據'!L:M,2,FALSE),IF(Q263="政府",IF(AD263&gt;16,"(NPI)非專投",IF(AD263&gt;10,"(PI)專投","高資產")),IF(VLOOKUP(B263,bond!B:AN,39,FALSE)="Y","(PI)專投",IF(AD263&gt;=15,"(NPI)非專投",IF(AD263&gt;=10,"(PI)專投","高資產")))))</f>
        <v>(PI)專投</v>
      </c>
      <c r="W263" s="136" t="str">
        <f ca="1">VLOOKUP(AD263,'credit rating'!$F$2:$H$22,3,FALSE)</f>
        <v>AA-</v>
      </c>
      <c r="X263" s="136" t="str">
        <f t="shared" ca="1" si="29"/>
        <v>A1</v>
      </c>
      <c r="Y263" s="136" t="str">
        <f t="shared" ca="1" si="30"/>
        <v>A-</v>
      </c>
      <c r="Z263" s="136" t="str">
        <f t="shared" ca="1" si="31"/>
        <v>AA-</v>
      </c>
      <c r="AA263" s="134">
        <f ca="1">IFERROR(VLOOKUP(X263,'credit rating'!A:C,3,FALSE),0)</f>
        <v>17</v>
      </c>
      <c r="AB263" s="134">
        <f ca="1">IFERROR(VLOOKUP(Y263,'credit rating'!B:C,2,FALSE),0)</f>
        <v>15</v>
      </c>
      <c r="AC263" s="136">
        <f ca="1">IFERROR(VLOOKUP(Z263,'credit rating'!B:C,2,FALSE),0)</f>
        <v>18</v>
      </c>
      <c r="AD263" s="136">
        <f t="shared" ca="1" si="32"/>
        <v>18</v>
      </c>
      <c r="AE263" s="249" t="str">
        <f ca="1">IFERROR(VLOOKUP(B263,bond!B:U,20,FALSE),"")</f>
        <v xml:space="preserve"> </v>
      </c>
      <c r="AF263" s="136" t="str">
        <f ca="1">IF(VLOOKUP(B263,bond!B:AK,36,FALSE)="#N/A Field Not Applicable","",VLOOKUP(B263,bond!B:AK,36,FALSE))</f>
        <v/>
      </c>
      <c r="AG263" s="136" t="str">
        <f ca="1">IF(VLOOKUP(B263,bond!B:AL,37,FALSE)="FIXED","固定",IF(VLOOKUP(B263,bond!B:AL,37,FALSE)="FLOATING","浮動",IF(VLOOKUP(B263,bond!B:AL,37,FALSE)="VARIABLE","變動",IF(VLOOKUP(B263,bond!B:AL,37,FALSE)="FLAT TRADING","不含息交易",IF(VLOOKUP(B263,bond!B:AL,37,FALSE)="ZERO COUPON","零息",VLOOKUP(B263,bond!B:AL,37,FALSE))))))</f>
        <v>固定</v>
      </c>
      <c r="AH263" s="136" t="str">
        <f>VLOOKUP(C263,'2_Check_code'!I:J,2,FALSE)</f>
        <v>美元(USD)</v>
      </c>
      <c r="AI263" s="136" t="str">
        <f t="shared" ca="1" si="33"/>
        <v>自由選清單</v>
      </c>
      <c r="AJ263" s="136">
        <f t="shared" ca="1" si="34"/>
        <v>0</v>
      </c>
      <c r="AK263" s="594" t="str">
        <f ca="1">IF(VLOOKUP(B263,bond!B:S,18,FALSE)="是","有",IF(VLOOKUP(B263,bond!B:S,18,FALSE)="NO OFFER","無","需查詢"))</f>
        <v>有</v>
      </c>
      <c r="AL263" s="136" t="str">
        <f>IF(VLOOKUP(A263,bond!F:AR,39,FALSE)="#N/A Field Not Applicable",VLOOKUP(A263,bond!F:AR,38,FALSE),IFERROR(VLOOKUP(A263,'7_發行日例外'!A:B,2,FALSE),VLOOKUP(A263,bond!F:AR,39,FALSE)))</f>
        <v>2010/10/21</v>
      </c>
      <c r="AM263" s="136" t="str">
        <f ca="1">VLOOKUP(B263,bond!B:AK,36,FALSE)</f>
        <v>#N/A Field Not Applicable</v>
      </c>
      <c r="AN263" s="136" t="str">
        <f ca="1">IFERROR(VLOOKUP(B263,'3_是否下架'!A:A,1,FALSE),"")</f>
        <v/>
      </c>
      <c r="AO263" s="136">
        <f ca="1">VLOOKUP(B263,bond!B:J,9,FALSE)</f>
        <v>101.30000000000001</v>
      </c>
      <c r="AP263" s="136">
        <f ca="1">VLOOKUP(B263,bond!B:V,21,FALSE)</f>
        <v>10.6053</v>
      </c>
    </row>
    <row r="264" spans="1:42">
      <c r="A264" s="141" t="str">
        <f>bond!F265</f>
        <v>US46625HJU59</v>
      </c>
      <c r="B264" s="151" t="str">
        <f ca="1">IF($C$1=TRUE,bond!B265,"")</f>
        <v>XH620</v>
      </c>
      <c r="C264" s="95" t="str">
        <f>VLOOKUP(A264,bond!F:G,2,FALSE)</f>
        <v>USD</v>
      </c>
      <c r="D264" s="142" t="str">
        <f ca="1">VLOOKUP(B264,bond!B:C,2,FALSE)</f>
        <v>摩根大通銀行美元配息債券 4.85% 2044/2/1</v>
      </c>
      <c r="E264" s="95" t="str">
        <f ca="1">VLOOKUP(B264,bond!B:D,3,FALSE)</f>
        <v>A1 / A- / AA-</v>
      </c>
      <c r="F264" s="99" t="str">
        <f ca="1">VLOOKUP(B264,bond!B:AB,27,FALSE)</f>
        <v>2044/2/1</v>
      </c>
      <c r="G264" s="90">
        <f ca="1">VLOOKUP(B264,bond!B:E,4,FALSE)</f>
        <v>19.579999999999998</v>
      </c>
      <c r="H264" s="202">
        <f ca="1">VLOOKUP(B264,bond!B:Y,24,FALSE)</f>
        <v>4.8499999999999995E-2</v>
      </c>
      <c r="I264" s="95">
        <f ca="1">VLOOKUP(B264,bond!B:Z,25,FALSE)</f>
        <v>2</v>
      </c>
      <c r="J264" s="180">
        <f ca="1">VLOOKUP(B264,bond!B:K,10,FALSE)</f>
        <v>2.0343</v>
      </c>
      <c r="K264" s="96">
        <f ca="1">VLOOKUP($B264,bond!B:S,14,FALSE)</f>
        <v>99.01</v>
      </c>
      <c r="L264" s="91" t="str">
        <f ca="1">VLOOKUP(B264,bond!B:H,7,FALSE)</f>
        <v>2024/7/2</v>
      </c>
      <c r="M264" s="144">
        <f ca="1">VLOOKUP($B264,bond!$B:$Q,16,FALSE)</f>
        <v>5.0999999999999997E-2</v>
      </c>
      <c r="N264" s="136">
        <f ca="1">VALUE(LEFT(VLOOKUP(B264,bond!B:R,17,FALSE),SEARCH(" ",VLOOKUP(B264,bond!B:R,17,FALSE),1)))</f>
        <v>10000</v>
      </c>
      <c r="O264" s="136">
        <f ca="1">VALUE(RIGHT(VLOOKUP(B264,bond!B:R,17,FALSE),LEN(VLOOKUP(B264,bond!B:R,17,FALSE))-LEN(N264)-3))</f>
        <v>1000</v>
      </c>
      <c r="P264" s="135" t="str">
        <f ca="1">VLOOKUP($B264,bond!$B:$AG,32,FALSE)</f>
        <v>2024/8/1</v>
      </c>
      <c r="Q264" s="135" t="str">
        <f ca="1">VLOOKUP($B264,bond!$B:$AH,33,FALSE)</f>
        <v>金融</v>
      </c>
      <c r="R264" s="135" t="str">
        <f ca="1">VLOOKUP(B264,bond!B:AA,26,FALSE)</f>
        <v>摩根大通銀行</v>
      </c>
      <c r="S264" s="135" t="str">
        <f ca="1">VLOOKUP(B264,bond!B:AI,34,FALSE)</f>
        <v>JPM</v>
      </c>
      <c r="T264" s="135" t="str">
        <f t="shared" ca="1" si="28"/>
        <v>摩根大通銀行/JPM</v>
      </c>
      <c r="U264" s="207" t="str">
        <f ca="1">IFERROR(VLOOKUP(T264,Bond_DES!D:E,2,FALSE),VLOOKUP(S264,bond!AI:AJ,2,FALSE))</f>
        <v>摩根大通銀行 (JPMorgan Chase &amp; Co.)成立歷史悠久逾200年，是全球系統重要性銀行(G-SIBs)之一，按一級資本排名位居全球第5大行、美國第1大行地位，財富500大企業有超過80%為其客戶，且為美國最大的信用卡及聯合發卡銀行。</v>
      </c>
      <c r="V264" s="136" t="str">
        <f ca="1">IFERROR(VLOOKUP(B264,'1_重設數據'!L:M,2,FALSE),IF(Q264="政府",IF(AD264&gt;16,"(NPI)非專投",IF(AD264&gt;10,"(PI)專投","高資產")),IF(VLOOKUP(B264,bond!B:AN,39,FALSE)="Y","(PI)專投",IF(AD264&gt;=15,"(NPI)非專投",IF(AD264&gt;=10,"(PI)專投","高資產")))))</f>
        <v>(PI)專投</v>
      </c>
      <c r="W264" s="136" t="str">
        <f ca="1">VLOOKUP(AD264,'credit rating'!$F$2:$H$22,3,FALSE)</f>
        <v>AA-</v>
      </c>
      <c r="X264" s="136" t="str">
        <f t="shared" ca="1" si="29"/>
        <v>A1</v>
      </c>
      <c r="Y264" s="136" t="str">
        <f t="shared" ca="1" si="30"/>
        <v>A-</v>
      </c>
      <c r="Z264" s="136" t="str">
        <f t="shared" ca="1" si="31"/>
        <v>AA-</v>
      </c>
      <c r="AA264" s="134">
        <f ca="1">IFERROR(VLOOKUP(X264,'credit rating'!A:C,3,FALSE),0)</f>
        <v>17</v>
      </c>
      <c r="AB264" s="134">
        <f ca="1">IFERROR(VLOOKUP(Y264,'credit rating'!B:C,2,FALSE),0)</f>
        <v>15</v>
      </c>
      <c r="AC264" s="136">
        <f ca="1">IFERROR(VLOOKUP(Z264,'credit rating'!B:C,2,FALSE),0)</f>
        <v>18</v>
      </c>
      <c r="AD264" s="136">
        <f t="shared" ca="1" si="32"/>
        <v>18</v>
      </c>
      <c r="AE264" s="249" t="str">
        <f ca="1">IFERROR(VLOOKUP(B264,bond!B:U,20,FALSE),"")</f>
        <v xml:space="preserve"> </v>
      </c>
      <c r="AF264" s="136" t="str">
        <f ca="1">IF(VLOOKUP(B264,bond!B:AK,36,FALSE)="#N/A Field Not Applicable","",VLOOKUP(B264,bond!B:AK,36,FALSE))</f>
        <v/>
      </c>
      <c r="AG264" s="136" t="str">
        <f ca="1">IF(VLOOKUP(B264,bond!B:AL,37,FALSE)="FIXED","固定",IF(VLOOKUP(B264,bond!B:AL,37,FALSE)="FLOATING","浮動",IF(VLOOKUP(B264,bond!B:AL,37,FALSE)="VARIABLE","變動",IF(VLOOKUP(B264,bond!B:AL,37,FALSE)="FLAT TRADING","不含息交易",IF(VLOOKUP(B264,bond!B:AL,37,FALSE)="ZERO COUPON","零息",VLOOKUP(B264,bond!B:AL,37,FALSE))))))</f>
        <v>固定</v>
      </c>
      <c r="AH264" s="136" t="str">
        <f>VLOOKUP(C264,'2_Check_code'!I:J,2,FALSE)</f>
        <v>美元(USD)</v>
      </c>
      <c r="AI264" s="136" t="str">
        <f t="shared" ca="1" si="33"/>
        <v>自由選清單</v>
      </c>
      <c r="AJ264" s="136">
        <f t="shared" ca="1" si="34"/>
        <v>0</v>
      </c>
      <c r="AK264" s="594" t="str">
        <f ca="1">IF(VLOOKUP(B264,bond!B:S,18,FALSE)="是","有",IF(VLOOKUP(B264,bond!B:S,18,FALSE)="NO OFFER","無","需查詢"))</f>
        <v>有</v>
      </c>
      <c r="AL264" s="136" t="str">
        <f>IF(VLOOKUP(A264,bond!F:AR,39,FALSE)="#N/A Field Not Applicable",VLOOKUP(A264,bond!F:AR,38,FALSE),IFERROR(VLOOKUP(A264,'7_發行日例外'!A:B,2,FALSE),VLOOKUP(A264,bond!F:AR,39,FALSE)))</f>
        <v>2014/1/28</v>
      </c>
      <c r="AM264" s="136" t="str">
        <f ca="1">VLOOKUP(B264,bond!B:AK,36,FALSE)</f>
        <v>#N/A Field Not Applicable</v>
      </c>
      <c r="AN264" s="136" t="str">
        <f ca="1">IFERROR(VLOOKUP(B264,'3_是否下架'!A:A,1,FALSE),"")</f>
        <v/>
      </c>
      <c r="AO264" s="136">
        <f ca="1">VLOOKUP(B264,bond!B:J,9,FALSE)</f>
        <v>93.98</v>
      </c>
      <c r="AP264" s="136">
        <f ca="1">VLOOKUP(B264,bond!B:V,21,FALSE)</f>
        <v>12.064</v>
      </c>
    </row>
    <row r="265" spans="1:42">
      <c r="A265" s="141" t="str">
        <f>bond!F266</f>
        <v>US172967EW71</v>
      </c>
      <c r="B265" s="151" t="str">
        <f ca="1">IF($C$1=TRUE,bond!B266,"")</f>
        <v>XH630</v>
      </c>
      <c r="C265" s="95" t="str">
        <f>VLOOKUP(A265,bond!F:G,2,FALSE)</f>
        <v>USD</v>
      </c>
      <c r="D265" s="142" t="str">
        <f ca="1">VLOOKUP(B265,bond!B:C,2,FALSE)</f>
        <v>花旗集團美元配息債券 8.125% 2039/7/15</v>
      </c>
      <c r="E265" s="95" t="str">
        <f ca="1">VLOOKUP(B265,bond!B:D,3,FALSE)</f>
        <v>A3 / BBB+ / A</v>
      </c>
      <c r="F265" s="99" t="str">
        <f ca="1">VLOOKUP(B265,bond!B:AB,27,FALSE)</f>
        <v>2039/7/15</v>
      </c>
      <c r="G265" s="90">
        <f ca="1">VLOOKUP(B265,bond!B:E,4,FALSE)</f>
        <v>15.03</v>
      </c>
      <c r="H265" s="202">
        <f ca="1">VLOOKUP(B265,bond!B:Y,24,FALSE)</f>
        <v>8.1250000000000003E-2</v>
      </c>
      <c r="I265" s="95">
        <f ca="1">VLOOKUP(B265,bond!B:Z,25,FALSE)</f>
        <v>2</v>
      </c>
      <c r="J265" s="180">
        <f ca="1">VLOOKUP(B265,bond!B:K,10,FALSE)</f>
        <v>3.7690999999999999</v>
      </c>
      <c r="K265" s="96">
        <f ca="1">VLOOKUP($B265,bond!B:S,14,FALSE)</f>
        <v>131.37</v>
      </c>
      <c r="L265" s="91" t="str">
        <f ca="1">VLOOKUP(B265,bond!B:H,7,FALSE)</f>
        <v>2024/7/2</v>
      </c>
      <c r="M265" s="144">
        <f ca="1">VLOOKUP($B265,bond!$B:$Q,16,FALSE)</f>
        <v>5.4199999999999998E-2</v>
      </c>
      <c r="N265" s="136">
        <f ca="1">VALUE(LEFT(VLOOKUP(B265,bond!B:R,17,FALSE),SEARCH(" ",VLOOKUP(B265,bond!B:R,17,FALSE),1)))</f>
        <v>10000</v>
      </c>
      <c r="O265" s="136">
        <f ca="1">VALUE(RIGHT(VLOOKUP(B265,bond!B:R,17,FALSE),LEN(VLOOKUP(B265,bond!B:R,17,FALSE))-LEN(N265)-3))</f>
        <v>1000</v>
      </c>
      <c r="P265" s="135" t="str">
        <f ca="1">VLOOKUP($B265,bond!$B:$AG,32,FALSE)</f>
        <v>2024/7/15</v>
      </c>
      <c r="Q265" s="135" t="str">
        <f ca="1">VLOOKUP($B265,bond!$B:$AH,33,FALSE)</f>
        <v>金融</v>
      </c>
      <c r="R265" s="135" t="str">
        <f ca="1">VLOOKUP(B265,bond!B:AA,26,FALSE)</f>
        <v>花旗集團</v>
      </c>
      <c r="S265" s="135" t="str">
        <f ca="1">VLOOKUP(B265,bond!B:AI,34,FALSE)</f>
        <v>C</v>
      </c>
      <c r="T265" s="135" t="str">
        <f t="shared" ca="1" si="28"/>
        <v>花旗集團/C</v>
      </c>
      <c r="U265" s="207" t="str">
        <f ca="1">IFERROR(VLOOKUP(T265,Bond_DES!D:E,2,FALSE),VLOOKUP(S265,bond!AI:AJ,2,FALSE))</f>
        <v>花旗集團(Citigroup Inc.)是一家全球性多元化金融服務控股公司，按一級資本為全球第7大、美國第3大行(The Banker 2023)，營收、品牌、資本水準高居美國前五大行。</v>
      </c>
      <c r="V265" s="136" t="str">
        <f ca="1">IFERROR(VLOOKUP(B265,'1_重設數據'!L:M,2,FALSE),IF(Q265="政府",IF(AD265&gt;16,"(NPI)非專投",IF(AD265&gt;10,"(PI)專投","高資產")),IF(VLOOKUP(B265,bond!B:AN,39,FALSE)="Y","(PI)專投",IF(AD265&gt;=15,"(NPI)非專投",IF(AD265&gt;=10,"(PI)專投","高資產")))))</f>
        <v>(PI)專投</v>
      </c>
      <c r="W265" s="136" t="str">
        <f ca="1">VLOOKUP(AD265,'credit rating'!$F$2:$H$22,3,FALSE)</f>
        <v>A</v>
      </c>
      <c r="X265" s="136" t="str">
        <f t="shared" ca="1" si="29"/>
        <v>A3</v>
      </c>
      <c r="Y265" s="136" t="str">
        <f t="shared" ca="1" si="30"/>
        <v>BBB+</v>
      </c>
      <c r="Z265" s="136" t="str">
        <f t="shared" ca="1" si="31"/>
        <v>A</v>
      </c>
      <c r="AA265" s="134">
        <f ca="1">IFERROR(VLOOKUP(X265,'credit rating'!A:C,3,FALSE),0)</f>
        <v>15</v>
      </c>
      <c r="AB265" s="134">
        <f ca="1">IFERROR(VLOOKUP(Y265,'credit rating'!B:C,2,FALSE),0)</f>
        <v>14</v>
      </c>
      <c r="AC265" s="136">
        <f ca="1">IFERROR(VLOOKUP(Z265,'credit rating'!B:C,2,FALSE),0)</f>
        <v>16</v>
      </c>
      <c r="AD265" s="136">
        <f t="shared" ca="1" si="32"/>
        <v>16</v>
      </c>
      <c r="AE265" s="249" t="str">
        <f ca="1">IFERROR(VLOOKUP(B265,bond!B:U,20,FALSE),"")</f>
        <v xml:space="preserve"> </v>
      </c>
      <c r="AF265" s="136" t="str">
        <f ca="1">IF(VLOOKUP(B265,bond!B:AK,36,FALSE)="#N/A Field Not Applicable","",VLOOKUP(B265,bond!B:AK,36,FALSE))</f>
        <v/>
      </c>
      <c r="AG265" s="136" t="str">
        <f ca="1">IF(VLOOKUP(B265,bond!B:AL,37,FALSE)="FIXED","固定",IF(VLOOKUP(B265,bond!B:AL,37,FALSE)="FLOATING","浮動",IF(VLOOKUP(B265,bond!B:AL,37,FALSE)="VARIABLE","變動",IF(VLOOKUP(B265,bond!B:AL,37,FALSE)="FLAT TRADING","不含息交易",IF(VLOOKUP(B265,bond!B:AL,37,FALSE)="ZERO COUPON","零息",VLOOKUP(B265,bond!B:AL,37,FALSE))))))</f>
        <v>固定</v>
      </c>
      <c r="AH265" s="136" t="str">
        <f>VLOOKUP(C265,'2_Check_code'!I:J,2,FALSE)</f>
        <v>美元(USD)</v>
      </c>
      <c r="AI265" s="136" t="str">
        <f t="shared" ca="1" si="33"/>
        <v>自由選清單</v>
      </c>
      <c r="AJ265" s="136">
        <f t="shared" ca="1" si="34"/>
        <v>0</v>
      </c>
      <c r="AK265" s="594" t="str">
        <f ca="1">IF(VLOOKUP(B265,bond!B:S,18,FALSE)="是","有",IF(VLOOKUP(B265,bond!B:S,18,FALSE)="NO OFFER","無","需查詢"))</f>
        <v>有</v>
      </c>
      <c r="AL265" s="136" t="str">
        <f>IF(VLOOKUP(A265,bond!F:AR,39,FALSE)="#N/A Field Not Applicable",VLOOKUP(A265,bond!F:AR,38,FALSE),IFERROR(VLOOKUP(A265,'7_發行日例外'!A:B,2,FALSE),VLOOKUP(A265,bond!F:AR,39,FALSE)))</f>
        <v>2009/7/23</v>
      </c>
      <c r="AM265" s="136" t="str">
        <f ca="1">VLOOKUP(B265,bond!B:AK,36,FALSE)</f>
        <v>#N/A Field Not Applicable</v>
      </c>
      <c r="AN265" s="136" t="str">
        <f ca="1">IFERROR(VLOOKUP(B265,'3_是否下架'!A:A,1,FALSE),"")</f>
        <v/>
      </c>
      <c r="AO265" s="136">
        <f ca="1">VLOOKUP(B265,bond!B:J,9,FALSE)</f>
        <v>125.60000000000001</v>
      </c>
      <c r="AP265" s="136">
        <f ca="1">VLOOKUP(B265,bond!B:V,21,FALSE)</f>
        <v>9.0993999999999993</v>
      </c>
    </row>
    <row r="266" spans="1:42">
      <c r="A266" s="141" t="str">
        <f>bond!F267</f>
        <v>US478160AT19</v>
      </c>
      <c r="B266" s="151" t="str">
        <f ca="1">IF($C$1=TRUE,bond!B267,"")</f>
        <v>XH640</v>
      </c>
      <c r="C266" s="95" t="str">
        <f>VLOOKUP(A266,bond!F:G,2,FALSE)</f>
        <v>USD</v>
      </c>
      <c r="D266" s="142" t="str">
        <f ca="1">VLOOKUP(B266,bond!B:C,2,FALSE)</f>
        <v>嬌生公司美元配息債券 5.85% 2038/7/15</v>
      </c>
      <c r="E266" s="95" t="str">
        <f ca="1">VLOOKUP(B266,bond!B:D,3,FALSE)</f>
        <v>Aaa / AAA / WD</v>
      </c>
      <c r="F266" s="99" t="str">
        <f ca="1">VLOOKUP(B266,bond!B:AB,27,FALSE)</f>
        <v>2038/7/15</v>
      </c>
      <c r="G266" s="90">
        <f ca="1">VLOOKUP(B266,bond!B:E,4,FALSE)</f>
        <v>14.03</v>
      </c>
      <c r="H266" s="202">
        <f ca="1">VLOOKUP(B266,bond!B:Y,24,FALSE)</f>
        <v>5.8499999999999996E-2</v>
      </c>
      <c r="I266" s="95">
        <f ca="1">VLOOKUP(B266,bond!B:Z,25,FALSE)</f>
        <v>2</v>
      </c>
      <c r="J266" s="180">
        <f ca="1">VLOOKUP(B266,bond!B:K,10,FALSE)</f>
        <v>2.7138</v>
      </c>
      <c r="K266" s="96">
        <f ca="1">VLOOKUP($B266,bond!B:S,14,FALSE)</f>
        <v>113.49</v>
      </c>
      <c r="L266" s="91" t="str">
        <f ca="1">VLOOKUP(B266,bond!B:H,7,FALSE)</f>
        <v>2024/7/2</v>
      </c>
      <c r="M266" s="144">
        <f ca="1">VLOOKUP($B266,bond!$B:$Q,16,FALSE)</f>
        <v>4.7899999999999998E-2</v>
      </c>
      <c r="N266" s="136">
        <f ca="1">VALUE(LEFT(VLOOKUP(B266,bond!B:R,17,FALSE),SEARCH(" ",VLOOKUP(B266,bond!B:R,17,FALSE),1)))</f>
        <v>10000</v>
      </c>
      <c r="O266" s="136">
        <f ca="1">VALUE(RIGHT(VLOOKUP(B266,bond!B:R,17,FALSE),LEN(VLOOKUP(B266,bond!B:R,17,FALSE))-LEN(N266)-3))</f>
        <v>1000</v>
      </c>
      <c r="P266" s="135" t="str">
        <f ca="1">VLOOKUP($B266,bond!$B:$AG,32,FALSE)</f>
        <v>2024/7/15</v>
      </c>
      <c r="Q266" s="135" t="str">
        <f ca="1">VLOOKUP($B266,bond!$B:$AH,33,FALSE)</f>
        <v>醫療保健</v>
      </c>
      <c r="R266" s="135" t="str">
        <f ca="1">VLOOKUP(B266,bond!B:AA,26,FALSE)</f>
        <v>嬌生公司</v>
      </c>
      <c r="S266" s="135" t="str">
        <f ca="1">VLOOKUP(B266,bond!B:AI,34,FALSE)</f>
        <v>JNJ</v>
      </c>
      <c r="T266" s="135" t="str">
        <f t="shared" ca="1" si="28"/>
        <v>嬌生公司/JNJ</v>
      </c>
      <c r="U266" s="207" t="str">
        <f ca="1">IFERROR(VLOOKUP(T266,Bond_DES!D:E,2,FALSE),VLOOKUP(S266,bond!AI:AJ,2,FALSE))</f>
        <v>嬌生公司(Johnson &amp; Johnson)全球市值前三大藥廠，且是全球最佳信用紀錄保持人，連續36年保持AAA評等，與微軟及蘋果並列為全球信評最佳企業；連續11年入選全球最受尊敬公司製藥行業榜單(Fortune 2024)且前10年排名第1，在基於處方藥銷售的全球製藥企業50強排行榜名列第1位(Pharm Exec 2024)。</v>
      </c>
      <c r="V266" s="136" t="str">
        <f ca="1">IFERROR(VLOOKUP(B266,'1_重設數據'!L:M,2,FALSE),IF(Q266="政府",IF(AD266&gt;16,"(NPI)非專投",IF(AD266&gt;10,"(PI)專投","高資產")),IF(VLOOKUP(B266,bond!B:AN,39,FALSE)="Y","(PI)專投",IF(AD266&gt;=15,"(NPI)非專投",IF(AD266&gt;=10,"(PI)專投","高資產")))))</f>
        <v>(NPI)非專投</v>
      </c>
      <c r="W266" s="136" t="str">
        <f ca="1">VLOOKUP(AD266,'credit rating'!$F$2:$H$22,3,FALSE)</f>
        <v>AAA</v>
      </c>
      <c r="X266" s="136" t="str">
        <f t="shared" ca="1" si="29"/>
        <v>Aaa</v>
      </c>
      <c r="Y266" s="136" t="str">
        <f t="shared" ca="1" si="30"/>
        <v>AAA</v>
      </c>
      <c r="Z266" s="136" t="str">
        <f t="shared" ca="1" si="31"/>
        <v>WD</v>
      </c>
      <c r="AA266" s="134">
        <f ca="1">IFERROR(VLOOKUP(X266,'credit rating'!A:C,3,FALSE),0)</f>
        <v>21</v>
      </c>
      <c r="AB266" s="134">
        <f ca="1">IFERROR(VLOOKUP(Y266,'credit rating'!B:C,2,FALSE),0)</f>
        <v>21</v>
      </c>
      <c r="AC266" s="136">
        <f ca="1">IFERROR(VLOOKUP(Z266,'credit rating'!B:C,2,FALSE),0)</f>
        <v>0</v>
      </c>
      <c r="AD266" s="136">
        <f t="shared" ca="1" si="32"/>
        <v>21</v>
      </c>
      <c r="AE266" s="249" t="str">
        <f ca="1">IFERROR(VLOOKUP(B266,bond!B:U,20,FALSE),"")</f>
        <v xml:space="preserve"> </v>
      </c>
      <c r="AF266" s="136" t="str">
        <f ca="1">IF(VLOOKUP(B266,bond!B:AK,36,FALSE)="#N/A Field Not Applicable","",VLOOKUP(B266,bond!B:AK,36,FALSE))</f>
        <v/>
      </c>
      <c r="AG266" s="136" t="str">
        <f ca="1">IF(VLOOKUP(B266,bond!B:AL,37,FALSE)="FIXED","固定",IF(VLOOKUP(B266,bond!B:AL,37,FALSE)="FLOATING","浮動",IF(VLOOKUP(B266,bond!B:AL,37,FALSE)="VARIABLE","變動",IF(VLOOKUP(B266,bond!B:AL,37,FALSE)="FLAT TRADING","不含息交易",IF(VLOOKUP(B266,bond!B:AL,37,FALSE)="ZERO COUPON","零息",VLOOKUP(B266,bond!B:AL,37,FALSE))))))</f>
        <v>固定</v>
      </c>
      <c r="AH266" s="136" t="str">
        <f>VLOOKUP(C266,'2_Check_code'!I:J,2,FALSE)</f>
        <v>美元(USD)</v>
      </c>
      <c r="AI266" s="136" t="str">
        <f t="shared" ca="1" si="33"/>
        <v>自由選清單</v>
      </c>
      <c r="AJ266" s="136">
        <f t="shared" ca="1" si="34"/>
        <v>0</v>
      </c>
      <c r="AK266" s="594" t="str">
        <f ca="1">IF(VLOOKUP(B266,bond!B:S,18,FALSE)="是","有",IF(VLOOKUP(B266,bond!B:S,18,FALSE)="NO OFFER","無","需查詢"))</f>
        <v>有</v>
      </c>
      <c r="AL266" s="136" t="str">
        <f>IF(VLOOKUP(A266,bond!F:AR,39,FALSE)="#N/A Field Not Applicable",VLOOKUP(A266,bond!F:AR,38,FALSE),IFERROR(VLOOKUP(A266,'7_發行日例外'!A:B,2,FALSE),VLOOKUP(A266,bond!F:AR,39,FALSE)))</f>
        <v>2008/6/23</v>
      </c>
      <c r="AM266" s="136" t="str">
        <f ca="1">VLOOKUP(B266,bond!B:AK,36,FALSE)</f>
        <v>#N/A Field Not Applicable</v>
      </c>
      <c r="AN266" s="136" t="str">
        <f ca="1">IFERROR(VLOOKUP(B266,'3_是否下架'!A:A,1,FALSE),"")</f>
        <v/>
      </c>
      <c r="AO266" s="136">
        <f ca="1">VLOOKUP(B266,bond!B:J,9,FALSE)</f>
        <v>108.78</v>
      </c>
      <c r="AP266" s="136">
        <f ca="1">VLOOKUP(B266,bond!B:V,21,FALSE)</f>
        <v>9.4859000000000009</v>
      </c>
    </row>
    <row r="267" spans="1:42">
      <c r="A267" s="141" t="str">
        <f>bond!F268</f>
        <v>US055451BF42</v>
      </c>
      <c r="B267" s="151" t="str">
        <f ca="1">IF($C$1=TRUE,bond!B268,"")</f>
        <v>XH680</v>
      </c>
      <c r="C267" s="95" t="str">
        <f>VLOOKUP(A267,bond!F:G,2,FALSE)</f>
        <v>USD</v>
      </c>
      <c r="D267" s="142" t="str">
        <f ca="1">VLOOKUP(B267,bond!B:C,2,FALSE)</f>
        <v>必和必拓金融(美國)有限公司美元配息債券 5.5% 2053/9/8</v>
      </c>
      <c r="E267" s="95" t="str">
        <f ca="1">VLOOKUP(B267,bond!B:D,3,FALSE)</f>
        <v>A1 / A- / Au</v>
      </c>
      <c r="F267" s="99" t="str">
        <f ca="1">VLOOKUP(B267,bond!B:AB,27,FALSE)</f>
        <v>2053/9/8</v>
      </c>
      <c r="G267" s="90">
        <f ca="1">VLOOKUP(B267,bond!B:E,4,FALSE)</f>
        <v>29.19</v>
      </c>
      <c r="H267" s="202">
        <f ca="1">VLOOKUP(B267,bond!B:Y,24,FALSE)</f>
        <v>5.5E-2</v>
      </c>
      <c r="I267" s="95">
        <f ca="1">VLOOKUP(B267,bond!B:Z,25,FALSE)</f>
        <v>2</v>
      </c>
      <c r="J267" s="180">
        <f ca="1">VLOOKUP(B267,bond!B:K,10,FALSE)</f>
        <v>1.7417</v>
      </c>
      <c r="K267" s="96">
        <f ca="1">VLOOKUP($B267,bond!B:S,14,FALSE)</f>
        <v>105.15</v>
      </c>
      <c r="L267" s="91" t="str">
        <f ca="1">VLOOKUP(B267,bond!B:H,7,FALSE)</f>
        <v>2024/7/2</v>
      </c>
      <c r="M267" s="144">
        <f ca="1">VLOOKUP($B267,bond!$B:$Q,16,FALSE)</f>
        <v>5.2699999999999997E-2</v>
      </c>
      <c r="N267" s="136">
        <f ca="1">VALUE(LEFT(VLOOKUP(B267,bond!B:R,17,FALSE),SEARCH(" ",VLOOKUP(B267,bond!B:R,17,FALSE),1)))</f>
        <v>10000</v>
      </c>
      <c r="O267" s="136">
        <f ca="1">VALUE(RIGHT(VLOOKUP(B267,bond!B:R,17,FALSE),LEN(VLOOKUP(B267,bond!B:R,17,FALSE))-LEN(N267)-3))</f>
        <v>1000</v>
      </c>
      <c r="P267" s="135" t="str">
        <f ca="1">VLOOKUP($B267,bond!$B:$AG,32,FALSE)</f>
        <v>2024/9/8</v>
      </c>
      <c r="Q267" s="135" t="str">
        <f ca="1">VLOOKUP($B267,bond!$B:$AH,33,FALSE)</f>
        <v>原物料</v>
      </c>
      <c r="R267" s="135" t="str">
        <f ca="1">VLOOKUP(B267,bond!B:AA,26,FALSE)</f>
        <v>必和必拓金融(美國)有限公司</v>
      </c>
      <c r="S267" s="135" t="str">
        <f ca="1">VLOOKUP(B267,bond!B:AI,34,FALSE)</f>
        <v>BHP</v>
      </c>
      <c r="T267" s="135" t="str">
        <f t="shared" ca="1" si="28"/>
        <v>必和必拓金融(美國)有限公司/BHP</v>
      </c>
      <c r="U267" s="207" t="str">
        <f ca="1">IFERROR(VLOOKUP(T267,Bond_DES!D:E,2,FALSE),VLOOKUP(S267,bond!AI:AJ,2,FALSE))</f>
        <v>必和必拓金融美國有限公司(BHP Billiton Finance USA Limited)為一家特殊目的機構，替母公司發行債券或融資，本券由必和必拓集團(BHP Group Limited)提供保證。必和必拓是全球市值最大礦業公司，在25個國家經營採礦業務，範圍包括鐵礦石、鑽石、煤炭、石油、天然氣、銅、鈾和鋁礬土等。</v>
      </c>
      <c r="V267" s="136" t="str">
        <f ca="1">IFERROR(VLOOKUP(B267,'1_重設數據'!L:M,2,FALSE),IF(Q267="政府",IF(AD267&gt;16,"(NPI)非專投",IF(AD267&gt;10,"(PI)專投","高資產")),IF(VLOOKUP(B267,bond!B:AN,39,FALSE)="Y","(PI)專投",IF(AD267&gt;=15,"(NPI)非專投",IF(AD267&gt;=10,"(PI)專投","高資產")))))</f>
        <v>(NPI)非專投</v>
      </c>
      <c r="W267" s="136" t="str">
        <f ca="1">VLOOKUP(AD267,'credit rating'!$F$2:$H$22,3,FALSE)</f>
        <v>A+</v>
      </c>
      <c r="X267" s="136" t="str">
        <f t="shared" ca="1" si="29"/>
        <v>A1</v>
      </c>
      <c r="Y267" s="136" t="str">
        <f t="shared" ca="1" si="30"/>
        <v>A-</v>
      </c>
      <c r="Z267" s="136" t="str">
        <f t="shared" ca="1" si="31"/>
        <v>Au</v>
      </c>
      <c r="AA267" s="134">
        <f ca="1">IFERROR(VLOOKUP(X267,'credit rating'!A:C,3,FALSE),0)</f>
        <v>17</v>
      </c>
      <c r="AB267" s="134">
        <f ca="1">IFERROR(VLOOKUP(Y267,'credit rating'!B:C,2,FALSE),0)</f>
        <v>15</v>
      </c>
      <c r="AC267" s="136">
        <f ca="1">IFERROR(VLOOKUP(Z267,'credit rating'!B:C,2,FALSE),0)</f>
        <v>16</v>
      </c>
      <c r="AD267" s="136">
        <f t="shared" ca="1" si="32"/>
        <v>17</v>
      </c>
      <c r="AE267" s="249">
        <f ca="1">IFERROR(VLOOKUP(B267,bond!B:U,20,FALSE),"")</f>
        <v>5.2699999999999997E-2</v>
      </c>
      <c r="AF267" s="136" t="str">
        <f ca="1">IF(VLOOKUP(B267,bond!B:AK,36,FALSE)="#N/A Field Not Applicable","",VLOOKUP(B267,bond!B:AK,36,FALSE))</f>
        <v>2053/3/8</v>
      </c>
      <c r="AG267" s="136" t="str">
        <f ca="1">IF(VLOOKUP(B267,bond!B:AL,37,FALSE)="FIXED","固定",IF(VLOOKUP(B267,bond!B:AL,37,FALSE)="FLOATING","浮動",IF(VLOOKUP(B267,bond!B:AL,37,FALSE)="VARIABLE","變動",IF(VLOOKUP(B267,bond!B:AL,37,FALSE)="FLAT TRADING","不含息交易",IF(VLOOKUP(B267,bond!B:AL,37,FALSE)="ZERO COUPON","零息",VLOOKUP(B267,bond!B:AL,37,FALSE))))))</f>
        <v>固定</v>
      </c>
      <c r="AH267" s="136" t="str">
        <f>VLOOKUP(C267,'2_Check_code'!I:J,2,FALSE)</f>
        <v>美元(USD)</v>
      </c>
      <c r="AI267" s="136" t="str">
        <f t="shared" ca="1" si="33"/>
        <v>自由選清單</v>
      </c>
      <c r="AJ267" s="136">
        <f t="shared" ca="1" si="34"/>
        <v>0</v>
      </c>
      <c r="AK267" s="594" t="str">
        <f ca="1">IF(VLOOKUP(B267,bond!B:S,18,FALSE)="是","有",IF(VLOOKUP(B267,bond!B:S,18,FALSE)="NO OFFER","無","需查詢"))</f>
        <v>有</v>
      </c>
      <c r="AL267" s="136" t="str">
        <f>IF(VLOOKUP(A267,bond!F:AR,39,FALSE)="#N/A Field Not Applicable",VLOOKUP(A267,bond!F:AR,38,FALSE),IFERROR(VLOOKUP(A267,'7_發行日例外'!A:B,2,FALSE),VLOOKUP(A267,bond!F:AR,39,FALSE)))</f>
        <v>2023/9/8</v>
      </c>
      <c r="AM267" s="136" t="str">
        <f ca="1">VLOOKUP(B267,bond!B:AK,36,FALSE)</f>
        <v>2053/3/8</v>
      </c>
      <c r="AN267" s="136" t="str">
        <f ca="1">IFERROR(VLOOKUP(B267,'3_是否下架'!A:A,1,FALSE),"")</f>
        <v/>
      </c>
      <c r="AO267" s="136">
        <f ca="1">VLOOKUP(B267,bond!B:J,9,FALSE)</f>
        <v>99.910000000000011</v>
      </c>
      <c r="AP267" s="136">
        <f ca="1">VLOOKUP(B267,bond!B:V,21,FALSE)</f>
        <v>14.174099999999999</v>
      </c>
    </row>
    <row r="268" spans="1:42">
      <c r="A268" s="141" t="str">
        <f>bond!F269</f>
        <v>US892331AR09</v>
      </c>
      <c r="B268" s="151" t="str">
        <f ca="1">IF($C$1=TRUE,bond!B269,"")</f>
        <v>XH690</v>
      </c>
      <c r="C268" s="95" t="str">
        <f>VLOOKUP(A268,bond!F:G,2,FALSE)</f>
        <v>USD</v>
      </c>
      <c r="D268" s="142" t="str">
        <f ca="1">VLOOKUP(B268,bond!B:C,2,FALSE)</f>
        <v>豐田汽車公司美元配息債券 5.123% 2033/7/13</v>
      </c>
      <c r="E268" s="95" t="str">
        <f ca="1">VLOOKUP(B268,bond!B:D,3,FALSE)</f>
        <v>A1 / A+ / -</v>
      </c>
      <c r="F268" s="99" t="str">
        <f ca="1">VLOOKUP(B268,bond!B:AB,27,FALSE)</f>
        <v>2033/7/13</v>
      </c>
      <c r="G268" s="90">
        <f ca="1">VLOOKUP(B268,bond!B:E,4,FALSE)</f>
        <v>9.0299999999999994</v>
      </c>
      <c r="H268" s="202">
        <f ca="1">VLOOKUP(B268,bond!B:Y,24,FALSE)</f>
        <v>5.1230000000000005E-2</v>
      </c>
      <c r="I268" s="95">
        <f ca="1">VLOOKUP(B268,bond!B:Z,25,FALSE)</f>
        <v>2</v>
      </c>
      <c r="J268" s="180">
        <f ca="1">VLOOKUP(B268,bond!B:K,10,FALSE)</f>
        <v>2.4049999999999998</v>
      </c>
      <c r="K268" s="96">
        <f ca="1">VLOOKUP($B268,bond!B:S,14,FALSE)</f>
        <v>109.18</v>
      </c>
      <c r="L268" s="91" t="str">
        <f ca="1">VLOOKUP(B268,bond!B:H,7,FALSE)</f>
        <v>2024/7/2</v>
      </c>
      <c r="M268" s="144">
        <f ca="1">VLOOKUP($B268,bond!$B:$Q,16,FALSE)</f>
        <v>4.2099999999999999E-2</v>
      </c>
      <c r="N268" s="136">
        <f ca="1">VALUE(LEFT(VLOOKUP(B268,bond!B:R,17,FALSE),SEARCH(" ",VLOOKUP(B268,bond!B:R,17,FALSE),1)))</f>
        <v>10000</v>
      </c>
      <c r="O268" s="136">
        <f ca="1">VALUE(RIGHT(VLOOKUP(B268,bond!B:R,17,FALSE),LEN(VLOOKUP(B268,bond!B:R,17,FALSE))-LEN(N268)-3))</f>
        <v>1000</v>
      </c>
      <c r="P268" s="135" t="str">
        <f ca="1">VLOOKUP($B268,bond!$B:$AG,32,FALSE)</f>
        <v>2024/7/13</v>
      </c>
      <c r="Q268" s="135" t="str">
        <f ca="1">VLOOKUP($B268,bond!$B:$AH,33,FALSE)</f>
        <v>非核心消費</v>
      </c>
      <c r="R268" s="135" t="str">
        <f ca="1">VLOOKUP(B268,bond!B:AA,26,FALSE)</f>
        <v>豐田汽車公司</v>
      </c>
      <c r="S268" s="135" t="str">
        <f ca="1">VLOOKUP(B268,bond!B:AI,34,FALSE)</f>
        <v>TOYOTA</v>
      </c>
      <c r="T268" s="135" t="str">
        <f t="shared" ca="1" si="28"/>
        <v>豐田汽車公司/TOYOTA</v>
      </c>
      <c r="U268" s="207" t="str">
        <f ca="1">IFERROR(VLOOKUP(T268,Bond_DES!D:E,2,FALSE),VLOOKUP(S268,bond!AI:AJ,2,FALSE))</f>
        <v>豐田汽車公司(Toyota Motor Corporation)為全球汽車製造巨頭之一，旗下擁有TOYOTA、LEXUS、Daihatsu、HINO等知名轎車及貨車品牌，亦透過旗下子公司經營融資業務。截至2023年9月底，豐田汽車為全球汽車銷量冠軍，且於2023年《Brand Finance》全球百大汽車品牌價值排行第3位。</v>
      </c>
      <c r="V268" s="136" t="str">
        <f ca="1">IFERROR(VLOOKUP(B268,'1_重設數據'!L:M,2,FALSE),IF(Q268="政府",IF(AD268&gt;16,"(NPI)非專投",IF(AD268&gt;10,"(PI)專投","高資產")),IF(VLOOKUP(B268,bond!B:AN,39,FALSE)="Y","(PI)專投",IF(AD268&gt;=15,"(NPI)非專投",IF(AD268&gt;=10,"(PI)專投","高資產")))))</f>
        <v>(NPI)非專投</v>
      </c>
      <c r="W268" s="136" t="str">
        <f ca="1">VLOOKUP(AD268,'credit rating'!$F$2:$H$22,3,FALSE)</f>
        <v>A+</v>
      </c>
      <c r="X268" s="136" t="str">
        <f t="shared" ca="1" si="29"/>
        <v>A1</v>
      </c>
      <c r="Y268" s="136" t="str">
        <f t="shared" ca="1" si="30"/>
        <v>A+</v>
      </c>
      <c r="Z268" s="136" t="str">
        <f t="shared" ca="1" si="31"/>
        <v>-</v>
      </c>
      <c r="AA268" s="134">
        <f ca="1">IFERROR(VLOOKUP(X268,'credit rating'!A:C,3,FALSE),0)</f>
        <v>17</v>
      </c>
      <c r="AB268" s="134">
        <f ca="1">IFERROR(VLOOKUP(Y268,'credit rating'!B:C,2,FALSE),0)</f>
        <v>17</v>
      </c>
      <c r="AC268" s="136">
        <f ca="1">IFERROR(VLOOKUP(Z268,'credit rating'!B:C,2,FALSE),0)</f>
        <v>0</v>
      </c>
      <c r="AD268" s="136">
        <f t="shared" ca="1" si="32"/>
        <v>17</v>
      </c>
      <c r="AE268" s="249">
        <f ca="1">IFERROR(VLOOKUP(B268,bond!B:U,20,FALSE),"")</f>
        <v>4.19E-2</v>
      </c>
      <c r="AF268" s="136" t="str">
        <f ca="1">IF(VLOOKUP(B268,bond!B:AK,36,FALSE)="#N/A Field Not Applicable","",VLOOKUP(B268,bond!B:AK,36,FALSE))</f>
        <v>2033/4/13</v>
      </c>
      <c r="AG268" s="136" t="str">
        <f ca="1">IF(VLOOKUP(B268,bond!B:AL,37,FALSE)="FIXED","固定",IF(VLOOKUP(B268,bond!B:AL,37,FALSE)="FLOATING","浮動",IF(VLOOKUP(B268,bond!B:AL,37,FALSE)="VARIABLE","變動",IF(VLOOKUP(B268,bond!B:AL,37,FALSE)="FLAT TRADING","不含息交易",IF(VLOOKUP(B268,bond!B:AL,37,FALSE)="ZERO COUPON","零息",VLOOKUP(B268,bond!B:AL,37,FALSE))))))</f>
        <v>固定</v>
      </c>
      <c r="AH268" s="136" t="str">
        <f>VLOOKUP(C268,'2_Check_code'!I:J,2,FALSE)</f>
        <v>美元(USD)</v>
      </c>
      <c r="AI268" s="136" t="str">
        <f t="shared" ca="1" si="33"/>
        <v>自由選清單</v>
      </c>
      <c r="AJ268" s="136">
        <f t="shared" ca="1" si="34"/>
        <v>0</v>
      </c>
      <c r="AK268" s="594" t="str">
        <f ca="1">IF(VLOOKUP(B268,bond!B:S,18,FALSE)="是","有",IF(VLOOKUP(B268,bond!B:S,18,FALSE)="NO OFFER","無","需查詢"))</f>
        <v>有</v>
      </c>
      <c r="AL268" s="136" t="str">
        <f>IF(VLOOKUP(A268,bond!F:AR,39,FALSE)="#N/A Field Not Applicable",VLOOKUP(A268,bond!F:AR,38,FALSE),IFERROR(VLOOKUP(A268,'7_發行日例外'!A:B,2,FALSE),VLOOKUP(A268,bond!F:AR,39,FALSE)))</f>
        <v>2023/7/13</v>
      </c>
      <c r="AM268" s="136" t="str">
        <f ca="1">VLOOKUP(B268,bond!B:AK,36,FALSE)</f>
        <v>2033/4/13</v>
      </c>
      <c r="AN268" s="136" t="str">
        <f ca="1">IFERROR(VLOOKUP(B268,'3_是否下架'!A:A,1,FALSE),"")</f>
        <v/>
      </c>
      <c r="AO268" s="136">
        <f ca="1">VLOOKUP(B268,bond!B:J,9,FALSE)</f>
        <v>104.77000000000001</v>
      </c>
      <c r="AP268" s="136">
        <f ca="1">VLOOKUP(B268,bond!B:V,21,FALSE)</f>
        <v>6.9105999999999996</v>
      </c>
    </row>
    <row r="269" spans="1:42">
      <c r="A269" s="141" t="str">
        <f>bond!F270</f>
        <v>US438127AC63</v>
      </c>
      <c r="B269" s="151" t="str">
        <f ca="1">IF($C$1=TRUE,bond!B270,"")</f>
        <v>XH700</v>
      </c>
      <c r="C269" s="95" t="str">
        <f>VLOOKUP(A269,bond!F:G,2,FALSE)</f>
        <v>USD</v>
      </c>
      <c r="D269" s="142" t="str">
        <f ca="1">VLOOKUP(B269,bond!B:C,2,FALSE)</f>
        <v>本田汽車公司美元配息債券 2.967% 2032/03/10</v>
      </c>
      <c r="E269" s="95" t="str">
        <f ca="1">VLOOKUP(B269,bond!B:D,3,FALSE)</f>
        <v>A3 / A- / -</v>
      </c>
      <c r="F269" s="99" t="str">
        <f ca="1">VLOOKUP(B269,bond!B:AB,27,FALSE)</f>
        <v>2032/3/10</v>
      </c>
      <c r="G269" s="90">
        <f ca="1">VLOOKUP(B269,bond!B:E,4,FALSE)</f>
        <v>7.69</v>
      </c>
      <c r="H269" s="202">
        <f ca="1">VLOOKUP(B269,bond!B:Y,24,FALSE)</f>
        <v>2.9670000000000002E-2</v>
      </c>
      <c r="I269" s="95">
        <f ca="1">VLOOKUP(B269,bond!B:Z,25,FALSE)</f>
        <v>2</v>
      </c>
      <c r="J269" s="180">
        <f ca="1">VLOOKUP(B269,bond!B:K,10,FALSE)</f>
        <v>0.92310000000000003</v>
      </c>
      <c r="K269" s="96">
        <f ca="1">VLOOKUP($B269,bond!B:S,14,FALSE)</f>
        <v>91.3</v>
      </c>
      <c r="L269" s="91" t="str">
        <f ca="1">VLOOKUP(B269,bond!B:H,7,FALSE)</f>
        <v>2024/7/2</v>
      </c>
      <c r="M269" s="144">
        <f ca="1">VLOOKUP($B269,bond!$B:$Q,16,FALSE)</f>
        <v>4.4600000000000001E-2</v>
      </c>
      <c r="N269" s="136">
        <f ca="1">VALUE(LEFT(VLOOKUP(B269,bond!B:R,17,FALSE),SEARCH(" ",VLOOKUP(B269,bond!B:R,17,FALSE),1)))</f>
        <v>10000</v>
      </c>
      <c r="O269" s="136">
        <f ca="1">VALUE(RIGHT(VLOOKUP(B269,bond!B:R,17,FALSE),LEN(VLOOKUP(B269,bond!B:R,17,FALSE))-LEN(N269)-3))</f>
        <v>1000</v>
      </c>
      <c r="P269" s="135" t="str">
        <f ca="1">VLOOKUP($B269,bond!$B:$AG,32,FALSE)</f>
        <v>2024/9/10</v>
      </c>
      <c r="Q269" s="135" t="str">
        <f ca="1">VLOOKUP($B269,bond!$B:$AH,33,FALSE)</f>
        <v>非核心消費</v>
      </c>
      <c r="R269" s="135" t="str">
        <f ca="1">VLOOKUP(B269,bond!B:AA,26,FALSE)</f>
        <v>本田汽車</v>
      </c>
      <c r="S269" s="135" t="str">
        <f ca="1">VLOOKUP(B269,bond!B:AI,34,FALSE)</f>
        <v>HNDA</v>
      </c>
      <c r="T269" s="135" t="str">
        <f t="shared" ca="1" si="28"/>
        <v>本田汽車/HNDA</v>
      </c>
      <c r="U269" s="207" t="str">
        <f ca="1">IFERROR(VLOOKUP(T269,Bond_DES!D:E,2,FALSE),VLOOKUP(S269,bond!AI:AJ,2,FALSE))</f>
        <v>本田汽車公司(Honda Motor Co., Ltd.)是日本第二大汽車製造商，亦是全球最大的摩托車製造商及最大引擎製造公司，於全球開發、製造及銷售汽車、摩托車及動力產品，旗下擁有HONDA、Acura、本田動力設備與本田海洋等品牌。於2023年《Brand Finance》全球100大汽車品牌價值排行第7位。</v>
      </c>
      <c r="V269" s="136" t="str">
        <f ca="1">IFERROR(VLOOKUP(B269,'1_重設數據'!L:M,2,FALSE),IF(Q269="政府",IF(AD269&gt;16,"(NPI)非專投",IF(AD269&gt;10,"(PI)專投","高資產")),IF(VLOOKUP(B269,bond!B:AN,39,FALSE)="Y","(PI)專投",IF(AD269&gt;=15,"(NPI)非專投",IF(AD269&gt;=10,"(PI)專投","高資產")))))</f>
        <v>(NPI)非專投</v>
      </c>
      <c r="W269" s="136" t="str">
        <f ca="1">VLOOKUP(AD269,'credit rating'!$F$2:$H$22,3,FALSE)</f>
        <v>A-</v>
      </c>
      <c r="X269" s="136" t="str">
        <f t="shared" ca="1" si="29"/>
        <v>A3</v>
      </c>
      <c r="Y269" s="136" t="str">
        <f t="shared" ca="1" si="30"/>
        <v>A-</v>
      </c>
      <c r="Z269" s="136" t="str">
        <f t="shared" ca="1" si="31"/>
        <v>-</v>
      </c>
      <c r="AA269" s="134">
        <f ca="1">IFERROR(VLOOKUP(X269,'credit rating'!A:C,3,FALSE),0)</f>
        <v>15</v>
      </c>
      <c r="AB269" s="134">
        <f ca="1">IFERROR(VLOOKUP(Y269,'credit rating'!B:C,2,FALSE),0)</f>
        <v>15</v>
      </c>
      <c r="AC269" s="136">
        <f ca="1">IFERROR(VLOOKUP(Z269,'credit rating'!B:C,2,FALSE),0)</f>
        <v>0</v>
      </c>
      <c r="AD269" s="136">
        <f t="shared" ca="1" si="32"/>
        <v>15</v>
      </c>
      <c r="AE269" s="249">
        <f ca="1">IFERROR(VLOOKUP(B269,bond!B:U,20,FALSE),"")</f>
        <v>4.4999999999999998E-2</v>
      </c>
      <c r="AF269" s="136" t="str">
        <f ca="1">IF(VLOOKUP(B269,bond!B:AK,36,FALSE)="#N/A Field Not Applicable","",VLOOKUP(B269,bond!B:AK,36,FALSE))</f>
        <v>2031/12/10</v>
      </c>
      <c r="AG269" s="136" t="str">
        <f ca="1">IF(VLOOKUP(B269,bond!B:AL,37,FALSE)="FIXED","固定",IF(VLOOKUP(B269,bond!B:AL,37,FALSE)="FLOATING","浮動",IF(VLOOKUP(B269,bond!B:AL,37,FALSE)="VARIABLE","變動",IF(VLOOKUP(B269,bond!B:AL,37,FALSE)="FLAT TRADING","不含息交易",IF(VLOOKUP(B269,bond!B:AL,37,FALSE)="ZERO COUPON","零息",VLOOKUP(B269,bond!B:AL,37,FALSE))))))</f>
        <v>固定</v>
      </c>
      <c r="AH269" s="136" t="str">
        <f>VLOOKUP(C269,'2_Check_code'!I:J,2,FALSE)</f>
        <v>美元(USD)</v>
      </c>
      <c r="AI269" s="136" t="str">
        <f t="shared" ca="1" si="33"/>
        <v>自由選清單</v>
      </c>
      <c r="AJ269" s="136">
        <f t="shared" ca="1" si="34"/>
        <v>0</v>
      </c>
      <c r="AK269" s="594" t="str">
        <f ca="1">IF(VLOOKUP(B269,bond!B:S,18,FALSE)="是","有",IF(VLOOKUP(B269,bond!B:S,18,FALSE)="NO OFFER","無","需查詢"))</f>
        <v>有</v>
      </c>
      <c r="AL269" s="136" t="str">
        <f>IF(VLOOKUP(A269,bond!F:AR,39,FALSE)="#N/A Field Not Applicable",VLOOKUP(A269,bond!F:AR,38,FALSE),IFERROR(VLOOKUP(A269,'7_發行日例外'!A:B,2,FALSE),VLOOKUP(A269,bond!F:AR,39,FALSE)))</f>
        <v>2022/3/10</v>
      </c>
      <c r="AM269" s="136" t="str">
        <f ca="1">VLOOKUP(B269,bond!B:AK,36,FALSE)</f>
        <v>2031/12/10</v>
      </c>
      <c r="AN269" s="136" t="str">
        <f ca="1">IFERROR(VLOOKUP(B269,'3_是否下架'!A:A,1,FALSE),"")</f>
        <v/>
      </c>
      <c r="AO269" s="136">
        <f ca="1">VLOOKUP(B269,bond!B:J,9,FALSE)</f>
        <v>88.38000000000001</v>
      </c>
      <c r="AP269" s="136">
        <f ca="1">VLOOKUP(B269,bond!B:V,21,FALSE)</f>
        <v>6.6494999999999997</v>
      </c>
    </row>
    <row r="270" spans="1:42">
      <c r="A270" s="141" t="str">
        <f>bond!F271</f>
        <v>US02665WER88</v>
      </c>
      <c r="B270" s="151" t="str">
        <f ca="1">IF($C$1=TRUE,bond!B271,"")</f>
        <v>XH710</v>
      </c>
      <c r="C270" s="95" t="str">
        <f>VLOOKUP(A270,bond!F:G,2,FALSE)</f>
        <v>USD</v>
      </c>
      <c r="D270" s="142" t="str">
        <f ca="1">VLOOKUP(B270,bond!B:C,2,FALSE)</f>
        <v>美國本田金融公司美元配息債券  5.85% 2030/10/04</v>
      </c>
      <c r="E270" s="95" t="str">
        <f ca="1">VLOOKUP(B270,bond!B:D,3,FALSE)</f>
        <v>A3 / A- / -</v>
      </c>
      <c r="F270" s="99" t="str">
        <f ca="1">VLOOKUP(B270,bond!B:AB,27,FALSE)</f>
        <v>2030/10/4</v>
      </c>
      <c r="G270" s="90">
        <f ca="1">VLOOKUP(B270,bond!B:E,4,FALSE)</f>
        <v>6.26</v>
      </c>
      <c r="H270" s="202">
        <f ca="1">VLOOKUP(B270,bond!B:Y,24,FALSE)</f>
        <v>5.8499999999999996E-2</v>
      </c>
      <c r="I270" s="95">
        <f ca="1">VLOOKUP(B270,bond!B:Z,25,FALSE)</f>
        <v>2</v>
      </c>
      <c r="J270" s="180">
        <f ca="1">VLOOKUP(B270,bond!B:K,10,FALSE)</f>
        <v>1.43</v>
      </c>
      <c r="K270" s="96">
        <f ca="1">VLOOKUP($B270,bond!B:S,14,FALSE)</f>
        <v>107.82</v>
      </c>
      <c r="L270" s="91" t="str">
        <f ca="1">VLOOKUP(B270,bond!B:H,7,FALSE)</f>
        <v>2024/7/2</v>
      </c>
      <c r="M270" s="144">
        <f ca="1">VLOOKUP($B270,bond!$B:$Q,16,FALSE)</f>
        <v>4.6600000000000003E-2</v>
      </c>
      <c r="N270" s="136">
        <f ca="1">VALUE(LEFT(VLOOKUP(B270,bond!B:R,17,FALSE),SEARCH(" ",VLOOKUP(B270,bond!B:R,17,FALSE),1)))</f>
        <v>10000</v>
      </c>
      <c r="O270" s="136">
        <f ca="1">VALUE(RIGHT(VLOOKUP(B270,bond!B:R,17,FALSE),LEN(VLOOKUP(B270,bond!B:R,17,FALSE))-LEN(N270)-3))</f>
        <v>1000</v>
      </c>
      <c r="P270" s="135" t="str">
        <f ca="1">VLOOKUP($B270,bond!$B:$AG,32,FALSE)</f>
        <v>2024/10/4</v>
      </c>
      <c r="Q270" s="135" t="str">
        <f ca="1">VLOOKUP($B270,bond!$B:$AH,33,FALSE)</f>
        <v>非核心消費</v>
      </c>
      <c r="R270" s="135" t="str">
        <f ca="1">VLOOKUP(B270,bond!B:AA,26,FALSE)</f>
        <v>美國本田金融公司</v>
      </c>
      <c r="S270" s="135" t="str">
        <f ca="1">VLOOKUP(B270,bond!B:AI,34,FALSE)</f>
        <v>HNDA</v>
      </c>
      <c r="T270" s="135" t="str">
        <f t="shared" ca="1" si="28"/>
        <v>美國本田金融公司/HNDA</v>
      </c>
      <c r="U270" s="207" t="str">
        <f ca="1">IFERROR(VLOOKUP(T270,Bond_DES!D:E,2,FALSE),VLOOKUP(S270,bond!AI:AJ,2,FALSE))</f>
        <v>美國本田金融公司(American Honda Finance Corporation)為本田汽車全資子公司，主要為本田旗下產品的購買者或承租人提供各種形式的融資，在業務上依賴本田集團產品在美國和加拿大的銷售。母公司本田汽車為日本第二大汽車製造商，旗下擁有HONDA、Acura、本田動力設備與本田海洋等品牌。</v>
      </c>
      <c r="V270" s="136" t="str">
        <f ca="1">IFERROR(VLOOKUP(B270,'1_重設數據'!L:M,2,FALSE),IF(Q270="政府",IF(AD270&gt;16,"(NPI)非專投",IF(AD270&gt;10,"(PI)專投","高資產")),IF(VLOOKUP(B270,bond!B:AN,39,FALSE)="Y","(PI)專投",IF(AD270&gt;=15,"(NPI)非專投",IF(AD270&gt;=10,"(PI)專投","高資產")))))</f>
        <v>(NPI)非專投</v>
      </c>
      <c r="W270" s="136" t="str">
        <f ca="1">VLOOKUP(AD270,'credit rating'!$F$2:$H$22,3,FALSE)</f>
        <v>A-</v>
      </c>
      <c r="X270" s="136" t="str">
        <f t="shared" ca="1" si="29"/>
        <v>A3</v>
      </c>
      <c r="Y270" s="136" t="str">
        <f t="shared" ca="1" si="30"/>
        <v>A-</v>
      </c>
      <c r="Z270" s="136" t="str">
        <f t="shared" ca="1" si="31"/>
        <v>-</v>
      </c>
      <c r="AA270" s="134">
        <f ca="1">IFERROR(VLOOKUP(X270,'credit rating'!A:C,3,FALSE),0)</f>
        <v>15</v>
      </c>
      <c r="AB270" s="134">
        <f ca="1">IFERROR(VLOOKUP(Y270,'credit rating'!B:C,2,FALSE),0)</f>
        <v>15</v>
      </c>
      <c r="AC270" s="136">
        <f ca="1">IFERROR(VLOOKUP(Z270,'credit rating'!B:C,2,FALSE),0)</f>
        <v>0</v>
      </c>
      <c r="AD270" s="136">
        <f t="shared" ca="1" si="32"/>
        <v>15</v>
      </c>
      <c r="AE270" s="249" t="str">
        <f ca="1">IFERROR(VLOOKUP(B270,bond!B:U,20,FALSE),"")</f>
        <v xml:space="preserve"> </v>
      </c>
      <c r="AF270" s="136" t="str">
        <f ca="1">IF(VLOOKUP(B270,bond!B:AK,36,FALSE)="#N/A Field Not Applicable","",VLOOKUP(B270,bond!B:AK,36,FALSE))</f>
        <v/>
      </c>
      <c r="AG270" s="136" t="str">
        <f ca="1">IF(VLOOKUP(B270,bond!B:AL,37,FALSE)="FIXED","固定",IF(VLOOKUP(B270,bond!B:AL,37,FALSE)="FLOATING","浮動",IF(VLOOKUP(B270,bond!B:AL,37,FALSE)="VARIABLE","變動",IF(VLOOKUP(B270,bond!B:AL,37,FALSE)="FLAT TRADING","不含息交易",IF(VLOOKUP(B270,bond!B:AL,37,FALSE)="ZERO COUPON","零息",VLOOKUP(B270,bond!B:AL,37,FALSE))))))</f>
        <v>固定</v>
      </c>
      <c r="AH270" s="136" t="str">
        <f>VLOOKUP(C270,'2_Check_code'!I:J,2,FALSE)</f>
        <v>美元(USD)</v>
      </c>
      <c r="AI270" s="136" t="str">
        <f t="shared" ca="1" si="33"/>
        <v>自由選清單</v>
      </c>
      <c r="AJ270" s="136">
        <f t="shared" ca="1" si="34"/>
        <v>0</v>
      </c>
      <c r="AK270" s="594" t="str">
        <f ca="1">IF(VLOOKUP(B270,bond!B:S,18,FALSE)="是","有",IF(VLOOKUP(B270,bond!B:S,18,FALSE)="NO OFFER","無","需查詢"))</f>
        <v>有</v>
      </c>
      <c r="AL270" s="136" t="str">
        <f>IF(VLOOKUP(A270,bond!F:AR,39,FALSE)="#N/A Field Not Applicable",VLOOKUP(A270,bond!F:AR,38,FALSE),IFERROR(VLOOKUP(A270,'7_發行日例外'!A:B,2,FALSE),VLOOKUP(A270,bond!F:AR,39,FALSE)))</f>
        <v>2023/10/4</v>
      </c>
      <c r="AM270" s="136" t="str">
        <f ca="1">VLOOKUP(B270,bond!B:AK,36,FALSE)</f>
        <v>#N/A Field Not Applicable</v>
      </c>
      <c r="AN270" s="136" t="str">
        <f ca="1">IFERROR(VLOOKUP(B270,'3_是否下架'!A:A,1,FALSE),"")</f>
        <v/>
      </c>
      <c r="AO270" s="136">
        <f ca="1">VLOOKUP(B270,bond!B:J,9,FALSE)</f>
        <v>104.89</v>
      </c>
      <c r="AP270" s="136">
        <f ca="1">VLOOKUP(B270,bond!B:V,21,FALSE)</f>
        <v>5.1597</v>
      </c>
    </row>
    <row r="271" spans="1:42">
      <c r="A271" s="141" t="str">
        <f>bond!F272</f>
        <v>US94974BGK08</v>
      </c>
      <c r="B271" s="151" t="str">
        <f ca="1">IF($C$1=TRUE,bond!B272,"")</f>
        <v>XH720</v>
      </c>
      <c r="C271" s="95" t="str">
        <f>VLOOKUP(A271,bond!F:G,2,FALSE)</f>
        <v>USD</v>
      </c>
      <c r="D271" s="142" t="str">
        <f ca="1">VLOOKUP(B271,bond!B:C,2,FALSE)</f>
        <v>富國銀行美元配息債券 3.9% 2045/05/01</v>
      </c>
      <c r="E271" s="95" t="str">
        <f ca="1">VLOOKUP(B271,bond!B:D,3,FALSE)</f>
        <v>A1 / BBB+ / A+</v>
      </c>
      <c r="F271" s="99" t="str">
        <f ca="1">VLOOKUP(B271,bond!B:AB,27,FALSE)</f>
        <v>2045/5/1</v>
      </c>
      <c r="G271" s="90">
        <f ca="1">VLOOKUP(B271,bond!B:E,4,FALSE)</f>
        <v>20.83</v>
      </c>
      <c r="H271" s="202">
        <f ca="1">VLOOKUP(B271,bond!B:Y,24,FALSE)</f>
        <v>3.9E-2</v>
      </c>
      <c r="I271" s="95">
        <f ca="1">VLOOKUP(B271,bond!B:Z,25,FALSE)</f>
        <v>2</v>
      </c>
      <c r="J271" s="180">
        <f ca="1">VLOOKUP(B271,bond!B:K,10,FALSE)</f>
        <v>0.66080000000000005</v>
      </c>
      <c r="K271" s="96">
        <f ca="1">VLOOKUP($B271,bond!B:S,14,FALSE)</f>
        <v>83.96</v>
      </c>
      <c r="L271" s="91" t="str">
        <f ca="1">VLOOKUP(B271,bond!B:H,7,FALSE)</f>
        <v>2024/7/2</v>
      </c>
      <c r="M271" s="144">
        <f ca="1">VLOOKUP($B271,bond!$B:$Q,16,FALSE)</f>
        <v>5.2200000000000003E-2</v>
      </c>
      <c r="N271" s="136">
        <f ca="1">VALUE(LEFT(VLOOKUP(B271,bond!B:R,17,FALSE),SEARCH(" ",VLOOKUP(B271,bond!B:R,17,FALSE),1)))</f>
        <v>10000</v>
      </c>
      <c r="O271" s="136">
        <f ca="1">VALUE(RIGHT(VLOOKUP(B271,bond!B:R,17,FALSE),LEN(VLOOKUP(B271,bond!B:R,17,FALSE))-LEN(N271)-3))</f>
        <v>1000</v>
      </c>
      <c r="P271" s="135" t="str">
        <f ca="1">VLOOKUP($B271,bond!$B:$AG,32,FALSE)</f>
        <v>2024/11/1</v>
      </c>
      <c r="Q271" s="135" t="str">
        <f ca="1">VLOOKUP($B271,bond!$B:$AH,33,FALSE)</f>
        <v>金融</v>
      </c>
      <c r="R271" s="135" t="str">
        <f ca="1">VLOOKUP(B271,bond!B:AA,26,FALSE)</f>
        <v>富國銀行</v>
      </c>
      <c r="S271" s="135" t="str">
        <f ca="1">VLOOKUP(B271,bond!B:AI,34,FALSE)</f>
        <v>WFC</v>
      </c>
      <c r="T271" s="135" t="str">
        <f t="shared" ca="1" si="28"/>
        <v>富國銀行/WFC</v>
      </c>
      <c r="U271" s="207" t="str">
        <f ca="1">IFERROR(VLOOKUP(T271,Bond_DES!D:E,2,FALSE),VLOOKUP(S271,bond!AI:AJ,2,FALSE))</f>
        <v>富國銀行公司(Wells Fargo &amp; Company)是全球系統重要性銀行(G-SIBs)之一，按一級資本排名位居全球第8大行、美國第4大行地位，在美國的住房抵押貸款、總體汽車貸款、就學貸款、商用房地產貸款等眾多領域位居前列，每三戶家庭就有一戶選擇富國銀行。</v>
      </c>
      <c r="V271" s="136" t="str">
        <f ca="1">IFERROR(VLOOKUP(B271,'1_重設數據'!L:M,2,FALSE),IF(Q271="政府",IF(AD271&gt;16,"(NPI)非專投",IF(AD271&gt;10,"(PI)專投","高資產")),IF(VLOOKUP(B271,bond!B:AN,39,FALSE)="Y","(PI)專投",IF(AD271&gt;=15,"(NPI)非專投",IF(AD271&gt;=10,"(PI)專投","高資產")))))</f>
        <v>(PI)專投</v>
      </c>
      <c r="W271" s="136" t="str">
        <f ca="1">VLOOKUP(AD271,'credit rating'!$F$2:$H$22,3,FALSE)</f>
        <v>A+</v>
      </c>
      <c r="X271" s="136" t="str">
        <f t="shared" ca="1" si="29"/>
        <v>A1</v>
      </c>
      <c r="Y271" s="136" t="str">
        <f t="shared" ca="1" si="30"/>
        <v>BBB+</v>
      </c>
      <c r="Z271" s="136" t="str">
        <f t="shared" ca="1" si="31"/>
        <v>A+</v>
      </c>
      <c r="AA271" s="134">
        <f ca="1">IFERROR(VLOOKUP(X271,'credit rating'!A:C,3,FALSE),0)</f>
        <v>17</v>
      </c>
      <c r="AB271" s="134">
        <f ca="1">IFERROR(VLOOKUP(Y271,'credit rating'!B:C,2,FALSE),0)</f>
        <v>14</v>
      </c>
      <c r="AC271" s="136">
        <f ca="1">IFERROR(VLOOKUP(Z271,'credit rating'!B:C,2,FALSE),0)</f>
        <v>17</v>
      </c>
      <c r="AD271" s="136">
        <f t="shared" ca="1" si="32"/>
        <v>17</v>
      </c>
      <c r="AE271" s="249" t="str">
        <f ca="1">IFERROR(VLOOKUP(B271,bond!B:U,20,FALSE),"")</f>
        <v xml:space="preserve"> </v>
      </c>
      <c r="AF271" s="136" t="str">
        <f ca="1">IF(VLOOKUP(B271,bond!B:AK,36,FALSE)="#N/A Field Not Applicable","",VLOOKUP(B271,bond!B:AK,36,FALSE))</f>
        <v/>
      </c>
      <c r="AG271" s="136" t="str">
        <f ca="1">IF(VLOOKUP(B271,bond!B:AL,37,FALSE)="FIXED","固定",IF(VLOOKUP(B271,bond!B:AL,37,FALSE)="FLOATING","浮動",IF(VLOOKUP(B271,bond!B:AL,37,FALSE)="VARIABLE","變動",IF(VLOOKUP(B271,bond!B:AL,37,FALSE)="FLAT TRADING","不含息交易",IF(VLOOKUP(B271,bond!B:AL,37,FALSE)="ZERO COUPON","零息",VLOOKUP(B271,bond!B:AL,37,FALSE))))))</f>
        <v>固定</v>
      </c>
      <c r="AH271" s="136" t="str">
        <f>VLOOKUP(C271,'2_Check_code'!I:J,2,FALSE)</f>
        <v>美元(USD)</v>
      </c>
      <c r="AI271" s="136" t="str">
        <f t="shared" ca="1" si="33"/>
        <v>自由選清單</v>
      </c>
      <c r="AJ271" s="136">
        <f t="shared" ca="1" si="34"/>
        <v>0</v>
      </c>
      <c r="AK271" s="594" t="str">
        <f ca="1">IF(VLOOKUP(B271,bond!B:S,18,FALSE)="是","有",IF(VLOOKUP(B271,bond!B:S,18,FALSE)="NO OFFER","無","需查詢"))</f>
        <v>有</v>
      </c>
      <c r="AL271" s="136" t="str">
        <f>IF(VLOOKUP(A271,bond!F:AR,39,FALSE)="#N/A Field Not Applicable",VLOOKUP(A271,bond!F:AR,38,FALSE),IFERROR(VLOOKUP(A271,'7_發行日例外'!A:B,2,FALSE),VLOOKUP(A271,bond!F:AR,39,FALSE)))</f>
        <v>2015/4/30</v>
      </c>
      <c r="AM271" s="136" t="str">
        <f ca="1">VLOOKUP(B271,bond!B:AK,36,FALSE)</f>
        <v>#N/A Field Not Applicable</v>
      </c>
      <c r="AN271" s="136" t="str">
        <f ca="1">IFERROR(VLOOKUP(B271,'3_是否下架'!A:A,1,FALSE),"")</f>
        <v/>
      </c>
      <c r="AO271" s="136">
        <f ca="1">VLOOKUP(B271,bond!B:J,9,FALSE)</f>
        <v>79.800000000000011</v>
      </c>
      <c r="AP271" s="136">
        <f ca="1">VLOOKUP(B271,bond!B:V,21,FALSE)</f>
        <v>13.1707</v>
      </c>
    </row>
    <row r="272" spans="1:42">
      <c r="A272" s="141" t="str">
        <f>bond!F273</f>
        <v>US532457CG18</v>
      </c>
      <c r="B272" s="151" t="str">
        <f ca="1">IF($C$1=TRUE,bond!B273,"")</f>
        <v>XH750</v>
      </c>
      <c r="C272" s="95" t="str">
        <f>VLOOKUP(A272,bond!F:G,2,FALSE)</f>
        <v>USD</v>
      </c>
      <c r="D272" s="142" t="str">
        <f ca="1">VLOOKUP(B272,bond!B:C,2,FALSE)</f>
        <v>禮來公司美元配息債券 4.875% 2053/2/27</v>
      </c>
      <c r="E272" s="95" t="str">
        <f ca="1">VLOOKUP(B272,bond!B:D,3,FALSE)</f>
        <v>A1 / A+ / -</v>
      </c>
      <c r="F272" s="99" t="str">
        <f ca="1">VLOOKUP(B272,bond!B:AB,27,FALSE)</f>
        <v>2053/2/27</v>
      </c>
      <c r="G272" s="90">
        <f ca="1">VLOOKUP(B272,bond!B:E,4,FALSE)</f>
        <v>28.66</v>
      </c>
      <c r="H272" s="202">
        <f ca="1">VLOOKUP(B272,bond!B:Y,24,FALSE)</f>
        <v>4.8750000000000002E-2</v>
      </c>
      <c r="I272" s="95">
        <f ca="1">VLOOKUP(B272,bond!B:Z,25,FALSE)</f>
        <v>2</v>
      </c>
      <c r="J272" s="180">
        <f ca="1">VLOOKUP(B272,bond!B:K,10,FALSE)</f>
        <v>1.6927000000000001</v>
      </c>
      <c r="K272" s="96">
        <f ca="1">VLOOKUP($B272,bond!B:S,14,FALSE)</f>
        <v>99.7</v>
      </c>
      <c r="L272" s="91" t="str">
        <f ca="1">VLOOKUP(B272,bond!B:H,7,FALSE)</f>
        <v>2024/7/2</v>
      </c>
      <c r="M272" s="144">
        <f ca="1">VLOOKUP($B272,bond!$B:$Q,16,FALSE)</f>
        <v>5.0099999999999999E-2</v>
      </c>
      <c r="N272" s="136">
        <f ca="1">VALUE(LEFT(VLOOKUP(B272,bond!B:R,17,FALSE),SEARCH(" ",VLOOKUP(B272,bond!B:R,17,FALSE),1)))</f>
        <v>10000</v>
      </c>
      <c r="O272" s="136">
        <f ca="1">VALUE(RIGHT(VLOOKUP(B272,bond!B:R,17,FALSE),LEN(VLOOKUP(B272,bond!B:R,17,FALSE))-LEN(N272)-3))</f>
        <v>1000</v>
      </c>
      <c r="P272" s="135" t="str">
        <f ca="1">VLOOKUP($B272,bond!$B:$AG,32,FALSE)</f>
        <v>2024/8/27</v>
      </c>
      <c r="Q272" s="135" t="str">
        <f ca="1">VLOOKUP($B272,bond!$B:$AH,33,FALSE)</f>
        <v>醫療保健</v>
      </c>
      <c r="R272" s="135" t="str">
        <f ca="1">VLOOKUP(B272,bond!B:AA,26,FALSE)</f>
        <v>禮來公司</v>
      </c>
      <c r="S272" s="135" t="str">
        <f ca="1">VLOOKUP(B272,bond!B:AI,34,FALSE)</f>
        <v>LLY</v>
      </c>
      <c r="T272" s="135" t="str">
        <f t="shared" ca="1" si="28"/>
        <v>禮來公司/LLY</v>
      </c>
      <c r="U272" s="207" t="str">
        <f ca="1">IFERROR(VLOOKUP(T272,Bond_DES!D:E,2,FALSE),VLOOKUP(S272,bond!AI:AJ,2,FALSE))</f>
        <v>禮來公司(Eli Lilly and Company)專門研發、生產，並銷售各式藥物，在糖尿病、腫瘤學(癌症)和免疫學等領域擁有顯著的市場地位；旗下知名藥物有治療憂鬱症的百憂解，以及糖尿病與減重藥Mounjar等。高盛預期2030年達千億美元的肥胖藥物市場中，禮來及諾和諾德雙巨頭將佔據80%市佔率。</v>
      </c>
      <c r="V272" s="136" t="str">
        <f ca="1">IFERROR(VLOOKUP(B272,'1_重設數據'!L:M,2,FALSE),IF(Q272="政府",IF(AD272&gt;16,"(NPI)非專投",IF(AD272&gt;10,"(PI)專投","高資產")),IF(VLOOKUP(B272,bond!B:AN,39,FALSE)="Y","(PI)專投",IF(AD272&gt;=15,"(NPI)非專投",IF(AD272&gt;=10,"(PI)專投","高資產")))))</f>
        <v>(NPI)非專投</v>
      </c>
      <c r="W272" s="136" t="str">
        <f ca="1">VLOOKUP(AD272,'credit rating'!$F$2:$H$22,3,FALSE)</f>
        <v>A+</v>
      </c>
      <c r="X272" s="136" t="str">
        <f t="shared" ca="1" si="29"/>
        <v>A1</v>
      </c>
      <c r="Y272" s="136" t="str">
        <f t="shared" ca="1" si="30"/>
        <v>A+</v>
      </c>
      <c r="Z272" s="136" t="str">
        <f t="shared" ca="1" si="31"/>
        <v>-</v>
      </c>
      <c r="AA272" s="134">
        <f ca="1">IFERROR(VLOOKUP(X272,'credit rating'!A:C,3,FALSE),0)</f>
        <v>17</v>
      </c>
      <c r="AB272" s="134">
        <f ca="1">IFERROR(VLOOKUP(Y272,'credit rating'!B:C,2,FALSE),0)</f>
        <v>17</v>
      </c>
      <c r="AC272" s="136">
        <f ca="1">IFERROR(VLOOKUP(Z272,'credit rating'!B:C,2,FALSE),0)</f>
        <v>0</v>
      </c>
      <c r="AD272" s="136">
        <f t="shared" ca="1" si="32"/>
        <v>17</v>
      </c>
      <c r="AE272" s="249">
        <f ca="1">IFERROR(VLOOKUP(B272,bond!B:U,20,FALSE),"")</f>
        <v>5.0099999999999999E-2</v>
      </c>
      <c r="AF272" s="136" t="str">
        <f ca="1">IF(VLOOKUP(B272,bond!B:AK,36,FALSE)="#N/A Field Not Applicable","",VLOOKUP(B272,bond!B:AK,36,FALSE))</f>
        <v>2052/8/27</v>
      </c>
      <c r="AG272" s="136" t="str">
        <f ca="1">IF(VLOOKUP(B272,bond!B:AL,37,FALSE)="FIXED","固定",IF(VLOOKUP(B272,bond!B:AL,37,FALSE)="FLOATING","浮動",IF(VLOOKUP(B272,bond!B:AL,37,FALSE)="VARIABLE","變動",IF(VLOOKUP(B272,bond!B:AL,37,FALSE)="FLAT TRADING","不含息交易",IF(VLOOKUP(B272,bond!B:AL,37,FALSE)="ZERO COUPON","零息",VLOOKUP(B272,bond!B:AL,37,FALSE))))))</f>
        <v>固定</v>
      </c>
      <c r="AH272" s="136" t="str">
        <f>VLOOKUP(C272,'2_Check_code'!I:J,2,FALSE)</f>
        <v>美元(USD)</v>
      </c>
      <c r="AI272" s="136" t="str">
        <f t="shared" ca="1" si="33"/>
        <v>自由選清單</v>
      </c>
      <c r="AJ272" s="136">
        <f t="shared" ca="1" si="34"/>
        <v>0</v>
      </c>
      <c r="AK272" s="594" t="str">
        <f ca="1">IF(VLOOKUP(B272,bond!B:S,18,FALSE)="是","有",IF(VLOOKUP(B272,bond!B:S,18,FALSE)="NO OFFER","無","需查詢"))</f>
        <v>有</v>
      </c>
      <c r="AL272" s="136" t="str">
        <f>IF(VLOOKUP(A272,bond!F:AR,39,FALSE)="#N/A Field Not Applicable",VLOOKUP(A272,bond!F:AR,38,FALSE),IFERROR(VLOOKUP(A272,'7_發行日例外'!A:B,2,FALSE),VLOOKUP(A272,bond!F:AR,39,FALSE)))</f>
        <v>2023/2/27</v>
      </c>
      <c r="AM272" s="136" t="str">
        <f ca="1">VLOOKUP(B272,bond!B:AK,36,FALSE)</f>
        <v>2052/8/27</v>
      </c>
      <c r="AN272" s="136" t="str">
        <f ca="1">IFERROR(VLOOKUP(B272,'3_是否下架'!A:A,1,FALSE),"")</f>
        <v/>
      </c>
      <c r="AO272" s="136">
        <f ca="1">VLOOKUP(B272,bond!B:J,9,FALSE)</f>
        <v>94.51</v>
      </c>
      <c r="AP272" s="136">
        <f ca="1">VLOOKUP(B272,bond!B:V,21,FALSE)</f>
        <v>14.7681</v>
      </c>
    </row>
    <row r="273" spans="1:42">
      <c r="A273" s="141" t="str">
        <f>bond!F274</f>
        <v>US023135CH74</v>
      </c>
      <c r="B273" s="151" t="str">
        <f ca="1">IF($C$1=TRUE,bond!B274,"")</f>
        <v>XH760</v>
      </c>
      <c r="C273" s="95" t="str">
        <f>VLOOKUP(A273,bond!F:G,2,FALSE)</f>
        <v>USD</v>
      </c>
      <c r="D273" s="142" t="str">
        <f ca="1">VLOOKUP(B273,bond!B:C,2,FALSE)</f>
        <v>亞馬遜公司美元配息債券 3.6% 2032/4/13</v>
      </c>
      <c r="E273" s="95" t="str">
        <f ca="1">VLOOKUP(B273,bond!B:D,3,FALSE)</f>
        <v>A1 / AA / AA-</v>
      </c>
      <c r="F273" s="99" t="str">
        <f ca="1">VLOOKUP(B273,bond!B:AB,27,FALSE)</f>
        <v>2032/4/13</v>
      </c>
      <c r="G273" s="90">
        <f ca="1">VLOOKUP(B273,bond!B:E,4,FALSE)</f>
        <v>7.78</v>
      </c>
      <c r="H273" s="202">
        <f ca="1">VLOOKUP(B273,bond!B:Y,24,FALSE)</f>
        <v>3.6000000000000004E-2</v>
      </c>
      <c r="I273" s="95">
        <f ca="1">VLOOKUP(B273,bond!B:Z,25,FALSE)</f>
        <v>2</v>
      </c>
      <c r="J273" s="180">
        <f ca="1">VLOOKUP(B273,bond!B:K,10,FALSE)</f>
        <v>0.79</v>
      </c>
      <c r="K273" s="96">
        <f ca="1">VLOOKUP($B273,bond!B:S,14,FALSE)</f>
        <v>94.65</v>
      </c>
      <c r="L273" s="91" t="str">
        <f ca="1">VLOOKUP(B273,bond!B:H,7,FALSE)</f>
        <v>2024/7/2</v>
      </c>
      <c r="M273" s="144">
        <f ca="1">VLOOKUP($B273,bond!$B:$Q,16,FALSE)</f>
        <v>4.5400000000000003E-2</v>
      </c>
      <c r="N273" s="136">
        <f ca="1">VALUE(LEFT(VLOOKUP(B273,bond!B:R,17,FALSE),SEARCH(" ",VLOOKUP(B273,bond!B:R,17,FALSE),1)))</f>
        <v>10000</v>
      </c>
      <c r="O273" s="136">
        <f ca="1">VALUE(RIGHT(VLOOKUP(B273,bond!B:R,17,FALSE),LEN(VLOOKUP(B273,bond!B:R,17,FALSE))-LEN(N273)-3))</f>
        <v>1000</v>
      </c>
      <c r="P273" s="135" t="str">
        <f ca="1">VLOOKUP($B273,bond!$B:$AG,32,FALSE)</f>
        <v>2024/10/13</v>
      </c>
      <c r="Q273" s="135" t="str">
        <f ca="1">VLOOKUP($B273,bond!$B:$AH,33,FALSE)</f>
        <v>非核心消費</v>
      </c>
      <c r="R273" s="135" t="str">
        <f ca="1">VLOOKUP(B273,bond!B:AA,26,FALSE)</f>
        <v>亞馬遜公司</v>
      </c>
      <c r="S273" s="135" t="str">
        <f ca="1">VLOOKUP(B273,bond!B:AI,34,FALSE)</f>
        <v>AMZN</v>
      </c>
      <c r="T273" s="135" t="str">
        <f t="shared" ca="1" si="28"/>
        <v>亞馬遜公司/AMZN</v>
      </c>
      <c r="U273" s="207" t="str">
        <f ca="1">IFERROR(VLOOKUP(T273,Bond_DES!D:E,2,FALSE),VLOOKUP(S273,bond!AI:AJ,2,FALSE))</f>
        <v>亞馬遜公司(Amazon.com, Inc.)按營收為美國第2大、全球第4大企業(Fortune 2023)，是全球最大的網路零售商與雲端基礎建設供應商，商品銷售市占在美國達5成、雲端AWS囊括全球1/3市占，並在全球擁有超過2億的Prime付費會員。</v>
      </c>
      <c r="V273" s="136" t="str">
        <f ca="1">IFERROR(VLOOKUP(B273,'1_重設數據'!L:M,2,FALSE),IF(Q273="政府",IF(AD273&gt;16,"(NPI)非專投",IF(AD273&gt;10,"(PI)專投","高資產")),IF(VLOOKUP(B273,bond!B:AN,39,FALSE)="Y","(PI)專投",IF(AD273&gt;=15,"(NPI)非專投",IF(AD273&gt;=10,"(PI)專投","高資產")))))</f>
        <v>(NPI)非專投</v>
      </c>
      <c r="W273" s="136" t="str">
        <f ca="1">VLOOKUP(AD273,'credit rating'!$F$2:$H$22,3,FALSE)</f>
        <v>AA</v>
      </c>
      <c r="X273" s="136" t="str">
        <f t="shared" ca="1" si="29"/>
        <v>A1</v>
      </c>
      <c r="Y273" s="136" t="str">
        <f t="shared" ca="1" si="30"/>
        <v>AA</v>
      </c>
      <c r="Z273" s="136" t="str">
        <f t="shared" ca="1" si="31"/>
        <v>AA-</v>
      </c>
      <c r="AA273" s="134">
        <f ca="1">IFERROR(VLOOKUP(X273,'credit rating'!A:C,3,FALSE),0)</f>
        <v>17</v>
      </c>
      <c r="AB273" s="134">
        <f ca="1">IFERROR(VLOOKUP(Y273,'credit rating'!B:C,2,FALSE),0)</f>
        <v>19</v>
      </c>
      <c r="AC273" s="136">
        <f ca="1">IFERROR(VLOOKUP(Z273,'credit rating'!B:C,2,FALSE),0)</f>
        <v>18</v>
      </c>
      <c r="AD273" s="136">
        <f t="shared" ca="1" si="32"/>
        <v>19</v>
      </c>
      <c r="AE273" s="249">
        <f ca="1">IFERROR(VLOOKUP(B273,bond!B:U,20,FALSE),"")</f>
        <v>4.5699999999999998E-2</v>
      </c>
      <c r="AF273" s="136" t="str">
        <f ca="1">IF(VLOOKUP(B273,bond!B:AK,36,FALSE)="#N/A Field Not Applicable","",VLOOKUP(B273,bond!B:AK,36,FALSE))</f>
        <v>2032/1/13</v>
      </c>
      <c r="AG273" s="136" t="str">
        <f ca="1">IF(VLOOKUP(B273,bond!B:AL,37,FALSE)="FIXED","固定",IF(VLOOKUP(B273,bond!B:AL,37,FALSE)="FLOATING","浮動",IF(VLOOKUP(B273,bond!B:AL,37,FALSE)="VARIABLE","變動",IF(VLOOKUP(B273,bond!B:AL,37,FALSE)="FLAT TRADING","不含息交易",IF(VLOOKUP(B273,bond!B:AL,37,FALSE)="ZERO COUPON","零息",VLOOKUP(B273,bond!B:AL,37,FALSE))))))</f>
        <v>固定</v>
      </c>
      <c r="AH273" s="136" t="str">
        <f>VLOOKUP(C273,'2_Check_code'!I:J,2,FALSE)</f>
        <v>美元(USD)</v>
      </c>
      <c r="AI273" s="136" t="str">
        <f t="shared" ca="1" si="33"/>
        <v>自由選清單</v>
      </c>
      <c r="AJ273" s="136">
        <f t="shared" ca="1" si="34"/>
        <v>0</v>
      </c>
      <c r="AK273" s="594" t="str">
        <f ca="1">IF(VLOOKUP(B273,bond!B:S,18,FALSE)="是","有",IF(VLOOKUP(B273,bond!B:S,18,FALSE)="NO OFFER","無","需查詢"))</f>
        <v>有</v>
      </c>
      <c r="AL273" s="136" t="str">
        <f>IF(VLOOKUP(A273,bond!F:AR,39,FALSE)="#N/A Field Not Applicable",VLOOKUP(A273,bond!F:AR,38,FALSE),IFERROR(VLOOKUP(A273,'7_發行日例外'!A:B,2,FALSE),VLOOKUP(A273,bond!F:AR,39,FALSE)))</f>
        <v>2022/4/13</v>
      </c>
      <c r="AM273" s="136" t="str">
        <f ca="1">VLOOKUP(B273,bond!B:AK,36,FALSE)</f>
        <v>2032/1/13</v>
      </c>
      <c r="AN273" s="136" t="str">
        <f ca="1">IFERROR(VLOOKUP(B273,'3_是否下架'!A:A,1,FALSE),"")</f>
        <v/>
      </c>
      <c r="AO273" s="136">
        <f ca="1">VLOOKUP(B273,bond!B:J,9,FALSE)</f>
        <v>92.36</v>
      </c>
      <c r="AP273" s="136">
        <f ca="1">VLOOKUP(B273,bond!B:V,21,FALSE)</f>
        <v>6.5997000000000003</v>
      </c>
    </row>
    <row r="274" spans="1:42">
      <c r="A274" s="141" t="str">
        <f>bond!F275</f>
        <v>US023135CR56</v>
      </c>
      <c r="B274" s="151" t="str">
        <f ca="1">IF($C$1=TRUE,bond!B275,"")</f>
        <v>XH770</v>
      </c>
      <c r="C274" s="95" t="str">
        <f>VLOOKUP(A274,bond!F:G,2,FALSE)</f>
        <v>USD</v>
      </c>
      <c r="D274" s="142" t="str">
        <f ca="1">VLOOKUP(B274,bond!B:C,2,FALSE)</f>
        <v>亞馬遜公司美元配息債券 4.7% 2032/12/1</v>
      </c>
      <c r="E274" s="95" t="str">
        <f ca="1">VLOOKUP(B274,bond!B:D,3,FALSE)</f>
        <v>A1 / AA / AA-</v>
      </c>
      <c r="F274" s="99" t="str">
        <f ca="1">VLOOKUP(B274,bond!B:AB,27,FALSE)</f>
        <v>2032/12/1</v>
      </c>
      <c r="G274" s="90">
        <f ca="1">VLOOKUP(B274,bond!B:E,4,FALSE)</f>
        <v>8.42</v>
      </c>
      <c r="H274" s="202">
        <f ca="1">VLOOKUP(B274,bond!B:Y,24,FALSE)</f>
        <v>4.7E-2</v>
      </c>
      <c r="I274" s="95">
        <f ca="1">VLOOKUP(B274,bond!B:Z,25,FALSE)</f>
        <v>2</v>
      </c>
      <c r="J274" s="180">
        <f ca="1">VLOOKUP(B274,bond!B:K,10,FALSE)</f>
        <v>0.4047</v>
      </c>
      <c r="K274" s="96">
        <f ca="1">VLOOKUP($B274,bond!B:S,14,FALSE)</f>
        <v>101.47</v>
      </c>
      <c r="L274" s="91" t="str">
        <f ca="1">VLOOKUP(B274,bond!B:H,7,FALSE)</f>
        <v>2024/7/2</v>
      </c>
      <c r="M274" s="144">
        <f ca="1">VLOOKUP($B274,bond!$B:$Q,16,FALSE)</f>
        <v>4.5499999999999999E-2</v>
      </c>
      <c r="N274" s="136">
        <f ca="1">VALUE(LEFT(VLOOKUP(B274,bond!B:R,17,FALSE),SEARCH(" ",VLOOKUP(B274,bond!B:R,17,FALSE),1)))</f>
        <v>10000</v>
      </c>
      <c r="O274" s="136">
        <f ca="1">VALUE(RIGHT(VLOOKUP(B274,bond!B:R,17,FALSE),LEN(VLOOKUP(B274,bond!B:R,17,FALSE))-LEN(N274)-3))</f>
        <v>1000</v>
      </c>
      <c r="P274" s="135" t="str">
        <f ca="1">VLOOKUP($B274,bond!$B:$AG,32,FALSE)</f>
        <v>2024/12/1</v>
      </c>
      <c r="Q274" s="135" t="str">
        <f ca="1">VLOOKUP($B274,bond!$B:$AH,33,FALSE)</f>
        <v>非核心消費</v>
      </c>
      <c r="R274" s="135" t="str">
        <f ca="1">VLOOKUP(B274,bond!B:AA,26,FALSE)</f>
        <v>亞馬遜公司</v>
      </c>
      <c r="S274" s="135" t="str">
        <f ca="1">VLOOKUP(B274,bond!B:AI,34,FALSE)</f>
        <v>AMZN</v>
      </c>
      <c r="T274" s="135" t="str">
        <f t="shared" ca="1" si="28"/>
        <v>亞馬遜公司/AMZN</v>
      </c>
      <c r="U274" s="207" t="str">
        <f ca="1">IFERROR(VLOOKUP(T274,Bond_DES!D:E,2,FALSE),VLOOKUP(S274,bond!AI:AJ,2,FALSE))</f>
        <v>亞馬遜公司(Amazon.com, Inc.)按營收為美國第2大、全球第4大企業(Fortune 2023)，是全球最大的網路零售商與雲端基礎建設供應商，商品銷售市占在美國達5成、雲端AWS囊括全球1/3市占，並在全球擁有超過2億的Prime付費會員。</v>
      </c>
      <c r="V274" s="136" t="str">
        <f ca="1">IFERROR(VLOOKUP(B274,'1_重設數據'!L:M,2,FALSE),IF(Q274="政府",IF(AD274&gt;16,"(NPI)非專投",IF(AD274&gt;10,"(PI)專投","高資產")),IF(VLOOKUP(B274,bond!B:AN,39,FALSE)="Y","(PI)專投",IF(AD274&gt;=15,"(NPI)非專投",IF(AD274&gt;=10,"(PI)專投","高資產")))))</f>
        <v>(NPI)非專投</v>
      </c>
      <c r="W274" s="136" t="str">
        <f ca="1">VLOOKUP(AD274,'credit rating'!$F$2:$H$22,3,FALSE)</f>
        <v>AA</v>
      </c>
      <c r="X274" s="136" t="str">
        <f t="shared" ca="1" si="29"/>
        <v>A1</v>
      </c>
      <c r="Y274" s="136" t="str">
        <f t="shared" ca="1" si="30"/>
        <v>AA</v>
      </c>
      <c r="Z274" s="136" t="str">
        <f t="shared" ca="1" si="31"/>
        <v>AA-</v>
      </c>
      <c r="AA274" s="134">
        <f ca="1">IFERROR(VLOOKUP(X274,'credit rating'!A:C,3,FALSE),0)</f>
        <v>17</v>
      </c>
      <c r="AB274" s="134">
        <f ca="1">IFERROR(VLOOKUP(Y274,'credit rating'!B:C,2,FALSE),0)</f>
        <v>19</v>
      </c>
      <c r="AC274" s="136">
        <f ca="1">IFERROR(VLOOKUP(Z274,'credit rating'!B:C,2,FALSE),0)</f>
        <v>18</v>
      </c>
      <c r="AD274" s="136">
        <f t="shared" ca="1" si="32"/>
        <v>19</v>
      </c>
      <c r="AE274" s="249">
        <f ca="1">IFERROR(VLOOKUP(B274,bond!B:U,20,FALSE),"")</f>
        <v>4.5400000000000003E-2</v>
      </c>
      <c r="AF274" s="136" t="str">
        <f ca="1">IF(VLOOKUP(B274,bond!B:AK,36,FALSE)="#N/A Field Not Applicable","",VLOOKUP(B274,bond!B:AK,36,FALSE))</f>
        <v>2032/9/1</v>
      </c>
      <c r="AG274" s="136" t="str">
        <f ca="1">IF(VLOOKUP(B274,bond!B:AL,37,FALSE)="FIXED","固定",IF(VLOOKUP(B274,bond!B:AL,37,FALSE)="FLOATING","浮動",IF(VLOOKUP(B274,bond!B:AL,37,FALSE)="VARIABLE","變動",IF(VLOOKUP(B274,bond!B:AL,37,FALSE)="FLAT TRADING","不含息交易",IF(VLOOKUP(B274,bond!B:AL,37,FALSE)="ZERO COUPON","零息",VLOOKUP(B274,bond!B:AL,37,FALSE))))))</f>
        <v>固定</v>
      </c>
      <c r="AH274" s="136" t="str">
        <f>VLOOKUP(C274,'2_Check_code'!I:J,2,FALSE)</f>
        <v>美元(USD)</v>
      </c>
      <c r="AI274" s="136" t="str">
        <f t="shared" ca="1" si="33"/>
        <v>自由選清單</v>
      </c>
      <c r="AJ274" s="136">
        <f t="shared" ca="1" si="34"/>
        <v>0</v>
      </c>
      <c r="AK274" s="594" t="str">
        <f ca="1">IF(VLOOKUP(B274,bond!B:S,18,FALSE)="是","有",IF(VLOOKUP(B274,bond!B:S,18,FALSE)="NO OFFER","無","需查詢"))</f>
        <v>有</v>
      </c>
      <c r="AL274" s="136" t="str">
        <f>IF(VLOOKUP(A274,bond!F:AR,39,FALSE)="#N/A Field Not Applicable",VLOOKUP(A274,bond!F:AR,38,FALSE),IFERROR(VLOOKUP(A274,'7_發行日例外'!A:B,2,FALSE),VLOOKUP(A274,bond!F:AR,39,FALSE)))</f>
        <v>2022/12/1</v>
      </c>
      <c r="AM274" s="136" t="str">
        <f ca="1">VLOOKUP(B274,bond!B:AK,36,FALSE)</f>
        <v>2032/9/1</v>
      </c>
      <c r="AN274" s="136" t="str">
        <f ca="1">IFERROR(VLOOKUP(B274,'3_是否下架'!A:A,1,FALSE),"")</f>
        <v/>
      </c>
      <c r="AO274" s="136">
        <f ca="1">VLOOKUP(B274,bond!B:J,9,FALSE)</f>
        <v>99.570000000000007</v>
      </c>
      <c r="AP274" s="136">
        <f ca="1">VLOOKUP(B274,bond!B:V,21,FALSE)</f>
        <v>6.8571</v>
      </c>
    </row>
    <row r="275" spans="1:42">
      <c r="A275" s="141" t="str">
        <f>bond!F276</f>
        <v>XS2747599509</v>
      </c>
      <c r="B275" s="151" t="str">
        <f ca="1">IF($C$1=TRUE,bond!B276,"")</f>
        <v>XH780</v>
      </c>
      <c r="C275" s="95" t="str">
        <f>VLOOKUP(A275,bond!F:G,2,FALSE)</f>
        <v>USD</v>
      </c>
      <c r="D275" s="142" t="str">
        <f ca="1">VLOOKUP(B275,bond!B:C,2,FALSE)</f>
        <v>沙烏地阿拉伯政府美元配息債券 5.75% 2054/1/16</v>
      </c>
      <c r="E275" s="95" t="str">
        <f ca="1">VLOOKUP(B275,bond!B:D,3,FALSE)</f>
        <v>A1 / - / A+</v>
      </c>
      <c r="F275" s="99" t="str">
        <f ca="1">VLOOKUP(B275,bond!B:AB,27,FALSE)</f>
        <v>2054/1/16</v>
      </c>
      <c r="G275" s="90">
        <f ca="1">VLOOKUP(B275,bond!B:E,4,FALSE)</f>
        <v>29.54</v>
      </c>
      <c r="H275" s="202">
        <f ca="1">VLOOKUP(B275,bond!B:Y,24,FALSE)</f>
        <v>5.7500000000000002E-2</v>
      </c>
      <c r="I275" s="95">
        <f ca="1">VLOOKUP(B275,bond!B:Z,25,FALSE)</f>
        <v>2</v>
      </c>
      <c r="J275" s="180">
        <f ca="1">VLOOKUP(B275,bond!B:K,10,FALSE)</f>
        <v>2.6674000000000002</v>
      </c>
      <c r="K275" s="96">
        <f ca="1">VLOOKUP($B275,bond!B:S,14,FALSE)</f>
        <v>103.54</v>
      </c>
      <c r="L275" s="91" t="str">
        <f ca="1">VLOOKUP(B275,bond!B:H,7,FALSE)</f>
        <v>2024/7/3</v>
      </c>
      <c r="M275" s="144">
        <f ca="1">VLOOKUP($B275,bond!$B:$Q,16,FALSE)</f>
        <v>5.6899999999999999E-2</v>
      </c>
      <c r="N275" s="136">
        <f ca="1">VALUE(LEFT(VLOOKUP(B275,bond!B:R,17,FALSE),SEARCH(" ",VLOOKUP(B275,bond!B:R,17,FALSE),1)))</f>
        <v>200000</v>
      </c>
      <c r="O275" s="136">
        <f ca="1">VALUE(RIGHT(VLOOKUP(B275,bond!B:R,17,FALSE),LEN(VLOOKUP(B275,bond!B:R,17,FALSE))-LEN(N275)-3))</f>
        <v>1000</v>
      </c>
      <c r="P275" s="135" t="str">
        <f ca="1">VLOOKUP($B275,bond!$B:$AG,32,FALSE)</f>
        <v>2024/7/16</v>
      </c>
      <c r="Q275" s="135" t="str">
        <f ca="1">VLOOKUP($B275,bond!$B:$AH,33,FALSE)</f>
        <v>政府</v>
      </c>
      <c r="R275" s="135" t="str">
        <f ca="1">VLOOKUP(B275,bond!B:AA,26,FALSE)</f>
        <v>Saudi Government Internation</v>
      </c>
      <c r="S275" s="135" t="str">
        <f ca="1">VLOOKUP(B275,bond!B:AI,34,FALSE)</f>
        <v>KSA</v>
      </c>
      <c r="T275" s="135" t="str">
        <f t="shared" ca="1" si="28"/>
        <v>Saudi Government Internation/KSA</v>
      </c>
      <c r="U275" s="207" t="str">
        <f ca="1">IFERROR(VLOOKUP(T275,Bond_DES!D:E,2,FALSE),VLOOKUP(S275,bond!AI:AJ,2,FALSE))</f>
        <v>沙烏地阿拉伯政府(Kingdom of Saudi Arabi)是阿拉伯世界地理面積第2大的國家。沙國是中東北非最大經濟體和全球第19大經濟體(IMF 2023)，且沙國主權基金管理資產位居全球第6大(SWFI 2023)。石油為沙國的經濟支柱，且沙國是OPEC的主要成員國，為全球最大的石油出口國和第2大原油蘊藏量國家。</v>
      </c>
      <c r="V275" s="136" t="str">
        <f ca="1">IFERROR(VLOOKUP(B275,'1_重設數據'!L:M,2,FALSE),IF(Q275="政府",IF(AD275&gt;16,"(NPI)非專投",IF(AD275&gt;10,"(PI)專投","高資產")),IF(VLOOKUP(B275,bond!B:AN,39,FALSE)="Y","(PI)專投",IF(AD275&gt;=15,"(NPI)非專投",IF(AD275&gt;=10,"(PI)專投","高資產")))))</f>
        <v>(NPI)非專投</v>
      </c>
      <c r="W275" s="136" t="str">
        <f ca="1">VLOOKUP(AD275,'credit rating'!$F$2:$H$22,3,FALSE)</f>
        <v>A+</v>
      </c>
      <c r="X275" s="136" t="str">
        <f t="shared" ca="1" si="29"/>
        <v>A1</v>
      </c>
      <c r="Y275" s="136" t="str">
        <f t="shared" ca="1" si="30"/>
        <v>-</v>
      </c>
      <c r="Z275" s="136" t="str">
        <f t="shared" ca="1" si="31"/>
        <v>A+</v>
      </c>
      <c r="AA275" s="134">
        <f ca="1">IFERROR(VLOOKUP(X275,'credit rating'!A:C,3,FALSE),0)</f>
        <v>17</v>
      </c>
      <c r="AB275" s="134">
        <f ca="1">IFERROR(VLOOKUP(Y275,'credit rating'!B:C,2,FALSE),0)</f>
        <v>0</v>
      </c>
      <c r="AC275" s="136">
        <f ca="1">IFERROR(VLOOKUP(Z275,'credit rating'!B:C,2,FALSE),0)</f>
        <v>17</v>
      </c>
      <c r="AD275" s="136">
        <f t="shared" ca="1" si="32"/>
        <v>17</v>
      </c>
      <c r="AE275" s="249" t="str">
        <f ca="1">IFERROR(VLOOKUP(B275,bond!B:U,20,FALSE),"")</f>
        <v xml:space="preserve"> </v>
      </c>
      <c r="AF275" s="136" t="str">
        <f ca="1">IF(VLOOKUP(B275,bond!B:AK,36,FALSE)="#N/A Field Not Applicable","",VLOOKUP(B275,bond!B:AK,36,FALSE))</f>
        <v/>
      </c>
      <c r="AG275" s="136" t="str">
        <f ca="1">IF(VLOOKUP(B275,bond!B:AL,37,FALSE)="FIXED","固定",IF(VLOOKUP(B275,bond!B:AL,37,FALSE)="FLOATING","浮動",IF(VLOOKUP(B275,bond!B:AL,37,FALSE)="VARIABLE","變動",IF(VLOOKUP(B275,bond!B:AL,37,FALSE)="FLAT TRADING","不含息交易",IF(VLOOKUP(B275,bond!B:AL,37,FALSE)="ZERO COUPON","零息",VLOOKUP(B275,bond!B:AL,37,FALSE))))))</f>
        <v>固定</v>
      </c>
      <c r="AH275" s="136" t="str">
        <f>VLOOKUP(C275,'2_Check_code'!I:J,2,FALSE)</f>
        <v>美元(USD)</v>
      </c>
      <c r="AI275" s="136" t="str">
        <f t="shared" ca="1" si="33"/>
        <v>自由選清單</v>
      </c>
      <c r="AJ275" s="136">
        <f t="shared" ca="1" si="34"/>
        <v>0</v>
      </c>
      <c r="AK275" s="594" t="str">
        <f ca="1">IF(VLOOKUP(B275,bond!B:S,18,FALSE)="是","有",IF(VLOOKUP(B275,bond!B:S,18,FALSE)="NO OFFER","無","需查詢"))</f>
        <v>有</v>
      </c>
      <c r="AL275" s="136" t="str">
        <f>IF(VLOOKUP(A275,bond!F:AR,39,FALSE)="#N/A Field Not Applicable",VLOOKUP(A275,bond!F:AR,38,FALSE),IFERROR(VLOOKUP(A275,'7_發行日例外'!A:B,2,FALSE),VLOOKUP(A275,bond!F:AR,39,FALSE)))</f>
        <v>2024/1/16</v>
      </c>
      <c r="AM275" s="136" t="str">
        <f ca="1">VLOOKUP(B275,bond!B:AK,36,FALSE)</f>
        <v>#N/A Field Not Applicable</v>
      </c>
      <c r="AN275" s="136" t="str">
        <f ca="1">IFERROR(VLOOKUP(B275,'3_是否下架'!A:A,1,FALSE),"")</f>
        <v/>
      </c>
      <c r="AO275" s="136">
        <f ca="1">VLOOKUP(B275,bond!B:J,9,FALSE)</f>
        <v>97.37</v>
      </c>
      <c r="AP275" s="136">
        <f ca="1">VLOOKUP(B275,bond!B:V,21,FALSE)</f>
        <v>13.6435</v>
      </c>
    </row>
    <row r="276" spans="1:42">
      <c r="A276" s="141" t="str">
        <f>bond!F277</f>
        <v>US12189LAS07</v>
      </c>
      <c r="B276" s="151" t="str">
        <f ca="1">IF($C$1=TRUE,bond!B277,"")</f>
        <v>XH800</v>
      </c>
      <c r="C276" s="95" t="str">
        <f>VLOOKUP(A276,bond!F:G,2,FALSE)</f>
        <v>USD</v>
      </c>
      <c r="D276" s="142" t="str">
        <f ca="1">VLOOKUP(B276,bond!B:C,2,FALSE)</f>
        <v>伯靈頓北方聖塔菲有限責任公司美元配息債券 4.9% 2044/4/1</v>
      </c>
      <c r="E276" s="95" t="str">
        <f ca="1">VLOOKUP(B276,bond!B:D,3,FALSE)</f>
        <v>A3 / AA- / -</v>
      </c>
      <c r="F276" s="99" t="str">
        <f ca="1">VLOOKUP(B276,bond!B:AB,27,FALSE)</f>
        <v>2044/4/1</v>
      </c>
      <c r="G276" s="90">
        <f ca="1">VLOOKUP(B276,bond!B:E,4,FALSE)</f>
        <v>19.75</v>
      </c>
      <c r="H276" s="202">
        <f ca="1">VLOOKUP(B276,bond!B:Y,24,FALSE)</f>
        <v>4.9000000000000002E-2</v>
      </c>
      <c r="I276" s="95">
        <f ca="1">VLOOKUP(B276,bond!B:Z,25,FALSE)</f>
        <v>2</v>
      </c>
      <c r="J276" s="180">
        <f ca="1">VLOOKUP(B276,bond!B:K,10,FALSE)</f>
        <v>1.2385999999999999</v>
      </c>
      <c r="K276" s="96">
        <f ca="1">VLOOKUP($B276,bond!B:S,14,FALSE)</f>
        <v>97.31</v>
      </c>
      <c r="L276" s="91" t="str">
        <f ca="1">VLOOKUP(B276,bond!B:H,7,FALSE)</f>
        <v>2024/7/2</v>
      </c>
      <c r="M276" s="144">
        <f ca="1">VLOOKUP($B276,bond!$B:$Q,16,FALSE)</f>
        <v>5.2200000000000003E-2</v>
      </c>
      <c r="N276" s="136">
        <f ca="1">VALUE(LEFT(VLOOKUP(B276,bond!B:R,17,FALSE),SEARCH(" ",VLOOKUP(B276,bond!B:R,17,FALSE),1)))</f>
        <v>10000</v>
      </c>
      <c r="O276" s="136">
        <f ca="1">VALUE(RIGHT(VLOOKUP(B276,bond!B:R,17,FALSE),LEN(VLOOKUP(B276,bond!B:R,17,FALSE))-LEN(N276)-3))</f>
        <v>1000</v>
      </c>
      <c r="P276" s="135" t="str">
        <f ca="1">VLOOKUP($B276,bond!$B:$AG,32,FALSE)</f>
        <v>2024/10/1</v>
      </c>
      <c r="Q276" s="135" t="str">
        <f ca="1">VLOOKUP($B276,bond!$B:$AH,33,FALSE)</f>
        <v>工業</v>
      </c>
      <c r="R276" s="135" t="str">
        <f ca="1">VLOOKUP(B276,bond!B:AA,26,FALSE)</f>
        <v>伯靈頓北方聖塔菲有限責任公司</v>
      </c>
      <c r="S276" s="135" t="str">
        <f ca="1">VLOOKUP(B276,bond!B:AI,34,FALSE)</f>
        <v>BNSF</v>
      </c>
      <c r="T276" s="135" t="str">
        <f t="shared" ca="1" si="28"/>
        <v>伯靈頓北方聖塔菲有限責任公司/BNSF</v>
      </c>
      <c r="U276" s="207" t="str">
        <f ca="1">IFERROR(VLOOKUP(T276,Bond_DES!D:E,2,FALSE),VLOOKUP(S276,bond!AI:AJ,2,FALSE))</f>
        <v>伯靈頓北方聖塔菲有限責任公司(Burlington Northern Santa Fe, LLC)提供鐵路運輸服務。該公司運輸貨櫃、拖車、煤炭、穀物、化學品、金屬、礦物、林業產品，以及消費品。伯靈頓北方聖塔菲服務全球客戶。</v>
      </c>
      <c r="V276" s="136" t="str">
        <f ca="1">IFERROR(VLOOKUP(B276,'1_重設數據'!L:M,2,FALSE),IF(Q276="政府",IF(AD276&gt;16,"(NPI)非專投",IF(AD276&gt;10,"(PI)專投","高資產")),IF(VLOOKUP(B276,bond!B:AN,39,FALSE)="Y","(PI)專投",IF(AD276&gt;=15,"(NPI)非專投",IF(AD276&gt;=10,"(PI)專投","高資產")))))</f>
        <v>(NPI)非專投</v>
      </c>
      <c r="W276" s="136" t="str">
        <f ca="1">VLOOKUP(AD276,'credit rating'!$F$2:$H$22,3,FALSE)</f>
        <v>AA-</v>
      </c>
      <c r="X276" s="136" t="str">
        <f t="shared" ca="1" si="29"/>
        <v>A3</v>
      </c>
      <c r="Y276" s="136" t="str">
        <f t="shared" ca="1" si="30"/>
        <v>AA-</v>
      </c>
      <c r="Z276" s="136" t="str">
        <f t="shared" ca="1" si="31"/>
        <v>-</v>
      </c>
      <c r="AA276" s="134">
        <f ca="1">IFERROR(VLOOKUP(X276,'credit rating'!A:C,3,FALSE),0)</f>
        <v>15</v>
      </c>
      <c r="AB276" s="134">
        <f ca="1">IFERROR(VLOOKUP(Y276,'credit rating'!B:C,2,FALSE),0)</f>
        <v>18</v>
      </c>
      <c r="AC276" s="136">
        <f ca="1">IFERROR(VLOOKUP(Z276,'credit rating'!B:C,2,FALSE),0)</f>
        <v>0</v>
      </c>
      <c r="AD276" s="136">
        <f t="shared" ca="1" si="32"/>
        <v>18</v>
      </c>
      <c r="AE276" s="249">
        <f ca="1">IFERROR(VLOOKUP(B276,bond!B:U,20,FALSE),"")</f>
        <v>5.2299999999999999E-2</v>
      </c>
      <c r="AF276" s="136" t="str">
        <f ca="1">IF(VLOOKUP(B276,bond!B:AK,36,FALSE)="#N/A Field Not Applicable","",VLOOKUP(B276,bond!B:AK,36,FALSE))</f>
        <v>2043/10/1</v>
      </c>
      <c r="AG276" s="136" t="str">
        <f ca="1">IF(VLOOKUP(B276,bond!B:AL,37,FALSE)="FIXED","固定",IF(VLOOKUP(B276,bond!B:AL,37,FALSE)="FLOATING","浮動",IF(VLOOKUP(B276,bond!B:AL,37,FALSE)="VARIABLE","變動",IF(VLOOKUP(B276,bond!B:AL,37,FALSE)="FLAT TRADING","不含息交易",IF(VLOOKUP(B276,bond!B:AL,37,FALSE)="ZERO COUPON","零息",VLOOKUP(B276,bond!B:AL,37,FALSE))))))</f>
        <v>固定</v>
      </c>
      <c r="AH276" s="136" t="str">
        <f>VLOOKUP(C276,'2_Check_code'!I:J,2,FALSE)</f>
        <v>美元(USD)</v>
      </c>
      <c r="AI276" s="136" t="str">
        <f t="shared" ca="1" si="33"/>
        <v>自由選清單</v>
      </c>
      <c r="AJ276" s="136">
        <f t="shared" ca="1" si="34"/>
        <v>0</v>
      </c>
      <c r="AK276" s="594" t="str">
        <f ca="1">IF(VLOOKUP(B276,bond!B:S,18,FALSE)="是","有",IF(VLOOKUP(B276,bond!B:S,18,FALSE)="NO OFFER","無","需查詢"))</f>
        <v>有</v>
      </c>
      <c r="AL276" s="136" t="str">
        <f>IF(VLOOKUP(A276,bond!F:AR,39,FALSE)="#N/A Field Not Applicable",VLOOKUP(A276,bond!F:AR,38,FALSE),IFERROR(VLOOKUP(A276,'7_發行日例外'!A:B,2,FALSE),VLOOKUP(A276,bond!F:AR,39,FALSE)))</f>
        <v>2014/3/7</v>
      </c>
      <c r="AM276" s="136" t="str">
        <f ca="1">VLOOKUP(B276,bond!B:AK,36,FALSE)</f>
        <v>2043/10/1</v>
      </c>
      <c r="AN276" s="136" t="str">
        <f ca="1">IFERROR(VLOOKUP(B276,'3_是否下架'!A:A,1,FALSE),"")</f>
        <v/>
      </c>
      <c r="AO276" s="136">
        <f ca="1">VLOOKUP(B276,bond!B:J,9,FALSE)</f>
        <v>93.070000000000007</v>
      </c>
      <c r="AP276" s="136">
        <f ca="1">VLOOKUP(B276,bond!B:V,21,FALSE)</f>
        <v>12.144299999999999</v>
      </c>
    </row>
    <row r="277" spans="1:42">
      <c r="A277" s="141" t="str">
        <f>bond!F278</f>
        <v>US88579YBC49</v>
      </c>
      <c r="B277" s="151" t="str">
        <f ca="1">IF($C$1=TRUE,bond!B278,"")</f>
        <v>XH810</v>
      </c>
      <c r="C277" s="95" t="str">
        <f>VLOOKUP(A277,bond!F:G,2,FALSE)</f>
        <v>USD</v>
      </c>
      <c r="D277" s="142" t="str">
        <f ca="1">VLOOKUP(B277,bond!B:C,2,FALSE)</f>
        <v>3M公司美元配息債券 3.625% 2028/9/14</v>
      </c>
      <c r="E277" s="95" t="str">
        <f ca="1">VLOOKUP(B277,bond!B:D,3,FALSE)</f>
        <v>A3 / BBB+ / A-</v>
      </c>
      <c r="F277" s="99" t="str">
        <f ca="1">VLOOKUP(B277,bond!B:AB,27,FALSE)</f>
        <v>2028/9/14</v>
      </c>
      <c r="G277" s="90">
        <f ca="1">VLOOKUP(B277,bond!B:E,4,FALSE)</f>
        <v>4.2</v>
      </c>
      <c r="H277" s="202">
        <f ca="1">VLOOKUP(B277,bond!B:Y,24,FALSE)</f>
        <v>3.6249999999999998E-2</v>
      </c>
      <c r="I277" s="95">
        <f ca="1">VLOOKUP(B277,bond!B:Z,25,FALSE)</f>
        <v>2</v>
      </c>
      <c r="J277" s="180">
        <f ca="1">VLOOKUP(B277,bond!B:K,10,FALSE)</f>
        <v>1.0874999999999999</v>
      </c>
      <c r="K277" s="96">
        <f ca="1">VLOOKUP($B277,bond!B:S,14,FALSE)</f>
        <v>97.62</v>
      </c>
      <c r="L277" s="91" t="str">
        <f ca="1">VLOOKUP(B277,bond!B:H,7,FALSE)</f>
        <v>2024/7/2</v>
      </c>
      <c r="M277" s="144">
        <f ca="1">VLOOKUP($B277,bond!$B:$Q,16,FALSE)</f>
        <v>4.5400000000000003E-2</v>
      </c>
      <c r="N277" s="136">
        <f ca="1">VALUE(LEFT(VLOOKUP(B277,bond!B:R,17,FALSE),SEARCH(" ",VLOOKUP(B277,bond!B:R,17,FALSE),1)))</f>
        <v>10000</v>
      </c>
      <c r="O277" s="136">
        <f ca="1">VALUE(RIGHT(VLOOKUP(B277,bond!B:R,17,FALSE),LEN(VLOOKUP(B277,bond!B:R,17,FALSE))-LEN(N277)-3))</f>
        <v>1000</v>
      </c>
      <c r="P277" s="135" t="str">
        <f ca="1">VLOOKUP($B277,bond!$B:$AG,32,FALSE)</f>
        <v>2024/9/14</v>
      </c>
      <c r="Q277" s="135" t="str">
        <f ca="1">VLOOKUP($B277,bond!$B:$AH,33,FALSE)</f>
        <v>工業</v>
      </c>
      <c r="R277" s="135" t="str">
        <f ca="1">VLOOKUP(B277,bond!B:AA,26,FALSE)</f>
        <v>3M</v>
      </c>
      <c r="S277" s="135" t="str">
        <f ca="1">VLOOKUP(B277,bond!B:AI,34,FALSE)</f>
        <v>MMM</v>
      </c>
      <c r="T277" s="135" t="str">
        <f t="shared" ca="1" si="28"/>
        <v>3M/MMM</v>
      </c>
      <c r="U277" s="207" t="str">
        <f ca="1">IFERROR(VLOOKUP(T277,Bond_DES!D:E,2,FALSE),VLOOKUP(S277,bond!AI:AJ,2,FALSE))</f>
        <v>3M公司(3M Company)透過安全與工業產品、運輸及電子產品、醫療產品及消費品等四大事業群於全球開發、製造並銷售各類產品，2024年4月完成醫療保健業務的分拆，名列2024年《Fortune》美國500強企業中化學品產業第2位，受《Interbrand》評為2023年最佳全球品牌。</v>
      </c>
      <c r="V277" s="136" t="str">
        <f ca="1">IFERROR(VLOOKUP(B277,'1_重設數據'!L:M,2,FALSE),IF(Q277="政府",IF(AD277&gt;16,"(NPI)非專投",IF(AD277&gt;10,"(PI)專投","高資產")),IF(VLOOKUP(B277,bond!B:AN,39,FALSE)="Y","(PI)專投",IF(AD277&gt;=15,"(NPI)非專投",IF(AD277&gt;=10,"(PI)專投","高資產")))))</f>
        <v>(NPI)非專投</v>
      </c>
      <c r="W277" s="136" t="str">
        <f ca="1">VLOOKUP(AD277,'credit rating'!$F$2:$H$22,3,FALSE)</f>
        <v>A-</v>
      </c>
      <c r="X277" s="136" t="str">
        <f t="shared" ca="1" si="29"/>
        <v>A3</v>
      </c>
      <c r="Y277" s="136" t="str">
        <f t="shared" ca="1" si="30"/>
        <v>BBB+</v>
      </c>
      <c r="Z277" s="136" t="str">
        <f t="shared" ca="1" si="31"/>
        <v>A-</v>
      </c>
      <c r="AA277" s="134">
        <f ca="1">IFERROR(VLOOKUP(X277,'credit rating'!A:C,3,FALSE),0)</f>
        <v>15</v>
      </c>
      <c r="AB277" s="134">
        <f ca="1">IFERROR(VLOOKUP(Y277,'credit rating'!B:C,2,FALSE),0)</f>
        <v>14</v>
      </c>
      <c r="AC277" s="136">
        <f ca="1">IFERROR(VLOOKUP(Z277,'credit rating'!B:C,2,FALSE),0)</f>
        <v>15</v>
      </c>
      <c r="AD277" s="136">
        <f t="shared" ca="1" si="32"/>
        <v>15</v>
      </c>
      <c r="AE277" s="249">
        <f ca="1">IFERROR(VLOOKUP(B277,bond!B:U,20,FALSE),"")</f>
        <v>4.5999999999999999E-2</v>
      </c>
      <c r="AF277" s="136" t="str">
        <f ca="1">IF(VLOOKUP(B277,bond!B:AK,36,FALSE)="#N/A Field Not Applicable","",VLOOKUP(B277,bond!B:AK,36,FALSE))</f>
        <v>2028/6/14</v>
      </c>
      <c r="AG277" s="136" t="str">
        <f ca="1">IF(VLOOKUP(B277,bond!B:AL,37,FALSE)="FIXED","固定",IF(VLOOKUP(B277,bond!B:AL,37,FALSE)="FLOATING","浮動",IF(VLOOKUP(B277,bond!B:AL,37,FALSE)="VARIABLE","變動",IF(VLOOKUP(B277,bond!B:AL,37,FALSE)="FLAT TRADING","不含息交易",IF(VLOOKUP(B277,bond!B:AL,37,FALSE)="ZERO COUPON","零息",VLOOKUP(B277,bond!B:AL,37,FALSE))))))</f>
        <v>固定</v>
      </c>
      <c r="AH277" s="136" t="str">
        <f>VLOOKUP(C277,'2_Check_code'!I:J,2,FALSE)</f>
        <v>美元(USD)</v>
      </c>
      <c r="AI277" s="136" t="str">
        <f t="shared" ca="1" si="33"/>
        <v>自由選清單</v>
      </c>
      <c r="AJ277" s="136">
        <f t="shared" ca="1" si="34"/>
        <v>0</v>
      </c>
      <c r="AK277" s="594" t="str">
        <f ca="1">IF(VLOOKUP(B277,bond!B:S,18,FALSE)="是","有",IF(VLOOKUP(B277,bond!B:S,18,FALSE)="NO OFFER","無","需查詢"))</f>
        <v>有</v>
      </c>
      <c r="AL277" s="136" t="str">
        <f>IF(VLOOKUP(A277,bond!F:AR,39,FALSE)="#N/A Field Not Applicable",VLOOKUP(A277,bond!F:AR,38,FALSE),IFERROR(VLOOKUP(A277,'7_發行日例外'!A:B,2,FALSE),VLOOKUP(A277,bond!F:AR,39,FALSE)))</f>
        <v>2018/9/14</v>
      </c>
      <c r="AM277" s="136" t="str">
        <f ca="1">VLOOKUP(B277,bond!B:AK,36,FALSE)</f>
        <v>2028/6/14</v>
      </c>
      <c r="AN277" s="136" t="str">
        <f ca="1">IFERROR(VLOOKUP(B277,'3_是否下架'!A:A,1,FALSE),"")</f>
        <v/>
      </c>
      <c r="AO277" s="136">
        <f ca="1">VLOOKUP(B277,bond!B:J,9,FALSE)</f>
        <v>95.03</v>
      </c>
      <c r="AP277" s="136">
        <f ca="1">VLOOKUP(B277,bond!B:V,21,FALSE)</f>
        <v>3.7919</v>
      </c>
    </row>
    <row r="278" spans="1:42">
      <c r="A278" s="141" t="str">
        <f>bond!F279</f>
        <v>US88579YBN04</v>
      </c>
      <c r="B278" s="151" t="str">
        <f ca="1">IF($C$1=TRUE,bond!B279,"")</f>
        <v>XH820</v>
      </c>
      <c r="C278" s="95" t="str">
        <f>VLOOKUP(A278,bond!F:G,2,FALSE)</f>
        <v>USD</v>
      </c>
      <c r="D278" s="142" t="str">
        <f ca="1">VLOOKUP(B278,bond!B:C,2,FALSE)</f>
        <v>3M公司美元配息債券 3.05% 2030/4/15</v>
      </c>
      <c r="E278" s="95" t="str">
        <f ca="1">VLOOKUP(B278,bond!B:D,3,FALSE)</f>
        <v>A3 / BBB+ / A-</v>
      </c>
      <c r="F278" s="99" t="str">
        <f ca="1">VLOOKUP(B278,bond!B:AB,27,FALSE)</f>
        <v>2030/4/15</v>
      </c>
      <c r="G278" s="90">
        <f ca="1">VLOOKUP(B278,bond!B:E,4,FALSE)</f>
        <v>5.79</v>
      </c>
      <c r="H278" s="202">
        <f ca="1">VLOOKUP(B278,bond!B:Y,24,FALSE)</f>
        <v>3.0499999999999999E-2</v>
      </c>
      <c r="I278" s="95">
        <f ca="1">VLOOKUP(B278,bond!B:Z,25,FALSE)</f>
        <v>2</v>
      </c>
      <c r="J278" s="180">
        <f ca="1">VLOOKUP(B278,bond!B:K,10,FALSE)</f>
        <v>0.65239999999999998</v>
      </c>
      <c r="K278" s="96">
        <f ca="1">VLOOKUP($B278,bond!B:S,14,FALSE)</f>
        <v>92.34</v>
      </c>
      <c r="L278" s="91" t="str">
        <f ca="1">VLOOKUP(B278,bond!B:H,7,FALSE)</f>
        <v>2024/7/2</v>
      </c>
      <c r="M278" s="144">
        <f ca="1">VLOOKUP($B278,bond!$B:$Q,16,FALSE)</f>
        <v>4.7100000000000003E-2</v>
      </c>
      <c r="N278" s="136">
        <f ca="1">VALUE(LEFT(VLOOKUP(B278,bond!B:R,17,FALSE),SEARCH(" ",VLOOKUP(B278,bond!B:R,17,FALSE),1)))</f>
        <v>10000</v>
      </c>
      <c r="O278" s="136">
        <f ca="1">VALUE(RIGHT(VLOOKUP(B278,bond!B:R,17,FALSE),LEN(VLOOKUP(B278,bond!B:R,17,FALSE))-LEN(N278)-3))</f>
        <v>1000</v>
      </c>
      <c r="P278" s="135" t="str">
        <f ca="1">VLOOKUP($B278,bond!$B:$AG,32,FALSE)</f>
        <v>2024/10/15</v>
      </c>
      <c r="Q278" s="135" t="str">
        <f ca="1">VLOOKUP($B278,bond!$B:$AH,33,FALSE)</f>
        <v>工業</v>
      </c>
      <c r="R278" s="135" t="str">
        <f ca="1">VLOOKUP(B278,bond!B:AA,26,FALSE)</f>
        <v>3M</v>
      </c>
      <c r="S278" s="135" t="str">
        <f ca="1">VLOOKUP(B278,bond!B:AI,34,FALSE)</f>
        <v>MMM</v>
      </c>
      <c r="T278" s="135" t="str">
        <f t="shared" ca="1" si="28"/>
        <v>3M/MMM</v>
      </c>
      <c r="U278" s="207" t="str">
        <f ca="1">IFERROR(VLOOKUP(T278,Bond_DES!D:E,2,FALSE),VLOOKUP(S278,bond!AI:AJ,2,FALSE))</f>
        <v>3M公司(3M Company)透過安全與工業產品、運輸及電子產品、醫療產品及消費品等四大事業群於全球開發、製造並銷售各類產品，2024年4月完成醫療保健業務的分拆，名列2024年《Fortune》美國500強企業中化學品產業第2位，受《Interbrand》評為2023年最佳全球品牌。</v>
      </c>
      <c r="V278" s="136" t="str">
        <f ca="1">IFERROR(VLOOKUP(B278,'1_重設數據'!L:M,2,FALSE),IF(Q278="政府",IF(AD278&gt;16,"(NPI)非專投",IF(AD278&gt;10,"(PI)專投","高資產")),IF(VLOOKUP(B278,bond!B:AN,39,FALSE)="Y","(PI)專投",IF(AD278&gt;=15,"(NPI)非專投",IF(AD278&gt;=10,"(PI)專投","高資產")))))</f>
        <v>(NPI)非專投</v>
      </c>
      <c r="W278" s="136" t="str">
        <f ca="1">VLOOKUP(AD278,'credit rating'!$F$2:$H$22,3,FALSE)</f>
        <v>A-</v>
      </c>
      <c r="X278" s="136" t="str">
        <f t="shared" ca="1" si="29"/>
        <v>A3</v>
      </c>
      <c r="Y278" s="136" t="str">
        <f t="shared" ca="1" si="30"/>
        <v>BBB+</v>
      </c>
      <c r="Z278" s="136" t="str">
        <f t="shared" ca="1" si="31"/>
        <v>A-</v>
      </c>
      <c r="AA278" s="134">
        <f ca="1">IFERROR(VLOOKUP(X278,'credit rating'!A:C,3,FALSE),0)</f>
        <v>15</v>
      </c>
      <c r="AB278" s="134">
        <f ca="1">IFERROR(VLOOKUP(Y278,'credit rating'!B:C,2,FALSE),0)</f>
        <v>14</v>
      </c>
      <c r="AC278" s="136">
        <f ca="1">IFERROR(VLOOKUP(Z278,'credit rating'!B:C,2,FALSE),0)</f>
        <v>15</v>
      </c>
      <c r="AD278" s="136">
        <f t="shared" ca="1" si="32"/>
        <v>15</v>
      </c>
      <c r="AE278" s="249">
        <f ca="1">IFERROR(VLOOKUP(B278,bond!B:U,20,FALSE),"")</f>
        <v>4.7800000000000002E-2</v>
      </c>
      <c r="AF278" s="136" t="str">
        <f ca="1">IF(VLOOKUP(B278,bond!B:AK,36,FALSE)="#N/A Field Not Applicable","",VLOOKUP(B278,bond!B:AK,36,FALSE))</f>
        <v>2030/1/15</v>
      </c>
      <c r="AG278" s="136" t="str">
        <f ca="1">IF(VLOOKUP(B278,bond!B:AL,37,FALSE)="FIXED","固定",IF(VLOOKUP(B278,bond!B:AL,37,FALSE)="FLOATING","浮動",IF(VLOOKUP(B278,bond!B:AL,37,FALSE)="VARIABLE","變動",IF(VLOOKUP(B278,bond!B:AL,37,FALSE)="FLAT TRADING","不含息交易",IF(VLOOKUP(B278,bond!B:AL,37,FALSE)="ZERO COUPON","零息",VLOOKUP(B278,bond!B:AL,37,FALSE))))))</f>
        <v>固定</v>
      </c>
      <c r="AH278" s="136" t="str">
        <f>VLOOKUP(C278,'2_Check_code'!I:J,2,FALSE)</f>
        <v>美元(USD)</v>
      </c>
      <c r="AI278" s="136" t="str">
        <f t="shared" ca="1" si="33"/>
        <v>自由選清單</v>
      </c>
      <c r="AJ278" s="136">
        <f t="shared" ca="1" si="34"/>
        <v>0</v>
      </c>
      <c r="AK278" s="594" t="str">
        <f ca="1">IF(VLOOKUP(B278,bond!B:S,18,FALSE)="是","有",IF(VLOOKUP(B278,bond!B:S,18,FALSE)="NO OFFER","無","需查詢"))</f>
        <v>有</v>
      </c>
      <c r="AL278" s="136" t="str">
        <f>IF(VLOOKUP(A278,bond!F:AR,39,FALSE)="#N/A Field Not Applicable",VLOOKUP(A278,bond!F:AR,38,FALSE),IFERROR(VLOOKUP(A278,'7_發行日例外'!A:B,2,FALSE),VLOOKUP(A278,bond!F:AR,39,FALSE)))</f>
        <v>2020/3/27</v>
      </c>
      <c r="AM278" s="136" t="str">
        <f ca="1">VLOOKUP(B278,bond!B:AK,36,FALSE)</f>
        <v>2030/1/15</v>
      </c>
      <c r="AN278" s="136" t="str">
        <f ca="1">IFERROR(VLOOKUP(B278,'3_是否下架'!A:A,1,FALSE),"")</f>
        <v/>
      </c>
      <c r="AO278" s="136">
        <f ca="1">VLOOKUP(B278,bond!B:J,9,FALSE)</f>
        <v>90.190000000000012</v>
      </c>
      <c r="AP278" s="136">
        <f ca="1">VLOOKUP(B278,bond!B:V,21,FALSE)</f>
        <v>5.1563999999999997</v>
      </c>
    </row>
    <row r="279" spans="1:42">
      <c r="A279" s="141" t="str">
        <f>bond!F280</f>
        <v>US038222AM71</v>
      </c>
      <c r="B279" s="151" t="str">
        <f ca="1">IF($C$1=TRUE,bond!B280,"")</f>
        <v>XH830</v>
      </c>
      <c r="C279" s="95" t="str">
        <f>VLOOKUP(A279,bond!F:G,2,FALSE)</f>
        <v>USD</v>
      </c>
      <c r="D279" s="142" t="str">
        <f ca="1">VLOOKUP(B279,bond!B:C,2,FALSE)</f>
        <v>應用材料公司美元配息債券 4.35% 2047/4/1</v>
      </c>
      <c r="E279" s="95" t="str">
        <f ca="1">VLOOKUP(B279,bond!B:D,3,FALSE)</f>
        <v>A2 / A / -</v>
      </c>
      <c r="F279" s="99" t="str">
        <f ca="1">VLOOKUP(B279,bond!B:AB,27,FALSE)</f>
        <v>2047/4/1</v>
      </c>
      <c r="G279" s="90">
        <f ca="1">VLOOKUP(B279,bond!B:E,4,FALSE)</f>
        <v>22.75</v>
      </c>
      <c r="H279" s="202">
        <f ca="1">VLOOKUP(B279,bond!B:Y,24,FALSE)</f>
        <v>4.3499999999999997E-2</v>
      </c>
      <c r="I279" s="95">
        <f ca="1">VLOOKUP(B279,bond!B:Z,25,FALSE)</f>
        <v>2</v>
      </c>
      <c r="J279" s="180">
        <f ca="1">VLOOKUP(B279,bond!B:K,10,FALSE)</f>
        <v>1.0995999999999999</v>
      </c>
      <c r="K279" s="96">
        <f ca="1">VLOOKUP($B279,bond!B:S,14,FALSE)</f>
        <v>92.62</v>
      </c>
      <c r="L279" s="91" t="str">
        <f ca="1">VLOOKUP(B279,bond!B:H,7,FALSE)</f>
        <v>2024/7/2</v>
      </c>
      <c r="M279" s="144">
        <f ca="1">VLOOKUP($B279,bond!$B:$Q,16,FALSE)</f>
        <v>4.9799999999999997E-2</v>
      </c>
      <c r="N279" s="136">
        <f ca="1">VALUE(LEFT(VLOOKUP(B279,bond!B:R,17,FALSE),SEARCH(" ",VLOOKUP(B279,bond!B:R,17,FALSE),1)))</f>
        <v>10000</v>
      </c>
      <c r="O279" s="136">
        <f ca="1">VALUE(RIGHT(VLOOKUP(B279,bond!B:R,17,FALSE),LEN(VLOOKUP(B279,bond!B:R,17,FALSE))-LEN(N279)-3))</f>
        <v>1000</v>
      </c>
      <c r="P279" s="135" t="str">
        <f ca="1">VLOOKUP($B279,bond!$B:$AG,32,FALSE)</f>
        <v>2024/10/1</v>
      </c>
      <c r="Q279" s="135" t="str">
        <f ca="1">VLOOKUP($B279,bond!$B:$AH,33,FALSE)</f>
        <v>科技</v>
      </c>
      <c r="R279" s="135" t="str">
        <f ca="1">VLOOKUP(B279,bond!B:AA,26,FALSE)</f>
        <v>應用材料</v>
      </c>
      <c r="S279" s="135" t="str">
        <f ca="1">VLOOKUP(B279,bond!B:AI,34,FALSE)</f>
        <v>AMAT</v>
      </c>
      <c r="T279" s="135" t="str">
        <f t="shared" ca="1" si="28"/>
        <v>應用材料/AMAT</v>
      </c>
      <c r="U279" s="207" t="str">
        <f ca="1">IFERROR(VLOOKUP(T279,Bond_DES!D:E,2,FALSE),VLOOKUP(S279,bond!AI:AJ,2,FALSE))</f>
        <v>應用材料公司(Applied Materials, Inc.)為全球領先的晶圓廠設備(WFE)製造商，主要生產半導體晶片所需的前端製程設備，產品幾乎覆蓋除了曝光機(艾司摩爾控股公司ASML的強項)以外的大部分設備，台積電、三星電子、英特爾等全球知名半導體大廠皆為其客戶。</v>
      </c>
      <c r="V279" s="136" t="str">
        <f ca="1">IFERROR(VLOOKUP(B279,'1_重設數據'!L:M,2,FALSE),IF(Q279="政府",IF(AD279&gt;16,"(NPI)非專投",IF(AD279&gt;10,"(PI)專投","高資產")),IF(VLOOKUP(B279,bond!B:AN,39,FALSE)="Y","(PI)專投",IF(AD279&gt;=15,"(NPI)非專投",IF(AD279&gt;=10,"(PI)專投","高資產")))))</f>
        <v>(NPI)非專投</v>
      </c>
      <c r="W279" s="136" t="str">
        <f ca="1">VLOOKUP(AD279,'credit rating'!$F$2:$H$22,3,FALSE)</f>
        <v>A</v>
      </c>
      <c r="X279" s="136" t="str">
        <f t="shared" ca="1" si="29"/>
        <v>A2</v>
      </c>
      <c r="Y279" s="136" t="str">
        <f t="shared" ca="1" si="30"/>
        <v>A</v>
      </c>
      <c r="Z279" s="136" t="str">
        <f t="shared" ca="1" si="31"/>
        <v>-</v>
      </c>
      <c r="AA279" s="134">
        <f ca="1">IFERROR(VLOOKUP(X279,'credit rating'!A:C,3,FALSE),0)</f>
        <v>16</v>
      </c>
      <c r="AB279" s="134">
        <f ca="1">IFERROR(VLOOKUP(Y279,'credit rating'!B:C,2,FALSE),0)</f>
        <v>16</v>
      </c>
      <c r="AC279" s="136">
        <f ca="1">IFERROR(VLOOKUP(Z279,'credit rating'!B:C,2,FALSE),0)</f>
        <v>0</v>
      </c>
      <c r="AD279" s="136">
        <f t="shared" ca="1" si="32"/>
        <v>16</v>
      </c>
      <c r="AE279" s="249">
        <f ca="1">IFERROR(VLOOKUP(B279,bond!B:U,20,FALSE),"")</f>
        <v>4.9799999999999997E-2</v>
      </c>
      <c r="AF279" s="136" t="str">
        <f ca="1">IF(VLOOKUP(B279,bond!B:AK,36,FALSE)="#N/A Field Not Applicable","",VLOOKUP(B279,bond!B:AK,36,FALSE))</f>
        <v>2046/10/1</v>
      </c>
      <c r="AG279" s="136" t="str">
        <f ca="1">IF(VLOOKUP(B279,bond!B:AL,37,FALSE)="FIXED","固定",IF(VLOOKUP(B279,bond!B:AL,37,FALSE)="FLOATING","浮動",IF(VLOOKUP(B279,bond!B:AL,37,FALSE)="VARIABLE","變動",IF(VLOOKUP(B279,bond!B:AL,37,FALSE)="FLAT TRADING","不含息交易",IF(VLOOKUP(B279,bond!B:AL,37,FALSE)="ZERO COUPON","零息",VLOOKUP(B279,bond!B:AL,37,FALSE))))))</f>
        <v>固定</v>
      </c>
      <c r="AH279" s="136" t="str">
        <f>VLOOKUP(C279,'2_Check_code'!I:J,2,FALSE)</f>
        <v>美元(USD)</v>
      </c>
      <c r="AI279" s="136" t="str">
        <f t="shared" ca="1" si="33"/>
        <v>自由選清單</v>
      </c>
      <c r="AJ279" s="136">
        <f t="shared" ca="1" si="34"/>
        <v>0</v>
      </c>
      <c r="AK279" s="594" t="str">
        <f ca="1">IF(VLOOKUP(B279,bond!B:S,18,FALSE)="是","有",IF(VLOOKUP(B279,bond!B:S,18,FALSE)="NO OFFER","無","需查詢"))</f>
        <v>有</v>
      </c>
      <c r="AL279" s="136" t="str">
        <f>IF(VLOOKUP(A279,bond!F:AR,39,FALSE)="#N/A Field Not Applicable",VLOOKUP(A279,bond!F:AR,38,FALSE),IFERROR(VLOOKUP(A279,'7_發行日例外'!A:B,2,FALSE),VLOOKUP(A279,bond!F:AR,39,FALSE)))</f>
        <v>2017/3/31</v>
      </c>
      <c r="AM279" s="136" t="str">
        <f ca="1">VLOOKUP(B279,bond!B:AK,36,FALSE)</f>
        <v>2046/10/1</v>
      </c>
      <c r="AN279" s="136" t="str">
        <f ca="1">IFERROR(VLOOKUP(B279,'3_是否下架'!A:A,1,FALSE),"")</f>
        <v/>
      </c>
      <c r="AO279" s="136">
        <f ca="1">VLOOKUP(B279,bond!B:J,9,FALSE)</f>
        <v>88.02000000000001</v>
      </c>
      <c r="AP279" s="136">
        <f ca="1">VLOOKUP(B279,bond!B:V,21,FALSE)</f>
        <v>13.610300000000001</v>
      </c>
    </row>
    <row r="280" spans="1:42">
      <c r="A280" s="141" t="str">
        <f>bond!F281</f>
        <v>US459200HF10</v>
      </c>
      <c r="B280" s="151" t="str">
        <f ca="1">IF($C$1=TRUE,bond!B281,"")</f>
        <v>XH840</v>
      </c>
      <c r="C280" s="95" t="str">
        <f>VLOOKUP(A280,bond!F:G,2,FALSE)</f>
        <v>USD</v>
      </c>
      <c r="D280" s="142" t="str">
        <f ca="1">VLOOKUP(B280,bond!B:C,2,FALSE)</f>
        <v>國際商業機器公司美元配息債券 4% 2042/6/20</v>
      </c>
      <c r="E280" s="95" t="str">
        <f ca="1">VLOOKUP(B280,bond!B:D,3,FALSE)</f>
        <v>A3 / A- / A-</v>
      </c>
      <c r="F280" s="99" t="str">
        <f ca="1">VLOOKUP(B280,bond!B:AB,27,FALSE)</f>
        <v>2042/6/20</v>
      </c>
      <c r="G280" s="90">
        <f ca="1">VLOOKUP(B280,bond!B:E,4,FALSE)</f>
        <v>17.97</v>
      </c>
      <c r="H280" s="202">
        <f ca="1">VLOOKUP(B280,bond!B:Y,24,FALSE)</f>
        <v>0.04</v>
      </c>
      <c r="I280" s="95">
        <f ca="1">VLOOKUP(B280,bond!B:Z,25,FALSE)</f>
        <v>2</v>
      </c>
      <c r="J280" s="180">
        <f ca="1">VLOOKUP(B280,bond!B:K,10,FALSE)</f>
        <v>0.1333</v>
      </c>
      <c r="K280" s="96">
        <f ca="1">VLOOKUP($B280,bond!B:S,14,FALSE)</f>
        <v>85.49</v>
      </c>
      <c r="L280" s="91" t="str">
        <f ca="1">VLOOKUP(B280,bond!B:H,7,FALSE)</f>
        <v>2024/7/2</v>
      </c>
      <c r="M280" s="144">
        <f ca="1">VLOOKUP($B280,bond!$B:$Q,16,FALSE)</f>
        <v>5.2699999999999997E-2</v>
      </c>
      <c r="N280" s="136">
        <f ca="1">VALUE(LEFT(VLOOKUP(B280,bond!B:R,17,FALSE),SEARCH(" ",VLOOKUP(B280,bond!B:R,17,FALSE),1)))</f>
        <v>10000</v>
      </c>
      <c r="O280" s="136">
        <f ca="1">VALUE(RIGHT(VLOOKUP(B280,bond!B:R,17,FALSE),LEN(VLOOKUP(B280,bond!B:R,17,FALSE))-LEN(N280)-3))</f>
        <v>1000</v>
      </c>
      <c r="P280" s="135" t="str">
        <f ca="1">VLOOKUP($B280,bond!$B:$AG,32,FALSE)</f>
        <v>2024/12/20</v>
      </c>
      <c r="Q280" s="135" t="str">
        <f ca="1">VLOOKUP($B280,bond!$B:$AH,33,FALSE)</f>
        <v>科技</v>
      </c>
      <c r="R280" s="135" t="str">
        <f ca="1">VLOOKUP(B280,bond!B:AA,26,FALSE)</f>
        <v>國際商業機器</v>
      </c>
      <c r="S280" s="135" t="str">
        <f ca="1">VLOOKUP(B280,bond!B:AI,34,FALSE)</f>
        <v>IBM</v>
      </c>
      <c r="T280" s="135" t="str">
        <f t="shared" ca="1" si="28"/>
        <v>國際商業機器/IBM</v>
      </c>
      <c r="U280" s="207" t="str">
        <f ca="1">IFERROR(VLOOKUP(T280,Bond_DES!D:E,2,FALSE),VLOOKUP(S280,bond!AI:AJ,2,FALSE))</f>
        <v>國際商業機器公司(International Business Machines Corporation，簡稱IBM)為一家逾百年歷史的跨國科技公司，早年由硬體起家的IBM有「藍色巨人」之稱，在把電腦業務出售給聯想後轉型為聚焦軟體、服務、混合雲平台的公司，業務遍及全球175個國家。2024年《Fortune》全美500強第63位。</v>
      </c>
      <c r="V280" s="136" t="str">
        <f ca="1">IFERROR(VLOOKUP(B280,'1_重設數據'!L:M,2,FALSE),IF(Q280="政府",IF(AD280&gt;16,"(NPI)非專投",IF(AD280&gt;10,"(PI)專投","高資產")),IF(VLOOKUP(B280,bond!B:AN,39,FALSE)="Y","(PI)專投",IF(AD280&gt;=15,"(NPI)非專投",IF(AD280&gt;=10,"(PI)專投","高資產")))))</f>
        <v>(NPI)非專投</v>
      </c>
      <c r="W280" s="136" t="str">
        <f ca="1">VLOOKUP(AD280,'credit rating'!$F$2:$H$22,3,FALSE)</f>
        <v>A-</v>
      </c>
      <c r="X280" s="136" t="str">
        <f t="shared" ca="1" si="29"/>
        <v>A3</v>
      </c>
      <c r="Y280" s="136" t="str">
        <f t="shared" ca="1" si="30"/>
        <v>A-</v>
      </c>
      <c r="Z280" s="136" t="str">
        <f t="shared" ca="1" si="31"/>
        <v>A-</v>
      </c>
      <c r="AA280" s="134">
        <f ca="1">IFERROR(VLOOKUP(X280,'credit rating'!A:C,3,FALSE),0)</f>
        <v>15</v>
      </c>
      <c r="AB280" s="134">
        <f ca="1">IFERROR(VLOOKUP(Y280,'credit rating'!B:C,2,FALSE),0)</f>
        <v>15</v>
      </c>
      <c r="AC280" s="136">
        <f ca="1">IFERROR(VLOOKUP(Z280,'credit rating'!B:C,2,FALSE),0)</f>
        <v>15</v>
      </c>
      <c r="AD280" s="136">
        <f t="shared" ca="1" si="32"/>
        <v>15</v>
      </c>
      <c r="AE280" s="249" t="str">
        <f ca="1">IFERROR(VLOOKUP(B280,bond!B:U,20,FALSE),"")</f>
        <v xml:space="preserve"> </v>
      </c>
      <c r="AF280" s="136" t="str">
        <f ca="1">IF(VLOOKUP(B280,bond!B:AK,36,FALSE)="#N/A Field Not Applicable","",VLOOKUP(B280,bond!B:AK,36,FALSE))</f>
        <v/>
      </c>
      <c r="AG280" s="136" t="str">
        <f ca="1">IF(VLOOKUP(B280,bond!B:AL,37,FALSE)="FIXED","固定",IF(VLOOKUP(B280,bond!B:AL,37,FALSE)="FLOATING","浮動",IF(VLOOKUP(B280,bond!B:AL,37,FALSE)="VARIABLE","變動",IF(VLOOKUP(B280,bond!B:AL,37,FALSE)="FLAT TRADING","不含息交易",IF(VLOOKUP(B280,bond!B:AL,37,FALSE)="ZERO COUPON","零息",VLOOKUP(B280,bond!B:AL,37,FALSE))))))</f>
        <v>固定</v>
      </c>
      <c r="AH280" s="136" t="str">
        <f>VLOOKUP(C280,'2_Check_code'!I:J,2,FALSE)</f>
        <v>美元(USD)</v>
      </c>
      <c r="AI280" s="136" t="str">
        <f t="shared" ca="1" si="33"/>
        <v>自由選清單</v>
      </c>
      <c r="AJ280" s="136">
        <f t="shared" ca="1" si="34"/>
        <v>0</v>
      </c>
      <c r="AK280" s="594" t="str">
        <f ca="1">IF(VLOOKUP(B280,bond!B:S,18,FALSE)="是","有",IF(VLOOKUP(B280,bond!B:S,18,FALSE)="NO OFFER","無","需查詢"))</f>
        <v>有</v>
      </c>
      <c r="AL280" s="136" t="str">
        <f>IF(VLOOKUP(A280,bond!F:AR,39,FALSE)="#N/A Field Not Applicable",VLOOKUP(A280,bond!F:AR,38,FALSE),IFERROR(VLOOKUP(A280,'7_發行日例外'!A:B,2,FALSE),VLOOKUP(A280,bond!F:AR,39,FALSE)))</f>
        <v>2012/6/20</v>
      </c>
      <c r="AM280" s="136" t="str">
        <f ca="1">VLOOKUP(B280,bond!B:AK,36,FALSE)</f>
        <v>#N/A Field Not Applicable</v>
      </c>
      <c r="AN280" s="136" t="str">
        <f ca="1">IFERROR(VLOOKUP(B280,'3_是否下架'!A:A,1,FALSE),"")</f>
        <v/>
      </c>
      <c r="AO280" s="136">
        <f ca="1">VLOOKUP(B280,bond!B:J,9,FALSE)</f>
        <v>82.36</v>
      </c>
      <c r="AP280" s="136">
        <f ca="1">VLOOKUP(B280,bond!B:V,21,FALSE)</f>
        <v>12.084300000000001</v>
      </c>
    </row>
    <row r="281" spans="1:42">
      <c r="A281" s="141" t="str">
        <f>bond!F282</f>
        <v>US91282CFV81</v>
      </c>
      <c r="B281" s="151" t="str">
        <f ca="1">IF($C$1=TRUE,bond!B282,"")</f>
        <v>XH860</v>
      </c>
      <c r="C281" s="95" t="str">
        <f>VLOOKUP(A281,bond!F:G,2,FALSE)</f>
        <v>USD</v>
      </c>
      <c r="D281" s="142" t="str">
        <f ca="1">VLOOKUP(B281,bond!B:C,2,FALSE)</f>
        <v>美國政府公債 4.125% 2032/11/15</v>
      </c>
      <c r="E281" s="95" t="str">
        <f ca="1">VLOOKUP(B281,bond!B:D,3,FALSE)</f>
        <v>Aaa / - / AA+u</v>
      </c>
      <c r="F281" s="99" t="str">
        <f ca="1">VLOOKUP(B281,bond!B:AB,27,FALSE)</f>
        <v>2032/11/15</v>
      </c>
      <c r="G281" s="90">
        <f ca="1">VLOOKUP(B281,bond!B:E,4,FALSE)</f>
        <v>8.3699999999999992</v>
      </c>
      <c r="H281" s="202">
        <f ca="1">VLOOKUP(B281,bond!B:Y,24,FALSE)</f>
        <v>4.1250000000000002E-2</v>
      </c>
      <c r="I281" s="95">
        <f ca="1">VLOOKUP(B281,bond!B:Z,25,FALSE)</f>
        <v>2</v>
      </c>
      <c r="J281" s="180">
        <f ca="1">VLOOKUP(B281,bond!B:K,10,FALSE)</f>
        <v>0.53800000000000003</v>
      </c>
      <c r="K281" s="96">
        <f ca="1">VLOOKUP($B281,bond!B:S,14,FALSE)</f>
        <v>100.45</v>
      </c>
      <c r="L281" s="91" t="str">
        <f ca="1">VLOOKUP(B281,bond!B:H,7,FALSE)</f>
        <v>2024/7/2</v>
      </c>
      <c r="M281" s="144">
        <f ca="1">VLOOKUP($B281,bond!$B:$Q,16,FALSE)</f>
        <v>4.1399999999999999E-2</v>
      </c>
      <c r="N281" s="136">
        <f ca="1">VALUE(LEFT(VLOOKUP(B281,bond!B:R,17,FALSE),SEARCH(" ",VLOOKUP(B281,bond!B:R,17,FALSE),1)))</f>
        <v>10000</v>
      </c>
      <c r="O281" s="136">
        <f ca="1">VALUE(RIGHT(VLOOKUP(B281,bond!B:R,17,FALSE),LEN(VLOOKUP(B281,bond!B:R,17,FALSE))-LEN(N281)-3))</f>
        <v>1000</v>
      </c>
      <c r="P281" s="135" t="str">
        <f ca="1">VLOOKUP($B281,bond!$B:$AG,32,FALSE)</f>
        <v>2024/11/15</v>
      </c>
      <c r="Q281" s="135" t="str">
        <f ca="1">VLOOKUP($B281,bond!$B:$AH,33,FALSE)</f>
        <v>政府</v>
      </c>
      <c r="R281" s="135" t="str">
        <f ca="1">VLOOKUP(B281,bond!B:AA,26,FALSE)</f>
        <v>美國國庫債券</v>
      </c>
      <c r="S281" s="135" t="str">
        <f ca="1">VLOOKUP(B281,bond!B:AI,34,FALSE)</f>
        <v>T</v>
      </c>
      <c r="T281" s="135" t="str">
        <f t="shared" ca="1" si="28"/>
        <v>美國國庫債券/T</v>
      </c>
      <c r="U281" s="207" t="str">
        <f ca="1">IFERROR(VLOOKUP(T281,Bond_DES!D:E,2,FALSE),VLOOKUP(S281,bond!AI:AJ,2,FALSE))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281" s="136" t="str">
        <f ca="1">IFERROR(VLOOKUP(B281,'1_重設數據'!L:M,2,FALSE),IF(Q281="政府",IF(AD281&gt;16,"(NPI)非專投",IF(AD281&gt;10,"(PI)專投","高資產")),IF(VLOOKUP(B281,bond!B:AN,39,FALSE)="Y","(PI)專投",IF(AD281&gt;=15,"(NPI)非專投",IF(AD281&gt;=10,"(PI)專投","高資產")))))</f>
        <v>(NPI)非專投</v>
      </c>
      <c r="W281" s="136" t="str">
        <f ca="1">VLOOKUP(AD281,'credit rating'!$F$2:$H$22,3,FALSE)</f>
        <v>AAA</v>
      </c>
      <c r="X281" s="136" t="str">
        <f t="shared" ca="1" si="29"/>
        <v>Aaa</v>
      </c>
      <c r="Y281" s="136" t="str">
        <f t="shared" ca="1" si="30"/>
        <v>-</v>
      </c>
      <c r="Z281" s="136" t="str">
        <f t="shared" ca="1" si="31"/>
        <v>AA+u</v>
      </c>
      <c r="AA281" s="134">
        <f ca="1">IFERROR(VLOOKUP(X281,'credit rating'!A:C,3,FALSE),0)</f>
        <v>21</v>
      </c>
      <c r="AB281" s="134">
        <f ca="1">IFERROR(VLOOKUP(Y281,'credit rating'!B:C,2,FALSE),0)</f>
        <v>0</v>
      </c>
      <c r="AC281" s="136">
        <f ca="1">IFERROR(VLOOKUP(Z281,'credit rating'!B:C,2,FALSE),0)</f>
        <v>20</v>
      </c>
      <c r="AD281" s="136">
        <f t="shared" ca="1" si="32"/>
        <v>21</v>
      </c>
      <c r="AE281" s="249" t="str">
        <f ca="1">IFERROR(VLOOKUP(B281,bond!B:U,20,FALSE),"")</f>
        <v xml:space="preserve"> </v>
      </c>
      <c r="AF281" s="136" t="str">
        <f ca="1">IF(VLOOKUP(B281,bond!B:AK,36,FALSE)="#N/A Field Not Applicable","",VLOOKUP(B281,bond!B:AK,36,FALSE))</f>
        <v/>
      </c>
      <c r="AG281" s="136" t="str">
        <f ca="1">IF(VLOOKUP(B281,bond!B:AL,37,FALSE)="FIXED","固定",IF(VLOOKUP(B281,bond!B:AL,37,FALSE)="FLOATING","浮動",IF(VLOOKUP(B281,bond!B:AL,37,FALSE)="VARIABLE","變動",IF(VLOOKUP(B281,bond!B:AL,37,FALSE)="FLAT TRADING","不含息交易",IF(VLOOKUP(B281,bond!B:AL,37,FALSE)="ZERO COUPON","零息",VLOOKUP(B281,bond!B:AL,37,FALSE))))))</f>
        <v>固定</v>
      </c>
      <c r="AH281" s="136" t="str">
        <f>VLOOKUP(C281,'2_Check_code'!I:J,2,FALSE)</f>
        <v>美元(USD)</v>
      </c>
      <c r="AI281" s="136" t="str">
        <f t="shared" ca="1" si="33"/>
        <v>自由選清單</v>
      </c>
      <c r="AJ281" s="136">
        <f t="shared" ca="1" si="34"/>
        <v>0</v>
      </c>
      <c r="AK281" s="594" t="str">
        <f ca="1">IF(VLOOKUP(B281,bond!B:S,18,FALSE)="是","有",IF(VLOOKUP(B281,bond!B:S,18,FALSE)="NO OFFER","無","需查詢"))</f>
        <v>有</v>
      </c>
      <c r="AL281" s="136" t="str">
        <f>IF(VLOOKUP(A281,bond!F:AR,39,FALSE)="#N/A Field Not Applicable",VLOOKUP(A281,bond!F:AR,38,FALSE),IFERROR(VLOOKUP(A281,'7_發行日例外'!A:B,2,FALSE),VLOOKUP(A281,bond!F:AR,39,FALSE)))</f>
        <v>2022/11/15</v>
      </c>
      <c r="AM281" s="136" t="str">
        <f ca="1">VLOOKUP(B281,bond!B:AK,36,FALSE)</f>
        <v>#N/A Field Not Applicable</v>
      </c>
      <c r="AN281" s="136" t="str">
        <f ca="1">IFERROR(VLOOKUP(B281,'3_是否下架'!A:A,1,FALSE),"")</f>
        <v/>
      </c>
      <c r="AO281" s="136">
        <f ca="1">VLOOKUP(B281,bond!B:J,9,FALSE)</f>
        <v>98.710000000000008</v>
      </c>
      <c r="AP281" s="136">
        <f ca="1">VLOOKUP(B281,bond!B:V,21,FALSE)</f>
        <v>6.9684999999999997</v>
      </c>
    </row>
    <row r="282" spans="1:42">
      <c r="A282" s="141" t="str">
        <f>bond!F283</f>
        <v>US912810PX00</v>
      </c>
      <c r="B282" s="151" t="str">
        <f ca="1">IF($C$1=TRUE,bond!B283,"")</f>
        <v>XH870</v>
      </c>
      <c r="C282" s="95" t="str">
        <f>VLOOKUP(A282,bond!F:G,2,FALSE)</f>
        <v>USD</v>
      </c>
      <c r="D282" s="142" t="str">
        <f ca="1">VLOOKUP(B282,bond!B:C,2,FALSE)</f>
        <v>美國政府公債 4.5% 2038/5/15</v>
      </c>
      <c r="E282" s="95" t="str">
        <f ca="1">VLOOKUP(B282,bond!B:D,3,FALSE)</f>
        <v>Aaa / - / AA+u</v>
      </c>
      <c r="F282" s="99" t="str">
        <f ca="1">VLOOKUP(B282,bond!B:AB,27,FALSE)</f>
        <v>2038/5/15</v>
      </c>
      <c r="G282" s="90">
        <f ca="1">VLOOKUP(B282,bond!B:E,4,FALSE)</f>
        <v>13.87</v>
      </c>
      <c r="H282" s="202">
        <f ca="1">VLOOKUP(B282,bond!B:Y,24,FALSE)</f>
        <v>4.4999999999999998E-2</v>
      </c>
      <c r="I282" s="95">
        <f ca="1">VLOOKUP(B282,bond!B:Z,25,FALSE)</f>
        <v>2</v>
      </c>
      <c r="J282" s="180">
        <f ca="1">VLOOKUP(B282,bond!B:K,10,FALSE)</f>
        <v>0.58699999999999997</v>
      </c>
      <c r="K282" s="96">
        <f ca="1">VLOOKUP($B282,bond!B:S,14,FALSE)</f>
        <v>103.59</v>
      </c>
      <c r="L282" s="91" t="str">
        <f ca="1">VLOOKUP(B282,bond!B:H,7,FALSE)</f>
        <v>2024/7/2</v>
      </c>
      <c r="M282" s="144">
        <f ca="1">VLOOKUP($B282,bond!$B:$Q,16,FALSE)</f>
        <v>4.2099999999999999E-2</v>
      </c>
      <c r="N282" s="136">
        <f ca="1">VALUE(LEFT(VLOOKUP(B282,bond!B:R,17,FALSE),SEARCH(" ",VLOOKUP(B282,bond!B:R,17,FALSE),1)))</f>
        <v>10000</v>
      </c>
      <c r="O282" s="136">
        <f ca="1">VALUE(RIGHT(VLOOKUP(B282,bond!B:R,17,FALSE),LEN(VLOOKUP(B282,bond!B:R,17,FALSE))-LEN(N282)-3))</f>
        <v>1000</v>
      </c>
      <c r="P282" s="135" t="str">
        <f ca="1">VLOOKUP($B282,bond!$B:$AG,32,FALSE)</f>
        <v>2024/11/15</v>
      </c>
      <c r="Q282" s="135" t="str">
        <f ca="1">VLOOKUP($B282,bond!$B:$AH,33,FALSE)</f>
        <v>政府</v>
      </c>
      <c r="R282" s="135" t="str">
        <f ca="1">VLOOKUP(B282,bond!B:AA,26,FALSE)</f>
        <v>美國國庫債券</v>
      </c>
      <c r="S282" s="135" t="str">
        <f ca="1">VLOOKUP(B282,bond!B:AI,34,FALSE)</f>
        <v>T</v>
      </c>
      <c r="T282" s="135" t="str">
        <f t="shared" ca="1" si="28"/>
        <v>美國國庫債券/T</v>
      </c>
      <c r="U282" s="207" t="str">
        <f ca="1">IFERROR(VLOOKUP(T282,Bond_DES!D:E,2,FALSE),VLOOKUP(S282,bond!AI:AJ,2,FALSE))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282" s="136" t="str">
        <f ca="1">IFERROR(VLOOKUP(B282,'1_重設數據'!L:M,2,FALSE),IF(Q282="政府",IF(AD282&gt;16,"(NPI)非專投",IF(AD282&gt;10,"(PI)專投","高資產")),IF(VLOOKUP(B282,bond!B:AN,39,FALSE)="Y","(PI)專投",IF(AD282&gt;=15,"(NPI)非專投",IF(AD282&gt;=10,"(PI)專投","高資產")))))</f>
        <v>(NPI)非專投</v>
      </c>
      <c r="W282" s="136" t="str">
        <f ca="1">VLOOKUP(AD282,'credit rating'!$F$2:$H$22,3,FALSE)</f>
        <v>AAA</v>
      </c>
      <c r="X282" s="136" t="str">
        <f t="shared" ca="1" si="29"/>
        <v>Aaa</v>
      </c>
      <c r="Y282" s="136" t="str">
        <f t="shared" ca="1" si="30"/>
        <v>-</v>
      </c>
      <c r="Z282" s="136" t="str">
        <f t="shared" ca="1" si="31"/>
        <v>AA+u</v>
      </c>
      <c r="AA282" s="134">
        <f ca="1">IFERROR(VLOOKUP(X282,'credit rating'!A:C,3,FALSE),0)</f>
        <v>21</v>
      </c>
      <c r="AB282" s="134">
        <f ca="1">IFERROR(VLOOKUP(Y282,'credit rating'!B:C,2,FALSE),0)</f>
        <v>0</v>
      </c>
      <c r="AC282" s="136">
        <f ca="1">IFERROR(VLOOKUP(Z282,'credit rating'!B:C,2,FALSE),0)</f>
        <v>20</v>
      </c>
      <c r="AD282" s="136">
        <f t="shared" ca="1" si="32"/>
        <v>21</v>
      </c>
      <c r="AE282" s="249" t="str">
        <f ca="1">IFERROR(VLOOKUP(B282,bond!B:U,20,FALSE),"")</f>
        <v xml:space="preserve"> </v>
      </c>
      <c r="AF282" s="136" t="str">
        <f ca="1">IF(VLOOKUP(B282,bond!B:AK,36,FALSE)="#N/A Field Not Applicable","",VLOOKUP(B282,bond!B:AK,36,FALSE))</f>
        <v/>
      </c>
      <c r="AG282" s="136" t="str">
        <f ca="1">IF(VLOOKUP(B282,bond!B:AL,37,FALSE)="FIXED","固定",IF(VLOOKUP(B282,bond!B:AL,37,FALSE)="FLOATING","浮動",IF(VLOOKUP(B282,bond!B:AL,37,FALSE)="VARIABLE","變動",IF(VLOOKUP(B282,bond!B:AL,37,FALSE)="FLAT TRADING","不含息交易",IF(VLOOKUP(B282,bond!B:AL,37,FALSE)="ZERO COUPON","零息",VLOOKUP(B282,bond!B:AL,37,FALSE))))))</f>
        <v>固定</v>
      </c>
      <c r="AH282" s="136" t="str">
        <f>VLOOKUP(C282,'2_Check_code'!I:J,2,FALSE)</f>
        <v>美元(USD)</v>
      </c>
      <c r="AI282" s="136" t="str">
        <f t="shared" ca="1" si="33"/>
        <v>自由選清單</v>
      </c>
      <c r="AJ282" s="136">
        <f t="shared" ca="1" si="34"/>
        <v>0</v>
      </c>
      <c r="AK282" s="594" t="str">
        <f ca="1">IF(VLOOKUP(B282,bond!B:S,18,FALSE)="是","有",IF(VLOOKUP(B282,bond!B:S,18,FALSE)="NO OFFER","無","需查詢"))</f>
        <v>有</v>
      </c>
      <c r="AL282" s="136" t="str">
        <f>IF(VLOOKUP(A282,bond!F:AR,39,FALSE)="#N/A Field Not Applicable",VLOOKUP(A282,bond!F:AR,38,FALSE),IFERROR(VLOOKUP(A282,'7_發行日例外'!A:B,2,FALSE),VLOOKUP(A282,bond!F:AR,39,FALSE)))</f>
        <v>2008/5/15</v>
      </c>
      <c r="AM282" s="136" t="str">
        <f ca="1">VLOOKUP(B282,bond!B:AK,36,FALSE)</f>
        <v>#N/A Field Not Applicable</v>
      </c>
      <c r="AN282" s="136" t="str">
        <f ca="1">IFERROR(VLOOKUP(B282,'3_是否下架'!A:A,1,FALSE),"")</f>
        <v/>
      </c>
      <c r="AO282" s="136">
        <f ca="1">VLOOKUP(B282,bond!B:J,9,FALSE)</f>
        <v>101.5</v>
      </c>
      <c r="AP282" s="136">
        <f ca="1">VLOOKUP(B282,bond!B:V,21,FALSE)</f>
        <v>10.2193</v>
      </c>
    </row>
    <row r="283" spans="1:42">
      <c r="A283" s="141" t="str">
        <f>bond!F284</f>
        <v>US912810QE10</v>
      </c>
      <c r="B283" s="151" t="str">
        <f ca="1">IF($C$1=TRUE,bond!B284,"")</f>
        <v>XH880</v>
      </c>
      <c r="C283" s="95" t="str">
        <f>VLOOKUP(A283,bond!F:G,2,FALSE)</f>
        <v>USD</v>
      </c>
      <c r="D283" s="142" t="str">
        <f ca="1">VLOOKUP(B283,bond!B:C,2,FALSE)</f>
        <v>美國政府公債 4.625% 2040/2/15</v>
      </c>
      <c r="E283" s="95" t="str">
        <f ca="1">VLOOKUP(B283,bond!B:D,3,FALSE)</f>
        <v>Aaa / - / AA+u</v>
      </c>
      <c r="F283" s="99" t="str">
        <f ca="1">VLOOKUP(B283,bond!B:AB,27,FALSE)</f>
        <v>2040/2/15</v>
      </c>
      <c r="G283" s="90">
        <f ca="1">VLOOKUP(B283,bond!B:E,4,FALSE)</f>
        <v>15.62</v>
      </c>
      <c r="H283" s="202">
        <f ca="1">VLOOKUP(B283,bond!B:Y,24,FALSE)</f>
        <v>4.6249999999999999E-2</v>
      </c>
      <c r="I283" s="95">
        <f ca="1">VLOOKUP(B283,bond!B:Z,25,FALSE)</f>
        <v>2</v>
      </c>
      <c r="J283" s="180">
        <f ca="1">VLOOKUP(B283,bond!B:K,10,FALSE)</f>
        <v>1.7534000000000001</v>
      </c>
      <c r="K283" s="96">
        <f ca="1">VLOOKUP($B283,bond!B:S,14,FALSE)</f>
        <v>105.88</v>
      </c>
      <c r="L283" s="91" t="str">
        <f ca="1">VLOOKUP(B283,bond!B:H,7,FALSE)</f>
        <v>2024/7/2</v>
      </c>
      <c r="M283" s="144">
        <f ca="1">VLOOKUP($B283,bond!$B:$Q,16,FALSE)</f>
        <v>4.2599999999999999E-2</v>
      </c>
      <c r="N283" s="136">
        <f ca="1">VALUE(LEFT(VLOOKUP(B283,bond!B:R,17,FALSE),SEARCH(" ",VLOOKUP(B283,bond!B:R,17,FALSE),1)))</f>
        <v>10000</v>
      </c>
      <c r="O283" s="136">
        <f ca="1">VALUE(RIGHT(VLOOKUP(B283,bond!B:R,17,FALSE),LEN(VLOOKUP(B283,bond!B:R,17,FALSE))-LEN(N283)-3))</f>
        <v>1000</v>
      </c>
      <c r="P283" s="135" t="str">
        <f ca="1">VLOOKUP($B283,bond!$B:$AG,32,FALSE)</f>
        <v>2024/8/15</v>
      </c>
      <c r="Q283" s="135" t="str">
        <f ca="1">VLOOKUP($B283,bond!$B:$AH,33,FALSE)</f>
        <v>政府</v>
      </c>
      <c r="R283" s="135" t="str">
        <f ca="1">VLOOKUP(B283,bond!B:AA,26,FALSE)</f>
        <v>美國國庫債券</v>
      </c>
      <c r="S283" s="135" t="str">
        <f ca="1">VLOOKUP(B283,bond!B:AI,34,FALSE)</f>
        <v>T</v>
      </c>
      <c r="T283" s="135" t="str">
        <f t="shared" ca="1" si="28"/>
        <v>美國國庫債券/T</v>
      </c>
      <c r="U283" s="207" t="str">
        <f ca="1">IFERROR(VLOOKUP(T283,Bond_DES!D:E,2,FALSE),VLOOKUP(S283,bond!AI:AJ,2,FALSE))</f>
        <v>美利堅合眾國(United States)國土面積世界前四、人口世界第三，是一個高度已開發國家，並是世界最大的經濟體(GDP約佔全球1/4)，人均GDP總值排名世界第6(IMF 2023)，而美元更高居全球外匯市場第一大貨幣地位，穆迪並賦予美國主權評等為 Aaa，美國公債為當今世上極少數被譽為『無風險』的投資商品。</v>
      </c>
      <c r="V283" s="136" t="str">
        <f ca="1">IFERROR(VLOOKUP(B283,'1_重設數據'!L:M,2,FALSE),IF(Q283="政府",IF(AD283&gt;16,"(NPI)非專投",IF(AD283&gt;10,"(PI)專投","高資產")),IF(VLOOKUP(B283,bond!B:AN,39,FALSE)="Y","(PI)專投",IF(AD283&gt;=15,"(NPI)非專投",IF(AD283&gt;=10,"(PI)專投","高資產")))))</f>
        <v>(NPI)非專投</v>
      </c>
      <c r="W283" s="136" t="str">
        <f ca="1">VLOOKUP(AD283,'credit rating'!$F$2:$H$22,3,FALSE)</f>
        <v>AAA</v>
      </c>
      <c r="X283" s="136" t="str">
        <f t="shared" ca="1" si="29"/>
        <v>Aaa</v>
      </c>
      <c r="Y283" s="136" t="str">
        <f t="shared" ca="1" si="30"/>
        <v>-</v>
      </c>
      <c r="Z283" s="136" t="str">
        <f t="shared" ca="1" si="31"/>
        <v>AA+u</v>
      </c>
      <c r="AA283" s="134">
        <f ca="1">IFERROR(VLOOKUP(X283,'credit rating'!A:C,3,FALSE),0)</f>
        <v>21</v>
      </c>
      <c r="AB283" s="134">
        <f ca="1">IFERROR(VLOOKUP(Y283,'credit rating'!B:C,2,FALSE),0)</f>
        <v>0</v>
      </c>
      <c r="AC283" s="136">
        <f ca="1">IFERROR(VLOOKUP(Z283,'credit rating'!B:C,2,FALSE),0)</f>
        <v>20</v>
      </c>
      <c r="AD283" s="136">
        <f t="shared" ca="1" si="32"/>
        <v>21</v>
      </c>
      <c r="AE283" s="249" t="str">
        <f ca="1">IFERROR(VLOOKUP(B283,bond!B:U,20,FALSE),"")</f>
        <v xml:space="preserve"> </v>
      </c>
      <c r="AF283" s="136" t="str">
        <f ca="1">IF(VLOOKUP(B283,bond!B:AK,36,FALSE)="#N/A Field Not Applicable","",VLOOKUP(B283,bond!B:AK,36,FALSE))</f>
        <v/>
      </c>
      <c r="AG283" s="136" t="str">
        <f ca="1">IF(VLOOKUP(B283,bond!B:AL,37,FALSE)="FIXED","固定",IF(VLOOKUP(B283,bond!B:AL,37,FALSE)="FLOATING","浮動",IF(VLOOKUP(B283,bond!B:AL,37,FALSE)="VARIABLE","變動",IF(VLOOKUP(B283,bond!B:AL,37,FALSE)="FLAT TRADING","不含息交易",IF(VLOOKUP(B283,bond!B:AL,37,FALSE)="ZERO COUPON","零息",VLOOKUP(B283,bond!B:AL,37,FALSE))))))</f>
        <v>固定</v>
      </c>
      <c r="AH283" s="136" t="str">
        <f>VLOOKUP(C283,'2_Check_code'!I:J,2,FALSE)</f>
        <v>美元(USD)</v>
      </c>
      <c r="AI283" s="136" t="str">
        <f t="shared" ca="1" si="33"/>
        <v>自由選清單</v>
      </c>
      <c r="AJ283" s="136">
        <f t="shared" ca="1" si="34"/>
        <v>0</v>
      </c>
      <c r="AK283" s="594" t="str">
        <f ca="1">IF(VLOOKUP(B283,bond!B:S,18,FALSE)="是","有",IF(VLOOKUP(B283,bond!B:S,18,FALSE)="NO OFFER","無","需查詢"))</f>
        <v>有</v>
      </c>
      <c r="AL283" s="136" t="str">
        <f>IF(VLOOKUP(A283,bond!F:AR,39,FALSE)="#N/A Field Not Applicable",VLOOKUP(A283,bond!F:AR,38,FALSE),IFERROR(VLOOKUP(A283,'7_發行日例外'!A:B,2,FALSE),VLOOKUP(A283,bond!F:AR,39,FALSE)))</f>
        <v>2010/2/15</v>
      </c>
      <c r="AM283" s="136" t="str">
        <f ca="1">VLOOKUP(B283,bond!B:AK,36,FALSE)</f>
        <v>#N/A Field Not Applicable</v>
      </c>
      <c r="AN283" s="136" t="str">
        <f ca="1">IFERROR(VLOOKUP(B283,'3_是否下架'!A:A,1,FALSE),"")</f>
        <v/>
      </c>
      <c r="AO283" s="136">
        <f ca="1">VLOOKUP(B283,bond!B:J,9,FALSE)</f>
        <v>102.13000000000001</v>
      </c>
      <c r="AP283" s="136">
        <f ca="1">VLOOKUP(B283,bond!B:V,21,FALSE)</f>
        <v>10.926500000000001</v>
      </c>
    </row>
    <row r="284" spans="1:42">
      <c r="A284" s="141" t="str">
        <f>bond!F285</f>
        <v>US458140AK64</v>
      </c>
      <c r="B284" s="151" t="str">
        <f ca="1">IF($C$1=TRUE,bond!B285,"")</f>
        <v>XH890</v>
      </c>
      <c r="C284" s="95" t="str">
        <f>VLOOKUP(A284,bond!F:G,2,FALSE)</f>
        <v>USD</v>
      </c>
      <c r="D284" s="142" t="str">
        <f ca="1">VLOOKUP(B284,bond!B:C,2,FALSE)</f>
        <v>英特爾公司美元配息債券 4.8% 2041/10/1</v>
      </c>
      <c r="E284" s="95" t="str">
        <f ca="1">VLOOKUP(B284,bond!B:D,3,FALSE)</f>
        <v>A3 / A- / A-</v>
      </c>
      <c r="F284" s="99" t="str">
        <f ca="1">VLOOKUP(B284,bond!B:AB,27,FALSE)</f>
        <v>2041/10/1</v>
      </c>
      <c r="G284" s="90">
        <f ca="1">VLOOKUP(B284,bond!B:E,4,FALSE)</f>
        <v>17.25</v>
      </c>
      <c r="H284" s="202">
        <f ca="1">VLOOKUP(B284,bond!B:Y,24,FALSE)</f>
        <v>4.8000000000000001E-2</v>
      </c>
      <c r="I284" s="95">
        <f ca="1">VLOOKUP(B284,bond!B:Z,25,FALSE)</f>
        <v>2</v>
      </c>
      <c r="J284" s="180">
        <f ca="1">VLOOKUP(B284,bond!B:K,10,FALSE)</f>
        <v>1.2133</v>
      </c>
      <c r="K284" s="96">
        <f ca="1">VLOOKUP($B284,bond!B:S,14,FALSE)</f>
        <v>95.35</v>
      </c>
      <c r="L284" s="91" t="str">
        <f ca="1">VLOOKUP(B284,bond!B:H,7,FALSE)</f>
        <v>2024/7/2</v>
      </c>
      <c r="M284" s="144">
        <f ca="1">VLOOKUP($B284,bond!$B:$Q,16,FALSE)</f>
        <v>5.3199999999999997E-2</v>
      </c>
      <c r="N284" s="136">
        <f ca="1">VALUE(LEFT(VLOOKUP(B284,bond!B:R,17,FALSE),SEARCH(" ",VLOOKUP(B284,bond!B:R,17,FALSE),1)))</f>
        <v>10000</v>
      </c>
      <c r="O284" s="136">
        <f ca="1">VALUE(RIGHT(VLOOKUP(B284,bond!B:R,17,FALSE),LEN(VLOOKUP(B284,bond!B:R,17,FALSE))-LEN(N284)-3))</f>
        <v>1000</v>
      </c>
      <c r="P284" s="135" t="str">
        <f ca="1">VLOOKUP($B284,bond!$B:$AG,32,FALSE)</f>
        <v>2024/10/1</v>
      </c>
      <c r="Q284" s="135" t="str">
        <f ca="1">VLOOKUP($B284,bond!$B:$AH,33,FALSE)</f>
        <v>科技</v>
      </c>
      <c r="R284" s="135" t="str">
        <f ca="1">VLOOKUP(B284,bond!B:AA,26,FALSE)</f>
        <v>英特爾</v>
      </c>
      <c r="S284" s="135" t="str">
        <f ca="1">VLOOKUP(B284,bond!B:AI,34,FALSE)</f>
        <v>INTC</v>
      </c>
      <c r="T284" s="135" t="str">
        <f t="shared" ca="1" si="28"/>
        <v>英特爾/INTC</v>
      </c>
      <c r="U284" s="207" t="str">
        <f ca="1">IFERROR(VLOOKUP(T284,Bond_DES!D:E,2,FALSE),VLOOKUP(S284,bond!AI:AJ,2,FALSE))</f>
        <v>英特爾(Intel Corporation)1971年推出全球首個x86架構CPU，奠定其成為全球最大的中央處理器(CPU)生產商，當前產品應用範疇已擴展至邊緣運算、5G網路、雲端、AI和自動駕駛等領域。根據Gartner統計，2023年全球半導體企業營收排行榜，英特爾超越三星，奪回全球半導體龍頭寶座。</v>
      </c>
      <c r="V284" s="136" t="str">
        <f ca="1">IFERROR(VLOOKUP(B284,'1_重設數據'!L:M,2,FALSE),IF(Q284="政府",IF(AD284&gt;16,"(NPI)非專投",IF(AD284&gt;10,"(PI)專投","高資產")),IF(VLOOKUP(B284,bond!B:AN,39,FALSE)="Y","(PI)專投",IF(AD284&gt;=15,"(NPI)非專投",IF(AD284&gt;=10,"(PI)專投","高資產")))))</f>
        <v>(NPI)非專投</v>
      </c>
      <c r="W284" s="136" t="str">
        <f ca="1">VLOOKUP(AD284,'credit rating'!$F$2:$H$22,3,FALSE)</f>
        <v>A-</v>
      </c>
      <c r="X284" s="136" t="str">
        <f t="shared" ca="1" si="29"/>
        <v>A3</v>
      </c>
      <c r="Y284" s="136" t="str">
        <f t="shared" ca="1" si="30"/>
        <v>A-</v>
      </c>
      <c r="Z284" s="136" t="str">
        <f t="shared" ca="1" si="31"/>
        <v>A-</v>
      </c>
      <c r="AA284" s="134">
        <f ca="1">IFERROR(VLOOKUP(X284,'credit rating'!A:C,3,FALSE),0)</f>
        <v>15</v>
      </c>
      <c r="AB284" s="134">
        <f ca="1">IFERROR(VLOOKUP(Y284,'credit rating'!B:C,2,FALSE),0)</f>
        <v>15</v>
      </c>
      <c r="AC284" s="136">
        <f ca="1">IFERROR(VLOOKUP(Z284,'credit rating'!B:C,2,FALSE),0)</f>
        <v>15</v>
      </c>
      <c r="AD284" s="136">
        <f t="shared" ca="1" si="32"/>
        <v>15</v>
      </c>
      <c r="AE284" s="249" t="str">
        <f ca="1">IFERROR(VLOOKUP(B284,bond!B:U,20,FALSE),"")</f>
        <v xml:space="preserve"> </v>
      </c>
      <c r="AF284" s="136" t="str">
        <f ca="1">IF(VLOOKUP(B284,bond!B:AK,36,FALSE)="#N/A Field Not Applicable","",VLOOKUP(B284,bond!B:AK,36,FALSE))</f>
        <v/>
      </c>
      <c r="AG284" s="136" t="str">
        <f ca="1">IF(VLOOKUP(B284,bond!B:AL,37,FALSE)="FIXED","固定",IF(VLOOKUP(B284,bond!B:AL,37,FALSE)="FLOATING","浮動",IF(VLOOKUP(B284,bond!B:AL,37,FALSE)="VARIABLE","變動",IF(VLOOKUP(B284,bond!B:AL,37,FALSE)="FLAT TRADING","不含息交易",IF(VLOOKUP(B284,bond!B:AL,37,FALSE)="ZERO COUPON","零息",VLOOKUP(B284,bond!B:AL,37,FALSE))))))</f>
        <v>固定</v>
      </c>
      <c r="AH284" s="136" t="str">
        <f>VLOOKUP(C284,'2_Check_code'!I:J,2,FALSE)</f>
        <v>美元(USD)</v>
      </c>
      <c r="AI284" s="136" t="str">
        <f t="shared" ca="1" si="33"/>
        <v>自由選清單</v>
      </c>
      <c r="AJ284" s="136">
        <f t="shared" ca="1" si="34"/>
        <v>0</v>
      </c>
      <c r="AK284" s="594" t="str">
        <f ca="1">IF(VLOOKUP(B284,bond!B:S,18,FALSE)="是","有",IF(VLOOKUP(B284,bond!B:S,18,FALSE)="NO OFFER","無","需查詢"))</f>
        <v>有</v>
      </c>
      <c r="AL284" s="136" t="str">
        <f>IF(VLOOKUP(A284,bond!F:AR,39,FALSE)="#N/A Field Not Applicable",VLOOKUP(A284,bond!F:AR,38,FALSE),IFERROR(VLOOKUP(A284,'7_發行日例外'!A:B,2,FALSE),VLOOKUP(A284,bond!F:AR,39,FALSE)))</f>
        <v>2011/9/19</v>
      </c>
      <c r="AM284" s="136" t="str">
        <f ca="1">VLOOKUP(B284,bond!B:AK,36,FALSE)</f>
        <v>#N/A Field Not Applicable</v>
      </c>
      <c r="AN284" s="136" t="str">
        <f ca="1">IFERROR(VLOOKUP(B284,'3_是否下架'!A:A,1,FALSE),"")</f>
        <v/>
      </c>
      <c r="AO284" s="136">
        <f ca="1">VLOOKUP(B284,bond!B:J,9,FALSE)</f>
        <v>91.64</v>
      </c>
      <c r="AP284" s="136">
        <f ca="1">VLOOKUP(B284,bond!B:V,21,FALSE)</f>
        <v>11.2102</v>
      </c>
    </row>
    <row r="285" spans="1:42">
      <c r="A285" s="141" t="str">
        <f>bond!F286</f>
        <v>US458140AY68</v>
      </c>
      <c r="B285" s="151" t="str">
        <f ca="1">IF($C$1=TRUE,bond!B286,"")</f>
        <v>XH900</v>
      </c>
      <c r="C285" s="95" t="str">
        <f>VLOOKUP(A285,bond!F:G,2,FALSE)</f>
        <v>USD</v>
      </c>
      <c r="D285" s="142" t="str">
        <f ca="1">VLOOKUP(B285,bond!B:C,2,FALSE)</f>
        <v>英特爾公司美元配息債券 4.1% 2047/5/11</v>
      </c>
      <c r="E285" s="95" t="str">
        <f ca="1">VLOOKUP(B285,bond!B:D,3,FALSE)</f>
        <v>A3 / A- / A-</v>
      </c>
      <c r="F285" s="99" t="str">
        <f ca="1">VLOOKUP(B285,bond!B:AB,27,FALSE)</f>
        <v>2047/5/11</v>
      </c>
      <c r="G285" s="90">
        <f ca="1">VLOOKUP(B285,bond!B:E,4,FALSE)</f>
        <v>22.86</v>
      </c>
      <c r="H285" s="202">
        <f ca="1">VLOOKUP(B285,bond!B:Y,24,FALSE)</f>
        <v>4.0999999999999995E-2</v>
      </c>
      <c r="I285" s="95">
        <f ca="1">VLOOKUP(B285,bond!B:Z,25,FALSE)</f>
        <v>2</v>
      </c>
      <c r="J285" s="180">
        <f ca="1">VLOOKUP(B285,bond!B:K,10,FALSE)</f>
        <v>0.58079999999999998</v>
      </c>
      <c r="K285" s="96">
        <f ca="1">VLOOKUP($B285,bond!B:S,14,FALSE)</f>
        <v>84.24</v>
      </c>
      <c r="L285" s="91" t="str">
        <f ca="1">VLOOKUP(B285,bond!B:H,7,FALSE)</f>
        <v>2024/7/2</v>
      </c>
      <c r="M285" s="144">
        <f ca="1">VLOOKUP($B285,bond!$B:$Q,16,FALSE)</f>
        <v>5.3499999999999999E-2</v>
      </c>
      <c r="N285" s="136">
        <f ca="1">VALUE(LEFT(VLOOKUP(B285,bond!B:R,17,FALSE),SEARCH(" ",VLOOKUP(B285,bond!B:R,17,FALSE),1)))</f>
        <v>10000</v>
      </c>
      <c r="O285" s="136">
        <f ca="1">VALUE(RIGHT(VLOOKUP(B285,bond!B:R,17,FALSE),LEN(VLOOKUP(B285,bond!B:R,17,FALSE))-LEN(N285)-3))</f>
        <v>1000</v>
      </c>
      <c r="P285" s="135" t="str">
        <f ca="1">VLOOKUP($B285,bond!$B:$AG,32,FALSE)</f>
        <v>2024/11/11</v>
      </c>
      <c r="Q285" s="135" t="str">
        <f ca="1">VLOOKUP($B285,bond!$B:$AH,33,FALSE)</f>
        <v>科技</v>
      </c>
      <c r="R285" s="135" t="str">
        <f ca="1">VLOOKUP(B285,bond!B:AA,26,FALSE)</f>
        <v>英特爾</v>
      </c>
      <c r="S285" s="135" t="str">
        <f ca="1">VLOOKUP(B285,bond!B:AI,34,FALSE)</f>
        <v>INTC</v>
      </c>
      <c r="T285" s="135" t="str">
        <f t="shared" ca="1" si="28"/>
        <v>英特爾/INTC</v>
      </c>
      <c r="U285" s="207" t="str">
        <f ca="1">IFERROR(VLOOKUP(T285,Bond_DES!D:E,2,FALSE),VLOOKUP(S285,bond!AI:AJ,2,FALSE))</f>
        <v>英特爾(Intel Corporation)1971年推出全球首個x86架構CPU，奠定其成為全球最大的中央處理器(CPU)生產商，當前產品應用範疇已擴展至邊緣運算、5G網路、雲端、AI和自動駕駛等領域。根據Gartner統計，2023年全球半導體企業營收排行榜，英特爾超越三星，奪回全球半導體龍頭寶座。</v>
      </c>
      <c r="V285" s="136" t="str">
        <f ca="1">IFERROR(VLOOKUP(B285,'1_重設數據'!L:M,2,FALSE),IF(Q285="政府",IF(AD285&gt;16,"(NPI)非專投",IF(AD285&gt;10,"(PI)專投","高資產")),IF(VLOOKUP(B285,bond!B:AN,39,FALSE)="Y","(PI)專投",IF(AD285&gt;=15,"(NPI)非專投",IF(AD285&gt;=10,"(PI)專投","高資產")))))</f>
        <v>(NPI)非專投</v>
      </c>
      <c r="W285" s="136" t="str">
        <f ca="1">VLOOKUP(AD285,'credit rating'!$F$2:$H$22,3,FALSE)</f>
        <v>A-</v>
      </c>
      <c r="X285" s="136" t="str">
        <f t="shared" ca="1" si="29"/>
        <v>A3</v>
      </c>
      <c r="Y285" s="136" t="str">
        <f t="shared" ca="1" si="30"/>
        <v>A-</v>
      </c>
      <c r="Z285" s="136" t="str">
        <f t="shared" ca="1" si="31"/>
        <v>A-</v>
      </c>
      <c r="AA285" s="134">
        <f ca="1">IFERROR(VLOOKUP(X285,'credit rating'!A:C,3,FALSE),0)</f>
        <v>15</v>
      </c>
      <c r="AB285" s="134">
        <f ca="1">IFERROR(VLOOKUP(Y285,'credit rating'!B:C,2,FALSE),0)</f>
        <v>15</v>
      </c>
      <c r="AC285" s="136">
        <f ca="1">IFERROR(VLOOKUP(Z285,'credit rating'!B:C,2,FALSE),0)</f>
        <v>15</v>
      </c>
      <c r="AD285" s="136">
        <f t="shared" ca="1" si="32"/>
        <v>15</v>
      </c>
      <c r="AE285" s="249">
        <f ca="1">IFERROR(VLOOKUP(B285,bond!B:U,20,FALSE),"")</f>
        <v>5.3600000000000002E-2</v>
      </c>
      <c r="AF285" s="136" t="str">
        <f ca="1">IF(VLOOKUP(B285,bond!B:AK,36,FALSE)="#N/A Field Not Applicable","",VLOOKUP(B285,bond!B:AK,36,FALSE))</f>
        <v>2046/11/11</v>
      </c>
      <c r="AG285" s="136" t="str">
        <f ca="1">IF(VLOOKUP(B285,bond!B:AL,37,FALSE)="FIXED","固定",IF(VLOOKUP(B285,bond!B:AL,37,FALSE)="FLOATING","浮動",IF(VLOOKUP(B285,bond!B:AL,37,FALSE)="VARIABLE","變動",IF(VLOOKUP(B285,bond!B:AL,37,FALSE)="FLAT TRADING","不含息交易",IF(VLOOKUP(B285,bond!B:AL,37,FALSE)="ZERO COUPON","零息",VLOOKUP(B285,bond!B:AL,37,FALSE))))))</f>
        <v>固定</v>
      </c>
      <c r="AH285" s="136" t="str">
        <f>VLOOKUP(C285,'2_Check_code'!I:J,2,FALSE)</f>
        <v>美元(USD)</v>
      </c>
      <c r="AI285" s="136" t="str">
        <f t="shared" ca="1" si="33"/>
        <v>自由選清單</v>
      </c>
      <c r="AJ285" s="136">
        <f t="shared" ca="1" si="34"/>
        <v>0</v>
      </c>
      <c r="AK285" s="594" t="str">
        <f ca="1">IF(VLOOKUP(B285,bond!B:S,18,FALSE)="是","有",IF(VLOOKUP(B285,bond!B:S,18,FALSE)="NO OFFER","無","需查詢"))</f>
        <v>有</v>
      </c>
      <c r="AL285" s="136" t="str">
        <f>IF(VLOOKUP(A285,bond!F:AR,39,FALSE)="#N/A Field Not Applicable",VLOOKUP(A285,bond!F:AR,38,FALSE),IFERROR(VLOOKUP(A285,'7_發行日例外'!A:B,2,FALSE),VLOOKUP(A285,bond!F:AR,39,FALSE)))</f>
        <v>2017/5/11</v>
      </c>
      <c r="AM285" s="136" t="str">
        <f ca="1">VLOOKUP(B285,bond!B:AK,36,FALSE)</f>
        <v>2046/11/11</v>
      </c>
      <c r="AN285" s="136" t="str">
        <f ca="1">IFERROR(VLOOKUP(B285,'3_是否下架'!A:A,1,FALSE),"")</f>
        <v/>
      </c>
      <c r="AO285" s="136">
        <f ca="1">VLOOKUP(B285,bond!B:J,9,FALSE)</f>
        <v>80.160000000000011</v>
      </c>
      <c r="AP285" s="136">
        <f ca="1">VLOOKUP(B285,bond!B:V,21,FALSE)</f>
        <v>13.629300000000001</v>
      </c>
    </row>
    <row r="286" spans="1:42">
      <c r="A286" s="141" t="str">
        <f>bond!F287</f>
        <v>US482480AH34</v>
      </c>
      <c r="B286" s="151" t="str">
        <f ca="1">IF($C$1=TRUE,bond!B287,"")</f>
        <v>XH910</v>
      </c>
      <c r="C286" s="95" t="str">
        <f>VLOOKUP(A286,bond!F:G,2,FALSE)</f>
        <v>USD</v>
      </c>
      <c r="D286" s="142" t="str">
        <f ca="1">VLOOKUP(B286,bond!B:C,2,FALSE)</f>
        <v>科磊公司美元配息債券 5% 2049/3/15</v>
      </c>
      <c r="E286" s="95" t="str">
        <f ca="1">VLOOKUP(B286,bond!B:D,3,FALSE)</f>
        <v>A2 / A- / A</v>
      </c>
      <c r="F286" s="99" t="str">
        <f ca="1">VLOOKUP(B286,bond!B:AB,27,FALSE)</f>
        <v>2049/3/15</v>
      </c>
      <c r="G286" s="90">
        <f ca="1">VLOOKUP(B286,bond!B:E,4,FALSE)</f>
        <v>24.7</v>
      </c>
      <c r="H286" s="202">
        <f ca="1">VLOOKUP(B286,bond!B:Y,24,FALSE)</f>
        <v>0.05</v>
      </c>
      <c r="I286" s="95">
        <f ca="1">VLOOKUP(B286,bond!B:Z,25,FALSE)</f>
        <v>2</v>
      </c>
      <c r="J286" s="180">
        <f ca="1">VLOOKUP(B286,bond!B:K,10,FALSE)</f>
        <v>1.4861</v>
      </c>
      <c r="K286" s="96">
        <f ca="1">VLOOKUP($B286,bond!B:S,14,FALSE)</f>
        <v>99.32</v>
      </c>
      <c r="L286" s="91" t="str">
        <f ca="1">VLOOKUP(B286,bond!B:H,7,FALSE)</f>
        <v>2024/7/2</v>
      </c>
      <c r="M286" s="144">
        <f ca="1">VLOOKUP($B286,bond!$B:$Q,16,FALSE)</f>
        <v>5.16E-2</v>
      </c>
      <c r="N286" s="136">
        <f ca="1">VALUE(LEFT(VLOOKUP(B286,bond!B:R,17,FALSE),SEARCH(" ",VLOOKUP(B286,bond!B:R,17,FALSE),1)))</f>
        <v>10000</v>
      </c>
      <c r="O286" s="136">
        <f ca="1">VALUE(RIGHT(VLOOKUP(B286,bond!B:R,17,FALSE),LEN(VLOOKUP(B286,bond!B:R,17,FALSE))-LEN(N286)-3))</f>
        <v>1000</v>
      </c>
      <c r="P286" s="135" t="str">
        <f ca="1">VLOOKUP($B286,bond!$B:$AG,32,FALSE)</f>
        <v>2024/9/15</v>
      </c>
      <c r="Q286" s="135" t="str">
        <f ca="1">VLOOKUP($B286,bond!$B:$AH,33,FALSE)</f>
        <v>科技</v>
      </c>
      <c r="R286" s="135" t="str">
        <f ca="1">VLOOKUP(B286,bond!B:AA,26,FALSE)</f>
        <v>科磊公司</v>
      </c>
      <c r="S286" s="135" t="str">
        <f ca="1">VLOOKUP(B286,bond!B:AI,34,FALSE)</f>
        <v>KLAC</v>
      </c>
      <c r="T286" s="135" t="str">
        <f t="shared" ca="1" si="28"/>
        <v>科磊公司/KLAC</v>
      </c>
      <c r="U286" s="207" t="str">
        <f ca="1">IFERROR(VLOOKUP(T286,Bond_DES!D:E,2,FALSE),VLOOKUP(S286,bond!AI:AJ,2,FALSE))</f>
        <v>科磊公司(KLA Corporation)生產並經銷半導體。該公司提供表面輪廓儀、奈米機械測試儀、晶片及半導體組裝解決方案。科磊於美國行銷其產品。</v>
      </c>
      <c r="V286" s="136" t="str">
        <f ca="1">IFERROR(VLOOKUP(B286,'1_重設數據'!L:M,2,FALSE),IF(Q286="政府",IF(AD286&gt;16,"(NPI)非專投",IF(AD286&gt;10,"(PI)專投","高資產")),IF(VLOOKUP(B286,bond!B:AN,39,FALSE)="Y","(PI)專投",IF(AD286&gt;=15,"(NPI)非專投",IF(AD286&gt;=10,"(PI)專投","高資產")))))</f>
        <v>(NPI)非專投</v>
      </c>
      <c r="W286" s="136" t="str">
        <f ca="1">VLOOKUP(AD286,'credit rating'!$F$2:$H$22,3,FALSE)</f>
        <v>A</v>
      </c>
      <c r="X286" s="136" t="str">
        <f t="shared" ca="1" si="29"/>
        <v>A2</v>
      </c>
      <c r="Y286" s="136" t="str">
        <f t="shared" ca="1" si="30"/>
        <v>A-</v>
      </c>
      <c r="Z286" s="136" t="str">
        <f t="shared" ca="1" si="31"/>
        <v>A</v>
      </c>
      <c r="AA286" s="134">
        <f ca="1">IFERROR(VLOOKUP(X286,'credit rating'!A:C,3,FALSE),0)</f>
        <v>16</v>
      </c>
      <c r="AB286" s="134">
        <f ca="1">IFERROR(VLOOKUP(Y286,'credit rating'!B:C,2,FALSE),0)</f>
        <v>15</v>
      </c>
      <c r="AC286" s="136">
        <f ca="1">IFERROR(VLOOKUP(Z286,'credit rating'!B:C,2,FALSE),0)</f>
        <v>16</v>
      </c>
      <c r="AD286" s="136">
        <f t="shared" ca="1" si="32"/>
        <v>16</v>
      </c>
      <c r="AE286" s="249">
        <f ca="1">IFERROR(VLOOKUP(B286,bond!B:U,20,FALSE),"")</f>
        <v>5.16E-2</v>
      </c>
      <c r="AF286" s="136" t="str">
        <f ca="1">IF(VLOOKUP(B286,bond!B:AK,36,FALSE)="#N/A Field Not Applicable","",VLOOKUP(B286,bond!B:AK,36,FALSE))</f>
        <v>2048/9/15</v>
      </c>
      <c r="AG286" s="136" t="str">
        <f ca="1">IF(VLOOKUP(B286,bond!B:AL,37,FALSE)="FIXED","固定",IF(VLOOKUP(B286,bond!B:AL,37,FALSE)="FLOATING","浮動",IF(VLOOKUP(B286,bond!B:AL,37,FALSE)="VARIABLE","變動",IF(VLOOKUP(B286,bond!B:AL,37,FALSE)="FLAT TRADING","不含息交易",IF(VLOOKUP(B286,bond!B:AL,37,FALSE)="ZERO COUPON","零息",VLOOKUP(B286,bond!B:AL,37,FALSE))))))</f>
        <v>固定</v>
      </c>
      <c r="AH286" s="136" t="str">
        <f>VLOOKUP(C286,'2_Check_code'!I:J,2,FALSE)</f>
        <v>美元(USD)</v>
      </c>
      <c r="AI286" s="136" t="str">
        <f t="shared" ca="1" si="33"/>
        <v>自由選清單</v>
      </c>
      <c r="AJ286" s="136">
        <f t="shared" ca="1" si="34"/>
        <v>0</v>
      </c>
      <c r="AK286" s="594" t="str">
        <f ca="1">IF(VLOOKUP(B286,bond!B:S,18,FALSE)="是","有",IF(VLOOKUP(B286,bond!B:S,18,FALSE)="NO OFFER","無","需查詢"))</f>
        <v>有</v>
      </c>
      <c r="AL286" s="136" t="str">
        <f>IF(VLOOKUP(A286,bond!F:AR,39,FALSE)="#N/A Field Not Applicable",VLOOKUP(A286,bond!F:AR,38,FALSE),IFERROR(VLOOKUP(A286,'7_發行日例外'!A:B,2,FALSE),VLOOKUP(A286,bond!F:AR,39,FALSE)))</f>
        <v>2019/3/20</v>
      </c>
      <c r="AM286" s="136" t="str">
        <f ca="1">VLOOKUP(B286,bond!B:AK,36,FALSE)</f>
        <v>2048/9/15</v>
      </c>
      <c r="AN286" s="136" t="str">
        <f ca="1">IFERROR(VLOOKUP(B286,'3_是否下架'!A:A,1,FALSE),"")</f>
        <v/>
      </c>
      <c r="AO286" s="136">
        <f ca="1">VLOOKUP(B286,bond!B:J,9,FALSE)</f>
        <v>94.33</v>
      </c>
      <c r="AP286" s="136">
        <f ca="1">VLOOKUP(B286,bond!B:V,21,FALSE)</f>
        <v>13.625400000000001</v>
      </c>
    </row>
    <row r="287" spans="1:42">
      <c r="A287" s="141" t="str">
        <f>bond!F288</f>
        <v>US097023CK94</v>
      </c>
      <c r="B287" s="151" t="str">
        <f ca="1">IF($C$1=TRUE,bond!B288,"")</f>
        <v>XH930</v>
      </c>
      <c r="C287" s="95" t="str">
        <f>VLOOKUP(A287,bond!F:G,2,FALSE)</f>
        <v>USD</v>
      </c>
      <c r="D287" s="142" t="str">
        <f ca="1">VLOOKUP(B287,bond!B:C,2,FALSE)</f>
        <v>波音公司美元配息債券 3.9% 2049/5/1</v>
      </c>
      <c r="E287" s="95" t="str">
        <f ca="1">VLOOKUP(B287,bond!B:D,3,FALSE)</f>
        <v>Baa3 / BBB- / BBB-</v>
      </c>
      <c r="F287" s="99" t="str">
        <f ca="1">VLOOKUP(B287,bond!B:AB,27,FALSE)</f>
        <v>2049/5/1</v>
      </c>
      <c r="G287" s="90">
        <f ca="1">VLOOKUP(B287,bond!B:E,4,FALSE)</f>
        <v>24.83</v>
      </c>
      <c r="H287" s="202">
        <f ca="1">VLOOKUP(B287,bond!B:Y,24,FALSE)</f>
        <v>3.9E-2</v>
      </c>
      <c r="I287" s="95">
        <f ca="1">VLOOKUP(B287,bond!B:Z,25,FALSE)</f>
        <v>2</v>
      </c>
      <c r="J287" s="180">
        <f ca="1">VLOOKUP(B287,bond!B:K,10,FALSE)</f>
        <v>0.66080000000000005</v>
      </c>
      <c r="K287" s="96">
        <f ca="1">VLOOKUP($B287,bond!B:S,14,FALSE)</f>
        <v>72.16</v>
      </c>
      <c r="L287" s="91" t="str">
        <f ca="1">VLOOKUP(B287,bond!B:H,7,FALSE)</f>
        <v>2024/7/2</v>
      </c>
      <c r="M287" s="144">
        <f ca="1">VLOOKUP($B287,bond!$B:$Q,16,FALSE)</f>
        <v>6.1499999999999999E-2</v>
      </c>
      <c r="N287" s="136">
        <f ca="1">VALUE(LEFT(VLOOKUP(B287,bond!B:R,17,FALSE),SEARCH(" ",VLOOKUP(B287,bond!B:R,17,FALSE),1)))</f>
        <v>10000</v>
      </c>
      <c r="O287" s="136">
        <f ca="1">VALUE(RIGHT(VLOOKUP(B287,bond!B:R,17,FALSE),LEN(VLOOKUP(B287,bond!B:R,17,FALSE))-LEN(N287)-3))</f>
        <v>1000</v>
      </c>
      <c r="P287" s="135" t="str">
        <f ca="1">VLOOKUP($B287,bond!$B:$AG,32,FALSE)</f>
        <v>2024/11/1</v>
      </c>
      <c r="Q287" s="135" t="str">
        <f ca="1">VLOOKUP($B287,bond!$B:$AH,33,FALSE)</f>
        <v>工業</v>
      </c>
      <c r="R287" s="135" t="str">
        <f ca="1">VLOOKUP(B287,bond!B:AA,26,FALSE)</f>
        <v>波音公司</v>
      </c>
      <c r="S287" s="135" t="str">
        <f ca="1">VLOOKUP(B287,bond!B:AI,34,FALSE)</f>
        <v>BA</v>
      </c>
      <c r="T287" s="135" t="str">
        <f t="shared" ca="1" si="28"/>
        <v>波音公司/BA</v>
      </c>
      <c r="U287" s="207" t="str">
        <f ca="1">IFERROR(VLOOKUP(T287,Bond_DES!D:E,2,FALSE),VLOOKUP(S287,bond!AI:AJ,2,FALSE))</f>
        <v>波音公司(The Boeing Company)航空、航太及國防技術領域的領導者，與空巴為全球唯二能夠生產大型寬體客機的製造商，且是全球第5大國防承包商(DefenseNews 2023)，於美國科技及軍事實力地位「舉足輕重」。2024年《Brand Finance》航太國防品牌價值位居第一。</v>
      </c>
      <c r="V287" s="136" t="str">
        <f ca="1">IFERROR(VLOOKUP(B287,'1_重設數據'!L:M,2,FALSE),IF(Q287="政府",IF(AD287&gt;16,"(NPI)非專投",IF(AD287&gt;10,"(PI)專投","高資產")),IF(VLOOKUP(B287,bond!B:AN,39,FALSE)="Y","(PI)專投",IF(AD287&gt;=15,"(NPI)非專投",IF(AD287&gt;=10,"(PI)專投","高資產")))))</f>
        <v>(PI)專投</v>
      </c>
      <c r="W287" s="136" t="str">
        <f ca="1">VLOOKUP(AD287,'credit rating'!$F$2:$H$22,3,FALSE)</f>
        <v>BBB-</v>
      </c>
      <c r="X287" s="136" t="str">
        <f t="shared" ca="1" si="29"/>
        <v>Baa3</v>
      </c>
      <c r="Y287" s="136" t="str">
        <f t="shared" ca="1" si="30"/>
        <v>BBB-</v>
      </c>
      <c r="Z287" s="136" t="str">
        <f t="shared" ca="1" si="31"/>
        <v>BBB-</v>
      </c>
      <c r="AA287" s="134">
        <f ca="1">IFERROR(VLOOKUP(X287,'credit rating'!A:C,3,FALSE),0)</f>
        <v>12</v>
      </c>
      <c r="AB287" s="134">
        <f ca="1">IFERROR(VLOOKUP(Y287,'credit rating'!B:C,2,FALSE),0)</f>
        <v>12</v>
      </c>
      <c r="AC287" s="136">
        <f ca="1">IFERROR(VLOOKUP(Z287,'credit rating'!B:C,2,FALSE),0)</f>
        <v>12</v>
      </c>
      <c r="AD287" s="136">
        <f t="shared" ca="1" si="32"/>
        <v>12</v>
      </c>
      <c r="AE287" s="249">
        <f ca="1">IFERROR(VLOOKUP(B287,bond!B:U,20,FALSE),"")</f>
        <v>6.1800000000000001E-2</v>
      </c>
      <c r="AF287" s="136" t="str">
        <f ca="1">IF(VLOOKUP(B287,bond!B:AK,36,FALSE)="#N/A Field Not Applicable","",VLOOKUP(B287,bond!B:AK,36,FALSE))</f>
        <v>2048/11/1</v>
      </c>
      <c r="AG287" s="136" t="str">
        <f ca="1">IF(VLOOKUP(B287,bond!B:AL,37,FALSE)="FIXED","固定",IF(VLOOKUP(B287,bond!B:AL,37,FALSE)="FLOATING","浮動",IF(VLOOKUP(B287,bond!B:AL,37,FALSE)="VARIABLE","變動",IF(VLOOKUP(B287,bond!B:AL,37,FALSE)="FLAT TRADING","不含息交易",IF(VLOOKUP(B287,bond!B:AL,37,FALSE)="ZERO COUPON","零息",VLOOKUP(B287,bond!B:AL,37,FALSE))))))</f>
        <v>固定</v>
      </c>
      <c r="AH287" s="136" t="str">
        <f>VLOOKUP(C287,'2_Check_code'!I:J,2,FALSE)</f>
        <v>美元(USD)</v>
      </c>
      <c r="AI287" s="136" t="str">
        <f t="shared" ca="1" si="33"/>
        <v>自由選清單</v>
      </c>
      <c r="AJ287" s="136">
        <f t="shared" ca="1" si="34"/>
        <v>0</v>
      </c>
      <c r="AK287" s="594" t="str">
        <f ca="1">IF(VLOOKUP(B287,bond!B:S,18,FALSE)="是","有",IF(VLOOKUP(B287,bond!B:S,18,FALSE)="NO OFFER","無","需查詢"))</f>
        <v>有</v>
      </c>
      <c r="AL287" s="136" t="str">
        <f>IF(VLOOKUP(A287,bond!F:AR,39,FALSE)="#N/A Field Not Applicable",VLOOKUP(A287,bond!F:AR,38,FALSE),IFERROR(VLOOKUP(A287,'7_發行日例外'!A:B,2,FALSE),VLOOKUP(A287,bond!F:AR,39,FALSE)))</f>
        <v>2019/5/2</v>
      </c>
      <c r="AM287" s="136" t="str">
        <f ca="1">VLOOKUP(B287,bond!B:AK,36,FALSE)</f>
        <v>2048/11/1</v>
      </c>
      <c r="AN287" s="136" t="str">
        <f ca="1">IFERROR(VLOOKUP(B287,'3_是否下架'!A:A,1,FALSE),"")</f>
        <v/>
      </c>
      <c r="AO287" s="136">
        <f ca="1">VLOOKUP(B287,bond!B:J,9,FALSE)</f>
        <v>68</v>
      </c>
      <c r="AP287" s="136">
        <f ca="1">VLOOKUP(B287,bond!B:V,21,FALSE)</f>
        <v>13.6366</v>
      </c>
    </row>
    <row r="288" spans="1:42">
      <c r="A288" s="141" t="str">
        <f>bond!F289</f>
        <v>US767201AL06</v>
      </c>
      <c r="B288" s="151" t="str">
        <f ca="1">IF($C$1=TRUE,bond!B289,"")</f>
        <v>XH970</v>
      </c>
      <c r="C288" s="95" t="str">
        <f>VLOOKUP(A288,bond!F:G,2,FALSE)</f>
        <v>USD</v>
      </c>
      <c r="D288" s="142" t="str">
        <f ca="1">VLOOKUP(B288,bond!B:C,2,FALSE)</f>
        <v>力拓金融美國有限公司美元配息債券 5.2% 2040/11/2</v>
      </c>
      <c r="E288" s="95" t="str">
        <f ca="1">VLOOKUP(B288,bond!B:D,3,FALSE)</f>
        <v>A1 / A / Au</v>
      </c>
      <c r="F288" s="99" t="str">
        <f ca="1">VLOOKUP(B288,bond!B:AB,27,FALSE)</f>
        <v>2040/11/2</v>
      </c>
      <c r="G288" s="90">
        <f ca="1">VLOOKUP(B288,bond!B:E,4,FALSE)</f>
        <v>16.34</v>
      </c>
      <c r="H288" s="202">
        <f ca="1">VLOOKUP(B288,bond!B:Y,24,FALSE)</f>
        <v>5.2000000000000005E-2</v>
      </c>
      <c r="I288" s="95">
        <f ca="1">VLOOKUP(B288,bond!B:Z,25,FALSE)</f>
        <v>2</v>
      </c>
      <c r="J288" s="180">
        <f ca="1">VLOOKUP(B288,bond!B:K,10,FALSE)</f>
        <v>0.86670000000000003</v>
      </c>
      <c r="K288" s="96">
        <f ca="1">VLOOKUP($B288,bond!B:S,14,FALSE)</f>
        <v>101.06</v>
      </c>
      <c r="L288" s="91" t="str">
        <f ca="1">VLOOKUP(B288,bond!B:H,7,FALSE)</f>
        <v>2024/7/2</v>
      </c>
      <c r="M288" s="144">
        <f ca="1">VLOOKUP($B288,bond!$B:$Q,16,FALSE)</f>
        <v>5.1799999999999999E-2</v>
      </c>
      <c r="N288" s="136">
        <f ca="1">VALUE(LEFT(VLOOKUP(B288,bond!B:R,17,FALSE),SEARCH(" ",VLOOKUP(B288,bond!B:R,17,FALSE),1)))</f>
        <v>10000</v>
      </c>
      <c r="O288" s="136">
        <f ca="1">VALUE(RIGHT(VLOOKUP(B288,bond!B:R,17,FALSE),LEN(VLOOKUP(B288,bond!B:R,17,FALSE))-LEN(N288)-3))</f>
        <v>1000</v>
      </c>
      <c r="P288" s="135" t="str">
        <f ca="1">VLOOKUP($B288,bond!$B:$AG,32,FALSE)</f>
        <v>2024/11/2</v>
      </c>
      <c r="Q288" s="135" t="str">
        <f ca="1">VLOOKUP($B288,bond!$B:$AH,33,FALSE)</f>
        <v>原物料</v>
      </c>
      <c r="R288" s="135" t="str">
        <f ca="1">VLOOKUP(B288,bond!B:AA,26,FALSE)</f>
        <v>力拓金融美國有限公司</v>
      </c>
      <c r="S288" s="135" t="str">
        <f ca="1">VLOOKUP(B288,bond!B:AI,34,FALSE)</f>
        <v>RIOLN</v>
      </c>
      <c r="T288" s="135" t="str">
        <f t="shared" ca="1" si="28"/>
        <v>力拓金融美國有限公司/RIOLN</v>
      </c>
      <c r="U288" s="207" t="str">
        <f ca="1">IFERROR(VLOOKUP(T288,Bond_DES!D:E,2,FALSE),VLOOKUP(S288,bond!AI:AJ,2,FALSE))</f>
        <v>力拓金融(美國)有限公司(Rio Tinto Finance (USA) Limited)為一家特殊目的機構。該公司生產鋼鐵的鐵礦石、汽車和智慧手機的鋁、風力渦輪機的銅、鑽石。力拓金融(美國)服務澳洲的客戶。</v>
      </c>
      <c r="V288" s="136" t="str">
        <f ca="1">IFERROR(VLOOKUP(B288,'1_重設數據'!L:M,2,FALSE),IF(Q288="政府",IF(AD288&gt;16,"(NPI)非專投",IF(AD288&gt;10,"(PI)專投","高資產")),IF(VLOOKUP(B288,bond!B:AN,39,FALSE)="Y","(PI)專投",IF(AD288&gt;=15,"(NPI)非專投",IF(AD288&gt;=10,"(PI)專投","高資產")))))</f>
        <v>(NPI)非專投</v>
      </c>
      <c r="W288" s="136" t="str">
        <f ca="1">VLOOKUP(AD288,'credit rating'!$F$2:$H$22,3,FALSE)</f>
        <v>A+</v>
      </c>
      <c r="X288" s="136" t="str">
        <f t="shared" ca="1" si="29"/>
        <v>A1</v>
      </c>
      <c r="Y288" s="136" t="str">
        <f t="shared" ca="1" si="30"/>
        <v>A</v>
      </c>
      <c r="Z288" s="136" t="str">
        <f t="shared" ca="1" si="31"/>
        <v>Au</v>
      </c>
      <c r="AA288" s="134">
        <f ca="1">IFERROR(VLOOKUP(X288,'credit rating'!A:C,3,FALSE),0)</f>
        <v>17</v>
      </c>
      <c r="AB288" s="134">
        <f ca="1">IFERROR(VLOOKUP(Y288,'credit rating'!B:C,2,FALSE),0)</f>
        <v>16</v>
      </c>
      <c r="AC288" s="136">
        <f ca="1">IFERROR(VLOOKUP(Z288,'credit rating'!B:C,2,FALSE),0)</f>
        <v>16</v>
      </c>
      <c r="AD288" s="136">
        <f t="shared" ca="1" si="32"/>
        <v>17</v>
      </c>
      <c r="AE288" s="249" t="str">
        <f ca="1">IFERROR(VLOOKUP(B288,bond!B:U,20,FALSE),"")</f>
        <v xml:space="preserve"> </v>
      </c>
      <c r="AF288" s="136" t="str">
        <f ca="1">IF(VLOOKUP(B288,bond!B:AK,36,FALSE)="#N/A Field Not Applicable","",VLOOKUP(B288,bond!B:AK,36,FALSE))</f>
        <v/>
      </c>
      <c r="AG288" s="136" t="str">
        <f ca="1">IF(VLOOKUP(B288,bond!B:AL,37,FALSE)="FIXED","固定",IF(VLOOKUP(B288,bond!B:AL,37,FALSE)="FLOATING","浮動",IF(VLOOKUP(B288,bond!B:AL,37,FALSE)="VARIABLE","變動",IF(VLOOKUP(B288,bond!B:AL,37,FALSE)="FLAT TRADING","不含息交易",IF(VLOOKUP(B288,bond!B:AL,37,FALSE)="ZERO COUPON","零息",VLOOKUP(B288,bond!B:AL,37,FALSE))))))</f>
        <v>固定</v>
      </c>
      <c r="AH288" s="136" t="str">
        <f>VLOOKUP(C288,'2_Check_code'!I:J,2,FALSE)</f>
        <v>美元(USD)</v>
      </c>
      <c r="AI288" s="136" t="str">
        <f t="shared" ca="1" si="33"/>
        <v>自由選清單</v>
      </c>
      <c r="AJ288" s="136">
        <f t="shared" ca="1" si="34"/>
        <v>0</v>
      </c>
      <c r="AK288" s="594" t="str">
        <f ca="1">IF(VLOOKUP(B288,bond!B:S,18,FALSE)="是","有",IF(VLOOKUP(B288,bond!B:S,18,FALSE)="NO OFFER","無","需查詢"))</f>
        <v>有</v>
      </c>
      <c r="AL288" s="136" t="str">
        <f>IF(VLOOKUP(A288,bond!F:AR,39,FALSE)="#N/A Field Not Applicable",VLOOKUP(A288,bond!F:AR,38,FALSE),IFERROR(VLOOKUP(A288,'7_發行日例外'!A:B,2,FALSE),VLOOKUP(A288,bond!F:AR,39,FALSE)))</f>
        <v>2010/11/2</v>
      </c>
      <c r="AM288" s="136" t="str">
        <f ca="1">VLOOKUP(B288,bond!B:AK,36,FALSE)</f>
        <v>#N/A Field Not Applicable</v>
      </c>
      <c r="AN288" s="136" t="str">
        <f ca="1">IFERROR(VLOOKUP(B288,'3_是否下架'!A:A,1,FALSE),"")</f>
        <v/>
      </c>
      <c r="AO288" s="136">
        <f ca="1">VLOOKUP(B288,bond!B:J,9,FALSE)</f>
        <v>97.690000000000012</v>
      </c>
      <c r="AP288" s="136">
        <f ca="1">VLOOKUP(B288,bond!B:V,21,FALSE)</f>
        <v>10.767200000000001</v>
      </c>
    </row>
    <row r="289" spans="1:42">
      <c r="A289" s="141" t="str">
        <f>bond!F290</f>
        <v>US406216AW19</v>
      </c>
      <c r="B289" s="151" t="str">
        <f ca="1">IF($C$1=TRUE,bond!B290,"")</f>
        <v>XH980</v>
      </c>
      <c r="C289" s="95" t="str">
        <f>VLOOKUP(A289,bond!F:G,2,FALSE)</f>
        <v>USD</v>
      </c>
      <c r="D289" s="142" t="str">
        <f ca="1">VLOOKUP(B289,bond!B:C,2,FALSE)</f>
        <v>哈里伯頓公司美元配息債券 6.7% 2038/9/15</v>
      </c>
      <c r="E289" s="95" t="str">
        <f ca="1">VLOOKUP(B289,bond!B:D,3,FALSE)</f>
        <v>A3 / BBB+ / WD</v>
      </c>
      <c r="F289" s="99" t="str">
        <f ca="1">VLOOKUP(B289,bond!B:AB,27,FALSE)</f>
        <v>2038/9/15</v>
      </c>
      <c r="G289" s="90">
        <f ca="1">VLOOKUP(B289,bond!B:E,4,FALSE)</f>
        <v>14.2</v>
      </c>
      <c r="H289" s="202">
        <f ca="1">VLOOKUP(B289,bond!B:Y,24,FALSE)</f>
        <v>6.7000000000000004E-2</v>
      </c>
      <c r="I289" s="95">
        <f ca="1">VLOOKUP(B289,bond!B:Z,25,FALSE)</f>
        <v>2</v>
      </c>
      <c r="J289" s="180">
        <f ca="1">VLOOKUP(B289,bond!B:K,10,FALSE)</f>
        <v>1.9914000000000001</v>
      </c>
      <c r="K289" s="96">
        <f ca="1">VLOOKUP($B289,bond!B:S,14,FALSE)</f>
        <v>114.66</v>
      </c>
      <c r="L289" s="91" t="str">
        <f ca="1">VLOOKUP(B289,bond!B:H,7,FALSE)</f>
        <v>2024/7/2</v>
      </c>
      <c r="M289" s="144">
        <f ca="1">VLOOKUP($B289,bond!$B:$Q,16,FALSE)</f>
        <v>5.4100000000000002E-2</v>
      </c>
      <c r="N289" s="136">
        <f ca="1">VALUE(LEFT(VLOOKUP(B289,bond!B:R,17,FALSE),SEARCH(" ",VLOOKUP(B289,bond!B:R,17,FALSE),1)))</f>
        <v>10000</v>
      </c>
      <c r="O289" s="136">
        <f ca="1">VALUE(RIGHT(VLOOKUP(B289,bond!B:R,17,FALSE),LEN(VLOOKUP(B289,bond!B:R,17,FALSE))-LEN(N289)-3))</f>
        <v>1000</v>
      </c>
      <c r="P289" s="135" t="str">
        <f ca="1">VLOOKUP($B289,bond!$B:$AG,32,FALSE)</f>
        <v>2024/9/15</v>
      </c>
      <c r="Q289" s="135" t="str">
        <f ca="1">VLOOKUP($B289,bond!$B:$AH,33,FALSE)</f>
        <v>能源</v>
      </c>
      <c r="R289" s="135" t="str">
        <f ca="1">VLOOKUP(B289,bond!B:AA,26,FALSE)</f>
        <v>哈里伯頓公司</v>
      </c>
      <c r="S289" s="135" t="str">
        <f ca="1">VLOOKUP(B289,bond!B:AI,34,FALSE)</f>
        <v>HAL</v>
      </c>
      <c r="T289" s="135" t="str">
        <f t="shared" ca="1" si="28"/>
        <v>哈里伯頓公司/HAL</v>
      </c>
      <c r="U289" s="207" t="str">
        <f ca="1">IFERROR(VLOOKUP(T289,Bond_DES!D:E,2,FALSE),VLOOKUP(S289,bond!AI:AJ,2,FALSE))</f>
        <v>哈里伯頓公司(Halliburton Company)為美國三大油田服務公司之一，僱用來自70多個國家逾4萬名員工，為從事探勘、開發及生產石油及天然氣的客戶，提供服務、產品及整合解決方案 。名列2024年《Fortune》美國500強企業第177位。</v>
      </c>
      <c r="V289" s="136" t="str">
        <f ca="1">IFERROR(VLOOKUP(B289,'1_重設數據'!L:M,2,FALSE),IF(Q289="政府",IF(AD289&gt;16,"(NPI)非專投",IF(AD289&gt;10,"(PI)專投","高資產")),IF(VLOOKUP(B289,bond!B:AN,39,FALSE)="Y","(PI)專投",IF(AD289&gt;=15,"(NPI)非專投",IF(AD289&gt;=10,"(PI)專投","高資產")))))</f>
        <v>(NPI)非專投</v>
      </c>
      <c r="W289" s="136" t="str">
        <f ca="1">VLOOKUP(AD289,'credit rating'!$F$2:$H$22,3,FALSE)</f>
        <v>A-</v>
      </c>
      <c r="X289" s="136" t="str">
        <f t="shared" ca="1" si="29"/>
        <v>A3</v>
      </c>
      <c r="Y289" s="136" t="str">
        <f t="shared" ca="1" si="30"/>
        <v>BBB+</v>
      </c>
      <c r="Z289" s="136" t="str">
        <f t="shared" ca="1" si="31"/>
        <v>WD</v>
      </c>
      <c r="AA289" s="134">
        <f ca="1">IFERROR(VLOOKUP(X289,'credit rating'!A:C,3,FALSE),0)</f>
        <v>15</v>
      </c>
      <c r="AB289" s="134">
        <f ca="1">IFERROR(VLOOKUP(Y289,'credit rating'!B:C,2,FALSE),0)</f>
        <v>14</v>
      </c>
      <c r="AC289" s="136">
        <f ca="1">IFERROR(VLOOKUP(Z289,'credit rating'!B:C,2,FALSE),0)</f>
        <v>0</v>
      </c>
      <c r="AD289" s="136">
        <f t="shared" ca="1" si="32"/>
        <v>15</v>
      </c>
      <c r="AE289" s="249" t="str">
        <f ca="1">IFERROR(VLOOKUP(B289,bond!B:U,20,FALSE),"")</f>
        <v xml:space="preserve"> </v>
      </c>
      <c r="AF289" s="136" t="str">
        <f ca="1">IF(VLOOKUP(B289,bond!B:AK,36,FALSE)="#N/A Field Not Applicable","",VLOOKUP(B289,bond!B:AK,36,FALSE))</f>
        <v/>
      </c>
      <c r="AG289" s="136" t="str">
        <f ca="1">IF(VLOOKUP(B289,bond!B:AL,37,FALSE)="FIXED","固定",IF(VLOOKUP(B289,bond!B:AL,37,FALSE)="FLOATING","浮動",IF(VLOOKUP(B289,bond!B:AL,37,FALSE)="VARIABLE","變動",IF(VLOOKUP(B289,bond!B:AL,37,FALSE)="FLAT TRADING","不含息交易",IF(VLOOKUP(B289,bond!B:AL,37,FALSE)="ZERO COUPON","零息",VLOOKUP(B289,bond!B:AL,37,FALSE))))))</f>
        <v>固定</v>
      </c>
      <c r="AH289" s="136" t="str">
        <f>VLOOKUP(C289,'2_Check_code'!I:J,2,FALSE)</f>
        <v>美元(USD)</v>
      </c>
      <c r="AI289" s="136" t="str">
        <f t="shared" ca="1" si="33"/>
        <v>自由選清單</v>
      </c>
      <c r="AJ289" s="136">
        <f t="shared" ca="1" si="34"/>
        <v>0</v>
      </c>
      <c r="AK289" s="594" t="str">
        <f ca="1">IF(VLOOKUP(B289,bond!B:S,18,FALSE)="是","有",IF(VLOOKUP(B289,bond!B:S,18,FALSE)="NO OFFER","無","需查詢"))</f>
        <v>有</v>
      </c>
      <c r="AL289" s="136" t="str">
        <f>IF(VLOOKUP(A289,bond!F:AR,39,FALSE)="#N/A Field Not Applicable",VLOOKUP(A289,bond!F:AR,38,FALSE),IFERROR(VLOOKUP(A289,'7_發行日例外'!A:B,2,FALSE),VLOOKUP(A289,bond!F:AR,39,FALSE)))</f>
        <v>2008/9/12</v>
      </c>
      <c r="AM289" s="136" t="str">
        <f ca="1">VLOOKUP(B289,bond!B:AK,36,FALSE)</f>
        <v>#N/A Field Not Applicable</v>
      </c>
      <c r="AN289" s="136" t="str">
        <f ca="1">IFERROR(VLOOKUP(B289,'3_是否下架'!A:A,1,FALSE),"")</f>
        <v/>
      </c>
      <c r="AO289" s="136">
        <f ca="1">VLOOKUP(B289,bond!B:J,9,FALSE)</f>
        <v>110.67</v>
      </c>
      <c r="AP289" s="136">
        <f ca="1">VLOOKUP(B289,bond!B:V,21,FALSE)</f>
        <v>9.2203999999999997</v>
      </c>
    </row>
    <row r="290" spans="1:42">
      <c r="A290" s="141">
        <f>bond!F291</f>
        <v>0</v>
      </c>
      <c r="B290" s="151">
        <f ca="1">IF($C$1=TRUE,bond!B291,"")</f>
        <v>0</v>
      </c>
      <c r="C290" s="95" t="e">
        <f>VLOOKUP(A290,bond!F:G,2,FALSE)</f>
        <v>#N/A</v>
      </c>
      <c r="D290" s="142" t="e">
        <f ca="1">VLOOKUP(B290,bond!B:C,2,FALSE)</f>
        <v>#N/A</v>
      </c>
      <c r="E290" s="95" t="e">
        <f ca="1">VLOOKUP(B290,bond!B:D,3,FALSE)</f>
        <v>#N/A</v>
      </c>
      <c r="F290" s="99" t="e">
        <f ca="1">VLOOKUP(B290,bond!B:AB,27,FALSE)</f>
        <v>#N/A</v>
      </c>
      <c r="G290" s="90" t="e">
        <f ca="1">VLOOKUP(B290,bond!B:E,4,FALSE)</f>
        <v>#N/A</v>
      </c>
      <c r="H290" s="202" t="e">
        <f ca="1">VLOOKUP(B290,bond!B:Y,24,FALSE)</f>
        <v>#N/A</v>
      </c>
      <c r="I290" s="95" t="e">
        <f ca="1">VLOOKUP(B290,bond!B:Z,25,FALSE)</f>
        <v>#N/A</v>
      </c>
      <c r="J290" s="180" t="e">
        <f ca="1">VLOOKUP(B290,bond!B:K,10,FALSE)</f>
        <v>#N/A</v>
      </c>
      <c r="K290" s="96" t="e">
        <f ca="1">VLOOKUP($B290,bond!B:S,14,FALSE)</f>
        <v>#N/A</v>
      </c>
      <c r="L290" s="91" t="e">
        <f ca="1">VLOOKUP(B290,bond!B:H,7,FALSE)</f>
        <v>#N/A</v>
      </c>
      <c r="M290" s="144" t="e">
        <f ca="1">VLOOKUP($B290,bond!$B:$Q,16,FALSE)</f>
        <v>#N/A</v>
      </c>
      <c r="N290" s="136" t="e">
        <f ca="1">VALUE(LEFT(VLOOKUP(B290,bond!B:R,17,FALSE),SEARCH(" ",VLOOKUP(B290,bond!B:R,17,FALSE),1)))</f>
        <v>#N/A</v>
      </c>
      <c r="O290" s="136" t="e">
        <f ca="1">VALUE(RIGHT(VLOOKUP(B290,bond!B:R,17,FALSE),LEN(VLOOKUP(B290,bond!B:R,17,FALSE))-LEN(N290)-3))</f>
        <v>#N/A</v>
      </c>
      <c r="P290" s="135" t="e">
        <f ca="1">VLOOKUP($B290,bond!$B:$AG,32,FALSE)</f>
        <v>#N/A</v>
      </c>
      <c r="Q290" s="135" t="e">
        <f ca="1">VLOOKUP($B290,bond!$B:$AH,33,FALSE)</f>
        <v>#N/A</v>
      </c>
      <c r="R290" s="135" t="e">
        <f ca="1">VLOOKUP(B290,bond!B:AA,26,FALSE)</f>
        <v>#N/A</v>
      </c>
      <c r="S290" s="135" t="e">
        <f ca="1">VLOOKUP(B290,bond!B:AI,34,FALSE)</f>
        <v>#N/A</v>
      </c>
      <c r="T290" s="135" t="e">
        <f t="shared" ca="1" si="28"/>
        <v>#N/A</v>
      </c>
      <c r="U290" s="207" t="e">
        <f ca="1">IFERROR(VLOOKUP(T290,Bond_DES!D:E,2,FALSE),VLOOKUP(S290,bond!AI:AJ,2,FALSE))</f>
        <v>#N/A</v>
      </c>
      <c r="V290" s="136" t="e">
        <f ca="1">IFERROR(VLOOKUP(B290,'1_重設數據'!L:M,2,FALSE),IF(Q290="政府",IF(AD290&gt;16,"(NPI)非專投",IF(AD290&gt;10,"(PI)專投","高資產")),IF(VLOOKUP(B290,bond!B:AN,39,FALSE)="Y","(PI)專投",IF(AD290&gt;=15,"(NPI)非專投",IF(AD290&gt;=10,"(PI)專投","高資產")))))</f>
        <v>#N/A</v>
      </c>
      <c r="W290" s="136" t="e">
        <f ca="1">VLOOKUP(AD290,'credit rating'!$F$2:$H$22,3,FALSE)</f>
        <v>#N/A</v>
      </c>
      <c r="X290" s="136" t="e">
        <f t="shared" ca="1" si="29"/>
        <v>#N/A</v>
      </c>
      <c r="Y290" s="136" t="e">
        <f t="shared" ca="1" si="30"/>
        <v>#N/A</v>
      </c>
      <c r="Z290" s="136" t="e">
        <f t="shared" ca="1" si="31"/>
        <v>#N/A</v>
      </c>
      <c r="AA290" s="134">
        <f ca="1">IFERROR(VLOOKUP(X290,'credit rating'!A:C,3,FALSE),0)</f>
        <v>0</v>
      </c>
      <c r="AB290" s="134">
        <f ca="1">IFERROR(VLOOKUP(Y290,'credit rating'!B:C,2,FALSE),0)</f>
        <v>0</v>
      </c>
      <c r="AC290" s="136">
        <f ca="1">IFERROR(VLOOKUP(Z290,'credit rating'!B:C,2,FALSE),0)</f>
        <v>0</v>
      </c>
      <c r="AD290" s="136">
        <f t="shared" ca="1" si="32"/>
        <v>0</v>
      </c>
      <c r="AE290" s="249" t="str">
        <f ca="1">IFERROR(VLOOKUP(B290,bond!B:U,20,FALSE),"")</f>
        <v/>
      </c>
      <c r="AF290" s="136" t="e">
        <f ca="1">IF(VLOOKUP(B290,bond!B:AK,36,FALSE)="#N/A Field Not Applicable","",VLOOKUP(B290,bond!B:AK,36,FALSE))</f>
        <v>#N/A</v>
      </c>
      <c r="AG290" s="136" t="e">
        <f ca="1">IF(VLOOKUP(B290,bond!B:AL,37,FALSE)="FIXED","固定",IF(VLOOKUP(B290,bond!B:AL,37,FALSE)="FLOATING","浮動",IF(VLOOKUP(B290,bond!B:AL,37,FALSE)="VARIABLE","變動",IF(VLOOKUP(B290,bond!B:AL,37,FALSE)="FLAT TRADING","不含息交易",IF(VLOOKUP(B290,bond!B:AL,37,FALSE)="ZERO COUPON","零息",VLOOKUP(B290,bond!B:AL,37,FALSE))))))</f>
        <v>#N/A</v>
      </c>
      <c r="AH290" s="136" t="e">
        <f>VLOOKUP(C290,'2_Check_code'!I:J,2,FALSE)</f>
        <v>#N/A</v>
      </c>
      <c r="AI290" s="136" t="e">
        <f t="shared" ca="1" si="33"/>
        <v>#N/A</v>
      </c>
      <c r="AJ290" s="136" t="e">
        <f t="shared" ca="1" si="34"/>
        <v>#N/A</v>
      </c>
      <c r="AK290" s="594" t="e">
        <f ca="1">IF(VLOOKUP(B290,bond!B:S,18,FALSE)="是","有",IF(VLOOKUP(B290,bond!B:S,18,FALSE)="NO OFFER","無","需查詢"))</f>
        <v>#N/A</v>
      </c>
      <c r="AL290" s="136" t="e">
        <f>IF(VLOOKUP(A290,bond!F:AR,39,FALSE)="#N/A Field Not Applicable",VLOOKUP(A290,bond!F:AR,38,FALSE),IFERROR(VLOOKUP(A290,'7_發行日例外'!A:B,2,FALSE),VLOOKUP(A290,bond!F:AR,39,FALSE)))</f>
        <v>#N/A</v>
      </c>
      <c r="AM290" s="136" t="e">
        <f ca="1">VLOOKUP(B290,bond!B:AK,36,FALSE)</f>
        <v>#N/A</v>
      </c>
      <c r="AN290" s="136" t="str">
        <f ca="1">IFERROR(VLOOKUP(B290,'3_是否下架'!A:A,1,FALSE),"")</f>
        <v/>
      </c>
      <c r="AO290" s="136" t="e">
        <f ca="1">VLOOKUP(B290,bond!B:J,9,FALSE)</f>
        <v>#N/A</v>
      </c>
      <c r="AP290" s="136" t="e">
        <f ca="1">VLOOKUP(B290,bond!B:V,21,FALSE)</f>
        <v>#N/A</v>
      </c>
    </row>
    <row r="291" spans="1:42">
      <c r="A291" s="141">
        <f>bond!F292</f>
        <v>0</v>
      </c>
      <c r="B291" s="151">
        <f ca="1">IF($C$1=TRUE,bond!B292,"")</f>
        <v>0</v>
      </c>
      <c r="C291" s="95" t="e">
        <f>VLOOKUP(A291,bond!F:G,2,FALSE)</f>
        <v>#N/A</v>
      </c>
      <c r="D291" s="142" t="e">
        <f ca="1">VLOOKUP(B291,bond!B:C,2,FALSE)</f>
        <v>#N/A</v>
      </c>
      <c r="E291" s="95" t="e">
        <f ca="1">VLOOKUP(B291,bond!B:D,3,FALSE)</f>
        <v>#N/A</v>
      </c>
      <c r="F291" s="99" t="e">
        <f ca="1">VLOOKUP(B291,bond!B:AB,27,FALSE)</f>
        <v>#N/A</v>
      </c>
      <c r="G291" s="90" t="e">
        <f ca="1">VLOOKUP(B291,bond!B:E,4,FALSE)</f>
        <v>#N/A</v>
      </c>
      <c r="H291" s="202" t="e">
        <f ca="1">VLOOKUP(B291,bond!B:Y,24,FALSE)</f>
        <v>#N/A</v>
      </c>
      <c r="I291" s="95" t="e">
        <f ca="1">VLOOKUP(B291,bond!B:Z,25,FALSE)</f>
        <v>#N/A</v>
      </c>
      <c r="J291" s="180" t="e">
        <f ca="1">VLOOKUP(B291,bond!B:K,10,FALSE)</f>
        <v>#N/A</v>
      </c>
      <c r="K291" s="96" t="e">
        <f ca="1">VLOOKUP($B291,bond!B:S,14,FALSE)</f>
        <v>#N/A</v>
      </c>
      <c r="L291" s="91" t="e">
        <f ca="1">VLOOKUP(B291,bond!B:H,7,FALSE)</f>
        <v>#N/A</v>
      </c>
      <c r="M291" s="144" t="e">
        <f ca="1">VLOOKUP($B291,bond!$B:$Q,16,FALSE)</f>
        <v>#N/A</v>
      </c>
      <c r="N291" s="136" t="e">
        <f ca="1">VALUE(LEFT(VLOOKUP(B291,bond!B:R,17,FALSE),SEARCH(" ",VLOOKUP(B291,bond!B:R,17,FALSE),1)))</f>
        <v>#N/A</v>
      </c>
      <c r="O291" s="136" t="e">
        <f ca="1">VALUE(RIGHT(VLOOKUP(B291,bond!B:R,17,FALSE),LEN(VLOOKUP(B291,bond!B:R,17,FALSE))-LEN(N291)-3))</f>
        <v>#N/A</v>
      </c>
      <c r="P291" s="135" t="e">
        <f ca="1">VLOOKUP($B291,bond!$B:$AG,32,FALSE)</f>
        <v>#N/A</v>
      </c>
      <c r="Q291" s="135" t="e">
        <f ca="1">VLOOKUP($B291,bond!$B:$AH,33,FALSE)</f>
        <v>#N/A</v>
      </c>
      <c r="R291" s="135" t="e">
        <f ca="1">VLOOKUP(B291,bond!B:AA,26,FALSE)</f>
        <v>#N/A</v>
      </c>
      <c r="S291" s="135" t="e">
        <f ca="1">VLOOKUP(B291,bond!B:AI,34,FALSE)</f>
        <v>#N/A</v>
      </c>
      <c r="T291" s="135" t="e">
        <f t="shared" ca="1" si="28"/>
        <v>#N/A</v>
      </c>
      <c r="U291" s="207" t="e">
        <f ca="1">IFERROR(VLOOKUP(T291,Bond_DES!D:E,2,FALSE),VLOOKUP(S291,bond!AI:AJ,2,FALSE))</f>
        <v>#N/A</v>
      </c>
      <c r="V291" s="136" t="e">
        <f ca="1">IFERROR(VLOOKUP(B291,'1_重設數據'!L:M,2,FALSE),IF(Q291="政府",IF(AD291&gt;16,"(NPI)非專投",IF(AD291&gt;10,"(PI)專投","高資產")),IF(VLOOKUP(B291,bond!B:AN,39,FALSE)="Y","(PI)專投",IF(AD291&gt;=15,"(NPI)非專投",IF(AD291&gt;=10,"(PI)專投","高資產")))))</f>
        <v>#N/A</v>
      </c>
      <c r="W291" s="136" t="e">
        <f ca="1">VLOOKUP(AD291,'credit rating'!$F$2:$H$22,3,FALSE)</f>
        <v>#N/A</v>
      </c>
      <c r="X291" s="136" t="e">
        <f t="shared" ca="1" si="29"/>
        <v>#N/A</v>
      </c>
      <c r="Y291" s="136" t="e">
        <f t="shared" ca="1" si="30"/>
        <v>#N/A</v>
      </c>
      <c r="Z291" s="136" t="e">
        <f t="shared" ca="1" si="31"/>
        <v>#N/A</v>
      </c>
      <c r="AA291" s="134">
        <f ca="1">IFERROR(VLOOKUP(X291,'credit rating'!A:C,3,FALSE),0)</f>
        <v>0</v>
      </c>
      <c r="AB291" s="134">
        <f ca="1">IFERROR(VLOOKUP(Y291,'credit rating'!B:C,2,FALSE),0)</f>
        <v>0</v>
      </c>
      <c r="AC291" s="136">
        <f ca="1">IFERROR(VLOOKUP(Z291,'credit rating'!B:C,2,FALSE),0)</f>
        <v>0</v>
      </c>
      <c r="AD291" s="136">
        <f t="shared" ca="1" si="32"/>
        <v>0</v>
      </c>
      <c r="AE291" s="249" t="str">
        <f ca="1">IFERROR(VLOOKUP(B291,bond!B:U,20,FALSE),"")</f>
        <v/>
      </c>
      <c r="AF291" s="136" t="e">
        <f ca="1">IF(VLOOKUP(B291,bond!B:AK,36,FALSE)="#N/A Field Not Applicable","",VLOOKUP(B291,bond!B:AK,36,FALSE))</f>
        <v>#N/A</v>
      </c>
      <c r="AG291" s="136" t="e">
        <f ca="1">IF(VLOOKUP(B291,bond!B:AL,37,FALSE)="FIXED","固定",IF(VLOOKUP(B291,bond!B:AL,37,FALSE)="FLOATING","浮動",IF(VLOOKUP(B291,bond!B:AL,37,FALSE)="VARIABLE","變動",IF(VLOOKUP(B291,bond!B:AL,37,FALSE)="FLAT TRADING","不含息交易",IF(VLOOKUP(B291,bond!B:AL,37,FALSE)="ZERO COUPON","零息",VLOOKUP(B291,bond!B:AL,37,FALSE))))))</f>
        <v>#N/A</v>
      </c>
      <c r="AH291" s="136" t="e">
        <f>VLOOKUP(C291,'2_Check_code'!I:J,2,FALSE)</f>
        <v>#N/A</v>
      </c>
      <c r="AI291" s="136" t="e">
        <f t="shared" ca="1" si="33"/>
        <v>#N/A</v>
      </c>
      <c r="AJ291" s="136" t="e">
        <f t="shared" ca="1" si="34"/>
        <v>#N/A</v>
      </c>
      <c r="AK291" s="594" t="e">
        <f ca="1">IF(VLOOKUP(B291,bond!B:S,18,FALSE)="是","有",IF(VLOOKUP(B291,bond!B:S,18,FALSE)="NO OFFER","無","需查詢"))</f>
        <v>#N/A</v>
      </c>
      <c r="AL291" s="136" t="e">
        <f>IF(VLOOKUP(A291,bond!F:AR,39,FALSE)="#N/A Field Not Applicable",VLOOKUP(A291,bond!F:AR,38,FALSE),IFERROR(VLOOKUP(A291,'7_發行日例外'!A:B,2,FALSE),VLOOKUP(A291,bond!F:AR,39,FALSE)))</f>
        <v>#N/A</v>
      </c>
      <c r="AM291" s="136" t="e">
        <f ca="1">VLOOKUP(B291,bond!B:AK,36,FALSE)</f>
        <v>#N/A</v>
      </c>
      <c r="AN291" s="136" t="str">
        <f ca="1">IFERROR(VLOOKUP(B291,'3_是否下架'!A:A,1,FALSE),"")</f>
        <v/>
      </c>
      <c r="AO291" s="136" t="e">
        <f ca="1">VLOOKUP(B291,bond!B:J,9,FALSE)</f>
        <v>#N/A</v>
      </c>
      <c r="AP291" s="136" t="e">
        <f ca="1">VLOOKUP(B291,bond!B:V,21,FALSE)</f>
        <v>#N/A</v>
      </c>
    </row>
    <row r="292" spans="1:42">
      <c r="A292" s="141">
        <f>bond!F293</f>
        <v>0</v>
      </c>
      <c r="B292" s="151">
        <f ca="1">IF($C$1=TRUE,bond!B293,"")</f>
        <v>0</v>
      </c>
      <c r="C292" s="95" t="e">
        <f>VLOOKUP(A292,bond!F:G,2,FALSE)</f>
        <v>#N/A</v>
      </c>
      <c r="D292" s="142" t="e">
        <f ca="1">VLOOKUP(B292,bond!B:C,2,FALSE)</f>
        <v>#N/A</v>
      </c>
      <c r="E292" s="95" t="e">
        <f ca="1">VLOOKUP(B292,bond!B:D,3,FALSE)</f>
        <v>#N/A</v>
      </c>
      <c r="F292" s="99" t="e">
        <f ca="1">VLOOKUP(B292,bond!B:AB,27,FALSE)</f>
        <v>#N/A</v>
      </c>
      <c r="G292" s="90" t="e">
        <f ca="1">VLOOKUP(B292,bond!B:E,4,FALSE)</f>
        <v>#N/A</v>
      </c>
      <c r="H292" s="202" t="e">
        <f ca="1">VLOOKUP(B292,bond!B:Y,24,FALSE)</f>
        <v>#N/A</v>
      </c>
      <c r="I292" s="95" t="e">
        <f ca="1">VLOOKUP(B292,bond!B:Z,25,FALSE)</f>
        <v>#N/A</v>
      </c>
      <c r="J292" s="180" t="e">
        <f ca="1">VLOOKUP(B292,bond!B:K,10,FALSE)</f>
        <v>#N/A</v>
      </c>
      <c r="K292" s="96" t="e">
        <f ca="1">VLOOKUP($B292,bond!B:S,14,FALSE)</f>
        <v>#N/A</v>
      </c>
      <c r="L292" s="91" t="e">
        <f ca="1">VLOOKUP(B292,bond!B:H,7,FALSE)</f>
        <v>#N/A</v>
      </c>
      <c r="M292" s="144" t="e">
        <f ca="1">VLOOKUP($B292,bond!$B:$Q,16,FALSE)</f>
        <v>#N/A</v>
      </c>
      <c r="N292" s="136" t="e">
        <f ca="1">VALUE(LEFT(VLOOKUP(B292,bond!B:R,17,FALSE),SEARCH(" ",VLOOKUP(B292,bond!B:R,17,FALSE),1)))</f>
        <v>#N/A</v>
      </c>
      <c r="O292" s="136" t="e">
        <f ca="1">VALUE(RIGHT(VLOOKUP(B292,bond!B:R,17,FALSE),LEN(VLOOKUP(B292,bond!B:R,17,FALSE))-LEN(N292)-3))</f>
        <v>#N/A</v>
      </c>
      <c r="P292" s="135" t="e">
        <f ca="1">VLOOKUP($B292,bond!$B:$AG,32,FALSE)</f>
        <v>#N/A</v>
      </c>
      <c r="Q292" s="135" t="e">
        <f ca="1">VLOOKUP($B292,bond!$B:$AH,33,FALSE)</f>
        <v>#N/A</v>
      </c>
      <c r="R292" s="135" t="e">
        <f ca="1">VLOOKUP(B292,bond!B:AA,26,FALSE)</f>
        <v>#N/A</v>
      </c>
      <c r="S292" s="135" t="e">
        <f ca="1">VLOOKUP(B292,bond!B:AI,34,FALSE)</f>
        <v>#N/A</v>
      </c>
      <c r="T292" s="135" t="e">
        <f t="shared" ca="1" si="28"/>
        <v>#N/A</v>
      </c>
      <c r="U292" s="207" t="e">
        <f ca="1">IFERROR(VLOOKUP(T292,Bond_DES!D:E,2,FALSE),VLOOKUP(S292,bond!AI:AJ,2,FALSE))</f>
        <v>#N/A</v>
      </c>
      <c r="V292" s="136" t="e">
        <f ca="1">IFERROR(VLOOKUP(B292,'1_重設數據'!L:M,2,FALSE),IF(Q292="政府",IF(AD292&gt;16,"(NPI)非專投",IF(AD292&gt;10,"(PI)專投","高資產")),IF(VLOOKUP(B292,bond!B:AN,39,FALSE)="Y","(PI)專投",IF(AD292&gt;=15,"(NPI)非專投",IF(AD292&gt;=10,"(PI)專投","高資產")))))</f>
        <v>#N/A</v>
      </c>
      <c r="W292" s="136" t="e">
        <f ca="1">VLOOKUP(AD292,'credit rating'!$F$2:$H$22,3,FALSE)</f>
        <v>#N/A</v>
      </c>
      <c r="X292" s="136" t="e">
        <f t="shared" ca="1" si="29"/>
        <v>#N/A</v>
      </c>
      <c r="Y292" s="136" t="e">
        <f t="shared" ca="1" si="30"/>
        <v>#N/A</v>
      </c>
      <c r="Z292" s="136" t="e">
        <f t="shared" ca="1" si="31"/>
        <v>#N/A</v>
      </c>
      <c r="AA292" s="134">
        <f ca="1">IFERROR(VLOOKUP(X292,'credit rating'!A:C,3,FALSE),0)</f>
        <v>0</v>
      </c>
      <c r="AB292" s="134">
        <f ca="1">IFERROR(VLOOKUP(Y292,'credit rating'!B:C,2,FALSE),0)</f>
        <v>0</v>
      </c>
      <c r="AC292" s="136">
        <f ca="1">IFERROR(VLOOKUP(Z292,'credit rating'!B:C,2,FALSE),0)</f>
        <v>0</v>
      </c>
      <c r="AD292" s="136">
        <f t="shared" ca="1" si="32"/>
        <v>0</v>
      </c>
      <c r="AE292" s="249" t="str">
        <f ca="1">IFERROR(VLOOKUP(B292,bond!B:U,20,FALSE),"")</f>
        <v/>
      </c>
      <c r="AF292" s="136" t="e">
        <f ca="1">IF(VLOOKUP(B292,bond!B:AK,36,FALSE)="#N/A Field Not Applicable","",VLOOKUP(B292,bond!B:AK,36,FALSE))</f>
        <v>#N/A</v>
      </c>
      <c r="AG292" s="136" t="e">
        <f ca="1">IF(VLOOKUP(B292,bond!B:AL,37,FALSE)="FIXED","固定",IF(VLOOKUP(B292,bond!B:AL,37,FALSE)="FLOATING","浮動",IF(VLOOKUP(B292,bond!B:AL,37,FALSE)="VARIABLE","變動",IF(VLOOKUP(B292,bond!B:AL,37,FALSE)="FLAT TRADING","不含息交易",IF(VLOOKUP(B292,bond!B:AL,37,FALSE)="ZERO COUPON","零息",VLOOKUP(B292,bond!B:AL,37,FALSE))))))</f>
        <v>#N/A</v>
      </c>
      <c r="AH292" s="136" t="e">
        <f>VLOOKUP(C292,'2_Check_code'!I:J,2,FALSE)</f>
        <v>#N/A</v>
      </c>
      <c r="AI292" s="136" t="e">
        <f t="shared" ca="1" si="33"/>
        <v>#N/A</v>
      </c>
      <c r="AJ292" s="136" t="e">
        <f t="shared" ca="1" si="34"/>
        <v>#N/A</v>
      </c>
      <c r="AK292" s="594" t="e">
        <f ca="1">IF(VLOOKUP(B292,bond!B:S,18,FALSE)="是","有",IF(VLOOKUP(B292,bond!B:S,18,FALSE)="NO OFFER","無","需查詢"))</f>
        <v>#N/A</v>
      </c>
      <c r="AL292" s="136" t="e">
        <f>IF(VLOOKUP(A292,bond!F:AR,39,FALSE)="#N/A Field Not Applicable",VLOOKUP(A292,bond!F:AR,38,FALSE),IFERROR(VLOOKUP(A292,'7_發行日例外'!A:B,2,FALSE),VLOOKUP(A292,bond!F:AR,39,FALSE)))</f>
        <v>#N/A</v>
      </c>
      <c r="AM292" s="136" t="e">
        <f ca="1">VLOOKUP(B292,bond!B:AK,36,FALSE)</f>
        <v>#N/A</v>
      </c>
      <c r="AN292" s="136" t="str">
        <f ca="1">IFERROR(VLOOKUP(B292,'3_是否下架'!A:A,1,FALSE),"")</f>
        <v/>
      </c>
      <c r="AO292" s="136" t="e">
        <f ca="1">VLOOKUP(B292,bond!B:J,9,FALSE)</f>
        <v>#N/A</v>
      </c>
      <c r="AP292" s="136" t="e">
        <f ca="1">VLOOKUP(B292,bond!B:V,21,FALSE)</f>
        <v>#N/A</v>
      </c>
    </row>
    <row r="293" spans="1:42">
      <c r="A293" s="141">
        <f>bond!F294</f>
        <v>0</v>
      </c>
      <c r="B293" s="151">
        <f ca="1">IF($C$1=TRUE,bond!B294,"")</f>
        <v>0</v>
      </c>
      <c r="C293" s="95" t="e">
        <f>VLOOKUP(A293,bond!F:G,2,FALSE)</f>
        <v>#N/A</v>
      </c>
      <c r="D293" s="142" t="e">
        <f ca="1">VLOOKUP(B293,bond!B:C,2,FALSE)</f>
        <v>#N/A</v>
      </c>
      <c r="E293" s="95" t="e">
        <f ca="1">VLOOKUP(B293,bond!B:D,3,FALSE)</f>
        <v>#N/A</v>
      </c>
      <c r="F293" s="99" t="e">
        <f ca="1">VLOOKUP(B293,bond!B:AB,27,FALSE)</f>
        <v>#N/A</v>
      </c>
      <c r="G293" s="90" t="e">
        <f ca="1">VLOOKUP(B293,bond!B:E,4,FALSE)</f>
        <v>#N/A</v>
      </c>
      <c r="H293" s="202" t="e">
        <f ca="1">VLOOKUP(B293,bond!B:Y,24,FALSE)</f>
        <v>#N/A</v>
      </c>
      <c r="I293" s="95" t="e">
        <f ca="1">VLOOKUP(B293,bond!B:Z,25,FALSE)</f>
        <v>#N/A</v>
      </c>
      <c r="J293" s="180" t="e">
        <f ca="1">VLOOKUP(B293,bond!B:K,10,FALSE)</f>
        <v>#N/A</v>
      </c>
      <c r="K293" s="96" t="e">
        <f ca="1">VLOOKUP($B293,bond!B:S,14,FALSE)</f>
        <v>#N/A</v>
      </c>
      <c r="L293" s="91" t="e">
        <f ca="1">VLOOKUP(B293,bond!B:H,7,FALSE)</f>
        <v>#N/A</v>
      </c>
      <c r="M293" s="144" t="e">
        <f ca="1">VLOOKUP($B293,bond!$B:$Q,16,FALSE)</f>
        <v>#N/A</v>
      </c>
      <c r="N293" s="136" t="e">
        <f ca="1">VALUE(LEFT(VLOOKUP(B293,bond!B:R,17,FALSE),SEARCH(" ",VLOOKUP(B293,bond!B:R,17,FALSE),1)))</f>
        <v>#N/A</v>
      </c>
      <c r="O293" s="136" t="e">
        <f ca="1">VALUE(RIGHT(VLOOKUP(B293,bond!B:R,17,FALSE),LEN(VLOOKUP(B293,bond!B:R,17,FALSE))-LEN(N293)-3))</f>
        <v>#N/A</v>
      </c>
      <c r="P293" s="135" t="e">
        <f ca="1">VLOOKUP($B293,bond!$B:$AG,32,FALSE)</f>
        <v>#N/A</v>
      </c>
      <c r="Q293" s="135" t="e">
        <f ca="1">VLOOKUP($B293,bond!$B:$AH,33,FALSE)</f>
        <v>#N/A</v>
      </c>
      <c r="R293" s="135" t="e">
        <f ca="1">VLOOKUP(B293,bond!B:AA,26,FALSE)</f>
        <v>#N/A</v>
      </c>
      <c r="S293" s="135" t="e">
        <f ca="1">VLOOKUP(B293,bond!B:AI,34,FALSE)</f>
        <v>#N/A</v>
      </c>
      <c r="T293" s="135" t="e">
        <f t="shared" ca="1" si="28"/>
        <v>#N/A</v>
      </c>
      <c r="U293" s="207" t="e">
        <f ca="1">IFERROR(VLOOKUP(T293,Bond_DES!D:E,2,FALSE),VLOOKUP(S293,bond!AI:AJ,2,FALSE))</f>
        <v>#N/A</v>
      </c>
      <c r="V293" s="136" t="e">
        <f ca="1">IFERROR(VLOOKUP(B293,'1_重設數據'!L:M,2,FALSE),IF(Q293="政府",IF(AD293&gt;16,"(NPI)非專投",IF(AD293&gt;10,"(PI)專投","高資產")),IF(VLOOKUP(B293,bond!B:AN,39,FALSE)="Y","(PI)專投",IF(AD293&gt;=15,"(NPI)非專投",IF(AD293&gt;=10,"(PI)專投","高資產")))))</f>
        <v>#N/A</v>
      </c>
      <c r="W293" s="136" t="e">
        <f ca="1">VLOOKUP(AD293,'credit rating'!$F$2:$H$22,3,FALSE)</f>
        <v>#N/A</v>
      </c>
      <c r="X293" s="136" t="e">
        <f t="shared" ca="1" si="29"/>
        <v>#N/A</v>
      </c>
      <c r="Y293" s="136" t="e">
        <f t="shared" ca="1" si="30"/>
        <v>#N/A</v>
      </c>
      <c r="Z293" s="136" t="e">
        <f t="shared" ca="1" si="31"/>
        <v>#N/A</v>
      </c>
      <c r="AA293" s="134">
        <f ca="1">IFERROR(VLOOKUP(X293,'credit rating'!A:C,3,FALSE),0)</f>
        <v>0</v>
      </c>
      <c r="AB293" s="134">
        <f ca="1">IFERROR(VLOOKUP(Y293,'credit rating'!B:C,2,FALSE),0)</f>
        <v>0</v>
      </c>
      <c r="AC293" s="136">
        <f ca="1">IFERROR(VLOOKUP(Z293,'credit rating'!B:C,2,FALSE),0)</f>
        <v>0</v>
      </c>
      <c r="AD293" s="136">
        <f t="shared" ca="1" si="32"/>
        <v>0</v>
      </c>
      <c r="AE293" s="249" t="str">
        <f ca="1">IFERROR(VLOOKUP(B293,bond!B:U,20,FALSE),"")</f>
        <v/>
      </c>
      <c r="AF293" s="136" t="e">
        <f ca="1">IF(VLOOKUP(B293,bond!B:AK,36,FALSE)="#N/A Field Not Applicable","",VLOOKUP(B293,bond!B:AK,36,FALSE))</f>
        <v>#N/A</v>
      </c>
      <c r="AG293" s="136" t="e">
        <f ca="1">IF(VLOOKUP(B293,bond!B:AL,37,FALSE)="FIXED","固定",IF(VLOOKUP(B293,bond!B:AL,37,FALSE)="FLOATING","浮動",IF(VLOOKUP(B293,bond!B:AL,37,FALSE)="VARIABLE","變動",IF(VLOOKUP(B293,bond!B:AL,37,FALSE)="FLAT TRADING","不含息交易",IF(VLOOKUP(B293,bond!B:AL,37,FALSE)="ZERO COUPON","零息",VLOOKUP(B293,bond!B:AL,37,FALSE))))))</f>
        <v>#N/A</v>
      </c>
      <c r="AH293" s="136" t="e">
        <f>VLOOKUP(C293,'2_Check_code'!I:J,2,FALSE)</f>
        <v>#N/A</v>
      </c>
      <c r="AI293" s="136" t="e">
        <f t="shared" ca="1" si="33"/>
        <v>#N/A</v>
      </c>
      <c r="AJ293" s="136" t="e">
        <f t="shared" ca="1" si="34"/>
        <v>#N/A</v>
      </c>
      <c r="AK293" s="594" t="e">
        <f ca="1">IF(VLOOKUP(B293,bond!B:S,18,FALSE)="是","有",IF(VLOOKUP(B293,bond!B:S,18,FALSE)="NO OFFER","無","需查詢"))</f>
        <v>#N/A</v>
      </c>
      <c r="AL293" s="136" t="e">
        <f>IF(VLOOKUP(A293,bond!F:AR,39,FALSE)="#N/A Field Not Applicable",VLOOKUP(A293,bond!F:AR,38,FALSE),IFERROR(VLOOKUP(A293,'7_發行日例外'!A:B,2,FALSE),VLOOKUP(A293,bond!F:AR,39,FALSE)))</f>
        <v>#N/A</v>
      </c>
      <c r="AM293" s="136" t="e">
        <f ca="1">VLOOKUP(B293,bond!B:AK,36,FALSE)</f>
        <v>#N/A</v>
      </c>
      <c r="AN293" s="136" t="str">
        <f ca="1">IFERROR(VLOOKUP(B293,'3_是否下架'!A:A,1,FALSE),"")</f>
        <v/>
      </c>
      <c r="AO293" s="136" t="e">
        <f ca="1">VLOOKUP(B293,bond!B:J,9,FALSE)</f>
        <v>#N/A</v>
      </c>
      <c r="AP293" s="136" t="e">
        <f ca="1">VLOOKUP(B293,bond!B:V,21,FALSE)</f>
        <v>#N/A</v>
      </c>
    </row>
    <row r="294" spans="1:42">
      <c r="A294" s="141">
        <f>bond!F295</f>
        <v>0</v>
      </c>
      <c r="B294" s="151">
        <f ca="1">IF($C$1=TRUE,bond!B295,"")</f>
        <v>0</v>
      </c>
      <c r="C294" s="95" t="e">
        <f>VLOOKUP(A294,bond!F:G,2,FALSE)</f>
        <v>#N/A</v>
      </c>
      <c r="D294" s="142" t="e">
        <f ca="1">VLOOKUP(B294,bond!B:C,2,FALSE)</f>
        <v>#N/A</v>
      </c>
      <c r="E294" s="95" t="e">
        <f ca="1">VLOOKUP(B294,bond!B:D,3,FALSE)</f>
        <v>#N/A</v>
      </c>
      <c r="F294" s="99" t="e">
        <f ca="1">VLOOKUP(B294,bond!B:AB,27,FALSE)</f>
        <v>#N/A</v>
      </c>
      <c r="G294" s="90" t="e">
        <f ca="1">VLOOKUP(B294,bond!B:E,4,FALSE)</f>
        <v>#N/A</v>
      </c>
      <c r="H294" s="202" t="e">
        <f ca="1">VLOOKUP(B294,bond!B:Y,24,FALSE)</f>
        <v>#N/A</v>
      </c>
      <c r="I294" s="95" t="e">
        <f ca="1">VLOOKUP(B294,bond!B:Z,25,FALSE)</f>
        <v>#N/A</v>
      </c>
      <c r="J294" s="180" t="e">
        <f ca="1">VLOOKUP(B294,bond!B:K,10,FALSE)</f>
        <v>#N/A</v>
      </c>
      <c r="K294" s="96" t="e">
        <f ca="1">VLOOKUP($B294,bond!B:S,14,FALSE)</f>
        <v>#N/A</v>
      </c>
      <c r="L294" s="91" t="e">
        <f ca="1">VLOOKUP(B294,bond!B:H,7,FALSE)</f>
        <v>#N/A</v>
      </c>
      <c r="M294" s="144" t="e">
        <f ca="1">VLOOKUP($B294,bond!$B:$Q,16,FALSE)</f>
        <v>#N/A</v>
      </c>
      <c r="N294" s="136" t="e">
        <f ca="1">VALUE(LEFT(VLOOKUP(B294,bond!B:R,17,FALSE),SEARCH(" ",VLOOKUP(B294,bond!B:R,17,FALSE),1)))</f>
        <v>#N/A</v>
      </c>
      <c r="O294" s="136" t="e">
        <f ca="1">VALUE(RIGHT(VLOOKUP(B294,bond!B:R,17,FALSE),LEN(VLOOKUP(B294,bond!B:R,17,FALSE))-LEN(N294)-3))</f>
        <v>#N/A</v>
      </c>
      <c r="P294" s="135" t="e">
        <f ca="1">VLOOKUP($B294,bond!$B:$AG,32,FALSE)</f>
        <v>#N/A</v>
      </c>
      <c r="Q294" s="135" t="e">
        <f ca="1">VLOOKUP($B294,bond!$B:$AH,33,FALSE)</f>
        <v>#N/A</v>
      </c>
      <c r="R294" s="135" t="e">
        <f ca="1">VLOOKUP(B294,bond!B:AA,26,FALSE)</f>
        <v>#N/A</v>
      </c>
      <c r="S294" s="135" t="e">
        <f ca="1">VLOOKUP(B294,bond!B:AI,34,FALSE)</f>
        <v>#N/A</v>
      </c>
      <c r="T294" s="135" t="e">
        <f t="shared" ca="1" si="28"/>
        <v>#N/A</v>
      </c>
      <c r="U294" s="207" t="e">
        <f ca="1">IFERROR(VLOOKUP(T294,Bond_DES!D:E,2,FALSE),VLOOKUP(S294,bond!AI:AJ,2,FALSE))</f>
        <v>#N/A</v>
      </c>
      <c r="V294" s="136" t="e">
        <f ca="1">IFERROR(VLOOKUP(B294,'1_重設數據'!L:M,2,FALSE),IF(Q294="政府",IF(AD294&gt;16,"(NPI)非專投",IF(AD294&gt;10,"(PI)專投","高資產")),IF(VLOOKUP(B294,bond!B:AN,39,FALSE)="Y","(PI)專投",IF(AD294&gt;=15,"(NPI)非專投",IF(AD294&gt;=10,"(PI)專投","高資產")))))</f>
        <v>#N/A</v>
      </c>
      <c r="W294" s="136" t="e">
        <f ca="1">VLOOKUP(AD294,'credit rating'!$F$2:$H$22,3,FALSE)</f>
        <v>#N/A</v>
      </c>
      <c r="X294" s="136" t="e">
        <f t="shared" ca="1" si="29"/>
        <v>#N/A</v>
      </c>
      <c r="Y294" s="136" t="e">
        <f t="shared" ca="1" si="30"/>
        <v>#N/A</v>
      </c>
      <c r="Z294" s="136" t="e">
        <f t="shared" ca="1" si="31"/>
        <v>#N/A</v>
      </c>
      <c r="AA294" s="134">
        <f ca="1">IFERROR(VLOOKUP(X294,'credit rating'!A:C,3,FALSE),0)</f>
        <v>0</v>
      </c>
      <c r="AB294" s="134">
        <f ca="1">IFERROR(VLOOKUP(Y294,'credit rating'!B:C,2,FALSE),0)</f>
        <v>0</v>
      </c>
      <c r="AC294" s="136">
        <f ca="1">IFERROR(VLOOKUP(Z294,'credit rating'!B:C,2,FALSE),0)</f>
        <v>0</v>
      </c>
      <c r="AD294" s="136">
        <f t="shared" ca="1" si="32"/>
        <v>0</v>
      </c>
      <c r="AE294" s="249" t="str">
        <f ca="1">IFERROR(VLOOKUP(B294,bond!B:U,20,FALSE),"")</f>
        <v/>
      </c>
      <c r="AF294" s="136" t="e">
        <f ca="1">IF(VLOOKUP(B294,bond!B:AK,36,FALSE)="#N/A Field Not Applicable","",VLOOKUP(B294,bond!B:AK,36,FALSE))</f>
        <v>#N/A</v>
      </c>
      <c r="AG294" s="136" t="e">
        <f ca="1">IF(VLOOKUP(B294,bond!B:AL,37,FALSE)="FIXED","固定",IF(VLOOKUP(B294,bond!B:AL,37,FALSE)="FLOATING","浮動",IF(VLOOKUP(B294,bond!B:AL,37,FALSE)="VARIABLE","變動",IF(VLOOKUP(B294,bond!B:AL,37,FALSE)="FLAT TRADING","不含息交易",IF(VLOOKUP(B294,bond!B:AL,37,FALSE)="ZERO COUPON","零息",VLOOKUP(B294,bond!B:AL,37,FALSE))))))</f>
        <v>#N/A</v>
      </c>
      <c r="AH294" s="136" t="e">
        <f>VLOOKUP(C294,'2_Check_code'!I:J,2,FALSE)</f>
        <v>#N/A</v>
      </c>
      <c r="AI294" s="136" t="e">
        <f t="shared" ca="1" si="33"/>
        <v>#N/A</v>
      </c>
      <c r="AJ294" s="136" t="e">
        <f t="shared" ca="1" si="34"/>
        <v>#N/A</v>
      </c>
      <c r="AK294" s="594" t="e">
        <f ca="1">IF(VLOOKUP(B294,bond!B:S,18,FALSE)="是","有",IF(VLOOKUP(B294,bond!B:S,18,FALSE)="NO OFFER","無","需查詢"))</f>
        <v>#N/A</v>
      </c>
      <c r="AL294" s="136" t="e">
        <f>IF(VLOOKUP(A294,bond!F:AR,39,FALSE)="#N/A Field Not Applicable",VLOOKUP(A294,bond!F:AR,38,FALSE),IFERROR(VLOOKUP(A294,'7_發行日例外'!A:B,2,FALSE),VLOOKUP(A294,bond!F:AR,39,FALSE)))</f>
        <v>#N/A</v>
      </c>
      <c r="AM294" s="136" t="e">
        <f ca="1">VLOOKUP(B294,bond!B:AK,36,FALSE)</f>
        <v>#N/A</v>
      </c>
      <c r="AN294" s="136" t="str">
        <f ca="1">IFERROR(VLOOKUP(B294,'3_是否下架'!A:A,1,FALSE),"")</f>
        <v/>
      </c>
      <c r="AO294" s="136" t="e">
        <f ca="1">VLOOKUP(B294,bond!B:J,9,FALSE)</f>
        <v>#N/A</v>
      </c>
      <c r="AP294" s="136" t="e">
        <f ca="1">VLOOKUP(B294,bond!B:V,21,FALSE)</f>
        <v>#N/A</v>
      </c>
    </row>
    <row r="295" spans="1:42">
      <c r="A295" s="141">
        <f>bond!F296</f>
        <v>0</v>
      </c>
      <c r="B295" s="151">
        <f ca="1">IF($C$1=TRUE,bond!B296,"")</f>
        <v>0</v>
      </c>
      <c r="C295" s="95" t="e">
        <f>VLOOKUP(A295,bond!F:G,2,FALSE)</f>
        <v>#N/A</v>
      </c>
      <c r="D295" s="142" t="e">
        <f ca="1">VLOOKUP(B295,bond!B:C,2,FALSE)</f>
        <v>#N/A</v>
      </c>
      <c r="E295" s="95" t="e">
        <f ca="1">VLOOKUP(B295,bond!B:D,3,FALSE)</f>
        <v>#N/A</v>
      </c>
      <c r="F295" s="99" t="e">
        <f ca="1">VLOOKUP(B295,bond!B:AB,27,FALSE)</f>
        <v>#N/A</v>
      </c>
      <c r="G295" s="90" t="e">
        <f ca="1">VLOOKUP(B295,bond!B:E,4,FALSE)</f>
        <v>#N/A</v>
      </c>
      <c r="H295" s="202" t="e">
        <f ca="1">VLOOKUP(B295,bond!B:Y,24,FALSE)</f>
        <v>#N/A</v>
      </c>
      <c r="I295" s="95" t="e">
        <f ca="1">VLOOKUP(B295,bond!B:Z,25,FALSE)</f>
        <v>#N/A</v>
      </c>
      <c r="J295" s="180" t="e">
        <f ca="1">VLOOKUP(B295,bond!B:K,10,FALSE)</f>
        <v>#N/A</v>
      </c>
      <c r="K295" s="96" t="e">
        <f ca="1">VLOOKUP($B295,bond!B:S,14,FALSE)</f>
        <v>#N/A</v>
      </c>
      <c r="L295" s="91" t="e">
        <f ca="1">VLOOKUP(B295,bond!B:H,7,FALSE)</f>
        <v>#N/A</v>
      </c>
      <c r="M295" s="144" t="e">
        <f ca="1">VLOOKUP($B295,bond!$B:$Q,16,FALSE)</f>
        <v>#N/A</v>
      </c>
      <c r="N295" s="136" t="e">
        <f ca="1">VALUE(LEFT(VLOOKUP(B295,bond!B:R,17,FALSE),SEARCH(" ",VLOOKUP(B295,bond!B:R,17,FALSE),1)))</f>
        <v>#N/A</v>
      </c>
      <c r="O295" s="136" t="e">
        <f ca="1">VALUE(RIGHT(VLOOKUP(B295,bond!B:R,17,FALSE),LEN(VLOOKUP(B295,bond!B:R,17,FALSE))-LEN(N295)-3))</f>
        <v>#N/A</v>
      </c>
      <c r="P295" s="135" t="e">
        <f ca="1">VLOOKUP($B295,bond!$B:$AG,32,FALSE)</f>
        <v>#N/A</v>
      </c>
      <c r="Q295" s="135" t="e">
        <f ca="1">VLOOKUP($B295,bond!$B:$AH,33,FALSE)</f>
        <v>#N/A</v>
      </c>
      <c r="R295" s="135" t="e">
        <f ca="1">VLOOKUP(B295,bond!B:AA,26,FALSE)</f>
        <v>#N/A</v>
      </c>
      <c r="S295" s="135" t="e">
        <f ca="1">VLOOKUP(B295,bond!B:AI,34,FALSE)</f>
        <v>#N/A</v>
      </c>
      <c r="T295" s="135" t="e">
        <f t="shared" ca="1" si="28"/>
        <v>#N/A</v>
      </c>
      <c r="U295" s="207" t="e">
        <f ca="1">IFERROR(VLOOKUP(T295,Bond_DES!D:E,2,FALSE),VLOOKUP(S295,bond!AI:AJ,2,FALSE))</f>
        <v>#N/A</v>
      </c>
      <c r="V295" s="136" t="e">
        <f ca="1">IFERROR(VLOOKUP(B295,'1_重設數據'!L:M,2,FALSE),IF(Q295="政府",IF(AD295&gt;16,"(NPI)非專投",IF(AD295&gt;10,"(PI)專投","高資產")),IF(VLOOKUP(B295,bond!B:AN,39,FALSE)="Y","(PI)專投",IF(AD295&gt;=15,"(NPI)非專投",IF(AD295&gt;=10,"(PI)專投","高資產")))))</f>
        <v>#N/A</v>
      </c>
      <c r="W295" s="136" t="e">
        <f ca="1">VLOOKUP(AD295,'credit rating'!$F$2:$H$22,3,FALSE)</f>
        <v>#N/A</v>
      </c>
      <c r="X295" s="136" t="e">
        <f t="shared" ca="1" si="29"/>
        <v>#N/A</v>
      </c>
      <c r="Y295" s="136" t="e">
        <f t="shared" ca="1" si="30"/>
        <v>#N/A</v>
      </c>
      <c r="Z295" s="136" t="e">
        <f t="shared" ca="1" si="31"/>
        <v>#N/A</v>
      </c>
      <c r="AA295" s="134">
        <f ca="1">IFERROR(VLOOKUP(X295,'credit rating'!A:C,3,FALSE),0)</f>
        <v>0</v>
      </c>
      <c r="AB295" s="134">
        <f ca="1">IFERROR(VLOOKUP(Y295,'credit rating'!B:C,2,FALSE),0)</f>
        <v>0</v>
      </c>
      <c r="AC295" s="136">
        <f ca="1">IFERROR(VLOOKUP(Z295,'credit rating'!B:C,2,FALSE),0)</f>
        <v>0</v>
      </c>
      <c r="AD295" s="136">
        <f t="shared" ca="1" si="32"/>
        <v>0</v>
      </c>
      <c r="AE295" s="249" t="str">
        <f ca="1">IFERROR(VLOOKUP(B295,bond!B:U,20,FALSE),"")</f>
        <v/>
      </c>
      <c r="AF295" s="136" t="e">
        <f ca="1">IF(VLOOKUP(B295,bond!B:AK,36,FALSE)="#N/A Field Not Applicable","",VLOOKUP(B295,bond!B:AK,36,FALSE))</f>
        <v>#N/A</v>
      </c>
      <c r="AG295" s="136" t="e">
        <f ca="1">IF(VLOOKUP(B295,bond!B:AL,37,FALSE)="FIXED","固定",IF(VLOOKUP(B295,bond!B:AL,37,FALSE)="FLOATING","浮動",IF(VLOOKUP(B295,bond!B:AL,37,FALSE)="VARIABLE","變動",IF(VLOOKUP(B295,bond!B:AL,37,FALSE)="FLAT TRADING","不含息交易",IF(VLOOKUP(B295,bond!B:AL,37,FALSE)="ZERO COUPON","零息",VLOOKUP(B295,bond!B:AL,37,FALSE))))))</f>
        <v>#N/A</v>
      </c>
      <c r="AH295" s="136" t="e">
        <f>VLOOKUP(C295,'2_Check_code'!I:J,2,FALSE)</f>
        <v>#N/A</v>
      </c>
      <c r="AI295" s="136" t="e">
        <f t="shared" ca="1" si="33"/>
        <v>#N/A</v>
      </c>
      <c r="AJ295" s="136" t="e">
        <f t="shared" ca="1" si="34"/>
        <v>#N/A</v>
      </c>
      <c r="AK295" s="594" t="e">
        <f ca="1">IF(VLOOKUP(B295,bond!B:S,18,FALSE)="是","有",IF(VLOOKUP(B295,bond!B:S,18,FALSE)="NO OFFER","無","需查詢"))</f>
        <v>#N/A</v>
      </c>
      <c r="AL295" s="136" t="e">
        <f>IF(VLOOKUP(A295,bond!F:AR,39,FALSE)="#N/A Field Not Applicable",VLOOKUP(A295,bond!F:AR,38,FALSE),IFERROR(VLOOKUP(A295,'7_發行日例外'!A:B,2,FALSE),VLOOKUP(A295,bond!F:AR,39,FALSE)))</f>
        <v>#N/A</v>
      </c>
      <c r="AM295" s="136" t="e">
        <f ca="1">VLOOKUP(B295,bond!B:AK,36,FALSE)</f>
        <v>#N/A</v>
      </c>
      <c r="AN295" s="136" t="str">
        <f ca="1">IFERROR(VLOOKUP(B295,'3_是否下架'!A:A,1,FALSE),"")</f>
        <v/>
      </c>
      <c r="AO295" s="136" t="e">
        <f ca="1">VLOOKUP(B295,bond!B:J,9,FALSE)</f>
        <v>#N/A</v>
      </c>
      <c r="AP295" s="136" t="e">
        <f ca="1">VLOOKUP(B295,bond!B:V,21,FALSE)</f>
        <v>#N/A</v>
      </c>
    </row>
    <row r="296" spans="1:42">
      <c r="A296" s="141">
        <f>bond!F297</f>
        <v>0</v>
      </c>
      <c r="B296" s="151">
        <f ca="1">IF($C$1=TRUE,bond!B297,"")</f>
        <v>0</v>
      </c>
      <c r="C296" s="95" t="e">
        <f>VLOOKUP(A296,bond!F:G,2,FALSE)</f>
        <v>#N/A</v>
      </c>
      <c r="D296" s="142" t="e">
        <f ca="1">VLOOKUP(B296,bond!B:C,2,FALSE)</f>
        <v>#N/A</v>
      </c>
      <c r="E296" s="95" t="e">
        <f ca="1">VLOOKUP(B296,bond!B:D,3,FALSE)</f>
        <v>#N/A</v>
      </c>
      <c r="F296" s="99" t="e">
        <f ca="1">VLOOKUP(B296,bond!B:AB,27,FALSE)</f>
        <v>#N/A</v>
      </c>
      <c r="G296" s="90" t="e">
        <f ca="1">VLOOKUP(B296,bond!B:E,4,FALSE)</f>
        <v>#N/A</v>
      </c>
      <c r="H296" s="202" t="e">
        <f ca="1">VLOOKUP(B296,bond!B:Y,24,FALSE)</f>
        <v>#N/A</v>
      </c>
      <c r="I296" s="95" t="e">
        <f ca="1">VLOOKUP(B296,bond!B:Z,25,FALSE)</f>
        <v>#N/A</v>
      </c>
      <c r="J296" s="180" t="e">
        <f ca="1">VLOOKUP(B296,bond!B:K,10,FALSE)</f>
        <v>#N/A</v>
      </c>
      <c r="K296" s="96" t="e">
        <f ca="1">VLOOKUP($B296,bond!B:S,14,FALSE)</f>
        <v>#N/A</v>
      </c>
      <c r="L296" s="91" t="e">
        <f ca="1">VLOOKUP(B296,bond!B:H,7,FALSE)</f>
        <v>#N/A</v>
      </c>
      <c r="M296" s="144" t="e">
        <f ca="1">VLOOKUP($B296,bond!$B:$Q,16,FALSE)</f>
        <v>#N/A</v>
      </c>
      <c r="N296" s="136" t="e">
        <f ca="1">VALUE(LEFT(VLOOKUP(B296,bond!B:R,17,FALSE),SEARCH(" ",VLOOKUP(B296,bond!B:R,17,FALSE),1)))</f>
        <v>#N/A</v>
      </c>
      <c r="O296" s="136" t="e">
        <f ca="1">VALUE(RIGHT(VLOOKUP(B296,bond!B:R,17,FALSE),LEN(VLOOKUP(B296,bond!B:R,17,FALSE))-LEN(N296)-3))</f>
        <v>#N/A</v>
      </c>
      <c r="P296" s="135" t="e">
        <f ca="1">VLOOKUP($B296,bond!$B:$AG,32,FALSE)</f>
        <v>#N/A</v>
      </c>
      <c r="Q296" s="135" t="e">
        <f ca="1">VLOOKUP($B296,bond!$B:$AH,33,FALSE)</f>
        <v>#N/A</v>
      </c>
      <c r="R296" s="135" t="e">
        <f ca="1">VLOOKUP(B296,bond!B:AA,26,FALSE)</f>
        <v>#N/A</v>
      </c>
      <c r="S296" s="135" t="e">
        <f ca="1">VLOOKUP(B296,bond!B:AI,34,FALSE)</f>
        <v>#N/A</v>
      </c>
      <c r="T296" s="135" t="e">
        <f t="shared" ca="1" si="28"/>
        <v>#N/A</v>
      </c>
      <c r="U296" s="207" t="e">
        <f ca="1">IFERROR(VLOOKUP(T296,Bond_DES!D:E,2,FALSE),VLOOKUP(S296,bond!AI:AJ,2,FALSE))</f>
        <v>#N/A</v>
      </c>
      <c r="V296" s="136" t="e">
        <f ca="1">IFERROR(VLOOKUP(B296,'1_重設數據'!L:M,2,FALSE),IF(Q296="政府",IF(AD296&gt;16,"(NPI)非專投",IF(AD296&gt;10,"(PI)專投","高資產")),IF(VLOOKUP(B296,bond!B:AN,39,FALSE)="Y","(PI)專投",IF(AD296&gt;=15,"(NPI)非專投",IF(AD296&gt;=10,"(PI)專投","高資產")))))</f>
        <v>#N/A</v>
      </c>
      <c r="W296" s="136" t="e">
        <f ca="1">VLOOKUP(AD296,'credit rating'!$F$2:$H$22,3,FALSE)</f>
        <v>#N/A</v>
      </c>
      <c r="X296" s="136" t="e">
        <f t="shared" ca="1" si="29"/>
        <v>#N/A</v>
      </c>
      <c r="Y296" s="136" t="e">
        <f t="shared" ca="1" si="30"/>
        <v>#N/A</v>
      </c>
      <c r="Z296" s="136" t="e">
        <f t="shared" ca="1" si="31"/>
        <v>#N/A</v>
      </c>
      <c r="AA296" s="134">
        <f ca="1">IFERROR(VLOOKUP(X296,'credit rating'!A:C,3,FALSE),0)</f>
        <v>0</v>
      </c>
      <c r="AB296" s="134">
        <f ca="1">IFERROR(VLOOKUP(Y296,'credit rating'!B:C,2,FALSE),0)</f>
        <v>0</v>
      </c>
      <c r="AC296" s="136">
        <f ca="1">IFERROR(VLOOKUP(Z296,'credit rating'!B:C,2,FALSE),0)</f>
        <v>0</v>
      </c>
      <c r="AD296" s="136">
        <f t="shared" ca="1" si="32"/>
        <v>0</v>
      </c>
      <c r="AE296" s="249" t="str">
        <f ca="1">IFERROR(VLOOKUP(B296,bond!B:U,20,FALSE),"")</f>
        <v/>
      </c>
      <c r="AF296" s="136" t="e">
        <f ca="1">IF(VLOOKUP(B296,bond!B:AK,36,FALSE)="#N/A Field Not Applicable","",VLOOKUP(B296,bond!B:AK,36,FALSE))</f>
        <v>#N/A</v>
      </c>
      <c r="AG296" s="136" t="e">
        <f ca="1">IF(VLOOKUP(B296,bond!B:AL,37,FALSE)="FIXED","固定",IF(VLOOKUP(B296,bond!B:AL,37,FALSE)="FLOATING","浮動",IF(VLOOKUP(B296,bond!B:AL,37,FALSE)="VARIABLE","變動",IF(VLOOKUP(B296,bond!B:AL,37,FALSE)="FLAT TRADING","不含息交易",IF(VLOOKUP(B296,bond!B:AL,37,FALSE)="ZERO COUPON","零息",VLOOKUP(B296,bond!B:AL,37,FALSE))))))</f>
        <v>#N/A</v>
      </c>
      <c r="AH296" s="136" t="e">
        <f>VLOOKUP(C296,'2_Check_code'!I:J,2,FALSE)</f>
        <v>#N/A</v>
      </c>
      <c r="AI296" s="136" t="e">
        <f t="shared" ca="1" si="33"/>
        <v>#N/A</v>
      </c>
      <c r="AJ296" s="136" t="e">
        <f t="shared" ca="1" si="34"/>
        <v>#N/A</v>
      </c>
      <c r="AK296" s="594" t="e">
        <f ca="1">IF(VLOOKUP(B296,bond!B:S,18,FALSE)="是","有",IF(VLOOKUP(B296,bond!B:S,18,FALSE)="NO OFFER","無","需查詢"))</f>
        <v>#N/A</v>
      </c>
      <c r="AL296" s="136" t="e">
        <f>IF(VLOOKUP(A296,bond!F:AR,39,FALSE)="#N/A Field Not Applicable",VLOOKUP(A296,bond!F:AR,38,FALSE),IFERROR(VLOOKUP(A296,'7_發行日例外'!A:B,2,FALSE),VLOOKUP(A296,bond!F:AR,39,FALSE)))</f>
        <v>#N/A</v>
      </c>
      <c r="AM296" s="136" t="e">
        <f ca="1">VLOOKUP(B296,bond!B:AK,36,FALSE)</f>
        <v>#N/A</v>
      </c>
      <c r="AN296" s="136" t="str">
        <f ca="1">IFERROR(VLOOKUP(B296,'3_是否下架'!A:A,1,FALSE),"")</f>
        <v/>
      </c>
      <c r="AO296" s="136" t="e">
        <f ca="1">VLOOKUP(B296,bond!B:J,9,FALSE)</f>
        <v>#N/A</v>
      </c>
      <c r="AP296" s="136" t="e">
        <f ca="1">VLOOKUP(B296,bond!B:V,21,FALSE)</f>
        <v>#N/A</v>
      </c>
    </row>
    <row r="297" spans="1:42">
      <c r="A297" s="141">
        <f>bond!F298</f>
        <v>0</v>
      </c>
      <c r="B297" s="151">
        <f ca="1">IF($C$1=TRUE,bond!B298,"")</f>
        <v>0</v>
      </c>
      <c r="C297" s="95" t="e">
        <f>VLOOKUP(A297,bond!F:G,2,FALSE)</f>
        <v>#N/A</v>
      </c>
      <c r="D297" s="142" t="e">
        <f ca="1">VLOOKUP(B297,bond!B:C,2,FALSE)</f>
        <v>#N/A</v>
      </c>
      <c r="E297" s="95" t="e">
        <f ca="1">VLOOKUP(B297,bond!B:D,3,FALSE)</f>
        <v>#N/A</v>
      </c>
      <c r="F297" s="99" t="e">
        <f ca="1">VLOOKUP(B297,bond!B:AB,27,FALSE)</f>
        <v>#N/A</v>
      </c>
      <c r="G297" s="90" t="e">
        <f ca="1">VLOOKUP(B297,bond!B:E,4,FALSE)</f>
        <v>#N/A</v>
      </c>
      <c r="H297" s="202" t="e">
        <f ca="1">VLOOKUP(B297,bond!B:Y,24,FALSE)</f>
        <v>#N/A</v>
      </c>
      <c r="I297" s="95" t="e">
        <f ca="1">VLOOKUP(B297,bond!B:Z,25,FALSE)</f>
        <v>#N/A</v>
      </c>
      <c r="J297" s="180" t="e">
        <f ca="1">VLOOKUP(B297,bond!B:K,10,FALSE)</f>
        <v>#N/A</v>
      </c>
      <c r="K297" s="96" t="e">
        <f ca="1">VLOOKUP($B297,bond!B:S,14,FALSE)</f>
        <v>#N/A</v>
      </c>
      <c r="L297" s="91" t="e">
        <f ca="1">VLOOKUP(B297,bond!B:H,7,FALSE)</f>
        <v>#N/A</v>
      </c>
      <c r="M297" s="144" t="e">
        <f ca="1">VLOOKUP($B297,bond!$B:$Q,16,FALSE)</f>
        <v>#N/A</v>
      </c>
      <c r="N297" s="136" t="e">
        <f ca="1">VALUE(LEFT(VLOOKUP(B297,bond!B:R,17,FALSE),SEARCH(" ",VLOOKUP(B297,bond!B:R,17,FALSE),1)))</f>
        <v>#N/A</v>
      </c>
      <c r="O297" s="136" t="e">
        <f ca="1">VALUE(RIGHT(VLOOKUP(B297,bond!B:R,17,FALSE),LEN(VLOOKUP(B297,bond!B:R,17,FALSE))-LEN(N297)-3))</f>
        <v>#N/A</v>
      </c>
      <c r="P297" s="135" t="e">
        <f ca="1">VLOOKUP($B297,bond!$B:$AG,32,FALSE)</f>
        <v>#N/A</v>
      </c>
      <c r="Q297" s="135" t="e">
        <f ca="1">VLOOKUP($B297,bond!$B:$AH,33,FALSE)</f>
        <v>#N/A</v>
      </c>
      <c r="R297" s="135" t="e">
        <f ca="1">VLOOKUP(B297,bond!B:AA,26,FALSE)</f>
        <v>#N/A</v>
      </c>
      <c r="S297" s="135" t="e">
        <f ca="1">VLOOKUP(B297,bond!B:AI,34,FALSE)</f>
        <v>#N/A</v>
      </c>
      <c r="T297" s="135" t="e">
        <f t="shared" ca="1" si="28"/>
        <v>#N/A</v>
      </c>
      <c r="U297" s="207" t="e">
        <f ca="1">IFERROR(VLOOKUP(T297,Bond_DES!D:E,2,FALSE),VLOOKUP(S297,bond!AI:AJ,2,FALSE))</f>
        <v>#N/A</v>
      </c>
      <c r="V297" s="136" t="e">
        <f ca="1">IFERROR(VLOOKUP(B297,'1_重設數據'!L:M,2,FALSE),IF(Q297="政府",IF(AD297&gt;16,"(NPI)非專投",IF(AD297&gt;10,"(PI)專投","高資產")),IF(VLOOKUP(B297,bond!B:AN,39,FALSE)="Y","(PI)專投",IF(AD297&gt;=15,"(NPI)非專投",IF(AD297&gt;=10,"(PI)專投","高資產")))))</f>
        <v>#N/A</v>
      </c>
      <c r="W297" s="136" t="e">
        <f ca="1">VLOOKUP(AD297,'credit rating'!$F$2:$H$22,3,FALSE)</f>
        <v>#N/A</v>
      </c>
      <c r="X297" s="136" t="e">
        <f t="shared" ca="1" si="29"/>
        <v>#N/A</v>
      </c>
      <c r="Y297" s="136" t="e">
        <f t="shared" ca="1" si="30"/>
        <v>#N/A</v>
      </c>
      <c r="Z297" s="136" t="e">
        <f t="shared" ca="1" si="31"/>
        <v>#N/A</v>
      </c>
      <c r="AA297" s="134">
        <f ca="1">IFERROR(VLOOKUP(X297,'credit rating'!A:C,3,FALSE),0)</f>
        <v>0</v>
      </c>
      <c r="AB297" s="134">
        <f ca="1">IFERROR(VLOOKUP(Y297,'credit rating'!B:C,2,FALSE),0)</f>
        <v>0</v>
      </c>
      <c r="AC297" s="136">
        <f ca="1">IFERROR(VLOOKUP(Z297,'credit rating'!B:C,2,FALSE),0)</f>
        <v>0</v>
      </c>
      <c r="AD297" s="136">
        <f t="shared" ca="1" si="32"/>
        <v>0</v>
      </c>
      <c r="AE297" s="249" t="str">
        <f ca="1">IFERROR(VLOOKUP(B297,bond!B:U,20,FALSE),"")</f>
        <v/>
      </c>
      <c r="AF297" s="136" t="e">
        <f ca="1">IF(VLOOKUP(B297,bond!B:AK,36,FALSE)="#N/A Field Not Applicable","",VLOOKUP(B297,bond!B:AK,36,FALSE))</f>
        <v>#N/A</v>
      </c>
      <c r="AG297" s="136" t="e">
        <f ca="1">IF(VLOOKUP(B297,bond!B:AL,37,FALSE)="FIXED","固定",IF(VLOOKUP(B297,bond!B:AL,37,FALSE)="FLOATING","浮動",IF(VLOOKUP(B297,bond!B:AL,37,FALSE)="VARIABLE","變動",IF(VLOOKUP(B297,bond!B:AL,37,FALSE)="FLAT TRADING","不含息交易",IF(VLOOKUP(B297,bond!B:AL,37,FALSE)="ZERO COUPON","零息",VLOOKUP(B297,bond!B:AL,37,FALSE))))))</f>
        <v>#N/A</v>
      </c>
      <c r="AH297" s="136" t="e">
        <f>VLOOKUP(C297,'2_Check_code'!I:J,2,FALSE)</f>
        <v>#N/A</v>
      </c>
      <c r="AI297" s="136" t="e">
        <f t="shared" ca="1" si="33"/>
        <v>#N/A</v>
      </c>
      <c r="AJ297" s="136" t="e">
        <f t="shared" ca="1" si="34"/>
        <v>#N/A</v>
      </c>
      <c r="AK297" s="594" t="e">
        <f ca="1">IF(VLOOKUP(B297,bond!B:S,18,FALSE)="是","有",IF(VLOOKUP(B297,bond!B:S,18,FALSE)="NO OFFER","無","需查詢"))</f>
        <v>#N/A</v>
      </c>
      <c r="AL297" s="136" t="e">
        <f>IF(VLOOKUP(A297,bond!F:AR,39,FALSE)="#N/A Field Not Applicable",VLOOKUP(A297,bond!F:AR,38,FALSE),IFERROR(VLOOKUP(A297,'7_發行日例外'!A:B,2,FALSE),VLOOKUP(A297,bond!F:AR,39,FALSE)))</f>
        <v>#N/A</v>
      </c>
      <c r="AM297" s="136" t="e">
        <f ca="1">VLOOKUP(B297,bond!B:AK,36,FALSE)</f>
        <v>#N/A</v>
      </c>
      <c r="AN297" s="136" t="str">
        <f ca="1">IFERROR(VLOOKUP(B297,'3_是否下架'!A:A,1,FALSE),"")</f>
        <v/>
      </c>
      <c r="AO297" s="136" t="e">
        <f ca="1">VLOOKUP(B297,bond!B:J,9,FALSE)</f>
        <v>#N/A</v>
      </c>
      <c r="AP297" s="136" t="e">
        <f ca="1">VLOOKUP(B297,bond!B:V,21,FALSE)</f>
        <v>#N/A</v>
      </c>
    </row>
    <row r="298" spans="1:42">
      <c r="A298" s="141">
        <f>bond!F299</f>
        <v>0</v>
      </c>
      <c r="B298" s="151">
        <f ca="1">IF($C$1=TRUE,bond!B299,"")</f>
        <v>0</v>
      </c>
      <c r="C298" s="95" t="e">
        <f>VLOOKUP(A298,bond!F:G,2,FALSE)</f>
        <v>#N/A</v>
      </c>
      <c r="D298" s="142" t="e">
        <f ca="1">VLOOKUP(B298,bond!B:C,2,FALSE)</f>
        <v>#N/A</v>
      </c>
      <c r="E298" s="95" t="e">
        <f ca="1">VLOOKUP(B298,bond!B:D,3,FALSE)</f>
        <v>#N/A</v>
      </c>
      <c r="F298" s="99" t="e">
        <f ca="1">VLOOKUP(B298,bond!B:AB,27,FALSE)</f>
        <v>#N/A</v>
      </c>
      <c r="G298" s="90" t="e">
        <f ca="1">VLOOKUP(B298,bond!B:E,4,FALSE)</f>
        <v>#N/A</v>
      </c>
      <c r="H298" s="202" t="e">
        <f ca="1">VLOOKUP(B298,bond!B:Y,24,FALSE)</f>
        <v>#N/A</v>
      </c>
      <c r="I298" s="95" t="e">
        <f ca="1">VLOOKUP(B298,bond!B:Z,25,FALSE)</f>
        <v>#N/A</v>
      </c>
      <c r="J298" s="180" t="e">
        <f ca="1">VLOOKUP(B298,bond!B:K,10,FALSE)</f>
        <v>#N/A</v>
      </c>
      <c r="K298" s="96" t="e">
        <f ca="1">VLOOKUP($B298,bond!B:S,14,FALSE)</f>
        <v>#N/A</v>
      </c>
      <c r="L298" s="91" t="e">
        <f ca="1">VLOOKUP(B298,bond!B:H,7,FALSE)</f>
        <v>#N/A</v>
      </c>
      <c r="M298" s="144" t="e">
        <f ca="1">VLOOKUP($B298,bond!$B:$Q,16,FALSE)</f>
        <v>#N/A</v>
      </c>
      <c r="N298" s="136" t="e">
        <f ca="1">VALUE(LEFT(VLOOKUP(B298,bond!B:R,17,FALSE),SEARCH(" ",VLOOKUP(B298,bond!B:R,17,FALSE),1)))</f>
        <v>#N/A</v>
      </c>
      <c r="O298" s="136" t="e">
        <f ca="1">VALUE(RIGHT(VLOOKUP(B298,bond!B:R,17,FALSE),LEN(VLOOKUP(B298,bond!B:R,17,FALSE))-LEN(N298)-3))</f>
        <v>#N/A</v>
      </c>
      <c r="P298" s="135" t="e">
        <f ca="1">VLOOKUP($B298,bond!$B:$AG,32,FALSE)</f>
        <v>#N/A</v>
      </c>
      <c r="Q298" s="135" t="e">
        <f ca="1">VLOOKUP($B298,bond!$B:$AH,33,FALSE)</f>
        <v>#N/A</v>
      </c>
      <c r="R298" s="135" t="e">
        <f ca="1">VLOOKUP(B298,bond!B:AA,26,FALSE)</f>
        <v>#N/A</v>
      </c>
      <c r="S298" s="135" t="e">
        <f ca="1">VLOOKUP(B298,bond!B:AI,34,FALSE)</f>
        <v>#N/A</v>
      </c>
      <c r="T298" s="135" t="e">
        <f t="shared" ca="1" si="28"/>
        <v>#N/A</v>
      </c>
      <c r="U298" s="207" t="e">
        <f ca="1">IFERROR(VLOOKUP(T298,Bond_DES!D:E,2,FALSE),VLOOKUP(S298,bond!AI:AJ,2,FALSE))</f>
        <v>#N/A</v>
      </c>
      <c r="V298" s="136" t="e">
        <f ca="1">IFERROR(VLOOKUP(B298,'1_重設數據'!L:M,2,FALSE),IF(Q298="政府",IF(AD298&gt;16,"(NPI)非專投",IF(AD298&gt;10,"(PI)專投","高資產")),IF(VLOOKUP(B298,bond!B:AN,39,FALSE)="Y","(PI)專投",IF(AD298&gt;=15,"(NPI)非專投",IF(AD298&gt;=10,"(PI)專投","高資產")))))</f>
        <v>#N/A</v>
      </c>
      <c r="W298" s="136" t="e">
        <f ca="1">VLOOKUP(AD298,'credit rating'!$F$2:$H$22,3,FALSE)</f>
        <v>#N/A</v>
      </c>
      <c r="X298" s="136" t="e">
        <f t="shared" ca="1" si="29"/>
        <v>#N/A</v>
      </c>
      <c r="Y298" s="136" t="e">
        <f t="shared" ca="1" si="30"/>
        <v>#N/A</v>
      </c>
      <c r="Z298" s="136" t="e">
        <f t="shared" ca="1" si="31"/>
        <v>#N/A</v>
      </c>
      <c r="AA298" s="134">
        <f ca="1">IFERROR(VLOOKUP(X298,'credit rating'!A:C,3,FALSE),0)</f>
        <v>0</v>
      </c>
      <c r="AB298" s="134">
        <f ca="1">IFERROR(VLOOKUP(Y298,'credit rating'!B:C,2,FALSE),0)</f>
        <v>0</v>
      </c>
      <c r="AC298" s="136">
        <f ca="1">IFERROR(VLOOKUP(Z298,'credit rating'!B:C,2,FALSE),0)</f>
        <v>0</v>
      </c>
      <c r="AD298" s="136">
        <f t="shared" ca="1" si="32"/>
        <v>0</v>
      </c>
      <c r="AE298" s="249" t="str">
        <f ca="1">IFERROR(VLOOKUP(B298,bond!B:U,20,FALSE),"")</f>
        <v/>
      </c>
      <c r="AF298" s="136" t="e">
        <f ca="1">IF(VLOOKUP(B298,bond!B:AK,36,FALSE)="#N/A Field Not Applicable","",VLOOKUP(B298,bond!B:AK,36,FALSE))</f>
        <v>#N/A</v>
      </c>
      <c r="AG298" s="136" t="e">
        <f ca="1">IF(VLOOKUP(B298,bond!B:AL,37,FALSE)="FIXED","固定",IF(VLOOKUP(B298,bond!B:AL,37,FALSE)="FLOATING","浮動",IF(VLOOKUP(B298,bond!B:AL,37,FALSE)="VARIABLE","變動",IF(VLOOKUP(B298,bond!B:AL,37,FALSE)="FLAT TRADING","不含息交易",IF(VLOOKUP(B298,bond!B:AL,37,FALSE)="ZERO COUPON","零息",VLOOKUP(B298,bond!B:AL,37,FALSE))))))</f>
        <v>#N/A</v>
      </c>
      <c r="AH298" s="136" t="e">
        <f>VLOOKUP(C298,'2_Check_code'!I:J,2,FALSE)</f>
        <v>#N/A</v>
      </c>
      <c r="AI298" s="136" t="e">
        <f t="shared" ca="1" si="33"/>
        <v>#N/A</v>
      </c>
      <c r="AJ298" s="136" t="e">
        <f t="shared" ca="1" si="34"/>
        <v>#N/A</v>
      </c>
      <c r="AK298" s="594" t="e">
        <f ca="1">IF(VLOOKUP(B298,bond!B:S,18,FALSE)="是","有",IF(VLOOKUP(B298,bond!B:S,18,FALSE)="NO OFFER","無","需查詢"))</f>
        <v>#N/A</v>
      </c>
      <c r="AL298" s="136" t="e">
        <f>IF(VLOOKUP(A298,bond!F:AR,39,FALSE)="#N/A Field Not Applicable",VLOOKUP(A298,bond!F:AR,38,FALSE),IFERROR(VLOOKUP(A298,'7_發行日例外'!A:B,2,FALSE),VLOOKUP(A298,bond!F:AR,39,FALSE)))</f>
        <v>#N/A</v>
      </c>
      <c r="AM298" s="136" t="e">
        <f ca="1">VLOOKUP(B298,bond!B:AK,36,FALSE)</f>
        <v>#N/A</v>
      </c>
      <c r="AN298" s="136" t="str">
        <f ca="1">IFERROR(VLOOKUP(B298,'3_是否下架'!A:A,1,FALSE),"")</f>
        <v/>
      </c>
      <c r="AO298" s="136" t="e">
        <f ca="1">VLOOKUP(B298,bond!B:J,9,FALSE)</f>
        <v>#N/A</v>
      </c>
      <c r="AP298" s="136" t="e">
        <f ca="1">VLOOKUP(B298,bond!B:V,21,FALSE)</f>
        <v>#N/A</v>
      </c>
    </row>
    <row r="299" spans="1:42">
      <c r="A299" s="141">
        <f>bond!F300</f>
        <v>0</v>
      </c>
      <c r="B299" s="151">
        <f ca="1">IF($C$1=TRUE,bond!B300,"")</f>
        <v>0</v>
      </c>
      <c r="C299" s="95" t="e">
        <f>VLOOKUP(A299,bond!F:G,2,FALSE)</f>
        <v>#N/A</v>
      </c>
      <c r="D299" s="142" t="e">
        <f ca="1">VLOOKUP(B299,bond!B:C,2,FALSE)</f>
        <v>#N/A</v>
      </c>
      <c r="E299" s="95" t="e">
        <f ca="1">VLOOKUP(B299,bond!B:D,3,FALSE)</f>
        <v>#N/A</v>
      </c>
      <c r="F299" s="99" t="e">
        <f ca="1">VLOOKUP(B299,bond!B:AB,27,FALSE)</f>
        <v>#N/A</v>
      </c>
      <c r="G299" s="90" t="e">
        <f ca="1">VLOOKUP(B299,bond!B:E,4,FALSE)</f>
        <v>#N/A</v>
      </c>
      <c r="H299" s="202" t="e">
        <f ca="1">VLOOKUP(B299,bond!B:Y,24,FALSE)</f>
        <v>#N/A</v>
      </c>
      <c r="I299" s="95" t="e">
        <f ca="1">VLOOKUP(B299,bond!B:Z,25,FALSE)</f>
        <v>#N/A</v>
      </c>
      <c r="J299" s="180" t="e">
        <f ca="1">VLOOKUP(B299,bond!B:K,10,FALSE)</f>
        <v>#N/A</v>
      </c>
      <c r="K299" s="96" t="e">
        <f ca="1">VLOOKUP($B299,bond!B:S,14,FALSE)</f>
        <v>#N/A</v>
      </c>
      <c r="L299" s="91" t="e">
        <f ca="1">VLOOKUP(B299,bond!B:H,7,FALSE)</f>
        <v>#N/A</v>
      </c>
      <c r="M299" s="144" t="e">
        <f ca="1">VLOOKUP($B299,bond!$B:$Q,16,FALSE)</f>
        <v>#N/A</v>
      </c>
      <c r="N299" s="136" t="e">
        <f ca="1">VALUE(LEFT(VLOOKUP(B299,bond!B:R,17,FALSE),SEARCH(" ",VLOOKUP(B299,bond!B:R,17,FALSE),1)))</f>
        <v>#N/A</v>
      </c>
      <c r="O299" s="136" t="e">
        <f ca="1">VALUE(RIGHT(VLOOKUP(B299,bond!B:R,17,FALSE),LEN(VLOOKUP(B299,bond!B:R,17,FALSE))-LEN(N299)-3))</f>
        <v>#N/A</v>
      </c>
      <c r="P299" s="135" t="e">
        <f ca="1">VLOOKUP($B299,bond!$B:$AG,32,FALSE)</f>
        <v>#N/A</v>
      </c>
      <c r="Q299" s="135" t="e">
        <f ca="1">VLOOKUP($B299,bond!$B:$AH,33,FALSE)</f>
        <v>#N/A</v>
      </c>
      <c r="R299" s="135" t="e">
        <f ca="1">VLOOKUP(B299,bond!B:AA,26,FALSE)</f>
        <v>#N/A</v>
      </c>
      <c r="S299" s="135" t="e">
        <f ca="1">VLOOKUP(B299,bond!B:AI,34,FALSE)</f>
        <v>#N/A</v>
      </c>
      <c r="T299" s="135" t="e">
        <f t="shared" ca="1" si="28"/>
        <v>#N/A</v>
      </c>
      <c r="U299" s="207" t="e">
        <f ca="1">IFERROR(VLOOKUP(T299,Bond_DES!D:E,2,FALSE),VLOOKUP(S299,bond!AI:AJ,2,FALSE))</f>
        <v>#N/A</v>
      </c>
      <c r="V299" s="136" t="e">
        <f ca="1">IFERROR(VLOOKUP(B299,'1_重設數據'!L:M,2,FALSE),IF(Q299="政府",IF(AD299&gt;16,"(NPI)非專投",IF(AD299&gt;10,"(PI)專投","高資產")),IF(VLOOKUP(B299,bond!B:AN,39,FALSE)="Y","(PI)專投",IF(AD299&gt;=15,"(NPI)非專投",IF(AD299&gt;=10,"(PI)專投","高資產")))))</f>
        <v>#N/A</v>
      </c>
      <c r="W299" s="136" t="e">
        <f ca="1">VLOOKUP(AD299,'credit rating'!$F$2:$H$22,3,FALSE)</f>
        <v>#N/A</v>
      </c>
      <c r="X299" s="136" t="e">
        <f t="shared" ca="1" si="29"/>
        <v>#N/A</v>
      </c>
      <c r="Y299" s="136" t="e">
        <f t="shared" ca="1" si="30"/>
        <v>#N/A</v>
      </c>
      <c r="Z299" s="136" t="e">
        <f t="shared" ca="1" si="31"/>
        <v>#N/A</v>
      </c>
      <c r="AA299" s="134">
        <f ca="1">IFERROR(VLOOKUP(X299,'credit rating'!A:C,3,FALSE),0)</f>
        <v>0</v>
      </c>
      <c r="AB299" s="134">
        <f ca="1">IFERROR(VLOOKUP(Y299,'credit rating'!B:C,2,FALSE),0)</f>
        <v>0</v>
      </c>
      <c r="AC299" s="136">
        <f ca="1">IFERROR(VLOOKUP(Z299,'credit rating'!B:C,2,FALSE),0)</f>
        <v>0</v>
      </c>
      <c r="AD299" s="136">
        <f t="shared" ca="1" si="32"/>
        <v>0</v>
      </c>
      <c r="AE299" s="249" t="str">
        <f ca="1">IFERROR(VLOOKUP(B299,bond!B:U,20,FALSE),"")</f>
        <v/>
      </c>
      <c r="AF299" s="136" t="e">
        <f ca="1">IF(VLOOKUP(B299,bond!B:AK,36,FALSE)="#N/A Field Not Applicable","",VLOOKUP(B299,bond!B:AK,36,FALSE))</f>
        <v>#N/A</v>
      </c>
      <c r="AG299" s="136" t="e">
        <f ca="1">IF(VLOOKUP(B299,bond!B:AL,37,FALSE)="FIXED","固定",IF(VLOOKUP(B299,bond!B:AL,37,FALSE)="FLOATING","浮動",IF(VLOOKUP(B299,bond!B:AL,37,FALSE)="VARIABLE","變動",IF(VLOOKUP(B299,bond!B:AL,37,FALSE)="FLAT TRADING","不含息交易",IF(VLOOKUP(B299,bond!B:AL,37,FALSE)="ZERO COUPON","零息",VLOOKUP(B299,bond!B:AL,37,FALSE))))))</f>
        <v>#N/A</v>
      </c>
      <c r="AH299" s="136" t="e">
        <f>VLOOKUP(C299,'2_Check_code'!I:J,2,FALSE)</f>
        <v>#N/A</v>
      </c>
      <c r="AI299" s="136" t="e">
        <f t="shared" ca="1" si="33"/>
        <v>#N/A</v>
      </c>
      <c r="AJ299" s="136" t="e">
        <f t="shared" ca="1" si="34"/>
        <v>#N/A</v>
      </c>
      <c r="AK299" s="594" t="e">
        <f ca="1">IF(VLOOKUP(B299,bond!B:S,18,FALSE)="是","有",IF(VLOOKUP(B299,bond!B:S,18,FALSE)="NO OFFER","無","需查詢"))</f>
        <v>#N/A</v>
      </c>
      <c r="AL299" s="136" t="e">
        <f>IF(VLOOKUP(A299,bond!F:AR,39,FALSE)="#N/A Field Not Applicable",VLOOKUP(A299,bond!F:AR,38,FALSE),IFERROR(VLOOKUP(A299,'7_發行日例外'!A:B,2,FALSE),VLOOKUP(A299,bond!F:AR,39,FALSE)))</f>
        <v>#N/A</v>
      </c>
      <c r="AM299" s="136" t="e">
        <f ca="1">VLOOKUP(B299,bond!B:AK,36,FALSE)</f>
        <v>#N/A</v>
      </c>
      <c r="AN299" s="136" t="str">
        <f ca="1">IFERROR(VLOOKUP(B299,'3_是否下架'!A:A,1,FALSE),"")</f>
        <v/>
      </c>
      <c r="AO299" s="136" t="e">
        <f ca="1">VLOOKUP(B299,bond!B:J,9,FALSE)</f>
        <v>#N/A</v>
      </c>
      <c r="AP299" s="136" t="e">
        <f ca="1">VLOOKUP(B299,bond!B:V,21,FALSE)</f>
        <v>#N/A</v>
      </c>
    </row>
    <row r="300" spans="1:42">
      <c r="A300" s="141">
        <f>bond!F301</f>
        <v>0</v>
      </c>
      <c r="B300" s="151">
        <f ca="1">IF($C$1=TRUE,bond!B301,"")</f>
        <v>0</v>
      </c>
      <c r="C300" s="95" t="e">
        <f>VLOOKUP(A300,bond!F:G,2,FALSE)</f>
        <v>#N/A</v>
      </c>
      <c r="D300" s="142" t="e">
        <f ca="1">VLOOKUP(B300,bond!B:C,2,FALSE)</f>
        <v>#N/A</v>
      </c>
      <c r="E300" s="95" t="e">
        <f ca="1">VLOOKUP(B300,bond!B:D,3,FALSE)</f>
        <v>#N/A</v>
      </c>
      <c r="F300" s="99" t="e">
        <f ca="1">VLOOKUP(B300,bond!B:AB,27,FALSE)</f>
        <v>#N/A</v>
      </c>
      <c r="G300" s="90" t="e">
        <f ca="1">VLOOKUP(B300,bond!B:E,4,FALSE)</f>
        <v>#N/A</v>
      </c>
      <c r="H300" s="202" t="e">
        <f ca="1">VLOOKUP(B300,bond!B:Y,24,FALSE)</f>
        <v>#N/A</v>
      </c>
      <c r="I300" s="95" t="e">
        <f ca="1">VLOOKUP(B300,bond!B:Z,25,FALSE)</f>
        <v>#N/A</v>
      </c>
      <c r="J300" s="180" t="e">
        <f ca="1">VLOOKUP(B300,bond!B:K,10,FALSE)</f>
        <v>#N/A</v>
      </c>
      <c r="K300" s="96" t="e">
        <f ca="1">VLOOKUP($B300,bond!B:S,14,FALSE)</f>
        <v>#N/A</v>
      </c>
      <c r="L300" s="91" t="e">
        <f ca="1">VLOOKUP(B300,bond!B:H,7,FALSE)</f>
        <v>#N/A</v>
      </c>
      <c r="M300" s="144" t="e">
        <f ca="1">VLOOKUP($B300,bond!$B:$Q,16,FALSE)</f>
        <v>#N/A</v>
      </c>
      <c r="N300" s="136" t="e">
        <f ca="1">VALUE(LEFT(VLOOKUP(B300,bond!B:R,17,FALSE),SEARCH(" ",VLOOKUP(B300,bond!B:R,17,FALSE),1)))</f>
        <v>#N/A</v>
      </c>
      <c r="O300" s="136" t="e">
        <f ca="1">VALUE(RIGHT(VLOOKUP(B300,bond!B:R,17,FALSE),LEN(VLOOKUP(B300,bond!B:R,17,FALSE))-LEN(N300)-3))</f>
        <v>#N/A</v>
      </c>
      <c r="P300" s="135" t="e">
        <f ca="1">VLOOKUP($B300,bond!$B:$AG,32,FALSE)</f>
        <v>#N/A</v>
      </c>
      <c r="Q300" s="135" t="e">
        <f ca="1">VLOOKUP($B300,bond!$B:$AH,33,FALSE)</f>
        <v>#N/A</v>
      </c>
      <c r="R300" s="135" t="e">
        <f ca="1">VLOOKUP(B300,bond!B:AA,26,FALSE)</f>
        <v>#N/A</v>
      </c>
      <c r="S300" s="135" t="e">
        <f ca="1">VLOOKUP(B300,bond!B:AI,34,FALSE)</f>
        <v>#N/A</v>
      </c>
      <c r="T300" s="135" t="e">
        <f t="shared" ca="1" si="28"/>
        <v>#N/A</v>
      </c>
      <c r="U300" s="207" t="e">
        <f ca="1">IFERROR(VLOOKUP(T300,Bond_DES!D:E,2,FALSE),VLOOKUP(S300,bond!AI:AJ,2,FALSE))</f>
        <v>#N/A</v>
      </c>
      <c r="V300" s="136" t="e">
        <f ca="1">IFERROR(VLOOKUP(B300,'1_重設數據'!L:M,2,FALSE),IF(Q300="政府",IF(AD300&gt;16,"(NPI)非專投",IF(AD300&gt;10,"(PI)專投","高資產")),IF(VLOOKUP(B300,bond!B:AN,39,FALSE)="Y","(PI)專投",IF(AD300&gt;=15,"(NPI)非專投",IF(AD300&gt;=10,"(PI)專投","高資產")))))</f>
        <v>#N/A</v>
      </c>
      <c r="W300" s="136" t="e">
        <f ca="1">VLOOKUP(AD300,'credit rating'!$F$2:$H$22,3,FALSE)</f>
        <v>#N/A</v>
      </c>
      <c r="X300" s="136" t="e">
        <f t="shared" ca="1" si="29"/>
        <v>#N/A</v>
      </c>
      <c r="Y300" s="136" t="e">
        <f t="shared" ca="1" si="30"/>
        <v>#N/A</v>
      </c>
      <c r="Z300" s="136" t="e">
        <f t="shared" ca="1" si="31"/>
        <v>#N/A</v>
      </c>
      <c r="AA300" s="134">
        <f ca="1">IFERROR(VLOOKUP(X300,'credit rating'!A:C,3,FALSE),0)</f>
        <v>0</v>
      </c>
      <c r="AB300" s="134">
        <f ca="1">IFERROR(VLOOKUP(Y300,'credit rating'!B:C,2,FALSE),0)</f>
        <v>0</v>
      </c>
      <c r="AC300" s="136">
        <f ca="1">IFERROR(VLOOKUP(Z300,'credit rating'!B:C,2,FALSE),0)</f>
        <v>0</v>
      </c>
      <c r="AD300" s="136">
        <f t="shared" ca="1" si="32"/>
        <v>0</v>
      </c>
      <c r="AE300" s="249" t="str">
        <f ca="1">IFERROR(VLOOKUP(B300,bond!B:U,20,FALSE),"")</f>
        <v/>
      </c>
      <c r="AF300" s="136" t="e">
        <f ca="1">IF(VLOOKUP(B300,bond!B:AK,36,FALSE)="#N/A Field Not Applicable","",VLOOKUP(B300,bond!B:AK,36,FALSE))</f>
        <v>#N/A</v>
      </c>
      <c r="AG300" s="136" t="e">
        <f ca="1">IF(VLOOKUP(B300,bond!B:AL,37,FALSE)="FIXED","固定",IF(VLOOKUP(B300,bond!B:AL,37,FALSE)="FLOATING","浮動",IF(VLOOKUP(B300,bond!B:AL,37,FALSE)="VARIABLE","變動",IF(VLOOKUP(B300,bond!B:AL,37,FALSE)="FLAT TRADING","不含息交易",IF(VLOOKUP(B300,bond!B:AL,37,FALSE)="ZERO COUPON","零息",VLOOKUP(B300,bond!B:AL,37,FALSE))))))</f>
        <v>#N/A</v>
      </c>
      <c r="AH300" s="136" t="e">
        <f>VLOOKUP(C300,'2_Check_code'!I:J,2,FALSE)</f>
        <v>#N/A</v>
      </c>
      <c r="AI300" s="136" t="e">
        <f t="shared" ca="1" si="33"/>
        <v>#N/A</v>
      </c>
      <c r="AJ300" s="136" t="e">
        <f t="shared" ca="1" si="34"/>
        <v>#N/A</v>
      </c>
      <c r="AK300" s="594" t="e">
        <f ca="1">IF(VLOOKUP(B300,bond!B:S,18,FALSE)="是","有",IF(VLOOKUP(B300,bond!B:S,18,FALSE)="NO OFFER","無","需查詢"))</f>
        <v>#N/A</v>
      </c>
      <c r="AL300" s="136" t="e">
        <f>IF(VLOOKUP(A300,bond!F:AR,39,FALSE)="#N/A Field Not Applicable",VLOOKUP(A300,bond!F:AR,38,FALSE),IFERROR(VLOOKUP(A300,'7_發行日例外'!A:B,2,FALSE),VLOOKUP(A300,bond!F:AR,39,FALSE)))</f>
        <v>#N/A</v>
      </c>
      <c r="AM300" s="136" t="e">
        <f ca="1">VLOOKUP(B300,bond!B:AK,36,FALSE)</f>
        <v>#N/A</v>
      </c>
      <c r="AN300" s="136" t="str">
        <f ca="1">IFERROR(VLOOKUP(B300,'3_是否下架'!A:A,1,FALSE),"")</f>
        <v/>
      </c>
      <c r="AO300" s="136" t="e">
        <f ca="1">VLOOKUP(B300,bond!B:J,9,FALSE)</f>
        <v>#N/A</v>
      </c>
      <c r="AP300" s="136" t="e">
        <f ca="1">VLOOKUP(B300,bond!B:V,21,FALSE)</f>
        <v>#N/A</v>
      </c>
    </row>
    <row r="301" spans="1:42">
      <c r="A301" s="141">
        <f>bond!F302</f>
        <v>0</v>
      </c>
      <c r="B301" s="151">
        <f ca="1">IF($C$1=TRUE,bond!B302,"")</f>
        <v>0</v>
      </c>
      <c r="C301" s="95" t="e">
        <f>VLOOKUP(A301,bond!F:G,2,FALSE)</f>
        <v>#N/A</v>
      </c>
      <c r="D301" s="142" t="e">
        <f ca="1">VLOOKUP(B301,bond!B:C,2,FALSE)</f>
        <v>#N/A</v>
      </c>
      <c r="E301" s="95" t="e">
        <f ca="1">VLOOKUP(B301,bond!B:D,3,FALSE)</f>
        <v>#N/A</v>
      </c>
      <c r="F301" s="99" t="e">
        <f ca="1">VLOOKUP(B301,bond!B:AB,27,FALSE)</f>
        <v>#N/A</v>
      </c>
      <c r="G301" s="90" t="e">
        <f ca="1">VLOOKUP(B301,bond!B:E,4,FALSE)</f>
        <v>#N/A</v>
      </c>
      <c r="H301" s="202" t="e">
        <f ca="1">VLOOKUP(B301,bond!B:Y,24,FALSE)</f>
        <v>#N/A</v>
      </c>
      <c r="I301" s="95" t="e">
        <f ca="1">VLOOKUP(B301,bond!B:Z,25,FALSE)</f>
        <v>#N/A</v>
      </c>
      <c r="J301" s="180" t="e">
        <f ca="1">VLOOKUP(B301,bond!B:K,10,FALSE)</f>
        <v>#N/A</v>
      </c>
      <c r="K301" s="96" t="e">
        <f ca="1">VLOOKUP($B301,bond!B:S,14,FALSE)</f>
        <v>#N/A</v>
      </c>
      <c r="L301" s="91" t="e">
        <f ca="1">VLOOKUP(B301,bond!B:H,7,FALSE)</f>
        <v>#N/A</v>
      </c>
      <c r="M301" s="144" t="e">
        <f ca="1">VLOOKUP($B301,bond!$B:$Q,16,FALSE)</f>
        <v>#N/A</v>
      </c>
      <c r="N301" s="136" t="e">
        <f ca="1">VALUE(LEFT(VLOOKUP(B301,bond!B:R,17,FALSE),SEARCH(" ",VLOOKUP(B301,bond!B:R,17,FALSE),1)))</f>
        <v>#N/A</v>
      </c>
      <c r="O301" s="136" t="e">
        <f ca="1">VALUE(RIGHT(VLOOKUP(B301,bond!B:R,17,FALSE),LEN(VLOOKUP(B301,bond!B:R,17,FALSE))-LEN(N301)-3))</f>
        <v>#N/A</v>
      </c>
      <c r="P301" s="135" t="e">
        <f ca="1">VLOOKUP($B301,bond!$B:$AG,32,FALSE)</f>
        <v>#N/A</v>
      </c>
      <c r="Q301" s="135" t="e">
        <f ca="1">VLOOKUP($B301,bond!$B:$AH,33,FALSE)</f>
        <v>#N/A</v>
      </c>
      <c r="R301" s="135" t="e">
        <f ca="1">VLOOKUP(B301,bond!B:AA,26,FALSE)</f>
        <v>#N/A</v>
      </c>
      <c r="S301" s="135" t="e">
        <f ca="1">VLOOKUP(B301,bond!B:AI,34,FALSE)</f>
        <v>#N/A</v>
      </c>
      <c r="T301" s="135" t="e">
        <f t="shared" ca="1" si="28"/>
        <v>#N/A</v>
      </c>
      <c r="U301" s="207" t="e">
        <f ca="1">IFERROR(VLOOKUP(T301,Bond_DES!D:E,2,FALSE),VLOOKUP(S301,bond!AI:AJ,2,FALSE))</f>
        <v>#N/A</v>
      </c>
      <c r="V301" s="136" t="e">
        <f ca="1">IFERROR(VLOOKUP(B301,'1_重設數據'!L:M,2,FALSE),IF(Q301="政府",IF(AD301&gt;16,"(NPI)非專投",IF(AD301&gt;10,"(PI)專投","高資產")),IF(VLOOKUP(B301,bond!B:AN,39,FALSE)="Y","(PI)專投",IF(AD301&gt;=15,"(NPI)非專投",IF(AD301&gt;=10,"(PI)專投","高資產")))))</f>
        <v>#N/A</v>
      </c>
      <c r="W301" s="136" t="e">
        <f ca="1">VLOOKUP(AD301,'credit rating'!$F$2:$H$22,3,FALSE)</f>
        <v>#N/A</v>
      </c>
      <c r="X301" s="136" t="e">
        <f t="shared" ca="1" si="29"/>
        <v>#N/A</v>
      </c>
      <c r="Y301" s="136" t="e">
        <f t="shared" ca="1" si="30"/>
        <v>#N/A</v>
      </c>
      <c r="Z301" s="136" t="e">
        <f t="shared" ca="1" si="31"/>
        <v>#N/A</v>
      </c>
      <c r="AA301" s="134">
        <f ca="1">IFERROR(VLOOKUP(X301,'credit rating'!A:C,3,FALSE),0)</f>
        <v>0</v>
      </c>
      <c r="AB301" s="134">
        <f ca="1">IFERROR(VLOOKUP(Y301,'credit rating'!B:C,2,FALSE),0)</f>
        <v>0</v>
      </c>
      <c r="AC301" s="136">
        <f ca="1">IFERROR(VLOOKUP(Z301,'credit rating'!B:C,2,FALSE),0)</f>
        <v>0</v>
      </c>
      <c r="AD301" s="136">
        <f t="shared" ca="1" si="32"/>
        <v>0</v>
      </c>
      <c r="AE301" s="249" t="str">
        <f ca="1">IFERROR(VLOOKUP(B301,bond!B:U,20,FALSE),"")</f>
        <v/>
      </c>
      <c r="AF301" s="136" t="e">
        <f ca="1">IF(VLOOKUP(B301,bond!B:AK,36,FALSE)="#N/A Field Not Applicable","",VLOOKUP(B301,bond!B:AK,36,FALSE))</f>
        <v>#N/A</v>
      </c>
      <c r="AG301" s="136" t="e">
        <f ca="1">IF(VLOOKUP(B301,bond!B:AL,37,FALSE)="FIXED","固定",IF(VLOOKUP(B301,bond!B:AL,37,FALSE)="FLOATING","浮動",IF(VLOOKUP(B301,bond!B:AL,37,FALSE)="VARIABLE","變動",IF(VLOOKUP(B301,bond!B:AL,37,FALSE)="FLAT TRADING","不含息交易",IF(VLOOKUP(B301,bond!B:AL,37,FALSE)="ZERO COUPON","零息",VLOOKUP(B301,bond!B:AL,37,FALSE))))))</f>
        <v>#N/A</v>
      </c>
      <c r="AH301" s="136" t="e">
        <f>VLOOKUP(C301,'2_Check_code'!I:J,2,FALSE)</f>
        <v>#N/A</v>
      </c>
      <c r="AI301" s="136" t="e">
        <f t="shared" ca="1" si="33"/>
        <v>#N/A</v>
      </c>
      <c r="AJ301" s="136" t="e">
        <f t="shared" ca="1" si="34"/>
        <v>#N/A</v>
      </c>
      <c r="AK301" s="594" t="e">
        <f ca="1">IF(VLOOKUP(B301,bond!B:S,18,FALSE)="是","有",IF(VLOOKUP(B301,bond!B:S,18,FALSE)="NO OFFER","無","需查詢"))</f>
        <v>#N/A</v>
      </c>
      <c r="AL301" s="136" t="e">
        <f>IF(VLOOKUP(A301,bond!F:AR,39,FALSE)="#N/A Field Not Applicable",VLOOKUP(A301,bond!F:AR,38,FALSE),IFERROR(VLOOKUP(A301,'7_發行日例外'!A:B,2,FALSE),VLOOKUP(A301,bond!F:AR,39,FALSE)))</f>
        <v>#N/A</v>
      </c>
      <c r="AM301" s="136" t="e">
        <f ca="1">VLOOKUP(B301,bond!B:AK,36,FALSE)</f>
        <v>#N/A</v>
      </c>
      <c r="AN301" s="136" t="str">
        <f ca="1">IFERROR(VLOOKUP(B301,'3_是否下架'!A:A,1,FALSE),"")</f>
        <v/>
      </c>
      <c r="AO301" s="136" t="e">
        <f ca="1">VLOOKUP(B301,bond!B:J,9,FALSE)</f>
        <v>#N/A</v>
      </c>
      <c r="AP301" s="136" t="e">
        <f ca="1">VLOOKUP(B301,bond!B:V,21,FALSE)</f>
        <v>#N/A</v>
      </c>
    </row>
    <row r="302" spans="1:42">
      <c r="A302" s="141">
        <f>bond!F303</f>
        <v>0</v>
      </c>
      <c r="B302" s="151">
        <f ca="1">IF($C$1=TRUE,bond!B303,"")</f>
        <v>0</v>
      </c>
      <c r="C302" s="95" t="e">
        <f>VLOOKUP(A302,bond!F:G,2,FALSE)</f>
        <v>#N/A</v>
      </c>
      <c r="D302" s="142" t="e">
        <f ca="1">VLOOKUP(B302,bond!B:C,2,FALSE)</f>
        <v>#N/A</v>
      </c>
      <c r="E302" s="95" t="e">
        <f ca="1">VLOOKUP(B302,bond!B:D,3,FALSE)</f>
        <v>#N/A</v>
      </c>
      <c r="F302" s="99" t="e">
        <f ca="1">VLOOKUP(B302,bond!B:AB,27,FALSE)</f>
        <v>#N/A</v>
      </c>
      <c r="G302" s="90" t="e">
        <f ca="1">VLOOKUP(B302,bond!B:E,4,FALSE)</f>
        <v>#N/A</v>
      </c>
      <c r="H302" s="202" t="e">
        <f ca="1">VLOOKUP(B302,bond!B:Y,24,FALSE)</f>
        <v>#N/A</v>
      </c>
      <c r="I302" s="95" t="e">
        <f ca="1">VLOOKUP(B302,bond!B:Z,25,FALSE)</f>
        <v>#N/A</v>
      </c>
      <c r="J302" s="180" t="e">
        <f ca="1">VLOOKUP(B302,bond!B:K,10,FALSE)</f>
        <v>#N/A</v>
      </c>
      <c r="K302" s="96" t="e">
        <f ca="1">VLOOKUP($B302,bond!B:S,14,FALSE)</f>
        <v>#N/A</v>
      </c>
      <c r="L302" s="91" t="e">
        <f ca="1">VLOOKUP(B302,bond!B:H,7,FALSE)</f>
        <v>#N/A</v>
      </c>
      <c r="M302" s="144" t="e">
        <f ca="1">VLOOKUP($B302,bond!$B:$Q,16,FALSE)</f>
        <v>#N/A</v>
      </c>
      <c r="N302" s="136" t="e">
        <f ca="1">VALUE(LEFT(VLOOKUP(B302,bond!B:R,17,FALSE),SEARCH(" ",VLOOKUP(B302,bond!B:R,17,FALSE),1)))</f>
        <v>#N/A</v>
      </c>
      <c r="O302" s="136" t="e">
        <f ca="1">VALUE(RIGHT(VLOOKUP(B302,bond!B:R,17,FALSE),LEN(VLOOKUP(B302,bond!B:R,17,FALSE))-LEN(N302)-3))</f>
        <v>#N/A</v>
      </c>
      <c r="P302" s="135" t="e">
        <f ca="1">VLOOKUP($B302,bond!$B:$AG,32,FALSE)</f>
        <v>#N/A</v>
      </c>
      <c r="Q302" s="135" t="e">
        <f ca="1">VLOOKUP($B302,bond!$B:$AH,33,FALSE)</f>
        <v>#N/A</v>
      </c>
      <c r="R302" s="135" t="e">
        <f ca="1">VLOOKUP(B302,bond!B:AA,26,FALSE)</f>
        <v>#N/A</v>
      </c>
      <c r="S302" s="135" t="e">
        <f ca="1">VLOOKUP(B302,bond!B:AI,34,FALSE)</f>
        <v>#N/A</v>
      </c>
      <c r="T302" s="135" t="e">
        <f t="shared" ca="1" si="28"/>
        <v>#N/A</v>
      </c>
      <c r="U302" s="207" t="e">
        <f ca="1">IFERROR(VLOOKUP(T302,Bond_DES!D:E,2,FALSE),VLOOKUP(S302,bond!AI:AJ,2,FALSE))</f>
        <v>#N/A</v>
      </c>
      <c r="V302" s="136" t="e">
        <f ca="1">IFERROR(VLOOKUP(B302,'1_重設數據'!L:M,2,FALSE),IF(Q302="政府",IF(AD302&gt;16,"(NPI)非專投",IF(AD302&gt;10,"(PI)專投","高資產")),IF(VLOOKUP(B302,bond!B:AN,39,FALSE)="Y","(PI)專投",IF(AD302&gt;=15,"(NPI)非專投",IF(AD302&gt;=10,"(PI)專投","高資產")))))</f>
        <v>#N/A</v>
      </c>
      <c r="W302" s="136" t="e">
        <f ca="1">VLOOKUP(AD302,'credit rating'!$F$2:$H$22,3,FALSE)</f>
        <v>#N/A</v>
      </c>
      <c r="X302" s="136" t="e">
        <f t="shared" ca="1" si="29"/>
        <v>#N/A</v>
      </c>
      <c r="Y302" s="136" t="e">
        <f t="shared" ca="1" si="30"/>
        <v>#N/A</v>
      </c>
      <c r="Z302" s="136" t="e">
        <f t="shared" ca="1" si="31"/>
        <v>#N/A</v>
      </c>
      <c r="AA302" s="134">
        <f ca="1">IFERROR(VLOOKUP(X302,'credit rating'!A:C,3,FALSE),0)</f>
        <v>0</v>
      </c>
      <c r="AB302" s="134">
        <f ca="1">IFERROR(VLOOKUP(Y302,'credit rating'!B:C,2,FALSE),0)</f>
        <v>0</v>
      </c>
      <c r="AC302" s="136">
        <f ca="1">IFERROR(VLOOKUP(Z302,'credit rating'!B:C,2,FALSE),0)</f>
        <v>0</v>
      </c>
      <c r="AD302" s="136">
        <f t="shared" ca="1" si="32"/>
        <v>0</v>
      </c>
      <c r="AE302" s="249" t="str">
        <f ca="1">IFERROR(VLOOKUP(B302,bond!B:U,20,FALSE),"")</f>
        <v/>
      </c>
      <c r="AF302" s="136" t="e">
        <f ca="1">IF(VLOOKUP(B302,bond!B:AK,36,FALSE)="#N/A Field Not Applicable","",VLOOKUP(B302,bond!B:AK,36,FALSE))</f>
        <v>#N/A</v>
      </c>
      <c r="AG302" s="136" t="e">
        <f ca="1">IF(VLOOKUP(B302,bond!B:AL,37,FALSE)="FIXED","固定",IF(VLOOKUP(B302,bond!B:AL,37,FALSE)="FLOATING","浮動",IF(VLOOKUP(B302,bond!B:AL,37,FALSE)="VARIABLE","變動",IF(VLOOKUP(B302,bond!B:AL,37,FALSE)="FLAT TRADING","不含息交易",IF(VLOOKUP(B302,bond!B:AL,37,FALSE)="ZERO COUPON","零息",VLOOKUP(B302,bond!B:AL,37,FALSE))))))</f>
        <v>#N/A</v>
      </c>
      <c r="AH302" s="136" t="e">
        <f>VLOOKUP(C302,'2_Check_code'!I:J,2,FALSE)</f>
        <v>#N/A</v>
      </c>
      <c r="AI302" s="136" t="e">
        <f t="shared" ca="1" si="33"/>
        <v>#N/A</v>
      </c>
      <c r="AJ302" s="136" t="e">
        <f t="shared" ca="1" si="34"/>
        <v>#N/A</v>
      </c>
      <c r="AK302" s="594" t="e">
        <f ca="1">IF(VLOOKUP(B302,bond!B:S,18,FALSE)="是","有",IF(VLOOKUP(B302,bond!B:S,18,FALSE)="NO OFFER","無","需查詢"))</f>
        <v>#N/A</v>
      </c>
      <c r="AL302" s="136" t="e">
        <f>IF(VLOOKUP(A302,bond!F:AR,39,FALSE)="#N/A Field Not Applicable",VLOOKUP(A302,bond!F:AR,38,FALSE),IFERROR(VLOOKUP(A302,'7_發行日例外'!A:B,2,FALSE),VLOOKUP(A302,bond!F:AR,39,FALSE)))</f>
        <v>#N/A</v>
      </c>
      <c r="AM302" s="136" t="e">
        <f ca="1">VLOOKUP(B302,bond!B:AK,36,FALSE)</f>
        <v>#N/A</v>
      </c>
      <c r="AN302" s="136" t="str">
        <f ca="1">IFERROR(VLOOKUP(B302,'3_是否下架'!A:A,1,FALSE),"")</f>
        <v/>
      </c>
      <c r="AO302" s="136" t="e">
        <f ca="1">VLOOKUP(B302,bond!B:J,9,FALSE)</f>
        <v>#N/A</v>
      </c>
      <c r="AP302" s="136" t="e">
        <f ca="1">VLOOKUP(B302,bond!B:V,21,FALSE)</f>
        <v>#N/A</v>
      </c>
    </row>
    <row r="303" spans="1:42">
      <c r="A303" s="141">
        <f>bond!F304</f>
        <v>0</v>
      </c>
      <c r="B303" s="151">
        <f ca="1">IF($C$1=TRUE,bond!B304,"")</f>
        <v>0</v>
      </c>
      <c r="C303" s="95" t="e">
        <f>VLOOKUP(A303,bond!F:G,2,FALSE)</f>
        <v>#N/A</v>
      </c>
      <c r="D303" s="142" t="e">
        <f ca="1">VLOOKUP(B303,bond!B:C,2,FALSE)</f>
        <v>#N/A</v>
      </c>
      <c r="E303" s="95" t="e">
        <f ca="1">VLOOKUP(B303,bond!B:D,3,FALSE)</f>
        <v>#N/A</v>
      </c>
      <c r="F303" s="99" t="e">
        <f ca="1">VLOOKUP(B303,bond!B:AB,27,FALSE)</f>
        <v>#N/A</v>
      </c>
      <c r="G303" s="90" t="e">
        <f ca="1">VLOOKUP(B303,bond!B:E,4,FALSE)</f>
        <v>#N/A</v>
      </c>
      <c r="H303" s="202" t="e">
        <f ca="1">VLOOKUP(B303,bond!B:Y,24,FALSE)</f>
        <v>#N/A</v>
      </c>
      <c r="I303" s="95" t="e">
        <f ca="1">VLOOKUP(B303,bond!B:Z,25,FALSE)</f>
        <v>#N/A</v>
      </c>
      <c r="J303" s="180" t="e">
        <f ca="1">VLOOKUP(B303,bond!B:K,10,FALSE)</f>
        <v>#N/A</v>
      </c>
      <c r="K303" s="96" t="e">
        <f ca="1">VLOOKUP($B303,bond!B:S,14,FALSE)</f>
        <v>#N/A</v>
      </c>
      <c r="L303" s="91" t="e">
        <f ca="1">VLOOKUP(B303,bond!B:H,7,FALSE)</f>
        <v>#N/A</v>
      </c>
      <c r="M303" s="144" t="e">
        <f ca="1">VLOOKUP($B303,bond!$B:$Q,16,FALSE)</f>
        <v>#N/A</v>
      </c>
      <c r="N303" s="136" t="e">
        <f ca="1">VALUE(LEFT(VLOOKUP(B303,bond!B:R,17,FALSE),SEARCH(" ",VLOOKUP(B303,bond!B:R,17,FALSE),1)))</f>
        <v>#N/A</v>
      </c>
      <c r="O303" s="136" t="e">
        <f ca="1">VALUE(RIGHT(VLOOKUP(B303,bond!B:R,17,FALSE),LEN(VLOOKUP(B303,bond!B:R,17,FALSE))-LEN(N303)-3))</f>
        <v>#N/A</v>
      </c>
      <c r="P303" s="135" t="e">
        <f ca="1">VLOOKUP($B303,bond!$B:$AG,32,FALSE)</f>
        <v>#N/A</v>
      </c>
      <c r="Q303" s="135" t="e">
        <f ca="1">VLOOKUP($B303,bond!$B:$AH,33,FALSE)</f>
        <v>#N/A</v>
      </c>
      <c r="R303" s="135" t="e">
        <f ca="1">VLOOKUP(B303,bond!B:AA,26,FALSE)</f>
        <v>#N/A</v>
      </c>
      <c r="S303" s="135" t="e">
        <f ca="1">VLOOKUP(B303,bond!B:AI,34,FALSE)</f>
        <v>#N/A</v>
      </c>
      <c r="T303" s="135" t="e">
        <f t="shared" ca="1" si="28"/>
        <v>#N/A</v>
      </c>
      <c r="U303" s="207" t="e">
        <f ca="1">IFERROR(VLOOKUP(T303,Bond_DES!D:E,2,FALSE),VLOOKUP(S303,bond!AI:AJ,2,FALSE))</f>
        <v>#N/A</v>
      </c>
      <c r="V303" s="136" t="e">
        <f ca="1">IFERROR(VLOOKUP(B303,'1_重設數據'!L:M,2,FALSE),IF(Q303="政府",IF(AD303&gt;16,"(NPI)非專投",IF(AD303&gt;10,"(PI)專投","高資產")),IF(VLOOKUP(B303,bond!B:AN,39,FALSE)="Y","(PI)專投",IF(AD303&gt;=15,"(NPI)非專投",IF(AD303&gt;=10,"(PI)專投","高資產")))))</f>
        <v>#N/A</v>
      </c>
      <c r="W303" s="136" t="e">
        <f ca="1">VLOOKUP(AD303,'credit rating'!$F$2:$H$22,3,FALSE)</f>
        <v>#N/A</v>
      </c>
      <c r="X303" s="136" t="e">
        <f t="shared" ca="1" si="29"/>
        <v>#N/A</v>
      </c>
      <c r="Y303" s="136" t="e">
        <f t="shared" ca="1" si="30"/>
        <v>#N/A</v>
      </c>
      <c r="Z303" s="136" t="e">
        <f t="shared" ca="1" si="31"/>
        <v>#N/A</v>
      </c>
      <c r="AA303" s="134">
        <f ca="1">IFERROR(VLOOKUP(X303,'credit rating'!A:C,3,FALSE),0)</f>
        <v>0</v>
      </c>
      <c r="AB303" s="134">
        <f ca="1">IFERROR(VLOOKUP(Y303,'credit rating'!B:C,2,FALSE),0)</f>
        <v>0</v>
      </c>
      <c r="AC303" s="136">
        <f ca="1">IFERROR(VLOOKUP(Z303,'credit rating'!B:C,2,FALSE),0)</f>
        <v>0</v>
      </c>
      <c r="AD303" s="136">
        <f t="shared" ca="1" si="32"/>
        <v>0</v>
      </c>
      <c r="AE303" s="249" t="str">
        <f ca="1">IFERROR(VLOOKUP(B303,bond!B:U,20,FALSE),"")</f>
        <v/>
      </c>
      <c r="AF303" s="136" t="e">
        <f ca="1">IF(VLOOKUP(B303,bond!B:AK,36,FALSE)="#N/A Field Not Applicable","",VLOOKUP(B303,bond!B:AK,36,FALSE))</f>
        <v>#N/A</v>
      </c>
      <c r="AG303" s="136" t="e">
        <f ca="1">IF(VLOOKUP(B303,bond!B:AL,37,FALSE)="FIXED","固定",IF(VLOOKUP(B303,bond!B:AL,37,FALSE)="FLOATING","浮動",IF(VLOOKUP(B303,bond!B:AL,37,FALSE)="VARIABLE","變動",IF(VLOOKUP(B303,bond!B:AL,37,FALSE)="FLAT TRADING","不含息交易",IF(VLOOKUP(B303,bond!B:AL,37,FALSE)="ZERO COUPON","零息",VLOOKUP(B303,bond!B:AL,37,FALSE))))))</f>
        <v>#N/A</v>
      </c>
      <c r="AH303" s="136" t="e">
        <f>VLOOKUP(C303,'2_Check_code'!I:J,2,FALSE)</f>
        <v>#N/A</v>
      </c>
      <c r="AI303" s="136" t="e">
        <f t="shared" ca="1" si="33"/>
        <v>#N/A</v>
      </c>
      <c r="AJ303" s="136" t="e">
        <f t="shared" ca="1" si="34"/>
        <v>#N/A</v>
      </c>
      <c r="AK303" s="594" t="e">
        <f ca="1">IF(VLOOKUP(B303,bond!B:S,18,FALSE)="是","有",IF(VLOOKUP(B303,bond!B:S,18,FALSE)="NO OFFER","無","需查詢"))</f>
        <v>#N/A</v>
      </c>
      <c r="AL303" s="136" t="e">
        <f>IF(VLOOKUP(A303,bond!F:AR,39,FALSE)="#N/A Field Not Applicable",VLOOKUP(A303,bond!F:AR,38,FALSE),IFERROR(VLOOKUP(A303,'7_發行日例外'!A:B,2,FALSE),VLOOKUP(A303,bond!F:AR,39,FALSE)))</f>
        <v>#N/A</v>
      </c>
      <c r="AM303" s="136" t="e">
        <f ca="1">VLOOKUP(B303,bond!B:AK,36,FALSE)</f>
        <v>#N/A</v>
      </c>
      <c r="AN303" s="136" t="str">
        <f ca="1">IFERROR(VLOOKUP(B303,'3_是否下架'!A:A,1,FALSE),"")</f>
        <v/>
      </c>
      <c r="AO303" s="136" t="e">
        <f ca="1">VLOOKUP(B303,bond!B:J,9,FALSE)</f>
        <v>#N/A</v>
      </c>
      <c r="AP303" s="136" t="e">
        <f ca="1">VLOOKUP(B303,bond!B:V,21,FALSE)</f>
        <v>#N/A</v>
      </c>
    </row>
    <row r="304" spans="1:42">
      <c r="A304" s="141">
        <f>bond!F305</f>
        <v>0</v>
      </c>
      <c r="B304" s="151">
        <f ca="1">IF($C$1=TRUE,bond!B305,"")</f>
        <v>0</v>
      </c>
      <c r="C304" s="95" t="e">
        <f>VLOOKUP(A304,bond!F:G,2,FALSE)</f>
        <v>#N/A</v>
      </c>
      <c r="D304" s="142" t="e">
        <f ca="1">VLOOKUP(B304,bond!B:C,2,FALSE)</f>
        <v>#N/A</v>
      </c>
      <c r="E304" s="95" t="e">
        <f ca="1">VLOOKUP(B304,bond!B:D,3,FALSE)</f>
        <v>#N/A</v>
      </c>
      <c r="F304" s="99" t="e">
        <f ca="1">VLOOKUP(B304,bond!B:AB,27,FALSE)</f>
        <v>#N/A</v>
      </c>
      <c r="G304" s="90" t="e">
        <f ca="1">VLOOKUP(B304,bond!B:E,4,FALSE)</f>
        <v>#N/A</v>
      </c>
      <c r="H304" s="202" t="e">
        <f ca="1">VLOOKUP(B304,bond!B:Y,24,FALSE)</f>
        <v>#N/A</v>
      </c>
      <c r="I304" s="95" t="e">
        <f ca="1">VLOOKUP(B304,bond!B:Z,25,FALSE)</f>
        <v>#N/A</v>
      </c>
      <c r="J304" s="180" t="e">
        <f ca="1">VLOOKUP(B304,bond!B:K,10,FALSE)</f>
        <v>#N/A</v>
      </c>
      <c r="K304" s="96" t="e">
        <f ca="1">VLOOKUP($B304,bond!B:S,14,FALSE)</f>
        <v>#N/A</v>
      </c>
      <c r="L304" s="91" t="e">
        <f ca="1">VLOOKUP(B304,bond!B:H,7,FALSE)</f>
        <v>#N/A</v>
      </c>
      <c r="M304" s="144" t="e">
        <f ca="1">VLOOKUP($B304,bond!$B:$Q,16,FALSE)</f>
        <v>#N/A</v>
      </c>
      <c r="N304" s="136" t="e">
        <f ca="1">VALUE(LEFT(VLOOKUP(B304,bond!B:R,17,FALSE),SEARCH(" ",VLOOKUP(B304,bond!B:R,17,FALSE),1)))</f>
        <v>#N/A</v>
      </c>
      <c r="O304" s="136" t="e">
        <f ca="1">VALUE(RIGHT(VLOOKUP(B304,bond!B:R,17,FALSE),LEN(VLOOKUP(B304,bond!B:R,17,FALSE))-LEN(N304)-3))</f>
        <v>#N/A</v>
      </c>
      <c r="P304" s="135" t="e">
        <f ca="1">VLOOKUP($B304,bond!$B:$AG,32,FALSE)</f>
        <v>#N/A</v>
      </c>
      <c r="Q304" s="135" t="e">
        <f ca="1">VLOOKUP($B304,bond!$B:$AH,33,FALSE)</f>
        <v>#N/A</v>
      </c>
      <c r="R304" s="135" t="e">
        <f ca="1">VLOOKUP(B304,bond!B:AA,26,FALSE)</f>
        <v>#N/A</v>
      </c>
      <c r="S304" s="135" t="e">
        <f ca="1">VLOOKUP(B304,bond!B:AI,34,FALSE)</f>
        <v>#N/A</v>
      </c>
      <c r="T304" s="135" t="e">
        <f t="shared" ca="1" si="28"/>
        <v>#N/A</v>
      </c>
      <c r="U304" s="207" t="e">
        <f ca="1">IFERROR(VLOOKUP(T304,Bond_DES!D:E,2,FALSE),VLOOKUP(S304,bond!AI:AJ,2,FALSE))</f>
        <v>#N/A</v>
      </c>
      <c r="V304" s="136" t="e">
        <f ca="1">IFERROR(VLOOKUP(B304,'1_重設數據'!L:M,2,FALSE),IF(Q304="政府",IF(AD304&gt;16,"(NPI)非專投",IF(AD304&gt;10,"(PI)專投","高資產")),IF(VLOOKUP(B304,bond!B:AN,39,FALSE)="Y","(PI)專投",IF(AD304&gt;=15,"(NPI)非專投",IF(AD304&gt;=10,"(PI)專投","高資產")))))</f>
        <v>#N/A</v>
      </c>
      <c r="W304" s="136" t="e">
        <f ca="1">VLOOKUP(AD304,'credit rating'!$F$2:$H$22,3,FALSE)</f>
        <v>#N/A</v>
      </c>
      <c r="X304" s="136" t="e">
        <f t="shared" ca="1" si="29"/>
        <v>#N/A</v>
      </c>
      <c r="Y304" s="136" t="e">
        <f t="shared" ca="1" si="30"/>
        <v>#N/A</v>
      </c>
      <c r="Z304" s="136" t="e">
        <f t="shared" ca="1" si="31"/>
        <v>#N/A</v>
      </c>
      <c r="AA304" s="134">
        <f ca="1">IFERROR(VLOOKUP(X304,'credit rating'!A:C,3,FALSE),0)</f>
        <v>0</v>
      </c>
      <c r="AB304" s="134">
        <f ca="1">IFERROR(VLOOKUP(Y304,'credit rating'!B:C,2,FALSE),0)</f>
        <v>0</v>
      </c>
      <c r="AC304" s="136">
        <f ca="1">IFERROR(VLOOKUP(Z304,'credit rating'!B:C,2,FALSE),0)</f>
        <v>0</v>
      </c>
      <c r="AD304" s="136">
        <f t="shared" ca="1" si="32"/>
        <v>0</v>
      </c>
      <c r="AE304" s="249" t="str">
        <f ca="1">IFERROR(VLOOKUP(B304,bond!B:U,20,FALSE),"")</f>
        <v/>
      </c>
      <c r="AF304" s="136" t="e">
        <f ca="1">IF(VLOOKUP(B304,bond!B:AK,36,FALSE)="#N/A Field Not Applicable","",VLOOKUP(B304,bond!B:AK,36,FALSE))</f>
        <v>#N/A</v>
      </c>
      <c r="AG304" s="136" t="e">
        <f ca="1">IF(VLOOKUP(B304,bond!B:AL,37,FALSE)="FIXED","固定",IF(VLOOKUP(B304,bond!B:AL,37,FALSE)="FLOATING","浮動",IF(VLOOKUP(B304,bond!B:AL,37,FALSE)="VARIABLE","變動",IF(VLOOKUP(B304,bond!B:AL,37,FALSE)="FLAT TRADING","不含息交易",IF(VLOOKUP(B304,bond!B:AL,37,FALSE)="ZERO COUPON","零息",VLOOKUP(B304,bond!B:AL,37,FALSE))))))</f>
        <v>#N/A</v>
      </c>
      <c r="AH304" s="136" t="e">
        <f>VLOOKUP(C304,'2_Check_code'!I:J,2,FALSE)</f>
        <v>#N/A</v>
      </c>
      <c r="AI304" s="136" t="e">
        <f t="shared" ca="1" si="33"/>
        <v>#N/A</v>
      </c>
      <c r="AJ304" s="136" t="e">
        <f t="shared" ca="1" si="34"/>
        <v>#N/A</v>
      </c>
      <c r="AK304" s="594" t="e">
        <f ca="1">IF(VLOOKUP(B304,bond!B:S,18,FALSE)="是","有",IF(VLOOKUP(B304,bond!B:S,18,FALSE)="NO OFFER","無","需查詢"))</f>
        <v>#N/A</v>
      </c>
      <c r="AL304" s="136" t="e">
        <f>IF(VLOOKUP(A304,bond!F:AR,39,FALSE)="#N/A Field Not Applicable",VLOOKUP(A304,bond!F:AR,38,FALSE),IFERROR(VLOOKUP(A304,'7_發行日例外'!A:B,2,FALSE),VLOOKUP(A304,bond!F:AR,39,FALSE)))</f>
        <v>#N/A</v>
      </c>
      <c r="AM304" s="136" t="e">
        <f ca="1">VLOOKUP(B304,bond!B:AK,36,FALSE)</f>
        <v>#N/A</v>
      </c>
      <c r="AN304" s="136" t="str">
        <f ca="1">IFERROR(VLOOKUP(B304,'3_是否下架'!A:A,1,FALSE),"")</f>
        <v/>
      </c>
      <c r="AO304" s="136" t="e">
        <f ca="1">VLOOKUP(B304,bond!B:J,9,FALSE)</f>
        <v>#N/A</v>
      </c>
      <c r="AP304" s="136" t="e">
        <f ca="1">VLOOKUP(B304,bond!B:V,21,FALSE)</f>
        <v>#N/A</v>
      </c>
    </row>
    <row r="305" spans="1:42">
      <c r="A305" s="141">
        <f>bond!F306</f>
        <v>0</v>
      </c>
      <c r="B305" s="151">
        <f ca="1">IF($C$1=TRUE,bond!B306,"")</f>
        <v>0</v>
      </c>
      <c r="C305" s="95" t="e">
        <f>VLOOKUP(A305,bond!F:G,2,FALSE)</f>
        <v>#N/A</v>
      </c>
      <c r="D305" s="142" t="e">
        <f ca="1">VLOOKUP(B305,bond!B:C,2,FALSE)</f>
        <v>#N/A</v>
      </c>
      <c r="E305" s="95" t="e">
        <f ca="1">VLOOKUP(B305,bond!B:D,3,FALSE)</f>
        <v>#N/A</v>
      </c>
      <c r="F305" s="99" t="e">
        <f ca="1">VLOOKUP(B305,bond!B:AB,27,FALSE)</f>
        <v>#N/A</v>
      </c>
      <c r="G305" s="90" t="e">
        <f ca="1">VLOOKUP(B305,bond!B:E,4,FALSE)</f>
        <v>#N/A</v>
      </c>
      <c r="H305" s="202" t="e">
        <f ca="1">VLOOKUP(B305,bond!B:Y,24,FALSE)</f>
        <v>#N/A</v>
      </c>
      <c r="I305" s="95" t="e">
        <f ca="1">VLOOKUP(B305,bond!B:Z,25,FALSE)</f>
        <v>#N/A</v>
      </c>
      <c r="J305" s="180" t="e">
        <f ca="1">VLOOKUP(B305,bond!B:K,10,FALSE)</f>
        <v>#N/A</v>
      </c>
      <c r="K305" s="96" t="e">
        <f ca="1">VLOOKUP($B305,bond!B:S,14,FALSE)</f>
        <v>#N/A</v>
      </c>
      <c r="L305" s="91" t="e">
        <f ca="1">VLOOKUP(B305,bond!B:H,7,FALSE)</f>
        <v>#N/A</v>
      </c>
      <c r="M305" s="144" t="e">
        <f ca="1">VLOOKUP($B305,bond!$B:$Q,16,FALSE)</f>
        <v>#N/A</v>
      </c>
      <c r="N305" s="136" t="e">
        <f ca="1">VALUE(LEFT(VLOOKUP(B305,bond!B:R,17,FALSE),SEARCH(" ",VLOOKUP(B305,bond!B:R,17,FALSE),1)))</f>
        <v>#N/A</v>
      </c>
      <c r="O305" s="136" t="e">
        <f ca="1">VALUE(RIGHT(VLOOKUP(B305,bond!B:R,17,FALSE),LEN(VLOOKUP(B305,bond!B:R,17,FALSE))-LEN(N305)-3))</f>
        <v>#N/A</v>
      </c>
      <c r="P305" s="135" t="e">
        <f ca="1">VLOOKUP($B305,bond!$B:$AG,32,FALSE)</f>
        <v>#N/A</v>
      </c>
      <c r="Q305" s="135" t="e">
        <f ca="1">VLOOKUP($B305,bond!$B:$AH,33,FALSE)</f>
        <v>#N/A</v>
      </c>
      <c r="R305" s="135" t="e">
        <f ca="1">VLOOKUP(B305,bond!B:AA,26,FALSE)</f>
        <v>#N/A</v>
      </c>
      <c r="S305" s="135" t="e">
        <f ca="1">VLOOKUP(B305,bond!B:AI,34,FALSE)</f>
        <v>#N/A</v>
      </c>
      <c r="T305" s="135" t="e">
        <f t="shared" ca="1" si="28"/>
        <v>#N/A</v>
      </c>
      <c r="U305" s="207" t="e">
        <f ca="1">IFERROR(VLOOKUP(T305,Bond_DES!D:E,2,FALSE),VLOOKUP(S305,bond!AI:AJ,2,FALSE))</f>
        <v>#N/A</v>
      </c>
      <c r="V305" s="136" t="e">
        <f ca="1">IFERROR(VLOOKUP(B305,'1_重設數據'!L:M,2,FALSE),IF(Q305="政府",IF(AD305&gt;16,"(NPI)非專投",IF(AD305&gt;10,"(PI)專投","高資產")),IF(VLOOKUP(B305,bond!B:AN,39,FALSE)="Y","(PI)專投",IF(AD305&gt;=15,"(NPI)非專投",IF(AD305&gt;=10,"(PI)專投","高資產")))))</f>
        <v>#N/A</v>
      </c>
      <c r="W305" s="136" t="e">
        <f ca="1">VLOOKUP(AD305,'credit rating'!$F$2:$H$22,3,FALSE)</f>
        <v>#N/A</v>
      </c>
      <c r="X305" s="136" t="e">
        <f t="shared" ca="1" si="29"/>
        <v>#N/A</v>
      </c>
      <c r="Y305" s="136" t="e">
        <f t="shared" ca="1" si="30"/>
        <v>#N/A</v>
      </c>
      <c r="Z305" s="136" t="e">
        <f t="shared" ca="1" si="31"/>
        <v>#N/A</v>
      </c>
      <c r="AA305" s="134">
        <f ca="1">IFERROR(VLOOKUP(X305,'credit rating'!A:C,3,FALSE),0)</f>
        <v>0</v>
      </c>
      <c r="AB305" s="134">
        <f ca="1">IFERROR(VLOOKUP(Y305,'credit rating'!B:C,2,FALSE),0)</f>
        <v>0</v>
      </c>
      <c r="AC305" s="136">
        <f ca="1">IFERROR(VLOOKUP(Z305,'credit rating'!B:C,2,FALSE),0)</f>
        <v>0</v>
      </c>
      <c r="AD305" s="136">
        <f t="shared" ca="1" si="32"/>
        <v>0</v>
      </c>
      <c r="AE305" s="249" t="str">
        <f ca="1">IFERROR(VLOOKUP(B305,bond!B:U,20,FALSE),"")</f>
        <v/>
      </c>
      <c r="AF305" s="136" t="e">
        <f ca="1">IF(VLOOKUP(B305,bond!B:AK,36,FALSE)="#N/A Field Not Applicable","",VLOOKUP(B305,bond!B:AK,36,FALSE))</f>
        <v>#N/A</v>
      </c>
      <c r="AG305" s="136" t="e">
        <f ca="1">IF(VLOOKUP(B305,bond!B:AL,37,FALSE)="FIXED","固定",IF(VLOOKUP(B305,bond!B:AL,37,FALSE)="FLOATING","浮動",IF(VLOOKUP(B305,bond!B:AL,37,FALSE)="VARIABLE","變動",IF(VLOOKUP(B305,bond!B:AL,37,FALSE)="FLAT TRADING","不含息交易",IF(VLOOKUP(B305,bond!B:AL,37,FALSE)="ZERO COUPON","零息",VLOOKUP(B305,bond!B:AL,37,FALSE))))))</f>
        <v>#N/A</v>
      </c>
      <c r="AH305" s="136" t="e">
        <f>VLOOKUP(C305,'2_Check_code'!I:J,2,FALSE)</f>
        <v>#N/A</v>
      </c>
      <c r="AI305" s="136" t="e">
        <f t="shared" ca="1" si="33"/>
        <v>#N/A</v>
      </c>
      <c r="AJ305" s="136" t="e">
        <f t="shared" ca="1" si="34"/>
        <v>#N/A</v>
      </c>
      <c r="AK305" s="594" t="e">
        <f ca="1">IF(VLOOKUP(B305,bond!B:S,18,FALSE)="是","有",IF(VLOOKUP(B305,bond!B:S,18,FALSE)="NO OFFER","無","需查詢"))</f>
        <v>#N/A</v>
      </c>
      <c r="AL305" s="136" t="e">
        <f>IF(VLOOKUP(A305,bond!F:AR,39,FALSE)="#N/A Field Not Applicable",VLOOKUP(A305,bond!F:AR,38,FALSE),IFERROR(VLOOKUP(A305,'7_發行日例外'!A:B,2,FALSE),VLOOKUP(A305,bond!F:AR,39,FALSE)))</f>
        <v>#N/A</v>
      </c>
      <c r="AM305" s="136" t="e">
        <f ca="1">VLOOKUP(B305,bond!B:AK,36,FALSE)</f>
        <v>#N/A</v>
      </c>
      <c r="AN305" s="136" t="str">
        <f ca="1">IFERROR(VLOOKUP(B305,'3_是否下架'!A:A,1,FALSE),"")</f>
        <v/>
      </c>
      <c r="AO305" s="136" t="e">
        <f ca="1">VLOOKUP(B305,bond!B:J,9,FALSE)</f>
        <v>#N/A</v>
      </c>
      <c r="AP305" s="136" t="e">
        <f ca="1">VLOOKUP(B305,bond!B:V,21,FALSE)</f>
        <v>#N/A</v>
      </c>
    </row>
    <row r="306" spans="1:42">
      <c r="A306" s="141">
        <f>bond!F307</f>
        <v>0</v>
      </c>
      <c r="B306" s="151">
        <f ca="1">IF($C$1=TRUE,bond!B307,"")</f>
        <v>0</v>
      </c>
      <c r="C306" s="95" t="e">
        <f>VLOOKUP(A306,bond!F:G,2,FALSE)</f>
        <v>#N/A</v>
      </c>
      <c r="D306" s="142" t="e">
        <f ca="1">VLOOKUP(B306,bond!B:C,2,FALSE)</f>
        <v>#N/A</v>
      </c>
      <c r="E306" s="95" t="e">
        <f ca="1">VLOOKUP(B306,bond!B:D,3,FALSE)</f>
        <v>#N/A</v>
      </c>
      <c r="F306" s="99" t="e">
        <f ca="1">VLOOKUP(B306,bond!B:AB,27,FALSE)</f>
        <v>#N/A</v>
      </c>
      <c r="G306" s="90" t="e">
        <f ca="1">VLOOKUP(B306,bond!B:E,4,FALSE)</f>
        <v>#N/A</v>
      </c>
      <c r="H306" s="202" t="e">
        <f ca="1">VLOOKUP(B306,bond!B:Y,24,FALSE)</f>
        <v>#N/A</v>
      </c>
      <c r="I306" s="95" t="e">
        <f ca="1">VLOOKUP(B306,bond!B:Z,25,FALSE)</f>
        <v>#N/A</v>
      </c>
      <c r="J306" s="180" t="e">
        <f ca="1">VLOOKUP(B306,bond!B:K,10,FALSE)</f>
        <v>#N/A</v>
      </c>
      <c r="K306" s="96" t="e">
        <f ca="1">VLOOKUP($B306,bond!B:S,14,FALSE)</f>
        <v>#N/A</v>
      </c>
      <c r="L306" s="91" t="e">
        <f ca="1">VLOOKUP(B306,bond!B:H,7,FALSE)</f>
        <v>#N/A</v>
      </c>
      <c r="M306" s="144" t="e">
        <f ca="1">VLOOKUP($B306,bond!$B:$Q,16,FALSE)</f>
        <v>#N/A</v>
      </c>
      <c r="N306" s="136" t="e">
        <f ca="1">VALUE(LEFT(VLOOKUP(B306,bond!B:R,17,FALSE),SEARCH(" ",VLOOKUP(B306,bond!B:R,17,FALSE),1)))</f>
        <v>#N/A</v>
      </c>
      <c r="O306" s="136" t="e">
        <f ca="1">VALUE(RIGHT(VLOOKUP(B306,bond!B:R,17,FALSE),LEN(VLOOKUP(B306,bond!B:R,17,FALSE))-LEN(N306)-3))</f>
        <v>#N/A</v>
      </c>
      <c r="P306" s="135" t="e">
        <f ca="1">VLOOKUP($B306,bond!$B:$AG,32,FALSE)</f>
        <v>#N/A</v>
      </c>
      <c r="Q306" s="135" t="e">
        <f ca="1">VLOOKUP($B306,bond!$B:$AH,33,FALSE)</f>
        <v>#N/A</v>
      </c>
      <c r="R306" s="135" t="e">
        <f ca="1">VLOOKUP(B306,bond!B:AA,26,FALSE)</f>
        <v>#N/A</v>
      </c>
      <c r="S306" s="135" t="e">
        <f ca="1">VLOOKUP(B306,bond!B:AI,34,FALSE)</f>
        <v>#N/A</v>
      </c>
      <c r="T306" s="135" t="e">
        <f t="shared" ca="1" si="28"/>
        <v>#N/A</v>
      </c>
      <c r="U306" s="207" t="e">
        <f ca="1">IFERROR(VLOOKUP(T306,Bond_DES!D:E,2,FALSE),VLOOKUP(S306,bond!AI:AJ,2,FALSE))</f>
        <v>#N/A</v>
      </c>
      <c r="V306" s="136" t="e">
        <f ca="1">IFERROR(VLOOKUP(B306,'1_重設數據'!L:M,2,FALSE),IF(Q306="政府",IF(AD306&gt;16,"(NPI)非專投",IF(AD306&gt;10,"(PI)專投","高資產")),IF(VLOOKUP(B306,bond!B:AN,39,FALSE)="Y","(PI)專投",IF(AD306&gt;=15,"(NPI)非專投",IF(AD306&gt;=10,"(PI)專投","高資產")))))</f>
        <v>#N/A</v>
      </c>
      <c r="W306" s="136" t="e">
        <f ca="1">VLOOKUP(AD306,'credit rating'!$F$2:$H$22,3,FALSE)</f>
        <v>#N/A</v>
      </c>
      <c r="X306" s="136" t="e">
        <f t="shared" ca="1" si="29"/>
        <v>#N/A</v>
      </c>
      <c r="Y306" s="136" t="e">
        <f t="shared" ca="1" si="30"/>
        <v>#N/A</v>
      </c>
      <c r="Z306" s="136" t="e">
        <f t="shared" ca="1" si="31"/>
        <v>#N/A</v>
      </c>
      <c r="AA306" s="134">
        <f ca="1">IFERROR(VLOOKUP(X306,'credit rating'!A:C,3,FALSE),0)</f>
        <v>0</v>
      </c>
      <c r="AB306" s="134">
        <f ca="1">IFERROR(VLOOKUP(Y306,'credit rating'!B:C,2,FALSE),0)</f>
        <v>0</v>
      </c>
      <c r="AC306" s="136">
        <f ca="1">IFERROR(VLOOKUP(Z306,'credit rating'!B:C,2,FALSE),0)</f>
        <v>0</v>
      </c>
      <c r="AD306" s="136">
        <f t="shared" ca="1" si="32"/>
        <v>0</v>
      </c>
      <c r="AE306" s="249" t="str">
        <f ca="1">IFERROR(VLOOKUP(B306,bond!B:U,20,FALSE),"")</f>
        <v/>
      </c>
      <c r="AF306" s="136" t="e">
        <f ca="1">IF(VLOOKUP(B306,bond!B:AK,36,FALSE)="#N/A Field Not Applicable","",VLOOKUP(B306,bond!B:AK,36,FALSE))</f>
        <v>#N/A</v>
      </c>
      <c r="AG306" s="136" t="e">
        <f ca="1">IF(VLOOKUP(B306,bond!B:AL,37,FALSE)="FIXED","固定",IF(VLOOKUP(B306,bond!B:AL,37,FALSE)="FLOATING","浮動",IF(VLOOKUP(B306,bond!B:AL,37,FALSE)="VARIABLE","變動",IF(VLOOKUP(B306,bond!B:AL,37,FALSE)="FLAT TRADING","不含息交易",IF(VLOOKUP(B306,bond!B:AL,37,FALSE)="ZERO COUPON","零息",VLOOKUP(B306,bond!B:AL,37,FALSE))))))</f>
        <v>#N/A</v>
      </c>
      <c r="AH306" s="136" t="e">
        <f>VLOOKUP(C306,'2_Check_code'!I:J,2,FALSE)</f>
        <v>#N/A</v>
      </c>
      <c r="AI306" s="136" t="e">
        <f t="shared" ca="1" si="33"/>
        <v>#N/A</v>
      </c>
      <c r="AJ306" s="136" t="e">
        <f t="shared" ca="1" si="34"/>
        <v>#N/A</v>
      </c>
      <c r="AK306" s="594" t="e">
        <f ca="1">IF(VLOOKUP(B306,bond!B:S,18,FALSE)="是","有",IF(VLOOKUP(B306,bond!B:S,18,FALSE)="NO OFFER","無","需查詢"))</f>
        <v>#N/A</v>
      </c>
      <c r="AL306" s="136" t="e">
        <f>IF(VLOOKUP(A306,bond!F:AR,39,FALSE)="#N/A Field Not Applicable",VLOOKUP(A306,bond!F:AR,38,FALSE),IFERROR(VLOOKUP(A306,'7_發行日例外'!A:B,2,FALSE),VLOOKUP(A306,bond!F:AR,39,FALSE)))</f>
        <v>#N/A</v>
      </c>
      <c r="AM306" s="136" t="e">
        <f ca="1">VLOOKUP(B306,bond!B:AK,36,FALSE)</f>
        <v>#N/A</v>
      </c>
      <c r="AN306" s="136" t="str">
        <f ca="1">IFERROR(VLOOKUP(B306,'3_是否下架'!A:A,1,FALSE),"")</f>
        <v/>
      </c>
      <c r="AO306" s="136" t="e">
        <f ca="1">VLOOKUP(B306,bond!B:J,9,FALSE)</f>
        <v>#N/A</v>
      </c>
      <c r="AP306" s="136" t="e">
        <f ca="1">VLOOKUP(B306,bond!B:V,21,FALSE)</f>
        <v>#N/A</v>
      </c>
    </row>
    <row r="307" spans="1:42">
      <c r="A307" s="141">
        <f>bond!F308</f>
        <v>0</v>
      </c>
      <c r="B307" s="151">
        <f ca="1">IF($C$1=TRUE,bond!B308,"")</f>
        <v>0</v>
      </c>
      <c r="C307" s="95" t="e">
        <f>VLOOKUP(A307,bond!F:G,2,FALSE)</f>
        <v>#N/A</v>
      </c>
      <c r="D307" s="142" t="e">
        <f ca="1">VLOOKUP(B307,bond!B:C,2,FALSE)</f>
        <v>#N/A</v>
      </c>
      <c r="E307" s="95" t="e">
        <f ca="1">VLOOKUP(B307,bond!B:D,3,FALSE)</f>
        <v>#N/A</v>
      </c>
      <c r="F307" s="99" t="e">
        <f ca="1">VLOOKUP(B307,bond!B:AB,27,FALSE)</f>
        <v>#N/A</v>
      </c>
      <c r="G307" s="90" t="e">
        <f ca="1">VLOOKUP(B307,bond!B:E,4,FALSE)</f>
        <v>#N/A</v>
      </c>
      <c r="H307" s="202" t="e">
        <f ca="1">VLOOKUP(B307,bond!B:Y,24,FALSE)</f>
        <v>#N/A</v>
      </c>
      <c r="I307" s="95" t="e">
        <f ca="1">VLOOKUP(B307,bond!B:Z,25,FALSE)</f>
        <v>#N/A</v>
      </c>
      <c r="J307" s="180" t="e">
        <f ca="1">VLOOKUP(B307,bond!B:K,10,FALSE)</f>
        <v>#N/A</v>
      </c>
      <c r="K307" s="96" t="e">
        <f ca="1">VLOOKUP($B307,bond!B:S,14,FALSE)</f>
        <v>#N/A</v>
      </c>
      <c r="L307" s="91" t="e">
        <f ca="1">VLOOKUP(B307,bond!B:H,7,FALSE)</f>
        <v>#N/A</v>
      </c>
      <c r="M307" s="144" t="e">
        <f ca="1">VLOOKUP($B307,bond!$B:$Q,16,FALSE)</f>
        <v>#N/A</v>
      </c>
      <c r="N307" s="136" t="e">
        <f ca="1">VALUE(LEFT(VLOOKUP(B307,bond!B:R,17,FALSE),SEARCH(" ",VLOOKUP(B307,bond!B:R,17,FALSE),1)))</f>
        <v>#N/A</v>
      </c>
      <c r="O307" s="136" t="e">
        <f ca="1">VALUE(RIGHT(VLOOKUP(B307,bond!B:R,17,FALSE),LEN(VLOOKUP(B307,bond!B:R,17,FALSE))-LEN(N307)-3))</f>
        <v>#N/A</v>
      </c>
      <c r="P307" s="135" t="e">
        <f ca="1">VLOOKUP($B307,bond!$B:$AG,32,FALSE)</f>
        <v>#N/A</v>
      </c>
      <c r="Q307" s="135" t="e">
        <f ca="1">VLOOKUP($B307,bond!$B:$AH,33,FALSE)</f>
        <v>#N/A</v>
      </c>
      <c r="R307" s="135" t="e">
        <f ca="1">VLOOKUP(B307,bond!B:AA,26,FALSE)</f>
        <v>#N/A</v>
      </c>
      <c r="S307" s="135" t="e">
        <f ca="1">VLOOKUP(B307,bond!B:AI,34,FALSE)</f>
        <v>#N/A</v>
      </c>
      <c r="T307" s="135" t="e">
        <f t="shared" ca="1" si="28"/>
        <v>#N/A</v>
      </c>
      <c r="U307" s="207" t="e">
        <f ca="1">IFERROR(VLOOKUP(T307,Bond_DES!D:E,2,FALSE),VLOOKUP(S307,bond!AI:AJ,2,FALSE))</f>
        <v>#N/A</v>
      </c>
      <c r="V307" s="136" t="e">
        <f ca="1">IFERROR(VLOOKUP(B307,'1_重設數據'!L:M,2,FALSE),IF(Q307="政府",IF(AD307&gt;16,"(NPI)非專投",IF(AD307&gt;10,"(PI)專投","高資產")),IF(VLOOKUP(B307,bond!B:AN,39,FALSE)="Y","(PI)專投",IF(AD307&gt;=15,"(NPI)非專投",IF(AD307&gt;=10,"(PI)專投","高資產")))))</f>
        <v>#N/A</v>
      </c>
      <c r="W307" s="136" t="e">
        <f ca="1">VLOOKUP(AD307,'credit rating'!$F$2:$H$22,3,FALSE)</f>
        <v>#N/A</v>
      </c>
      <c r="X307" s="136" t="e">
        <f t="shared" ca="1" si="29"/>
        <v>#N/A</v>
      </c>
      <c r="Y307" s="136" t="e">
        <f t="shared" ca="1" si="30"/>
        <v>#N/A</v>
      </c>
      <c r="Z307" s="136" t="e">
        <f t="shared" ca="1" si="31"/>
        <v>#N/A</v>
      </c>
      <c r="AA307" s="134">
        <f ca="1">IFERROR(VLOOKUP(X307,'credit rating'!A:C,3,FALSE),0)</f>
        <v>0</v>
      </c>
      <c r="AB307" s="134">
        <f ca="1">IFERROR(VLOOKUP(Y307,'credit rating'!B:C,2,FALSE),0)</f>
        <v>0</v>
      </c>
      <c r="AC307" s="136">
        <f ca="1">IFERROR(VLOOKUP(Z307,'credit rating'!B:C,2,FALSE),0)</f>
        <v>0</v>
      </c>
      <c r="AD307" s="136">
        <f t="shared" ca="1" si="32"/>
        <v>0</v>
      </c>
      <c r="AE307" s="249" t="str">
        <f ca="1">IFERROR(VLOOKUP(B307,bond!B:U,20,FALSE),"")</f>
        <v/>
      </c>
      <c r="AF307" s="136" t="e">
        <f ca="1">IF(VLOOKUP(B307,bond!B:AK,36,FALSE)="#N/A Field Not Applicable","",VLOOKUP(B307,bond!B:AK,36,FALSE))</f>
        <v>#N/A</v>
      </c>
      <c r="AG307" s="136" t="e">
        <f ca="1">IF(VLOOKUP(B307,bond!B:AL,37,FALSE)="FIXED","固定",IF(VLOOKUP(B307,bond!B:AL,37,FALSE)="FLOATING","浮動",IF(VLOOKUP(B307,bond!B:AL,37,FALSE)="VARIABLE","變動",IF(VLOOKUP(B307,bond!B:AL,37,FALSE)="FLAT TRADING","不含息交易",IF(VLOOKUP(B307,bond!B:AL,37,FALSE)="ZERO COUPON","零息",VLOOKUP(B307,bond!B:AL,37,FALSE))))))</f>
        <v>#N/A</v>
      </c>
      <c r="AH307" s="136" t="e">
        <f>VLOOKUP(C307,'2_Check_code'!I:J,2,FALSE)</f>
        <v>#N/A</v>
      </c>
      <c r="AI307" s="136" t="e">
        <f t="shared" ca="1" si="33"/>
        <v>#N/A</v>
      </c>
      <c r="AJ307" s="136" t="e">
        <f t="shared" ca="1" si="34"/>
        <v>#N/A</v>
      </c>
      <c r="AK307" s="594" t="e">
        <f ca="1">IF(VLOOKUP(B307,bond!B:S,18,FALSE)="是","有",IF(VLOOKUP(B307,bond!B:S,18,FALSE)="NO OFFER","無","需查詢"))</f>
        <v>#N/A</v>
      </c>
      <c r="AL307" s="136" t="e">
        <f>IF(VLOOKUP(A307,bond!F:AR,39,FALSE)="#N/A Field Not Applicable",VLOOKUP(A307,bond!F:AR,38,FALSE),IFERROR(VLOOKUP(A307,'7_發行日例外'!A:B,2,FALSE),VLOOKUP(A307,bond!F:AR,39,FALSE)))</f>
        <v>#N/A</v>
      </c>
      <c r="AM307" s="136" t="e">
        <f ca="1">VLOOKUP(B307,bond!B:AK,36,FALSE)</f>
        <v>#N/A</v>
      </c>
      <c r="AN307" s="136" t="str">
        <f ca="1">IFERROR(VLOOKUP(B307,'3_是否下架'!A:A,1,FALSE),"")</f>
        <v/>
      </c>
      <c r="AO307" s="136" t="e">
        <f ca="1">VLOOKUP(B307,bond!B:J,9,FALSE)</f>
        <v>#N/A</v>
      </c>
      <c r="AP307" s="136" t="e">
        <f ca="1">VLOOKUP(B307,bond!B:V,21,FALSE)</f>
        <v>#N/A</v>
      </c>
    </row>
    <row r="308" spans="1:42">
      <c r="A308" s="141">
        <f>bond!F309</f>
        <v>0</v>
      </c>
      <c r="B308" s="151">
        <f ca="1">IF($C$1=TRUE,bond!B309,"")</f>
        <v>0</v>
      </c>
      <c r="C308" s="95" t="e">
        <f>VLOOKUP(A308,bond!F:G,2,FALSE)</f>
        <v>#N/A</v>
      </c>
      <c r="D308" s="142" t="e">
        <f ca="1">VLOOKUP(B308,bond!B:C,2,FALSE)</f>
        <v>#N/A</v>
      </c>
      <c r="E308" s="95" t="e">
        <f ca="1">VLOOKUP(B308,bond!B:D,3,FALSE)</f>
        <v>#N/A</v>
      </c>
      <c r="F308" s="99" t="e">
        <f ca="1">VLOOKUP(B308,bond!B:AB,27,FALSE)</f>
        <v>#N/A</v>
      </c>
      <c r="G308" s="90" t="e">
        <f ca="1">VLOOKUP(B308,bond!B:E,4,FALSE)</f>
        <v>#N/A</v>
      </c>
      <c r="H308" s="202" t="e">
        <f ca="1">VLOOKUP(B308,bond!B:Y,24,FALSE)</f>
        <v>#N/A</v>
      </c>
      <c r="I308" s="95" t="e">
        <f ca="1">VLOOKUP(B308,bond!B:Z,25,FALSE)</f>
        <v>#N/A</v>
      </c>
      <c r="J308" s="180" t="e">
        <f ca="1">VLOOKUP(B308,bond!B:K,10,FALSE)</f>
        <v>#N/A</v>
      </c>
      <c r="K308" s="96" t="e">
        <f ca="1">VLOOKUP($B308,bond!B:S,14,FALSE)</f>
        <v>#N/A</v>
      </c>
      <c r="L308" s="91" t="e">
        <f ca="1">VLOOKUP(B308,bond!B:H,7,FALSE)</f>
        <v>#N/A</v>
      </c>
      <c r="M308" s="144" t="e">
        <f ca="1">VLOOKUP($B308,bond!$B:$Q,16,FALSE)</f>
        <v>#N/A</v>
      </c>
      <c r="N308" s="136" t="e">
        <f ca="1">VALUE(LEFT(VLOOKUP(B308,bond!B:R,17,FALSE),SEARCH(" ",VLOOKUP(B308,bond!B:R,17,FALSE),1)))</f>
        <v>#N/A</v>
      </c>
      <c r="O308" s="136" t="e">
        <f ca="1">VALUE(RIGHT(VLOOKUP(B308,bond!B:R,17,FALSE),LEN(VLOOKUP(B308,bond!B:R,17,FALSE))-LEN(N308)-3))</f>
        <v>#N/A</v>
      </c>
      <c r="P308" s="135" t="e">
        <f ca="1">VLOOKUP($B308,bond!$B:$AG,32,FALSE)</f>
        <v>#N/A</v>
      </c>
      <c r="Q308" s="135" t="e">
        <f ca="1">VLOOKUP($B308,bond!$B:$AH,33,FALSE)</f>
        <v>#N/A</v>
      </c>
      <c r="R308" s="135" t="e">
        <f ca="1">VLOOKUP(B308,bond!B:AA,26,FALSE)</f>
        <v>#N/A</v>
      </c>
      <c r="S308" s="135" t="e">
        <f ca="1">VLOOKUP(B308,bond!B:AI,34,FALSE)</f>
        <v>#N/A</v>
      </c>
      <c r="T308" s="135" t="e">
        <f t="shared" ca="1" si="28"/>
        <v>#N/A</v>
      </c>
      <c r="U308" s="207" t="e">
        <f ca="1">IFERROR(VLOOKUP(T308,Bond_DES!D:E,2,FALSE),VLOOKUP(S308,bond!AI:AJ,2,FALSE))</f>
        <v>#N/A</v>
      </c>
      <c r="V308" s="136" t="e">
        <f ca="1">IFERROR(VLOOKUP(B308,'1_重設數據'!L:M,2,FALSE),IF(Q308="政府",IF(AD308&gt;16,"(NPI)非專投",IF(AD308&gt;10,"(PI)專投","高資產")),IF(VLOOKUP(B308,bond!B:AN,39,FALSE)="Y","(PI)專投",IF(AD308&gt;=15,"(NPI)非專投",IF(AD308&gt;=10,"(PI)專投","高資產")))))</f>
        <v>#N/A</v>
      </c>
      <c r="W308" s="136" t="e">
        <f ca="1">VLOOKUP(AD308,'credit rating'!$F$2:$H$22,3,FALSE)</f>
        <v>#N/A</v>
      </c>
      <c r="X308" s="136" t="e">
        <f t="shared" ca="1" si="29"/>
        <v>#N/A</v>
      </c>
      <c r="Y308" s="136" t="e">
        <f t="shared" ca="1" si="30"/>
        <v>#N/A</v>
      </c>
      <c r="Z308" s="136" t="e">
        <f t="shared" ca="1" si="31"/>
        <v>#N/A</v>
      </c>
      <c r="AA308" s="134">
        <f ca="1">IFERROR(VLOOKUP(X308,'credit rating'!A:C,3,FALSE),0)</f>
        <v>0</v>
      </c>
      <c r="AB308" s="134">
        <f ca="1">IFERROR(VLOOKUP(Y308,'credit rating'!B:C,2,FALSE),0)</f>
        <v>0</v>
      </c>
      <c r="AC308" s="136">
        <f ca="1">IFERROR(VLOOKUP(Z308,'credit rating'!B:C,2,FALSE),0)</f>
        <v>0</v>
      </c>
      <c r="AD308" s="136">
        <f t="shared" ca="1" si="32"/>
        <v>0</v>
      </c>
      <c r="AE308" s="249" t="str">
        <f ca="1">IFERROR(VLOOKUP(B308,bond!B:U,20,FALSE),"")</f>
        <v/>
      </c>
      <c r="AF308" s="136" t="e">
        <f ca="1">IF(VLOOKUP(B308,bond!B:AK,36,FALSE)="#N/A Field Not Applicable","",VLOOKUP(B308,bond!B:AK,36,FALSE))</f>
        <v>#N/A</v>
      </c>
      <c r="AG308" s="136" t="e">
        <f ca="1">IF(VLOOKUP(B308,bond!B:AL,37,FALSE)="FIXED","固定",IF(VLOOKUP(B308,bond!B:AL,37,FALSE)="FLOATING","浮動",IF(VLOOKUP(B308,bond!B:AL,37,FALSE)="VARIABLE","變動",IF(VLOOKUP(B308,bond!B:AL,37,FALSE)="FLAT TRADING","不含息交易",IF(VLOOKUP(B308,bond!B:AL,37,FALSE)="ZERO COUPON","零息",VLOOKUP(B308,bond!B:AL,37,FALSE))))))</f>
        <v>#N/A</v>
      </c>
      <c r="AH308" s="136" t="e">
        <f>VLOOKUP(C308,'2_Check_code'!I:J,2,FALSE)</f>
        <v>#N/A</v>
      </c>
      <c r="AI308" s="136" t="e">
        <f t="shared" ca="1" si="33"/>
        <v>#N/A</v>
      </c>
      <c r="AJ308" s="136" t="e">
        <f t="shared" ca="1" si="34"/>
        <v>#N/A</v>
      </c>
      <c r="AK308" s="594" t="e">
        <f ca="1">IF(VLOOKUP(B308,bond!B:S,18,FALSE)="是","有",IF(VLOOKUP(B308,bond!B:S,18,FALSE)="NO OFFER","無","需查詢"))</f>
        <v>#N/A</v>
      </c>
      <c r="AL308" s="136" t="e">
        <f>IF(VLOOKUP(A308,bond!F:AR,39,FALSE)="#N/A Field Not Applicable",VLOOKUP(A308,bond!F:AR,38,FALSE),IFERROR(VLOOKUP(A308,'7_發行日例外'!A:B,2,FALSE),VLOOKUP(A308,bond!F:AR,39,FALSE)))</f>
        <v>#N/A</v>
      </c>
      <c r="AM308" s="136" t="e">
        <f ca="1">VLOOKUP(B308,bond!B:AK,36,FALSE)</f>
        <v>#N/A</v>
      </c>
      <c r="AN308" s="136" t="str">
        <f ca="1">IFERROR(VLOOKUP(B308,'3_是否下架'!A:A,1,FALSE),"")</f>
        <v/>
      </c>
      <c r="AO308" s="136" t="e">
        <f ca="1">VLOOKUP(B308,bond!B:J,9,FALSE)</f>
        <v>#N/A</v>
      </c>
      <c r="AP308" s="136" t="e">
        <f ca="1">VLOOKUP(B308,bond!B:V,21,FALSE)</f>
        <v>#N/A</v>
      </c>
    </row>
    <row r="309" spans="1:42">
      <c r="A309" s="141">
        <f>bond!F310</f>
        <v>0</v>
      </c>
      <c r="B309" s="151">
        <f ca="1">IF($C$1=TRUE,bond!B310,"")</f>
        <v>0</v>
      </c>
      <c r="C309" s="95" t="e">
        <f>VLOOKUP(A309,bond!F:G,2,FALSE)</f>
        <v>#N/A</v>
      </c>
      <c r="D309" s="142" t="e">
        <f ca="1">VLOOKUP(B309,bond!B:C,2,FALSE)</f>
        <v>#N/A</v>
      </c>
      <c r="E309" s="95" t="e">
        <f ca="1">VLOOKUP(B309,bond!B:D,3,FALSE)</f>
        <v>#N/A</v>
      </c>
      <c r="F309" s="99" t="e">
        <f ca="1">VLOOKUP(B309,bond!B:AB,27,FALSE)</f>
        <v>#N/A</v>
      </c>
      <c r="G309" s="90" t="e">
        <f ca="1">VLOOKUP(B309,bond!B:E,4,FALSE)</f>
        <v>#N/A</v>
      </c>
      <c r="H309" s="202" t="e">
        <f ca="1">VLOOKUP(B309,bond!B:Y,24,FALSE)</f>
        <v>#N/A</v>
      </c>
      <c r="I309" s="95" t="e">
        <f ca="1">VLOOKUP(B309,bond!B:Z,25,FALSE)</f>
        <v>#N/A</v>
      </c>
      <c r="J309" s="180" t="e">
        <f ca="1">VLOOKUP(B309,bond!B:K,10,FALSE)</f>
        <v>#N/A</v>
      </c>
      <c r="K309" s="96" t="e">
        <f ca="1">VLOOKUP($B309,bond!B:S,14,FALSE)</f>
        <v>#N/A</v>
      </c>
      <c r="L309" s="91" t="e">
        <f ca="1">VLOOKUP(B309,bond!B:H,7,FALSE)</f>
        <v>#N/A</v>
      </c>
      <c r="M309" s="144" t="e">
        <f ca="1">VLOOKUP($B309,bond!$B:$Q,16,FALSE)</f>
        <v>#N/A</v>
      </c>
      <c r="N309" s="136" t="e">
        <f ca="1">VALUE(LEFT(VLOOKUP(B309,bond!B:R,17,FALSE),SEARCH(" ",VLOOKUP(B309,bond!B:R,17,FALSE),1)))</f>
        <v>#N/A</v>
      </c>
      <c r="O309" s="136" t="e">
        <f ca="1">VALUE(RIGHT(VLOOKUP(B309,bond!B:R,17,FALSE),LEN(VLOOKUP(B309,bond!B:R,17,FALSE))-LEN(N309)-3))</f>
        <v>#N/A</v>
      </c>
      <c r="P309" s="135" t="e">
        <f ca="1">VLOOKUP($B309,bond!$B:$AG,32,FALSE)</f>
        <v>#N/A</v>
      </c>
      <c r="Q309" s="135" t="e">
        <f ca="1">VLOOKUP($B309,bond!$B:$AH,33,FALSE)</f>
        <v>#N/A</v>
      </c>
      <c r="R309" s="135" t="e">
        <f ca="1">VLOOKUP(B309,bond!B:AA,26,FALSE)</f>
        <v>#N/A</v>
      </c>
      <c r="S309" s="135" t="e">
        <f ca="1">VLOOKUP(B309,bond!B:AI,34,FALSE)</f>
        <v>#N/A</v>
      </c>
      <c r="T309" s="135" t="e">
        <f t="shared" ca="1" si="28"/>
        <v>#N/A</v>
      </c>
      <c r="U309" s="207" t="e">
        <f ca="1">IFERROR(VLOOKUP(T309,Bond_DES!D:E,2,FALSE),VLOOKUP(S309,bond!AI:AJ,2,FALSE))</f>
        <v>#N/A</v>
      </c>
      <c r="V309" s="136" t="e">
        <f ca="1">IFERROR(VLOOKUP(B309,'1_重設數據'!L:M,2,FALSE),IF(Q309="政府",IF(AD309&gt;16,"(NPI)非專投",IF(AD309&gt;10,"(PI)專投","高資產")),IF(VLOOKUP(B309,bond!B:AN,39,FALSE)="Y","(PI)專投",IF(AD309&gt;=15,"(NPI)非專投",IF(AD309&gt;=10,"(PI)專投","高資產")))))</f>
        <v>#N/A</v>
      </c>
      <c r="W309" s="136" t="e">
        <f ca="1">VLOOKUP(AD309,'credit rating'!$F$2:$H$22,3,FALSE)</f>
        <v>#N/A</v>
      </c>
      <c r="X309" s="136" t="e">
        <f t="shared" ca="1" si="29"/>
        <v>#N/A</v>
      </c>
      <c r="Y309" s="136" t="e">
        <f t="shared" ca="1" si="30"/>
        <v>#N/A</v>
      </c>
      <c r="Z309" s="136" t="e">
        <f t="shared" ca="1" si="31"/>
        <v>#N/A</v>
      </c>
      <c r="AA309" s="134">
        <f ca="1">IFERROR(VLOOKUP(X309,'credit rating'!A:C,3,FALSE),0)</f>
        <v>0</v>
      </c>
      <c r="AB309" s="134">
        <f ca="1">IFERROR(VLOOKUP(Y309,'credit rating'!B:C,2,FALSE),0)</f>
        <v>0</v>
      </c>
      <c r="AC309" s="136">
        <f ca="1">IFERROR(VLOOKUP(Z309,'credit rating'!B:C,2,FALSE),0)</f>
        <v>0</v>
      </c>
      <c r="AD309" s="136">
        <f t="shared" ca="1" si="32"/>
        <v>0</v>
      </c>
      <c r="AE309" s="249" t="str">
        <f ca="1">IFERROR(VLOOKUP(B309,bond!B:U,20,FALSE),"")</f>
        <v/>
      </c>
      <c r="AF309" s="136" t="e">
        <f ca="1">IF(VLOOKUP(B309,bond!B:AK,36,FALSE)="#N/A Field Not Applicable","",VLOOKUP(B309,bond!B:AK,36,FALSE))</f>
        <v>#N/A</v>
      </c>
      <c r="AG309" s="136" t="e">
        <f ca="1">IF(VLOOKUP(B309,bond!B:AL,37,FALSE)="FIXED","固定",IF(VLOOKUP(B309,bond!B:AL,37,FALSE)="FLOATING","浮動",IF(VLOOKUP(B309,bond!B:AL,37,FALSE)="VARIABLE","變動",IF(VLOOKUP(B309,bond!B:AL,37,FALSE)="FLAT TRADING","不含息交易",IF(VLOOKUP(B309,bond!B:AL,37,FALSE)="ZERO COUPON","零息",VLOOKUP(B309,bond!B:AL,37,FALSE))))))</f>
        <v>#N/A</v>
      </c>
      <c r="AH309" s="136" t="e">
        <f>VLOOKUP(C309,'2_Check_code'!I:J,2,FALSE)</f>
        <v>#N/A</v>
      </c>
      <c r="AI309" s="136" t="e">
        <f t="shared" ca="1" si="33"/>
        <v>#N/A</v>
      </c>
      <c r="AJ309" s="136" t="e">
        <f t="shared" ca="1" si="34"/>
        <v>#N/A</v>
      </c>
      <c r="AK309" s="594" t="e">
        <f ca="1">IF(VLOOKUP(B309,bond!B:S,18,FALSE)="是","有",IF(VLOOKUP(B309,bond!B:S,18,FALSE)="NO OFFER","無","需查詢"))</f>
        <v>#N/A</v>
      </c>
      <c r="AL309" s="136" t="e">
        <f>IF(VLOOKUP(A309,bond!F:AR,39,FALSE)="#N/A Field Not Applicable",VLOOKUP(A309,bond!F:AR,38,FALSE),IFERROR(VLOOKUP(A309,'7_發行日例外'!A:B,2,FALSE),VLOOKUP(A309,bond!F:AR,39,FALSE)))</f>
        <v>#N/A</v>
      </c>
      <c r="AM309" s="136" t="e">
        <f ca="1">VLOOKUP(B309,bond!B:AK,36,FALSE)</f>
        <v>#N/A</v>
      </c>
      <c r="AN309" s="136" t="str">
        <f ca="1">IFERROR(VLOOKUP(B309,'3_是否下架'!A:A,1,FALSE),"")</f>
        <v/>
      </c>
      <c r="AO309" s="136" t="e">
        <f ca="1">VLOOKUP(B309,bond!B:J,9,FALSE)</f>
        <v>#N/A</v>
      </c>
      <c r="AP309" s="136" t="e">
        <f ca="1">VLOOKUP(B309,bond!B:V,21,FALSE)</f>
        <v>#N/A</v>
      </c>
    </row>
    <row r="310" spans="1:42">
      <c r="A310" s="141">
        <f>bond!F311</f>
        <v>0</v>
      </c>
      <c r="B310" s="151">
        <f ca="1">IF($C$1=TRUE,bond!B311,"")</f>
        <v>0</v>
      </c>
      <c r="C310" s="95" t="e">
        <f>VLOOKUP(A310,bond!F:G,2,FALSE)</f>
        <v>#N/A</v>
      </c>
      <c r="D310" s="142" t="e">
        <f ca="1">VLOOKUP(B310,bond!B:C,2,FALSE)</f>
        <v>#N/A</v>
      </c>
      <c r="E310" s="95" t="e">
        <f ca="1">VLOOKUP(B310,bond!B:D,3,FALSE)</f>
        <v>#N/A</v>
      </c>
      <c r="F310" s="99" t="e">
        <f ca="1">VLOOKUP(B310,bond!B:AB,27,FALSE)</f>
        <v>#N/A</v>
      </c>
      <c r="G310" s="90" t="e">
        <f ca="1">VLOOKUP(B310,bond!B:E,4,FALSE)</f>
        <v>#N/A</v>
      </c>
      <c r="H310" s="202" t="e">
        <f ca="1">VLOOKUP(B310,bond!B:Y,24,FALSE)</f>
        <v>#N/A</v>
      </c>
      <c r="I310" s="95" t="e">
        <f ca="1">VLOOKUP(B310,bond!B:Z,25,FALSE)</f>
        <v>#N/A</v>
      </c>
      <c r="J310" s="180" t="e">
        <f ca="1">VLOOKUP(B310,bond!B:K,10,FALSE)</f>
        <v>#N/A</v>
      </c>
      <c r="K310" s="96" t="e">
        <f ca="1">VLOOKUP($B310,bond!B:S,14,FALSE)</f>
        <v>#N/A</v>
      </c>
      <c r="L310" s="91" t="e">
        <f ca="1">VLOOKUP(B310,bond!B:H,7,FALSE)</f>
        <v>#N/A</v>
      </c>
      <c r="M310" s="144" t="e">
        <f ca="1">VLOOKUP($B310,bond!$B:$Q,16,FALSE)</f>
        <v>#N/A</v>
      </c>
      <c r="N310" s="136" t="e">
        <f ca="1">VALUE(LEFT(VLOOKUP(B310,bond!B:R,17,FALSE),SEARCH(" ",VLOOKUP(B310,bond!B:R,17,FALSE),1)))</f>
        <v>#N/A</v>
      </c>
      <c r="O310" s="136" t="e">
        <f ca="1">VALUE(RIGHT(VLOOKUP(B310,bond!B:R,17,FALSE),LEN(VLOOKUP(B310,bond!B:R,17,FALSE))-LEN(N310)-3))</f>
        <v>#N/A</v>
      </c>
      <c r="P310" s="135" t="e">
        <f ca="1">VLOOKUP($B310,bond!$B:$AG,32,FALSE)</f>
        <v>#N/A</v>
      </c>
      <c r="Q310" s="135" t="e">
        <f ca="1">VLOOKUP($B310,bond!$B:$AH,33,FALSE)</f>
        <v>#N/A</v>
      </c>
      <c r="R310" s="135" t="e">
        <f ca="1">VLOOKUP(B310,bond!B:AA,26,FALSE)</f>
        <v>#N/A</v>
      </c>
      <c r="S310" s="135" t="e">
        <f ca="1">VLOOKUP(B310,bond!B:AI,34,FALSE)</f>
        <v>#N/A</v>
      </c>
      <c r="T310" s="135" t="e">
        <f t="shared" ca="1" si="28"/>
        <v>#N/A</v>
      </c>
      <c r="U310" s="207" t="e">
        <f ca="1">IFERROR(VLOOKUP(T310,Bond_DES!D:E,2,FALSE),VLOOKUP(S310,bond!AI:AJ,2,FALSE))</f>
        <v>#N/A</v>
      </c>
      <c r="V310" s="136" t="e">
        <f ca="1">IFERROR(VLOOKUP(B310,'1_重設數據'!L:M,2,FALSE),IF(Q310="政府",IF(AD310&gt;16,"(NPI)非專投",IF(AD310&gt;10,"(PI)專投","高資產")),IF(VLOOKUP(B310,bond!B:AN,39,FALSE)="Y","(PI)專投",IF(AD310&gt;=15,"(NPI)非專投",IF(AD310&gt;=10,"(PI)專投","高資產")))))</f>
        <v>#N/A</v>
      </c>
      <c r="W310" s="136" t="e">
        <f ca="1">VLOOKUP(AD310,'credit rating'!$F$2:$H$22,3,FALSE)</f>
        <v>#N/A</v>
      </c>
      <c r="X310" s="136" t="e">
        <f t="shared" ca="1" si="29"/>
        <v>#N/A</v>
      </c>
      <c r="Y310" s="136" t="e">
        <f t="shared" ca="1" si="30"/>
        <v>#N/A</v>
      </c>
      <c r="Z310" s="136" t="e">
        <f t="shared" ca="1" si="31"/>
        <v>#N/A</v>
      </c>
      <c r="AA310" s="134">
        <f ca="1">IFERROR(VLOOKUP(X310,'credit rating'!A:C,3,FALSE),0)</f>
        <v>0</v>
      </c>
      <c r="AB310" s="134">
        <f ca="1">IFERROR(VLOOKUP(Y310,'credit rating'!B:C,2,FALSE),0)</f>
        <v>0</v>
      </c>
      <c r="AC310" s="136">
        <f ca="1">IFERROR(VLOOKUP(Z310,'credit rating'!B:C,2,FALSE),0)</f>
        <v>0</v>
      </c>
      <c r="AD310" s="136">
        <f t="shared" ca="1" si="32"/>
        <v>0</v>
      </c>
      <c r="AE310" s="249" t="str">
        <f ca="1">IFERROR(VLOOKUP(B310,bond!B:U,20,FALSE),"")</f>
        <v/>
      </c>
      <c r="AF310" s="136" t="e">
        <f ca="1">IF(VLOOKUP(B310,bond!B:AK,36,FALSE)="#N/A Field Not Applicable","",VLOOKUP(B310,bond!B:AK,36,FALSE))</f>
        <v>#N/A</v>
      </c>
      <c r="AG310" s="136" t="e">
        <f ca="1">IF(VLOOKUP(B310,bond!B:AL,37,FALSE)="FIXED","固定",IF(VLOOKUP(B310,bond!B:AL,37,FALSE)="FLOATING","浮動",IF(VLOOKUP(B310,bond!B:AL,37,FALSE)="VARIABLE","變動",IF(VLOOKUP(B310,bond!B:AL,37,FALSE)="FLAT TRADING","不含息交易",IF(VLOOKUP(B310,bond!B:AL,37,FALSE)="ZERO COUPON","零息",VLOOKUP(B310,bond!B:AL,37,FALSE))))))</f>
        <v>#N/A</v>
      </c>
      <c r="AH310" s="136" t="e">
        <f>VLOOKUP(C310,'2_Check_code'!I:J,2,FALSE)</f>
        <v>#N/A</v>
      </c>
      <c r="AI310" s="136" t="e">
        <f t="shared" ca="1" si="33"/>
        <v>#N/A</v>
      </c>
      <c r="AJ310" s="136" t="e">
        <f t="shared" ca="1" si="34"/>
        <v>#N/A</v>
      </c>
      <c r="AK310" s="594" t="e">
        <f ca="1">IF(VLOOKUP(B310,bond!B:S,18,FALSE)="是","有",IF(VLOOKUP(B310,bond!B:S,18,FALSE)="NO OFFER","無","需查詢"))</f>
        <v>#N/A</v>
      </c>
      <c r="AL310" s="136" t="e">
        <f>IF(VLOOKUP(A310,bond!F:AR,39,FALSE)="#N/A Field Not Applicable",VLOOKUP(A310,bond!F:AR,38,FALSE),IFERROR(VLOOKUP(A310,'7_發行日例外'!A:B,2,FALSE),VLOOKUP(A310,bond!F:AR,39,FALSE)))</f>
        <v>#N/A</v>
      </c>
      <c r="AM310" s="136" t="e">
        <f ca="1">VLOOKUP(B310,bond!B:AK,36,FALSE)</f>
        <v>#N/A</v>
      </c>
      <c r="AN310" s="136" t="str">
        <f ca="1">IFERROR(VLOOKUP(B310,'3_是否下架'!A:A,1,FALSE),"")</f>
        <v/>
      </c>
      <c r="AO310" s="136" t="e">
        <f ca="1">VLOOKUP(B310,bond!B:J,9,FALSE)</f>
        <v>#N/A</v>
      </c>
      <c r="AP310" s="136" t="e">
        <f ca="1">VLOOKUP(B310,bond!B:V,21,FALSE)</f>
        <v>#N/A</v>
      </c>
    </row>
    <row r="311" spans="1:42">
      <c r="A311" s="141">
        <f>bond!F312</f>
        <v>0</v>
      </c>
      <c r="B311" s="151">
        <f ca="1">IF($C$1=TRUE,bond!B312,"")</f>
        <v>0</v>
      </c>
      <c r="C311" s="95" t="e">
        <f>VLOOKUP(A311,bond!F:G,2,FALSE)</f>
        <v>#N/A</v>
      </c>
      <c r="D311" s="142" t="e">
        <f ca="1">VLOOKUP(B311,bond!B:C,2,FALSE)</f>
        <v>#N/A</v>
      </c>
      <c r="E311" s="95" t="e">
        <f ca="1">VLOOKUP(B311,bond!B:D,3,FALSE)</f>
        <v>#N/A</v>
      </c>
      <c r="F311" s="99" t="e">
        <f ca="1">VLOOKUP(B311,bond!B:AB,27,FALSE)</f>
        <v>#N/A</v>
      </c>
      <c r="G311" s="90" t="e">
        <f ca="1">VLOOKUP(B311,bond!B:E,4,FALSE)</f>
        <v>#N/A</v>
      </c>
      <c r="H311" s="202" t="e">
        <f ca="1">VLOOKUP(B311,bond!B:Y,24,FALSE)</f>
        <v>#N/A</v>
      </c>
      <c r="I311" s="95" t="e">
        <f ca="1">VLOOKUP(B311,bond!B:Z,25,FALSE)</f>
        <v>#N/A</v>
      </c>
      <c r="J311" s="180" t="e">
        <f ca="1">VLOOKUP(B311,bond!B:K,10,FALSE)</f>
        <v>#N/A</v>
      </c>
      <c r="K311" s="96" t="e">
        <f ca="1">VLOOKUP($B311,bond!B:S,14,FALSE)</f>
        <v>#N/A</v>
      </c>
      <c r="L311" s="91" t="e">
        <f ca="1">VLOOKUP(B311,bond!B:H,7,FALSE)</f>
        <v>#N/A</v>
      </c>
      <c r="M311" s="144" t="e">
        <f ca="1">VLOOKUP($B311,bond!$B:$Q,16,FALSE)</f>
        <v>#N/A</v>
      </c>
      <c r="N311" s="136" t="e">
        <f ca="1">VALUE(LEFT(VLOOKUP(B311,bond!B:R,17,FALSE),SEARCH(" ",VLOOKUP(B311,bond!B:R,17,FALSE),1)))</f>
        <v>#N/A</v>
      </c>
      <c r="O311" s="136" t="e">
        <f ca="1">VALUE(RIGHT(VLOOKUP(B311,bond!B:R,17,FALSE),LEN(VLOOKUP(B311,bond!B:R,17,FALSE))-LEN(N311)-3))</f>
        <v>#N/A</v>
      </c>
      <c r="P311" s="135" t="e">
        <f ca="1">VLOOKUP($B311,bond!$B:$AG,32,FALSE)</f>
        <v>#N/A</v>
      </c>
      <c r="Q311" s="135" t="e">
        <f ca="1">VLOOKUP($B311,bond!$B:$AH,33,FALSE)</f>
        <v>#N/A</v>
      </c>
      <c r="R311" s="135" t="e">
        <f ca="1">VLOOKUP(B311,bond!B:AA,26,FALSE)</f>
        <v>#N/A</v>
      </c>
      <c r="S311" s="135" t="e">
        <f ca="1">VLOOKUP(B311,bond!B:AI,34,FALSE)</f>
        <v>#N/A</v>
      </c>
      <c r="T311" s="135" t="e">
        <f t="shared" ca="1" si="28"/>
        <v>#N/A</v>
      </c>
      <c r="U311" s="207" t="e">
        <f ca="1">IFERROR(VLOOKUP(T311,Bond_DES!D:E,2,FALSE),VLOOKUP(S311,bond!AI:AJ,2,FALSE))</f>
        <v>#N/A</v>
      </c>
      <c r="V311" s="136" t="e">
        <f ca="1">IFERROR(VLOOKUP(B311,'1_重設數據'!L:M,2,FALSE),IF(Q311="政府",IF(AD311&gt;16,"(NPI)非專投",IF(AD311&gt;10,"(PI)專投","高資產")),IF(VLOOKUP(B311,bond!B:AN,39,FALSE)="Y","(PI)專投",IF(AD311&gt;=15,"(NPI)非專投",IF(AD311&gt;=10,"(PI)專投","高資產")))))</f>
        <v>#N/A</v>
      </c>
      <c r="W311" s="136" t="e">
        <f ca="1">VLOOKUP(AD311,'credit rating'!$F$2:$H$22,3,FALSE)</f>
        <v>#N/A</v>
      </c>
      <c r="X311" s="136" t="e">
        <f t="shared" ca="1" si="29"/>
        <v>#N/A</v>
      </c>
      <c r="Y311" s="136" t="e">
        <f t="shared" ca="1" si="30"/>
        <v>#N/A</v>
      </c>
      <c r="Z311" s="136" t="e">
        <f t="shared" ca="1" si="31"/>
        <v>#N/A</v>
      </c>
      <c r="AA311" s="134">
        <f ca="1">IFERROR(VLOOKUP(X311,'credit rating'!A:C,3,FALSE),0)</f>
        <v>0</v>
      </c>
      <c r="AB311" s="134">
        <f ca="1">IFERROR(VLOOKUP(Y311,'credit rating'!B:C,2,FALSE),0)</f>
        <v>0</v>
      </c>
      <c r="AC311" s="136">
        <f ca="1">IFERROR(VLOOKUP(Z311,'credit rating'!B:C,2,FALSE),0)</f>
        <v>0</v>
      </c>
      <c r="AD311" s="136">
        <f t="shared" ca="1" si="32"/>
        <v>0</v>
      </c>
      <c r="AE311" s="249" t="str">
        <f ca="1">IFERROR(VLOOKUP(B311,bond!B:U,20,FALSE),"")</f>
        <v/>
      </c>
      <c r="AF311" s="136" t="e">
        <f ca="1">IF(VLOOKUP(B311,bond!B:AK,36,FALSE)="#N/A Field Not Applicable","",VLOOKUP(B311,bond!B:AK,36,FALSE))</f>
        <v>#N/A</v>
      </c>
      <c r="AG311" s="136" t="e">
        <f ca="1">IF(VLOOKUP(B311,bond!B:AL,37,FALSE)="FIXED","固定",IF(VLOOKUP(B311,bond!B:AL,37,FALSE)="FLOATING","浮動",IF(VLOOKUP(B311,bond!B:AL,37,FALSE)="VARIABLE","變動",IF(VLOOKUP(B311,bond!B:AL,37,FALSE)="FLAT TRADING","不含息交易",IF(VLOOKUP(B311,bond!B:AL,37,FALSE)="ZERO COUPON","零息",VLOOKUP(B311,bond!B:AL,37,FALSE))))))</f>
        <v>#N/A</v>
      </c>
      <c r="AH311" s="136" t="e">
        <f>VLOOKUP(C311,'2_Check_code'!I:J,2,FALSE)</f>
        <v>#N/A</v>
      </c>
      <c r="AI311" s="136" t="e">
        <f t="shared" ca="1" si="33"/>
        <v>#N/A</v>
      </c>
      <c r="AJ311" s="136" t="e">
        <f t="shared" ca="1" si="34"/>
        <v>#N/A</v>
      </c>
      <c r="AK311" s="594" t="e">
        <f ca="1">IF(VLOOKUP(B311,bond!B:S,18,FALSE)="是","有",IF(VLOOKUP(B311,bond!B:S,18,FALSE)="NO OFFER","無","需查詢"))</f>
        <v>#N/A</v>
      </c>
      <c r="AL311" s="136" t="e">
        <f>IF(VLOOKUP(A311,bond!F:AR,39,FALSE)="#N/A Field Not Applicable",VLOOKUP(A311,bond!F:AR,38,FALSE),IFERROR(VLOOKUP(A311,'7_發行日例外'!A:B,2,FALSE),VLOOKUP(A311,bond!F:AR,39,FALSE)))</f>
        <v>#N/A</v>
      </c>
      <c r="AM311" s="136" t="e">
        <f ca="1">VLOOKUP(B311,bond!B:AK,36,FALSE)</f>
        <v>#N/A</v>
      </c>
      <c r="AN311" s="136" t="str">
        <f ca="1">IFERROR(VLOOKUP(B311,'3_是否下架'!A:A,1,FALSE),"")</f>
        <v/>
      </c>
      <c r="AO311" s="136" t="e">
        <f ca="1">VLOOKUP(B311,bond!B:J,9,FALSE)</f>
        <v>#N/A</v>
      </c>
      <c r="AP311" s="136" t="e">
        <f ca="1">VLOOKUP(B311,bond!B:V,21,FALSE)</f>
        <v>#N/A</v>
      </c>
    </row>
    <row r="312" spans="1:42">
      <c r="A312" s="141">
        <f>bond!F313</f>
        <v>0</v>
      </c>
      <c r="B312" s="151">
        <f ca="1">IF($C$1=TRUE,bond!B313,"")</f>
        <v>0</v>
      </c>
      <c r="C312" s="95" t="e">
        <f>VLOOKUP(A312,bond!F:G,2,FALSE)</f>
        <v>#N/A</v>
      </c>
      <c r="D312" s="142" t="e">
        <f ca="1">VLOOKUP(B312,bond!B:C,2,FALSE)</f>
        <v>#N/A</v>
      </c>
      <c r="E312" s="95" t="e">
        <f ca="1">VLOOKUP(B312,bond!B:D,3,FALSE)</f>
        <v>#N/A</v>
      </c>
      <c r="F312" s="99" t="e">
        <f ca="1">VLOOKUP(B312,bond!B:AB,27,FALSE)</f>
        <v>#N/A</v>
      </c>
      <c r="G312" s="90" t="e">
        <f ca="1">VLOOKUP(B312,bond!B:E,4,FALSE)</f>
        <v>#N/A</v>
      </c>
      <c r="H312" s="202" t="e">
        <f ca="1">VLOOKUP(B312,bond!B:Y,24,FALSE)</f>
        <v>#N/A</v>
      </c>
      <c r="I312" s="95" t="e">
        <f ca="1">VLOOKUP(B312,bond!B:Z,25,FALSE)</f>
        <v>#N/A</v>
      </c>
      <c r="J312" s="180" t="e">
        <f ca="1">VLOOKUP(B312,bond!B:K,10,FALSE)</f>
        <v>#N/A</v>
      </c>
      <c r="K312" s="96" t="e">
        <f ca="1">VLOOKUP($B312,bond!B:S,14,FALSE)</f>
        <v>#N/A</v>
      </c>
      <c r="L312" s="91" t="e">
        <f ca="1">VLOOKUP(B312,bond!B:H,7,FALSE)</f>
        <v>#N/A</v>
      </c>
      <c r="M312" s="144" t="e">
        <f ca="1">VLOOKUP($B312,bond!$B:$Q,16,FALSE)</f>
        <v>#N/A</v>
      </c>
      <c r="N312" s="136" t="e">
        <f ca="1">VALUE(LEFT(VLOOKUP(B312,bond!B:R,17,FALSE),SEARCH(" ",VLOOKUP(B312,bond!B:R,17,FALSE),1)))</f>
        <v>#N/A</v>
      </c>
      <c r="O312" s="136" t="e">
        <f ca="1">VALUE(RIGHT(VLOOKUP(B312,bond!B:R,17,FALSE),LEN(VLOOKUP(B312,bond!B:R,17,FALSE))-LEN(N312)-3))</f>
        <v>#N/A</v>
      </c>
      <c r="P312" s="135" t="e">
        <f ca="1">VLOOKUP($B312,bond!$B:$AG,32,FALSE)</f>
        <v>#N/A</v>
      </c>
      <c r="Q312" s="135" t="e">
        <f ca="1">VLOOKUP($B312,bond!$B:$AH,33,FALSE)</f>
        <v>#N/A</v>
      </c>
      <c r="R312" s="135" t="e">
        <f ca="1">VLOOKUP(B312,bond!B:AA,26,FALSE)</f>
        <v>#N/A</v>
      </c>
      <c r="S312" s="135" t="e">
        <f ca="1">VLOOKUP(B312,bond!B:AI,34,FALSE)</f>
        <v>#N/A</v>
      </c>
      <c r="T312" s="135" t="e">
        <f t="shared" ca="1" si="28"/>
        <v>#N/A</v>
      </c>
      <c r="U312" s="207" t="e">
        <f ca="1">IFERROR(VLOOKUP(T312,Bond_DES!D:E,2,FALSE),VLOOKUP(S312,bond!AI:AJ,2,FALSE))</f>
        <v>#N/A</v>
      </c>
      <c r="V312" s="136" t="e">
        <f ca="1">IFERROR(VLOOKUP(B312,'1_重設數據'!L:M,2,FALSE),IF(Q312="政府",IF(AD312&gt;16,"(NPI)非專投",IF(AD312&gt;10,"(PI)專投","高資產")),IF(VLOOKUP(B312,bond!B:AN,39,FALSE)="Y","(PI)專投",IF(AD312&gt;=15,"(NPI)非專投",IF(AD312&gt;=10,"(PI)專投","高資產")))))</f>
        <v>#N/A</v>
      </c>
      <c r="W312" s="136" t="e">
        <f ca="1">VLOOKUP(AD312,'credit rating'!$F$2:$H$22,3,FALSE)</f>
        <v>#N/A</v>
      </c>
      <c r="X312" s="136" t="e">
        <f t="shared" ca="1" si="29"/>
        <v>#N/A</v>
      </c>
      <c r="Y312" s="136" t="e">
        <f t="shared" ca="1" si="30"/>
        <v>#N/A</v>
      </c>
      <c r="Z312" s="136" t="e">
        <f t="shared" ca="1" si="31"/>
        <v>#N/A</v>
      </c>
      <c r="AA312" s="134">
        <f ca="1">IFERROR(VLOOKUP(X312,'credit rating'!A:C,3,FALSE),0)</f>
        <v>0</v>
      </c>
      <c r="AB312" s="134">
        <f ca="1">IFERROR(VLOOKUP(Y312,'credit rating'!B:C,2,FALSE),0)</f>
        <v>0</v>
      </c>
      <c r="AC312" s="136">
        <f ca="1">IFERROR(VLOOKUP(Z312,'credit rating'!B:C,2,FALSE),0)</f>
        <v>0</v>
      </c>
      <c r="AD312" s="136">
        <f t="shared" ca="1" si="32"/>
        <v>0</v>
      </c>
      <c r="AE312" s="249" t="str">
        <f ca="1">IFERROR(VLOOKUP(B312,bond!B:U,20,FALSE),"")</f>
        <v/>
      </c>
      <c r="AF312" s="136" t="e">
        <f ca="1">IF(VLOOKUP(B312,bond!B:AK,36,FALSE)="#N/A Field Not Applicable","",VLOOKUP(B312,bond!B:AK,36,FALSE))</f>
        <v>#N/A</v>
      </c>
      <c r="AG312" s="136" t="e">
        <f ca="1">IF(VLOOKUP(B312,bond!B:AL,37,FALSE)="FIXED","固定",IF(VLOOKUP(B312,bond!B:AL,37,FALSE)="FLOATING","浮動",IF(VLOOKUP(B312,bond!B:AL,37,FALSE)="VARIABLE","變動",IF(VLOOKUP(B312,bond!B:AL,37,FALSE)="FLAT TRADING","不含息交易",IF(VLOOKUP(B312,bond!B:AL,37,FALSE)="ZERO COUPON","零息",VLOOKUP(B312,bond!B:AL,37,FALSE))))))</f>
        <v>#N/A</v>
      </c>
      <c r="AH312" s="136" t="e">
        <f>VLOOKUP(C312,'2_Check_code'!I:J,2,FALSE)</f>
        <v>#N/A</v>
      </c>
      <c r="AI312" s="136" t="e">
        <f t="shared" ca="1" si="33"/>
        <v>#N/A</v>
      </c>
      <c r="AJ312" s="136" t="e">
        <f t="shared" ca="1" si="34"/>
        <v>#N/A</v>
      </c>
      <c r="AK312" s="594" t="e">
        <f ca="1">IF(VLOOKUP(B312,bond!B:S,18,FALSE)="是","有",IF(VLOOKUP(B312,bond!B:S,18,FALSE)="NO OFFER","無","需查詢"))</f>
        <v>#N/A</v>
      </c>
      <c r="AL312" s="136" t="e">
        <f>IF(VLOOKUP(A312,bond!F:AR,39,FALSE)="#N/A Field Not Applicable",VLOOKUP(A312,bond!F:AR,38,FALSE),IFERROR(VLOOKUP(A312,'7_發行日例外'!A:B,2,FALSE),VLOOKUP(A312,bond!F:AR,39,FALSE)))</f>
        <v>#N/A</v>
      </c>
      <c r="AM312" s="136" t="e">
        <f ca="1">VLOOKUP(B312,bond!B:AK,36,FALSE)</f>
        <v>#N/A</v>
      </c>
      <c r="AN312" s="136" t="str">
        <f ca="1">IFERROR(VLOOKUP(B312,'3_是否下架'!A:A,1,FALSE),"")</f>
        <v/>
      </c>
      <c r="AO312" s="136" t="e">
        <f ca="1">VLOOKUP(B312,bond!B:J,9,FALSE)</f>
        <v>#N/A</v>
      </c>
      <c r="AP312" s="136" t="e">
        <f ca="1">VLOOKUP(B312,bond!B:V,21,FALSE)</f>
        <v>#N/A</v>
      </c>
    </row>
    <row r="313" spans="1:42">
      <c r="A313" s="141">
        <f>bond!F314</f>
        <v>0</v>
      </c>
      <c r="B313" s="151">
        <f ca="1">IF($C$1=TRUE,bond!B314,"")</f>
        <v>0</v>
      </c>
      <c r="C313" s="95" t="e">
        <f>VLOOKUP(A313,bond!F:G,2,FALSE)</f>
        <v>#N/A</v>
      </c>
      <c r="D313" s="142" t="e">
        <f ca="1">VLOOKUP(B313,bond!B:C,2,FALSE)</f>
        <v>#N/A</v>
      </c>
      <c r="E313" s="95" t="e">
        <f ca="1">VLOOKUP(B313,bond!B:D,3,FALSE)</f>
        <v>#N/A</v>
      </c>
      <c r="F313" s="99" t="e">
        <f ca="1">VLOOKUP(B313,bond!B:AB,27,FALSE)</f>
        <v>#N/A</v>
      </c>
      <c r="G313" s="90" t="e">
        <f ca="1">VLOOKUP(B313,bond!B:E,4,FALSE)</f>
        <v>#N/A</v>
      </c>
      <c r="H313" s="202" t="e">
        <f ca="1">VLOOKUP(B313,bond!B:Y,24,FALSE)</f>
        <v>#N/A</v>
      </c>
      <c r="I313" s="95" t="e">
        <f ca="1">VLOOKUP(B313,bond!B:Z,25,FALSE)</f>
        <v>#N/A</v>
      </c>
      <c r="J313" s="180" t="e">
        <f ca="1">VLOOKUP(B313,bond!B:K,10,FALSE)</f>
        <v>#N/A</v>
      </c>
      <c r="K313" s="96" t="e">
        <f ca="1">VLOOKUP($B313,bond!B:S,14,FALSE)</f>
        <v>#N/A</v>
      </c>
      <c r="L313" s="91" t="e">
        <f ca="1">VLOOKUP(B313,bond!B:H,7,FALSE)</f>
        <v>#N/A</v>
      </c>
      <c r="M313" s="144" t="e">
        <f ca="1">VLOOKUP($B313,bond!$B:$Q,16,FALSE)</f>
        <v>#N/A</v>
      </c>
      <c r="N313" s="136" t="e">
        <f ca="1">VALUE(LEFT(VLOOKUP(B313,bond!B:R,17,FALSE),SEARCH(" ",VLOOKUP(B313,bond!B:R,17,FALSE),1)))</f>
        <v>#N/A</v>
      </c>
      <c r="O313" s="136" t="e">
        <f ca="1">VALUE(RIGHT(VLOOKUP(B313,bond!B:R,17,FALSE),LEN(VLOOKUP(B313,bond!B:R,17,FALSE))-LEN(N313)-3))</f>
        <v>#N/A</v>
      </c>
      <c r="P313" s="135" t="e">
        <f ca="1">VLOOKUP($B313,bond!$B:$AG,32,FALSE)</f>
        <v>#N/A</v>
      </c>
      <c r="Q313" s="135" t="e">
        <f ca="1">VLOOKUP($B313,bond!$B:$AH,33,FALSE)</f>
        <v>#N/A</v>
      </c>
      <c r="R313" s="135" t="e">
        <f ca="1">VLOOKUP(B313,bond!B:AA,26,FALSE)</f>
        <v>#N/A</v>
      </c>
      <c r="S313" s="135" t="e">
        <f ca="1">VLOOKUP(B313,bond!B:AI,34,FALSE)</f>
        <v>#N/A</v>
      </c>
      <c r="T313" s="135" t="e">
        <f t="shared" ca="1" si="28"/>
        <v>#N/A</v>
      </c>
      <c r="U313" s="207" t="e">
        <f ca="1">IFERROR(VLOOKUP(T313,Bond_DES!D:E,2,FALSE),VLOOKUP(S313,bond!AI:AJ,2,FALSE))</f>
        <v>#N/A</v>
      </c>
      <c r="V313" s="136" t="e">
        <f ca="1">IFERROR(VLOOKUP(B313,'1_重設數據'!L:M,2,FALSE),IF(Q313="政府",IF(AD313&gt;16,"(NPI)非專投",IF(AD313&gt;10,"(PI)專投","高資產")),IF(VLOOKUP(B313,bond!B:AN,39,FALSE)="Y","(PI)專投",IF(AD313&gt;=15,"(NPI)非專投",IF(AD313&gt;=10,"(PI)專投","高資產")))))</f>
        <v>#N/A</v>
      </c>
      <c r="W313" s="136" t="e">
        <f ca="1">VLOOKUP(AD313,'credit rating'!$F$2:$H$22,3,FALSE)</f>
        <v>#N/A</v>
      </c>
      <c r="X313" s="136" t="e">
        <f t="shared" ca="1" si="29"/>
        <v>#N/A</v>
      </c>
      <c r="Y313" s="136" t="e">
        <f t="shared" ca="1" si="30"/>
        <v>#N/A</v>
      </c>
      <c r="Z313" s="136" t="e">
        <f t="shared" ca="1" si="31"/>
        <v>#N/A</v>
      </c>
      <c r="AA313" s="134">
        <f ca="1">IFERROR(VLOOKUP(X313,'credit rating'!A:C,3,FALSE),0)</f>
        <v>0</v>
      </c>
      <c r="AB313" s="134">
        <f ca="1">IFERROR(VLOOKUP(Y313,'credit rating'!B:C,2,FALSE),0)</f>
        <v>0</v>
      </c>
      <c r="AC313" s="136">
        <f ca="1">IFERROR(VLOOKUP(Z313,'credit rating'!B:C,2,FALSE),0)</f>
        <v>0</v>
      </c>
      <c r="AD313" s="136">
        <f t="shared" ca="1" si="32"/>
        <v>0</v>
      </c>
      <c r="AE313" s="249" t="str">
        <f ca="1">IFERROR(VLOOKUP(B313,bond!B:U,20,FALSE),"")</f>
        <v/>
      </c>
      <c r="AF313" s="136" t="e">
        <f ca="1">IF(VLOOKUP(B313,bond!B:AK,36,FALSE)="#N/A Field Not Applicable","",VLOOKUP(B313,bond!B:AK,36,FALSE))</f>
        <v>#N/A</v>
      </c>
      <c r="AG313" s="136" t="e">
        <f ca="1">IF(VLOOKUP(B313,bond!B:AL,37,FALSE)="FIXED","固定",IF(VLOOKUP(B313,bond!B:AL,37,FALSE)="FLOATING","浮動",IF(VLOOKUP(B313,bond!B:AL,37,FALSE)="VARIABLE","變動",IF(VLOOKUP(B313,bond!B:AL,37,FALSE)="FLAT TRADING","不含息交易",IF(VLOOKUP(B313,bond!B:AL,37,FALSE)="ZERO COUPON","零息",VLOOKUP(B313,bond!B:AL,37,FALSE))))))</f>
        <v>#N/A</v>
      </c>
      <c r="AH313" s="136" t="e">
        <f>VLOOKUP(C313,'2_Check_code'!I:J,2,FALSE)</f>
        <v>#N/A</v>
      </c>
      <c r="AI313" s="136" t="e">
        <f t="shared" ca="1" si="33"/>
        <v>#N/A</v>
      </c>
      <c r="AJ313" s="136" t="e">
        <f t="shared" ca="1" si="34"/>
        <v>#N/A</v>
      </c>
      <c r="AK313" s="594" t="e">
        <f ca="1">IF(VLOOKUP(B313,bond!B:S,18,FALSE)="是","有",IF(VLOOKUP(B313,bond!B:S,18,FALSE)="NO OFFER","無","需查詢"))</f>
        <v>#N/A</v>
      </c>
      <c r="AL313" s="136" t="e">
        <f>IF(VLOOKUP(A313,bond!F:AR,39,FALSE)="#N/A Field Not Applicable",VLOOKUP(A313,bond!F:AR,38,FALSE),IFERROR(VLOOKUP(A313,'7_發行日例外'!A:B,2,FALSE),VLOOKUP(A313,bond!F:AR,39,FALSE)))</f>
        <v>#N/A</v>
      </c>
      <c r="AM313" s="136" t="e">
        <f ca="1">VLOOKUP(B313,bond!B:AK,36,FALSE)</f>
        <v>#N/A</v>
      </c>
      <c r="AN313" s="136" t="str">
        <f ca="1">IFERROR(VLOOKUP(B313,'3_是否下架'!A:A,1,FALSE),"")</f>
        <v/>
      </c>
      <c r="AO313" s="136" t="e">
        <f ca="1">VLOOKUP(B313,bond!B:J,9,FALSE)</f>
        <v>#N/A</v>
      </c>
      <c r="AP313" s="136" t="e">
        <f ca="1">VLOOKUP(B313,bond!B:V,21,FALSE)</f>
        <v>#N/A</v>
      </c>
    </row>
    <row r="314" spans="1:42">
      <c r="A314" s="141">
        <f>bond!F315</f>
        <v>0</v>
      </c>
      <c r="B314" s="151">
        <f ca="1">IF($C$1=TRUE,bond!B315,"")</f>
        <v>0</v>
      </c>
      <c r="C314" s="95" t="e">
        <f>VLOOKUP(A314,bond!F:G,2,FALSE)</f>
        <v>#N/A</v>
      </c>
      <c r="D314" s="142" t="e">
        <f ca="1">VLOOKUP(B314,bond!B:C,2,FALSE)</f>
        <v>#N/A</v>
      </c>
      <c r="E314" s="95" t="e">
        <f ca="1">VLOOKUP(B314,bond!B:D,3,FALSE)</f>
        <v>#N/A</v>
      </c>
      <c r="F314" s="99" t="e">
        <f ca="1">VLOOKUP(B314,bond!B:AB,27,FALSE)</f>
        <v>#N/A</v>
      </c>
      <c r="G314" s="90" t="e">
        <f ca="1">VLOOKUP(B314,bond!B:E,4,FALSE)</f>
        <v>#N/A</v>
      </c>
      <c r="H314" s="202" t="e">
        <f ca="1">VLOOKUP(B314,bond!B:Y,24,FALSE)</f>
        <v>#N/A</v>
      </c>
      <c r="I314" s="95" t="e">
        <f ca="1">VLOOKUP(B314,bond!B:Z,25,FALSE)</f>
        <v>#N/A</v>
      </c>
      <c r="J314" s="180" t="e">
        <f ca="1">VLOOKUP(B314,bond!B:K,10,FALSE)</f>
        <v>#N/A</v>
      </c>
      <c r="K314" s="96" t="e">
        <f ca="1">VLOOKUP($B314,bond!B:S,14,FALSE)</f>
        <v>#N/A</v>
      </c>
      <c r="L314" s="91" t="e">
        <f ca="1">VLOOKUP(B314,bond!B:H,7,FALSE)</f>
        <v>#N/A</v>
      </c>
      <c r="M314" s="144" t="e">
        <f ca="1">VLOOKUP($B314,bond!$B:$Q,16,FALSE)</f>
        <v>#N/A</v>
      </c>
      <c r="N314" s="136" t="e">
        <f ca="1">VALUE(LEFT(VLOOKUP(B314,bond!B:R,17,FALSE),SEARCH(" ",VLOOKUP(B314,bond!B:R,17,FALSE),1)))</f>
        <v>#N/A</v>
      </c>
      <c r="O314" s="136" t="e">
        <f ca="1">VALUE(RIGHT(VLOOKUP(B314,bond!B:R,17,FALSE),LEN(VLOOKUP(B314,bond!B:R,17,FALSE))-LEN(N314)-3))</f>
        <v>#N/A</v>
      </c>
      <c r="P314" s="135" t="e">
        <f ca="1">VLOOKUP($B314,bond!$B:$AG,32,FALSE)</f>
        <v>#N/A</v>
      </c>
      <c r="Q314" s="135" t="e">
        <f ca="1">VLOOKUP($B314,bond!$B:$AH,33,FALSE)</f>
        <v>#N/A</v>
      </c>
      <c r="R314" s="135" t="e">
        <f ca="1">VLOOKUP(B314,bond!B:AA,26,FALSE)</f>
        <v>#N/A</v>
      </c>
      <c r="S314" s="135" t="e">
        <f ca="1">VLOOKUP(B314,bond!B:AI,34,FALSE)</f>
        <v>#N/A</v>
      </c>
      <c r="T314" s="135" t="e">
        <f t="shared" ca="1" si="28"/>
        <v>#N/A</v>
      </c>
      <c r="U314" s="207" t="e">
        <f ca="1">IFERROR(VLOOKUP(T314,Bond_DES!D:E,2,FALSE),VLOOKUP(S314,bond!AI:AJ,2,FALSE))</f>
        <v>#N/A</v>
      </c>
      <c r="V314" s="136" t="e">
        <f ca="1">IFERROR(VLOOKUP(B314,'1_重設數據'!L:M,2,FALSE),IF(Q314="政府",IF(AD314&gt;16,"(NPI)非專投",IF(AD314&gt;10,"(PI)專投","高資產")),IF(VLOOKUP(B314,bond!B:AN,39,FALSE)="Y","(PI)專投",IF(AD314&gt;=15,"(NPI)非專投",IF(AD314&gt;=10,"(PI)專投","高資產")))))</f>
        <v>#N/A</v>
      </c>
      <c r="W314" s="136" t="e">
        <f ca="1">VLOOKUP(AD314,'credit rating'!$F$2:$H$22,3,FALSE)</f>
        <v>#N/A</v>
      </c>
      <c r="X314" s="136" t="e">
        <f t="shared" ca="1" si="29"/>
        <v>#N/A</v>
      </c>
      <c r="Y314" s="136" t="e">
        <f t="shared" ca="1" si="30"/>
        <v>#N/A</v>
      </c>
      <c r="Z314" s="136" t="e">
        <f t="shared" ca="1" si="31"/>
        <v>#N/A</v>
      </c>
      <c r="AA314" s="134">
        <f ca="1">IFERROR(VLOOKUP(X314,'credit rating'!A:C,3,FALSE),0)</f>
        <v>0</v>
      </c>
      <c r="AB314" s="134">
        <f ca="1">IFERROR(VLOOKUP(Y314,'credit rating'!B:C,2,FALSE),0)</f>
        <v>0</v>
      </c>
      <c r="AC314" s="136">
        <f ca="1">IFERROR(VLOOKUP(Z314,'credit rating'!B:C,2,FALSE),0)</f>
        <v>0</v>
      </c>
      <c r="AD314" s="136">
        <f t="shared" ca="1" si="32"/>
        <v>0</v>
      </c>
      <c r="AE314" s="249" t="str">
        <f ca="1">IFERROR(VLOOKUP(B314,bond!B:U,20,FALSE),"")</f>
        <v/>
      </c>
      <c r="AF314" s="136" t="e">
        <f ca="1">IF(VLOOKUP(B314,bond!B:AK,36,FALSE)="#N/A Field Not Applicable","",VLOOKUP(B314,bond!B:AK,36,FALSE))</f>
        <v>#N/A</v>
      </c>
      <c r="AG314" s="136" t="e">
        <f ca="1">IF(VLOOKUP(B314,bond!B:AL,37,FALSE)="FIXED","固定",IF(VLOOKUP(B314,bond!B:AL,37,FALSE)="FLOATING","浮動",IF(VLOOKUP(B314,bond!B:AL,37,FALSE)="VARIABLE","變動",IF(VLOOKUP(B314,bond!B:AL,37,FALSE)="FLAT TRADING","不含息交易",IF(VLOOKUP(B314,bond!B:AL,37,FALSE)="ZERO COUPON","零息",VLOOKUP(B314,bond!B:AL,37,FALSE))))))</f>
        <v>#N/A</v>
      </c>
      <c r="AH314" s="136" t="e">
        <f>VLOOKUP(C314,'2_Check_code'!I:J,2,FALSE)</f>
        <v>#N/A</v>
      </c>
      <c r="AI314" s="136" t="e">
        <f t="shared" ca="1" si="33"/>
        <v>#N/A</v>
      </c>
      <c r="AJ314" s="136" t="e">
        <f t="shared" ca="1" si="34"/>
        <v>#N/A</v>
      </c>
      <c r="AK314" s="594" t="e">
        <f ca="1">IF(VLOOKUP(B314,bond!B:S,18,FALSE)="是","有",IF(VLOOKUP(B314,bond!B:S,18,FALSE)="NO OFFER","無","需查詢"))</f>
        <v>#N/A</v>
      </c>
      <c r="AL314" s="136" t="e">
        <f>IF(VLOOKUP(A314,bond!F:AR,39,FALSE)="#N/A Field Not Applicable",VLOOKUP(A314,bond!F:AR,38,FALSE),IFERROR(VLOOKUP(A314,'7_發行日例外'!A:B,2,FALSE),VLOOKUP(A314,bond!F:AR,39,FALSE)))</f>
        <v>#N/A</v>
      </c>
      <c r="AM314" s="136" t="e">
        <f ca="1">VLOOKUP(B314,bond!B:AK,36,FALSE)</f>
        <v>#N/A</v>
      </c>
      <c r="AN314" s="136" t="str">
        <f ca="1">IFERROR(VLOOKUP(B314,'3_是否下架'!A:A,1,FALSE),"")</f>
        <v/>
      </c>
      <c r="AO314" s="136" t="e">
        <f ca="1">VLOOKUP(B314,bond!B:J,9,FALSE)</f>
        <v>#N/A</v>
      </c>
      <c r="AP314" s="136" t="e">
        <f ca="1">VLOOKUP(B314,bond!B:V,21,FALSE)</f>
        <v>#N/A</v>
      </c>
    </row>
    <row r="315" spans="1:42">
      <c r="A315" s="141">
        <f>bond!F316</f>
        <v>0</v>
      </c>
      <c r="B315" s="151">
        <f ca="1">IF($C$1=TRUE,bond!B316,"")</f>
        <v>0</v>
      </c>
      <c r="C315" s="95" t="e">
        <f>VLOOKUP(A315,bond!F:G,2,FALSE)</f>
        <v>#N/A</v>
      </c>
      <c r="D315" s="142" t="e">
        <f ca="1">VLOOKUP(B315,bond!B:C,2,FALSE)</f>
        <v>#N/A</v>
      </c>
      <c r="E315" s="95" t="e">
        <f ca="1">VLOOKUP(B315,bond!B:D,3,FALSE)</f>
        <v>#N/A</v>
      </c>
      <c r="F315" s="99" t="e">
        <f ca="1">VLOOKUP(B315,bond!B:AB,27,FALSE)</f>
        <v>#N/A</v>
      </c>
      <c r="G315" s="90" t="e">
        <f ca="1">VLOOKUP(B315,bond!B:E,4,FALSE)</f>
        <v>#N/A</v>
      </c>
      <c r="H315" s="202" t="e">
        <f ca="1">VLOOKUP(B315,bond!B:Y,24,FALSE)</f>
        <v>#N/A</v>
      </c>
      <c r="I315" s="95" t="e">
        <f ca="1">VLOOKUP(B315,bond!B:Z,25,FALSE)</f>
        <v>#N/A</v>
      </c>
      <c r="J315" s="180" t="e">
        <f ca="1">VLOOKUP(B315,bond!B:K,10,FALSE)</f>
        <v>#N/A</v>
      </c>
      <c r="K315" s="96" t="e">
        <f ca="1">VLOOKUP($B315,bond!B:S,14,FALSE)</f>
        <v>#N/A</v>
      </c>
      <c r="L315" s="91" t="e">
        <f ca="1">VLOOKUP(B315,bond!B:H,7,FALSE)</f>
        <v>#N/A</v>
      </c>
      <c r="M315" s="144" t="e">
        <f ca="1">VLOOKUP($B315,bond!$B:$Q,16,FALSE)</f>
        <v>#N/A</v>
      </c>
      <c r="N315" s="136" t="e">
        <f ca="1">VALUE(LEFT(VLOOKUP(B315,bond!B:R,17,FALSE),SEARCH(" ",VLOOKUP(B315,bond!B:R,17,FALSE),1)))</f>
        <v>#N/A</v>
      </c>
      <c r="O315" s="136" t="e">
        <f ca="1">VALUE(RIGHT(VLOOKUP(B315,bond!B:R,17,FALSE),LEN(VLOOKUP(B315,bond!B:R,17,FALSE))-LEN(N315)-3))</f>
        <v>#N/A</v>
      </c>
      <c r="P315" s="135" t="e">
        <f ca="1">VLOOKUP($B315,bond!$B:$AG,32,FALSE)</f>
        <v>#N/A</v>
      </c>
      <c r="Q315" s="135" t="e">
        <f ca="1">VLOOKUP($B315,bond!$B:$AH,33,FALSE)</f>
        <v>#N/A</v>
      </c>
      <c r="R315" s="135" t="e">
        <f ca="1">VLOOKUP(B315,bond!B:AA,26,FALSE)</f>
        <v>#N/A</v>
      </c>
      <c r="S315" s="135" t="e">
        <f ca="1">VLOOKUP(B315,bond!B:AI,34,FALSE)</f>
        <v>#N/A</v>
      </c>
      <c r="T315" s="135" t="e">
        <f t="shared" ca="1" si="28"/>
        <v>#N/A</v>
      </c>
      <c r="U315" s="207" t="e">
        <f ca="1">IFERROR(VLOOKUP(T315,Bond_DES!D:E,2,FALSE),VLOOKUP(S315,bond!AI:AJ,2,FALSE))</f>
        <v>#N/A</v>
      </c>
      <c r="V315" s="136" t="e">
        <f ca="1">IFERROR(VLOOKUP(B315,'1_重設數據'!L:M,2,FALSE),IF(Q315="政府",IF(AD315&gt;16,"(NPI)非專投",IF(AD315&gt;10,"(PI)專投","高資產")),IF(VLOOKUP(B315,bond!B:AN,39,FALSE)="Y","(PI)專投",IF(AD315&gt;=15,"(NPI)非專投",IF(AD315&gt;=10,"(PI)專投","高資產")))))</f>
        <v>#N/A</v>
      </c>
      <c r="W315" s="136" t="e">
        <f ca="1">VLOOKUP(AD315,'credit rating'!$F$2:$H$22,3,FALSE)</f>
        <v>#N/A</v>
      </c>
      <c r="X315" s="136" t="e">
        <f t="shared" ca="1" si="29"/>
        <v>#N/A</v>
      </c>
      <c r="Y315" s="136" t="e">
        <f t="shared" ca="1" si="30"/>
        <v>#N/A</v>
      </c>
      <c r="Z315" s="136" t="e">
        <f t="shared" ca="1" si="31"/>
        <v>#N/A</v>
      </c>
      <c r="AA315" s="134">
        <f ca="1">IFERROR(VLOOKUP(X315,'credit rating'!A:C,3,FALSE),0)</f>
        <v>0</v>
      </c>
      <c r="AB315" s="134">
        <f ca="1">IFERROR(VLOOKUP(Y315,'credit rating'!B:C,2,FALSE),0)</f>
        <v>0</v>
      </c>
      <c r="AC315" s="136">
        <f ca="1">IFERROR(VLOOKUP(Z315,'credit rating'!B:C,2,FALSE),0)</f>
        <v>0</v>
      </c>
      <c r="AD315" s="136">
        <f t="shared" ca="1" si="32"/>
        <v>0</v>
      </c>
      <c r="AE315" s="249" t="str">
        <f ca="1">IFERROR(VLOOKUP(B315,bond!B:U,20,FALSE),"")</f>
        <v/>
      </c>
      <c r="AF315" s="136" t="e">
        <f ca="1">IF(VLOOKUP(B315,bond!B:AK,36,FALSE)="#N/A Field Not Applicable","",VLOOKUP(B315,bond!B:AK,36,FALSE))</f>
        <v>#N/A</v>
      </c>
      <c r="AG315" s="136" t="e">
        <f ca="1">IF(VLOOKUP(B315,bond!B:AL,37,FALSE)="FIXED","固定",IF(VLOOKUP(B315,bond!B:AL,37,FALSE)="FLOATING","浮動",IF(VLOOKUP(B315,bond!B:AL,37,FALSE)="VARIABLE","變動",IF(VLOOKUP(B315,bond!B:AL,37,FALSE)="FLAT TRADING","不含息交易",IF(VLOOKUP(B315,bond!B:AL,37,FALSE)="ZERO COUPON","零息",VLOOKUP(B315,bond!B:AL,37,FALSE))))))</f>
        <v>#N/A</v>
      </c>
      <c r="AH315" s="136" t="e">
        <f>VLOOKUP(C315,'2_Check_code'!I:J,2,FALSE)</f>
        <v>#N/A</v>
      </c>
      <c r="AI315" s="136" t="e">
        <f t="shared" ca="1" si="33"/>
        <v>#N/A</v>
      </c>
      <c r="AJ315" s="136" t="e">
        <f t="shared" ca="1" si="34"/>
        <v>#N/A</v>
      </c>
      <c r="AK315" s="594" t="e">
        <f ca="1">IF(VLOOKUP(B315,bond!B:S,18,FALSE)="是","有",IF(VLOOKUP(B315,bond!B:S,18,FALSE)="NO OFFER","無","需查詢"))</f>
        <v>#N/A</v>
      </c>
      <c r="AL315" s="136" t="e">
        <f>IF(VLOOKUP(A315,bond!F:AR,39,FALSE)="#N/A Field Not Applicable",VLOOKUP(A315,bond!F:AR,38,FALSE),IFERROR(VLOOKUP(A315,'7_發行日例外'!A:B,2,FALSE),VLOOKUP(A315,bond!F:AR,39,FALSE)))</f>
        <v>#N/A</v>
      </c>
      <c r="AM315" s="136" t="e">
        <f ca="1">VLOOKUP(B315,bond!B:AK,36,FALSE)</f>
        <v>#N/A</v>
      </c>
      <c r="AN315" s="136" t="str">
        <f ca="1">IFERROR(VLOOKUP(B315,'3_是否下架'!A:A,1,FALSE),"")</f>
        <v/>
      </c>
      <c r="AO315" s="136" t="e">
        <f ca="1">VLOOKUP(B315,bond!B:J,9,FALSE)</f>
        <v>#N/A</v>
      </c>
      <c r="AP315" s="136" t="e">
        <f ca="1">VLOOKUP(B315,bond!B:V,21,FALSE)</f>
        <v>#N/A</v>
      </c>
    </row>
    <row r="316" spans="1:42">
      <c r="A316" s="141">
        <f>bond!F317</f>
        <v>0</v>
      </c>
      <c r="B316" s="151">
        <f ca="1">IF($C$1=TRUE,bond!B317,"")</f>
        <v>0</v>
      </c>
      <c r="C316" s="95" t="e">
        <f>VLOOKUP(A316,bond!F:G,2,FALSE)</f>
        <v>#N/A</v>
      </c>
      <c r="D316" s="142" t="e">
        <f ca="1">VLOOKUP(B316,bond!B:C,2,FALSE)</f>
        <v>#N/A</v>
      </c>
      <c r="E316" s="95" t="e">
        <f ca="1">VLOOKUP(B316,bond!B:D,3,FALSE)</f>
        <v>#N/A</v>
      </c>
      <c r="F316" s="99" t="e">
        <f ca="1">VLOOKUP(B316,bond!B:AB,27,FALSE)</f>
        <v>#N/A</v>
      </c>
      <c r="G316" s="90" t="e">
        <f ca="1">VLOOKUP(B316,bond!B:E,4,FALSE)</f>
        <v>#N/A</v>
      </c>
      <c r="H316" s="202" t="e">
        <f ca="1">VLOOKUP(B316,bond!B:Y,24,FALSE)</f>
        <v>#N/A</v>
      </c>
      <c r="I316" s="95" t="e">
        <f ca="1">VLOOKUP(B316,bond!B:Z,25,FALSE)</f>
        <v>#N/A</v>
      </c>
      <c r="J316" s="180" t="e">
        <f ca="1">VLOOKUP(B316,bond!B:K,10,FALSE)</f>
        <v>#N/A</v>
      </c>
      <c r="K316" s="96" t="e">
        <f ca="1">VLOOKUP($B316,bond!B:S,14,FALSE)</f>
        <v>#N/A</v>
      </c>
      <c r="L316" s="91" t="e">
        <f ca="1">VLOOKUP(B316,bond!B:H,7,FALSE)</f>
        <v>#N/A</v>
      </c>
      <c r="M316" s="144" t="e">
        <f ca="1">VLOOKUP($B316,bond!$B:$Q,16,FALSE)</f>
        <v>#N/A</v>
      </c>
      <c r="N316" s="136" t="e">
        <f ca="1">VALUE(LEFT(VLOOKUP(B316,bond!B:R,17,FALSE),SEARCH(" ",VLOOKUP(B316,bond!B:R,17,FALSE),1)))</f>
        <v>#N/A</v>
      </c>
      <c r="O316" s="136" t="e">
        <f ca="1">VALUE(RIGHT(VLOOKUP(B316,bond!B:R,17,FALSE),LEN(VLOOKUP(B316,bond!B:R,17,FALSE))-LEN(N316)-3))</f>
        <v>#N/A</v>
      </c>
      <c r="P316" s="135" t="e">
        <f ca="1">VLOOKUP($B316,bond!$B:$AG,32,FALSE)</f>
        <v>#N/A</v>
      </c>
      <c r="Q316" s="135" t="e">
        <f ca="1">VLOOKUP($B316,bond!$B:$AH,33,FALSE)</f>
        <v>#N/A</v>
      </c>
      <c r="R316" s="135" t="e">
        <f ca="1">VLOOKUP(B316,bond!B:AA,26,FALSE)</f>
        <v>#N/A</v>
      </c>
      <c r="S316" s="135" t="e">
        <f ca="1">VLOOKUP(B316,bond!B:AI,34,FALSE)</f>
        <v>#N/A</v>
      </c>
      <c r="T316" s="135" t="e">
        <f t="shared" ca="1" si="28"/>
        <v>#N/A</v>
      </c>
      <c r="U316" s="207" t="e">
        <f ca="1">IFERROR(VLOOKUP(T316,Bond_DES!D:E,2,FALSE),VLOOKUP(S316,bond!AI:AJ,2,FALSE))</f>
        <v>#N/A</v>
      </c>
      <c r="V316" s="136" t="e">
        <f ca="1">IFERROR(VLOOKUP(B316,'1_重設數據'!L:M,2,FALSE),IF(Q316="政府",IF(AD316&gt;16,"(NPI)非專投",IF(AD316&gt;10,"(PI)專投","高資產")),IF(VLOOKUP(B316,bond!B:AN,39,FALSE)="Y","(PI)專投",IF(AD316&gt;=15,"(NPI)非專投",IF(AD316&gt;=10,"(PI)專投","高資產")))))</f>
        <v>#N/A</v>
      </c>
      <c r="W316" s="136" t="e">
        <f ca="1">VLOOKUP(AD316,'credit rating'!$F$2:$H$22,3,FALSE)</f>
        <v>#N/A</v>
      </c>
      <c r="X316" s="136" t="e">
        <f t="shared" ca="1" si="29"/>
        <v>#N/A</v>
      </c>
      <c r="Y316" s="136" t="e">
        <f t="shared" ca="1" si="30"/>
        <v>#N/A</v>
      </c>
      <c r="Z316" s="136" t="e">
        <f t="shared" ca="1" si="31"/>
        <v>#N/A</v>
      </c>
      <c r="AA316" s="134">
        <f ca="1">IFERROR(VLOOKUP(X316,'credit rating'!A:C,3,FALSE),0)</f>
        <v>0</v>
      </c>
      <c r="AB316" s="134">
        <f ca="1">IFERROR(VLOOKUP(Y316,'credit rating'!B:C,2,FALSE),0)</f>
        <v>0</v>
      </c>
      <c r="AC316" s="136">
        <f ca="1">IFERROR(VLOOKUP(Z316,'credit rating'!B:C,2,FALSE),0)</f>
        <v>0</v>
      </c>
      <c r="AD316" s="136">
        <f t="shared" ca="1" si="32"/>
        <v>0</v>
      </c>
      <c r="AE316" s="249" t="str">
        <f ca="1">IFERROR(VLOOKUP(B316,bond!B:U,20,FALSE),"")</f>
        <v/>
      </c>
      <c r="AF316" s="136" t="e">
        <f ca="1">IF(VLOOKUP(B316,bond!B:AK,36,FALSE)="#N/A Field Not Applicable","",VLOOKUP(B316,bond!B:AK,36,FALSE))</f>
        <v>#N/A</v>
      </c>
      <c r="AG316" s="136" t="e">
        <f ca="1">IF(VLOOKUP(B316,bond!B:AL,37,FALSE)="FIXED","固定",IF(VLOOKUP(B316,bond!B:AL,37,FALSE)="FLOATING","浮動",IF(VLOOKUP(B316,bond!B:AL,37,FALSE)="VARIABLE","變動",IF(VLOOKUP(B316,bond!B:AL,37,FALSE)="FLAT TRADING","不含息交易",IF(VLOOKUP(B316,bond!B:AL,37,FALSE)="ZERO COUPON","零息",VLOOKUP(B316,bond!B:AL,37,FALSE))))))</f>
        <v>#N/A</v>
      </c>
      <c r="AH316" s="136" t="e">
        <f>VLOOKUP(C316,'2_Check_code'!I:J,2,FALSE)</f>
        <v>#N/A</v>
      </c>
      <c r="AI316" s="136" t="e">
        <f t="shared" ca="1" si="33"/>
        <v>#N/A</v>
      </c>
      <c r="AJ316" s="136" t="e">
        <f t="shared" ca="1" si="34"/>
        <v>#N/A</v>
      </c>
      <c r="AK316" s="594" t="e">
        <f ca="1">IF(VLOOKUP(B316,bond!B:S,18,FALSE)="是","有",IF(VLOOKUP(B316,bond!B:S,18,FALSE)="NO OFFER","無","需查詢"))</f>
        <v>#N/A</v>
      </c>
      <c r="AL316" s="136" t="e">
        <f>IF(VLOOKUP(A316,bond!F:AR,39,FALSE)="#N/A Field Not Applicable",VLOOKUP(A316,bond!F:AR,38,FALSE),IFERROR(VLOOKUP(A316,'7_發行日例外'!A:B,2,FALSE),VLOOKUP(A316,bond!F:AR,39,FALSE)))</f>
        <v>#N/A</v>
      </c>
      <c r="AM316" s="136" t="e">
        <f ca="1">VLOOKUP(B316,bond!B:AK,36,FALSE)</f>
        <v>#N/A</v>
      </c>
      <c r="AN316" s="136" t="str">
        <f ca="1">IFERROR(VLOOKUP(B316,'3_是否下架'!A:A,1,FALSE),"")</f>
        <v/>
      </c>
      <c r="AO316" s="136" t="e">
        <f ca="1">VLOOKUP(B316,bond!B:J,9,FALSE)</f>
        <v>#N/A</v>
      </c>
      <c r="AP316" s="136" t="e">
        <f ca="1">VLOOKUP(B316,bond!B:V,21,FALSE)</f>
        <v>#N/A</v>
      </c>
    </row>
    <row r="317" spans="1:42">
      <c r="A317" s="141">
        <f>bond!F318</f>
        <v>0</v>
      </c>
      <c r="B317" s="151">
        <f ca="1">IF($C$1=TRUE,bond!B318,"")</f>
        <v>0</v>
      </c>
      <c r="C317" s="95" t="e">
        <f>VLOOKUP(A317,bond!F:G,2,FALSE)</f>
        <v>#N/A</v>
      </c>
      <c r="D317" s="142" t="e">
        <f ca="1">VLOOKUP(B317,bond!B:C,2,FALSE)</f>
        <v>#N/A</v>
      </c>
      <c r="E317" s="95" t="e">
        <f ca="1">VLOOKUP(B317,bond!B:D,3,FALSE)</f>
        <v>#N/A</v>
      </c>
      <c r="F317" s="99" t="e">
        <f ca="1">VLOOKUP(B317,bond!B:AB,27,FALSE)</f>
        <v>#N/A</v>
      </c>
      <c r="G317" s="90" t="e">
        <f ca="1">VLOOKUP(B317,bond!B:E,4,FALSE)</f>
        <v>#N/A</v>
      </c>
      <c r="H317" s="202" t="e">
        <f ca="1">VLOOKUP(B317,bond!B:Y,24,FALSE)</f>
        <v>#N/A</v>
      </c>
      <c r="I317" s="95" t="e">
        <f ca="1">VLOOKUP(B317,bond!B:Z,25,FALSE)</f>
        <v>#N/A</v>
      </c>
      <c r="J317" s="180" t="e">
        <f ca="1">VLOOKUP(B317,bond!B:K,10,FALSE)</f>
        <v>#N/A</v>
      </c>
      <c r="K317" s="96" t="e">
        <f ca="1">VLOOKUP($B317,bond!B:S,14,FALSE)</f>
        <v>#N/A</v>
      </c>
      <c r="L317" s="91" t="e">
        <f ca="1">VLOOKUP(B317,bond!B:H,7,FALSE)</f>
        <v>#N/A</v>
      </c>
      <c r="M317" s="144" t="e">
        <f ca="1">VLOOKUP($B317,bond!$B:$Q,16,FALSE)</f>
        <v>#N/A</v>
      </c>
      <c r="N317" s="136" t="e">
        <f ca="1">VALUE(LEFT(VLOOKUP(B317,bond!B:R,17,FALSE),SEARCH(" ",VLOOKUP(B317,bond!B:R,17,FALSE),1)))</f>
        <v>#N/A</v>
      </c>
      <c r="O317" s="136" t="e">
        <f ca="1">VALUE(RIGHT(VLOOKUP(B317,bond!B:R,17,FALSE),LEN(VLOOKUP(B317,bond!B:R,17,FALSE))-LEN(N317)-3))</f>
        <v>#N/A</v>
      </c>
      <c r="P317" s="135" t="e">
        <f ca="1">VLOOKUP($B317,bond!$B:$AG,32,FALSE)</f>
        <v>#N/A</v>
      </c>
      <c r="Q317" s="135" t="e">
        <f ca="1">VLOOKUP($B317,bond!$B:$AH,33,FALSE)</f>
        <v>#N/A</v>
      </c>
      <c r="R317" s="135" t="e">
        <f ca="1">VLOOKUP(B317,bond!B:AA,26,FALSE)</f>
        <v>#N/A</v>
      </c>
      <c r="S317" s="135" t="e">
        <f ca="1">VLOOKUP(B317,bond!B:AI,34,FALSE)</f>
        <v>#N/A</v>
      </c>
      <c r="T317" s="135" t="e">
        <f t="shared" ca="1" si="28"/>
        <v>#N/A</v>
      </c>
      <c r="U317" s="207" t="e">
        <f ca="1">IFERROR(VLOOKUP(T317,Bond_DES!D:E,2,FALSE),VLOOKUP(S317,bond!AI:AJ,2,FALSE))</f>
        <v>#N/A</v>
      </c>
      <c r="V317" s="136" t="e">
        <f ca="1">IFERROR(VLOOKUP(B317,'1_重設數據'!L:M,2,FALSE),IF(Q317="政府",IF(AD317&gt;16,"(NPI)非專投",IF(AD317&gt;10,"(PI)專投","高資產")),IF(VLOOKUP(B317,bond!B:AN,39,FALSE)="Y","(PI)專投",IF(AD317&gt;=15,"(NPI)非專投",IF(AD317&gt;=10,"(PI)專投","高資產")))))</f>
        <v>#N/A</v>
      </c>
      <c r="W317" s="136" t="e">
        <f ca="1">VLOOKUP(AD317,'credit rating'!$F$2:$H$22,3,FALSE)</f>
        <v>#N/A</v>
      </c>
      <c r="X317" s="136" t="e">
        <f t="shared" ca="1" si="29"/>
        <v>#N/A</v>
      </c>
      <c r="Y317" s="136" t="e">
        <f t="shared" ca="1" si="30"/>
        <v>#N/A</v>
      </c>
      <c r="Z317" s="136" t="e">
        <f t="shared" ca="1" si="31"/>
        <v>#N/A</v>
      </c>
      <c r="AA317" s="134">
        <f ca="1">IFERROR(VLOOKUP(X317,'credit rating'!A:C,3,FALSE),0)</f>
        <v>0</v>
      </c>
      <c r="AB317" s="134">
        <f ca="1">IFERROR(VLOOKUP(Y317,'credit rating'!B:C,2,FALSE),0)</f>
        <v>0</v>
      </c>
      <c r="AC317" s="136">
        <f ca="1">IFERROR(VLOOKUP(Z317,'credit rating'!B:C,2,FALSE),0)</f>
        <v>0</v>
      </c>
      <c r="AD317" s="136">
        <f t="shared" ca="1" si="32"/>
        <v>0</v>
      </c>
      <c r="AE317" s="249" t="str">
        <f ca="1">IFERROR(VLOOKUP(B317,bond!B:U,20,FALSE),"")</f>
        <v/>
      </c>
      <c r="AF317" s="136" t="e">
        <f ca="1">IF(VLOOKUP(B317,bond!B:AK,36,FALSE)="#N/A Field Not Applicable","",VLOOKUP(B317,bond!B:AK,36,FALSE))</f>
        <v>#N/A</v>
      </c>
      <c r="AG317" s="136" t="e">
        <f ca="1">IF(VLOOKUP(B317,bond!B:AL,37,FALSE)="FIXED","固定",IF(VLOOKUP(B317,bond!B:AL,37,FALSE)="FLOATING","浮動",IF(VLOOKUP(B317,bond!B:AL,37,FALSE)="VARIABLE","變動",IF(VLOOKUP(B317,bond!B:AL,37,FALSE)="FLAT TRADING","不含息交易",IF(VLOOKUP(B317,bond!B:AL,37,FALSE)="ZERO COUPON","零息",VLOOKUP(B317,bond!B:AL,37,FALSE))))))</f>
        <v>#N/A</v>
      </c>
      <c r="AH317" s="136" t="e">
        <f>VLOOKUP(C317,'2_Check_code'!I:J,2,FALSE)</f>
        <v>#N/A</v>
      </c>
      <c r="AI317" s="136" t="e">
        <f t="shared" ca="1" si="33"/>
        <v>#N/A</v>
      </c>
      <c r="AJ317" s="136" t="e">
        <f t="shared" ca="1" si="34"/>
        <v>#N/A</v>
      </c>
      <c r="AK317" s="594" t="e">
        <f ca="1">IF(VLOOKUP(B317,bond!B:S,18,FALSE)="是","有",IF(VLOOKUP(B317,bond!B:S,18,FALSE)="NO OFFER","無","需查詢"))</f>
        <v>#N/A</v>
      </c>
      <c r="AL317" s="136" t="e">
        <f>IF(VLOOKUP(A317,bond!F:AR,39,FALSE)="#N/A Field Not Applicable",VLOOKUP(A317,bond!F:AR,38,FALSE),IFERROR(VLOOKUP(A317,'7_發行日例外'!A:B,2,FALSE),VLOOKUP(A317,bond!F:AR,39,FALSE)))</f>
        <v>#N/A</v>
      </c>
      <c r="AM317" s="136" t="e">
        <f ca="1">VLOOKUP(B317,bond!B:AK,36,FALSE)</f>
        <v>#N/A</v>
      </c>
      <c r="AN317" s="136" t="str">
        <f ca="1">IFERROR(VLOOKUP(B317,'3_是否下架'!A:A,1,FALSE),"")</f>
        <v/>
      </c>
      <c r="AO317" s="136" t="e">
        <f ca="1">VLOOKUP(B317,bond!B:J,9,FALSE)</f>
        <v>#N/A</v>
      </c>
      <c r="AP317" s="136" t="e">
        <f ca="1">VLOOKUP(B317,bond!B:V,21,FALSE)</f>
        <v>#N/A</v>
      </c>
    </row>
    <row r="318" spans="1:42">
      <c r="A318" s="141">
        <f>bond!F319</f>
        <v>0</v>
      </c>
      <c r="B318" s="151">
        <f ca="1">IF($C$1=TRUE,bond!B319,"")</f>
        <v>0</v>
      </c>
      <c r="C318" s="95" t="e">
        <f>VLOOKUP(A318,bond!F:G,2,FALSE)</f>
        <v>#N/A</v>
      </c>
      <c r="D318" s="142" t="e">
        <f ca="1">VLOOKUP(B318,bond!B:C,2,FALSE)</f>
        <v>#N/A</v>
      </c>
      <c r="E318" s="95" t="e">
        <f ca="1">VLOOKUP(B318,bond!B:D,3,FALSE)</f>
        <v>#N/A</v>
      </c>
      <c r="F318" s="99" t="e">
        <f ca="1">VLOOKUP(B318,bond!B:AB,27,FALSE)</f>
        <v>#N/A</v>
      </c>
      <c r="G318" s="90" t="e">
        <f ca="1">VLOOKUP(B318,bond!B:E,4,FALSE)</f>
        <v>#N/A</v>
      </c>
      <c r="H318" s="202" t="e">
        <f ca="1">VLOOKUP(B318,bond!B:Y,24,FALSE)</f>
        <v>#N/A</v>
      </c>
      <c r="I318" s="95" t="e">
        <f ca="1">VLOOKUP(B318,bond!B:Z,25,FALSE)</f>
        <v>#N/A</v>
      </c>
      <c r="J318" s="180" t="e">
        <f ca="1">VLOOKUP(B318,bond!B:K,10,FALSE)</f>
        <v>#N/A</v>
      </c>
      <c r="K318" s="96" t="e">
        <f ca="1">VLOOKUP($B318,bond!B:S,14,FALSE)</f>
        <v>#N/A</v>
      </c>
      <c r="L318" s="91" t="e">
        <f ca="1">VLOOKUP(B318,bond!B:H,7,FALSE)</f>
        <v>#N/A</v>
      </c>
      <c r="M318" s="144" t="e">
        <f ca="1">VLOOKUP($B318,bond!$B:$Q,16,FALSE)</f>
        <v>#N/A</v>
      </c>
      <c r="N318" s="136" t="e">
        <f ca="1">VALUE(LEFT(VLOOKUP(B318,bond!B:R,17,FALSE),SEARCH(" ",VLOOKUP(B318,bond!B:R,17,FALSE),1)))</f>
        <v>#N/A</v>
      </c>
      <c r="O318" s="136" t="e">
        <f ca="1">VALUE(RIGHT(VLOOKUP(B318,bond!B:R,17,FALSE),LEN(VLOOKUP(B318,bond!B:R,17,FALSE))-LEN(N318)-3))</f>
        <v>#N/A</v>
      </c>
      <c r="P318" s="135" t="e">
        <f ca="1">VLOOKUP($B318,bond!$B:$AG,32,FALSE)</f>
        <v>#N/A</v>
      </c>
      <c r="Q318" s="135" t="e">
        <f ca="1">VLOOKUP($B318,bond!$B:$AH,33,FALSE)</f>
        <v>#N/A</v>
      </c>
      <c r="R318" s="135" t="e">
        <f ca="1">VLOOKUP(B318,bond!B:AA,26,FALSE)</f>
        <v>#N/A</v>
      </c>
      <c r="S318" s="135" t="e">
        <f ca="1">VLOOKUP(B318,bond!B:AI,34,FALSE)</f>
        <v>#N/A</v>
      </c>
      <c r="T318" s="135" t="e">
        <f t="shared" ca="1" si="28"/>
        <v>#N/A</v>
      </c>
      <c r="U318" s="207" t="e">
        <f ca="1">IFERROR(VLOOKUP(T318,Bond_DES!D:E,2,FALSE),VLOOKUP(S318,bond!AI:AJ,2,FALSE))</f>
        <v>#N/A</v>
      </c>
      <c r="V318" s="136" t="e">
        <f ca="1">IFERROR(VLOOKUP(B318,'1_重設數據'!L:M,2,FALSE),IF(Q318="政府",IF(AD318&gt;16,"(NPI)非專投",IF(AD318&gt;10,"(PI)專投","高資產")),IF(VLOOKUP(B318,bond!B:AN,39,FALSE)="Y","(PI)專投",IF(AD318&gt;=15,"(NPI)非專投",IF(AD318&gt;=10,"(PI)專投","高資產")))))</f>
        <v>#N/A</v>
      </c>
      <c r="W318" s="136" t="e">
        <f ca="1">VLOOKUP(AD318,'credit rating'!$F$2:$H$22,3,FALSE)</f>
        <v>#N/A</v>
      </c>
      <c r="X318" s="136" t="e">
        <f t="shared" ca="1" si="29"/>
        <v>#N/A</v>
      </c>
      <c r="Y318" s="136" t="e">
        <f t="shared" ca="1" si="30"/>
        <v>#N/A</v>
      </c>
      <c r="Z318" s="136" t="e">
        <f t="shared" ca="1" si="31"/>
        <v>#N/A</v>
      </c>
      <c r="AA318" s="134">
        <f ca="1">IFERROR(VLOOKUP(X318,'credit rating'!A:C,3,FALSE),0)</f>
        <v>0</v>
      </c>
      <c r="AB318" s="134">
        <f ca="1">IFERROR(VLOOKUP(Y318,'credit rating'!B:C,2,FALSE),0)</f>
        <v>0</v>
      </c>
      <c r="AC318" s="136">
        <f ca="1">IFERROR(VLOOKUP(Z318,'credit rating'!B:C,2,FALSE),0)</f>
        <v>0</v>
      </c>
      <c r="AD318" s="136">
        <f t="shared" ca="1" si="32"/>
        <v>0</v>
      </c>
      <c r="AE318" s="249" t="str">
        <f ca="1">IFERROR(VLOOKUP(B318,bond!B:U,20,FALSE),"")</f>
        <v/>
      </c>
      <c r="AF318" s="136" t="e">
        <f ca="1">IF(VLOOKUP(B318,bond!B:AK,36,FALSE)="#N/A Field Not Applicable","",VLOOKUP(B318,bond!B:AK,36,FALSE))</f>
        <v>#N/A</v>
      </c>
      <c r="AG318" s="136" t="e">
        <f ca="1">IF(VLOOKUP(B318,bond!B:AL,37,FALSE)="FIXED","固定",IF(VLOOKUP(B318,bond!B:AL,37,FALSE)="FLOATING","浮動",IF(VLOOKUP(B318,bond!B:AL,37,FALSE)="VARIABLE","變動",IF(VLOOKUP(B318,bond!B:AL,37,FALSE)="FLAT TRADING","不含息交易",IF(VLOOKUP(B318,bond!B:AL,37,FALSE)="ZERO COUPON","零息",VLOOKUP(B318,bond!B:AL,37,FALSE))))))</f>
        <v>#N/A</v>
      </c>
      <c r="AH318" s="136" t="e">
        <f>VLOOKUP(C318,'2_Check_code'!I:J,2,FALSE)</f>
        <v>#N/A</v>
      </c>
      <c r="AI318" s="136" t="e">
        <f t="shared" ca="1" si="33"/>
        <v>#N/A</v>
      </c>
      <c r="AJ318" s="136" t="e">
        <f t="shared" ca="1" si="34"/>
        <v>#N/A</v>
      </c>
      <c r="AK318" s="594" t="e">
        <f ca="1">IF(VLOOKUP(B318,bond!B:S,18,FALSE)="是","有",IF(VLOOKUP(B318,bond!B:S,18,FALSE)="NO OFFER","無","需查詢"))</f>
        <v>#N/A</v>
      </c>
      <c r="AL318" s="136" t="e">
        <f>IF(VLOOKUP(A318,bond!F:AR,39,FALSE)="#N/A Field Not Applicable",VLOOKUP(A318,bond!F:AR,38,FALSE),IFERROR(VLOOKUP(A318,'7_發行日例外'!A:B,2,FALSE),VLOOKUP(A318,bond!F:AR,39,FALSE)))</f>
        <v>#N/A</v>
      </c>
      <c r="AM318" s="136" t="e">
        <f ca="1">VLOOKUP(B318,bond!B:AK,36,FALSE)</f>
        <v>#N/A</v>
      </c>
      <c r="AN318" s="136" t="str">
        <f ca="1">IFERROR(VLOOKUP(B318,'3_是否下架'!A:A,1,FALSE),"")</f>
        <v/>
      </c>
      <c r="AO318" s="136" t="e">
        <f ca="1">VLOOKUP(B318,bond!B:J,9,FALSE)</f>
        <v>#N/A</v>
      </c>
      <c r="AP318" s="136" t="e">
        <f ca="1">VLOOKUP(B318,bond!B:V,21,FALSE)</f>
        <v>#N/A</v>
      </c>
    </row>
    <row r="319" spans="1:42">
      <c r="A319" s="141">
        <f>bond!F320</f>
        <v>0</v>
      </c>
      <c r="B319" s="151">
        <f ca="1">IF($C$1=TRUE,bond!B320,"")</f>
        <v>0</v>
      </c>
      <c r="C319" s="95" t="e">
        <f>VLOOKUP(A319,bond!F:G,2,FALSE)</f>
        <v>#N/A</v>
      </c>
      <c r="D319" s="142" t="e">
        <f ca="1">VLOOKUP(B319,bond!B:C,2,FALSE)</f>
        <v>#N/A</v>
      </c>
      <c r="E319" s="95" t="e">
        <f ca="1">VLOOKUP(B319,bond!B:D,3,FALSE)</f>
        <v>#N/A</v>
      </c>
      <c r="F319" s="99" t="e">
        <f ca="1">VLOOKUP(B319,bond!B:AB,27,FALSE)</f>
        <v>#N/A</v>
      </c>
      <c r="G319" s="90" t="e">
        <f ca="1">VLOOKUP(B319,bond!B:E,4,FALSE)</f>
        <v>#N/A</v>
      </c>
      <c r="H319" s="202" t="e">
        <f ca="1">VLOOKUP(B319,bond!B:Y,24,FALSE)</f>
        <v>#N/A</v>
      </c>
      <c r="I319" s="95" t="e">
        <f ca="1">VLOOKUP(B319,bond!B:Z,25,FALSE)</f>
        <v>#N/A</v>
      </c>
      <c r="J319" s="180" t="e">
        <f ca="1">VLOOKUP(B319,bond!B:K,10,FALSE)</f>
        <v>#N/A</v>
      </c>
      <c r="K319" s="96" t="e">
        <f ca="1">VLOOKUP($B319,bond!B:S,14,FALSE)</f>
        <v>#N/A</v>
      </c>
      <c r="L319" s="91" t="e">
        <f ca="1">VLOOKUP(B319,bond!B:H,7,FALSE)</f>
        <v>#N/A</v>
      </c>
      <c r="M319" s="144" t="e">
        <f ca="1">VLOOKUP($B319,bond!$B:$Q,16,FALSE)</f>
        <v>#N/A</v>
      </c>
      <c r="N319" s="136" t="e">
        <f ca="1">VALUE(LEFT(VLOOKUP(B319,bond!B:R,17,FALSE),SEARCH(" ",VLOOKUP(B319,bond!B:R,17,FALSE),1)))</f>
        <v>#N/A</v>
      </c>
      <c r="O319" s="136" t="e">
        <f ca="1">VALUE(RIGHT(VLOOKUP(B319,bond!B:R,17,FALSE),LEN(VLOOKUP(B319,bond!B:R,17,FALSE))-LEN(N319)-3))</f>
        <v>#N/A</v>
      </c>
      <c r="P319" s="135" t="e">
        <f ca="1">VLOOKUP($B319,bond!$B:$AG,32,FALSE)</f>
        <v>#N/A</v>
      </c>
      <c r="Q319" s="135" t="e">
        <f ca="1">VLOOKUP($B319,bond!$B:$AH,33,FALSE)</f>
        <v>#N/A</v>
      </c>
      <c r="R319" s="135" t="e">
        <f ca="1">VLOOKUP(B319,bond!B:AA,26,FALSE)</f>
        <v>#N/A</v>
      </c>
      <c r="S319" s="135" t="e">
        <f ca="1">VLOOKUP(B319,bond!B:AI,34,FALSE)</f>
        <v>#N/A</v>
      </c>
      <c r="T319" s="135" t="e">
        <f t="shared" ca="1" si="28"/>
        <v>#N/A</v>
      </c>
      <c r="U319" s="207" t="e">
        <f ca="1">IFERROR(VLOOKUP(T319,Bond_DES!D:E,2,FALSE),VLOOKUP(S319,bond!AI:AJ,2,FALSE))</f>
        <v>#N/A</v>
      </c>
      <c r="V319" s="136" t="e">
        <f ca="1">IFERROR(VLOOKUP(B319,'1_重設數據'!L:M,2,FALSE),IF(Q319="政府",IF(AD319&gt;16,"(NPI)非專投",IF(AD319&gt;10,"(PI)專投","高資產")),IF(VLOOKUP(B319,bond!B:AN,39,FALSE)="Y","(PI)專投",IF(AD319&gt;=15,"(NPI)非專投",IF(AD319&gt;=10,"(PI)專投","高資產")))))</f>
        <v>#N/A</v>
      </c>
      <c r="W319" s="136" t="e">
        <f ca="1">VLOOKUP(AD319,'credit rating'!$F$2:$H$22,3,FALSE)</f>
        <v>#N/A</v>
      </c>
      <c r="X319" s="136" t="e">
        <f t="shared" ca="1" si="29"/>
        <v>#N/A</v>
      </c>
      <c r="Y319" s="136" t="e">
        <f t="shared" ca="1" si="30"/>
        <v>#N/A</v>
      </c>
      <c r="Z319" s="136" t="e">
        <f t="shared" ca="1" si="31"/>
        <v>#N/A</v>
      </c>
      <c r="AA319" s="134">
        <f ca="1">IFERROR(VLOOKUP(X319,'credit rating'!A:C,3,FALSE),0)</f>
        <v>0</v>
      </c>
      <c r="AB319" s="134">
        <f ca="1">IFERROR(VLOOKUP(Y319,'credit rating'!B:C,2,FALSE),0)</f>
        <v>0</v>
      </c>
      <c r="AC319" s="136">
        <f ca="1">IFERROR(VLOOKUP(Z319,'credit rating'!B:C,2,FALSE),0)</f>
        <v>0</v>
      </c>
      <c r="AD319" s="136">
        <f t="shared" ca="1" si="32"/>
        <v>0</v>
      </c>
      <c r="AE319" s="249" t="str">
        <f ca="1">IFERROR(VLOOKUP(B319,bond!B:U,20,FALSE),"")</f>
        <v/>
      </c>
      <c r="AF319" s="136" t="e">
        <f ca="1">IF(VLOOKUP(B319,bond!B:AK,36,FALSE)="#N/A Field Not Applicable","",VLOOKUP(B319,bond!B:AK,36,FALSE))</f>
        <v>#N/A</v>
      </c>
      <c r="AG319" s="136" t="e">
        <f ca="1">IF(VLOOKUP(B319,bond!B:AL,37,FALSE)="FIXED","固定",IF(VLOOKUP(B319,bond!B:AL,37,FALSE)="FLOATING","浮動",IF(VLOOKUP(B319,bond!B:AL,37,FALSE)="VARIABLE","變動",IF(VLOOKUP(B319,bond!B:AL,37,FALSE)="FLAT TRADING","不含息交易",IF(VLOOKUP(B319,bond!B:AL,37,FALSE)="ZERO COUPON","零息",VLOOKUP(B319,bond!B:AL,37,FALSE))))))</f>
        <v>#N/A</v>
      </c>
      <c r="AH319" s="136" t="e">
        <f>VLOOKUP(C319,'2_Check_code'!I:J,2,FALSE)</f>
        <v>#N/A</v>
      </c>
      <c r="AI319" s="136" t="e">
        <f t="shared" ca="1" si="33"/>
        <v>#N/A</v>
      </c>
      <c r="AJ319" s="136" t="e">
        <f t="shared" ca="1" si="34"/>
        <v>#N/A</v>
      </c>
      <c r="AK319" s="594" t="e">
        <f ca="1">IF(VLOOKUP(B319,bond!B:S,18,FALSE)="是","有",IF(VLOOKUP(B319,bond!B:S,18,FALSE)="NO OFFER","無","需查詢"))</f>
        <v>#N/A</v>
      </c>
      <c r="AL319" s="136" t="e">
        <f>IF(VLOOKUP(A319,bond!F:AR,39,FALSE)="#N/A Field Not Applicable",VLOOKUP(A319,bond!F:AR,38,FALSE),IFERROR(VLOOKUP(A319,'7_發行日例外'!A:B,2,FALSE),VLOOKUP(A319,bond!F:AR,39,FALSE)))</f>
        <v>#N/A</v>
      </c>
      <c r="AM319" s="136" t="e">
        <f ca="1">VLOOKUP(B319,bond!B:AK,36,FALSE)</f>
        <v>#N/A</v>
      </c>
      <c r="AN319" s="136" t="str">
        <f ca="1">IFERROR(VLOOKUP(B319,'3_是否下架'!A:A,1,FALSE),"")</f>
        <v/>
      </c>
      <c r="AO319" s="136" t="e">
        <f ca="1">VLOOKUP(B319,bond!B:J,9,FALSE)</f>
        <v>#N/A</v>
      </c>
      <c r="AP319" s="136" t="e">
        <f ca="1">VLOOKUP(B319,bond!B:V,21,FALSE)</f>
        <v>#N/A</v>
      </c>
    </row>
    <row r="320" spans="1:42">
      <c r="A320" s="141">
        <f>bond!F321</f>
        <v>0</v>
      </c>
      <c r="B320" s="151">
        <f ca="1">IF($C$1=TRUE,bond!B321,"")</f>
        <v>0</v>
      </c>
      <c r="C320" s="95" t="e">
        <f>VLOOKUP(A320,bond!F:G,2,FALSE)</f>
        <v>#N/A</v>
      </c>
      <c r="D320" s="142" t="e">
        <f ca="1">VLOOKUP(B320,bond!B:C,2,FALSE)</f>
        <v>#N/A</v>
      </c>
      <c r="E320" s="95" t="e">
        <f ca="1">VLOOKUP(B320,bond!B:D,3,FALSE)</f>
        <v>#N/A</v>
      </c>
      <c r="F320" s="99" t="e">
        <f ca="1">VLOOKUP(B320,bond!B:AB,27,FALSE)</f>
        <v>#N/A</v>
      </c>
      <c r="G320" s="90" t="e">
        <f ca="1">VLOOKUP(B320,bond!B:E,4,FALSE)</f>
        <v>#N/A</v>
      </c>
      <c r="H320" s="202" t="e">
        <f ca="1">VLOOKUP(B320,bond!B:Y,24,FALSE)</f>
        <v>#N/A</v>
      </c>
      <c r="I320" s="95" t="e">
        <f ca="1">VLOOKUP(B320,bond!B:Z,25,FALSE)</f>
        <v>#N/A</v>
      </c>
      <c r="J320" s="180" t="e">
        <f ca="1">VLOOKUP(B320,bond!B:K,10,FALSE)</f>
        <v>#N/A</v>
      </c>
      <c r="K320" s="96" t="e">
        <f ca="1">VLOOKUP($B320,bond!B:S,14,FALSE)</f>
        <v>#N/A</v>
      </c>
      <c r="L320" s="91" t="e">
        <f ca="1">VLOOKUP(B320,bond!B:H,7,FALSE)</f>
        <v>#N/A</v>
      </c>
      <c r="M320" s="144" t="e">
        <f ca="1">VLOOKUP($B320,bond!$B:$Q,16,FALSE)</f>
        <v>#N/A</v>
      </c>
      <c r="N320" s="136" t="e">
        <f ca="1">VALUE(LEFT(VLOOKUP(B320,bond!B:R,17,FALSE),SEARCH(" ",VLOOKUP(B320,bond!B:R,17,FALSE),1)))</f>
        <v>#N/A</v>
      </c>
      <c r="O320" s="136" t="e">
        <f ca="1">VALUE(RIGHT(VLOOKUP(B320,bond!B:R,17,FALSE),LEN(VLOOKUP(B320,bond!B:R,17,FALSE))-LEN(N320)-3))</f>
        <v>#N/A</v>
      </c>
      <c r="P320" s="135" t="e">
        <f ca="1">VLOOKUP($B320,bond!$B:$AG,32,FALSE)</f>
        <v>#N/A</v>
      </c>
      <c r="Q320" s="135" t="e">
        <f ca="1">VLOOKUP($B320,bond!$B:$AH,33,FALSE)</f>
        <v>#N/A</v>
      </c>
      <c r="R320" s="135" t="e">
        <f ca="1">VLOOKUP(B320,bond!B:AA,26,FALSE)</f>
        <v>#N/A</v>
      </c>
      <c r="S320" s="135" t="e">
        <f ca="1">VLOOKUP(B320,bond!B:AI,34,FALSE)</f>
        <v>#N/A</v>
      </c>
      <c r="T320" s="135" t="e">
        <f t="shared" ca="1" si="28"/>
        <v>#N/A</v>
      </c>
      <c r="U320" s="207" t="e">
        <f ca="1">IFERROR(VLOOKUP(T320,Bond_DES!D:E,2,FALSE),VLOOKUP(S320,bond!AI:AJ,2,FALSE))</f>
        <v>#N/A</v>
      </c>
      <c r="V320" s="136" t="e">
        <f ca="1">IFERROR(VLOOKUP(B320,'1_重設數據'!L:M,2,FALSE),IF(Q320="政府",IF(AD320&gt;16,"(NPI)非專投",IF(AD320&gt;10,"(PI)專投","高資產")),IF(VLOOKUP(B320,bond!B:AN,39,FALSE)="Y","(PI)專投",IF(AD320&gt;=15,"(NPI)非專投",IF(AD320&gt;=10,"(PI)專投","高資產")))))</f>
        <v>#N/A</v>
      </c>
      <c r="W320" s="136" t="e">
        <f ca="1">VLOOKUP(AD320,'credit rating'!$F$2:$H$22,3,FALSE)</f>
        <v>#N/A</v>
      </c>
      <c r="X320" s="136" t="e">
        <f t="shared" ca="1" si="29"/>
        <v>#N/A</v>
      </c>
      <c r="Y320" s="136" t="e">
        <f t="shared" ca="1" si="30"/>
        <v>#N/A</v>
      </c>
      <c r="Z320" s="136" t="e">
        <f t="shared" ca="1" si="31"/>
        <v>#N/A</v>
      </c>
      <c r="AA320" s="134">
        <f ca="1">IFERROR(VLOOKUP(X320,'credit rating'!A:C,3,FALSE),0)</f>
        <v>0</v>
      </c>
      <c r="AB320" s="134">
        <f ca="1">IFERROR(VLOOKUP(Y320,'credit rating'!B:C,2,FALSE),0)</f>
        <v>0</v>
      </c>
      <c r="AC320" s="136">
        <f ca="1">IFERROR(VLOOKUP(Z320,'credit rating'!B:C,2,FALSE),0)</f>
        <v>0</v>
      </c>
      <c r="AD320" s="136">
        <f t="shared" ca="1" si="32"/>
        <v>0</v>
      </c>
      <c r="AE320" s="249" t="str">
        <f ca="1">IFERROR(VLOOKUP(B320,bond!B:U,20,FALSE),"")</f>
        <v/>
      </c>
      <c r="AF320" s="136" t="e">
        <f ca="1">IF(VLOOKUP(B320,bond!B:AK,36,FALSE)="#N/A Field Not Applicable","",VLOOKUP(B320,bond!B:AK,36,FALSE))</f>
        <v>#N/A</v>
      </c>
      <c r="AG320" s="136" t="e">
        <f ca="1">IF(VLOOKUP(B320,bond!B:AL,37,FALSE)="FIXED","固定",IF(VLOOKUP(B320,bond!B:AL,37,FALSE)="FLOATING","浮動",IF(VLOOKUP(B320,bond!B:AL,37,FALSE)="VARIABLE","變動",IF(VLOOKUP(B320,bond!B:AL,37,FALSE)="FLAT TRADING","不含息交易",IF(VLOOKUP(B320,bond!B:AL,37,FALSE)="ZERO COUPON","零息",VLOOKUP(B320,bond!B:AL,37,FALSE))))))</f>
        <v>#N/A</v>
      </c>
      <c r="AH320" s="136" t="e">
        <f>VLOOKUP(C320,'2_Check_code'!I:J,2,FALSE)</f>
        <v>#N/A</v>
      </c>
      <c r="AI320" s="136" t="e">
        <f t="shared" ca="1" si="33"/>
        <v>#N/A</v>
      </c>
      <c r="AJ320" s="136" t="e">
        <f t="shared" ca="1" si="34"/>
        <v>#N/A</v>
      </c>
      <c r="AK320" s="594" t="e">
        <f ca="1">IF(VLOOKUP(B320,bond!B:S,18,FALSE)="是","有",IF(VLOOKUP(B320,bond!B:S,18,FALSE)="NO OFFER","無","需查詢"))</f>
        <v>#N/A</v>
      </c>
      <c r="AL320" s="136" t="e">
        <f>IF(VLOOKUP(A320,bond!F:AR,39,FALSE)="#N/A Field Not Applicable",VLOOKUP(A320,bond!F:AR,38,FALSE),IFERROR(VLOOKUP(A320,'7_發行日例外'!A:B,2,FALSE),VLOOKUP(A320,bond!F:AR,39,FALSE)))</f>
        <v>#N/A</v>
      </c>
      <c r="AM320" s="136" t="e">
        <f ca="1">VLOOKUP(B320,bond!B:AK,36,FALSE)</f>
        <v>#N/A</v>
      </c>
      <c r="AN320" s="136" t="str">
        <f ca="1">IFERROR(VLOOKUP(B320,'3_是否下架'!A:A,1,FALSE),"")</f>
        <v/>
      </c>
      <c r="AO320" s="136" t="e">
        <f ca="1">VLOOKUP(B320,bond!B:J,9,FALSE)</f>
        <v>#N/A</v>
      </c>
      <c r="AP320" s="136" t="e">
        <f ca="1">VLOOKUP(B320,bond!B:V,21,FALSE)</f>
        <v>#N/A</v>
      </c>
    </row>
    <row r="321" spans="1:42">
      <c r="A321" s="141">
        <f>bond!F322</f>
        <v>0</v>
      </c>
      <c r="B321" s="151">
        <f ca="1">IF($C$1=TRUE,bond!B322,"")</f>
        <v>0</v>
      </c>
      <c r="C321" s="95" t="e">
        <f>VLOOKUP(A321,bond!F:G,2,FALSE)</f>
        <v>#N/A</v>
      </c>
      <c r="D321" s="142" t="e">
        <f ca="1">VLOOKUP(B321,bond!B:C,2,FALSE)</f>
        <v>#N/A</v>
      </c>
      <c r="E321" s="95" t="e">
        <f ca="1">VLOOKUP(B321,bond!B:D,3,FALSE)</f>
        <v>#N/A</v>
      </c>
      <c r="F321" s="99" t="e">
        <f ca="1">VLOOKUP(B321,bond!B:AB,27,FALSE)</f>
        <v>#N/A</v>
      </c>
      <c r="G321" s="90" t="e">
        <f ca="1">VLOOKUP(B321,bond!B:E,4,FALSE)</f>
        <v>#N/A</v>
      </c>
      <c r="H321" s="202" t="e">
        <f ca="1">VLOOKUP(B321,bond!B:Y,24,FALSE)</f>
        <v>#N/A</v>
      </c>
      <c r="I321" s="95" t="e">
        <f ca="1">VLOOKUP(B321,bond!B:Z,25,FALSE)</f>
        <v>#N/A</v>
      </c>
      <c r="J321" s="180" t="e">
        <f ca="1">VLOOKUP(B321,bond!B:K,10,FALSE)</f>
        <v>#N/A</v>
      </c>
      <c r="K321" s="96" t="e">
        <f ca="1">VLOOKUP($B321,bond!B:S,14,FALSE)</f>
        <v>#N/A</v>
      </c>
      <c r="L321" s="91" t="e">
        <f ca="1">VLOOKUP(B321,bond!B:H,7,FALSE)</f>
        <v>#N/A</v>
      </c>
      <c r="M321" s="144" t="e">
        <f ca="1">VLOOKUP($B321,bond!$B:$Q,16,FALSE)</f>
        <v>#N/A</v>
      </c>
      <c r="N321" s="136" t="e">
        <f ca="1">VALUE(LEFT(VLOOKUP(B321,bond!B:R,17,FALSE),SEARCH(" ",VLOOKUP(B321,bond!B:R,17,FALSE),1)))</f>
        <v>#N/A</v>
      </c>
      <c r="O321" s="136" t="e">
        <f ca="1">VALUE(RIGHT(VLOOKUP(B321,bond!B:R,17,FALSE),LEN(VLOOKUP(B321,bond!B:R,17,FALSE))-LEN(N321)-3))</f>
        <v>#N/A</v>
      </c>
      <c r="P321" s="135" t="e">
        <f ca="1">VLOOKUP($B321,bond!$B:$AG,32,FALSE)</f>
        <v>#N/A</v>
      </c>
      <c r="Q321" s="135" t="e">
        <f ca="1">VLOOKUP($B321,bond!$B:$AH,33,FALSE)</f>
        <v>#N/A</v>
      </c>
      <c r="R321" s="135" t="e">
        <f ca="1">VLOOKUP(B321,bond!B:AA,26,FALSE)</f>
        <v>#N/A</v>
      </c>
      <c r="S321" s="135" t="e">
        <f ca="1">VLOOKUP(B321,bond!B:AI,34,FALSE)</f>
        <v>#N/A</v>
      </c>
      <c r="T321" s="135" t="e">
        <f t="shared" ca="1" si="28"/>
        <v>#N/A</v>
      </c>
      <c r="U321" s="207" t="e">
        <f ca="1">IFERROR(VLOOKUP(T321,Bond_DES!D:E,2,FALSE),VLOOKUP(S321,bond!AI:AJ,2,FALSE))</f>
        <v>#N/A</v>
      </c>
      <c r="V321" s="136" t="e">
        <f ca="1">IFERROR(VLOOKUP(B321,'1_重設數據'!L:M,2,FALSE),IF(Q321="政府",IF(AD321&gt;16,"(NPI)非專投",IF(AD321&gt;10,"(PI)專投","高資產")),IF(VLOOKUP(B321,bond!B:AN,39,FALSE)="Y","(PI)專投",IF(AD321&gt;=15,"(NPI)非專投",IF(AD321&gt;=10,"(PI)專投","高資產")))))</f>
        <v>#N/A</v>
      </c>
      <c r="W321" s="136" t="e">
        <f ca="1">VLOOKUP(AD321,'credit rating'!$F$2:$H$22,3,FALSE)</f>
        <v>#N/A</v>
      </c>
      <c r="X321" s="136" t="e">
        <f t="shared" ca="1" si="29"/>
        <v>#N/A</v>
      </c>
      <c r="Y321" s="136" t="e">
        <f t="shared" ca="1" si="30"/>
        <v>#N/A</v>
      </c>
      <c r="Z321" s="136" t="e">
        <f t="shared" ca="1" si="31"/>
        <v>#N/A</v>
      </c>
      <c r="AA321" s="134">
        <f ca="1">IFERROR(VLOOKUP(X321,'credit rating'!A:C,3,FALSE),0)</f>
        <v>0</v>
      </c>
      <c r="AB321" s="134">
        <f ca="1">IFERROR(VLOOKUP(Y321,'credit rating'!B:C,2,FALSE),0)</f>
        <v>0</v>
      </c>
      <c r="AC321" s="136">
        <f ca="1">IFERROR(VLOOKUP(Z321,'credit rating'!B:C,2,FALSE),0)</f>
        <v>0</v>
      </c>
      <c r="AD321" s="136">
        <f t="shared" ca="1" si="32"/>
        <v>0</v>
      </c>
      <c r="AE321" s="249" t="str">
        <f ca="1">IFERROR(VLOOKUP(B321,bond!B:U,20,FALSE),"")</f>
        <v/>
      </c>
      <c r="AF321" s="136" t="e">
        <f ca="1">IF(VLOOKUP(B321,bond!B:AK,36,FALSE)="#N/A Field Not Applicable","",VLOOKUP(B321,bond!B:AK,36,FALSE))</f>
        <v>#N/A</v>
      </c>
      <c r="AG321" s="136" t="e">
        <f ca="1">IF(VLOOKUP(B321,bond!B:AL,37,FALSE)="FIXED","固定",IF(VLOOKUP(B321,bond!B:AL,37,FALSE)="FLOATING","浮動",IF(VLOOKUP(B321,bond!B:AL,37,FALSE)="VARIABLE","變動",IF(VLOOKUP(B321,bond!B:AL,37,FALSE)="FLAT TRADING","不含息交易",IF(VLOOKUP(B321,bond!B:AL,37,FALSE)="ZERO COUPON","零息",VLOOKUP(B321,bond!B:AL,37,FALSE))))))</f>
        <v>#N/A</v>
      </c>
      <c r="AH321" s="136" t="e">
        <f>VLOOKUP(C321,'2_Check_code'!I:J,2,FALSE)</f>
        <v>#N/A</v>
      </c>
      <c r="AI321" s="136" t="e">
        <f t="shared" ca="1" si="33"/>
        <v>#N/A</v>
      </c>
      <c r="AJ321" s="136" t="e">
        <f t="shared" ca="1" si="34"/>
        <v>#N/A</v>
      </c>
      <c r="AK321" s="594" t="e">
        <f ca="1">IF(VLOOKUP(B321,bond!B:S,18,FALSE)="是","有",IF(VLOOKUP(B321,bond!B:S,18,FALSE)="NO OFFER","無","需查詢"))</f>
        <v>#N/A</v>
      </c>
      <c r="AL321" s="136" t="e">
        <f>IF(VLOOKUP(A321,bond!F:AR,39,FALSE)="#N/A Field Not Applicable",VLOOKUP(A321,bond!F:AR,38,FALSE),IFERROR(VLOOKUP(A321,'7_發行日例外'!A:B,2,FALSE),VLOOKUP(A321,bond!F:AR,39,FALSE)))</f>
        <v>#N/A</v>
      </c>
      <c r="AM321" s="136" t="e">
        <f ca="1">VLOOKUP(B321,bond!B:AK,36,FALSE)</f>
        <v>#N/A</v>
      </c>
      <c r="AN321" s="136" t="str">
        <f ca="1">IFERROR(VLOOKUP(B321,'3_是否下架'!A:A,1,FALSE),"")</f>
        <v/>
      </c>
      <c r="AO321" s="136" t="e">
        <f ca="1">VLOOKUP(B321,bond!B:J,9,FALSE)</f>
        <v>#N/A</v>
      </c>
      <c r="AP321" s="136" t="e">
        <f ca="1">VLOOKUP(B321,bond!B:V,21,FALSE)</f>
        <v>#N/A</v>
      </c>
    </row>
    <row r="322" spans="1:42">
      <c r="A322" s="141">
        <f>bond!F323</f>
        <v>0</v>
      </c>
      <c r="B322" s="151">
        <f ca="1">IF($C$1=TRUE,bond!B323,"")</f>
        <v>0</v>
      </c>
      <c r="C322" s="95" t="e">
        <f>VLOOKUP(A322,bond!F:G,2,FALSE)</f>
        <v>#N/A</v>
      </c>
      <c r="D322" s="142" t="e">
        <f ca="1">VLOOKUP(B322,bond!B:C,2,FALSE)</f>
        <v>#N/A</v>
      </c>
      <c r="E322" s="95" t="e">
        <f ca="1">VLOOKUP(B322,bond!B:D,3,FALSE)</f>
        <v>#N/A</v>
      </c>
      <c r="F322" s="99" t="e">
        <f ca="1">VLOOKUP(B322,bond!B:AB,27,FALSE)</f>
        <v>#N/A</v>
      </c>
      <c r="G322" s="90" t="e">
        <f ca="1">VLOOKUP(B322,bond!B:E,4,FALSE)</f>
        <v>#N/A</v>
      </c>
      <c r="H322" s="202" t="e">
        <f ca="1">VLOOKUP(B322,bond!B:Y,24,FALSE)</f>
        <v>#N/A</v>
      </c>
      <c r="I322" s="95" t="e">
        <f ca="1">VLOOKUP(B322,bond!B:Z,25,FALSE)</f>
        <v>#N/A</v>
      </c>
      <c r="J322" s="180" t="e">
        <f ca="1">VLOOKUP(B322,bond!B:K,10,FALSE)</f>
        <v>#N/A</v>
      </c>
      <c r="K322" s="96" t="e">
        <f ca="1">VLOOKUP($B322,bond!B:S,14,FALSE)</f>
        <v>#N/A</v>
      </c>
      <c r="L322" s="91" t="e">
        <f ca="1">VLOOKUP(B322,bond!B:H,7,FALSE)</f>
        <v>#N/A</v>
      </c>
      <c r="M322" s="144" t="e">
        <f ca="1">VLOOKUP($B322,bond!$B:$Q,16,FALSE)</f>
        <v>#N/A</v>
      </c>
      <c r="N322" s="136" t="e">
        <f ca="1">VALUE(LEFT(VLOOKUP(B322,bond!B:R,17,FALSE),SEARCH(" ",VLOOKUP(B322,bond!B:R,17,FALSE),1)))</f>
        <v>#N/A</v>
      </c>
      <c r="O322" s="136" t="e">
        <f ca="1">VALUE(RIGHT(VLOOKUP(B322,bond!B:R,17,FALSE),LEN(VLOOKUP(B322,bond!B:R,17,FALSE))-LEN(N322)-3))</f>
        <v>#N/A</v>
      </c>
      <c r="P322" s="135" t="e">
        <f ca="1">VLOOKUP($B322,bond!$B:$AG,32,FALSE)</f>
        <v>#N/A</v>
      </c>
      <c r="Q322" s="135" t="e">
        <f ca="1">VLOOKUP($B322,bond!$B:$AH,33,FALSE)</f>
        <v>#N/A</v>
      </c>
      <c r="R322" s="135" t="e">
        <f ca="1">VLOOKUP(B322,bond!B:AA,26,FALSE)</f>
        <v>#N/A</v>
      </c>
      <c r="S322" s="135" t="e">
        <f ca="1">VLOOKUP(B322,bond!B:AI,34,FALSE)</f>
        <v>#N/A</v>
      </c>
      <c r="T322" s="135" t="e">
        <f t="shared" ca="1" si="28"/>
        <v>#N/A</v>
      </c>
      <c r="U322" s="207" t="e">
        <f ca="1">IFERROR(VLOOKUP(T322,Bond_DES!D:E,2,FALSE),VLOOKUP(S322,bond!AI:AJ,2,FALSE))</f>
        <v>#N/A</v>
      </c>
      <c r="V322" s="136" t="e">
        <f ca="1">IFERROR(VLOOKUP(B322,'1_重設數據'!L:M,2,FALSE),IF(Q322="政府",IF(AD322&gt;16,"(NPI)非專投",IF(AD322&gt;10,"(PI)專投","高資產")),IF(VLOOKUP(B322,bond!B:AN,39,FALSE)="Y","(PI)專投",IF(AD322&gt;=15,"(NPI)非專投",IF(AD322&gt;=10,"(PI)專投","高資產")))))</f>
        <v>#N/A</v>
      </c>
      <c r="W322" s="136" t="e">
        <f ca="1">VLOOKUP(AD322,'credit rating'!$F$2:$H$22,3,FALSE)</f>
        <v>#N/A</v>
      </c>
      <c r="X322" s="136" t="e">
        <f t="shared" ca="1" si="29"/>
        <v>#N/A</v>
      </c>
      <c r="Y322" s="136" t="e">
        <f t="shared" ca="1" si="30"/>
        <v>#N/A</v>
      </c>
      <c r="Z322" s="136" t="e">
        <f t="shared" ca="1" si="31"/>
        <v>#N/A</v>
      </c>
      <c r="AA322" s="134">
        <f ca="1">IFERROR(VLOOKUP(X322,'credit rating'!A:C,3,FALSE),0)</f>
        <v>0</v>
      </c>
      <c r="AB322" s="134">
        <f ca="1">IFERROR(VLOOKUP(Y322,'credit rating'!B:C,2,FALSE),0)</f>
        <v>0</v>
      </c>
      <c r="AC322" s="136">
        <f ca="1">IFERROR(VLOOKUP(Z322,'credit rating'!B:C,2,FALSE),0)</f>
        <v>0</v>
      </c>
      <c r="AD322" s="136">
        <f t="shared" ca="1" si="32"/>
        <v>0</v>
      </c>
      <c r="AE322" s="249" t="str">
        <f ca="1">IFERROR(VLOOKUP(B322,bond!B:U,20,FALSE),"")</f>
        <v/>
      </c>
      <c r="AF322" s="136" t="e">
        <f ca="1">IF(VLOOKUP(B322,bond!B:AK,36,FALSE)="#N/A Field Not Applicable","",VLOOKUP(B322,bond!B:AK,36,FALSE))</f>
        <v>#N/A</v>
      </c>
      <c r="AG322" s="136" t="e">
        <f ca="1">IF(VLOOKUP(B322,bond!B:AL,37,FALSE)="FIXED","固定",IF(VLOOKUP(B322,bond!B:AL,37,FALSE)="FLOATING","浮動",IF(VLOOKUP(B322,bond!B:AL,37,FALSE)="VARIABLE","變動",IF(VLOOKUP(B322,bond!B:AL,37,FALSE)="FLAT TRADING","不含息交易",IF(VLOOKUP(B322,bond!B:AL,37,FALSE)="ZERO COUPON","零息",VLOOKUP(B322,bond!B:AL,37,FALSE))))))</f>
        <v>#N/A</v>
      </c>
      <c r="AH322" s="136" t="e">
        <f>VLOOKUP(C322,'2_Check_code'!I:J,2,FALSE)</f>
        <v>#N/A</v>
      </c>
      <c r="AI322" s="136" t="e">
        <f t="shared" ca="1" si="33"/>
        <v>#N/A</v>
      </c>
      <c r="AJ322" s="136" t="e">
        <f t="shared" ca="1" si="34"/>
        <v>#N/A</v>
      </c>
      <c r="AK322" s="594" t="e">
        <f ca="1">IF(VLOOKUP(B322,bond!B:S,18,FALSE)="是","有",IF(VLOOKUP(B322,bond!B:S,18,FALSE)="NO OFFER","無","需查詢"))</f>
        <v>#N/A</v>
      </c>
      <c r="AL322" s="136" t="e">
        <f>IF(VLOOKUP(A322,bond!F:AR,39,FALSE)="#N/A Field Not Applicable",VLOOKUP(A322,bond!F:AR,38,FALSE),IFERROR(VLOOKUP(A322,'7_發行日例外'!A:B,2,FALSE),VLOOKUP(A322,bond!F:AR,39,FALSE)))</f>
        <v>#N/A</v>
      </c>
      <c r="AM322" s="136" t="e">
        <f ca="1">VLOOKUP(B322,bond!B:AK,36,FALSE)</f>
        <v>#N/A</v>
      </c>
      <c r="AN322" s="136" t="str">
        <f ca="1">IFERROR(VLOOKUP(B322,'3_是否下架'!A:A,1,FALSE),"")</f>
        <v/>
      </c>
      <c r="AO322" s="136" t="e">
        <f ca="1">VLOOKUP(B322,bond!B:J,9,FALSE)</f>
        <v>#N/A</v>
      </c>
      <c r="AP322" s="136" t="e">
        <f ca="1">VLOOKUP(B322,bond!B:V,21,FALSE)</f>
        <v>#N/A</v>
      </c>
    </row>
    <row r="323" spans="1:42">
      <c r="A323" s="141">
        <f>bond!F324</f>
        <v>0</v>
      </c>
      <c r="B323" s="151">
        <f ca="1">IF($C$1=TRUE,bond!B324,"")</f>
        <v>0</v>
      </c>
      <c r="C323" s="95" t="e">
        <f>VLOOKUP(A323,bond!F:G,2,FALSE)</f>
        <v>#N/A</v>
      </c>
      <c r="D323" s="142" t="e">
        <f ca="1">VLOOKUP(B323,bond!B:C,2,FALSE)</f>
        <v>#N/A</v>
      </c>
      <c r="E323" s="95" t="e">
        <f ca="1">VLOOKUP(B323,bond!B:D,3,FALSE)</f>
        <v>#N/A</v>
      </c>
      <c r="F323" s="99" t="e">
        <f ca="1">VLOOKUP(B323,bond!B:AB,27,FALSE)</f>
        <v>#N/A</v>
      </c>
      <c r="G323" s="90" t="e">
        <f ca="1">VLOOKUP(B323,bond!B:E,4,FALSE)</f>
        <v>#N/A</v>
      </c>
      <c r="H323" s="202" t="e">
        <f ca="1">VLOOKUP(B323,bond!B:Y,24,FALSE)</f>
        <v>#N/A</v>
      </c>
      <c r="I323" s="95" t="e">
        <f ca="1">VLOOKUP(B323,bond!B:Z,25,FALSE)</f>
        <v>#N/A</v>
      </c>
      <c r="J323" s="180" t="e">
        <f ca="1">VLOOKUP(B323,bond!B:K,10,FALSE)</f>
        <v>#N/A</v>
      </c>
      <c r="K323" s="96" t="e">
        <f ca="1">VLOOKUP($B323,bond!B:S,14,FALSE)</f>
        <v>#N/A</v>
      </c>
      <c r="L323" s="91" t="e">
        <f ca="1">VLOOKUP(B323,bond!B:H,7,FALSE)</f>
        <v>#N/A</v>
      </c>
      <c r="M323" s="144" t="e">
        <f ca="1">VLOOKUP($B323,bond!$B:$Q,16,FALSE)</f>
        <v>#N/A</v>
      </c>
      <c r="N323" s="136" t="e">
        <f ca="1">VALUE(LEFT(VLOOKUP(B323,bond!B:R,17,FALSE),SEARCH(" ",VLOOKUP(B323,bond!B:R,17,FALSE),1)))</f>
        <v>#N/A</v>
      </c>
      <c r="O323" s="136" t="e">
        <f ca="1">VALUE(RIGHT(VLOOKUP(B323,bond!B:R,17,FALSE),LEN(VLOOKUP(B323,bond!B:R,17,FALSE))-LEN(N323)-3))</f>
        <v>#N/A</v>
      </c>
      <c r="P323" s="135" t="e">
        <f ca="1">VLOOKUP($B323,bond!$B:$AG,32,FALSE)</f>
        <v>#N/A</v>
      </c>
      <c r="Q323" s="135" t="e">
        <f ca="1">VLOOKUP($B323,bond!$B:$AH,33,FALSE)</f>
        <v>#N/A</v>
      </c>
      <c r="R323" s="135" t="e">
        <f ca="1">VLOOKUP(B323,bond!B:AA,26,FALSE)</f>
        <v>#N/A</v>
      </c>
      <c r="S323" s="135" t="e">
        <f ca="1">VLOOKUP(B323,bond!B:AI,34,FALSE)</f>
        <v>#N/A</v>
      </c>
      <c r="T323" s="135" t="e">
        <f t="shared" ca="1" si="28"/>
        <v>#N/A</v>
      </c>
      <c r="U323" s="207" t="e">
        <f ca="1">IFERROR(VLOOKUP(T323,Bond_DES!D:E,2,FALSE),VLOOKUP(S323,bond!AI:AJ,2,FALSE))</f>
        <v>#N/A</v>
      </c>
      <c r="V323" s="136" t="e">
        <f ca="1">IFERROR(VLOOKUP(B323,'1_重設數據'!L:M,2,FALSE),IF(Q323="政府",IF(AD323&gt;16,"(NPI)非專投",IF(AD323&gt;10,"(PI)專投","高資產")),IF(VLOOKUP(B323,bond!B:AN,39,FALSE)="Y","(PI)專投",IF(AD323&gt;=15,"(NPI)非專投",IF(AD323&gt;=10,"(PI)專投","高資產")))))</f>
        <v>#N/A</v>
      </c>
      <c r="W323" s="136" t="e">
        <f ca="1">VLOOKUP(AD323,'credit rating'!$F$2:$H$22,3,FALSE)</f>
        <v>#N/A</v>
      </c>
      <c r="X323" s="136" t="e">
        <f t="shared" ca="1" si="29"/>
        <v>#N/A</v>
      </c>
      <c r="Y323" s="136" t="e">
        <f t="shared" ca="1" si="30"/>
        <v>#N/A</v>
      </c>
      <c r="Z323" s="136" t="e">
        <f t="shared" ca="1" si="31"/>
        <v>#N/A</v>
      </c>
      <c r="AA323" s="134">
        <f ca="1">IFERROR(VLOOKUP(X323,'credit rating'!A:C,3,FALSE),0)</f>
        <v>0</v>
      </c>
      <c r="AB323" s="134">
        <f ca="1">IFERROR(VLOOKUP(Y323,'credit rating'!B:C,2,FALSE),0)</f>
        <v>0</v>
      </c>
      <c r="AC323" s="136">
        <f ca="1">IFERROR(VLOOKUP(Z323,'credit rating'!B:C,2,FALSE),0)</f>
        <v>0</v>
      </c>
      <c r="AD323" s="136">
        <f t="shared" ca="1" si="32"/>
        <v>0</v>
      </c>
      <c r="AE323" s="249" t="str">
        <f ca="1">IFERROR(VLOOKUP(B323,bond!B:U,20,FALSE),"")</f>
        <v/>
      </c>
      <c r="AF323" s="136" t="e">
        <f ca="1">IF(VLOOKUP(B323,bond!B:AK,36,FALSE)="#N/A Field Not Applicable","",VLOOKUP(B323,bond!B:AK,36,FALSE))</f>
        <v>#N/A</v>
      </c>
      <c r="AG323" s="136" t="e">
        <f ca="1">IF(VLOOKUP(B323,bond!B:AL,37,FALSE)="FIXED","固定",IF(VLOOKUP(B323,bond!B:AL,37,FALSE)="FLOATING","浮動",IF(VLOOKUP(B323,bond!B:AL,37,FALSE)="VARIABLE","變動",IF(VLOOKUP(B323,bond!B:AL,37,FALSE)="FLAT TRADING","不含息交易",IF(VLOOKUP(B323,bond!B:AL,37,FALSE)="ZERO COUPON","零息",VLOOKUP(B323,bond!B:AL,37,FALSE))))))</f>
        <v>#N/A</v>
      </c>
      <c r="AH323" s="136" t="e">
        <f>VLOOKUP(C323,'2_Check_code'!I:J,2,FALSE)</f>
        <v>#N/A</v>
      </c>
      <c r="AI323" s="136" t="e">
        <f t="shared" ca="1" si="33"/>
        <v>#N/A</v>
      </c>
      <c r="AJ323" s="136" t="e">
        <f t="shared" ca="1" si="34"/>
        <v>#N/A</v>
      </c>
      <c r="AK323" s="594" t="e">
        <f ca="1">IF(VLOOKUP(B323,bond!B:S,18,FALSE)="是","有",IF(VLOOKUP(B323,bond!B:S,18,FALSE)="NO OFFER","無","需查詢"))</f>
        <v>#N/A</v>
      </c>
      <c r="AL323" s="136" t="e">
        <f>IF(VLOOKUP(A323,bond!F:AR,39,FALSE)="#N/A Field Not Applicable",VLOOKUP(A323,bond!F:AR,38,FALSE),IFERROR(VLOOKUP(A323,'7_發行日例外'!A:B,2,FALSE),VLOOKUP(A323,bond!F:AR,39,FALSE)))</f>
        <v>#N/A</v>
      </c>
      <c r="AM323" s="136" t="e">
        <f ca="1">VLOOKUP(B323,bond!B:AK,36,FALSE)</f>
        <v>#N/A</v>
      </c>
      <c r="AN323" s="136" t="str">
        <f ca="1">IFERROR(VLOOKUP(B323,'3_是否下架'!A:A,1,FALSE),"")</f>
        <v/>
      </c>
      <c r="AO323" s="136" t="e">
        <f ca="1">VLOOKUP(B323,bond!B:J,9,FALSE)</f>
        <v>#N/A</v>
      </c>
      <c r="AP323" s="136" t="e">
        <f ca="1">VLOOKUP(B323,bond!B:V,21,FALSE)</f>
        <v>#N/A</v>
      </c>
    </row>
    <row r="324" spans="1:42">
      <c r="A324" s="141">
        <f>bond!F325</f>
        <v>0</v>
      </c>
      <c r="B324" s="151">
        <f ca="1">IF($C$1=TRUE,bond!B325,"")</f>
        <v>0</v>
      </c>
      <c r="C324" s="95" t="e">
        <f>VLOOKUP(A324,bond!F:G,2,FALSE)</f>
        <v>#N/A</v>
      </c>
      <c r="D324" s="142" t="e">
        <f ca="1">VLOOKUP(B324,bond!B:C,2,FALSE)</f>
        <v>#N/A</v>
      </c>
      <c r="E324" s="95" t="e">
        <f ca="1">VLOOKUP(B324,bond!B:D,3,FALSE)</f>
        <v>#N/A</v>
      </c>
      <c r="F324" s="99" t="e">
        <f ca="1">VLOOKUP(B324,bond!B:AB,27,FALSE)</f>
        <v>#N/A</v>
      </c>
      <c r="G324" s="90" t="e">
        <f ca="1">VLOOKUP(B324,bond!B:E,4,FALSE)</f>
        <v>#N/A</v>
      </c>
      <c r="H324" s="202" t="e">
        <f ca="1">VLOOKUP(B324,bond!B:Y,24,FALSE)</f>
        <v>#N/A</v>
      </c>
      <c r="I324" s="95" t="e">
        <f ca="1">VLOOKUP(B324,bond!B:Z,25,FALSE)</f>
        <v>#N/A</v>
      </c>
      <c r="J324" s="180" t="e">
        <f ca="1">VLOOKUP(B324,bond!B:K,10,FALSE)</f>
        <v>#N/A</v>
      </c>
      <c r="K324" s="96" t="e">
        <f ca="1">VLOOKUP($B324,bond!B:S,14,FALSE)</f>
        <v>#N/A</v>
      </c>
      <c r="L324" s="91" t="e">
        <f ca="1">VLOOKUP(B324,bond!B:H,7,FALSE)</f>
        <v>#N/A</v>
      </c>
      <c r="M324" s="144" t="e">
        <f ca="1">VLOOKUP($B324,bond!$B:$Q,16,FALSE)</f>
        <v>#N/A</v>
      </c>
      <c r="N324" s="136" t="e">
        <f ca="1">VALUE(LEFT(VLOOKUP(B324,bond!B:R,17,FALSE),SEARCH(" ",VLOOKUP(B324,bond!B:R,17,FALSE),1)))</f>
        <v>#N/A</v>
      </c>
      <c r="O324" s="136" t="e">
        <f ca="1">VALUE(RIGHT(VLOOKUP(B324,bond!B:R,17,FALSE),LEN(VLOOKUP(B324,bond!B:R,17,FALSE))-LEN(N324)-3))</f>
        <v>#N/A</v>
      </c>
      <c r="P324" s="135" t="e">
        <f ca="1">VLOOKUP($B324,bond!$B:$AG,32,FALSE)</f>
        <v>#N/A</v>
      </c>
      <c r="Q324" s="135" t="e">
        <f ca="1">VLOOKUP($B324,bond!$B:$AH,33,FALSE)</f>
        <v>#N/A</v>
      </c>
      <c r="R324" s="135" t="e">
        <f ca="1">VLOOKUP(B324,bond!B:AA,26,FALSE)</f>
        <v>#N/A</v>
      </c>
      <c r="S324" s="135" t="e">
        <f ca="1">VLOOKUP(B324,bond!B:AI,34,FALSE)</f>
        <v>#N/A</v>
      </c>
      <c r="T324" s="135" t="e">
        <f t="shared" ref="T324:T387" ca="1" si="35">CONCATENATE(R324,"/",S324)</f>
        <v>#N/A</v>
      </c>
      <c r="U324" s="207" t="e">
        <f ca="1">IFERROR(VLOOKUP(T324,Bond_DES!D:E,2,FALSE),VLOOKUP(S324,bond!AI:AJ,2,FALSE))</f>
        <v>#N/A</v>
      </c>
      <c r="V324" s="136" t="e">
        <f ca="1">IFERROR(VLOOKUP(B324,'1_重設數據'!L:M,2,FALSE),IF(Q324="政府",IF(AD324&gt;16,"(NPI)非專投",IF(AD324&gt;10,"(PI)專投","高資產")),IF(VLOOKUP(B324,bond!B:AN,39,FALSE)="Y","(PI)專投",IF(AD324&gt;=15,"(NPI)非專投",IF(AD324&gt;=10,"(PI)專投","高資產")))))</f>
        <v>#N/A</v>
      </c>
      <c r="W324" s="136" t="e">
        <f ca="1">VLOOKUP(AD324,'credit rating'!$F$2:$H$22,3,FALSE)</f>
        <v>#N/A</v>
      </c>
      <c r="X324" s="136" t="e">
        <f t="shared" ref="X324:X387" ca="1" si="36">LEFT(E324,SEARCH(" /",E324)-1)</f>
        <v>#N/A</v>
      </c>
      <c r="Y324" s="136" t="e">
        <f t="shared" ref="Y324:Y387" ca="1" si="37">MID(E324,LEN(X324)+4,LEN(E324)-LEN(X324)-LEN(Z324)-6)</f>
        <v>#N/A</v>
      </c>
      <c r="Z324" s="136" t="e">
        <f t="shared" ref="Z324:Z387" ca="1" si="38">TRIM(RIGHT(SUBSTITUTE(E324,"/ ",REPT(" ",99)),99))</f>
        <v>#N/A</v>
      </c>
      <c r="AA324" s="134">
        <f ca="1">IFERROR(VLOOKUP(X324,'credit rating'!A:C,3,FALSE),0)</f>
        <v>0</v>
      </c>
      <c r="AB324" s="134">
        <f ca="1">IFERROR(VLOOKUP(Y324,'credit rating'!B:C,2,FALSE),0)</f>
        <v>0</v>
      </c>
      <c r="AC324" s="136">
        <f ca="1">IFERROR(VLOOKUP(Z324,'credit rating'!B:C,2,FALSE),0)</f>
        <v>0</v>
      </c>
      <c r="AD324" s="136">
        <f t="shared" ref="AD324:AD387" ca="1" si="39">MAX(AA324:AC324)</f>
        <v>0</v>
      </c>
      <c r="AE324" s="249" t="str">
        <f ca="1">IFERROR(VLOOKUP(B324,bond!B:U,20,FALSE),"")</f>
        <v/>
      </c>
      <c r="AF324" s="136" t="e">
        <f ca="1">IF(VLOOKUP(B324,bond!B:AK,36,FALSE)="#N/A Field Not Applicable","",VLOOKUP(B324,bond!B:AK,36,FALSE))</f>
        <v>#N/A</v>
      </c>
      <c r="AG324" s="136" t="e">
        <f ca="1">IF(VLOOKUP(B324,bond!B:AL,37,FALSE)="FIXED","固定",IF(VLOOKUP(B324,bond!B:AL,37,FALSE)="FLOATING","浮動",IF(VLOOKUP(B324,bond!B:AL,37,FALSE)="VARIABLE","變動",IF(VLOOKUP(B324,bond!B:AL,37,FALSE)="FLAT TRADING","不含息交易",IF(VLOOKUP(B324,bond!B:AL,37,FALSE)="ZERO COUPON","零息",VLOOKUP(B324,bond!B:AL,37,FALSE))))))</f>
        <v>#N/A</v>
      </c>
      <c r="AH324" s="136" t="e">
        <f>VLOOKUP(C324,'2_Check_code'!I:J,2,FALSE)</f>
        <v>#N/A</v>
      </c>
      <c r="AI324" s="136" t="e">
        <f t="shared" ref="AI324:AI387" ca="1" si="40">IF(AND(I324=2,C324="USD"),"自由選清單","")</f>
        <v>#N/A</v>
      </c>
      <c r="AJ324" s="136" t="e">
        <f t="shared" ref="AJ324:AJ387" ca="1" si="41">IF(AND(I324=2,C324="USD"),0,1)</f>
        <v>#N/A</v>
      </c>
      <c r="AK324" s="594" t="e">
        <f ca="1">IF(VLOOKUP(B324,bond!B:S,18,FALSE)="是","有",IF(VLOOKUP(B324,bond!B:S,18,FALSE)="NO OFFER","無","需查詢"))</f>
        <v>#N/A</v>
      </c>
      <c r="AL324" s="136" t="e">
        <f>IF(VLOOKUP(A324,bond!F:AR,39,FALSE)="#N/A Field Not Applicable",VLOOKUP(A324,bond!F:AR,38,FALSE),IFERROR(VLOOKUP(A324,'7_發行日例外'!A:B,2,FALSE),VLOOKUP(A324,bond!F:AR,39,FALSE)))</f>
        <v>#N/A</v>
      </c>
      <c r="AM324" s="136" t="e">
        <f ca="1">VLOOKUP(B324,bond!B:AK,36,FALSE)</f>
        <v>#N/A</v>
      </c>
      <c r="AN324" s="136" t="str">
        <f ca="1">IFERROR(VLOOKUP(B324,'3_是否下架'!A:A,1,FALSE),"")</f>
        <v/>
      </c>
      <c r="AO324" s="136" t="e">
        <f ca="1">VLOOKUP(B324,bond!B:J,9,FALSE)</f>
        <v>#N/A</v>
      </c>
      <c r="AP324" s="136" t="e">
        <f ca="1">VLOOKUP(B324,bond!B:V,21,FALSE)</f>
        <v>#N/A</v>
      </c>
    </row>
    <row r="325" spans="1:42">
      <c r="A325" s="141">
        <f>bond!F326</f>
        <v>0</v>
      </c>
      <c r="B325" s="151">
        <f ca="1">IF($C$1=TRUE,bond!B326,"")</f>
        <v>0</v>
      </c>
      <c r="C325" s="95" t="e">
        <f>VLOOKUP(A325,bond!F:G,2,FALSE)</f>
        <v>#N/A</v>
      </c>
      <c r="D325" s="142" t="e">
        <f ca="1">VLOOKUP(B325,bond!B:C,2,FALSE)</f>
        <v>#N/A</v>
      </c>
      <c r="E325" s="95" t="e">
        <f ca="1">VLOOKUP(B325,bond!B:D,3,FALSE)</f>
        <v>#N/A</v>
      </c>
      <c r="F325" s="99" t="e">
        <f ca="1">VLOOKUP(B325,bond!B:AB,27,FALSE)</f>
        <v>#N/A</v>
      </c>
      <c r="G325" s="90" t="e">
        <f ca="1">VLOOKUP(B325,bond!B:E,4,FALSE)</f>
        <v>#N/A</v>
      </c>
      <c r="H325" s="202" t="e">
        <f ca="1">VLOOKUP(B325,bond!B:Y,24,FALSE)</f>
        <v>#N/A</v>
      </c>
      <c r="I325" s="95" t="e">
        <f ca="1">VLOOKUP(B325,bond!B:Z,25,FALSE)</f>
        <v>#N/A</v>
      </c>
      <c r="J325" s="180" t="e">
        <f ca="1">VLOOKUP(B325,bond!B:K,10,FALSE)</f>
        <v>#N/A</v>
      </c>
      <c r="K325" s="96" t="e">
        <f ca="1">VLOOKUP($B325,bond!B:S,14,FALSE)</f>
        <v>#N/A</v>
      </c>
      <c r="L325" s="91" t="e">
        <f ca="1">VLOOKUP(B325,bond!B:H,7,FALSE)</f>
        <v>#N/A</v>
      </c>
      <c r="M325" s="144" t="e">
        <f ca="1">VLOOKUP($B325,bond!$B:$Q,16,FALSE)</f>
        <v>#N/A</v>
      </c>
      <c r="N325" s="136" t="e">
        <f ca="1">VALUE(LEFT(VLOOKUP(B325,bond!B:R,17,FALSE),SEARCH(" ",VLOOKUP(B325,bond!B:R,17,FALSE),1)))</f>
        <v>#N/A</v>
      </c>
      <c r="O325" s="136" t="e">
        <f ca="1">VALUE(RIGHT(VLOOKUP(B325,bond!B:R,17,FALSE),LEN(VLOOKUP(B325,bond!B:R,17,FALSE))-LEN(N325)-3))</f>
        <v>#N/A</v>
      </c>
      <c r="P325" s="135" t="e">
        <f ca="1">VLOOKUP($B325,bond!$B:$AG,32,FALSE)</f>
        <v>#N/A</v>
      </c>
      <c r="Q325" s="135" t="e">
        <f ca="1">VLOOKUP($B325,bond!$B:$AH,33,FALSE)</f>
        <v>#N/A</v>
      </c>
      <c r="R325" s="135" t="e">
        <f ca="1">VLOOKUP(B325,bond!B:AA,26,FALSE)</f>
        <v>#N/A</v>
      </c>
      <c r="S325" s="135" t="e">
        <f ca="1">VLOOKUP(B325,bond!B:AI,34,FALSE)</f>
        <v>#N/A</v>
      </c>
      <c r="T325" s="135" t="e">
        <f t="shared" ca="1" si="35"/>
        <v>#N/A</v>
      </c>
      <c r="U325" s="207" t="e">
        <f ca="1">IFERROR(VLOOKUP(T325,Bond_DES!D:E,2,FALSE),VLOOKUP(S325,bond!AI:AJ,2,FALSE))</f>
        <v>#N/A</v>
      </c>
      <c r="V325" s="136" t="e">
        <f ca="1">IFERROR(VLOOKUP(B325,'1_重設數據'!L:M,2,FALSE),IF(Q325="政府",IF(AD325&gt;16,"(NPI)非專投",IF(AD325&gt;10,"(PI)專投","高資產")),IF(VLOOKUP(B325,bond!B:AN,39,FALSE)="Y","(PI)專投",IF(AD325&gt;=15,"(NPI)非專投",IF(AD325&gt;=10,"(PI)專投","高資產")))))</f>
        <v>#N/A</v>
      </c>
      <c r="W325" s="136" t="e">
        <f ca="1">VLOOKUP(AD325,'credit rating'!$F$2:$H$22,3,FALSE)</f>
        <v>#N/A</v>
      </c>
      <c r="X325" s="136" t="e">
        <f t="shared" ca="1" si="36"/>
        <v>#N/A</v>
      </c>
      <c r="Y325" s="136" t="e">
        <f t="shared" ca="1" si="37"/>
        <v>#N/A</v>
      </c>
      <c r="Z325" s="136" t="e">
        <f t="shared" ca="1" si="38"/>
        <v>#N/A</v>
      </c>
      <c r="AA325" s="134">
        <f ca="1">IFERROR(VLOOKUP(X325,'credit rating'!A:C,3,FALSE),0)</f>
        <v>0</v>
      </c>
      <c r="AB325" s="134">
        <f ca="1">IFERROR(VLOOKUP(Y325,'credit rating'!B:C,2,FALSE),0)</f>
        <v>0</v>
      </c>
      <c r="AC325" s="136">
        <f ca="1">IFERROR(VLOOKUP(Z325,'credit rating'!B:C,2,FALSE),0)</f>
        <v>0</v>
      </c>
      <c r="AD325" s="136">
        <f t="shared" ca="1" si="39"/>
        <v>0</v>
      </c>
      <c r="AE325" s="249" t="str">
        <f ca="1">IFERROR(VLOOKUP(B325,bond!B:U,20,FALSE),"")</f>
        <v/>
      </c>
      <c r="AF325" s="136" t="e">
        <f ca="1">IF(VLOOKUP(B325,bond!B:AK,36,FALSE)="#N/A Field Not Applicable","",VLOOKUP(B325,bond!B:AK,36,FALSE))</f>
        <v>#N/A</v>
      </c>
      <c r="AG325" s="136" t="e">
        <f ca="1">IF(VLOOKUP(B325,bond!B:AL,37,FALSE)="FIXED","固定",IF(VLOOKUP(B325,bond!B:AL,37,FALSE)="FLOATING","浮動",IF(VLOOKUP(B325,bond!B:AL,37,FALSE)="VARIABLE","變動",IF(VLOOKUP(B325,bond!B:AL,37,FALSE)="FLAT TRADING","不含息交易",IF(VLOOKUP(B325,bond!B:AL,37,FALSE)="ZERO COUPON","零息",VLOOKUP(B325,bond!B:AL,37,FALSE))))))</f>
        <v>#N/A</v>
      </c>
      <c r="AH325" s="136" t="e">
        <f>VLOOKUP(C325,'2_Check_code'!I:J,2,FALSE)</f>
        <v>#N/A</v>
      </c>
      <c r="AI325" s="136" t="e">
        <f t="shared" ca="1" si="40"/>
        <v>#N/A</v>
      </c>
      <c r="AJ325" s="136" t="e">
        <f t="shared" ca="1" si="41"/>
        <v>#N/A</v>
      </c>
      <c r="AK325" s="594" t="e">
        <f ca="1">IF(VLOOKUP(B325,bond!B:S,18,FALSE)="是","有",IF(VLOOKUP(B325,bond!B:S,18,FALSE)="NO OFFER","無","需查詢"))</f>
        <v>#N/A</v>
      </c>
      <c r="AL325" s="136" t="e">
        <f>IF(VLOOKUP(A325,bond!F:AR,39,FALSE)="#N/A Field Not Applicable",VLOOKUP(A325,bond!F:AR,38,FALSE),IFERROR(VLOOKUP(A325,'7_發行日例外'!A:B,2,FALSE),VLOOKUP(A325,bond!F:AR,39,FALSE)))</f>
        <v>#N/A</v>
      </c>
      <c r="AM325" s="136" t="e">
        <f ca="1">VLOOKUP(B325,bond!B:AK,36,FALSE)</f>
        <v>#N/A</v>
      </c>
      <c r="AN325" s="136" t="str">
        <f ca="1">IFERROR(VLOOKUP(B325,'3_是否下架'!A:A,1,FALSE),"")</f>
        <v/>
      </c>
      <c r="AO325" s="136" t="e">
        <f ca="1">VLOOKUP(B325,bond!B:J,9,FALSE)</f>
        <v>#N/A</v>
      </c>
      <c r="AP325" s="136" t="e">
        <f ca="1">VLOOKUP(B325,bond!B:V,21,FALSE)</f>
        <v>#N/A</v>
      </c>
    </row>
    <row r="326" spans="1:42">
      <c r="A326" s="141">
        <f>bond!F327</f>
        <v>0</v>
      </c>
      <c r="B326" s="151">
        <f ca="1">IF($C$1=TRUE,bond!B327,"")</f>
        <v>0</v>
      </c>
      <c r="C326" s="95" t="e">
        <f>VLOOKUP(A326,bond!F:G,2,FALSE)</f>
        <v>#N/A</v>
      </c>
      <c r="D326" s="142" t="e">
        <f ca="1">VLOOKUP(B326,bond!B:C,2,FALSE)</f>
        <v>#N/A</v>
      </c>
      <c r="E326" s="95" t="e">
        <f ca="1">VLOOKUP(B326,bond!B:D,3,FALSE)</f>
        <v>#N/A</v>
      </c>
      <c r="F326" s="99" t="e">
        <f ca="1">VLOOKUP(B326,bond!B:AB,27,FALSE)</f>
        <v>#N/A</v>
      </c>
      <c r="G326" s="90" t="e">
        <f ca="1">VLOOKUP(B326,bond!B:E,4,FALSE)</f>
        <v>#N/A</v>
      </c>
      <c r="H326" s="202" t="e">
        <f ca="1">VLOOKUP(B326,bond!B:Y,24,FALSE)</f>
        <v>#N/A</v>
      </c>
      <c r="I326" s="95" t="e">
        <f ca="1">VLOOKUP(B326,bond!B:Z,25,FALSE)</f>
        <v>#N/A</v>
      </c>
      <c r="J326" s="180" t="e">
        <f ca="1">VLOOKUP(B326,bond!B:K,10,FALSE)</f>
        <v>#N/A</v>
      </c>
      <c r="K326" s="96" t="e">
        <f ca="1">VLOOKUP($B326,bond!B:S,14,FALSE)</f>
        <v>#N/A</v>
      </c>
      <c r="L326" s="91" t="e">
        <f ca="1">VLOOKUP(B326,bond!B:H,7,FALSE)</f>
        <v>#N/A</v>
      </c>
      <c r="M326" s="144" t="e">
        <f ca="1">VLOOKUP($B326,bond!$B:$Q,16,FALSE)</f>
        <v>#N/A</v>
      </c>
      <c r="N326" s="136" t="e">
        <f ca="1">VALUE(LEFT(VLOOKUP(B326,bond!B:R,17,FALSE),SEARCH(" ",VLOOKUP(B326,bond!B:R,17,FALSE),1)))</f>
        <v>#N/A</v>
      </c>
      <c r="O326" s="136" t="e">
        <f ca="1">VALUE(RIGHT(VLOOKUP(B326,bond!B:R,17,FALSE),LEN(VLOOKUP(B326,bond!B:R,17,FALSE))-LEN(N326)-3))</f>
        <v>#N/A</v>
      </c>
      <c r="P326" s="135" t="e">
        <f ca="1">VLOOKUP($B326,bond!$B:$AG,32,FALSE)</f>
        <v>#N/A</v>
      </c>
      <c r="Q326" s="135" t="e">
        <f ca="1">VLOOKUP($B326,bond!$B:$AH,33,FALSE)</f>
        <v>#N/A</v>
      </c>
      <c r="R326" s="135" t="e">
        <f ca="1">VLOOKUP(B326,bond!B:AA,26,FALSE)</f>
        <v>#N/A</v>
      </c>
      <c r="S326" s="135" t="e">
        <f ca="1">VLOOKUP(B326,bond!B:AI,34,FALSE)</f>
        <v>#N/A</v>
      </c>
      <c r="T326" s="135" t="e">
        <f t="shared" ca="1" si="35"/>
        <v>#N/A</v>
      </c>
      <c r="U326" s="207" t="e">
        <f ca="1">IFERROR(VLOOKUP(T326,Bond_DES!D:E,2,FALSE),VLOOKUP(S326,bond!AI:AJ,2,FALSE))</f>
        <v>#N/A</v>
      </c>
      <c r="V326" s="136" t="e">
        <f ca="1">IFERROR(VLOOKUP(B326,'1_重設數據'!L:M,2,FALSE),IF(Q326="政府",IF(AD326&gt;16,"(NPI)非專投",IF(AD326&gt;10,"(PI)專投","高資產")),IF(VLOOKUP(B326,bond!B:AN,39,FALSE)="Y","(PI)專投",IF(AD326&gt;=15,"(NPI)非專投",IF(AD326&gt;=10,"(PI)專投","高資產")))))</f>
        <v>#N/A</v>
      </c>
      <c r="W326" s="136" t="e">
        <f ca="1">VLOOKUP(AD326,'credit rating'!$F$2:$H$22,3,FALSE)</f>
        <v>#N/A</v>
      </c>
      <c r="X326" s="136" t="e">
        <f t="shared" ca="1" si="36"/>
        <v>#N/A</v>
      </c>
      <c r="Y326" s="136" t="e">
        <f t="shared" ca="1" si="37"/>
        <v>#N/A</v>
      </c>
      <c r="Z326" s="136" t="e">
        <f t="shared" ca="1" si="38"/>
        <v>#N/A</v>
      </c>
      <c r="AA326" s="134">
        <f ca="1">IFERROR(VLOOKUP(X326,'credit rating'!A:C,3,FALSE),0)</f>
        <v>0</v>
      </c>
      <c r="AB326" s="134">
        <f ca="1">IFERROR(VLOOKUP(Y326,'credit rating'!B:C,2,FALSE),0)</f>
        <v>0</v>
      </c>
      <c r="AC326" s="136">
        <f ca="1">IFERROR(VLOOKUP(Z326,'credit rating'!B:C,2,FALSE),0)</f>
        <v>0</v>
      </c>
      <c r="AD326" s="136">
        <f t="shared" ca="1" si="39"/>
        <v>0</v>
      </c>
      <c r="AE326" s="249" t="str">
        <f ca="1">IFERROR(VLOOKUP(B326,bond!B:U,20,FALSE),"")</f>
        <v/>
      </c>
      <c r="AF326" s="136" t="e">
        <f ca="1">IF(VLOOKUP(B326,bond!B:AK,36,FALSE)="#N/A Field Not Applicable","",VLOOKUP(B326,bond!B:AK,36,FALSE))</f>
        <v>#N/A</v>
      </c>
      <c r="AG326" s="136" t="e">
        <f ca="1">IF(VLOOKUP(B326,bond!B:AL,37,FALSE)="FIXED","固定",IF(VLOOKUP(B326,bond!B:AL,37,FALSE)="FLOATING","浮動",IF(VLOOKUP(B326,bond!B:AL,37,FALSE)="VARIABLE","變動",IF(VLOOKUP(B326,bond!B:AL,37,FALSE)="FLAT TRADING","不含息交易",IF(VLOOKUP(B326,bond!B:AL,37,FALSE)="ZERO COUPON","零息",VLOOKUP(B326,bond!B:AL,37,FALSE))))))</f>
        <v>#N/A</v>
      </c>
      <c r="AH326" s="136" t="e">
        <f>VLOOKUP(C326,'2_Check_code'!I:J,2,FALSE)</f>
        <v>#N/A</v>
      </c>
      <c r="AI326" s="136" t="e">
        <f t="shared" ca="1" si="40"/>
        <v>#N/A</v>
      </c>
      <c r="AJ326" s="136" t="e">
        <f t="shared" ca="1" si="41"/>
        <v>#N/A</v>
      </c>
      <c r="AK326" s="594" t="e">
        <f ca="1">IF(VLOOKUP(B326,bond!B:S,18,FALSE)="是","有",IF(VLOOKUP(B326,bond!B:S,18,FALSE)="NO OFFER","無","需查詢"))</f>
        <v>#N/A</v>
      </c>
      <c r="AL326" s="136" t="e">
        <f>IF(VLOOKUP(A326,bond!F:AR,39,FALSE)="#N/A Field Not Applicable",VLOOKUP(A326,bond!F:AR,38,FALSE),IFERROR(VLOOKUP(A326,'7_發行日例外'!A:B,2,FALSE),VLOOKUP(A326,bond!F:AR,39,FALSE)))</f>
        <v>#N/A</v>
      </c>
      <c r="AM326" s="136" t="e">
        <f ca="1">VLOOKUP(B326,bond!B:AK,36,FALSE)</f>
        <v>#N/A</v>
      </c>
      <c r="AN326" s="136" t="str">
        <f ca="1">IFERROR(VLOOKUP(B326,'3_是否下架'!A:A,1,FALSE),"")</f>
        <v/>
      </c>
      <c r="AO326" s="136" t="e">
        <f ca="1">VLOOKUP(B326,bond!B:J,9,FALSE)</f>
        <v>#N/A</v>
      </c>
      <c r="AP326" s="136" t="e">
        <f ca="1">VLOOKUP(B326,bond!B:V,21,FALSE)</f>
        <v>#N/A</v>
      </c>
    </row>
    <row r="327" spans="1:42">
      <c r="A327" s="141">
        <f>bond!F328</f>
        <v>0</v>
      </c>
      <c r="B327" s="151">
        <f ca="1">IF($C$1=TRUE,bond!B328,"")</f>
        <v>0</v>
      </c>
      <c r="C327" s="95" t="e">
        <f>VLOOKUP(A327,bond!F:G,2,FALSE)</f>
        <v>#N/A</v>
      </c>
      <c r="D327" s="142" t="e">
        <f ca="1">VLOOKUP(B327,bond!B:C,2,FALSE)</f>
        <v>#N/A</v>
      </c>
      <c r="E327" s="95" t="e">
        <f ca="1">VLOOKUP(B327,bond!B:D,3,FALSE)</f>
        <v>#N/A</v>
      </c>
      <c r="F327" s="99" t="e">
        <f ca="1">VLOOKUP(B327,bond!B:AB,27,FALSE)</f>
        <v>#N/A</v>
      </c>
      <c r="G327" s="90" t="e">
        <f ca="1">VLOOKUP(B327,bond!B:E,4,FALSE)</f>
        <v>#N/A</v>
      </c>
      <c r="H327" s="202" t="e">
        <f ca="1">VLOOKUP(B327,bond!B:Y,24,FALSE)</f>
        <v>#N/A</v>
      </c>
      <c r="I327" s="95" t="e">
        <f ca="1">VLOOKUP(B327,bond!B:Z,25,FALSE)</f>
        <v>#N/A</v>
      </c>
      <c r="J327" s="180" t="e">
        <f ca="1">VLOOKUP(B327,bond!B:K,10,FALSE)</f>
        <v>#N/A</v>
      </c>
      <c r="K327" s="96" t="e">
        <f ca="1">VLOOKUP($B327,bond!B:S,14,FALSE)</f>
        <v>#N/A</v>
      </c>
      <c r="L327" s="91" t="e">
        <f ca="1">VLOOKUP(B327,bond!B:H,7,FALSE)</f>
        <v>#N/A</v>
      </c>
      <c r="M327" s="144" t="e">
        <f ca="1">VLOOKUP($B327,bond!$B:$Q,16,FALSE)</f>
        <v>#N/A</v>
      </c>
      <c r="N327" s="136" t="e">
        <f ca="1">VALUE(LEFT(VLOOKUP(B327,bond!B:R,17,FALSE),SEARCH(" ",VLOOKUP(B327,bond!B:R,17,FALSE),1)))</f>
        <v>#N/A</v>
      </c>
      <c r="O327" s="136" t="e">
        <f ca="1">VALUE(RIGHT(VLOOKUP(B327,bond!B:R,17,FALSE),LEN(VLOOKUP(B327,bond!B:R,17,FALSE))-LEN(N327)-3))</f>
        <v>#N/A</v>
      </c>
      <c r="P327" s="135" t="e">
        <f ca="1">VLOOKUP($B327,bond!$B:$AG,32,FALSE)</f>
        <v>#N/A</v>
      </c>
      <c r="Q327" s="135" t="e">
        <f ca="1">VLOOKUP($B327,bond!$B:$AH,33,FALSE)</f>
        <v>#N/A</v>
      </c>
      <c r="R327" s="135" t="e">
        <f ca="1">VLOOKUP(B327,bond!B:AA,26,FALSE)</f>
        <v>#N/A</v>
      </c>
      <c r="S327" s="135" t="e">
        <f ca="1">VLOOKUP(B327,bond!B:AI,34,FALSE)</f>
        <v>#N/A</v>
      </c>
      <c r="T327" s="135" t="e">
        <f t="shared" ca="1" si="35"/>
        <v>#N/A</v>
      </c>
      <c r="U327" s="207" t="e">
        <f ca="1">IFERROR(VLOOKUP(T327,Bond_DES!D:E,2,FALSE),VLOOKUP(S327,bond!AI:AJ,2,FALSE))</f>
        <v>#N/A</v>
      </c>
      <c r="V327" s="136" t="e">
        <f ca="1">IFERROR(VLOOKUP(B327,'1_重設數據'!L:M,2,FALSE),IF(Q327="政府",IF(AD327&gt;16,"(NPI)非專投",IF(AD327&gt;10,"(PI)專投","高資產")),IF(VLOOKUP(B327,bond!B:AN,39,FALSE)="Y","(PI)專投",IF(AD327&gt;=15,"(NPI)非專投",IF(AD327&gt;=10,"(PI)專投","高資產")))))</f>
        <v>#N/A</v>
      </c>
      <c r="W327" s="136" t="e">
        <f ca="1">VLOOKUP(AD327,'credit rating'!$F$2:$H$22,3,FALSE)</f>
        <v>#N/A</v>
      </c>
      <c r="X327" s="136" t="e">
        <f t="shared" ca="1" si="36"/>
        <v>#N/A</v>
      </c>
      <c r="Y327" s="136" t="e">
        <f t="shared" ca="1" si="37"/>
        <v>#N/A</v>
      </c>
      <c r="Z327" s="136" t="e">
        <f t="shared" ca="1" si="38"/>
        <v>#N/A</v>
      </c>
      <c r="AA327" s="134">
        <f ca="1">IFERROR(VLOOKUP(X327,'credit rating'!A:C,3,FALSE),0)</f>
        <v>0</v>
      </c>
      <c r="AB327" s="134">
        <f ca="1">IFERROR(VLOOKUP(Y327,'credit rating'!B:C,2,FALSE),0)</f>
        <v>0</v>
      </c>
      <c r="AC327" s="136">
        <f ca="1">IFERROR(VLOOKUP(Z327,'credit rating'!B:C,2,FALSE),0)</f>
        <v>0</v>
      </c>
      <c r="AD327" s="136">
        <f t="shared" ca="1" si="39"/>
        <v>0</v>
      </c>
      <c r="AE327" s="249" t="str">
        <f ca="1">IFERROR(VLOOKUP(B327,bond!B:U,20,FALSE),"")</f>
        <v/>
      </c>
      <c r="AF327" s="136" t="e">
        <f ca="1">IF(VLOOKUP(B327,bond!B:AK,36,FALSE)="#N/A Field Not Applicable","",VLOOKUP(B327,bond!B:AK,36,FALSE))</f>
        <v>#N/A</v>
      </c>
      <c r="AG327" s="136" t="e">
        <f ca="1">IF(VLOOKUP(B327,bond!B:AL,37,FALSE)="FIXED","固定",IF(VLOOKUP(B327,bond!B:AL,37,FALSE)="FLOATING","浮動",IF(VLOOKUP(B327,bond!B:AL,37,FALSE)="VARIABLE","變動",IF(VLOOKUP(B327,bond!B:AL,37,FALSE)="FLAT TRADING","不含息交易",IF(VLOOKUP(B327,bond!B:AL,37,FALSE)="ZERO COUPON","零息",VLOOKUP(B327,bond!B:AL,37,FALSE))))))</f>
        <v>#N/A</v>
      </c>
      <c r="AH327" s="136" t="e">
        <f>VLOOKUP(C327,'2_Check_code'!I:J,2,FALSE)</f>
        <v>#N/A</v>
      </c>
      <c r="AI327" s="136" t="e">
        <f t="shared" ca="1" si="40"/>
        <v>#N/A</v>
      </c>
      <c r="AJ327" s="136" t="e">
        <f t="shared" ca="1" si="41"/>
        <v>#N/A</v>
      </c>
      <c r="AK327" s="594" t="e">
        <f ca="1">IF(VLOOKUP(B327,bond!B:S,18,FALSE)="是","有",IF(VLOOKUP(B327,bond!B:S,18,FALSE)="NO OFFER","無","需查詢"))</f>
        <v>#N/A</v>
      </c>
      <c r="AL327" s="136" t="e">
        <f>IF(VLOOKUP(A327,bond!F:AR,39,FALSE)="#N/A Field Not Applicable",VLOOKUP(A327,bond!F:AR,38,FALSE),IFERROR(VLOOKUP(A327,'7_發行日例外'!A:B,2,FALSE),VLOOKUP(A327,bond!F:AR,39,FALSE)))</f>
        <v>#N/A</v>
      </c>
      <c r="AM327" s="136" t="e">
        <f ca="1">VLOOKUP(B327,bond!B:AK,36,FALSE)</f>
        <v>#N/A</v>
      </c>
      <c r="AN327" s="136" t="str">
        <f ca="1">IFERROR(VLOOKUP(B327,'3_是否下架'!A:A,1,FALSE),"")</f>
        <v/>
      </c>
      <c r="AO327" s="136" t="e">
        <f ca="1">VLOOKUP(B327,bond!B:J,9,FALSE)</f>
        <v>#N/A</v>
      </c>
      <c r="AP327" s="136" t="e">
        <f ca="1">VLOOKUP(B327,bond!B:V,21,FALSE)</f>
        <v>#N/A</v>
      </c>
    </row>
    <row r="328" spans="1:42">
      <c r="A328" s="141">
        <f>bond!F329</f>
        <v>0</v>
      </c>
      <c r="B328" s="151">
        <f ca="1">IF($C$1=TRUE,bond!B329,"")</f>
        <v>0</v>
      </c>
      <c r="C328" s="95" t="e">
        <f>VLOOKUP(A328,bond!F:G,2,FALSE)</f>
        <v>#N/A</v>
      </c>
      <c r="D328" s="142" t="e">
        <f ca="1">VLOOKUP(B328,bond!B:C,2,FALSE)</f>
        <v>#N/A</v>
      </c>
      <c r="E328" s="95" t="e">
        <f ca="1">VLOOKUP(B328,bond!B:D,3,FALSE)</f>
        <v>#N/A</v>
      </c>
      <c r="F328" s="99" t="e">
        <f ca="1">VLOOKUP(B328,bond!B:AB,27,FALSE)</f>
        <v>#N/A</v>
      </c>
      <c r="G328" s="90" t="e">
        <f ca="1">VLOOKUP(B328,bond!B:E,4,FALSE)</f>
        <v>#N/A</v>
      </c>
      <c r="H328" s="202" t="e">
        <f ca="1">VLOOKUP(B328,bond!B:Y,24,FALSE)</f>
        <v>#N/A</v>
      </c>
      <c r="I328" s="95" t="e">
        <f ca="1">VLOOKUP(B328,bond!B:Z,25,FALSE)</f>
        <v>#N/A</v>
      </c>
      <c r="J328" s="180" t="e">
        <f ca="1">VLOOKUP(B328,bond!B:K,10,FALSE)</f>
        <v>#N/A</v>
      </c>
      <c r="K328" s="96" t="e">
        <f ca="1">VLOOKUP($B328,bond!B:S,14,FALSE)</f>
        <v>#N/A</v>
      </c>
      <c r="L328" s="91" t="e">
        <f ca="1">VLOOKUP(B328,bond!B:H,7,FALSE)</f>
        <v>#N/A</v>
      </c>
      <c r="M328" s="144" t="e">
        <f ca="1">VLOOKUP($B328,bond!$B:$Q,16,FALSE)</f>
        <v>#N/A</v>
      </c>
      <c r="N328" s="136" t="e">
        <f ca="1">VALUE(LEFT(VLOOKUP(B328,bond!B:R,17,FALSE),SEARCH(" ",VLOOKUP(B328,bond!B:R,17,FALSE),1)))</f>
        <v>#N/A</v>
      </c>
      <c r="O328" s="136" t="e">
        <f ca="1">VALUE(RIGHT(VLOOKUP(B328,bond!B:R,17,FALSE),LEN(VLOOKUP(B328,bond!B:R,17,FALSE))-LEN(N328)-3))</f>
        <v>#N/A</v>
      </c>
      <c r="P328" s="135" t="e">
        <f ca="1">VLOOKUP($B328,bond!$B:$AG,32,FALSE)</f>
        <v>#N/A</v>
      </c>
      <c r="Q328" s="135" t="e">
        <f ca="1">VLOOKUP($B328,bond!$B:$AH,33,FALSE)</f>
        <v>#N/A</v>
      </c>
      <c r="R328" s="135" t="e">
        <f ca="1">VLOOKUP(B328,bond!B:AA,26,FALSE)</f>
        <v>#N/A</v>
      </c>
      <c r="S328" s="135" t="e">
        <f ca="1">VLOOKUP(B328,bond!B:AI,34,FALSE)</f>
        <v>#N/A</v>
      </c>
      <c r="T328" s="135" t="e">
        <f t="shared" ca="1" si="35"/>
        <v>#N/A</v>
      </c>
      <c r="U328" s="207" t="e">
        <f ca="1">IFERROR(VLOOKUP(T328,Bond_DES!D:E,2,FALSE),VLOOKUP(S328,bond!AI:AJ,2,FALSE))</f>
        <v>#N/A</v>
      </c>
      <c r="V328" s="136" t="e">
        <f ca="1">IFERROR(VLOOKUP(B328,'1_重設數據'!L:M,2,FALSE),IF(Q328="政府",IF(AD328&gt;16,"(NPI)非專投",IF(AD328&gt;10,"(PI)專投","高資產")),IF(VLOOKUP(B328,bond!B:AN,39,FALSE)="Y","(PI)專投",IF(AD328&gt;=15,"(NPI)非專投",IF(AD328&gt;=10,"(PI)專投","高資產")))))</f>
        <v>#N/A</v>
      </c>
      <c r="W328" s="136" t="e">
        <f ca="1">VLOOKUP(AD328,'credit rating'!$F$2:$H$22,3,FALSE)</f>
        <v>#N/A</v>
      </c>
      <c r="X328" s="136" t="e">
        <f t="shared" ca="1" si="36"/>
        <v>#N/A</v>
      </c>
      <c r="Y328" s="136" t="e">
        <f t="shared" ca="1" si="37"/>
        <v>#N/A</v>
      </c>
      <c r="Z328" s="136" t="e">
        <f t="shared" ca="1" si="38"/>
        <v>#N/A</v>
      </c>
      <c r="AA328" s="134">
        <f ca="1">IFERROR(VLOOKUP(X328,'credit rating'!A:C,3,FALSE),0)</f>
        <v>0</v>
      </c>
      <c r="AB328" s="134">
        <f ca="1">IFERROR(VLOOKUP(Y328,'credit rating'!B:C,2,FALSE),0)</f>
        <v>0</v>
      </c>
      <c r="AC328" s="136">
        <f ca="1">IFERROR(VLOOKUP(Z328,'credit rating'!B:C,2,FALSE),0)</f>
        <v>0</v>
      </c>
      <c r="AD328" s="136">
        <f t="shared" ca="1" si="39"/>
        <v>0</v>
      </c>
      <c r="AE328" s="249" t="str">
        <f ca="1">IFERROR(VLOOKUP(B328,bond!B:U,20,FALSE),"")</f>
        <v/>
      </c>
      <c r="AF328" s="136" t="e">
        <f ca="1">IF(VLOOKUP(B328,bond!B:AK,36,FALSE)="#N/A Field Not Applicable","",VLOOKUP(B328,bond!B:AK,36,FALSE))</f>
        <v>#N/A</v>
      </c>
      <c r="AG328" s="136" t="e">
        <f ca="1">IF(VLOOKUP(B328,bond!B:AL,37,FALSE)="FIXED","固定",IF(VLOOKUP(B328,bond!B:AL,37,FALSE)="FLOATING","浮動",IF(VLOOKUP(B328,bond!B:AL,37,FALSE)="VARIABLE","變動",IF(VLOOKUP(B328,bond!B:AL,37,FALSE)="FLAT TRADING","不含息交易",IF(VLOOKUP(B328,bond!B:AL,37,FALSE)="ZERO COUPON","零息",VLOOKUP(B328,bond!B:AL,37,FALSE))))))</f>
        <v>#N/A</v>
      </c>
      <c r="AH328" s="136" t="e">
        <f>VLOOKUP(C328,'2_Check_code'!I:J,2,FALSE)</f>
        <v>#N/A</v>
      </c>
      <c r="AI328" s="136" t="e">
        <f t="shared" ca="1" si="40"/>
        <v>#N/A</v>
      </c>
      <c r="AJ328" s="136" t="e">
        <f t="shared" ca="1" si="41"/>
        <v>#N/A</v>
      </c>
      <c r="AK328" s="594" t="e">
        <f ca="1">IF(VLOOKUP(B328,bond!B:S,18,FALSE)="是","有",IF(VLOOKUP(B328,bond!B:S,18,FALSE)="NO OFFER","無","需查詢"))</f>
        <v>#N/A</v>
      </c>
      <c r="AL328" s="136" t="e">
        <f>IF(VLOOKUP(A328,bond!F:AR,39,FALSE)="#N/A Field Not Applicable",VLOOKUP(A328,bond!F:AR,38,FALSE),IFERROR(VLOOKUP(A328,'7_發行日例外'!A:B,2,FALSE),VLOOKUP(A328,bond!F:AR,39,FALSE)))</f>
        <v>#N/A</v>
      </c>
      <c r="AM328" s="136" t="e">
        <f ca="1">VLOOKUP(B328,bond!B:AK,36,FALSE)</f>
        <v>#N/A</v>
      </c>
      <c r="AN328" s="136" t="str">
        <f ca="1">IFERROR(VLOOKUP(B328,'3_是否下架'!A:A,1,FALSE),"")</f>
        <v/>
      </c>
      <c r="AO328" s="136" t="e">
        <f ca="1">VLOOKUP(B328,bond!B:J,9,FALSE)</f>
        <v>#N/A</v>
      </c>
      <c r="AP328" s="136" t="e">
        <f ca="1">VLOOKUP(B328,bond!B:V,21,FALSE)</f>
        <v>#N/A</v>
      </c>
    </row>
    <row r="329" spans="1:42">
      <c r="A329" s="141">
        <f>bond!F330</f>
        <v>0</v>
      </c>
      <c r="B329" s="151">
        <f ca="1">IF($C$1=TRUE,bond!B330,"")</f>
        <v>0</v>
      </c>
      <c r="C329" s="95" t="e">
        <f>VLOOKUP(A329,bond!F:G,2,FALSE)</f>
        <v>#N/A</v>
      </c>
      <c r="D329" s="142" t="e">
        <f ca="1">VLOOKUP(B329,bond!B:C,2,FALSE)</f>
        <v>#N/A</v>
      </c>
      <c r="E329" s="95" t="e">
        <f ca="1">VLOOKUP(B329,bond!B:D,3,FALSE)</f>
        <v>#N/A</v>
      </c>
      <c r="F329" s="99" t="e">
        <f ca="1">VLOOKUP(B329,bond!B:AB,27,FALSE)</f>
        <v>#N/A</v>
      </c>
      <c r="G329" s="90" t="e">
        <f ca="1">VLOOKUP(B329,bond!B:E,4,FALSE)</f>
        <v>#N/A</v>
      </c>
      <c r="H329" s="202" t="e">
        <f ca="1">VLOOKUP(B329,bond!B:Y,24,FALSE)</f>
        <v>#N/A</v>
      </c>
      <c r="I329" s="95" t="e">
        <f ca="1">VLOOKUP(B329,bond!B:Z,25,FALSE)</f>
        <v>#N/A</v>
      </c>
      <c r="J329" s="180" t="e">
        <f ca="1">VLOOKUP(B329,bond!B:K,10,FALSE)</f>
        <v>#N/A</v>
      </c>
      <c r="K329" s="96" t="e">
        <f ca="1">VLOOKUP($B329,bond!B:S,14,FALSE)</f>
        <v>#N/A</v>
      </c>
      <c r="L329" s="91" t="e">
        <f ca="1">VLOOKUP(B329,bond!B:H,7,FALSE)</f>
        <v>#N/A</v>
      </c>
      <c r="M329" s="144" t="e">
        <f ca="1">VLOOKUP($B329,bond!$B:$Q,16,FALSE)</f>
        <v>#N/A</v>
      </c>
      <c r="N329" s="136" t="e">
        <f ca="1">VALUE(LEFT(VLOOKUP(B329,bond!B:R,17,FALSE),SEARCH(" ",VLOOKUP(B329,bond!B:R,17,FALSE),1)))</f>
        <v>#N/A</v>
      </c>
      <c r="O329" s="136" t="e">
        <f ca="1">VALUE(RIGHT(VLOOKUP(B329,bond!B:R,17,FALSE),LEN(VLOOKUP(B329,bond!B:R,17,FALSE))-LEN(N329)-3))</f>
        <v>#N/A</v>
      </c>
      <c r="P329" s="135" t="e">
        <f ca="1">VLOOKUP($B329,bond!$B:$AG,32,FALSE)</f>
        <v>#N/A</v>
      </c>
      <c r="Q329" s="135" t="e">
        <f ca="1">VLOOKUP($B329,bond!$B:$AH,33,FALSE)</f>
        <v>#N/A</v>
      </c>
      <c r="R329" s="135" t="e">
        <f ca="1">VLOOKUP(B329,bond!B:AA,26,FALSE)</f>
        <v>#N/A</v>
      </c>
      <c r="S329" s="135" t="e">
        <f ca="1">VLOOKUP(B329,bond!B:AI,34,FALSE)</f>
        <v>#N/A</v>
      </c>
      <c r="T329" s="135" t="e">
        <f t="shared" ca="1" si="35"/>
        <v>#N/A</v>
      </c>
      <c r="U329" s="207" t="e">
        <f ca="1">IFERROR(VLOOKUP(T329,Bond_DES!D:E,2,FALSE),VLOOKUP(S329,bond!AI:AJ,2,FALSE))</f>
        <v>#N/A</v>
      </c>
      <c r="V329" s="136" t="e">
        <f ca="1">IFERROR(VLOOKUP(B329,'1_重設數據'!L:M,2,FALSE),IF(Q329="政府",IF(AD329&gt;16,"(NPI)非專投",IF(AD329&gt;10,"(PI)專投","高資產")),IF(VLOOKUP(B329,bond!B:AN,39,FALSE)="Y","(PI)專投",IF(AD329&gt;=15,"(NPI)非專投",IF(AD329&gt;=10,"(PI)專投","高資產")))))</f>
        <v>#N/A</v>
      </c>
      <c r="W329" s="136" t="e">
        <f ca="1">VLOOKUP(AD329,'credit rating'!$F$2:$H$22,3,FALSE)</f>
        <v>#N/A</v>
      </c>
      <c r="X329" s="136" t="e">
        <f t="shared" ca="1" si="36"/>
        <v>#N/A</v>
      </c>
      <c r="Y329" s="136" t="e">
        <f t="shared" ca="1" si="37"/>
        <v>#N/A</v>
      </c>
      <c r="Z329" s="136" t="e">
        <f t="shared" ca="1" si="38"/>
        <v>#N/A</v>
      </c>
      <c r="AA329" s="134">
        <f ca="1">IFERROR(VLOOKUP(X329,'credit rating'!A:C,3,FALSE),0)</f>
        <v>0</v>
      </c>
      <c r="AB329" s="134">
        <f ca="1">IFERROR(VLOOKUP(Y329,'credit rating'!B:C,2,FALSE),0)</f>
        <v>0</v>
      </c>
      <c r="AC329" s="136">
        <f ca="1">IFERROR(VLOOKUP(Z329,'credit rating'!B:C,2,FALSE),0)</f>
        <v>0</v>
      </c>
      <c r="AD329" s="136">
        <f t="shared" ca="1" si="39"/>
        <v>0</v>
      </c>
      <c r="AE329" s="249" t="str">
        <f ca="1">IFERROR(VLOOKUP(B329,bond!B:U,20,FALSE),"")</f>
        <v/>
      </c>
      <c r="AF329" s="136" t="e">
        <f ca="1">IF(VLOOKUP(B329,bond!B:AK,36,FALSE)="#N/A Field Not Applicable","",VLOOKUP(B329,bond!B:AK,36,FALSE))</f>
        <v>#N/A</v>
      </c>
      <c r="AG329" s="136" t="e">
        <f ca="1">IF(VLOOKUP(B329,bond!B:AL,37,FALSE)="FIXED","固定",IF(VLOOKUP(B329,bond!B:AL,37,FALSE)="FLOATING","浮動",IF(VLOOKUP(B329,bond!B:AL,37,FALSE)="VARIABLE","變動",IF(VLOOKUP(B329,bond!B:AL,37,FALSE)="FLAT TRADING","不含息交易",IF(VLOOKUP(B329,bond!B:AL,37,FALSE)="ZERO COUPON","零息",VLOOKUP(B329,bond!B:AL,37,FALSE))))))</f>
        <v>#N/A</v>
      </c>
      <c r="AH329" s="136" t="e">
        <f>VLOOKUP(C329,'2_Check_code'!I:J,2,FALSE)</f>
        <v>#N/A</v>
      </c>
      <c r="AI329" s="136" t="e">
        <f t="shared" ca="1" si="40"/>
        <v>#N/A</v>
      </c>
      <c r="AJ329" s="136" t="e">
        <f t="shared" ca="1" si="41"/>
        <v>#N/A</v>
      </c>
      <c r="AK329" s="594" t="e">
        <f ca="1">IF(VLOOKUP(B329,bond!B:S,18,FALSE)="是","有",IF(VLOOKUP(B329,bond!B:S,18,FALSE)="NO OFFER","無","需查詢"))</f>
        <v>#N/A</v>
      </c>
      <c r="AL329" s="136" t="e">
        <f>IF(VLOOKUP(A329,bond!F:AR,39,FALSE)="#N/A Field Not Applicable",VLOOKUP(A329,bond!F:AR,38,FALSE),IFERROR(VLOOKUP(A329,'7_發行日例外'!A:B,2,FALSE),VLOOKUP(A329,bond!F:AR,39,FALSE)))</f>
        <v>#N/A</v>
      </c>
      <c r="AM329" s="136" t="e">
        <f ca="1">VLOOKUP(B329,bond!B:AK,36,FALSE)</f>
        <v>#N/A</v>
      </c>
      <c r="AN329" s="136" t="str">
        <f ca="1">IFERROR(VLOOKUP(B329,'3_是否下架'!A:A,1,FALSE),"")</f>
        <v/>
      </c>
      <c r="AO329" s="136" t="e">
        <f ca="1">VLOOKUP(B329,bond!B:J,9,FALSE)</f>
        <v>#N/A</v>
      </c>
      <c r="AP329" s="136" t="e">
        <f ca="1">VLOOKUP(B329,bond!B:V,21,FALSE)</f>
        <v>#N/A</v>
      </c>
    </row>
    <row r="330" spans="1:42">
      <c r="A330" s="141">
        <f>bond!F331</f>
        <v>0</v>
      </c>
      <c r="B330" s="151">
        <f ca="1">IF($C$1=TRUE,bond!B331,"")</f>
        <v>0</v>
      </c>
      <c r="C330" s="95" t="e">
        <f>VLOOKUP(A330,bond!F:G,2,FALSE)</f>
        <v>#N/A</v>
      </c>
      <c r="D330" s="142" t="e">
        <f ca="1">VLOOKUP(B330,bond!B:C,2,FALSE)</f>
        <v>#N/A</v>
      </c>
      <c r="E330" s="95" t="e">
        <f ca="1">VLOOKUP(B330,bond!B:D,3,FALSE)</f>
        <v>#N/A</v>
      </c>
      <c r="F330" s="99" t="e">
        <f ca="1">VLOOKUP(B330,bond!B:AB,27,FALSE)</f>
        <v>#N/A</v>
      </c>
      <c r="G330" s="90" t="e">
        <f ca="1">VLOOKUP(B330,bond!B:E,4,FALSE)</f>
        <v>#N/A</v>
      </c>
      <c r="H330" s="202" t="e">
        <f ca="1">VLOOKUP(B330,bond!B:Y,24,FALSE)</f>
        <v>#N/A</v>
      </c>
      <c r="I330" s="95" t="e">
        <f ca="1">VLOOKUP(B330,bond!B:Z,25,FALSE)</f>
        <v>#N/A</v>
      </c>
      <c r="J330" s="180" t="e">
        <f ca="1">VLOOKUP(B330,bond!B:K,10,FALSE)</f>
        <v>#N/A</v>
      </c>
      <c r="K330" s="96" t="e">
        <f ca="1">VLOOKUP($B330,bond!B:S,14,FALSE)</f>
        <v>#N/A</v>
      </c>
      <c r="L330" s="91" t="e">
        <f ca="1">VLOOKUP(B330,bond!B:H,7,FALSE)</f>
        <v>#N/A</v>
      </c>
      <c r="M330" s="144" t="e">
        <f ca="1">VLOOKUP($B330,bond!$B:$Q,16,FALSE)</f>
        <v>#N/A</v>
      </c>
      <c r="N330" s="136" t="e">
        <f ca="1">VALUE(LEFT(VLOOKUP(B330,bond!B:R,17,FALSE),SEARCH(" ",VLOOKUP(B330,bond!B:R,17,FALSE),1)))</f>
        <v>#N/A</v>
      </c>
      <c r="O330" s="136" t="e">
        <f ca="1">VALUE(RIGHT(VLOOKUP(B330,bond!B:R,17,FALSE),LEN(VLOOKUP(B330,bond!B:R,17,FALSE))-LEN(N330)-3))</f>
        <v>#N/A</v>
      </c>
      <c r="P330" s="135" t="e">
        <f ca="1">VLOOKUP($B330,bond!$B:$AG,32,FALSE)</f>
        <v>#N/A</v>
      </c>
      <c r="Q330" s="135" t="e">
        <f ca="1">VLOOKUP($B330,bond!$B:$AH,33,FALSE)</f>
        <v>#N/A</v>
      </c>
      <c r="R330" s="135" t="e">
        <f ca="1">VLOOKUP(B330,bond!B:AA,26,FALSE)</f>
        <v>#N/A</v>
      </c>
      <c r="S330" s="135" t="e">
        <f ca="1">VLOOKUP(B330,bond!B:AI,34,FALSE)</f>
        <v>#N/A</v>
      </c>
      <c r="T330" s="135" t="e">
        <f t="shared" ca="1" si="35"/>
        <v>#N/A</v>
      </c>
      <c r="U330" s="207" t="e">
        <f ca="1">IFERROR(VLOOKUP(T330,Bond_DES!D:E,2,FALSE),VLOOKUP(S330,bond!AI:AJ,2,FALSE))</f>
        <v>#N/A</v>
      </c>
      <c r="V330" s="136" t="e">
        <f ca="1">IFERROR(VLOOKUP(B330,'1_重設數據'!L:M,2,FALSE),IF(Q330="政府",IF(AD330&gt;16,"(NPI)非專投",IF(AD330&gt;10,"(PI)專投","高資產")),IF(VLOOKUP(B330,bond!B:AN,39,FALSE)="Y","(PI)專投",IF(AD330&gt;=15,"(NPI)非專投",IF(AD330&gt;=10,"(PI)專投","高資產")))))</f>
        <v>#N/A</v>
      </c>
      <c r="W330" s="136" t="e">
        <f ca="1">VLOOKUP(AD330,'credit rating'!$F$2:$H$22,3,FALSE)</f>
        <v>#N/A</v>
      </c>
      <c r="X330" s="136" t="e">
        <f t="shared" ca="1" si="36"/>
        <v>#N/A</v>
      </c>
      <c r="Y330" s="136" t="e">
        <f t="shared" ca="1" si="37"/>
        <v>#N/A</v>
      </c>
      <c r="Z330" s="136" t="e">
        <f t="shared" ca="1" si="38"/>
        <v>#N/A</v>
      </c>
      <c r="AA330" s="134">
        <f ca="1">IFERROR(VLOOKUP(X330,'credit rating'!A:C,3,FALSE),0)</f>
        <v>0</v>
      </c>
      <c r="AB330" s="134">
        <f ca="1">IFERROR(VLOOKUP(Y330,'credit rating'!B:C,2,FALSE),0)</f>
        <v>0</v>
      </c>
      <c r="AC330" s="136">
        <f ca="1">IFERROR(VLOOKUP(Z330,'credit rating'!B:C,2,FALSE),0)</f>
        <v>0</v>
      </c>
      <c r="AD330" s="136">
        <f t="shared" ca="1" si="39"/>
        <v>0</v>
      </c>
      <c r="AE330" s="249" t="str">
        <f ca="1">IFERROR(VLOOKUP(B330,bond!B:U,20,FALSE),"")</f>
        <v/>
      </c>
      <c r="AF330" s="136" t="e">
        <f ca="1">IF(VLOOKUP(B330,bond!B:AK,36,FALSE)="#N/A Field Not Applicable","",VLOOKUP(B330,bond!B:AK,36,FALSE))</f>
        <v>#N/A</v>
      </c>
      <c r="AG330" s="136" t="e">
        <f ca="1">IF(VLOOKUP(B330,bond!B:AL,37,FALSE)="FIXED","固定",IF(VLOOKUP(B330,bond!B:AL,37,FALSE)="FLOATING","浮動",IF(VLOOKUP(B330,bond!B:AL,37,FALSE)="VARIABLE","變動",IF(VLOOKUP(B330,bond!B:AL,37,FALSE)="FLAT TRADING","不含息交易",IF(VLOOKUP(B330,bond!B:AL,37,FALSE)="ZERO COUPON","零息",VLOOKUP(B330,bond!B:AL,37,FALSE))))))</f>
        <v>#N/A</v>
      </c>
      <c r="AH330" s="136" t="e">
        <f>VLOOKUP(C330,'2_Check_code'!I:J,2,FALSE)</f>
        <v>#N/A</v>
      </c>
      <c r="AI330" s="136" t="e">
        <f t="shared" ca="1" si="40"/>
        <v>#N/A</v>
      </c>
      <c r="AJ330" s="136" t="e">
        <f t="shared" ca="1" si="41"/>
        <v>#N/A</v>
      </c>
      <c r="AK330" s="594" t="e">
        <f ca="1">IF(VLOOKUP(B330,bond!B:S,18,FALSE)="是","有",IF(VLOOKUP(B330,bond!B:S,18,FALSE)="NO OFFER","無","需查詢"))</f>
        <v>#N/A</v>
      </c>
      <c r="AL330" s="136" t="e">
        <f>IF(VLOOKUP(A330,bond!F:AR,39,FALSE)="#N/A Field Not Applicable",VLOOKUP(A330,bond!F:AR,38,FALSE),IFERROR(VLOOKUP(A330,'7_發行日例外'!A:B,2,FALSE),VLOOKUP(A330,bond!F:AR,39,FALSE)))</f>
        <v>#N/A</v>
      </c>
      <c r="AM330" s="136" t="e">
        <f ca="1">VLOOKUP(B330,bond!B:AK,36,FALSE)</f>
        <v>#N/A</v>
      </c>
      <c r="AN330" s="136" t="str">
        <f ca="1">IFERROR(VLOOKUP(B330,'3_是否下架'!A:A,1,FALSE),"")</f>
        <v/>
      </c>
      <c r="AO330" s="136" t="e">
        <f ca="1">VLOOKUP(B330,bond!B:J,9,FALSE)</f>
        <v>#N/A</v>
      </c>
      <c r="AP330" s="136" t="e">
        <f ca="1">VLOOKUP(B330,bond!B:V,21,FALSE)</f>
        <v>#N/A</v>
      </c>
    </row>
    <row r="331" spans="1:42">
      <c r="A331" s="141">
        <f>bond!F332</f>
        <v>0</v>
      </c>
      <c r="B331" s="151">
        <f ca="1">IF($C$1=TRUE,bond!B332,"")</f>
        <v>0</v>
      </c>
      <c r="C331" s="95" t="e">
        <f>VLOOKUP(A331,bond!F:G,2,FALSE)</f>
        <v>#N/A</v>
      </c>
      <c r="D331" s="142" t="e">
        <f ca="1">VLOOKUP(B331,bond!B:C,2,FALSE)</f>
        <v>#N/A</v>
      </c>
      <c r="E331" s="95" t="e">
        <f ca="1">VLOOKUP(B331,bond!B:D,3,FALSE)</f>
        <v>#N/A</v>
      </c>
      <c r="F331" s="99" t="e">
        <f ca="1">VLOOKUP(B331,bond!B:AB,27,FALSE)</f>
        <v>#N/A</v>
      </c>
      <c r="G331" s="90" t="e">
        <f ca="1">VLOOKUP(B331,bond!B:E,4,FALSE)</f>
        <v>#N/A</v>
      </c>
      <c r="H331" s="202" t="e">
        <f ca="1">VLOOKUP(B331,bond!B:Y,24,FALSE)</f>
        <v>#N/A</v>
      </c>
      <c r="I331" s="95" t="e">
        <f ca="1">VLOOKUP(B331,bond!B:Z,25,FALSE)</f>
        <v>#N/A</v>
      </c>
      <c r="J331" s="180" t="e">
        <f ca="1">VLOOKUP(B331,bond!B:K,10,FALSE)</f>
        <v>#N/A</v>
      </c>
      <c r="K331" s="96" t="e">
        <f ca="1">VLOOKUP($B331,bond!B:S,14,FALSE)</f>
        <v>#N/A</v>
      </c>
      <c r="L331" s="91" t="e">
        <f ca="1">VLOOKUP(B331,bond!B:H,7,FALSE)</f>
        <v>#N/A</v>
      </c>
      <c r="M331" s="144" t="e">
        <f ca="1">VLOOKUP($B331,bond!$B:$Q,16,FALSE)</f>
        <v>#N/A</v>
      </c>
      <c r="N331" s="136" t="e">
        <f ca="1">VALUE(LEFT(VLOOKUP(B331,bond!B:R,17,FALSE),SEARCH(" ",VLOOKUP(B331,bond!B:R,17,FALSE),1)))</f>
        <v>#N/A</v>
      </c>
      <c r="O331" s="136" t="e">
        <f ca="1">VALUE(RIGHT(VLOOKUP(B331,bond!B:R,17,FALSE),LEN(VLOOKUP(B331,bond!B:R,17,FALSE))-LEN(N331)-3))</f>
        <v>#N/A</v>
      </c>
      <c r="P331" s="135" t="e">
        <f ca="1">VLOOKUP($B331,bond!$B:$AG,32,FALSE)</f>
        <v>#N/A</v>
      </c>
      <c r="Q331" s="135" t="e">
        <f ca="1">VLOOKUP($B331,bond!$B:$AH,33,FALSE)</f>
        <v>#N/A</v>
      </c>
      <c r="R331" s="135" t="e">
        <f ca="1">VLOOKUP(B331,bond!B:AA,26,FALSE)</f>
        <v>#N/A</v>
      </c>
      <c r="S331" s="135" t="e">
        <f ca="1">VLOOKUP(B331,bond!B:AI,34,FALSE)</f>
        <v>#N/A</v>
      </c>
      <c r="T331" s="135" t="e">
        <f t="shared" ca="1" si="35"/>
        <v>#N/A</v>
      </c>
      <c r="U331" s="207" t="e">
        <f ca="1">IFERROR(VLOOKUP(T331,Bond_DES!D:E,2,FALSE),VLOOKUP(S331,bond!AI:AJ,2,FALSE))</f>
        <v>#N/A</v>
      </c>
      <c r="V331" s="136" t="e">
        <f ca="1">IFERROR(VLOOKUP(B331,'1_重設數據'!L:M,2,FALSE),IF(Q331="政府",IF(AD331&gt;16,"(NPI)非專投",IF(AD331&gt;10,"(PI)專投","高資產")),IF(VLOOKUP(B331,bond!B:AN,39,FALSE)="Y","(PI)專投",IF(AD331&gt;=15,"(NPI)非專投",IF(AD331&gt;=10,"(PI)專投","高資產")))))</f>
        <v>#N/A</v>
      </c>
      <c r="W331" s="136" t="e">
        <f ca="1">VLOOKUP(AD331,'credit rating'!$F$2:$H$22,3,FALSE)</f>
        <v>#N/A</v>
      </c>
      <c r="X331" s="136" t="e">
        <f t="shared" ca="1" si="36"/>
        <v>#N/A</v>
      </c>
      <c r="Y331" s="136" t="e">
        <f t="shared" ca="1" si="37"/>
        <v>#N/A</v>
      </c>
      <c r="Z331" s="136" t="e">
        <f t="shared" ca="1" si="38"/>
        <v>#N/A</v>
      </c>
      <c r="AA331" s="134">
        <f ca="1">IFERROR(VLOOKUP(X331,'credit rating'!A:C,3,FALSE),0)</f>
        <v>0</v>
      </c>
      <c r="AB331" s="134">
        <f ca="1">IFERROR(VLOOKUP(Y331,'credit rating'!B:C,2,FALSE),0)</f>
        <v>0</v>
      </c>
      <c r="AC331" s="136">
        <f ca="1">IFERROR(VLOOKUP(Z331,'credit rating'!B:C,2,FALSE),0)</f>
        <v>0</v>
      </c>
      <c r="AD331" s="136">
        <f t="shared" ca="1" si="39"/>
        <v>0</v>
      </c>
      <c r="AE331" s="249" t="str">
        <f ca="1">IFERROR(VLOOKUP(B331,bond!B:U,20,FALSE),"")</f>
        <v/>
      </c>
      <c r="AF331" s="136" t="e">
        <f ca="1">IF(VLOOKUP(B331,bond!B:AK,36,FALSE)="#N/A Field Not Applicable","",VLOOKUP(B331,bond!B:AK,36,FALSE))</f>
        <v>#N/A</v>
      </c>
      <c r="AG331" s="136" t="e">
        <f ca="1">IF(VLOOKUP(B331,bond!B:AL,37,FALSE)="FIXED","固定",IF(VLOOKUP(B331,bond!B:AL,37,FALSE)="FLOATING","浮動",IF(VLOOKUP(B331,bond!B:AL,37,FALSE)="VARIABLE","變動",IF(VLOOKUP(B331,bond!B:AL,37,FALSE)="FLAT TRADING","不含息交易",IF(VLOOKUP(B331,bond!B:AL,37,FALSE)="ZERO COUPON","零息",VLOOKUP(B331,bond!B:AL,37,FALSE))))))</f>
        <v>#N/A</v>
      </c>
      <c r="AH331" s="136" t="e">
        <f>VLOOKUP(C331,'2_Check_code'!I:J,2,FALSE)</f>
        <v>#N/A</v>
      </c>
      <c r="AI331" s="136" t="e">
        <f t="shared" ca="1" si="40"/>
        <v>#N/A</v>
      </c>
      <c r="AJ331" s="136" t="e">
        <f t="shared" ca="1" si="41"/>
        <v>#N/A</v>
      </c>
      <c r="AK331" s="594" t="e">
        <f ca="1">IF(VLOOKUP(B331,bond!B:S,18,FALSE)="是","有",IF(VLOOKUP(B331,bond!B:S,18,FALSE)="NO OFFER","無","需查詢"))</f>
        <v>#N/A</v>
      </c>
      <c r="AL331" s="136" t="e">
        <f>IF(VLOOKUP(A331,bond!F:AR,39,FALSE)="#N/A Field Not Applicable",VLOOKUP(A331,bond!F:AR,38,FALSE),IFERROR(VLOOKUP(A331,'7_發行日例外'!A:B,2,FALSE),VLOOKUP(A331,bond!F:AR,39,FALSE)))</f>
        <v>#N/A</v>
      </c>
      <c r="AM331" s="136" t="e">
        <f ca="1">VLOOKUP(B331,bond!B:AK,36,FALSE)</f>
        <v>#N/A</v>
      </c>
      <c r="AN331" s="136" t="str">
        <f ca="1">IFERROR(VLOOKUP(B331,'3_是否下架'!A:A,1,FALSE),"")</f>
        <v/>
      </c>
      <c r="AO331" s="136" t="e">
        <f ca="1">VLOOKUP(B331,bond!B:J,9,FALSE)</f>
        <v>#N/A</v>
      </c>
      <c r="AP331" s="136" t="e">
        <f ca="1">VLOOKUP(B331,bond!B:V,21,FALSE)</f>
        <v>#N/A</v>
      </c>
    </row>
    <row r="332" spans="1:42">
      <c r="A332" s="141">
        <f>bond!F333</f>
        <v>0</v>
      </c>
      <c r="B332" s="151">
        <f ca="1">IF($C$1=TRUE,bond!B333,"")</f>
        <v>0</v>
      </c>
      <c r="C332" s="95" t="e">
        <f>VLOOKUP(A332,bond!F:G,2,FALSE)</f>
        <v>#N/A</v>
      </c>
      <c r="D332" s="142" t="e">
        <f ca="1">VLOOKUP(B332,bond!B:C,2,FALSE)</f>
        <v>#N/A</v>
      </c>
      <c r="E332" s="95" t="e">
        <f ca="1">VLOOKUP(B332,bond!B:D,3,FALSE)</f>
        <v>#N/A</v>
      </c>
      <c r="F332" s="99" t="e">
        <f ca="1">VLOOKUP(B332,bond!B:AB,27,FALSE)</f>
        <v>#N/A</v>
      </c>
      <c r="G332" s="90" t="e">
        <f ca="1">VLOOKUP(B332,bond!B:E,4,FALSE)</f>
        <v>#N/A</v>
      </c>
      <c r="H332" s="202" t="e">
        <f ca="1">VLOOKUP(B332,bond!B:Y,24,FALSE)</f>
        <v>#N/A</v>
      </c>
      <c r="I332" s="95" t="e">
        <f ca="1">VLOOKUP(B332,bond!B:Z,25,FALSE)</f>
        <v>#N/A</v>
      </c>
      <c r="J332" s="180" t="e">
        <f ca="1">VLOOKUP(B332,bond!B:K,10,FALSE)</f>
        <v>#N/A</v>
      </c>
      <c r="K332" s="96" t="e">
        <f ca="1">VLOOKUP($B332,bond!B:S,14,FALSE)</f>
        <v>#N/A</v>
      </c>
      <c r="L332" s="91" t="e">
        <f ca="1">VLOOKUP(B332,bond!B:H,7,FALSE)</f>
        <v>#N/A</v>
      </c>
      <c r="M332" s="144" t="e">
        <f ca="1">VLOOKUP($B332,bond!$B:$Q,16,FALSE)</f>
        <v>#N/A</v>
      </c>
      <c r="N332" s="136" t="e">
        <f ca="1">VALUE(LEFT(VLOOKUP(B332,bond!B:R,17,FALSE),SEARCH(" ",VLOOKUP(B332,bond!B:R,17,FALSE),1)))</f>
        <v>#N/A</v>
      </c>
      <c r="O332" s="136" t="e">
        <f ca="1">VALUE(RIGHT(VLOOKUP(B332,bond!B:R,17,FALSE),LEN(VLOOKUP(B332,bond!B:R,17,FALSE))-LEN(N332)-3))</f>
        <v>#N/A</v>
      </c>
      <c r="P332" s="135" t="e">
        <f ca="1">VLOOKUP($B332,bond!$B:$AG,32,FALSE)</f>
        <v>#N/A</v>
      </c>
      <c r="Q332" s="135" t="e">
        <f ca="1">VLOOKUP($B332,bond!$B:$AH,33,FALSE)</f>
        <v>#N/A</v>
      </c>
      <c r="R332" s="135" t="e">
        <f ca="1">VLOOKUP(B332,bond!B:AA,26,FALSE)</f>
        <v>#N/A</v>
      </c>
      <c r="S332" s="135" t="e">
        <f ca="1">VLOOKUP(B332,bond!B:AI,34,FALSE)</f>
        <v>#N/A</v>
      </c>
      <c r="T332" s="135" t="e">
        <f t="shared" ca="1" si="35"/>
        <v>#N/A</v>
      </c>
      <c r="U332" s="207" t="e">
        <f ca="1">IFERROR(VLOOKUP(T332,Bond_DES!D:E,2,FALSE),VLOOKUP(S332,bond!AI:AJ,2,FALSE))</f>
        <v>#N/A</v>
      </c>
      <c r="V332" s="136" t="e">
        <f ca="1">IFERROR(VLOOKUP(B332,'1_重設數據'!L:M,2,FALSE),IF(Q332="政府",IF(AD332&gt;16,"(NPI)非專投",IF(AD332&gt;10,"(PI)專投","高資產")),IF(VLOOKUP(B332,bond!B:AN,39,FALSE)="Y","(PI)專投",IF(AD332&gt;=15,"(NPI)非專投",IF(AD332&gt;=10,"(PI)專投","高資產")))))</f>
        <v>#N/A</v>
      </c>
      <c r="W332" s="136" t="e">
        <f ca="1">VLOOKUP(AD332,'credit rating'!$F$2:$H$22,3,FALSE)</f>
        <v>#N/A</v>
      </c>
      <c r="X332" s="136" t="e">
        <f t="shared" ca="1" si="36"/>
        <v>#N/A</v>
      </c>
      <c r="Y332" s="136" t="e">
        <f t="shared" ca="1" si="37"/>
        <v>#N/A</v>
      </c>
      <c r="Z332" s="136" t="e">
        <f t="shared" ca="1" si="38"/>
        <v>#N/A</v>
      </c>
      <c r="AA332" s="134">
        <f ca="1">IFERROR(VLOOKUP(X332,'credit rating'!A:C,3,FALSE),0)</f>
        <v>0</v>
      </c>
      <c r="AB332" s="134">
        <f ca="1">IFERROR(VLOOKUP(Y332,'credit rating'!B:C,2,FALSE),0)</f>
        <v>0</v>
      </c>
      <c r="AC332" s="136">
        <f ca="1">IFERROR(VLOOKUP(Z332,'credit rating'!B:C,2,FALSE),0)</f>
        <v>0</v>
      </c>
      <c r="AD332" s="136">
        <f t="shared" ca="1" si="39"/>
        <v>0</v>
      </c>
      <c r="AE332" s="249" t="str">
        <f ca="1">IFERROR(VLOOKUP(B332,bond!B:U,20,FALSE),"")</f>
        <v/>
      </c>
      <c r="AF332" s="136" t="e">
        <f ca="1">IF(VLOOKUP(B332,bond!B:AK,36,FALSE)="#N/A Field Not Applicable","",VLOOKUP(B332,bond!B:AK,36,FALSE))</f>
        <v>#N/A</v>
      </c>
      <c r="AG332" s="136" t="e">
        <f ca="1">IF(VLOOKUP(B332,bond!B:AL,37,FALSE)="FIXED","固定",IF(VLOOKUP(B332,bond!B:AL,37,FALSE)="FLOATING","浮動",IF(VLOOKUP(B332,bond!B:AL,37,FALSE)="VARIABLE","變動",IF(VLOOKUP(B332,bond!B:AL,37,FALSE)="FLAT TRADING","不含息交易",IF(VLOOKUP(B332,bond!B:AL,37,FALSE)="ZERO COUPON","零息",VLOOKUP(B332,bond!B:AL,37,FALSE))))))</f>
        <v>#N/A</v>
      </c>
      <c r="AH332" s="136" t="e">
        <f>VLOOKUP(C332,'2_Check_code'!I:J,2,FALSE)</f>
        <v>#N/A</v>
      </c>
      <c r="AI332" s="136" t="e">
        <f t="shared" ca="1" si="40"/>
        <v>#N/A</v>
      </c>
      <c r="AJ332" s="136" t="e">
        <f t="shared" ca="1" si="41"/>
        <v>#N/A</v>
      </c>
      <c r="AK332" s="594" t="e">
        <f ca="1">IF(VLOOKUP(B332,bond!B:S,18,FALSE)="是","有",IF(VLOOKUP(B332,bond!B:S,18,FALSE)="NO OFFER","無","需查詢"))</f>
        <v>#N/A</v>
      </c>
      <c r="AL332" s="136" t="e">
        <f>IF(VLOOKUP(A332,bond!F:AR,39,FALSE)="#N/A Field Not Applicable",VLOOKUP(A332,bond!F:AR,38,FALSE),IFERROR(VLOOKUP(A332,'7_發行日例外'!A:B,2,FALSE),VLOOKUP(A332,bond!F:AR,39,FALSE)))</f>
        <v>#N/A</v>
      </c>
      <c r="AM332" s="136" t="e">
        <f ca="1">VLOOKUP(B332,bond!B:AK,36,FALSE)</f>
        <v>#N/A</v>
      </c>
      <c r="AN332" s="136" t="str">
        <f ca="1">IFERROR(VLOOKUP(B332,'3_是否下架'!A:A,1,FALSE),"")</f>
        <v/>
      </c>
      <c r="AO332" s="136" t="e">
        <f ca="1">VLOOKUP(B332,bond!B:J,9,FALSE)</f>
        <v>#N/A</v>
      </c>
      <c r="AP332" s="136" t="e">
        <f ca="1">VLOOKUP(B332,bond!B:V,21,FALSE)</f>
        <v>#N/A</v>
      </c>
    </row>
    <row r="333" spans="1:42">
      <c r="A333" s="141">
        <f>bond!F334</f>
        <v>0</v>
      </c>
      <c r="B333" s="151">
        <f ca="1">IF($C$1=TRUE,bond!B334,"")</f>
        <v>0</v>
      </c>
      <c r="C333" s="95" t="e">
        <f>VLOOKUP(A333,bond!F:G,2,FALSE)</f>
        <v>#N/A</v>
      </c>
      <c r="D333" s="142" t="e">
        <f ca="1">VLOOKUP(B333,bond!B:C,2,FALSE)</f>
        <v>#N/A</v>
      </c>
      <c r="E333" s="95" t="e">
        <f ca="1">VLOOKUP(B333,bond!B:D,3,FALSE)</f>
        <v>#N/A</v>
      </c>
      <c r="F333" s="99" t="e">
        <f ca="1">VLOOKUP(B333,bond!B:AB,27,FALSE)</f>
        <v>#N/A</v>
      </c>
      <c r="G333" s="90" t="e">
        <f ca="1">VLOOKUP(B333,bond!B:E,4,FALSE)</f>
        <v>#N/A</v>
      </c>
      <c r="H333" s="202" t="e">
        <f ca="1">VLOOKUP(B333,bond!B:Y,24,FALSE)</f>
        <v>#N/A</v>
      </c>
      <c r="I333" s="95" t="e">
        <f ca="1">VLOOKUP(B333,bond!B:Z,25,FALSE)</f>
        <v>#N/A</v>
      </c>
      <c r="J333" s="180" t="e">
        <f ca="1">VLOOKUP(B333,bond!B:K,10,FALSE)</f>
        <v>#N/A</v>
      </c>
      <c r="K333" s="96" t="e">
        <f ca="1">VLOOKUP($B333,bond!B:S,14,FALSE)</f>
        <v>#N/A</v>
      </c>
      <c r="L333" s="91" t="e">
        <f ca="1">VLOOKUP(B333,bond!B:H,7,FALSE)</f>
        <v>#N/A</v>
      </c>
      <c r="M333" s="144" t="e">
        <f ca="1">VLOOKUP($B333,bond!$B:$Q,16,FALSE)</f>
        <v>#N/A</v>
      </c>
      <c r="N333" s="136" t="e">
        <f ca="1">VALUE(LEFT(VLOOKUP(B333,bond!B:R,17,FALSE),SEARCH(" ",VLOOKUP(B333,bond!B:R,17,FALSE),1)))</f>
        <v>#N/A</v>
      </c>
      <c r="O333" s="136" t="e">
        <f ca="1">VALUE(RIGHT(VLOOKUP(B333,bond!B:R,17,FALSE),LEN(VLOOKUP(B333,bond!B:R,17,FALSE))-LEN(N333)-3))</f>
        <v>#N/A</v>
      </c>
      <c r="P333" s="135" t="e">
        <f ca="1">VLOOKUP($B333,bond!$B:$AG,32,FALSE)</f>
        <v>#N/A</v>
      </c>
      <c r="Q333" s="135" t="e">
        <f ca="1">VLOOKUP($B333,bond!$B:$AH,33,FALSE)</f>
        <v>#N/A</v>
      </c>
      <c r="R333" s="135" t="e">
        <f ca="1">VLOOKUP(B333,bond!B:AA,26,FALSE)</f>
        <v>#N/A</v>
      </c>
      <c r="S333" s="135" t="e">
        <f ca="1">VLOOKUP(B333,bond!B:AI,34,FALSE)</f>
        <v>#N/A</v>
      </c>
      <c r="T333" s="135" t="e">
        <f t="shared" ca="1" si="35"/>
        <v>#N/A</v>
      </c>
      <c r="U333" s="207" t="e">
        <f ca="1">IFERROR(VLOOKUP(T333,Bond_DES!D:E,2,FALSE),VLOOKUP(S333,bond!AI:AJ,2,FALSE))</f>
        <v>#N/A</v>
      </c>
      <c r="V333" s="136" t="e">
        <f ca="1">IFERROR(VLOOKUP(B333,'1_重設數據'!L:M,2,FALSE),IF(Q333="政府",IF(AD333&gt;16,"(NPI)非專投",IF(AD333&gt;10,"(PI)專投","高資產")),IF(VLOOKUP(B333,bond!B:AN,39,FALSE)="Y","(PI)專投",IF(AD333&gt;=15,"(NPI)非專投",IF(AD333&gt;=10,"(PI)專投","高資產")))))</f>
        <v>#N/A</v>
      </c>
      <c r="W333" s="136" t="e">
        <f ca="1">VLOOKUP(AD333,'credit rating'!$F$2:$H$22,3,FALSE)</f>
        <v>#N/A</v>
      </c>
      <c r="X333" s="136" t="e">
        <f t="shared" ca="1" si="36"/>
        <v>#N/A</v>
      </c>
      <c r="Y333" s="136" t="e">
        <f t="shared" ca="1" si="37"/>
        <v>#N/A</v>
      </c>
      <c r="Z333" s="136" t="e">
        <f t="shared" ca="1" si="38"/>
        <v>#N/A</v>
      </c>
      <c r="AA333" s="134">
        <f ca="1">IFERROR(VLOOKUP(X333,'credit rating'!A:C,3,FALSE),0)</f>
        <v>0</v>
      </c>
      <c r="AB333" s="134">
        <f ca="1">IFERROR(VLOOKUP(Y333,'credit rating'!B:C,2,FALSE),0)</f>
        <v>0</v>
      </c>
      <c r="AC333" s="136">
        <f ca="1">IFERROR(VLOOKUP(Z333,'credit rating'!B:C,2,FALSE),0)</f>
        <v>0</v>
      </c>
      <c r="AD333" s="136">
        <f t="shared" ca="1" si="39"/>
        <v>0</v>
      </c>
      <c r="AE333" s="249" t="str">
        <f ca="1">IFERROR(VLOOKUP(B333,bond!B:U,20,FALSE),"")</f>
        <v/>
      </c>
      <c r="AF333" s="136" t="e">
        <f ca="1">IF(VLOOKUP(B333,bond!B:AK,36,FALSE)="#N/A Field Not Applicable","",VLOOKUP(B333,bond!B:AK,36,FALSE))</f>
        <v>#N/A</v>
      </c>
      <c r="AG333" s="136" t="e">
        <f ca="1">IF(VLOOKUP(B333,bond!B:AL,37,FALSE)="FIXED","固定",IF(VLOOKUP(B333,bond!B:AL,37,FALSE)="FLOATING","浮動",IF(VLOOKUP(B333,bond!B:AL,37,FALSE)="VARIABLE","變動",IF(VLOOKUP(B333,bond!B:AL,37,FALSE)="FLAT TRADING","不含息交易",IF(VLOOKUP(B333,bond!B:AL,37,FALSE)="ZERO COUPON","零息",VLOOKUP(B333,bond!B:AL,37,FALSE))))))</f>
        <v>#N/A</v>
      </c>
      <c r="AH333" s="136" t="e">
        <f>VLOOKUP(C333,'2_Check_code'!I:J,2,FALSE)</f>
        <v>#N/A</v>
      </c>
      <c r="AI333" s="136" t="e">
        <f t="shared" ca="1" si="40"/>
        <v>#N/A</v>
      </c>
      <c r="AJ333" s="136" t="e">
        <f t="shared" ca="1" si="41"/>
        <v>#N/A</v>
      </c>
      <c r="AK333" s="594" t="e">
        <f ca="1">IF(VLOOKUP(B333,bond!B:S,18,FALSE)="是","有",IF(VLOOKUP(B333,bond!B:S,18,FALSE)="NO OFFER","無","需查詢"))</f>
        <v>#N/A</v>
      </c>
      <c r="AL333" s="136" t="e">
        <f>IF(VLOOKUP(A333,bond!F:AR,39,FALSE)="#N/A Field Not Applicable",VLOOKUP(A333,bond!F:AR,38,FALSE),IFERROR(VLOOKUP(A333,'7_發行日例外'!A:B,2,FALSE),VLOOKUP(A333,bond!F:AR,39,FALSE)))</f>
        <v>#N/A</v>
      </c>
      <c r="AM333" s="136" t="e">
        <f ca="1">VLOOKUP(B333,bond!B:AK,36,FALSE)</f>
        <v>#N/A</v>
      </c>
      <c r="AN333" s="136" t="str">
        <f ca="1">IFERROR(VLOOKUP(B333,'3_是否下架'!A:A,1,FALSE),"")</f>
        <v/>
      </c>
      <c r="AO333" s="136" t="e">
        <f ca="1">VLOOKUP(B333,bond!B:J,9,FALSE)</f>
        <v>#N/A</v>
      </c>
      <c r="AP333" s="136" t="e">
        <f ca="1">VLOOKUP(B333,bond!B:V,21,FALSE)</f>
        <v>#N/A</v>
      </c>
    </row>
    <row r="334" spans="1:42">
      <c r="A334" s="141">
        <f>bond!F335</f>
        <v>0</v>
      </c>
      <c r="B334" s="151">
        <f ca="1">IF($C$1=TRUE,bond!B335,"")</f>
        <v>0</v>
      </c>
      <c r="C334" s="95" t="e">
        <f>VLOOKUP(A334,bond!F:G,2,FALSE)</f>
        <v>#N/A</v>
      </c>
      <c r="D334" s="142" t="e">
        <f ca="1">VLOOKUP(B334,bond!B:C,2,FALSE)</f>
        <v>#N/A</v>
      </c>
      <c r="E334" s="95" t="e">
        <f ca="1">VLOOKUP(B334,bond!B:D,3,FALSE)</f>
        <v>#N/A</v>
      </c>
      <c r="F334" s="99" t="e">
        <f ca="1">VLOOKUP(B334,bond!B:AB,27,FALSE)</f>
        <v>#N/A</v>
      </c>
      <c r="G334" s="90" t="e">
        <f ca="1">VLOOKUP(B334,bond!B:E,4,FALSE)</f>
        <v>#N/A</v>
      </c>
      <c r="H334" s="202" t="e">
        <f ca="1">VLOOKUP(B334,bond!B:Y,24,FALSE)</f>
        <v>#N/A</v>
      </c>
      <c r="I334" s="95" t="e">
        <f ca="1">VLOOKUP(B334,bond!B:Z,25,FALSE)</f>
        <v>#N/A</v>
      </c>
      <c r="J334" s="180" t="e">
        <f ca="1">VLOOKUP(B334,bond!B:K,10,FALSE)</f>
        <v>#N/A</v>
      </c>
      <c r="K334" s="96" t="e">
        <f ca="1">VLOOKUP($B334,bond!B:S,14,FALSE)</f>
        <v>#N/A</v>
      </c>
      <c r="L334" s="91" t="e">
        <f ca="1">VLOOKUP(B334,bond!B:H,7,FALSE)</f>
        <v>#N/A</v>
      </c>
      <c r="M334" s="144" t="e">
        <f ca="1">VLOOKUP($B334,bond!$B:$Q,16,FALSE)</f>
        <v>#N/A</v>
      </c>
      <c r="N334" s="136" t="e">
        <f ca="1">VALUE(LEFT(VLOOKUP(B334,bond!B:R,17,FALSE),SEARCH(" ",VLOOKUP(B334,bond!B:R,17,FALSE),1)))</f>
        <v>#N/A</v>
      </c>
      <c r="O334" s="136" t="e">
        <f ca="1">VALUE(RIGHT(VLOOKUP(B334,bond!B:R,17,FALSE),LEN(VLOOKUP(B334,bond!B:R,17,FALSE))-LEN(N334)-3))</f>
        <v>#N/A</v>
      </c>
      <c r="P334" s="135" t="e">
        <f ca="1">VLOOKUP($B334,bond!$B:$AG,32,FALSE)</f>
        <v>#N/A</v>
      </c>
      <c r="Q334" s="135" t="e">
        <f ca="1">VLOOKUP($B334,bond!$B:$AH,33,FALSE)</f>
        <v>#N/A</v>
      </c>
      <c r="R334" s="135" t="e">
        <f ca="1">VLOOKUP(B334,bond!B:AA,26,FALSE)</f>
        <v>#N/A</v>
      </c>
      <c r="S334" s="135" t="e">
        <f ca="1">VLOOKUP(B334,bond!B:AI,34,FALSE)</f>
        <v>#N/A</v>
      </c>
      <c r="T334" s="135" t="e">
        <f t="shared" ca="1" si="35"/>
        <v>#N/A</v>
      </c>
      <c r="U334" s="207" t="e">
        <f ca="1">IFERROR(VLOOKUP(T334,Bond_DES!D:E,2,FALSE),VLOOKUP(S334,bond!AI:AJ,2,FALSE))</f>
        <v>#N/A</v>
      </c>
      <c r="V334" s="136" t="e">
        <f ca="1">IFERROR(VLOOKUP(B334,'1_重設數據'!L:M,2,FALSE),IF(Q334="政府",IF(AD334&gt;16,"(NPI)非專投",IF(AD334&gt;10,"(PI)專投","高資產")),IF(VLOOKUP(B334,bond!B:AN,39,FALSE)="Y","(PI)專投",IF(AD334&gt;=15,"(NPI)非專投",IF(AD334&gt;=10,"(PI)專投","高資產")))))</f>
        <v>#N/A</v>
      </c>
      <c r="W334" s="136" t="e">
        <f ca="1">VLOOKUP(AD334,'credit rating'!$F$2:$H$22,3,FALSE)</f>
        <v>#N/A</v>
      </c>
      <c r="X334" s="136" t="e">
        <f t="shared" ca="1" si="36"/>
        <v>#N/A</v>
      </c>
      <c r="Y334" s="136" t="e">
        <f t="shared" ca="1" si="37"/>
        <v>#N/A</v>
      </c>
      <c r="Z334" s="136" t="e">
        <f t="shared" ca="1" si="38"/>
        <v>#N/A</v>
      </c>
      <c r="AA334" s="134">
        <f ca="1">IFERROR(VLOOKUP(X334,'credit rating'!A:C,3,FALSE),0)</f>
        <v>0</v>
      </c>
      <c r="AB334" s="134">
        <f ca="1">IFERROR(VLOOKUP(Y334,'credit rating'!B:C,2,FALSE),0)</f>
        <v>0</v>
      </c>
      <c r="AC334" s="136">
        <f ca="1">IFERROR(VLOOKUP(Z334,'credit rating'!B:C,2,FALSE),0)</f>
        <v>0</v>
      </c>
      <c r="AD334" s="136">
        <f t="shared" ca="1" si="39"/>
        <v>0</v>
      </c>
      <c r="AE334" s="249" t="str">
        <f ca="1">IFERROR(VLOOKUP(B334,bond!B:U,20,FALSE),"")</f>
        <v/>
      </c>
      <c r="AF334" s="136" t="e">
        <f ca="1">IF(VLOOKUP(B334,bond!B:AK,36,FALSE)="#N/A Field Not Applicable","",VLOOKUP(B334,bond!B:AK,36,FALSE))</f>
        <v>#N/A</v>
      </c>
      <c r="AG334" s="136" t="e">
        <f ca="1">IF(VLOOKUP(B334,bond!B:AL,37,FALSE)="FIXED","固定",IF(VLOOKUP(B334,bond!B:AL,37,FALSE)="FLOATING","浮動",IF(VLOOKUP(B334,bond!B:AL,37,FALSE)="VARIABLE","變動",IF(VLOOKUP(B334,bond!B:AL,37,FALSE)="FLAT TRADING","不含息交易",IF(VLOOKUP(B334,bond!B:AL,37,FALSE)="ZERO COUPON","零息",VLOOKUP(B334,bond!B:AL,37,FALSE))))))</f>
        <v>#N/A</v>
      </c>
      <c r="AH334" s="136" t="e">
        <f>VLOOKUP(C334,'2_Check_code'!I:J,2,FALSE)</f>
        <v>#N/A</v>
      </c>
      <c r="AI334" s="136" t="e">
        <f t="shared" ca="1" si="40"/>
        <v>#N/A</v>
      </c>
      <c r="AJ334" s="136" t="e">
        <f t="shared" ca="1" si="41"/>
        <v>#N/A</v>
      </c>
      <c r="AK334" s="594" t="e">
        <f ca="1">IF(VLOOKUP(B334,bond!B:S,18,FALSE)="是","有",IF(VLOOKUP(B334,bond!B:S,18,FALSE)="NO OFFER","無","需查詢"))</f>
        <v>#N/A</v>
      </c>
      <c r="AL334" s="136" t="e">
        <f>IF(VLOOKUP(A334,bond!F:AR,39,FALSE)="#N/A Field Not Applicable",VLOOKUP(A334,bond!F:AR,38,FALSE),IFERROR(VLOOKUP(A334,'7_發行日例外'!A:B,2,FALSE),VLOOKUP(A334,bond!F:AR,39,FALSE)))</f>
        <v>#N/A</v>
      </c>
      <c r="AM334" s="136" t="e">
        <f ca="1">VLOOKUP(B334,bond!B:AK,36,FALSE)</f>
        <v>#N/A</v>
      </c>
      <c r="AN334" s="136" t="str">
        <f ca="1">IFERROR(VLOOKUP(B334,'3_是否下架'!A:A,1,FALSE),"")</f>
        <v/>
      </c>
      <c r="AO334" s="136" t="e">
        <f ca="1">VLOOKUP(B334,bond!B:J,9,FALSE)</f>
        <v>#N/A</v>
      </c>
      <c r="AP334" s="136" t="e">
        <f ca="1">VLOOKUP(B334,bond!B:V,21,FALSE)</f>
        <v>#N/A</v>
      </c>
    </row>
    <row r="335" spans="1:42">
      <c r="A335" s="141">
        <f>bond!F336</f>
        <v>0</v>
      </c>
      <c r="B335" s="151">
        <f ca="1">IF($C$1=TRUE,bond!B336,"")</f>
        <v>0</v>
      </c>
      <c r="C335" s="95" t="e">
        <f>VLOOKUP(A335,bond!F:G,2,FALSE)</f>
        <v>#N/A</v>
      </c>
      <c r="D335" s="142" t="e">
        <f ca="1">VLOOKUP(B335,bond!B:C,2,FALSE)</f>
        <v>#N/A</v>
      </c>
      <c r="E335" s="95" t="e">
        <f ca="1">VLOOKUP(B335,bond!B:D,3,FALSE)</f>
        <v>#N/A</v>
      </c>
      <c r="F335" s="99" t="e">
        <f ca="1">VLOOKUP(B335,bond!B:AB,27,FALSE)</f>
        <v>#N/A</v>
      </c>
      <c r="G335" s="90" t="e">
        <f ca="1">VLOOKUP(B335,bond!B:E,4,FALSE)</f>
        <v>#N/A</v>
      </c>
      <c r="H335" s="202" t="e">
        <f ca="1">VLOOKUP(B335,bond!B:Y,24,FALSE)</f>
        <v>#N/A</v>
      </c>
      <c r="I335" s="95" t="e">
        <f ca="1">VLOOKUP(B335,bond!B:Z,25,FALSE)</f>
        <v>#N/A</v>
      </c>
      <c r="J335" s="180" t="e">
        <f ca="1">VLOOKUP(B335,bond!B:K,10,FALSE)</f>
        <v>#N/A</v>
      </c>
      <c r="K335" s="96" t="e">
        <f ca="1">VLOOKUP($B335,bond!B:S,14,FALSE)</f>
        <v>#N/A</v>
      </c>
      <c r="L335" s="91" t="e">
        <f ca="1">VLOOKUP(B335,bond!B:H,7,FALSE)</f>
        <v>#N/A</v>
      </c>
      <c r="M335" s="144" t="e">
        <f ca="1">VLOOKUP($B335,bond!$B:$Q,16,FALSE)</f>
        <v>#N/A</v>
      </c>
      <c r="N335" s="136" t="e">
        <f ca="1">VALUE(LEFT(VLOOKUP(B335,bond!B:R,17,FALSE),SEARCH(" ",VLOOKUP(B335,bond!B:R,17,FALSE),1)))</f>
        <v>#N/A</v>
      </c>
      <c r="O335" s="136" t="e">
        <f ca="1">VALUE(RIGHT(VLOOKUP(B335,bond!B:R,17,FALSE),LEN(VLOOKUP(B335,bond!B:R,17,FALSE))-LEN(N335)-3))</f>
        <v>#N/A</v>
      </c>
      <c r="P335" s="135" t="e">
        <f ca="1">VLOOKUP($B335,bond!$B:$AG,32,FALSE)</f>
        <v>#N/A</v>
      </c>
      <c r="Q335" s="135" t="e">
        <f ca="1">VLOOKUP($B335,bond!$B:$AH,33,FALSE)</f>
        <v>#N/A</v>
      </c>
      <c r="R335" s="135" t="e">
        <f ca="1">VLOOKUP(B335,bond!B:AA,26,FALSE)</f>
        <v>#N/A</v>
      </c>
      <c r="S335" s="135" t="e">
        <f ca="1">VLOOKUP(B335,bond!B:AI,34,FALSE)</f>
        <v>#N/A</v>
      </c>
      <c r="T335" s="135" t="e">
        <f t="shared" ca="1" si="35"/>
        <v>#N/A</v>
      </c>
      <c r="U335" s="207" t="e">
        <f ca="1">IFERROR(VLOOKUP(T335,Bond_DES!D:E,2,FALSE),VLOOKUP(S335,bond!AI:AJ,2,FALSE))</f>
        <v>#N/A</v>
      </c>
      <c r="V335" s="136" t="e">
        <f ca="1">IFERROR(VLOOKUP(B335,'1_重設數據'!L:M,2,FALSE),IF(Q335="政府",IF(AD335&gt;16,"(NPI)非專投",IF(AD335&gt;10,"(PI)專投","高資產")),IF(VLOOKUP(B335,bond!B:AN,39,FALSE)="Y","(PI)專投",IF(AD335&gt;=15,"(NPI)非專投",IF(AD335&gt;=10,"(PI)專投","高資產")))))</f>
        <v>#N/A</v>
      </c>
      <c r="W335" s="136" t="e">
        <f ca="1">VLOOKUP(AD335,'credit rating'!$F$2:$H$22,3,FALSE)</f>
        <v>#N/A</v>
      </c>
      <c r="X335" s="136" t="e">
        <f t="shared" ca="1" si="36"/>
        <v>#N/A</v>
      </c>
      <c r="Y335" s="136" t="e">
        <f t="shared" ca="1" si="37"/>
        <v>#N/A</v>
      </c>
      <c r="Z335" s="136" t="e">
        <f t="shared" ca="1" si="38"/>
        <v>#N/A</v>
      </c>
      <c r="AA335" s="134">
        <f ca="1">IFERROR(VLOOKUP(X335,'credit rating'!A:C,3,FALSE),0)</f>
        <v>0</v>
      </c>
      <c r="AB335" s="134">
        <f ca="1">IFERROR(VLOOKUP(Y335,'credit rating'!B:C,2,FALSE),0)</f>
        <v>0</v>
      </c>
      <c r="AC335" s="136">
        <f ca="1">IFERROR(VLOOKUP(Z335,'credit rating'!B:C,2,FALSE),0)</f>
        <v>0</v>
      </c>
      <c r="AD335" s="136">
        <f t="shared" ca="1" si="39"/>
        <v>0</v>
      </c>
      <c r="AE335" s="249" t="str">
        <f ca="1">IFERROR(VLOOKUP(B335,bond!B:U,20,FALSE),"")</f>
        <v/>
      </c>
      <c r="AF335" s="136" t="e">
        <f ca="1">IF(VLOOKUP(B335,bond!B:AK,36,FALSE)="#N/A Field Not Applicable","",VLOOKUP(B335,bond!B:AK,36,FALSE))</f>
        <v>#N/A</v>
      </c>
      <c r="AG335" s="136" t="e">
        <f ca="1">IF(VLOOKUP(B335,bond!B:AL,37,FALSE)="FIXED","固定",IF(VLOOKUP(B335,bond!B:AL,37,FALSE)="FLOATING","浮動",IF(VLOOKUP(B335,bond!B:AL,37,FALSE)="VARIABLE","變動",IF(VLOOKUP(B335,bond!B:AL,37,FALSE)="FLAT TRADING","不含息交易",IF(VLOOKUP(B335,bond!B:AL,37,FALSE)="ZERO COUPON","零息",VLOOKUP(B335,bond!B:AL,37,FALSE))))))</f>
        <v>#N/A</v>
      </c>
      <c r="AH335" s="136" t="e">
        <f>VLOOKUP(C335,'2_Check_code'!I:J,2,FALSE)</f>
        <v>#N/A</v>
      </c>
      <c r="AI335" s="136" t="e">
        <f t="shared" ca="1" si="40"/>
        <v>#N/A</v>
      </c>
      <c r="AJ335" s="136" t="e">
        <f t="shared" ca="1" si="41"/>
        <v>#N/A</v>
      </c>
      <c r="AK335" s="594" t="e">
        <f ca="1">IF(VLOOKUP(B335,bond!B:S,18,FALSE)="是","有",IF(VLOOKUP(B335,bond!B:S,18,FALSE)="NO OFFER","無","需查詢"))</f>
        <v>#N/A</v>
      </c>
      <c r="AL335" s="136" t="e">
        <f>IF(VLOOKUP(A335,bond!F:AR,39,FALSE)="#N/A Field Not Applicable",VLOOKUP(A335,bond!F:AR,38,FALSE),IFERROR(VLOOKUP(A335,'7_發行日例外'!A:B,2,FALSE),VLOOKUP(A335,bond!F:AR,39,FALSE)))</f>
        <v>#N/A</v>
      </c>
      <c r="AM335" s="136" t="e">
        <f ca="1">VLOOKUP(B335,bond!B:AK,36,FALSE)</f>
        <v>#N/A</v>
      </c>
      <c r="AN335" s="136" t="str">
        <f ca="1">IFERROR(VLOOKUP(B335,'3_是否下架'!A:A,1,FALSE),"")</f>
        <v/>
      </c>
      <c r="AO335" s="136" t="e">
        <f ca="1">VLOOKUP(B335,bond!B:J,9,FALSE)</f>
        <v>#N/A</v>
      </c>
      <c r="AP335" s="136" t="e">
        <f ca="1">VLOOKUP(B335,bond!B:V,21,FALSE)</f>
        <v>#N/A</v>
      </c>
    </row>
    <row r="336" spans="1:42">
      <c r="A336" s="141">
        <f>bond!F337</f>
        <v>0</v>
      </c>
      <c r="B336" s="151">
        <f ca="1">IF($C$1=TRUE,bond!B337,"")</f>
        <v>0</v>
      </c>
      <c r="C336" s="95" t="e">
        <f>VLOOKUP(A336,bond!F:G,2,FALSE)</f>
        <v>#N/A</v>
      </c>
      <c r="D336" s="142" t="e">
        <f ca="1">VLOOKUP(B336,bond!B:C,2,FALSE)</f>
        <v>#N/A</v>
      </c>
      <c r="E336" s="95" t="e">
        <f ca="1">VLOOKUP(B336,bond!B:D,3,FALSE)</f>
        <v>#N/A</v>
      </c>
      <c r="F336" s="99" t="e">
        <f ca="1">VLOOKUP(B336,bond!B:AB,27,FALSE)</f>
        <v>#N/A</v>
      </c>
      <c r="G336" s="90" t="e">
        <f ca="1">VLOOKUP(B336,bond!B:E,4,FALSE)</f>
        <v>#N/A</v>
      </c>
      <c r="H336" s="202" t="e">
        <f ca="1">VLOOKUP(B336,bond!B:Y,24,FALSE)</f>
        <v>#N/A</v>
      </c>
      <c r="I336" s="95" t="e">
        <f ca="1">VLOOKUP(B336,bond!B:Z,25,FALSE)</f>
        <v>#N/A</v>
      </c>
      <c r="J336" s="180" t="e">
        <f ca="1">VLOOKUP(B336,bond!B:K,10,FALSE)</f>
        <v>#N/A</v>
      </c>
      <c r="K336" s="96" t="e">
        <f ca="1">VLOOKUP($B336,bond!B:S,14,FALSE)</f>
        <v>#N/A</v>
      </c>
      <c r="L336" s="91" t="e">
        <f ca="1">VLOOKUP(B336,bond!B:H,7,FALSE)</f>
        <v>#N/A</v>
      </c>
      <c r="M336" s="144" t="e">
        <f ca="1">VLOOKUP($B336,bond!$B:$Q,16,FALSE)</f>
        <v>#N/A</v>
      </c>
      <c r="N336" s="136" t="e">
        <f ca="1">VALUE(LEFT(VLOOKUP(B336,bond!B:R,17,FALSE),SEARCH(" ",VLOOKUP(B336,bond!B:R,17,FALSE),1)))</f>
        <v>#N/A</v>
      </c>
      <c r="O336" s="136" t="e">
        <f ca="1">VALUE(RIGHT(VLOOKUP(B336,bond!B:R,17,FALSE),LEN(VLOOKUP(B336,bond!B:R,17,FALSE))-LEN(N336)-3))</f>
        <v>#N/A</v>
      </c>
      <c r="P336" s="135" t="e">
        <f ca="1">VLOOKUP($B336,bond!$B:$AG,32,FALSE)</f>
        <v>#N/A</v>
      </c>
      <c r="Q336" s="135" t="e">
        <f ca="1">VLOOKUP($B336,bond!$B:$AH,33,FALSE)</f>
        <v>#N/A</v>
      </c>
      <c r="R336" s="135" t="e">
        <f ca="1">VLOOKUP(B336,bond!B:AA,26,FALSE)</f>
        <v>#N/A</v>
      </c>
      <c r="S336" s="135" t="e">
        <f ca="1">VLOOKUP(B336,bond!B:AI,34,FALSE)</f>
        <v>#N/A</v>
      </c>
      <c r="T336" s="135" t="e">
        <f t="shared" ca="1" si="35"/>
        <v>#N/A</v>
      </c>
      <c r="U336" s="207" t="e">
        <f ca="1">IFERROR(VLOOKUP(T336,Bond_DES!D:E,2,FALSE),VLOOKUP(S336,bond!AI:AJ,2,FALSE))</f>
        <v>#N/A</v>
      </c>
      <c r="V336" s="136" t="e">
        <f ca="1">IFERROR(VLOOKUP(B336,'1_重設數據'!L:M,2,FALSE),IF(Q336="政府",IF(AD336&gt;16,"(NPI)非專投",IF(AD336&gt;10,"(PI)專投","高資產")),IF(VLOOKUP(B336,bond!B:AN,39,FALSE)="Y","(PI)專投",IF(AD336&gt;=15,"(NPI)非專投",IF(AD336&gt;=10,"(PI)專投","高資產")))))</f>
        <v>#N/A</v>
      </c>
      <c r="W336" s="136" t="e">
        <f ca="1">VLOOKUP(AD336,'credit rating'!$F$2:$H$22,3,FALSE)</f>
        <v>#N/A</v>
      </c>
      <c r="X336" s="136" t="e">
        <f t="shared" ca="1" si="36"/>
        <v>#N/A</v>
      </c>
      <c r="Y336" s="136" t="e">
        <f t="shared" ca="1" si="37"/>
        <v>#N/A</v>
      </c>
      <c r="Z336" s="136" t="e">
        <f t="shared" ca="1" si="38"/>
        <v>#N/A</v>
      </c>
      <c r="AA336" s="134">
        <f ca="1">IFERROR(VLOOKUP(X336,'credit rating'!A:C,3,FALSE),0)</f>
        <v>0</v>
      </c>
      <c r="AB336" s="134">
        <f ca="1">IFERROR(VLOOKUP(Y336,'credit rating'!B:C,2,FALSE),0)</f>
        <v>0</v>
      </c>
      <c r="AC336" s="136">
        <f ca="1">IFERROR(VLOOKUP(Z336,'credit rating'!B:C,2,FALSE),0)</f>
        <v>0</v>
      </c>
      <c r="AD336" s="136">
        <f t="shared" ca="1" si="39"/>
        <v>0</v>
      </c>
      <c r="AE336" s="249" t="str">
        <f ca="1">IFERROR(VLOOKUP(B336,bond!B:U,20,FALSE),"")</f>
        <v/>
      </c>
      <c r="AF336" s="136" t="e">
        <f ca="1">IF(VLOOKUP(B336,bond!B:AK,36,FALSE)="#N/A Field Not Applicable","",VLOOKUP(B336,bond!B:AK,36,FALSE))</f>
        <v>#N/A</v>
      </c>
      <c r="AG336" s="136" t="e">
        <f ca="1">IF(VLOOKUP(B336,bond!B:AL,37,FALSE)="FIXED","固定",IF(VLOOKUP(B336,bond!B:AL,37,FALSE)="FLOATING","浮動",IF(VLOOKUP(B336,bond!B:AL,37,FALSE)="VARIABLE","變動",IF(VLOOKUP(B336,bond!B:AL,37,FALSE)="FLAT TRADING","不含息交易",IF(VLOOKUP(B336,bond!B:AL,37,FALSE)="ZERO COUPON","零息",VLOOKUP(B336,bond!B:AL,37,FALSE))))))</f>
        <v>#N/A</v>
      </c>
      <c r="AH336" s="136" t="e">
        <f>VLOOKUP(C336,'2_Check_code'!I:J,2,FALSE)</f>
        <v>#N/A</v>
      </c>
      <c r="AI336" s="136" t="e">
        <f t="shared" ca="1" si="40"/>
        <v>#N/A</v>
      </c>
      <c r="AJ336" s="136" t="e">
        <f t="shared" ca="1" si="41"/>
        <v>#N/A</v>
      </c>
      <c r="AK336" s="594" t="e">
        <f ca="1">IF(VLOOKUP(B336,bond!B:S,18,FALSE)="是","有",IF(VLOOKUP(B336,bond!B:S,18,FALSE)="NO OFFER","無","需查詢"))</f>
        <v>#N/A</v>
      </c>
      <c r="AL336" s="136" t="e">
        <f>IF(VLOOKUP(A336,bond!F:AR,39,FALSE)="#N/A Field Not Applicable",VLOOKUP(A336,bond!F:AR,38,FALSE),IFERROR(VLOOKUP(A336,'7_發行日例外'!A:B,2,FALSE),VLOOKUP(A336,bond!F:AR,39,FALSE)))</f>
        <v>#N/A</v>
      </c>
      <c r="AM336" s="136" t="e">
        <f ca="1">VLOOKUP(B336,bond!B:AK,36,FALSE)</f>
        <v>#N/A</v>
      </c>
      <c r="AN336" s="136" t="str">
        <f ca="1">IFERROR(VLOOKUP(B336,'3_是否下架'!A:A,1,FALSE),"")</f>
        <v/>
      </c>
      <c r="AO336" s="136" t="e">
        <f ca="1">VLOOKUP(B336,bond!B:J,9,FALSE)</f>
        <v>#N/A</v>
      </c>
      <c r="AP336" s="136" t="e">
        <f ca="1">VLOOKUP(B336,bond!B:V,21,FALSE)</f>
        <v>#N/A</v>
      </c>
    </row>
    <row r="337" spans="1:42">
      <c r="A337" s="141">
        <f>bond!F338</f>
        <v>0</v>
      </c>
      <c r="B337" s="151">
        <f ca="1">IF($C$1=TRUE,bond!B338,"")</f>
        <v>0</v>
      </c>
      <c r="C337" s="95" t="e">
        <f>VLOOKUP(A337,bond!F:G,2,FALSE)</f>
        <v>#N/A</v>
      </c>
      <c r="D337" s="142" t="e">
        <f ca="1">VLOOKUP(B337,bond!B:C,2,FALSE)</f>
        <v>#N/A</v>
      </c>
      <c r="E337" s="95" t="e">
        <f ca="1">VLOOKUP(B337,bond!B:D,3,FALSE)</f>
        <v>#N/A</v>
      </c>
      <c r="F337" s="99" t="e">
        <f ca="1">VLOOKUP(B337,bond!B:AB,27,FALSE)</f>
        <v>#N/A</v>
      </c>
      <c r="G337" s="90" t="e">
        <f ca="1">VLOOKUP(B337,bond!B:E,4,FALSE)</f>
        <v>#N/A</v>
      </c>
      <c r="H337" s="202" t="e">
        <f ca="1">VLOOKUP(B337,bond!B:Y,24,FALSE)</f>
        <v>#N/A</v>
      </c>
      <c r="I337" s="95" t="e">
        <f ca="1">VLOOKUP(B337,bond!B:Z,25,FALSE)</f>
        <v>#N/A</v>
      </c>
      <c r="J337" s="180" t="e">
        <f ca="1">VLOOKUP(B337,bond!B:K,10,FALSE)</f>
        <v>#N/A</v>
      </c>
      <c r="K337" s="96" t="e">
        <f ca="1">VLOOKUP($B337,bond!B:S,14,FALSE)</f>
        <v>#N/A</v>
      </c>
      <c r="L337" s="91" t="e">
        <f ca="1">VLOOKUP(B337,bond!B:H,7,FALSE)</f>
        <v>#N/A</v>
      </c>
      <c r="M337" s="144" t="e">
        <f ca="1">VLOOKUP($B337,bond!$B:$Q,16,FALSE)</f>
        <v>#N/A</v>
      </c>
      <c r="N337" s="136" t="e">
        <f ca="1">VALUE(LEFT(VLOOKUP(B337,bond!B:R,17,FALSE),SEARCH(" ",VLOOKUP(B337,bond!B:R,17,FALSE),1)))</f>
        <v>#N/A</v>
      </c>
      <c r="O337" s="136" t="e">
        <f ca="1">VALUE(RIGHT(VLOOKUP(B337,bond!B:R,17,FALSE),LEN(VLOOKUP(B337,bond!B:R,17,FALSE))-LEN(N337)-3))</f>
        <v>#N/A</v>
      </c>
      <c r="P337" s="135" t="e">
        <f ca="1">VLOOKUP($B337,bond!$B:$AG,32,FALSE)</f>
        <v>#N/A</v>
      </c>
      <c r="Q337" s="135" t="e">
        <f ca="1">VLOOKUP($B337,bond!$B:$AH,33,FALSE)</f>
        <v>#N/A</v>
      </c>
      <c r="R337" s="135" t="e">
        <f ca="1">VLOOKUP(B337,bond!B:AA,26,FALSE)</f>
        <v>#N/A</v>
      </c>
      <c r="S337" s="135" t="e">
        <f ca="1">VLOOKUP(B337,bond!B:AI,34,FALSE)</f>
        <v>#N/A</v>
      </c>
      <c r="T337" s="135" t="e">
        <f t="shared" ca="1" si="35"/>
        <v>#N/A</v>
      </c>
      <c r="U337" s="207" t="e">
        <f ca="1">IFERROR(VLOOKUP(T337,Bond_DES!D:E,2,FALSE),VLOOKUP(S337,bond!AI:AJ,2,FALSE))</f>
        <v>#N/A</v>
      </c>
      <c r="V337" s="136" t="e">
        <f ca="1">IFERROR(VLOOKUP(B337,'1_重設數據'!L:M,2,FALSE),IF(Q337="政府",IF(AD337&gt;16,"(NPI)非專投",IF(AD337&gt;10,"(PI)專投","高資產")),IF(VLOOKUP(B337,bond!B:AN,39,FALSE)="Y","(PI)專投",IF(AD337&gt;=15,"(NPI)非專投",IF(AD337&gt;=10,"(PI)專投","高資產")))))</f>
        <v>#N/A</v>
      </c>
      <c r="W337" s="136" t="e">
        <f ca="1">VLOOKUP(AD337,'credit rating'!$F$2:$H$22,3,FALSE)</f>
        <v>#N/A</v>
      </c>
      <c r="X337" s="136" t="e">
        <f t="shared" ca="1" si="36"/>
        <v>#N/A</v>
      </c>
      <c r="Y337" s="136" t="e">
        <f t="shared" ca="1" si="37"/>
        <v>#N/A</v>
      </c>
      <c r="Z337" s="136" t="e">
        <f t="shared" ca="1" si="38"/>
        <v>#N/A</v>
      </c>
      <c r="AA337" s="134">
        <f ca="1">IFERROR(VLOOKUP(X337,'credit rating'!A:C,3,FALSE),0)</f>
        <v>0</v>
      </c>
      <c r="AB337" s="134">
        <f ca="1">IFERROR(VLOOKUP(Y337,'credit rating'!B:C,2,FALSE),0)</f>
        <v>0</v>
      </c>
      <c r="AC337" s="136">
        <f ca="1">IFERROR(VLOOKUP(Z337,'credit rating'!B:C,2,FALSE),0)</f>
        <v>0</v>
      </c>
      <c r="AD337" s="136">
        <f t="shared" ca="1" si="39"/>
        <v>0</v>
      </c>
      <c r="AE337" s="249" t="str">
        <f ca="1">IFERROR(VLOOKUP(B337,bond!B:U,20,FALSE),"")</f>
        <v/>
      </c>
      <c r="AF337" s="136" t="e">
        <f ca="1">IF(VLOOKUP(B337,bond!B:AK,36,FALSE)="#N/A Field Not Applicable","",VLOOKUP(B337,bond!B:AK,36,FALSE))</f>
        <v>#N/A</v>
      </c>
      <c r="AG337" s="136" t="e">
        <f ca="1">IF(VLOOKUP(B337,bond!B:AL,37,FALSE)="FIXED","固定",IF(VLOOKUP(B337,bond!B:AL,37,FALSE)="FLOATING","浮動",IF(VLOOKUP(B337,bond!B:AL,37,FALSE)="VARIABLE","變動",IF(VLOOKUP(B337,bond!B:AL,37,FALSE)="FLAT TRADING","不含息交易",IF(VLOOKUP(B337,bond!B:AL,37,FALSE)="ZERO COUPON","零息",VLOOKUP(B337,bond!B:AL,37,FALSE))))))</f>
        <v>#N/A</v>
      </c>
      <c r="AH337" s="136" t="e">
        <f>VLOOKUP(C337,'2_Check_code'!I:J,2,FALSE)</f>
        <v>#N/A</v>
      </c>
      <c r="AI337" s="136" t="e">
        <f t="shared" ca="1" si="40"/>
        <v>#N/A</v>
      </c>
      <c r="AJ337" s="136" t="e">
        <f t="shared" ca="1" si="41"/>
        <v>#N/A</v>
      </c>
      <c r="AK337" s="594" t="e">
        <f ca="1">IF(VLOOKUP(B337,bond!B:S,18,FALSE)="是","有",IF(VLOOKUP(B337,bond!B:S,18,FALSE)="NO OFFER","無","需查詢"))</f>
        <v>#N/A</v>
      </c>
      <c r="AL337" s="136" t="e">
        <f>IF(VLOOKUP(A337,bond!F:AR,39,FALSE)="#N/A Field Not Applicable",VLOOKUP(A337,bond!F:AR,38,FALSE),IFERROR(VLOOKUP(A337,'7_發行日例外'!A:B,2,FALSE),VLOOKUP(A337,bond!F:AR,39,FALSE)))</f>
        <v>#N/A</v>
      </c>
      <c r="AM337" s="136" t="e">
        <f ca="1">VLOOKUP(B337,bond!B:AK,36,FALSE)</f>
        <v>#N/A</v>
      </c>
      <c r="AN337" s="136" t="str">
        <f ca="1">IFERROR(VLOOKUP(B337,'3_是否下架'!A:A,1,FALSE),"")</f>
        <v/>
      </c>
      <c r="AO337" s="136" t="e">
        <f ca="1">VLOOKUP(B337,bond!B:J,9,FALSE)</f>
        <v>#N/A</v>
      </c>
      <c r="AP337" s="136" t="e">
        <f ca="1">VLOOKUP(B337,bond!B:V,21,FALSE)</f>
        <v>#N/A</v>
      </c>
    </row>
    <row r="338" spans="1:42">
      <c r="A338" s="141">
        <f>bond!F339</f>
        <v>0</v>
      </c>
      <c r="B338" s="151">
        <f ca="1">IF($C$1=TRUE,bond!B339,"")</f>
        <v>0</v>
      </c>
      <c r="C338" s="95" t="e">
        <f>VLOOKUP(A338,bond!F:G,2,FALSE)</f>
        <v>#N/A</v>
      </c>
      <c r="D338" s="142" t="e">
        <f ca="1">VLOOKUP(B338,bond!B:C,2,FALSE)</f>
        <v>#N/A</v>
      </c>
      <c r="E338" s="95" t="e">
        <f ca="1">VLOOKUP(B338,bond!B:D,3,FALSE)</f>
        <v>#N/A</v>
      </c>
      <c r="F338" s="99" t="e">
        <f ca="1">VLOOKUP(B338,bond!B:AB,27,FALSE)</f>
        <v>#N/A</v>
      </c>
      <c r="G338" s="90" t="e">
        <f ca="1">VLOOKUP(B338,bond!B:E,4,FALSE)</f>
        <v>#N/A</v>
      </c>
      <c r="H338" s="202" t="e">
        <f ca="1">VLOOKUP(B338,bond!B:Y,24,FALSE)</f>
        <v>#N/A</v>
      </c>
      <c r="I338" s="95" t="e">
        <f ca="1">VLOOKUP(B338,bond!B:Z,25,FALSE)</f>
        <v>#N/A</v>
      </c>
      <c r="J338" s="180" t="e">
        <f ca="1">VLOOKUP(B338,bond!B:K,10,FALSE)</f>
        <v>#N/A</v>
      </c>
      <c r="K338" s="96" t="e">
        <f ca="1">VLOOKUP($B338,bond!B:S,14,FALSE)</f>
        <v>#N/A</v>
      </c>
      <c r="L338" s="91" t="e">
        <f ca="1">VLOOKUP(B338,bond!B:H,7,FALSE)</f>
        <v>#N/A</v>
      </c>
      <c r="M338" s="144" t="e">
        <f ca="1">VLOOKUP($B338,bond!$B:$Q,16,FALSE)</f>
        <v>#N/A</v>
      </c>
      <c r="N338" s="136" t="e">
        <f ca="1">VALUE(LEFT(VLOOKUP(B338,bond!B:R,17,FALSE),SEARCH(" ",VLOOKUP(B338,bond!B:R,17,FALSE),1)))</f>
        <v>#N/A</v>
      </c>
      <c r="O338" s="136" t="e">
        <f ca="1">VALUE(RIGHT(VLOOKUP(B338,bond!B:R,17,FALSE),LEN(VLOOKUP(B338,bond!B:R,17,FALSE))-LEN(N338)-3))</f>
        <v>#N/A</v>
      </c>
      <c r="P338" s="135" t="e">
        <f ca="1">VLOOKUP($B338,bond!$B:$AG,32,FALSE)</f>
        <v>#N/A</v>
      </c>
      <c r="Q338" s="135" t="e">
        <f ca="1">VLOOKUP($B338,bond!$B:$AH,33,FALSE)</f>
        <v>#N/A</v>
      </c>
      <c r="R338" s="135" t="e">
        <f ca="1">VLOOKUP(B338,bond!B:AA,26,FALSE)</f>
        <v>#N/A</v>
      </c>
      <c r="S338" s="135" t="e">
        <f ca="1">VLOOKUP(B338,bond!B:AI,34,FALSE)</f>
        <v>#N/A</v>
      </c>
      <c r="T338" s="135" t="e">
        <f t="shared" ca="1" si="35"/>
        <v>#N/A</v>
      </c>
      <c r="U338" s="207" t="e">
        <f ca="1">IFERROR(VLOOKUP(T338,Bond_DES!D:E,2,FALSE),VLOOKUP(S338,bond!AI:AJ,2,FALSE))</f>
        <v>#N/A</v>
      </c>
      <c r="V338" s="136" t="e">
        <f ca="1">IFERROR(VLOOKUP(B338,'1_重設數據'!L:M,2,FALSE),IF(Q338="政府",IF(AD338&gt;16,"(NPI)非專投",IF(AD338&gt;10,"(PI)專投","高資產")),IF(VLOOKUP(B338,bond!B:AN,39,FALSE)="Y","(PI)專投",IF(AD338&gt;=15,"(NPI)非專投",IF(AD338&gt;=10,"(PI)專投","高資產")))))</f>
        <v>#N/A</v>
      </c>
      <c r="W338" s="136" t="e">
        <f ca="1">VLOOKUP(AD338,'credit rating'!$F$2:$H$22,3,FALSE)</f>
        <v>#N/A</v>
      </c>
      <c r="X338" s="136" t="e">
        <f t="shared" ca="1" si="36"/>
        <v>#N/A</v>
      </c>
      <c r="Y338" s="136" t="e">
        <f t="shared" ca="1" si="37"/>
        <v>#N/A</v>
      </c>
      <c r="Z338" s="136" t="e">
        <f t="shared" ca="1" si="38"/>
        <v>#N/A</v>
      </c>
      <c r="AA338" s="134">
        <f ca="1">IFERROR(VLOOKUP(X338,'credit rating'!A:C,3,FALSE),0)</f>
        <v>0</v>
      </c>
      <c r="AB338" s="134">
        <f ca="1">IFERROR(VLOOKUP(Y338,'credit rating'!B:C,2,FALSE),0)</f>
        <v>0</v>
      </c>
      <c r="AC338" s="136">
        <f ca="1">IFERROR(VLOOKUP(Z338,'credit rating'!B:C,2,FALSE),0)</f>
        <v>0</v>
      </c>
      <c r="AD338" s="136">
        <f t="shared" ca="1" si="39"/>
        <v>0</v>
      </c>
      <c r="AE338" s="249" t="str">
        <f ca="1">IFERROR(VLOOKUP(B338,bond!B:U,20,FALSE),"")</f>
        <v/>
      </c>
      <c r="AF338" s="136" t="e">
        <f ca="1">IF(VLOOKUP(B338,bond!B:AK,36,FALSE)="#N/A Field Not Applicable","",VLOOKUP(B338,bond!B:AK,36,FALSE))</f>
        <v>#N/A</v>
      </c>
      <c r="AG338" s="136" t="e">
        <f ca="1">IF(VLOOKUP(B338,bond!B:AL,37,FALSE)="FIXED","固定",IF(VLOOKUP(B338,bond!B:AL,37,FALSE)="FLOATING","浮動",IF(VLOOKUP(B338,bond!B:AL,37,FALSE)="VARIABLE","變動",IF(VLOOKUP(B338,bond!B:AL,37,FALSE)="FLAT TRADING","不含息交易",IF(VLOOKUP(B338,bond!B:AL,37,FALSE)="ZERO COUPON","零息",VLOOKUP(B338,bond!B:AL,37,FALSE))))))</f>
        <v>#N/A</v>
      </c>
      <c r="AH338" s="136" t="e">
        <f>VLOOKUP(C338,'2_Check_code'!I:J,2,FALSE)</f>
        <v>#N/A</v>
      </c>
      <c r="AI338" s="136" t="e">
        <f t="shared" ca="1" si="40"/>
        <v>#N/A</v>
      </c>
      <c r="AJ338" s="136" t="e">
        <f t="shared" ca="1" si="41"/>
        <v>#N/A</v>
      </c>
      <c r="AK338" s="594" t="e">
        <f ca="1">IF(VLOOKUP(B338,bond!B:S,18,FALSE)="是","有",IF(VLOOKUP(B338,bond!B:S,18,FALSE)="NO OFFER","無","需查詢"))</f>
        <v>#N/A</v>
      </c>
      <c r="AL338" s="136" t="e">
        <f>IF(VLOOKUP(A338,bond!F:AR,39,FALSE)="#N/A Field Not Applicable",VLOOKUP(A338,bond!F:AR,38,FALSE),IFERROR(VLOOKUP(A338,'7_發行日例外'!A:B,2,FALSE),VLOOKUP(A338,bond!F:AR,39,FALSE)))</f>
        <v>#N/A</v>
      </c>
      <c r="AM338" s="136" t="e">
        <f ca="1">VLOOKUP(B338,bond!B:AK,36,FALSE)</f>
        <v>#N/A</v>
      </c>
      <c r="AN338" s="136" t="str">
        <f ca="1">IFERROR(VLOOKUP(B338,'3_是否下架'!A:A,1,FALSE),"")</f>
        <v/>
      </c>
      <c r="AO338" s="136" t="e">
        <f ca="1">VLOOKUP(B338,bond!B:J,9,FALSE)</f>
        <v>#N/A</v>
      </c>
      <c r="AP338" s="136" t="e">
        <f ca="1">VLOOKUP(B338,bond!B:V,21,FALSE)</f>
        <v>#N/A</v>
      </c>
    </row>
    <row r="339" spans="1:42">
      <c r="A339" s="141">
        <f>bond!F340</f>
        <v>0</v>
      </c>
      <c r="B339" s="151">
        <f ca="1">IF($C$1=TRUE,bond!B340,"")</f>
        <v>0</v>
      </c>
      <c r="C339" s="95" t="e">
        <f>VLOOKUP(A339,bond!F:G,2,FALSE)</f>
        <v>#N/A</v>
      </c>
      <c r="D339" s="142" t="e">
        <f ca="1">VLOOKUP(B339,bond!B:C,2,FALSE)</f>
        <v>#N/A</v>
      </c>
      <c r="E339" s="95" t="e">
        <f ca="1">VLOOKUP(B339,bond!B:D,3,FALSE)</f>
        <v>#N/A</v>
      </c>
      <c r="F339" s="99" t="e">
        <f ca="1">VLOOKUP(B339,bond!B:AB,27,FALSE)</f>
        <v>#N/A</v>
      </c>
      <c r="G339" s="90" t="e">
        <f ca="1">VLOOKUP(B339,bond!B:E,4,FALSE)</f>
        <v>#N/A</v>
      </c>
      <c r="H339" s="202" t="e">
        <f ca="1">VLOOKUP(B339,bond!B:Y,24,FALSE)</f>
        <v>#N/A</v>
      </c>
      <c r="I339" s="95" t="e">
        <f ca="1">VLOOKUP(B339,bond!B:Z,25,FALSE)</f>
        <v>#N/A</v>
      </c>
      <c r="J339" s="180" t="e">
        <f ca="1">VLOOKUP(B339,bond!B:K,10,FALSE)</f>
        <v>#N/A</v>
      </c>
      <c r="K339" s="96" t="e">
        <f ca="1">VLOOKUP($B339,bond!B:S,14,FALSE)</f>
        <v>#N/A</v>
      </c>
      <c r="L339" s="91" t="e">
        <f ca="1">VLOOKUP(B339,bond!B:H,7,FALSE)</f>
        <v>#N/A</v>
      </c>
      <c r="M339" s="144" t="e">
        <f ca="1">VLOOKUP($B339,bond!$B:$Q,16,FALSE)</f>
        <v>#N/A</v>
      </c>
      <c r="N339" s="136" t="e">
        <f ca="1">VALUE(LEFT(VLOOKUP(B339,bond!B:R,17,FALSE),SEARCH(" ",VLOOKUP(B339,bond!B:R,17,FALSE),1)))</f>
        <v>#N/A</v>
      </c>
      <c r="O339" s="136" t="e">
        <f ca="1">VALUE(RIGHT(VLOOKUP(B339,bond!B:R,17,FALSE),LEN(VLOOKUP(B339,bond!B:R,17,FALSE))-LEN(N339)-3))</f>
        <v>#N/A</v>
      </c>
      <c r="P339" s="135" t="e">
        <f ca="1">VLOOKUP($B339,bond!$B:$AG,32,FALSE)</f>
        <v>#N/A</v>
      </c>
      <c r="Q339" s="135" t="e">
        <f ca="1">VLOOKUP($B339,bond!$B:$AH,33,FALSE)</f>
        <v>#N/A</v>
      </c>
      <c r="R339" s="135" t="e">
        <f ca="1">VLOOKUP(B339,bond!B:AA,26,FALSE)</f>
        <v>#N/A</v>
      </c>
      <c r="S339" s="135" t="e">
        <f ca="1">VLOOKUP(B339,bond!B:AI,34,FALSE)</f>
        <v>#N/A</v>
      </c>
      <c r="T339" s="135" t="e">
        <f t="shared" ca="1" si="35"/>
        <v>#N/A</v>
      </c>
      <c r="U339" s="207" t="e">
        <f ca="1">IFERROR(VLOOKUP(T339,Bond_DES!D:E,2,FALSE),VLOOKUP(S339,bond!AI:AJ,2,FALSE))</f>
        <v>#N/A</v>
      </c>
      <c r="V339" s="136" t="e">
        <f ca="1">IFERROR(VLOOKUP(B339,'1_重設數據'!L:M,2,FALSE),IF(Q339="政府",IF(AD339&gt;16,"(NPI)非專投",IF(AD339&gt;10,"(PI)專投","高資產")),IF(VLOOKUP(B339,bond!B:AN,39,FALSE)="Y","(PI)專投",IF(AD339&gt;=15,"(NPI)非專投",IF(AD339&gt;=10,"(PI)專投","高資產")))))</f>
        <v>#N/A</v>
      </c>
      <c r="W339" s="136" t="e">
        <f ca="1">VLOOKUP(AD339,'credit rating'!$F$2:$H$22,3,FALSE)</f>
        <v>#N/A</v>
      </c>
      <c r="X339" s="136" t="e">
        <f t="shared" ca="1" si="36"/>
        <v>#N/A</v>
      </c>
      <c r="Y339" s="136" t="e">
        <f t="shared" ca="1" si="37"/>
        <v>#N/A</v>
      </c>
      <c r="Z339" s="136" t="e">
        <f t="shared" ca="1" si="38"/>
        <v>#N/A</v>
      </c>
      <c r="AA339" s="134">
        <f ca="1">IFERROR(VLOOKUP(X339,'credit rating'!A:C,3,FALSE),0)</f>
        <v>0</v>
      </c>
      <c r="AB339" s="134">
        <f ca="1">IFERROR(VLOOKUP(Y339,'credit rating'!B:C,2,FALSE),0)</f>
        <v>0</v>
      </c>
      <c r="AC339" s="136">
        <f ca="1">IFERROR(VLOOKUP(Z339,'credit rating'!B:C,2,FALSE),0)</f>
        <v>0</v>
      </c>
      <c r="AD339" s="136">
        <f t="shared" ca="1" si="39"/>
        <v>0</v>
      </c>
      <c r="AE339" s="249" t="str">
        <f ca="1">IFERROR(VLOOKUP(B339,bond!B:U,20,FALSE),"")</f>
        <v/>
      </c>
      <c r="AF339" s="136" t="e">
        <f ca="1">IF(VLOOKUP(B339,bond!B:AK,36,FALSE)="#N/A Field Not Applicable","",VLOOKUP(B339,bond!B:AK,36,FALSE))</f>
        <v>#N/A</v>
      </c>
      <c r="AG339" s="136" t="e">
        <f ca="1">IF(VLOOKUP(B339,bond!B:AL,37,FALSE)="FIXED","固定",IF(VLOOKUP(B339,bond!B:AL,37,FALSE)="FLOATING","浮動",IF(VLOOKUP(B339,bond!B:AL,37,FALSE)="VARIABLE","變動",IF(VLOOKUP(B339,bond!B:AL,37,FALSE)="FLAT TRADING","不含息交易",IF(VLOOKUP(B339,bond!B:AL,37,FALSE)="ZERO COUPON","零息",VLOOKUP(B339,bond!B:AL,37,FALSE))))))</f>
        <v>#N/A</v>
      </c>
      <c r="AH339" s="136" t="e">
        <f>VLOOKUP(C339,'2_Check_code'!I:J,2,FALSE)</f>
        <v>#N/A</v>
      </c>
      <c r="AI339" s="136" t="e">
        <f t="shared" ca="1" si="40"/>
        <v>#N/A</v>
      </c>
      <c r="AJ339" s="136" t="e">
        <f t="shared" ca="1" si="41"/>
        <v>#N/A</v>
      </c>
      <c r="AK339" s="594" t="e">
        <f ca="1">IF(VLOOKUP(B339,bond!B:S,18,FALSE)="是","有",IF(VLOOKUP(B339,bond!B:S,18,FALSE)="NO OFFER","無","需查詢"))</f>
        <v>#N/A</v>
      </c>
      <c r="AL339" s="136" t="e">
        <f>IF(VLOOKUP(A339,bond!F:AR,39,FALSE)="#N/A Field Not Applicable",VLOOKUP(A339,bond!F:AR,38,FALSE),IFERROR(VLOOKUP(A339,'7_發行日例外'!A:B,2,FALSE),VLOOKUP(A339,bond!F:AR,39,FALSE)))</f>
        <v>#N/A</v>
      </c>
      <c r="AM339" s="136" t="e">
        <f ca="1">VLOOKUP(B339,bond!B:AK,36,FALSE)</f>
        <v>#N/A</v>
      </c>
      <c r="AN339" s="136" t="str">
        <f ca="1">IFERROR(VLOOKUP(B339,'3_是否下架'!A:A,1,FALSE),"")</f>
        <v/>
      </c>
      <c r="AO339" s="136" t="e">
        <f ca="1">VLOOKUP(B339,bond!B:J,9,FALSE)</f>
        <v>#N/A</v>
      </c>
      <c r="AP339" s="136" t="e">
        <f ca="1">VLOOKUP(B339,bond!B:V,21,FALSE)</f>
        <v>#N/A</v>
      </c>
    </row>
    <row r="340" spans="1:42">
      <c r="A340" s="141">
        <f>bond!F341</f>
        <v>0</v>
      </c>
      <c r="B340" s="151">
        <f ca="1">IF($C$1=TRUE,bond!B341,"")</f>
        <v>0</v>
      </c>
      <c r="C340" s="95" t="e">
        <f>VLOOKUP(A340,bond!F:G,2,FALSE)</f>
        <v>#N/A</v>
      </c>
      <c r="D340" s="142" t="e">
        <f ca="1">VLOOKUP(B340,bond!B:C,2,FALSE)</f>
        <v>#N/A</v>
      </c>
      <c r="E340" s="95" t="e">
        <f ca="1">VLOOKUP(B340,bond!B:D,3,FALSE)</f>
        <v>#N/A</v>
      </c>
      <c r="F340" s="99" t="e">
        <f ca="1">VLOOKUP(B340,bond!B:AB,27,FALSE)</f>
        <v>#N/A</v>
      </c>
      <c r="G340" s="90" t="e">
        <f ca="1">VLOOKUP(B340,bond!B:E,4,FALSE)</f>
        <v>#N/A</v>
      </c>
      <c r="H340" s="202" t="e">
        <f ca="1">VLOOKUP(B340,bond!B:Y,24,FALSE)</f>
        <v>#N/A</v>
      </c>
      <c r="I340" s="95" t="e">
        <f ca="1">VLOOKUP(B340,bond!B:Z,25,FALSE)</f>
        <v>#N/A</v>
      </c>
      <c r="J340" s="180" t="e">
        <f ca="1">VLOOKUP(B340,bond!B:K,10,FALSE)</f>
        <v>#N/A</v>
      </c>
      <c r="K340" s="96" t="e">
        <f ca="1">VLOOKUP($B340,bond!B:S,14,FALSE)</f>
        <v>#N/A</v>
      </c>
      <c r="L340" s="91" t="e">
        <f ca="1">VLOOKUP(B340,bond!B:H,7,FALSE)</f>
        <v>#N/A</v>
      </c>
      <c r="M340" s="144" t="e">
        <f ca="1">VLOOKUP($B340,bond!$B:$Q,16,FALSE)</f>
        <v>#N/A</v>
      </c>
      <c r="N340" s="136" t="e">
        <f ca="1">VALUE(LEFT(VLOOKUP(B340,bond!B:R,17,FALSE),SEARCH(" ",VLOOKUP(B340,bond!B:R,17,FALSE),1)))</f>
        <v>#N/A</v>
      </c>
      <c r="O340" s="136" t="e">
        <f ca="1">VALUE(RIGHT(VLOOKUP(B340,bond!B:R,17,FALSE),LEN(VLOOKUP(B340,bond!B:R,17,FALSE))-LEN(N340)-3))</f>
        <v>#N/A</v>
      </c>
      <c r="P340" s="135" t="e">
        <f ca="1">VLOOKUP($B340,bond!$B:$AG,32,FALSE)</f>
        <v>#N/A</v>
      </c>
      <c r="Q340" s="135" t="e">
        <f ca="1">VLOOKUP($B340,bond!$B:$AH,33,FALSE)</f>
        <v>#N/A</v>
      </c>
      <c r="R340" s="135" t="e">
        <f ca="1">VLOOKUP(B340,bond!B:AA,26,FALSE)</f>
        <v>#N/A</v>
      </c>
      <c r="S340" s="135" t="e">
        <f ca="1">VLOOKUP(B340,bond!B:AI,34,FALSE)</f>
        <v>#N/A</v>
      </c>
      <c r="T340" s="135" t="e">
        <f t="shared" ca="1" si="35"/>
        <v>#N/A</v>
      </c>
      <c r="U340" s="207" t="e">
        <f ca="1">IFERROR(VLOOKUP(T340,Bond_DES!D:E,2,FALSE),VLOOKUP(S340,bond!AI:AJ,2,FALSE))</f>
        <v>#N/A</v>
      </c>
      <c r="V340" s="136" t="e">
        <f ca="1">IFERROR(VLOOKUP(B340,'1_重設數據'!L:M,2,FALSE),IF(Q340="政府",IF(AD340&gt;16,"(NPI)非專投",IF(AD340&gt;10,"(PI)專投","高資產")),IF(VLOOKUP(B340,bond!B:AN,39,FALSE)="Y","(PI)專投",IF(AD340&gt;=15,"(NPI)非專投",IF(AD340&gt;=10,"(PI)專投","高資產")))))</f>
        <v>#N/A</v>
      </c>
      <c r="W340" s="136" t="e">
        <f ca="1">VLOOKUP(AD340,'credit rating'!$F$2:$H$22,3,FALSE)</f>
        <v>#N/A</v>
      </c>
      <c r="X340" s="136" t="e">
        <f t="shared" ca="1" si="36"/>
        <v>#N/A</v>
      </c>
      <c r="Y340" s="136" t="e">
        <f t="shared" ca="1" si="37"/>
        <v>#N/A</v>
      </c>
      <c r="Z340" s="136" t="e">
        <f t="shared" ca="1" si="38"/>
        <v>#N/A</v>
      </c>
      <c r="AA340" s="134">
        <f ca="1">IFERROR(VLOOKUP(X340,'credit rating'!A:C,3,FALSE),0)</f>
        <v>0</v>
      </c>
      <c r="AB340" s="134">
        <f ca="1">IFERROR(VLOOKUP(Y340,'credit rating'!B:C,2,FALSE),0)</f>
        <v>0</v>
      </c>
      <c r="AC340" s="136">
        <f ca="1">IFERROR(VLOOKUP(Z340,'credit rating'!B:C,2,FALSE),0)</f>
        <v>0</v>
      </c>
      <c r="AD340" s="136">
        <f t="shared" ca="1" si="39"/>
        <v>0</v>
      </c>
      <c r="AE340" s="249" t="str">
        <f ca="1">IFERROR(VLOOKUP(B340,bond!B:U,20,FALSE),"")</f>
        <v/>
      </c>
      <c r="AF340" s="136" t="e">
        <f ca="1">IF(VLOOKUP(B340,bond!B:AK,36,FALSE)="#N/A Field Not Applicable","",VLOOKUP(B340,bond!B:AK,36,FALSE))</f>
        <v>#N/A</v>
      </c>
      <c r="AG340" s="136" t="e">
        <f ca="1">IF(VLOOKUP(B340,bond!B:AL,37,FALSE)="FIXED","固定",IF(VLOOKUP(B340,bond!B:AL,37,FALSE)="FLOATING","浮動",IF(VLOOKUP(B340,bond!B:AL,37,FALSE)="VARIABLE","變動",IF(VLOOKUP(B340,bond!B:AL,37,FALSE)="FLAT TRADING","不含息交易",IF(VLOOKUP(B340,bond!B:AL,37,FALSE)="ZERO COUPON","零息",VLOOKUP(B340,bond!B:AL,37,FALSE))))))</f>
        <v>#N/A</v>
      </c>
      <c r="AH340" s="136" t="e">
        <f>VLOOKUP(C340,'2_Check_code'!I:J,2,FALSE)</f>
        <v>#N/A</v>
      </c>
      <c r="AI340" s="136" t="e">
        <f t="shared" ca="1" si="40"/>
        <v>#N/A</v>
      </c>
      <c r="AJ340" s="136" t="e">
        <f t="shared" ca="1" si="41"/>
        <v>#N/A</v>
      </c>
      <c r="AK340" s="594" t="e">
        <f ca="1">IF(VLOOKUP(B340,bond!B:S,18,FALSE)="是","有",IF(VLOOKUP(B340,bond!B:S,18,FALSE)="NO OFFER","無","需查詢"))</f>
        <v>#N/A</v>
      </c>
      <c r="AL340" s="136" t="e">
        <f>IF(VLOOKUP(A340,bond!F:AR,39,FALSE)="#N/A Field Not Applicable",VLOOKUP(A340,bond!F:AR,38,FALSE),IFERROR(VLOOKUP(A340,'7_發行日例外'!A:B,2,FALSE),VLOOKUP(A340,bond!F:AR,39,FALSE)))</f>
        <v>#N/A</v>
      </c>
      <c r="AM340" s="136" t="e">
        <f ca="1">VLOOKUP(B340,bond!B:AK,36,FALSE)</f>
        <v>#N/A</v>
      </c>
      <c r="AN340" s="136" t="str">
        <f ca="1">IFERROR(VLOOKUP(B340,'3_是否下架'!A:A,1,FALSE),"")</f>
        <v/>
      </c>
      <c r="AO340" s="136" t="e">
        <f ca="1">VLOOKUP(B340,bond!B:J,9,FALSE)</f>
        <v>#N/A</v>
      </c>
      <c r="AP340" s="136" t="e">
        <f ca="1">VLOOKUP(B340,bond!B:V,21,FALSE)</f>
        <v>#N/A</v>
      </c>
    </row>
    <row r="341" spans="1:42">
      <c r="A341" s="141">
        <f>bond!F342</f>
        <v>0</v>
      </c>
      <c r="B341" s="151">
        <f ca="1">IF($C$1=TRUE,bond!B342,"")</f>
        <v>0</v>
      </c>
      <c r="C341" s="95" t="e">
        <f>VLOOKUP(A341,bond!F:G,2,FALSE)</f>
        <v>#N/A</v>
      </c>
      <c r="D341" s="142" t="e">
        <f ca="1">VLOOKUP(B341,bond!B:C,2,FALSE)</f>
        <v>#N/A</v>
      </c>
      <c r="E341" s="95" t="e">
        <f ca="1">VLOOKUP(B341,bond!B:D,3,FALSE)</f>
        <v>#N/A</v>
      </c>
      <c r="F341" s="99" t="e">
        <f ca="1">VLOOKUP(B341,bond!B:AB,27,FALSE)</f>
        <v>#N/A</v>
      </c>
      <c r="G341" s="90" t="e">
        <f ca="1">VLOOKUP(B341,bond!B:E,4,FALSE)</f>
        <v>#N/A</v>
      </c>
      <c r="H341" s="202" t="e">
        <f ca="1">VLOOKUP(B341,bond!B:Y,24,FALSE)</f>
        <v>#N/A</v>
      </c>
      <c r="I341" s="95" t="e">
        <f ca="1">VLOOKUP(B341,bond!B:Z,25,FALSE)</f>
        <v>#N/A</v>
      </c>
      <c r="J341" s="180" t="e">
        <f ca="1">VLOOKUP(B341,bond!B:K,10,FALSE)</f>
        <v>#N/A</v>
      </c>
      <c r="K341" s="96" t="e">
        <f ca="1">VLOOKUP($B341,bond!B:S,14,FALSE)</f>
        <v>#N/A</v>
      </c>
      <c r="L341" s="91" t="e">
        <f ca="1">VLOOKUP(B341,bond!B:H,7,FALSE)</f>
        <v>#N/A</v>
      </c>
      <c r="M341" s="144" t="e">
        <f ca="1">VLOOKUP($B341,bond!$B:$Q,16,FALSE)</f>
        <v>#N/A</v>
      </c>
      <c r="N341" s="136" t="e">
        <f ca="1">VALUE(LEFT(VLOOKUP(B341,bond!B:R,17,FALSE),SEARCH(" ",VLOOKUP(B341,bond!B:R,17,FALSE),1)))</f>
        <v>#N/A</v>
      </c>
      <c r="O341" s="136" t="e">
        <f ca="1">VALUE(RIGHT(VLOOKUP(B341,bond!B:R,17,FALSE),LEN(VLOOKUP(B341,bond!B:R,17,FALSE))-LEN(N341)-3))</f>
        <v>#N/A</v>
      </c>
      <c r="P341" s="135" t="e">
        <f ca="1">VLOOKUP($B341,bond!$B:$AG,32,FALSE)</f>
        <v>#N/A</v>
      </c>
      <c r="Q341" s="135" t="e">
        <f ca="1">VLOOKUP($B341,bond!$B:$AH,33,FALSE)</f>
        <v>#N/A</v>
      </c>
      <c r="R341" s="135" t="e">
        <f ca="1">VLOOKUP(B341,bond!B:AA,26,FALSE)</f>
        <v>#N/A</v>
      </c>
      <c r="S341" s="135" t="e">
        <f ca="1">VLOOKUP(B341,bond!B:AI,34,FALSE)</f>
        <v>#N/A</v>
      </c>
      <c r="T341" s="135" t="e">
        <f t="shared" ca="1" si="35"/>
        <v>#N/A</v>
      </c>
      <c r="U341" s="207" t="e">
        <f ca="1">IFERROR(VLOOKUP(T341,Bond_DES!D:E,2,FALSE),VLOOKUP(S341,bond!AI:AJ,2,FALSE))</f>
        <v>#N/A</v>
      </c>
      <c r="V341" s="136" t="e">
        <f ca="1">IFERROR(VLOOKUP(B341,'1_重設數據'!L:M,2,FALSE),IF(Q341="政府",IF(AD341&gt;16,"(NPI)非專投",IF(AD341&gt;10,"(PI)專投","高資產")),IF(VLOOKUP(B341,bond!B:AN,39,FALSE)="Y","(PI)專投",IF(AD341&gt;=15,"(NPI)非專投",IF(AD341&gt;=10,"(PI)專投","高資產")))))</f>
        <v>#N/A</v>
      </c>
      <c r="W341" s="136" t="e">
        <f ca="1">VLOOKUP(AD341,'credit rating'!$F$2:$H$22,3,FALSE)</f>
        <v>#N/A</v>
      </c>
      <c r="X341" s="136" t="e">
        <f t="shared" ca="1" si="36"/>
        <v>#N/A</v>
      </c>
      <c r="Y341" s="136" t="e">
        <f t="shared" ca="1" si="37"/>
        <v>#N/A</v>
      </c>
      <c r="Z341" s="136" t="e">
        <f t="shared" ca="1" si="38"/>
        <v>#N/A</v>
      </c>
      <c r="AA341" s="134">
        <f ca="1">IFERROR(VLOOKUP(X341,'credit rating'!A:C,3,FALSE),0)</f>
        <v>0</v>
      </c>
      <c r="AB341" s="134">
        <f ca="1">IFERROR(VLOOKUP(Y341,'credit rating'!B:C,2,FALSE),0)</f>
        <v>0</v>
      </c>
      <c r="AC341" s="136">
        <f ca="1">IFERROR(VLOOKUP(Z341,'credit rating'!B:C,2,FALSE),0)</f>
        <v>0</v>
      </c>
      <c r="AD341" s="136">
        <f t="shared" ca="1" si="39"/>
        <v>0</v>
      </c>
      <c r="AE341" s="249" t="str">
        <f ca="1">IFERROR(VLOOKUP(B341,bond!B:U,20,FALSE),"")</f>
        <v/>
      </c>
      <c r="AF341" s="136" t="e">
        <f ca="1">IF(VLOOKUP(B341,bond!B:AK,36,FALSE)="#N/A Field Not Applicable","",VLOOKUP(B341,bond!B:AK,36,FALSE))</f>
        <v>#N/A</v>
      </c>
      <c r="AG341" s="136" t="e">
        <f ca="1">IF(VLOOKUP(B341,bond!B:AL,37,FALSE)="FIXED","固定",IF(VLOOKUP(B341,bond!B:AL,37,FALSE)="FLOATING","浮動",IF(VLOOKUP(B341,bond!B:AL,37,FALSE)="VARIABLE","變動",IF(VLOOKUP(B341,bond!B:AL,37,FALSE)="FLAT TRADING","不含息交易",IF(VLOOKUP(B341,bond!B:AL,37,FALSE)="ZERO COUPON","零息",VLOOKUP(B341,bond!B:AL,37,FALSE))))))</f>
        <v>#N/A</v>
      </c>
      <c r="AH341" s="136" t="e">
        <f>VLOOKUP(C341,'2_Check_code'!I:J,2,FALSE)</f>
        <v>#N/A</v>
      </c>
      <c r="AI341" s="136" t="e">
        <f t="shared" ca="1" si="40"/>
        <v>#N/A</v>
      </c>
      <c r="AJ341" s="136" t="e">
        <f t="shared" ca="1" si="41"/>
        <v>#N/A</v>
      </c>
      <c r="AK341" s="594" t="e">
        <f ca="1">IF(VLOOKUP(B341,bond!B:S,18,FALSE)="是","有",IF(VLOOKUP(B341,bond!B:S,18,FALSE)="NO OFFER","無","需查詢"))</f>
        <v>#N/A</v>
      </c>
      <c r="AL341" s="136" t="e">
        <f>IF(VLOOKUP(A341,bond!F:AR,39,FALSE)="#N/A Field Not Applicable",VLOOKUP(A341,bond!F:AR,38,FALSE),IFERROR(VLOOKUP(A341,'7_發行日例外'!A:B,2,FALSE),VLOOKUP(A341,bond!F:AR,39,FALSE)))</f>
        <v>#N/A</v>
      </c>
      <c r="AM341" s="136" t="e">
        <f ca="1">VLOOKUP(B341,bond!B:AK,36,FALSE)</f>
        <v>#N/A</v>
      </c>
      <c r="AN341" s="136" t="str">
        <f ca="1">IFERROR(VLOOKUP(B341,'3_是否下架'!A:A,1,FALSE),"")</f>
        <v/>
      </c>
      <c r="AO341" s="136" t="e">
        <f ca="1">VLOOKUP(B341,bond!B:J,9,FALSE)</f>
        <v>#N/A</v>
      </c>
      <c r="AP341" s="136" t="e">
        <f ca="1">VLOOKUP(B341,bond!B:V,21,FALSE)</f>
        <v>#N/A</v>
      </c>
    </row>
    <row r="342" spans="1:42">
      <c r="A342" s="141">
        <f>bond!F343</f>
        <v>0</v>
      </c>
      <c r="B342" s="151">
        <f ca="1">IF($C$1=TRUE,bond!B343,"")</f>
        <v>0</v>
      </c>
      <c r="C342" s="95" t="e">
        <f>VLOOKUP(A342,bond!F:G,2,FALSE)</f>
        <v>#N/A</v>
      </c>
      <c r="D342" s="142" t="e">
        <f ca="1">VLOOKUP(B342,bond!B:C,2,FALSE)</f>
        <v>#N/A</v>
      </c>
      <c r="E342" s="95" t="e">
        <f ca="1">VLOOKUP(B342,bond!B:D,3,FALSE)</f>
        <v>#N/A</v>
      </c>
      <c r="F342" s="99" t="e">
        <f ca="1">VLOOKUP(B342,bond!B:AB,27,FALSE)</f>
        <v>#N/A</v>
      </c>
      <c r="G342" s="90" t="e">
        <f ca="1">VLOOKUP(B342,bond!B:E,4,FALSE)</f>
        <v>#N/A</v>
      </c>
      <c r="H342" s="202" t="e">
        <f ca="1">VLOOKUP(B342,bond!B:Y,24,FALSE)</f>
        <v>#N/A</v>
      </c>
      <c r="I342" s="95" t="e">
        <f ca="1">VLOOKUP(B342,bond!B:Z,25,FALSE)</f>
        <v>#N/A</v>
      </c>
      <c r="J342" s="180" t="e">
        <f ca="1">VLOOKUP(B342,bond!B:K,10,FALSE)</f>
        <v>#N/A</v>
      </c>
      <c r="K342" s="96" t="e">
        <f ca="1">VLOOKUP($B342,bond!B:S,14,FALSE)</f>
        <v>#N/A</v>
      </c>
      <c r="L342" s="91" t="e">
        <f ca="1">VLOOKUP(B342,bond!B:H,7,FALSE)</f>
        <v>#N/A</v>
      </c>
      <c r="M342" s="144" t="e">
        <f ca="1">VLOOKUP($B342,bond!$B:$Q,16,FALSE)</f>
        <v>#N/A</v>
      </c>
      <c r="N342" s="136" t="e">
        <f ca="1">VALUE(LEFT(VLOOKUP(B342,bond!B:R,17,FALSE),SEARCH(" ",VLOOKUP(B342,bond!B:R,17,FALSE),1)))</f>
        <v>#N/A</v>
      </c>
      <c r="O342" s="136" t="e">
        <f ca="1">VALUE(RIGHT(VLOOKUP(B342,bond!B:R,17,FALSE),LEN(VLOOKUP(B342,bond!B:R,17,FALSE))-LEN(N342)-3))</f>
        <v>#N/A</v>
      </c>
      <c r="P342" s="135" t="e">
        <f ca="1">VLOOKUP($B342,bond!$B:$AG,32,FALSE)</f>
        <v>#N/A</v>
      </c>
      <c r="Q342" s="135" t="e">
        <f ca="1">VLOOKUP($B342,bond!$B:$AH,33,FALSE)</f>
        <v>#N/A</v>
      </c>
      <c r="R342" s="135" t="e">
        <f ca="1">VLOOKUP(B342,bond!B:AA,26,FALSE)</f>
        <v>#N/A</v>
      </c>
      <c r="S342" s="135" t="e">
        <f ca="1">VLOOKUP(B342,bond!B:AI,34,FALSE)</f>
        <v>#N/A</v>
      </c>
      <c r="T342" s="135" t="e">
        <f t="shared" ca="1" si="35"/>
        <v>#N/A</v>
      </c>
      <c r="U342" s="207" t="e">
        <f ca="1">IFERROR(VLOOKUP(T342,Bond_DES!D:E,2,FALSE),VLOOKUP(S342,bond!AI:AJ,2,FALSE))</f>
        <v>#N/A</v>
      </c>
      <c r="V342" s="136" t="e">
        <f ca="1">IFERROR(VLOOKUP(B342,'1_重設數據'!L:M,2,FALSE),IF(Q342="政府",IF(AD342&gt;16,"(NPI)非專投",IF(AD342&gt;10,"(PI)專投","高資產")),IF(VLOOKUP(B342,bond!B:AN,39,FALSE)="Y","(PI)專投",IF(AD342&gt;=15,"(NPI)非專投",IF(AD342&gt;=10,"(PI)專投","高資產")))))</f>
        <v>#N/A</v>
      </c>
      <c r="W342" s="136" t="e">
        <f ca="1">VLOOKUP(AD342,'credit rating'!$F$2:$H$22,3,FALSE)</f>
        <v>#N/A</v>
      </c>
      <c r="X342" s="136" t="e">
        <f t="shared" ca="1" si="36"/>
        <v>#N/A</v>
      </c>
      <c r="Y342" s="136" t="e">
        <f t="shared" ca="1" si="37"/>
        <v>#N/A</v>
      </c>
      <c r="Z342" s="136" t="e">
        <f t="shared" ca="1" si="38"/>
        <v>#N/A</v>
      </c>
      <c r="AA342" s="134">
        <f ca="1">IFERROR(VLOOKUP(X342,'credit rating'!A:C,3,FALSE),0)</f>
        <v>0</v>
      </c>
      <c r="AB342" s="134">
        <f ca="1">IFERROR(VLOOKUP(Y342,'credit rating'!B:C,2,FALSE),0)</f>
        <v>0</v>
      </c>
      <c r="AC342" s="136">
        <f ca="1">IFERROR(VLOOKUP(Z342,'credit rating'!B:C,2,FALSE),0)</f>
        <v>0</v>
      </c>
      <c r="AD342" s="136">
        <f t="shared" ca="1" si="39"/>
        <v>0</v>
      </c>
      <c r="AE342" s="249" t="str">
        <f ca="1">IFERROR(VLOOKUP(B342,bond!B:U,20,FALSE),"")</f>
        <v/>
      </c>
      <c r="AF342" s="136" t="e">
        <f ca="1">IF(VLOOKUP(B342,bond!B:AK,36,FALSE)="#N/A Field Not Applicable","",VLOOKUP(B342,bond!B:AK,36,FALSE))</f>
        <v>#N/A</v>
      </c>
      <c r="AG342" s="136" t="e">
        <f ca="1">IF(VLOOKUP(B342,bond!B:AL,37,FALSE)="FIXED","固定",IF(VLOOKUP(B342,bond!B:AL,37,FALSE)="FLOATING","浮動",IF(VLOOKUP(B342,bond!B:AL,37,FALSE)="VARIABLE","變動",IF(VLOOKUP(B342,bond!B:AL,37,FALSE)="FLAT TRADING","不含息交易",IF(VLOOKUP(B342,bond!B:AL,37,FALSE)="ZERO COUPON","零息",VLOOKUP(B342,bond!B:AL,37,FALSE))))))</f>
        <v>#N/A</v>
      </c>
      <c r="AH342" s="136" t="e">
        <f>VLOOKUP(C342,'2_Check_code'!I:J,2,FALSE)</f>
        <v>#N/A</v>
      </c>
      <c r="AI342" s="136" t="e">
        <f t="shared" ca="1" si="40"/>
        <v>#N/A</v>
      </c>
      <c r="AJ342" s="136" t="e">
        <f t="shared" ca="1" si="41"/>
        <v>#N/A</v>
      </c>
      <c r="AK342" s="594" t="e">
        <f ca="1">IF(VLOOKUP(B342,bond!B:S,18,FALSE)="是","有",IF(VLOOKUP(B342,bond!B:S,18,FALSE)="NO OFFER","無","需查詢"))</f>
        <v>#N/A</v>
      </c>
      <c r="AL342" s="136" t="e">
        <f>IF(VLOOKUP(A342,bond!F:AR,39,FALSE)="#N/A Field Not Applicable",VLOOKUP(A342,bond!F:AR,38,FALSE),IFERROR(VLOOKUP(A342,'7_發行日例外'!A:B,2,FALSE),VLOOKUP(A342,bond!F:AR,39,FALSE)))</f>
        <v>#N/A</v>
      </c>
      <c r="AM342" s="136" t="e">
        <f ca="1">VLOOKUP(B342,bond!B:AK,36,FALSE)</f>
        <v>#N/A</v>
      </c>
      <c r="AN342" s="136" t="str">
        <f ca="1">IFERROR(VLOOKUP(B342,'3_是否下架'!A:A,1,FALSE),"")</f>
        <v/>
      </c>
      <c r="AO342" s="136" t="e">
        <f ca="1">VLOOKUP(B342,bond!B:J,9,FALSE)</f>
        <v>#N/A</v>
      </c>
      <c r="AP342" s="136" t="e">
        <f ca="1">VLOOKUP(B342,bond!B:V,21,FALSE)</f>
        <v>#N/A</v>
      </c>
    </row>
    <row r="343" spans="1:42">
      <c r="A343" s="141">
        <f>bond!F344</f>
        <v>0</v>
      </c>
      <c r="B343" s="151">
        <f ca="1">IF($C$1=TRUE,bond!B344,"")</f>
        <v>0</v>
      </c>
      <c r="C343" s="95" t="e">
        <f>VLOOKUP(A343,bond!F:G,2,FALSE)</f>
        <v>#N/A</v>
      </c>
      <c r="D343" s="142" t="e">
        <f ca="1">VLOOKUP(B343,bond!B:C,2,FALSE)</f>
        <v>#N/A</v>
      </c>
      <c r="E343" s="95" t="e">
        <f ca="1">VLOOKUP(B343,bond!B:D,3,FALSE)</f>
        <v>#N/A</v>
      </c>
      <c r="F343" s="99" t="e">
        <f ca="1">VLOOKUP(B343,bond!B:AB,27,FALSE)</f>
        <v>#N/A</v>
      </c>
      <c r="G343" s="90" t="e">
        <f ca="1">VLOOKUP(B343,bond!B:E,4,FALSE)</f>
        <v>#N/A</v>
      </c>
      <c r="H343" s="202" t="e">
        <f ca="1">VLOOKUP(B343,bond!B:Y,24,FALSE)</f>
        <v>#N/A</v>
      </c>
      <c r="I343" s="95" t="e">
        <f ca="1">VLOOKUP(B343,bond!B:Z,25,FALSE)</f>
        <v>#N/A</v>
      </c>
      <c r="J343" s="180" t="e">
        <f ca="1">VLOOKUP(B343,bond!B:K,10,FALSE)</f>
        <v>#N/A</v>
      </c>
      <c r="K343" s="96" t="e">
        <f ca="1">VLOOKUP($B343,bond!B:S,14,FALSE)</f>
        <v>#N/A</v>
      </c>
      <c r="L343" s="91" t="e">
        <f ca="1">VLOOKUP(B343,bond!B:H,7,FALSE)</f>
        <v>#N/A</v>
      </c>
      <c r="M343" s="144" t="e">
        <f ca="1">VLOOKUP($B343,bond!$B:$Q,16,FALSE)</f>
        <v>#N/A</v>
      </c>
      <c r="N343" s="136" t="e">
        <f ca="1">VALUE(LEFT(VLOOKUP(B343,bond!B:R,17,FALSE),SEARCH(" ",VLOOKUP(B343,bond!B:R,17,FALSE),1)))</f>
        <v>#N/A</v>
      </c>
      <c r="O343" s="136" t="e">
        <f ca="1">VALUE(RIGHT(VLOOKUP(B343,bond!B:R,17,FALSE),LEN(VLOOKUP(B343,bond!B:R,17,FALSE))-LEN(N343)-3))</f>
        <v>#N/A</v>
      </c>
      <c r="P343" s="135" t="e">
        <f ca="1">VLOOKUP($B343,bond!$B:$AG,32,FALSE)</f>
        <v>#N/A</v>
      </c>
      <c r="Q343" s="135" t="e">
        <f ca="1">VLOOKUP($B343,bond!$B:$AH,33,FALSE)</f>
        <v>#N/A</v>
      </c>
      <c r="R343" s="135" t="e">
        <f ca="1">VLOOKUP(B343,bond!B:AA,26,FALSE)</f>
        <v>#N/A</v>
      </c>
      <c r="S343" s="135" t="e">
        <f ca="1">VLOOKUP(B343,bond!B:AI,34,FALSE)</f>
        <v>#N/A</v>
      </c>
      <c r="T343" s="135" t="e">
        <f t="shared" ca="1" si="35"/>
        <v>#N/A</v>
      </c>
      <c r="U343" s="207" t="e">
        <f ca="1">IFERROR(VLOOKUP(T343,Bond_DES!D:E,2,FALSE),VLOOKUP(S343,bond!AI:AJ,2,FALSE))</f>
        <v>#N/A</v>
      </c>
      <c r="V343" s="136" t="e">
        <f ca="1">IFERROR(VLOOKUP(B343,'1_重設數據'!L:M,2,FALSE),IF(Q343="政府",IF(AD343&gt;16,"(NPI)非專投",IF(AD343&gt;10,"(PI)專投","高資產")),IF(VLOOKUP(B343,bond!B:AN,39,FALSE)="Y","(PI)專投",IF(AD343&gt;=15,"(NPI)非專投",IF(AD343&gt;=10,"(PI)專投","高資產")))))</f>
        <v>#N/A</v>
      </c>
      <c r="W343" s="136" t="e">
        <f ca="1">VLOOKUP(AD343,'credit rating'!$F$2:$H$22,3,FALSE)</f>
        <v>#N/A</v>
      </c>
      <c r="X343" s="136" t="e">
        <f t="shared" ca="1" si="36"/>
        <v>#N/A</v>
      </c>
      <c r="Y343" s="136" t="e">
        <f t="shared" ca="1" si="37"/>
        <v>#N/A</v>
      </c>
      <c r="Z343" s="136" t="e">
        <f t="shared" ca="1" si="38"/>
        <v>#N/A</v>
      </c>
      <c r="AA343" s="134">
        <f ca="1">IFERROR(VLOOKUP(X343,'credit rating'!A:C,3,FALSE),0)</f>
        <v>0</v>
      </c>
      <c r="AB343" s="134">
        <f ca="1">IFERROR(VLOOKUP(Y343,'credit rating'!B:C,2,FALSE),0)</f>
        <v>0</v>
      </c>
      <c r="AC343" s="136">
        <f ca="1">IFERROR(VLOOKUP(Z343,'credit rating'!B:C,2,FALSE),0)</f>
        <v>0</v>
      </c>
      <c r="AD343" s="136">
        <f t="shared" ca="1" si="39"/>
        <v>0</v>
      </c>
      <c r="AE343" s="249" t="str">
        <f ca="1">IFERROR(VLOOKUP(B343,bond!B:U,20,FALSE),"")</f>
        <v/>
      </c>
      <c r="AF343" s="136" t="e">
        <f ca="1">IF(VLOOKUP(B343,bond!B:AK,36,FALSE)="#N/A Field Not Applicable","",VLOOKUP(B343,bond!B:AK,36,FALSE))</f>
        <v>#N/A</v>
      </c>
      <c r="AG343" s="136" t="e">
        <f ca="1">IF(VLOOKUP(B343,bond!B:AL,37,FALSE)="FIXED","固定",IF(VLOOKUP(B343,bond!B:AL,37,FALSE)="FLOATING","浮動",IF(VLOOKUP(B343,bond!B:AL,37,FALSE)="VARIABLE","變動",IF(VLOOKUP(B343,bond!B:AL,37,FALSE)="FLAT TRADING","不含息交易",IF(VLOOKUP(B343,bond!B:AL,37,FALSE)="ZERO COUPON","零息",VLOOKUP(B343,bond!B:AL,37,FALSE))))))</f>
        <v>#N/A</v>
      </c>
      <c r="AH343" s="136" t="e">
        <f>VLOOKUP(C343,'2_Check_code'!I:J,2,FALSE)</f>
        <v>#N/A</v>
      </c>
      <c r="AI343" s="136" t="e">
        <f t="shared" ca="1" si="40"/>
        <v>#N/A</v>
      </c>
      <c r="AJ343" s="136" t="e">
        <f t="shared" ca="1" si="41"/>
        <v>#N/A</v>
      </c>
      <c r="AK343" s="594" t="e">
        <f ca="1">IF(VLOOKUP(B343,bond!B:S,18,FALSE)="是","有",IF(VLOOKUP(B343,bond!B:S,18,FALSE)="NO OFFER","無","需查詢"))</f>
        <v>#N/A</v>
      </c>
      <c r="AL343" s="136" t="e">
        <f>IF(VLOOKUP(A343,bond!F:AR,39,FALSE)="#N/A Field Not Applicable",VLOOKUP(A343,bond!F:AR,38,FALSE),IFERROR(VLOOKUP(A343,'7_發行日例外'!A:B,2,FALSE),VLOOKUP(A343,bond!F:AR,39,FALSE)))</f>
        <v>#N/A</v>
      </c>
      <c r="AM343" s="136" t="e">
        <f ca="1">VLOOKUP(B343,bond!B:AK,36,FALSE)</f>
        <v>#N/A</v>
      </c>
      <c r="AN343" s="136" t="str">
        <f ca="1">IFERROR(VLOOKUP(B343,'3_是否下架'!A:A,1,FALSE),"")</f>
        <v/>
      </c>
      <c r="AO343" s="136" t="e">
        <f ca="1">VLOOKUP(B343,bond!B:J,9,FALSE)</f>
        <v>#N/A</v>
      </c>
      <c r="AP343" s="136" t="e">
        <f ca="1">VLOOKUP(B343,bond!B:V,21,FALSE)</f>
        <v>#N/A</v>
      </c>
    </row>
    <row r="344" spans="1:42">
      <c r="A344" s="141">
        <f>bond!F345</f>
        <v>0</v>
      </c>
      <c r="B344" s="151">
        <f ca="1">IF($C$1=TRUE,bond!B345,"")</f>
        <v>0</v>
      </c>
      <c r="C344" s="95" t="e">
        <f>VLOOKUP(A344,bond!F:G,2,FALSE)</f>
        <v>#N/A</v>
      </c>
      <c r="D344" s="142" t="e">
        <f ca="1">VLOOKUP(B344,bond!B:C,2,FALSE)</f>
        <v>#N/A</v>
      </c>
      <c r="E344" s="95" t="e">
        <f ca="1">VLOOKUP(B344,bond!B:D,3,FALSE)</f>
        <v>#N/A</v>
      </c>
      <c r="F344" s="99" t="e">
        <f ca="1">VLOOKUP(B344,bond!B:AB,27,FALSE)</f>
        <v>#N/A</v>
      </c>
      <c r="G344" s="90" t="e">
        <f ca="1">VLOOKUP(B344,bond!B:E,4,FALSE)</f>
        <v>#N/A</v>
      </c>
      <c r="H344" s="202" t="e">
        <f ca="1">VLOOKUP(B344,bond!B:Y,24,FALSE)</f>
        <v>#N/A</v>
      </c>
      <c r="I344" s="95" t="e">
        <f ca="1">VLOOKUP(B344,bond!B:Z,25,FALSE)</f>
        <v>#N/A</v>
      </c>
      <c r="J344" s="180" t="e">
        <f ca="1">VLOOKUP(B344,bond!B:K,10,FALSE)</f>
        <v>#N/A</v>
      </c>
      <c r="K344" s="96" t="e">
        <f ca="1">VLOOKUP($B344,bond!B:S,14,FALSE)</f>
        <v>#N/A</v>
      </c>
      <c r="L344" s="91" t="e">
        <f ca="1">VLOOKUP(B344,bond!B:H,7,FALSE)</f>
        <v>#N/A</v>
      </c>
      <c r="M344" s="144" t="e">
        <f ca="1">VLOOKUP($B344,bond!$B:$Q,16,FALSE)</f>
        <v>#N/A</v>
      </c>
      <c r="N344" s="136" t="e">
        <f ca="1">VALUE(LEFT(VLOOKUP(B344,bond!B:R,17,FALSE),SEARCH(" ",VLOOKUP(B344,bond!B:R,17,FALSE),1)))</f>
        <v>#N/A</v>
      </c>
      <c r="O344" s="136" t="e">
        <f ca="1">VALUE(RIGHT(VLOOKUP(B344,bond!B:R,17,FALSE),LEN(VLOOKUP(B344,bond!B:R,17,FALSE))-LEN(N344)-3))</f>
        <v>#N/A</v>
      </c>
      <c r="P344" s="135" t="e">
        <f ca="1">VLOOKUP($B344,bond!$B:$AG,32,FALSE)</f>
        <v>#N/A</v>
      </c>
      <c r="Q344" s="135" t="e">
        <f ca="1">VLOOKUP($B344,bond!$B:$AH,33,FALSE)</f>
        <v>#N/A</v>
      </c>
      <c r="R344" s="135" t="e">
        <f ca="1">VLOOKUP(B344,bond!B:AA,26,FALSE)</f>
        <v>#N/A</v>
      </c>
      <c r="S344" s="135" t="e">
        <f ca="1">VLOOKUP(B344,bond!B:AI,34,FALSE)</f>
        <v>#N/A</v>
      </c>
      <c r="T344" s="135" t="e">
        <f t="shared" ca="1" si="35"/>
        <v>#N/A</v>
      </c>
      <c r="U344" s="207" t="e">
        <f ca="1">IFERROR(VLOOKUP(T344,Bond_DES!D:E,2,FALSE),VLOOKUP(S344,bond!AI:AJ,2,FALSE))</f>
        <v>#N/A</v>
      </c>
      <c r="V344" s="136" t="e">
        <f ca="1">IFERROR(VLOOKUP(B344,'1_重設數據'!L:M,2,FALSE),IF(Q344="政府",IF(AD344&gt;16,"(NPI)非專投",IF(AD344&gt;10,"(PI)專投","高資產")),IF(VLOOKUP(B344,bond!B:AN,39,FALSE)="Y","(PI)專投",IF(AD344&gt;=15,"(NPI)非專投",IF(AD344&gt;=10,"(PI)專投","高資產")))))</f>
        <v>#N/A</v>
      </c>
      <c r="W344" s="136" t="e">
        <f ca="1">VLOOKUP(AD344,'credit rating'!$F$2:$H$22,3,FALSE)</f>
        <v>#N/A</v>
      </c>
      <c r="X344" s="136" t="e">
        <f t="shared" ca="1" si="36"/>
        <v>#N/A</v>
      </c>
      <c r="Y344" s="136" t="e">
        <f t="shared" ca="1" si="37"/>
        <v>#N/A</v>
      </c>
      <c r="Z344" s="136" t="e">
        <f t="shared" ca="1" si="38"/>
        <v>#N/A</v>
      </c>
      <c r="AA344" s="134">
        <f ca="1">IFERROR(VLOOKUP(X344,'credit rating'!A:C,3,FALSE),0)</f>
        <v>0</v>
      </c>
      <c r="AB344" s="134">
        <f ca="1">IFERROR(VLOOKUP(Y344,'credit rating'!B:C,2,FALSE),0)</f>
        <v>0</v>
      </c>
      <c r="AC344" s="136">
        <f ca="1">IFERROR(VLOOKUP(Z344,'credit rating'!B:C,2,FALSE),0)</f>
        <v>0</v>
      </c>
      <c r="AD344" s="136">
        <f t="shared" ca="1" si="39"/>
        <v>0</v>
      </c>
      <c r="AE344" s="249" t="str">
        <f ca="1">IFERROR(VLOOKUP(B344,bond!B:U,20,FALSE),"")</f>
        <v/>
      </c>
      <c r="AF344" s="136" t="e">
        <f ca="1">IF(VLOOKUP(B344,bond!B:AK,36,FALSE)="#N/A Field Not Applicable","",VLOOKUP(B344,bond!B:AK,36,FALSE))</f>
        <v>#N/A</v>
      </c>
      <c r="AG344" s="136" t="e">
        <f ca="1">IF(VLOOKUP(B344,bond!B:AL,37,FALSE)="FIXED","固定",IF(VLOOKUP(B344,bond!B:AL,37,FALSE)="FLOATING","浮動",IF(VLOOKUP(B344,bond!B:AL,37,FALSE)="VARIABLE","變動",IF(VLOOKUP(B344,bond!B:AL,37,FALSE)="FLAT TRADING","不含息交易",IF(VLOOKUP(B344,bond!B:AL,37,FALSE)="ZERO COUPON","零息",VLOOKUP(B344,bond!B:AL,37,FALSE))))))</f>
        <v>#N/A</v>
      </c>
      <c r="AH344" s="136" t="e">
        <f>VLOOKUP(C344,'2_Check_code'!I:J,2,FALSE)</f>
        <v>#N/A</v>
      </c>
      <c r="AI344" s="136" t="e">
        <f t="shared" ca="1" si="40"/>
        <v>#N/A</v>
      </c>
      <c r="AJ344" s="136" t="e">
        <f t="shared" ca="1" si="41"/>
        <v>#N/A</v>
      </c>
      <c r="AK344" s="594" t="e">
        <f ca="1">IF(VLOOKUP(B344,bond!B:S,18,FALSE)="是","有",IF(VLOOKUP(B344,bond!B:S,18,FALSE)="NO OFFER","無","需查詢"))</f>
        <v>#N/A</v>
      </c>
      <c r="AL344" s="136" t="e">
        <f>IF(VLOOKUP(A344,bond!F:AR,39,FALSE)="#N/A Field Not Applicable",VLOOKUP(A344,bond!F:AR,38,FALSE),IFERROR(VLOOKUP(A344,'7_發行日例外'!A:B,2,FALSE),VLOOKUP(A344,bond!F:AR,39,FALSE)))</f>
        <v>#N/A</v>
      </c>
      <c r="AM344" s="136" t="e">
        <f ca="1">VLOOKUP(B344,bond!B:AK,36,FALSE)</f>
        <v>#N/A</v>
      </c>
      <c r="AN344" s="136" t="str">
        <f ca="1">IFERROR(VLOOKUP(B344,'3_是否下架'!A:A,1,FALSE),"")</f>
        <v/>
      </c>
      <c r="AO344" s="136" t="e">
        <f ca="1">VLOOKUP(B344,bond!B:J,9,FALSE)</f>
        <v>#N/A</v>
      </c>
      <c r="AP344" s="136" t="e">
        <f ca="1">VLOOKUP(B344,bond!B:V,21,FALSE)</f>
        <v>#N/A</v>
      </c>
    </row>
    <row r="345" spans="1:42">
      <c r="A345" s="141">
        <f>bond!F346</f>
        <v>0</v>
      </c>
      <c r="B345" s="151">
        <f ca="1">IF($C$1=TRUE,bond!B346,"")</f>
        <v>0</v>
      </c>
      <c r="C345" s="95" t="e">
        <f>VLOOKUP(A345,bond!F:G,2,FALSE)</f>
        <v>#N/A</v>
      </c>
      <c r="D345" s="142" t="e">
        <f ca="1">VLOOKUP(B345,bond!B:C,2,FALSE)</f>
        <v>#N/A</v>
      </c>
      <c r="E345" s="95" t="e">
        <f ca="1">VLOOKUP(B345,bond!B:D,3,FALSE)</f>
        <v>#N/A</v>
      </c>
      <c r="F345" s="99" t="e">
        <f ca="1">VLOOKUP(B345,bond!B:AB,27,FALSE)</f>
        <v>#N/A</v>
      </c>
      <c r="G345" s="90" t="e">
        <f ca="1">VLOOKUP(B345,bond!B:E,4,FALSE)</f>
        <v>#N/A</v>
      </c>
      <c r="H345" s="202" t="e">
        <f ca="1">VLOOKUP(B345,bond!B:Y,24,FALSE)</f>
        <v>#N/A</v>
      </c>
      <c r="I345" s="95" t="e">
        <f ca="1">VLOOKUP(B345,bond!B:Z,25,FALSE)</f>
        <v>#N/A</v>
      </c>
      <c r="J345" s="180" t="e">
        <f ca="1">VLOOKUP(B345,bond!B:K,10,FALSE)</f>
        <v>#N/A</v>
      </c>
      <c r="K345" s="96" t="e">
        <f ca="1">VLOOKUP($B345,bond!B:S,14,FALSE)</f>
        <v>#N/A</v>
      </c>
      <c r="L345" s="91" t="e">
        <f ca="1">VLOOKUP(B345,bond!B:H,7,FALSE)</f>
        <v>#N/A</v>
      </c>
      <c r="M345" s="144" t="e">
        <f ca="1">VLOOKUP($B345,bond!$B:$Q,16,FALSE)</f>
        <v>#N/A</v>
      </c>
      <c r="N345" s="136" t="e">
        <f ca="1">VALUE(LEFT(VLOOKUP(B345,bond!B:R,17,FALSE),SEARCH(" ",VLOOKUP(B345,bond!B:R,17,FALSE),1)))</f>
        <v>#N/A</v>
      </c>
      <c r="O345" s="136" t="e">
        <f ca="1">VALUE(RIGHT(VLOOKUP(B345,bond!B:R,17,FALSE),LEN(VLOOKUP(B345,bond!B:R,17,FALSE))-LEN(N345)-3))</f>
        <v>#N/A</v>
      </c>
      <c r="P345" s="135" t="e">
        <f ca="1">VLOOKUP($B345,bond!$B:$AG,32,FALSE)</f>
        <v>#N/A</v>
      </c>
      <c r="Q345" s="135" t="e">
        <f ca="1">VLOOKUP($B345,bond!$B:$AH,33,FALSE)</f>
        <v>#N/A</v>
      </c>
      <c r="R345" s="135" t="e">
        <f ca="1">VLOOKUP(B345,bond!B:AA,26,FALSE)</f>
        <v>#N/A</v>
      </c>
      <c r="S345" s="135" t="e">
        <f ca="1">VLOOKUP(B345,bond!B:AI,34,FALSE)</f>
        <v>#N/A</v>
      </c>
      <c r="T345" s="135" t="e">
        <f t="shared" ca="1" si="35"/>
        <v>#N/A</v>
      </c>
      <c r="U345" s="207" t="e">
        <f ca="1">IFERROR(VLOOKUP(T345,Bond_DES!D:E,2,FALSE),VLOOKUP(S345,bond!AI:AJ,2,FALSE))</f>
        <v>#N/A</v>
      </c>
      <c r="V345" s="136" t="e">
        <f ca="1">IFERROR(VLOOKUP(B345,'1_重設數據'!L:M,2,FALSE),IF(Q345="政府",IF(AD345&gt;16,"(NPI)非專投",IF(AD345&gt;10,"(PI)專投","高資產")),IF(VLOOKUP(B345,bond!B:AN,39,FALSE)="Y","(PI)專投",IF(AD345&gt;=15,"(NPI)非專投",IF(AD345&gt;=10,"(PI)專投","高資產")))))</f>
        <v>#N/A</v>
      </c>
      <c r="W345" s="136" t="e">
        <f ca="1">VLOOKUP(AD345,'credit rating'!$F$2:$H$22,3,FALSE)</f>
        <v>#N/A</v>
      </c>
      <c r="X345" s="136" t="e">
        <f t="shared" ca="1" si="36"/>
        <v>#N/A</v>
      </c>
      <c r="Y345" s="136" t="e">
        <f t="shared" ca="1" si="37"/>
        <v>#N/A</v>
      </c>
      <c r="Z345" s="136" t="e">
        <f t="shared" ca="1" si="38"/>
        <v>#N/A</v>
      </c>
      <c r="AA345" s="134">
        <f ca="1">IFERROR(VLOOKUP(X345,'credit rating'!A:C,3,FALSE),0)</f>
        <v>0</v>
      </c>
      <c r="AB345" s="134">
        <f ca="1">IFERROR(VLOOKUP(Y345,'credit rating'!B:C,2,FALSE),0)</f>
        <v>0</v>
      </c>
      <c r="AC345" s="136">
        <f ca="1">IFERROR(VLOOKUP(Z345,'credit rating'!B:C,2,FALSE),0)</f>
        <v>0</v>
      </c>
      <c r="AD345" s="136">
        <f t="shared" ca="1" si="39"/>
        <v>0</v>
      </c>
      <c r="AE345" s="249" t="str">
        <f ca="1">IFERROR(VLOOKUP(B345,bond!B:U,20,FALSE),"")</f>
        <v/>
      </c>
      <c r="AF345" s="136" t="e">
        <f ca="1">IF(VLOOKUP(B345,bond!B:AK,36,FALSE)="#N/A Field Not Applicable","",VLOOKUP(B345,bond!B:AK,36,FALSE))</f>
        <v>#N/A</v>
      </c>
      <c r="AG345" s="136" t="e">
        <f ca="1">IF(VLOOKUP(B345,bond!B:AL,37,FALSE)="FIXED","固定",IF(VLOOKUP(B345,bond!B:AL,37,FALSE)="FLOATING","浮動",IF(VLOOKUP(B345,bond!B:AL,37,FALSE)="VARIABLE","變動",IF(VLOOKUP(B345,bond!B:AL,37,FALSE)="FLAT TRADING","不含息交易",IF(VLOOKUP(B345,bond!B:AL,37,FALSE)="ZERO COUPON","零息",VLOOKUP(B345,bond!B:AL,37,FALSE))))))</f>
        <v>#N/A</v>
      </c>
      <c r="AH345" s="136" t="e">
        <f>VLOOKUP(C345,'2_Check_code'!I:J,2,FALSE)</f>
        <v>#N/A</v>
      </c>
      <c r="AI345" s="136" t="e">
        <f t="shared" ca="1" si="40"/>
        <v>#N/A</v>
      </c>
      <c r="AJ345" s="136" t="e">
        <f t="shared" ca="1" si="41"/>
        <v>#N/A</v>
      </c>
      <c r="AK345" s="594" t="e">
        <f ca="1">IF(VLOOKUP(B345,bond!B:S,18,FALSE)="是","有",IF(VLOOKUP(B345,bond!B:S,18,FALSE)="NO OFFER","無","需查詢"))</f>
        <v>#N/A</v>
      </c>
      <c r="AL345" s="136" t="e">
        <f>IF(VLOOKUP(A345,bond!F:AR,39,FALSE)="#N/A Field Not Applicable",VLOOKUP(A345,bond!F:AR,38,FALSE),IFERROR(VLOOKUP(A345,'7_發行日例外'!A:B,2,FALSE),VLOOKUP(A345,bond!F:AR,39,FALSE)))</f>
        <v>#N/A</v>
      </c>
      <c r="AM345" s="136" t="e">
        <f ca="1">VLOOKUP(B345,bond!B:AK,36,FALSE)</f>
        <v>#N/A</v>
      </c>
      <c r="AN345" s="136" t="str">
        <f ca="1">IFERROR(VLOOKUP(B345,'3_是否下架'!A:A,1,FALSE),"")</f>
        <v/>
      </c>
      <c r="AO345" s="136" t="e">
        <f ca="1">VLOOKUP(B345,bond!B:J,9,FALSE)</f>
        <v>#N/A</v>
      </c>
      <c r="AP345" s="136" t="e">
        <f ca="1">VLOOKUP(B345,bond!B:V,21,FALSE)</f>
        <v>#N/A</v>
      </c>
    </row>
    <row r="346" spans="1:42">
      <c r="A346" s="141">
        <f>bond!F347</f>
        <v>0</v>
      </c>
      <c r="B346" s="151">
        <f ca="1">IF($C$1=TRUE,bond!B347,"")</f>
        <v>0</v>
      </c>
      <c r="C346" s="95" t="e">
        <f>VLOOKUP(A346,bond!F:G,2,FALSE)</f>
        <v>#N/A</v>
      </c>
      <c r="D346" s="142" t="e">
        <f ca="1">VLOOKUP(B346,bond!B:C,2,FALSE)</f>
        <v>#N/A</v>
      </c>
      <c r="E346" s="95" t="e">
        <f ca="1">VLOOKUP(B346,bond!B:D,3,FALSE)</f>
        <v>#N/A</v>
      </c>
      <c r="F346" s="99" t="e">
        <f ca="1">VLOOKUP(B346,bond!B:AB,27,FALSE)</f>
        <v>#N/A</v>
      </c>
      <c r="G346" s="90" t="e">
        <f ca="1">VLOOKUP(B346,bond!B:E,4,FALSE)</f>
        <v>#N/A</v>
      </c>
      <c r="H346" s="202" t="e">
        <f ca="1">VLOOKUP(B346,bond!B:Y,24,FALSE)</f>
        <v>#N/A</v>
      </c>
      <c r="I346" s="95" t="e">
        <f ca="1">VLOOKUP(B346,bond!B:Z,25,FALSE)</f>
        <v>#N/A</v>
      </c>
      <c r="J346" s="180" t="e">
        <f ca="1">VLOOKUP(B346,bond!B:K,10,FALSE)</f>
        <v>#N/A</v>
      </c>
      <c r="K346" s="96" t="e">
        <f ca="1">VLOOKUP($B346,bond!B:S,14,FALSE)</f>
        <v>#N/A</v>
      </c>
      <c r="L346" s="91" t="e">
        <f ca="1">VLOOKUP(B346,bond!B:H,7,FALSE)</f>
        <v>#N/A</v>
      </c>
      <c r="M346" s="144" t="e">
        <f ca="1">VLOOKUP($B346,bond!$B:$Q,16,FALSE)</f>
        <v>#N/A</v>
      </c>
      <c r="N346" s="136" t="e">
        <f ca="1">VALUE(LEFT(VLOOKUP(B346,bond!B:R,17,FALSE),SEARCH(" ",VLOOKUP(B346,bond!B:R,17,FALSE),1)))</f>
        <v>#N/A</v>
      </c>
      <c r="O346" s="136" t="e">
        <f ca="1">VALUE(RIGHT(VLOOKUP(B346,bond!B:R,17,FALSE),LEN(VLOOKUP(B346,bond!B:R,17,FALSE))-LEN(N346)-3))</f>
        <v>#N/A</v>
      </c>
      <c r="P346" s="135" t="e">
        <f ca="1">VLOOKUP($B346,bond!$B:$AG,32,FALSE)</f>
        <v>#N/A</v>
      </c>
      <c r="Q346" s="135" t="e">
        <f ca="1">VLOOKUP($B346,bond!$B:$AH,33,FALSE)</f>
        <v>#N/A</v>
      </c>
      <c r="R346" s="135" t="e">
        <f ca="1">VLOOKUP(B346,bond!B:AA,26,FALSE)</f>
        <v>#N/A</v>
      </c>
      <c r="S346" s="135" t="e">
        <f ca="1">VLOOKUP(B346,bond!B:AI,34,FALSE)</f>
        <v>#N/A</v>
      </c>
      <c r="T346" s="135" t="e">
        <f t="shared" ca="1" si="35"/>
        <v>#N/A</v>
      </c>
      <c r="U346" s="207" t="e">
        <f ca="1">IFERROR(VLOOKUP(T346,Bond_DES!D:E,2,FALSE),VLOOKUP(S346,bond!AI:AJ,2,FALSE))</f>
        <v>#N/A</v>
      </c>
      <c r="V346" s="136" t="e">
        <f ca="1">IFERROR(VLOOKUP(B346,'1_重設數據'!L:M,2,FALSE),IF(Q346="政府",IF(AD346&gt;16,"(NPI)非專投",IF(AD346&gt;10,"(PI)專投","高資產")),IF(VLOOKUP(B346,bond!B:AN,39,FALSE)="Y","(PI)專投",IF(AD346&gt;=15,"(NPI)非專投",IF(AD346&gt;=10,"(PI)專投","高資產")))))</f>
        <v>#N/A</v>
      </c>
      <c r="W346" s="136" t="e">
        <f ca="1">VLOOKUP(AD346,'credit rating'!$F$2:$H$22,3,FALSE)</f>
        <v>#N/A</v>
      </c>
      <c r="X346" s="136" t="e">
        <f t="shared" ca="1" si="36"/>
        <v>#N/A</v>
      </c>
      <c r="Y346" s="136" t="e">
        <f t="shared" ca="1" si="37"/>
        <v>#N/A</v>
      </c>
      <c r="Z346" s="136" t="e">
        <f t="shared" ca="1" si="38"/>
        <v>#N/A</v>
      </c>
      <c r="AA346" s="134">
        <f ca="1">IFERROR(VLOOKUP(X346,'credit rating'!A:C,3,FALSE),0)</f>
        <v>0</v>
      </c>
      <c r="AB346" s="134">
        <f ca="1">IFERROR(VLOOKUP(Y346,'credit rating'!B:C,2,FALSE),0)</f>
        <v>0</v>
      </c>
      <c r="AC346" s="136">
        <f ca="1">IFERROR(VLOOKUP(Z346,'credit rating'!B:C,2,FALSE),0)</f>
        <v>0</v>
      </c>
      <c r="AD346" s="136">
        <f t="shared" ca="1" si="39"/>
        <v>0</v>
      </c>
      <c r="AE346" s="249" t="str">
        <f ca="1">IFERROR(VLOOKUP(B346,bond!B:U,20,FALSE),"")</f>
        <v/>
      </c>
      <c r="AF346" s="136" t="e">
        <f ca="1">IF(VLOOKUP(B346,bond!B:AK,36,FALSE)="#N/A Field Not Applicable","",VLOOKUP(B346,bond!B:AK,36,FALSE))</f>
        <v>#N/A</v>
      </c>
      <c r="AG346" s="136" t="e">
        <f ca="1">IF(VLOOKUP(B346,bond!B:AL,37,FALSE)="FIXED","固定",IF(VLOOKUP(B346,bond!B:AL,37,FALSE)="FLOATING","浮動",IF(VLOOKUP(B346,bond!B:AL,37,FALSE)="VARIABLE","變動",IF(VLOOKUP(B346,bond!B:AL,37,FALSE)="FLAT TRADING","不含息交易",IF(VLOOKUP(B346,bond!B:AL,37,FALSE)="ZERO COUPON","零息",VLOOKUP(B346,bond!B:AL,37,FALSE))))))</f>
        <v>#N/A</v>
      </c>
      <c r="AH346" s="136" t="e">
        <f>VLOOKUP(C346,'2_Check_code'!I:J,2,FALSE)</f>
        <v>#N/A</v>
      </c>
      <c r="AI346" s="136" t="e">
        <f t="shared" ca="1" si="40"/>
        <v>#N/A</v>
      </c>
      <c r="AJ346" s="136" t="e">
        <f t="shared" ca="1" si="41"/>
        <v>#N/A</v>
      </c>
      <c r="AK346" s="594" t="e">
        <f ca="1">IF(VLOOKUP(B346,bond!B:S,18,FALSE)="是","有",IF(VLOOKUP(B346,bond!B:S,18,FALSE)="NO OFFER","無","需查詢"))</f>
        <v>#N/A</v>
      </c>
      <c r="AL346" s="136" t="e">
        <f>IF(VLOOKUP(A346,bond!F:AR,39,FALSE)="#N/A Field Not Applicable",VLOOKUP(A346,bond!F:AR,38,FALSE),IFERROR(VLOOKUP(A346,'7_發行日例外'!A:B,2,FALSE),VLOOKUP(A346,bond!F:AR,39,FALSE)))</f>
        <v>#N/A</v>
      </c>
      <c r="AM346" s="136" t="e">
        <f ca="1">VLOOKUP(B346,bond!B:AK,36,FALSE)</f>
        <v>#N/A</v>
      </c>
      <c r="AN346" s="136" t="str">
        <f ca="1">IFERROR(VLOOKUP(B346,'3_是否下架'!A:A,1,FALSE),"")</f>
        <v/>
      </c>
      <c r="AO346" s="136" t="e">
        <f ca="1">VLOOKUP(B346,bond!B:J,9,FALSE)</f>
        <v>#N/A</v>
      </c>
      <c r="AP346" s="136" t="e">
        <f ca="1">VLOOKUP(B346,bond!B:V,21,FALSE)</f>
        <v>#N/A</v>
      </c>
    </row>
    <row r="347" spans="1:42">
      <c r="A347" s="141">
        <f>bond!F348</f>
        <v>0</v>
      </c>
      <c r="B347" s="151">
        <f ca="1">IF($C$1=TRUE,bond!B348,"")</f>
        <v>0</v>
      </c>
      <c r="C347" s="95" t="e">
        <f>VLOOKUP(A347,bond!F:G,2,FALSE)</f>
        <v>#N/A</v>
      </c>
      <c r="D347" s="142" t="e">
        <f ca="1">VLOOKUP(B347,bond!B:C,2,FALSE)</f>
        <v>#N/A</v>
      </c>
      <c r="E347" s="95" t="e">
        <f ca="1">VLOOKUP(B347,bond!B:D,3,FALSE)</f>
        <v>#N/A</v>
      </c>
      <c r="F347" s="99" t="e">
        <f ca="1">VLOOKUP(B347,bond!B:AB,27,FALSE)</f>
        <v>#N/A</v>
      </c>
      <c r="G347" s="90" t="e">
        <f ca="1">VLOOKUP(B347,bond!B:E,4,FALSE)</f>
        <v>#N/A</v>
      </c>
      <c r="H347" s="202" t="e">
        <f ca="1">VLOOKUP(B347,bond!B:Y,24,FALSE)</f>
        <v>#N/A</v>
      </c>
      <c r="I347" s="95" t="e">
        <f ca="1">VLOOKUP(B347,bond!B:Z,25,FALSE)</f>
        <v>#N/A</v>
      </c>
      <c r="J347" s="180" t="e">
        <f ca="1">VLOOKUP(B347,bond!B:K,10,FALSE)</f>
        <v>#N/A</v>
      </c>
      <c r="K347" s="96" t="e">
        <f ca="1">VLOOKUP($B347,bond!B:S,14,FALSE)</f>
        <v>#N/A</v>
      </c>
      <c r="L347" s="91" t="e">
        <f ca="1">VLOOKUP(B347,bond!B:H,7,FALSE)</f>
        <v>#N/A</v>
      </c>
      <c r="M347" s="144" t="e">
        <f ca="1">VLOOKUP($B347,bond!$B:$Q,16,FALSE)</f>
        <v>#N/A</v>
      </c>
      <c r="N347" s="136" t="e">
        <f ca="1">VALUE(LEFT(VLOOKUP(B347,bond!B:R,17,FALSE),SEARCH(" ",VLOOKUP(B347,bond!B:R,17,FALSE),1)))</f>
        <v>#N/A</v>
      </c>
      <c r="O347" s="136" t="e">
        <f ca="1">VALUE(RIGHT(VLOOKUP(B347,bond!B:R,17,FALSE),LEN(VLOOKUP(B347,bond!B:R,17,FALSE))-LEN(N347)-3))</f>
        <v>#N/A</v>
      </c>
      <c r="P347" s="135" t="e">
        <f ca="1">VLOOKUP($B347,bond!$B:$AG,32,FALSE)</f>
        <v>#N/A</v>
      </c>
      <c r="Q347" s="135" t="e">
        <f ca="1">VLOOKUP($B347,bond!$B:$AH,33,FALSE)</f>
        <v>#N/A</v>
      </c>
      <c r="R347" s="135" t="e">
        <f ca="1">VLOOKUP(B347,bond!B:AA,26,FALSE)</f>
        <v>#N/A</v>
      </c>
      <c r="S347" s="135" t="e">
        <f ca="1">VLOOKUP(B347,bond!B:AI,34,FALSE)</f>
        <v>#N/A</v>
      </c>
      <c r="T347" s="135" t="e">
        <f t="shared" ca="1" si="35"/>
        <v>#N/A</v>
      </c>
      <c r="U347" s="207" t="e">
        <f ca="1">IFERROR(VLOOKUP(T347,Bond_DES!D:E,2,FALSE),VLOOKUP(S347,bond!AI:AJ,2,FALSE))</f>
        <v>#N/A</v>
      </c>
      <c r="V347" s="136" t="e">
        <f ca="1">IFERROR(VLOOKUP(B347,'1_重設數據'!L:M,2,FALSE),IF(Q347="政府",IF(AD347&gt;16,"(NPI)非專投",IF(AD347&gt;10,"(PI)專投","高資產")),IF(VLOOKUP(B347,bond!B:AN,39,FALSE)="Y","(PI)專投",IF(AD347&gt;=15,"(NPI)非專投",IF(AD347&gt;=10,"(PI)專投","高資產")))))</f>
        <v>#N/A</v>
      </c>
      <c r="W347" s="136" t="e">
        <f ca="1">VLOOKUP(AD347,'credit rating'!$F$2:$H$22,3,FALSE)</f>
        <v>#N/A</v>
      </c>
      <c r="X347" s="136" t="e">
        <f t="shared" ca="1" si="36"/>
        <v>#N/A</v>
      </c>
      <c r="Y347" s="136" t="e">
        <f t="shared" ca="1" si="37"/>
        <v>#N/A</v>
      </c>
      <c r="Z347" s="136" t="e">
        <f t="shared" ca="1" si="38"/>
        <v>#N/A</v>
      </c>
      <c r="AA347" s="134">
        <f ca="1">IFERROR(VLOOKUP(X347,'credit rating'!A:C,3,FALSE),0)</f>
        <v>0</v>
      </c>
      <c r="AB347" s="134">
        <f ca="1">IFERROR(VLOOKUP(Y347,'credit rating'!B:C,2,FALSE),0)</f>
        <v>0</v>
      </c>
      <c r="AC347" s="136">
        <f ca="1">IFERROR(VLOOKUP(Z347,'credit rating'!B:C,2,FALSE),0)</f>
        <v>0</v>
      </c>
      <c r="AD347" s="136">
        <f t="shared" ca="1" si="39"/>
        <v>0</v>
      </c>
      <c r="AE347" s="249" t="str">
        <f ca="1">IFERROR(VLOOKUP(B347,bond!B:U,20,FALSE),"")</f>
        <v/>
      </c>
      <c r="AF347" s="136" t="e">
        <f ca="1">IF(VLOOKUP(B347,bond!B:AK,36,FALSE)="#N/A Field Not Applicable","",VLOOKUP(B347,bond!B:AK,36,FALSE))</f>
        <v>#N/A</v>
      </c>
      <c r="AG347" s="136" t="e">
        <f ca="1">IF(VLOOKUP(B347,bond!B:AL,37,FALSE)="FIXED","固定",IF(VLOOKUP(B347,bond!B:AL,37,FALSE)="FLOATING","浮動",IF(VLOOKUP(B347,bond!B:AL,37,FALSE)="VARIABLE","變動",IF(VLOOKUP(B347,bond!B:AL,37,FALSE)="FLAT TRADING","不含息交易",IF(VLOOKUP(B347,bond!B:AL,37,FALSE)="ZERO COUPON","零息",VLOOKUP(B347,bond!B:AL,37,FALSE))))))</f>
        <v>#N/A</v>
      </c>
      <c r="AH347" s="136" t="e">
        <f>VLOOKUP(C347,'2_Check_code'!I:J,2,FALSE)</f>
        <v>#N/A</v>
      </c>
      <c r="AI347" s="136" t="e">
        <f t="shared" ca="1" si="40"/>
        <v>#N/A</v>
      </c>
      <c r="AJ347" s="136" t="e">
        <f t="shared" ca="1" si="41"/>
        <v>#N/A</v>
      </c>
      <c r="AK347" s="594" t="e">
        <f ca="1">IF(VLOOKUP(B347,bond!B:S,18,FALSE)="是","有",IF(VLOOKUP(B347,bond!B:S,18,FALSE)="NO OFFER","無","需查詢"))</f>
        <v>#N/A</v>
      </c>
      <c r="AL347" s="136" t="e">
        <f>IF(VLOOKUP(A347,bond!F:AR,39,FALSE)="#N/A Field Not Applicable",VLOOKUP(A347,bond!F:AR,38,FALSE),IFERROR(VLOOKUP(A347,'7_發行日例外'!A:B,2,FALSE),VLOOKUP(A347,bond!F:AR,39,FALSE)))</f>
        <v>#N/A</v>
      </c>
      <c r="AM347" s="136" t="e">
        <f ca="1">VLOOKUP(B347,bond!B:AK,36,FALSE)</f>
        <v>#N/A</v>
      </c>
      <c r="AN347" s="136" t="str">
        <f ca="1">IFERROR(VLOOKUP(B347,'3_是否下架'!A:A,1,FALSE),"")</f>
        <v/>
      </c>
      <c r="AO347" s="136" t="e">
        <f ca="1">VLOOKUP(B347,bond!B:J,9,FALSE)</f>
        <v>#N/A</v>
      </c>
      <c r="AP347" s="136" t="e">
        <f ca="1">VLOOKUP(B347,bond!B:V,21,FALSE)</f>
        <v>#N/A</v>
      </c>
    </row>
    <row r="348" spans="1:42">
      <c r="A348" s="141">
        <f>bond!F349</f>
        <v>0</v>
      </c>
      <c r="B348" s="151">
        <f ca="1">IF($C$1=TRUE,bond!B349,"")</f>
        <v>0</v>
      </c>
      <c r="C348" s="95" t="e">
        <f>VLOOKUP(A348,bond!F:G,2,FALSE)</f>
        <v>#N/A</v>
      </c>
      <c r="D348" s="142" t="e">
        <f ca="1">VLOOKUP(B348,bond!B:C,2,FALSE)</f>
        <v>#N/A</v>
      </c>
      <c r="E348" s="95" t="e">
        <f ca="1">VLOOKUP(B348,bond!B:D,3,FALSE)</f>
        <v>#N/A</v>
      </c>
      <c r="F348" s="99" t="e">
        <f ca="1">VLOOKUP(B348,bond!B:AB,27,FALSE)</f>
        <v>#N/A</v>
      </c>
      <c r="G348" s="90" t="e">
        <f ca="1">VLOOKUP(B348,bond!B:E,4,FALSE)</f>
        <v>#N/A</v>
      </c>
      <c r="H348" s="202" t="e">
        <f ca="1">VLOOKUP(B348,bond!B:Y,24,FALSE)</f>
        <v>#N/A</v>
      </c>
      <c r="I348" s="95" t="e">
        <f ca="1">VLOOKUP(B348,bond!B:Z,25,FALSE)</f>
        <v>#N/A</v>
      </c>
      <c r="J348" s="180" t="e">
        <f ca="1">VLOOKUP(B348,bond!B:K,10,FALSE)</f>
        <v>#N/A</v>
      </c>
      <c r="K348" s="96" t="e">
        <f ca="1">VLOOKUP($B348,bond!B:S,14,FALSE)</f>
        <v>#N/A</v>
      </c>
      <c r="L348" s="91" t="e">
        <f ca="1">VLOOKUP(B348,bond!B:H,7,FALSE)</f>
        <v>#N/A</v>
      </c>
      <c r="M348" s="144" t="e">
        <f ca="1">VLOOKUP($B348,bond!$B:$Q,16,FALSE)</f>
        <v>#N/A</v>
      </c>
      <c r="N348" s="136" t="e">
        <f ca="1">VALUE(LEFT(VLOOKUP(B348,bond!B:R,17,FALSE),SEARCH(" ",VLOOKUP(B348,bond!B:R,17,FALSE),1)))</f>
        <v>#N/A</v>
      </c>
      <c r="O348" s="136" t="e">
        <f ca="1">VALUE(RIGHT(VLOOKUP(B348,bond!B:R,17,FALSE),LEN(VLOOKUP(B348,bond!B:R,17,FALSE))-LEN(N348)-3))</f>
        <v>#N/A</v>
      </c>
      <c r="P348" s="135" t="e">
        <f ca="1">VLOOKUP($B348,bond!$B:$AG,32,FALSE)</f>
        <v>#N/A</v>
      </c>
      <c r="Q348" s="135" t="e">
        <f ca="1">VLOOKUP($B348,bond!$B:$AH,33,FALSE)</f>
        <v>#N/A</v>
      </c>
      <c r="R348" s="135" t="e">
        <f ca="1">VLOOKUP(B348,bond!B:AA,26,FALSE)</f>
        <v>#N/A</v>
      </c>
      <c r="S348" s="135" t="e">
        <f ca="1">VLOOKUP(B348,bond!B:AI,34,FALSE)</f>
        <v>#N/A</v>
      </c>
      <c r="T348" s="135" t="e">
        <f t="shared" ca="1" si="35"/>
        <v>#N/A</v>
      </c>
      <c r="U348" s="207" t="e">
        <f ca="1">IFERROR(VLOOKUP(T348,Bond_DES!D:E,2,FALSE),VLOOKUP(S348,bond!AI:AJ,2,FALSE))</f>
        <v>#N/A</v>
      </c>
      <c r="V348" s="136" t="e">
        <f ca="1">IFERROR(VLOOKUP(B348,'1_重設數據'!L:M,2,FALSE),IF(Q348="政府",IF(AD348&gt;16,"(NPI)非專投",IF(AD348&gt;10,"(PI)專投","高資產")),IF(VLOOKUP(B348,bond!B:AN,39,FALSE)="Y","(PI)專投",IF(AD348&gt;=15,"(NPI)非專投",IF(AD348&gt;=10,"(PI)專投","高資產")))))</f>
        <v>#N/A</v>
      </c>
      <c r="W348" s="136" t="e">
        <f ca="1">VLOOKUP(AD348,'credit rating'!$F$2:$H$22,3,FALSE)</f>
        <v>#N/A</v>
      </c>
      <c r="X348" s="136" t="e">
        <f t="shared" ca="1" si="36"/>
        <v>#N/A</v>
      </c>
      <c r="Y348" s="136" t="e">
        <f t="shared" ca="1" si="37"/>
        <v>#N/A</v>
      </c>
      <c r="Z348" s="136" t="e">
        <f t="shared" ca="1" si="38"/>
        <v>#N/A</v>
      </c>
      <c r="AA348" s="134">
        <f ca="1">IFERROR(VLOOKUP(X348,'credit rating'!A:C,3,FALSE),0)</f>
        <v>0</v>
      </c>
      <c r="AB348" s="134">
        <f ca="1">IFERROR(VLOOKUP(Y348,'credit rating'!B:C,2,FALSE),0)</f>
        <v>0</v>
      </c>
      <c r="AC348" s="136">
        <f ca="1">IFERROR(VLOOKUP(Z348,'credit rating'!B:C,2,FALSE),0)</f>
        <v>0</v>
      </c>
      <c r="AD348" s="136">
        <f t="shared" ca="1" si="39"/>
        <v>0</v>
      </c>
      <c r="AE348" s="249" t="str">
        <f ca="1">IFERROR(VLOOKUP(B348,bond!B:U,20,FALSE),"")</f>
        <v/>
      </c>
      <c r="AF348" s="136" t="e">
        <f ca="1">IF(VLOOKUP(B348,bond!B:AK,36,FALSE)="#N/A Field Not Applicable","",VLOOKUP(B348,bond!B:AK,36,FALSE))</f>
        <v>#N/A</v>
      </c>
      <c r="AG348" s="136" t="e">
        <f ca="1">IF(VLOOKUP(B348,bond!B:AL,37,FALSE)="FIXED","固定",IF(VLOOKUP(B348,bond!B:AL,37,FALSE)="FLOATING","浮動",IF(VLOOKUP(B348,bond!B:AL,37,FALSE)="VARIABLE","變動",IF(VLOOKUP(B348,bond!B:AL,37,FALSE)="FLAT TRADING","不含息交易",IF(VLOOKUP(B348,bond!B:AL,37,FALSE)="ZERO COUPON","零息",VLOOKUP(B348,bond!B:AL,37,FALSE))))))</f>
        <v>#N/A</v>
      </c>
      <c r="AH348" s="136" t="e">
        <f>VLOOKUP(C348,'2_Check_code'!I:J,2,FALSE)</f>
        <v>#N/A</v>
      </c>
      <c r="AI348" s="136" t="e">
        <f t="shared" ca="1" si="40"/>
        <v>#N/A</v>
      </c>
      <c r="AJ348" s="136" t="e">
        <f t="shared" ca="1" si="41"/>
        <v>#N/A</v>
      </c>
      <c r="AK348" s="594" t="e">
        <f ca="1">IF(VLOOKUP(B348,bond!B:S,18,FALSE)="是","有",IF(VLOOKUP(B348,bond!B:S,18,FALSE)="NO OFFER","無","需查詢"))</f>
        <v>#N/A</v>
      </c>
      <c r="AL348" s="136" t="e">
        <f>IF(VLOOKUP(A348,bond!F:AR,39,FALSE)="#N/A Field Not Applicable",VLOOKUP(A348,bond!F:AR,38,FALSE),IFERROR(VLOOKUP(A348,'7_發行日例外'!A:B,2,FALSE),VLOOKUP(A348,bond!F:AR,39,FALSE)))</f>
        <v>#N/A</v>
      </c>
      <c r="AM348" s="136" t="e">
        <f ca="1">VLOOKUP(B348,bond!B:AK,36,FALSE)</f>
        <v>#N/A</v>
      </c>
      <c r="AN348" s="136" t="str">
        <f ca="1">IFERROR(VLOOKUP(B348,'3_是否下架'!A:A,1,FALSE),"")</f>
        <v/>
      </c>
      <c r="AO348" s="136" t="e">
        <f ca="1">VLOOKUP(B348,bond!B:J,9,FALSE)</f>
        <v>#N/A</v>
      </c>
      <c r="AP348" s="136" t="e">
        <f ca="1">VLOOKUP(B348,bond!B:V,21,FALSE)</f>
        <v>#N/A</v>
      </c>
    </row>
    <row r="349" spans="1:42">
      <c r="A349" s="141">
        <f>bond!F350</f>
        <v>0</v>
      </c>
      <c r="B349" s="151">
        <f ca="1">IF($C$1=TRUE,bond!B350,"")</f>
        <v>0</v>
      </c>
      <c r="C349" s="95" t="e">
        <f>VLOOKUP(A349,bond!F:G,2,FALSE)</f>
        <v>#N/A</v>
      </c>
      <c r="D349" s="142" t="e">
        <f ca="1">VLOOKUP(B349,bond!B:C,2,FALSE)</f>
        <v>#N/A</v>
      </c>
      <c r="E349" s="95" t="e">
        <f ca="1">VLOOKUP(B349,bond!B:D,3,FALSE)</f>
        <v>#N/A</v>
      </c>
      <c r="F349" s="99" t="e">
        <f ca="1">VLOOKUP(B349,bond!B:AB,27,FALSE)</f>
        <v>#N/A</v>
      </c>
      <c r="G349" s="90" t="e">
        <f ca="1">VLOOKUP(B349,bond!B:E,4,FALSE)</f>
        <v>#N/A</v>
      </c>
      <c r="H349" s="202" t="e">
        <f ca="1">VLOOKUP(B349,bond!B:Y,24,FALSE)</f>
        <v>#N/A</v>
      </c>
      <c r="I349" s="95" t="e">
        <f ca="1">VLOOKUP(B349,bond!B:Z,25,FALSE)</f>
        <v>#N/A</v>
      </c>
      <c r="J349" s="180" t="e">
        <f ca="1">VLOOKUP(B349,bond!B:K,10,FALSE)</f>
        <v>#N/A</v>
      </c>
      <c r="K349" s="96" t="e">
        <f ca="1">VLOOKUP($B349,bond!B:S,14,FALSE)</f>
        <v>#N/A</v>
      </c>
      <c r="L349" s="91" t="e">
        <f ca="1">VLOOKUP(B349,bond!B:H,7,FALSE)</f>
        <v>#N/A</v>
      </c>
      <c r="M349" s="144" t="e">
        <f ca="1">VLOOKUP($B349,bond!$B:$Q,16,FALSE)</f>
        <v>#N/A</v>
      </c>
      <c r="N349" s="136" t="e">
        <f ca="1">VALUE(LEFT(VLOOKUP(B349,bond!B:R,17,FALSE),SEARCH(" ",VLOOKUP(B349,bond!B:R,17,FALSE),1)))</f>
        <v>#N/A</v>
      </c>
      <c r="O349" s="136" t="e">
        <f ca="1">VALUE(RIGHT(VLOOKUP(B349,bond!B:R,17,FALSE),LEN(VLOOKUP(B349,bond!B:R,17,FALSE))-LEN(N349)-3))</f>
        <v>#N/A</v>
      </c>
      <c r="P349" s="135" t="e">
        <f ca="1">VLOOKUP($B349,bond!$B:$AG,32,FALSE)</f>
        <v>#N/A</v>
      </c>
      <c r="Q349" s="135" t="e">
        <f ca="1">VLOOKUP($B349,bond!$B:$AH,33,FALSE)</f>
        <v>#N/A</v>
      </c>
      <c r="R349" s="135" t="e">
        <f ca="1">VLOOKUP(B349,bond!B:AA,26,FALSE)</f>
        <v>#N/A</v>
      </c>
      <c r="S349" s="135" t="e">
        <f ca="1">VLOOKUP(B349,bond!B:AI,34,FALSE)</f>
        <v>#N/A</v>
      </c>
      <c r="T349" s="135" t="e">
        <f t="shared" ca="1" si="35"/>
        <v>#N/A</v>
      </c>
      <c r="U349" s="207" t="e">
        <f ca="1">IFERROR(VLOOKUP(T349,Bond_DES!D:E,2,FALSE),VLOOKUP(S349,bond!AI:AJ,2,FALSE))</f>
        <v>#N/A</v>
      </c>
      <c r="V349" s="136" t="e">
        <f ca="1">IFERROR(VLOOKUP(B349,'1_重設數據'!L:M,2,FALSE),IF(Q349="政府",IF(AD349&gt;16,"(NPI)非專投",IF(AD349&gt;10,"(PI)專投","高資產")),IF(VLOOKUP(B349,bond!B:AN,39,FALSE)="Y","(PI)專投",IF(AD349&gt;=15,"(NPI)非專投",IF(AD349&gt;=10,"(PI)專投","高資產")))))</f>
        <v>#N/A</v>
      </c>
      <c r="W349" s="136" t="e">
        <f ca="1">VLOOKUP(AD349,'credit rating'!$F$2:$H$22,3,FALSE)</f>
        <v>#N/A</v>
      </c>
      <c r="X349" s="136" t="e">
        <f t="shared" ca="1" si="36"/>
        <v>#N/A</v>
      </c>
      <c r="Y349" s="136" t="e">
        <f t="shared" ca="1" si="37"/>
        <v>#N/A</v>
      </c>
      <c r="Z349" s="136" t="e">
        <f t="shared" ca="1" si="38"/>
        <v>#N/A</v>
      </c>
      <c r="AA349" s="134">
        <f ca="1">IFERROR(VLOOKUP(X349,'credit rating'!A:C,3,FALSE),0)</f>
        <v>0</v>
      </c>
      <c r="AB349" s="134">
        <f ca="1">IFERROR(VLOOKUP(Y349,'credit rating'!B:C,2,FALSE),0)</f>
        <v>0</v>
      </c>
      <c r="AC349" s="136">
        <f ca="1">IFERROR(VLOOKUP(Z349,'credit rating'!B:C,2,FALSE),0)</f>
        <v>0</v>
      </c>
      <c r="AD349" s="136">
        <f t="shared" ca="1" si="39"/>
        <v>0</v>
      </c>
      <c r="AE349" s="249" t="str">
        <f ca="1">IFERROR(VLOOKUP(B349,bond!B:U,20,FALSE),"")</f>
        <v/>
      </c>
      <c r="AF349" s="136" t="e">
        <f ca="1">IF(VLOOKUP(B349,bond!B:AK,36,FALSE)="#N/A Field Not Applicable","",VLOOKUP(B349,bond!B:AK,36,FALSE))</f>
        <v>#N/A</v>
      </c>
      <c r="AG349" s="136" t="e">
        <f ca="1">IF(VLOOKUP(B349,bond!B:AL,37,FALSE)="FIXED","固定",IF(VLOOKUP(B349,bond!B:AL,37,FALSE)="FLOATING","浮動",IF(VLOOKUP(B349,bond!B:AL,37,FALSE)="VARIABLE","變動",IF(VLOOKUP(B349,bond!B:AL,37,FALSE)="FLAT TRADING","不含息交易",IF(VLOOKUP(B349,bond!B:AL,37,FALSE)="ZERO COUPON","零息",VLOOKUP(B349,bond!B:AL,37,FALSE))))))</f>
        <v>#N/A</v>
      </c>
      <c r="AH349" s="136" t="e">
        <f>VLOOKUP(C349,'2_Check_code'!I:J,2,FALSE)</f>
        <v>#N/A</v>
      </c>
      <c r="AI349" s="136" t="e">
        <f t="shared" ca="1" si="40"/>
        <v>#N/A</v>
      </c>
      <c r="AJ349" s="136" t="e">
        <f t="shared" ca="1" si="41"/>
        <v>#N/A</v>
      </c>
      <c r="AK349" s="594" t="e">
        <f ca="1">IF(VLOOKUP(B349,bond!B:S,18,FALSE)="是","有",IF(VLOOKUP(B349,bond!B:S,18,FALSE)="NO OFFER","無","需查詢"))</f>
        <v>#N/A</v>
      </c>
      <c r="AL349" s="136" t="e">
        <f>IF(VLOOKUP(A349,bond!F:AR,39,FALSE)="#N/A Field Not Applicable",VLOOKUP(A349,bond!F:AR,38,FALSE),IFERROR(VLOOKUP(A349,'7_發行日例外'!A:B,2,FALSE),VLOOKUP(A349,bond!F:AR,39,FALSE)))</f>
        <v>#N/A</v>
      </c>
      <c r="AM349" s="136" t="e">
        <f ca="1">VLOOKUP(B349,bond!B:AK,36,FALSE)</f>
        <v>#N/A</v>
      </c>
      <c r="AN349" s="136" t="str">
        <f ca="1">IFERROR(VLOOKUP(B349,'3_是否下架'!A:A,1,FALSE),"")</f>
        <v/>
      </c>
      <c r="AO349" s="136" t="e">
        <f ca="1">VLOOKUP(B349,bond!B:J,9,FALSE)</f>
        <v>#N/A</v>
      </c>
      <c r="AP349" s="136" t="e">
        <f ca="1">VLOOKUP(B349,bond!B:V,21,FALSE)</f>
        <v>#N/A</v>
      </c>
    </row>
    <row r="350" spans="1:42">
      <c r="A350" s="141">
        <f>bond!F351</f>
        <v>0</v>
      </c>
      <c r="B350" s="151">
        <f ca="1">IF($C$1=TRUE,bond!B351,"")</f>
        <v>0</v>
      </c>
      <c r="C350" s="95" t="e">
        <f>VLOOKUP(A350,bond!F:G,2,FALSE)</f>
        <v>#N/A</v>
      </c>
      <c r="D350" s="142" t="e">
        <f ca="1">VLOOKUP(B350,bond!B:C,2,FALSE)</f>
        <v>#N/A</v>
      </c>
      <c r="E350" s="95" t="e">
        <f ca="1">VLOOKUP(B350,bond!B:D,3,FALSE)</f>
        <v>#N/A</v>
      </c>
      <c r="F350" s="99" t="e">
        <f ca="1">VLOOKUP(B350,bond!B:AB,27,FALSE)</f>
        <v>#N/A</v>
      </c>
      <c r="G350" s="90" t="e">
        <f ca="1">VLOOKUP(B350,bond!B:E,4,FALSE)</f>
        <v>#N/A</v>
      </c>
      <c r="H350" s="202" t="e">
        <f ca="1">VLOOKUP(B350,bond!B:Y,24,FALSE)</f>
        <v>#N/A</v>
      </c>
      <c r="I350" s="95" t="e">
        <f ca="1">VLOOKUP(B350,bond!B:Z,25,FALSE)</f>
        <v>#N/A</v>
      </c>
      <c r="J350" s="180" t="e">
        <f ca="1">VLOOKUP(B350,bond!B:K,10,FALSE)</f>
        <v>#N/A</v>
      </c>
      <c r="K350" s="96" t="e">
        <f ca="1">VLOOKUP($B350,bond!B:S,14,FALSE)</f>
        <v>#N/A</v>
      </c>
      <c r="L350" s="91" t="e">
        <f ca="1">VLOOKUP(B350,bond!B:H,7,FALSE)</f>
        <v>#N/A</v>
      </c>
      <c r="M350" s="144" t="e">
        <f ca="1">VLOOKUP($B350,bond!$B:$Q,16,FALSE)</f>
        <v>#N/A</v>
      </c>
      <c r="N350" s="136" t="e">
        <f ca="1">VALUE(LEFT(VLOOKUP(B350,bond!B:R,17,FALSE),SEARCH(" ",VLOOKUP(B350,bond!B:R,17,FALSE),1)))</f>
        <v>#N/A</v>
      </c>
      <c r="O350" s="136" t="e">
        <f ca="1">VALUE(RIGHT(VLOOKUP(B350,bond!B:R,17,FALSE),LEN(VLOOKUP(B350,bond!B:R,17,FALSE))-LEN(N350)-3))</f>
        <v>#N/A</v>
      </c>
      <c r="P350" s="135" t="e">
        <f ca="1">VLOOKUP($B350,bond!$B:$AG,32,FALSE)</f>
        <v>#N/A</v>
      </c>
      <c r="Q350" s="135" t="e">
        <f ca="1">VLOOKUP($B350,bond!$B:$AH,33,FALSE)</f>
        <v>#N/A</v>
      </c>
      <c r="R350" s="135" t="e">
        <f ca="1">VLOOKUP(B350,bond!B:AA,26,FALSE)</f>
        <v>#N/A</v>
      </c>
      <c r="S350" s="135" t="e">
        <f ca="1">VLOOKUP(B350,bond!B:AI,34,FALSE)</f>
        <v>#N/A</v>
      </c>
      <c r="T350" s="135" t="e">
        <f t="shared" ca="1" si="35"/>
        <v>#N/A</v>
      </c>
      <c r="U350" s="207" t="e">
        <f ca="1">IFERROR(VLOOKUP(T350,Bond_DES!D:E,2,FALSE),VLOOKUP(S350,bond!AI:AJ,2,FALSE))</f>
        <v>#N/A</v>
      </c>
      <c r="V350" s="136" t="e">
        <f ca="1">IFERROR(VLOOKUP(B350,'1_重設數據'!L:M,2,FALSE),IF(Q350="政府",IF(AD350&gt;16,"(NPI)非專投",IF(AD350&gt;10,"(PI)專投","高資產")),IF(VLOOKUP(B350,bond!B:AN,39,FALSE)="Y","(PI)專投",IF(AD350&gt;=15,"(NPI)非專投",IF(AD350&gt;=10,"(PI)專投","高資產")))))</f>
        <v>#N/A</v>
      </c>
      <c r="W350" s="136" t="e">
        <f ca="1">VLOOKUP(AD350,'credit rating'!$F$2:$H$22,3,FALSE)</f>
        <v>#N/A</v>
      </c>
      <c r="X350" s="136" t="e">
        <f t="shared" ca="1" si="36"/>
        <v>#N/A</v>
      </c>
      <c r="Y350" s="136" t="e">
        <f t="shared" ca="1" si="37"/>
        <v>#N/A</v>
      </c>
      <c r="Z350" s="136" t="e">
        <f t="shared" ca="1" si="38"/>
        <v>#N/A</v>
      </c>
      <c r="AA350" s="134">
        <f ca="1">IFERROR(VLOOKUP(X350,'credit rating'!A:C,3,FALSE),0)</f>
        <v>0</v>
      </c>
      <c r="AB350" s="134">
        <f ca="1">IFERROR(VLOOKUP(Y350,'credit rating'!B:C,2,FALSE),0)</f>
        <v>0</v>
      </c>
      <c r="AC350" s="136">
        <f ca="1">IFERROR(VLOOKUP(Z350,'credit rating'!B:C,2,FALSE),0)</f>
        <v>0</v>
      </c>
      <c r="AD350" s="136">
        <f t="shared" ca="1" si="39"/>
        <v>0</v>
      </c>
      <c r="AE350" s="249" t="str">
        <f ca="1">IFERROR(VLOOKUP(B350,bond!B:U,20,FALSE),"")</f>
        <v/>
      </c>
      <c r="AF350" s="136" t="e">
        <f ca="1">IF(VLOOKUP(B350,bond!B:AK,36,FALSE)="#N/A Field Not Applicable","",VLOOKUP(B350,bond!B:AK,36,FALSE))</f>
        <v>#N/A</v>
      </c>
      <c r="AG350" s="136" t="e">
        <f ca="1">IF(VLOOKUP(B350,bond!B:AL,37,FALSE)="FIXED","固定",IF(VLOOKUP(B350,bond!B:AL,37,FALSE)="FLOATING","浮動",IF(VLOOKUP(B350,bond!B:AL,37,FALSE)="VARIABLE","變動",IF(VLOOKUP(B350,bond!B:AL,37,FALSE)="FLAT TRADING","不含息交易",IF(VLOOKUP(B350,bond!B:AL,37,FALSE)="ZERO COUPON","零息",VLOOKUP(B350,bond!B:AL,37,FALSE))))))</f>
        <v>#N/A</v>
      </c>
      <c r="AH350" s="136" t="e">
        <f>VLOOKUP(C350,'2_Check_code'!I:J,2,FALSE)</f>
        <v>#N/A</v>
      </c>
      <c r="AI350" s="136" t="e">
        <f t="shared" ca="1" si="40"/>
        <v>#N/A</v>
      </c>
      <c r="AJ350" s="136" t="e">
        <f t="shared" ca="1" si="41"/>
        <v>#N/A</v>
      </c>
      <c r="AK350" s="594" t="e">
        <f ca="1">IF(VLOOKUP(B350,bond!B:S,18,FALSE)="是","有",IF(VLOOKUP(B350,bond!B:S,18,FALSE)="NO OFFER","無","需查詢"))</f>
        <v>#N/A</v>
      </c>
      <c r="AL350" s="136" t="e">
        <f>IF(VLOOKUP(A350,bond!F:AR,39,FALSE)="#N/A Field Not Applicable",VLOOKUP(A350,bond!F:AR,38,FALSE),IFERROR(VLOOKUP(A350,'7_發行日例外'!A:B,2,FALSE),VLOOKUP(A350,bond!F:AR,39,FALSE)))</f>
        <v>#N/A</v>
      </c>
      <c r="AM350" s="136" t="e">
        <f ca="1">VLOOKUP(B350,bond!B:AK,36,FALSE)</f>
        <v>#N/A</v>
      </c>
      <c r="AN350" s="136" t="str">
        <f ca="1">IFERROR(VLOOKUP(B350,'3_是否下架'!A:A,1,FALSE),"")</f>
        <v/>
      </c>
      <c r="AO350" s="136" t="e">
        <f ca="1">VLOOKUP(B350,bond!B:J,9,FALSE)</f>
        <v>#N/A</v>
      </c>
      <c r="AP350" s="136" t="e">
        <f ca="1">VLOOKUP(B350,bond!B:V,21,FALSE)</f>
        <v>#N/A</v>
      </c>
    </row>
    <row r="351" spans="1:42">
      <c r="A351" s="141">
        <f>bond!F352</f>
        <v>0</v>
      </c>
      <c r="B351" s="151">
        <f ca="1">IF($C$1=TRUE,bond!B352,"")</f>
        <v>0</v>
      </c>
      <c r="C351" s="95" t="e">
        <f>VLOOKUP(A351,bond!F:G,2,FALSE)</f>
        <v>#N/A</v>
      </c>
      <c r="D351" s="142" t="e">
        <f ca="1">VLOOKUP(B351,bond!B:C,2,FALSE)</f>
        <v>#N/A</v>
      </c>
      <c r="E351" s="95" t="e">
        <f ca="1">VLOOKUP(B351,bond!B:D,3,FALSE)</f>
        <v>#N/A</v>
      </c>
      <c r="F351" s="99" t="e">
        <f ca="1">VLOOKUP(B351,bond!B:AB,27,FALSE)</f>
        <v>#N/A</v>
      </c>
      <c r="G351" s="90" t="e">
        <f ca="1">VLOOKUP(B351,bond!B:E,4,FALSE)</f>
        <v>#N/A</v>
      </c>
      <c r="H351" s="202" t="e">
        <f ca="1">VLOOKUP(B351,bond!B:Y,24,FALSE)</f>
        <v>#N/A</v>
      </c>
      <c r="I351" s="95" t="e">
        <f ca="1">VLOOKUP(B351,bond!B:Z,25,FALSE)</f>
        <v>#N/A</v>
      </c>
      <c r="J351" s="180" t="e">
        <f ca="1">VLOOKUP(B351,bond!B:K,10,FALSE)</f>
        <v>#N/A</v>
      </c>
      <c r="K351" s="96" t="e">
        <f ca="1">VLOOKUP($B351,bond!B:S,14,FALSE)</f>
        <v>#N/A</v>
      </c>
      <c r="L351" s="91" t="e">
        <f ca="1">VLOOKUP(B351,bond!B:H,7,FALSE)</f>
        <v>#N/A</v>
      </c>
      <c r="M351" s="144" t="e">
        <f ca="1">VLOOKUP($B351,bond!$B:$Q,16,FALSE)</f>
        <v>#N/A</v>
      </c>
      <c r="N351" s="136" t="e">
        <f ca="1">VALUE(LEFT(VLOOKUP(B351,bond!B:R,17,FALSE),SEARCH(" ",VLOOKUP(B351,bond!B:R,17,FALSE),1)))</f>
        <v>#N/A</v>
      </c>
      <c r="O351" s="136" t="e">
        <f ca="1">VALUE(RIGHT(VLOOKUP(B351,bond!B:R,17,FALSE),LEN(VLOOKUP(B351,bond!B:R,17,FALSE))-LEN(N351)-3))</f>
        <v>#N/A</v>
      </c>
      <c r="P351" s="135" t="e">
        <f ca="1">VLOOKUP($B351,bond!$B:$AG,32,FALSE)</f>
        <v>#N/A</v>
      </c>
      <c r="Q351" s="135" t="e">
        <f ca="1">VLOOKUP($B351,bond!$B:$AH,33,FALSE)</f>
        <v>#N/A</v>
      </c>
      <c r="R351" s="135" t="e">
        <f ca="1">VLOOKUP(B351,bond!B:AA,26,FALSE)</f>
        <v>#N/A</v>
      </c>
      <c r="S351" s="135" t="e">
        <f ca="1">VLOOKUP(B351,bond!B:AI,34,FALSE)</f>
        <v>#N/A</v>
      </c>
      <c r="T351" s="135" t="e">
        <f t="shared" ca="1" si="35"/>
        <v>#N/A</v>
      </c>
      <c r="U351" s="207" t="e">
        <f ca="1">IFERROR(VLOOKUP(T351,Bond_DES!D:E,2,FALSE),VLOOKUP(S351,bond!AI:AJ,2,FALSE))</f>
        <v>#N/A</v>
      </c>
      <c r="V351" s="136" t="e">
        <f ca="1">IFERROR(VLOOKUP(B351,'1_重設數據'!L:M,2,FALSE),IF(Q351="政府",IF(AD351&gt;16,"(NPI)非專投",IF(AD351&gt;10,"(PI)專投","高資產")),IF(VLOOKUP(B351,bond!B:AN,39,FALSE)="Y","(PI)專投",IF(AD351&gt;=15,"(NPI)非專投",IF(AD351&gt;=10,"(PI)專投","高資產")))))</f>
        <v>#N/A</v>
      </c>
      <c r="W351" s="136" t="e">
        <f ca="1">VLOOKUP(AD351,'credit rating'!$F$2:$H$22,3,FALSE)</f>
        <v>#N/A</v>
      </c>
      <c r="X351" s="136" t="e">
        <f t="shared" ca="1" si="36"/>
        <v>#N/A</v>
      </c>
      <c r="Y351" s="136" t="e">
        <f t="shared" ca="1" si="37"/>
        <v>#N/A</v>
      </c>
      <c r="Z351" s="136" t="e">
        <f t="shared" ca="1" si="38"/>
        <v>#N/A</v>
      </c>
      <c r="AA351" s="134">
        <f ca="1">IFERROR(VLOOKUP(X351,'credit rating'!A:C,3,FALSE),0)</f>
        <v>0</v>
      </c>
      <c r="AB351" s="134">
        <f ca="1">IFERROR(VLOOKUP(Y351,'credit rating'!B:C,2,FALSE),0)</f>
        <v>0</v>
      </c>
      <c r="AC351" s="136">
        <f ca="1">IFERROR(VLOOKUP(Z351,'credit rating'!B:C,2,FALSE),0)</f>
        <v>0</v>
      </c>
      <c r="AD351" s="136">
        <f t="shared" ca="1" si="39"/>
        <v>0</v>
      </c>
      <c r="AE351" s="249" t="str">
        <f ca="1">IFERROR(VLOOKUP(B351,bond!B:U,20,FALSE),"")</f>
        <v/>
      </c>
      <c r="AF351" s="136" t="e">
        <f ca="1">IF(VLOOKUP(B351,bond!B:AK,36,FALSE)="#N/A Field Not Applicable","",VLOOKUP(B351,bond!B:AK,36,FALSE))</f>
        <v>#N/A</v>
      </c>
      <c r="AG351" s="136" t="e">
        <f ca="1">IF(VLOOKUP(B351,bond!B:AL,37,FALSE)="FIXED","固定",IF(VLOOKUP(B351,bond!B:AL,37,FALSE)="FLOATING","浮動",IF(VLOOKUP(B351,bond!B:AL,37,FALSE)="VARIABLE","變動",IF(VLOOKUP(B351,bond!B:AL,37,FALSE)="FLAT TRADING","不含息交易",IF(VLOOKUP(B351,bond!B:AL,37,FALSE)="ZERO COUPON","零息",VLOOKUP(B351,bond!B:AL,37,FALSE))))))</f>
        <v>#N/A</v>
      </c>
      <c r="AH351" s="136" t="e">
        <f>VLOOKUP(C351,'2_Check_code'!I:J,2,FALSE)</f>
        <v>#N/A</v>
      </c>
      <c r="AI351" s="136" t="e">
        <f t="shared" ca="1" si="40"/>
        <v>#N/A</v>
      </c>
      <c r="AJ351" s="136" t="e">
        <f t="shared" ca="1" si="41"/>
        <v>#N/A</v>
      </c>
      <c r="AK351" s="594" t="e">
        <f ca="1">IF(VLOOKUP(B351,bond!B:S,18,FALSE)="是","有",IF(VLOOKUP(B351,bond!B:S,18,FALSE)="NO OFFER","無","需查詢"))</f>
        <v>#N/A</v>
      </c>
      <c r="AL351" s="136" t="e">
        <f>IF(VLOOKUP(A351,bond!F:AR,39,FALSE)="#N/A Field Not Applicable",VLOOKUP(A351,bond!F:AR,38,FALSE),IFERROR(VLOOKUP(A351,'7_發行日例外'!A:B,2,FALSE),VLOOKUP(A351,bond!F:AR,39,FALSE)))</f>
        <v>#N/A</v>
      </c>
      <c r="AM351" s="136" t="e">
        <f ca="1">VLOOKUP(B351,bond!B:AK,36,FALSE)</f>
        <v>#N/A</v>
      </c>
      <c r="AN351" s="136" t="str">
        <f ca="1">IFERROR(VLOOKUP(B351,'3_是否下架'!A:A,1,FALSE),"")</f>
        <v/>
      </c>
      <c r="AO351" s="136" t="e">
        <f ca="1">VLOOKUP(B351,bond!B:J,9,FALSE)</f>
        <v>#N/A</v>
      </c>
      <c r="AP351" s="136" t="e">
        <f ca="1">VLOOKUP(B351,bond!B:V,21,FALSE)</f>
        <v>#N/A</v>
      </c>
    </row>
    <row r="352" spans="1:42">
      <c r="A352" s="141">
        <f>bond!F353</f>
        <v>0</v>
      </c>
      <c r="B352" s="151">
        <f ca="1">IF($C$1=TRUE,bond!B353,"")</f>
        <v>0</v>
      </c>
      <c r="C352" s="95" t="e">
        <f>VLOOKUP(A352,bond!F:G,2,FALSE)</f>
        <v>#N/A</v>
      </c>
      <c r="D352" s="142" t="e">
        <f ca="1">VLOOKUP(B352,bond!B:C,2,FALSE)</f>
        <v>#N/A</v>
      </c>
      <c r="E352" s="95" t="e">
        <f ca="1">VLOOKUP(B352,bond!B:D,3,FALSE)</f>
        <v>#N/A</v>
      </c>
      <c r="F352" s="99" t="e">
        <f ca="1">VLOOKUP(B352,bond!B:AB,27,FALSE)</f>
        <v>#N/A</v>
      </c>
      <c r="G352" s="90" t="e">
        <f ca="1">VLOOKUP(B352,bond!B:E,4,FALSE)</f>
        <v>#N/A</v>
      </c>
      <c r="H352" s="202" t="e">
        <f ca="1">VLOOKUP(B352,bond!B:Y,24,FALSE)</f>
        <v>#N/A</v>
      </c>
      <c r="I352" s="95" t="e">
        <f ca="1">VLOOKUP(B352,bond!B:Z,25,FALSE)</f>
        <v>#N/A</v>
      </c>
      <c r="J352" s="180" t="e">
        <f ca="1">VLOOKUP(B352,bond!B:K,10,FALSE)</f>
        <v>#N/A</v>
      </c>
      <c r="K352" s="96" t="e">
        <f ca="1">VLOOKUP($B352,bond!B:S,14,FALSE)</f>
        <v>#N/A</v>
      </c>
      <c r="L352" s="91" t="e">
        <f ca="1">VLOOKUP(B352,bond!B:H,7,FALSE)</f>
        <v>#N/A</v>
      </c>
      <c r="M352" s="144" t="e">
        <f ca="1">VLOOKUP($B352,bond!$B:$Q,16,FALSE)</f>
        <v>#N/A</v>
      </c>
      <c r="N352" s="136" t="e">
        <f ca="1">VALUE(LEFT(VLOOKUP(B352,bond!B:R,17,FALSE),SEARCH(" ",VLOOKUP(B352,bond!B:R,17,FALSE),1)))</f>
        <v>#N/A</v>
      </c>
      <c r="O352" s="136" t="e">
        <f ca="1">VALUE(RIGHT(VLOOKUP(B352,bond!B:R,17,FALSE),LEN(VLOOKUP(B352,bond!B:R,17,FALSE))-LEN(N352)-3))</f>
        <v>#N/A</v>
      </c>
      <c r="P352" s="135" t="e">
        <f ca="1">VLOOKUP($B352,bond!$B:$AG,32,FALSE)</f>
        <v>#N/A</v>
      </c>
      <c r="Q352" s="135" t="e">
        <f ca="1">VLOOKUP($B352,bond!$B:$AH,33,FALSE)</f>
        <v>#N/A</v>
      </c>
      <c r="R352" s="135" t="e">
        <f ca="1">VLOOKUP(B352,bond!B:AA,26,FALSE)</f>
        <v>#N/A</v>
      </c>
      <c r="S352" s="135" t="e">
        <f ca="1">VLOOKUP(B352,bond!B:AI,34,FALSE)</f>
        <v>#N/A</v>
      </c>
      <c r="T352" s="135" t="e">
        <f t="shared" ca="1" si="35"/>
        <v>#N/A</v>
      </c>
      <c r="U352" s="207" t="e">
        <f ca="1">IFERROR(VLOOKUP(T352,Bond_DES!D:E,2,FALSE),VLOOKUP(S352,bond!AI:AJ,2,FALSE))</f>
        <v>#N/A</v>
      </c>
      <c r="V352" s="136" t="e">
        <f ca="1">IFERROR(VLOOKUP(B352,'1_重設數據'!L:M,2,FALSE),IF(Q352="政府",IF(AD352&gt;16,"(NPI)非專投",IF(AD352&gt;10,"(PI)專投","高資產")),IF(VLOOKUP(B352,bond!B:AN,39,FALSE)="Y","(PI)專投",IF(AD352&gt;=15,"(NPI)非專投",IF(AD352&gt;=10,"(PI)專投","高資產")))))</f>
        <v>#N/A</v>
      </c>
      <c r="W352" s="136" t="e">
        <f ca="1">VLOOKUP(AD352,'credit rating'!$F$2:$H$22,3,FALSE)</f>
        <v>#N/A</v>
      </c>
      <c r="X352" s="136" t="e">
        <f t="shared" ca="1" si="36"/>
        <v>#N/A</v>
      </c>
      <c r="Y352" s="136" t="e">
        <f t="shared" ca="1" si="37"/>
        <v>#N/A</v>
      </c>
      <c r="Z352" s="136" t="e">
        <f t="shared" ca="1" si="38"/>
        <v>#N/A</v>
      </c>
      <c r="AA352" s="134">
        <f ca="1">IFERROR(VLOOKUP(X352,'credit rating'!A:C,3,FALSE),0)</f>
        <v>0</v>
      </c>
      <c r="AB352" s="134">
        <f ca="1">IFERROR(VLOOKUP(Y352,'credit rating'!B:C,2,FALSE),0)</f>
        <v>0</v>
      </c>
      <c r="AC352" s="136">
        <f ca="1">IFERROR(VLOOKUP(Z352,'credit rating'!B:C,2,FALSE),0)</f>
        <v>0</v>
      </c>
      <c r="AD352" s="136">
        <f t="shared" ca="1" si="39"/>
        <v>0</v>
      </c>
      <c r="AE352" s="249" t="str">
        <f ca="1">IFERROR(VLOOKUP(B352,bond!B:U,20,FALSE),"")</f>
        <v/>
      </c>
      <c r="AF352" s="136" t="e">
        <f ca="1">IF(VLOOKUP(B352,bond!B:AK,36,FALSE)="#N/A Field Not Applicable","",VLOOKUP(B352,bond!B:AK,36,FALSE))</f>
        <v>#N/A</v>
      </c>
      <c r="AG352" s="136" t="e">
        <f ca="1">IF(VLOOKUP(B352,bond!B:AL,37,FALSE)="FIXED","固定",IF(VLOOKUP(B352,bond!B:AL,37,FALSE)="FLOATING","浮動",IF(VLOOKUP(B352,bond!B:AL,37,FALSE)="VARIABLE","變動",IF(VLOOKUP(B352,bond!B:AL,37,FALSE)="FLAT TRADING","不含息交易",IF(VLOOKUP(B352,bond!B:AL,37,FALSE)="ZERO COUPON","零息",VLOOKUP(B352,bond!B:AL,37,FALSE))))))</f>
        <v>#N/A</v>
      </c>
      <c r="AH352" s="136" t="e">
        <f>VLOOKUP(C352,'2_Check_code'!I:J,2,FALSE)</f>
        <v>#N/A</v>
      </c>
      <c r="AI352" s="136" t="e">
        <f t="shared" ca="1" si="40"/>
        <v>#N/A</v>
      </c>
      <c r="AJ352" s="136" t="e">
        <f t="shared" ca="1" si="41"/>
        <v>#N/A</v>
      </c>
      <c r="AK352" s="594" t="e">
        <f ca="1">IF(VLOOKUP(B352,bond!B:S,18,FALSE)="是","有",IF(VLOOKUP(B352,bond!B:S,18,FALSE)="NO OFFER","無","需查詢"))</f>
        <v>#N/A</v>
      </c>
      <c r="AL352" s="136" t="e">
        <f>IF(VLOOKUP(A352,bond!F:AR,39,FALSE)="#N/A Field Not Applicable",VLOOKUP(A352,bond!F:AR,38,FALSE),IFERROR(VLOOKUP(A352,'7_發行日例外'!A:B,2,FALSE),VLOOKUP(A352,bond!F:AR,39,FALSE)))</f>
        <v>#N/A</v>
      </c>
      <c r="AM352" s="136" t="e">
        <f ca="1">VLOOKUP(B352,bond!B:AK,36,FALSE)</f>
        <v>#N/A</v>
      </c>
      <c r="AN352" s="136" t="str">
        <f ca="1">IFERROR(VLOOKUP(B352,'3_是否下架'!A:A,1,FALSE),"")</f>
        <v/>
      </c>
      <c r="AO352" s="136" t="e">
        <f ca="1">VLOOKUP(B352,bond!B:J,9,FALSE)</f>
        <v>#N/A</v>
      </c>
      <c r="AP352" s="136" t="e">
        <f ca="1">VLOOKUP(B352,bond!B:V,21,FALSE)</f>
        <v>#N/A</v>
      </c>
    </row>
    <row r="353" spans="1:42">
      <c r="A353" s="141">
        <f>bond!F354</f>
        <v>0</v>
      </c>
      <c r="B353" s="151">
        <f ca="1">IF($C$1=TRUE,bond!B354,"")</f>
        <v>0</v>
      </c>
      <c r="C353" s="95" t="e">
        <f>VLOOKUP(A353,bond!F:G,2,FALSE)</f>
        <v>#N/A</v>
      </c>
      <c r="D353" s="142" t="e">
        <f ca="1">VLOOKUP(B353,bond!B:C,2,FALSE)</f>
        <v>#N/A</v>
      </c>
      <c r="E353" s="95" t="e">
        <f ca="1">VLOOKUP(B353,bond!B:D,3,FALSE)</f>
        <v>#N/A</v>
      </c>
      <c r="F353" s="99" t="e">
        <f ca="1">VLOOKUP(B353,bond!B:AB,27,FALSE)</f>
        <v>#N/A</v>
      </c>
      <c r="G353" s="90" t="e">
        <f ca="1">VLOOKUP(B353,bond!B:E,4,FALSE)</f>
        <v>#N/A</v>
      </c>
      <c r="H353" s="202" t="e">
        <f ca="1">VLOOKUP(B353,bond!B:Y,24,FALSE)</f>
        <v>#N/A</v>
      </c>
      <c r="I353" s="95" t="e">
        <f ca="1">VLOOKUP(B353,bond!B:Z,25,FALSE)</f>
        <v>#N/A</v>
      </c>
      <c r="J353" s="180" t="e">
        <f ca="1">VLOOKUP(B353,bond!B:K,10,FALSE)</f>
        <v>#N/A</v>
      </c>
      <c r="K353" s="96" t="e">
        <f ca="1">VLOOKUP($B353,bond!B:S,14,FALSE)</f>
        <v>#N/A</v>
      </c>
      <c r="L353" s="91" t="e">
        <f ca="1">VLOOKUP(B353,bond!B:H,7,FALSE)</f>
        <v>#N/A</v>
      </c>
      <c r="M353" s="144" t="e">
        <f ca="1">VLOOKUP($B353,bond!$B:$Q,16,FALSE)</f>
        <v>#N/A</v>
      </c>
      <c r="N353" s="136" t="e">
        <f ca="1">VALUE(LEFT(VLOOKUP(B353,bond!B:R,17,FALSE),SEARCH(" ",VLOOKUP(B353,bond!B:R,17,FALSE),1)))</f>
        <v>#N/A</v>
      </c>
      <c r="O353" s="136" t="e">
        <f ca="1">VALUE(RIGHT(VLOOKUP(B353,bond!B:R,17,FALSE),LEN(VLOOKUP(B353,bond!B:R,17,FALSE))-LEN(N353)-3))</f>
        <v>#N/A</v>
      </c>
      <c r="P353" s="135" t="e">
        <f ca="1">VLOOKUP($B353,bond!$B:$AG,32,FALSE)</f>
        <v>#N/A</v>
      </c>
      <c r="Q353" s="135" t="e">
        <f ca="1">VLOOKUP($B353,bond!$B:$AH,33,FALSE)</f>
        <v>#N/A</v>
      </c>
      <c r="R353" s="135" t="e">
        <f ca="1">VLOOKUP(B353,bond!B:AA,26,FALSE)</f>
        <v>#N/A</v>
      </c>
      <c r="S353" s="135" t="e">
        <f ca="1">VLOOKUP(B353,bond!B:AI,34,FALSE)</f>
        <v>#N/A</v>
      </c>
      <c r="T353" s="135" t="e">
        <f t="shared" ca="1" si="35"/>
        <v>#N/A</v>
      </c>
      <c r="U353" s="207" t="e">
        <f ca="1">IFERROR(VLOOKUP(T353,Bond_DES!D:E,2,FALSE),VLOOKUP(S353,bond!AI:AJ,2,FALSE))</f>
        <v>#N/A</v>
      </c>
      <c r="V353" s="136" t="e">
        <f ca="1">IFERROR(VLOOKUP(B353,'1_重設數據'!L:M,2,FALSE),IF(Q353="政府",IF(AD353&gt;16,"(NPI)非專投",IF(AD353&gt;10,"(PI)專投","高資產")),IF(VLOOKUP(B353,bond!B:AN,39,FALSE)="Y","(PI)專投",IF(AD353&gt;=15,"(NPI)非專投",IF(AD353&gt;=10,"(PI)專投","高資產")))))</f>
        <v>#N/A</v>
      </c>
      <c r="W353" s="136" t="e">
        <f ca="1">VLOOKUP(AD353,'credit rating'!$F$2:$H$22,3,FALSE)</f>
        <v>#N/A</v>
      </c>
      <c r="X353" s="136" t="e">
        <f t="shared" ca="1" si="36"/>
        <v>#N/A</v>
      </c>
      <c r="Y353" s="136" t="e">
        <f t="shared" ca="1" si="37"/>
        <v>#N/A</v>
      </c>
      <c r="Z353" s="136" t="e">
        <f t="shared" ca="1" si="38"/>
        <v>#N/A</v>
      </c>
      <c r="AA353" s="134">
        <f ca="1">IFERROR(VLOOKUP(X353,'credit rating'!A:C,3,FALSE),0)</f>
        <v>0</v>
      </c>
      <c r="AB353" s="134">
        <f ca="1">IFERROR(VLOOKUP(Y353,'credit rating'!B:C,2,FALSE),0)</f>
        <v>0</v>
      </c>
      <c r="AC353" s="136">
        <f ca="1">IFERROR(VLOOKUP(Z353,'credit rating'!B:C,2,FALSE),0)</f>
        <v>0</v>
      </c>
      <c r="AD353" s="136">
        <f t="shared" ca="1" si="39"/>
        <v>0</v>
      </c>
      <c r="AE353" s="249" t="str">
        <f ca="1">IFERROR(VLOOKUP(B353,bond!B:U,20,FALSE),"")</f>
        <v/>
      </c>
      <c r="AF353" s="136" t="e">
        <f ca="1">IF(VLOOKUP(B353,bond!B:AK,36,FALSE)="#N/A Field Not Applicable","",VLOOKUP(B353,bond!B:AK,36,FALSE))</f>
        <v>#N/A</v>
      </c>
      <c r="AG353" s="136" t="e">
        <f ca="1">IF(VLOOKUP(B353,bond!B:AL,37,FALSE)="FIXED","固定",IF(VLOOKUP(B353,bond!B:AL,37,FALSE)="FLOATING","浮動",IF(VLOOKUP(B353,bond!B:AL,37,FALSE)="VARIABLE","變動",IF(VLOOKUP(B353,bond!B:AL,37,FALSE)="FLAT TRADING","不含息交易",IF(VLOOKUP(B353,bond!B:AL,37,FALSE)="ZERO COUPON","零息",VLOOKUP(B353,bond!B:AL,37,FALSE))))))</f>
        <v>#N/A</v>
      </c>
      <c r="AH353" s="136" t="e">
        <f>VLOOKUP(C353,'2_Check_code'!I:J,2,FALSE)</f>
        <v>#N/A</v>
      </c>
      <c r="AI353" s="136" t="e">
        <f t="shared" ca="1" si="40"/>
        <v>#N/A</v>
      </c>
      <c r="AJ353" s="136" t="e">
        <f t="shared" ca="1" si="41"/>
        <v>#N/A</v>
      </c>
      <c r="AK353" s="594" t="e">
        <f ca="1">IF(VLOOKUP(B353,bond!B:S,18,FALSE)="是","有",IF(VLOOKUP(B353,bond!B:S,18,FALSE)="NO OFFER","無","需查詢"))</f>
        <v>#N/A</v>
      </c>
      <c r="AL353" s="136" t="e">
        <f>IF(VLOOKUP(A353,bond!F:AR,39,FALSE)="#N/A Field Not Applicable",VLOOKUP(A353,bond!F:AR,38,FALSE),IFERROR(VLOOKUP(A353,'7_發行日例外'!A:B,2,FALSE),VLOOKUP(A353,bond!F:AR,39,FALSE)))</f>
        <v>#N/A</v>
      </c>
      <c r="AM353" s="136" t="e">
        <f ca="1">VLOOKUP(B353,bond!B:AK,36,FALSE)</f>
        <v>#N/A</v>
      </c>
      <c r="AN353" s="136" t="str">
        <f ca="1">IFERROR(VLOOKUP(B353,'3_是否下架'!A:A,1,FALSE),"")</f>
        <v/>
      </c>
      <c r="AO353" s="136" t="e">
        <f ca="1">VLOOKUP(B353,bond!B:J,9,FALSE)</f>
        <v>#N/A</v>
      </c>
      <c r="AP353" s="136" t="e">
        <f ca="1">VLOOKUP(B353,bond!B:V,21,FALSE)</f>
        <v>#N/A</v>
      </c>
    </row>
    <row r="354" spans="1:42">
      <c r="A354" s="141">
        <f>bond!F355</f>
        <v>0</v>
      </c>
      <c r="B354" s="151">
        <f ca="1">IF($C$1=TRUE,bond!B355,"")</f>
        <v>0</v>
      </c>
      <c r="C354" s="95" t="e">
        <f>VLOOKUP(A354,bond!F:G,2,FALSE)</f>
        <v>#N/A</v>
      </c>
      <c r="D354" s="142" t="e">
        <f ca="1">VLOOKUP(B354,bond!B:C,2,FALSE)</f>
        <v>#N/A</v>
      </c>
      <c r="E354" s="95" t="e">
        <f ca="1">VLOOKUP(B354,bond!B:D,3,FALSE)</f>
        <v>#N/A</v>
      </c>
      <c r="F354" s="99" t="e">
        <f ca="1">VLOOKUP(B354,bond!B:AB,27,FALSE)</f>
        <v>#N/A</v>
      </c>
      <c r="G354" s="90" t="e">
        <f ca="1">VLOOKUP(B354,bond!B:E,4,FALSE)</f>
        <v>#N/A</v>
      </c>
      <c r="H354" s="202" t="e">
        <f ca="1">VLOOKUP(B354,bond!B:Y,24,FALSE)</f>
        <v>#N/A</v>
      </c>
      <c r="I354" s="95" t="e">
        <f ca="1">VLOOKUP(B354,bond!B:Z,25,FALSE)</f>
        <v>#N/A</v>
      </c>
      <c r="J354" s="180" t="e">
        <f ca="1">VLOOKUP(B354,bond!B:K,10,FALSE)</f>
        <v>#N/A</v>
      </c>
      <c r="K354" s="96" t="e">
        <f ca="1">VLOOKUP($B354,bond!B:S,14,FALSE)</f>
        <v>#N/A</v>
      </c>
      <c r="L354" s="91" t="e">
        <f ca="1">VLOOKUP(B354,bond!B:H,7,FALSE)</f>
        <v>#N/A</v>
      </c>
      <c r="M354" s="144" t="e">
        <f ca="1">VLOOKUP($B354,bond!$B:$Q,16,FALSE)</f>
        <v>#N/A</v>
      </c>
      <c r="N354" s="136" t="e">
        <f ca="1">VALUE(LEFT(VLOOKUP(B354,bond!B:R,17,FALSE),SEARCH(" ",VLOOKUP(B354,bond!B:R,17,FALSE),1)))</f>
        <v>#N/A</v>
      </c>
      <c r="O354" s="136" t="e">
        <f ca="1">VALUE(RIGHT(VLOOKUP(B354,bond!B:R,17,FALSE),LEN(VLOOKUP(B354,bond!B:R,17,FALSE))-LEN(N354)-3))</f>
        <v>#N/A</v>
      </c>
      <c r="P354" s="135" t="e">
        <f ca="1">VLOOKUP($B354,bond!$B:$AG,32,FALSE)</f>
        <v>#N/A</v>
      </c>
      <c r="Q354" s="135" t="e">
        <f ca="1">VLOOKUP($B354,bond!$B:$AH,33,FALSE)</f>
        <v>#N/A</v>
      </c>
      <c r="R354" s="135" t="e">
        <f ca="1">VLOOKUP(B354,bond!B:AA,26,FALSE)</f>
        <v>#N/A</v>
      </c>
      <c r="S354" s="135" t="e">
        <f ca="1">VLOOKUP(B354,bond!B:AI,34,FALSE)</f>
        <v>#N/A</v>
      </c>
      <c r="T354" s="135" t="e">
        <f t="shared" ca="1" si="35"/>
        <v>#N/A</v>
      </c>
      <c r="U354" s="207" t="e">
        <f ca="1">IFERROR(VLOOKUP(T354,Bond_DES!D:E,2,FALSE),VLOOKUP(S354,bond!AI:AJ,2,FALSE))</f>
        <v>#N/A</v>
      </c>
      <c r="V354" s="136" t="e">
        <f ca="1">IFERROR(VLOOKUP(B354,'1_重設數據'!L:M,2,FALSE),IF(Q354="政府",IF(AD354&gt;16,"(NPI)非專投",IF(AD354&gt;10,"(PI)專投","高資產")),IF(VLOOKUP(B354,bond!B:AN,39,FALSE)="Y","(PI)專投",IF(AD354&gt;=15,"(NPI)非專投",IF(AD354&gt;=10,"(PI)專投","高資產")))))</f>
        <v>#N/A</v>
      </c>
      <c r="W354" s="136" t="e">
        <f ca="1">VLOOKUP(AD354,'credit rating'!$F$2:$H$22,3,FALSE)</f>
        <v>#N/A</v>
      </c>
      <c r="X354" s="136" t="e">
        <f t="shared" ca="1" si="36"/>
        <v>#N/A</v>
      </c>
      <c r="Y354" s="136" t="e">
        <f t="shared" ca="1" si="37"/>
        <v>#N/A</v>
      </c>
      <c r="Z354" s="136" t="e">
        <f t="shared" ca="1" si="38"/>
        <v>#N/A</v>
      </c>
      <c r="AA354" s="134">
        <f ca="1">IFERROR(VLOOKUP(X354,'credit rating'!A:C,3,FALSE),0)</f>
        <v>0</v>
      </c>
      <c r="AB354" s="134">
        <f ca="1">IFERROR(VLOOKUP(Y354,'credit rating'!B:C,2,FALSE),0)</f>
        <v>0</v>
      </c>
      <c r="AC354" s="136">
        <f ca="1">IFERROR(VLOOKUP(Z354,'credit rating'!B:C,2,FALSE),0)</f>
        <v>0</v>
      </c>
      <c r="AD354" s="136">
        <f t="shared" ca="1" si="39"/>
        <v>0</v>
      </c>
      <c r="AE354" s="249" t="str">
        <f ca="1">IFERROR(VLOOKUP(B354,bond!B:U,20,FALSE),"")</f>
        <v/>
      </c>
      <c r="AF354" s="136" t="e">
        <f ca="1">IF(VLOOKUP(B354,bond!B:AK,36,FALSE)="#N/A Field Not Applicable","",VLOOKUP(B354,bond!B:AK,36,FALSE))</f>
        <v>#N/A</v>
      </c>
      <c r="AG354" s="136" t="e">
        <f ca="1">IF(VLOOKUP(B354,bond!B:AL,37,FALSE)="FIXED","固定",IF(VLOOKUP(B354,bond!B:AL,37,FALSE)="FLOATING","浮動",IF(VLOOKUP(B354,bond!B:AL,37,FALSE)="VARIABLE","變動",IF(VLOOKUP(B354,bond!B:AL,37,FALSE)="FLAT TRADING","不含息交易",IF(VLOOKUP(B354,bond!B:AL,37,FALSE)="ZERO COUPON","零息",VLOOKUP(B354,bond!B:AL,37,FALSE))))))</f>
        <v>#N/A</v>
      </c>
      <c r="AH354" s="136" t="e">
        <f>VLOOKUP(C354,'2_Check_code'!I:J,2,FALSE)</f>
        <v>#N/A</v>
      </c>
      <c r="AI354" s="136" t="e">
        <f t="shared" ca="1" si="40"/>
        <v>#N/A</v>
      </c>
      <c r="AJ354" s="136" t="e">
        <f t="shared" ca="1" si="41"/>
        <v>#N/A</v>
      </c>
      <c r="AK354" s="594" t="e">
        <f ca="1">IF(VLOOKUP(B354,bond!B:S,18,FALSE)="是","有",IF(VLOOKUP(B354,bond!B:S,18,FALSE)="NO OFFER","無","需查詢"))</f>
        <v>#N/A</v>
      </c>
      <c r="AL354" s="136" t="e">
        <f>IF(VLOOKUP(A354,bond!F:AR,39,FALSE)="#N/A Field Not Applicable",VLOOKUP(A354,bond!F:AR,38,FALSE),IFERROR(VLOOKUP(A354,'7_發行日例外'!A:B,2,FALSE),VLOOKUP(A354,bond!F:AR,39,FALSE)))</f>
        <v>#N/A</v>
      </c>
      <c r="AM354" s="136" t="e">
        <f ca="1">VLOOKUP(B354,bond!B:AK,36,FALSE)</f>
        <v>#N/A</v>
      </c>
      <c r="AN354" s="136" t="str">
        <f ca="1">IFERROR(VLOOKUP(B354,'3_是否下架'!A:A,1,FALSE),"")</f>
        <v/>
      </c>
      <c r="AO354" s="136" t="e">
        <f ca="1">VLOOKUP(B354,bond!B:J,9,FALSE)</f>
        <v>#N/A</v>
      </c>
      <c r="AP354" s="136" t="e">
        <f ca="1">VLOOKUP(B354,bond!B:V,21,FALSE)</f>
        <v>#N/A</v>
      </c>
    </row>
    <row r="355" spans="1:42">
      <c r="A355" s="141">
        <f>bond!F356</f>
        <v>0</v>
      </c>
      <c r="B355" s="151">
        <f ca="1">IF($C$1=TRUE,bond!B356,"")</f>
        <v>0</v>
      </c>
      <c r="C355" s="95" t="e">
        <f>VLOOKUP(A355,bond!F:G,2,FALSE)</f>
        <v>#N/A</v>
      </c>
      <c r="D355" s="142" t="e">
        <f ca="1">VLOOKUP(B355,bond!B:C,2,FALSE)</f>
        <v>#N/A</v>
      </c>
      <c r="E355" s="95" t="e">
        <f ca="1">VLOOKUP(B355,bond!B:D,3,FALSE)</f>
        <v>#N/A</v>
      </c>
      <c r="F355" s="99" t="e">
        <f ca="1">VLOOKUP(B355,bond!B:AB,27,FALSE)</f>
        <v>#N/A</v>
      </c>
      <c r="G355" s="90" t="e">
        <f ca="1">VLOOKUP(B355,bond!B:E,4,FALSE)</f>
        <v>#N/A</v>
      </c>
      <c r="H355" s="202" t="e">
        <f ca="1">VLOOKUP(B355,bond!B:Y,24,FALSE)</f>
        <v>#N/A</v>
      </c>
      <c r="I355" s="95" t="e">
        <f ca="1">VLOOKUP(B355,bond!B:Z,25,FALSE)</f>
        <v>#N/A</v>
      </c>
      <c r="J355" s="180" t="e">
        <f ca="1">VLOOKUP(B355,bond!B:K,10,FALSE)</f>
        <v>#N/A</v>
      </c>
      <c r="K355" s="96" t="e">
        <f ca="1">VLOOKUP($B355,bond!B:S,14,FALSE)</f>
        <v>#N/A</v>
      </c>
      <c r="L355" s="91" t="e">
        <f ca="1">VLOOKUP(B355,bond!B:H,7,FALSE)</f>
        <v>#N/A</v>
      </c>
      <c r="M355" s="144" t="e">
        <f ca="1">VLOOKUP($B355,bond!$B:$Q,16,FALSE)</f>
        <v>#N/A</v>
      </c>
      <c r="N355" s="136" t="e">
        <f ca="1">VALUE(LEFT(VLOOKUP(B355,bond!B:R,17,FALSE),SEARCH(" ",VLOOKUP(B355,bond!B:R,17,FALSE),1)))</f>
        <v>#N/A</v>
      </c>
      <c r="O355" s="136" t="e">
        <f ca="1">VALUE(RIGHT(VLOOKUP(B355,bond!B:R,17,FALSE),LEN(VLOOKUP(B355,bond!B:R,17,FALSE))-LEN(N355)-3))</f>
        <v>#N/A</v>
      </c>
      <c r="P355" s="135" t="e">
        <f ca="1">VLOOKUP($B355,bond!$B:$AG,32,FALSE)</f>
        <v>#N/A</v>
      </c>
      <c r="Q355" s="135" t="e">
        <f ca="1">VLOOKUP($B355,bond!$B:$AH,33,FALSE)</f>
        <v>#N/A</v>
      </c>
      <c r="R355" s="135" t="e">
        <f ca="1">VLOOKUP(B355,bond!B:AA,26,FALSE)</f>
        <v>#N/A</v>
      </c>
      <c r="S355" s="135" t="e">
        <f ca="1">VLOOKUP(B355,bond!B:AI,34,FALSE)</f>
        <v>#N/A</v>
      </c>
      <c r="T355" s="135" t="e">
        <f t="shared" ca="1" si="35"/>
        <v>#N/A</v>
      </c>
      <c r="U355" s="207" t="e">
        <f ca="1">IFERROR(VLOOKUP(T355,Bond_DES!D:E,2,FALSE),VLOOKUP(S355,bond!AI:AJ,2,FALSE))</f>
        <v>#N/A</v>
      </c>
      <c r="V355" s="136" t="e">
        <f ca="1">IFERROR(VLOOKUP(B355,'1_重設數據'!L:M,2,FALSE),IF(Q355="政府",IF(AD355&gt;16,"(NPI)非專投",IF(AD355&gt;10,"(PI)專投","高資產")),IF(VLOOKUP(B355,bond!B:AN,39,FALSE)="Y","(PI)專投",IF(AD355&gt;=15,"(NPI)非專投",IF(AD355&gt;=10,"(PI)專投","高資產")))))</f>
        <v>#N/A</v>
      </c>
      <c r="W355" s="136" t="e">
        <f ca="1">VLOOKUP(AD355,'credit rating'!$F$2:$H$22,3,FALSE)</f>
        <v>#N/A</v>
      </c>
      <c r="X355" s="136" t="e">
        <f t="shared" ca="1" si="36"/>
        <v>#N/A</v>
      </c>
      <c r="Y355" s="136" t="e">
        <f t="shared" ca="1" si="37"/>
        <v>#N/A</v>
      </c>
      <c r="Z355" s="136" t="e">
        <f t="shared" ca="1" si="38"/>
        <v>#N/A</v>
      </c>
      <c r="AA355" s="134">
        <f ca="1">IFERROR(VLOOKUP(X355,'credit rating'!A:C,3,FALSE),0)</f>
        <v>0</v>
      </c>
      <c r="AB355" s="134">
        <f ca="1">IFERROR(VLOOKUP(Y355,'credit rating'!B:C,2,FALSE),0)</f>
        <v>0</v>
      </c>
      <c r="AC355" s="136">
        <f ca="1">IFERROR(VLOOKUP(Z355,'credit rating'!B:C,2,FALSE),0)</f>
        <v>0</v>
      </c>
      <c r="AD355" s="136">
        <f t="shared" ca="1" si="39"/>
        <v>0</v>
      </c>
      <c r="AE355" s="249" t="str">
        <f ca="1">IFERROR(VLOOKUP(B355,bond!B:U,20,FALSE),"")</f>
        <v/>
      </c>
      <c r="AF355" s="136" t="e">
        <f ca="1">IF(VLOOKUP(B355,bond!B:AK,36,FALSE)="#N/A Field Not Applicable","",VLOOKUP(B355,bond!B:AK,36,FALSE))</f>
        <v>#N/A</v>
      </c>
      <c r="AG355" s="136" t="e">
        <f ca="1">IF(VLOOKUP(B355,bond!B:AL,37,FALSE)="FIXED","固定",IF(VLOOKUP(B355,bond!B:AL,37,FALSE)="FLOATING","浮動",IF(VLOOKUP(B355,bond!B:AL,37,FALSE)="VARIABLE","變動",IF(VLOOKUP(B355,bond!B:AL,37,FALSE)="FLAT TRADING","不含息交易",IF(VLOOKUP(B355,bond!B:AL,37,FALSE)="ZERO COUPON","零息",VLOOKUP(B355,bond!B:AL,37,FALSE))))))</f>
        <v>#N/A</v>
      </c>
      <c r="AH355" s="136" t="e">
        <f>VLOOKUP(C355,'2_Check_code'!I:J,2,FALSE)</f>
        <v>#N/A</v>
      </c>
      <c r="AI355" s="136" t="e">
        <f t="shared" ca="1" si="40"/>
        <v>#N/A</v>
      </c>
      <c r="AJ355" s="136" t="e">
        <f t="shared" ca="1" si="41"/>
        <v>#N/A</v>
      </c>
      <c r="AK355" s="594" t="e">
        <f ca="1">IF(VLOOKUP(B355,bond!B:S,18,FALSE)="是","有",IF(VLOOKUP(B355,bond!B:S,18,FALSE)="NO OFFER","無","需查詢"))</f>
        <v>#N/A</v>
      </c>
      <c r="AL355" s="136" t="e">
        <f>IF(VLOOKUP(A355,bond!F:AR,39,FALSE)="#N/A Field Not Applicable",VLOOKUP(A355,bond!F:AR,38,FALSE),IFERROR(VLOOKUP(A355,'7_發行日例外'!A:B,2,FALSE),VLOOKUP(A355,bond!F:AR,39,FALSE)))</f>
        <v>#N/A</v>
      </c>
      <c r="AM355" s="136" t="e">
        <f ca="1">VLOOKUP(B355,bond!B:AK,36,FALSE)</f>
        <v>#N/A</v>
      </c>
      <c r="AN355" s="136" t="str">
        <f ca="1">IFERROR(VLOOKUP(B355,'3_是否下架'!A:A,1,FALSE),"")</f>
        <v/>
      </c>
      <c r="AO355" s="136" t="e">
        <f ca="1">VLOOKUP(B355,bond!B:J,9,FALSE)</f>
        <v>#N/A</v>
      </c>
      <c r="AP355" s="136" t="e">
        <f ca="1">VLOOKUP(B355,bond!B:V,21,FALSE)</f>
        <v>#N/A</v>
      </c>
    </row>
    <row r="356" spans="1:42">
      <c r="A356" s="141">
        <f>bond!F357</f>
        <v>0</v>
      </c>
      <c r="B356" s="151">
        <f ca="1">IF($C$1=TRUE,bond!B357,"")</f>
        <v>0</v>
      </c>
      <c r="C356" s="95" t="e">
        <f>VLOOKUP(A356,bond!F:G,2,FALSE)</f>
        <v>#N/A</v>
      </c>
      <c r="D356" s="142" t="e">
        <f ca="1">VLOOKUP(B356,bond!B:C,2,FALSE)</f>
        <v>#N/A</v>
      </c>
      <c r="E356" s="95" t="e">
        <f ca="1">VLOOKUP(B356,bond!B:D,3,FALSE)</f>
        <v>#N/A</v>
      </c>
      <c r="F356" s="99" t="e">
        <f ca="1">VLOOKUP(B356,bond!B:AB,27,FALSE)</f>
        <v>#N/A</v>
      </c>
      <c r="G356" s="90" t="e">
        <f ca="1">VLOOKUP(B356,bond!B:E,4,FALSE)</f>
        <v>#N/A</v>
      </c>
      <c r="H356" s="202" t="e">
        <f ca="1">VLOOKUP(B356,bond!B:Y,24,FALSE)</f>
        <v>#N/A</v>
      </c>
      <c r="I356" s="95" t="e">
        <f ca="1">VLOOKUP(B356,bond!B:Z,25,FALSE)</f>
        <v>#N/A</v>
      </c>
      <c r="J356" s="180" t="e">
        <f ca="1">VLOOKUP(B356,bond!B:K,10,FALSE)</f>
        <v>#N/A</v>
      </c>
      <c r="K356" s="96" t="e">
        <f ca="1">VLOOKUP($B356,bond!B:S,14,FALSE)</f>
        <v>#N/A</v>
      </c>
      <c r="L356" s="91" t="e">
        <f ca="1">VLOOKUP(B356,bond!B:H,7,FALSE)</f>
        <v>#N/A</v>
      </c>
      <c r="M356" s="144" t="e">
        <f ca="1">VLOOKUP($B356,bond!$B:$Q,16,FALSE)</f>
        <v>#N/A</v>
      </c>
      <c r="N356" s="136" t="e">
        <f ca="1">VALUE(LEFT(VLOOKUP(B356,bond!B:R,17,FALSE),SEARCH(" ",VLOOKUP(B356,bond!B:R,17,FALSE),1)))</f>
        <v>#N/A</v>
      </c>
      <c r="O356" s="136" t="e">
        <f ca="1">VALUE(RIGHT(VLOOKUP(B356,bond!B:R,17,FALSE),LEN(VLOOKUP(B356,bond!B:R,17,FALSE))-LEN(N356)-3))</f>
        <v>#N/A</v>
      </c>
      <c r="P356" s="135" t="e">
        <f ca="1">VLOOKUP($B356,bond!$B:$AG,32,FALSE)</f>
        <v>#N/A</v>
      </c>
      <c r="Q356" s="135" t="e">
        <f ca="1">VLOOKUP($B356,bond!$B:$AH,33,FALSE)</f>
        <v>#N/A</v>
      </c>
      <c r="R356" s="135" t="e">
        <f ca="1">VLOOKUP(B356,bond!B:AA,26,FALSE)</f>
        <v>#N/A</v>
      </c>
      <c r="S356" s="135" t="e">
        <f ca="1">VLOOKUP(B356,bond!B:AI,34,FALSE)</f>
        <v>#N/A</v>
      </c>
      <c r="T356" s="135" t="e">
        <f t="shared" ca="1" si="35"/>
        <v>#N/A</v>
      </c>
      <c r="U356" s="207" t="e">
        <f ca="1">IFERROR(VLOOKUP(T356,Bond_DES!D:E,2,FALSE),VLOOKUP(S356,bond!AI:AJ,2,FALSE))</f>
        <v>#N/A</v>
      </c>
      <c r="V356" s="136" t="e">
        <f ca="1">IFERROR(VLOOKUP(B356,'1_重設數據'!L:M,2,FALSE),IF(Q356="政府",IF(AD356&gt;16,"(NPI)非專投",IF(AD356&gt;10,"(PI)專投","高資產")),IF(VLOOKUP(B356,bond!B:AN,39,FALSE)="Y","(PI)專投",IF(AD356&gt;=15,"(NPI)非專投",IF(AD356&gt;=10,"(PI)專投","高資產")))))</f>
        <v>#N/A</v>
      </c>
      <c r="W356" s="136" t="e">
        <f ca="1">VLOOKUP(AD356,'credit rating'!$F$2:$H$22,3,FALSE)</f>
        <v>#N/A</v>
      </c>
      <c r="X356" s="136" t="e">
        <f t="shared" ca="1" si="36"/>
        <v>#N/A</v>
      </c>
      <c r="Y356" s="136" t="e">
        <f t="shared" ca="1" si="37"/>
        <v>#N/A</v>
      </c>
      <c r="Z356" s="136" t="e">
        <f t="shared" ca="1" si="38"/>
        <v>#N/A</v>
      </c>
      <c r="AA356" s="134">
        <f ca="1">IFERROR(VLOOKUP(X356,'credit rating'!A:C,3,FALSE),0)</f>
        <v>0</v>
      </c>
      <c r="AB356" s="134">
        <f ca="1">IFERROR(VLOOKUP(Y356,'credit rating'!B:C,2,FALSE),0)</f>
        <v>0</v>
      </c>
      <c r="AC356" s="136">
        <f ca="1">IFERROR(VLOOKUP(Z356,'credit rating'!B:C,2,FALSE),0)</f>
        <v>0</v>
      </c>
      <c r="AD356" s="136">
        <f t="shared" ca="1" si="39"/>
        <v>0</v>
      </c>
      <c r="AE356" s="249" t="str">
        <f ca="1">IFERROR(VLOOKUP(B356,bond!B:U,20,FALSE),"")</f>
        <v/>
      </c>
      <c r="AF356" s="136" t="e">
        <f ca="1">IF(VLOOKUP(B356,bond!B:AK,36,FALSE)="#N/A Field Not Applicable","",VLOOKUP(B356,bond!B:AK,36,FALSE))</f>
        <v>#N/A</v>
      </c>
      <c r="AG356" s="136" t="e">
        <f ca="1">IF(VLOOKUP(B356,bond!B:AL,37,FALSE)="FIXED","固定",IF(VLOOKUP(B356,bond!B:AL,37,FALSE)="FLOATING","浮動",IF(VLOOKUP(B356,bond!B:AL,37,FALSE)="VARIABLE","變動",IF(VLOOKUP(B356,bond!B:AL,37,FALSE)="FLAT TRADING","不含息交易",IF(VLOOKUP(B356,bond!B:AL,37,FALSE)="ZERO COUPON","零息",VLOOKUP(B356,bond!B:AL,37,FALSE))))))</f>
        <v>#N/A</v>
      </c>
      <c r="AH356" s="136" t="e">
        <f>VLOOKUP(C356,'2_Check_code'!I:J,2,FALSE)</f>
        <v>#N/A</v>
      </c>
      <c r="AI356" s="136" t="e">
        <f t="shared" ca="1" si="40"/>
        <v>#N/A</v>
      </c>
      <c r="AJ356" s="136" t="e">
        <f t="shared" ca="1" si="41"/>
        <v>#N/A</v>
      </c>
      <c r="AK356" s="594" t="e">
        <f ca="1">IF(VLOOKUP(B356,bond!B:S,18,FALSE)="是","有",IF(VLOOKUP(B356,bond!B:S,18,FALSE)="NO OFFER","無","需查詢"))</f>
        <v>#N/A</v>
      </c>
      <c r="AL356" s="136" t="e">
        <f>IF(VLOOKUP(A356,bond!F:AR,39,FALSE)="#N/A Field Not Applicable",VLOOKUP(A356,bond!F:AR,38,FALSE),IFERROR(VLOOKUP(A356,'7_發行日例外'!A:B,2,FALSE),VLOOKUP(A356,bond!F:AR,39,FALSE)))</f>
        <v>#N/A</v>
      </c>
      <c r="AM356" s="136" t="e">
        <f ca="1">VLOOKUP(B356,bond!B:AK,36,FALSE)</f>
        <v>#N/A</v>
      </c>
      <c r="AN356" s="136" t="str">
        <f ca="1">IFERROR(VLOOKUP(B356,'3_是否下架'!A:A,1,FALSE),"")</f>
        <v/>
      </c>
      <c r="AO356" s="136" t="e">
        <f ca="1">VLOOKUP(B356,bond!B:J,9,FALSE)</f>
        <v>#N/A</v>
      </c>
      <c r="AP356" s="136" t="e">
        <f ca="1">VLOOKUP(B356,bond!B:V,21,FALSE)</f>
        <v>#N/A</v>
      </c>
    </row>
    <row r="357" spans="1:42">
      <c r="A357" s="141">
        <f>bond!F358</f>
        <v>0</v>
      </c>
      <c r="B357" s="151">
        <f ca="1">IF($C$1=TRUE,bond!B358,"")</f>
        <v>0</v>
      </c>
      <c r="C357" s="95" t="e">
        <f>VLOOKUP(A357,bond!F:G,2,FALSE)</f>
        <v>#N/A</v>
      </c>
      <c r="D357" s="142" t="e">
        <f ca="1">VLOOKUP(B357,bond!B:C,2,FALSE)</f>
        <v>#N/A</v>
      </c>
      <c r="E357" s="95" t="e">
        <f ca="1">VLOOKUP(B357,bond!B:D,3,FALSE)</f>
        <v>#N/A</v>
      </c>
      <c r="F357" s="99" t="e">
        <f ca="1">VLOOKUP(B357,bond!B:AB,27,FALSE)</f>
        <v>#N/A</v>
      </c>
      <c r="G357" s="90" t="e">
        <f ca="1">VLOOKUP(B357,bond!B:E,4,FALSE)</f>
        <v>#N/A</v>
      </c>
      <c r="H357" s="202" t="e">
        <f ca="1">VLOOKUP(B357,bond!B:Y,24,FALSE)</f>
        <v>#N/A</v>
      </c>
      <c r="I357" s="95" t="e">
        <f ca="1">VLOOKUP(B357,bond!B:Z,25,FALSE)</f>
        <v>#N/A</v>
      </c>
      <c r="J357" s="180" t="e">
        <f ca="1">VLOOKUP(B357,bond!B:K,10,FALSE)</f>
        <v>#N/A</v>
      </c>
      <c r="K357" s="96" t="e">
        <f ca="1">VLOOKUP($B357,bond!B:S,14,FALSE)</f>
        <v>#N/A</v>
      </c>
      <c r="L357" s="91" t="e">
        <f ca="1">VLOOKUP(B357,bond!B:H,7,FALSE)</f>
        <v>#N/A</v>
      </c>
      <c r="M357" s="144" t="e">
        <f ca="1">VLOOKUP($B357,bond!$B:$Q,16,FALSE)</f>
        <v>#N/A</v>
      </c>
      <c r="N357" s="136" t="e">
        <f ca="1">VALUE(LEFT(VLOOKUP(B357,bond!B:R,17,FALSE),SEARCH(" ",VLOOKUP(B357,bond!B:R,17,FALSE),1)))</f>
        <v>#N/A</v>
      </c>
      <c r="O357" s="136" t="e">
        <f ca="1">VALUE(RIGHT(VLOOKUP(B357,bond!B:R,17,FALSE),LEN(VLOOKUP(B357,bond!B:R,17,FALSE))-LEN(N357)-3))</f>
        <v>#N/A</v>
      </c>
      <c r="P357" s="135" t="e">
        <f ca="1">VLOOKUP($B357,bond!$B:$AG,32,FALSE)</f>
        <v>#N/A</v>
      </c>
      <c r="Q357" s="135" t="e">
        <f ca="1">VLOOKUP($B357,bond!$B:$AH,33,FALSE)</f>
        <v>#N/A</v>
      </c>
      <c r="R357" s="135" t="e">
        <f ca="1">VLOOKUP(B357,bond!B:AA,26,FALSE)</f>
        <v>#N/A</v>
      </c>
      <c r="S357" s="135" t="e">
        <f ca="1">VLOOKUP(B357,bond!B:AI,34,FALSE)</f>
        <v>#N/A</v>
      </c>
      <c r="T357" s="135" t="e">
        <f t="shared" ca="1" si="35"/>
        <v>#N/A</v>
      </c>
      <c r="U357" s="207" t="e">
        <f ca="1">IFERROR(VLOOKUP(T357,Bond_DES!D:E,2,FALSE),VLOOKUP(S357,bond!AI:AJ,2,FALSE))</f>
        <v>#N/A</v>
      </c>
      <c r="V357" s="136" t="e">
        <f ca="1">IFERROR(VLOOKUP(B357,'1_重設數據'!L:M,2,FALSE),IF(Q357="政府",IF(AD357&gt;16,"(NPI)非專投",IF(AD357&gt;10,"(PI)專投","高資產")),IF(VLOOKUP(B357,bond!B:AN,39,FALSE)="Y","(PI)專投",IF(AD357&gt;=15,"(NPI)非專投",IF(AD357&gt;=10,"(PI)專投","高資產")))))</f>
        <v>#N/A</v>
      </c>
      <c r="W357" s="136" t="e">
        <f ca="1">VLOOKUP(AD357,'credit rating'!$F$2:$H$22,3,FALSE)</f>
        <v>#N/A</v>
      </c>
      <c r="X357" s="136" t="e">
        <f t="shared" ca="1" si="36"/>
        <v>#N/A</v>
      </c>
      <c r="Y357" s="136" t="e">
        <f t="shared" ca="1" si="37"/>
        <v>#N/A</v>
      </c>
      <c r="Z357" s="136" t="e">
        <f t="shared" ca="1" si="38"/>
        <v>#N/A</v>
      </c>
      <c r="AA357" s="134">
        <f ca="1">IFERROR(VLOOKUP(X357,'credit rating'!A:C,3,FALSE),0)</f>
        <v>0</v>
      </c>
      <c r="AB357" s="134">
        <f ca="1">IFERROR(VLOOKUP(Y357,'credit rating'!B:C,2,FALSE),0)</f>
        <v>0</v>
      </c>
      <c r="AC357" s="136">
        <f ca="1">IFERROR(VLOOKUP(Z357,'credit rating'!B:C,2,FALSE),0)</f>
        <v>0</v>
      </c>
      <c r="AD357" s="136">
        <f t="shared" ca="1" si="39"/>
        <v>0</v>
      </c>
      <c r="AE357" s="249" t="str">
        <f ca="1">IFERROR(VLOOKUP(B357,bond!B:U,20,FALSE),"")</f>
        <v/>
      </c>
      <c r="AF357" s="136" t="e">
        <f ca="1">IF(VLOOKUP(B357,bond!B:AK,36,FALSE)="#N/A Field Not Applicable","",VLOOKUP(B357,bond!B:AK,36,FALSE))</f>
        <v>#N/A</v>
      </c>
      <c r="AG357" s="136" t="e">
        <f ca="1">IF(VLOOKUP(B357,bond!B:AL,37,FALSE)="FIXED","固定",IF(VLOOKUP(B357,bond!B:AL,37,FALSE)="FLOATING","浮動",IF(VLOOKUP(B357,bond!B:AL,37,FALSE)="VARIABLE","變動",IF(VLOOKUP(B357,bond!B:AL,37,FALSE)="FLAT TRADING","不含息交易",IF(VLOOKUP(B357,bond!B:AL,37,FALSE)="ZERO COUPON","零息",VLOOKUP(B357,bond!B:AL,37,FALSE))))))</f>
        <v>#N/A</v>
      </c>
      <c r="AH357" s="136" t="e">
        <f>VLOOKUP(C357,'2_Check_code'!I:J,2,FALSE)</f>
        <v>#N/A</v>
      </c>
      <c r="AI357" s="136" t="e">
        <f t="shared" ca="1" si="40"/>
        <v>#N/A</v>
      </c>
      <c r="AJ357" s="136" t="e">
        <f t="shared" ca="1" si="41"/>
        <v>#N/A</v>
      </c>
      <c r="AK357" s="594" t="e">
        <f ca="1">IF(VLOOKUP(B357,bond!B:S,18,FALSE)="是","有",IF(VLOOKUP(B357,bond!B:S,18,FALSE)="NO OFFER","無","需查詢"))</f>
        <v>#N/A</v>
      </c>
      <c r="AL357" s="136" t="e">
        <f>IF(VLOOKUP(A357,bond!F:AR,39,FALSE)="#N/A Field Not Applicable",VLOOKUP(A357,bond!F:AR,38,FALSE),IFERROR(VLOOKUP(A357,'7_發行日例外'!A:B,2,FALSE),VLOOKUP(A357,bond!F:AR,39,FALSE)))</f>
        <v>#N/A</v>
      </c>
      <c r="AM357" s="136" t="e">
        <f ca="1">VLOOKUP(B357,bond!B:AK,36,FALSE)</f>
        <v>#N/A</v>
      </c>
      <c r="AN357" s="136" t="str">
        <f ca="1">IFERROR(VLOOKUP(B357,'3_是否下架'!A:A,1,FALSE),"")</f>
        <v/>
      </c>
      <c r="AO357" s="136" t="e">
        <f ca="1">VLOOKUP(B357,bond!B:J,9,FALSE)</f>
        <v>#N/A</v>
      </c>
      <c r="AP357" s="136" t="e">
        <f ca="1">VLOOKUP(B357,bond!B:V,21,FALSE)</f>
        <v>#N/A</v>
      </c>
    </row>
    <row r="358" spans="1:42">
      <c r="A358" s="141">
        <f>bond!F359</f>
        <v>0</v>
      </c>
      <c r="B358" s="151">
        <f ca="1">IF($C$1=TRUE,bond!B359,"")</f>
        <v>0</v>
      </c>
      <c r="C358" s="95" t="e">
        <f>VLOOKUP(A358,bond!F:G,2,FALSE)</f>
        <v>#N/A</v>
      </c>
      <c r="D358" s="142" t="e">
        <f ca="1">VLOOKUP(B358,bond!B:C,2,FALSE)</f>
        <v>#N/A</v>
      </c>
      <c r="E358" s="95" t="e">
        <f ca="1">VLOOKUP(B358,bond!B:D,3,FALSE)</f>
        <v>#N/A</v>
      </c>
      <c r="F358" s="99" t="e">
        <f ca="1">VLOOKUP(B358,bond!B:AB,27,FALSE)</f>
        <v>#N/A</v>
      </c>
      <c r="G358" s="90" t="e">
        <f ca="1">VLOOKUP(B358,bond!B:E,4,FALSE)</f>
        <v>#N/A</v>
      </c>
      <c r="H358" s="202" t="e">
        <f ca="1">VLOOKUP(B358,bond!B:Y,24,FALSE)</f>
        <v>#N/A</v>
      </c>
      <c r="I358" s="95" t="e">
        <f ca="1">VLOOKUP(B358,bond!B:Z,25,FALSE)</f>
        <v>#N/A</v>
      </c>
      <c r="J358" s="180" t="e">
        <f ca="1">VLOOKUP(B358,bond!B:K,10,FALSE)</f>
        <v>#N/A</v>
      </c>
      <c r="K358" s="96" t="e">
        <f ca="1">VLOOKUP($B358,bond!B:S,14,FALSE)</f>
        <v>#N/A</v>
      </c>
      <c r="L358" s="91" t="e">
        <f ca="1">VLOOKUP(B358,bond!B:H,7,FALSE)</f>
        <v>#N/A</v>
      </c>
      <c r="M358" s="144" t="e">
        <f ca="1">VLOOKUP($B358,bond!$B:$Q,16,FALSE)</f>
        <v>#N/A</v>
      </c>
      <c r="N358" s="136" t="e">
        <f ca="1">VALUE(LEFT(VLOOKUP(B358,bond!B:R,17,FALSE),SEARCH(" ",VLOOKUP(B358,bond!B:R,17,FALSE),1)))</f>
        <v>#N/A</v>
      </c>
      <c r="O358" s="136" t="e">
        <f ca="1">VALUE(RIGHT(VLOOKUP(B358,bond!B:R,17,FALSE),LEN(VLOOKUP(B358,bond!B:R,17,FALSE))-LEN(N358)-3))</f>
        <v>#N/A</v>
      </c>
      <c r="P358" s="135" t="e">
        <f ca="1">VLOOKUP($B358,bond!$B:$AG,32,FALSE)</f>
        <v>#N/A</v>
      </c>
      <c r="Q358" s="135" t="e">
        <f ca="1">VLOOKUP($B358,bond!$B:$AH,33,FALSE)</f>
        <v>#N/A</v>
      </c>
      <c r="R358" s="135" t="e">
        <f ca="1">VLOOKUP(B358,bond!B:AA,26,FALSE)</f>
        <v>#N/A</v>
      </c>
      <c r="S358" s="135" t="e">
        <f ca="1">VLOOKUP(B358,bond!B:AI,34,FALSE)</f>
        <v>#N/A</v>
      </c>
      <c r="T358" s="135" t="e">
        <f t="shared" ca="1" si="35"/>
        <v>#N/A</v>
      </c>
      <c r="U358" s="207" t="e">
        <f ca="1">IFERROR(VLOOKUP(T358,Bond_DES!D:E,2,FALSE),VLOOKUP(S358,bond!AI:AJ,2,FALSE))</f>
        <v>#N/A</v>
      </c>
      <c r="V358" s="136" t="e">
        <f ca="1">IFERROR(VLOOKUP(B358,'1_重設數據'!L:M,2,FALSE),IF(Q358="政府",IF(AD358&gt;16,"(NPI)非專投",IF(AD358&gt;10,"(PI)專投","高資產")),IF(VLOOKUP(B358,bond!B:AN,39,FALSE)="Y","(PI)專投",IF(AD358&gt;=15,"(NPI)非專投",IF(AD358&gt;=10,"(PI)專投","高資產")))))</f>
        <v>#N/A</v>
      </c>
      <c r="W358" s="136" t="e">
        <f ca="1">VLOOKUP(AD358,'credit rating'!$F$2:$H$22,3,FALSE)</f>
        <v>#N/A</v>
      </c>
      <c r="X358" s="136" t="e">
        <f t="shared" ca="1" si="36"/>
        <v>#N/A</v>
      </c>
      <c r="Y358" s="136" t="e">
        <f t="shared" ca="1" si="37"/>
        <v>#N/A</v>
      </c>
      <c r="Z358" s="136" t="e">
        <f t="shared" ca="1" si="38"/>
        <v>#N/A</v>
      </c>
      <c r="AA358" s="134">
        <f ca="1">IFERROR(VLOOKUP(X358,'credit rating'!A:C,3,FALSE),0)</f>
        <v>0</v>
      </c>
      <c r="AB358" s="134">
        <f ca="1">IFERROR(VLOOKUP(Y358,'credit rating'!B:C,2,FALSE),0)</f>
        <v>0</v>
      </c>
      <c r="AC358" s="136">
        <f ca="1">IFERROR(VLOOKUP(Z358,'credit rating'!B:C,2,FALSE),0)</f>
        <v>0</v>
      </c>
      <c r="AD358" s="136">
        <f t="shared" ca="1" si="39"/>
        <v>0</v>
      </c>
      <c r="AE358" s="249" t="str">
        <f ca="1">IFERROR(VLOOKUP(B358,bond!B:U,20,FALSE),"")</f>
        <v/>
      </c>
      <c r="AF358" s="136" t="e">
        <f ca="1">IF(VLOOKUP(B358,bond!B:AK,36,FALSE)="#N/A Field Not Applicable","",VLOOKUP(B358,bond!B:AK,36,FALSE))</f>
        <v>#N/A</v>
      </c>
      <c r="AG358" s="136" t="e">
        <f ca="1">IF(VLOOKUP(B358,bond!B:AL,37,FALSE)="FIXED","固定",IF(VLOOKUP(B358,bond!B:AL,37,FALSE)="FLOATING","浮動",IF(VLOOKUP(B358,bond!B:AL,37,FALSE)="VARIABLE","變動",IF(VLOOKUP(B358,bond!B:AL,37,FALSE)="FLAT TRADING","不含息交易",IF(VLOOKUP(B358,bond!B:AL,37,FALSE)="ZERO COUPON","零息",VLOOKUP(B358,bond!B:AL,37,FALSE))))))</f>
        <v>#N/A</v>
      </c>
      <c r="AH358" s="136" t="e">
        <f>VLOOKUP(C358,'2_Check_code'!I:J,2,FALSE)</f>
        <v>#N/A</v>
      </c>
      <c r="AI358" s="136" t="e">
        <f t="shared" ca="1" si="40"/>
        <v>#N/A</v>
      </c>
      <c r="AJ358" s="136" t="e">
        <f t="shared" ca="1" si="41"/>
        <v>#N/A</v>
      </c>
      <c r="AK358" s="594" t="e">
        <f ca="1">IF(VLOOKUP(B358,bond!B:S,18,FALSE)="是","有",IF(VLOOKUP(B358,bond!B:S,18,FALSE)="NO OFFER","無","需查詢"))</f>
        <v>#N/A</v>
      </c>
      <c r="AL358" s="136" t="e">
        <f>IF(VLOOKUP(A358,bond!F:AR,39,FALSE)="#N/A Field Not Applicable",VLOOKUP(A358,bond!F:AR,38,FALSE),IFERROR(VLOOKUP(A358,'7_發行日例外'!A:B,2,FALSE),VLOOKUP(A358,bond!F:AR,39,FALSE)))</f>
        <v>#N/A</v>
      </c>
      <c r="AM358" s="136" t="e">
        <f ca="1">VLOOKUP(B358,bond!B:AK,36,FALSE)</f>
        <v>#N/A</v>
      </c>
      <c r="AN358" s="136" t="str">
        <f ca="1">IFERROR(VLOOKUP(B358,'3_是否下架'!A:A,1,FALSE),"")</f>
        <v/>
      </c>
      <c r="AO358" s="136" t="e">
        <f ca="1">VLOOKUP(B358,bond!B:J,9,FALSE)</f>
        <v>#N/A</v>
      </c>
      <c r="AP358" s="136" t="e">
        <f ca="1">VLOOKUP(B358,bond!B:V,21,FALSE)</f>
        <v>#N/A</v>
      </c>
    </row>
    <row r="359" spans="1:42">
      <c r="A359" s="141">
        <f>bond!F360</f>
        <v>0</v>
      </c>
      <c r="B359" s="151">
        <f ca="1">IF($C$1=TRUE,bond!B360,"")</f>
        <v>0</v>
      </c>
      <c r="C359" s="95" t="e">
        <f>VLOOKUP(A359,bond!F:G,2,FALSE)</f>
        <v>#N/A</v>
      </c>
      <c r="D359" s="142" t="e">
        <f ca="1">VLOOKUP(B359,bond!B:C,2,FALSE)</f>
        <v>#N/A</v>
      </c>
      <c r="E359" s="95" t="e">
        <f ca="1">VLOOKUP(B359,bond!B:D,3,FALSE)</f>
        <v>#N/A</v>
      </c>
      <c r="F359" s="99" t="e">
        <f ca="1">VLOOKUP(B359,bond!B:AB,27,FALSE)</f>
        <v>#N/A</v>
      </c>
      <c r="G359" s="90" t="e">
        <f ca="1">VLOOKUP(B359,bond!B:E,4,FALSE)</f>
        <v>#N/A</v>
      </c>
      <c r="H359" s="202" t="e">
        <f ca="1">VLOOKUP(B359,bond!B:Y,24,FALSE)</f>
        <v>#N/A</v>
      </c>
      <c r="I359" s="95" t="e">
        <f ca="1">VLOOKUP(B359,bond!B:Z,25,FALSE)</f>
        <v>#N/A</v>
      </c>
      <c r="J359" s="180" t="e">
        <f ca="1">VLOOKUP(B359,bond!B:K,10,FALSE)</f>
        <v>#N/A</v>
      </c>
      <c r="K359" s="96" t="e">
        <f ca="1">VLOOKUP($B359,bond!B:S,14,FALSE)</f>
        <v>#N/A</v>
      </c>
      <c r="L359" s="91" t="e">
        <f ca="1">VLOOKUP(B359,bond!B:H,7,FALSE)</f>
        <v>#N/A</v>
      </c>
      <c r="M359" s="144" t="e">
        <f ca="1">VLOOKUP($B359,bond!$B:$Q,16,FALSE)</f>
        <v>#N/A</v>
      </c>
      <c r="N359" s="136" t="e">
        <f ca="1">VALUE(LEFT(VLOOKUP(B359,bond!B:R,17,FALSE),SEARCH(" ",VLOOKUP(B359,bond!B:R,17,FALSE),1)))</f>
        <v>#N/A</v>
      </c>
      <c r="O359" s="136" t="e">
        <f ca="1">VALUE(RIGHT(VLOOKUP(B359,bond!B:R,17,FALSE),LEN(VLOOKUP(B359,bond!B:R,17,FALSE))-LEN(N359)-3))</f>
        <v>#N/A</v>
      </c>
      <c r="P359" s="135" t="e">
        <f ca="1">VLOOKUP($B359,bond!$B:$AG,32,FALSE)</f>
        <v>#N/A</v>
      </c>
      <c r="Q359" s="135" t="e">
        <f ca="1">VLOOKUP($B359,bond!$B:$AH,33,FALSE)</f>
        <v>#N/A</v>
      </c>
      <c r="R359" s="135" t="e">
        <f ca="1">VLOOKUP(B359,bond!B:AA,26,FALSE)</f>
        <v>#N/A</v>
      </c>
      <c r="S359" s="135" t="e">
        <f ca="1">VLOOKUP(B359,bond!B:AI,34,FALSE)</f>
        <v>#N/A</v>
      </c>
      <c r="T359" s="135" t="e">
        <f t="shared" ca="1" si="35"/>
        <v>#N/A</v>
      </c>
      <c r="U359" s="207" t="e">
        <f ca="1">IFERROR(VLOOKUP(T359,Bond_DES!D:E,2,FALSE),VLOOKUP(S359,bond!AI:AJ,2,FALSE))</f>
        <v>#N/A</v>
      </c>
      <c r="V359" s="136" t="e">
        <f ca="1">IFERROR(VLOOKUP(B359,'1_重設數據'!L:M,2,FALSE),IF(Q359="政府",IF(AD359&gt;16,"(NPI)非專投",IF(AD359&gt;10,"(PI)專投","高資產")),IF(VLOOKUP(B359,bond!B:AN,39,FALSE)="Y","(PI)專投",IF(AD359&gt;=15,"(NPI)非專投",IF(AD359&gt;=10,"(PI)專投","高資產")))))</f>
        <v>#N/A</v>
      </c>
      <c r="W359" s="136" t="e">
        <f ca="1">VLOOKUP(AD359,'credit rating'!$F$2:$H$22,3,FALSE)</f>
        <v>#N/A</v>
      </c>
      <c r="X359" s="136" t="e">
        <f t="shared" ca="1" si="36"/>
        <v>#N/A</v>
      </c>
      <c r="Y359" s="136" t="e">
        <f t="shared" ca="1" si="37"/>
        <v>#N/A</v>
      </c>
      <c r="Z359" s="136" t="e">
        <f t="shared" ca="1" si="38"/>
        <v>#N/A</v>
      </c>
      <c r="AA359" s="134">
        <f ca="1">IFERROR(VLOOKUP(X359,'credit rating'!A:C,3,FALSE),0)</f>
        <v>0</v>
      </c>
      <c r="AB359" s="134">
        <f ca="1">IFERROR(VLOOKUP(Y359,'credit rating'!B:C,2,FALSE),0)</f>
        <v>0</v>
      </c>
      <c r="AC359" s="136">
        <f ca="1">IFERROR(VLOOKUP(Z359,'credit rating'!B:C,2,FALSE),0)</f>
        <v>0</v>
      </c>
      <c r="AD359" s="136">
        <f t="shared" ca="1" si="39"/>
        <v>0</v>
      </c>
      <c r="AE359" s="249" t="str">
        <f ca="1">IFERROR(VLOOKUP(B359,bond!B:U,20,FALSE),"")</f>
        <v/>
      </c>
      <c r="AF359" s="136" t="e">
        <f ca="1">IF(VLOOKUP(B359,bond!B:AK,36,FALSE)="#N/A Field Not Applicable","",VLOOKUP(B359,bond!B:AK,36,FALSE))</f>
        <v>#N/A</v>
      </c>
      <c r="AG359" s="136" t="e">
        <f ca="1">IF(VLOOKUP(B359,bond!B:AL,37,FALSE)="FIXED","固定",IF(VLOOKUP(B359,bond!B:AL,37,FALSE)="FLOATING","浮動",IF(VLOOKUP(B359,bond!B:AL,37,FALSE)="VARIABLE","變動",IF(VLOOKUP(B359,bond!B:AL,37,FALSE)="FLAT TRADING","不含息交易",IF(VLOOKUP(B359,bond!B:AL,37,FALSE)="ZERO COUPON","零息",VLOOKUP(B359,bond!B:AL,37,FALSE))))))</f>
        <v>#N/A</v>
      </c>
      <c r="AH359" s="136" t="e">
        <f>VLOOKUP(C359,'2_Check_code'!I:J,2,FALSE)</f>
        <v>#N/A</v>
      </c>
      <c r="AI359" s="136" t="e">
        <f t="shared" ca="1" si="40"/>
        <v>#N/A</v>
      </c>
      <c r="AJ359" s="136" t="e">
        <f t="shared" ca="1" si="41"/>
        <v>#N/A</v>
      </c>
      <c r="AK359" s="594" t="e">
        <f ca="1">IF(VLOOKUP(B359,bond!B:S,18,FALSE)="是","有",IF(VLOOKUP(B359,bond!B:S,18,FALSE)="NO OFFER","無","需查詢"))</f>
        <v>#N/A</v>
      </c>
      <c r="AL359" s="136" t="e">
        <f>IF(VLOOKUP(A359,bond!F:AR,39,FALSE)="#N/A Field Not Applicable",VLOOKUP(A359,bond!F:AR,38,FALSE),IFERROR(VLOOKUP(A359,'7_發行日例外'!A:B,2,FALSE),VLOOKUP(A359,bond!F:AR,39,FALSE)))</f>
        <v>#N/A</v>
      </c>
      <c r="AM359" s="136" t="e">
        <f ca="1">VLOOKUP(B359,bond!B:AK,36,FALSE)</f>
        <v>#N/A</v>
      </c>
      <c r="AN359" s="136" t="str">
        <f ca="1">IFERROR(VLOOKUP(B359,'3_是否下架'!A:A,1,FALSE),"")</f>
        <v/>
      </c>
      <c r="AO359" s="136" t="e">
        <f ca="1">VLOOKUP(B359,bond!B:J,9,FALSE)</f>
        <v>#N/A</v>
      </c>
      <c r="AP359" s="136" t="e">
        <f ca="1">VLOOKUP(B359,bond!B:V,21,FALSE)</f>
        <v>#N/A</v>
      </c>
    </row>
    <row r="360" spans="1:42">
      <c r="A360" s="141">
        <f>bond!F361</f>
        <v>0</v>
      </c>
      <c r="B360" s="151">
        <f ca="1">IF($C$1=TRUE,bond!B361,"")</f>
        <v>0</v>
      </c>
      <c r="C360" s="95" t="e">
        <f>VLOOKUP(A360,bond!F:G,2,FALSE)</f>
        <v>#N/A</v>
      </c>
      <c r="D360" s="142" t="e">
        <f ca="1">VLOOKUP(B360,bond!B:C,2,FALSE)</f>
        <v>#N/A</v>
      </c>
      <c r="E360" s="95" t="e">
        <f ca="1">VLOOKUP(B360,bond!B:D,3,FALSE)</f>
        <v>#N/A</v>
      </c>
      <c r="F360" s="99" t="e">
        <f ca="1">VLOOKUP(B360,bond!B:AB,27,FALSE)</f>
        <v>#N/A</v>
      </c>
      <c r="G360" s="90" t="e">
        <f ca="1">VLOOKUP(B360,bond!B:E,4,FALSE)</f>
        <v>#N/A</v>
      </c>
      <c r="H360" s="202" t="e">
        <f ca="1">VLOOKUP(B360,bond!B:Y,24,FALSE)</f>
        <v>#N/A</v>
      </c>
      <c r="I360" s="95" t="e">
        <f ca="1">VLOOKUP(B360,bond!B:Z,25,FALSE)</f>
        <v>#N/A</v>
      </c>
      <c r="J360" s="180" t="e">
        <f ca="1">VLOOKUP(B360,bond!B:K,10,FALSE)</f>
        <v>#N/A</v>
      </c>
      <c r="K360" s="96" t="e">
        <f ca="1">VLOOKUP($B360,bond!B:S,14,FALSE)</f>
        <v>#N/A</v>
      </c>
      <c r="L360" s="91" t="e">
        <f ca="1">VLOOKUP(B360,bond!B:H,7,FALSE)</f>
        <v>#N/A</v>
      </c>
      <c r="M360" s="144" t="e">
        <f ca="1">VLOOKUP($B360,bond!$B:$Q,16,FALSE)</f>
        <v>#N/A</v>
      </c>
      <c r="N360" s="136" t="e">
        <f ca="1">VALUE(LEFT(VLOOKUP(B360,bond!B:R,17,FALSE),SEARCH(" ",VLOOKUP(B360,bond!B:R,17,FALSE),1)))</f>
        <v>#N/A</v>
      </c>
      <c r="O360" s="136" t="e">
        <f ca="1">VALUE(RIGHT(VLOOKUP(B360,bond!B:R,17,FALSE),LEN(VLOOKUP(B360,bond!B:R,17,FALSE))-LEN(N360)-3))</f>
        <v>#N/A</v>
      </c>
      <c r="P360" s="135" t="e">
        <f ca="1">VLOOKUP($B360,bond!$B:$AG,32,FALSE)</f>
        <v>#N/A</v>
      </c>
      <c r="Q360" s="135" t="e">
        <f ca="1">VLOOKUP($B360,bond!$B:$AH,33,FALSE)</f>
        <v>#N/A</v>
      </c>
      <c r="R360" s="135" t="e">
        <f ca="1">VLOOKUP(B360,bond!B:AA,26,FALSE)</f>
        <v>#N/A</v>
      </c>
      <c r="S360" s="135" t="e">
        <f ca="1">VLOOKUP(B360,bond!B:AI,34,FALSE)</f>
        <v>#N/A</v>
      </c>
      <c r="T360" s="135" t="e">
        <f t="shared" ca="1" si="35"/>
        <v>#N/A</v>
      </c>
      <c r="U360" s="207" t="e">
        <f ca="1">IFERROR(VLOOKUP(T360,Bond_DES!D:E,2,FALSE),VLOOKUP(S360,bond!AI:AJ,2,FALSE))</f>
        <v>#N/A</v>
      </c>
      <c r="V360" s="136" t="e">
        <f ca="1">IFERROR(VLOOKUP(B360,'1_重設數據'!L:M,2,FALSE),IF(Q360="政府",IF(AD360&gt;16,"(NPI)非專投",IF(AD360&gt;10,"(PI)專投","高資產")),IF(VLOOKUP(B360,bond!B:AN,39,FALSE)="Y","(PI)專投",IF(AD360&gt;=15,"(NPI)非專投",IF(AD360&gt;=10,"(PI)專投","高資產")))))</f>
        <v>#N/A</v>
      </c>
      <c r="W360" s="136" t="e">
        <f ca="1">VLOOKUP(AD360,'credit rating'!$F$2:$H$22,3,FALSE)</f>
        <v>#N/A</v>
      </c>
      <c r="X360" s="136" t="e">
        <f t="shared" ca="1" si="36"/>
        <v>#N/A</v>
      </c>
      <c r="Y360" s="136" t="e">
        <f t="shared" ca="1" si="37"/>
        <v>#N/A</v>
      </c>
      <c r="Z360" s="136" t="e">
        <f t="shared" ca="1" si="38"/>
        <v>#N/A</v>
      </c>
      <c r="AA360" s="134">
        <f ca="1">IFERROR(VLOOKUP(X360,'credit rating'!A:C,3,FALSE),0)</f>
        <v>0</v>
      </c>
      <c r="AB360" s="134">
        <f ca="1">IFERROR(VLOOKUP(Y360,'credit rating'!B:C,2,FALSE),0)</f>
        <v>0</v>
      </c>
      <c r="AC360" s="136">
        <f ca="1">IFERROR(VLOOKUP(Z360,'credit rating'!B:C,2,FALSE),0)</f>
        <v>0</v>
      </c>
      <c r="AD360" s="136">
        <f t="shared" ca="1" si="39"/>
        <v>0</v>
      </c>
      <c r="AE360" s="249" t="str">
        <f ca="1">IFERROR(VLOOKUP(B360,bond!B:U,20,FALSE),"")</f>
        <v/>
      </c>
      <c r="AF360" s="136" t="e">
        <f ca="1">IF(VLOOKUP(B360,bond!B:AK,36,FALSE)="#N/A Field Not Applicable","",VLOOKUP(B360,bond!B:AK,36,FALSE))</f>
        <v>#N/A</v>
      </c>
      <c r="AG360" s="136" t="e">
        <f ca="1">IF(VLOOKUP(B360,bond!B:AL,37,FALSE)="FIXED","固定",IF(VLOOKUP(B360,bond!B:AL,37,FALSE)="FLOATING","浮動",IF(VLOOKUP(B360,bond!B:AL,37,FALSE)="VARIABLE","變動",IF(VLOOKUP(B360,bond!B:AL,37,FALSE)="FLAT TRADING","不含息交易",IF(VLOOKUP(B360,bond!B:AL,37,FALSE)="ZERO COUPON","零息",VLOOKUP(B360,bond!B:AL,37,FALSE))))))</f>
        <v>#N/A</v>
      </c>
      <c r="AH360" s="136" t="e">
        <f>VLOOKUP(C360,'2_Check_code'!I:J,2,FALSE)</f>
        <v>#N/A</v>
      </c>
      <c r="AI360" s="136" t="e">
        <f t="shared" ca="1" si="40"/>
        <v>#N/A</v>
      </c>
      <c r="AJ360" s="136" t="e">
        <f t="shared" ca="1" si="41"/>
        <v>#N/A</v>
      </c>
      <c r="AK360" s="594" t="e">
        <f ca="1">IF(VLOOKUP(B360,bond!B:S,18,FALSE)="是","有",IF(VLOOKUP(B360,bond!B:S,18,FALSE)="NO OFFER","無","需查詢"))</f>
        <v>#N/A</v>
      </c>
      <c r="AL360" s="136" t="e">
        <f>IF(VLOOKUP(A360,bond!F:AR,39,FALSE)="#N/A Field Not Applicable",VLOOKUP(A360,bond!F:AR,38,FALSE),IFERROR(VLOOKUP(A360,'7_發行日例外'!A:B,2,FALSE),VLOOKUP(A360,bond!F:AR,39,FALSE)))</f>
        <v>#N/A</v>
      </c>
      <c r="AM360" s="136" t="e">
        <f ca="1">VLOOKUP(B360,bond!B:AK,36,FALSE)</f>
        <v>#N/A</v>
      </c>
      <c r="AN360" s="136" t="str">
        <f ca="1">IFERROR(VLOOKUP(B360,'3_是否下架'!A:A,1,FALSE),"")</f>
        <v/>
      </c>
      <c r="AO360" s="136" t="e">
        <f ca="1">VLOOKUP(B360,bond!B:J,9,FALSE)</f>
        <v>#N/A</v>
      </c>
      <c r="AP360" s="136" t="e">
        <f ca="1">VLOOKUP(B360,bond!B:V,21,FALSE)</f>
        <v>#N/A</v>
      </c>
    </row>
    <row r="361" spans="1:42">
      <c r="A361" s="141">
        <f>bond!F362</f>
        <v>0</v>
      </c>
      <c r="B361" s="151">
        <f ca="1">IF($C$1=TRUE,bond!B362,"")</f>
        <v>0</v>
      </c>
      <c r="C361" s="95" t="e">
        <f>VLOOKUP(A361,bond!F:G,2,FALSE)</f>
        <v>#N/A</v>
      </c>
      <c r="D361" s="142" t="e">
        <f ca="1">VLOOKUP(B361,bond!B:C,2,FALSE)</f>
        <v>#N/A</v>
      </c>
      <c r="E361" s="95" t="e">
        <f ca="1">VLOOKUP(B361,bond!B:D,3,FALSE)</f>
        <v>#N/A</v>
      </c>
      <c r="F361" s="99" t="e">
        <f ca="1">VLOOKUP(B361,bond!B:AB,27,FALSE)</f>
        <v>#N/A</v>
      </c>
      <c r="G361" s="90" t="e">
        <f ca="1">VLOOKUP(B361,bond!B:E,4,FALSE)</f>
        <v>#N/A</v>
      </c>
      <c r="H361" s="202" t="e">
        <f ca="1">VLOOKUP(B361,bond!B:Y,24,FALSE)</f>
        <v>#N/A</v>
      </c>
      <c r="I361" s="95" t="e">
        <f ca="1">VLOOKUP(B361,bond!B:Z,25,FALSE)</f>
        <v>#N/A</v>
      </c>
      <c r="J361" s="180" t="e">
        <f ca="1">VLOOKUP(B361,bond!B:K,10,FALSE)</f>
        <v>#N/A</v>
      </c>
      <c r="K361" s="96" t="e">
        <f ca="1">VLOOKUP($B361,bond!B:S,14,FALSE)</f>
        <v>#N/A</v>
      </c>
      <c r="L361" s="91" t="e">
        <f ca="1">VLOOKUP(B361,bond!B:H,7,FALSE)</f>
        <v>#N/A</v>
      </c>
      <c r="M361" s="144" t="e">
        <f ca="1">VLOOKUP($B361,bond!$B:$Q,16,FALSE)</f>
        <v>#N/A</v>
      </c>
      <c r="N361" s="136" t="e">
        <f ca="1">VALUE(LEFT(VLOOKUP(B361,bond!B:R,17,FALSE),SEARCH(" ",VLOOKUP(B361,bond!B:R,17,FALSE),1)))</f>
        <v>#N/A</v>
      </c>
      <c r="O361" s="136" t="e">
        <f ca="1">VALUE(RIGHT(VLOOKUP(B361,bond!B:R,17,FALSE),LEN(VLOOKUP(B361,bond!B:R,17,FALSE))-LEN(N361)-3))</f>
        <v>#N/A</v>
      </c>
      <c r="P361" s="135" t="e">
        <f ca="1">VLOOKUP($B361,bond!$B:$AG,32,FALSE)</f>
        <v>#N/A</v>
      </c>
      <c r="Q361" s="135" t="e">
        <f ca="1">VLOOKUP($B361,bond!$B:$AH,33,FALSE)</f>
        <v>#N/A</v>
      </c>
      <c r="R361" s="135" t="e">
        <f ca="1">VLOOKUP(B361,bond!B:AA,26,FALSE)</f>
        <v>#N/A</v>
      </c>
      <c r="S361" s="135" t="e">
        <f ca="1">VLOOKUP(B361,bond!B:AI,34,FALSE)</f>
        <v>#N/A</v>
      </c>
      <c r="T361" s="135" t="e">
        <f t="shared" ca="1" si="35"/>
        <v>#N/A</v>
      </c>
      <c r="U361" s="207" t="e">
        <f ca="1">IFERROR(VLOOKUP(T361,Bond_DES!D:E,2,FALSE),VLOOKUP(S361,bond!AI:AJ,2,FALSE))</f>
        <v>#N/A</v>
      </c>
      <c r="V361" s="136" t="e">
        <f ca="1">IFERROR(VLOOKUP(B361,'1_重設數據'!L:M,2,FALSE),IF(Q361="政府",IF(AD361&gt;16,"(NPI)非專投",IF(AD361&gt;10,"(PI)專投","高資產")),IF(VLOOKUP(B361,bond!B:AN,39,FALSE)="Y","(PI)專投",IF(AD361&gt;=15,"(NPI)非專投",IF(AD361&gt;=10,"(PI)專投","高資產")))))</f>
        <v>#N/A</v>
      </c>
      <c r="W361" s="136" t="e">
        <f ca="1">VLOOKUP(AD361,'credit rating'!$F$2:$H$22,3,FALSE)</f>
        <v>#N/A</v>
      </c>
      <c r="X361" s="136" t="e">
        <f t="shared" ca="1" si="36"/>
        <v>#N/A</v>
      </c>
      <c r="Y361" s="136" t="e">
        <f t="shared" ca="1" si="37"/>
        <v>#N/A</v>
      </c>
      <c r="Z361" s="136" t="e">
        <f t="shared" ca="1" si="38"/>
        <v>#N/A</v>
      </c>
      <c r="AA361" s="134">
        <f ca="1">IFERROR(VLOOKUP(X361,'credit rating'!A:C,3,FALSE),0)</f>
        <v>0</v>
      </c>
      <c r="AB361" s="134">
        <f ca="1">IFERROR(VLOOKUP(Y361,'credit rating'!B:C,2,FALSE),0)</f>
        <v>0</v>
      </c>
      <c r="AC361" s="136">
        <f ca="1">IFERROR(VLOOKUP(Z361,'credit rating'!B:C,2,FALSE),0)</f>
        <v>0</v>
      </c>
      <c r="AD361" s="136">
        <f t="shared" ca="1" si="39"/>
        <v>0</v>
      </c>
      <c r="AE361" s="249" t="str">
        <f ca="1">IFERROR(VLOOKUP(B361,bond!B:U,20,FALSE),"")</f>
        <v/>
      </c>
      <c r="AF361" s="136" t="e">
        <f ca="1">IF(VLOOKUP(B361,bond!B:AK,36,FALSE)="#N/A Field Not Applicable","",VLOOKUP(B361,bond!B:AK,36,FALSE))</f>
        <v>#N/A</v>
      </c>
      <c r="AG361" s="136" t="e">
        <f ca="1">IF(VLOOKUP(B361,bond!B:AL,37,FALSE)="FIXED","固定",IF(VLOOKUP(B361,bond!B:AL,37,FALSE)="FLOATING","浮動",IF(VLOOKUP(B361,bond!B:AL,37,FALSE)="VARIABLE","變動",IF(VLOOKUP(B361,bond!B:AL,37,FALSE)="FLAT TRADING","不含息交易",IF(VLOOKUP(B361,bond!B:AL,37,FALSE)="ZERO COUPON","零息",VLOOKUP(B361,bond!B:AL,37,FALSE))))))</f>
        <v>#N/A</v>
      </c>
      <c r="AH361" s="136" t="e">
        <f>VLOOKUP(C361,'2_Check_code'!I:J,2,FALSE)</f>
        <v>#N/A</v>
      </c>
      <c r="AI361" s="136" t="e">
        <f t="shared" ca="1" si="40"/>
        <v>#N/A</v>
      </c>
      <c r="AJ361" s="136" t="e">
        <f t="shared" ca="1" si="41"/>
        <v>#N/A</v>
      </c>
      <c r="AK361" s="594" t="e">
        <f ca="1">IF(VLOOKUP(B361,bond!B:S,18,FALSE)="是","有",IF(VLOOKUP(B361,bond!B:S,18,FALSE)="NO OFFER","無","需查詢"))</f>
        <v>#N/A</v>
      </c>
      <c r="AL361" s="136" t="e">
        <f>IF(VLOOKUP(A361,bond!F:AR,39,FALSE)="#N/A Field Not Applicable",VLOOKUP(A361,bond!F:AR,38,FALSE),IFERROR(VLOOKUP(A361,'7_發行日例外'!A:B,2,FALSE),VLOOKUP(A361,bond!F:AR,39,FALSE)))</f>
        <v>#N/A</v>
      </c>
      <c r="AM361" s="136" t="e">
        <f ca="1">VLOOKUP(B361,bond!B:AK,36,FALSE)</f>
        <v>#N/A</v>
      </c>
      <c r="AN361" s="136" t="str">
        <f ca="1">IFERROR(VLOOKUP(B361,'3_是否下架'!A:A,1,FALSE),"")</f>
        <v/>
      </c>
      <c r="AO361" s="136" t="e">
        <f ca="1">VLOOKUP(B361,bond!B:J,9,FALSE)</f>
        <v>#N/A</v>
      </c>
      <c r="AP361" s="136" t="e">
        <f ca="1">VLOOKUP(B361,bond!B:V,21,FALSE)</f>
        <v>#N/A</v>
      </c>
    </row>
    <row r="362" spans="1:42">
      <c r="A362" s="141">
        <f>bond!F363</f>
        <v>0</v>
      </c>
      <c r="B362" s="151">
        <f ca="1">IF($C$1=TRUE,bond!B363,"")</f>
        <v>0</v>
      </c>
      <c r="C362" s="95" t="e">
        <f>VLOOKUP(A362,bond!F:G,2,FALSE)</f>
        <v>#N/A</v>
      </c>
      <c r="D362" s="142" t="e">
        <f ca="1">VLOOKUP(B362,bond!B:C,2,FALSE)</f>
        <v>#N/A</v>
      </c>
      <c r="E362" s="95" t="e">
        <f ca="1">VLOOKUP(B362,bond!B:D,3,FALSE)</f>
        <v>#N/A</v>
      </c>
      <c r="F362" s="99" t="e">
        <f ca="1">VLOOKUP(B362,bond!B:AB,27,FALSE)</f>
        <v>#N/A</v>
      </c>
      <c r="G362" s="90" t="e">
        <f ca="1">VLOOKUP(B362,bond!B:E,4,FALSE)</f>
        <v>#N/A</v>
      </c>
      <c r="H362" s="202" t="e">
        <f ca="1">VLOOKUP(B362,bond!B:Y,24,FALSE)</f>
        <v>#N/A</v>
      </c>
      <c r="I362" s="95" t="e">
        <f ca="1">VLOOKUP(B362,bond!B:Z,25,FALSE)</f>
        <v>#N/A</v>
      </c>
      <c r="J362" s="180" t="e">
        <f ca="1">VLOOKUP(B362,bond!B:K,10,FALSE)</f>
        <v>#N/A</v>
      </c>
      <c r="K362" s="96" t="e">
        <f ca="1">VLOOKUP($B362,bond!B:S,14,FALSE)</f>
        <v>#N/A</v>
      </c>
      <c r="L362" s="91" t="e">
        <f ca="1">VLOOKUP(B362,bond!B:H,7,FALSE)</f>
        <v>#N/A</v>
      </c>
      <c r="M362" s="144" t="e">
        <f ca="1">VLOOKUP($B362,bond!$B:$Q,16,FALSE)</f>
        <v>#N/A</v>
      </c>
      <c r="N362" s="136" t="e">
        <f ca="1">VALUE(LEFT(VLOOKUP(B362,bond!B:R,17,FALSE),SEARCH(" ",VLOOKUP(B362,bond!B:R,17,FALSE),1)))</f>
        <v>#N/A</v>
      </c>
      <c r="O362" s="136" t="e">
        <f ca="1">VALUE(RIGHT(VLOOKUP(B362,bond!B:R,17,FALSE),LEN(VLOOKUP(B362,bond!B:R,17,FALSE))-LEN(N362)-3))</f>
        <v>#N/A</v>
      </c>
      <c r="P362" s="135" t="e">
        <f ca="1">VLOOKUP($B362,bond!$B:$AG,32,FALSE)</f>
        <v>#N/A</v>
      </c>
      <c r="Q362" s="135" t="e">
        <f ca="1">VLOOKUP($B362,bond!$B:$AH,33,FALSE)</f>
        <v>#N/A</v>
      </c>
      <c r="R362" s="135" t="e">
        <f ca="1">VLOOKUP(B362,bond!B:AA,26,FALSE)</f>
        <v>#N/A</v>
      </c>
      <c r="S362" s="135" t="e">
        <f ca="1">VLOOKUP(B362,bond!B:AI,34,FALSE)</f>
        <v>#N/A</v>
      </c>
      <c r="T362" s="135" t="e">
        <f t="shared" ca="1" si="35"/>
        <v>#N/A</v>
      </c>
      <c r="U362" s="207" t="e">
        <f ca="1">IFERROR(VLOOKUP(T362,Bond_DES!D:E,2,FALSE),VLOOKUP(S362,bond!AI:AJ,2,FALSE))</f>
        <v>#N/A</v>
      </c>
      <c r="V362" s="136" t="e">
        <f ca="1">IFERROR(VLOOKUP(B362,'1_重設數據'!L:M,2,FALSE),IF(Q362="政府",IF(AD362&gt;16,"(NPI)非專投",IF(AD362&gt;10,"(PI)專投","高資產")),IF(VLOOKUP(B362,bond!B:AN,39,FALSE)="Y","(PI)專投",IF(AD362&gt;=15,"(NPI)非專投",IF(AD362&gt;=10,"(PI)專投","高資產")))))</f>
        <v>#N/A</v>
      </c>
      <c r="W362" s="136" t="e">
        <f ca="1">VLOOKUP(AD362,'credit rating'!$F$2:$H$22,3,FALSE)</f>
        <v>#N/A</v>
      </c>
      <c r="X362" s="136" t="e">
        <f t="shared" ca="1" si="36"/>
        <v>#N/A</v>
      </c>
      <c r="Y362" s="136" t="e">
        <f t="shared" ca="1" si="37"/>
        <v>#N/A</v>
      </c>
      <c r="Z362" s="136" t="e">
        <f t="shared" ca="1" si="38"/>
        <v>#N/A</v>
      </c>
      <c r="AA362" s="134">
        <f ca="1">IFERROR(VLOOKUP(X362,'credit rating'!A:C,3,FALSE),0)</f>
        <v>0</v>
      </c>
      <c r="AB362" s="134">
        <f ca="1">IFERROR(VLOOKUP(Y362,'credit rating'!B:C,2,FALSE),0)</f>
        <v>0</v>
      </c>
      <c r="AC362" s="136">
        <f ca="1">IFERROR(VLOOKUP(Z362,'credit rating'!B:C,2,FALSE),0)</f>
        <v>0</v>
      </c>
      <c r="AD362" s="136">
        <f t="shared" ca="1" si="39"/>
        <v>0</v>
      </c>
      <c r="AE362" s="249" t="str">
        <f ca="1">IFERROR(VLOOKUP(B362,bond!B:U,20,FALSE),"")</f>
        <v/>
      </c>
      <c r="AF362" s="136" t="e">
        <f ca="1">IF(VLOOKUP(B362,bond!B:AK,36,FALSE)="#N/A Field Not Applicable","",VLOOKUP(B362,bond!B:AK,36,FALSE))</f>
        <v>#N/A</v>
      </c>
      <c r="AG362" s="136" t="e">
        <f ca="1">IF(VLOOKUP(B362,bond!B:AL,37,FALSE)="FIXED","固定",IF(VLOOKUP(B362,bond!B:AL,37,FALSE)="FLOATING","浮動",IF(VLOOKUP(B362,bond!B:AL,37,FALSE)="VARIABLE","變動",IF(VLOOKUP(B362,bond!B:AL,37,FALSE)="FLAT TRADING","不含息交易",IF(VLOOKUP(B362,bond!B:AL,37,FALSE)="ZERO COUPON","零息",VLOOKUP(B362,bond!B:AL,37,FALSE))))))</f>
        <v>#N/A</v>
      </c>
      <c r="AH362" s="136" t="e">
        <f>VLOOKUP(C362,'2_Check_code'!I:J,2,FALSE)</f>
        <v>#N/A</v>
      </c>
      <c r="AI362" s="136" t="e">
        <f t="shared" ca="1" si="40"/>
        <v>#N/A</v>
      </c>
      <c r="AJ362" s="136" t="e">
        <f t="shared" ca="1" si="41"/>
        <v>#N/A</v>
      </c>
      <c r="AK362" s="594" t="e">
        <f ca="1">IF(VLOOKUP(B362,bond!B:S,18,FALSE)="是","有",IF(VLOOKUP(B362,bond!B:S,18,FALSE)="NO OFFER","無","需查詢"))</f>
        <v>#N/A</v>
      </c>
      <c r="AL362" s="136" t="e">
        <f>IF(VLOOKUP(A362,bond!F:AR,39,FALSE)="#N/A Field Not Applicable",VLOOKUP(A362,bond!F:AR,38,FALSE),IFERROR(VLOOKUP(A362,'7_發行日例外'!A:B,2,FALSE),VLOOKUP(A362,bond!F:AR,39,FALSE)))</f>
        <v>#N/A</v>
      </c>
      <c r="AM362" s="136" t="e">
        <f ca="1">VLOOKUP(B362,bond!B:AK,36,FALSE)</f>
        <v>#N/A</v>
      </c>
      <c r="AN362" s="136" t="str">
        <f ca="1">IFERROR(VLOOKUP(B362,'3_是否下架'!A:A,1,FALSE),"")</f>
        <v/>
      </c>
      <c r="AO362" s="136" t="e">
        <f ca="1">VLOOKUP(B362,bond!B:J,9,FALSE)</f>
        <v>#N/A</v>
      </c>
      <c r="AP362" s="136" t="e">
        <f ca="1">VLOOKUP(B362,bond!B:V,21,FALSE)</f>
        <v>#N/A</v>
      </c>
    </row>
    <row r="363" spans="1:42">
      <c r="A363" s="141">
        <f>bond!F364</f>
        <v>0</v>
      </c>
      <c r="B363" s="151">
        <f ca="1">IF($C$1=TRUE,bond!B364,"")</f>
        <v>0</v>
      </c>
      <c r="C363" s="95" t="e">
        <f>VLOOKUP(A363,bond!F:G,2,FALSE)</f>
        <v>#N/A</v>
      </c>
      <c r="D363" s="142" t="e">
        <f ca="1">VLOOKUP(B363,bond!B:C,2,FALSE)</f>
        <v>#N/A</v>
      </c>
      <c r="E363" s="95" t="e">
        <f ca="1">VLOOKUP(B363,bond!B:D,3,FALSE)</f>
        <v>#N/A</v>
      </c>
      <c r="F363" s="99" t="e">
        <f ca="1">VLOOKUP(B363,bond!B:AB,27,FALSE)</f>
        <v>#N/A</v>
      </c>
      <c r="G363" s="90" t="e">
        <f ca="1">VLOOKUP(B363,bond!B:E,4,FALSE)</f>
        <v>#N/A</v>
      </c>
      <c r="H363" s="202" t="e">
        <f ca="1">VLOOKUP(B363,bond!B:Y,24,FALSE)</f>
        <v>#N/A</v>
      </c>
      <c r="I363" s="95" t="e">
        <f ca="1">VLOOKUP(B363,bond!B:Z,25,FALSE)</f>
        <v>#N/A</v>
      </c>
      <c r="J363" s="180" t="e">
        <f ca="1">VLOOKUP(B363,bond!B:K,10,FALSE)</f>
        <v>#N/A</v>
      </c>
      <c r="K363" s="96" t="e">
        <f ca="1">VLOOKUP($B363,bond!B:S,14,FALSE)</f>
        <v>#N/A</v>
      </c>
      <c r="L363" s="91" t="e">
        <f ca="1">VLOOKUP(B363,bond!B:H,7,FALSE)</f>
        <v>#N/A</v>
      </c>
      <c r="M363" s="144" t="e">
        <f ca="1">VLOOKUP($B363,bond!$B:$Q,16,FALSE)</f>
        <v>#N/A</v>
      </c>
      <c r="N363" s="136" t="e">
        <f ca="1">VALUE(LEFT(VLOOKUP(B363,bond!B:R,17,FALSE),SEARCH(" ",VLOOKUP(B363,bond!B:R,17,FALSE),1)))</f>
        <v>#N/A</v>
      </c>
      <c r="O363" s="136" t="e">
        <f ca="1">VALUE(RIGHT(VLOOKUP(B363,bond!B:R,17,FALSE),LEN(VLOOKUP(B363,bond!B:R,17,FALSE))-LEN(N363)-3))</f>
        <v>#N/A</v>
      </c>
      <c r="P363" s="135" t="e">
        <f ca="1">VLOOKUP($B363,bond!$B:$AG,32,FALSE)</f>
        <v>#N/A</v>
      </c>
      <c r="Q363" s="135" t="e">
        <f ca="1">VLOOKUP($B363,bond!$B:$AH,33,FALSE)</f>
        <v>#N/A</v>
      </c>
      <c r="R363" s="135" t="e">
        <f ca="1">VLOOKUP(B363,bond!B:AA,26,FALSE)</f>
        <v>#N/A</v>
      </c>
      <c r="S363" s="135" t="e">
        <f ca="1">VLOOKUP(B363,bond!B:AI,34,FALSE)</f>
        <v>#N/A</v>
      </c>
      <c r="T363" s="135" t="e">
        <f t="shared" ca="1" si="35"/>
        <v>#N/A</v>
      </c>
      <c r="U363" s="207" t="e">
        <f ca="1">IFERROR(VLOOKUP(T363,Bond_DES!D:E,2,FALSE),VLOOKUP(S363,bond!AI:AJ,2,FALSE))</f>
        <v>#N/A</v>
      </c>
      <c r="V363" s="136" t="e">
        <f ca="1">IFERROR(VLOOKUP(B363,'1_重設數據'!L:M,2,FALSE),IF(Q363="政府",IF(AD363&gt;16,"(NPI)非專投",IF(AD363&gt;10,"(PI)專投","高資產")),IF(VLOOKUP(B363,bond!B:AN,39,FALSE)="Y","(PI)專投",IF(AD363&gt;=15,"(NPI)非專投",IF(AD363&gt;=10,"(PI)專投","高資產")))))</f>
        <v>#N/A</v>
      </c>
      <c r="W363" s="136" t="e">
        <f ca="1">VLOOKUP(AD363,'credit rating'!$F$2:$H$22,3,FALSE)</f>
        <v>#N/A</v>
      </c>
      <c r="X363" s="136" t="e">
        <f t="shared" ca="1" si="36"/>
        <v>#N/A</v>
      </c>
      <c r="Y363" s="136" t="e">
        <f t="shared" ca="1" si="37"/>
        <v>#N/A</v>
      </c>
      <c r="Z363" s="136" t="e">
        <f t="shared" ca="1" si="38"/>
        <v>#N/A</v>
      </c>
      <c r="AA363" s="134">
        <f ca="1">IFERROR(VLOOKUP(X363,'credit rating'!A:C,3,FALSE),0)</f>
        <v>0</v>
      </c>
      <c r="AB363" s="134">
        <f ca="1">IFERROR(VLOOKUP(Y363,'credit rating'!B:C,2,FALSE),0)</f>
        <v>0</v>
      </c>
      <c r="AC363" s="136">
        <f ca="1">IFERROR(VLOOKUP(Z363,'credit rating'!B:C,2,FALSE),0)</f>
        <v>0</v>
      </c>
      <c r="AD363" s="136">
        <f t="shared" ca="1" si="39"/>
        <v>0</v>
      </c>
      <c r="AE363" s="249" t="str">
        <f ca="1">IFERROR(VLOOKUP(B363,bond!B:U,20,FALSE),"")</f>
        <v/>
      </c>
      <c r="AF363" s="136" t="e">
        <f ca="1">IF(VLOOKUP(B363,bond!B:AK,36,FALSE)="#N/A Field Not Applicable","",VLOOKUP(B363,bond!B:AK,36,FALSE))</f>
        <v>#N/A</v>
      </c>
      <c r="AG363" s="136" t="e">
        <f ca="1">IF(VLOOKUP(B363,bond!B:AL,37,FALSE)="FIXED","固定",IF(VLOOKUP(B363,bond!B:AL,37,FALSE)="FLOATING","浮動",IF(VLOOKUP(B363,bond!B:AL,37,FALSE)="VARIABLE","變動",IF(VLOOKUP(B363,bond!B:AL,37,FALSE)="FLAT TRADING","不含息交易",IF(VLOOKUP(B363,bond!B:AL,37,FALSE)="ZERO COUPON","零息",VLOOKUP(B363,bond!B:AL,37,FALSE))))))</f>
        <v>#N/A</v>
      </c>
      <c r="AH363" s="136" t="e">
        <f>VLOOKUP(C363,'2_Check_code'!I:J,2,FALSE)</f>
        <v>#N/A</v>
      </c>
      <c r="AI363" s="136" t="e">
        <f t="shared" ca="1" si="40"/>
        <v>#N/A</v>
      </c>
      <c r="AJ363" s="136" t="e">
        <f t="shared" ca="1" si="41"/>
        <v>#N/A</v>
      </c>
      <c r="AK363" s="594" t="e">
        <f ca="1">IF(VLOOKUP(B363,bond!B:S,18,FALSE)="是","有",IF(VLOOKUP(B363,bond!B:S,18,FALSE)="NO OFFER","無","需查詢"))</f>
        <v>#N/A</v>
      </c>
      <c r="AL363" s="136" t="e">
        <f>IF(VLOOKUP(A363,bond!F:AR,39,FALSE)="#N/A Field Not Applicable",VLOOKUP(A363,bond!F:AR,38,FALSE),IFERROR(VLOOKUP(A363,'7_發行日例外'!A:B,2,FALSE),VLOOKUP(A363,bond!F:AR,39,FALSE)))</f>
        <v>#N/A</v>
      </c>
      <c r="AM363" s="136" t="e">
        <f ca="1">VLOOKUP(B363,bond!B:AK,36,FALSE)</f>
        <v>#N/A</v>
      </c>
      <c r="AN363" s="136" t="str">
        <f ca="1">IFERROR(VLOOKUP(B363,'3_是否下架'!A:A,1,FALSE),"")</f>
        <v/>
      </c>
      <c r="AO363" s="136" t="e">
        <f ca="1">VLOOKUP(B363,bond!B:J,9,FALSE)</f>
        <v>#N/A</v>
      </c>
      <c r="AP363" s="136" t="e">
        <f ca="1">VLOOKUP(B363,bond!B:V,21,FALSE)</f>
        <v>#N/A</v>
      </c>
    </row>
    <row r="364" spans="1:42">
      <c r="A364" s="141">
        <f>bond!F365</f>
        <v>0</v>
      </c>
      <c r="B364" s="151">
        <f ca="1">IF($C$1=TRUE,bond!B365,"")</f>
        <v>0</v>
      </c>
      <c r="C364" s="95" t="e">
        <f>VLOOKUP(A364,bond!F:G,2,FALSE)</f>
        <v>#N/A</v>
      </c>
      <c r="D364" s="142" t="e">
        <f ca="1">VLOOKUP(B364,bond!B:C,2,FALSE)</f>
        <v>#N/A</v>
      </c>
      <c r="E364" s="95" t="e">
        <f ca="1">VLOOKUP(B364,bond!B:D,3,FALSE)</f>
        <v>#N/A</v>
      </c>
      <c r="F364" s="99" t="e">
        <f ca="1">VLOOKUP(B364,bond!B:AB,27,FALSE)</f>
        <v>#N/A</v>
      </c>
      <c r="G364" s="90" t="e">
        <f ca="1">VLOOKUP(B364,bond!B:E,4,FALSE)</f>
        <v>#N/A</v>
      </c>
      <c r="H364" s="202" t="e">
        <f ca="1">VLOOKUP(B364,bond!B:Y,24,FALSE)</f>
        <v>#N/A</v>
      </c>
      <c r="I364" s="95" t="e">
        <f ca="1">VLOOKUP(B364,bond!B:Z,25,FALSE)</f>
        <v>#N/A</v>
      </c>
      <c r="J364" s="180" t="e">
        <f ca="1">VLOOKUP(B364,bond!B:K,10,FALSE)</f>
        <v>#N/A</v>
      </c>
      <c r="K364" s="96" t="e">
        <f ca="1">VLOOKUP($B364,bond!B:S,14,FALSE)</f>
        <v>#N/A</v>
      </c>
      <c r="L364" s="91" t="e">
        <f ca="1">VLOOKUP(B364,bond!B:H,7,FALSE)</f>
        <v>#N/A</v>
      </c>
      <c r="M364" s="144" t="e">
        <f ca="1">VLOOKUP($B364,bond!$B:$Q,16,FALSE)</f>
        <v>#N/A</v>
      </c>
      <c r="N364" s="136" t="e">
        <f ca="1">VALUE(LEFT(VLOOKUP(B364,bond!B:R,17,FALSE),SEARCH(" ",VLOOKUP(B364,bond!B:R,17,FALSE),1)))</f>
        <v>#N/A</v>
      </c>
      <c r="O364" s="136" t="e">
        <f ca="1">VALUE(RIGHT(VLOOKUP(B364,bond!B:R,17,FALSE),LEN(VLOOKUP(B364,bond!B:R,17,FALSE))-LEN(N364)-3))</f>
        <v>#N/A</v>
      </c>
      <c r="P364" s="135" t="e">
        <f ca="1">VLOOKUP($B364,bond!$B:$AG,32,FALSE)</f>
        <v>#N/A</v>
      </c>
      <c r="Q364" s="135" t="e">
        <f ca="1">VLOOKUP($B364,bond!$B:$AH,33,FALSE)</f>
        <v>#N/A</v>
      </c>
      <c r="R364" s="135" t="e">
        <f ca="1">VLOOKUP(B364,bond!B:AA,26,FALSE)</f>
        <v>#N/A</v>
      </c>
      <c r="S364" s="135" t="e">
        <f ca="1">VLOOKUP(B364,bond!B:AI,34,FALSE)</f>
        <v>#N/A</v>
      </c>
      <c r="T364" s="135" t="e">
        <f t="shared" ca="1" si="35"/>
        <v>#N/A</v>
      </c>
      <c r="U364" s="207" t="e">
        <f ca="1">IFERROR(VLOOKUP(T364,Bond_DES!D:E,2,FALSE),VLOOKUP(S364,bond!AI:AJ,2,FALSE))</f>
        <v>#N/A</v>
      </c>
      <c r="V364" s="136" t="e">
        <f ca="1">IFERROR(VLOOKUP(B364,'1_重設數據'!L:M,2,FALSE),IF(Q364="政府",IF(AD364&gt;16,"(NPI)非專投",IF(AD364&gt;10,"(PI)專投","高資產")),IF(VLOOKUP(B364,bond!B:AN,39,FALSE)="Y","(PI)專投",IF(AD364&gt;=15,"(NPI)非專投",IF(AD364&gt;=10,"(PI)專投","高資產")))))</f>
        <v>#N/A</v>
      </c>
      <c r="W364" s="136" t="e">
        <f ca="1">VLOOKUP(AD364,'credit rating'!$F$2:$H$22,3,FALSE)</f>
        <v>#N/A</v>
      </c>
      <c r="X364" s="136" t="e">
        <f t="shared" ca="1" si="36"/>
        <v>#N/A</v>
      </c>
      <c r="Y364" s="136" t="e">
        <f t="shared" ca="1" si="37"/>
        <v>#N/A</v>
      </c>
      <c r="Z364" s="136" t="e">
        <f t="shared" ca="1" si="38"/>
        <v>#N/A</v>
      </c>
      <c r="AA364" s="134">
        <f ca="1">IFERROR(VLOOKUP(X364,'credit rating'!A:C,3,FALSE),0)</f>
        <v>0</v>
      </c>
      <c r="AB364" s="134">
        <f ca="1">IFERROR(VLOOKUP(Y364,'credit rating'!B:C,2,FALSE),0)</f>
        <v>0</v>
      </c>
      <c r="AC364" s="136">
        <f ca="1">IFERROR(VLOOKUP(Z364,'credit rating'!B:C,2,FALSE),0)</f>
        <v>0</v>
      </c>
      <c r="AD364" s="136">
        <f t="shared" ca="1" si="39"/>
        <v>0</v>
      </c>
      <c r="AE364" s="249" t="str">
        <f ca="1">IFERROR(VLOOKUP(B364,bond!B:U,20,FALSE),"")</f>
        <v/>
      </c>
      <c r="AF364" s="136" t="e">
        <f ca="1">IF(VLOOKUP(B364,bond!B:AK,36,FALSE)="#N/A Field Not Applicable","",VLOOKUP(B364,bond!B:AK,36,FALSE))</f>
        <v>#N/A</v>
      </c>
      <c r="AG364" s="136" t="e">
        <f ca="1">IF(VLOOKUP(B364,bond!B:AL,37,FALSE)="FIXED","固定",IF(VLOOKUP(B364,bond!B:AL,37,FALSE)="FLOATING","浮動",IF(VLOOKUP(B364,bond!B:AL,37,FALSE)="VARIABLE","變動",IF(VLOOKUP(B364,bond!B:AL,37,FALSE)="FLAT TRADING","不含息交易",IF(VLOOKUP(B364,bond!B:AL,37,FALSE)="ZERO COUPON","零息",VLOOKUP(B364,bond!B:AL,37,FALSE))))))</f>
        <v>#N/A</v>
      </c>
      <c r="AH364" s="136" t="e">
        <f>VLOOKUP(C364,'2_Check_code'!I:J,2,FALSE)</f>
        <v>#N/A</v>
      </c>
      <c r="AI364" s="136" t="e">
        <f t="shared" ca="1" si="40"/>
        <v>#N/A</v>
      </c>
      <c r="AJ364" s="136" t="e">
        <f t="shared" ca="1" si="41"/>
        <v>#N/A</v>
      </c>
      <c r="AK364" s="594" t="e">
        <f ca="1">IF(VLOOKUP(B364,bond!B:S,18,FALSE)="是","有",IF(VLOOKUP(B364,bond!B:S,18,FALSE)="NO OFFER","無","需查詢"))</f>
        <v>#N/A</v>
      </c>
      <c r="AL364" s="136" t="e">
        <f>IF(VLOOKUP(A364,bond!F:AR,39,FALSE)="#N/A Field Not Applicable",VLOOKUP(A364,bond!F:AR,38,FALSE),IFERROR(VLOOKUP(A364,'7_發行日例外'!A:B,2,FALSE),VLOOKUP(A364,bond!F:AR,39,FALSE)))</f>
        <v>#N/A</v>
      </c>
      <c r="AM364" s="136" t="e">
        <f ca="1">VLOOKUP(B364,bond!B:AK,36,FALSE)</f>
        <v>#N/A</v>
      </c>
      <c r="AN364" s="136" t="str">
        <f ca="1">IFERROR(VLOOKUP(B364,'3_是否下架'!A:A,1,FALSE),"")</f>
        <v/>
      </c>
      <c r="AO364" s="136" t="e">
        <f ca="1">VLOOKUP(B364,bond!B:J,9,FALSE)</f>
        <v>#N/A</v>
      </c>
      <c r="AP364" s="136" t="e">
        <f ca="1">VLOOKUP(B364,bond!B:V,21,FALSE)</f>
        <v>#N/A</v>
      </c>
    </row>
    <row r="365" spans="1:42">
      <c r="A365" s="141">
        <f>bond!F366</f>
        <v>0</v>
      </c>
      <c r="B365" s="151">
        <f ca="1">IF($C$1=TRUE,bond!B366,"")</f>
        <v>0</v>
      </c>
      <c r="C365" s="95" t="e">
        <f>VLOOKUP(A365,bond!F:G,2,FALSE)</f>
        <v>#N/A</v>
      </c>
      <c r="D365" s="142" t="e">
        <f ca="1">VLOOKUP(B365,bond!B:C,2,FALSE)</f>
        <v>#N/A</v>
      </c>
      <c r="E365" s="95" t="e">
        <f ca="1">VLOOKUP(B365,bond!B:D,3,FALSE)</f>
        <v>#N/A</v>
      </c>
      <c r="F365" s="99" t="e">
        <f ca="1">VLOOKUP(B365,bond!B:AB,27,FALSE)</f>
        <v>#N/A</v>
      </c>
      <c r="G365" s="90" t="e">
        <f ca="1">VLOOKUP(B365,bond!B:E,4,FALSE)</f>
        <v>#N/A</v>
      </c>
      <c r="H365" s="202" t="e">
        <f ca="1">VLOOKUP(B365,bond!B:Y,24,FALSE)</f>
        <v>#N/A</v>
      </c>
      <c r="I365" s="95" t="e">
        <f ca="1">VLOOKUP(B365,bond!B:Z,25,FALSE)</f>
        <v>#N/A</v>
      </c>
      <c r="J365" s="180" t="e">
        <f ca="1">VLOOKUP(B365,bond!B:K,10,FALSE)</f>
        <v>#N/A</v>
      </c>
      <c r="K365" s="96" t="e">
        <f ca="1">VLOOKUP($B365,bond!B:S,14,FALSE)</f>
        <v>#N/A</v>
      </c>
      <c r="L365" s="91" t="e">
        <f ca="1">VLOOKUP(B365,bond!B:H,7,FALSE)</f>
        <v>#N/A</v>
      </c>
      <c r="M365" s="144" t="e">
        <f ca="1">VLOOKUP($B365,bond!$B:$Q,16,FALSE)</f>
        <v>#N/A</v>
      </c>
      <c r="N365" s="136" t="e">
        <f ca="1">VALUE(LEFT(VLOOKUP(B365,bond!B:R,17,FALSE),SEARCH(" ",VLOOKUP(B365,bond!B:R,17,FALSE),1)))</f>
        <v>#N/A</v>
      </c>
      <c r="O365" s="136" t="e">
        <f ca="1">VALUE(RIGHT(VLOOKUP(B365,bond!B:R,17,FALSE),LEN(VLOOKUP(B365,bond!B:R,17,FALSE))-LEN(N365)-3))</f>
        <v>#N/A</v>
      </c>
      <c r="P365" s="135" t="e">
        <f ca="1">VLOOKUP($B365,bond!$B:$AG,32,FALSE)</f>
        <v>#N/A</v>
      </c>
      <c r="Q365" s="135" t="e">
        <f ca="1">VLOOKUP($B365,bond!$B:$AH,33,FALSE)</f>
        <v>#N/A</v>
      </c>
      <c r="R365" s="135" t="e">
        <f ca="1">VLOOKUP(B365,bond!B:AA,26,FALSE)</f>
        <v>#N/A</v>
      </c>
      <c r="S365" s="135" t="e">
        <f ca="1">VLOOKUP(B365,bond!B:AI,34,FALSE)</f>
        <v>#N/A</v>
      </c>
      <c r="T365" s="135" t="e">
        <f t="shared" ca="1" si="35"/>
        <v>#N/A</v>
      </c>
      <c r="U365" s="207" t="e">
        <f ca="1">IFERROR(VLOOKUP(T365,Bond_DES!D:E,2,FALSE),VLOOKUP(S365,bond!AI:AJ,2,FALSE))</f>
        <v>#N/A</v>
      </c>
      <c r="V365" s="136" t="e">
        <f ca="1">IFERROR(VLOOKUP(B365,'1_重設數據'!L:M,2,FALSE),IF(Q365="政府",IF(AD365&gt;16,"(NPI)非專投",IF(AD365&gt;10,"(PI)專投","高資產")),IF(VLOOKUP(B365,bond!B:AN,39,FALSE)="Y","(PI)專投",IF(AD365&gt;=15,"(NPI)非專投",IF(AD365&gt;=10,"(PI)專投","高資產")))))</f>
        <v>#N/A</v>
      </c>
      <c r="W365" s="136" t="e">
        <f ca="1">VLOOKUP(AD365,'credit rating'!$F$2:$H$22,3,FALSE)</f>
        <v>#N/A</v>
      </c>
      <c r="X365" s="136" t="e">
        <f t="shared" ca="1" si="36"/>
        <v>#N/A</v>
      </c>
      <c r="Y365" s="136" t="e">
        <f t="shared" ca="1" si="37"/>
        <v>#N/A</v>
      </c>
      <c r="Z365" s="136" t="e">
        <f t="shared" ca="1" si="38"/>
        <v>#N/A</v>
      </c>
      <c r="AA365" s="134">
        <f ca="1">IFERROR(VLOOKUP(X365,'credit rating'!A:C,3,FALSE),0)</f>
        <v>0</v>
      </c>
      <c r="AB365" s="134">
        <f ca="1">IFERROR(VLOOKUP(Y365,'credit rating'!B:C,2,FALSE),0)</f>
        <v>0</v>
      </c>
      <c r="AC365" s="136">
        <f ca="1">IFERROR(VLOOKUP(Z365,'credit rating'!B:C,2,FALSE),0)</f>
        <v>0</v>
      </c>
      <c r="AD365" s="136">
        <f t="shared" ca="1" si="39"/>
        <v>0</v>
      </c>
      <c r="AE365" s="249" t="str">
        <f ca="1">IFERROR(VLOOKUP(B365,bond!B:U,20,FALSE),"")</f>
        <v/>
      </c>
      <c r="AF365" s="136" t="e">
        <f ca="1">IF(VLOOKUP(B365,bond!B:AK,36,FALSE)="#N/A Field Not Applicable","",VLOOKUP(B365,bond!B:AK,36,FALSE))</f>
        <v>#N/A</v>
      </c>
      <c r="AG365" s="136" t="e">
        <f ca="1">IF(VLOOKUP(B365,bond!B:AL,37,FALSE)="FIXED","固定",IF(VLOOKUP(B365,bond!B:AL,37,FALSE)="FLOATING","浮動",IF(VLOOKUP(B365,bond!B:AL,37,FALSE)="VARIABLE","變動",IF(VLOOKUP(B365,bond!B:AL,37,FALSE)="FLAT TRADING","不含息交易",IF(VLOOKUP(B365,bond!B:AL,37,FALSE)="ZERO COUPON","零息",VLOOKUP(B365,bond!B:AL,37,FALSE))))))</f>
        <v>#N/A</v>
      </c>
      <c r="AH365" s="136" t="e">
        <f>VLOOKUP(C365,'2_Check_code'!I:J,2,FALSE)</f>
        <v>#N/A</v>
      </c>
      <c r="AI365" s="136" t="e">
        <f t="shared" ca="1" si="40"/>
        <v>#N/A</v>
      </c>
      <c r="AJ365" s="136" t="e">
        <f t="shared" ca="1" si="41"/>
        <v>#N/A</v>
      </c>
      <c r="AK365" s="594" t="e">
        <f ca="1">IF(VLOOKUP(B365,bond!B:S,18,FALSE)="是","有",IF(VLOOKUP(B365,bond!B:S,18,FALSE)="NO OFFER","無","需查詢"))</f>
        <v>#N/A</v>
      </c>
      <c r="AL365" s="136" t="e">
        <f>IF(VLOOKUP(A365,bond!F:AR,39,FALSE)="#N/A Field Not Applicable",VLOOKUP(A365,bond!F:AR,38,FALSE),IFERROR(VLOOKUP(A365,'7_發行日例外'!A:B,2,FALSE),VLOOKUP(A365,bond!F:AR,39,FALSE)))</f>
        <v>#N/A</v>
      </c>
      <c r="AM365" s="136" t="e">
        <f ca="1">VLOOKUP(B365,bond!B:AK,36,FALSE)</f>
        <v>#N/A</v>
      </c>
      <c r="AN365" s="136" t="str">
        <f ca="1">IFERROR(VLOOKUP(B365,'3_是否下架'!A:A,1,FALSE),"")</f>
        <v/>
      </c>
      <c r="AO365" s="136" t="e">
        <f ca="1">VLOOKUP(B365,bond!B:J,9,FALSE)</f>
        <v>#N/A</v>
      </c>
      <c r="AP365" s="136" t="e">
        <f ca="1">VLOOKUP(B365,bond!B:V,21,FALSE)</f>
        <v>#N/A</v>
      </c>
    </row>
    <row r="366" spans="1:42">
      <c r="A366" s="141">
        <f>bond!F367</f>
        <v>0</v>
      </c>
      <c r="B366" s="151">
        <f ca="1">IF($C$1=TRUE,bond!B367,"")</f>
        <v>0</v>
      </c>
      <c r="C366" s="95" t="e">
        <f>VLOOKUP(A366,bond!F:G,2,FALSE)</f>
        <v>#N/A</v>
      </c>
      <c r="D366" s="142" t="e">
        <f ca="1">VLOOKUP(B366,bond!B:C,2,FALSE)</f>
        <v>#N/A</v>
      </c>
      <c r="E366" s="95" t="e">
        <f ca="1">VLOOKUP(B366,bond!B:D,3,FALSE)</f>
        <v>#N/A</v>
      </c>
      <c r="F366" s="99" t="e">
        <f ca="1">VLOOKUP(B366,bond!B:AB,27,FALSE)</f>
        <v>#N/A</v>
      </c>
      <c r="G366" s="90" t="e">
        <f ca="1">VLOOKUP(B366,bond!B:E,4,FALSE)</f>
        <v>#N/A</v>
      </c>
      <c r="H366" s="202" t="e">
        <f ca="1">VLOOKUP(B366,bond!B:Y,24,FALSE)</f>
        <v>#N/A</v>
      </c>
      <c r="I366" s="95" t="e">
        <f ca="1">VLOOKUP(B366,bond!B:Z,25,FALSE)</f>
        <v>#N/A</v>
      </c>
      <c r="J366" s="180" t="e">
        <f ca="1">VLOOKUP(B366,bond!B:K,10,FALSE)</f>
        <v>#N/A</v>
      </c>
      <c r="K366" s="96" t="e">
        <f ca="1">VLOOKUP($B366,bond!B:S,14,FALSE)</f>
        <v>#N/A</v>
      </c>
      <c r="L366" s="91" t="e">
        <f ca="1">VLOOKUP(B366,bond!B:H,7,FALSE)</f>
        <v>#N/A</v>
      </c>
      <c r="M366" s="144" t="e">
        <f ca="1">VLOOKUP($B366,bond!$B:$Q,16,FALSE)</f>
        <v>#N/A</v>
      </c>
      <c r="N366" s="136" t="e">
        <f ca="1">VALUE(LEFT(VLOOKUP(B366,bond!B:R,17,FALSE),SEARCH(" ",VLOOKUP(B366,bond!B:R,17,FALSE),1)))</f>
        <v>#N/A</v>
      </c>
      <c r="O366" s="136" t="e">
        <f ca="1">VALUE(RIGHT(VLOOKUP(B366,bond!B:R,17,FALSE),LEN(VLOOKUP(B366,bond!B:R,17,FALSE))-LEN(N366)-3))</f>
        <v>#N/A</v>
      </c>
      <c r="P366" s="135" t="e">
        <f ca="1">VLOOKUP($B366,bond!$B:$AG,32,FALSE)</f>
        <v>#N/A</v>
      </c>
      <c r="Q366" s="135" t="e">
        <f ca="1">VLOOKUP($B366,bond!$B:$AH,33,FALSE)</f>
        <v>#N/A</v>
      </c>
      <c r="R366" s="135" t="e">
        <f ca="1">VLOOKUP(B366,bond!B:AA,26,FALSE)</f>
        <v>#N/A</v>
      </c>
      <c r="S366" s="135" t="e">
        <f ca="1">VLOOKUP(B366,bond!B:AI,34,FALSE)</f>
        <v>#N/A</v>
      </c>
      <c r="T366" s="135" t="e">
        <f t="shared" ca="1" si="35"/>
        <v>#N/A</v>
      </c>
      <c r="U366" s="207" t="e">
        <f ca="1">IFERROR(VLOOKUP(T366,Bond_DES!D:E,2,FALSE),VLOOKUP(S366,bond!AI:AJ,2,FALSE))</f>
        <v>#N/A</v>
      </c>
      <c r="V366" s="136" t="e">
        <f ca="1">IFERROR(VLOOKUP(B366,'1_重設數據'!L:M,2,FALSE),IF(Q366="政府",IF(AD366&gt;16,"(NPI)非專投",IF(AD366&gt;10,"(PI)專投","高資產")),IF(VLOOKUP(B366,bond!B:AN,39,FALSE)="Y","(PI)專投",IF(AD366&gt;=15,"(NPI)非專投",IF(AD366&gt;=10,"(PI)專投","高資產")))))</f>
        <v>#N/A</v>
      </c>
      <c r="W366" s="136" t="e">
        <f ca="1">VLOOKUP(AD366,'credit rating'!$F$2:$H$22,3,FALSE)</f>
        <v>#N/A</v>
      </c>
      <c r="X366" s="136" t="e">
        <f t="shared" ca="1" si="36"/>
        <v>#N/A</v>
      </c>
      <c r="Y366" s="136" t="e">
        <f t="shared" ca="1" si="37"/>
        <v>#N/A</v>
      </c>
      <c r="Z366" s="136" t="e">
        <f t="shared" ca="1" si="38"/>
        <v>#N/A</v>
      </c>
      <c r="AA366" s="134">
        <f ca="1">IFERROR(VLOOKUP(X366,'credit rating'!A:C,3,FALSE),0)</f>
        <v>0</v>
      </c>
      <c r="AB366" s="134">
        <f ca="1">IFERROR(VLOOKUP(Y366,'credit rating'!B:C,2,FALSE),0)</f>
        <v>0</v>
      </c>
      <c r="AC366" s="136">
        <f ca="1">IFERROR(VLOOKUP(Z366,'credit rating'!B:C,2,FALSE),0)</f>
        <v>0</v>
      </c>
      <c r="AD366" s="136">
        <f t="shared" ca="1" si="39"/>
        <v>0</v>
      </c>
      <c r="AE366" s="249" t="str">
        <f ca="1">IFERROR(VLOOKUP(B366,bond!B:U,20,FALSE),"")</f>
        <v/>
      </c>
      <c r="AF366" s="136" t="e">
        <f ca="1">IF(VLOOKUP(B366,bond!B:AK,36,FALSE)="#N/A Field Not Applicable","",VLOOKUP(B366,bond!B:AK,36,FALSE))</f>
        <v>#N/A</v>
      </c>
      <c r="AG366" s="136" t="e">
        <f ca="1">IF(VLOOKUP(B366,bond!B:AL,37,FALSE)="FIXED","固定",IF(VLOOKUP(B366,bond!B:AL,37,FALSE)="FLOATING","浮動",IF(VLOOKUP(B366,bond!B:AL,37,FALSE)="VARIABLE","變動",IF(VLOOKUP(B366,bond!B:AL,37,FALSE)="FLAT TRADING","不含息交易",IF(VLOOKUP(B366,bond!B:AL,37,FALSE)="ZERO COUPON","零息",VLOOKUP(B366,bond!B:AL,37,FALSE))))))</f>
        <v>#N/A</v>
      </c>
      <c r="AH366" s="136" t="e">
        <f>VLOOKUP(C366,'2_Check_code'!I:J,2,FALSE)</f>
        <v>#N/A</v>
      </c>
      <c r="AI366" s="136" t="e">
        <f t="shared" ca="1" si="40"/>
        <v>#N/A</v>
      </c>
      <c r="AJ366" s="136" t="e">
        <f t="shared" ca="1" si="41"/>
        <v>#N/A</v>
      </c>
      <c r="AK366" s="594" t="e">
        <f ca="1">IF(VLOOKUP(B366,bond!B:S,18,FALSE)="是","有",IF(VLOOKUP(B366,bond!B:S,18,FALSE)="NO OFFER","無","需查詢"))</f>
        <v>#N/A</v>
      </c>
      <c r="AL366" s="136" t="e">
        <f>IF(VLOOKUP(A366,bond!F:AR,39,FALSE)="#N/A Field Not Applicable",VLOOKUP(A366,bond!F:AR,38,FALSE),IFERROR(VLOOKUP(A366,'7_發行日例外'!A:B,2,FALSE),VLOOKUP(A366,bond!F:AR,39,FALSE)))</f>
        <v>#N/A</v>
      </c>
      <c r="AM366" s="136" t="e">
        <f ca="1">VLOOKUP(B366,bond!B:AK,36,FALSE)</f>
        <v>#N/A</v>
      </c>
      <c r="AN366" s="136" t="str">
        <f ca="1">IFERROR(VLOOKUP(B366,'3_是否下架'!A:A,1,FALSE),"")</f>
        <v/>
      </c>
      <c r="AO366" s="136" t="e">
        <f ca="1">VLOOKUP(B366,bond!B:J,9,FALSE)</f>
        <v>#N/A</v>
      </c>
      <c r="AP366" s="136" t="e">
        <f ca="1">VLOOKUP(B366,bond!B:V,21,FALSE)</f>
        <v>#N/A</v>
      </c>
    </row>
    <row r="367" spans="1:42">
      <c r="A367" s="141">
        <f>bond!F368</f>
        <v>0</v>
      </c>
      <c r="B367" s="151">
        <f ca="1">IF($C$1=TRUE,bond!B368,"")</f>
        <v>0</v>
      </c>
      <c r="C367" s="95" t="e">
        <f>VLOOKUP(A367,bond!F:G,2,FALSE)</f>
        <v>#N/A</v>
      </c>
      <c r="D367" s="142" t="e">
        <f ca="1">VLOOKUP(B367,bond!B:C,2,FALSE)</f>
        <v>#N/A</v>
      </c>
      <c r="E367" s="95" t="e">
        <f ca="1">VLOOKUP(B367,bond!B:D,3,FALSE)</f>
        <v>#N/A</v>
      </c>
      <c r="F367" s="99" t="e">
        <f ca="1">VLOOKUP(B367,bond!B:AB,27,FALSE)</f>
        <v>#N/A</v>
      </c>
      <c r="G367" s="90" t="e">
        <f ca="1">VLOOKUP(B367,bond!B:E,4,FALSE)</f>
        <v>#N/A</v>
      </c>
      <c r="H367" s="202" t="e">
        <f ca="1">VLOOKUP(B367,bond!B:Y,24,FALSE)</f>
        <v>#N/A</v>
      </c>
      <c r="I367" s="95" t="e">
        <f ca="1">VLOOKUP(B367,bond!B:Z,25,FALSE)</f>
        <v>#N/A</v>
      </c>
      <c r="J367" s="180" t="e">
        <f ca="1">VLOOKUP(B367,bond!B:K,10,FALSE)</f>
        <v>#N/A</v>
      </c>
      <c r="K367" s="96" t="e">
        <f ca="1">VLOOKUP($B367,bond!B:S,14,FALSE)</f>
        <v>#N/A</v>
      </c>
      <c r="L367" s="91" t="e">
        <f ca="1">VLOOKUP(B367,bond!B:H,7,FALSE)</f>
        <v>#N/A</v>
      </c>
      <c r="M367" s="144" t="e">
        <f ca="1">VLOOKUP($B367,bond!$B:$Q,16,FALSE)</f>
        <v>#N/A</v>
      </c>
      <c r="N367" s="136" t="e">
        <f ca="1">VALUE(LEFT(VLOOKUP(B367,bond!B:R,17,FALSE),SEARCH(" ",VLOOKUP(B367,bond!B:R,17,FALSE),1)))</f>
        <v>#N/A</v>
      </c>
      <c r="O367" s="136" t="e">
        <f ca="1">VALUE(RIGHT(VLOOKUP(B367,bond!B:R,17,FALSE),LEN(VLOOKUP(B367,bond!B:R,17,FALSE))-LEN(N367)-3))</f>
        <v>#N/A</v>
      </c>
      <c r="P367" s="135" t="e">
        <f ca="1">VLOOKUP($B367,bond!$B:$AG,32,FALSE)</f>
        <v>#N/A</v>
      </c>
      <c r="Q367" s="135" t="e">
        <f ca="1">VLOOKUP($B367,bond!$B:$AH,33,FALSE)</f>
        <v>#N/A</v>
      </c>
      <c r="R367" s="135" t="e">
        <f ca="1">VLOOKUP(B367,bond!B:AA,26,FALSE)</f>
        <v>#N/A</v>
      </c>
      <c r="S367" s="135" t="e">
        <f ca="1">VLOOKUP(B367,bond!B:AI,34,FALSE)</f>
        <v>#N/A</v>
      </c>
      <c r="T367" s="135" t="e">
        <f t="shared" ca="1" si="35"/>
        <v>#N/A</v>
      </c>
      <c r="U367" s="207" t="e">
        <f ca="1">IFERROR(VLOOKUP(T367,Bond_DES!D:E,2,FALSE),VLOOKUP(S367,bond!AI:AJ,2,FALSE))</f>
        <v>#N/A</v>
      </c>
      <c r="V367" s="136" t="e">
        <f ca="1">IFERROR(VLOOKUP(B367,'1_重設數據'!L:M,2,FALSE),IF(Q367="政府",IF(AD367&gt;16,"(NPI)非專投",IF(AD367&gt;10,"(PI)專投","高資產")),IF(VLOOKUP(B367,bond!B:AN,39,FALSE)="Y","(PI)專投",IF(AD367&gt;=15,"(NPI)非專投",IF(AD367&gt;=10,"(PI)專投","高資產")))))</f>
        <v>#N/A</v>
      </c>
      <c r="W367" s="136" t="e">
        <f ca="1">VLOOKUP(AD367,'credit rating'!$F$2:$H$22,3,FALSE)</f>
        <v>#N/A</v>
      </c>
      <c r="X367" s="136" t="e">
        <f t="shared" ca="1" si="36"/>
        <v>#N/A</v>
      </c>
      <c r="Y367" s="136" t="e">
        <f t="shared" ca="1" si="37"/>
        <v>#N/A</v>
      </c>
      <c r="Z367" s="136" t="e">
        <f t="shared" ca="1" si="38"/>
        <v>#N/A</v>
      </c>
      <c r="AA367" s="134">
        <f ca="1">IFERROR(VLOOKUP(X367,'credit rating'!A:C,3,FALSE),0)</f>
        <v>0</v>
      </c>
      <c r="AB367" s="134">
        <f ca="1">IFERROR(VLOOKUP(Y367,'credit rating'!B:C,2,FALSE),0)</f>
        <v>0</v>
      </c>
      <c r="AC367" s="136">
        <f ca="1">IFERROR(VLOOKUP(Z367,'credit rating'!B:C,2,FALSE),0)</f>
        <v>0</v>
      </c>
      <c r="AD367" s="136">
        <f t="shared" ca="1" si="39"/>
        <v>0</v>
      </c>
      <c r="AE367" s="249" t="str">
        <f ca="1">IFERROR(VLOOKUP(B367,bond!B:U,20,FALSE),"")</f>
        <v/>
      </c>
      <c r="AF367" s="136" t="e">
        <f ca="1">IF(VLOOKUP(B367,bond!B:AK,36,FALSE)="#N/A Field Not Applicable","",VLOOKUP(B367,bond!B:AK,36,FALSE))</f>
        <v>#N/A</v>
      </c>
      <c r="AG367" s="136" t="e">
        <f ca="1">IF(VLOOKUP(B367,bond!B:AL,37,FALSE)="FIXED","固定",IF(VLOOKUP(B367,bond!B:AL,37,FALSE)="FLOATING","浮動",IF(VLOOKUP(B367,bond!B:AL,37,FALSE)="VARIABLE","變動",IF(VLOOKUP(B367,bond!B:AL,37,FALSE)="FLAT TRADING","不含息交易",IF(VLOOKUP(B367,bond!B:AL,37,FALSE)="ZERO COUPON","零息",VLOOKUP(B367,bond!B:AL,37,FALSE))))))</f>
        <v>#N/A</v>
      </c>
      <c r="AH367" s="136" t="e">
        <f>VLOOKUP(C367,'2_Check_code'!I:J,2,FALSE)</f>
        <v>#N/A</v>
      </c>
      <c r="AI367" s="136" t="e">
        <f t="shared" ca="1" si="40"/>
        <v>#N/A</v>
      </c>
      <c r="AJ367" s="136" t="e">
        <f t="shared" ca="1" si="41"/>
        <v>#N/A</v>
      </c>
      <c r="AK367" s="594" t="e">
        <f ca="1">IF(VLOOKUP(B367,bond!B:S,18,FALSE)="是","有",IF(VLOOKUP(B367,bond!B:S,18,FALSE)="NO OFFER","無","需查詢"))</f>
        <v>#N/A</v>
      </c>
      <c r="AL367" s="136" t="e">
        <f>IF(VLOOKUP(A367,bond!F:AR,39,FALSE)="#N/A Field Not Applicable",VLOOKUP(A367,bond!F:AR,38,FALSE),IFERROR(VLOOKUP(A367,'7_發行日例外'!A:B,2,FALSE),VLOOKUP(A367,bond!F:AR,39,FALSE)))</f>
        <v>#N/A</v>
      </c>
      <c r="AM367" s="136" t="e">
        <f ca="1">VLOOKUP(B367,bond!B:AK,36,FALSE)</f>
        <v>#N/A</v>
      </c>
      <c r="AN367" s="136" t="str">
        <f ca="1">IFERROR(VLOOKUP(B367,'3_是否下架'!A:A,1,FALSE),"")</f>
        <v/>
      </c>
      <c r="AO367" s="136" t="e">
        <f ca="1">VLOOKUP(B367,bond!B:J,9,FALSE)</f>
        <v>#N/A</v>
      </c>
      <c r="AP367" s="136" t="e">
        <f ca="1">VLOOKUP(B367,bond!B:V,21,FALSE)</f>
        <v>#N/A</v>
      </c>
    </row>
    <row r="368" spans="1:42">
      <c r="A368" s="141">
        <f>bond!F369</f>
        <v>0</v>
      </c>
      <c r="B368" s="151">
        <f ca="1">IF($C$1=TRUE,bond!B369,"")</f>
        <v>0</v>
      </c>
      <c r="C368" s="95" t="e">
        <f>VLOOKUP(A368,bond!F:G,2,FALSE)</f>
        <v>#N/A</v>
      </c>
      <c r="D368" s="142" t="e">
        <f ca="1">VLOOKUP(B368,bond!B:C,2,FALSE)</f>
        <v>#N/A</v>
      </c>
      <c r="E368" s="95" t="e">
        <f ca="1">VLOOKUP(B368,bond!B:D,3,FALSE)</f>
        <v>#N/A</v>
      </c>
      <c r="F368" s="99" t="e">
        <f ca="1">VLOOKUP(B368,bond!B:AB,27,FALSE)</f>
        <v>#N/A</v>
      </c>
      <c r="G368" s="90" t="e">
        <f ca="1">VLOOKUP(B368,bond!B:E,4,FALSE)</f>
        <v>#N/A</v>
      </c>
      <c r="H368" s="202" t="e">
        <f ca="1">VLOOKUP(B368,bond!B:Y,24,FALSE)</f>
        <v>#N/A</v>
      </c>
      <c r="I368" s="95" t="e">
        <f ca="1">VLOOKUP(B368,bond!B:Z,25,FALSE)</f>
        <v>#N/A</v>
      </c>
      <c r="J368" s="180" t="e">
        <f ca="1">VLOOKUP(B368,bond!B:K,10,FALSE)</f>
        <v>#N/A</v>
      </c>
      <c r="K368" s="96" t="e">
        <f ca="1">VLOOKUP($B368,bond!B:S,14,FALSE)</f>
        <v>#N/A</v>
      </c>
      <c r="L368" s="91" t="e">
        <f ca="1">VLOOKUP(B368,bond!B:H,7,FALSE)</f>
        <v>#N/A</v>
      </c>
      <c r="M368" s="144" t="e">
        <f ca="1">VLOOKUP($B368,bond!$B:$Q,16,FALSE)</f>
        <v>#N/A</v>
      </c>
      <c r="N368" s="136" t="e">
        <f ca="1">VALUE(LEFT(VLOOKUP(B368,bond!B:R,17,FALSE),SEARCH(" ",VLOOKUP(B368,bond!B:R,17,FALSE),1)))</f>
        <v>#N/A</v>
      </c>
      <c r="O368" s="136" t="e">
        <f ca="1">VALUE(RIGHT(VLOOKUP(B368,bond!B:R,17,FALSE),LEN(VLOOKUP(B368,bond!B:R,17,FALSE))-LEN(N368)-3))</f>
        <v>#N/A</v>
      </c>
      <c r="P368" s="135" t="e">
        <f ca="1">VLOOKUP($B368,bond!$B:$AG,32,FALSE)</f>
        <v>#N/A</v>
      </c>
      <c r="Q368" s="135" t="e">
        <f ca="1">VLOOKUP($B368,bond!$B:$AH,33,FALSE)</f>
        <v>#N/A</v>
      </c>
      <c r="R368" s="135" t="e">
        <f ca="1">VLOOKUP(B368,bond!B:AA,26,FALSE)</f>
        <v>#N/A</v>
      </c>
      <c r="S368" s="135" t="e">
        <f ca="1">VLOOKUP(B368,bond!B:AI,34,FALSE)</f>
        <v>#N/A</v>
      </c>
      <c r="T368" s="135" t="e">
        <f t="shared" ca="1" si="35"/>
        <v>#N/A</v>
      </c>
      <c r="U368" s="207" t="e">
        <f ca="1">IFERROR(VLOOKUP(T368,Bond_DES!D:E,2,FALSE),VLOOKUP(S368,bond!AI:AJ,2,FALSE))</f>
        <v>#N/A</v>
      </c>
      <c r="V368" s="136" t="e">
        <f ca="1">IFERROR(VLOOKUP(B368,'1_重設數據'!L:M,2,FALSE),IF(Q368="政府",IF(AD368&gt;16,"(NPI)非專投",IF(AD368&gt;10,"(PI)專投","高資產")),IF(VLOOKUP(B368,bond!B:AN,39,FALSE)="Y","(PI)專投",IF(AD368&gt;=15,"(NPI)非專投",IF(AD368&gt;=10,"(PI)專投","高資產")))))</f>
        <v>#N/A</v>
      </c>
      <c r="W368" s="136" t="e">
        <f ca="1">VLOOKUP(AD368,'credit rating'!$F$2:$H$22,3,FALSE)</f>
        <v>#N/A</v>
      </c>
      <c r="X368" s="136" t="e">
        <f t="shared" ca="1" si="36"/>
        <v>#N/A</v>
      </c>
      <c r="Y368" s="136" t="e">
        <f t="shared" ca="1" si="37"/>
        <v>#N/A</v>
      </c>
      <c r="Z368" s="136" t="e">
        <f t="shared" ca="1" si="38"/>
        <v>#N/A</v>
      </c>
      <c r="AA368" s="134">
        <f ca="1">IFERROR(VLOOKUP(X368,'credit rating'!A:C,3,FALSE),0)</f>
        <v>0</v>
      </c>
      <c r="AB368" s="134">
        <f ca="1">IFERROR(VLOOKUP(Y368,'credit rating'!B:C,2,FALSE),0)</f>
        <v>0</v>
      </c>
      <c r="AC368" s="136">
        <f ca="1">IFERROR(VLOOKUP(Z368,'credit rating'!B:C,2,FALSE),0)</f>
        <v>0</v>
      </c>
      <c r="AD368" s="136">
        <f t="shared" ca="1" si="39"/>
        <v>0</v>
      </c>
      <c r="AE368" s="249" t="str">
        <f ca="1">IFERROR(VLOOKUP(B368,bond!B:U,20,FALSE),"")</f>
        <v/>
      </c>
      <c r="AF368" s="136" t="e">
        <f ca="1">IF(VLOOKUP(B368,bond!B:AK,36,FALSE)="#N/A Field Not Applicable","",VLOOKUP(B368,bond!B:AK,36,FALSE))</f>
        <v>#N/A</v>
      </c>
      <c r="AG368" s="136" t="e">
        <f ca="1">IF(VLOOKUP(B368,bond!B:AL,37,FALSE)="FIXED","固定",IF(VLOOKUP(B368,bond!B:AL,37,FALSE)="FLOATING","浮動",IF(VLOOKUP(B368,bond!B:AL,37,FALSE)="VARIABLE","變動",IF(VLOOKUP(B368,bond!B:AL,37,FALSE)="FLAT TRADING","不含息交易",IF(VLOOKUP(B368,bond!B:AL,37,FALSE)="ZERO COUPON","零息",VLOOKUP(B368,bond!B:AL,37,FALSE))))))</f>
        <v>#N/A</v>
      </c>
      <c r="AH368" s="136" t="e">
        <f>VLOOKUP(C368,'2_Check_code'!I:J,2,FALSE)</f>
        <v>#N/A</v>
      </c>
      <c r="AI368" s="136" t="e">
        <f t="shared" ca="1" si="40"/>
        <v>#N/A</v>
      </c>
      <c r="AJ368" s="136" t="e">
        <f t="shared" ca="1" si="41"/>
        <v>#N/A</v>
      </c>
      <c r="AK368" s="594" t="e">
        <f ca="1">IF(VLOOKUP(B368,bond!B:S,18,FALSE)="是","有",IF(VLOOKUP(B368,bond!B:S,18,FALSE)="NO OFFER","無","需查詢"))</f>
        <v>#N/A</v>
      </c>
      <c r="AL368" s="136" t="e">
        <f>IF(VLOOKUP(A368,bond!F:AR,39,FALSE)="#N/A Field Not Applicable",VLOOKUP(A368,bond!F:AR,38,FALSE),IFERROR(VLOOKUP(A368,'7_發行日例外'!A:B,2,FALSE),VLOOKUP(A368,bond!F:AR,39,FALSE)))</f>
        <v>#N/A</v>
      </c>
      <c r="AM368" s="136" t="e">
        <f ca="1">VLOOKUP(B368,bond!B:AK,36,FALSE)</f>
        <v>#N/A</v>
      </c>
      <c r="AN368" s="136" t="str">
        <f ca="1">IFERROR(VLOOKUP(B368,'3_是否下架'!A:A,1,FALSE),"")</f>
        <v/>
      </c>
      <c r="AO368" s="136" t="e">
        <f ca="1">VLOOKUP(B368,bond!B:J,9,FALSE)</f>
        <v>#N/A</v>
      </c>
      <c r="AP368" s="136" t="e">
        <f ca="1">VLOOKUP(B368,bond!B:V,21,FALSE)</f>
        <v>#N/A</v>
      </c>
    </row>
    <row r="369" spans="1:42">
      <c r="A369" s="141">
        <f>bond!F370</f>
        <v>0</v>
      </c>
      <c r="B369" s="151">
        <f ca="1">IF($C$1=TRUE,bond!B370,"")</f>
        <v>0</v>
      </c>
      <c r="C369" s="95" t="e">
        <f>VLOOKUP(A369,bond!F:G,2,FALSE)</f>
        <v>#N/A</v>
      </c>
      <c r="D369" s="142" t="e">
        <f ca="1">VLOOKUP(B369,bond!B:C,2,FALSE)</f>
        <v>#N/A</v>
      </c>
      <c r="E369" s="95" t="e">
        <f ca="1">VLOOKUP(B369,bond!B:D,3,FALSE)</f>
        <v>#N/A</v>
      </c>
      <c r="F369" s="99" t="e">
        <f ca="1">VLOOKUP(B369,bond!B:AB,27,FALSE)</f>
        <v>#N/A</v>
      </c>
      <c r="G369" s="90" t="e">
        <f ca="1">VLOOKUP(B369,bond!B:E,4,FALSE)</f>
        <v>#N/A</v>
      </c>
      <c r="H369" s="202" t="e">
        <f ca="1">VLOOKUP(B369,bond!B:Y,24,FALSE)</f>
        <v>#N/A</v>
      </c>
      <c r="I369" s="95" t="e">
        <f ca="1">VLOOKUP(B369,bond!B:Z,25,FALSE)</f>
        <v>#N/A</v>
      </c>
      <c r="J369" s="180" t="e">
        <f ca="1">VLOOKUP(B369,bond!B:K,10,FALSE)</f>
        <v>#N/A</v>
      </c>
      <c r="K369" s="96" t="e">
        <f ca="1">VLOOKUP($B369,bond!B:S,14,FALSE)</f>
        <v>#N/A</v>
      </c>
      <c r="L369" s="91" t="e">
        <f ca="1">VLOOKUP(B369,bond!B:H,7,FALSE)</f>
        <v>#N/A</v>
      </c>
      <c r="M369" s="144" t="e">
        <f ca="1">VLOOKUP($B369,bond!$B:$Q,16,FALSE)</f>
        <v>#N/A</v>
      </c>
      <c r="N369" s="136" t="e">
        <f ca="1">VALUE(LEFT(VLOOKUP(B369,bond!B:R,17,FALSE),SEARCH(" ",VLOOKUP(B369,bond!B:R,17,FALSE),1)))</f>
        <v>#N/A</v>
      </c>
      <c r="O369" s="136" t="e">
        <f ca="1">VALUE(RIGHT(VLOOKUP(B369,bond!B:R,17,FALSE),LEN(VLOOKUP(B369,bond!B:R,17,FALSE))-LEN(N369)-3))</f>
        <v>#N/A</v>
      </c>
      <c r="P369" s="135" t="e">
        <f ca="1">VLOOKUP($B369,bond!$B:$AG,32,FALSE)</f>
        <v>#N/A</v>
      </c>
      <c r="Q369" s="135" t="e">
        <f ca="1">VLOOKUP($B369,bond!$B:$AH,33,FALSE)</f>
        <v>#N/A</v>
      </c>
      <c r="R369" s="135" t="e">
        <f ca="1">VLOOKUP(B369,bond!B:AA,26,FALSE)</f>
        <v>#N/A</v>
      </c>
      <c r="S369" s="135" t="e">
        <f ca="1">VLOOKUP(B369,bond!B:AI,34,FALSE)</f>
        <v>#N/A</v>
      </c>
      <c r="T369" s="135" t="e">
        <f t="shared" ca="1" si="35"/>
        <v>#N/A</v>
      </c>
      <c r="U369" s="207" t="e">
        <f ca="1">IFERROR(VLOOKUP(T369,Bond_DES!D:E,2,FALSE),VLOOKUP(S369,bond!AI:AJ,2,FALSE))</f>
        <v>#N/A</v>
      </c>
      <c r="V369" s="136" t="e">
        <f ca="1">IFERROR(VLOOKUP(B369,'1_重設數據'!L:M,2,FALSE),IF(Q369="政府",IF(AD369&gt;16,"(NPI)非專投",IF(AD369&gt;10,"(PI)專投","高資產")),IF(VLOOKUP(B369,bond!B:AN,39,FALSE)="Y","(PI)專投",IF(AD369&gt;=15,"(NPI)非專投",IF(AD369&gt;=10,"(PI)專投","高資產")))))</f>
        <v>#N/A</v>
      </c>
      <c r="W369" s="136" t="e">
        <f ca="1">VLOOKUP(AD369,'credit rating'!$F$2:$H$22,3,FALSE)</f>
        <v>#N/A</v>
      </c>
      <c r="X369" s="136" t="e">
        <f t="shared" ca="1" si="36"/>
        <v>#N/A</v>
      </c>
      <c r="Y369" s="136" t="e">
        <f t="shared" ca="1" si="37"/>
        <v>#N/A</v>
      </c>
      <c r="Z369" s="136" t="e">
        <f t="shared" ca="1" si="38"/>
        <v>#N/A</v>
      </c>
      <c r="AA369" s="134">
        <f ca="1">IFERROR(VLOOKUP(X369,'credit rating'!A:C,3,FALSE),0)</f>
        <v>0</v>
      </c>
      <c r="AB369" s="134">
        <f ca="1">IFERROR(VLOOKUP(Y369,'credit rating'!B:C,2,FALSE),0)</f>
        <v>0</v>
      </c>
      <c r="AC369" s="136">
        <f ca="1">IFERROR(VLOOKUP(Z369,'credit rating'!B:C,2,FALSE),0)</f>
        <v>0</v>
      </c>
      <c r="AD369" s="136">
        <f t="shared" ca="1" si="39"/>
        <v>0</v>
      </c>
      <c r="AE369" s="249" t="str">
        <f ca="1">IFERROR(VLOOKUP(B369,bond!B:U,20,FALSE),"")</f>
        <v/>
      </c>
      <c r="AF369" s="136" t="e">
        <f ca="1">IF(VLOOKUP(B369,bond!B:AK,36,FALSE)="#N/A Field Not Applicable","",VLOOKUP(B369,bond!B:AK,36,FALSE))</f>
        <v>#N/A</v>
      </c>
      <c r="AG369" s="136" t="e">
        <f ca="1">IF(VLOOKUP(B369,bond!B:AL,37,FALSE)="FIXED","固定",IF(VLOOKUP(B369,bond!B:AL,37,FALSE)="FLOATING","浮動",IF(VLOOKUP(B369,bond!B:AL,37,FALSE)="VARIABLE","變動",IF(VLOOKUP(B369,bond!B:AL,37,FALSE)="FLAT TRADING","不含息交易",IF(VLOOKUP(B369,bond!B:AL,37,FALSE)="ZERO COUPON","零息",VLOOKUP(B369,bond!B:AL,37,FALSE))))))</f>
        <v>#N/A</v>
      </c>
      <c r="AH369" s="136" t="e">
        <f>VLOOKUP(C369,'2_Check_code'!I:J,2,FALSE)</f>
        <v>#N/A</v>
      </c>
      <c r="AI369" s="136" t="e">
        <f t="shared" ca="1" si="40"/>
        <v>#N/A</v>
      </c>
      <c r="AJ369" s="136" t="e">
        <f t="shared" ca="1" si="41"/>
        <v>#N/A</v>
      </c>
      <c r="AK369" s="594" t="e">
        <f ca="1">IF(VLOOKUP(B369,bond!B:S,18,FALSE)="是","有",IF(VLOOKUP(B369,bond!B:S,18,FALSE)="NO OFFER","無","需查詢"))</f>
        <v>#N/A</v>
      </c>
      <c r="AL369" s="136" t="e">
        <f>IF(VLOOKUP(A369,bond!F:AR,39,FALSE)="#N/A Field Not Applicable",VLOOKUP(A369,bond!F:AR,38,FALSE),IFERROR(VLOOKUP(A369,'7_發行日例外'!A:B,2,FALSE),VLOOKUP(A369,bond!F:AR,39,FALSE)))</f>
        <v>#N/A</v>
      </c>
      <c r="AM369" s="136" t="e">
        <f ca="1">VLOOKUP(B369,bond!B:AK,36,FALSE)</f>
        <v>#N/A</v>
      </c>
      <c r="AN369" s="136" t="str">
        <f ca="1">IFERROR(VLOOKUP(B369,'3_是否下架'!A:A,1,FALSE),"")</f>
        <v/>
      </c>
      <c r="AO369" s="136" t="e">
        <f ca="1">VLOOKUP(B369,bond!B:J,9,FALSE)</f>
        <v>#N/A</v>
      </c>
      <c r="AP369" s="136" t="e">
        <f ca="1">VLOOKUP(B369,bond!B:V,21,FALSE)</f>
        <v>#N/A</v>
      </c>
    </row>
    <row r="370" spans="1:42">
      <c r="A370" s="141">
        <f>bond!F371</f>
        <v>0</v>
      </c>
      <c r="B370" s="151">
        <f ca="1">IF($C$1=TRUE,bond!B371,"")</f>
        <v>0</v>
      </c>
      <c r="C370" s="95" t="e">
        <f>VLOOKUP(A370,bond!F:G,2,FALSE)</f>
        <v>#N/A</v>
      </c>
      <c r="D370" s="142" t="e">
        <f ca="1">VLOOKUP(B370,bond!B:C,2,FALSE)</f>
        <v>#N/A</v>
      </c>
      <c r="E370" s="95" t="e">
        <f ca="1">VLOOKUP(B370,bond!B:D,3,FALSE)</f>
        <v>#N/A</v>
      </c>
      <c r="F370" s="99" t="e">
        <f ca="1">VLOOKUP(B370,bond!B:AB,27,FALSE)</f>
        <v>#N/A</v>
      </c>
      <c r="G370" s="90" t="e">
        <f ca="1">VLOOKUP(B370,bond!B:E,4,FALSE)</f>
        <v>#N/A</v>
      </c>
      <c r="H370" s="202" t="e">
        <f ca="1">VLOOKUP(B370,bond!B:Y,24,FALSE)</f>
        <v>#N/A</v>
      </c>
      <c r="I370" s="95" t="e">
        <f ca="1">VLOOKUP(B370,bond!B:Z,25,FALSE)</f>
        <v>#N/A</v>
      </c>
      <c r="J370" s="180" t="e">
        <f ca="1">VLOOKUP(B370,bond!B:K,10,FALSE)</f>
        <v>#N/A</v>
      </c>
      <c r="K370" s="96" t="e">
        <f ca="1">VLOOKUP($B370,bond!B:S,14,FALSE)</f>
        <v>#N/A</v>
      </c>
      <c r="L370" s="91" t="e">
        <f ca="1">VLOOKUP(B370,bond!B:H,7,FALSE)</f>
        <v>#N/A</v>
      </c>
      <c r="M370" s="144" t="e">
        <f ca="1">VLOOKUP($B370,bond!$B:$Q,16,FALSE)</f>
        <v>#N/A</v>
      </c>
      <c r="N370" s="136" t="e">
        <f ca="1">VALUE(LEFT(VLOOKUP(B370,bond!B:R,17,FALSE),SEARCH(" ",VLOOKUP(B370,bond!B:R,17,FALSE),1)))</f>
        <v>#N/A</v>
      </c>
      <c r="O370" s="136" t="e">
        <f ca="1">VALUE(RIGHT(VLOOKUP(B370,bond!B:R,17,FALSE),LEN(VLOOKUP(B370,bond!B:R,17,FALSE))-LEN(N370)-3))</f>
        <v>#N/A</v>
      </c>
      <c r="P370" s="135" t="e">
        <f ca="1">VLOOKUP($B370,bond!$B:$AG,32,FALSE)</f>
        <v>#N/A</v>
      </c>
      <c r="Q370" s="135" t="e">
        <f ca="1">VLOOKUP($B370,bond!$B:$AH,33,FALSE)</f>
        <v>#N/A</v>
      </c>
      <c r="R370" s="135" t="e">
        <f ca="1">VLOOKUP(B370,bond!B:AA,26,FALSE)</f>
        <v>#N/A</v>
      </c>
      <c r="S370" s="135" t="e">
        <f ca="1">VLOOKUP(B370,bond!B:AI,34,FALSE)</f>
        <v>#N/A</v>
      </c>
      <c r="T370" s="135" t="e">
        <f t="shared" ca="1" si="35"/>
        <v>#N/A</v>
      </c>
      <c r="U370" s="207" t="e">
        <f ca="1">IFERROR(VLOOKUP(T370,Bond_DES!D:E,2,FALSE),VLOOKUP(S370,bond!AI:AJ,2,FALSE))</f>
        <v>#N/A</v>
      </c>
      <c r="V370" s="136" t="e">
        <f ca="1">IFERROR(VLOOKUP(B370,'1_重設數據'!L:M,2,FALSE),IF(Q370="政府",IF(AD370&gt;16,"(NPI)非專投",IF(AD370&gt;10,"(PI)專投","高資產")),IF(VLOOKUP(B370,bond!B:AN,39,FALSE)="Y","(PI)專投",IF(AD370&gt;=15,"(NPI)非專投",IF(AD370&gt;=10,"(PI)專投","高資產")))))</f>
        <v>#N/A</v>
      </c>
      <c r="W370" s="136" t="e">
        <f ca="1">VLOOKUP(AD370,'credit rating'!$F$2:$H$22,3,FALSE)</f>
        <v>#N/A</v>
      </c>
      <c r="X370" s="136" t="e">
        <f t="shared" ca="1" si="36"/>
        <v>#N/A</v>
      </c>
      <c r="Y370" s="136" t="e">
        <f t="shared" ca="1" si="37"/>
        <v>#N/A</v>
      </c>
      <c r="Z370" s="136" t="e">
        <f t="shared" ca="1" si="38"/>
        <v>#N/A</v>
      </c>
      <c r="AA370" s="134">
        <f ca="1">IFERROR(VLOOKUP(X370,'credit rating'!A:C,3,FALSE),0)</f>
        <v>0</v>
      </c>
      <c r="AB370" s="134">
        <f ca="1">IFERROR(VLOOKUP(Y370,'credit rating'!B:C,2,FALSE),0)</f>
        <v>0</v>
      </c>
      <c r="AC370" s="136">
        <f ca="1">IFERROR(VLOOKUP(Z370,'credit rating'!B:C,2,FALSE),0)</f>
        <v>0</v>
      </c>
      <c r="AD370" s="136">
        <f t="shared" ca="1" si="39"/>
        <v>0</v>
      </c>
      <c r="AE370" s="249" t="str">
        <f ca="1">IFERROR(VLOOKUP(B370,bond!B:U,20,FALSE),"")</f>
        <v/>
      </c>
      <c r="AF370" s="136" t="e">
        <f ca="1">IF(VLOOKUP(B370,bond!B:AK,36,FALSE)="#N/A Field Not Applicable","",VLOOKUP(B370,bond!B:AK,36,FALSE))</f>
        <v>#N/A</v>
      </c>
      <c r="AG370" s="136" t="e">
        <f ca="1">IF(VLOOKUP(B370,bond!B:AL,37,FALSE)="FIXED","固定",IF(VLOOKUP(B370,bond!B:AL,37,FALSE)="FLOATING","浮動",IF(VLOOKUP(B370,bond!B:AL,37,FALSE)="VARIABLE","變動",IF(VLOOKUP(B370,bond!B:AL,37,FALSE)="FLAT TRADING","不含息交易",IF(VLOOKUP(B370,bond!B:AL,37,FALSE)="ZERO COUPON","零息",VLOOKUP(B370,bond!B:AL,37,FALSE))))))</f>
        <v>#N/A</v>
      </c>
      <c r="AH370" s="136" t="e">
        <f>VLOOKUP(C370,'2_Check_code'!I:J,2,FALSE)</f>
        <v>#N/A</v>
      </c>
      <c r="AI370" s="136" t="e">
        <f t="shared" ca="1" si="40"/>
        <v>#N/A</v>
      </c>
      <c r="AJ370" s="136" t="e">
        <f t="shared" ca="1" si="41"/>
        <v>#N/A</v>
      </c>
      <c r="AK370" s="594" t="e">
        <f ca="1">IF(VLOOKUP(B370,bond!B:S,18,FALSE)="是","有",IF(VLOOKUP(B370,bond!B:S,18,FALSE)="NO OFFER","無","需查詢"))</f>
        <v>#N/A</v>
      </c>
      <c r="AL370" s="136" t="e">
        <f>IF(VLOOKUP(A370,bond!F:AR,39,FALSE)="#N/A Field Not Applicable",VLOOKUP(A370,bond!F:AR,38,FALSE),IFERROR(VLOOKUP(A370,'7_發行日例外'!A:B,2,FALSE),VLOOKUP(A370,bond!F:AR,39,FALSE)))</f>
        <v>#N/A</v>
      </c>
      <c r="AM370" s="136" t="e">
        <f ca="1">VLOOKUP(B370,bond!B:AK,36,FALSE)</f>
        <v>#N/A</v>
      </c>
      <c r="AN370" s="136" t="str">
        <f ca="1">IFERROR(VLOOKUP(B370,'3_是否下架'!A:A,1,FALSE),"")</f>
        <v/>
      </c>
      <c r="AO370" s="136" t="e">
        <f ca="1">VLOOKUP(B370,bond!B:J,9,FALSE)</f>
        <v>#N/A</v>
      </c>
      <c r="AP370" s="136" t="e">
        <f ca="1">VLOOKUP(B370,bond!B:V,21,FALSE)</f>
        <v>#N/A</v>
      </c>
    </row>
    <row r="371" spans="1:42">
      <c r="A371" s="141">
        <f>bond!F372</f>
        <v>0</v>
      </c>
      <c r="B371" s="151">
        <f ca="1">IF($C$1=TRUE,bond!B372,"")</f>
        <v>0</v>
      </c>
      <c r="C371" s="95" t="e">
        <f>VLOOKUP(A371,bond!F:G,2,FALSE)</f>
        <v>#N/A</v>
      </c>
      <c r="D371" s="142" t="e">
        <f ca="1">VLOOKUP(B371,bond!B:C,2,FALSE)</f>
        <v>#N/A</v>
      </c>
      <c r="E371" s="95" t="e">
        <f ca="1">VLOOKUP(B371,bond!B:D,3,FALSE)</f>
        <v>#N/A</v>
      </c>
      <c r="F371" s="99" t="e">
        <f ca="1">VLOOKUP(B371,bond!B:AB,27,FALSE)</f>
        <v>#N/A</v>
      </c>
      <c r="G371" s="90" t="e">
        <f ca="1">VLOOKUP(B371,bond!B:E,4,FALSE)</f>
        <v>#N/A</v>
      </c>
      <c r="H371" s="202" t="e">
        <f ca="1">VLOOKUP(B371,bond!B:Y,24,FALSE)</f>
        <v>#N/A</v>
      </c>
      <c r="I371" s="95" t="e">
        <f ca="1">VLOOKUP(B371,bond!B:Z,25,FALSE)</f>
        <v>#N/A</v>
      </c>
      <c r="J371" s="180" t="e">
        <f ca="1">VLOOKUP(B371,bond!B:K,10,FALSE)</f>
        <v>#N/A</v>
      </c>
      <c r="K371" s="96" t="e">
        <f ca="1">VLOOKUP($B371,bond!B:S,14,FALSE)</f>
        <v>#N/A</v>
      </c>
      <c r="L371" s="91" t="e">
        <f ca="1">VLOOKUP(B371,bond!B:H,7,FALSE)</f>
        <v>#N/A</v>
      </c>
      <c r="M371" s="144" t="e">
        <f ca="1">VLOOKUP($B371,bond!$B:$Q,16,FALSE)</f>
        <v>#N/A</v>
      </c>
      <c r="N371" s="136" t="e">
        <f ca="1">VALUE(LEFT(VLOOKUP(B371,bond!B:R,17,FALSE),SEARCH(" ",VLOOKUP(B371,bond!B:R,17,FALSE),1)))</f>
        <v>#N/A</v>
      </c>
      <c r="O371" s="136" t="e">
        <f ca="1">VALUE(RIGHT(VLOOKUP(B371,bond!B:R,17,FALSE),LEN(VLOOKUP(B371,bond!B:R,17,FALSE))-LEN(N371)-3))</f>
        <v>#N/A</v>
      </c>
      <c r="P371" s="135" t="e">
        <f ca="1">VLOOKUP($B371,bond!$B:$AG,32,FALSE)</f>
        <v>#N/A</v>
      </c>
      <c r="Q371" s="135" t="e">
        <f ca="1">VLOOKUP($B371,bond!$B:$AH,33,FALSE)</f>
        <v>#N/A</v>
      </c>
      <c r="R371" s="135" t="e">
        <f ca="1">VLOOKUP(B371,bond!B:AA,26,FALSE)</f>
        <v>#N/A</v>
      </c>
      <c r="S371" s="135" t="e">
        <f ca="1">VLOOKUP(B371,bond!B:AI,34,FALSE)</f>
        <v>#N/A</v>
      </c>
      <c r="T371" s="135" t="e">
        <f t="shared" ca="1" si="35"/>
        <v>#N/A</v>
      </c>
      <c r="U371" s="207" t="e">
        <f ca="1">IFERROR(VLOOKUP(T371,Bond_DES!D:E,2,FALSE),VLOOKUP(S371,bond!AI:AJ,2,FALSE))</f>
        <v>#N/A</v>
      </c>
      <c r="V371" s="136" t="e">
        <f ca="1">IFERROR(VLOOKUP(B371,'1_重設數據'!L:M,2,FALSE),IF(Q371="政府",IF(AD371&gt;16,"(NPI)非專投",IF(AD371&gt;10,"(PI)專投","高資產")),IF(VLOOKUP(B371,bond!B:AN,39,FALSE)="Y","(PI)專投",IF(AD371&gt;=15,"(NPI)非專投",IF(AD371&gt;=10,"(PI)專投","高資產")))))</f>
        <v>#N/A</v>
      </c>
      <c r="W371" s="136" t="e">
        <f ca="1">VLOOKUP(AD371,'credit rating'!$F$2:$H$22,3,FALSE)</f>
        <v>#N/A</v>
      </c>
      <c r="X371" s="136" t="e">
        <f t="shared" ca="1" si="36"/>
        <v>#N/A</v>
      </c>
      <c r="Y371" s="136" t="e">
        <f t="shared" ca="1" si="37"/>
        <v>#N/A</v>
      </c>
      <c r="Z371" s="136" t="e">
        <f t="shared" ca="1" si="38"/>
        <v>#N/A</v>
      </c>
      <c r="AA371" s="134">
        <f ca="1">IFERROR(VLOOKUP(X371,'credit rating'!A:C,3,FALSE),0)</f>
        <v>0</v>
      </c>
      <c r="AB371" s="134">
        <f ca="1">IFERROR(VLOOKUP(Y371,'credit rating'!B:C,2,FALSE),0)</f>
        <v>0</v>
      </c>
      <c r="AC371" s="136">
        <f ca="1">IFERROR(VLOOKUP(Z371,'credit rating'!B:C,2,FALSE),0)</f>
        <v>0</v>
      </c>
      <c r="AD371" s="136">
        <f t="shared" ca="1" si="39"/>
        <v>0</v>
      </c>
      <c r="AE371" s="249" t="str">
        <f ca="1">IFERROR(VLOOKUP(B371,bond!B:U,20,FALSE),"")</f>
        <v/>
      </c>
      <c r="AF371" s="136" t="e">
        <f ca="1">IF(VLOOKUP(B371,bond!B:AK,36,FALSE)="#N/A Field Not Applicable","",VLOOKUP(B371,bond!B:AK,36,FALSE))</f>
        <v>#N/A</v>
      </c>
      <c r="AG371" s="136" t="e">
        <f ca="1">IF(VLOOKUP(B371,bond!B:AL,37,FALSE)="FIXED","固定",IF(VLOOKUP(B371,bond!B:AL,37,FALSE)="FLOATING","浮動",IF(VLOOKUP(B371,bond!B:AL,37,FALSE)="VARIABLE","變動",IF(VLOOKUP(B371,bond!B:AL,37,FALSE)="FLAT TRADING","不含息交易",IF(VLOOKUP(B371,bond!B:AL,37,FALSE)="ZERO COUPON","零息",VLOOKUP(B371,bond!B:AL,37,FALSE))))))</f>
        <v>#N/A</v>
      </c>
      <c r="AH371" s="136" t="e">
        <f>VLOOKUP(C371,'2_Check_code'!I:J,2,FALSE)</f>
        <v>#N/A</v>
      </c>
      <c r="AI371" s="136" t="e">
        <f t="shared" ca="1" si="40"/>
        <v>#N/A</v>
      </c>
      <c r="AJ371" s="136" t="e">
        <f t="shared" ca="1" si="41"/>
        <v>#N/A</v>
      </c>
      <c r="AK371" s="594" t="e">
        <f ca="1">IF(VLOOKUP(B371,bond!B:S,18,FALSE)="是","有",IF(VLOOKUP(B371,bond!B:S,18,FALSE)="NO OFFER","無","需查詢"))</f>
        <v>#N/A</v>
      </c>
      <c r="AL371" s="136" t="e">
        <f>IF(VLOOKUP(A371,bond!F:AR,39,FALSE)="#N/A Field Not Applicable",VLOOKUP(A371,bond!F:AR,38,FALSE),IFERROR(VLOOKUP(A371,'7_發行日例外'!A:B,2,FALSE),VLOOKUP(A371,bond!F:AR,39,FALSE)))</f>
        <v>#N/A</v>
      </c>
      <c r="AM371" s="136" t="e">
        <f ca="1">VLOOKUP(B371,bond!B:AK,36,FALSE)</f>
        <v>#N/A</v>
      </c>
      <c r="AN371" s="136" t="str">
        <f ca="1">IFERROR(VLOOKUP(B371,'3_是否下架'!A:A,1,FALSE),"")</f>
        <v/>
      </c>
      <c r="AO371" s="136" t="e">
        <f ca="1">VLOOKUP(B371,bond!B:J,9,FALSE)</f>
        <v>#N/A</v>
      </c>
      <c r="AP371" s="136" t="e">
        <f ca="1">VLOOKUP(B371,bond!B:V,21,FALSE)</f>
        <v>#N/A</v>
      </c>
    </row>
    <row r="372" spans="1:42">
      <c r="A372" s="141">
        <f>bond!F373</f>
        <v>0</v>
      </c>
      <c r="B372" s="151">
        <f ca="1">IF($C$1=TRUE,bond!B373,"")</f>
        <v>0</v>
      </c>
      <c r="C372" s="95" t="e">
        <f>VLOOKUP(A372,bond!F:G,2,FALSE)</f>
        <v>#N/A</v>
      </c>
      <c r="D372" s="142" t="e">
        <f ca="1">VLOOKUP(B372,bond!B:C,2,FALSE)</f>
        <v>#N/A</v>
      </c>
      <c r="E372" s="95" t="e">
        <f ca="1">VLOOKUP(B372,bond!B:D,3,FALSE)</f>
        <v>#N/A</v>
      </c>
      <c r="F372" s="99" t="e">
        <f ca="1">VLOOKUP(B372,bond!B:AB,27,FALSE)</f>
        <v>#N/A</v>
      </c>
      <c r="G372" s="90" t="e">
        <f ca="1">VLOOKUP(B372,bond!B:E,4,FALSE)</f>
        <v>#N/A</v>
      </c>
      <c r="H372" s="202" t="e">
        <f ca="1">VLOOKUP(B372,bond!B:Y,24,FALSE)</f>
        <v>#N/A</v>
      </c>
      <c r="I372" s="95" t="e">
        <f ca="1">VLOOKUP(B372,bond!B:Z,25,FALSE)</f>
        <v>#N/A</v>
      </c>
      <c r="J372" s="180" t="e">
        <f ca="1">VLOOKUP(B372,bond!B:K,10,FALSE)</f>
        <v>#N/A</v>
      </c>
      <c r="K372" s="96" t="e">
        <f ca="1">VLOOKUP($B372,bond!B:S,14,FALSE)</f>
        <v>#N/A</v>
      </c>
      <c r="L372" s="91" t="e">
        <f ca="1">VLOOKUP(B372,bond!B:H,7,FALSE)</f>
        <v>#N/A</v>
      </c>
      <c r="M372" s="144" t="e">
        <f ca="1">VLOOKUP($B372,bond!$B:$Q,16,FALSE)</f>
        <v>#N/A</v>
      </c>
      <c r="N372" s="136" t="e">
        <f ca="1">VALUE(LEFT(VLOOKUP(B372,bond!B:R,17,FALSE),SEARCH(" ",VLOOKUP(B372,bond!B:R,17,FALSE),1)))</f>
        <v>#N/A</v>
      </c>
      <c r="O372" s="136" t="e">
        <f ca="1">VALUE(RIGHT(VLOOKUP(B372,bond!B:R,17,FALSE),LEN(VLOOKUP(B372,bond!B:R,17,FALSE))-LEN(N372)-3))</f>
        <v>#N/A</v>
      </c>
      <c r="P372" s="135" t="e">
        <f ca="1">VLOOKUP($B372,bond!$B:$AG,32,FALSE)</f>
        <v>#N/A</v>
      </c>
      <c r="Q372" s="135" t="e">
        <f ca="1">VLOOKUP($B372,bond!$B:$AH,33,FALSE)</f>
        <v>#N/A</v>
      </c>
      <c r="R372" s="135" t="e">
        <f ca="1">VLOOKUP(B372,bond!B:AA,26,FALSE)</f>
        <v>#N/A</v>
      </c>
      <c r="S372" s="135" t="e">
        <f ca="1">VLOOKUP(B372,bond!B:AI,34,FALSE)</f>
        <v>#N/A</v>
      </c>
      <c r="T372" s="135" t="e">
        <f t="shared" ca="1" si="35"/>
        <v>#N/A</v>
      </c>
      <c r="U372" s="207" t="e">
        <f ca="1">IFERROR(VLOOKUP(T372,Bond_DES!D:E,2,FALSE),VLOOKUP(S372,bond!AI:AJ,2,FALSE))</f>
        <v>#N/A</v>
      </c>
      <c r="V372" s="136" t="e">
        <f ca="1">IFERROR(VLOOKUP(B372,'1_重設數據'!L:M,2,FALSE),IF(Q372="政府",IF(AD372&gt;16,"(NPI)非專投",IF(AD372&gt;10,"(PI)專投","高資產")),IF(VLOOKUP(B372,bond!B:AN,39,FALSE)="Y","(PI)專投",IF(AD372&gt;=15,"(NPI)非專投",IF(AD372&gt;=10,"(PI)專投","高資產")))))</f>
        <v>#N/A</v>
      </c>
      <c r="W372" s="136" t="e">
        <f ca="1">VLOOKUP(AD372,'credit rating'!$F$2:$H$22,3,FALSE)</f>
        <v>#N/A</v>
      </c>
      <c r="X372" s="136" t="e">
        <f t="shared" ca="1" si="36"/>
        <v>#N/A</v>
      </c>
      <c r="Y372" s="136" t="e">
        <f t="shared" ca="1" si="37"/>
        <v>#N/A</v>
      </c>
      <c r="Z372" s="136" t="e">
        <f t="shared" ca="1" si="38"/>
        <v>#N/A</v>
      </c>
      <c r="AA372" s="134">
        <f ca="1">IFERROR(VLOOKUP(X372,'credit rating'!A:C,3,FALSE),0)</f>
        <v>0</v>
      </c>
      <c r="AB372" s="134">
        <f ca="1">IFERROR(VLOOKUP(Y372,'credit rating'!B:C,2,FALSE),0)</f>
        <v>0</v>
      </c>
      <c r="AC372" s="136">
        <f ca="1">IFERROR(VLOOKUP(Z372,'credit rating'!B:C,2,FALSE),0)</f>
        <v>0</v>
      </c>
      <c r="AD372" s="136">
        <f t="shared" ca="1" si="39"/>
        <v>0</v>
      </c>
      <c r="AE372" s="249" t="str">
        <f ca="1">IFERROR(VLOOKUP(B372,bond!B:U,20,FALSE),"")</f>
        <v/>
      </c>
      <c r="AF372" s="136" t="e">
        <f ca="1">IF(VLOOKUP(B372,bond!B:AK,36,FALSE)="#N/A Field Not Applicable","",VLOOKUP(B372,bond!B:AK,36,FALSE))</f>
        <v>#N/A</v>
      </c>
      <c r="AG372" s="136" t="e">
        <f ca="1">IF(VLOOKUP(B372,bond!B:AL,37,FALSE)="FIXED","固定",IF(VLOOKUP(B372,bond!B:AL,37,FALSE)="FLOATING","浮動",IF(VLOOKUP(B372,bond!B:AL,37,FALSE)="VARIABLE","變動",IF(VLOOKUP(B372,bond!B:AL,37,FALSE)="FLAT TRADING","不含息交易",IF(VLOOKUP(B372,bond!B:AL,37,FALSE)="ZERO COUPON","零息",VLOOKUP(B372,bond!B:AL,37,FALSE))))))</f>
        <v>#N/A</v>
      </c>
      <c r="AH372" s="136" t="e">
        <f>VLOOKUP(C372,'2_Check_code'!I:J,2,FALSE)</f>
        <v>#N/A</v>
      </c>
      <c r="AI372" s="136" t="e">
        <f t="shared" ca="1" si="40"/>
        <v>#N/A</v>
      </c>
      <c r="AJ372" s="136" t="e">
        <f t="shared" ca="1" si="41"/>
        <v>#N/A</v>
      </c>
      <c r="AK372" s="594" t="e">
        <f ca="1">IF(VLOOKUP(B372,bond!B:S,18,FALSE)="是","有",IF(VLOOKUP(B372,bond!B:S,18,FALSE)="NO OFFER","無","需查詢"))</f>
        <v>#N/A</v>
      </c>
      <c r="AL372" s="136" t="e">
        <f>IF(VLOOKUP(A372,bond!F:AR,39,FALSE)="#N/A Field Not Applicable",VLOOKUP(A372,bond!F:AR,38,FALSE),IFERROR(VLOOKUP(A372,'7_發行日例外'!A:B,2,FALSE),VLOOKUP(A372,bond!F:AR,39,FALSE)))</f>
        <v>#N/A</v>
      </c>
      <c r="AM372" s="136" t="e">
        <f ca="1">VLOOKUP(B372,bond!B:AK,36,FALSE)</f>
        <v>#N/A</v>
      </c>
      <c r="AN372" s="136" t="str">
        <f ca="1">IFERROR(VLOOKUP(B372,'3_是否下架'!A:A,1,FALSE),"")</f>
        <v/>
      </c>
      <c r="AO372" s="136" t="e">
        <f ca="1">VLOOKUP(B372,bond!B:J,9,FALSE)</f>
        <v>#N/A</v>
      </c>
      <c r="AP372" s="136" t="e">
        <f ca="1">VLOOKUP(B372,bond!B:V,21,FALSE)</f>
        <v>#N/A</v>
      </c>
    </row>
    <row r="373" spans="1:42">
      <c r="A373" s="141">
        <f>bond!F374</f>
        <v>0</v>
      </c>
      <c r="B373" s="151">
        <f ca="1">IF($C$1=TRUE,bond!B374,"")</f>
        <v>0</v>
      </c>
      <c r="C373" s="95" t="e">
        <f>VLOOKUP(A373,bond!F:G,2,FALSE)</f>
        <v>#N/A</v>
      </c>
      <c r="D373" s="142" t="e">
        <f ca="1">VLOOKUP(B373,bond!B:C,2,FALSE)</f>
        <v>#N/A</v>
      </c>
      <c r="E373" s="95" t="e">
        <f ca="1">VLOOKUP(B373,bond!B:D,3,FALSE)</f>
        <v>#N/A</v>
      </c>
      <c r="F373" s="99" t="e">
        <f ca="1">VLOOKUP(B373,bond!B:AB,27,FALSE)</f>
        <v>#N/A</v>
      </c>
      <c r="G373" s="90" t="e">
        <f ca="1">VLOOKUP(B373,bond!B:E,4,FALSE)</f>
        <v>#N/A</v>
      </c>
      <c r="H373" s="202" t="e">
        <f ca="1">VLOOKUP(B373,bond!B:Y,24,FALSE)</f>
        <v>#N/A</v>
      </c>
      <c r="I373" s="95" t="e">
        <f ca="1">VLOOKUP(B373,bond!B:Z,25,FALSE)</f>
        <v>#N/A</v>
      </c>
      <c r="J373" s="180" t="e">
        <f ca="1">VLOOKUP(B373,bond!B:K,10,FALSE)</f>
        <v>#N/A</v>
      </c>
      <c r="K373" s="96" t="e">
        <f ca="1">VLOOKUP($B373,bond!B:S,14,FALSE)</f>
        <v>#N/A</v>
      </c>
      <c r="L373" s="91" t="e">
        <f ca="1">VLOOKUP(B373,bond!B:H,7,FALSE)</f>
        <v>#N/A</v>
      </c>
      <c r="M373" s="144" t="e">
        <f ca="1">VLOOKUP($B373,bond!$B:$Q,16,FALSE)</f>
        <v>#N/A</v>
      </c>
      <c r="N373" s="136" t="e">
        <f ca="1">VALUE(LEFT(VLOOKUP(B373,bond!B:R,17,FALSE),SEARCH(" ",VLOOKUP(B373,bond!B:R,17,FALSE),1)))</f>
        <v>#N/A</v>
      </c>
      <c r="O373" s="136" t="e">
        <f ca="1">VALUE(RIGHT(VLOOKUP(B373,bond!B:R,17,FALSE),LEN(VLOOKUP(B373,bond!B:R,17,FALSE))-LEN(N373)-3))</f>
        <v>#N/A</v>
      </c>
      <c r="P373" s="135" t="e">
        <f ca="1">VLOOKUP($B373,bond!$B:$AG,32,FALSE)</f>
        <v>#N/A</v>
      </c>
      <c r="Q373" s="135" t="e">
        <f ca="1">VLOOKUP($B373,bond!$B:$AH,33,FALSE)</f>
        <v>#N/A</v>
      </c>
      <c r="R373" s="135" t="e">
        <f ca="1">VLOOKUP(B373,bond!B:AA,26,FALSE)</f>
        <v>#N/A</v>
      </c>
      <c r="S373" s="135" t="e">
        <f ca="1">VLOOKUP(B373,bond!B:AI,34,FALSE)</f>
        <v>#N/A</v>
      </c>
      <c r="T373" s="135" t="e">
        <f t="shared" ca="1" si="35"/>
        <v>#N/A</v>
      </c>
      <c r="U373" s="207" t="e">
        <f ca="1">IFERROR(VLOOKUP(T373,Bond_DES!D:E,2,FALSE),VLOOKUP(S373,bond!AI:AJ,2,FALSE))</f>
        <v>#N/A</v>
      </c>
      <c r="V373" s="136" t="e">
        <f ca="1">IFERROR(VLOOKUP(B373,'1_重設數據'!L:M,2,FALSE),IF(Q373="政府",IF(AD373&gt;16,"(NPI)非專投",IF(AD373&gt;10,"(PI)專投","高資產")),IF(VLOOKUP(B373,bond!B:AN,39,FALSE)="Y","(PI)專投",IF(AD373&gt;=15,"(NPI)非專投",IF(AD373&gt;=10,"(PI)專投","高資產")))))</f>
        <v>#N/A</v>
      </c>
      <c r="W373" s="136" t="e">
        <f ca="1">VLOOKUP(AD373,'credit rating'!$F$2:$H$22,3,FALSE)</f>
        <v>#N/A</v>
      </c>
      <c r="X373" s="136" t="e">
        <f t="shared" ca="1" si="36"/>
        <v>#N/A</v>
      </c>
      <c r="Y373" s="136" t="e">
        <f t="shared" ca="1" si="37"/>
        <v>#N/A</v>
      </c>
      <c r="Z373" s="136" t="e">
        <f t="shared" ca="1" si="38"/>
        <v>#N/A</v>
      </c>
      <c r="AA373" s="134">
        <f ca="1">IFERROR(VLOOKUP(X373,'credit rating'!A:C,3,FALSE),0)</f>
        <v>0</v>
      </c>
      <c r="AB373" s="134">
        <f ca="1">IFERROR(VLOOKUP(Y373,'credit rating'!B:C,2,FALSE),0)</f>
        <v>0</v>
      </c>
      <c r="AC373" s="136">
        <f ca="1">IFERROR(VLOOKUP(Z373,'credit rating'!B:C,2,FALSE),0)</f>
        <v>0</v>
      </c>
      <c r="AD373" s="136">
        <f t="shared" ca="1" si="39"/>
        <v>0</v>
      </c>
      <c r="AE373" s="249" t="str">
        <f ca="1">IFERROR(VLOOKUP(B373,bond!B:U,20,FALSE),"")</f>
        <v/>
      </c>
      <c r="AF373" s="136" t="e">
        <f ca="1">IF(VLOOKUP(B373,bond!B:AK,36,FALSE)="#N/A Field Not Applicable","",VLOOKUP(B373,bond!B:AK,36,FALSE))</f>
        <v>#N/A</v>
      </c>
      <c r="AG373" s="136" t="e">
        <f ca="1">IF(VLOOKUP(B373,bond!B:AL,37,FALSE)="FIXED","固定",IF(VLOOKUP(B373,bond!B:AL,37,FALSE)="FLOATING","浮動",IF(VLOOKUP(B373,bond!B:AL,37,FALSE)="VARIABLE","變動",IF(VLOOKUP(B373,bond!B:AL,37,FALSE)="FLAT TRADING","不含息交易",IF(VLOOKUP(B373,bond!B:AL,37,FALSE)="ZERO COUPON","零息",VLOOKUP(B373,bond!B:AL,37,FALSE))))))</f>
        <v>#N/A</v>
      </c>
      <c r="AH373" s="136" t="e">
        <f>VLOOKUP(C373,'2_Check_code'!I:J,2,FALSE)</f>
        <v>#N/A</v>
      </c>
      <c r="AI373" s="136" t="e">
        <f t="shared" ca="1" si="40"/>
        <v>#N/A</v>
      </c>
      <c r="AJ373" s="136" t="e">
        <f t="shared" ca="1" si="41"/>
        <v>#N/A</v>
      </c>
      <c r="AK373" s="594" t="e">
        <f ca="1">IF(VLOOKUP(B373,bond!B:S,18,FALSE)="是","有",IF(VLOOKUP(B373,bond!B:S,18,FALSE)="NO OFFER","無","需查詢"))</f>
        <v>#N/A</v>
      </c>
      <c r="AL373" s="136" t="e">
        <f>IF(VLOOKUP(A373,bond!F:AR,39,FALSE)="#N/A Field Not Applicable",VLOOKUP(A373,bond!F:AR,38,FALSE),IFERROR(VLOOKUP(A373,'7_發行日例外'!A:B,2,FALSE),VLOOKUP(A373,bond!F:AR,39,FALSE)))</f>
        <v>#N/A</v>
      </c>
      <c r="AM373" s="136" t="e">
        <f ca="1">VLOOKUP(B373,bond!B:AK,36,FALSE)</f>
        <v>#N/A</v>
      </c>
      <c r="AN373" s="136" t="str">
        <f ca="1">IFERROR(VLOOKUP(B373,'3_是否下架'!A:A,1,FALSE),"")</f>
        <v/>
      </c>
      <c r="AO373" s="136" t="e">
        <f ca="1">VLOOKUP(B373,bond!B:J,9,FALSE)</f>
        <v>#N/A</v>
      </c>
      <c r="AP373" s="136" t="e">
        <f ca="1">VLOOKUP(B373,bond!B:V,21,FALSE)</f>
        <v>#N/A</v>
      </c>
    </row>
    <row r="374" spans="1:42">
      <c r="A374" s="141">
        <f>bond!F375</f>
        <v>0</v>
      </c>
      <c r="B374" s="151">
        <f ca="1">IF($C$1=TRUE,bond!B375,"")</f>
        <v>0</v>
      </c>
      <c r="C374" s="95" t="e">
        <f>VLOOKUP(A374,bond!F:G,2,FALSE)</f>
        <v>#N/A</v>
      </c>
      <c r="D374" s="142" t="e">
        <f ca="1">VLOOKUP(B374,bond!B:C,2,FALSE)</f>
        <v>#N/A</v>
      </c>
      <c r="E374" s="95" t="e">
        <f ca="1">VLOOKUP(B374,bond!B:D,3,FALSE)</f>
        <v>#N/A</v>
      </c>
      <c r="F374" s="99" t="e">
        <f ca="1">VLOOKUP(B374,bond!B:AB,27,FALSE)</f>
        <v>#N/A</v>
      </c>
      <c r="G374" s="90" t="e">
        <f ca="1">VLOOKUP(B374,bond!B:E,4,FALSE)</f>
        <v>#N/A</v>
      </c>
      <c r="H374" s="202" t="e">
        <f ca="1">VLOOKUP(B374,bond!B:Y,24,FALSE)</f>
        <v>#N/A</v>
      </c>
      <c r="I374" s="95" t="e">
        <f ca="1">VLOOKUP(B374,bond!B:Z,25,FALSE)</f>
        <v>#N/A</v>
      </c>
      <c r="J374" s="180" t="e">
        <f ca="1">VLOOKUP(B374,bond!B:K,10,FALSE)</f>
        <v>#N/A</v>
      </c>
      <c r="K374" s="96" t="e">
        <f ca="1">VLOOKUP($B374,bond!B:S,14,FALSE)</f>
        <v>#N/A</v>
      </c>
      <c r="L374" s="91" t="e">
        <f ca="1">VLOOKUP(B374,bond!B:H,7,FALSE)</f>
        <v>#N/A</v>
      </c>
      <c r="M374" s="144" t="e">
        <f ca="1">VLOOKUP($B374,bond!$B:$Q,16,FALSE)</f>
        <v>#N/A</v>
      </c>
      <c r="N374" s="136" t="e">
        <f ca="1">VALUE(LEFT(VLOOKUP(B374,bond!B:R,17,FALSE),SEARCH(" ",VLOOKUP(B374,bond!B:R,17,FALSE),1)))</f>
        <v>#N/A</v>
      </c>
      <c r="O374" s="136" t="e">
        <f ca="1">VALUE(RIGHT(VLOOKUP(B374,bond!B:R,17,FALSE),LEN(VLOOKUP(B374,bond!B:R,17,FALSE))-LEN(N374)-3))</f>
        <v>#N/A</v>
      </c>
      <c r="P374" s="135" t="e">
        <f ca="1">VLOOKUP($B374,bond!$B:$AG,32,FALSE)</f>
        <v>#N/A</v>
      </c>
      <c r="Q374" s="135" t="e">
        <f ca="1">VLOOKUP($B374,bond!$B:$AH,33,FALSE)</f>
        <v>#N/A</v>
      </c>
      <c r="R374" s="135" t="e">
        <f ca="1">VLOOKUP(B374,bond!B:AA,26,FALSE)</f>
        <v>#N/A</v>
      </c>
      <c r="S374" s="135" t="e">
        <f ca="1">VLOOKUP(B374,bond!B:AI,34,FALSE)</f>
        <v>#N/A</v>
      </c>
      <c r="T374" s="135" t="e">
        <f t="shared" ca="1" si="35"/>
        <v>#N/A</v>
      </c>
      <c r="U374" s="207" t="e">
        <f ca="1">IFERROR(VLOOKUP(T374,Bond_DES!D:E,2,FALSE),VLOOKUP(S374,bond!AI:AJ,2,FALSE))</f>
        <v>#N/A</v>
      </c>
      <c r="V374" s="136" t="e">
        <f ca="1">IFERROR(VLOOKUP(B374,'1_重設數據'!L:M,2,FALSE),IF(Q374="政府",IF(AD374&gt;16,"(NPI)非專投",IF(AD374&gt;10,"(PI)專投","高資產")),IF(VLOOKUP(B374,bond!B:AN,39,FALSE)="Y","(PI)專投",IF(AD374&gt;=15,"(NPI)非專投",IF(AD374&gt;=10,"(PI)專投","高資產")))))</f>
        <v>#N/A</v>
      </c>
      <c r="W374" s="136" t="e">
        <f ca="1">VLOOKUP(AD374,'credit rating'!$F$2:$H$22,3,FALSE)</f>
        <v>#N/A</v>
      </c>
      <c r="X374" s="136" t="e">
        <f t="shared" ca="1" si="36"/>
        <v>#N/A</v>
      </c>
      <c r="Y374" s="136" t="e">
        <f t="shared" ca="1" si="37"/>
        <v>#N/A</v>
      </c>
      <c r="Z374" s="136" t="e">
        <f t="shared" ca="1" si="38"/>
        <v>#N/A</v>
      </c>
      <c r="AA374" s="134">
        <f ca="1">IFERROR(VLOOKUP(X374,'credit rating'!A:C,3,FALSE),0)</f>
        <v>0</v>
      </c>
      <c r="AB374" s="134">
        <f ca="1">IFERROR(VLOOKUP(Y374,'credit rating'!B:C,2,FALSE),0)</f>
        <v>0</v>
      </c>
      <c r="AC374" s="136">
        <f ca="1">IFERROR(VLOOKUP(Z374,'credit rating'!B:C,2,FALSE),0)</f>
        <v>0</v>
      </c>
      <c r="AD374" s="136">
        <f t="shared" ca="1" si="39"/>
        <v>0</v>
      </c>
      <c r="AE374" s="249" t="str">
        <f ca="1">IFERROR(VLOOKUP(B374,bond!B:U,20,FALSE),"")</f>
        <v/>
      </c>
      <c r="AF374" s="136" t="e">
        <f ca="1">IF(VLOOKUP(B374,bond!B:AK,36,FALSE)="#N/A Field Not Applicable","",VLOOKUP(B374,bond!B:AK,36,FALSE))</f>
        <v>#N/A</v>
      </c>
      <c r="AG374" s="136" t="e">
        <f ca="1">IF(VLOOKUP(B374,bond!B:AL,37,FALSE)="FIXED","固定",IF(VLOOKUP(B374,bond!B:AL,37,FALSE)="FLOATING","浮動",IF(VLOOKUP(B374,bond!B:AL,37,FALSE)="VARIABLE","變動",IF(VLOOKUP(B374,bond!B:AL,37,FALSE)="FLAT TRADING","不含息交易",IF(VLOOKUP(B374,bond!B:AL,37,FALSE)="ZERO COUPON","零息",VLOOKUP(B374,bond!B:AL,37,FALSE))))))</f>
        <v>#N/A</v>
      </c>
      <c r="AH374" s="136" t="e">
        <f>VLOOKUP(C374,'2_Check_code'!I:J,2,FALSE)</f>
        <v>#N/A</v>
      </c>
      <c r="AI374" s="136" t="e">
        <f t="shared" ca="1" si="40"/>
        <v>#N/A</v>
      </c>
      <c r="AJ374" s="136" t="e">
        <f t="shared" ca="1" si="41"/>
        <v>#N/A</v>
      </c>
      <c r="AK374" s="594" t="e">
        <f ca="1">IF(VLOOKUP(B374,bond!B:S,18,FALSE)="是","有",IF(VLOOKUP(B374,bond!B:S,18,FALSE)="NO OFFER","無","需查詢"))</f>
        <v>#N/A</v>
      </c>
      <c r="AL374" s="136" t="e">
        <f>IF(VLOOKUP(A374,bond!F:AR,39,FALSE)="#N/A Field Not Applicable",VLOOKUP(A374,bond!F:AR,38,FALSE),IFERROR(VLOOKUP(A374,'7_發行日例外'!A:B,2,FALSE),VLOOKUP(A374,bond!F:AR,39,FALSE)))</f>
        <v>#N/A</v>
      </c>
      <c r="AM374" s="136" t="e">
        <f ca="1">VLOOKUP(B374,bond!B:AK,36,FALSE)</f>
        <v>#N/A</v>
      </c>
      <c r="AN374" s="136" t="str">
        <f ca="1">IFERROR(VLOOKUP(B374,'3_是否下架'!A:A,1,FALSE),"")</f>
        <v/>
      </c>
      <c r="AO374" s="136" t="e">
        <f ca="1">VLOOKUP(B374,bond!B:J,9,FALSE)</f>
        <v>#N/A</v>
      </c>
      <c r="AP374" s="136" t="e">
        <f ca="1">VLOOKUP(B374,bond!B:V,21,FALSE)</f>
        <v>#N/A</v>
      </c>
    </row>
    <row r="375" spans="1:42">
      <c r="A375" s="141">
        <f>bond!F376</f>
        <v>0</v>
      </c>
      <c r="B375" s="151">
        <f ca="1">IF($C$1=TRUE,bond!B376,"")</f>
        <v>0</v>
      </c>
      <c r="C375" s="95" t="e">
        <f>VLOOKUP(A375,bond!F:G,2,FALSE)</f>
        <v>#N/A</v>
      </c>
      <c r="D375" s="142" t="e">
        <f ca="1">VLOOKUP(B375,bond!B:C,2,FALSE)</f>
        <v>#N/A</v>
      </c>
      <c r="E375" s="95" t="e">
        <f ca="1">VLOOKUP(B375,bond!B:D,3,FALSE)</f>
        <v>#N/A</v>
      </c>
      <c r="F375" s="99" t="e">
        <f ca="1">VLOOKUP(B375,bond!B:AB,27,FALSE)</f>
        <v>#N/A</v>
      </c>
      <c r="G375" s="90" t="e">
        <f ca="1">VLOOKUP(B375,bond!B:E,4,FALSE)</f>
        <v>#N/A</v>
      </c>
      <c r="H375" s="202" t="e">
        <f ca="1">VLOOKUP(B375,bond!B:Y,24,FALSE)</f>
        <v>#N/A</v>
      </c>
      <c r="I375" s="95" t="e">
        <f ca="1">VLOOKUP(B375,bond!B:Z,25,FALSE)</f>
        <v>#N/A</v>
      </c>
      <c r="J375" s="180" t="e">
        <f ca="1">VLOOKUP(B375,bond!B:K,10,FALSE)</f>
        <v>#N/A</v>
      </c>
      <c r="K375" s="96" t="e">
        <f ca="1">VLOOKUP($B375,bond!B:S,14,FALSE)</f>
        <v>#N/A</v>
      </c>
      <c r="L375" s="91" t="e">
        <f ca="1">VLOOKUP(B375,bond!B:H,7,FALSE)</f>
        <v>#N/A</v>
      </c>
      <c r="M375" s="144" t="e">
        <f ca="1">VLOOKUP($B375,bond!$B:$Q,16,FALSE)</f>
        <v>#N/A</v>
      </c>
      <c r="N375" s="136" t="e">
        <f ca="1">VALUE(LEFT(VLOOKUP(B375,bond!B:R,17,FALSE),SEARCH(" ",VLOOKUP(B375,bond!B:R,17,FALSE),1)))</f>
        <v>#N/A</v>
      </c>
      <c r="O375" s="136" t="e">
        <f ca="1">VALUE(RIGHT(VLOOKUP(B375,bond!B:R,17,FALSE),LEN(VLOOKUP(B375,bond!B:R,17,FALSE))-LEN(N375)-3))</f>
        <v>#N/A</v>
      </c>
      <c r="P375" s="135" t="e">
        <f ca="1">VLOOKUP($B375,bond!$B:$AG,32,FALSE)</f>
        <v>#N/A</v>
      </c>
      <c r="Q375" s="135" t="e">
        <f ca="1">VLOOKUP($B375,bond!$B:$AH,33,FALSE)</f>
        <v>#N/A</v>
      </c>
      <c r="R375" s="135" t="e">
        <f ca="1">VLOOKUP(B375,bond!B:AA,26,FALSE)</f>
        <v>#N/A</v>
      </c>
      <c r="S375" s="135" t="e">
        <f ca="1">VLOOKUP(B375,bond!B:AI,34,FALSE)</f>
        <v>#N/A</v>
      </c>
      <c r="T375" s="135" t="e">
        <f t="shared" ca="1" si="35"/>
        <v>#N/A</v>
      </c>
      <c r="U375" s="207" t="e">
        <f ca="1">IFERROR(VLOOKUP(T375,Bond_DES!D:E,2,FALSE),VLOOKUP(S375,bond!AI:AJ,2,FALSE))</f>
        <v>#N/A</v>
      </c>
      <c r="V375" s="136" t="e">
        <f ca="1">IFERROR(VLOOKUP(B375,'1_重設數據'!L:M,2,FALSE),IF(Q375="政府",IF(AD375&gt;16,"(NPI)非專投",IF(AD375&gt;10,"(PI)專投","高資產")),IF(VLOOKUP(B375,bond!B:AN,39,FALSE)="Y","(PI)專投",IF(AD375&gt;=15,"(NPI)非專投",IF(AD375&gt;=10,"(PI)專投","高資產")))))</f>
        <v>#N/A</v>
      </c>
      <c r="W375" s="136" t="e">
        <f ca="1">VLOOKUP(AD375,'credit rating'!$F$2:$H$22,3,FALSE)</f>
        <v>#N/A</v>
      </c>
      <c r="X375" s="136" t="e">
        <f t="shared" ca="1" si="36"/>
        <v>#N/A</v>
      </c>
      <c r="Y375" s="136" t="e">
        <f t="shared" ca="1" si="37"/>
        <v>#N/A</v>
      </c>
      <c r="Z375" s="136" t="e">
        <f t="shared" ca="1" si="38"/>
        <v>#N/A</v>
      </c>
      <c r="AA375" s="134">
        <f ca="1">IFERROR(VLOOKUP(X375,'credit rating'!A:C,3,FALSE),0)</f>
        <v>0</v>
      </c>
      <c r="AB375" s="134">
        <f ca="1">IFERROR(VLOOKUP(Y375,'credit rating'!B:C,2,FALSE),0)</f>
        <v>0</v>
      </c>
      <c r="AC375" s="136">
        <f ca="1">IFERROR(VLOOKUP(Z375,'credit rating'!B:C,2,FALSE),0)</f>
        <v>0</v>
      </c>
      <c r="AD375" s="136">
        <f t="shared" ca="1" si="39"/>
        <v>0</v>
      </c>
      <c r="AE375" s="249" t="str">
        <f ca="1">IFERROR(VLOOKUP(B375,bond!B:U,20,FALSE),"")</f>
        <v/>
      </c>
      <c r="AF375" s="136" t="e">
        <f ca="1">IF(VLOOKUP(B375,bond!B:AK,36,FALSE)="#N/A Field Not Applicable","",VLOOKUP(B375,bond!B:AK,36,FALSE))</f>
        <v>#N/A</v>
      </c>
      <c r="AG375" s="136" t="e">
        <f ca="1">IF(VLOOKUP(B375,bond!B:AL,37,FALSE)="FIXED","固定",IF(VLOOKUP(B375,bond!B:AL,37,FALSE)="FLOATING","浮動",IF(VLOOKUP(B375,bond!B:AL,37,FALSE)="VARIABLE","變動",IF(VLOOKUP(B375,bond!B:AL,37,FALSE)="FLAT TRADING","不含息交易",IF(VLOOKUP(B375,bond!B:AL,37,FALSE)="ZERO COUPON","零息",VLOOKUP(B375,bond!B:AL,37,FALSE))))))</f>
        <v>#N/A</v>
      </c>
      <c r="AH375" s="136" t="e">
        <f>VLOOKUP(C375,'2_Check_code'!I:J,2,FALSE)</f>
        <v>#N/A</v>
      </c>
      <c r="AI375" s="136" t="e">
        <f t="shared" ca="1" si="40"/>
        <v>#N/A</v>
      </c>
      <c r="AJ375" s="136" t="e">
        <f t="shared" ca="1" si="41"/>
        <v>#N/A</v>
      </c>
      <c r="AK375" s="594" t="e">
        <f ca="1">IF(VLOOKUP(B375,bond!B:S,18,FALSE)="是","有",IF(VLOOKUP(B375,bond!B:S,18,FALSE)="NO OFFER","無","需查詢"))</f>
        <v>#N/A</v>
      </c>
      <c r="AL375" s="136" t="e">
        <f>IF(VLOOKUP(A375,bond!F:AR,39,FALSE)="#N/A Field Not Applicable",VLOOKUP(A375,bond!F:AR,38,FALSE),IFERROR(VLOOKUP(A375,'7_發行日例外'!A:B,2,FALSE),VLOOKUP(A375,bond!F:AR,39,FALSE)))</f>
        <v>#N/A</v>
      </c>
      <c r="AM375" s="136" t="e">
        <f ca="1">VLOOKUP(B375,bond!B:AK,36,FALSE)</f>
        <v>#N/A</v>
      </c>
      <c r="AN375" s="136" t="str">
        <f ca="1">IFERROR(VLOOKUP(B375,'3_是否下架'!A:A,1,FALSE),"")</f>
        <v/>
      </c>
      <c r="AO375" s="136" t="e">
        <f ca="1">VLOOKUP(B375,bond!B:J,9,FALSE)</f>
        <v>#N/A</v>
      </c>
      <c r="AP375" s="136" t="e">
        <f ca="1">VLOOKUP(B375,bond!B:V,21,FALSE)</f>
        <v>#N/A</v>
      </c>
    </row>
    <row r="376" spans="1:42">
      <c r="A376" s="141">
        <f>bond!F377</f>
        <v>0</v>
      </c>
      <c r="B376" s="151">
        <f ca="1">IF($C$1=TRUE,bond!B377,"")</f>
        <v>0</v>
      </c>
      <c r="C376" s="95" t="e">
        <f>VLOOKUP(A376,bond!F:G,2,FALSE)</f>
        <v>#N/A</v>
      </c>
      <c r="D376" s="142" t="e">
        <f ca="1">VLOOKUP(B376,bond!B:C,2,FALSE)</f>
        <v>#N/A</v>
      </c>
      <c r="E376" s="95" t="e">
        <f ca="1">VLOOKUP(B376,bond!B:D,3,FALSE)</f>
        <v>#N/A</v>
      </c>
      <c r="F376" s="99" t="e">
        <f ca="1">VLOOKUP(B376,bond!B:AB,27,FALSE)</f>
        <v>#N/A</v>
      </c>
      <c r="G376" s="90" t="e">
        <f ca="1">VLOOKUP(B376,bond!B:E,4,FALSE)</f>
        <v>#N/A</v>
      </c>
      <c r="H376" s="202" t="e">
        <f ca="1">VLOOKUP(B376,bond!B:Y,24,FALSE)</f>
        <v>#N/A</v>
      </c>
      <c r="I376" s="95" t="e">
        <f ca="1">VLOOKUP(B376,bond!B:Z,25,FALSE)</f>
        <v>#N/A</v>
      </c>
      <c r="J376" s="180" t="e">
        <f ca="1">VLOOKUP(B376,bond!B:K,10,FALSE)</f>
        <v>#N/A</v>
      </c>
      <c r="K376" s="96" t="e">
        <f ca="1">VLOOKUP($B376,bond!B:S,14,FALSE)</f>
        <v>#N/A</v>
      </c>
      <c r="L376" s="91" t="e">
        <f ca="1">VLOOKUP(B376,bond!B:H,7,FALSE)</f>
        <v>#N/A</v>
      </c>
      <c r="M376" s="144" t="e">
        <f ca="1">VLOOKUP($B376,bond!$B:$Q,16,FALSE)</f>
        <v>#N/A</v>
      </c>
      <c r="N376" s="136" t="e">
        <f ca="1">VALUE(LEFT(VLOOKUP(B376,bond!B:R,17,FALSE),SEARCH(" ",VLOOKUP(B376,bond!B:R,17,FALSE),1)))</f>
        <v>#N/A</v>
      </c>
      <c r="O376" s="136" t="e">
        <f ca="1">VALUE(RIGHT(VLOOKUP(B376,bond!B:R,17,FALSE),LEN(VLOOKUP(B376,bond!B:R,17,FALSE))-LEN(N376)-3))</f>
        <v>#N/A</v>
      </c>
      <c r="P376" s="135" t="e">
        <f ca="1">VLOOKUP($B376,bond!$B:$AG,32,FALSE)</f>
        <v>#N/A</v>
      </c>
      <c r="Q376" s="135" t="e">
        <f ca="1">VLOOKUP($B376,bond!$B:$AH,33,FALSE)</f>
        <v>#N/A</v>
      </c>
      <c r="R376" s="135" t="e">
        <f ca="1">VLOOKUP(B376,bond!B:AA,26,FALSE)</f>
        <v>#N/A</v>
      </c>
      <c r="S376" s="135" t="e">
        <f ca="1">VLOOKUP(B376,bond!B:AI,34,FALSE)</f>
        <v>#N/A</v>
      </c>
      <c r="T376" s="135" t="e">
        <f t="shared" ca="1" si="35"/>
        <v>#N/A</v>
      </c>
      <c r="U376" s="207" t="e">
        <f ca="1">IFERROR(VLOOKUP(T376,Bond_DES!D:E,2,FALSE),VLOOKUP(S376,bond!AI:AJ,2,FALSE))</f>
        <v>#N/A</v>
      </c>
      <c r="V376" s="136" t="e">
        <f ca="1">IFERROR(VLOOKUP(B376,'1_重設數據'!L:M,2,FALSE),IF(Q376="政府",IF(AD376&gt;16,"(NPI)非專投",IF(AD376&gt;10,"(PI)專投","高資產")),IF(VLOOKUP(B376,bond!B:AN,39,FALSE)="Y","(PI)專投",IF(AD376&gt;=15,"(NPI)非專投",IF(AD376&gt;=10,"(PI)專投","高資產")))))</f>
        <v>#N/A</v>
      </c>
      <c r="W376" s="136" t="e">
        <f ca="1">VLOOKUP(AD376,'credit rating'!$F$2:$H$22,3,FALSE)</f>
        <v>#N/A</v>
      </c>
      <c r="X376" s="136" t="e">
        <f t="shared" ca="1" si="36"/>
        <v>#N/A</v>
      </c>
      <c r="Y376" s="136" t="e">
        <f t="shared" ca="1" si="37"/>
        <v>#N/A</v>
      </c>
      <c r="Z376" s="136" t="e">
        <f t="shared" ca="1" si="38"/>
        <v>#N/A</v>
      </c>
      <c r="AA376" s="134">
        <f ca="1">IFERROR(VLOOKUP(X376,'credit rating'!A:C,3,FALSE),0)</f>
        <v>0</v>
      </c>
      <c r="AB376" s="134">
        <f ca="1">IFERROR(VLOOKUP(Y376,'credit rating'!B:C,2,FALSE),0)</f>
        <v>0</v>
      </c>
      <c r="AC376" s="136">
        <f ca="1">IFERROR(VLOOKUP(Z376,'credit rating'!B:C,2,FALSE),0)</f>
        <v>0</v>
      </c>
      <c r="AD376" s="136">
        <f t="shared" ca="1" si="39"/>
        <v>0</v>
      </c>
      <c r="AE376" s="249" t="str">
        <f ca="1">IFERROR(VLOOKUP(B376,bond!B:U,20,FALSE),"")</f>
        <v/>
      </c>
      <c r="AF376" s="136" t="e">
        <f ca="1">IF(VLOOKUP(B376,bond!B:AK,36,FALSE)="#N/A Field Not Applicable","",VLOOKUP(B376,bond!B:AK,36,FALSE))</f>
        <v>#N/A</v>
      </c>
      <c r="AG376" s="136" t="e">
        <f ca="1">IF(VLOOKUP(B376,bond!B:AL,37,FALSE)="FIXED","固定",IF(VLOOKUP(B376,bond!B:AL,37,FALSE)="FLOATING","浮動",IF(VLOOKUP(B376,bond!B:AL,37,FALSE)="VARIABLE","變動",IF(VLOOKUP(B376,bond!B:AL,37,FALSE)="FLAT TRADING","不含息交易",IF(VLOOKUP(B376,bond!B:AL,37,FALSE)="ZERO COUPON","零息",VLOOKUP(B376,bond!B:AL,37,FALSE))))))</f>
        <v>#N/A</v>
      </c>
      <c r="AH376" s="136" t="e">
        <f>VLOOKUP(C376,'2_Check_code'!I:J,2,FALSE)</f>
        <v>#N/A</v>
      </c>
      <c r="AI376" s="136" t="e">
        <f t="shared" ca="1" si="40"/>
        <v>#N/A</v>
      </c>
      <c r="AJ376" s="136" t="e">
        <f t="shared" ca="1" si="41"/>
        <v>#N/A</v>
      </c>
      <c r="AK376" s="594" t="e">
        <f ca="1">IF(VLOOKUP(B376,bond!B:S,18,FALSE)="是","有",IF(VLOOKUP(B376,bond!B:S,18,FALSE)="NO OFFER","無","需查詢"))</f>
        <v>#N/A</v>
      </c>
      <c r="AL376" s="136" t="e">
        <f>IF(VLOOKUP(A376,bond!F:AR,39,FALSE)="#N/A Field Not Applicable",VLOOKUP(A376,bond!F:AR,38,FALSE),IFERROR(VLOOKUP(A376,'7_發行日例外'!A:B,2,FALSE),VLOOKUP(A376,bond!F:AR,39,FALSE)))</f>
        <v>#N/A</v>
      </c>
      <c r="AM376" s="136" t="e">
        <f ca="1">VLOOKUP(B376,bond!B:AK,36,FALSE)</f>
        <v>#N/A</v>
      </c>
      <c r="AN376" s="136" t="str">
        <f ca="1">IFERROR(VLOOKUP(B376,'3_是否下架'!A:A,1,FALSE),"")</f>
        <v/>
      </c>
      <c r="AO376" s="136" t="e">
        <f ca="1">VLOOKUP(B376,bond!B:J,9,FALSE)</f>
        <v>#N/A</v>
      </c>
      <c r="AP376" s="136" t="e">
        <f ca="1">VLOOKUP(B376,bond!B:V,21,FALSE)</f>
        <v>#N/A</v>
      </c>
    </row>
    <row r="377" spans="1:42">
      <c r="A377" s="141">
        <f>bond!F378</f>
        <v>0</v>
      </c>
      <c r="B377" s="151">
        <f ca="1">IF($C$1=TRUE,bond!B378,"")</f>
        <v>0</v>
      </c>
      <c r="C377" s="95" t="e">
        <f>VLOOKUP(A377,bond!F:G,2,FALSE)</f>
        <v>#N/A</v>
      </c>
      <c r="D377" s="142" t="e">
        <f ca="1">VLOOKUP(B377,bond!B:C,2,FALSE)</f>
        <v>#N/A</v>
      </c>
      <c r="E377" s="95" t="e">
        <f ca="1">VLOOKUP(B377,bond!B:D,3,FALSE)</f>
        <v>#N/A</v>
      </c>
      <c r="F377" s="99" t="e">
        <f ca="1">VLOOKUP(B377,bond!B:AB,27,FALSE)</f>
        <v>#N/A</v>
      </c>
      <c r="G377" s="90" t="e">
        <f ca="1">VLOOKUP(B377,bond!B:E,4,FALSE)</f>
        <v>#N/A</v>
      </c>
      <c r="H377" s="202" t="e">
        <f ca="1">VLOOKUP(B377,bond!B:Y,24,FALSE)</f>
        <v>#N/A</v>
      </c>
      <c r="I377" s="95" t="e">
        <f ca="1">VLOOKUP(B377,bond!B:Z,25,FALSE)</f>
        <v>#N/A</v>
      </c>
      <c r="J377" s="180" t="e">
        <f ca="1">VLOOKUP(B377,bond!B:K,10,FALSE)</f>
        <v>#N/A</v>
      </c>
      <c r="K377" s="96" t="e">
        <f ca="1">VLOOKUP($B377,bond!B:S,14,FALSE)</f>
        <v>#N/A</v>
      </c>
      <c r="L377" s="91" t="e">
        <f ca="1">VLOOKUP(B377,bond!B:H,7,FALSE)</f>
        <v>#N/A</v>
      </c>
      <c r="M377" s="144" t="e">
        <f ca="1">VLOOKUP($B377,bond!$B:$Q,16,FALSE)</f>
        <v>#N/A</v>
      </c>
      <c r="N377" s="136" t="e">
        <f ca="1">VALUE(LEFT(VLOOKUP(B377,bond!B:R,17,FALSE),SEARCH(" ",VLOOKUP(B377,bond!B:R,17,FALSE),1)))</f>
        <v>#N/A</v>
      </c>
      <c r="O377" s="136" t="e">
        <f ca="1">VALUE(RIGHT(VLOOKUP(B377,bond!B:R,17,FALSE),LEN(VLOOKUP(B377,bond!B:R,17,FALSE))-LEN(N377)-3))</f>
        <v>#N/A</v>
      </c>
      <c r="P377" s="135" t="e">
        <f ca="1">VLOOKUP($B377,bond!$B:$AG,32,FALSE)</f>
        <v>#N/A</v>
      </c>
      <c r="Q377" s="135" t="e">
        <f ca="1">VLOOKUP($B377,bond!$B:$AH,33,FALSE)</f>
        <v>#N/A</v>
      </c>
      <c r="R377" s="135" t="e">
        <f ca="1">VLOOKUP(B377,bond!B:AA,26,FALSE)</f>
        <v>#N/A</v>
      </c>
      <c r="S377" s="135" t="e">
        <f ca="1">VLOOKUP(B377,bond!B:AI,34,FALSE)</f>
        <v>#N/A</v>
      </c>
      <c r="T377" s="135" t="e">
        <f t="shared" ca="1" si="35"/>
        <v>#N/A</v>
      </c>
      <c r="U377" s="207" t="e">
        <f ca="1">IFERROR(VLOOKUP(T377,Bond_DES!D:E,2,FALSE),VLOOKUP(S377,bond!AI:AJ,2,FALSE))</f>
        <v>#N/A</v>
      </c>
      <c r="V377" s="136" t="e">
        <f ca="1">IFERROR(VLOOKUP(B377,'1_重設數據'!L:M,2,FALSE),IF(Q377="政府",IF(AD377&gt;16,"(NPI)非專投",IF(AD377&gt;10,"(PI)專投","高資產")),IF(VLOOKUP(B377,bond!B:AN,39,FALSE)="Y","(PI)專投",IF(AD377&gt;=15,"(NPI)非專投",IF(AD377&gt;=10,"(PI)專投","高資產")))))</f>
        <v>#N/A</v>
      </c>
      <c r="W377" s="136" t="e">
        <f ca="1">VLOOKUP(AD377,'credit rating'!$F$2:$H$22,3,FALSE)</f>
        <v>#N/A</v>
      </c>
      <c r="X377" s="136" t="e">
        <f t="shared" ca="1" si="36"/>
        <v>#N/A</v>
      </c>
      <c r="Y377" s="136" t="e">
        <f t="shared" ca="1" si="37"/>
        <v>#N/A</v>
      </c>
      <c r="Z377" s="136" t="e">
        <f t="shared" ca="1" si="38"/>
        <v>#N/A</v>
      </c>
      <c r="AA377" s="134">
        <f ca="1">IFERROR(VLOOKUP(X377,'credit rating'!A:C,3,FALSE),0)</f>
        <v>0</v>
      </c>
      <c r="AB377" s="134">
        <f ca="1">IFERROR(VLOOKUP(Y377,'credit rating'!B:C,2,FALSE),0)</f>
        <v>0</v>
      </c>
      <c r="AC377" s="136">
        <f ca="1">IFERROR(VLOOKUP(Z377,'credit rating'!B:C,2,FALSE),0)</f>
        <v>0</v>
      </c>
      <c r="AD377" s="136">
        <f t="shared" ca="1" si="39"/>
        <v>0</v>
      </c>
      <c r="AE377" s="249" t="str">
        <f ca="1">IFERROR(VLOOKUP(B377,bond!B:U,20,FALSE),"")</f>
        <v/>
      </c>
      <c r="AF377" s="136" t="e">
        <f ca="1">IF(VLOOKUP(B377,bond!B:AK,36,FALSE)="#N/A Field Not Applicable","",VLOOKUP(B377,bond!B:AK,36,FALSE))</f>
        <v>#N/A</v>
      </c>
      <c r="AG377" s="136" t="e">
        <f ca="1">IF(VLOOKUP(B377,bond!B:AL,37,FALSE)="FIXED","固定",IF(VLOOKUP(B377,bond!B:AL,37,FALSE)="FLOATING","浮動",IF(VLOOKUP(B377,bond!B:AL,37,FALSE)="VARIABLE","變動",IF(VLOOKUP(B377,bond!B:AL,37,FALSE)="FLAT TRADING","不含息交易",IF(VLOOKUP(B377,bond!B:AL,37,FALSE)="ZERO COUPON","零息",VLOOKUP(B377,bond!B:AL,37,FALSE))))))</f>
        <v>#N/A</v>
      </c>
      <c r="AH377" s="136" t="e">
        <f>VLOOKUP(C377,'2_Check_code'!I:J,2,FALSE)</f>
        <v>#N/A</v>
      </c>
      <c r="AI377" s="136" t="e">
        <f t="shared" ca="1" si="40"/>
        <v>#N/A</v>
      </c>
      <c r="AJ377" s="136" t="e">
        <f t="shared" ca="1" si="41"/>
        <v>#N/A</v>
      </c>
      <c r="AK377" s="594" t="e">
        <f ca="1">IF(VLOOKUP(B377,bond!B:S,18,FALSE)="是","有",IF(VLOOKUP(B377,bond!B:S,18,FALSE)="NO OFFER","無","需查詢"))</f>
        <v>#N/A</v>
      </c>
      <c r="AL377" s="136" t="e">
        <f>IF(VLOOKUP(A377,bond!F:AR,39,FALSE)="#N/A Field Not Applicable",VLOOKUP(A377,bond!F:AR,38,FALSE),IFERROR(VLOOKUP(A377,'7_發行日例外'!A:B,2,FALSE),VLOOKUP(A377,bond!F:AR,39,FALSE)))</f>
        <v>#N/A</v>
      </c>
      <c r="AM377" s="136" t="e">
        <f ca="1">VLOOKUP(B377,bond!B:AK,36,FALSE)</f>
        <v>#N/A</v>
      </c>
      <c r="AN377" s="136" t="str">
        <f ca="1">IFERROR(VLOOKUP(B377,'3_是否下架'!A:A,1,FALSE),"")</f>
        <v/>
      </c>
      <c r="AO377" s="136" t="e">
        <f ca="1">VLOOKUP(B377,bond!B:J,9,FALSE)</f>
        <v>#N/A</v>
      </c>
      <c r="AP377" s="136" t="e">
        <f ca="1">VLOOKUP(B377,bond!B:V,21,FALSE)</f>
        <v>#N/A</v>
      </c>
    </row>
    <row r="378" spans="1:42">
      <c r="A378" s="141">
        <f>bond!F379</f>
        <v>0</v>
      </c>
      <c r="B378" s="151">
        <f ca="1">IF($C$1=TRUE,bond!B379,"")</f>
        <v>0</v>
      </c>
      <c r="C378" s="95" t="e">
        <f>VLOOKUP(A378,bond!F:G,2,FALSE)</f>
        <v>#N/A</v>
      </c>
      <c r="D378" s="142" t="e">
        <f ca="1">VLOOKUP(B378,bond!B:C,2,FALSE)</f>
        <v>#N/A</v>
      </c>
      <c r="E378" s="95" t="e">
        <f ca="1">VLOOKUP(B378,bond!B:D,3,FALSE)</f>
        <v>#N/A</v>
      </c>
      <c r="F378" s="99" t="e">
        <f ca="1">VLOOKUP(B378,bond!B:AB,27,FALSE)</f>
        <v>#N/A</v>
      </c>
      <c r="G378" s="90" t="e">
        <f ca="1">VLOOKUP(B378,bond!B:E,4,FALSE)</f>
        <v>#N/A</v>
      </c>
      <c r="H378" s="202" t="e">
        <f ca="1">VLOOKUP(B378,bond!B:Y,24,FALSE)</f>
        <v>#N/A</v>
      </c>
      <c r="I378" s="95" t="e">
        <f ca="1">VLOOKUP(B378,bond!B:Z,25,FALSE)</f>
        <v>#N/A</v>
      </c>
      <c r="J378" s="180" t="e">
        <f ca="1">VLOOKUP(B378,bond!B:K,10,FALSE)</f>
        <v>#N/A</v>
      </c>
      <c r="K378" s="96" t="e">
        <f ca="1">VLOOKUP($B378,bond!B:S,14,FALSE)</f>
        <v>#N/A</v>
      </c>
      <c r="L378" s="91" t="e">
        <f ca="1">VLOOKUP(B378,bond!B:H,7,FALSE)</f>
        <v>#N/A</v>
      </c>
      <c r="M378" s="144" t="e">
        <f ca="1">VLOOKUP($B378,bond!$B:$Q,16,FALSE)</f>
        <v>#N/A</v>
      </c>
      <c r="N378" s="136" t="e">
        <f ca="1">VALUE(LEFT(VLOOKUP(B378,bond!B:R,17,FALSE),SEARCH(" ",VLOOKUP(B378,bond!B:R,17,FALSE),1)))</f>
        <v>#N/A</v>
      </c>
      <c r="O378" s="136" t="e">
        <f ca="1">VALUE(RIGHT(VLOOKUP(B378,bond!B:R,17,FALSE),LEN(VLOOKUP(B378,bond!B:R,17,FALSE))-LEN(N378)-3))</f>
        <v>#N/A</v>
      </c>
      <c r="P378" s="135" t="e">
        <f ca="1">VLOOKUP($B378,bond!$B:$AG,32,FALSE)</f>
        <v>#N/A</v>
      </c>
      <c r="Q378" s="135" t="e">
        <f ca="1">VLOOKUP($B378,bond!$B:$AH,33,FALSE)</f>
        <v>#N/A</v>
      </c>
      <c r="R378" s="135" t="e">
        <f ca="1">VLOOKUP(B378,bond!B:AA,26,FALSE)</f>
        <v>#N/A</v>
      </c>
      <c r="S378" s="135" t="e">
        <f ca="1">VLOOKUP(B378,bond!B:AI,34,FALSE)</f>
        <v>#N/A</v>
      </c>
      <c r="T378" s="135" t="e">
        <f t="shared" ca="1" si="35"/>
        <v>#N/A</v>
      </c>
      <c r="U378" s="207" t="e">
        <f ca="1">IFERROR(VLOOKUP(T378,Bond_DES!D:E,2,FALSE),VLOOKUP(S378,bond!AI:AJ,2,FALSE))</f>
        <v>#N/A</v>
      </c>
      <c r="V378" s="136" t="e">
        <f ca="1">IFERROR(VLOOKUP(B378,'1_重設數據'!L:M,2,FALSE),IF(Q378="政府",IF(AD378&gt;16,"(NPI)非專投",IF(AD378&gt;10,"(PI)專投","高資產")),IF(VLOOKUP(B378,bond!B:AN,39,FALSE)="Y","(PI)專投",IF(AD378&gt;=15,"(NPI)非專投",IF(AD378&gt;=10,"(PI)專投","高資產")))))</f>
        <v>#N/A</v>
      </c>
      <c r="W378" s="136" t="e">
        <f ca="1">VLOOKUP(AD378,'credit rating'!$F$2:$H$22,3,FALSE)</f>
        <v>#N/A</v>
      </c>
      <c r="X378" s="136" t="e">
        <f t="shared" ca="1" si="36"/>
        <v>#N/A</v>
      </c>
      <c r="Y378" s="136" t="e">
        <f t="shared" ca="1" si="37"/>
        <v>#N/A</v>
      </c>
      <c r="Z378" s="136" t="e">
        <f t="shared" ca="1" si="38"/>
        <v>#N/A</v>
      </c>
      <c r="AA378" s="134">
        <f ca="1">IFERROR(VLOOKUP(X378,'credit rating'!A:C,3,FALSE),0)</f>
        <v>0</v>
      </c>
      <c r="AB378" s="134">
        <f ca="1">IFERROR(VLOOKUP(Y378,'credit rating'!B:C,2,FALSE),0)</f>
        <v>0</v>
      </c>
      <c r="AC378" s="136">
        <f ca="1">IFERROR(VLOOKUP(Z378,'credit rating'!B:C,2,FALSE),0)</f>
        <v>0</v>
      </c>
      <c r="AD378" s="136">
        <f t="shared" ca="1" si="39"/>
        <v>0</v>
      </c>
      <c r="AE378" s="249" t="str">
        <f ca="1">IFERROR(VLOOKUP(B378,bond!B:U,20,FALSE),"")</f>
        <v/>
      </c>
      <c r="AF378" s="136" t="e">
        <f ca="1">IF(VLOOKUP(B378,bond!B:AK,36,FALSE)="#N/A Field Not Applicable","",VLOOKUP(B378,bond!B:AK,36,FALSE))</f>
        <v>#N/A</v>
      </c>
      <c r="AG378" s="136" t="e">
        <f ca="1">IF(VLOOKUP(B378,bond!B:AL,37,FALSE)="FIXED","固定",IF(VLOOKUP(B378,bond!B:AL,37,FALSE)="FLOATING","浮動",IF(VLOOKUP(B378,bond!B:AL,37,FALSE)="VARIABLE","變動",IF(VLOOKUP(B378,bond!B:AL,37,FALSE)="FLAT TRADING","不含息交易",IF(VLOOKUP(B378,bond!B:AL,37,FALSE)="ZERO COUPON","零息",VLOOKUP(B378,bond!B:AL,37,FALSE))))))</f>
        <v>#N/A</v>
      </c>
      <c r="AH378" s="136" t="e">
        <f>VLOOKUP(C378,'2_Check_code'!I:J,2,FALSE)</f>
        <v>#N/A</v>
      </c>
      <c r="AI378" s="136" t="e">
        <f t="shared" ca="1" si="40"/>
        <v>#N/A</v>
      </c>
      <c r="AJ378" s="136" t="e">
        <f t="shared" ca="1" si="41"/>
        <v>#N/A</v>
      </c>
      <c r="AK378" s="594" t="e">
        <f ca="1">IF(VLOOKUP(B378,bond!B:S,18,FALSE)="是","有",IF(VLOOKUP(B378,bond!B:S,18,FALSE)="NO OFFER","無","需查詢"))</f>
        <v>#N/A</v>
      </c>
      <c r="AL378" s="136" t="e">
        <f>IF(VLOOKUP(A378,bond!F:AR,39,FALSE)="#N/A Field Not Applicable",VLOOKUP(A378,bond!F:AR,38,FALSE),IFERROR(VLOOKUP(A378,'7_發行日例外'!A:B,2,FALSE),VLOOKUP(A378,bond!F:AR,39,FALSE)))</f>
        <v>#N/A</v>
      </c>
      <c r="AM378" s="136" t="e">
        <f ca="1">VLOOKUP(B378,bond!B:AK,36,FALSE)</f>
        <v>#N/A</v>
      </c>
      <c r="AN378" s="136" t="str">
        <f ca="1">IFERROR(VLOOKUP(B378,'3_是否下架'!A:A,1,FALSE),"")</f>
        <v/>
      </c>
      <c r="AO378" s="136" t="e">
        <f ca="1">VLOOKUP(B378,bond!B:J,9,FALSE)</f>
        <v>#N/A</v>
      </c>
      <c r="AP378" s="136" t="e">
        <f ca="1">VLOOKUP(B378,bond!B:V,21,FALSE)</f>
        <v>#N/A</v>
      </c>
    </row>
    <row r="379" spans="1:42">
      <c r="A379" s="141">
        <f>bond!F380</f>
        <v>0</v>
      </c>
      <c r="B379" s="151">
        <f ca="1">IF($C$1=TRUE,bond!B380,"")</f>
        <v>0</v>
      </c>
      <c r="C379" s="95" t="e">
        <f>VLOOKUP(A379,bond!F:G,2,FALSE)</f>
        <v>#N/A</v>
      </c>
      <c r="D379" s="142" t="e">
        <f ca="1">VLOOKUP(B379,bond!B:C,2,FALSE)</f>
        <v>#N/A</v>
      </c>
      <c r="E379" s="95" t="e">
        <f ca="1">VLOOKUP(B379,bond!B:D,3,FALSE)</f>
        <v>#N/A</v>
      </c>
      <c r="F379" s="99" t="e">
        <f ca="1">VLOOKUP(B379,bond!B:AB,27,FALSE)</f>
        <v>#N/A</v>
      </c>
      <c r="G379" s="90" t="e">
        <f ca="1">VLOOKUP(B379,bond!B:E,4,FALSE)</f>
        <v>#N/A</v>
      </c>
      <c r="H379" s="202" t="e">
        <f ca="1">VLOOKUP(B379,bond!B:Y,24,FALSE)</f>
        <v>#N/A</v>
      </c>
      <c r="I379" s="95" t="e">
        <f ca="1">VLOOKUP(B379,bond!B:Z,25,FALSE)</f>
        <v>#N/A</v>
      </c>
      <c r="J379" s="180" t="e">
        <f ca="1">VLOOKUP(B379,bond!B:K,10,FALSE)</f>
        <v>#N/A</v>
      </c>
      <c r="K379" s="96" t="e">
        <f ca="1">VLOOKUP($B379,bond!B:S,14,FALSE)</f>
        <v>#N/A</v>
      </c>
      <c r="L379" s="91" t="e">
        <f ca="1">VLOOKUP(B379,bond!B:H,7,FALSE)</f>
        <v>#N/A</v>
      </c>
      <c r="M379" s="144" t="e">
        <f ca="1">VLOOKUP($B379,bond!$B:$Q,16,FALSE)</f>
        <v>#N/A</v>
      </c>
      <c r="N379" s="136" t="e">
        <f ca="1">VALUE(LEFT(VLOOKUP(B379,bond!B:R,17,FALSE),SEARCH(" ",VLOOKUP(B379,bond!B:R,17,FALSE),1)))</f>
        <v>#N/A</v>
      </c>
      <c r="O379" s="136" t="e">
        <f ca="1">VALUE(RIGHT(VLOOKUP(B379,bond!B:R,17,FALSE),LEN(VLOOKUP(B379,bond!B:R,17,FALSE))-LEN(N379)-3))</f>
        <v>#N/A</v>
      </c>
      <c r="P379" s="135" t="e">
        <f ca="1">VLOOKUP($B379,bond!$B:$AG,32,FALSE)</f>
        <v>#N/A</v>
      </c>
      <c r="Q379" s="135" t="e">
        <f ca="1">VLOOKUP($B379,bond!$B:$AH,33,FALSE)</f>
        <v>#N/A</v>
      </c>
      <c r="R379" s="135" t="e">
        <f ca="1">VLOOKUP(B379,bond!B:AA,26,FALSE)</f>
        <v>#N/A</v>
      </c>
      <c r="S379" s="135" t="e">
        <f ca="1">VLOOKUP(B379,bond!B:AI,34,FALSE)</f>
        <v>#N/A</v>
      </c>
      <c r="T379" s="135" t="e">
        <f t="shared" ca="1" si="35"/>
        <v>#N/A</v>
      </c>
      <c r="U379" s="207" t="e">
        <f ca="1">IFERROR(VLOOKUP(T379,Bond_DES!D:E,2,FALSE),VLOOKUP(S379,bond!AI:AJ,2,FALSE))</f>
        <v>#N/A</v>
      </c>
      <c r="V379" s="136" t="e">
        <f ca="1">IFERROR(VLOOKUP(B379,'1_重設數據'!L:M,2,FALSE),IF(Q379="政府",IF(AD379&gt;16,"(NPI)非專投",IF(AD379&gt;10,"(PI)專投","高資產")),IF(VLOOKUP(B379,bond!B:AN,39,FALSE)="Y","(PI)專投",IF(AD379&gt;=15,"(NPI)非專投",IF(AD379&gt;=10,"(PI)專投","高資產")))))</f>
        <v>#N/A</v>
      </c>
      <c r="W379" s="136" t="e">
        <f ca="1">VLOOKUP(AD379,'credit rating'!$F$2:$H$22,3,FALSE)</f>
        <v>#N/A</v>
      </c>
      <c r="X379" s="136" t="e">
        <f t="shared" ca="1" si="36"/>
        <v>#N/A</v>
      </c>
      <c r="Y379" s="136" t="e">
        <f t="shared" ca="1" si="37"/>
        <v>#N/A</v>
      </c>
      <c r="Z379" s="136" t="e">
        <f t="shared" ca="1" si="38"/>
        <v>#N/A</v>
      </c>
      <c r="AA379" s="134">
        <f ca="1">IFERROR(VLOOKUP(X379,'credit rating'!A:C,3,FALSE),0)</f>
        <v>0</v>
      </c>
      <c r="AB379" s="134">
        <f ca="1">IFERROR(VLOOKUP(Y379,'credit rating'!B:C,2,FALSE),0)</f>
        <v>0</v>
      </c>
      <c r="AC379" s="136">
        <f ca="1">IFERROR(VLOOKUP(Z379,'credit rating'!B:C,2,FALSE),0)</f>
        <v>0</v>
      </c>
      <c r="AD379" s="136">
        <f t="shared" ca="1" si="39"/>
        <v>0</v>
      </c>
      <c r="AE379" s="249" t="str">
        <f ca="1">IFERROR(VLOOKUP(B379,bond!B:U,20,FALSE),"")</f>
        <v/>
      </c>
      <c r="AF379" s="136" t="e">
        <f ca="1">IF(VLOOKUP(B379,bond!B:AK,36,FALSE)="#N/A Field Not Applicable","",VLOOKUP(B379,bond!B:AK,36,FALSE))</f>
        <v>#N/A</v>
      </c>
      <c r="AG379" s="136" t="e">
        <f ca="1">IF(VLOOKUP(B379,bond!B:AL,37,FALSE)="FIXED","固定",IF(VLOOKUP(B379,bond!B:AL,37,FALSE)="FLOATING","浮動",IF(VLOOKUP(B379,bond!B:AL,37,FALSE)="VARIABLE","變動",IF(VLOOKUP(B379,bond!B:AL,37,FALSE)="FLAT TRADING","不含息交易",IF(VLOOKUP(B379,bond!B:AL,37,FALSE)="ZERO COUPON","零息",VLOOKUP(B379,bond!B:AL,37,FALSE))))))</f>
        <v>#N/A</v>
      </c>
      <c r="AH379" s="136" t="e">
        <f>VLOOKUP(C379,'2_Check_code'!I:J,2,FALSE)</f>
        <v>#N/A</v>
      </c>
      <c r="AI379" s="136" t="e">
        <f t="shared" ca="1" si="40"/>
        <v>#N/A</v>
      </c>
      <c r="AJ379" s="136" t="e">
        <f t="shared" ca="1" si="41"/>
        <v>#N/A</v>
      </c>
      <c r="AK379" s="594" t="e">
        <f ca="1">IF(VLOOKUP(B379,bond!B:S,18,FALSE)="是","有",IF(VLOOKUP(B379,bond!B:S,18,FALSE)="NO OFFER","無","需查詢"))</f>
        <v>#N/A</v>
      </c>
      <c r="AL379" s="136" t="e">
        <f>IF(VLOOKUP(A379,bond!F:AR,39,FALSE)="#N/A Field Not Applicable",VLOOKUP(A379,bond!F:AR,38,FALSE),IFERROR(VLOOKUP(A379,'7_發行日例外'!A:B,2,FALSE),VLOOKUP(A379,bond!F:AR,39,FALSE)))</f>
        <v>#N/A</v>
      </c>
      <c r="AM379" s="136" t="e">
        <f ca="1">VLOOKUP(B379,bond!B:AK,36,FALSE)</f>
        <v>#N/A</v>
      </c>
      <c r="AN379" s="136" t="str">
        <f ca="1">IFERROR(VLOOKUP(B379,'3_是否下架'!A:A,1,FALSE),"")</f>
        <v/>
      </c>
      <c r="AO379" s="136" t="e">
        <f ca="1">VLOOKUP(B379,bond!B:J,9,FALSE)</f>
        <v>#N/A</v>
      </c>
      <c r="AP379" s="136" t="e">
        <f ca="1">VLOOKUP(B379,bond!B:V,21,FALSE)</f>
        <v>#N/A</v>
      </c>
    </row>
    <row r="380" spans="1:42">
      <c r="A380" s="141">
        <f>bond!F381</f>
        <v>0</v>
      </c>
      <c r="B380" s="151">
        <f ca="1">IF($C$1=TRUE,bond!B381,"")</f>
        <v>0</v>
      </c>
      <c r="C380" s="95" t="e">
        <f>VLOOKUP(A380,bond!F:G,2,FALSE)</f>
        <v>#N/A</v>
      </c>
      <c r="D380" s="142" t="e">
        <f ca="1">VLOOKUP(B380,bond!B:C,2,FALSE)</f>
        <v>#N/A</v>
      </c>
      <c r="E380" s="95" t="e">
        <f ca="1">VLOOKUP(B380,bond!B:D,3,FALSE)</f>
        <v>#N/A</v>
      </c>
      <c r="F380" s="99" t="e">
        <f ca="1">VLOOKUP(B380,bond!B:AB,27,FALSE)</f>
        <v>#N/A</v>
      </c>
      <c r="G380" s="90" t="e">
        <f ca="1">VLOOKUP(B380,bond!B:E,4,FALSE)</f>
        <v>#N/A</v>
      </c>
      <c r="H380" s="202" t="e">
        <f ca="1">VLOOKUP(B380,bond!B:Y,24,FALSE)</f>
        <v>#N/A</v>
      </c>
      <c r="I380" s="95" t="e">
        <f ca="1">VLOOKUP(B380,bond!B:Z,25,FALSE)</f>
        <v>#N/A</v>
      </c>
      <c r="J380" s="180" t="e">
        <f ca="1">VLOOKUP(B380,bond!B:K,10,FALSE)</f>
        <v>#N/A</v>
      </c>
      <c r="K380" s="96" t="e">
        <f ca="1">VLOOKUP($B380,bond!B:S,14,FALSE)</f>
        <v>#N/A</v>
      </c>
      <c r="L380" s="91" t="e">
        <f ca="1">VLOOKUP(B380,bond!B:H,7,FALSE)</f>
        <v>#N/A</v>
      </c>
      <c r="M380" s="144" t="e">
        <f ca="1">VLOOKUP($B380,bond!$B:$Q,16,FALSE)</f>
        <v>#N/A</v>
      </c>
      <c r="N380" s="136" t="e">
        <f ca="1">VALUE(LEFT(VLOOKUP(B380,bond!B:R,17,FALSE),SEARCH(" ",VLOOKUP(B380,bond!B:R,17,FALSE),1)))</f>
        <v>#N/A</v>
      </c>
      <c r="O380" s="136" t="e">
        <f ca="1">VALUE(RIGHT(VLOOKUP(B380,bond!B:R,17,FALSE),LEN(VLOOKUP(B380,bond!B:R,17,FALSE))-LEN(N380)-3))</f>
        <v>#N/A</v>
      </c>
      <c r="P380" s="135" t="e">
        <f ca="1">VLOOKUP($B380,bond!$B:$AG,32,FALSE)</f>
        <v>#N/A</v>
      </c>
      <c r="Q380" s="135" t="e">
        <f ca="1">VLOOKUP($B380,bond!$B:$AH,33,FALSE)</f>
        <v>#N/A</v>
      </c>
      <c r="R380" s="135" t="e">
        <f ca="1">VLOOKUP(B380,bond!B:AA,26,FALSE)</f>
        <v>#N/A</v>
      </c>
      <c r="S380" s="135" t="e">
        <f ca="1">VLOOKUP(B380,bond!B:AI,34,FALSE)</f>
        <v>#N/A</v>
      </c>
      <c r="T380" s="135" t="e">
        <f t="shared" ca="1" si="35"/>
        <v>#N/A</v>
      </c>
      <c r="U380" s="207" t="e">
        <f ca="1">IFERROR(VLOOKUP(T380,Bond_DES!D:E,2,FALSE),VLOOKUP(S380,bond!AI:AJ,2,FALSE))</f>
        <v>#N/A</v>
      </c>
      <c r="V380" s="136" t="e">
        <f ca="1">IFERROR(VLOOKUP(B380,'1_重設數據'!L:M,2,FALSE),IF(Q380="政府",IF(AD380&gt;16,"(NPI)非專投",IF(AD380&gt;10,"(PI)專投","高資產")),IF(VLOOKUP(B380,bond!B:AN,39,FALSE)="Y","(PI)專投",IF(AD380&gt;=15,"(NPI)非專投",IF(AD380&gt;=10,"(PI)專投","高資產")))))</f>
        <v>#N/A</v>
      </c>
      <c r="W380" s="136" t="e">
        <f ca="1">VLOOKUP(AD380,'credit rating'!$F$2:$H$22,3,FALSE)</f>
        <v>#N/A</v>
      </c>
      <c r="X380" s="136" t="e">
        <f t="shared" ca="1" si="36"/>
        <v>#N/A</v>
      </c>
      <c r="Y380" s="136" t="e">
        <f t="shared" ca="1" si="37"/>
        <v>#N/A</v>
      </c>
      <c r="Z380" s="136" t="e">
        <f t="shared" ca="1" si="38"/>
        <v>#N/A</v>
      </c>
      <c r="AA380" s="134">
        <f ca="1">IFERROR(VLOOKUP(X380,'credit rating'!A:C,3,FALSE),0)</f>
        <v>0</v>
      </c>
      <c r="AB380" s="134">
        <f ca="1">IFERROR(VLOOKUP(Y380,'credit rating'!B:C,2,FALSE),0)</f>
        <v>0</v>
      </c>
      <c r="AC380" s="136">
        <f ca="1">IFERROR(VLOOKUP(Z380,'credit rating'!B:C,2,FALSE),0)</f>
        <v>0</v>
      </c>
      <c r="AD380" s="136">
        <f t="shared" ca="1" si="39"/>
        <v>0</v>
      </c>
      <c r="AE380" s="249" t="str">
        <f ca="1">IFERROR(VLOOKUP(B380,bond!B:U,20,FALSE),"")</f>
        <v/>
      </c>
      <c r="AF380" s="136" t="e">
        <f ca="1">IF(VLOOKUP(B380,bond!B:AK,36,FALSE)="#N/A Field Not Applicable","",VLOOKUP(B380,bond!B:AK,36,FALSE))</f>
        <v>#N/A</v>
      </c>
      <c r="AG380" s="136" t="e">
        <f ca="1">IF(VLOOKUP(B380,bond!B:AL,37,FALSE)="FIXED","固定",IF(VLOOKUP(B380,bond!B:AL,37,FALSE)="FLOATING","浮動",IF(VLOOKUP(B380,bond!B:AL,37,FALSE)="VARIABLE","變動",IF(VLOOKUP(B380,bond!B:AL,37,FALSE)="FLAT TRADING","不含息交易",IF(VLOOKUP(B380,bond!B:AL,37,FALSE)="ZERO COUPON","零息",VLOOKUP(B380,bond!B:AL,37,FALSE))))))</f>
        <v>#N/A</v>
      </c>
      <c r="AH380" s="136" t="e">
        <f>VLOOKUP(C380,'2_Check_code'!I:J,2,FALSE)</f>
        <v>#N/A</v>
      </c>
      <c r="AI380" s="136" t="e">
        <f t="shared" ca="1" si="40"/>
        <v>#N/A</v>
      </c>
      <c r="AJ380" s="136" t="e">
        <f t="shared" ca="1" si="41"/>
        <v>#N/A</v>
      </c>
      <c r="AK380" s="594" t="e">
        <f ca="1">IF(VLOOKUP(B380,bond!B:S,18,FALSE)="是","有",IF(VLOOKUP(B380,bond!B:S,18,FALSE)="NO OFFER","無","需查詢"))</f>
        <v>#N/A</v>
      </c>
      <c r="AL380" s="136" t="e">
        <f>IF(VLOOKUP(A380,bond!F:AR,39,FALSE)="#N/A Field Not Applicable",VLOOKUP(A380,bond!F:AR,38,FALSE),IFERROR(VLOOKUP(A380,'7_發行日例外'!A:B,2,FALSE),VLOOKUP(A380,bond!F:AR,39,FALSE)))</f>
        <v>#N/A</v>
      </c>
      <c r="AM380" s="136" t="e">
        <f ca="1">VLOOKUP(B380,bond!B:AK,36,FALSE)</f>
        <v>#N/A</v>
      </c>
      <c r="AN380" s="136" t="str">
        <f ca="1">IFERROR(VLOOKUP(B380,'3_是否下架'!A:A,1,FALSE),"")</f>
        <v/>
      </c>
      <c r="AO380" s="136" t="e">
        <f ca="1">VLOOKUP(B380,bond!B:J,9,FALSE)</f>
        <v>#N/A</v>
      </c>
      <c r="AP380" s="136" t="e">
        <f ca="1">VLOOKUP(B380,bond!B:V,21,FALSE)</f>
        <v>#N/A</v>
      </c>
    </row>
    <row r="381" spans="1:42">
      <c r="A381" s="141">
        <f>bond!F382</f>
        <v>0</v>
      </c>
      <c r="B381" s="151">
        <f ca="1">IF($C$1=TRUE,bond!B382,"")</f>
        <v>0</v>
      </c>
      <c r="C381" s="95" t="e">
        <f>VLOOKUP(A381,bond!F:G,2,FALSE)</f>
        <v>#N/A</v>
      </c>
      <c r="D381" s="142" t="e">
        <f ca="1">VLOOKUP(B381,bond!B:C,2,FALSE)</f>
        <v>#N/A</v>
      </c>
      <c r="E381" s="95" t="e">
        <f ca="1">VLOOKUP(B381,bond!B:D,3,FALSE)</f>
        <v>#N/A</v>
      </c>
      <c r="F381" s="99" t="e">
        <f ca="1">VLOOKUP(B381,bond!B:AB,27,FALSE)</f>
        <v>#N/A</v>
      </c>
      <c r="G381" s="90" t="e">
        <f ca="1">VLOOKUP(B381,bond!B:E,4,FALSE)</f>
        <v>#N/A</v>
      </c>
      <c r="H381" s="202" t="e">
        <f ca="1">VLOOKUP(B381,bond!B:Y,24,FALSE)</f>
        <v>#N/A</v>
      </c>
      <c r="I381" s="95" t="e">
        <f ca="1">VLOOKUP(B381,bond!B:Z,25,FALSE)</f>
        <v>#N/A</v>
      </c>
      <c r="J381" s="180" t="e">
        <f ca="1">VLOOKUP(B381,bond!B:K,10,FALSE)</f>
        <v>#N/A</v>
      </c>
      <c r="K381" s="96" t="e">
        <f ca="1">VLOOKUP($B381,bond!B:S,14,FALSE)</f>
        <v>#N/A</v>
      </c>
      <c r="L381" s="91" t="e">
        <f ca="1">VLOOKUP(B381,bond!B:H,7,FALSE)</f>
        <v>#N/A</v>
      </c>
      <c r="M381" s="144" t="e">
        <f ca="1">VLOOKUP($B381,bond!$B:$Q,16,FALSE)</f>
        <v>#N/A</v>
      </c>
      <c r="N381" s="136" t="e">
        <f ca="1">VALUE(LEFT(VLOOKUP(B381,bond!B:R,17,FALSE),SEARCH(" ",VLOOKUP(B381,bond!B:R,17,FALSE),1)))</f>
        <v>#N/A</v>
      </c>
      <c r="O381" s="136" t="e">
        <f ca="1">VALUE(RIGHT(VLOOKUP(B381,bond!B:R,17,FALSE),LEN(VLOOKUP(B381,bond!B:R,17,FALSE))-LEN(N381)-3))</f>
        <v>#N/A</v>
      </c>
      <c r="P381" s="135" t="e">
        <f ca="1">VLOOKUP($B381,bond!$B:$AG,32,FALSE)</f>
        <v>#N/A</v>
      </c>
      <c r="Q381" s="135" t="e">
        <f ca="1">VLOOKUP($B381,bond!$B:$AH,33,FALSE)</f>
        <v>#N/A</v>
      </c>
      <c r="R381" s="135" t="e">
        <f ca="1">VLOOKUP(B381,bond!B:AA,26,FALSE)</f>
        <v>#N/A</v>
      </c>
      <c r="S381" s="135" t="e">
        <f ca="1">VLOOKUP(B381,bond!B:AI,34,FALSE)</f>
        <v>#N/A</v>
      </c>
      <c r="T381" s="135" t="e">
        <f t="shared" ca="1" si="35"/>
        <v>#N/A</v>
      </c>
      <c r="U381" s="207" t="e">
        <f ca="1">IFERROR(VLOOKUP(T381,Bond_DES!D:E,2,FALSE),VLOOKUP(S381,bond!AI:AJ,2,FALSE))</f>
        <v>#N/A</v>
      </c>
      <c r="V381" s="136" t="e">
        <f ca="1">IFERROR(VLOOKUP(B381,'1_重設數據'!L:M,2,FALSE),IF(Q381="政府",IF(AD381&gt;16,"(NPI)非專投",IF(AD381&gt;10,"(PI)專投","高資產")),IF(VLOOKUP(B381,bond!B:AN,39,FALSE)="Y","(PI)專投",IF(AD381&gt;=15,"(NPI)非專投",IF(AD381&gt;=10,"(PI)專投","高資產")))))</f>
        <v>#N/A</v>
      </c>
      <c r="W381" s="136" t="e">
        <f ca="1">VLOOKUP(AD381,'credit rating'!$F$2:$H$22,3,FALSE)</f>
        <v>#N/A</v>
      </c>
      <c r="X381" s="136" t="e">
        <f t="shared" ca="1" si="36"/>
        <v>#N/A</v>
      </c>
      <c r="Y381" s="136" t="e">
        <f t="shared" ca="1" si="37"/>
        <v>#N/A</v>
      </c>
      <c r="Z381" s="136" t="e">
        <f t="shared" ca="1" si="38"/>
        <v>#N/A</v>
      </c>
      <c r="AA381" s="134">
        <f ca="1">IFERROR(VLOOKUP(X381,'credit rating'!A:C,3,FALSE),0)</f>
        <v>0</v>
      </c>
      <c r="AB381" s="134">
        <f ca="1">IFERROR(VLOOKUP(Y381,'credit rating'!B:C,2,FALSE),0)</f>
        <v>0</v>
      </c>
      <c r="AC381" s="136">
        <f ca="1">IFERROR(VLOOKUP(Z381,'credit rating'!B:C,2,FALSE),0)</f>
        <v>0</v>
      </c>
      <c r="AD381" s="136">
        <f t="shared" ca="1" si="39"/>
        <v>0</v>
      </c>
      <c r="AE381" s="249" t="str">
        <f ca="1">IFERROR(VLOOKUP(B381,bond!B:U,20,FALSE),"")</f>
        <v/>
      </c>
      <c r="AF381" s="136" t="e">
        <f ca="1">IF(VLOOKUP(B381,bond!B:AK,36,FALSE)="#N/A Field Not Applicable","",VLOOKUP(B381,bond!B:AK,36,FALSE))</f>
        <v>#N/A</v>
      </c>
      <c r="AG381" s="136" t="e">
        <f ca="1">IF(VLOOKUP(B381,bond!B:AL,37,FALSE)="FIXED","固定",IF(VLOOKUP(B381,bond!B:AL,37,FALSE)="FLOATING","浮動",IF(VLOOKUP(B381,bond!B:AL,37,FALSE)="VARIABLE","變動",IF(VLOOKUP(B381,bond!B:AL,37,FALSE)="FLAT TRADING","不含息交易",IF(VLOOKUP(B381,bond!B:AL,37,FALSE)="ZERO COUPON","零息",VLOOKUP(B381,bond!B:AL,37,FALSE))))))</f>
        <v>#N/A</v>
      </c>
      <c r="AH381" s="136" t="e">
        <f>VLOOKUP(C381,'2_Check_code'!I:J,2,FALSE)</f>
        <v>#N/A</v>
      </c>
      <c r="AI381" s="136" t="e">
        <f t="shared" ca="1" si="40"/>
        <v>#N/A</v>
      </c>
      <c r="AJ381" s="136" t="e">
        <f t="shared" ca="1" si="41"/>
        <v>#N/A</v>
      </c>
      <c r="AK381" s="594" t="e">
        <f ca="1">IF(VLOOKUP(B381,bond!B:S,18,FALSE)="是","有",IF(VLOOKUP(B381,bond!B:S,18,FALSE)="NO OFFER","無","需查詢"))</f>
        <v>#N/A</v>
      </c>
      <c r="AL381" s="136" t="e">
        <f>IF(VLOOKUP(A381,bond!F:AR,39,FALSE)="#N/A Field Not Applicable",VLOOKUP(A381,bond!F:AR,38,FALSE),IFERROR(VLOOKUP(A381,'7_發行日例外'!A:B,2,FALSE),VLOOKUP(A381,bond!F:AR,39,FALSE)))</f>
        <v>#N/A</v>
      </c>
      <c r="AM381" s="136" t="e">
        <f ca="1">VLOOKUP(B381,bond!B:AK,36,FALSE)</f>
        <v>#N/A</v>
      </c>
      <c r="AN381" s="136" t="str">
        <f ca="1">IFERROR(VLOOKUP(B381,'3_是否下架'!A:A,1,FALSE),"")</f>
        <v/>
      </c>
      <c r="AO381" s="136" t="e">
        <f ca="1">VLOOKUP(B381,bond!B:J,9,FALSE)</f>
        <v>#N/A</v>
      </c>
      <c r="AP381" s="136" t="e">
        <f ca="1">VLOOKUP(B381,bond!B:V,21,FALSE)</f>
        <v>#N/A</v>
      </c>
    </row>
    <row r="382" spans="1:42">
      <c r="A382" s="141">
        <f>bond!F383</f>
        <v>0</v>
      </c>
      <c r="B382" s="151">
        <f ca="1">IF($C$1=TRUE,bond!B383,"")</f>
        <v>0</v>
      </c>
      <c r="C382" s="95" t="e">
        <f>VLOOKUP(A382,bond!F:G,2,FALSE)</f>
        <v>#N/A</v>
      </c>
      <c r="D382" s="142" t="e">
        <f ca="1">VLOOKUP(B382,bond!B:C,2,FALSE)</f>
        <v>#N/A</v>
      </c>
      <c r="E382" s="95" t="e">
        <f ca="1">VLOOKUP(B382,bond!B:D,3,FALSE)</f>
        <v>#N/A</v>
      </c>
      <c r="F382" s="99" t="e">
        <f ca="1">VLOOKUP(B382,bond!B:AB,27,FALSE)</f>
        <v>#N/A</v>
      </c>
      <c r="G382" s="90" t="e">
        <f ca="1">VLOOKUP(B382,bond!B:E,4,FALSE)</f>
        <v>#N/A</v>
      </c>
      <c r="H382" s="202" t="e">
        <f ca="1">VLOOKUP(B382,bond!B:Y,24,FALSE)</f>
        <v>#N/A</v>
      </c>
      <c r="I382" s="95" t="e">
        <f ca="1">VLOOKUP(B382,bond!B:Z,25,FALSE)</f>
        <v>#N/A</v>
      </c>
      <c r="J382" s="180" t="e">
        <f ca="1">VLOOKUP(B382,bond!B:K,10,FALSE)</f>
        <v>#N/A</v>
      </c>
      <c r="K382" s="96" t="e">
        <f ca="1">VLOOKUP($B382,bond!B:S,14,FALSE)</f>
        <v>#N/A</v>
      </c>
      <c r="L382" s="91" t="e">
        <f ca="1">VLOOKUP(B382,bond!B:H,7,FALSE)</f>
        <v>#N/A</v>
      </c>
      <c r="M382" s="144" t="e">
        <f ca="1">VLOOKUP($B382,bond!$B:$Q,16,FALSE)</f>
        <v>#N/A</v>
      </c>
      <c r="N382" s="136" t="e">
        <f ca="1">VALUE(LEFT(VLOOKUP(B382,bond!B:R,17,FALSE),SEARCH(" ",VLOOKUP(B382,bond!B:R,17,FALSE),1)))</f>
        <v>#N/A</v>
      </c>
      <c r="O382" s="136" t="e">
        <f ca="1">VALUE(RIGHT(VLOOKUP(B382,bond!B:R,17,FALSE),LEN(VLOOKUP(B382,bond!B:R,17,FALSE))-LEN(N382)-3))</f>
        <v>#N/A</v>
      </c>
      <c r="P382" s="135" t="e">
        <f ca="1">VLOOKUP($B382,bond!$B:$AG,32,FALSE)</f>
        <v>#N/A</v>
      </c>
      <c r="Q382" s="135" t="e">
        <f ca="1">VLOOKUP($B382,bond!$B:$AH,33,FALSE)</f>
        <v>#N/A</v>
      </c>
      <c r="R382" s="135" t="e">
        <f ca="1">VLOOKUP(B382,bond!B:AA,26,FALSE)</f>
        <v>#N/A</v>
      </c>
      <c r="S382" s="135" t="e">
        <f ca="1">VLOOKUP(B382,bond!B:AI,34,FALSE)</f>
        <v>#N/A</v>
      </c>
      <c r="T382" s="135" t="e">
        <f t="shared" ca="1" si="35"/>
        <v>#N/A</v>
      </c>
      <c r="U382" s="207" t="e">
        <f ca="1">IFERROR(VLOOKUP(T382,Bond_DES!D:E,2,FALSE),VLOOKUP(S382,bond!AI:AJ,2,FALSE))</f>
        <v>#N/A</v>
      </c>
      <c r="V382" s="136" t="e">
        <f ca="1">IFERROR(VLOOKUP(B382,'1_重設數據'!L:M,2,FALSE),IF(Q382="政府",IF(AD382&gt;16,"(NPI)非專投",IF(AD382&gt;10,"(PI)專投","高資產")),IF(VLOOKUP(B382,bond!B:AN,39,FALSE)="Y","(PI)專投",IF(AD382&gt;=15,"(NPI)非專投",IF(AD382&gt;=10,"(PI)專投","高資產")))))</f>
        <v>#N/A</v>
      </c>
      <c r="W382" s="136" t="e">
        <f ca="1">VLOOKUP(AD382,'credit rating'!$F$2:$H$22,3,FALSE)</f>
        <v>#N/A</v>
      </c>
      <c r="X382" s="136" t="e">
        <f t="shared" ca="1" si="36"/>
        <v>#N/A</v>
      </c>
      <c r="Y382" s="136" t="e">
        <f t="shared" ca="1" si="37"/>
        <v>#N/A</v>
      </c>
      <c r="Z382" s="136" t="e">
        <f t="shared" ca="1" si="38"/>
        <v>#N/A</v>
      </c>
      <c r="AA382" s="134">
        <f ca="1">IFERROR(VLOOKUP(X382,'credit rating'!A:C,3,FALSE),0)</f>
        <v>0</v>
      </c>
      <c r="AB382" s="134">
        <f ca="1">IFERROR(VLOOKUP(Y382,'credit rating'!B:C,2,FALSE),0)</f>
        <v>0</v>
      </c>
      <c r="AC382" s="136">
        <f ca="1">IFERROR(VLOOKUP(Z382,'credit rating'!B:C,2,FALSE),0)</f>
        <v>0</v>
      </c>
      <c r="AD382" s="136">
        <f t="shared" ca="1" si="39"/>
        <v>0</v>
      </c>
      <c r="AE382" s="249" t="str">
        <f ca="1">IFERROR(VLOOKUP(B382,bond!B:U,20,FALSE),"")</f>
        <v/>
      </c>
      <c r="AF382" s="136" t="e">
        <f ca="1">IF(VLOOKUP(B382,bond!B:AK,36,FALSE)="#N/A Field Not Applicable","",VLOOKUP(B382,bond!B:AK,36,FALSE))</f>
        <v>#N/A</v>
      </c>
      <c r="AG382" s="136" t="e">
        <f ca="1">IF(VLOOKUP(B382,bond!B:AL,37,FALSE)="FIXED","固定",IF(VLOOKUP(B382,bond!B:AL,37,FALSE)="FLOATING","浮動",IF(VLOOKUP(B382,bond!B:AL,37,FALSE)="VARIABLE","變動",IF(VLOOKUP(B382,bond!B:AL,37,FALSE)="FLAT TRADING","不含息交易",IF(VLOOKUP(B382,bond!B:AL,37,FALSE)="ZERO COUPON","零息",VLOOKUP(B382,bond!B:AL,37,FALSE))))))</f>
        <v>#N/A</v>
      </c>
      <c r="AH382" s="136" t="e">
        <f>VLOOKUP(C382,'2_Check_code'!I:J,2,FALSE)</f>
        <v>#N/A</v>
      </c>
      <c r="AI382" s="136" t="e">
        <f t="shared" ca="1" si="40"/>
        <v>#N/A</v>
      </c>
      <c r="AJ382" s="136" t="e">
        <f t="shared" ca="1" si="41"/>
        <v>#N/A</v>
      </c>
      <c r="AK382" s="594" t="e">
        <f ca="1">IF(VLOOKUP(B382,bond!B:S,18,FALSE)="是","有",IF(VLOOKUP(B382,bond!B:S,18,FALSE)="NO OFFER","無","需查詢"))</f>
        <v>#N/A</v>
      </c>
      <c r="AL382" s="136" t="e">
        <f>IF(VLOOKUP(A382,bond!F:AR,39,FALSE)="#N/A Field Not Applicable",VLOOKUP(A382,bond!F:AR,38,FALSE),IFERROR(VLOOKUP(A382,'7_發行日例外'!A:B,2,FALSE),VLOOKUP(A382,bond!F:AR,39,FALSE)))</f>
        <v>#N/A</v>
      </c>
      <c r="AM382" s="136" t="e">
        <f ca="1">VLOOKUP(B382,bond!B:AK,36,FALSE)</f>
        <v>#N/A</v>
      </c>
      <c r="AN382" s="136" t="str">
        <f ca="1">IFERROR(VLOOKUP(B382,'3_是否下架'!A:A,1,FALSE),"")</f>
        <v/>
      </c>
      <c r="AO382" s="136" t="e">
        <f ca="1">VLOOKUP(B382,bond!B:J,9,FALSE)</f>
        <v>#N/A</v>
      </c>
      <c r="AP382" s="136" t="e">
        <f ca="1">VLOOKUP(B382,bond!B:V,21,FALSE)</f>
        <v>#N/A</v>
      </c>
    </row>
    <row r="383" spans="1:42">
      <c r="A383" s="141">
        <f>bond!F384</f>
        <v>0</v>
      </c>
      <c r="B383" s="151">
        <f ca="1">IF($C$1=TRUE,bond!B384,"")</f>
        <v>0</v>
      </c>
      <c r="C383" s="95" t="e">
        <f>VLOOKUP(A383,bond!F:G,2,FALSE)</f>
        <v>#N/A</v>
      </c>
      <c r="D383" s="142" t="e">
        <f ca="1">VLOOKUP(B383,bond!B:C,2,FALSE)</f>
        <v>#N/A</v>
      </c>
      <c r="E383" s="95" t="e">
        <f ca="1">VLOOKUP(B383,bond!B:D,3,FALSE)</f>
        <v>#N/A</v>
      </c>
      <c r="F383" s="99" t="e">
        <f ca="1">VLOOKUP(B383,bond!B:AB,27,FALSE)</f>
        <v>#N/A</v>
      </c>
      <c r="G383" s="90" t="e">
        <f ca="1">VLOOKUP(B383,bond!B:E,4,FALSE)</f>
        <v>#N/A</v>
      </c>
      <c r="H383" s="202" t="e">
        <f ca="1">VLOOKUP(B383,bond!B:Y,24,FALSE)</f>
        <v>#N/A</v>
      </c>
      <c r="I383" s="95" t="e">
        <f ca="1">VLOOKUP(B383,bond!B:Z,25,FALSE)</f>
        <v>#N/A</v>
      </c>
      <c r="J383" s="180" t="e">
        <f ca="1">VLOOKUP(B383,bond!B:K,10,FALSE)</f>
        <v>#N/A</v>
      </c>
      <c r="K383" s="96" t="e">
        <f ca="1">VLOOKUP($B383,bond!B:S,14,FALSE)</f>
        <v>#N/A</v>
      </c>
      <c r="L383" s="91" t="e">
        <f ca="1">VLOOKUP(B383,bond!B:H,7,FALSE)</f>
        <v>#N/A</v>
      </c>
      <c r="M383" s="144" t="e">
        <f ca="1">VLOOKUP($B383,bond!$B:$Q,16,FALSE)</f>
        <v>#N/A</v>
      </c>
      <c r="N383" s="136" t="e">
        <f ca="1">VALUE(LEFT(VLOOKUP(B383,bond!B:R,17,FALSE),SEARCH(" ",VLOOKUP(B383,bond!B:R,17,FALSE),1)))</f>
        <v>#N/A</v>
      </c>
      <c r="O383" s="136" t="e">
        <f ca="1">VALUE(RIGHT(VLOOKUP(B383,bond!B:R,17,FALSE),LEN(VLOOKUP(B383,bond!B:R,17,FALSE))-LEN(N383)-3))</f>
        <v>#N/A</v>
      </c>
      <c r="P383" s="135" t="e">
        <f ca="1">VLOOKUP($B383,bond!$B:$AG,32,FALSE)</f>
        <v>#N/A</v>
      </c>
      <c r="Q383" s="135" t="e">
        <f ca="1">VLOOKUP($B383,bond!$B:$AH,33,FALSE)</f>
        <v>#N/A</v>
      </c>
      <c r="R383" s="135" t="e">
        <f ca="1">VLOOKUP(B383,bond!B:AA,26,FALSE)</f>
        <v>#N/A</v>
      </c>
      <c r="S383" s="135" t="e">
        <f ca="1">VLOOKUP(B383,bond!B:AI,34,FALSE)</f>
        <v>#N/A</v>
      </c>
      <c r="T383" s="135" t="e">
        <f t="shared" ca="1" si="35"/>
        <v>#N/A</v>
      </c>
      <c r="U383" s="207" t="e">
        <f ca="1">IFERROR(VLOOKUP(T383,Bond_DES!D:E,2,FALSE),VLOOKUP(S383,bond!AI:AJ,2,FALSE))</f>
        <v>#N/A</v>
      </c>
      <c r="V383" s="136" t="e">
        <f ca="1">IFERROR(VLOOKUP(B383,'1_重設數據'!L:M,2,FALSE),IF(Q383="政府",IF(AD383&gt;16,"(NPI)非專投",IF(AD383&gt;10,"(PI)專投","高資產")),IF(VLOOKUP(B383,bond!B:AN,39,FALSE)="Y","(PI)專投",IF(AD383&gt;=15,"(NPI)非專投",IF(AD383&gt;=10,"(PI)專投","高資產")))))</f>
        <v>#N/A</v>
      </c>
      <c r="W383" s="136" t="e">
        <f ca="1">VLOOKUP(AD383,'credit rating'!$F$2:$H$22,3,FALSE)</f>
        <v>#N/A</v>
      </c>
      <c r="X383" s="136" t="e">
        <f t="shared" ca="1" si="36"/>
        <v>#N/A</v>
      </c>
      <c r="Y383" s="136" t="e">
        <f t="shared" ca="1" si="37"/>
        <v>#N/A</v>
      </c>
      <c r="Z383" s="136" t="e">
        <f t="shared" ca="1" si="38"/>
        <v>#N/A</v>
      </c>
      <c r="AA383" s="134">
        <f ca="1">IFERROR(VLOOKUP(X383,'credit rating'!A:C,3,FALSE),0)</f>
        <v>0</v>
      </c>
      <c r="AB383" s="134">
        <f ca="1">IFERROR(VLOOKUP(Y383,'credit rating'!B:C,2,FALSE),0)</f>
        <v>0</v>
      </c>
      <c r="AC383" s="136">
        <f ca="1">IFERROR(VLOOKUP(Z383,'credit rating'!B:C,2,FALSE),0)</f>
        <v>0</v>
      </c>
      <c r="AD383" s="136">
        <f t="shared" ca="1" si="39"/>
        <v>0</v>
      </c>
      <c r="AE383" s="249" t="str">
        <f ca="1">IFERROR(VLOOKUP(B383,bond!B:U,20,FALSE),"")</f>
        <v/>
      </c>
      <c r="AF383" s="136" t="e">
        <f ca="1">IF(VLOOKUP(B383,bond!B:AK,36,FALSE)="#N/A Field Not Applicable","",VLOOKUP(B383,bond!B:AK,36,FALSE))</f>
        <v>#N/A</v>
      </c>
      <c r="AG383" s="136" t="e">
        <f ca="1">IF(VLOOKUP(B383,bond!B:AL,37,FALSE)="FIXED","固定",IF(VLOOKUP(B383,bond!B:AL,37,FALSE)="FLOATING","浮動",IF(VLOOKUP(B383,bond!B:AL,37,FALSE)="VARIABLE","變動",IF(VLOOKUP(B383,bond!B:AL,37,FALSE)="FLAT TRADING","不含息交易",IF(VLOOKUP(B383,bond!B:AL,37,FALSE)="ZERO COUPON","零息",VLOOKUP(B383,bond!B:AL,37,FALSE))))))</f>
        <v>#N/A</v>
      </c>
      <c r="AH383" s="136" t="e">
        <f>VLOOKUP(C383,'2_Check_code'!I:J,2,FALSE)</f>
        <v>#N/A</v>
      </c>
      <c r="AI383" s="136" t="e">
        <f t="shared" ca="1" si="40"/>
        <v>#N/A</v>
      </c>
      <c r="AJ383" s="136" t="e">
        <f t="shared" ca="1" si="41"/>
        <v>#N/A</v>
      </c>
      <c r="AK383" s="594" t="e">
        <f ca="1">IF(VLOOKUP(B383,bond!B:S,18,FALSE)="是","有",IF(VLOOKUP(B383,bond!B:S,18,FALSE)="NO OFFER","無","需查詢"))</f>
        <v>#N/A</v>
      </c>
      <c r="AL383" s="136" t="e">
        <f>IF(VLOOKUP(A383,bond!F:AR,39,FALSE)="#N/A Field Not Applicable",VLOOKUP(A383,bond!F:AR,38,FALSE),IFERROR(VLOOKUP(A383,'7_發行日例外'!A:B,2,FALSE),VLOOKUP(A383,bond!F:AR,39,FALSE)))</f>
        <v>#N/A</v>
      </c>
      <c r="AM383" s="136" t="e">
        <f ca="1">VLOOKUP(B383,bond!B:AK,36,FALSE)</f>
        <v>#N/A</v>
      </c>
      <c r="AN383" s="136" t="str">
        <f ca="1">IFERROR(VLOOKUP(B383,'3_是否下架'!A:A,1,FALSE),"")</f>
        <v/>
      </c>
      <c r="AO383" s="136" t="e">
        <f ca="1">VLOOKUP(B383,bond!B:J,9,FALSE)</f>
        <v>#N/A</v>
      </c>
      <c r="AP383" s="136" t="e">
        <f ca="1">VLOOKUP(B383,bond!B:V,21,FALSE)</f>
        <v>#N/A</v>
      </c>
    </row>
    <row r="384" spans="1:42">
      <c r="A384" s="141">
        <f>bond!F385</f>
        <v>0</v>
      </c>
      <c r="B384" s="151">
        <f ca="1">IF($C$1=TRUE,bond!B385,"")</f>
        <v>0</v>
      </c>
      <c r="C384" s="95" t="e">
        <f>VLOOKUP(A384,bond!F:G,2,FALSE)</f>
        <v>#N/A</v>
      </c>
      <c r="D384" s="142" t="e">
        <f ca="1">VLOOKUP(B384,bond!B:C,2,FALSE)</f>
        <v>#N/A</v>
      </c>
      <c r="E384" s="95" t="e">
        <f ca="1">VLOOKUP(B384,bond!B:D,3,FALSE)</f>
        <v>#N/A</v>
      </c>
      <c r="F384" s="99" t="e">
        <f ca="1">VLOOKUP(B384,bond!B:AB,27,FALSE)</f>
        <v>#N/A</v>
      </c>
      <c r="G384" s="90" t="e">
        <f ca="1">VLOOKUP(B384,bond!B:E,4,FALSE)</f>
        <v>#N/A</v>
      </c>
      <c r="H384" s="202" t="e">
        <f ca="1">VLOOKUP(B384,bond!B:Y,24,FALSE)</f>
        <v>#N/A</v>
      </c>
      <c r="I384" s="95" t="e">
        <f ca="1">VLOOKUP(B384,bond!B:Z,25,FALSE)</f>
        <v>#N/A</v>
      </c>
      <c r="J384" s="180" t="e">
        <f ca="1">VLOOKUP(B384,bond!B:K,10,FALSE)</f>
        <v>#N/A</v>
      </c>
      <c r="K384" s="96" t="e">
        <f ca="1">VLOOKUP($B384,bond!B:S,14,FALSE)</f>
        <v>#N/A</v>
      </c>
      <c r="L384" s="91" t="e">
        <f ca="1">VLOOKUP(B384,bond!B:H,7,FALSE)</f>
        <v>#N/A</v>
      </c>
      <c r="M384" s="144" t="e">
        <f ca="1">VLOOKUP($B384,bond!$B:$Q,16,FALSE)</f>
        <v>#N/A</v>
      </c>
      <c r="N384" s="136" t="e">
        <f ca="1">VALUE(LEFT(VLOOKUP(B384,bond!B:R,17,FALSE),SEARCH(" ",VLOOKUP(B384,bond!B:R,17,FALSE),1)))</f>
        <v>#N/A</v>
      </c>
      <c r="O384" s="136" t="e">
        <f ca="1">VALUE(RIGHT(VLOOKUP(B384,bond!B:R,17,FALSE),LEN(VLOOKUP(B384,bond!B:R,17,FALSE))-LEN(N384)-3))</f>
        <v>#N/A</v>
      </c>
      <c r="P384" s="135" t="e">
        <f ca="1">VLOOKUP($B384,bond!$B:$AG,32,FALSE)</f>
        <v>#N/A</v>
      </c>
      <c r="Q384" s="135" t="e">
        <f ca="1">VLOOKUP($B384,bond!$B:$AH,33,FALSE)</f>
        <v>#N/A</v>
      </c>
      <c r="R384" s="135" t="e">
        <f ca="1">VLOOKUP(B384,bond!B:AA,26,FALSE)</f>
        <v>#N/A</v>
      </c>
      <c r="S384" s="135" t="e">
        <f ca="1">VLOOKUP(B384,bond!B:AI,34,FALSE)</f>
        <v>#N/A</v>
      </c>
      <c r="T384" s="135" t="e">
        <f t="shared" ca="1" si="35"/>
        <v>#N/A</v>
      </c>
      <c r="U384" s="207" t="e">
        <f ca="1">IFERROR(VLOOKUP(T384,Bond_DES!D:E,2,FALSE),VLOOKUP(S384,bond!AI:AJ,2,FALSE))</f>
        <v>#N/A</v>
      </c>
      <c r="V384" s="136" t="e">
        <f ca="1">IFERROR(VLOOKUP(B384,'1_重設數據'!L:M,2,FALSE),IF(Q384="政府",IF(AD384&gt;16,"(NPI)非專投",IF(AD384&gt;10,"(PI)專投","高資產")),IF(VLOOKUP(B384,bond!B:AN,39,FALSE)="Y","(PI)專投",IF(AD384&gt;=15,"(NPI)非專投",IF(AD384&gt;=10,"(PI)專投","高資產")))))</f>
        <v>#N/A</v>
      </c>
      <c r="W384" s="136" t="e">
        <f ca="1">VLOOKUP(AD384,'credit rating'!$F$2:$H$22,3,FALSE)</f>
        <v>#N/A</v>
      </c>
      <c r="X384" s="136" t="e">
        <f t="shared" ca="1" si="36"/>
        <v>#N/A</v>
      </c>
      <c r="Y384" s="136" t="e">
        <f t="shared" ca="1" si="37"/>
        <v>#N/A</v>
      </c>
      <c r="Z384" s="136" t="e">
        <f t="shared" ca="1" si="38"/>
        <v>#N/A</v>
      </c>
      <c r="AA384" s="134">
        <f ca="1">IFERROR(VLOOKUP(X384,'credit rating'!A:C,3,FALSE),0)</f>
        <v>0</v>
      </c>
      <c r="AB384" s="134">
        <f ca="1">IFERROR(VLOOKUP(Y384,'credit rating'!B:C,2,FALSE),0)</f>
        <v>0</v>
      </c>
      <c r="AC384" s="136">
        <f ca="1">IFERROR(VLOOKUP(Z384,'credit rating'!B:C,2,FALSE),0)</f>
        <v>0</v>
      </c>
      <c r="AD384" s="136">
        <f t="shared" ca="1" si="39"/>
        <v>0</v>
      </c>
      <c r="AE384" s="249" t="str">
        <f ca="1">IFERROR(VLOOKUP(B384,bond!B:U,20,FALSE),"")</f>
        <v/>
      </c>
      <c r="AF384" s="136" t="e">
        <f ca="1">IF(VLOOKUP(B384,bond!B:AK,36,FALSE)="#N/A Field Not Applicable","",VLOOKUP(B384,bond!B:AK,36,FALSE))</f>
        <v>#N/A</v>
      </c>
      <c r="AG384" s="136" t="e">
        <f ca="1">IF(VLOOKUP(B384,bond!B:AL,37,FALSE)="FIXED","固定",IF(VLOOKUP(B384,bond!B:AL,37,FALSE)="FLOATING","浮動",IF(VLOOKUP(B384,bond!B:AL,37,FALSE)="VARIABLE","變動",IF(VLOOKUP(B384,bond!B:AL,37,FALSE)="FLAT TRADING","不含息交易",IF(VLOOKUP(B384,bond!B:AL,37,FALSE)="ZERO COUPON","零息",VLOOKUP(B384,bond!B:AL,37,FALSE))))))</f>
        <v>#N/A</v>
      </c>
      <c r="AH384" s="136" t="e">
        <f>VLOOKUP(C384,'2_Check_code'!I:J,2,FALSE)</f>
        <v>#N/A</v>
      </c>
      <c r="AI384" s="136" t="e">
        <f t="shared" ca="1" si="40"/>
        <v>#N/A</v>
      </c>
      <c r="AJ384" s="136" t="e">
        <f t="shared" ca="1" si="41"/>
        <v>#N/A</v>
      </c>
      <c r="AK384" s="594" t="e">
        <f ca="1">IF(VLOOKUP(B384,bond!B:S,18,FALSE)="是","有",IF(VLOOKUP(B384,bond!B:S,18,FALSE)="NO OFFER","無","需查詢"))</f>
        <v>#N/A</v>
      </c>
      <c r="AL384" s="136" t="e">
        <f>IF(VLOOKUP(A384,bond!F:AR,39,FALSE)="#N/A Field Not Applicable",VLOOKUP(A384,bond!F:AR,38,FALSE),IFERROR(VLOOKUP(A384,'7_發行日例外'!A:B,2,FALSE),VLOOKUP(A384,bond!F:AR,39,FALSE)))</f>
        <v>#N/A</v>
      </c>
      <c r="AM384" s="136" t="e">
        <f ca="1">VLOOKUP(B384,bond!B:AK,36,FALSE)</f>
        <v>#N/A</v>
      </c>
      <c r="AN384" s="136" t="str">
        <f ca="1">IFERROR(VLOOKUP(B384,'3_是否下架'!A:A,1,FALSE),"")</f>
        <v/>
      </c>
      <c r="AO384" s="136" t="e">
        <f ca="1">VLOOKUP(B384,bond!B:J,9,FALSE)</f>
        <v>#N/A</v>
      </c>
      <c r="AP384" s="136" t="e">
        <f ca="1">VLOOKUP(B384,bond!B:V,21,FALSE)</f>
        <v>#N/A</v>
      </c>
    </row>
    <row r="385" spans="1:42">
      <c r="A385" s="141">
        <f>bond!F386</f>
        <v>0</v>
      </c>
      <c r="B385" s="151">
        <f ca="1">IF($C$1=TRUE,bond!B386,"")</f>
        <v>0</v>
      </c>
      <c r="C385" s="95" t="e">
        <f>VLOOKUP(A385,bond!F:G,2,FALSE)</f>
        <v>#N/A</v>
      </c>
      <c r="D385" s="142" t="e">
        <f ca="1">VLOOKUP(B385,bond!B:C,2,FALSE)</f>
        <v>#N/A</v>
      </c>
      <c r="E385" s="95" t="e">
        <f ca="1">VLOOKUP(B385,bond!B:D,3,FALSE)</f>
        <v>#N/A</v>
      </c>
      <c r="F385" s="99" t="e">
        <f ca="1">VLOOKUP(B385,bond!B:AB,27,FALSE)</f>
        <v>#N/A</v>
      </c>
      <c r="G385" s="90" t="e">
        <f ca="1">VLOOKUP(B385,bond!B:E,4,FALSE)</f>
        <v>#N/A</v>
      </c>
      <c r="H385" s="202" t="e">
        <f ca="1">VLOOKUP(B385,bond!B:Y,24,FALSE)</f>
        <v>#N/A</v>
      </c>
      <c r="I385" s="95" t="e">
        <f ca="1">VLOOKUP(B385,bond!B:Z,25,FALSE)</f>
        <v>#N/A</v>
      </c>
      <c r="J385" s="180" t="e">
        <f ca="1">VLOOKUP(B385,bond!B:K,10,FALSE)</f>
        <v>#N/A</v>
      </c>
      <c r="K385" s="96" t="e">
        <f ca="1">VLOOKUP($B385,bond!B:S,14,FALSE)</f>
        <v>#N/A</v>
      </c>
      <c r="L385" s="91" t="e">
        <f ca="1">VLOOKUP(B385,bond!B:H,7,FALSE)</f>
        <v>#N/A</v>
      </c>
      <c r="M385" s="144" t="e">
        <f ca="1">VLOOKUP($B385,bond!$B:$Q,16,FALSE)</f>
        <v>#N/A</v>
      </c>
      <c r="N385" s="136" t="e">
        <f ca="1">VALUE(LEFT(VLOOKUP(B385,bond!B:R,17,FALSE),SEARCH(" ",VLOOKUP(B385,bond!B:R,17,FALSE),1)))</f>
        <v>#N/A</v>
      </c>
      <c r="O385" s="136" t="e">
        <f ca="1">VALUE(RIGHT(VLOOKUP(B385,bond!B:R,17,FALSE),LEN(VLOOKUP(B385,bond!B:R,17,FALSE))-LEN(N385)-3))</f>
        <v>#N/A</v>
      </c>
      <c r="P385" s="135" t="e">
        <f ca="1">VLOOKUP($B385,bond!$B:$AG,32,FALSE)</f>
        <v>#N/A</v>
      </c>
      <c r="Q385" s="135" t="e">
        <f ca="1">VLOOKUP($B385,bond!$B:$AH,33,FALSE)</f>
        <v>#N/A</v>
      </c>
      <c r="R385" s="135" t="e">
        <f ca="1">VLOOKUP(B385,bond!B:AA,26,FALSE)</f>
        <v>#N/A</v>
      </c>
      <c r="S385" s="135" t="e">
        <f ca="1">VLOOKUP(B385,bond!B:AI,34,FALSE)</f>
        <v>#N/A</v>
      </c>
      <c r="T385" s="135" t="e">
        <f t="shared" ca="1" si="35"/>
        <v>#N/A</v>
      </c>
      <c r="U385" s="207" t="e">
        <f ca="1">IFERROR(VLOOKUP(T385,Bond_DES!D:E,2,FALSE),VLOOKUP(S385,bond!AI:AJ,2,FALSE))</f>
        <v>#N/A</v>
      </c>
      <c r="V385" s="136" t="e">
        <f ca="1">IFERROR(VLOOKUP(B385,'1_重設數據'!L:M,2,FALSE),IF(Q385="政府",IF(AD385&gt;16,"(NPI)非專投",IF(AD385&gt;10,"(PI)專投","高資產")),IF(VLOOKUP(B385,bond!B:AN,39,FALSE)="Y","(PI)專投",IF(AD385&gt;=15,"(NPI)非專投",IF(AD385&gt;=10,"(PI)專投","高資產")))))</f>
        <v>#N/A</v>
      </c>
      <c r="W385" s="136" t="e">
        <f ca="1">VLOOKUP(AD385,'credit rating'!$F$2:$H$22,3,FALSE)</f>
        <v>#N/A</v>
      </c>
      <c r="X385" s="136" t="e">
        <f t="shared" ca="1" si="36"/>
        <v>#N/A</v>
      </c>
      <c r="Y385" s="136" t="e">
        <f t="shared" ca="1" si="37"/>
        <v>#N/A</v>
      </c>
      <c r="Z385" s="136" t="e">
        <f t="shared" ca="1" si="38"/>
        <v>#N/A</v>
      </c>
      <c r="AA385" s="134">
        <f ca="1">IFERROR(VLOOKUP(X385,'credit rating'!A:C,3,FALSE),0)</f>
        <v>0</v>
      </c>
      <c r="AB385" s="134">
        <f ca="1">IFERROR(VLOOKUP(Y385,'credit rating'!B:C,2,FALSE),0)</f>
        <v>0</v>
      </c>
      <c r="AC385" s="136">
        <f ca="1">IFERROR(VLOOKUP(Z385,'credit rating'!B:C,2,FALSE),0)</f>
        <v>0</v>
      </c>
      <c r="AD385" s="136">
        <f t="shared" ca="1" si="39"/>
        <v>0</v>
      </c>
      <c r="AE385" s="249" t="str">
        <f ca="1">IFERROR(VLOOKUP(B385,bond!B:U,20,FALSE),"")</f>
        <v/>
      </c>
      <c r="AF385" s="136" t="e">
        <f ca="1">IF(VLOOKUP(B385,bond!B:AK,36,FALSE)="#N/A Field Not Applicable","",VLOOKUP(B385,bond!B:AK,36,FALSE))</f>
        <v>#N/A</v>
      </c>
      <c r="AG385" s="136" t="e">
        <f ca="1">IF(VLOOKUP(B385,bond!B:AL,37,FALSE)="FIXED","固定",IF(VLOOKUP(B385,bond!B:AL,37,FALSE)="FLOATING","浮動",IF(VLOOKUP(B385,bond!B:AL,37,FALSE)="VARIABLE","變動",IF(VLOOKUP(B385,bond!B:AL,37,FALSE)="FLAT TRADING","不含息交易",IF(VLOOKUP(B385,bond!B:AL,37,FALSE)="ZERO COUPON","零息",VLOOKUP(B385,bond!B:AL,37,FALSE))))))</f>
        <v>#N/A</v>
      </c>
      <c r="AH385" s="136" t="e">
        <f>VLOOKUP(C385,'2_Check_code'!I:J,2,FALSE)</f>
        <v>#N/A</v>
      </c>
      <c r="AI385" s="136" t="e">
        <f t="shared" ca="1" si="40"/>
        <v>#N/A</v>
      </c>
      <c r="AJ385" s="136" t="e">
        <f t="shared" ca="1" si="41"/>
        <v>#N/A</v>
      </c>
      <c r="AK385" s="594" t="e">
        <f ca="1">IF(VLOOKUP(B385,bond!B:S,18,FALSE)="是","有",IF(VLOOKUP(B385,bond!B:S,18,FALSE)="NO OFFER","無","需查詢"))</f>
        <v>#N/A</v>
      </c>
      <c r="AL385" s="136" t="e">
        <f>IF(VLOOKUP(A385,bond!F:AR,39,FALSE)="#N/A Field Not Applicable",VLOOKUP(A385,bond!F:AR,38,FALSE),IFERROR(VLOOKUP(A385,'7_發行日例外'!A:B,2,FALSE),VLOOKUP(A385,bond!F:AR,39,FALSE)))</f>
        <v>#N/A</v>
      </c>
      <c r="AM385" s="136" t="e">
        <f ca="1">VLOOKUP(B385,bond!B:AK,36,FALSE)</f>
        <v>#N/A</v>
      </c>
      <c r="AN385" s="136" t="str">
        <f ca="1">IFERROR(VLOOKUP(B385,'3_是否下架'!A:A,1,FALSE),"")</f>
        <v/>
      </c>
      <c r="AO385" s="136" t="e">
        <f ca="1">VLOOKUP(B385,bond!B:J,9,FALSE)</f>
        <v>#N/A</v>
      </c>
      <c r="AP385" s="136" t="e">
        <f ca="1">VLOOKUP(B385,bond!B:V,21,FALSE)</f>
        <v>#N/A</v>
      </c>
    </row>
    <row r="386" spans="1:42">
      <c r="A386" s="141">
        <f>bond!F387</f>
        <v>0</v>
      </c>
      <c r="B386" s="151">
        <f ca="1">IF($C$1=TRUE,bond!B387,"")</f>
        <v>0</v>
      </c>
      <c r="C386" s="95" t="e">
        <f>VLOOKUP(A386,bond!F:G,2,FALSE)</f>
        <v>#N/A</v>
      </c>
      <c r="D386" s="142" t="e">
        <f ca="1">VLOOKUP(B386,bond!B:C,2,FALSE)</f>
        <v>#N/A</v>
      </c>
      <c r="E386" s="95" t="e">
        <f ca="1">VLOOKUP(B386,bond!B:D,3,FALSE)</f>
        <v>#N/A</v>
      </c>
      <c r="F386" s="99" t="e">
        <f ca="1">VLOOKUP(B386,bond!B:AB,27,FALSE)</f>
        <v>#N/A</v>
      </c>
      <c r="G386" s="90" t="e">
        <f ca="1">VLOOKUP(B386,bond!B:E,4,FALSE)</f>
        <v>#N/A</v>
      </c>
      <c r="H386" s="202" t="e">
        <f ca="1">VLOOKUP(B386,bond!B:Y,24,FALSE)</f>
        <v>#N/A</v>
      </c>
      <c r="I386" s="95" t="e">
        <f ca="1">VLOOKUP(B386,bond!B:Z,25,FALSE)</f>
        <v>#N/A</v>
      </c>
      <c r="J386" s="180" t="e">
        <f ca="1">VLOOKUP(B386,bond!B:K,10,FALSE)</f>
        <v>#N/A</v>
      </c>
      <c r="K386" s="96" t="e">
        <f ca="1">VLOOKUP($B386,bond!B:S,14,FALSE)</f>
        <v>#N/A</v>
      </c>
      <c r="L386" s="91" t="e">
        <f ca="1">VLOOKUP(B386,bond!B:H,7,FALSE)</f>
        <v>#N/A</v>
      </c>
      <c r="M386" s="144" t="e">
        <f ca="1">VLOOKUP($B386,bond!$B:$Q,16,FALSE)</f>
        <v>#N/A</v>
      </c>
      <c r="N386" s="136" t="e">
        <f ca="1">VALUE(LEFT(VLOOKUP(B386,bond!B:R,17,FALSE),SEARCH(" ",VLOOKUP(B386,bond!B:R,17,FALSE),1)))</f>
        <v>#N/A</v>
      </c>
      <c r="O386" s="136" t="e">
        <f ca="1">VALUE(RIGHT(VLOOKUP(B386,bond!B:R,17,FALSE),LEN(VLOOKUP(B386,bond!B:R,17,FALSE))-LEN(N386)-3))</f>
        <v>#N/A</v>
      </c>
      <c r="P386" s="135" t="e">
        <f ca="1">VLOOKUP($B386,bond!$B:$AG,32,FALSE)</f>
        <v>#N/A</v>
      </c>
      <c r="Q386" s="135" t="e">
        <f ca="1">VLOOKUP($B386,bond!$B:$AH,33,FALSE)</f>
        <v>#N/A</v>
      </c>
      <c r="R386" s="135" t="e">
        <f ca="1">VLOOKUP(B386,bond!B:AA,26,FALSE)</f>
        <v>#N/A</v>
      </c>
      <c r="S386" s="135" t="e">
        <f ca="1">VLOOKUP(B386,bond!B:AI,34,FALSE)</f>
        <v>#N/A</v>
      </c>
      <c r="T386" s="135" t="e">
        <f t="shared" ca="1" si="35"/>
        <v>#N/A</v>
      </c>
      <c r="U386" s="207" t="e">
        <f ca="1">IFERROR(VLOOKUP(T386,Bond_DES!D:E,2,FALSE),VLOOKUP(S386,bond!AI:AJ,2,FALSE))</f>
        <v>#N/A</v>
      </c>
      <c r="V386" s="136" t="e">
        <f ca="1">IFERROR(VLOOKUP(B386,'1_重設數據'!L:M,2,FALSE),IF(Q386="政府",IF(AD386&gt;16,"(NPI)非專投",IF(AD386&gt;10,"(PI)專投","高資產")),IF(VLOOKUP(B386,bond!B:AN,39,FALSE)="Y","(PI)專投",IF(AD386&gt;=15,"(NPI)非專投",IF(AD386&gt;=10,"(PI)專投","高資產")))))</f>
        <v>#N/A</v>
      </c>
      <c r="W386" s="136" t="e">
        <f ca="1">VLOOKUP(AD386,'credit rating'!$F$2:$H$22,3,FALSE)</f>
        <v>#N/A</v>
      </c>
      <c r="X386" s="136" t="e">
        <f t="shared" ca="1" si="36"/>
        <v>#N/A</v>
      </c>
      <c r="Y386" s="136" t="e">
        <f t="shared" ca="1" si="37"/>
        <v>#N/A</v>
      </c>
      <c r="Z386" s="136" t="e">
        <f t="shared" ca="1" si="38"/>
        <v>#N/A</v>
      </c>
      <c r="AA386" s="134">
        <f ca="1">IFERROR(VLOOKUP(X386,'credit rating'!A:C,3,FALSE),0)</f>
        <v>0</v>
      </c>
      <c r="AB386" s="134">
        <f ca="1">IFERROR(VLOOKUP(Y386,'credit rating'!B:C,2,FALSE),0)</f>
        <v>0</v>
      </c>
      <c r="AC386" s="136">
        <f ca="1">IFERROR(VLOOKUP(Z386,'credit rating'!B:C,2,FALSE),0)</f>
        <v>0</v>
      </c>
      <c r="AD386" s="136">
        <f t="shared" ca="1" si="39"/>
        <v>0</v>
      </c>
      <c r="AE386" s="249" t="str">
        <f ca="1">IFERROR(VLOOKUP(B386,bond!B:U,20,FALSE),"")</f>
        <v/>
      </c>
      <c r="AF386" s="136" t="e">
        <f ca="1">IF(VLOOKUP(B386,bond!B:AK,36,FALSE)="#N/A Field Not Applicable","",VLOOKUP(B386,bond!B:AK,36,FALSE))</f>
        <v>#N/A</v>
      </c>
      <c r="AG386" s="136" t="e">
        <f ca="1">IF(VLOOKUP(B386,bond!B:AL,37,FALSE)="FIXED","固定",IF(VLOOKUP(B386,bond!B:AL,37,FALSE)="FLOATING","浮動",IF(VLOOKUP(B386,bond!B:AL,37,FALSE)="VARIABLE","變動",IF(VLOOKUP(B386,bond!B:AL,37,FALSE)="FLAT TRADING","不含息交易",IF(VLOOKUP(B386,bond!B:AL,37,FALSE)="ZERO COUPON","零息",VLOOKUP(B386,bond!B:AL,37,FALSE))))))</f>
        <v>#N/A</v>
      </c>
      <c r="AH386" s="136" t="e">
        <f>VLOOKUP(C386,'2_Check_code'!I:J,2,FALSE)</f>
        <v>#N/A</v>
      </c>
      <c r="AI386" s="136" t="e">
        <f t="shared" ca="1" si="40"/>
        <v>#N/A</v>
      </c>
      <c r="AJ386" s="136" t="e">
        <f t="shared" ca="1" si="41"/>
        <v>#N/A</v>
      </c>
      <c r="AK386" s="594" t="e">
        <f ca="1">IF(VLOOKUP(B386,bond!B:S,18,FALSE)="是","有",IF(VLOOKUP(B386,bond!B:S,18,FALSE)="NO OFFER","無","需查詢"))</f>
        <v>#N/A</v>
      </c>
      <c r="AL386" s="136" t="e">
        <f>IF(VLOOKUP(A386,bond!F:AR,39,FALSE)="#N/A Field Not Applicable",VLOOKUP(A386,bond!F:AR,38,FALSE),IFERROR(VLOOKUP(A386,'7_發行日例外'!A:B,2,FALSE),VLOOKUP(A386,bond!F:AR,39,FALSE)))</f>
        <v>#N/A</v>
      </c>
      <c r="AM386" s="136" t="e">
        <f ca="1">VLOOKUP(B386,bond!B:AK,36,FALSE)</f>
        <v>#N/A</v>
      </c>
      <c r="AN386" s="136" t="str">
        <f ca="1">IFERROR(VLOOKUP(B386,'3_是否下架'!A:A,1,FALSE),"")</f>
        <v/>
      </c>
      <c r="AO386" s="136" t="e">
        <f ca="1">VLOOKUP(B386,bond!B:J,9,FALSE)</f>
        <v>#N/A</v>
      </c>
      <c r="AP386" s="136" t="e">
        <f ca="1">VLOOKUP(B386,bond!B:V,21,FALSE)</f>
        <v>#N/A</v>
      </c>
    </row>
    <row r="387" spans="1:42">
      <c r="A387" s="141">
        <f>bond!F388</f>
        <v>0</v>
      </c>
      <c r="B387" s="151">
        <f ca="1">IF($C$1=TRUE,bond!B388,"")</f>
        <v>0</v>
      </c>
      <c r="C387" s="95" t="e">
        <f>VLOOKUP(A387,bond!F:G,2,FALSE)</f>
        <v>#N/A</v>
      </c>
      <c r="D387" s="142" t="e">
        <f ca="1">VLOOKUP(B387,bond!B:C,2,FALSE)</f>
        <v>#N/A</v>
      </c>
      <c r="E387" s="95" t="e">
        <f ca="1">VLOOKUP(B387,bond!B:D,3,FALSE)</f>
        <v>#N/A</v>
      </c>
      <c r="F387" s="99" t="e">
        <f ca="1">VLOOKUP(B387,bond!B:AB,27,FALSE)</f>
        <v>#N/A</v>
      </c>
      <c r="G387" s="90" t="e">
        <f ca="1">VLOOKUP(B387,bond!B:E,4,FALSE)</f>
        <v>#N/A</v>
      </c>
      <c r="H387" s="202" t="e">
        <f ca="1">VLOOKUP(B387,bond!B:Y,24,FALSE)</f>
        <v>#N/A</v>
      </c>
      <c r="I387" s="95" t="e">
        <f ca="1">VLOOKUP(B387,bond!B:Z,25,FALSE)</f>
        <v>#N/A</v>
      </c>
      <c r="J387" s="180" t="e">
        <f ca="1">VLOOKUP(B387,bond!B:K,10,FALSE)</f>
        <v>#N/A</v>
      </c>
      <c r="K387" s="96" t="e">
        <f ca="1">VLOOKUP($B387,bond!B:S,14,FALSE)</f>
        <v>#N/A</v>
      </c>
      <c r="L387" s="91" t="e">
        <f ca="1">VLOOKUP(B387,bond!B:H,7,FALSE)</f>
        <v>#N/A</v>
      </c>
      <c r="M387" s="144" t="e">
        <f ca="1">VLOOKUP($B387,bond!$B:$Q,16,FALSE)</f>
        <v>#N/A</v>
      </c>
      <c r="N387" s="136" t="e">
        <f ca="1">VALUE(LEFT(VLOOKUP(B387,bond!B:R,17,FALSE),SEARCH(" ",VLOOKUP(B387,bond!B:R,17,FALSE),1)))</f>
        <v>#N/A</v>
      </c>
      <c r="O387" s="136" t="e">
        <f ca="1">VALUE(RIGHT(VLOOKUP(B387,bond!B:R,17,FALSE),LEN(VLOOKUP(B387,bond!B:R,17,FALSE))-LEN(N387)-3))</f>
        <v>#N/A</v>
      </c>
      <c r="P387" s="135" t="e">
        <f ca="1">VLOOKUP($B387,bond!$B:$AG,32,FALSE)</f>
        <v>#N/A</v>
      </c>
      <c r="Q387" s="135" t="e">
        <f ca="1">VLOOKUP($B387,bond!$B:$AH,33,FALSE)</f>
        <v>#N/A</v>
      </c>
      <c r="R387" s="135" t="e">
        <f ca="1">VLOOKUP(B387,bond!B:AA,26,FALSE)</f>
        <v>#N/A</v>
      </c>
      <c r="S387" s="135" t="e">
        <f ca="1">VLOOKUP(B387,bond!B:AI,34,FALSE)</f>
        <v>#N/A</v>
      </c>
      <c r="T387" s="135" t="e">
        <f t="shared" ca="1" si="35"/>
        <v>#N/A</v>
      </c>
      <c r="U387" s="207" t="e">
        <f ca="1">IFERROR(VLOOKUP(T387,Bond_DES!D:E,2,FALSE),VLOOKUP(S387,bond!AI:AJ,2,FALSE))</f>
        <v>#N/A</v>
      </c>
      <c r="V387" s="136" t="e">
        <f ca="1">IFERROR(VLOOKUP(B387,'1_重設數據'!L:M,2,FALSE),IF(Q387="政府",IF(AD387&gt;16,"(NPI)非專投",IF(AD387&gt;10,"(PI)專投","高資產")),IF(VLOOKUP(B387,bond!B:AN,39,FALSE)="Y","(PI)專投",IF(AD387&gt;=15,"(NPI)非專投",IF(AD387&gt;=10,"(PI)專投","高資產")))))</f>
        <v>#N/A</v>
      </c>
      <c r="W387" s="136" t="e">
        <f ca="1">VLOOKUP(AD387,'credit rating'!$F$2:$H$22,3,FALSE)</f>
        <v>#N/A</v>
      </c>
      <c r="X387" s="136" t="e">
        <f t="shared" ca="1" si="36"/>
        <v>#N/A</v>
      </c>
      <c r="Y387" s="136" t="e">
        <f t="shared" ca="1" si="37"/>
        <v>#N/A</v>
      </c>
      <c r="Z387" s="136" t="e">
        <f t="shared" ca="1" si="38"/>
        <v>#N/A</v>
      </c>
      <c r="AA387" s="134">
        <f ca="1">IFERROR(VLOOKUP(X387,'credit rating'!A:C,3,FALSE),0)</f>
        <v>0</v>
      </c>
      <c r="AB387" s="134">
        <f ca="1">IFERROR(VLOOKUP(Y387,'credit rating'!B:C,2,FALSE),0)</f>
        <v>0</v>
      </c>
      <c r="AC387" s="136">
        <f ca="1">IFERROR(VLOOKUP(Z387,'credit rating'!B:C,2,FALSE),0)</f>
        <v>0</v>
      </c>
      <c r="AD387" s="136">
        <f t="shared" ca="1" si="39"/>
        <v>0</v>
      </c>
      <c r="AE387" s="249" t="str">
        <f ca="1">IFERROR(VLOOKUP(B387,bond!B:U,20,FALSE),"")</f>
        <v/>
      </c>
      <c r="AF387" s="136" t="e">
        <f ca="1">IF(VLOOKUP(B387,bond!B:AK,36,FALSE)="#N/A Field Not Applicable","",VLOOKUP(B387,bond!B:AK,36,FALSE))</f>
        <v>#N/A</v>
      </c>
      <c r="AG387" s="136" t="e">
        <f ca="1">IF(VLOOKUP(B387,bond!B:AL,37,FALSE)="FIXED","固定",IF(VLOOKUP(B387,bond!B:AL,37,FALSE)="FLOATING","浮動",IF(VLOOKUP(B387,bond!B:AL,37,FALSE)="VARIABLE","變動",IF(VLOOKUP(B387,bond!B:AL,37,FALSE)="FLAT TRADING","不含息交易",IF(VLOOKUP(B387,bond!B:AL,37,FALSE)="ZERO COUPON","零息",VLOOKUP(B387,bond!B:AL,37,FALSE))))))</f>
        <v>#N/A</v>
      </c>
      <c r="AH387" s="136" t="e">
        <f>VLOOKUP(C387,'2_Check_code'!I:J,2,FALSE)</f>
        <v>#N/A</v>
      </c>
      <c r="AI387" s="136" t="e">
        <f t="shared" ca="1" si="40"/>
        <v>#N/A</v>
      </c>
      <c r="AJ387" s="136" t="e">
        <f t="shared" ca="1" si="41"/>
        <v>#N/A</v>
      </c>
      <c r="AK387" s="594" t="e">
        <f ca="1">IF(VLOOKUP(B387,bond!B:S,18,FALSE)="是","有",IF(VLOOKUP(B387,bond!B:S,18,FALSE)="NO OFFER","無","需查詢"))</f>
        <v>#N/A</v>
      </c>
      <c r="AL387" s="136" t="e">
        <f>IF(VLOOKUP(A387,bond!F:AR,39,FALSE)="#N/A Field Not Applicable",VLOOKUP(A387,bond!F:AR,38,FALSE),IFERROR(VLOOKUP(A387,'7_發行日例外'!A:B,2,FALSE),VLOOKUP(A387,bond!F:AR,39,FALSE)))</f>
        <v>#N/A</v>
      </c>
      <c r="AM387" s="136" t="e">
        <f ca="1">VLOOKUP(B387,bond!B:AK,36,FALSE)</f>
        <v>#N/A</v>
      </c>
      <c r="AN387" s="136" t="str">
        <f ca="1">IFERROR(VLOOKUP(B387,'3_是否下架'!A:A,1,FALSE),"")</f>
        <v/>
      </c>
      <c r="AO387" s="136" t="e">
        <f ca="1">VLOOKUP(B387,bond!B:J,9,FALSE)</f>
        <v>#N/A</v>
      </c>
      <c r="AP387" s="136" t="e">
        <f ca="1">VLOOKUP(B387,bond!B:V,21,FALSE)</f>
        <v>#N/A</v>
      </c>
    </row>
    <row r="388" spans="1:42">
      <c r="A388" s="141">
        <f>bond!F389</f>
        <v>0</v>
      </c>
      <c r="B388" s="151">
        <f ca="1">IF($C$1=TRUE,bond!B389,"")</f>
        <v>0</v>
      </c>
      <c r="C388" s="95" t="e">
        <f>VLOOKUP(A388,bond!F:G,2,FALSE)</f>
        <v>#N/A</v>
      </c>
      <c r="D388" s="142" t="e">
        <f ca="1">VLOOKUP(B388,bond!B:C,2,FALSE)</f>
        <v>#N/A</v>
      </c>
      <c r="E388" s="95" t="e">
        <f ca="1">VLOOKUP(B388,bond!B:D,3,FALSE)</f>
        <v>#N/A</v>
      </c>
      <c r="F388" s="99" t="e">
        <f ca="1">VLOOKUP(B388,bond!B:AB,27,FALSE)</f>
        <v>#N/A</v>
      </c>
      <c r="G388" s="90" t="e">
        <f ca="1">VLOOKUP(B388,bond!B:E,4,FALSE)</f>
        <v>#N/A</v>
      </c>
      <c r="H388" s="202" t="e">
        <f ca="1">VLOOKUP(B388,bond!B:Y,24,FALSE)</f>
        <v>#N/A</v>
      </c>
      <c r="I388" s="95" t="e">
        <f ca="1">VLOOKUP(B388,bond!B:Z,25,FALSE)</f>
        <v>#N/A</v>
      </c>
      <c r="J388" s="180" t="e">
        <f ca="1">VLOOKUP(B388,bond!B:K,10,FALSE)</f>
        <v>#N/A</v>
      </c>
      <c r="K388" s="96" t="e">
        <f ca="1">VLOOKUP($B388,bond!B:S,14,FALSE)</f>
        <v>#N/A</v>
      </c>
      <c r="L388" s="91" t="e">
        <f ca="1">VLOOKUP(B388,bond!B:H,7,FALSE)</f>
        <v>#N/A</v>
      </c>
      <c r="M388" s="144" t="e">
        <f ca="1">VLOOKUP($B388,bond!$B:$Q,16,FALSE)</f>
        <v>#N/A</v>
      </c>
      <c r="N388" s="136" t="e">
        <f ca="1">VALUE(LEFT(VLOOKUP(B388,bond!B:R,17,FALSE),SEARCH(" ",VLOOKUP(B388,bond!B:R,17,FALSE),1)))</f>
        <v>#N/A</v>
      </c>
      <c r="O388" s="136" t="e">
        <f ca="1">VALUE(RIGHT(VLOOKUP(B388,bond!B:R,17,FALSE),LEN(VLOOKUP(B388,bond!B:R,17,FALSE))-LEN(N388)-3))</f>
        <v>#N/A</v>
      </c>
      <c r="P388" s="135" t="e">
        <f ca="1">VLOOKUP($B388,bond!$B:$AG,32,FALSE)</f>
        <v>#N/A</v>
      </c>
      <c r="Q388" s="135" t="e">
        <f ca="1">VLOOKUP($B388,bond!$B:$AH,33,FALSE)</f>
        <v>#N/A</v>
      </c>
      <c r="R388" s="135" t="e">
        <f ca="1">VLOOKUP(B388,bond!B:AA,26,FALSE)</f>
        <v>#N/A</v>
      </c>
      <c r="S388" s="135" t="e">
        <f ca="1">VLOOKUP(B388,bond!B:AI,34,FALSE)</f>
        <v>#N/A</v>
      </c>
      <c r="T388" s="135" t="e">
        <f t="shared" ref="T388:T451" ca="1" si="42">CONCATENATE(R388,"/",S388)</f>
        <v>#N/A</v>
      </c>
      <c r="U388" s="207" t="e">
        <f ca="1">IFERROR(VLOOKUP(T388,Bond_DES!D:E,2,FALSE),VLOOKUP(S388,bond!AI:AJ,2,FALSE))</f>
        <v>#N/A</v>
      </c>
      <c r="V388" s="136" t="e">
        <f ca="1">IFERROR(VLOOKUP(B388,'1_重設數據'!L:M,2,FALSE),IF(Q388="政府",IF(AD388&gt;16,"(NPI)非專投",IF(AD388&gt;10,"(PI)專投","高資產")),IF(VLOOKUP(B388,bond!B:AN,39,FALSE)="Y","(PI)專投",IF(AD388&gt;=15,"(NPI)非專投",IF(AD388&gt;=10,"(PI)專投","高資產")))))</f>
        <v>#N/A</v>
      </c>
      <c r="W388" s="136" t="e">
        <f ca="1">VLOOKUP(AD388,'credit rating'!$F$2:$H$22,3,FALSE)</f>
        <v>#N/A</v>
      </c>
      <c r="X388" s="136" t="e">
        <f t="shared" ref="X388:X451" ca="1" si="43">LEFT(E388,SEARCH(" /",E388)-1)</f>
        <v>#N/A</v>
      </c>
      <c r="Y388" s="136" t="e">
        <f t="shared" ref="Y388:Y451" ca="1" si="44">MID(E388,LEN(X388)+4,LEN(E388)-LEN(X388)-LEN(Z388)-6)</f>
        <v>#N/A</v>
      </c>
      <c r="Z388" s="136" t="e">
        <f t="shared" ref="Z388:Z451" ca="1" si="45">TRIM(RIGHT(SUBSTITUTE(E388,"/ ",REPT(" ",99)),99))</f>
        <v>#N/A</v>
      </c>
      <c r="AA388" s="134">
        <f ca="1">IFERROR(VLOOKUP(X388,'credit rating'!A:C,3,FALSE),0)</f>
        <v>0</v>
      </c>
      <c r="AB388" s="134">
        <f ca="1">IFERROR(VLOOKUP(Y388,'credit rating'!B:C,2,FALSE),0)</f>
        <v>0</v>
      </c>
      <c r="AC388" s="136">
        <f ca="1">IFERROR(VLOOKUP(Z388,'credit rating'!B:C,2,FALSE),0)</f>
        <v>0</v>
      </c>
      <c r="AD388" s="136">
        <f t="shared" ref="AD388:AD451" ca="1" si="46">MAX(AA388:AC388)</f>
        <v>0</v>
      </c>
      <c r="AE388" s="249" t="str">
        <f ca="1">IFERROR(VLOOKUP(B388,bond!B:U,20,FALSE),"")</f>
        <v/>
      </c>
      <c r="AF388" s="136" t="e">
        <f ca="1">IF(VLOOKUP(B388,bond!B:AK,36,FALSE)="#N/A Field Not Applicable","",VLOOKUP(B388,bond!B:AK,36,FALSE))</f>
        <v>#N/A</v>
      </c>
      <c r="AG388" s="136" t="e">
        <f ca="1">IF(VLOOKUP(B388,bond!B:AL,37,FALSE)="FIXED","固定",IF(VLOOKUP(B388,bond!B:AL,37,FALSE)="FLOATING","浮動",IF(VLOOKUP(B388,bond!B:AL,37,FALSE)="VARIABLE","變動",IF(VLOOKUP(B388,bond!B:AL,37,FALSE)="FLAT TRADING","不含息交易",IF(VLOOKUP(B388,bond!B:AL,37,FALSE)="ZERO COUPON","零息",VLOOKUP(B388,bond!B:AL,37,FALSE))))))</f>
        <v>#N/A</v>
      </c>
      <c r="AH388" s="136" t="e">
        <f>VLOOKUP(C388,'2_Check_code'!I:J,2,FALSE)</f>
        <v>#N/A</v>
      </c>
      <c r="AI388" s="136" t="e">
        <f t="shared" ref="AI388:AI451" ca="1" si="47">IF(AND(I388=2,C388="USD"),"自由選清單","")</f>
        <v>#N/A</v>
      </c>
      <c r="AJ388" s="136" t="e">
        <f t="shared" ref="AJ388:AJ451" ca="1" si="48">IF(AND(I388=2,C388="USD"),0,1)</f>
        <v>#N/A</v>
      </c>
      <c r="AK388" s="594" t="e">
        <f ca="1">IF(VLOOKUP(B388,bond!B:S,18,FALSE)="是","有",IF(VLOOKUP(B388,bond!B:S,18,FALSE)="NO OFFER","無","需查詢"))</f>
        <v>#N/A</v>
      </c>
      <c r="AL388" s="136" t="e">
        <f>IF(VLOOKUP(A388,bond!F:AR,39,FALSE)="#N/A Field Not Applicable",VLOOKUP(A388,bond!F:AR,38,FALSE),IFERROR(VLOOKUP(A388,'7_發行日例外'!A:B,2,FALSE),VLOOKUP(A388,bond!F:AR,39,FALSE)))</f>
        <v>#N/A</v>
      </c>
      <c r="AM388" s="136" t="e">
        <f ca="1">VLOOKUP(B388,bond!B:AK,36,FALSE)</f>
        <v>#N/A</v>
      </c>
      <c r="AN388" s="136" t="str">
        <f ca="1">IFERROR(VLOOKUP(B388,'3_是否下架'!A:A,1,FALSE),"")</f>
        <v/>
      </c>
      <c r="AO388" s="136" t="e">
        <f ca="1">VLOOKUP(B388,bond!B:J,9,FALSE)</f>
        <v>#N/A</v>
      </c>
      <c r="AP388" s="136" t="e">
        <f ca="1">VLOOKUP(B388,bond!B:V,21,FALSE)</f>
        <v>#N/A</v>
      </c>
    </row>
    <row r="389" spans="1:42">
      <c r="A389" s="141">
        <f>bond!F390</f>
        <v>0</v>
      </c>
      <c r="B389" s="151">
        <f ca="1">IF($C$1=TRUE,bond!B390,"")</f>
        <v>0</v>
      </c>
      <c r="C389" s="95" t="e">
        <f>VLOOKUP(A389,bond!F:G,2,FALSE)</f>
        <v>#N/A</v>
      </c>
      <c r="D389" s="142" t="e">
        <f ca="1">VLOOKUP(B389,bond!B:C,2,FALSE)</f>
        <v>#N/A</v>
      </c>
      <c r="E389" s="95" t="e">
        <f ca="1">VLOOKUP(B389,bond!B:D,3,FALSE)</f>
        <v>#N/A</v>
      </c>
      <c r="F389" s="99" t="e">
        <f ca="1">VLOOKUP(B389,bond!B:AB,27,FALSE)</f>
        <v>#N/A</v>
      </c>
      <c r="G389" s="90" t="e">
        <f ca="1">VLOOKUP(B389,bond!B:E,4,FALSE)</f>
        <v>#N/A</v>
      </c>
      <c r="H389" s="202" t="e">
        <f ca="1">VLOOKUP(B389,bond!B:Y,24,FALSE)</f>
        <v>#N/A</v>
      </c>
      <c r="I389" s="95" t="e">
        <f ca="1">VLOOKUP(B389,bond!B:Z,25,FALSE)</f>
        <v>#N/A</v>
      </c>
      <c r="J389" s="180" t="e">
        <f ca="1">VLOOKUP(B389,bond!B:K,10,FALSE)</f>
        <v>#N/A</v>
      </c>
      <c r="K389" s="96" t="e">
        <f ca="1">VLOOKUP($B389,bond!B:S,14,FALSE)</f>
        <v>#N/A</v>
      </c>
      <c r="L389" s="91" t="e">
        <f ca="1">VLOOKUP(B389,bond!B:H,7,FALSE)</f>
        <v>#N/A</v>
      </c>
      <c r="M389" s="144" t="e">
        <f ca="1">VLOOKUP($B389,bond!$B:$Q,16,FALSE)</f>
        <v>#N/A</v>
      </c>
      <c r="N389" s="136" t="e">
        <f ca="1">VALUE(LEFT(VLOOKUP(B389,bond!B:R,17,FALSE),SEARCH(" ",VLOOKUP(B389,bond!B:R,17,FALSE),1)))</f>
        <v>#N/A</v>
      </c>
      <c r="O389" s="136" t="e">
        <f ca="1">VALUE(RIGHT(VLOOKUP(B389,bond!B:R,17,FALSE),LEN(VLOOKUP(B389,bond!B:R,17,FALSE))-LEN(N389)-3))</f>
        <v>#N/A</v>
      </c>
      <c r="P389" s="135" t="e">
        <f ca="1">VLOOKUP($B389,bond!$B:$AG,32,FALSE)</f>
        <v>#N/A</v>
      </c>
      <c r="Q389" s="135" t="e">
        <f ca="1">VLOOKUP($B389,bond!$B:$AH,33,FALSE)</f>
        <v>#N/A</v>
      </c>
      <c r="R389" s="135" t="e">
        <f ca="1">VLOOKUP(B389,bond!B:AA,26,FALSE)</f>
        <v>#N/A</v>
      </c>
      <c r="S389" s="135" t="e">
        <f ca="1">VLOOKUP(B389,bond!B:AI,34,FALSE)</f>
        <v>#N/A</v>
      </c>
      <c r="T389" s="135" t="e">
        <f t="shared" ca="1" si="42"/>
        <v>#N/A</v>
      </c>
      <c r="U389" s="207" t="e">
        <f ca="1">IFERROR(VLOOKUP(T389,Bond_DES!D:E,2,FALSE),VLOOKUP(S389,bond!AI:AJ,2,FALSE))</f>
        <v>#N/A</v>
      </c>
      <c r="V389" s="136" t="e">
        <f ca="1">IFERROR(VLOOKUP(B389,'1_重設數據'!L:M,2,FALSE),IF(Q389="政府",IF(AD389&gt;16,"(NPI)非專投",IF(AD389&gt;10,"(PI)專投","高資產")),IF(VLOOKUP(B389,bond!B:AN,39,FALSE)="Y","(PI)專投",IF(AD389&gt;=15,"(NPI)非專投",IF(AD389&gt;=10,"(PI)專投","高資產")))))</f>
        <v>#N/A</v>
      </c>
      <c r="W389" s="136" t="e">
        <f ca="1">VLOOKUP(AD389,'credit rating'!$F$2:$H$22,3,FALSE)</f>
        <v>#N/A</v>
      </c>
      <c r="X389" s="136" t="e">
        <f t="shared" ca="1" si="43"/>
        <v>#N/A</v>
      </c>
      <c r="Y389" s="136" t="e">
        <f t="shared" ca="1" si="44"/>
        <v>#N/A</v>
      </c>
      <c r="Z389" s="136" t="e">
        <f t="shared" ca="1" si="45"/>
        <v>#N/A</v>
      </c>
      <c r="AA389" s="134">
        <f ca="1">IFERROR(VLOOKUP(X389,'credit rating'!A:C,3,FALSE),0)</f>
        <v>0</v>
      </c>
      <c r="AB389" s="134">
        <f ca="1">IFERROR(VLOOKUP(Y389,'credit rating'!B:C,2,FALSE),0)</f>
        <v>0</v>
      </c>
      <c r="AC389" s="136">
        <f ca="1">IFERROR(VLOOKUP(Z389,'credit rating'!B:C,2,FALSE),0)</f>
        <v>0</v>
      </c>
      <c r="AD389" s="136">
        <f t="shared" ca="1" si="46"/>
        <v>0</v>
      </c>
      <c r="AE389" s="249" t="str">
        <f ca="1">IFERROR(VLOOKUP(B389,bond!B:U,20,FALSE),"")</f>
        <v/>
      </c>
      <c r="AF389" s="136" t="e">
        <f ca="1">IF(VLOOKUP(B389,bond!B:AK,36,FALSE)="#N/A Field Not Applicable","",VLOOKUP(B389,bond!B:AK,36,FALSE))</f>
        <v>#N/A</v>
      </c>
      <c r="AG389" s="136" t="e">
        <f ca="1">IF(VLOOKUP(B389,bond!B:AL,37,FALSE)="FIXED","固定",IF(VLOOKUP(B389,bond!B:AL,37,FALSE)="FLOATING","浮動",IF(VLOOKUP(B389,bond!B:AL,37,FALSE)="VARIABLE","變動",IF(VLOOKUP(B389,bond!B:AL,37,FALSE)="FLAT TRADING","不含息交易",IF(VLOOKUP(B389,bond!B:AL,37,FALSE)="ZERO COUPON","零息",VLOOKUP(B389,bond!B:AL,37,FALSE))))))</f>
        <v>#N/A</v>
      </c>
      <c r="AH389" s="136" t="e">
        <f>VLOOKUP(C389,'2_Check_code'!I:J,2,FALSE)</f>
        <v>#N/A</v>
      </c>
      <c r="AI389" s="136" t="e">
        <f t="shared" ca="1" si="47"/>
        <v>#N/A</v>
      </c>
      <c r="AJ389" s="136" t="e">
        <f t="shared" ca="1" si="48"/>
        <v>#N/A</v>
      </c>
      <c r="AK389" s="594" t="e">
        <f ca="1">IF(VLOOKUP(B389,bond!B:S,18,FALSE)="是","有",IF(VLOOKUP(B389,bond!B:S,18,FALSE)="NO OFFER","無","需查詢"))</f>
        <v>#N/A</v>
      </c>
      <c r="AL389" s="136" t="e">
        <f>IF(VLOOKUP(A389,bond!F:AR,39,FALSE)="#N/A Field Not Applicable",VLOOKUP(A389,bond!F:AR,38,FALSE),IFERROR(VLOOKUP(A389,'7_發行日例外'!A:B,2,FALSE),VLOOKUP(A389,bond!F:AR,39,FALSE)))</f>
        <v>#N/A</v>
      </c>
      <c r="AM389" s="136" t="e">
        <f ca="1">VLOOKUP(B389,bond!B:AK,36,FALSE)</f>
        <v>#N/A</v>
      </c>
      <c r="AN389" s="136" t="str">
        <f ca="1">IFERROR(VLOOKUP(B389,'3_是否下架'!A:A,1,FALSE),"")</f>
        <v/>
      </c>
      <c r="AO389" s="136" t="e">
        <f ca="1">VLOOKUP(B389,bond!B:J,9,FALSE)</f>
        <v>#N/A</v>
      </c>
      <c r="AP389" s="136" t="e">
        <f ca="1">VLOOKUP(B389,bond!B:V,21,FALSE)</f>
        <v>#N/A</v>
      </c>
    </row>
    <row r="390" spans="1:42">
      <c r="A390" s="141">
        <f>bond!F391</f>
        <v>0</v>
      </c>
      <c r="B390" s="151">
        <f ca="1">IF($C$1=TRUE,bond!B391,"")</f>
        <v>0</v>
      </c>
      <c r="C390" s="95" t="e">
        <f>VLOOKUP(A390,bond!F:G,2,FALSE)</f>
        <v>#N/A</v>
      </c>
      <c r="D390" s="142" t="e">
        <f ca="1">VLOOKUP(B390,bond!B:C,2,FALSE)</f>
        <v>#N/A</v>
      </c>
      <c r="E390" s="95" t="e">
        <f ca="1">VLOOKUP(B390,bond!B:D,3,FALSE)</f>
        <v>#N/A</v>
      </c>
      <c r="F390" s="99" t="e">
        <f ca="1">VLOOKUP(B390,bond!B:AB,27,FALSE)</f>
        <v>#N/A</v>
      </c>
      <c r="G390" s="90" t="e">
        <f ca="1">VLOOKUP(B390,bond!B:E,4,FALSE)</f>
        <v>#N/A</v>
      </c>
      <c r="H390" s="202" t="e">
        <f ca="1">VLOOKUP(B390,bond!B:Y,24,FALSE)</f>
        <v>#N/A</v>
      </c>
      <c r="I390" s="95" t="e">
        <f ca="1">VLOOKUP(B390,bond!B:Z,25,FALSE)</f>
        <v>#N/A</v>
      </c>
      <c r="J390" s="180" t="e">
        <f ca="1">VLOOKUP(B390,bond!B:K,10,FALSE)</f>
        <v>#N/A</v>
      </c>
      <c r="K390" s="96" t="e">
        <f ca="1">VLOOKUP($B390,bond!B:S,14,FALSE)</f>
        <v>#N/A</v>
      </c>
      <c r="L390" s="91" t="e">
        <f ca="1">VLOOKUP(B390,bond!B:H,7,FALSE)</f>
        <v>#N/A</v>
      </c>
      <c r="M390" s="144" t="e">
        <f ca="1">VLOOKUP($B390,bond!$B:$Q,16,FALSE)</f>
        <v>#N/A</v>
      </c>
      <c r="N390" s="136" t="e">
        <f ca="1">VALUE(LEFT(VLOOKUP(B390,bond!B:R,17,FALSE),SEARCH(" ",VLOOKUP(B390,bond!B:R,17,FALSE),1)))</f>
        <v>#N/A</v>
      </c>
      <c r="O390" s="136" t="e">
        <f ca="1">VALUE(RIGHT(VLOOKUP(B390,bond!B:R,17,FALSE),LEN(VLOOKUP(B390,bond!B:R,17,FALSE))-LEN(N390)-3))</f>
        <v>#N/A</v>
      </c>
      <c r="P390" s="135" t="e">
        <f ca="1">VLOOKUP($B390,bond!$B:$AG,32,FALSE)</f>
        <v>#N/A</v>
      </c>
      <c r="Q390" s="135" t="e">
        <f ca="1">VLOOKUP($B390,bond!$B:$AH,33,FALSE)</f>
        <v>#N/A</v>
      </c>
      <c r="R390" s="135" t="e">
        <f ca="1">VLOOKUP(B390,bond!B:AA,26,FALSE)</f>
        <v>#N/A</v>
      </c>
      <c r="S390" s="135" t="e">
        <f ca="1">VLOOKUP(B390,bond!B:AI,34,FALSE)</f>
        <v>#N/A</v>
      </c>
      <c r="T390" s="135" t="e">
        <f t="shared" ca="1" si="42"/>
        <v>#N/A</v>
      </c>
      <c r="U390" s="207" t="e">
        <f ca="1">IFERROR(VLOOKUP(T390,Bond_DES!D:E,2,FALSE),VLOOKUP(S390,bond!AI:AJ,2,FALSE))</f>
        <v>#N/A</v>
      </c>
      <c r="V390" s="136" t="e">
        <f ca="1">IFERROR(VLOOKUP(B390,'1_重設數據'!L:M,2,FALSE),IF(Q390="政府",IF(AD390&gt;16,"(NPI)非專投",IF(AD390&gt;10,"(PI)專投","高資產")),IF(VLOOKUP(B390,bond!B:AN,39,FALSE)="Y","(PI)專投",IF(AD390&gt;=15,"(NPI)非專投",IF(AD390&gt;=10,"(PI)專投","高資產")))))</f>
        <v>#N/A</v>
      </c>
      <c r="W390" s="136" t="e">
        <f ca="1">VLOOKUP(AD390,'credit rating'!$F$2:$H$22,3,FALSE)</f>
        <v>#N/A</v>
      </c>
      <c r="X390" s="136" t="e">
        <f t="shared" ca="1" si="43"/>
        <v>#N/A</v>
      </c>
      <c r="Y390" s="136" t="e">
        <f t="shared" ca="1" si="44"/>
        <v>#N/A</v>
      </c>
      <c r="Z390" s="136" t="e">
        <f t="shared" ca="1" si="45"/>
        <v>#N/A</v>
      </c>
      <c r="AA390" s="134">
        <f ca="1">IFERROR(VLOOKUP(X390,'credit rating'!A:C,3,FALSE),0)</f>
        <v>0</v>
      </c>
      <c r="AB390" s="134">
        <f ca="1">IFERROR(VLOOKUP(Y390,'credit rating'!B:C,2,FALSE),0)</f>
        <v>0</v>
      </c>
      <c r="AC390" s="136">
        <f ca="1">IFERROR(VLOOKUP(Z390,'credit rating'!B:C,2,FALSE),0)</f>
        <v>0</v>
      </c>
      <c r="AD390" s="136">
        <f t="shared" ca="1" si="46"/>
        <v>0</v>
      </c>
      <c r="AE390" s="249" t="str">
        <f ca="1">IFERROR(VLOOKUP(B390,bond!B:U,20,FALSE),"")</f>
        <v/>
      </c>
      <c r="AF390" s="136" t="e">
        <f ca="1">IF(VLOOKUP(B390,bond!B:AK,36,FALSE)="#N/A Field Not Applicable","",VLOOKUP(B390,bond!B:AK,36,FALSE))</f>
        <v>#N/A</v>
      </c>
      <c r="AG390" s="136" t="e">
        <f ca="1">IF(VLOOKUP(B390,bond!B:AL,37,FALSE)="FIXED","固定",IF(VLOOKUP(B390,bond!B:AL,37,FALSE)="FLOATING","浮動",IF(VLOOKUP(B390,bond!B:AL,37,FALSE)="VARIABLE","變動",IF(VLOOKUP(B390,bond!B:AL,37,FALSE)="FLAT TRADING","不含息交易",IF(VLOOKUP(B390,bond!B:AL,37,FALSE)="ZERO COUPON","零息",VLOOKUP(B390,bond!B:AL,37,FALSE))))))</f>
        <v>#N/A</v>
      </c>
      <c r="AH390" s="136" t="e">
        <f>VLOOKUP(C390,'2_Check_code'!I:J,2,FALSE)</f>
        <v>#N/A</v>
      </c>
      <c r="AI390" s="136" t="e">
        <f t="shared" ca="1" si="47"/>
        <v>#N/A</v>
      </c>
      <c r="AJ390" s="136" t="e">
        <f t="shared" ca="1" si="48"/>
        <v>#N/A</v>
      </c>
      <c r="AK390" s="594" t="e">
        <f ca="1">IF(VLOOKUP(B390,bond!B:S,18,FALSE)="是","有",IF(VLOOKUP(B390,bond!B:S,18,FALSE)="NO OFFER","無","需查詢"))</f>
        <v>#N/A</v>
      </c>
      <c r="AL390" s="136" t="e">
        <f>IF(VLOOKUP(A390,bond!F:AR,39,FALSE)="#N/A Field Not Applicable",VLOOKUP(A390,bond!F:AR,38,FALSE),IFERROR(VLOOKUP(A390,'7_發行日例外'!A:B,2,FALSE),VLOOKUP(A390,bond!F:AR,39,FALSE)))</f>
        <v>#N/A</v>
      </c>
      <c r="AM390" s="136" t="e">
        <f ca="1">VLOOKUP(B390,bond!B:AK,36,FALSE)</f>
        <v>#N/A</v>
      </c>
      <c r="AN390" s="136" t="str">
        <f ca="1">IFERROR(VLOOKUP(B390,'3_是否下架'!A:A,1,FALSE),"")</f>
        <v/>
      </c>
      <c r="AO390" s="136" t="e">
        <f ca="1">VLOOKUP(B390,bond!B:J,9,FALSE)</f>
        <v>#N/A</v>
      </c>
      <c r="AP390" s="136" t="e">
        <f ca="1">VLOOKUP(B390,bond!B:V,21,FALSE)</f>
        <v>#N/A</v>
      </c>
    </row>
    <row r="391" spans="1:42">
      <c r="A391" s="141">
        <f>bond!F392</f>
        <v>0</v>
      </c>
      <c r="B391" s="151">
        <f ca="1">IF($C$1=TRUE,bond!B392,"")</f>
        <v>0</v>
      </c>
      <c r="C391" s="95" t="e">
        <f>VLOOKUP(A391,bond!F:G,2,FALSE)</f>
        <v>#N/A</v>
      </c>
      <c r="D391" s="142" t="e">
        <f ca="1">VLOOKUP(B391,bond!B:C,2,FALSE)</f>
        <v>#N/A</v>
      </c>
      <c r="E391" s="95" t="e">
        <f ca="1">VLOOKUP(B391,bond!B:D,3,FALSE)</f>
        <v>#N/A</v>
      </c>
      <c r="F391" s="99" t="e">
        <f ca="1">VLOOKUP(B391,bond!B:AB,27,FALSE)</f>
        <v>#N/A</v>
      </c>
      <c r="G391" s="90" t="e">
        <f ca="1">VLOOKUP(B391,bond!B:E,4,FALSE)</f>
        <v>#N/A</v>
      </c>
      <c r="H391" s="202" t="e">
        <f ca="1">VLOOKUP(B391,bond!B:Y,24,FALSE)</f>
        <v>#N/A</v>
      </c>
      <c r="I391" s="95" t="e">
        <f ca="1">VLOOKUP(B391,bond!B:Z,25,FALSE)</f>
        <v>#N/A</v>
      </c>
      <c r="J391" s="180" t="e">
        <f ca="1">VLOOKUP(B391,bond!B:K,10,FALSE)</f>
        <v>#N/A</v>
      </c>
      <c r="K391" s="96" t="e">
        <f ca="1">VLOOKUP($B391,bond!B:S,14,FALSE)</f>
        <v>#N/A</v>
      </c>
      <c r="L391" s="91" t="e">
        <f ca="1">VLOOKUP(B391,bond!B:H,7,FALSE)</f>
        <v>#N/A</v>
      </c>
      <c r="M391" s="144" t="e">
        <f ca="1">VLOOKUP($B391,bond!$B:$Q,16,FALSE)</f>
        <v>#N/A</v>
      </c>
      <c r="N391" s="136" t="e">
        <f ca="1">VALUE(LEFT(VLOOKUP(B391,bond!B:R,17,FALSE),SEARCH(" ",VLOOKUP(B391,bond!B:R,17,FALSE),1)))</f>
        <v>#N/A</v>
      </c>
      <c r="O391" s="136" t="e">
        <f ca="1">VALUE(RIGHT(VLOOKUP(B391,bond!B:R,17,FALSE),LEN(VLOOKUP(B391,bond!B:R,17,FALSE))-LEN(N391)-3))</f>
        <v>#N/A</v>
      </c>
      <c r="P391" s="135" t="e">
        <f ca="1">VLOOKUP($B391,bond!$B:$AG,32,FALSE)</f>
        <v>#N/A</v>
      </c>
      <c r="Q391" s="135" t="e">
        <f ca="1">VLOOKUP($B391,bond!$B:$AH,33,FALSE)</f>
        <v>#N/A</v>
      </c>
      <c r="R391" s="135" t="e">
        <f ca="1">VLOOKUP(B391,bond!B:AA,26,FALSE)</f>
        <v>#N/A</v>
      </c>
      <c r="S391" s="135" t="e">
        <f ca="1">VLOOKUP(B391,bond!B:AI,34,FALSE)</f>
        <v>#N/A</v>
      </c>
      <c r="T391" s="135" t="e">
        <f t="shared" ca="1" si="42"/>
        <v>#N/A</v>
      </c>
      <c r="U391" s="207" t="e">
        <f ca="1">IFERROR(VLOOKUP(T391,Bond_DES!D:E,2,FALSE),VLOOKUP(S391,bond!AI:AJ,2,FALSE))</f>
        <v>#N/A</v>
      </c>
      <c r="V391" s="136" t="e">
        <f ca="1">IFERROR(VLOOKUP(B391,'1_重設數據'!L:M,2,FALSE),IF(Q391="政府",IF(AD391&gt;16,"(NPI)非專投",IF(AD391&gt;10,"(PI)專投","高資產")),IF(VLOOKUP(B391,bond!B:AN,39,FALSE)="Y","(PI)專投",IF(AD391&gt;=15,"(NPI)非專投",IF(AD391&gt;=10,"(PI)專投","高資產")))))</f>
        <v>#N/A</v>
      </c>
      <c r="W391" s="136" t="e">
        <f ca="1">VLOOKUP(AD391,'credit rating'!$F$2:$H$22,3,FALSE)</f>
        <v>#N/A</v>
      </c>
      <c r="X391" s="136" t="e">
        <f t="shared" ca="1" si="43"/>
        <v>#N/A</v>
      </c>
      <c r="Y391" s="136" t="e">
        <f t="shared" ca="1" si="44"/>
        <v>#N/A</v>
      </c>
      <c r="Z391" s="136" t="e">
        <f t="shared" ca="1" si="45"/>
        <v>#N/A</v>
      </c>
      <c r="AA391" s="134">
        <f ca="1">IFERROR(VLOOKUP(X391,'credit rating'!A:C,3,FALSE),0)</f>
        <v>0</v>
      </c>
      <c r="AB391" s="134">
        <f ca="1">IFERROR(VLOOKUP(Y391,'credit rating'!B:C,2,FALSE),0)</f>
        <v>0</v>
      </c>
      <c r="AC391" s="136">
        <f ca="1">IFERROR(VLOOKUP(Z391,'credit rating'!B:C,2,FALSE),0)</f>
        <v>0</v>
      </c>
      <c r="AD391" s="136">
        <f t="shared" ca="1" si="46"/>
        <v>0</v>
      </c>
      <c r="AE391" s="249" t="str">
        <f ca="1">IFERROR(VLOOKUP(B391,bond!B:U,20,FALSE),"")</f>
        <v/>
      </c>
      <c r="AF391" s="136" t="e">
        <f ca="1">IF(VLOOKUP(B391,bond!B:AK,36,FALSE)="#N/A Field Not Applicable","",VLOOKUP(B391,bond!B:AK,36,FALSE))</f>
        <v>#N/A</v>
      </c>
      <c r="AG391" s="136" t="e">
        <f ca="1">IF(VLOOKUP(B391,bond!B:AL,37,FALSE)="FIXED","固定",IF(VLOOKUP(B391,bond!B:AL,37,FALSE)="FLOATING","浮動",IF(VLOOKUP(B391,bond!B:AL,37,FALSE)="VARIABLE","變動",IF(VLOOKUP(B391,bond!B:AL,37,FALSE)="FLAT TRADING","不含息交易",IF(VLOOKUP(B391,bond!B:AL,37,FALSE)="ZERO COUPON","零息",VLOOKUP(B391,bond!B:AL,37,FALSE))))))</f>
        <v>#N/A</v>
      </c>
      <c r="AH391" s="136" t="e">
        <f>VLOOKUP(C391,'2_Check_code'!I:J,2,FALSE)</f>
        <v>#N/A</v>
      </c>
      <c r="AI391" s="136" t="e">
        <f t="shared" ca="1" si="47"/>
        <v>#N/A</v>
      </c>
      <c r="AJ391" s="136" t="e">
        <f t="shared" ca="1" si="48"/>
        <v>#N/A</v>
      </c>
      <c r="AK391" s="594" t="e">
        <f ca="1">IF(VLOOKUP(B391,bond!B:S,18,FALSE)="是","有",IF(VLOOKUP(B391,bond!B:S,18,FALSE)="NO OFFER","無","需查詢"))</f>
        <v>#N/A</v>
      </c>
      <c r="AL391" s="136" t="e">
        <f>IF(VLOOKUP(A391,bond!F:AR,39,FALSE)="#N/A Field Not Applicable",VLOOKUP(A391,bond!F:AR,38,FALSE),IFERROR(VLOOKUP(A391,'7_發行日例外'!A:B,2,FALSE),VLOOKUP(A391,bond!F:AR,39,FALSE)))</f>
        <v>#N/A</v>
      </c>
      <c r="AM391" s="136" t="e">
        <f ca="1">VLOOKUP(B391,bond!B:AK,36,FALSE)</f>
        <v>#N/A</v>
      </c>
      <c r="AN391" s="136" t="str">
        <f ca="1">IFERROR(VLOOKUP(B391,'3_是否下架'!A:A,1,FALSE),"")</f>
        <v/>
      </c>
      <c r="AO391" s="136" t="e">
        <f ca="1">VLOOKUP(B391,bond!B:J,9,FALSE)</f>
        <v>#N/A</v>
      </c>
      <c r="AP391" s="136" t="e">
        <f ca="1">VLOOKUP(B391,bond!B:V,21,FALSE)</f>
        <v>#N/A</v>
      </c>
    </row>
    <row r="392" spans="1:42">
      <c r="A392" s="141">
        <f>bond!F393</f>
        <v>0</v>
      </c>
      <c r="B392" s="151">
        <f ca="1">IF($C$1=TRUE,bond!B393,"")</f>
        <v>0</v>
      </c>
      <c r="C392" s="95" t="e">
        <f>VLOOKUP(A392,bond!F:G,2,FALSE)</f>
        <v>#N/A</v>
      </c>
      <c r="D392" s="142" t="e">
        <f ca="1">VLOOKUP(B392,bond!B:C,2,FALSE)</f>
        <v>#N/A</v>
      </c>
      <c r="E392" s="95" t="e">
        <f ca="1">VLOOKUP(B392,bond!B:D,3,FALSE)</f>
        <v>#N/A</v>
      </c>
      <c r="F392" s="99" t="e">
        <f ca="1">VLOOKUP(B392,bond!B:AB,27,FALSE)</f>
        <v>#N/A</v>
      </c>
      <c r="G392" s="90" t="e">
        <f ca="1">VLOOKUP(B392,bond!B:E,4,FALSE)</f>
        <v>#N/A</v>
      </c>
      <c r="H392" s="202" t="e">
        <f ca="1">VLOOKUP(B392,bond!B:Y,24,FALSE)</f>
        <v>#N/A</v>
      </c>
      <c r="I392" s="95" t="e">
        <f ca="1">VLOOKUP(B392,bond!B:Z,25,FALSE)</f>
        <v>#N/A</v>
      </c>
      <c r="J392" s="180" t="e">
        <f ca="1">VLOOKUP(B392,bond!B:K,10,FALSE)</f>
        <v>#N/A</v>
      </c>
      <c r="K392" s="96" t="e">
        <f ca="1">VLOOKUP($B392,bond!B:S,14,FALSE)</f>
        <v>#N/A</v>
      </c>
      <c r="L392" s="91" t="e">
        <f ca="1">VLOOKUP(B392,bond!B:H,7,FALSE)</f>
        <v>#N/A</v>
      </c>
      <c r="M392" s="144" t="e">
        <f ca="1">VLOOKUP($B392,bond!$B:$Q,16,FALSE)</f>
        <v>#N/A</v>
      </c>
      <c r="N392" s="136" t="e">
        <f ca="1">VALUE(LEFT(VLOOKUP(B392,bond!B:R,17,FALSE),SEARCH(" ",VLOOKUP(B392,bond!B:R,17,FALSE),1)))</f>
        <v>#N/A</v>
      </c>
      <c r="O392" s="136" t="e">
        <f ca="1">VALUE(RIGHT(VLOOKUP(B392,bond!B:R,17,FALSE),LEN(VLOOKUP(B392,bond!B:R,17,FALSE))-LEN(N392)-3))</f>
        <v>#N/A</v>
      </c>
      <c r="P392" s="135" t="e">
        <f ca="1">VLOOKUP($B392,bond!$B:$AG,32,FALSE)</f>
        <v>#N/A</v>
      </c>
      <c r="Q392" s="135" t="e">
        <f ca="1">VLOOKUP($B392,bond!$B:$AH,33,FALSE)</f>
        <v>#N/A</v>
      </c>
      <c r="R392" s="135" t="e">
        <f ca="1">VLOOKUP(B392,bond!B:AA,26,FALSE)</f>
        <v>#N/A</v>
      </c>
      <c r="S392" s="135" t="e">
        <f ca="1">VLOOKUP(B392,bond!B:AI,34,FALSE)</f>
        <v>#N/A</v>
      </c>
      <c r="T392" s="135" t="e">
        <f t="shared" ca="1" si="42"/>
        <v>#N/A</v>
      </c>
      <c r="U392" s="207" t="e">
        <f ca="1">IFERROR(VLOOKUP(T392,Bond_DES!D:E,2,FALSE),VLOOKUP(S392,bond!AI:AJ,2,FALSE))</f>
        <v>#N/A</v>
      </c>
      <c r="V392" s="136" t="e">
        <f ca="1">IFERROR(VLOOKUP(B392,'1_重設數據'!L:M,2,FALSE),IF(Q392="政府",IF(AD392&gt;16,"(NPI)非專投",IF(AD392&gt;10,"(PI)專投","高資產")),IF(VLOOKUP(B392,bond!B:AN,39,FALSE)="Y","(PI)專投",IF(AD392&gt;=15,"(NPI)非專投",IF(AD392&gt;=10,"(PI)專投","高資產")))))</f>
        <v>#N/A</v>
      </c>
      <c r="W392" s="136" t="e">
        <f ca="1">VLOOKUP(AD392,'credit rating'!$F$2:$H$22,3,FALSE)</f>
        <v>#N/A</v>
      </c>
      <c r="X392" s="136" t="e">
        <f t="shared" ca="1" si="43"/>
        <v>#N/A</v>
      </c>
      <c r="Y392" s="136" t="e">
        <f t="shared" ca="1" si="44"/>
        <v>#N/A</v>
      </c>
      <c r="Z392" s="136" t="e">
        <f t="shared" ca="1" si="45"/>
        <v>#N/A</v>
      </c>
      <c r="AA392" s="134">
        <f ca="1">IFERROR(VLOOKUP(X392,'credit rating'!A:C,3,FALSE),0)</f>
        <v>0</v>
      </c>
      <c r="AB392" s="134">
        <f ca="1">IFERROR(VLOOKUP(Y392,'credit rating'!B:C,2,FALSE),0)</f>
        <v>0</v>
      </c>
      <c r="AC392" s="136">
        <f ca="1">IFERROR(VLOOKUP(Z392,'credit rating'!B:C,2,FALSE),0)</f>
        <v>0</v>
      </c>
      <c r="AD392" s="136">
        <f t="shared" ca="1" si="46"/>
        <v>0</v>
      </c>
      <c r="AE392" s="249" t="str">
        <f ca="1">IFERROR(VLOOKUP(B392,bond!B:U,20,FALSE),"")</f>
        <v/>
      </c>
      <c r="AF392" s="136" t="e">
        <f ca="1">IF(VLOOKUP(B392,bond!B:AK,36,FALSE)="#N/A Field Not Applicable","",VLOOKUP(B392,bond!B:AK,36,FALSE))</f>
        <v>#N/A</v>
      </c>
      <c r="AG392" s="136" t="e">
        <f ca="1">IF(VLOOKUP(B392,bond!B:AL,37,FALSE)="FIXED","固定",IF(VLOOKUP(B392,bond!B:AL,37,FALSE)="FLOATING","浮動",IF(VLOOKUP(B392,bond!B:AL,37,FALSE)="VARIABLE","變動",IF(VLOOKUP(B392,bond!B:AL,37,FALSE)="FLAT TRADING","不含息交易",IF(VLOOKUP(B392,bond!B:AL,37,FALSE)="ZERO COUPON","零息",VLOOKUP(B392,bond!B:AL,37,FALSE))))))</f>
        <v>#N/A</v>
      </c>
      <c r="AH392" s="136" t="e">
        <f>VLOOKUP(C392,'2_Check_code'!I:J,2,FALSE)</f>
        <v>#N/A</v>
      </c>
      <c r="AI392" s="136" t="e">
        <f t="shared" ca="1" si="47"/>
        <v>#N/A</v>
      </c>
      <c r="AJ392" s="136" t="e">
        <f t="shared" ca="1" si="48"/>
        <v>#N/A</v>
      </c>
      <c r="AK392" s="594" t="e">
        <f ca="1">IF(VLOOKUP(B392,bond!B:S,18,FALSE)="是","有",IF(VLOOKUP(B392,bond!B:S,18,FALSE)="NO OFFER","無","需查詢"))</f>
        <v>#N/A</v>
      </c>
      <c r="AL392" s="136" t="e">
        <f>IF(VLOOKUP(A392,bond!F:AR,39,FALSE)="#N/A Field Not Applicable",VLOOKUP(A392,bond!F:AR,38,FALSE),IFERROR(VLOOKUP(A392,'7_發行日例外'!A:B,2,FALSE),VLOOKUP(A392,bond!F:AR,39,FALSE)))</f>
        <v>#N/A</v>
      </c>
      <c r="AM392" s="136" t="e">
        <f ca="1">VLOOKUP(B392,bond!B:AK,36,FALSE)</f>
        <v>#N/A</v>
      </c>
      <c r="AN392" s="136" t="str">
        <f ca="1">IFERROR(VLOOKUP(B392,'3_是否下架'!A:A,1,FALSE),"")</f>
        <v/>
      </c>
      <c r="AO392" s="136" t="e">
        <f ca="1">VLOOKUP(B392,bond!B:J,9,FALSE)</f>
        <v>#N/A</v>
      </c>
      <c r="AP392" s="136" t="e">
        <f ca="1">VLOOKUP(B392,bond!B:V,21,FALSE)</f>
        <v>#N/A</v>
      </c>
    </row>
    <row r="393" spans="1:42">
      <c r="A393" s="141">
        <f>bond!F394</f>
        <v>0</v>
      </c>
      <c r="B393" s="151">
        <f ca="1">IF($C$1=TRUE,bond!B394,"")</f>
        <v>0</v>
      </c>
      <c r="C393" s="95" t="e">
        <f>VLOOKUP(A393,bond!F:G,2,FALSE)</f>
        <v>#N/A</v>
      </c>
      <c r="D393" s="142" t="e">
        <f ca="1">VLOOKUP(B393,bond!B:C,2,FALSE)</f>
        <v>#N/A</v>
      </c>
      <c r="E393" s="95" t="e">
        <f ca="1">VLOOKUP(B393,bond!B:D,3,FALSE)</f>
        <v>#N/A</v>
      </c>
      <c r="F393" s="99" t="e">
        <f ca="1">VLOOKUP(B393,bond!B:AB,27,FALSE)</f>
        <v>#N/A</v>
      </c>
      <c r="G393" s="90" t="e">
        <f ca="1">VLOOKUP(B393,bond!B:E,4,FALSE)</f>
        <v>#N/A</v>
      </c>
      <c r="H393" s="202" t="e">
        <f ca="1">VLOOKUP(B393,bond!B:Y,24,FALSE)</f>
        <v>#N/A</v>
      </c>
      <c r="I393" s="95" t="e">
        <f ca="1">VLOOKUP(B393,bond!B:Z,25,FALSE)</f>
        <v>#N/A</v>
      </c>
      <c r="J393" s="180" t="e">
        <f ca="1">VLOOKUP(B393,bond!B:K,10,FALSE)</f>
        <v>#N/A</v>
      </c>
      <c r="K393" s="96" t="e">
        <f ca="1">VLOOKUP($B393,bond!B:S,14,FALSE)</f>
        <v>#N/A</v>
      </c>
      <c r="L393" s="91" t="e">
        <f ca="1">VLOOKUP(B393,bond!B:H,7,FALSE)</f>
        <v>#N/A</v>
      </c>
      <c r="M393" s="144" t="e">
        <f ca="1">VLOOKUP($B393,bond!$B:$Q,16,FALSE)</f>
        <v>#N/A</v>
      </c>
      <c r="N393" s="136" t="e">
        <f ca="1">VALUE(LEFT(VLOOKUP(B393,bond!B:R,17,FALSE),SEARCH(" ",VLOOKUP(B393,bond!B:R,17,FALSE),1)))</f>
        <v>#N/A</v>
      </c>
      <c r="O393" s="136" t="e">
        <f ca="1">VALUE(RIGHT(VLOOKUP(B393,bond!B:R,17,FALSE),LEN(VLOOKUP(B393,bond!B:R,17,FALSE))-LEN(N393)-3))</f>
        <v>#N/A</v>
      </c>
      <c r="P393" s="135" t="e">
        <f ca="1">VLOOKUP($B393,bond!$B:$AG,32,FALSE)</f>
        <v>#N/A</v>
      </c>
      <c r="Q393" s="135" t="e">
        <f ca="1">VLOOKUP($B393,bond!$B:$AH,33,FALSE)</f>
        <v>#N/A</v>
      </c>
      <c r="R393" s="135" t="e">
        <f ca="1">VLOOKUP(B393,bond!B:AA,26,FALSE)</f>
        <v>#N/A</v>
      </c>
      <c r="S393" s="135" t="e">
        <f ca="1">VLOOKUP(B393,bond!B:AI,34,FALSE)</f>
        <v>#N/A</v>
      </c>
      <c r="T393" s="135" t="e">
        <f t="shared" ca="1" si="42"/>
        <v>#N/A</v>
      </c>
      <c r="U393" s="207" t="e">
        <f ca="1">IFERROR(VLOOKUP(T393,Bond_DES!D:E,2,FALSE),VLOOKUP(S393,bond!AI:AJ,2,FALSE))</f>
        <v>#N/A</v>
      </c>
      <c r="V393" s="136" t="e">
        <f ca="1">IFERROR(VLOOKUP(B393,'1_重設數據'!L:M,2,FALSE),IF(Q393="政府",IF(AD393&gt;16,"(NPI)非專投",IF(AD393&gt;10,"(PI)專投","高資產")),IF(VLOOKUP(B393,bond!B:AN,39,FALSE)="Y","(PI)專投",IF(AD393&gt;=15,"(NPI)非專投",IF(AD393&gt;=10,"(PI)專投","高資產")))))</f>
        <v>#N/A</v>
      </c>
      <c r="W393" s="136" t="e">
        <f ca="1">VLOOKUP(AD393,'credit rating'!$F$2:$H$22,3,FALSE)</f>
        <v>#N/A</v>
      </c>
      <c r="X393" s="136" t="e">
        <f t="shared" ca="1" si="43"/>
        <v>#N/A</v>
      </c>
      <c r="Y393" s="136" t="e">
        <f t="shared" ca="1" si="44"/>
        <v>#N/A</v>
      </c>
      <c r="Z393" s="136" t="e">
        <f t="shared" ca="1" si="45"/>
        <v>#N/A</v>
      </c>
      <c r="AA393" s="134">
        <f ca="1">IFERROR(VLOOKUP(X393,'credit rating'!A:C,3,FALSE),0)</f>
        <v>0</v>
      </c>
      <c r="AB393" s="134">
        <f ca="1">IFERROR(VLOOKUP(Y393,'credit rating'!B:C,2,FALSE),0)</f>
        <v>0</v>
      </c>
      <c r="AC393" s="136">
        <f ca="1">IFERROR(VLOOKUP(Z393,'credit rating'!B:C,2,FALSE),0)</f>
        <v>0</v>
      </c>
      <c r="AD393" s="136">
        <f t="shared" ca="1" si="46"/>
        <v>0</v>
      </c>
      <c r="AE393" s="249" t="str">
        <f ca="1">IFERROR(VLOOKUP(B393,bond!B:U,20,FALSE),"")</f>
        <v/>
      </c>
      <c r="AF393" s="136" t="e">
        <f ca="1">IF(VLOOKUP(B393,bond!B:AK,36,FALSE)="#N/A Field Not Applicable","",VLOOKUP(B393,bond!B:AK,36,FALSE))</f>
        <v>#N/A</v>
      </c>
      <c r="AG393" s="136" t="e">
        <f ca="1">IF(VLOOKUP(B393,bond!B:AL,37,FALSE)="FIXED","固定",IF(VLOOKUP(B393,bond!B:AL,37,FALSE)="FLOATING","浮動",IF(VLOOKUP(B393,bond!B:AL,37,FALSE)="VARIABLE","變動",IF(VLOOKUP(B393,bond!B:AL,37,FALSE)="FLAT TRADING","不含息交易",IF(VLOOKUP(B393,bond!B:AL,37,FALSE)="ZERO COUPON","零息",VLOOKUP(B393,bond!B:AL,37,FALSE))))))</f>
        <v>#N/A</v>
      </c>
      <c r="AH393" s="136" t="e">
        <f>VLOOKUP(C393,'2_Check_code'!I:J,2,FALSE)</f>
        <v>#N/A</v>
      </c>
      <c r="AI393" s="136" t="e">
        <f t="shared" ca="1" si="47"/>
        <v>#N/A</v>
      </c>
      <c r="AJ393" s="136" t="e">
        <f t="shared" ca="1" si="48"/>
        <v>#N/A</v>
      </c>
      <c r="AK393" s="594" t="e">
        <f ca="1">IF(VLOOKUP(B393,bond!B:S,18,FALSE)="是","有",IF(VLOOKUP(B393,bond!B:S,18,FALSE)="NO OFFER","無","需查詢"))</f>
        <v>#N/A</v>
      </c>
      <c r="AL393" s="136" t="e">
        <f>IF(VLOOKUP(A393,bond!F:AR,39,FALSE)="#N/A Field Not Applicable",VLOOKUP(A393,bond!F:AR,38,FALSE),IFERROR(VLOOKUP(A393,'7_發行日例外'!A:B,2,FALSE),VLOOKUP(A393,bond!F:AR,39,FALSE)))</f>
        <v>#N/A</v>
      </c>
      <c r="AM393" s="136" t="e">
        <f ca="1">VLOOKUP(B393,bond!B:AK,36,FALSE)</f>
        <v>#N/A</v>
      </c>
      <c r="AN393" s="136" t="str">
        <f ca="1">IFERROR(VLOOKUP(B393,'3_是否下架'!A:A,1,FALSE),"")</f>
        <v/>
      </c>
      <c r="AO393" s="136" t="e">
        <f ca="1">VLOOKUP(B393,bond!B:J,9,FALSE)</f>
        <v>#N/A</v>
      </c>
      <c r="AP393" s="136" t="e">
        <f ca="1">VLOOKUP(B393,bond!B:V,21,FALSE)</f>
        <v>#N/A</v>
      </c>
    </row>
    <row r="394" spans="1:42">
      <c r="A394" s="141">
        <f>bond!F395</f>
        <v>0</v>
      </c>
      <c r="B394" s="151">
        <f ca="1">IF($C$1=TRUE,bond!B395,"")</f>
        <v>0</v>
      </c>
      <c r="C394" s="95" t="e">
        <f>VLOOKUP(A394,bond!F:G,2,FALSE)</f>
        <v>#N/A</v>
      </c>
      <c r="D394" s="142" t="e">
        <f ca="1">VLOOKUP(B394,bond!B:C,2,FALSE)</f>
        <v>#N/A</v>
      </c>
      <c r="E394" s="95" t="e">
        <f ca="1">VLOOKUP(B394,bond!B:D,3,FALSE)</f>
        <v>#N/A</v>
      </c>
      <c r="F394" s="99" t="e">
        <f ca="1">VLOOKUP(B394,bond!B:AB,27,FALSE)</f>
        <v>#N/A</v>
      </c>
      <c r="G394" s="90" t="e">
        <f ca="1">VLOOKUP(B394,bond!B:E,4,FALSE)</f>
        <v>#N/A</v>
      </c>
      <c r="H394" s="202" t="e">
        <f ca="1">VLOOKUP(B394,bond!B:Y,24,FALSE)</f>
        <v>#N/A</v>
      </c>
      <c r="I394" s="95" t="e">
        <f ca="1">VLOOKUP(B394,bond!B:Z,25,FALSE)</f>
        <v>#N/A</v>
      </c>
      <c r="J394" s="180" t="e">
        <f ca="1">VLOOKUP(B394,bond!B:K,10,FALSE)</f>
        <v>#N/A</v>
      </c>
      <c r="K394" s="96" t="e">
        <f ca="1">VLOOKUP($B394,bond!B:S,14,FALSE)</f>
        <v>#N/A</v>
      </c>
      <c r="L394" s="91" t="e">
        <f ca="1">VLOOKUP(B394,bond!B:H,7,FALSE)</f>
        <v>#N/A</v>
      </c>
      <c r="M394" s="144" t="e">
        <f ca="1">VLOOKUP($B394,bond!$B:$Q,16,FALSE)</f>
        <v>#N/A</v>
      </c>
      <c r="N394" s="136" t="e">
        <f ca="1">VALUE(LEFT(VLOOKUP(B394,bond!B:R,17,FALSE),SEARCH(" ",VLOOKUP(B394,bond!B:R,17,FALSE),1)))</f>
        <v>#N/A</v>
      </c>
      <c r="O394" s="136" t="e">
        <f ca="1">VALUE(RIGHT(VLOOKUP(B394,bond!B:R,17,FALSE),LEN(VLOOKUP(B394,bond!B:R,17,FALSE))-LEN(N394)-3))</f>
        <v>#N/A</v>
      </c>
      <c r="P394" s="135" t="e">
        <f ca="1">VLOOKUP($B394,bond!$B:$AG,32,FALSE)</f>
        <v>#N/A</v>
      </c>
      <c r="Q394" s="135" t="e">
        <f ca="1">VLOOKUP($B394,bond!$B:$AH,33,FALSE)</f>
        <v>#N/A</v>
      </c>
      <c r="R394" s="135" t="e">
        <f ca="1">VLOOKUP(B394,bond!B:AA,26,FALSE)</f>
        <v>#N/A</v>
      </c>
      <c r="S394" s="135" t="e">
        <f ca="1">VLOOKUP(B394,bond!B:AI,34,FALSE)</f>
        <v>#N/A</v>
      </c>
      <c r="T394" s="135" t="e">
        <f t="shared" ca="1" si="42"/>
        <v>#N/A</v>
      </c>
      <c r="U394" s="207" t="e">
        <f ca="1">IFERROR(VLOOKUP(T394,Bond_DES!D:E,2,FALSE),VLOOKUP(S394,bond!AI:AJ,2,FALSE))</f>
        <v>#N/A</v>
      </c>
      <c r="V394" s="136" t="e">
        <f ca="1">IFERROR(VLOOKUP(B394,'1_重設數據'!L:M,2,FALSE),IF(Q394="政府",IF(AD394&gt;16,"(NPI)非專投",IF(AD394&gt;10,"(PI)專投","高資產")),IF(VLOOKUP(B394,bond!B:AN,39,FALSE)="Y","(PI)專投",IF(AD394&gt;=15,"(NPI)非專投",IF(AD394&gt;=10,"(PI)專投","高資產")))))</f>
        <v>#N/A</v>
      </c>
      <c r="W394" s="136" t="e">
        <f ca="1">VLOOKUP(AD394,'credit rating'!$F$2:$H$22,3,FALSE)</f>
        <v>#N/A</v>
      </c>
      <c r="X394" s="136" t="e">
        <f t="shared" ca="1" si="43"/>
        <v>#N/A</v>
      </c>
      <c r="Y394" s="136" t="e">
        <f t="shared" ca="1" si="44"/>
        <v>#N/A</v>
      </c>
      <c r="Z394" s="136" t="e">
        <f t="shared" ca="1" si="45"/>
        <v>#N/A</v>
      </c>
      <c r="AA394" s="134">
        <f ca="1">IFERROR(VLOOKUP(X394,'credit rating'!A:C,3,FALSE),0)</f>
        <v>0</v>
      </c>
      <c r="AB394" s="134">
        <f ca="1">IFERROR(VLOOKUP(Y394,'credit rating'!B:C,2,FALSE),0)</f>
        <v>0</v>
      </c>
      <c r="AC394" s="136">
        <f ca="1">IFERROR(VLOOKUP(Z394,'credit rating'!B:C,2,FALSE),0)</f>
        <v>0</v>
      </c>
      <c r="AD394" s="136">
        <f t="shared" ca="1" si="46"/>
        <v>0</v>
      </c>
      <c r="AE394" s="249" t="str">
        <f ca="1">IFERROR(VLOOKUP(B394,bond!B:U,20,FALSE),"")</f>
        <v/>
      </c>
      <c r="AF394" s="136" t="e">
        <f ca="1">IF(VLOOKUP(B394,bond!B:AK,36,FALSE)="#N/A Field Not Applicable","",VLOOKUP(B394,bond!B:AK,36,FALSE))</f>
        <v>#N/A</v>
      </c>
      <c r="AG394" s="136" t="e">
        <f ca="1">IF(VLOOKUP(B394,bond!B:AL,37,FALSE)="FIXED","固定",IF(VLOOKUP(B394,bond!B:AL,37,FALSE)="FLOATING","浮動",IF(VLOOKUP(B394,bond!B:AL,37,FALSE)="VARIABLE","變動",IF(VLOOKUP(B394,bond!B:AL,37,FALSE)="FLAT TRADING","不含息交易",IF(VLOOKUP(B394,bond!B:AL,37,FALSE)="ZERO COUPON","零息",VLOOKUP(B394,bond!B:AL,37,FALSE))))))</f>
        <v>#N/A</v>
      </c>
      <c r="AH394" s="136" t="e">
        <f>VLOOKUP(C394,'2_Check_code'!I:J,2,FALSE)</f>
        <v>#N/A</v>
      </c>
      <c r="AI394" s="136" t="e">
        <f t="shared" ca="1" si="47"/>
        <v>#N/A</v>
      </c>
      <c r="AJ394" s="136" t="e">
        <f t="shared" ca="1" si="48"/>
        <v>#N/A</v>
      </c>
      <c r="AK394" s="594" t="e">
        <f ca="1">IF(VLOOKUP(B394,bond!B:S,18,FALSE)="是","有",IF(VLOOKUP(B394,bond!B:S,18,FALSE)="NO OFFER","無","需查詢"))</f>
        <v>#N/A</v>
      </c>
      <c r="AL394" s="136" t="e">
        <f>IF(VLOOKUP(A394,bond!F:AR,39,FALSE)="#N/A Field Not Applicable",VLOOKUP(A394,bond!F:AR,38,FALSE),IFERROR(VLOOKUP(A394,'7_發行日例外'!A:B,2,FALSE),VLOOKUP(A394,bond!F:AR,39,FALSE)))</f>
        <v>#N/A</v>
      </c>
      <c r="AM394" s="136" t="e">
        <f ca="1">VLOOKUP(B394,bond!B:AK,36,FALSE)</f>
        <v>#N/A</v>
      </c>
      <c r="AN394" s="136" t="str">
        <f ca="1">IFERROR(VLOOKUP(B394,'3_是否下架'!A:A,1,FALSE),"")</f>
        <v/>
      </c>
      <c r="AO394" s="136" t="e">
        <f ca="1">VLOOKUP(B394,bond!B:J,9,FALSE)</f>
        <v>#N/A</v>
      </c>
      <c r="AP394" s="136" t="e">
        <f ca="1">VLOOKUP(B394,bond!B:V,21,FALSE)</f>
        <v>#N/A</v>
      </c>
    </row>
    <row r="395" spans="1:42">
      <c r="A395" s="141">
        <f>bond!F396</f>
        <v>0</v>
      </c>
      <c r="B395" s="151">
        <f ca="1">IF($C$1=TRUE,bond!B396,"")</f>
        <v>0</v>
      </c>
      <c r="C395" s="95" t="e">
        <f>VLOOKUP(A395,bond!F:G,2,FALSE)</f>
        <v>#N/A</v>
      </c>
      <c r="D395" s="142" t="e">
        <f ca="1">VLOOKUP(B395,bond!B:C,2,FALSE)</f>
        <v>#N/A</v>
      </c>
      <c r="E395" s="95" t="e">
        <f ca="1">VLOOKUP(B395,bond!B:D,3,FALSE)</f>
        <v>#N/A</v>
      </c>
      <c r="F395" s="99" t="e">
        <f ca="1">VLOOKUP(B395,bond!B:AB,27,FALSE)</f>
        <v>#N/A</v>
      </c>
      <c r="G395" s="90" t="e">
        <f ca="1">VLOOKUP(B395,bond!B:E,4,FALSE)</f>
        <v>#N/A</v>
      </c>
      <c r="H395" s="202" t="e">
        <f ca="1">VLOOKUP(B395,bond!B:Y,24,FALSE)</f>
        <v>#N/A</v>
      </c>
      <c r="I395" s="95" t="e">
        <f ca="1">VLOOKUP(B395,bond!B:Z,25,FALSE)</f>
        <v>#N/A</v>
      </c>
      <c r="J395" s="180" t="e">
        <f ca="1">VLOOKUP(B395,bond!B:K,10,FALSE)</f>
        <v>#N/A</v>
      </c>
      <c r="K395" s="96" t="e">
        <f ca="1">VLOOKUP($B395,bond!B:S,14,FALSE)</f>
        <v>#N/A</v>
      </c>
      <c r="L395" s="91" t="e">
        <f ca="1">VLOOKUP(B395,bond!B:H,7,FALSE)</f>
        <v>#N/A</v>
      </c>
      <c r="M395" s="144" t="e">
        <f ca="1">VLOOKUP($B395,bond!$B:$Q,16,FALSE)</f>
        <v>#N/A</v>
      </c>
      <c r="N395" s="136" t="e">
        <f ca="1">VALUE(LEFT(VLOOKUP(B395,bond!B:R,17,FALSE),SEARCH(" ",VLOOKUP(B395,bond!B:R,17,FALSE),1)))</f>
        <v>#N/A</v>
      </c>
      <c r="O395" s="136" t="e">
        <f ca="1">VALUE(RIGHT(VLOOKUP(B395,bond!B:R,17,FALSE),LEN(VLOOKUP(B395,bond!B:R,17,FALSE))-LEN(N395)-3))</f>
        <v>#N/A</v>
      </c>
      <c r="P395" s="135" t="e">
        <f ca="1">VLOOKUP($B395,bond!$B:$AG,32,FALSE)</f>
        <v>#N/A</v>
      </c>
      <c r="Q395" s="135" t="e">
        <f ca="1">VLOOKUP($B395,bond!$B:$AH,33,FALSE)</f>
        <v>#N/A</v>
      </c>
      <c r="R395" s="135" t="e">
        <f ca="1">VLOOKUP(B395,bond!B:AA,26,FALSE)</f>
        <v>#N/A</v>
      </c>
      <c r="S395" s="135" t="e">
        <f ca="1">VLOOKUP(B395,bond!B:AI,34,FALSE)</f>
        <v>#N/A</v>
      </c>
      <c r="T395" s="135" t="e">
        <f t="shared" ca="1" si="42"/>
        <v>#N/A</v>
      </c>
      <c r="U395" s="207" t="e">
        <f ca="1">IFERROR(VLOOKUP(T395,Bond_DES!D:E,2,FALSE),VLOOKUP(S395,bond!AI:AJ,2,FALSE))</f>
        <v>#N/A</v>
      </c>
      <c r="V395" s="136" t="e">
        <f ca="1">IFERROR(VLOOKUP(B395,'1_重設數據'!L:M,2,FALSE),IF(Q395="政府",IF(AD395&gt;16,"(NPI)非專投",IF(AD395&gt;10,"(PI)專投","高資產")),IF(VLOOKUP(B395,bond!B:AN,39,FALSE)="Y","(PI)專投",IF(AD395&gt;=15,"(NPI)非專投",IF(AD395&gt;=10,"(PI)專投","高資產")))))</f>
        <v>#N/A</v>
      </c>
      <c r="W395" s="136" t="e">
        <f ca="1">VLOOKUP(AD395,'credit rating'!$F$2:$H$22,3,FALSE)</f>
        <v>#N/A</v>
      </c>
      <c r="X395" s="136" t="e">
        <f t="shared" ca="1" si="43"/>
        <v>#N/A</v>
      </c>
      <c r="Y395" s="136" t="e">
        <f t="shared" ca="1" si="44"/>
        <v>#N/A</v>
      </c>
      <c r="Z395" s="136" t="e">
        <f t="shared" ca="1" si="45"/>
        <v>#N/A</v>
      </c>
      <c r="AA395" s="134">
        <f ca="1">IFERROR(VLOOKUP(X395,'credit rating'!A:C,3,FALSE),0)</f>
        <v>0</v>
      </c>
      <c r="AB395" s="134">
        <f ca="1">IFERROR(VLOOKUP(Y395,'credit rating'!B:C,2,FALSE),0)</f>
        <v>0</v>
      </c>
      <c r="AC395" s="136">
        <f ca="1">IFERROR(VLOOKUP(Z395,'credit rating'!B:C,2,FALSE),0)</f>
        <v>0</v>
      </c>
      <c r="AD395" s="136">
        <f t="shared" ca="1" si="46"/>
        <v>0</v>
      </c>
      <c r="AE395" s="249" t="str">
        <f ca="1">IFERROR(VLOOKUP(B395,bond!B:U,20,FALSE),"")</f>
        <v/>
      </c>
      <c r="AF395" s="136" t="e">
        <f ca="1">IF(VLOOKUP(B395,bond!B:AK,36,FALSE)="#N/A Field Not Applicable","",VLOOKUP(B395,bond!B:AK,36,FALSE))</f>
        <v>#N/A</v>
      </c>
      <c r="AG395" s="136" t="e">
        <f ca="1">IF(VLOOKUP(B395,bond!B:AL,37,FALSE)="FIXED","固定",IF(VLOOKUP(B395,bond!B:AL,37,FALSE)="FLOATING","浮動",IF(VLOOKUP(B395,bond!B:AL,37,FALSE)="VARIABLE","變動",IF(VLOOKUP(B395,bond!B:AL,37,FALSE)="FLAT TRADING","不含息交易",IF(VLOOKUP(B395,bond!B:AL,37,FALSE)="ZERO COUPON","零息",VLOOKUP(B395,bond!B:AL,37,FALSE))))))</f>
        <v>#N/A</v>
      </c>
      <c r="AH395" s="136" t="e">
        <f>VLOOKUP(C395,'2_Check_code'!I:J,2,FALSE)</f>
        <v>#N/A</v>
      </c>
      <c r="AI395" s="136" t="e">
        <f t="shared" ca="1" si="47"/>
        <v>#N/A</v>
      </c>
      <c r="AJ395" s="136" t="e">
        <f t="shared" ca="1" si="48"/>
        <v>#N/A</v>
      </c>
      <c r="AK395" s="594" t="e">
        <f ca="1">IF(VLOOKUP(B395,bond!B:S,18,FALSE)="是","有",IF(VLOOKUP(B395,bond!B:S,18,FALSE)="NO OFFER","無","需查詢"))</f>
        <v>#N/A</v>
      </c>
      <c r="AL395" s="136" t="e">
        <f>IF(VLOOKUP(A395,bond!F:AR,39,FALSE)="#N/A Field Not Applicable",VLOOKUP(A395,bond!F:AR,38,FALSE),IFERROR(VLOOKUP(A395,'7_發行日例外'!A:B,2,FALSE),VLOOKUP(A395,bond!F:AR,39,FALSE)))</f>
        <v>#N/A</v>
      </c>
      <c r="AM395" s="136" t="e">
        <f ca="1">VLOOKUP(B395,bond!B:AK,36,FALSE)</f>
        <v>#N/A</v>
      </c>
      <c r="AN395" s="136" t="str">
        <f ca="1">IFERROR(VLOOKUP(B395,'3_是否下架'!A:A,1,FALSE),"")</f>
        <v/>
      </c>
      <c r="AO395" s="136" t="e">
        <f ca="1">VLOOKUP(B395,bond!B:J,9,FALSE)</f>
        <v>#N/A</v>
      </c>
      <c r="AP395" s="136" t="e">
        <f ca="1">VLOOKUP(B395,bond!B:V,21,FALSE)</f>
        <v>#N/A</v>
      </c>
    </row>
    <row r="396" spans="1:42">
      <c r="A396" s="141">
        <f>bond!F397</f>
        <v>0</v>
      </c>
      <c r="B396" s="151">
        <f ca="1">IF($C$1=TRUE,bond!B397,"")</f>
        <v>0</v>
      </c>
      <c r="C396" s="95" t="e">
        <f>VLOOKUP(A396,bond!F:G,2,FALSE)</f>
        <v>#N/A</v>
      </c>
      <c r="D396" s="142" t="e">
        <f ca="1">VLOOKUP(B396,bond!B:C,2,FALSE)</f>
        <v>#N/A</v>
      </c>
      <c r="E396" s="95" t="e">
        <f ca="1">VLOOKUP(B396,bond!B:D,3,FALSE)</f>
        <v>#N/A</v>
      </c>
      <c r="F396" s="99" t="e">
        <f ca="1">VLOOKUP(B396,bond!B:AB,27,FALSE)</f>
        <v>#N/A</v>
      </c>
      <c r="G396" s="90" t="e">
        <f ca="1">VLOOKUP(B396,bond!B:E,4,FALSE)</f>
        <v>#N/A</v>
      </c>
      <c r="H396" s="202" t="e">
        <f ca="1">VLOOKUP(B396,bond!B:Y,24,FALSE)</f>
        <v>#N/A</v>
      </c>
      <c r="I396" s="95" t="e">
        <f ca="1">VLOOKUP(B396,bond!B:Z,25,FALSE)</f>
        <v>#N/A</v>
      </c>
      <c r="J396" s="180" t="e">
        <f ca="1">VLOOKUP(B396,bond!B:K,10,FALSE)</f>
        <v>#N/A</v>
      </c>
      <c r="K396" s="96" t="e">
        <f ca="1">VLOOKUP($B396,bond!B:S,14,FALSE)</f>
        <v>#N/A</v>
      </c>
      <c r="L396" s="91" t="e">
        <f ca="1">VLOOKUP(B396,bond!B:H,7,FALSE)</f>
        <v>#N/A</v>
      </c>
      <c r="M396" s="144" t="e">
        <f ca="1">VLOOKUP($B396,bond!$B:$Q,16,FALSE)</f>
        <v>#N/A</v>
      </c>
      <c r="N396" s="136" t="e">
        <f ca="1">VALUE(LEFT(VLOOKUP(B396,bond!B:R,17,FALSE),SEARCH(" ",VLOOKUP(B396,bond!B:R,17,FALSE),1)))</f>
        <v>#N/A</v>
      </c>
      <c r="O396" s="136" t="e">
        <f ca="1">VALUE(RIGHT(VLOOKUP(B396,bond!B:R,17,FALSE),LEN(VLOOKUP(B396,bond!B:R,17,FALSE))-LEN(N396)-3))</f>
        <v>#N/A</v>
      </c>
      <c r="P396" s="135" t="e">
        <f ca="1">VLOOKUP($B396,bond!$B:$AG,32,FALSE)</f>
        <v>#N/A</v>
      </c>
      <c r="Q396" s="135" t="e">
        <f ca="1">VLOOKUP($B396,bond!$B:$AH,33,FALSE)</f>
        <v>#N/A</v>
      </c>
      <c r="R396" s="135" t="e">
        <f ca="1">VLOOKUP(B396,bond!B:AA,26,FALSE)</f>
        <v>#N/A</v>
      </c>
      <c r="S396" s="135" t="e">
        <f ca="1">VLOOKUP(B396,bond!B:AI,34,FALSE)</f>
        <v>#N/A</v>
      </c>
      <c r="T396" s="135" t="e">
        <f t="shared" ca="1" si="42"/>
        <v>#N/A</v>
      </c>
      <c r="U396" s="207" t="e">
        <f ca="1">IFERROR(VLOOKUP(T396,Bond_DES!D:E,2,FALSE),VLOOKUP(S396,bond!AI:AJ,2,FALSE))</f>
        <v>#N/A</v>
      </c>
      <c r="V396" s="136" t="e">
        <f ca="1">IFERROR(VLOOKUP(B396,'1_重設數據'!L:M,2,FALSE),IF(Q396="政府",IF(AD396&gt;16,"(NPI)非專投",IF(AD396&gt;10,"(PI)專投","高資產")),IF(VLOOKUP(B396,bond!B:AN,39,FALSE)="Y","(PI)專投",IF(AD396&gt;=15,"(NPI)非專投",IF(AD396&gt;=10,"(PI)專投","高資產")))))</f>
        <v>#N/A</v>
      </c>
      <c r="W396" s="136" t="e">
        <f ca="1">VLOOKUP(AD396,'credit rating'!$F$2:$H$22,3,FALSE)</f>
        <v>#N/A</v>
      </c>
      <c r="X396" s="136" t="e">
        <f t="shared" ca="1" si="43"/>
        <v>#N/A</v>
      </c>
      <c r="Y396" s="136" t="e">
        <f t="shared" ca="1" si="44"/>
        <v>#N/A</v>
      </c>
      <c r="Z396" s="136" t="e">
        <f t="shared" ca="1" si="45"/>
        <v>#N/A</v>
      </c>
      <c r="AA396" s="134">
        <f ca="1">IFERROR(VLOOKUP(X396,'credit rating'!A:C,3,FALSE),0)</f>
        <v>0</v>
      </c>
      <c r="AB396" s="134">
        <f ca="1">IFERROR(VLOOKUP(Y396,'credit rating'!B:C,2,FALSE),0)</f>
        <v>0</v>
      </c>
      <c r="AC396" s="136">
        <f ca="1">IFERROR(VLOOKUP(Z396,'credit rating'!B:C,2,FALSE),0)</f>
        <v>0</v>
      </c>
      <c r="AD396" s="136">
        <f t="shared" ca="1" si="46"/>
        <v>0</v>
      </c>
      <c r="AE396" s="249" t="str">
        <f ca="1">IFERROR(VLOOKUP(B396,bond!B:U,20,FALSE),"")</f>
        <v/>
      </c>
      <c r="AF396" s="136" t="e">
        <f ca="1">IF(VLOOKUP(B396,bond!B:AK,36,FALSE)="#N/A Field Not Applicable","",VLOOKUP(B396,bond!B:AK,36,FALSE))</f>
        <v>#N/A</v>
      </c>
      <c r="AG396" s="136" t="e">
        <f ca="1">IF(VLOOKUP(B396,bond!B:AL,37,FALSE)="FIXED","固定",IF(VLOOKUP(B396,bond!B:AL,37,FALSE)="FLOATING","浮動",IF(VLOOKUP(B396,bond!B:AL,37,FALSE)="VARIABLE","變動",IF(VLOOKUP(B396,bond!B:AL,37,FALSE)="FLAT TRADING","不含息交易",IF(VLOOKUP(B396,bond!B:AL,37,FALSE)="ZERO COUPON","零息",VLOOKUP(B396,bond!B:AL,37,FALSE))))))</f>
        <v>#N/A</v>
      </c>
      <c r="AH396" s="136" t="e">
        <f>VLOOKUP(C396,'2_Check_code'!I:J,2,FALSE)</f>
        <v>#N/A</v>
      </c>
      <c r="AI396" s="136" t="e">
        <f t="shared" ca="1" si="47"/>
        <v>#N/A</v>
      </c>
      <c r="AJ396" s="136" t="e">
        <f t="shared" ca="1" si="48"/>
        <v>#N/A</v>
      </c>
      <c r="AK396" s="594" t="e">
        <f ca="1">IF(VLOOKUP(B396,bond!B:S,18,FALSE)="是","有",IF(VLOOKUP(B396,bond!B:S,18,FALSE)="NO OFFER","無","需查詢"))</f>
        <v>#N/A</v>
      </c>
      <c r="AL396" s="136" t="e">
        <f>IF(VLOOKUP(A396,bond!F:AR,39,FALSE)="#N/A Field Not Applicable",VLOOKUP(A396,bond!F:AR,38,FALSE),IFERROR(VLOOKUP(A396,'7_發行日例外'!A:B,2,FALSE),VLOOKUP(A396,bond!F:AR,39,FALSE)))</f>
        <v>#N/A</v>
      </c>
      <c r="AM396" s="136" t="e">
        <f ca="1">VLOOKUP(B396,bond!B:AK,36,FALSE)</f>
        <v>#N/A</v>
      </c>
      <c r="AN396" s="136" t="str">
        <f ca="1">IFERROR(VLOOKUP(B396,'3_是否下架'!A:A,1,FALSE),"")</f>
        <v/>
      </c>
      <c r="AO396" s="136" t="e">
        <f ca="1">VLOOKUP(B396,bond!B:J,9,FALSE)</f>
        <v>#N/A</v>
      </c>
      <c r="AP396" s="136" t="e">
        <f ca="1">VLOOKUP(B396,bond!B:V,21,FALSE)</f>
        <v>#N/A</v>
      </c>
    </row>
    <row r="397" spans="1:42">
      <c r="A397" s="141">
        <f>bond!F398</f>
        <v>0</v>
      </c>
      <c r="B397" s="151">
        <f ca="1">IF($C$1=TRUE,bond!B398,"")</f>
        <v>0</v>
      </c>
      <c r="C397" s="95" t="e">
        <f>VLOOKUP(A397,bond!F:G,2,FALSE)</f>
        <v>#N/A</v>
      </c>
      <c r="D397" s="142" t="e">
        <f ca="1">VLOOKUP(B397,bond!B:C,2,FALSE)</f>
        <v>#N/A</v>
      </c>
      <c r="E397" s="95" t="e">
        <f ca="1">VLOOKUP(B397,bond!B:D,3,FALSE)</f>
        <v>#N/A</v>
      </c>
      <c r="F397" s="99" t="e">
        <f ca="1">VLOOKUP(B397,bond!B:AB,27,FALSE)</f>
        <v>#N/A</v>
      </c>
      <c r="G397" s="90" t="e">
        <f ca="1">VLOOKUP(B397,bond!B:E,4,FALSE)</f>
        <v>#N/A</v>
      </c>
      <c r="H397" s="202" t="e">
        <f ca="1">VLOOKUP(B397,bond!B:Y,24,FALSE)</f>
        <v>#N/A</v>
      </c>
      <c r="I397" s="95" t="e">
        <f ca="1">VLOOKUP(B397,bond!B:Z,25,FALSE)</f>
        <v>#N/A</v>
      </c>
      <c r="J397" s="180" t="e">
        <f ca="1">VLOOKUP(B397,bond!B:K,10,FALSE)</f>
        <v>#N/A</v>
      </c>
      <c r="K397" s="96" t="e">
        <f ca="1">VLOOKUP($B397,bond!B:S,14,FALSE)</f>
        <v>#N/A</v>
      </c>
      <c r="L397" s="91" t="e">
        <f ca="1">VLOOKUP(B397,bond!B:H,7,FALSE)</f>
        <v>#N/A</v>
      </c>
      <c r="M397" s="144" t="e">
        <f ca="1">VLOOKUP($B397,bond!$B:$Q,16,FALSE)</f>
        <v>#N/A</v>
      </c>
      <c r="N397" s="136" t="e">
        <f ca="1">VALUE(LEFT(VLOOKUP(B397,bond!B:R,17,FALSE),SEARCH(" ",VLOOKUP(B397,bond!B:R,17,FALSE),1)))</f>
        <v>#N/A</v>
      </c>
      <c r="O397" s="136" t="e">
        <f ca="1">VALUE(RIGHT(VLOOKUP(B397,bond!B:R,17,FALSE),LEN(VLOOKUP(B397,bond!B:R,17,FALSE))-LEN(N397)-3))</f>
        <v>#N/A</v>
      </c>
      <c r="P397" s="135" t="e">
        <f ca="1">VLOOKUP($B397,bond!$B:$AG,32,FALSE)</f>
        <v>#N/A</v>
      </c>
      <c r="Q397" s="135" t="e">
        <f ca="1">VLOOKUP($B397,bond!$B:$AH,33,FALSE)</f>
        <v>#N/A</v>
      </c>
      <c r="R397" s="135" t="e">
        <f ca="1">VLOOKUP(B397,bond!B:AA,26,FALSE)</f>
        <v>#N/A</v>
      </c>
      <c r="S397" s="135" t="e">
        <f ca="1">VLOOKUP(B397,bond!B:AI,34,FALSE)</f>
        <v>#N/A</v>
      </c>
      <c r="T397" s="135" t="e">
        <f t="shared" ca="1" si="42"/>
        <v>#N/A</v>
      </c>
      <c r="U397" s="207" t="e">
        <f ca="1">IFERROR(VLOOKUP(T397,Bond_DES!D:E,2,FALSE),VLOOKUP(S397,bond!AI:AJ,2,FALSE))</f>
        <v>#N/A</v>
      </c>
      <c r="V397" s="136" t="e">
        <f ca="1">IFERROR(VLOOKUP(B397,'1_重設數據'!L:M,2,FALSE),IF(Q397="政府",IF(AD397&gt;16,"(NPI)非專投",IF(AD397&gt;10,"(PI)專投","高資產")),IF(VLOOKUP(B397,bond!B:AN,39,FALSE)="Y","(PI)專投",IF(AD397&gt;=15,"(NPI)非專投",IF(AD397&gt;=10,"(PI)專投","高資產")))))</f>
        <v>#N/A</v>
      </c>
      <c r="W397" s="136" t="e">
        <f ca="1">VLOOKUP(AD397,'credit rating'!$F$2:$H$22,3,FALSE)</f>
        <v>#N/A</v>
      </c>
      <c r="X397" s="136" t="e">
        <f t="shared" ca="1" si="43"/>
        <v>#N/A</v>
      </c>
      <c r="Y397" s="136" t="e">
        <f t="shared" ca="1" si="44"/>
        <v>#N/A</v>
      </c>
      <c r="Z397" s="136" t="e">
        <f t="shared" ca="1" si="45"/>
        <v>#N/A</v>
      </c>
      <c r="AA397" s="134">
        <f ca="1">IFERROR(VLOOKUP(X397,'credit rating'!A:C,3,FALSE),0)</f>
        <v>0</v>
      </c>
      <c r="AB397" s="134">
        <f ca="1">IFERROR(VLOOKUP(Y397,'credit rating'!B:C,2,FALSE),0)</f>
        <v>0</v>
      </c>
      <c r="AC397" s="136">
        <f ca="1">IFERROR(VLOOKUP(Z397,'credit rating'!B:C,2,FALSE),0)</f>
        <v>0</v>
      </c>
      <c r="AD397" s="136">
        <f t="shared" ca="1" si="46"/>
        <v>0</v>
      </c>
      <c r="AE397" s="249" t="str">
        <f ca="1">IFERROR(VLOOKUP(B397,bond!B:U,20,FALSE),"")</f>
        <v/>
      </c>
      <c r="AF397" s="136" t="e">
        <f ca="1">IF(VLOOKUP(B397,bond!B:AK,36,FALSE)="#N/A Field Not Applicable","",VLOOKUP(B397,bond!B:AK,36,FALSE))</f>
        <v>#N/A</v>
      </c>
      <c r="AG397" s="136" t="e">
        <f ca="1">IF(VLOOKUP(B397,bond!B:AL,37,FALSE)="FIXED","固定",IF(VLOOKUP(B397,bond!B:AL,37,FALSE)="FLOATING","浮動",IF(VLOOKUP(B397,bond!B:AL,37,FALSE)="VARIABLE","變動",IF(VLOOKUP(B397,bond!B:AL,37,FALSE)="FLAT TRADING","不含息交易",IF(VLOOKUP(B397,bond!B:AL,37,FALSE)="ZERO COUPON","零息",VLOOKUP(B397,bond!B:AL,37,FALSE))))))</f>
        <v>#N/A</v>
      </c>
      <c r="AH397" s="136" t="e">
        <f>VLOOKUP(C397,'2_Check_code'!I:J,2,FALSE)</f>
        <v>#N/A</v>
      </c>
      <c r="AI397" s="136" t="e">
        <f t="shared" ca="1" si="47"/>
        <v>#N/A</v>
      </c>
      <c r="AJ397" s="136" t="e">
        <f t="shared" ca="1" si="48"/>
        <v>#N/A</v>
      </c>
      <c r="AK397" s="594" t="e">
        <f ca="1">IF(VLOOKUP(B397,bond!B:S,18,FALSE)="是","有",IF(VLOOKUP(B397,bond!B:S,18,FALSE)="NO OFFER","無","需查詢"))</f>
        <v>#N/A</v>
      </c>
      <c r="AL397" s="136" t="e">
        <f>IF(VLOOKUP(A397,bond!F:AR,39,FALSE)="#N/A Field Not Applicable",VLOOKUP(A397,bond!F:AR,38,FALSE),IFERROR(VLOOKUP(A397,'7_發行日例外'!A:B,2,FALSE),VLOOKUP(A397,bond!F:AR,39,FALSE)))</f>
        <v>#N/A</v>
      </c>
      <c r="AM397" s="136" t="e">
        <f ca="1">VLOOKUP(B397,bond!B:AK,36,FALSE)</f>
        <v>#N/A</v>
      </c>
      <c r="AN397" s="136" t="str">
        <f ca="1">IFERROR(VLOOKUP(B397,'3_是否下架'!A:A,1,FALSE),"")</f>
        <v/>
      </c>
      <c r="AO397" s="136" t="e">
        <f ca="1">VLOOKUP(B397,bond!B:J,9,FALSE)</f>
        <v>#N/A</v>
      </c>
      <c r="AP397" s="136" t="e">
        <f ca="1">VLOOKUP(B397,bond!B:V,21,FALSE)</f>
        <v>#N/A</v>
      </c>
    </row>
    <row r="398" spans="1:42">
      <c r="A398" s="141">
        <f>bond!F399</f>
        <v>0</v>
      </c>
      <c r="B398" s="151">
        <f ca="1">IF($C$1=TRUE,bond!B399,"")</f>
        <v>0</v>
      </c>
      <c r="C398" s="95" t="e">
        <f>VLOOKUP(A398,bond!F:G,2,FALSE)</f>
        <v>#N/A</v>
      </c>
      <c r="D398" s="142" t="e">
        <f ca="1">VLOOKUP(B398,bond!B:C,2,FALSE)</f>
        <v>#N/A</v>
      </c>
      <c r="E398" s="95" t="e">
        <f ca="1">VLOOKUP(B398,bond!B:D,3,FALSE)</f>
        <v>#N/A</v>
      </c>
      <c r="F398" s="99" t="e">
        <f ca="1">VLOOKUP(B398,bond!B:AB,27,FALSE)</f>
        <v>#N/A</v>
      </c>
      <c r="G398" s="90" t="e">
        <f ca="1">VLOOKUP(B398,bond!B:E,4,FALSE)</f>
        <v>#N/A</v>
      </c>
      <c r="H398" s="202" t="e">
        <f ca="1">VLOOKUP(B398,bond!B:Y,24,FALSE)</f>
        <v>#N/A</v>
      </c>
      <c r="I398" s="95" t="e">
        <f ca="1">VLOOKUP(B398,bond!B:Z,25,FALSE)</f>
        <v>#N/A</v>
      </c>
      <c r="J398" s="180" t="e">
        <f ca="1">VLOOKUP(B398,bond!B:K,10,FALSE)</f>
        <v>#N/A</v>
      </c>
      <c r="K398" s="96" t="e">
        <f ca="1">VLOOKUP($B398,bond!B:S,14,FALSE)</f>
        <v>#N/A</v>
      </c>
      <c r="L398" s="91" t="e">
        <f ca="1">VLOOKUP(B398,bond!B:H,7,FALSE)</f>
        <v>#N/A</v>
      </c>
      <c r="M398" s="144" t="e">
        <f ca="1">VLOOKUP($B398,bond!$B:$Q,16,FALSE)</f>
        <v>#N/A</v>
      </c>
      <c r="N398" s="136" t="e">
        <f ca="1">VALUE(LEFT(VLOOKUP(B398,bond!B:R,17,FALSE),SEARCH(" ",VLOOKUP(B398,bond!B:R,17,FALSE),1)))</f>
        <v>#N/A</v>
      </c>
      <c r="O398" s="136" t="e">
        <f ca="1">VALUE(RIGHT(VLOOKUP(B398,bond!B:R,17,FALSE),LEN(VLOOKUP(B398,bond!B:R,17,FALSE))-LEN(N398)-3))</f>
        <v>#N/A</v>
      </c>
      <c r="P398" s="135" t="e">
        <f ca="1">VLOOKUP($B398,bond!$B:$AG,32,FALSE)</f>
        <v>#N/A</v>
      </c>
      <c r="Q398" s="135" t="e">
        <f ca="1">VLOOKUP($B398,bond!$B:$AH,33,FALSE)</f>
        <v>#N/A</v>
      </c>
      <c r="R398" s="135" t="e">
        <f ca="1">VLOOKUP(B398,bond!B:AA,26,FALSE)</f>
        <v>#N/A</v>
      </c>
      <c r="S398" s="135" t="e">
        <f ca="1">VLOOKUP(B398,bond!B:AI,34,FALSE)</f>
        <v>#N/A</v>
      </c>
      <c r="T398" s="135" t="e">
        <f t="shared" ca="1" si="42"/>
        <v>#N/A</v>
      </c>
      <c r="U398" s="207" t="e">
        <f ca="1">IFERROR(VLOOKUP(T398,Bond_DES!D:E,2,FALSE),VLOOKUP(S398,bond!AI:AJ,2,FALSE))</f>
        <v>#N/A</v>
      </c>
      <c r="V398" s="136" t="e">
        <f ca="1">IFERROR(VLOOKUP(B398,'1_重設數據'!L:M,2,FALSE),IF(Q398="政府",IF(AD398&gt;16,"(NPI)非專投",IF(AD398&gt;10,"(PI)專投","高資產")),IF(VLOOKUP(B398,bond!B:AN,39,FALSE)="Y","(PI)專投",IF(AD398&gt;=15,"(NPI)非專投",IF(AD398&gt;=10,"(PI)專投","高資產")))))</f>
        <v>#N/A</v>
      </c>
      <c r="W398" s="136" t="e">
        <f ca="1">VLOOKUP(AD398,'credit rating'!$F$2:$H$22,3,FALSE)</f>
        <v>#N/A</v>
      </c>
      <c r="X398" s="136" t="e">
        <f t="shared" ca="1" si="43"/>
        <v>#N/A</v>
      </c>
      <c r="Y398" s="136" t="e">
        <f t="shared" ca="1" si="44"/>
        <v>#N/A</v>
      </c>
      <c r="Z398" s="136" t="e">
        <f t="shared" ca="1" si="45"/>
        <v>#N/A</v>
      </c>
      <c r="AA398" s="134">
        <f ca="1">IFERROR(VLOOKUP(X398,'credit rating'!A:C,3,FALSE),0)</f>
        <v>0</v>
      </c>
      <c r="AB398" s="134">
        <f ca="1">IFERROR(VLOOKUP(Y398,'credit rating'!B:C,2,FALSE),0)</f>
        <v>0</v>
      </c>
      <c r="AC398" s="136">
        <f ca="1">IFERROR(VLOOKUP(Z398,'credit rating'!B:C,2,FALSE),0)</f>
        <v>0</v>
      </c>
      <c r="AD398" s="136">
        <f t="shared" ca="1" si="46"/>
        <v>0</v>
      </c>
      <c r="AE398" s="249" t="str">
        <f ca="1">IFERROR(VLOOKUP(B398,bond!B:U,20,FALSE),"")</f>
        <v/>
      </c>
      <c r="AF398" s="136" t="e">
        <f ca="1">IF(VLOOKUP(B398,bond!B:AK,36,FALSE)="#N/A Field Not Applicable","",VLOOKUP(B398,bond!B:AK,36,FALSE))</f>
        <v>#N/A</v>
      </c>
      <c r="AG398" s="136" t="e">
        <f ca="1">IF(VLOOKUP(B398,bond!B:AL,37,FALSE)="FIXED","固定",IF(VLOOKUP(B398,bond!B:AL,37,FALSE)="FLOATING","浮動",IF(VLOOKUP(B398,bond!B:AL,37,FALSE)="VARIABLE","變動",IF(VLOOKUP(B398,bond!B:AL,37,FALSE)="FLAT TRADING","不含息交易",IF(VLOOKUP(B398,bond!B:AL,37,FALSE)="ZERO COUPON","零息",VLOOKUP(B398,bond!B:AL,37,FALSE))))))</f>
        <v>#N/A</v>
      </c>
      <c r="AH398" s="136" t="e">
        <f>VLOOKUP(C398,'2_Check_code'!I:J,2,FALSE)</f>
        <v>#N/A</v>
      </c>
      <c r="AI398" s="136" t="e">
        <f t="shared" ca="1" si="47"/>
        <v>#N/A</v>
      </c>
      <c r="AJ398" s="136" t="e">
        <f t="shared" ca="1" si="48"/>
        <v>#N/A</v>
      </c>
      <c r="AK398" s="594" t="e">
        <f ca="1">IF(VLOOKUP(B398,bond!B:S,18,FALSE)="是","有",IF(VLOOKUP(B398,bond!B:S,18,FALSE)="NO OFFER","無","需查詢"))</f>
        <v>#N/A</v>
      </c>
      <c r="AL398" s="136" t="e">
        <f>IF(VLOOKUP(A398,bond!F:AR,39,FALSE)="#N/A Field Not Applicable",VLOOKUP(A398,bond!F:AR,38,FALSE),IFERROR(VLOOKUP(A398,'7_發行日例外'!A:B,2,FALSE),VLOOKUP(A398,bond!F:AR,39,FALSE)))</f>
        <v>#N/A</v>
      </c>
      <c r="AM398" s="136" t="e">
        <f ca="1">VLOOKUP(B398,bond!B:AK,36,FALSE)</f>
        <v>#N/A</v>
      </c>
      <c r="AN398" s="136" t="str">
        <f ca="1">IFERROR(VLOOKUP(B398,'3_是否下架'!A:A,1,FALSE),"")</f>
        <v/>
      </c>
      <c r="AO398" s="136" t="e">
        <f ca="1">VLOOKUP(B398,bond!B:J,9,FALSE)</f>
        <v>#N/A</v>
      </c>
      <c r="AP398" s="136" t="e">
        <f ca="1">VLOOKUP(B398,bond!B:V,21,FALSE)</f>
        <v>#N/A</v>
      </c>
    </row>
    <row r="399" spans="1:42">
      <c r="A399" s="141">
        <f>bond!F400</f>
        <v>0</v>
      </c>
      <c r="B399" s="151">
        <f ca="1">IF($C$1=TRUE,bond!B400,"")</f>
        <v>0</v>
      </c>
      <c r="C399" s="95" t="e">
        <f>VLOOKUP(A399,bond!F:G,2,FALSE)</f>
        <v>#N/A</v>
      </c>
      <c r="D399" s="142" t="e">
        <f ca="1">VLOOKUP(B399,bond!B:C,2,FALSE)</f>
        <v>#N/A</v>
      </c>
      <c r="E399" s="95" t="e">
        <f ca="1">VLOOKUP(B399,bond!B:D,3,FALSE)</f>
        <v>#N/A</v>
      </c>
      <c r="F399" s="99" t="e">
        <f ca="1">VLOOKUP(B399,bond!B:AB,27,FALSE)</f>
        <v>#N/A</v>
      </c>
      <c r="G399" s="90" t="e">
        <f ca="1">VLOOKUP(B399,bond!B:E,4,FALSE)</f>
        <v>#N/A</v>
      </c>
      <c r="H399" s="202" t="e">
        <f ca="1">VLOOKUP(B399,bond!B:Y,24,FALSE)</f>
        <v>#N/A</v>
      </c>
      <c r="I399" s="95" t="e">
        <f ca="1">VLOOKUP(B399,bond!B:Z,25,FALSE)</f>
        <v>#N/A</v>
      </c>
      <c r="J399" s="180" t="e">
        <f ca="1">VLOOKUP(B399,bond!B:K,10,FALSE)</f>
        <v>#N/A</v>
      </c>
      <c r="K399" s="96" t="e">
        <f ca="1">VLOOKUP($B399,bond!B:S,14,FALSE)</f>
        <v>#N/A</v>
      </c>
      <c r="L399" s="91" t="e">
        <f ca="1">VLOOKUP(B399,bond!B:H,7,FALSE)</f>
        <v>#N/A</v>
      </c>
      <c r="M399" s="144" t="e">
        <f ca="1">VLOOKUP($B399,bond!$B:$Q,16,FALSE)</f>
        <v>#N/A</v>
      </c>
      <c r="N399" s="136" t="e">
        <f ca="1">VALUE(LEFT(VLOOKUP(B399,bond!B:R,17,FALSE),SEARCH(" ",VLOOKUP(B399,bond!B:R,17,FALSE),1)))</f>
        <v>#N/A</v>
      </c>
      <c r="O399" s="136" t="e">
        <f ca="1">VALUE(RIGHT(VLOOKUP(B399,bond!B:R,17,FALSE),LEN(VLOOKUP(B399,bond!B:R,17,FALSE))-LEN(N399)-3))</f>
        <v>#N/A</v>
      </c>
      <c r="P399" s="135" t="e">
        <f ca="1">VLOOKUP($B399,bond!$B:$AG,32,FALSE)</f>
        <v>#N/A</v>
      </c>
      <c r="Q399" s="135" t="e">
        <f ca="1">VLOOKUP($B399,bond!$B:$AH,33,FALSE)</f>
        <v>#N/A</v>
      </c>
      <c r="R399" s="135" t="e">
        <f ca="1">VLOOKUP(B399,bond!B:AA,26,FALSE)</f>
        <v>#N/A</v>
      </c>
      <c r="S399" s="135" t="e">
        <f ca="1">VLOOKUP(B399,bond!B:AI,34,FALSE)</f>
        <v>#N/A</v>
      </c>
      <c r="T399" s="135" t="e">
        <f t="shared" ca="1" si="42"/>
        <v>#N/A</v>
      </c>
      <c r="U399" s="207" t="e">
        <f ca="1">IFERROR(VLOOKUP(T399,Bond_DES!D:E,2,FALSE),VLOOKUP(S399,bond!AI:AJ,2,FALSE))</f>
        <v>#N/A</v>
      </c>
      <c r="V399" s="136" t="e">
        <f ca="1">IFERROR(VLOOKUP(B399,'1_重設數據'!L:M,2,FALSE),IF(Q399="政府",IF(AD399&gt;16,"(NPI)非專投",IF(AD399&gt;10,"(PI)專投","高資產")),IF(VLOOKUP(B399,bond!B:AN,39,FALSE)="Y","(PI)專投",IF(AD399&gt;=15,"(NPI)非專投",IF(AD399&gt;=10,"(PI)專投","高資產")))))</f>
        <v>#N/A</v>
      </c>
      <c r="W399" s="136" t="e">
        <f ca="1">VLOOKUP(AD399,'credit rating'!$F$2:$H$22,3,FALSE)</f>
        <v>#N/A</v>
      </c>
      <c r="X399" s="136" t="e">
        <f t="shared" ca="1" si="43"/>
        <v>#N/A</v>
      </c>
      <c r="Y399" s="136" t="e">
        <f t="shared" ca="1" si="44"/>
        <v>#N/A</v>
      </c>
      <c r="Z399" s="136" t="e">
        <f t="shared" ca="1" si="45"/>
        <v>#N/A</v>
      </c>
      <c r="AA399" s="134">
        <f ca="1">IFERROR(VLOOKUP(X399,'credit rating'!A:C,3,FALSE),0)</f>
        <v>0</v>
      </c>
      <c r="AB399" s="134">
        <f ca="1">IFERROR(VLOOKUP(Y399,'credit rating'!B:C,2,FALSE),0)</f>
        <v>0</v>
      </c>
      <c r="AC399" s="136">
        <f ca="1">IFERROR(VLOOKUP(Z399,'credit rating'!B:C,2,FALSE),0)</f>
        <v>0</v>
      </c>
      <c r="AD399" s="136">
        <f t="shared" ca="1" si="46"/>
        <v>0</v>
      </c>
      <c r="AE399" s="249" t="str">
        <f ca="1">IFERROR(VLOOKUP(B399,bond!B:U,20,FALSE),"")</f>
        <v/>
      </c>
      <c r="AF399" s="136" t="e">
        <f ca="1">IF(VLOOKUP(B399,bond!B:AK,36,FALSE)="#N/A Field Not Applicable","",VLOOKUP(B399,bond!B:AK,36,FALSE))</f>
        <v>#N/A</v>
      </c>
      <c r="AG399" s="136" t="e">
        <f ca="1">IF(VLOOKUP(B399,bond!B:AL,37,FALSE)="FIXED","固定",IF(VLOOKUP(B399,bond!B:AL,37,FALSE)="FLOATING","浮動",IF(VLOOKUP(B399,bond!B:AL,37,FALSE)="VARIABLE","變動",IF(VLOOKUP(B399,bond!B:AL,37,FALSE)="FLAT TRADING","不含息交易",IF(VLOOKUP(B399,bond!B:AL,37,FALSE)="ZERO COUPON","零息",VLOOKUP(B399,bond!B:AL,37,FALSE))))))</f>
        <v>#N/A</v>
      </c>
      <c r="AH399" s="136" t="e">
        <f>VLOOKUP(C399,'2_Check_code'!I:J,2,FALSE)</f>
        <v>#N/A</v>
      </c>
      <c r="AI399" s="136" t="e">
        <f t="shared" ca="1" si="47"/>
        <v>#N/A</v>
      </c>
      <c r="AJ399" s="136" t="e">
        <f t="shared" ca="1" si="48"/>
        <v>#N/A</v>
      </c>
      <c r="AK399" s="594" t="e">
        <f ca="1">IF(VLOOKUP(B399,bond!B:S,18,FALSE)="是","有",IF(VLOOKUP(B399,bond!B:S,18,FALSE)="NO OFFER","無","需查詢"))</f>
        <v>#N/A</v>
      </c>
      <c r="AL399" s="136" t="e">
        <f>IF(VLOOKUP(A399,bond!F:AR,39,FALSE)="#N/A Field Not Applicable",VLOOKUP(A399,bond!F:AR,38,FALSE),IFERROR(VLOOKUP(A399,'7_發行日例外'!A:B,2,FALSE),VLOOKUP(A399,bond!F:AR,39,FALSE)))</f>
        <v>#N/A</v>
      </c>
      <c r="AM399" s="136" t="e">
        <f ca="1">VLOOKUP(B399,bond!B:AK,36,FALSE)</f>
        <v>#N/A</v>
      </c>
      <c r="AN399" s="136" t="str">
        <f ca="1">IFERROR(VLOOKUP(B399,'3_是否下架'!A:A,1,FALSE),"")</f>
        <v/>
      </c>
      <c r="AO399" s="136" t="e">
        <f ca="1">VLOOKUP(B399,bond!B:J,9,FALSE)</f>
        <v>#N/A</v>
      </c>
      <c r="AP399" s="136" t="e">
        <f ca="1">VLOOKUP(B399,bond!B:V,21,FALSE)</f>
        <v>#N/A</v>
      </c>
    </row>
    <row r="400" spans="1:42">
      <c r="A400" s="141">
        <f>bond!F401</f>
        <v>0</v>
      </c>
      <c r="B400" s="151">
        <f ca="1">IF($C$1=TRUE,bond!B401,"")</f>
        <v>0</v>
      </c>
      <c r="C400" s="95" t="e">
        <f>VLOOKUP(A400,bond!F:G,2,FALSE)</f>
        <v>#N/A</v>
      </c>
      <c r="D400" s="142" t="e">
        <f ca="1">VLOOKUP(B400,bond!B:C,2,FALSE)</f>
        <v>#N/A</v>
      </c>
      <c r="E400" s="95" t="e">
        <f ca="1">VLOOKUP(B400,bond!B:D,3,FALSE)</f>
        <v>#N/A</v>
      </c>
      <c r="F400" s="99" t="e">
        <f ca="1">VLOOKUP(B400,bond!B:AB,27,FALSE)</f>
        <v>#N/A</v>
      </c>
      <c r="G400" s="90" t="e">
        <f ca="1">VLOOKUP(B400,bond!B:E,4,FALSE)</f>
        <v>#N/A</v>
      </c>
      <c r="H400" s="202" t="e">
        <f ca="1">VLOOKUP(B400,bond!B:Y,24,FALSE)</f>
        <v>#N/A</v>
      </c>
      <c r="I400" s="95" t="e">
        <f ca="1">VLOOKUP(B400,bond!B:Z,25,FALSE)</f>
        <v>#N/A</v>
      </c>
      <c r="J400" s="180" t="e">
        <f ca="1">VLOOKUP(B400,bond!B:K,10,FALSE)</f>
        <v>#N/A</v>
      </c>
      <c r="K400" s="96" t="e">
        <f ca="1">VLOOKUP($B400,bond!B:S,14,FALSE)</f>
        <v>#N/A</v>
      </c>
      <c r="L400" s="91" t="e">
        <f ca="1">VLOOKUP(B400,bond!B:H,7,FALSE)</f>
        <v>#N/A</v>
      </c>
      <c r="M400" s="144" t="e">
        <f ca="1">VLOOKUP($B400,bond!$B:$Q,16,FALSE)</f>
        <v>#N/A</v>
      </c>
      <c r="N400" s="136" t="e">
        <f ca="1">VALUE(LEFT(VLOOKUP(B400,bond!B:R,17,FALSE),SEARCH(" ",VLOOKUP(B400,bond!B:R,17,FALSE),1)))</f>
        <v>#N/A</v>
      </c>
      <c r="O400" s="136" t="e">
        <f ca="1">VALUE(RIGHT(VLOOKUP(B400,bond!B:R,17,FALSE),LEN(VLOOKUP(B400,bond!B:R,17,FALSE))-LEN(N400)-3))</f>
        <v>#N/A</v>
      </c>
      <c r="P400" s="135" t="e">
        <f ca="1">VLOOKUP($B400,bond!$B:$AG,32,FALSE)</f>
        <v>#N/A</v>
      </c>
      <c r="Q400" s="135" t="e">
        <f ca="1">VLOOKUP($B400,bond!$B:$AH,33,FALSE)</f>
        <v>#N/A</v>
      </c>
      <c r="R400" s="135" t="e">
        <f ca="1">VLOOKUP(B400,bond!B:AA,26,FALSE)</f>
        <v>#N/A</v>
      </c>
      <c r="S400" s="135" t="e">
        <f ca="1">VLOOKUP(B400,bond!B:AI,34,FALSE)</f>
        <v>#N/A</v>
      </c>
      <c r="T400" s="135" t="e">
        <f t="shared" ca="1" si="42"/>
        <v>#N/A</v>
      </c>
      <c r="U400" s="207" t="e">
        <f ca="1">IFERROR(VLOOKUP(T400,Bond_DES!D:E,2,FALSE),VLOOKUP(S400,bond!AI:AJ,2,FALSE))</f>
        <v>#N/A</v>
      </c>
      <c r="V400" s="136" t="e">
        <f ca="1">IFERROR(VLOOKUP(B400,'1_重設數據'!L:M,2,FALSE),IF(Q400="政府",IF(AD400&gt;16,"(NPI)非專投",IF(AD400&gt;10,"(PI)專投","高資產")),IF(VLOOKUP(B400,bond!B:AN,39,FALSE)="Y","(PI)專投",IF(AD400&gt;=15,"(NPI)非專投",IF(AD400&gt;=10,"(PI)專投","高資產")))))</f>
        <v>#N/A</v>
      </c>
      <c r="W400" s="136" t="e">
        <f ca="1">VLOOKUP(AD400,'credit rating'!$F$2:$H$22,3,FALSE)</f>
        <v>#N/A</v>
      </c>
      <c r="X400" s="136" t="e">
        <f t="shared" ca="1" si="43"/>
        <v>#N/A</v>
      </c>
      <c r="Y400" s="136" t="e">
        <f t="shared" ca="1" si="44"/>
        <v>#N/A</v>
      </c>
      <c r="Z400" s="136" t="e">
        <f t="shared" ca="1" si="45"/>
        <v>#N/A</v>
      </c>
      <c r="AA400" s="134">
        <f ca="1">IFERROR(VLOOKUP(X400,'credit rating'!A:C,3,FALSE),0)</f>
        <v>0</v>
      </c>
      <c r="AB400" s="134">
        <f ca="1">IFERROR(VLOOKUP(Y400,'credit rating'!B:C,2,FALSE),0)</f>
        <v>0</v>
      </c>
      <c r="AC400" s="136">
        <f ca="1">IFERROR(VLOOKUP(Z400,'credit rating'!B:C,2,FALSE),0)</f>
        <v>0</v>
      </c>
      <c r="AD400" s="136">
        <f t="shared" ca="1" si="46"/>
        <v>0</v>
      </c>
      <c r="AE400" s="249" t="str">
        <f ca="1">IFERROR(VLOOKUP(B400,bond!B:U,20,FALSE),"")</f>
        <v/>
      </c>
      <c r="AF400" s="136" t="e">
        <f ca="1">IF(VLOOKUP(B400,bond!B:AK,36,FALSE)="#N/A Field Not Applicable","",VLOOKUP(B400,bond!B:AK,36,FALSE))</f>
        <v>#N/A</v>
      </c>
      <c r="AG400" s="136" t="e">
        <f ca="1">IF(VLOOKUP(B400,bond!B:AL,37,FALSE)="FIXED","固定",IF(VLOOKUP(B400,bond!B:AL,37,FALSE)="FLOATING","浮動",IF(VLOOKUP(B400,bond!B:AL,37,FALSE)="VARIABLE","變動",IF(VLOOKUP(B400,bond!B:AL,37,FALSE)="FLAT TRADING","不含息交易",IF(VLOOKUP(B400,bond!B:AL,37,FALSE)="ZERO COUPON","零息",VLOOKUP(B400,bond!B:AL,37,FALSE))))))</f>
        <v>#N/A</v>
      </c>
      <c r="AH400" s="136" t="e">
        <f>VLOOKUP(C400,'2_Check_code'!I:J,2,FALSE)</f>
        <v>#N/A</v>
      </c>
      <c r="AI400" s="136" t="e">
        <f t="shared" ca="1" si="47"/>
        <v>#N/A</v>
      </c>
      <c r="AJ400" s="136" t="e">
        <f t="shared" ca="1" si="48"/>
        <v>#N/A</v>
      </c>
      <c r="AK400" s="594" t="e">
        <f ca="1">IF(VLOOKUP(B400,bond!B:S,18,FALSE)="是","有",IF(VLOOKUP(B400,bond!B:S,18,FALSE)="NO OFFER","無","需查詢"))</f>
        <v>#N/A</v>
      </c>
      <c r="AL400" s="136" t="e">
        <f>IF(VLOOKUP(A400,bond!F:AR,39,FALSE)="#N/A Field Not Applicable",VLOOKUP(A400,bond!F:AR,38,FALSE),IFERROR(VLOOKUP(A400,'7_發行日例外'!A:B,2,FALSE),VLOOKUP(A400,bond!F:AR,39,FALSE)))</f>
        <v>#N/A</v>
      </c>
      <c r="AM400" s="136" t="e">
        <f ca="1">VLOOKUP(B400,bond!B:AK,36,FALSE)</f>
        <v>#N/A</v>
      </c>
      <c r="AN400" s="136" t="str">
        <f ca="1">IFERROR(VLOOKUP(B400,'3_是否下架'!A:A,1,FALSE),"")</f>
        <v/>
      </c>
      <c r="AO400" s="136" t="e">
        <f ca="1">VLOOKUP(B400,bond!B:J,9,FALSE)</f>
        <v>#N/A</v>
      </c>
      <c r="AP400" s="136" t="e">
        <f ca="1">VLOOKUP(B400,bond!B:V,21,FALSE)</f>
        <v>#N/A</v>
      </c>
    </row>
    <row r="401" spans="1:42">
      <c r="A401" s="141">
        <f>bond!F402</f>
        <v>0</v>
      </c>
      <c r="B401" s="151">
        <f ca="1">IF($C$1=TRUE,bond!B402,"")</f>
        <v>0</v>
      </c>
      <c r="C401" s="95" t="e">
        <f>VLOOKUP(A401,bond!F:G,2,FALSE)</f>
        <v>#N/A</v>
      </c>
      <c r="D401" s="142" t="e">
        <f ca="1">VLOOKUP(B401,bond!B:C,2,FALSE)</f>
        <v>#N/A</v>
      </c>
      <c r="E401" s="95" t="e">
        <f ca="1">VLOOKUP(B401,bond!B:D,3,FALSE)</f>
        <v>#N/A</v>
      </c>
      <c r="F401" s="99" t="e">
        <f ca="1">VLOOKUP(B401,bond!B:AB,27,FALSE)</f>
        <v>#N/A</v>
      </c>
      <c r="G401" s="90" t="e">
        <f ca="1">VLOOKUP(B401,bond!B:E,4,FALSE)</f>
        <v>#N/A</v>
      </c>
      <c r="H401" s="202" t="e">
        <f ca="1">VLOOKUP(B401,bond!B:Y,24,FALSE)</f>
        <v>#N/A</v>
      </c>
      <c r="I401" s="95" t="e">
        <f ca="1">VLOOKUP(B401,bond!B:Z,25,FALSE)</f>
        <v>#N/A</v>
      </c>
      <c r="J401" s="180" t="e">
        <f ca="1">VLOOKUP(B401,bond!B:K,10,FALSE)</f>
        <v>#N/A</v>
      </c>
      <c r="K401" s="96" t="e">
        <f ca="1">VLOOKUP($B401,bond!B:S,14,FALSE)</f>
        <v>#N/A</v>
      </c>
      <c r="L401" s="91" t="e">
        <f ca="1">VLOOKUP(B401,bond!B:H,7,FALSE)</f>
        <v>#N/A</v>
      </c>
      <c r="M401" s="144" t="e">
        <f ca="1">VLOOKUP($B401,bond!$B:$Q,16,FALSE)</f>
        <v>#N/A</v>
      </c>
      <c r="N401" s="136" t="e">
        <f ca="1">VALUE(LEFT(VLOOKUP(B401,bond!B:R,17,FALSE),SEARCH(" ",VLOOKUP(B401,bond!B:R,17,FALSE),1)))</f>
        <v>#N/A</v>
      </c>
      <c r="O401" s="136" t="e">
        <f ca="1">VALUE(RIGHT(VLOOKUP(B401,bond!B:R,17,FALSE),LEN(VLOOKUP(B401,bond!B:R,17,FALSE))-LEN(N401)-3))</f>
        <v>#N/A</v>
      </c>
      <c r="P401" s="135" t="e">
        <f ca="1">VLOOKUP($B401,bond!$B:$AG,32,FALSE)</f>
        <v>#N/A</v>
      </c>
      <c r="Q401" s="135" t="e">
        <f ca="1">VLOOKUP($B401,bond!$B:$AH,33,FALSE)</f>
        <v>#N/A</v>
      </c>
      <c r="R401" s="135" t="e">
        <f ca="1">VLOOKUP(B401,bond!B:AA,26,FALSE)</f>
        <v>#N/A</v>
      </c>
      <c r="S401" s="135" t="e">
        <f ca="1">VLOOKUP(B401,bond!B:AI,34,FALSE)</f>
        <v>#N/A</v>
      </c>
      <c r="T401" s="135" t="e">
        <f t="shared" ca="1" si="42"/>
        <v>#N/A</v>
      </c>
      <c r="U401" s="207" t="e">
        <f ca="1">IFERROR(VLOOKUP(T401,Bond_DES!D:E,2,FALSE),VLOOKUP(S401,bond!AI:AJ,2,FALSE))</f>
        <v>#N/A</v>
      </c>
      <c r="V401" s="136" t="e">
        <f ca="1">IFERROR(VLOOKUP(B401,'1_重設數據'!L:M,2,FALSE),IF(Q401="政府",IF(AD401&gt;16,"(NPI)非專投",IF(AD401&gt;10,"(PI)專投","高資產")),IF(VLOOKUP(B401,bond!B:AN,39,FALSE)="Y","(PI)專投",IF(AD401&gt;=15,"(NPI)非專投",IF(AD401&gt;=10,"(PI)專投","高資產")))))</f>
        <v>#N/A</v>
      </c>
      <c r="W401" s="136" t="e">
        <f ca="1">VLOOKUP(AD401,'credit rating'!$F$2:$H$22,3,FALSE)</f>
        <v>#N/A</v>
      </c>
      <c r="X401" s="136" t="e">
        <f t="shared" ca="1" si="43"/>
        <v>#N/A</v>
      </c>
      <c r="Y401" s="136" t="e">
        <f t="shared" ca="1" si="44"/>
        <v>#N/A</v>
      </c>
      <c r="Z401" s="136" t="e">
        <f t="shared" ca="1" si="45"/>
        <v>#N/A</v>
      </c>
      <c r="AA401" s="134">
        <f ca="1">IFERROR(VLOOKUP(X401,'credit rating'!A:C,3,FALSE),0)</f>
        <v>0</v>
      </c>
      <c r="AB401" s="134">
        <f ca="1">IFERROR(VLOOKUP(Y401,'credit rating'!B:C,2,FALSE),0)</f>
        <v>0</v>
      </c>
      <c r="AC401" s="136">
        <f ca="1">IFERROR(VLOOKUP(Z401,'credit rating'!B:C,2,FALSE),0)</f>
        <v>0</v>
      </c>
      <c r="AD401" s="136">
        <f t="shared" ca="1" si="46"/>
        <v>0</v>
      </c>
      <c r="AE401" s="249" t="str">
        <f ca="1">IFERROR(VLOOKUP(B401,bond!B:U,20,FALSE),"")</f>
        <v/>
      </c>
      <c r="AF401" s="136" t="e">
        <f ca="1">IF(VLOOKUP(B401,bond!B:AK,36,FALSE)="#N/A Field Not Applicable","",VLOOKUP(B401,bond!B:AK,36,FALSE))</f>
        <v>#N/A</v>
      </c>
      <c r="AG401" s="136" t="e">
        <f ca="1">IF(VLOOKUP(B401,bond!B:AL,37,FALSE)="FIXED","固定",IF(VLOOKUP(B401,bond!B:AL,37,FALSE)="FLOATING","浮動",IF(VLOOKUP(B401,bond!B:AL,37,FALSE)="VARIABLE","變動",IF(VLOOKUP(B401,bond!B:AL,37,FALSE)="FLAT TRADING","不含息交易",IF(VLOOKUP(B401,bond!B:AL,37,FALSE)="ZERO COUPON","零息",VLOOKUP(B401,bond!B:AL,37,FALSE))))))</f>
        <v>#N/A</v>
      </c>
      <c r="AH401" s="136" t="e">
        <f>VLOOKUP(C401,'2_Check_code'!I:J,2,FALSE)</f>
        <v>#N/A</v>
      </c>
      <c r="AI401" s="136" t="e">
        <f t="shared" ca="1" si="47"/>
        <v>#N/A</v>
      </c>
      <c r="AJ401" s="136" t="e">
        <f t="shared" ca="1" si="48"/>
        <v>#N/A</v>
      </c>
      <c r="AK401" s="594" t="e">
        <f ca="1">IF(VLOOKUP(B401,bond!B:S,18,FALSE)="是","有",IF(VLOOKUP(B401,bond!B:S,18,FALSE)="NO OFFER","無","需查詢"))</f>
        <v>#N/A</v>
      </c>
      <c r="AL401" s="136" t="e">
        <f>IF(VLOOKUP(A401,bond!F:AR,39,FALSE)="#N/A Field Not Applicable",VLOOKUP(A401,bond!F:AR,38,FALSE),IFERROR(VLOOKUP(A401,'7_發行日例外'!A:B,2,FALSE),VLOOKUP(A401,bond!F:AR,39,FALSE)))</f>
        <v>#N/A</v>
      </c>
      <c r="AM401" s="136" t="e">
        <f ca="1">VLOOKUP(B401,bond!B:AK,36,FALSE)</f>
        <v>#N/A</v>
      </c>
      <c r="AN401" s="136" t="str">
        <f ca="1">IFERROR(VLOOKUP(B401,'3_是否下架'!A:A,1,FALSE),"")</f>
        <v/>
      </c>
      <c r="AO401" s="136" t="e">
        <f ca="1">VLOOKUP(B401,bond!B:J,9,FALSE)</f>
        <v>#N/A</v>
      </c>
      <c r="AP401" s="136" t="e">
        <f ca="1">VLOOKUP(B401,bond!B:V,21,FALSE)</f>
        <v>#N/A</v>
      </c>
    </row>
    <row r="402" spans="1:42">
      <c r="A402" s="141">
        <f>bond!F403</f>
        <v>0</v>
      </c>
      <c r="B402" s="151">
        <f ca="1">IF($C$1=TRUE,bond!B403,"")</f>
        <v>0</v>
      </c>
      <c r="C402" s="95" t="e">
        <f>VLOOKUP(A402,bond!F:G,2,FALSE)</f>
        <v>#N/A</v>
      </c>
      <c r="D402" s="142" t="e">
        <f ca="1">VLOOKUP(B402,bond!B:C,2,FALSE)</f>
        <v>#N/A</v>
      </c>
      <c r="E402" s="95" t="e">
        <f ca="1">VLOOKUP(B402,bond!B:D,3,FALSE)</f>
        <v>#N/A</v>
      </c>
      <c r="F402" s="99" t="e">
        <f ca="1">VLOOKUP(B402,bond!B:AB,27,FALSE)</f>
        <v>#N/A</v>
      </c>
      <c r="G402" s="90" t="e">
        <f ca="1">VLOOKUP(B402,bond!B:E,4,FALSE)</f>
        <v>#N/A</v>
      </c>
      <c r="H402" s="202" t="e">
        <f ca="1">VLOOKUP(B402,bond!B:Y,24,FALSE)</f>
        <v>#N/A</v>
      </c>
      <c r="I402" s="95" t="e">
        <f ca="1">VLOOKUP(B402,bond!B:Z,25,FALSE)</f>
        <v>#N/A</v>
      </c>
      <c r="J402" s="180" t="e">
        <f ca="1">VLOOKUP(B402,bond!B:K,10,FALSE)</f>
        <v>#N/A</v>
      </c>
      <c r="K402" s="96" t="e">
        <f ca="1">VLOOKUP($B402,bond!B:S,14,FALSE)</f>
        <v>#N/A</v>
      </c>
      <c r="L402" s="91" t="e">
        <f ca="1">VLOOKUP(B402,bond!B:H,7,FALSE)</f>
        <v>#N/A</v>
      </c>
      <c r="M402" s="144" t="e">
        <f ca="1">VLOOKUP($B402,bond!$B:$Q,16,FALSE)</f>
        <v>#N/A</v>
      </c>
      <c r="N402" s="136" t="e">
        <f ca="1">VALUE(LEFT(VLOOKUP(B402,bond!B:R,17,FALSE),SEARCH(" ",VLOOKUP(B402,bond!B:R,17,FALSE),1)))</f>
        <v>#N/A</v>
      </c>
      <c r="O402" s="136" t="e">
        <f ca="1">VALUE(RIGHT(VLOOKUP(B402,bond!B:R,17,FALSE),LEN(VLOOKUP(B402,bond!B:R,17,FALSE))-LEN(N402)-3))</f>
        <v>#N/A</v>
      </c>
      <c r="P402" s="135" t="e">
        <f ca="1">VLOOKUP($B402,bond!$B:$AG,32,FALSE)</f>
        <v>#N/A</v>
      </c>
      <c r="Q402" s="135" t="e">
        <f ca="1">VLOOKUP($B402,bond!$B:$AH,33,FALSE)</f>
        <v>#N/A</v>
      </c>
      <c r="R402" s="135" t="e">
        <f ca="1">VLOOKUP(B402,bond!B:AA,26,FALSE)</f>
        <v>#N/A</v>
      </c>
      <c r="S402" s="135" t="e">
        <f ca="1">VLOOKUP(B402,bond!B:AI,34,FALSE)</f>
        <v>#N/A</v>
      </c>
      <c r="T402" s="135" t="e">
        <f t="shared" ca="1" si="42"/>
        <v>#N/A</v>
      </c>
      <c r="U402" s="207" t="e">
        <f ca="1">IFERROR(VLOOKUP(T402,Bond_DES!D:E,2,FALSE),VLOOKUP(S402,bond!AI:AJ,2,FALSE))</f>
        <v>#N/A</v>
      </c>
      <c r="V402" s="136" t="e">
        <f ca="1">IFERROR(VLOOKUP(B402,'1_重設數據'!L:M,2,FALSE),IF(Q402="政府",IF(AD402&gt;16,"(NPI)非專投",IF(AD402&gt;10,"(PI)專投","高資產")),IF(VLOOKUP(B402,bond!B:AN,39,FALSE)="Y","(PI)專投",IF(AD402&gt;=15,"(NPI)非專投",IF(AD402&gt;=10,"(PI)專投","高資產")))))</f>
        <v>#N/A</v>
      </c>
      <c r="W402" s="136" t="e">
        <f ca="1">VLOOKUP(AD402,'credit rating'!$F$2:$H$22,3,FALSE)</f>
        <v>#N/A</v>
      </c>
      <c r="X402" s="136" t="e">
        <f t="shared" ca="1" si="43"/>
        <v>#N/A</v>
      </c>
      <c r="Y402" s="136" t="e">
        <f t="shared" ca="1" si="44"/>
        <v>#N/A</v>
      </c>
      <c r="Z402" s="136" t="e">
        <f t="shared" ca="1" si="45"/>
        <v>#N/A</v>
      </c>
      <c r="AA402" s="134">
        <f ca="1">IFERROR(VLOOKUP(X402,'credit rating'!A:C,3,FALSE),0)</f>
        <v>0</v>
      </c>
      <c r="AB402" s="134">
        <f ca="1">IFERROR(VLOOKUP(Y402,'credit rating'!B:C,2,FALSE),0)</f>
        <v>0</v>
      </c>
      <c r="AC402" s="136">
        <f ca="1">IFERROR(VLOOKUP(Z402,'credit rating'!B:C,2,FALSE),0)</f>
        <v>0</v>
      </c>
      <c r="AD402" s="136">
        <f t="shared" ca="1" si="46"/>
        <v>0</v>
      </c>
      <c r="AE402" s="249" t="str">
        <f ca="1">IFERROR(VLOOKUP(B402,bond!B:U,20,FALSE),"")</f>
        <v/>
      </c>
      <c r="AF402" s="136" t="e">
        <f ca="1">IF(VLOOKUP(B402,bond!B:AK,36,FALSE)="#N/A Field Not Applicable","",VLOOKUP(B402,bond!B:AK,36,FALSE))</f>
        <v>#N/A</v>
      </c>
      <c r="AG402" s="136" t="e">
        <f ca="1">IF(VLOOKUP(B402,bond!B:AL,37,FALSE)="FIXED","固定",IF(VLOOKUP(B402,bond!B:AL,37,FALSE)="FLOATING","浮動",IF(VLOOKUP(B402,bond!B:AL,37,FALSE)="VARIABLE","變動",IF(VLOOKUP(B402,bond!B:AL,37,FALSE)="FLAT TRADING","不含息交易",IF(VLOOKUP(B402,bond!B:AL,37,FALSE)="ZERO COUPON","零息",VLOOKUP(B402,bond!B:AL,37,FALSE))))))</f>
        <v>#N/A</v>
      </c>
      <c r="AH402" s="136" t="e">
        <f>VLOOKUP(C402,'2_Check_code'!I:J,2,FALSE)</f>
        <v>#N/A</v>
      </c>
      <c r="AI402" s="136" t="e">
        <f t="shared" ca="1" si="47"/>
        <v>#N/A</v>
      </c>
      <c r="AJ402" s="136" t="e">
        <f t="shared" ca="1" si="48"/>
        <v>#N/A</v>
      </c>
      <c r="AK402" s="594" t="e">
        <f ca="1">IF(VLOOKUP(B402,bond!B:S,18,FALSE)="是","有",IF(VLOOKUP(B402,bond!B:S,18,FALSE)="NO OFFER","無","需查詢"))</f>
        <v>#N/A</v>
      </c>
      <c r="AL402" s="136" t="e">
        <f>IF(VLOOKUP(A402,bond!F:AR,39,FALSE)="#N/A Field Not Applicable",VLOOKUP(A402,bond!F:AR,38,FALSE),IFERROR(VLOOKUP(A402,'7_發行日例外'!A:B,2,FALSE),VLOOKUP(A402,bond!F:AR,39,FALSE)))</f>
        <v>#N/A</v>
      </c>
      <c r="AM402" s="136" t="e">
        <f ca="1">VLOOKUP(B402,bond!B:AK,36,FALSE)</f>
        <v>#N/A</v>
      </c>
      <c r="AN402" s="136" t="str">
        <f ca="1">IFERROR(VLOOKUP(B402,'3_是否下架'!A:A,1,FALSE),"")</f>
        <v/>
      </c>
      <c r="AO402" s="136" t="e">
        <f ca="1">VLOOKUP(B402,bond!B:J,9,FALSE)</f>
        <v>#N/A</v>
      </c>
      <c r="AP402" s="136" t="e">
        <f ca="1">VLOOKUP(B402,bond!B:V,21,FALSE)</f>
        <v>#N/A</v>
      </c>
    </row>
    <row r="403" spans="1:42">
      <c r="A403" s="141">
        <f>bond!F404</f>
        <v>0</v>
      </c>
      <c r="B403" s="151">
        <f ca="1">IF($C$1=TRUE,bond!B404,"")</f>
        <v>0</v>
      </c>
      <c r="C403" s="95" t="e">
        <f>VLOOKUP(A403,bond!F:G,2,FALSE)</f>
        <v>#N/A</v>
      </c>
      <c r="D403" s="142" t="e">
        <f ca="1">VLOOKUP(B403,bond!B:C,2,FALSE)</f>
        <v>#N/A</v>
      </c>
      <c r="E403" s="95" t="e">
        <f ca="1">VLOOKUP(B403,bond!B:D,3,FALSE)</f>
        <v>#N/A</v>
      </c>
      <c r="F403" s="99" t="e">
        <f ca="1">VLOOKUP(B403,bond!B:AB,27,FALSE)</f>
        <v>#N/A</v>
      </c>
      <c r="G403" s="90" t="e">
        <f ca="1">VLOOKUP(B403,bond!B:E,4,FALSE)</f>
        <v>#N/A</v>
      </c>
      <c r="H403" s="202" t="e">
        <f ca="1">VLOOKUP(B403,bond!B:Y,24,FALSE)</f>
        <v>#N/A</v>
      </c>
      <c r="I403" s="95" t="e">
        <f ca="1">VLOOKUP(B403,bond!B:Z,25,FALSE)</f>
        <v>#N/A</v>
      </c>
      <c r="J403" s="180" t="e">
        <f ca="1">VLOOKUP(B403,bond!B:K,10,FALSE)</f>
        <v>#N/A</v>
      </c>
      <c r="K403" s="96" t="e">
        <f ca="1">VLOOKUP($B403,bond!B:S,14,FALSE)</f>
        <v>#N/A</v>
      </c>
      <c r="L403" s="91" t="e">
        <f ca="1">VLOOKUP(B403,bond!B:H,7,FALSE)</f>
        <v>#N/A</v>
      </c>
      <c r="M403" s="144" t="e">
        <f ca="1">VLOOKUP($B403,bond!$B:$Q,16,FALSE)</f>
        <v>#N/A</v>
      </c>
      <c r="N403" s="136" t="e">
        <f ca="1">VALUE(LEFT(VLOOKUP(B403,bond!B:R,17,FALSE),SEARCH(" ",VLOOKUP(B403,bond!B:R,17,FALSE),1)))</f>
        <v>#N/A</v>
      </c>
      <c r="O403" s="136" t="e">
        <f ca="1">VALUE(RIGHT(VLOOKUP(B403,bond!B:R,17,FALSE),LEN(VLOOKUP(B403,bond!B:R,17,FALSE))-LEN(N403)-3))</f>
        <v>#N/A</v>
      </c>
      <c r="P403" s="135" t="e">
        <f ca="1">VLOOKUP($B403,bond!$B:$AG,32,FALSE)</f>
        <v>#N/A</v>
      </c>
      <c r="Q403" s="135" t="e">
        <f ca="1">VLOOKUP($B403,bond!$B:$AH,33,FALSE)</f>
        <v>#N/A</v>
      </c>
      <c r="R403" s="135" t="e">
        <f ca="1">VLOOKUP(B403,bond!B:AA,26,FALSE)</f>
        <v>#N/A</v>
      </c>
      <c r="S403" s="135" t="e">
        <f ca="1">VLOOKUP(B403,bond!B:AI,34,FALSE)</f>
        <v>#N/A</v>
      </c>
      <c r="T403" s="135" t="e">
        <f t="shared" ca="1" si="42"/>
        <v>#N/A</v>
      </c>
      <c r="U403" s="207" t="e">
        <f ca="1">IFERROR(VLOOKUP(T403,Bond_DES!D:E,2,FALSE),VLOOKUP(S403,bond!AI:AJ,2,FALSE))</f>
        <v>#N/A</v>
      </c>
      <c r="V403" s="136" t="e">
        <f ca="1">IFERROR(VLOOKUP(B403,'1_重設數據'!L:M,2,FALSE),IF(Q403="政府",IF(AD403&gt;16,"(NPI)非專投",IF(AD403&gt;10,"(PI)專投","高資產")),IF(VLOOKUP(B403,bond!B:AN,39,FALSE)="Y","(PI)專投",IF(AD403&gt;=15,"(NPI)非專投",IF(AD403&gt;=10,"(PI)專投","高資產")))))</f>
        <v>#N/A</v>
      </c>
      <c r="W403" s="136" t="e">
        <f ca="1">VLOOKUP(AD403,'credit rating'!$F$2:$H$22,3,FALSE)</f>
        <v>#N/A</v>
      </c>
      <c r="X403" s="136" t="e">
        <f t="shared" ca="1" si="43"/>
        <v>#N/A</v>
      </c>
      <c r="Y403" s="136" t="e">
        <f t="shared" ca="1" si="44"/>
        <v>#N/A</v>
      </c>
      <c r="Z403" s="136" t="e">
        <f t="shared" ca="1" si="45"/>
        <v>#N/A</v>
      </c>
      <c r="AA403" s="134">
        <f ca="1">IFERROR(VLOOKUP(X403,'credit rating'!A:C,3,FALSE),0)</f>
        <v>0</v>
      </c>
      <c r="AB403" s="134">
        <f ca="1">IFERROR(VLOOKUP(Y403,'credit rating'!B:C,2,FALSE),0)</f>
        <v>0</v>
      </c>
      <c r="AC403" s="136">
        <f ca="1">IFERROR(VLOOKUP(Z403,'credit rating'!B:C,2,FALSE),0)</f>
        <v>0</v>
      </c>
      <c r="AD403" s="136">
        <f t="shared" ca="1" si="46"/>
        <v>0</v>
      </c>
      <c r="AE403" s="249" t="str">
        <f ca="1">IFERROR(VLOOKUP(B403,bond!B:U,20,FALSE),"")</f>
        <v/>
      </c>
      <c r="AF403" s="136" t="e">
        <f ca="1">IF(VLOOKUP(B403,bond!B:AK,36,FALSE)="#N/A Field Not Applicable","",VLOOKUP(B403,bond!B:AK,36,FALSE))</f>
        <v>#N/A</v>
      </c>
      <c r="AG403" s="136" t="e">
        <f ca="1">IF(VLOOKUP(B403,bond!B:AL,37,FALSE)="FIXED","固定",IF(VLOOKUP(B403,bond!B:AL,37,FALSE)="FLOATING","浮動",IF(VLOOKUP(B403,bond!B:AL,37,FALSE)="VARIABLE","變動",IF(VLOOKUP(B403,bond!B:AL,37,FALSE)="FLAT TRADING","不含息交易",IF(VLOOKUP(B403,bond!B:AL,37,FALSE)="ZERO COUPON","零息",VLOOKUP(B403,bond!B:AL,37,FALSE))))))</f>
        <v>#N/A</v>
      </c>
      <c r="AH403" s="136" t="e">
        <f>VLOOKUP(C403,'2_Check_code'!I:J,2,FALSE)</f>
        <v>#N/A</v>
      </c>
      <c r="AI403" s="136" t="e">
        <f t="shared" ca="1" si="47"/>
        <v>#N/A</v>
      </c>
      <c r="AJ403" s="136" t="e">
        <f t="shared" ca="1" si="48"/>
        <v>#N/A</v>
      </c>
      <c r="AK403" s="594" t="e">
        <f ca="1">IF(VLOOKUP(B403,bond!B:S,18,FALSE)="是","有",IF(VLOOKUP(B403,bond!B:S,18,FALSE)="NO OFFER","無","需查詢"))</f>
        <v>#N/A</v>
      </c>
      <c r="AL403" s="136" t="e">
        <f>IF(VLOOKUP(A403,bond!F:AR,39,FALSE)="#N/A Field Not Applicable",VLOOKUP(A403,bond!F:AR,38,FALSE),IFERROR(VLOOKUP(A403,'7_發行日例外'!A:B,2,FALSE),VLOOKUP(A403,bond!F:AR,39,FALSE)))</f>
        <v>#N/A</v>
      </c>
      <c r="AM403" s="136" t="e">
        <f ca="1">VLOOKUP(B403,bond!B:AK,36,FALSE)</f>
        <v>#N/A</v>
      </c>
      <c r="AN403" s="136" t="str">
        <f ca="1">IFERROR(VLOOKUP(B403,'3_是否下架'!A:A,1,FALSE),"")</f>
        <v/>
      </c>
      <c r="AO403" s="136" t="e">
        <f ca="1">VLOOKUP(B403,bond!B:J,9,FALSE)</f>
        <v>#N/A</v>
      </c>
      <c r="AP403" s="136" t="e">
        <f ca="1">VLOOKUP(B403,bond!B:V,21,FALSE)</f>
        <v>#N/A</v>
      </c>
    </row>
    <row r="404" spans="1:42">
      <c r="A404" s="141">
        <f>bond!F405</f>
        <v>0</v>
      </c>
      <c r="B404" s="151">
        <f ca="1">IF($C$1=TRUE,bond!B405,"")</f>
        <v>0</v>
      </c>
      <c r="C404" s="95" t="e">
        <f>VLOOKUP(A404,bond!F:G,2,FALSE)</f>
        <v>#N/A</v>
      </c>
      <c r="D404" s="142" t="e">
        <f ca="1">VLOOKUP(B404,bond!B:C,2,FALSE)</f>
        <v>#N/A</v>
      </c>
      <c r="E404" s="95" t="e">
        <f ca="1">VLOOKUP(B404,bond!B:D,3,FALSE)</f>
        <v>#N/A</v>
      </c>
      <c r="F404" s="99" t="e">
        <f ca="1">VLOOKUP(B404,bond!B:AB,27,FALSE)</f>
        <v>#N/A</v>
      </c>
      <c r="G404" s="90" t="e">
        <f ca="1">VLOOKUP(B404,bond!B:E,4,FALSE)</f>
        <v>#N/A</v>
      </c>
      <c r="H404" s="202" t="e">
        <f ca="1">VLOOKUP(B404,bond!B:Y,24,FALSE)</f>
        <v>#N/A</v>
      </c>
      <c r="I404" s="95" t="e">
        <f ca="1">VLOOKUP(B404,bond!B:Z,25,FALSE)</f>
        <v>#N/A</v>
      </c>
      <c r="J404" s="180" t="e">
        <f ca="1">VLOOKUP(B404,bond!B:K,10,FALSE)</f>
        <v>#N/A</v>
      </c>
      <c r="K404" s="96" t="e">
        <f ca="1">VLOOKUP($B404,bond!B:S,14,FALSE)</f>
        <v>#N/A</v>
      </c>
      <c r="L404" s="91" t="e">
        <f ca="1">VLOOKUP(B404,bond!B:H,7,FALSE)</f>
        <v>#N/A</v>
      </c>
      <c r="M404" s="144" t="e">
        <f ca="1">VLOOKUP($B404,bond!$B:$Q,16,FALSE)</f>
        <v>#N/A</v>
      </c>
      <c r="N404" s="136" t="e">
        <f ca="1">VALUE(LEFT(VLOOKUP(B404,bond!B:R,17,FALSE),SEARCH(" ",VLOOKUP(B404,bond!B:R,17,FALSE),1)))</f>
        <v>#N/A</v>
      </c>
      <c r="O404" s="136" t="e">
        <f ca="1">VALUE(RIGHT(VLOOKUP(B404,bond!B:R,17,FALSE),LEN(VLOOKUP(B404,bond!B:R,17,FALSE))-LEN(N404)-3))</f>
        <v>#N/A</v>
      </c>
      <c r="P404" s="135" t="e">
        <f ca="1">VLOOKUP($B404,bond!$B:$AG,32,FALSE)</f>
        <v>#N/A</v>
      </c>
      <c r="Q404" s="135" t="e">
        <f ca="1">VLOOKUP($B404,bond!$B:$AH,33,FALSE)</f>
        <v>#N/A</v>
      </c>
      <c r="R404" s="135" t="e">
        <f ca="1">VLOOKUP(B404,bond!B:AA,26,FALSE)</f>
        <v>#N/A</v>
      </c>
      <c r="S404" s="135" t="e">
        <f ca="1">VLOOKUP(B404,bond!B:AI,34,FALSE)</f>
        <v>#N/A</v>
      </c>
      <c r="T404" s="135" t="e">
        <f t="shared" ca="1" si="42"/>
        <v>#N/A</v>
      </c>
      <c r="U404" s="207" t="e">
        <f ca="1">IFERROR(VLOOKUP(T404,Bond_DES!D:E,2,FALSE),VLOOKUP(S404,bond!AI:AJ,2,FALSE))</f>
        <v>#N/A</v>
      </c>
      <c r="V404" s="136" t="e">
        <f ca="1">IFERROR(VLOOKUP(B404,'1_重設數據'!L:M,2,FALSE),IF(Q404="政府",IF(AD404&gt;16,"(NPI)非專投",IF(AD404&gt;10,"(PI)專投","高資產")),IF(VLOOKUP(B404,bond!B:AN,39,FALSE)="Y","(PI)專投",IF(AD404&gt;=15,"(NPI)非專投",IF(AD404&gt;=10,"(PI)專投","高資產")))))</f>
        <v>#N/A</v>
      </c>
      <c r="W404" s="136" t="e">
        <f ca="1">VLOOKUP(AD404,'credit rating'!$F$2:$H$22,3,FALSE)</f>
        <v>#N/A</v>
      </c>
      <c r="X404" s="136" t="e">
        <f t="shared" ca="1" si="43"/>
        <v>#N/A</v>
      </c>
      <c r="Y404" s="136" t="e">
        <f t="shared" ca="1" si="44"/>
        <v>#N/A</v>
      </c>
      <c r="Z404" s="136" t="e">
        <f t="shared" ca="1" si="45"/>
        <v>#N/A</v>
      </c>
      <c r="AA404" s="134">
        <f ca="1">IFERROR(VLOOKUP(X404,'credit rating'!A:C,3,FALSE),0)</f>
        <v>0</v>
      </c>
      <c r="AB404" s="134">
        <f ca="1">IFERROR(VLOOKUP(Y404,'credit rating'!B:C,2,FALSE),0)</f>
        <v>0</v>
      </c>
      <c r="AC404" s="136">
        <f ca="1">IFERROR(VLOOKUP(Z404,'credit rating'!B:C,2,FALSE),0)</f>
        <v>0</v>
      </c>
      <c r="AD404" s="136">
        <f t="shared" ca="1" si="46"/>
        <v>0</v>
      </c>
      <c r="AE404" s="249" t="str">
        <f ca="1">IFERROR(VLOOKUP(B404,bond!B:U,20,FALSE),"")</f>
        <v/>
      </c>
      <c r="AF404" s="136" t="e">
        <f ca="1">IF(VLOOKUP(B404,bond!B:AK,36,FALSE)="#N/A Field Not Applicable","",VLOOKUP(B404,bond!B:AK,36,FALSE))</f>
        <v>#N/A</v>
      </c>
      <c r="AG404" s="136" t="e">
        <f ca="1">IF(VLOOKUP(B404,bond!B:AL,37,FALSE)="FIXED","固定",IF(VLOOKUP(B404,bond!B:AL,37,FALSE)="FLOATING","浮動",IF(VLOOKUP(B404,bond!B:AL,37,FALSE)="VARIABLE","變動",IF(VLOOKUP(B404,bond!B:AL,37,FALSE)="FLAT TRADING","不含息交易",IF(VLOOKUP(B404,bond!B:AL,37,FALSE)="ZERO COUPON","零息",VLOOKUP(B404,bond!B:AL,37,FALSE))))))</f>
        <v>#N/A</v>
      </c>
      <c r="AH404" s="136" t="e">
        <f>VLOOKUP(C404,'2_Check_code'!I:J,2,FALSE)</f>
        <v>#N/A</v>
      </c>
      <c r="AI404" s="136" t="e">
        <f t="shared" ca="1" si="47"/>
        <v>#N/A</v>
      </c>
      <c r="AJ404" s="136" t="e">
        <f t="shared" ca="1" si="48"/>
        <v>#N/A</v>
      </c>
      <c r="AK404" s="594" t="e">
        <f ca="1">IF(VLOOKUP(B404,bond!B:S,18,FALSE)="是","有",IF(VLOOKUP(B404,bond!B:S,18,FALSE)="NO OFFER","無","需查詢"))</f>
        <v>#N/A</v>
      </c>
      <c r="AL404" s="136" t="e">
        <f>IF(VLOOKUP(A404,bond!F:AR,39,FALSE)="#N/A Field Not Applicable",VLOOKUP(A404,bond!F:AR,38,FALSE),IFERROR(VLOOKUP(A404,'7_發行日例外'!A:B,2,FALSE),VLOOKUP(A404,bond!F:AR,39,FALSE)))</f>
        <v>#N/A</v>
      </c>
      <c r="AM404" s="136" t="e">
        <f ca="1">VLOOKUP(B404,bond!B:AK,36,FALSE)</f>
        <v>#N/A</v>
      </c>
      <c r="AN404" s="136" t="str">
        <f ca="1">IFERROR(VLOOKUP(B404,'3_是否下架'!A:A,1,FALSE),"")</f>
        <v/>
      </c>
      <c r="AO404" s="136" t="e">
        <f ca="1">VLOOKUP(B404,bond!B:J,9,FALSE)</f>
        <v>#N/A</v>
      </c>
      <c r="AP404" s="136" t="e">
        <f ca="1">VLOOKUP(B404,bond!B:V,21,FALSE)</f>
        <v>#N/A</v>
      </c>
    </row>
    <row r="405" spans="1:42">
      <c r="A405" s="141">
        <f>bond!F406</f>
        <v>0</v>
      </c>
      <c r="B405" s="151">
        <f ca="1">IF($C$1=TRUE,bond!B406,"")</f>
        <v>0</v>
      </c>
      <c r="C405" s="95" t="e">
        <f>VLOOKUP(A405,bond!F:G,2,FALSE)</f>
        <v>#N/A</v>
      </c>
      <c r="D405" s="142" t="e">
        <f ca="1">VLOOKUP(B405,bond!B:C,2,FALSE)</f>
        <v>#N/A</v>
      </c>
      <c r="E405" s="95" t="e">
        <f ca="1">VLOOKUP(B405,bond!B:D,3,FALSE)</f>
        <v>#N/A</v>
      </c>
      <c r="F405" s="99" t="e">
        <f ca="1">VLOOKUP(B405,bond!B:AB,27,FALSE)</f>
        <v>#N/A</v>
      </c>
      <c r="G405" s="90" t="e">
        <f ca="1">VLOOKUP(B405,bond!B:E,4,FALSE)</f>
        <v>#N/A</v>
      </c>
      <c r="H405" s="202" t="e">
        <f ca="1">VLOOKUP(B405,bond!B:Y,24,FALSE)</f>
        <v>#N/A</v>
      </c>
      <c r="I405" s="95" t="e">
        <f ca="1">VLOOKUP(B405,bond!B:Z,25,FALSE)</f>
        <v>#N/A</v>
      </c>
      <c r="J405" s="180" t="e">
        <f ca="1">VLOOKUP(B405,bond!B:K,10,FALSE)</f>
        <v>#N/A</v>
      </c>
      <c r="K405" s="96" t="e">
        <f ca="1">VLOOKUP($B405,bond!B:S,14,FALSE)</f>
        <v>#N/A</v>
      </c>
      <c r="L405" s="91" t="e">
        <f ca="1">VLOOKUP(B405,bond!B:H,7,FALSE)</f>
        <v>#N/A</v>
      </c>
      <c r="M405" s="144" t="e">
        <f ca="1">VLOOKUP($B405,bond!$B:$Q,16,FALSE)</f>
        <v>#N/A</v>
      </c>
      <c r="N405" s="136" t="e">
        <f ca="1">VALUE(LEFT(VLOOKUP(B405,bond!B:R,17,FALSE),SEARCH(" ",VLOOKUP(B405,bond!B:R,17,FALSE),1)))</f>
        <v>#N/A</v>
      </c>
      <c r="O405" s="136" t="e">
        <f ca="1">VALUE(RIGHT(VLOOKUP(B405,bond!B:R,17,FALSE),LEN(VLOOKUP(B405,bond!B:R,17,FALSE))-LEN(N405)-3))</f>
        <v>#N/A</v>
      </c>
      <c r="P405" s="135" t="e">
        <f ca="1">VLOOKUP($B405,bond!$B:$AG,32,FALSE)</f>
        <v>#N/A</v>
      </c>
      <c r="Q405" s="135" t="e">
        <f ca="1">VLOOKUP($B405,bond!$B:$AH,33,FALSE)</f>
        <v>#N/A</v>
      </c>
      <c r="R405" s="135" t="e">
        <f ca="1">VLOOKUP(B405,bond!B:AA,26,FALSE)</f>
        <v>#N/A</v>
      </c>
      <c r="S405" s="135" t="e">
        <f ca="1">VLOOKUP(B405,bond!B:AI,34,FALSE)</f>
        <v>#N/A</v>
      </c>
      <c r="T405" s="135" t="e">
        <f t="shared" ca="1" si="42"/>
        <v>#N/A</v>
      </c>
      <c r="U405" s="207" t="e">
        <f ca="1">IFERROR(VLOOKUP(T405,Bond_DES!D:E,2,FALSE),VLOOKUP(S405,bond!AI:AJ,2,FALSE))</f>
        <v>#N/A</v>
      </c>
      <c r="V405" s="136" t="e">
        <f ca="1">IFERROR(VLOOKUP(B405,'1_重設數據'!L:M,2,FALSE),IF(Q405="政府",IF(AD405&gt;16,"(NPI)非專投",IF(AD405&gt;10,"(PI)專投","高資產")),IF(VLOOKUP(B405,bond!B:AN,39,FALSE)="Y","(PI)專投",IF(AD405&gt;=15,"(NPI)非專投",IF(AD405&gt;=10,"(PI)專投","高資產")))))</f>
        <v>#N/A</v>
      </c>
      <c r="W405" s="136" t="e">
        <f ca="1">VLOOKUP(AD405,'credit rating'!$F$2:$H$22,3,FALSE)</f>
        <v>#N/A</v>
      </c>
      <c r="X405" s="136" t="e">
        <f t="shared" ca="1" si="43"/>
        <v>#N/A</v>
      </c>
      <c r="Y405" s="136" t="e">
        <f t="shared" ca="1" si="44"/>
        <v>#N/A</v>
      </c>
      <c r="Z405" s="136" t="e">
        <f t="shared" ca="1" si="45"/>
        <v>#N/A</v>
      </c>
      <c r="AA405" s="134">
        <f ca="1">IFERROR(VLOOKUP(X405,'credit rating'!A:C,3,FALSE),0)</f>
        <v>0</v>
      </c>
      <c r="AB405" s="134">
        <f ca="1">IFERROR(VLOOKUP(Y405,'credit rating'!B:C,2,FALSE),0)</f>
        <v>0</v>
      </c>
      <c r="AC405" s="136">
        <f ca="1">IFERROR(VLOOKUP(Z405,'credit rating'!B:C,2,FALSE),0)</f>
        <v>0</v>
      </c>
      <c r="AD405" s="136">
        <f t="shared" ca="1" si="46"/>
        <v>0</v>
      </c>
      <c r="AE405" s="249" t="str">
        <f ca="1">IFERROR(VLOOKUP(B405,bond!B:U,20,FALSE),"")</f>
        <v/>
      </c>
      <c r="AF405" s="136" t="e">
        <f ca="1">IF(VLOOKUP(B405,bond!B:AK,36,FALSE)="#N/A Field Not Applicable","",VLOOKUP(B405,bond!B:AK,36,FALSE))</f>
        <v>#N/A</v>
      </c>
      <c r="AG405" s="136" t="e">
        <f ca="1">IF(VLOOKUP(B405,bond!B:AL,37,FALSE)="FIXED","固定",IF(VLOOKUP(B405,bond!B:AL,37,FALSE)="FLOATING","浮動",IF(VLOOKUP(B405,bond!B:AL,37,FALSE)="VARIABLE","變動",IF(VLOOKUP(B405,bond!B:AL,37,FALSE)="FLAT TRADING","不含息交易",IF(VLOOKUP(B405,bond!B:AL,37,FALSE)="ZERO COUPON","零息",VLOOKUP(B405,bond!B:AL,37,FALSE))))))</f>
        <v>#N/A</v>
      </c>
      <c r="AH405" s="136" t="e">
        <f>VLOOKUP(C405,'2_Check_code'!I:J,2,FALSE)</f>
        <v>#N/A</v>
      </c>
      <c r="AI405" s="136" t="e">
        <f t="shared" ca="1" si="47"/>
        <v>#N/A</v>
      </c>
      <c r="AJ405" s="136" t="e">
        <f t="shared" ca="1" si="48"/>
        <v>#N/A</v>
      </c>
      <c r="AK405" s="594" t="e">
        <f ca="1">IF(VLOOKUP(B405,bond!B:S,18,FALSE)="是","有",IF(VLOOKUP(B405,bond!B:S,18,FALSE)="NO OFFER","無","需查詢"))</f>
        <v>#N/A</v>
      </c>
      <c r="AL405" s="136" t="e">
        <f>IF(VLOOKUP(A405,bond!F:AR,39,FALSE)="#N/A Field Not Applicable",VLOOKUP(A405,bond!F:AR,38,FALSE),IFERROR(VLOOKUP(A405,'7_發行日例外'!A:B,2,FALSE),VLOOKUP(A405,bond!F:AR,39,FALSE)))</f>
        <v>#N/A</v>
      </c>
      <c r="AM405" s="136" t="e">
        <f ca="1">VLOOKUP(B405,bond!B:AK,36,FALSE)</f>
        <v>#N/A</v>
      </c>
      <c r="AN405" s="136" t="str">
        <f ca="1">IFERROR(VLOOKUP(B405,'3_是否下架'!A:A,1,FALSE),"")</f>
        <v/>
      </c>
      <c r="AO405" s="136" t="e">
        <f ca="1">VLOOKUP(B405,bond!B:J,9,FALSE)</f>
        <v>#N/A</v>
      </c>
      <c r="AP405" s="136" t="e">
        <f ca="1">VLOOKUP(B405,bond!B:V,21,FALSE)</f>
        <v>#N/A</v>
      </c>
    </row>
    <row r="406" spans="1:42">
      <c r="A406" s="141">
        <f>bond!F407</f>
        <v>0</v>
      </c>
      <c r="B406" s="151">
        <f ca="1">IF($C$1=TRUE,bond!B407,"")</f>
        <v>0</v>
      </c>
      <c r="C406" s="95" t="e">
        <f>VLOOKUP(A406,bond!F:G,2,FALSE)</f>
        <v>#N/A</v>
      </c>
      <c r="D406" s="142" t="e">
        <f ca="1">VLOOKUP(B406,bond!B:C,2,FALSE)</f>
        <v>#N/A</v>
      </c>
      <c r="E406" s="95" t="e">
        <f ca="1">VLOOKUP(B406,bond!B:D,3,FALSE)</f>
        <v>#N/A</v>
      </c>
      <c r="F406" s="99" t="e">
        <f ca="1">VLOOKUP(B406,bond!B:AB,27,FALSE)</f>
        <v>#N/A</v>
      </c>
      <c r="G406" s="90" t="e">
        <f ca="1">VLOOKUP(B406,bond!B:E,4,FALSE)</f>
        <v>#N/A</v>
      </c>
      <c r="H406" s="202" t="e">
        <f ca="1">VLOOKUP(B406,bond!B:Y,24,FALSE)</f>
        <v>#N/A</v>
      </c>
      <c r="I406" s="95" t="e">
        <f ca="1">VLOOKUP(B406,bond!B:Z,25,FALSE)</f>
        <v>#N/A</v>
      </c>
      <c r="J406" s="180" t="e">
        <f ca="1">VLOOKUP(B406,bond!B:K,10,FALSE)</f>
        <v>#N/A</v>
      </c>
      <c r="K406" s="96" t="e">
        <f ca="1">VLOOKUP($B406,bond!B:S,14,FALSE)</f>
        <v>#N/A</v>
      </c>
      <c r="L406" s="91" t="e">
        <f ca="1">VLOOKUP(B406,bond!B:H,7,FALSE)</f>
        <v>#N/A</v>
      </c>
      <c r="M406" s="144" t="e">
        <f ca="1">VLOOKUP($B406,bond!$B:$Q,16,FALSE)</f>
        <v>#N/A</v>
      </c>
      <c r="N406" s="136" t="e">
        <f ca="1">VALUE(LEFT(VLOOKUP(B406,bond!B:R,17,FALSE),SEARCH(" ",VLOOKUP(B406,bond!B:R,17,FALSE),1)))</f>
        <v>#N/A</v>
      </c>
      <c r="O406" s="136" t="e">
        <f ca="1">VALUE(RIGHT(VLOOKUP(B406,bond!B:R,17,FALSE),LEN(VLOOKUP(B406,bond!B:R,17,FALSE))-LEN(N406)-3))</f>
        <v>#N/A</v>
      </c>
      <c r="P406" s="135" t="e">
        <f ca="1">VLOOKUP($B406,bond!$B:$AG,32,FALSE)</f>
        <v>#N/A</v>
      </c>
      <c r="Q406" s="135" t="e">
        <f ca="1">VLOOKUP($B406,bond!$B:$AH,33,FALSE)</f>
        <v>#N/A</v>
      </c>
      <c r="R406" s="135" t="e">
        <f ca="1">VLOOKUP(B406,bond!B:AA,26,FALSE)</f>
        <v>#N/A</v>
      </c>
      <c r="S406" s="135" t="e">
        <f ca="1">VLOOKUP(B406,bond!B:AI,34,FALSE)</f>
        <v>#N/A</v>
      </c>
      <c r="T406" s="135" t="e">
        <f t="shared" ca="1" si="42"/>
        <v>#N/A</v>
      </c>
      <c r="U406" s="207" t="e">
        <f ca="1">IFERROR(VLOOKUP(T406,Bond_DES!D:E,2,FALSE),VLOOKUP(S406,bond!AI:AJ,2,FALSE))</f>
        <v>#N/A</v>
      </c>
      <c r="V406" s="136" t="e">
        <f ca="1">IFERROR(VLOOKUP(B406,'1_重設數據'!L:M,2,FALSE),IF(Q406="政府",IF(AD406&gt;16,"(NPI)非專投",IF(AD406&gt;10,"(PI)專投","高資產")),IF(VLOOKUP(B406,bond!B:AN,39,FALSE)="Y","(PI)專投",IF(AD406&gt;=15,"(NPI)非專投",IF(AD406&gt;=10,"(PI)專投","高資產")))))</f>
        <v>#N/A</v>
      </c>
      <c r="W406" s="136" t="e">
        <f ca="1">VLOOKUP(AD406,'credit rating'!$F$2:$H$22,3,FALSE)</f>
        <v>#N/A</v>
      </c>
      <c r="X406" s="136" t="e">
        <f t="shared" ca="1" si="43"/>
        <v>#N/A</v>
      </c>
      <c r="Y406" s="136" t="e">
        <f t="shared" ca="1" si="44"/>
        <v>#N/A</v>
      </c>
      <c r="Z406" s="136" t="e">
        <f t="shared" ca="1" si="45"/>
        <v>#N/A</v>
      </c>
      <c r="AA406" s="134">
        <f ca="1">IFERROR(VLOOKUP(X406,'credit rating'!A:C,3,FALSE),0)</f>
        <v>0</v>
      </c>
      <c r="AB406" s="134">
        <f ca="1">IFERROR(VLOOKUP(Y406,'credit rating'!B:C,2,FALSE),0)</f>
        <v>0</v>
      </c>
      <c r="AC406" s="136">
        <f ca="1">IFERROR(VLOOKUP(Z406,'credit rating'!B:C,2,FALSE),0)</f>
        <v>0</v>
      </c>
      <c r="AD406" s="136">
        <f t="shared" ca="1" si="46"/>
        <v>0</v>
      </c>
      <c r="AE406" s="249" t="str">
        <f ca="1">IFERROR(VLOOKUP(B406,bond!B:U,20,FALSE),"")</f>
        <v/>
      </c>
      <c r="AF406" s="136" t="e">
        <f ca="1">IF(VLOOKUP(B406,bond!B:AK,36,FALSE)="#N/A Field Not Applicable","",VLOOKUP(B406,bond!B:AK,36,FALSE))</f>
        <v>#N/A</v>
      </c>
      <c r="AG406" s="136" t="e">
        <f ca="1">IF(VLOOKUP(B406,bond!B:AL,37,FALSE)="FIXED","固定",IF(VLOOKUP(B406,bond!B:AL,37,FALSE)="FLOATING","浮動",IF(VLOOKUP(B406,bond!B:AL,37,FALSE)="VARIABLE","變動",IF(VLOOKUP(B406,bond!B:AL,37,FALSE)="FLAT TRADING","不含息交易",IF(VLOOKUP(B406,bond!B:AL,37,FALSE)="ZERO COUPON","零息",VLOOKUP(B406,bond!B:AL,37,FALSE))))))</f>
        <v>#N/A</v>
      </c>
      <c r="AH406" s="136" t="e">
        <f>VLOOKUP(C406,'2_Check_code'!I:J,2,FALSE)</f>
        <v>#N/A</v>
      </c>
      <c r="AI406" s="136" t="e">
        <f t="shared" ca="1" si="47"/>
        <v>#N/A</v>
      </c>
      <c r="AJ406" s="136" t="e">
        <f t="shared" ca="1" si="48"/>
        <v>#N/A</v>
      </c>
      <c r="AK406" s="594" t="e">
        <f ca="1">IF(VLOOKUP(B406,bond!B:S,18,FALSE)="是","有",IF(VLOOKUP(B406,bond!B:S,18,FALSE)="NO OFFER","無","需查詢"))</f>
        <v>#N/A</v>
      </c>
      <c r="AL406" s="136" t="e">
        <f>IF(VLOOKUP(A406,bond!F:AR,39,FALSE)="#N/A Field Not Applicable",VLOOKUP(A406,bond!F:AR,38,FALSE),IFERROR(VLOOKUP(A406,'7_發行日例外'!A:B,2,FALSE),VLOOKUP(A406,bond!F:AR,39,FALSE)))</f>
        <v>#N/A</v>
      </c>
      <c r="AM406" s="136" t="e">
        <f ca="1">VLOOKUP(B406,bond!B:AK,36,FALSE)</f>
        <v>#N/A</v>
      </c>
      <c r="AN406" s="136" t="str">
        <f ca="1">IFERROR(VLOOKUP(B406,'3_是否下架'!A:A,1,FALSE),"")</f>
        <v/>
      </c>
      <c r="AO406" s="136" t="e">
        <f ca="1">VLOOKUP(B406,bond!B:J,9,FALSE)</f>
        <v>#N/A</v>
      </c>
      <c r="AP406" s="136" t="e">
        <f ca="1">VLOOKUP(B406,bond!B:V,21,FALSE)</f>
        <v>#N/A</v>
      </c>
    </row>
    <row r="407" spans="1:42">
      <c r="A407" s="141">
        <f>bond!F408</f>
        <v>0</v>
      </c>
      <c r="B407" s="151">
        <f ca="1">IF($C$1=TRUE,bond!B408,"")</f>
        <v>0</v>
      </c>
      <c r="C407" s="95" t="e">
        <f>VLOOKUP(A407,bond!F:G,2,FALSE)</f>
        <v>#N/A</v>
      </c>
      <c r="D407" s="142" t="e">
        <f ca="1">VLOOKUP(B407,bond!B:C,2,FALSE)</f>
        <v>#N/A</v>
      </c>
      <c r="E407" s="95" t="e">
        <f ca="1">VLOOKUP(B407,bond!B:D,3,FALSE)</f>
        <v>#N/A</v>
      </c>
      <c r="F407" s="99" t="e">
        <f ca="1">VLOOKUP(B407,bond!B:AB,27,FALSE)</f>
        <v>#N/A</v>
      </c>
      <c r="G407" s="90" t="e">
        <f ca="1">VLOOKUP(B407,bond!B:E,4,FALSE)</f>
        <v>#N/A</v>
      </c>
      <c r="H407" s="202" t="e">
        <f ca="1">VLOOKUP(B407,bond!B:Y,24,FALSE)</f>
        <v>#N/A</v>
      </c>
      <c r="I407" s="95" t="e">
        <f ca="1">VLOOKUP(B407,bond!B:Z,25,FALSE)</f>
        <v>#N/A</v>
      </c>
      <c r="J407" s="180" t="e">
        <f ca="1">VLOOKUP(B407,bond!B:K,10,FALSE)</f>
        <v>#N/A</v>
      </c>
      <c r="K407" s="96" t="e">
        <f ca="1">VLOOKUP($B407,bond!B:S,14,FALSE)</f>
        <v>#N/A</v>
      </c>
      <c r="L407" s="91" t="e">
        <f ca="1">VLOOKUP(B407,bond!B:H,7,FALSE)</f>
        <v>#N/A</v>
      </c>
      <c r="M407" s="144" t="e">
        <f ca="1">VLOOKUP($B407,bond!$B:$Q,16,FALSE)</f>
        <v>#N/A</v>
      </c>
      <c r="N407" s="136" t="e">
        <f ca="1">VALUE(LEFT(VLOOKUP(B407,bond!B:R,17,FALSE),SEARCH(" ",VLOOKUP(B407,bond!B:R,17,FALSE),1)))</f>
        <v>#N/A</v>
      </c>
      <c r="O407" s="136" t="e">
        <f ca="1">VALUE(RIGHT(VLOOKUP(B407,bond!B:R,17,FALSE),LEN(VLOOKUP(B407,bond!B:R,17,FALSE))-LEN(N407)-3))</f>
        <v>#N/A</v>
      </c>
      <c r="P407" s="135" t="e">
        <f ca="1">VLOOKUP($B407,bond!$B:$AG,32,FALSE)</f>
        <v>#N/A</v>
      </c>
      <c r="Q407" s="135" t="e">
        <f ca="1">VLOOKUP($B407,bond!$B:$AH,33,FALSE)</f>
        <v>#N/A</v>
      </c>
      <c r="R407" s="135" t="e">
        <f ca="1">VLOOKUP(B407,bond!B:AA,26,FALSE)</f>
        <v>#N/A</v>
      </c>
      <c r="S407" s="135" t="e">
        <f ca="1">VLOOKUP(B407,bond!B:AI,34,FALSE)</f>
        <v>#N/A</v>
      </c>
      <c r="T407" s="135" t="e">
        <f t="shared" ca="1" si="42"/>
        <v>#N/A</v>
      </c>
      <c r="U407" s="207" t="e">
        <f ca="1">IFERROR(VLOOKUP(T407,Bond_DES!D:E,2,FALSE),VLOOKUP(S407,bond!AI:AJ,2,FALSE))</f>
        <v>#N/A</v>
      </c>
      <c r="V407" s="136" t="e">
        <f ca="1">IFERROR(VLOOKUP(B407,'1_重設數據'!L:M,2,FALSE),IF(Q407="政府",IF(AD407&gt;16,"(NPI)非專投",IF(AD407&gt;10,"(PI)專投","高資產")),IF(VLOOKUP(B407,bond!B:AN,39,FALSE)="Y","(PI)專投",IF(AD407&gt;=15,"(NPI)非專投",IF(AD407&gt;=10,"(PI)專投","高資產")))))</f>
        <v>#N/A</v>
      </c>
      <c r="W407" s="136" t="e">
        <f ca="1">VLOOKUP(AD407,'credit rating'!$F$2:$H$22,3,FALSE)</f>
        <v>#N/A</v>
      </c>
      <c r="X407" s="136" t="e">
        <f t="shared" ca="1" si="43"/>
        <v>#N/A</v>
      </c>
      <c r="Y407" s="136" t="e">
        <f t="shared" ca="1" si="44"/>
        <v>#N/A</v>
      </c>
      <c r="Z407" s="136" t="e">
        <f t="shared" ca="1" si="45"/>
        <v>#N/A</v>
      </c>
      <c r="AA407" s="134">
        <f ca="1">IFERROR(VLOOKUP(X407,'credit rating'!A:C,3,FALSE),0)</f>
        <v>0</v>
      </c>
      <c r="AB407" s="134">
        <f ca="1">IFERROR(VLOOKUP(Y407,'credit rating'!B:C,2,FALSE),0)</f>
        <v>0</v>
      </c>
      <c r="AC407" s="136">
        <f ca="1">IFERROR(VLOOKUP(Z407,'credit rating'!B:C,2,FALSE),0)</f>
        <v>0</v>
      </c>
      <c r="AD407" s="136">
        <f t="shared" ca="1" si="46"/>
        <v>0</v>
      </c>
      <c r="AE407" s="249" t="str">
        <f ca="1">IFERROR(VLOOKUP(B407,bond!B:U,20,FALSE),"")</f>
        <v/>
      </c>
      <c r="AF407" s="136" t="e">
        <f ca="1">IF(VLOOKUP(B407,bond!B:AK,36,FALSE)="#N/A Field Not Applicable","",VLOOKUP(B407,bond!B:AK,36,FALSE))</f>
        <v>#N/A</v>
      </c>
      <c r="AG407" s="136" t="e">
        <f ca="1">IF(VLOOKUP(B407,bond!B:AL,37,FALSE)="FIXED","固定",IF(VLOOKUP(B407,bond!B:AL,37,FALSE)="FLOATING","浮動",IF(VLOOKUP(B407,bond!B:AL,37,FALSE)="VARIABLE","變動",IF(VLOOKUP(B407,bond!B:AL,37,FALSE)="FLAT TRADING","不含息交易",IF(VLOOKUP(B407,bond!B:AL,37,FALSE)="ZERO COUPON","零息",VLOOKUP(B407,bond!B:AL,37,FALSE))))))</f>
        <v>#N/A</v>
      </c>
      <c r="AH407" s="136" t="e">
        <f>VLOOKUP(C407,'2_Check_code'!I:J,2,FALSE)</f>
        <v>#N/A</v>
      </c>
      <c r="AI407" s="136" t="e">
        <f t="shared" ca="1" si="47"/>
        <v>#N/A</v>
      </c>
      <c r="AJ407" s="136" t="e">
        <f t="shared" ca="1" si="48"/>
        <v>#N/A</v>
      </c>
      <c r="AK407" s="594" t="e">
        <f ca="1">IF(VLOOKUP(B407,bond!B:S,18,FALSE)="是","有",IF(VLOOKUP(B407,bond!B:S,18,FALSE)="NO OFFER","無","需查詢"))</f>
        <v>#N/A</v>
      </c>
      <c r="AL407" s="136" t="e">
        <f>IF(VLOOKUP(A407,bond!F:AR,39,FALSE)="#N/A Field Not Applicable",VLOOKUP(A407,bond!F:AR,38,FALSE),IFERROR(VLOOKUP(A407,'7_發行日例外'!A:B,2,FALSE),VLOOKUP(A407,bond!F:AR,39,FALSE)))</f>
        <v>#N/A</v>
      </c>
      <c r="AM407" s="136" t="e">
        <f ca="1">VLOOKUP(B407,bond!B:AK,36,FALSE)</f>
        <v>#N/A</v>
      </c>
      <c r="AN407" s="136" t="str">
        <f ca="1">IFERROR(VLOOKUP(B407,'3_是否下架'!A:A,1,FALSE),"")</f>
        <v/>
      </c>
      <c r="AO407" s="136" t="e">
        <f ca="1">VLOOKUP(B407,bond!B:J,9,FALSE)</f>
        <v>#N/A</v>
      </c>
      <c r="AP407" s="136" t="e">
        <f ca="1">VLOOKUP(B407,bond!B:V,21,FALSE)</f>
        <v>#N/A</v>
      </c>
    </row>
    <row r="408" spans="1:42">
      <c r="A408" s="141">
        <f>bond!F409</f>
        <v>0</v>
      </c>
      <c r="B408" s="151">
        <f ca="1">IF($C$1=TRUE,bond!B409,"")</f>
        <v>0</v>
      </c>
      <c r="C408" s="95" t="e">
        <f>VLOOKUP(A408,bond!F:G,2,FALSE)</f>
        <v>#N/A</v>
      </c>
      <c r="D408" s="142" t="e">
        <f ca="1">VLOOKUP(B408,bond!B:C,2,FALSE)</f>
        <v>#N/A</v>
      </c>
      <c r="E408" s="95" t="e">
        <f ca="1">VLOOKUP(B408,bond!B:D,3,FALSE)</f>
        <v>#N/A</v>
      </c>
      <c r="F408" s="99" t="e">
        <f ca="1">VLOOKUP(B408,bond!B:AB,27,FALSE)</f>
        <v>#N/A</v>
      </c>
      <c r="G408" s="90" t="e">
        <f ca="1">VLOOKUP(B408,bond!B:E,4,FALSE)</f>
        <v>#N/A</v>
      </c>
      <c r="H408" s="202" t="e">
        <f ca="1">VLOOKUP(B408,bond!B:Y,24,FALSE)</f>
        <v>#N/A</v>
      </c>
      <c r="I408" s="95" t="e">
        <f ca="1">VLOOKUP(B408,bond!B:Z,25,FALSE)</f>
        <v>#N/A</v>
      </c>
      <c r="J408" s="180" t="e">
        <f ca="1">VLOOKUP(B408,bond!B:K,10,FALSE)</f>
        <v>#N/A</v>
      </c>
      <c r="K408" s="96" t="e">
        <f ca="1">VLOOKUP($B408,bond!B:S,14,FALSE)</f>
        <v>#N/A</v>
      </c>
      <c r="L408" s="91" t="e">
        <f ca="1">VLOOKUP(B408,bond!B:H,7,FALSE)</f>
        <v>#N/A</v>
      </c>
      <c r="M408" s="144" t="e">
        <f ca="1">VLOOKUP($B408,bond!$B:$Q,16,FALSE)</f>
        <v>#N/A</v>
      </c>
      <c r="N408" s="136" t="e">
        <f ca="1">VALUE(LEFT(VLOOKUP(B408,bond!B:R,17,FALSE),SEARCH(" ",VLOOKUP(B408,bond!B:R,17,FALSE),1)))</f>
        <v>#N/A</v>
      </c>
      <c r="O408" s="136" t="e">
        <f ca="1">VALUE(RIGHT(VLOOKUP(B408,bond!B:R,17,FALSE),LEN(VLOOKUP(B408,bond!B:R,17,FALSE))-LEN(N408)-3))</f>
        <v>#N/A</v>
      </c>
      <c r="P408" s="135" t="e">
        <f ca="1">VLOOKUP($B408,bond!$B:$AG,32,FALSE)</f>
        <v>#N/A</v>
      </c>
      <c r="Q408" s="135" t="e">
        <f ca="1">VLOOKUP($B408,bond!$B:$AH,33,FALSE)</f>
        <v>#N/A</v>
      </c>
      <c r="R408" s="135" t="e">
        <f ca="1">VLOOKUP(B408,bond!B:AA,26,FALSE)</f>
        <v>#N/A</v>
      </c>
      <c r="S408" s="135" t="e">
        <f ca="1">VLOOKUP(B408,bond!B:AI,34,FALSE)</f>
        <v>#N/A</v>
      </c>
      <c r="T408" s="135" t="e">
        <f t="shared" ca="1" si="42"/>
        <v>#N/A</v>
      </c>
      <c r="U408" s="207" t="e">
        <f ca="1">IFERROR(VLOOKUP(T408,Bond_DES!D:E,2,FALSE),VLOOKUP(S408,bond!AI:AJ,2,FALSE))</f>
        <v>#N/A</v>
      </c>
      <c r="V408" s="136" t="e">
        <f ca="1">IFERROR(VLOOKUP(B408,'1_重設數據'!L:M,2,FALSE),IF(Q408="政府",IF(AD408&gt;16,"(NPI)非專投",IF(AD408&gt;10,"(PI)專投","高資產")),IF(VLOOKUP(B408,bond!B:AN,39,FALSE)="Y","(PI)專投",IF(AD408&gt;=15,"(NPI)非專投",IF(AD408&gt;=10,"(PI)專投","高資產")))))</f>
        <v>#N/A</v>
      </c>
      <c r="W408" s="136" t="e">
        <f ca="1">VLOOKUP(AD408,'credit rating'!$F$2:$H$22,3,FALSE)</f>
        <v>#N/A</v>
      </c>
      <c r="X408" s="136" t="e">
        <f t="shared" ca="1" si="43"/>
        <v>#N/A</v>
      </c>
      <c r="Y408" s="136" t="e">
        <f t="shared" ca="1" si="44"/>
        <v>#N/A</v>
      </c>
      <c r="Z408" s="136" t="e">
        <f t="shared" ca="1" si="45"/>
        <v>#N/A</v>
      </c>
      <c r="AA408" s="134">
        <f ca="1">IFERROR(VLOOKUP(X408,'credit rating'!A:C,3,FALSE),0)</f>
        <v>0</v>
      </c>
      <c r="AB408" s="134">
        <f ca="1">IFERROR(VLOOKUP(Y408,'credit rating'!B:C,2,FALSE),0)</f>
        <v>0</v>
      </c>
      <c r="AC408" s="136">
        <f ca="1">IFERROR(VLOOKUP(Z408,'credit rating'!B:C,2,FALSE),0)</f>
        <v>0</v>
      </c>
      <c r="AD408" s="136">
        <f t="shared" ca="1" si="46"/>
        <v>0</v>
      </c>
      <c r="AE408" s="249" t="str">
        <f ca="1">IFERROR(VLOOKUP(B408,bond!B:U,20,FALSE),"")</f>
        <v/>
      </c>
      <c r="AF408" s="136" t="e">
        <f ca="1">IF(VLOOKUP(B408,bond!B:AK,36,FALSE)="#N/A Field Not Applicable","",VLOOKUP(B408,bond!B:AK,36,FALSE))</f>
        <v>#N/A</v>
      </c>
      <c r="AG408" s="136" t="e">
        <f ca="1">IF(VLOOKUP(B408,bond!B:AL,37,FALSE)="FIXED","固定",IF(VLOOKUP(B408,bond!B:AL,37,FALSE)="FLOATING","浮動",IF(VLOOKUP(B408,bond!B:AL,37,FALSE)="VARIABLE","變動",IF(VLOOKUP(B408,bond!B:AL,37,FALSE)="FLAT TRADING","不含息交易",IF(VLOOKUP(B408,bond!B:AL,37,FALSE)="ZERO COUPON","零息",VLOOKUP(B408,bond!B:AL,37,FALSE))))))</f>
        <v>#N/A</v>
      </c>
      <c r="AH408" s="136" t="e">
        <f>VLOOKUP(C408,'2_Check_code'!I:J,2,FALSE)</f>
        <v>#N/A</v>
      </c>
      <c r="AI408" s="136" t="e">
        <f t="shared" ca="1" si="47"/>
        <v>#N/A</v>
      </c>
      <c r="AJ408" s="136" t="e">
        <f t="shared" ca="1" si="48"/>
        <v>#N/A</v>
      </c>
      <c r="AK408" s="594" t="e">
        <f ca="1">IF(VLOOKUP(B408,bond!B:S,18,FALSE)="是","有",IF(VLOOKUP(B408,bond!B:S,18,FALSE)="NO OFFER","無","需查詢"))</f>
        <v>#N/A</v>
      </c>
      <c r="AL408" s="136" t="e">
        <f>IF(VLOOKUP(A408,bond!F:AR,39,FALSE)="#N/A Field Not Applicable",VLOOKUP(A408,bond!F:AR,38,FALSE),IFERROR(VLOOKUP(A408,'7_發行日例外'!A:B,2,FALSE),VLOOKUP(A408,bond!F:AR,39,FALSE)))</f>
        <v>#N/A</v>
      </c>
      <c r="AM408" s="136" t="e">
        <f ca="1">VLOOKUP(B408,bond!B:AK,36,FALSE)</f>
        <v>#N/A</v>
      </c>
      <c r="AN408" s="136" t="str">
        <f ca="1">IFERROR(VLOOKUP(B408,'3_是否下架'!A:A,1,FALSE),"")</f>
        <v/>
      </c>
      <c r="AO408" s="136" t="e">
        <f ca="1">VLOOKUP(B408,bond!B:J,9,FALSE)</f>
        <v>#N/A</v>
      </c>
      <c r="AP408" s="136" t="e">
        <f ca="1">VLOOKUP(B408,bond!B:V,21,FALSE)</f>
        <v>#N/A</v>
      </c>
    </row>
    <row r="409" spans="1:42">
      <c r="A409" s="141">
        <f>bond!F410</f>
        <v>0</v>
      </c>
      <c r="B409" s="151">
        <f ca="1">IF($C$1=TRUE,bond!B410,"")</f>
        <v>0</v>
      </c>
      <c r="C409" s="95" t="e">
        <f>VLOOKUP(A409,bond!F:G,2,FALSE)</f>
        <v>#N/A</v>
      </c>
      <c r="D409" s="142" t="e">
        <f ca="1">VLOOKUP(B409,bond!B:C,2,FALSE)</f>
        <v>#N/A</v>
      </c>
      <c r="E409" s="95" t="e">
        <f ca="1">VLOOKUP(B409,bond!B:D,3,FALSE)</f>
        <v>#N/A</v>
      </c>
      <c r="F409" s="99" t="e">
        <f ca="1">VLOOKUP(B409,bond!B:AB,27,FALSE)</f>
        <v>#N/A</v>
      </c>
      <c r="G409" s="90" t="e">
        <f ca="1">VLOOKUP(B409,bond!B:E,4,FALSE)</f>
        <v>#N/A</v>
      </c>
      <c r="H409" s="202" t="e">
        <f ca="1">VLOOKUP(B409,bond!B:Y,24,FALSE)</f>
        <v>#N/A</v>
      </c>
      <c r="I409" s="95" t="e">
        <f ca="1">VLOOKUP(B409,bond!B:Z,25,FALSE)</f>
        <v>#N/A</v>
      </c>
      <c r="J409" s="180" t="e">
        <f ca="1">VLOOKUP(B409,bond!B:K,10,FALSE)</f>
        <v>#N/A</v>
      </c>
      <c r="K409" s="96" t="e">
        <f ca="1">VLOOKUP($B409,bond!B:S,14,FALSE)</f>
        <v>#N/A</v>
      </c>
      <c r="L409" s="91" t="e">
        <f ca="1">VLOOKUP(B409,bond!B:H,7,FALSE)</f>
        <v>#N/A</v>
      </c>
      <c r="M409" s="144" t="e">
        <f ca="1">VLOOKUP($B409,bond!$B:$Q,16,FALSE)</f>
        <v>#N/A</v>
      </c>
      <c r="N409" s="136" t="e">
        <f ca="1">VALUE(LEFT(VLOOKUP(B409,bond!B:R,17,FALSE),SEARCH(" ",VLOOKUP(B409,bond!B:R,17,FALSE),1)))</f>
        <v>#N/A</v>
      </c>
      <c r="O409" s="136" t="e">
        <f ca="1">VALUE(RIGHT(VLOOKUP(B409,bond!B:R,17,FALSE),LEN(VLOOKUP(B409,bond!B:R,17,FALSE))-LEN(N409)-3))</f>
        <v>#N/A</v>
      </c>
      <c r="P409" s="135" t="e">
        <f ca="1">VLOOKUP($B409,bond!$B:$AG,32,FALSE)</f>
        <v>#N/A</v>
      </c>
      <c r="Q409" s="135" t="e">
        <f ca="1">VLOOKUP($B409,bond!$B:$AH,33,FALSE)</f>
        <v>#N/A</v>
      </c>
      <c r="R409" s="135" t="e">
        <f ca="1">VLOOKUP(B409,bond!B:AA,26,FALSE)</f>
        <v>#N/A</v>
      </c>
      <c r="S409" s="135" t="e">
        <f ca="1">VLOOKUP(B409,bond!B:AI,34,FALSE)</f>
        <v>#N/A</v>
      </c>
      <c r="T409" s="135" t="e">
        <f t="shared" ca="1" si="42"/>
        <v>#N/A</v>
      </c>
      <c r="U409" s="207" t="e">
        <f ca="1">IFERROR(VLOOKUP(T409,Bond_DES!D:E,2,FALSE),VLOOKUP(S409,bond!AI:AJ,2,FALSE))</f>
        <v>#N/A</v>
      </c>
      <c r="V409" s="136" t="e">
        <f ca="1">IFERROR(VLOOKUP(B409,'1_重設數據'!L:M,2,FALSE),IF(Q409="政府",IF(AD409&gt;16,"(NPI)非專投",IF(AD409&gt;10,"(PI)專投","高資產")),IF(VLOOKUP(B409,bond!B:AN,39,FALSE)="Y","(PI)專投",IF(AD409&gt;=15,"(NPI)非專投",IF(AD409&gt;=10,"(PI)專投","高資產")))))</f>
        <v>#N/A</v>
      </c>
      <c r="W409" s="136" t="e">
        <f ca="1">VLOOKUP(AD409,'credit rating'!$F$2:$H$22,3,FALSE)</f>
        <v>#N/A</v>
      </c>
      <c r="X409" s="136" t="e">
        <f t="shared" ca="1" si="43"/>
        <v>#N/A</v>
      </c>
      <c r="Y409" s="136" t="e">
        <f t="shared" ca="1" si="44"/>
        <v>#N/A</v>
      </c>
      <c r="Z409" s="136" t="e">
        <f t="shared" ca="1" si="45"/>
        <v>#N/A</v>
      </c>
      <c r="AA409" s="134">
        <f ca="1">IFERROR(VLOOKUP(X409,'credit rating'!A:C,3,FALSE),0)</f>
        <v>0</v>
      </c>
      <c r="AB409" s="134">
        <f ca="1">IFERROR(VLOOKUP(Y409,'credit rating'!B:C,2,FALSE),0)</f>
        <v>0</v>
      </c>
      <c r="AC409" s="136">
        <f ca="1">IFERROR(VLOOKUP(Z409,'credit rating'!B:C,2,FALSE),0)</f>
        <v>0</v>
      </c>
      <c r="AD409" s="136">
        <f t="shared" ca="1" si="46"/>
        <v>0</v>
      </c>
      <c r="AE409" s="249" t="str">
        <f ca="1">IFERROR(VLOOKUP(B409,bond!B:U,20,FALSE),"")</f>
        <v/>
      </c>
      <c r="AF409" s="136" t="e">
        <f ca="1">IF(VLOOKUP(B409,bond!B:AK,36,FALSE)="#N/A Field Not Applicable","",VLOOKUP(B409,bond!B:AK,36,FALSE))</f>
        <v>#N/A</v>
      </c>
      <c r="AG409" s="136" t="e">
        <f ca="1">IF(VLOOKUP(B409,bond!B:AL,37,FALSE)="FIXED","固定",IF(VLOOKUP(B409,bond!B:AL,37,FALSE)="FLOATING","浮動",IF(VLOOKUP(B409,bond!B:AL,37,FALSE)="VARIABLE","變動",IF(VLOOKUP(B409,bond!B:AL,37,FALSE)="FLAT TRADING","不含息交易",IF(VLOOKUP(B409,bond!B:AL,37,FALSE)="ZERO COUPON","零息",VLOOKUP(B409,bond!B:AL,37,FALSE))))))</f>
        <v>#N/A</v>
      </c>
      <c r="AH409" s="136" t="e">
        <f>VLOOKUP(C409,'2_Check_code'!I:J,2,FALSE)</f>
        <v>#N/A</v>
      </c>
      <c r="AI409" s="136" t="e">
        <f t="shared" ca="1" si="47"/>
        <v>#N/A</v>
      </c>
      <c r="AJ409" s="136" t="e">
        <f t="shared" ca="1" si="48"/>
        <v>#N/A</v>
      </c>
      <c r="AK409" s="594" t="e">
        <f ca="1">IF(VLOOKUP(B409,bond!B:S,18,FALSE)="是","有",IF(VLOOKUP(B409,bond!B:S,18,FALSE)="NO OFFER","無","需查詢"))</f>
        <v>#N/A</v>
      </c>
      <c r="AL409" s="136" t="e">
        <f>IF(VLOOKUP(A409,bond!F:AR,39,FALSE)="#N/A Field Not Applicable",VLOOKUP(A409,bond!F:AR,38,FALSE),IFERROR(VLOOKUP(A409,'7_發行日例外'!A:B,2,FALSE),VLOOKUP(A409,bond!F:AR,39,FALSE)))</f>
        <v>#N/A</v>
      </c>
      <c r="AM409" s="136" t="e">
        <f ca="1">VLOOKUP(B409,bond!B:AK,36,FALSE)</f>
        <v>#N/A</v>
      </c>
      <c r="AN409" s="136" t="str">
        <f ca="1">IFERROR(VLOOKUP(B409,'3_是否下架'!A:A,1,FALSE),"")</f>
        <v/>
      </c>
      <c r="AO409" s="136" t="e">
        <f ca="1">VLOOKUP(B409,bond!B:J,9,FALSE)</f>
        <v>#N/A</v>
      </c>
      <c r="AP409" s="136" t="e">
        <f ca="1">VLOOKUP(B409,bond!B:V,21,FALSE)</f>
        <v>#N/A</v>
      </c>
    </row>
    <row r="410" spans="1:42">
      <c r="A410" s="141">
        <f>bond!F411</f>
        <v>0</v>
      </c>
      <c r="B410" s="151">
        <f ca="1">IF($C$1=TRUE,bond!B411,"")</f>
        <v>0</v>
      </c>
      <c r="C410" s="95" t="e">
        <f>VLOOKUP(A410,bond!F:G,2,FALSE)</f>
        <v>#N/A</v>
      </c>
      <c r="D410" s="142" t="e">
        <f ca="1">VLOOKUP(B410,bond!B:C,2,FALSE)</f>
        <v>#N/A</v>
      </c>
      <c r="E410" s="95" t="e">
        <f ca="1">VLOOKUP(B410,bond!B:D,3,FALSE)</f>
        <v>#N/A</v>
      </c>
      <c r="F410" s="99" t="e">
        <f ca="1">VLOOKUP(B410,bond!B:AB,27,FALSE)</f>
        <v>#N/A</v>
      </c>
      <c r="G410" s="90" t="e">
        <f ca="1">VLOOKUP(B410,bond!B:E,4,FALSE)</f>
        <v>#N/A</v>
      </c>
      <c r="H410" s="202" t="e">
        <f ca="1">VLOOKUP(B410,bond!B:Y,24,FALSE)</f>
        <v>#N/A</v>
      </c>
      <c r="I410" s="95" t="e">
        <f ca="1">VLOOKUP(B410,bond!B:Z,25,FALSE)</f>
        <v>#N/A</v>
      </c>
      <c r="J410" s="180" t="e">
        <f ca="1">VLOOKUP(B410,bond!B:K,10,FALSE)</f>
        <v>#N/A</v>
      </c>
      <c r="K410" s="96" t="e">
        <f ca="1">VLOOKUP($B410,bond!B:S,14,FALSE)</f>
        <v>#N/A</v>
      </c>
      <c r="L410" s="91" t="e">
        <f ca="1">VLOOKUP(B410,bond!B:H,7,FALSE)</f>
        <v>#N/A</v>
      </c>
      <c r="M410" s="144" t="e">
        <f ca="1">VLOOKUP($B410,bond!$B:$Q,16,FALSE)</f>
        <v>#N/A</v>
      </c>
      <c r="N410" s="136" t="e">
        <f ca="1">VALUE(LEFT(VLOOKUP(B410,bond!B:R,17,FALSE),SEARCH(" ",VLOOKUP(B410,bond!B:R,17,FALSE),1)))</f>
        <v>#N/A</v>
      </c>
      <c r="O410" s="136" t="e">
        <f ca="1">VALUE(RIGHT(VLOOKUP(B410,bond!B:R,17,FALSE),LEN(VLOOKUP(B410,bond!B:R,17,FALSE))-LEN(N410)-3))</f>
        <v>#N/A</v>
      </c>
      <c r="P410" s="135" t="e">
        <f ca="1">VLOOKUP($B410,bond!$B:$AG,32,FALSE)</f>
        <v>#N/A</v>
      </c>
      <c r="Q410" s="135" t="e">
        <f ca="1">VLOOKUP($B410,bond!$B:$AH,33,FALSE)</f>
        <v>#N/A</v>
      </c>
      <c r="R410" s="135" t="e">
        <f ca="1">VLOOKUP(B410,bond!B:AA,26,FALSE)</f>
        <v>#N/A</v>
      </c>
      <c r="S410" s="135" t="e">
        <f ca="1">VLOOKUP(B410,bond!B:AI,34,FALSE)</f>
        <v>#N/A</v>
      </c>
      <c r="T410" s="135" t="e">
        <f t="shared" ca="1" si="42"/>
        <v>#N/A</v>
      </c>
      <c r="U410" s="207" t="e">
        <f ca="1">IFERROR(VLOOKUP(T410,Bond_DES!D:E,2,FALSE),VLOOKUP(S410,bond!AI:AJ,2,FALSE))</f>
        <v>#N/A</v>
      </c>
      <c r="V410" s="136" t="e">
        <f ca="1">IFERROR(VLOOKUP(B410,'1_重設數據'!L:M,2,FALSE),IF(Q410="政府",IF(AD410&gt;16,"(NPI)非專投",IF(AD410&gt;10,"(PI)專投","高資產")),IF(VLOOKUP(B410,bond!B:AN,39,FALSE)="Y","(PI)專投",IF(AD410&gt;=15,"(NPI)非專投",IF(AD410&gt;=10,"(PI)專投","高資產")))))</f>
        <v>#N/A</v>
      </c>
      <c r="W410" s="136" t="e">
        <f ca="1">VLOOKUP(AD410,'credit rating'!$F$2:$H$22,3,FALSE)</f>
        <v>#N/A</v>
      </c>
      <c r="X410" s="136" t="e">
        <f t="shared" ca="1" si="43"/>
        <v>#N/A</v>
      </c>
      <c r="Y410" s="136" t="e">
        <f t="shared" ca="1" si="44"/>
        <v>#N/A</v>
      </c>
      <c r="Z410" s="136" t="e">
        <f t="shared" ca="1" si="45"/>
        <v>#N/A</v>
      </c>
      <c r="AA410" s="134">
        <f ca="1">IFERROR(VLOOKUP(X410,'credit rating'!A:C,3,FALSE),0)</f>
        <v>0</v>
      </c>
      <c r="AB410" s="134">
        <f ca="1">IFERROR(VLOOKUP(Y410,'credit rating'!B:C,2,FALSE),0)</f>
        <v>0</v>
      </c>
      <c r="AC410" s="136">
        <f ca="1">IFERROR(VLOOKUP(Z410,'credit rating'!B:C,2,FALSE),0)</f>
        <v>0</v>
      </c>
      <c r="AD410" s="136">
        <f t="shared" ca="1" si="46"/>
        <v>0</v>
      </c>
      <c r="AE410" s="249" t="str">
        <f ca="1">IFERROR(VLOOKUP(B410,bond!B:U,20,FALSE),"")</f>
        <v/>
      </c>
      <c r="AF410" s="136" t="e">
        <f ca="1">IF(VLOOKUP(B410,bond!B:AK,36,FALSE)="#N/A Field Not Applicable","",VLOOKUP(B410,bond!B:AK,36,FALSE))</f>
        <v>#N/A</v>
      </c>
      <c r="AG410" s="136" t="e">
        <f ca="1">IF(VLOOKUP(B410,bond!B:AL,37,FALSE)="FIXED","固定",IF(VLOOKUP(B410,bond!B:AL,37,FALSE)="FLOATING","浮動",IF(VLOOKUP(B410,bond!B:AL,37,FALSE)="VARIABLE","變動",IF(VLOOKUP(B410,bond!B:AL,37,FALSE)="FLAT TRADING","不含息交易",IF(VLOOKUP(B410,bond!B:AL,37,FALSE)="ZERO COUPON","零息",VLOOKUP(B410,bond!B:AL,37,FALSE))))))</f>
        <v>#N/A</v>
      </c>
      <c r="AH410" s="136" t="e">
        <f>VLOOKUP(C410,'2_Check_code'!I:J,2,FALSE)</f>
        <v>#N/A</v>
      </c>
      <c r="AI410" s="136" t="e">
        <f t="shared" ca="1" si="47"/>
        <v>#N/A</v>
      </c>
      <c r="AJ410" s="136" t="e">
        <f t="shared" ca="1" si="48"/>
        <v>#N/A</v>
      </c>
      <c r="AK410" s="594" t="e">
        <f ca="1">IF(VLOOKUP(B410,bond!B:S,18,FALSE)="是","有",IF(VLOOKUP(B410,bond!B:S,18,FALSE)="NO OFFER","無","需查詢"))</f>
        <v>#N/A</v>
      </c>
      <c r="AL410" s="136" t="e">
        <f>IF(VLOOKUP(A410,bond!F:AR,39,FALSE)="#N/A Field Not Applicable",VLOOKUP(A410,bond!F:AR,38,FALSE),IFERROR(VLOOKUP(A410,'7_發行日例外'!A:B,2,FALSE),VLOOKUP(A410,bond!F:AR,39,FALSE)))</f>
        <v>#N/A</v>
      </c>
      <c r="AM410" s="136" t="e">
        <f ca="1">VLOOKUP(B410,bond!B:AK,36,FALSE)</f>
        <v>#N/A</v>
      </c>
      <c r="AN410" s="136" t="str">
        <f ca="1">IFERROR(VLOOKUP(B410,'3_是否下架'!A:A,1,FALSE),"")</f>
        <v/>
      </c>
      <c r="AO410" s="136" t="e">
        <f ca="1">VLOOKUP(B410,bond!B:J,9,FALSE)</f>
        <v>#N/A</v>
      </c>
      <c r="AP410" s="136" t="e">
        <f ca="1">VLOOKUP(B410,bond!B:V,21,FALSE)</f>
        <v>#N/A</v>
      </c>
    </row>
    <row r="411" spans="1:42">
      <c r="A411" s="141">
        <f>bond!F412</f>
        <v>0</v>
      </c>
      <c r="B411" s="151">
        <f ca="1">IF($C$1=TRUE,bond!B412,"")</f>
        <v>0</v>
      </c>
      <c r="C411" s="95" t="e">
        <f>VLOOKUP(A411,bond!F:G,2,FALSE)</f>
        <v>#N/A</v>
      </c>
      <c r="D411" s="142" t="e">
        <f ca="1">VLOOKUP(B411,bond!B:C,2,FALSE)</f>
        <v>#N/A</v>
      </c>
      <c r="E411" s="95" t="e">
        <f ca="1">VLOOKUP(B411,bond!B:D,3,FALSE)</f>
        <v>#N/A</v>
      </c>
      <c r="F411" s="99" t="e">
        <f ca="1">VLOOKUP(B411,bond!B:AB,27,FALSE)</f>
        <v>#N/A</v>
      </c>
      <c r="G411" s="90" t="e">
        <f ca="1">VLOOKUP(B411,bond!B:E,4,FALSE)</f>
        <v>#N/A</v>
      </c>
      <c r="H411" s="202" t="e">
        <f ca="1">VLOOKUP(B411,bond!B:Y,24,FALSE)</f>
        <v>#N/A</v>
      </c>
      <c r="I411" s="95" t="e">
        <f ca="1">VLOOKUP(B411,bond!B:Z,25,FALSE)</f>
        <v>#N/A</v>
      </c>
      <c r="J411" s="180" t="e">
        <f ca="1">VLOOKUP(B411,bond!B:K,10,FALSE)</f>
        <v>#N/A</v>
      </c>
      <c r="K411" s="96" t="e">
        <f ca="1">VLOOKUP($B411,bond!B:S,14,FALSE)</f>
        <v>#N/A</v>
      </c>
      <c r="L411" s="91" t="e">
        <f ca="1">VLOOKUP(B411,bond!B:H,7,FALSE)</f>
        <v>#N/A</v>
      </c>
      <c r="M411" s="144" t="e">
        <f ca="1">VLOOKUP($B411,bond!$B:$Q,16,FALSE)</f>
        <v>#N/A</v>
      </c>
      <c r="N411" s="136" t="e">
        <f ca="1">VALUE(LEFT(VLOOKUP(B411,bond!B:R,17,FALSE),SEARCH(" ",VLOOKUP(B411,bond!B:R,17,FALSE),1)))</f>
        <v>#N/A</v>
      </c>
      <c r="O411" s="136" t="e">
        <f ca="1">VALUE(RIGHT(VLOOKUP(B411,bond!B:R,17,FALSE),LEN(VLOOKUP(B411,bond!B:R,17,FALSE))-LEN(N411)-3))</f>
        <v>#N/A</v>
      </c>
      <c r="P411" s="135" t="e">
        <f ca="1">VLOOKUP($B411,bond!$B:$AG,32,FALSE)</f>
        <v>#N/A</v>
      </c>
      <c r="Q411" s="135" t="e">
        <f ca="1">VLOOKUP($B411,bond!$B:$AH,33,FALSE)</f>
        <v>#N/A</v>
      </c>
      <c r="R411" s="135" t="e">
        <f ca="1">VLOOKUP(B411,bond!B:AA,26,FALSE)</f>
        <v>#N/A</v>
      </c>
      <c r="S411" s="135" t="e">
        <f ca="1">VLOOKUP(B411,bond!B:AI,34,FALSE)</f>
        <v>#N/A</v>
      </c>
      <c r="T411" s="135" t="e">
        <f t="shared" ca="1" si="42"/>
        <v>#N/A</v>
      </c>
      <c r="U411" s="207" t="e">
        <f ca="1">IFERROR(VLOOKUP(T411,Bond_DES!D:E,2,FALSE),VLOOKUP(S411,bond!AI:AJ,2,FALSE))</f>
        <v>#N/A</v>
      </c>
      <c r="V411" s="136" t="e">
        <f ca="1">IFERROR(VLOOKUP(B411,'1_重設數據'!L:M,2,FALSE),IF(Q411="政府",IF(AD411&gt;16,"(NPI)非專投",IF(AD411&gt;10,"(PI)專投","高資產")),IF(VLOOKUP(B411,bond!B:AN,39,FALSE)="Y","(PI)專投",IF(AD411&gt;=15,"(NPI)非專投",IF(AD411&gt;=10,"(PI)專投","高資產")))))</f>
        <v>#N/A</v>
      </c>
      <c r="W411" s="136" t="e">
        <f ca="1">VLOOKUP(AD411,'credit rating'!$F$2:$H$22,3,FALSE)</f>
        <v>#N/A</v>
      </c>
      <c r="X411" s="136" t="e">
        <f t="shared" ca="1" si="43"/>
        <v>#N/A</v>
      </c>
      <c r="Y411" s="136" t="e">
        <f t="shared" ca="1" si="44"/>
        <v>#N/A</v>
      </c>
      <c r="Z411" s="136" t="e">
        <f t="shared" ca="1" si="45"/>
        <v>#N/A</v>
      </c>
      <c r="AA411" s="134">
        <f ca="1">IFERROR(VLOOKUP(X411,'credit rating'!A:C,3,FALSE),0)</f>
        <v>0</v>
      </c>
      <c r="AB411" s="134">
        <f ca="1">IFERROR(VLOOKUP(Y411,'credit rating'!B:C,2,FALSE),0)</f>
        <v>0</v>
      </c>
      <c r="AC411" s="136">
        <f ca="1">IFERROR(VLOOKUP(Z411,'credit rating'!B:C,2,FALSE),0)</f>
        <v>0</v>
      </c>
      <c r="AD411" s="136">
        <f t="shared" ca="1" si="46"/>
        <v>0</v>
      </c>
      <c r="AE411" s="249" t="str">
        <f ca="1">IFERROR(VLOOKUP(B411,bond!B:U,20,FALSE),"")</f>
        <v/>
      </c>
      <c r="AF411" s="136" t="e">
        <f ca="1">IF(VLOOKUP(B411,bond!B:AK,36,FALSE)="#N/A Field Not Applicable","",VLOOKUP(B411,bond!B:AK,36,FALSE))</f>
        <v>#N/A</v>
      </c>
      <c r="AG411" s="136" t="e">
        <f ca="1">IF(VLOOKUP(B411,bond!B:AL,37,FALSE)="FIXED","固定",IF(VLOOKUP(B411,bond!B:AL,37,FALSE)="FLOATING","浮動",IF(VLOOKUP(B411,bond!B:AL,37,FALSE)="VARIABLE","變動",IF(VLOOKUP(B411,bond!B:AL,37,FALSE)="FLAT TRADING","不含息交易",IF(VLOOKUP(B411,bond!B:AL,37,FALSE)="ZERO COUPON","零息",VLOOKUP(B411,bond!B:AL,37,FALSE))))))</f>
        <v>#N/A</v>
      </c>
      <c r="AH411" s="136" t="e">
        <f>VLOOKUP(C411,'2_Check_code'!I:J,2,FALSE)</f>
        <v>#N/A</v>
      </c>
      <c r="AI411" s="136" t="e">
        <f t="shared" ca="1" si="47"/>
        <v>#N/A</v>
      </c>
      <c r="AJ411" s="136" t="e">
        <f t="shared" ca="1" si="48"/>
        <v>#N/A</v>
      </c>
      <c r="AK411" s="594" t="e">
        <f ca="1">IF(VLOOKUP(B411,bond!B:S,18,FALSE)="是","有",IF(VLOOKUP(B411,bond!B:S,18,FALSE)="NO OFFER","無","需查詢"))</f>
        <v>#N/A</v>
      </c>
      <c r="AL411" s="136" t="e">
        <f>IF(VLOOKUP(A411,bond!F:AR,39,FALSE)="#N/A Field Not Applicable",VLOOKUP(A411,bond!F:AR,38,FALSE),IFERROR(VLOOKUP(A411,'7_發行日例外'!A:B,2,FALSE),VLOOKUP(A411,bond!F:AR,39,FALSE)))</f>
        <v>#N/A</v>
      </c>
      <c r="AM411" s="136" t="e">
        <f ca="1">VLOOKUP(B411,bond!B:AK,36,FALSE)</f>
        <v>#N/A</v>
      </c>
      <c r="AN411" s="136" t="str">
        <f ca="1">IFERROR(VLOOKUP(B411,'3_是否下架'!A:A,1,FALSE),"")</f>
        <v/>
      </c>
      <c r="AO411" s="136" t="e">
        <f ca="1">VLOOKUP(B411,bond!B:J,9,FALSE)</f>
        <v>#N/A</v>
      </c>
      <c r="AP411" s="136" t="e">
        <f ca="1">VLOOKUP(B411,bond!B:V,21,FALSE)</f>
        <v>#N/A</v>
      </c>
    </row>
    <row r="412" spans="1:42">
      <c r="A412" s="141">
        <f>bond!F413</f>
        <v>0</v>
      </c>
      <c r="B412" s="151">
        <f ca="1">IF($C$1=TRUE,bond!B413,"")</f>
        <v>0</v>
      </c>
      <c r="C412" s="95" t="e">
        <f>VLOOKUP(A412,bond!F:G,2,FALSE)</f>
        <v>#N/A</v>
      </c>
      <c r="D412" s="142" t="e">
        <f ca="1">VLOOKUP(B412,bond!B:C,2,FALSE)</f>
        <v>#N/A</v>
      </c>
      <c r="E412" s="95" t="e">
        <f ca="1">VLOOKUP(B412,bond!B:D,3,FALSE)</f>
        <v>#N/A</v>
      </c>
      <c r="F412" s="99" t="e">
        <f ca="1">VLOOKUP(B412,bond!B:AB,27,FALSE)</f>
        <v>#N/A</v>
      </c>
      <c r="G412" s="90" t="e">
        <f ca="1">VLOOKUP(B412,bond!B:E,4,FALSE)</f>
        <v>#N/A</v>
      </c>
      <c r="H412" s="202" t="e">
        <f ca="1">VLOOKUP(B412,bond!B:Y,24,FALSE)</f>
        <v>#N/A</v>
      </c>
      <c r="I412" s="95" t="e">
        <f ca="1">VLOOKUP(B412,bond!B:Z,25,FALSE)</f>
        <v>#N/A</v>
      </c>
      <c r="J412" s="180" t="e">
        <f ca="1">VLOOKUP(B412,bond!B:K,10,FALSE)</f>
        <v>#N/A</v>
      </c>
      <c r="K412" s="96" t="e">
        <f ca="1">VLOOKUP($B412,bond!B:S,14,FALSE)</f>
        <v>#N/A</v>
      </c>
      <c r="L412" s="91" t="e">
        <f ca="1">VLOOKUP(B412,bond!B:H,7,FALSE)</f>
        <v>#N/A</v>
      </c>
      <c r="M412" s="144" t="e">
        <f ca="1">VLOOKUP($B412,bond!$B:$Q,16,FALSE)</f>
        <v>#N/A</v>
      </c>
      <c r="N412" s="136" t="e">
        <f ca="1">VALUE(LEFT(VLOOKUP(B412,bond!B:R,17,FALSE),SEARCH(" ",VLOOKUP(B412,bond!B:R,17,FALSE),1)))</f>
        <v>#N/A</v>
      </c>
      <c r="O412" s="136" t="e">
        <f ca="1">VALUE(RIGHT(VLOOKUP(B412,bond!B:R,17,FALSE),LEN(VLOOKUP(B412,bond!B:R,17,FALSE))-LEN(N412)-3))</f>
        <v>#N/A</v>
      </c>
      <c r="P412" s="135" t="e">
        <f ca="1">VLOOKUP($B412,bond!$B:$AG,32,FALSE)</f>
        <v>#N/A</v>
      </c>
      <c r="Q412" s="135" t="e">
        <f ca="1">VLOOKUP($B412,bond!$B:$AH,33,FALSE)</f>
        <v>#N/A</v>
      </c>
      <c r="R412" s="135" t="e">
        <f ca="1">VLOOKUP(B412,bond!B:AA,26,FALSE)</f>
        <v>#N/A</v>
      </c>
      <c r="S412" s="135" t="e">
        <f ca="1">VLOOKUP(B412,bond!B:AI,34,FALSE)</f>
        <v>#N/A</v>
      </c>
      <c r="T412" s="135" t="e">
        <f t="shared" ca="1" si="42"/>
        <v>#N/A</v>
      </c>
      <c r="U412" s="207" t="e">
        <f ca="1">IFERROR(VLOOKUP(T412,Bond_DES!D:E,2,FALSE),VLOOKUP(S412,bond!AI:AJ,2,FALSE))</f>
        <v>#N/A</v>
      </c>
      <c r="V412" s="136" t="e">
        <f ca="1">IFERROR(VLOOKUP(B412,'1_重設數據'!L:M,2,FALSE),IF(Q412="政府",IF(AD412&gt;16,"(NPI)非專投",IF(AD412&gt;10,"(PI)專投","高資產")),IF(VLOOKUP(B412,bond!B:AN,39,FALSE)="Y","(PI)專投",IF(AD412&gt;=15,"(NPI)非專投",IF(AD412&gt;=10,"(PI)專投","高資產")))))</f>
        <v>#N/A</v>
      </c>
      <c r="W412" s="136" t="e">
        <f ca="1">VLOOKUP(AD412,'credit rating'!$F$2:$H$22,3,FALSE)</f>
        <v>#N/A</v>
      </c>
      <c r="X412" s="136" t="e">
        <f t="shared" ca="1" si="43"/>
        <v>#N/A</v>
      </c>
      <c r="Y412" s="136" t="e">
        <f t="shared" ca="1" si="44"/>
        <v>#N/A</v>
      </c>
      <c r="Z412" s="136" t="e">
        <f t="shared" ca="1" si="45"/>
        <v>#N/A</v>
      </c>
      <c r="AA412" s="134">
        <f ca="1">IFERROR(VLOOKUP(X412,'credit rating'!A:C,3,FALSE),0)</f>
        <v>0</v>
      </c>
      <c r="AB412" s="134">
        <f ca="1">IFERROR(VLOOKUP(Y412,'credit rating'!B:C,2,FALSE),0)</f>
        <v>0</v>
      </c>
      <c r="AC412" s="136">
        <f ca="1">IFERROR(VLOOKUP(Z412,'credit rating'!B:C,2,FALSE),0)</f>
        <v>0</v>
      </c>
      <c r="AD412" s="136">
        <f t="shared" ca="1" si="46"/>
        <v>0</v>
      </c>
      <c r="AE412" s="249" t="str">
        <f ca="1">IFERROR(VLOOKUP(B412,bond!B:U,20,FALSE),"")</f>
        <v/>
      </c>
      <c r="AF412" s="136" t="e">
        <f ca="1">IF(VLOOKUP(B412,bond!B:AK,36,FALSE)="#N/A Field Not Applicable","",VLOOKUP(B412,bond!B:AK,36,FALSE))</f>
        <v>#N/A</v>
      </c>
      <c r="AG412" s="136" t="e">
        <f ca="1">IF(VLOOKUP(B412,bond!B:AL,37,FALSE)="FIXED","固定",IF(VLOOKUP(B412,bond!B:AL,37,FALSE)="FLOATING","浮動",IF(VLOOKUP(B412,bond!B:AL,37,FALSE)="VARIABLE","變動",IF(VLOOKUP(B412,bond!B:AL,37,FALSE)="FLAT TRADING","不含息交易",IF(VLOOKUP(B412,bond!B:AL,37,FALSE)="ZERO COUPON","零息",VLOOKUP(B412,bond!B:AL,37,FALSE))))))</f>
        <v>#N/A</v>
      </c>
      <c r="AH412" s="136" t="e">
        <f>VLOOKUP(C412,'2_Check_code'!I:J,2,FALSE)</f>
        <v>#N/A</v>
      </c>
      <c r="AI412" s="136" t="e">
        <f t="shared" ca="1" si="47"/>
        <v>#N/A</v>
      </c>
      <c r="AJ412" s="136" t="e">
        <f t="shared" ca="1" si="48"/>
        <v>#N/A</v>
      </c>
      <c r="AK412" s="594" t="e">
        <f ca="1">IF(VLOOKUP(B412,bond!B:S,18,FALSE)="是","有",IF(VLOOKUP(B412,bond!B:S,18,FALSE)="NO OFFER","無","需查詢"))</f>
        <v>#N/A</v>
      </c>
      <c r="AL412" s="136" t="e">
        <f>IF(VLOOKUP(A412,bond!F:AR,39,FALSE)="#N/A Field Not Applicable",VLOOKUP(A412,bond!F:AR,38,FALSE),IFERROR(VLOOKUP(A412,'7_發行日例外'!A:B,2,FALSE),VLOOKUP(A412,bond!F:AR,39,FALSE)))</f>
        <v>#N/A</v>
      </c>
      <c r="AM412" s="136" t="e">
        <f ca="1">VLOOKUP(B412,bond!B:AK,36,FALSE)</f>
        <v>#N/A</v>
      </c>
      <c r="AN412" s="136" t="str">
        <f ca="1">IFERROR(VLOOKUP(B412,'3_是否下架'!A:A,1,FALSE),"")</f>
        <v/>
      </c>
      <c r="AO412" s="136" t="e">
        <f ca="1">VLOOKUP(B412,bond!B:J,9,FALSE)</f>
        <v>#N/A</v>
      </c>
      <c r="AP412" s="136" t="e">
        <f ca="1">VLOOKUP(B412,bond!B:V,21,FALSE)</f>
        <v>#N/A</v>
      </c>
    </row>
    <row r="413" spans="1:42">
      <c r="A413" s="141">
        <f>bond!F414</f>
        <v>0</v>
      </c>
      <c r="B413" s="151">
        <f ca="1">IF($C$1=TRUE,bond!B414,"")</f>
        <v>0</v>
      </c>
      <c r="C413" s="95" t="e">
        <f>VLOOKUP(A413,bond!F:G,2,FALSE)</f>
        <v>#N/A</v>
      </c>
      <c r="D413" s="142" t="e">
        <f ca="1">VLOOKUP(B413,bond!B:C,2,FALSE)</f>
        <v>#N/A</v>
      </c>
      <c r="E413" s="95" t="e">
        <f ca="1">VLOOKUP(B413,bond!B:D,3,FALSE)</f>
        <v>#N/A</v>
      </c>
      <c r="F413" s="99" t="e">
        <f ca="1">VLOOKUP(B413,bond!B:AB,27,FALSE)</f>
        <v>#N/A</v>
      </c>
      <c r="G413" s="90" t="e">
        <f ca="1">VLOOKUP(B413,bond!B:E,4,FALSE)</f>
        <v>#N/A</v>
      </c>
      <c r="H413" s="202" t="e">
        <f ca="1">VLOOKUP(B413,bond!B:Y,24,FALSE)</f>
        <v>#N/A</v>
      </c>
      <c r="I413" s="95" t="e">
        <f ca="1">VLOOKUP(B413,bond!B:Z,25,FALSE)</f>
        <v>#N/A</v>
      </c>
      <c r="J413" s="180" t="e">
        <f ca="1">VLOOKUP(B413,bond!B:K,10,FALSE)</f>
        <v>#N/A</v>
      </c>
      <c r="K413" s="96" t="e">
        <f ca="1">VLOOKUP($B413,bond!B:S,14,FALSE)</f>
        <v>#N/A</v>
      </c>
      <c r="L413" s="91" t="e">
        <f ca="1">VLOOKUP(B413,bond!B:H,7,FALSE)</f>
        <v>#N/A</v>
      </c>
      <c r="M413" s="144" t="e">
        <f ca="1">VLOOKUP($B413,bond!$B:$Q,16,FALSE)</f>
        <v>#N/A</v>
      </c>
      <c r="N413" s="136" t="e">
        <f ca="1">VALUE(LEFT(VLOOKUP(B413,bond!B:R,17,FALSE),SEARCH(" ",VLOOKUP(B413,bond!B:R,17,FALSE),1)))</f>
        <v>#N/A</v>
      </c>
      <c r="O413" s="136" t="e">
        <f ca="1">VALUE(RIGHT(VLOOKUP(B413,bond!B:R,17,FALSE),LEN(VLOOKUP(B413,bond!B:R,17,FALSE))-LEN(N413)-3))</f>
        <v>#N/A</v>
      </c>
      <c r="P413" s="135" t="e">
        <f ca="1">VLOOKUP($B413,bond!$B:$AG,32,FALSE)</f>
        <v>#N/A</v>
      </c>
      <c r="Q413" s="135" t="e">
        <f ca="1">VLOOKUP($B413,bond!$B:$AH,33,FALSE)</f>
        <v>#N/A</v>
      </c>
      <c r="R413" s="135" t="e">
        <f ca="1">VLOOKUP(B413,bond!B:AA,26,FALSE)</f>
        <v>#N/A</v>
      </c>
      <c r="S413" s="135" t="e">
        <f ca="1">VLOOKUP(B413,bond!B:AI,34,FALSE)</f>
        <v>#N/A</v>
      </c>
      <c r="T413" s="135" t="e">
        <f t="shared" ca="1" si="42"/>
        <v>#N/A</v>
      </c>
      <c r="U413" s="207" t="e">
        <f ca="1">IFERROR(VLOOKUP(T413,Bond_DES!D:E,2,FALSE),VLOOKUP(S413,bond!AI:AJ,2,FALSE))</f>
        <v>#N/A</v>
      </c>
      <c r="V413" s="136" t="e">
        <f ca="1">IFERROR(VLOOKUP(B413,'1_重設數據'!L:M,2,FALSE),IF(Q413="政府",IF(AD413&gt;16,"(NPI)非專投",IF(AD413&gt;10,"(PI)專投","高資產")),IF(VLOOKUP(B413,bond!B:AN,39,FALSE)="Y","(PI)專投",IF(AD413&gt;=15,"(NPI)非專投",IF(AD413&gt;=10,"(PI)專投","高資產")))))</f>
        <v>#N/A</v>
      </c>
      <c r="W413" s="136" t="e">
        <f ca="1">VLOOKUP(AD413,'credit rating'!$F$2:$H$22,3,FALSE)</f>
        <v>#N/A</v>
      </c>
      <c r="X413" s="136" t="e">
        <f t="shared" ca="1" si="43"/>
        <v>#N/A</v>
      </c>
      <c r="Y413" s="136" t="e">
        <f t="shared" ca="1" si="44"/>
        <v>#N/A</v>
      </c>
      <c r="Z413" s="136" t="e">
        <f t="shared" ca="1" si="45"/>
        <v>#N/A</v>
      </c>
      <c r="AA413" s="134">
        <f ca="1">IFERROR(VLOOKUP(X413,'credit rating'!A:C,3,FALSE),0)</f>
        <v>0</v>
      </c>
      <c r="AB413" s="134">
        <f ca="1">IFERROR(VLOOKUP(Y413,'credit rating'!B:C,2,FALSE),0)</f>
        <v>0</v>
      </c>
      <c r="AC413" s="136">
        <f ca="1">IFERROR(VLOOKUP(Z413,'credit rating'!B:C,2,FALSE),0)</f>
        <v>0</v>
      </c>
      <c r="AD413" s="136">
        <f t="shared" ca="1" si="46"/>
        <v>0</v>
      </c>
      <c r="AE413" s="249" t="str">
        <f ca="1">IFERROR(VLOOKUP(B413,bond!B:U,20,FALSE),"")</f>
        <v/>
      </c>
      <c r="AF413" s="136" t="e">
        <f ca="1">IF(VLOOKUP(B413,bond!B:AK,36,FALSE)="#N/A Field Not Applicable","",VLOOKUP(B413,bond!B:AK,36,FALSE))</f>
        <v>#N/A</v>
      </c>
      <c r="AG413" s="136" t="e">
        <f ca="1">IF(VLOOKUP(B413,bond!B:AL,37,FALSE)="FIXED","固定",IF(VLOOKUP(B413,bond!B:AL,37,FALSE)="FLOATING","浮動",IF(VLOOKUP(B413,bond!B:AL,37,FALSE)="VARIABLE","變動",IF(VLOOKUP(B413,bond!B:AL,37,FALSE)="FLAT TRADING","不含息交易",IF(VLOOKUP(B413,bond!B:AL,37,FALSE)="ZERO COUPON","零息",VLOOKUP(B413,bond!B:AL,37,FALSE))))))</f>
        <v>#N/A</v>
      </c>
      <c r="AH413" s="136" t="e">
        <f>VLOOKUP(C413,'2_Check_code'!I:J,2,FALSE)</f>
        <v>#N/A</v>
      </c>
      <c r="AI413" s="136" t="e">
        <f t="shared" ca="1" si="47"/>
        <v>#N/A</v>
      </c>
      <c r="AJ413" s="136" t="e">
        <f t="shared" ca="1" si="48"/>
        <v>#N/A</v>
      </c>
      <c r="AK413" s="594" t="e">
        <f ca="1">IF(VLOOKUP(B413,bond!B:S,18,FALSE)="是","有",IF(VLOOKUP(B413,bond!B:S,18,FALSE)="NO OFFER","無","需查詢"))</f>
        <v>#N/A</v>
      </c>
      <c r="AL413" s="136" t="e">
        <f>IF(VLOOKUP(A413,bond!F:AR,39,FALSE)="#N/A Field Not Applicable",VLOOKUP(A413,bond!F:AR,38,FALSE),IFERROR(VLOOKUP(A413,'7_發行日例外'!A:B,2,FALSE),VLOOKUP(A413,bond!F:AR,39,FALSE)))</f>
        <v>#N/A</v>
      </c>
      <c r="AM413" s="136" t="e">
        <f ca="1">VLOOKUP(B413,bond!B:AK,36,FALSE)</f>
        <v>#N/A</v>
      </c>
      <c r="AN413" s="136" t="str">
        <f ca="1">IFERROR(VLOOKUP(B413,'3_是否下架'!A:A,1,FALSE),"")</f>
        <v/>
      </c>
      <c r="AO413" s="136" t="e">
        <f ca="1">VLOOKUP(B413,bond!B:J,9,FALSE)</f>
        <v>#N/A</v>
      </c>
      <c r="AP413" s="136" t="e">
        <f ca="1">VLOOKUP(B413,bond!B:V,21,FALSE)</f>
        <v>#N/A</v>
      </c>
    </row>
    <row r="414" spans="1:42">
      <c r="A414" s="141">
        <f>bond!F415</f>
        <v>0</v>
      </c>
      <c r="B414" s="151">
        <f ca="1">IF($C$1=TRUE,bond!B415,"")</f>
        <v>0</v>
      </c>
      <c r="C414" s="95" t="e">
        <f>VLOOKUP(A414,bond!F:G,2,FALSE)</f>
        <v>#N/A</v>
      </c>
      <c r="D414" s="142" t="e">
        <f ca="1">VLOOKUP(B414,bond!B:C,2,FALSE)</f>
        <v>#N/A</v>
      </c>
      <c r="E414" s="95" t="e">
        <f ca="1">VLOOKUP(B414,bond!B:D,3,FALSE)</f>
        <v>#N/A</v>
      </c>
      <c r="F414" s="99" t="e">
        <f ca="1">VLOOKUP(B414,bond!B:AB,27,FALSE)</f>
        <v>#N/A</v>
      </c>
      <c r="G414" s="90" t="e">
        <f ca="1">VLOOKUP(B414,bond!B:E,4,FALSE)</f>
        <v>#N/A</v>
      </c>
      <c r="H414" s="202" t="e">
        <f ca="1">VLOOKUP(B414,bond!B:Y,24,FALSE)</f>
        <v>#N/A</v>
      </c>
      <c r="I414" s="95" t="e">
        <f ca="1">VLOOKUP(B414,bond!B:Z,25,FALSE)</f>
        <v>#N/A</v>
      </c>
      <c r="J414" s="180" t="e">
        <f ca="1">VLOOKUP(B414,bond!B:K,10,FALSE)</f>
        <v>#N/A</v>
      </c>
      <c r="K414" s="96" t="e">
        <f ca="1">VLOOKUP($B414,bond!B:S,14,FALSE)</f>
        <v>#N/A</v>
      </c>
      <c r="L414" s="91" t="e">
        <f ca="1">VLOOKUP(B414,bond!B:H,7,FALSE)</f>
        <v>#N/A</v>
      </c>
      <c r="M414" s="144" t="e">
        <f ca="1">VLOOKUP($B414,bond!$B:$Q,16,FALSE)</f>
        <v>#N/A</v>
      </c>
      <c r="N414" s="136" t="e">
        <f ca="1">VALUE(LEFT(VLOOKUP(B414,bond!B:R,17,FALSE),SEARCH(" ",VLOOKUP(B414,bond!B:R,17,FALSE),1)))</f>
        <v>#N/A</v>
      </c>
      <c r="O414" s="136" t="e">
        <f ca="1">VALUE(RIGHT(VLOOKUP(B414,bond!B:R,17,FALSE),LEN(VLOOKUP(B414,bond!B:R,17,FALSE))-LEN(N414)-3))</f>
        <v>#N/A</v>
      </c>
      <c r="P414" s="135" t="e">
        <f ca="1">VLOOKUP($B414,bond!$B:$AG,32,FALSE)</f>
        <v>#N/A</v>
      </c>
      <c r="Q414" s="135" t="e">
        <f ca="1">VLOOKUP($B414,bond!$B:$AH,33,FALSE)</f>
        <v>#N/A</v>
      </c>
      <c r="R414" s="135" t="e">
        <f ca="1">VLOOKUP(B414,bond!B:AA,26,FALSE)</f>
        <v>#N/A</v>
      </c>
      <c r="S414" s="135" t="e">
        <f ca="1">VLOOKUP(B414,bond!B:AI,34,FALSE)</f>
        <v>#N/A</v>
      </c>
      <c r="T414" s="135" t="e">
        <f t="shared" ca="1" si="42"/>
        <v>#N/A</v>
      </c>
      <c r="U414" s="207" t="e">
        <f ca="1">IFERROR(VLOOKUP(T414,Bond_DES!D:E,2,FALSE),VLOOKUP(S414,bond!AI:AJ,2,FALSE))</f>
        <v>#N/A</v>
      </c>
      <c r="V414" s="136" t="e">
        <f ca="1">IFERROR(VLOOKUP(B414,'1_重設數據'!L:M,2,FALSE),IF(Q414="政府",IF(AD414&gt;16,"(NPI)非專投",IF(AD414&gt;10,"(PI)專投","高資產")),IF(VLOOKUP(B414,bond!B:AN,39,FALSE)="Y","(PI)專投",IF(AD414&gt;=15,"(NPI)非專投",IF(AD414&gt;=10,"(PI)專投","高資產")))))</f>
        <v>#N/A</v>
      </c>
      <c r="W414" s="136" t="e">
        <f ca="1">VLOOKUP(AD414,'credit rating'!$F$2:$H$22,3,FALSE)</f>
        <v>#N/A</v>
      </c>
      <c r="X414" s="136" t="e">
        <f t="shared" ca="1" si="43"/>
        <v>#N/A</v>
      </c>
      <c r="Y414" s="136" t="e">
        <f t="shared" ca="1" si="44"/>
        <v>#N/A</v>
      </c>
      <c r="Z414" s="136" t="e">
        <f t="shared" ca="1" si="45"/>
        <v>#N/A</v>
      </c>
      <c r="AA414" s="134">
        <f ca="1">IFERROR(VLOOKUP(X414,'credit rating'!A:C,3,FALSE),0)</f>
        <v>0</v>
      </c>
      <c r="AB414" s="134">
        <f ca="1">IFERROR(VLOOKUP(Y414,'credit rating'!B:C,2,FALSE),0)</f>
        <v>0</v>
      </c>
      <c r="AC414" s="136">
        <f ca="1">IFERROR(VLOOKUP(Z414,'credit rating'!B:C,2,FALSE),0)</f>
        <v>0</v>
      </c>
      <c r="AD414" s="136">
        <f t="shared" ca="1" si="46"/>
        <v>0</v>
      </c>
      <c r="AE414" s="249" t="str">
        <f ca="1">IFERROR(VLOOKUP(B414,bond!B:U,20,FALSE),"")</f>
        <v/>
      </c>
      <c r="AF414" s="136" t="e">
        <f ca="1">IF(VLOOKUP(B414,bond!B:AK,36,FALSE)="#N/A Field Not Applicable","",VLOOKUP(B414,bond!B:AK,36,FALSE))</f>
        <v>#N/A</v>
      </c>
      <c r="AG414" s="136" t="e">
        <f ca="1">IF(VLOOKUP(B414,bond!B:AL,37,FALSE)="FIXED","固定",IF(VLOOKUP(B414,bond!B:AL,37,FALSE)="FLOATING","浮動",IF(VLOOKUP(B414,bond!B:AL,37,FALSE)="VARIABLE","變動",IF(VLOOKUP(B414,bond!B:AL,37,FALSE)="FLAT TRADING","不含息交易",IF(VLOOKUP(B414,bond!B:AL,37,FALSE)="ZERO COUPON","零息",VLOOKUP(B414,bond!B:AL,37,FALSE))))))</f>
        <v>#N/A</v>
      </c>
      <c r="AH414" s="136" t="e">
        <f>VLOOKUP(C414,'2_Check_code'!I:J,2,FALSE)</f>
        <v>#N/A</v>
      </c>
      <c r="AI414" s="136" t="e">
        <f t="shared" ca="1" si="47"/>
        <v>#N/A</v>
      </c>
      <c r="AJ414" s="136" t="e">
        <f t="shared" ca="1" si="48"/>
        <v>#N/A</v>
      </c>
      <c r="AK414" s="594" t="e">
        <f ca="1">IF(VLOOKUP(B414,bond!B:S,18,FALSE)="是","有",IF(VLOOKUP(B414,bond!B:S,18,FALSE)="NO OFFER","無","需查詢"))</f>
        <v>#N/A</v>
      </c>
      <c r="AL414" s="136" t="e">
        <f>IF(VLOOKUP(A414,bond!F:AR,39,FALSE)="#N/A Field Not Applicable",VLOOKUP(A414,bond!F:AR,38,FALSE),IFERROR(VLOOKUP(A414,'7_發行日例外'!A:B,2,FALSE),VLOOKUP(A414,bond!F:AR,39,FALSE)))</f>
        <v>#N/A</v>
      </c>
      <c r="AM414" s="136" t="e">
        <f ca="1">VLOOKUP(B414,bond!B:AK,36,FALSE)</f>
        <v>#N/A</v>
      </c>
      <c r="AN414" s="136" t="str">
        <f ca="1">IFERROR(VLOOKUP(B414,'3_是否下架'!A:A,1,FALSE),"")</f>
        <v/>
      </c>
      <c r="AO414" s="136" t="e">
        <f ca="1">VLOOKUP(B414,bond!B:J,9,FALSE)</f>
        <v>#N/A</v>
      </c>
      <c r="AP414" s="136" t="e">
        <f ca="1">VLOOKUP(B414,bond!B:V,21,FALSE)</f>
        <v>#N/A</v>
      </c>
    </row>
    <row r="415" spans="1:42">
      <c r="A415" s="141">
        <f>bond!F416</f>
        <v>0</v>
      </c>
      <c r="B415" s="151">
        <f ca="1">IF($C$1=TRUE,bond!B416,"")</f>
        <v>0</v>
      </c>
      <c r="C415" s="95" t="e">
        <f>VLOOKUP(A415,bond!F:G,2,FALSE)</f>
        <v>#N/A</v>
      </c>
      <c r="D415" s="142" t="e">
        <f ca="1">VLOOKUP(B415,bond!B:C,2,FALSE)</f>
        <v>#N/A</v>
      </c>
      <c r="E415" s="95" t="e">
        <f ca="1">VLOOKUP(B415,bond!B:D,3,FALSE)</f>
        <v>#N/A</v>
      </c>
      <c r="F415" s="99" t="e">
        <f ca="1">VLOOKUP(B415,bond!B:AB,27,FALSE)</f>
        <v>#N/A</v>
      </c>
      <c r="G415" s="90" t="e">
        <f ca="1">VLOOKUP(B415,bond!B:E,4,FALSE)</f>
        <v>#N/A</v>
      </c>
      <c r="H415" s="202" t="e">
        <f ca="1">VLOOKUP(B415,bond!B:Y,24,FALSE)</f>
        <v>#N/A</v>
      </c>
      <c r="I415" s="95" t="e">
        <f ca="1">VLOOKUP(B415,bond!B:Z,25,FALSE)</f>
        <v>#N/A</v>
      </c>
      <c r="J415" s="180" t="e">
        <f ca="1">VLOOKUP(B415,bond!B:K,10,FALSE)</f>
        <v>#N/A</v>
      </c>
      <c r="K415" s="96" t="e">
        <f ca="1">VLOOKUP($B415,bond!B:S,14,FALSE)</f>
        <v>#N/A</v>
      </c>
      <c r="L415" s="91" t="e">
        <f ca="1">VLOOKUP(B415,bond!B:H,7,FALSE)</f>
        <v>#N/A</v>
      </c>
      <c r="M415" s="144" t="e">
        <f ca="1">VLOOKUP($B415,bond!$B:$Q,16,FALSE)</f>
        <v>#N/A</v>
      </c>
      <c r="N415" s="136" t="e">
        <f ca="1">VALUE(LEFT(VLOOKUP(B415,bond!B:R,17,FALSE),SEARCH(" ",VLOOKUP(B415,bond!B:R,17,FALSE),1)))</f>
        <v>#N/A</v>
      </c>
      <c r="O415" s="136" t="e">
        <f ca="1">VALUE(RIGHT(VLOOKUP(B415,bond!B:R,17,FALSE),LEN(VLOOKUP(B415,bond!B:R,17,FALSE))-LEN(N415)-3))</f>
        <v>#N/A</v>
      </c>
      <c r="P415" s="135" t="e">
        <f ca="1">VLOOKUP($B415,bond!$B:$AG,32,FALSE)</f>
        <v>#N/A</v>
      </c>
      <c r="Q415" s="135" t="e">
        <f ca="1">VLOOKUP($B415,bond!$B:$AH,33,FALSE)</f>
        <v>#N/A</v>
      </c>
      <c r="R415" s="135" t="e">
        <f ca="1">VLOOKUP(B415,bond!B:AA,26,FALSE)</f>
        <v>#N/A</v>
      </c>
      <c r="S415" s="135" t="e">
        <f ca="1">VLOOKUP(B415,bond!B:AI,34,FALSE)</f>
        <v>#N/A</v>
      </c>
      <c r="T415" s="135" t="e">
        <f t="shared" ca="1" si="42"/>
        <v>#N/A</v>
      </c>
      <c r="U415" s="207" t="e">
        <f ca="1">IFERROR(VLOOKUP(T415,Bond_DES!D:E,2,FALSE),VLOOKUP(S415,bond!AI:AJ,2,FALSE))</f>
        <v>#N/A</v>
      </c>
      <c r="V415" s="136" t="e">
        <f ca="1">IFERROR(VLOOKUP(B415,'1_重設數據'!L:M,2,FALSE),IF(Q415="政府",IF(AD415&gt;16,"(NPI)非專投",IF(AD415&gt;10,"(PI)專投","高資產")),IF(VLOOKUP(B415,bond!B:AN,39,FALSE)="Y","(PI)專投",IF(AD415&gt;=15,"(NPI)非專投",IF(AD415&gt;=10,"(PI)專投","高資產")))))</f>
        <v>#N/A</v>
      </c>
      <c r="W415" s="136" t="e">
        <f ca="1">VLOOKUP(AD415,'credit rating'!$F$2:$H$22,3,FALSE)</f>
        <v>#N/A</v>
      </c>
      <c r="X415" s="136" t="e">
        <f t="shared" ca="1" si="43"/>
        <v>#N/A</v>
      </c>
      <c r="Y415" s="136" t="e">
        <f t="shared" ca="1" si="44"/>
        <v>#N/A</v>
      </c>
      <c r="Z415" s="136" t="e">
        <f t="shared" ca="1" si="45"/>
        <v>#N/A</v>
      </c>
      <c r="AA415" s="134">
        <f ca="1">IFERROR(VLOOKUP(X415,'credit rating'!A:C,3,FALSE),0)</f>
        <v>0</v>
      </c>
      <c r="AB415" s="134">
        <f ca="1">IFERROR(VLOOKUP(Y415,'credit rating'!B:C,2,FALSE),0)</f>
        <v>0</v>
      </c>
      <c r="AC415" s="136">
        <f ca="1">IFERROR(VLOOKUP(Z415,'credit rating'!B:C,2,FALSE),0)</f>
        <v>0</v>
      </c>
      <c r="AD415" s="136">
        <f t="shared" ca="1" si="46"/>
        <v>0</v>
      </c>
      <c r="AE415" s="249" t="str">
        <f ca="1">IFERROR(VLOOKUP(B415,bond!B:U,20,FALSE),"")</f>
        <v/>
      </c>
      <c r="AF415" s="136" t="e">
        <f ca="1">IF(VLOOKUP(B415,bond!B:AK,36,FALSE)="#N/A Field Not Applicable","",VLOOKUP(B415,bond!B:AK,36,FALSE))</f>
        <v>#N/A</v>
      </c>
      <c r="AG415" s="136" t="e">
        <f ca="1">IF(VLOOKUP(B415,bond!B:AL,37,FALSE)="FIXED","固定",IF(VLOOKUP(B415,bond!B:AL,37,FALSE)="FLOATING","浮動",IF(VLOOKUP(B415,bond!B:AL,37,FALSE)="VARIABLE","變動",IF(VLOOKUP(B415,bond!B:AL,37,FALSE)="FLAT TRADING","不含息交易",IF(VLOOKUP(B415,bond!B:AL,37,FALSE)="ZERO COUPON","零息",VLOOKUP(B415,bond!B:AL,37,FALSE))))))</f>
        <v>#N/A</v>
      </c>
      <c r="AH415" s="136" t="e">
        <f>VLOOKUP(C415,'2_Check_code'!I:J,2,FALSE)</f>
        <v>#N/A</v>
      </c>
      <c r="AI415" s="136" t="e">
        <f t="shared" ca="1" si="47"/>
        <v>#N/A</v>
      </c>
      <c r="AJ415" s="136" t="e">
        <f t="shared" ca="1" si="48"/>
        <v>#N/A</v>
      </c>
      <c r="AK415" s="594" t="e">
        <f ca="1">IF(VLOOKUP(B415,bond!B:S,18,FALSE)="是","有",IF(VLOOKUP(B415,bond!B:S,18,FALSE)="NO OFFER","無","需查詢"))</f>
        <v>#N/A</v>
      </c>
      <c r="AL415" s="136" t="e">
        <f>IF(VLOOKUP(A415,bond!F:AR,39,FALSE)="#N/A Field Not Applicable",VLOOKUP(A415,bond!F:AR,38,FALSE),IFERROR(VLOOKUP(A415,'7_發行日例外'!A:B,2,FALSE),VLOOKUP(A415,bond!F:AR,39,FALSE)))</f>
        <v>#N/A</v>
      </c>
      <c r="AM415" s="136" t="e">
        <f ca="1">VLOOKUP(B415,bond!B:AK,36,FALSE)</f>
        <v>#N/A</v>
      </c>
      <c r="AN415" s="136" t="str">
        <f ca="1">IFERROR(VLOOKUP(B415,'3_是否下架'!A:A,1,FALSE),"")</f>
        <v/>
      </c>
      <c r="AO415" s="136" t="e">
        <f ca="1">VLOOKUP(B415,bond!B:J,9,FALSE)</f>
        <v>#N/A</v>
      </c>
      <c r="AP415" s="136" t="e">
        <f ca="1">VLOOKUP(B415,bond!B:V,21,FALSE)</f>
        <v>#N/A</v>
      </c>
    </row>
    <row r="416" spans="1:42">
      <c r="A416" s="141">
        <f>bond!F417</f>
        <v>0</v>
      </c>
      <c r="B416" s="151">
        <f ca="1">IF($C$1=TRUE,bond!B417,"")</f>
        <v>0</v>
      </c>
      <c r="C416" s="95" t="e">
        <f>VLOOKUP(A416,bond!F:G,2,FALSE)</f>
        <v>#N/A</v>
      </c>
      <c r="D416" s="142" t="e">
        <f ca="1">VLOOKUP(B416,bond!B:C,2,FALSE)</f>
        <v>#N/A</v>
      </c>
      <c r="E416" s="95" t="e">
        <f ca="1">VLOOKUP(B416,bond!B:D,3,FALSE)</f>
        <v>#N/A</v>
      </c>
      <c r="F416" s="99" t="e">
        <f ca="1">VLOOKUP(B416,bond!B:AB,27,FALSE)</f>
        <v>#N/A</v>
      </c>
      <c r="G416" s="90" t="e">
        <f ca="1">VLOOKUP(B416,bond!B:E,4,FALSE)</f>
        <v>#N/A</v>
      </c>
      <c r="H416" s="202" t="e">
        <f ca="1">VLOOKUP(B416,bond!B:Y,24,FALSE)</f>
        <v>#N/A</v>
      </c>
      <c r="I416" s="95" t="e">
        <f ca="1">VLOOKUP(B416,bond!B:Z,25,FALSE)</f>
        <v>#N/A</v>
      </c>
      <c r="J416" s="180" t="e">
        <f ca="1">VLOOKUP(B416,bond!B:K,10,FALSE)</f>
        <v>#N/A</v>
      </c>
      <c r="K416" s="96" t="e">
        <f ca="1">VLOOKUP($B416,bond!B:S,14,FALSE)</f>
        <v>#N/A</v>
      </c>
      <c r="L416" s="91" t="e">
        <f ca="1">VLOOKUP(B416,bond!B:H,7,FALSE)</f>
        <v>#N/A</v>
      </c>
      <c r="M416" s="144" t="e">
        <f ca="1">VLOOKUP($B416,bond!$B:$Q,16,FALSE)</f>
        <v>#N/A</v>
      </c>
      <c r="N416" s="136" t="e">
        <f ca="1">VALUE(LEFT(VLOOKUP(B416,bond!B:R,17,FALSE),SEARCH(" ",VLOOKUP(B416,bond!B:R,17,FALSE),1)))</f>
        <v>#N/A</v>
      </c>
      <c r="O416" s="136" t="e">
        <f ca="1">VALUE(RIGHT(VLOOKUP(B416,bond!B:R,17,FALSE),LEN(VLOOKUP(B416,bond!B:R,17,FALSE))-LEN(N416)-3))</f>
        <v>#N/A</v>
      </c>
      <c r="P416" s="135" t="e">
        <f ca="1">VLOOKUP($B416,bond!$B:$AG,32,FALSE)</f>
        <v>#N/A</v>
      </c>
      <c r="Q416" s="135" t="e">
        <f ca="1">VLOOKUP($B416,bond!$B:$AH,33,FALSE)</f>
        <v>#N/A</v>
      </c>
      <c r="R416" s="135" t="e">
        <f ca="1">VLOOKUP(B416,bond!B:AA,26,FALSE)</f>
        <v>#N/A</v>
      </c>
      <c r="S416" s="135" t="e">
        <f ca="1">VLOOKUP(B416,bond!B:AI,34,FALSE)</f>
        <v>#N/A</v>
      </c>
      <c r="T416" s="135" t="e">
        <f t="shared" ca="1" si="42"/>
        <v>#N/A</v>
      </c>
      <c r="U416" s="207" t="e">
        <f ca="1">IFERROR(VLOOKUP(T416,Bond_DES!D:E,2,FALSE),VLOOKUP(S416,bond!AI:AJ,2,FALSE))</f>
        <v>#N/A</v>
      </c>
      <c r="V416" s="136" t="e">
        <f ca="1">IFERROR(VLOOKUP(B416,'1_重設數據'!L:M,2,FALSE),IF(Q416="政府",IF(AD416&gt;16,"(NPI)非專投",IF(AD416&gt;10,"(PI)專投","高資產")),IF(VLOOKUP(B416,bond!B:AN,39,FALSE)="Y","(PI)專投",IF(AD416&gt;=15,"(NPI)非專投",IF(AD416&gt;=10,"(PI)專投","高資產")))))</f>
        <v>#N/A</v>
      </c>
      <c r="W416" s="136" t="e">
        <f ca="1">VLOOKUP(AD416,'credit rating'!$F$2:$H$22,3,FALSE)</f>
        <v>#N/A</v>
      </c>
      <c r="X416" s="136" t="e">
        <f t="shared" ca="1" si="43"/>
        <v>#N/A</v>
      </c>
      <c r="Y416" s="136" t="e">
        <f t="shared" ca="1" si="44"/>
        <v>#N/A</v>
      </c>
      <c r="Z416" s="136" t="e">
        <f t="shared" ca="1" si="45"/>
        <v>#N/A</v>
      </c>
      <c r="AA416" s="134">
        <f ca="1">IFERROR(VLOOKUP(X416,'credit rating'!A:C,3,FALSE),0)</f>
        <v>0</v>
      </c>
      <c r="AB416" s="134">
        <f ca="1">IFERROR(VLOOKUP(Y416,'credit rating'!B:C,2,FALSE),0)</f>
        <v>0</v>
      </c>
      <c r="AC416" s="136">
        <f ca="1">IFERROR(VLOOKUP(Z416,'credit rating'!B:C,2,FALSE),0)</f>
        <v>0</v>
      </c>
      <c r="AD416" s="136">
        <f t="shared" ca="1" si="46"/>
        <v>0</v>
      </c>
      <c r="AE416" s="249" t="str">
        <f ca="1">IFERROR(VLOOKUP(B416,bond!B:U,20,FALSE),"")</f>
        <v/>
      </c>
      <c r="AF416" s="136" t="e">
        <f ca="1">IF(VLOOKUP(B416,bond!B:AK,36,FALSE)="#N/A Field Not Applicable","",VLOOKUP(B416,bond!B:AK,36,FALSE))</f>
        <v>#N/A</v>
      </c>
      <c r="AG416" s="136" t="e">
        <f ca="1">IF(VLOOKUP(B416,bond!B:AL,37,FALSE)="FIXED","固定",IF(VLOOKUP(B416,bond!B:AL,37,FALSE)="FLOATING","浮動",IF(VLOOKUP(B416,bond!B:AL,37,FALSE)="VARIABLE","變動",IF(VLOOKUP(B416,bond!B:AL,37,FALSE)="FLAT TRADING","不含息交易",IF(VLOOKUP(B416,bond!B:AL,37,FALSE)="ZERO COUPON","零息",VLOOKUP(B416,bond!B:AL,37,FALSE))))))</f>
        <v>#N/A</v>
      </c>
      <c r="AH416" s="136" t="e">
        <f>VLOOKUP(C416,'2_Check_code'!I:J,2,FALSE)</f>
        <v>#N/A</v>
      </c>
      <c r="AI416" s="136" t="e">
        <f t="shared" ca="1" si="47"/>
        <v>#N/A</v>
      </c>
      <c r="AJ416" s="136" t="e">
        <f t="shared" ca="1" si="48"/>
        <v>#N/A</v>
      </c>
      <c r="AK416" s="594" t="e">
        <f ca="1">IF(VLOOKUP(B416,bond!B:S,18,FALSE)="是","有",IF(VLOOKUP(B416,bond!B:S,18,FALSE)="NO OFFER","無","需查詢"))</f>
        <v>#N/A</v>
      </c>
      <c r="AL416" s="136" t="e">
        <f>IF(VLOOKUP(A416,bond!F:AR,39,FALSE)="#N/A Field Not Applicable",VLOOKUP(A416,bond!F:AR,38,FALSE),IFERROR(VLOOKUP(A416,'7_發行日例外'!A:B,2,FALSE),VLOOKUP(A416,bond!F:AR,39,FALSE)))</f>
        <v>#N/A</v>
      </c>
      <c r="AM416" s="136" t="e">
        <f ca="1">VLOOKUP(B416,bond!B:AK,36,FALSE)</f>
        <v>#N/A</v>
      </c>
      <c r="AN416" s="136" t="str">
        <f ca="1">IFERROR(VLOOKUP(B416,'3_是否下架'!A:A,1,FALSE),"")</f>
        <v/>
      </c>
      <c r="AO416" s="136" t="e">
        <f ca="1">VLOOKUP(B416,bond!B:J,9,FALSE)</f>
        <v>#N/A</v>
      </c>
      <c r="AP416" s="136" t="e">
        <f ca="1">VLOOKUP(B416,bond!B:V,21,FALSE)</f>
        <v>#N/A</v>
      </c>
    </row>
    <row r="417" spans="1:42">
      <c r="A417" s="141">
        <f>bond!F418</f>
        <v>0</v>
      </c>
      <c r="B417" s="151">
        <f ca="1">IF($C$1=TRUE,bond!B418,"")</f>
        <v>0</v>
      </c>
      <c r="C417" s="95" t="e">
        <f>VLOOKUP(A417,bond!F:G,2,FALSE)</f>
        <v>#N/A</v>
      </c>
      <c r="D417" s="142" t="e">
        <f ca="1">VLOOKUP(B417,bond!B:C,2,FALSE)</f>
        <v>#N/A</v>
      </c>
      <c r="E417" s="95" t="e">
        <f ca="1">VLOOKUP(B417,bond!B:D,3,FALSE)</f>
        <v>#N/A</v>
      </c>
      <c r="F417" s="99" t="e">
        <f ca="1">VLOOKUP(B417,bond!B:AB,27,FALSE)</f>
        <v>#N/A</v>
      </c>
      <c r="G417" s="90" t="e">
        <f ca="1">VLOOKUP(B417,bond!B:E,4,FALSE)</f>
        <v>#N/A</v>
      </c>
      <c r="H417" s="202" t="e">
        <f ca="1">VLOOKUP(B417,bond!B:Y,24,FALSE)</f>
        <v>#N/A</v>
      </c>
      <c r="I417" s="95" t="e">
        <f ca="1">VLOOKUP(B417,bond!B:Z,25,FALSE)</f>
        <v>#N/A</v>
      </c>
      <c r="J417" s="180" t="e">
        <f ca="1">VLOOKUP(B417,bond!B:K,10,FALSE)</f>
        <v>#N/A</v>
      </c>
      <c r="K417" s="96" t="e">
        <f ca="1">VLOOKUP($B417,bond!B:S,14,FALSE)</f>
        <v>#N/A</v>
      </c>
      <c r="L417" s="91" t="e">
        <f ca="1">VLOOKUP(B417,bond!B:H,7,FALSE)</f>
        <v>#N/A</v>
      </c>
      <c r="M417" s="144" t="e">
        <f ca="1">VLOOKUP($B417,bond!$B:$Q,16,FALSE)</f>
        <v>#N/A</v>
      </c>
      <c r="N417" s="136" t="e">
        <f ca="1">VALUE(LEFT(VLOOKUP(B417,bond!B:R,17,FALSE),SEARCH(" ",VLOOKUP(B417,bond!B:R,17,FALSE),1)))</f>
        <v>#N/A</v>
      </c>
      <c r="O417" s="136" t="e">
        <f ca="1">VALUE(RIGHT(VLOOKUP(B417,bond!B:R,17,FALSE),LEN(VLOOKUP(B417,bond!B:R,17,FALSE))-LEN(N417)-3))</f>
        <v>#N/A</v>
      </c>
      <c r="P417" s="135" t="e">
        <f ca="1">VLOOKUP($B417,bond!$B:$AG,32,FALSE)</f>
        <v>#N/A</v>
      </c>
      <c r="Q417" s="135" t="e">
        <f ca="1">VLOOKUP($B417,bond!$B:$AH,33,FALSE)</f>
        <v>#N/A</v>
      </c>
      <c r="R417" s="135" t="e">
        <f ca="1">VLOOKUP(B417,bond!B:AA,26,FALSE)</f>
        <v>#N/A</v>
      </c>
      <c r="S417" s="135" t="e">
        <f ca="1">VLOOKUP(B417,bond!B:AI,34,FALSE)</f>
        <v>#N/A</v>
      </c>
      <c r="T417" s="135" t="e">
        <f t="shared" ca="1" si="42"/>
        <v>#N/A</v>
      </c>
      <c r="U417" s="207" t="e">
        <f ca="1">IFERROR(VLOOKUP(T417,Bond_DES!D:E,2,FALSE),VLOOKUP(S417,bond!AI:AJ,2,FALSE))</f>
        <v>#N/A</v>
      </c>
      <c r="V417" s="136" t="e">
        <f ca="1">IFERROR(VLOOKUP(B417,'1_重設數據'!L:M,2,FALSE),IF(Q417="政府",IF(AD417&gt;16,"(NPI)非專投",IF(AD417&gt;10,"(PI)專投","高資產")),IF(VLOOKUP(B417,bond!B:AN,39,FALSE)="Y","(PI)專投",IF(AD417&gt;=15,"(NPI)非專投",IF(AD417&gt;=10,"(PI)專投","高資產")))))</f>
        <v>#N/A</v>
      </c>
      <c r="W417" s="136" t="e">
        <f ca="1">VLOOKUP(AD417,'credit rating'!$F$2:$H$22,3,FALSE)</f>
        <v>#N/A</v>
      </c>
      <c r="X417" s="136" t="e">
        <f t="shared" ca="1" si="43"/>
        <v>#N/A</v>
      </c>
      <c r="Y417" s="136" t="e">
        <f t="shared" ca="1" si="44"/>
        <v>#N/A</v>
      </c>
      <c r="Z417" s="136" t="e">
        <f t="shared" ca="1" si="45"/>
        <v>#N/A</v>
      </c>
      <c r="AA417" s="134">
        <f ca="1">IFERROR(VLOOKUP(X417,'credit rating'!A:C,3,FALSE),0)</f>
        <v>0</v>
      </c>
      <c r="AB417" s="134">
        <f ca="1">IFERROR(VLOOKUP(Y417,'credit rating'!B:C,2,FALSE),0)</f>
        <v>0</v>
      </c>
      <c r="AC417" s="136">
        <f ca="1">IFERROR(VLOOKUP(Z417,'credit rating'!B:C,2,FALSE),0)</f>
        <v>0</v>
      </c>
      <c r="AD417" s="136">
        <f t="shared" ca="1" si="46"/>
        <v>0</v>
      </c>
      <c r="AE417" s="249" t="str">
        <f ca="1">IFERROR(VLOOKUP(B417,bond!B:U,20,FALSE),"")</f>
        <v/>
      </c>
      <c r="AF417" s="136" t="e">
        <f ca="1">IF(VLOOKUP(B417,bond!B:AK,36,FALSE)="#N/A Field Not Applicable","",VLOOKUP(B417,bond!B:AK,36,FALSE))</f>
        <v>#N/A</v>
      </c>
      <c r="AG417" s="136" t="e">
        <f ca="1">IF(VLOOKUP(B417,bond!B:AL,37,FALSE)="FIXED","固定",IF(VLOOKUP(B417,bond!B:AL,37,FALSE)="FLOATING","浮動",IF(VLOOKUP(B417,bond!B:AL,37,FALSE)="VARIABLE","變動",IF(VLOOKUP(B417,bond!B:AL,37,FALSE)="FLAT TRADING","不含息交易",IF(VLOOKUP(B417,bond!B:AL,37,FALSE)="ZERO COUPON","零息",VLOOKUP(B417,bond!B:AL,37,FALSE))))))</f>
        <v>#N/A</v>
      </c>
      <c r="AH417" s="136" t="e">
        <f>VLOOKUP(C417,'2_Check_code'!I:J,2,FALSE)</f>
        <v>#N/A</v>
      </c>
      <c r="AI417" s="136" t="e">
        <f t="shared" ca="1" si="47"/>
        <v>#N/A</v>
      </c>
      <c r="AJ417" s="136" t="e">
        <f t="shared" ca="1" si="48"/>
        <v>#N/A</v>
      </c>
      <c r="AK417" s="594" t="e">
        <f ca="1">IF(VLOOKUP(B417,bond!B:S,18,FALSE)="是","有",IF(VLOOKUP(B417,bond!B:S,18,FALSE)="NO OFFER","無","需查詢"))</f>
        <v>#N/A</v>
      </c>
      <c r="AL417" s="136" t="e">
        <f>IF(VLOOKUP(A417,bond!F:AR,39,FALSE)="#N/A Field Not Applicable",VLOOKUP(A417,bond!F:AR,38,FALSE),IFERROR(VLOOKUP(A417,'7_發行日例外'!A:B,2,FALSE),VLOOKUP(A417,bond!F:AR,39,FALSE)))</f>
        <v>#N/A</v>
      </c>
      <c r="AM417" s="136" t="e">
        <f ca="1">VLOOKUP(B417,bond!B:AK,36,FALSE)</f>
        <v>#N/A</v>
      </c>
      <c r="AN417" s="136" t="str">
        <f ca="1">IFERROR(VLOOKUP(B417,'3_是否下架'!A:A,1,FALSE),"")</f>
        <v/>
      </c>
      <c r="AO417" s="136" t="e">
        <f ca="1">VLOOKUP(B417,bond!B:J,9,FALSE)</f>
        <v>#N/A</v>
      </c>
      <c r="AP417" s="136" t="e">
        <f ca="1">VLOOKUP(B417,bond!B:V,21,FALSE)</f>
        <v>#N/A</v>
      </c>
    </row>
    <row r="418" spans="1:42">
      <c r="A418" s="141">
        <f>bond!F419</f>
        <v>0</v>
      </c>
      <c r="B418" s="151">
        <f ca="1">IF($C$1=TRUE,bond!B419,"")</f>
        <v>0</v>
      </c>
      <c r="C418" s="95" t="e">
        <f>VLOOKUP(A418,bond!F:G,2,FALSE)</f>
        <v>#N/A</v>
      </c>
      <c r="D418" s="142" t="e">
        <f ca="1">VLOOKUP(B418,bond!B:C,2,FALSE)</f>
        <v>#N/A</v>
      </c>
      <c r="E418" s="95" t="e">
        <f ca="1">VLOOKUP(B418,bond!B:D,3,FALSE)</f>
        <v>#N/A</v>
      </c>
      <c r="F418" s="99" t="e">
        <f ca="1">VLOOKUP(B418,bond!B:AB,27,FALSE)</f>
        <v>#N/A</v>
      </c>
      <c r="G418" s="90" t="e">
        <f ca="1">VLOOKUP(B418,bond!B:E,4,FALSE)</f>
        <v>#N/A</v>
      </c>
      <c r="H418" s="202" t="e">
        <f ca="1">VLOOKUP(B418,bond!B:Y,24,FALSE)</f>
        <v>#N/A</v>
      </c>
      <c r="I418" s="95" t="e">
        <f ca="1">VLOOKUP(B418,bond!B:Z,25,FALSE)</f>
        <v>#N/A</v>
      </c>
      <c r="J418" s="180" t="e">
        <f ca="1">VLOOKUP(B418,bond!B:K,10,FALSE)</f>
        <v>#N/A</v>
      </c>
      <c r="K418" s="96" t="e">
        <f ca="1">VLOOKUP($B418,bond!B:S,14,FALSE)</f>
        <v>#N/A</v>
      </c>
      <c r="L418" s="91" t="e">
        <f ca="1">VLOOKUP(B418,bond!B:H,7,FALSE)</f>
        <v>#N/A</v>
      </c>
      <c r="M418" s="144" t="e">
        <f ca="1">VLOOKUP($B418,bond!$B:$Q,16,FALSE)</f>
        <v>#N/A</v>
      </c>
      <c r="N418" s="136" t="e">
        <f ca="1">VALUE(LEFT(VLOOKUP(B418,bond!B:R,17,FALSE),SEARCH(" ",VLOOKUP(B418,bond!B:R,17,FALSE),1)))</f>
        <v>#N/A</v>
      </c>
      <c r="O418" s="136" t="e">
        <f ca="1">VALUE(RIGHT(VLOOKUP(B418,bond!B:R,17,FALSE),LEN(VLOOKUP(B418,bond!B:R,17,FALSE))-LEN(N418)-3))</f>
        <v>#N/A</v>
      </c>
      <c r="P418" s="135" t="e">
        <f ca="1">VLOOKUP($B418,bond!$B:$AG,32,FALSE)</f>
        <v>#N/A</v>
      </c>
      <c r="Q418" s="135" t="e">
        <f ca="1">VLOOKUP($B418,bond!$B:$AH,33,FALSE)</f>
        <v>#N/A</v>
      </c>
      <c r="R418" s="135" t="e">
        <f ca="1">VLOOKUP(B418,bond!B:AA,26,FALSE)</f>
        <v>#N/A</v>
      </c>
      <c r="S418" s="135" t="e">
        <f ca="1">VLOOKUP(B418,bond!B:AI,34,FALSE)</f>
        <v>#N/A</v>
      </c>
      <c r="T418" s="135" t="e">
        <f t="shared" ca="1" si="42"/>
        <v>#N/A</v>
      </c>
      <c r="U418" s="207" t="e">
        <f ca="1">IFERROR(VLOOKUP(T418,Bond_DES!D:E,2,FALSE),VLOOKUP(S418,bond!AI:AJ,2,FALSE))</f>
        <v>#N/A</v>
      </c>
      <c r="V418" s="136" t="e">
        <f ca="1">IFERROR(VLOOKUP(B418,'1_重設數據'!L:M,2,FALSE),IF(Q418="政府",IF(AD418&gt;16,"(NPI)非專投",IF(AD418&gt;10,"(PI)專投","高資產")),IF(VLOOKUP(B418,bond!B:AN,39,FALSE)="Y","(PI)專投",IF(AD418&gt;=15,"(NPI)非專投",IF(AD418&gt;=10,"(PI)專投","高資產")))))</f>
        <v>#N/A</v>
      </c>
      <c r="W418" s="136" t="e">
        <f ca="1">VLOOKUP(AD418,'credit rating'!$F$2:$H$22,3,FALSE)</f>
        <v>#N/A</v>
      </c>
      <c r="X418" s="136" t="e">
        <f t="shared" ca="1" si="43"/>
        <v>#N/A</v>
      </c>
      <c r="Y418" s="136" t="e">
        <f t="shared" ca="1" si="44"/>
        <v>#N/A</v>
      </c>
      <c r="Z418" s="136" t="e">
        <f t="shared" ca="1" si="45"/>
        <v>#N/A</v>
      </c>
      <c r="AA418" s="134">
        <f ca="1">IFERROR(VLOOKUP(X418,'credit rating'!A:C,3,FALSE),0)</f>
        <v>0</v>
      </c>
      <c r="AB418" s="134">
        <f ca="1">IFERROR(VLOOKUP(Y418,'credit rating'!B:C,2,FALSE),0)</f>
        <v>0</v>
      </c>
      <c r="AC418" s="136">
        <f ca="1">IFERROR(VLOOKUP(Z418,'credit rating'!B:C,2,FALSE),0)</f>
        <v>0</v>
      </c>
      <c r="AD418" s="136">
        <f t="shared" ca="1" si="46"/>
        <v>0</v>
      </c>
      <c r="AE418" s="249" t="str">
        <f ca="1">IFERROR(VLOOKUP(B418,bond!B:U,20,FALSE),"")</f>
        <v/>
      </c>
      <c r="AF418" s="136" t="e">
        <f ca="1">IF(VLOOKUP(B418,bond!B:AK,36,FALSE)="#N/A Field Not Applicable","",VLOOKUP(B418,bond!B:AK,36,FALSE))</f>
        <v>#N/A</v>
      </c>
      <c r="AG418" s="136" t="e">
        <f ca="1">IF(VLOOKUP(B418,bond!B:AL,37,FALSE)="FIXED","固定",IF(VLOOKUP(B418,bond!B:AL,37,FALSE)="FLOATING","浮動",IF(VLOOKUP(B418,bond!B:AL,37,FALSE)="VARIABLE","變動",IF(VLOOKUP(B418,bond!B:AL,37,FALSE)="FLAT TRADING","不含息交易",IF(VLOOKUP(B418,bond!B:AL,37,FALSE)="ZERO COUPON","零息",VLOOKUP(B418,bond!B:AL,37,FALSE))))))</f>
        <v>#N/A</v>
      </c>
      <c r="AH418" s="136" t="e">
        <f>VLOOKUP(C418,'2_Check_code'!I:J,2,FALSE)</f>
        <v>#N/A</v>
      </c>
      <c r="AI418" s="136" t="e">
        <f t="shared" ca="1" si="47"/>
        <v>#N/A</v>
      </c>
      <c r="AJ418" s="136" t="e">
        <f t="shared" ca="1" si="48"/>
        <v>#N/A</v>
      </c>
      <c r="AK418" s="594" t="e">
        <f ca="1">IF(VLOOKUP(B418,bond!B:S,18,FALSE)="是","有",IF(VLOOKUP(B418,bond!B:S,18,FALSE)="NO OFFER","無","需查詢"))</f>
        <v>#N/A</v>
      </c>
      <c r="AL418" s="136" t="e">
        <f>IF(VLOOKUP(A418,bond!F:AR,39,FALSE)="#N/A Field Not Applicable",VLOOKUP(A418,bond!F:AR,38,FALSE),IFERROR(VLOOKUP(A418,'7_發行日例外'!A:B,2,FALSE),VLOOKUP(A418,bond!F:AR,39,FALSE)))</f>
        <v>#N/A</v>
      </c>
      <c r="AM418" s="136" t="e">
        <f ca="1">VLOOKUP(B418,bond!B:AK,36,FALSE)</f>
        <v>#N/A</v>
      </c>
      <c r="AN418" s="136" t="str">
        <f ca="1">IFERROR(VLOOKUP(B418,'3_是否下架'!A:A,1,FALSE),"")</f>
        <v/>
      </c>
      <c r="AO418" s="136" t="e">
        <f ca="1">VLOOKUP(B418,bond!B:J,9,FALSE)</f>
        <v>#N/A</v>
      </c>
      <c r="AP418" s="136" t="e">
        <f ca="1">VLOOKUP(B418,bond!B:V,21,FALSE)</f>
        <v>#N/A</v>
      </c>
    </row>
    <row r="419" spans="1:42">
      <c r="A419" s="141">
        <f>bond!F420</f>
        <v>0</v>
      </c>
      <c r="B419" s="151">
        <f ca="1">IF($C$1=TRUE,bond!B420,"")</f>
        <v>0</v>
      </c>
      <c r="C419" s="95" t="e">
        <f>VLOOKUP(A419,bond!F:G,2,FALSE)</f>
        <v>#N/A</v>
      </c>
      <c r="D419" s="142" t="e">
        <f ca="1">VLOOKUP(B419,bond!B:C,2,FALSE)</f>
        <v>#N/A</v>
      </c>
      <c r="E419" s="95" t="e">
        <f ca="1">VLOOKUP(B419,bond!B:D,3,FALSE)</f>
        <v>#N/A</v>
      </c>
      <c r="F419" s="99" t="e">
        <f ca="1">VLOOKUP(B419,bond!B:AB,27,FALSE)</f>
        <v>#N/A</v>
      </c>
      <c r="G419" s="90" t="e">
        <f ca="1">VLOOKUP(B419,bond!B:E,4,FALSE)</f>
        <v>#N/A</v>
      </c>
      <c r="H419" s="202" t="e">
        <f ca="1">VLOOKUP(B419,bond!B:Y,24,FALSE)</f>
        <v>#N/A</v>
      </c>
      <c r="I419" s="95" t="e">
        <f ca="1">VLOOKUP(B419,bond!B:Z,25,FALSE)</f>
        <v>#N/A</v>
      </c>
      <c r="J419" s="180" t="e">
        <f ca="1">VLOOKUP(B419,bond!B:K,10,FALSE)</f>
        <v>#N/A</v>
      </c>
      <c r="K419" s="96" t="e">
        <f ca="1">VLOOKUP($B419,bond!B:S,14,FALSE)</f>
        <v>#N/A</v>
      </c>
      <c r="L419" s="91" t="e">
        <f ca="1">VLOOKUP(B419,bond!B:H,7,FALSE)</f>
        <v>#N/A</v>
      </c>
      <c r="M419" s="144" t="e">
        <f ca="1">VLOOKUP($B419,bond!$B:$Q,16,FALSE)</f>
        <v>#N/A</v>
      </c>
      <c r="N419" s="136" t="e">
        <f ca="1">VALUE(LEFT(VLOOKUP(B419,bond!B:R,17,FALSE),SEARCH(" ",VLOOKUP(B419,bond!B:R,17,FALSE),1)))</f>
        <v>#N/A</v>
      </c>
      <c r="O419" s="136" t="e">
        <f ca="1">VALUE(RIGHT(VLOOKUP(B419,bond!B:R,17,FALSE),LEN(VLOOKUP(B419,bond!B:R,17,FALSE))-LEN(N419)-3))</f>
        <v>#N/A</v>
      </c>
      <c r="P419" s="135" t="e">
        <f ca="1">VLOOKUP($B419,bond!$B:$AG,32,FALSE)</f>
        <v>#N/A</v>
      </c>
      <c r="Q419" s="135" t="e">
        <f ca="1">VLOOKUP($B419,bond!$B:$AH,33,FALSE)</f>
        <v>#N/A</v>
      </c>
      <c r="R419" s="135" t="e">
        <f ca="1">VLOOKUP(B419,bond!B:AA,26,FALSE)</f>
        <v>#N/A</v>
      </c>
      <c r="S419" s="135" t="e">
        <f ca="1">VLOOKUP(B419,bond!B:AI,34,FALSE)</f>
        <v>#N/A</v>
      </c>
      <c r="T419" s="135" t="e">
        <f t="shared" ca="1" si="42"/>
        <v>#N/A</v>
      </c>
      <c r="U419" s="207" t="e">
        <f ca="1">IFERROR(VLOOKUP(T419,Bond_DES!D:E,2,FALSE),VLOOKUP(S419,bond!AI:AJ,2,FALSE))</f>
        <v>#N/A</v>
      </c>
      <c r="V419" s="136" t="e">
        <f ca="1">IFERROR(VLOOKUP(B419,'1_重設數據'!L:M,2,FALSE),IF(Q419="政府",IF(AD419&gt;16,"(NPI)非專投",IF(AD419&gt;10,"(PI)專投","高資產")),IF(VLOOKUP(B419,bond!B:AN,39,FALSE)="Y","(PI)專投",IF(AD419&gt;=15,"(NPI)非專投",IF(AD419&gt;=10,"(PI)專投","高資產")))))</f>
        <v>#N/A</v>
      </c>
      <c r="W419" s="136" t="e">
        <f ca="1">VLOOKUP(AD419,'credit rating'!$F$2:$H$22,3,FALSE)</f>
        <v>#N/A</v>
      </c>
      <c r="X419" s="136" t="e">
        <f t="shared" ca="1" si="43"/>
        <v>#N/A</v>
      </c>
      <c r="Y419" s="136" t="e">
        <f t="shared" ca="1" si="44"/>
        <v>#N/A</v>
      </c>
      <c r="Z419" s="136" t="e">
        <f t="shared" ca="1" si="45"/>
        <v>#N/A</v>
      </c>
      <c r="AA419" s="134">
        <f ca="1">IFERROR(VLOOKUP(X419,'credit rating'!A:C,3,FALSE),0)</f>
        <v>0</v>
      </c>
      <c r="AB419" s="134">
        <f ca="1">IFERROR(VLOOKUP(Y419,'credit rating'!B:C,2,FALSE),0)</f>
        <v>0</v>
      </c>
      <c r="AC419" s="136">
        <f ca="1">IFERROR(VLOOKUP(Z419,'credit rating'!B:C,2,FALSE),0)</f>
        <v>0</v>
      </c>
      <c r="AD419" s="136">
        <f t="shared" ca="1" si="46"/>
        <v>0</v>
      </c>
      <c r="AE419" s="249" t="str">
        <f ca="1">IFERROR(VLOOKUP(B419,bond!B:U,20,FALSE),"")</f>
        <v/>
      </c>
      <c r="AF419" s="136" t="e">
        <f ca="1">IF(VLOOKUP(B419,bond!B:AK,36,FALSE)="#N/A Field Not Applicable","",VLOOKUP(B419,bond!B:AK,36,FALSE))</f>
        <v>#N/A</v>
      </c>
      <c r="AG419" s="136" t="e">
        <f ca="1">IF(VLOOKUP(B419,bond!B:AL,37,FALSE)="FIXED","固定",IF(VLOOKUP(B419,bond!B:AL,37,FALSE)="FLOATING","浮動",IF(VLOOKUP(B419,bond!B:AL,37,FALSE)="VARIABLE","變動",IF(VLOOKUP(B419,bond!B:AL,37,FALSE)="FLAT TRADING","不含息交易",IF(VLOOKUP(B419,bond!B:AL,37,FALSE)="ZERO COUPON","零息",VLOOKUP(B419,bond!B:AL,37,FALSE))))))</f>
        <v>#N/A</v>
      </c>
      <c r="AH419" s="136" t="e">
        <f>VLOOKUP(C419,'2_Check_code'!I:J,2,FALSE)</f>
        <v>#N/A</v>
      </c>
      <c r="AI419" s="136" t="e">
        <f t="shared" ca="1" si="47"/>
        <v>#N/A</v>
      </c>
      <c r="AJ419" s="136" t="e">
        <f t="shared" ca="1" si="48"/>
        <v>#N/A</v>
      </c>
      <c r="AK419" s="594" t="e">
        <f ca="1">IF(VLOOKUP(B419,bond!B:S,18,FALSE)="是","有",IF(VLOOKUP(B419,bond!B:S,18,FALSE)="NO OFFER","無","需查詢"))</f>
        <v>#N/A</v>
      </c>
      <c r="AL419" s="136" t="e">
        <f>IF(VLOOKUP(A419,bond!F:AR,39,FALSE)="#N/A Field Not Applicable",VLOOKUP(A419,bond!F:AR,38,FALSE),IFERROR(VLOOKUP(A419,'7_發行日例外'!A:B,2,FALSE),VLOOKUP(A419,bond!F:AR,39,FALSE)))</f>
        <v>#N/A</v>
      </c>
      <c r="AM419" s="136" t="e">
        <f ca="1">VLOOKUP(B419,bond!B:AK,36,FALSE)</f>
        <v>#N/A</v>
      </c>
      <c r="AN419" s="136" t="str">
        <f ca="1">IFERROR(VLOOKUP(B419,'3_是否下架'!A:A,1,FALSE),"")</f>
        <v/>
      </c>
      <c r="AO419" s="136" t="e">
        <f ca="1">VLOOKUP(B419,bond!B:J,9,FALSE)</f>
        <v>#N/A</v>
      </c>
      <c r="AP419" s="136" t="e">
        <f ca="1">VLOOKUP(B419,bond!B:V,21,FALSE)</f>
        <v>#N/A</v>
      </c>
    </row>
    <row r="420" spans="1:42">
      <c r="A420" s="141">
        <f>bond!F421</f>
        <v>0</v>
      </c>
      <c r="B420" s="151">
        <f ca="1">IF($C$1=TRUE,bond!B421,"")</f>
        <v>0</v>
      </c>
      <c r="C420" s="95" t="e">
        <f>VLOOKUP(A420,bond!F:G,2,FALSE)</f>
        <v>#N/A</v>
      </c>
      <c r="D420" s="142" t="e">
        <f ca="1">VLOOKUP(B420,bond!B:C,2,FALSE)</f>
        <v>#N/A</v>
      </c>
      <c r="E420" s="95" t="e">
        <f ca="1">VLOOKUP(B420,bond!B:D,3,FALSE)</f>
        <v>#N/A</v>
      </c>
      <c r="F420" s="99" t="e">
        <f ca="1">VLOOKUP(B420,bond!B:AB,27,FALSE)</f>
        <v>#N/A</v>
      </c>
      <c r="G420" s="90" t="e">
        <f ca="1">VLOOKUP(B420,bond!B:E,4,FALSE)</f>
        <v>#N/A</v>
      </c>
      <c r="H420" s="202" t="e">
        <f ca="1">VLOOKUP(B420,bond!B:Y,24,FALSE)</f>
        <v>#N/A</v>
      </c>
      <c r="I420" s="95" t="e">
        <f ca="1">VLOOKUP(B420,bond!B:Z,25,FALSE)</f>
        <v>#N/A</v>
      </c>
      <c r="J420" s="180" t="e">
        <f ca="1">VLOOKUP(B420,bond!B:K,10,FALSE)</f>
        <v>#N/A</v>
      </c>
      <c r="K420" s="96" t="e">
        <f ca="1">VLOOKUP($B420,bond!B:S,14,FALSE)</f>
        <v>#N/A</v>
      </c>
      <c r="L420" s="91" t="e">
        <f ca="1">VLOOKUP(B420,bond!B:H,7,FALSE)</f>
        <v>#N/A</v>
      </c>
      <c r="M420" s="144" t="e">
        <f ca="1">VLOOKUP($B420,bond!$B:$Q,16,FALSE)</f>
        <v>#N/A</v>
      </c>
      <c r="N420" s="136" t="e">
        <f ca="1">VALUE(LEFT(VLOOKUP(B420,bond!B:R,17,FALSE),SEARCH(" ",VLOOKUP(B420,bond!B:R,17,FALSE),1)))</f>
        <v>#N/A</v>
      </c>
      <c r="O420" s="136" t="e">
        <f ca="1">VALUE(RIGHT(VLOOKUP(B420,bond!B:R,17,FALSE),LEN(VLOOKUP(B420,bond!B:R,17,FALSE))-LEN(N420)-3))</f>
        <v>#N/A</v>
      </c>
      <c r="P420" s="135" t="e">
        <f ca="1">VLOOKUP($B420,bond!$B:$AG,32,FALSE)</f>
        <v>#N/A</v>
      </c>
      <c r="Q420" s="135" t="e">
        <f ca="1">VLOOKUP($B420,bond!$B:$AH,33,FALSE)</f>
        <v>#N/A</v>
      </c>
      <c r="R420" s="135" t="e">
        <f ca="1">VLOOKUP(B420,bond!B:AA,26,FALSE)</f>
        <v>#N/A</v>
      </c>
      <c r="S420" s="135" t="e">
        <f ca="1">VLOOKUP(B420,bond!B:AI,34,FALSE)</f>
        <v>#N/A</v>
      </c>
      <c r="T420" s="135" t="e">
        <f t="shared" ca="1" si="42"/>
        <v>#N/A</v>
      </c>
      <c r="U420" s="207" t="e">
        <f ca="1">IFERROR(VLOOKUP(T420,Bond_DES!D:E,2,FALSE),VLOOKUP(S420,bond!AI:AJ,2,FALSE))</f>
        <v>#N/A</v>
      </c>
      <c r="V420" s="136" t="e">
        <f ca="1">IFERROR(VLOOKUP(B420,'1_重設數據'!L:M,2,FALSE),IF(Q420="政府",IF(AD420&gt;16,"(NPI)非專投",IF(AD420&gt;10,"(PI)專投","高資產")),IF(VLOOKUP(B420,bond!B:AN,39,FALSE)="Y","(PI)專投",IF(AD420&gt;=15,"(NPI)非專投",IF(AD420&gt;=10,"(PI)專投","高資產")))))</f>
        <v>#N/A</v>
      </c>
      <c r="W420" s="136" t="e">
        <f ca="1">VLOOKUP(AD420,'credit rating'!$F$2:$H$22,3,FALSE)</f>
        <v>#N/A</v>
      </c>
      <c r="X420" s="136" t="e">
        <f t="shared" ca="1" si="43"/>
        <v>#N/A</v>
      </c>
      <c r="Y420" s="136" t="e">
        <f t="shared" ca="1" si="44"/>
        <v>#N/A</v>
      </c>
      <c r="Z420" s="136" t="e">
        <f t="shared" ca="1" si="45"/>
        <v>#N/A</v>
      </c>
      <c r="AA420" s="134">
        <f ca="1">IFERROR(VLOOKUP(X420,'credit rating'!A:C,3,FALSE),0)</f>
        <v>0</v>
      </c>
      <c r="AB420" s="134">
        <f ca="1">IFERROR(VLOOKUP(Y420,'credit rating'!B:C,2,FALSE),0)</f>
        <v>0</v>
      </c>
      <c r="AC420" s="136">
        <f ca="1">IFERROR(VLOOKUP(Z420,'credit rating'!B:C,2,FALSE),0)</f>
        <v>0</v>
      </c>
      <c r="AD420" s="136">
        <f t="shared" ca="1" si="46"/>
        <v>0</v>
      </c>
      <c r="AE420" s="249" t="str">
        <f ca="1">IFERROR(VLOOKUP(B420,bond!B:U,20,FALSE),"")</f>
        <v/>
      </c>
      <c r="AF420" s="136" t="e">
        <f ca="1">IF(VLOOKUP(B420,bond!B:AK,36,FALSE)="#N/A Field Not Applicable","",VLOOKUP(B420,bond!B:AK,36,FALSE))</f>
        <v>#N/A</v>
      </c>
      <c r="AG420" s="136" t="e">
        <f ca="1">IF(VLOOKUP(B420,bond!B:AL,37,FALSE)="FIXED","固定",IF(VLOOKUP(B420,bond!B:AL,37,FALSE)="FLOATING","浮動",IF(VLOOKUP(B420,bond!B:AL,37,FALSE)="VARIABLE","變動",IF(VLOOKUP(B420,bond!B:AL,37,FALSE)="FLAT TRADING","不含息交易",IF(VLOOKUP(B420,bond!B:AL,37,FALSE)="ZERO COUPON","零息",VLOOKUP(B420,bond!B:AL,37,FALSE))))))</f>
        <v>#N/A</v>
      </c>
      <c r="AH420" s="136" t="e">
        <f>VLOOKUP(C420,'2_Check_code'!I:J,2,FALSE)</f>
        <v>#N/A</v>
      </c>
      <c r="AI420" s="136" t="e">
        <f t="shared" ca="1" si="47"/>
        <v>#N/A</v>
      </c>
      <c r="AJ420" s="136" t="e">
        <f t="shared" ca="1" si="48"/>
        <v>#N/A</v>
      </c>
      <c r="AK420" s="594" t="e">
        <f ca="1">IF(VLOOKUP(B420,bond!B:S,18,FALSE)="是","有",IF(VLOOKUP(B420,bond!B:S,18,FALSE)="NO OFFER","無","需查詢"))</f>
        <v>#N/A</v>
      </c>
      <c r="AL420" s="136" t="e">
        <f>IF(VLOOKUP(A420,bond!F:AR,39,FALSE)="#N/A Field Not Applicable",VLOOKUP(A420,bond!F:AR,38,FALSE),IFERROR(VLOOKUP(A420,'7_發行日例外'!A:B,2,FALSE),VLOOKUP(A420,bond!F:AR,39,FALSE)))</f>
        <v>#N/A</v>
      </c>
      <c r="AM420" s="136" t="e">
        <f ca="1">VLOOKUP(B420,bond!B:AK,36,FALSE)</f>
        <v>#N/A</v>
      </c>
      <c r="AN420" s="136" t="str">
        <f ca="1">IFERROR(VLOOKUP(B420,'3_是否下架'!A:A,1,FALSE),"")</f>
        <v/>
      </c>
      <c r="AO420" s="136" t="e">
        <f ca="1">VLOOKUP(B420,bond!B:J,9,FALSE)</f>
        <v>#N/A</v>
      </c>
      <c r="AP420" s="136" t="e">
        <f ca="1">VLOOKUP(B420,bond!B:V,21,FALSE)</f>
        <v>#N/A</v>
      </c>
    </row>
    <row r="421" spans="1:42">
      <c r="A421" s="141">
        <f>bond!F422</f>
        <v>0</v>
      </c>
      <c r="B421" s="151">
        <f ca="1">IF($C$1=TRUE,bond!B422,"")</f>
        <v>0</v>
      </c>
      <c r="C421" s="95" t="e">
        <f>VLOOKUP(A421,bond!F:G,2,FALSE)</f>
        <v>#N/A</v>
      </c>
      <c r="D421" s="142" t="e">
        <f ca="1">VLOOKUP(B421,bond!B:C,2,FALSE)</f>
        <v>#N/A</v>
      </c>
      <c r="E421" s="95" t="e">
        <f ca="1">VLOOKUP(B421,bond!B:D,3,FALSE)</f>
        <v>#N/A</v>
      </c>
      <c r="F421" s="99" t="e">
        <f ca="1">VLOOKUP(B421,bond!B:AB,27,FALSE)</f>
        <v>#N/A</v>
      </c>
      <c r="G421" s="90" t="e">
        <f ca="1">VLOOKUP(B421,bond!B:E,4,FALSE)</f>
        <v>#N/A</v>
      </c>
      <c r="H421" s="202" t="e">
        <f ca="1">VLOOKUP(B421,bond!B:Y,24,FALSE)</f>
        <v>#N/A</v>
      </c>
      <c r="I421" s="95" t="e">
        <f ca="1">VLOOKUP(B421,bond!B:Z,25,FALSE)</f>
        <v>#N/A</v>
      </c>
      <c r="J421" s="180" t="e">
        <f ca="1">VLOOKUP(B421,bond!B:K,10,FALSE)</f>
        <v>#N/A</v>
      </c>
      <c r="K421" s="96" t="e">
        <f ca="1">VLOOKUP($B421,bond!B:S,14,FALSE)</f>
        <v>#N/A</v>
      </c>
      <c r="L421" s="91" t="e">
        <f ca="1">VLOOKUP(B421,bond!B:H,7,FALSE)</f>
        <v>#N/A</v>
      </c>
      <c r="M421" s="144" t="e">
        <f ca="1">VLOOKUP($B421,bond!$B:$Q,16,FALSE)</f>
        <v>#N/A</v>
      </c>
      <c r="N421" s="136" t="e">
        <f ca="1">VALUE(LEFT(VLOOKUP(B421,bond!B:R,17,FALSE),SEARCH(" ",VLOOKUP(B421,bond!B:R,17,FALSE),1)))</f>
        <v>#N/A</v>
      </c>
      <c r="O421" s="136" t="e">
        <f ca="1">VALUE(RIGHT(VLOOKUP(B421,bond!B:R,17,FALSE),LEN(VLOOKUP(B421,bond!B:R,17,FALSE))-LEN(N421)-3))</f>
        <v>#N/A</v>
      </c>
      <c r="P421" s="135" t="e">
        <f ca="1">VLOOKUP($B421,bond!$B:$AG,32,FALSE)</f>
        <v>#N/A</v>
      </c>
      <c r="Q421" s="135" t="e">
        <f ca="1">VLOOKUP($B421,bond!$B:$AH,33,FALSE)</f>
        <v>#N/A</v>
      </c>
      <c r="R421" s="135" t="e">
        <f ca="1">VLOOKUP(B421,bond!B:AA,26,FALSE)</f>
        <v>#N/A</v>
      </c>
      <c r="S421" s="135" t="e">
        <f ca="1">VLOOKUP(B421,bond!B:AI,34,FALSE)</f>
        <v>#N/A</v>
      </c>
      <c r="T421" s="135" t="e">
        <f t="shared" ca="1" si="42"/>
        <v>#N/A</v>
      </c>
      <c r="U421" s="207" t="e">
        <f ca="1">IFERROR(VLOOKUP(T421,Bond_DES!D:E,2,FALSE),VLOOKUP(S421,bond!AI:AJ,2,FALSE))</f>
        <v>#N/A</v>
      </c>
      <c r="V421" s="136" t="e">
        <f ca="1">IFERROR(VLOOKUP(B421,'1_重設數據'!L:M,2,FALSE),IF(Q421="政府",IF(AD421&gt;16,"(NPI)非專投",IF(AD421&gt;10,"(PI)專投","高資產")),IF(VLOOKUP(B421,bond!B:AN,39,FALSE)="Y","(PI)專投",IF(AD421&gt;=15,"(NPI)非專投",IF(AD421&gt;=10,"(PI)專投","高資產")))))</f>
        <v>#N/A</v>
      </c>
      <c r="W421" s="136" t="e">
        <f ca="1">VLOOKUP(AD421,'credit rating'!$F$2:$H$22,3,FALSE)</f>
        <v>#N/A</v>
      </c>
      <c r="X421" s="136" t="e">
        <f t="shared" ca="1" si="43"/>
        <v>#N/A</v>
      </c>
      <c r="Y421" s="136" t="e">
        <f t="shared" ca="1" si="44"/>
        <v>#N/A</v>
      </c>
      <c r="Z421" s="136" t="e">
        <f t="shared" ca="1" si="45"/>
        <v>#N/A</v>
      </c>
      <c r="AA421" s="134">
        <f ca="1">IFERROR(VLOOKUP(X421,'credit rating'!A:C,3,FALSE),0)</f>
        <v>0</v>
      </c>
      <c r="AB421" s="134">
        <f ca="1">IFERROR(VLOOKUP(Y421,'credit rating'!B:C,2,FALSE),0)</f>
        <v>0</v>
      </c>
      <c r="AC421" s="136">
        <f ca="1">IFERROR(VLOOKUP(Z421,'credit rating'!B:C,2,FALSE),0)</f>
        <v>0</v>
      </c>
      <c r="AD421" s="136">
        <f t="shared" ca="1" si="46"/>
        <v>0</v>
      </c>
      <c r="AE421" s="249" t="str">
        <f ca="1">IFERROR(VLOOKUP(B421,bond!B:U,20,FALSE),"")</f>
        <v/>
      </c>
      <c r="AF421" s="136" t="e">
        <f ca="1">IF(VLOOKUP(B421,bond!B:AK,36,FALSE)="#N/A Field Not Applicable","",VLOOKUP(B421,bond!B:AK,36,FALSE))</f>
        <v>#N/A</v>
      </c>
      <c r="AG421" s="136" t="e">
        <f ca="1">IF(VLOOKUP(B421,bond!B:AL,37,FALSE)="FIXED","固定",IF(VLOOKUP(B421,bond!B:AL,37,FALSE)="FLOATING","浮動",IF(VLOOKUP(B421,bond!B:AL,37,FALSE)="VARIABLE","變動",IF(VLOOKUP(B421,bond!B:AL,37,FALSE)="FLAT TRADING","不含息交易",IF(VLOOKUP(B421,bond!B:AL,37,FALSE)="ZERO COUPON","零息",VLOOKUP(B421,bond!B:AL,37,FALSE))))))</f>
        <v>#N/A</v>
      </c>
      <c r="AH421" s="136" t="e">
        <f>VLOOKUP(C421,'2_Check_code'!I:J,2,FALSE)</f>
        <v>#N/A</v>
      </c>
      <c r="AI421" s="136" t="e">
        <f t="shared" ca="1" si="47"/>
        <v>#N/A</v>
      </c>
      <c r="AJ421" s="136" t="e">
        <f t="shared" ca="1" si="48"/>
        <v>#N/A</v>
      </c>
      <c r="AK421" s="594" t="e">
        <f ca="1">IF(VLOOKUP(B421,bond!B:S,18,FALSE)="是","有",IF(VLOOKUP(B421,bond!B:S,18,FALSE)="NO OFFER","無","需查詢"))</f>
        <v>#N/A</v>
      </c>
      <c r="AL421" s="136" t="e">
        <f>IF(VLOOKUP(A421,bond!F:AR,39,FALSE)="#N/A Field Not Applicable",VLOOKUP(A421,bond!F:AR,38,FALSE),IFERROR(VLOOKUP(A421,'7_發行日例外'!A:B,2,FALSE),VLOOKUP(A421,bond!F:AR,39,FALSE)))</f>
        <v>#N/A</v>
      </c>
      <c r="AM421" s="136" t="e">
        <f ca="1">VLOOKUP(B421,bond!B:AK,36,FALSE)</f>
        <v>#N/A</v>
      </c>
      <c r="AN421" s="136" t="str">
        <f ca="1">IFERROR(VLOOKUP(B421,'3_是否下架'!A:A,1,FALSE),"")</f>
        <v/>
      </c>
      <c r="AO421" s="136" t="e">
        <f ca="1">VLOOKUP(B421,bond!B:J,9,FALSE)</f>
        <v>#N/A</v>
      </c>
      <c r="AP421" s="136" t="e">
        <f ca="1">VLOOKUP(B421,bond!B:V,21,FALSE)</f>
        <v>#N/A</v>
      </c>
    </row>
    <row r="422" spans="1:42">
      <c r="A422" s="141">
        <f>bond!F423</f>
        <v>0</v>
      </c>
      <c r="B422" s="151">
        <f ca="1">IF($C$1=TRUE,bond!B423,"")</f>
        <v>0</v>
      </c>
      <c r="C422" s="95" t="e">
        <f>VLOOKUP(A422,bond!F:G,2,FALSE)</f>
        <v>#N/A</v>
      </c>
      <c r="D422" s="142" t="e">
        <f ca="1">VLOOKUP(B422,bond!B:C,2,FALSE)</f>
        <v>#N/A</v>
      </c>
      <c r="E422" s="95" t="e">
        <f ca="1">VLOOKUP(B422,bond!B:D,3,FALSE)</f>
        <v>#N/A</v>
      </c>
      <c r="F422" s="99" t="e">
        <f ca="1">VLOOKUP(B422,bond!B:AB,27,FALSE)</f>
        <v>#N/A</v>
      </c>
      <c r="G422" s="90" t="e">
        <f ca="1">VLOOKUP(B422,bond!B:E,4,FALSE)</f>
        <v>#N/A</v>
      </c>
      <c r="H422" s="202" t="e">
        <f ca="1">VLOOKUP(B422,bond!B:Y,24,FALSE)</f>
        <v>#N/A</v>
      </c>
      <c r="I422" s="95" t="e">
        <f ca="1">VLOOKUP(B422,bond!B:Z,25,FALSE)</f>
        <v>#N/A</v>
      </c>
      <c r="J422" s="180" t="e">
        <f ca="1">VLOOKUP(B422,bond!B:K,10,FALSE)</f>
        <v>#N/A</v>
      </c>
      <c r="K422" s="96" t="e">
        <f ca="1">VLOOKUP($B422,bond!B:S,14,FALSE)</f>
        <v>#N/A</v>
      </c>
      <c r="L422" s="91" t="e">
        <f ca="1">VLOOKUP(B422,bond!B:H,7,FALSE)</f>
        <v>#N/A</v>
      </c>
      <c r="M422" s="144" t="e">
        <f ca="1">VLOOKUP($B422,bond!$B:$Q,16,FALSE)</f>
        <v>#N/A</v>
      </c>
      <c r="N422" s="136" t="e">
        <f ca="1">VALUE(LEFT(VLOOKUP(B422,bond!B:R,17,FALSE),SEARCH(" ",VLOOKUP(B422,bond!B:R,17,FALSE),1)))</f>
        <v>#N/A</v>
      </c>
      <c r="O422" s="136" t="e">
        <f ca="1">VALUE(RIGHT(VLOOKUP(B422,bond!B:R,17,FALSE),LEN(VLOOKUP(B422,bond!B:R,17,FALSE))-LEN(N422)-3))</f>
        <v>#N/A</v>
      </c>
      <c r="P422" s="135" t="e">
        <f ca="1">VLOOKUP($B422,bond!$B:$AG,32,FALSE)</f>
        <v>#N/A</v>
      </c>
      <c r="Q422" s="135" t="e">
        <f ca="1">VLOOKUP($B422,bond!$B:$AH,33,FALSE)</f>
        <v>#N/A</v>
      </c>
      <c r="R422" s="135" t="e">
        <f ca="1">VLOOKUP(B422,bond!B:AA,26,FALSE)</f>
        <v>#N/A</v>
      </c>
      <c r="S422" s="135" t="e">
        <f ca="1">VLOOKUP(B422,bond!B:AI,34,FALSE)</f>
        <v>#N/A</v>
      </c>
      <c r="T422" s="135" t="e">
        <f t="shared" ca="1" si="42"/>
        <v>#N/A</v>
      </c>
      <c r="U422" s="207" t="e">
        <f ca="1">IFERROR(VLOOKUP(T422,Bond_DES!D:E,2,FALSE),VLOOKUP(S422,bond!AI:AJ,2,FALSE))</f>
        <v>#N/A</v>
      </c>
      <c r="V422" s="136" t="e">
        <f ca="1">IFERROR(VLOOKUP(B422,'1_重設數據'!L:M,2,FALSE),IF(Q422="政府",IF(AD422&gt;16,"(NPI)非專投",IF(AD422&gt;10,"(PI)專投","高資產")),IF(VLOOKUP(B422,bond!B:AN,39,FALSE)="Y","(PI)專投",IF(AD422&gt;=15,"(NPI)非專投",IF(AD422&gt;=10,"(PI)專投","高資產")))))</f>
        <v>#N/A</v>
      </c>
      <c r="W422" s="136" t="e">
        <f ca="1">VLOOKUP(AD422,'credit rating'!$F$2:$H$22,3,FALSE)</f>
        <v>#N/A</v>
      </c>
      <c r="X422" s="136" t="e">
        <f t="shared" ca="1" si="43"/>
        <v>#N/A</v>
      </c>
      <c r="Y422" s="136" t="e">
        <f t="shared" ca="1" si="44"/>
        <v>#N/A</v>
      </c>
      <c r="Z422" s="136" t="e">
        <f t="shared" ca="1" si="45"/>
        <v>#N/A</v>
      </c>
      <c r="AA422" s="134">
        <f ca="1">IFERROR(VLOOKUP(X422,'credit rating'!A:C,3,FALSE),0)</f>
        <v>0</v>
      </c>
      <c r="AB422" s="134">
        <f ca="1">IFERROR(VLOOKUP(Y422,'credit rating'!B:C,2,FALSE),0)</f>
        <v>0</v>
      </c>
      <c r="AC422" s="136">
        <f ca="1">IFERROR(VLOOKUP(Z422,'credit rating'!B:C,2,FALSE),0)</f>
        <v>0</v>
      </c>
      <c r="AD422" s="136">
        <f t="shared" ca="1" si="46"/>
        <v>0</v>
      </c>
      <c r="AE422" s="249" t="str">
        <f ca="1">IFERROR(VLOOKUP(B422,bond!B:U,20,FALSE),"")</f>
        <v/>
      </c>
      <c r="AF422" s="136" t="e">
        <f ca="1">IF(VLOOKUP(B422,bond!B:AK,36,FALSE)="#N/A Field Not Applicable","",VLOOKUP(B422,bond!B:AK,36,FALSE))</f>
        <v>#N/A</v>
      </c>
      <c r="AG422" s="136" t="e">
        <f ca="1">IF(VLOOKUP(B422,bond!B:AL,37,FALSE)="FIXED","固定",IF(VLOOKUP(B422,bond!B:AL,37,FALSE)="FLOATING","浮動",IF(VLOOKUP(B422,bond!B:AL,37,FALSE)="VARIABLE","變動",IF(VLOOKUP(B422,bond!B:AL,37,FALSE)="FLAT TRADING","不含息交易",IF(VLOOKUP(B422,bond!B:AL,37,FALSE)="ZERO COUPON","零息",VLOOKUP(B422,bond!B:AL,37,FALSE))))))</f>
        <v>#N/A</v>
      </c>
      <c r="AH422" s="136" t="e">
        <f>VLOOKUP(C422,'2_Check_code'!I:J,2,FALSE)</f>
        <v>#N/A</v>
      </c>
      <c r="AI422" s="136" t="e">
        <f t="shared" ca="1" si="47"/>
        <v>#N/A</v>
      </c>
      <c r="AJ422" s="136" t="e">
        <f t="shared" ca="1" si="48"/>
        <v>#N/A</v>
      </c>
      <c r="AK422" s="594" t="e">
        <f ca="1">IF(VLOOKUP(B422,bond!B:S,18,FALSE)="是","有",IF(VLOOKUP(B422,bond!B:S,18,FALSE)="NO OFFER","無","需查詢"))</f>
        <v>#N/A</v>
      </c>
      <c r="AL422" s="136" t="e">
        <f>IF(VLOOKUP(A422,bond!F:AR,39,FALSE)="#N/A Field Not Applicable",VLOOKUP(A422,bond!F:AR,38,FALSE),IFERROR(VLOOKUP(A422,'7_發行日例外'!A:B,2,FALSE),VLOOKUP(A422,bond!F:AR,39,FALSE)))</f>
        <v>#N/A</v>
      </c>
      <c r="AM422" s="136" t="e">
        <f ca="1">VLOOKUP(B422,bond!B:AK,36,FALSE)</f>
        <v>#N/A</v>
      </c>
      <c r="AN422" s="136" t="str">
        <f ca="1">IFERROR(VLOOKUP(B422,'3_是否下架'!A:A,1,FALSE),"")</f>
        <v/>
      </c>
      <c r="AO422" s="136" t="e">
        <f ca="1">VLOOKUP(B422,bond!B:J,9,FALSE)</f>
        <v>#N/A</v>
      </c>
      <c r="AP422" s="136" t="e">
        <f ca="1">VLOOKUP(B422,bond!B:V,21,FALSE)</f>
        <v>#N/A</v>
      </c>
    </row>
    <row r="423" spans="1:42">
      <c r="A423" s="141">
        <f>bond!F424</f>
        <v>0</v>
      </c>
      <c r="B423" s="151">
        <f ca="1">IF($C$1=TRUE,bond!B424,"")</f>
        <v>0</v>
      </c>
      <c r="C423" s="95" t="e">
        <f>VLOOKUP(A423,bond!F:G,2,FALSE)</f>
        <v>#N/A</v>
      </c>
      <c r="D423" s="142" t="e">
        <f ca="1">VLOOKUP(B423,bond!B:C,2,FALSE)</f>
        <v>#N/A</v>
      </c>
      <c r="E423" s="95" t="e">
        <f ca="1">VLOOKUP(B423,bond!B:D,3,FALSE)</f>
        <v>#N/A</v>
      </c>
      <c r="F423" s="99" t="e">
        <f ca="1">VLOOKUP(B423,bond!B:AB,27,FALSE)</f>
        <v>#N/A</v>
      </c>
      <c r="G423" s="90" t="e">
        <f ca="1">VLOOKUP(B423,bond!B:E,4,FALSE)</f>
        <v>#N/A</v>
      </c>
      <c r="H423" s="202" t="e">
        <f ca="1">VLOOKUP(B423,bond!B:Y,24,FALSE)</f>
        <v>#N/A</v>
      </c>
      <c r="I423" s="95" t="e">
        <f ca="1">VLOOKUP(B423,bond!B:Z,25,FALSE)</f>
        <v>#N/A</v>
      </c>
      <c r="J423" s="180" t="e">
        <f ca="1">VLOOKUP(B423,bond!B:K,10,FALSE)</f>
        <v>#N/A</v>
      </c>
      <c r="K423" s="96" t="e">
        <f ca="1">VLOOKUP($B423,bond!B:S,14,FALSE)</f>
        <v>#N/A</v>
      </c>
      <c r="L423" s="91" t="e">
        <f ca="1">VLOOKUP(B423,bond!B:H,7,FALSE)</f>
        <v>#N/A</v>
      </c>
      <c r="M423" s="144" t="e">
        <f ca="1">VLOOKUP($B423,bond!$B:$Q,16,FALSE)</f>
        <v>#N/A</v>
      </c>
      <c r="N423" s="136" t="e">
        <f ca="1">VALUE(LEFT(VLOOKUP(B423,bond!B:R,17,FALSE),SEARCH(" ",VLOOKUP(B423,bond!B:R,17,FALSE),1)))</f>
        <v>#N/A</v>
      </c>
      <c r="O423" s="136" t="e">
        <f ca="1">VALUE(RIGHT(VLOOKUP(B423,bond!B:R,17,FALSE),LEN(VLOOKUP(B423,bond!B:R,17,FALSE))-LEN(N423)-3))</f>
        <v>#N/A</v>
      </c>
      <c r="P423" s="135" t="e">
        <f ca="1">VLOOKUP($B423,bond!$B:$AG,32,FALSE)</f>
        <v>#N/A</v>
      </c>
      <c r="Q423" s="135" t="e">
        <f ca="1">VLOOKUP($B423,bond!$B:$AH,33,FALSE)</f>
        <v>#N/A</v>
      </c>
      <c r="R423" s="135" t="e">
        <f ca="1">VLOOKUP(B423,bond!B:AA,26,FALSE)</f>
        <v>#N/A</v>
      </c>
      <c r="S423" s="135" t="e">
        <f ca="1">VLOOKUP(B423,bond!B:AI,34,FALSE)</f>
        <v>#N/A</v>
      </c>
      <c r="T423" s="135" t="e">
        <f t="shared" ca="1" si="42"/>
        <v>#N/A</v>
      </c>
      <c r="U423" s="207" t="e">
        <f ca="1">IFERROR(VLOOKUP(T423,Bond_DES!D:E,2,FALSE),VLOOKUP(S423,bond!AI:AJ,2,FALSE))</f>
        <v>#N/A</v>
      </c>
      <c r="V423" s="136" t="e">
        <f ca="1">IFERROR(VLOOKUP(B423,'1_重設數據'!L:M,2,FALSE),IF(Q423="政府",IF(AD423&gt;16,"(NPI)非專投",IF(AD423&gt;10,"(PI)專投","高資產")),IF(VLOOKUP(B423,bond!B:AN,39,FALSE)="Y","(PI)專投",IF(AD423&gt;=15,"(NPI)非專投",IF(AD423&gt;=10,"(PI)專投","高資產")))))</f>
        <v>#N/A</v>
      </c>
      <c r="W423" s="136" t="e">
        <f ca="1">VLOOKUP(AD423,'credit rating'!$F$2:$H$22,3,FALSE)</f>
        <v>#N/A</v>
      </c>
      <c r="X423" s="136" t="e">
        <f t="shared" ca="1" si="43"/>
        <v>#N/A</v>
      </c>
      <c r="Y423" s="136" t="e">
        <f t="shared" ca="1" si="44"/>
        <v>#N/A</v>
      </c>
      <c r="Z423" s="136" t="e">
        <f t="shared" ca="1" si="45"/>
        <v>#N/A</v>
      </c>
      <c r="AA423" s="134">
        <f ca="1">IFERROR(VLOOKUP(X423,'credit rating'!A:C,3,FALSE),0)</f>
        <v>0</v>
      </c>
      <c r="AB423" s="134">
        <f ca="1">IFERROR(VLOOKUP(Y423,'credit rating'!B:C,2,FALSE),0)</f>
        <v>0</v>
      </c>
      <c r="AC423" s="136">
        <f ca="1">IFERROR(VLOOKUP(Z423,'credit rating'!B:C,2,FALSE),0)</f>
        <v>0</v>
      </c>
      <c r="AD423" s="136">
        <f t="shared" ca="1" si="46"/>
        <v>0</v>
      </c>
      <c r="AE423" s="249" t="str">
        <f ca="1">IFERROR(VLOOKUP(B423,bond!B:U,20,FALSE),"")</f>
        <v/>
      </c>
      <c r="AF423" s="136" t="e">
        <f ca="1">IF(VLOOKUP(B423,bond!B:AK,36,FALSE)="#N/A Field Not Applicable","",VLOOKUP(B423,bond!B:AK,36,FALSE))</f>
        <v>#N/A</v>
      </c>
      <c r="AG423" s="136" t="e">
        <f ca="1">IF(VLOOKUP(B423,bond!B:AL,37,FALSE)="FIXED","固定",IF(VLOOKUP(B423,bond!B:AL,37,FALSE)="FLOATING","浮動",IF(VLOOKUP(B423,bond!B:AL,37,FALSE)="VARIABLE","變動",IF(VLOOKUP(B423,bond!B:AL,37,FALSE)="FLAT TRADING","不含息交易",IF(VLOOKUP(B423,bond!B:AL,37,FALSE)="ZERO COUPON","零息",VLOOKUP(B423,bond!B:AL,37,FALSE))))))</f>
        <v>#N/A</v>
      </c>
      <c r="AH423" s="136" t="e">
        <f>VLOOKUP(C423,'2_Check_code'!I:J,2,FALSE)</f>
        <v>#N/A</v>
      </c>
      <c r="AI423" s="136" t="e">
        <f t="shared" ca="1" si="47"/>
        <v>#N/A</v>
      </c>
      <c r="AJ423" s="136" t="e">
        <f t="shared" ca="1" si="48"/>
        <v>#N/A</v>
      </c>
      <c r="AK423" s="594" t="e">
        <f ca="1">IF(VLOOKUP(B423,bond!B:S,18,FALSE)="是","有",IF(VLOOKUP(B423,bond!B:S,18,FALSE)="NO OFFER","無","需查詢"))</f>
        <v>#N/A</v>
      </c>
      <c r="AL423" s="136" t="e">
        <f>IF(VLOOKUP(A423,bond!F:AR,39,FALSE)="#N/A Field Not Applicable",VLOOKUP(A423,bond!F:AR,38,FALSE),IFERROR(VLOOKUP(A423,'7_發行日例外'!A:B,2,FALSE),VLOOKUP(A423,bond!F:AR,39,FALSE)))</f>
        <v>#N/A</v>
      </c>
      <c r="AM423" s="136" t="e">
        <f ca="1">VLOOKUP(B423,bond!B:AK,36,FALSE)</f>
        <v>#N/A</v>
      </c>
      <c r="AN423" s="136" t="str">
        <f ca="1">IFERROR(VLOOKUP(B423,'3_是否下架'!A:A,1,FALSE),"")</f>
        <v/>
      </c>
      <c r="AO423" s="136" t="e">
        <f ca="1">VLOOKUP(B423,bond!B:J,9,FALSE)</f>
        <v>#N/A</v>
      </c>
      <c r="AP423" s="136" t="e">
        <f ca="1">VLOOKUP(B423,bond!B:V,21,FALSE)</f>
        <v>#N/A</v>
      </c>
    </row>
    <row r="424" spans="1:42">
      <c r="A424" s="141">
        <f>bond!F425</f>
        <v>0</v>
      </c>
      <c r="B424" s="151">
        <f ca="1">IF($C$1=TRUE,bond!B425,"")</f>
        <v>0</v>
      </c>
      <c r="C424" s="95" t="e">
        <f>VLOOKUP(A424,bond!F:G,2,FALSE)</f>
        <v>#N/A</v>
      </c>
      <c r="D424" s="142" t="e">
        <f ca="1">VLOOKUP(B424,bond!B:C,2,FALSE)</f>
        <v>#N/A</v>
      </c>
      <c r="E424" s="95" t="e">
        <f ca="1">VLOOKUP(B424,bond!B:D,3,FALSE)</f>
        <v>#N/A</v>
      </c>
      <c r="F424" s="99" t="e">
        <f ca="1">VLOOKUP(B424,bond!B:AB,27,FALSE)</f>
        <v>#N/A</v>
      </c>
      <c r="G424" s="90" t="e">
        <f ca="1">VLOOKUP(B424,bond!B:E,4,FALSE)</f>
        <v>#N/A</v>
      </c>
      <c r="H424" s="202" t="e">
        <f ca="1">VLOOKUP(B424,bond!B:Y,24,FALSE)</f>
        <v>#N/A</v>
      </c>
      <c r="I424" s="95" t="e">
        <f ca="1">VLOOKUP(B424,bond!B:Z,25,FALSE)</f>
        <v>#N/A</v>
      </c>
      <c r="J424" s="180" t="e">
        <f ca="1">VLOOKUP(B424,bond!B:K,10,FALSE)</f>
        <v>#N/A</v>
      </c>
      <c r="K424" s="96" t="e">
        <f ca="1">VLOOKUP($B424,bond!B:S,14,FALSE)</f>
        <v>#N/A</v>
      </c>
      <c r="L424" s="91" t="e">
        <f ca="1">VLOOKUP(B424,bond!B:H,7,FALSE)</f>
        <v>#N/A</v>
      </c>
      <c r="M424" s="144" t="e">
        <f ca="1">VLOOKUP($B424,bond!$B:$Q,16,FALSE)</f>
        <v>#N/A</v>
      </c>
      <c r="N424" s="136" t="e">
        <f ca="1">VALUE(LEFT(VLOOKUP(B424,bond!B:R,17,FALSE),SEARCH(" ",VLOOKUP(B424,bond!B:R,17,FALSE),1)))</f>
        <v>#N/A</v>
      </c>
      <c r="O424" s="136" t="e">
        <f ca="1">VALUE(RIGHT(VLOOKUP(B424,bond!B:R,17,FALSE),LEN(VLOOKUP(B424,bond!B:R,17,FALSE))-LEN(N424)-3))</f>
        <v>#N/A</v>
      </c>
      <c r="P424" s="135" t="e">
        <f ca="1">VLOOKUP($B424,bond!$B:$AG,32,FALSE)</f>
        <v>#N/A</v>
      </c>
      <c r="Q424" s="135" t="e">
        <f ca="1">VLOOKUP($B424,bond!$B:$AH,33,FALSE)</f>
        <v>#N/A</v>
      </c>
      <c r="R424" s="135" t="e">
        <f ca="1">VLOOKUP(B424,bond!B:AA,26,FALSE)</f>
        <v>#N/A</v>
      </c>
      <c r="S424" s="135" t="e">
        <f ca="1">VLOOKUP(B424,bond!B:AI,34,FALSE)</f>
        <v>#N/A</v>
      </c>
      <c r="T424" s="135" t="e">
        <f t="shared" ca="1" si="42"/>
        <v>#N/A</v>
      </c>
      <c r="U424" s="207" t="e">
        <f ca="1">IFERROR(VLOOKUP(T424,Bond_DES!D:E,2,FALSE),VLOOKUP(S424,bond!AI:AJ,2,FALSE))</f>
        <v>#N/A</v>
      </c>
      <c r="V424" s="136" t="e">
        <f ca="1">IFERROR(VLOOKUP(B424,'1_重設數據'!L:M,2,FALSE),IF(Q424="政府",IF(AD424&gt;16,"(NPI)非專投",IF(AD424&gt;10,"(PI)專投","高資產")),IF(VLOOKUP(B424,bond!B:AN,39,FALSE)="Y","(PI)專投",IF(AD424&gt;=15,"(NPI)非專投",IF(AD424&gt;=10,"(PI)專投","高資產")))))</f>
        <v>#N/A</v>
      </c>
      <c r="W424" s="136" t="e">
        <f ca="1">VLOOKUP(AD424,'credit rating'!$F$2:$H$22,3,FALSE)</f>
        <v>#N/A</v>
      </c>
      <c r="X424" s="136" t="e">
        <f t="shared" ca="1" si="43"/>
        <v>#N/A</v>
      </c>
      <c r="Y424" s="136" t="e">
        <f t="shared" ca="1" si="44"/>
        <v>#N/A</v>
      </c>
      <c r="Z424" s="136" t="e">
        <f t="shared" ca="1" si="45"/>
        <v>#N/A</v>
      </c>
      <c r="AA424" s="134">
        <f ca="1">IFERROR(VLOOKUP(X424,'credit rating'!A:C,3,FALSE),0)</f>
        <v>0</v>
      </c>
      <c r="AB424" s="134">
        <f ca="1">IFERROR(VLOOKUP(Y424,'credit rating'!B:C,2,FALSE),0)</f>
        <v>0</v>
      </c>
      <c r="AC424" s="136">
        <f ca="1">IFERROR(VLOOKUP(Z424,'credit rating'!B:C,2,FALSE),0)</f>
        <v>0</v>
      </c>
      <c r="AD424" s="136">
        <f t="shared" ca="1" si="46"/>
        <v>0</v>
      </c>
      <c r="AE424" s="249" t="str">
        <f ca="1">IFERROR(VLOOKUP(B424,bond!B:U,20,FALSE),"")</f>
        <v/>
      </c>
      <c r="AF424" s="136" t="e">
        <f ca="1">IF(VLOOKUP(B424,bond!B:AK,36,FALSE)="#N/A Field Not Applicable","",VLOOKUP(B424,bond!B:AK,36,FALSE))</f>
        <v>#N/A</v>
      </c>
      <c r="AG424" s="136" t="e">
        <f ca="1">IF(VLOOKUP(B424,bond!B:AL,37,FALSE)="FIXED","固定",IF(VLOOKUP(B424,bond!B:AL,37,FALSE)="FLOATING","浮動",IF(VLOOKUP(B424,bond!B:AL,37,FALSE)="VARIABLE","變動",IF(VLOOKUP(B424,bond!B:AL,37,FALSE)="FLAT TRADING","不含息交易",IF(VLOOKUP(B424,bond!B:AL,37,FALSE)="ZERO COUPON","零息",VLOOKUP(B424,bond!B:AL,37,FALSE))))))</f>
        <v>#N/A</v>
      </c>
      <c r="AH424" s="136" t="e">
        <f>VLOOKUP(C424,'2_Check_code'!I:J,2,FALSE)</f>
        <v>#N/A</v>
      </c>
      <c r="AI424" s="136" t="e">
        <f t="shared" ca="1" si="47"/>
        <v>#N/A</v>
      </c>
      <c r="AJ424" s="136" t="e">
        <f t="shared" ca="1" si="48"/>
        <v>#N/A</v>
      </c>
      <c r="AK424" s="594" t="e">
        <f ca="1">IF(VLOOKUP(B424,bond!B:S,18,FALSE)="是","有",IF(VLOOKUP(B424,bond!B:S,18,FALSE)="NO OFFER","無","需查詢"))</f>
        <v>#N/A</v>
      </c>
      <c r="AL424" s="136" t="e">
        <f>IF(VLOOKUP(A424,bond!F:AR,39,FALSE)="#N/A Field Not Applicable",VLOOKUP(A424,bond!F:AR,38,FALSE),IFERROR(VLOOKUP(A424,'7_發行日例外'!A:B,2,FALSE),VLOOKUP(A424,bond!F:AR,39,FALSE)))</f>
        <v>#N/A</v>
      </c>
      <c r="AM424" s="136" t="e">
        <f ca="1">VLOOKUP(B424,bond!B:AK,36,FALSE)</f>
        <v>#N/A</v>
      </c>
      <c r="AN424" s="136" t="str">
        <f ca="1">IFERROR(VLOOKUP(B424,'3_是否下架'!A:A,1,FALSE),"")</f>
        <v/>
      </c>
      <c r="AO424" s="136" t="e">
        <f ca="1">VLOOKUP(B424,bond!B:J,9,FALSE)</f>
        <v>#N/A</v>
      </c>
      <c r="AP424" s="136" t="e">
        <f ca="1">VLOOKUP(B424,bond!B:V,21,FALSE)</f>
        <v>#N/A</v>
      </c>
    </row>
    <row r="425" spans="1:42">
      <c r="A425" s="141">
        <f>bond!F426</f>
        <v>0</v>
      </c>
      <c r="B425" s="151">
        <f ca="1">IF($C$1=TRUE,bond!B426,"")</f>
        <v>0</v>
      </c>
      <c r="C425" s="95" t="e">
        <f>VLOOKUP(A425,bond!F:G,2,FALSE)</f>
        <v>#N/A</v>
      </c>
      <c r="D425" s="142" t="e">
        <f ca="1">VLOOKUP(B425,bond!B:C,2,FALSE)</f>
        <v>#N/A</v>
      </c>
      <c r="E425" s="95" t="e">
        <f ca="1">VLOOKUP(B425,bond!B:D,3,FALSE)</f>
        <v>#N/A</v>
      </c>
      <c r="F425" s="99" t="e">
        <f ca="1">VLOOKUP(B425,bond!B:AB,27,FALSE)</f>
        <v>#N/A</v>
      </c>
      <c r="G425" s="90" t="e">
        <f ca="1">VLOOKUP(B425,bond!B:E,4,FALSE)</f>
        <v>#N/A</v>
      </c>
      <c r="H425" s="202" t="e">
        <f ca="1">VLOOKUP(B425,bond!B:Y,24,FALSE)</f>
        <v>#N/A</v>
      </c>
      <c r="I425" s="95" t="e">
        <f ca="1">VLOOKUP(B425,bond!B:Z,25,FALSE)</f>
        <v>#N/A</v>
      </c>
      <c r="J425" s="180" t="e">
        <f ca="1">VLOOKUP(B425,bond!B:K,10,FALSE)</f>
        <v>#N/A</v>
      </c>
      <c r="K425" s="96" t="e">
        <f ca="1">VLOOKUP($B425,bond!B:S,14,FALSE)</f>
        <v>#N/A</v>
      </c>
      <c r="L425" s="91" t="e">
        <f ca="1">VLOOKUP(B425,bond!B:H,7,FALSE)</f>
        <v>#N/A</v>
      </c>
      <c r="M425" s="144" t="e">
        <f ca="1">VLOOKUP($B425,bond!$B:$Q,16,FALSE)</f>
        <v>#N/A</v>
      </c>
      <c r="N425" s="136" t="e">
        <f ca="1">VALUE(LEFT(VLOOKUP(B425,bond!B:R,17,FALSE),SEARCH(" ",VLOOKUP(B425,bond!B:R,17,FALSE),1)))</f>
        <v>#N/A</v>
      </c>
      <c r="O425" s="136" t="e">
        <f ca="1">VALUE(RIGHT(VLOOKUP(B425,bond!B:R,17,FALSE),LEN(VLOOKUP(B425,bond!B:R,17,FALSE))-LEN(N425)-3))</f>
        <v>#N/A</v>
      </c>
      <c r="P425" s="135" t="e">
        <f ca="1">VLOOKUP($B425,bond!$B:$AG,32,FALSE)</f>
        <v>#N/A</v>
      </c>
      <c r="Q425" s="135" t="e">
        <f ca="1">VLOOKUP($B425,bond!$B:$AH,33,FALSE)</f>
        <v>#N/A</v>
      </c>
      <c r="R425" s="135" t="e">
        <f ca="1">VLOOKUP(B425,bond!B:AA,26,FALSE)</f>
        <v>#N/A</v>
      </c>
      <c r="S425" s="135" t="e">
        <f ca="1">VLOOKUP(B425,bond!B:AI,34,FALSE)</f>
        <v>#N/A</v>
      </c>
      <c r="T425" s="135" t="e">
        <f t="shared" ca="1" si="42"/>
        <v>#N/A</v>
      </c>
      <c r="U425" s="207" t="e">
        <f ca="1">IFERROR(VLOOKUP(T425,Bond_DES!D:E,2,FALSE),VLOOKUP(S425,bond!AI:AJ,2,FALSE))</f>
        <v>#N/A</v>
      </c>
      <c r="V425" s="136" t="e">
        <f ca="1">IFERROR(VLOOKUP(B425,'1_重設數據'!L:M,2,FALSE),IF(Q425="政府",IF(AD425&gt;16,"(NPI)非專投",IF(AD425&gt;10,"(PI)專投","高資產")),IF(VLOOKUP(B425,bond!B:AN,39,FALSE)="Y","(PI)專投",IF(AD425&gt;=15,"(NPI)非專投",IF(AD425&gt;=10,"(PI)專投","高資產")))))</f>
        <v>#N/A</v>
      </c>
      <c r="W425" s="136" t="e">
        <f ca="1">VLOOKUP(AD425,'credit rating'!$F$2:$H$22,3,FALSE)</f>
        <v>#N/A</v>
      </c>
      <c r="X425" s="136" t="e">
        <f t="shared" ca="1" si="43"/>
        <v>#N/A</v>
      </c>
      <c r="Y425" s="136" t="e">
        <f t="shared" ca="1" si="44"/>
        <v>#N/A</v>
      </c>
      <c r="Z425" s="136" t="e">
        <f t="shared" ca="1" si="45"/>
        <v>#N/A</v>
      </c>
      <c r="AA425" s="134">
        <f ca="1">IFERROR(VLOOKUP(X425,'credit rating'!A:C,3,FALSE),0)</f>
        <v>0</v>
      </c>
      <c r="AB425" s="134">
        <f ca="1">IFERROR(VLOOKUP(Y425,'credit rating'!B:C,2,FALSE),0)</f>
        <v>0</v>
      </c>
      <c r="AC425" s="136">
        <f ca="1">IFERROR(VLOOKUP(Z425,'credit rating'!B:C,2,FALSE),0)</f>
        <v>0</v>
      </c>
      <c r="AD425" s="136">
        <f t="shared" ca="1" si="46"/>
        <v>0</v>
      </c>
      <c r="AE425" s="249" t="str">
        <f ca="1">IFERROR(VLOOKUP(B425,bond!B:U,20,FALSE),"")</f>
        <v/>
      </c>
      <c r="AF425" s="136" t="e">
        <f ca="1">IF(VLOOKUP(B425,bond!B:AK,36,FALSE)="#N/A Field Not Applicable","",VLOOKUP(B425,bond!B:AK,36,FALSE))</f>
        <v>#N/A</v>
      </c>
      <c r="AG425" s="136" t="e">
        <f ca="1">IF(VLOOKUP(B425,bond!B:AL,37,FALSE)="FIXED","固定",IF(VLOOKUP(B425,bond!B:AL,37,FALSE)="FLOATING","浮動",IF(VLOOKUP(B425,bond!B:AL,37,FALSE)="VARIABLE","變動",IF(VLOOKUP(B425,bond!B:AL,37,FALSE)="FLAT TRADING","不含息交易",IF(VLOOKUP(B425,bond!B:AL,37,FALSE)="ZERO COUPON","零息",VLOOKUP(B425,bond!B:AL,37,FALSE))))))</f>
        <v>#N/A</v>
      </c>
      <c r="AH425" s="136" t="e">
        <f>VLOOKUP(C425,'2_Check_code'!I:J,2,FALSE)</f>
        <v>#N/A</v>
      </c>
      <c r="AI425" s="136" t="e">
        <f t="shared" ca="1" si="47"/>
        <v>#N/A</v>
      </c>
      <c r="AJ425" s="136" t="e">
        <f t="shared" ca="1" si="48"/>
        <v>#N/A</v>
      </c>
      <c r="AK425" s="594" t="e">
        <f ca="1">IF(VLOOKUP(B425,bond!B:S,18,FALSE)="是","有",IF(VLOOKUP(B425,bond!B:S,18,FALSE)="NO OFFER","無","需查詢"))</f>
        <v>#N/A</v>
      </c>
      <c r="AL425" s="136" t="e">
        <f>IF(VLOOKUP(A425,bond!F:AR,39,FALSE)="#N/A Field Not Applicable",VLOOKUP(A425,bond!F:AR,38,FALSE),IFERROR(VLOOKUP(A425,'7_發行日例外'!A:B,2,FALSE),VLOOKUP(A425,bond!F:AR,39,FALSE)))</f>
        <v>#N/A</v>
      </c>
      <c r="AM425" s="136" t="e">
        <f ca="1">VLOOKUP(B425,bond!B:AK,36,FALSE)</f>
        <v>#N/A</v>
      </c>
      <c r="AN425" s="136" t="str">
        <f ca="1">IFERROR(VLOOKUP(B425,'3_是否下架'!A:A,1,FALSE),"")</f>
        <v/>
      </c>
      <c r="AO425" s="136" t="e">
        <f ca="1">VLOOKUP(B425,bond!B:J,9,FALSE)</f>
        <v>#N/A</v>
      </c>
      <c r="AP425" s="136" t="e">
        <f ca="1">VLOOKUP(B425,bond!B:V,21,FALSE)</f>
        <v>#N/A</v>
      </c>
    </row>
    <row r="426" spans="1:42">
      <c r="A426" s="141">
        <f>bond!F427</f>
        <v>0</v>
      </c>
      <c r="B426" s="151">
        <f ca="1">IF($C$1=TRUE,bond!B427,"")</f>
        <v>0</v>
      </c>
      <c r="C426" s="95" t="e">
        <f>VLOOKUP(A426,bond!F:G,2,FALSE)</f>
        <v>#N/A</v>
      </c>
      <c r="D426" s="142" t="e">
        <f ca="1">VLOOKUP(B426,bond!B:C,2,FALSE)</f>
        <v>#N/A</v>
      </c>
      <c r="E426" s="95" t="e">
        <f ca="1">VLOOKUP(B426,bond!B:D,3,FALSE)</f>
        <v>#N/A</v>
      </c>
      <c r="F426" s="99" t="e">
        <f ca="1">VLOOKUP(B426,bond!B:AB,27,FALSE)</f>
        <v>#N/A</v>
      </c>
      <c r="G426" s="90" t="e">
        <f ca="1">VLOOKUP(B426,bond!B:E,4,FALSE)</f>
        <v>#N/A</v>
      </c>
      <c r="H426" s="202" t="e">
        <f ca="1">VLOOKUP(B426,bond!B:Y,24,FALSE)</f>
        <v>#N/A</v>
      </c>
      <c r="I426" s="95" t="e">
        <f ca="1">VLOOKUP(B426,bond!B:Z,25,FALSE)</f>
        <v>#N/A</v>
      </c>
      <c r="J426" s="180" t="e">
        <f ca="1">VLOOKUP(B426,bond!B:K,10,FALSE)</f>
        <v>#N/A</v>
      </c>
      <c r="K426" s="96" t="e">
        <f ca="1">VLOOKUP($B426,bond!B:S,14,FALSE)</f>
        <v>#N/A</v>
      </c>
      <c r="L426" s="91" t="e">
        <f ca="1">VLOOKUP(B426,bond!B:H,7,FALSE)</f>
        <v>#N/A</v>
      </c>
      <c r="M426" s="144" t="e">
        <f ca="1">VLOOKUP($B426,bond!$B:$Q,16,FALSE)</f>
        <v>#N/A</v>
      </c>
      <c r="N426" s="136" t="e">
        <f ca="1">VALUE(LEFT(VLOOKUP(B426,bond!B:R,17,FALSE),SEARCH(" ",VLOOKUP(B426,bond!B:R,17,FALSE),1)))</f>
        <v>#N/A</v>
      </c>
      <c r="O426" s="136" t="e">
        <f ca="1">VALUE(RIGHT(VLOOKUP(B426,bond!B:R,17,FALSE),LEN(VLOOKUP(B426,bond!B:R,17,FALSE))-LEN(N426)-3))</f>
        <v>#N/A</v>
      </c>
      <c r="P426" s="135" t="e">
        <f ca="1">VLOOKUP($B426,bond!$B:$AG,32,FALSE)</f>
        <v>#N/A</v>
      </c>
      <c r="Q426" s="135" t="e">
        <f ca="1">VLOOKUP($B426,bond!$B:$AH,33,FALSE)</f>
        <v>#N/A</v>
      </c>
      <c r="R426" s="135" t="e">
        <f ca="1">VLOOKUP(B426,bond!B:AA,26,FALSE)</f>
        <v>#N/A</v>
      </c>
      <c r="S426" s="135" t="e">
        <f ca="1">VLOOKUP(B426,bond!B:AI,34,FALSE)</f>
        <v>#N/A</v>
      </c>
      <c r="T426" s="135" t="e">
        <f t="shared" ca="1" si="42"/>
        <v>#N/A</v>
      </c>
      <c r="U426" s="207" t="e">
        <f ca="1">IFERROR(VLOOKUP(T426,Bond_DES!D:E,2,FALSE),VLOOKUP(S426,bond!AI:AJ,2,FALSE))</f>
        <v>#N/A</v>
      </c>
      <c r="V426" s="136" t="e">
        <f ca="1">IFERROR(VLOOKUP(B426,'1_重設數據'!L:M,2,FALSE),IF(Q426="政府",IF(AD426&gt;16,"(NPI)非專投",IF(AD426&gt;10,"(PI)專投","高資產")),IF(VLOOKUP(B426,bond!B:AN,39,FALSE)="Y","(PI)專投",IF(AD426&gt;=15,"(NPI)非專投",IF(AD426&gt;=10,"(PI)專投","高資產")))))</f>
        <v>#N/A</v>
      </c>
      <c r="W426" s="136" t="e">
        <f ca="1">VLOOKUP(AD426,'credit rating'!$F$2:$H$22,3,FALSE)</f>
        <v>#N/A</v>
      </c>
      <c r="X426" s="136" t="e">
        <f t="shared" ca="1" si="43"/>
        <v>#N/A</v>
      </c>
      <c r="Y426" s="136" t="e">
        <f t="shared" ca="1" si="44"/>
        <v>#N/A</v>
      </c>
      <c r="Z426" s="136" t="e">
        <f t="shared" ca="1" si="45"/>
        <v>#N/A</v>
      </c>
      <c r="AA426" s="134">
        <f ca="1">IFERROR(VLOOKUP(X426,'credit rating'!A:C,3,FALSE),0)</f>
        <v>0</v>
      </c>
      <c r="AB426" s="134">
        <f ca="1">IFERROR(VLOOKUP(Y426,'credit rating'!B:C,2,FALSE),0)</f>
        <v>0</v>
      </c>
      <c r="AC426" s="136">
        <f ca="1">IFERROR(VLOOKUP(Z426,'credit rating'!B:C,2,FALSE),0)</f>
        <v>0</v>
      </c>
      <c r="AD426" s="136">
        <f t="shared" ca="1" si="46"/>
        <v>0</v>
      </c>
      <c r="AE426" s="249" t="str">
        <f ca="1">IFERROR(VLOOKUP(B426,bond!B:U,20,FALSE),"")</f>
        <v/>
      </c>
      <c r="AF426" s="136" t="e">
        <f ca="1">IF(VLOOKUP(B426,bond!B:AK,36,FALSE)="#N/A Field Not Applicable","",VLOOKUP(B426,bond!B:AK,36,FALSE))</f>
        <v>#N/A</v>
      </c>
      <c r="AG426" s="136" t="e">
        <f ca="1">IF(VLOOKUP(B426,bond!B:AL,37,FALSE)="FIXED","固定",IF(VLOOKUP(B426,bond!B:AL,37,FALSE)="FLOATING","浮動",IF(VLOOKUP(B426,bond!B:AL,37,FALSE)="VARIABLE","變動",IF(VLOOKUP(B426,bond!B:AL,37,FALSE)="FLAT TRADING","不含息交易",IF(VLOOKUP(B426,bond!B:AL,37,FALSE)="ZERO COUPON","零息",VLOOKUP(B426,bond!B:AL,37,FALSE))))))</f>
        <v>#N/A</v>
      </c>
      <c r="AH426" s="136" t="e">
        <f>VLOOKUP(C426,'2_Check_code'!I:J,2,FALSE)</f>
        <v>#N/A</v>
      </c>
      <c r="AI426" s="136" t="e">
        <f t="shared" ca="1" si="47"/>
        <v>#N/A</v>
      </c>
      <c r="AJ426" s="136" t="e">
        <f t="shared" ca="1" si="48"/>
        <v>#N/A</v>
      </c>
      <c r="AK426" s="594" t="e">
        <f ca="1">IF(VLOOKUP(B426,bond!B:S,18,FALSE)="是","有",IF(VLOOKUP(B426,bond!B:S,18,FALSE)="NO OFFER","無","需查詢"))</f>
        <v>#N/A</v>
      </c>
      <c r="AL426" s="136" t="e">
        <f>IF(VLOOKUP(A426,bond!F:AR,39,FALSE)="#N/A Field Not Applicable",VLOOKUP(A426,bond!F:AR,38,FALSE),IFERROR(VLOOKUP(A426,'7_發行日例外'!A:B,2,FALSE),VLOOKUP(A426,bond!F:AR,39,FALSE)))</f>
        <v>#N/A</v>
      </c>
      <c r="AM426" s="136" t="e">
        <f ca="1">VLOOKUP(B426,bond!B:AK,36,FALSE)</f>
        <v>#N/A</v>
      </c>
      <c r="AN426" s="136" t="str">
        <f ca="1">IFERROR(VLOOKUP(B426,'3_是否下架'!A:A,1,FALSE),"")</f>
        <v/>
      </c>
      <c r="AO426" s="136" t="e">
        <f ca="1">VLOOKUP(B426,bond!B:J,9,FALSE)</f>
        <v>#N/A</v>
      </c>
      <c r="AP426" s="136" t="e">
        <f ca="1">VLOOKUP(B426,bond!B:V,21,FALSE)</f>
        <v>#N/A</v>
      </c>
    </row>
    <row r="427" spans="1:42">
      <c r="A427" s="141">
        <f>bond!F428</f>
        <v>0</v>
      </c>
      <c r="B427" s="151">
        <f ca="1">IF($C$1=TRUE,bond!B428,"")</f>
        <v>0</v>
      </c>
      <c r="C427" s="95" t="e">
        <f>VLOOKUP(A427,bond!F:G,2,FALSE)</f>
        <v>#N/A</v>
      </c>
      <c r="D427" s="142" t="e">
        <f ca="1">VLOOKUP(B427,bond!B:C,2,FALSE)</f>
        <v>#N/A</v>
      </c>
      <c r="E427" s="95" t="e">
        <f ca="1">VLOOKUP(B427,bond!B:D,3,FALSE)</f>
        <v>#N/A</v>
      </c>
      <c r="F427" s="99" t="e">
        <f ca="1">VLOOKUP(B427,bond!B:AB,27,FALSE)</f>
        <v>#N/A</v>
      </c>
      <c r="G427" s="90" t="e">
        <f ca="1">VLOOKUP(B427,bond!B:E,4,FALSE)</f>
        <v>#N/A</v>
      </c>
      <c r="H427" s="202" t="e">
        <f ca="1">VLOOKUP(B427,bond!B:Y,24,FALSE)</f>
        <v>#N/A</v>
      </c>
      <c r="I427" s="95" t="e">
        <f ca="1">VLOOKUP(B427,bond!B:Z,25,FALSE)</f>
        <v>#N/A</v>
      </c>
      <c r="J427" s="180" t="e">
        <f ca="1">VLOOKUP(B427,bond!B:K,10,FALSE)</f>
        <v>#N/A</v>
      </c>
      <c r="K427" s="96" t="e">
        <f ca="1">VLOOKUP($B427,bond!B:S,14,FALSE)</f>
        <v>#N/A</v>
      </c>
      <c r="L427" s="91" t="e">
        <f ca="1">VLOOKUP(B427,bond!B:H,7,FALSE)</f>
        <v>#N/A</v>
      </c>
      <c r="M427" s="144" t="e">
        <f ca="1">VLOOKUP($B427,bond!$B:$Q,16,FALSE)</f>
        <v>#N/A</v>
      </c>
      <c r="N427" s="136" t="e">
        <f ca="1">VALUE(LEFT(VLOOKUP(B427,bond!B:R,17,FALSE),SEARCH(" ",VLOOKUP(B427,bond!B:R,17,FALSE),1)))</f>
        <v>#N/A</v>
      </c>
      <c r="O427" s="136" t="e">
        <f ca="1">VALUE(RIGHT(VLOOKUP(B427,bond!B:R,17,FALSE),LEN(VLOOKUP(B427,bond!B:R,17,FALSE))-LEN(N427)-3))</f>
        <v>#N/A</v>
      </c>
      <c r="P427" s="135" t="e">
        <f ca="1">VLOOKUP($B427,bond!$B:$AG,32,FALSE)</f>
        <v>#N/A</v>
      </c>
      <c r="Q427" s="135" t="e">
        <f ca="1">VLOOKUP($B427,bond!$B:$AH,33,FALSE)</f>
        <v>#N/A</v>
      </c>
      <c r="R427" s="135" t="e">
        <f ca="1">VLOOKUP(B427,bond!B:AA,26,FALSE)</f>
        <v>#N/A</v>
      </c>
      <c r="S427" s="135" t="e">
        <f ca="1">VLOOKUP(B427,bond!B:AI,34,FALSE)</f>
        <v>#N/A</v>
      </c>
      <c r="T427" s="135" t="e">
        <f t="shared" ca="1" si="42"/>
        <v>#N/A</v>
      </c>
      <c r="U427" s="207" t="e">
        <f ca="1">IFERROR(VLOOKUP(T427,Bond_DES!D:E,2,FALSE),VLOOKUP(S427,bond!AI:AJ,2,FALSE))</f>
        <v>#N/A</v>
      </c>
      <c r="V427" s="136" t="e">
        <f ca="1">IFERROR(VLOOKUP(B427,'1_重設數據'!L:M,2,FALSE),IF(Q427="政府",IF(AD427&gt;16,"(NPI)非專投",IF(AD427&gt;10,"(PI)專投","高資產")),IF(VLOOKUP(B427,bond!B:AN,39,FALSE)="Y","(PI)專投",IF(AD427&gt;=15,"(NPI)非專投",IF(AD427&gt;=10,"(PI)專投","高資產")))))</f>
        <v>#N/A</v>
      </c>
      <c r="W427" s="136" t="e">
        <f ca="1">VLOOKUP(AD427,'credit rating'!$F$2:$H$22,3,FALSE)</f>
        <v>#N/A</v>
      </c>
      <c r="X427" s="136" t="e">
        <f t="shared" ca="1" si="43"/>
        <v>#N/A</v>
      </c>
      <c r="Y427" s="136" t="e">
        <f t="shared" ca="1" si="44"/>
        <v>#N/A</v>
      </c>
      <c r="Z427" s="136" t="e">
        <f t="shared" ca="1" si="45"/>
        <v>#N/A</v>
      </c>
      <c r="AA427" s="134">
        <f ca="1">IFERROR(VLOOKUP(X427,'credit rating'!A:C,3,FALSE),0)</f>
        <v>0</v>
      </c>
      <c r="AB427" s="134">
        <f ca="1">IFERROR(VLOOKUP(Y427,'credit rating'!B:C,2,FALSE),0)</f>
        <v>0</v>
      </c>
      <c r="AC427" s="136">
        <f ca="1">IFERROR(VLOOKUP(Z427,'credit rating'!B:C,2,FALSE),0)</f>
        <v>0</v>
      </c>
      <c r="AD427" s="136">
        <f t="shared" ca="1" si="46"/>
        <v>0</v>
      </c>
      <c r="AE427" s="249" t="str">
        <f ca="1">IFERROR(VLOOKUP(B427,bond!B:U,20,FALSE),"")</f>
        <v/>
      </c>
      <c r="AF427" s="136" t="e">
        <f ca="1">IF(VLOOKUP(B427,bond!B:AK,36,FALSE)="#N/A Field Not Applicable","",VLOOKUP(B427,bond!B:AK,36,FALSE))</f>
        <v>#N/A</v>
      </c>
      <c r="AG427" s="136" t="e">
        <f ca="1">IF(VLOOKUP(B427,bond!B:AL,37,FALSE)="FIXED","固定",IF(VLOOKUP(B427,bond!B:AL,37,FALSE)="FLOATING","浮動",IF(VLOOKUP(B427,bond!B:AL,37,FALSE)="VARIABLE","變動",IF(VLOOKUP(B427,bond!B:AL,37,FALSE)="FLAT TRADING","不含息交易",IF(VLOOKUP(B427,bond!B:AL,37,FALSE)="ZERO COUPON","零息",VLOOKUP(B427,bond!B:AL,37,FALSE))))))</f>
        <v>#N/A</v>
      </c>
      <c r="AH427" s="136" t="e">
        <f>VLOOKUP(C427,'2_Check_code'!I:J,2,FALSE)</f>
        <v>#N/A</v>
      </c>
      <c r="AI427" s="136" t="e">
        <f t="shared" ca="1" si="47"/>
        <v>#N/A</v>
      </c>
      <c r="AJ427" s="136" t="e">
        <f t="shared" ca="1" si="48"/>
        <v>#N/A</v>
      </c>
      <c r="AK427" s="594" t="e">
        <f ca="1">IF(VLOOKUP(B427,bond!B:S,18,FALSE)="是","有",IF(VLOOKUP(B427,bond!B:S,18,FALSE)="NO OFFER","無","需查詢"))</f>
        <v>#N/A</v>
      </c>
      <c r="AL427" s="136" t="e">
        <f>IF(VLOOKUP(A427,bond!F:AR,39,FALSE)="#N/A Field Not Applicable",VLOOKUP(A427,bond!F:AR,38,FALSE),IFERROR(VLOOKUP(A427,'7_發行日例外'!A:B,2,FALSE),VLOOKUP(A427,bond!F:AR,39,FALSE)))</f>
        <v>#N/A</v>
      </c>
      <c r="AM427" s="136" t="e">
        <f ca="1">VLOOKUP(B427,bond!B:AK,36,FALSE)</f>
        <v>#N/A</v>
      </c>
      <c r="AN427" s="136" t="str">
        <f ca="1">IFERROR(VLOOKUP(B427,'3_是否下架'!A:A,1,FALSE),"")</f>
        <v/>
      </c>
      <c r="AO427" s="136" t="e">
        <f ca="1">VLOOKUP(B427,bond!B:J,9,FALSE)</f>
        <v>#N/A</v>
      </c>
      <c r="AP427" s="136" t="e">
        <f ca="1">VLOOKUP(B427,bond!B:V,21,FALSE)</f>
        <v>#N/A</v>
      </c>
    </row>
    <row r="428" spans="1:42">
      <c r="A428" s="141">
        <f>bond!F429</f>
        <v>0</v>
      </c>
      <c r="B428" s="151">
        <f ca="1">IF($C$1=TRUE,bond!B429,"")</f>
        <v>0</v>
      </c>
      <c r="C428" s="95" t="e">
        <f>VLOOKUP(A428,bond!F:G,2,FALSE)</f>
        <v>#N/A</v>
      </c>
      <c r="D428" s="142" t="e">
        <f ca="1">VLOOKUP(B428,bond!B:C,2,FALSE)</f>
        <v>#N/A</v>
      </c>
      <c r="E428" s="95" t="e">
        <f ca="1">VLOOKUP(B428,bond!B:D,3,FALSE)</f>
        <v>#N/A</v>
      </c>
      <c r="F428" s="99" t="e">
        <f ca="1">VLOOKUP(B428,bond!B:AB,27,FALSE)</f>
        <v>#N/A</v>
      </c>
      <c r="G428" s="90" t="e">
        <f ca="1">VLOOKUP(B428,bond!B:E,4,FALSE)</f>
        <v>#N/A</v>
      </c>
      <c r="H428" s="202" t="e">
        <f ca="1">VLOOKUP(B428,bond!B:Y,24,FALSE)</f>
        <v>#N/A</v>
      </c>
      <c r="I428" s="95" t="e">
        <f ca="1">VLOOKUP(B428,bond!B:Z,25,FALSE)</f>
        <v>#N/A</v>
      </c>
      <c r="J428" s="180" t="e">
        <f ca="1">VLOOKUP(B428,bond!B:K,10,FALSE)</f>
        <v>#N/A</v>
      </c>
      <c r="K428" s="96" t="e">
        <f ca="1">VLOOKUP($B428,bond!B:S,14,FALSE)</f>
        <v>#N/A</v>
      </c>
      <c r="L428" s="91" t="e">
        <f ca="1">VLOOKUP(B428,bond!B:H,7,FALSE)</f>
        <v>#N/A</v>
      </c>
      <c r="M428" s="144" t="e">
        <f ca="1">VLOOKUP($B428,bond!$B:$Q,16,FALSE)</f>
        <v>#N/A</v>
      </c>
      <c r="N428" s="136" t="e">
        <f ca="1">VALUE(LEFT(VLOOKUP(B428,bond!B:R,17,FALSE),SEARCH(" ",VLOOKUP(B428,bond!B:R,17,FALSE),1)))</f>
        <v>#N/A</v>
      </c>
      <c r="O428" s="136" t="e">
        <f ca="1">VALUE(RIGHT(VLOOKUP(B428,bond!B:R,17,FALSE),LEN(VLOOKUP(B428,bond!B:R,17,FALSE))-LEN(N428)-3))</f>
        <v>#N/A</v>
      </c>
      <c r="P428" s="135" t="e">
        <f ca="1">VLOOKUP($B428,bond!$B:$AG,32,FALSE)</f>
        <v>#N/A</v>
      </c>
      <c r="Q428" s="135" t="e">
        <f ca="1">VLOOKUP($B428,bond!$B:$AH,33,FALSE)</f>
        <v>#N/A</v>
      </c>
      <c r="R428" s="135" t="e">
        <f ca="1">VLOOKUP(B428,bond!B:AA,26,FALSE)</f>
        <v>#N/A</v>
      </c>
      <c r="S428" s="135" t="e">
        <f ca="1">VLOOKUP(B428,bond!B:AI,34,FALSE)</f>
        <v>#N/A</v>
      </c>
      <c r="T428" s="135" t="e">
        <f t="shared" ca="1" si="42"/>
        <v>#N/A</v>
      </c>
      <c r="U428" s="207" t="e">
        <f ca="1">IFERROR(VLOOKUP(T428,Bond_DES!D:E,2,FALSE),VLOOKUP(S428,bond!AI:AJ,2,FALSE))</f>
        <v>#N/A</v>
      </c>
      <c r="V428" s="136" t="e">
        <f ca="1">IFERROR(VLOOKUP(B428,'1_重設數據'!L:M,2,FALSE),IF(Q428="政府",IF(AD428&gt;16,"(NPI)非專投",IF(AD428&gt;10,"(PI)專投","高資產")),IF(VLOOKUP(B428,bond!B:AN,39,FALSE)="Y","(PI)專投",IF(AD428&gt;=15,"(NPI)非專投",IF(AD428&gt;=10,"(PI)專投","高資產")))))</f>
        <v>#N/A</v>
      </c>
      <c r="W428" s="136" t="e">
        <f ca="1">VLOOKUP(AD428,'credit rating'!$F$2:$H$22,3,FALSE)</f>
        <v>#N/A</v>
      </c>
      <c r="X428" s="136" t="e">
        <f t="shared" ca="1" si="43"/>
        <v>#N/A</v>
      </c>
      <c r="Y428" s="136" t="e">
        <f t="shared" ca="1" si="44"/>
        <v>#N/A</v>
      </c>
      <c r="Z428" s="136" t="e">
        <f t="shared" ca="1" si="45"/>
        <v>#N/A</v>
      </c>
      <c r="AA428" s="134">
        <f ca="1">IFERROR(VLOOKUP(X428,'credit rating'!A:C,3,FALSE),0)</f>
        <v>0</v>
      </c>
      <c r="AB428" s="134">
        <f ca="1">IFERROR(VLOOKUP(Y428,'credit rating'!B:C,2,FALSE),0)</f>
        <v>0</v>
      </c>
      <c r="AC428" s="136">
        <f ca="1">IFERROR(VLOOKUP(Z428,'credit rating'!B:C,2,FALSE),0)</f>
        <v>0</v>
      </c>
      <c r="AD428" s="136">
        <f t="shared" ca="1" si="46"/>
        <v>0</v>
      </c>
      <c r="AE428" s="249" t="str">
        <f ca="1">IFERROR(VLOOKUP(B428,bond!B:U,20,FALSE),"")</f>
        <v/>
      </c>
      <c r="AF428" s="136" t="e">
        <f ca="1">IF(VLOOKUP(B428,bond!B:AK,36,FALSE)="#N/A Field Not Applicable","",VLOOKUP(B428,bond!B:AK,36,FALSE))</f>
        <v>#N/A</v>
      </c>
      <c r="AG428" s="136" t="e">
        <f ca="1">IF(VLOOKUP(B428,bond!B:AL,37,FALSE)="FIXED","固定",IF(VLOOKUP(B428,bond!B:AL,37,FALSE)="FLOATING","浮動",IF(VLOOKUP(B428,bond!B:AL,37,FALSE)="VARIABLE","變動",IF(VLOOKUP(B428,bond!B:AL,37,FALSE)="FLAT TRADING","不含息交易",IF(VLOOKUP(B428,bond!B:AL,37,FALSE)="ZERO COUPON","零息",VLOOKUP(B428,bond!B:AL,37,FALSE))))))</f>
        <v>#N/A</v>
      </c>
      <c r="AH428" s="136" t="e">
        <f>VLOOKUP(C428,'2_Check_code'!I:J,2,FALSE)</f>
        <v>#N/A</v>
      </c>
      <c r="AI428" s="136" t="e">
        <f t="shared" ca="1" si="47"/>
        <v>#N/A</v>
      </c>
      <c r="AJ428" s="136" t="e">
        <f t="shared" ca="1" si="48"/>
        <v>#N/A</v>
      </c>
      <c r="AK428" s="594" t="e">
        <f ca="1">IF(VLOOKUP(B428,bond!B:S,18,FALSE)="是","有",IF(VLOOKUP(B428,bond!B:S,18,FALSE)="NO OFFER","無","需查詢"))</f>
        <v>#N/A</v>
      </c>
      <c r="AL428" s="136" t="e">
        <f>IF(VLOOKUP(A428,bond!F:AR,39,FALSE)="#N/A Field Not Applicable",VLOOKUP(A428,bond!F:AR,38,FALSE),IFERROR(VLOOKUP(A428,'7_發行日例外'!A:B,2,FALSE),VLOOKUP(A428,bond!F:AR,39,FALSE)))</f>
        <v>#N/A</v>
      </c>
      <c r="AM428" s="136" t="e">
        <f ca="1">VLOOKUP(B428,bond!B:AK,36,FALSE)</f>
        <v>#N/A</v>
      </c>
      <c r="AN428" s="136" t="str">
        <f ca="1">IFERROR(VLOOKUP(B428,'3_是否下架'!A:A,1,FALSE),"")</f>
        <v/>
      </c>
      <c r="AO428" s="136" t="e">
        <f ca="1">VLOOKUP(B428,bond!B:J,9,FALSE)</f>
        <v>#N/A</v>
      </c>
      <c r="AP428" s="136" t="e">
        <f ca="1">VLOOKUP(B428,bond!B:V,21,FALSE)</f>
        <v>#N/A</v>
      </c>
    </row>
    <row r="429" spans="1:42">
      <c r="A429" s="141">
        <f>bond!F430</f>
        <v>0</v>
      </c>
      <c r="B429" s="151">
        <f ca="1">IF($C$1=TRUE,bond!B430,"")</f>
        <v>0</v>
      </c>
      <c r="C429" s="95" t="e">
        <f>VLOOKUP(A429,bond!F:G,2,FALSE)</f>
        <v>#N/A</v>
      </c>
      <c r="D429" s="142" t="e">
        <f ca="1">VLOOKUP(B429,bond!B:C,2,FALSE)</f>
        <v>#N/A</v>
      </c>
      <c r="E429" s="95" t="e">
        <f ca="1">VLOOKUP(B429,bond!B:D,3,FALSE)</f>
        <v>#N/A</v>
      </c>
      <c r="F429" s="99" t="e">
        <f ca="1">VLOOKUP(B429,bond!B:AB,27,FALSE)</f>
        <v>#N/A</v>
      </c>
      <c r="G429" s="90" t="e">
        <f ca="1">VLOOKUP(B429,bond!B:E,4,FALSE)</f>
        <v>#N/A</v>
      </c>
      <c r="H429" s="202" t="e">
        <f ca="1">VLOOKUP(B429,bond!B:Y,24,FALSE)</f>
        <v>#N/A</v>
      </c>
      <c r="I429" s="95" t="e">
        <f ca="1">VLOOKUP(B429,bond!B:Z,25,FALSE)</f>
        <v>#N/A</v>
      </c>
      <c r="J429" s="180" t="e">
        <f ca="1">VLOOKUP(B429,bond!B:K,10,FALSE)</f>
        <v>#N/A</v>
      </c>
      <c r="K429" s="96" t="e">
        <f ca="1">VLOOKUP($B429,bond!B:S,14,FALSE)</f>
        <v>#N/A</v>
      </c>
      <c r="L429" s="91" t="e">
        <f ca="1">VLOOKUP(B429,bond!B:H,7,FALSE)</f>
        <v>#N/A</v>
      </c>
      <c r="M429" s="144" t="e">
        <f ca="1">VLOOKUP($B429,bond!$B:$Q,16,FALSE)</f>
        <v>#N/A</v>
      </c>
      <c r="N429" s="136" t="e">
        <f ca="1">VALUE(LEFT(VLOOKUP(B429,bond!B:R,17,FALSE),SEARCH(" ",VLOOKUP(B429,bond!B:R,17,FALSE),1)))</f>
        <v>#N/A</v>
      </c>
      <c r="O429" s="136" t="e">
        <f ca="1">VALUE(RIGHT(VLOOKUP(B429,bond!B:R,17,FALSE),LEN(VLOOKUP(B429,bond!B:R,17,FALSE))-LEN(N429)-3))</f>
        <v>#N/A</v>
      </c>
      <c r="P429" s="135" t="e">
        <f ca="1">VLOOKUP($B429,bond!$B:$AG,32,FALSE)</f>
        <v>#N/A</v>
      </c>
      <c r="Q429" s="135" t="e">
        <f ca="1">VLOOKUP($B429,bond!$B:$AH,33,FALSE)</f>
        <v>#N/A</v>
      </c>
      <c r="R429" s="135" t="e">
        <f ca="1">VLOOKUP(B429,bond!B:AA,26,FALSE)</f>
        <v>#N/A</v>
      </c>
      <c r="S429" s="135" t="e">
        <f ca="1">VLOOKUP(B429,bond!B:AI,34,FALSE)</f>
        <v>#N/A</v>
      </c>
      <c r="T429" s="135" t="e">
        <f t="shared" ca="1" si="42"/>
        <v>#N/A</v>
      </c>
      <c r="U429" s="207" t="e">
        <f ca="1">IFERROR(VLOOKUP(T429,Bond_DES!D:E,2,FALSE),VLOOKUP(S429,bond!AI:AJ,2,FALSE))</f>
        <v>#N/A</v>
      </c>
      <c r="V429" s="136" t="e">
        <f ca="1">IFERROR(VLOOKUP(B429,'1_重設數據'!L:M,2,FALSE),IF(Q429="政府",IF(AD429&gt;16,"(NPI)非專投",IF(AD429&gt;10,"(PI)專投","高資產")),IF(VLOOKUP(B429,bond!B:AN,39,FALSE)="Y","(PI)專投",IF(AD429&gt;=15,"(NPI)非專投",IF(AD429&gt;=10,"(PI)專投","高資產")))))</f>
        <v>#N/A</v>
      </c>
      <c r="W429" s="136" t="e">
        <f ca="1">VLOOKUP(AD429,'credit rating'!$F$2:$H$22,3,FALSE)</f>
        <v>#N/A</v>
      </c>
      <c r="X429" s="136" t="e">
        <f t="shared" ca="1" si="43"/>
        <v>#N/A</v>
      </c>
      <c r="Y429" s="136" t="e">
        <f t="shared" ca="1" si="44"/>
        <v>#N/A</v>
      </c>
      <c r="Z429" s="136" t="e">
        <f t="shared" ca="1" si="45"/>
        <v>#N/A</v>
      </c>
      <c r="AA429" s="134">
        <f ca="1">IFERROR(VLOOKUP(X429,'credit rating'!A:C,3,FALSE),0)</f>
        <v>0</v>
      </c>
      <c r="AB429" s="134">
        <f ca="1">IFERROR(VLOOKUP(Y429,'credit rating'!B:C,2,FALSE),0)</f>
        <v>0</v>
      </c>
      <c r="AC429" s="136">
        <f ca="1">IFERROR(VLOOKUP(Z429,'credit rating'!B:C,2,FALSE),0)</f>
        <v>0</v>
      </c>
      <c r="AD429" s="136">
        <f t="shared" ca="1" si="46"/>
        <v>0</v>
      </c>
      <c r="AE429" s="249" t="str">
        <f ca="1">IFERROR(VLOOKUP(B429,bond!B:U,20,FALSE),"")</f>
        <v/>
      </c>
      <c r="AF429" s="136" t="e">
        <f ca="1">IF(VLOOKUP(B429,bond!B:AK,36,FALSE)="#N/A Field Not Applicable","",VLOOKUP(B429,bond!B:AK,36,FALSE))</f>
        <v>#N/A</v>
      </c>
      <c r="AG429" s="136" t="e">
        <f ca="1">IF(VLOOKUP(B429,bond!B:AL,37,FALSE)="FIXED","固定",IF(VLOOKUP(B429,bond!B:AL,37,FALSE)="FLOATING","浮動",IF(VLOOKUP(B429,bond!B:AL,37,FALSE)="VARIABLE","變動",IF(VLOOKUP(B429,bond!B:AL,37,FALSE)="FLAT TRADING","不含息交易",IF(VLOOKUP(B429,bond!B:AL,37,FALSE)="ZERO COUPON","零息",VLOOKUP(B429,bond!B:AL,37,FALSE))))))</f>
        <v>#N/A</v>
      </c>
      <c r="AH429" s="136" t="e">
        <f>VLOOKUP(C429,'2_Check_code'!I:J,2,FALSE)</f>
        <v>#N/A</v>
      </c>
      <c r="AI429" s="136" t="e">
        <f t="shared" ca="1" si="47"/>
        <v>#N/A</v>
      </c>
      <c r="AJ429" s="136" t="e">
        <f t="shared" ca="1" si="48"/>
        <v>#N/A</v>
      </c>
      <c r="AK429" s="594" t="e">
        <f ca="1">IF(VLOOKUP(B429,bond!B:S,18,FALSE)="是","有",IF(VLOOKUP(B429,bond!B:S,18,FALSE)="NO OFFER","無","需查詢"))</f>
        <v>#N/A</v>
      </c>
      <c r="AL429" s="136" t="e">
        <f>IF(VLOOKUP(A429,bond!F:AR,39,FALSE)="#N/A Field Not Applicable",VLOOKUP(A429,bond!F:AR,38,FALSE),IFERROR(VLOOKUP(A429,'7_發行日例外'!A:B,2,FALSE),VLOOKUP(A429,bond!F:AR,39,FALSE)))</f>
        <v>#N/A</v>
      </c>
      <c r="AM429" s="136" t="e">
        <f ca="1">VLOOKUP(B429,bond!B:AK,36,FALSE)</f>
        <v>#N/A</v>
      </c>
      <c r="AN429" s="136" t="str">
        <f ca="1">IFERROR(VLOOKUP(B429,'3_是否下架'!A:A,1,FALSE),"")</f>
        <v/>
      </c>
      <c r="AO429" s="136" t="e">
        <f ca="1">VLOOKUP(B429,bond!B:J,9,FALSE)</f>
        <v>#N/A</v>
      </c>
      <c r="AP429" s="136" t="e">
        <f ca="1">VLOOKUP(B429,bond!B:V,21,FALSE)</f>
        <v>#N/A</v>
      </c>
    </row>
    <row r="430" spans="1:42">
      <c r="A430" s="141">
        <f>bond!F431</f>
        <v>0</v>
      </c>
      <c r="B430" s="151">
        <f ca="1">IF($C$1=TRUE,bond!B431,"")</f>
        <v>0</v>
      </c>
      <c r="C430" s="95" t="e">
        <f>VLOOKUP(A430,bond!F:G,2,FALSE)</f>
        <v>#N/A</v>
      </c>
      <c r="D430" s="142" t="e">
        <f ca="1">VLOOKUP(B430,bond!B:C,2,FALSE)</f>
        <v>#N/A</v>
      </c>
      <c r="E430" s="95" t="e">
        <f ca="1">VLOOKUP(B430,bond!B:D,3,FALSE)</f>
        <v>#N/A</v>
      </c>
      <c r="F430" s="99" t="e">
        <f ca="1">VLOOKUP(B430,bond!B:AB,27,FALSE)</f>
        <v>#N/A</v>
      </c>
      <c r="G430" s="90" t="e">
        <f ca="1">VLOOKUP(B430,bond!B:E,4,FALSE)</f>
        <v>#N/A</v>
      </c>
      <c r="H430" s="202" t="e">
        <f ca="1">VLOOKUP(B430,bond!B:Y,24,FALSE)</f>
        <v>#N/A</v>
      </c>
      <c r="I430" s="95" t="e">
        <f ca="1">VLOOKUP(B430,bond!B:Z,25,FALSE)</f>
        <v>#N/A</v>
      </c>
      <c r="J430" s="180" t="e">
        <f ca="1">VLOOKUP(B430,bond!B:K,10,FALSE)</f>
        <v>#N/A</v>
      </c>
      <c r="K430" s="96" t="e">
        <f ca="1">VLOOKUP($B430,bond!B:S,14,FALSE)</f>
        <v>#N/A</v>
      </c>
      <c r="L430" s="91" t="e">
        <f ca="1">VLOOKUP(B430,bond!B:H,7,FALSE)</f>
        <v>#N/A</v>
      </c>
      <c r="M430" s="144" t="e">
        <f ca="1">VLOOKUP($B430,bond!$B:$Q,16,FALSE)</f>
        <v>#N/A</v>
      </c>
      <c r="N430" s="136" t="e">
        <f ca="1">VALUE(LEFT(VLOOKUP(B430,bond!B:R,17,FALSE),SEARCH(" ",VLOOKUP(B430,bond!B:R,17,FALSE),1)))</f>
        <v>#N/A</v>
      </c>
      <c r="O430" s="136" t="e">
        <f ca="1">VALUE(RIGHT(VLOOKUP(B430,bond!B:R,17,FALSE),LEN(VLOOKUP(B430,bond!B:R,17,FALSE))-LEN(N430)-3))</f>
        <v>#N/A</v>
      </c>
      <c r="P430" s="135" t="e">
        <f ca="1">VLOOKUP($B430,bond!$B:$AG,32,FALSE)</f>
        <v>#N/A</v>
      </c>
      <c r="Q430" s="135" t="e">
        <f ca="1">VLOOKUP($B430,bond!$B:$AH,33,FALSE)</f>
        <v>#N/A</v>
      </c>
      <c r="R430" s="135" t="e">
        <f ca="1">VLOOKUP(B430,bond!B:AA,26,FALSE)</f>
        <v>#N/A</v>
      </c>
      <c r="S430" s="135" t="e">
        <f ca="1">VLOOKUP(B430,bond!B:AI,34,FALSE)</f>
        <v>#N/A</v>
      </c>
      <c r="T430" s="135" t="e">
        <f t="shared" ca="1" si="42"/>
        <v>#N/A</v>
      </c>
      <c r="U430" s="207" t="e">
        <f ca="1">IFERROR(VLOOKUP(T430,Bond_DES!D:E,2,FALSE),VLOOKUP(S430,bond!AI:AJ,2,FALSE))</f>
        <v>#N/A</v>
      </c>
      <c r="V430" s="136" t="e">
        <f ca="1">IFERROR(VLOOKUP(B430,'1_重設數據'!L:M,2,FALSE),IF(Q430="政府",IF(AD430&gt;16,"(NPI)非專投",IF(AD430&gt;10,"(PI)專投","高資產")),IF(VLOOKUP(B430,bond!B:AN,39,FALSE)="Y","(PI)專投",IF(AD430&gt;=15,"(NPI)非專投",IF(AD430&gt;=10,"(PI)專投","高資產")))))</f>
        <v>#N/A</v>
      </c>
      <c r="W430" s="136" t="e">
        <f ca="1">VLOOKUP(AD430,'credit rating'!$F$2:$H$22,3,FALSE)</f>
        <v>#N/A</v>
      </c>
      <c r="X430" s="136" t="e">
        <f t="shared" ca="1" si="43"/>
        <v>#N/A</v>
      </c>
      <c r="Y430" s="136" t="e">
        <f t="shared" ca="1" si="44"/>
        <v>#N/A</v>
      </c>
      <c r="Z430" s="136" t="e">
        <f t="shared" ca="1" si="45"/>
        <v>#N/A</v>
      </c>
      <c r="AA430" s="134">
        <f ca="1">IFERROR(VLOOKUP(X430,'credit rating'!A:C,3,FALSE),0)</f>
        <v>0</v>
      </c>
      <c r="AB430" s="134">
        <f ca="1">IFERROR(VLOOKUP(Y430,'credit rating'!B:C,2,FALSE),0)</f>
        <v>0</v>
      </c>
      <c r="AC430" s="136">
        <f ca="1">IFERROR(VLOOKUP(Z430,'credit rating'!B:C,2,FALSE),0)</f>
        <v>0</v>
      </c>
      <c r="AD430" s="136">
        <f t="shared" ca="1" si="46"/>
        <v>0</v>
      </c>
      <c r="AE430" s="249" t="str">
        <f ca="1">IFERROR(VLOOKUP(B430,bond!B:U,20,FALSE),"")</f>
        <v/>
      </c>
      <c r="AF430" s="136" t="e">
        <f ca="1">IF(VLOOKUP(B430,bond!B:AK,36,FALSE)="#N/A Field Not Applicable","",VLOOKUP(B430,bond!B:AK,36,FALSE))</f>
        <v>#N/A</v>
      </c>
      <c r="AG430" s="136" t="e">
        <f ca="1">IF(VLOOKUP(B430,bond!B:AL,37,FALSE)="FIXED","固定",IF(VLOOKUP(B430,bond!B:AL,37,FALSE)="FLOATING","浮動",IF(VLOOKUP(B430,bond!B:AL,37,FALSE)="VARIABLE","變動",IF(VLOOKUP(B430,bond!B:AL,37,FALSE)="FLAT TRADING","不含息交易",IF(VLOOKUP(B430,bond!B:AL,37,FALSE)="ZERO COUPON","零息",VLOOKUP(B430,bond!B:AL,37,FALSE))))))</f>
        <v>#N/A</v>
      </c>
      <c r="AH430" s="136" t="e">
        <f>VLOOKUP(C430,'2_Check_code'!I:J,2,FALSE)</f>
        <v>#N/A</v>
      </c>
      <c r="AI430" s="136" t="e">
        <f t="shared" ca="1" si="47"/>
        <v>#N/A</v>
      </c>
      <c r="AJ430" s="136" t="e">
        <f t="shared" ca="1" si="48"/>
        <v>#N/A</v>
      </c>
      <c r="AK430" s="594" t="e">
        <f ca="1">IF(VLOOKUP(B430,bond!B:S,18,FALSE)="是","有",IF(VLOOKUP(B430,bond!B:S,18,FALSE)="NO OFFER","無","需查詢"))</f>
        <v>#N/A</v>
      </c>
      <c r="AL430" s="136" t="e">
        <f>IF(VLOOKUP(A430,bond!F:AR,39,FALSE)="#N/A Field Not Applicable",VLOOKUP(A430,bond!F:AR,38,FALSE),IFERROR(VLOOKUP(A430,'7_發行日例外'!A:B,2,FALSE),VLOOKUP(A430,bond!F:AR,39,FALSE)))</f>
        <v>#N/A</v>
      </c>
      <c r="AM430" s="136" t="e">
        <f ca="1">VLOOKUP(B430,bond!B:AK,36,FALSE)</f>
        <v>#N/A</v>
      </c>
      <c r="AN430" s="136" t="str">
        <f ca="1">IFERROR(VLOOKUP(B430,'3_是否下架'!A:A,1,FALSE),"")</f>
        <v/>
      </c>
      <c r="AO430" s="136" t="e">
        <f ca="1">VLOOKUP(B430,bond!B:J,9,FALSE)</f>
        <v>#N/A</v>
      </c>
      <c r="AP430" s="136" t="e">
        <f ca="1">VLOOKUP(B430,bond!B:V,21,FALSE)</f>
        <v>#N/A</v>
      </c>
    </row>
    <row r="431" spans="1:42">
      <c r="A431" s="141">
        <f>bond!F432</f>
        <v>0</v>
      </c>
      <c r="B431" s="151">
        <f ca="1">IF($C$1=TRUE,bond!B432,"")</f>
        <v>0</v>
      </c>
      <c r="C431" s="95" t="e">
        <f>VLOOKUP(A431,bond!F:G,2,FALSE)</f>
        <v>#N/A</v>
      </c>
      <c r="D431" s="142" t="e">
        <f ca="1">VLOOKUP(B431,bond!B:C,2,FALSE)</f>
        <v>#N/A</v>
      </c>
      <c r="E431" s="95" t="e">
        <f ca="1">VLOOKUP(B431,bond!B:D,3,FALSE)</f>
        <v>#N/A</v>
      </c>
      <c r="F431" s="99" t="e">
        <f ca="1">VLOOKUP(B431,bond!B:AB,27,FALSE)</f>
        <v>#N/A</v>
      </c>
      <c r="G431" s="90" t="e">
        <f ca="1">VLOOKUP(B431,bond!B:E,4,FALSE)</f>
        <v>#N/A</v>
      </c>
      <c r="H431" s="202" t="e">
        <f ca="1">VLOOKUP(B431,bond!B:Y,24,FALSE)</f>
        <v>#N/A</v>
      </c>
      <c r="I431" s="95" t="e">
        <f ca="1">VLOOKUP(B431,bond!B:Z,25,FALSE)</f>
        <v>#N/A</v>
      </c>
      <c r="J431" s="180" t="e">
        <f ca="1">VLOOKUP(B431,bond!B:K,10,FALSE)</f>
        <v>#N/A</v>
      </c>
      <c r="K431" s="96" t="e">
        <f ca="1">VLOOKUP($B431,bond!B:S,14,FALSE)</f>
        <v>#N/A</v>
      </c>
      <c r="L431" s="91" t="e">
        <f ca="1">VLOOKUP(B431,bond!B:H,7,FALSE)</f>
        <v>#N/A</v>
      </c>
      <c r="M431" s="144" t="e">
        <f ca="1">VLOOKUP($B431,bond!$B:$Q,16,FALSE)</f>
        <v>#N/A</v>
      </c>
      <c r="N431" s="136" t="e">
        <f ca="1">VALUE(LEFT(VLOOKUP(B431,bond!B:R,17,FALSE),SEARCH(" ",VLOOKUP(B431,bond!B:R,17,FALSE),1)))</f>
        <v>#N/A</v>
      </c>
      <c r="O431" s="136" t="e">
        <f ca="1">VALUE(RIGHT(VLOOKUP(B431,bond!B:R,17,FALSE),LEN(VLOOKUP(B431,bond!B:R,17,FALSE))-LEN(N431)-3))</f>
        <v>#N/A</v>
      </c>
      <c r="P431" s="135" t="e">
        <f ca="1">VLOOKUP($B431,bond!$B:$AG,32,FALSE)</f>
        <v>#N/A</v>
      </c>
      <c r="Q431" s="135" t="e">
        <f ca="1">VLOOKUP($B431,bond!$B:$AH,33,FALSE)</f>
        <v>#N/A</v>
      </c>
      <c r="R431" s="135" t="e">
        <f ca="1">VLOOKUP(B431,bond!B:AA,26,FALSE)</f>
        <v>#N/A</v>
      </c>
      <c r="S431" s="135" t="e">
        <f ca="1">VLOOKUP(B431,bond!B:AI,34,FALSE)</f>
        <v>#N/A</v>
      </c>
      <c r="T431" s="135" t="e">
        <f t="shared" ca="1" si="42"/>
        <v>#N/A</v>
      </c>
      <c r="U431" s="207" t="e">
        <f ca="1">IFERROR(VLOOKUP(T431,Bond_DES!D:E,2,FALSE),VLOOKUP(S431,bond!AI:AJ,2,FALSE))</f>
        <v>#N/A</v>
      </c>
      <c r="V431" s="136" t="e">
        <f ca="1">IFERROR(VLOOKUP(B431,'1_重設數據'!L:M,2,FALSE),IF(Q431="政府",IF(AD431&gt;16,"(NPI)非專投",IF(AD431&gt;10,"(PI)專投","高資產")),IF(VLOOKUP(B431,bond!B:AN,39,FALSE)="Y","(PI)專投",IF(AD431&gt;=15,"(NPI)非專投",IF(AD431&gt;=10,"(PI)專投","高資產")))))</f>
        <v>#N/A</v>
      </c>
      <c r="W431" s="136" t="e">
        <f ca="1">VLOOKUP(AD431,'credit rating'!$F$2:$H$22,3,FALSE)</f>
        <v>#N/A</v>
      </c>
      <c r="X431" s="136" t="e">
        <f t="shared" ca="1" si="43"/>
        <v>#N/A</v>
      </c>
      <c r="Y431" s="136" t="e">
        <f t="shared" ca="1" si="44"/>
        <v>#N/A</v>
      </c>
      <c r="Z431" s="136" t="e">
        <f t="shared" ca="1" si="45"/>
        <v>#N/A</v>
      </c>
      <c r="AA431" s="134">
        <f ca="1">IFERROR(VLOOKUP(X431,'credit rating'!A:C,3,FALSE),0)</f>
        <v>0</v>
      </c>
      <c r="AB431" s="134">
        <f ca="1">IFERROR(VLOOKUP(Y431,'credit rating'!B:C,2,FALSE),0)</f>
        <v>0</v>
      </c>
      <c r="AC431" s="136">
        <f ca="1">IFERROR(VLOOKUP(Z431,'credit rating'!B:C,2,FALSE),0)</f>
        <v>0</v>
      </c>
      <c r="AD431" s="136">
        <f t="shared" ca="1" si="46"/>
        <v>0</v>
      </c>
      <c r="AE431" s="249" t="str">
        <f ca="1">IFERROR(VLOOKUP(B431,bond!B:U,20,FALSE),"")</f>
        <v/>
      </c>
      <c r="AF431" s="136" t="e">
        <f ca="1">IF(VLOOKUP(B431,bond!B:AK,36,FALSE)="#N/A Field Not Applicable","",VLOOKUP(B431,bond!B:AK,36,FALSE))</f>
        <v>#N/A</v>
      </c>
      <c r="AG431" s="136" t="e">
        <f ca="1">IF(VLOOKUP(B431,bond!B:AL,37,FALSE)="FIXED","固定",IF(VLOOKUP(B431,bond!B:AL,37,FALSE)="FLOATING","浮動",IF(VLOOKUP(B431,bond!B:AL,37,FALSE)="VARIABLE","變動",IF(VLOOKUP(B431,bond!B:AL,37,FALSE)="FLAT TRADING","不含息交易",IF(VLOOKUP(B431,bond!B:AL,37,FALSE)="ZERO COUPON","零息",VLOOKUP(B431,bond!B:AL,37,FALSE))))))</f>
        <v>#N/A</v>
      </c>
      <c r="AH431" s="136" t="e">
        <f>VLOOKUP(C431,'2_Check_code'!I:J,2,FALSE)</f>
        <v>#N/A</v>
      </c>
      <c r="AI431" s="136" t="e">
        <f t="shared" ca="1" si="47"/>
        <v>#N/A</v>
      </c>
      <c r="AJ431" s="136" t="e">
        <f t="shared" ca="1" si="48"/>
        <v>#N/A</v>
      </c>
      <c r="AK431" s="594" t="e">
        <f ca="1">IF(VLOOKUP(B431,bond!B:S,18,FALSE)="是","有",IF(VLOOKUP(B431,bond!B:S,18,FALSE)="NO OFFER","無","需查詢"))</f>
        <v>#N/A</v>
      </c>
      <c r="AL431" s="136" t="e">
        <f>IF(VLOOKUP(A431,bond!F:AR,39,FALSE)="#N/A Field Not Applicable",VLOOKUP(A431,bond!F:AR,38,FALSE),IFERROR(VLOOKUP(A431,'7_發行日例外'!A:B,2,FALSE),VLOOKUP(A431,bond!F:AR,39,FALSE)))</f>
        <v>#N/A</v>
      </c>
      <c r="AM431" s="136" t="e">
        <f ca="1">VLOOKUP(B431,bond!B:AK,36,FALSE)</f>
        <v>#N/A</v>
      </c>
      <c r="AN431" s="136" t="str">
        <f ca="1">IFERROR(VLOOKUP(B431,'3_是否下架'!A:A,1,FALSE),"")</f>
        <v/>
      </c>
      <c r="AO431" s="136" t="e">
        <f ca="1">VLOOKUP(B431,bond!B:J,9,FALSE)</f>
        <v>#N/A</v>
      </c>
      <c r="AP431" s="136" t="e">
        <f ca="1">VLOOKUP(B431,bond!B:V,21,FALSE)</f>
        <v>#N/A</v>
      </c>
    </row>
    <row r="432" spans="1:42">
      <c r="A432" s="141">
        <f>bond!F433</f>
        <v>0</v>
      </c>
      <c r="B432" s="151">
        <f ca="1">IF($C$1=TRUE,bond!B433,"")</f>
        <v>0</v>
      </c>
      <c r="C432" s="95" t="e">
        <f>VLOOKUP(A432,bond!F:G,2,FALSE)</f>
        <v>#N/A</v>
      </c>
      <c r="D432" s="142" t="e">
        <f ca="1">VLOOKUP(B432,bond!B:C,2,FALSE)</f>
        <v>#N/A</v>
      </c>
      <c r="E432" s="95" t="e">
        <f ca="1">VLOOKUP(B432,bond!B:D,3,FALSE)</f>
        <v>#N/A</v>
      </c>
      <c r="F432" s="99" t="e">
        <f ca="1">VLOOKUP(B432,bond!B:AB,27,FALSE)</f>
        <v>#N/A</v>
      </c>
      <c r="G432" s="90" t="e">
        <f ca="1">VLOOKUP(B432,bond!B:E,4,FALSE)</f>
        <v>#N/A</v>
      </c>
      <c r="H432" s="202" t="e">
        <f ca="1">VLOOKUP(B432,bond!B:Y,24,FALSE)</f>
        <v>#N/A</v>
      </c>
      <c r="I432" s="95" t="e">
        <f ca="1">VLOOKUP(B432,bond!B:Z,25,FALSE)</f>
        <v>#N/A</v>
      </c>
      <c r="J432" s="180" t="e">
        <f ca="1">VLOOKUP(B432,bond!B:K,10,FALSE)</f>
        <v>#N/A</v>
      </c>
      <c r="K432" s="96" t="e">
        <f ca="1">VLOOKUP($B432,bond!B:S,14,FALSE)</f>
        <v>#N/A</v>
      </c>
      <c r="L432" s="91" t="e">
        <f ca="1">VLOOKUP(B432,bond!B:H,7,FALSE)</f>
        <v>#N/A</v>
      </c>
      <c r="M432" s="144" t="e">
        <f ca="1">VLOOKUP($B432,bond!$B:$Q,16,FALSE)</f>
        <v>#N/A</v>
      </c>
      <c r="N432" s="136" t="e">
        <f ca="1">VALUE(LEFT(VLOOKUP(B432,bond!B:R,17,FALSE),SEARCH(" ",VLOOKUP(B432,bond!B:R,17,FALSE),1)))</f>
        <v>#N/A</v>
      </c>
      <c r="O432" s="136" t="e">
        <f ca="1">VALUE(RIGHT(VLOOKUP(B432,bond!B:R,17,FALSE),LEN(VLOOKUP(B432,bond!B:R,17,FALSE))-LEN(N432)-3))</f>
        <v>#N/A</v>
      </c>
      <c r="P432" s="135" t="e">
        <f ca="1">VLOOKUP($B432,bond!$B:$AG,32,FALSE)</f>
        <v>#N/A</v>
      </c>
      <c r="Q432" s="135" t="e">
        <f ca="1">VLOOKUP($B432,bond!$B:$AH,33,FALSE)</f>
        <v>#N/A</v>
      </c>
      <c r="R432" s="135" t="e">
        <f ca="1">VLOOKUP(B432,bond!B:AA,26,FALSE)</f>
        <v>#N/A</v>
      </c>
      <c r="S432" s="135" t="e">
        <f ca="1">VLOOKUP(B432,bond!B:AI,34,FALSE)</f>
        <v>#N/A</v>
      </c>
      <c r="T432" s="135" t="e">
        <f t="shared" ca="1" si="42"/>
        <v>#N/A</v>
      </c>
      <c r="U432" s="207" t="e">
        <f ca="1">IFERROR(VLOOKUP(T432,Bond_DES!D:E,2,FALSE),VLOOKUP(S432,bond!AI:AJ,2,FALSE))</f>
        <v>#N/A</v>
      </c>
      <c r="V432" s="136" t="e">
        <f ca="1">IFERROR(VLOOKUP(B432,'1_重設數據'!L:M,2,FALSE),IF(Q432="政府",IF(AD432&gt;16,"(NPI)非專投",IF(AD432&gt;10,"(PI)專投","高資產")),IF(VLOOKUP(B432,bond!B:AN,39,FALSE)="Y","(PI)專投",IF(AD432&gt;=15,"(NPI)非專投",IF(AD432&gt;=10,"(PI)專投","高資產")))))</f>
        <v>#N/A</v>
      </c>
      <c r="W432" s="136" t="e">
        <f ca="1">VLOOKUP(AD432,'credit rating'!$F$2:$H$22,3,FALSE)</f>
        <v>#N/A</v>
      </c>
      <c r="X432" s="136" t="e">
        <f t="shared" ca="1" si="43"/>
        <v>#N/A</v>
      </c>
      <c r="Y432" s="136" t="e">
        <f t="shared" ca="1" si="44"/>
        <v>#N/A</v>
      </c>
      <c r="Z432" s="136" t="e">
        <f t="shared" ca="1" si="45"/>
        <v>#N/A</v>
      </c>
      <c r="AA432" s="134">
        <f ca="1">IFERROR(VLOOKUP(X432,'credit rating'!A:C,3,FALSE),0)</f>
        <v>0</v>
      </c>
      <c r="AB432" s="134">
        <f ca="1">IFERROR(VLOOKUP(Y432,'credit rating'!B:C,2,FALSE),0)</f>
        <v>0</v>
      </c>
      <c r="AC432" s="136">
        <f ca="1">IFERROR(VLOOKUP(Z432,'credit rating'!B:C,2,FALSE),0)</f>
        <v>0</v>
      </c>
      <c r="AD432" s="136">
        <f t="shared" ca="1" si="46"/>
        <v>0</v>
      </c>
      <c r="AE432" s="249" t="str">
        <f ca="1">IFERROR(VLOOKUP(B432,bond!B:U,20,FALSE),"")</f>
        <v/>
      </c>
      <c r="AF432" s="136" t="e">
        <f ca="1">IF(VLOOKUP(B432,bond!B:AK,36,FALSE)="#N/A Field Not Applicable","",VLOOKUP(B432,bond!B:AK,36,FALSE))</f>
        <v>#N/A</v>
      </c>
      <c r="AG432" s="136" t="e">
        <f ca="1">IF(VLOOKUP(B432,bond!B:AL,37,FALSE)="FIXED","固定",IF(VLOOKUP(B432,bond!B:AL,37,FALSE)="FLOATING","浮動",IF(VLOOKUP(B432,bond!B:AL,37,FALSE)="VARIABLE","變動",IF(VLOOKUP(B432,bond!B:AL,37,FALSE)="FLAT TRADING","不含息交易",IF(VLOOKUP(B432,bond!B:AL,37,FALSE)="ZERO COUPON","零息",VLOOKUP(B432,bond!B:AL,37,FALSE))))))</f>
        <v>#N/A</v>
      </c>
      <c r="AH432" s="136" t="e">
        <f>VLOOKUP(C432,'2_Check_code'!I:J,2,FALSE)</f>
        <v>#N/A</v>
      </c>
      <c r="AI432" s="136" t="e">
        <f t="shared" ca="1" si="47"/>
        <v>#N/A</v>
      </c>
      <c r="AJ432" s="136" t="e">
        <f t="shared" ca="1" si="48"/>
        <v>#N/A</v>
      </c>
      <c r="AK432" s="594" t="e">
        <f ca="1">IF(VLOOKUP(B432,bond!B:S,18,FALSE)="是","有",IF(VLOOKUP(B432,bond!B:S,18,FALSE)="NO OFFER","無","需查詢"))</f>
        <v>#N/A</v>
      </c>
      <c r="AL432" s="136" t="e">
        <f>IF(VLOOKUP(A432,bond!F:AR,39,FALSE)="#N/A Field Not Applicable",VLOOKUP(A432,bond!F:AR,38,FALSE),IFERROR(VLOOKUP(A432,'7_發行日例外'!A:B,2,FALSE),VLOOKUP(A432,bond!F:AR,39,FALSE)))</f>
        <v>#N/A</v>
      </c>
      <c r="AM432" s="136" t="e">
        <f ca="1">VLOOKUP(B432,bond!B:AK,36,FALSE)</f>
        <v>#N/A</v>
      </c>
      <c r="AN432" s="136" t="str">
        <f ca="1">IFERROR(VLOOKUP(B432,'3_是否下架'!A:A,1,FALSE),"")</f>
        <v/>
      </c>
      <c r="AO432" s="136" t="e">
        <f ca="1">VLOOKUP(B432,bond!B:J,9,FALSE)</f>
        <v>#N/A</v>
      </c>
      <c r="AP432" s="136" t="e">
        <f ca="1">VLOOKUP(B432,bond!B:V,21,FALSE)</f>
        <v>#N/A</v>
      </c>
    </row>
    <row r="433" spans="1:42">
      <c r="A433" s="141">
        <f>bond!F434</f>
        <v>0</v>
      </c>
      <c r="B433" s="151">
        <f ca="1">IF($C$1=TRUE,bond!B434,"")</f>
        <v>0</v>
      </c>
      <c r="C433" s="95" t="e">
        <f>VLOOKUP(A433,bond!F:G,2,FALSE)</f>
        <v>#N/A</v>
      </c>
      <c r="D433" s="142" t="e">
        <f ca="1">VLOOKUP(B433,bond!B:C,2,FALSE)</f>
        <v>#N/A</v>
      </c>
      <c r="E433" s="95" t="e">
        <f ca="1">VLOOKUP(B433,bond!B:D,3,FALSE)</f>
        <v>#N/A</v>
      </c>
      <c r="F433" s="99" t="e">
        <f ca="1">VLOOKUP(B433,bond!B:AB,27,FALSE)</f>
        <v>#N/A</v>
      </c>
      <c r="G433" s="90" t="e">
        <f ca="1">VLOOKUP(B433,bond!B:E,4,FALSE)</f>
        <v>#N/A</v>
      </c>
      <c r="H433" s="202" t="e">
        <f ca="1">VLOOKUP(B433,bond!B:Y,24,FALSE)</f>
        <v>#N/A</v>
      </c>
      <c r="I433" s="95" t="e">
        <f ca="1">VLOOKUP(B433,bond!B:Z,25,FALSE)</f>
        <v>#N/A</v>
      </c>
      <c r="J433" s="180" t="e">
        <f ca="1">VLOOKUP(B433,bond!B:K,10,FALSE)</f>
        <v>#N/A</v>
      </c>
      <c r="K433" s="96" t="e">
        <f ca="1">VLOOKUP($B433,bond!B:S,14,FALSE)</f>
        <v>#N/A</v>
      </c>
      <c r="L433" s="91" t="e">
        <f ca="1">VLOOKUP(B433,bond!B:H,7,FALSE)</f>
        <v>#N/A</v>
      </c>
      <c r="M433" s="144" t="e">
        <f ca="1">VLOOKUP($B433,bond!$B:$Q,16,FALSE)</f>
        <v>#N/A</v>
      </c>
      <c r="N433" s="136" t="e">
        <f ca="1">VALUE(LEFT(VLOOKUP(B433,bond!B:R,17,FALSE),SEARCH(" ",VLOOKUP(B433,bond!B:R,17,FALSE),1)))</f>
        <v>#N/A</v>
      </c>
      <c r="O433" s="136" t="e">
        <f ca="1">VALUE(RIGHT(VLOOKUP(B433,bond!B:R,17,FALSE),LEN(VLOOKUP(B433,bond!B:R,17,FALSE))-LEN(N433)-3))</f>
        <v>#N/A</v>
      </c>
      <c r="P433" s="135" t="e">
        <f ca="1">VLOOKUP($B433,bond!$B:$AG,32,FALSE)</f>
        <v>#N/A</v>
      </c>
      <c r="Q433" s="135" t="e">
        <f ca="1">VLOOKUP($B433,bond!$B:$AH,33,FALSE)</f>
        <v>#N/A</v>
      </c>
      <c r="R433" s="135" t="e">
        <f ca="1">VLOOKUP(B433,bond!B:AA,26,FALSE)</f>
        <v>#N/A</v>
      </c>
      <c r="S433" s="135" t="e">
        <f ca="1">VLOOKUP(B433,bond!B:AI,34,FALSE)</f>
        <v>#N/A</v>
      </c>
      <c r="T433" s="135" t="e">
        <f t="shared" ca="1" si="42"/>
        <v>#N/A</v>
      </c>
      <c r="U433" s="207" t="e">
        <f ca="1">IFERROR(VLOOKUP(T433,Bond_DES!D:E,2,FALSE),VLOOKUP(S433,bond!AI:AJ,2,FALSE))</f>
        <v>#N/A</v>
      </c>
      <c r="V433" s="136" t="e">
        <f ca="1">IFERROR(VLOOKUP(B433,'1_重設數據'!L:M,2,FALSE),IF(Q433="政府",IF(AD433&gt;16,"(NPI)非專投",IF(AD433&gt;10,"(PI)專投","高資產")),IF(VLOOKUP(B433,bond!B:AN,39,FALSE)="Y","(PI)專投",IF(AD433&gt;=15,"(NPI)非專投",IF(AD433&gt;=10,"(PI)專投","高資產")))))</f>
        <v>#N/A</v>
      </c>
      <c r="W433" s="136" t="e">
        <f ca="1">VLOOKUP(AD433,'credit rating'!$F$2:$H$22,3,FALSE)</f>
        <v>#N/A</v>
      </c>
      <c r="X433" s="136" t="e">
        <f t="shared" ca="1" si="43"/>
        <v>#N/A</v>
      </c>
      <c r="Y433" s="136" t="e">
        <f t="shared" ca="1" si="44"/>
        <v>#N/A</v>
      </c>
      <c r="Z433" s="136" t="e">
        <f t="shared" ca="1" si="45"/>
        <v>#N/A</v>
      </c>
      <c r="AA433" s="134">
        <f ca="1">IFERROR(VLOOKUP(X433,'credit rating'!A:C,3,FALSE),0)</f>
        <v>0</v>
      </c>
      <c r="AB433" s="134">
        <f ca="1">IFERROR(VLOOKUP(Y433,'credit rating'!B:C,2,FALSE),0)</f>
        <v>0</v>
      </c>
      <c r="AC433" s="136">
        <f ca="1">IFERROR(VLOOKUP(Z433,'credit rating'!B:C,2,FALSE),0)</f>
        <v>0</v>
      </c>
      <c r="AD433" s="136">
        <f t="shared" ca="1" si="46"/>
        <v>0</v>
      </c>
      <c r="AE433" s="249" t="str">
        <f ca="1">IFERROR(VLOOKUP(B433,bond!B:U,20,FALSE),"")</f>
        <v/>
      </c>
      <c r="AF433" s="136" t="e">
        <f ca="1">IF(VLOOKUP(B433,bond!B:AK,36,FALSE)="#N/A Field Not Applicable","",VLOOKUP(B433,bond!B:AK,36,FALSE))</f>
        <v>#N/A</v>
      </c>
      <c r="AG433" s="136" t="e">
        <f ca="1">IF(VLOOKUP(B433,bond!B:AL,37,FALSE)="FIXED","固定",IF(VLOOKUP(B433,bond!B:AL,37,FALSE)="FLOATING","浮動",IF(VLOOKUP(B433,bond!B:AL,37,FALSE)="VARIABLE","變動",IF(VLOOKUP(B433,bond!B:AL,37,FALSE)="FLAT TRADING","不含息交易",IF(VLOOKUP(B433,bond!B:AL,37,FALSE)="ZERO COUPON","零息",VLOOKUP(B433,bond!B:AL,37,FALSE))))))</f>
        <v>#N/A</v>
      </c>
      <c r="AH433" s="136" t="e">
        <f>VLOOKUP(C433,'2_Check_code'!I:J,2,FALSE)</f>
        <v>#N/A</v>
      </c>
      <c r="AI433" s="136" t="e">
        <f t="shared" ca="1" si="47"/>
        <v>#N/A</v>
      </c>
      <c r="AJ433" s="136" t="e">
        <f t="shared" ca="1" si="48"/>
        <v>#N/A</v>
      </c>
      <c r="AK433" s="594" t="e">
        <f ca="1">IF(VLOOKUP(B433,bond!B:S,18,FALSE)="是","有",IF(VLOOKUP(B433,bond!B:S,18,FALSE)="NO OFFER","無","需查詢"))</f>
        <v>#N/A</v>
      </c>
      <c r="AL433" s="136" t="e">
        <f>IF(VLOOKUP(A433,bond!F:AR,39,FALSE)="#N/A Field Not Applicable",VLOOKUP(A433,bond!F:AR,38,FALSE),IFERROR(VLOOKUP(A433,'7_發行日例外'!A:B,2,FALSE),VLOOKUP(A433,bond!F:AR,39,FALSE)))</f>
        <v>#N/A</v>
      </c>
      <c r="AM433" s="136" t="e">
        <f ca="1">VLOOKUP(B433,bond!B:AK,36,FALSE)</f>
        <v>#N/A</v>
      </c>
      <c r="AN433" s="136" t="str">
        <f ca="1">IFERROR(VLOOKUP(B433,'3_是否下架'!A:A,1,FALSE),"")</f>
        <v/>
      </c>
      <c r="AO433" s="136" t="e">
        <f ca="1">VLOOKUP(B433,bond!B:J,9,FALSE)</f>
        <v>#N/A</v>
      </c>
      <c r="AP433" s="136" t="e">
        <f ca="1">VLOOKUP(B433,bond!B:V,21,FALSE)</f>
        <v>#N/A</v>
      </c>
    </row>
    <row r="434" spans="1:42">
      <c r="A434" s="141">
        <f>bond!F435</f>
        <v>0</v>
      </c>
      <c r="B434" s="151">
        <f ca="1">IF($C$1=TRUE,bond!B435,"")</f>
        <v>0</v>
      </c>
      <c r="C434" s="95" t="e">
        <f>VLOOKUP(A434,bond!F:G,2,FALSE)</f>
        <v>#N/A</v>
      </c>
      <c r="D434" s="142" t="e">
        <f ca="1">VLOOKUP(B434,bond!B:C,2,FALSE)</f>
        <v>#N/A</v>
      </c>
      <c r="E434" s="95" t="e">
        <f ca="1">VLOOKUP(B434,bond!B:D,3,FALSE)</f>
        <v>#N/A</v>
      </c>
      <c r="F434" s="99" t="e">
        <f ca="1">VLOOKUP(B434,bond!B:AB,27,FALSE)</f>
        <v>#N/A</v>
      </c>
      <c r="G434" s="90" t="e">
        <f ca="1">VLOOKUP(B434,bond!B:E,4,FALSE)</f>
        <v>#N/A</v>
      </c>
      <c r="H434" s="202" t="e">
        <f ca="1">VLOOKUP(B434,bond!B:Y,24,FALSE)</f>
        <v>#N/A</v>
      </c>
      <c r="I434" s="95" t="e">
        <f ca="1">VLOOKUP(B434,bond!B:Z,25,FALSE)</f>
        <v>#N/A</v>
      </c>
      <c r="J434" s="180" t="e">
        <f ca="1">VLOOKUP(B434,bond!B:K,10,FALSE)</f>
        <v>#N/A</v>
      </c>
      <c r="K434" s="96" t="e">
        <f ca="1">VLOOKUP($B434,bond!B:S,14,FALSE)</f>
        <v>#N/A</v>
      </c>
      <c r="L434" s="91" t="e">
        <f ca="1">VLOOKUP(B434,bond!B:H,7,FALSE)</f>
        <v>#N/A</v>
      </c>
      <c r="M434" s="144" t="e">
        <f ca="1">VLOOKUP($B434,bond!$B:$Q,16,FALSE)</f>
        <v>#N/A</v>
      </c>
      <c r="N434" s="136" t="e">
        <f ca="1">VALUE(LEFT(VLOOKUP(B434,bond!B:R,17,FALSE),SEARCH(" ",VLOOKUP(B434,bond!B:R,17,FALSE),1)))</f>
        <v>#N/A</v>
      </c>
      <c r="O434" s="136" t="e">
        <f ca="1">VALUE(RIGHT(VLOOKUP(B434,bond!B:R,17,FALSE),LEN(VLOOKUP(B434,bond!B:R,17,FALSE))-LEN(N434)-3))</f>
        <v>#N/A</v>
      </c>
      <c r="P434" s="135" t="e">
        <f ca="1">VLOOKUP($B434,bond!$B:$AG,32,FALSE)</f>
        <v>#N/A</v>
      </c>
      <c r="Q434" s="135" t="e">
        <f ca="1">VLOOKUP($B434,bond!$B:$AH,33,FALSE)</f>
        <v>#N/A</v>
      </c>
      <c r="R434" s="135" t="e">
        <f ca="1">VLOOKUP(B434,bond!B:AA,26,FALSE)</f>
        <v>#N/A</v>
      </c>
      <c r="S434" s="135" t="e">
        <f ca="1">VLOOKUP(B434,bond!B:AI,34,FALSE)</f>
        <v>#N/A</v>
      </c>
      <c r="T434" s="135" t="e">
        <f t="shared" ca="1" si="42"/>
        <v>#N/A</v>
      </c>
      <c r="U434" s="207" t="e">
        <f ca="1">IFERROR(VLOOKUP(T434,Bond_DES!D:E,2,FALSE),VLOOKUP(S434,bond!AI:AJ,2,FALSE))</f>
        <v>#N/A</v>
      </c>
      <c r="V434" s="136" t="e">
        <f ca="1">IFERROR(VLOOKUP(B434,'1_重設數據'!L:M,2,FALSE),IF(Q434="政府",IF(AD434&gt;16,"(NPI)非專投",IF(AD434&gt;10,"(PI)專投","高資產")),IF(VLOOKUP(B434,bond!B:AN,39,FALSE)="Y","(PI)專投",IF(AD434&gt;=15,"(NPI)非專投",IF(AD434&gt;=10,"(PI)專投","高資產")))))</f>
        <v>#N/A</v>
      </c>
      <c r="W434" s="136" t="e">
        <f ca="1">VLOOKUP(AD434,'credit rating'!$F$2:$H$22,3,FALSE)</f>
        <v>#N/A</v>
      </c>
      <c r="X434" s="136" t="e">
        <f t="shared" ca="1" si="43"/>
        <v>#N/A</v>
      </c>
      <c r="Y434" s="136" t="e">
        <f t="shared" ca="1" si="44"/>
        <v>#N/A</v>
      </c>
      <c r="Z434" s="136" t="e">
        <f t="shared" ca="1" si="45"/>
        <v>#N/A</v>
      </c>
      <c r="AA434" s="134">
        <f ca="1">IFERROR(VLOOKUP(X434,'credit rating'!A:C,3,FALSE),0)</f>
        <v>0</v>
      </c>
      <c r="AB434" s="134">
        <f ca="1">IFERROR(VLOOKUP(Y434,'credit rating'!B:C,2,FALSE),0)</f>
        <v>0</v>
      </c>
      <c r="AC434" s="136">
        <f ca="1">IFERROR(VLOOKUP(Z434,'credit rating'!B:C,2,FALSE),0)</f>
        <v>0</v>
      </c>
      <c r="AD434" s="136">
        <f t="shared" ca="1" si="46"/>
        <v>0</v>
      </c>
      <c r="AE434" s="249" t="str">
        <f ca="1">IFERROR(VLOOKUP(B434,bond!B:U,20,FALSE),"")</f>
        <v/>
      </c>
      <c r="AF434" s="136" t="e">
        <f ca="1">IF(VLOOKUP(B434,bond!B:AK,36,FALSE)="#N/A Field Not Applicable","",VLOOKUP(B434,bond!B:AK,36,FALSE))</f>
        <v>#N/A</v>
      </c>
      <c r="AG434" s="136" t="e">
        <f ca="1">IF(VLOOKUP(B434,bond!B:AL,37,FALSE)="FIXED","固定",IF(VLOOKUP(B434,bond!B:AL,37,FALSE)="FLOATING","浮動",IF(VLOOKUP(B434,bond!B:AL,37,FALSE)="VARIABLE","變動",IF(VLOOKUP(B434,bond!B:AL,37,FALSE)="FLAT TRADING","不含息交易",IF(VLOOKUP(B434,bond!B:AL,37,FALSE)="ZERO COUPON","零息",VLOOKUP(B434,bond!B:AL,37,FALSE))))))</f>
        <v>#N/A</v>
      </c>
      <c r="AH434" s="136" t="e">
        <f>VLOOKUP(C434,'2_Check_code'!I:J,2,FALSE)</f>
        <v>#N/A</v>
      </c>
      <c r="AI434" s="136" t="e">
        <f t="shared" ca="1" si="47"/>
        <v>#N/A</v>
      </c>
      <c r="AJ434" s="136" t="e">
        <f t="shared" ca="1" si="48"/>
        <v>#N/A</v>
      </c>
      <c r="AK434" s="594" t="e">
        <f ca="1">IF(VLOOKUP(B434,bond!B:S,18,FALSE)="是","有",IF(VLOOKUP(B434,bond!B:S,18,FALSE)="NO OFFER","無","需查詢"))</f>
        <v>#N/A</v>
      </c>
      <c r="AL434" s="136" t="e">
        <f>IF(VLOOKUP(A434,bond!F:AR,39,FALSE)="#N/A Field Not Applicable",VLOOKUP(A434,bond!F:AR,38,FALSE),IFERROR(VLOOKUP(A434,'7_發行日例外'!A:B,2,FALSE),VLOOKUP(A434,bond!F:AR,39,FALSE)))</f>
        <v>#N/A</v>
      </c>
      <c r="AM434" s="136" t="e">
        <f ca="1">VLOOKUP(B434,bond!B:AK,36,FALSE)</f>
        <v>#N/A</v>
      </c>
      <c r="AN434" s="136" t="str">
        <f ca="1">IFERROR(VLOOKUP(B434,'3_是否下架'!A:A,1,FALSE),"")</f>
        <v/>
      </c>
      <c r="AO434" s="136" t="e">
        <f ca="1">VLOOKUP(B434,bond!B:J,9,FALSE)</f>
        <v>#N/A</v>
      </c>
      <c r="AP434" s="136" t="e">
        <f ca="1">VLOOKUP(B434,bond!B:V,21,FALSE)</f>
        <v>#N/A</v>
      </c>
    </row>
    <row r="435" spans="1:42">
      <c r="A435" s="141">
        <f>bond!F436</f>
        <v>0</v>
      </c>
      <c r="B435" s="151">
        <f ca="1">IF($C$1=TRUE,bond!B436,"")</f>
        <v>0</v>
      </c>
      <c r="C435" s="95" t="e">
        <f>VLOOKUP(A435,bond!F:G,2,FALSE)</f>
        <v>#N/A</v>
      </c>
      <c r="D435" s="142" t="e">
        <f ca="1">VLOOKUP(B435,bond!B:C,2,FALSE)</f>
        <v>#N/A</v>
      </c>
      <c r="E435" s="95" t="e">
        <f ca="1">VLOOKUP(B435,bond!B:D,3,FALSE)</f>
        <v>#N/A</v>
      </c>
      <c r="F435" s="99" t="e">
        <f ca="1">VLOOKUP(B435,bond!B:AB,27,FALSE)</f>
        <v>#N/A</v>
      </c>
      <c r="G435" s="90" t="e">
        <f ca="1">VLOOKUP(B435,bond!B:E,4,FALSE)</f>
        <v>#N/A</v>
      </c>
      <c r="H435" s="202" t="e">
        <f ca="1">VLOOKUP(B435,bond!B:Y,24,FALSE)</f>
        <v>#N/A</v>
      </c>
      <c r="I435" s="95" t="e">
        <f ca="1">VLOOKUP(B435,bond!B:Z,25,FALSE)</f>
        <v>#N/A</v>
      </c>
      <c r="J435" s="180" t="e">
        <f ca="1">VLOOKUP(B435,bond!B:K,10,FALSE)</f>
        <v>#N/A</v>
      </c>
      <c r="K435" s="96" t="e">
        <f ca="1">VLOOKUP($B435,bond!B:S,14,FALSE)</f>
        <v>#N/A</v>
      </c>
      <c r="L435" s="91" t="e">
        <f ca="1">VLOOKUP(B435,bond!B:H,7,FALSE)</f>
        <v>#N/A</v>
      </c>
      <c r="M435" s="144" t="e">
        <f ca="1">VLOOKUP($B435,bond!$B:$Q,16,FALSE)</f>
        <v>#N/A</v>
      </c>
      <c r="N435" s="136" t="e">
        <f ca="1">VALUE(LEFT(VLOOKUP(B435,bond!B:R,17,FALSE),SEARCH(" ",VLOOKUP(B435,bond!B:R,17,FALSE),1)))</f>
        <v>#N/A</v>
      </c>
      <c r="O435" s="136" t="e">
        <f ca="1">VALUE(RIGHT(VLOOKUP(B435,bond!B:R,17,FALSE),LEN(VLOOKUP(B435,bond!B:R,17,FALSE))-LEN(N435)-3))</f>
        <v>#N/A</v>
      </c>
      <c r="P435" s="135" t="e">
        <f ca="1">VLOOKUP($B435,bond!$B:$AG,32,FALSE)</f>
        <v>#N/A</v>
      </c>
      <c r="Q435" s="135" t="e">
        <f ca="1">VLOOKUP($B435,bond!$B:$AH,33,FALSE)</f>
        <v>#N/A</v>
      </c>
      <c r="R435" s="135" t="e">
        <f ca="1">VLOOKUP(B435,bond!B:AA,26,FALSE)</f>
        <v>#N/A</v>
      </c>
      <c r="S435" s="135" t="e">
        <f ca="1">VLOOKUP(B435,bond!B:AI,34,FALSE)</f>
        <v>#N/A</v>
      </c>
      <c r="T435" s="135" t="e">
        <f t="shared" ca="1" si="42"/>
        <v>#N/A</v>
      </c>
      <c r="U435" s="207" t="e">
        <f ca="1">IFERROR(VLOOKUP(T435,Bond_DES!D:E,2,FALSE),VLOOKUP(S435,bond!AI:AJ,2,FALSE))</f>
        <v>#N/A</v>
      </c>
      <c r="V435" s="136" t="e">
        <f ca="1">IFERROR(VLOOKUP(B435,'1_重設數據'!L:M,2,FALSE),IF(Q435="政府",IF(AD435&gt;16,"(NPI)非專投",IF(AD435&gt;10,"(PI)專投","高資產")),IF(VLOOKUP(B435,bond!B:AN,39,FALSE)="Y","(PI)專投",IF(AD435&gt;=15,"(NPI)非專投",IF(AD435&gt;=10,"(PI)專投","高資產")))))</f>
        <v>#N/A</v>
      </c>
      <c r="W435" s="136" t="e">
        <f ca="1">VLOOKUP(AD435,'credit rating'!$F$2:$H$22,3,FALSE)</f>
        <v>#N/A</v>
      </c>
      <c r="X435" s="136" t="e">
        <f t="shared" ca="1" si="43"/>
        <v>#N/A</v>
      </c>
      <c r="Y435" s="136" t="e">
        <f t="shared" ca="1" si="44"/>
        <v>#N/A</v>
      </c>
      <c r="Z435" s="136" t="e">
        <f t="shared" ca="1" si="45"/>
        <v>#N/A</v>
      </c>
      <c r="AA435" s="134">
        <f ca="1">IFERROR(VLOOKUP(X435,'credit rating'!A:C,3,FALSE),0)</f>
        <v>0</v>
      </c>
      <c r="AB435" s="134">
        <f ca="1">IFERROR(VLOOKUP(Y435,'credit rating'!B:C,2,FALSE),0)</f>
        <v>0</v>
      </c>
      <c r="AC435" s="136">
        <f ca="1">IFERROR(VLOOKUP(Z435,'credit rating'!B:C,2,FALSE),0)</f>
        <v>0</v>
      </c>
      <c r="AD435" s="136">
        <f t="shared" ca="1" si="46"/>
        <v>0</v>
      </c>
      <c r="AE435" s="249" t="str">
        <f ca="1">IFERROR(VLOOKUP(B435,bond!B:U,20,FALSE),"")</f>
        <v/>
      </c>
      <c r="AF435" s="136" t="e">
        <f ca="1">IF(VLOOKUP(B435,bond!B:AK,36,FALSE)="#N/A Field Not Applicable","",VLOOKUP(B435,bond!B:AK,36,FALSE))</f>
        <v>#N/A</v>
      </c>
      <c r="AG435" s="136" t="e">
        <f ca="1">IF(VLOOKUP(B435,bond!B:AL,37,FALSE)="FIXED","固定",IF(VLOOKUP(B435,bond!B:AL,37,FALSE)="FLOATING","浮動",IF(VLOOKUP(B435,bond!B:AL,37,FALSE)="VARIABLE","變動",IF(VLOOKUP(B435,bond!B:AL,37,FALSE)="FLAT TRADING","不含息交易",IF(VLOOKUP(B435,bond!B:AL,37,FALSE)="ZERO COUPON","零息",VLOOKUP(B435,bond!B:AL,37,FALSE))))))</f>
        <v>#N/A</v>
      </c>
      <c r="AH435" s="136" t="e">
        <f>VLOOKUP(C435,'2_Check_code'!I:J,2,FALSE)</f>
        <v>#N/A</v>
      </c>
      <c r="AI435" s="136" t="e">
        <f t="shared" ca="1" si="47"/>
        <v>#N/A</v>
      </c>
      <c r="AJ435" s="136" t="e">
        <f t="shared" ca="1" si="48"/>
        <v>#N/A</v>
      </c>
      <c r="AK435" s="594" t="e">
        <f ca="1">IF(VLOOKUP(B435,bond!B:S,18,FALSE)="是","有",IF(VLOOKUP(B435,bond!B:S,18,FALSE)="NO OFFER","無","需查詢"))</f>
        <v>#N/A</v>
      </c>
      <c r="AL435" s="136" t="e">
        <f>IF(VLOOKUP(A435,bond!F:AR,39,FALSE)="#N/A Field Not Applicable",VLOOKUP(A435,bond!F:AR,38,FALSE),IFERROR(VLOOKUP(A435,'7_發行日例外'!A:B,2,FALSE),VLOOKUP(A435,bond!F:AR,39,FALSE)))</f>
        <v>#N/A</v>
      </c>
      <c r="AM435" s="136" t="e">
        <f ca="1">VLOOKUP(B435,bond!B:AK,36,FALSE)</f>
        <v>#N/A</v>
      </c>
      <c r="AN435" s="136" t="str">
        <f ca="1">IFERROR(VLOOKUP(B435,'3_是否下架'!A:A,1,FALSE),"")</f>
        <v/>
      </c>
      <c r="AO435" s="136" t="e">
        <f ca="1">VLOOKUP(B435,bond!B:J,9,FALSE)</f>
        <v>#N/A</v>
      </c>
      <c r="AP435" s="136" t="e">
        <f ca="1">VLOOKUP(B435,bond!B:V,21,FALSE)</f>
        <v>#N/A</v>
      </c>
    </row>
    <row r="436" spans="1:42">
      <c r="A436" s="141">
        <f>bond!F437</f>
        <v>0</v>
      </c>
      <c r="B436" s="151">
        <f ca="1">IF($C$1=TRUE,bond!B437,"")</f>
        <v>0</v>
      </c>
      <c r="C436" s="95" t="e">
        <f>VLOOKUP(A436,bond!F:G,2,FALSE)</f>
        <v>#N/A</v>
      </c>
      <c r="D436" s="142" t="e">
        <f ca="1">VLOOKUP(B436,bond!B:C,2,FALSE)</f>
        <v>#N/A</v>
      </c>
      <c r="E436" s="95" t="e">
        <f ca="1">VLOOKUP(B436,bond!B:D,3,FALSE)</f>
        <v>#N/A</v>
      </c>
      <c r="F436" s="99" t="e">
        <f ca="1">VLOOKUP(B436,bond!B:AB,27,FALSE)</f>
        <v>#N/A</v>
      </c>
      <c r="G436" s="90" t="e">
        <f ca="1">VLOOKUP(B436,bond!B:E,4,FALSE)</f>
        <v>#N/A</v>
      </c>
      <c r="H436" s="202" t="e">
        <f ca="1">VLOOKUP(B436,bond!B:Y,24,FALSE)</f>
        <v>#N/A</v>
      </c>
      <c r="I436" s="95" t="e">
        <f ca="1">VLOOKUP(B436,bond!B:Z,25,FALSE)</f>
        <v>#N/A</v>
      </c>
      <c r="J436" s="180" t="e">
        <f ca="1">VLOOKUP(B436,bond!B:K,10,FALSE)</f>
        <v>#N/A</v>
      </c>
      <c r="K436" s="96" t="e">
        <f ca="1">VLOOKUP($B436,bond!B:S,14,FALSE)</f>
        <v>#N/A</v>
      </c>
      <c r="L436" s="91" t="e">
        <f ca="1">VLOOKUP(B436,bond!B:H,7,FALSE)</f>
        <v>#N/A</v>
      </c>
      <c r="M436" s="144" t="e">
        <f ca="1">VLOOKUP($B436,bond!$B:$Q,16,FALSE)</f>
        <v>#N/A</v>
      </c>
      <c r="N436" s="136" t="e">
        <f ca="1">VALUE(LEFT(VLOOKUP(B436,bond!B:R,17,FALSE),SEARCH(" ",VLOOKUP(B436,bond!B:R,17,FALSE),1)))</f>
        <v>#N/A</v>
      </c>
      <c r="O436" s="136" t="e">
        <f ca="1">VALUE(RIGHT(VLOOKUP(B436,bond!B:R,17,FALSE),LEN(VLOOKUP(B436,bond!B:R,17,FALSE))-LEN(N436)-3))</f>
        <v>#N/A</v>
      </c>
      <c r="P436" s="135" t="e">
        <f ca="1">VLOOKUP($B436,bond!$B:$AG,32,FALSE)</f>
        <v>#N/A</v>
      </c>
      <c r="Q436" s="135" t="e">
        <f ca="1">VLOOKUP($B436,bond!$B:$AH,33,FALSE)</f>
        <v>#N/A</v>
      </c>
      <c r="R436" s="135" t="e">
        <f ca="1">VLOOKUP(B436,bond!B:AA,26,FALSE)</f>
        <v>#N/A</v>
      </c>
      <c r="S436" s="135" t="e">
        <f ca="1">VLOOKUP(B436,bond!B:AI,34,FALSE)</f>
        <v>#N/A</v>
      </c>
      <c r="T436" s="135" t="e">
        <f t="shared" ca="1" si="42"/>
        <v>#N/A</v>
      </c>
      <c r="U436" s="207" t="e">
        <f ca="1">IFERROR(VLOOKUP(T436,Bond_DES!D:E,2,FALSE),VLOOKUP(S436,bond!AI:AJ,2,FALSE))</f>
        <v>#N/A</v>
      </c>
      <c r="V436" s="136" t="e">
        <f ca="1">IFERROR(VLOOKUP(B436,'1_重設數據'!L:M,2,FALSE),IF(Q436="政府",IF(AD436&gt;16,"(NPI)非專投",IF(AD436&gt;10,"(PI)專投","高資產")),IF(VLOOKUP(B436,bond!B:AN,39,FALSE)="Y","(PI)專投",IF(AD436&gt;=15,"(NPI)非專投",IF(AD436&gt;=10,"(PI)專投","高資產")))))</f>
        <v>#N/A</v>
      </c>
      <c r="W436" s="136" t="e">
        <f ca="1">VLOOKUP(AD436,'credit rating'!$F$2:$H$22,3,FALSE)</f>
        <v>#N/A</v>
      </c>
      <c r="X436" s="136" t="e">
        <f t="shared" ca="1" si="43"/>
        <v>#N/A</v>
      </c>
      <c r="Y436" s="136" t="e">
        <f t="shared" ca="1" si="44"/>
        <v>#N/A</v>
      </c>
      <c r="Z436" s="136" t="e">
        <f t="shared" ca="1" si="45"/>
        <v>#N/A</v>
      </c>
      <c r="AA436" s="134">
        <f ca="1">IFERROR(VLOOKUP(X436,'credit rating'!A:C,3,FALSE),0)</f>
        <v>0</v>
      </c>
      <c r="AB436" s="134">
        <f ca="1">IFERROR(VLOOKUP(Y436,'credit rating'!B:C,2,FALSE),0)</f>
        <v>0</v>
      </c>
      <c r="AC436" s="136">
        <f ca="1">IFERROR(VLOOKUP(Z436,'credit rating'!B:C,2,FALSE),0)</f>
        <v>0</v>
      </c>
      <c r="AD436" s="136">
        <f t="shared" ca="1" si="46"/>
        <v>0</v>
      </c>
      <c r="AE436" s="249" t="str">
        <f ca="1">IFERROR(VLOOKUP(B436,bond!B:U,20,FALSE),"")</f>
        <v/>
      </c>
      <c r="AF436" s="136" t="e">
        <f ca="1">IF(VLOOKUP(B436,bond!B:AK,36,FALSE)="#N/A Field Not Applicable","",VLOOKUP(B436,bond!B:AK,36,FALSE))</f>
        <v>#N/A</v>
      </c>
      <c r="AG436" s="136" t="e">
        <f ca="1">IF(VLOOKUP(B436,bond!B:AL,37,FALSE)="FIXED","固定",IF(VLOOKUP(B436,bond!B:AL,37,FALSE)="FLOATING","浮動",IF(VLOOKUP(B436,bond!B:AL,37,FALSE)="VARIABLE","變動",IF(VLOOKUP(B436,bond!B:AL,37,FALSE)="FLAT TRADING","不含息交易",IF(VLOOKUP(B436,bond!B:AL,37,FALSE)="ZERO COUPON","零息",VLOOKUP(B436,bond!B:AL,37,FALSE))))))</f>
        <v>#N/A</v>
      </c>
      <c r="AH436" s="136" t="e">
        <f>VLOOKUP(C436,'2_Check_code'!I:J,2,FALSE)</f>
        <v>#N/A</v>
      </c>
      <c r="AI436" s="136" t="e">
        <f t="shared" ca="1" si="47"/>
        <v>#N/A</v>
      </c>
      <c r="AJ436" s="136" t="e">
        <f t="shared" ca="1" si="48"/>
        <v>#N/A</v>
      </c>
      <c r="AK436" s="594" t="e">
        <f ca="1">IF(VLOOKUP(B436,bond!B:S,18,FALSE)="是","有",IF(VLOOKUP(B436,bond!B:S,18,FALSE)="NO OFFER","無","需查詢"))</f>
        <v>#N/A</v>
      </c>
      <c r="AL436" s="136" t="e">
        <f>IF(VLOOKUP(A436,bond!F:AR,39,FALSE)="#N/A Field Not Applicable",VLOOKUP(A436,bond!F:AR,38,FALSE),IFERROR(VLOOKUP(A436,'7_發行日例外'!A:B,2,FALSE),VLOOKUP(A436,bond!F:AR,39,FALSE)))</f>
        <v>#N/A</v>
      </c>
      <c r="AM436" s="136" t="e">
        <f ca="1">VLOOKUP(B436,bond!B:AK,36,FALSE)</f>
        <v>#N/A</v>
      </c>
      <c r="AN436" s="136" t="str">
        <f ca="1">IFERROR(VLOOKUP(B436,'3_是否下架'!A:A,1,FALSE),"")</f>
        <v/>
      </c>
      <c r="AO436" s="136" t="e">
        <f ca="1">VLOOKUP(B436,bond!B:J,9,FALSE)</f>
        <v>#N/A</v>
      </c>
      <c r="AP436" s="136" t="e">
        <f ca="1">VLOOKUP(B436,bond!B:V,21,FALSE)</f>
        <v>#N/A</v>
      </c>
    </row>
    <row r="437" spans="1:42">
      <c r="A437" s="141">
        <f>bond!F438</f>
        <v>0</v>
      </c>
      <c r="B437" s="151">
        <f ca="1">IF($C$1=TRUE,bond!B438,"")</f>
        <v>0</v>
      </c>
      <c r="C437" s="95" t="e">
        <f>VLOOKUP(A437,bond!F:G,2,FALSE)</f>
        <v>#N/A</v>
      </c>
      <c r="D437" s="142" t="e">
        <f ca="1">VLOOKUP(B437,bond!B:C,2,FALSE)</f>
        <v>#N/A</v>
      </c>
      <c r="E437" s="95" t="e">
        <f ca="1">VLOOKUP(B437,bond!B:D,3,FALSE)</f>
        <v>#N/A</v>
      </c>
      <c r="F437" s="99" t="e">
        <f ca="1">VLOOKUP(B437,bond!B:AB,27,FALSE)</f>
        <v>#N/A</v>
      </c>
      <c r="G437" s="90" t="e">
        <f ca="1">VLOOKUP(B437,bond!B:E,4,FALSE)</f>
        <v>#N/A</v>
      </c>
      <c r="H437" s="202" t="e">
        <f ca="1">VLOOKUP(B437,bond!B:Y,24,FALSE)</f>
        <v>#N/A</v>
      </c>
      <c r="I437" s="95" t="e">
        <f ca="1">VLOOKUP(B437,bond!B:Z,25,FALSE)</f>
        <v>#N/A</v>
      </c>
      <c r="J437" s="180" t="e">
        <f ca="1">VLOOKUP(B437,bond!B:K,10,FALSE)</f>
        <v>#N/A</v>
      </c>
      <c r="K437" s="96" t="e">
        <f ca="1">VLOOKUP($B437,bond!B:S,14,FALSE)</f>
        <v>#N/A</v>
      </c>
      <c r="L437" s="91" t="e">
        <f ca="1">VLOOKUP(B437,bond!B:H,7,FALSE)</f>
        <v>#N/A</v>
      </c>
      <c r="M437" s="144" t="e">
        <f ca="1">VLOOKUP($B437,bond!$B:$Q,16,FALSE)</f>
        <v>#N/A</v>
      </c>
      <c r="N437" s="136" t="e">
        <f ca="1">VALUE(LEFT(VLOOKUP(B437,bond!B:R,17,FALSE),SEARCH(" ",VLOOKUP(B437,bond!B:R,17,FALSE),1)))</f>
        <v>#N/A</v>
      </c>
      <c r="O437" s="136" t="e">
        <f ca="1">VALUE(RIGHT(VLOOKUP(B437,bond!B:R,17,FALSE),LEN(VLOOKUP(B437,bond!B:R,17,FALSE))-LEN(N437)-3))</f>
        <v>#N/A</v>
      </c>
      <c r="P437" s="135" t="e">
        <f ca="1">VLOOKUP($B437,bond!$B:$AG,32,FALSE)</f>
        <v>#N/A</v>
      </c>
      <c r="Q437" s="135" t="e">
        <f ca="1">VLOOKUP($B437,bond!$B:$AH,33,FALSE)</f>
        <v>#N/A</v>
      </c>
      <c r="R437" s="135" t="e">
        <f ca="1">VLOOKUP(B437,bond!B:AA,26,FALSE)</f>
        <v>#N/A</v>
      </c>
      <c r="S437" s="135" t="e">
        <f ca="1">VLOOKUP(B437,bond!B:AI,34,FALSE)</f>
        <v>#N/A</v>
      </c>
      <c r="T437" s="135" t="e">
        <f t="shared" ca="1" si="42"/>
        <v>#N/A</v>
      </c>
      <c r="U437" s="207" t="e">
        <f ca="1">IFERROR(VLOOKUP(T437,Bond_DES!D:E,2,FALSE),VLOOKUP(S437,bond!AI:AJ,2,FALSE))</f>
        <v>#N/A</v>
      </c>
      <c r="V437" s="136" t="e">
        <f ca="1">IFERROR(VLOOKUP(B437,'1_重設數據'!L:M,2,FALSE),IF(Q437="政府",IF(AD437&gt;16,"(NPI)非專投",IF(AD437&gt;10,"(PI)專投","高資產")),IF(VLOOKUP(B437,bond!B:AN,39,FALSE)="Y","(PI)專投",IF(AD437&gt;=15,"(NPI)非專投",IF(AD437&gt;=10,"(PI)專投","高資產")))))</f>
        <v>#N/A</v>
      </c>
      <c r="W437" s="136" t="e">
        <f ca="1">VLOOKUP(AD437,'credit rating'!$F$2:$H$22,3,FALSE)</f>
        <v>#N/A</v>
      </c>
      <c r="X437" s="136" t="e">
        <f t="shared" ca="1" si="43"/>
        <v>#N/A</v>
      </c>
      <c r="Y437" s="136" t="e">
        <f t="shared" ca="1" si="44"/>
        <v>#N/A</v>
      </c>
      <c r="Z437" s="136" t="e">
        <f t="shared" ca="1" si="45"/>
        <v>#N/A</v>
      </c>
      <c r="AA437" s="134">
        <f ca="1">IFERROR(VLOOKUP(X437,'credit rating'!A:C,3,FALSE),0)</f>
        <v>0</v>
      </c>
      <c r="AB437" s="134">
        <f ca="1">IFERROR(VLOOKUP(Y437,'credit rating'!B:C,2,FALSE),0)</f>
        <v>0</v>
      </c>
      <c r="AC437" s="136">
        <f ca="1">IFERROR(VLOOKUP(Z437,'credit rating'!B:C,2,FALSE),0)</f>
        <v>0</v>
      </c>
      <c r="AD437" s="136">
        <f t="shared" ca="1" si="46"/>
        <v>0</v>
      </c>
      <c r="AE437" s="249" t="str">
        <f ca="1">IFERROR(VLOOKUP(B437,bond!B:U,20,FALSE),"")</f>
        <v/>
      </c>
      <c r="AF437" s="136" t="e">
        <f ca="1">IF(VLOOKUP(B437,bond!B:AK,36,FALSE)="#N/A Field Not Applicable","",VLOOKUP(B437,bond!B:AK,36,FALSE))</f>
        <v>#N/A</v>
      </c>
      <c r="AG437" s="136" t="e">
        <f ca="1">IF(VLOOKUP(B437,bond!B:AL,37,FALSE)="FIXED","固定",IF(VLOOKUP(B437,bond!B:AL,37,FALSE)="FLOATING","浮動",IF(VLOOKUP(B437,bond!B:AL,37,FALSE)="VARIABLE","變動",IF(VLOOKUP(B437,bond!B:AL,37,FALSE)="FLAT TRADING","不含息交易",IF(VLOOKUP(B437,bond!B:AL,37,FALSE)="ZERO COUPON","零息",VLOOKUP(B437,bond!B:AL,37,FALSE))))))</f>
        <v>#N/A</v>
      </c>
      <c r="AH437" s="136" t="e">
        <f>VLOOKUP(C437,'2_Check_code'!I:J,2,FALSE)</f>
        <v>#N/A</v>
      </c>
      <c r="AI437" s="136" t="e">
        <f t="shared" ca="1" si="47"/>
        <v>#N/A</v>
      </c>
      <c r="AJ437" s="136" t="e">
        <f t="shared" ca="1" si="48"/>
        <v>#N/A</v>
      </c>
      <c r="AK437" s="594" t="e">
        <f ca="1">IF(VLOOKUP(B437,bond!B:S,18,FALSE)="是","有",IF(VLOOKUP(B437,bond!B:S,18,FALSE)="NO OFFER","無","需查詢"))</f>
        <v>#N/A</v>
      </c>
      <c r="AL437" s="136" t="e">
        <f>IF(VLOOKUP(A437,bond!F:AR,39,FALSE)="#N/A Field Not Applicable",VLOOKUP(A437,bond!F:AR,38,FALSE),IFERROR(VLOOKUP(A437,'7_發行日例外'!A:B,2,FALSE),VLOOKUP(A437,bond!F:AR,39,FALSE)))</f>
        <v>#N/A</v>
      </c>
      <c r="AM437" s="136" t="e">
        <f ca="1">VLOOKUP(B437,bond!B:AK,36,FALSE)</f>
        <v>#N/A</v>
      </c>
      <c r="AN437" s="136" t="str">
        <f ca="1">IFERROR(VLOOKUP(B437,'3_是否下架'!A:A,1,FALSE),"")</f>
        <v/>
      </c>
      <c r="AO437" s="136" t="e">
        <f ca="1">VLOOKUP(B437,bond!B:J,9,FALSE)</f>
        <v>#N/A</v>
      </c>
      <c r="AP437" s="136" t="e">
        <f ca="1">VLOOKUP(B437,bond!B:V,21,FALSE)</f>
        <v>#N/A</v>
      </c>
    </row>
    <row r="438" spans="1:42">
      <c r="A438" s="141">
        <f>bond!F439</f>
        <v>0</v>
      </c>
      <c r="B438" s="151">
        <f ca="1">IF($C$1=TRUE,bond!B439,"")</f>
        <v>0</v>
      </c>
      <c r="C438" s="95" t="e">
        <f>VLOOKUP(A438,bond!F:G,2,FALSE)</f>
        <v>#N/A</v>
      </c>
      <c r="D438" s="142" t="e">
        <f ca="1">VLOOKUP(B438,bond!B:C,2,FALSE)</f>
        <v>#N/A</v>
      </c>
      <c r="E438" s="95" t="e">
        <f ca="1">VLOOKUP(B438,bond!B:D,3,FALSE)</f>
        <v>#N/A</v>
      </c>
      <c r="F438" s="99" t="e">
        <f ca="1">VLOOKUP(B438,bond!B:AB,27,FALSE)</f>
        <v>#N/A</v>
      </c>
      <c r="G438" s="90" t="e">
        <f ca="1">VLOOKUP(B438,bond!B:E,4,FALSE)</f>
        <v>#N/A</v>
      </c>
      <c r="H438" s="202" t="e">
        <f ca="1">VLOOKUP(B438,bond!B:Y,24,FALSE)</f>
        <v>#N/A</v>
      </c>
      <c r="I438" s="95" t="e">
        <f ca="1">VLOOKUP(B438,bond!B:Z,25,FALSE)</f>
        <v>#N/A</v>
      </c>
      <c r="J438" s="180" t="e">
        <f ca="1">VLOOKUP(B438,bond!B:K,10,FALSE)</f>
        <v>#N/A</v>
      </c>
      <c r="K438" s="96" t="e">
        <f ca="1">VLOOKUP($B438,bond!B:S,14,FALSE)</f>
        <v>#N/A</v>
      </c>
      <c r="L438" s="91" t="e">
        <f ca="1">VLOOKUP(B438,bond!B:H,7,FALSE)</f>
        <v>#N/A</v>
      </c>
      <c r="M438" s="144" t="e">
        <f ca="1">VLOOKUP($B438,bond!$B:$Q,16,FALSE)</f>
        <v>#N/A</v>
      </c>
      <c r="N438" s="136" t="e">
        <f ca="1">VALUE(LEFT(VLOOKUP(B438,bond!B:R,17,FALSE),SEARCH(" ",VLOOKUP(B438,bond!B:R,17,FALSE),1)))</f>
        <v>#N/A</v>
      </c>
      <c r="O438" s="136" t="e">
        <f ca="1">VALUE(RIGHT(VLOOKUP(B438,bond!B:R,17,FALSE),LEN(VLOOKUP(B438,bond!B:R,17,FALSE))-LEN(N438)-3))</f>
        <v>#N/A</v>
      </c>
      <c r="P438" s="135" t="e">
        <f ca="1">VLOOKUP($B438,bond!$B:$AG,32,FALSE)</f>
        <v>#N/A</v>
      </c>
      <c r="Q438" s="135" t="e">
        <f ca="1">VLOOKUP($B438,bond!$B:$AH,33,FALSE)</f>
        <v>#N/A</v>
      </c>
      <c r="R438" s="135" t="e">
        <f ca="1">VLOOKUP(B438,bond!B:AA,26,FALSE)</f>
        <v>#N/A</v>
      </c>
      <c r="S438" s="135" t="e">
        <f ca="1">VLOOKUP(B438,bond!B:AI,34,FALSE)</f>
        <v>#N/A</v>
      </c>
      <c r="T438" s="135" t="e">
        <f t="shared" ca="1" si="42"/>
        <v>#N/A</v>
      </c>
      <c r="U438" s="207" t="e">
        <f ca="1">IFERROR(VLOOKUP(T438,Bond_DES!D:E,2,FALSE),VLOOKUP(S438,bond!AI:AJ,2,FALSE))</f>
        <v>#N/A</v>
      </c>
      <c r="V438" s="136" t="e">
        <f ca="1">IFERROR(VLOOKUP(B438,'1_重設數據'!L:M,2,FALSE),IF(Q438="政府",IF(AD438&gt;16,"(NPI)非專投",IF(AD438&gt;10,"(PI)專投","高資產")),IF(VLOOKUP(B438,bond!B:AN,39,FALSE)="Y","(PI)專投",IF(AD438&gt;=15,"(NPI)非專投",IF(AD438&gt;=10,"(PI)專投","高資產")))))</f>
        <v>#N/A</v>
      </c>
      <c r="W438" s="136" t="e">
        <f ca="1">VLOOKUP(AD438,'credit rating'!$F$2:$H$22,3,FALSE)</f>
        <v>#N/A</v>
      </c>
      <c r="X438" s="136" t="e">
        <f t="shared" ca="1" si="43"/>
        <v>#N/A</v>
      </c>
      <c r="Y438" s="136" t="e">
        <f t="shared" ca="1" si="44"/>
        <v>#N/A</v>
      </c>
      <c r="Z438" s="136" t="e">
        <f t="shared" ca="1" si="45"/>
        <v>#N/A</v>
      </c>
      <c r="AA438" s="134">
        <f ca="1">IFERROR(VLOOKUP(X438,'credit rating'!A:C,3,FALSE),0)</f>
        <v>0</v>
      </c>
      <c r="AB438" s="134">
        <f ca="1">IFERROR(VLOOKUP(Y438,'credit rating'!B:C,2,FALSE),0)</f>
        <v>0</v>
      </c>
      <c r="AC438" s="136">
        <f ca="1">IFERROR(VLOOKUP(Z438,'credit rating'!B:C,2,FALSE),0)</f>
        <v>0</v>
      </c>
      <c r="AD438" s="136">
        <f t="shared" ca="1" si="46"/>
        <v>0</v>
      </c>
      <c r="AE438" s="249" t="str">
        <f ca="1">IFERROR(VLOOKUP(B438,bond!B:U,20,FALSE),"")</f>
        <v/>
      </c>
      <c r="AF438" s="136" t="e">
        <f ca="1">IF(VLOOKUP(B438,bond!B:AK,36,FALSE)="#N/A Field Not Applicable","",VLOOKUP(B438,bond!B:AK,36,FALSE))</f>
        <v>#N/A</v>
      </c>
      <c r="AG438" s="136" t="e">
        <f ca="1">IF(VLOOKUP(B438,bond!B:AL,37,FALSE)="FIXED","固定",IF(VLOOKUP(B438,bond!B:AL,37,FALSE)="FLOATING","浮動",IF(VLOOKUP(B438,bond!B:AL,37,FALSE)="VARIABLE","變動",IF(VLOOKUP(B438,bond!B:AL,37,FALSE)="FLAT TRADING","不含息交易",IF(VLOOKUP(B438,bond!B:AL,37,FALSE)="ZERO COUPON","零息",VLOOKUP(B438,bond!B:AL,37,FALSE))))))</f>
        <v>#N/A</v>
      </c>
      <c r="AH438" s="136" t="e">
        <f>VLOOKUP(C438,'2_Check_code'!I:J,2,FALSE)</f>
        <v>#N/A</v>
      </c>
      <c r="AI438" s="136" t="e">
        <f t="shared" ca="1" si="47"/>
        <v>#N/A</v>
      </c>
      <c r="AJ438" s="136" t="e">
        <f t="shared" ca="1" si="48"/>
        <v>#N/A</v>
      </c>
      <c r="AK438" s="594" t="e">
        <f ca="1">IF(VLOOKUP(B438,bond!B:S,18,FALSE)="是","有",IF(VLOOKUP(B438,bond!B:S,18,FALSE)="NO OFFER","無","需查詢"))</f>
        <v>#N/A</v>
      </c>
      <c r="AL438" s="136" t="e">
        <f>IF(VLOOKUP(A438,bond!F:AR,39,FALSE)="#N/A Field Not Applicable",VLOOKUP(A438,bond!F:AR,38,FALSE),IFERROR(VLOOKUP(A438,'7_發行日例外'!A:B,2,FALSE),VLOOKUP(A438,bond!F:AR,39,FALSE)))</f>
        <v>#N/A</v>
      </c>
      <c r="AM438" s="136" t="e">
        <f ca="1">VLOOKUP(B438,bond!B:AK,36,FALSE)</f>
        <v>#N/A</v>
      </c>
      <c r="AN438" s="136" t="str">
        <f ca="1">IFERROR(VLOOKUP(B438,'3_是否下架'!A:A,1,FALSE),"")</f>
        <v/>
      </c>
      <c r="AO438" s="136" t="e">
        <f ca="1">VLOOKUP(B438,bond!B:J,9,FALSE)</f>
        <v>#N/A</v>
      </c>
      <c r="AP438" s="136" t="e">
        <f ca="1">VLOOKUP(B438,bond!B:V,21,FALSE)</f>
        <v>#N/A</v>
      </c>
    </row>
    <row r="439" spans="1:42">
      <c r="A439" s="141">
        <f>bond!F440</f>
        <v>0</v>
      </c>
      <c r="B439" s="151">
        <f ca="1">IF($C$1=TRUE,bond!B440,"")</f>
        <v>0</v>
      </c>
      <c r="C439" s="95" t="e">
        <f>VLOOKUP(A439,bond!F:G,2,FALSE)</f>
        <v>#N/A</v>
      </c>
      <c r="D439" s="142" t="e">
        <f ca="1">VLOOKUP(B439,bond!B:C,2,FALSE)</f>
        <v>#N/A</v>
      </c>
      <c r="E439" s="95" t="e">
        <f ca="1">VLOOKUP(B439,bond!B:D,3,FALSE)</f>
        <v>#N/A</v>
      </c>
      <c r="F439" s="99" t="e">
        <f ca="1">VLOOKUP(B439,bond!B:AB,27,FALSE)</f>
        <v>#N/A</v>
      </c>
      <c r="G439" s="90" t="e">
        <f ca="1">VLOOKUP(B439,bond!B:E,4,FALSE)</f>
        <v>#N/A</v>
      </c>
      <c r="H439" s="202" t="e">
        <f ca="1">VLOOKUP(B439,bond!B:Y,24,FALSE)</f>
        <v>#N/A</v>
      </c>
      <c r="I439" s="95" t="e">
        <f ca="1">VLOOKUP(B439,bond!B:Z,25,FALSE)</f>
        <v>#N/A</v>
      </c>
      <c r="J439" s="180" t="e">
        <f ca="1">VLOOKUP(B439,bond!B:K,10,FALSE)</f>
        <v>#N/A</v>
      </c>
      <c r="K439" s="96" t="e">
        <f ca="1">VLOOKUP($B439,bond!B:S,14,FALSE)</f>
        <v>#N/A</v>
      </c>
      <c r="L439" s="91" t="e">
        <f ca="1">VLOOKUP(B439,bond!B:H,7,FALSE)</f>
        <v>#N/A</v>
      </c>
      <c r="M439" s="144" t="e">
        <f ca="1">VLOOKUP($B439,bond!$B:$Q,16,FALSE)</f>
        <v>#N/A</v>
      </c>
      <c r="N439" s="136" t="e">
        <f ca="1">VALUE(LEFT(VLOOKUP(B439,bond!B:R,17,FALSE),SEARCH(" ",VLOOKUP(B439,bond!B:R,17,FALSE),1)))</f>
        <v>#N/A</v>
      </c>
      <c r="O439" s="136" t="e">
        <f ca="1">VALUE(RIGHT(VLOOKUP(B439,bond!B:R,17,FALSE),LEN(VLOOKUP(B439,bond!B:R,17,FALSE))-LEN(N439)-3))</f>
        <v>#N/A</v>
      </c>
      <c r="P439" s="135" t="e">
        <f ca="1">VLOOKUP($B439,bond!$B:$AG,32,FALSE)</f>
        <v>#N/A</v>
      </c>
      <c r="Q439" s="135" t="e">
        <f ca="1">VLOOKUP($B439,bond!$B:$AH,33,FALSE)</f>
        <v>#N/A</v>
      </c>
      <c r="R439" s="135" t="e">
        <f ca="1">VLOOKUP(B439,bond!B:AA,26,FALSE)</f>
        <v>#N/A</v>
      </c>
      <c r="S439" s="135" t="e">
        <f ca="1">VLOOKUP(B439,bond!B:AI,34,FALSE)</f>
        <v>#N/A</v>
      </c>
      <c r="T439" s="135" t="e">
        <f t="shared" ca="1" si="42"/>
        <v>#N/A</v>
      </c>
      <c r="U439" s="207" t="e">
        <f ca="1">IFERROR(VLOOKUP(T439,Bond_DES!D:E,2,FALSE),VLOOKUP(S439,bond!AI:AJ,2,FALSE))</f>
        <v>#N/A</v>
      </c>
      <c r="V439" s="136" t="e">
        <f ca="1">IFERROR(VLOOKUP(B439,'1_重設數據'!L:M,2,FALSE),IF(Q439="政府",IF(AD439&gt;16,"(NPI)非專投",IF(AD439&gt;10,"(PI)專投","高資產")),IF(VLOOKUP(B439,bond!B:AN,39,FALSE)="Y","(PI)專投",IF(AD439&gt;=15,"(NPI)非專投",IF(AD439&gt;=10,"(PI)專投","高資產")))))</f>
        <v>#N/A</v>
      </c>
      <c r="W439" s="136" t="e">
        <f ca="1">VLOOKUP(AD439,'credit rating'!$F$2:$H$22,3,FALSE)</f>
        <v>#N/A</v>
      </c>
      <c r="X439" s="136" t="e">
        <f t="shared" ca="1" si="43"/>
        <v>#N/A</v>
      </c>
      <c r="Y439" s="136" t="e">
        <f t="shared" ca="1" si="44"/>
        <v>#N/A</v>
      </c>
      <c r="Z439" s="136" t="e">
        <f t="shared" ca="1" si="45"/>
        <v>#N/A</v>
      </c>
      <c r="AA439" s="134">
        <f ca="1">IFERROR(VLOOKUP(X439,'credit rating'!A:C,3,FALSE),0)</f>
        <v>0</v>
      </c>
      <c r="AB439" s="134">
        <f ca="1">IFERROR(VLOOKUP(Y439,'credit rating'!B:C,2,FALSE),0)</f>
        <v>0</v>
      </c>
      <c r="AC439" s="136">
        <f ca="1">IFERROR(VLOOKUP(Z439,'credit rating'!B:C,2,FALSE),0)</f>
        <v>0</v>
      </c>
      <c r="AD439" s="136">
        <f t="shared" ca="1" si="46"/>
        <v>0</v>
      </c>
      <c r="AE439" s="249" t="str">
        <f ca="1">IFERROR(VLOOKUP(B439,bond!B:U,20,FALSE),"")</f>
        <v/>
      </c>
      <c r="AF439" s="136" t="e">
        <f ca="1">IF(VLOOKUP(B439,bond!B:AK,36,FALSE)="#N/A Field Not Applicable","",VLOOKUP(B439,bond!B:AK,36,FALSE))</f>
        <v>#N/A</v>
      </c>
      <c r="AG439" s="136" t="e">
        <f ca="1">IF(VLOOKUP(B439,bond!B:AL,37,FALSE)="FIXED","固定",IF(VLOOKUP(B439,bond!B:AL,37,FALSE)="FLOATING","浮動",IF(VLOOKUP(B439,bond!B:AL,37,FALSE)="VARIABLE","變動",IF(VLOOKUP(B439,bond!B:AL,37,FALSE)="FLAT TRADING","不含息交易",IF(VLOOKUP(B439,bond!B:AL,37,FALSE)="ZERO COUPON","零息",VLOOKUP(B439,bond!B:AL,37,FALSE))))))</f>
        <v>#N/A</v>
      </c>
      <c r="AH439" s="136" t="e">
        <f>VLOOKUP(C439,'2_Check_code'!I:J,2,FALSE)</f>
        <v>#N/A</v>
      </c>
      <c r="AI439" s="136" t="e">
        <f t="shared" ca="1" si="47"/>
        <v>#N/A</v>
      </c>
      <c r="AJ439" s="136" t="e">
        <f t="shared" ca="1" si="48"/>
        <v>#N/A</v>
      </c>
      <c r="AK439" s="594" t="e">
        <f ca="1">IF(VLOOKUP(B439,bond!B:S,18,FALSE)="是","有",IF(VLOOKUP(B439,bond!B:S,18,FALSE)="NO OFFER","無","需查詢"))</f>
        <v>#N/A</v>
      </c>
      <c r="AL439" s="136" t="e">
        <f>IF(VLOOKUP(A439,bond!F:AR,39,FALSE)="#N/A Field Not Applicable",VLOOKUP(A439,bond!F:AR,38,FALSE),IFERROR(VLOOKUP(A439,'7_發行日例外'!A:B,2,FALSE),VLOOKUP(A439,bond!F:AR,39,FALSE)))</f>
        <v>#N/A</v>
      </c>
      <c r="AM439" s="136" t="e">
        <f ca="1">VLOOKUP(B439,bond!B:AK,36,FALSE)</f>
        <v>#N/A</v>
      </c>
      <c r="AN439" s="136" t="str">
        <f ca="1">IFERROR(VLOOKUP(B439,'3_是否下架'!A:A,1,FALSE),"")</f>
        <v/>
      </c>
      <c r="AO439" s="136" t="e">
        <f ca="1">VLOOKUP(B439,bond!B:J,9,FALSE)</f>
        <v>#N/A</v>
      </c>
      <c r="AP439" s="136" t="e">
        <f ca="1">VLOOKUP(B439,bond!B:V,21,FALSE)</f>
        <v>#N/A</v>
      </c>
    </row>
    <row r="440" spans="1:42">
      <c r="A440" s="141">
        <f>bond!F441</f>
        <v>0</v>
      </c>
      <c r="B440" s="151">
        <f ca="1">IF($C$1=TRUE,bond!B441,"")</f>
        <v>0</v>
      </c>
      <c r="C440" s="95" t="e">
        <f>VLOOKUP(A440,bond!F:G,2,FALSE)</f>
        <v>#N/A</v>
      </c>
      <c r="D440" s="142" t="e">
        <f ca="1">VLOOKUP(B440,bond!B:C,2,FALSE)</f>
        <v>#N/A</v>
      </c>
      <c r="E440" s="95" t="e">
        <f ca="1">VLOOKUP(B440,bond!B:D,3,FALSE)</f>
        <v>#N/A</v>
      </c>
      <c r="F440" s="99" t="e">
        <f ca="1">VLOOKUP(B440,bond!B:AB,27,FALSE)</f>
        <v>#N/A</v>
      </c>
      <c r="G440" s="90" t="e">
        <f ca="1">VLOOKUP(B440,bond!B:E,4,FALSE)</f>
        <v>#N/A</v>
      </c>
      <c r="H440" s="202" t="e">
        <f ca="1">VLOOKUP(B440,bond!B:Y,24,FALSE)</f>
        <v>#N/A</v>
      </c>
      <c r="I440" s="95" t="e">
        <f ca="1">VLOOKUP(B440,bond!B:Z,25,FALSE)</f>
        <v>#N/A</v>
      </c>
      <c r="J440" s="180" t="e">
        <f ca="1">VLOOKUP(B440,bond!B:K,10,FALSE)</f>
        <v>#N/A</v>
      </c>
      <c r="K440" s="96" t="e">
        <f ca="1">VLOOKUP($B440,bond!B:S,14,FALSE)</f>
        <v>#N/A</v>
      </c>
      <c r="L440" s="91" t="e">
        <f ca="1">VLOOKUP(B440,bond!B:H,7,FALSE)</f>
        <v>#N/A</v>
      </c>
      <c r="M440" s="144" t="e">
        <f ca="1">VLOOKUP($B440,bond!$B:$Q,16,FALSE)</f>
        <v>#N/A</v>
      </c>
      <c r="N440" s="136" t="e">
        <f ca="1">VALUE(LEFT(VLOOKUP(B440,bond!B:R,17,FALSE),SEARCH(" ",VLOOKUP(B440,bond!B:R,17,FALSE),1)))</f>
        <v>#N/A</v>
      </c>
      <c r="O440" s="136" t="e">
        <f ca="1">VALUE(RIGHT(VLOOKUP(B440,bond!B:R,17,FALSE),LEN(VLOOKUP(B440,bond!B:R,17,FALSE))-LEN(N440)-3))</f>
        <v>#N/A</v>
      </c>
      <c r="P440" s="135" t="e">
        <f ca="1">VLOOKUP($B440,bond!$B:$AG,32,FALSE)</f>
        <v>#N/A</v>
      </c>
      <c r="Q440" s="135" t="e">
        <f ca="1">VLOOKUP($B440,bond!$B:$AH,33,FALSE)</f>
        <v>#N/A</v>
      </c>
      <c r="R440" s="135" t="e">
        <f ca="1">VLOOKUP(B440,bond!B:AA,26,FALSE)</f>
        <v>#N/A</v>
      </c>
      <c r="S440" s="135" t="e">
        <f ca="1">VLOOKUP(B440,bond!B:AI,34,FALSE)</f>
        <v>#N/A</v>
      </c>
      <c r="T440" s="135" t="e">
        <f t="shared" ca="1" si="42"/>
        <v>#N/A</v>
      </c>
      <c r="U440" s="207" t="e">
        <f ca="1">IFERROR(VLOOKUP(T440,Bond_DES!D:E,2,FALSE),VLOOKUP(S440,bond!AI:AJ,2,FALSE))</f>
        <v>#N/A</v>
      </c>
      <c r="V440" s="136" t="e">
        <f ca="1">IFERROR(VLOOKUP(B440,'1_重設數據'!L:M,2,FALSE),IF(Q440="政府",IF(AD440&gt;16,"(NPI)非專投",IF(AD440&gt;10,"(PI)專投","高資產")),IF(VLOOKUP(B440,bond!B:AN,39,FALSE)="Y","(PI)專投",IF(AD440&gt;=15,"(NPI)非專投",IF(AD440&gt;=10,"(PI)專投","高資產")))))</f>
        <v>#N/A</v>
      </c>
      <c r="W440" s="136" t="e">
        <f ca="1">VLOOKUP(AD440,'credit rating'!$F$2:$H$22,3,FALSE)</f>
        <v>#N/A</v>
      </c>
      <c r="X440" s="136" t="e">
        <f t="shared" ca="1" si="43"/>
        <v>#N/A</v>
      </c>
      <c r="Y440" s="136" t="e">
        <f t="shared" ca="1" si="44"/>
        <v>#N/A</v>
      </c>
      <c r="Z440" s="136" t="e">
        <f t="shared" ca="1" si="45"/>
        <v>#N/A</v>
      </c>
      <c r="AA440" s="134">
        <f ca="1">IFERROR(VLOOKUP(X440,'credit rating'!A:C,3,FALSE),0)</f>
        <v>0</v>
      </c>
      <c r="AB440" s="134">
        <f ca="1">IFERROR(VLOOKUP(Y440,'credit rating'!B:C,2,FALSE),0)</f>
        <v>0</v>
      </c>
      <c r="AC440" s="136">
        <f ca="1">IFERROR(VLOOKUP(Z440,'credit rating'!B:C,2,FALSE),0)</f>
        <v>0</v>
      </c>
      <c r="AD440" s="136">
        <f t="shared" ca="1" si="46"/>
        <v>0</v>
      </c>
      <c r="AE440" s="249" t="str">
        <f ca="1">IFERROR(VLOOKUP(B440,bond!B:U,20,FALSE),"")</f>
        <v/>
      </c>
      <c r="AF440" s="136" t="e">
        <f ca="1">IF(VLOOKUP(B440,bond!B:AK,36,FALSE)="#N/A Field Not Applicable","",VLOOKUP(B440,bond!B:AK,36,FALSE))</f>
        <v>#N/A</v>
      </c>
      <c r="AG440" s="136" t="e">
        <f ca="1">IF(VLOOKUP(B440,bond!B:AL,37,FALSE)="FIXED","固定",IF(VLOOKUP(B440,bond!B:AL,37,FALSE)="FLOATING","浮動",IF(VLOOKUP(B440,bond!B:AL,37,FALSE)="VARIABLE","變動",IF(VLOOKUP(B440,bond!B:AL,37,FALSE)="FLAT TRADING","不含息交易",IF(VLOOKUP(B440,bond!B:AL,37,FALSE)="ZERO COUPON","零息",VLOOKUP(B440,bond!B:AL,37,FALSE))))))</f>
        <v>#N/A</v>
      </c>
      <c r="AH440" s="136" t="e">
        <f>VLOOKUP(C440,'2_Check_code'!I:J,2,FALSE)</f>
        <v>#N/A</v>
      </c>
      <c r="AI440" s="136" t="e">
        <f t="shared" ca="1" si="47"/>
        <v>#N/A</v>
      </c>
      <c r="AJ440" s="136" t="e">
        <f t="shared" ca="1" si="48"/>
        <v>#N/A</v>
      </c>
      <c r="AK440" s="594" t="e">
        <f ca="1">IF(VLOOKUP(B440,bond!B:S,18,FALSE)="是","有",IF(VLOOKUP(B440,bond!B:S,18,FALSE)="NO OFFER","無","需查詢"))</f>
        <v>#N/A</v>
      </c>
      <c r="AL440" s="136" t="e">
        <f>IF(VLOOKUP(A440,bond!F:AR,39,FALSE)="#N/A Field Not Applicable",VLOOKUP(A440,bond!F:AR,38,FALSE),IFERROR(VLOOKUP(A440,'7_發行日例外'!A:B,2,FALSE),VLOOKUP(A440,bond!F:AR,39,FALSE)))</f>
        <v>#N/A</v>
      </c>
      <c r="AM440" s="136" t="e">
        <f ca="1">VLOOKUP(B440,bond!B:AK,36,FALSE)</f>
        <v>#N/A</v>
      </c>
      <c r="AN440" s="136" t="str">
        <f ca="1">IFERROR(VLOOKUP(B440,'3_是否下架'!A:A,1,FALSE),"")</f>
        <v/>
      </c>
      <c r="AO440" s="136" t="e">
        <f ca="1">VLOOKUP(B440,bond!B:J,9,FALSE)</f>
        <v>#N/A</v>
      </c>
      <c r="AP440" s="136" t="e">
        <f ca="1">VLOOKUP(B440,bond!B:V,21,FALSE)</f>
        <v>#N/A</v>
      </c>
    </row>
    <row r="441" spans="1:42">
      <c r="A441" s="141">
        <f>bond!F442</f>
        <v>0</v>
      </c>
      <c r="B441" s="151">
        <f ca="1">IF($C$1=TRUE,bond!B442,"")</f>
        <v>0</v>
      </c>
      <c r="C441" s="95" t="e">
        <f>VLOOKUP(A441,bond!F:G,2,FALSE)</f>
        <v>#N/A</v>
      </c>
      <c r="D441" s="142" t="e">
        <f ca="1">VLOOKUP(B441,bond!B:C,2,FALSE)</f>
        <v>#N/A</v>
      </c>
      <c r="E441" s="95" t="e">
        <f ca="1">VLOOKUP(B441,bond!B:D,3,FALSE)</f>
        <v>#N/A</v>
      </c>
      <c r="F441" s="99" t="e">
        <f ca="1">VLOOKUP(B441,bond!B:AB,27,FALSE)</f>
        <v>#N/A</v>
      </c>
      <c r="G441" s="90" t="e">
        <f ca="1">VLOOKUP(B441,bond!B:E,4,FALSE)</f>
        <v>#N/A</v>
      </c>
      <c r="H441" s="202" t="e">
        <f ca="1">VLOOKUP(B441,bond!B:Y,24,FALSE)</f>
        <v>#N/A</v>
      </c>
      <c r="I441" s="95" t="e">
        <f ca="1">VLOOKUP(B441,bond!B:Z,25,FALSE)</f>
        <v>#N/A</v>
      </c>
      <c r="J441" s="180" t="e">
        <f ca="1">VLOOKUP(B441,bond!B:K,10,FALSE)</f>
        <v>#N/A</v>
      </c>
      <c r="K441" s="96" t="e">
        <f ca="1">VLOOKUP($B441,bond!B:S,14,FALSE)</f>
        <v>#N/A</v>
      </c>
      <c r="L441" s="91" t="e">
        <f ca="1">VLOOKUP(B441,bond!B:H,7,FALSE)</f>
        <v>#N/A</v>
      </c>
      <c r="M441" s="144" t="e">
        <f ca="1">VLOOKUP($B441,bond!$B:$Q,16,FALSE)</f>
        <v>#N/A</v>
      </c>
      <c r="N441" s="136" t="e">
        <f ca="1">VALUE(LEFT(VLOOKUP(B441,bond!B:R,17,FALSE),SEARCH(" ",VLOOKUP(B441,bond!B:R,17,FALSE),1)))</f>
        <v>#N/A</v>
      </c>
      <c r="O441" s="136" t="e">
        <f ca="1">VALUE(RIGHT(VLOOKUP(B441,bond!B:R,17,FALSE),LEN(VLOOKUP(B441,bond!B:R,17,FALSE))-LEN(N441)-3))</f>
        <v>#N/A</v>
      </c>
      <c r="P441" s="135" t="e">
        <f ca="1">VLOOKUP($B441,bond!$B:$AG,32,FALSE)</f>
        <v>#N/A</v>
      </c>
      <c r="Q441" s="135" t="e">
        <f ca="1">VLOOKUP($B441,bond!$B:$AH,33,FALSE)</f>
        <v>#N/A</v>
      </c>
      <c r="R441" s="135" t="e">
        <f ca="1">VLOOKUP(B441,bond!B:AA,26,FALSE)</f>
        <v>#N/A</v>
      </c>
      <c r="S441" s="135" t="e">
        <f ca="1">VLOOKUP(B441,bond!B:AI,34,FALSE)</f>
        <v>#N/A</v>
      </c>
      <c r="T441" s="135" t="e">
        <f t="shared" ca="1" si="42"/>
        <v>#N/A</v>
      </c>
      <c r="U441" s="207" t="e">
        <f ca="1">IFERROR(VLOOKUP(T441,Bond_DES!D:E,2,FALSE),VLOOKUP(S441,bond!AI:AJ,2,FALSE))</f>
        <v>#N/A</v>
      </c>
      <c r="V441" s="136" t="e">
        <f ca="1">IFERROR(VLOOKUP(B441,'1_重設數據'!L:M,2,FALSE),IF(Q441="政府",IF(AD441&gt;16,"(NPI)非專投",IF(AD441&gt;10,"(PI)專投","高資產")),IF(VLOOKUP(B441,bond!B:AN,39,FALSE)="Y","(PI)專投",IF(AD441&gt;=15,"(NPI)非專投",IF(AD441&gt;=10,"(PI)專投","高資產")))))</f>
        <v>#N/A</v>
      </c>
      <c r="W441" s="136" t="e">
        <f ca="1">VLOOKUP(AD441,'credit rating'!$F$2:$H$22,3,FALSE)</f>
        <v>#N/A</v>
      </c>
      <c r="X441" s="136" t="e">
        <f t="shared" ca="1" si="43"/>
        <v>#N/A</v>
      </c>
      <c r="Y441" s="136" t="e">
        <f t="shared" ca="1" si="44"/>
        <v>#N/A</v>
      </c>
      <c r="Z441" s="136" t="e">
        <f t="shared" ca="1" si="45"/>
        <v>#N/A</v>
      </c>
      <c r="AA441" s="134">
        <f ca="1">IFERROR(VLOOKUP(X441,'credit rating'!A:C,3,FALSE),0)</f>
        <v>0</v>
      </c>
      <c r="AB441" s="134">
        <f ca="1">IFERROR(VLOOKUP(Y441,'credit rating'!B:C,2,FALSE),0)</f>
        <v>0</v>
      </c>
      <c r="AC441" s="136">
        <f ca="1">IFERROR(VLOOKUP(Z441,'credit rating'!B:C,2,FALSE),0)</f>
        <v>0</v>
      </c>
      <c r="AD441" s="136">
        <f t="shared" ca="1" si="46"/>
        <v>0</v>
      </c>
      <c r="AE441" s="249" t="str">
        <f ca="1">IFERROR(VLOOKUP(B441,bond!B:U,20,FALSE),"")</f>
        <v/>
      </c>
      <c r="AF441" s="136" t="e">
        <f ca="1">IF(VLOOKUP(B441,bond!B:AK,36,FALSE)="#N/A Field Not Applicable","",VLOOKUP(B441,bond!B:AK,36,FALSE))</f>
        <v>#N/A</v>
      </c>
      <c r="AG441" s="136" t="e">
        <f ca="1">IF(VLOOKUP(B441,bond!B:AL,37,FALSE)="FIXED","固定",IF(VLOOKUP(B441,bond!B:AL,37,FALSE)="FLOATING","浮動",IF(VLOOKUP(B441,bond!B:AL,37,FALSE)="VARIABLE","變動",IF(VLOOKUP(B441,bond!B:AL,37,FALSE)="FLAT TRADING","不含息交易",IF(VLOOKUP(B441,bond!B:AL,37,FALSE)="ZERO COUPON","零息",VLOOKUP(B441,bond!B:AL,37,FALSE))))))</f>
        <v>#N/A</v>
      </c>
      <c r="AH441" s="136" t="e">
        <f>VLOOKUP(C441,'2_Check_code'!I:J,2,FALSE)</f>
        <v>#N/A</v>
      </c>
      <c r="AI441" s="136" t="e">
        <f t="shared" ca="1" si="47"/>
        <v>#N/A</v>
      </c>
      <c r="AJ441" s="136" t="e">
        <f t="shared" ca="1" si="48"/>
        <v>#N/A</v>
      </c>
      <c r="AK441" s="594" t="e">
        <f ca="1">IF(VLOOKUP(B441,bond!B:S,18,FALSE)="是","有",IF(VLOOKUP(B441,bond!B:S,18,FALSE)="NO OFFER","無","需查詢"))</f>
        <v>#N/A</v>
      </c>
      <c r="AL441" s="136" t="e">
        <f>IF(VLOOKUP(A441,bond!F:AR,39,FALSE)="#N/A Field Not Applicable",VLOOKUP(A441,bond!F:AR,38,FALSE),IFERROR(VLOOKUP(A441,'7_發行日例外'!A:B,2,FALSE),VLOOKUP(A441,bond!F:AR,39,FALSE)))</f>
        <v>#N/A</v>
      </c>
      <c r="AM441" s="136" t="e">
        <f ca="1">VLOOKUP(B441,bond!B:AK,36,FALSE)</f>
        <v>#N/A</v>
      </c>
      <c r="AN441" s="136" t="str">
        <f ca="1">IFERROR(VLOOKUP(B441,'3_是否下架'!A:A,1,FALSE),"")</f>
        <v/>
      </c>
      <c r="AO441" s="136" t="e">
        <f ca="1">VLOOKUP(B441,bond!B:J,9,FALSE)</f>
        <v>#N/A</v>
      </c>
      <c r="AP441" s="136" t="e">
        <f ca="1">VLOOKUP(B441,bond!B:V,21,FALSE)</f>
        <v>#N/A</v>
      </c>
    </row>
    <row r="442" spans="1:42">
      <c r="A442" s="141">
        <f>bond!F443</f>
        <v>0</v>
      </c>
      <c r="B442" s="151">
        <f ca="1">IF($C$1=TRUE,bond!B443,"")</f>
        <v>0</v>
      </c>
      <c r="C442" s="95" t="e">
        <f>VLOOKUP(A442,bond!F:G,2,FALSE)</f>
        <v>#N/A</v>
      </c>
      <c r="D442" s="142" t="e">
        <f ca="1">VLOOKUP(B442,bond!B:C,2,FALSE)</f>
        <v>#N/A</v>
      </c>
      <c r="E442" s="95" t="e">
        <f ca="1">VLOOKUP(B442,bond!B:D,3,FALSE)</f>
        <v>#N/A</v>
      </c>
      <c r="F442" s="99" t="e">
        <f ca="1">VLOOKUP(B442,bond!B:AB,27,FALSE)</f>
        <v>#N/A</v>
      </c>
      <c r="G442" s="90" t="e">
        <f ca="1">VLOOKUP(B442,bond!B:E,4,FALSE)</f>
        <v>#N/A</v>
      </c>
      <c r="H442" s="202" t="e">
        <f ca="1">VLOOKUP(B442,bond!B:Y,24,FALSE)</f>
        <v>#N/A</v>
      </c>
      <c r="I442" s="95" t="e">
        <f ca="1">VLOOKUP(B442,bond!B:Z,25,FALSE)</f>
        <v>#N/A</v>
      </c>
      <c r="J442" s="180" t="e">
        <f ca="1">VLOOKUP(B442,bond!B:K,10,FALSE)</f>
        <v>#N/A</v>
      </c>
      <c r="K442" s="96" t="e">
        <f ca="1">VLOOKUP($B442,bond!B:S,14,FALSE)</f>
        <v>#N/A</v>
      </c>
      <c r="L442" s="91" t="e">
        <f ca="1">VLOOKUP(B442,bond!B:H,7,FALSE)</f>
        <v>#N/A</v>
      </c>
      <c r="M442" s="144" t="e">
        <f ca="1">VLOOKUP($B442,bond!$B:$Q,16,FALSE)</f>
        <v>#N/A</v>
      </c>
      <c r="N442" s="136" t="e">
        <f ca="1">VALUE(LEFT(VLOOKUP(B442,bond!B:R,17,FALSE),SEARCH(" ",VLOOKUP(B442,bond!B:R,17,FALSE),1)))</f>
        <v>#N/A</v>
      </c>
      <c r="O442" s="136" t="e">
        <f ca="1">VALUE(RIGHT(VLOOKUP(B442,bond!B:R,17,FALSE),LEN(VLOOKUP(B442,bond!B:R,17,FALSE))-LEN(N442)-3))</f>
        <v>#N/A</v>
      </c>
      <c r="P442" s="135" t="e">
        <f ca="1">VLOOKUP($B442,bond!$B:$AG,32,FALSE)</f>
        <v>#N/A</v>
      </c>
      <c r="Q442" s="135" t="e">
        <f ca="1">VLOOKUP($B442,bond!$B:$AH,33,FALSE)</f>
        <v>#N/A</v>
      </c>
      <c r="R442" s="135" t="e">
        <f ca="1">VLOOKUP(B442,bond!B:AA,26,FALSE)</f>
        <v>#N/A</v>
      </c>
      <c r="S442" s="135" t="e">
        <f ca="1">VLOOKUP(B442,bond!B:AI,34,FALSE)</f>
        <v>#N/A</v>
      </c>
      <c r="T442" s="135" t="e">
        <f t="shared" ca="1" si="42"/>
        <v>#N/A</v>
      </c>
      <c r="U442" s="207" t="e">
        <f ca="1">IFERROR(VLOOKUP(T442,Bond_DES!D:E,2,FALSE),VLOOKUP(S442,bond!AI:AJ,2,FALSE))</f>
        <v>#N/A</v>
      </c>
      <c r="V442" s="136" t="e">
        <f ca="1">IFERROR(VLOOKUP(B442,'1_重設數據'!L:M,2,FALSE),IF(Q442="政府",IF(AD442&gt;16,"(NPI)非專投",IF(AD442&gt;10,"(PI)專投","高資產")),IF(VLOOKUP(B442,bond!B:AN,39,FALSE)="Y","(PI)專投",IF(AD442&gt;=15,"(NPI)非專投",IF(AD442&gt;=10,"(PI)專投","高資產")))))</f>
        <v>#N/A</v>
      </c>
      <c r="W442" s="136" t="e">
        <f ca="1">VLOOKUP(AD442,'credit rating'!$F$2:$H$22,3,FALSE)</f>
        <v>#N/A</v>
      </c>
      <c r="X442" s="136" t="e">
        <f t="shared" ca="1" si="43"/>
        <v>#N/A</v>
      </c>
      <c r="Y442" s="136" t="e">
        <f t="shared" ca="1" si="44"/>
        <v>#N/A</v>
      </c>
      <c r="Z442" s="136" t="e">
        <f t="shared" ca="1" si="45"/>
        <v>#N/A</v>
      </c>
      <c r="AA442" s="134">
        <f ca="1">IFERROR(VLOOKUP(X442,'credit rating'!A:C,3,FALSE),0)</f>
        <v>0</v>
      </c>
      <c r="AB442" s="134">
        <f ca="1">IFERROR(VLOOKUP(Y442,'credit rating'!B:C,2,FALSE),0)</f>
        <v>0</v>
      </c>
      <c r="AC442" s="136">
        <f ca="1">IFERROR(VLOOKUP(Z442,'credit rating'!B:C,2,FALSE),0)</f>
        <v>0</v>
      </c>
      <c r="AD442" s="136">
        <f t="shared" ca="1" si="46"/>
        <v>0</v>
      </c>
      <c r="AE442" s="249" t="str">
        <f ca="1">IFERROR(VLOOKUP(B442,bond!B:U,20,FALSE),"")</f>
        <v/>
      </c>
      <c r="AF442" s="136" t="e">
        <f ca="1">IF(VLOOKUP(B442,bond!B:AK,36,FALSE)="#N/A Field Not Applicable","",VLOOKUP(B442,bond!B:AK,36,FALSE))</f>
        <v>#N/A</v>
      </c>
      <c r="AG442" s="136" t="e">
        <f ca="1">IF(VLOOKUP(B442,bond!B:AL,37,FALSE)="FIXED","固定",IF(VLOOKUP(B442,bond!B:AL,37,FALSE)="FLOATING","浮動",IF(VLOOKUP(B442,bond!B:AL,37,FALSE)="VARIABLE","變動",IF(VLOOKUP(B442,bond!B:AL,37,FALSE)="FLAT TRADING","不含息交易",IF(VLOOKUP(B442,bond!B:AL,37,FALSE)="ZERO COUPON","零息",VLOOKUP(B442,bond!B:AL,37,FALSE))))))</f>
        <v>#N/A</v>
      </c>
      <c r="AH442" s="136" t="e">
        <f>VLOOKUP(C442,'2_Check_code'!I:J,2,FALSE)</f>
        <v>#N/A</v>
      </c>
      <c r="AI442" s="136" t="e">
        <f t="shared" ca="1" si="47"/>
        <v>#N/A</v>
      </c>
      <c r="AJ442" s="136" t="e">
        <f t="shared" ca="1" si="48"/>
        <v>#N/A</v>
      </c>
      <c r="AK442" s="594" t="e">
        <f ca="1">IF(VLOOKUP(B442,bond!B:S,18,FALSE)="是","有",IF(VLOOKUP(B442,bond!B:S,18,FALSE)="NO OFFER","無","需查詢"))</f>
        <v>#N/A</v>
      </c>
      <c r="AL442" s="136" t="e">
        <f>IF(VLOOKUP(A442,bond!F:AR,39,FALSE)="#N/A Field Not Applicable",VLOOKUP(A442,bond!F:AR,38,FALSE),IFERROR(VLOOKUP(A442,'7_發行日例外'!A:B,2,FALSE),VLOOKUP(A442,bond!F:AR,39,FALSE)))</f>
        <v>#N/A</v>
      </c>
      <c r="AM442" s="136" t="e">
        <f ca="1">VLOOKUP(B442,bond!B:AK,36,FALSE)</f>
        <v>#N/A</v>
      </c>
      <c r="AN442" s="136" t="str">
        <f ca="1">IFERROR(VLOOKUP(B442,'3_是否下架'!A:A,1,FALSE),"")</f>
        <v/>
      </c>
      <c r="AO442" s="136" t="e">
        <f ca="1">VLOOKUP(B442,bond!B:J,9,FALSE)</f>
        <v>#N/A</v>
      </c>
      <c r="AP442" s="136" t="e">
        <f ca="1">VLOOKUP(B442,bond!B:V,21,FALSE)</f>
        <v>#N/A</v>
      </c>
    </row>
    <row r="443" spans="1:42">
      <c r="A443" s="141">
        <f>bond!F444</f>
        <v>0</v>
      </c>
      <c r="B443" s="151">
        <f ca="1">IF($C$1=TRUE,bond!B444,"")</f>
        <v>0</v>
      </c>
      <c r="C443" s="95" t="e">
        <f>VLOOKUP(A443,bond!F:G,2,FALSE)</f>
        <v>#N/A</v>
      </c>
      <c r="D443" s="142" t="e">
        <f ca="1">VLOOKUP(B443,bond!B:C,2,FALSE)</f>
        <v>#N/A</v>
      </c>
      <c r="E443" s="95" t="e">
        <f ca="1">VLOOKUP(B443,bond!B:D,3,FALSE)</f>
        <v>#N/A</v>
      </c>
      <c r="F443" s="99" t="e">
        <f ca="1">VLOOKUP(B443,bond!B:AB,27,FALSE)</f>
        <v>#N/A</v>
      </c>
      <c r="G443" s="90" t="e">
        <f ca="1">VLOOKUP(B443,bond!B:E,4,FALSE)</f>
        <v>#N/A</v>
      </c>
      <c r="H443" s="202" t="e">
        <f ca="1">VLOOKUP(B443,bond!B:Y,24,FALSE)</f>
        <v>#N/A</v>
      </c>
      <c r="I443" s="95" t="e">
        <f ca="1">VLOOKUP(B443,bond!B:Z,25,FALSE)</f>
        <v>#N/A</v>
      </c>
      <c r="J443" s="180" t="e">
        <f ca="1">VLOOKUP(B443,bond!B:K,10,FALSE)</f>
        <v>#N/A</v>
      </c>
      <c r="K443" s="96" t="e">
        <f ca="1">VLOOKUP($B443,bond!B:S,14,FALSE)</f>
        <v>#N/A</v>
      </c>
      <c r="L443" s="91" t="e">
        <f ca="1">VLOOKUP(B443,bond!B:H,7,FALSE)</f>
        <v>#N/A</v>
      </c>
      <c r="M443" s="144" t="e">
        <f ca="1">VLOOKUP($B443,bond!$B:$Q,16,FALSE)</f>
        <v>#N/A</v>
      </c>
      <c r="N443" s="136" t="e">
        <f ca="1">VALUE(LEFT(VLOOKUP(B443,bond!B:R,17,FALSE),SEARCH(" ",VLOOKUP(B443,bond!B:R,17,FALSE),1)))</f>
        <v>#N/A</v>
      </c>
      <c r="O443" s="136" t="e">
        <f ca="1">VALUE(RIGHT(VLOOKUP(B443,bond!B:R,17,FALSE),LEN(VLOOKUP(B443,bond!B:R,17,FALSE))-LEN(N443)-3))</f>
        <v>#N/A</v>
      </c>
      <c r="P443" s="135" t="e">
        <f ca="1">VLOOKUP($B443,bond!$B:$AG,32,FALSE)</f>
        <v>#N/A</v>
      </c>
      <c r="Q443" s="135" t="e">
        <f ca="1">VLOOKUP($B443,bond!$B:$AH,33,FALSE)</f>
        <v>#N/A</v>
      </c>
      <c r="R443" s="135" t="e">
        <f ca="1">VLOOKUP(B443,bond!B:AA,26,FALSE)</f>
        <v>#N/A</v>
      </c>
      <c r="S443" s="135" t="e">
        <f ca="1">VLOOKUP(B443,bond!B:AI,34,FALSE)</f>
        <v>#N/A</v>
      </c>
      <c r="T443" s="135" t="e">
        <f t="shared" ca="1" si="42"/>
        <v>#N/A</v>
      </c>
      <c r="U443" s="207" t="e">
        <f ca="1">IFERROR(VLOOKUP(T443,Bond_DES!D:E,2,FALSE),VLOOKUP(S443,bond!AI:AJ,2,FALSE))</f>
        <v>#N/A</v>
      </c>
      <c r="V443" s="136" t="e">
        <f ca="1">IFERROR(VLOOKUP(B443,'1_重設數據'!L:M,2,FALSE),IF(Q443="政府",IF(AD443&gt;16,"(NPI)非專投",IF(AD443&gt;10,"(PI)專投","高資產")),IF(VLOOKUP(B443,bond!B:AN,39,FALSE)="Y","(PI)專投",IF(AD443&gt;=15,"(NPI)非專投",IF(AD443&gt;=10,"(PI)專投","高資產")))))</f>
        <v>#N/A</v>
      </c>
      <c r="W443" s="136" t="e">
        <f ca="1">VLOOKUP(AD443,'credit rating'!$F$2:$H$22,3,FALSE)</f>
        <v>#N/A</v>
      </c>
      <c r="X443" s="136" t="e">
        <f t="shared" ca="1" si="43"/>
        <v>#N/A</v>
      </c>
      <c r="Y443" s="136" t="e">
        <f t="shared" ca="1" si="44"/>
        <v>#N/A</v>
      </c>
      <c r="Z443" s="136" t="e">
        <f t="shared" ca="1" si="45"/>
        <v>#N/A</v>
      </c>
      <c r="AA443" s="134">
        <f ca="1">IFERROR(VLOOKUP(X443,'credit rating'!A:C,3,FALSE),0)</f>
        <v>0</v>
      </c>
      <c r="AB443" s="134">
        <f ca="1">IFERROR(VLOOKUP(Y443,'credit rating'!B:C,2,FALSE),0)</f>
        <v>0</v>
      </c>
      <c r="AC443" s="136">
        <f ca="1">IFERROR(VLOOKUP(Z443,'credit rating'!B:C,2,FALSE),0)</f>
        <v>0</v>
      </c>
      <c r="AD443" s="136">
        <f t="shared" ca="1" si="46"/>
        <v>0</v>
      </c>
      <c r="AE443" s="249" t="str">
        <f ca="1">IFERROR(VLOOKUP(B443,bond!B:U,20,FALSE),"")</f>
        <v/>
      </c>
      <c r="AF443" s="136" t="e">
        <f ca="1">IF(VLOOKUP(B443,bond!B:AK,36,FALSE)="#N/A Field Not Applicable","",VLOOKUP(B443,bond!B:AK,36,FALSE))</f>
        <v>#N/A</v>
      </c>
      <c r="AG443" s="136" t="e">
        <f ca="1">IF(VLOOKUP(B443,bond!B:AL,37,FALSE)="FIXED","固定",IF(VLOOKUP(B443,bond!B:AL,37,FALSE)="FLOATING","浮動",IF(VLOOKUP(B443,bond!B:AL,37,FALSE)="VARIABLE","變動",IF(VLOOKUP(B443,bond!B:AL,37,FALSE)="FLAT TRADING","不含息交易",IF(VLOOKUP(B443,bond!B:AL,37,FALSE)="ZERO COUPON","零息",VLOOKUP(B443,bond!B:AL,37,FALSE))))))</f>
        <v>#N/A</v>
      </c>
      <c r="AH443" s="136" t="e">
        <f>VLOOKUP(C443,'2_Check_code'!I:J,2,FALSE)</f>
        <v>#N/A</v>
      </c>
      <c r="AI443" s="136" t="e">
        <f t="shared" ca="1" si="47"/>
        <v>#N/A</v>
      </c>
      <c r="AJ443" s="136" t="e">
        <f t="shared" ca="1" si="48"/>
        <v>#N/A</v>
      </c>
      <c r="AK443" s="594" t="e">
        <f ca="1">IF(VLOOKUP(B443,bond!B:S,18,FALSE)="是","有",IF(VLOOKUP(B443,bond!B:S,18,FALSE)="NO OFFER","無","需查詢"))</f>
        <v>#N/A</v>
      </c>
      <c r="AL443" s="136" t="e">
        <f>IF(VLOOKUP(A443,bond!F:AR,39,FALSE)="#N/A Field Not Applicable",VLOOKUP(A443,bond!F:AR,38,FALSE),IFERROR(VLOOKUP(A443,'7_發行日例外'!A:B,2,FALSE),VLOOKUP(A443,bond!F:AR,39,FALSE)))</f>
        <v>#N/A</v>
      </c>
      <c r="AM443" s="136" t="e">
        <f ca="1">VLOOKUP(B443,bond!B:AK,36,FALSE)</f>
        <v>#N/A</v>
      </c>
      <c r="AN443" s="136" t="str">
        <f ca="1">IFERROR(VLOOKUP(B443,'3_是否下架'!A:A,1,FALSE),"")</f>
        <v/>
      </c>
      <c r="AO443" s="136" t="e">
        <f ca="1">VLOOKUP(B443,bond!B:J,9,FALSE)</f>
        <v>#N/A</v>
      </c>
      <c r="AP443" s="136" t="e">
        <f ca="1">VLOOKUP(B443,bond!B:V,21,FALSE)</f>
        <v>#N/A</v>
      </c>
    </row>
    <row r="444" spans="1:42">
      <c r="A444" s="141">
        <f>bond!F445</f>
        <v>0</v>
      </c>
      <c r="B444" s="151">
        <f ca="1">IF($C$1=TRUE,bond!B445,"")</f>
        <v>0</v>
      </c>
      <c r="C444" s="95" t="e">
        <f>VLOOKUP(A444,bond!F:G,2,FALSE)</f>
        <v>#N/A</v>
      </c>
      <c r="D444" s="142" t="e">
        <f ca="1">VLOOKUP(B444,bond!B:C,2,FALSE)</f>
        <v>#N/A</v>
      </c>
      <c r="E444" s="95" t="e">
        <f ca="1">VLOOKUP(B444,bond!B:D,3,FALSE)</f>
        <v>#N/A</v>
      </c>
      <c r="F444" s="99" t="e">
        <f ca="1">VLOOKUP(B444,bond!B:AB,27,FALSE)</f>
        <v>#N/A</v>
      </c>
      <c r="G444" s="90" t="e">
        <f ca="1">VLOOKUP(B444,bond!B:E,4,FALSE)</f>
        <v>#N/A</v>
      </c>
      <c r="H444" s="202" t="e">
        <f ca="1">VLOOKUP(B444,bond!B:Y,24,FALSE)</f>
        <v>#N/A</v>
      </c>
      <c r="I444" s="95" t="e">
        <f ca="1">VLOOKUP(B444,bond!B:Z,25,FALSE)</f>
        <v>#N/A</v>
      </c>
      <c r="J444" s="180" t="e">
        <f ca="1">VLOOKUP(B444,bond!B:K,10,FALSE)</f>
        <v>#N/A</v>
      </c>
      <c r="K444" s="96" t="e">
        <f ca="1">VLOOKUP($B444,bond!B:S,14,FALSE)</f>
        <v>#N/A</v>
      </c>
      <c r="L444" s="91" t="e">
        <f ca="1">VLOOKUP(B444,bond!B:H,7,FALSE)</f>
        <v>#N/A</v>
      </c>
      <c r="M444" s="144" t="e">
        <f ca="1">VLOOKUP($B444,bond!$B:$Q,16,FALSE)</f>
        <v>#N/A</v>
      </c>
      <c r="N444" s="136" t="e">
        <f ca="1">VALUE(LEFT(VLOOKUP(B444,bond!B:R,17,FALSE),SEARCH(" ",VLOOKUP(B444,bond!B:R,17,FALSE),1)))</f>
        <v>#N/A</v>
      </c>
      <c r="O444" s="136" t="e">
        <f ca="1">VALUE(RIGHT(VLOOKUP(B444,bond!B:R,17,FALSE),LEN(VLOOKUP(B444,bond!B:R,17,FALSE))-LEN(N444)-3))</f>
        <v>#N/A</v>
      </c>
      <c r="P444" s="135" t="e">
        <f ca="1">VLOOKUP($B444,bond!$B:$AG,32,FALSE)</f>
        <v>#N/A</v>
      </c>
      <c r="Q444" s="135" t="e">
        <f ca="1">VLOOKUP($B444,bond!$B:$AH,33,FALSE)</f>
        <v>#N/A</v>
      </c>
      <c r="R444" s="135" t="e">
        <f ca="1">VLOOKUP(B444,bond!B:AA,26,FALSE)</f>
        <v>#N/A</v>
      </c>
      <c r="S444" s="135" t="e">
        <f ca="1">VLOOKUP(B444,bond!B:AI,34,FALSE)</f>
        <v>#N/A</v>
      </c>
      <c r="T444" s="135" t="e">
        <f t="shared" ca="1" si="42"/>
        <v>#N/A</v>
      </c>
      <c r="U444" s="207" t="e">
        <f ca="1">IFERROR(VLOOKUP(T444,Bond_DES!D:E,2,FALSE),VLOOKUP(S444,bond!AI:AJ,2,FALSE))</f>
        <v>#N/A</v>
      </c>
      <c r="V444" s="136" t="e">
        <f ca="1">IFERROR(VLOOKUP(B444,'1_重設數據'!L:M,2,FALSE),IF(Q444="政府",IF(AD444&gt;16,"(NPI)非專投",IF(AD444&gt;10,"(PI)專投","高資產")),IF(VLOOKUP(B444,bond!B:AN,39,FALSE)="Y","(PI)專投",IF(AD444&gt;=15,"(NPI)非專投",IF(AD444&gt;=10,"(PI)專投","高資產")))))</f>
        <v>#N/A</v>
      </c>
      <c r="W444" s="136" t="e">
        <f ca="1">VLOOKUP(AD444,'credit rating'!$F$2:$H$22,3,FALSE)</f>
        <v>#N/A</v>
      </c>
      <c r="X444" s="136" t="e">
        <f t="shared" ca="1" si="43"/>
        <v>#N/A</v>
      </c>
      <c r="Y444" s="136" t="e">
        <f t="shared" ca="1" si="44"/>
        <v>#N/A</v>
      </c>
      <c r="Z444" s="136" t="e">
        <f t="shared" ca="1" si="45"/>
        <v>#N/A</v>
      </c>
      <c r="AA444" s="134">
        <f ca="1">IFERROR(VLOOKUP(X444,'credit rating'!A:C,3,FALSE),0)</f>
        <v>0</v>
      </c>
      <c r="AB444" s="134">
        <f ca="1">IFERROR(VLOOKUP(Y444,'credit rating'!B:C,2,FALSE),0)</f>
        <v>0</v>
      </c>
      <c r="AC444" s="136">
        <f ca="1">IFERROR(VLOOKUP(Z444,'credit rating'!B:C,2,FALSE),0)</f>
        <v>0</v>
      </c>
      <c r="AD444" s="136">
        <f t="shared" ca="1" si="46"/>
        <v>0</v>
      </c>
      <c r="AE444" s="249" t="str">
        <f ca="1">IFERROR(VLOOKUP(B444,bond!B:U,20,FALSE),"")</f>
        <v/>
      </c>
      <c r="AF444" s="136" t="e">
        <f ca="1">IF(VLOOKUP(B444,bond!B:AK,36,FALSE)="#N/A Field Not Applicable","",VLOOKUP(B444,bond!B:AK,36,FALSE))</f>
        <v>#N/A</v>
      </c>
      <c r="AG444" s="136" t="e">
        <f ca="1">IF(VLOOKUP(B444,bond!B:AL,37,FALSE)="FIXED","固定",IF(VLOOKUP(B444,bond!B:AL,37,FALSE)="FLOATING","浮動",IF(VLOOKUP(B444,bond!B:AL,37,FALSE)="VARIABLE","變動",IF(VLOOKUP(B444,bond!B:AL,37,FALSE)="FLAT TRADING","不含息交易",IF(VLOOKUP(B444,bond!B:AL,37,FALSE)="ZERO COUPON","零息",VLOOKUP(B444,bond!B:AL,37,FALSE))))))</f>
        <v>#N/A</v>
      </c>
      <c r="AH444" s="136" t="e">
        <f>VLOOKUP(C444,'2_Check_code'!I:J,2,FALSE)</f>
        <v>#N/A</v>
      </c>
      <c r="AI444" s="136" t="e">
        <f t="shared" ca="1" si="47"/>
        <v>#N/A</v>
      </c>
      <c r="AJ444" s="136" t="e">
        <f t="shared" ca="1" si="48"/>
        <v>#N/A</v>
      </c>
      <c r="AK444" s="594" t="e">
        <f ca="1">IF(VLOOKUP(B444,bond!B:S,18,FALSE)="是","有",IF(VLOOKUP(B444,bond!B:S,18,FALSE)="NO OFFER","無","需查詢"))</f>
        <v>#N/A</v>
      </c>
      <c r="AL444" s="136" t="e">
        <f>IF(VLOOKUP(A444,bond!F:AR,39,FALSE)="#N/A Field Not Applicable",VLOOKUP(A444,bond!F:AR,38,FALSE),IFERROR(VLOOKUP(A444,'7_發行日例外'!A:B,2,FALSE),VLOOKUP(A444,bond!F:AR,39,FALSE)))</f>
        <v>#N/A</v>
      </c>
      <c r="AM444" s="136" t="e">
        <f ca="1">VLOOKUP(B444,bond!B:AK,36,FALSE)</f>
        <v>#N/A</v>
      </c>
      <c r="AN444" s="136" t="str">
        <f ca="1">IFERROR(VLOOKUP(B444,'3_是否下架'!A:A,1,FALSE),"")</f>
        <v/>
      </c>
      <c r="AO444" s="136" t="e">
        <f ca="1">VLOOKUP(B444,bond!B:J,9,FALSE)</f>
        <v>#N/A</v>
      </c>
      <c r="AP444" s="136" t="e">
        <f ca="1">VLOOKUP(B444,bond!B:V,21,FALSE)</f>
        <v>#N/A</v>
      </c>
    </row>
    <row r="445" spans="1:42">
      <c r="A445" s="141">
        <f>bond!F446</f>
        <v>0</v>
      </c>
      <c r="B445" s="151">
        <f ca="1">IF($C$1=TRUE,bond!B446,"")</f>
        <v>0</v>
      </c>
      <c r="C445" s="95" t="e">
        <f>VLOOKUP(A445,bond!F:G,2,FALSE)</f>
        <v>#N/A</v>
      </c>
      <c r="D445" s="142" t="e">
        <f ca="1">VLOOKUP(B445,bond!B:C,2,FALSE)</f>
        <v>#N/A</v>
      </c>
      <c r="E445" s="95" t="e">
        <f ca="1">VLOOKUP(B445,bond!B:D,3,FALSE)</f>
        <v>#N/A</v>
      </c>
      <c r="F445" s="99" t="e">
        <f ca="1">VLOOKUP(B445,bond!B:AB,27,FALSE)</f>
        <v>#N/A</v>
      </c>
      <c r="G445" s="90" t="e">
        <f ca="1">VLOOKUP(B445,bond!B:E,4,FALSE)</f>
        <v>#N/A</v>
      </c>
      <c r="H445" s="202" t="e">
        <f ca="1">VLOOKUP(B445,bond!B:Y,24,FALSE)</f>
        <v>#N/A</v>
      </c>
      <c r="I445" s="95" t="e">
        <f ca="1">VLOOKUP(B445,bond!B:Z,25,FALSE)</f>
        <v>#N/A</v>
      </c>
      <c r="J445" s="180" t="e">
        <f ca="1">VLOOKUP(B445,bond!B:K,10,FALSE)</f>
        <v>#N/A</v>
      </c>
      <c r="K445" s="96" t="e">
        <f ca="1">VLOOKUP($B445,bond!B:S,14,FALSE)</f>
        <v>#N/A</v>
      </c>
      <c r="L445" s="91" t="e">
        <f ca="1">VLOOKUP(B445,bond!B:H,7,FALSE)</f>
        <v>#N/A</v>
      </c>
      <c r="M445" s="144" t="e">
        <f ca="1">VLOOKUP($B445,bond!$B:$Q,16,FALSE)</f>
        <v>#N/A</v>
      </c>
      <c r="N445" s="136" t="e">
        <f ca="1">VALUE(LEFT(VLOOKUP(B445,bond!B:R,17,FALSE),SEARCH(" ",VLOOKUP(B445,bond!B:R,17,FALSE),1)))</f>
        <v>#N/A</v>
      </c>
      <c r="O445" s="136" t="e">
        <f ca="1">VALUE(RIGHT(VLOOKUP(B445,bond!B:R,17,FALSE),LEN(VLOOKUP(B445,bond!B:R,17,FALSE))-LEN(N445)-3))</f>
        <v>#N/A</v>
      </c>
      <c r="P445" s="135" t="e">
        <f ca="1">VLOOKUP($B445,bond!$B:$AG,32,FALSE)</f>
        <v>#N/A</v>
      </c>
      <c r="Q445" s="135" t="e">
        <f ca="1">VLOOKUP($B445,bond!$B:$AH,33,FALSE)</f>
        <v>#N/A</v>
      </c>
      <c r="R445" s="135" t="e">
        <f ca="1">VLOOKUP(B445,bond!B:AA,26,FALSE)</f>
        <v>#N/A</v>
      </c>
      <c r="S445" s="135" t="e">
        <f ca="1">VLOOKUP(B445,bond!B:AI,34,FALSE)</f>
        <v>#N/A</v>
      </c>
      <c r="T445" s="135" t="e">
        <f t="shared" ca="1" si="42"/>
        <v>#N/A</v>
      </c>
      <c r="U445" s="207" t="e">
        <f ca="1">IFERROR(VLOOKUP(T445,Bond_DES!D:E,2,FALSE),VLOOKUP(S445,bond!AI:AJ,2,FALSE))</f>
        <v>#N/A</v>
      </c>
      <c r="V445" s="136" t="e">
        <f ca="1">IFERROR(VLOOKUP(B445,'1_重設數據'!L:M,2,FALSE),IF(Q445="政府",IF(AD445&gt;16,"(NPI)非專投",IF(AD445&gt;10,"(PI)專投","高資產")),IF(VLOOKUP(B445,bond!B:AN,39,FALSE)="Y","(PI)專投",IF(AD445&gt;=15,"(NPI)非專投",IF(AD445&gt;=10,"(PI)專投","高資產")))))</f>
        <v>#N/A</v>
      </c>
      <c r="W445" s="136" t="e">
        <f ca="1">VLOOKUP(AD445,'credit rating'!$F$2:$H$22,3,FALSE)</f>
        <v>#N/A</v>
      </c>
      <c r="X445" s="136" t="e">
        <f t="shared" ca="1" si="43"/>
        <v>#N/A</v>
      </c>
      <c r="Y445" s="136" t="e">
        <f t="shared" ca="1" si="44"/>
        <v>#N/A</v>
      </c>
      <c r="Z445" s="136" t="e">
        <f t="shared" ca="1" si="45"/>
        <v>#N/A</v>
      </c>
      <c r="AA445" s="134">
        <f ca="1">IFERROR(VLOOKUP(X445,'credit rating'!A:C,3,FALSE),0)</f>
        <v>0</v>
      </c>
      <c r="AB445" s="134">
        <f ca="1">IFERROR(VLOOKUP(Y445,'credit rating'!B:C,2,FALSE),0)</f>
        <v>0</v>
      </c>
      <c r="AC445" s="136">
        <f ca="1">IFERROR(VLOOKUP(Z445,'credit rating'!B:C,2,FALSE),0)</f>
        <v>0</v>
      </c>
      <c r="AD445" s="136">
        <f t="shared" ca="1" si="46"/>
        <v>0</v>
      </c>
      <c r="AE445" s="249" t="str">
        <f ca="1">IFERROR(VLOOKUP(B445,bond!B:U,20,FALSE),"")</f>
        <v/>
      </c>
      <c r="AF445" s="136" t="e">
        <f ca="1">IF(VLOOKUP(B445,bond!B:AK,36,FALSE)="#N/A Field Not Applicable","",VLOOKUP(B445,bond!B:AK,36,FALSE))</f>
        <v>#N/A</v>
      </c>
      <c r="AG445" s="136" t="e">
        <f ca="1">IF(VLOOKUP(B445,bond!B:AL,37,FALSE)="FIXED","固定",IF(VLOOKUP(B445,bond!B:AL,37,FALSE)="FLOATING","浮動",IF(VLOOKUP(B445,bond!B:AL,37,FALSE)="VARIABLE","變動",IF(VLOOKUP(B445,bond!B:AL,37,FALSE)="FLAT TRADING","不含息交易",IF(VLOOKUP(B445,bond!B:AL,37,FALSE)="ZERO COUPON","零息",VLOOKUP(B445,bond!B:AL,37,FALSE))))))</f>
        <v>#N/A</v>
      </c>
      <c r="AH445" s="136" t="e">
        <f>VLOOKUP(C445,'2_Check_code'!I:J,2,FALSE)</f>
        <v>#N/A</v>
      </c>
      <c r="AI445" s="136" t="e">
        <f t="shared" ca="1" si="47"/>
        <v>#N/A</v>
      </c>
      <c r="AJ445" s="136" t="e">
        <f t="shared" ca="1" si="48"/>
        <v>#N/A</v>
      </c>
      <c r="AK445" s="594" t="e">
        <f ca="1">IF(VLOOKUP(B445,bond!B:S,18,FALSE)="是","有",IF(VLOOKUP(B445,bond!B:S,18,FALSE)="NO OFFER","無","需查詢"))</f>
        <v>#N/A</v>
      </c>
      <c r="AL445" s="136" t="e">
        <f>IF(VLOOKUP(A445,bond!F:AR,39,FALSE)="#N/A Field Not Applicable",VLOOKUP(A445,bond!F:AR,38,FALSE),IFERROR(VLOOKUP(A445,'7_發行日例外'!A:B,2,FALSE),VLOOKUP(A445,bond!F:AR,39,FALSE)))</f>
        <v>#N/A</v>
      </c>
      <c r="AM445" s="136" t="e">
        <f ca="1">VLOOKUP(B445,bond!B:AK,36,FALSE)</f>
        <v>#N/A</v>
      </c>
      <c r="AN445" s="136" t="str">
        <f ca="1">IFERROR(VLOOKUP(B445,'3_是否下架'!A:A,1,FALSE),"")</f>
        <v/>
      </c>
      <c r="AO445" s="136" t="e">
        <f ca="1">VLOOKUP(B445,bond!B:J,9,FALSE)</f>
        <v>#N/A</v>
      </c>
      <c r="AP445" s="136" t="e">
        <f ca="1">VLOOKUP(B445,bond!B:V,21,FALSE)</f>
        <v>#N/A</v>
      </c>
    </row>
    <row r="446" spans="1:42">
      <c r="A446" s="141">
        <f>bond!F447</f>
        <v>0</v>
      </c>
      <c r="B446" s="151">
        <f ca="1">IF($C$1=TRUE,bond!B447,"")</f>
        <v>0</v>
      </c>
      <c r="C446" s="95" t="e">
        <f>VLOOKUP(A446,bond!F:G,2,FALSE)</f>
        <v>#N/A</v>
      </c>
      <c r="D446" s="142" t="e">
        <f ca="1">VLOOKUP(B446,bond!B:C,2,FALSE)</f>
        <v>#N/A</v>
      </c>
      <c r="E446" s="95" t="e">
        <f ca="1">VLOOKUP(B446,bond!B:D,3,FALSE)</f>
        <v>#N/A</v>
      </c>
      <c r="F446" s="99" t="e">
        <f ca="1">VLOOKUP(B446,bond!B:AB,27,FALSE)</f>
        <v>#N/A</v>
      </c>
      <c r="G446" s="90" t="e">
        <f ca="1">VLOOKUP(B446,bond!B:E,4,FALSE)</f>
        <v>#N/A</v>
      </c>
      <c r="H446" s="202" t="e">
        <f ca="1">VLOOKUP(B446,bond!B:Y,24,FALSE)</f>
        <v>#N/A</v>
      </c>
      <c r="I446" s="95" t="e">
        <f ca="1">VLOOKUP(B446,bond!B:Z,25,FALSE)</f>
        <v>#N/A</v>
      </c>
      <c r="J446" s="180" t="e">
        <f ca="1">VLOOKUP(B446,bond!B:K,10,FALSE)</f>
        <v>#N/A</v>
      </c>
      <c r="K446" s="96" t="e">
        <f ca="1">VLOOKUP($B446,bond!B:S,14,FALSE)</f>
        <v>#N/A</v>
      </c>
      <c r="L446" s="91" t="e">
        <f ca="1">VLOOKUP(B446,bond!B:H,7,FALSE)</f>
        <v>#N/A</v>
      </c>
      <c r="M446" s="144" t="e">
        <f ca="1">VLOOKUP($B446,bond!$B:$Q,16,FALSE)</f>
        <v>#N/A</v>
      </c>
      <c r="N446" s="136" t="e">
        <f ca="1">VALUE(LEFT(VLOOKUP(B446,bond!B:R,17,FALSE),SEARCH(" ",VLOOKUP(B446,bond!B:R,17,FALSE),1)))</f>
        <v>#N/A</v>
      </c>
      <c r="O446" s="136" t="e">
        <f ca="1">VALUE(RIGHT(VLOOKUP(B446,bond!B:R,17,FALSE),LEN(VLOOKUP(B446,bond!B:R,17,FALSE))-LEN(N446)-3))</f>
        <v>#N/A</v>
      </c>
      <c r="P446" s="135" t="e">
        <f ca="1">VLOOKUP($B446,bond!$B:$AG,32,FALSE)</f>
        <v>#N/A</v>
      </c>
      <c r="Q446" s="135" t="e">
        <f ca="1">VLOOKUP($B446,bond!$B:$AH,33,FALSE)</f>
        <v>#N/A</v>
      </c>
      <c r="R446" s="135" t="e">
        <f ca="1">VLOOKUP(B446,bond!B:AA,26,FALSE)</f>
        <v>#N/A</v>
      </c>
      <c r="S446" s="135" t="e">
        <f ca="1">VLOOKUP(B446,bond!B:AI,34,FALSE)</f>
        <v>#N/A</v>
      </c>
      <c r="T446" s="135" t="e">
        <f t="shared" ca="1" si="42"/>
        <v>#N/A</v>
      </c>
      <c r="U446" s="207" t="e">
        <f ca="1">IFERROR(VLOOKUP(T446,Bond_DES!D:E,2,FALSE),VLOOKUP(S446,bond!AI:AJ,2,FALSE))</f>
        <v>#N/A</v>
      </c>
      <c r="V446" s="136" t="e">
        <f ca="1">IFERROR(VLOOKUP(B446,'1_重設數據'!L:M,2,FALSE),IF(Q446="政府",IF(AD446&gt;16,"(NPI)非專投",IF(AD446&gt;10,"(PI)專投","高資產")),IF(VLOOKUP(B446,bond!B:AN,39,FALSE)="Y","(PI)專投",IF(AD446&gt;=15,"(NPI)非專投",IF(AD446&gt;=10,"(PI)專投","高資產")))))</f>
        <v>#N/A</v>
      </c>
      <c r="W446" s="136" t="e">
        <f ca="1">VLOOKUP(AD446,'credit rating'!$F$2:$H$22,3,FALSE)</f>
        <v>#N/A</v>
      </c>
      <c r="X446" s="136" t="e">
        <f t="shared" ca="1" si="43"/>
        <v>#N/A</v>
      </c>
      <c r="Y446" s="136" t="e">
        <f t="shared" ca="1" si="44"/>
        <v>#N/A</v>
      </c>
      <c r="Z446" s="136" t="e">
        <f t="shared" ca="1" si="45"/>
        <v>#N/A</v>
      </c>
      <c r="AA446" s="134">
        <f ca="1">IFERROR(VLOOKUP(X446,'credit rating'!A:C,3,FALSE),0)</f>
        <v>0</v>
      </c>
      <c r="AB446" s="134">
        <f ca="1">IFERROR(VLOOKUP(Y446,'credit rating'!B:C,2,FALSE),0)</f>
        <v>0</v>
      </c>
      <c r="AC446" s="136">
        <f ca="1">IFERROR(VLOOKUP(Z446,'credit rating'!B:C,2,FALSE),0)</f>
        <v>0</v>
      </c>
      <c r="AD446" s="136">
        <f t="shared" ca="1" si="46"/>
        <v>0</v>
      </c>
      <c r="AE446" s="249" t="str">
        <f ca="1">IFERROR(VLOOKUP(B446,bond!B:U,20,FALSE),"")</f>
        <v/>
      </c>
      <c r="AF446" s="136" t="e">
        <f ca="1">IF(VLOOKUP(B446,bond!B:AK,36,FALSE)="#N/A Field Not Applicable","",VLOOKUP(B446,bond!B:AK,36,FALSE))</f>
        <v>#N/A</v>
      </c>
      <c r="AG446" s="136" t="e">
        <f ca="1">IF(VLOOKUP(B446,bond!B:AL,37,FALSE)="FIXED","固定",IF(VLOOKUP(B446,bond!B:AL,37,FALSE)="FLOATING","浮動",IF(VLOOKUP(B446,bond!B:AL,37,FALSE)="VARIABLE","變動",IF(VLOOKUP(B446,bond!B:AL,37,FALSE)="FLAT TRADING","不含息交易",IF(VLOOKUP(B446,bond!B:AL,37,FALSE)="ZERO COUPON","零息",VLOOKUP(B446,bond!B:AL,37,FALSE))))))</f>
        <v>#N/A</v>
      </c>
      <c r="AH446" s="136" t="e">
        <f>VLOOKUP(C446,'2_Check_code'!I:J,2,FALSE)</f>
        <v>#N/A</v>
      </c>
      <c r="AI446" s="136" t="e">
        <f t="shared" ca="1" si="47"/>
        <v>#N/A</v>
      </c>
      <c r="AJ446" s="136" t="e">
        <f t="shared" ca="1" si="48"/>
        <v>#N/A</v>
      </c>
      <c r="AK446" s="594" t="e">
        <f ca="1">IF(VLOOKUP(B446,bond!B:S,18,FALSE)="是","有",IF(VLOOKUP(B446,bond!B:S,18,FALSE)="NO OFFER","無","需查詢"))</f>
        <v>#N/A</v>
      </c>
      <c r="AL446" s="136" t="e">
        <f>IF(VLOOKUP(A446,bond!F:AR,39,FALSE)="#N/A Field Not Applicable",VLOOKUP(A446,bond!F:AR,38,FALSE),IFERROR(VLOOKUP(A446,'7_發行日例外'!A:B,2,FALSE),VLOOKUP(A446,bond!F:AR,39,FALSE)))</f>
        <v>#N/A</v>
      </c>
      <c r="AM446" s="136" t="e">
        <f ca="1">VLOOKUP(B446,bond!B:AK,36,FALSE)</f>
        <v>#N/A</v>
      </c>
      <c r="AN446" s="136" t="str">
        <f ca="1">IFERROR(VLOOKUP(B446,'3_是否下架'!A:A,1,FALSE),"")</f>
        <v/>
      </c>
      <c r="AO446" s="136" t="e">
        <f ca="1">VLOOKUP(B446,bond!B:J,9,FALSE)</f>
        <v>#N/A</v>
      </c>
      <c r="AP446" s="136" t="e">
        <f ca="1">VLOOKUP(B446,bond!B:V,21,FALSE)</f>
        <v>#N/A</v>
      </c>
    </row>
    <row r="447" spans="1:42">
      <c r="A447" s="141">
        <f>bond!F448</f>
        <v>0</v>
      </c>
      <c r="B447" s="151">
        <f ca="1">IF($C$1=TRUE,bond!B448,"")</f>
        <v>0</v>
      </c>
      <c r="C447" s="95" t="e">
        <f>VLOOKUP(A447,bond!F:G,2,FALSE)</f>
        <v>#N/A</v>
      </c>
      <c r="D447" s="142" t="e">
        <f ca="1">VLOOKUP(B447,bond!B:C,2,FALSE)</f>
        <v>#N/A</v>
      </c>
      <c r="E447" s="95" t="e">
        <f ca="1">VLOOKUP(B447,bond!B:D,3,FALSE)</f>
        <v>#N/A</v>
      </c>
      <c r="F447" s="99" t="e">
        <f ca="1">VLOOKUP(B447,bond!B:AB,27,FALSE)</f>
        <v>#N/A</v>
      </c>
      <c r="G447" s="90" t="e">
        <f ca="1">VLOOKUP(B447,bond!B:E,4,FALSE)</f>
        <v>#N/A</v>
      </c>
      <c r="H447" s="202" t="e">
        <f ca="1">VLOOKUP(B447,bond!B:Y,24,FALSE)</f>
        <v>#N/A</v>
      </c>
      <c r="I447" s="95" t="e">
        <f ca="1">VLOOKUP(B447,bond!B:Z,25,FALSE)</f>
        <v>#N/A</v>
      </c>
      <c r="J447" s="180" t="e">
        <f ca="1">VLOOKUP(B447,bond!B:K,10,FALSE)</f>
        <v>#N/A</v>
      </c>
      <c r="K447" s="96" t="e">
        <f ca="1">VLOOKUP($B447,bond!B:S,14,FALSE)</f>
        <v>#N/A</v>
      </c>
      <c r="L447" s="91" t="e">
        <f ca="1">VLOOKUP(B447,bond!B:H,7,FALSE)</f>
        <v>#N/A</v>
      </c>
      <c r="M447" s="144" t="e">
        <f ca="1">VLOOKUP($B447,bond!$B:$Q,16,FALSE)</f>
        <v>#N/A</v>
      </c>
      <c r="N447" s="136" t="e">
        <f ca="1">VALUE(LEFT(VLOOKUP(B447,bond!B:R,17,FALSE),SEARCH(" ",VLOOKUP(B447,bond!B:R,17,FALSE),1)))</f>
        <v>#N/A</v>
      </c>
      <c r="O447" s="136" t="e">
        <f ca="1">VALUE(RIGHT(VLOOKUP(B447,bond!B:R,17,FALSE),LEN(VLOOKUP(B447,bond!B:R,17,FALSE))-LEN(N447)-3))</f>
        <v>#N/A</v>
      </c>
      <c r="P447" s="135" t="e">
        <f ca="1">VLOOKUP($B447,bond!$B:$AG,32,FALSE)</f>
        <v>#N/A</v>
      </c>
      <c r="Q447" s="135" t="e">
        <f ca="1">VLOOKUP($B447,bond!$B:$AH,33,FALSE)</f>
        <v>#N/A</v>
      </c>
      <c r="R447" s="135" t="e">
        <f ca="1">VLOOKUP(B447,bond!B:AA,26,FALSE)</f>
        <v>#N/A</v>
      </c>
      <c r="S447" s="135" t="e">
        <f ca="1">VLOOKUP(B447,bond!B:AI,34,FALSE)</f>
        <v>#N/A</v>
      </c>
      <c r="T447" s="135" t="e">
        <f t="shared" ca="1" si="42"/>
        <v>#N/A</v>
      </c>
      <c r="U447" s="207" t="e">
        <f ca="1">IFERROR(VLOOKUP(T447,Bond_DES!D:E,2,FALSE),VLOOKUP(S447,bond!AI:AJ,2,FALSE))</f>
        <v>#N/A</v>
      </c>
      <c r="V447" s="136" t="e">
        <f ca="1">IFERROR(VLOOKUP(B447,'1_重設數據'!L:M,2,FALSE),IF(Q447="政府",IF(AD447&gt;16,"(NPI)非專投",IF(AD447&gt;10,"(PI)專投","高資產")),IF(VLOOKUP(B447,bond!B:AN,39,FALSE)="Y","(PI)專投",IF(AD447&gt;=15,"(NPI)非專投",IF(AD447&gt;=10,"(PI)專投","高資產")))))</f>
        <v>#N/A</v>
      </c>
      <c r="W447" s="136" t="e">
        <f ca="1">VLOOKUP(AD447,'credit rating'!$F$2:$H$22,3,FALSE)</f>
        <v>#N/A</v>
      </c>
      <c r="X447" s="136" t="e">
        <f t="shared" ca="1" si="43"/>
        <v>#N/A</v>
      </c>
      <c r="Y447" s="136" t="e">
        <f t="shared" ca="1" si="44"/>
        <v>#N/A</v>
      </c>
      <c r="Z447" s="136" t="e">
        <f t="shared" ca="1" si="45"/>
        <v>#N/A</v>
      </c>
      <c r="AA447" s="134">
        <f ca="1">IFERROR(VLOOKUP(X447,'credit rating'!A:C,3,FALSE),0)</f>
        <v>0</v>
      </c>
      <c r="AB447" s="134">
        <f ca="1">IFERROR(VLOOKUP(Y447,'credit rating'!B:C,2,FALSE),0)</f>
        <v>0</v>
      </c>
      <c r="AC447" s="136">
        <f ca="1">IFERROR(VLOOKUP(Z447,'credit rating'!B:C,2,FALSE),0)</f>
        <v>0</v>
      </c>
      <c r="AD447" s="136">
        <f t="shared" ca="1" si="46"/>
        <v>0</v>
      </c>
      <c r="AE447" s="249" t="str">
        <f ca="1">IFERROR(VLOOKUP(B447,bond!B:U,20,FALSE),"")</f>
        <v/>
      </c>
      <c r="AF447" s="136" t="e">
        <f ca="1">IF(VLOOKUP(B447,bond!B:AK,36,FALSE)="#N/A Field Not Applicable","",VLOOKUP(B447,bond!B:AK,36,FALSE))</f>
        <v>#N/A</v>
      </c>
      <c r="AG447" s="136" t="e">
        <f ca="1">IF(VLOOKUP(B447,bond!B:AL,37,FALSE)="FIXED","固定",IF(VLOOKUP(B447,bond!B:AL,37,FALSE)="FLOATING","浮動",IF(VLOOKUP(B447,bond!B:AL,37,FALSE)="VARIABLE","變動",IF(VLOOKUP(B447,bond!B:AL,37,FALSE)="FLAT TRADING","不含息交易",IF(VLOOKUP(B447,bond!B:AL,37,FALSE)="ZERO COUPON","零息",VLOOKUP(B447,bond!B:AL,37,FALSE))))))</f>
        <v>#N/A</v>
      </c>
      <c r="AH447" s="136" t="e">
        <f>VLOOKUP(C447,'2_Check_code'!I:J,2,FALSE)</f>
        <v>#N/A</v>
      </c>
      <c r="AI447" s="136" t="e">
        <f t="shared" ca="1" si="47"/>
        <v>#N/A</v>
      </c>
      <c r="AJ447" s="136" t="e">
        <f t="shared" ca="1" si="48"/>
        <v>#N/A</v>
      </c>
      <c r="AK447" s="594" t="e">
        <f ca="1">IF(VLOOKUP(B447,bond!B:S,18,FALSE)="是","有",IF(VLOOKUP(B447,bond!B:S,18,FALSE)="NO OFFER","無","需查詢"))</f>
        <v>#N/A</v>
      </c>
      <c r="AL447" s="136" t="e">
        <f>IF(VLOOKUP(A447,bond!F:AR,39,FALSE)="#N/A Field Not Applicable",VLOOKUP(A447,bond!F:AR,38,FALSE),IFERROR(VLOOKUP(A447,'7_發行日例外'!A:B,2,FALSE),VLOOKUP(A447,bond!F:AR,39,FALSE)))</f>
        <v>#N/A</v>
      </c>
      <c r="AM447" s="136" t="e">
        <f ca="1">VLOOKUP(B447,bond!B:AK,36,FALSE)</f>
        <v>#N/A</v>
      </c>
      <c r="AN447" s="136" t="str">
        <f ca="1">IFERROR(VLOOKUP(B447,'3_是否下架'!A:A,1,FALSE),"")</f>
        <v/>
      </c>
      <c r="AO447" s="136" t="e">
        <f ca="1">VLOOKUP(B447,bond!B:J,9,FALSE)</f>
        <v>#N/A</v>
      </c>
      <c r="AP447" s="136" t="e">
        <f ca="1">VLOOKUP(B447,bond!B:V,21,FALSE)</f>
        <v>#N/A</v>
      </c>
    </row>
    <row r="448" spans="1:42">
      <c r="A448" s="141">
        <f>bond!F449</f>
        <v>0</v>
      </c>
      <c r="B448" s="151">
        <f ca="1">IF($C$1=TRUE,bond!B449,"")</f>
        <v>0</v>
      </c>
      <c r="C448" s="95" t="e">
        <f>VLOOKUP(A448,bond!F:G,2,FALSE)</f>
        <v>#N/A</v>
      </c>
      <c r="D448" s="142" t="e">
        <f ca="1">VLOOKUP(B448,bond!B:C,2,FALSE)</f>
        <v>#N/A</v>
      </c>
      <c r="E448" s="95" t="e">
        <f ca="1">VLOOKUP(B448,bond!B:D,3,FALSE)</f>
        <v>#N/A</v>
      </c>
      <c r="F448" s="99" t="e">
        <f ca="1">VLOOKUP(B448,bond!B:AB,27,FALSE)</f>
        <v>#N/A</v>
      </c>
      <c r="G448" s="90" t="e">
        <f ca="1">VLOOKUP(B448,bond!B:E,4,FALSE)</f>
        <v>#N/A</v>
      </c>
      <c r="H448" s="202" t="e">
        <f ca="1">VLOOKUP(B448,bond!B:Y,24,FALSE)</f>
        <v>#N/A</v>
      </c>
      <c r="I448" s="95" t="e">
        <f ca="1">VLOOKUP(B448,bond!B:Z,25,FALSE)</f>
        <v>#N/A</v>
      </c>
      <c r="J448" s="180" t="e">
        <f ca="1">VLOOKUP(B448,bond!B:K,10,FALSE)</f>
        <v>#N/A</v>
      </c>
      <c r="K448" s="96" t="e">
        <f ca="1">VLOOKUP($B448,bond!B:S,14,FALSE)</f>
        <v>#N/A</v>
      </c>
      <c r="L448" s="91" t="e">
        <f ca="1">VLOOKUP(B448,bond!B:H,7,FALSE)</f>
        <v>#N/A</v>
      </c>
      <c r="M448" s="144" t="e">
        <f ca="1">VLOOKUP($B448,bond!$B:$Q,16,FALSE)</f>
        <v>#N/A</v>
      </c>
      <c r="N448" s="136" t="e">
        <f ca="1">VALUE(LEFT(VLOOKUP(B448,bond!B:R,17,FALSE),SEARCH(" ",VLOOKUP(B448,bond!B:R,17,FALSE),1)))</f>
        <v>#N/A</v>
      </c>
      <c r="O448" s="136" t="e">
        <f ca="1">VALUE(RIGHT(VLOOKUP(B448,bond!B:R,17,FALSE),LEN(VLOOKUP(B448,bond!B:R,17,FALSE))-LEN(N448)-3))</f>
        <v>#N/A</v>
      </c>
      <c r="P448" s="135" t="e">
        <f ca="1">VLOOKUP($B448,bond!$B:$AG,32,FALSE)</f>
        <v>#N/A</v>
      </c>
      <c r="Q448" s="135" t="e">
        <f ca="1">VLOOKUP($B448,bond!$B:$AH,33,FALSE)</f>
        <v>#N/A</v>
      </c>
      <c r="R448" s="135" t="e">
        <f ca="1">VLOOKUP(B448,bond!B:AA,26,FALSE)</f>
        <v>#N/A</v>
      </c>
      <c r="S448" s="135" t="e">
        <f ca="1">VLOOKUP(B448,bond!B:AI,34,FALSE)</f>
        <v>#N/A</v>
      </c>
      <c r="T448" s="135" t="e">
        <f t="shared" ca="1" si="42"/>
        <v>#N/A</v>
      </c>
      <c r="U448" s="207" t="e">
        <f ca="1">IFERROR(VLOOKUP(T448,Bond_DES!D:E,2,FALSE),VLOOKUP(S448,bond!AI:AJ,2,FALSE))</f>
        <v>#N/A</v>
      </c>
      <c r="V448" s="136" t="e">
        <f ca="1">IFERROR(VLOOKUP(B448,'1_重設數據'!L:M,2,FALSE),IF(Q448="政府",IF(AD448&gt;16,"(NPI)非專投",IF(AD448&gt;10,"(PI)專投","高資產")),IF(VLOOKUP(B448,bond!B:AN,39,FALSE)="Y","(PI)專投",IF(AD448&gt;=15,"(NPI)非專投",IF(AD448&gt;=10,"(PI)專投","高資產")))))</f>
        <v>#N/A</v>
      </c>
      <c r="W448" s="136" t="e">
        <f ca="1">VLOOKUP(AD448,'credit rating'!$F$2:$H$22,3,FALSE)</f>
        <v>#N/A</v>
      </c>
      <c r="X448" s="136" t="e">
        <f t="shared" ca="1" si="43"/>
        <v>#N/A</v>
      </c>
      <c r="Y448" s="136" t="e">
        <f t="shared" ca="1" si="44"/>
        <v>#N/A</v>
      </c>
      <c r="Z448" s="136" t="e">
        <f t="shared" ca="1" si="45"/>
        <v>#N/A</v>
      </c>
      <c r="AA448" s="134">
        <f ca="1">IFERROR(VLOOKUP(X448,'credit rating'!A:C,3,FALSE),0)</f>
        <v>0</v>
      </c>
      <c r="AB448" s="134">
        <f ca="1">IFERROR(VLOOKUP(Y448,'credit rating'!B:C,2,FALSE),0)</f>
        <v>0</v>
      </c>
      <c r="AC448" s="136">
        <f ca="1">IFERROR(VLOOKUP(Z448,'credit rating'!B:C,2,FALSE),0)</f>
        <v>0</v>
      </c>
      <c r="AD448" s="136">
        <f t="shared" ca="1" si="46"/>
        <v>0</v>
      </c>
      <c r="AE448" s="249" t="str">
        <f ca="1">IFERROR(VLOOKUP(B448,bond!B:U,20,FALSE),"")</f>
        <v/>
      </c>
      <c r="AF448" s="136" t="e">
        <f ca="1">IF(VLOOKUP(B448,bond!B:AK,36,FALSE)="#N/A Field Not Applicable","",VLOOKUP(B448,bond!B:AK,36,FALSE))</f>
        <v>#N/A</v>
      </c>
      <c r="AG448" s="136" t="e">
        <f ca="1">IF(VLOOKUP(B448,bond!B:AL,37,FALSE)="FIXED","固定",IF(VLOOKUP(B448,bond!B:AL,37,FALSE)="FLOATING","浮動",IF(VLOOKUP(B448,bond!B:AL,37,FALSE)="VARIABLE","變動",IF(VLOOKUP(B448,bond!B:AL,37,FALSE)="FLAT TRADING","不含息交易",IF(VLOOKUP(B448,bond!B:AL,37,FALSE)="ZERO COUPON","零息",VLOOKUP(B448,bond!B:AL,37,FALSE))))))</f>
        <v>#N/A</v>
      </c>
      <c r="AH448" s="136" t="e">
        <f>VLOOKUP(C448,'2_Check_code'!I:J,2,FALSE)</f>
        <v>#N/A</v>
      </c>
      <c r="AI448" s="136" t="e">
        <f t="shared" ca="1" si="47"/>
        <v>#N/A</v>
      </c>
      <c r="AJ448" s="136" t="e">
        <f t="shared" ca="1" si="48"/>
        <v>#N/A</v>
      </c>
      <c r="AK448" s="594" t="e">
        <f ca="1">IF(VLOOKUP(B448,bond!B:S,18,FALSE)="是","有",IF(VLOOKUP(B448,bond!B:S,18,FALSE)="NO OFFER","無","需查詢"))</f>
        <v>#N/A</v>
      </c>
      <c r="AL448" s="136" t="e">
        <f>IF(VLOOKUP(A448,bond!F:AR,39,FALSE)="#N/A Field Not Applicable",VLOOKUP(A448,bond!F:AR,38,FALSE),IFERROR(VLOOKUP(A448,'7_發行日例外'!A:B,2,FALSE),VLOOKUP(A448,bond!F:AR,39,FALSE)))</f>
        <v>#N/A</v>
      </c>
      <c r="AM448" s="136" t="e">
        <f ca="1">VLOOKUP(B448,bond!B:AK,36,FALSE)</f>
        <v>#N/A</v>
      </c>
      <c r="AN448" s="136" t="str">
        <f ca="1">IFERROR(VLOOKUP(B448,'3_是否下架'!A:A,1,FALSE),"")</f>
        <v/>
      </c>
      <c r="AO448" s="136" t="e">
        <f ca="1">VLOOKUP(B448,bond!B:J,9,FALSE)</f>
        <v>#N/A</v>
      </c>
      <c r="AP448" s="136" t="e">
        <f ca="1">VLOOKUP(B448,bond!B:V,21,FALSE)</f>
        <v>#N/A</v>
      </c>
    </row>
    <row r="449" spans="1:42">
      <c r="A449" s="141">
        <f>bond!F450</f>
        <v>0</v>
      </c>
      <c r="B449" s="151">
        <f ca="1">IF($C$1=TRUE,bond!B450,"")</f>
        <v>0</v>
      </c>
      <c r="C449" s="95" t="e">
        <f>VLOOKUP(A449,bond!F:G,2,FALSE)</f>
        <v>#N/A</v>
      </c>
      <c r="D449" s="142" t="e">
        <f ca="1">VLOOKUP(B449,bond!B:C,2,FALSE)</f>
        <v>#N/A</v>
      </c>
      <c r="E449" s="95" t="e">
        <f ca="1">VLOOKUP(B449,bond!B:D,3,FALSE)</f>
        <v>#N/A</v>
      </c>
      <c r="F449" s="99" t="e">
        <f ca="1">VLOOKUP(B449,bond!B:AB,27,FALSE)</f>
        <v>#N/A</v>
      </c>
      <c r="G449" s="90" t="e">
        <f ca="1">VLOOKUP(B449,bond!B:E,4,FALSE)</f>
        <v>#N/A</v>
      </c>
      <c r="H449" s="202" t="e">
        <f ca="1">VLOOKUP(B449,bond!B:Y,24,FALSE)</f>
        <v>#N/A</v>
      </c>
      <c r="I449" s="95" t="e">
        <f ca="1">VLOOKUP(B449,bond!B:Z,25,FALSE)</f>
        <v>#N/A</v>
      </c>
      <c r="J449" s="180" t="e">
        <f ca="1">VLOOKUP(B449,bond!B:K,10,FALSE)</f>
        <v>#N/A</v>
      </c>
      <c r="K449" s="96" t="e">
        <f ca="1">VLOOKUP($B449,bond!B:S,14,FALSE)</f>
        <v>#N/A</v>
      </c>
      <c r="L449" s="91" t="e">
        <f ca="1">VLOOKUP(B449,bond!B:H,7,FALSE)</f>
        <v>#N/A</v>
      </c>
      <c r="M449" s="144" t="e">
        <f ca="1">VLOOKUP($B449,bond!$B:$Q,16,FALSE)</f>
        <v>#N/A</v>
      </c>
      <c r="N449" s="136" t="e">
        <f ca="1">VALUE(LEFT(VLOOKUP(B449,bond!B:R,17,FALSE),SEARCH(" ",VLOOKUP(B449,bond!B:R,17,FALSE),1)))</f>
        <v>#N/A</v>
      </c>
      <c r="O449" s="136" t="e">
        <f ca="1">VALUE(RIGHT(VLOOKUP(B449,bond!B:R,17,FALSE),LEN(VLOOKUP(B449,bond!B:R,17,FALSE))-LEN(N449)-3))</f>
        <v>#N/A</v>
      </c>
      <c r="P449" s="135" t="e">
        <f ca="1">VLOOKUP($B449,bond!$B:$AG,32,FALSE)</f>
        <v>#N/A</v>
      </c>
      <c r="Q449" s="135" t="e">
        <f ca="1">VLOOKUP($B449,bond!$B:$AH,33,FALSE)</f>
        <v>#N/A</v>
      </c>
      <c r="R449" s="135" t="e">
        <f ca="1">VLOOKUP(B449,bond!B:AA,26,FALSE)</f>
        <v>#N/A</v>
      </c>
      <c r="S449" s="135" t="e">
        <f ca="1">VLOOKUP(B449,bond!B:AI,34,FALSE)</f>
        <v>#N/A</v>
      </c>
      <c r="T449" s="135" t="e">
        <f t="shared" ca="1" si="42"/>
        <v>#N/A</v>
      </c>
      <c r="U449" s="207" t="e">
        <f ca="1">IFERROR(VLOOKUP(T449,Bond_DES!D:E,2,FALSE),VLOOKUP(S449,bond!AI:AJ,2,FALSE))</f>
        <v>#N/A</v>
      </c>
      <c r="V449" s="136" t="e">
        <f ca="1">IFERROR(VLOOKUP(B449,'1_重設數據'!L:M,2,FALSE),IF(Q449="政府",IF(AD449&gt;16,"(NPI)非專投",IF(AD449&gt;10,"(PI)專投","高資產")),IF(VLOOKUP(B449,bond!B:AN,39,FALSE)="Y","(PI)專投",IF(AD449&gt;=15,"(NPI)非專投",IF(AD449&gt;=10,"(PI)專投","高資產")))))</f>
        <v>#N/A</v>
      </c>
      <c r="W449" s="136" t="e">
        <f ca="1">VLOOKUP(AD449,'credit rating'!$F$2:$H$22,3,FALSE)</f>
        <v>#N/A</v>
      </c>
      <c r="X449" s="136" t="e">
        <f t="shared" ca="1" si="43"/>
        <v>#N/A</v>
      </c>
      <c r="Y449" s="136" t="e">
        <f t="shared" ca="1" si="44"/>
        <v>#N/A</v>
      </c>
      <c r="Z449" s="136" t="e">
        <f t="shared" ca="1" si="45"/>
        <v>#N/A</v>
      </c>
      <c r="AA449" s="134">
        <f ca="1">IFERROR(VLOOKUP(X449,'credit rating'!A:C,3,FALSE),0)</f>
        <v>0</v>
      </c>
      <c r="AB449" s="134">
        <f ca="1">IFERROR(VLOOKUP(Y449,'credit rating'!B:C,2,FALSE),0)</f>
        <v>0</v>
      </c>
      <c r="AC449" s="136">
        <f ca="1">IFERROR(VLOOKUP(Z449,'credit rating'!B:C,2,FALSE),0)</f>
        <v>0</v>
      </c>
      <c r="AD449" s="136">
        <f t="shared" ca="1" si="46"/>
        <v>0</v>
      </c>
      <c r="AE449" s="249" t="str">
        <f ca="1">IFERROR(VLOOKUP(B449,bond!B:U,20,FALSE),"")</f>
        <v/>
      </c>
      <c r="AF449" s="136" t="e">
        <f ca="1">IF(VLOOKUP(B449,bond!B:AK,36,FALSE)="#N/A Field Not Applicable","",VLOOKUP(B449,bond!B:AK,36,FALSE))</f>
        <v>#N/A</v>
      </c>
      <c r="AG449" s="136" t="e">
        <f ca="1">IF(VLOOKUP(B449,bond!B:AL,37,FALSE)="FIXED","固定",IF(VLOOKUP(B449,bond!B:AL,37,FALSE)="FLOATING","浮動",IF(VLOOKUP(B449,bond!B:AL,37,FALSE)="VARIABLE","變動",IF(VLOOKUP(B449,bond!B:AL,37,FALSE)="FLAT TRADING","不含息交易",IF(VLOOKUP(B449,bond!B:AL,37,FALSE)="ZERO COUPON","零息",VLOOKUP(B449,bond!B:AL,37,FALSE))))))</f>
        <v>#N/A</v>
      </c>
      <c r="AH449" s="136" t="e">
        <f>VLOOKUP(C449,'2_Check_code'!I:J,2,FALSE)</f>
        <v>#N/A</v>
      </c>
      <c r="AI449" s="136" t="e">
        <f t="shared" ca="1" si="47"/>
        <v>#N/A</v>
      </c>
      <c r="AJ449" s="136" t="e">
        <f t="shared" ca="1" si="48"/>
        <v>#N/A</v>
      </c>
      <c r="AK449" s="594" t="e">
        <f ca="1">IF(VLOOKUP(B449,bond!B:S,18,FALSE)="是","有",IF(VLOOKUP(B449,bond!B:S,18,FALSE)="NO OFFER","無","需查詢"))</f>
        <v>#N/A</v>
      </c>
      <c r="AL449" s="136" t="e">
        <f>IF(VLOOKUP(A449,bond!F:AR,39,FALSE)="#N/A Field Not Applicable",VLOOKUP(A449,bond!F:AR,38,FALSE),IFERROR(VLOOKUP(A449,'7_發行日例外'!A:B,2,FALSE),VLOOKUP(A449,bond!F:AR,39,FALSE)))</f>
        <v>#N/A</v>
      </c>
      <c r="AM449" s="136" t="e">
        <f ca="1">VLOOKUP(B449,bond!B:AK,36,FALSE)</f>
        <v>#N/A</v>
      </c>
      <c r="AN449" s="136" t="str">
        <f ca="1">IFERROR(VLOOKUP(B449,'3_是否下架'!A:A,1,FALSE),"")</f>
        <v/>
      </c>
      <c r="AO449" s="136" t="e">
        <f ca="1">VLOOKUP(B449,bond!B:J,9,FALSE)</f>
        <v>#N/A</v>
      </c>
      <c r="AP449" s="136" t="e">
        <f ca="1">VLOOKUP(B449,bond!B:V,21,FALSE)</f>
        <v>#N/A</v>
      </c>
    </row>
    <row r="450" spans="1:42">
      <c r="A450" s="141">
        <f>bond!F451</f>
        <v>0</v>
      </c>
      <c r="B450" s="151">
        <f ca="1">IF($C$1=TRUE,bond!B451,"")</f>
        <v>0</v>
      </c>
      <c r="C450" s="95" t="e">
        <f>VLOOKUP(A450,bond!F:G,2,FALSE)</f>
        <v>#N/A</v>
      </c>
      <c r="D450" s="142" t="e">
        <f ca="1">VLOOKUP(B450,bond!B:C,2,FALSE)</f>
        <v>#N/A</v>
      </c>
      <c r="E450" s="95" t="e">
        <f ca="1">VLOOKUP(B450,bond!B:D,3,FALSE)</f>
        <v>#N/A</v>
      </c>
      <c r="F450" s="99" t="e">
        <f ca="1">VLOOKUP(B450,bond!B:AB,27,FALSE)</f>
        <v>#N/A</v>
      </c>
      <c r="G450" s="90" t="e">
        <f ca="1">VLOOKUP(B450,bond!B:E,4,FALSE)</f>
        <v>#N/A</v>
      </c>
      <c r="H450" s="202" t="e">
        <f ca="1">VLOOKUP(B450,bond!B:Y,24,FALSE)</f>
        <v>#N/A</v>
      </c>
      <c r="I450" s="95" t="e">
        <f ca="1">VLOOKUP(B450,bond!B:Z,25,FALSE)</f>
        <v>#N/A</v>
      </c>
      <c r="J450" s="180" t="e">
        <f ca="1">VLOOKUP(B450,bond!B:K,10,FALSE)</f>
        <v>#N/A</v>
      </c>
      <c r="K450" s="96" t="e">
        <f ca="1">VLOOKUP($B450,bond!B:S,14,FALSE)</f>
        <v>#N/A</v>
      </c>
      <c r="L450" s="91" t="e">
        <f ca="1">VLOOKUP(B450,bond!B:H,7,FALSE)</f>
        <v>#N/A</v>
      </c>
      <c r="M450" s="144" t="e">
        <f ca="1">VLOOKUP($B450,bond!$B:$Q,16,FALSE)</f>
        <v>#N/A</v>
      </c>
      <c r="N450" s="136" t="e">
        <f ca="1">VALUE(LEFT(VLOOKUP(B450,bond!B:R,17,FALSE),SEARCH(" ",VLOOKUP(B450,bond!B:R,17,FALSE),1)))</f>
        <v>#N/A</v>
      </c>
      <c r="O450" s="136" t="e">
        <f ca="1">VALUE(RIGHT(VLOOKUP(B450,bond!B:R,17,FALSE),LEN(VLOOKUP(B450,bond!B:R,17,FALSE))-LEN(N450)-3))</f>
        <v>#N/A</v>
      </c>
      <c r="P450" s="135" t="e">
        <f ca="1">VLOOKUP($B450,bond!$B:$AG,32,FALSE)</f>
        <v>#N/A</v>
      </c>
      <c r="Q450" s="135" t="e">
        <f ca="1">VLOOKUP($B450,bond!$B:$AH,33,FALSE)</f>
        <v>#N/A</v>
      </c>
      <c r="R450" s="135" t="e">
        <f ca="1">VLOOKUP(B450,bond!B:AA,26,FALSE)</f>
        <v>#N/A</v>
      </c>
      <c r="S450" s="135" t="e">
        <f ca="1">VLOOKUP(B450,bond!B:AI,34,FALSE)</f>
        <v>#N/A</v>
      </c>
      <c r="T450" s="135" t="e">
        <f t="shared" ca="1" si="42"/>
        <v>#N/A</v>
      </c>
      <c r="U450" s="207" t="e">
        <f ca="1">IFERROR(VLOOKUP(T450,Bond_DES!D:E,2,FALSE),VLOOKUP(S450,bond!AI:AJ,2,FALSE))</f>
        <v>#N/A</v>
      </c>
      <c r="V450" s="136" t="e">
        <f ca="1">IFERROR(VLOOKUP(B450,'1_重設數據'!L:M,2,FALSE),IF(Q450="政府",IF(AD450&gt;16,"(NPI)非專投",IF(AD450&gt;10,"(PI)專投","高資產")),IF(VLOOKUP(B450,bond!B:AN,39,FALSE)="Y","(PI)專投",IF(AD450&gt;=15,"(NPI)非專投",IF(AD450&gt;=10,"(PI)專投","高資產")))))</f>
        <v>#N/A</v>
      </c>
      <c r="W450" s="136" t="e">
        <f ca="1">VLOOKUP(AD450,'credit rating'!$F$2:$H$22,3,FALSE)</f>
        <v>#N/A</v>
      </c>
      <c r="X450" s="136" t="e">
        <f t="shared" ca="1" si="43"/>
        <v>#N/A</v>
      </c>
      <c r="Y450" s="136" t="e">
        <f t="shared" ca="1" si="44"/>
        <v>#N/A</v>
      </c>
      <c r="Z450" s="136" t="e">
        <f t="shared" ca="1" si="45"/>
        <v>#N/A</v>
      </c>
      <c r="AA450" s="134">
        <f ca="1">IFERROR(VLOOKUP(X450,'credit rating'!A:C,3,FALSE),0)</f>
        <v>0</v>
      </c>
      <c r="AB450" s="134">
        <f ca="1">IFERROR(VLOOKUP(Y450,'credit rating'!B:C,2,FALSE),0)</f>
        <v>0</v>
      </c>
      <c r="AC450" s="136">
        <f ca="1">IFERROR(VLOOKUP(Z450,'credit rating'!B:C,2,FALSE),0)</f>
        <v>0</v>
      </c>
      <c r="AD450" s="136">
        <f t="shared" ca="1" si="46"/>
        <v>0</v>
      </c>
      <c r="AE450" s="249" t="str">
        <f ca="1">IFERROR(VLOOKUP(B450,bond!B:U,20,FALSE),"")</f>
        <v/>
      </c>
      <c r="AF450" s="136" t="e">
        <f ca="1">IF(VLOOKUP(B450,bond!B:AK,36,FALSE)="#N/A Field Not Applicable","",VLOOKUP(B450,bond!B:AK,36,FALSE))</f>
        <v>#N/A</v>
      </c>
      <c r="AG450" s="136" t="e">
        <f ca="1">IF(VLOOKUP(B450,bond!B:AL,37,FALSE)="FIXED","固定",IF(VLOOKUP(B450,bond!B:AL,37,FALSE)="FLOATING","浮動",IF(VLOOKUP(B450,bond!B:AL,37,FALSE)="VARIABLE","變動",IF(VLOOKUP(B450,bond!B:AL,37,FALSE)="FLAT TRADING","不含息交易",IF(VLOOKUP(B450,bond!B:AL,37,FALSE)="ZERO COUPON","零息",VLOOKUP(B450,bond!B:AL,37,FALSE))))))</f>
        <v>#N/A</v>
      </c>
      <c r="AH450" s="136" t="e">
        <f>VLOOKUP(C450,'2_Check_code'!I:J,2,FALSE)</f>
        <v>#N/A</v>
      </c>
      <c r="AI450" s="136" t="e">
        <f t="shared" ca="1" si="47"/>
        <v>#N/A</v>
      </c>
      <c r="AJ450" s="136" t="e">
        <f t="shared" ca="1" si="48"/>
        <v>#N/A</v>
      </c>
      <c r="AK450" s="594" t="e">
        <f ca="1">IF(VLOOKUP(B450,bond!B:S,18,FALSE)="是","有",IF(VLOOKUP(B450,bond!B:S,18,FALSE)="NO OFFER","無","需查詢"))</f>
        <v>#N/A</v>
      </c>
      <c r="AL450" s="136" t="e">
        <f>IF(VLOOKUP(A450,bond!F:AR,39,FALSE)="#N/A Field Not Applicable",VLOOKUP(A450,bond!F:AR,38,FALSE),IFERROR(VLOOKUP(A450,'7_發行日例外'!A:B,2,FALSE),VLOOKUP(A450,bond!F:AR,39,FALSE)))</f>
        <v>#N/A</v>
      </c>
      <c r="AM450" s="136" t="e">
        <f ca="1">VLOOKUP(B450,bond!B:AK,36,FALSE)</f>
        <v>#N/A</v>
      </c>
      <c r="AN450" s="136" t="str">
        <f ca="1">IFERROR(VLOOKUP(B450,'3_是否下架'!A:A,1,FALSE),"")</f>
        <v/>
      </c>
      <c r="AO450" s="136" t="e">
        <f ca="1">VLOOKUP(B450,bond!B:J,9,FALSE)</f>
        <v>#N/A</v>
      </c>
      <c r="AP450" s="136" t="e">
        <f ca="1">VLOOKUP(B450,bond!B:V,21,FALSE)</f>
        <v>#N/A</v>
      </c>
    </row>
    <row r="451" spans="1:42">
      <c r="A451" s="141">
        <f>bond!F452</f>
        <v>0</v>
      </c>
      <c r="B451" s="151">
        <f ca="1">IF($C$1=TRUE,bond!B452,"")</f>
        <v>0</v>
      </c>
      <c r="C451" s="95" t="e">
        <f>VLOOKUP(A451,bond!F:G,2,FALSE)</f>
        <v>#N/A</v>
      </c>
      <c r="D451" s="142" t="e">
        <f ca="1">VLOOKUP(B451,bond!B:C,2,FALSE)</f>
        <v>#N/A</v>
      </c>
      <c r="E451" s="95" t="e">
        <f ca="1">VLOOKUP(B451,bond!B:D,3,FALSE)</f>
        <v>#N/A</v>
      </c>
      <c r="F451" s="99" t="e">
        <f ca="1">VLOOKUP(B451,bond!B:AB,27,FALSE)</f>
        <v>#N/A</v>
      </c>
      <c r="G451" s="90" t="e">
        <f ca="1">VLOOKUP(B451,bond!B:E,4,FALSE)</f>
        <v>#N/A</v>
      </c>
      <c r="H451" s="202" t="e">
        <f ca="1">VLOOKUP(B451,bond!B:Y,24,FALSE)</f>
        <v>#N/A</v>
      </c>
      <c r="I451" s="95" t="e">
        <f ca="1">VLOOKUP(B451,bond!B:Z,25,FALSE)</f>
        <v>#N/A</v>
      </c>
      <c r="J451" s="180" t="e">
        <f ca="1">VLOOKUP(B451,bond!B:K,10,FALSE)</f>
        <v>#N/A</v>
      </c>
      <c r="K451" s="96" t="e">
        <f ca="1">VLOOKUP($B451,bond!B:S,14,FALSE)</f>
        <v>#N/A</v>
      </c>
      <c r="L451" s="91" t="e">
        <f ca="1">VLOOKUP(B451,bond!B:H,7,FALSE)</f>
        <v>#N/A</v>
      </c>
      <c r="M451" s="144" t="e">
        <f ca="1">VLOOKUP($B451,bond!$B:$Q,16,FALSE)</f>
        <v>#N/A</v>
      </c>
      <c r="N451" s="136" t="e">
        <f ca="1">VALUE(LEFT(VLOOKUP(B451,bond!B:R,17,FALSE),SEARCH(" ",VLOOKUP(B451,bond!B:R,17,FALSE),1)))</f>
        <v>#N/A</v>
      </c>
      <c r="O451" s="136" t="e">
        <f ca="1">VALUE(RIGHT(VLOOKUP(B451,bond!B:R,17,FALSE),LEN(VLOOKUP(B451,bond!B:R,17,FALSE))-LEN(N451)-3))</f>
        <v>#N/A</v>
      </c>
      <c r="P451" s="135" t="e">
        <f ca="1">VLOOKUP($B451,bond!$B:$AG,32,FALSE)</f>
        <v>#N/A</v>
      </c>
      <c r="Q451" s="135" t="e">
        <f ca="1">VLOOKUP($B451,bond!$B:$AH,33,FALSE)</f>
        <v>#N/A</v>
      </c>
      <c r="R451" s="135" t="e">
        <f ca="1">VLOOKUP(B451,bond!B:AA,26,FALSE)</f>
        <v>#N/A</v>
      </c>
      <c r="S451" s="135" t="e">
        <f ca="1">VLOOKUP(B451,bond!B:AI,34,FALSE)</f>
        <v>#N/A</v>
      </c>
      <c r="T451" s="135" t="e">
        <f t="shared" ca="1" si="42"/>
        <v>#N/A</v>
      </c>
      <c r="U451" s="207" t="e">
        <f ca="1">IFERROR(VLOOKUP(T451,Bond_DES!D:E,2,FALSE),VLOOKUP(S451,bond!AI:AJ,2,FALSE))</f>
        <v>#N/A</v>
      </c>
      <c r="V451" s="136" t="e">
        <f ca="1">IFERROR(VLOOKUP(B451,'1_重設數據'!L:M,2,FALSE),IF(Q451="政府",IF(AD451&gt;16,"(NPI)非專投",IF(AD451&gt;10,"(PI)專投","高資產")),IF(VLOOKUP(B451,bond!B:AN,39,FALSE)="Y","(PI)專投",IF(AD451&gt;=15,"(NPI)非專投",IF(AD451&gt;=10,"(PI)專投","高資產")))))</f>
        <v>#N/A</v>
      </c>
      <c r="W451" s="136" t="e">
        <f ca="1">VLOOKUP(AD451,'credit rating'!$F$2:$H$22,3,FALSE)</f>
        <v>#N/A</v>
      </c>
      <c r="X451" s="136" t="e">
        <f t="shared" ca="1" si="43"/>
        <v>#N/A</v>
      </c>
      <c r="Y451" s="136" t="e">
        <f t="shared" ca="1" si="44"/>
        <v>#N/A</v>
      </c>
      <c r="Z451" s="136" t="e">
        <f t="shared" ca="1" si="45"/>
        <v>#N/A</v>
      </c>
      <c r="AA451" s="134">
        <f ca="1">IFERROR(VLOOKUP(X451,'credit rating'!A:C,3,FALSE),0)</f>
        <v>0</v>
      </c>
      <c r="AB451" s="134">
        <f ca="1">IFERROR(VLOOKUP(Y451,'credit rating'!B:C,2,FALSE),0)</f>
        <v>0</v>
      </c>
      <c r="AC451" s="136">
        <f ca="1">IFERROR(VLOOKUP(Z451,'credit rating'!B:C,2,FALSE),0)</f>
        <v>0</v>
      </c>
      <c r="AD451" s="136">
        <f t="shared" ca="1" si="46"/>
        <v>0</v>
      </c>
      <c r="AE451" s="249" t="str">
        <f ca="1">IFERROR(VLOOKUP(B451,bond!B:U,20,FALSE),"")</f>
        <v/>
      </c>
      <c r="AF451" s="136" t="e">
        <f ca="1">IF(VLOOKUP(B451,bond!B:AK,36,FALSE)="#N/A Field Not Applicable","",VLOOKUP(B451,bond!B:AK,36,FALSE))</f>
        <v>#N/A</v>
      </c>
      <c r="AG451" s="136" t="e">
        <f ca="1">IF(VLOOKUP(B451,bond!B:AL,37,FALSE)="FIXED","固定",IF(VLOOKUP(B451,bond!B:AL,37,FALSE)="FLOATING","浮動",IF(VLOOKUP(B451,bond!B:AL,37,FALSE)="VARIABLE","變動",IF(VLOOKUP(B451,bond!B:AL,37,FALSE)="FLAT TRADING","不含息交易",IF(VLOOKUP(B451,bond!B:AL,37,FALSE)="ZERO COUPON","零息",VLOOKUP(B451,bond!B:AL,37,FALSE))))))</f>
        <v>#N/A</v>
      </c>
      <c r="AH451" s="136" t="e">
        <f>VLOOKUP(C451,'2_Check_code'!I:J,2,FALSE)</f>
        <v>#N/A</v>
      </c>
      <c r="AI451" s="136" t="e">
        <f t="shared" ca="1" si="47"/>
        <v>#N/A</v>
      </c>
      <c r="AJ451" s="136" t="e">
        <f t="shared" ca="1" si="48"/>
        <v>#N/A</v>
      </c>
      <c r="AK451" s="594" t="e">
        <f ca="1">IF(VLOOKUP(B451,bond!B:S,18,FALSE)="是","有",IF(VLOOKUP(B451,bond!B:S,18,FALSE)="NO OFFER","無","需查詢"))</f>
        <v>#N/A</v>
      </c>
      <c r="AL451" s="136" t="e">
        <f>IF(VLOOKUP(A451,bond!F:AR,39,FALSE)="#N/A Field Not Applicable",VLOOKUP(A451,bond!F:AR,38,FALSE),IFERROR(VLOOKUP(A451,'7_發行日例外'!A:B,2,FALSE),VLOOKUP(A451,bond!F:AR,39,FALSE)))</f>
        <v>#N/A</v>
      </c>
      <c r="AM451" s="136" t="e">
        <f ca="1">VLOOKUP(B451,bond!B:AK,36,FALSE)</f>
        <v>#N/A</v>
      </c>
      <c r="AN451" s="136" t="str">
        <f ca="1">IFERROR(VLOOKUP(B451,'3_是否下架'!A:A,1,FALSE),"")</f>
        <v/>
      </c>
      <c r="AO451" s="136" t="e">
        <f ca="1">VLOOKUP(B451,bond!B:J,9,FALSE)</f>
        <v>#N/A</v>
      </c>
      <c r="AP451" s="136" t="e">
        <f ca="1">VLOOKUP(B451,bond!B:V,21,FALSE)</f>
        <v>#N/A</v>
      </c>
    </row>
    <row r="452" spans="1:42">
      <c r="A452" s="141">
        <f>bond!F453</f>
        <v>0</v>
      </c>
      <c r="B452" s="151">
        <f ca="1">IF($C$1=TRUE,bond!B453,"")</f>
        <v>0</v>
      </c>
      <c r="C452" s="95" t="e">
        <f>VLOOKUP(A452,bond!F:G,2,FALSE)</f>
        <v>#N/A</v>
      </c>
      <c r="D452" s="142" t="e">
        <f ca="1">VLOOKUP(B452,bond!B:C,2,FALSE)</f>
        <v>#N/A</v>
      </c>
      <c r="E452" s="95" t="e">
        <f ca="1">VLOOKUP(B452,bond!B:D,3,FALSE)</f>
        <v>#N/A</v>
      </c>
      <c r="F452" s="99" t="e">
        <f ca="1">VLOOKUP(B452,bond!B:AB,27,FALSE)</f>
        <v>#N/A</v>
      </c>
      <c r="G452" s="90" t="e">
        <f ca="1">VLOOKUP(B452,bond!B:E,4,FALSE)</f>
        <v>#N/A</v>
      </c>
      <c r="H452" s="202" t="e">
        <f ca="1">VLOOKUP(B452,bond!B:Y,24,FALSE)</f>
        <v>#N/A</v>
      </c>
      <c r="I452" s="95" t="e">
        <f ca="1">VLOOKUP(B452,bond!B:Z,25,FALSE)</f>
        <v>#N/A</v>
      </c>
      <c r="J452" s="180" t="e">
        <f ca="1">VLOOKUP(B452,bond!B:K,10,FALSE)</f>
        <v>#N/A</v>
      </c>
      <c r="K452" s="96" t="e">
        <f ca="1">VLOOKUP($B452,bond!B:S,14,FALSE)</f>
        <v>#N/A</v>
      </c>
      <c r="L452" s="91" t="e">
        <f ca="1">VLOOKUP(B452,bond!B:H,7,FALSE)</f>
        <v>#N/A</v>
      </c>
      <c r="M452" s="144" t="e">
        <f ca="1">VLOOKUP($B452,bond!$B:$Q,16,FALSE)</f>
        <v>#N/A</v>
      </c>
      <c r="N452" s="136" t="e">
        <f ca="1">VALUE(LEFT(VLOOKUP(B452,bond!B:R,17,FALSE),SEARCH(" ",VLOOKUP(B452,bond!B:R,17,FALSE),1)))</f>
        <v>#N/A</v>
      </c>
      <c r="O452" s="136" t="e">
        <f ca="1">VALUE(RIGHT(VLOOKUP(B452,bond!B:R,17,FALSE),LEN(VLOOKUP(B452,bond!B:R,17,FALSE))-LEN(N452)-3))</f>
        <v>#N/A</v>
      </c>
      <c r="P452" s="135" t="e">
        <f ca="1">VLOOKUP($B452,bond!$B:$AG,32,FALSE)</f>
        <v>#N/A</v>
      </c>
      <c r="Q452" s="135" t="e">
        <f ca="1">VLOOKUP($B452,bond!$B:$AH,33,FALSE)</f>
        <v>#N/A</v>
      </c>
      <c r="R452" s="135" t="e">
        <f ca="1">VLOOKUP(B452,bond!B:AA,26,FALSE)</f>
        <v>#N/A</v>
      </c>
      <c r="S452" s="135" t="e">
        <f ca="1">VLOOKUP(B452,bond!B:AI,34,FALSE)</f>
        <v>#N/A</v>
      </c>
      <c r="T452" s="135" t="e">
        <f t="shared" ref="T452:T515" ca="1" si="49">CONCATENATE(R452,"/",S452)</f>
        <v>#N/A</v>
      </c>
      <c r="U452" s="207" t="e">
        <f ca="1">IFERROR(VLOOKUP(T452,Bond_DES!D:E,2,FALSE),VLOOKUP(S452,bond!AI:AJ,2,FALSE))</f>
        <v>#N/A</v>
      </c>
      <c r="V452" s="136" t="e">
        <f ca="1">IFERROR(VLOOKUP(B452,'1_重設數據'!L:M,2,FALSE),IF(Q452="政府",IF(AD452&gt;16,"(NPI)非專投",IF(AD452&gt;10,"(PI)專投","高資產")),IF(VLOOKUP(B452,bond!B:AN,39,FALSE)="Y","(PI)專投",IF(AD452&gt;=15,"(NPI)非專投",IF(AD452&gt;=10,"(PI)專投","高資產")))))</f>
        <v>#N/A</v>
      </c>
      <c r="W452" s="136" t="e">
        <f ca="1">VLOOKUP(AD452,'credit rating'!$F$2:$H$22,3,FALSE)</f>
        <v>#N/A</v>
      </c>
      <c r="X452" s="136" t="e">
        <f t="shared" ref="X452:X515" ca="1" si="50">LEFT(E452,SEARCH(" /",E452)-1)</f>
        <v>#N/A</v>
      </c>
      <c r="Y452" s="136" t="e">
        <f t="shared" ref="Y452:Y515" ca="1" si="51">MID(E452,LEN(X452)+4,LEN(E452)-LEN(X452)-LEN(Z452)-6)</f>
        <v>#N/A</v>
      </c>
      <c r="Z452" s="136" t="e">
        <f t="shared" ref="Z452:Z515" ca="1" si="52">TRIM(RIGHT(SUBSTITUTE(E452,"/ ",REPT(" ",99)),99))</f>
        <v>#N/A</v>
      </c>
      <c r="AA452" s="134">
        <f ca="1">IFERROR(VLOOKUP(X452,'credit rating'!A:C,3,FALSE),0)</f>
        <v>0</v>
      </c>
      <c r="AB452" s="134">
        <f ca="1">IFERROR(VLOOKUP(Y452,'credit rating'!B:C,2,FALSE),0)</f>
        <v>0</v>
      </c>
      <c r="AC452" s="136">
        <f ca="1">IFERROR(VLOOKUP(Z452,'credit rating'!B:C,2,FALSE),0)</f>
        <v>0</v>
      </c>
      <c r="AD452" s="136">
        <f t="shared" ref="AD452:AD515" ca="1" si="53">MAX(AA452:AC452)</f>
        <v>0</v>
      </c>
      <c r="AE452" s="249" t="str">
        <f ca="1">IFERROR(VLOOKUP(B452,bond!B:U,20,FALSE),"")</f>
        <v/>
      </c>
      <c r="AF452" s="136" t="e">
        <f ca="1">IF(VLOOKUP(B452,bond!B:AK,36,FALSE)="#N/A Field Not Applicable","",VLOOKUP(B452,bond!B:AK,36,FALSE))</f>
        <v>#N/A</v>
      </c>
      <c r="AG452" s="136" t="e">
        <f ca="1">IF(VLOOKUP(B452,bond!B:AL,37,FALSE)="FIXED","固定",IF(VLOOKUP(B452,bond!B:AL,37,FALSE)="FLOATING","浮動",IF(VLOOKUP(B452,bond!B:AL,37,FALSE)="VARIABLE","變動",IF(VLOOKUP(B452,bond!B:AL,37,FALSE)="FLAT TRADING","不含息交易",IF(VLOOKUP(B452,bond!B:AL,37,FALSE)="ZERO COUPON","零息",VLOOKUP(B452,bond!B:AL,37,FALSE))))))</f>
        <v>#N/A</v>
      </c>
      <c r="AH452" s="136" t="e">
        <f>VLOOKUP(C452,'2_Check_code'!I:J,2,FALSE)</f>
        <v>#N/A</v>
      </c>
      <c r="AI452" s="136" t="e">
        <f t="shared" ref="AI452:AI515" ca="1" si="54">IF(AND(I452=2,C452="USD"),"自由選清單","")</f>
        <v>#N/A</v>
      </c>
      <c r="AJ452" s="136" t="e">
        <f t="shared" ref="AJ452:AJ515" ca="1" si="55">IF(AND(I452=2,C452="USD"),0,1)</f>
        <v>#N/A</v>
      </c>
      <c r="AK452" s="594" t="e">
        <f ca="1">IF(VLOOKUP(B452,bond!B:S,18,FALSE)="是","有",IF(VLOOKUP(B452,bond!B:S,18,FALSE)="NO OFFER","無","需查詢"))</f>
        <v>#N/A</v>
      </c>
      <c r="AL452" s="136" t="e">
        <f>IF(VLOOKUP(A452,bond!F:AR,39,FALSE)="#N/A Field Not Applicable",VLOOKUP(A452,bond!F:AR,38,FALSE),IFERROR(VLOOKUP(A452,'7_發行日例外'!A:B,2,FALSE),VLOOKUP(A452,bond!F:AR,39,FALSE)))</f>
        <v>#N/A</v>
      </c>
      <c r="AM452" s="136" t="e">
        <f ca="1">VLOOKUP(B452,bond!B:AK,36,FALSE)</f>
        <v>#N/A</v>
      </c>
      <c r="AN452" s="136" t="str">
        <f ca="1">IFERROR(VLOOKUP(B452,'3_是否下架'!A:A,1,FALSE),"")</f>
        <v/>
      </c>
      <c r="AO452" s="136" t="e">
        <f ca="1">VLOOKUP(B452,bond!B:J,9,FALSE)</f>
        <v>#N/A</v>
      </c>
      <c r="AP452" s="136" t="e">
        <f ca="1">VLOOKUP(B452,bond!B:V,21,FALSE)</f>
        <v>#N/A</v>
      </c>
    </row>
    <row r="453" spans="1:42">
      <c r="A453" s="141">
        <f>bond!F454</f>
        <v>0</v>
      </c>
      <c r="B453" s="151">
        <f ca="1">IF($C$1=TRUE,bond!B454,"")</f>
        <v>0</v>
      </c>
      <c r="C453" s="95" t="e">
        <f>VLOOKUP(A453,bond!F:G,2,FALSE)</f>
        <v>#N/A</v>
      </c>
      <c r="D453" s="142" t="e">
        <f ca="1">VLOOKUP(B453,bond!B:C,2,FALSE)</f>
        <v>#N/A</v>
      </c>
      <c r="E453" s="95" t="e">
        <f ca="1">VLOOKUP(B453,bond!B:D,3,FALSE)</f>
        <v>#N/A</v>
      </c>
      <c r="F453" s="99" t="e">
        <f ca="1">VLOOKUP(B453,bond!B:AB,27,FALSE)</f>
        <v>#N/A</v>
      </c>
      <c r="G453" s="90" t="e">
        <f ca="1">VLOOKUP(B453,bond!B:E,4,FALSE)</f>
        <v>#N/A</v>
      </c>
      <c r="H453" s="202" t="e">
        <f ca="1">VLOOKUP(B453,bond!B:Y,24,FALSE)</f>
        <v>#N/A</v>
      </c>
      <c r="I453" s="95" t="e">
        <f ca="1">VLOOKUP(B453,bond!B:Z,25,FALSE)</f>
        <v>#N/A</v>
      </c>
      <c r="J453" s="180" t="e">
        <f ca="1">VLOOKUP(B453,bond!B:K,10,FALSE)</f>
        <v>#N/A</v>
      </c>
      <c r="K453" s="96" t="e">
        <f ca="1">VLOOKUP($B453,bond!B:S,14,FALSE)</f>
        <v>#N/A</v>
      </c>
      <c r="L453" s="91" t="e">
        <f ca="1">VLOOKUP(B453,bond!B:H,7,FALSE)</f>
        <v>#N/A</v>
      </c>
      <c r="M453" s="144" t="e">
        <f ca="1">VLOOKUP($B453,bond!$B:$Q,16,FALSE)</f>
        <v>#N/A</v>
      </c>
      <c r="N453" s="136" t="e">
        <f ca="1">VALUE(LEFT(VLOOKUP(B453,bond!B:R,17,FALSE),SEARCH(" ",VLOOKUP(B453,bond!B:R,17,FALSE),1)))</f>
        <v>#N/A</v>
      </c>
      <c r="O453" s="136" t="e">
        <f ca="1">VALUE(RIGHT(VLOOKUP(B453,bond!B:R,17,FALSE),LEN(VLOOKUP(B453,bond!B:R,17,FALSE))-LEN(N453)-3))</f>
        <v>#N/A</v>
      </c>
      <c r="P453" s="135" t="e">
        <f ca="1">VLOOKUP($B453,bond!$B:$AG,32,FALSE)</f>
        <v>#N/A</v>
      </c>
      <c r="Q453" s="135" t="e">
        <f ca="1">VLOOKUP($B453,bond!$B:$AH,33,FALSE)</f>
        <v>#N/A</v>
      </c>
      <c r="R453" s="135" t="e">
        <f ca="1">VLOOKUP(B453,bond!B:AA,26,FALSE)</f>
        <v>#N/A</v>
      </c>
      <c r="S453" s="135" t="e">
        <f ca="1">VLOOKUP(B453,bond!B:AI,34,FALSE)</f>
        <v>#N/A</v>
      </c>
      <c r="T453" s="135" t="e">
        <f t="shared" ca="1" si="49"/>
        <v>#N/A</v>
      </c>
      <c r="U453" s="207" t="e">
        <f ca="1">IFERROR(VLOOKUP(T453,Bond_DES!D:E,2,FALSE),VLOOKUP(S453,bond!AI:AJ,2,FALSE))</f>
        <v>#N/A</v>
      </c>
      <c r="V453" s="136" t="e">
        <f ca="1">IFERROR(VLOOKUP(B453,'1_重設數據'!L:M,2,FALSE),IF(Q453="政府",IF(AD453&gt;16,"(NPI)非專投",IF(AD453&gt;10,"(PI)專投","高資產")),IF(VLOOKUP(B453,bond!B:AN,39,FALSE)="Y","(PI)專投",IF(AD453&gt;=15,"(NPI)非專投",IF(AD453&gt;=10,"(PI)專投","高資產")))))</f>
        <v>#N/A</v>
      </c>
      <c r="W453" s="136" t="e">
        <f ca="1">VLOOKUP(AD453,'credit rating'!$F$2:$H$22,3,FALSE)</f>
        <v>#N/A</v>
      </c>
      <c r="X453" s="136" t="e">
        <f t="shared" ca="1" si="50"/>
        <v>#N/A</v>
      </c>
      <c r="Y453" s="136" t="e">
        <f t="shared" ca="1" si="51"/>
        <v>#N/A</v>
      </c>
      <c r="Z453" s="136" t="e">
        <f t="shared" ca="1" si="52"/>
        <v>#N/A</v>
      </c>
      <c r="AA453" s="134">
        <f ca="1">IFERROR(VLOOKUP(X453,'credit rating'!A:C,3,FALSE),0)</f>
        <v>0</v>
      </c>
      <c r="AB453" s="134">
        <f ca="1">IFERROR(VLOOKUP(Y453,'credit rating'!B:C,2,FALSE),0)</f>
        <v>0</v>
      </c>
      <c r="AC453" s="136">
        <f ca="1">IFERROR(VLOOKUP(Z453,'credit rating'!B:C,2,FALSE),0)</f>
        <v>0</v>
      </c>
      <c r="AD453" s="136">
        <f t="shared" ca="1" si="53"/>
        <v>0</v>
      </c>
      <c r="AE453" s="249" t="str">
        <f ca="1">IFERROR(VLOOKUP(B453,bond!B:U,20,FALSE),"")</f>
        <v/>
      </c>
      <c r="AF453" s="136" t="e">
        <f ca="1">IF(VLOOKUP(B453,bond!B:AK,36,FALSE)="#N/A Field Not Applicable","",VLOOKUP(B453,bond!B:AK,36,FALSE))</f>
        <v>#N/A</v>
      </c>
      <c r="AG453" s="136" t="e">
        <f ca="1">IF(VLOOKUP(B453,bond!B:AL,37,FALSE)="FIXED","固定",IF(VLOOKUP(B453,bond!B:AL,37,FALSE)="FLOATING","浮動",IF(VLOOKUP(B453,bond!B:AL,37,FALSE)="VARIABLE","變動",IF(VLOOKUP(B453,bond!B:AL,37,FALSE)="FLAT TRADING","不含息交易",IF(VLOOKUP(B453,bond!B:AL,37,FALSE)="ZERO COUPON","零息",VLOOKUP(B453,bond!B:AL,37,FALSE))))))</f>
        <v>#N/A</v>
      </c>
      <c r="AH453" s="136" t="e">
        <f>VLOOKUP(C453,'2_Check_code'!I:J,2,FALSE)</f>
        <v>#N/A</v>
      </c>
      <c r="AI453" s="136" t="e">
        <f t="shared" ca="1" si="54"/>
        <v>#N/A</v>
      </c>
      <c r="AJ453" s="136" t="e">
        <f t="shared" ca="1" si="55"/>
        <v>#N/A</v>
      </c>
      <c r="AK453" s="594" t="e">
        <f ca="1">IF(VLOOKUP(B453,bond!B:S,18,FALSE)="是","有",IF(VLOOKUP(B453,bond!B:S,18,FALSE)="NO OFFER","無","需查詢"))</f>
        <v>#N/A</v>
      </c>
      <c r="AL453" s="136" t="e">
        <f>IF(VLOOKUP(A453,bond!F:AR,39,FALSE)="#N/A Field Not Applicable",VLOOKUP(A453,bond!F:AR,38,FALSE),IFERROR(VLOOKUP(A453,'7_發行日例外'!A:B,2,FALSE),VLOOKUP(A453,bond!F:AR,39,FALSE)))</f>
        <v>#N/A</v>
      </c>
      <c r="AM453" s="136" t="e">
        <f ca="1">VLOOKUP(B453,bond!B:AK,36,FALSE)</f>
        <v>#N/A</v>
      </c>
      <c r="AN453" s="136" t="str">
        <f ca="1">IFERROR(VLOOKUP(B453,'3_是否下架'!A:A,1,FALSE),"")</f>
        <v/>
      </c>
      <c r="AO453" s="136" t="e">
        <f ca="1">VLOOKUP(B453,bond!B:J,9,FALSE)</f>
        <v>#N/A</v>
      </c>
      <c r="AP453" s="136" t="e">
        <f ca="1">VLOOKUP(B453,bond!B:V,21,FALSE)</f>
        <v>#N/A</v>
      </c>
    </row>
    <row r="454" spans="1:42">
      <c r="A454" s="141">
        <f>bond!F455</f>
        <v>0</v>
      </c>
      <c r="B454" s="151">
        <f ca="1">IF($C$1=TRUE,bond!B455,"")</f>
        <v>0</v>
      </c>
      <c r="C454" s="95" t="e">
        <f>VLOOKUP(A454,bond!F:G,2,FALSE)</f>
        <v>#N/A</v>
      </c>
      <c r="D454" s="142" t="e">
        <f ca="1">VLOOKUP(B454,bond!B:C,2,FALSE)</f>
        <v>#N/A</v>
      </c>
      <c r="E454" s="95" t="e">
        <f ca="1">VLOOKUP(B454,bond!B:D,3,FALSE)</f>
        <v>#N/A</v>
      </c>
      <c r="F454" s="99" t="e">
        <f ca="1">VLOOKUP(B454,bond!B:AB,27,FALSE)</f>
        <v>#N/A</v>
      </c>
      <c r="G454" s="90" t="e">
        <f ca="1">VLOOKUP(B454,bond!B:E,4,FALSE)</f>
        <v>#N/A</v>
      </c>
      <c r="H454" s="202" t="e">
        <f ca="1">VLOOKUP(B454,bond!B:Y,24,FALSE)</f>
        <v>#N/A</v>
      </c>
      <c r="I454" s="95" t="e">
        <f ca="1">VLOOKUP(B454,bond!B:Z,25,FALSE)</f>
        <v>#N/A</v>
      </c>
      <c r="J454" s="180" t="e">
        <f ca="1">VLOOKUP(B454,bond!B:K,10,FALSE)</f>
        <v>#N/A</v>
      </c>
      <c r="K454" s="96" t="e">
        <f ca="1">VLOOKUP($B454,bond!B:S,14,FALSE)</f>
        <v>#N/A</v>
      </c>
      <c r="L454" s="91" t="e">
        <f ca="1">VLOOKUP(B454,bond!B:H,7,FALSE)</f>
        <v>#N/A</v>
      </c>
      <c r="M454" s="144" t="e">
        <f ca="1">VLOOKUP($B454,bond!$B:$Q,16,FALSE)</f>
        <v>#N/A</v>
      </c>
      <c r="N454" s="136" t="e">
        <f ca="1">VALUE(LEFT(VLOOKUP(B454,bond!B:R,17,FALSE),SEARCH(" ",VLOOKUP(B454,bond!B:R,17,FALSE),1)))</f>
        <v>#N/A</v>
      </c>
      <c r="O454" s="136" t="e">
        <f ca="1">VALUE(RIGHT(VLOOKUP(B454,bond!B:R,17,FALSE),LEN(VLOOKUP(B454,bond!B:R,17,FALSE))-LEN(N454)-3))</f>
        <v>#N/A</v>
      </c>
      <c r="P454" s="135" t="e">
        <f ca="1">VLOOKUP($B454,bond!$B:$AG,32,FALSE)</f>
        <v>#N/A</v>
      </c>
      <c r="Q454" s="135" t="e">
        <f ca="1">VLOOKUP($B454,bond!$B:$AH,33,FALSE)</f>
        <v>#N/A</v>
      </c>
      <c r="R454" s="135" t="e">
        <f ca="1">VLOOKUP(B454,bond!B:AA,26,FALSE)</f>
        <v>#N/A</v>
      </c>
      <c r="S454" s="135" t="e">
        <f ca="1">VLOOKUP(B454,bond!B:AI,34,FALSE)</f>
        <v>#N/A</v>
      </c>
      <c r="T454" s="135" t="e">
        <f t="shared" ca="1" si="49"/>
        <v>#N/A</v>
      </c>
      <c r="U454" s="207" t="e">
        <f ca="1">IFERROR(VLOOKUP(T454,Bond_DES!D:E,2,FALSE),VLOOKUP(S454,bond!AI:AJ,2,FALSE))</f>
        <v>#N/A</v>
      </c>
      <c r="V454" s="136" t="e">
        <f ca="1">IFERROR(VLOOKUP(B454,'1_重設數據'!L:M,2,FALSE),IF(Q454="政府",IF(AD454&gt;16,"(NPI)非專投",IF(AD454&gt;10,"(PI)專投","高資產")),IF(VLOOKUP(B454,bond!B:AN,39,FALSE)="Y","(PI)專投",IF(AD454&gt;=15,"(NPI)非專投",IF(AD454&gt;=10,"(PI)專投","高資產")))))</f>
        <v>#N/A</v>
      </c>
      <c r="W454" s="136" t="e">
        <f ca="1">VLOOKUP(AD454,'credit rating'!$F$2:$H$22,3,FALSE)</f>
        <v>#N/A</v>
      </c>
      <c r="X454" s="136" t="e">
        <f t="shared" ca="1" si="50"/>
        <v>#N/A</v>
      </c>
      <c r="Y454" s="136" t="e">
        <f t="shared" ca="1" si="51"/>
        <v>#N/A</v>
      </c>
      <c r="Z454" s="136" t="e">
        <f t="shared" ca="1" si="52"/>
        <v>#N/A</v>
      </c>
      <c r="AA454" s="134">
        <f ca="1">IFERROR(VLOOKUP(X454,'credit rating'!A:C,3,FALSE),0)</f>
        <v>0</v>
      </c>
      <c r="AB454" s="134">
        <f ca="1">IFERROR(VLOOKUP(Y454,'credit rating'!B:C,2,FALSE),0)</f>
        <v>0</v>
      </c>
      <c r="AC454" s="136">
        <f ca="1">IFERROR(VLOOKUP(Z454,'credit rating'!B:C,2,FALSE),0)</f>
        <v>0</v>
      </c>
      <c r="AD454" s="136">
        <f t="shared" ca="1" si="53"/>
        <v>0</v>
      </c>
      <c r="AE454" s="249" t="str">
        <f ca="1">IFERROR(VLOOKUP(B454,bond!B:U,20,FALSE),"")</f>
        <v/>
      </c>
      <c r="AF454" s="136" t="e">
        <f ca="1">IF(VLOOKUP(B454,bond!B:AK,36,FALSE)="#N/A Field Not Applicable","",VLOOKUP(B454,bond!B:AK,36,FALSE))</f>
        <v>#N/A</v>
      </c>
      <c r="AG454" s="136" t="e">
        <f ca="1">IF(VLOOKUP(B454,bond!B:AL,37,FALSE)="FIXED","固定",IF(VLOOKUP(B454,bond!B:AL,37,FALSE)="FLOATING","浮動",IF(VLOOKUP(B454,bond!B:AL,37,FALSE)="VARIABLE","變動",IF(VLOOKUP(B454,bond!B:AL,37,FALSE)="FLAT TRADING","不含息交易",IF(VLOOKUP(B454,bond!B:AL,37,FALSE)="ZERO COUPON","零息",VLOOKUP(B454,bond!B:AL,37,FALSE))))))</f>
        <v>#N/A</v>
      </c>
      <c r="AH454" s="136" t="e">
        <f>VLOOKUP(C454,'2_Check_code'!I:J,2,FALSE)</f>
        <v>#N/A</v>
      </c>
      <c r="AI454" s="136" t="e">
        <f t="shared" ca="1" si="54"/>
        <v>#N/A</v>
      </c>
      <c r="AJ454" s="136" t="e">
        <f t="shared" ca="1" si="55"/>
        <v>#N/A</v>
      </c>
      <c r="AK454" s="594" t="e">
        <f ca="1">IF(VLOOKUP(B454,bond!B:S,18,FALSE)="是","有",IF(VLOOKUP(B454,bond!B:S,18,FALSE)="NO OFFER","無","需查詢"))</f>
        <v>#N/A</v>
      </c>
      <c r="AL454" s="136" t="e">
        <f>IF(VLOOKUP(A454,bond!F:AR,39,FALSE)="#N/A Field Not Applicable",VLOOKUP(A454,bond!F:AR,38,FALSE),IFERROR(VLOOKUP(A454,'7_發行日例外'!A:B,2,FALSE),VLOOKUP(A454,bond!F:AR,39,FALSE)))</f>
        <v>#N/A</v>
      </c>
      <c r="AM454" s="136" t="e">
        <f ca="1">VLOOKUP(B454,bond!B:AK,36,FALSE)</f>
        <v>#N/A</v>
      </c>
      <c r="AN454" s="136" t="str">
        <f ca="1">IFERROR(VLOOKUP(B454,'3_是否下架'!A:A,1,FALSE),"")</f>
        <v/>
      </c>
      <c r="AO454" s="136" t="e">
        <f ca="1">VLOOKUP(B454,bond!B:J,9,FALSE)</f>
        <v>#N/A</v>
      </c>
      <c r="AP454" s="136" t="e">
        <f ca="1">VLOOKUP(B454,bond!B:V,21,FALSE)</f>
        <v>#N/A</v>
      </c>
    </row>
    <row r="455" spans="1:42">
      <c r="A455" s="141">
        <f>bond!F456</f>
        <v>0</v>
      </c>
      <c r="B455" s="151">
        <f ca="1">IF($C$1=TRUE,bond!B456,"")</f>
        <v>0</v>
      </c>
      <c r="C455" s="95" t="e">
        <f>VLOOKUP(A455,bond!F:G,2,FALSE)</f>
        <v>#N/A</v>
      </c>
      <c r="D455" s="142" t="e">
        <f ca="1">VLOOKUP(B455,bond!B:C,2,FALSE)</f>
        <v>#N/A</v>
      </c>
      <c r="E455" s="95" t="e">
        <f ca="1">VLOOKUP(B455,bond!B:D,3,FALSE)</f>
        <v>#N/A</v>
      </c>
      <c r="F455" s="99" t="e">
        <f ca="1">VLOOKUP(B455,bond!B:AB,27,FALSE)</f>
        <v>#N/A</v>
      </c>
      <c r="G455" s="90" t="e">
        <f ca="1">VLOOKUP(B455,bond!B:E,4,FALSE)</f>
        <v>#N/A</v>
      </c>
      <c r="H455" s="202" t="e">
        <f ca="1">VLOOKUP(B455,bond!B:Y,24,FALSE)</f>
        <v>#N/A</v>
      </c>
      <c r="I455" s="95" t="e">
        <f ca="1">VLOOKUP(B455,bond!B:Z,25,FALSE)</f>
        <v>#N/A</v>
      </c>
      <c r="J455" s="180" t="e">
        <f ca="1">VLOOKUP(B455,bond!B:K,10,FALSE)</f>
        <v>#N/A</v>
      </c>
      <c r="K455" s="96" t="e">
        <f ca="1">VLOOKUP($B455,bond!B:S,14,FALSE)</f>
        <v>#N/A</v>
      </c>
      <c r="L455" s="91" t="e">
        <f ca="1">VLOOKUP(B455,bond!B:H,7,FALSE)</f>
        <v>#N/A</v>
      </c>
      <c r="M455" s="144" t="e">
        <f ca="1">VLOOKUP($B455,bond!$B:$Q,16,FALSE)</f>
        <v>#N/A</v>
      </c>
      <c r="N455" s="136" t="e">
        <f ca="1">VALUE(LEFT(VLOOKUP(B455,bond!B:R,17,FALSE),SEARCH(" ",VLOOKUP(B455,bond!B:R,17,FALSE),1)))</f>
        <v>#N/A</v>
      </c>
      <c r="O455" s="136" t="e">
        <f ca="1">VALUE(RIGHT(VLOOKUP(B455,bond!B:R,17,FALSE),LEN(VLOOKUP(B455,bond!B:R,17,FALSE))-LEN(N455)-3))</f>
        <v>#N/A</v>
      </c>
      <c r="P455" s="135" t="e">
        <f ca="1">VLOOKUP($B455,bond!$B:$AG,32,FALSE)</f>
        <v>#N/A</v>
      </c>
      <c r="Q455" s="135" t="e">
        <f ca="1">VLOOKUP($B455,bond!$B:$AH,33,FALSE)</f>
        <v>#N/A</v>
      </c>
      <c r="R455" s="135" t="e">
        <f ca="1">VLOOKUP(B455,bond!B:AA,26,FALSE)</f>
        <v>#N/A</v>
      </c>
      <c r="S455" s="135" t="e">
        <f ca="1">VLOOKUP(B455,bond!B:AI,34,FALSE)</f>
        <v>#N/A</v>
      </c>
      <c r="T455" s="135" t="e">
        <f t="shared" ca="1" si="49"/>
        <v>#N/A</v>
      </c>
      <c r="U455" s="207" t="e">
        <f ca="1">IFERROR(VLOOKUP(T455,Bond_DES!D:E,2,FALSE),VLOOKUP(S455,bond!AI:AJ,2,FALSE))</f>
        <v>#N/A</v>
      </c>
      <c r="V455" s="136" t="e">
        <f ca="1">IFERROR(VLOOKUP(B455,'1_重設數據'!L:M,2,FALSE),IF(Q455="政府",IF(AD455&gt;16,"(NPI)非專投",IF(AD455&gt;10,"(PI)專投","高資產")),IF(VLOOKUP(B455,bond!B:AN,39,FALSE)="Y","(PI)專投",IF(AD455&gt;=15,"(NPI)非專投",IF(AD455&gt;=10,"(PI)專投","高資產")))))</f>
        <v>#N/A</v>
      </c>
      <c r="W455" s="136" t="e">
        <f ca="1">VLOOKUP(AD455,'credit rating'!$F$2:$H$22,3,FALSE)</f>
        <v>#N/A</v>
      </c>
      <c r="X455" s="136" t="e">
        <f t="shared" ca="1" si="50"/>
        <v>#N/A</v>
      </c>
      <c r="Y455" s="136" t="e">
        <f t="shared" ca="1" si="51"/>
        <v>#N/A</v>
      </c>
      <c r="Z455" s="136" t="e">
        <f t="shared" ca="1" si="52"/>
        <v>#N/A</v>
      </c>
      <c r="AA455" s="134">
        <f ca="1">IFERROR(VLOOKUP(X455,'credit rating'!A:C,3,FALSE),0)</f>
        <v>0</v>
      </c>
      <c r="AB455" s="134">
        <f ca="1">IFERROR(VLOOKUP(Y455,'credit rating'!B:C,2,FALSE),0)</f>
        <v>0</v>
      </c>
      <c r="AC455" s="136">
        <f ca="1">IFERROR(VLOOKUP(Z455,'credit rating'!B:C,2,FALSE),0)</f>
        <v>0</v>
      </c>
      <c r="AD455" s="136">
        <f t="shared" ca="1" si="53"/>
        <v>0</v>
      </c>
      <c r="AE455" s="249" t="str">
        <f ca="1">IFERROR(VLOOKUP(B455,bond!B:U,20,FALSE),"")</f>
        <v/>
      </c>
      <c r="AF455" s="136" t="e">
        <f ca="1">IF(VLOOKUP(B455,bond!B:AK,36,FALSE)="#N/A Field Not Applicable","",VLOOKUP(B455,bond!B:AK,36,FALSE))</f>
        <v>#N/A</v>
      </c>
      <c r="AG455" s="136" t="e">
        <f ca="1">IF(VLOOKUP(B455,bond!B:AL,37,FALSE)="FIXED","固定",IF(VLOOKUP(B455,bond!B:AL,37,FALSE)="FLOATING","浮動",IF(VLOOKUP(B455,bond!B:AL,37,FALSE)="VARIABLE","變動",IF(VLOOKUP(B455,bond!B:AL,37,FALSE)="FLAT TRADING","不含息交易",IF(VLOOKUP(B455,bond!B:AL,37,FALSE)="ZERO COUPON","零息",VLOOKUP(B455,bond!B:AL,37,FALSE))))))</f>
        <v>#N/A</v>
      </c>
      <c r="AH455" s="136" t="e">
        <f>VLOOKUP(C455,'2_Check_code'!I:J,2,FALSE)</f>
        <v>#N/A</v>
      </c>
      <c r="AI455" s="136" t="e">
        <f t="shared" ca="1" si="54"/>
        <v>#N/A</v>
      </c>
      <c r="AJ455" s="136" t="e">
        <f t="shared" ca="1" si="55"/>
        <v>#N/A</v>
      </c>
      <c r="AK455" s="594" t="e">
        <f ca="1">IF(VLOOKUP(B455,bond!B:S,18,FALSE)="是","有",IF(VLOOKUP(B455,bond!B:S,18,FALSE)="NO OFFER","無","需查詢"))</f>
        <v>#N/A</v>
      </c>
      <c r="AL455" s="136" t="e">
        <f>IF(VLOOKUP(A455,bond!F:AR,39,FALSE)="#N/A Field Not Applicable",VLOOKUP(A455,bond!F:AR,38,FALSE),IFERROR(VLOOKUP(A455,'7_發行日例外'!A:B,2,FALSE),VLOOKUP(A455,bond!F:AR,39,FALSE)))</f>
        <v>#N/A</v>
      </c>
      <c r="AM455" s="136" t="e">
        <f ca="1">VLOOKUP(B455,bond!B:AK,36,FALSE)</f>
        <v>#N/A</v>
      </c>
      <c r="AN455" s="136" t="str">
        <f ca="1">IFERROR(VLOOKUP(B455,'3_是否下架'!A:A,1,FALSE),"")</f>
        <v/>
      </c>
      <c r="AO455" s="136" t="e">
        <f ca="1">VLOOKUP(B455,bond!B:J,9,FALSE)</f>
        <v>#N/A</v>
      </c>
      <c r="AP455" s="136" t="e">
        <f ca="1">VLOOKUP(B455,bond!B:V,21,FALSE)</f>
        <v>#N/A</v>
      </c>
    </row>
    <row r="456" spans="1:42">
      <c r="A456" s="141">
        <f>bond!F457</f>
        <v>0</v>
      </c>
      <c r="B456" s="151">
        <f ca="1">IF($C$1=TRUE,bond!B457,"")</f>
        <v>0</v>
      </c>
      <c r="C456" s="95" t="e">
        <f>VLOOKUP(A456,bond!F:G,2,FALSE)</f>
        <v>#N/A</v>
      </c>
      <c r="D456" s="142" t="e">
        <f ca="1">VLOOKUP(B456,bond!B:C,2,FALSE)</f>
        <v>#N/A</v>
      </c>
      <c r="E456" s="95" t="e">
        <f ca="1">VLOOKUP(B456,bond!B:D,3,FALSE)</f>
        <v>#N/A</v>
      </c>
      <c r="F456" s="99" t="e">
        <f ca="1">VLOOKUP(B456,bond!B:AB,27,FALSE)</f>
        <v>#N/A</v>
      </c>
      <c r="G456" s="90" t="e">
        <f ca="1">VLOOKUP(B456,bond!B:E,4,FALSE)</f>
        <v>#N/A</v>
      </c>
      <c r="H456" s="202" t="e">
        <f ca="1">VLOOKUP(B456,bond!B:Y,24,FALSE)</f>
        <v>#N/A</v>
      </c>
      <c r="I456" s="95" t="e">
        <f ca="1">VLOOKUP(B456,bond!B:Z,25,FALSE)</f>
        <v>#N/A</v>
      </c>
      <c r="J456" s="180" t="e">
        <f ca="1">VLOOKUP(B456,bond!B:K,10,FALSE)</f>
        <v>#N/A</v>
      </c>
      <c r="K456" s="96" t="e">
        <f ca="1">VLOOKUP($B456,bond!B:S,14,FALSE)</f>
        <v>#N/A</v>
      </c>
      <c r="L456" s="91" t="e">
        <f ca="1">VLOOKUP(B456,bond!B:H,7,FALSE)</f>
        <v>#N/A</v>
      </c>
      <c r="M456" s="144" t="e">
        <f ca="1">VLOOKUP($B456,bond!$B:$Q,16,FALSE)</f>
        <v>#N/A</v>
      </c>
      <c r="N456" s="136" t="e">
        <f ca="1">VALUE(LEFT(VLOOKUP(B456,bond!B:R,17,FALSE),SEARCH(" ",VLOOKUP(B456,bond!B:R,17,FALSE),1)))</f>
        <v>#N/A</v>
      </c>
      <c r="O456" s="136" t="e">
        <f ca="1">VALUE(RIGHT(VLOOKUP(B456,bond!B:R,17,FALSE),LEN(VLOOKUP(B456,bond!B:R,17,FALSE))-LEN(N456)-3))</f>
        <v>#N/A</v>
      </c>
      <c r="P456" s="135" t="e">
        <f ca="1">VLOOKUP($B456,bond!$B:$AG,32,FALSE)</f>
        <v>#N/A</v>
      </c>
      <c r="Q456" s="135" t="e">
        <f ca="1">VLOOKUP($B456,bond!$B:$AH,33,FALSE)</f>
        <v>#N/A</v>
      </c>
      <c r="R456" s="135" t="e">
        <f ca="1">VLOOKUP(B456,bond!B:AA,26,FALSE)</f>
        <v>#N/A</v>
      </c>
      <c r="S456" s="135" t="e">
        <f ca="1">VLOOKUP(B456,bond!B:AI,34,FALSE)</f>
        <v>#N/A</v>
      </c>
      <c r="T456" s="135" t="e">
        <f t="shared" ca="1" si="49"/>
        <v>#N/A</v>
      </c>
      <c r="U456" s="207" t="e">
        <f ca="1">IFERROR(VLOOKUP(T456,Bond_DES!D:E,2,FALSE),VLOOKUP(S456,bond!AI:AJ,2,FALSE))</f>
        <v>#N/A</v>
      </c>
      <c r="V456" s="136" t="e">
        <f ca="1">IFERROR(VLOOKUP(B456,'1_重設數據'!L:M,2,FALSE),IF(Q456="政府",IF(AD456&gt;16,"(NPI)非專投",IF(AD456&gt;10,"(PI)專投","高資產")),IF(VLOOKUP(B456,bond!B:AN,39,FALSE)="Y","(PI)專投",IF(AD456&gt;=15,"(NPI)非專投",IF(AD456&gt;=10,"(PI)專投","高資產")))))</f>
        <v>#N/A</v>
      </c>
      <c r="W456" s="136" t="e">
        <f ca="1">VLOOKUP(AD456,'credit rating'!$F$2:$H$22,3,FALSE)</f>
        <v>#N/A</v>
      </c>
      <c r="X456" s="136" t="e">
        <f t="shared" ca="1" si="50"/>
        <v>#N/A</v>
      </c>
      <c r="Y456" s="136" t="e">
        <f t="shared" ca="1" si="51"/>
        <v>#N/A</v>
      </c>
      <c r="Z456" s="136" t="e">
        <f t="shared" ca="1" si="52"/>
        <v>#N/A</v>
      </c>
      <c r="AA456" s="134">
        <f ca="1">IFERROR(VLOOKUP(X456,'credit rating'!A:C,3,FALSE),0)</f>
        <v>0</v>
      </c>
      <c r="AB456" s="134">
        <f ca="1">IFERROR(VLOOKUP(Y456,'credit rating'!B:C,2,FALSE),0)</f>
        <v>0</v>
      </c>
      <c r="AC456" s="136">
        <f ca="1">IFERROR(VLOOKUP(Z456,'credit rating'!B:C,2,FALSE),0)</f>
        <v>0</v>
      </c>
      <c r="AD456" s="136">
        <f t="shared" ca="1" si="53"/>
        <v>0</v>
      </c>
      <c r="AE456" s="249" t="str">
        <f ca="1">IFERROR(VLOOKUP(B456,bond!B:U,20,FALSE),"")</f>
        <v/>
      </c>
      <c r="AF456" s="136" t="e">
        <f ca="1">IF(VLOOKUP(B456,bond!B:AK,36,FALSE)="#N/A Field Not Applicable","",VLOOKUP(B456,bond!B:AK,36,FALSE))</f>
        <v>#N/A</v>
      </c>
      <c r="AG456" s="136" t="e">
        <f ca="1">IF(VLOOKUP(B456,bond!B:AL,37,FALSE)="FIXED","固定",IF(VLOOKUP(B456,bond!B:AL,37,FALSE)="FLOATING","浮動",IF(VLOOKUP(B456,bond!B:AL,37,FALSE)="VARIABLE","變動",IF(VLOOKUP(B456,bond!B:AL,37,FALSE)="FLAT TRADING","不含息交易",IF(VLOOKUP(B456,bond!B:AL,37,FALSE)="ZERO COUPON","零息",VLOOKUP(B456,bond!B:AL,37,FALSE))))))</f>
        <v>#N/A</v>
      </c>
      <c r="AH456" s="136" t="e">
        <f>VLOOKUP(C456,'2_Check_code'!I:J,2,FALSE)</f>
        <v>#N/A</v>
      </c>
      <c r="AI456" s="136" t="e">
        <f t="shared" ca="1" si="54"/>
        <v>#N/A</v>
      </c>
      <c r="AJ456" s="136" t="e">
        <f t="shared" ca="1" si="55"/>
        <v>#N/A</v>
      </c>
      <c r="AK456" s="594" t="e">
        <f ca="1">IF(VLOOKUP(B456,bond!B:S,18,FALSE)="是","有",IF(VLOOKUP(B456,bond!B:S,18,FALSE)="NO OFFER","無","需查詢"))</f>
        <v>#N/A</v>
      </c>
      <c r="AL456" s="136" t="e">
        <f>IF(VLOOKUP(A456,bond!F:AR,39,FALSE)="#N/A Field Not Applicable",VLOOKUP(A456,bond!F:AR,38,FALSE),IFERROR(VLOOKUP(A456,'7_發行日例外'!A:B,2,FALSE),VLOOKUP(A456,bond!F:AR,39,FALSE)))</f>
        <v>#N/A</v>
      </c>
      <c r="AM456" s="136" t="e">
        <f ca="1">VLOOKUP(B456,bond!B:AK,36,FALSE)</f>
        <v>#N/A</v>
      </c>
      <c r="AN456" s="136" t="str">
        <f ca="1">IFERROR(VLOOKUP(B456,'3_是否下架'!A:A,1,FALSE),"")</f>
        <v/>
      </c>
      <c r="AO456" s="136" t="e">
        <f ca="1">VLOOKUP(B456,bond!B:J,9,FALSE)</f>
        <v>#N/A</v>
      </c>
      <c r="AP456" s="136" t="e">
        <f ca="1">VLOOKUP(B456,bond!B:V,21,FALSE)</f>
        <v>#N/A</v>
      </c>
    </row>
    <row r="457" spans="1:42">
      <c r="A457" s="141">
        <f>bond!F458</f>
        <v>0</v>
      </c>
      <c r="B457" s="151">
        <f ca="1">IF($C$1=TRUE,bond!B458,"")</f>
        <v>0</v>
      </c>
      <c r="C457" s="95" t="e">
        <f>VLOOKUP(A457,bond!F:G,2,FALSE)</f>
        <v>#N/A</v>
      </c>
      <c r="D457" s="142" t="e">
        <f ca="1">VLOOKUP(B457,bond!B:C,2,FALSE)</f>
        <v>#N/A</v>
      </c>
      <c r="E457" s="95" t="e">
        <f ca="1">VLOOKUP(B457,bond!B:D,3,FALSE)</f>
        <v>#N/A</v>
      </c>
      <c r="F457" s="99" t="e">
        <f ca="1">VLOOKUP(B457,bond!B:AB,27,FALSE)</f>
        <v>#N/A</v>
      </c>
      <c r="G457" s="90" t="e">
        <f ca="1">VLOOKUP(B457,bond!B:E,4,FALSE)</f>
        <v>#N/A</v>
      </c>
      <c r="H457" s="202" t="e">
        <f ca="1">VLOOKUP(B457,bond!B:Y,24,FALSE)</f>
        <v>#N/A</v>
      </c>
      <c r="I457" s="95" t="e">
        <f ca="1">VLOOKUP(B457,bond!B:Z,25,FALSE)</f>
        <v>#N/A</v>
      </c>
      <c r="J457" s="180" t="e">
        <f ca="1">VLOOKUP(B457,bond!B:K,10,FALSE)</f>
        <v>#N/A</v>
      </c>
      <c r="K457" s="96" t="e">
        <f ca="1">VLOOKUP($B457,bond!B:S,14,FALSE)</f>
        <v>#N/A</v>
      </c>
      <c r="L457" s="91" t="e">
        <f ca="1">VLOOKUP(B457,bond!B:H,7,FALSE)</f>
        <v>#N/A</v>
      </c>
      <c r="M457" s="144" t="e">
        <f ca="1">VLOOKUP($B457,bond!$B:$Q,16,FALSE)</f>
        <v>#N/A</v>
      </c>
      <c r="N457" s="136" t="e">
        <f ca="1">VALUE(LEFT(VLOOKUP(B457,bond!B:R,17,FALSE),SEARCH(" ",VLOOKUP(B457,bond!B:R,17,FALSE),1)))</f>
        <v>#N/A</v>
      </c>
      <c r="O457" s="136" t="e">
        <f ca="1">VALUE(RIGHT(VLOOKUP(B457,bond!B:R,17,FALSE),LEN(VLOOKUP(B457,bond!B:R,17,FALSE))-LEN(N457)-3))</f>
        <v>#N/A</v>
      </c>
      <c r="P457" s="135" t="e">
        <f ca="1">VLOOKUP($B457,bond!$B:$AG,32,FALSE)</f>
        <v>#N/A</v>
      </c>
      <c r="Q457" s="135" t="e">
        <f ca="1">VLOOKUP($B457,bond!$B:$AH,33,FALSE)</f>
        <v>#N/A</v>
      </c>
      <c r="R457" s="135" t="e">
        <f ca="1">VLOOKUP(B457,bond!B:AA,26,FALSE)</f>
        <v>#N/A</v>
      </c>
      <c r="S457" s="135" t="e">
        <f ca="1">VLOOKUP(B457,bond!B:AI,34,FALSE)</f>
        <v>#N/A</v>
      </c>
      <c r="T457" s="135" t="e">
        <f t="shared" ca="1" si="49"/>
        <v>#N/A</v>
      </c>
      <c r="U457" s="207" t="e">
        <f ca="1">IFERROR(VLOOKUP(T457,Bond_DES!D:E,2,FALSE),VLOOKUP(S457,bond!AI:AJ,2,FALSE))</f>
        <v>#N/A</v>
      </c>
      <c r="V457" s="136" t="e">
        <f ca="1">IFERROR(VLOOKUP(B457,'1_重設數據'!L:M,2,FALSE),IF(Q457="政府",IF(AD457&gt;16,"(NPI)非專投",IF(AD457&gt;10,"(PI)專投","高資產")),IF(VLOOKUP(B457,bond!B:AN,39,FALSE)="Y","(PI)專投",IF(AD457&gt;=15,"(NPI)非專投",IF(AD457&gt;=10,"(PI)專投","高資產")))))</f>
        <v>#N/A</v>
      </c>
      <c r="W457" s="136" t="e">
        <f ca="1">VLOOKUP(AD457,'credit rating'!$F$2:$H$22,3,FALSE)</f>
        <v>#N/A</v>
      </c>
      <c r="X457" s="136" t="e">
        <f t="shared" ca="1" si="50"/>
        <v>#N/A</v>
      </c>
      <c r="Y457" s="136" t="e">
        <f t="shared" ca="1" si="51"/>
        <v>#N/A</v>
      </c>
      <c r="Z457" s="136" t="e">
        <f t="shared" ca="1" si="52"/>
        <v>#N/A</v>
      </c>
      <c r="AA457" s="134">
        <f ca="1">IFERROR(VLOOKUP(X457,'credit rating'!A:C,3,FALSE),0)</f>
        <v>0</v>
      </c>
      <c r="AB457" s="134">
        <f ca="1">IFERROR(VLOOKUP(Y457,'credit rating'!B:C,2,FALSE),0)</f>
        <v>0</v>
      </c>
      <c r="AC457" s="136">
        <f ca="1">IFERROR(VLOOKUP(Z457,'credit rating'!B:C,2,FALSE),0)</f>
        <v>0</v>
      </c>
      <c r="AD457" s="136">
        <f t="shared" ca="1" si="53"/>
        <v>0</v>
      </c>
      <c r="AE457" s="249" t="str">
        <f ca="1">IFERROR(VLOOKUP(B457,bond!B:U,20,FALSE),"")</f>
        <v/>
      </c>
      <c r="AF457" s="136" t="e">
        <f ca="1">IF(VLOOKUP(B457,bond!B:AK,36,FALSE)="#N/A Field Not Applicable","",VLOOKUP(B457,bond!B:AK,36,FALSE))</f>
        <v>#N/A</v>
      </c>
      <c r="AG457" s="136" t="e">
        <f ca="1">IF(VLOOKUP(B457,bond!B:AL,37,FALSE)="FIXED","固定",IF(VLOOKUP(B457,bond!B:AL,37,FALSE)="FLOATING","浮動",IF(VLOOKUP(B457,bond!B:AL,37,FALSE)="VARIABLE","變動",IF(VLOOKUP(B457,bond!B:AL,37,FALSE)="FLAT TRADING","不含息交易",IF(VLOOKUP(B457,bond!B:AL,37,FALSE)="ZERO COUPON","零息",VLOOKUP(B457,bond!B:AL,37,FALSE))))))</f>
        <v>#N/A</v>
      </c>
      <c r="AH457" s="136" t="e">
        <f>VLOOKUP(C457,'2_Check_code'!I:J,2,FALSE)</f>
        <v>#N/A</v>
      </c>
      <c r="AI457" s="136" t="e">
        <f t="shared" ca="1" si="54"/>
        <v>#N/A</v>
      </c>
      <c r="AJ457" s="136" t="e">
        <f t="shared" ca="1" si="55"/>
        <v>#N/A</v>
      </c>
      <c r="AK457" s="594" t="e">
        <f ca="1">IF(VLOOKUP(B457,bond!B:S,18,FALSE)="是","有",IF(VLOOKUP(B457,bond!B:S,18,FALSE)="NO OFFER","無","需查詢"))</f>
        <v>#N/A</v>
      </c>
      <c r="AL457" s="136" t="e">
        <f>IF(VLOOKUP(A457,bond!F:AR,39,FALSE)="#N/A Field Not Applicable",VLOOKUP(A457,bond!F:AR,38,FALSE),IFERROR(VLOOKUP(A457,'7_發行日例外'!A:B,2,FALSE),VLOOKUP(A457,bond!F:AR,39,FALSE)))</f>
        <v>#N/A</v>
      </c>
      <c r="AM457" s="136" t="e">
        <f ca="1">VLOOKUP(B457,bond!B:AK,36,FALSE)</f>
        <v>#N/A</v>
      </c>
      <c r="AN457" s="136" t="str">
        <f ca="1">IFERROR(VLOOKUP(B457,'3_是否下架'!A:A,1,FALSE),"")</f>
        <v/>
      </c>
      <c r="AO457" s="136" t="e">
        <f ca="1">VLOOKUP(B457,bond!B:J,9,FALSE)</f>
        <v>#N/A</v>
      </c>
      <c r="AP457" s="136" t="e">
        <f ca="1">VLOOKUP(B457,bond!B:V,21,FALSE)</f>
        <v>#N/A</v>
      </c>
    </row>
    <row r="458" spans="1:42">
      <c r="A458" s="141">
        <f>bond!F459</f>
        <v>0</v>
      </c>
      <c r="B458" s="151">
        <f ca="1">IF($C$1=TRUE,bond!B459,"")</f>
        <v>0</v>
      </c>
      <c r="C458" s="95" t="e">
        <f>VLOOKUP(A458,bond!F:G,2,FALSE)</f>
        <v>#N/A</v>
      </c>
      <c r="D458" s="142" t="e">
        <f ca="1">VLOOKUP(B458,bond!B:C,2,FALSE)</f>
        <v>#N/A</v>
      </c>
      <c r="E458" s="95" t="e">
        <f ca="1">VLOOKUP(B458,bond!B:D,3,FALSE)</f>
        <v>#N/A</v>
      </c>
      <c r="F458" s="99" t="e">
        <f ca="1">VLOOKUP(B458,bond!B:AB,27,FALSE)</f>
        <v>#N/A</v>
      </c>
      <c r="G458" s="90" t="e">
        <f ca="1">VLOOKUP(B458,bond!B:E,4,FALSE)</f>
        <v>#N/A</v>
      </c>
      <c r="H458" s="202" t="e">
        <f ca="1">VLOOKUP(B458,bond!B:Y,24,FALSE)</f>
        <v>#N/A</v>
      </c>
      <c r="I458" s="95" t="e">
        <f ca="1">VLOOKUP(B458,bond!B:Z,25,FALSE)</f>
        <v>#N/A</v>
      </c>
      <c r="J458" s="180" t="e">
        <f ca="1">VLOOKUP(B458,bond!B:K,10,FALSE)</f>
        <v>#N/A</v>
      </c>
      <c r="K458" s="96" t="e">
        <f ca="1">VLOOKUP($B458,bond!B:S,14,FALSE)</f>
        <v>#N/A</v>
      </c>
      <c r="L458" s="91" t="e">
        <f ca="1">VLOOKUP(B458,bond!B:H,7,FALSE)</f>
        <v>#N/A</v>
      </c>
      <c r="M458" s="144" t="e">
        <f ca="1">VLOOKUP($B458,bond!$B:$Q,16,FALSE)</f>
        <v>#N/A</v>
      </c>
      <c r="N458" s="136" t="e">
        <f ca="1">VALUE(LEFT(VLOOKUP(B458,bond!B:R,17,FALSE),SEARCH(" ",VLOOKUP(B458,bond!B:R,17,FALSE),1)))</f>
        <v>#N/A</v>
      </c>
      <c r="O458" s="136" t="e">
        <f ca="1">VALUE(RIGHT(VLOOKUP(B458,bond!B:R,17,FALSE),LEN(VLOOKUP(B458,bond!B:R,17,FALSE))-LEN(N458)-3))</f>
        <v>#N/A</v>
      </c>
      <c r="P458" s="135" t="e">
        <f ca="1">VLOOKUP($B458,bond!$B:$AG,32,FALSE)</f>
        <v>#N/A</v>
      </c>
      <c r="Q458" s="135" t="e">
        <f ca="1">VLOOKUP($B458,bond!$B:$AH,33,FALSE)</f>
        <v>#N/A</v>
      </c>
      <c r="R458" s="135" t="e">
        <f ca="1">VLOOKUP(B458,bond!B:AA,26,FALSE)</f>
        <v>#N/A</v>
      </c>
      <c r="S458" s="135" t="e">
        <f ca="1">VLOOKUP(B458,bond!B:AI,34,FALSE)</f>
        <v>#N/A</v>
      </c>
      <c r="T458" s="135" t="e">
        <f t="shared" ca="1" si="49"/>
        <v>#N/A</v>
      </c>
      <c r="U458" s="207" t="e">
        <f ca="1">IFERROR(VLOOKUP(T458,Bond_DES!D:E,2,FALSE),VLOOKUP(S458,bond!AI:AJ,2,FALSE))</f>
        <v>#N/A</v>
      </c>
      <c r="V458" s="136" t="e">
        <f ca="1">IFERROR(VLOOKUP(B458,'1_重設數據'!L:M,2,FALSE),IF(Q458="政府",IF(AD458&gt;16,"(NPI)非專投",IF(AD458&gt;10,"(PI)專投","高資產")),IF(VLOOKUP(B458,bond!B:AN,39,FALSE)="Y","(PI)專投",IF(AD458&gt;=15,"(NPI)非專投",IF(AD458&gt;=10,"(PI)專投","高資產")))))</f>
        <v>#N/A</v>
      </c>
      <c r="W458" s="136" t="e">
        <f ca="1">VLOOKUP(AD458,'credit rating'!$F$2:$H$22,3,FALSE)</f>
        <v>#N/A</v>
      </c>
      <c r="X458" s="136" t="e">
        <f t="shared" ca="1" si="50"/>
        <v>#N/A</v>
      </c>
      <c r="Y458" s="136" t="e">
        <f t="shared" ca="1" si="51"/>
        <v>#N/A</v>
      </c>
      <c r="Z458" s="136" t="e">
        <f t="shared" ca="1" si="52"/>
        <v>#N/A</v>
      </c>
      <c r="AA458" s="134">
        <f ca="1">IFERROR(VLOOKUP(X458,'credit rating'!A:C,3,FALSE),0)</f>
        <v>0</v>
      </c>
      <c r="AB458" s="134">
        <f ca="1">IFERROR(VLOOKUP(Y458,'credit rating'!B:C,2,FALSE),0)</f>
        <v>0</v>
      </c>
      <c r="AC458" s="136">
        <f ca="1">IFERROR(VLOOKUP(Z458,'credit rating'!B:C,2,FALSE),0)</f>
        <v>0</v>
      </c>
      <c r="AD458" s="136">
        <f t="shared" ca="1" si="53"/>
        <v>0</v>
      </c>
      <c r="AE458" s="249" t="str">
        <f ca="1">IFERROR(VLOOKUP(B458,bond!B:U,20,FALSE),"")</f>
        <v/>
      </c>
      <c r="AF458" s="136" t="e">
        <f ca="1">IF(VLOOKUP(B458,bond!B:AK,36,FALSE)="#N/A Field Not Applicable","",VLOOKUP(B458,bond!B:AK,36,FALSE))</f>
        <v>#N/A</v>
      </c>
      <c r="AG458" s="136" t="e">
        <f ca="1">IF(VLOOKUP(B458,bond!B:AL,37,FALSE)="FIXED","固定",IF(VLOOKUP(B458,bond!B:AL,37,FALSE)="FLOATING","浮動",IF(VLOOKUP(B458,bond!B:AL,37,FALSE)="VARIABLE","變動",IF(VLOOKUP(B458,bond!B:AL,37,FALSE)="FLAT TRADING","不含息交易",IF(VLOOKUP(B458,bond!B:AL,37,FALSE)="ZERO COUPON","零息",VLOOKUP(B458,bond!B:AL,37,FALSE))))))</f>
        <v>#N/A</v>
      </c>
      <c r="AH458" s="136" t="e">
        <f>VLOOKUP(C458,'2_Check_code'!I:J,2,FALSE)</f>
        <v>#N/A</v>
      </c>
      <c r="AI458" s="136" t="e">
        <f t="shared" ca="1" si="54"/>
        <v>#N/A</v>
      </c>
      <c r="AJ458" s="136" t="e">
        <f t="shared" ca="1" si="55"/>
        <v>#N/A</v>
      </c>
      <c r="AK458" s="594" t="e">
        <f ca="1">IF(VLOOKUP(B458,bond!B:S,18,FALSE)="是","有",IF(VLOOKUP(B458,bond!B:S,18,FALSE)="NO OFFER","無","需查詢"))</f>
        <v>#N/A</v>
      </c>
      <c r="AL458" s="136" t="e">
        <f>IF(VLOOKUP(A458,bond!F:AR,39,FALSE)="#N/A Field Not Applicable",VLOOKUP(A458,bond!F:AR,38,FALSE),IFERROR(VLOOKUP(A458,'7_發行日例外'!A:B,2,FALSE),VLOOKUP(A458,bond!F:AR,39,FALSE)))</f>
        <v>#N/A</v>
      </c>
      <c r="AM458" s="136" t="e">
        <f ca="1">VLOOKUP(B458,bond!B:AK,36,FALSE)</f>
        <v>#N/A</v>
      </c>
      <c r="AN458" s="136" t="str">
        <f ca="1">IFERROR(VLOOKUP(B458,'3_是否下架'!A:A,1,FALSE),"")</f>
        <v/>
      </c>
      <c r="AO458" s="136" t="e">
        <f ca="1">VLOOKUP(B458,bond!B:J,9,FALSE)</f>
        <v>#N/A</v>
      </c>
      <c r="AP458" s="136" t="e">
        <f ca="1">VLOOKUP(B458,bond!B:V,21,FALSE)</f>
        <v>#N/A</v>
      </c>
    </row>
    <row r="459" spans="1:42">
      <c r="A459" s="141">
        <f>bond!F460</f>
        <v>0</v>
      </c>
      <c r="B459" s="151">
        <f ca="1">IF($C$1=TRUE,bond!B460,"")</f>
        <v>0</v>
      </c>
      <c r="C459" s="95" t="e">
        <f>VLOOKUP(A459,bond!F:G,2,FALSE)</f>
        <v>#N/A</v>
      </c>
      <c r="D459" s="142" t="e">
        <f ca="1">VLOOKUP(B459,bond!B:C,2,FALSE)</f>
        <v>#N/A</v>
      </c>
      <c r="E459" s="95" t="e">
        <f ca="1">VLOOKUP(B459,bond!B:D,3,FALSE)</f>
        <v>#N/A</v>
      </c>
      <c r="F459" s="99" t="e">
        <f ca="1">VLOOKUP(B459,bond!B:AB,27,FALSE)</f>
        <v>#N/A</v>
      </c>
      <c r="G459" s="90" t="e">
        <f ca="1">VLOOKUP(B459,bond!B:E,4,FALSE)</f>
        <v>#N/A</v>
      </c>
      <c r="H459" s="202" t="e">
        <f ca="1">VLOOKUP(B459,bond!B:Y,24,FALSE)</f>
        <v>#N/A</v>
      </c>
      <c r="I459" s="95" t="e">
        <f ca="1">VLOOKUP(B459,bond!B:Z,25,FALSE)</f>
        <v>#N/A</v>
      </c>
      <c r="J459" s="180" t="e">
        <f ca="1">VLOOKUP(B459,bond!B:K,10,FALSE)</f>
        <v>#N/A</v>
      </c>
      <c r="K459" s="96" t="e">
        <f ca="1">VLOOKUP($B459,bond!B:S,14,FALSE)</f>
        <v>#N/A</v>
      </c>
      <c r="L459" s="91" t="e">
        <f ca="1">VLOOKUP(B459,bond!B:H,7,FALSE)</f>
        <v>#N/A</v>
      </c>
      <c r="M459" s="144" t="e">
        <f ca="1">VLOOKUP($B459,bond!$B:$Q,16,FALSE)</f>
        <v>#N/A</v>
      </c>
      <c r="N459" s="136" t="e">
        <f ca="1">VALUE(LEFT(VLOOKUP(B459,bond!B:R,17,FALSE),SEARCH(" ",VLOOKUP(B459,bond!B:R,17,FALSE),1)))</f>
        <v>#N/A</v>
      </c>
      <c r="O459" s="136" t="e">
        <f ca="1">VALUE(RIGHT(VLOOKUP(B459,bond!B:R,17,FALSE),LEN(VLOOKUP(B459,bond!B:R,17,FALSE))-LEN(N459)-3))</f>
        <v>#N/A</v>
      </c>
      <c r="P459" s="135" t="e">
        <f ca="1">VLOOKUP($B459,bond!$B:$AG,32,FALSE)</f>
        <v>#N/A</v>
      </c>
      <c r="Q459" s="135" t="e">
        <f ca="1">VLOOKUP($B459,bond!$B:$AH,33,FALSE)</f>
        <v>#N/A</v>
      </c>
      <c r="R459" s="135" t="e">
        <f ca="1">VLOOKUP(B459,bond!B:AA,26,FALSE)</f>
        <v>#N/A</v>
      </c>
      <c r="S459" s="135" t="e">
        <f ca="1">VLOOKUP(B459,bond!B:AI,34,FALSE)</f>
        <v>#N/A</v>
      </c>
      <c r="T459" s="135" t="e">
        <f t="shared" ca="1" si="49"/>
        <v>#N/A</v>
      </c>
      <c r="U459" s="207" t="e">
        <f ca="1">IFERROR(VLOOKUP(T459,Bond_DES!D:E,2,FALSE),VLOOKUP(S459,bond!AI:AJ,2,FALSE))</f>
        <v>#N/A</v>
      </c>
      <c r="V459" s="136" t="e">
        <f ca="1">IFERROR(VLOOKUP(B459,'1_重設數據'!L:M,2,FALSE),IF(Q459="政府",IF(AD459&gt;16,"(NPI)非專投",IF(AD459&gt;10,"(PI)專投","高資產")),IF(VLOOKUP(B459,bond!B:AN,39,FALSE)="Y","(PI)專投",IF(AD459&gt;=15,"(NPI)非專投",IF(AD459&gt;=10,"(PI)專投","高資產")))))</f>
        <v>#N/A</v>
      </c>
      <c r="W459" s="136" t="e">
        <f ca="1">VLOOKUP(AD459,'credit rating'!$F$2:$H$22,3,FALSE)</f>
        <v>#N/A</v>
      </c>
      <c r="X459" s="136" t="e">
        <f t="shared" ca="1" si="50"/>
        <v>#N/A</v>
      </c>
      <c r="Y459" s="136" t="e">
        <f t="shared" ca="1" si="51"/>
        <v>#N/A</v>
      </c>
      <c r="Z459" s="136" t="e">
        <f t="shared" ca="1" si="52"/>
        <v>#N/A</v>
      </c>
      <c r="AA459" s="134">
        <f ca="1">IFERROR(VLOOKUP(X459,'credit rating'!A:C,3,FALSE),0)</f>
        <v>0</v>
      </c>
      <c r="AB459" s="134">
        <f ca="1">IFERROR(VLOOKUP(Y459,'credit rating'!B:C,2,FALSE),0)</f>
        <v>0</v>
      </c>
      <c r="AC459" s="136">
        <f ca="1">IFERROR(VLOOKUP(Z459,'credit rating'!B:C,2,FALSE),0)</f>
        <v>0</v>
      </c>
      <c r="AD459" s="136">
        <f t="shared" ca="1" si="53"/>
        <v>0</v>
      </c>
      <c r="AE459" s="249" t="str">
        <f ca="1">IFERROR(VLOOKUP(B459,bond!B:U,20,FALSE),"")</f>
        <v/>
      </c>
      <c r="AF459" s="136" t="e">
        <f ca="1">IF(VLOOKUP(B459,bond!B:AK,36,FALSE)="#N/A Field Not Applicable","",VLOOKUP(B459,bond!B:AK,36,FALSE))</f>
        <v>#N/A</v>
      </c>
      <c r="AG459" s="136" t="e">
        <f ca="1">IF(VLOOKUP(B459,bond!B:AL,37,FALSE)="FIXED","固定",IF(VLOOKUP(B459,bond!B:AL,37,FALSE)="FLOATING","浮動",IF(VLOOKUP(B459,bond!B:AL,37,FALSE)="VARIABLE","變動",IF(VLOOKUP(B459,bond!B:AL,37,FALSE)="FLAT TRADING","不含息交易",IF(VLOOKUP(B459,bond!B:AL,37,FALSE)="ZERO COUPON","零息",VLOOKUP(B459,bond!B:AL,37,FALSE))))))</f>
        <v>#N/A</v>
      </c>
      <c r="AH459" s="136" t="e">
        <f>VLOOKUP(C459,'2_Check_code'!I:J,2,FALSE)</f>
        <v>#N/A</v>
      </c>
      <c r="AI459" s="136" t="e">
        <f t="shared" ca="1" si="54"/>
        <v>#N/A</v>
      </c>
      <c r="AJ459" s="136" t="e">
        <f t="shared" ca="1" si="55"/>
        <v>#N/A</v>
      </c>
      <c r="AK459" s="594" t="e">
        <f ca="1">IF(VLOOKUP(B459,bond!B:S,18,FALSE)="是","有",IF(VLOOKUP(B459,bond!B:S,18,FALSE)="NO OFFER","無","需查詢"))</f>
        <v>#N/A</v>
      </c>
      <c r="AL459" s="136" t="e">
        <f>IF(VLOOKUP(A459,bond!F:AR,39,FALSE)="#N/A Field Not Applicable",VLOOKUP(A459,bond!F:AR,38,FALSE),IFERROR(VLOOKUP(A459,'7_發行日例外'!A:B,2,FALSE),VLOOKUP(A459,bond!F:AR,39,FALSE)))</f>
        <v>#N/A</v>
      </c>
      <c r="AM459" s="136" t="e">
        <f ca="1">VLOOKUP(B459,bond!B:AK,36,FALSE)</f>
        <v>#N/A</v>
      </c>
      <c r="AN459" s="136" t="str">
        <f ca="1">IFERROR(VLOOKUP(B459,'3_是否下架'!A:A,1,FALSE),"")</f>
        <v/>
      </c>
      <c r="AO459" s="136" t="e">
        <f ca="1">VLOOKUP(B459,bond!B:J,9,FALSE)</f>
        <v>#N/A</v>
      </c>
      <c r="AP459" s="136" t="e">
        <f ca="1">VLOOKUP(B459,bond!B:V,21,FALSE)</f>
        <v>#N/A</v>
      </c>
    </row>
    <row r="460" spans="1:42">
      <c r="A460" s="141">
        <f>bond!F461</f>
        <v>0</v>
      </c>
      <c r="B460" s="151">
        <f ca="1">IF($C$1=TRUE,bond!B461,"")</f>
        <v>0</v>
      </c>
      <c r="C460" s="95" t="e">
        <f>VLOOKUP(A460,bond!F:G,2,FALSE)</f>
        <v>#N/A</v>
      </c>
      <c r="D460" s="142" t="e">
        <f ca="1">VLOOKUP(B460,bond!B:C,2,FALSE)</f>
        <v>#N/A</v>
      </c>
      <c r="E460" s="95" t="e">
        <f ca="1">VLOOKUP(B460,bond!B:D,3,FALSE)</f>
        <v>#N/A</v>
      </c>
      <c r="F460" s="99" t="e">
        <f ca="1">VLOOKUP(B460,bond!B:AB,27,FALSE)</f>
        <v>#N/A</v>
      </c>
      <c r="G460" s="90" t="e">
        <f ca="1">VLOOKUP(B460,bond!B:E,4,FALSE)</f>
        <v>#N/A</v>
      </c>
      <c r="H460" s="202" t="e">
        <f ca="1">VLOOKUP(B460,bond!B:Y,24,FALSE)</f>
        <v>#N/A</v>
      </c>
      <c r="I460" s="95" t="e">
        <f ca="1">VLOOKUP(B460,bond!B:Z,25,FALSE)</f>
        <v>#N/A</v>
      </c>
      <c r="J460" s="180" t="e">
        <f ca="1">VLOOKUP(B460,bond!B:K,10,FALSE)</f>
        <v>#N/A</v>
      </c>
      <c r="K460" s="96" t="e">
        <f ca="1">VLOOKUP($B460,bond!B:S,14,FALSE)</f>
        <v>#N/A</v>
      </c>
      <c r="L460" s="91" t="e">
        <f ca="1">VLOOKUP(B460,bond!B:H,7,FALSE)</f>
        <v>#N/A</v>
      </c>
      <c r="M460" s="144" t="e">
        <f ca="1">VLOOKUP($B460,bond!$B:$Q,16,FALSE)</f>
        <v>#N/A</v>
      </c>
      <c r="N460" s="136" t="e">
        <f ca="1">VALUE(LEFT(VLOOKUP(B460,bond!B:R,17,FALSE),SEARCH(" ",VLOOKUP(B460,bond!B:R,17,FALSE),1)))</f>
        <v>#N/A</v>
      </c>
      <c r="O460" s="136" t="e">
        <f ca="1">VALUE(RIGHT(VLOOKUP(B460,bond!B:R,17,FALSE),LEN(VLOOKUP(B460,bond!B:R,17,FALSE))-LEN(N460)-3))</f>
        <v>#N/A</v>
      </c>
      <c r="P460" s="135" t="e">
        <f ca="1">VLOOKUP($B460,bond!$B:$AG,32,FALSE)</f>
        <v>#N/A</v>
      </c>
      <c r="Q460" s="135" t="e">
        <f ca="1">VLOOKUP($B460,bond!$B:$AH,33,FALSE)</f>
        <v>#N/A</v>
      </c>
      <c r="R460" s="135" t="e">
        <f ca="1">VLOOKUP(B460,bond!B:AA,26,FALSE)</f>
        <v>#N/A</v>
      </c>
      <c r="S460" s="135" t="e">
        <f ca="1">VLOOKUP(B460,bond!B:AI,34,FALSE)</f>
        <v>#N/A</v>
      </c>
      <c r="T460" s="135" t="e">
        <f t="shared" ca="1" si="49"/>
        <v>#N/A</v>
      </c>
      <c r="U460" s="207" t="e">
        <f ca="1">IFERROR(VLOOKUP(T460,Bond_DES!D:E,2,FALSE),VLOOKUP(S460,bond!AI:AJ,2,FALSE))</f>
        <v>#N/A</v>
      </c>
      <c r="V460" s="136" t="e">
        <f ca="1">IFERROR(VLOOKUP(B460,'1_重設數據'!L:M,2,FALSE),IF(Q460="政府",IF(AD460&gt;16,"(NPI)非專投",IF(AD460&gt;10,"(PI)專投","高資產")),IF(VLOOKUP(B460,bond!B:AN,39,FALSE)="Y","(PI)專投",IF(AD460&gt;=15,"(NPI)非專投",IF(AD460&gt;=10,"(PI)專投","高資產")))))</f>
        <v>#N/A</v>
      </c>
      <c r="W460" s="136" t="e">
        <f ca="1">VLOOKUP(AD460,'credit rating'!$F$2:$H$22,3,FALSE)</f>
        <v>#N/A</v>
      </c>
      <c r="X460" s="136" t="e">
        <f t="shared" ca="1" si="50"/>
        <v>#N/A</v>
      </c>
      <c r="Y460" s="136" t="e">
        <f t="shared" ca="1" si="51"/>
        <v>#N/A</v>
      </c>
      <c r="Z460" s="136" t="e">
        <f t="shared" ca="1" si="52"/>
        <v>#N/A</v>
      </c>
      <c r="AA460" s="134">
        <f ca="1">IFERROR(VLOOKUP(X460,'credit rating'!A:C,3,FALSE),0)</f>
        <v>0</v>
      </c>
      <c r="AB460" s="134">
        <f ca="1">IFERROR(VLOOKUP(Y460,'credit rating'!B:C,2,FALSE),0)</f>
        <v>0</v>
      </c>
      <c r="AC460" s="136">
        <f ca="1">IFERROR(VLOOKUP(Z460,'credit rating'!B:C,2,FALSE),0)</f>
        <v>0</v>
      </c>
      <c r="AD460" s="136">
        <f t="shared" ca="1" si="53"/>
        <v>0</v>
      </c>
      <c r="AE460" s="249" t="str">
        <f ca="1">IFERROR(VLOOKUP(B460,bond!B:U,20,FALSE),"")</f>
        <v/>
      </c>
      <c r="AF460" s="136" t="e">
        <f ca="1">IF(VLOOKUP(B460,bond!B:AK,36,FALSE)="#N/A Field Not Applicable","",VLOOKUP(B460,bond!B:AK,36,FALSE))</f>
        <v>#N/A</v>
      </c>
      <c r="AG460" s="136" t="e">
        <f ca="1">IF(VLOOKUP(B460,bond!B:AL,37,FALSE)="FIXED","固定",IF(VLOOKUP(B460,bond!B:AL,37,FALSE)="FLOATING","浮動",IF(VLOOKUP(B460,bond!B:AL,37,FALSE)="VARIABLE","變動",IF(VLOOKUP(B460,bond!B:AL,37,FALSE)="FLAT TRADING","不含息交易",IF(VLOOKUP(B460,bond!B:AL,37,FALSE)="ZERO COUPON","零息",VLOOKUP(B460,bond!B:AL,37,FALSE))))))</f>
        <v>#N/A</v>
      </c>
      <c r="AH460" s="136" t="e">
        <f>VLOOKUP(C460,'2_Check_code'!I:J,2,FALSE)</f>
        <v>#N/A</v>
      </c>
      <c r="AI460" s="136" t="e">
        <f t="shared" ca="1" si="54"/>
        <v>#N/A</v>
      </c>
      <c r="AJ460" s="136" t="e">
        <f t="shared" ca="1" si="55"/>
        <v>#N/A</v>
      </c>
      <c r="AK460" s="594" t="e">
        <f ca="1">IF(VLOOKUP(B460,bond!B:S,18,FALSE)="是","有",IF(VLOOKUP(B460,bond!B:S,18,FALSE)="NO OFFER","無","需查詢"))</f>
        <v>#N/A</v>
      </c>
      <c r="AL460" s="136" t="e">
        <f>IF(VLOOKUP(A460,bond!F:AR,39,FALSE)="#N/A Field Not Applicable",VLOOKUP(A460,bond!F:AR,38,FALSE),IFERROR(VLOOKUP(A460,'7_發行日例外'!A:B,2,FALSE),VLOOKUP(A460,bond!F:AR,39,FALSE)))</f>
        <v>#N/A</v>
      </c>
      <c r="AM460" s="136" t="e">
        <f ca="1">VLOOKUP(B460,bond!B:AK,36,FALSE)</f>
        <v>#N/A</v>
      </c>
      <c r="AN460" s="136" t="str">
        <f ca="1">IFERROR(VLOOKUP(B460,'3_是否下架'!A:A,1,FALSE),"")</f>
        <v/>
      </c>
      <c r="AO460" s="136" t="e">
        <f ca="1">VLOOKUP(B460,bond!B:J,9,FALSE)</f>
        <v>#N/A</v>
      </c>
      <c r="AP460" s="136" t="e">
        <f ca="1">VLOOKUP(B460,bond!B:V,21,FALSE)</f>
        <v>#N/A</v>
      </c>
    </row>
    <row r="461" spans="1:42">
      <c r="A461" s="141">
        <f>bond!F462</f>
        <v>0</v>
      </c>
      <c r="B461" s="151">
        <f ca="1">IF($C$1=TRUE,bond!B462,"")</f>
        <v>0</v>
      </c>
      <c r="C461" s="95" t="e">
        <f>VLOOKUP(A461,bond!F:G,2,FALSE)</f>
        <v>#N/A</v>
      </c>
      <c r="D461" s="142" t="e">
        <f ca="1">VLOOKUP(B461,bond!B:C,2,FALSE)</f>
        <v>#N/A</v>
      </c>
      <c r="E461" s="95" t="e">
        <f ca="1">VLOOKUP(B461,bond!B:D,3,FALSE)</f>
        <v>#N/A</v>
      </c>
      <c r="F461" s="99" t="e">
        <f ca="1">VLOOKUP(B461,bond!B:AB,27,FALSE)</f>
        <v>#N/A</v>
      </c>
      <c r="G461" s="90" t="e">
        <f ca="1">VLOOKUP(B461,bond!B:E,4,FALSE)</f>
        <v>#N/A</v>
      </c>
      <c r="H461" s="202" t="e">
        <f ca="1">VLOOKUP(B461,bond!B:Y,24,FALSE)</f>
        <v>#N/A</v>
      </c>
      <c r="I461" s="95" t="e">
        <f ca="1">VLOOKUP(B461,bond!B:Z,25,FALSE)</f>
        <v>#N/A</v>
      </c>
      <c r="J461" s="180" t="e">
        <f ca="1">VLOOKUP(B461,bond!B:K,10,FALSE)</f>
        <v>#N/A</v>
      </c>
      <c r="K461" s="96" t="e">
        <f ca="1">VLOOKUP($B461,bond!B:S,14,FALSE)</f>
        <v>#N/A</v>
      </c>
      <c r="L461" s="91" t="e">
        <f ca="1">VLOOKUP(B461,bond!B:H,7,FALSE)</f>
        <v>#N/A</v>
      </c>
      <c r="M461" s="144" t="e">
        <f ca="1">VLOOKUP($B461,bond!$B:$Q,16,FALSE)</f>
        <v>#N/A</v>
      </c>
      <c r="N461" s="136" t="e">
        <f ca="1">VALUE(LEFT(VLOOKUP(B461,bond!B:R,17,FALSE),SEARCH(" ",VLOOKUP(B461,bond!B:R,17,FALSE),1)))</f>
        <v>#N/A</v>
      </c>
      <c r="O461" s="136" t="e">
        <f ca="1">VALUE(RIGHT(VLOOKUP(B461,bond!B:R,17,FALSE),LEN(VLOOKUP(B461,bond!B:R,17,FALSE))-LEN(N461)-3))</f>
        <v>#N/A</v>
      </c>
      <c r="P461" s="135" t="e">
        <f ca="1">VLOOKUP($B461,bond!$B:$AG,32,FALSE)</f>
        <v>#N/A</v>
      </c>
      <c r="Q461" s="135" t="e">
        <f ca="1">VLOOKUP($B461,bond!$B:$AH,33,FALSE)</f>
        <v>#N/A</v>
      </c>
      <c r="R461" s="135" t="e">
        <f ca="1">VLOOKUP(B461,bond!B:AA,26,FALSE)</f>
        <v>#N/A</v>
      </c>
      <c r="S461" s="135" t="e">
        <f ca="1">VLOOKUP(B461,bond!B:AI,34,FALSE)</f>
        <v>#N/A</v>
      </c>
      <c r="T461" s="135" t="e">
        <f t="shared" ca="1" si="49"/>
        <v>#N/A</v>
      </c>
      <c r="U461" s="207" t="e">
        <f ca="1">IFERROR(VLOOKUP(T461,Bond_DES!D:E,2,FALSE),VLOOKUP(S461,bond!AI:AJ,2,FALSE))</f>
        <v>#N/A</v>
      </c>
      <c r="V461" s="136" t="e">
        <f ca="1">IFERROR(VLOOKUP(B461,'1_重設數據'!L:M,2,FALSE),IF(Q461="政府",IF(AD461&gt;16,"(NPI)非專投",IF(AD461&gt;10,"(PI)專投","高資產")),IF(VLOOKUP(B461,bond!B:AN,39,FALSE)="Y","(PI)專投",IF(AD461&gt;=15,"(NPI)非專投",IF(AD461&gt;=10,"(PI)專投","高資產")))))</f>
        <v>#N/A</v>
      </c>
      <c r="W461" s="136" t="e">
        <f ca="1">VLOOKUP(AD461,'credit rating'!$F$2:$H$22,3,FALSE)</f>
        <v>#N/A</v>
      </c>
      <c r="X461" s="136" t="e">
        <f t="shared" ca="1" si="50"/>
        <v>#N/A</v>
      </c>
      <c r="Y461" s="136" t="e">
        <f t="shared" ca="1" si="51"/>
        <v>#N/A</v>
      </c>
      <c r="Z461" s="136" t="e">
        <f t="shared" ca="1" si="52"/>
        <v>#N/A</v>
      </c>
      <c r="AA461" s="134">
        <f ca="1">IFERROR(VLOOKUP(X461,'credit rating'!A:C,3,FALSE),0)</f>
        <v>0</v>
      </c>
      <c r="AB461" s="134">
        <f ca="1">IFERROR(VLOOKUP(Y461,'credit rating'!B:C,2,FALSE),0)</f>
        <v>0</v>
      </c>
      <c r="AC461" s="136">
        <f ca="1">IFERROR(VLOOKUP(Z461,'credit rating'!B:C,2,FALSE),0)</f>
        <v>0</v>
      </c>
      <c r="AD461" s="136">
        <f t="shared" ca="1" si="53"/>
        <v>0</v>
      </c>
      <c r="AE461" s="249" t="str">
        <f ca="1">IFERROR(VLOOKUP(B461,bond!B:U,20,FALSE),"")</f>
        <v/>
      </c>
      <c r="AF461" s="136" t="e">
        <f ca="1">IF(VLOOKUP(B461,bond!B:AK,36,FALSE)="#N/A Field Not Applicable","",VLOOKUP(B461,bond!B:AK,36,FALSE))</f>
        <v>#N/A</v>
      </c>
      <c r="AG461" s="136" t="e">
        <f ca="1">IF(VLOOKUP(B461,bond!B:AL,37,FALSE)="FIXED","固定",IF(VLOOKUP(B461,bond!B:AL,37,FALSE)="FLOATING","浮動",IF(VLOOKUP(B461,bond!B:AL,37,FALSE)="VARIABLE","變動",IF(VLOOKUP(B461,bond!B:AL,37,FALSE)="FLAT TRADING","不含息交易",IF(VLOOKUP(B461,bond!B:AL,37,FALSE)="ZERO COUPON","零息",VLOOKUP(B461,bond!B:AL,37,FALSE))))))</f>
        <v>#N/A</v>
      </c>
      <c r="AH461" s="136" t="e">
        <f>VLOOKUP(C461,'2_Check_code'!I:J,2,FALSE)</f>
        <v>#N/A</v>
      </c>
      <c r="AI461" s="136" t="e">
        <f t="shared" ca="1" si="54"/>
        <v>#N/A</v>
      </c>
      <c r="AJ461" s="136" t="e">
        <f t="shared" ca="1" si="55"/>
        <v>#N/A</v>
      </c>
      <c r="AK461" s="594" t="e">
        <f ca="1">IF(VLOOKUP(B461,bond!B:S,18,FALSE)="是","有",IF(VLOOKUP(B461,bond!B:S,18,FALSE)="NO OFFER","無","需查詢"))</f>
        <v>#N/A</v>
      </c>
      <c r="AL461" s="136" t="e">
        <f>IF(VLOOKUP(A461,bond!F:AR,39,FALSE)="#N/A Field Not Applicable",VLOOKUP(A461,bond!F:AR,38,FALSE),IFERROR(VLOOKUP(A461,'7_發行日例外'!A:B,2,FALSE),VLOOKUP(A461,bond!F:AR,39,FALSE)))</f>
        <v>#N/A</v>
      </c>
      <c r="AM461" s="136" t="e">
        <f ca="1">VLOOKUP(B461,bond!B:AK,36,FALSE)</f>
        <v>#N/A</v>
      </c>
      <c r="AN461" s="136" t="str">
        <f ca="1">IFERROR(VLOOKUP(B461,'3_是否下架'!A:A,1,FALSE),"")</f>
        <v/>
      </c>
      <c r="AO461" s="136" t="e">
        <f ca="1">VLOOKUP(B461,bond!B:J,9,FALSE)</f>
        <v>#N/A</v>
      </c>
      <c r="AP461" s="136" t="e">
        <f ca="1">VLOOKUP(B461,bond!B:V,21,FALSE)</f>
        <v>#N/A</v>
      </c>
    </row>
    <row r="462" spans="1:42">
      <c r="A462" s="141">
        <f>bond!F463</f>
        <v>0</v>
      </c>
      <c r="B462" s="151">
        <f ca="1">IF($C$1=TRUE,bond!B463,"")</f>
        <v>0</v>
      </c>
      <c r="C462" s="95" t="e">
        <f>VLOOKUP(A462,bond!F:G,2,FALSE)</f>
        <v>#N/A</v>
      </c>
      <c r="D462" s="142" t="e">
        <f ca="1">VLOOKUP(B462,bond!B:C,2,FALSE)</f>
        <v>#N/A</v>
      </c>
      <c r="E462" s="95" t="e">
        <f ca="1">VLOOKUP(B462,bond!B:D,3,FALSE)</f>
        <v>#N/A</v>
      </c>
      <c r="F462" s="99" t="e">
        <f ca="1">VLOOKUP(B462,bond!B:AB,27,FALSE)</f>
        <v>#N/A</v>
      </c>
      <c r="G462" s="90" t="e">
        <f ca="1">VLOOKUP(B462,bond!B:E,4,FALSE)</f>
        <v>#N/A</v>
      </c>
      <c r="H462" s="202" t="e">
        <f ca="1">VLOOKUP(B462,bond!B:Y,24,FALSE)</f>
        <v>#N/A</v>
      </c>
      <c r="I462" s="95" t="e">
        <f ca="1">VLOOKUP(B462,bond!B:Z,25,FALSE)</f>
        <v>#N/A</v>
      </c>
      <c r="J462" s="180" t="e">
        <f ca="1">VLOOKUP(B462,bond!B:K,10,FALSE)</f>
        <v>#N/A</v>
      </c>
      <c r="K462" s="96" t="e">
        <f ca="1">VLOOKUP($B462,bond!B:S,14,FALSE)</f>
        <v>#N/A</v>
      </c>
      <c r="L462" s="91" t="e">
        <f ca="1">VLOOKUP(B462,bond!B:H,7,FALSE)</f>
        <v>#N/A</v>
      </c>
      <c r="M462" s="144" t="e">
        <f ca="1">VLOOKUP($B462,bond!$B:$Q,16,FALSE)</f>
        <v>#N/A</v>
      </c>
      <c r="N462" s="136" t="e">
        <f ca="1">VALUE(LEFT(VLOOKUP(B462,bond!B:R,17,FALSE),SEARCH(" ",VLOOKUP(B462,bond!B:R,17,FALSE),1)))</f>
        <v>#N/A</v>
      </c>
      <c r="O462" s="136" t="e">
        <f ca="1">VALUE(RIGHT(VLOOKUP(B462,bond!B:R,17,FALSE),LEN(VLOOKUP(B462,bond!B:R,17,FALSE))-LEN(N462)-3))</f>
        <v>#N/A</v>
      </c>
      <c r="P462" s="135" t="e">
        <f ca="1">VLOOKUP($B462,bond!$B:$AG,32,FALSE)</f>
        <v>#N/A</v>
      </c>
      <c r="Q462" s="135" t="e">
        <f ca="1">VLOOKUP($B462,bond!$B:$AH,33,FALSE)</f>
        <v>#N/A</v>
      </c>
      <c r="R462" s="135" t="e">
        <f ca="1">VLOOKUP(B462,bond!B:AA,26,FALSE)</f>
        <v>#N/A</v>
      </c>
      <c r="S462" s="135" t="e">
        <f ca="1">VLOOKUP(B462,bond!B:AI,34,FALSE)</f>
        <v>#N/A</v>
      </c>
      <c r="T462" s="135" t="e">
        <f t="shared" ca="1" si="49"/>
        <v>#N/A</v>
      </c>
      <c r="U462" s="207" t="e">
        <f ca="1">IFERROR(VLOOKUP(T462,Bond_DES!D:E,2,FALSE),VLOOKUP(S462,bond!AI:AJ,2,FALSE))</f>
        <v>#N/A</v>
      </c>
      <c r="V462" s="136" t="e">
        <f ca="1">IFERROR(VLOOKUP(B462,'1_重設數據'!L:M,2,FALSE),IF(Q462="政府",IF(AD462&gt;16,"(NPI)非專投",IF(AD462&gt;10,"(PI)專投","高資產")),IF(VLOOKUP(B462,bond!B:AN,39,FALSE)="Y","(PI)專投",IF(AD462&gt;=15,"(NPI)非專投",IF(AD462&gt;=10,"(PI)專投","高資產")))))</f>
        <v>#N/A</v>
      </c>
      <c r="W462" s="136" t="e">
        <f ca="1">VLOOKUP(AD462,'credit rating'!$F$2:$H$22,3,FALSE)</f>
        <v>#N/A</v>
      </c>
      <c r="X462" s="136" t="e">
        <f t="shared" ca="1" si="50"/>
        <v>#N/A</v>
      </c>
      <c r="Y462" s="136" t="e">
        <f t="shared" ca="1" si="51"/>
        <v>#N/A</v>
      </c>
      <c r="Z462" s="136" t="e">
        <f t="shared" ca="1" si="52"/>
        <v>#N/A</v>
      </c>
      <c r="AA462" s="134">
        <f ca="1">IFERROR(VLOOKUP(X462,'credit rating'!A:C,3,FALSE),0)</f>
        <v>0</v>
      </c>
      <c r="AB462" s="134">
        <f ca="1">IFERROR(VLOOKUP(Y462,'credit rating'!B:C,2,FALSE),0)</f>
        <v>0</v>
      </c>
      <c r="AC462" s="136">
        <f ca="1">IFERROR(VLOOKUP(Z462,'credit rating'!B:C,2,FALSE),0)</f>
        <v>0</v>
      </c>
      <c r="AD462" s="136">
        <f t="shared" ca="1" si="53"/>
        <v>0</v>
      </c>
      <c r="AE462" s="249" t="str">
        <f ca="1">IFERROR(VLOOKUP(B462,bond!B:U,20,FALSE),"")</f>
        <v/>
      </c>
      <c r="AF462" s="136" t="e">
        <f ca="1">IF(VLOOKUP(B462,bond!B:AK,36,FALSE)="#N/A Field Not Applicable","",VLOOKUP(B462,bond!B:AK,36,FALSE))</f>
        <v>#N/A</v>
      </c>
      <c r="AG462" s="136" t="e">
        <f ca="1">IF(VLOOKUP(B462,bond!B:AL,37,FALSE)="FIXED","固定",IF(VLOOKUP(B462,bond!B:AL,37,FALSE)="FLOATING","浮動",IF(VLOOKUP(B462,bond!B:AL,37,FALSE)="VARIABLE","變動",IF(VLOOKUP(B462,bond!B:AL,37,FALSE)="FLAT TRADING","不含息交易",IF(VLOOKUP(B462,bond!B:AL,37,FALSE)="ZERO COUPON","零息",VLOOKUP(B462,bond!B:AL,37,FALSE))))))</f>
        <v>#N/A</v>
      </c>
      <c r="AH462" s="136" t="e">
        <f>VLOOKUP(C462,'2_Check_code'!I:J,2,FALSE)</f>
        <v>#N/A</v>
      </c>
      <c r="AI462" s="136" t="e">
        <f t="shared" ca="1" si="54"/>
        <v>#N/A</v>
      </c>
      <c r="AJ462" s="136" t="e">
        <f t="shared" ca="1" si="55"/>
        <v>#N/A</v>
      </c>
      <c r="AK462" s="594" t="e">
        <f ca="1">IF(VLOOKUP(B462,bond!B:S,18,FALSE)="是","有",IF(VLOOKUP(B462,bond!B:S,18,FALSE)="NO OFFER","無","需查詢"))</f>
        <v>#N/A</v>
      </c>
      <c r="AL462" s="136" t="e">
        <f>IF(VLOOKUP(A462,bond!F:AR,39,FALSE)="#N/A Field Not Applicable",VLOOKUP(A462,bond!F:AR,38,FALSE),IFERROR(VLOOKUP(A462,'7_發行日例外'!A:B,2,FALSE),VLOOKUP(A462,bond!F:AR,39,FALSE)))</f>
        <v>#N/A</v>
      </c>
      <c r="AM462" s="136" t="e">
        <f ca="1">VLOOKUP(B462,bond!B:AK,36,FALSE)</f>
        <v>#N/A</v>
      </c>
      <c r="AN462" s="136" t="str">
        <f ca="1">IFERROR(VLOOKUP(B462,'3_是否下架'!A:A,1,FALSE),"")</f>
        <v/>
      </c>
      <c r="AO462" s="136" t="e">
        <f ca="1">VLOOKUP(B462,bond!B:J,9,FALSE)</f>
        <v>#N/A</v>
      </c>
      <c r="AP462" s="136" t="e">
        <f ca="1">VLOOKUP(B462,bond!B:V,21,FALSE)</f>
        <v>#N/A</v>
      </c>
    </row>
    <row r="463" spans="1:42">
      <c r="A463" s="141">
        <f>bond!F464</f>
        <v>0</v>
      </c>
      <c r="B463" s="151">
        <f ca="1">IF($C$1=TRUE,bond!B464,"")</f>
        <v>0</v>
      </c>
      <c r="C463" s="95" t="e">
        <f>VLOOKUP(A463,bond!F:G,2,FALSE)</f>
        <v>#N/A</v>
      </c>
      <c r="D463" s="142" t="e">
        <f ca="1">VLOOKUP(B463,bond!B:C,2,FALSE)</f>
        <v>#N/A</v>
      </c>
      <c r="E463" s="95" t="e">
        <f ca="1">VLOOKUP(B463,bond!B:D,3,FALSE)</f>
        <v>#N/A</v>
      </c>
      <c r="F463" s="99" t="e">
        <f ca="1">VLOOKUP(B463,bond!B:AB,27,FALSE)</f>
        <v>#N/A</v>
      </c>
      <c r="G463" s="90" t="e">
        <f ca="1">VLOOKUP(B463,bond!B:E,4,FALSE)</f>
        <v>#N/A</v>
      </c>
      <c r="H463" s="202" t="e">
        <f ca="1">VLOOKUP(B463,bond!B:Y,24,FALSE)</f>
        <v>#N/A</v>
      </c>
      <c r="I463" s="95" t="e">
        <f ca="1">VLOOKUP(B463,bond!B:Z,25,FALSE)</f>
        <v>#N/A</v>
      </c>
      <c r="J463" s="180" t="e">
        <f ca="1">VLOOKUP(B463,bond!B:K,10,FALSE)</f>
        <v>#N/A</v>
      </c>
      <c r="K463" s="96" t="e">
        <f ca="1">VLOOKUP($B463,bond!B:S,14,FALSE)</f>
        <v>#N/A</v>
      </c>
      <c r="L463" s="91" t="e">
        <f ca="1">VLOOKUP(B463,bond!B:H,7,FALSE)</f>
        <v>#N/A</v>
      </c>
      <c r="M463" s="144" t="e">
        <f ca="1">VLOOKUP($B463,bond!$B:$Q,16,FALSE)</f>
        <v>#N/A</v>
      </c>
      <c r="N463" s="136" t="e">
        <f ca="1">VALUE(LEFT(VLOOKUP(B463,bond!B:R,17,FALSE),SEARCH(" ",VLOOKUP(B463,bond!B:R,17,FALSE),1)))</f>
        <v>#N/A</v>
      </c>
      <c r="O463" s="136" t="e">
        <f ca="1">VALUE(RIGHT(VLOOKUP(B463,bond!B:R,17,FALSE),LEN(VLOOKUP(B463,bond!B:R,17,FALSE))-LEN(N463)-3))</f>
        <v>#N/A</v>
      </c>
      <c r="P463" s="135" t="e">
        <f ca="1">VLOOKUP($B463,bond!$B:$AG,32,FALSE)</f>
        <v>#N/A</v>
      </c>
      <c r="Q463" s="135" t="e">
        <f ca="1">VLOOKUP($B463,bond!$B:$AH,33,FALSE)</f>
        <v>#N/A</v>
      </c>
      <c r="R463" s="135" t="e">
        <f ca="1">VLOOKUP(B463,bond!B:AA,26,FALSE)</f>
        <v>#N/A</v>
      </c>
      <c r="S463" s="135" t="e">
        <f ca="1">VLOOKUP(B463,bond!B:AI,34,FALSE)</f>
        <v>#N/A</v>
      </c>
      <c r="T463" s="135" t="e">
        <f t="shared" ca="1" si="49"/>
        <v>#N/A</v>
      </c>
      <c r="U463" s="207" t="e">
        <f ca="1">IFERROR(VLOOKUP(T463,Bond_DES!D:E,2,FALSE),VLOOKUP(S463,bond!AI:AJ,2,FALSE))</f>
        <v>#N/A</v>
      </c>
      <c r="V463" s="136" t="e">
        <f ca="1">IFERROR(VLOOKUP(B463,'1_重設數據'!L:M,2,FALSE),IF(Q463="政府",IF(AD463&gt;16,"(NPI)非專投",IF(AD463&gt;10,"(PI)專投","高資產")),IF(VLOOKUP(B463,bond!B:AN,39,FALSE)="Y","(PI)專投",IF(AD463&gt;=15,"(NPI)非專投",IF(AD463&gt;=10,"(PI)專投","高資產")))))</f>
        <v>#N/A</v>
      </c>
      <c r="W463" s="136" t="e">
        <f ca="1">VLOOKUP(AD463,'credit rating'!$F$2:$H$22,3,FALSE)</f>
        <v>#N/A</v>
      </c>
      <c r="X463" s="136" t="e">
        <f t="shared" ca="1" si="50"/>
        <v>#N/A</v>
      </c>
      <c r="Y463" s="136" t="e">
        <f t="shared" ca="1" si="51"/>
        <v>#N/A</v>
      </c>
      <c r="Z463" s="136" t="e">
        <f t="shared" ca="1" si="52"/>
        <v>#N/A</v>
      </c>
      <c r="AA463" s="134">
        <f ca="1">IFERROR(VLOOKUP(X463,'credit rating'!A:C,3,FALSE),0)</f>
        <v>0</v>
      </c>
      <c r="AB463" s="134">
        <f ca="1">IFERROR(VLOOKUP(Y463,'credit rating'!B:C,2,FALSE),0)</f>
        <v>0</v>
      </c>
      <c r="AC463" s="136">
        <f ca="1">IFERROR(VLOOKUP(Z463,'credit rating'!B:C,2,FALSE),0)</f>
        <v>0</v>
      </c>
      <c r="AD463" s="136">
        <f t="shared" ca="1" si="53"/>
        <v>0</v>
      </c>
      <c r="AE463" s="249" t="str">
        <f ca="1">IFERROR(VLOOKUP(B463,bond!B:U,20,FALSE),"")</f>
        <v/>
      </c>
      <c r="AF463" s="136" t="e">
        <f ca="1">IF(VLOOKUP(B463,bond!B:AK,36,FALSE)="#N/A Field Not Applicable","",VLOOKUP(B463,bond!B:AK,36,FALSE))</f>
        <v>#N/A</v>
      </c>
      <c r="AG463" s="136" t="e">
        <f ca="1">IF(VLOOKUP(B463,bond!B:AL,37,FALSE)="FIXED","固定",IF(VLOOKUP(B463,bond!B:AL,37,FALSE)="FLOATING","浮動",IF(VLOOKUP(B463,bond!B:AL,37,FALSE)="VARIABLE","變動",IF(VLOOKUP(B463,bond!B:AL,37,FALSE)="FLAT TRADING","不含息交易",IF(VLOOKUP(B463,bond!B:AL,37,FALSE)="ZERO COUPON","零息",VLOOKUP(B463,bond!B:AL,37,FALSE))))))</f>
        <v>#N/A</v>
      </c>
      <c r="AH463" s="136" t="e">
        <f>VLOOKUP(C463,'2_Check_code'!I:J,2,FALSE)</f>
        <v>#N/A</v>
      </c>
      <c r="AI463" s="136" t="e">
        <f t="shared" ca="1" si="54"/>
        <v>#N/A</v>
      </c>
      <c r="AJ463" s="136" t="e">
        <f t="shared" ca="1" si="55"/>
        <v>#N/A</v>
      </c>
      <c r="AK463" s="594" t="e">
        <f ca="1">IF(VLOOKUP(B463,bond!B:S,18,FALSE)="是","有",IF(VLOOKUP(B463,bond!B:S,18,FALSE)="NO OFFER","無","需查詢"))</f>
        <v>#N/A</v>
      </c>
      <c r="AL463" s="136" t="e">
        <f>IF(VLOOKUP(A463,bond!F:AR,39,FALSE)="#N/A Field Not Applicable",VLOOKUP(A463,bond!F:AR,38,FALSE),IFERROR(VLOOKUP(A463,'7_發行日例外'!A:B,2,FALSE),VLOOKUP(A463,bond!F:AR,39,FALSE)))</f>
        <v>#N/A</v>
      </c>
      <c r="AM463" s="136" t="e">
        <f ca="1">VLOOKUP(B463,bond!B:AK,36,FALSE)</f>
        <v>#N/A</v>
      </c>
      <c r="AN463" s="136" t="str">
        <f ca="1">IFERROR(VLOOKUP(B463,'3_是否下架'!A:A,1,FALSE),"")</f>
        <v/>
      </c>
      <c r="AO463" s="136" t="e">
        <f ca="1">VLOOKUP(B463,bond!B:J,9,FALSE)</f>
        <v>#N/A</v>
      </c>
      <c r="AP463" s="136" t="e">
        <f ca="1">VLOOKUP(B463,bond!B:V,21,FALSE)</f>
        <v>#N/A</v>
      </c>
    </row>
    <row r="464" spans="1:42">
      <c r="A464" s="141">
        <f>bond!F465</f>
        <v>0</v>
      </c>
      <c r="B464" s="151">
        <f ca="1">IF($C$1=TRUE,bond!B465,"")</f>
        <v>0</v>
      </c>
      <c r="C464" s="95" t="e">
        <f>VLOOKUP(A464,bond!F:G,2,FALSE)</f>
        <v>#N/A</v>
      </c>
      <c r="D464" s="142" t="e">
        <f ca="1">VLOOKUP(B464,bond!B:C,2,FALSE)</f>
        <v>#N/A</v>
      </c>
      <c r="E464" s="95" t="e">
        <f ca="1">VLOOKUP(B464,bond!B:D,3,FALSE)</f>
        <v>#N/A</v>
      </c>
      <c r="F464" s="99" t="e">
        <f ca="1">VLOOKUP(B464,bond!B:AB,27,FALSE)</f>
        <v>#N/A</v>
      </c>
      <c r="G464" s="90" t="e">
        <f ca="1">VLOOKUP(B464,bond!B:E,4,FALSE)</f>
        <v>#N/A</v>
      </c>
      <c r="H464" s="202" t="e">
        <f ca="1">VLOOKUP(B464,bond!B:Y,24,FALSE)</f>
        <v>#N/A</v>
      </c>
      <c r="I464" s="95" t="e">
        <f ca="1">VLOOKUP(B464,bond!B:Z,25,FALSE)</f>
        <v>#N/A</v>
      </c>
      <c r="J464" s="180" t="e">
        <f ca="1">VLOOKUP(B464,bond!B:K,10,FALSE)</f>
        <v>#N/A</v>
      </c>
      <c r="K464" s="96" t="e">
        <f ca="1">VLOOKUP($B464,bond!B:S,14,FALSE)</f>
        <v>#N/A</v>
      </c>
      <c r="L464" s="91" t="e">
        <f ca="1">VLOOKUP(B464,bond!B:H,7,FALSE)</f>
        <v>#N/A</v>
      </c>
      <c r="M464" s="144" t="e">
        <f ca="1">VLOOKUP($B464,bond!$B:$Q,16,FALSE)</f>
        <v>#N/A</v>
      </c>
      <c r="N464" s="136" t="e">
        <f ca="1">VALUE(LEFT(VLOOKUP(B464,bond!B:R,17,FALSE),SEARCH(" ",VLOOKUP(B464,bond!B:R,17,FALSE),1)))</f>
        <v>#N/A</v>
      </c>
      <c r="O464" s="136" t="e">
        <f ca="1">VALUE(RIGHT(VLOOKUP(B464,bond!B:R,17,FALSE),LEN(VLOOKUP(B464,bond!B:R,17,FALSE))-LEN(N464)-3))</f>
        <v>#N/A</v>
      </c>
      <c r="P464" s="135" t="e">
        <f ca="1">VLOOKUP($B464,bond!$B:$AG,32,FALSE)</f>
        <v>#N/A</v>
      </c>
      <c r="Q464" s="135" t="e">
        <f ca="1">VLOOKUP($B464,bond!$B:$AH,33,FALSE)</f>
        <v>#N/A</v>
      </c>
      <c r="R464" s="135" t="e">
        <f ca="1">VLOOKUP(B464,bond!B:AA,26,FALSE)</f>
        <v>#N/A</v>
      </c>
      <c r="S464" s="135" t="e">
        <f ca="1">VLOOKUP(B464,bond!B:AI,34,FALSE)</f>
        <v>#N/A</v>
      </c>
      <c r="T464" s="135" t="e">
        <f t="shared" ca="1" si="49"/>
        <v>#N/A</v>
      </c>
      <c r="U464" s="207" t="e">
        <f ca="1">IFERROR(VLOOKUP(T464,Bond_DES!D:E,2,FALSE),VLOOKUP(S464,bond!AI:AJ,2,FALSE))</f>
        <v>#N/A</v>
      </c>
      <c r="V464" s="136" t="e">
        <f ca="1">IFERROR(VLOOKUP(B464,'1_重設數據'!L:M,2,FALSE),IF(Q464="政府",IF(AD464&gt;16,"(NPI)非專投",IF(AD464&gt;10,"(PI)專投","高資產")),IF(VLOOKUP(B464,bond!B:AN,39,FALSE)="Y","(PI)專投",IF(AD464&gt;=15,"(NPI)非專投",IF(AD464&gt;=10,"(PI)專投","高資產")))))</f>
        <v>#N/A</v>
      </c>
      <c r="W464" s="136" t="e">
        <f ca="1">VLOOKUP(AD464,'credit rating'!$F$2:$H$22,3,FALSE)</f>
        <v>#N/A</v>
      </c>
      <c r="X464" s="136" t="e">
        <f t="shared" ca="1" si="50"/>
        <v>#N/A</v>
      </c>
      <c r="Y464" s="136" t="e">
        <f t="shared" ca="1" si="51"/>
        <v>#N/A</v>
      </c>
      <c r="Z464" s="136" t="e">
        <f t="shared" ca="1" si="52"/>
        <v>#N/A</v>
      </c>
      <c r="AA464" s="134">
        <f ca="1">IFERROR(VLOOKUP(X464,'credit rating'!A:C,3,FALSE),0)</f>
        <v>0</v>
      </c>
      <c r="AB464" s="134">
        <f ca="1">IFERROR(VLOOKUP(Y464,'credit rating'!B:C,2,FALSE),0)</f>
        <v>0</v>
      </c>
      <c r="AC464" s="136">
        <f ca="1">IFERROR(VLOOKUP(Z464,'credit rating'!B:C,2,FALSE),0)</f>
        <v>0</v>
      </c>
      <c r="AD464" s="136">
        <f t="shared" ca="1" si="53"/>
        <v>0</v>
      </c>
      <c r="AE464" s="249" t="str">
        <f ca="1">IFERROR(VLOOKUP(B464,bond!B:U,20,FALSE),"")</f>
        <v/>
      </c>
      <c r="AF464" s="136" t="e">
        <f ca="1">IF(VLOOKUP(B464,bond!B:AK,36,FALSE)="#N/A Field Not Applicable","",VLOOKUP(B464,bond!B:AK,36,FALSE))</f>
        <v>#N/A</v>
      </c>
      <c r="AG464" s="136" t="e">
        <f ca="1">IF(VLOOKUP(B464,bond!B:AL,37,FALSE)="FIXED","固定",IF(VLOOKUP(B464,bond!B:AL,37,FALSE)="FLOATING","浮動",IF(VLOOKUP(B464,bond!B:AL,37,FALSE)="VARIABLE","變動",IF(VLOOKUP(B464,bond!B:AL,37,FALSE)="FLAT TRADING","不含息交易",IF(VLOOKUP(B464,bond!B:AL,37,FALSE)="ZERO COUPON","零息",VLOOKUP(B464,bond!B:AL,37,FALSE))))))</f>
        <v>#N/A</v>
      </c>
      <c r="AH464" s="136" t="e">
        <f>VLOOKUP(C464,'2_Check_code'!I:J,2,FALSE)</f>
        <v>#N/A</v>
      </c>
      <c r="AI464" s="136" t="e">
        <f t="shared" ca="1" si="54"/>
        <v>#N/A</v>
      </c>
      <c r="AJ464" s="136" t="e">
        <f t="shared" ca="1" si="55"/>
        <v>#N/A</v>
      </c>
      <c r="AK464" s="594" t="e">
        <f ca="1">IF(VLOOKUP(B464,bond!B:S,18,FALSE)="是","有",IF(VLOOKUP(B464,bond!B:S,18,FALSE)="NO OFFER","無","需查詢"))</f>
        <v>#N/A</v>
      </c>
      <c r="AL464" s="136" t="e">
        <f>IF(VLOOKUP(A464,bond!F:AR,39,FALSE)="#N/A Field Not Applicable",VLOOKUP(A464,bond!F:AR,38,FALSE),IFERROR(VLOOKUP(A464,'7_發行日例外'!A:B,2,FALSE),VLOOKUP(A464,bond!F:AR,39,FALSE)))</f>
        <v>#N/A</v>
      </c>
      <c r="AM464" s="136" t="e">
        <f ca="1">VLOOKUP(B464,bond!B:AK,36,FALSE)</f>
        <v>#N/A</v>
      </c>
      <c r="AN464" s="136" t="str">
        <f ca="1">IFERROR(VLOOKUP(B464,'3_是否下架'!A:A,1,FALSE),"")</f>
        <v/>
      </c>
      <c r="AO464" s="136" t="e">
        <f ca="1">VLOOKUP(B464,bond!B:J,9,FALSE)</f>
        <v>#N/A</v>
      </c>
      <c r="AP464" s="136" t="e">
        <f ca="1">VLOOKUP(B464,bond!B:V,21,FALSE)</f>
        <v>#N/A</v>
      </c>
    </row>
    <row r="465" spans="1:42">
      <c r="A465" s="141">
        <f>bond!F466</f>
        <v>0</v>
      </c>
      <c r="B465" s="151">
        <f ca="1">IF($C$1=TRUE,bond!B466,"")</f>
        <v>0</v>
      </c>
      <c r="C465" s="95" t="e">
        <f>VLOOKUP(A465,bond!F:G,2,FALSE)</f>
        <v>#N/A</v>
      </c>
      <c r="D465" s="142" t="e">
        <f ca="1">VLOOKUP(B465,bond!B:C,2,FALSE)</f>
        <v>#N/A</v>
      </c>
      <c r="E465" s="95" t="e">
        <f ca="1">VLOOKUP(B465,bond!B:D,3,FALSE)</f>
        <v>#N/A</v>
      </c>
      <c r="F465" s="99" t="e">
        <f ca="1">VLOOKUP(B465,bond!B:AB,27,FALSE)</f>
        <v>#N/A</v>
      </c>
      <c r="G465" s="90" t="e">
        <f ca="1">VLOOKUP(B465,bond!B:E,4,FALSE)</f>
        <v>#N/A</v>
      </c>
      <c r="H465" s="202" t="e">
        <f ca="1">VLOOKUP(B465,bond!B:Y,24,FALSE)</f>
        <v>#N/A</v>
      </c>
      <c r="I465" s="95" t="e">
        <f ca="1">VLOOKUP(B465,bond!B:Z,25,FALSE)</f>
        <v>#N/A</v>
      </c>
      <c r="J465" s="180" t="e">
        <f ca="1">VLOOKUP(B465,bond!B:K,10,FALSE)</f>
        <v>#N/A</v>
      </c>
      <c r="K465" s="96" t="e">
        <f ca="1">VLOOKUP($B465,bond!B:S,14,FALSE)</f>
        <v>#N/A</v>
      </c>
      <c r="L465" s="91" t="e">
        <f ca="1">VLOOKUP(B465,bond!B:H,7,FALSE)</f>
        <v>#N/A</v>
      </c>
      <c r="M465" s="144" t="e">
        <f ca="1">VLOOKUP($B465,bond!$B:$Q,16,FALSE)</f>
        <v>#N/A</v>
      </c>
      <c r="N465" s="136" t="e">
        <f ca="1">VALUE(LEFT(VLOOKUP(B465,bond!B:R,17,FALSE),SEARCH(" ",VLOOKUP(B465,bond!B:R,17,FALSE),1)))</f>
        <v>#N/A</v>
      </c>
      <c r="O465" s="136" t="e">
        <f ca="1">VALUE(RIGHT(VLOOKUP(B465,bond!B:R,17,FALSE),LEN(VLOOKUP(B465,bond!B:R,17,FALSE))-LEN(N465)-3))</f>
        <v>#N/A</v>
      </c>
      <c r="P465" s="135" t="e">
        <f ca="1">VLOOKUP($B465,bond!$B:$AG,32,FALSE)</f>
        <v>#N/A</v>
      </c>
      <c r="Q465" s="135" t="e">
        <f ca="1">VLOOKUP($B465,bond!$B:$AH,33,FALSE)</f>
        <v>#N/A</v>
      </c>
      <c r="R465" s="135" t="e">
        <f ca="1">VLOOKUP(B465,bond!B:AA,26,FALSE)</f>
        <v>#N/A</v>
      </c>
      <c r="S465" s="135" t="e">
        <f ca="1">VLOOKUP(B465,bond!B:AI,34,FALSE)</f>
        <v>#N/A</v>
      </c>
      <c r="T465" s="135" t="e">
        <f t="shared" ca="1" si="49"/>
        <v>#N/A</v>
      </c>
      <c r="U465" s="207" t="e">
        <f ca="1">IFERROR(VLOOKUP(T465,Bond_DES!D:E,2,FALSE),VLOOKUP(S465,bond!AI:AJ,2,FALSE))</f>
        <v>#N/A</v>
      </c>
      <c r="V465" s="136" t="e">
        <f ca="1">IFERROR(VLOOKUP(B465,'1_重設數據'!L:M,2,FALSE),IF(Q465="政府",IF(AD465&gt;16,"(NPI)非專投",IF(AD465&gt;10,"(PI)專投","高資產")),IF(VLOOKUP(B465,bond!B:AN,39,FALSE)="Y","(PI)專投",IF(AD465&gt;=15,"(NPI)非專投",IF(AD465&gt;=10,"(PI)專投","高資產")))))</f>
        <v>#N/A</v>
      </c>
      <c r="W465" s="136" t="e">
        <f ca="1">VLOOKUP(AD465,'credit rating'!$F$2:$H$22,3,FALSE)</f>
        <v>#N/A</v>
      </c>
      <c r="X465" s="136" t="e">
        <f t="shared" ca="1" si="50"/>
        <v>#N/A</v>
      </c>
      <c r="Y465" s="136" t="e">
        <f t="shared" ca="1" si="51"/>
        <v>#N/A</v>
      </c>
      <c r="Z465" s="136" t="e">
        <f t="shared" ca="1" si="52"/>
        <v>#N/A</v>
      </c>
      <c r="AA465" s="134">
        <f ca="1">IFERROR(VLOOKUP(X465,'credit rating'!A:C,3,FALSE),0)</f>
        <v>0</v>
      </c>
      <c r="AB465" s="134">
        <f ca="1">IFERROR(VLOOKUP(Y465,'credit rating'!B:C,2,FALSE),0)</f>
        <v>0</v>
      </c>
      <c r="AC465" s="136">
        <f ca="1">IFERROR(VLOOKUP(Z465,'credit rating'!B:C,2,FALSE),0)</f>
        <v>0</v>
      </c>
      <c r="AD465" s="136">
        <f t="shared" ca="1" si="53"/>
        <v>0</v>
      </c>
      <c r="AE465" s="249" t="str">
        <f ca="1">IFERROR(VLOOKUP(B465,bond!B:U,20,FALSE),"")</f>
        <v/>
      </c>
      <c r="AF465" s="136" t="e">
        <f ca="1">IF(VLOOKUP(B465,bond!B:AK,36,FALSE)="#N/A Field Not Applicable","",VLOOKUP(B465,bond!B:AK,36,FALSE))</f>
        <v>#N/A</v>
      </c>
      <c r="AG465" s="136" t="e">
        <f ca="1">IF(VLOOKUP(B465,bond!B:AL,37,FALSE)="FIXED","固定",IF(VLOOKUP(B465,bond!B:AL,37,FALSE)="FLOATING","浮動",IF(VLOOKUP(B465,bond!B:AL,37,FALSE)="VARIABLE","變動",IF(VLOOKUP(B465,bond!B:AL,37,FALSE)="FLAT TRADING","不含息交易",IF(VLOOKUP(B465,bond!B:AL,37,FALSE)="ZERO COUPON","零息",VLOOKUP(B465,bond!B:AL,37,FALSE))))))</f>
        <v>#N/A</v>
      </c>
      <c r="AH465" s="136" t="e">
        <f>VLOOKUP(C465,'2_Check_code'!I:J,2,FALSE)</f>
        <v>#N/A</v>
      </c>
      <c r="AI465" s="136" t="e">
        <f t="shared" ca="1" si="54"/>
        <v>#N/A</v>
      </c>
      <c r="AJ465" s="136" t="e">
        <f t="shared" ca="1" si="55"/>
        <v>#N/A</v>
      </c>
      <c r="AK465" s="594" t="e">
        <f ca="1">IF(VLOOKUP(B465,bond!B:S,18,FALSE)="是","有",IF(VLOOKUP(B465,bond!B:S,18,FALSE)="NO OFFER","無","需查詢"))</f>
        <v>#N/A</v>
      </c>
      <c r="AL465" s="136" t="e">
        <f>IF(VLOOKUP(A465,bond!F:AR,39,FALSE)="#N/A Field Not Applicable",VLOOKUP(A465,bond!F:AR,38,FALSE),IFERROR(VLOOKUP(A465,'7_發行日例外'!A:B,2,FALSE),VLOOKUP(A465,bond!F:AR,39,FALSE)))</f>
        <v>#N/A</v>
      </c>
      <c r="AM465" s="136" t="e">
        <f ca="1">VLOOKUP(B465,bond!B:AK,36,FALSE)</f>
        <v>#N/A</v>
      </c>
      <c r="AN465" s="136" t="str">
        <f ca="1">IFERROR(VLOOKUP(B465,'3_是否下架'!A:A,1,FALSE),"")</f>
        <v/>
      </c>
      <c r="AO465" s="136" t="e">
        <f ca="1">VLOOKUP(B465,bond!B:J,9,FALSE)</f>
        <v>#N/A</v>
      </c>
      <c r="AP465" s="136" t="e">
        <f ca="1">VLOOKUP(B465,bond!B:V,21,FALSE)</f>
        <v>#N/A</v>
      </c>
    </row>
    <row r="466" spans="1:42">
      <c r="A466" s="141">
        <f>bond!F467</f>
        <v>0</v>
      </c>
      <c r="B466" s="151">
        <f ca="1">IF($C$1=TRUE,bond!B467,"")</f>
        <v>0</v>
      </c>
      <c r="C466" s="95" t="e">
        <f>VLOOKUP(A466,bond!F:G,2,FALSE)</f>
        <v>#N/A</v>
      </c>
      <c r="D466" s="142" t="e">
        <f ca="1">VLOOKUP(B466,bond!B:C,2,FALSE)</f>
        <v>#N/A</v>
      </c>
      <c r="E466" s="95" t="e">
        <f ca="1">VLOOKUP(B466,bond!B:D,3,FALSE)</f>
        <v>#N/A</v>
      </c>
      <c r="F466" s="99" t="e">
        <f ca="1">VLOOKUP(B466,bond!B:AB,27,FALSE)</f>
        <v>#N/A</v>
      </c>
      <c r="G466" s="90" t="e">
        <f ca="1">VLOOKUP(B466,bond!B:E,4,FALSE)</f>
        <v>#N/A</v>
      </c>
      <c r="H466" s="202" t="e">
        <f ca="1">VLOOKUP(B466,bond!B:Y,24,FALSE)</f>
        <v>#N/A</v>
      </c>
      <c r="I466" s="95" t="e">
        <f ca="1">VLOOKUP(B466,bond!B:Z,25,FALSE)</f>
        <v>#N/A</v>
      </c>
      <c r="J466" s="180" t="e">
        <f ca="1">VLOOKUP(B466,bond!B:K,10,FALSE)</f>
        <v>#N/A</v>
      </c>
      <c r="K466" s="96" t="e">
        <f ca="1">VLOOKUP($B466,bond!B:S,14,FALSE)</f>
        <v>#N/A</v>
      </c>
      <c r="L466" s="91" t="e">
        <f ca="1">VLOOKUP(B466,bond!B:H,7,FALSE)</f>
        <v>#N/A</v>
      </c>
      <c r="M466" s="144" t="e">
        <f ca="1">VLOOKUP($B466,bond!$B:$Q,16,FALSE)</f>
        <v>#N/A</v>
      </c>
      <c r="N466" s="136" t="e">
        <f ca="1">VALUE(LEFT(VLOOKUP(B466,bond!B:R,17,FALSE),SEARCH(" ",VLOOKUP(B466,bond!B:R,17,FALSE),1)))</f>
        <v>#N/A</v>
      </c>
      <c r="O466" s="136" t="e">
        <f ca="1">VALUE(RIGHT(VLOOKUP(B466,bond!B:R,17,FALSE),LEN(VLOOKUP(B466,bond!B:R,17,FALSE))-LEN(N466)-3))</f>
        <v>#N/A</v>
      </c>
      <c r="P466" s="135" t="e">
        <f ca="1">VLOOKUP($B466,bond!$B:$AG,32,FALSE)</f>
        <v>#N/A</v>
      </c>
      <c r="Q466" s="135" t="e">
        <f ca="1">VLOOKUP($B466,bond!$B:$AH,33,FALSE)</f>
        <v>#N/A</v>
      </c>
      <c r="R466" s="135" t="e">
        <f ca="1">VLOOKUP(B466,bond!B:AA,26,FALSE)</f>
        <v>#N/A</v>
      </c>
      <c r="S466" s="135" t="e">
        <f ca="1">VLOOKUP(B466,bond!B:AI,34,FALSE)</f>
        <v>#N/A</v>
      </c>
      <c r="T466" s="135" t="e">
        <f t="shared" ca="1" si="49"/>
        <v>#N/A</v>
      </c>
      <c r="U466" s="207" t="e">
        <f ca="1">IFERROR(VLOOKUP(T466,Bond_DES!D:E,2,FALSE),VLOOKUP(S466,bond!AI:AJ,2,FALSE))</f>
        <v>#N/A</v>
      </c>
      <c r="V466" s="136" t="e">
        <f ca="1">IFERROR(VLOOKUP(B466,'1_重設數據'!L:M,2,FALSE),IF(Q466="政府",IF(AD466&gt;16,"(NPI)非專投",IF(AD466&gt;10,"(PI)專投","高資產")),IF(VLOOKUP(B466,bond!B:AN,39,FALSE)="Y","(PI)專投",IF(AD466&gt;=15,"(NPI)非專投",IF(AD466&gt;=10,"(PI)專投","高資產")))))</f>
        <v>#N/A</v>
      </c>
      <c r="W466" s="136" t="e">
        <f ca="1">VLOOKUP(AD466,'credit rating'!$F$2:$H$22,3,FALSE)</f>
        <v>#N/A</v>
      </c>
      <c r="X466" s="136" t="e">
        <f t="shared" ca="1" si="50"/>
        <v>#N/A</v>
      </c>
      <c r="Y466" s="136" t="e">
        <f t="shared" ca="1" si="51"/>
        <v>#N/A</v>
      </c>
      <c r="Z466" s="136" t="e">
        <f t="shared" ca="1" si="52"/>
        <v>#N/A</v>
      </c>
      <c r="AA466" s="134">
        <f ca="1">IFERROR(VLOOKUP(X466,'credit rating'!A:C,3,FALSE),0)</f>
        <v>0</v>
      </c>
      <c r="AB466" s="134">
        <f ca="1">IFERROR(VLOOKUP(Y466,'credit rating'!B:C,2,FALSE),0)</f>
        <v>0</v>
      </c>
      <c r="AC466" s="136">
        <f ca="1">IFERROR(VLOOKUP(Z466,'credit rating'!B:C,2,FALSE),0)</f>
        <v>0</v>
      </c>
      <c r="AD466" s="136">
        <f t="shared" ca="1" si="53"/>
        <v>0</v>
      </c>
      <c r="AE466" s="249" t="str">
        <f ca="1">IFERROR(VLOOKUP(B466,bond!B:U,20,FALSE),"")</f>
        <v/>
      </c>
      <c r="AF466" s="136" t="e">
        <f ca="1">IF(VLOOKUP(B466,bond!B:AK,36,FALSE)="#N/A Field Not Applicable","",VLOOKUP(B466,bond!B:AK,36,FALSE))</f>
        <v>#N/A</v>
      </c>
      <c r="AG466" s="136" t="e">
        <f ca="1">IF(VLOOKUP(B466,bond!B:AL,37,FALSE)="FIXED","固定",IF(VLOOKUP(B466,bond!B:AL,37,FALSE)="FLOATING","浮動",IF(VLOOKUP(B466,bond!B:AL,37,FALSE)="VARIABLE","變動",IF(VLOOKUP(B466,bond!B:AL,37,FALSE)="FLAT TRADING","不含息交易",IF(VLOOKUP(B466,bond!B:AL,37,FALSE)="ZERO COUPON","零息",VLOOKUP(B466,bond!B:AL,37,FALSE))))))</f>
        <v>#N/A</v>
      </c>
      <c r="AH466" s="136" t="e">
        <f>VLOOKUP(C466,'2_Check_code'!I:J,2,FALSE)</f>
        <v>#N/A</v>
      </c>
      <c r="AI466" s="136" t="e">
        <f t="shared" ca="1" si="54"/>
        <v>#N/A</v>
      </c>
      <c r="AJ466" s="136" t="e">
        <f t="shared" ca="1" si="55"/>
        <v>#N/A</v>
      </c>
      <c r="AK466" s="594" t="e">
        <f ca="1">IF(VLOOKUP(B466,bond!B:S,18,FALSE)="是","有",IF(VLOOKUP(B466,bond!B:S,18,FALSE)="NO OFFER","無","需查詢"))</f>
        <v>#N/A</v>
      </c>
      <c r="AL466" s="136" t="e">
        <f>IF(VLOOKUP(A466,bond!F:AR,39,FALSE)="#N/A Field Not Applicable",VLOOKUP(A466,bond!F:AR,38,FALSE),IFERROR(VLOOKUP(A466,'7_發行日例外'!A:B,2,FALSE),VLOOKUP(A466,bond!F:AR,39,FALSE)))</f>
        <v>#N/A</v>
      </c>
      <c r="AM466" s="136" t="e">
        <f ca="1">VLOOKUP(B466,bond!B:AK,36,FALSE)</f>
        <v>#N/A</v>
      </c>
      <c r="AN466" s="136" t="str">
        <f ca="1">IFERROR(VLOOKUP(B466,'3_是否下架'!A:A,1,FALSE),"")</f>
        <v/>
      </c>
      <c r="AO466" s="136" t="e">
        <f ca="1">VLOOKUP(B466,bond!B:J,9,FALSE)</f>
        <v>#N/A</v>
      </c>
      <c r="AP466" s="136" t="e">
        <f ca="1">VLOOKUP(B466,bond!B:V,21,FALSE)</f>
        <v>#N/A</v>
      </c>
    </row>
    <row r="467" spans="1:42">
      <c r="A467" s="141">
        <f>bond!F468</f>
        <v>0</v>
      </c>
      <c r="B467" s="151">
        <f ca="1">IF($C$1=TRUE,bond!B468,"")</f>
        <v>0</v>
      </c>
      <c r="C467" s="95" t="e">
        <f>VLOOKUP(A467,bond!F:G,2,FALSE)</f>
        <v>#N/A</v>
      </c>
      <c r="D467" s="142" t="e">
        <f ca="1">VLOOKUP(B467,bond!B:C,2,FALSE)</f>
        <v>#N/A</v>
      </c>
      <c r="E467" s="95" t="e">
        <f ca="1">VLOOKUP(B467,bond!B:D,3,FALSE)</f>
        <v>#N/A</v>
      </c>
      <c r="F467" s="99" t="e">
        <f ca="1">VLOOKUP(B467,bond!B:AB,27,FALSE)</f>
        <v>#N/A</v>
      </c>
      <c r="G467" s="90" t="e">
        <f ca="1">VLOOKUP(B467,bond!B:E,4,FALSE)</f>
        <v>#N/A</v>
      </c>
      <c r="H467" s="202" t="e">
        <f ca="1">VLOOKUP(B467,bond!B:Y,24,FALSE)</f>
        <v>#N/A</v>
      </c>
      <c r="I467" s="95" t="e">
        <f ca="1">VLOOKUP(B467,bond!B:Z,25,FALSE)</f>
        <v>#N/A</v>
      </c>
      <c r="J467" s="180" t="e">
        <f ca="1">VLOOKUP(B467,bond!B:K,10,FALSE)</f>
        <v>#N/A</v>
      </c>
      <c r="K467" s="96" t="e">
        <f ca="1">VLOOKUP($B467,bond!B:S,14,FALSE)</f>
        <v>#N/A</v>
      </c>
      <c r="L467" s="91" t="e">
        <f ca="1">VLOOKUP(B467,bond!B:H,7,FALSE)</f>
        <v>#N/A</v>
      </c>
      <c r="M467" s="144" t="e">
        <f ca="1">VLOOKUP($B467,bond!$B:$Q,16,FALSE)</f>
        <v>#N/A</v>
      </c>
      <c r="N467" s="136" t="e">
        <f ca="1">VALUE(LEFT(VLOOKUP(B467,bond!B:R,17,FALSE),SEARCH(" ",VLOOKUP(B467,bond!B:R,17,FALSE),1)))</f>
        <v>#N/A</v>
      </c>
      <c r="O467" s="136" t="e">
        <f ca="1">VALUE(RIGHT(VLOOKUP(B467,bond!B:R,17,FALSE),LEN(VLOOKUP(B467,bond!B:R,17,FALSE))-LEN(N467)-3))</f>
        <v>#N/A</v>
      </c>
      <c r="P467" s="135" t="e">
        <f ca="1">VLOOKUP($B467,bond!$B:$AG,32,FALSE)</f>
        <v>#N/A</v>
      </c>
      <c r="Q467" s="135" t="e">
        <f ca="1">VLOOKUP($B467,bond!$B:$AH,33,FALSE)</f>
        <v>#N/A</v>
      </c>
      <c r="R467" s="135" t="e">
        <f ca="1">VLOOKUP(B467,bond!B:AA,26,FALSE)</f>
        <v>#N/A</v>
      </c>
      <c r="S467" s="135" t="e">
        <f ca="1">VLOOKUP(B467,bond!B:AI,34,FALSE)</f>
        <v>#N/A</v>
      </c>
      <c r="T467" s="135" t="e">
        <f t="shared" ca="1" si="49"/>
        <v>#N/A</v>
      </c>
      <c r="U467" s="207" t="e">
        <f ca="1">IFERROR(VLOOKUP(T467,Bond_DES!D:E,2,FALSE),VLOOKUP(S467,bond!AI:AJ,2,FALSE))</f>
        <v>#N/A</v>
      </c>
      <c r="V467" s="136" t="e">
        <f ca="1">IFERROR(VLOOKUP(B467,'1_重設數據'!L:M,2,FALSE),IF(Q467="政府",IF(AD467&gt;16,"(NPI)非專投",IF(AD467&gt;10,"(PI)專投","高資產")),IF(VLOOKUP(B467,bond!B:AN,39,FALSE)="Y","(PI)專投",IF(AD467&gt;=15,"(NPI)非專投",IF(AD467&gt;=10,"(PI)專投","高資產")))))</f>
        <v>#N/A</v>
      </c>
      <c r="W467" s="136" t="e">
        <f ca="1">VLOOKUP(AD467,'credit rating'!$F$2:$H$22,3,FALSE)</f>
        <v>#N/A</v>
      </c>
      <c r="X467" s="136" t="e">
        <f t="shared" ca="1" si="50"/>
        <v>#N/A</v>
      </c>
      <c r="Y467" s="136" t="e">
        <f t="shared" ca="1" si="51"/>
        <v>#N/A</v>
      </c>
      <c r="Z467" s="136" t="e">
        <f t="shared" ca="1" si="52"/>
        <v>#N/A</v>
      </c>
      <c r="AA467" s="134">
        <f ca="1">IFERROR(VLOOKUP(X467,'credit rating'!A:C,3,FALSE),0)</f>
        <v>0</v>
      </c>
      <c r="AB467" s="134">
        <f ca="1">IFERROR(VLOOKUP(Y467,'credit rating'!B:C,2,FALSE),0)</f>
        <v>0</v>
      </c>
      <c r="AC467" s="136">
        <f ca="1">IFERROR(VLOOKUP(Z467,'credit rating'!B:C,2,FALSE),0)</f>
        <v>0</v>
      </c>
      <c r="AD467" s="136">
        <f t="shared" ca="1" si="53"/>
        <v>0</v>
      </c>
      <c r="AE467" s="249" t="str">
        <f ca="1">IFERROR(VLOOKUP(B467,bond!B:U,20,FALSE),"")</f>
        <v/>
      </c>
      <c r="AF467" s="136" t="e">
        <f ca="1">IF(VLOOKUP(B467,bond!B:AK,36,FALSE)="#N/A Field Not Applicable","",VLOOKUP(B467,bond!B:AK,36,FALSE))</f>
        <v>#N/A</v>
      </c>
      <c r="AG467" s="136" t="e">
        <f ca="1">IF(VLOOKUP(B467,bond!B:AL,37,FALSE)="FIXED","固定",IF(VLOOKUP(B467,bond!B:AL,37,FALSE)="FLOATING","浮動",IF(VLOOKUP(B467,bond!B:AL,37,FALSE)="VARIABLE","變動",IF(VLOOKUP(B467,bond!B:AL,37,FALSE)="FLAT TRADING","不含息交易",IF(VLOOKUP(B467,bond!B:AL,37,FALSE)="ZERO COUPON","零息",VLOOKUP(B467,bond!B:AL,37,FALSE))))))</f>
        <v>#N/A</v>
      </c>
      <c r="AH467" s="136" t="e">
        <f>VLOOKUP(C467,'2_Check_code'!I:J,2,FALSE)</f>
        <v>#N/A</v>
      </c>
      <c r="AI467" s="136" t="e">
        <f t="shared" ca="1" si="54"/>
        <v>#N/A</v>
      </c>
      <c r="AJ467" s="136" t="e">
        <f t="shared" ca="1" si="55"/>
        <v>#N/A</v>
      </c>
      <c r="AK467" s="594" t="e">
        <f ca="1">IF(VLOOKUP(B467,bond!B:S,18,FALSE)="是","有",IF(VLOOKUP(B467,bond!B:S,18,FALSE)="NO OFFER","無","需查詢"))</f>
        <v>#N/A</v>
      </c>
      <c r="AL467" s="136" t="e">
        <f>IF(VLOOKUP(A467,bond!F:AR,39,FALSE)="#N/A Field Not Applicable",VLOOKUP(A467,bond!F:AR,38,FALSE),IFERROR(VLOOKUP(A467,'7_發行日例外'!A:B,2,FALSE),VLOOKUP(A467,bond!F:AR,39,FALSE)))</f>
        <v>#N/A</v>
      </c>
      <c r="AM467" s="136" t="e">
        <f ca="1">VLOOKUP(B467,bond!B:AK,36,FALSE)</f>
        <v>#N/A</v>
      </c>
      <c r="AN467" s="136" t="str">
        <f ca="1">IFERROR(VLOOKUP(B467,'3_是否下架'!A:A,1,FALSE),"")</f>
        <v/>
      </c>
      <c r="AO467" s="136" t="e">
        <f ca="1">VLOOKUP(B467,bond!B:J,9,FALSE)</f>
        <v>#N/A</v>
      </c>
      <c r="AP467" s="136" t="e">
        <f ca="1">VLOOKUP(B467,bond!B:V,21,FALSE)</f>
        <v>#N/A</v>
      </c>
    </row>
    <row r="468" spans="1:42">
      <c r="A468" s="141">
        <f>bond!F469</f>
        <v>0</v>
      </c>
      <c r="B468" s="151">
        <f ca="1">IF($C$1=TRUE,bond!B469,"")</f>
        <v>0</v>
      </c>
      <c r="C468" s="95" t="e">
        <f>VLOOKUP(A468,bond!F:G,2,FALSE)</f>
        <v>#N/A</v>
      </c>
      <c r="D468" s="142" t="e">
        <f ca="1">VLOOKUP(B468,bond!B:C,2,FALSE)</f>
        <v>#N/A</v>
      </c>
      <c r="E468" s="95" t="e">
        <f ca="1">VLOOKUP(B468,bond!B:D,3,FALSE)</f>
        <v>#N/A</v>
      </c>
      <c r="F468" s="99" t="e">
        <f ca="1">VLOOKUP(B468,bond!B:AB,27,FALSE)</f>
        <v>#N/A</v>
      </c>
      <c r="G468" s="90" t="e">
        <f ca="1">VLOOKUP(B468,bond!B:E,4,FALSE)</f>
        <v>#N/A</v>
      </c>
      <c r="H468" s="202" t="e">
        <f ca="1">VLOOKUP(B468,bond!B:Y,24,FALSE)</f>
        <v>#N/A</v>
      </c>
      <c r="I468" s="95" t="e">
        <f ca="1">VLOOKUP(B468,bond!B:Z,25,FALSE)</f>
        <v>#N/A</v>
      </c>
      <c r="J468" s="180" t="e">
        <f ca="1">VLOOKUP(B468,bond!B:K,10,FALSE)</f>
        <v>#N/A</v>
      </c>
      <c r="K468" s="96" t="e">
        <f ca="1">VLOOKUP($B468,bond!B:S,14,FALSE)</f>
        <v>#N/A</v>
      </c>
      <c r="L468" s="91" t="e">
        <f ca="1">VLOOKUP(B468,bond!B:H,7,FALSE)</f>
        <v>#N/A</v>
      </c>
      <c r="M468" s="144" t="e">
        <f ca="1">VLOOKUP($B468,bond!$B:$Q,16,FALSE)</f>
        <v>#N/A</v>
      </c>
      <c r="N468" s="136" t="e">
        <f ca="1">VALUE(LEFT(VLOOKUP(B468,bond!B:R,17,FALSE),SEARCH(" ",VLOOKUP(B468,bond!B:R,17,FALSE),1)))</f>
        <v>#N/A</v>
      </c>
      <c r="O468" s="136" t="e">
        <f ca="1">VALUE(RIGHT(VLOOKUP(B468,bond!B:R,17,FALSE),LEN(VLOOKUP(B468,bond!B:R,17,FALSE))-LEN(N468)-3))</f>
        <v>#N/A</v>
      </c>
      <c r="P468" s="135" t="e">
        <f ca="1">VLOOKUP($B468,bond!$B:$AG,32,FALSE)</f>
        <v>#N/A</v>
      </c>
      <c r="Q468" s="135" t="e">
        <f ca="1">VLOOKUP($B468,bond!$B:$AH,33,FALSE)</f>
        <v>#N/A</v>
      </c>
      <c r="R468" s="135" t="e">
        <f ca="1">VLOOKUP(B468,bond!B:AA,26,FALSE)</f>
        <v>#N/A</v>
      </c>
      <c r="S468" s="135" t="e">
        <f ca="1">VLOOKUP(B468,bond!B:AI,34,FALSE)</f>
        <v>#N/A</v>
      </c>
      <c r="T468" s="135" t="e">
        <f t="shared" ca="1" si="49"/>
        <v>#N/A</v>
      </c>
      <c r="U468" s="207" t="e">
        <f ca="1">IFERROR(VLOOKUP(T468,Bond_DES!D:E,2,FALSE),VLOOKUP(S468,bond!AI:AJ,2,FALSE))</f>
        <v>#N/A</v>
      </c>
      <c r="V468" s="136" t="e">
        <f ca="1">IFERROR(VLOOKUP(B468,'1_重設數據'!L:M,2,FALSE),IF(Q468="政府",IF(AD468&gt;16,"(NPI)非專投",IF(AD468&gt;10,"(PI)專投","高資產")),IF(VLOOKUP(B468,bond!B:AN,39,FALSE)="Y","(PI)專投",IF(AD468&gt;=15,"(NPI)非專投",IF(AD468&gt;=10,"(PI)專投","高資產")))))</f>
        <v>#N/A</v>
      </c>
      <c r="W468" s="136" t="e">
        <f ca="1">VLOOKUP(AD468,'credit rating'!$F$2:$H$22,3,FALSE)</f>
        <v>#N/A</v>
      </c>
      <c r="X468" s="136" t="e">
        <f t="shared" ca="1" si="50"/>
        <v>#N/A</v>
      </c>
      <c r="Y468" s="136" t="e">
        <f t="shared" ca="1" si="51"/>
        <v>#N/A</v>
      </c>
      <c r="Z468" s="136" t="e">
        <f t="shared" ca="1" si="52"/>
        <v>#N/A</v>
      </c>
      <c r="AA468" s="134">
        <f ca="1">IFERROR(VLOOKUP(X468,'credit rating'!A:C,3,FALSE),0)</f>
        <v>0</v>
      </c>
      <c r="AB468" s="134">
        <f ca="1">IFERROR(VLOOKUP(Y468,'credit rating'!B:C,2,FALSE),0)</f>
        <v>0</v>
      </c>
      <c r="AC468" s="136">
        <f ca="1">IFERROR(VLOOKUP(Z468,'credit rating'!B:C,2,FALSE),0)</f>
        <v>0</v>
      </c>
      <c r="AD468" s="136">
        <f t="shared" ca="1" si="53"/>
        <v>0</v>
      </c>
      <c r="AE468" s="249" t="str">
        <f ca="1">IFERROR(VLOOKUP(B468,bond!B:U,20,FALSE),"")</f>
        <v/>
      </c>
      <c r="AF468" s="136" t="e">
        <f ca="1">IF(VLOOKUP(B468,bond!B:AK,36,FALSE)="#N/A Field Not Applicable","",VLOOKUP(B468,bond!B:AK,36,FALSE))</f>
        <v>#N/A</v>
      </c>
      <c r="AG468" s="136" t="e">
        <f ca="1">IF(VLOOKUP(B468,bond!B:AL,37,FALSE)="FIXED","固定",IF(VLOOKUP(B468,bond!B:AL,37,FALSE)="FLOATING","浮動",IF(VLOOKUP(B468,bond!B:AL,37,FALSE)="VARIABLE","變動",IF(VLOOKUP(B468,bond!B:AL,37,FALSE)="FLAT TRADING","不含息交易",IF(VLOOKUP(B468,bond!B:AL,37,FALSE)="ZERO COUPON","零息",VLOOKUP(B468,bond!B:AL,37,FALSE))))))</f>
        <v>#N/A</v>
      </c>
      <c r="AH468" s="136" t="e">
        <f>VLOOKUP(C468,'2_Check_code'!I:J,2,FALSE)</f>
        <v>#N/A</v>
      </c>
      <c r="AI468" s="136" t="e">
        <f t="shared" ca="1" si="54"/>
        <v>#N/A</v>
      </c>
      <c r="AJ468" s="136" t="e">
        <f t="shared" ca="1" si="55"/>
        <v>#N/A</v>
      </c>
      <c r="AK468" s="594" t="e">
        <f ca="1">IF(VLOOKUP(B468,bond!B:S,18,FALSE)="是","有",IF(VLOOKUP(B468,bond!B:S,18,FALSE)="NO OFFER","無","需查詢"))</f>
        <v>#N/A</v>
      </c>
      <c r="AL468" s="136" t="e">
        <f>IF(VLOOKUP(A468,bond!F:AR,39,FALSE)="#N/A Field Not Applicable",VLOOKUP(A468,bond!F:AR,38,FALSE),IFERROR(VLOOKUP(A468,'7_發行日例外'!A:B,2,FALSE),VLOOKUP(A468,bond!F:AR,39,FALSE)))</f>
        <v>#N/A</v>
      </c>
      <c r="AM468" s="136" t="e">
        <f ca="1">VLOOKUP(B468,bond!B:AK,36,FALSE)</f>
        <v>#N/A</v>
      </c>
      <c r="AN468" s="136" t="str">
        <f ca="1">IFERROR(VLOOKUP(B468,'3_是否下架'!A:A,1,FALSE),"")</f>
        <v/>
      </c>
      <c r="AO468" s="136" t="e">
        <f ca="1">VLOOKUP(B468,bond!B:J,9,FALSE)</f>
        <v>#N/A</v>
      </c>
      <c r="AP468" s="136" t="e">
        <f ca="1">VLOOKUP(B468,bond!B:V,21,FALSE)</f>
        <v>#N/A</v>
      </c>
    </row>
    <row r="469" spans="1:42">
      <c r="A469" s="141">
        <f>bond!F470</f>
        <v>0</v>
      </c>
      <c r="B469" s="151">
        <f ca="1">IF($C$1=TRUE,bond!B470,"")</f>
        <v>0</v>
      </c>
      <c r="C469" s="95" t="e">
        <f>VLOOKUP(A469,bond!F:G,2,FALSE)</f>
        <v>#N/A</v>
      </c>
      <c r="D469" s="142" t="e">
        <f ca="1">VLOOKUP(B469,bond!B:C,2,FALSE)</f>
        <v>#N/A</v>
      </c>
      <c r="E469" s="95" t="e">
        <f ca="1">VLOOKUP(B469,bond!B:D,3,FALSE)</f>
        <v>#N/A</v>
      </c>
      <c r="F469" s="99" t="e">
        <f ca="1">VLOOKUP(B469,bond!B:AB,27,FALSE)</f>
        <v>#N/A</v>
      </c>
      <c r="G469" s="90" t="e">
        <f ca="1">VLOOKUP(B469,bond!B:E,4,FALSE)</f>
        <v>#N/A</v>
      </c>
      <c r="H469" s="202" t="e">
        <f ca="1">VLOOKUP(B469,bond!B:Y,24,FALSE)</f>
        <v>#N/A</v>
      </c>
      <c r="I469" s="95" t="e">
        <f ca="1">VLOOKUP(B469,bond!B:Z,25,FALSE)</f>
        <v>#N/A</v>
      </c>
      <c r="J469" s="180" t="e">
        <f ca="1">VLOOKUP(B469,bond!B:K,10,FALSE)</f>
        <v>#N/A</v>
      </c>
      <c r="K469" s="96" t="e">
        <f ca="1">VLOOKUP($B469,bond!B:S,14,FALSE)</f>
        <v>#N/A</v>
      </c>
      <c r="L469" s="91" t="e">
        <f ca="1">VLOOKUP(B469,bond!B:H,7,FALSE)</f>
        <v>#N/A</v>
      </c>
      <c r="M469" s="144" t="e">
        <f ca="1">VLOOKUP($B469,bond!$B:$Q,16,FALSE)</f>
        <v>#N/A</v>
      </c>
      <c r="N469" s="136" t="e">
        <f ca="1">VALUE(LEFT(VLOOKUP(B469,bond!B:R,17,FALSE),SEARCH(" ",VLOOKUP(B469,bond!B:R,17,FALSE),1)))</f>
        <v>#N/A</v>
      </c>
      <c r="O469" s="136" t="e">
        <f ca="1">VALUE(RIGHT(VLOOKUP(B469,bond!B:R,17,FALSE),LEN(VLOOKUP(B469,bond!B:R,17,FALSE))-LEN(N469)-3))</f>
        <v>#N/A</v>
      </c>
      <c r="P469" s="135" t="e">
        <f ca="1">VLOOKUP($B469,bond!$B:$AG,32,FALSE)</f>
        <v>#N/A</v>
      </c>
      <c r="Q469" s="135" t="e">
        <f ca="1">VLOOKUP($B469,bond!$B:$AH,33,FALSE)</f>
        <v>#N/A</v>
      </c>
      <c r="R469" s="135" t="e">
        <f ca="1">VLOOKUP(B469,bond!B:AA,26,FALSE)</f>
        <v>#N/A</v>
      </c>
      <c r="S469" s="135" t="e">
        <f ca="1">VLOOKUP(B469,bond!B:AI,34,FALSE)</f>
        <v>#N/A</v>
      </c>
      <c r="T469" s="135" t="e">
        <f t="shared" ca="1" si="49"/>
        <v>#N/A</v>
      </c>
      <c r="U469" s="207" t="e">
        <f ca="1">IFERROR(VLOOKUP(T469,Bond_DES!D:E,2,FALSE),VLOOKUP(S469,bond!AI:AJ,2,FALSE))</f>
        <v>#N/A</v>
      </c>
      <c r="V469" s="136" t="e">
        <f ca="1">IFERROR(VLOOKUP(B469,'1_重設數據'!L:M,2,FALSE),IF(Q469="政府",IF(AD469&gt;16,"(NPI)非專投",IF(AD469&gt;10,"(PI)專投","高資產")),IF(VLOOKUP(B469,bond!B:AN,39,FALSE)="Y","(PI)專投",IF(AD469&gt;=15,"(NPI)非專投",IF(AD469&gt;=10,"(PI)專投","高資產")))))</f>
        <v>#N/A</v>
      </c>
      <c r="W469" s="136" t="e">
        <f ca="1">VLOOKUP(AD469,'credit rating'!$F$2:$H$22,3,FALSE)</f>
        <v>#N/A</v>
      </c>
      <c r="X469" s="136" t="e">
        <f t="shared" ca="1" si="50"/>
        <v>#N/A</v>
      </c>
      <c r="Y469" s="136" t="e">
        <f t="shared" ca="1" si="51"/>
        <v>#N/A</v>
      </c>
      <c r="Z469" s="136" t="e">
        <f t="shared" ca="1" si="52"/>
        <v>#N/A</v>
      </c>
      <c r="AA469" s="134">
        <f ca="1">IFERROR(VLOOKUP(X469,'credit rating'!A:C,3,FALSE),0)</f>
        <v>0</v>
      </c>
      <c r="AB469" s="134">
        <f ca="1">IFERROR(VLOOKUP(Y469,'credit rating'!B:C,2,FALSE),0)</f>
        <v>0</v>
      </c>
      <c r="AC469" s="136">
        <f ca="1">IFERROR(VLOOKUP(Z469,'credit rating'!B:C,2,FALSE),0)</f>
        <v>0</v>
      </c>
      <c r="AD469" s="136">
        <f t="shared" ca="1" si="53"/>
        <v>0</v>
      </c>
      <c r="AE469" s="249" t="str">
        <f ca="1">IFERROR(VLOOKUP(B469,bond!B:U,20,FALSE),"")</f>
        <v/>
      </c>
      <c r="AF469" s="136" t="e">
        <f ca="1">IF(VLOOKUP(B469,bond!B:AK,36,FALSE)="#N/A Field Not Applicable","",VLOOKUP(B469,bond!B:AK,36,FALSE))</f>
        <v>#N/A</v>
      </c>
      <c r="AG469" s="136" t="e">
        <f ca="1">IF(VLOOKUP(B469,bond!B:AL,37,FALSE)="FIXED","固定",IF(VLOOKUP(B469,bond!B:AL,37,FALSE)="FLOATING","浮動",IF(VLOOKUP(B469,bond!B:AL,37,FALSE)="VARIABLE","變動",IF(VLOOKUP(B469,bond!B:AL,37,FALSE)="FLAT TRADING","不含息交易",IF(VLOOKUP(B469,bond!B:AL,37,FALSE)="ZERO COUPON","零息",VLOOKUP(B469,bond!B:AL,37,FALSE))))))</f>
        <v>#N/A</v>
      </c>
      <c r="AH469" s="136" t="e">
        <f>VLOOKUP(C469,'2_Check_code'!I:J,2,FALSE)</f>
        <v>#N/A</v>
      </c>
      <c r="AI469" s="136" t="e">
        <f t="shared" ca="1" si="54"/>
        <v>#N/A</v>
      </c>
      <c r="AJ469" s="136" t="e">
        <f t="shared" ca="1" si="55"/>
        <v>#N/A</v>
      </c>
      <c r="AK469" s="594" t="e">
        <f ca="1">IF(VLOOKUP(B469,bond!B:S,18,FALSE)="是","有",IF(VLOOKUP(B469,bond!B:S,18,FALSE)="NO OFFER","無","需查詢"))</f>
        <v>#N/A</v>
      </c>
      <c r="AL469" s="136" t="e">
        <f>IF(VLOOKUP(A469,bond!F:AR,39,FALSE)="#N/A Field Not Applicable",VLOOKUP(A469,bond!F:AR,38,FALSE),IFERROR(VLOOKUP(A469,'7_發行日例外'!A:B,2,FALSE),VLOOKUP(A469,bond!F:AR,39,FALSE)))</f>
        <v>#N/A</v>
      </c>
      <c r="AM469" s="136" t="e">
        <f ca="1">VLOOKUP(B469,bond!B:AK,36,FALSE)</f>
        <v>#N/A</v>
      </c>
      <c r="AN469" s="136" t="str">
        <f ca="1">IFERROR(VLOOKUP(B469,'3_是否下架'!A:A,1,FALSE),"")</f>
        <v/>
      </c>
      <c r="AO469" s="136" t="e">
        <f ca="1">VLOOKUP(B469,bond!B:J,9,FALSE)</f>
        <v>#N/A</v>
      </c>
      <c r="AP469" s="136" t="e">
        <f ca="1">VLOOKUP(B469,bond!B:V,21,FALSE)</f>
        <v>#N/A</v>
      </c>
    </row>
    <row r="470" spans="1:42">
      <c r="A470" s="141">
        <f>bond!F471</f>
        <v>0</v>
      </c>
      <c r="B470" s="151">
        <f ca="1">IF($C$1=TRUE,bond!B471,"")</f>
        <v>0</v>
      </c>
      <c r="C470" s="95" t="e">
        <f>VLOOKUP(A470,bond!F:G,2,FALSE)</f>
        <v>#N/A</v>
      </c>
      <c r="D470" s="142" t="e">
        <f ca="1">VLOOKUP(B470,bond!B:C,2,FALSE)</f>
        <v>#N/A</v>
      </c>
      <c r="E470" s="95" t="e">
        <f ca="1">VLOOKUP(B470,bond!B:D,3,FALSE)</f>
        <v>#N/A</v>
      </c>
      <c r="F470" s="99" t="e">
        <f ca="1">VLOOKUP(B470,bond!B:AB,27,FALSE)</f>
        <v>#N/A</v>
      </c>
      <c r="G470" s="90" t="e">
        <f ca="1">VLOOKUP(B470,bond!B:E,4,FALSE)</f>
        <v>#N/A</v>
      </c>
      <c r="H470" s="202" t="e">
        <f ca="1">VLOOKUP(B470,bond!B:Y,24,FALSE)</f>
        <v>#N/A</v>
      </c>
      <c r="I470" s="95" t="e">
        <f ca="1">VLOOKUP(B470,bond!B:Z,25,FALSE)</f>
        <v>#N/A</v>
      </c>
      <c r="J470" s="180" t="e">
        <f ca="1">VLOOKUP(B470,bond!B:K,10,FALSE)</f>
        <v>#N/A</v>
      </c>
      <c r="K470" s="96" t="e">
        <f ca="1">VLOOKUP($B470,bond!B:S,14,FALSE)</f>
        <v>#N/A</v>
      </c>
      <c r="L470" s="91" t="e">
        <f ca="1">VLOOKUP(B470,bond!B:H,7,FALSE)</f>
        <v>#N/A</v>
      </c>
      <c r="M470" s="144" t="e">
        <f ca="1">VLOOKUP($B470,bond!$B:$Q,16,FALSE)</f>
        <v>#N/A</v>
      </c>
      <c r="N470" s="136" t="e">
        <f ca="1">VALUE(LEFT(VLOOKUP(B470,bond!B:R,17,FALSE),SEARCH(" ",VLOOKUP(B470,bond!B:R,17,FALSE),1)))</f>
        <v>#N/A</v>
      </c>
      <c r="O470" s="136" t="e">
        <f ca="1">VALUE(RIGHT(VLOOKUP(B470,bond!B:R,17,FALSE),LEN(VLOOKUP(B470,bond!B:R,17,FALSE))-LEN(N470)-3))</f>
        <v>#N/A</v>
      </c>
      <c r="P470" s="135" t="e">
        <f ca="1">VLOOKUP($B470,bond!$B:$AG,32,FALSE)</f>
        <v>#N/A</v>
      </c>
      <c r="Q470" s="135" t="e">
        <f ca="1">VLOOKUP($B470,bond!$B:$AH,33,FALSE)</f>
        <v>#N/A</v>
      </c>
      <c r="R470" s="135" t="e">
        <f ca="1">VLOOKUP(B470,bond!B:AA,26,FALSE)</f>
        <v>#N/A</v>
      </c>
      <c r="S470" s="135" t="e">
        <f ca="1">VLOOKUP(B470,bond!B:AI,34,FALSE)</f>
        <v>#N/A</v>
      </c>
      <c r="T470" s="135" t="e">
        <f t="shared" ca="1" si="49"/>
        <v>#N/A</v>
      </c>
      <c r="U470" s="207" t="e">
        <f ca="1">IFERROR(VLOOKUP(T470,Bond_DES!D:E,2,FALSE),VLOOKUP(S470,bond!AI:AJ,2,FALSE))</f>
        <v>#N/A</v>
      </c>
      <c r="V470" s="136" t="e">
        <f ca="1">IFERROR(VLOOKUP(B470,'1_重設數據'!L:M,2,FALSE),IF(Q470="政府",IF(AD470&gt;16,"(NPI)非專投",IF(AD470&gt;10,"(PI)專投","高資產")),IF(VLOOKUP(B470,bond!B:AN,39,FALSE)="Y","(PI)專投",IF(AD470&gt;=15,"(NPI)非專投",IF(AD470&gt;=10,"(PI)專投","高資產")))))</f>
        <v>#N/A</v>
      </c>
      <c r="W470" s="136" t="e">
        <f ca="1">VLOOKUP(AD470,'credit rating'!$F$2:$H$22,3,FALSE)</f>
        <v>#N/A</v>
      </c>
      <c r="X470" s="136" t="e">
        <f t="shared" ca="1" si="50"/>
        <v>#N/A</v>
      </c>
      <c r="Y470" s="136" t="e">
        <f t="shared" ca="1" si="51"/>
        <v>#N/A</v>
      </c>
      <c r="Z470" s="136" t="e">
        <f t="shared" ca="1" si="52"/>
        <v>#N/A</v>
      </c>
      <c r="AA470" s="134">
        <f ca="1">IFERROR(VLOOKUP(X470,'credit rating'!A:C,3,FALSE),0)</f>
        <v>0</v>
      </c>
      <c r="AB470" s="134">
        <f ca="1">IFERROR(VLOOKUP(Y470,'credit rating'!B:C,2,FALSE),0)</f>
        <v>0</v>
      </c>
      <c r="AC470" s="136">
        <f ca="1">IFERROR(VLOOKUP(Z470,'credit rating'!B:C,2,FALSE),0)</f>
        <v>0</v>
      </c>
      <c r="AD470" s="136">
        <f t="shared" ca="1" si="53"/>
        <v>0</v>
      </c>
      <c r="AE470" s="249" t="str">
        <f ca="1">IFERROR(VLOOKUP(B470,bond!B:U,20,FALSE),"")</f>
        <v/>
      </c>
      <c r="AF470" s="136" t="e">
        <f ca="1">IF(VLOOKUP(B470,bond!B:AK,36,FALSE)="#N/A Field Not Applicable","",VLOOKUP(B470,bond!B:AK,36,FALSE))</f>
        <v>#N/A</v>
      </c>
      <c r="AG470" s="136" t="e">
        <f ca="1">IF(VLOOKUP(B470,bond!B:AL,37,FALSE)="FIXED","固定",IF(VLOOKUP(B470,bond!B:AL,37,FALSE)="FLOATING","浮動",IF(VLOOKUP(B470,bond!B:AL,37,FALSE)="VARIABLE","變動",IF(VLOOKUP(B470,bond!B:AL,37,FALSE)="FLAT TRADING","不含息交易",IF(VLOOKUP(B470,bond!B:AL,37,FALSE)="ZERO COUPON","零息",VLOOKUP(B470,bond!B:AL,37,FALSE))))))</f>
        <v>#N/A</v>
      </c>
      <c r="AH470" s="136" t="e">
        <f>VLOOKUP(C470,'2_Check_code'!I:J,2,FALSE)</f>
        <v>#N/A</v>
      </c>
      <c r="AI470" s="136" t="e">
        <f t="shared" ca="1" si="54"/>
        <v>#N/A</v>
      </c>
      <c r="AJ470" s="136" t="e">
        <f t="shared" ca="1" si="55"/>
        <v>#N/A</v>
      </c>
      <c r="AK470" s="594" t="e">
        <f ca="1">IF(VLOOKUP(B470,bond!B:S,18,FALSE)="是","有",IF(VLOOKUP(B470,bond!B:S,18,FALSE)="NO OFFER","無","需查詢"))</f>
        <v>#N/A</v>
      </c>
      <c r="AL470" s="136" t="e">
        <f>IF(VLOOKUP(A470,bond!F:AR,39,FALSE)="#N/A Field Not Applicable",VLOOKUP(A470,bond!F:AR,38,FALSE),IFERROR(VLOOKUP(A470,'7_發行日例外'!A:B,2,FALSE),VLOOKUP(A470,bond!F:AR,39,FALSE)))</f>
        <v>#N/A</v>
      </c>
      <c r="AM470" s="136" t="e">
        <f ca="1">VLOOKUP(B470,bond!B:AK,36,FALSE)</f>
        <v>#N/A</v>
      </c>
      <c r="AN470" s="136" t="str">
        <f ca="1">IFERROR(VLOOKUP(B470,'3_是否下架'!A:A,1,FALSE),"")</f>
        <v/>
      </c>
      <c r="AO470" s="136" t="e">
        <f ca="1">VLOOKUP(B470,bond!B:J,9,FALSE)</f>
        <v>#N/A</v>
      </c>
      <c r="AP470" s="136" t="e">
        <f ca="1">VLOOKUP(B470,bond!B:V,21,FALSE)</f>
        <v>#N/A</v>
      </c>
    </row>
    <row r="471" spans="1:42">
      <c r="A471" s="141">
        <f>bond!F472</f>
        <v>0</v>
      </c>
      <c r="B471" s="151">
        <f ca="1">IF($C$1=TRUE,bond!B472,"")</f>
        <v>0</v>
      </c>
      <c r="C471" s="95" t="e">
        <f>VLOOKUP(A471,bond!F:G,2,FALSE)</f>
        <v>#N/A</v>
      </c>
      <c r="D471" s="142" t="e">
        <f ca="1">VLOOKUP(B471,bond!B:C,2,FALSE)</f>
        <v>#N/A</v>
      </c>
      <c r="E471" s="95" t="e">
        <f ca="1">VLOOKUP(B471,bond!B:D,3,FALSE)</f>
        <v>#N/A</v>
      </c>
      <c r="F471" s="99" t="e">
        <f ca="1">VLOOKUP(B471,bond!B:AB,27,FALSE)</f>
        <v>#N/A</v>
      </c>
      <c r="G471" s="90" t="e">
        <f ca="1">VLOOKUP(B471,bond!B:E,4,FALSE)</f>
        <v>#N/A</v>
      </c>
      <c r="H471" s="202" t="e">
        <f ca="1">VLOOKUP(B471,bond!B:Y,24,FALSE)</f>
        <v>#N/A</v>
      </c>
      <c r="I471" s="95" t="e">
        <f ca="1">VLOOKUP(B471,bond!B:Z,25,FALSE)</f>
        <v>#N/A</v>
      </c>
      <c r="J471" s="180" t="e">
        <f ca="1">VLOOKUP(B471,bond!B:K,10,FALSE)</f>
        <v>#N/A</v>
      </c>
      <c r="K471" s="96" t="e">
        <f ca="1">VLOOKUP($B471,bond!B:S,14,FALSE)</f>
        <v>#N/A</v>
      </c>
      <c r="L471" s="91" t="e">
        <f ca="1">VLOOKUP(B471,bond!B:H,7,FALSE)</f>
        <v>#N/A</v>
      </c>
      <c r="M471" s="144" t="e">
        <f ca="1">VLOOKUP($B471,bond!$B:$Q,16,FALSE)</f>
        <v>#N/A</v>
      </c>
      <c r="N471" s="136" t="e">
        <f ca="1">VALUE(LEFT(VLOOKUP(B471,bond!B:R,17,FALSE),SEARCH(" ",VLOOKUP(B471,bond!B:R,17,FALSE),1)))</f>
        <v>#N/A</v>
      </c>
      <c r="O471" s="136" t="e">
        <f ca="1">VALUE(RIGHT(VLOOKUP(B471,bond!B:R,17,FALSE),LEN(VLOOKUP(B471,bond!B:R,17,FALSE))-LEN(N471)-3))</f>
        <v>#N/A</v>
      </c>
      <c r="P471" s="135" t="e">
        <f ca="1">VLOOKUP($B471,bond!$B:$AG,32,FALSE)</f>
        <v>#N/A</v>
      </c>
      <c r="Q471" s="135" t="e">
        <f ca="1">VLOOKUP($B471,bond!$B:$AH,33,FALSE)</f>
        <v>#N/A</v>
      </c>
      <c r="R471" s="135" t="e">
        <f ca="1">VLOOKUP(B471,bond!B:AA,26,FALSE)</f>
        <v>#N/A</v>
      </c>
      <c r="S471" s="135" t="e">
        <f ca="1">VLOOKUP(B471,bond!B:AI,34,FALSE)</f>
        <v>#N/A</v>
      </c>
      <c r="T471" s="135" t="e">
        <f t="shared" ca="1" si="49"/>
        <v>#N/A</v>
      </c>
      <c r="U471" s="207" t="e">
        <f ca="1">IFERROR(VLOOKUP(T471,Bond_DES!D:E,2,FALSE),VLOOKUP(S471,bond!AI:AJ,2,FALSE))</f>
        <v>#N/A</v>
      </c>
      <c r="V471" s="136" t="e">
        <f ca="1">IFERROR(VLOOKUP(B471,'1_重設數據'!L:M,2,FALSE),IF(Q471="政府",IF(AD471&gt;16,"(NPI)非專投",IF(AD471&gt;10,"(PI)專投","高資產")),IF(VLOOKUP(B471,bond!B:AN,39,FALSE)="Y","(PI)專投",IF(AD471&gt;=15,"(NPI)非專投",IF(AD471&gt;=10,"(PI)專投","高資產")))))</f>
        <v>#N/A</v>
      </c>
      <c r="W471" s="136" t="e">
        <f ca="1">VLOOKUP(AD471,'credit rating'!$F$2:$H$22,3,FALSE)</f>
        <v>#N/A</v>
      </c>
      <c r="X471" s="136" t="e">
        <f t="shared" ca="1" si="50"/>
        <v>#N/A</v>
      </c>
      <c r="Y471" s="136" t="e">
        <f t="shared" ca="1" si="51"/>
        <v>#N/A</v>
      </c>
      <c r="Z471" s="136" t="e">
        <f t="shared" ca="1" si="52"/>
        <v>#N/A</v>
      </c>
      <c r="AA471" s="134">
        <f ca="1">IFERROR(VLOOKUP(X471,'credit rating'!A:C,3,FALSE),0)</f>
        <v>0</v>
      </c>
      <c r="AB471" s="134">
        <f ca="1">IFERROR(VLOOKUP(Y471,'credit rating'!B:C,2,FALSE),0)</f>
        <v>0</v>
      </c>
      <c r="AC471" s="136">
        <f ca="1">IFERROR(VLOOKUP(Z471,'credit rating'!B:C,2,FALSE),0)</f>
        <v>0</v>
      </c>
      <c r="AD471" s="136">
        <f t="shared" ca="1" si="53"/>
        <v>0</v>
      </c>
      <c r="AE471" s="249" t="str">
        <f ca="1">IFERROR(VLOOKUP(B471,bond!B:U,20,FALSE),"")</f>
        <v/>
      </c>
      <c r="AF471" s="136" t="e">
        <f ca="1">IF(VLOOKUP(B471,bond!B:AK,36,FALSE)="#N/A Field Not Applicable","",VLOOKUP(B471,bond!B:AK,36,FALSE))</f>
        <v>#N/A</v>
      </c>
      <c r="AG471" s="136" t="e">
        <f ca="1">IF(VLOOKUP(B471,bond!B:AL,37,FALSE)="FIXED","固定",IF(VLOOKUP(B471,bond!B:AL,37,FALSE)="FLOATING","浮動",IF(VLOOKUP(B471,bond!B:AL,37,FALSE)="VARIABLE","變動",IF(VLOOKUP(B471,bond!B:AL,37,FALSE)="FLAT TRADING","不含息交易",IF(VLOOKUP(B471,bond!B:AL,37,FALSE)="ZERO COUPON","零息",VLOOKUP(B471,bond!B:AL,37,FALSE))))))</f>
        <v>#N/A</v>
      </c>
      <c r="AH471" s="136" t="e">
        <f>VLOOKUP(C471,'2_Check_code'!I:J,2,FALSE)</f>
        <v>#N/A</v>
      </c>
      <c r="AI471" s="136" t="e">
        <f t="shared" ca="1" si="54"/>
        <v>#N/A</v>
      </c>
      <c r="AJ471" s="136" t="e">
        <f t="shared" ca="1" si="55"/>
        <v>#N/A</v>
      </c>
      <c r="AK471" s="594" t="e">
        <f ca="1">IF(VLOOKUP(B471,bond!B:S,18,FALSE)="是","有",IF(VLOOKUP(B471,bond!B:S,18,FALSE)="NO OFFER","無","需查詢"))</f>
        <v>#N/A</v>
      </c>
      <c r="AL471" s="136" t="e">
        <f>IF(VLOOKUP(A471,bond!F:AR,39,FALSE)="#N/A Field Not Applicable",VLOOKUP(A471,bond!F:AR,38,FALSE),IFERROR(VLOOKUP(A471,'7_發行日例外'!A:B,2,FALSE),VLOOKUP(A471,bond!F:AR,39,FALSE)))</f>
        <v>#N/A</v>
      </c>
      <c r="AM471" s="136" t="e">
        <f ca="1">VLOOKUP(B471,bond!B:AK,36,FALSE)</f>
        <v>#N/A</v>
      </c>
      <c r="AN471" s="136" t="str">
        <f ca="1">IFERROR(VLOOKUP(B471,'3_是否下架'!A:A,1,FALSE),"")</f>
        <v/>
      </c>
      <c r="AO471" s="136" t="e">
        <f ca="1">VLOOKUP(B471,bond!B:J,9,FALSE)</f>
        <v>#N/A</v>
      </c>
      <c r="AP471" s="136" t="e">
        <f ca="1">VLOOKUP(B471,bond!B:V,21,FALSE)</f>
        <v>#N/A</v>
      </c>
    </row>
    <row r="472" spans="1:42">
      <c r="A472" s="141">
        <f>bond!F473</f>
        <v>0</v>
      </c>
      <c r="B472" s="151">
        <f ca="1">IF($C$1=TRUE,bond!B473,"")</f>
        <v>0</v>
      </c>
      <c r="C472" s="95" t="e">
        <f>VLOOKUP(A472,bond!F:G,2,FALSE)</f>
        <v>#N/A</v>
      </c>
      <c r="D472" s="142" t="e">
        <f ca="1">VLOOKUP(B472,bond!B:C,2,FALSE)</f>
        <v>#N/A</v>
      </c>
      <c r="E472" s="95" t="e">
        <f ca="1">VLOOKUP(B472,bond!B:D,3,FALSE)</f>
        <v>#N/A</v>
      </c>
      <c r="F472" s="99" t="e">
        <f ca="1">VLOOKUP(B472,bond!B:AB,27,FALSE)</f>
        <v>#N/A</v>
      </c>
      <c r="G472" s="90" t="e">
        <f ca="1">VLOOKUP(B472,bond!B:E,4,FALSE)</f>
        <v>#N/A</v>
      </c>
      <c r="H472" s="202" t="e">
        <f ca="1">VLOOKUP(B472,bond!B:Y,24,FALSE)</f>
        <v>#N/A</v>
      </c>
      <c r="I472" s="95" t="e">
        <f ca="1">VLOOKUP(B472,bond!B:Z,25,FALSE)</f>
        <v>#N/A</v>
      </c>
      <c r="J472" s="180" t="e">
        <f ca="1">VLOOKUP(B472,bond!B:K,10,FALSE)</f>
        <v>#N/A</v>
      </c>
      <c r="K472" s="96" t="e">
        <f ca="1">VLOOKUP($B472,bond!B:S,14,FALSE)</f>
        <v>#N/A</v>
      </c>
      <c r="L472" s="91" t="e">
        <f ca="1">VLOOKUP(B472,bond!B:H,7,FALSE)</f>
        <v>#N/A</v>
      </c>
      <c r="M472" s="144" t="e">
        <f ca="1">VLOOKUP($B472,bond!$B:$Q,16,FALSE)</f>
        <v>#N/A</v>
      </c>
      <c r="N472" s="136" t="e">
        <f ca="1">VALUE(LEFT(VLOOKUP(B472,bond!B:R,17,FALSE),SEARCH(" ",VLOOKUP(B472,bond!B:R,17,FALSE),1)))</f>
        <v>#N/A</v>
      </c>
      <c r="O472" s="136" t="e">
        <f ca="1">VALUE(RIGHT(VLOOKUP(B472,bond!B:R,17,FALSE),LEN(VLOOKUP(B472,bond!B:R,17,FALSE))-LEN(N472)-3))</f>
        <v>#N/A</v>
      </c>
      <c r="P472" s="135" t="e">
        <f ca="1">VLOOKUP($B472,bond!$B:$AG,32,FALSE)</f>
        <v>#N/A</v>
      </c>
      <c r="Q472" s="135" t="e">
        <f ca="1">VLOOKUP($B472,bond!$B:$AH,33,FALSE)</f>
        <v>#N/A</v>
      </c>
      <c r="R472" s="135" t="e">
        <f ca="1">VLOOKUP(B472,bond!B:AA,26,FALSE)</f>
        <v>#N/A</v>
      </c>
      <c r="S472" s="135" t="e">
        <f ca="1">VLOOKUP(B472,bond!B:AI,34,FALSE)</f>
        <v>#N/A</v>
      </c>
      <c r="T472" s="135" t="e">
        <f t="shared" ca="1" si="49"/>
        <v>#N/A</v>
      </c>
      <c r="U472" s="207" t="e">
        <f ca="1">IFERROR(VLOOKUP(T472,Bond_DES!D:E,2,FALSE),VLOOKUP(S472,bond!AI:AJ,2,FALSE))</f>
        <v>#N/A</v>
      </c>
      <c r="V472" s="136" t="e">
        <f ca="1">IFERROR(VLOOKUP(B472,'1_重設數據'!L:M,2,FALSE),IF(Q472="政府",IF(AD472&gt;16,"(NPI)非專投",IF(AD472&gt;10,"(PI)專投","高資產")),IF(VLOOKUP(B472,bond!B:AN,39,FALSE)="Y","(PI)專投",IF(AD472&gt;=15,"(NPI)非專投",IF(AD472&gt;=10,"(PI)專投","高資產")))))</f>
        <v>#N/A</v>
      </c>
      <c r="W472" s="136" t="e">
        <f ca="1">VLOOKUP(AD472,'credit rating'!$F$2:$H$22,3,FALSE)</f>
        <v>#N/A</v>
      </c>
      <c r="X472" s="136" t="e">
        <f t="shared" ca="1" si="50"/>
        <v>#N/A</v>
      </c>
      <c r="Y472" s="136" t="e">
        <f t="shared" ca="1" si="51"/>
        <v>#N/A</v>
      </c>
      <c r="Z472" s="136" t="e">
        <f t="shared" ca="1" si="52"/>
        <v>#N/A</v>
      </c>
      <c r="AA472" s="134">
        <f ca="1">IFERROR(VLOOKUP(X472,'credit rating'!A:C,3,FALSE),0)</f>
        <v>0</v>
      </c>
      <c r="AB472" s="134">
        <f ca="1">IFERROR(VLOOKUP(Y472,'credit rating'!B:C,2,FALSE),0)</f>
        <v>0</v>
      </c>
      <c r="AC472" s="136">
        <f ca="1">IFERROR(VLOOKUP(Z472,'credit rating'!B:C,2,FALSE),0)</f>
        <v>0</v>
      </c>
      <c r="AD472" s="136">
        <f t="shared" ca="1" si="53"/>
        <v>0</v>
      </c>
      <c r="AE472" s="249" t="str">
        <f ca="1">IFERROR(VLOOKUP(B472,bond!B:U,20,FALSE),"")</f>
        <v/>
      </c>
      <c r="AF472" s="136" t="e">
        <f ca="1">IF(VLOOKUP(B472,bond!B:AK,36,FALSE)="#N/A Field Not Applicable","",VLOOKUP(B472,bond!B:AK,36,FALSE))</f>
        <v>#N/A</v>
      </c>
      <c r="AG472" s="136" t="e">
        <f ca="1">IF(VLOOKUP(B472,bond!B:AL,37,FALSE)="FIXED","固定",IF(VLOOKUP(B472,bond!B:AL,37,FALSE)="FLOATING","浮動",IF(VLOOKUP(B472,bond!B:AL,37,FALSE)="VARIABLE","變動",IF(VLOOKUP(B472,bond!B:AL,37,FALSE)="FLAT TRADING","不含息交易",IF(VLOOKUP(B472,bond!B:AL,37,FALSE)="ZERO COUPON","零息",VLOOKUP(B472,bond!B:AL,37,FALSE))))))</f>
        <v>#N/A</v>
      </c>
      <c r="AH472" s="136" t="e">
        <f>VLOOKUP(C472,'2_Check_code'!I:J,2,FALSE)</f>
        <v>#N/A</v>
      </c>
      <c r="AI472" s="136" t="e">
        <f t="shared" ca="1" si="54"/>
        <v>#N/A</v>
      </c>
      <c r="AJ472" s="136" t="e">
        <f t="shared" ca="1" si="55"/>
        <v>#N/A</v>
      </c>
      <c r="AK472" s="594" t="e">
        <f ca="1">IF(VLOOKUP(B472,bond!B:S,18,FALSE)="是","有",IF(VLOOKUP(B472,bond!B:S,18,FALSE)="NO OFFER","無","需查詢"))</f>
        <v>#N/A</v>
      </c>
      <c r="AL472" s="136" t="e">
        <f>IF(VLOOKUP(A472,bond!F:AR,39,FALSE)="#N/A Field Not Applicable",VLOOKUP(A472,bond!F:AR,38,FALSE),IFERROR(VLOOKUP(A472,'7_發行日例外'!A:B,2,FALSE),VLOOKUP(A472,bond!F:AR,39,FALSE)))</f>
        <v>#N/A</v>
      </c>
      <c r="AM472" s="136" t="e">
        <f ca="1">VLOOKUP(B472,bond!B:AK,36,FALSE)</f>
        <v>#N/A</v>
      </c>
      <c r="AN472" s="136" t="str">
        <f ca="1">IFERROR(VLOOKUP(B472,'3_是否下架'!A:A,1,FALSE),"")</f>
        <v/>
      </c>
      <c r="AO472" s="136" t="e">
        <f ca="1">VLOOKUP(B472,bond!B:J,9,FALSE)</f>
        <v>#N/A</v>
      </c>
      <c r="AP472" s="136" t="e">
        <f ca="1">VLOOKUP(B472,bond!B:V,21,FALSE)</f>
        <v>#N/A</v>
      </c>
    </row>
    <row r="473" spans="1:42">
      <c r="A473" s="141">
        <f>bond!F474</f>
        <v>0</v>
      </c>
      <c r="B473" s="151">
        <f ca="1">IF($C$1=TRUE,bond!B474,"")</f>
        <v>0</v>
      </c>
      <c r="C473" s="95" t="e">
        <f>VLOOKUP(A473,bond!F:G,2,FALSE)</f>
        <v>#N/A</v>
      </c>
      <c r="D473" s="142" t="e">
        <f ca="1">VLOOKUP(B473,bond!B:C,2,FALSE)</f>
        <v>#N/A</v>
      </c>
      <c r="E473" s="95" t="e">
        <f ca="1">VLOOKUP(B473,bond!B:D,3,FALSE)</f>
        <v>#N/A</v>
      </c>
      <c r="F473" s="99" t="e">
        <f ca="1">VLOOKUP(B473,bond!B:AB,27,FALSE)</f>
        <v>#N/A</v>
      </c>
      <c r="G473" s="90" t="e">
        <f ca="1">VLOOKUP(B473,bond!B:E,4,FALSE)</f>
        <v>#N/A</v>
      </c>
      <c r="H473" s="202" t="e">
        <f ca="1">VLOOKUP(B473,bond!B:Y,24,FALSE)</f>
        <v>#N/A</v>
      </c>
      <c r="I473" s="95" t="e">
        <f ca="1">VLOOKUP(B473,bond!B:Z,25,FALSE)</f>
        <v>#N/A</v>
      </c>
      <c r="J473" s="180" t="e">
        <f ca="1">VLOOKUP(B473,bond!B:K,10,FALSE)</f>
        <v>#N/A</v>
      </c>
      <c r="K473" s="96" t="e">
        <f ca="1">VLOOKUP($B473,bond!B:S,14,FALSE)</f>
        <v>#N/A</v>
      </c>
      <c r="L473" s="91" t="e">
        <f ca="1">VLOOKUP(B473,bond!B:H,7,FALSE)</f>
        <v>#N/A</v>
      </c>
      <c r="M473" s="144" t="e">
        <f ca="1">VLOOKUP($B473,bond!$B:$Q,16,FALSE)</f>
        <v>#N/A</v>
      </c>
      <c r="N473" s="136" t="e">
        <f ca="1">VALUE(LEFT(VLOOKUP(B473,bond!B:R,17,FALSE),SEARCH(" ",VLOOKUP(B473,bond!B:R,17,FALSE),1)))</f>
        <v>#N/A</v>
      </c>
      <c r="O473" s="136" t="e">
        <f ca="1">VALUE(RIGHT(VLOOKUP(B473,bond!B:R,17,FALSE),LEN(VLOOKUP(B473,bond!B:R,17,FALSE))-LEN(N473)-3))</f>
        <v>#N/A</v>
      </c>
      <c r="P473" s="135" t="e">
        <f ca="1">VLOOKUP($B473,bond!$B:$AG,32,FALSE)</f>
        <v>#N/A</v>
      </c>
      <c r="Q473" s="135" t="e">
        <f ca="1">VLOOKUP($B473,bond!$B:$AH,33,FALSE)</f>
        <v>#N/A</v>
      </c>
      <c r="R473" s="135" t="e">
        <f ca="1">VLOOKUP(B473,bond!B:AA,26,FALSE)</f>
        <v>#N/A</v>
      </c>
      <c r="S473" s="135" t="e">
        <f ca="1">VLOOKUP(B473,bond!B:AI,34,FALSE)</f>
        <v>#N/A</v>
      </c>
      <c r="T473" s="135" t="e">
        <f t="shared" ca="1" si="49"/>
        <v>#N/A</v>
      </c>
      <c r="U473" s="207" t="e">
        <f ca="1">IFERROR(VLOOKUP(T473,Bond_DES!D:E,2,FALSE),VLOOKUP(S473,bond!AI:AJ,2,FALSE))</f>
        <v>#N/A</v>
      </c>
      <c r="V473" s="136" t="e">
        <f ca="1">IFERROR(VLOOKUP(B473,'1_重設數據'!L:M,2,FALSE),IF(Q473="政府",IF(AD473&gt;16,"(NPI)非專投",IF(AD473&gt;10,"(PI)專投","高資產")),IF(VLOOKUP(B473,bond!B:AN,39,FALSE)="Y","(PI)專投",IF(AD473&gt;=15,"(NPI)非專投",IF(AD473&gt;=10,"(PI)專投","高資產")))))</f>
        <v>#N/A</v>
      </c>
      <c r="W473" s="136" t="e">
        <f ca="1">VLOOKUP(AD473,'credit rating'!$F$2:$H$22,3,FALSE)</f>
        <v>#N/A</v>
      </c>
      <c r="X473" s="136" t="e">
        <f t="shared" ca="1" si="50"/>
        <v>#N/A</v>
      </c>
      <c r="Y473" s="136" t="e">
        <f t="shared" ca="1" si="51"/>
        <v>#N/A</v>
      </c>
      <c r="Z473" s="136" t="e">
        <f t="shared" ca="1" si="52"/>
        <v>#N/A</v>
      </c>
      <c r="AA473" s="134">
        <f ca="1">IFERROR(VLOOKUP(X473,'credit rating'!A:C,3,FALSE),0)</f>
        <v>0</v>
      </c>
      <c r="AB473" s="134">
        <f ca="1">IFERROR(VLOOKUP(Y473,'credit rating'!B:C,2,FALSE),0)</f>
        <v>0</v>
      </c>
      <c r="AC473" s="136">
        <f ca="1">IFERROR(VLOOKUP(Z473,'credit rating'!B:C,2,FALSE),0)</f>
        <v>0</v>
      </c>
      <c r="AD473" s="136">
        <f t="shared" ca="1" si="53"/>
        <v>0</v>
      </c>
      <c r="AE473" s="249" t="str">
        <f ca="1">IFERROR(VLOOKUP(B473,bond!B:U,20,FALSE),"")</f>
        <v/>
      </c>
      <c r="AF473" s="136" t="e">
        <f ca="1">IF(VLOOKUP(B473,bond!B:AK,36,FALSE)="#N/A Field Not Applicable","",VLOOKUP(B473,bond!B:AK,36,FALSE))</f>
        <v>#N/A</v>
      </c>
      <c r="AG473" s="136" t="e">
        <f ca="1">IF(VLOOKUP(B473,bond!B:AL,37,FALSE)="FIXED","固定",IF(VLOOKUP(B473,bond!B:AL,37,FALSE)="FLOATING","浮動",IF(VLOOKUP(B473,bond!B:AL,37,FALSE)="VARIABLE","變動",IF(VLOOKUP(B473,bond!B:AL,37,FALSE)="FLAT TRADING","不含息交易",IF(VLOOKUP(B473,bond!B:AL,37,FALSE)="ZERO COUPON","零息",VLOOKUP(B473,bond!B:AL,37,FALSE))))))</f>
        <v>#N/A</v>
      </c>
      <c r="AH473" s="136" t="e">
        <f>VLOOKUP(C473,'2_Check_code'!I:J,2,FALSE)</f>
        <v>#N/A</v>
      </c>
      <c r="AI473" s="136" t="e">
        <f t="shared" ca="1" si="54"/>
        <v>#N/A</v>
      </c>
      <c r="AJ473" s="136" t="e">
        <f t="shared" ca="1" si="55"/>
        <v>#N/A</v>
      </c>
      <c r="AK473" s="594" t="e">
        <f ca="1">IF(VLOOKUP(B473,bond!B:S,18,FALSE)="是","有",IF(VLOOKUP(B473,bond!B:S,18,FALSE)="NO OFFER","無","需查詢"))</f>
        <v>#N/A</v>
      </c>
      <c r="AL473" s="136" t="e">
        <f>IF(VLOOKUP(A473,bond!F:AR,39,FALSE)="#N/A Field Not Applicable",VLOOKUP(A473,bond!F:AR,38,FALSE),IFERROR(VLOOKUP(A473,'7_發行日例外'!A:B,2,FALSE),VLOOKUP(A473,bond!F:AR,39,FALSE)))</f>
        <v>#N/A</v>
      </c>
      <c r="AM473" s="136" t="e">
        <f ca="1">VLOOKUP(B473,bond!B:AK,36,FALSE)</f>
        <v>#N/A</v>
      </c>
      <c r="AN473" s="136" t="str">
        <f ca="1">IFERROR(VLOOKUP(B473,'3_是否下架'!A:A,1,FALSE),"")</f>
        <v/>
      </c>
      <c r="AO473" s="136" t="e">
        <f ca="1">VLOOKUP(B473,bond!B:J,9,FALSE)</f>
        <v>#N/A</v>
      </c>
      <c r="AP473" s="136" t="e">
        <f ca="1">VLOOKUP(B473,bond!B:V,21,FALSE)</f>
        <v>#N/A</v>
      </c>
    </row>
    <row r="474" spans="1:42">
      <c r="A474" s="141">
        <f>bond!F475</f>
        <v>0</v>
      </c>
      <c r="B474" s="151">
        <f ca="1">IF($C$1=TRUE,bond!B475,"")</f>
        <v>0</v>
      </c>
      <c r="C474" s="95" t="e">
        <f>VLOOKUP(A474,bond!F:G,2,FALSE)</f>
        <v>#N/A</v>
      </c>
      <c r="D474" s="142" t="e">
        <f ca="1">VLOOKUP(B474,bond!B:C,2,FALSE)</f>
        <v>#N/A</v>
      </c>
      <c r="E474" s="95" t="e">
        <f ca="1">VLOOKUP(B474,bond!B:D,3,FALSE)</f>
        <v>#N/A</v>
      </c>
      <c r="F474" s="99" t="e">
        <f ca="1">VLOOKUP(B474,bond!B:AB,27,FALSE)</f>
        <v>#N/A</v>
      </c>
      <c r="G474" s="90" t="e">
        <f ca="1">VLOOKUP(B474,bond!B:E,4,FALSE)</f>
        <v>#N/A</v>
      </c>
      <c r="H474" s="202" t="e">
        <f ca="1">VLOOKUP(B474,bond!B:Y,24,FALSE)</f>
        <v>#N/A</v>
      </c>
      <c r="I474" s="95" t="e">
        <f ca="1">VLOOKUP(B474,bond!B:Z,25,FALSE)</f>
        <v>#N/A</v>
      </c>
      <c r="J474" s="180" t="e">
        <f ca="1">VLOOKUP(B474,bond!B:K,10,FALSE)</f>
        <v>#N/A</v>
      </c>
      <c r="K474" s="96" t="e">
        <f ca="1">VLOOKUP($B474,bond!B:S,14,FALSE)</f>
        <v>#N/A</v>
      </c>
      <c r="L474" s="91" t="e">
        <f ca="1">VLOOKUP(B474,bond!B:H,7,FALSE)</f>
        <v>#N/A</v>
      </c>
      <c r="M474" s="144" t="e">
        <f ca="1">VLOOKUP($B474,bond!$B:$Q,16,FALSE)</f>
        <v>#N/A</v>
      </c>
      <c r="N474" s="136" t="e">
        <f ca="1">VALUE(LEFT(VLOOKUP(B474,bond!B:R,17,FALSE),SEARCH(" ",VLOOKUP(B474,bond!B:R,17,FALSE),1)))</f>
        <v>#N/A</v>
      </c>
      <c r="O474" s="136" t="e">
        <f ca="1">VALUE(RIGHT(VLOOKUP(B474,bond!B:R,17,FALSE),LEN(VLOOKUP(B474,bond!B:R,17,FALSE))-LEN(N474)-3))</f>
        <v>#N/A</v>
      </c>
      <c r="P474" s="135" t="e">
        <f ca="1">VLOOKUP($B474,bond!$B:$AG,32,FALSE)</f>
        <v>#N/A</v>
      </c>
      <c r="Q474" s="135" t="e">
        <f ca="1">VLOOKUP($B474,bond!$B:$AH,33,FALSE)</f>
        <v>#N/A</v>
      </c>
      <c r="R474" s="135" t="e">
        <f ca="1">VLOOKUP(B474,bond!B:AA,26,FALSE)</f>
        <v>#N/A</v>
      </c>
      <c r="S474" s="135" t="e">
        <f ca="1">VLOOKUP(B474,bond!B:AI,34,FALSE)</f>
        <v>#N/A</v>
      </c>
      <c r="T474" s="135" t="e">
        <f t="shared" ca="1" si="49"/>
        <v>#N/A</v>
      </c>
      <c r="U474" s="207" t="e">
        <f ca="1">IFERROR(VLOOKUP(T474,Bond_DES!D:E,2,FALSE),VLOOKUP(S474,bond!AI:AJ,2,FALSE))</f>
        <v>#N/A</v>
      </c>
      <c r="V474" s="136" t="e">
        <f ca="1">IFERROR(VLOOKUP(B474,'1_重設數據'!L:M,2,FALSE),IF(Q474="政府",IF(AD474&gt;16,"(NPI)非專投",IF(AD474&gt;10,"(PI)專投","高資產")),IF(VLOOKUP(B474,bond!B:AN,39,FALSE)="Y","(PI)專投",IF(AD474&gt;=15,"(NPI)非專投",IF(AD474&gt;=10,"(PI)專投","高資產")))))</f>
        <v>#N/A</v>
      </c>
      <c r="W474" s="136" t="e">
        <f ca="1">VLOOKUP(AD474,'credit rating'!$F$2:$H$22,3,FALSE)</f>
        <v>#N/A</v>
      </c>
      <c r="X474" s="136" t="e">
        <f t="shared" ca="1" si="50"/>
        <v>#N/A</v>
      </c>
      <c r="Y474" s="136" t="e">
        <f t="shared" ca="1" si="51"/>
        <v>#N/A</v>
      </c>
      <c r="Z474" s="136" t="e">
        <f t="shared" ca="1" si="52"/>
        <v>#N/A</v>
      </c>
      <c r="AA474" s="134">
        <f ca="1">IFERROR(VLOOKUP(X474,'credit rating'!A:C,3,FALSE),0)</f>
        <v>0</v>
      </c>
      <c r="AB474" s="134">
        <f ca="1">IFERROR(VLOOKUP(Y474,'credit rating'!B:C,2,FALSE),0)</f>
        <v>0</v>
      </c>
      <c r="AC474" s="136">
        <f ca="1">IFERROR(VLOOKUP(Z474,'credit rating'!B:C,2,FALSE),0)</f>
        <v>0</v>
      </c>
      <c r="AD474" s="136">
        <f t="shared" ca="1" si="53"/>
        <v>0</v>
      </c>
      <c r="AE474" s="249" t="str">
        <f ca="1">IFERROR(VLOOKUP(B474,bond!B:U,20,FALSE),"")</f>
        <v/>
      </c>
      <c r="AF474" s="136" t="e">
        <f ca="1">IF(VLOOKUP(B474,bond!B:AK,36,FALSE)="#N/A Field Not Applicable","",VLOOKUP(B474,bond!B:AK,36,FALSE))</f>
        <v>#N/A</v>
      </c>
      <c r="AG474" s="136" t="e">
        <f ca="1">IF(VLOOKUP(B474,bond!B:AL,37,FALSE)="FIXED","固定",IF(VLOOKUP(B474,bond!B:AL,37,FALSE)="FLOATING","浮動",IF(VLOOKUP(B474,bond!B:AL,37,FALSE)="VARIABLE","變動",IF(VLOOKUP(B474,bond!B:AL,37,FALSE)="FLAT TRADING","不含息交易",IF(VLOOKUP(B474,bond!B:AL,37,FALSE)="ZERO COUPON","零息",VLOOKUP(B474,bond!B:AL,37,FALSE))))))</f>
        <v>#N/A</v>
      </c>
      <c r="AH474" s="136" t="e">
        <f>VLOOKUP(C474,'2_Check_code'!I:J,2,FALSE)</f>
        <v>#N/A</v>
      </c>
      <c r="AI474" s="136" t="e">
        <f t="shared" ca="1" si="54"/>
        <v>#N/A</v>
      </c>
      <c r="AJ474" s="136" t="e">
        <f t="shared" ca="1" si="55"/>
        <v>#N/A</v>
      </c>
      <c r="AK474" s="594" t="e">
        <f ca="1">IF(VLOOKUP(B474,bond!B:S,18,FALSE)="是","有",IF(VLOOKUP(B474,bond!B:S,18,FALSE)="NO OFFER","無","需查詢"))</f>
        <v>#N/A</v>
      </c>
      <c r="AL474" s="136" t="e">
        <f>IF(VLOOKUP(A474,bond!F:AR,39,FALSE)="#N/A Field Not Applicable",VLOOKUP(A474,bond!F:AR,38,FALSE),IFERROR(VLOOKUP(A474,'7_發行日例外'!A:B,2,FALSE),VLOOKUP(A474,bond!F:AR,39,FALSE)))</f>
        <v>#N/A</v>
      </c>
      <c r="AM474" s="136" t="e">
        <f ca="1">VLOOKUP(B474,bond!B:AK,36,FALSE)</f>
        <v>#N/A</v>
      </c>
      <c r="AN474" s="136" t="str">
        <f ca="1">IFERROR(VLOOKUP(B474,'3_是否下架'!A:A,1,FALSE),"")</f>
        <v/>
      </c>
      <c r="AO474" s="136" t="e">
        <f ca="1">VLOOKUP(B474,bond!B:J,9,FALSE)</f>
        <v>#N/A</v>
      </c>
      <c r="AP474" s="136" t="e">
        <f ca="1">VLOOKUP(B474,bond!B:V,21,FALSE)</f>
        <v>#N/A</v>
      </c>
    </row>
    <row r="475" spans="1:42">
      <c r="A475" s="141">
        <f>bond!F476</f>
        <v>0</v>
      </c>
      <c r="B475" s="151">
        <f ca="1">IF($C$1=TRUE,bond!B476,"")</f>
        <v>0</v>
      </c>
      <c r="C475" s="95" t="e">
        <f>VLOOKUP(A475,bond!F:G,2,FALSE)</f>
        <v>#N/A</v>
      </c>
      <c r="D475" s="142" t="e">
        <f ca="1">VLOOKUP(B475,bond!B:C,2,FALSE)</f>
        <v>#N/A</v>
      </c>
      <c r="E475" s="95" t="e">
        <f ca="1">VLOOKUP(B475,bond!B:D,3,FALSE)</f>
        <v>#N/A</v>
      </c>
      <c r="F475" s="99" t="e">
        <f ca="1">VLOOKUP(B475,bond!B:AB,27,FALSE)</f>
        <v>#N/A</v>
      </c>
      <c r="G475" s="90" t="e">
        <f ca="1">VLOOKUP(B475,bond!B:E,4,FALSE)</f>
        <v>#N/A</v>
      </c>
      <c r="H475" s="202" t="e">
        <f ca="1">VLOOKUP(B475,bond!B:Y,24,FALSE)</f>
        <v>#N/A</v>
      </c>
      <c r="I475" s="95" t="e">
        <f ca="1">VLOOKUP(B475,bond!B:Z,25,FALSE)</f>
        <v>#N/A</v>
      </c>
      <c r="J475" s="180" t="e">
        <f ca="1">VLOOKUP(B475,bond!B:K,10,FALSE)</f>
        <v>#N/A</v>
      </c>
      <c r="K475" s="96" t="e">
        <f ca="1">VLOOKUP($B475,bond!B:S,14,FALSE)</f>
        <v>#N/A</v>
      </c>
      <c r="L475" s="91" t="e">
        <f ca="1">VLOOKUP(B475,bond!B:H,7,FALSE)</f>
        <v>#N/A</v>
      </c>
      <c r="M475" s="144" t="e">
        <f ca="1">VLOOKUP($B475,bond!$B:$Q,16,FALSE)</f>
        <v>#N/A</v>
      </c>
      <c r="N475" s="136" t="e">
        <f ca="1">VALUE(LEFT(VLOOKUP(B475,bond!B:R,17,FALSE),SEARCH(" ",VLOOKUP(B475,bond!B:R,17,FALSE),1)))</f>
        <v>#N/A</v>
      </c>
      <c r="O475" s="136" t="e">
        <f ca="1">VALUE(RIGHT(VLOOKUP(B475,bond!B:R,17,FALSE),LEN(VLOOKUP(B475,bond!B:R,17,FALSE))-LEN(N475)-3))</f>
        <v>#N/A</v>
      </c>
      <c r="P475" s="135" t="e">
        <f ca="1">VLOOKUP($B475,bond!$B:$AG,32,FALSE)</f>
        <v>#N/A</v>
      </c>
      <c r="Q475" s="135" t="e">
        <f ca="1">VLOOKUP($B475,bond!$B:$AH,33,FALSE)</f>
        <v>#N/A</v>
      </c>
      <c r="R475" s="135" t="e">
        <f ca="1">VLOOKUP(B475,bond!B:AA,26,FALSE)</f>
        <v>#N/A</v>
      </c>
      <c r="S475" s="135" t="e">
        <f ca="1">VLOOKUP(B475,bond!B:AI,34,FALSE)</f>
        <v>#N/A</v>
      </c>
      <c r="T475" s="135" t="e">
        <f t="shared" ca="1" si="49"/>
        <v>#N/A</v>
      </c>
      <c r="U475" s="207" t="e">
        <f ca="1">IFERROR(VLOOKUP(T475,Bond_DES!D:E,2,FALSE),VLOOKUP(S475,bond!AI:AJ,2,FALSE))</f>
        <v>#N/A</v>
      </c>
      <c r="V475" s="136" t="e">
        <f ca="1">IFERROR(VLOOKUP(B475,'1_重設數據'!L:M,2,FALSE),IF(Q475="政府",IF(AD475&gt;16,"(NPI)非專投",IF(AD475&gt;10,"(PI)專投","高資產")),IF(VLOOKUP(B475,bond!B:AN,39,FALSE)="Y","(PI)專投",IF(AD475&gt;=15,"(NPI)非專投",IF(AD475&gt;=10,"(PI)專投","高資產")))))</f>
        <v>#N/A</v>
      </c>
      <c r="W475" s="136" t="e">
        <f ca="1">VLOOKUP(AD475,'credit rating'!$F$2:$H$22,3,FALSE)</f>
        <v>#N/A</v>
      </c>
      <c r="X475" s="136" t="e">
        <f t="shared" ca="1" si="50"/>
        <v>#N/A</v>
      </c>
      <c r="Y475" s="136" t="e">
        <f t="shared" ca="1" si="51"/>
        <v>#N/A</v>
      </c>
      <c r="Z475" s="136" t="e">
        <f t="shared" ca="1" si="52"/>
        <v>#N/A</v>
      </c>
      <c r="AA475" s="134">
        <f ca="1">IFERROR(VLOOKUP(X475,'credit rating'!A:C,3,FALSE),0)</f>
        <v>0</v>
      </c>
      <c r="AB475" s="134">
        <f ca="1">IFERROR(VLOOKUP(Y475,'credit rating'!B:C,2,FALSE),0)</f>
        <v>0</v>
      </c>
      <c r="AC475" s="136">
        <f ca="1">IFERROR(VLOOKUP(Z475,'credit rating'!B:C,2,FALSE),0)</f>
        <v>0</v>
      </c>
      <c r="AD475" s="136">
        <f t="shared" ca="1" si="53"/>
        <v>0</v>
      </c>
      <c r="AE475" s="249" t="str">
        <f ca="1">IFERROR(VLOOKUP(B475,bond!B:U,20,FALSE),"")</f>
        <v/>
      </c>
      <c r="AF475" s="136" t="e">
        <f ca="1">IF(VLOOKUP(B475,bond!B:AK,36,FALSE)="#N/A Field Not Applicable","",VLOOKUP(B475,bond!B:AK,36,FALSE))</f>
        <v>#N/A</v>
      </c>
      <c r="AG475" s="136" t="e">
        <f ca="1">IF(VLOOKUP(B475,bond!B:AL,37,FALSE)="FIXED","固定",IF(VLOOKUP(B475,bond!B:AL,37,FALSE)="FLOATING","浮動",IF(VLOOKUP(B475,bond!B:AL,37,FALSE)="VARIABLE","變動",IF(VLOOKUP(B475,bond!B:AL,37,FALSE)="FLAT TRADING","不含息交易",IF(VLOOKUP(B475,bond!B:AL,37,FALSE)="ZERO COUPON","零息",VLOOKUP(B475,bond!B:AL,37,FALSE))))))</f>
        <v>#N/A</v>
      </c>
      <c r="AH475" s="136" t="e">
        <f>VLOOKUP(C475,'2_Check_code'!I:J,2,FALSE)</f>
        <v>#N/A</v>
      </c>
      <c r="AI475" s="136" t="e">
        <f t="shared" ca="1" si="54"/>
        <v>#N/A</v>
      </c>
      <c r="AJ475" s="136" t="e">
        <f t="shared" ca="1" si="55"/>
        <v>#N/A</v>
      </c>
      <c r="AK475" s="594" t="e">
        <f ca="1">IF(VLOOKUP(B475,bond!B:S,18,FALSE)="是","有",IF(VLOOKUP(B475,bond!B:S,18,FALSE)="NO OFFER","無","需查詢"))</f>
        <v>#N/A</v>
      </c>
      <c r="AL475" s="136" t="e">
        <f>IF(VLOOKUP(A475,bond!F:AR,39,FALSE)="#N/A Field Not Applicable",VLOOKUP(A475,bond!F:AR,38,FALSE),IFERROR(VLOOKUP(A475,'7_發行日例外'!A:B,2,FALSE),VLOOKUP(A475,bond!F:AR,39,FALSE)))</f>
        <v>#N/A</v>
      </c>
      <c r="AM475" s="136" t="e">
        <f ca="1">VLOOKUP(B475,bond!B:AK,36,FALSE)</f>
        <v>#N/A</v>
      </c>
      <c r="AN475" s="136" t="str">
        <f ca="1">IFERROR(VLOOKUP(B475,'3_是否下架'!A:A,1,FALSE),"")</f>
        <v/>
      </c>
      <c r="AO475" s="136" t="e">
        <f ca="1">VLOOKUP(B475,bond!B:J,9,FALSE)</f>
        <v>#N/A</v>
      </c>
      <c r="AP475" s="136" t="e">
        <f ca="1">VLOOKUP(B475,bond!B:V,21,FALSE)</f>
        <v>#N/A</v>
      </c>
    </row>
    <row r="476" spans="1:42">
      <c r="A476" s="141">
        <f>bond!F477</f>
        <v>0</v>
      </c>
      <c r="B476" s="151">
        <f ca="1">IF($C$1=TRUE,bond!B477,"")</f>
        <v>0</v>
      </c>
      <c r="C476" s="95" t="e">
        <f>VLOOKUP(A476,bond!F:G,2,FALSE)</f>
        <v>#N/A</v>
      </c>
      <c r="D476" s="142" t="e">
        <f ca="1">VLOOKUP(B476,bond!B:C,2,FALSE)</f>
        <v>#N/A</v>
      </c>
      <c r="E476" s="95" t="e">
        <f ca="1">VLOOKUP(B476,bond!B:D,3,FALSE)</f>
        <v>#N/A</v>
      </c>
      <c r="F476" s="99" t="e">
        <f ca="1">VLOOKUP(B476,bond!B:AB,27,FALSE)</f>
        <v>#N/A</v>
      </c>
      <c r="G476" s="90" t="e">
        <f ca="1">VLOOKUP(B476,bond!B:E,4,FALSE)</f>
        <v>#N/A</v>
      </c>
      <c r="H476" s="202" t="e">
        <f ca="1">VLOOKUP(B476,bond!B:Y,24,FALSE)</f>
        <v>#N/A</v>
      </c>
      <c r="I476" s="95" t="e">
        <f ca="1">VLOOKUP(B476,bond!B:Z,25,FALSE)</f>
        <v>#N/A</v>
      </c>
      <c r="J476" s="180" t="e">
        <f ca="1">VLOOKUP(B476,bond!B:K,10,FALSE)</f>
        <v>#N/A</v>
      </c>
      <c r="K476" s="96" t="e">
        <f ca="1">VLOOKUP($B476,bond!B:S,14,FALSE)</f>
        <v>#N/A</v>
      </c>
      <c r="L476" s="91" t="e">
        <f ca="1">VLOOKUP(B476,bond!B:H,7,FALSE)</f>
        <v>#N/A</v>
      </c>
      <c r="M476" s="144" t="e">
        <f ca="1">VLOOKUP($B476,bond!$B:$Q,16,FALSE)</f>
        <v>#N/A</v>
      </c>
      <c r="N476" s="136" t="e">
        <f ca="1">VALUE(LEFT(VLOOKUP(B476,bond!B:R,17,FALSE),SEARCH(" ",VLOOKUP(B476,bond!B:R,17,FALSE),1)))</f>
        <v>#N/A</v>
      </c>
      <c r="O476" s="136" t="e">
        <f ca="1">VALUE(RIGHT(VLOOKUP(B476,bond!B:R,17,FALSE),LEN(VLOOKUP(B476,bond!B:R,17,FALSE))-LEN(N476)-3))</f>
        <v>#N/A</v>
      </c>
      <c r="P476" s="135" t="e">
        <f ca="1">VLOOKUP($B476,bond!$B:$AG,32,FALSE)</f>
        <v>#N/A</v>
      </c>
      <c r="Q476" s="135" t="e">
        <f ca="1">VLOOKUP($B476,bond!$B:$AH,33,FALSE)</f>
        <v>#N/A</v>
      </c>
      <c r="R476" s="135" t="e">
        <f ca="1">VLOOKUP(B476,bond!B:AA,26,FALSE)</f>
        <v>#N/A</v>
      </c>
      <c r="S476" s="135" t="e">
        <f ca="1">VLOOKUP(B476,bond!B:AI,34,FALSE)</f>
        <v>#N/A</v>
      </c>
      <c r="T476" s="135" t="e">
        <f t="shared" ca="1" si="49"/>
        <v>#N/A</v>
      </c>
      <c r="U476" s="207" t="e">
        <f ca="1">IFERROR(VLOOKUP(T476,Bond_DES!D:E,2,FALSE),VLOOKUP(S476,bond!AI:AJ,2,FALSE))</f>
        <v>#N/A</v>
      </c>
      <c r="V476" s="136" t="e">
        <f ca="1">IFERROR(VLOOKUP(B476,'1_重設數據'!L:M,2,FALSE),IF(Q476="政府",IF(AD476&gt;16,"(NPI)非專投",IF(AD476&gt;10,"(PI)專投","高資產")),IF(VLOOKUP(B476,bond!B:AN,39,FALSE)="Y","(PI)專投",IF(AD476&gt;=15,"(NPI)非專投",IF(AD476&gt;=10,"(PI)專投","高資產")))))</f>
        <v>#N/A</v>
      </c>
      <c r="W476" s="136" t="e">
        <f ca="1">VLOOKUP(AD476,'credit rating'!$F$2:$H$22,3,FALSE)</f>
        <v>#N/A</v>
      </c>
      <c r="X476" s="136" t="e">
        <f t="shared" ca="1" si="50"/>
        <v>#N/A</v>
      </c>
      <c r="Y476" s="136" t="e">
        <f t="shared" ca="1" si="51"/>
        <v>#N/A</v>
      </c>
      <c r="Z476" s="136" t="e">
        <f t="shared" ca="1" si="52"/>
        <v>#N/A</v>
      </c>
      <c r="AA476" s="134">
        <f ca="1">IFERROR(VLOOKUP(X476,'credit rating'!A:C,3,FALSE),0)</f>
        <v>0</v>
      </c>
      <c r="AB476" s="134">
        <f ca="1">IFERROR(VLOOKUP(Y476,'credit rating'!B:C,2,FALSE),0)</f>
        <v>0</v>
      </c>
      <c r="AC476" s="136">
        <f ca="1">IFERROR(VLOOKUP(Z476,'credit rating'!B:C,2,FALSE),0)</f>
        <v>0</v>
      </c>
      <c r="AD476" s="136">
        <f t="shared" ca="1" si="53"/>
        <v>0</v>
      </c>
      <c r="AE476" s="249" t="str">
        <f ca="1">IFERROR(VLOOKUP(B476,bond!B:U,20,FALSE),"")</f>
        <v/>
      </c>
      <c r="AF476" s="136" t="e">
        <f ca="1">IF(VLOOKUP(B476,bond!B:AK,36,FALSE)="#N/A Field Not Applicable","",VLOOKUP(B476,bond!B:AK,36,FALSE))</f>
        <v>#N/A</v>
      </c>
      <c r="AG476" s="136" t="e">
        <f ca="1">IF(VLOOKUP(B476,bond!B:AL,37,FALSE)="FIXED","固定",IF(VLOOKUP(B476,bond!B:AL,37,FALSE)="FLOATING","浮動",IF(VLOOKUP(B476,bond!B:AL,37,FALSE)="VARIABLE","變動",IF(VLOOKUP(B476,bond!B:AL,37,FALSE)="FLAT TRADING","不含息交易",IF(VLOOKUP(B476,bond!B:AL,37,FALSE)="ZERO COUPON","零息",VLOOKUP(B476,bond!B:AL,37,FALSE))))))</f>
        <v>#N/A</v>
      </c>
      <c r="AH476" s="136" t="e">
        <f>VLOOKUP(C476,'2_Check_code'!I:J,2,FALSE)</f>
        <v>#N/A</v>
      </c>
      <c r="AI476" s="136" t="e">
        <f t="shared" ca="1" si="54"/>
        <v>#N/A</v>
      </c>
      <c r="AJ476" s="136" t="e">
        <f t="shared" ca="1" si="55"/>
        <v>#N/A</v>
      </c>
      <c r="AK476" s="594" t="e">
        <f ca="1">IF(VLOOKUP(B476,bond!B:S,18,FALSE)="是","有",IF(VLOOKUP(B476,bond!B:S,18,FALSE)="NO OFFER","無","需查詢"))</f>
        <v>#N/A</v>
      </c>
      <c r="AL476" s="136" t="e">
        <f>IF(VLOOKUP(A476,bond!F:AR,39,FALSE)="#N/A Field Not Applicable",VLOOKUP(A476,bond!F:AR,38,FALSE),IFERROR(VLOOKUP(A476,'7_發行日例外'!A:B,2,FALSE),VLOOKUP(A476,bond!F:AR,39,FALSE)))</f>
        <v>#N/A</v>
      </c>
      <c r="AM476" s="136" t="e">
        <f ca="1">VLOOKUP(B476,bond!B:AK,36,FALSE)</f>
        <v>#N/A</v>
      </c>
      <c r="AN476" s="136" t="str">
        <f ca="1">IFERROR(VLOOKUP(B476,'3_是否下架'!A:A,1,FALSE),"")</f>
        <v/>
      </c>
      <c r="AO476" s="136" t="e">
        <f ca="1">VLOOKUP(B476,bond!B:J,9,FALSE)</f>
        <v>#N/A</v>
      </c>
      <c r="AP476" s="136" t="e">
        <f ca="1">VLOOKUP(B476,bond!B:V,21,FALSE)</f>
        <v>#N/A</v>
      </c>
    </row>
    <row r="477" spans="1:42">
      <c r="A477" s="141">
        <f>bond!F478</f>
        <v>0</v>
      </c>
      <c r="B477" s="151">
        <f ca="1">IF($C$1=TRUE,bond!B478,"")</f>
        <v>0</v>
      </c>
      <c r="C477" s="95" t="e">
        <f>VLOOKUP(A477,bond!F:G,2,FALSE)</f>
        <v>#N/A</v>
      </c>
      <c r="D477" s="142" t="e">
        <f ca="1">VLOOKUP(B477,bond!B:C,2,FALSE)</f>
        <v>#N/A</v>
      </c>
      <c r="E477" s="95" t="e">
        <f ca="1">VLOOKUP(B477,bond!B:D,3,FALSE)</f>
        <v>#N/A</v>
      </c>
      <c r="F477" s="99" t="e">
        <f ca="1">VLOOKUP(B477,bond!B:AB,27,FALSE)</f>
        <v>#N/A</v>
      </c>
      <c r="G477" s="90" t="e">
        <f ca="1">VLOOKUP(B477,bond!B:E,4,FALSE)</f>
        <v>#N/A</v>
      </c>
      <c r="H477" s="202" t="e">
        <f ca="1">VLOOKUP(B477,bond!B:Y,24,FALSE)</f>
        <v>#N/A</v>
      </c>
      <c r="I477" s="95" t="e">
        <f ca="1">VLOOKUP(B477,bond!B:Z,25,FALSE)</f>
        <v>#N/A</v>
      </c>
      <c r="J477" s="180" t="e">
        <f ca="1">VLOOKUP(B477,bond!B:K,10,FALSE)</f>
        <v>#N/A</v>
      </c>
      <c r="K477" s="96" t="e">
        <f ca="1">VLOOKUP($B477,bond!B:S,14,FALSE)</f>
        <v>#N/A</v>
      </c>
      <c r="L477" s="91" t="e">
        <f ca="1">VLOOKUP(B477,bond!B:H,7,FALSE)</f>
        <v>#N/A</v>
      </c>
      <c r="M477" s="144" t="e">
        <f ca="1">VLOOKUP($B477,bond!$B:$Q,16,FALSE)</f>
        <v>#N/A</v>
      </c>
      <c r="N477" s="136" t="e">
        <f ca="1">VALUE(LEFT(VLOOKUP(B477,bond!B:R,17,FALSE),SEARCH(" ",VLOOKUP(B477,bond!B:R,17,FALSE),1)))</f>
        <v>#N/A</v>
      </c>
      <c r="O477" s="136" t="e">
        <f ca="1">VALUE(RIGHT(VLOOKUP(B477,bond!B:R,17,FALSE),LEN(VLOOKUP(B477,bond!B:R,17,FALSE))-LEN(N477)-3))</f>
        <v>#N/A</v>
      </c>
      <c r="P477" s="135" t="e">
        <f ca="1">VLOOKUP($B477,bond!$B:$AG,32,FALSE)</f>
        <v>#N/A</v>
      </c>
      <c r="Q477" s="135" t="e">
        <f ca="1">VLOOKUP($B477,bond!$B:$AH,33,FALSE)</f>
        <v>#N/A</v>
      </c>
      <c r="R477" s="135" t="e">
        <f ca="1">VLOOKUP(B477,bond!B:AA,26,FALSE)</f>
        <v>#N/A</v>
      </c>
      <c r="S477" s="135" t="e">
        <f ca="1">VLOOKUP(B477,bond!B:AI,34,FALSE)</f>
        <v>#N/A</v>
      </c>
      <c r="T477" s="135" t="e">
        <f t="shared" ca="1" si="49"/>
        <v>#N/A</v>
      </c>
      <c r="U477" s="207" t="e">
        <f ca="1">IFERROR(VLOOKUP(T477,Bond_DES!D:E,2,FALSE),VLOOKUP(S477,bond!AI:AJ,2,FALSE))</f>
        <v>#N/A</v>
      </c>
      <c r="V477" s="136" t="e">
        <f ca="1">IFERROR(VLOOKUP(B477,'1_重設數據'!L:M,2,FALSE),IF(Q477="政府",IF(AD477&gt;16,"(NPI)非專投",IF(AD477&gt;10,"(PI)專投","高資產")),IF(VLOOKUP(B477,bond!B:AN,39,FALSE)="Y","(PI)專投",IF(AD477&gt;=15,"(NPI)非專投",IF(AD477&gt;=10,"(PI)專投","高資產")))))</f>
        <v>#N/A</v>
      </c>
      <c r="W477" s="136" t="e">
        <f ca="1">VLOOKUP(AD477,'credit rating'!$F$2:$H$22,3,FALSE)</f>
        <v>#N/A</v>
      </c>
      <c r="X477" s="136" t="e">
        <f t="shared" ca="1" si="50"/>
        <v>#N/A</v>
      </c>
      <c r="Y477" s="136" t="e">
        <f t="shared" ca="1" si="51"/>
        <v>#N/A</v>
      </c>
      <c r="Z477" s="136" t="e">
        <f t="shared" ca="1" si="52"/>
        <v>#N/A</v>
      </c>
      <c r="AA477" s="134">
        <f ca="1">IFERROR(VLOOKUP(X477,'credit rating'!A:C,3,FALSE),0)</f>
        <v>0</v>
      </c>
      <c r="AB477" s="134">
        <f ca="1">IFERROR(VLOOKUP(Y477,'credit rating'!B:C,2,FALSE),0)</f>
        <v>0</v>
      </c>
      <c r="AC477" s="136">
        <f ca="1">IFERROR(VLOOKUP(Z477,'credit rating'!B:C,2,FALSE),0)</f>
        <v>0</v>
      </c>
      <c r="AD477" s="136">
        <f t="shared" ca="1" si="53"/>
        <v>0</v>
      </c>
      <c r="AE477" s="249" t="str">
        <f ca="1">IFERROR(VLOOKUP(B477,bond!B:U,20,FALSE),"")</f>
        <v/>
      </c>
      <c r="AF477" s="136" t="e">
        <f ca="1">IF(VLOOKUP(B477,bond!B:AK,36,FALSE)="#N/A Field Not Applicable","",VLOOKUP(B477,bond!B:AK,36,FALSE))</f>
        <v>#N/A</v>
      </c>
      <c r="AG477" s="136" t="e">
        <f ca="1">IF(VLOOKUP(B477,bond!B:AL,37,FALSE)="FIXED","固定",IF(VLOOKUP(B477,bond!B:AL,37,FALSE)="FLOATING","浮動",IF(VLOOKUP(B477,bond!B:AL,37,FALSE)="VARIABLE","變動",IF(VLOOKUP(B477,bond!B:AL,37,FALSE)="FLAT TRADING","不含息交易",IF(VLOOKUP(B477,bond!B:AL,37,FALSE)="ZERO COUPON","零息",VLOOKUP(B477,bond!B:AL,37,FALSE))))))</f>
        <v>#N/A</v>
      </c>
      <c r="AH477" s="136" t="e">
        <f>VLOOKUP(C477,'2_Check_code'!I:J,2,FALSE)</f>
        <v>#N/A</v>
      </c>
      <c r="AI477" s="136" t="e">
        <f t="shared" ca="1" si="54"/>
        <v>#N/A</v>
      </c>
      <c r="AJ477" s="136" t="e">
        <f t="shared" ca="1" si="55"/>
        <v>#N/A</v>
      </c>
      <c r="AK477" s="594" t="e">
        <f ca="1">IF(VLOOKUP(B477,bond!B:S,18,FALSE)="是","有",IF(VLOOKUP(B477,bond!B:S,18,FALSE)="NO OFFER","無","需查詢"))</f>
        <v>#N/A</v>
      </c>
      <c r="AL477" s="136" t="e">
        <f>IF(VLOOKUP(A477,bond!F:AR,39,FALSE)="#N/A Field Not Applicable",VLOOKUP(A477,bond!F:AR,38,FALSE),IFERROR(VLOOKUP(A477,'7_發行日例外'!A:B,2,FALSE),VLOOKUP(A477,bond!F:AR,39,FALSE)))</f>
        <v>#N/A</v>
      </c>
      <c r="AM477" s="136" t="e">
        <f ca="1">VLOOKUP(B477,bond!B:AK,36,FALSE)</f>
        <v>#N/A</v>
      </c>
      <c r="AN477" s="136" t="str">
        <f ca="1">IFERROR(VLOOKUP(B477,'3_是否下架'!A:A,1,FALSE),"")</f>
        <v/>
      </c>
      <c r="AO477" s="136" t="e">
        <f ca="1">VLOOKUP(B477,bond!B:J,9,FALSE)</f>
        <v>#N/A</v>
      </c>
      <c r="AP477" s="136" t="e">
        <f ca="1">VLOOKUP(B477,bond!B:V,21,FALSE)</f>
        <v>#N/A</v>
      </c>
    </row>
    <row r="478" spans="1:42">
      <c r="A478" s="141">
        <f>bond!F479</f>
        <v>0</v>
      </c>
      <c r="B478" s="151">
        <f ca="1">IF($C$1=TRUE,bond!B479,"")</f>
        <v>0</v>
      </c>
      <c r="C478" s="95" t="e">
        <f>VLOOKUP(A478,bond!F:G,2,FALSE)</f>
        <v>#N/A</v>
      </c>
      <c r="D478" s="142" t="e">
        <f ca="1">VLOOKUP(B478,bond!B:C,2,FALSE)</f>
        <v>#N/A</v>
      </c>
      <c r="E478" s="95" t="e">
        <f ca="1">VLOOKUP(B478,bond!B:D,3,FALSE)</f>
        <v>#N/A</v>
      </c>
      <c r="F478" s="99" t="e">
        <f ca="1">VLOOKUP(B478,bond!B:AB,27,FALSE)</f>
        <v>#N/A</v>
      </c>
      <c r="G478" s="90" t="e">
        <f ca="1">VLOOKUP(B478,bond!B:E,4,FALSE)</f>
        <v>#N/A</v>
      </c>
      <c r="H478" s="202" t="e">
        <f ca="1">VLOOKUP(B478,bond!B:Y,24,FALSE)</f>
        <v>#N/A</v>
      </c>
      <c r="I478" s="95" t="e">
        <f ca="1">VLOOKUP(B478,bond!B:Z,25,FALSE)</f>
        <v>#N/A</v>
      </c>
      <c r="J478" s="180" t="e">
        <f ca="1">VLOOKUP(B478,bond!B:K,10,FALSE)</f>
        <v>#N/A</v>
      </c>
      <c r="K478" s="96" t="e">
        <f ca="1">VLOOKUP($B478,bond!B:S,14,FALSE)</f>
        <v>#N/A</v>
      </c>
      <c r="L478" s="91" t="e">
        <f ca="1">VLOOKUP(B478,bond!B:H,7,FALSE)</f>
        <v>#N/A</v>
      </c>
      <c r="M478" s="144" t="e">
        <f ca="1">VLOOKUP($B478,bond!$B:$Q,16,FALSE)</f>
        <v>#N/A</v>
      </c>
      <c r="N478" s="136" t="e">
        <f ca="1">VALUE(LEFT(VLOOKUP(B478,bond!B:R,17,FALSE),SEARCH(" ",VLOOKUP(B478,bond!B:R,17,FALSE),1)))</f>
        <v>#N/A</v>
      </c>
      <c r="O478" s="136" t="e">
        <f ca="1">VALUE(RIGHT(VLOOKUP(B478,bond!B:R,17,FALSE),LEN(VLOOKUP(B478,bond!B:R,17,FALSE))-LEN(N478)-3))</f>
        <v>#N/A</v>
      </c>
      <c r="P478" s="135" t="e">
        <f ca="1">VLOOKUP($B478,bond!$B:$AG,32,FALSE)</f>
        <v>#N/A</v>
      </c>
      <c r="Q478" s="135" t="e">
        <f ca="1">VLOOKUP($B478,bond!$B:$AH,33,FALSE)</f>
        <v>#N/A</v>
      </c>
      <c r="R478" s="135" t="e">
        <f ca="1">VLOOKUP(B478,bond!B:AA,26,FALSE)</f>
        <v>#N/A</v>
      </c>
      <c r="S478" s="135" t="e">
        <f ca="1">VLOOKUP(B478,bond!B:AI,34,FALSE)</f>
        <v>#N/A</v>
      </c>
      <c r="T478" s="135" t="e">
        <f t="shared" ca="1" si="49"/>
        <v>#N/A</v>
      </c>
      <c r="U478" s="207" t="e">
        <f ca="1">IFERROR(VLOOKUP(T478,Bond_DES!D:E,2,FALSE),VLOOKUP(S478,bond!AI:AJ,2,FALSE))</f>
        <v>#N/A</v>
      </c>
      <c r="V478" s="136" t="e">
        <f ca="1">IFERROR(VLOOKUP(B478,'1_重設數據'!L:M,2,FALSE),IF(Q478="政府",IF(AD478&gt;16,"(NPI)非專投",IF(AD478&gt;10,"(PI)專投","高資產")),IF(VLOOKUP(B478,bond!B:AN,39,FALSE)="Y","(PI)專投",IF(AD478&gt;=15,"(NPI)非專投",IF(AD478&gt;=10,"(PI)專投","高資產")))))</f>
        <v>#N/A</v>
      </c>
      <c r="W478" s="136" t="e">
        <f ca="1">VLOOKUP(AD478,'credit rating'!$F$2:$H$22,3,FALSE)</f>
        <v>#N/A</v>
      </c>
      <c r="X478" s="136" t="e">
        <f t="shared" ca="1" si="50"/>
        <v>#N/A</v>
      </c>
      <c r="Y478" s="136" t="e">
        <f t="shared" ca="1" si="51"/>
        <v>#N/A</v>
      </c>
      <c r="Z478" s="136" t="e">
        <f t="shared" ca="1" si="52"/>
        <v>#N/A</v>
      </c>
      <c r="AA478" s="134">
        <f ca="1">IFERROR(VLOOKUP(X478,'credit rating'!A:C,3,FALSE),0)</f>
        <v>0</v>
      </c>
      <c r="AB478" s="134">
        <f ca="1">IFERROR(VLOOKUP(Y478,'credit rating'!B:C,2,FALSE),0)</f>
        <v>0</v>
      </c>
      <c r="AC478" s="136">
        <f ca="1">IFERROR(VLOOKUP(Z478,'credit rating'!B:C,2,FALSE),0)</f>
        <v>0</v>
      </c>
      <c r="AD478" s="136">
        <f t="shared" ca="1" si="53"/>
        <v>0</v>
      </c>
      <c r="AE478" s="249" t="str">
        <f ca="1">IFERROR(VLOOKUP(B478,bond!B:U,20,FALSE),"")</f>
        <v/>
      </c>
      <c r="AF478" s="136" t="e">
        <f ca="1">IF(VLOOKUP(B478,bond!B:AK,36,FALSE)="#N/A Field Not Applicable","",VLOOKUP(B478,bond!B:AK,36,FALSE))</f>
        <v>#N/A</v>
      </c>
      <c r="AG478" s="136" t="e">
        <f ca="1">IF(VLOOKUP(B478,bond!B:AL,37,FALSE)="FIXED","固定",IF(VLOOKUP(B478,bond!B:AL,37,FALSE)="FLOATING","浮動",IF(VLOOKUP(B478,bond!B:AL,37,FALSE)="VARIABLE","變動",IF(VLOOKUP(B478,bond!B:AL,37,FALSE)="FLAT TRADING","不含息交易",IF(VLOOKUP(B478,bond!B:AL,37,FALSE)="ZERO COUPON","零息",VLOOKUP(B478,bond!B:AL,37,FALSE))))))</f>
        <v>#N/A</v>
      </c>
      <c r="AH478" s="136" t="e">
        <f>VLOOKUP(C478,'2_Check_code'!I:J,2,FALSE)</f>
        <v>#N/A</v>
      </c>
      <c r="AI478" s="136" t="e">
        <f t="shared" ca="1" si="54"/>
        <v>#N/A</v>
      </c>
      <c r="AJ478" s="136" t="e">
        <f t="shared" ca="1" si="55"/>
        <v>#N/A</v>
      </c>
      <c r="AK478" s="594" t="e">
        <f ca="1">IF(VLOOKUP(B478,bond!B:S,18,FALSE)="是","有",IF(VLOOKUP(B478,bond!B:S,18,FALSE)="NO OFFER","無","需查詢"))</f>
        <v>#N/A</v>
      </c>
      <c r="AL478" s="136" t="e">
        <f>IF(VLOOKUP(A478,bond!F:AR,39,FALSE)="#N/A Field Not Applicable",VLOOKUP(A478,bond!F:AR,38,FALSE),IFERROR(VLOOKUP(A478,'7_發行日例外'!A:B,2,FALSE),VLOOKUP(A478,bond!F:AR,39,FALSE)))</f>
        <v>#N/A</v>
      </c>
      <c r="AM478" s="136" t="e">
        <f ca="1">VLOOKUP(B478,bond!B:AK,36,FALSE)</f>
        <v>#N/A</v>
      </c>
      <c r="AN478" s="136" t="str">
        <f ca="1">IFERROR(VLOOKUP(B478,'3_是否下架'!A:A,1,FALSE),"")</f>
        <v/>
      </c>
      <c r="AO478" s="136" t="e">
        <f ca="1">VLOOKUP(B478,bond!B:J,9,FALSE)</f>
        <v>#N/A</v>
      </c>
      <c r="AP478" s="136" t="e">
        <f ca="1">VLOOKUP(B478,bond!B:V,21,FALSE)</f>
        <v>#N/A</v>
      </c>
    </row>
    <row r="479" spans="1:42">
      <c r="A479" s="141">
        <f>bond!F480</f>
        <v>0</v>
      </c>
      <c r="B479" s="151">
        <f ca="1">IF($C$1=TRUE,bond!B480,"")</f>
        <v>0</v>
      </c>
      <c r="C479" s="95" t="e">
        <f>VLOOKUP(A479,bond!F:G,2,FALSE)</f>
        <v>#N/A</v>
      </c>
      <c r="D479" s="142" t="e">
        <f ca="1">VLOOKUP(B479,bond!B:C,2,FALSE)</f>
        <v>#N/A</v>
      </c>
      <c r="E479" s="95" t="e">
        <f ca="1">VLOOKUP(B479,bond!B:D,3,FALSE)</f>
        <v>#N/A</v>
      </c>
      <c r="F479" s="99" t="e">
        <f ca="1">VLOOKUP(B479,bond!B:AB,27,FALSE)</f>
        <v>#N/A</v>
      </c>
      <c r="G479" s="90" t="e">
        <f ca="1">VLOOKUP(B479,bond!B:E,4,FALSE)</f>
        <v>#N/A</v>
      </c>
      <c r="H479" s="202" t="e">
        <f ca="1">VLOOKUP(B479,bond!B:Y,24,FALSE)</f>
        <v>#N/A</v>
      </c>
      <c r="I479" s="95" t="e">
        <f ca="1">VLOOKUP(B479,bond!B:Z,25,FALSE)</f>
        <v>#N/A</v>
      </c>
      <c r="J479" s="180" t="e">
        <f ca="1">VLOOKUP(B479,bond!B:K,10,FALSE)</f>
        <v>#N/A</v>
      </c>
      <c r="K479" s="96" t="e">
        <f ca="1">VLOOKUP($B479,bond!B:S,14,FALSE)</f>
        <v>#N/A</v>
      </c>
      <c r="L479" s="91" t="e">
        <f ca="1">VLOOKUP(B479,bond!B:H,7,FALSE)</f>
        <v>#N/A</v>
      </c>
      <c r="M479" s="144" t="e">
        <f ca="1">VLOOKUP($B479,bond!$B:$Q,16,FALSE)</f>
        <v>#N/A</v>
      </c>
      <c r="N479" s="136" t="e">
        <f ca="1">VALUE(LEFT(VLOOKUP(B479,bond!B:R,17,FALSE),SEARCH(" ",VLOOKUP(B479,bond!B:R,17,FALSE),1)))</f>
        <v>#N/A</v>
      </c>
      <c r="O479" s="136" t="e">
        <f ca="1">VALUE(RIGHT(VLOOKUP(B479,bond!B:R,17,FALSE),LEN(VLOOKUP(B479,bond!B:R,17,FALSE))-LEN(N479)-3))</f>
        <v>#N/A</v>
      </c>
      <c r="P479" s="135" t="e">
        <f ca="1">VLOOKUP($B479,bond!$B:$AG,32,FALSE)</f>
        <v>#N/A</v>
      </c>
      <c r="Q479" s="135" t="e">
        <f ca="1">VLOOKUP($B479,bond!$B:$AH,33,FALSE)</f>
        <v>#N/A</v>
      </c>
      <c r="R479" s="135" t="e">
        <f ca="1">VLOOKUP(B479,bond!B:AA,26,FALSE)</f>
        <v>#N/A</v>
      </c>
      <c r="S479" s="135" t="e">
        <f ca="1">VLOOKUP(B479,bond!B:AI,34,FALSE)</f>
        <v>#N/A</v>
      </c>
      <c r="T479" s="135" t="e">
        <f t="shared" ca="1" si="49"/>
        <v>#N/A</v>
      </c>
      <c r="U479" s="207" t="e">
        <f ca="1">IFERROR(VLOOKUP(T479,Bond_DES!D:E,2,FALSE),VLOOKUP(S479,bond!AI:AJ,2,FALSE))</f>
        <v>#N/A</v>
      </c>
      <c r="V479" s="136" t="e">
        <f ca="1">IFERROR(VLOOKUP(B479,'1_重設數據'!L:M,2,FALSE),IF(Q479="政府",IF(AD479&gt;16,"(NPI)非專投",IF(AD479&gt;10,"(PI)專投","高資產")),IF(VLOOKUP(B479,bond!B:AN,39,FALSE)="Y","(PI)專投",IF(AD479&gt;=15,"(NPI)非專投",IF(AD479&gt;=10,"(PI)專投","高資產")))))</f>
        <v>#N/A</v>
      </c>
      <c r="W479" s="136" t="e">
        <f ca="1">VLOOKUP(AD479,'credit rating'!$F$2:$H$22,3,FALSE)</f>
        <v>#N/A</v>
      </c>
      <c r="X479" s="136" t="e">
        <f t="shared" ca="1" si="50"/>
        <v>#N/A</v>
      </c>
      <c r="Y479" s="136" t="e">
        <f t="shared" ca="1" si="51"/>
        <v>#N/A</v>
      </c>
      <c r="Z479" s="136" t="e">
        <f t="shared" ca="1" si="52"/>
        <v>#N/A</v>
      </c>
      <c r="AA479" s="134">
        <f ca="1">IFERROR(VLOOKUP(X479,'credit rating'!A:C,3,FALSE),0)</f>
        <v>0</v>
      </c>
      <c r="AB479" s="134">
        <f ca="1">IFERROR(VLOOKUP(Y479,'credit rating'!B:C,2,FALSE),0)</f>
        <v>0</v>
      </c>
      <c r="AC479" s="136">
        <f ca="1">IFERROR(VLOOKUP(Z479,'credit rating'!B:C,2,FALSE),0)</f>
        <v>0</v>
      </c>
      <c r="AD479" s="136">
        <f t="shared" ca="1" si="53"/>
        <v>0</v>
      </c>
      <c r="AE479" s="249" t="str">
        <f ca="1">IFERROR(VLOOKUP(B479,bond!B:U,20,FALSE),"")</f>
        <v/>
      </c>
      <c r="AF479" s="136" t="e">
        <f ca="1">IF(VLOOKUP(B479,bond!B:AK,36,FALSE)="#N/A Field Not Applicable","",VLOOKUP(B479,bond!B:AK,36,FALSE))</f>
        <v>#N/A</v>
      </c>
      <c r="AG479" s="136" t="e">
        <f ca="1">IF(VLOOKUP(B479,bond!B:AL,37,FALSE)="FIXED","固定",IF(VLOOKUP(B479,bond!B:AL,37,FALSE)="FLOATING","浮動",IF(VLOOKUP(B479,bond!B:AL,37,FALSE)="VARIABLE","變動",IF(VLOOKUP(B479,bond!B:AL,37,FALSE)="FLAT TRADING","不含息交易",IF(VLOOKUP(B479,bond!B:AL,37,FALSE)="ZERO COUPON","零息",VLOOKUP(B479,bond!B:AL,37,FALSE))))))</f>
        <v>#N/A</v>
      </c>
      <c r="AH479" s="136" t="e">
        <f>VLOOKUP(C479,'2_Check_code'!I:J,2,FALSE)</f>
        <v>#N/A</v>
      </c>
      <c r="AI479" s="136" t="e">
        <f t="shared" ca="1" si="54"/>
        <v>#N/A</v>
      </c>
      <c r="AJ479" s="136" t="e">
        <f t="shared" ca="1" si="55"/>
        <v>#N/A</v>
      </c>
      <c r="AK479" s="594" t="e">
        <f ca="1">IF(VLOOKUP(B479,bond!B:S,18,FALSE)="是","有",IF(VLOOKUP(B479,bond!B:S,18,FALSE)="NO OFFER","無","需查詢"))</f>
        <v>#N/A</v>
      </c>
      <c r="AL479" s="136" t="e">
        <f>IF(VLOOKUP(A479,bond!F:AR,39,FALSE)="#N/A Field Not Applicable",VLOOKUP(A479,bond!F:AR,38,FALSE),IFERROR(VLOOKUP(A479,'7_發行日例外'!A:B,2,FALSE),VLOOKUP(A479,bond!F:AR,39,FALSE)))</f>
        <v>#N/A</v>
      </c>
      <c r="AM479" s="136" t="e">
        <f ca="1">VLOOKUP(B479,bond!B:AK,36,FALSE)</f>
        <v>#N/A</v>
      </c>
      <c r="AN479" s="136" t="str">
        <f ca="1">IFERROR(VLOOKUP(B479,'3_是否下架'!A:A,1,FALSE),"")</f>
        <v/>
      </c>
      <c r="AO479" s="136" t="e">
        <f ca="1">VLOOKUP(B479,bond!B:J,9,FALSE)</f>
        <v>#N/A</v>
      </c>
      <c r="AP479" s="136" t="e">
        <f ca="1">VLOOKUP(B479,bond!B:V,21,FALSE)</f>
        <v>#N/A</v>
      </c>
    </row>
    <row r="480" spans="1:42">
      <c r="A480" s="141">
        <f>bond!F481</f>
        <v>0</v>
      </c>
      <c r="B480" s="151">
        <f ca="1">IF($C$1=TRUE,bond!B481,"")</f>
        <v>0</v>
      </c>
      <c r="C480" s="95" t="e">
        <f>VLOOKUP(A480,bond!F:G,2,FALSE)</f>
        <v>#N/A</v>
      </c>
      <c r="D480" s="142" t="e">
        <f ca="1">VLOOKUP(B480,bond!B:C,2,FALSE)</f>
        <v>#N/A</v>
      </c>
      <c r="E480" s="95" t="e">
        <f ca="1">VLOOKUP(B480,bond!B:D,3,FALSE)</f>
        <v>#N/A</v>
      </c>
      <c r="F480" s="99" t="e">
        <f ca="1">VLOOKUP(B480,bond!B:AB,27,FALSE)</f>
        <v>#N/A</v>
      </c>
      <c r="G480" s="90" t="e">
        <f ca="1">VLOOKUP(B480,bond!B:E,4,FALSE)</f>
        <v>#N/A</v>
      </c>
      <c r="H480" s="202" t="e">
        <f ca="1">VLOOKUP(B480,bond!B:Y,24,FALSE)</f>
        <v>#N/A</v>
      </c>
      <c r="I480" s="95" t="e">
        <f ca="1">VLOOKUP(B480,bond!B:Z,25,FALSE)</f>
        <v>#N/A</v>
      </c>
      <c r="J480" s="180" t="e">
        <f ca="1">VLOOKUP(B480,bond!B:K,10,FALSE)</f>
        <v>#N/A</v>
      </c>
      <c r="K480" s="96" t="e">
        <f ca="1">VLOOKUP($B480,bond!B:S,14,FALSE)</f>
        <v>#N/A</v>
      </c>
      <c r="L480" s="91" t="e">
        <f ca="1">VLOOKUP(B480,bond!B:H,7,FALSE)</f>
        <v>#N/A</v>
      </c>
      <c r="M480" s="144" t="e">
        <f ca="1">VLOOKUP($B480,bond!$B:$Q,16,FALSE)</f>
        <v>#N/A</v>
      </c>
      <c r="N480" s="136" t="e">
        <f ca="1">VALUE(LEFT(VLOOKUP(B480,bond!B:R,17,FALSE),SEARCH(" ",VLOOKUP(B480,bond!B:R,17,FALSE),1)))</f>
        <v>#N/A</v>
      </c>
      <c r="O480" s="136" t="e">
        <f ca="1">VALUE(RIGHT(VLOOKUP(B480,bond!B:R,17,FALSE),LEN(VLOOKUP(B480,bond!B:R,17,FALSE))-LEN(N480)-3))</f>
        <v>#N/A</v>
      </c>
      <c r="P480" s="135" t="e">
        <f ca="1">VLOOKUP($B480,bond!$B:$AG,32,FALSE)</f>
        <v>#N/A</v>
      </c>
      <c r="Q480" s="135" t="e">
        <f ca="1">VLOOKUP($B480,bond!$B:$AH,33,FALSE)</f>
        <v>#N/A</v>
      </c>
      <c r="R480" s="135" t="e">
        <f ca="1">VLOOKUP(B480,bond!B:AA,26,FALSE)</f>
        <v>#N/A</v>
      </c>
      <c r="S480" s="135" t="e">
        <f ca="1">VLOOKUP(B480,bond!B:AI,34,FALSE)</f>
        <v>#N/A</v>
      </c>
      <c r="T480" s="135" t="e">
        <f t="shared" ca="1" si="49"/>
        <v>#N/A</v>
      </c>
      <c r="U480" s="207" t="e">
        <f ca="1">IFERROR(VLOOKUP(T480,Bond_DES!D:E,2,FALSE),VLOOKUP(S480,bond!AI:AJ,2,FALSE))</f>
        <v>#N/A</v>
      </c>
      <c r="V480" s="136" t="e">
        <f ca="1">IFERROR(VLOOKUP(B480,'1_重設數據'!L:M,2,FALSE),IF(Q480="政府",IF(AD480&gt;16,"(NPI)非專投",IF(AD480&gt;10,"(PI)專投","高資產")),IF(VLOOKUP(B480,bond!B:AN,39,FALSE)="Y","(PI)專投",IF(AD480&gt;=15,"(NPI)非專投",IF(AD480&gt;=10,"(PI)專投","高資產")))))</f>
        <v>#N/A</v>
      </c>
      <c r="W480" s="136" t="e">
        <f ca="1">VLOOKUP(AD480,'credit rating'!$F$2:$H$22,3,FALSE)</f>
        <v>#N/A</v>
      </c>
      <c r="X480" s="136" t="e">
        <f t="shared" ca="1" si="50"/>
        <v>#N/A</v>
      </c>
      <c r="Y480" s="136" t="e">
        <f t="shared" ca="1" si="51"/>
        <v>#N/A</v>
      </c>
      <c r="Z480" s="136" t="e">
        <f t="shared" ca="1" si="52"/>
        <v>#N/A</v>
      </c>
      <c r="AA480" s="134">
        <f ca="1">IFERROR(VLOOKUP(X480,'credit rating'!A:C,3,FALSE),0)</f>
        <v>0</v>
      </c>
      <c r="AB480" s="134">
        <f ca="1">IFERROR(VLOOKUP(Y480,'credit rating'!B:C,2,FALSE),0)</f>
        <v>0</v>
      </c>
      <c r="AC480" s="136">
        <f ca="1">IFERROR(VLOOKUP(Z480,'credit rating'!B:C,2,FALSE),0)</f>
        <v>0</v>
      </c>
      <c r="AD480" s="136">
        <f t="shared" ca="1" si="53"/>
        <v>0</v>
      </c>
      <c r="AE480" s="249" t="str">
        <f ca="1">IFERROR(VLOOKUP(B480,bond!B:U,20,FALSE),"")</f>
        <v/>
      </c>
      <c r="AF480" s="136" t="e">
        <f ca="1">IF(VLOOKUP(B480,bond!B:AK,36,FALSE)="#N/A Field Not Applicable","",VLOOKUP(B480,bond!B:AK,36,FALSE))</f>
        <v>#N/A</v>
      </c>
      <c r="AG480" s="136" t="e">
        <f ca="1">IF(VLOOKUP(B480,bond!B:AL,37,FALSE)="FIXED","固定",IF(VLOOKUP(B480,bond!B:AL,37,FALSE)="FLOATING","浮動",IF(VLOOKUP(B480,bond!B:AL,37,FALSE)="VARIABLE","變動",IF(VLOOKUP(B480,bond!B:AL,37,FALSE)="FLAT TRADING","不含息交易",IF(VLOOKUP(B480,bond!B:AL,37,FALSE)="ZERO COUPON","零息",VLOOKUP(B480,bond!B:AL,37,FALSE))))))</f>
        <v>#N/A</v>
      </c>
      <c r="AH480" s="136" t="e">
        <f>VLOOKUP(C480,'2_Check_code'!I:J,2,FALSE)</f>
        <v>#N/A</v>
      </c>
      <c r="AI480" s="136" t="e">
        <f t="shared" ca="1" si="54"/>
        <v>#N/A</v>
      </c>
      <c r="AJ480" s="136" t="e">
        <f t="shared" ca="1" si="55"/>
        <v>#N/A</v>
      </c>
      <c r="AK480" s="594" t="e">
        <f ca="1">IF(VLOOKUP(B480,bond!B:S,18,FALSE)="是","有",IF(VLOOKUP(B480,bond!B:S,18,FALSE)="NO OFFER","無","需查詢"))</f>
        <v>#N/A</v>
      </c>
      <c r="AL480" s="136" t="e">
        <f>IF(VLOOKUP(A480,bond!F:AR,39,FALSE)="#N/A Field Not Applicable",VLOOKUP(A480,bond!F:AR,38,FALSE),IFERROR(VLOOKUP(A480,'7_發行日例外'!A:B,2,FALSE),VLOOKUP(A480,bond!F:AR,39,FALSE)))</f>
        <v>#N/A</v>
      </c>
      <c r="AM480" s="136" t="e">
        <f ca="1">VLOOKUP(B480,bond!B:AK,36,FALSE)</f>
        <v>#N/A</v>
      </c>
      <c r="AN480" s="136" t="str">
        <f ca="1">IFERROR(VLOOKUP(B480,'3_是否下架'!A:A,1,FALSE),"")</f>
        <v/>
      </c>
      <c r="AO480" s="136" t="e">
        <f ca="1">VLOOKUP(B480,bond!B:J,9,FALSE)</f>
        <v>#N/A</v>
      </c>
      <c r="AP480" s="136" t="e">
        <f ca="1">VLOOKUP(B480,bond!B:V,21,FALSE)</f>
        <v>#N/A</v>
      </c>
    </row>
    <row r="481" spans="1:42">
      <c r="A481" s="141">
        <f>bond!F482</f>
        <v>0</v>
      </c>
      <c r="B481" s="151">
        <f ca="1">IF($C$1=TRUE,bond!B482,"")</f>
        <v>0</v>
      </c>
      <c r="C481" s="95" t="e">
        <f>VLOOKUP(A481,bond!F:G,2,FALSE)</f>
        <v>#N/A</v>
      </c>
      <c r="D481" s="142" t="e">
        <f ca="1">VLOOKUP(B481,bond!B:C,2,FALSE)</f>
        <v>#N/A</v>
      </c>
      <c r="E481" s="95" t="e">
        <f ca="1">VLOOKUP(B481,bond!B:D,3,FALSE)</f>
        <v>#N/A</v>
      </c>
      <c r="F481" s="99" t="e">
        <f ca="1">VLOOKUP(B481,bond!B:AB,27,FALSE)</f>
        <v>#N/A</v>
      </c>
      <c r="G481" s="90" t="e">
        <f ca="1">VLOOKUP(B481,bond!B:E,4,FALSE)</f>
        <v>#N/A</v>
      </c>
      <c r="H481" s="202" t="e">
        <f ca="1">VLOOKUP(B481,bond!B:Y,24,FALSE)</f>
        <v>#N/A</v>
      </c>
      <c r="I481" s="95" t="e">
        <f ca="1">VLOOKUP(B481,bond!B:Z,25,FALSE)</f>
        <v>#N/A</v>
      </c>
      <c r="J481" s="180" t="e">
        <f ca="1">VLOOKUP(B481,bond!B:K,10,FALSE)</f>
        <v>#N/A</v>
      </c>
      <c r="K481" s="96" t="e">
        <f ca="1">VLOOKUP($B481,bond!B:S,14,FALSE)</f>
        <v>#N/A</v>
      </c>
      <c r="L481" s="91" t="e">
        <f ca="1">VLOOKUP(B481,bond!B:H,7,FALSE)</f>
        <v>#N/A</v>
      </c>
      <c r="M481" s="144" t="e">
        <f ca="1">VLOOKUP($B481,bond!$B:$Q,16,FALSE)</f>
        <v>#N/A</v>
      </c>
      <c r="N481" s="136" t="e">
        <f ca="1">VALUE(LEFT(VLOOKUP(B481,bond!B:R,17,FALSE),SEARCH(" ",VLOOKUP(B481,bond!B:R,17,FALSE),1)))</f>
        <v>#N/A</v>
      </c>
      <c r="O481" s="136" t="e">
        <f ca="1">VALUE(RIGHT(VLOOKUP(B481,bond!B:R,17,FALSE),LEN(VLOOKUP(B481,bond!B:R,17,FALSE))-LEN(N481)-3))</f>
        <v>#N/A</v>
      </c>
      <c r="P481" s="135" t="e">
        <f ca="1">VLOOKUP($B481,bond!$B:$AG,32,FALSE)</f>
        <v>#N/A</v>
      </c>
      <c r="Q481" s="135" t="e">
        <f ca="1">VLOOKUP($B481,bond!$B:$AH,33,FALSE)</f>
        <v>#N/A</v>
      </c>
      <c r="R481" s="135" t="e">
        <f ca="1">VLOOKUP(B481,bond!B:AA,26,FALSE)</f>
        <v>#N/A</v>
      </c>
      <c r="S481" s="135" t="e">
        <f ca="1">VLOOKUP(B481,bond!B:AI,34,FALSE)</f>
        <v>#N/A</v>
      </c>
      <c r="T481" s="135" t="e">
        <f t="shared" ca="1" si="49"/>
        <v>#N/A</v>
      </c>
      <c r="U481" s="207" t="e">
        <f ca="1">IFERROR(VLOOKUP(T481,Bond_DES!D:E,2,FALSE),VLOOKUP(S481,bond!AI:AJ,2,FALSE))</f>
        <v>#N/A</v>
      </c>
      <c r="V481" s="136" t="e">
        <f ca="1">IFERROR(VLOOKUP(B481,'1_重設數據'!L:M,2,FALSE),IF(Q481="政府",IF(AD481&gt;16,"(NPI)非專投",IF(AD481&gt;10,"(PI)專投","高資產")),IF(VLOOKUP(B481,bond!B:AN,39,FALSE)="Y","(PI)專投",IF(AD481&gt;=15,"(NPI)非專投",IF(AD481&gt;=10,"(PI)專投","高資產")))))</f>
        <v>#N/A</v>
      </c>
      <c r="W481" s="136" t="e">
        <f ca="1">VLOOKUP(AD481,'credit rating'!$F$2:$H$22,3,FALSE)</f>
        <v>#N/A</v>
      </c>
      <c r="X481" s="136" t="e">
        <f t="shared" ca="1" si="50"/>
        <v>#N/A</v>
      </c>
      <c r="Y481" s="136" t="e">
        <f t="shared" ca="1" si="51"/>
        <v>#N/A</v>
      </c>
      <c r="Z481" s="136" t="e">
        <f t="shared" ca="1" si="52"/>
        <v>#N/A</v>
      </c>
      <c r="AA481" s="134">
        <f ca="1">IFERROR(VLOOKUP(X481,'credit rating'!A:C,3,FALSE),0)</f>
        <v>0</v>
      </c>
      <c r="AB481" s="134">
        <f ca="1">IFERROR(VLOOKUP(Y481,'credit rating'!B:C,2,FALSE),0)</f>
        <v>0</v>
      </c>
      <c r="AC481" s="136">
        <f ca="1">IFERROR(VLOOKUP(Z481,'credit rating'!B:C,2,FALSE),0)</f>
        <v>0</v>
      </c>
      <c r="AD481" s="136">
        <f t="shared" ca="1" si="53"/>
        <v>0</v>
      </c>
      <c r="AE481" s="249" t="str">
        <f ca="1">IFERROR(VLOOKUP(B481,bond!B:U,20,FALSE),"")</f>
        <v/>
      </c>
      <c r="AF481" s="136" t="e">
        <f ca="1">IF(VLOOKUP(B481,bond!B:AK,36,FALSE)="#N/A Field Not Applicable","",VLOOKUP(B481,bond!B:AK,36,FALSE))</f>
        <v>#N/A</v>
      </c>
      <c r="AG481" s="136" t="e">
        <f ca="1">IF(VLOOKUP(B481,bond!B:AL,37,FALSE)="FIXED","固定",IF(VLOOKUP(B481,bond!B:AL,37,FALSE)="FLOATING","浮動",IF(VLOOKUP(B481,bond!B:AL,37,FALSE)="VARIABLE","變動",IF(VLOOKUP(B481,bond!B:AL,37,FALSE)="FLAT TRADING","不含息交易",IF(VLOOKUP(B481,bond!B:AL,37,FALSE)="ZERO COUPON","零息",VLOOKUP(B481,bond!B:AL,37,FALSE))))))</f>
        <v>#N/A</v>
      </c>
      <c r="AH481" s="136" t="e">
        <f>VLOOKUP(C481,'2_Check_code'!I:J,2,FALSE)</f>
        <v>#N/A</v>
      </c>
      <c r="AI481" s="136" t="e">
        <f t="shared" ca="1" si="54"/>
        <v>#N/A</v>
      </c>
      <c r="AJ481" s="136" t="e">
        <f t="shared" ca="1" si="55"/>
        <v>#N/A</v>
      </c>
      <c r="AK481" s="594" t="e">
        <f ca="1">IF(VLOOKUP(B481,bond!B:S,18,FALSE)="是","有",IF(VLOOKUP(B481,bond!B:S,18,FALSE)="NO OFFER","無","需查詢"))</f>
        <v>#N/A</v>
      </c>
      <c r="AL481" s="136" t="e">
        <f>IF(VLOOKUP(A481,bond!F:AR,39,FALSE)="#N/A Field Not Applicable",VLOOKUP(A481,bond!F:AR,38,FALSE),IFERROR(VLOOKUP(A481,'7_發行日例外'!A:B,2,FALSE),VLOOKUP(A481,bond!F:AR,39,FALSE)))</f>
        <v>#N/A</v>
      </c>
      <c r="AM481" s="136" t="e">
        <f ca="1">VLOOKUP(B481,bond!B:AK,36,FALSE)</f>
        <v>#N/A</v>
      </c>
      <c r="AN481" s="136" t="str">
        <f ca="1">IFERROR(VLOOKUP(B481,'3_是否下架'!A:A,1,FALSE),"")</f>
        <v/>
      </c>
      <c r="AO481" s="136" t="e">
        <f ca="1">VLOOKUP(B481,bond!B:J,9,FALSE)</f>
        <v>#N/A</v>
      </c>
      <c r="AP481" s="136" t="e">
        <f ca="1">VLOOKUP(B481,bond!B:V,21,FALSE)</f>
        <v>#N/A</v>
      </c>
    </row>
    <row r="482" spans="1:42">
      <c r="A482" s="141">
        <f>bond!F483</f>
        <v>0</v>
      </c>
      <c r="B482" s="151">
        <f ca="1">IF($C$1=TRUE,bond!B483,"")</f>
        <v>0</v>
      </c>
      <c r="C482" s="95" t="e">
        <f>VLOOKUP(A482,bond!F:G,2,FALSE)</f>
        <v>#N/A</v>
      </c>
      <c r="D482" s="142" t="e">
        <f ca="1">VLOOKUP(B482,bond!B:C,2,FALSE)</f>
        <v>#N/A</v>
      </c>
      <c r="E482" s="95" t="e">
        <f ca="1">VLOOKUP(B482,bond!B:D,3,FALSE)</f>
        <v>#N/A</v>
      </c>
      <c r="F482" s="99" t="e">
        <f ca="1">VLOOKUP(B482,bond!B:AB,27,FALSE)</f>
        <v>#N/A</v>
      </c>
      <c r="G482" s="90" t="e">
        <f ca="1">VLOOKUP(B482,bond!B:E,4,FALSE)</f>
        <v>#N/A</v>
      </c>
      <c r="H482" s="202" t="e">
        <f ca="1">VLOOKUP(B482,bond!B:Y,24,FALSE)</f>
        <v>#N/A</v>
      </c>
      <c r="I482" s="95" t="e">
        <f ca="1">VLOOKUP(B482,bond!B:Z,25,FALSE)</f>
        <v>#N/A</v>
      </c>
      <c r="J482" s="180" t="e">
        <f ca="1">VLOOKUP(B482,bond!B:K,10,FALSE)</f>
        <v>#N/A</v>
      </c>
      <c r="K482" s="96" t="e">
        <f ca="1">VLOOKUP($B482,bond!B:S,14,FALSE)</f>
        <v>#N/A</v>
      </c>
      <c r="L482" s="91" t="e">
        <f ca="1">VLOOKUP(B482,bond!B:H,7,FALSE)</f>
        <v>#N/A</v>
      </c>
      <c r="M482" s="144" t="e">
        <f ca="1">VLOOKUP($B482,bond!$B:$Q,16,FALSE)</f>
        <v>#N/A</v>
      </c>
      <c r="N482" s="136" t="e">
        <f ca="1">VALUE(LEFT(VLOOKUP(B482,bond!B:R,17,FALSE),SEARCH(" ",VLOOKUP(B482,bond!B:R,17,FALSE),1)))</f>
        <v>#N/A</v>
      </c>
      <c r="O482" s="136" t="e">
        <f ca="1">VALUE(RIGHT(VLOOKUP(B482,bond!B:R,17,FALSE),LEN(VLOOKUP(B482,bond!B:R,17,FALSE))-LEN(N482)-3))</f>
        <v>#N/A</v>
      </c>
      <c r="P482" s="135" t="e">
        <f ca="1">VLOOKUP($B482,bond!$B:$AG,32,FALSE)</f>
        <v>#N/A</v>
      </c>
      <c r="Q482" s="135" t="e">
        <f ca="1">VLOOKUP($B482,bond!$B:$AH,33,FALSE)</f>
        <v>#N/A</v>
      </c>
      <c r="R482" s="135" t="e">
        <f ca="1">VLOOKUP(B482,bond!B:AA,26,FALSE)</f>
        <v>#N/A</v>
      </c>
      <c r="S482" s="135" t="e">
        <f ca="1">VLOOKUP(B482,bond!B:AI,34,FALSE)</f>
        <v>#N/A</v>
      </c>
      <c r="T482" s="135" t="e">
        <f t="shared" ca="1" si="49"/>
        <v>#N/A</v>
      </c>
      <c r="U482" s="207" t="e">
        <f ca="1">IFERROR(VLOOKUP(T482,Bond_DES!D:E,2,FALSE),VLOOKUP(S482,bond!AI:AJ,2,FALSE))</f>
        <v>#N/A</v>
      </c>
      <c r="V482" s="136" t="e">
        <f ca="1">IFERROR(VLOOKUP(B482,'1_重設數據'!L:M,2,FALSE),IF(Q482="政府",IF(AD482&gt;16,"(NPI)非專投",IF(AD482&gt;10,"(PI)專投","高資產")),IF(VLOOKUP(B482,bond!B:AN,39,FALSE)="Y","(PI)專投",IF(AD482&gt;=15,"(NPI)非專投",IF(AD482&gt;=10,"(PI)專投","高資產")))))</f>
        <v>#N/A</v>
      </c>
      <c r="W482" s="136" t="e">
        <f ca="1">VLOOKUP(AD482,'credit rating'!$F$2:$H$22,3,FALSE)</f>
        <v>#N/A</v>
      </c>
      <c r="X482" s="136" t="e">
        <f t="shared" ca="1" si="50"/>
        <v>#N/A</v>
      </c>
      <c r="Y482" s="136" t="e">
        <f t="shared" ca="1" si="51"/>
        <v>#N/A</v>
      </c>
      <c r="Z482" s="136" t="e">
        <f t="shared" ca="1" si="52"/>
        <v>#N/A</v>
      </c>
      <c r="AA482" s="134">
        <f ca="1">IFERROR(VLOOKUP(X482,'credit rating'!A:C,3,FALSE),0)</f>
        <v>0</v>
      </c>
      <c r="AB482" s="134">
        <f ca="1">IFERROR(VLOOKUP(Y482,'credit rating'!B:C,2,FALSE),0)</f>
        <v>0</v>
      </c>
      <c r="AC482" s="136">
        <f ca="1">IFERROR(VLOOKUP(Z482,'credit rating'!B:C,2,FALSE),0)</f>
        <v>0</v>
      </c>
      <c r="AD482" s="136">
        <f t="shared" ca="1" si="53"/>
        <v>0</v>
      </c>
      <c r="AE482" s="249" t="str">
        <f ca="1">IFERROR(VLOOKUP(B482,bond!B:U,20,FALSE),"")</f>
        <v/>
      </c>
      <c r="AF482" s="136" t="e">
        <f ca="1">IF(VLOOKUP(B482,bond!B:AK,36,FALSE)="#N/A Field Not Applicable","",VLOOKUP(B482,bond!B:AK,36,FALSE))</f>
        <v>#N/A</v>
      </c>
      <c r="AG482" s="136" t="e">
        <f ca="1">IF(VLOOKUP(B482,bond!B:AL,37,FALSE)="FIXED","固定",IF(VLOOKUP(B482,bond!B:AL,37,FALSE)="FLOATING","浮動",IF(VLOOKUP(B482,bond!B:AL,37,FALSE)="VARIABLE","變動",IF(VLOOKUP(B482,bond!B:AL,37,FALSE)="FLAT TRADING","不含息交易",IF(VLOOKUP(B482,bond!B:AL,37,FALSE)="ZERO COUPON","零息",VLOOKUP(B482,bond!B:AL,37,FALSE))))))</f>
        <v>#N/A</v>
      </c>
      <c r="AH482" s="136" t="e">
        <f>VLOOKUP(C482,'2_Check_code'!I:J,2,FALSE)</f>
        <v>#N/A</v>
      </c>
      <c r="AI482" s="136" t="e">
        <f t="shared" ca="1" si="54"/>
        <v>#N/A</v>
      </c>
      <c r="AJ482" s="136" t="e">
        <f t="shared" ca="1" si="55"/>
        <v>#N/A</v>
      </c>
      <c r="AK482" s="594" t="e">
        <f ca="1">IF(VLOOKUP(B482,bond!B:S,18,FALSE)="是","有",IF(VLOOKUP(B482,bond!B:S,18,FALSE)="NO OFFER","無","需查詢"))</f>
        <v>#N/A</v>
      </c>
      <c r="AL482" s="136" t="e">
        <f>IF(VLOOKUP(A482,bond!F:AR,39,FALSE)="#N/A Field Not Applicable",VLOOKUP(A482,bond!F:AR,38,FALSE),IFERROR(VLOOKUP(A482,'7_發行日例外'!A:B,2,FALSE),VLOOKUP(A482,bond!F:AR,39,FALSE)))</f>
        <v>#N/A</v>
      </c>
      <c r="AM482" s="136" t="e">
        <f ca="1">VLOOKUP(B482,bond!B:AK,36,FALSE)</f>
        <v>#N/A</v>
      </c>
      <c r="AN482" s="136" t="str">
        <f ca="1">IFERROR(VLOOKUP(B482,'3_是否下架'!A:A,1,FALSE),"")</f>
        <v/>
      </c>
      <c r="AO482" s="136" t="e">
        <f ca="1">VLOOKUP(B482,bond!B:J,9,FALSE)</f>
        <v>#N/A</v>
      </c>
      <c r="AP482" s="136" t="e">
        <f ca="1">VLOOKUP(B482,bond!B:V,21,FALSE)</f>
        <v>#N/A</v>
      </c>
    </row>
    <row r="483" spans="1:42">
      <c r="A483" s="141">
        <f>bond!F484</f>
        <v>0</v>
      </c>
      <c r="B483" s="151">
        <f ca="1">IF($C$1=TRUE,bond!B484,"")</f>
        <v>0</v>
      </c>
      <c r="C483" s="95" t="e">
        <f>VLOOKUP(A483,bond!F:G,2,FALSE)</f>
        <v>#N/A</v>
      </c>
      <c r="D483" s="142" t="e">
        <f ca="1">VLOOKUP(B483,bond!B:C,2,FALSE)</f>
        <v>#N/A</v>
      </c>
      <c r="E483" s="95" t="e">
        <f ca="1">VLOOKUP(B483,bond!B:D,3,FALSE)</f>
        <v>#N/A</v>
      </c>
      <c r="F483" s="99" t="e">
        <f ca="1">VLOOKUP(B483,bond!B:AB,27,FALSE)</f>
        <v>#N/A</v>
      </c>
      <c r="G483" s="90" t="e">
        <f ca="1">VLOOKUP(B483,bond!B:E,4,FALSE)</f>
        <v>#N/A</v>
      </c>
      <c r="H483" s="202" t="e">
        <f ca="1">VLOOKUP(B483,bond!B:Y,24,FALSE)</f>
        <v>#N/A</v>
      </c>
      <c r="I483" s="95" t="e">
        <f ca="1">VLOOKUP(B483,bond!B:Z,25,FALSE)</f>
        <v>#N/A</v>
      </c>
      <c r="J483" s="180" t="e">
        <f ca="1">VLOOKUP(B483,bond!B:K,10,FALSE)</f>
        <v>#N/A</v>
      </c>
      <c r="K483" s="96" t="e">
        <f ca="1">VLOOKUP($B483,bond!B:S,14,FALSE)</f>
        <v>#N/A</v>
      </c>
      <c r="L483" s="91" t="e">
        <f ca="1">VLOOKUP(B483,bond!B:H,7,FALSE)</f>
        <v>#N/A</v>
      </c>
      <c r="M483" s="144" t="e">
        <f ca="1">VLOOKUP($B483,bond!$B:$Q,16,FALSE)</f>
        <v>#N/A</v>
      </c>
      <c r="N483" s="136" t="e">
        <f ca="1">VALUE(LEFT(VLOOKUP(B483,bond!B:R,17,FALSE),SEARCH(" ",VLOOKUP(B483,bond!B:R,17,FALSE),1)))</f>
        <v>#N/A</v>
      </c>
      <c r="O483" s="136" t="e">
        <f ca="1">VALUE(RIGHT(VLOOKUP(B483,bond!B:R,17,FALSE),LEN(VLOOKUP(B483,bond!B:R,17,FALSE))-LEN(N483)-3))</f>
        <v>#N/A</v>
      </c>
      <c r="P483" s="135" t="e">
        <f ca="1">VLOOKUP($B483,bond!$B:$AG,32,FALSE)</f>
        <v>#N/A</v>
      </c>
      <c r="Q483" s="135" t="e">
        <f ca="1">VLOOKUP($B483,bond!$B:$AH,33,FALSE)</f>
        <v>#N/A</v>
      </c>
      <c r="R483" s="135" t="e">
        <f ca="1">VLOOKUP(B483,bond!B:AA,26,FALSE)</f>
        <v>#N/A</v>
      </c>
      <c r="S483" s="135" t="e">
        <f ca="1">VLOOKUP(B483,bond!B:AI,34,FALSE)</f>
        <v>#N/A</v>
      </c>
      <c r="T483" s="135" t="e">
        <f t="shared" ca="1" si="49"/>
        <v>#N/A</v>
      </c>
      <c r="U483" s="207" t="e">
        <f ca="1">IFERROR(VLOOKUP(T483,Bond_DES!D:E,2,FALSE),VLOOKUP(S483,bond!AI:AJ,2,FALSE))</f>
        <v>#N/A</v>
      </c>
      <c r="V483" s="136" t="e">
        <f ca="1">IFERROR(VLOOKUP(B483,'1_重設數據'!L:M,2,FALSE),IF(Q483="政府",IF(AD483&gt;16,"(NPI)非專投",IF(AD483&gt;10,"(PI)專投","高資產")),IF(VLOOKUP(B483,bond!B:AN,39,FALSE)="Y","(PI)專投",IF(AD483&gt;=15,"(NPI)非專投",IF(AD483&gt;=10,"(PI)專投","高資產")))))</f>
        <v>#N/A</v>
      </c>
      <c r="W483" s="136" t="e">
        <f ca="1">VLOOKUP(AD483,'credit rating'!$F$2:$H$22,3,FALSE)</f>
        <v>#N/A</v>
      </c>
      <c r="X483" s="136" t="e">
        <f t="shared" ca="1" si="50"/>
        <v>#N/A</v>
      </c>
      <c r="Y483" s="136" t="e">
        <f t="shared" ca="1" si="51"/>
        <v>#N/A</v>
      </c>
      <c r="Z483" s="136" t="e">
        <f t="shared" ca="1" si="52"/>
        <v>#N/A</v>
      </c>
      <c r="AA483" s="134">
        <f ca="1">IFERROR(VLOOKUP(X483,'credit rating'!A:C,3,FALSE),0)</f>
        <v>0</v>
      </c>
      <c r="AB483" s="134">
        <f ca="1">IFERROR(VLOOKUP(Y483,'credit rating'!B:C,2,FALSE),0)</f>
        <v>0</v>
      </c>
      <c r="AC483" s="136">
        <f ca="1">IFERROR(VLOOKUP(Z483,'credit rating'!B:C,2,FALSE),0)</f>
        <v>0</v>
      </c>
      <c r="AD483" s="136">
        <f t="shared" ca="1" si="53"/>
        <v>0</v>
      </c>
      <c r="AE483" s="249" t="str">
        <f ca="1">IFERROR(VLOOKUP(B483,bond!B:U,20,FALSE),"")</f>
        <v/>
      </c>
      <c r="AF483" s="136" t="e">
        <f ca="1">IF(VLOOKUP(B483,bond!B:AK,36,FALSE)="#N/A Field Not Applicable","",VLOOKUP(B483,bond!B:AK,36,FALSE))</f>
        <v>#N/A</v>
      </c>
      <c r="AG483" s="136" t="e">
        <f ca="1">IF(VLOOKUP(B483,bond!B:AL,37,FALSE)="FIXED","固定",IF(VLOOKUP(B483,bond!B:AL,37,FALSE)="FLOATING","浮動",IF(VLOOKUP(B483,bond!B:AL,37,FALSE)="VARIABLE","變動",IF(VLOOKUP(B483,bond!B:AL,37,FALSE)="FLAT TRADING","不含息交易",IF(VLOOKUP(B483,bond!B:AL,37,FALSE)="ZERO COUPON","零息",VLOOKUP(B483,bond!B:AL,37,FALSE))))))</f>
        <v>#N/A</v>
      </c>
      <c r="AH483" s="136" t="e">
        <f>VLOOKUP(C483,'2_Check_code'!I:J,2,FALSE)</f>
        <v>#N/A</v>
      </c>
      <c r="AI483" s="136" t="e">
        <f t="shared" ca="1" si="54"/>
        <v>#N/A</v>
      </c>
      <c r="AJ483" s="136" t="e">
        <f t="shared" ca="1" si="55"/>
        <v>#N/A</v>
      </c>
      <c r="AK483" s="594" t="e">
        <f ca="1">IF(VLOOKUP(B483,bond!B:S,18,FALSE)="是","有",IF(VLOOKUP(B483,bond!B:S,18,FALSE)="NO OFFER","無","需查詢"))</f>
        <v>#N/A</v>
      </c>
      <c r="AL483" s="136" t="e">
        <f>IF(VLOOKUP(A483,bond!F:AR,39,FALSE)="#N/A Field Not Applicable",VLOOKUP(A483,bond!F:AR,38,FALSE),IFERROR(VLOOKUP(A483,'7_發行日例外'!A:B,2,FALSE),VLOOKUP(A483,bond!F:AR,39,FALSE)))</f>
        <v>#N/A</v>
      </c>
      <c r="AM483" s="136" t="e">
        <f ca="1">VLOOKUP(B483,bond!B:AK,36,FALSE)</f>
        <v>#N/A</v>
      </c>
      <c r="AN483" s="136" t="str">
        <f ca="1">IFERROR(VLOOKUP(B483,'3_是否下架'!A:A,1,FALSE),"")</f>
        <v/>
      </c>
      <c r="AO483" s="136" t="e">
        <f ca="1">VLOOKUP(B483,bond!B:J,9,FALSE)</f>
        <v>#N/A</v>
      </c>
      <c r="AP483" s="136" t="e">
        <f ca="1">VLOOKUP(B483,bond!B:V,21,FALSE)</f>
        <v>#N/A</v>
      </c>
    </row>
    <row r="484" spans="1:42">
      <c r="A484" s="141">
        <f>bond!F485</f>
        <v>0</v>
      </c>
      <c r="B484" s="151">
        <f ca="1">IF($C$1=TRUE,bond!B485,"")</f>
        <v>0</v>
      </c>
      <c r="C484" s="95" t="e">
        <f>VLOOKUP(A484,bond!F:G,2,FALSE)</f>
        <v>#N/A</v>
      </c>
      <c r="D484" s="142" t="e">
        <f ca="1">VLOOKUP(B484,bond!B:C,2,FALSE)</f>
        <v>#N/A</v>
      </c>
      <c r="E484" s="95" t="e">
        <f ca="1">VLOOKUP(B484,bond!B:D,3,FALSE)</f>
        <v>#N/A</v>
      </c>
      <c r="F484" s="99" t="e">
        <f ca="1">VLOOKUP(B484,bond!B:AB,27,FALSE)</f>
        <v>#N/A</v>
      </c>
      <c r="G484" s="90" t="e">
        <f ca="1">VLOOKUP(B484,bond!B:E,4,FALSE)</f>
        <v>#N/A</v>
      </c>
      <c r="H484" s="202" t="e">
        <f ca="1">VLOOKUP(B484,bond!B:Y,24,FALSE)</f>
        <v>#N/A</v>
      </c>
      <c r="I484" s="95" t="e">
        <f ca="1">VLOOKUP(B484,bond!B:Z,25,FALSE)</f>
        <v>#N/A</v>
      </c>
      <c r="J484" s="180" t="e">
        <f ca="1">VLOOKUP(B484,bond!B:K,10,FALSE)</f>
        <v>#N/A</v>
      </c>
      <c r="K484" s="96" t="e">
        <f ca="1">VLOOKUP($B484,bond!B:S,14,FALSE)</f>
        <v>#N/A</v>
      </c>
      <c r="L484" s="91" t="e">
        <f ca="1">VLOOKUP(B484,bond!B:H,7,FALSE)</f>
        <v>#N/A</v>
      </c>
      <c r="M484" s="144" t="e">
        <f ca="1">VLOOKUP($B484,bond!$B:$Q,16,FALSE)</f>
        <v>#N/A</v>
      </c>
      <c r="N484" s="136" t="e">
        <f ca="1">VALUE(LEFT(VLOOKUP(B484,bond!B:R,17,FALSE),SEARCH(" ",VLOOKUP(B484,bond!B:R,17,FALSE),1)))</f>
        <v>#N/A</v>
      </c>
      <c r="O484" s="136" t="e">
        <f ca="1">VALUE(RIGHT(VLOOKUP(B484,bond!B:R,17,FALSE),LEN(VLOOKUP(B484,bond!B:R,17,FALSE))-LEN(N484)-3))</f>
        <v>#N/A</v>
      </c>
      <c r="P484" s="135" t="e">
        <f ca="1">VLOOKUP($B484,bond!$B:$AG,32,FALSE)</f>
        <v>#N/A</v>
      </c>
      <c r="Q484" s="135" t="e">
        <f ca="1">VLOOKUP($B484,bond!$B:$AH,33,FALSE)</f>
        <v>#N/A</v>
      </c>
      <c r="R484" s="135" t="e">
        <f ca="1">VLOOKUP(B484,bond!B:AA,26,FALSE)</f>
        <v>#N/A</v>
      </c>
      <c r="S484" s="135" t="e">
        <f ca="1">VLOOKUP(B484,bond!B:AI,34,FALSE)</f>
        <v>#N/A</v>
      </c>
      <c r="T484" s="135" t="e">
        <f t="shared" ca="1" si="49"/>
        <v>#N/A</v>
      </c>
      <c r="U484" s="207" t="e">
        <f ca="1">IFERROR(VLOOKUP(T484,Bond_DES!D:E,2,FALSE),VLOOKUP(S484,bond!AI:AJ,2,FALSE))</f>
        <v>#N/A</v>
      </c>
      <c r="V484" s="136" t="e">
        <f ca="1">IFERROR(VLOOKUP(B484,'1_重設數據'!L:M,2,FALSE),IF(Q484="政府",IF(AD484&gt;16,"(NPI)非專投",IF(AD484&gt;10,"(PI)專投","高資產")),IF(VLOOKUP(B484,bond!B:AN,39,FALSE)="Y","(PI)專投",IF(AD484&gt;=15,"(NPI)非專投",IF(AD484&gt;=10,"(PI)專投","高資產")))))</f>
        <v>#N/A</v>
      </c>
      <c r="W484" s="136" t="e">
        <f ca="1">VLOOKUP(AD484,'credit rating'!$F$2:$H$22,3,FALSE)</f>
        <v>#N/A</v>
      </c>
      <c r="X484" s="136" t="e">
        <f t="shared" ca="1" si="50"/>
        <v>#N/A</v>
      </c>
      <c r="Y484" s="136" t="e">
        <f t="shared" ca="1" si="51"/>
        <v>#N/A</v>
      </c>
      <c r="Z484" s="136" t="e">
        <f t="shared" ca="1" si="52"/>
        <v>#N/A</v>
      </c>
      <c r="AA484" s="134">
        <f ca="1">IFERROR(VLOOKUP(X484,'credit rating'!A:C,3,FALSE),0)</f>
        <v>0</v>
      </c>
      <c r="AB484" s="134">
        <f ca="1">IFERROR(VLOOKUP(Y484,'credit rating'!B:C,2,FALSE),0)</f>
        <v>0</v>
      </c>
      <c r="AC484" s="136">
        <f ca="1">IFERROR(VLOOKUP(Z484,'credit rating'!B:C,2,FALSE),0)</f>
        <v>0</v>
      </c>
      <c r="AD484" s="136">
        <f t="shared" ca="1" si="53"/>
        <v>0</v>
      </c>
      <c r="AE484" s="249" t="str">
        <f ca="1">IFERROR(VLOOKUP(B484,bond!B:U,20,FALSE),"")</f>
        <v/>
      </c>
      <c r="AF484" s="136" t="e">
        <f ca="1">IF(VLOOKUP(B484,bond!B:AK,36,FALSE)="#N/A Field Not Applicable","",VLOOKUP(B484,bond!B:AK,36,FALSE))</f>
        <v>#N/A</v>
      </c>
      <c r="AG484" s="136" t="e">
        <f ca="1">IF(VLOOKUP(B484,bond!B:AL,37,FALSE)="FIXED","固定",IF(VLOOKUP(B484,bond!B:AL,37,FALSE)="FLOATING","浮動",IF(VLOOKUP(B484,bond!B:AL,37,FALSE)="VARIABLE","變動",IF(VLOOKUP(B484,bond!B:AL,37,FALSE)="FLAT TRADING","不含息交易",IF(VLOOKUP(B484,bond!B:AL,37,FALSE)="ZERO COUPON","零息",VLOOKUP(B484,bond!B:AL,37,FALSE))))))</f>
        <v>#N/A</v>
      </c>
      <c r="AH484" s="136" t="e">
        <f>VLOOKUP(C484,'2_Check_code'!I:J,2,FALSE)</f>
        <v>#N/A</v>
      </c>
      <c r="AI484" s="136" t="e">
        <f t="shared" ca="1" si="54"/>
        <v>#N/A</v>
      </c>
      <c r="AJ484" s="136" t="e">
        <f t="shared" ca="1" si="55"/>
        <v>#N/A</v>
      </c>
      <c r="AK484" s="594" t="e">
        <f ca="1">IF(VLOOKUP(B484,bond!B:S,18,FALSE)="是","有",IF(VLOOKUP(B484,bond!B:S,18,FALSE)="NO OFFER","無","需查詢"))</f>
        <v>#N/A</v>
      </c>
      <c r="AL484" s="136" t="e">
        <f>IF(VLOOKUP(A484,bond!F:AR,39,FALSE)="#N/A Field Not Applicable",VLOOKUP(A484,bond!F:AR,38,FALSE),IFERROR(VLOOKUP(A484,'7_發行日例外'!A:B,2,FALSE),VLOOKUP(A484,bond!F:AR,39,FALSE)))</f>
        <v>#N/A</v>
      </c>
      <c r="AM484" s="136" t="e">
        <f ca="1">VLOOKUP(B484,bond!B:AK,36,FALSE)</f>
        <v>#N/A</v>
      </c>
      <c r="AN484" s="136" t="str">
        <f ca="1">IFERROR(VLOOKUP(B484,'3_是否下架'!A:A,1,FALSE),"")</f>
        <v/>
      </c>
      <c r="AO484" s="136" t="e">
        <f ca="1">VLOOKUP(B484,bond!B:J,9,FALSE)</f>
        <v>#N/A</v>
      </c>
      <c r="AP484" s="136" t="e">
        <f ca="1">VLOOKUP(B484,bond!B:V,21,FALSE)</f>
        <v>#N/A</v>
      </c>
    </row>
    <row r="485" spans="1:42">
      <c r="A485" s="141">
        <f>bond!F486</f>
        <v>0</v>
      </c>
      <c r="B485" s="151">
        <f ca="1">IF($C$1=TRUE,bond!B486,"")</f>
        <v>0</v>
      </c>
      <c r="C485" s="95" t="e">
        <f>VLOOKUP(A485,bond!F:G,2,FALSE)</f>
        <v>#N/A</v>
      </c>
      <c r="D485" s="142" t="e">
        <f ca="1">VLOOKUP(B485,bond!B:C,2,FALSE)</f>
        <v>#N/A</v>
      </c>
      <c r="E485" s="95" t="e">
        <f ca="1">VLOOKUP(B485,bond!B:D,3,FALSE)</f>
        <v>#N/A</v>
      </c>
      <c r="F485" s="99" t="e">
        <f ca="1">VLOOKUP(B485,bond!B:AB,27,FALSE)</f>
        <v>#N/A</v>
      </c>
      <c r="G485" s="90" t="e">
        <f ca="1">VLOOKUP(B485,bond!B:E,4,FALSE)</f>
        <v>#N/A</v>
      </c>
      <c r="H485" s="202" t="e">
        <f ca="1">VLOOKUP(B485,bond!B:Y,24,FALSE)</f>
        <v>#N/A</v>
      </c>
      <c r="I485" s="95" t="e">
        <f ca="1">VLOOKUP(B485,bond!B:Z,25,FALSE)</f>
        <v>#N/A</v>
      </c>
      <c r="J485" s="180" t="e">
        <f ca="1">VLOOKUP(B485,bond!B:K,10,FALSE)</f>
        <v>#N/A</v>
      </c>
      <c r="K485" s="96" t="e">
        <f ca="1">VLOOKUP($B485,bond!B:S,14,FALSE)</f>
        <v>#N/A</v>
      </c>
      <c r="L485" s="91" t="e">
        <f ca="1">VLOOKUP(B485,bond!B:H,7,FALSE)</f>
        <v>#N/A</v>
      </c>
      <c r="M485" s="144" t="e">
        <f ca="1">VLOOKUP($B485,bond!$B:$Q,16,FALSE)</f>
        <v>#N/A</v>
      </c>
      <c r="N485" s="136" t="e">
        <f ca="1">VALUE(LEFT(VLOOKUP(B485,bond!B:R,17,FALSE),SEARCH(" ",VLOOKUP(B485,bond!B:R,17,FALSE),1)))</f>
        <v>#N/A</v>
      </c>
      <c r="O485" s="136" t="e">
        <f ca="1">VALUE(RIGHT(VLOOKUP(B485,bond!B:R,17,FALSE),LEN(VLOOKUP(B485,bond!B:R,17,FALSE))-LEN(N485)-3))</f>
        <v>#N/A</v>
      </c>
      <c r="P485" s="135" t="e">
        <f ca="1">VLOOKUP($B485,bond!$B:$AG,32,FALSE)</f>
        <v>#N/A</v>
      </c>
      <c r="Q485" s="135" t="e">
        <f ca="1">VLOOKUP($B485,bond!$B:$AH,33,FALSE)</f>
        <v>#N/A</v>
      </c>
      <c r="R485" s="135" t="e">
        <f ca="1">VLOOKUP(B485,bond!B:AA,26,FALSE)</f>
        <v>#N/A</v>
      </c>
      <c r="S485" s="135" t="e">
        <f ca="1">VLOOKUP(B485,bond!B:AI,34,FALSE)</f>
        <v>#N/A</v>
      </c>
      <c r="T485" s="135" t="e">
        <f t="shared" ca="1" si="49"/>
        <v>#N/A</v>
      </c>
      <c r="U485" s="207" t="e">
        <f ca="1">IFERROR(VLOOKUP(T485,Bond_DES!D:E,2,FALSE),VLOOKUP(S485,bond!AI:AJ,2,FALSE))</f>
        <v>#N/A</v>
      </c>
      <c r="V485" s="136" t="e">
        <f ca="1">IFERROR(VLOOKUP(B485,'1_重設數據'!L:M,2,FALSE),IF(Q485="政府",IF(AD485&gt;16,"(NPI)非專投",IF(AD485&gt;10,"(PI)專投","高資產")),IF(VLOOKUP(B485,bond!B:AN,39,FALSE)="Y","(PI)專投",IF(AD485&gt;=15,"(NPI)非專投",IF(AD485&gt;=10,"(PI)專投","高資產")))))</f>
        <v>#N/A</v>
      </c>
      <c r="W485" s="136" t="e">
        <f ca="1">VLOOKUP(AD485,'credit rating'!$F$2:$H$22,3,FALSE)</f>
        <v>#N/A</v>
      </c>
      <c r="X485" s="136" t="e">
        <f t="shared" ca="1" si="50"/>
        <v>#N/A</v>
      </c>
      <c r="Y485" s="136" t="e">
        <f t="shared" ca="1" si="51"/>
        <v>#N/A</v>
      </c>
      <c r="Z485" s="136" t="e">
        <f t="shared" ca="1" si="52"/>
        <v>#N/A</v>
      </c>
      <c r="AA485" s="134">
        <f ca="1">IFERROR(VLOOKUP(X485,'credit rating'!A:C,3,FALSE),0)</f>
        <v>0</v>
      </c>
      <c r="AB485" s="134">
        <f ca="1">IFERROR(VLOOKUP(Y485,'credit rating'!B:C,2,FALSE),0)</f>
        <v>0</v>
      </c>
      <c r="AC485" s="136">
        <f ca="1">IFERROR(VLOOKUP(Z485,'credit rating'!B:C,2,FALSE),0)</f>
        <v>0</v>
      </c>
      <c r="AD485" s="136">
        <f t="shared" ca="1" si="53"/>
        <v>0</v>
      </c>
      <c r="AE485" s="249" t="str">
        <f ca="1">IFERROR(VLOOKUP(B485,bond!B:U,20,FALSE),"")</f>
        <v/>
      </c>
      <c r="AF485" s="136" t="e">
        <f ca="1">IF(VLOOKUP(B485,bond!B:AK,36,FALSE)="#N/A Field Not Applicable","",VLOOKUP(B485,bond!B:AK,36,FALSE))</f>
        <v>#N/A</v>
      </c>
      <c r="AG485" s="136" t="e">
        <f ca="1">IF(VLOOKUP(B485,bond!B:AL,37,FALSE)="FIXED","固定",IF(VLOOKUP(B485,bond!B:AL,37,FALSE)="FLOATING","浮動",IF(VLOOKUP(B485,bond!B:AL,37,FALSE)="VARIABLE","變動",IF(VLOOKUP(B485,bond!B:AL,37,FALSE)="FLAT TRADING","不含息交易",IF(VLOOKUP(B485,bond!B:AL,37,FALSE)="ZERO COUPON","零息",VLOOKUP(B485,bond!B:AL,37,FALSE))))))</f>
        <v>#N/A</v>
      </c>
      <c r="AH485" s="136" t="e">
        <f>VLOOKUP(C485,'2_Check_code'!I:J,2,FALSE)</f>
        <v>#N/A</v>
      </c>
      <c r="AI485" s="136" t="e">
        <f t="shared" ca="1" si="54"/>
        <v>#N/A</v>
      </c>
      <c r="AJ485" s="136" t="e">
        <f t="shared" ca="1" si="55"/>
        <v>#N/A</v>
      </c>
      <c r="AK485" s="594" t="e">
        <f ca="1">IF(VLOOKUP(B485,bond!B:S,18,FALSE)="是","有",IF(VLOOKUP(B485,bond!B:S,18,FALSE)="NO OFFER","無","需查詢"))</f>
        <v>#N/A</v>
      </c>
      <c r="AL485" s="136" t="e">
        <f>IF(VLOOKUP(A485,bond!F:AR,39,FALSE)="#N/A Field Not Applicable",VLOOKUP(A485,bond!F:AR,38,FALSE),IFERROR(VLOOKUP(A485,'7_發行日例外'!A:B,2,FALSE),VLOOKUP(A485,bond!F:AR,39,FALSE)))</f>
        <v>#N/A</v>
      </c>
      <c r="AM485" s="136" t="e">
        <f ca="1">VLOOKUP(B485,bond!B:AK,36,FALSE)</f>
        <v>#N/A</v>
      </c>
      <c r="AN485" s="136" t="str">
        <f ca="1">IFERROR(VLOOKUP(B485,'3_是否下架'!A:A,1,FALSE),"")</f>
        <v/>
      </c>
      <c r="AO485" s="136" t="e">
        <f ca="1">VLOOKUP(B485,bond!B:J,9,FALSE)</f>
        <v>#N/A</v>
      </c>
      <c r="AP485" s="136" t="e">
        <f ca="1">VLOOKUP(B485,bond!B:V,21,FALSE)</f>
        <v>#N/A</v>
      </c>
    </row>
    <row r="486" spans="1:42">
      <c r="A486" s="141">
        <f>bond!F487</f>
        <v>0</v>
      </c>
      <c r="B486" s="151">
        <f ca="1">IF($C$1=TRUE,bond!B487,"")</f>
        <v>0</v>
      </c>
      <c r="C486" s="95" t="e">
        <f>VLOOKUP(A486,bond!F:G,2,FALSE)</f>
        <v>#N/A</v>
      </c>
      <c r="D486" s="142" t="e">
        <f ca="1">VLOOKUP(B486,bond!B:C,2,FALSE)</f>
        <v>#N/A</v>
      </c>
      <c r="E486" s="95" t="e">
        <f ca="1">VLOOKUP(B486,bond!B:D,3,FALSE)</f>
        <v>#N/A</v>
      </c>
      <c r="F486" s="99" t="e">
        <f ca="1">VLOOKUP(B486,bond!B:AB,27,FALSE)</f>
        <v>#N/A</v>
      </c>
      <c r="G486" s="90" t="e">
        <f ca="1">VLOOKUP(B486,bond!B:E,4,FALSE)</f>
        <v>#N/A</v>
      </c>
      <c r="H486" s="202" t="e">
        <f ca="1">VLOOKUP(B486,bond!B:Y,24,FALSE)</f>
        <v>#N/A</v>
      </c>
      <c r="I486" s="95" t="e">
        <f ca="1">VLOOKUP(B486,bond!B:Z,25,FALSE)</f>
        <v>#N/A</v>
      </c>
      <c r="J486" s="180" t="e">
        <f ca="1">VLOOKUP(B486,bond!B:K,10,FALSE)</f>
        <v>#N/A</v>
      </c>
      <c r="K486" s="96" t="e">
        <f ca="1">VLOOKUP($B486,bond!B:S,14,FALSE)</f>
        <v>#N/A</v>
      </c>
      <c r="L486" s="91" t="e">
        <f ca="1">VLOOKUP(B486,bond!B:H,7,FALSE)</f>
        <v>#N/A</v>
      </c>
      <c r="M486" s="144" t="e">
        <f ca="1">VLOOKUP($B486,bond!$B:$Q,16,FALSE)</f>
        <v>#N/A</v>
      </c>
      <c r="N486" s="136" t="e">
        <f ca="1">VALUE(LEFT(VLOOKUP(B486,bond!B:R,17,FALSE),SEARCH(" ",VLOOKUP(B486,bond!B:R,17,FALSE),1)))</f>
        <v>#N/A</v>
      </c>
      <c r="O486" s="136" t="e">
        <f ca="1">VALUE(RIGHT(VLOOKUP(B486,bond!B:R,17,FALSE),LEN(VLOOKUP(B486,bond!B:R,17,FALSE))-LEN(N486)-3))</f>
        <v>#N/A</v>
      </c>
      <c r="P486" s="135" t="e">
        <f ca="1">VLOOKUP($B486,bond!$B:$AG,32,FALSE)</f>
        <v>#N/A</v>
      </c>
      <c r="Q486" s="135" t="e">
        <f ca="1">VLOOKUP($B486,bond!$B:$AH,33,FALSE)</f>
        <v>#N/A</v>
      </c>
      <c r="R486" s="135" t="e">
        <f ca="1">VLOOKUP(B486,bond!B:AA,26,FALSE)</f>
        <v>#N/A</v>
      </c>
      <c r="S486" s="135" t="e">
        <f ca="1">VLOOKUP(B486,bond!B:AI,34,FALSE)</f>
        <v>#N/A</v>
      </c>
      <c r="T486" s="135" t="e">
        <f t="shared" ca="1" si="49"/>
        <v>#N/A</v>
      </c>
      <c r="U486" s="207" t="e">
        <f ca="1">IFERROR(VLOOKUP(T486,Bond_DES!D:E,2,FALSE),VLOOKUP(S486,bond!AI:AJ,2,FALSE))</f>
        <v>#N/A</v>
      </c>
      <c r="V486" s="136" t="e">
        <f ca="1">IFERROR(VLOOKUP(B486,'1_重設數據'!L:M,2,FALSE),IF(Q486="政府",IF(AD486&gt;16,"(NPI)非專投",IF(AD486&gt;10,"(PI)專投","高資產")),IF(VLOOKUP(B486,bond!B:AN,39,FALSE)="Y","(PI)專投",IF(AD486&gt;=15,"(NPI)非專投",IF(AD486&gt;=10,"(PI)專投","高資產")))))</f>
        <v>#N/A</v>
      </c>
      <c r="W486" s="136" t="e">
        <f ca="1">VLOOKUP(AD486,'credit rating'!$F$2:$H$22,3,FALSE)</f>
        <v>#N/A</v>
      </c>
      <c r="X486" s="136" t="e">
        <f t="shared" ca="1" si="50"/>
        <v>#N/A</v>
      </c>
      <c r="Y486" s="136" t="e">
        <f t="shared" ca="1" si="51"/>
        <v>#N/A</v>
      </c>
      <c r="Z486" s="136" t="e">
        <f t="shared" ca="1" si="52"/>
        <v>#N/A</v>
      </c>
      <c r="AA486" s="134">
        <f ca="1">IFERROR(VLOOKUP(X486,'credit rating'!A:C,3,FALSE),0)</f>
        <v>0</v>
      </c>
      <c r="AB486" s="134">
        <f ca="1">IFERROR(VLOOKUP(Y486,'credit rating'!B:C,2,FALSE),0)</f>
        <v>0</v>
      </c>
      <c r="AC486" s="136">
        <f ca="1">IFERROR(VLOOKUP(Z486,'credit rating'!B:C,2,FALSE),0)</f>
        <v>0</v>
      </c>
      <c r="AD486" s="136">
        <f t="shared" ca="1" si="53"/>
        <v>0</v>
      </c>
      <c r="AE486" s="249" t="str">
        <f ca="1">IFERROR(VLOOKUP(B486,bond!B:U,20,FALSE),"")</f>
        <v/>
      </c>
      <c r="AF486" s="136" t="e">
        <f ca="1">IF(VLOOKUP(B486,bond!B:AK,36,FALSE)="#N/A Field Not Applicable","",VLOOKUP(B486,bond!B:AK,36,FALSE))</f>
        <v>#N/A</v>
      </c>
      <c r="AG486" s="136" t="e">
        <f ca="1">IF(VLOOKUP(B486,bond!B:AL,37,FALSE)="FIXED","固定",IF(VLOOKUP(B486,bond!B:AL,37,FALSE)="FLOATING","浮動",IF(VLOOKUP(B486,bond!B:AL,37,FALSE)="VARIABLE","變動",IF(VLOOKUP(B486,bond!B:AL,37,FALSE)="FLAT TRADING","不含息交易",IF(VLOOKUP(B486,bond!B:AL,37,FALSE)="ZERO COUPON","零息",VLOOKUP(B486,bond!B:AL,37,FALSE))))))</f>
        <v>#N/A</v>
      </c>
      <c r="AH486" s="136" t="e">
        <f>VLOOKUP(C486,'2_Check_code'!I:J,2,FALSE)</f>
        <v>#N/A</v>
      </c>
      <c r="AI486" s="136" t="e">
        <f t="shared" ca="1" si="54"/>
        <v>#N/A</v>
      </c>
      <c r="AJ486" s="136" t="e">
        <f t="shared" ca="1" si="55"/>
        <v>#N/A</v>
      </c>
      <c r="AK486" s="594" t="e">
        <f ca="1">IF(VLOOKUP(B486,bond!B:S,18,FALSE)="是","有",IF(VLOOKUP(B486,bond!B:S,18,FALSE)="NO OFFER","無","需查詢"))</f>
        <v>#N/A</v>
      </c>
      <c r="AL486" s="136" t="e">
        <f>IF(VLOOKUP(A486,bond!F:AR,39,FALSE)="#N/A Field Not Applicable",VLOOKUP(A486,bond!F:AR,38,FALSE),IFERROR(VLOOKUP(A486,'7_發行日例外'!A:B,2,FALSE),VLOOKUP(A486,bond!F:AR,39,FALSE)))</f>
        <v>#N/A</v>
      </c>
      <c r="AM486" s="136" t="e">
        <f ca="1">VLOOKUP(B486,bond!B:AK,36,FALSE)</f>
        <v>#N/A</v>
      </c>
      <c r="AN486" s="136" t="str">
        <f ca="1">IFERROR(VLOOKUP(B486,'3_是否下架'!A:A,1,FALSE),"")</f>
        <v/>
      </c>
      <c r="AO486" s="136" t="e">
        <f ca="1">VLOOKUP(B486,bond!B:J,9,FALSE)</f>
        <v>#N/A</v>
      </c>
      <c r="AP486" s="136" t="e">
        <f ca="1">VLOOKUP(B486,bond!B:V,21,FALSE)</f>
        <v>#N/A</v>
      </c>
    </row>
    <row r="487" spans="1:42">
      <c r="A487" s="141">
        <f>bond!F488</f>
        <v>0</v>
      </c>
      <c r="B487" s="151">
        <f ca="1">IF($C$1=TRUE,bond!B488,"")</f>
        <v>0</v>
      </c>
      <c r="C487" s="95" t="e">
        <f>VLOOKUP(A487,bond!F:G,2,FALSE)</f>
        <v>#N/A</v>
      </c>
      <c r="D487" s="142" t="e">
        <f ca="1">VLOOKUP(B487,bond!B:C,2,FALSE)</f>
        <v>#N/A</v>
      </c>
      <c r="E487" s="95" t="e">
        <f ca="1">VLOOKUP(B487,bond!B:D,3,FALSE)</f>
        <v>#N/A</v>
      </c>
      <c r="F487" s="99" t="e">
        <f ca="1">VLOOKUP(B487,bond!B:AB,27,FALSE)</f>
        <v>#N/A</v>
      </c>
      <c r="G487" s="90" t="e">
        <f ca="1">VLOOKUP(B487,bond!B:E,4,FALSE)</f>
        <v>#N/A</v>
      </c>
      <c r="H487" s="202" t="e">
        <f ca="1">VLOOKUP(B487,bond!B:Y,24,FALSE)</f>
        <v>#N/A</v>
      </c>
      <c r="I487" s="95" t="e">
        <f ca="1">VLOOKUP(B487,bond!B:Z,25,FALSE)</f>
        <v>#N/A</v>
      </c>
      <c r="J487" s="180" t="e">
        <f ca="1">VLOOKUP(B487,bond!B:K,10,FALSE)</f>
        <v>#N/A</v>
      </c>
      <c r="K487" s="96" t="e">
        <f ca="1">VLOOKUP($B487,bond!B:S,14,FALSE)</f>
        <v>#N/A</v>
      </c>
      <c r="L487" s="91" t="e">
        <f ca="1">VLOOKUP(B487,bond!B:H,7,FALSE)</f>
        <v>#N/A</v>
      </c>
      <c r="M487" s="144" t="e">
        <f ca="1">VLOOKUP($B487,bond!$B:$Q,16,FALSE)</f>
        <v>#N/A</v>
      </c>
      <c r="N487" s="136" t="e">
        <f ca="1">VALUE(LEFT(VLOOKUP(B487,bond!B:R,17,FALSE),SEARCH(" ",VLOOKUP(B487,bond!B:R,17,FALSE),1)))</f>
        <v>#N/A</v>
      </c>
      <c r="O487" s="136" t="e">
        <f ca="1">VALUE(RIGHT(VLOOKUP(B487,bond!B:R,17,FALSE),LEN(VLOOKUP(B487,bond!B:R,17,FALSE))-LEN(N487)-3))</f>
        <v>#N/A</v>
      </c>
      <c r="P487" s="135" t="e">
        <f ca="1">VLOOKUP($B487,bond!$B:$AG,32,FALSE)</f>
        <v>#N/A</v>
      </c>
      <c r="Q487" s="135" t="e">
        <f ca="1">VLOOKUP($B487,bond!$B:$AH,33,FALSE)</f>
        <v>#N/A</v>
      </c>
      <c r="R487" s="135" t="e">
        <f ca="1">VLOOKUP(B487,bond!B:AA,26,FALSE)</f>
        <v>#N/A</v>
      </c>
      <c r="S487" s="135" t="e">
        <f ca="1">VLOOKUP(B487,bond!B:AI,34,FALSE)</f>
        <v>#N/A</v>
      </c>
      <c r="T487" s="135" t="e">
        <f t="shared" ca="1" si="49"/>
        <v>#N/A</v>
      </c>
      <c r="U487" s="207" t="e">
        <f ca="1">IFERROR(VLOOKUP(T487,Bond_DES!D:E,2,FALSE),VLOOKUP(S487,bond!AI:AJ,2,FALSE))</f>
        <v>#N/A</v>
      </c>
      <c r="V487" s="136" t="e">
        <f ca="1">IFERROR(VLOOKUP(B487,'1_重設數據'!L:M,2,FALSE),IF(Q487="政府",IF(AD487&gt;16,"(NPI)非專投",IF(AD487&gt;10,"(PI)專投","高資產")),IF(VLOOKUP(B487,bond!B:AN,39,FALSE)="Y","(PI)專投",IF(AD487&gt;=15,"(NPI)非專投",IF(AD487&gt;=10,"(PI)專投","高資產")))))</f>
        <v>#N/A</v>
      </c>
      <c r="W487" s="136" t="e">
        <f ca="1">VLOOKUP(AD487,'credit rating'!$F$2:$H$22,3,FALSE)</f>
        <v>#N/A</v>
      </c>
      <c r="X487" s="136" t="e">
        <f t="shared" ca="1" si="50"/>
        <v>#N/A</v>
      </c>
      <c r="Y487" s="136" t="e">
        <f t="shared" ca="1" si="51"/>
        <v>#N/A</v>
      </c>
      <c r="Z487" s="136" t="e">
        <f t="shared" ca="1" si="52"/>
        <v>#N/A</v>
      </c>
      <c r="AA487" s="134">
        <f ca="1">IFERROR(VLOOKUP(X487,'credit rating'!A:C,3,FALSE),0)</f>
        <v>0</v>
      </c>
      <c r="AB487" s="134">
        <f ca="1">IFERROR(VLOOKUP(Y487,'credit rating'!B:C,2,FALSE),0)</f>
        <v>0</v>
      </c>
      <c r="AC487" s="136">
        <f ca="1">IFERROR(VLOOKUP(Z487,'credit rating'!B:C,2,FALSE),0)</f>
        <v>0</v>
      </c>
      <c r="AD487" s="136">
        <f t="shared" ca="1" si="53"/>
        <v>0</v>
      </c>
      <c r="AE487" s="249" t="str">
        <f ca="1">IFERROR(VLOOKUP(B487,bond!B:U,20,FALSE),"")</f>
        <v/>
      </c>
      <c r="AF487" s="136" t="e">
        <f ca="1">IF(VLOOKUP(B487,bond!B:AK,36,FALSE)="#N/A Field Not Applicable","",VLOOKUP(B487,bond!B:AK,36,FALSE))</f>
        <v>#N/A</v>
      </c>
      <c r="AG487" s="136" t="e">
        <f ca="1">IF(VLOOKUP(B487,bond!B:AL,37,FALSE)="FIXED","固定",IF(VLOOKUP(B487,bond!B:AL,37,FALSE)="FLOATING","浮動",IF(VLOOKUP(B487,bond!B:AL,37,FALSE)="VARIABLE","變動",IF(VLOOKUP(B487,bond!B:AL,37,FALSE)="FLAT TRADING","不含息交易",IF(VLOOKUP(B487,bond!B:AL,37,FALSE)="ZERO COUPON","零息",VLOOKUP(B487,bond!B:AL,37,FALSE))))))</f>
        <v>#N/A</v>
      </c>
      <c r="AH487" s="136" t="e">
        <f>VLOOKUP(C487,'2_Check_code'!I:J,2,FALSE)</f>
        <v>#N/A</v>
      </c>
      <c r="AI487" s="136" t="e">
        <f t="shared" ca="1" si="54"/>
        <v>#N/A</v>
      </c>
      <c r="AJ487" s="136" t="e">
        <f t="shared" ca="1" si="55"/>
        <v>#N/A</v>
      </c>
      <c r="AK487" s="594" t="e">
        <f ca="1">IF(VLOOKUP(B487,bond!B:S,18,FALSE)="是","有",IF(VLOOKUP(B487,bond!B:S,18,FALSE)="NO OFFER","無","需查詢"))</f>
        <v>#N/A</v>
      </c>
      <c r="AL487" s="136" t="e">
        <f>IF(VLOOKUP(A487,bond!F:AR,39,FALSE)="#N/A Field Not Applicable",VLOOKUP(A487,bond!F:AR,38,FALSE),IFERROR(VLOOKUP(A487,'7_發行日例外'!A:B,2,FALSE),VLOOKUP(A487,bond!F:AR,39,FALSE)))</f>
        <v>#N/A</v>
      </c>
      <c r="AM487" s="136" t="e">
        <f ca="1">VLOOKUP(B487,bond!B:AK,36,FALSE)</f>
        <v>#N/A</v>
      </c>
      <c r="AN487" s="136" t="str">
        <f ca="1">IFERROR(VLOOKUP(B487,'3_是否下架'!A:A,1,FALSE),"")</f>
        <v/>
      </c>
      <c r="AO487" s="136" t="e">
        <f ca="1">VLOOKUP(B487,bond!B:J,9,FALSE)</f>
        <v>#N/A</v>
      </c>
      <c r="AP487" s="136" t="e">
        <f ca="1">VLOOKUP(B487,bond!B:V,21,FALSE)</f>
        <v>#N/A</v>
      </c>
    </row>
    <row r="488" spans="1:42">
      <c r="A488" s="141">
        <f>bond!F489</f>
        <v>0</v>
      </c>
      <c r="B488" s="151">
        <f ca="1">IF($C$1=TRUE,bond!B489,"")</f>
        <v>0</v>
      </c>
      <c r="C488" s="95" t="e">
        <f>VLOOKUP(A488,bond!F:G,2,FALSE)</f>
        <v>#N/A</v>
      </c>
      <c r="D488" s="142" t="e">
        <f ca="1">VLOOKUP(B488,bond!B:C,2,FALSE)</f>
        <v>#N/A</v>
      </c>
      <c r="E488" s="95" t="e">
        <f ca="1">VLOOKUP(B488,bond!B:D,3,FALSE)</f>
        <v>#N/A</v>
      </c>
      <c r="F488" s="99" t="e">
        <f ca="1">VLOOKUP(B488,bond!B:AB,27,FALSE)</f>
        <v>#N/A</v>
      </c>
      <c r="G488" s="90" t="e">
        <f ca="1">VLOOKUP(B488,bond!B:E,4,FALSE)</f>
        <v>#N/A</v>
      </c>
      <c r="H488" s="202" t="e">
        <f ca="1">VLOOKUP(B488,bond!B:Y,24,FALSE)</f>
        <v>#N/A</v>
      </c>
      <c r="I488" s="95" t="e">
        <f ca="1">VLOOKUP(B488,bond!B:Z,25,FALSE)</f>
        <v>#N/A</v>
      </c>
      <c r="J488" s="180" t="e">
        <f ca="1">VLOOKUP(B488,bond!B:K,10,FALSE)</f>
        <v>#N/A</v>
      </c>
      <c r="K488" s="96" t="e">
        <f ca="1">VLOOKUP($B488,bond!B:S,14,FALSE)</f>
        <v>#N/A</v>
      </c>
      <c r="L488" s="91" t="e">
        <f ca="1">VLOOKUP(B488,bond!B:H,7,FALSE)</f>
        <v>#N/A</v>
      </c>
      <c r="M488" s="144" t="e">
        <f ca="1">VLOOKUP($B488,bond!$B:$Q,16,FALSE)</f>
        <v>#N/A</v>
      </c>
      <c r="N488" s="136" t="e">
        <f ca="1">VALUE(LEFT(VLOOKUP(B488,bond!B:R,17,FALSE),SEARCH(" ",VLOOKUP(B488,bond!B:R,17,FALSE),1)))</f>
        <v>#N/A</v>
      </c>
      <c r="O488" s="136" t="e">
        <f ca="1">VALUE(RIGHT(VLOOKUP(B488,bond!B:R,17,FALSE),LEN(VLOOKUP(B488,bond!B:R,17,FALSE))-LEN(N488)-3))</f>
        <v>#N/A</v>
      </c>
      <c r="P488" s="135" t="e">
        <f ca="1">VLOOKUP($B488,bond!$B:$AG,32,FALSE)</f>
        <v>#N/A</v>
      </c>
      <c r="Q488" s="135" t="e">
        <f ca="1">VLOOKUP($B488,bond!$B:$AH,33,FALSE)</f>
        <v>#N/A</v>
      </c>
      <c r="R488" s="135" t="e">
        <f ca="1">VLOOKUP(B488,bond!B:AA,26,FALSE)</f>
        <v>#N/A</v>
      </c>
      <c r="S488" s="135" t="e">
        <f ca="1">VLOOKUP(B488,bond!B:AI,34,FALSE)</f>
        <v>#N/A</v>
      </c>
      <c r="T488" s="135" t="e">
        <f t="shared" ca="1" si="49"/>
        <v>#N/A</v>
      </c>
      <c r="U488" s="207" t="e">
        <f ca="1">IFERROR(VLOOKUP(T488,Bond_DES!D:E,2,FALSE),VLOOKUP(S488,bond!AI:AJ,2,FALSE))</f>
        <v>#N/A</v>
      </c>
      <c r="V488" s="136" t="e">
        <f ca="1">IFERROR(VLOOKUP(B488,'1_重設數據'!L:M,2,FALSE),IF(Q488="政府",IF(AD488&gt;16,"(NPI)非專投",IF(AD488&gt;10,"(PI)專投","高資產")),IF(VLOOKUP(B488,bond!B:AN,39,FALSE)="Y","(PI)專投",IF(AD488&gt;=15,"(NPI)非專投",IF(AD488&gt;=10,"(PI)專投","高資產")))))</f>
        <v>#N/A</v>
      </c>
      <c r="W488" s="136" t="e">
        <f ca="1">VLOOKUP(AD488,'credit rating'!$F$2:$H$22,3,FALSE)</f>
        <v>#N/A</v>
      </c>
      <c r="X488" s="136" t="e">
        <f t="shared" ca="1" si="50"/>
        <v>#N/A</v>
      </c>
      <c r="Y488" s="136" t="e">
        <f t="shared" ca="1" si="51"/>
        <v>#N/A</v>
      </c>
      <c r="Z488" s="136" t="e">
        <f t="shared" ca="1" si="52"/>
        <v>#N/A</v>
      </c>
      <c r="AA488" s="134">
        <f ca="1">IFERROR(VLOOKUP(X488,'credit rating'!A:C,3,FALSE),0)</f>
        <v>0</v>
      </c>
      <c r="AB488" s="134">
        <f ca="1">IFERROR(VLOOKUP(Y488,'credit rating'!B:C,2,FALSE),0)</f>
        <v>0</v>
      </c>
      <c r="AC488" s="136">
        <f ca="1">IFERROR(VLOOKUP(Z488,'credit rating'!B:C,2,FALSE),0)</f>
        <v>0</v>
      </c>
      <c r="AD488" s="136">
        <f t="shared" ca="1" si="53"/>
        <v>0</v>
      </c>
      <c r="AE488" s="249" t="str">
        <f ca="1">IFERROR(VLOOKUP(B488,bond!B:U,20,FALSE),"")</f>
        <v/>
      </c>
      <c r="AF488" s="136" t="e">
        <f ca="1">IF(VLOOKUP(B488,bond!B:AK,36,FALSE)="#N/A Field Not Applicable","",VLOOKUP(B488,bond!B:AK,36,FALSE))</f>
        <v>#N/A</v>
      </c>
      <c r="AG488" s="136" t="e">
        <f ca="1">IF(VLOOKUP(B488,bond!B:AL,37,FALSE)="FIXED","固定",IF(VLOOKUP(B488,bond!B:AL,37,FALSE)="FLOATING","浮動",IF(VLOOKUP(B488,bond!B:AL,37,FALSE)="VARIABLE","變動",IF(VLOOKUP(B488,bond!B:AL,37,FALSE)="FLAT TRADING","不含息交易",IF(VLOOKUP(B488,bond!B:AL,37,FALSE)="ZERO COUPON","零息",VLOOKUP(B488,bond!B:AL,37,FALSE))))))</f>
        <v>#N/A</v>
      </c>
      <c r="AH488" s="136" t="e">
        <f>VLOOKUP(C488,'2_Check_code'!I:J,2,FALSE)</f>
        <v>#N/A</v>
      </c>
      <c r="AI488" s="136" t="e">
        <f t="shared" ca="1" si="54"/>
        <v>#N/A</v>
      </c>
      <c r="AJ488" s="136" t="e">
        <f t="shared" ca="1" si="55"/>
        <v>#N/A</v>
      </c>
      <c r="AK488" s="594" t="e">
        <f ca="1">IF(VLOOKUP(B488,bond!B:S,18,FALSE)="是","有",IF(VLOOKUP(B488,bond!B:S,18,FALSE)="NO OFFER","無","需查詢"))</f>
        <v>#N/A</v>
      </c>
      <c r="AL488" s="136" t="e">
        <f>IF(VLOOKUP(A488,bond!F:AR,39,FALSE)="#N/A Field Not Applicable",VLOOKUP(A488,bond!F:AR,38,FALSE),IFERROR(VLOOKUP(A488,'7_發行日例外'!A:B,2,FALSE),VLOOKUP(A488,bond!F:AR,39,FALSE)))</f>
        <v>#N/A</v>
      </c>
      <c r="AM488" s="136" t="e">
        <f ca="1">VLOOKUP(B488,bond!B:AK,36,FALSE)</f>
        <v>#N/A</v>
      </c>
      <c r="AN488" s="136" t="str">
        <f ca="1">IFERROR(VLOOKUP(B488,'3_是否下架'!A:A,1,FALSE),"")</f>
        <v/>
      </c>
      <c r="AO488" s="136" t="e">
        <f ca="1">VLOOKUP(B488,bond!B:J,9,FALSE)</f>
        <v>#N/A</v>
      </c>
      <c r="AP488" s="136" t="e">
        <f ca="1">VLOOKUP(B488,bond!B:V,21,FALSE)</f>
        <v>#N/A</v>
      </c>
    </row>
    <row r="489" spans="1:42">
      <c r="A489" s="141">
        <f>bond!F490</f>
        <v>0</v>
      </c>
      <c r="B489" s="151">
        <f ca="1">IF($C$1=TRUE,bond!B490,"")</f>
        <v>0</v>
      </c>
      <c r="C489" s="95" t="e">
        <f>VLOOKUP(A489,bond!F:G,2,FALSE)</f>
        <v>#N/A</v>
      </c>
      <c r="D489" s="142" t="e">
        <f ca="1">VLOOKUP(B489,bond!B:C,2,FALSE)</f>
        <v>#N/A</v>
      </c>
      <c r="E489" s="95" t="e">
        <f ca="1">VLOOKUP(B489,bond!B:D,3,FALSE)</f>
        <v>#N/A</v>
      </c>
      <c r="F489" s="99" t="e">
        <f ca="1">VLOOKUP(B489,bond!B:AB,27,FALSE)</f>
        <v>#N/A</v>
      </c>
      <c r="G489" s="90" t="e">
        <f ca="1">VLOOKUP(B489,bond!B:E,4,FALSE)</f>
        <v>#N/A</v>
      </c>
      <c r="H489" s="202" t="e">
        <f ca="1">VLOOKUP(B489,bond!B:Y,24,FALSE)</f>
        <v>#N/A</v>
      </c>
      <c r="I489" s="95" t="e">
        <f ca="1">VLOOKUP(B489,bond!B:Z,25,FALSE)</f>
        <v>#N/A</v>
      </c>
      <c r="J489" s="180" t="e">
        <f ca="1">VLOOKUP(B489,bond!B:K,10,FALSE)</f>
        <v>#N/A</v>
      </c>
      <c r="K489" s="96" t="e">
        <f ca="1">VLOOKUP($B489,bond!B:S,14,FALSE)</f>
        <v>#N/A</v>
      </c>
      <c r="L489" s="91" t="e">
        <f ca="1">VLOOKUP(B489,bond!B:H,7,FALSE)</f>
        <v>#N/A</v>
      </c>
      <c r="M489" s="144" t="e">
        <f ca="1">VLOOKUP($B489,bond!$B:$Q,16,FALSE)</f>
        <v>#N/A</v>
      </c>
      <c r="N489" s="136" t="e">
        <f ca="1">VALUE(LEFT(VLOOKUP(B489,bond!B:R,17,FALSE),SEARCH(" ",VLOOKUP(B489,bond!B:R,17,FALSE),1)))</f>
        <v>#N/A</v>
      </c>
      <c r="O489" s="136" t="e">
        <f ca="1">VALUE(RIGHT(VLOOKUP(B489,bond!B:R,17,FALSE),LEN(VLOOKUP(B489,bond!B:R,17,FALSE))-LEN(N489)-3))</f>
        <v>#N/A</v>
      </c>
      <c r="P489" s="135" t="e">
        <f ca="1">VLOOKUP($B489,bond!$B:$AG,32,FALSE)</f>
        <v>#N/A</v>
      </c>
      <c r="Q489" s="135" t="e">
        <f ca="1">VLOOKUP($B489,bond!$B:$AH,33,FALSE)</f>
        <v>#N/A</v>
      </c>
      <c r="R489" s="135" t="e">
        <f ca="1">VLOOKUP(B489,bond!B:AA,26,FALSE)</f>
        <v>#N/A</v>
      </c>
      <c r="S489" s="135" t="e">
        <f ca="1">VLOOKUP(B489,bond!B:AI,34,FALSE)</f>
        <v>#N/A</v>
      </c>
      <c r="T489" s="135" t="e">
        <f t="shared" ca="1" si="49"/>
        <v>#N/A</v>
      </c>
      <c r="U489" s="207" t="e">
        <f ca="1">IFERROR(VLOOKUP(T489,Bond_DES!D:E,2,FALSE),VLOOKUP(S489,bond!AI:AJ,2,FALSE))</f>
        <v>#N/A</v>
      </c>
      <c r="V489" s="136" t="e">
        <f ca="1">IFERROR(VLOOKUP(B489,'1_重設數據'!L:M,2,FALSE),IF(Q489="政府",IF(AD489&gt;16,"(NPI)非專投",IF(AD489&gt;10,"(PI)專投","高資產")),IF(VLOOKUP(B489,bond!B:AN,39,FALSE)="Y","(PI)專投",IF(AD489&gt;=15,"(NPI)非專投",IF(AD489&gt;=10,"(PI)專投","高資產")))))</f>
        <v>#N/A</v>
      </c>
      <c r="W489" s="136" t="e">
        <f ca="1">VLOOKUP(AD489,'credit rating'!$F$2:$H$22,3,FALSE)</f>
        <v>#N/A</v>
      </c>
      <c r="X489" s="136" t="e">
        <f t="shared" ca="1" si="50"/>
        <v>#N/A</v>
      </c>
      <c r="Y489" s="136" t="e">
        <f t="shared" ca="1" si="51"/>
        <v>#N/A</v>
      </c>
      <c r="Z489" s="136" t="e">
        <f t="shared" ca="1" si="52"/>
        <v>#N/A</v>
      </c>
      <c r="AA489" s="134">
        <f ca="1">IFERROR(VLOOKUP(X489,'credit rating'!A:C,3,FALSE),0)</f>
        <v>0</v>
      </c>
      <c r="AB489" s="134">
        <f ca="1">IFERROR(VLOOKUP(Y489,'credit rating'!B:C,2,FALSE),0)</f>
        <v>0</v>
      </c>
      <c r="AC489" s="136">
        <f ca="1">IFERROR(VLOOKUP(Z489,'credit rating'!B:C,2,FALSE),0)</f>
        <v>0</v>
      </c>
      <c r="AD489" s="136">
        <f t="shared" ca="1" si="53"/>
        <v>0</v>
      </c>
      <c r="AE489" s="249" t="str">
        <f ca="1">IFERROR(VLOOKUP(B489,bond!B:U,20,FALSE),"")</f>
        <v/>
      </c>
      <c r="AF489" s="136" t="e">
        <f ca="1">IF(VLOOKUP(B489,bond!B:AK,36,FALSE)="#N/A Field Not Applicable","",VLOOKUP(B489,bond!B:AK,36,FALSE))</f>
        <v>#N/A</v>
      </c>
      <c r="AG489" s="136" t="e">
        <f ca="1">IF(VLOOKUP(B489,bond!B:AL,37,FALSE)="FIXED","固定",IF(VLOOKUP(B489,bond!B:AL,37,FALSE)="FLOATING","浮動",IF(VLOOKUP(B489,bond!B:AL,37,FALSE)="VARIABLE","變動",IF(VLOOKUP(B489,bond!B:AL,37,FALSE)="FLAT TRADING","不含息交易",IF(VLOOKUP(B489,bond!B:AL,37,FALSE)="ZERO COUPON","零息",VLOOKUP(B489,bond!B:AL,37,FALSE))))))</f>
        <v>#N/A</v>
      </c>
      <c r="AH489" s="136" t="e">
        <f>VLOOKUP(C489,'2_Check_code'!I:J,2,FALSE)</f>
        <v>#N/A</v>
      </c>
      <c r="AI489" s="136" t="e">
        <f t="shared" ca="1" si="54"/>
        <v>#N/A</v>
      </c>
      <c r="AJ489" s="136" t="e">
        <f t="shared" ca="1" si="55"/>
        <v>#N/A</v>
      </c>
      <c r="AK489" s="594" t="e">
        <f ca="1">IF(VLOOKUP(B489,bond!B:S,18,FALSE)="是","有",IF(VLOOKUP(B489,bond!B:S,18,FALSE)="NO OFFER","無","需查詢"))</f>
        <v>#N/A</v>
      </c>
      <c r="AL489" s="136" t="e">
        <f>IF(VLOOKUP(A489,bond!F:AR,39,FALSE)="#N/A Field Not Applicable",VLOOKUP(A489,bond!F:AR,38,FALSE),IFERROR(VLOOKUP(A489,'7_發行日例外'!A:B,2,FALSE),VLOOKUP(A489,bond!F:AR,39,FALSE)))</f>
        <v>#N/A</v>
      </c>
      <c r="AM489" s="136" t="e">
        <f ca="1">VLOOKUP(B489,bond!B:AK,36,FALSE)</f>
        <v>#N/A</v>
      </c>
      <c r="AN489" s="136" t="str">
        <f ca="1">IFERROR(VLOOKUP(B489,'3_是否下架'!A:A,1,FALSE),"")</f>
        <v/>
      </c>
      <c r="AO489" s="136" t="e">
        <f ca="1">VLOOKUP(B489,bond!B:J,9,FALSE)</f>
        <v>#N/A</v>
      </c>
      <c r="AP489" s="136" t="e">
        <f ca="1">VLOOKUP(B489,bond!B:V,21,FALSE)</f>
        <v>#N/A</v>
      </c>
    </row>
    <row r="490" spans="1:42">
      <c r="A490" s="141">
        <f>bond!F491</f>
        <v>0</v>
      </c>
      <c r="B490" s="151">
        <f ca="1">IF($C$1=TRUE,bond!B491,"")</f>
        <v>0</v>
      </c>
      <c r="C490" s="95" t="e">
        <f>VLOOKUP(A490,bond!F:G,2,FALSE)</f>
        <v>#N/A</v>
      </c>
      <c r="D490" s="142" t="e">
        <f ca="1">VLOOKUP(B490,bond!B:C,2,FALSE)</f>
        <v>#N/A</v>
      </c>
      <c r="E490" s="95" t="e">
        <f ca="1">VLOOKUP(B490,bond!B:D,3,FALSE)</f>
        <v>#N/A</v>
      </c>
      <c r="F490" s="99" t="e">
        <f ca="1">VLOOKUP(B490,bond!B:AB,27,FALSE)</f>
        <v>#N/A</v>
      </c>
      <c r="G490" s="90" t="e">
        <f ca="1">VLOOKUP(B490,bond!B:E,4,FALSE)</f>
        <v>#N/A</v>
      </c>
      <c r="H490" s="202" t="e">
        <f ca="1">VLOOKUP(B490,bond!B:Y,24,FALSE)</f>
        <v>#N/A</v>
      </c>
      <c r="I490" s="95" t="e">
        <f ca="1">VLOOKUP(B490,bond!B:Z,25,FALSE)</f>
        <v>#N/A</v>
      </c>
      <c r="J490" s="180" t="e">
        <f ca="1">VLOOKUP(B490,bond!B:K,10,FALSE)</f>
        <v>#N/A</v>
      </c>
      <c r="K490" s="96" t="e">
        <f ca="1">VLOOKUP($B490,bond!B:S,14,FALSE)</f>
        <v>#N/A</v>
      </c>
      <c r="L490" s="91" t="e">
        <f ca="1">VLOOKUP(B490,bond!B:H,7,FALSE)</f>
        <v>#N/A</v>
      </c>
      <c r="M490" s="144" t="e">
        <f ca="1">VLOOKUP($B490,bond!$B:$Q,16,FALSE)</f>
        <v>#N/A</v>
      </c>
      <c r="N490" s="136" t="e">
        <f ca="1">VALUE(LEFT(VLOOKUP(B490,bond!B:R,17,FALSE),SEARCH(" ",VLOOKUP(B490,bond!B:R,17,FALSE),1)))</f>
        <v>#N/A</v>
      </c>
      <c r="O490" s="136" t="e">
        <f ca="1">VALUE(RIGHT(VLOOKUP(B490,bond!B:R,17,FALSE),LEN(VLOOKUP(B490,bond!B:R,17,FALSE))-LEN(N490)-3))</f>
        <v>#N/A</v>
      </c>
      <c r="P490" s="135" t="e">
        <f ca="1">VLOOKUP($B490,bond!$B:$AG,32,FALSE)</f>
        <v>#N/A</v>
      </c>
      <c r="Q490" s="135" t="e">
        <f ca="1">VLOOKUP($B490,bond!$B:$AH,33,FALSE)</f>
        <v>#N/A</v>
      </c>
      <c r="R490" s="135" t="e">
        <f ca="1">VLOOKUP(B490,bond!B:AA,26,FALSE)</f>
        <v>#N/A</v>
      </c>
      <c r="S490" s="135" t="e">
        <f ca="1">VLOOKUP(B490,bond!B:AI,34,FALSE)</f>
        <v>#N/A</v>
      </c>
      <c r="T490" s="135" t="e">
        <f t="shared" ca="1" si="49"/>
        <v>#N/A</v>
      </c>
      <c r="U490" s="207" t="e">
        <f ca="1">IFERROR(VLOOKUP(T490,Bond_DES!D:E,2,FALSE),VLOOKUP(S490,bond!AI:AJ,2,FALSE))</f>
        <v>#N/A</v>
      </c>
      <c r="V490" s="136" t="e">
        <f ca="1">IFERROR(VLOOKUP(B490,'1_重設數據'!L:M,2,FALSE),IF(Q490="政府",IF(AD490&gt;16,"(NPI)非專投",IF(AD490&gt;10,"(PI)專投","高資產")),IF(VLOOKUP(B490,bond!B:AN,39,FALSE)="Y","(PI)專投",IF(AD490&gt;=15,"(NPI)非專投",IF(AD490&gt;=10,"(PI)專投","高資產")))))</f>
        <v>#N/A</v>
      </c>
      <c r="W490" s="136" t="e">
        <f ca="1">VLOOKUP(AD490,'credit rating'!$F$2:$H$22,3,FALSE)</f>
        <v>#N/A</v>
      </c>
      <c r="X490" s="136" t="e">
        <f t="shared" ca="1" si="50"/>
        <v>#N/A</v>
      </c>
      <c r="Y490" s="136" t="e">
        <f t="shared" ca="1" si="51"/>
        <v>#N/A</v>
      </c>
      <c r="Z490" s="136" t="e">
        <f t="shared" ca="1" si="52"/>
        <v>#N/A</v>
      </c>
      <c r="AA490" s="134">
        <f ca="1">IFERROR(VLOOKUP(X490,'credit rating'!A:C,3,FALSE),0)</f>
        <v>0</v>
      </c>
      <c r="AB490" s="134">
        <f ca="1">IFERROR(VLOOKUP(Y490,'credit rating'!B:C,2,FALSE),0)</f>
        <v>0</v>
      </c>
      <c r="AC490" s="136">
        <f ca="1">IFERROR(VLOOKUP(Z490,'credit rating'!B:C,2,FALSE),0)</f>
        <v>0</v>
      </c>
      <c r="AD490" s="136">
        <f t="shared" ca="1" si="53"/>
        <v>0</v>
      </c>
      <c r="AE490" s="249" t="str">
        <f ca="1">IFERROR(VLOOKUP(B490,bond!B:U,20,FALSE),"")</f>
        <v/>
      </c>
      <c r="AF490" s="136" t="e">
        <f ca="1">IF(VLOOKUP(B490,bond!B:AK,36,FALSE)="#N/A Field Not Applicable","",VLOOKUP(B490,bond!B:AK,36,FALSE))</f>
        <v>#N/A</v>
      </c>
      <c r="AG490" s="136" t="e">
        <f ca="1">IF(VLOOKUP(B490,bond!B:AL,37,FALSE)="FIXED","固定",IF(VLOOKUP(B490,bond!B:AL,37,FALSE)="FLOATING","浮動",IF(VLOOKUP(B490,bond!B:AL,37,FALSE)="VARIABLE","變動",IF(VLOOKUP(B490,bond!B:AL,37,FALSE)="FLAT TRADING","不含息交易",IF(VLOOKUP(B490,bond!B:AL,37,FALSE)="ZERO COUPON","零息",VLOOKUP(B490,bond!B:AL,37,FALSE))))))</f>
        <v>#N/A</v>
      </c>
      <c r="AH490" s="136" t="e">
        <f>VLOOKUP(C490,'2_Check_code'!I:J,2,FALSE)</f>
        <v>#N/A</v>
      </c>
      <c r="AI490" s="136" t="e">
        <f t="shared" ca="1" si="54"/>
        <v>#N/A</v>
      </c>
      <c r="AJ490" s="136" t="e">
        <f t="shared" ca="1" si="55"/>
        <v>#N/A</v>
      </c>
      <c r="AK490" s="594" t="e">
        <f ca="1">IF(VLOOKUP(B490,bond!B:S,18,FALSE)="是","有",IF(VLOOKUP(B490,bond!B:S,18,FALSE)="NO OFFER","無","需查詢"))</f>
        <v>#N/A</v>
      </c>
      <c r="AL490" s="136" t="e">
        <f>IF(VLOOKUP(A490,bond!F:AR,39,FALSE)="#N/A Field Not Applicable",VLOOKUP(A490,bond!F:AR,38,FALSE),IFERROR(VLOOKUP(A490,'7_發行日例外'!A:B,2,FALSE),VLOOKUP(A490,bond!F:AR,39,FALSE)))</f>
        <v>#N/A</v>
      </c>
      <c r="AM490" s="136" t="e">
        <f ca="1">VLOOKUP(B490,bond!B:AK,36,FALSE)</f>
        <v>#N/A</v>
      </c>
      <c r="AN490" s="136" t="str">
        <f ca="1">IFERROR(VLOOKUP(B490,'3_是否下架'!A:A,1,FALSE),"")</f>
        <v/>
      </c>
      <c r="AO490" s="136" t="e">
        <f ca="1">VLOOKUP(B490,bond!B:J,9,FALSE)</f>
        <v>#N/A</v>
      </c>
      <c r="AP490" s="136" t="e">
        <f ca="1">VLOOKUP(B490,bond!B:V,21,FALSE)</f>
        <v>#N/A</v>
      </c>
    </row>
    <row r="491" spans="1:42">
      <c r="A491" s="141">
        <f>bond!F492</f>
        <v>0</v>
      </c>
      <c r="B491" s="151">
        <f ca="1">IF($C$1=TRUE,bond!B492,"")</f>
        <v>0</v>
      </c>
      <c r="C491" s="95" t="e">
        <f>VLOOKUP(A491,bond!F:G,2,FALSE)</f>
        <v>#N/A</v>
      </c>
      <c r="D491" s="142" t="e">
        <f ca="1">VLOOKUP(B491,bond!B:C,2,FALSE)</f>
        <v>#N/A</v>
      </c>
      <c r="E491" s="95" t="e">
        <f ca="1">VLOOKUP(B491,bond!B:D,3,FALSE)</f>
        <v>#N/A</v>
      </c>
      <c r="F491" s="99" t="e">
        <f ca="1">VLOOKUP(B491,bond!B:AB,27,FALSE)</f>
        <v>#N/A</v>
      </c>
      <c r="G491" s="90" t="e">
        <f ca="1">VLOOKUP(B491,bond!B:E,4,FALSE)</f>
        <v>#N/A</v>
      </c>
      <c r="H491" s="202" t="e">
        <f ca="1">VLOOKUP(B491,bond!B:Y,24,FALSE)</f>
        <v>#N/A</v>
      </c>
      <c r="I491" s="95" t="e">
        <f ca="1">VLOOKUP(B491,bond!B:Z,25,FALSE)</f>
        <v>#N/A</v>
      </c>
      <c r="J491" s="180" t="e">
        <f ca="1">VLOOKUP(B491,bond!B:K,10,FALSE)</f>
        <v>#N/A</v>
      </c>
      <c r="K491" s="96" t="e">
        <f ca="1">VLOOKUP($B491,bond!B:S,14,FALSE)</f>
        <v>#N/A</v>
      </c>
      <c r="L491" s="91" t="e">
        <f ca="1">VLOOKUP(B491,bond!B:H,7,FALSE)</f>
        <v>#N/A</v>
      </c>
      <c r="M491" s="144" t="e">
        <f ca="1">VLOOKUP($B491,bond!$B:$Q,16,FALSE)</f>
        <v>#N/A</v>
      </c>
      <c r="N491" s="136" t="e">
        <f ca="1">VALUE(LEFT(VLOOKUP(B491,bond!B:R,17,FALSE),SEARCH(" ",VLOOKUP(B491,bond!B:R,17,FALSE),1)))</f>
        <v>#N/A</v>
      </c>
      <c r="O491" s="136" t="e">
        <f ca="1">VALUE(RIGHT(VLOOKUP(B491,bond!B:R,17,FALSE),LEN(VLOOKUP(B491,bond!B:R,17,FALSE))-LEN(N491)-3))</f>
        <v>#N/A</v>
      </c>
      <c r="P491" s="135" t="e">
        <f ca="1">VLOOKUP($B491,bond!$B:$AG,32,FALSE)</f>
        <v>#N/A</v>
      </c>
      <c r="Q491" s="135" t="e">
        <f ca="1">VLOOKUP($B491,bond!$B:$AH,33,FALSE)</f>
        <v>#N/A</v>
      </c>
      <c r="R491" s="135" t="e">
        <f ca="1">VLOOKUP(B491,bond!B:AA,26,FALSE)</f>
        <v>#N/A</v>
      </c>
      <c r="S491" s="135" t="e">
        <f ca="1">VLOOKUP(B491,bond!B:AI,34,FALSE)</f>
        <v>#N/A</v>
      </c>
      <c r="T491" s="135" t="e">
        <f t="shared" ca="1" si="49"/>
        <v>#N/A</v>
      </c>
      <c r="U491" s="207" t="e">
        <f ca="1">IFERROR(VLOOKUP(T491,Bond_DES!D:E,2,FALSE),VLOOKUP(S491,bond!AI:AJ,2,FALSE))</f>
        <v>#N/A</v>
      </c>
      <c r="V491" s="136" t="e">
        <f ca="1">IFERROR(VLOOKUP(B491,'1_重設數據'!L:M,2,FALSE),IF(Q491="政府",IF(AD491&gt;16,"(NPI)非專投",IF(AD491&gt;10,"(PI)專投","高資產")),IF(VLOOKUP(B491,bond!B:AN,39,FALSE)="Y","(PI)專投",IF(AD491&gt;=15,"(NPI)非專投",IF(AD491&gt;=10,"(PI)專投","高資產")))))</f>
        <v>#N/A</v>
      </c>
      <c r="W491" s="136" t="e">
        <f ca="1">VLOOKUP(AD491,'credit rating'!$F$2:$H$22,3,FALSE)</f>
        <v>#N/A</v>
      </c>
      <c r="X491" s="136" t="e">
        <f t="shared" ca="1" si="50"/>
        <v>#N/A</v>
      </c>
      <c r="Y491" s="136" t="e">
        <f t="shared" ca="1" si="51"/>
        <v>#N/A</v>
      </c>
      <c r="Z491" s="136" t="e">
        <f t="shared" ca="1" si="52"/>
        <v>#N/A</v>
      </c>
      <c r="AA491" s="134">
        <f ca="1">IFERROR(VLOOKUP(X491,'credit rating'!A:C,3,FALSE),0)</f>
        <v>0</v>
      </c>
      <c r="AB491" s="134">
        <f ca="1">IFERROR(VLOOKUP(Y491,'credit rating'!B:C,2,FALSE),0)</f>
        <v>0</v>
      </c>
      <c r="AC491" s="136">
        <f ca="1">IFERROR(VLOOKUP(Z491,'credit rating'!B:C,2,FALSE),0)</f>
        <v>0</v>
      </c>
      <c r="AD491" s="136">
        <f t="shared" ca="1" si="53"/>
        <v>0</v>
      </c>
      <c r="AE491" s="249" t="str">
        <f ca="1">IFERROR(VLOOKUP(B491,bond!B:U,20,FALSE),"")</f>
        <v/>
      </c>
      <c r="AF491" s="136" t="e">
        <f ca="1">IF(VLOOKUP(B491,bond!B:AK,36,FALSE)="#N/A Field Not Applicable","",VLOOKUP(B491,bond!B:AK,36,FALSE))</f>
        <v>#N/A</v>
      </c>
      <c r="AG491" s="136" t="e">
        <f ca="1">IF(VLOOKUP(B491,bond!B:AL,37,FALSE)="FIXED","固定",IF(VLOOKUP(B491,bond!B:AL,37,FALSE)="FLOATING","浮動",IF(VLOOKUP(B491,bond!B:AL,37,FALSE)="VARIABLE","變動",IF(VLOOKUP(B491,bond!B:AL,37,FALSE)="FLAT TRADING","不含息交易",IF(VLOOKUP(B491,bond!B:AL,37,FALSE)="ZERO COUPON","零息",VLOOKUP(B491,bond!B:AL,37,FALSE))))))</f>
        <v>#N/A</v>
      </c>
      <c r="AH491" s="136" t="e">
        <f>VLOOKUP(C491,'2_Check_code'!I:J,2,FALSE)</f>
        <v>#N/A</v>
      </c>
      <c r="AI491" s="136" t="e">
        <f t="shared" ca="1" si="54"/>
        <v>#N/A</v>
      </c>
      <c r="AJ491" s="136" t="e">
        <f t="shared" ca="1" si="55"/>
        <v>#N/A</v>
      </c>
      <c r="AK491" s="594" t="e">
        <f ca="1">IF(VLOOKUP(B491,bond!B:S,18,FALSE)="是","有",IF(VLOOKUP(B491,bond!B:S,18,FALSE)="NO OFFER","無","需查詢"))</f>
        <v>#N/A</v>
      </c>
      <c r="AL491" s="136" t="e">
        <f>IF(VLOOKUP(A491,bond!F:AR,39,FALSE)="#N/A Field Not Applicable",VLOOKUP(A491,bond!F:AR,38,FALSE),IFERROR(VLOOKUP(A491,'7_發行日例外'!A:B,2,FALSE),VLOOKUP(A491,bond!F:AR,39,FALSE)))</f>
        <v>#N/A</v>
      </c>
      <c r="AM491" s="136" t="e">
        <f ca="1">VLOOKUP(B491,bond!B:AK,36,FALSE)</f>
        <v>#N/A</v>
      </c>
      <c r="AN491" s="136" t="str">
        <f ca="1">IFERROR(VLOOKUP(B491,'3_是否下架'!A:A,1,FALSE),"")</f>
        <v/>
      </c>
      <c r="AO491" s="136" t="e">
        <f ca="1">VLOOKUP(B491,bond!B:J,9,FALSE)</f>
        <v>#N/A</v>
      </c>
      <c r="AP491" s="136" t="e">
        <f ca="1">VLOOKUP(B491,bond!B:V,21,FALSE)</f>
        <v>#N/A</v>
      </c>
    </row>
    <row r="492" spans="1:42">
      <c r="A492" s="141">
        <f>bond!F493</f>
        <v>0</v>
      </c>
      <c r="B492" s="151">
        <f ca="1">IF($C$1=TRUE,bond!B493,"")</f>
        <v>0</v>
      </c>
      <c r="C492" s="95" t="e">
        <f>VLOOKUP(A492,bond!F:G,2,FALSE)</f>
        <v>#N/A</v>
      </c>
      <c r="D492" s="142" t="e">
        <f ca="1">VLOOKUP(B492,bond!B:C,2,FALSE)</f>
        <v>#N/A</v>
      </c>
      <c r="E492" s="95" t="e">
        <f ca="1">VLOOKUP(B492,bond!B:D,3,FALSE)</f>
        <v>#N/A</v>
      </c>
      <c r="F492" s="99" t="e">
        <f ca="1">VLOOKUP(B492,bond!B:AB,27,FALSE)</f>
        <v>#N/A</v>
      </c>
      <c r="G492" s="90" t="e">
        <f ca="1">VLOOKUP(B492,bond!B:E,4,FALSE)</f>
        <v>#N/A</v>
      </c>
      <c r="H492" s="202" t="e">
        <f ca="1">VLOOKUP(B492,bond!B:Y,24,FALSE)</f>
        <v>#N/A</v>
      </c>
      <c r="I492" s="95" t="e">
        <f ca="1">VLOOKUP(B492,bond!B:Z,25,FALSE)</f>
        <v>#N/A</v>
      </c>
      <c r="J492" s="180" t="e">
        <f ca="1">VLOOKUP(B492,bond!B:K,10,FALSE)</f>
        <v>#N/A</v>
      </c>
      <c r="K492" s="96" t="e">
        <f ca="1">VLOOKUP($B492,bond!B:S,14,FALSE)</f>
        <v>#N/A</v>
      </c>
      <c r="L492" s="91" t="e">
        <f ca="1">VLOOKUP(B492,bond!B:H,7,FALSE)</f>
        <v>#N/A</v>
      </c>
      <c r="M492" s="144" t="e">
        <f ca="1">VLOOKUP($B492,bond!$B:$Q,16,FALSE)</f>
        <v>#N/A</v>
      </c>
      <c r="N492" s="136" t="e">
        <f ca="1">VALUE(LEFT(VLOOKUP(B492,bond!B:R,17,FALSE),SEARCH(" ",VLOOKUP(B492,bond!B:R,17,FALSE),1)))</f>
        <v>#N/A</v>
      </c>
      <c r="O492" s="136" t="e">
        <f ca="1">VALUE(RIGHT(VLOOKUP(B492,bond!B:R,17,FALSE),LEN(VLOOKUP(B492,bond!B:R,17,FALSE))-LEN(N492)-3))</f>
        <v>#N/A</v>
      </c>
      <c r="P492" s="135" t="e">
        <f ca="1">VLOOKUP($B492,bond!$B:$AG,32,FALSE)</f>
        <v>#N/A</v>
      </c>
      <c r="Q492" s="135" t="e">
        <f ca="1">VLOOKUP($B492,bond!$B:$AH,33,FALSE)</f>
        <v>#N/A</v>
      </c>
      <c r="R492" s="135" t="e">
        <f ca="1">VLOOKUP(B492,bond!B:AA,26,FALSE)</f>
        <v>#N/A</v>
      </c>
      <c r="S492" s="135" t="e">
        <f ca="1">VLOOKUP(B492,bond!B:AI,34,FALSE)</f>
        <v>#N/A</v>
      </c>
      <c r="T492" s="135" t="e">
        <f t="shared" ca="1" si="49"/>
        <v>#N/A</v>
      </c>
      <c r="U492" s="207" t="e">
        <f ca="1">IFERROR(VLOOKUP(T492,Bond_DES!D:E,2,FALSE),VLOOKUP(S492,bond!AI:AJ,2,FALSE))</f>
        <v>#N/A</v>
      </c>
      <c r="V492" s="136" t="e">
        <f ca="1">IFERROR(VLOOKUP(B492,'1_重設數據'!L:M,2,FALSE),IF(Q492="政府",IF(AD492&gt;16,"(NPI)非專投",IF(AD492&gt;10,"(PI)專投","高資產")),IF(VLOOKUP(B492,bond!B:AN,39,FALSE)="Y","(PI)專投",IF(AD492&gt;=15,"(NPI)非專投",IF(AD492&gt;=10,"(PI)專投","高資產")))))</f>
        <v>#N/A</v>
      </c>
      <c r="W492" s="136" t="e">
        <f ca="1">VLOOKUP(AD492,'credit rating'!$F$2:$H$22,3,FALSE)</f>
        <v>#N/A</v>
      </c>
      <c r="X492" s="136" t="e">
        <f t="shared" ca="1" si="50"/>
        <v>#N/A</v>
      </c>
      <c r="Y492" s="136" t="e">
        <f t="shared" ca="1" si="51"/>
        <v>#N/A</v>
      </c>
      <c r="Z492" s="136" t="e">
        <f t="shared" ca="1" si="52"/>
        <v>#N/A</v>
      </c>
      <c r="AA492" s="134">
        <f ca="1">IFERROR(VLOOKUP(X492,'credit rating'!A:C,3,FALSE),0)</f>
        <v>0</v>
      </c>
      <c r="AB492" s="134">
        <f ca="1">IFERROR(VLOOKUP(Y492,'credit rating'!B:C,2,FALSE),0)</f>
        <v>0</v>
      </c>
      <c r="AC492" s="136">
        <f ca="1">IFERROR(VLOOKUP(Z492,'credit rating'!B:C,2,FALSE),0)</f>
        <v>0</v>
      </c>
      <c r="AD492" s="136">
        <f t="shared" ca="1" si="53"/>
        <v>0</v>
      </c>
      <c r="AE492" s="249" t="str">
        <f ca="1">IFERROR(VLOOKUP(B492,bond!B:U,20,FALSE),"")</f>
        <v/>
      </c>
      <c r="AF492" s="136" t="e">
        <f ca="1">IF(VLOOKUP(B492,bond!B:AK,36,FALSE)="#N/A Field Not Applicable","",VLOOKUP(B492,bond!B:AK,36,FALSE))</f>
        <v>#N/A</v>
      </c>
      <c r="AG492" s="136" t="e">
        <f ca="1">IF(VLOOKUP(B492,bond!B:AL,37,FALSE)="FIXED","固定",IF(VLOOKUP(B492,bond!B:AL,37,FALSE)="FLOATING","浮動",IF(VLOOKUP(B492,bond!B:AL,37,FALSE)="VARIABLE","變動",IF(VLOOKUP(B492,bond!B:AL,37,FALSE)="FLAT TRADING","不含息交易",IF(VLOOKUP(B492,bond!B:AL,37,FALSE)="ZERO COUPON","零息",VLOOKUP(B492,bond!B:AL,37,FALSE))))))</f>
        <v>#N/A</v>
      </c>
      <c r="AH492" s="136" t="e">
        <f>VLOOKUP(C492,'2_Check_code'!I:J,2,FALSE)</f>
        <v>#N/A</v>
      </c>
      <c r="AI492" s="136" t="e">
        <f t="shared" ca="1" si="54"/>
        <v>#N/A</v>
      </c>
      <c r="AJ492" s="136" t="e">
        <f t="shared" ca="1" si="55"/>
        <v>#N/A</v>
      </c>
      <c r="AK492" s="594" t="e">
        <f ca="1">IF(VLOOKUP(B492,bond!B:S,18,FALSE)="是","有",IF(VLOOKUP(B492,bond!B:S,18,FALSE)="NO OFFER","無","需查詢"))</f>
        <v>#N/A</v>
      </c>
      <c r="AL492" s="136" t="e">
        <f>IF(VLOOKUP(A492,bond!F:AR,39,FALSE)="#N/A Field Not Applicable",VLOOKUP(A492,bond!F:AR,38,FALSE),IFERROR(VLOOKUP(A492,'7_發行日例外'!A:B,2,FALSE),VLOOKUP(A492,bond!F:AR,39,FALSE)))</f>
        <v>#N/A</v>
      </c>
      <c r="AM492" s="136" t="e">
        <f ca="1">VLOOKUP(B492,bond!B:AK,36,FALSE)</f>
        <v>#N/A</v>
      </c>
      <c r="AN492" s="136" t="str">
        <f ca="1">IFERROR(VLOOKUP(B492,'3_是否下架'!A:A,1,FALSE),"")</f>
        <v/>
      </c>
      <c r="AO492" s="136" t="e">
        <f ca="1">VLOOKUP(B492,bond!B:J,9,FALSE)</f>
        <v>#N/A</v>
      </c>
      <c r="AP492" s="136" t="e">
        <f ca="1">VLOOKUP(B492,bond!B:V,21,FALSE)</f>
        <v>#N/A</v>
      </c>
    </row>
    <row r="493" spans="1:42">
      <c r="A493" s="141">
        <f>bond!F494</f>
        <v>0</v>
      </c>
      <c r="B493" s="151">
        <f ca="1">IF($C$1=TRUE,bond!B494,"")</f>
        <v>0</v>
      </c>
      <c r="C493" s="95" t="e">
        <f>VLOOKUP(A493,bond!F:G,2,FALSE)</f>
        <v>#N/A</v>
      </c>
      <c r="D493" s="142" t="e">
        <f ca="1">VLOOKUP(B493,bond!B:C,2,FALSE)</f>
        <v>#N/A</v>
      </c>
      <c r="E493" s="95" t="e">
        <f ca="1">VLOOKUP(B493,bond!B:D,3,FALSE)</f>
        <v>#N/A</v>
      </c>
      <c r="F493" s="99" t="e">
        <f ca="1">VLOOKUP(B493,bond!B:AB,27,FALSE)</f>
        <v>#N/A</v>
      </c>
      <c r="G493" s="90" t="e">
        <f ca="1">VLOOKUP(B493,bond!B:E,4,FALSE)</f>
        <v>#N/A</v>
      </c>
      <c r="H493" s="202" t="e">
        <f ca="1">VLOOKUP(B493,bond!B:Y,24,FALSE)</f>
        <v>#N/A</v>
      </c>
      <c r="I493" s="95" t="e">
        <f ca="1">VLOOKUP(B493,bond!B:Z,25,FALSE)</f>
        <v>#N/A</v>
      </c>
      <c r="J493" s="180" t="e">
        <f ca="1">VLOOKUP(B493,bond!B:K,10,FALSE)</f>
        <v>#N/A</v>
      </c>
      <c r="K493" s="96" t="e">
        <f ca="1">VLOOKUP($B493,bond!B:S,14,FALSE)</f>
        <v>#N/A</v>
      </c>
      <c r="L493" s="91" t="e">
        <f ca="1">VLOOKUP(B493,bond!B:H,7,FALSE)</f>
        <v>#N/A</v>
      </c>
      <c r="M493" s="144" t="e">
        <f ca="1">VLOOKUP($B493,bond!$B:$Q,16,FALSE)</f>
        <v>#N/A</v>
      </c>
      <c r="N493" s="136" t="e">
        <f ca="1">VALUE(LEFT(VLOOKUP(B493,bond!B:R,17,FALSE),SEARCH(" ",VLOOKUP(B493,bond!B:R,17,FALSE),1)))</f>
        <v>#N/A</v>
      </c>
      <c r="O493" s="136" t="e">
        <f ca="1">VALUE(RIGHT(VLOOKUP(B493,bond!B:R,17,FALSE),LEN(VLOOKUP(B493,bond!B:R,17,FALSE))-LEN(N493)-3))</f>
        <v>#N/A</v>
      </c>
      <c r="P493" s="135" t="e">
        <f ca="1">VLOOKUP($B493,bond!$B:$AG,32,FALSE)</f>
        <v>#N/A</v>
      </c>
      <c r="Q493" s="135" t="e">
        <f ca="1">VLOOKUP($B493,bond!$B:$AH,33,FALSE)</f>
        <v>#N/A</v>
      </c>
      <c r="R493" s="135" t="e">
        <f ca="1">VLOOKUP(B493,bond!B:AA,26,FALSE)</f>
        <v>#N/A</v>
      </c>
      <c r="S493" s="135" t="e">
        <f ca="1">VLOOKUP(B493,bond!B:AI,34,FALSE)</f>
        <v>#N/A</v>
      </c>
      <c r="T493" s="135" t="e">
        <f t="shared" ca="1" si="49"/>
        <v>#N/A</v>
      </c>
      <c r="U493" s="207" t="e">
        <f ca="1">IFERROR(VLOOKUP(T493,Bond_DES!D:E,2,FALSE),VLOOKUP(S493,bond!AI:AJ,2,FALSE))</f>
        <v>#N/A</v>
      </c>
      <c r="V493" s="136" t="e">
        <f ca="1">IFERROR(VLOOKUP(B493,'1_重設數據'!L:M,2,FALSE),IF(Q493="政府",IF(AD493&gt;16,"(NPI)非專投",IF(AD493&gt;10,"(PI)專投","高資產")),IF(VLOOKUP(B493,bond!B:AN,39,FALSE)="Y","(PI)專投",IF(AD493&gt;=15,"(NPI)非專投",IF(AD493&gt;=10,"(PI)專投","高資產")))))</f>
        <v>#N/A</v>
      </c>
      <c r="W493" s="136" t="e">
        <f ca="1">VLOOKUP(AD493,'credit rating'!$F$2:$H$22,3,FALSE)</f>
        <v>#N/A</v>
      </c>
      <c r="X493" s="136" t="e">
        <f t="shared" ca="1" si="50"/>
        <v>#N/A</v>
      </c>
      <c r="Y493" s="136" t="e">
        <f t="shared" ca="1" si="51"/>
        <v>#N/A</v>
      </c>
      <c r="Z493" s="136" t="e">
        <f t="shared" ca="1" si="52"/>
        <v>#N/A</v>
      </c>
      <c r="AA493" s="134">
        <f ca="1">IFERROR(VLOOKUP(X493,'credit rating'!A:C,3,FALSE),0)</f>
        <v>0</v>
      </c>
      <c r="AB493" s="134">
        <f ca="1">IFERROR(VLOOKUP(Y493,'credit rating'!B:C,2,FALSE),0)</f>
        <v>0</v>
      </c>
      <c r="AC493" s="136">
        <f ca="1">IFERROR(VLOOKUP(Z493,'credit rating'!B:C,2,FALSE),0)</f>
        <v>0</v>
      </c>
      <c r="AD493" s="136">
        <f t="shared" ca="1" si="53"/>
        <v>0</v>
      </c>
      <c r="AE493" s="249" t="str">
        <f ca="1">IFERROR(VLOOKUP(B493,bond!B:U,20,FALSE),"")</f>
        <v/>
      </c>
      <c r="AF493" s="136" t="e">
        <f ca="1">IF(VLOOKUP(B493,bond!B:AK,36,FALSE)="#N/A Field Not Applicable","",VLOOKUP(B493,bond!B:AK,36,FALSE))</f>
        <v>#N/A</v>
      </c>
      <c r="AG493" s="136" t="e">
        <f ca="1">IF(VLOOKUP(B493,bond!B:AL,37,FALSE)="FIXED","固定",IF(VLOOKUP(B493,bond!B:AL,37,FALSE)="FLOATING","浮動",IF(VLOOKUP(B493,bond!B:AL,37,FALSE)="VARIABLE","變動",IF(VLOOKUP(B493,bond!B:AL,37,FALSE)="FLAT TRADING","不含息交易",IF(VLOOKUP(B493,bond!B:AL,37,FALSE)="ZERO COUPON","零息",VLOOKUP(B493,bond!B:AL,37,FALSE))))))</f>
        <v>#N/A</v>
      </c>
      <c r="AH493" s="136" t="e">
        <f>VLOOKUP(C493,'2_Check_code'!I:J,2,FALSE)</f>
        <v>#N/A</v>
      </c>
      <c r="AI493" s="136" t="e">
        <f t="shared" ca="1" si="54"/>
        <v>#N/A</v>
      </c>
      <c r="AJ493" s="136" t="e">
        <f t="shared" ca="1" si="55"/>
        <v>#N/A</v>
      </c>
      <c r="AK493" s="594" t="e">
        <f ca="1">IF(VLOOKUP(B493,bond!B:S,18,FALSE)="是","有",IF(VLOOKUP(B493,bond!B:S,18,FALSE)="NO OFFER","無","需查詢"))</f>
        <v>#N/A</v>
      </c>
      <c r="AL493" s="136" t="e">
        <f>IF(VLOOKUP(A493,bond!F:AR,39,FALSE)="#N/A Field Not Applicable",VLOOKUP(A493,bond!F:AR,38,FALSE),IFERROR(VLOOKUP(A493,'7_發行日例外'!A:B,2,FALSE),VLOOKUP(A493,bond!F:AR,39,FALSE)))</f>
        <v>#N/A</v>
      </c>
      <c r="AM493" s="136" t="e">
        <f ca="1">VLOOKUP(B493,bond!B:AK,36,FALSE)</f>
        <v>#N/A</v>
      </c>
      <c r="AN493" s="136" t="str">
        <f ca="1">IFERROR(VLOOKUP(B493,'3_是否下架'!A:A,1,FALSE),"")</f>
        <v/>
      </c>
      <c r="AO493" s="136" t="e">
        <f ca="1">VLOOKUP(B493,bond!B:J,9,FALSE)</f>
        <v>#N/A</v>
      </c>
      <c r="AP493" s="136" t="e">
        <f ca="1">VLOOKUP(B493,bond!B:V,21,FALSE)</f>
        <v>#N/A</v>
      </c>
    </row>
    <row r="494" spans="1:42">
      <c r="A494" s="141">
        <f>bond!F495</f>
        <v>0</v>
      </c>
      <c r="B494" s="151">
        <f ca="1">IF($C$1=TRUE,bond!B495,"")</f>
        <v>0</v>
      </c>
      <c r="C494" s="95" t="e">
        <f>VLOOKUP(A494,bond!F:G,2,FALSE)</f>
        <v>#N/A</v>
      </c>
      <c r="D494" s="142" t="e">
        <f ca="1">VLOOKUP(B494,bond!B:C,2,FALSE)</f>
        <v>#N/A</v>
      </c>
      <c r="E494" s="95" t="e">
        <f ca="1">VLOOKUP(B494,bond!B:D,3,FALSE)</f>
        <v>#N/A</v>
      </c>
      <c r="F494" s="99" t="e">
        <f ca="1">VLOOKUP(B494,bond!B:AB,27,FALSE)</f>
        <v>#N/A</v>
      </c>
      <c r="G494" s="90" t="e">
        <f ca="1">VLOOKUP(B494,bond!B:E,4,FALSE)</f>
        <v>#N/A</v>
      </c>
      <c r="H494" s="202" t="e">
        <f ca="1">VLOOKUP(B494,bond!B:Y,24,FALSE)</f>
        <v>#N/A</v>
      </c>
      <c r="I494" s="95" t="e">
        <f ca="1">VLOOKUP(B494,bond!B:Z,25,FALSE)</f>
        <v>#N/A</v>
      </c>
      <c r="J494" s="180" t="e">
        <f ca="1">VLOOKUP(B494,bond!B:K,10,FALSE)</f>
        <v>#N/A</v>
      </c>
      <c r="K494" s="96" t="e">
        <f ca="1">VLOOKUP($B494,bond!B:S,14,FALSE)</f>
        <v>#N/A</v>
      </c>
      <c r="L494" s="91" t="e">
        <f ca="1">VLOOKUP(B494,bond!B:H,7,FALSE)</f>
        <v>#N/A</v>
      </c>
      <c r="M494" s="144" t="e">
        <f ca="1">VLOOKUP($B494,bond!$B:$Q,16,FALSE)</f>
        <v>#N/A</v>
      </c>
      <c r="N494" s="136" t="e">
        <f ca="1">VALUE(LEFT(VLOOKUP(B494,bond!B:R,17,FALSE),SEARCH(" ",VLOOKUP(B494,bond!B:R,17,FALSE),1)))</f>
        <v>#N/A</v>
      </c>
      <c r="O494" s="136" t="e">
        <f ca="1">VALUE(RIGHT(VLOOKUP(B494,bond!B:R,17,FALSE),LEN(VLOOKUP(B494,bond!B:R,17,FALSE))-LEN(N494)-3))</f>
        <v>#N/A</v>
      </c>
      <c r="P494" s="135" t="e">
        <f ca="1">VLOOKUP($B494,bond!$B:$AG,32,FALSE)</f>
        <v>#N/A</v>
      </c>
      <c r="Q494" s="135" t="e">
        <f ca="1">VLOOKUP($B494,bond!$B:$AH,33,FALSE)</f>
        <v>#N/A</v>
      </c>
      <c r="R494" s="135" t="e">
        <f ca="1">VLOOKUP(B494,bond!B:AA,26,FALSE)</f>
        <v>#N/A</v>
      </c>
      <c r="S494" s="135" t="e">
        <f ca="1">VLOOKUP(B494,bond!B:AI,34,FALSE)</f>
        <v>#N/A</v>
      </c>
      <c r="T494" s="135" t="e">
        <f t="shared" ca="1" si="49"/>
        <v>#N/A</v>
      </c>
      <c r="U494" s="207" t="e">
        <f ca="1">IFERROR(VLOOKUP(T494,Bond_DES!D:E,2,FALSE),VLOOKUP(S494,bond!AI:AJ,2,FALSE))</f>
        <v>#N/A</v>
      </c>
      <c r="V494" s="136" t="e">
        <f ca="1">IFERROR(VLOOKUP(B494,'1_重設數據'!L:M,2,FALSE),IF(Q494="政府",IF(AD494&gt;16,"(NPI)非專投",IF(AD494&gt;10,"(PI)專投","高資產")),IF(VLOOKUP(B494,bond!B:AN,39,FALSE)="Y","(PI)專投",IF(AD494&gt;=15,"(NPI)非專投",IF(AD494&gt;=10,"(PI)專投","高資產")))))</f>
        <v>#N/A</v>
      </c>
      <c r="W494" s="136" t="e">
        <f ca="1">VLOOKUP(AD494,'credit rating'!$F$2:$H$22,3,FALSE)</f>
        <v>#N/A</v>
      </c>
      <c r="X494" s="136" t="e">
        <f t="shared" ca="1" si="50"/>
        <v>#N/A</v>
      </c>
      <c r="Y494" s="136" t="e">
        <f t="shared" ca="1" si="51"/>
        <v>#N/A</v>
      </c>
      <c r="Z494" s="136" t="e">
        <f t="shared" ca="1" si="52"/>
        <v>#N/A</v>
      </c>
      <c r="AA494" s="134">
        <f ca="1">IFERROR(VLOOKUP(X494,'credit rating'!A:C,3,FALSE),0)</f>
        <v>0</v>
      </c>
      <c r="AB494" s="134">
        <f ca="1">IFERROR(VLOOKUP(Y494,'credit rating'!B:C,2,FALSE),0)</f>
        <v>0</v>
      </c>
      <c r="AC494" s="136">
        <f ca="1">IFERROR(VLOOKUP(Z494,'credit rating'!B:C,2,FALSE),0)</f>
        <v>0</v>
      </c>
      <c r="AD494" s="136">
        <f t="shared" ca="1" si="53"/>
        <v>0</v>
      </c>
      <c r="AE494" s="249" t="str">
        <f ca="1">IFERROR(VLOOKUP(B494,bond!B:U,20,FALSE),"")</f>
        <v/>
      </c>
      <c r="AF494" s="136" t="e">
        <f ca="1">IF(VLOOKUP(B494,bond!B:AK,36,FALSE)="#N/A Field Not Applicable","",VLOOKUP(B494,bond!B:AK,36,FALSE))</f>
        <v>#N/A</v>
      </c>
      <c r="AG494" s="136" t="e">
        <f ca="1">IF(VLOOKUP(B494,bond!B:AL,37,FALSE)="FIXED","固定",IF(VLOOKUP(B494,bond!B:AL,37,FALSE)="FLOATING","浮動",IF(VLOOKUP(B494,bond!B:AL,37,FALSE)="VARIABLE","變動",IF(VLOOKUP(B494,bond!B:AL,37,FALSE)="FLAT TRADING","不含息交易",IF(VLOOKUP(B494,bond!B:AL,37,FALSE)="ZERO COUPON","零息",VLOOKUP(B494,bond!B:AL,37,FALSE))))))</f>
        <v>#N/A</v>
      </c>
      <c r="AH494" s="136" t="e">
        <f>VLOOKUP(C494,'2_Check_code'!I:J,2,FALSE)</f>
        <v>#N/A</v>
      </c>
      <c r="AI494" s="136" t="e">
        <f t="shared" ca="1" si="54"/>
        <v>#N/A</v>
      </c>
      <c r="AJ494" s="136" t="e">
        <f t="shared" ca="1" si="55"/>
        <v>#N/A</v>
      </c>
      <c r="AK494" s="594" t="e">
        <f ca="1">IF(VLOOKUP(B494,bond!B:S,18,FALSE)="是","有",IF(VLOOKUP(B494,bond!B:S,18,FALSE)="NO OFFER","無","需查詢"))</f>
        <v>#N/A</v>
      </c>
      <c r="AL494" s="136" t="e">
        <f>IF(VLOOKUP(A494,bond!F:AR,39,FALSE)="#N/A Field Not Applicable",VLOOKUP(A494,bond!F:AR,38,FALSE),IFERROR(VLOOKUP(A494,'7_發行日例外'!A:B,2,FALSE),VLOOKUP(A494,bond!F:AR,39,FALSE)))</f>
        <v>#N/A</v>
      </c>
      <c r="AM494" s="136" t="e">
        <f ca="1">VLOOKUP(B494,bond!B:AK,36,FALSE)</f>
        <v>#N/A</v>
      </c>
      <c r="AN494" s="136" t="str">
        <f ca="1">IFERROR(VLOOKUP(B494,'3_是否下架'!A:A,1,FALSE),"")</f>
        <v/>
      </c>
      <c r="AO494" s="136" t="e">
        <f ca="1">VLOOKUP(B494,bond!B:J,9,FALSE)</f>
        <v>#N/A</v>
      </c>
      <c r="AP494" s="136" t="e">
        <f ca="1">VLOOKUP(B494,bond!B:V,21,FALSE)</f>
        <v>#N/A</v>
      </c>
    </row>
    <row r="495" spans="1:42">
      <c r="A495" s="141">
        <f>bond!F496</f>
        <v>0</v>
      </c>
      <c r="B495" s="151">
        <f ca="1">IF($C$1=TRUE,bond!B496,"")</f>
        <v>0</v>
      </c>
      <c r="C495" s="95" t="e">
        <f>VLOOKUP(A495,bond!F:G,2,FALSE)</f>
        <v>#N/A</v>
      </c>
      <c r="D495" s="142" t="e">
        <f ca="1">VLOOKUP(B495,bond!B:C,2,FALSE)</f>
        <v>#N/A</v>
      </c>
      <c r="E495" s="95" t="e">
        <f ca="1">VLOOKUP(B495,bond!B:D,3,FALSE)</f>
        <v>#N/A</v>
      </c>
      <c r="F495" s="99" t="e">
        <f ca="1">VLOOKUP(B495,bond!B:AB,27,FALSE)</f>
        <v>#N/A</v>
      </c>
      <c r="G495" s="90" t="e">
        <f ca="1">VLOOKUP(B495,bond!B:E,4,FALSE)</f>
        <v>#N/A</v>
      </c>
      <c r="H495" s="202" t="e">
        <f ca="1">VLOOKUP(B495,bond!B:Y,24,FALSE)</f>
        <v>#N/A</v>
      </c>
      <c r="I495" s="95" t="e">
        <f ca="1">VLOOKUP(B495,bond!B:Z,25,FALSE)</f>
        <v>#N/A</v>
      </c>
      <c r="J495" s="180" t="e">
        <f ca="1">VLOOKUP(B495,bond!B:K,10,FALSE)</f>
        <v>#N/A</v>
      </c>
      <c r="K495" s="96" t="e">
        <f ca="1">VLOOKUP($B495,bond!B:S,14,FALSE)</f>
        <v>#N/A</v>
      </c>
      <c r="L495" s="91" t="e">
        <f ca="1">VLOOKUP(B495,bond!B:H,7,FALSE)</f>
        <v>#N/A</v>
      </c>
      <c r="M495" s="144" t="e">
        <f ca="1">VLOOKUP($B495,bond!$B:$Q,16,FALSE)</f>
        <v>#N/A</v>
      </c>
      <c r="N495" s="136" t="e">
        <f ca="1">VALUE(LEFT(VLOOKUP(B495,bond!B:R,17,FALSE),SEARCH(" ",VLOOKUP(B495,bond!B:R,17,FALSE),1)))</f>
        <v>#N/A</v>
      </c>
      <c r="O495" s="136" t="e">
        <f ca="1">VALUE(RIGHT(VLOOKUP(B495,bond!B:R,17,FALSE),LEN(VLOOKUP(B495,bond!B:R,17,FALSE))-LEN(N495)-3))</f>
        <v>#N/A</v>
      </c>
      <c r="P495" s="135" t="e">
        <f ca="1">VLOOKUP($B495,bond!$B:$AG,32,FALSE)</f>
        <v>#N/A</v>
      </c>
      <c r="Q495" s="135" t="e">
        <f ca="1">VLOOKUP($B495,bond!$B:$AH,33,FALSE)</f>
        <v>#N/A</v>
      </c>
      <c r="R495" s="135" t="e">
        <f ca="1">VLOOKUP(B495,bond!B:AA,26,FALSE)</f>
        <v>#N/A</v>
      </c>
      <c r="S495" s="135" t="e">
        <f ca="1">VLOOKUP(B495,bond!B:AI,34,FALSE)</f>
        <v>#N/A</v>
      </c>
      <c r="T495" s="135" t="e">
        <f t="shared" ca="1" si="49"/>
        <v>#N/A</v>
      </c>
      <c r="U495" s="207" t="e">
        <f ca="1">IFERROR(VLOOKUP(T495,Bond_DES!D:E,2,FALSE),VLOOKUP(S495,bond!AI:AJ,2,FALSE))</f>
        <v>#N/A</v>
      </c>
      <c r="V495" s="136" t="e">
        <f ca="1">IFERROR(VLOOKUP(B495,'1_重設數據'!L:M,2,FALSE),IF(Q495="政府",IF(AD495&gt;16,"(NPI)非專投",IF(AD495&gt;10,"(PI)專投","高資產")),IF(VLOOKUP(B495,bond!B:AN,39,FALSE)="Y","(PI)專投",IF(AD495&gt;=15,"(NPI)非專投",IF(AD495&gt;=10,"(PI)專投","高資產")))))</f>
        <v>#N/A</v>
      </c>
      <c r="W495" s="136" t="e">
        <f ca="1">VLOOKUP(AD495,'credit rating'!$F$2:$H$22,3,FALSE)</f>
        <v>#N/A</v>
      </c>
      <c r="X495" s="136" t="e">
        <f t="shared" ca="1" si="50"/>
        <v>#N/A</v>
      </c>
      <c r="Y495" s="136" t="e">
        <f t="shared" ca="1" si="51"/>
        <v>#N/A</v>
      </c>
      <c r="Z495" s="136" t="e">
        <f t="shared" ca="1" si="52"/>
        <v>#N/A</v>
      </c>
      <c r="AA495" s="134">
        <f ca="1">IFERROR(VLOOKUP(X495,'credit rating'!A:C,3,FALSE),0)</f>
        <v>0</v>
      </c>
      <c r="AB495" s="134">
        <f ca="1">IFERROR(VLOOKUP(Y495,'credit rating'!B:C,2,FALSE),0)</f>
        <v>0</v>
      </c>
      <c r="AC495" s="136">
        <f ca="1">IFERROR(VLOOKUP(Z495,'credit rating'!B:C,2,FALSE),0)</f>
        <v>0</v>
      </c>
      <c r="AD495" s="136">
        <f t="shared" ca="1" si="53"/>
        <v>0</v>
      </c>
      <c r="AE495" s="249" t="str">
        <f ca="1">IFERROR(VLOOKUP(B495,bond!B:U,20,FALSE),"")</f>
        <v/>
      </c>
      <c r="AF495" s="136" t="e">
        <f ca="1">IF(VLOOKUP(B495,bond!B:AK,36,FALSE)="#N/A Field Not Applicable","",VLOOKUP(B495,bond!B:AK,36,FALSE))</f>
        <v>#N/A</v>
      </c>
      <c r="AG495" s="136" t="e">
        <f ca="1">IF(VLOOKUP(B495,bond!B:AL,37,FALSE)="FIXED","固定",IF(VLOOKUP(B495,bond!B:AL,37,FALSE)="FLOATING","浮動",IF(VLOOKUP(B495,bond!B:AL,37,FALSE)="VARIABLE","變動",IF(VLOOKUP(B495,bond!B:AL,37,FALSE)="FLAT TRADING","不含息交易",IF(VLOOKUP(B495,bond!B:AL,37,FALSE)="ZERO COUPON","零息",VLOOKUP(B495,bond!B:AL,37,FALSE))))))</f>
        <v>#N/A</v>
      </c>
      <c r="AH495" s="136" t="e">
        <f>VLOOKUP(C495,'2_Check_code'!I:J,2,FALSE)</f>
        <v>#N/A</v>
      </c>
      <c r="AI495" s="136" t="e">
        <f t="shared" ca="1" si="54"/>
        <v>#N/A</v>
      </c>
      <c r="AJ495" s="136" t="e">
        <f t="shared" ca="1" si="55"/>
        <v>#N/A</v>
      </c>
      <c r="AK495" s="594" t="e">
        <f ca="1">IF(VLOOKUP(B495,bond!B:S,18,FALSE)="是","有",IF(VLOOKUP(B495,bond!B:S,18,FALSE)="NO OFFER","無","需查詢"))</f>
        <v>#N/A</v>
      </c>
      <c r="AL495" s="136" t="e">
        <f>IF(VLOOKUP(A495,bond!F:AR,39,FALSE)="#N/A Field Not Applicable",VLOOKUP(A495,bond!F:AR,38,FALSE),IFERROR(VLOOKUP(A495,'7_發行日例外'!A:B,2,FALSE),VLOOKUP(A495,bond!F:AR,39,FALSE)))</f>
        <v>#N/A</v>
      </c>
      <c r="AM495" s="136" t="e">
        <f ca="1">VLOOKUP(B495,bond!B:AK,36,FALSE)</f>
        <v>#N/A</v>
      </c>
      <c r="AN495" s="136" t="str">
        <f ca="1">IFERROR(VLOOKUP(B495,'3_是否下架'!A:A,1,FALSE),"")</f>
        <v/>
      </c>
      <c r="AO495" s="136" t="e">
        <f ca="1">VLOOKUP(B495,bond!B:J,9,FALSE)</f>
        <v>#N/A</v>
      </c>
      <c r="AP495" s="136" t="e">
        <f ca="1">VLOOKUP(B495,bond!B:V,21,FALSE)</f>
        <v>#N/A</v>
      </c>
    </row>
    <row r="496" spans="1:42">
      <c r="A496" s="141">
        <f>bond!F497</f>
        <v>0</v>
      </c>
      <c r="B496" s="151">
        <f ca="1">IF($C$1=TRUE,bond!B497,"")</f>
        <v>0</v>
      </c>
      <c r="C496" s="95" t="e">
        <f>VLOOKUP(A496,bond!F:G,2,FALSE)</f>
        <v>#N/A</v>
      </c>
      <c r="D496" s="142" t="e">
        <f ca="1">VLOOKUP(B496,bond!B:C,2,FALSE)</f>
        <v>#N/A</v>
      </c>
      <c r="E496" s="95" t="e">
        <f ca="1">VLOOKUP(B496,bond!B:D,3,FALSE)</f>
        <v>#N/A</v>
      </c>
      <c r="F496" s="99" t="e">
        <f ca="1">VLOOKUP(B496,bond!B:AB,27,FALSE)</f>
        <v>#N/A</v>
      </c>
      <c r="G496" s="90" t="e">
        <f ca="1">VLOOKUP(B496,bond!B:E,4,FALSE)</f>
        <v>#N/A</v>
      </c>
      <c r="H496" s="202" t="e">
        <f ca="1">VLOOKUP(B496,bond!B:Y,24,FALSE)</f>
        <v>#N/A</v>
      </c>
      <c r="I496" s="95" t="e">
        <f ca="1">VLOOKUP(B496,bond!B:Z,25,FALSE)</f>
        <v>#N/A</v>
      </c>
      <c r="J496" s="180" t="e">
        <f ca="1">VLOOKUP(B496,bond!B:K,10,FALSE)</f>
        <v>#N/A</v>
      </c>
      <c r="K496" s="96" t="e">
        <f ca="1">VLOOKUP($B496,bond!B:S,14,FALSE)</f>
        <v>#N/A</v>
      </c>
      <c r="L496" s="91" t="e">
        <f ca="1">VLOOKUP(B496,bond!B:H,7,FALSE)</f>
        <v>#N/A</v>
      </c>
      <c r="M496" s="144" t="e">
        <f ca="1">VLOOKUP($B496,bond!$B:$Q,16,FALSE)</f>
        <v>#N/A</v>
      </c>
      <c r="N496" s="136" t="e">
        <f ca="1">VALUE(LEFT(VLOOKUP(B496,bond!B:R,17,FALSE),SEARCH(" ",VLOOKUP(B496,bond!B:R,17,FALSE),1)))</f>
        <v>#N/A</v>
      </c>
      <c r="O496" s="136" t="e">
        <f ca="1">VALUE(RIGHT(VLOOKUP(B496,bond!B:R,17,FALSE),LEN(VLOOKUP(B496,bond!B:R,17,FALSE))-LEN(N496)-3))</f>
        <v>#N/A</v>
      </c>
      <c r="P496" s="135" t="e">
        <f ca="1">VLOOKUP($B496,bond!$B:$AG,32,FALSE)</f>
        <v>#N/A</v>
      </c>
      <c r="Q496" s="135" t="e">
        <f ca="1">VLOOKUP($B496,bond!$B:$AH,33,FALSE)</f>
        <v>#N/A</v>
      </c>
      <c r="R496" s="135" t="e">
        <f ca="1">VLOOKUP(B496,bond!B:AA,26,FALSE)</f>
        <v>#N/A</v>
      </c>
      <c r="S496" s="135" t="e">
        <f ca="1">VLOOKUP(B496,bond!B:AI,34,FALSE)</f>
        <v>#N/A</v>
      </c>
      <c r="T496" s="135" t="e">
        <f t="shared" ca="1" si="49"/>
        <v>#N/A</v>
      </c>
      <c r="U496" s="207" t="e">
        <f ca="1">IFERROR(VLOOKUP(T496,Bond_DES!D:E,2,FALSE),VLOOKUP(S496,bond!AI:AJ,2,FALSE))</f>
        <v>#N/A</v>
      </c>
      <c r="V496" s="136" t="e">
        <f ca="1">IFERROR(VLOOKUP(B496,'1_重設數據'!L:M,2,FALSE),IF(Q496="政府",IF(AD496&gt;16,"(NPI)非專投",IF(AD496&gt;10,"(PI)專投","高資產")),IF(VLOOKUP(B496,bond!B:AN,39,FALSE)="Y","(PI)專投",IF(AD496&gt;=15,"(NPI)非專投",IF(AD496&gt;=10,"(PI)專投","高資產")))))</f>
        <v>#N/A</v>
      </c>
      <c r="W496" s="136" t="e">
        <f ca="1">VLOOKUP(AD496,'credit rating'!$F$2:$H$22,3,FALSE)</f>
        <v>#N/A</v>
      </c>
      <c r="X496" s="136" t="e">
        <f t="shared" ca="1" si="50"/>
        <v>#N/A</v>
      </c>
      <c r="Y496" s="136" t="e">
        <f t="shared" ca="1" si="51"/>
        <v>#N/A</v>
      </c>
      <c r="Z496" s="136" t="e">
        <f t="shared" ca="1" si="52"/>
        <v>#N/A</v>
      </c>
      <c r="AA496" s="134">
        <f ca="1">IFERROR(VLOOKUP(X496,'credit rating'!A:C,3,FALSE),0)</f>
        <v>0</v>
      </c>
      <c r="AB496" s="134">
        <f ca="1">IFERROR(VLOOKUP(Y496,'credit rating'!B:C,2,FALSE),0)</f>
        <v>0</v>
      </c>
      <c r="AC496" s="136">
        <f ca="1">IFERROR(VLOOKUP(Z496,'credit rating'!B:C,2,FALSE),0)</f>
        <v>0</v>
      </c>
      <c r="AD496" s="136">
        <f t="shared" ca="1" si="53"/>
        <v>0</v>
      </c>
      <c r="AE496" s="249" t="str">
        <f ca="1">IFERROR(VLOOKUP(B496,bond!B:U,20,FALSE),"")</f>
        <v/>
      </c>
      <c r="AF496" s="136" t="e">
        <f ca="1">IF(VLOOKUP(B496,bond!B:AK,36,FALSE)="#N/A Field Not Applicable","",VLOOKUP(B496,bond!B:AK,36,FALSE))</f>
        <v>#N/A</v>
      </c>
      <c r="AG496" s="136" t="e">
        <f ca="1">IF(VLOOKUP(B496,bond!B:AL,37,FALSE)="FIXED","固定",IF(VLOOKUP(B496,bond!B:AL,37,FALSE)="FLOATING","浮動",IF(VLOOKUP(B496,bond!B:AL,37,FALSE)="VARIABLE","變動",IF(VLOOKUP(B496,bond!B:AL,37,FALSE)="FLAT TRADING","不含息交易",IF(VLOOKUP(B496,bond!B:AL,37,FALSE)="ZERO COUPON","零息",VLOOKUP(B496,bond!B:AL,37,FALSE))))))</f>
        <v>#N/A</v>
      </c>
      <c r="AH496" s="136" t="e">
        <f>VLOOKUP(C496,'2_Check_code'!I:J,2,FALSE)</f>
        <v>#N/A</v>
      </c>
      <c r="AI496" s="136" t="e">
        <f t="shared" ca="1" si="54"/>
        <v>#N/A</v>
      </c>
      <c r="AJ496" s="136" t="e">
        <f t="shared" ca="1" si="55"/>
        <v>#N/A</v>
      </c>
      <c r="AK496" s="594" t="e">
        <f ca="1">IF(VLOOKUP(B496,bond!B:S,18,FALSE)="是","有",IF(VLOOKUP(B496,bond!B:S,18,FALSE)="NO OFFER","無","需查詢"))</f>
        <v>#N/A</v>
      </c>
      <c r="AL496" s="136" t="e">
        <f>IF(VLOOKUP(A496,bond!F:AR,39,FALSE)="#N/A Field Not Applicable",VLOOKUP(A496,bond!F:AR,38,FALSE),IFERROR(VLOOKUP(A496,'7_發行日例外'!A:B,2,FALSE),VLOOKUP(A496,bond!F:AR,39,FALSE)))</f>
        <v>#N/A</v>
      </c>
      <c r="AM496" s="136" t="e">
        <f ca="1">VLOOKUP(B496,bond!B:AK,36,FALSE)</f>
        <v>#N/A</v>
      </c>
      <c r="AN496" s="136" t="str">
        <f ca="1">IFERROR(VLOOKUP(B496,'3_是否下架'!A:A,1,FALSE),"")</f>
        <v/>
      </c>
      <c r="AO496" s="136" t="e">
        <f ca="1">VLOOKUP(B496,bond!B:J,9,FALSE)</f>
        <v>#N/A</v>
      </c>
      <c r="AP496" s="136" t="e">
        <f ca="1">VLOOKUP(B496,bond!B:V,21,FALSE)</f>
        <v>#N/A</v>
      </c>
    </row>
    <row r="497" spans="1:42">
      <c r="A497" s="141">
        <f>bond!F498</f>
        <v>0</v>
      </c>
      <c r="B497" s="151">
        <f ca="1">IF($C$1=TRUE,bond!B498,"")</f>
        <v>0</v>
      </c>
      <c r="C497" s="95" t="e">
        <f>VLOOKUP(A497,bond!F:G,2,FALSE)</f>
        <v>#N/A</v>
      </c>
      <c r="D497" s="142" t="e">
        <f ca="1">VLOOKUP(B497,bond!B:C,2,FALSE)</f>
        <v>#N/A</v>
      </c>
      <c r="E497" s="95" t="e">
        <f ca="1">VLOOKUP(B497,bond!B:D,3,FALSE)</f>
        <v>#N/A</v>
      </c>
      <c r="F497" s="99" t="e">
        <f ca="1">VLOOKUP(B497,bond!B:AB,27,FALSE)</f>
        <v>#N/A</v>
      </c>
      <c r="G497" s="90" t="e">
        <f ca="1">VLOOKUP(B497,bond!B:E,4,FALSE)</f>
        <v>#N/A</v>
      </c>
      <c r="H497" s="202" t="e">
        <f ca="1">VLOOKUP(B497,bond!B:Y,24,FALSE)</f>
        <v>#N/A</v>
      </c>
      <c r="I497" s="95" t="e">
        <f ca="1">VLOOKUP(B497,bond!B:Z,25,FALSE)</f>
        <v>#N/A</v>
      </c>
      <c r="J497" s="180" t="e">
        <f ca="1">VLOOKUP(B497,bond!B:K,10,FALSE)</f>
        <v>#N/A</v>
      </c>
      <c r="K497" s="96" t="e">
        <f ca="1">VLOOKUP($B497,bond!B:S,14,FALSE)</f>
        <v>#N/A</v>
      </c>
      <c r="L497" s="91" t="e">
        <f ca="1">VLOOKUP(B497,bond!B:H,7,FALSE)</f>
        <v>#N/A</v>
      </c>
      <c r="M497" s="144" t="e">
        <f ca="1">VLOOKUP($B497,bond!$B:$Q,16,FALSE)</f>
        <v>#N/A</v>
      </c>
      <c r="N497" s="136" t="e">
        <f ca="1">VALUE(LEFT(VLOOKUP(B497,bond!B:R,17,FALSE),SEARCH(" ",VLOOKUP(B497,bond!B:R,17,FALSE),1)))</f>
        <v>#N/A</v>
      </c>
      <c r="O497" s="136" t="e">
        <f ca="1">VALUE(RIGHT(VLOOKUP(B497,bond!B:R,17,FALSE),LEN(VLOOKUP(B497,bond!B:R,17,FALSE))-LEN(N497)-3))</f>
        <v>#N/A</v>
      </c>
      <c r="P497" s="135" t="e">
        <f ca="1">VLOOKUP($B497,bond!$B:$AG,32,FALSE)</f>
        <v>#N/A</v>
      </c>
      <c r="Q497" s="135" t="e">
        <f ca="1">VLOOKUP($B497,bond!$B:$AH,33,FALSE)</f>
        <v>#N/A</v>
      </c>
      <c r="R497" s="135" t="e">
        <f ca="1">VLOOKUP(B497,bond!B:AA,26,FALSE)</f>
        <v>#N/A</v>
      </c>
      <c r="S497" s="135" t="e">
        <f ca="1">VLOOKUP(B497,bond!B:AI,34,FALSE)</f>
        <v>#N/A</v>
      </c>
      <c r="T497" s="135" t="e">
        <f t="shared" ca="1" si="49"/>
        <v>#N/A</v>
      </c>
      <c r="U497" s="207" t="e">
        <f ca="1">IFERROR(VLOOKUP(T497,Bond_DES!D:E,2,FALSE),VLOOKUP(S497,bond!AI:AJ,2,FALSE))</f>
        <v>#N/A</v>
      </c>
      <c r="V497" s="136" t="e">
        <f ca="1">IFERROR(VLOOKUP(B497,'1_重設數據'!L:M,2,FALSE),IF(Q497="政府",IF(AD497&gt;16,"(NPI)非專投",IF(AD497&gt;10,"(PI)專投","高資產")),IF(VLOOKUP(B497,bond!B:AN,39,FALSE)="Y","(PI)專投",IF(AD497&gt;=15,"(NPI)非專投",IF(AD497&gt;=10,"(PI)專投","高資產")))))</f>
        <v>#N/A</v>
      </c>
      <c r="W497" s="136" t="e">
        <f ca="1">VLOOKUP(AD497,'credit rating'!$F$2:$H$22,3,FALSE)</f>
        <v>#N/A</v>
      </c>
      <c r="X497" s="136" t="e">
        <f t="shared" ca="1" si="50"/>
        <v>#N/A</v>
      </c>
      <c r="Y497" s="136" t="e">
        <f t="shared" ca="1" si="51"/>
        <v>#N/A</v>
      </c>
      <c r="Z497" s="136" t="e">
        <f t="shared" ca="1" si="52"/>
        <v>#N/A</v>
      </c>
      <c r="AA497" s="134">
        <f ca="1">IFERROR(VLOOKUP(X497,'credit rating'!A:C,3,FALSE),0)</f>
        <v>0</v>
      </c>
      <c r="AB497" s="134">
        <f ca="1">IFERROR(VLOOKUP(Y497,'credit rating'!B:C,2,FALSE),0)</f>
        <v>0</v>
      </c>
      <c r="AC497" s="136">
        <f ca="1">IFERROR(VLOOKUP(Z497,'credit rating'!B:C,2,FALSE),0)</f>
        <v>0</v>
      </c>
      <c r="AD497" s="136">
        <f t="shared" ca="1" si="53"/>
        <v>0</v>
      </c>
      <c r="AE497" s="249" t="str">
        <f ca="1">IFERROR(VLOOKUP(B497,bond!B:U,20,FALSE),"")</f>
        <v/>
      </c>
      <c r="AF497" s="136" t="e">
        <f ca="1">IF(VLOOKUP(B497,bond!B:AK,36,FALSE)="#N/A Field Not Applicable","",VLOOKUP(B497,bond!B:AK,36,FALSE))</f>
        <v>#N/A</v>
      </c>
      <c r="AG497" s="136" t="e">
        <f ca="1">IF(VLOOKUP(B497,bond!B:AL,37,FALSE)="FIXED","固定",IF(VLOOKUP(B497,bond!B:AL,37,FALSE)="FLOATING","浮動",IF(VLOOKUP(B497,bond!B:AL,37,FALSE)="VARIABLE","變動",IF(VLOOKUP(B497,bond!B:AL,37,FALSE)="FLAT TRADING","不含息交易",IF(VLOOKUP(B497,bond!B:AL,37,FALSE)="ZERO COUPON","零息",VLOOKUP(B497,bond!B:AL,37,FALSE))))))</f>
        <v>#N/A</v>
      </c>
      <c r="AH497" s="136" t="e">
        <f>VLOOKUP(C497,'2_Check_code'!I:J,2,FALSE)</f>
        <v>#N/A</v>
      </c>
      <c r="AI497" s="136" t="e">
        <f t="shared" ca="1" si="54"/>
        <v>#N/A</v>
      </c>
      <c r="AJ497" s="136" t="e">
        <f t="shared" ca="1" si="55"/>
        <v>#N/A</v>
      </c>
      <c r="AK497" s="594" t="e">
        <f ca="1">IF(VLOOKUP(B497,bond!B:S,18,FALSE)="是","有",IF(VLOOKUP(B497,bond!B:S,18,FALSE)="NO OFFER","無","需查詢"))</f>
        <v>#N/A</v>
      </c>
      <c r="AL497" s="136" t="e">
        <f>IF(VLOOKUP(A497,bond!F:AR,39,FALSE)="#N/A Field Not Applicable",VLOOKUP(A497,bond!F:AR,38,FALSE),IFERROR(VLOOKUP(A497,'7_發行日例外'!A:B,2,FALSE),VLOOKUP(A497,bond!F:AR,39,FALSE)))</f>
        <v>#N/A</v>
      </c>
      <c r="AM497" s="136" t="e">
        <f ca="1">VLOOKUP(B497,bond!B:AK,36,FALSE)</f>
        <v>#N/A</v>
      </c>
      <c r="AN497" s="136" t="str">
        <f ca="1">IFERROR(VLOOKUP(B497,'3_是否下架'!A:A,1,FALSE),"")</f>
        <v/>
      </c>
      <c r="AO497" s="136" t="e">
        <f ca="1">VLOOKUP(B497,bond!B:J,9,FALSE)</f>
        <v>#N/A</v>
      </c>
      <c r="AP497" s="136" t="e">
        <f ca="1">VLOOKUP(B497,bond!B:V,21,FALSE)</f>
        <v>#N/A</v>
      </c>
    </row>
    <row r="498" spans="1:42">
      <c r="A498" s="141">
        <f>bond!F499</f>
        <v>0</v>
      </c>
      <c r="B498" s="151">
        <f ca="1">IF($C$1=TRUE,bond!B499,"")</f>
        <v>0</v>
      </c>
      <c r="C498" s="95" t="e">
        <f>VLOOKUP(A498,bond!F:G,2,FALSE)</f>
        <v>#N/A</v>
      </c>
      <c r="D498" s="142" t="e">
        <f ca="1">VLOOKUP(B498,bond!B:C,2,FALSE)</f>
        <v>#N/A</v>
      </c>
      <c r="E498" s="95" t="e">
        <f ca="1">VLOOKUP(B498,bond!B:D,3,FALSE)</f>
        <v>#N/A</v>
      </c>
      <c r="F498" s="99" t="e">
        <f ca="1">VLOOKUP(B498,bond!B:AB,27,FALSE)</f>
        <v>#N/A</v>
      </c>
      <c r="G498" s="90" t="e">
        <f ca="1">VLOOKUP(B498,bond!B:E,4,FALSE)</f>
        <v>#N/A</v>
      </c>
      <c r="H498" s="202" t="e">
        <f ca="1">VLOOKUP(B498,bond!B:Y,24,FALSE)</f>
        <v>#N/A</v>
      </c>
      <c r="I498" s="95" t="e">
        <f ca="1">VLOOKUP(B498,bond!B:Z,25,FALSE)</f>
        <v>#N/A</v>
      </c>
      <c r="J498" s="180" t="e">
        <f ca="1">VLOOKUP(B498,bond!B:K,10,FALSE)</f>
        <v>#N/A</v>
      </c>
      <c r="K498" s="96" t="e">
        <f ca="1">VLOOKUP($B498,bond!B:S,14,FALSE)</f>
        <v>#N/A</v>
      </c>
      <c r="L498" s="91" t="e">
        <f ca="1">VLOOKUP(B498,bond!B:H,7,FALSE)</f>
        <v>#N/A</v>
      </c>
      <c r="M498" s="144" t="e">
        <f ca="1">VLOOKUP($B498,bond!$B:$Q,16,FALSE)</f>
        <v>#N/A</v>
      </c>
      <c r="N498" s="136" t="e">
        <f ca="1">VALUE(LEFT(VLOOKUP(B498,bond!B:R,17,FALSE),SEARCH(" ",VLOOKUP(B498,bond!B:R,17,FALSE),1)))</f>
        <v>#N/A</v>
      </c>
      <c r="O498" s="136" t="e">
        <f ca="1">VALUE(RIGHT(VLOOKUP(B498,bond!B:R,17,FALSE),LEN(VLOOKUP(B498,bond!B:R,17,FALSE))-LEN(N498)-3))</f>
        <v>#N/A</v>
      </c>
      <c r="P498" s="135" t="e">
        <f ca="1">VLOOKUP($B498,bond!$B:$AG,32,FALSE)</f>
        <v>#N/A</v>
      </c>
      <c r="Q498" s="135" t="e">
        <f ca="1">VLOOKUP($B498,bond!$B:$AH,33,FALSE)</f>
        <v>#N/A</v>
      </c>
      <c r="R498" s="135" t="e">
        <f ca="1">VLOOKUP(B498,bond!B:AA,26,FALSE)</f>
        <v>#N/A</v>
      </c>
      <c r="S498" s="135" t="e">
        <f ca="1">VLOOKUP(B498,bond!B:AI,34,FALSE)</f>
        <v>#N/A</v>
      </c>
      <c r="T498" s="135" t="e">
        <f t="shared" ca="1" si="49"/>
        <v>#N/A</v>
      </c>
      <c r="U498" s="207" t="e">
        <f ca="1">IFERROR(VLOOKUP(T498,Bond_DES!D:E,2,FALSE),VLOOKUP(S498,bond!AI:AJ,2,FALSE))</f>
        <v>#N/A</v>
      </c>
      <c r="V498" s="136" t="e">
        <f ca="1">IFERROR(VLOOKUP(B498,'1_重設數據'!L:M,2,FALSE),IF(Q498="政府",IF(AD498&gt;16,"(NPI)非專投",IF(AD498&gt;10,"(PI)專投","高資產")),IF(VLOOKUP(B498,bond!B:AN,39,FALSE)="Y","(PI)專投",IF(AD498&gt;=15,"(NPI)非專投",IF(AD498&gt;=10,"(PI)專投","高資產")))))</f>
        <v>#N/A</v>
      </c>
      <c r="W498" s="136" t="e">
        <f ca="1">VLOOKUP(AD498,'credit rating'!$F$2:$H$22,3,FALSE)</f>
        <v>#N/A</v>
      </c>
      <c r="X498" s="136" t="e">
        <f t="shared" ca="1" si="50"/>
        <v>#N/A</v>
      </c>
      <c r="Y498" s="136" t="e">
        <f t="shared" ca="1" si="51"/>
        <v>#N/A</v>
      </c>
      <c r="Z498" s="136" t="e">
        <f t="shared" ca="1" si="52"/>
        <v>#N/A</v>
      </c>
      <c r="AA498" s="134">
        <f ca="1">IFERROR(VLOOKUP(X498,'credit rating'!A:C,3,FALSE),0)</f>
        <v>0</v>
      </c>
      <c r="AB498" s="134">
        <f ca="1">IFERROR(VLOOKUP(Y498,'credit rating'!B:C,2,FALSE),0)</f>
        <v>0</v>
      </c>
      <c r="AC498" s="136">
        <f ca="1">IFERROR(VLOOKUP(Z498,'credit rating'!B:C,2,FALSE),0)</f>
        <v>0</v>
      </c>
      <c r="AD498" s="136">
        <f t="shared" ca="1" si="53"/>
        <v>0</v>
      </c>
      <c r="AE498" s="249" t="str">
        <f ca="1">IFERROR(VLOOKUP(B498,bond!B:U,20,FALSE),"")</f>
        <v/>
      </c>
      <c r="AF498" s="136" t="e">
        <f ca="1">IF(VLOOKUP(B498,bond!B:AK,36,FALSE)="#N/A Field Not Applicable","",VLOOKUP(B498,bond!B:AK,36,FALSE))</f>
        <v>#N/A</v>
      </c>
      <c r="AG498" s="136" t="e">
        <f ca="1">IF(VLOOKUP(B498,bond!B:AL,37,FALSE)="FIXED","固定",IF(VLOOKUP(B498,bond!B:AL,37,FALSE)="FLOATING","浮動",IF(VLOOKUP(B498,bond!B:AL,37,FALSE)="VARIABLE","變動",IF(VLOOKUP(B498,bond!B:AL,37,FALSE)="FLAT TRADING","不含息交易",IF(VLOOKUP(B498,bond!B:AL,37,FALSE)="ZERO COUPON","零息",VLOOKUP(B498,bond!B:AL,37,FALSE))))))</f>
        <v>#N/A</v>
      </c>
      <c r="AH498" s="136" t="e">
        <f>VLOOKUP(C498,'2_Check_code'!I:J,2,FALSE)</f>
        <v>#N/A</v>
      </c>
      <c r="AI498" s="136" t="e">
        <f t="shared" ca="1" si="54"/>
        <v>#N/A</v>
      </c>
      <c r="AJ498" s="136" t="e">
        <f t="shared" ca="1" si="55"/>
        <v>#N/A</v>
      </c>
      <c r="AK498" s="594" t="e">
        <f ca="1">IF(VLOOKUP(B498,bond!B:S,18,FALSE)="是","有",IF(VLOOKUP(B498,bond!B:S,18,FALSE)="NO OFFER","無","需查詢"))</f>
        <v>#N/A</v>
      </c>
      <c r="AL498" s="136" t="e">
        <f>IF(VLOOKUP(A498,bond!F:AR,39,FALSE)="#N/A Field Not Applicable",VLOOKUP(A498,bond!F:AR,38,FALSE),IFERROR(VLOOKUP(A498,'7_發行日例外'!A:B,2,FALSE),VLOOKUP(A498,bond!F:AR,39,FALSE)))</f>
        <v>#N/A</v>
      </c>
      <c r="AM498" s="136" t="e">
        <f ca="1">VLOOKUP(B498,bond!B:AK,36,FALSE)</f>
        <v>#N/A</v>
      </c>
      <c r="AN498" s="136" t="str">
        <f ca="1">IFERROR(VLOOKUP(B498,'3_是否下架'!A:A,1,FALSE),"")</f>
        <v/>
      </c>
      <c r="AO498" s="136" t="e">
        <f ca="1">VLOOKUP(B498,bond!B:J,9,FALSE)</f>
        <v>#N/A</v>
      </c>
      <c r="AP498" s="136" t="e">
        <f ca="1">VLOOKUP(B498,bond!B:V,21,FALSE)</f>
        <v>#N/A</v>
      </c>
    </row>
    <row r="499" spans="1:42">
      <c r="A499" s="141">
        <f>bond!F500</f>
        <v>0</v>
      </c>
      <c r="B499" s="151">
        <f ca="1">IF($C$1=TRUE,bond!B500,"")</f>
        <v>0</v>
      </c>
      <c r="C499" s="95" t="e">
        <f>VLOOKUP(A499,bond!F:G,2,FALSE)</f>
        <v>#N/A</v>
      </c>
      <c r="D499" s="142" t="e">
        <f ca="1">VLOOKUP(B499,bond!B:C,2,FALSE)</f>
        <v>#N/A</v>
      </c>
      <c r="E499" s="95" t="e">
        <f ca="1">VLOOKUP(B499,bond!B:D,3,FALSE)</f>
        <v>#N/A</v>
      </c>
      <c r="F499" s="99" t="e">
        <f ca="1">VLOOKUP(B499,bond!B:AB,27,FALSE)</f>
        <v>#N/A</v>
      </c>
      <c r="G499" s="90" t="e">
        <f ca="1">VLOOKUP(B499,bond!B:E,4,FALSE)</f>
        <v>#N/A</v>
      </c>
      <c r="H499" s="202" t="e">
        <f ca="1">VLOOKUP(B499,bond!B:Y,24,FALSE)</f>
        <v>#N/A</v>
      </c>
      <c r="I499" s="95" t="e">
        <f ca="1">VLOOKUP(B499,bond!B:Z,25,FALSE)</f>
        <v>#N/A</v>
      </c>
      <c r="J499" s="180" t="e">
        <f ca="1">VLOOKUP(B499,bond!B:K,10,FALSE)</f>
        <v>#N/A</v>
      </c>
      <c r="K499" s="96" t="e">
        <f ca="1">VLOOKUP($B499,bond!B:S,14,FALSE)</f>
        <v>#N/A</v>
      </c>
      <c r="L499" s="91" t="e">
        <f ca="1">VLOOKUP(B499,bond!B:H,7,FALSE)</f>
        <v>#N/A</v>
      </c>
      <c r="M499" s="144" t="e">
        <f ca="1">VLOOKUP($B499,bond!$B:$Q,16,FALSE)</f>
        <v>#N/A</v>
      </c>
      <c r="N499" s="136" t="e">
        <f ca="1">VALUE(LEFT(VLOOKUP(B499,bond!B:R,17,FALSE),SEARCH(" ",VLOOKUP(B499,bond!B:R,17,FALSE),1)))</f>
        <v>#N/A</v>
      </c>
      <c r="O499" s="136" t="e">
        <f ca="1">VALUE(RIGHT(VLOOKUP(B499,bond!B:R,17,FALSE),LEN(VLOOKUP(B499,bond!B:R,17,FALSE))-LEN(N499)-3))</f>
        <v>#N/A</v>
      </c>
      <c r="P499" s="135" t="e">
        <f ca="1">VLOOKUP($B499,bond!$B:$AG,32,FALSE)</f>
        <v>#N/A</v>
      </c>
      <c r="Q499" s="135" t="e">
        <f ca="1">VLOOKUP($B499,bond!$B:$AH,33,FALSE)</f>
        <v>#N/A</v>
      </c>
      <c r="R499" s="135" t="e">
        <f ca="1">VLOOKUP(B499,bond!B:AA,26,FALSE)</f>
        <v>#N/A</v>
      </c>
      <c r="S499" s="135" t="e">
        <f ca="1">VLOOKUP(B499,bond!B:AI,34,FALSE)</f>
        <v>#N/A</v>
      </c>
      <c r="T499" s="135" t="e">
        <f t="shared" ca="1" si="49"/>
        <v>#N/A</v>
      </c>
      <c r="U499" s="207" t="e">
        <f ca="1">IFERROR(VLOOKUP(T499,Bond_DES!D:E,2,FALSE),VLOOKUP(S499,bond!AI:AJ,2,FALSE))</f>
        <v>#N/A</v>
      </c>
      <c r="V499" s="136" t="e">
        <f ca="1">IFERROR(VLOOKUP(B499,'1_重設數據'!L:M,2,FALSE),IF(Q499="政府",IF(AD499&gt;16,"(NPI)非專投",IF(AD499&gt;10,"(PI)專投","高資產")),IF(VLOOKUP(B499,bond!B:AN,39,FALSE)="Y","(PI)專投",IF(AD499&gt;=15,"(NPI)非專投",IF(AD499&gt;=10,"(PI)專投","高資產")))))</f>
        <v>#N/A</v>
      </c>
      <c r="W499" s="136" t="e">
        <f ca="1">VLOOKUP(AD499,'credit rating'!$F$2:$H$22,3,FALSE)</f>
        <v>#N/A</v>
      </c>
      <c r="X499" s="136" t="e">
        <f t="shared" ca="1" si="50"/>
        <v>#N/A</v>
      </c>
      <c r="Y499" s="136" t="e">
        <f t="shared" ca="1" si="51"/>
        <v>#N/A</v>
      </c>
      <c r="Z499" s="136" t="e">
        <f t="shared" ca="1" si="52"/>
        <v>#N/A</v>
      </c>
      <c r="AA499" s="134">
        <f ca="1">IFERROR(VLOOKUP(X499,'credit rating'!A:C,3,FALSE),0)</f>
        <v>0</v>
      </c>
      <c r="AB499" s="134">
        <f ca="1">IFERROR(VLOOKUP(Y499,'credit rating'!B:C,2,FALSE),0)</f>
        <v>0</v>
      </c>
      <c r="AC499" s="136">
        <f ca="1">IFERROR(VLOOKUP(Z499,'credit rating'!B:C,2,FALSE),0)</f>
        <v>0</v>
      </c>
      <c r="AD499" s="136">
        <f t="shared" ca="1" si="53"/>
        <v>0</v>
      </c>
      <c r="AE499" s="249" t="str">
        <f ca="1">IFERROR(VLOOKUP(B499,bond!B:U,20,FALSE),"")</f>
        <v/>
      </c>
      <c r="AF499" s="136" t="e">
        <f ca="1">IF(VLOOKUP(B499,bond!B:AK,36,FALSE)="#N/A Field Not Applicable","",VLOOKUP(B499,bond!B:AK,36,FALSE))</f>
        <v>#N/A</v>
      </c>
      <c r="AG499" s="136" t="e">
        <f ca="1">IF(VLOOKUP(B499,bond!B:AL,37,FALSE)="FIXED","固定",IF(VLOOKUP(B499,bond!B:AL,37,FALSE)="FLOATING","浮動",IF(VLOOKUP(B499,bond!B:AL,37,FALSE)="VARIABLE","變動",IF(VLOOKUP(B499,bond!B:AL,37,FALSE)="FLAT TRADING","不含息交易",IF(VLOOKUP(B499,bond!B:AL,37,FALSE)="ZERO COUPON","零息",VLOOKUP(B499,bond!B:AL,37,FALSE))))))</f>
        <v>#N/A</v>
      </c>
      <c r="AH499" s="136" t="e">
        <f>VLOOKUP(C499,'2_Check_code'!I:J,2,FALSE)</f>
        <v>#N/A</v>
      </c>
      <c r="AI499" s="136" t="e">
        <f t="shared" ca="1" si="54"/>
        <v>#N/A</v>
      </c>
      <c r="AJ499" s="136" t="e">
        <f t="shared" ca="1" si="55"/>
        <v>#N/A</v>
      </c>
      <c r="AK499" s="594" t="e">
        <f ca="1">IF(VLOOKUP(B499,bond!B:S,18,FALSE)="是","有",IF(VLOOKUP(B499,bond!B:S,18,FALSE)="NO OFFER","無","需查詢"))</f>
        <v>#N/A</v>
      </c>
      <c r="AL499" s="136" t="e">
        <f>IF(VLOOKUP(A499,bond!F:AR,39,FALSE)="#N/A Field Not Applicable",VLOOKUP(A499,bond!F:AR,38,FALSE),IFERROR(VLOOKUP(A499,'7_發行日例外'!A:B,2,FALSE),VLOOKUP(A499,bond!F:AR,39,FALSE)))</f>
        <v>#N/A</v>
      </c>
      <c r="AM499" s="136" t="e">
        <f ca="1">VLOOKUP(B499,bond!B:AK,36,FALSE)</f>
        <v>#N/A</v>
      </c>
      <c r="AN499" s="136" t="str">
        <f ca="1">IFERROR(VLOOKUP(B499,'3_是否下架'!A:A,1,FALSE),"")</f>
        <v/>
      </c>
      <c r="AO499" s="136" t="e">
        <f ca="1">VLOOKUP(B499,bond!B:J,9,FALSE)</f>
        <v>#N/A</v>
      </c>
      <c r="AP499" s="136" t="e">
        <f ca="1">VLOOKUP(B499,bond!B:V,21,FALSE)</f>
        <v>#N/A</v>
      </c>
    </row>
    <row r="500" spans="1:42">
      <c r="A500" s="141">
        <f>bond!F501</f>
        <v>0</v>
      </c>
      <c r="B500" s="151">
        <f ca="1">IF($C$1=TRUE,bond!B501,"")</f>
        <v>0</v>
      </c>
      <c r="C500" s="95" t="e">
        <f>VLOOKUP(A500,bond!F:G,2,FALSE)</f>
        <v>#N/A</v>
      </c>
      <c r="D500" s="142" t="e">
        <f ca="1">VLOOKUP(B500,bond!B:C,2,FALSE)</f>
        <v>#N/A</v>
      </c>
      <c r="E500" s="95" t="e">
        <f ca="1">VLOOKUP(B500,bond!B:D,3,FALSE)</f>
        <v>#N/A</v>
      </c>
      <c r="F500" s="99" t="e">
        <f ca="1">VLOOKUP(B500,bond!B:AB,27,FALSE)</f>
        <v>#N/A</v>
      </c>
      <c r="G500" s="90" t="e">
        <f ca="1">VLOOKUP(B500,bond!B:E,4,FALSE)</f>
        <v>#N/A</v>
      </c>
      <c r="H500" s="202" t="e">
        <f ca="1">VLOOKUP(B500,bond!B:Y,24,FALSE)</f>
        <v>#N/A</v>
      </c>
      <c r="I500" s="95" t="e">
        <f ca="1">VLOOKUP(B500,bond!B:Z,25,FALSE)</f>
        <v>#N/A</v>
      </c>
      <c r="J500" s="180" t="e">
        <f ca="1">VLOOKUP(B500,bond!B:K,10,FALSE)</f>
        <v>#N/A</v>
      </c>
      <c r="K500" s="96" t="e">
        <f ca="1">VLOOKUP($B500,bond!B:S,14,FALSE)</f>
        <v>#N/A</v>
      </c>
      <c r="L500" s="91" t="e">
        <f ca="1">VLOOKUP(B500,bond!B:H,7,FALSE)</f>
        <v>#N/A</v>
      </c>
      <c r="M500" s="144" t="e">
        <f ca="1">VLOOKUP($B500,bond!$B:$Q,16,FALSE)</f>
        <v>#N/A</v>
      </c>
      <c r="N500" s="136" t="e">
        <f ca="1">VALUE(LEFT(VLOOKUP(B500,bond!B:R,17,FALSE),SEARCH(" ",VLOOKUP(B500,bond!B:R,17,FALSE),1)))</f>
        <v>#N/A</v>
      </c>
      <c r="O500" s="136" t="e">
        <f ca="1">VALUE(RIGHT(VLOOKUP(B500,bond!B:R,17,FALSE),LEN(VLOOKUP(B500,bond!B:R,17,FALSE))-LEN(N500)-3))</f>
        <v>#N/A</v>
      </c>
      <c r="P500" s="135" t="e">
        <f ca="1">VLOOKUP($B500,bond!$B:$AG,32,FALSE)</f>
        <v>#N/A</v>
      </c>
      <c r="Q500" s="135" t="e">
        <f ca="1">VLOOKUP($B500,bond!$B:$AH,33,FALSE)</f>
        <v>#N/A</v>
      </c>
      <c r="R500" s="135" t="e">
        <f ca="1">VLOOKUP(B500,bond!B:AA,26,FALSE)</f>
        <v>#N/A</v>
      </c>
      <c r="S500" s="135" t="e">
        <f ca="1">VLOOKUP(B500,bond!B:AI,34,FALSE)</f>
        <v>#N/A</v>
      </c>
      <c r="T500" s="135" t="e">
        <f t="shared" ca="1" si="49"/>
        <v>#N/A</v>
      </c>
      <c r="U500" s="207" t="e">
        <f ca="1">IFERROR(VLOOKUP(T500,Bond_DES!D:E,2,FALSE),VLOOKUP(S500,bond!AI:AJ,2,FALSE))</f>
        <v>#N/A</v>
      </c>
      <c r="V500" s="136" t="e">
        <f ca="1">IFERROR(VLOOKUP(B500,'1_重設數據'!L:M,2,FALSE),IF(Q500="政府",IF(AD500&gt;16,"(NPI)非專投",IF(AD500&gt;10,"(PI)專投","高資產")),IF(VLOOKUP(B500,bond!B:AN,39,FALSE)="Y","(PI)專投",IF(AD500&gt;=15,"(NPI)非專投",IF(AD500&gt;=10,"(PI)專投","高資產")))))</f>
        <v>#N/A</v>
      </c>
      <c r="W500" s="136" t="e">
        <f ca="1">VLOOKUP(AD500,'credit rating'!$F$2:$H$22,3,FALSE)</f>
        <v>#N/A</v>
      </c>
      <c r="X500" s="136" t="e">
        <f t="shared" ca="1" si="50"/>
        <v>#N/A</v>
      </c>
      <c r="Y500" s="136" t="e">
        <f t="shared" ca="1" si="51"/>
        <v>#N/A</v>
      </c>
      <c r="Z500" s="136" t="e">
        <f t="shared" ca="1" si="52"/>
        <v>#N/A</v>
      </c>
      <c r="AA500" s="134">
        <f ca="1">IFERROR(VLOOKUP(X500,'credit rating'!A:C,3,FALSE),0)</f>
        <v>0</v>
      </c>
      <c r="AB500" s="134">
        <f ca="1">IFERROR(VLOOKUP(Y500,'credit rating'!B:C,2,FALSE),0)</f>
        <v>0</v>
      </c>
      <c r="AC500" s="136">
        <f ca="1">IFERROR(VLOOKUP(Z500,'credit rating'!B:C,2,FALSE),0)</f>
        <v>0</v>
      </c>
      <c r="AD500" s="136">
        <f t="shared" ca="1" si="53"/>
        <v>0</v>
      </c>
      <c r="AE500" s="249" t="str">
        <f ca="1">IFERROR(VLOOKUP(B500,bond!B:U,20,FALSE),"")</f>
        <v/>
      </c>
      <c r="AF500" s="136" t="e">
        <f ca="1">IF(VLOOKUP(B500,bond!B:AK,36,FALSE)="#N/A Field Not Applicable","",VLOOKUP(B500,bond!B:AK,36,FALSE))</f>
        <v>#N/A</v>
      </c>
      <c r="AG500" s="136" t="e">
        <f ca="1">IF(VLOOKUP(B500,bond!B:AL,37,FALSE)="FIXED","固定",IF(VLOOKUP(B500,bond!B:AL,37,FALSE)="FLOATING","浮動",IF(VLOOKUP(B500,bond!B:AL,37,FALSE)="VARIABLE","變動",IF(VLOOKUP(B500,bond!B:AL,37,FALSE)="FLAT TRADING","不含息交易",IF(VLOOKUP(B500,bond!B:AL,37,FALSE)="ZERO COUPON","零息",VLOOKUP(B500,bond!B:AL,37,FALSE))))))</f>
        <v>#N/A</v>
      </c>
      <c r="AH500" s="136" t="e">
        <f>VLOOKUP(C500,'2_Check_code'!I:J,2,FALSE)</f>
        <v>#N/A</v>
      </c>
      <c r="AI500" s="136" t="e">
        <f t="shared" ca="1" si="54"/>
        <v>#N/A</v>
      </c>
      <c r="AJ500" s="136" t="e">
        <f t="shared" ca="1" si="55"/>
        <v>#N/A</v>
      </c>
      <c r="AK500" s="594" t="e">
        <f ca="1">IF(VLOOKUP(B500,bond!B:S,18,FALSE)="是","有",IF(VLOOKUP(B500,bond!B:S,18,FALSE)="NO OFFER","無","需查詢"))</f>
        <v>#N/A</v>
      </c>
      <c r="AL500" s="136" t="e">
        <f>IF(VLOOKUP(A500,bond!F:AR,39,FALSE)="#N/A Field Not Applicable",VLOOKUP(A500,bond!F:AR,38,FALSE),IFERROR(VLOOKUP(A500,'7_發行日例外'!A:B,2,FALSE),VLOOKUP(A500,bond!F:AR,39,FALSE)))</f>
        <v>#N/A</v>
      </c>
      <c r="AM500" s="136" t="e">
        <f ca="1">VLOOKUP(B500,bond!B:AK,36,FALSE)</f>
        <v>#N/A</v>
      </c>
      <c r="AN500" s="136" t="str">
        <f ca="1">IFERROR(VLOOKUP(B500,'3_是否下架'!A:A,1,FALSE),"")</f>
        <v/>
      </c>
      <c r="AO500" s="136" t="e">
        <f ca="1">VLOOKUP(B500,bond!B:J,9,FALSE)</f>
        <v>#N/A</v>
      </c>
      <c r="AP500" s="136" t="e">
        <f ca="1">VLOOKUP(B500,bond!B:V,21,FALSE)</f>
        <v>#N/A</v>
      </c>
    </row>
    <row r="501" spans="1:42">
      <c r="A501" s="141">
        <f>bond!F502</f>
        <v>0</v>
      </c>
      <c r="B501" s="151">
        <f ca="1">IF($C$1=TRUE,bond!B502,"")</f>
        <v>0</v>
      </c>
      <c r="C501" s="95" t="e">
        <f>VLOOKUP(A501,bond!F:G,2,FALSE)</f>
        <v>#N/A</v>
      </c>
      <c r="D501" s="142" t="e">
        <f ca="1">VLOOKUP(B501,bond!B:C,2,FALSE)</f>
        <v>#N/A</v>
      </c>
      <c r="E501" s="95" t="e">
        <f ca="1">VLOOKUP(B501,bond!B:D,3,FALSE)</f>
        <v>#N/A</v>
      </c>
      <c r="F501" s="99" t="e">
        <f ca="1">VLOOKUP(B501,bond!B:AB,27,FALSE)</f>
        <v>#N/A</v>
      </c>
      <c r="G501" s="90" t="e">
        <f ca="1">VLOOKUP(B501,bond!B:E,4,FALSE)</f>
        <v>#N/A</v>
      </c>
      <c r="H501" s="202" t="e">
        <f ca="1">VLOOKUP(B501,bond!B:Y,24,FALSE)</f>
        <v>#N/A</v>
      </c>
      <c r="I501" s="95" t="e">
        <f ca="1">VLOOKUP(B501,bond!B:Z,25,FALSE)</f>
        <v>#N/A</v>
      </c>
      <c r="J501" s="180" t="e">
        <f ca="1">VLOOKUP(B501,bond!B:K,10,FALSE)</f>
        <v>#N/A</v>
      </c>
      <c r="K501" s="96" t="e">
        <f ca="1">VLOOKUP($B501,bond!B:S,14,FALSE)</f>
        <v>#N/A</v>
      </c>
      <c r="L501" s="91" t="e">
        <f ca="1">VLOOKUP(B501,bond!B:H,7,FALSE)</f>
        <v>#N/A</v>
      </c>
      <c r="M501" s="144" t="e">
        <f ca="1">VLOOKUP($B501,bond!$B:$Q,16,FALSE)</f>
        <v>#N/A</v>
      </c>
      <c r="N501" s="136" t="e">
        <f ca="1">VALUE(LEFT(VLOOKUP(B501,bond!B:R,17,FALSE),SEARCH(" ",VLOOKUP(B501,bond!B:R,17,FALSE),1)))</f>
        <v>#N/A</v>
      </c>
      <c r="O501" s="136" t="e">
        <f ca="1">VALUE(RIGHT(VLOOKUP(B501,bond!B:R,17,FALSE),LEN(VLOOKUP(B501,bond!B:R,17,FALSE))-LEN(N501)-3))</f>
        <v>#N/A</v>
      </c>
      <c r="P501" s="135" t="e">
        <f ca="1">VLOOKUP($B501,bond!$B:$AG,32,FALSE)</f>
        <v>#N/A</v>
      </c>
      <c r="Q501" s="135" t="e">
        <f ca="1">VLOOKUP($B501,bond!$B:$AH,33,FALSE)</f>
        <v>#N/A</v>
      </c>
      <c r="R501" s="135" t="e">
        <f ca="1">VLOOKUP(B501,bond!B:AA,26,FALSE)</f>
        <v>#N/A</v>
      </c>
      <c r="S501" s="135" t="e">
        <f ca="1">VLOOKUP(B501,bond!B:AI,34,FALSE)</f>
        <v>#N/A</v>
      </c>
      <c r="T501" s="135" t="e">
        <f t="shared" ca="1" si="49"/>
        <v>#N/A</v>
      </c>
      <c r="U501" s="207" t="e">
        <f ca="1">IFERROR(VLOOKUP(T501,Bond_DES!D:E,2,FALSE),VLOOKUP(S501,bond!AI:AJ,2,FALSE))</f>
        <v>#N/A</v>
      </c>
      <c r="V501" s="136" t="e">
        <f ca="1">IFERROR(VLOOKUP(B501,'1_重設數據'!L:M,2,FALSE),IF(Q501="政府",IF(AD501&gt;16,"(NPI)非專投",IF(AD501&gt;10,"(PI)專投","高資產")),IF(VLOOKUP(B501,bond!B:AN,39,FALSE)="Y","(PI)專投",IF(AD501&gt;=15,"(NPI)非專投",IF(AD501&gt;=10,"(PI)專投","高資產")))))</f>
        <v>#N/A</v>
      </c>
      <c r="W501" s="136" t="e">
        <f ca="1">VLOOKUP(AD501,'credit rating'!$F$2:$H$22,3,FALSE)</f>
        <v>#N/A</v>
      </c>
      <c r="X501" s="136" t="e">
        <f t="shared" ca="1" si="50"/>
        <v>#N/A</v>
      </c>
      <c r="Y501" s="136" t="e">
        <f t="shared" ca="1" si="51"/>
        <v>#N/A</v>
      </c>
      <c r="Z501" s="136" t="e">
        <f t="shared" ca="1" si="52"/>
        <v>#N/A</v>
      </c>
      <c r="AA501" s="134">
        <f ca="1">IFERROR(VLOOKUP(X501,'credit rating'!A:C,3,FALSE),0)</f>
        <v>0</v>
      </c>
      <c r="AB501" s="134">
        <f ca="1">IFERROR(VLOOKUP(Y501,'credit rating'!B:C,2,FALSE),0)</f>
        <v>0</v>
      </c>
      <c r="AC501" s="136">
        <f ca="1">IFERROR(VLOOKUP(Z501,'credit rating'!B:C,2,FALSE),0)</f>
        <v>0</v>
      </c>
      <c r="AD501" s="136">
        <f t="shared" ca="1" si="53"/>
        <v>0</v>
      </c>
      <c r="AE501" s="249" t="str">
        <f ca="1">IFERROR(VLOOKUP(B501,bond!B:U,20,FALSE),"")</f>
        <v/>
      </c>
      <c r="AF501" s="136" t="e">
        <f ca="1">IF(VLOOKUP(B501,bond!B:AK,36,FALSE)="#N/A Field Not Applicable","",VLOOKUP(B501,bond!B:AK,36,FALSE))</f>
        <v>#N/A</v>
      </c>
      <c r="AG501" s="136" t="e">
        <f ca="1">IF(VLOOKUP(B501,bond!B:AL,37,FALSE)="FIXED","固定",IF(VLOOKUP(B501,bond!B:AL,37,FALSE)="FLOATING","浮動",IF(VLOOKUP(B501,bond!B:AL,37,FALSE)="VARIABLE","變動",IF(VLOOKUP(B501,bond!B:AL,37,FALSE)="FLAT TRADING","不含息交易",IF(VLOOKUP(B501,bond!B:AL,37,FALSE)="ZERO COUPON","零息",VLOOKUP(B501,bond!B:AL,37,FALSE))))))</f>
        <v>#N/A</v>
      </c>
      <c r="AH501" s="136" t="e">
        <f>VLOOKUP(C501,'2_Check_code'!I:J,2,FALSE)</f>
        <v>#N/A</v>
      </c>
      <c r="AI501" s="136" t="e">
        <f t="shared" ca="1" si="54"/>
        <v>#N/A</v>
      </c>
      <c r="AJ501" s="136" t="e">
        <f t="shared" ca="1" si="55"/>
        <v>#N/A</v>
      </c>
      <c r="AK501" s="594" t="e">
        <f ca="1">IF(VLOOKUP(B501,bond!B:S,18,FALSE)="是","有",IF(VLOOKUP(B501,bond!B:S,18,FALSE)="NO OFFER","無","需查詢"))</f>
        <v>#N/A</v>
      </c>
      <c r="AL501" s="136" t="e">
        <f>IF(VLOOKUP(A501,bond!F:AR,39,FALSE)="#N/A Field Not Applicable",VLOOKUP(A501,bond!F:AR,38,FALSE),IFERROR(VLOOKUP(A501,'7_發行日例外'!A:B,2,FALSE),VLOOKUP(A501,bond!F:AR,39,FALSE)))</f>
        <v>#N/A</v>
      </c>
      <c r="AM501" s="136" t="e">
        <f ca="1">VLOOKUP(B501,bond!B:AK,36,FALSE)</f>
        <v>#N/A</v>
      </c>
      <c r="AN501" s="136" t="str">
        <f ca="1">IFERROR(VLOOKUP(B501,'3_是否下架'!A:A,1,FALSE),"")</f>
        <v/>
      </c>
      <c r="AO501" s="136" t="e">
        <f ca="1">VLOOKUP(B501,bond!B:J,9,FALSE)</f>
        <v>#N/A</v>
      </c>
      <c r="AP501" s="136" t="e">
        <f ca="1">VLOOKUP(B501,bond!B:V,21,FALSE)</f>
        <v>#N/A</v>
      </c>
    </row>
    <row r="502" spans="1:42">
      <c r="A502" s="141">
        <f>bond!F503</f>
        <v>0</v>
      </c>
      <c r="B502" s="151">
        <f ca="1">IF($C$1=TRUE,bond!B503,"")</f>
        <v>0</v>
      </c>
      <c r="C502" s="95" t="e">
        <f>VLOOKUP(A502,bond!F:G,2,FALSE)</f>
        <v>#N/A</v>
      </c>
      <c r="D502" s="142" t="e">
        <f ca="1">VLOOKUP(B502,bond!B:C,2,FALSE)</f>
        <v>#N/A</v>
      </c>
      <c r="E502" s="95" t="e">
        <f ca="1">VLOOKUP(B502,bond!B:D,3,FALSE)</f>
        <v>#N/A</v>
      </c>
      <c r="F502" s="99" t="e">
        <f ca="1">VLOOKUP(B502,bond!B:AB,27,FALSE)</f>
        <v>#N/A</v>
      </c>
      <c r="G502" s="90" t="e">
        <f ca="1">VLOOKUP(B502,bond!B:E,4,FALSE)</f>
        <v>#N/A</v>
      </c>
      <c r="H502" s="202" t="e">
        <f ca="1">VLOOKUP(B502,bond!B:Y,24,FALSE)</f>
        <v>#N/A</v>
      </c>
      <c r="I502" s="95" t="e">
        <f ca="1">VLOOKUP(B502,bond!B:Z,25,FALSE)</f>
        <v>#N/A</v>
      </c>
      <c r="J502" s="180" t="e">
        <f ca="1">VLOOKUP(B502,bond!B:K,10,FALSE)</f>
        <v>#N/A</v>
      </c>
      <c r="K502" s="96" t="e">
        <f ca="1">VLOOKUP($B502,bond!B:S,14,FALSE)</f>
        <v>#N/A</v>
      </c>
      <c r="L502" s="91" t="e">
        <f ca="1">VLOOKUP(B502,bond!B:H,7,FALSE)</f>
        <v>#N/A</v>
      </c>
      <c r="M502" s="144" t="e">
        <f ca="1">VLOOKUP($B502,bond!$B:$Q,16,FALSE)</f>
        <v>#N/A</v>
      </c>
      <c r="N502" s="136" t="e">
        <f ca="1">VALUE(LEFT(VLOOKUP(B502,bond!B:R,17,FALSE),SEARCH(" ",VLOOKUP(B502,bond!B:R,17,FALSE),1)))</f>
        <v>#N/A</v>
      </c>
      <c r="O502" s="136" t="e">
        <f ca="1">VALUE(RIGHT(VLOOKUP(B502,bond!B:R,17,FALSE),LEN(VLOOKUP(B502,bond!B:R,17,FALSE))-LEN(N502)-3))</f>
        <v>#N/A</v>
      </c>
      <c r="P502" s="135" t="e">
        <f ca="1">VLOOKUP($B502,bond!$B:$AG,32,FALSE)</f>
        <v>#N/A</v>
      </c>
      <c r="Q502" s="135" t="e">
        <f ca="1">VLOOKUP($B502,bond!$B:$AH,33,FALSE)</f>
        <v>#N/A</v>
      </c>
      <c r="R502" s="135" t="e">
        <f ca="1">VLOOKUP(B502,bond!B:AA,26,FALSE)</f>
        <v>#N/A</v>
      </c>
      <c r="S502" s="135" t="e">
        <f ca="1">VLOOKUP(B502,bond!B:AI,34,FALSE)</f>
        <v>#N/A</v>
      </c>
      <c r="T502" s="135" t="e">
        <f t="shared" ca="1" si="49"/>
        <v>#N/A</v>
      </c>
      <c r="U502" s="207" t="e">
        <f ca="1">IFERROR(VLOOKUP(T502,Bond_DES!D:E,2,FALSE),VLOOKUP(S502,bond!AI:AJ,2,FALSE))</f>
        <v>#N/A</v>
      </c>
      <c r="V502" s="136" t="e">
        <f ca="1">IFERROR(VLOOKUP(B502,'1_重設數據'!L:M,2,FALSE),IF(Q502="政府",IF(AD502&gt;16,"(NPI)非專投",IF(AD502&gt;10,"(PI)專投","高資產")),IF(VLOOKUP(B502,bond!B:AN,39,FALSE)="Y","(PI)專投",IF(AD502&gt;=15,"(NPI)非專投",IF(AD502&gt;=10,"(PI)專投","高資產")))))</f>
        <v>#N/A</v>
      </c>
      <c r="W502" s="136" t="e">
        <f ca="1">VLOOKUP(AD502,'credit rating'!$F$2:$H$22,3,FALSE)</f>
        <v>#N/A</v>
      </c>
      <c r="X502" s="136" t="e">
        <f t="shared" ca="1" si="50"/>
        <v>#N/A</v>
      </c>
      <c r="Y502" s="136" t="e">
        <f t="shared" ca="1" si="51"/>
        <v>#N/A</v>
      </c>
      <c r="Z502" s="136" t="e">
        <f t="shared" ca="1" si="52"/>
        <v>#N/A</v>
      </c>
      <c r="AA502" s="134">
        <f ca="1">IFERROR(VLOOKUP(X502,'credit rating'!A:C,3,FALSE),0)</f>
        <v>0</v>
      </c>
      <c r="AB502" s="134">
        <f ca="1">IFERROR(VLOOKUP(Y502,'credit rating'!B:C,2,FALSE),0)</f>
        <v>0</v>
      </c>
      <c r="AC502" s="136">
        <f ca="1">IFERROR(VLOOKUP(Z502,'credit rating'!B:C,2,FALSE),0)</f>
        <v>0</v>
      </c>
      <c r="AD502" s="136">
        <f t="shared" ca="1" si="53"/>
        <v>0</v>
      </c>
      <c r="AE502" s="249" t="str">
        <f ca="1">IFERROR(VLOOKUP(B502,bond!B:U,20,FALSE),"")</f>
        <v/>
      </c>
      <c r="AF502" s="136" t="e">
        <f ca="1">IF(VLOOKUP(B502,bond!B:AK,36,FALSE)="#N/A Field Not Applicable","",VLOOKUP(B502,bond!B:AK,36,FALSE))</f>
        <v>#N/A</v>
      </c>
      <c r="AG502" s="136" t="e">
        <f ca="1">IF(VLOOKUP(B502,bond!B:AL,37,FALSE)="FIXED","固定",IF(VLOOKUP(B502,bond!B:AL,37,FALSE)="FLOATING","浮動",IF(VLOOKUP(B502,bond!B:AL,37,FALSE)="VARIABLE","變動",IF(VLOOKUP(B502,bond!B:AL,37,FALSE)="FLAT TRADING","不含息交易",IF(VLOOKUP(B502,bond!B:AL,37,FALSE)="ZERO COUPON","零息",VLOOKUP(B502,bond!B:AL,37,FALSE))))))</f>
        <v>#N/A</v>
      </c>
      <c r="AH502" s="136" t="e">
        <f>VLOOKUP(C502,'2_Check_code'!I:J,2,FALSE)</f>
        <v>#N/A</v>
      </c>
      <c r="AI502" s="136" t="e">
        <f t="shared" ca="1" si="54"/>
        <v>#N/A</v>
      </c>
      <c r="AJ502" s="136" t="e">
        <f t="shared" ca="1" si="55"/>
        <v>#N/A</v>
      </c>
      <c r="AK502" s="594" t="e">
        <f ca="1">IF(VLOOKUP(B502,bond!B:S,18,FALSE)="是","有",IF(VLOOKUP(B502,bond!B:S,18,FALSE)="NO OFFER","無","需查詢"))</f>
        <v>#N/A</v>
      </c>
      <c r="AL502" s="136" t="e">
        <f>IF(VLOOKUP(A502,bond!F:AR,39,FALSE)="#N/A Field Not Applicable",VLOOKUP(A502,bond!F:AR,38,FALSE),IFERROR(VLOOKUP(A502,'7_發行日例外'!A:B,2,FALSE),VLOOKUP(A502,bond!F:AR,39,FALSE)))</f>
        <v>#N/A</v>
      </c>
      <c r="AM502" s="136" t="e">
        <f ca="1">VLOOKUP(B502,bond!B:AK,36,FALSE)</f>
        <v>#N/A</v>
      </c>
      <c r="AN502" s="136" t="str">
        <f ca="1">IFERROR(VLOOKUP(B502,'3_是否下架'!A:A,1,FALSE),"")</f>
        <v/>
      </c>
      <c r="AO502" s="136" t="e">
        <f ca="1">VLOOKUP(B502,bond!B:J,9,FALSE)</f>
        <v>#N/A</v>
      </c>
      <c r="AP502" s="136" t="e">
        <f ca="1">VLOOKUP(B502,bond!B:V,21,FALSE)</f>
        <v>#N/A</v>
      </c>
    </row>
    <row r="503" spans="1:42">
      <c r="A503" s="141">
        <f>bond!F504</f>
        <v>0</v>
      </c>
      <c r="B503" s="151">
        <f ca="1">IF($C$1=TRUE,bond!B504,"")</f>
        <v>0</v>
      </c>
      <c r="C503" s="95" t="e">
        <f>VLOOKUP(A503,bond!F:G,2,FALSE)</f>
        <v>#N/A</v>
      </c>
      <c r="D503" s="142" t="e">
        <f ca="1">VLOOKUP(B503,bond!B:C,2,FALSE)</f>
        <v>#N/A</v>
      </c>
      <c r="E503" s="95" t="e">
        <f ca="1">VLOOKUP(B503,bond!B:D,3,FALSE)</f>
        <v>#N/A</v>
      </c>
      <c r="F503" s="99" t="e">
        <f ca="1">VLOOKUP(B503,bond!B:AB,27,FALSE)</f>
        <v>#N/A</v>
      </c>
      <c r="G503" s="90" t="e">
        <f ca="1">VLOOKUP(B503,bond!B:E,4,FALSE)</f>
        <v>#N/A</v>
      </c>
      <c r="H503" s="202" t="e">
        <f ca="1">VLOOKUP(B503,bond!B:Y,24,FALSE)</f>
        <v>#N/A</v>
      </c>
      <c r="I503" s="95" t="e">
        <f ca="1">VLOOKUP(B503,bond!B:Z,25,FALSE)</f>
        <v>#N/A</v>
      </c>
      <c r="J503" s="180" t="e">
        <f ca="1">VLOOKUP(B503,bond!B:K,10,FALSE)</f>
        <v>#N/A</v>
      </c>
      <c r="K503" s="96" t="e">
        <f ca="1">VLOOKUP($B503,bond!B:S,14,FALSE)</f>
        <v>#N/A</v>
      </c>
      <c r="L503" s="91" t="e">
        <f ca="1">VLOOKUP(B503,bond!B:H,7,FALSE)</f>
        <v>#N/A</v>
      </c>
      <c r="M503" s="144" t="e">
        <f ca="1">VLOOKUP($B503,bond!$B:$Q,16,FALSE)</f>
        <v>#N/A</v>
      </c>
      <c r="N503" s="136" t="e">
        <f ca="1">VALUE(LEFT(VLOOKUP(B503,bond!B:R,17,FALSE),SEARCH(" ",VLOOKUP(B503,bond!B:R,17,FALSE),1)))</f>
        <v>#N/A</v>
      </c>
      <c r="O503" s="136" t="e">
        <f ca="1">VALUE(RIGHT(VLOOKUP(B503,bond!B:R,17,FALSE),LEN(VLOOKUP(B503,bond!B:R,17,FALSE))-LEN(N503)-3))</f>
        <v>#N/A</v>
      </c>
      <c r="P503" s="135" t="e">
        <f ca="1">VLOOKUP($B503,bond!$B:$AG,32,FALSE)</f>
        <v>#N/A</v>
      </c>
      <c r="Q503" s="135" t="e">
        <f ca="1">VLOOKUP($B503,bond!$B:$AH,33,FALSE)</f>
        <v>#N/A</v>
      </c>
      <c r="R503" s="135" t="e">
        <f ca="1">VLOOKUP(B503,bond!B:AA,26,FALSE)</f>
        <v>#N/A</v>
      </c>
      <c r="S503" s="135" t="e">
        <f ca="1">VLOOKUP(B503,bond!B:AI,34,FALSE)</f>
        <v>#N/A</v>
      </c>
      <c r="T503" s="135" t="e">
        <f t="shared" ca="1" si="49"/>
        <v>#N/A</v>
      </c>
      <c r="U503" s="207" t="e">
        <f ca="1">IFERROR(VLOOKUP(T503,Bond_DES!D:E,2,FALSE),VLOOKUP(S503,bond!AI:AJ,2,FALSE))</f>
        <v>#N/A</v>
      </c>
      <c r="V503" s="136" t="e">
        <f ca="1">IFERROR(VLOOKUP(B503,'1_重設數據'!L:M,2,FALSE),IF(Q503="政府",IF(AD503&gt;16,"(NPI)非專投",IF(AD503&gt;10,"(PI)專投","高資產")),IF(VLOOKUP(B503,bond!B:AN,39,FALSE)="Y","(PI)專投",IF(AD503&gt;=15,"(NPI)非專投",IF(AD503&gt;=10,"(PI)專投","高資產")))))</f>
        <v>#N/A</v>
      </c>
      <c r="W503" s="136" t="e">
        <f ca="1">VLOOKUP(AD503,'credit rating'!$F$2:$H$22,3,FALSE)</f>
        <v>#N/A</v>
      </c>
      <c r="X503" s="136" t="e">
        <f t="shared" ca="1" si="50"/>
        <v>#N/A</v>
      </c>
      <c r="Y503" s="136" t="e">
        <f t="shared" ca="1" si="51"/>
        <v>#N/A</v>
      </c>
      <c r="Z503" s="136" t="e">
        <f t="shared" ca="1" si="52"/>
        <v>#N/A</v>
      </c>
      <c r="AA503" s="134">
        <f ca="1">IFERROR(VLOOKUP(X503,'credit rating'!A:C,3,FALSE),0)</f>
        <v>0</v>
      </c>
      <c r="AB503" s="134">
        <f ca="1">IFERROR(VLOOKUP(Y503,'credit rating'!B:C,2,FALSE),0)</f>
        <v>0</v>
      </c>
      <c r="AC503" s="136">
        <f ca="1">IFERROR(VLOOKUP(Z503,'credit rating'!B:C,2,FALSE),0)</f>
        <v>0</v>
      </c>
      <c r="AD503" s="136">
        <f t="shared" ca="1" si="53"/>
        <v>0</v>
      </c>
      <c r="AE503" s="249" t="str">
        <f ca="1">IFERROR(VLOOKUP(B503,bond!B:U,20,FALSE),"")</f>
        <v/>
      </c>
      <c r="AF503" s="136" t="e">
        <f ca="1">IF(VLOOKUP(B503,bond!B:AK,36,FALSE)="#N/A Field Not Applicable","",VLOOKUP(B503,bond!B:AK,36,FALSE))</f>
        <v>#N/A</v>
      </c>
      <c r="AG503" s="136" t="e">
        <f ca="1">IF(VLOOKUP(B503,bond!B:AL,37,FALSE)="FIXED","固定",IF(VLOOKUP(B503,bond!B:AL,37,FALSE)="FLOATING","浮動",IF(VLOOKUP(B503,bond!B:AL,37,FALSE)="VARIABLE","變動",IF(VLOOKUP(B503,bond!B:AL,37,FALSE)="FLAT TRADING","不含息交易",IF(VLOOKUP(B503,bond!B:AL,37,FALSE)="ZERO COUPON","零息",VLOOKUP(B503,bond!B:AL,37,FALSE))))))</f>
        <v>#N/A</v>
      </c>
      <c r="AH503" s="136" t="e">
        <f>VLOOKUP(C503,'2_Check_code'!I:J,2,FALSE)</f>
        <v>#N/A</v>
      </c>
      <c r="AI503" s="136" t="e">
        <f t="shared" ca="1" si="54"/>
        <v>#N/A</v>
      </c>
      <c r="AJ503" s="136" t="e">
        <f t="shared" ca="1" si="55"/>
        <v>#N/A</v>
      </c>
      <c r="AK503" s="594" t="e">
        <f ca="1">IF(VLOOKUP(B503,bond!B:S,18,FALSE)="是","有",IF(VLOOKUP(B503,bond!B:S,18,FALSE)="NO OFFER","無","需查詢"))</f>
        <v>#N/A</v>
      </c>
      <c r="AL503" s="136" t="e">
        <f>IF(VLOOKUP(A503,bond!F:AR,39,FALSE)="#N/A Field Not Applicable",VLOOKUP(A503,bond!F:AR,38,FALSE),IFERROR(VLOOKUP(A503,'7_發行日例外'!A:B,2,FALSE),VLOOKUP(A503,bond!F:AR,39,FALSE)))</f>
        <v>#N/A</v>
      </c>
      <c r="AM503" s="136" t="e">
        <f ca="1">VLOOKUP(B503,bond!B:AK,36,FALSE)</f>
        <v>#N/A</v>
      </c>
      <c r="AN503" s="136" t="str">
        <f ca="1">IFERROR(VLOOKUP(B503,'3_是否下架'!A:A,1,FALSE),"")</f>
        <v/>
      </c>
      <c r="AO503" s="136" t="e">
        <f ca="1">VLOOKUP(B503,bond!B:J,9,FALSE)</f>
        <v>#N/A</v>
      </c>
      <c r="AP503" s="136" t="e">
        <f ca="1">VLOOKUP(B503,bond!B:V,21,FALSE)</f>
        <v>#N/A</v>
      </c>
    </row>
    <row r="504" spans="1:42">
      <c r="A504" s="141">
        <f>bond!F505</f>
        <v>0</v>
      </c>
      <c r="B504" s="151">
        <f ca="1">IF($C$1=TRUE,bond!B505,"")</f>
        <v>0</v>
      </c>
      <c r="C504" s="95" t="e">
        <f>VLOOKUP(A504,bond!F:G,2,FALSE)</f>
        <v>#N/A</v>
      </c>
      <c r="D504" s="142" t="e">
        <f ca="1">VLOOKUP(B504,bond!B:C,2,FALSE)</f>
        <v>#N/A</v>
      </c>
      <c r="E504" s="95" t="e">
        <f ca="1">VLOOKUP(B504,bond!B:D,3,FALSE)</f>
        <v>#N/A</v>
      </c>
      <c r="F504" s="99" t="e">
        <f ca="1">VLOOKUP(B504,bond!B:AB,27,FALSE)</f>
        <v>#N/A</v>
      </c>
      <c r="G504" s="90" t="e">
        <f ca="1">VLOOKUP(B504,bond!B:E,4,FALSE)</f>
        <v>#N/A</v>
      </c>
      <c r="H504" s="202" t="e">
        <f ca="1">VLOOKUP(B504,bond!B:Y,24,FALSE)</f>
        <v>#N/A</v>
      </c>
      <c r="I504" s="95" t="e">
        <f ca="1">VLOOKUP(B504,bond!B:Z,25,FALSE)</f>
        <v>#N/A</v>
      </c>
      <c r="J504" s="180" t="e">
        <f ca="1">VLOOKUP(B504,bond!B:K,10,FALSE)</f>
        <v>#N/A</v>
      </c>
      <c r="K504" s="96" t="e">
        <f ca="1">VLOOKUP($B504,bond!B:S,14,FALSE)</f>
        <v>#N/A</v>
      </c>
      <c r="L504" s="91" t="e">
        <f ca="1">VLOOKUP(B504,bond!B:H,7,FALSE)</f>
        <v>#N/A</v>
      </c>
      <c r="M504" s="144" t="e">
        <f ca="1">VLOOKUP($B504,bond!$B:$Q,16,FALSE)</f>
        <v>#N/A</v>
      </c>
      <c r="N504" s="136" t="e">
        <f ca="1">VALUE(LEFT(VLOOKUP(B504,bond!B:R,17,FALSE),SEARCH(" ",VLOOKUP(B504,bond!B:R,17,FALSE),1)))</f>
        <v>#N/A</v>
      </c>
      <c r="O504" s="136" t="e">
        <f ca="1">VALUE(RIGHT(VLOOKUP(B504,bond!B:R,17,FALSE),LEN(VLOOKUP(B504,bond!B:R,17,FALSE))-LEN(N504)-3))</f>
        <v>#N/A</v>
      </c>
      <c r="P504" s="135" t="e">
        <f ca="1">VLOOKUP($B504,bond!$B:$AG,32,FALSE)</f>
        <v>#N/A</v>
      </c>
      <c r="Q504" s="135" t="e">
        <f ca="1">VLOOKUP($B504,bond!$B:$AH,33,FALSE)</f>
        <v>#N/A</v>
      </c>
      <c r="R504" s="135" t="e">
        <f ca="1">VLOOKUP(B504,bond!B:AA,26,FALSE)</f>
        <v>#N/A</v>
      </c>
      <c r="S504" s="135" t="e">
        <f ca="1">VLOOKUP(B504,bond!B:AI,34,FALSE)</f>
        <v>#N/A</v>
      </c>
      <c r="T504" s="135" t="e">
        <f t="shared" ca="1" si="49"/>
        <v>#N/A</v>
      </c>
      <c r="U504" s="207" t="e">
        <f ca="1">IFERROR(VLOOKUP(T504,Bond_DES!D:E,2,FALSE),VLOOKUP(S504,bond!AI:AJ,2,FALSE))</f>
        <v>#N/A</v>
      </c>
      <c r="V504" s="136" t="e">
        <f ca="1">IFERROR(VLOOKUP(B504,'1_重設數據'!L:M,2,FALSE),IF(Q504="政府",IF(AD504&gt;16,"(NPI)非專投",IF(AD504&gt;10,"(PI)專投","高資產")),IF(VLOOKUP(B504,bond!B:AN,39,FALSE)="Y","(PI)專投",IF(AD504&gt;=15,"(NPI)非專投",IF(AD504&gt;=10,"(PI)專投","高資產")))))</f>
        <v>#N/A</v>
      </c>
      <c r="W504" s="136" t="e">
        <f ca="1">VLOOKUP(AD504,'credit rating'!$F$2:$H$22,3,FALSE)</f>
        <v>#N/A</v>
      </c>
      <c r="X504" s="136" t="e">
        <f t="shared" ca="1" si="50"/>
        <v>#N/A</v>
      </c>
      <c r="Y504" s="136" t="e">
        <f t="shared" ca="1" si="51"/>
        <v>#N/A</v>
      </c>
      <c r="Z504" s="136" t="e">
        <f t="shared" ca="1" si="52"/>
        <v>#N/A</v>
      </c>
      <c r="AA504" s="134">
        <f ca="1">IFERROR(VLOOKUP(X504,'credit rating'!A:C,3,FALSE),0)</f>
        <v>0</v>
      </c>
      <c r="AB504" s="134">
        <f ca="1">IFERROR(VLOOKUP(Y504,'credit rating'!B:C,2,FALSE),0)</f>
        <v>0</v>
      </c>
      <c r="AC504" s="136">
        <f ca="1">IFERROR(VLOOKUP(Z504,'credit rating'!B:C,2,FALSE),0)</f>
        <v>0</v>
      </c>
      <c r="AD504" s="136">
        <f t="shared" ca="1" si="53"/>
        <v>0</v>
      </c>
      <c r="AE504" s="249" t="str">
        <f ca="1">IFERROR(VLOOKUP(B504,bond!B:U,20,FALSE),"")</f>
        <v/>
      </c>
      <c r="AF504" s="136" t="e">
        <f ca="1">IF(VLOOKUP(B504,bond!B:AK,36,FALSE)="#N/A Field Not Applicable","",VLOOKUP(B504,bond!B:AK,36,FALSE))</f>
        <v>#N/A</v>
      </c>
      <c r="AG504" s="136" t="e">
        <f ca="1">IF(VLOOKUP(B504,bond!B:AL,37,FALSE)="FIXED","固定",IF(VLOOKUP(B504,bond!B:AL,37,FALSE)="FLOATING","浮動",IF(VLOOKUP(B504,bond!B:AL,37,FALSE)="VARIABLE","變動",IF(VLOOKUP(B504,bond!B:AL,37,FALSE)="FLAT TRADING","不含息交易",IF(VLOOKUP(B504,bond!B:AL,37,FALSE)="ZERO COUPON","零息",VLOOKUP(B504,bond!B:AL,37,FALSE))))))</f>
        <v>#N/A</v>
      </c>
      <c r="AH504" s="136" t="e">
        <f>VLOOKUP(C504,'2_Check_code'!I:J,2,FALSE)</f>
        <v>#N/A</v>
      </c>
      <c r="AI504" s="136" t="e">
        <f t="shared" ca="1" si="54"/>
        <v>#N/A</v>
      </c>
      <c r="AJ504" s="136" t="e">
        <f t="shared" ca="1" si="55"/>
        <v>#N/A</v>
      </c>
      <c r="AK504" s="594" t="e">
        <f ca="1">IF(VLOOKUP(B504,bond!B:S,18,FALSE)="是","有",IF(VLOOKUP(B504,bond!B:S,18,FALSE)="NO OFFER","無","需查詢"))</f>
        <v>#N/A</v>
      </c>
      <c r="AL504" s="136" t="e">
        <f>IF(VLOOKUP(A504,bond!F:AR,39,FALSE)="#N/A Field Not Applicable",VLOOKUP(A504,bond!F:AR,38,FALSE),IFERROR(VLOOKUP(A504,'7_發行日例外'!A:B,2,FALSE),VLOOKUP(A504,bond!F:AR,39,FALSE)))</f>
        <v>#N/A</v>
      </c>
      <c r="AM504" s="136" t="e">
        <f ca="1">VLOOKUP(B504,bond!B:AK,36,FALSE)</f>
        <v>#N/A</v>
      </c>
      <c r="AN504" s="136" t="str">
        <f ca="1">IFERROR(VLOOKUP(B504,'3_是否下架'!A:A,1,FALSE),"")</f>
        <v/>
      </c>
      <c r="AO504" s="136" t="e">
        <f ca="1">VLOOKUP(B504,bond!B:J,9,FALSE)</f>
        <v>#N/A</v>
      </c>
      <c r="AP504" s="136" t="e">
        <f ca="1">VLOOKUP(B504,bond!B:V,21,FALSE)</f>
        <v>#N/A</v>
      </c>
    </row>
    <row r="505" spans="1:42">
      <c r="A505" s="141">
        <f>bond!F506</f>
        <v>0</v>
      </c>
      <c r="B505" s="151">
        <f ca="1">IF($C$1=TRUE,bond!B506,"")</f>
        <v>0</v>
      </c>
      <c r="C505" s="95" t="e">
        <f>VLOOKUP(A505,bond!F:G,2,FALSE)</f>
        <v>#N/A</v>
      </c>
      <c r="D505" s="142" t="e">
        <f ca="1">VLOOKUP(B505,bond!B:C,2,FALSE)</f>
        <v>#N/A</v>
      </c>
      <c r="E505" s="95" t="e">
        <f ca="1">VLOOKUP(B505,bond!B:D,3,FALSE)</f>
        <v>#N/A</v>
      </c>
      <c r="F505" s="99" t="e">
        <f ca="1">VLOOKUP(B505,bond!B:AB,27,FALSE)</f>
        <v>#N/A</v>
      </c>
      <c r="G505" s="90" t="e">
        <f ca="1">VLOOKUP(B505,bond!B:E,4,FALSE)</f>
        <v>#N/A</v>
      </c>
      <c r="H505" s="202" t="e">
        <f ca="1">VLOOKUP(B505,bond!B:Y,24,FALSE)</f>
        <v>#N/A</v>
      </c>
      <c r="I505" s="95" t="e">
        <f ca="1">VLOOKUP(B505,bond!B:Z,25,FALSE)</f>
        <v>#N/A</v>
      </c>
      <c r="J505" s="180" t="e">
        <f ca="1">VLOOKUP(B505,bond!B:K,10,FALSE)</f>
        <v>#N/A</v>
      </c>
      <c r="K505" s="96" t="e">
        <f ca="1">VLOOKUP($B505,bond!B:S,14,FALSE)</f>
        <v>#N/A</v>
      </c>
      <c r="L505" s="91" t="e">
        <f ca="1">VLOOKUP(B505,bond!B:H,7,FALSE)</f>
        <v>#N/A</v>
      </c>
      <c r="M505" s="144" t="e">
        <f ca="1">VLOOKUP($B505,bond!$B:$Q,16,FALSE)</f>
        <v>#N/A</v>
      </c>
      <c r="N505" s="136" t="e">
        <f ca="1">VALUE(LEFT(VLOOKUP(B505,bond!B:R,17,FALSE),SEARCH(" ",VLOOKUP(B505,bond!B:R,17,FALSE),1)))</f>
        <v>#N/A</v>
      </c>
      <c r="O505" s="136" t="e">
        <f ca="1">VALUE(RIGHT(VLOOKUP(B505,bond!B:R,17,FALSE),LEN(VLOOKUP(B505,bond!B:R,17,FALSE))-LEN(N505)-3))</f>
        <v>#N/A</v>
      </c>
      <c r="P505" s="135" t="e">
        <f ca="1">VLOOKUP($B505,bond!$B:$AG,32,FALSE)</f>
        <v>#N/A</v>
      </c>
      <c r="Q505" s="135" t="e">
        <f ca="1">VLOOKUP($B505,bond!$B:$AH,33,FALSE)</f>
        <v>#N/A</v>
      </c>
      <c r="R505" s="135" t="e">
        <f ca="1">VLOOKUP(B505,bond!B:AA,26,FALSE)</f>
        <v>#N/A</v>
      </c>
      <c r="S505" s="135" t="e">
        <f ca="1">VLOOKUP(B505,bond!B:AI,34,FALSE)</f>
        <v>#N/A</v>
      </c>
      <c r="T505" s="135" t="e">
        <f t="shared" ca="1" si="49"/>
        <v>#N/A</v>
      </c>
      <c r="U505" s="207" t="e">
        <f ca="1">IFERROR(VLOOKUP(T505,Bond_DES!D:E,2,FALSE),VLOOKUP(S505,bond!AI:AJ,2,FALSE))</f>
        <v>#N/A</v>
      </c>
      <c r="V505" s="136" t="e">
        <f ca="1">IFERROR(VLOOKUP(B505,'1_重設數據'!L:M,2,FALSE),IF(Q505="政府",IF(AD505&gt;16,"(NPI)非專投",IF(AD505&gt;10,"(PI)專投","高資產")),IF(VLOOKUP(B505,bond!B:AN,39,FALSE)="Y","(PI)專投",IF(AD505&gt;=15,"(NPI)非專投",IF(AD505&gt;=10,"(PI)專投","高資產")))))</f>
        <v>#N/A</v>
      </c>
      <c r="W505" s="136" t="e">
        <f ca="1">VLOOKUP(AD505,'credit rating'!$F$2:$H$22,3,FALSE)</f>
        <v>#N/A</v>
      </c>
      <c r="X505" s="136" t="e">
        <f t="shared" ca="1" si="50"/>
        <v>#N/A</v>
      </c>
      <c r="Y505" s="136" t="e">
        <f t="shared" ca="1" si="51"/>
        <v>#N/A</v>
      </c>
      <c r="Z505" s="136" t="e">
        <f t="shared" ca="1" si="52"/>
        <v>#N/A</v>
      </c>
      <c r="AA505" s="134">
        <f ca="1">IFERROR(VLOOKUP(X505,'credit rating'!A:C,3,FALSE),0)</f>
        <v>0</v>
      </c>
      <c r="AB505" s="134">
        <f ca="1">IFERROR(VLOOKUP(Y505,'credit rating'!B:C,2,FALSE),0)</f>
        <v>0</v>
      </c>
      <c r="AC505" s="136">
        <f ca="1">IFERROR(VLOOKUP(Z505,'credit rating'!B:C,2,FALSE),0)</f>
        <v>0</v>
      </c>
      <c r="AD505" s="136">
        <f t="shared" ca="1" si="53"/>
        <v>0</v>
      </c>
      <c r="AE505" s="249" t="str">
        <f ca="1">IFERROR(VLOOKUP(B505,bond!B:U,20,FALSE),"")</f>
        <v/>
      </c>
      <c r="AF505" s="136" t="e">
        <f ca="1">IF(VLOOKUP(B505,bond!B:AK,36,FALSE)="#N/A Field Not Applicable","",VLOOKUP(B505,bond!B:AK,36,FALSE))</f>
        <v>#N/A</v>
      </c>
      <c r="AG505" s="136" t="e">
        <f ca="1">IF(VLOOKUP(B505,bond!B:AL,37,FALSE)="FIXED","固定",IF(VLOOKUP(B505,bond!B:AL,37,FALSE)="FLOATING","浮動",IF(VLOOKUP(B505,bond!B:AL,37,FALSE)="VARIABLE","變動",IF(VLOOKUP(B505,bond!B:AL,37,FALSE)="FLAT TRADING","不含息交易",IF(VLOOKUP(B505,bond!B:AL,37,FALSE)="ZERO COUPON","零息",VLOOKUP(B505,bond!B:AL,37,FALSE))))))</f>
        <v>#N/A</v>
      </c>
      <c r="AH505" s="136" t="e">
        <f>VLOOKUP(C505,'2_Check_code'!I:J,2,FALSE)</f>
        <v>#N/A</v>
      </c>
      <c r="AI505" s="136" t="e">
        <f t="shared" ca="1" si="54"/>
        <v>#N/A</v>
      </c>
      <c r="AJ505" s="136" t="e">
        <f t="shared" ca="1" si="55"/>
        <v>#N/A</v>
      </c>
      <c r="AK505" s="594" t="e">
        <f ca="1">IF(VLOOKUP(B505,bond!B:S,18,FALSE)="是","有",IF(VLOOKUP(B505,bond!B:S,18,FALSE)="NO OFFER","無","需查詢"))</f>
        <v>#N/A</v>
      </c>
      <c r="AL505" s="136" t="e">
        <f>IF(VLOOKUP(A505,bond!F:AR,39,FALSE)="#N/A Field Not Applicable",VLOOKUP(A505,bond!F:AR,38,FALSE),IFERROR(VLOOKUP(A505,'7_發行日例外'!A:B,2,FALSE),VLOOKUP(A505,bond!F:AR,39,FALSE)))</f>
        <v>#N/A</v>
      </c>
      <c r="AM505" s="136" t="e">
        <f ca="1">VLOOKUP(B505,bond!B:AK,36,FALSE)</f>
        <v>#N/A</v>
      </c>
      <c r="AN505" s="136" t="str">
        <f ca="1">IFERROR(VLOOKUP(B505,'3_是否下架'!A:A,1,FALSE),"")</f>
        <v/>
      </c>
      <c r="AO505" s="136" t="e">
        <f ca="1">VLOOKUP(B505,bond!B:J,9,FALSE)</f>
        <v>#N/A</v>
      </c>
      <c r="AP505" s="136" t="e">
        <f ca="1">VLOOKUP(B505,bond!B:V,21,FALSE)</f>
        <v>#N/A</v>
      </c>
    </row>
    <row r="506" spans="1:42">
      <c r="A506" s="141">
        <f>bond!F507</f>
        <v>0</v>
      </c>
      <c r="B506" s="151">
        <f ca="1">IF($C$1=TRUE,bond!B507,"")</f>
        <v>0</v>
      </c>
      <c r="C506" s="95" t="e">
        <f>VLOOKUP(A506,bond!F:G,2,FALSE)</f>
        <v>#N/A</v>
      </c>
      <c r="D506" s="142" t="e">
        <f ca="1">VLOOKUP(B506,bond!B:C,2,FALSE)</f>
        <v>#N/A</v>
      </c>
      <c r="E506" s="95" t="e">
        <f ca="1">VLOOKUP(B506,bond!B:D,3,FALSE)</f>
        <v>#N/A</v>
      </c>
      <c r="F506" s="99" t="e">
        <f ca="1">VLOOKUP(B506,bond!B:AB,27,FALSE)</f>
        <v>#N/A</v>
      </c>
      <c r="G506" s="90" t="e">
        <f ca="1">VLOOKUP(B506,bond!B:E,4,FALSE)</f>
        <v>#N/A</v>
      </c>
      <c r="H506" s="202" t="e">
        <f ca="1">VLOOKUP(B506,bond!B:Y,24,FALSE)</f>
        <v>#N/A</v>
      </c>
      <c r="I506" s="95" t="e">
        <f ca="1">VLOOKUP(B506,bond!B:Z,25,FALSE)</f>
        <v>#N/A</v>
      </c>
      <c r="J506" s="180" t="e">
        <f ca="1">VLOOKUP(B506,bond!B:K,10,FALSE)</f>
        <v>#N/A</v>
      </c>
      <c r="K506" s="96" t="e">
        <f ca="1">VLOOKUP($B506,bond!B:S,14,FALSE)</f>
        <v>#N/A</v>
      </c>
      <c r="L506" s="91" t="e">
        <f ca="1">VLOOKUP(B506,bond!B:H,7,FALSE)</f>
        <v>#N/A</v>
      </c>
      <c r="M506" s="144" t="e">
        <f ca="1">VLOOKUP($B506,bond!$B:$Q,16,FALSE)</f>
        <v>#N/A</v>
      </c>
      <c r="N506" s="136" t="e">
        <f ca="1">VALUE(LEFT(VLOOKUP(B506,bond!B:R,17,FALSE),SEARCH(" ",VLOOKUP(B506,bond!B:R,17,FALSE),1)))</f>
        <v>#N/A</v>
      </c>
      <c r="O506" s="136" t="e">
        <f ca="1">VALUE(RIGHT(VLOOKUP(B506,bond!B:R,17,FALSE),LEN(VLOOKUP(B506,bond!B:R,17,FALSE))-LEN(N506)-3))</f>
        <v>#N/A</v>
      </c>
      <c r="P506" s="135" t="e">
        <f ca="1">VLOOKUP($B506,bond!$B:$AG,32,FALSE)</f>
        <v>#N/A</v>
      </c>
      <c r="Q506" s="135" t="e">
        <f ca="1">VLOOKUP($B506,bond!$B:$AH,33,FALSE)</f>
        <v>#N/A</v>
      </c>
      <c r="R506" s="135" t="e">
        <f ca="1">VLOOKUP(B506,bond!B:AA,26,FALSE)</f>
        <v>#N/A</v>
      </c>
      <c r="S506" s="135" t="e">
        <f ca="1">VLOOKUP(B506,bond!B:AI,34,FALSE)</f>
        <v>#N/A</v>
      </c>
      <c r="T506" s="135" t="e">
        <f t="shared" ca="1" si="49"/>
        <v>#N/A</v>
      </c>
      <c r="U506" s="207" t="e">
        <f ca="1">IFERROR(VLOOKUP(T506,Bond_DES!D:E,2,FALSE),VLOOKUP(S506,bond!AI:AJ,2,FALSE))</f>
        <v>#N/A</v>
      </c>
      <c r="V506" s="136" t="e">
        <f ca="1">IFERROR(VLOOKUP(B506,'1_重設數據'!L:M,2,FALSE),IF(Q506="政府",IF(AD506&gt;16,"(NPI)非專投",IF(AD506&gt;10,"(PI)專投","高資產")),IF(VLOOKUP(B506,bond!B:AN,39,FALSE)="Y","(PI)專投",IF(AD506&gt;=15,"(NPI)非專投",IF(AD506&gt;=10,"(PI)專投","高資產")))))</f>
        <v>#N/A</v>
      </c>
      <c r="W506" s="136" t="e">
        <f ca="1">VLOOKUP(AD506,'credit rating'!$F$2:$H$22,3,FALSE)</f>
        <v>#N/A</v>
      </c>
      <c r="X506" s="136" t="e">
        <f t="shared" ca="1" si="50"/>
        <v>#N/A</v>
      </c>
      <c r="Y506" s="136" t="e">
        <f t="shared" ca="1" si="51"/>
        <v>#N/A</v>
      </c>
      <c r="Z506" s="136" t="e">
        <f t="shared" ca="1" si="52"/>
        <v>#N/A</v>
      </c>
      <c r="AA506" s="134">
        <f ca="1">IFERROR(VLOOKUP(X506,'credit rating'!A:C,3,FALSE),0)</f>
        <v>0</v>
      </c>
      <c r="AB506" s="134">
        <f ca="1">IFERROR(VLOOKUP(Y506,'credit rating'!B:C,2,FALSE),0)</f>
        <v>0</v>
      </c>
      <c r="AC506" s="136">
        <f ca="1">IFERROR(VLOOKUP(Z506,'credit rating'!B:C,2,FALSE),0)</f>
        <v>0</v>
      </c>
      <c r="AD506" s="136">
        <f t="shared" ca="1" si="53"/>
        <v>0</v>
      </c>
      <c r="AE506" s="249" t="str">
        <f ca="1">IFERROR(VLOOKUP(B506,bond!B:U,20,FALSE),"")</f>
        <v/>
      </c>
      <c r="AF506" s="136" t="e">
        <f ca="1">IF(VLOOKUP(B506,bond!B:AK,36,FALSE)="#N/A Field Not Applicable","",VLOOKUP(B506,bond!B:AK,36,FALSE))</f>
        <v>#N/A</v>
      </c>
      <c r="AG506" s="136" t="e">
        <f ca="1">IF(VLOOKUP(B506,bond!B:AL,37,FALSE)="FIXED","固定",IF(VLOOKUP(B506,bond!B:AL,37,FALSE)="FLOATING","浮動",IF(VLOOKUP(B506,bond!B:AL,37,FALSE)="VARIABLE","變動",IF(VLOOKUP(B506,bond!B:AL,37,FALSE)="FLAT TRADING","不含息交易",IF(VLOOKUP(B506,bond!B:AL,37,FALSE)="ZERO COUPON","零息",VLOOKUP(B506,bond!B:AL,37,FALSE))))))</f>
        <v>#N/A</v>
      </c>
      <c r="AH506" s="136" t="e">
        <f>VLOOKUP(C506,'2_Check_code'!I:J,2,FALSE)</f>
        <v>#N/A</v>
      </c>
      <c r="AI506" s="136" t="e">
        <f t="shared" ca="1" si="54"/>
        <v>#N/A</v>
      </c>
      <c r="AJ506" s="136" t="e">
        <f t="shared" ca="1" si="55"/>
        <v>#N/A</v>
      </c>
      <c r="AK506" s="594" t="e">
        <f ca="1">IF(VLOOKUP(B506,bond!B:S,18,FALSE)="是","有",IF(VLOOKUP(B506,bond!B:S,18,FALSE)="NO OFFER","無","需查詢"))</f>
        <v>#N/A</v>
      </c>
      <c r="AL506" s="136" t="e">
        <f>IF(VLOOKUP(A506,bond!F:AR,39,FALSE)="#N/A Field Not Applicable",VLOOKUP(A506,bond!F:AR,38,FALSE),IFERROR(VLOOKUP(A506,'7_發行日例外'!A:B,2,FALSE),VLOOKUP(A506,bond!F:AR,39,FALSE)))</f>
        <v>#N/A</v>
      </c>
      <c r="AM506" s="136" t="e">
        <f ca="1">VLOOKUP(B506,bond!B:AK,36,FALSE)</f>
        <v>#N/A</v>
      </c>
      <c r="AN506" s="136" t="str">
        <f ca="1">IFERROR(VLOOKUP(B506,'3_是否下架'!A:A,1,FALSE),"")</f>
        <v/>
      </c>
      <c r="AO506" s="136" t="e">
        <f ca="1">VLOOKUP(B506,bond!B:J,9,FALSE)</f>
        <v>#N/A</v>
      </c>
      <c r="AP506" s="136" t="e">
        <f ca="1">VLOOKUP(B506,bond!B:V,21,FALSE)</f>
        <v>#N/A</v>
      </c>
    </row>
    <row r="507" spans="1:42">
      <c r="A507" s="141">
        <f>bond!F508</f>
        <v>0</v>
      </c>
      <c r="B507" s="151">
        <f ca="1">IF($C$1=TRUE,bond!B508,"")</f>
        <v>0</v>
      </c>
      <c r="C507" s="95" t="e">
        <f>VLOOKUP(A507,bond!F:G,2,FALSE)</f>
        <v>#N/A</v>
      </c>
      <c r="D507" s="142" t="e">
        <f ca="1">VLOOKUP(B507,bond!B:C,2,FALSE)</f>
        <v>#N/A</v>
      </c>
      <c r="E507" s="95" t="e">
        <f ca="1">VLOOKUP(B507,bond!B:D,3,FALSE)</f>
        <v>#N/A</v>
      </c>
      <c r="F507" s="99" t="e">
        <f ca="1">VLOOKUP(B507,bond!B:AB,27,FALSE)</f>
        <v>#N/A</v>
      </c>
      <c r="G507" s="90" t="e">
        <f ca="1">VLOOKUP(B507,bond!B:E,4,FALSE)</f>
        <v>#N/A</v>
      </c>
      <c r="H507" s="202" t="e">
        <f ca="1">VLOOKUP(B507,bond!B:Y,24,FALSE)</f>
        <v>#N/A</v>
      </c>
      <c r="I507" s="95" t="e">
        <f ca="1">VLOOKUP(B507,bond!B:Z,25,FALSE)</f>
        <v>#N/A</v>
      </c>
      <c r="J507" s="180" t="e">
        <f ca="1">VLOOKUP(B507,bond!B:K,10,FALSE)</f>
        <v>#N/A</v>
      </c>
      <c r="K507" s="96" t="e">
        <f ca="1">VLOOKUP($B507,bond!B:S,14,FALSE)</f>
        <v>#N/A</v>
      </c>
      <c r="L507" s="91" t="e">
        <f ca="1">VLOOKUP(B507,bond!B:H,7,FALSE)</f>
        <v>#N/A</v>
      </c>
      <c r="M507" s="144" t="e">
        <f ca="1">VLOOKUP($B507,bond!$B:$Q,16,FALSE)</f>
        <v>#N/A</v>
      </c>
      <c r="N507" s="136" t="e">
        <f ca="1">VALUE(LEFT(VLOOKUP(B507,bond!B:R,17,FALSE),SEARCH(" ",VLOOKUP(B507,bond!B:R,17,FALSE),1)))</f>
        <v>#N/A</v>
      </c>
      <c r="O507" s="136" t="e">
        <f ca="1">VALUE(RIGHT(VLOOKUP(B507,bond!B:R,17,FALSE),LEN(VLOOKUP(B507,bond!B:R,17,FALSE))-LEN(N507)-3))</f>
        <v>#N/A</v>
      </c>
      <c r="P507" s="135" t="e">
        <f ca="1">VLOOKUP($B507,bond!$B:$AG,32,FALSE)</f>
        <v>#N/A</v>
      </c>
      <c r="Q507" s="135" t="e">
        <f ca="1">VLOOKUP($B507,bond!$B:$AH,33,FALSE)</f>
        <v>#N/A</v>
      </c>
      <c r="R507" s="135" t="e">
        <f ca="1">VLOOKUP(B507,bond!B:AA,26,FALSE)</f>
        <v>#N/A</v>
      </c>
      <c r="S507" s="135" t="e">
        <f ca="1">VLOOKUP(B507,bond!B:AI,34,FALSE)</f>
        <v>#N/A</v>
      </c>
      <c r="T507" s="135" t="e">
        <f t="shared" ca="1" si="49"/>
        <v>#N/A</v>
      </c>
      <c r="U507" s="207" t="e">
        <f ca="1">IFERROR(VLOOKUP(T507,Bond_DES!D:E,2,FALSE),VLOOKUP(S507,bond!AI:AJ,2,FALSE))</f>
        <v>#N/A</v>
      </c>
      <c r="V507" s="136" t="e">
        <f ca="1">IFERROR(VLOOKUP(B507,'1_重設數據'!L:M,2,FALSE),IF(Q507="政府",IF(AD507&gt;16,"(NPI)非專投",IF(AD507&gt;10,"(PI)專投","高資產")),IF(VLOOKUP(B507,bond!B:AN,39,FALSE)="Y","(PI)專投",IF(AD507&gt;=15,"(NPI)非專投",IF(AD507&gt;=10,"(PI)專投","高資產")))))</f>
        <v>#N/A</v>
      </c>
      <c r="W507" s="136" t="e">
        <f ca="1">VLOOKUP(AD507,'credit rating'!$F$2:$H$22,3,FALSE)</f>
        <v>#N/A</v>
      </c>
      <c r="X507" s="136" t="e">
        <f t="shared" ca="1" si="50"/>
        <v>#N/A</v>
      </c>
      <c r="Y507" s="136" t="e">
        <f t="shared" ca="1" si="51"/>
        <v>#N/A</v>
      </c>
      <c r="Z507" s="136" t="e">
        <f t="shared" ca="1" si="52"/>
        <v>#N/A</v>
      </c>
      <c r="AA507" s="134">
        <f ca="1">IFERROR(VLOOKUP(X507,'credit rating'!A:C,3,FALSE),0)</f>
        <v>0</v>
      </c>
      <c r="AB507" s="134">
        <f ca="1">IFERROR(VLOOKUP(Y507,'credit rating'!B:C,2,FALSE),0)</f>
        <v>0</v>
      </c>
      <c r="AC507" s="136">
        <f ca="1">IFERROR(VLOOKUP(Z507,'credit rating'!B:C,2,FALSE),0)</f>
        <v>0</v>
      </c>
      <c r="AD507" s="136">
        <f t="shared" ca="1" si="53"/>
        <v>0</v>
      </c>
      <c r="AE507" s="249" t="str">
        <f ca="1">IFERROR(VLOOKUP(B507,bond!B:U,20,FALSE),"")</f>
        <v/>
      </c>
      <c r="AF507" s="136" t="e">
        <f ca="1">IF(VLOOKUP(B507,bond!B:AK,36,FALSE)="#N/A Field Not Applicable","",VLOOKUP(B507,bond!B:AK,36,FALSE))</f>
        <v>#N/A</v>
      </c>
      <c r="AG507" s="136" t="e">
        <f ca="1">IF(VLOOKUP(B507,bond!B:AL,37,FALSE)="FIXED","固定",IF(VLOOKUP(B507,bond!B:AL,37,FALSE)="FLOATING","浮動",IF(VLOOKUP(B507,bond!B:AL,37,FALSE)="VARIABLE","變動",IF(VLOOKUP(B507,bond!B:AL,37,FALSE)="FLAT TRADING","不含息交易",IF(VLOOKUP(B507,bond!B:AL,37,FALSE)="ZERO COUPON","零息",VLOOKUP(B507,bond!B:AL,37,FALSE))))))</f>
        <v>#N/A</v>
      </c>
      <c r="AH507" s="136" t="e">
        <f>VLOOKUP(C507,'2_Check_code'!I:J,2,FALSE)</f>
        <v>#N/A</v>
      </c>
      <c r="AI507" s="136" t="e">
        <f t="shared" ca="1" si="54"/>
        <v>#N/A</v>
      </c>
      <c r="AJ507" s="136" t="e">
        <f t="shared" ca="1" si="55"/>
        <v>#N/A</v>
      </c>
      <c r="AK507" s="594" t="e">
        <f ca="1">IF(VLOOKUP(B507,bond!B:S,18,FALSE)="是","有",IF(VLOOKUP(B507,bond!B:S,18,FALSE)="NO OFFER","無","需查詢"))</f>
        <v>#N/A</v>
      </c>
      <c r="AL507" s="136" t="e">
        <f>IF(VLOOKUP(A507,bond!F:AR,39,FALSE)="#N/A Field Not Applicable",VLOOKUP(A507,bond!F:AR,38,FALSE),IFERROR(VLOOKUP(A507,'7_發行日例外'!A:B,2,FALSE),VLOOKUP(A507,bond!F:AR,39,FALSE)))</f>
        <v>#N/A</v>
      </c>
      <c r="AM507" s="136" t="e">
        <f ca="1">VLOOKUP(B507,bond!B:AK,36,FALSE)</f>
        <v>#N/A</v>
      </c>
      <c r="AN507" s="136" t="str">
        <f ca="1">IFERROR(VLOOKUP(B507,'3_是否下架'!A:A,1,FALSE),"")</f>
        <v/>
      </c>
      <c r="AO507" s="136" t="e">
        <f ca="1">VLOOKUP(B507,bond!B:J,9,FALSE)</f>
        <v>#N/A</v>
      </c>
      <c r="AP507" s="136" t="e">
        <f ca="1">VLOOKUP(B507,bond!B:V,21,FALSE)</f>
        <v>#N/A</v>
      </c>
    </row>
    <row r="508" spans="1:42">
      <c r="A508" s="141">
        <f>bond!F509</f>
        <v>0</v>
      </c>
      <c r="B508" s="151">
        <f ca="1">IF($C$1=TRUE,bond!B509,"")</f>
        <v>0</v>
      </c>
      <c r="C508" s="95" t="e">
        <f>VLOOKUP(A508,bond!F:G,2,FALSE)</f>
        <v>#N/A</v>
      </c>
      <c r="D508" s="142" t="e">
        <f ca="1">VLOOKUP(B508,bond!B:C,2,FALSE)</f>
        <v>#N/A</v>
      </c>
      <c r="E508" s="95" t="e">
        <f ca="1">VLOOKUP(B508,bond!B:D,3,FALSE)</f>
        <v>#N/A</v>
      </c>
      <c r="F508" s="99" t="e">
        <f ca="1">VLOOKUP(B508,bond!B:AB,27,FALSE)</f>
        <v>#N/A</v>
      </c>
      <c r="G508" s="90" t="e">
        <f ca="1">VLOOKUP(B508,bond!B:E,4,FALSE)</f>
        <v>#N/A</v>
      </c>
      <c r="H508" s="202" t="e">
        <f ca="1">VLOOKUP(B508,bond!B:Y,24,FALSE)</f>
        <v>#N/A</v>
      </c>
      <c r="I508" s="95" t="e">
        <f ca="1">VLOOKUP(B508,bond!B:Z,25,FALSE)</f>
        <v>#N/A</v>
      </c>
      <c r="J508" s="180" t="e">
        <f ca="1">VLOOKUP(B508,bond!B:K,10,FALSE)</f>
        <v>#N/A</v>
      </c>
      <c r="K508" s="96" t="e">
        <f ca="1">VLOOKUP($B508,bond!B:S,14,FALSE)</f>
        <v>#N/A</v>
      </c>
      <c r="L508" s="91" t="e">
        <f ca="1">VLOOKUP(B508,bond!B:H,7,FALSE)</f>
        <v>#N/A</v>
      </c>
      <c r="M508" s="144" t="e">
        <f ca="1">VLOOKUP($B508,bond!$B:$Q,16,FALSE)</f>
        <v>#N/A</v>
      </c>
      <c r="N508" s="136" t="e">
        <f ca="1">VALUE(LEFT(VLOOKUP(B508,bond!B:R,17,FALSE),SEARCH(" ",VLOOKUP(B508,bond!B:R,17,FALSE),1)))</f>
        <v>#N/A</v>
      </c>
      <c r="O508" s="136" t="e">
        <f ca="1">VALUE(RIGHT(VLOOKUP(B508,bond!B:R,17,FALSE),LEN(VLOOKUP(B508,bond!B:R,17,FALSE))-LEN(N508)-3))</f>
        <v>#N/A</v>
      </c>
      <c r="P508" s="135" t="e">
        <f ca="1">VLOOKUP($B508,bond!$B:$AG,32,FALSE)</f>
        <v>#N/A</v>
      </c>
      <c r="Q508" s="135" t="e">
        <f ca="1">VLOOKUP($B508,bond!$B:$AH,33,FALSE)</f>
        <v>#N/A</v>
      </c>
      <c r="R508" s="135" t="e">
        <f ca="1">VLOOKUP(B508,bond!B:AA,26,FALSE)</f>
        <v>#N/A</v>
      </c>
      <c r="S508" s="135" t="e">
        <f ca="1">VLOOKUP(B508,bond!B:AI,34,FALSE)</f>
        <v>#N/A</v>
      </c>
      <c r="T508" s="135" t="e">
        <f t="shared" ca="1" si="49"/>
        <v>#N/A</v>
      </c>
      <c r="U508" s="207" t="e">
        <f ca="1">IFERROR(VLOOKUP(T508,Bond_DES!D:E,2,FALSE),VLOOKUP(S508,bond!AI:AJ,2,FALSE))</f>
        <v>#N/A</v>
      </c>
      <c r="V508" s="136" t="e">
        <f ca="1">IFERROR(VLOOKUP(B508,'1_重設數據'!L:M,2,FALSE),IF(Q508="政府",IF(AD508&gt;16,"(NPI)非專投",IF(AD508&gt;10,"(PI)專投","高資產")),IF(VLOOKUP(B508,bond!B:AN,39,FALSE)="Y","(PI)專投",IF(AD508&gt;=15,"(NPI)非專投",IF(AD508&gt;=10,"(PI)專投","高資產")))))</f>
        <v>#N/A</v>
      </c>
      <c r="W508" s="136" t="e">
        <f ca="1">VLOOKUP(AD508,'credit rating'!$F$2:$H$22,3,FALSE)</f>
        <v>#N/A</v>
      </c>
      <c r="X508" s="136" t="e">
        <f t="shared" ca="1" si="50"/>
        <v>#N/A</v>
      </c>
      <c r="Y508" s="136" t="e">
        <f t="shared" ca="1" si="51"/>
        <v>#N/A</v>
      </c>
      <c r="Z508" s="136" t="e">
        <f t="shared" ca="1" si="52"/>
        <v>#N/A</v>
      </c>
      <c r="AA508" s="134">
        <f ca="1">IFERROR(VLOOKUP(X508,'credit rating'!A:C,3,FALSE),0)</f>
        <v>0</v>
      </c>
      <c r="AB508" s="134">
        <f ca="1">IFERROR(VLOOKUP(Y508,'credit rating'!B:C,2,FALSE),0)</f>
        <v>0</v>
      </c>
      <c r="AC508" s="136">
        <f ca="1">IFERROR(VLOOKUP(Z508,'credit rating'!B:C,2,FALSE),0)</f>
        <v>0</v>
      </c>
      <c r="AD508" s="136">
        <f t="shared" ca="1" si="53"/>
        <v>0</v>
      </c>
      <c r="AE508" s="249" t="str">
        <f ca="1">IFERROR(VLOOKUP(B508,bond!B:U,20,FALSE),"")</f>
        <v/>
      </c>
      <c r="AF508" s="136" t="e">
        <f ca="1">IF(VLOOKUP(B508,bond!B:AK,36,FALSE)="#N/A Field Not Applicable","",VLOOKUP(B508,bond!B:AK,36,FALSE))</f>
        <v>#N/A</v>
      </c>
      <c r="AG508" s="136" t="e">
        <f ca="1">IF(VLOOKUP(B508,bond!B:AL,37,FALSE)="FIXED","固定",IF(VLOOKUP(B508,bond!B:AL,37,FALSE)="FLOATING","浮動",IF(VLOOKUP(B508,bond!B:AL,37,FALSE)="VARIABLE","變動",IF(VLOOKUP(B508,bond!B:AL,37,FALSE)="FLAT TRADING","不含息交易",IF(VLOOKUP(B508,bond!B:AL,37,FALSE)="ZERO COUPON","零息",VLOOKUP(B508,bond!B:AL,37,FALSE))))))</f>
        <v>#N/A</v>
      </c>
      <c r="AH508" s="136" t="e">
        <f>VLOOKUP(C508,'2_Check_code'!I:J,2,FALSE)</f>
        <v>#N/A</v>
      </c>
      <c r="AI508" s="136" t="e">
        <f t="shared" ca="1" si="54"/>
        <v>#N/A</v>
      </c>
      <c r="AJ508" s="136" t="e">
        <f t="shared" ca="1" si="55"/>
        <v>#N/A</v>
      </c>
      <c r="AK508" s="594" t="e">
        <f ca="1">IF(VLOOKUP(B508,bond!B:S,18,FALSE)="是","有",IF(VLOOKUP(B508,bond!B:S,18,FALSE)="NO OFFER","無","需查詢"))</f>
        <v>#N/A</v>
      </c>
      <c r="AL508" s="136" t="e">
        <f>IF(VLOOKUP(A508,bond!F:AR,39,FALSE)="#N/A Field Not Applicable",VLOOKUP(A508,bond!F:AR,38,FALSE),IFERROR(VLOOKUP(A508,'7_發行日例外'!A:B,2,FALSE),VLOOKUP(A508,bond!F:AR,39,FALSE)))</f>
        <v>#N/A</v>
      </c>
      <c r="AM508" s="136" t="e">
        <f ca="1">VLOOKUP(B508,bond!B:AK,36,FALSE)</f>
        <v>#N/A</v>
      </c>
      <c r="AN508" s="136" t="str">
        <f ca="1">IFERROR(VLOOKUP(B508,'3_是否下架'!A:A,1,FALSE),"")</f>
        <v/>
      </c>
      <c r="AO508" s="136" t="e">
        <f ca="1">VLOOKUP(B508,bond!B:J,9,FALSE)</f>
        <v>#N/A</v>
      </c>
      <c r="AP508" s="136" t="e">
        <f ca="1">VLOOKUP(B508,bond!B:V,21,FALSE)</f>
        <v>#N/A</v>
      </c>
    </row>
    <row r="509" spans="1:42">
      <c r="A509" s="141">
        <f>bond!F510</f>
        <v>0</v>
      </c>
      <c r="B509" s="151">
        <f ca="1">IF($C$1=TRUE,bond!B510,"")</f>
        <v>0</v>
      </c>
      <c r="C509" s="95" t="e">
        <f>VLOOKUP(A509,bond!F:G,2,FALSE)</f>
        <v>#N/A</v>
      </c>
      <c r="D509" s="142" t="e">
        <f ca="1">VLOOKUP(B509,bond!B:C,2,FALSE)</f>
        <v>#N/A</v>
      </c>
      <c r="E509" s="95" t="e">
        <f ca="1">VLOOKUP(B509,bond!B:D,3,FALSE)</f>
        <v>#N/A</v>
      </c>
      <c r="F509" s="99" t="e">
        <f ca="1">VLOOKUP(B509,bond!B:AB,27,FALSE)</f>
        <v>#N/A</v>
      </c>
      <c r="G509" s="90" t="e">
        <f ca="1">VLOOKUP(B509,bond!B:E,4,FALSE)</f>
        <v>#N/A</v>
      </c>
      <c r="H509" s="202" t="e">
        <f ca="1">VLOOKUP(B509,bond!B:Y,24,FALSE)</f>
        <v>#N/A</v>
      </c>
      <c r="I509" s="95" t="e">
        <f ca="1">VLOOKUP(B509,bond!B:Z,25,FALSE)</f>
        <v>#N/A</v>
      </c>
      <c r="J509" s="180" t="e">
        <f ca="1">VLOOKUP(B509,bond!B:K,10,FALSE)</f>
        <v>#N/A</v>
      </c>
      <c r="K509" s="96" t="e">
        <f ca="1">VLOOKUP($B509,bond!B:S,14,FALSE)</f>
        <v>#N/A</v>
      </c>
      <c r="L509" s="91" t="e">
        <f ca="1">VLOOKUP(B509,bond!B:H,7,FALSE)</f>
        <v>#N/A</v>
      </c>
      <c r="M509" s="144" t="e">
        <f ca="1">VLOOKUP($B509,bond!$B:$Q,16,FALSE)</f>
        <v>#N/A</v>
      </c>
      <c r="N509" s="136" t="e">
        <f ca="1">VALUE(LEFT(VLOOKUP(B509,bond!B:R,17,FALSE),SEARCH(" ",VLOOKUP(B509,bond!B:R,17,FALSE),1)))</f>
        <v>#N/A</v>
      </c>
      <c r="O509" s="136" t="e">
        <f ca="1">VALUE(RIGHT(VLOOKUP(B509,bond!B:R,17,FALSE),LEN(VLOOKUP(B509,bond!B:R,17,FALSE))-LEN(N509)-3))</f>
        <v>#N/A</v>
      </c>
      <c r="P509" s="135" t="e">
        <f ca="1">VLOOKUP($B509,bond!$B:$AG,32,FALSE)</f>
        <v>#N/A</v>
      </c>
      <c r="Q509" s="135" t="e">
        <f ca="1">VLOOKUP($B509,bond!$B:$AH,33,FALSE)</f>
        <v>#N/A</v>
      </c>
      <c r="R509" s="135" t="e">
        <f ca="1">VLOOKUP(B509,bond!B:AA,26,FALSE)</f>
        <v>#N/A</v>
      </c>
      <c r="S509" s="135" t="e">
        <f ca="1">VLOOKUP(B509,bond!B:AI,34,FALSE)</f>
        <v>#N/A</v>
      </c>
      <c r="T509" s="135" t="e">
        <f t="shared" ca="1" si="49"/>
        <v>#N/A</v>
      </c>
      <c r="U509" s="207" t="e">
        <f ca="1">IFERROR(VLOOKUP(T509,Bond_DES!D:E,2,FALSE),VLOOKUP(S509,bond!AI:AJ,2,FALSE))</f>
        <v>#N/A</v>
      </c>
      <c r="V509" s="136" t="e">
        <f ca="1">IFERROR(VLOOKUP(B509,'1_重設數據'!L:M,2,FALSE),IF(Q509="政府",IF(AD509&gt;16,"(NPI)非專投",IF(AD509&gt;10,"(PI)專投","高資產")),IF(VLOOKUP(B509,bond!B:AN,39,FALSE)="Y","(PI)專投",IF(AD509&gt;=15,"(NPI)非專投",IF(AD509&gt;=10,"(PI)專投","高資產")))))</f>
        <v>#N/A</v>
      </c>
      <c r="W509" s="136" t="e">
        <f ca="1">VLOOKUP(AD509,'credit rating'!$F$2:$H$22,3,FALSE)</f>
        <v>#N/A</v>
      </c>
      <c r="X509" s="136" t="e">
        <f t="shared" ca="1" si="50"/>
        <v>#N/A</v>
      </c>
      <c r="Y509" s="136" t="e">
        <f t="shared" ca="1" si="51"/>
        <v>#N/A</v>
      </c>
      <c r="Z509" s="136" t="e">
        <f t="shared" ca="1" si="52"/>
        <v>#N/A</v>
      </c>
      <c r="AA509" s="134">
        <f ca="1">IFERROR(VLOOKUP(X509,'credit rating'!A:C,3,FALSE),0)</f>
        <v>0</v>
      </c>
      <c r="AB509" s="134">
        <f ca="1">IFERROR(VLOOKUP(Y509,'credit rating'!B:C,2,FALSE),0)</f>
        <v>0</v>
      </c>
      <c r="AC509" s="136">
        <f ca="1">IFERROR(VLOOKUP(Z509,'credit rating'!B:C,2,FALSE),0)</f>
        <v>0</v>
      </c>
      <c r="AD509" s="136">
        <f t="shared" ca="1" si="53"/>
        <v>0</v>
      </c>
      <c r="AE509" s="249" t="str">
        <f ca="1">IFERROR(VLOOKUP(B509,bond!B:U,20,FALSE),"")</f>
        <v/>
      </c>
      <c r="AF509" s="136" t="e">
        <f ca="1">IF(VLOOKUP(B509,bond!B:AK,36,FALSE)="#N/A Field Not Applicable","",VLOOKUP(B509,bond!B:AK,36,FALSE))</f>
        <v>#N/A</v>
      </c>
      <c r="AG509" s="136" t="e">
        <f ca="1">IF(VLOOKUP(B509,bond!B:AL,37,FALSE)="FIXED","固定",IF(VLOOKUP(B509,bond!B:AL,37,FALSE)="FLOATING","浮動",IF(VLOOKUP(B509,bond!B:AL,37,FALSE)="VARIABLE","變動",IF(VLOOKUP(B509,bond!B:AL,37,FALSE)="FLAT TRADING","不含息交易",IF(VLOOKUP(B509,bond!B:AL,37,FALSE)="ZERO COUPON","零息",VLOOKUP(B509,bond!B:AL,37,FALSE))))))</f>
        <v>#N/A</v>
      </c>
      <c r="AH509" s="136" t="e">
        <f>VLOOKUP(C509,'2_Check_code'!I:J,2,FALSE)</f>
        <v>#N/A</v>
      </c>
      <c r="AI509" s="136" t="e">
        <f t="shared" ca="1" si="54"/>
        <v>#N/A</v>
      </c>
      <c r="AJ509" s="136" t="e">
        <f t="shared" ca="1" si="55"/>
        <v>#N/A</v>
      </c>
      <c r="AK509" s="594" t="e">
        <f ca="1">IF(VLOOKUP(B509,bond!B:S,18,FALSE)="是","有",IF(VLOOKUP(B509,bond!B:S,18,FALSE)="NO OFFER","無","需查詢"))</f>
        <v>#N/A</v>
      </c>
      <c r="AL509" s="136" t="e">
        <f>IF(VLOOKUP(A509,bond!F:AR,39,FALSE)="#N/A Field Not Applicable",VLOOKUP(A509,bond!F:AR,38,FALSE),IFERROR(VLOOKUP(A509,'7_發行日例外'!A:B,2,FALSE),VLOOKUP(A509,bond!F:AR,39,FALSE)))</f>
        <v>#N/A</v>
      </c>
      <c r="AM509" s="136" t="e">
        <f ca="1">VLOOKUP(B509,bond!B:AK,36,FALSE)</f>
        <v>#N/A</v>
      </c>
      <c r="AN509" s="136" t="str">
        <f ca="1">IFERROR(VLOOKUP(B509,'3_是否下架'!A:A,1,FALSE),"")</f>
        <v/>
      </c>
      <c r="AO509" s="136" t="e">
        <f ca="1">VLOOKUP(B509,bond!B:J,9,FALSE)</f>
        <v>#N/A</v>
      </c>
      <c r="AP509" s="136" t="e">
        <f ca="1">VLOOKUP(B509,bond!B:V,21,FALSE)</f>
        <v>#N/A</v>
      </c>
    </row>
    <row r="510" spans="1:42">
      <c r="A510" s="141">
        <f>bond!F511</f>
        <v>0</v>
      </c>
      <c r="B510" s="151">
        <f ca="1">IF($C$1=TRUE,bond!B511,"")</f>
        <v>0</v>
      </c>
      <c r="C510" s="95" t="e">
        <f>VLOOKUP(A510,bond!F:G,2,FALSE)</f>
        <v>#N/A</v>
      </c>
      <c r="D510" s="142" t="e">
        <f ca="1">VLOOKUP(B510,bond!B:C,2,FALSE)</f>
        <v>#N/A</v>
      </c>
      <c r="E510" s="95" t="e">
        <f ca="1">VLOOKUP(B510,bond!B:D,3,FALSE)</f>
        <v>#N/A</v>
      </c>
      <c r="F510" s="99" t="e">
        <f ca="1">VLOOKUP(B510,bond!B:AB,27,FALSE)</f>
        <v>#N/A</v>
      </c>
      <c r="G510" s="90" t="e">
        <f ca="1">VLOOKUP(B510,bond!B:E,4,FALSE)</f>
        <v>#N/A</v>
      </c>
      <c r="H510" s="202" t="e">
        <f ca="1">VLOOKUP(B510,bond!B:Y,24,FALSE)</f>
        <v>#N/A</v>
      </c>
      <c r="I510" s="95" t="e">
        <f ca="1">VLOOKUP(B510,bond!B:Z,25,FALSE)</f>
        <v>#N/A</v>
      </c>
      <c r="J510" s="180" t="e">
        <f ca="1">VLOOKUP(B510,bond!B:K,10,FALSE)</f>
        <v>#N/A</v>
      </c>
      <c r="K510" s="96" t="e">
        <f ca="1">VLOOKUP($B510,bond!B:S,14,FALSE)</f>
        <v>#N/A</v>
      </c>
      <c r="L510" s="91" t="e">
        <f ca="1">VLOOKUP(B510,bond!B:H,7,FALSE)</f>
        <v>#N/A</v>
      </c>
      <c r="M510" s="144" t="e">
        <f ca="1">VLOOKUP($B510,bond!$B:$Q,16,FALSE)</f>
        <v>#N/A</v>
      </c>
      <c r="N510" s="136" t="e">
        <f ca="1">VALUE(LEFT(VLOOKUP(B510,bond!B:R,17,FALSE),SEARCH(" ",VLOOKUP(B510,bond!B:R,17,FALSE),1)))</f>
        <v>#N/A</v>
      </c>
      <c r="O510" s="136" t="e">
        <f ca="1">VALUE(RIGHT(VLOOKUP(B510,bond!B:R,17,FALSE),LEN(VLOOKUP(B510,bond!B:R,17,FALSE))-LEN(N510)-3))</f>
        <v>#N/A</v>
      </c>
      <c r="P510" s="135" t="e">
        <f ca="1">VLOOKUP($B510,bond!$B:$AG,32,FALSE)</f>
        <v>#N/A</v>
      </c>
      <c r="Q510" s="135" t="e">
        <f ca="1">VLOOKUP($B510,bond!$B:$AH,33,FALSE)</f>
        <v>#N/A</v>
      </c>
      <c r="R510" s="135" t="e">
        <f ca="1">VLOOKUP(B510,bond!B:AA,26,FALSE)</f>
        <v>#N/A</v>
      </c>
      <c r="S510" s="135" t="e">
        <f ca="1">VLOOKUP(B510,bond!B:AI,34,FALSE)</f>
        <v>#N/A</v>
      </c>
      <c r="T510" s="135" t="e">
        <f t="shared" ca="1" si="49"/>
        <v>#N/A</v>
      </c>
      <c r="U510" s="207" t="e">
        <f ca="1">IFERROR(VLOOKUP(T510,Bond_DES!D:E,2,FALSE),VLOOKUP(S510,bond!AI:AJ,2,FALSE))</f>
        <v>#N/A</v>
      </c>
      <c r="V510" s="136" t="e">
        <f ca="1">IFERROR(VLOOKUP(B510,'1_重設數據'!L:M,2,FALSE),IF(Q510="政府",IF(AD510&gt;16,"(NPI)非專投",IF(AD510&gt;10,"(PI)專投","高資產")),IF(VLOOKUP(B510,bond!B:AN,39,FALSE)="Y","(PI)專投",IF(AD510&gt;=15,"(NPI)非專投",IF(AD510&gt;=10,"(PI)專投","高資產")))))</f>
        <v>#N/A</v>
      </c>
      <c r="W510" s="136" t="e">
        <f ca="1">VLOOKUP(AD510,'credit rating'!$F$2:$H$22,3,FALSE)</f>
        <v>#N/A</v>
      </c>
      <c r="X510" s="136" t="e">
        <f t="shared" ca="1" si="50"/>
        <v>#N/A</v>
      </c>
      <c r="Y510" s="136" t="e">
        <f t="shared" ca="1" si="51"/>
        <v>#N/A</v>
      </c>
      <c r="Z510" s="136" t="e">
        <f t="shared" ca="1" si="52"/>
        <v>#N/A</v>
      </c>
      <c r="AA510" s="134">
        <f ca="1">IFERROR(VLOOKUP(X510,'credit rating'!A:C,3,FALSE),0)</f>
        <v>0</v>
      </c>
      <c r="AB510" s="134">
        <f ca="1">IFERROR(VLOOKUP(Y510,'credit rating'!B:C,2,FALSE),0)</f>
        <v>0</v>
      </c>
      <c r="AC510" s="136">
        <f ca="1">IFERROR(VLOOKUP(Z510,'credit rating'!B:C,2,FALSE),0)</f>
        <v>0</v>
      </c>
      <c r="AD510" s="136">
        <f t="shared" ca="1" si="53"/>
        <v>0</v>
      </c>
      <c r="AE510" s="249" t="str">
        <f ca="1">IFERROR(VLOOKUP(B510,bond!B:U,20,FALSE),"")</f>
        <v/>
      </c>
      <c r="AF510" s="136" t="e">
        <f ca="1">IF(VLOOKUP(B510,bond!B:AK,36,FALSE)="#N/A Field Not Applicable","",VLOOKUP(B510,bond!B:AK,36,FALSE))</f>
        <v>#N/A</v>
      </c>
      <c r="AG510" s="136" t="e">
        <f ca="1">IF(VLOOKUP(B510,bond!B:AL,37,FALSE)="FIXED","固定",IF(VLOOKUP(B510,bond!B:AL,37,FALSE)="FLOATING","浮動",IF(VLOOKUP(B510,bond!B:AL,37,FALSE)="VARIABLE","變動",IF(VLOOKUP(B510,bond!B:AL,37,FALSE)="FLAT TRADING","不含息交易",IF(VLOOKUP(B510,bond!B:AL,37,FALSE)="ZERO COUPON","零息",VLOOKUP(B510,bond!B:AL,37,FALSE))))))</f>
        <v>#N/A</v>
      </c>
      <c r="AH510" s="136" t="e">
        <f>VLOOKUP(C510,'2_Check_code'!I:J,2,FALSE)</f>
        <v>#N/A</v>
      </c>
      <c r="AI510" s="136" t="e">
        <f t="shared" ca="1" si="54"/>
        <v>#N/A</v>
      </c>
      <c r="AJ510" s="136" t="e">
        <f t="shared" ca="1" si="55"/>
        <v>#N/A</v>
      </c>
      <c r="AK510" s="594" t="e">
        <f ca="1">IF(VLOOKUP(B510,bond!B:S,18,FALSE)="是","有",IF(VLOOKUP(B510,bond!B:S,18,FALSE)="NO OFFER","無","需查詢"))</f>
        <v>#N/A</v>
      </c>
      <c r="AL510" s="136" t="e">
        <f>IF(VLOOKUP(A510,bond!F:AR,39,FALSE)="#N/A Field Not Applicable",VLOOKUP(A510,bond!F:AR,38,FALSE),IFERROR(VLOOKUP(A510,'7_發行日例外'!A:B,2,FALSE),VLOOKUP(A510,bond!F:AR,39,FALSE)))</f>
        <v>#N/A</v>
      </c>
      <c r="AM510" s="136" t="e">
        <f ca="1">VLOOKUP(B510,bond!B:AK,36,FALSE)</f>
        <v>#N/A</v>
      </c>
      <c r="AN510" s="136" t="str">
        <f ca="1">IFERROR(VLOOKUP(B510,'3_是否下架'!A:A,1,FALSE),"")</f>
        <v/>
      </c>
      <c r="AO510" s="136" t="e">
        <f ca="1">VLOOKUP(B510,bond!B:J,9,FALSE)</f>
        <v>#N/A</v>
      </c>
      <c r="AP510" s="136" t="e">
        <f ca="1">VLOOKUP(B510,bond!B:V,21,FALSE)</f>
        <v>#N/A</v>
      </c>
    </row>
    <row r="511" spans="1:42">
      <c r="A511" s="141">
        <f>bond!F512</f>
        <v>0</v>
      </c>
      <c r="B511" s="151">
        <f ca="1">IF($C$1=TRUE,bond!B512,"")</f>
        <v>0</v>
      </c>
      <c r="C511" s="95" t="e">
        <f>VLOOKUP(A511,bond!F:G,2,FALSE)</f>
        <v>#N/A</v>
      </c>
      <c r="D511" s="142" t="e">
        <f ca="1">VLOOKUP(B511,bond!B:C,2,FALSE)</f>
        <v>#N/A</v>
      </c>
      <c r="E511" s="95" t="e">
        <f ca="1">VLOOKUP(B511,bond!B:D,3,FALSE)</f>
        <v>#N/A</v>
      </c>
      <c r="F511" s="99" t="e">
        <f ca="1">VLOOKUP(B511,bond!B:AB,27,FALSE)</f>
        <v>#N/A</v>
      </c>
      <c r="G511" s="90" t="e">
        <f ca="1">VLOOKUP(B511,bond!B:E,4,FALSE)</f>
        <v>#N/A</v>
      </c>
      <c r="H511" s="202" t="e">
        <f ca="1">VLOOKUP(B511,bond!B:Y,24,FALSE)</f>
        <v>#N/A</v>
      </c>
      <c r="I511" s="95" t="e">
        <f ca="1">VLOOKUP(B511,bond!B:Z,25,FALSE)</f>
        <v>#N/A</v>
      </c>
      <c r="J511" s="180" t="e">
        <f ca="1">VLOOKUP(B511,bond!B:K,10,FALSE)</f>
        <v>#N/A</v>
      </c>
      <c r="K511" s="96" t="e">
        <f ca="1">VLOOKUP($B511,bond!B:S,14,FALSE)</f>
        <v>#N/A</v>
      </c>
      <c r="L511" s="91" t="e">
        <f ca="1">VLOOKUP(B511,bond!B:H,7,FALSE)</f>
        <v>#N/A</v>
      </c>
      <c r="M511" s="144" t="e">
        <f ca="1">VLOOKUP($B511,bond!$B:$Q,16,FALSE)</f>
        <v>#N/A</v>
      </c>
      <c r="N511" s="136" t="e">
        <f ca="1">VALUE(LEFT(VLOOKUP(B511,bond!B:R,17,FALSE),SEARCH(" ",VLOOKUP(B511,bond!B:R,17,FALSE),1)))</f>
        <v>#N/A</v>
      </c>
      <c r="O511" s="136" t="e">
        <f ca="1">VALUE(RIGHT(VLOOKUP(B511,bond!B:R,17,FALSE),LEN(VLOOKUP(B511,bond!B:R,17,FALSE))-LEN(N511)-3))</f>
        <v>#N/A</v>
      </c>
      <c r="P511" s="135" t="e">
        <f ca="1">VLOOKUP($B511,bond!$B:$AG,32,FALSE)</f>
        <v>#N/A</v>
      </c>
      <c r="Q511" s="135" t="e">
        <f ca="1">VLOOKUP($B511,bond!$B:$AH,33,FALSE)</f>
        <v>#N/A</v>
      </c>
      <c r="R511" s="135" t="e">
        <f ca="1">VLOOKUP(B511,bond!B:AA,26,FALSE)</f>
        <v>#N/A</v>
      </c>
      <c r="S511" s="135" t="e">
        <f ca="1">VLOOKUP(B511,bond!B:AI,34,FALSE)</f>
        <v>#N/A</v>
      </c>
      <c r="T511" s="135" t="e">
        <f t="shared" ca="1" si="49"/>
        <v>#N/A</v>
      </c>
      <c r="U511" s="207" t="e">
        <f ca="1">IFERROR(VLOOKUP(T511,Bond_DES!D:E,2,FALSE),VLOOKUP(S511,bond!AI:AJ,2,FALSE))</f>
        <v>#N/A</v>
      </c>
      <c r="V511" s="136" t="e">
        <f ca="1">IFERROR(VLOOKUP(B511,'1_重設數據'!L:M,2,FALSE),IF(Q511="政府",IF(AD511&gt;16,"(NPI)非專投",IF(AD511&gt;10,"(PI)專投","高資產")),IF(VLOOKUP(B511,bond!B:AN,39,FALSE)="Y","(PI)專投",IF(AD511&gt;=15,"(NPI)非專投",IF(AD511&gt;=10,"(PI)專投","高資產")))))</f>
        <v>#N/A</v>
      </c>
      <c r="W511" s="136" t="e">
        <f ca="1">VLOOKUP(AD511,'credit rating'!$F$2:$H$22,3,FALSE)</f>
        <v>#N/A</v>
      </c>
      <c r="X511" s="136" t="e">
        <f t="shared" ca="1" si="50"/>
        <v>#N/A</v>
      </c>
      <c r="Y511" s="136" t="e">
        <f t="shared" ca="1" si="51"/>
        <v>#N/A</v>
      </c>
      <c r="Z511" s="136" t="e">
        <f t="shared" ca="1" si="52"/>
        <v>#N/A</v>
      </c>
      <c r="AA511" s="134">
        <f ca="1">IFERROR(VLOOKUP(X511,'credit rating'!A:C,3,FALSE),0)</f>
        <v>0</v>
      </c>
      <c r="AB511" s="134">
        <f ca="1">IFERROR(VLOOKUP(Y511,'credit rating'!B:C,2,FALSE),0)</f>
        <v>0</v>
      </c>
      <c r="AC511" s="136">
        <f ca="1">IFERROR(VLOOKUP(Z511,'credit rating'!B:C,2,FALSE),0)</f>
        <v>0</v>
      </c>
      <c r="AD511" s="136">
        <f t="shared" ca="1" si="53"/>
        <v>0</v>
      </c>
      <c r="AE511" s="249" t="str">
        <f ca="1">IFERROR(VLOOKUP(B511,bond!B:U,20,FALSE),"")</f>
        <v/>
      </c>
      <c r="AF511" s="136" t="e">
        <f ca="1">IF(VLOOKUP(B511,bond!B:AK,36,FALSE)="#N/A Field Not Applicable","",VLOOKUP(B511,bond!B:AK,36,FALSE))</f>
        <v>#N/A</v>
      </c>
      <c r="AG511" s="136" t="e">
        <f ca="1">IF(VLOOKUP(B511,bond!B:AL,37,FALSE)="FIXED","固定",IF(VLOOKUP(B511,bond!B:AL,37,FALSE)="FLOATING","浮動",IF(VLOOKUP(B511,bond!B:AL,37,FALSE)="VARIABLE","變動",IF(VLOOKUP(B511,bond!B:AL,37,FALSE)="FLAT TRADING","不含息交易",IF(VLOOKUP(B511,bond!B:AL,37,FALSE)="ZERO COUPON","零息",VLOOKUP(B511,bond!B:AL,37,FALSE))))))</f>
        <v>#N/A</v>
      </c>
      <c r="AH511" s="136" t="e">
        <f>VLOOKUP(C511,'2_Check_code'!I:J,2,FALSE)</f>
        <v>#N/A</v>
      </c>
      <c r="AI511" s="136" t="e">
        <f t="shared" ca="1" si="54"/>
        <v>#N/A</v>
      </c>
      <c r="AJ511" s="136" t="e">
        <f t="shared" ca="1" si="55"/>
        <v>#N/A</v>
      </c>
      <c r="AK511" s="594" t="e">
        <f ca="1">IF(VLOOKUP(B511,bond!B:S,18,FALSE)="是","有",IF(VLOOKUP(B511,bond!B:S,18,FALSE)="NO OFFER","無","需查詢"))</f>
        <v>#N/A</v>
      </c>
      <c r="AL511" s="136" t="e">
        <f>IF(VLOOKUP(A511,bond!F:AR,39,FALSE)="#N/A Field Not Applicable",VLOOKUP(A511,bond!F:AR,38,FALSE),IFERROR(VLOOKUP(A511,'7_發行日例外'!A:B,2,FALSE),VLOOKUP(A511,bond!F:AR,39,FALSE)))</f>
        <v>#N/A</v>
      </c>
      <c r="AM511" s="136" t="e">
        <f ca="1">VLOOKUP(B511,bond!B:AK,36,FALSE)</f>
        <v>#N/A</v>
      </c>
      <c r="AN511" s="136" t="str">
        <f ca="1">IFERROR(VLOOKUP(B511,'3_是否下架'!A:A,1,FALSE),"")</f>
        <v/>
      </c>
      <c r="AO511" s="136" t="e">
        <f ca="1">VLOOKUP(B511,bond!B:J,9,FALSE)</f>
        <v>#N/A</v>
      </c>
      <c r="AP511" s="136" t="e">
        <f ca="1">VLOOKUP(B511,bond!B:V,21,FALSE)</f>
        <v>#N/A</v>
      </c>
    </row>
    <row r="512" spans="1:42">
      <c r="A512" s="141">
        <f>bond!F513</f>
        <v>0</v>
      </c>
      <c r="B512" s="151">
        <f ca="1">IF($C$1=TRUE,bond!B513,"")</f>
        <v>0</v>
      </c>
      <c r="C512" s="95" t="e">
        <f>VLOOKUP(A512,bond!F:G,2,FALSE)</f>
        <v>#N/A</v>
      </c>
      <c r="D512" s="142" t="e">
        <f ca="1">VLOOKUP(B512,bond!B:C,2,FALSE)</f>
        <v>#N/A</v>
      </c>
      <c r="E512" s="95" t="e">
        <f ca="1">VLOOKUP(B512,bond!B:D,3,FALSE)</f>
        <v>#N/A</v>
      </c>
      <c r="F512" s="99" t="e">
        <f ca="1">VLOOKUP(B512,bond!B:AB,27,FALSE)</f>
        <v>#N/A</v>
      </c>
      <c r="G512" s="90" t="e">
        <f ca="1">VLOOKUP(B512,bond!B:E,4,FALSE)</f>
        <v>#N/A</v>
      </c>
      <c r="H512" s="202" t="e">
        <f ca="1">VLOOKUP(B512,bond!B:Y,24,FALSE)</f>
        <v>#N/A</v>
      </c>
      <c r="I512" s="95" t="e">
        <f ca="1">VLOOKUP(B512,bond!B:Z,25,FALSE)</f>
        <v>#N/A</v>
      </c>
      <c r="J512" s="180" t="e">
        <f ca="1">VLOOKUP(B512,bond!B:K,10,FALSE)</f>
        <v>#N/A</v>
      </c>
      <c r="K512" s="96" t="e">
        <f ca="1">VLOOKUP($B512,bond!B:S,14,FALSE)</f>
        <v>#N/A</v>
      </c>
      <c r="L512" s="91" t="e">
        <f ca="1">VLOOKUP(B512,bond!B:H,7,FALSE)</f>
        <v>#N/A</v>
      </c>
      <c r="M512" s="144" t="e">
        <f ca="1">VLOOKUP($B512,bond!$B:$Q,16,FALSE)</f>
        <v>#N/A</v>
      </c>
      <c r="N512" s="136" t="e">
        <f ca="1">VALUE(LEFT(VLOOKUP(B512,bond!B:R,17,FALSE),SEARCH(" ",VLOOKUP(B512,bond!B:R,17,FALSE),1)))</f>
        <v>#N/A</v>
      </c>
      <c r="O512" s="136" t="e">
        <f ca="1">VALUE(RIGHT(VLOOKUP(B512,bond!B:R,17,FALSE),LEN(VLOOKUP(B512,bond!B:R,17,FALSE))-LEN(N512)-3))</f>
        <v>#N/A</v>
      </c>
      <c r="P512" s="135" t="e">
        <f ca="1">VLOOKUP($B512,bond!$B:$AG,32,FALSE)</f>
        <v>#N/A</v>
      </c>
      <c r="Q512" s="135" t="e">
        <f ca="1">VLOOKUP($B512,bond!$B:$AH,33,FALSE)</f>
        <v>#N/A</v>
      </c>
      <c r="R512" s="135" t="e">
        <f ca="1">VLOOKUP(B512,bond!B:AA,26,FALSE)</f>
        <v>#N/A</v>
      </c>
      <c r="S512" s="135" t="e">
        <f ca="1">VLOOKUP(B512,bond!B:AI,34,FALSE)</f>
        <v>#N/A</v>
      </c>
      <c r="T512" s="135" t="e">
        <f t="shared" ca="1" si="49"/>
        <v>#N/A</v>
      </c>
      <c r="U512" s="207" t="e">
        <f ca="1">IFERROR(VLOOKUP(T512,Bond_DES!D:E,2,FALSE),VLOOKUP(S512,bond!AI:AJ,2,FALSE))</f>
        <v>#N/A</v>
      </c>
      <c r="V512" s="136" t="e">
        <f ca="1">IFERROR(VLOOKUP(B512,'1_重設數據'!L:M,2,FALSE),IF(Q512="政府",IF(AD512&gt;16,"(NPI)非專投",IF(AD512&gt;10,"(PI)專投","高資產")),IF(VLOOKUP(B512,bond!B:AN,39,FALSE)="Y","(PI)專投",IF(AD512&gt;=15,"(NPI)非專投",IF(AD512&gt;=10,"(PI)專投","高資產")))))</f>
        <v>#N/A</v>
      </c>
      <c r="W512" s="136" t="e">
        <f ca="1">VLOOKUP(AD512,'credit rating'!$F$2:$H$22,3,FALSE)</f>
        <v>#N/A</v>
      </c>
      <c r="X512" s="136" t="e">
        <f t="shared" ca="1" si="50"/>
        <v>#N/A</v>
      </c>
      <c r="Y512" s="136" t="e">
        <f t="shared" ca="1" si="51"/>
        <v>#N/A</v>
      </c>
      <c r="Z512" s="136" t="e">
        <f t="shared" ca="1" si="52"/>
        <v>#N/A</v>
      </c>
      <c r="AA512" s="134">
        <f ca="1">IFERROR(VLOOKUP(X512,'credit rating'!A:C,3,FALSE),0)</f>
        <v>0</v>
      </c>
      <c r="AB512" s="134">
        <f ca="1">IFERROR(VLOOKUP(Y512,'credit rating'!B:C,2,FALSE),0)</f>
        <v>0</v>
      </c>
      <c r="AC512" s="136">
        <f ca="1">IFERROR(VLOOKUP(Z512,'credit rating'!B:C,2,FALSE),0)</f>
        <v>0</v>
      </c>
      <c r="AD512" s="136">
        <f t="shared" ca="1" si="53"/>
        <v>0</v>
      </c>
      <c r="AE512" s="249" t="str">
        <f ca="1">IFERROR(VLOOKUP(B512,bond!B:U,20,FALSE),"")</f>
        <v/>
      </c>
      <c r="AF512" s="136" t="e">
        <f ca="1">IF(VLOOKUP(B512,bond!B:AK,36,FALSE)="#N/A Field Not Applicable","",VLOOKUP(B512,bond!B:AK,36,FALSE))</f>
        <v>#N/A</v>
      </c>
      <c r="AG512" s="136" t="e">
        <f ca="1">IF(VLOOKUP(B512,bond!B:AL,37,FALSE)="FIXED","固定",IF(VLOOKUP(B512,bond!B:AL,37,FALSE)="FLOATING","浮動",IF(VLOOKUP(B512,bond!B:AL,37,FALSE)="VARIABLE","變動",IF(VLOOKUP(B512,bond!B:AL,37,FALSE)="FLAT TRADING","不含息交易",IF(VLOOKUP(B512,bond!B:AL,37,FALSE)="ZERO COUPON","零息",VLOOKUP(B512,bond!B:AL,37,FALSE))))))</f>
        <v>#N/A</v>
      </c>
      <c r="AH512" s="136" t="e">
        <f>VLOOKUP(C512,'2_Check_code'!I:J,2,FALSE)</f>
        <v>#N/A</v>
      </c>
      <c r="AI512" s="136" t="e">
        <f t="shared" ca="1" si="54"/>
        <v>#N/A</v>
      </c>
      <c r="AJ512" s="136" t="e">
        <f t="shared" ca="1" si="55"/>
        <v>#N/A</v>
      </c>
      <c r="AK512" s="594" t="e">
        <f ca="1">IF(VLOOKUP(B512,bond!B:S,18,FALSE)="是","有",IF(VLOOKUP(B512,bond!B:S,18,FALSE)="NO OFFER","無","需查詢"))</f>
        <v>#N/A</v>
      </c>
      <c r="AL512" s="136" t="e">
        <f>IF(VLOOKUP(A512,bond!F:AR,39,FALSE)="#N/A Field Not Applicable",VLOOKUP(A512,bond!F:AR,38,FALSE),IFERROR(VLOOKUP(A512,'7_發行日例外'!A:B,2,FALSE),VLOOKUP(A512,bond!F:AR,39,FALSE)))</f>
        <v>#N/A</v>
      </c>
      <c r="AM512" s="136" t="e">
        <f ca="1">VLOOKUP(B512,bond!B:AK,36,FALSE)</f>
        <v>#N/A</v>
      </c>
      <c r="AN512" s="136" t="str">
        <f ca="1">IFERROR(VLOOKUP(B512,'3_是否下架'!A:A,1,FALSE),"")</f>
        <v/>
      </c>
      <c r="AO512" s="136" t="e">
        <f ca="1">VLOOKUP(B512,bond!B:J,9,FALSE)</f>
        <v>#N/A</v>
      </c>
      <c r="AP512" s="136" t="e">
        <f ca="1">VLOOKUP(B512,bond!B:V,21,FALSE)</f>
        <v>#N/A</v>
      </c>
    </row>
    <row r="513" spans="1:42">
      <c r="A513" s="141">
        <f>bond!F514</f>
        <v>0</v>
      </c>
      <c r="B513" s="151">
        <f ca="1">IF($C$1=TRUE,bond!B514,"")</f>
        <v>0</v>
      </c>
      <c r="C513" s="95" t="e">
        <f>VLOOKUP(A513,bond!F:G,2,FALSE)</f>
        <v>#N/A</v>
      </c>
      <c r="D513" s="142" t="e">
        <f ca="1">VLOOKUP(B513,bond!B:C,2,FALSE)</f>
        <v>#N/A</v>
      </c>
      <c r="E513" s="95" t="e">
        <f ca="1">VLOOKUP(B513,bond!B:D,3,FALSE)</f>
        <v>#N/A</v>
      </c>
      <c r="F513" s="99" t="e">
        <f ca="1">VLOOKUP(B513,bond!B:AB,27,FALSE)</f>
        <v>#N/A</v>
      </c>
      <c r="G513" s="90" t="e">
        <f ca="1">VLOOKUP(B513,bond!B:E,4,FALSE)</f>
        <v>#N/A</v>
      </c>
      <c r="H513" s="202" t="e">
        <f ca="1">VLOOKUP(B513,bond!B:Y,24,FALSE)</f>
        <v>#N/A</v>
      </c>
      <c r="I513" s="95" t="e">
        <f ca="1">VLOOKUP(B513,bond!B:Z,25,FALSE)</f>
        <v>#N/A</v>
      </c>
      <c r="J513" s="180" t="e">
        <f ca="1">VLOOKUP(B513,bond!B:K,10,FALSE)</f>
        <v>#N/A</v>
      </c>
      <c r="K513" s="96" t="e">
        <f ca="1">VLOOKUP($B513,bond!B:S,14,FALSE)</f>
        <v>#N/A</v>
      </c>
      <c r="L513" s="91" t="e">
        <f ca="1">VLOOKUP(B513,bond!B:H,7,FALSE)</f>
        <v>#N/A</v>
      </c>
      <c r="M513" s="144" t="e">
        <f ca="1">VLOOKUP($B513,bond!$B:$Q,16,FALSE)</f>
        <v>#N/A</v>
      </c>
      <c r="N513" s="136" t="e">
        <f ca="1">VALUE(LEFT(VLOOKUP(B513,bond!B:R,17,FALSE),SEARCH(" ",VLOOKUP(B513,bond!B:R,17,FALSE),1)))</f>
        <v>#N/A</v>
      </c>
      <c r="O513" s="136" t="e">
        <f ca="1">VALUE(RIGHT(VLOOKUP(B513,bond!B:R,17,FALSE),LEN(VLOOKUP(B513,bond!B:R,17,FALSE))-LEN(N513)-3))</f>
        <v>#N/A</v>
      </c>
      <c r="P513" s="135" t="e">
        <f ca="1">VLOOKUP($B513,bond!$B:$AG,32,FALSE)</f>
        <v>#N/A</v>
      </c>
      <c r="Q513" s="135" t="e">
        <f ca="1">VLOOKUP($B513,bond!$B:$AH,33,FALSE)</f>
        <v>#N/A</v>
      </c>
      <c r="R513" s="135" t="e">
        <f ca="1">VLOOKUP(B513,bond!B:AA,26,FALSE)</f>
        <v>#N/A</v>
      </c>
      <c r="S513" s="135" t="e">
        <f ca="1">VLOOKUP(B513,bond!B:AI,34,FALSE)</f>
        <v>#N/A</v>
      </c>
      <c r="T513" s="135" t="e">
        <f t="shared" ca="1" si="49"/>
        <v>#N/A</v>
      </c>
      <c r="U513" s="207" t="e">
        <f ca="1">IFERROR(VLOOKUP(T513,Bond_DES!D:E,2,FALSE),VLOOKUP(S513,bond!AI:AJ,2,FALSE))</f>
        <v>#N/A</v>
      </c>
      <c r="V513" s="136" t="e">
        <f ca="1">IFERROR(VLOOKUP(B513,'1_重設數據'!L:M,2,FALSE),IF(Q513="政府",IF(AD513&gt;16,"(NPI)非專投",IF(AD513&gt;10,"(PI)專投","高資產")),IF(VLOOKUP(B513,bond!B:AN,39,FALSE)="Y","(PI)專投",IF(AD513&gt;=15,"(NPI)非專投",IF(AD513&gt;=10,"(PI)專投","高資產")))))</f>
        <v>#N/A</v>
      </c>
      <c r="W513" s="136" t="e">
        <f ca="1">VLOOKUP(AD513,'credit rating'!$F$2:$H$22,3,FALSE)</f>
        <v>#N/A</v>
      </c>
      <c r="X513" s="136" t="e">
        <f t="shared" ca="1" si="50"/>
        <v>#N/A</v>
      </c>
      <c r="Y513" s="136" t="e">
        <f t="shared" ca="1" si="51"/>
        <v>#N/A</v>
      </c>
      <c r="Z513" s="136" t="e">
        <f t="shared" ca="1" si="52"/>
        <v>#N/A</v>
      </c>
      <c r="AA513" s="134">
        <f ca="1">IFERROR(VLOOKUP(X513,'credit rating'!A:C,3,FALSE),0)</f>
        <v>0</v>
      </c>
      <c r="AB513" s="134">
        <f ca="1">IFERROR(VLOOKUP(Y513,'credit rating'!B:C,2,FALSE),0)</f>
        <v>0</v>
      </c>
      <c r="AC513" s="136">
        <f ca="1">IFERROR(VLOOKUP(Z513,'credit rating'!B:C,2,FALSE),0)</f>
        <v>0</v>
      </c>
      <c r="AD513" s="136">
        <f t="shared" ca="1" si="53"/>
        <v>0</v>
      </c>
      <c r="AE513" s="249" t="str">
        <f ca="1">IFERROR(VLOOKUP(B513,bond!B:U,20,FALSE),"")</f>
        <v/>
      </c>
      <c r="AF513" s="136" t="e">
        <f ca="1">IF(VLOOKUP(B513,bond!B:AK,36,FALSE)="#N/A Field Not Applicable","",VLOOKUP(B513,bond!B:AK,36,FALSE))</f>
        <v>#N/A</v>
      </c>
      <c r="AG513" s="136" t="e">
        <f ca="1">IF(VLOOKUP(B513,bond!B:AL,37,FALSE)="FIXED","固定",IF(VLOOKUP(B513,bond!B:AL,37,FALSE)="FLOATING","浮動",IF(VLOOKUP(B513,bond!B:AL,37,FALSE)="VARIABLE","變動",IF(VLOOKUP(B513,bond!B:AL,37,FALSE)="FLAT TRADING","不含息交易",IF(VLOOKUP(B513,bond!B:AL,37,FALSE)="ZERO COUPON","零息",VLOOKUP(B513,bond!B:AL,37,FALSE))))))</f>
        <v>#N/A</v>
      </c>
      <c r="AH513" s="136" t="e">
        <f>VLOOKUP(C513,'2_Check_code'!I:J,2,FALSE)</f>
        <v>#N/A</v>
      </c>
      <c r="AI513" s="136" t="e">
        <f t="shared" ca="1" si="54"/>
        <v>#N/A</v>
      </c>
      <c r="AJ513" s="136" t="e">
        <f t="shared" ca="1" si="55"/>
        <v>#N/A</v>
      </c>
      <c r="AK513" s="594" t="e">
        <f ca="1">IF(VLOOKUP(B513,bond!B:S,18,FALSE)="是","有",IF(VLOOKUP(B513,bond!B:S,18,FALSE)="NO OFFER","無","需查詢"))</f>
        <v>#N/A</v>
      </c>
      <c r="AL513" s="136" t="e">
        <f>IF(VLOOKUP(A513,bond!F:AR,39,FALSE)="#N/A Field Not Applicable",VLOOKUP(A513,bond!F:AR,38,FALSE),IFERROR(VLOOKUP(A513,'7_發行日例外'!A:B,2,FALSE),VLOOKUP(A513,bond!F:AR,39,FALSE)))</f>
        <v>#N/A</v>
      </c>
      <c r="AM513" s="136" t="e">
        <f ca="1">VLOOKUP(B513,bond!B:AK,36,FALSE)</f>
        <v>#N/A</v>
      </c>
      <c r="AN513" s="136" t="str">
        <f ca="1">IFERROR(VLOOKUP(B513,'3_是否下架'!A:A,1,FALSE),"")</f>
        <v/>
      </c>
      <c r="AO513" s="136" t="e">
        <f ca="1">VLOOKUP(B513,bond!B:J,9,FALSE)</f>
        <v>#N/A</v>
      </c>
      <c r="AP513" s="136" t="e">
        <f ca="1">VLOOKUP(B513,bond!B:V,21,FALSE)</f>
        <v>#N/A</v>
      </c>
    </row>
    <row r="514" spans="1:42">
      <c r="A514" s="141">
        <f>bond!F515</f>
        <v>0</v>
      </c>
      <c r="B514" s="151">
        <f ca="1">IF($C$1=TRUE,bond!B515,"")</f>
        <v>0</v>
      </c>
      <c r="C514" s="95" t="e">
        <f>VLOOKUP(A514,bond!F:G,2,FALSE)</f>
        <v>#N/A</v>
      </c>
      <c r="D514" s="142" t="e">
        <f ca="1">VLOOKUP(B514,bond!B:C,2,FALSE)</f>
        <v>#N/A</v>
      </c>
      <c r="E514" s="95" t="e">
        <f ca="1">VLOOKUP(B514,bond!B:D,3,FALSE)</f>
        <v>#N/A</v>
      </c>
      <c r="F514" s="99" t="e">
        <f ca="1">VLOOKUP(B514,bond!B:AB,27,FALSE)</f>
        <v>#N/A</v>
      </c>
      <c r="G514" s="90" t="e">
        <f ca="1">VLOOKUP(B514,bond!B:E,4,FALSE)</f>
        <v>#N/A</v>
      </c>
      <c r="H514" s="202" t="e">
        <f ca="1">VLOOKUP(B514,bond!B:Y,24,FALSE)</f>
        <v>#N/A</v>
      </c>
      <c r="I514" s="95" t="e">
        <f ca="1">VLOOKUP(B514,bond!B:Z,25,FALSE)</f>
        <v>#N/A</v>
      </c>
      <c r="J514" s="180" t="e">
        <f ca="1">VLOOKUP(B514,bond!B:K,10,FALSE)</f>
        <v>#N/A</v>
      </c>
      <c r="K514" s="96" t="e">
        <f ca="1">VLOOKUP($B514,bond!B:S,14,FALSE)</f>
        <v>#N/A</v>
      </c>
      <c r="L514" s="91" t="e">
        <f ca="1">VLOOKUP(B514,bond!B:H,7,FALSE)</f>
        <v>#N/A</v>
      </c>
      <c r="M514" s="144" t="e">
        <f ca="1">VLOOKUP($B514,bond!$B:$Q,16,FALSE)</f>
        <v>#N/A</v>
      </c>
      <c r="N514" s="136" t="e">
        <f ca="1">VALUE(LEFT(VLOOKUP(B514,bond!B:R,17,FALSE),SEARCH(" ",VLOOKUP(B514,bond!B:R,17,FALSE),1)))</f>
        <v>#N/A</v>
      </c>
      <c r="O514" s="136" t="e">
        <f ca="1">VALUE(RIGHT(VLOOKUP(B514,bond!B:R,17,FALSE),LEN(VLOOKUP(B514,bond!B:R,17,FALSE))-LEN(N514)-3))</f>
        <v>#N/A</v>
      </c>
      <c r="P514" s="135" t="e">
        <f ca="1">VLOOKUP($B514,bond!$B:$AG,32,FALSE)</f>
        <v>#N/A</v>
      </c>
      <c r="Q514" s="135" t="e">
        <f ca="1">VLOOKUP($B514,bond!$B:$AH,33,FALSE)</f>
        <v>#N/A</v>
      </c>
      <c r="R514" s="135" t="e">
        <f ca="1">VLOOKUP(B514,bond!B:AA,26,FALSE)</f>
        <v>#N/A</v>
      </c>
      <c r="S514" s="135" t="e">
        <f ca="1">VLOOKUP(B514,bond!B:AI,34,FALSE)</f>
        <v>#N/A</v>
      </c>
      <c r="T514" s="135" t="e">
        <f t="shared" ca="1" si="49"/>
        <v>#N/A</v>
      </c>
      <c r="U514" s="207" t="e">
        <f ca="1">IFERROR(VLOOKUP(T514,Bond_DES!D:E,2,FALSE),VLOOKUP(S514,bond!AI:AJ,2,FALSE))</f>
        <v>#N/A</v>
      </c>
      <c r="V514" s="136" t="e">
        <f ca="1">IFERROR(VLOOKUP(B514,'1_重設數據'!L:M,2,FALSE),IF(Q514="政府",IF(AD514&gt;16,"(NPI)非專投",IF(AD514&gt;10,"(PI)專投","高資產")),IF(VLOOKUP(B514,bond!B:AN,39,FALSE)="Y","(PI)專投",IF(AD514&gt;=15,"(NPI)非專投",IF(AD514&gt;=10,"(PI)專投","高資產")))))</f>
        <v>#N/A</v>
      </c>
      <c r="W514" s="136" t="e">
        <f ca="1">VLOOKUP(AD514,'credit rating'!$F$2:$H$22,3,FALSE)</f>
        <v>#N/A</v>
      </c>
      <c r="X514" s="136" t="e">
        <f t="shared" ca="1" si="50"/>
        <v>#N/A</v>
      </c>
      <c r="Y514" s="136" t="e">
        <f t="shared" ca="1" si="51"/>
        <v>#N/A</v>
      </c>
      <c r="Z514" s="136" t="e">
        <f t="shared" ca="1" si="52"/>
        <v>#N/A</v>
      </c>
      <c r="AA514" s="134">
        <f ca="1">IFERROR(VLOOKUP(X514,'credit rating'!A:C,3,FALSE),0)</f>
        <v>0</v>
      </c>
      <c r="AB514" s="134">
        <f ca="1">IFERROR(VLOOKUP(Y514,'credit rating'!B:C,2,FALSE),0)</f>
        <v>0</v>
      </c>
      <c r="AC514" s="136">
        <f ca="1">IFERROR(VLOOKUP(Z514,'credit rating'!B:C,2,FALSE),0)</f>
        <v>0</v>
      </c>
      <c r="AD514" s="136">
        <f t="shared" ca="1" si="53"/>
        <v>0</v>
      </c>
      <c r="AE514" s="249" t="str">
        <f ca="1">IFERROR(VLOOKUP(B514,bond!B:U,20,FALSE),"")</f>
        <v/>
      </c>
      <c r="AF514" s="136" t="e">
        <f ca="1">IF(VLOOKUP(B514,bond!B:AK,36,FALSE)="#N/A Field Not Applicable","",VLOOKUP(B514,bond!B:AK,36,FALSE))</f>
        <v>#N/A</v>
      </c>
      <c r="AG514" s="136" t="e">
        <f ca="1">IF(VLOOKUP(B514,bond!B:AL,37,FALSE)="FIXED","固定",IF(VLOOKUP(B514,bond!B:AL,37,FALSE)="FLOATING","浮動",IF(VLOOKUP(B514,bond!B:AL,37,FALSE)="VARIABLE","變動",IF(VLOOKUP(B514,bond!B:AL,37,FALSE)="FLAT TRADING","不含息交易",IF(VLOOKUP(B514,bond!B:AL,37,FALSE)="ZERO COUPON","零息",VLOOKUP(B514,bond!B:AL,37,FALSE))))))</f>
        <v>#N/A</v>
      </c>
      <c r="AH514" s="136" t="e">
        <f>VLOOKUP(C514,'2_Check_code'!I:J,2,FALSE)</f>
        <v>#N/A</v>
      </c>
      <c r="AI514" s="136" t="e">
        <f t="shared" ca="1" si="54"/>
        <v>#N/A</v>
      </c>
      <c r="AJ514" s="136" t="e">
        <f t="shared" ca="1" si="55"/>
        <v>#N/A</v>
      </c>
      <c r="AK514" s="594" t="e">
        <f ca="1">IF(VLOOKUP(B514,bond!B:S,18,FALSE)="是","有",IF(VLOOKUP(B514,bond!B:S,18,FALSE)="NO OFFER","無","需查詢"))</f>
        <v>#N/A</v>
      </c>
      <c r="AL514" s="136" t="e">
        <f>IF(VLOOKUP(A514,bond!F:AR,39,FALSE)="#N/A Field Not Applicable",VLOOKUP(A514,bond!F:AR,38,FALSE),IFERROR(VLOOKUP(A514,'7_發行日例外'!A:B,2,FALSE),VLOOKUP(A514,bond!F:AR,39,FALSE)))</f>
        <v>#N/A</v>
      </c>
      <c r="AM514" s="136" t="e">
        <f ca="1">VLOOKUP(B514,bond!B:AK,36,FALSE)</f>
        <v>#N/A</v>
      </c>
      <c r="AN514" s="136" t="str">
        <f ca="1">IFERROR(VLOOKUP(B514,'3_是否下架'!A:A,1,FALSE),"")</f>
        <v/>
      </c>
      <c r="AO514" s="136" t="e">
        <f ca="1">VLOOKUP(B514,bond!B:J,9,FALSE)</f>
        <v>#N/A</v>
      </c>
      <c r="AP514" s="136" t="e">
        <f ca="1">VLOOKUP(B514,bond!B:V,21,FALSE)</f>
        <v>#N/A</v>
      </c>
    </row>
    <row r="515" spans="1:42">
      <c r="A515" s="141">
        <f>bond!F516</f>
        <v>0</v>
      </c>
      <c r="B515" s="151">
        <f ca="1">IF($C$1=TRUE,bond!B516,"")</f>
        <v>0</v>
      </c>
      <c r="C515" s="95" t="e">
        <f>VLOOKUP(A515,bond!F:G,2,FALSE)</f>
        <v>#N/A</v>
      </c>
      <c r="D515" s="142" t="e">
        <f ca="1">VLOOKUP(B515,bond!B:C,2,FALSE)</f>
        <v>#N/A</v>
      </c>
      <c r="E515" s="95" t="e">
        <f ca="1">VLOOKUP(B515,bond!B:D,3,FALSE)</f>
        <v>#N/A</v>
      </c>
      <c r="F515" s="99" t="e">
        <f ca="1">VLOOKUP(B515,bond!B:AB,27,FALSE)</f>
        <v>#N/A</v>
      </c>
      <c r="G515" s="90" t="e">
        <f ca="1">VLOOKUP(B515,bond!B:E,4,FALSE)</f>
        <v>#N/A</v>
      </c>
      <c r="H515" s="202" t="e">
        <f ca="1">VLOOKUP(B515,bond!B:Y,24,FALSE)</f>
        <v>#N/A</v>
      </c>
      <c r="I515" s="95" t="e">
        <f ca="1">VLOOKUP(B515,bond!B:Z,25,FALSE)</f>
        <v>#N/A</v>
      </c>
      <c r="J515" s="180" t="e">
        <f ca="1">VLOOKUP(B515,bond!B:K,10,FALSE)</f>
        <v>#N/A</v>
      </c>
      <c r="K515" s="96" t="e">
        <f ca="1">VLOOKUP($B515,bond!B:S,14,FALSE)</f>
        <v>#N/A</v>
      </c>
      <c r="L515" s="91" t="e">
        <f ca="1">VLOOKUP(B515,bond!B:H,7,FALSE)</f>
        <v>#N/A</v>
      </c>
      <c r="M515" s="144" t="e">
        <f ca="1">VLOOKUP($B515,bond!$B:$Q,16,FALSE)</f>
        <v>#N/A</v>
      </c>
      <c r="N515" s="136" t="e">
        <f ca="1">VALUE(LEFT(VLOOKUP(B515,bond!B:R,17,FALSE),SEARCH(" ",VLOOKUP(B515,bond!B:R,17,FALSE),1)))</f>
        <v>#N/A</v>
      </c>
      <c r="O515" s="136" t="e">
        <f ca="1">VALUE(RIGHT(VLOOKUP(B515,bond!B:R,17,FALSE),LEN(VLOOKUP(B515,bond!B:R,17,FALSE))-LEN(N515)-3))</f>
        <v>#N/A</v>
      </c>
      <c r="P515" s="135" t="e">
        <f ca="1">VLOOKUP($B515,bond!$B:$AG,32,FALSE)</f>
        <v>#N/A</v>
      </c>
      <c r="Q515" s="135" t="e">
        <f ca="1">VLOOKUP($B515,bond!$B:$AH,33,FALSE)</f>
        <v>#N/A</v>
      </c>
      <c r="R515" s="135" t="e">
        <f ca="1">VLOOKUP(B515,bond!B:AA,26,FALSE)</f>
        <v>#N/A</v>
      </c>
      <c r="S515" s="135" t="e">
        <f ca="1">VLOOKUP(B515,bond!B:AI,34,FALSE)</f>
        <v>#N/A</v>
      </c>
      <c r="T515" s="135" t="e">
        <f t="shared" ca="1" si="49"/>
        <v>#N/A</v>
      </c>
      <c r="U515" s="207" t="e">
        <f ca="1">IFERROR(VLOOKUP(T515,Bond_DES!D:E,2,FALSE),VLOOKUP(S515,bond!AI:AJ,2,FALSE))</f>
        <v>#N/A</v>
      </c>
      <c r="V515" s="136" t="e">
        <f ca="1">IFERROR(VLOOKUP(B515,'1_重設數據'!L:M,2,FALSE),IF(Q515="政府",IF(AD515&gt;16,"(NPI)非專投",IF(AD515&gt;10,"(PI)專投","高資產")),IF(VLOOKUP(B515,bond!B:AN,39,FALSE)="Y","(PI)專投",IF(AD515&gt;=15,"(NPI)非專投",IF(AD515&gt;=10,"(PI)專投","高資產")))))</f>
        <v>#N/A</v>
      </c>
      <c r="W515" s="136" t="e">
        <f ca="1">VLOOKUP(AD515,'credit rating'!$F$2:$H$22,3,FALSE)</f>
        <v>#N/A</v>
      </c>
      <c r="X515" s="136" t="e">
        <f t="shared" ca="1" si="50"/>
        <v>#N/A</v>
      </c>
      <c r="Y515" s="136" t="e">
        <f t="shared" ca="1" si="51"/>
        <v>#N/A</v>
      </c>
      <c r="Z515" s="136" t="e">
        <f t="shared" ca="1" si="52"/>
        <v>#N/A</v>
      </c>
      <c r="AA515" s="134">
        <f ca="1">IFERROR(VLOOKUP(X515,'credit rating'!A:C,3,FALSE),0)</f>
        <v>0</v>
      </c>
      <c r="AB515" s="134">
        <f ca="1">IFERROR(VLOOKUP(Y515,'credit rating'!B:C,2,FALSE),0)</f>
        <v>0</v>
      </c>
      <c r="AC515" s="136">
        <f ca="1">IFERROR(VLOOKUP(Z515,'credit rating'!B:C,2,FALSE),0)</f>
        <v>0</v>
      </c>
      <c r="AD515" s="136">
        <f t="shared" ca="1" si="53"/>
        <v>0</v>
      </c>
      <c r="AE515" s="249" t="str">
        <f ca="1">IFERROR(VLOOKUP(B515,bond!B:U,20,FALSE),"")</f>
        <v/>
      </c>
      <c r="AF515" s="136" t="e">
        <f ca="1">IF(VLOOKUP(B515,bond!B:AK,36,FALSE)="#N/A Field Not Applicable","",VLOOKUP(B515,bond!B:AK,36,FALSE))</f>
        <v>#N/A</v>
      </c>
      <c r="AG515" s="136" t="e">
        <f ca="1">IF(VLOOKUP(B515,bond!B:AL,37,FALSE)="FIXED","固定",IF(VLOOKUP(B515,bond!B:AL,37,FALSE)="FLOATING","浮動",IF(VLOOKUP(B515,bond!B:AL,37,FALSE)="VARIABLE","變動",IF(VLOOKUP(B515,bond!B:AL,37,FALSE)="FLAT TRADING","不含息交易",IF(VLOOKUP(B515,bond!B:AL,37,FALSE)="ZERO COUPON","零息",VLOOKUP(B515,bond!B:AL,37,FALSE))))))</f>
        <v>#N/A</v>
      </c>
      <c r="AH515" s="136" t="e">
        <f>VLOOKUP(C515,'2_Check_code'!I:J,2,FALSE)</f>
        <v>#N/A</v>
      </c>
      <c r="AI515" s="136" t="e">
        <f t="shared" ca="1" si="54"/>
        <v>#N/A</v>
      </c>
      <c r="AJ515" s="136" t="e">
        <f t="shared" ca="1" si="55"/>
        <v>#N/A</v>
      </c>
      <c r="AK515" s="594" t="e">
        <f ca="1">IF(VLOOKUP(B515,bond!B:S,18,FALSE)="是","有",IF(VLOOKUP(B515,bond!B:S,18,FALSE)="NO OFFER","無","需查詢"))</f>
        <v>#N/A</v>
      </c>
      <c r="AL515" s="136" t="e">
        <f>IF(VLOOKUP(A515,bond!F:AR,39,FALSE)="#N/A Field Not Applicable",VLOOKUP(A515,bond!F:AR,38,FALSE),IFERROR(VLOOKUP(A515,'7_發行日例外'!A:B,2,FALSE),VLOOKUP(A515,bond!F:AR,39,FALSE)))</f>
        <v>#N/A</v>
      </c>
      <c r="AM515" s="136" t="e">
        <f ca="1">VLOOKUP(B515,bond!B:AK,36,FALSE)</f>
        <v>#N/A</v>
      </c>
      <c r="AN515" s="136" t="str">
        <f ca="1">IFERROR(VLOOKUP(B515,'3_是否下架'!A:A,1,FALSE),"")</f>
        <v/>
      </c>
      <c r="AO515" s="136" t="e">
        <f ca="1">VLOOKUP(B515,bond!B:J,9,FALSE)</f>
        <v>#N/A</v>
      </c>
      <c r="AP515" s="136" t="e">
        <f ca="1">VLOOKUP(B515,bond!B:V,21,FALSE)</f>
        <v>#N/A</v>
      </c>
    </row>
    <row r="516" spans="1:42">
      <c r="A516" s="141">
        <f>bond!F517</f>
        <v>0</v>
      </c>
      <c r="B516" s="151">
        <f ca="1">IF($C$1=TRUE,bond!B517,"")</f>
        <v>0</v>
      </c>
      <c r="C516" s="95" t="e">
        <f>VLOOKUP(A516,bond!F:G,2,FALSE)</f>
        <v>#N/A</v>
      </c>
      <c r="D516" s="142" t="e">
        <f ca="1">VLOOKUP(B516,bond!B:C,2,FALSE)</f>
        <v>#N/A</v>
      </c>
      <c r="E516" s="95" t="e">
        <f ca="1">VLOOKUP(B516,bond!B:D,3,FALSE)</f>
        <v>#N/A</v>
      </c>
      <c r="F516" s="99" t="e">
        <f ca="1">VLOOKUP(B516,bond!B:AB,27,FALSE)</f>
        <v>#N/A</v>
      </c>
      <c r="G516" s="90" t="e">
        <f ca="1">VLOOKUP(B516,bond!B:E,4,FALSE)</f>
        <v>#N/A</v>
      </c>
      <c r="H516" s="202" t="e">
        <f ca="1">VLOOKUP(B516,bond!B:Y,24,FALSE)</f>
        <v>#N/A</v>
      </c>
      <c r="I516" s="95" t="e">
        <f ca="1">VLOOKUP(B516,bond!B:Z,25,FALSE)</f>
        <v>#N/A</v>
      </c>
      <c r="J516" s="180" t="e">
        <f ca="1">VLOOKUP(B516,bond!B:K,10,FALSE)</f>
        <v>#N/A</v>
      </c>
      <c r="K516" s="96" t="e">
        <f ca="1">VLOOKUP($B516,bond!B:S,14,FALSE)</f>
        <v>#N/A</v>
      </c>
      <c r="L516" s="91" t="e">
        <f ca="1">VLOOKUP(B516,bond!B:H,7,FALSE)</f>
        <v>#N/A</v>
      </c>
      <c r="M516" s="144" t="e">
        <f ca="1">VLOOKUP($B516,bond!$B:$Q,16,FALSE)</f>
        <v>#N/A</v>
      </c>
      <c r="N516" s="136" t="e">
        <f ca="1">VALUE(LEFT(VLOOKUP(B516,bond!B:R,17,FALSE),SEARCH(" ",VLOOKUP(B516,bond!B:R,17,FALSE),1)))</f>
        <v>#N/A</v>
      </c>
      <c r="O516" s="136" t="e">
        <f ca="1">VALUE(RIGHT(VLOOKUP(B516,bond!B:R,17,FALSE),LEN(VLOOKUP(B516,bond!B:R,17,FALSE))-LEN(N516)-3))</f>
        <v>#N/A</v>
      </c>
      <c r="P516" s="135" t="e">
        <f ca="1">VLOOKUP($B516,bond!$B:$AG,32,FALSE)</f>
        <v>#N/A</v>
      </c>
      <c r="Q516" s="135" t="e">
        <f ca="1">VLOOKUP($B516,bond!$B:$AH,33,FALSE)</f>
        <v>#N/A</v>
      </c>
      <c r="R516" s="135" t="e">
        <f ca="1">VLOOKUP(B516,bond!B:AA,26,FALSE)</f>
        <v>#N/A</v>
      </c>
      <c r="S516" s="135" t="e">
        <f ca="1">VLOOKUP(B516,bond!B:AI,34,FALSE)</f>
        <v>#N/A</v>
      </c>
      <c r="T516" s="135" t="e">
        <f t="shared" ref="T516:T579" ca="1" si="56">CONCATENATE(R516,"/",S516)</f>
        <v>#N/A</v>
      </c>
      <c r="U516" s="207" t="e">
        <f ca="1">IFERROR(VLOOKUP(T516,Bond_DES!D:E,2,FALSE),VLOOKUP(S516,bond!AI:AJ,2,FALSE))</f>
        <v>#N/A</v>
      </c>
      <c r="V516" s="136" t="e">
        <f ca="1">IFERROR(VLOOKUP(B516,'1_重設數據'!L:M,2,FALSE),IF(Q516="政府",IF(AD516&gt;16,"(NPI)非專投",IF(AD516&gt;10,"(PI)專投","高資產")),IF(VLOOKUP(B516,bond!B:AN,39,FALSE)="Y","(PI)專投",IF(AD516&gt;=15,"(NPI)非專投",IF(AD516&gt;=10,"(PI)專投","高資產")))))</f>
        <v>#N/A</v>
      </c>
      <c r="W516" s="136" t="e">
        <f ca="1">VLOOKUP(AD516,'credit rating'!$F$2:$H$22,3,FALSE)</f>
        <v>#N/A</v>
      </c>
      <c r="X516" s="136" t="e">
        <f t="shared" ref="X516:X579" ca="1" si="57">LEFT(E516,SEARCH(" /",E516)-1)</f>
        <v>#N/A</v>
      </c>
      <c r="Y516" s="136" t="e">
        <f t="shared" ref="Y516:Y579" ca="1" si="58">MID(E516,LEN(X516)+4,LEN(E516)-LEN(X516)-LEN(Z516)-6)</f>
        <v>#N/A</v>
      </c>
      <c r="Z516" s="136" t="e">
        <f t="shared" ref="Z516:Z579" ca="1" si="59">TRIM(RIGHT(SUBSTITUTE(E516,"/ ",REPT(" ",99)),99))</f>
        <v>#N/A</v>
      </c>
      <c r="AA516" s="134">
        <f ca="1">IFERROR(VLOOKUP(X516,'credit rating'!A:C,3,FALSE),0)</f>
        <v>0</v>
      </c>
      <c r="AB516" s="134">
        <f ca="1">IFERROR(VLOOKUP(Y516,'credit rating'!B:C,2,FALSE),0)</f>
        <v>0</v>
      </c>
      <c r="AC516" s="136">
        <f ca="1">IFERROR(VLOOKUP(Z516,'credit rating'!B:C,2,FALSE),0)</f>
        <v>0</v>
      </c>
      <c r="AD516" s="136">
        <f t="shared" ref="AD516:AD579" ca="1" si="60">MAX(AA516:AC516)</f>
        <v>0</v>
      </c>
      <c r="AE516" s="249" t="str">
        <f ca="1">IFERROR(VLOOKUP(B516,bond!B:U,20,FALSE),"")</f>
        <v/>
      </c>
      <c r="AF516" s="136" t="e">
        <f ca="1">IF(VLOOKUP(B516,bond!B:AK,36,FALSE)="#N/A Field Not Applicable","",VLOOKUP(B516,bond!B:AK,36,FALSE))</f>
        <v>#N/A</v>
      </c>
      <c r="AG516" s="136" t="e">
        <f ca="1">IF(VLOOKUP(B516,bond!B:AL,37,FALSE)="FIXED","固定",IF(VLOOKUP(B516,bond!B:AL,37,FALSE)="FLOATING","浮動",IF(VLOOKUP(B516,bond!B:AL,37,FALSE)="VARIABLE","變動",IF(VLOOKUP(B516,bond!B:AL,37,FALSE)="FLAT TRADING","不含息交易",IF(VLOOKUP(B516,bond!B:AL,37,FALSE)="ZERO COUPON","零息",VLOOKUP(B516,bond!B:AL,37,FALSE))))))</f>
        <v>#N/A</v>
      </c>
      <c r="AH516" s="136" t="e">
        <f>VLOOKUP(C516,'2_Check_code'!I:J,2,FALSE)</f>
        <v>#N/A</v>
      </c>
      <c r="AI516" s="136" t="e">
        <f t="shared" ref="AI516:AI579" ca="1" si="61">IF(AND(I516=2,C516="USD"),"自由選清單","")</f>
        <v>#N/A</v>
      </c>
      <c r="AJ516" s="136" t="e">
        <f t="shared" ref="AJ516:AJ579" ca="1" si="62">IF(AND(I516=2,C516="USD"),0,1)</f>
        <v>#N/A</v>
      </c>
      <c r="AK516" s="594" t="e">
        <f ca="1">IF(VLOOKUP(B516,bond!B:S,18,FALSE)="是","有",IF(VLOOKUP(B516,bond!B:S,18,FALSE)="NO OFFER","無","需查詢"))</f>
        <v>#N/A</v>
      </c>
      <c r="AL516" s="136" t="e">
        <f>IF(VLOOKUP(A516,bond!F:AR,39,FALSE)="#N/A Field Not Applicable",VLOOKUP(A516,bond!F:AR,38,FALSE),IFERROR(VLOOKUP(A516,'7_發行日例外'!A:B,2,FALSE),VLOOKUP(A516,bond!F:AR,39,FALSE)))</f>
        <v>#N/A</v>
      </c>
      <c r="AM516" s="136" t="e">
        <f ca="1">VLOOKUP(B516,bond!B:AK,36,FALSE)</f>
        <v>#N/A</v>
      </c>
      <c r="AN516" s="136" t="str">
        <f ca="1">IFERROR(VLOOKUP(B516,'3_是否下架'!A:A,1,FALSE),"")</f>
        <v/>
      </c>
      <c r="AO516" s="136" t="e">
        <f ca="1">VLOOKUP(B516,bond!B:J,9,FALSE)</f>
        <v>#N/A</v>
      </c>
      <c r="AP516" s="136" t="e">
        <f ca="1">VLOOKUP(B516,bond!B:V,21,FALSE)</f>
        <v>#N/A</v>
      </c>
    </row>
    <row r="517" spans="1:42">
      <c r="A517" s="141">
        <f>bond!F518</f>
        <v>0</v>
      </c>
      <c r="B517" s="151">
        <f ca="1">IF($C$1=TRUE,bond!B518,"")</f>
        <v>0</v>
      </c>
      <c r="C517" s="95" t="e">
        <f>VLOOKUP(A517,bond!F:G,2,FALSE)</f>
        <v>#N/A</v>
      </c>
      <c r="D517" s="142" t="e">
        <f ca="1">VLOOKUP(B517,bond!B:C,2,FALSE)</f>
        <v>#N/A</v>
      </c>
      <c r="E517" s="95" t="e">
        <f ca="1">VLOOKUP(B517,bond!B:D,3,FALSE)</f>
        <v>#N/A</v>
      </c>
      <c r="F517" s="99" t="e">
        <f ca="1">VLOOKUP(B517,bond!B:AB,27,FALSE)</f>
        <v>#N/A</v>
      </c>
      <c r="G517" s="90" t="e">
        <f ca="1">VLOOKUP(B517,bond!B:E,4,FALSE)</f>
        <v>#N/A</v>
      </c>
      <c r="H517" s="202" t="e">
        <f ca="1">VLOOKUP(B517,bond!B:Y,24,FALSE)</f>
        <v>#N/A</v>
      </c>
      <c r="I517" s="95" t="e">
        <f ca="1">VLOOKUP(B517,bond!B:Z,25,FALSE)</f>
        <v>#N/A</v>
      </c>
      <c r="J517" s="180" t="e">
        <f ca="1">VLOOKUP(B517,bond!B:K,10,FALSE)</f>
        <v>#N/A</v>
      </c>
      <c r="K517" s="96" t="e">
        <f ca="1">VLOOKUP($B517,bond!B:S,14,FALSE)</f>
        <v>#N/A</v>
      </c>
      <c r="L517" s="91" t="e">
        <f ca="1">VLOOKUP(B517,bond!B:H,7,FALSE)</f>
        <v>#N/A</v>
      </c>
      <c r="M517" s="144" t="e">
        <f ca="1">VLOOKUP($B517,bond!$B:$Q,16,FALSE)</f>
        <v>#N/A</v>
      </c>
      <c r="N517" s="136" t="e">
        <f ca="1">VALUE(LEFT(VLOOKUP(B517,bond!B:R,17,FALSE),SEARCH(" ",VLOOKUP(B517,bond!B:R,17,FALSE),1)))</f>
        <v>#N/A</v>
      </c>
      <c r="O517" s="136" t="e">
        <f ca="1">VALUE(RIGHT(VLOOKUP(B517,bond!B:R,17,FALSE),LEN(VLOOKUP(B517,bond!B:R,17,FALSE))-LEN(N517)-3))</f>
        <v>#N/A</v>
      </c>
      <c r="P517" s="135" t="e">
        <f ca="1">VLOOKUP($B517,bond!$B:$AG,32,FALSE)</f>
        <v>#N/A</v>
      </c>
      <c r="Q517" s="135" t="e">
        <f ca="1">VLOOKUP($B517,bond!$B:$AH,33,FALSE)</f>
        <v>#N/A</v>
      </c>
      <c r="R517" s="135" t="e">
        <f ca="1">VLOOKUP(B517,bond!B:AA,26,FALSE)</f>
        <v>#N/A</v>
      </c>
      <c r="S517" s="135" t="e">
        <f ca="1">VLOOKUP(B517,bond!B:AI,34,FALSE)</f>
        <v>#N/A</v>
      </c>
      <c r="T517" s="135" t="e">
        <f t="shared" ca="1" si="56"/>
        <v>#N/A</v>
      </c>
      <c r="U517" s="207" t="e">
        <f ca="1">IFERROR(VLOOKUP(T517,Bond_DES!D:E,2,FALSE),VLOOKUP(S517,bond!AI:AJ,2,FALSE))</f>
        <v>#N/A</v>
      </c>
      <c r="V517" s="136" t="e">
        <f ca="1">IFERROR(VLOOKUP(B517,'1_重設數據'!L:M,2,FALSE),IF(Q517="政府",IF(AD517&gt;16,"(NPI)非專投",IF(AD517&gt;10,"(PI)專投","高資產")),IF(VLOOKUP(B517,bond!B:AN,39,FALSE)="Y","(PI)專投",IF(AD517&gt;=15,"(NPI)非專投",IF(AD517&gt;=10,"(PI)專投","高資產")))))</f>
        <v>#N/A</v>
      </c>
      <c r="W517" s="136" t="e">
        <f ca="1">VLOOKUP(AD517,'credit rating'!$F$2:$H$22,3,FALSE)</f>
        <v>#N/A</v>
      </c>
      <c r="X517" s="136" t="e">
        <f t="shared" ca="1" si="57"/>
        <v>#N/A</v>
      </c>
      <c r="Y517" s="136" t="e">
        <f t="shared" ca="1" si="58"/>
        <v>#N/A</v>
      </c>
      <c r="Z517" s="136" t="e">
        <f t="shared" ca="1" si="59"/>
        <v>#N/A</v>
      </c>
      <c r="AA517" s="134">
        <f ca="1">IFERROR(VLOOKUP(X517,'credit rating'!A:C,3,FALSE),0)</f>
        <v>0</v>
      </c>
      <c r="AB517" s="134">
        <f ca="1">IFERROR(VLOOKUP(Y517,'credit rating'!B:C,2,FALSE),0)</f>
        <v>0</v>
      </c>
      <c r="AC517" s="136">
        <f ca="1">IFERROR(VLOOKUP(Z517,'credit rating'!B:C,2,FALSE),0)</f>
        <v>0</v>
      </c>
      <c r="AD517" s="136">
        <f t="shared" ca="1" si="60"/>
        <v>0</v>
      </c>
      <c r="AE517" s="249" t="str">
        <f ca="1">IFERROR(VLOOKUP(B517,bond!B:U,20,FALSE),"")</f>
        <v/>
      </c>
      <c r="AF517" s="136" t="e">
        <f ca="1">IF(VLOOKUP(B517,bond!B:AK,36,FALSE)="#N/A Field Not Applicable","",VLOOKUP(B517,bond!B:AK,36,FALSE))</f>
        <v>#N/A</v>
      </c>
      <c r="AG517" s="136" t="e">
        <f ca="1">IF(VLOOKUP(B517,bond!B:AL,37,FALSE)="FIXED","固定",IF(VLOOKUP(B517,bond!B:AL,37,FALSE)="FLOATING","浮動",IF(VLOOKUP(B517,bond!B:AL,37,FALSE)="VARIABLE","變動",IF(VLOOKUP(B517,bond!B:AL,37,FALSE)="FLAT TRADING","不含息交易",IF(VLOOKUP(B517,bond!B:AL,37,FALSE)="ZERO COUPON","零息",VLOOKUP(B517,bond!B:AL,37,FALSE))))))</f>
        <v>#N/A</v>
      </c>
      <c r="AH517" s="136" t="e">
        <f>VLOOKUP(C517,'2_Check_code'!I:J,2,FALSE)</f>
        <v>#N/A</v>
      </c>
      <c r="AI517" s="136" t="e">
        <f t="shared" ca="1" si="61"/>
        <v>#N/A</v>
      </c>
      <c r="AJ517" s="136" t="e">
        <f t="shared" ca="1" si="62"/>
        <v>#N/A</v>
      </c>
      <c r="AK517" s="594" t="e">
        <f ca="1">IF(VLOOKUP(B517,bond!B:S,18,FALSE)="是","有",IF(VLOOKUP(B517,bond!B:S,18,FALSE)="NO OFFER","無","需查詢"))</f>
        <v>#N/A</v>
      </c>
      <c r="AL517" s="136" t="e">
        <f>IF(VLOOKUP(A517,bond!F:AR,39,FALSE)="#N/A Field Not Applicable",VLOOKUP(A517,bond!F:AR,38,FALSE),IFERROR(VLOOKUP(A517,'7_發行日例外'!A:B,2,FALSE),VLOOKUP(A517,bond!F:AR,39,FALSE)))</f>
        <v>#N/A</v>
      </c>
      <c r="AM517" s="136" t="e">
        <f ca="1">VLOOKUP(B517,bond!B:AK,36,FALSE)</f>
        <v>#N/A</v>
      </c>
      <c r="AN517" s="136" t="str">
        <f ca="1">IFERROR(VLOOKUP(B517,'3_是否下架'!A:A,1,FALSE),"")</f>
        <v/>
      </c>
      <c r="AO517" s="136" t="e">
        <f ca="1">VLOOKUP(B517,bond!B:J,9,FALSE)</f>
        <v>#N/A</v>
      </c>
      <c r="AP517" s="136" t="e">
        <f ca="1">VLOOKUP(B517,bond!B:V,21,FALSE)</f>
        <v>#N/A</v>
      </c>
    </row>
    <row r="518" spans="1:42">
      <c r="A518" s="141">
        <f>bond!F519</f>
        <v>0</v>
      </c>
      <c r="B518" s="151">
        <f ca="1">IF($C$1=TRUE,bond!B519,"")</f>
        <v>0</v>
      </c>
      <c r="C518" s="95" t="e">
        <f>VLOOKUP(A518,bond!F:G,2,FALSE)</f>
        <v>#N/A</v>
      </c>
      <c r="D518" s="142" t="e">
        <f ca="1">VLOOKUP(B518,bond!B:C,2,FALSE)</f>
        <v>#N/A</v>
      </c>
      <c r="E518" s="95" t="e">
        <f ca="1">VLOOKUP(B518,bond!B:D,3,FALSE)</f>
        <v>#N/A</v>
      </c>
      <c r="F518" s="99" t="e">
        <f ca="1">VLOOKUP(B518,bond!B:AB,27,FALSE)</f>
        <v>#N/A</v>
      </c>
      <c r="G518" s="90" t="e">
        <f ca="1">VLOOKUP(B518,bond!B:E,4,FALSE)</f>
        <v>#N/A</v>
      </c>
      <c r="H518" s="202" t="e">
        <f ca="1">VLOOKUP(B518,bond!B:Y,24,FALSE)</f>
        <v>#N/A</v>
      </c>
      <c r="I518" s="95" t="e">
        <f ca="1">VLOOKUP(B518,bond!B:Z,25,FALSE)</f>
        <v>#N/A</v>
      </c>
      <c r="J518" s="180" t="e">
        <f ca="1">VLOOKUP(B518,bond!B:K,10,FALSE)</f>
        <v>#N/A</v>
      </c>
      <c r="K518" s="96" t="e">
        <f ca="1">VLOOKUP($B518,bond!B:S,14,FALSE)</f>
        <v>#N/A</v>
      </c>
      <c r="L518" s="91" t="e">
        <f ca="1">VLOOKUP(B518,bond!B:H,7,FALSE)</f>
        <v>#N/A</v>
      </c>
      <c r="M518" s="144" t="e">
        <f ca="1">VLOOKUP($B518,bond!$B:$Q,16,FALSE)</f>
        <v>#N/A</v>
      </c>
      <c r="N518" s="136" t="e">
        <f ca="1">VALUE(LEFT(VLOOKUP(B518,bond!B:R,17,FALSE),SEARCH(" ",VLOOKUP(B518,bond!B:R,17,FALSE),1)))</f>
        <v>#N/A</v>
      </c>
      <c r="O518" s="136" t="e">
        <f ca="1">VALUE(RIGHT(VLOOKUP(B518,bond!B:R,17,FALSE),LEN(VLOOKUP(B518,bond!B:R,17,FALSE))-LEN(N518)-3))</f>
        <v>#N/A</v>
      </c>
      <c r="P518" s="135" t="e">
        <f ca="1">VLOOKUP($B518,bond!$B:$AG,32,FALSE)</f>
        <v>#N/A</v>
      </c>
      <c r="Q518" s="135" t="e">
        <f ca="1">VLOOKUP($B518,bond!$B:$AH,33,FALSE)</f>
        <v>#N/A</v>
      </c>
      <c r="R518" s="135" t="e">
        <f ca="1">VLOOKUP(B518,bond!B:AA,26,FALSE)</f>
        <v>#N/A</v>
      </c>
      <c r="S518" s="135" t="e">
        <f ca="1">VLOOKUP(B518,bond!B:AI,34,FALSE)</f>
        <v>#N/A</v>
      </c>
      <c r="T518" s="135" t="e">
        <f t="shared" ca="1" si="56"/>
        <v>#N/A</v>
      </c>
      <c r="U518" s="207" t="e">
        <f ca="1">IFERROR(VLOOKUP(T518,Bond_DES!D:E,2,FALSE),VLOOKUP(S518,bond!AI:AJ,2,FALSE))</f>
        <v>#N/A</v>
      </c>
      <c r="V518" s="136" t="e">
        <f ca="1">IFERROR(VLOOKUP(B518,'1_重設數據'!L:M,2,FALSE),IF(Q518="政府",IF(AD518&gt;16,"(NPI)非專投",IF(AD518&gt;10,"(PI)專投","高資產")),IF(VLOOKUP(B518,bond!B:AN,39,FALSE)="Y","(PI)專投",IF(AD518&gt;=15,"(NPI)非專投",IF(AD518&gt;=10,"(PI)專投","高資產")))))</f>
        <v>#N/A</v>
      </c>
      <c r="W518" s="136" t="e">
        <f ca="1">VLOOKUP(AD518,'credit rating'!$F$2:$H$22,3,FALSE)</f>
        <v>#N/A</v>
      </c>
      <c r="X518" s="136" t="e">
        <f t="shared" ca="1" si="57"/>
        <v>#N/A</v>
      </c>
      <c r="Y518" s="136" t="e">
        <f t="shared" ca="1" si="58"/>
        <v>#N/A</v>
      </c>
      <c r="Z518" s="136" t="e">
        <f t="shared" ca="1" si="59"/>
        <v>#N/A</v>
      </c>
      <c r="AA518" s="134">
        <f ca="1">IFERROR(VLOOKUP(X518,'credit rating'!A:C,3,FALSE),0)</f>
        <v>0</v>
      </c>
      <c r="AB518" s="134">
        <f ca="1">IFERROR(VLOOKUP(Y518,'credit rating'!B:C,2,FALSE),0)</f>
        <v>0</v>
      </c>
      <c r="AC518" s="136">
        <f ca="1">IFERROR(VLOOKUP(Z518,'credit rating'!B:C,2,FALSE),0)</f>
        <v>0</v>
      </c>
      <c r="AD518" s="136">
        <f t="shared" ca="1" si="60"/>
        <v>0</v>
      </c>
      <c r="AE518" s="249" t="str">
        <f ca="1">IFERROR(VLOOKUP(B518,bond!B:U,20,FALSE),"")</f>
        <v/>
      </c>
      <c r="AF518" s="136" t="e">
        <f ca="1">IF(VLOOKUP(B518,bond!B:AK,36,FALSE)="#N/A Field Not Applicable","",VLOOKUP(B518,bond!B:AK,36,FALSE))</f>
        <v>#N/A</v>
      </c>
      <c r="AG518" s="136" t="e">
        <f ca="1">IF(VLOOKUP(B518,bond!B:AL,37,FALSE)="FIXED","固定",IF(VLOOKUP(B518,bond!B:AL,37,FALSE)="FLOATING","浮動",IF(VLOOKUP(B518,bond!B:AL,37,FALSE)="VARIABLE","變動",IF(VLOOKUP(B518,bond!B:AL,37,FALSE)="FLAT TRADING","不含息交易",IF(VLOOKUP(B518,bond!B:AL,37,FALSE)="ZERO COUPON","零息",VLOOKUP(B518,bond!B:AL,37,FALSE))))))</f>
        <v>#N/A</v>
      </c>
      <c r="AH518" s="136" t="e">
        <f>VLOOKUP(C518,'2_Check_code'!I:J,2,FALSE)</f>
        <v>#N/A</v>
      </c>
      <c r="AI518" s="136" t="e">
        <f t="shared" ca="1" si="61"/>
        <v>#N/A</v>
      </c>
      <c r="AJ518" s="136" t="e">
        <f t="shared" ca="1" si="62"/>
        <v>#N/A</v>
      </c>
      <c r="AK518" s="594" t="e">
        <f ca="1">IF(VLOOKUP(B518,bond!B:S,18,FALSE)="是","有",IF(VLOOKUP(B518,bond!B:S,18,FALSE)="NO OFFER","無","需查詢"))</f>
        <v>#N/A</v>
      </c>
      <c r="AL518" s="136" t="e">
        <f>IF(VLOOKUP(A518,bond!F:AR,39,FALSE)="#N/A Field Not Applicable",VLOOKUP(A518,bond!F:AR,38,FALSE),IFERROR(VLOOKUP(A518,'7_發行日例外'!A:B,2,FALSE),VLOOKUP(A518,bond!F:AR,39,FALSE)))</f>
        <v>#N/A</v>
      </c>
      <c r="AM518" s="136" t="e">
        <f ca="1">VLOOKUP(B518,bond!B:AK,36,FALSE)</f>
        <v>#N/A</v>
      </c>
      <c r="AN518" s="136" t="str">
        <f ca="1">IFERROR(VLOOKUP(B518,'3_是否下架'!A:A,1,FALSE),"")</f>
        <v/>
      </c>
      <c r="AO518" s="136" t="e">
        <f ca="1">VLOOKUP(B518,bond!B:J,9,FALSE)</f>
        <v>#N/A</v>
      </c>
      <c r="AP518" s="136" t="e">
        <f ca="1">VLOOKUP(B518,bond!B:V,21,FALSE)</f>
        <v>#N/A</v>
      </c>
    </row>
    <row r="519" spans="1:42">
      <c r="A519" s="141">
        <f>bond!F520</f>
        <v>0</v>
      </c>
      <c r="B519" s="151">
        <f ca="1">IF($C$1=TRUE,bond!B520,"")</f>
        <v>0</v>
      </c>
      <c r="C519" s="95" t="e">
        <f>VLOOKUP(A519,bond!F:G,2,FALSE)</f>
        <v>#N/A</v>
      </c>
      <c r="D519" s="142" t="e">
        <f ca="1">VLOOKUP(B519,bond!B:C,2,FALSE)</f>
        <v>#N/A</v>
      </c>
      <c r="E519" s="95" t="e">
        <f ca="1">VLOOKUP(B519,bond!B:D,3,FALSE)</f>
        <v>#N/A</v>
      </c>
      <c r="F519" s="99" t="e">
        <f ca="1">VLOOKUP(B519,bond!B:AB,27,FALSE)</f>
        <v>#N/A</v>
      </c>
      <c r="G519" s="90" t="e">
        <f ca="1">VLOOKUP(B519,bond!B:E,4,FALSE)</f>
        <v>#N/A</v>
      </c>
      <c r="H519" s="202" t="e">
        <f ca="1">VLOOKUP(B519,bond!B:Y,24,FALSE)</f>
        <v>#N/A</v>
      </c>
      <c r="I519" s="95" t="e">
        <f ca="1">VLOOKUP(B519,bond!B:Z,25,FALSE)</f>
        <v>#N/A</v>
      </c>
      <c r="J519" s="180" t="e">
        <f ca="1">VLOOKUP(B519,bond!B:K,10,FALSE)</f>
        <v>#N/A</v>
      </c>
      <c r="K519" s="96" t="e">
        <f ca="1">VLOOKUP($B519,bond!B:S,14,FALSE)</f>
        <v>#N/A</v>
      </c>
      <c r="L519" s="91" t="e">
        <f ca="1">VLOOKUP(B519,bond!B:H,7,FALSE)</f>
        <v>#N/A</v>
      </c>
      <c r="M519" s="144" t="e">
        <f ca="1">VLOOKUP($B519,bond!$B:$Q,16,FALSE)</f>
        <v>#N/A</v>
      </c>
      <c r="N519" s="136" t="e">
        <f ca="1">VALUE(LEFT(VLOOKUP(B519,bond!B:R,17,FALSE),SEARCH(" ",VLOOKUP(B519,bond!B:R,17,FALSE),1)))</f>
        <v>#N/A</v>
      </c>
      <c r="O519" s="136" t="e">
        <f ca="1">VALUE(RIGHT(VLOOKUP(B519,bond!B:R,17,FALSE),LEN(VLOOKUP(B519,bond!B:R,17,FALSE))-LEN(N519)-3))</f>
        <v>#N/A</v>
      </c>
      <c r="P519" s="135" t="e">
        <f ca="1">VLOOKUP($B519,bond!$B:$AG,32,FALSE)</f>
        <v>#N/A</v>
      </c>
      <c r="Q519" s="135" t="e">
        <f ca="1">VLOOKUP($B519,bond!$B:$AH,33,FALSE)</f>
        <v>#N/A</v>
      </c>
      <c r="R519" s="135" t="e">
        <f ca="1">VLOOKUP(B519,bond!B:AA,26,FALSE)</f>
        <v>#N/A</v>
      </c>
      <c r="S519" s="135" t="e">
        <f ca="1">VLOOKUP(B519,bond!B:AI,34,FALSE)</f>
        <v>#N/A</v>
      </c>
      <c r="T519" s="135" t="e">
        <f t="shared" ca="1" si="56"/>
        <v>#N/A</v>
      </c>
      <c r="U519" s="207" t="e">
        <f ca="1">IFERROR(VLOOKUP(T519,Bond_DES!D:E,2,FALSE),VLOOKUP(S519,bond!AI:AJ,2,FALSE))</f>
        <v>#N/A</v>
      </c>
      <c r="V519" s="136" t="e">
        <f ca="1">IFERROR(VLOOKUP(B519,'1_重設數據'!L:M,2,FALSE),IF(Q519="政府",IF(AD519&gt;16,"(NPI)非專投",IF(AD519&gt;10,"(PI)專投","高資產")),IF(VLOOKUP(B519,bond!B:AN,39,FALSE)="Y","(PI)專投",IF(AD519&gt;=15,"(NPI)非專投",IF(AD519&gt;=10,"(PI)專投","高資產")))))</f>
        <v>#N/A</v>
      </c>
      <c r="W519" s="136" t="e">
        <f ca="1">VLOOKUP(AD519,'credit rating'!$F$2:$H$22,3,FALSE)</f>
        <v>#N/A</v>
      </c>
      <c r="X519" s="136" t="e">
        <f t="shared" ca="1" si="57"/>
        <v>#N/A</v>
      </c>
      <c r="Y519" s="136" t="e">
        <f t="shared" ca="1" si="58"/>
        <v>#N/A</v>
      </c>
      <c r="Z519" s="136" t="e">
        <f t="shared" ca="1" si="59"/>
        <v>#N/A</v>
      </c>
      <c r="AA519" s="134">
        <f ca="1">IFERROR(VLOOKUP(X519,'credit rating'!A:C,3,FALSE),0)</f>
        <v>0</v>
      </c>
      <c r="AB519" s="134">
        <f ca="1">IFERROR(VLOOKUP(Y519,'credit rating'!B:C,2,FALSE),0)</f>
        <v>0</v>
      </c>
      <c r="AC519" s="136">
        <f ca="1">IFERROR(VLOOKUP(Z519,'credit rating'!B:C,2,FALSE),0)</f>
        <v>0</v>
      </c>
      <c r="AD519" s="136">
        <f t="shared" ca="1" si="60"/>
        <v>0</v>
      </c>
      <c r="AE519" s="249" t="str">
        <f ca="1">IFERROR(VLOOKUP(B519,bond!B:U,20,FALSE),"")</f>
        <v/>
      </c>
      <c r="AF519" s="136" t="e">
        <f ca="1">IF(VLOOKUP(B519,bond!B:AK,36,FALSE)="#N/A Field Not Applicable","",VLOOKUP(B519,bond!B:AK,36,FALSE))</f>
        <v>#N/A</v>
      </c>
      <c r="AG519" s="136" t="e">
        <f ca="1">IF(VLOOKUP(B519,bond!B:AL,37,FALSE)="FIXED","固定",IF(VLOOKUP(B519,bond!B:AL,37,FALSE)="FLOATING","浮動",IF(VLOOKUP(B519,bond!B:AL,37,FALSE)="VARIABLE","變動",IF(VLOOKUP(B519,bond!B:AL,37,FALSE)="FLAT TRADING","不含息交易",IF(VLOOKUP(B519,bond!B:AL,37,FALSE)="ZERO COUPON","零息",VLOOKUP(B519,bond!B:AL,37,FALSE))))))</f>
        <v>#N/A</v>
      </c>
      <c r="AH519" s="136" t="e">
        <f>VLOOKUP(C519,'2_Check_code'!I:J,2,FALSE)</f>
        <v>#N/A</v>
      </c>
      <c r="AI519" s="136" t="e">
        <f t="shared" ca="1" si="61"/>
        <v>#N/A</v>
      </c>
      <c r="AJ519" s="136" t="e">
        <f t="shared" ca="1" si="62"/>
        <v>#N/A</v>
      </c>
      <c r="AK519" s="594" t="e">
        <f ca="1">IF(VLOOKUP(B519,bond!B:S,18,FALSE)="是","有",IF(VLOOKUP(B519,bond!B:S,18,FALSE)="NO OFFER","無","需查詢"))</f>
        <v>#N/A</v>
      </c>
      <c r="AL519" s="136" t="e">
        <f>IF(VLOOKUP(A519,bond!F:AR,39,FALSE)="#N/A Field Not Applicable",VLOOKUP(A519,bond!F:AR,38,FALSE),IFERROR(VLOOKUP(A519,'7_發行日例外'!A:B,2,FALSE),VLOOKUP(A519,bond!F:AR,39,FALSE)))</f>
        <v>#N/A</v>
      </c>
      <c r="AM519" s="136" t="e">
        <f ca="1">VLOOKUP(B519,bond!B:AK,36,FALSE)</f>
        <v>#N/A</v>
      </c>
      <c r="AN519" s="136" t="str">
        <f ca="1">IFERROR(VLOOKUP(B519,'3_是否下架'!A:A,1,FALSE),"")</f>
        <v/>
      </c>
      <c r="AO519" s="136" t="e">
        <f ca="1">VLOOKUP(B519,bond!B:J,9,FALSE)</f>
        <v>#N/A</v>
      </c>
      <c r="AP519" s="136" t="e">
        <f ca="1">VLOOKUP(B519,bond!B:V,21,FALSE)</f>
        <v>#N/A</v>
      </c>
    </row>
    <row r="520" spans="1:42">
      <c r="A520" s="141">
        <f>bond!F521</f>
        <v>0</v>
      </c>
      <c r="B520" s="151">
        <f ca="1">IF($C$1=TRUE,bond!B521,"")</f>
        <v>0</v>
      </c>
      <c r="C520" s="95" t="e">
        <f>VLOOKUP(A520,bond!F:G,2,FALSE)</f>
        <v>#N/A</v>
      </c>
      <c r="D520" s="142" t="e">
        <f ca="1">VLOOKUP(B520,bond!B:C,2,FALSE)</f>
        <v>#N/A</v>
      </c>
      <c r="E520" s="95" t="e">
        <f ca="1">VLOOKUP(B520,bond!B:D,3,FALSE)</f>
        <v>#N/A</v>
      </c>
      <c r="F520" s="99" t="e">
        <f ca="1">VLOOKUP(B520,bond!B:AB,27,FALSE)</f>
        <v>#N/A</v>
      </c>
      <c r="G520" s="90" t="e">
        <f ca="1">VLOOKUP(B520,bond!B:E,4,FALSE)</f>
        <v>#N/A</v>
      </c>
      <c r="H520" s="202" t="e">
        <f ca="1">VLOOKUP(B520,bond!B:Y,24,FALSE)</f>
        <v>#N/A</v>
      </c>
      <c r="I520" s="95" t="e">
        <f ca="1">VLOOKUP(B520,bond!B:Z,25,FALSE)</f>
        <v>#N/A</v>
      </c>
      <c r="J520" s="180" t="e">
        <f ca="1">VLOOKUP(B520,bond!B:K,10,FALSE)</f>
        <v>#N/A</v>
      </c>
      <c r="K520" s="96" t="e">
        <f ca="1">VLOOKUP($B520,bond!B:S,14,FALSE)</f>
        <v>#N/A</v>
      </c>
      <c r="L520" s="91" t="e">
        <f ca="1">VLOOKUP(B520,bond!B:H,7,FALSE)</f>
        <v>#N/A</v>
      </c>
      <c r="M520" s="144" t="e">
        <f ca="1">VLOOKUP($B520,bond!$B:$Q,16,FALSE)</f>
        <v>#N/A</v>
      </c>
      <c r="N520" s="136" t="e">
        <f ca="1">VALUE(LEFT(VLOOKUP(B520,bond!B:R,17,FALSE),SEARCH(" ",VLOOKUP(B520,bond!B:R,17,FALSE),1)))</f>
        <v>#N/A</v>
      </c>
      <c r="O520" s="136" t="e">
        <f ca="1">VALUE(RIGHT(VLOOKUP(B520,bond!B:R,17,FALSE),LEN(VLOOKUP(B520,bond!B:R,17,FALSE))-LEN(N520)-3))</f>
        <v>#N/A</v>
      </c>
      <c r="P520" s="135" t="e">
        <f ca="1">VLOOKUP($B520,bond!$B:$AG,32,FALSE)</f>
        <v>#N/A</v>
      </c>
      <c r="Q520" s="135" t="e">
        <f ca="1">VLOOKUP($B520,bond!$B:$AH,33,FALSE)</f>
        <v>#N/A</v>
      </c>
      <c r="R520" s="135" t="e">
        <f ca="1">VLOOKUP(B520,bond!B:AA,26,FALSE)</f>
        <v>#N/A</v>
      </c>
      <c r="S520" s="135" t="e">
        <f ca="1">VLOOKUP(B520,bond!B:AI,34,FALSE)</f>
        <v>#N/A</v>
      </c>
      <c r="T520" s="135" t="e">
        <f t="shared" ca="1" si="56"/>
        <v>#N/A</v>
      </c>
      <c r="U520" s="207" t="e">
        <f ca="1">IFERROR(VLOOKUP(T520,Bond_DES!D:E,2,FALSE),VLOOKUP(S520,bond!AI:AJ,2,FALSE))</f>
        <v>#N/A</v>
      </c>
      <c r="V520" s="136" t="e">
        <f ca="1">IFERROR(VLOOKUP(B520,'1_重設數據'!L:M,2,FALSE),IF(Q520="政府",IF(AD520&gt;16,"(NPI)非專投",IF(AD520&gt;10,"(PI)專投","高資產")),IF(VLOOKUP(B520,bond!B:AN,39,FALSE)="Y","(PI)專投",IF(AD520&gt;=15,"(NPI)非專投",IF(AD520&gt;=10,"(PI)專投","高資產")))))</f>
        <v>#N/A</v>
      </c>
      <c r="W520" s="136" t="e">
        <f ca="1">VLOOKUP(AD520,'credit rating'!$F$2:$H$22,3,FALSE)</f>
        <v>#N/A</v>
      </c>
      <c r="X520" s="136" t="e">
        <f t="shared" ca="1" si="57"/>
        <v>#N/A</v>
      </c>
      <c r="Y520" s="136" t="e">
        <f t="shared" ca="1" si="58"/>
        <v>#N/A</v>
      </c>
      <c r="Z520" s="136" t="e">
        <f t="shared" ca="1" si="59"/>
        <v>#N/A</v>
      </c>
      <c r="AA520" s="134">
        <f ca="1">IFERROR(VLOOKUP(X520,'credit rating'!A:C,3,FALSE),0)</f>
        <v>0</v>
      </c>
      <c r="AB520" s="134">
        <f ca="1">IFERROR(VLOOKUP(Y520,'credit rating'!B:C,2,FALSE),0)</f>
        <v>0</v>
      </c>
      <c r="AC520" s="136">
        <f ca="1">IFERROR(VLOOKUP(Z520,'credit rating'!B:C,2,FALSE),0)</f>
        <v>0</v>
      </c>
      <c r="AD520" s="136">
        <f t="shared" ca="1" si="60"/>
        <v>0</v>
      </c>
      <c r="AE520" s="249" t="str">
        <f ca="1">IFERROR(VLOOKUP(B520,bond!B:U,20,FALSE),"")</f>
        <v/>
      </c>
      <c r="AF520" s="136" t="e">
        <f ca="1">IF(VLOOKUP(B520,bond!B:AK,36,FALSE)="#N/A Field Not Applicable","",VLOOKUP(B520,bond!B:AK,36,FALSE))</f>
        <v>#N/A</v>
      </c>
      <c r="AG520" s="136" t="e">
        <f ca="1">IF(VLOOKUP(B520,bond!B:AL,37,FALSE)="FIXED","固定",IF(VLOOKUP(B520,bond!B:AL,37,FALSE)="FLOATING","浮動",IF(VLOOKUP(B520,bond!B:AL,37,FALSE)="VARIABLE","變動",IF(VLOOKUP(B520,bond!B:AL,37,FALSE)="FLAT TRADING","不含息交易",IF(VLOOKUP(B520,bond!B:AL,37,FALSE)="ZERO COUPON","零息",VLOOKUP(B520,bond!B:AL,37,FALSE))))))</f>
        <v>#N/A</v>
      </c>
      <c r="AH520" s="136" t="e">
        <f>VLOOKUP(C520,'2_Check_code'!I:J,2,FALSE)</f>
        <v>#N/A</v>
      </c>
      <c r="AI520" s="136" t="e">
        <f t="shared" ca="1" si="61"/>
        <v>#N/A</v>
      </c>
      <c r="AJ520" s="136" t="e">
        <f t="shared" ca="1" si="62"/>
        <v>#N/A</v>
      </c>
      <c r="AK520" s="594" t="e">
        <f ca="1">IF(VLOOKUP(B520,bond!B:S,18,FALSE)="是","有",IF(VLOOKUP(B520,bond!B:S,18,FALSE)="NO OFFER","無","需查詢"))</f>
        <v>#N/A</v>
      </c>
      <c r="AL520" s="136" t="e">
        <f>IF(VLOOKUP(A520,bond!F:AR,39,FALSE)="#N/A Field Not Applicable",VLOOKUP(A520,bond!F:AR,38,FALSE),IFERROR(VLOOKUP(A520,'7_發行日例外'!A:B,2,FALSE),VLOOKUP(A520,bond!F:AR,39,FALSE)))</f>
        <v>#N/A</v>
      </c>
      <c r="AM520" s="136" t="e">
        <f ca="1">VLOOKUP(B520,bond!B:AK,36,FALSE)</f>
        <v>#N/A</v>
      </c>
      <c r="AN520" s="136" t="str">
        <f ca="1">IFERROR(VLOOKUP(B520,'3_是否下架'!A:A,1,FALSE),"")</f>
        <v/>
      </c>
      <c r="AO520" s="136" t="e">
        <f ca="1">VLOOKUP(B520,bond!B:J,9,FALSE)</f>
        <v>#N/A</v>
      </c>
      <c r="AP520" s="136" t="e">
        <f ca="1">VLOOKUP(B520,bond!B:V,21,FALSE)</f>
        <v>#N/A</v>
      </c>
    </row>
    <row r="521" spans="1:42">
      <c r="A521" s="141">
        <f>bond!F522</f>
        <v>0</v>
      </c>
      <c r="B521" s="151">
        <f ca="1">IF($C$1=TRUE,bond!B522,"")</f>
        <v>0</v>
      </c>
      <c r="C521" s="95" t="e">
        <f>VLOOKUP(A521,bond!F:G,2,FALSE)</f>
        <v>#N/A</v>
      </c>
      <c r="D521" s="142" t="e">
        <f ca="1">VLOOKUP(B521,bond!B:C,2,FALSE)</f>
        <v>#N/A</v>
      </c>
      <c r="E521" s="95" t="e">
        <f ca="1">VLOOKUP(B521,bond!B:D,3,FALSE)</f>
        <v>#N/A</v>
      </c>
      <c r="F521" s="99" t="e">
        <f ca="1">VLOOKUP(B521,bond!B:AB,27,FALSE)</f>
        <v>#N/A</v>
      </c>
      <c r="G521" s="90" t="e">
        <f ca="1">VLOOKUP(B521,bond!B:E,4,FALSE)</f>
        <v>#N/A</v>
      </c>
      <c r="H521" s="202" t="e">
        <f ca="1">VLOOKUP(B521,bond!B:Y,24,FALSE)</f>
        <v>#N/A</v>
      </c>
      <c r="I521" s="95" t="e">
        <f ca="1">VLOOKUP(B521,bond!B:Z,25,FALSE)</f>
        <v>#N/A</v>
      </c>
      <c r="J521" s="180" t="e">
        <f ca="1">VLOOKUP(B521,bond!B:K,10,FALSE)</f>
        <v>#N/A</v>
      </c>
      <c r="K521" s="96" t="e">
        <f ca="1">VLOOKUP($B521,bond!B:S,14,FALSE)</f>
        <v>#N/A</v>
      </c>
      <c r="L521" s="91" t="e">
        <f ca="1">VLOOKUP(B521,bond!B:H,7,FALSE)</f>
        <v>#N/A</v>
      </c>
      <c r="M521" s="144" t="e">
        <f ca="1">VLOOKUP($B521,bond!$B:$Q,16,FALSE)</f>
        <v>#N/A</v>
      </c>
      <c r="N521" s="136" t="e">
        <f ca="1">VALUE(LEFT(VLOOKUP(B521,bond!B:R,17,FALSE),SEARCH(" ",VLOOKUP(B521,bond!B:R,17,FALSE),1)))</f>
        <v>#N/A</v>
      </c>
      <c r="O521" s="136" t="e">
        <f ca="1">VALUE(RIGHT(VLOOKUP(B521,bond!B:R,17,FALSE),LEN(VLOOKUP(B521,bond!B:R,17,FALSE))-LEN(N521)-3))</f>
        <v>#N/A</v>
      </c>
      <c r="P521" s="135" t="e">
        <f ca="1">VLOOKUP($B521,bond!$B:$AG,32,FALSE)</f>
        <v>#N/A</v>
      </c>
      <c r="Q521" s="135" t="e">
        <f ca="1">VLOOKUP($B521,bond!$B:$AH,33,FALSE)</f>
        <v>#N/A</v>
      </c>
      <c r="R521" s="135" t="e">
        <f ca="1">VLOOKUP(B521,bond!B:AA,26,FALSE)</f>
        <v>#N/A</v>
      </c>
      <c r="S521" s="135" t="e">
        <f ca="1">VLOOKUP(B521,bond!B:AI,34,FALSE)</f>
        <v>#N/A</v>
      </c>
      <c r="T521" s="135" t="e">
        <f t="shared" ca="1" si="56"/>
        <v>#N/A</v>
      </c>
      <c r="U521" s="207" t="e">
        <f ca="1">IFERROR(VLOOKUP(T521,Bond_DES!D:E,2,FALSE),VLOOKUP(S521,bond!AI:AJ,2,FALSE))</f>
        <v>#N/A</v>
      </c>
      <c r="V521" s="136" t="e">
        <f ca="1">IFERROR(VLOOKUP(B521,'1_重設數據'!L:M,2,FALSE),IF(Q521="政府",IF(AD521&gt;16,"(NPI)非專投",IF(AD521&gt;10,"(PI)專投","高資產")),IF(VLOOKUP(B521,bond!B:AN,39,FALSE)="Y","(PI)專投",IF(AD521&gt;=15,"(NPI)非專投",IF(AD521&gt;=10,"(PI)專投","高資產")))))</f>
        <v>#N/A</v>
      </c>
      <c r="W521" s="136" t="e">
        <f ca="1">VLOOKUP(AD521,'credit rating'!$F$2:$H$22,3,FALSE)</f>
        <v>#N/A</v>
      </c>
      <c r="X521" s="136" t="e">
        <f t="shared" ca="1" si="57"/>
        <v>#N/A</v>
      </c>
      <c r="Y521" s="136" t="e">
        <f t="shared" ca="1" si="58"/>
        <v>#N/A</v>
      </c>
      <c r="Z521" s="136" t="e">
        <f t="shared" ca="1" si="59"/>
        <v>#N/A</v>
      </c>
      <c r="AA521" s="134">
        <f ca="1">IFERROR(VLOOKUP(X521,'credit rating'!A:C,3,FALSE),0)</f>
        <v>0</v>
      </c>
      <c r="AB521" s="134">
        <f ca="1">IFERROR(VLOOKUP(Y521,'credit rating'!B:C,2,FALSE),0)</f>
        <v>0</v>
      </c>
      <c r="AC521" s="136">
        <f ca="1">IFERROR(VLOOKUP(Z521,'credit rating'!B:C,2,FALSE),0)</f>
        <v>0</v>
      </c>
      <c r="AD521" s="136">
        <f t="shared" ca="1" si="60"/>
        <v>0</v>
      </c>
      <c r="AE521" s="249" t="str">
        <f ca="1">IFERROR(VLOOKUP(B521,bond!B:U,20,FALSE),"")</f>
        <v/>
      </c>
      <c r="AF521" s="136" t="e">
        <f ca="1">IF(VLOOKUP(B521,bond!B:AK,36,FALSE)="#N/A Field Not Applicable","",VLOOKUP(B521,bond!B:AK,36,FALSE))</f>
        <v>#N/A</v>
      </c>
      <c r="AG521" s="136" t="e">
        <f ca="1">IF(VLOOKUP(B521,bond!B:AL,37,FALSE)="FIXED","固定",IF(VLOOKUP(B521,bond!B:AL,37,FALSE)="FLOATING","浮動",IF(VLOOKUP(B521,bond!B:AL,37,FALSE)="VARIABLE","變動",IF(VLOOKUP(B521,bond!B:AL,37,FALSE)="FLAT TRADING","不含息交易",IF(VLOOKUP(B521,bond!B:AL,37,FALSE)="ZERO COUPON","零息",VLOOKUP(B521,bond!B:AL,37,FALSE))))))</f>
        <v>#N/A</v>
      </c>
      <c r="AH521" s="136" t="e">
        <f>VLOOKUP(C521,'2_Check_code'!I:J,2,FALSE)</f>
        <v>#N/A</v>
      </c>
      <c r="AI521" s="136" t="e">
        <f t="shared" ca="1" si="61"/>
        <v>#N/A</v>
      </c>
      <c r="AJ521" s="136" t="e">
        <f t="shared" ca="1" si="62"/>
        <v>#N/A</v>
      </c>
      <c r="AK521" s="594" t="e">
        <f ca="1">IF(VLOOKUP(B521,bond!B:S,18,FALSE)="是","有",IF(VLOOKUP(B521,bond!B:S,18,FALSE)="NO OFFER","無","需查詢"))</f>
        <v>#N/A</v>
      </c>
      <c r="AL521" s="136" t="e">
        <f>IF(VLOOKUP(A521,bond!F:AR,39,FALSE)="#N/A Field Not Applicable",VLOOKUP(A521,bond!F:AR,38,FALSE),IFERROR(VLOOKUP(A521,'7_發行日例外'!A:B,2,FALSE),VLOOKUP(A521,bond!F:AR,39,FALSE)))</f>
        <v>#N/A</v>
      </c>
      <c r="AM521" s="136" t="e">
        <f ca="1">VLOOKUP(B521,bond!B:AK,36,FALSE)</f>
        <v>#N/A</v>
      </c>
      <c r="AN521" s="136" t="str">
        <f ca="1">IFERROR(VLOOKUP(B521,'3_是否下架'!A:A,1,FALSE),"")</f>
        <v/>
      </c>
      <c r="AO521" s="136" t="e">
        <f ca="1">VLOOKUP(B521,bond!B:J,9,FALSE)</f>
        <v>#N/A</v>
      </c>
      <c r="AP521" s="136" t="e">
        <f ca="1">VLOOKUP(B521,bond!B:V,21,FALSE)</f>
        <v>#N/A</v>
      </c>
    </row>
    <row r="522" spans="1:42">
      <c r="A522" s="141">
        <f>bond!F523</f>
        <v>0</v>
      </c>
      <c r="B522" s="151">
        <f ca="1">IF($C$1=TRUE,bond!B523,"")</f>
        <v>0</v>
      </c>
      <c r="C522" s="95" t="e">
        <f>VLOOKUP(A522,bond!F:G,2,FALSE)</f>
        <v>#N/A</v>
      </c>
      <c r="D522" s="142" t="e">
        <f ca="1">VLOOKUP(B522,bond!B:C,2,FALSE)</f>
        <v>#N/A</v>
      </c>
      <c r="E522" s="95" t="e">
        <f ca="1">VLOOKUP(B522,bond!B:D,3,FALSE)</f>
        <v>#N/A</v>
      </c>
      <c r="F522" s="99" t="e">
        <f ca="1">VLOOKUP(B522,bond!B:AB,27,FALSE)</f>
        <v>#N/A</v>
      </c>
      <c r="G522" s="90" t="e">
        <f ca="1">VLOOKUP(B522,bond!B:E,4,FALSE)</f>
        <v>#N/A</v>
      </c>
      <c r="H522" s="202" t="e">
        <f ca="1">VLOOKUP(B522,bond!B:Y,24,FALSE)</f>
        <v>#N/A</v>
      </c>
      <c r="I522" s="95" t="e">
        <f ca="1">VLOOKUP(B522,bond!B:Z,25,FALSE)</f>
        <v>#N/A</v>
      </c>
      <c r="J522" s="180" t="e">
        <f ca="1">VLOOKUP(B522,bond!B:K,10,FALSE)</f>
        <v>#N/A</v>
      </c>
      <c r="K522" s="96" t="e">
        <f ca="1">VLOOKUP($B522,bond!B:S,14,FALSE)</f>
        <v>#N/A</v>
      </c>
      <c r="L522" s="91" t="e">
        <f ca="1">VLOOKUP(B522,bond!B:H,7,FALSE)</f>
        <v>#N/A</v>
      </c>
      <c r="M522" s="144" t="e">
        <f ca="1">VLOOKUP($B522,bond!$B:$Q,16,FALSE)</f>
        <v>#N/A</v>
      </c>
      <c r="N522" s="136" t="e">
        <f ca="1">VALUE(LEFT(VLOOKUP(B522,bond!B:R,17,FALSE),SEARCH(" ",VLOOKUP(B522,bond!B:R,17,FALSE),1)))</f>
        <v>#N/A</v>
      </c>
      <c r="O522" s="136" t="e">
        <f ca="1">VALUE(RIGHT(VLOOKUP(B522,bond!B:R,17,FALSE),LEN(VLOOKUP(B522,bond!B:R,17,FALSE))-LEN(N522)-3))</f>
        <v>#N/A</v>
      </c>
      <c r="P522" s="135" t="e">
        <f ca="1">VLOOKUP($B522,bond!$B:$AG,32,FALSE)</f>
        <v>#N/A</v>
      </c>
      <c r="Q522" s="135" t="e">
        <f ca="1">VLOOKUP($B522,bond!$B:$AH,33,FALSE)</f>
        <v>#N/A</v>
      </c>
      <c r="R522" s="135" t="e">
        <f ca="1">VLOOKUP(B522,bond!B:AA,26,FALSE)</f>
        <v>#N/A</v>
      </c>
      <c r="S522" s="135" t="e">
        <f ca="1">VLOOKUP(B522,bond!B:AI,34,FALSE)</f>
        <v>#N/A</v>
      </c>
      <c r="T522" s="135" t="e">
        <f t="shared" ca="1" si="56"/>
        <v>#N/A</v>
      </c>
      <c r="U522" s="207" t="e">
        <f ca="1">IFERROR(VLOOKUP(T522,Bond_DES!D:E,2,FALSE),VLOOKUP(S522,bond!AI:AJ,2,FALSE))</f>
        <v>#N/A</v>
      </c>
      <c r="V522" s="136" t="e">
        <f ca="1">IFERROR(VLOOKUP(B522,'1_重設數據'!L:M,2,FALSE),IF(Q522="政府",IF(AD522&gt;16,"(NPI)非專投",IF(AD522&gt;10,"(PI)專投","高資產")),IF(VLOOKUP(B522,bond!B:AN,39,FALSE)="Y","(PI)專投",IF(AD522&gt;=15,"(NPI)非專投",IF(AD522&gt;=10,"(PI)專投","高資產")))))</f>
        <v>#N/A</v>
      </c>
      <c r="W522" s="136" t="e">
        <f ca="1">VLOOKUP(AD522,'credit rating'!$F$2:$H$22,3,FALSE)</f>
        <v>#N/A</v>
      </c>
      <c r="X522" s="136" t="e">
        <f t="shared" ca="1" si="57"/>
        <v>#N/A</v>
      </c>
      <c r="Y522" s="136" t="e">
        <f t="shared" ca="1" si="58"/>
        <v>#N/A</v>
      </c>
      <c r="Z522" s="136" t="e">
        <f t="shared" ca="1" si="59"/>
        <v>#N/A</v>
      </c>
      <c r="AA522" s="134">
        <f ca="1">IFERROR(VLOOKUP(X522,'credit rating'!A:C,3,FALSE),0)</f>
        <v>0</v>
      </c>
      <c r="AB522" s="134">
        <f ca="1">IFERROR(VLOOKUP(Y522,'credit rating'!B:C,2,FALSE),0)</f>
        <v>0</v>
      </c>
      <c r="AC522" s="136">
        <f ca="1">IFERROR(VLOOKUP(Z522,'credit rating'!B:C,2,FALSE),0)</f>
        <v>0</v>
      </c>
      <c r="AD522" s="136">
        <f t="shared" ca="1" si="60"/>
        <v>0</v>
      </c>
      <c r="AE522" s="249" t="str">
        <f ca="1">IFERROR(VLOOKUP(B522,bond!B:U,20,FALSE),"")</f>
        <v/>
      </c>
      <c r="AF522" s="136" t="e">
        <f ca="1">IF(VLOOKUP(B522,bond!B:AK,36,FALSE)="#N/A Field Not Applicable","",VLOOKUP(B522,bond!B:AK,36,FALSE))</f>
        <v>#N/A</v>
      </c>
      <c r="AG522" s="136" t="e">
        <f ca="1">IF(VLOOKUP(B522,bond!B:AL,37,FALSE)="FIXED","固定",IF(VLOOKUP(B522,bond!B:AL,37,FALSE)="FLOATING","浮動",IF(VLOOKUP(B522,bond!B:AL,37,FALSE)="VARIABLE","變動",IF(VLOOKUP(B522,bond!B:AL,37,FALSE)="FLAT TRADING","不含息交易",IF(VLOOKUP(B522,bond!B:AL,37,FALSE)="ZERO COUPON","零息",VLOOKUP(B522,bond!B:AL,37,FALSE))))))</f>
        <v>#N/A</v>
      </c>
      <c r="AH522" s="136" t="e">
        <f>VLOOKUP(C522,'2_Check_code'!I:J,2,FALSE)</f>
        <v>#N/A</v>
      </c>
      <c r="AI522" s="136" t="e">
        <f t="shared" ca="1" si="61"/>
        <v>#N/A</v>
      </c>
      <c r="AJ522" s="136" t="e">
        <f t="shared" ca="1" si="62"/>
        <v>#N/A</v>
      </c>
      <c r="AK522" s="594" t="e">
        <f ca="1">IF(VLOOKUP(B522,bond!B:S,18,FALSE)="是","有",IF(VLOOKUP(B522,bond!B:S,18,FALSE)="NO OFFER","無","需查詢"))</f>
        <v>#N/A</v>
      </c>
      <c r="AL522" s="136" t="e">
        <f>IF(VLOOKUP(A522,bond!F:AR,39,FALSE)="#N/A Field Not Applicable",VLOOKUP(A522,bond!F:AR,38,FALSE),IFERROR(VLOOKUP(A522,'7_發行日例外'!A:B,2,FALSE),VLOOKUP(A522,bond!F:AR,39,FALSE)))</f>
        <v>#N/A</v>
      </c>
      <c r="AM522" s="136" t="e">
        <f ca="1">VLOOKUP(B522,bond!B:AK,36,FALSE)</f>
        <v>#N/A</v>
      </c>
      <c r="AN522" s="136" t="str">
        <f ca="1">IFERROR(VLOOKUP(B522,'3_是否下架'!A:A,1,FALSE),"")</f>
        <v/>
      </c>
      <c r="AO522" s="136" t="e">
        <f ca="1">VLOOKUP(B522,bond!B:J,9,FALSE)</f>
        <v>#N/A</v>
      </c>
      <c r="AP522" s="136" t="e">
        <f ca="1">VLOOKUP(B522,bond!B:V,21,FALSE)</f>
        <v>#N/A</v>
      </c>
    </row>
    <row r="523" spans="1:42">
      <c r="A523" s="141">
        <f>bond!F524</f>
        <v>0</v>
      </c>
      <c r="B523" s="151">
        <f ca="1">IF($C$1=TRUE,bond!B524,"")</f>
        <v>0</v>
      </c>
      <c r="C523" s="95" t="e">
        <f>VLOOKUP(A523,bond!F:G,2,FALSE)</f>
        <v>#N/A</v>
      </c>
      <c r="D523" s="142" t="e">
        <f ca="1">VLOOKUP(B523,bond!B:C,2,FALSE)</f>
        <v>#N/A</v>
      </c>
      <c r="E523" s="95" t="e">
        <f ca="1">VLOOKUP(B523,bond!B:D,3,FALSE)</f>
        <v>#N/A</v>
      </c>
      <c r="F523" s="99" t="e">
        <f ca="1">VLOOKUP(B523,bond!B:AB,27,FALSE)</f>
        <v>#N/A</v>
      </c>
      <c r="G523" s="90" t="e">
        <f ca="1">VLOOKUP(B523,bond!B:E,4,FALSE)</f>
        <v>#N/A</v>
      </c>
      <c r="H523" s="202" t="e">
        <f ca="1">VLOOKUP(B523,bond!B:Y,24,FALSE)</f>
        <v>#N/A</v>
      </c>
      <c r="I523" s="95" t="e">
        <f ca="1">VLOOKUP(B523,bond!B:Z,25,FALSE)</f>
        <v>#N/A</v>
      </c>
      <c r="J523" s="180" t="e">
        <f ca="1">VLOOKUP(B523,bond!B:K,10,FALSE)</f>
        <v>#N/A</v>
      </c>
      <c r="K523" s="96" t="e">
        <f ca="1">VLOOKUP($B523,bond!B:S,14,FALSE)</f>
        <v>#N/A</v>
      </c>
      <c r="L523" s="91" t="e">
        <f ca="1">VLOOKUP(B523,bond!B:H,7,FALSE)</f>
        <v>#N/A</v>
      </c>
      <c r="M523" s="144" t="e">
        <f ca="1">VLOOKUP($B523,bond!$B:$Q,16,FALSE)</f>
        <v>#N/A</v>
      </c>
      <c r="N523" s="136" t="e">
        <f ca="1">VALUE(LEFT(VLOOKUP(B523,bond!B:R,17,FALSE),SEARCH(" ",VLOOKUP(B523,bond!B:R,17,FALSE),1)))</f>
        <v>#N/A</v>
      </c>
      <c r="O523" s="136" t="e">
        <f ca="1">VALUE(RIGHT(VLOOKUP(B523,bond!B:R,17,FALSE),LEN(VLOOKUP(B523,bond!B:R,17,FALSE))-LEN(N523)-3))</f>
        <v>#N/A</v>
      </c>
      <c r="P523" s="135" t="e">
        <f ca="1">VLOOKUP($B523,bond!$B:$AG,32,FALSE)</f>
        <v>#N/A</v>
      </c>
      <c r="Q523" s="135" t="e">
        <f ca="1">VLOOKUP($B523,bond!$B:$AH,33,FALSE)</f>
        <v>#N/A</v>
      </c>
      <c r="R523" s="135" t="e">
        <f ca="1">VLOOKUP(B523,bond!B:AA,26,FALSE)</f>
        <v>#N/A</v>
      </c>
      <c r="S523" s="135" t="e">
        <f ca="1">VLOOKUP(B523,bond!B:AI,34,FALSE)</f>
        <v>#N/A</v>
      </c>
      <c r="T523" s="135" t="e">
        <f t="shared" ca="1" si="56"/>
        <v>#N/A</v>
      </c>
      <c r="U523" s="207" t="e">
        <f ca="1">IFERROR(VLOOKUP(T523,Bond_DES!D:E,2,FALSE),VLOOKUP(S523,bond!AI:AJ,2,FALSE))</f>
        <v>#N/A</v>
      </c>
      <c r="V523" s="136" t="e">
        <f ca="1">IFERROR(VLOOKUP(B523,'1_重設數據'!L:M,2,FALSE),IF(Q523="政府",IF(AD523&gt;16,"(NPI)非專投",IF(AD523&gt;10,"(PI)專投","高資產")),IF(VLOOKUP(B523,bond!B:AN,39,FALSE)="Y","(PI)專投",IF(AD523&gt;=15,"(NPI)非專投",IF(AD523&gt;=10,"(PI)專投","高資產")))))</f>
        <v>#N/A</v>
      </c>
      <c r="W523" s="136" t="e">
        <f ca="1">VLOOKUP(AD523,'credit rating'!$F$2:$H$22,3,FALSE)</f>
        <v>#N/A</v>
      </c>
      <c r="X523" s="136" t="e">
        <f t="shared" ca="1" si="57"/>
        <v>#N/A</v>
      </c>
      <c r="Y523" s="136" t="e">
        <f t="shared" ca="1" si="58"/>
        <v>#N/A</v>
      </c>
      <c r="Z523" s="136" t="e">
        <f t="shared" ca="1" si="59"/>
        <v>#N/A</v>
      </c>
      <c r="AA523" s="134">
        <f ca="1">IFERROR(VLOOKUP(X523,'credit rating'!A:C,3,FALSE),0)</f>
        <v>0</v>
      </c>
      <c r="AB523" s="134">
        <f ca="1">IFERROR(VLOOKUP(Y523,'credit rating'!B:C,2,FALSE),0)</f>
        <v>0</v>
      </c>
      <c r="AC523" s="136">
        <f ca="1">IFERROR(VLOOKUP(Z523,'credit rating'!B:C,2,FALSE),0)</f>
        <v>0</v>
      </c>
      <c r="AD523" s="136">
        <f t="shared" ca="1" si="60"/>
        <v>0</v>
      </c>
      <c r="AE523" s="249" t="str">
        <f ca="1">IFERROR(VLOOKUP(B523,bond!B:U,20,FALSE),"")</f>
        <v/>
      </c>
      <c r="AF523" s="136" t="e">
        <f ca="1">IF(VLOOKUP(B523,bond!B:AK,36,FALSE)="#N/A Field Not Applicable","",VLOOKUP(B523,bond!B:AK,36,FALSE))</f>
        <v>#N/A</v>
      </c>
      <c r="AG523" s="136" t="e">
        <f ca="1">IF(VLOOKUP(B523,bond!B:AL,37,FALSE)="FIXED","固定",IF(VLOOKUP(B523,bond!B:AL,37,FALSE)="FLOATING","浮動",IF(VLOOKUP(B523,bond!B:AL,37,FALSE)="VARIABLE","變動",IF(VLOOKUP(B523,bond!B:AL,37,FALSE)="FLAT TRADING","不含息交易",IF(VLOOKUP(B523,bond!B:AL,37,FALSE)="ZERO COUPON","零息",VLOOKUP(B523,bond!B:AL,37,FALSE))))))</f>
        <v>#N/A</v>
      </c>
      <c r="AH523" s="136" t="e">
        <f>VLOOKUP(C523,'2_Check_code'!I:J,2,FALSE)</f>
        <v>#N/A</v>
      </c>
      <c r="AI523" s="136" t="e">
        <f t="shared" ca="1" si="61"/>
        <v>#N/A</v>
      </c>
      <c r="AJ523" s="136" t="e">
        <f t="shared" ca="1" si="62"/>
        <v>#N/A</v>
      </c>
      <c r="AK523" s="594" t="e">
        <f ca="1">IF(VLOOKUP(B523,bond!B:S,18,FALSE)="是","有",IF(VLOOKUP(B523,bond!B:S,18,FALSE)="NO OFFER","無","需查詢"))</f>
        <v>#N/A</v>
      </c>
      <c r="AL523" s="136" t="e">
        <f>IF(VLOOKUP(A523,bond!F:AR,39,FALSE)="#N/A Field Not Applicable",VLOOKUP(A523,bond!F:AR,38,FALSE),IFERROR(VLOOKUP(A523,'7_發行日例外'!A:B,2,FALSE),VLOOKUP(A523,bond!F:AR,39,FALSE)))</f>
        <v>#N/A</v>
      </c>
      <c r="AM523" s="136" t="e">
        <f ca="1">VLOOKUP(B523,bond!B:AK,36,FALSE)</f>
        <v>#N/A</v>
      </c>
      <c r="AN523" s="136" t="str">
        <f ca="1">IFERROR(VLOOKUP(B523,'3_是否下架'!A:A,1,FALSE),"")</f>
        <v/>
      </c>
      <c r="AO523" s="136" t="e">
        <f ca="1">VLOOKUP(B523,bond!B:J,9,FALSE)</f>
        <v>#N/A</v>
      </c>
      <c r="AP523" s="136" t="e">
        <f ca="1">VLOOKUP(B523,bond!B:V,21,FALSE)</f>
        <v>#N/A</v>
      </c>
    </row>
    <row r="524" spans="1:42">
      <c r="A524" s="141">
        <f>bond!F525</f>
        <v>0</v>
      </c>
      <c r="B524" s="151">
        <f ca="1">IF($C$1=TRUE,bond!B525,"")</f>
        <v>0</v>
      </c>
      <c r="C524" s="95" t="e">
        <f>VLOOKUP(A524,bond!F:G,2,FALSE)</f>
        <v>#N/A</v>
      </c>
      <c r="D524" s="142" t="e">
        <f ca="1">VLOOKUP(B524,bond!B:C,2,FALSE)</f>
        <v>#N/A</v>
      </c>
      <c r="E524" s="95" t="e">
        <f ca="1">VLOOKUP(B524,bond!B:D,3,FALSE)</f>
        <v>#N/A</v>
      </c>
      <c r="F524" s="99" t="e">
        <f ca="1">VLOOKUP(B524,bond!B:AB,27,FALSE)</f>
        <v>#N/A</v>
      </c>
      <c r="G524" s="90" t="e">
        <f ca="1">VLOOKUP(B524,bond!B:E,4,FALSE)</f>
        <v>#N/A</v>
      </c>
      <c r="H524" s="202" t="e">
        <f ca="1">VLOOKUP(B524,bond!B:Y,24,FALSE)</f>
        <v>#N/A</v>
      </c>
      <c r="I524" s="95" t="e">
        <f ca="1">VLOOKUP(B524,bond!B:Z,25,FALSE)</f>
        <v>#N/A</v>
      </c>
      <c r="J524" s="180" t="e">
        <f ca="1">VLOOKUP(B524,bond!B:K,10,FALSE)</f>
        <v>#N/A</v>
      </c>
      <c r="K524" s="96" t="e">
        <f ca="1">VLOOKUP($B524,bond!B:S,14,FALSE)</f>
        <v>#N/A</v>
      </c>
      <c r="L524" s="91" t="e">
        <f ca="1">VLOOKUP(B524,bond!B:H,7,FALSE)</f>
        <v>#N/A</v>
      </c>
      <c r="M524" s="144" t="e">
        <f ca="1">VLOOKUP($B524,bond!$B:$Q,16,FALSE)</f>
        <v>#N/A</v>
      </c>
      <c r="N524" s="136" t="e">
        <f ca="1">VALUE(LEFT(VLOOKUP(B524,bond!B:R,17,FALSE),SEARCH(" ",VLOOKUP(B524,bond!B:R,17,FALSE),1)))</f>
        <v>#N/A</v>
      </c>
      <c r="O524" s="136" t="e">
        <f ca="1">VALUE(RIGHT(VLOOKUP(B524,bond!B:R,17,FALSE),LEN(VLOOKUP(B524,bond!B:R,17,FALSE))-LEN(N524)-3))</f>
        <v>#N/A</v>
      </c>
      <c r="P524" s="135" t="e">
        <f ca="1">VLOOKUP($B524,bond!$B:$AG,32,FALSE)</f>
        <v>#N/A</v>
      </c>
      <c r="Q524" s="135" t="e">
        <f ca="1">VLOOKUP($B524,bond!$B:$AH,33,FALSE)</f>
        <v>#N/A</v>
      </c>
      <c r="R524" s="135" t="e">
        <f ca="1">VLOOKUP(B524,bond!B:AA,26,FALSE)</f>
        <v>#N/A</v>
      </c>
      <c r="S524" s="135" t="e">
        <f ca="1">VLOOKUP(B524,bond!B:AI,34,FALSE)</f>
        <v>#N/A</v>
      </c>
      <c r="T524" s="135" t="e">
        <f t="shared" ca="1" si="56"/>
        <v>#N/A</v>
      </c>
      <c r="U524" s="207" t="e">
        <f ca="1">IFERROR(VLOOKUP(T524,Bond_DES!D:E,2,FALSE),VLOOKUP(S524,bond!AI:AJ,2,FALSE))</f>
        <v>#N/A</v>
      </c>
      <c r="V524" s="136" t="e">
        <f ca="1">IFERROR(VLOOKUP(B524,'1_重設數據'!L:M,2,FALSE),IF(Q524="政府",IF(AD524&gt;16,"(NPI)非專投",IF(AD524&gt;10,"(PI)專投","高資產")),IF(VLOOKUP(B524,bond!B:AN,39,FALSE)="Y","(PI)專投",IF(AD524&gt;=15,"(NPI)非專投",IF(AD524&gt;=10,"(PI)專投","高資產")))))</f>
        <v>#N/A</v>
      </c>
      <c r="W524" s="136" t="e">
        <f ca="1">VLOOKUP(AD524,'credit rating'!$F$2:$H$22,3,FALSE)</f>
        <v>#N/A</v>
      </c>
      <c r="X524" s="136" t="e">
        <f t="shared" ca="1" si="57"/>
        <v>#N/A</v>
      </c>
      <c r="Y524" s="136" t="e">
        <f t="shared" ca="1" si="58"/>
        <v>#N/A</v>
      </c>
      <c r="Z524" s="136" t="e">
        <f t="shared" ca="1" si="59"/>
        <v>#N/A</v>
      </c>
      <c r="AA524" s="134">
        <f ca="1">IFERROR(VLOOKUP(X524,'credit rating'!A:C,3,FALSE),0)</f>
        <v>0</v>
      </c>
      <c r="AB524" s="134">
        <f ca="1">IFERROR(VLOOKUP(Y524,'credit rating'!B:C,2,FALSE),0)</f>
        <v>0</v>
      </c>
      <c r="AC524" s="136">
        <f ca="1">IFERROR(VLOOKUP(Z524,'credit rating'!B:C,2,FALSE),0)</f>
        <v>0</v>
      </c>
      <c r="AD524" s="136">
        <f t="shared" ca="1" si="60"/>
        <v>0</v>
      </c>
      <c r="AE524" s="249" t="str">
        <f ca="1">IFERROR(VLOOKUP(B524,bond!B:U,20,FALSE),"")</f>
        <v/>
      </c>
      <c r="AF524" s="136" t="e">
        <f ca="1">IF(VLOOKUP(B524,bond!B:AK,36,FALSE)="#N/A Field Not Applicable","",VLOOKUP(B524,bond!B:AK,36,FALSE))</f>
        <v>#N/A</v>
      </c>
      <c r="AG524" s="136" t="e">
        <f ca="1">IF(VLOOKUP(B524,bond!B:AL,37,FALSE)="FIXED","固定",IF(VLOOKUP(B524,bond!B:AL,37,FALSE)="FLOATING","浮動",IF(VLOOKUP(B524,bond!B:AL,37,FALSE)="VARIABLE","變動",IF(VLOOKUP(B524,bond!B:AL,37,FALSE)="FLAT TRADING","不含息交易",IF(VLOOKUP(B524,bond!B:AL,37,FALSE)="ZERO COUPON","零息",VLOOKUP(B524,bond!B:AL,37,FALSE))))))</f>
        <v>#N/A</v>
      </c>
      <c r="AH524" s="136" t="e">
        <f>VLOOKUP(C524,'2_Check_code'!I:J,2,FALSE)</f>
        <v>#N/A</v>
      </c>
      <c r="AI524" s="136" t="e">
        <f t="shared" ca="1" si="61"/>
        <v>#N/A</v>
      </c>
      <c r="AJ524" s="136" t="e">
        <f t="shared" ca="1" si="62"/>
        <v>#N/A</v>
      </c>
      <c r="AK524" s="594" t="e">
        <f ca="1">IF(VLOOKUP(B524,bond!B:S,18,FALSE)="是","有",IF(VLOOKUP(B524,bond!B:S,18,FALSE)="NO OFFER","無","需查詢"))</f>
        <v>#N/A</v>
      </c>
      <c r="AL524" s="136" t="e">
        <f>IF(VLOOKUP(A524,bond!F:AR,39,FALSE)="#N/A Field Not Applicable",VLOOKUP(A524,bond!F:AR,38,FALSE),IFERROR(VLOOKUP(A524,'7_發行日例外'!A:B,2,FALSE),VLOOKUP(A524,bond!F:AR,39,FALSE)))</f>
        <v>#N/A</v>
      </c>
      <c r="AM524" s="136" t="e">
        <f ca="1">VLOOKUP(B524,bond!B:AK,36,FALSE)</f>
        <v>#N/A</v>
      </c>
      <c r="AN524" s="136" t="str">
        <f ca="1">IFERROR(VLOOKUP(B524,'3_是否下架'!A:A,1,FALSE),"")</f>
        <v/>
      </c>
      <c r="AO524" s="136" t="e">
        <f ca="1">VLOOKUP(B524,bond!B:J,9,FALSE)</f>
        <v>#N/A</v>
      </c>
      <c r="AP524" s="136" t="e">
        <f ca="1">VLOOKUP(B524,bond!B:V,21,FALSE)</f>
        <v>#N/A</v>
      </c>
    </row>
    <row r="525" spans="1:42">
      <c r="A525" s="141">
        <f>bond!F526</f>
        <v>0</v>
      </c>
      <c r="B525" s="151">
        <f ca="1">IF($C$1=TRUE,bond!B526,"")</f>
        <v>0</v>
      </c>
      <c r="C525" s="95" t="e">
        <f>VLOOKUP(A525,bond!F:G,2,FALSE)</f>
        <v>#N/A</v>
      </c>
      <c r="D525" s="142" t="e">
        <f ca="1">VLOOKUP(B525,bond!B:C,2,FALSE)</f>
        <v>#N/A</v>
      </c>
      <c r="E525" s="95" t="e">
        <f ca="1">VLOOKUP(B525,bond!B:D,3,FALSE)</f>
        <v>#N/A</v>
      </c>
      <c r="F525" s="99" t="e">
        <f ca="1">VLOOKUP(B525,bond!B:AB,27,FALSE)</f>
        <v>#N/A</v>
      </c>
      <c r="G525" s="90" t="e">
        <f ca="1">VLOOKUP(B525,bond!B:E,4,FALSE)</f>
        <v>#N/A</v>
      </c>
      <c r="H525" s="202" t="e">
        <f ca="1">VLOOKUP(B525,bond!B:Y,24,FALSE)</f>
        <v>#N/A</v>
      </c>
      <c r="I525" s="95" t="e">
        <f ca="1">VLOOKUP(B525,bond!B:Z,25,FALSE)</f>
        <v>#N/A</v>
      </c>
      <c r="J525" s="180" t="e">
        <f ca="1">VLOOKUP(B525,bond!B:K,10,FALSE)</f>
        <v>#N/A</v>
      </c>
      <c r="K525" s="96" t="e">
        <f ca="1">VLOOKUP($B525,bond!B:S,14,FALSE)</f>
        <v>#N/A</v>
      </c>
      <c r="L525" s="91" t="e">
        <f ca="1">VLOOKUP(B525,bond!B:H,7,FALSE)</f>
        <v>#N/A</v>
      </c>
      <c r="M525" s="144" t="e">
        <f ca="1">VLOOKUP($B525,bond!$B:$Q,16,FALSE)</f>
        <v>#N/A</v>
      </c>
      <c r="N525" s="136" t="e">
        <f ca="1">VALUE(LEFT(VLOOKUP(B525,bond!B:R,17,FALSE),SEARCH(" ",VLOOKUP(B525,bond!B:R,17,FALSE),1)))</f>
        <v>#N/A</v>
      </c>
      <c r="O525" s="136" t="e">
        <f ca="1">VALUE(RIGHT(VLOOKUP(B525,bond!B:R,17,FALSE),LEN(VLOOKUP(B525,bond!B:R,17,FALSE))-LEN(N525)-3))</f>
        <v>#N/A</v>
      </c>
      <c r="P525" s="135" t="e">
        <f ca="1">VLOOKUP($B525,bond!$B:$AG,32,FALSE)</f>
        <v>#N/A</v>
      </c>
      <c r="Q525" s="135" t="e">
        <f ca="1">VLOOKUP($B525,bond!$B:$AH,33,FALSE)</f>
        <v>#N/A</v>
      </c>
      <c r="R525" s="135" t="e">
        <f ca="1">VLOOKUP(B525,bond!B:AA,26,FALSE)</f>
        <v>#N/A</v>
      </c>
      <c r="S525" s="135" t="e">
        <f ca="1">VLOOKUP(B525,bond!B:AI,34,FALSE)</f>
        <v>#N/A</v>
      </c>
      <c r="T525" s="135" t="e">
        <f t="shared" ca="1" si="56"/>
        <v>#N/A</v>
      </c>
      <c r="U525" s="207" t="e">
        <f ca="1">IFERROR(VLOOKUP(T525,Bond_DES!D:E,2,FALSE),VLOOKUP(S525,bond!AI:AJ,2,FALSE))</f>
        <v>#N/A</v>
      </c>
      <c r="V525" s="136" t="e">
        <f ca="1">IFERROR(VLOOKUP(B525,'1_重設數據'!L:M,2,FALSE),IF(Q525="政府",IF(AD525&gt;16,"(NPI)非專投",IF(AD525&gt;10,"(PI)專投","高資產")),IF(VLOOKUP(B525,bond!B:AN,39,FALSE)="Y","(PI)專投",IF(AD525&gt;=15,"(NPI)非專投",IF(AD525&gt;=10,"(PI)專投","高資產")))))</f>
        <v>#N/A</v>
      </c>
      <c r="W525" s="136" t="e">
        <f ca="1">VLOOKUP(AD525,'credit rating'!$F$2:$H$22,3,FALSE)</f>
        <v>#N/A</v>
      </c>
      <c r="X525" s="136" t="e">
        <f t="shared" ca="1" si="57"/>
        <v>#N/A</v>
      </c>
      <c r="Y525" s="136" t="e">
        <f t="shared" ca="1" si="58"/>
        <v>#N/A</v>
      </c>
      <c r="Z525" s="136" t="e">
        <f t="shared" ca="1" si="59"/>
        <v>#N/A</v>
      </c>
      <c r="AA525" s="134">
        <f ca="1">IFERROR(VLOOKUP(X525,'credit rating'!A:C,3,FALSE),0)</f>
        <v>0</v>
      </c>
      <c r="AB525" s="134">
        <f ca="1">IFERROR(VLOOKUP(Y525,'credit rating'!B:C,2,FALSE),0)</f>
        <v>0</v>
      </c>
      <c r="AC525" s="136">
        <f ca="1">IFERROR(VLOOKUP(Z525,'credit rating'!B:C,2,FALSE),0)</f>
        <v>0</v>
      </c>
      <c r="AD525" s="136">
        <f t="shared" ca="1" si="60"/>
        <v>0</v>
      </c>
      <c r="AE525" s="249" t="str">
        <f ca="1">IFERROR(VLOOKUP(B525,bond!B:U,20,FALSE),"")</f>
        <v/>
      </c>
      <c r="AF525" s="136" t="e">
        <f ca="1">IF(VLOOKUP(B525,bond!B:AK,36,FALSE)="#N/A Field Not Applicable","",VLOOKUP(B525,bond!B:AK,36,FALSE))</f>
        <v>#N/A</v>
      </c>
      <c r="AG525" s="136" t="e">
        <f ca="1">IF(VLOOKUP(B525,bond!B:AL,37,FALSE)="FIXED","固定",IF(VLOOKUP(B525,bond!B:AL,37,FALSE)="FLOATING","浮動",IF(VLOOKUP(B525,bond!B:AL,37,FALSE)="VARIABLE","變動",IF(VLOOKUP(B525,bond!B:AL,37,FALSE)="FLAT TRADING","不含息交易",IF(VLOOKUP(B525,bond!B:AL,37,FALSE)="ZERO COUPON","零息",VLOOKUP(B525,bond!B:AL,37,FALSE))))))</f>
        <v>#N/A</v>
      </c>
      <c r="AH525" s="136" t="e">
        <f>VLOOKUP(C525,'2_Check_code'!I:J,2,FALSE)</f>
        <v>#N/A</v>
      </c>
      <c r="AI525" s="136" t="e">
        <f t="shared" ca="1" si="61"/>
        <v>#N/A</v>
      </c>
      <c r="AJ525" s="136" t="e">
        <f t="shared" ca="1" si="62"/>
        <v>#N/A</v>
      </c>
      <c r="AK525" s="594" t="e">
        <f ca="1">IF(VLOOKUP(B525,bond!B:S,18,FALSE)="是","有",IF(VLOOKUP(B525,bond!B:S,18,FALSE)="NO OFFER","無","需查詢"))</f>
        <v>#N/A</v>
      </c>
      <c r="AL525" s="136" t="e">
        <f>IF(VLOOKUP(A525,bond!F:AR,39,FALSE)="#N/A Field Not Applicable",VLOOKUP(A525,bond!F:AR,38,FALSE),IFERROR(VLOOKUP(A525,'7_發行日例外'!A:B,2,FALSE),VLOOKUP(A525,bond!F:AR,39,FALSE)))</f>
        <v>#N/A</v>
      </c>
      <c r="AM525" s="136" t="e">
        <f ca="1">VLOOKUP(B525,bond!B:AK,36,FALSE)</f>
        <v>#N/A</v>
      </c>
      <c r="AN525" s="136" t="str">
        <f ca="1">IFERROR(VLOOKUP(B525,'3_是否下架'!A:A,1,FALSE),"")</f>
        <v/>
      </c>
      <c r="AO525" s="136" t="e">
        <f ca="1">VLOOKUP(B525,bond!B:J,9,FALSE)</f>
        <v>#N/A</v>
      </c>
      <c r="AP525" s="136" t="e">
        <f ca="1">VLOOKUP(B525,bond!B:V,21,FALSE)</f>
        <v>#N/A</v>
      </c>
    </row>
    <row r="526" spans="1:42">
      <c r="A526" s="141">
        <f>bond!F527</f>
        <v>0</v>
      </c>
      <c r="B526" s="151">
        <f ca="1">IF($C$1=TRUE,bond!B527,"")</f>
        <v>0</v>
      </c>
      <c r="C526" s="95" t="e">
        <f>VLOOKUP(A526,bond!F:G,2,FALSE)</f>
        <v>#N/A</v>
      </c>
      <c r="D526" s="142" t="e">
        <f ca="1">VLOOKUP(B526,bond!B:C,2,FALSE)</f>
        <v>#N/A</v>
      </c>
      <c r="E526" s="95" t="e">
        <f ca="1">VLOOKUP(B526,bond!B:D,3,FALSE)</f>
        <v>#N/A</v>
      </c>
      <c r="F526" s="99" t="e">
        <f ca="1">VLOOKUP(B526,bond!B:AB,27,FALSE)</f>
        <v>#N/A</v>
      </c>
      <c r="G526" s="90" t="e">
        <f ca="1">VLOOKUP(B526,bond!B:E,4,FALSE)</f>
        <v>#N/A</v>
      </c>
      <c r="H526" s="202" t="e">
        <f ca="1">VLOOKUP(B526,bond!B:Y,24,FALSE)</f>
        <v>#N/A</v>
      </c>
      <c r="I526" s="95" t="e">
        <f ca="1">VLOOKUP(B526,bond!B:Z,25,FALSE)</f>
        <v>#N/A</v>
      </c>
      <c r="J526" s="180" t="e">
        <f ca="1">VLOOKUP(B526,bond!B:K,10,FALSE)</f>
        <v>#N/A</v>
      </c>
      <c r="K526" s="96" t="e">
        <f ca="1">VLOOKUP($B526,bond!B:S,14,FALSE)</f>
        <v>#N/A</v>
      </c>
      <c r="L526" s="91" t="e">
        <f ca="1">VLOOKUP(B526,bond!B:H,7,FALSE)</f>
        <v>#N/A</v>
      </c>
      <c r="M526" s="144" t="e">
        <f ca="1">VLOOKUP($B526,bond!$B:$Q,16,FALSE)</f>
        <v>#N/A</v>
      </c>
      <c r="N526" s="136" t="e">
        <f ca="1">VALUE(LEFT(VLOOKUP(B526,bond!B:R,17,FALSE),SEARCH(" ",VLOOKUP(B526,bond!B:R,17,FALSE),1)))</f>
        <v>#N/A</v>
      </c>
      <c r="O526" s="136" t="e">
        <f ca="1">VALUE(RIGHT(VLOOKUP(B526,bond!B:R,17,FALSE),LEN(VLOOKUP(B526,bond!B:R,17,FALSE))-LEN(N526)-3))</f>
        <v>#N/A</v>
      </c>
      <c r="P526" s="135" t="e">
        <f ca="1">VLOOKUP($B526,bond!$B:$AG,32,FALSE)</f>
        <v>#N/A</v>
      </c>
      <c r="Q526" s="135" t="e">
        <f ca="1">VLOOKUP($B526,bond!$B:$AH,33,FALSE)</f>
        <v>#N/A</v>
      </c>
      <c r="R526" s="135" t="e">
        <f ca="1">VLOOKUP(B526,bond!B:AA,26,FALSE)</f>
        <v>#N/A</v>
      </c>
      <c r="S526" s="135" t="e">
        <f ca="1">VLOOKUP(B526,bond!B:AI,34,FALSE)</f>
        <v>#N/A</v>
      </c>
      <c r="T526" s="135" t="e">
        <f t="shared" ca="1" si="56"/>
        <v>#N/A</v>
      </c>
      <c r="U526" s="207" t="e">
        <f ca="1">IFERROR(VLOOKUP(T526,Bond_DES!D:E,2,FALSE),VLOOKUP(S526,bond!AI:AJ,2,FALSE))</f>
        <v>#N/A</v>
      </c>
      <c r="V526" s="136" t="e">
        <f ca="1">IFERROR(VLOOKUP(B526,'1_重設數據'!L:M,2,FALSE),IF(Q526="政府",IF(AD526&gt;16,"(NPI)非專投",IF(AD526&gt;10,"(PI)專投","高資產")),IF(VLOOKUP(B526,bond!B:AN,39,FALSE)="Y","(PI)專投",IF(AD526&gt;=15,"(NPI)非專投",IF(AD526&gt;=10,"(PI)專投","高資產")))))</f>
        <v>#N/A</v>
      </c>
      <c r="W526" s="136" t="e">
        <f ca="1">VLOOKUP(AD526,'credit rating'!$F$2:$H$22,3,FALSE)</f>
        <v>#N/A</v>
      </c>
      <c r="X526" s="136" t="e">
        <f t="shared" ca="1" si="57"/>
        <v>#N/A</v>
      </c>
      <c r="Y526" s="136" t="e">
        <f t="shared" ca="1" si="58"/>
        <v>#N/A</v>
      </c>
      <c r="Z526" s="136" t="e">
        <f t="shared" ca="1" si="59"/>
        <v>#N/A</v>
      </c>
      <c r="AA526" s="134">
        <f ca="1">IFERROR(VLOOKUP(X526,'credit rating'!A:C,3,FALSE),0)</f>
        <v>0</v>
      </c>
      <c r="AB526" s="134">
        <f ca="1">IFERROR(VLOOKUP(Y526,'credit rating'!B:C,2,FALSE),0)</f>
        <v>0</v>
      </c>
      <c r="AC526" s="136">
        <f ca="1">IFERROR(VLOOKUP(Z526,'credit rating'!B:C,2,FALSE),0)</f>
        <v>0</v>
      </c>
      <c r="AD526" s="136">
        <f t="shared" ca="1" si="60"/>
        <v>0</v>
      </c>
      <c r="AE526" s="249" t="str">
        <f ca="1">IFERROR(VLOOKUP(B526,bond!B:U,20,FALSE),"")</f>
        <v/>
      </c>
      <c r="AF526" s="136" t="e">
        <f ca="1">IF(VLOOKUP(B526,bond!B:AK,36,FALSE)="#N/A Field Not Applicable","",VLOOKUP(B526,bond!B:AK,36,FALSE))</f>
        <v>#N/A</v>
      </c>
      <c r="AG526" s="136" t="e">
        <f ca="1">IF(VLOOKUP(B526,bond!B:AL,37,FALSE)="FIXED","固定",IF(VLOOKUP(B526,bond!B:AL,37,FALSE)="FLOATING","浮動",IF(VLOOKUP(B526,bond!B:AL,37,FALSE)="VARIABLE","變動",IF(VLOOKUP(B526,bond!B:AL,37,FALSE)="FLAT TRADING","不含息交易",IF(VLOOKUP(B526,bond!B:AL,37,FALSE)="ZERO COUPON","零息",VLOOKUP(B526,bond!B:AL,37,FALSE))))))</f>
        <v>#N/A</v>
      </c>
      <c r="AH526" s="136" t="e">
        <f>VLOOKUP(C526,'2_Check_code'!I:J,2,FALSE)</f>
        <v>#N/A</v>
      </c>
      <c r="AI526" s="136" t="e">
        <f t="shared" ca="1" si="61"/>
        <v>#N/A</v>
      </c>
      <c r="AJ526" s="136" t="e">
        <f t="shared" ca="1" si="62"/>
        <v>#N/A</v>
      </c>
      <c r="AK526" s="594" t="e">
        <f ca="1">IF(VLOOKUP(B526,bond!B:S,18,FALSE)="是","有",IF(VLOOKUP(B526,bond!B:S,18,FALSE)="NO OFFER","無","需查詢"))</f>
        <v>#N/A</v>
      </c>
      <c r="AL526" s="136" t="e">
        <f>IF(VLOOKUP(A526,bond!F:AR,39,FALSE)="#N/A Field Not Applicable",VLOOKUP(A526,bond!F:AR,38,FALSE),IFERROR(VLOOKUP(A526,'7_發行日例外'!A:B,2,FALSE),VLOOKUP(A526,bond!F:AR,39,FALSE)))</f>
        <v>#N/A</v>
      </c>
      <c r="AM526" s="136" t="e">
        <f ca="1">VLOOKUP(B526,bond!B:AK,36,FALSE)</f>
        <v>#N/A</v>
      </c>
      <c r="AN526" s="136" t="str">
        <f ca="1">IFERROR(VLOOKUP(B526,'3_是否下架'!A:A,1,FALSE),"")</f>
        <v/>
      </c>
      <c r="AO526" s="136" t="e">
        <f ca="1">VLOOKUP(B526,bond!B:J,9,FALSE)</f>
        <v>#N/A</v>
      </c>
      <c r="AP526" s="136" t="e">
        <f ca="1">VLOOKUP(B526,bond!B:V,21,FALSE)</f>
        <v>#N/A</v>
      </c>
    </row>
    <row r="527" spans="1:42">
      <c r="A527" s="141">
        <f>bond!F528</f>
        <v>0</v>
      </c>
      <c r="B527" s="151">
        <f ca="1">IF($C$1=TRUE,bond!B528,"")</f>
        <v>0</v>
      </c>
      <c r="C527" s="95" t="e">
        <f>VLOOKUP(A527,bond!F:G,2,FALSE)</f>
        <v>#N/A</v>
      </c>
      <c r="D527" s="142" t="e">
        <f ca="1">VLOOKUP(B527,bond!B:C,2,FALSE)</f>
        <v>#N/A</v>
      </c>
      <c r="E527" s="95" t="e">
        <f ca="1">VLOOKUP(B527,bond!B:D,3,FALSE)</f>
        <v>#N/A</v>
      </c>
      <c r="F527" s="99" t="e">
        <f ca="1">VLOOKUP(B527,bond!B:AB,27,FALSE)</f>
        <v>#N/A</v>
      </c>
      <c r="G527" s="90" t="e">
        <f ca="1">VLOOKUP(B527,bond!B:E,4,FALSE)</f>
        <v>#N/A</v>
      </c>
      <c r="H527" s="202" t="e">
        <f ca="1">VLOOKUP(B527,bond!B:Y,24,FALSE)</f>
        <v>#N/A</v>
      </c>
      <c r="I527" s="95" t="e">
        <f ca="1">VLOOKUP(B527,bond!B:Z,25,FALSE)</f>
        <v>#N/A</v>
      </c>
      <c r="J527" s="180" t="e">
        <f ca="1">VLOOKUP(B527,bond!B:K,10,FALSE)</f>
        <v>#N/A</v>
      </c>
      <c r="K527" s="96" t="e">
        <f ca="1">VLOOKUP($B527,bond!B:S,14,FALSE)</f>
        <v>#N/A</v>
      </c>
      <c r="L527" s="91" t="e">
        <f ca="1">VLOOKUP(B527,bond!B:H,7,FALSE)</f>
        <v>#N/A</v>
      </c>
      <c r="M527" s="144" t="e">
        <f ca="1">VLOOKUP($B527,bond!$B:$Q,16,FALSE)</f>
        <v>#N/A</v>
      </c>
      <c r="N527" s="136" t="e">
        <f ca="1">VALUE(LEFT(VLOOKUP(B527,bond!B:R,17,FALSE),SEARCH(" ",VLOOKUP(B527,bond!B:R,17,FALSE),1)))</f>
        <v>#N/A</v>
      </c>
      <c r="O527" s="136" t="e">
        <f ca="1">VALUE(RIGHT(VLOOKUP(B527,bond!B:R,17,FALSE),LEN(VLOOKUP(B527,bond!B:R,17,FALSE))-LEN(N527)-3))</f>
        <v>#N/A</v>
      </c>
      <c r="P527" s="135" t="e">
        <f ca="1">VLOOKUP($B527,bond!$B:$AG,32,FALSE)</f>
        <v>#N/A</v>
      </c>
      <c r="Q527" s="135" t="e">
        <f ca="1">VLOOKUP($B527,bond!$B:$AH,33,FALSE)</f>
        <v>#N/A</v>
      </c>
      <c r="R527" s="135" t="e">
        <f ca="1">VLOOKUP(B527,bond!B:AA,26,FALSE)</f>
        <v>#N/A</v>
      </c>
      <c r="S527" s="135" t="e">
        <f ca="1">VLOOKUP(B527,bond!B:AI,34,FALSE)</f>
        <v>#N/A</v>
      </c>
      <c r="T527" s="135" t="e">
        <f t="shared" ca="1" si="56"/>
        <v>#N/A</v>
      </c>
      <c r="U527" s="207" t="e">
        <f ca="1">IFERROR(VLOOKUP(T527,Bond_DES!D:E,2,FALSE),VLOOKUP(S527,bond!AI:AJ,2,FALSE))</f>
        <v>#N/A</v>
      </c>
      <c r="V527" s="136" t="e">
        <f ca="1">IFERROR(VLOOKUP(B527,'1_重設數據'!L:M,2,FALSE),IF(Q527="政府",IF(AD527&gt;16,"(NPI)非專投",IF(AD527&gt;10,"(PI)專投","高資產")),IF(VLOOKUP(B527,bond!B:AN,39,FALSE)="Y","(PI)專投",IF(AD527&gt;=15,"(NPI)非專投",IF(AD527&gt;=10,"(PI)專投","高資產")))))</f>
        <v>#N/A</v>
      </c>
      <c r="W527" s="136" t="e">
        <f ca="1">VLOOKUP(AD527,'credit rating'!$F$2:$H$22,3,FALSE)</f>
        <v>#N/A</v>
      </c>
      <c r="X527" s="136" t="e">
        <f t="shared" ca="1" si="57"/>
        <v>#N/A</v>
      </c>
      <c r="Y527" s="136" t="e">
        <f t="shared" ca="1" si="58"/>
        <v>#N/A</v>
      </c>
      <c r="Z527" s="136" t="e">
        <f t="shared" ca="1" si="59"/>
        <v>#N/A</v>
      </c>
      <c r="AA527" s="134">
        <f ca="1">IFERROR(VLOOKUP(X527,'credit rating'!A:C,3,FALSE),0)</f>
        <v>0</v>
      </c>
      <c r="AB527" s="134">
        <f ca="1">IFERROR(VLOOKUP(Y527,'credit rating'!B:C,2,FALSE),0)</f>
        <v>0</v>
      </c>
      <c r="AC527" s="136">
        <f ca="1">IFERROR(VLOOKUP(Z527,'credit rating'!B:C,2,FALSE),0)</f>
        <v>0</v>
      </c>
      <c r="AD527" s="136">
        <f t="shared" ca="1" si="60"/>
        <v>0</v>
      </c>
      <c r="AE527" s="249" t="str">
        <f ca="1">IFERROR(VLOOKUP(B527,bond!B:U,20,FALSE),"")</f>
        <v/>
      </c>
      <c r="AF527" s="136" t="e">
        <f ca="1">IF(VLOOKUP(B527,bond!B:AK,36,FALSE)="#N/A Field Not Applicable","",VLOOKUP(B527,bond!B:AK,36,FALSE))</f>
        <v>#N/A</v>
      </c>
      <c r="AG527" s="136" t="e">
        <f ca="1">IF(VLOOKUP(B527,bond!B:AL,37,FALSE)="FIXED","固定",IF(VLOOKUP(B527,bond!B:AL,37,FALSE)="FLOATING","浮動",IF(VLOOKUP(B527,bond!B:AL,37,FALSE)="VARIABLE","變動",IF(VLOOKUP(B527,bond!B:AL,37,FALSE)="FLAT TRADING","不含息交易",IF(VLOOKUP(B527,bond!B:AL,37,FALSE)="ZERO COUPON","零息",VLOOKUP(B527,bond!B:AL,37,FALSE))))))</f>
        <v>#N/A</v>
      </c>
      <c r="AH527" s="136" t="e">
        <f>VLOOKUP(C527,'2_Check_code'!I:J,2,FALSE)</f>
        <v>#N/A</v>
      </c>
      <c r="AI527" s="136" t="e">
        <f t="shared" ca="1" si="61"/>
        <v>#N/A</v>
      </c>
      <c r="AJ527" s="136" t="e">
        <f t="shared" ca="1" si="62"/>
        <v>#N/A</v>
      </c>
      <c r="AK527" s="594" t="e">
        <f ca="1">IF(VLOOKUP(B527,bond!B:S,18,FALSE)="是","有",IF(VLOOKUP(B527,bond!B:S,18,FALSE)="NO OFFER","無","需查詢"))</f>
        <v>#N/A</v>
      </c>
      <c r="AL527" s="136" t="e">
        <f>IF(VLOOKUP(A527,bond!F:AR,39,FALSE)="#N/A Field Not Applicable",VLOOKUP(A527,bond!F:AR,38,FALSE),IFERROR(VLOOKUP(A527,'7_發行日例外'!A:B,2,FALSE),VLOOKUP(A527,bond!F:AR,39,FALSE)))</f>
        <v>#N/A</v>
      </c>
      <c r="AM527" s="136" t="e">
        <f ca="1">VLOOKUP(B527,bond!B:AK,36,FALSE)</f>
        <v>#N/A</v>
      </c>
      <c r="AN527" s="136" t="str">
        <f ca="1">IFERROR(VLOOKUP(B527,'3_是否下架'!A:A,1,FALSE),"")</f>
        <v/>
      </c>
      <c r="AO527" s="136" t="e">
        <f ca="1">VLOOKUP(B527,bond!B:J,9,FALSE)</f>
        <v>#N/A</v>
      </c>
      <c r="AP527" s="136" t="e">
        <f ca="1">VLOOKUP(B527,bond!B:V,21,FALSE)</f>
        <v>#N/A</v>
      </c>
    </row>
    <row r="528" spans="1:42">
      <c r="A528" s="141">
        <f>bond!F529</f>
        <v>0</v>
      </c>
      <c r="B528" s="151">
        <f ca="1">IF($C$1=TRUE,bond!B529,"")</f>
        <v>0</v>
      </c>
      <c r="C528" s="95" t="e">
        <f>VLOOKUP(A528,bond!F:G,2,FALSE)</f>
        <v>#N/A</v>
      </c>
      <c r="D528" s="142" t="e">
        <f ca="1">VLOOKUP(B528,bond!B:C,2,FALSE)</f>
        <v>#N/A</v>
      </c>
      <c r="E528" s="95" t="e">
        <f ca="1">VLOOKUP(B528,bond!B:D,3,FALSE)</f>
        <v>#N/A</v>
      </c>
      <c r="F528" s="99" t="e">
        <f ca="1">VLOOKUP(B528,bond!B:AB,27,FALSE)</f>
        <v>#N/A</v>
      </c>
      <c r="G528" s="90" t="e">
        <f ca="1">VLOOKUP(B528,bond!B:E,4,FALSE)</f>
        <v>#N/A</v>
      </c>
      <c r="H528" s="202" t="e">
        <f ca="1">VLOOKUP(B528,bond!B:Y,24,FALSE)</f>
        <v>#N/A</v>
      </c>
      <c r="I528" s="95" t="e">
        <f ca="1">VLOOKUP(B528,bond!B:Z,25,FALSE)</f>
        <v>#N/A</v>
      </c>
      <c r="J528" s="180" t="e">
        <f ca="1">VLOOKUP(B528,bond!B:K,10,FALSE)</f>
        <v>#N/A</v>
      </c>
      <c r="K528" s="96" t="e">
        <f ca="1">VLOOKUP($B528,bond!B:S,14,FALSE)</f>
        <v>#N/A</v>
      </c>
      <c r="L528" s="91" t="e">
        <f ca="1">VLOOKUP(B528,bond!B:H,7,FALSE)</f>
        <v>#N/A</v>
      </c>
      <c r="M528" s="144" t="e">
        <f ca="1">VLOOKUP($B528,bond!$B:$Q,16,FALSE)</f>
        <v>#N/A</v>
      </c>
      <c r="N528" s="136" t="e">
        <f ca="1">VALUE(LEFT(VLOOKUP(B528,bond!B:R,17,FALSE),SEARCH(" ",VLOOKUP(B528,bond!B:R,17,FALSE),1)))</f>
        <v>#N/A</v>
      </c>
      <c r="O528" s="136" t="e">
        <f ca="1">VALUE(RIGHT(VLOOKUP(B528,bond!B:R,17,FALSE),LEN(VLOOKUP(B528,bond!B:R,17,FALSE))-LEN(N528)-3))</f>
        <v>#N/A</v>
      </c>
      <c r="P528" s="135" t="e">
        <f ca="1">VLOOKUP($B528,bond!$B:$AG,32,FALSE)</f>
        <v>#N/A</v>
      </c>
      <c r="Q528" s="135" t="e">
        <f ca="1">VLOOKUP($B528,bond!$B:$AH,33,FALSE)</f>
        <v>#N/A</v>
      </c>
      <c r="R528" s="135" t="e">
        <f ca="1">VLOOKUP(B528,bond!B:AA,26,FALSE)</f>
        <v>#N/A</v>
      </c>
      <c r="S528" s="135" t="e">
        <f ca="1">VLOOKUP(B528,bond!B:AI,34,FALSE)</f>
        <v>#N/A</v>
      </c>
      <c r="T528" s="135" t="e">
        <f t="shared" ca="1" si="56"/>
        <v>#N/A</v>
      </c>
      <c r="U528" s="207" t="e">
        <f ca="1">IFERROR(VLOOKUP(T528,Bond_DES!D:E,2,FALSE),VLOOKUP(S528,bond!AI:AJ,2,FALSE))</f>
        <v>#N/A</v>
      </c>
      <c r="V528" s="136" t="e">
        <f ca="1">IFERROR(VLOOKUP(B528,'1_重設數據'!L:M,2,FALSE),IF(Q528="政府",IF(AD528&gt;16,"(NPI)非專投",IF(AD528&gt;10,"(PI)專投","高資產")),IF(VLOOKUP(B528,bond!B:AN,39,FALSE)="Y","(PI)專投",IF(AD528&gt;=15,"(NPI)非專投",IF(AD528&gt;=10,"(PI)專投","高資產")))))</f>
        <v>#N/A</v>
      </c>
      <c r="W528" s="136" t="e">
        <f ca="1">VLOOKUP(AD528,'credit rating'!$F$2:$H$22,3,FALSE)</f>
        <v>#N/A</v>
      </c>
      <c r="X528" s="136" t="e">
        <f t="shared" ca="1" si="57"/>
        <v>#N/A</v>
      </c>
      <c r="Y528" s="136" t="e">
        <f t="shared" ca="1" si="58"/>
        <v>#N/A</v>
      </c>
      <c r="Z528" s="136" t="e">
        <f t="shared" ca="1" si="59"/>
        <v>#N/A</v>
      </c>
      <c r="AA528" s="134">
        <f ca="1">IFERROR(VLOOKUP(X528,'credit rating'!A:C,3,FALSE),0)</f>
        <v>0</v>
      </c>
      <c r="AB528" s="134">
        <f ca="1">IFERROR(VLOOKUP(Y528,'credit rating'!B:C,2,FALSE),0)</f>
        <v>0</v>
      </c>
      <c r="AC528" s="136">
        <f ca="1">IFERROR(VLOOKUP(Z528,'credit rating'!B:C,2,FALSE),0)</f>
        <v>0</v>
      </c>
      <c r="AD528" s="136">
        <f t="shared" ca="1" si="60"/>
        <v>0</v>
      </c>
      <c r="AE528" s="249" t="str">
        <f ca="1">IFERROR(VLOOKUP(B528,bond!B:U,20,FALSE),"")</f>
        <v/>
      </c>
      <c r="AF528" s="136" t="e">
        <f ca="1">IF(VLOOKUP(B528,bond!B:AK,36,FALSE)="#N/A Field Not Applicable","",VLOOKUP(B528,bond!B:AK,36,FALSE))</f>
        <v>#N/A</v>
      </c>
      <c r="AG528" s="136" t="e">
        <f ca="1">IF(VLOOKUP(B528,bond!B:AL,37,FALSE)="FIXED","固定",IF(VLOOKUP(B528,bond!B:AL,37,FALSE)="FLOATING","浮動",IF(VLOOKUP(B528,bond!B:AL,37,FALSE)="VARIABLE","變動",IF(VLOOKUP(B528,bond!B:AL,37,FALSE)="FLAT TRADING","不含息交易",IF(VLOOKUP(B528,bond!B:AL,37,FALSE)="ZERO COUPON","零息",VLOOKUP(B528,bond!B:AL,37,FALSE))))))</f>
        <v>#N/A</v>
      </c>
      <c r="AH528" s="136" t="e">
        <f>VLOOKUP(C528,'2_Check_code'!I:J,2,FALSE)</f>
        <v>#N/A</v>
      </c>
      <c r="AI528" s="136" t="e">
        <f t="shared" ca="1" si="61"/>
        <v>#N/A</v>
      </c>
      <c r="AJ528" s="136" t="e">
        <f t="shared" ca="1" si="62"/>
        <v>#N/A</v>
      </c>
      <c r="AK528" s="594" t="e">
        <f ca="1">IF(VLOOKUP(B528,bond!B:S,18,FALSE)="是","有",IF(VLOOKUP(B528,bond!B:S,18,FALSE)="NO OFFER","無","需查詢"))</f>
        <v>#N/A</v>
      </c>
      <c r="AL528" s="136" t="e">
        <f>IF(VLOOKUP(A528,bond!F:AR,39,FALSE)="#N/A Field Not Applicable",VLOOKUP(A528,bond!F:AR,38,FALSE),IFERROR(VLOOKUP(A528,'7_發行日例外'!A:B,2,FALSE),VLOOKUP(A528,bond!F:AR,39,FALSE)))</f>
        <v>#N/A</v>
      </c>
      <c r="AM528" s="136" t="e">
        <f ca="1">VLOOKUP(B528,bond!B:AK,36,FALSE)</f>
        <v>#N/A</v>
      </c>
      <c r="AN528" s="136" t="str">
        <f ca="1">IFERROR(VLOOKUP(B528,'3_是否下架'!A:A,1,FALSE),"")</f>
        <v/>
      </c>
      <c r="AO528" s="136" t="e">
        <f ca="1">VLOOKUP(B528,bond!B:J,9,FALSE)</f>
        <v>#N/A</v>
      </c>
      <c r="AP528" s="136" t="e">
        <f ca="1">VLOOKUP(B528,bond!B:V,21,FALSE)</f>
        <v>#N/A</v>
      </c>
    </row>
    <row r="529" spans="1:42">
      <c r="A529" s="141">
        <f>bond!F530</f>
        <v>0</v>
      </c>
      <c r="B529" s="151">
        <f ca="1">IF($C$1=TRUE,bond!B530,"")</f>
        <v>0</v>
      </c>
      <c r="C529" s="95" t="e">
        <f>VLOOKUP(A529,bond!F:G,2,FALSE)</f>
        <v>#N/A</v>
      </c>
      <c r="D529" s="142" t="e">
        <f ca="1">VLOOKUP(B529,bond!B:C,2,FALSE)</f>
        <v>#N/A</v>
      </c>
      <c r="E529" s="95" t="e">
        <f ca="1">VLOOKUP(B529,bond!B:D,3,FALSE)</f>
        <v>#N/A</v>
      </c>
      <c r="F529" s="99" t="e">
        <f ca="1">VLOOKUP(B529,bond!B:AB,27,FALSE)</f>
        <v>#N/A</v>
      </c>
      <c r="G529" s="90" t="e">
        <f ca="1">VLOOKUP(B529,bond!B:E,4,FALSE)</f>
        <v>#N/A</v>
      </c>
      <c r="H529" s="202" t="e">
        <f ca="1">VLOOKUP(B529,bond!B:Y,24,FALSE)</f>
        <v>#N/A</v>
      </c>
      <c r="I529" s="95" t="e">
        <f ca="1">VLOOKUP(B529,bond!B:Z,25,FALSE)</f>
        <v>#N/A</v>
      </c>
      <c r="J529" s="180" t="e">
        <f ca="1">VLOOKUP(B529,bond!B:K,10,FALSE)</f>
        <v>#N/A</v>
      </c>
      <c r="K529" s="96" t="e">
        <f ca="1">VLOOKUP($B529,bond!B:S,14,FALSE)</f>
        <v>#N/A</v>
      </c>
      <c r="L529" s="91" t="e">
        <f ca="1">VLOOKUP(B529,bond!B:H,7,FALSE)</f>
        <v>#N/A</v>
      </c>
      <c r="M529" s="144" t="e">
        <f ca="1">VLOOKUP($B529,bond!$B:$Q,16,FALSE)</f>
        <v>#N/A</v>
      </c>
      <c r="N529" s="136" t="e">
        <f ca="1">VALUE(LEFT(VLOOKUP(B529,bond!B:R,17,FALSE),SEARCH(" ",VLOOKUP(B529,bond!B:R,17,FALSE),1)))</f>
        <v>#N/A</v>
      </c>
      <c r="O529" s="136" t="e">
        <f ca="1">VALUE(RIGHT(VLOOKUP(B529,bond!B:R,17,FALSE),LEN(VLOOKUP(B529,bond!B:R,17,FALSE))-LEN(N529)-3))</f>
        <v>#N/A</v>
      </c>
      <c r="P529" s="135" t="e">
        <f ca="1">VLOOKUP($B529,bond!$B:$AG,32,FALSE)</f>
        <v>#N/A</v>
      </c>
      <c r="Q529" s="135" t="e">
        <f ca="1">VLOOKUP($B529,bond!$B:$AH,33,FALSE)</f>
        <v>#N/A</v>
      </c>
      <c r="R529" s="135" t="e">
        <f ca="1">VLOOKUP(B529,bond!B:AA,26,FALSE)</f>
        <v>#N/A</v>
      </c>
      <c r="S529" s="135" t="e">
        <f ca="1">VLOOKUP(B529,bond!B:AI,34,FALSE)</f>
        <v>#N/A</v>
      </c>
      <c r="T529" s="135" t="e">
        <f t="shared" ca="1" si="56"/>
        <v>#N/A</v>
      </c>
      <c r="U529" s="207" t="e">
        <f ca="1">IFERROR(VLOOKUP(T529,Bond_DES!D:E,2,FALSE),VLOOKUP(S529,bond!AI:AJ,2,FALSE))</f>
        <v>#N/A</v>
      </c>
      <c r="V529" s="136" t="e">
        <f ca="1">IFERROR(VLOOKUP(B529,'1_重設數據'!L:M,2,FALSE),IF(Q529="政府",IF(AD529&gt;16,"(NPI)非專投",IF(AD529&gt;10,"(PI)專投","高資產")),IF(VLOOKUP(B529,bond!B:AN,39,FALSE)="Y","(PI)專投",IF(AD529&gt;=15,"(NPI)非專投",IF(AD529&gt;=10,"(PI)專投","高資產")))))</f>
        <v>#N/A</v>
      </c>
      <c r="W529" s="136" t="e">
        <f ca="1">VLOOKUP(AD529,'credit rating'!$F$2:$H$22,3,FALSE)</f>
        <v>#N/A</v>
      </c>
      <c r="X529" s="136" t="e">
        <f t="shared" ca="1" si="57"/>
        <v>#N/A</v>
      </c>
      <c r="Y529" s="136" t="e">
        <f t="shared" ca="1" si="58"/>
        <v>#N/A</v>
      </c>
      <c r="Z529" s="136" t="e">
        <f t="shared" ca="1" si="59"/>
        <v>#N/A</v>
      </c>
      <c r="AA529" s="134">
        <f ca="1">IFERROR(VLOOKUP(X529,'credit rating'!A:C,3,FALSE),0)</f>
        <v>0</v>
      </c>
      <c r="AB529" s="134">
        <f ca="1">IFERROR(VLOOKUP(Y529,'credit rating'!B:C,2,FALSE),0)</f>
        <v>0</v>
      </c>
      <c r="AC529" s="136">
        <f ca="1">IFERROR(VLOOKUP(Z529,'credit rating'!B:C,2,FALSE),0)</f>
        <v>0</v>
      </c>
      <c r="AD529" s="136">
        <f t="shared" ca="1" si="60"/>
        <v>0</v>
      </c>
      <c r="AE529" s="249" t="str">
        <f ca="1">IFERROR(VLOOKUP(B529,bond!B:U,20,FALSE),"")</f>
        <v/>
      </c>
      <c r="AF529" s="136" t="e">
        <f ca="1">IF(VLOOKUP(B529,bond!B:AK,36,FALSE)="#N/A Field Not Applicable","",VLOOKUP(B529,bond!B:AK,36,FALSE))</f>
        <v>#N/A</v>
      </c>
      <c r="AG529" s="136" t="e">
        <f ca="1">IF(VLOOKUP(B529,bond!B:AL,37,FALSE)="FIXED","固定",IF(VLOOKUP(B529,bond!B:AL,37,FALSE)="FLOATING","浮動",IF(VLOOKUP(B529,bond!B:AL,37,FALSE)="VARIABLE","變動",IF(VLOOKUP(B529,bond!B:AL,37,FALSE)="FLAT TRADING","不含息交易",IF(VLOOKUP(B529,bond!B:AL,37,FALSE)="ZERO COUPON","零息",VLOOKUP(B529,bond!B:AL,37,FALSE))))))</f>
        <v>#N/A</v>
      </c>
      <c r="AH529" s="136" t="e">
        <f>VLOOKUP(C529,'2_Check_code'!I:J,2,FALSE)</f>
        <v>#N/A</v>
      </c>
      <c r="AI529" s="136" t="e">
        <f t="shared" ca="1" si="61"/>
        <v>#N/A</v>
      </c>
      <c r="AJ529" s="136" t="e">
        <f t="shared" ca="1" si="62"/>
        <v>#N/A</v>
      </c>
      <c r="AK529" s="594" t="e">
        <f ca="1">IF(VLOOKUP(B529,bond!B:S,18,FALSE)="是","有",IF(VLOOKUP(B529,bond!B:S,18,FALSE)="NO OFFER","無","需查詢"))</f>
        <v>#N/A</v>
      </c>
      <c r="AL529" s="136" t="e">
        <f>IF(VLOOKUP(A529,bond!F:AR,39,FALSE)="#N/A Field Not Applicable",VLOOKUP(A529,bond!F:AR,38,FALSE),IFERROR(VLOOKUP(A529,'7_發行日例外'!A:B,2,FALSE),VLOOKUP(A529,bond!F:AR,39,FALSE)))</f>
        <v>#N/A</v>
      </c>
      <c r="AM529" s="136" t="e">
        <f ca="1">VLOOKUP(B529,bond!B:AK,36,FALSE)</f>
        <v>#N/A</v>
      </c>
      <c r="AN529" s="136" t="str">
        <f ca="1">IFERROR(VLOOKUP(B529,'3_是否下架'!A:A,1,FALSE),"")</f>
        <v/>
      </c>
      <c r="AO529" s="136" t="e">
        <f ca="1">VLOOKUP(B529,bond!B:J,9,FALSE)</f>
        <v>#N/A</v>
      </c>
      <c r="AP529" s="136" t="e">
        <f ca="1">VLOOKUP(B529,bond!B:V,21,FALSE)</f>
        <v>#N/A</v>
      </c>
    </row>
    <row r="530" spans="1:42">
      <c r="A530" s="141">
        <f>bond!F531</f>
        <v>0</v>
      </c>
      <c r="B530" s="151">
        <f ca="1">IF($C$1=TRUE,bond!B531,"")</f>
        <v>0</v>
      </c>
      <c r="C530" s="95" t="e">
        <f>VLOOKUP(A530,bond!F:G,2,FALSE)</f>
        <v>#N/A</v>
      </c>
      <c r="D530" s="142" t="e">
        <f ca="1">VLOOKUP(B530,bond!B:C,2,FALSE)</f>
        <v>#N/A</v>
      </c>
      <c r="E530" s="95" t="e">
        <f ca="1">VLOOKUP(B530,bond!B:D,3,FALSE)</f>
        <v>#N/A</v>
      </c>
      <c r="F530" s="99" t="e">
        <f ca="1">VLOOKUP(B530,bond!B:AB,27,FALSE)</f>
        <v>#N/A</v>
      </c>
      <c r="G530" s="90" t="e">
        <f ca="1">VLOOKUP(B530,bond!B:E,4,FALSE)</f>
        <v>#N/A</v>
      </c>
      <c r="H530" s="202" t="e">
        <f ca="1">VLOOKUP(B530,bond!B:Y,24,FALSE)</f>
        <v>#N/A</v>
      </c>
      <c r="I530" s="95" t="e">
        <f ca="1">VLOOKUP(B530,bond!B:Z,25,FALSE)</f>
        <v>#N/A</v>
      </c>
      <c r="J530" s="180" t="e">
        <f ca="1">VLOOKUP(B530,bond!B:K,10,FALSE)</f>
        <v>#N/A</v>
      </c>
      <c r="K530" s="96" t="e">
        <f ca="1">VLOOKUP($B530,bond!B:S,14,FALSE)</f>
        <v>#N/A</v>
      </c>
      <c r="L530" s="91" t="e">
        <f ca="1">VLOOKUP(B530,bond!B:H,7,FALSE)</f>
        <v>#N/A</v>
      </c>
      <c r="M530" s="144" t="e">
        <f ca="1">VLOOKUP($B530,bond!$B:$Q,16,FALSE)</f>
        <v>#N/A</v>
      </c>
      <c r="N530" s="136" t="e">
        <f ca="1">VALUE(LEFT(VLOOKUP(B530,bond!B:R,17,FALSE),SEARCH(" ",VLOOKUP(B530,bond!B:R,17,FALSE),1)))</f>
        <v>#N/A</v>
      </c>
      <c r="O530" s="136" t="e">
        <f ca="1">VALUE(RIGHT(VLOOKUP(B530,bond!B:R,17,FALSE),LEN(VLOOKUP(B530,bond!B:R,17,FALSE))-LEN(N530)-3))</f>
        <v>#N/A</v>
      </c>
      <c r="P530" s="135" t="e">
        <f ca="1">VLOOKUP($B530,bond!$B:$AG,32,FALSE)</f>
        <v>#N/A</v>
      </c>
      <c r="Q530" s="135" t="e">
        <f ca="1">VLOOKUP($B530,bond!$B:$AH,33,FALSE)</f>
        <v>#N/A</v>
      </c>
      <c r="R530" s="135" t="e">
        <f ca="1">VLOOKUP(B530,bond!B:AA,26,FALSE)</f>
        <v>#N/A</v>
      </c>
      <c r="S530" s="135" t="e">
        <f ca="1">VLOOKUP(B530,bond!B:AI,34,FALSE)</f>
        <v>#N/A</v>
      </c>
      <c r="T530" s="135" t="e">
        <f t="shared" ca="1" si="56"/>
        <v>#N/A</v>
      </c>
      <c r="U530" s="207" t="e">
        <f ca="1">IFERROR(VLOOKUP(T530,Bond_DES!D:E,2,FALSE),VLOOKUP(S530,bond!AI:AJ,2,FALSE))</f>
        <v>#N/A</v>
      </c>
      <c r="V530" s="136" t="e">
        <f ca="1">IFERROR(VLOOKUP(B530,'1_重設數據'!L:M,2,FALSE),IF(Q530="政府",IF(AD530&gt;16,"(NPI)非專投",IF(AD530&gt;10,"(PI)專投","高資產")),IF(VLOOKUP(B530,bond!B:AN,39,FALSE)="Y","(PI)專投",IF(AD530&gt;=15,"(NPI)非專投",IF(AD530&gt;=10,"(PI)專投","高資產")))))</f>
        <v>#N/A</v>
      </c>
      <c r="W530" s="136" t="e">
        <f ca="1">VLOOKUP(AD530,'credit rating'!$F$2:$H$22,3,FALSE)</f>
        <v>#N/A</v>
      </c>
      <c r="X530" s="136" t="e">
        <f t="shared" ca="1" si="57"/>
        <v>#N/A</v>
      </c>
      <c r="Y530" s="136" t="e">
        <f t="shared" ca="1" si="58"/>
        <v>#N/A</v>
      </c>
      <c r="Z530" s="136" t="e">
        <f t="shared" ca="1" si="59"/>
        <v>#N/A</v>
      </c>
      <c r="AA530" s="134">
        <f ca="1">IFERROR(VLOOKUP(X530,'credit rating'!A:C,3,FALSE),0)</f>
        <v>0</v>
      </c>
      <c r="AB530" s="134">
        <f ca="1">IFERROR(VLOOKUP(Y530,'credit rating'!B:C,2,FALSE),0)</f>
        <v>0</v>
      </c>
      <c r="AC530" s="136">
        <f ca="1">IFERROR(VLOOKUP(Z530,'credit rating'!B:C,2,FALSE),0)</f>
        <v>0</v>
      </c>
      <c r="AD530" s="136">
        <f t="shared" ca="1" si="60"/>
        <v>0</v>
      </c>
      <c r="AE530" s="249" t="str">
        <f ca="1">IFERROR(VLOOKUP(B530,bond!B:U,20,FALSE),"")</f>
        <v/>
      </c>
      <c r="AF530" s="136" t="e">
        <f ca="1">IF(VLOOKUP(B530,bond!B:AK,36,FALSE)="#N/A Field Not Applicable","",VLOOKUP(B530,bond!B:AK,36,FALSE))</f>
        <v>#N/A</v>
      </c>
      <c r="AG530" s="136" t="e">
        <f ca="1">IF(VLOOKUP(B530,bond!B:AL,37,FALSE)="FIXED","固定",IF(VLOOKUP(B530,bond!B:AL,37,FALSE)="FLOATING","浮動",IF(VLOOKUP(B530,bond!B:AL,37,FALSE)="VARIABLE","變動",IF(VLOOKUP(B530,bond!B:AL,37,FALSE)="FLAT TRADING","不含息交易",IF(VLOOKUP(B530,bond!B:AL,37,FALSE)="ZERO COUPON","零息",VLOOKUP(B530,bond!B:AL,37,FALSE))))))</f>
        <v>#N/A</v>
      </c>
      <c r="AH530" s="136" t="e">
        <f>VLOOKUP(C530,'2_Check_code'!I:J,2,FALSE)</f>
        <v>#N/A</v>
      </c>
      <c r="AI530" s="136" t="e">
        <f t="shared" ca="1" si="61"/>
        <v>#N/A</v>
      </c>
      <c r="AJ530" s="136" t="e">
        <f t="shared" ca="1" si="62"/>
        <v>#N/A</v>
      </c>
      <c r="AK530" s="594" t="e">
        <f ca="1">IF(VLOOKUP(B530,bond!B:S,18,FALSE)="是","有",IF(VLOOKUP(B530,bond!B:S,18,FALSE)="NO OFFER","無","需查詢"))</f>
        <v>#N/A</v>
      </c>
      <c r="AL530" s="136" t="e">
        <f>IF(VLOOKUP(A530,bond!F:AR,39,FALSE)="#N/A Field Not Applicable",VLOOKUP(A530,bond!F:AR,38,FALSE),IFERROR(VLOOKUP(A530,'7_發行日例外'!A:B,2,FALSE),VLOOKUP(A530,bond!F:AR,39,FALSE)))</f>
        <v>#N/A</v>
      </c>
      <c r="AM530" s="136" t="e">
        <f ca="1">VLOOKUP(B530,bond!B:AK,36,FALSE)</f>
        <v>#N/A</v>
      </c>
      <c r="AN530" s="136" t="str">
        <f ca="1">IFERROR(VLOOKUP(B530,'3_是否下架'!A:A,1,FALSE),"")</f>
        <v/>
      </c>
      <c r="AO530" s="136" t="e">
        <f ca="1">VLOOKUP(B530,bond!B:J,9,FALSE)</f>
        <v>#N/A</v>
      </c>
      <c r="AP530" s="136" t="e">
        <f ca="1">VLOOKUP(B530,bond!B:V,21,FALSE)</f>
        <v>#N/A</v>
      </c>
    </row>
    <row r="531" spans="1:42">
      <c r="A531" s="141">
        <f>bond!F532</f>
        <v>0</v>
      </c>
      <c r="B531" s="151">
        <f ca="1">IF($C$1=TRUE,bond!B532,"")</f>
        <v>0</v>
      </c>
      <c r="C531" s="95" t="e">
        <f>VLOOKUP(A531,bond!F:G,2,FALSE)</f>
        <v>#N/A</v>
      </c>
      <c r="D531" s="142" t="e">
        <f ca="1">VLOOKUP(B531,bond!B:C,2,FALSE)</f>
        <v>#N/A</v>
      </c>
      <c r="E531" s="95" t="e">
        <f ca="1">VLOOKUP(B531,bond!B:D,3,FALSE)</f>
        <v>#N/A</v>
      </c>
      <c r="F531" s="99" t="e">
        <f ca="1">VLOOKUP(B531,bond!B:AB,27,FALSE)</f>
        <v>#N/A</v>
      </c>
      <c r="G531" s="90" t="e">
        <f ca="1">VLOOKUP(B531,bond!B:E,4,FALSE)</f>
        <v>#N/A</v>
      </c>
      <c r="H531" s="202" t="e">
        <f ca="1">VLOOKUP(B531,bond!B:Y,24,FALSE)</f>
        <v>#N/A</v>
      </c>
      <c r="I531" s="95" t="e">
        <f ca="1">VLOOKUP(B531,bond!B:Z,25,FALSE)</f>
        <v>#N/A</v>
      </c>
      <c r="J531" s="180" t="e">
        <f ca="1">VLOOKUP(B531,bond!B:K,10,FALSE)</f>
        <v>#N/A</v>
      </c>
      <c r="K531" s="96" t="e">
        <f ca="1">VLOOKUP($B531,bond!B:S,14,FALSE)</f>
        <v>#N/A</v>
      </c>
      <c r="L531" s="91" t="e">
        <f ca="1">VLOOKUP(B531,bond!B:H,7,FALSE)</f>
        <v>#N/A</v>
      </c>
      <c r="M531" s="144" t="e">
        <f ca="1">VLOOKUP($B531,bond!$B:$Q,16,FALSE)</f>
        <v>#N/A</v>
      </c>
      <c r="N531" s="136" t="e">
        <f ca="1">VALUE(LEFT(VLOOKUP(B531,bond!B:R,17,FALSE),SEARCH(" ",VLOOKUP(B531,bond!B:R,17,FALSE),1)))</f>
        <v>#N/A</v>
      </c>
      <c r="O531" s="136" t="e">
        <f ca="1">VALUE(RIGHT(VLOOKUP(B531,bond!B:R,17,FALSE),LEN(VLOOKUP(B531,bond!B:R,17,FALSE))-LEN(N531)-3))</f>
        <v>#N/A</v>
      </c>
      <c r="P531" s="135" t="e">
        <f ca="1">VLOOKUP($B531,bond!$B:$AG,32,FALSE)</f>
        <v>#N/A</v>
      </c>
      <c r="Q531" s="135" t="e">
        <f ca="1">VLOOKUP($B531,bond!$B:$AH,33,FALSE)</f>
        <v>#N/A</v>
      </c>
      <c r="R531" s="135" t="e">
        <f ca="1">VLOOKUP(B531,bond!B:AA,26,FALSE)</f>
        <v>#N/A</v>
      </c>
      <c r="S531" s="135" t="e">
        <f ca="1">VLOOKUP(B531,bond!B:AI,34,FALSE)</f>
        <v>#N/A</v>
      </c>
      <c r="T531" s="135" t="e">
        <f t="shared" ca="1" si="56"/>
        <v>#N/A</v>
      </c>
      <c r="U531" s="207" t="e">
        <f ca="1">IFERROR(VLOOKUP(T531,Bond_DES!D:E,2,FALSE),VLOOKUP(S531,bond!AI:AJ,2,FALSE))</f>
        <v>#N/A</v>
      </c>
      <c r="V531" s="136" t="e">
        <f ca="1">IFERROR(VLOOKUP(B531,'1_重設數據'!L:M,2,FALSE),IF(Q531="政府",IF(AD531&gt;16,"(NPI)非專投",IF(AD531&gt;10,"(PI)專投","高資產")),IF(VLOOKUP(B531,bond!B:AN,39,FALSE)="Y","(PI)專投",IF(AD531&gt;=15,"(NPI)非專投",IF(AD531&gt;=10,"(PI)專投","高資產")))))</f>
        <v>#N/A</v>
      </c>
      <c r="W531" s="136" t="e">
        <f ca="1">VLOOKUP(AD531,'credit rating'!$F$2:$H$22,3,FALSE)</f>
        <v>#N/A</v>
      </c>
      <c r="X531" s="136" t="e">
        <f t="shared" ca="1" si="57"/>
        <v>#N/A</v>
      </c>
      <c r="Y531" s="136" t="e">
        <f t="shared" ca="1" si="58"/>
        <v>#N/A</v>
      </c>
      <c r="Z531" s="136" t="e">
        <f t="shared" ca="1" si="59"/>
        <v>#N/A</v>
      </c>
      <c r="AA531" s="134">
        <f ca="1">IFERROR(VLOOKUP(X531,'credit rating'!A:C,3,FALSE),0)</f>
        <v>0</v>
      </c>
      <c r="AB531" s="134">
        <f ca="1">IFERROR(VLOOKUP(Y531,'credit rating'!B:C,2,FALSE),0)</f>
        <v>0</v>
      </c>
      <c r="AC531" s="136">
        <f ca="1">IFERROR(VLOOKUP(Z531,'credit rating'!B:C,2,FALSE),0)</f>
        <v>0</v>
      </c>
      <c r="AD531" s="136">
        <f t="shared" ca="1" si="60"/>
        <v>0</v>
      </c>
      <c r="AE531" s="249" t="str">
        <f ca="1">IFERROR(VLOOKUP(B531,bond!B:U,20,FALSE),"")</f>
        <v/>
      </c>
      <c r="AF531" s="136" t="e">
        <f ca="1">IF(VLOOKUP(B531,bond!B:AK,36,FALSE)="#N/A Field Not Applicable","",VLOOKUP(B531,bond!B:AK,36,FALSE))</f>
        <v>#N/A</v>
      </c>
      <c r="AG531" s="136" t="e">
        <f ca="1">IF(VLOOKUP(B531,bond!B:AL,37,FALSE)="FIXED","固定",IF(VLOOKUP(B531,bond!B:AL,37,FALSE)="FLOATING","浮動",IF(VLOOKUP(B531,bond!B:AL,37,FALSE)="VARIABLE","變動",IF(VLOOKUP(B531,bond!B:AL,37,FALSE)="FLAT TRADING","不含息交易",IF(VLOOKUP(B531,bond!B:AL,37,FALSE)="ZERO COUPON","零息",VLOOKUP(B531,bond!B:AL,37,FALSE))))))</f>
        <v>#N/A</v>
      </c>
      <c r="AH531" s="136" t="e">
        <f>VLOOKUP(C531,'2_Check_code'!I:J,2,FALSE)</f>
        <v>#N/A</v>
      </c>
      <c r="AI531" s="136" t="e">
        <f t="shared" ca="1" si="61"/>
        <v>#N/A</v>
      </c>
      <c r="AJ531" s="136" t="e">
        <f t="shared" ca="1" si="62"/>
        <v>#N/A</v>
      </c>
      <c r="AK531" s="594" t="e">
        <f ca="1">IF(VLOOKUP(B531,bond!B:S,18,FALSE)="是","有",IF(VLOOKUP(B531,bond!B:S,18,FALSE)="NO OFFER","無","需查詢"))</f>
        <v>#N/A</v>
      </c>
      <c r="AL531" s="136" t="e">
        <f>IF(VLOOKUP(A531,bond!F:AR,39,FALSE)="#N/A Field Not Applicable",VLOOKUP(A531,bond!F:AR,38,FALSE),IFERROR(VLOOKUP(A531,'7_發行日例外'!A:B,2,FALSE),VLOOKUP(A531,bond!F:AR,39,FALSE)))</f>
        <v>#N/A</v>
      </c>
      <c r="AM531" s="136" t="e">
        <f ca="1">VLOOKUP(B531,bond!B:AK,36,FALSE)</f>
        <v>#N/A</v>
      </c>
      <c r="AN531" s="136" t="str">
        <f ca="1">IFERROR(VLOOKUP(B531,'3_是否下架'!A:A,1,FALSE),"")</f>
        <v/>
      </c>
      <c r="AO531" s="136" t="e">
        <f ca="1">VLOOKUP(B531,bond!B:J,9,FALSE)</f>
        <v>#N/A</v>
      </c>
      <c r="AP531" s="136" t="e">
        <f ca="1">VLOOKUP(B531,bond!B:V,21,FALSE)</f>
        <v>#N/A</v>
      </c>
    </row>
    <row r="532" spans="1:42">
      <c r="A532" s="141">
        <f>bond!F533</f>
        <v>0</v>
      </c>
      <c r="B532" s="151">
        <f ca="1">IF($C$1=TRUE,bond!B533,"")</f>
        <v>0</v>
      </c>
      <c r="C532" s="95" t="e">
        <f>VLOOKUP(A532,bond!F:G,2,FALSE)</f>
        <v>#N/A</v>
      </c>
      <c r="D532" s="142" t="e">
        <f ca="1">VLOOKUP(B532,bond!B:C,2,FALSE)</f>
        <v>#N/A</v>
      </c>
      <c r="E532" s="95" t="e">
        <f ca="1">VLOOKUP(B532,bond!B:D,3,FALSE)</f>
        <v>#N/A</v>
      </c>
      <c r="F532" s="99" t="e">
        <f ca="1">VLOOKUP(B532,bond!B:AB,27,FALSE)</f>
        <v>#N/A</v>
      </c>
      <c r="G532" s="90" t="e">
        <f ca="1">VLOOKUP(B532,bond!B:E,4,FALSE)</f>
        <v>#N/A</v>
      </c>
      <c r="H532" s="202" t="e">
        <f ca="1">VLOOKUP(B532,bond!B:Y,24,FALSE)</f>
        <v>#N/A</v>
      </c>
      <c r="I532" s="95" t="e">
        <f ca="1">VLOOKUP(B532,bond!B:Z,25,FALSE)</f>
        <v>#N/A</v>
      </c>
      <c r="J532" s="180" t="e">
        <f ca="1">VLOOKUP(B532,bond!B:K,10,FALSE)</f>
        <v>#N/A</v>
      </c>
      <c r="K532" s="96" t="e">
        <f ca="1">VLOOKUP($B532,bond!B:S,14,FALSE)</f>
        <v>#N/A</v>
      </c>
      <c r="L532" s="91" t="e">
        <f ca="1">VLOOKUP(B532,bond!B:H,7,FALSE)</f>
        <v>#N/A</v>
      </c>
      <c r="M532" s="144" t="e">
        <f ca="1">VLOOKUP($B532,bond!$B:$Q,16,FALSE)</f>
        <v>#N/A</v>
      </c>
      <c r="N532" s="136" t="e">
        <f ca="1">VALUE(LEFT(VLOOKUP(B532,bond!B:R,17,FALSE),SEARCH(" ",VLOOKUP(B532,bond!B:R,17,FALSE),1)))</f>
        <v>#N/A</v>
      </c>
      <c r="O532" s="136" t="e">
        <f ca="1">VALUE(RIGHT(VLOOKUP(B532,bond!B:R,17,FALSE),LEN(VLOOKUP(B532,bond!B:R,17,FALSE))-LEN(N532)-3))</f>
        <v>#N/A</v>
      </c>
      <c r="P532" s="135" t="e">
        <f ca="1">VLOOKUP($B532,bond!$B:$AG,32,FALSE)</f>
        <v>#N/A</v>
      </c>
      <c r="Q532" s="135" t="e">
        <f ca="1">VLOOKUP($B532,bond!$B:$AH,33,FALSE)</f>
        <v>#N/A</v>
      </c>
      <c r="R532" s="135" t="e">
        <f ca="1">VLOOKUP(B532,bond!B:AA,26,FALSE)</f>
        <v>#N/A</v>
      </c>
      <c r="S532" s="135" t="e">
        <f ca="1">VLOOKUP(B532,bond!B:AI,34,FALSE)</f>
        <v>#N/A</v>
      </c>
      <c r="T532" s="135" t="e">
        <f t="shared" ca="1" si="56"/>
        <v>#N/A</v>
      </c>
      <c r="U532" s="207" t="e">
        <f ca="1">IFERROR(VLOOKUP(T532,Bond_DES!D:E,2,FALSE),VLOOKUP(S532,bond!AI:AJ,2,FALSE))</f>
        <v>#N/A</v>
      </c>
      <c r="V532" s="136" t="e">
        <f ca="1">IFERROR(VLOOKUP(B532,'1_重設數據'!L:M,2,FALSE),IF(Q532="政府",IF(AD532&gt;16,"(NPI)非專投",IF(AD532&gt;10,"(PI)專投","高資產")),IF(VLOOKUP(B532,bond!B:AN,39,FALSE)="Y","(PI)專投",IF(AD532&gt;=15,"(NPI)非專投",IF(AD532&gt;=10,"(PI)專投","高資產")))))</f>
        <v>#N/A</v>
      </c>
      <c r="W532" s="136" t="e">
        <f ca="1">VLOOKUP(AD532,'credit rating'!$F$2:$H$22,3,FALSE)</f>
        <v>#N/A</v>
      </c>
      <c r="X532" s="136" t="e">
        <f t="shared" ca="1" si="57"/>
        <v>#N/A</v>
      </c>
      <c r="Y532" s="136" t="e">
        <f t="shared" ca="1" si="58"/>
        <v>#N/A</v>
      </c>
      <c r="Z532" s="136" t="e">
        <f t="shared" ca="1" si="59"/>
        <v>#N/A</v>
      </c>
      <c r="AA532" s="134">
        <f ca="1">IFERROR(VLOOKUP(X532,'credit rating'!A:C,3,FALSE),0)</f>
        <v>0</v>
      </c>
      <c r="AB532" s="134">
        <f ca="1">IFERROR(VLOOKUP(Y532,'credit rating'!B:C,2,FALSE),0)</f>
        <v>0</v>
      </c>
      <c r="AC532" s="136">
        <f ca="1">IFERROR(VLOOKUP(Z532,'credit rating'!B:C,2,FALSE),0)</f>
        <v>0</v>
      </c>
      <c r="AD532" s="136">
        <f t="shared" ca="1" si="60"/>
        <v>0</v>
      </c>
      <c r="AE532" s="249" t="str">
        <f ca="1">IFERROR(VLOOKUP(B532,bond!B:U,20,FALSE),"")</f>
        <v/>
      </c>
      <c r="AF532" s="136" t="e">
        <f ca="1">IF(VLOOKUP(B532,bond!B:AK,36,FALSE)="#N/A Field Not Applicable","",VLOOKUP(B532,bond!B:AK,36,FALSE))</f>
        <v>#N/A</v>
      </c>
      <c r="AG532" s="136" t="e">
        <f ca="1">IF(VLOOKUP(B532,bond!B:AL,37,FALSE)="FIXED","固定",IF(VLOOKUP(B532,bond!B:AL,37,FALSE)="FLOATING","浮動",IF(VLOOKUP(B532,bond!B:AL,37,FALSE)="VARIABLE","變動",IF(VLOOKUP(B532,bond!B:AL,37,FALSE)="FLAT TRADING","不含息交易",IF(VLOOKUP(B532,bond!B:AL,37,FALSE)="ZERO COUPON","零息",VLOOKUP(B532,bond!B:AL,37,FALSE))))))</f>
        <v>#N/A</v>
      </c>
      <c r="AH532" s="136" t="e">
        <f>VLOOKUP(C532,'2_Check_code'!I:J,2,FALSE)</f>
        <v>#N/A</v>
      </c>
      <c r="AI532" s="136" t="e">
        <f t="shared" ca="1" si="61"/>
        <v>#N/A</v>
      </c>
      <c r="AJ532" s="136" t="e">
        <f t="shared" ca="1" si="62"/>
        <v>#N/A</v>
      </c>
      <c r="AK532" s="594" t="e">
        <f ca="1">IF(VLOOKUP(B532,bond!B:S,18,FALSE)="是","有",IF(VLOOKUP(B532,bond!B:S,18,FALSE)="NO OFFER","無","需查詢"))</f>
        <v>#N/A</v>
      </c>
      <c r="AL532" s="136" t="e">
        <f>IF(VLOOKUP(A532,bond!F:AR,39,FALSE)="#N/A Field Not Applicable",VLOOKUP(A532,bond!F:AR,38,FALSE),IFERROR(VLOOKUP(A532,'7_發行日例外'!A:B,2,FALSE),VLOOKUP(A532,bond!F:AR,39,FALSE)))</f>
        <v>#N/A</v>
      </c>
      <c r="AM532" s="136" t="e">
        <f ca="1">VLOOKUP(B532,bond!B:AK,36,FALSE)</f>
        <v>#N/A</v>
      </c>
      <c r="AN532" s="136" t="str">
        <f ca="1">IFERROR(VLOOKUP(B532,'3_是否下架'!A:A,1,FALSE),"")</f>
        <v/>
      </c>
      <c r="AO532" s="136" t="e">
        <f ca="1">VLOOKUP(B532,bond!B:J,9,FALSE)</f>
        <v>#N/A</v>
      </c>
      <c r="AP532" s="136" t="e">
        <f ca="1">VLOOKUP(B532,bond!B:V,21,FALSE)</f>
        <v>#N/A</v>
      </c>
    </row>
    <row r="533" spans="1:42">
      <c r="A533" s="141">
        <f>bond!F534</f>
        <v>0</v>
      </c>
      <c r="B533" s="151">
        <f ca="1">IF($C$1=TRUE,bond!B534,"")</f>
        <v>0</v>
      </c>
      <c r="C533" s="95" t="e">
        <f>VLOOKUP(A533,bond!F:G,2,FALSE)</f>
        <v>#N/A</v>
      </c>
      <c r="D533" s="142" t="e">
        <f ca="1">VLOOKUP(B533,bond!B:C,2,FALSE)</f>
        <v>#N/A</v>
      </c>
      <c r="E533" s="95" t="e">
        <f ca="1">VLOOKUP(B533,bond!B:D,3,FALSE)</f>
        <v>#N/A</v>
      </c>
      <c r="F533" s="99" t="e">
        <f ca="1">VLOOKUP(B533,bond!B:AB,27,FALSE)</f>
        <v>#N/A</v>
      </c>
      <c r="G533" s="90" t="e">
        <f ca="1">VLOOKUP(B533,bond!B:E,4,FALSE)</f>
        <v>#N/A</v>
      </c>
      <c r="H533" s="202" t="e">
        <f ca="1">VLOOKUP(B533,bond!B:Y,24,FALSE)</f>
        <v>#N/A</v>
      </c>
      <c r="I533" s="95" t="e">
        <f ca="1">VLOOKUP(B533,bond!B:Z,25,FALSE)</f>
        <v>#N/A</v>
      </c>
      <c r="J533" s="180" t="e">
        <f ca="1">VLOOKUP(B533,bond!B:K,10,FALSE)</f>
        <v>#N/A</v>
      </c>
      <c r="K533" s="96" t="e">
        <f ca="1">VLOOKUP($B533,bond!B:S,14,FALSE)</f>
        <v>#N/A</v>
      </c>
      <c r="L533" s="91" t="e">
        <f ca="1">VLOOKUP(B533,bond!B:H,7,FALSE)</f>
        <v>#N/A</v>
      </c>
      <c r="M533" s="144" t="e">
        <f ca="1">VLOOKUP($B533,bond!$B:$Q,16,FALSE)</f>
        <v>#N/A</v>
      </c>
      <c r="N533" s="136" t="e">
        <f ca="1">VALUE(LEFT(VLOOKUP(B533,bond!B:R,17,FALSE),SEARCH(" ",VLOOKUP(B533,bond!B:R,17,FALSE),1)))</f>
        <v>#N/A</v>
      </c>
      <c r="O533" s="136" t="e">
        <f ca="1">VALUE(RIGHT(VLOOKUP(B533,bond!B:R,17,FALSE),LEN(VLOOKUP(B533,bond!B:R,17,FALSE))-LEN(N533)-3))</f>
        <v>#N/A</v>
      </c>
      <c r="P533" s="135" t="e">
        <f ca="1">VLOOKUP($B533,bond!$B:$AG,32,FALSE)</f>
        <v>#N/A</v>
      </c>
      <c r="Q533" s="135" t="e">
        <f ca="1">VLOOKUP($B533,bond!$B:$AH,33,FALSE)</f>
        <v>#N/A</v>
      </c>
      <c r="R533" s="135" t="e">
        <f ca="1">VLOOKUP(B533,bond!B:AA,26,FALSE)</f>
        <v>#N/A</v>
      </c>
      <c r="S533" s="135" t="e">
        <f ca="1">VLOOKUP(B533,bond!B:AI,34,FALSE)</f>
        <v>#N/A</v>
      </c>
      <c r="T533" s="135" t="e">
        <f t="shared" ca="1" si="56"/>
        <v>#N/A</v>
      </c>
      <c r="U533" s="207" t="e">
        <f ca="1">IFERROR(VLOOKUP(T533,Bond_DES!D:E,2,FALSE),VLOOKUP(S533,bond!AI:AJ,2,FALSE))</f>
        <v>#N/A</v>
      </c>
      <c r="V533" s="136" t="e">
        <f ca="1">IFERROR(VLOOKUP(B533,'1_重設數據'!L:M,2,FALSE),IF(Q533="政府",IF(AD533&gt;16,"(NPI)非專投",IF(AD533&gt;10,"(PI)專投","高資產")),IF(VLOOKUP(B533,bond!B:AN,39,FALSE)="Y","(PI)專投",IF(AD533&gt;=15,"(NPI)非專投",IF(AD533&gt;=10,"(PI)專投","高資產")))))</f>
        <v>#N/A</v>
      </c>
      <c r="W533" s="136" t="e">
        <f ca="1">VLOOKUP(AD533,'credit rating'!$F$2:$H$22,3,FALSE)</f>
        <v>#N/A</v>
      </c>
      <c r="X533" s="136" t="e">
        <f t="shared" ca="1" si="57"/>
        <v>#N/A</v>
      </c>
      <c r="Y533" s="136" t="e">
        <f t="shared" ca="1" si="58"/>
        <v>#N/A</v>
      </c>
      <c r="Z533" s="136" t="e">
        <f t="shared" ca="1" si="59"/>
        <v>#N/A</v>
      </c>
      <c r="AA533" s="134">
        <f ca="1">IFERROR(VLOOKUP(X533,'credit rating'!A:C,3,FALSE),0)</f>
        <v>0</v>
      </c>
      <c r="AB533" s="134">
        <f ca="1">IFERROR(VLOOKUP(Y533,'credit rating'!B:C,2,FALSE),0)</f>
        <v>0</v>
      </c>
      <c r="AC533" s="136">
        <f ca="1">IFERROR(VLOOKUP(Z533,'credit rating'!B:C,2,FALSE),0)</f>
        <v>0</v>
      </c>
      <c r="AD533" s="136">
        <f t="shared" ca="1" si="60"/>
        <v>0</v>
      </c>
      <c r="AE533" s="249" t="str">
        <f ca="1">IFERROR(VLOOKUP(B533,bond!B:U,20,FALSE),"")</f>
        <v/>
      </c>
      <c r="AF533" s="136" t="e">
        <f ca="1">IF(VLOOKUP(B533,bond!B:AK,36,FALSE)="#N/A Field Not Applicable","",VLOOKUP(B533,bond!B:AK,36,FALSE))</f>
        <v>#N/A</v>
      </c>
      <c r="AG533" s="136" t="e">
        <f ca="1">IF(VLOOKUP(B533,bond!B:AL,37,FALSE)="FIXED","固定",IF(VLOOKUP(B533,bond!B:AL,37,FALSE)="FLOATING","浮動",IF(VLOOKUP(B533,bond!B:AL,37,FALSE)="VARIABLE","變動",IF(VLOOKUP(B533,bond!B:AL,37,FALSE)="FLAT TRADING","不含息交易",IF(VLOOKUP(B533,bond!B:AL,37,FALSE)="ZERO COUPON","零息",VLOOKUP(B533,bond!B:AL,37,FALSE))))))</f>
        <v>#N/A</v>
      </c>
      <c r="AH533" s="136" t="e">
        <f>VLOOKUP(C533,'2_Check_code'!I:J,2,FALSE)</f>
        <v>#N/A</v>
      </c>
      <c r="AI533" s="136" t="e">
        <f t="shared" ca="1" si="61"/>
        <v>#N/A</v>
      </c>
      <c r="AJ533" s="136" t="e">
        <f t="shared" ca="1" si="62"/>
        <v>#N/A</v>
      </c>
      <c r="AK533" s="594" t="e">
        <f ca="1">IF(VLOOKUP(B533,bond!B:S,18,FALSE)="是","有",IF(VLOOKUP(B533,bond!B:S,18,FALSE)="NO OFFER","無","需查詢"))</f>
        <v>#N/A</v>
      </c>
      <c r="AL533" s="136" t="e">
        <f>IF(VLOOKUP(A533,bond!F:AR,39,FALSE)="#N/A Field Not Applicable",VLOOKUP(A533,bond!F:AR,38,FALSE),IFERROR(VLOOKUP(A533,'7_發行日例外'!A:B,2,FALSE),VLOOKUP(A533,bond!F:AR,39,FALSE)))</f>
        <v>#N/A</v>
      </c>
      <c r="AM533" s="136" t="e">
        <f ca="1">VLOOKUP(B533,bond!B:AK,36,FALSE)</f>
        <v>#N/A</v>
      </c>
      <c r="AN533" s="136" t="str">
        <f ca="1">IFERROR(VLOOKUP(B533,'3_是否下架'!A:A,1,FALSE),"")</f>
        <v/>
      </c>
      <c r="AO533" s="136" t="e">
        <f ca="1">VLOOKUP(B533,bond!B:J,9,FALSE)</f>
        <v>#N/A</v>
      </c>
      <c r="AP533" s="136" t="e">
        <f ca="1">VLOOKUP(B533,bond!B:V,21,FALSE)</f>
        <v>#N/A</v>
      </c>
    </row>
    <row r="534" spans="1:42">
      <c r="A534" s="141">
        <f>bond!F535</f>
        <v>0</v>
      </c>
      <c r="B534" s="151">
        <f ca="1">IF($C$1=TRUE,bond!B535,"")</f>
        <v>0</v>
      </c>
      <c r="C534" s="95" t="e">
        <f>VLOOKUP(A534,bond!F:G,2,FALSE)</f>
        <v>#N/A</v>
      </c>
      <c r="D534" s="142" t="e">
        <f ca="1">VLOOKUP(B534,bond!B:C,2,FALSE)</f>
        <v>#N/A</v>
      </c>
      <c r="E534" s="95" t="e">
        <f ca="1">VLOOKUP(B534,bond!B:D,3,FALSE)</f>
        <v>#N/A</v>
      </c>
      <c r="F534" s="99" t="e">
        <f ca="1">VLOOKUP(B534,bond!B:AB,27,FALSE)</f>
        <v>#N/A</v>
      </c>
      <c r="G534" s="90" t="e">
        <f ca="1">VLOOKUP(B534,bond!B:E,4,FALSE)</f>
        <v>#N/A</v>
      </c>
      <c r="H534" s="202" t="e">
        <f ca="1">VLOOKUP(B534,bond!B:Y,24,FALSE)</f>
        <v>#N/A</v>
      </c>
      <c r="I534" s="95" t="e">
        <f ca="1">VLOOKUP(B534,bond!B:Z,25,FALSE)</f>
        <v>#N/A</v>
      </c>
      <c r="J534" s="180" t="e">
        <f ca="1">VLOOKUP(B534,bond!B:K,10,FALSE)</f>
        <v>#N/A</v>
      </c>
      <c r="K534" s="96" t="e">
        <f ca="1">VLOOKUP($B534,bond!B:S,14,FALSE)</f>
        <v>#N/A</v>
      </c>
      <c r="L534" s="91" t="e">
        <f ca="1">VLOOKUP(B534,bond!B:H,7,FALSE)</f>
        <v>#N/A</v>
      </c>
      <c r="M534" s="144" t="e">
        <f ca="1">VLOOKUP($B534,bond!$B:$Q,16,FALSE)</f>
        <v>#N/A</v>
      </c>
      <c r="N534" s="136" t="e">
        <f ca="1">VALUE(LEFT(VLOOKUP(B534,bond!B:R,17,FALSE),SEARCH(" ",VLOOKUP(B534,bond!B:R,17,FALSE),1)))</f>
        <v>#N/A</v>
      </c>
      <c r="O534" s="136" t="e">
        <f ca="1">VALUE(RIGHT(VLOOKUP(B534,bond!B:R,17,FALSE),LEN(VLOOKUP(B534,bond!B:R,17,FALSE))-LEN(N534)-3))</f>
        <v>#N/A</v>
      </c>
      <c r="P534" s="135" t="e">
        <f ca="1">VLOOKUP($B534,bond!$B:$AG,32,FALSE)</f>
        <v>#N/A</v>
      </c>
      <c r="Q534" s="135" t="e">
        <f ca="1">VLOOKUP($B534,bond!$B:$AH,33,FALSE)</f>
        <v>#N/A</v>
      </c>
      <c r="R534" s="135" t="e">
        <f ca="1">VLOOKUP(B534,bond!B:AA,26,FALSE)</f>
        <v>#N/A</v>
      </c>
      <c r="S534" s="135" t="e">
        <f ca="1">VLOOKUP(B534,bond!B:AI,34,FALSE)</f>
        <v>#N/A</v>
      </c>
      <c r="T534" s="135" t="e">
        <f t="shared" ca="1" si="56"/>
        <v>#N/A</v>
      </c>
      <c r="U534" s="207" t="e">
        <f ca="1">IFERROR(VLOOKUP(T534,Bond_DES!D:E,2,FALSE),VLOOKUP(S534,bond!AI:AJ,2,FALSE))</f>
        <v>#N/A</v>
      </c>
      <c r="V534" s="136" t="e">
        <f ca="1">IFERROR(VLOOKUP(B534,'1_重設數據'!L:M,2,FALSE),IF(Q534="政府",IF(AD534&gt;16,"(NPI)非專投",IF(AD534&gt;10,"(PI)專投","高資產")),IF(VLOOKUP(B534,bond!B:AN,39,FALSE)="Y","(PI)專投",IF(AD534&gt;=15,"(NPI)非專投",IF(AD534&gt;=10,"(PI)專投","高資產")))))</f>
        <v>#N/A</v>
      </c>
      <c r="W534" s="136" t="e">
        <f ca="1">VLOOKUP(AD534,'credit rating'!$F$2:$H$22,3,FALSE)</f>
        <v>#N/A</v>
      </c>
      <c r="X534" s="136" t="e">
        <f t="shared" ca="1" si="57"/>
        <v>#N/A</v>
      </c>
      <c r="Y534" s="136" t="e">
        <f t="shared" ca="1" si="58"/>
        <v>#N/A</v>
      </c>
      <c r="Z534" s="136" t="e">
        <f t="shared" ca="1" si="59"/>
        <v>#N/A</v>
      </c>
      <c r="AA534" s="134">
        <f ca="1">IFERROR(VLOOKUP(X534,'credit rating'!A:C,3,FALSE),0)</f>
        <v>0</v>
      </c>
      <c r="AB534" s="134">
        <f ca="1">IFERROR(VLOOKUP(Y534,'credit rating'!B:C,2,FALSE),0)</f>
        <v>0</v>
      </c>
      <c r="AC534" s="136">
        <f ca="1">IFERROR(VLOOKUP(Z534,'credit rating'!B:C,2,FALSE),0)</f>
        <v>0</v>
      </c>
      <c r="AD534" s="136">
        <f t="shared" ca="1" si="60"/>
        <v>0</v>
      </c>
      <c r="AE534" s="249" t="str">
        <f ca="1">IFERROR(VLOOKUP(B534,bond!B:U,20,FALSE),"")</f>
        <v/>
      </c>
      <c r="AF534" s="136" t="e">
        <f ca="1">IF(VLOOKUP(B534,bond!B:AK,36,FALSE)="#N/A Field Not Applicable","",VLOOKUP(B534,bond!B:AK,36,FALSE))</f>
        <v>#N/A</v>
      </c>
      <c r="AG534" s="136" t="e">
        <f ca="1">IF(VLOOKUP(B534,bond!B:AL,37,FALSE)="FIXED","固定",IF(VLOOKUP(B534,bond!B:AL,37,FALSE)="FLOATING","浮動",IF(VLOOKUP(B534,bond!B:AL,37,FALSE)="VARIABLE","變動",IF(VLOOKUP(B534,bond!B:AL,37,FALSE)="FLAT TRADING","不含息交易",IF(VLOOKUP(B534,bond!B:AL,37,FALSE)="ZERO COUPON","零息",VLOOKUP(B534,bond!B:AL,37,FALSE))))))</f>
        <v>#N/A</v>
      </c>
      <c r="AH534" s="136" t="e">
        <f>VLOOKUP(C534,'2_Check_code'!I:J,2,FALSE)</f>
        <v>#N/A</v>
      </c>
      <c r="AI534" s="136" t="e">
        <f t="shared" ca="1" si="61"/>
        <v>#N/A</v>
      </c>
      <c r="AJ534" s="136" t="e">
        <f t="shared" ca="1" si="62"/>
        <v>#N/A</v>
      </c>
      <c r="AK534" s="594" t="e">
        <f ca="1">IF(VLOOKUP(B534,bond!B:S,18,FALSE)="是","有",IF(VLOOKUP(B534,bond!B:S,18,FALSE)="NO OFFER","無","需查詢"))</f>
        <v>#N/A</v>
      </c>
      <c r="AL534" s="136" t="e">
        <f>IF(VLOOKUP(A534,bond!F:AR,39,FALSE)="#N/A Field Not Applicable",VLOOKUP(A534,bond!F:AR,38,FALSE),IFERROR(VLOOKUP(A534,'7_發行日例外'!A:B,2,FALSE),VLOOKUP(A534,bond!F:AR,39,FALSE)))</f>
        <v>#N/A</v>
      </c>
      <c r="AM534" s="136" t="e">
        <f ca="1">VLOOKUP(B534,bond!B:AK,36,FALSE)</f>
        <v>#N/A</v>
      </c>
      <c r="AN534" s="136" t="str">
        <f ca="1">IFERROR(VLOOKUP(B534,'3_是否下架'!A:A,1,FALSE),"")</f>
        <v/>
      </c>
      <c r="AO534" s="136" t="e">
        <f ca="1">VLOOKUP(B534,bond!B:J,9,FALSE)</f>
        <v>#N/A</v>
      </c>
      <c r="AP534" s="136" t="e">
        <f ca="1">VLOOKUP(B534,bond!B:V,21,FALSE)</f>
        <v>#N/A</v>
      </c>
    </row>
    <row r="535" spans="1:42">
      <c r="A535" s="141">
        <f>bond!F536</f>
        <v>0</v>
      </c>
      <c r="B535" s="151">
        <f ca="1">IF($C$1=TRUE,bond!B536,"")</f>
        <v>0</v>
      </c>
      <c r="C535" s="95" t="e">
        <f>VLOOKUP(A535,bond!F:G,2,FALSE)</f>
        <v>#N/A</v>
      </c>
      <c r="D535" s="142" t="e">
        <f ca="1">VLOOKUP(B535,bond!B:C,2,FALSE)</f>
        <v>#N/A</v>
      </c>
      <c r="E535" s="95" t="e">
        <f ca="1">VLOOKUP(B535,bond!B:D,3,FALSE)</f>
        <v>#N/A</v>
      </c>
      <c r="F535" s="99" t="e">
        <f ca="1">VLOOKUP(B535,bond!B:AB,27,FALSE)</f>
        <v>#N/A</v>
      </c>
      <c r="G535" s="90" t="e">
        <f ca="1">VLOOKUP(B535,bond!B:E,4,FALSE)</f>
        <v>#N/A</v>
      </c>
      <c r="H535" s="202" t="e">
        <f ca="1">VLOOKUP(B535,bond!B:Y,24,FALSE)</f>
        <v>#N/A</v>
      </c>
      <c r="I535" s="95" t="e">
        <f ca="1">VLOOKUP(B535,bond!B:Z,25,FALSE)</f>
        <v>#N/A</v>
      </c>
      <c r="J535" s="180" t="e">
        <f ca="1">VLOOKUP(B535,bond!B:K,10,FALSE)</f>
        <v>#N/A</v>
      </c>
      <c r="K535" s="96" t="e">
        <f ca="1">VLOOKUP($B535,bond!B:S,14,FALSE)</f>
        <v>#N/A</v>
      </c>
      <c r="L535" s="91" t="e">
        <f ca="1">VLOOKUP(B535,bond!B:H,7,FALSE)</f>
        <v>#N/A</v>
      </c>
      <c r="M535" s="144" t="e">
        <f ca="1">VLOOKUP($B535,bond!$B:$Q,16,FALSE)</f>
        <v>#N/A</v>
      </c>
      <c r="N535" s="136" t="e">
        <f ca="1">VALUE(LEFT(VLOOKUP(B535,bond!B:R,17,FALSE),SEARCH(" ",VLOOKUP(B535,bond!B:R,17,FALSE),1)))</f>
        <v>#N/A</v>
      </c>
      <c r="O535" s="136" t="e">
        <f ca="1">VALUE(RIGHT(VLOOKUP(B535,bond!B:R,17,FALSE),LEN(VLOOKUP(B535,bond!B:R,17,FALSE))-LEN(N535)-3))</f>
        <v>#N/A</v>
      </c>
      <c r="P535" s="135" t="e">
        <f ca="1">VLOOKUP($B535,bond!$B:$AG,32,FALSE)</f>
        <v>#N/A</v>
      </c>
      <c r="Q535" s="135" t="e">
        <f ca="1">VLOOKUP($B535,bond!$B:$AH,33,FALSE)</f>
        <v>#N/A</v>
      </c>
      <c r="R535" s="135" t="e">
        <f ca="1">VLOOKUP(B535,bond!B:AA,26,FALSE)</f>
        <v>#N/A</v>
      </c>
      <c r="S535" s="135" t="e">
        <f ca="1">VLOOKUP(B535,bond!B:AI,34,FALSE)</f>
        <v>#N/A</v>
      </c>
      <c r="T535" s="135" t="e">
        <f t="shared" ca="1" si="56"/>
        <v>#N/A</v>
      </c>
      <c r="U535" s="207" t="e">
        <f ca="1">IFERROR(VLOOKUP(T535,Bond_DES!D:E,2,FALSE),VLOOKUP(S535,bond!AI:AJ,2,FALSE))</f>
        <v>#N/A</v>
      </c>
      <c r="V535" s="136" t="e">
        <f ca="1">IFERROR(VLOOKUP(B535,'1_重設數據'!L:M,2,FALSE),IF(Q535="政府",IF(AD535&gt;16,"(NPI)非專投",IF(AD535&gt;10,"(PI)專投","高資產")),IF(VLOOKUP(B535,bond!B:AN,39,FALSE)="Y","(PI)專投",IF(AD535&gt;=15,"(NPI)非專投",IF(AD535&gt;=10,"(PI)專投","高資產")))))</f>
        <v>#N/A</v>
      </c>
      <c r="W535" s="136" t="e">
        <f ca="1">VLOOKUP(AD535,'credit rating'!$F$2:$H$22,3,FALSE)</f>
        <v>#N/A</v>
      </c>
      <c r="X535" s="136" t="e">
        <f t="shared" ca="1" si="57"/>
        <v>#N/A</v>
      </c>
      <c r="Y535" s="136" t="e">
        <f t="shared" ca="1" si="58"/>
        <v>#N/A</v>
      </c>
      <c r="Z535" s="136" t="e">
        <f t="shared" ca="1" si="59"/>
        <v>#N/A</v>
      </c>
      <c r="AA535" s="134">
        <f ca="1">IFERROR(VLOOKUP(X535,'credit rating'!A:C,3,FALSE),0)</f>
        <v>0</v>
      </c>
      <c r="AB535" s="134">
        <f ca="1">IFERROR(VLOOKUP(Y535,'credit rating'!B:C,2,FALSE),0)</f>
        <v>0</v>
      </c>
      <c r="AC535" s="136">
        <f ca="1">IFERROR(VLOOKUP(Z535,'credit rating'!B:C,2,FALSE),0)</f>
        <v>0</v>
      </c>
      <c r="AD535" s="136">
        <f t="shared" ca="1" si="60"/>
        <v>0</v>
      </c>
      <c r="AE535" s="249" t="str">
        <f ca="1">IFERROR(VLOOKUP(B535,bond!B:U,20,FALSE),"")</f>
        <v/>
      </c>
      <c r="AF535" s="136" t="e">
        <f ca="1">IF(VLOOKUP(B535,bond!B:AK,36,FALSE)="#N/A Field Not Applicable","",VLOOKUP(B535,bond!B:AK,36,FALSE))</f>
        <v>#N/A</v>
      </c>
      <c r="AG535" s="136" t="e">
        <f ca="1">IF(VLOOKUP(B535,bond!B:AL,37,FALSE)="FIXED","固定",IF(VLOOKUP(B535,bond!B:AL,37,FALSE)="FLOATING","浮動",IF(VLOOKUP(B535,bond!B:AL,37,FALSE)="VARIABLE","變動",IF(VLOOKUP(B535,bond!B:AL,37,FALSE)="FLAT TRADING","不含息交易",IF(VLOOKUP(B535,bond!B:AL,37,FALSE)="ZERO COUPON","零息",VLOOKUP(B535,bond!B:AL,37,FALSE))))))</f>
        <v>#N/A</v>
      </c>
      <c r="AH535" s="136" t="e">
        <f>VLOOKUP(C535,'2_Check_code'!I:J,2,FALSE)</f>
        <v>#N/A</v>
      </c>
      <c r="AI535" s="136" t="e">
        <f t="shared" ca="1" si="61"/>
        <v>#N/A</v>
      </c>
      <c r="AJ535" s="136" t="e">
        <f t="shared" ca="1" si="62"/>
        <v>#N/A</v>
      </c>
      <c r="AK535" s="594" t="e">
        <f ca="1">IF(VLOOKUP(B535,bond!B:S,18,FALSE)="是","有",IF(VLOOKUP(B535,bond!B:S,18,FALSE)="NO OFFER","無","需查詢"))</f>
        <v>#N/A</v>
      </c>
      <c r="AL535" s="136" t="e">
        <f>IF(VLOOKUP(A535,bond!F:AR,39,FALSE)="#N/A Field Not Applicable",VLOOKUP(A535,bond!F:AR,38,FALSE),IFERROR(VLOOKUP(A535,'7_發行日例外'!A:B,2,FALSE),VLOOKUP(A535,bond!F:AR,39,FALSE)))</f>
        <v>#N/A</v>
      </c>
      <c r="AM535" s="136" t="e">
        <f ca="1">VLOOKUP(B535,bond!B:AK,36,FALSE)</f>
        <v>#N/A</v>
      </c>
      <c r="AN535" s="136" t="str">
        <f ca="1">IFERROR(VLOOKUP(B535,'3_是否下架'!A:A,1,FALSE),"")</f>
        <v/>
      </c>
      <c r="AO535" s="136" t="e">
        <f ca="1">VLOOKUP(B535,bond!B:J,9,FALSE)</f>
        <v>#N/A</v>
      </c>
      <c r="AP535" s="136" t="e">
        <f ca="1">VLOOKUP(B535,bond!B:V,21,FALSE)</f>
        <v>#N/A</v>
      </c>
    </row>
    <row r="536" spans="1:42">
      <c r="A536" s="141">
        <f>bond!F537</f>
        <v>0</v>
      </c>
      <c r="B536" s="151">
        <f ca="1">IF($C$1=TRUE,bond!B537,"")</f>
        <v>0</v>
      </c>
      <c r="C536" s="95" t="e">
        <f>VLOOKUP(A536,bond!F:G,2,FALSE)</f>
        <v>#N/A</v>
      </c>
      <c r="D536" s="142" t="e">
        <f ca="1">VLOOKUP(B536,bond!B:C,2,FALSE)</f>
        <v>#N/A</v>
      </c>
      <c r="E536" s="95" t="e">
        <f ca="1">VLOOKUP(B536,bond!B:D,3,FALSE)</f>
        <v>#N/A</v>
      </c>
      <c r="F536" s="99" t="e">
        <f ca="1">VLOOKUP(B536,bond!B:AB,27,FALSE)</f>
        <v>#N/A</v>
      </c>
      <c r="G536" s="90" t="e">
        <f ca="1">VLOOKUP(B536,bond!B:E,4,FALSE)</f>
        <v>#N/A</v>
      </c>
      <c r="H536" s="202" t="e">
        <f ca="1">VLOOKUP(B536,bond!B:Y,24,FALSE)</f>
        <v>#N/A</v>
      </c>
      <c r="I536" s="95" t="e">
        <f ca="1">VLOOKUP(B536,bond!B:Z,25,FALSE)</f>
        <v>#N/A</v>
      </c>
      <c r="J536" s="180" t="e">
        <f ca="1">VLOOKUP(B536,bond!B:K,10,FALSE)</f>
        <v>#N/A</v>
      </c>
      <c r="K536" s="96" t="e">
        <f ca="1">VLOOKUP($B536,bond!B:S,14,FALSE)</f>
        <v>#N/A</v>
      </c>
      <c r="L536" s="91" t="e">
        <f ca="1">VLOOKUP(B536,bond!B:H,7,FALSE)</f>
        <v>#N/A</v>
      </c>
      <c r="M536" s="144" t="e">
        <f ca="1">VLOOKUP($B536,bond!$B:$Q,16,FALSE)</f>
        <v>#N/A</v>
      </c>
      <c r="N536" s="136" t="e">
        <f ca="1">VALUE(LEFT(VLOOKUP(B536,bond!B:R,17,FALSE),SEARCH(" ",VLOOKUP(B536,bond!B:R,17,FALSE),1)))</f>
        <v>#N/A</v>
      </c>
      <c r="O536" s="136" t="e">
        <f ca="1">VALUE(RIGHT(VLOOKUP(B536,bond!B:R,17,FALSE),LEN(VLOOKUP(B536,bond!B:R,17,FALSE))-LEN(N536)-3))</f>
        <v>#N/A</v>
      </c>
      <c r="P536" s="135" t="e">
        <f ca="1">VLOOKUP($B536,bond!$B:$AG,32,FALSE)</f>
        <v>#N/A</v>
      </c>
      <c r="Q536" s="135" t="e">
        <f ca="1">VLOOKUP($B536,bond!$B:$AH,33,FALSE)</f>
        <v>#N/A</v>
      </c>
      <c r="R536" s="135" t="e">
        <f ca="1">VLOOKUP(B536,bond!B:AA,26,FALSE)</f>
        <v>#N/A</v>
      </c>
      <c r="S536" s="135" t="e">
        <f ca="1">VLOOKUP(B536,bond!B:AI,34,FALSE)</f>
        <v>#N/A</v>
      </c>
      <c r="T536" s="135" t="e">
        <f t="shared" ca="1" si="56"/>
        <v>#N/A</v>
      </c>
      <c r="U536" s="207" t="e">
        <f ca="1">IFERROR(VLOOKUP(T536,Bond_DES!D:E,2,FALSE),VLOOKUP(S536,bond!AI:AJ,2,FALSE))</f>
        <v>#N/A</v>
      </c>
      <c r="V536" s="136" t="e">
        <f ca="1">IFERROR(VLOOKUP(B536,'1_重設數據'!L:M,2,FALSE),IF(Q536="政府",IF(AD536&gt;16,"(NPI)非專投",IF(AD536&gt;10,"(PI)專投","高資產")),IF(VLOOKUP(B536,bond!B:AN,39,FALSE)="Y","(PI)專投",IF(AD536&gt;=15,"(NPI)非專投",IF(AD536&gt;=10,"(PI)專投","高資產")))))</f>
        <v>#N/A</v>
      </c>
      <c r="W536" s="136" t="e">
        <f ca="1">VLOOKUP(AD536,'credit rating'!$F$2:$H$22,3,FALSE)</f>
        <v>#N/A</v>
      </c>
      <c r="X536" s="136" t="e">
        <f t="shared" ca="1" si="57"/>
        <v>#N/A</v>
      </c>
      <c r="Y536" s="136" t="e">
        <f t="shared" ca="1" si="58"/>
        <v>#N/A</v>
      </c>
      <c r="Z536" s="136" t="e">
        <f t="shared" ca="1" si="59"/>
        <v>#N/A</v>
      </c>
      <c r="AA536" s="134">
        <f ca="1">IFERROR(VLOOKUP(X536,'credit rating'!A:C,3,FALSE),0)</f>
        <v>0</v>
      </c>
      <c r="AB536" s="134">
        <f ca="1">IFERROR(VLOOKUP(Y536,'credit rating'!B:C,2,FALSE),0)</f>
        <v>0</v>
      </c>
      <c r="AC536" s="136">
        <f ca="1">IFERROR(VLOOKUP(Z536,'credit rating'!B:C,2,FALSE),0)</f>
        <v>0</v>
      </c>
      <c r="AD536" s="136">
        <f t="shared" ca="1" si="60"/>
        <v>0</v>
      </c>
      <c r="AE536" s="249" t="str">
        <f ca="1">IFERROR(VLOOKUP(B536,bond!B:U,20,FALSE),"")</f>
        <v/>
      </c>
      <c r="AF536" s="136" t="e">
        <f ca="1">IF(VLOOKUP(B536,bond!B:AK,36,FALSE)="#N/A Field Not Applicable","",VLOOKUP(B536,bond!B:AK,36,FALSE))</f>
        <v>#N/A</v>
      </c>
      <c r="AG536" s="136" t="e">
        <f ca="1">IF(VLOOKUP(B536,bond!B:AL,37,FALSE)="FIXED","固定",IF(VLOOKUP(B536,bond!B:AL,37,FALSE)="FLOATING","浮動",IF(VLOOKUP(B536,bond!B:AL,37,FALSE)="VARIABLE","變動",IF(VLOOKUP(B536,bond!B:AL,37,FALSE)="FLAT TRADING","不含息交易",IF(VLOOKUP(B536,bond!B:AL,37,FALSE)="ZERO COUPON","零息",VLOOKUP(B536,bond!B:AL,37,FALSE))))))</f>
        <v>#N/A</v>
      </c>
      <c r="AH536" s="136" t="e">
        <f>VLOOKUP(C536,'2_Check_code'!I:J,2,FALSE)</f>
        <v>#N/A</v>
      </c>
      <c r="AI536" s="136" t="e">
        <f t="shared" ca="1" si="61"/>
        <v>#N/A</v>
      </c>
      <c r="AJ536" s="136" t="e">
        <f t="shared" ca="1" si="62"/>
        <v>#N/A</v>
      </c>
      <c r="AK536" s="594" t="e">
        <f ca="1">IF(VLOOKUP(B536,bond!B:S,18,FALSE)="是","有",IF(VLOOKUP(B536,bond!B:S,18,FALSE)="NO OFFER","無","需查詢"))</f>
        <v>#N/A</v>
      </c>
      <c r="AL536" s="136" t="e">
        <f>IF(VLOOKUP(A536,bond!F:AR,39,FALSE)="#N/A Field Not Applicable",VLOOKUP(A536,bond!F:AR,38,FALSE),IFERROR(VLOOKUP(A536,'7_發行日例外'!A:B,2,FALSE),VLOOKUP(A536,bond!F:AR,39,FALSE)))</f>
        <v>#N/A</v>
      </c>
      <c r="AM536" s="136" t="e">
        <f ca="1">VLOOKUP(B536,bond!B:AK,36,FALSE)</f>
        <v>#N/A</v>
      </c>
      <c r="AN536" s="136" t="str">
        <f ca="1">IFERROR(VLOOKUP(B536,'3_是否下架'!A:A,1,FALSE),"")</f>
        <v/>
      </c>
      <c r="AO536" s="136" t="e">
        <f ca="1">VLOOKUP(B536,bond!B:J,9,FALSE)</f>
        <v>#N/A</v>
      </c>
      <c r="AP536" s="136" t="e">
        <f ca="1">VLOOKUP(B536,bond!B:V,21,FALSE)</f>
        <v>#N/A</v>
      </c>
    </row>
    <row r="537" spans="1:42">
      <c r="A537" s="141">
        <f>bond!F538</f>
        <v>0</v>
      </c>
      <c r="B537" s="151">
        <f ca="1">IF($C$1=TRUE,bond!B538,"")</f>
        <v>0</v>
      </c>
      <c r="C537" s="95" t="e">
        <f>VLOOKUP(A537,bond!F:G,2,FALSE)</f>
        <v>#N/A</v>
      </c>
      <c r="D537" s="142" t="e">
        <f ca="1">VLOOKUP(B537,bond!B:C,2,FALSE)</f>
        <v>#N/A</v>
      </c>
      <c r="E537" s="95" t="e">
        <f ca="1">VLOOKUP(B537,bond!B:D,3,FALSE)</f>
        <v>#N/A</v>
      </c>
      <c r="F537" s="99" t="e">
        <f ca="1">VLOOKUP(B537,bond!B:AB,27,FALSE)</f>
        <v>#N/A</v>
      </c>
      <c r="G537" s="90" t="e">
        <f ca="1">VLOOKUP(B537,bond!B:E,4,FALSE)</f>
        <v>#N/A</v>
      </c>
      <c r="H537" s="202" t="e">
        <f ca="1">VLOOKUP(B537,bond!B:Y,24,FALSE)</f>
        <v>#N/A</v>
      </c>
      <c r="I537" s="95" t="e">
        <f ca="1">VLOOKUP(B537,bond!B:Z,25,FALSE)</f>
        <v>#N/A</v>
      </c>
      <c r="J537" s="180" t="e">
        <f ca="1">VLOOKUP(B537,bond!B:K,10,FALSE)</f>
        <v>#N/A</v>
      </c>
      <c r="K537" s="96" t="e">
        <f ca="1">VLOOKUP($B537,bond!B:S,14,FALSE)</f>
        <v>#N/A</v>
      </c>
      <c r="L537" s="91" t="e">
        <f ca="1">VLOOKUP(B537,bond!B:H,7,FALSE)</f>
        <v>#N/A</v>
      </c>
      <c r="M537" s="144" t="e">
        <f ca="1">VLOOKUP($B537,bond!$B:$Q,16,FALSE)</f>
        <v>#N/A</v>
      </c>
      <c r="N537" s="136" t="e">
        <f ca="1">VALUE(LEFT(VLOOKUP(B537,bond!B:R,17,FALSE),SEARCH(" ",VLOOKUP(B537,bond!B:R,17,FALSE),1)))</f>
        <v>#N/A</v>
      </c>
      <c r="O537" s="136" t="e">
        <f ca="1">VALUE(RIGHT(VLOOKUP(B537,bond!B:R,17,FALSE),LEN(VLOOKUP(B537,bond!B:R,17,FALSE))-LEN(N537)-3))</f>
        <v>#N/A</v>
      </c>
      <c r="P537" s="135" t="e">
        <f ca="1">VLOOKUP($B537,bond!$B:$AG,32,FALSE)</f>
        <v>#N/A</v>
      </c>
      <c r="Q537" s="135" t="e">
        <f ca="1">VLOOKUP($B537,bond!$B:$AH,33,FALSE)</f>
        <v>#N/A</v>
      </c>
      <c r="R537" s="135" t="e">
        <f ca="1">VLOOKUP(B537,bond!B:AA,26,FALSE)</f>
        <v>#N/A</v>
      </c>
      <c r="S537" s="135" t="e">
        <f ca="1">VLOOKUP(B537,bond!B:AI,34,FALSE)</f>
        <v>#N/A</v>
      </c>
      <c r="T537" s="135" t="e">
        <f t="shared" ca="1" si="56"/>
        <v>#N/A</v>
      </c>
      <c r="U537" s="207" t="e">
        <f ca="1">IFERROR(VLOOKUP(T537,Bond_DES!D:E,2,FALSE),VLOOKUP(S537,bond!AI:AJ,2,FALSE))</f>
        <v>#N/A</v>
      </c>
      <c r="V537" s="136" t="e">
        <f ca="1">IFERROR(VLOOKUP(B537,'1_重設數據'!L:M,2,FALSE),IF(Q537="政府",IF(AD537&gt;16,"(NPI)非專投",IF(AD537&gt;10,"(PI)專投","高資產")),IF(VLOOKUP(B537,bond!B:AN,39,FALSE)="Y","(PI)專投",IF(AD537&gt;=15,"(NPI)非專投",IF(AD537&gt;=10,"(PI)專投","高資產")))))</f>
        <v>#N/A</v>
      </c>
      <c r="W537" s="136" t="e">
        <f ca="1">VLOOKUP(AD537,'credit rating'!$F$2:$H$22,3,FALSE)</f>
        <v>#N/A</v>
      </c>
      <c r="X537" s="136" t="e">
        <f t="shared" ca="1" si="57"/>
        <v>#N/A</v>
      </c>
      <c r="Y537" s="136" t="e">
        <f t="shared" ca="1" si="58"/>
        <v>#N/A</v>
      </c>
      <c r="Z537" s="136" t="e">
        <f t="shared" ca="1" si="59"/>
        <v>#N/A</v>
      </c>
      <c r="AA537" s="134">
        <f ca="1">IFERROR(VLOOKUP(X537,'credit rating'!A:C,3,FALSE),0)</f>
        <v>0</v>
      </c>
      <c r="AB537" s="134">
        <f ca="1">IFERROR(VLOOKUP(Y537,'credit rating'!B:C,2,FALSE),0)</f>
        <v>0</v>
      </c>
      <c r="AC537" s="136">
        <f ca="1">IFERROR(VLOOKUP(Z537,'credit rating'!B:C,2,FALSE),0)</f>
        <v>0</v>
      </c>
      <c r="AD537" s="136">
        <f t="shared" ca="1" si="60"/>
        <v>0</v>
      </c>
      <c r="AE537" s="249" t="str">
        <f ca="1">IFERROR(VLOOKUP(B537,bond!B:U,20,FALSE),"")</f>
        <v/>
      </c>
      <c r="AF537" s="136" t="e">
        <f ca="1">IF(VLOOKUP(B537,bond!B:AK,36,FALSE)="#N/A Field Not Applicable","",VLOOKUP(B537,bond!B:AK,36,FALSE))</f>
        <v>#N/A</v>
      </c>
      <c r="AG537" s="136" t="e">
        <f ca="1">IF(VLOOKUP(B537,bond!B:AL,37,FALSE)="FIXED","固定",IF(VLOOKUP(B537,bond!B:AL,37,FALSE)="FLOATING","浮動",IF(VLOOKUP(B537,bond!B:AL,37,FALSE)="VARIABLE","變動",IF(VLOOKUP(B537,bond!B:AL,37,FALSE)="FLAT TRADING","不含息交易",IF(VLOOKUP(B537,bond!B:AL,37,FALSE)="ZERO COUPON","零息",VLOOKUP(B537,bond!B:AL,37,FALSE))))))</f>
        <v>#N/A</v>
      </c>
      <c r="AH537" s="136" t="e">
        <f>VLOOKUP(C537,'2_Check_code'!I:J,2,FALSE)</f>
        <v>#N/A</v>
      </c>
      <c r="AI537" s="136" t="e">
        <f t="shared" ca="1" si="61"/>
        <v>#N/A</v>
      </c>
      <c r="AJ537" s="136" t="e">
        <f t="shared" ca="1" si="62"/>
        <v>#N/A</v>
      </c>
      <c r="AK537" s="594" t="e">
        <f ca="1">IF(VLOOKUP(B537,bond!B:S,18,FALSE)="是","有",IF(VLOOKUP(B537,bond!B:S,18,FALSE)="NO OFFER","無","需查詢"))</f>
        <v>#N/A</v>
      </c>
      <c r="AL537" s="136" t="e">
        <f>IF(VLOOKUP(A537,bond!F:AR,39,FALSE)="#N/A Field Not Applicable",VLOOKUP(A537,bond!F:AR,38,FALSE),IFERROR(VLOOKUP(A537,'7_發行日例外'!A:B,2,FALSE),VLOOKUP(A537,bond!F:AR,39,FALSE)))</f>
        <v>#N/A</v>
      </c>
      <c r="AM537" s="136" t="e">
        <f ca="1">VLOOKUP(B537,bond!B:AK,36,FALSE)</f>
        <v>#N/A</v>
      </c>
      <c r="AN537" s="136" t="str">
        <f ca="1">IFERROR(VLOOKUP(B537,'3_是否下架'!A:A,1,FALSE),"")</f>
        <v/>
      </c>
      <c r="AO537" s="136" t="e">
        <f ca="1">VLOOKUP(B537,bond!B:J,9,FALSE)</f>
        <v>#N/A</v>
      </c>
      <c r="AP537" s="136" t="e">
        <f ca="1">VLOOKUP(B537,bond!B:V,21,FALSE)</f>
        <v>#N/A</v>
      </c>
    </row>
    <row r="538" spans="1:42">
      <c r="A538" s="141">
        <f>bond!F539</f>
        <v>0</v>
      </c>
      <c r="B538" s="151">
        <f ca="1">IF($C$1=TRUE,bond!B539,"")</f>
        <v>0</v>
      </c>
      <c r="C538" s="95" t="e">
        <f>VLOOKUP(A538,bond!F:G,2,FALSE)</f>
        <v>#N/A</v>
      </c>
      <c r="D538" s="142" t="e">
        <f ca="1">VLOOKUP(B538,bond!B:C,2,FALSE)</f>
        <v>#N/A</v>
      </c>
      <c r="E538" s="95" t="e">
        <f ca="1">VLOOKUP(B538,bond!B:D,3,FALSE)</f>
        <v>#N/A</v>
      </c>
      <c r="F538" s="99" t="e">
        <f ca="1">VLOOKUP(B538,bond!B:AB,27,FALSE)</f>
        <v>#N/A</v>
      </c>
      <c r="G538" s="90" t="e">
        <f ca="1">VLOOKUP(B538,bond!B:E,4,FALSE)</f>
        <v>#N/A</v>
      </c>
      <c r="H538" s="202" t="e">
        <f ca="1">VLOOKUP(B538,bond!B:Y,24,FALSE)</f>
        <v>#N/A</v>
      </c>
      <c r="I538" s="95" t="e">
        <f ca="1">VLOOKUP(B538,bond!B:Z,25,FALSE)</f>
        <v>#N/A</v>
      </c>
      <c r="J538" s="180" t="e">
        <f ca="1">VLOOKUP(B538,bond!B:K,10,FALSE)</f>
        <v>#N/A</v>
      </c>
      <c r="K538" s="96" t="e">
        <f ca="1">VLOOKUP($B538,bond!B:S,14,FALSE)</f>
        <v>#N/A</v>
      </c>
      <c r="L538" s="91" t="e">
        <f ca="1">VLOOKUP(B538,bond!B:H,7,FALSE)</f>
        <v>#N/A</v>
      </c>
      <c r="M538" s="144" t="e">
        <f ca="1">VLOOKUP($B538,bond!$B:$Q,16,FALSE)</f>
        <v>#N/A</v>
      </c>
      <c r="N538" s="136" t="e">
        <f ca="1">VALUE(LEFT(VLOOKUP(B538,bond!B:R,17,FALSE),SEARCH(" ",VLOOKUP(B538,bond!B:R,17,FALSE),1)))</f>
        <v>#N/A</v>
      </c>
      <c r="O538" s="136" t="e">
        <f ca="1">VALUE(RIGHT(VLOOKUP(B538,bond!B:R,17,FALSE),LEN(VLOOKUP(B538,bond!B:R,17,FALSE))-LEN(N538)-3))</f>
        <v>#N/A</v>
      </c>
      <c r="P538" s="135" t="e">
        <f ca="1">VLOOKUP($B538,bond!$B:$AG,32,FALSE)</f>
        <v>#N/A</v>
      </c>
      <c r="Q538" s="135" t="e">
        <f ca="1">VLOOKUP($B538,bond!$B:$AH,33,FALSE)</f>
        <v>#N/A</v>
      </c>
      <c r="R538" s="135" t="e">
        <f ca="1">VLOOKUP(B538,bond!B:AA,26,FALSE)</f>
        <v>#N/A</v>
      </c>
      <c r="S538" s="135" t="e">
        <f ca="1">VLOOKUP(B538,bond!B:AI,34,FALSE)</f>
        <v>#N/A</v>
      </c>
      <c r="T538" s="135" t="e">
        <f t="shared" ca="1" si="56"/>
        <v>#N/A</v>
      </c>
      <c r="U538" s="207" t="e">
        <f ca="1">IFERROR(VLOOKUP(T538,Bond_DES!D:E,2,FALSE),VLOOKUP(S538,bond!AI:AJ,2,FALSE))</f>
        <v>#N/A</v>
      </c>
      <c r="V538" s="136" t="e">
        <f ca="1">IFERROR(VLOOKUP(B538,'1_重設數據'!L:M,2,FALSE),IF(Q538="政府",IF(AD538&gt;16,"(NPI)非專投",IF(AD538&gt;10,"(PI)專投","高資產")),IF(VLOOKUP(B538,bond!B:AN,39,FALSE)="Y","(PI)專投",IF(AD538&gt;=15,"(NPI)非專投",IF(AD538&gt;=10,"(PI)專投","高資產")))))</f>
        <v>#N/A</v>
      </c>
      <c r="W538" s="136" t="e">
        <f ca="1">VLOOKUP(AD538,'credit rating'!$F$2:$H$22,3,FALSE)</f>
        <v>#N/A</v>
      </c>
      <c r="X538" s="136" t="e">
        <f t="shared" ca="1" si="57"/>
        <v>#N/A</v>
      </c>
      <c r="Y538" s="136" t="e">
        <f t="shared" ca="1" si="58"/>
        <v>#N/A</v>
      </c>
      <c r="Z538" s="136" t="e">
        <f t="shared" ca="1" si="59"/>
        <v>#N/A</v>
      </c>
      <c r="AA538" s="134">
        <f ca="1">IFERROR(VLOOKUP(X538,'credit rating'!A:C,3,FALSE),0)</f>
        <v>0</v>
      </c>
      <c r="AB538" s="134">
        <f ca="1">IFERROR(VLOOKUP(Y538,'credit rating'!B:C,2,FALSE),0)</f>
        <v>0</v>
      </c>
      <c r="AC538" s="136">
        <f ca="1">IFERROR(VLOOKUP(Z538,'credit rating'!B:C,2,FALSE),0)</f>
        <v>0</v>
      </c>
      <c r="AD538" s="136">
        <f t="shared" ca="1" si="60"/>
        <v>0</v>
      </c>
      <c r="AE538" s="249" t="str">
        <f ca="1">IFERROR(VLOOKUP(B538,bond!B:U,20,FALSE),"")</f>
        <v/>
      </c>
      <c r="AF538" s="136" t="e">
        <f ca="1">IF(VLOOKUP(B538,bond!B:AK,36,FALSE)="#N/A Field Not Applicable","",VLOOKUP(B538,bond!B:AK,36,FALSE))</f>
        <v>#N/A</v>
      </c>
      <c r="AG538" s="136" t="e">
        <f ca="1">IF(VLOOKUP(B538,bond!B:AL,37,FALSE)="FIXED","固定",IF(VLOOKUP(B538,bond!B:AL,37,FALSE)="FLOATING","浮動",IF(VLOOKUP(B538,bond!B:AL,37,FALSE)="VARIABLE","變動",IF(VLOOKUP(B538,bond!B:AL,37,FALSE)="FLAT TRADING","不含息交易",IF(VLOOKUP(B538,bond!B:AL,37,FALSE)="ZERO COUPON","零息",VLOOKUP(B538,bond!B:AL,37,FALSE))))))</f>
        <v>#N/A</v>
      </c>
      <c r="AH538" s="136" t="e">
        <f>VLOOKUP(C538,'2_Check_code'!I:J,2,FALSE)</f>
        <v>#N/A</v>
      </c>
      <c r="AI538" s="136" t="e">
        <f t="shared" ca="1" si="61"/>
        <v>#N/A</v>
      </c>
      <c r="AJ538" s="136" t="e">
        <f t="shared" ca="1" si="62"/>
        <v>#N/A</v>
      </c>
      <c r="AK538" s="594" t="e">
        <f ca="1">IF(VLOOKUP(B538,bond!B:S,18,FALSE)="是","有",IF(VLOOKUP(B538,bond!B:S,18,FALSE)="NO OFFER","無","需查詢"))</f>
        <v>#N/A</v>
      </c>
      <c r="AL538" s="136" t="e">
        <f>IF(VLOOKUP(A538,bond!F:AR,39,FALSE)="#N/A Field Not Applicable",VLOOKUP(A538,bond!F:AR,38,FALSE),IFERROR(VLOOKUP(A538,'7_發行日例外'!A:B,2,FALSE),VLOOKUP(A538,bond!F:AR,39,FALSE)))</f>
        <v>#N/A</v>
      </c>
      <c r="AM538" s="136" t="e">
        <f ca="1">VLOOKUP(B538,bond!B:AK,36,FALSE)</f>
        <v>#N/A</v>
      </c>
      <c r="AN538" s="136" t="str">
        <f ca="1">IFERROR(VLOOKUP(B538,'3_是否下架'!A:A,1,FALSE),"")</f>
        <v/>
      </c>
      <c r="AO538" s="136" t="e">
        <f ca="1">VLOOKUP(B538,bond!B:J,9,FALSE)</f>
        <v>#N/A</v>
      </c>
      <c r="AP538" s="136" t="e">
        <f ca="1">VLOOKUP(B538,bond!B:V,21,FALSE)</f>
        <v>#N/A</v>
      </c>
    </row>
    <row r="539" spans="1:42">
      <c r="A539" s="141">
        <f>bond!F540</f>
        <v>0</v>
      </c>
      <c r="B539" s="151">
        <f ca="1">IF($C$1=TRUE,bond!B540,"")</f>
        <v>0</v>
      </c>
      <c r="C539" s="95" t="e">
        <f>VLOOKUP(A539,bond!F:G,2,FALSE)</f>
        <v>#N/A</v>
      </c>
      <c r="D539" s="142" t="e">
        <f ca="1">VLOOKUP(B539,bond!B:C,2,FALSE)</f>
        <v>#N/A</v>
      </c>
      <c r="E539" s="95" t="e">
        <f ca="1">VLOOKUP(B539,bond!B:D,3,FALSE)</f>
        <v>#N/A</v>
      </c>
      <c r="F539" s="99" t="e">
        <f ca="1">VLOOKUP(B539,bond!B:AB,27,FALSE)</f>
        <v>#N/A</v>
      </c>
      <c r="G539" s="90" t="e">
        <f ca="1">VLOOKUP(B539,bond!B:E,4,FALSE)</f>
        <v>#N/A</v>
      </c>
      <c r="H539" s="202" t="e">
        <f ca="1">VLOOKUP(B539,bond!B:Y,24,FALSE)</f>
        <v>#N/A</v>
      </c>
      <c r="I539" s="95" t="e">
        <f ca="1">VLOOKUP(B539,bond!B:Z,25,FALSE)</f>
        <v>#N/A</v>
      </c>
      <c r="J539" s="180" t="e">
        <f ca="1">VLOOKUP(B539,bond!B:K,10,FALSE)</f>
        <v>#N/A</v>
      </c>
      <c r="K539" s="96" t="e">
        <f ca="1">VLOOKUP($B539,bond!B:S,14,FALSE)</f>
        <v>#N/A</v>
      </c>
      <c r="L539" s="91" t="e">
        <f ca="1">VLOOKUP(B539,bond!B:H,7,FALSE)</f>
        <v>#N/A</v>
      </c>
      <c r="M539" s="144" t="e">
        <f ca="1">VLOOKUP($B539,bond!$B:$Q,16,FALSE)</f>
        <v>#N/A</v>
      </c>
      <c r="N539" s="136" t="e">
        <f ca="1">VALUE(LEFT(VLOOKUP(B539,bond!B:R,17,FALSE),SEARCH(" ",VLOOKUP(B539,bond!B:R,17,FALSE),1)))</f>
        <v>#N/A</v>
      </c>
      <c r="O539" s="136" t="e">
        <f ca="1">VALUE(RIGHT(VLOOKUP(B539,bond!B:R,17,FALSE),LEN(VLOOKUP(B539,bond!B:R,17,FALSE))-LEN(N539)-3))</f>
        <v>#N/A</v>
      </c>
      <c r="P539" s="135" t="e">
        <f ca="1">VLOOKUP($B539,bond!$B:$AG,32,FALSE)</f>
        <v>#N/A</v>
      </c>
      <c r="Q539" s="135" t="e">
        <f ca="1">VLOOKUP($B539,bond!$B:$AH,33,FALSE)</f>
        <v>#N/A</v>
      </c>
      <c r="R539" s="135" t="e">
        <f ca="1">VLOOKUP(B539,bond!B:AA,26,FALSE)</f>
        <v>#N/A</v>
      </c>
      <c r="S539" s="135" t="e">
        <f ca="1">VLOOKUP(B539,bond!B:AI,34,FALSE)</f>
        <v>#N/A</v>
      </c>
      <c r="T539" s="135" t="e">
        <f t="shared" ca="1" si="56"/>
        <v>#N/A</v>
      </c>
      <c r="U539" s="207" t="e">
        <f ca="1">IFERROR(VLOOKUP(T539,Bond_DES!D:E,2,FALSE),VLOOKUP(S539,bond!AI:AJ,2,FALSE))</f>
        <v>#N/A</v>
      </c>
      <c r="V539" s="136" t="e">
        <f ca="1">IFERROR(VLOOKUP(B539,'1_重設數據'!L:M,2,FALSE),IF(Q539="政府",IF(AD539&gt;16,"(NPI)非專投",IF(AD539&gt;10,"(PI)專投","高資產")),IF(VLOOKUP(B539,bond!B:AN,39,FALSE)="Y","(PI)專投",IF(AD539&gt;=15,"(NPI)非專投",IF(AD539&gt;=10,"(PI)專投","高資產")))))</f>
        <v>#N/A</v>
      </c>
      <c r="W539" s="136" t="e">
        <f ca="1">VLOOKUP(AD539,'credit rating'!$F$2:$H$22,3,FALSE)</f>
        <v>#N/A</v>
      </c>
      <c r="X539" s="136" t="e">
        <f t="shared" ca="1" si="57"/>
        <v>#N/A</v>
      </c>
      <c r="Y539" s="136" t="e">
        <f t="shared" ca="1" si="58"/>
        <v>#N/A</v>
      </c>
      <c r="Z539" s="136" t="e">
        <f t="shared" ca="1" si="59"/>
        <v>#N/A</v>
      </c>
      <c r="AA539" s="134">
        <f ca="1">IFERROR(VLOOKUP(X539,'credit rating'!A:C,3,FALSE),0)</f>
        <v>0</v>
      </c>
      <c r="AB539" s="134">
        <f ca="1">IFERROR(VLOOKUP(Y539,'credit rating'!B:C,2,FALSE),0)</f>
        <v>0</v>
      </c>
      <c r="AC539" s="136">
        <f ca="1">IFERROR(VLOOKUP(Z539,'credit rating'!B:C,2,FALSE),0)</f>
        <v>0</v>
      </c>
      <c r="AD539" s="136">
        <f t="shared" ca="1" si="60"/>
        <v>0</v>
      </c>
      <c r="AE539" s="249" t="str">
        <f ca="1">IFERROR(VLOOKUP(B539,bond!B:U,20,FALSE),"")</f>
        <v/>
      </c>
      <c r="AF539" s="136" t="e">
        <f ca="1">IF(VLOOKUP(B539,bond!B:AK,36,FALSE)="#N/A Field Not Applicable","",VLOOKUP(B539,bond!B:AK,36,FALSE))</f>
        <v>#N/A</v>
      </c>
      <c r="AG539" s="136" t="e">
        <f ca="1">IF(VLOOKUP(B539,bond!B:AL,37,FALSE)="FIXED","固定",IF(VLOOKUP(B539,bond!B:AL,37,FALSE)="FLOATING","浮動",IF(VLOOKUP(B539,bond!B:AL,37,FALSE)="VARIABLE","變動",IF(VLOOKUP(B539,bond!B:AL,37,FALSE)="FLAT TRADING","不含息交易",IF(VLOOKUP(B539,bond!B:AL,37,FALSE)="ZERO COUPON","零息",VLOOKUP(B539,bond!B:AL,37,FALSE))))))</f>
        <v>#N/A</v>
      </c>
      <c r="AH539" s="136" t="e">
        <f>VLOOKUP(C539,'2_Check_code'!I:J,2,FALSE)</f>
        <v>#N/A</v>
      </c>
      <c r="AI539" s="136" t="e">
        <f t="shared" ca="1" si="61"/>
        <v>#N/A</v>
      </c>
      <c r="AJ539" s="136" t="e">
        <f t="shared" ca="1" si="62"/>
        <v>#N/A</v>
      </c>
      <c r="AK539" s="594" t="e">
        <f ca="1">IF(VLOOKUP(B539,bond!B:S,18,FALSE)="是","有",IF(VLOOKUP(B539,bond!B:S,18,FALSE)="NO OFFER","無","需查詢"))</f>
        <v>#N/A</v>
      </c>
      <c r="AL539" s="136" t="e">
        <f>IF(VLOOKUP(A539,bond!F:AR,39,FALSE)="#N/A Field Not Applicable",VLOOKUP(A539,bond!F:AR,38,FALSE),IFERROR(VLOOKUP(A539,'7_發行日例外'!A:B,2,FALSE),VLOOKUP(A539,bond!F:AR,39,FALSE)))</f>
        <v>#N/A</v>
      </c>
      <c r="AM539" s="136" t="e">
        <f ca="1">VLOOKUP(B539,bond!B:AK,36,FALSE)</f>
        <v>#N/A</v>
      </c>
      <c r="AN539" s="136" t="str">
        <f ca="1">IFERROR(VLOOKUP(B539,'3_是否下架'!A:A,1,FALSE),"")</f>
        <v/>
      </c>
      <c r="AO539" s="136" t="e">
        <f ca="1">VLOOKUP(B539,bond!B:J,9,FALSE)</f>
        <v>#N/A</v>
      </c>
      <c r="AP539" s="136" t="e">
        <f ca="1">VLOOKUP(B539,bond!B:V,21,FALSE)</f>
        <v>#N/A</v>
      </c>
    </row>
    <row r="540" spans="1:42">
      <c r="A540" s="141">
        <f>bond!F541</f>
        <v>0</v>
      </c>
      <c r="B540" s="151">
        <f ca="1">IF($C$1=TRUE,bond!B541,"")</f>
        <v>0</v>
      </c>
      <c r="C540" s="95" t="e">
        <f>VLOOKUP(A540,bond!F:G,2,FALSE)</f>
        <v>#N/A</v>
      </c>
      <c r="D540" s="142" t="e">
        <f ca="1">VLOOKUP(B540,bond!B:C,2,FALSE)</f>
        <v>#N/A</v>
      </c>
      <c r="E540" s="95" t="e">
        <f ca="1">VLOOKUP(B540,bond!B:D,3,FALSE)</f>
        <v>#N/A</v>
      </c>
      <c r="F540" s="99" t="e">
        <f ca="1">VLOOKUP(B540,bond!B:AB,27,FALSE)</f>
        <v>#N/A</v>
      </c>
      <c r="G540" s="90" t="e">
        <f ca="1">VLOOKUP(B540,bond!B:E,4,FALSE)</f>
        <v>#N/A</v>
      </c>
      <c r="H540" s="202" t="e">
        <f ca="1">VLOOKUP(B540,bond!B:Y,24,FALSE)</f>
        <v>#N/A</v>
      </c>
      <c r="I540" s="95" t="e">
        <f ca="1">VLOOKUP(B540,bond!B:Z,25,FALSE)</f>
        <v>#N/A</v>
      </c>
      <c r="J540" s="180" t="e">
        <f ca="1">VLOOKUP(B540,bond!B:K,10,FALSE)</f>
        <v>#N/A</v>
      </c>
      <c r="K540" s="96" t="e">
        <f ca="1">VLOOKUP($B540,bond!B:S,14,FALSE)</f>
        <v>#N/A</v>
      </c>
      <c r="L540" s="91" t="e">
        <f ca="1">VLOOKUP(B540,bond!B:H,7,FALSE)</f>
        <v>#N/A</v>
      </c>
      <c r="M540" s="144" t="e">
        <f ca="1">VLOOKUP($B540,bond!$B:$Q,16,FALSE)</f>
        <v>#N/A</v>
      </c>
      <c r="N540" s="136" t="e">
        <f ca="1">VALUE(LEFT(VLOOKUP(B540,bond!B:R,17,FALSE),SEARCH(" ",VLOOKUP(B540,bond!B:R,17,FALSE),1)))</f>
        <v>#N/A</v>
      </c>
      <c r="O540" s="136" t="e">
        <f ca="1">VALUE(RIGHT(VLOOKUP(B540,bond!B:R,17,FALSE),LEN(VLOOKUP(B540,bond!B:R,17,FALSE))-LEN(N540)-3))</f>
        <v>#N/A</v>
      </c>
      <c r="P540" s="135" t="e">
        <f ca="1">VLOOKUP($B540,bond!$B:$AG,32,FALSE)</f>
        <v>#N/A</v>
      </c>
      <c r="Q540" s="135" t="e">
        <f ca="1">VLOOKUP($B540,bond!$B:$AH,33,FALSE)</f>
        <v>#N/A</v>
      </c>
      <c r="R540" s="135" t="e">
        <f ca="1">VLOOKUP(B540,bond!B:AA,26,FALSE)</f>
        <v>#N/A</v>
      </c>
      <c r="S540" s="135" t="e">
        <f ca="1">VLOOKUP(B540,bond!B:AI,34,FALSE)</f>
        <v>#N/A</v>
      </c>
      <c r="T540" s="135" t="e">
        <f t="shared" ca="1" si="56"/>
        <v>#N/A</v>
      </c>
      <c r="U540" s="207" t="e">
        <f ca="1">IFERROR(VLOOKUP(T540,Bond_DES!D:E,2,FALSE),VLOOKUP(S540,bond!AI:AJ,2,FALSE))</f>
        <v>#N/A</v>
      </c>
      <c r="V540" s="136" t="e">
        <f ca="1">IFERROR(VLOOKUP(B540,'1_重設數據'!L:M,2,FALSE),IF(Q540="政府",IF(AD540&gt;16,"(NPI)非專投",IF(AD540&gt;10,"(PI)專投","高資產")),IF(VLOOKUP(B540,bond!B:AN,39,FALSE)="Y","(PI)專投",IF(AD540&gt;=15,"(NPI)非專投",IF(AD540&gt;=10,"(PI)專投","高資產")))))</f>
        <v>#N/A</v>
      </c>
      <c r="W540" s="136" t="e">
        <f ca="1">VLOOKUP(AD540,'credit rating'!$F$2:$H$22,3,FALSE)</f>
        <v>#N/A</v>
      </c>
      <c r="X540" s="136" t="e">
        <f t="shared" ca="1" si="57"/>
        <v>#N/A</v>
      </c>
      <c r="Y540" s="136" t="e">
        <f t="shared" ca="1" si="58"/>
        <v>#N/A</v>
      </c>
      <c r="Z540" s="136" t="e">
        <f t="shared" ca="1" si="59"/>
        <v>#N/A</v>
      </c>
      <c r="AA540" s="134">
        <f ca="1">IFERROR(VLOOKUP(X540,'credit rating'!A:C,3,FALSE),0)</f>
        <v>0</v>
      </c>
      <c r="AB540" s="134">
        <f ca="1">IFERROR(VLOOKUP(Y540,'credit rating'!B:C,2,FALSE),0)</f>
        <v>0</v>
      </c>
      <c r="AC540" s="136">
        <f ca="1">IFERROR(VLOOKUP(Z540,'credit rating'!B:C,2,FALSE),0)</f>
        <v>0</v>
      </c>
      <c r="AD540" s="136">
        <f t="shared" ca="1" si="60"/>
        <v>0</v>
      </c>
      <c r="AE540" s="249" t="str">
        <f ca="1">IFERROR(VLOOKUP(B540,bond!B:U,20,FALSE),"")</f>
        <v/>
      </c>
      <c r="AF540" s="136" t="e">
        <f ca="1">IF(VLOOKUP(B540,bond!B:AK,36,FALSE)="#N/A Field Not Applicable","",VLOOKUP(B540,bond!B:AK,36,FALSE))</f>
        <v>#N/A</v>
      </c>
      <c r="AG540" s="136" t="e">
        <f ca="1">IF(VLOOKUP(B540,bond!B:AL,37,FALSE)="FIXED","固定",IF(VLOOKUP(B540,bond!B:AL,37,FALSE)="FLOATING","浮動",IF(VLOOKUP(B540,bond!B:AL,37,FALSE)="VARIABLE","變動",IF(VLOOKUP(B540,bond!B:AL,37,FALSE)="FLAT TRADING","不含息交易",IF(VLOOKUP(B540,bond!B:AL,37,FALSE)="ZERO COUPON","零息",VLOOKUP(B540,bond!B:AL,37,FALSE))))))</f>
        <v>#N/A</v>
      </c>
      <c r="AH540" s="136" t="e">
        <f>VLOOKUP(C540,'2_Check_code'!I:J,2,FALSE)</f>
        <v>#N/A</v>
      </c>
      <c r="AI540" s="136" t="e">
        <f t="shared" ca="1" si="61"/>
        <v>#N/A</v>
      </c>
      <c r="AJ540" s="136" t="e">
        <f t="shared" ca="1" si="62"/>
        <v>#N/A</v>
      </c>
      <c r="AK540" s="594" t="e">
        <f ca="1">IF(VLOOKUP(B540,bond!B:S,18,FALSE)="是","有",IF(VLOOKUP(B540,bond!B:S,18,FALSE)="NO OFFER","無","需查詢"))</f>
        <v>#N/A</v>
      </c>
      <c r="AL540" s="136" t="e">
        <f>IF(VLOOKUP(A540,bond!F:AR,39,FALSE)="#N/A Field Not Applicable",VLOOKUP(A540,bond!F:AR,38,FALSE),IFERROR(VLOOKUP(A540,'7_發行日例外'!A:B,2,FALSE),VLOOKUP(A540,bond!F:AR,39,FALSE)))</f>
        <v>#N/A</v>
      </c>
      <c r="AM540" s="136" t="e">
        <f ca="1">VLOOKUP(B540,bond!B:AK,36,FALSE)</f>
        <v>#N/A</v>
      </c>
      <c r="AN540" s="136" t="str">
        <f ca="1">IFERROR(VLOOKUP(B540,'3_是否下架'!A:A,1,FALSE),"")</f>
        <v/>
      </c>
      <c r="AO540" s="136" t="e">
        <f ca="1">VLOOKUP(B540,bond!B:J,9,FALSE)</f>
        <v>#N/A</v>
      </c>
      <c r="AP540" s="136" t="e">
        <f ca="1">VLOOKUP(B540,bond!B:V,21,FALSE)</f>
        <v>#N/A</v>
      </c>
    </row>
    <row r="541" spans="1:42">
      <c r="A541" s="141">
        <f>bond!F542</f>
        <v>0</v>
      </c>
      <c r="B541" s="151">
        <f ca="1">IF($C$1=TRUE,bond!B542,"")</f>
        <v>0</v>
      </c>
      <c r="C541" s="95" t="e">
        <f>VLOOKUP(A541,bond!F:G,2,FALSE)</f>
        <v>#N/A</v>
      </c>
      <c r="D541" s="142" t="e">
        <f ca="1">VLOOKUP(B541,bond!B:C,2,FALSE)</f>
        <v>#N/A</v>
      </c>
      <c r="E541" s="95" t="e">
        <f ca="1">VLOOKUP(B541,bond!B:D,3,FALSE)</f>
        <v>#N/A</v>
      </c>
      <c r="F541" s="99" t="e">
        <f ca="1">VLOOKUP(B541,bond!B:AB,27,FALSE)</f>
        <v>#N/A</v>
      </c>
      <c r="G541" s="90" t="e">
        <f ca="1">VLOOKUP(B541,bond!B:E,4,FALSE)</f>
        <v>#N/A</v>
      </c>
      <c r="H541" s="202" t="e">
        <f ca="1">VLOOKUP(B541,bond!B:Y,24,FALSE)</f>
        <v>#N/A</v>
      </c>
      <c r="I541" s="95" t="e">
        <f ca="1">VLOOKUP(B541,bond!B:Z,25,FALSE)</f>
        <v>#N/A</v>
      </c>
      <c r="J541" s="180" t="e">
        <f ca="1">VLOOKUP(B541,bond!B:K,10,FALSE)</f>
        <v>#N/A</v>
      </c>
      <c r="K541" s="96" t="e">
        <f ca="1">VLOOKUP($B541,bond!B:S,14,FALSE)</f>
        <v>#N/A</v>
      </c>
      <c r="L541" s="91" t="e">
        <f ca="1">VLOOKUP(B541,bond!B:H,7,FALSE)</f>
        <v>#N/A</v>
      </c>
      <c r="M541" s="144" t="e">
        <f ca="1">VLOOKUP($B541,bond!$B:$Q,16,FALSE)</f>
        <v>#N/A</v>
      </c>
      <c r="N541" s="136" t="e">
        <f ca="1">VALUE(LEFT(VLOOKUP(B541,bond!B:R,17,FALSE),SEARCH(" ",VLOOKUP(B541,bond!B:R,17,FALSE),1)))</f>
        <v>#N/A</v>
      </c>
      <c r="O541" s="136" t="e">
        <f ca="1">VALUE(RIGHT(VLOOKUP(B541,bond!B:R,17,FALSE),LEN(VLOOKUP(B541,bond!B:R,17,FALSE))-LEN(N541)-3))</f>
        <v>#N/A</v>
      </c>
      <c r="P541" s="135" t="e">
        <f ca="1">VLOOKUP($B541,bond!$B:$AG,32,FALSE)</f>
        <v>#N/A</v>
      </c>
      <c r="Q541" s="135" t="e">
        <f ca="1">VLOOKUP($B541,bond!$B:$AH,33,FALSE)</f>
        <v>#N/A</v>
      </c>
      <c r="R541" s="135" t="e">
        <f ca="1">VLOOKUP(B541,bond!B:AA,26,FALSE)</f>
        <v>#N/A</v>
      </c>
      <c r="S541" s="135" t="e">
        <f ca="1">VLOOKUP(B541,bond!B:AI,34,FALSE)</f>
        <v>#N/A</v>
      </c>
      <c r="T541" s="135" t="e">
        <f t="shared" ca="1" si="56"/>
        <v>#N/A</v>
      </c>
      <c r="U541" s="207" t="e">
        <f ca="1">IFERROR(VLOOKUP(T541,Bond_DES!D:E,2,FALSE),VLOOKUP(S541,bond!AI:AJ,2,FALSE))</f>
        <v>#N/A</v>
      </c>
      <c r="V541" s="136" t="e">
        <f ca="1">IFERROR(VLOOKUP(B541,'1_重設數據'!L:M,2,FALSE),IF(Q541="政府",IF(AD541&gt;16,"(NPI)非專投",IF(AD541&gt;10,"(PI)專投","高資產")),IF(VLOOKUP(B541,bond!B:AN,39,FALSE)="Y","(PI)專投",IF(AD541&gt;=15,"(NPI)非專投",IF(AD541&gt;=10,"(PI)專投","高資產")))))</f>
        <v>#N/A</v>
      </c>
      <c r="W541" s="136" t="e">
        <f ca="1">VLOOKUP(AD541,'credit rating'!$F$2:$H$22,3,FALSE)</f>
        <v>#N/A</v>
      </c>
      <c r="X541" s="136" t="e">
        <f t="shared" ca="1" si="57"/>
        <v>#N/A</v>
      </c>
      <c r="Y541" s="136" t="e">
        <f t="shared" ca="1" si="58"/>
        <v>#N/A</v>
      </c>
      <c r="Z541" s="136" t="e">
        <f t="shared" ca="1" si="59"/>
        <v>#N/A</v>
      </c>
      <c r="AA541" s="134">
        <f ca="1">IFERROR(VLOOKUP(X541,'credit rating'!A:C,3,FALSE),0)</f>
        <v>0</v>
      </c>
      <c r="AB541" s="134">
        <f ca="1">IFERROR(VLOOKUP(Y541,'credit rating'!B:C,2,FALSE),0)</f>
        <v>0</v>
      </c>
      <c r="AC541" s="136">
        <f ca="1">IFERROR(VLOOKUP(Z541,'credit rating'!B:C,2,FALSE),0)</f>
        <v>0</v>
      </c>
      <c r="AD541" s="136">
        <f t="shared" ca="1" si="60"/>
        <v>0</v>
      </c>
      <c r="AE541" s="249" t="str">
        <f ca="1">IFERROR(VLOOKUP(B541,bond!B:U,20,FALSE),"")</f>
        <v/>
      </c>
      <c r="AF541" s="136" t="e">
        <f ca="1">IF(VLOOKUP(B541,bond!B:AK,36,FALSE)="#N/A Field Not Applicable","",VLOOKUP(B541,bond!B:AK,36,FALSE))</f>
        <v>#N/A</v>
      </c>
      <c r="AG541" s="136" t="e">
        <f ca="1">IF(VLOOKUP(B541,bond!B:AL,37,FALSE)="FIXED","固定",IF(VLOOKUP(B541,bond!B:AL,37,FALSE)="FLOATING","浮動",IF(VLOOKUP(B541,bond!B:AL,37,FALSE)="VARIABLE","變動",IF(VLOOKUP(B541,bond!B:AL,37,FALSE)="FLAT TRADING","不含息交易",IF(VLOOKUP(B541,bond!B:AL,37,FALSE)="ZERO COUPON","零息",VLOOKUP(B541,bond!B:AL,37,FALSE))))))</f>
        <v>#N/A</v>
      </c>
      <c r="AH541" s="136" t="e">
        <f>VLOOKUP(C541,'2_Check_code'!I:J,2,FALSE)</f>
        <v>#N/A</v>
      </c>
      <c r="AI541" s="136" t="e">
        <f t="shared" ca="1" si="61"/>
        <v>#N/A</v>
      </c>
      <c r="AJ541" s="136" t="e">
        <f t="shared" ca="1" si="62"/>
        <v>#N/A</v>
      </c>
      <c r="AK541" s="594" t="e">
        <f ca="1">IF(VLOOKUP(B541,bond!B:S,18,FALSE)="是","有",IF(VLOOKUP(B541,bond!B:S,18,FALSE)="NO OFFER","無","需查詢"))</f>
        <v>#N/A</v>
      </c>
      <c r="AL541" s="136" t="e">
        <f>IF(VLOOKUP(A541,bond!F:AR,39,FALSE)="#N/A Field Not Applicable",VLOOKUP(A541,bond!F:AR,38,FALSE),IFERROR(VLOOKUP(A541,'7_發行日例外'!A:B,2,FALSE),VLOOKUP(A541,bond!F:AR,39,FALSE)))</f>
        <v>#N/A</v>
      </c>
      <c r="AM541" s="136" t="e">
        <f ca="1">VLOOKUP(B541,bond!B:AK,36,FALSE)</f>
        <v>#N/A</v>
      </c>
      <c r="AN541" s="136" t="str">
        <f ca="1">IFERROR(VLOOKUP(B541,'3_是否下架'!A:A,1,FALSE),"")</f>
        <v/>
      </c>
      <c r="AO541" s="136" t="e">
        <f ca="1">VLOOKUP(B541,bond!B:J,9,FALSE)</f>
        <v>#N/A</v>
      </c>
      <c r="AP541" s="136" t="e">
        <f ca="1">VLOOKUP(B541,bond!B:V,21,FALSE)</f>
        <v>#N/A</v>
      </c>
    </row>
    <row r="542" spans="1:42">
      <c r="A542" s="141">
        <f>bond!F543</f>
        <v>0</v>
      </c>
      <c r="B542" s="151">
        <f ca="1">IF($C$1=TRUE,bond!B543,"")</f>
        <v>0</v>
      </c>
      <c r="C542" s="95" t="e">
        <f>VLOOKUP(A542,bond!F:G,2,FALSE)</f>
        <v>#N/A</v>
      </c>
      <c r="D542" s="142" t="e">
        <f ca="1">VLOOKUP(B542,bond!B:C,2,FALSE)</f>
        <v>#N/A</v>
      </c>
      <c r="E542" s="95" t="e">
        <f ca="1">VLOOKUP(B542,bond!B:D,3,FALSE)</f>
        <v>#N/A</v>
      </c>
      <c r="F542" s="99" t="e">
        <f ca="1">VLOOKUP(B542,bond!B:AB,27,FALSE)</f>
        <v>#N/A</v>
      </c>
      <c r="G542" s="90" t="e">
        <f ca="1">VLOOKUP(B542,bond!B:E,4,FALSE)</f>
        <v>#N/A</v>
      </c>
      <c r="H542" s="202" t="e">
        <f ca="1">VLOOKUP(B542,bond!B:Y,24,FALSE)</f>
        <v>#N/A</v>
      </c>
      <c r="I542" s="95" t="e">
        <f ca="1">VLOOKUP(B542,bond!B:Z,25,FALSE)</f>
        <v>#N/A</v>
      </c>
      <c r="J542" s="180" t="e">
        <f ca="1">VLOOKUP(B542,bond!B:K,10,FALSE)</f>
        <v>#N/A</v>
      </c>
      <c r="K542" s="96" t="e">
        <f ca="1">VLOOKUP($B542,bond!B:S,14,FALSE)</f>
        <v>#N/A</v>
      </c>
      <c r="L542" s="91" t="e">
        <f ca="1">VLOOKUP(B542,bond!B:H,7,FALSE)</f>
        <v>#N/A</v>
      </c>
      <c r="M542" s="144" t="e">
        <f ca="1">VLOOKUP($B542,bond!$B:$Q,16,FALSE)</f>
        <v>#N/A</v>
      </c>
      <c r="N542" s="136" t="e">
        <f ca="1">VALUE(LEFT(VLOOKUP(B542,bond!B:R,17,FALSE),SEARCH(" ",VLOOKUP(B542,bond!B:R,17,FALSE),1)))</f>
        <v>#N/A</v>
      </c>
      <c r="O542" s="136" t="e">
        <f ca="1">VALUE(RIGHT(VLOOKUP(B542,bond!B:R,17,FALSE),LEN(VLOOKUP(B542,bond!B:R,17,FALSE))-LEN(N542)-3))</f>
        <v>#N/A</v>
      </c>
      <c r="P542" s="135" t="e">
        <f ca="1">VLOOKUP($B542,bond!$B:$AG,32,FALSE)</f>
        <v>#N/A</v>
      </c>
      <c r="Q542" s="135" t="e">
        <f ca="1">VLOOKUP($B542,bond!$B:$AH,33,FALSE)</f>
        <v>#N/A</v>
      </c>
      <c r="R542" s="135" t="e">
        <f ca="1">VLOOKUP(B542,bond!B:AA,26,FALSE)</f>
        <v>#N/A</v>
      </c>
      <c r="S542" s="135" t="e">
        <f ca="1">VLOOKUP(B542,bond!B:AI,34,FALSE)</f>
        <v>#N/A</v>
      </c>
      <c r="T542" s="135" t="e">
        <f t="shared" ca="1" si="56"/>
        <v>#N/A</v>
      </c>
      <c r="U542" s="207" t="e">
        <f ca="1">IFERROR(VLOOKUP(T542,Bond_DES!D:E,2,FALSE),VLOOKUP(S542,bond!AI:AJ,2,FALSE))</f>
        <v>#N/A</v>
      </c>
      <c r="V542" s="136" t="e">
        <f ca="1">IFERROR(VLOOKUP(B542,'1_重設數據'!L:M,2,FALSE),IF(Q542="政府",IF(AD542&gt;16,"(NPI)非專投",IF(AD542&gt;10,"(PI)專投","高資產")),IF(VLOOKUP(B542,bond!B:AN,39,FALSE)="Y","(PI)專投",IF(AD542&gt;=15,"(NPI)非專投",IF(AD542&gt;=10,"(PI)專投","高資產")))))</f>
        <v>#N/A</v>
      </c>
      <c r="W542" s="136" t="e">
        <f ca="1">VLOOKUP(AD542,'credit rating'!$F$2:$H$22,3,FALSE)</f>
        <v>#N/A</v>
      </c>
      <c r="X542" s="136" t="e">
        <f t="shared" ca="1" si="57"/>
        <v>#N/A</v>
      </c>
      <c r="Y542" s="136" t="e">
        <f t="shared" ca="1" si="58"/>
        <v>#N/A</v>
      </c>
      <c r="Z542" s="136" t="e">
        <f t="shared" ca="1" si="59"/>
        <v>#N/A</v>
      </c>
      <c r="AA542" s="134">
        <f ca="1">IFERROR(VLOOKUP(X542,'credit rating'!A:C,3,FALSE),0)</f>
        <v>0</v>
      </c>
      <c r="AB542" s="134">
        <f ca="1">IFERROR(VLOOKUP(Y542,'credit rating'!B:C,2,FALSE),0)</f>
        <v>0</v>
      </c>
      <c r="AC542" s="136">
        <f ca="1">IFERROR(VLOOKUP(Z542,'credit rating'!B:C,2,FALSE),0)</f>
        <v>0</v>
      </c>
      <c r="AD542" s="136">
        <f t="shared" ca="1" si="60"/>
        <v>0</v>
      </c>
      <c r="AE542" s="249" t="str">
        <f ca="1">IFERROR(VLOOKUP(B542,bond!B:U,20,FALSE),"")</f>
        <v/>
      </c>
      <c r="AF542" s="136" t="e">
        <f ca="1">IF(VLOOKUP(B542,bond!B:AK,36,FALSE)="#N/A Field Not Applicable","",VLOOKUP(B542,bond!B:AK,36,FALSE))</f>
        <v>#N/A</v>
      </c>
      <c r="AG542" s="136" t="e">
        <f ca="1">IF(VLOOKUP(B542,bond!B:AL,37,FALSE)="FIXED","固定",IF(VLOOKUP(B542,bond!B:AL,37,FALSE)="FLOATING","浮動",IF(VLOOKUP(B542,bond!B:AL,37,FALSE)="VARIABLE","變動",IF(VLOOKUP(B542,bond!B:AL,37,FALSE)="FLAT TRADING","不含息交易",IF(VLOOKUP(B542,bond!B:AL,37,FALSE)="ZERO COUPON","零息",VLOOKUP(B542,bond!B:AL,37,FALSE))))))</f>
        <v>#N/A</v>
      </c>
      <c r="AH542" s="136" t="e">
        <f>VLOOKUP(C542,'2_Check_code'!I:J,2,FALSE)</f>
        <v>#N/A</v>
      </c>
      <c r="AI542" s="136" t="e">
        <f t="shared" ca="1" si="61"/>
        <v>#N/A</v>
      </c>
      <c r="AJ542" s="136" t="e">
        <f t="shared" ca="1" si="62"/>
        <v>#N/A</v>
      </c>
      <c r="AK542" s="594" t="e">
        <f ca="1">IF(VLOOKUP(B542,bond!B:S,18,FALSE)="是","有",IF(VLOOKUP(B542,bond!B:S,18,FALSE)="NO OFFER","無","需查詢"))</f>
        <v>#N/A</v>
      </c>
      <c r="AL542" s="136" t="e">
        <f>IF(VLOOKUP(A542,bond!F:AR,39,FALSE)="#N/A Field Not Applicable",VLOOKUP(A542,bond!F:AR,38,FALSE),IFERROR(VLOOKUP(A542,'7_發行日例外'!A:B,2,FALSE),VLOOKUP(A542,bond!F:AR,39,FALSE)))</f>
        <v>#N/A</v>
      </c>
      <c r="AM542" s="136" t="e">
        <f ca="1">VLOOKUP(B542,bond!B:AK,36,FALSE)</f>
        <v>#N/A</v>
      </c>
      <c r="AN542" s="136" t="str">
        <f ca="1">IFERROR(VLOOKUP(B542,'3_是否下架'!A:A,1,FALSE),"")</f>
        <v/>
      </c>
      <c r="AO542" s="136" t="e">
        <f ca="1">VLOOKUP(B542,bond!B:J,9,FALSE)</f>
        <v>#N/A</v>
      </c>
      <c r="AP542" s="136" t="e">
        <f ca="1">VLOOKUP(B542,bond!B:V,21,FALSE)</f>
        <v>#N/A</v>
      </c>
    </row>
    <row r="543" spans="1:42">
      <c r="A543" s="141">
        <f>bond!F544</f>
        <v>0</v>
      </c>
      <c r="B543" s="151">
        <f ca="1">IF($C$1=TRUE,bond!B544,"")</f>
        <v>0</v>
      </c>
      <c r="C543" s="95" t="e">
        <f>VLOOKUP(A543,bond!F:G,2,FALSE)</f>
        <v>#N/A</v>
      </c>
      <c r="D543" s="142" t="e">
        <f ca="1">VLOOKUP(B543,bond!B:C,2,FALSE)</f>
        <v>#N/A</v>
      </c>
      <c r="E543" s="95" t="e">
        <f ca="1">VLOOKUP(B543,bond!B:D,3,FALSE)</f>
        <v>#N/A</v>
      </c>
      <c r="F543" s="99" t="e">
        <f ca="1">VLOOKUP(B543,bond!B:AB,27,FALSE)</f>
        <v>#N/A</v>
      </c>
      <c r="G543" s="90" t="e">
        <f ca="1">VLOOKUP(B543,bond!B:E,4,FALSE)</f>
        <v>#N/A</v>
      </c>
      <c r="H543" s="202" t="e">
        <f ca="1">VLOOKUP(B543,bond!B:Y,24,FALSE)</f>
        <v>#N/A</v>
      </c>
      <c r="I543" s="95" t="e">
        <f ca="1">VLOOKUP(B543,bond!B:Z,25,FALSE)</f>
        <v>#N/A</v>
      </c>
      <c r="J543" s="180" t="e">
        <f ca="1">VLOOKUP(B543,bond!B:K,10,FALSE)</f>
        <v>#N/A</v>
      </c>
      <c r="K543" s="96" t="e">
        <f ca="1">VLOOKUP($B543,bond!B:S,14,FALSE)</f>
        <v>#N/A</v>
      </c>
      <c r="L543" s="91" t="e">
        <f ca="1">VLOOKUP(B543,bond!B:H,7,FALSE)</f>
        <v>#N/A</v>
      </c>
      <c r="M543" s="144" t="e">
        <f ca="1">VLOOKUP($B543,bond!$B:$Q,16,FALSE)</f>
        <v>#N/A</v>
      </c>
      <c r="N543" s="136" t="e">
        <f ca="1">VALUE(LEFT(VLOOKUP(B543,bond!B:R,17,FALSE),SEARCH(" ",VLOOKUP(B543,bond!B:R,17,FALSE),1)))</f>
        <v>#N/A</v>
      </c>
      <c r="O543" s="136" t="e">
        <f ca="1">VALUE(RIGHT(VLOOKUP(B543,bond!B:R,17,FALSE),LEN(VLOOKUP(B543,bond!B:R,17,FALSE))-LEN(N543)-3))</f>
        <v>#N/A</v>
      </c>
      <c r="P543" s="135" t="e">
        <f ca="1">VLOOKUP($B543,bond!$B:$AG,32,FALSE)</f>
        <v>#N/A</v>
      </c>
      <c r="Q543" s="135" t="e">
        <f ca="1">VLOOKUP($B543,bond!$B:$AH,33,FALSE)</f>
        <v>#N/A</v>
      </c>
      <c r="R543" s="135" t="e">
        <f ca="1">VLOOKUP(B543,bond!B:AA,26,FALSE)</f>
        <v>#N/A</v>
      </c>
      <c r="S543" s="135" t="e">
        <f ca="1">VLOOKUP(B543,bond!B:AI,34,FALSE)</f>
        <v>#N/A</v>
      </c>
      <c r="T543" s="135" t="e">
        <f t="shared" ca="1" si="56"/>
        <v>#N/A</v>
      </c>
      <c r="U543" s="207" t="e">
        <f ca="1">IFERROR(VLOOKUP(T543,Bond_DES!D:E,2,FALSE),VLOOKUP(S543,bond!AI:AJ,2,FALSE))</f>
        <v>#N/A</v>
      </c>
      <c r="V543" s="136" t="e">
        <f ca="1">IFERROR(VLOOKUP(B543,'1_重設數據'!L:M,2,FALSE),IF(Q543="政府",IF(AD543&gt;16,"(NPI)非專投",IF(AD543&gt;10,"(PI)專投","高資產")),IF(VLOOKUP(B543,bond!B:AN,39,FALSE)="Y","(PI)專投",IF(AD543&gt;=15,"(NPI)非專投",IF(AD543&gt;=10,"(PI)專投","高資產")))))</f>
        <v>#N/A</v>
      </c>
      <c r="W543" s="136" t="e">
        <f ca="1">VLOOKUP(AD543,'credit rating'!$F$2:$H$22,3,FALSE)</f>
        <v>#N/A</v>
      </c>
      <c r="X543" s="136" t="e">
        <f t="shared" ca="1" si="57"/>
        <v>#N/A</v>
      </c>
      <c r="Y543" s="136" t="e">
        <f t="shared" ca="1" si="58"/>
        <v>#N/A</v>
      </c>
      <c r="Z543" s="136" t="e">
        <f t="shared" ca="1" si="59"/>
        <v>#N/A</v>
      </c>
      <c r="AA543" s="134">
        <f ca="1">IFERROR(VLOOKUP(X543,'credit rating'!A:C,3,FALSE),0)</f>
        <v>0</v>
      </c>
      <c r="AB543" s="134">
        <f ca="1">IFERROR(VLOOKUP(Y543,'credit rating'!B:C,2,FALSE),0)</f>
        <v>0</v>
      </c>
      <c r="AC543" s="136">
        <f ca="1">IFERROR(VLOOKUP(Z543,'credit rating'!B:C,2,FALSE),0)</f>
        <v>0</v>
      </c>
      <c r="AD543" s="136">
        <f t="shared" ca="1" si="60"/>
        <v>0</v>
      </c>
      <c r="AE543" s="249" t="str">
        <f ca="1">IFERROR(VLOOKUP(B543,bond!B:U,20,FALSE),"")</f>
        <v/>
      </c>
      <c r="AF543" s="136" t="e">
        <f ca="1">IF(VLOOKUP(B543,bond!B:AK,36,FALSE)="#N/A Field Not Applicable","",VLOOKUP(B543,bond!B:AK,36,FALSE))</f>
        <v>#N/A</v>
      </c>
      <c r="AG543" s="136" t="e">
        <f ca="1">IF(VLOOKUP(B543,bond!B:AL,37,FALSE)="FIXED","固定",IF(VLOOKUP(B543,bond!B:AL,37,FALSE)="FLOATING","浮動",IF(VLOOKUP(B543,bond!B:AL,37,FALSE)="VARIABLE","變動",IF(VLOOKUP(B543,bond!B:AL,37,FALSE)="FLAT TRADING","不含息交易",IF(VLOOKUP(B543,bond!B:AL,37,FALSE)="ZERO COUPON","零息",VLOOKUP(B543,bond!B:AL,37,FALSE))))))</f>
        <v>#N/A</v>
      </c>
      <c r="AH543" s="136" t="e">
        <f>VLOOKUP(C543,'2_Check_code'!I:J,2,FALSE)</f>
        <v>#N/A</v>
      </c>
      <c r="AI543" s="136" t="e">
        <f t="shared" ca="1" si="61"/>
        <v>#N/A</v>
      </c>
      <c r="AJ543" s="136" t="e">
        <f t="shared" ca="1" si="62"/>
        <v>#N/A</v>
      </c>
      <c r="AK543" s="594" t="e">
        <f ca="1">IF(VLOOKUP(B543,bond!B:S,18,FALSE)="是","有",IF(VLOOKUP(B543,bond!B:S,18,FALSE)="NO OFFER","無","需查詢"))</f>
        <v>#N/A</v>
      </c>
      <c r="AL543" s="136" t="e">
        <f>IF(VLOOKUP(A543,bond!F:AR,39,FALSE)="#N/A Field Not Applicable",VLOOKUP(A543,bond!F:AR,38,FALSE),IFERROR(VLOOKUP(A543,'7_發行日例外'!A:B,2,FALSE),VLOOKUP(A543,bond!F:AR,39,FALSE)))</f>
        <v>#N/A</v>
      </c>
      <c r="AM543" s="136" t="e">
        <f ca="1">VLOOKUP(B543,bond!B:AK,36,FALSE)</f>
        <v>#N/A</v>
      </c>
      <c r="AN543" s="136" t="str">
        <f ca="1">IFERROR(VLOOKUP(B543,'3_是否下架'!A:A,1,FALSE),"")</f>
        <v/>
      </c>
      <c r="AO543" s="136" t="e">
        <f ca="1">VLOOKUP(B543,bond!B:J,9,FALSE)</f>
        <v>#N/A</v>
      </c>
      <c r="AP543" s="136" t="e">
        <f ca="1">VLOOKUP(B543,bond!B:V,21,FALSE)</f>
        <v>#N/A</v>
      </c>
    </row>
    <row r="544" spans="1:42">
      <c r="A544" s="141">
        <f>bond!F545</f>
        <v>0</v>
      </c>
      <c r="B544" s="151">
        <f ca="1">IF($C$1=TRUE,bond!B545,"")</f>
        <v>0</v>
      </c>
      <c r="C544" s="95" t="e">
        <f>VLOOKUP(A544,bond!F:G,2,FALSE)</f>
        <v>#N/A</v>
      </c>
      <c r="D544" s="142" t="e">
        <f ca="1">VLOOKUP(B544,bond!B:C,2,FALSE)</f>
        <v>#N/A</v>
      </c>
      <c r="E544" s="95" t="e">
        <f ca="1">VLOOKUP(B544,bond!B:D,3,FALSE)</f>
        <v>#N/A</v>
      </c>
      <c r="F544" s="99" t="e">
        <f ca="1">VLOOKUP(B544,bond!B:AB,27,FALSE)</f>
        <v>#N/A</v>
      </c>
      <c r="G544" s="90" t="e">
        <f ca="1">VLOOKUP(B544,bond!B:E,4,FALSE)</f>
        <v>#N/A</v>
      </c>
      <c r="H544" s="202" t="e">
        <f ca="1">VLOOKUP(B544,bond!B:Y,24,FALSE)</f>
        <v>#N/A</v>
      </c>
      <c r="I544" s="95" t="e">
        <f ca="1">VLOOKUP(B544,bond!B:Z,25,FALSE)</f>
        <v>#N/A</v>
      </c>
      <c r="J544" s="180" t="e">
        <f ca="1">VLOOKUP(B544,bond!B:K,10,FALSE)</f>
        <v>#N/A</v>
      </c>
      <c r="K544" s="96" t="e">
        <f ca="1">VLOOKUP($B544,bond!B:S,14,FALSE)</f>
        <v>#N/A</v>
      </c>
      <c r="L544" s="91" t="e">
        <f ca="1">VLOOKUP(B544,bond!B:H,7,FALSE)</f>
        <v>#N/A</v>
      </c>
      <c r="M544" s="144" t="e">
        <f ca="1">VLOOKUP($B544,bond!$B:$Q,16,FALSE)</f>
        <v>#N/A</v>
      </c>
      <c r="N544" s="136" t="e">
        <f ca="1">VALUE(LEFT(VLOOKUP(B544,bond!B:R,17,FALSE),SEARCH(" ",VLOOKUP(B544,bond!B:R,17,FALSE),1)))</f>
        <v>#N/A</v>
      </c>
      <c r="O544" s="136" t="e">
        <f ca="1">VALUE(RIGHT(VLOOKUP(B544,bond!B:R,17,FALSE),LEN(VLOOKUP(B544,bond!B:R,17,FALSE))-LEN(N544)-3))</f>
        <v>#N/A</v>
      </c>
      <c r="P544" s="135" t="e">
        <f ca="1">VLOOKUP($B544,bond!$B:$AG,32,FALSE)</f>
        <v>#N/A</v>
      </c>
      <c r="Q544" s="135" t="e">
        <f ca="1">VLOOKUP($B544,bond!$B:$AH,33,FALSE)</f>
        <v>#N/A</v>
      </c>
      <c r="R544" s="135" t="e">
        <f ca="1">VLOOKUP(B544,bond!B:AA,26,FALSE)</f>
        <v>#N/A</v>
      </c>
      <c r="S544" s="135" t="e">
        <f ca="1">VLOOKUP(B544,bond!B:AI,34,FALSE)</f>
        <v>#N/A</v>
      </c>
      <c r="T544" s="135" t="e">
        <f t="shared" ca="1" si="56"/>
        <v>#N/A</v>
      </c>
      <c r="U544" s="207" t="e">
        <f ca="1">IFERROR(VLOOKUP(T544,Bond_DES!D:E,2,FALSE),VLOOKUP(S544,bond!AI:AJ,2,FALSE))</f>
        <v>#N/A</v>
      </c>
      <c r="V544" s="136" t="e">
        <f ca="1">IFERROR(VLOOKUP(B544,'1_重設數據'!L:M,2,FALSE),IF(Q544="政府",IF(AD544&gt;16,"(NPI)非專投",IF(AD544&gt;10,"(PI)專投","高資產")),IF(VLOOKUP(B544,bond!B:AN,39,FALSE)="Y","(PI)專投",IF(AD544&gt;=15,"(NPI)非專投",IF(AD544&gt;=10,"(PI)專投","高資產")))))</f>
        <v>#N/A</v>
      </c>
      <c r="W544" s="136" t="e">
        <f ca="1">VLOOKUP(AD544,'credit rating'!$F$2:$H$22,3,FALSE)</f>
        <v>#N/A</v>
      </c>
      <c r="X544" s="136" t="e">
        <f t="shared" ca="1" si="57"/>
        <v>#N/A</v>
      </c>
      <c r="Y544" s="136" t="e">
        <f t="shared" ca="1" si="58"/>
        <v>#N/A</v>
      </c>
      <c r="Z544" s="136" t="e">
        <f t="shared" ca="1" si="59"/>
        <v>#N/A</v>
      </c>
      <c r="AA544" s="134">
        <f ca="1">IFERROR(VLOOKUP(X544,'credit rating'!A:C,3,FALSE),0)</f>
        <v>0</v>
      </c>
      <c r="AB544" s="134">
        <f ca="1">IFERROR(VLOOKUP(Y544,'credit rating'!B:C,2,FALSE),0)</f>
        <v>0</v>
      </c>
      <c r="AC544" s="136">
        <f ca="1">IFERROR(VLOOKUP(Z544,'credit rating'!B:C,2,FALSE),0)</f>
        <v>0</v>
      </c>
      <c r="AD544" s="136">
        <f t="shared" ca="1" si="60"/>
        <v>0</v>
      </c>
      <c r="AE544" s="249" t="str">
        <f ca="1">IFERROR(VLOOKUP(B544,bond!B:U,20,FALSE),"")</f>
        <v/>
      </c>
      <c r="AF544" s="136" t="e">
        <f ca="1">IF(VLOOKUP(B544,bond!B:AK,36,FALSE)="#N/A Field Not Applicable","",VLOOKUP(B544,bond!B:AK,36,FALSE))</f>
        <v>#N/A</v>
      </c>
      <c r="AG544" s="136" t="e">
        <f ca="1">IF(VLOOKUP(B544,bond!B:AL,37,FALSE)="FIXED","固定",IF(VLOOKUP(B544,bond!B:AL,37,FALSE)="FLOATING","浮動",IF(VLOOKUP(B544,bond!B:AL,37,FALSE)="VARIABLE","變動",IF(VLOOKUP(B544,bond!B:AL,37,FALSE)="FLAT TRADING","不含息交易",IF(VLOOKUP(B544,bond!B:AL,37,FALSE)="ZERO COUPON","零息",VLOOKUP(B544,bond!B:AL,37,FALSE))))))</f>
        <v>#N/A</v>
      </c>
      <c r="AH544" s="136" t="e">
        <f>VLOOKUP(C544,'2_Check_code'!I:J,2,FALSE)</f>
        <v>#N/A</v>
      </c>
      <c r="AI544" s="136" t="e">
        <f t="shared" ca="1" si="61"/>
        <v>#N/A</v>
      </c>
      <c r="AJ544" s="136" t="e">
        <f t="shared" ca="1" si="62"/>
        <v>#N/A</v>
      </c>
      <c r="AK544" s="594" t="e">
        <f ca="1">IF(VLOOKUP(B544,bond!B:S,18,FALSE)="是","有",IF(VLOOKUP(B544,bond!B:S,18,FALSE)="NO OFFER","無","需查詢"))</f>
        <v>#N/A</v>
      </c>
      <c r="AL544" s="136" t="e">
        <f>IF(VLOOKUP(A544,bond!F:AR,39,FALSE)="#N/A Field Not Applicable",VLOOKUP(A544,bond!F:AR,38,FALSE),IFERROR(VLOOKUP(A544,'7_發行日例外'!A:B,2,FALSE),VLOOKUP(A544,bond!F:AR,39,FALSE)))</f>
        <v>#N/A</v>
      </c>
      <c r="AM544" s="136" t="e">
        <f ca="1">VLOOKUP(B544,bond!B:AK,36,FALSE)</f>
        <v>#N/A</v>
      </c>
      <c r="AN544" s="136" t="str">
        <f ca="1">IFERROR(VLOOKUP(B544,'3_是否下架'!A:A,1,FALSE),"")</f>
        <v/>
      </c>
      <c r="AO544" s="136" t="e">
        <f ca="1">VLOOKUP(B544,bond!B:J,9,FALSE)</f>
        <v>#N/A</v>
      </c>
      <c r="AP544" s="136" t="e">
        <f ca="1">VLOOKUP(B544,bond!B:V,21,FALSE)</f>
        <v>#N/A</v>
      </c>
    </row>
    <row r="545" spans="1:42">
      <c r="A545" s="141">
        <f>bond!F546</f>
        <v>0</v>
      </c>
      <c r="B545" s="151">
        <f ca="1">IF($C$1=TRUE,bond!B546,"")</f>
        <v>0</v>
      </c>
      <c r="C545" s="95" t="e">
        <f>VLOOKUP(A545,bond!F:G,2,FALSE)</f>
        <v>#N/A</v>
      </c>
      <c r="D545" s="142" t="e">
        <f ca="1">VLOOKUP(B545,bond!B:C,2,FALSE)</f>
        <v>#N/A</v>
      </c>
      <c r="E545" s="95" t="e">
        <f ca="1">VLOOKUP(B545,bond!B:D,3,FALSE)</f>
        <v>#N/A</v>
      </c>
      <c r="F545" s="99" t="e">
        <f ca="1">VLOOKUP(B545,bond!B:AB,27,FALSE)</f>
        <v>#N/A</v>
      </c>
      <c r="G545" s="90" t="e">
        <f ca="1">VLOOKUP(B545,bond!B:E,4,FALSE)</f>
        <v>#N/A</v>
      </c>
      <c r="H545" s="202" t="e">
        <f ca="1">VLOOKUP(B545,bond!B:Y,24,FALSE)</f>
        <v>#N/A</v>
      </c>
      <c r="I545" s="95" t="e">
        <f ca="1">VLOOKUP(B545,bond!B:Z,25,FALSE)</f>
        <v>#N/A</v>
      </c>
      <c r="J545" s="180" t="e">
        <f ca="1">VLOOKUP(B545,bond!B:K,10,FALSE)</f>
        <v>#N/A</v>
      </c>
      <c r="K545" s="96" t="e">
        <f ca="1">VLOOKUP($B545,bond!B:S,14,FALSE)</f>
        <v>#N/A</v>
      </c>
      <c r="L545" s="91" t="e">
        <f ca="1">VLOOKUP(B545,bond!B:H,7,FALSE)</f>
        <v>#N/A</v>
      </c>
      <c r="M545" s="144" t="e">
        <f ca="1">VLOOKUP($B545,bond!$B:$Q,16,FALSE)</f>
        <v>#N/A</v>
      </c>
      <c r="N545" s="136" t="e">
        <f ca="1">VALUE(LEFT(VLOOKUP(B545,bond!B:R,17,FALSE),SEARCH(" ",VLOOKUP(B545,bond!B:R,17,FALSE),1)))</f>
        <v>#N/A</v>
      </c>
      <c r="O545" s="136" t="e">
        <f ca="1">VALUE(RIGHT(VLOOKUP(B545,bond!B:R,17,FALSE),LEN(VLOOKUP(B545,bond!B:R,17,FALSE))-LEN(N545)-3))</f>
        <v>#N/A</v>
      </c>
      <c r="P545" s="135" t="e">
        <f ca="1">VLOOKUP($B545,bond!$B:$AG,32,FALSE)</f>
        <v>#N/A</v>
      </c>
      <c r="Q545" s="135" t="e">
        <f ca="1">VLOOKUP($B545,bond!$B:$AH,33,FALSE)</f>
        <v>#N/A</v>
      </c>
      <c r="R545" s="135" t="e">
        <f ca="1">VLOOKUP(B545,bond!B:AA,26,FALSE)</f>
        <v>#N/A</v>
      </c>
      <c r="S545" s="135" t="e">
        <f ca="1">VLOOKUP(B545,bond!B:AI,34,FALSE)</f>
        <v>#N/A</v>
      </c>
      <c r="T545" s="135" t="e">
        <f t="shared" ca="1" si="56"/>
        <v>#N/A</v>
      </c>
      <c r="U545" s="207" t="e">
        <f ca="1">IFERROR(VLOOKUP(T545,Bond_DES!D:E,2,FALSE),VLOOKUP(S545,bond!AI:AJ,2,FALSE))</f>
        <v>#N/A</v>
      </c>
      <c r="V545" s="136" t="e">
        <f ca="1">IFERROR(VLOOKUP(B545,'1_重設數據'!L:M,2,FALSE),IF(Q545="政府",IF(AD545&gt;16,"(NPI)非專投",IF(AD545&gt;10,"(PI)專投","高資產")),IF(VLOOKUP(B545,bond!B:AN,39,FALSE)="Y","(PI)專投",IF(AD545&gt;=15,"(NPI)非專投",IF(AD545&gt;=10,"(PI)專投","高資產")))))</f>
        <v>#N/A</v>
      </c>
      <c r="W545" s="136" t="e">
        <f ca="1">VLOOKUP(AD545,'credit rating'!$F$2:$H$22,3,FALSE)</f>
        <v>#N/A</v>
      </c>
      <c r="X545" s="136" t="e">
        <f t="shared" ca="1" si="57"/>
        <v>#N/A</v>
      </c>
      <c r="Y545" s="136" t="e">
        <f t="shared" ca="1" si="58"/>
        <v>#N/A</v>
      </c>
      <c r="Z545" s="136" t="e">
        <f t="shared" ca="1" si="59"/>
        <v>#N/A</v>
      </c>
      <c r="AA545" s="134">
        <f ca="1">IFERROR(VLOOKUP(X545,'credit rating'!A:C,3,FALSE),0)</f>
        <v>0</v>
      </c>
      <c r="AB545" s="134">
        <f ca="1">IFERROR(VLOOKUP(Y545,'credit rating'!B:C,2,FALSE),0)</f>
        <v>0</v>
      </c>
      <c r="AC545" s="136">
        <f ca="1">IFERROR(VLOOKUP(Z545,'credit rating'!B:C,2,FALSE),0)</f>
        <v>0</v>
      </c>
      <c r="AD545" s="136">
        <f t="shared" ca="1" si="60"/>
        <v>0</v>
      </c>
      <c r="AE545" s="249" t="str">
        <f ca="1">IFERROR(VLOOKUP(B545,bond!B:U,20,FALSE),"")</f>
        <v/>
      </c>
      <c r="AF545" s="136" t="e">
        <f ca="1">IF(VLOOKUP(B545,bond!B:AK,36,FALSE)="#N/A Field Not Applicable","",VLOOKUP(B545,bond!B:AK,36,FALSE))</f>
        <v>#N/A</v>
      </c>
      <c r="AG545" s="136" t="e">
        <f ca="1">IF(VLOOKUP(B545,bond!B:AL,37,FALSE)="FIXED","固定",IF(VLOOKUP(B545,bond!B:AL,37,FALSE)="FLOATING","浮動",IF(VLOOKUP(B545,bond!B:AL,37,FALSE)="VARIABLE","變動",IF(VLOOKUP(B545,bond!B:AL,37,FALSE)="FLAT TRADING","不含息交易",IF(VLOOKUP(B545,bond!B:AL,37,FALSE)="ZERO COUPON","零息",VLOOKUP(B545,bond!B:AL,37,FALSE))))))</f>
        <v>#N/A</v>
      </c>
      <c r="AH545" s="136" t="e">
        <f>VLOOKUP(C545,'2_Check_code'!I:J,2,FALSE)</f>
        <v>#N/A</v>
      </c>
      <c r="AI545" s="136" t="e">
        <f t="shared" ca="1" si="61"/>
        <v>#N/A</v>
      </c>
      <c r="AJ545" s="136" t="e">
        <f t="shared" ca="1" si="62"/>
        <v>#N/A</v>
      </c>
      <c r="AK545" s="594" t="e">
        <f ca="1">IF(VLOOKUP(B545,bond!B:S,18,FALSE)="是","有",IF(VLOOKUP(B545,bond!B:S,18,FALSE)="NO OFFER","無","需查詢"))</f>
        <v>#N/A</v>
      </c>
      <c r="AL545" s="136" t="e">
        <f>IF(VLOOKUP(A545,bond!F:AR,39,FALSE)="#N/A Field Not Applicable",VLOOKUP(A545,bond!F:AR,38,FALSE),IFERROR(VLOOKUP(A545,'7_發行日例外'!A:B,2,FALSE),VLOOKUP(A545,bond!F:AR,39,FALSE)))</f>
        <v>#N/A</v>
      </c>
      <c r="AM545" s="136" t="e">
        <f ca="1">VLOOKUP(B545,bond!B:AK,36,FALSE)</f>
        <v>#N/A</v>
      </c>
      <c r="AN545" s="136" t="str">
        <f ca="1">IFERROR(VLOOKUP(B545,'3_是否下架'!A:A,1,FALSE),"")</f>
        <v/>
      </c>
      <c r="AO545" s="136" t="e">
        <f ca="1">VLOOKUP(B545,bond!B:J,9,FALSE)</f>
        <v>#N/A</v>
      </c>
      <c r="AP545" s="136" t="e">
        <f ca="1">VLOOKUP(B545,bond!B:V,21,FALSE)</f>
        <v>#N/A</v>
      </c>
    </row>
    <row r="546" spans="1:42">
      <c r="A546" s="141">
        <f>bond!F547</f>
        <v>0</v>
      </c>
      <c r="B546" s="151">
        <f ca="1">IF($C$1=TRUE,bond!B547,"")</f>
        <v>0</v>
      </c>
      <c r="C546" s="95" t="e">
        <f>VLOOKUP(A546,bond!F:G,2,FALSE)</f>
        <v>#N/A</v>
      </c>
      <c r="D546" s="142" t="e">
        <f ca="1">VLOOKUP(B546,bond!B:C,2,FALSE)</f>
        <v>#N/A</v>
      </c>
      <c r="E546" s="95" t="e">
        <f ca="1">VLOOKUP(B546,bond!B:D,3,FALSE)</f>
        <v>#N/A</v>
      </c>
      <c r="F546" s="99" t="e">
        <f ca="1">VLOOKUP(B546,bond!B:AB,27,FALSE)</f>
        <v>#N/A</v>
      </c>
      <c r="G546" s="90" t="e">
        <f ca="1">VLOOKUP(B546,bond!B:E,4,FALSE)</f>
        <v>#N/A</v>
      </c>
      <c r="H546" s="202" t="e">
        <f ca="1">VLOOKUP(B546,bond!B:Y,24,FALSE)</f>
        <v>#N/A</v>
      </c>
      <c r="I546" s="95" t="e">
        <f ca="1">VLOOKUP(B546,bond!B:Z,25,FALSE)</f>
        <v>#N/A</v>
      </c>
      <c r="J546" s="180" t="e">
        <f ca="1">VLOOKUP(B546,bond!B:K,10,FALSE)</f>
        <v>#N/A</v>
      </c>
      <c r="K546" s="96" t="e">
        <f ca="1">VLOOKUP($B546,bond!B:S,14,FALSE)</f>
        <v>#N/A</v>
      </c>
      <c r="L546" s="91" t="e">
        <f ca="1">VLOOKUP(B546,bond!B:H,7,FALSE)</f>
        <v>#N/A</v>
      </c>
      <c r="M546" s="144" t="e">
        <f ca="1">VLOOKUP($B546,bond!$B:$Q,16,FALSE)</f>
        <v>#N/A</v>
      </c>
      <c r="N546" s="136" t="e">
        <f ca="1">VALUE(LEFT(VLOOKUP(B546,bond!B:R,17,FALSE),SEARCH(" ",VLOOKUP(B546,bond!B:R,17,FALSE),1)))</f>
        <v>#N/A</v>
      </c>
      <c r="O546" s="136" t="e">
        <f ca="1">VALUE(RIGHT(VLOOKUP(B546,bond!B:R,17,FALSE),LEN(VLOOKUP(B546,bond!B:R,17,FALSE))-LEN(N546)-3))</f>
        <v>#N/A</v>
      </c>
      <c r="P546" s="135" t="e">
        <f ca="1">VLOOKUP($B546,bond!$B:$AG,32,FALSE)</f>
        <v>#N/A</v>
      </c>
      <c r="Q546" s="135" t="e">
        <f ca="1">VLOOKUP($B546,bond!$B:$AH,33,FALSE)</f>
        <v>#N/A</v>
      </c>
      <c r="R546" s="135" t="e">
        <f ca="1">VLOOKUP(B546,bond!B:AA,26,FALSE)</f>
        <v>#N/A</v>
      </c>
      <c r="S546" s="135" t="e">
        <f ca="1">VLOOKUP(B546,bond!B:AI,34,FALSE)</f>
        <v>#N/A</v>
      </c>
      <c r="T546" s="135" t="e">
        <f t="shared" ca="1" si="56"/>
        <v>#N/A</v>
      </c>
      <c r="U546" s="207" t="e">
        <f ca="1">IFERROR(VLOOKUP(T546,Bond_DES!D:E,2,FALSE),VLOOKUP(S546,bond!AI:AJ,2,FALSE))</f>
        <v>#N/A</v>
      </c>
      <c r="V546" s="136" t="e">
        <f ca="1">IFERROR(VLOOKUP(B546,'1_重設數據'!L:M,2,FALSE),IF(Q546="政府",IF(AD546&gt;16,"(NPI)非專投",IF(AD546&gt;10,"(PI)專投","高資產")),IF(VLOOKUP(B546,bond!B:AN,39,FALSE)="Y","(PI)專投",IF(AD546&gt;=15,"(NPI)非專投",IF(AD546&gt;=10,"(PI)專投","高資產")))))</f>
        <v>#N/A</v>
      </c>
      <c r="W546" s="136" t="e">
        <f ca="1">VLOOKUP(AD546,'credit rating'!$F$2:$H$22,3,FALSE)</f>
        <v>#N/A</v>
      </c>
      <c r="X546" s="136" t="e">
        <f t="shared" ca="1" si="57"/>
        <v>#N/A</v>
      </c>
      <c r="Y546" s="136" t="e">
        <f t="shared" ca="1" si="58"/>
        <v>#N/A</v>
      </c>
      <c r="Z546" s="136" t="e">
        <f t="shared" ca="1" si="59"/>
        <v>#N/A</v>
      </c>
      <c r="AA546" s="134">
        <f ca="1">IFERROR(VLOOKUP(X546,'credit rating'!A:C,3,FALSE),0)</f>
        <v>0</v>
      </c>
      <c r="AB546" s="134">
        <f ca="1">IFERROR(VLOOKUP(Y546,'credit rating'!B:C,2,FALSE),0)</f>
        <v>0</v>
      </c>
      <c r="AC546" s="136">
        <f ca="1">IFERROR(VLOOKUP(Z546,'credit rating'!B:C,2,FALSE),0)</f>
        <v>0</v>
      </c>
      <c r="AD546" s="136">
        <f t="shared" ca="1" si="60"/>
        <v>0</v>
      </c>
      <c r="AE546" s="249" t="str">
        <f ca="1">IFERROR(VLOOKUP(B546,bond!B:U,20,FALSE),"")</f>
        <v/>
      </c>
      <c r="AF546" s="136" t="e">
        <f ca="1">IF(VLOOKUP(B546,bond!B:AK,36,FALSE)="#N/A Field Not Applicable","",VLOOKUP(B546,bond!B:AK,36,FALSE))</f>
        <v>#N/A</v>
      </c>
      <c r="AG546" s="136" t="e">
        <f ca="1">IF(VLOOKUP(B546,bond!B:AL,37,FALSE)="FIXED","固定",IF(VLOOKUP(B546,bond!B:AL,37,FALSE)="FLOATING","浮動",IF(VLOOKUP(B546,bond!B:AL,37,FALSE)="VARIABLE","變動",IF(VLOOKUP(B546,bond!B:AL,37,FALSE)="FLAT TRADING","不含息交易",IF(VLOOKUP(B546,bond!B:AL,37,FALSE)="ZERO COUPON","零息",VLOOKUP(B546,bond!B:AL,37,FALSE))))))</f>
        <v>#N/A</v>
      </c>
      <c r="AH546" s="136" t="e">
        <f>VLOOKUP(C546,'2_Check_code'!I:J,2,FALSE)</f>
        <v>#N/A</v>
      </c>
      <c r="AI546" s="136" t="e">
        <f t="shared" ca="1" si="61"/>
        <v>#N/A</v>
      </c>
      <c r="AJ546" s="136" t="e">
        <f t="shared" ca="1" si="62"/>
        <v>#N/A</v>
      </c>
      <c r="AK546" s="594" t="e">
        <f ca="1">IF(VLOOKUP(B546,bond!B:S,18,FALSE)="是","有",IF(VLOOKUP(B546,bond!B:S,18,FALSE)="NO OFFER","無","需查詢"))</f>
        <v>#N/A</v>
      </c>
      <c r="AL546" s="136" t="e">
        <f>IF(VLOOKUP(A546,bond!F:AR,39,FALSE)="#N/A Field Not Applicable",VLOOKUP(A546,bond!F:AR,38,FALSE),IFERROR(VLOOKUP(A546,'7_發行日例外'!A:B,2,FALSE),VLOOKUP(A546,bond!F:AR,39,FALSE)))</f>
        <v>#N/A</v>
      </c>
      <c r="AM546" s="136" t="e">
        <f ca="1">VLOOKUP(B546,bond!B:AK,36,FALSE)</f>
        <v>#N/A</v>
      </c>
      <c r="AN546" s="136" t="str">
        <f ca="1">IFERROR(VLOOKUP(B546,'3_是否下架'!A:A,1,FALSE),"")</f>
        <v/>
      </c>
      <c r="AO546" s="136" t="e">
        <f ca="1">VLOOKUP(B546,bond!B:J,9,FALSE)</f>
        <v>#N/A</v>
      </c>
      <c r="AP546" s="136" t="e">
        <f ca="1">VLOOKUP(B546,bond!B:V,21,FALSE)</f>
        <v>#N/A</v>
      </c>
    </row>
    <row r="547" spans="1:42">
      <c r="A547" s="141">
        <f>bond!F548</f>
        <v>0</v>
      </c>
      <c r="B547" s="151">
        <f ca="1">IF($C$1=TRUE,bond!B548,"")</f>
        <v>0</v>
      </c>
      <c r="C547" s="95" t="e">
        <f>VLOOKUP(A547,bond!F:G,2,FALSE)</f>
        <v>#N/A</v>
      </c>
      <c r="D547" s="142" t="e">
        <f ca="1">VLOOKUP(B547,bond!B:C,2,FALSE)</f>
        <v>#N/A</v>
      </c>
      <c r="E547" s="95" t="e">
        <f ca="1">VLOOKUP(B547,bond!B:D,3,FALSE)</f>
        <v>#N/A</v>
      </c>
      <c r="F547" s="99" t="e">
        <f ca="1">VLOOKUP(B547,bond!B:AB,27,FALSE)</f>
        <v>#N/A</v>
      </c>
      <c r="G547" s="90" t="e">
        <f ca="1">VLOOKUP(B547,bond!B:E,4,FALSE)</f>
        <v>#N/A</v>
      </c>
      <c r="H547" s="202" t="e">
        <f ca="1">VLOOKUP(B547,bond!B:Y,24,FALSE)</f>
        <v>#N/A</v>
      </c>
      <c r="I547" s="95" t="e">
        <f ca="1">VLOOKUP(B547,bond!B:Z,25,FALSE)</f>
        <v>#N/A</v>
      </c>
      <c r="J547" s="180" t="e">
        <f ca="1">VLOOKUP(B547,bond!B:K,10,FALSE)</f>
        <v>#N/A</v>
      </c>
      <c r="K547" s="96" t="e">
        <f ca="1">VLOOKUP($B547,bond!B:S,14,FALSE)</f>
        <v>#N/A</v>
      </c>
      <c r="L547" s="91" t="e">
        <f ca="1">VLOOKUP(B547,bond!B:H,7,FALSE)</f>
        <v>#N/A</v>
      </c>
      <c r="M547" s="144" t="e">
        <f ca="1">VLOOKUP($B547,bond!$B:$Q,16,FALSE)</f>
        <v>#N/A</v>
      </c>
      <c r="N547" s="136" t="e">
        <f ca="1">VALUE(LEFT(VLOOKUP(B547,bond!B:R,17,FALSE),SEARCH(" ",VLOOKUP(B547,bond!B:R,17,FALSE),1)))</f>
        <v>#N/A</v>
      </c>
      <c r="O547" s="136" t="e">
        <f ca="1">VALUE(RIGHT(VLOOKUP(B547,bond!B:R,17,FALSE),LEN(VLOOKUP(B547,bond!B:R,17,FALSE))-LEN(N547)-3))</f>
        <v>#N/A</v>
      </c>
      <c r="P547" s="135" t="e">
        <f ca="1">VLOOKUP($B547,bond!$B:$AG,32,FALSE)</f>
        <v>#N/A</v>
      </c>
      <c r="Q547" s="135" t="e">
        <f ca="1">VLOOKUP($B547,bond!$B:$AH,33,FALSE)</f>
        <v>#N/A</v>
      </c>
      <c r="R547" s="135" t="e">
        <f ca="1">VLOOKUP(B547,bond!B:AA,26,FALSE)</f>
        <v>#N/A</v>
      </c>
      <c r="S547" s="135" t="e">
        <f ca="1">VLOOKUP(B547,bond!B:AI,34,FALSE)</f>
        <v>#N/A</v>
      </c>
      <c r="T547" s="135" t="e">
        <f t="shared" ca="1" si="56"/>
        <v>#N/A</v>
      </c>
      <c r="U547" s="207" t="e">
        <f ca="1">IFERROR(VLOOKUP(T547,Bond_DES!D:E,2,FALSE),VLOOKUP(S547,bond!AI:AJ,2,FALSE))</f>
        <v>#N/A</v>
      </c>
      <c r="V547" s="136" t="e">
        <f ca="1">IFERROR(VLOOKUP(B547,'1_重設數據'!L:M,2,FALSE),IF(Q547="政府",IF(AD547&gt;16,"(NPI)非專投",IF(AD547&gt;10,"(PI)專投","高資產")),IF(VLOOKUP(B547,bond!B:AN,39,FALSE)="Y","(PI)專投",IF(AD547&gt;=15,"(NPI)非專投",IF(AD547&gt;=10,"(PI)專投","高資產")))))</f>
        <v>#N/A</v>
      </c>
      <c r="W547" s="136" t="e">
        <f ca="1">VLOOKUP(AD547,'credit rating'!$F$2:$H$22,3,FALSE)</f>
        <v>#N/A</v>
      </c>
      <c r="X547" s="136" t="e">
        <f t="shared" ca="1" si="57"/>
        <v>#N/A</v>
      </c>
      <c r="Y547" s="136" t="e">
        <f t="shared" ca="1" si="58"/>
        <v>#N/A</v>
      </c>
      <c r="Z547" s="136" t="e">
        <f t="shared" ca="1" si="59"/>
        <v>#N/A</v>
      </c>
      <c r="AA547" s="134">
        <f ca="1">IFERROR(VLOOKUP(X547,'credit rating'!A:C,3,FALSE),0)</f>
        <v>0</v>
      </c>
      <c r="AB547" s="134">
        <f ca="1">IFERROR(VLOOKUP(Y547,'credit rating'!B:C,2,FALSE),0)</f>
        <v>0</v>
      </c>
      <c r="AC547" s="136">
        <f ca="1">IFERROR(VLOOKUP(Z547,'credit rating'!B:C,2,FALSE),0)</f>
        <v>0</v>
      </c>
      <c r="AD547" s="136">
        <f t="shared" ca="1" si="60"/>
        <v>0</v>
      </c>
      <c r="AE547" s="249" t="str">
        <f ca="1">IFERROR(VLOOKUP(B547,bond!B:U,20,FALSE),"")</f>
        <v/>
      </c>
      <c r="AF547" s="136" t="e">
        <f ca="1">IF(VLOOKUP(B547,bond!B:AK,36,FALSE)="#N/A Field Not Applicable","",VLOOKUP(B547,bond!B:AK,36,FALSE))</f>
        <v>#N/A</v>
      </c>
      <c r="AG547" s="136" t="e">
        <f ca="1">IF(VLOOKUP(B547,bond!B:AL,37,FALSE)="FIXED","固定",IF(VLOOKUP(B547,bond!B:AL,37,FALSE)="FLOATING","浮動",IF(VLOOKUP(B547,bond!B:AL,37,FALSE)="VARIABLE","變動",IF(VLOOKUP(B547,bond!B:AL,37,FALSE)="FLAT TRADING","不含息交易",IF(VLOOKUP(B547,bond!B:AL,37,FALSE)="ZERO COUPON","零息",VLOOKUP(B547,bond!B:AL,37,FALSE))))))</f>
        <v>#N/A</v>
      </c>
      <c r="AH547" s="136" t="e">
        <f>VLOOKUP(C547,'2_Check_code'!I:J,2,FALSE)</f>
        <v>#N/A</v>
      </c>
      <c r="AI547" s="136" t="e">
        <f t="shared" ca="1" si="61"/>
        <v>#N/A</v>
      </c>
      <c r="AJ547" s="136" t="e">
        <f t="shared" ca="1" si="62"/>
        <v>#N/A</v>
      </c>
      <c r="AK547" s="594" t="e">
        <f ca="1">IF(VLOOKUP(B547,bond!B:S,18,FALSE)="是","有",IF(VLOOKUP(B547,bond!B:S,18,FALSE)="NO OFFER","無","需查詢"))</f>
        <v>#N/A</v>
      </c>
      <c r="AL547" s="136" t="e">
        <f>IF(VLOOKUP(A547,bond!F:AR,39,FALSE)="#N/A Field Not Applicable",VLOOKUP(A547,bond!F:AR,38,FALSE),IFERROR(VLOOKUP(A547,'7_發行日例外'!A:B,2,FALSE),VLOOKUP(A547,bond!F:AR,39,FALSE)))</f>
        <v>#N/A</v>
      </c>
      <c r="AM547" s="136" t="e">
        <f ca="1">VLOOKUP(B547,bond!B:AK,36,FALSE)</f>
        <v>#N/A</v>
      </c>
      <c r="AN547" s="136" t="str">
        <f ca="1">IFERROR(VLOOKUP(B547,'3_是否下架'!A:A,1,FALSE),"")</f>
        <v/>
      </c>
      <c r="AO547" s="136" t="e">
        <f ca="1">VLOOKUP(B547,bond!B:J,9,FALSE)</f>
        <v>#N/A</v>
      </c>
      <c r="AP547" s="136" t="e">
        <f ca="1">VLOOKUP(B547,bond!B:V,21,FALSE)</f>
        <v>#N/A</v>
      </c>
    </row>
    <row r="548" spans="1:42">
      <c r="A548" s="141">
        <f>bond!F549</f>
        <v>0</v>
      </c>
      <c r="B548" s="151">
        <f ca="1">IF($C$1=TRUE,bond!B549,"")</f>
        <v>0</v>
      </c>
      <c r="C548" s="95" t="e">
        <f>VLOOKUP(A548,bond!F:G,2,FALSE)</f>
        <v>#N/A</v>
      </c>
      <c r="D548" s="142" t="e">
        <f ca="1">VLOOKUP(B548,bond!B:C,2,FALSE)</f>
        <v>#N/A</v>
      </c>
      <c r="E548" s="95" t="e">
        <f ca="1">VLOOKUP(B548,bond!B:D,3,FALSE)</f>
        <v>#N/A</v>
      </c>
      <c r="F548" s="99" t="e">
        <f ca="1">VLOOKUP(B548,bond!B:AB,27,FALSE)</f>
        <v>#N/A</v>
      </c>
      <c r="G548" s="90" t="e">
        <f ca="1">VLOOKUP(B548,bond!B:E,4,FALSE)</f>
        <v>#N/A</v>
      </c>
      <c r="H548" s="202" t="e">
        <f ca="1">VLOOKUP(B548,bond!B:Y,24,FALSE)</f>
        <v>#N/A</v>
      </c>
      <c r="I548" s="95" t="e">
        <f ca="1">VLOOKUP(B548,bond!B:Z,25,FALSE)</f>
        <v>#N/A</v>
      </c>
      <c r="J548" s="180" t="e">
        <f ca="1">VLOOKUP(B548,bond!B:K,10,FALSE)</f>
        <v>#N/A</v>
      </c>
      <c r="K548" s="96" t="e">
        <f ca="1">VLOOKUP($B548,bond!B:S,14,FALSE)</f>
        <v>#N/A</v>
      </c>
      <c r="L548" s="91" t="e">
        <f ca="1">VLOOKUP(B548,bond!B:H,7,FALSE)</f>
        <v>#N/A</v>
      </c>
      <c r="M548" s="144" t="e">
        <f ca="1">VLOOKUP($B548,bond!$B:$Q,16,FALSE)</f>
        <v>#N/A</v>
      </c>
      <c r="N548" s="136" t="e">
        <f ca="1">VALUE(LEFT(VLOOKUP(B548,bond!B:R,17,FALSE),SEARCH(" ",VLOOKUP(B548,bond!B:R,17,FALSE),1)))</f>
        <v>#N/A</v>
      </c>
      <c r="O548" s="136" t="e">
        <f ca="1">VALUE(RIGHT(VLOOKUP(B548,bond!B:R,17,FALSE),LEN(VLOOKUP(B548,bond!B:R,17,FALSE))-LEN(N548)-3))</f>
        <v>#N/A</v>
      </c>
      <c r="P548" s="135" t="e">
        <f ca="1">VLOOKUP($B548,bond!$B:$AG,32,FALSE)</f>
        <v>#N/A</v>
      </c>
      <c r="Q548" s="135" t="e">
        <f ca="1">VLOOKUP($B548,bond!$B:$AH,33,FALSE)</f>
        <v>#N/A</v>
      </c>
      <c r="R548" s="135" t="e">
        <f ca="1">VLOOKUP(B548,bond!B:AA,26,FALSE)</f>
        <v>#N/A</v>
      </c>
      <c r="S548" s="135" t="e">
        <f ca="1">VLOOKUP(B548,bond!B:AI,34,FALSE)</f>
        <v>#N/A</v>
      </c>
      <c r="T548" s="135" t="e">
        <f t="shared" ca="1" si="56"/>
        <v>#N/A</v>
      </c>
      <c r="U548" s="207" t="e">
        <f ca="1">IFERROR(VLOOKUP(T548,Bond_DES!D:E,2,FALSE),VLOOKUP(S548,bond!AI:AJ,2,FALSE))</f>
        <v>#N/A</v>
      </c>
      <c r="V548" s="136" t="e">
        <f ca="1">IFERROR(VLOOKUP(B548,'1_重設數據'!L:M,2,FALSE),IF(Q548="政府",IF(AD548&gt;16,"(NPI)非專投",IF(AD548&gt;10,"(PI)專投","高資產")),IF(VLOOKUP(B548,bond!B:AN,39,FALSE)="Y","(PI)專投",IF(AD548&gt;=15,"(NPI)非專投",IF(AD548&gt;=10,"(PI)專投","高資產")))))</f>
        <v>#N/A</v>
      </c>
      <c r="W548" s="136" t="e">
        <f ca="1">VLOOKUP(AD548,'credit rating'!$F$2:$H$22,3,FALSE)</f>
        <v>#N/A</v>
      </c>
      <c r="X548" s="136" t="e">
        <f t="shared" ca="1" si="57"/>
        <v>#N/A</v>
      </c>
      <c r="Y548" s="136" t="e">
        <f t="shared" ca="1" si="58"/>
        <v>#N/A</v>
      </c>
      <c r="Z548" s="136" t="e">
        <f t="shared" ca="1" si="59"/>
        <v>#N/A</v>
      </c>
      <c r="AA548" s="134">
        <f ca="1">IFERROR(VLOOKUP(X548,'credit rating'!A:C,3,FALSE),0)</f>
        <v>0</v>
      </c>
      <c r="AB548" s="134">
        <f ca="1">IFERROR(VLOOKUP(Y548,'credit rating'!B:C,2,FALSE),0)</f>
        <v>0</v>
      </c>
      <c r="AC548" s="136">
        <f ca="1">IFERROR(VLOOKUP(Z548,'credit rating'!B:C,2,FALSE),0)</f>
        <v>0</v>
      </c>
      <c r="AD548" s="136">
        <f t="shared" ca="1" si="60"/>
        <v>0</v>
      </c>
      <c r="AE548" s="249" t="str">
        <f ca="1">IFERROR(VLOOKUP(B548,bond!B:U,20,FALSE),"")</f>
        <v/>
      </c>
      <c r="AF548" s="136" t="e">
        <f ca="1">IF(VLOOKUP(B548,bond!B:AK,36,FALSE)="#N/A Field Not Applicable","",VLOOKUP(B548,bond!B:AK,36,FALSE))</f>
        <v>#N/A</v>
      </c>
      <c r="AG548" s="136" t="e">
        <f ca="1">IF(VLOOKUP(B548,bond!B:AL,37,FALSE)="FIXED","固定",IF(VLOOKUP(B548,bond!B:AL,37,FALSE)="FLOATING","浮動",IF(VLOOKUP(B548,bond!B:AL,37,FALSE)="VARIABLE","變動",IF(VLOOKUP(B548,bond!B:AL,37,FALSE)="FLAT TRADING","不含息交易",IF(VLOOKUP(B548,bond!B:AL,37,FALSE)="ZERO COUPON","零息",VLOOKUP(B548,bond!B:AL,37,FALSE))))))</f>
        <v>#N/A</v>
      </c>
      <c r="AH548" s="136" t="e">
        <f>VLOOKUP(C548,'2_Check_code'!I:J,2,FALSE)</f>
        <v>#N/A</v>
      </c>
      <c r="AI548" s="136" t="e">
        <f t="shared" ca="1" si="61"/>
        <v>#N/A</v>
      </c>
      <c r="AJ548" s="136" t="e">
        <f t="shared" ca="1" si="62"/>
        <v>#N/A</v>
      </c>
      <c r="AK548" s="594" t="e">
        <f ca="1">IF(VLOOKUP(B548,bond!B:S,18,FALSE)="是","有",IF(VLOOKUP(B548,bond!B:S,18,FALSE)="NO OFFER","無","需查詢"))</f>
        <v>#N/A</v>
      </c>
      <c r="AL548" s="136" t="e">
        <f>IF(VLOOKUP(A548,bond!F:AR,39,FALSE)="#N/A Field Not Applicable",VLOOKUP(A548,bond!F:AR,38,FALSE),IFERROR(VLOOKUP(A548,'7_發行日例外'!A:B,2,FALSE),VLOOKUP(A548,bond!F:AR,39,FALSE)))</f>
        <v>#N/A</v>
      </c>
      <c r="AM548" s="136" t="e">
        <f ca="1">VLOOKUP(B548,bond!B:AK,36,FALSE)</f>
        <v>#N/A</v>
      </c>
      <c r="AN548" s="136" t="str">
        <f ca="1">IFERROR(VLOOKUP(B548,'3_是否下架'!A:A,1,FALSE),"")</f>
        <v/>
      </c>
      <c r="AO548" s="136" t="e">
        <f ca="1">VLOOKUP(B548,bond!B:J,9,FALSE)</f>
        <v>#N/A</v>
      </c>
      <c r="AP548" s="136" t="e">
        <f ca="1">VLOOKUP(B548,bond!B:V,21,FALSE)</f>
        <v>#N/A</v>
      </c>
    </row>
    <row r="549" spans="1:42">
      <c r="A549" s="141">
        <f>bond!F550</f>
        <v>0</v>
      </c>
      <c r="B549" s="151">
        <f ca="1">IF($C$1=TRUE,bond!B550,"")</f>
        <v>0</v>
      </c>
      <c r="C549" s="95" t="e">
        <f>VLOOKUP(A549,bond!F:G,2,FALSE)</f>
        <v>#N/A</v>
      </c>
      <c r="D549" s="142" t="e">
        <f ca="1">VLOOKUP(B549,bond!B:C,2,FALSE)</f>
        <v>#N/A</v>
      </c>
      <c r="E549" s="95" t="e">
        <f ca="1">VLOOKUP(B549,bond!B:D,3,FALSE)</f>
        <v>#N/A</v>
      </c>
      <c r="F549" s="99" t="e">
        <f ca="1">VLOOKUP(B549,bond!B:AB,27,FALSE)</f>
        <v>#N/A</v>
      </c>
      <c r="G549" s="90" t="e">
        <f ca="1">VLOOKUP(B549,bond!B:E,4,FALSE)</f>
        <v>#N/A</v>
      </c>
      <c r="H549" s="202" t="e">
        <f ca="1">VLOOKUP(B549,bond!B:Y,24,FALSE)</f>
        <v>#N/A</v>
      </c>
      <c r="I549" s="95" t="e">
        <f ca="1">VLOOKUP(B549,bond!B:Z,25,FALSE)</f>
        <v>#N/A</v>
      </c>
      <c r="J549" s="180" t="e">
        <f ca="1">VLOOKUP(B549,bond!B:K,10,FALSE)</f>
        <v>#N/A</v>
      </c>
      <c r="K549" s="96" t="e">
        <f ca="1">VLOOKUP($B549,bond!B:S,14,FALSE)</f>
        <v>#N/A</v>
      </c>
      <c r="L549" s="91" t="e">
        <f ca="1">VLOOKUP(B549,bond!B:H,7,FALSE)</f>
        <v>#N/A</v>
      </c>
      <c r="M549" s="144" t="e">
        <f ca="1">VLOOKUP($B549,bond!$B:$Q,16,FALSE)</f>
        <v>#N/A</v>
      </c>
      <c r="N549" s="136" t="e">
        <f ca="1">VALUE(LEFT(VLOOKUP(B549,bond!B:R,17,FALSE),SEARCH(" ",VLOOKUP(B549,bond!B:R,17,FALSE),1)))</f>
        <v>#N/A</v>
      </c>
      <c r="O549" s="136" t="e">
        <f ca="1">VALUE(RIGHT(VLOOKUP(B549,bond!B:R,17,FALSE),LEN(VLOOKUP(B549,bond!B:R,17,FALSE))-LEN(N549)-3))</f>
        <v>#N/A</v>
      </c>
      <c r="P549" s="135" t="e">
        <f ca="1">VLOOKUP($B549,bond!$B:$AG,32,FALSE)</f>
        <v>#N/A</v>
      </c>
      <c r="Q549" s="135" t="e">
        <f ca="1">VLOOKUP($B549,bond!$B:$AH,33,FALSE)</f>
        <v>#N/A</v>
      </c>
      <c r="R549" s="135" t="e">
        <f ca="1">VLOOKUP(B549,bond!B:AA,26,FALSE)</f>
        <v>#N/A</v>
      </c>
      <c r="S549" s="135" t="e">
        <f ca="1">VLOOKUP(B549,bond!B:AI,34,FALSE)</f>
        <v>#N/A</v>
      </c>
      <c r="T549" s="135" t="e">
        <f t="shared" ca="1" si="56"/>
        <v>#N/A</v>
      </c>
      <c r="U549" s="207" t="e">
        <f ca="1">IFERROR(VLOOKUP(T549,Bond_DES!D:E,2,FALSE),VLOOKUP(S549,bond!AI:AJ,2,FALSE))</f>
        <v>#N/A</v>
      </c>
      <c r="V549" s="136" t="e">
        <f ca="1">IFERROR(VLOOKUP(B549,'1_重設數據'!L:M,2,FALSE),IF(Q549="政府",IF(AD549&gt;16,"(NPI)非專投",IF(AD549&gt;10,"(PI)專投","高資產")),IF(VLOOKUP(B549,bond!B:AN,39,FALSE)="Y","(PI)專投",IF(AD549&gt;=15,"(NPI)非專投",IF(AD549&gt;=10,"(PI)專投","高資產")))))</f>
        <v>#N/A</v>
      </c>
      <c r="W549" s="136" t="e">
        <f ca="1">VLOOKUP(AD549,'credit rating'!$F$2:$H$22,3,FALSE)</f>
        <v>#N/A</v>
      </c>
      <c r="X549" s="136" t="e">
        <f t="shared" ca="1" si="57"/>
        <v>#N/A</v>
      </c>
      <c r="Y549" s="136" t="e">
        <f t="shared" ca="1" si="58"/>
        <v>#N/A</v>
      </c>
      <c r="Z549" s="136" t="e">
        <f t="shared" ca="1" si="59"/>
        <v>#N/A</v>
      </c>
      <c r="AA549" s="134">
        <f ca="1">IFERROR(VLOOKUP(X549,'credit rating'!A:C,3,FALSE),0)</f>
        <v>0</v>
      </c>
      <c r="AB549" s="134">
        <f ca="1">IFERROR(VLOOKUP(Y549,'credit rating'!B:C,2,FALSE),0)</f>
        <v>0</v>
      </c>
      <c r="AC549" s="136">
        <f ca="1">IFERROR(VLOOKUP(Z549,'credit rating'!B:C,2,FALSE),0)</f>
        <v>0</v>
      </c>
      <c r="AD549" s="136">
        <f t="shared" ca="1" si="60"/>
        <v>0</v>
      </c>
      <c r="AE549" s="249" t="str">
        <f ca="1">IFERROR(VLOOKUP(B549,bond!B:U,20,FALSE),"")</f>
        <v/>
      </c>
      <c r="AF549" s="136" t="e">
        <f ca="1">IF(VLOOKUP(B549,bond!B:AK,36,FALSE)="#N/A Field Not Applicable","",VLOOKUP(B549,bond!B:AK,36,FALSE))</f>
        <v>#N/A</v>
      </c>
      <c r="AG549" s="136" t="e">
        <f ca="1">IF(VLOOKUP(B549,bond!B:AL,37,FALSE)="FIXED","固定",IF(VLOOKUP(B549,bond!B:AL,37,FALSE)="FLOATING","浮動",IF(VLOOKUP(B549,bond!B:AL,37,FALSE)="VARIABLE","變動",IF(VLOOKUP(B549,bond!B:AL,37,FALSE)="FLAT TRADING","不含息交易",IF(VLOOKUP(B549,bond!B:AL,37,FALSE)="ZERO COUPON","零息",VLOOKUP(B549,bond!B:AL,37,FALSE))))))</f>
        <v>#N/A</v>
      </c>
      <c r="AH549" s="136" t="e">
        <f>VLOOKUP(C549,'2_Check_code'!I:J,2,FALSE)</f>
        <v>#N/A</v>
      </c>
      <c r="AI549" s="136" t="e">
        <f t="shared" ca="1" si="61"/>
        <v>#N/A</v>
      </c>
      <c r="AJ549" s="136" t="e">
        <f t="shared" ca="1" si="62"/>
        <v>#N/A</v>
      </c>
      <c r="AK549" s="594" t="e">
        <f ca="1">IF(VLOOKUP(B549,bond!B:S,18,FALSE)="是","有",IF(VLOOKUP(B549,bond!B:S,18,FALSE)="NO OFFER","無","需查詢"))</f>
        <v>#N/A</v>
      </c>
      <c r="AL549" s="136" t="e">
        <f>IF(VLOOKUP(A549,bond!F:AR,39,FALSE)="#N/A Field Not Applicable",VLOOKUP(A549,bond!F:AR,38,FALSE),IFERROR(VLOOKUP(A549,'7_發行日例外'!A:B,2,FALSE),VLOOKUP(A549,bond!F:AR,39,FALSE)))</f>
        <v>#N/A</v>
      </c>
      <c r="AM549" s="136" t="e">
        <f ca="1">VLOOKUP(B549,bond!B:AK,36,FALSE)</f>
        <v>#N/A</v>
      </c>
      <c r="AN549" s="136" t="str">
        <f ca="1">IFERROR(VLOOKUP(B549,'3_是否下架'!A:A,1,FALSE),"")</f>
        <v/>
      </c>
      <c r="AO549" s="136" t="e">
        <f ca="1">VLOOKUP(B549,bond!B:J,9,FALSE)</f>
        <v>#N/A</v>
      </c>
      <c r="AP549" s="136" t="e">
        <f ca="1">VLOOKUP(B549,bond!B:V,21,FALSE)</f>
        <v>#N/A</v>
      </c>
    </row>
    <row r="550" spans="1:42">
      <c r="A550" s="141">
        <f>bond!F551</f>
        <v>0</v>
      </c>
      <c r="B550" s="151">
        <f ca="1">IF($C$1=TRUE,bond!B551,"")</f>
        <v>0</v>
      </c>
      <c r="C550" s="95" t="e">
        <f>VLOOKUP(A550,bond!F:G,2,FALSE)</f>
        <v>#N/A</v>
      </c>
      <c r="D550" s="142" t="e">
        <f ca="1">VLOOKUP(B550,bond!B:C,2,FALSE)</f>
        <v>#N/A</v>
      </c>
      <c r="E550" s="95" t="e">
        <f ca="1">VLOOKUP(B550,bond!B:D,3,FALSE)</f>
        <v>#N/A</v>
      </c>
      <c r="F550" s="99" t="e">
        <f ca="1">VLOOKUP(B550,bond!B:AB,27,FALSE)</f>
        <v>#N/A</v>
      </c>
      <c r="G550" s="90" t="e">
        <f ca="1">VLOOKUP(B550,bond!B:E,4,FALSE)</f>
        <v>#N/A</v>
      </c>
      <c r="H550" s="202" t="e">
        <f ca="1">VLOOKUP(B550,bond!B:Y,24,FALSE)</f>
        <v>#N/A</v>
      </c>
      <c r="I550" s="95" t="e">
        <f ca="1">VLOOKUP(B550,bond!B:Z,25,FALSE)</f>
        <v>#N/A</v>
      </c>
      <c r="J550" s="180" t="e">
        <f ca="1">VLOOKUP(B550,bond!B:K,10,FALSE)</f>
        <v>#N/A</v>
      </c>
      <c r="K550" s="96" t="e">
        <f ca="1">VLOOKUP($B550,bond!B:S,14,FALSE)</f>
        <v>#N/A</v>
      </c>
      <c r="L550" s="91" t="e">
        <f ca="1">VLOOKUP(B550,bond!B:H,7,FALSE)</f>
        <v>#N/A</v>
      </c>
      <c r="M550" s="144" t="e">
        <f ca="1">VLOOKUP($B550,bond!$B:$Q,16,FALSE)</f>
        <v>#N/A</v>
      </c>
      <c r="N550" s="136" t="e">
        <f ca="1">VALUE(LEFT(VLOOKUP(B550,bond!B:R,17,FALSE),SEARCH(" ",VLOOKUP(B550,bond!B:R,17,FALSE),1)))</f>
        <v>#N/A</v>
      </c>
      <c r="O550" s="136" t="e">
        <f ca="1">VALUE(RIGHT(VLOOKUP(B550,bond!B:R,17,FALSE),LEN(VLOOKUP(B550,bond!B:R,17,FALSE))-LEN(N550)-3))</f>
        <v>#N/A</v>
      </c>
      <c r="P550" s="135" t="e">
        <f ca="1">VLOOKUP($B550,bond!$B:$AG,32,FALSE)</f>
        <v>#N/A</v>
      </c>
      <c r="Q550" s="135" t="e">
        <f ca="1">VLOOKUP($B550,bond!$B:$AH,33,FALSE)</f>
        <v>#N/A</v>
      </c>
      <c r="R550" s="135" t="e">
        <f ca="1">VLOOKUP(B550,bond!B:AA,26,FALSE)</f>
        <v>#N/A</v>
      </c>
      <c r="S550" s="135" t="e">
        <f ca="1">VLOOKUP(B550,bond!B:AI,34,FALSE)</f>
        <v>#N/A</v>
      </c>
      <c r="T550" s="135" t="e">
        <f t="shared" ca="1" si="56"/>
        <v>#N/A</v>
      </c>
      <c r="U550" s="207" t="e">
        <f ca="1">IFERROR(VLOOKUP(T550,Bond_DES!D:E,2,FALSE),VLOOKUP(S550,bond!AI:AJ,2,FALSE))</f>
        <v>#N/A</v>
      </c>
      <c r="V550" s="136" t="e">
        <f ca="1">IFERROR(VLOOKUP(B550,'1_重設數據'!L:M,2,FALSE),IF(Q550="政府",IF(AD550&gt;16,"(NPI)非專投",IF(AD550&gt;10,"(PI)專投","高資產")),IF(VLOOKUP(B550,bond!B:AN,39,FALSE)="Y","(PI)專投",IF(AD550&gt;=15,"(NPI)非專投",IF(AD550&gt;=10,"(PI)專投","高資產")))))</f>
        <v>#N/A</v>
      </c>
      <c r="W550" s="136" t="e">
        <f ca="1">VLOOKUP(AD550,'credit rating'!$F$2:$H$22,3,FALSE)</f>
        <v>#N/A</v>
      </c>
      <c r="X550" s="136" t="e">
        <f t="shared" ca="1" si="57"/>
        <v>#N/A</v>
      </c>
      <c r="Y550" s="136" t="e">
        <f t="shared" ca="1" si="58"/>
        <v>#N/A</v>
      </c>
      <c r="Z550" s="136" t="e">
        <f t="shared" ca="1" si="59"/>
        <v>#N/A</v>
      </c>
      <c r="AA550" s="134">
        <f ca="1">IFERROR(VLOOKUP(X550,'credit rating'!A:C,3,FALSE),0)</f>
        <v>0</v>
      </c>
      <c r="AB550" s="134">
        <f ca="1">IFERROR(VLOOKUP(Y550,'credit rating'!B:C,2,FALSE),0)</f>
        <v>0</v>
      </c>
      <c r="AC550" s="136">
        <f ca="1">IFERROR(VLOOKUP(Z550,'credit rating'!B:C,2,FALSE),0)</f>
        <v>0</v>
      </c>
      <c r="AD550" s="136">
        <f t="shared" ca="1" si="60"/>
        <v>0</v>
      </c>
      <c r="AE550" s="249" t="str">
        <f ca="1">IFERROR(VLOOKUP(B550,bond!B:U,20,FALSE),"")</f>
        <v/>
      </c>
      <c r="AF550" s="136" t="e">
        <f ca="1">IF(VLOOKUP(B550,bond!B:AK,36,FALSE)="#N/A Field Not Applicable","",VLOOKUP(B550,bond!B:AK,36,FALSE))</f>
        <v>#N/A</v>
      </c>
      <c r="AG550" s="136" t="e">
        <f ca="1">IF(VLOOKUP(B550,bond!B:AL,37,FALSE)="FIXED","固定",IF(VLOOKUP(B550,bond!B:AL,37,FALSE)="FLOATING","浮動",IF(VLOOKUP(B550,bond!B:AL,37,FALSE)="VARIABLE","變動",IF(VLOOKUP(B550,bond!B:AL,37,FALSE)="FLAT TRADING","不含息交易",IF(VLOOKUP(B550,bond!B:AL,37,FALSE)="ZERO COUPON","零息",VLOOKUP(B550,bond!B:AL,37,FALSE))))))</f>
        <v>#N/A</v>
      </c>
      <c r="AH550" s="136" t="e">
        <f>VLOOKUP(C550,'2_Check_code'!I:J,2,FALSE)</f>
        <v>#N/A</v>
      </c>
      <c r="AI550" s="136" t="e">
        <f t="shared" ca="1" si="61"/>
        <v>#N/A</v>
      </c>
      <c r="AJ550" s="136" t="e">
        <f t="shared" ca="1" si="62"/>
        <v>#N/A</v>
      </c>
      <c r="AK550" s="594" t="e">
        <f ca="1">IF(VLOOKUP(B550,bond!B:S,18,FALSE)="是","有",IF(VLOOKUP(B550,bond!B:S,18,FALSE)="NO OFFER","無","需查詢"))</f>
        <v>#N/A</v>
      </c>
      <c r="AL550" s="136" t="e">
        <f>IF(VLOOKUP(A550,bond!F:AR,39,FALSE)="#N/A Field Not Applicable",VLOOKUP(A550,bond!F:AR,38,FALSE),IFERROR(VLOOKUP(A550,'7_發行日例外'!A:B,2,FALSE),VLOOKUP(A550,bond!F:AR,39,FALSE)))</f>
        <v>#N/A</v>
      </c>
      <c r="AM550" s="136" t="e">
        <f ca="1">VLOOKUP(B550,bond!B:AK,36,FALSE)</f>
        <v>#N/A</v>
      </c>
      <c r="AN550" s="136" t="str">
        <f ca="1">IFERROR(VLOOKUP(B550,'3_是否下架'!A:A,1,FALSE),"")</f>
        <v/>
      </c>
      <c r="AO550" s="136" t="e">
        <f ca="1">VLOOKUP(B550,bond!B:J,9,FALSE)</f>
        <v>#N/A</v>
      </c>
      <c r="AP550" s="136" t="e">
        <f ca="1">VLOOKUP(B550,bond!B:V,21,FALSE)</f>
        <v>#N/A</v>
      </c>
    </row>
    <row r="551" spans="1:42">
      <c r="A551" s="141">
        <f>bond!F552</f>
        <v>0</v>
      </c>
      <c r="B551" s="151">
        <f ca="1">IF($C$1=TRUE,bond!B552,"")</f>
        <v>0</v>
      </c>
      <c r="C551" s="95" t="e">
        <f>VLOOKUP(A551,bond!F:G,2,FALSE)</f>
        <v>#N/A</v>
      </c>
      <c r="D551" s="142" t="e">
        <f ca="1">VLOOKUP(B551,bond!B:C,2,FALSE)</f>
        <v>#N/A</v>
      </c>
      <c r="E551" s="95" t="e">
        <f ca="1">VLOOKUP(B551,bond!B:D,3,FALSE)</f>
        <v>#N/A</v>
      </c>
      <c r="F551" s="99" t="e">
        <f ca="1">VLOOKUP(B551,bond!B:AB,27,FALSE)</f>
        <v>#N/A</v>
      </c>
      <c r="G551" s="90" t="e">
        <f ca="1">VLOOKUP(B551,bond!B:E,4,FALSE)</f>
        <v>#N/A</v>
      </c>
      <c r="H551" s="202" t="e">
        <f ca="1">VLOOKUP(B551,bond!B:Y,24,FALSE)</f>
        <v>#N/A</v>
      </c>
      <c r="I551" s="95" t="e">
        <f ca="1">VLOOKUP(B551,bond!B:Z,25,FALSE)</f>
        <v>#N/A</v>
      </c>
      <c r="J551" s="180" t="e">
        <f ca="1">VLOOKUP(B551,bond!B:K,10,FALSE)</f>
        <v>#N/A</v>
      </c>
      <c r="K551" s="96" t="e">
        <f ca="1">VLOOKUP($B551,bond!B:S,14,FALSE)</f>
        <v>#N/A</v>
      </c>
      <c r="L551" s="91" t="e">
        <f ca="1">VLOOKUP(B551,bond!B:H,7,FALSE)</f>
        <v>#N/A</v>
      </c>
      <c r="M551" s="144" t="e">
        <f ca="1">VLOOKUP($B551,bond!$B:$Q,16,FALSE)</f>
        <v>#N/A</v>
      </c>
      <c r="N551" s="136" t="e">
        <f ca="1">VALUE(LEFT(VLOOKUP(B551,bond!B:R,17,FALSE),SEARCH(" ",VLOOKUP(B551,bond!B:R,17,FALSE),1)))</f>
        <v>#N/A</v>
      </c>
      <c r="O551" s="136" t="e">
        <f ca="1">VALUE(RIGHT(VLOOKUP(B551,bond!B:R,17,FALSE),LEN(VLOOKUP(B551,bond!B:R,17,FALSE))-LEN(N551)-3))</f>
        <v>#N/A</v>
      </c>
      <c r="P551" s="135" t="e">
        <f ca="1">VLOOKUP($B551,bond!$B:$AG,32,FALSE)</f>
        <v>#N/A</v>
      </c>
      <c r="Q551" s="135" t="e">
        <f ca="1">VLOOKUP($B551,bond!$B:$AH,33,FALSE)</f>
        <v>#N/A</v>
      </c>
      <c r="R551" s="135" t="e">
        <f ca="1">VLOOKUP(B551,bond!B:AA,26,FALSE)</f>
        <v>#N/A</v>
      </c>
      <c r="S551" s="135" t="e">
        <f ca="1">VLOOKUP(B551,bond!B:AI,34,FALSE)</f>
        <v>#N/A</v>
      </c>
      <c r="T551" s="135" t="e">
        <f t="shared" ca="1" si="56"/>
        <v>#N/A</v>
      </c>
      <c r="U551" s="207" t="e">
        <f ca="1">IFERROR(VLOOKUP(T551,Bond_DES!D:E,2,FALSE),VLOOKUP(S551,bond!AI:AJ,2,FALSE))</f>
        <v>#N/A</v>
      </c>
      <c r="V551" s="136" t="e">
        <f ca="1">IFERROR(VLOOKUP(B551,'1_重設數據'!L:M,2,FALSE),IF(Q551="政府",IF(AD551&gt;16,"(NPI)非專投",IF(AD551&gt;10,"(PI)專投","高資產")),IF(VLOOKUP(B551,bond!B:AN,39,FALSE)="Y","(PI)專投",IF(AD551&gt;=15,"(NPI)非專投",IF(AD551&gt;=10,"(PI)專投","高資產")))))</f>
        <v>#N/A</v>
      </c>
      <c r="W551" s="136" t="e">
        <f ca="1">VLOOKUP(AD551,'credit rating'!$F$2:$H$22,3,FALSE)</f>
        <v>#N/A</v>
      </c>
      <c r="X551" s="136" t="e">
        <f t="shared" ca="1" si="57"/>
        <v>#N/A</v>
      </c>
      <c r="Y551" s="136" t="e">
        <f t="shared" ca="1" si="58"/>
        <v>#N/A</v>
      </c>
      <c r="Z551" s="136" t="e">
        <f t="shared" ca="1" si="59"/>
        <v>#N/A</v>
      </c>
      <c r="AA551" s="134">
        <f ca="1">IFERROR(VLOOKUP(X551,'credit rating'!A:C,3,FALSE),0)</f>
        <v>0</v>
      </c>
      <c r="AB551" s="134">
        <f ca="1">IFERROR(VLOOKUP(Y551,'credit rating'!B:C,2,FALSE),0)</f>
        <v>0</v>
      </c>
      <c r="AC551" s="136">
        <f ca="1">IFERROR(VLOOKUP(Z551,'credit rating'!B:C,2,FALSE),0)</f>
        <v>0</v>
      </c>
      <c r="AD551" s="136">
        <f t="shared" ca="1" si="60"/>
        <v>0</v>
      </c>
      <c r="AE551" s="249" t="str">
        <f ca="1">IFERROR(VLOOKUP(B551,bond!B:U,20,FALSE),"")</f>
        <v/>
      </c>
      <c r="AF551" s="136" t="e">
        <f ca="1">IF(VLOOKUP(B551,bond!B:AK,36,FALSE)="#N/A Field Not Applicable","",VLOOKUP(B551,bond!B:AK,36,FALSE))</f>
        <v>#N/A</v>
      </c>
      <c r="AG551" s="136" t="e">
        <f ca="1">IF(VLOOKUP(B551,bond!B:AL,37,FALSE)="FIXED","固定",IF(VLOOKUP(B551,bond!B:AL,37,FALSE)="FLOATING","浮動",IF(VLOOKUP(B551,bond!B:AL,37,FALSE)="VARIABLE","變動",IF(VLOOKUP(B551,bond!B:AL,37,FALSE)="FLAT TRADING","不含息交易",IF(VLOOKUP(B551,bond!B:AL,37,FALSE)="ZERO COUPON","零息",VLOOKUP(B551,bond!B:AL,37,FALSE))))))</f>
        <v>#N/A</v>
      </c>
      <c r="AH551" s="136" t="e">
        <f>VLOOKUP(C551,'2_Check_code'!I:J,2,FALSE)</f>
        <v>#N/A</v>
      </c>
      <c r="AI551" s="136" t="e">
        <f t="shared" ca="1" si="61"/>
        <v>#N/A</v>
      </c>
      <c r="AJ551" s="136" t="e">
        <f t="shared" ca="1" si="62"/>
        <v>#N/A</v>
      </c>
      <c r="AK551" s="594" t="e">
        <f ca="1">IF(VLOOKUP(B551,bond!B:S,18,FALSE)="是","有",IF(VLOOKUP(B551,bond!B:S,18,FALSE)="NO OFFER","無","需查詢"))</f>
        <v>#N/A</v>
      </c>
      <c r="AL551" s="136" t="e">
        <f>IF(VLOOKUP(A551,bond!F:AR,39,FALSE)="#N/A Field Not Applicable",VLOOKUP(A551,bond!F:AR,38,FALSE),IFERROR(VLOOKUP(A551,'7_發行日例外'!A:B,2,FALSE),VLOOKUP(A551,bond!F:AR,39,FALSE)))</f>
        <v>#N/A</v>
      </c>
      <c r="AM551" s="136" t="e">
        <f ca="1">VLOOKUP(B551,bond!B:AK,36,FALSE)</f>
        <v>#N/A</v>
      </c>
      <c r="AN551" s="136" t="str">
        <f ca="1">IFERROR(VLOOKUP(B551,'3_是否下架'!A:A,1,FALSE),"")</f>
        <v/>
      </c>
      <c r="AO551" s="136" t="e">
        <f ca="1">VLOOKUP(B551,bond!B:J,9,FALSE)</f>
        <v>#N/A</v>
      </c>
      <c r="AP551" s="136" t="e">
        <f ca="1">VLOOKUP(B551,bond!B:V,21,FALSE)</f>
        <v>#N/A</v>
      </c>
    </row>
    <row r="552" spans="1:42">
      <c r="A552" s="141">
        <f>bond!F553</f>
        <v>0</v>
      </c>
      <c r="B552" s="151">
        <f ca="1">IF($C$1=TRUE,bond!B553,"")</f>
        <v>0</v>
      </c>
      <c r="C552" s="95" t="e">
        <f>VLOOKUP(A552,bond!F:G,2,FALSE)</f>
        <v>#N/A</v>
      </c>
      <c r="D552" s="142" t="e">
        <f ca="1">VLOOKUP(B552,bond!B:C,2,FALSE)</f>
        <v>#N/A</v>
      </c>
      <c r="E552" s="95" t="e">
        <f ca="1">VLOOKUP(B552,bond!B:D,3,FALSE)</f>
        <v>#N/A</v>
      </c>
      <c r="F552" s="99" t="e">
        <f ca="1">VLOOKUP(B552,bond!B:AB,27,FALSE)</f>
        <v>#N/A</v>
      </c>
      <c r="G552" s="90" t="e">
        <f ca="1">VLOOKUP(B552,bond!B:E,4,FALSE)</f>
        <v>#N/A</v>
      </c>
      <c r="H552" s="202" t="e">
        <f ca="1">VLOOKUP(B552,bond!B:Y,24,FALSE)</f>
        <v>#N/A</v>
      </c>
      <c r="I552" s="95" t="e">
        <f ca="1">VLOOKUP(B552,bond!B:Z,25,FALSE)</f>
        <v>#N/A</v>
      </c>
      <c r="J552" s="180" t="e">
        <f ca="1">VLOOKUP(B552,bond!B:K,10,FALSE)</f>
        <v>#N/A</v>
      </c>
      <c r="K552" s="96" t="e">
        <f ca="1">VLOOKUP($B552,bond!B:S,14,FALSE)</f>
        <v>#N/A</v>
      </c>
      <c r="L552" s="91" t="e">
        <f ca="1">VLOOKUP(B552,bond!B:H,7,FALSE)</f>
        <v>#N/A</v>
      </c>
      <c r="M552" s="144" t="e">
        <f ca="1">VLOOKUP($B552,bond!$B:$Q,16,FALSE)</f>
        <v>#N/A</v>
      </c>
      <c r="N552" s="136" t="e">
        <f ca="1">VALUE(LEFT(VLOOKUP(B552,bond!B:R,17,FALSE),SEARCH(" ",VLOOKUP(B552,bond!B:R,17,FALSE),1)))</f>
        <v>#N/A</v>
      </c>
      <c r="O552" s="136" t="e">
        <f ca="1">VALUE(RIGHT(VLOOKUP(B552,bond!B:R,17,FALSE),LEN(VLOOKUP(B552,bond!B:R,17,FALSE))-LEN(N552)-3))</f>
        <v>#N/A</v>
      </c>
      <c r="P552" s="135" t="e">
        <f ca="1">VLOOKUP($B552,bond!$B:$AG,32,FALSE)</f>
        <v>#N/A</v>
      </c>
      <c r="Q552" s="135" t="e">
        <f ca="1">VLOOKUP($B552,bond!$B:$AH,33,FALSE)</f>
        <v>#N/A</v>
      </c>
      <c r="R552" s="135" t="e">
        <f ca="1">VLOOKUP(B552,bond!B:AA,26,FALSE)</f>
        <v>#N/A</v>
      </c>
      <c r="S552" s="135" t="e">
        <f ca="1">VLOOKUP(B552,bond!B:AI,34,FALSE)</f>
        <v>#N/A</v>
      </c>
      <c r="T552" s="135" t="e">
        <f t="shared" ca="1" si="56"/>
        <v>#N/A</v>
      </c>
      <c r="U552" s="207" t="e">
        <f ca="1">IFERROR(VLOOKUP(T552,Bond_DES!D:E,2,FALSE),VLOOKUP(S552,bond!AI:AJ,2,FALSE))</f>
        <v>#N/A</v>
      </c>
      <c r="V552" s="136" t="e">
        <f ca="1">IFERROR(VLOOKUP(B552,'1_重設數據'!L:M,2,FALSE),IF(Q552="政府",IF(AD552&gt;16,"(NPI)非專投",IF(AD552&gt;10,"(PI)專投","高資產")),IF(VLOOKUP(B552,bond!B:AN,39,FALSE)="Y","(PI)專投",IF(AD552&gt;=15,"(NPI)非專投",IF(AD552&gt;=10,"(PI)專投","高資產")))))</f>
        <v>#N/A</v>
      </c>
      <c r="W552" s="136" t="e">
        <f ca="1">VLOOKUP(AD552,'credit rating'!$F$2:$H$22,3,FALSE)</f>
        <v>#N/A</v>
      </c>
      <c r="X552" s="136" t="e">
        <f t="shared" ca="1" si="57"/>
        <v>#N/A</v>
      </c>
      <c r="Y552" s="136" t="e">
        <f t="shared" ca="1" si="58"/>
        <v>#N/A</v>
      </c>
      <c r="Z552" s="136" t="e">
        <f t="shared" ca="1" si="59"/>
        <v>#N/A</v>
      </c>
      <c r="AA552" s="134">
        <f ca="1">IFERROR(VLOOKUP(X552,'credit rating'!A:C,3,FALSE),0)</f>
        <v>0</v>
      </c>
      <c r="AB552" s="134">
        <f ca="1">IFERROR(VLOOKUP(Y552,'credit rating'!B:C,2,FALSE),0)</f>
        <v>0</v>
      </c>
      <c r="AC552" s="136">
        <f ca="1">IFERROR(VLOOKUP(Z552,'credit rating'!B:C,2,FALSE),0)</f>
        <v>0</v>
      </c>
      <c r="AD552" s="136">
        <f t="shared" ca="1" si="60"/>
        <v>0</v>
      </c>
      <c r="AE552" s="249" t="str">
        <f ca="1">IFERROR(VLOOKUP(B552,bond!B:U,20,FALSE),"")</f>
        <v/>
      </c>
      <c r="AF552" s="136" t="e">
        <f ca="1">IF(VLOOKUP(B552,bond!B:AK,36,FALSE)="#N/A Field Not Applicable","",VLOOKUP(B552,bond!B:AK,36,FALSE))</f>
        <v>#N/A</v>
      </c>
      <c r="AG552" s="136" t="e">
        <f ca="1">IF(VLOOKUP(B552,bond!B:AL,37,FALSE)="FIXED","固定",IF(VLOOKUP(B552,bond!B:AL,37,FALSE)="FLOATING","浮動",IF(VLOOKUP(B552,bond!B:AL,37,FALSE)="VARIABLE","變動",IF(VLOOKUP(B552,bond!B:AL,37,FALSE)="FLAT TRADING","不含息交易",IF(VLOOKUP(B552,bond!B:AL,37,FALSE)="ZERO COUPON","零息",VLOOKUP(B552,bond!B:AL,37,FALSE))))))</f>
        <v>#N/A</v>
      </c>
      <c r="AH552" s="136" t="e">
        <f>VLOOKUP(C552,'2_Check_code'!I:J,2,FALSE)</f>
        <v>#N/A</v>
      </c>
      <c r="AI552" s="136" t="e">
        <f t="shared" ca="1" si="61"/>
        <v>#N/A</v>
      </c>
      <c r="AJ552" s="136" t="e">
        <f t="shared" ca="1" si="62"/>
        <v>#N/A</v>
      </c>
      <c r="AK552" s="594" t="e">
        <f ca="1">IF(VLOOKUP(B552,bond!B:S,18,FALSE)="是","有",IF(VLOOKUP(B552,bond!B:S,18,FALSE)="NO OFFER","無","需查詢"))</f>
        <v>#N/A</v>
      </c>
      <c r="AL552" s="136" t="e">
        <f>IF(VLOOKUP(A552,bond!F:AR,39,FALSE)="#N/A Field Not Applicable",VLOOKUP(A552,bond!F:AR,38,FALSE),IFERROR(VLOOKUP(A552,'7_發行日例外'!A:B,2,FALSE),VLOOKUP(A552,bond!F:AR,39,FALSE)))</f>
        <v>#N/A</v>
      </c>
      <c r="AM552" s="136" t="e">
        <f ca="1">VLOOKUP(B552,bond!B:AK,36,FALSE)</f>
        <v>#N/A</v>
      </c>
      <c r="AN552" s="136" t="str">
        <f ca="1">IFERROR(VLOOKUP(B552,'3_是否下架'!A:A,1,FALSE),"")</f>
        <v/>
      </c>
      <c r="AO552" s="136" t="e">
        <f ca="1">VLOOKUP(B552,bond!B:J,9,FALSE)</f>
        <v>#N/A</v>
      </c>
      <c r="AP552" s="136" t="e">
        <f ca="1">VLOOKUP(B552,bond!B:V,21,FALSE)</f>
        <v>#N/A</v>
      </c>
    </row>
    <row r="553" spans="1:42">
      <c r="A553" s="141">
        <f>bond!F554</f>
        <v>0</v>
      </c>
      <c r="B553" s="151">
        <f ca="1">IF($C$1=TRUE,bond!B554,"")</f>
        <v>0</v>
      </c>
      <c r="C553" s="95" t="e">
        <f>VLOOKUP(A553,bond!F:G,2,FALSE)</f>
        <v>#N/A</v>
      </c>
      <c r="D553" s="142" t="e">
        <f ca="1">VLOOKUP(B553,bond!B:C,2,FALSE)</f>
        <v>#N/A</v>
      </c>
      <c r="E553" s="95" t="e">
        <f ca="1">VLOOKUP(B553,bond!B:D,3,FALSE)</f>
        <v>#N/A</v>
      </c>
      <c r="F553" s="99" t="e">
        <f ca="1">VLOOKUP(B553,bond!B:AB,27,FALSE)</f>
        <v>#N/A</v>
      </c>
      <c r="G553" s="90" t="e">
        <f ca="1">VLOOKUP(B553,bond!B:E,4,FALSE)</f>
        <v>#N/A</v>
      </c>
      <c r="H553" s="202" t="e">
        <f ca="1">VLOOKUP(B553,bond!B:Y,24,FALSE)</f>
        <v>#N/A</v>
      </c>
      <c r="I553" s="95" t="e">
        <f ca="1">VLOOKUP(B553,bond!B:Z,25,FALSE)</f>
        <v>#N/A</v>
      </c>
      <c r="J553" s="180" t="e">
        <f ca="1">VLOOKUP(B553,bond!B:K,10,FALSE)</f>
        <v>#N/A</v>
      </c>
      <c r="K553" s="96" t="e">
        <f ca="1">VLOOKUP($B553,bond!B:S,14,FALSE)</f>
        <v>#N/A</v>
      </c>
      <c r="L553" s="91" t="e">
        <f ca="1">VLOOKUP(B553,bond!B:H,7,FALSE)</f>
        <v>#N/A</v>
      </c>
      <c r="M553" s="144" t="e">
        <f ca="1">VLOOKUP($B553,bond!$B:$Q,16,FALSE)</f>
        <v>#N/A</v>
      </c>
      <c r="N553" s="136" t="e">
        <f ca="1">VALUE(LEFT(VLOOKUP(B553,bond!B:R,17,FALSE),SEARCH(" ",VLOOKUP(B553,bond!B:R,17,FALSE),1)))</f>
        <v>#N/A</v>
      </c>
      <c r="O553" s="136" t="e">
        <f ca="1">VALUE(RIGHT(VLOOKUP(B553,bond!B:R,17,FALSE),LEN(VLOOKUP(B553,bond!B:R,17,FALSE))-LEN(N553)-3))</f>
        <v>#N/A</v>
      </c>
      <c r="P553" s="135" t="e">
        <f ca="1">VLOOKUP($B553,bond!$B:$AG,32,FALSE)</f>
        <v>#N/A</v>
      </c>
      <c r="Q553" s="135" t="e">
        <f ca="1">VLOOKUP($B553,bond!$B:$AH,33,FALSE)</f>
        <v>#N/A</v>
      </c>
      <c r="R553" s="135" t="e">
        <f ca="1">VLOOKUP(B553,bond!B:AA,26,FALSE)</f>
        <v>#N/A</v>
      </c>
      <c r="S553" s="135" t="e">
        <f ca="1">VLOOKUP(B553,bond!B:AI,34,FALSE)</f>
        <v>#N/A</v>
      </c>
      <c r="T553" s="135" t="e">
        <f t="shared" ca="1" si="56"/>
        <v>#N/A</v>
      </c>
      <c r="U553" s="207" t="e">
        <f ca="1">IFERROR(VLOOKUP(T553,Bond_DES!D:E,2,FALSE),VLOOKUP(S553,bond!AI:AJ,2,FALSE))</f>
        <v>#N/A</v>
      </c>
      <c r="V553" s="136" t="e">
        <f ca="1">IFERROR(VLOOKUP(B553,'1_重設數據'!L:M,2,FALSE),IF(Q553="政府",IF(AD553&gt;16,"(NPI)非專投",IF(AD553&gt;10,"(PI)專投","高資產")),IF(VLOOKUP(B553,bond!B:AN,39,FALSE)="Y","(PI)專投",IF(AD553&gt;=15,"(NPI)非專投",IF(AD553&gt;=10,"(PI)專投","高資產")))))</f>
        <v>#N/A</v>
      </c>
      <c r="W553" s="136" t="e">
        <f ca="1">VLOOKUP(AD553,'credit rating'!$F$2:$H$22,3,FALSE)</f>
        <v>#N/A</v>
      </c>
      <c r="X553" s="136" t="e">
        <f t="shared" ca="1" si="57"/>
        <v>#N/A</v>
      </c>
      <c r="Y553" s="136" t="e">
        <f t="shared" ca="1" si="58"/>
        <v>#N/A</v>
      </c>
      <c r="Z553" s="136" t="e">
        <f t="shared" ca="1" si="59"/>
        <v>#N/A</v>
      </c>
      <c r="AA553" s="134">
        <f ca="1">IFERROR(VLOOKUP(X553,'credit rating'!A:C,3,FALSE),0)</f>
        <v>0</v>
      </c>
      <c r="AB553" s="134">
        <f ca="1">IFERROR(VLOOKUP(Y553,'credit rating'!B:C,2,FALSE),0)</f>
        <v>0</v>
      </c>
      <c r="AC553" s="136">
        <f ca="1">IFERROR(VLOOKUP(Z553,'credit rating'!B:C,2,FALSE),0)</f>
        <v>0</v>
      </c>
      <c r="AD553" s="136">
        <f t="shared" ca="1" si="60"/>
        <v>0</v>
      </c>
      <c r="AE553" s="249" t="str">
        <f ca="1">IFERROR(VLOOKUP(B553,bond!B:U,20,FALSE),"")</f>
        <v/>
      </c>
      <c r="AF553" s="136" t="e">
        <f ca="1">IF(VLOOKUP(B553,bond!B:AK,36,FALSE)="#N/A Field Not Applicable","",VLOOKUP(B553,bond!B:AK,36,FALSE))</f>
        <v>#N/A</v>
      </c>
      <c r="AG553" s="136" t="e">
        <f ca="1">IF(VLOOKUP(B553,bond!B:AL,37,FALSE)="FIXED","固定",IF(VLOOKUP(B553,bond!B:AL,37,FALSE)="FLOATING","浮動",IF(VLOOKUP(B553,bond!B:AL,37,FALSE)="VARIABLE","變動",IF(VLOOKUP(B553,bond!B:AL,37,FALSE)="FLAT TRADING","不含息交易",IF(VLOOKUP(B553,bond!B:AL,37,FALSE)="ZERO COUPON","零息",VLOOKUP(B553,bond!B:AL,37,FALSE))))))</f>
        <v>#N/A</v>
      </c>
      <c r="AH553" s="136" t="e">
        <f>VLOOKUP(C553,'2_Check_code'!I:J,2,FALSE)</f>
        <v>#N/A</v>
      </c>
      <c r="AI553" s="136" t="e">
        <f t="shared" ca="1" si="61"/>
        <v>#N/A</v>
      </c>
      <c r="AJ553" s="136" t="e">
        <f t="shared" ca="1" si="62"/>
        <v>#N/A</v>
      </c>
      <c r="AK553" s="594" t="e">
        <f ca="1">IF(VLOOKUP(B553,bond!B:S,18,FALSE)="是","有",IF(VLOOKUP(B553,bond!B:S,18,FALSE)="NO OFFER","無","需查詢"))</f>
        <v>#N/A</v>
      </c>
      <c r="AL553" s="136" t="e">
        <f>IF(VLOOKUP(A553,bond!F:AR,39,FALSE)="#N/A Field Not Applicable",VLOOKUP(A553,bond!F:AR,38,FALSE),IFERROR(VLOOKUP(A553,'7_發行日例外'!A:B,2,FALSE),VLOOKUP(A553,bond!F:AR,39,FALSE)))</f>
        <v>#N/A</v>
      </c>
      <c r="AM553" s="136" t="e">
        <f ca="1">VLOOKUP(B553,bond!B:AK,36,FALSE)</f>
        <v>#N/A</v>
      </c>
      <c r="AN553" s="136" t="str">
        <f ca="1">IFERROR(VLOOKUP(B553,'3_是否下架'!A:A,1,FALSE),"")</f>
        <v/>
      </c>
      <c r="AO553" s="136" t="e">
        <f ca="1">VLOOKUP(B553,bond!B:J,9,FALSE)</f>
        <v>#N/A</v>
      </c>
      <c r="AP553" s="136" t="e">
        <f ca="1">VLOOKUP(B553,bond!B:V,21,FALSE)</f>
        <v>#N/A</v>
      </c>
    </row>
    <row r="554" spans="1:42">
      <c r="A554" s="141">
        <f>bond!F555</f>
        <v>0</v>
      </c>
      <c r="B554" s="151">
        <f ca="1">IF($C$1=TRUE,bond!B555,"")</f>
        <v>0</v>
      </c>
      <c r="C554" s="95" t="e">
        <f>VLOOKUP(A554,bond!F:G,2,FALSE)</f>
        <v>#N/A</v>
      </c>
      <c r="D554" s="142" t="e">
        <f ca="1">VLOOKUP(B554,bond!B:C,2,FALSE)</f>
        <v>#N/A</v>
      </c>
      <c r="E554" s="95" t="e">
        <f ca="1">VLOOKUP(B554,bond!B:D,3,FALSE)</f>
        <v>#N/A</v>
      </c>
      <c r="F554" s="99" t="e">
        <f ca="1">VLOOKUP(B554,bond!B:AB,27,FALSE)</f>
        <v>#N/A</v>
      </c>
      <c r="G554" s="90" t="e">
        <f ca="1">VLOOKUP(B554,bond!B:E,4,FALSE)</f>
        <v>#N/A</v>
      </c>
      <c r="H554" s="202" t="e">
        <f ca="1">VLOOKUP(B554,bond!B:Y,24,FALSE)</f>
        <v>#N/A</v>
      </c>
      <c r="I554" s="95" t="e">
        <f ca="1">VLOOKUP(B554,bond!B:Z,25,FALSE)</f>
        <v>#N/A</v>
      </c>
      <c r="J554" s="180" t="e">
        <f ca="1">VLOOKUP(B554,bond!B:K,10,FALSE)</f>
        <v>#N/A</v>
      </c>
      <c r="K554" s="96" t="e">
        <f ca="1">VLOOKUP($B554,bond!B:S,14,FALSE)</f>
        <v>#N/A</v>
      </c>
      <c r="L554" s="91" t="e">
        <f ca="1">VLOOKUP(B554,bond!B:H,7,FALSE)</f>
        <v>#N/A</v>
      </c>
      <c r="M554" s="144" t="e">
        <f ca="1">VLOOKUP($B554,bond!$B:$Q,16,FALSE)</f>
        <v>#N/A</v>
      </c>
      <c r="N554" s="136" t="e">
        <f ca="1">VALUE(LEFT(VLOOKUP(B554,bond!B:R,17,FALSE),SEARCH(" ",VLOOKUP(B554,bond!B:R,17,FALSE),1)))</f>
        <v>#N/A</v>
      </c>
      <c r="O554" s="136" t="e">
        <f ca="1">VALUE(RIGHT(VLOOKUP(B554,bond!B:R,17,FALSE),LEN(VLOOKUP(B554,bond!B:R,17,FALSE))-LEN(N554)-3))</f>
        <v>#N/A</v>
      </c>
      <c r="P554" s="135" t="e">
        <f ca="1">VLOOKUP($B554,bond!$B:$AG,32,FALSE)</f>
        <v>#N/A</v>
      </c>
      <c r="Q554" s="135" t="e">
        <f ca="1">VLOOKUP($B554,bond!$B:$AH,33,FALSE)</f>
        <v>#N/A</v>
      </c>
      <c r="R554" s="135" t="e">
        <f ca="1">VLOOKUP(B554,bond!B:AA,26,FALSE)</f>
        <v>#N/A</v>
      </c>
      <c r="S554" s="135" t="e">
        <f ca="1">VLOOKUP(B554,bond!B:AI,34,FALSE)</f>
        <v>#N/A</v>
      </c>
      <c r="T554" s="135" t="e">
        <f t="shared" ca="1" si="56"/>
        <v>#N/A</v>
      </c>
      <c r="U554" s="207" t="e">
        <f ca="1">IFERROR(VLOOKUP(T554,Bond_DES!D:E,2,FALSE),VLOOKUP(S554,bond!AI:AJ,2,FALSE))</f>
        <v>#N/A</v>
      </c>
      <c r="V554" s="136" t="e">
        <f ca="1">IFERROR(VLOOKUP(B554,'1_重設數據'!L:M,2,FALSE),IF(Q554="政府",IF(AD554&gt;16,"(NPI)非專投",IF(AD554&gt;10,"(PI)專投","高資產")),IF(VLOOKUP(B554,bond!B:AN,39,FALSE)="Y","(PI)專投",IF(AD554&gt;=15,"(NPI)非專投",IF(AD554&gt;=10,"(PI)專投","高資產")))))</f>
        <v>#N/A</v>
      </c>
      <c r="W554" s="136" t="e">
        <f ca="1">VLOOKUP(AD554,'credit rating'!$F$2:$H$22,3,FALSE)</f>
        <v>#N/A</v>
      </c>
      <c r="X554" s="136" t="e">
        <f t="shared" ca="1" si="57"/>
        <v>#N/A</v>
      </c>
      <c r="Y554" s="136" t="e">
        <f t="shared" ca="1" si="58"/>
        <v>#N/A</v>
      </c>
      <c r="Z554" s="136" t="e">
        <f t="shared" ca="1" si="59"/>
        <v>#N/A</v>
      </c>
      <c r="AA554" s="134">
        <f ca="1">IFERROR(VLOOKUP(X554,'credit rating'!A:C,3,FALSE),0)</f>
        <v>0</v>
      </c>
      <c r="AB554" s="134">
        <f ca="1">IFERROR(VLOOKUP(Y554,'credit rating'!B:C,2,FALSE),0)</f>
        <v>0</v>
      </c>
      <c r="AC554" s="136">
        <f ca="1">IFERROR(VLOOKUP(Z554,'credit rating'!B:C,2,FALSE),0)</f>
        <v>0</v>
      </c>
      <c r="AD554" s="136">
        <f t="shared" ca="1" si="60"/>
        <v>0</v>
      </c>
      <c r="AE554" s="249" t="str">
        <f ca="1">IFERROR(VLOOKUP(B554,bond!B:U,20,FALSE),"")</f>
        <v/>
      </c>
      <c r="AF554" s="136" t="e">
        <f ca="1">IF(VLOOKUP(B554,bond!B:AK,36,FALSE)="#N/A Field Not Applicable","",VLOOKUP(B554,bond!B:AK,36,FALSE))</f>
        <v>#N/A</v>
      </c>
      <c r="AG554" s="136" t="e">
        <f ca="1">IF(VLOOKUP(B554,bond!B:AL,37,FALSE)="FIXED","固定",IF(VLOOKUP(B554,bond!B:AL,37,FALSE)="FLOATING","浮動",IF(VLOOKUP(B554,bond!B:AL,37,FALSE)="VARIABLE","變動",IF(VLOOKUP(B554,bond!B:AL,37,FALSE)="FLAT TRADING","不含息交易",IF(VLOOKUP(B554,bond!B:AL,37,FALSE)="ZERO COUPON","零息",VLOOKUP(B554,bond!B:AL,37,FALSE))))))</f>
        <v>#N/A</v>
      </c>
      <c r="AH554" s="136" t="e">
        <f>VLOOKUP(C554,'2_Check_code'!I:J,2,FALSE)</f>
        <v>#N/A</v>
      </c>
      <c r="AI554" s="136" t="e">
        <f t="shared" ca="1" si="61"/>
        <v>#N/A</v>
      </c>
      <c r="AJ554" s="136" t="e">
        <f t="shared" ca="1" si="62"/>
        <v>#N/A</v>
      </c>
      <c r="AK554" s="594" t="e">
        <f ca="1">IF(VLOOKUP(B554,bond!B:S,18,FALSE)="是","有",IF(VLOOKUP(B554,bond!B:S,18,FALSE)="NO OFFER","無","需查詢"))</f>
        <v>#N/A</v>
      </c>
      <c r="AL554" s="136" t="e">
        <f>IF(VLOOKUP(A554,bond!F:AR,39,FALSE)="#N/A Field Not Applicable",VLOOKUP(A554,bond!F:AR,38,FALSE),IFERROR(VLOOKUP(A554,'7_發行日例外'!A:B,2,FALSE),VLOOKUP(A554,bond!F:AR,39,FALSE)))</f>
        <v>#N/A</v>
      </c>
      <c r="AM554" s="136" t="e">
        <f ca="1">VLOOKUP(B554,bond!B:AK,36,FALSE)</f>
        <v>#N/A</v>
      </c>
      <c r="AN554" s="136" t="str">
        <f ca="1">IFERROR(VLOOKUP(B554,'3_是否下架'!A:A,1,FALSE),"")</f>
        <v/>
      </c>
      <c r="AO554" s="136" t="e">
        <f ca="1">VLOOKUP(B554,bond!B:J,9,FALSE)</f>
        <v>#N/A</v>
      </c>
      <c r="AP554" s="136" t="e">
        <f ca="1">VLOOKUP(B554,bond!B:V,21,FALSE)</f>
        <v>#N/A</v>
      </c>
    </row>
    <row r="555" spans="1:42">
      <c r="A555" s="141">
        <f>bond!F556</f>
        <v>0</v>
      </c>
      <c r="B555" s="151">
        <f ca="1">IF($C$1=TRUE,bond!B556,"")</f>
        <v>0</v>
      </c>
      <c r="C555" s="95" t="e">
        <f>VLOOKUP(A555,bond!F:G,2,FALSE)</f>
        <v>#N/A</v>
      </c>
      <c r="D555" s="142" t="e">
        <f ca="1">VLOOKUP(B555,bond!B:C,2,FALSE)</f>
        <v>#N/A</v>
      </c>
      <c r="E555" s="95" t="e">
        <f ca="1">VLOOKUP(B555,bond!B:D,3,FALSE)</f>
        <v>#N/A</v>
      </c>
      <c r="F555" s="99" t="e">
        <f ca="1">VLOOKUP(B555,bond!B:AB,27,FALSE)</f>
        <v>#N/A</v>
      </c>
      <c r="G555" s="90" t="e">
        <f ca="1">VLOOKUP(B555,bond!B:E,4,FALSE)</f>
        <v>#N/A</v>
      </c>
      <c r="H555" s="202" t="e">
        <f ca="1">VLOOKUP(B555,bond!B:Y,24,FALSE)</f>
        <v>#N/A</v>
      </c>
      <c r="I555" s="95" t="e">
        <f ca="1">VLOOKUP(B555,bond!B:Z,25,FALSE)</f>
        <v>#N/A</v>
      </c>
      <c r="J555" s="180" t="e">
        <f ca="1">VLOOKUP(B555,bond!B:K,10,FALSE)</f>
        <v>#N/A</v>
      </c>
      <c r="K555" s="96" t="e">
        <f ca="1">VLOOKUP($B555,bond!B:S,14,FALSE)</f>
        <v>#N/A</v>
      </c>
      <c r="L555" s="91" t="e">
        <f ca="1">VLOOKUP(B555,bond!B:H,7,FALSE)</f>
        <v>#N/A</v>
      </c>
      <c r="M555" s="144" t="e">
        <f ca="1">VLOOKUP($B555,bond!$B:$Q,16,FALSE)</f>
        <v>#N/A</v>
      </c>
      <c r="N555" s="136" t="e">
        <f ca="1">VALUE(LEFT(VLOOKUP(B555,bond!B:R,17,FALSE),SEARCH(" ",VLOOKUP(B555,bond!B:R,17,FALSE),1)))</f>
        <v>#N/A</v>
      </c>
      <c r="O555" s="136" t="e">
        <f ca="1">VALUE(RIGHT(VLOOKUP(B555,bond!B:R,17,FALSE),LEN(VLOOKUP(B555,bond!B:R,17,FALSE))-LEN(N555)-3))</f>
        <v>#N/A</v>
      </c>
      <c r="P555" s="135" t="e">
        <f ca="1">VLOOKUP($B555,bond!$B:$AG,32,FALSE)</f>
        <v>#N/A</v>
      </c>
      <c r="Q555" s="135" t="e">
        <f ca="1">VLOOKUP($B555,bond!$B:$AH,33,FALSE)</f>
        <v>#N/A</v>
      </c>
      <c r="R555" s="135" t="e">
        <f ca="1">VLOOKUP(B555,bond!B:AA,26,FALSE)</f>
        <v>#N/A</v>
      </c>
      <c r="S555" s="135" t="e">
        <f ca="1">VLOOKUP(B555,bond!B:AI,34,FALSE)</f>
        <v>#N/A</v>
      </c>
      <c r="T555" s="135" t="e">
        <f t="shared" ca="1" si="56"/>
        <v>#N/A</v>
      </c>
      <c r="U555" s="207" t="e">
        <f ca="1">IFERROR(VLOOKUP(T555,Bond_DES!D:E,2,FALSE),VLOOKUP(S555,bond!AI:AJ,2,FALSE))</f>
        <v>#N/A</v>
      </c>
      <c r="V555" s="136" t="e">
        <f ca="1">IFERROR(VLOOKUP(B555,'1_重設數據'!L:M,2,FALSE),IF(Q555="政府",IF(AD555&gt;16,"(NPI)非專投",IF(AD555&gt;10,"(PI)專投","高資產")),IF(VLOOKUP(B555,bond!B:AN,39,FALSE)="Y","(PI)專投",IF(AD555&gt;=15,"(NPI)非專投",IF(AD555&gt;=10,"(PI)專投","高資產")))))</f>
        <v>#N/A</v>
      </c>
      <c r="W555" s="136" t="e">
        <f ca="1">VLOOKUP(AD555,'credit rating'!$F$2:$H$22,3,FALSE)</f>
        <v>#N/A</v>
      </c>
      <c r="X555" s="136" t="e">
        <f t="shared" ca="1" si="57"/>
        <v>#N/A</v>
      </c>
      <c r="Y555" s="136" t="e">
        <f t="shared" ca="1" si="58"/>
        <v>#N/A</v>
      </c>
      <c r="Z555" s="136" t="e">
        <f t="shared" ca="1" si="59"/>
        <v>#N/A</v>
      </c>
      <c r="AA555" s="134">
        <f ca="1">IFERROR(VLOOKUP(X555,'credit rating'!A:C,3,FALSE),0)</f>
        <v>0</v>
      </c>
      <c r="AB555" s="134">
        <f ca="1">IFERROR(VLOOKUP(Y555,'credit rating'!B:C,2,FALSE),0)</f>
        <v>0</v>
      </c>
      <c r="AC555" s="136">
        <f ca="1">IFERROR(VLOOKUP(Z555,'credit rating'!B:C,2,FALSE),0)</f>
        <v>0</v>
      </c>
      <c r="AD555" s="136">
        <f t="shared" ca="1" si="60"/>
        <v>0</v>
      </c>
      <c r="AE555" s="249" t="str">
        <f ca="1">IFERROR(VLOOKUP(B555,bond!B:U,20,FALSE),"")</f>
        <v/>
      </c>
      <c r="AF555" s="136" t="e">
        <f ca="1">IF(VLOOKUP(B555,bond!B:AK,36,FALSE)="#N/A Field Not Applicable","",VLOOKUP(B555,bond!B:AK,36,FALSE))</f>
        <v>#N/A</v>
      </c>
      <c r="AG555" s="136" t="e">
        <f ca="1">IF(VLOOKUP(B555,bond!B:AL,37,FALSE)="FIXED","固定",IF(VLOOKUP(B555,bond!B:AL,37,FALSE)="FLOATING","浮動",IF(VLOOKUP(B555,bond!B:AL,37,FALSE)="VARIABLE","變動",IF(VLOOKUP(B555,bond!B:AL,37,FALSE)="FLAT TRADING","不含息交易",IF(VLOOKUP(B555,bond!B:AL,37,FALSE)="ZERO COUPON","零息",VLOOKUP(B555,bond!B:AL,37,FALSE))))))</f>
        <v>#N/A</v>
      </c>
      <c r="AH555" s="136" t="e">
        <f>VLOOKUP(C555,'2_Check_code'!I:J,2,FALSE)</f>
        <v>#N/A</v>
      </c>
      <c r="AI555" s="136" t="e">
        <f t="shared" ca="1" si="61"/>
        <v>#N/A</v>
      </c>
      <c r="AJ555" s="136" t="e">
        <f t="shared" ca="1" si="62"/>
        <v>#N/A</v>
      </c>
      <c r="AK555" s="594" t="e">
        <f ca="1">IF(VLOOKUP(B555,bond!B:S,18,FALSE)="是","有",IF(VLOOKUP(B555,bond!B:S,18,FALSE)="NO OFFER","無","需查詢"))</f>
        <v>#N/A</v>
      </c>
      <c r="AL555" s="136" t="e">
        <f>IF(VLOOKUP(A555,bond!F:AR,39,FALSE)="#N/A Field Not Applicable",VLOOKUP(A555,bond!F:AR,38,FALSE),IFERROR(VLOOKUP(A555,'7_發行日例外'!A:B,2,FALSE),VLOOKUP(A555,bond!F:AR,39,FALSE)))</f>
        <v>#N/A</v>
      </c>
      <c r="AM555" s="136" t="e">
        <f ca="1">VLOOKUP(B555,bond!B:AK,36,FALSE)</f>
        <v>#N/A</v>
      </c>
      <c r="AN555" s="136" t="str">
        <f ca="1">IFERROR(VLOOKUP(B555,'3_是否下架'!A:A,1,FALSE),"")</f>
        <v/>
      </c>
      <c r="AO555" s="136" t="e">
        <f ca="1">VLOOKUP(B555,bond!B:J,9,FALSE)</f>
        <v>#N/A</v>
      </c>
      <c r="AP555" s="136" t="e">
        <f ca="1">VLOOKUP(B555,bond!B:V,21,FALSE)</f>
        <v>#N/A</v>
      </c>
    </row>
    <row r="556" spans="1:42">
      <c r="A556" s="141">
        <f>bond!F557</f>
        <v>0</v>
      </c>
      <c r="B556" s="151">
        <f ca="1">IF($C$1=TRUE,bond!B557,"")</f>
        <v>0</v>
      </c>
      <c r="C556" s="95" t="e">
        <f>VLOOKUP(A556,bond!F:G,2,FALSE)</f>
        <v>#N/A</v>
      </c>
      <c r="D556" s="142" t="e">
        <f ca="1">VLOOKUP(B556,bond!B:C,2,FALSE)</f>
        <v>#N/A</v>
      </c>
      <c r="E556" s="95" t="e">
        <f ca="1">VLOOKUP(B556,bond!B:D,3,FALSE)</f>
        <v>#N/A</v>
      </c>
      <c r="F556" s="99" t="e">
        <f ca="1">VLOOKUP(B556,bond!B:AB,27,FALSE)</f>
        <v>#N/A</v>
      </c>
      <c r="G556" s="90" t="e">
        <f ca="1">VLOOKUP(B556,bond!B:E,4,FALSE)</f>
        <v>#N/A</v>
      </c>
      <c r="H556" s="202" t="e">
        <f ca="1">VLOOKUP(B556,bond!B:Y,24,FALSE)</f>
        <v>#N/A</v>
      </c>
      <c r="I556" s="95" t="e">
        <f ca="1">VLOOKUP(B556,bond!B:Z,25,FALSE)</f>
        <v>#N/A</v>
      </c>
      <c r="J556" s="180" t="e">
        <f ca="1">VLOOKUP(B556,bond!B:K,10,FALSE)</f>
        <v>#N/A</v>
      </c>
      <c r="K556" s="96" t="e">
        <f ca="1">VLOOKUP($B556,bond!B:S,14,FALSE)</f>
        <v>#N/A</v>
      </c>
      <c r="L556" s="91" t="e">
        <f ca="1">VLOOKUP(B556,bond!B:H,7,FALSE)</f>
        <v>#N/A</v>
      </c>
      <c r="M556" s="144" t="e">
        <f ca="1">VLOOKUP($B556,bond!$B:$Q,16,FALSE)</f>
        <v>#N/A</v>
      </c>
      <c r="N556" s="136" t="e">
        <f ca="1">VALUE(LEFT(VLOOKUP(B556,bond!B:R,17,FALSE),SEARCH(" ",VLOOKUP(B556,bond!B:R,17,FALSE),1)))</f>
        <v>#N/A</v>
      </c>
      <c r="O556" s="136" t="e">
        <f ca="1">VALUE(RIGHT(VLOOKUP(B556,bond!B:R,17,FALSE),LEN(VLOOKUP(B556,bond!B:R,17,FALSE))-LEN(N556)-3))</f>
        <v>#N/A</v>
      </c>
      <c r="P556" s="135" t="e">
        <f ca="1">VLOOKUP($B556,bond!$B:$AG,32,FALSE)</f>
        <v>#N/A</v>
      </c>
      <c r="Q556" s="135" t="e">
        <f ca="1">VLOOKUP($B556,bond!$B:$AH,33,FALSE)</f>
        <v>#N/A</v>
      </c>
      <c r="R556" s="135" t="e">
        <f ca="1">VLOOKUP(B556,bond!B:AA,26,FALSE)</f>
        <v>#N/A</v>
      </c>
      <c r="S556" s="135" t="e">
        <f ca="1">VLOOKUP(B556,bond!B:AI,34,FALSE)</f>
        <v>#N/A</v>
      </c>
      <c r="T556" s="135" t="e">
        <f t="shared" ca="1" si="56"/>
        <v>#N/A</v>
      </c>
      <c r="U556" s="207" t="e">
        <f ca="1">IFERROR(VLOOKUP(T556,Bond_DES!D:E,2,FALSE),VLOOKUP(S556,bond!AI:AJ,2,FALSE))</f>
        <v>#N/A</v>
      </c>
      <c r="V556" s="136" t="e">
        <f ca="1">IFERROR(VLOOKUP(B556,'1_重設數據'!L:M,2,FALSE),IF(Q556="政府",IF(AD556&gt;16,"(NPI)非專投",IF(AD556&gt;10,"(PI)專投","高資產")),IF(VLOOKUP(B556,bond!B:AN,39,FALSE)="Y","(PI)專投",IF(AD556&gt;=15,"(NPI)非專投",IF(AD556&gt;=10,"(PI)專投","高資產")))))</f>
        <v>#N/A</v>
      </c>
      <c r="W556" s="136" t="e">
        <f ca="1">VLOOKUP(AD556,'credit rating'!$F$2:$H$22,3,FALSE)</f>
        <v>#N/A</v>
      </c>
      <c r="X556" s="136" t="e">
        <f t="shared" ca="1" si="57"/>
        <v>#N/A</v>
      </c>
      <c r="Y556" s="136" t="e">
        <f t="shared" ca="1" si="58"/>
        <v>#N/A</v>
      </c>
      <c r="Z556" s="136" t="e">
        <f t="shared" ca="1" si="59"/>
        <v>#N/A</v>
      </c>
      <c r="AA556" s="134">
        <f ca="1">IFERROR(VLOOKUP(X556,'credit rating'!A:C,3,FALSE),0)</f>
        <v>0</v>
      </c>
      <c r="AB556" s="134">
        <f ca="1">IFERROR(VLOOKUP(Y556,'credit rating'!B:C,2,FALSE),0)</f>
        <v>0</v>
      </c>
      <c r="AC556" s="136">
        <f ca="1">IFERROR(VLOOKUP(Z556,'credit rating'!B:C,2,FALSE),0)</f>
        <v>0</v>
      </c>
      <c r="AD556" s="136">
        <f t="shared" ca="1" si="60"/>
        <v>0</v>
      </c>
      <c r="AE556" s="249" t="str">
        <f ca="1">IFERROR(VLOOKUP(B556,bond!B:U,20,FALSE),"")</f>
        <v/>
      </c>
      <c r="AF556" s="136" t="e">
        <f ca="1">IF(VLOOKUP(B556,bond!B:AK,36,FALSE)="#N/A Field Not Applicable","",VLOOKUP(B556,bond!B:AK,36,FALSE))</f>
        <v>#N/A</v>
      </c>
      <c r="AG556" s="136" t="e">
        <f ca="1">IF(VLOOKUP(B556,bond!B:AL,37,FALSE)="FIXED","固定",IF(VLOOKUP(B556,bond!B:AL,37,FALSE)="FLOATING","浮動",IF(VLOOKUP(B556,bond!B:AL,37,FALSE)="VARIABLE","變動",IF(VLOOKUP(B556,bond!B:AL,37,FALSE)="FLAT TRADING","不含息交易",IF(VLOOKUP(B556,bond!B:AL,37,FALSE)="ZERO COUPON","零息",VLOOKUP(B556,bond!B:AL,37,FALSE))))))</f>
        <v>#N/A</v>
      </c>
      <c r="AH556" s="136" t="e">
        <f>VLOOKUP(C556,'2_Check_code'!I:J,2,FALSE)</f>
        <v>#N/A</v>
      </c>
      <c r="AI556" s="136" t="e">
        <f t="shared" ca="1" si="61"/>
        <v>#N/A</v>
      </c>
      <c r="AJ556" s="136" t="e">
        <f t="shared" ca="1" si="62"/>
        <v>#N/A</v>
      </c>
      <c r="AK556" s="594" t="e">
        <f ca="1">IF(VLOOKUP(B556,bond!B:S,18,FALSE)="是","有",IF(VLOOKUP(B556,bond!B:S,18,FALSE)="NO OFFER","無","需查詢"))</f>
        <v>#N/A</v>
      </c>
      <c r="AL556" s="136" t="e">
        <f>IF(VLOOKUP(A556,bond!F:AR,39,FALSE)="#N/A Field Not Applicable",VLOOKUP(A556,bond!F:AR,38,FALSE),IFERROR(VLOOKUP(A556,'7_發行日例外'!A:B,2,FALSE),VLOOKUP(A556,bond!F:AR,39,FALSE)))</f>
        <v>#N/A</v>
      </c>
      <c r="AM556" s="136" t="e">
        <f ca="1">VLOOKUP(B556,bond!B:AK,36,FALSE)</f>
        <v>#N/A</v>
      </c>
      <c r="AN556" s="136" t="str">
        <f ca="1">IFERROR(VLOOKUP(B556,'3_是否下架'!A:A,1,FALSE),"")</f>
        <v/>
      </c>
      <c r="AO556" s="136" t="e">
        <f ca="1">VLOOKUP(B556,bond!B:J,9,FALSE)</f>
        <v>#N/A</v>
      </c>
      <c r="AP556" s="136" t="e">
        <f ca="1">VLOOKUP(B556,bond!B:V,21,FALSE)</f>
        <v>#N/A</v>
      </c>
    </row>
    <row r="557" spans="1:42">
      <c r="A557" s="141">
        <f>bond!F558</f>
        <v>0</v>
      </c>
      <c r="B557" s="151">
        <f ca="1">IF($C$1=TRUE,bond!B558,"")</f>
        <v>0</v>
      </c>
      <c r="C557" s="95" t="e">
        <f>VLOOKUP(A557,bond!F:G,2,FALSE)</f>
        <v>#N/A</v>
      </c>
      <c r="D557" s="142" t="e">
        <f ca="1">VLOOKUP(B557,bond!B:C,2,FALSE)</f>
        <v>#N/A</v>
      </c>
      <c r="E557" s="95" t="e">
        <f ca="1">VLOOKUP(B557,bond!B:D,3,FALSE)</f>
        <v>#N/A</v>
      </c>
      <c r="F557" s="99" t="e">
        <f ca="1">VLOOKUP(B557,bond!B:AB,27,FALSE)</f>
        <v>#N/A</v>
      </c>
      <c r="G557" s="90" t="e">
        <f ca="1">VLOOKUP(B557,bond!B:E,4,FALSE)</f>
        <v>#N/A</v>
      </c>
      <c r="H557" s="202" t="e">
        <f ca="1">VLOOKUP(B557,bond!B:Y,24,FALSE)</f>
        <v>#N/A</v>
      </c>
      <c r="I557" s="95" t="e">
        <f ca="1">VLOOKUP(B557,bond!B:Z,25,FALSE)</f>
        <v>#N/A</v>
      </c>
      <c r="J557" s="180" t="e">
        <f ca="1">VLOOKUP(B557,bond!B:K,10,FALSE)</f>
        <v>#N/A</v>
      </c>
      <c r="K557" s="96" t="e">
        <f ca="1">VLOOKUP($B557,bond!B:S,14,FALSE)</f>
        <v>#N/A</v>
      </c>
      <c r="L557" s="91" t="e">
        <f ca="1">VLOOKUP(B557,bond!B:H,7,FALSE)</f>
        <v>#N/A</v>
      </c>
      <c r="M557" s="144" t="e">
        <f ca="1">VLOOKUP($B557,bond!$B:$Q,16,FALSE)</f>
        <v>#N/A</v>
      </c>
      <c r="N557" s="136" t="e">
        <f ca="1">VALUE(LEFT(VLOOKUP(B557,bond!B:R,17,FALSE),SEARCH(" ",VLOOKUP(B557,bond!B:R,17,FALSE),1)))</f>
        <v>#N/A</v>
      </c>
      <c r="O557" s="136" t="e">
        <f ca="1">VALUE(RIGHT(VLOOKUP(B557,bond!B:R,17,FALSE),LEN(VLOOKUP(B557,bond!B:R,17,FALSE))-LEN(N557)-3))</f>
        <v>#N/A</v>
      </c>
      <c r="P557" s="135" t="e">
        <f ca="1">VLOOKUP($B557,bond!$B:$AG,32,FALSE)</f>
        <v>#N/A</v>
      </c>
      <c r="Q557" s="135" t="e">
        <f ca="1">VLOOKUP($B557,bond!$B:$AH,33,FALSE)</f>
        <v>#N/A</v>
      </c>
      <c r="R557" s="135" t="e">
        <f ca="1">VLOOKUP(B557,bond!B:AA,26,FALSE)</f>
        <v>#N/A</v>
      </c>
      <c r="S557" s="135" t="e">
        <f ca="1">VLOOKUP(B557,bond!B:AI,34,FALSE)</f>
        <v>#N/A</v>
      </c>
      <c r="T557" s="135" t="e">
        <f t="shared" ca="1" si="56"/>
        <v>#N/A</v>
      </c>
      <c r="U557" s="207" t="e">
        <f ca="1">IFERROR(VLOOKUP(T557,Bond_DES!D:E,2,FALSE),VLOOKUP(S557,bond!AI:AJ,2,FALSE))</f>
        <v>#N/A</v>
      </c>
      <c r="V557" s="136" t="e">
        <f ca="1">IFERROR(VLOOKUP(B557,'1_重設數據'!L:M,2,FALSE),IF(Q557="政府",IF(AD557&gt;16,"(NPI)非專投",IF(AD557&gt;10,"(PI)專投","高資產")),IF(VLOOKUP(B557,bond!B:AN,39,FALSE)="Y","(PI)專投",IF(AD557&gt;=15,"(NPI)非專投",IF(AD557&gt;=10,"(PI)專投","高資產")))))</f>
        <v>#N/A</v>
      </c>
      <c r="W557" s="136" t="e">
        <f ca="1">VLOOKUP(AD557,'credit rating'!$F$2:$H$22,3,FALSE)</f>
        <v>#N/A</v>
      </c>
      <c r="X557" s="136" t="e">
        <f t="shared" ca="1" si="57"/>
        <v>#N/A</v>
      </c>
      <c r="Y557" s="136" t="e">
        <f t="shared" ca="1" si="58"/>
        <v>#N/A</v>
      </c>
      <c r="Z557" s="136" t="e">
        <f t="shared" ca="1" si="59"/>
        <v>#N/A</v>
      </c>
      <c r="AA557" s="134">
        <f ca="1">IFERROR(VLOOKUP(X557,'credit rating'!A:C,3,FALSE),0)</f>
        <v>0</v>
      </c>
      <c r="AB557" s="134">
        <f ca="1">IFERROR(VLOOKUP(Y557,'credit rating'!B:C,2,FALSE),0)</f>
        <v>0</v>
      </c>
      <c r="AC557" s="136">
        <f ca="1">IFERROR(VLOOKUP(Z557,'credit rating'!B:C,2,FALSE),0)</f>
        <v>0</v>
      </c>
      <c r="AD557" s="136">
        <f t="shared" ca="1" si="60"/>
        <v>0</v>
      </c>
      <c r="AE557" s="249" t="str">
        <f ca="1">IFERROR(VLOOKUP(B557,bond!B:U,20,FALSE),"")</f>
        <v/>
      </c>
      <c r="AF557" s="136" t="e">
        <f ca="1">IF(VLOOKUP(B557,bond!B:AK,36,FALSE)="#N/A Field Not Applicable","",VLOOKUP(B557,bond!B:AK,36,FALSE))</f>
        <v>#N/A</v>
      </c>
      <c r="AG557" s="136" t="e">
        <f ca="1">IF(VLOOKUP(B557,bond!B:AL,37,FALSE)="FIXED","固定",IF(VLOOKUP(B557,bond!B:AL,37,FALSE)="FLOATING","浮動",IF(VLOOKUP(B557,bond!B:AL,37,FALSE)="VARIABLE","變動",IF(VLOOKUP(B557,bond!B:AL,37,FALSE)="FLAT TRADING","不含息交易",IF(VLOOKUP(B557,bond!B:AL,37,FALSE)="ZERO COUPON","零息",VLOOKUP(B557,bond!B:AL,37,FALSE))))))</f>
        <v>#N/A</v>
      </c>
      <c r="AH557" s="136" t="e">
        <f>VLOOKUP(C557,'2_Check_code'!I:J,2,FALSE)</f>
        <v>#N/A</v>
      </c>
      <c r="AI557" s="136" t="e">
        <f t="shared" ca="1" si="61"/>
        <v>#N/A</v>
      </c>
      <c r="AJ557" s="136" t="e">
        <f t="shared" ca="1" si="62"/>
        <v>#N/A</v>
      </c>
      <c r="AK557" s="594" t="e">
        <f ca="1">IF(VLOOKUP(B557,bond!B:S,18,FALSE)="是","有",IF(VLOOKUP(B557,bond!B:S,18,FALSE)="NO OFFER","無","需查詢"))</f>
        <v>#N/A</v>
      </c>
      <c r="AL557" s="136" t="e">
        <f>IF(VLOOKUP(A557,bond!F:AR,39,FALSE)="#N/A Field Not Applicable",VLOOKUP(A557,bond!F:AR,38,FALSE),IFERROR(VLOOKUP(A557,'7_發行日例外'!A:B,2,FALSE),VLOOKUP(A557,bond!F:AR,39,FALSE)))</f>
        <v>#N/A</v>
      </c>
      <c r="AM557" s="136" t="e">
        <f ca="1">VLOOKUP(B557,bond!B:AK,36,FALSE)</f>
        <v>#N/A</v>
      </c>
      <c r="AN557" s="136" t="str">
        <f ca="1">IFERROR(VLOOKUP(B557,'3_是否下架'!A:A,1,FALSE),"")</f>
        <v/>
      </c>
      <c r="AO557" s="136" t="e">
        <f ca="1">VLOOKUP(B557,bond!B:J,9,FALSE)</f>
        <v>#N/A</v>
      </c>
      <c r="AP557" s="136" t="e">
        <f ca="1">VLOOKUP(B557,bond!B:V,21,FALSE)</f>
        <v>#N/A</v>
      </c>
    </row>
    <row r="558" spans="1:42">
      <c r="A558" s="141">
        <f>bond!F559</f>
        <v>0</v>
      </c>
      <c r="B558" s="151">
        <f ca="1">IF($C$1=TRUE,bond!B559,"")</f>
        <v>0</v>
      </c>
      <c r="C558" s="95" t="e">
        <f>VLOOKUP(A558,bond!F:G,2,FALSE)</f>
        <v>#N/A</v>
      </c>
      <c r="D558" s="142" t="e">
        <f ca="1">VLOOKUP(B558,bond!B:C,2,FALSE)</f>
        <v>#N/A</v>
      </c>
      <c r="E558" s="95" t="e">
        <f ca="1">VLOOKUP(B558,bond!B:D,3,FALSE)</f>
        <v>#N/A</v>
      </c>
      <c r="F558" s="99" t="e">
        <f ca="1">VLOOKUP(B558,bond!B:AB,27,FALSE)</f>
        <v>#N/A</v>
      </c>
      <c r="G558" s="90" t="e">
        <f ca="1">VLOOKUP(B558,bond!B:E,4,FALSE)</f>
        <v>#N/A</v>
      </c>
      <c r="H558" s="202" t="e">
        <f ca="1">VLOOKUP(B558,bond!B:Y,24,FALSE)</f>
        <v>#N/A</v>
      </c>
      <c r="I558" s="95" t="e">
        <f ca="1">VLOOKUP(B558,bond!B:Z,25,FALSE)</f>
        <v>#N/A</v>
      </c>
      <c r="J558" s="180" t="e">
        <f ca="1">VLOOKUP(B558,bond!B:K,10,FALSE)</f>
        <v>#N/A</v>
      </c>
      <c r="K558" s="96" t="e">
        <f ca="1">VLOOKUP($B558,bond!B:S,14,FALSE)</f>
        <v>#N/A</v>
      </c>
      <c r="L558" s="91" t="e">
        <f ca="1">VLOOKUP(B558,bond!B:H,7,FALSE)</f>
        <v>#N/A</v>
      </c>
      <c r="M558" s="144" t="e">
        <f ca="1">VLOOKUP($B558,bond!$B:$Q,16,FALSE)</f>
        <v>#N/A</v>
      </c>
      <c r="N558" s="136" t="e">
        <f ca="1">VALUE(LEFT(VLOOKUP(B558,bond!B:R,17,FALSE),SEARCH(" ",VLOOKUP(B558,bond!B:R,17,FALSE),1)))</f>
        <v>#N/A</v>
      </c>
      <c r="O558" s="136" t="e">
        <f ca="1">VALUE(RIGHT(VLOOKUP(B558,bond!B:R,17,FALSE),LEN(VLOOKUP(B558,bond!B:R,17,FALSE))-LEN(N558)-3))</f>
        <v>#N/A</v>
      </c>
      <c r="P558" s="135" t="e">
        <f ca="1">VLOOKUP($B558,bond!$B:$AG,32,FALSE)</f>
        <v>#N/A</v>
      </c>
      <c r="Q558" s="135" t="e">
        <f ca="1">VLOOKUP($B558,bond!$B:$AH,33,FALSE)</f>
        <v>#N/A</v>
      </c>
      <c r="R558" s="135" t="e">
        <f ca="1">VLOOKUP(B558,bond!B:AA,26,FALSE)</f>
        <v>#N/A</v>
      </c>
      <c r="S558" s="135" t="e">
        <f ca="1">VLOOKUP(B558,bond!B:AI,34,FALSE)</f>
        <v>#N/A</v>
      </c>
      <c r="T558" s="135" t="e">
        <f t="shared" ca="1" si="56"/>
        <v>#N/A</v>
      </c>
      <c r="U558" s="207" t="e">
        <f ca="1">IFERROR(VLOOKUP(T558,Bond_DES!D:E,2,FALSE),VLOOKUP(S558,bond!AI:AJ,2,FALSE))</f>
        <v>#N/A</v>
      </c>
      <c r="V558" s="136" t="e">
        <f ca="1">IFERROR(VLOOKUP(B558,'1_重設數據'!L:M,2,FALSE),IF(Q558="政府",IF(AD558&gt;16,"(NPI)非專投",IF(AD558&gt;10,"(PI)專投","高資產")),IF(VLOOKUP(B558,bond!B:AN,39,FALSE)="Y","(PI)專投",IF(AD558&gt;=15,"(NPI)非專投",IF(AD558&gt;=10,"(PI)專投","高資產")))))</f>
        <v>#N/A</v>
      </c>
      <c r="W558" s="136" t="e">
        <f ca="1">VLOOKUP(AD558,'credit rating'!$F$2:$H$22,3,FALSE)</f>
        <v>#N/A</v>
      </c>
      <c r="X558" s="136" t="e">
        <f t="shared" ca="1" si="57"/>
        <v>#N/A</v>
      </c>
      <c r="Y558" s="136" t="e">
        <f t="shared" ca="1" si="58"/>
        <v>#N/A</v>
      </c>
      <c r="Z558" s="136" t="e">
        <f t="shared" ca="1" si="59"/>
        <v>#N/A</v>
      </c>
      <c r="AA558" s="134">
        <f ca="1">IFERROR(VLOOKUP(X558,'credit rating'!A:C,3,FALSE),0)</f>
        <v>0</v>
      </c>
      <c r="AB558" s="134">
        <f ca="1">IFERROR(VLOOKUP(Y558,'credit rating'!B:C,2,FALSE),0)</f>
        <v>0</v>
      </c>
      <c r="AC558" s="136">
        <f ca="1">IFERROR(VLOOKUP(Z558,'credit rating'!B:C,2,FALSE),0)</f>
        <v>0</v>
      </c>
      <c r="AD558" s="136">
        <f t="shared" ca="1" si="60"/>
        <v>0</v>
      </c>
      <c r="AE558" s="249" t="str">
        <f ca="1">IFERROR(VLOOKUP(B558,bond!B:U,20,FALSE),"")</f>
        <v/>
      </c>
      <c r="AF558" s="136" t="e">
        <f ca="1">IF(VLOOKUP(B558,bond!B:AK,36,FALSE)="#N/A Field Not Applicable","",VLOOKUP(B558,bond!B:AK,36,FALSE))</f>
        <v>#N/A</v>
      </c>
      <c r="AG558" s="136" t="e">
        <f ca="1">IF(VLOOKUP(B558,bond!B:AL,37,FALSE)="FIXED","固定",IF(VLOOKUP(B558,bond!B:AL,37,FALSE)="FLOATING","浮動",IF(VLOOKUP(B558,bond!B:AL,37,FALSE)="VARIABLE","變動",IF(VLOOKUP(B558,bond!B:AL,37,FALSE)="FLAT TRADING","不含息交易",IF(VLOOKUP(B558,bond!B:AL,37,FALSE)="ZERO COUPON","零息",VLOOKUP(B558,bond!B:AL,37,FALSE))))))</f>
        <v>#N/A</v>
      </c>
      <c r="AH558" s="136" t="e">
        <f>VLOOKUP(C558,'2_Check_code'!I:J,2,FALSE)</f>
        <v>#N/A</v>
      </c>
      <c r="AI558" s="136" t="e">
        <f t="shared" ca="1" si="61"/>
        <v>#N/A</v>
      </c>
      <c r="AJ558" s="136" t="e">
        <f t="shared" ca="1" si="62"/>
        <v>#N/A</v>
      </c>
      <c r="AK558" s="594" t="e">
        <f ca="1">IF(VLOOKUP(B558,bond!B:S,18,FALSE)="是","有",IF(VLOOKUP(B558,bond!B:S,18,FALSE)="NO OFFER","無","需查詢"))</f>
        <v>#N/A</v>
      </c>
      <c r="AL558" s="136" t="e">
        <f>IF(VLOOKUP(A558,bond!F:AR,39,FALSE)="#N/A Field Not Applicable",VLOOKUP(A558,bond!F:AR,38,FALSE),IFERROR(VLOOKUP(A558,'7_發行日例外'!A:B,2,FALSE),VLOOKUP(A558,bond!F:AR,39,FALSE)))</f>
        <v>#N/A</v>
      </c>
      <c r="AM558" s="136" t="e">
        <f ca="1">VLOOKUP(B558,bond!B:AK,36,FALSE)</f>
        <v>#N/A</v>
      </c>
      <c r="AN558" s="136" t="str">
        <f ca="1">IFERROR(VLOOKUP(B558,'3_是否下架'!A:A,1,FALSE),"")</f>
        <v/>
      </c>
      <c r="AO558" s="136" t="e">
        <f ca="1">VLOOKUP(B558,bond!B:J,9,FALSE)</f>
        <v>#N/A</v>
      </c>
      <c r="AP558" s="136" t="e">
        <f ca="1">VLOOKUP(B558,bond!B:V,21,FALSE)</f>
        <v>#N/A</v>
      </c>
    </row>
    <row r="559" spans="1:42">
      <c r="A559" s="141">
        <f>bond!F560</f>
        <v>0</v>
      </c>
      <c r="B559" s="151">
        <f ca="1">IF($C$1=TRUE,bond!B560,"")</f>
        <v>0</v>
      </c>
      <c r="C559" s="95" t="e">
        <f>VLOOKUP(A559,bond!F:G,2,FALSE)</f>
        <v>#N/A</v>
      </c>
      <c r="D559" s="142" t="e">
        <f ca="1">VLOOKUP(B559,bond!B:C,2,FALSE)</f>
        <v>#N/A</v>
      </c>
      <c r="E559" s="95" t="e">
        <f ca="1">VLOOKUP(B559,bond!B:D,3,FALSE)</f>
        <v>#N/A</v>
      </c>
      <c r="F559" s="99" t="e">
        <f ca="1">VLOOKUP(B559,bond!B:AB,27,FALSE)</f>
        <v>#N/A</v>
      </c>
      <c r="G559" s="90" t="e">
        <f ca="1">VLOOKUP(B559,bond!B:E,4,FALSE)</f>
        <v>#N/A</v>
      </c>
      <c r="H559" s="202" t="e">
        <f ca="1">VLOOKUP(B559,bond!B:Y,24,FALSE)</f>
        <v>#N/A</v>
      </c>
      <c r="I559" s="95" t="e">
        <f ca="1">VLOOKUP(B559,bond!B:Z,25,FALSE)</f>
        <v>#N/A</v>
      </c>
      <c r="J559" s="180" t="e">
        <f ca="1">VLOOKUP(B559,bond!B:K,10,FALSE)</f>
        <v>#N/A</v>
      </c>
      <c r="K559" s="96" t="e">
        <f ca="1">VLOOKUP($B559,bond!B:S,14,FALSE)</f>
        <v>#N/A</v>
      </c>
      <c r="L559" s="91" t="e">
        <f ca="1">VLOOKUP(B559,bond!B:H,7,FALSE)</f>
        <v>#N/A</v>
      </c>
      <c r="M559" s="144" t="e">
        <f ca="1">VLOOKUP($B559,bond!$B:$Q,16,FALSE)</f>
        <v>#N/A</v>
      </c>
      <c r="N559" s="136" t="e">
        <f ca="1">VALUE(LEFT(VLOOKUP(B559,bond!B:R,17,FALSE),SEARCH(" ",VLOOKUP(B559,bond!B:R,17,FALSE),1)))</f>
        <v>#N/A</v>
      </c>
      <c r="O559" s="136" t="e">
        <f ca="1">VALUE(RIGHT(VLOOKUP(B559,bond!B:R,17,FALSE),LEN(VLOOKUP(B559,bond!B:R,17,FALSE))-LEN(N559)-3))</f>
        <v>#N/A</v>
      </c>
      <c r="P559" s="135" t="e">
        <f ca="1">VLOOKUP($B559,bond!$B:$AG,32,FALSE)</f>
        <v>#N/A</v>
      </c>
      <c r="Q559" s="135" t="e">
        <f ca="1">VLOOKUP($B559,bond!$B:$AH,33,FALSE)</f>
        <v>#N/A</v>
      </c>
      <c r="R559" s="135" t="e">
        <f ca="1">VLOOKUP(B559,bond!B:AA,26,FALSE)</f>
        <v>#N/A</v>
      </c>
      <c r="S559" s="135" t="e">
        <f ca="1">VLOOKUP(B559,bond!B:AI,34,FALSE)</f>
        <v>#N/A</v>
      </c>
      <c r="T559" s="135" t="e">
        <f t="shared" ca="1" si="56"/>
        <v>#N/A</v>
      </c>
      <c r="U559" s="207" t="e">
        <f ca="1">IFERROR(VLOOKUP(T559,Bond_DES!D:E,2,FALSE),VLOOKUP(S559,bond!AI:AJ,2,FALSE))</f>
        <v>#N/A</v>
      </c>
      <c r="V559" s="136" t="e">
        <f ca="1">IFERROR(VLOOKUP(B559,'1_重設數據'!L:M,2,FALSE),IF(Q559="政府",IF(AD559&gt;16,"(NPI)非專投",IF(AD559&gt;10,"(PI)專投","高資產")),IF(VLOOKUP(B559,bond!B:AN,39,FALSE)="Y","(PI)專投",IF(AD559&gt;=15,"(NPI)非專投",IF(AD559&gt;=10,"(PI)專投","高資產")))))</f>
        <v>#N/A</v>
      </c>
      <c r="W559" s="136" t="e">
        <f ca="1">VLOOKUP(AD559,'credit rating'!$F$2:$H$22,3,FALSE)</f>
        <v>#N/A</v>
      </c>
      <c r="X559" s="136" t="e">
        <f t="shared" ca="1" si="57"/>
        <v>#N/A</v>
      </c>
      <c r="Y559" s="136" t="e">
        <f t="shared" ca="1" si="58"/>
        <v>#N/A</v>
      </c>
      <c r="Z559" s="136" t="e">
        <f t="shared" ca="1" si="59"/>
        <v>#N/A</v>
      </c>
      <c r="AA559" s="134">
        <f ca="1">IFERROR(VLOOKUP(X559,'credit rating'!A:C,3,FALSE),0)</f>
        <v>0</v>
      </c>
      <c r="AB559" s="134">
        <f ca="1">IFERROR(VLOOKUP(Y559,'credit rating'!B:C,2,FALSE),0)</f>
        <v>0</v>
      </c>
      <c r="AC559" s="136">
        <f ca="1">IFERROR(VLOOKUP(Z559,'credit rating'!B:C,2,FALSE),0)</f>
        <v>0</v>
      </c>
      <c r="AD559" s="136">
        <f t="shared" ca="1" si="60"/>
        <v>0</v>
      </c>
      <c r="AE559" s="249" t="str">
        <f ca="1">IFERROR(VLOOKUP(B559,bond!B:U,20,FALSE),"")</f>
        <v/>
      </c>
      <c r="AF559" s="136" t="e">
        <f ca="1">IF(VLOOKUP(B559,bond!B:AK,36,FALSE)="#N/A Field Not Applicable","",VLOOKUP(B559,bond!B:AK,36,FALSE))</f>
        <v>#N/A</v>
      </c>
      <c r="AG559" s="136" t="e">
        <f ca="1">IF(VLOOKUP(B559,bond!B:AL,37,FALSE)="FIXED","固定",IF(VLOOKUP(B559,bond!B:AL,37,FALSE)="FLOATING","浮動",IF(VLOOKUP(B559,bond!B:AL,37,FALSE)="VARIABLE","變動",IF(VLOOKUP(B559,bond!B:AL,37,FALSE)="FLAT TRADING","不含息交易",IF(VLOOKUP(B559,bond!B:AL,37,FALSE)="ZERO COUPON","零息",VLOOKUP(B559,bond!B:AL,37,FALSE))))))</f>
        <v>#N/A</v>
      </c>
      <c r="AH559" s="136" t="e">
        <f>VLOOKUP(C559,'2_Check_code'!I:J,2,FALSE)</f>
        <v>#N/A</v>
      </c>
      <c r="AI559" s="136" t="e">
        <f t="shared" ca="1" si="61"/>
        <v>#N/A</v>
      </c>
      <c r="AJ559" s="136" t="e">
        <f t="shared" ca="1" si="62"/>
        <v>#N/A</v>
      </c>
      <c r="AK559" s="594" t="e">
        <f ca="1">IF(VLOOKUP(B559,bond!B:S,18,FALSE)="是","有",IF(VLOOKUP(B559,bond!B:S,18,FALSE)="NO OFFER","無","需查詢"))</f>
        <v>#N/A</v>
      </c>
      <c r="AL559" s="136" t="e">
        <f>IF(VLOOKUP(A559,bond!F:AR,39,FALSE)="#N/A Field Not Applicable",VLOOKUP(A559,bond!F:AR,38,FALSE),IFERROR(VLOOKUP(A559,'7_發行日例外'!A:B,2,FALSE),VLOOKUP(A559,bond!F:AR,39,FALSE)))</f>
        <v>#N/A</v>
      </c>
      <c r="AM559" s="136" t="e">
        <f ca="1">VLOOKUP(B559,bond!B:AK,36,FALSE)</f>
        <v>#N/A</v>
      </c>
      <c r="AN559" s="136" t="str">
        <f ca="1">IFERROR(VLOOKUP(B559,'3_是否下架'!A:A,1,FALSE),"")</f>
        <v/>
      </c>
      <c r="AO559" s="136" t="e">
        <f ca="1">VLOOKUP(B559,bond!B:J,9,FALSE)</f>
        <v>#N/A</v>
      </c>
      <c r="AP559" s="136" t="e">
        <f ca="1">VLOOKUP(B559,bond!B:V,21,FALSE)</f>
        <v>#N/A</v>
      </c>
    </row>
    <row r="560" spans="1:42">
      <c r="A560" s="141">
        <f>bond!F561</f>
        <v>0</v>
      </c>
      <c r="B560" s="151">
        <f ca="1">IF($C$1=TRUE,bond!B561,"")</f>
        <v>0</v>
      </c>
      <c r="C560" s="95" t="e">
        <f>VLOOKUP(A560,bond!F:G,2,FALSE)</f>
        <v>#N/A</v>
      </c>
      <c r="D560" s="142" t="e">
        <f ca="1">VLOOKUP(B560,bond!B:C,2,FALSE)</f>
        <v>#N/A</v>
      </c>
      <c r="E560" s="95" t="e">
        <f ca="1">VLOOKUP(B560,bond!B:D,3,FALSE)</f>
        <v>#N/A</v>
      </c>
      <c r="F560" s="99" t="e">
        <f ca="1">VLOOKUP(B560,bond!B:AB,27,FALSE)</f>
        <v>#N/A</v>
      </c>
      <c r="G560" s="90" t="e">
        <f ca="1">VLOOKUP(B560,bond!B:E,4,FALSE)</f>
        <v>#N/A</v>
      </c>
      <c r="H560" s="202" t="e">
        <f ca="1">VLOOKUP(B560,bond!B:Y,24,FALSE)</f>
        <v>#N/A</v>
      </c>
      <c r="I560" s="95" t="e">
        <f ca="1">VLOOKUP(B560,bond!B:Z,25,FALSE)</f>
        <v>#N/A</v>
      </c>
      <c r="J560" s="180" t="e">
        <f ca="1">VLOOKUP(B560,bond!B:K,10,FALSE)</f>
        <v>#N/A</v>
      </c>
      <c r="K560" s="96" t="e">
        <f ca="1">VLOOKUP($B560,bond!B:S,14,FALSE)</f>
        <v>#N/A</v>
      </c>
      <c r="L560" s="91" t="e">
        <f ca="1">VLOOKUP(B560,bond!B:H,7,FALSE)</f>
        <v>#N/A</v>
      </c>
      <c r="M560" s="144" t="e">
        <f ca="1">VLOOKUP($B560,bond!$B:$Q,16,FALSE)</f>
        <v>#N/A</v>
      </c>
      <c r="N560" s="136" t="e">
        <f ca="1">VALUE(LEFT(VLOOKUP(B560,bond!B:R,17,FALSE),SEARCH(" ",VLOOKUP(B560,bond!B:R,17,FALSE),1)))</f>
        <v>#N/A</v>
      </c>
      <c r="O560" s="136" t="e">
        <f ca="1">VALUE(RIGHT(VLOOKUP(B560,bond!B:R,17,FALSE),LEN(VLOOKUP(B560,bond!B:R,17,FALSE))-LEN(N560)-3))</f>
        <v>#N/A</v>
      </c>
      <c r="P560" s="135" t="e">
        <f ca="1">VLOOKUP($B560,bond!$B:$AG,32,FALSE)</f>
        <v>#N/A</v>
      </c>
      <c r="Q560" s="135" t="e">
        <f ca="1">VLOOKUP($B560,bond!$B:$AH,33,FALSE)</f>
        <v>#N/A</v>
      </c>
      <c r="R560" s="135" t="e">
        <f ca="1">VLOOKUP(B560,bond!B:AA,26,FALSE)</f>
        <v>#N/A</v>
      </c>
      <c r="S560" s="135" t="e">
        <f ca="1">VLOOKUP(B560,bond!B:AI,34,FALSE)</f>
        <v>#N/A</v>
      </c>
      <c r="T560" s="135" t="e">
        <f t="shared" ca="1" si="56"/>
        <v>#N/A</v>
      </c>
      <c r="U560" s="207" t="e">
        <f ca="1">IFERROR(VLOOKUP(T560,Bond_DES!D:E,2,FALSE),VLOOKUP(S560,bond!AI:AJ,2,FALSE))</f>
        <v>#N/A</v>
      </c>
      <c r="V560" s="136" t="e">
        <f ca="1">IFERROR(VLOOKUP(B560,'1_重設數據'!L:M,2,FALSE),IF(Q560="政府",IF(AD560&gt;16,"(NPI)非專投",IF(AD560&gt;10,"(PI)專投","高資產")),IF(VLOOKUP(B560,bond!B:AN,39,FALSE)="Y","(PI)專投",IF(AD560&gt;=15,"(NPI)非專投",IF(AD560&gt;=10,"(PI)專投","高資產")))))</f>
        <v>#N/A</v>
      </c>
      <c r="W560" s="136" t="e">
        <f ca="1">VLOOKUP(AD560,'credit rating'!$F$2:$H$22,3,FALSE)</f>
        <v>#N/A</v>
      </c>
      <c r="X560" s="136" t="e">
        <f t="shared" ca="1" si="57"/>
        <v>#N/A</v>
      </c>
      <c r="Y560" s="136" t="e">
        <f t="shared" ca="1" si="58"/>
        <v>#N/A</v>
      </c>
      <c r="Z560" s="136" t="e">
        <f t="shared" ca="1" si="59"/>
        <v>#N/A</v>
      </c>
      <c r="AA560" s="134">
        <f ca="1">IFERROR(VLOOKUP(X560,'credit rating'!A:C,3,FALSE),0)</f>
        <v>0</v>
      </c>
      <c r="AB560" s="134">
        <f ca="1">IFERROR(VLOOKUP(Y560,'credit rating'!B:C,2,FALSE),0)</f>
        <v>0</v>
      </c>
      <c r="AC560" s="136">
        <f ca="1">IFERROR(VLOOKUP(Z560,'credit rating'!B:C,2,FALSE),0)</f>
        <v>0</v>
      </c>
      <c r="AD560" s="136">
        <f t="shared" ca="1" si="60"/>
        <v>0</v>
      </c>
      <c r="AE560" s="249" t="str">
        <f ca="1">IFERROR(VLOOKUP(B560,bond!B:U,20,FALSE),"")</f>
        <v/>
      </c>
      <c r="AF560" s="136" t="e">
        <f ca="1">IF(VLOOKUP(B560,bond!B:AK,36,FALSE)="#N/A Field Not Applicable","",VLOOKUP(B560,bond!B:AK,36,FALSE))</f>
        <v>#N/A</v>
      </c>
      <c r="AG560" s="136" t="e">
        <f ca="1">IF(VLOOKUP(B560,bond!B:AL,37,FALSE)="FIXED","固定",IF(VLOOKUP(B560,bond!B:AL,37,FALSE)="FLOATING","浮動",IF(VLOOKUP(B560,bond!B:AL,37,FALSE)="VARIABLE","變動",IF(VLOOKUP(B560,bond!B:AL,37,FALSE)="FLAT TRADING","不含息交易",IF(VLOOKUP(B560,bond!B:AL,37,FALSE)="ZERO COUPON","零息",VLOOKUP(B560,bond!B:AL,37,FALSE))))))</f>
        <v>#N/A</v>
      </c>
      <c r="AH560" s="136" t="e">
        <f>VLOOKUP(C560,'2_Check_code'!I:J,2,FALSE)</f>
        <v>#N/A</v>
      </c>
      <c r="AI560" s="136" t="e">
        <f t="shared" ca="1" si="61"/>
        <v>#N/A</v>
      </c>
      <c r="AJ560" s="136" t="e">
        <f t="shared" ca="1" si="62"/>
        <v>#N/A</v>
      </c>
      <c r="AK560" s="594" t="e">
        <f ca="1">IF(VLOOKUP(B560,bond!B:S,18,FALSE)="是","有",IF(VLOOKUP(B560,bond!B:S,18,FALSE)="NO OFFER","無","需查詢"))</f>
        <v>#N/A</v>
      </c>
      <c r="AL560" s="136" t="e">
        <f>IF(VLOOKUP(A560,bond!F:AR,39,FALSE)="#N/A Field Not Applicable",VLOOKUP(A560,bond!F:AR,38,FALSE),IFERROR(VLOOKUP(A560,'7_發行日例外'!A:B,2,FALSE),VLOOKUP(A560,bond!F:AR,39,FALSE)))</f>
        <v>#N/A</v>
      </c>
      <c r="AM560" s="136" t="e">
        <f ca="1">VLOOKUP(B560,bond!B:AK,36,FALSE)</f>
        <v>#N/A</v>
      </c>
      <c r="AN560" s="136" t="str">
        <f ca="1">IFERROR(VLOOKUP(B560,'3_是否下架'!A:A,1,FALSE),"")</f>
        <v/>
      </c>
      <c r="AO560" s="136" t="e">
        <f ca="1">VLOOKUP(B560,bond!B:J,9,FALSE)</f>
        <v>#N/A</v>
      </c>
      <c r="AP560" s="136" t="e">
        <f ca="1">VLOOKUP(B560,bond!B:V,21,FALSE)</f>
        <v>#N/A</v>
      </c>
    </row>
    <row r="561" spans="1:42">
      <c r="A561" s="141">
        <f>bond!F562</f>
        <v>0</v>
      </c>
      <c r="B561" s="151">
        <f ca="1">IF($C$1=TRUE,bond!B562,"")</f>
        <v>0</v>
      </c>
      <c r="C561" s="95" t="e">
        <f>VLOOKUP(A561,bond!F:G,2,FALSE)</f>
        <v>#N/A</v>
      </c>
      <c r="D561" s="142" t="e">
        <f ca="1">VLOOKUP(B561,bond!B:C,2,FALSE)</f>
        <v>#N/A</v>
      </c>
      <c r="E561" s="95" t="e">
        <f ca="1">VLOOKUP(B561,bond!B:D,3,FALSE)</f>
        <v>#N/A</v>
      </c>
      <c r="F561" s="99" t="e">
        <f ca="1">VLOOKUP(B561,bond!B:AB,27,FALSE)</f>
        <v>#N/A</v>
      </c>
      <c r="G561" s="90" t="e">
        <f ca="1">VLOOKUP(B561,bond!B:E,4,FALSE)</f>
        <v>#N/A</v>
      </c>
      <c r="H561" s="202" t="e">
        <f ca="1">VLOOKUP(B561,bond!B:Y,24,FALSE)</f>
        <v>#N/A</v>
      </c>
      <c r="I561" s="95" t="e">
        <f ca="1">VLOOKUP(B561,bond!B:Z,25,FALSE)</f>
        <v>#N/A</v>
      </c>
      <c r="J561" s="180" t="e">
        <f ca="1">VLOOKUP(B561,bond!B:K,10,FALSE)</f>
        <v>#N/A</v>
      </c>
      <c r="K561" s="96" t="e">
        <f ca="1">VLOOKUP($B561,bond!B:S,14,FALSE)</f>
        <v>#N/A</v>
      </c>
      <c r="L561" s="91" t="e">
        <f ca="1">VLOOKUP(B561,bond!B:H,7,FALSE)</f>
        <v>#N/A</v>
      </c>
      <c r="M561" s="144" t="e">
        <f ca="1">VLOOKUP($B561,bond!$B:$Q,16,FALSE)</f>
        <v>#N/A</v>
      </c>
      <c r="N561" s="136" t="e">
        <f ca="1">VALUE(LEFT(VLOOKUP(B561,bond!B:R,17,FALSE),SEARCH(" ",VLOOKUP(B561,bond!B:R,17,FALSE),1)))</f>
        <v>#N/A</v>
      </c>
      <c r="O561" s="136" t="e">
        <f ca="1">VALUE(RIGHT(VLOOKUP(B561,bond!B:R,17,FALSE),LEN(VLOOKUP(B561,bond!B:R,17,FALSE))-LEN(N561)-3))</f>
        <v>#N/A</v>
      </c>
      <c r="P561" s="135" t="e">
        <f ca="1">VLOOKUP($B561,bond!$B:$AG,32,FALSE)</f>
        <v>#N/A</v>
      </c>
      <c r="Q561" s="135" t="e">
        <f ca="1">VLOOKUP($B561,bond!$B:$AH,33,FALSE)</f>
        <v>#N/A</v>
      </c>
      <c r="R561" s="135" t="e">
        <f ca="1">VLOOKUP(B561,bond!B:AA,26,FALSE)</f>
        <v>#N/A</v>
      </c>
      <c r="S561" s="135" t="e">
        <f ca="1">VLOOKUP(B561,bond!B:AI,34,FALSE)</f>
        <v>#N/A</v>
      </c>
      <c r="T561" s="135" t="e">
        <f t="shared" ca="1" si="56"/>
        <v>#N/A</v>
      </c>
      <c r="U561" s="207" t="e">
        <f ca="1">IFERROR(VLOOKUP(T561,Bond_DES!D:E,2,FALSE),VLOOKUP(S561,bond!AI:AJ,2,FALSE))</f>
        <v>#N/A</v>
      </c>
      <c r="V561" s="136" t="e">
        <f ca="1">IFERROR(VLOOKUP(B561,'1_重設數據'!L:M,2,FALSE),IF(Q561="政府",IF(AD561&gt;16,"(NPI)非專投",IF(AD561&gt;10,"(PI)專投","高資產")),IF(VLOOKUP(B561,bond!B:AN,39,FALSE)="Y","(PI)專投",IF(AD561&gt;=15,"(NPI)非專投",IF(AD561&gt;=10,"(PI)專投","高資產")))))</f>
        <v>#N/A</v>
      </c>
      <c r="W561" s="136" t="e">
        <f ca="1">VLOOKUP(AD561,'credit rating'!$F$2:$H$22,3,FALSE)</f>
        <v>#N/A</v>
      </c>
      <c r="X561" s="136" t="e">
        <f t="shared" ca="1" si="57"/>
        <v>#N/A</v>
      </c>
      <c r="Y561" s="136" t="e">
        <f t="shared" ca="1" si="58"/>
        <v>#N/A</v>
      </c>
      <c r="Z561" s="136" t="e">
        <f t="shared" ca="1" si="59"/>
        <v>#N/A</v>
      </c>
      <c r="AA561" s="134">
        <f ca="1">IFERROR(VLOOKUP(X561,'credit rating'!A:C,3,FALSE),0)</f>
        <v>0</v>
      </c>
      <c r="AB561" s="134">
        <f ca="1">IFERROR(VLOOKUP(Y561,'credit rating'!B:C,2,FALSE),0)</f>
        <v>0</v>
      </c>
      <c r="AC561" s="136">
        <f ca="1">IFERROR(VLOOKUP(Z561,'credit rating'!B:C,2,FALSE),0)</f>
        <v>0</v>
      </c>
      <c r="AD561" s="136">
        <f t="shared" ca="1" si="60"/>
        <v>0</v>
      </c>
      <c r="AE561" s="249" t="str">
        <f ca="1">IFERROR(VLOOKUP(B561,bond!B:U,20,FALSE),"")</f>
        <v/>
      </c>
      <c r="AF561" s="136" t="e">
        <f ca="1">IF(VLOOKUP(B561,bond!B:AK,36,FALSE)="#N/A Field Not Applicable","",VLOOKUP(B561,bond!B:AK,36,FALSE))</f>
        <v>#N/A</v>
      </c>
      <c r="AG561" s="136" t="e">
        <f ca="1">IF(VLOOKUP(B561,bond!B:AL,37,FALSE)="FIXED","固定",IF(VLOOKUP(B561,bond!B:AL,37,FALSE)="FLOATING","浮動",IF(VLOOKUP(B561,bond!B:AL,37,FALSE)="VARIABLE","變動",IF(VLOOKUP(B561,bond!B:AL,37,FALSE)="FLAT TRADING","不含息交易",IF(VLOOKUP(B561,bond!B:AL,37,FALSE)="ZERO COUPON","零息",VLOOKUP(B561,bond!B:AL,37,FALSE))))))</f>
        <v>#N/A</v>
      </c>
      <c r="AH561" s="136" t="e">
        <f>VLOOKUP(C561,'2_Check_code'!I:J,2,FALSE)</f>
        <v>#N/A</v>
      </c>
      <c r="AI561" s="136" t="e">
        <f t="shared" ca="1" si="61"/>
        <v>#N/A</v>
      </c>
      <c r="AJ561" s="136" t="e">
        <f t="shared" ca="1" si="62"/>
        <v>#N/A</v>
      </c>
      <c r="AK561" s="594" t="e">
        <f ca="1">IF(VLOOKUP(B561,bond!B:S,18,FALSE)="是","有",IF(VLOOKUP(B561,bond!B:S,18,FALSE)="NO OFFER","無","需查詢"))</f>
        <v>#N/A</v>
      </c>
      <c r="AL561" s="136" t="e">
        <f>IF(VLOOKUP(A561,bond!F:AR,39,FALSE)="#N/A Field Not Applicable",VLOOKUP(A561,bond!F:AR,38,FALSE),IFERROR(VLOOKUP(A561,'7_發行日例外'!A:B,2,FALSE),VLOOKUP(A561,bond!F:AR,39,FALSE)))</f>
        <v>#N/A</v>
      </c>
      <c r="AM561" s="136" t="e">
        <f ca="1">VLOOKUP(B561,bond!B:AK,36,FALSE)</f>
        <v>#N/A</v>
      </c>
      <c r="AN561" s="136" t="str">
        <f ca="1">IFERROR(VLOOKUP(B561,'3_是否下架'!A:A,1,FALSE),"")</f>
        <v/>
      </c>
      <c r="AO561" s="136" t="e">
        <f ca="1">VLOOKUP(B561,bond!B:J,9,FALSE)</f>
        <v>#N/A</v>
      </c>
      <c r="AP561" s="136" t="e">
        <f ca="1">VLOOKUP(B561,bond!B:V,21,FALSE)</f>
        <v>#N/A</v>
      </c>
    </row>
    <row r="562" spans="1:42">
      <c r="A562" s="141">
        <f>bond!F563</f>
        <v>0</v>
      </c>
      <c r="B562" s="151">
        <f ca="1">IF($C$1=TRUE,bond!B563,"")</f>
        <v>0</v>
      </c>
      <c r="C562" s="95" t="e">
        <f>VLOOKUP(A562,bond!F:G,2,FALSE)</f>
        <v>#N/A</v>
      </c>
      <c r="D562" s="142" t="e">
        <f ca="1">VLOOKUP(B562,bond!B:C,2,FALSE)</f>
        <v>#N/A</v>
      </c>
      <c r="E562" s="95" t="e">
        <f ca="1">VLOOKUP(B562,bond!B:D,3,FALSE)</f>
        <v>#N/A</v>
      </c>
      <c r="F562" s="99" t="e">
        <f ca="1">VLOOKUP(B562,bond!B:AB,27,FALSE)</f>
        <v>#N/A</v>
      </c>
      <c r="G562" s="90" t="e">
        <f ca="1">VLOOKUP(B562,bond!B:E,4,FALSE)</f>
        <v>#N/A</v>
      </c>
      <c r="H562" s="202" t="e">
        <f ca="1">VLOOKUP(B562,bond!B:Y,24,FALSE)</f>
        <v>#N/A</v>
      </c>
      <c r="I562" s="95" t="e">
        <f ca="1">VLOOKUP(B562,bond!B:Z,25,FALSE)</f>
        <v>#N/A</v>
      </c>
      <c r="J562" s="180" t="e">
        <f ca="1">VLOOKUP(B562,bond!B:K,10,FALSE)</f>
        <v>#N/A</v>
      </c>
      <c r="K562" s="96" t="e">
        <f ca="1">VLOOKUP($B562,bond!B:S,14,FALSE)</f>
        <v>#N/A</v>
      </c>
      <c r="L562" s="91" t="e">
        <f ca="1">VLOOKUP(B562,bond!B:H,7,FALSE)</f>
        <v>#N/A</v>
      </c>
      <c r="M562" s="144" t="e">
        <f ca="1">VLOOKUP($B562,bond!$B:$Q,16,FALSE)</f>
        <v>#N/A</v>
      </c>
      <c r="N562" s="136" t="e">
        <f ca="1">VALUE(LEFT(VLOOKUP(B562,bond!B:R,17,FALSE),SEARCH(" ",VLOOKUP(B562,bond!B:R,17,FALSE),1)))</f>
        <v>#N/A</v>
      </c>
      <c r="O562" s="136" t="e">
        <f ca="1">VALUE(RIGHT(VLOOKUP(B562,bond!B:R,17,FALSE),LEN(VLOOKUP(B562,bond!B:R,17,FALSE))-LEN(N562)-3))</f>
        <v>#N/A</v>
      </c>
      <c r="P562" s="135" t="e">
        <f ca="1">VLOOKUP($B562,bond!$B:$AG,32,FALSE)</f>
        <v>#N/A</v>
      </c>
      <c r="Q562" s="135" t="e">
        <f ca="1">VLOOKUP($B562,bond!$B:$AH,33,FALSE)</f>
        <v>#N/A</v>
      </c>
      <c r="R562" s="135" t="e">
        <f ca="1">VLOOKUP(B562,bond!B:AA,26,FALSE)</f>
        <v>#N/A</v>
      </c>
      <c r="S562" s="135" t="e">
        <f ca="1">VLOOKUP(B562,bond!B:AI,34,FALSE)</f>
        <v>#N/A</v>
      </c>
      <c r="T562" s="135" t="e">
        <f t="shared" ca="1" si="56"/>
        <v>#N/A</v>
      </c>
      <c r="U562" s="207" t="e">
        <f ca="1">IFERROR(VLOOKUP(T562,Bond_DES!D:E,2,FALSE),VLOOKUP(S562,bond!AI:AJ,2,FALSE))</f>
        <v>#N/A</v>
      </c>
      <c r="V562" s="136" t="e">
        <f ca="1">IFERROR(VLOOKUP(B562,'1_重設數據'!L:M,2,FALSE),IF(Q562="政府",IF(AD562&gt;16,"(NPI)非專投",IF(AD562&gt;10,"(PI)專投","高資產")),IF(VLOOKUP(B562,bond!B:AN,39,FALSE)="Y","(PI)專投",IF(AD562&gt;=15,"(NPI)非專投",IF(AD562&gt;=10,"(PI)專投","高資產")))))</f>
        <v>#N/A</v>
      </c>
      <c r="W562" s="136" t="e">
        <f ca="1">VLOOKUP(AD562,'credit rating'!$F$2:$H$22,3,FALSE)</f>
        <v>#N/A</v>
      </c>
      <c r="X562" s="136" t="e">
        <f t="shared" ca="1" si="57"/>
        <v>#N/A</v>
      </c>
      <c r="Y562" s="136" t="e">
        <f t="shared" ca="1" si="58"/>
        <v>#N/A</v>
      </c>
      <c r="Z562" s="136" t="e">
        <f t="shared" ca="1" si="59"/>
        <v>#N/A</v>
      </c>
      <c r="AA562" s="134">
        <f ca="1">IFERROR(VLOOKUP(X562,'credit rating'!A:C,3,FALSE),0)</f>
        <v>0</v>
      </c>
      <c r="AB562" s="134">
        <f ca="1">IFERROR(VLOOKUP(Y562,'credit rating'!B:C,2,FALSE),0)</f>
        <v>0</v>
      </c>
      <c r="AC562" s="136">
        <f ca="1">IFERROR(VLOOKUP(Z562,'credit rating'!B:C,2,FALSE),0)</f>
        <v>0</v>
      </c>
      <c r="AD562" s="136">
        <f t="shared" ca="1" si="60"/>
        <v>0</v>
      </c>
      <c r="AE562" s="249" t="str">
        <f ca="1">IFERROR(VLOOKUP(B562,bond!B:U,20,FALSE),"")</f>
        <v/>
      </c>
      <c r="AF562" s="136" t="e">
        <f ca="1">IF(VLOOKUP(B562,bond!B:AK,36,FALSE)="#N/A Field Not Applicable","",VLOOKUP(B562,bond!B:AK,36,FALSE))</f>
        <v>#N/A</v>
      </c>
      <c r="AG562" s="136" t="e">
        <f ca="1">IF(VLOOKUP(B562,bond!B:AL,37,FALSE)="FIXED","固定",IF(VLOOKUP(B562,bond!B:AL,37,FALSE)="FLOATING","浮動",IF(VLOOKUP(B562,bond!B:AL,37,FALSE)="VARIABLE","變動",IF(VLOOKUP(B562,bond!B:AL,37,FALSE)="FLAT TRADING","不含息交易",IF(VLOOKUP(B562,bond!B:AL,37,FALSE)="ZERO COUPON","零息",VLOOKUP(B562,bond!B:AL,37,FALSE))))))</f>
        <v>#N/A</v>
      </c>
      <c r="AH562" s="136" t="e">
        <f>VLOOKUP(C562,'2_Check_code'!I:J,2,FALSE)</f>
        <v>#N/A</v>
      </c>
      <c r="AI562" s="136" t="e">
        <f t="shared" ca="1" si="61"/>
        <v>#N/A</v>
      </c>
      <c r="AJ562" s="136" t="e">
        <f t="shared" ca="1" si="62"/>
        <v>#N/A</v>
      </c>
      <c r="AK562" s="594" t="e">
        <f ca="1">IF(VLOOKUP(B562,bond!B:S,18,FALSE)="是","有",IF(VLOOKUP(B562,bond!B:S,18,FALSE)="NO OFFER","無","需查詢"))</f>
        <v>#N/A</v>
      </c>
      <c r="AL562" s="136" t="e">
        <f>IF(VLOOKUP(A562,bond!F:AR,39,FALSE)="#N/A Field Not Applicable",VLOOKUP(A562,bond!F:AR,38,FALSE),IFERROR(VLOOKUP(A562,'7_發行日例外'!A:B,2,FALSE),VLOOKUP(A562,bond!F:AR,39,FALSE)))</f>
        <v>#N/A</v>
      </c>
      <c r="AM562" s="136" t="e">
        <f ca="1">VLOOKUP(B562,bond!B:AK,36,FALSE)</f>
        <v>#N/A</v>
      </c>
      <c r="AN562" s="136" t="str">
        <f ca="1">IFERROR(VLOOKUP(B562,'3_是否下架'!A:A,1,FALSE),"")</f>
        <v/>
      </c>
      <c r="AO562" s="136" t="e">
        <f ca="1">VLOOKUP(B562,bond!B:J,9,FALSE)</f>
        <v>#N/A</v>
      </c>
      <c r="AP562" s="136" t="e">
        <f ca="1">VLOOKUP(B562,bond!B:V,21,FALSE)</f>
        <v>#N/A</v>
      </c>
    </row>
    <row r="563" spans="1:42">
      <c r="A563" s="141">
        <f>bond!F564</f>
        <v>0</v>
      </c>
      <c r="B563" s="151">
        <f ca="1">IF($C$1=TRUE,bond!B564,"")</f>
        <v>0</v>
      </c>
      <c r="C563" s="95" t="e">
        <f>VLOOKUP(A563,bond!F:G,2,FALSE)</f>
        <v>#N/A</v>
      </c>
      <c r="D563" s="142" t="e">
        <f ca="1">VLOOKUP(B563,bond!B:C,2,FALSE)</f>
        <v>#N/A</v>
      </c>
      <c r="E563" s="95" t="e">
        <f ca="1">VLOOKUP(B563,bond!B:D,3,FALSE)</f>
        <v>#N/A</v>
      </c>
      <c r="F563" s="99" t="e">
        <f ca="1">VLOOKUP(B563,bond!B:AB,27,FALSE)</f>
        <v>#N/A</v>
      </c>
      <c r="G563" s="90" t="e">
        <f ca="1">VLOOKUP(B563,bond!B:E,4,FALSE)</f>
        <v>#N/A</v>
      </c>
      <c r="H563" s="202" t="e">
        <f ca="1">VLOOKUP(B563,bond!B:Y,24,FALSE)</f>
        <v>#N/A</v>
      </c>
      <c r="I563" s="95" t="e">
        <f ca="1">VLOOKUP(B563,bond!B:Z,25,FALSE)</f>
        <v>#N/A</v>
      </c>
      <c r="J563" s="180" t="e">
        <f ca="1">VLOOKUP(B563,bond!B:K,10,FALSE)</f>
        <v>#N/A</v>
      </c>
      <c r="K563" s="96" t="e">
        <f ca="1">VLOOKUP($B563,bond!B:S,14,FALSE)</f>
        <v>#N/A</v>
      </c>
      <c r="L563" s="91" t="e">
        <f ca="1">VLOOKUP(B563,bond!B:H,7,FALSE)</f>
        <v>#N/A</v>
      </c>
      <c r="M563" s="144" t="e">
        <f ca="1">VLOOKUP($B563,bond!$B:$Q,16,FALSE)</f>
        <v>#N/A</v>
      </c>
      <c r="N563" s="136" t="e">
        <f ca="1">VALUE(LEFT(VLOOKUP(B563,bond!B:R,17,FALSE),SEARCH(" ",VLOOKUP(B563,bond!B:R,17,FALSE),1)))</f>
        <v>#N/A</v>
      </c>
      <c r="O563" s="136" t="e">
        <f ca="1">VALUE(RIGHT(VLOOKUP(B563,bond!B:R,17,FALSE),LEN(VLOOKUP(B563,bond!B:R,17,FALSE))-LEN(N563)-3))</f>
        <v>#N/A</v>
      </c>
      <c r="P563" s="135" t="e">
        <f ca="1">VLOOKUP($B563,bond!$B:$AG,32,FALSE)</f>
        <v>#N/A</v>
      </c>
      <c r="Q563" s="135" t="e">
        <f ca="1">VLOOKUP($B563,bond!$B:$AH,33,FALSE)</f>
        <v>#N/A</v>
      </c>
      <c r="R563" s="135" t="e">
        <f ca="1">VLOOKUP(B563,bond!B:AA,26,FALSE)</f>
        <v>#N/A</v>
      </c>
      <c r="S563" s="135" t="e">
        <f ca="1">VLOOKUP(B563,bond!B:AI,34,FALSE)</f>
        <v>#N/A</v>
      </c>
      <c r="T563" s="135" t="e">
        <f t="shared" ca="1" si="56"/>
        <v>#N/A</v>
      </c>
      <c r="U563" s="207" t="e">
        <f ca="1">IFERROR(VLOOKUP(T563,Bond_DES!D:E,2,FALSE),VLOOKUP(S563,bond!AI:AJ,2,FALSE))</f>
        <v>#N/A</v>
      </c>
      <c r="V563" s="136" t="e">
        <f ca="1">IFERROR(VLOOKUP(B563,'1_重設數據'!L:M,2,FALSE),IF(Q563="政府",IF(AD563&gt;16,"(NPI)非專投",IF(AD563&gt;10,"(PI)專投","高資產")),IF(VLOOKUP(B563,bond!B:AN,39,FALSE)="Y","(PI)專投",IF(AD563&gt;=15,"(NPI)非專投",IF(AD563&gt;=10,"(PI)專投","高資產")))))</f>
        <v>#N/A</v>
      </c>
      <c r="W563" s="136" t="e">
        <f ca="1">VLOOKUP(AD563,'credit rating'!$F$2:$H$22,3,FALSE)</f>
        <v>#N/A</v>
      </c>
      <c r="X563" s="136" t="e">
        <f t="shared" ca="1" si="57"/>
        <v>#N/A</v>
      </c>
      <c r="Y563" s="136" t="e">
        <f t="shared" ca="1" si="58"/>
        <v>#N/A</v>
      </c>
      <c r="Z563" s="136" t="e">
        <f t="shared" ca="1" si="59"/>
        <v>#N/A</v>
      </c>
      <c r="AA563" s="134">
        <f ca="1">IFERROR(VLOOKUP(X563,'credit rating'!A:C,3,FALSE),0)</f>
        <v>0</v>
      </c>
      <c r="AB563" s="134">
        <f ca="1">IFERROR(VLOOKUP(Y563,'credit rating'!B:C,2,FALSE),0)</f>
        <v>0</v>
      </c>
      <c r="AC563" s="136">
        <f ca="1">IFERROR(VLOOKUP(Z563,'credit rating'!B:C,2,FALSE),0)</f>
        <v>0</v>
      </c>
      <c r="AD563" s="136">
        <f t="shared" ca="1" si="60"/>
        <v>0</v>
      </c>
      <c r="AE563" s="249" t="str">
        <f ca="1">IFERROR(VLOOKUP(B563,bond!B:U,20,FALSE),"")</f>
        <v/>
      </c>
      <c r="AF563" s="136" t="e">
        <f ca="1">IF(VLOOKUP(B563,bond!B:AK,36,FALSE)="#N/A Field Not Applicable","",VLOOKUP(B563,bond!B:AK,36,FALSE))</f>
        <v>#N/A</v>
      </c>
      <c r="AG563" s="136" t="e">
        <f ca="1">IF(VLOOKUP(B563,bond!B:AL,37,FALSE)="FIXED","固定",IF(VLOOKUP(B563,bond!B:AL,37,FALSE)="FLOATING","浮動",IF(VLOOKUP(B563,bond!B:AL,37,FALSE)="VARIABLE","變動",IF(VLOOKUP(B563,bond!B:AL,37,FALSE)="FLAT TRADING","不含息交易",IF(VLOOKUP(B563,bond!B:AL,37,FALSE)="ZERO COUPON","零息",VLOOKUP(B563,bond!B:AL,37,FALSE))))))</f>
        <v>#N/A</v>
      </c>
      <c r="AH563" s="136" t="e">
        <f>VLOOKUP(C563,'2_Check_code'!I:J,2,FALSE)</f>
        <v>#N/A</v>
      </c>
      <c r="AI563" s="136" t="e">
        <f t="shared" ca="1" si="61"/>
        <v>#N/A</v>
      </c>
      <c r="AJ563" s="136" t="e">
        <f t="shared" ca="1" si="62"/>
        <v>#N/A</v>
      </c>
      <c r="AK563" s="594" t="e">
        <f ca="1">IF(VLOOKUP(B563,bond!B:S,18,FALSE)="是","有",IF(VLOOKUP(B563,bond!B:S,18,FALSE)="NO OFFER","無","需查詢"))</f>
        <v>#N/A</v>
      </c>
      <c r="AL563" s="136" t="e">
        <f>IF(VLOOKUP(A563,bond!F:AR,39,FALSE)="#N/A Field Not Applicable",VLOOKUP(A563,bond!F:AR,38,FALSE),IFERROR(VLOOKUP(A563,'7_發行日例外'!A:B,2,FALSE),VLOOKUP(A563,bond!F:AR,39,FALSE)))</f>
        <v>#N/A</v>
      </c>
      <c r="AM563" s="136" t="e">
        <f ca="1">VLOOKUP(B563,bond!B:AK,36,FALSE)</f>
        <v>#N/A</v>
      </c>
      <c r="AN563" s="136" t="str">
        <f ca="1">IFERROR(VLOOKUP(B563,'3_是否下架'!A:A,1,FALSE),"")</f>
        <v/>
      </c>
      <c r="AO563" s="136" t="e">
        <f ca="1">VLOOKUP(B563,bond!B:J,9,FALSE)</f>
        <v>#N/A</v>
      </c>
      <c r="AP563" s="136" t="e">
        <f ca="1">VLOOKUP(B563,bond!B:V,21,FALSE)</f>
        <v>#N/A</v>
      </c>
    </row>
    <row r="564" spans="1:42">
      <c r="A564" s="141">
        <f>bond!F565</f>
        <v>0</v>
      </c>
      <c r="B564" s="151">
        <f ca="1">IF($C$1=TRUE,bond!B565,"")</f>
        <v>0</v>
      </c>
      <c r="C564" s="95" t="e">
        <f>VLOOKUP(A564,bond!F:G,2,FALSE)</f>
        <v>#N/A</v>
      </c>
      <c r="D564" s="142" t="e">
        <f ca="1">VLOOKUP(B564,bond!B:C,2,FALSE)</f>
        <v>#N/A</v>
      </c>
      <c r="E564" s="95" t="e">
        <f ca="1">VLOOKUP(B564,bond!B:D,3,FALSE)</f>
        <v>#N/A</v>
      </c>
      <c r="F564" s="99" t="e">
        <f ca="1">VLOOKUP(B564,bond!B:AB,27,FALSE)</f>
        <v>#N/A</v>
      </c>
      <c r="G564" s="90" t="e">
        <f ca="1">VLOOKUP(B564,bond!B:E,4,FALSE)</f>
        <v>#N/A</v>
      </c>
      <c r="H564" s="202" t="e">
        <f ca="1">VLOOKUP(B564,bond!B:Y,24,FALSE)</f>
        <v>#N/A</v>
      </c>
      <c r="I564" s="95" t="e">
        <f ca="1">VLOOKUP(B564,bond!B:Z,25,FALSE)</f>
        <v>#N/A</v>
      </c>
      <c r="J564" s="180" t="e">
        <f ca="1">VLOOKUP(B564,bond!B:K,10,FALSE)</f>
        <v>#N/A</v>
      </c>
      <c r="K564" s="96" t="e">
        <f ca="1">VLOOKUP($B564,bond!B:S,14,FALSE)</f>
        <v>#N/A</v>
      </c>
      <c r="L564" s="91" t="e">
        <f ca="1">VLOOKUP(B564,bond!B:H,7,FALSE)</f>
        <v>#N/A</v>
      </c>
      <c r="M564" s="144" t="e">
        <f ca="1">VLOOKUP($B564,bond!$B:$Q,16,FALSE)</f>
        <v>#N/A</v>
      </c>
      <c r="N564" s="136" t="e">
        <f ca="1">VALUE(LEFT(VLOOKUP(B564,bond!B:R,17,FALSE),SEARCH(" ",VLOOKUP(B564,bond!B:R,17,FALSE),1)))</f>
        <v>#N/A</v>
      </c>
      <c r="O564" s="136" t="e">
        <f ca="1">VALUE(RIGHT(VLOOKUP(B564,bond!B:R,17,FALSE),LEN(VLOOKUP(B564,bond!B:R,17,FALSE))-LEN(N564)-3))</f>
        <v>#N/A</v>
      </c>
      <c r="P564" s="135" t="e">
        <f ca="1">VLOOKUP($B564,bond!$B:$AG,32,FALSE)</f>
        <v>#N/A</v>
      </c>
      <c r="Q564" s="135" t="e">
        <f ca="1">VLOOKUP($B564,bond!$B:$AH,33,FALSE)</f>
        <v>#N/A</v>
      </c>
      <c r="R564" s="135" t="e">
        <f ca="1">VLOOKUP(B564,bond!B:AA,26,FALSE)</f>
        <v>#N/A</v>
      </c>
      <c r="S564" s="135" t="e">
        <f ca="1">VLOOKUP(B564,bond!B:AI,34,FALSE)</f>
        <v>#N/A</v>
      </c>
      <c r="T564" s="135" t="e">
        <f t="shared" ca="1" si="56"/>
        <v>#N/A</v>
      </c>
      <c r="U564" s="207" t="e">
        <f ca="1">IFERROR(VLOOKUP(T564,Bond_DES!D:E,2,FALSE),VLOOKUP(S564,bond!AI:AJ,2,FALSE))</f>
        <v>#N/A</v>
      </c>
      <c r="V564" s="136" t="e">
        <f ca="1">IFERROR(VLOOKUP(B564,'1_重設數據'!L:M,2,FALSE),IF(Q564="政府",IF(AD564&gt;16,"(NPI)非專投",IF(AD564&gt;10,"(PI)專投","高資產")),IF(VLOOKUP(B564,bond!B:AN,39,FALSE)="Y","(PI)專投",IF(AD564&gt;=15,"(NPI)非專投",IF(AD564&gt;=10,"(PI)專投","高資產")))))</f>
        <v>#N/A</v>
      </c>
      <c r="W564" s="136" t="e">
        <f ca="1">VLOOKUP(AD564,'credit rating'!$F$2:$H$22,3,FALSE)</f>
        <v>#N/A</v>
      </c>
      <c r="X564" s="136" t="e">
        <f t="shared" ca="1" si="57"/>
        <v>#N/A</v>
      </c>
      <c r="Y564" s="136" t="e">
        <f t="shared" ca="1" si="58"/>
        <v>#N/A</v>
      </c>
      <c r="Z564" s="136" t="e">
        <f t="shared" ca="1" si="59"/>
        <v>#N/A</v>
      </c>
      <c r="AA564" s="134">
        <f ca="1">IFERROR(VLOOKUP(X564,'credit rating'!A:C,3,FALSE),0)</f>
        <v>0</v>
      </c>
      <c r="AB564" s="134">
        <f ca="1">IFERROR(VLOOKUP(Y564,'credit rating'!B:C,2,FALSE),0)</f>
        <v>0</v>
      </c>
      <c r="AC564" s="136">
        <f ca="1">IFERROR(VLOOKUP(Z564,'credit rating'!B:C,2,FALSE),0)</f>
        <v>0</v>
      </c>
      <c r="AD564" s="136">
        <f t="shared" ca="1" si="60"/>
        <v>0</v>
      </c>
      <c r="AE564" s="249" t="str">
        <f ca="1">IFERROR(VLOOKUP(B564,bond!B:U,20,FALSE),"")</f>
        <v/>
      </c>
      <c r="AF564" s="136" t="e">
        <f ca="1">IF(VLOOKUP(B564,bond!B:AK,36,FALSE)="#N/A Field Not Applicable","",VLOOKUP(B564,bond!B:AK,36,FALSE))</f>
        <v>#N/A</v>
      </c>
      <c r="AG564" s="136" t="e">
        <f ca="1">IF(VLOOKUP(B564,bond!B:AL,37,FALSE)="FIXED","固定",IF(VLOOKUP(B564,bond!B:AL,37,FALSE)="FLOATING","浮動",IF(VLOOKUP(B564,bond!B:AL,37,FALSE)="VARIABLE","變動",IF(VLOOKUP(B564,bond!B:AL,37,FALSE)="FLAT TRADING","不含息交易",IF(VLOOKUP(B564,bond!B:AL,37,FALSE)="ZERO COUPON","零息",VLOOKUP(B564,bond!B:AL,37,FALSE))))))</f>
        <v>#N/A</v>
      </c>
      <c r="AH564" s="136" t="e">
        <f>VLOOKUP(C564,'2_Check_code'!I:J,2,FALSE)</f>
        <v>#N/A</v>
      </c>
      <c r="AI564" s="136" t="e">
        <f t="shared" ca="1" si="61"/>
        <v>#N/A</v>
      </c>
      <c r="AJ564" s="136" t="e">
        <f t="shared" ca="1" si="62"/>
        <v>#N/A</v>
      </c>
      <c r="AK564" s="594" t="e">
        <f ca="1">IF(VLOOKUP(B564,bond!B:S,18,FALSE)="是","有",IF(VLOOKUP(B564,bond!B:S,18,FALSE)="NO OFFER","無","需查詢"))</f>
        <v>#N/A</v>
      </c>
      <c r="AL564" s="136" t="e">
        <f>IF(VLOOKUP(A564,bond!F:AR,39,FALSE)="#N/A Field Not Applicable",VLOOKUP(A564,bond!F:AR,38,FALSE),IFERROR(VLOOKUP(A564,'7_發行日例外'!A:B,2,FALSE),VLOOKUP(A564,bond!F:AR,39,FALSE)))</f>
        <v>#N/A</v>
      </c>
      <c r="AM564" s="136" t="e">
        <f ca="1">VLOOKUP(B564,bond!B:AK,36,FALSE)</f>
        <v>#N/A</v>
      </c>
      <c r="AN564" s="136" t="str">
        <f ca="1">IFERROR(VLOOKUP(B564,'3_是否下架'!A:A,1,FALSE),"")</f>
        <v/>
      </c>
      <c r="AO564" s="136" t="e">
        <f ca="1">VLOOKUP(B564,bond!B:J,9,FALSE)</f>
        <v>#N/A</v>
      </c>
      <c r="AP564" s="136" t="e">
        <f ca="1">VLOOKUP(B564,bond!B:V,21,FALSE)</f>
        <v>#N/A</v>
      </c>
    </row>
    <row r="565" spans="1:42">
      <c r="A565" s="141">
        <f>bond!F566</f>
        <v>0</v>
      </c>
      <c r="B565" s="151">
        <f ca="1">IF($C$1=TRUE,bond!B566,"")</f>
        <v>0</v>
      </c>
      <c r="C565" s="95" t="e">
        <f>VLOOKUP(A565,bond!F:G,2,FALSE)</f>
        <v>#N/A</v>
      </c>
      <c r="D565" s="142" t="e">
        <f ca="1">VLOOKUP(B565,bond!B:C,2,FALSE)</f>
        <v>#N/A</v>
      </c>
      <c r="E565" s="95" t="e">
        <f ca="1">VLOOKUP(B565,bond!B:D,3,FALSE)</f>
        <v>#N/A</v>
      </c>
      <c r="F565" s="99" t="e">
        <f ca="1">VLOOKUP(B565,bond!B:AB,27,FALSE)</f>
        <v>#N/A</v>
      </c>
      <c r="G565" s="90" t="e">
        <f ca="1">VLOOKUP(B565,bond!B:E,4,FALSE)</f>
        <v>#N/A</v>
      </c>
      <c r="H565" s="202" t="e">
        <f ca="1">VLOOKUP(B565,bond!B:Y,24,FALSE)</f>
        <v>#N/A</v>
      </c>
      <c r="I565" s="95" t="e">
        <f ca="1">VLOOKUP(B565,bond!B:Z,25,FALSE)</f>
        <v>#N/A</v>
      </c>
      <c r="J565" s="180" t="e">
        <f ca="1">VLOOKUP(B565,bond!B:K,10,FALSE)</f>
        <v>#N/A</v>
      </c>
      <c r="K565" s="96" t="e">
        <f ca="1">VLOOKUP($B565,bond!B:S,14,FALSE)</f>
        <v>#N/A</v>
      </c>
      <c r="L565" s="91" t="e">
        <f ca="1">VLOOKUP(B565,bond!B:H,7,FALSE)</f>
        <v>#N/A</v>
      </c>
      <c r="M565" s="144" t="e">
        <f ca="1">VLOOKUP($B565,bond!$B:$Q,16,FALSE)</f>
        <v>#N/A</v>
      </c>
      <c r="N565" s="136" t="e">
        <f ca="1">VALUE(LEFT(VLOOKUP(B565,bond!B:R,17,FALSE),SEARCH(" ",VLOOKUP(B565,bond!B:R,17,FALSE),1)))</f>
        <v>#N/A</v>
      </c>
      <c r="O565" s="136" t="e">
        <f ca="1">VALUE(RIGHT(VLOOKUP(B565,bond!B:R,17,FALSE),LEN(VLOOKUP(B565,bond!B:R,17,FALSE))-LEN(N565)-3))</f>
        <v>#N/A</v>
      </c>
      <c r="P565" s="135" t="e">
        <f ca="1">VLOOKUP($B565,bond!$B:$AG,32,FALSE)</f>
        <v>#N/A</v>
      </c>
      <c r="Q565" s="135" t="e">
        <f ca="1">VLOOKUP($B565,bond!$B:$AH,33,FALSE)</f>
        <v>#N/A</v>
      </c>
      <c r="R565" s="135" t="e">
        <f ca="1">VLOOKUP(B565,bond!B:AA,26,FALSE)</f>
        <v>#N/A</v>
      </c>
      <c r="S565" s="135" t="e">
        <f ca="1">VLOOKUP(B565,bond!B:AI,34,FALSE)</f>
        <v>#N/A</v>
      </c>
      <c r="T565" s="135" t="e">
        <f t="shared" ca="1" si="56"/>
        <v>#N/A</v>
      </c>
      <c r="U565" s="207" t="e">
        <f ca="1">IFERROR(VLOOKUP(T565,Bond_DES!D:E,2,FALSE),VLOOKUP(S565,bond!AI:AJ,2,FALSE))</f>
        <v>#N/A</v>
      </c>
      <c r="V565" s="136" t="e">
        <f ca="1">IFERROR(VLOOKUP(B565,'1_重設數據'!L:M,2,FALSE),IF(Q565="政府",IF(AD565&gt;16,"(NPI)非專投",IF(AD565&gt;10,"(PI)專投","高資產")),IF(VLOOKUP(B565,bond!B:AN,39,FALSE)="Y","(PI)專投",IF(AD565&gt;=15,"(NPI)非專投",IF(AD565&gt;=10,"(PI)專投","高資產")))))</f>
        <v>#N/A</v>
      </c>
      <c r="W565" s="136" t="e">
        <f ca="1">VLOOKUP(AD565,'credit rating'!$F$2:$H$22,3,FALSE)</f>
        <v>#N/A</v>
      </c>
      <c r="X565" s="136" t="e">
        <f t="shared" ca="1" si="57"/>
        <v>#N/A</v>
      </c>
      <c r="Y565" s="136" t="e">
        <f t="shared" ca="1" si="58"/>
        <v>#N/A</v>
      </c>
      <c r="Z565" s="136" t="e">
        <f t="shared" ca="1" si="59"/>
        <v>#N/A</v>
      </c>
      <c r="AA565" s="134">
        <f ca="1">IFERROR(VLOOKUP(X565,'credit rating'!A:C,3,FALSE),0)</f>
        <v>0</v>
      </c>
      <c r="AB565" s="134">
        <f ca="1">IFERROR(VLOOKUP(Y565,'credit rating'!B:C,2,FALSE),0)</f>
        <v>0</v>
      </c>
      <c r="AC565" s="136">
        <f ca="1">IFERROR(VLOOKUP(Z565,'credit rating'!B:C,2,FALSE),0)</f>
        <v>0</v>
      </c>
      <c r="AD565" s="136">
        <f t="shared" ca="1" si="60"/>
        <v>0</v>
      </c>
      <c r="AE565" s="249" t="str">
        <f ca="1">IFERROR(VLOOKUP(B565,bond!B:U,20,FALSE),"")</f>
        <v/>
      </c>
      <c r="AF565" s="136" t="e">
        <f ca="1">IF(VLOOKUP(B565,bond!B:AK,36,FALSE)="#N/A Field Not Applicable","",VLOOKUP(B565,bond!B:AK,36,FALSE))</f>
        <v>#N/A</v>
      </c>
      <c r="AG565" s="136" t="e">
        <f ca="1">IF(VLOOKUP(B565,bond!B:AL,37,FALSE)="FIXED","固定",IF(VLOOKUP(B565,bond!B:AL,37,FALSE)="FLOATING","浮動",IF(VLOOKUP(B565,bond!B:AL,37,FALSE)="VARIABLE","變動",IF(VLOOKUP(B565,bond!B:AL,37,FALSE)="FLAT TRADING","不含息交易",IF(VLOOKUP(B565,bond!B:AL,37,FALSE)="ZERO COUPON","零息",VLOOKUP(B565,bond!B:AL,37,FALSE))))))</f>
        <v>#N/A</v>
      </c>
      <c r="AH565" s="136" t="e">
        <f>VLOOKUP(C565,'2_Check_code'!I:J,2,FALSE)</f>
        <v>#N/A</v>
      </c>
      <c r="AI565" s="136" t="e">
        <f t="shared" ca="1" si="61"/>
        <v>#N/A</v>
      </c>
      <c r="AJ565" s="136" t="e">
        <f t="shared" ca="1" si="62"/>
        <v>#N/A</v>
      </c>
      <c r="AK565" s="594" t="e">
        <f ca="1">IF(VLOOKUP(B565,bond!B:S,18,FALSE)="是","有",IF(VLOOKUP(B565,bond!B:S,18,FALSE)="NO OFFER","無","需查詢"))</f>
        <v>#N/A</v>
      </c>
      <c r="AL565" s="136" t="e">
        <f>IF(VLOOKUP(A565,bond!F:AR,39,FALSE)="#N/A Field Not Applicable",VLOOKUP(A565,bond!F:AR,38,FALSE),IFERROR(VLOOKUP(A565,'7_發行日例外'!A:B,2,FALSE),VLOOKUP(A565,bond!F:AR,39,FALSE)))</f>
        <v>#N/A</v>
      </c>
      <c r="AM565" s="136" t="e">
        <f ca="1">VLOOKUP(B565,bond!B:AK,36,FALSE)</f>
        <v>#N/A</v>
      </c>
      <c r="AN565" s="136" t="str">
        <f ca="1">IFERROR(VLOOKUP(B565,'3_是否下架'!A:A,1,FALSE),"")</f>
        <v/>
      </c>
      <c r="AO565" s="136" t="e">
        <f ca="1">VLOOKUP(B565,bond!B:J,9,FALSE)</f>
        <v>#N/A</v>
      </c>
      <c r="AP565" s="136" t="e">
        <f ca="1">VLOOKUP(B565,bond!B:V,21,FALSE)</f>
        <v>#N/A</v>
      </c>
    </row>
    <row r="566" spans="1:42">
      <c r="A566" s="141">
        <f>bond!F567</f>
        <v>0</v>
      </c>
      <c r="B566" s="151">
        <f ca="1">IF($C$1=TRUE,bond!B567,"")</f>
        <v>0</v>
      </c>
      <c r="C566" s="95" t="e">
        <f>VLOOKUP(A566,bond!F:G,2,FALSE)</f>
        <v>#N/A</v>
      </c>
      <c r="D566" s="142" t="e">
        <f ca="1">VLOOKUP(B566,bond!B:C,2,FALSE)</f>
        <v>#N/A</v>
      </c>
      <c r="E566" s="95" t="e">
        <f ca="1">VLOOKUP(B566,bond!B:D,3,FALSE)</f>
        <v>#N/A</v>
      </c>
      <c r="F566" s="99" t="e">
        <f ca="1">VLOOKUP(B566,bond!B:AB,27,FALSE)</f>
        <v>#N/A</v>
      </c>
      <c r="G566" s="90" t="e">
        <f ca="1">VLOOKUP(B566,bond!B:E,4,FALSE)</f>
        <v>#N/A</v>
      </c>
      <c r="H566" s="202" t="e">
        <f ca="1">VLOOKUP(B566,bond!B:Y,24,FALSE)</f>
        <v>#N/A</v>
      </c>
      <c r="I566" s="95" t="e">
        <f ca="1">VLOOKUP(B566,bond!B:Z,25,FALSE)</f>
        <v>#N/A</v>
      </c>
      <c r="J566" s="180" t="e">
        <f ca="1">VLOOKUP(B566,bond!B:K,10,FALSE)</f>
        <v>#N/A</v>
      </c>
      <c r="K566" s="96" t="e">
        <f ca="1">VLOOKUP($B566,bond!B:S,14,FALSE)</f>
        <v>#N/A</v>
      </c>
      <c r="L566" s="91" t="e">
        <f ca="1">VLOOKUP(B566,bond!B:H,7,FALSE)</f>
        <v>#N/A</v>
      </c>
      <c r="M566" s="144" t="e">
        <f ca="1">VLOOKUP($B566,bond!$B:$Q,16,FALSE)</f>
        <v>#N/A</v>
      </c>
      <c r="N566" s="136" t="e">
        <f ca="1">VALUE(LEFT(VLOOKUP(B566,bond!B:R,17,FALSE),SEARCH(" ",VLOOKUP(B566,bond!B:R,17,FALSE),1)))</f>
        <v>#N/A</v>
      </c>
      <c r="O566" s="136" t="e">
        <f ca="1">VALUE(RIGHT(VLOOKUP(B566,bond!B:R,17,FALSE),LEN(VLOOKUP(B566,bond!B:R,17,FALSE))-LEN(N566)-3))</f>
        <v>#N/A</v>
      </c>
      <c r="P566" s="135" t="e">
        <f ca="1">VLOOKUP($B566,bond!$B:$AG,32,FALSE)</f>
        <v>#N/A</v>
      </c>
      <c r="Q566" s="135" t="e">
        <f ca="1">VLOOKUP($B566,bond!$B:$AH,33,FALSE)</f>
        <v>#N/A</v>
      </c>
      <c r="R566" s="135" t="e">
        <f ca="1">VLOOKUP(B566,bond!B:AA,26,FALSE)</f>
        <v>#N/A</v>
      </c>
      <c r="S566" s="135" t="e">
        <f ca="1">VLOOKUP(B566,bond!B:AI,34,FALSE)</f>
        <v>#N/A</v>
      </c>
      <c r="T566" s="135" t="e">
        <f t="shared" ca="1" si="56"/>
        <v>#N/A</v>
      </c>
      <c r="U566" s="207" t="e">
        <f ca="1">IFERROR(VLOOKUP(T566,Bond_DES!D:E,2,FALSE),VLOOKUP(S566,bond!AI:AJ,2,FALSE))</f>
        <v>#N/A</v>
      </c>
      <c r="V566" s="136" t="e">
        <f ca="1">IFERROR(VLOOKUP(B566,'1_重設數據'!L:M,2,FALSE),IF(Q566="政府",IF(AD566&gt;16,"(NPI)非專投",IF(AD566&gt;10,"(PI)專投","高資產")),IF(VLOOKUP(B566,bond!B:AN,39,FALSE)="Y","(PI)專投",IF(AD566&gt;=15,"(NPI)非專投",IF(AD566&gt;=10,"(PI)專投","高資產")))))</f>
        <v>#N/A</v>
      </c>
      <c r="W566" s="136" t="e">
        <f ca="1">VLOOKUP(AD566,'credit rating'!$F$2:$H$22,3,FALSE)</f>
        <v>#N/A</v>
      </c>
      <c r="X566" s="136" t="e">
        <f t="shared" ca="1" si="57"/>
        <v>#N/A</v>
      </c>
      <c r="Y566" s="136" t="e">
        <f t="shared" ca="1" si="58"/>
        <v>#N/A</v>
      </c>
      <c r="Z566" s="136" t="e">
        <f t="shared" ca="1" si="59"/>
        <v>#N/A</v>
      </c>
      <c r="AA566" s="134">
        <f ca="1">IFERROR(VLOOKUP(X566,'credit rating'!A:C,3,FALSE),0)</f>
        <v>0</v>
      </c>
      <c r="AB566" s="134">
        <f ca="1">IFERROR(VLOOKUP(Y566,'credit rating'!B:C,2,FALSE),0)</f>
        <v>0</v>
      </c>
      <c r="AC566" s="136">
        <f ca="1">IFERROR(VLOOKUP(Z566,'credit rating'!B:C,2,FALSE),0)</f>
        <v>0</v>
      </c>
      <c r="AD566" s="136">
        <f t="shared" ca="1" si="60"/>
        <v>0</v>
      </c>
      <c r="AE566" s="249" t="str">
        <f ca="1">IFERROR(VLOOKUP(B566,bond!B:U,20,FALSE),"")</f>
        <v/>
      </c>
      <c r="AF566" s="136" t="e">
        <f ca="1">IF(VLOOKUP(B566,bond!B:AK,36,FALSE)="#N/A Field Not Applicable","",VLOOKUP(B566,bond!B:AK,36,FALSE))</f>
        <v>#N/A</v>
      </c>
      <c r="AG566" s="136" t="e">
        <f ca="1">IF(VLOOKUP(B566,bond!B:AL,37,FALSE)="FIXED","固定",IF(VLOOKUP(B566,bond!B:AL,37,FALSE)="FLOATING","浮動",IF(VLOOKUP(B566,bond!B:AL,37,FALSE)="VARIABLE","變動",IF(VLOOKUP(B566,bond!B:AL,37,FALSE)="FLAT TRADING","不含息交易",IF(VLOOKUP(B566,bond!B:AL,37,FALSE)="ZERO COUPON","零息",VLOOKUP(B566,bond!B:AL,37,FALSE))))))</f>
        <v>#N/A</v>
      </c>
      <c r="AH566" s="136" t="e">
        <f>VLOOKUP(C566,'2_Check_code'!I:J,2,FALSE)</f>
        <v>#N/A</v>
      </c>
      <c r="AI566" s="136" t="e">
        <f t="shared" ca="1" si="61"/>
        <v>#N/A</v>
      </c>
      <c r="AJ566" s="136" t="e">
        <f t="shared" ca="1" si="62"/>
        <v>#N/A</v>
      </c>
      <c r="AK566" s="594" t="e">
        <f ca="1">IF(VLOOKUP(B566,bond!B:S,18,FALSE)="是","有",IF(VLOOKUP(B566,bond!B:S,18,FALSE)="NO OFFER","無","需查詢"))</f>
        <v>#N/A</v>
      </c>
      <c r="AL566" s="136" t="e">
        <f>IF(VLOOKUP(A566,bond!F:AR,39,FALSE)="#N/A Field Not Applicable",VLOOKUP(A566,bond!F:AR,38,FALSE),IFERROR(VLOOKUP(A566,'7_發行日例外'!A:B,2,FALSE),VLOOKUP(A566,bond!F:AR,39,FALSE)))</f>
        <v>#N/A</v>
      </c>
      <c r="AM566" s="136" t="e">
        <f ca="1">VLOOKUP(B566,bond!B:AK,36,FALSE)</f>
        <v>#N/A</v>
      </c>
      <c r="AN566" s="136" t="str">
        <f ca="1">IFERROR(VLOOKUP(B566,'3_是否下架'!A:A,1,FALSE),"")</f>
        <v/>
      </c>
      <c r="AO566" s="136" t="e">
        <f ca="1">VLOOKUP(B566,bond!B:J,9,FALSE)</f>
        <v>#N/A</v>
      </c>
      <c r="AP566" s="136" t="e">
        <f ca="1">VLOOKUP(B566,bond!B:V,21,FALSE)</f>
        <v>#N/A</v>
      </c>
    </row>
    <row r="567" spans="1:42">
      <c r="A567" s="141">
        <f>bond!F568</f>
        <v>0</v>
      </c>
      <c r="B567" s="151">
        <f ca="1">IF($C$1=TRUE,bond!B568,"")</f>
        <v>0</v>
      </c>
      <c r="C567" s="95" t="e">
        <f>VLOOKUP(A567,bond!F:G,2,FALSE)</f>
        <v>#N/A</v>
      </c>
      <c r="D567" s="142" t="e">
        <f ca="1">VLOOKUP(B567,bond!B:C,2,FALSE)</f>
        <v>#N/A</v>
      </c>
      <c r="E567" s="95" t="e">
        <f ca="1">VLOOKUP(B567,bond!B:D,3,FALSE)</f>
        <v>#N/A</v>
      </c>
      <c r="F567" s="99" t="e">
        <f ca="1">VLOOKUP(B567,bond!B:AB,27,FALSE)</f>
        <v>#N/A</v>
      </c>
      <c r="G567" s="90" t="e">
        <f ca="1">VLOOKUP(B567,bond!B:E,4,FALSE)</f>
        <v>#N/A</v>
      </c>
      <c r="H567" s="202" t="e">
        <f ca="1">VLOOKUP(B567,bond!B:Y,24,FALSE)</f>
        <v>#N/A</v>
      </c>
      <c r="I567" s="95" t="e">
        <f ca="1">VLOOKUP(B567,bond!B:Z,25,FALSE)</f>
        <v>#N/A</v>
      </c>
      <c r="J567" s="180" t="e">
        <f ca="1">VLOOKUP(B567,bond!B:K,10,FALSE)</f>
        <v>#N/A</v>
      </c>
      <c r="K567" s="96" t="e">
        <f ca="1">VLOOKUP($B567,bond!B:S,14,FALSE)</f>
        <v>#N/A</v>
      </c>
      <c r="L567" s="91" t="e">
        <f ca="1">VLOOKUP(B567,bond!B:H,7,FALSE)</f>
        <v>#N/A</v>
      </c>
      <c r="M567" s="144" t="e">
        <f ca="1">VLOOKUP($B567,bond!$B:$Q,16,FALSE)</f>
        <v>#N/A</v>
      </c>
      <c r="N567" s="136" t="e">
        <f ca="1">VALUE(LEFT(VLOOKUP(B567,bond!B:R,17,FALSE),SEARCH(" ",VLOOKUP(B567,bond!B:R,17,FALSE),1)))</f>
        <v>#N/A</v>
      </c>
      <c r="O567" s="136" t="e">
        <f ca="1">VALUE(RIGHT(VLOOKUP(B567,bond!B:R,17,FALSE),LEN(VLOOKUP(B567,bond!B:R,17,FALSE))-LEN(N567)-3))</f>
        <v>#N/A</v>
      </c>
      <c r="P567" s="135" t="e">
        <f ca="1">VLOOKUP($B567,bond!$B:$AG,32,FALSE)</f>
        <v>#N/A</v>
      </c>
      <c r="Q567" s="135" t="e">
        <f ca="1">VLOOKUP($B567,bond!$B:$AH,33,FALSE)</f>
        <v>#N/A</v>
      </c>
      <c r="R567" s="135" t="e">
        <f ca="1">VLOOKUP(B567,bond!B:AA,26,FALSE)</f>
        <v>#N/A</v>
      </c>
      <c r="S567" s="135" t="e">
        <f ca="1">VLOOKUP(B567,bond!B:AI,34,FALSE)</f>
        <v>#N/A</v>
      </c>
      <c r="T567" s="135" t="e">
        <f t="shared" ca="1" si="56"/>
        <v>#N/A</v>
      </c>
      <c r="U567" s="207" t="e">
        <f ca="1">IFERROR(VLOOKUP(T567,Bond_DES!D:E,2,FALSE),VLOOKUP(S567,bond!AI:AJ,2,FALSE))</f>
        <v>#N/A</v>
      </c>
      <c r="V567" s="136" t="e">
        <f ca="1">IFERROR(VLOOKUP(B567,'1_重設數據'!L:M,2,FALSE),IF(Q567="政府",IF(AD567&gt;16,"(NPI)非專投",IF(AD567&gt;10,"(PI)專投","高資產")),IF(VLOOKUP(B567,bond!B:AN,39,FALSE)="Y","(PI)專投",IF(AD567&gt;=15,"(NPI)非專投",IF(AD567&gt;=10,"(PI)專投","高資產")))))</f>
        <v>#N/A</v>
      </c>
      <c r="W567" s="136" t="e">
        <f ca="1">VLOOKUP(AD567,'credit rating'!$F$2:$H$22,3,FALSE)</f>
        <v>#N/A</v>
      </c>
      <c r="X567" s="136" t="e">
        <f t="shared" ca="1" si="57"/>
        <v>#N/A</v>
      </c>
      <c r="Y567" s="136" t="e">
        <f t="shared" ca="1" si="58"/>
        <v>#N/A</v>
      </c>
      <c r="Z567" s="136" t="e">
        <f t="shared" ca="1" si="59"/>
        <v>#N/A</v>
      </c>
      <c r="AA567" s="134">
        <f ca="1">IFERROR(VLOOKUP(X567,'credit rating'!A:C,3,FALSE),0)</f>
        <v>0</v>
      </c>
      <c r="AB567" s="134">
        <f ca="1">IFERROR(VLOOKUP(Y567,'credit rating'!B:C,2,FALSE),0)</f>
        <v>0</v>
      </c>
      <c r="AC567" s="136">
        <f ca="1">IFERROR(VLOOKUP(Z567,'credit rating'!B:C,2,FALSE),0)</f>
        <v>0</v>
      </c>
      <c r="AD567" s="136">
        <f t="shared" ca="1" si="60"/>
        <v>0</v>
      </c>
      <c r="AE567" s="249" t="str">
        <f ca="1">IFERROR(VLOOKUP(B567,bond!B:U,20,FALSE),"")</f>
        <v/>
      </c>
      <c r="AF567" s="136" t="e">
        <f ca="1">IF(VLOOKUP(B567,bond!B:AK,36,FALSE)="#N/A Field Not Applicable","",VLOOKUP(B567,bond!B:AK,36,FALSE))</f>
        <v>#N/A</v>
      </c>
      <c r="AG567" s="136" t="e">
        <f ca="1">IF(VLOOKUP(B567,bond!B:AL,37,FALSE)="FIXED","固定",IF(VLOOKUP(B567,bond!B:AL,37,FALSE)="FLOATING","浮動",IF(VLOOKUP(B567,bond!B:AL,37,FALSE)="VARIABLE","變動",IF(VLOOKUP(B567,bond!B:AL,37,FALSE)="FLAT TRADING","不含息交易",IF(VLOOKUP(B567,bond!B:AL,37,FALSE)="ZERO COUPON","零息",VLOOKUP(B567,bond!B:AL,37,FALSE))))))</f>
        <v>#N/A</v>
      </c>
      <c r="AH567" s="136" t="e">
        <f>VLOOKUP(C567,'2_Check_code'!I:J,2,FALSE)</f>
        <v>#N/A</v>
      </c>
      <c r="AI567" s="136" t="e">
        <f t="shared" ca="1" si="61"/>
        <v>#N/A</v>
      </c>
      <c r="AJ567" s="136" t="e">
        <f t="shared" ca="1" si="62"/>
        <v>#N/A</v>
      </c>
      <c r="AK567" s="594" t="e">
        <f ca="1">IF(VLOOKUP(B567,bond!B:S,18,FALSE)="是","有",IF(VLOOKUP(B567,bond!B:S,18,FALSE)="NO OFFER","無","需查詢"))</f>
        <v>#N/A</v>
      </c>
      <c r="AL567" s="136" t="e">
        <f>IF(VLOOKUP(A567,bond!F:AR,39,FALSE)="#N/A Field Not Applicable",VLOOKUP(A567,bond!F:AR,38,FALSE),IFERROR(VLOOKUP(A567,'7_發行日例外'!A:B,2,FALSE),VLOOKUP(A567,bond!F:AR,39,FALSE)))</f>
        <v>#N/A</v>
      </c>
      <c r="AM567" s="136" t="e">
        <f ca="1">VLOOKUP(B567,bond!B:AK,36,FALSE)</f>
        <v>#N/A</v>
      </c>
      <c r="AN567" s="136" t="str">
        <f ca="1">IFERROR(VLOOKUP(B567,'3_是否下架'!A:A,1,FALSE),"")</f>
        <v/>
      </c>
      <c r="AO567" s="136" t="e">
        <f ca="1">VLOOKUP(B567,bond!B:J,9,FALSE)</f>
        <v>#N/A</v>
      </c>
      <c r="AP567" s="136" t="e">
        <f ca="1">VLOOKUP(B567,bond!B:V,21,FALSE)</f>
        <v>#N/A</v>
      </c>
    </row>
    <row r="568" spans="1:42">
      <c r="A568" s="141">
        <f>bond!F569</f>
        <v>0</v>
      </c>
      <c r="B568" s="151">
        <f ca="1">IF($C$1=TRUE,bond!B569,"")</f>
        <v>0</v>
      </c>
      <c r="C568" s="95" t="e">
        <f>VLOOKUP(A568,bond!F:G,2,FALSE)</f>
        <v>#N/A</v>
      </c>
      <c r="D568" s="142" t="e">
        <f ca="1">VLOOKUP(B568,bond!B:C,2,FALSE)</f>
        <v>#N/A</v>
      </c>
      <c r="E568" s="95" t="e">
        <f ca="1">VLOOKUP(B568,bond!B:D,3,FALSE)</f>
        <v>#N/A</v>
      </c>
      <c r="F568" s="99" t="e">
        <f ca="1">VLOOKUP(B568,bond!B:AB,27,FALSE)</f>
        <v>#N/A</v>
      </c>
      <c r="G568" s="90" t="e">
        <f ca="1">VLOOKUP(B568,bond!B:E,4,FALSE)</f>
        <v>#N/A</v>
      </c>
      <c r="H568" s="202" t="e">
        <f ca="1">VLOOKUP(B568,bond!B:Y,24,FALSE)</f>
        <v>#N/A</v>
      </c>
      <c r="I568" s="95" t="e">
        <f ca="1">VLOOKUP(B568,bond!B:Z,25,FALSE)</f>
        <v>#N/A</v>
      </c>
      <c r="J568" s="180" t="e">
        <f ca="1">VLOOKUP(B568,bond!B:K,10,FALSE)</f>
        <v>#N/A</v>
      </c>
      <c r="K568" s="96" t="e">
        <f ca="1">VLOOKUP($B568,bond!B:S,14,FALSE)</f>
        <v>#N/A</v>
      </c>
      <c r="L568" s="91" t="e">
        <f ca="1">VLOOKUP(B568,bond!B:H,7,FALSE)</f>
        <v>#N/A</v>
      </c>
      <c r="M568" s="144" t="e">
        <f ca="1">VLOOKUP($B568,bond!$B:$Q,16,FALSE)</f>
        <v>#N/A</v>
      </c>
      <c r="N568" s="136" t="e">
        <f ca="1">VALUE(LEFT(VLOOKUP(B568,bond!B:R,17,FALSE),SEARCH(" ",VLOOKUP(B568,bond!B:R,17,FALSE),1)))</f>
        <v>#N/A</v>
      </c>
      <c r="O568" s="136" t="e">
        <f ca="1">VALUE(RIGHT(VLOOKUP(B568,bond!B:R,17,FALSE),LEN(VLOOKUP(B568,bond!B:R,17,FALSE))-LEN(N568)-3))</f>
        <v>#N/A</v>
      </c>
      <c r="P568" s="135" t="e">
        <f ca="1">VLOOKUP($B568,bond!$B:$AG,32,FALSE)</f>
        <v>#N/A</v>
      </c>
      <c r="Q568" s="135" t="e">
        <f ca="1">VLOOKUP($B568,bond!$B:$AH,33,FALSE)</f>
        <v>#N/A</v>
      </c>
      <c r="R568" s="135" t="e">
        <f ca="1">VLOOKUP(B568,bond!B:AA,26,FALSE)</f>
        <v>#N/A</v>
      </c>
      <c r="S568" s="135" t="e">
        <f ca="1">VLOOKUP(B568,bond!B:AI,34,FALSE)</f>
        <v>#N/A</v>
      </c>
      <c r="T568" s="135" t="e">
        <f t="shared" ca="1" si="56"/>
        <v>#N/A</v>
      </c>
      <c r="U568" s="207" t="e">
        <f ca="1">IFERROR(VLOOKUP(T568,Bond_DES!D:E,2,FALSE),VLOOKUP(S568,bond!AI:AJ,2,FALSE))</f>
        <v>#N/A</v>
      </c>
      <c r="V568" s="136" t="e">
        <f ca="1">IFERROR(VLOOKUP(B568,'1_重設數據'!L:M,2,FALSE),IF(Q568="政府",IF(AD568&gt;16,"(NPI)非專投",IF(AD568&gt;10,"(PI)專投","高資產")),IF(VLOOKUP(B568,bond!B:AN,39,FALSE)="Y","(PI)專投",IF(AD568&gt;=15,"(NPI)非專投",IF(AD568&gt;=10,"(PI)專投","高資產")))))</f>
        <v>#N/A</v>
      </c>
      <c r="W568" s="136" t="e">
        <f ca="1">VLOOKUP(AD568,'credit rating'!$F$2:$H$22,3,FALSE)</f>
        <v>#N/A</v>
      </c>
      <c r="X568" s="136" t="e">
        <f t="shared" ca="1" si="57"/>
        <v>#N/A</v>
      </c>
      <c r="Y568" s="136" t="e">
        <f t="shared" ca="1" si="58"/>
        <v>#N/A</v>
      </c>
      <c r="Z568" s="136" t="e">
        <f t="shared" ca="1" si="59"/>
        <v>#N/A</v>
      </c>
      <c r="AA568" s="134">
        <f ca="1">IFERROR(VLOOKUP(X568,'credit rating'!A:C,3,FALSE),0)</f>
        <v>0</v>
      </c>
      <c r="AB568" s="134">
        <f ca="1">IFERROR(VLOOKUP(Y568,'credit rating'!B:C,2,FALSE),0)</f>
        <v>0</v>
      </c>
      <c r="AC568" s="136">
        <f ca="1">IFERROR(VLOOKUP(Z568,'credit rating'!B:C,2,FALSE),0)</f>
        <v>0</v>
      </c>
      <c r="AD568" s="136">
        <f t="shared" ca="1" si="60"/>
        <v>0</v>
      </c>
      <c r="AE568" s="249" t="str">
        <f ca="1">IFERROR(VLOOKUP(B568,bond!B:U,20,FALSE),"")</f>
        <v/>
      </c>
      <c r="AF568" s="136" t="e">
        <f ca="1">IF(VLOOKUP(B568,bond!B:AK,36,FALSE)="#N/A Field Not Applicable","",VLOOKUP(B568,bond!B:AK,36,FALSE))</f>
        <v>#N/A</v>
      </c>
      <c r="AG568" s="136" t="e">
        <f ca="1">IF(VLOOKUP(B568,bond!B:AL,37,FALSE)="FIXED","固定",IF(VLOOKUP(B568,bond!B:AL,37,FALSE)="FLOATING","浮動",IF(VLOOKUP(B568,bond!B:AL,37,FALSE)="VARIABLE","變動",IF(VLOOKUP(B568,bond!B:AL,37,FALSE)="FLAT TRADING","不含息交易",IF(VLOOKUP(B568,bond!B:AL,37,FALSE)="ZERO COUPON","零息",VLOOKUP(B568,bond!B:AL,37,FALSE))))))</f>
        <v>#N/A</v>
      </c>
      <c r="AH568" s="136" t="e">
        <f>VLOOKUP(C568,'2_Check_code'!I:J,2,FALSE)</f>
        <v>#N/A</v>
      </c>
      <c r="AI568" s="136" t="e">
        <f t="shared" ca="1" si="61"/>
        <v>#N/A</v>
      </c>
      <c r="AJ568" s="136" t="e">
        <f t="shared" ca="1" si="62"/>
        <v>#N/A</v>
      </c>
      <c r="AK568" s="594" t="e">
        <f ca="1">IF(VLOOKUP(B568,bond!B:S,18,FALSE)="是","有",IF(VLOOKUP(B568,bond!B:S,18,FALSE)="NO OFFER","無","需查詢"))</f>
        <v>#N/A</v>
      </c>
      <c r="AL568" s="136" t="e">
        <f>IF(VLOOKUP(A568,bond!F:AR,39,FALSE)="#N/A Field Not Applicable",VLOOKUP(A568,bond!F:AR,38,FALSE),IFERROR(VLOOKUP(A568,'7_發行日例外'!A:B,2,FALSE),VLOOKUP(A568,bond!F:AR,39,FALSE)))</f>
        <v>#N/A</v>
      </c>
      <c r="AM568" s="136" t="e">
        <f ca="1">VLOOKUP(B568,bond!B:AK,36,FALSE)</f>
        <v>#N/A</v>
      </c>
      <c r="AN568" s="136" t="str">
        <f ca="1">IFERROR(VLOOKUP(B568,'3_是否下架'!A:A,1,FALSE),"")</f>
        <v/>
      </c>
      <c r="AO568" s="136" t="e">
        <f ca="1">VLOOKUP(B568,bond!B:J,9,FALSE)</f>
        <v>#N/A</v>
      </c>
      <c r="AP568" s="136" t="e">
        <f ca="1">VLOOKUP(B568,bond!B:V,21,FALSE)</f>
        <v>#N/A</v>
      </c>
    </row>
    <row r="569" spans="1:42">
      <c r="A569" s="141">
        <f>bond!F570</f>
        <v>0</v>
      </c>
      <c r="B569" s="151">
        <f ca="1">IF($C$1=TRUE,bond!B570,"")</f>
        <v>0</v>
      </c>
      <c r="C569" s="95" t="e">
        <f>VLOOKUP(A569,bond!F:G,2,FALSE)</f>
        <v>#N/A</v>
      </c>
      <c r="D569" s="142" t="e">
        <f ca="1">VLOOKUP(B569,bond!B:C,2,FALSE)</f>
        <v>#N/A</v>
      </c>
      <c r="E569" s="95" t="e">
        <f ca="1">VLOOKUP(B569,bond!B:D,3,FALSE)</f>
        <v>#N/A</v>
      </c>
      <c r="F569" s="99" t="e">
        <f ca="1">VLOOKUP(B569,bond!B:AB,27,FALSE)</f>
        <v>#N/A</v>
      </c>
      <c r="G569" s="90" t="e">
        <f ca="1">VLOOKUP(B569,bond!B:E,4,FALSE)</f>
        <v>#N/A</v>
      </c>
      <c r="H569" s="202" t="e">
        <f ca="1">VLOOKUP(B569,bond!B:Y,24,FALSE)</f>
        <v>#N/A</v>
      </c>
      <c r="I569" s="95" t="e">
        <f ca="1">VLOOKUP(B569,bond!B:Z,25,FALSE)</f>
        <v>#N/A</v>
      </c>
      <c r="J569" s="180" t="e">
        <f ca="1">VLOOKUP(B569,bond!B:K,10,FALSE)</f>
        <v>#N/A</v>
      </c>
      <c r="K569" s="96" t="e">
        <f ca="1">VLOOKUP($B569,bond!B:S,14,FALSE)</f>
        <v>#N/A</v>
      </c>
      <c r="L569" s="91" t="e">
        <f ca="1">VLOOKUP(B569,bond!B:H,7,FALSE)</f>
        <v>#N/A</v>
      </c>
      <c r="M569" s="144" t="e">
        <f ca="1">VLOOKUP($B569,bond!$B:$Q,16,FALSE)</f>
        <v>#N/A</v>
      </c>
      <c r="N569" s="136" t="e">
        <f ca="1">VALUE(LEFT(VLOOKUP(B569,bond!B:R,17,FALSE),SEARCH(" ",VLOOKUP(B569,bond!B:R,17,FALSE),1)))</f>
        <v>#N/A</v>
      </c>
      <c r="O569" s="136" t="e">
        <f ca="1">VALUE(RIGHT(VLOOKUP(B569,bond!B:R,17,FALSE),LEN(VLOOKUP(B569,bond!B:R,17,FALSE))-LEN(N569)-3))</f>
        <v>#N/A</v>
      </c>
      <c r="P569" s="135" t="e">
        <f ca="1">VLOOKUP($B569,bond!$B:$AG,32,FALSE)</f>
        <v>#N/A</v>
      </c>
      <c r="Q569" s="135" t="e">
        <f ca="1">VLOOKUP($B569,bond!$B:$AH,33,FALSE)</f>
        <v>#N/A</v>
      </c>
      <c r="R569" s="135" t="e">
        <f ca="1">VLOOKUP(B569,bond!B:AA,26,FALSE)</f>
        <v>#N/A</v>
      </c>
      <c r="S569" s="135" t="e">
        <f ca="1">VLOOKUP(B569,bond!B:AI,34,FALSE)</f>
        <v>#N/A</v>
      </c>
      <c r="T569" s="135" t="e">
        <f t="shared" ca="1" si="56"/>
        <v>#N/A</v>
      </c>
      <c r="U569" s="207" t="e">
        <f ca="1">IFERROR(VLOOKUP(T569,Bond_DES!D:E,2,FALSE),VLOOKUP(S569,bond!AI:AJ,2,FALSE))</f>
        <v>#N/A</v>
      </c>
      <c r="V569" s="136" t="e">
        <f ca="1">IFERROR(VLOOKUP(B569,'1_重設數據'!L:M,2,FALSE),IF(Q569="政府",IF(AD569&gt;16,"(NPI)非專投",IF(AD569&gt;10,"(PI)專投","高資產")),IF(VLOOKUP(B569,bond!B:AN,39,FALSE)="Y","(PI)專投",IF(AD569&gt;=15,"(NPI)非專投",IF(AD569&gt;=10,"(PI)專投","高資產")))))</f>
        <v>#N/A</v>
      </c>
      <c r="W569" s="136" t="e">
        <f ca="1">VLOOKUP(AD569,'credit rating'!$F$2:$H$22,3,FALSE)</f>
        <v>#N/A</v>
      </c>
      <c r="X569" s="136" t="e">
        <f t="shared" ca="1" si="57"/>
        <v>#N/A</v>
      </c>
      <c r="Y569" s="136" t="e">
        <f t="shared" ca="1" si="58"/>
        <v>#N/A</v>
      </c>
      <c r="Z569" s="136" t="e">
        <f t="shared" ca="1" si="59"/>
        <v>#N/A</v>
      </c>
      <c r="AA569" s="134">
        <f ca="1">IFERROR(VLOOKUP(X569,'credit rating'!A:C,3,FALSE),0)</f>
        <v>0</v>
      </c>
      <c r="AB569" s="134">
        <f ca="1">IFERROR(VLOOKUP(Y569,'credit rating'!B:C,2,FALSE),0)</f>
        <v>0</v>
      </c>
      <c r="AC569" s="136">
        <f ca="1">IFERROR(VLOOKUP(Z569,'credit rating'!B:C,2,FALSE),0)</f>
        <v>0</v>
      </c>
      <c r="AD569" s="136">
        <f t="shared" ca="1" si="60"/>
        <v>0</v>
      </c>
      <c r="AE569" s="249" t="str">
        <f ca="1">IFERROR(VLOOKUP(B569,bond!B:U,20,FALSE),"")</f>
        <v/>
      </c>
      <c r="AF569" s="136" t="e">
        <f ca="1">IF(VLOOKUP(B569,bond!B:AK,36,FALSE)="#N/A Field Not Applicable","",VLOOKUP(B569,bond!B:AK,36,FALSE))</f>
        <v>#N/A</v>
      </c>
      <c r="AG569" s="136" t="e">
        <f ca="1">IF(VLOOKUP(B569,bond!B:AL,37,FALSE)="FIXED","固定",IF(VLOOKUP(B569,bond!B:AL,37,FALSE)="FLOATING","浮動",IF(VLOOKUP(B569,bond!B:AL,37,FALSE)="VARIABLE","變動",IF(VLOOKUP(B569,bond!B:AL,37,FALSE)="FLAT TRADING","不含息交易",IF(VLOOKUP(B569,bond!B:AL,37,FALSE)="ZERO COUPON","零息",VLOOKUP(B569,bond!B:AL,37,FALSE))))))</f>
        <v>#N/A</v>
      </c>
      <c r="AH569" s="136" t="e">
        <f>VLOOKUP(C569,'2_Check_code'!I:J,2,FALSE)</f>
        <v>#N/A</v>
      </c>
      <c r="AI569" s="136" t="e">
        <f t="shared" ca="1" si="61"/>
        <v>#N/A</v>
      </c>
      <c r="AJ569" s="136" t="e">
        <f t="shared" ca="1" si="62"/>
        <v>#N/A</v>
      </c>
      <c r="AK569" s="594" t="e">
        <f ca="1">IF(VLOOKUP(B569,bond!B:S,18,FALSE)="是","有",IF(VLOOKUP(B569,bond!B:S,18,FALSE)="NO OFFER","無","需查詢"))</f>
        <v>#N/A</v>
      </c>
      <c r="AL569" s="136" t="e">
        <f>IF(VLOOKUP(A569,bond!F:AR,39,FALSE)="#N/A Field Not Applicable",VLOOKUP(A569,bond!F:AR,38,FALSE),IFERROR(VLOOKUP(A569,'7_發行日例外'!A:B,2,FALSE),VLOOKUP(A569,bond!F:AR,39,FALSE)))</f>
        <v>#N/A</v>
      </c>
      <c r="AM569" s="136" t="e">
        <f ca="1">VLOOKUP(B569,bond!B:AK,36,FALSE)</f>
        <v>#N/A</v>
      </c>
      <c r="AN569" s="136" t="str">
        <f ca="1">IFERROR(VLOOKUP(B569,'3_是否下架'!A:A,1,FALSE),"")</f>
        <v/>
      </c>
      <c r="AO569" s="136" t="e">
        <f ca="1">VLOOKUP(B569,bond!B:J,9,FALSE)</f>
        <v>#N/A</v>
      </c>
      <c r="AP569" s="136" t="e">
        <f ca="1">VLOOKUP(B569,bond!B:V,21,FALSE)</f>
        <v>#N/A</v>
      </c>
    </row>
    <row r="570" spans="1:42">
      <c r="A570" s="141">
        <f>bond!F571</f>
        <v>0</v>
      </c>
      <c r="B570" s="151">
        <f ca="1">IF($C$1=TRUE,bond!B571,"")</f>
        <v>0</v>
      </c>
      <c r="C570" s="95" t="e">
        <f>VLOOKUP(A570,bond!F:G,2,FALSE)</f>
        <v>#N/A</v>
      </c>
      <c r="D570" s="142" t="e">
        <f ca="1">VLOOKUP(B570,bond!B:C,2,FALSE)</f>
        <v>#N/A</v>
      </c>
      <c r="E570" s="95" t="e">
        <f ca="1">VLOOKUP(B570,bond!B:D,3,FALSE)</f>
        <v>#N/A</v>
      </c>
      <c r="F570" s="99" t="e">
        <f ca="1">VLOOKUP(B570,bond!B:AB,27,FALSE)</f>
        <v>#N/A</v>
      </c>
      <c r="G570" s="90" t="e">
        <f ca="1">VLOOKUP(B570,bond!B:E,4,FALSE)</f>
        <v>#N/A</v>
      </c>
      <c r="H570" s="202" t="e">
        <f ca="1">VLOOKUP(B570,bond!B:Y,24,FALSE)</f>
        <v>#N/A</v>
      </c>
      <c r="I570" s="95" t="e">
        <f ca="1">VLOOKUP(B570,bond!B:Z,25,FALSE)</f>
        <v>#N/A</v>
      </c>
      <c r="J570" s="180" t="e">
        <f ca="1">VLOOKUP(B570,bond!B:K,10,FALSE)</f>
        <v>#N/A</v>
      </c>
      <c r="K570" s="96" t="e">
        <f ca="1">VLOOKUP($B570,bond!B:S,14,FALSE)</f>
        <v>#N/A</v>
      </c>
      <c r="L570" s="91" t="e">
        <f ca="1">VLOOKUP(B570,bond!B:H,7,FALSE)</f>
        <v>#N/A</v>
      </c>
      <c r="M570" s="144" t="e">
        <f ca="1">VLOOKUP($B570,bond!$B:$Q,16,FALSE)</f>
        <v>#N/A</v>
      </c>
      <c r="N570" s="136" t="e">
        <f ca="1">VALUE(LEFT(VLOOKUP(B570,bond!B:R,17,FALSE),SEARCH(" ",VLOOKUP(B570,bond!B:R,17,FALSE),1)))</f>
        <v>#N/A</v>
      </c>
      <c r="O570" s="136" t="e">
        <f ca="1">VALUE(RIGHT(VLOOKUP(B570,bond!B:R,17,FALSE),LEN(VLOOKUP(B570,bond!B:R,17,FALSE))-LEN(N570)-3))</f>
        <v>#N/A</v>
      </c>
      <c r="P570" s="135" t="e">
        <f ca="1">VLOOKUP($B570,bond!$B:$AG,32,FALSE)</f>
        <v>#N/A</v>
      </c>
      <c r="Q570" s="135" t="e">
        <f ca="1">VLOOKUP($B570,bond!$B:$AH,33,FALSE)</f>
        <v>#N/A</v>
      </c>
      <c r="R570" s="135" t="e">
        <f ca="1">VLOOKUP(B570,bond!B:AA,26,FALSE)</f>
        <v>#N/A</v>
      </c>
      <c r="S570" s="135" t="e">
        <f ca="1">VLOOKUP(B570,bond!B:AI,34,FALSE)</f>
        <v>#N/A</v>
      </c>
      <c r="T570" s="135" t="e">
        <f t="shared" ca="1" si="56"/>
        <v>#N/A</v>
      </c>
      <c r="U570" s="207" t="e">
        <f ca="1">IFERROR(VLOOKUP(T570,Bond_DES!D:E,2,FALSE),VLOOKUP(S570,bond!AI:AJ,2,FALSE))</f>
        <v>#N/A</v>
      </c>
      <c r="V570" s="136" t="e">
        <f ca="1">IFERROR(VLOOKUP(B570,'1_重設數據'!L:M,2,FALSE),IF(Q570="政府",IF(AD570&gt;16,"(NPI)非專投",IF(AD570&gt;10,"(PI)專投","高資產")),IF(VLOOKUP(B570,bond!B:AN,39,FALSE)="Y","(PI)專投",IF(AD570&gt;=15,"(NPI)非專投",IF(AD570&gt;=10,"(PI)專投","高資產")))))</f>
        <v>#N/A</v>
      </c>
      <c r="W570" s="136" t="e">
        <f ca="1">VLOOKUP(AD570,'credit rating'!$F$2:$H$22,3,FALSE)</f>
        <v>#N/A</v>
      </c>
      <c r="X570" s="136" t="e">
        <f t="shared" ca="1" si="57"/>
        <v>#N/A</v>
      </c>
      <c r="Y570" s="136" t="e">
        <f t="shared" ca="1" si="58"/>
        <v>#N/A</v>
      </c>
      <c r="Z570" s="136" t="e">
        <f t="shared" ca="1" si="59"/>
        <v>#N/A</v>
      </c>
      <c r="AA570" s="134">
        <f ca="1">IFERROR(VLOOKUP(X570,'credit rating'!A:C,3,FALSE),0)</f>
        <v>0</v>
      </c>
      <c r="AB570" s="134">
        <f ca="1">IFERROR(VLOOKUP(Y570,'credit rating'!B:C,2,FALSE),0)</f>
        <v>0</v>
      </c>
      <c r="AC570" s="136">
        <f ca="1">IFERROR(VLOOKUP(Z570,'credit rating'!B:C,2,FALSE),0)</f>
        <v>0</v>
      </c>
      <c r="AD570" s="136">
        <f t="shared" ca="1" si="60"/>
        <v>0</v>
      </c>
      <c r="AE570" s="249" t="str">
        <f ca="1">IFERROR(VLOOKUP(B570,bond!B:U,20,FALSE),"")</f>
        <v/>
      </c>
      <c r="AF570" s="136" t="e">
        <f ca="1">IF(VLOOKUP(B570,bond!B:AK,36,FALSE)="#N/A Field Not Applicable","",VLOOKUP(B570,bond!B:AK,36,FALSE))</f>
        <v>#N/A</v>
      </c>
      <c r="AG570" s="136" t="e">
        <f ca="1">IF(VLOOKUP(B570,bond!B:AL,37,FALSE)="FIXED","固定",IF(VLOOKUP(B570,bond!B:AL,37,FALSE)="FLOATING","浮動",IF(VLOOKUP(B570,bond!B:AL,37,FALSE)="VARIABLE","變動",IF(VLOOKUP(B570,bond!B:AL,37,FALSE)="FLAT TRADING","不含息交易",IF(VLOOKUP(B570,bond!B:AL,37,FALSE)="ZERO COUPON","零息",VLOOKUP(B570,bond!B:AL,37,FALSE))))))</f>
        <v>#N/A</v>
      </c>
      <c r="AH570" s="136" t="e">
        <f>VLOOKUP(C570,'2_Check_code'!I:J,2,FALSE)</f>
        <v>#N/A</v>
      </c>
      <c r="AI570" s="136" t="e">
        <f t="shared" ca="1" si="61"/>
        <v>#N/A</v>
      </c>
      <c r="AJ570" s="136" t="e">
        <f t="shared" ca="1" si="62"/>
        <v>#N/A</v>
      </c>
      <c r="AK570" s="594" t="e">
        <f ca="1">IF(VLOOKUP(B570,bond!B:S,18,FALSE)="是","有",IF(VLOOKUP(B570,bond!B:S,18,FALSE)="NO OFFER","無","需查詢"))</f>
        <v>#N/A</v>
      </c>
      <c r="AL570" s="136" t="e">
        <f>IF(VLOOKUP(A570,bond!F:AR,39,FALSE)="#N/A Field Not Applicable",VLOOKUP(A570,bond!F:AR,38,FALSE),IFERROR(VLOOKUP(A570,'7_發行日例外'!A:B,2,FALSE),VLOOKUP(A570,bond!F:AR,39,FALSE)))</f>
        <v>#N/A</v>
      </c>
      <c r="AM570" s="136" t="e">
        <f ca="1">VLOOKUP(B570,bond!B:AK,36,FALSE)</f>
        <v>#N/A</v>
      </c>
      <c r="AN570" s="136" t="str">
        <f ca="1">IFERROR(VLOOKUP(B570,'3_是否下架'!A:A,1,FALSE),"")</f>
        <v/>
      </c>
      <c r="AO570" s="136" t="e">
        <f ca="1">VLOOKUP(B570,bond!B:J,9,FALSE)</f>
        <v>#N/A</v>
      </c>
      <c r="AP570" s="136" t="e">
        <f ca="1">VLOOKUP(B570,bond!B:V,21,FALSE)</f>
        <v>#N/A</v>
      </c>
    </row>
    <row r="571" spans="1:42">
      <c r="A571" s="141">
        <f>bond!F572</f>
        <v>0</v>
      </c>
      <c r="B571" s="151">
        <f ca="1">IF($C$1=TRUE,bond!B572,"")</f>
        <v>0</v>
      </c>
      <c r="C571" s="95" t="e">
        <f>VLOOKUP(A571,bond!F:G,2,FALSE)</f>
        <v>#N/A</v>
      </c>
      <c r="D571" s="142" t="e">
        <f ca="1">VLOOKUP(B571,bond!B:C,2,FALSE)</f>
        <v>#N/A</v>
      </c>
      <c r="E571" s="95" t="e">
        <f ca="1">VLOOKUP(B571,bond!B:D,3,FALSE)</f>
        <v>#N/A</v>
      </c>
      <c r="F571" s="99" t="e">
        <f ca="1">VLOOKUP(B571,bond!B:AB,27,FALSE)</f>
        <v>#N/A</v>
      </c>
      <c r="G571" s="90" t="e">
        <f ca="1">VLOOKUP(B571,bond!B:E,4,FALSE)</f>
        <v>#N/A</v>
      </c>
      <c r="H571" s="202" t="e">
        <f ca="1">VLOOKUP(B571,bond!B:Y,24,FALSE)</f>
        <v>#N/A</v>
      </c>
      <c r="I571" s="95" t="e">
        <f ca="1">VLOOKUP(B571,bond!B:Z,25,FALSE)</f>
        <v>#N/A</v>
      </c>
      <c r="J571" s="180" t="e">
        <f ca="1">VLOOKUP(B571,bond!B:K,10,FALSE)</f>
        <v>#N/A</v>
      </c>
      <c r="K571" s="96" t="e">
        <f ca="1">VLOOKUP($B571,bond!B:S,14,FALSE)</f>
        <v>#N/A</v>
      </c>
      <c r="L571" s="91" t="e">
        <f ca="1">VLOOKUP(B571,bond!B:H,7,FALSE)</f>
        <v>#N/A</v>
      </c>
      <c r="M571" s="144" t="e">
        <f ca="1">VLOOKUP($B571,bond!$B:$Q,16,FALSE)</f>
        <v>#N/A</v>
      </c>
      <c r="N571" s="136" t="e">
        <f ca="1">VALUE(LEFT(VLOOKUP(B571,bond!B:R,17,FALSE),SEARCH(" ",VLOOKUP(B571,bond!B:R,17,FALSE),1)))</f>
        <v>#N/A</v>
      </c>
      <c r="O571" s="136" t="e">
        <f ca="1">VALUE(RIGHT(VLOOKUP(B571,bond!B:R,17,FALSE),LEN(VLOOKUP(B571,bond!B:R,17,FALSE))-LEN(N571)-3))</f>
        <v>#N/A</v>
      </c>
      <c r="P571" s="135" t="e">
        <f ca="1">VLOOKUP($B571,bond!$B:$AG,32,FALSE)</f>
        <v>#N/A</v>
      </c>
      <c r="Q571" s="135" t="e">
        <f ca="1">VLOOKUP($B571,bond!$B:$AH,33,FALSE)</f>
        <v>#N/A</v>
      </c>
      <c r="R571" s="135" t="e">
        <f ca="1">VLOOKUP(B571,bond!B:AA,26,FALSE)</f>
        <v>#N/A</v>
      </c>
      <c r="S571" s="135" t="e">
        <f ca="1">VLOOKUP(B571,bond!B:AI,34,FALSE)</f>
        <v>#N/A</v>
      </c>
      <c r="T571" s="135" t="e">
        <f t="shared" ca="1" si="56"/>
        <v>#N/A</v>
      </c>
      <c r="U571" s="207" t="e">
        <f ca="1">IFERROR(VLOOKUP(T571,Bond_DES!D:E,2,FALSE),VLOOKUP(S571,bond!AI:AJ,2,FALSE))</f>
        <v>#N/A</v>
      </c>
      <c r="V571" s="136" t="e">
        <f ca="1">IFERROR(VLOOKUP(B571,'1_重設數據'!L:M,2,FALSE),IF(Q571="政府",IF(AD571&gt;16,"(NPI)非專投",IF(AD571&gt;10,"(PI)專投","高資產")),IF(VLOOKUP(B571,bond!B:AN,39,FALSE)="Y","(PI)專投",IF(AD571&gt;=15,"(NPI)非專投",IF(AD571&gt;=10,"(PI)專投","高資產")))))</f>
        <v>#N/A</v>
      </c>
      <c r="W571" s="136" t="e">
        <f ca="1">VLOOKUP(AD571,'credit rating'!$F$2:$H$22,3,FALSE)</f>
        <v>#N/A</v>
      </c>
      <c r="X571" s="136" t="e">
        <f t="shared" ca="1" si="57"/>
        <v>#N/A</v>
      </c>
      <c r="Y571" s="136" t="e">
        <f t="shared" ca="1" si="58"/>
        <v>#N/A</v>
      </c>
      <c r="Z571" s="136" t="e">
        <f t="shared" ca="1" si="59"/>
        <v>#N/A</v>
      </c>
      <c r="AA571" s="134">
        <f ca="1">IFERROR(VLOOKUP(X571,'credit rating'!A:C,3,FALSE),0)</f>
        <v>0</v>
      </c>
      <c r="AB571" s="134">
        <f ca="1">IFERROR(VLOOKUP(Y571,'credit rating'!B:C,2,FALSE),0)</f>
        <v>0</v>
      </c>
      <c r="AC571" s="136">
        <f ca="1">IFERROR(VLOOKUP(Z571,'credit rating'!B:C,2,FALSE),0)</f>
        <v>0</v>
      </c>
      <c r="AD571" s="136">
        <f t="shared" ca="1" si="60"/>
        <v>0</v>
      </c>
      <c r="AE571" s="249" t="str">
        <f ca="1">IFERROR(VLOOKUP(B571,bond!B:U,20,FALSE),"")</f>
        <v/>
      </c>
      <c r="AF571" s="136" t="e">
        <f ca="1">IF(VLOOKUP(B571,bond!B:AK,36,FALSE)="#N/A Field Not Applicable","",VLOOKUP(B571,bond!B:AK,36,FALSE))</f>
        <v>#N/A</v>
      </c>
      <c r="AG571" s="136" t="e">
        <f ca="1">IF(VLOOKUP(B571,bond!B:AL,37,FALSE)="FIXED","固定",IF(VLOOKUP(B571,bond!B:AL,37,FALSE)="FLOATING","浮動",IF(VLOOKUP(B571,bond!B:AL,37,FALSE)="VARIABLE","變動",IF(VLOOKUP(B571,bond!B:AL,37,FALSE)="FLAT TRADING","不含息交易",IF(VLOOKUP(B571,bond!B:AL,37,FALSE)="ZERO COUPON","零息",VLOOKUP(B571,bond!B:AL,37,FALSE))))))</f>
        <v>#N/A</v>
      </c>
      <c r="AH571" s="136" t="e">
        <f>VLOOKUP(C571,'2_Check_code'!I:J,2,FALSE)</f>
        <v>#N/A</v>
      </c>
      <c r="AI571" s="136" t="e">
        <f t="shared" ca="1" si="61"/>
        <v>#N/A</v>
      </c>
      <c r="AJ571" s="136" t="e">
        <f t="shared" ca="1" si="62"/>
        <v>#N/A</v>
      </c>
      <c r="AK571" s="594" t="e">
        <f ca="1">IF(VLOOKUP(B571,bond!B:S,18,FALSE)="是","有",IF(VLOOKUP(B571,bond!B:S,18,FALSE)="NO OFFER","無","需查詢"))</f>
        <v>#N/A</v>
      </c>
      <c r="AL571" s="136" t="e">
        <f>IF(VLOOKUP(A571,bond!F:AR,39,FALSE)="#N/A Field Not Applicable",VLOOKUP(A571,bond!F:AR,38,FALSE),IFERROR(VLOOKUP(A571,'7_發行日例外'!A:B,2,FALSE),VLOOKUP(A571,bond!F:AR,39,FALSE)))</f>
        <v>#N/A</v>
      </c>
      <c r="AM571" s="136" t="e">
        <f ca="1">VLOOKUP(B571,bond!B:AK,36,FALSE)</f>
        <v>#N/A</v>
      </c>
      <c r="AN571" s="136" t="str">
        <f ca="1">IFERROR(VLOOKUP(B571,'3_是否下架'!A:A,1,FALSE),"")</f>
        <v/>
      </c>
      <c r="AO571" s="136" t="e">
        <f ca="1">VLOOKUP(B571,bond!B:J,9,FALSE)</f>
        <v>#N/A</v>
      </c>
      <c r="AP571" s="136" t="e">
        <f ca="1">VLOOKUP(B571,bond!B:V,21,FALSE)</f>
        <v>#N/A</v>
      </c>
    </row>
    <row r="572" spans="1:42">
      <c r="A572" s="141">
        <f>bond!F573</f>
        <v>0</v>
      </c>
      <c r="B572" s="151">
        <f ca="1">IF($C$1=TRUE,bond!B573,"")</f>
        <v>0</v>
      </c>
      <c r="C572" s="95" t="e">
        <f>VLOOKUP(A572,bond!F:G,2,FALSE)</f>
        <v>#N/A</v>
      </c>
      <c r="D572" s="142" t="e">
        <f ca="1">VLOOKUP(B572,bond!B:C,2,FALSE)</f>
        <v>#N/A</v>
      </c>
      <c r="E572" s="95" t="e">
        <f ca="1">VLOOKUP(B572,bond!B:D,3,FALSE)</f>
        <v>#N/A</v>
      </c>
      <c r="F572" s="99" t="e">
        <f ca="1">VLOOKUP(B572,bond!B:AB,27,FALSE)</f>
        <v>#N/A</v>
      </c>
      <c r="G572" s="90" t="e">
        <f ca="1">VLOOKUP(B572,bond!B:E,4,FALSE)</f>
        <v>#N/A</v>
      </c>
      <c r="H572" s="202" t="e">
        <f ca="1">VLOOKUP(B572,bond!B:Y,24,FALSE)</f>
        <v>#N/A</v>
      </c>
      <c r="I572" s="95" t="e">
        <f ca="1">VLOOKUP(B572,bond!B:Z,25,FALSE)</f>
        <v>#N/A</v>
      </c>
      <c r="J572" s="180" t="e">
        <f ca="1">VLOOKUP(B572,bond!B:K,10,FALSE)</f>
        <v>#N/A</v>
      </c>
      <c r="K572" s="96" t="e">
        <f ca="1">VLOOKUP($B572,bond!B:S,14,FALSE)</f>
        <v>#N/A</v>
      </c>
      <c r="L572" s="91" t="e">
        <f ca="1">VLOOKUP(B572,bond!B:H,7,FALSE)</f>
        <v>#N/A</v>
      </c>
      <c r="M572" s="144" t="e">
        <f ca="1">VLOOKUP($B572,bond!$B:$Q,16,FALSE)</f>
        <v>#N/A</v>
      </c>
      <c r="N572" s="136" t="e">
        <f ca="1">VALUE(LEFT(VLOOKUP(B572,bond!B:R,17,FALSE),SEARCH(" ",VLOOKUP(B572,bond!B:R,17,FALSE),1)))</f>
        <v>#N/A</v>
      </c>
      <c r="O572" s="136" t="e">
        <f ca="1">VALUE(RIGHT(VLOOKUP(B572,bond!B:R,17,FALSE),LEN(VLOOKUP(B572,bond!B:R,17,FALSE))-LEN(N572)-3))</f>
        <v>#N/A</v>
      </c>
      <c r="P572" s="135" t="e">
        <f ca="1">VLOOKUP($B572,bond!$B:$AG,32,FALSE)</f>
        <v>#N/A</v>
      </c>
      <c r="Q572" s="135" t="e">
        <f ca="1">VLOOKUP($B572,bond!$B:$AH,33,FALSE)</f>
        <v>#N/A</v>
      </c>
      <c r="R572" s="135" t="e">
        <f ca="1">VLOOKUP(B572,bond!B:AA,26,FALSE)</f>
        <v>#N/A</v>
      </c>
      <c r="S572" s="135" t="e">
        <f ca="1">VLOOKUP(B572,bond!B:AI,34,FALSE)</f>
        <v>#N/A</v>
      </c>
      <c r="T572" s="135" t="e">
        <f t="shared" ca="1" si="56"/>
        <v>#N/A</v>
      </c>
      <c r="U572" s="207" t="e">
        <f ca="1">IFERROR(VLOOKUP(T572,Bond_DES!D:E,2,FALSE),VLOOKUP(S572,bond!AI:AJ,2,FALSE))</f>
        <v>#N/A</v>
      </c>
      <c r="V572" s="136" t="e">
        <f ca="1">IFERROR(VLOOKUP(B572,'1_重設數據'!L:M,2,FALSE),IF(Q572="政府",IF(AD572&gt;16,"(NPI)非專投",IF(AD572&gt;10,"(PI)專投","高資產")),IF(VLOOKUP(B572,bond!B:AN,39,FALSE)="Y","(PI)專投",IF(AD572&gt;=15,"(NPI)非專投",IF(AD572&gt;=10,"(PI)專投","高資產")))))</f>
        <v>#N/A</v>
      </c>
      <c r="W572" s="136" t="e">
        <f ca="1">VLOOKUP(AD572,'credit rating'!$F$2:$H$22,3,FALSE)</f>
        <v>#N/A</v>
      </c>
      <c r="X572" s="136" t="e">
        <f t="shared" ca="1" si="57"/>
        <v>#N/A</v>
      </c>
      <c r="Y572" s="136" t="e">
        <f t="shared" ca="1" si="58"/>
        <v>#N/A</v>
      </c>
      <c r="Z572" s="136" t="e">
        <f t="shared" ca="1" si="59"/>
        <v>#N/A</v>
      </c>
      <c r="AA572" s="134">
        <f ca="1">IFERROR(VLOOKUP(X572,'credit rating'!A:C,3,FALSE),0)</f>
        <v>0</v>
      </c>
      <c r="AB572" s="134">
        <f ca="1">IFERROR(VLOOKUP(Y572,'credit rating'!B:C,2,FALSE),0)</f>
        <v>0</v>
      </c>
      <c r="AC572" s="136">
        <f ca="1">IFERROR(VLOOKUP(Z572,'credit rating'!B:C,2,FALSE),0)</f>
        <v>0</v>
      </c>
      <c r="AD572" s="136">
        <f t="shared" ca="1" si="60"/>
        <v>0</v>
      </c>
      <c r="AE572" s="249" t="str">
        <f ca="1">IFERROR(VLOOKUP(B572,bond!B:U,20,FALSE),"")</f>
        <v/>
      </c>
      <c r="AF572" s="136" t="e">
        <f ca="1">IF(VLOOKUP(B572,bond!B:AK,36,FALSE)="#N/A Field Not Applicable","",VLOOKUP(B572,bond!B:AK,36,FALSE))</f>
        <v>#N/A</v>
      </c>
      <c r="AG572" s="136" t="e">
        <f ca="1">IF(VLOOKUP(B572,bond!B:AL,37,FALSE)="FIXED","固定",IF(VLOOKUP(B572,bond!B:AL,37,FALSE)="FLOATING","浮動",IF(VLOOKUP(B572,bond!B:AL,37,FALSE)="VARIABLE","變動",IF(VLOOKUP(B572,bond!B:AL,37,FALSE)="FLAT TRADING","不含息交易",IF(VLOOKUP(B572,bond!B:AL,37,FALSE)="ZERO COUPON","零息",VLOOKUP(B572,bond!B:AL,37,FALSE))))))</f>
        <v>#N/A</v>
      </c>
      <c r="AH572" s="136" t="e">
        <f>VLOOKUP(C572,'2_Check_code'!I:J,2,FALSE)</f>
        <v>#N/A</v>
      </c>
      <c r="AI572" s="136" t="e">
        <f t="shared" ca="1" si="61"/>
        <v>#N/A</v>
      </c>
      <c r="AJ572" s="136" t="e">
        <f t="shared" ca="1" si="62"/>
        <v>#N/A</v>
      </c>
      <c r="AK572" s="594" t="e">
        <f ca="1">IF(VLOOKUP(B572,bond!B:S,18,FALSE)="是","有",IF(VLOOKUP(B572,bond!B:S,18,FALSE)="NO OFFER","無","需查詢"))</f>
        <v>#N/A</v>
      </c>
      <c r="AL572" s="136" t="e">
        <f>IF(VLOOKUP(A572,bond!F:AR,39,FALSE)="#N/A Field Not Applicable",VLOOKUP(A572,bond!F:AR,38,FALSE),IFERROR(VLOOKUP(A572,'7_發行日例外'!A:B,2,FALSE),VLOOKUP(A572,bond!F:AR,39,FALSE)))</f>
        <v>#N/A</v>
      </c>
      <c r="AM572" s="136" t="e">
        <f ca="1">VLOOKUP(B572,bond!B:AK,36,FALSE)</f>
        <v>#N/A</v>
      </c>
      <c r="AN572" s="136" t="str">
        <f ca="1">IFERROR(VLOOKUP(B572,'3_是否下架'!A:A,1,FALSE),"")</f>
        <v/>
      </c>
      <c r="AO572" s="136" t="e">
        <f ca="1">VLOOKUP(B572,bond!B:J,9,FALSE)</f>
        <v>#N/A</v>
      </c>
      <c r="AP572" s="136" t="e">
        <f ca="1">VLOOKUP(B572,bond!B:V,21,FALSE)</f>
        <v>#N/A</v>
      </c>
    </row>
    <row r="573" spans="1:42">
      <c r="A573" s="141">
        <f>bond!F574</f>
        <v>0</v>
      </c>
      <c r="B573" s="151">
        <f ca="1">IF($C$1=TRUE,bond!B574,"")</f>
        <v>0</v>
      </c>
      <c r="C573" s="95" t="e">
        <f>VLOOKUP(A573,bond!F:G,2,FALSE)</f>
        <v>#N/A</v>
      </c>
      <c r="D573" s="142" t="e">
        <f ca="1">VLOOKUP(B573,bond!B:C,2,FALSE)</f>
        <v>#N/A</v>
      </c>
      <c r="E573" s="95" t="e">
        <f ca="1">VLOOKUP(B573,bond!B:D,3,FALSE)</f>
        <v>#N/A</v>
      </c>
      <c r="F573" s="99" t="e">
        <f ca="1">VLOOKUP(B573,bond!B:AB,27,FALSE)</f>
        <v>#N/A</v>
      </c>
      <c r="G573" s="90" t="e">
        <f ca="1">VLOOKUP(B573,bond!B:E,4,FALSE)</f>
        <v>#N/A</v>
      </c>
      <c r="H573" s="202" t="e">
        <f ca="1">VLOOKUP(B573,bond!B:Y,24,FALSE)</f>
        <v>#N/A</v>
      </c>
      <c r="I573" s="95" t="e">
        <f ca="1">VLOOKUP(B573,bond!B:Z,25,FALSE)</f>
        <v>#N/A</v>
      </c>
      <c r="J573" s="180" t="e">
        <f ca="1">VLOOKUP(B573,bond!B:K,10,FALSE)</f>
        <v>#N/A</v>
      </c>
      <c r="K573" s="96" t="e">
        <f ca="1">VLOOKUP($B573,bond!B:S,14,FALSE)</f>
        <v>#N/A</v>
      </c>
      <c r="L573" s="91" t="e">
        <f ca="1">VLOOKUP(B573,bond!B:H,7,FALSE)</f>
        <v>#N/A</v>
      </c>
      <c r="M573" s="144" t="e">
        <f ca="1">VLOOKUP($B573,bond!$B:$Q,16,FALSE)</f>
        <v>#N/A</v>
      </c>
      <c r="N573" s="136" t="e">
        <f ca="1">VALUE(LEFT(VLOOKUP(B573,bond!B:R,17,FALSE),SEARCH(" ",VLOOKUP(B573,bond!B:R,17,FALSE),1)))</f>
        <v>#N/A</v>
      </c>
      <c r="O573" s="136" t="e">
        <f ca="1">VALUE(RIGHT(VLOOKUP(B573,bond!B:R,17,FALSE),LEN(VLOOKUP(B573,bond!B:R,17,FALSE))-LEN(N573)-3))</f>
        <v>#N/A</v>
      </c>
      <c r="P573" s="135" t="e">
        <f ca="1">VLOOKUP($B573,bond!$B:$AG,32,FALSE)</f>
        <v>#N/A</v>
      </c>
      <c r="Q573" s="135" t="e">
        <f ca="1">VLOOKUP($B573,bond!$B:$AH,33,FALSE)</f>
        <v>#N/A</v>
      </c>
      <c r="R573" s="135" t="e">
        <f ca="1">VLOOKUP(B573,bond!B:AA,26,FALSE)</f>
        <v>#N/A</v>
      </c>
      <c r="S573" s="135" t="e">
        <f ca="1">VLOOKUP(B573,bond!B:AI,34,FALSE)</f>
        <v>#N/A</v>
      </c>
      <c r="T573" s="135" t="e">
        <f t="shared" ca="1" si="56"/>
        <v>#N/A</v>
      </c>
      <c r="U573" s="207" t="e">
        <f ca="1">IFERROR(VLOOKUP(T573,Bond_DES!D:E,2,FALSE),VLOOKUP(S573,bond!AI:AJ,2,FALSE))</f>
        <v>#N/A</v>
      </c>
      <c r="V573" s="136" t="e">
        <f ca="1">IFERROR(VLOOKUP(B573,'1_重設數據'!L:M,2,FALSE),IF(Q573="政府",IF(AD573&gt;16,"(NPI)非專投",IF(AD573&gt;10,"(PI)專投","高資產")),IF(VLOOKUP(B573,bond!B:AN,39,FALSE)="Y","(PI)專投",IF(AD573&gt;=15,"(NPI)非專投",IF(AD573&gt;=10,"(PI)專投","高資產")))))</f>
        <v>#N/A</v>
      </c>
      <c r="W573" s="136" t="e">
        <f ca="1">VLOOKUP(AD573,'credit rating'!$F$2:$H$22,3,FALSE)</f>
        <v>#N/A</v>
      </c>
      <c r="X573" s="136" t="e">
        <f t="shared" ca="1" si="57"/>
        <v>#N/A</v>
      </c>
      <c r="Y573" s="136" t="e">
        <f t="shared" ca="1" si="58"/>
        <v>#N/A</v>
      </c>
      <c r="Z573" s="136" t="e">
        <f t="shared" ca="1" si="59"/>
        <v>#N/A</v>
      </c>
      <c r="AA573" s="134">
        <f ca="1">IFERROR(VLOOKUP(X573,'credit rating'!A:C,3,FALSE),0)</f>
        <v>0</v>
      </c>
      <c r="AB573" s="134">
        <f ca="1">IFERROR(VLOOKUP(Y573,'credit rating'!B:C,2,FALSE),0)</f>
        <v>0</v>
      </c>
      <c r="AC573" s="136">
        <f ca="1">IFERROR(VLOOKUP(Z573,'credit rating'!B:C,2,FALSE),0)</f>
        <v>0</v>
      </c>
      <c r="AD573" s="136">
        <f t="shared" ca="1" si="60"/>
        <v>0</v>
      </c>
      <c r="AE573" s="249" t="str">
        <f ca="1">IFERROR(VLOOKUP(B573,bond!B:U,20,FALSE),"")</f>
        <v/>
      </c>
      <c r="AF573" s="136" t="e">
        <f ca="1">IF(VLOOKUP(B573,bond!B:AK,36,FALSE)="#N/A Field Not Applicable","",VLOOKUP(B573,bond!B:AK,36,FALSE))</f>
        <v>#N/A</v>
      </c>
      <c r="AG573" s="136" t="e">
        <f ca="1">IF(VLOOKUP(B573,bond!B:AL,37,FALSE)="FIXED","固定",IF(VLOOKUP(B573,bond!B:AL,37,FALSE)="FLOATING","浮動",IF(VLOOKUP(B573,bond!B:AL,37,FALSE)="VARIABLE","變動",IF(VLOOKUP(B573,bond!B:AL,37,FALSE)="FLAT TRADING","不含息交易",IF(VLOOKUP(B573,bond!B:AL,37,FALSE)="ZERO COUPON","零息",VLOOKUP(B573,bond!B:AL,37,FALSE))))))</f>
        <v>#N/A</v>
      </c>
      <c r="AH573" s="136" t="e">
        <f>VLOOKUP(C573,'2_Check_code'!I:J,2,FALSE)</f>
        <v>#N/A</v>
      </c>
      <c r="AI573" s="136" t="e">
        <f t="shared" ca="1" si="61"/>
        <v>#N/A</v>
      </c>
      <c r="AJ573" s="136" t="e">
        <f t="shared" ca="1" si="62"/>
        <v>#N/A</v>
      </c>
      <c r="AK573" s="594" t="e">
        <f ca="1">IF(VLOOKUP(B573,bond!B:S,18,FALSE)="是","有",IF(VLOOKUP(B573,bond!B:S,18,FALSE)="NO OFFER","無","需查詢"))</f>
        <v>#N/A</v>
      </c>
      <c r="AL573" s="136" t="e">
        <f>IF(VLOOKUP(A573,bond!F:AR,39,FALSE)="#N/A Field Not Applicable",VLOOKUP(A573,bond!F:AR,38,FALSE),IFERROR(VLOOKUP(A573,'7_發行日例外'!A:B,2,FALSE),VLOOKUP(A573,bond!F:AR,39,FALSE)))</f>
        <v>#N/A</v>
      </c>
      <c r="AM573" s="136" t="e">
        <f ca="1">VLOOKUP(B573,bond!B:AK,36,FALSE)</f>
        <v>#N/A</v>
      </c>
      <c r="AN573" s="136" t="str">
        <f ca="1">IFERROR(VLOOKUP(B573,'3_是否下架'!A:A,1,FALSE),"")</f>
        <v/>
      </c>
      <c r="AO573" s="136" t="e">
        <f ca="1">VLOOKUP(B573,bond!B:J,9,FALSE)</f>
        <v>#N/A</v>
      </c>
      <c r="AP573" s="136" t="e">
        <f ca="1">VLOOKUP(B573,bond!B:V,21,FALSE)</f>
        <v>#N/A</v>
      </c>
    </row>
    <row r="574" spans="1:42">
      <c r="A574" s="141">
        <f>bond!F575</f>
        <v>0</v>
      </c>
      <c r="B574" s="151">
        <f ca="1">IF($C$1=TRUE,bond!B575,"")</f>
        <v>0</v>
      </c>
      <c r="C574" s="95" t="e">
        <f>VLOOKUP(A574,bond!F:G,2,FALSE)</f>
        <v>#N/A</v>
      </c>
      <c r="D574" s="142" t="e">
        <f ca="1">VLOOKUP(B574,bond!B:C,2,FALSE)</f>
        <v>#N/A</v>
      </c>
      <c r="E574" s="95" t="e">
        <f ca="1">VLOOKUP(B574,bond!B:D,3,FALSE)</f>
        <v>#N/A</v>
      </c>
      <c r="F574" s="99" t="e">
        <f ca="1">VLOOKUP(B574,bond!B:AB,27,FALSE)</f>
        <v>#N/A</v>
      </c>
      <c r="G574" s="90" t="e">
        <f ca="1">VLOOKUP(B574,bond!B:E,4,FALSE)</f>
        <v>#N/A</v>
      </c>
      <c r="H574" s="202" t="e">
        <f ca="1">VLOOKUP(B574,bond!B:Y,24,FALSE)</f>
        <v>#N/A</v>
      </c>
      <c r="I574" s="95" t="e">
        <f ca="1">VLOOKUP(B574,bond!B:Z,25,FALSE)</f>
        <v>#N/A</v>
      </c>
      <c r="J574" s="180" t="e">
        <f ca="1">VLOOKUP(B574,bond!B:K,10,FALSE)</f>
        <v>#N/A</v>
      </c>
      <c r="K574" s="96" t="e">
        <f ca="1">VLOOKUP($B574,bond!B:S,14,FALSE)</f>
        <v>#N/A</v>
      </c>
      <c r="L574" s="91" t="e">
        <f ca="1">VLOOKUP(B574,bond!B:H,7,FALSE)</f>
        <v>#N/A</v>
      </c>
      <c r="M574" s="144" t="e">
        <f ca="1">VLOOKUP($B574,bond!$B:$Q,16,FALSE)</f>
        <v>#N/A</v>
      </c>
      <c r="N574" s="136" t="e">
        <f ca="1">VALUE(LEFT(VLOOKUP(B574,bond!B:R,17,FALSE),SEARCH(" ",VLOOKUP(B574,bond!B:R,17,FALSE),1)))</f>
        <v>#N/A</v>
      </c>
      <c r="O574" s="136" t="e">
        <f ca="1">VALUE(RIGHT(VLOOKUP(B574,bond!B:R,17,FALSE),LEN(VLOOKUP(B574,bond!B:R,17,FALSE))-LEN(N574)-3))</f>
        <v>#N/A</v>
      </c>
      <c r="P574" s="135" t="e">
        <f ca="1">VLOOKUP($B574,bond!$B:$AG,32,FALSE)</f>
        <v>#N/A</v>
      </c>
      <c r="Q574" s="135" t="e">
        <f ca="1">VLOOKUP($B574,bond!$B:$AH,33,FALSE)</f>
        <v>#N/A</v>
      </c>
      <c r="R574" s="135" t="e">
        <f ca="1">VLOOKUP(B574,bond!B:AA,26,FALSE)</f>
        <v>#N/A</v>
      </c>
      <c r="S574" s="135" t="e">
        <f ca="1">VLOOKUP(B574,bond!B:AI,34,FALSE)</f>
        <v>#N/A</v>
      </c>
      <c r="T574" s="135" t="e">
        <f t="shared" ca="1" si="56"/>
        <v>#N/A</v>
      </c>
      <c r="U574" s="207" t="e">
        <f ca="1">IFERROR(VLOOKUP(T574,Bond_DES!D:E,2,FALSE),VLOOKUP(S574,bond!AI:AJ,2,FALSE))</f>
        <v>#N/A</v>
      </c>
      <c r="V574" s="136" t="e">
        <f ca="1">IFERROR(VLOOKUP(B574,'1_重設數據'!L:M,2,FALSE),IF(Q574="政府",IF(AD574&gt;16,"(NPI)非專投",IF(AD574&gt;10,"(PI)專投","高資產")),IF(VLOOKUP(B574,bond!B:AN,39,FALSE)="Y","(PI)專投",IF(AD574&gt;=15,"(NPI)非專投",IF(AD574&gt;=10,"(PI)專投","高資產")))))</f>
        <v>#N/A</v>
      </c>
      <c r="W574" s="136" t="e">
        <f ca="1">VLOOKUP(AD574,'credit rating'!$F$2:$H$22,3,FALSE)</f>
        <v>#N/A</v>
      </c>
      <c r="X574" s="136" t="e">
        <f t="shared" ca="1" si="57"/>
        <v>#N/A</v>
      </c>
      <c r="Y574" s="136" t="e">
        <f t="shared" ca="1" si="58"/>
        <v>#N/A</v>
      </c>
      <c r="Z574" s="136" t="e">
        <f t="shared" ca="1" si="59"/>
        <v>#N/A</v>
      </c>
      <c r="AA574" s="134">
        <f ca="1">IFERROR(VLOOKUP(X574,'credit rating'!A:C,3,FALSE),0)</f>
        <v>0</v>
      </c>
      <c r="AB574" s="134">
        <f ca="1">IFERROR(VLOOKUP(Y574,'credit rating'!B:C,2,FALSE),0)</f>
        <v>0</v>
      </c>
      <c r="AC574" s="136">
        <f ca="1">IFERROR(VLOOKUP(Z574,'credit rating'!B:C,2,FALSE),0)</f>
        <v>0</v>
      </c>
      <c r="AD574" s="136">
        <f t="shared" ca="1" si="60"/>
        <v>0</v>
      </c>
      <c r="AE574" s="249" t="str">
        <f ca="1">IFERROR(VLOOKUP(B574,bond!B:U,20,FALSE),"")</f>
        <v/>
      </c>
      <c r="AF574" s="136" t="e">
        <f ca="1">IF(VLOOKUP(B574,bond!B:AK,36,FALSE)="#N/A Field Not Applicable","",VLOOKUP(B574,bond!B:AK,36,FALSE))</f>
        <v>#N/A</v>
      </c>
      <c r="AG574" s="136" t="e">
        <f ca="1">IF(VLOOKUP(B574,bond!B:AL,37,FALSE)="FIXED","固定",IF(VLOOKUP(B574,bond!B:AL,37,FALSE)="FLOATING","浮動",IF(VLOOKUP(B574,bond!B:AL,37,FALSE)="VARIABLE","變動",IF(VLOOKUP(B574,bond!B:AL,37,FALSE)="FLAT TRADING","不含息交易",IF(VLOOKUP(B574,bond!B:AL,37,FALSE)="ZERO COUPON","零息",VLOOKUP(B574,bond!B:AL,37,FALSE))))))</f>
        <v>#N/A</v>
      </c>
      <c r="AH574" s="136" t="e">
        <f>VLOOKUP(C574,'2_Check_code'!I:J,2,FALSE)</f>
        <v>#N/A</v>
      </c>
      <c r="AI574" s="136" t="e">
        <f t="shared" ca="1" si="61"/>
        <v>#N/A</v>
      </c>
      <c r="AJ574" s="136" t="e">
        <f t="shared" ca="1" si="62"/>
        <v>#N/A</v>
      </c>
      <c r="AK574" s="594" t="e">
        <f ca="1">IF(VLOOKUP(B574,bond!B:S,18,FALSE)="是","有",IF(VLOOKUP(B574,bond!B:S,18,FALSE)="NO OFFER","無","需查詢"))</f>
        <v>#N/A</v>
      </c>
      <c r="AL574" s="136" t="e">
        <f>IF(VLOOKUP(A574,bond!F:AR,39,FALSE)="#N/A Field Not Applicable",VLOOKUP(A574,bond!F:AR,38,FALSE),IFERROR(VLOOKUP(A574,'7_發行日例外'!A:B,2,FALSE),VLOOKUP(A574,bond!F:AR,39,FALSE)))</f>
        <v>#N/A</v>
      </c>
      <c r="AM574" s="136" t="e">
        <f ca="1">VLOOKUP(B574,bond!B:AK,36,FALSE)</f>
        <v>#N/A</v>
      </c>
      <c r="AN574" s="136" t="str">
        <f ca="1">IFERROR(VLOOKUP(B574,'3_是否下架'!A:A,1,FALSE),"")</f>
        <v/>
      </c>
      <c r="AO574" s="136" t="e">
        <f ca="1">VLOOKUP(B574,bond!B:J,9,FALSE)</f>
        <v>#N/A</v>
      </c>
      <c r="AP574" s="136" t="e">
        <f ca="1">VLOOKUP(B574,bond!B:V,21,FALSE)</f>
        <v>#N/A</v>
      </c>
    </row>
    <row r="575" spans="1:42">
      <c r="A575" s="141">
        <f>bond!F576</f>
        <v>0</v>
      </c>
      <c r="B575" s="151">
        <f ca="1">IF($C$1=TRUE,bond!B576,"")</f>
        <v>0</v>
      </c>
      <c r="C575" s="95" t="e">
        <f>VLOOKUP(A575,bond!F:G,2,FALSE)</f>
        <v>#N/A</v>
      </c>
      <c r="D575" s="142" t="e">
        <f ca="1">VLOOKUP(B575,bond!B:C,2,FALSE)</f>
        <v>#N/A</v>
      </c>
      <c r="E575" s="95" t="e">
        <f ca="1">VLOOKUP(B575,bond!B:D,3,FALSE)</f>
        <v>#N/A</v>
      </c>
      <c r="F575" s="99" t="e">
        <f ca="1">VLOOKUP(B575,bond!B:AB,27,FALSE)</f>
        <v>#N/A</v>
      </c>
      <c r="G575" s="90" t="e">
        <f ca="1">VLOOKUP(B575,bond!B:E,4,FALSE)</f>
        <v>#N/A</v>
      </c>
      <c r="H575" s="202" t="e">
        <f ca="1">VLOOKUP(B575,bond!B:Y,24,FALSE)</f>
        <v>#N/A</v>
      </c>
      <c r="I575" s="95" t="e">
        <f ca="1">VLOOKUP(B575,bond!B:Z,25,FALSE)</f>
        <v>#N/A</v>
      </c>
      <c r="J575" s="180" t="e">
        <f ca="1">VLOOKUP(B575,bond!B:K,10,FALSE)</f>
        <v>#N/A</v>
      </c>
      <c r="K575" s="96" t="e">
        <f ca="1">VLOOKUP($B575,bond!B:S,14,FALSE)</f>
        <v>#N/A</v>
      </c>
      <c r="L575" s="91" t="e">
        <f ca="1">VLOOKUP(B575,bond!B:H,7,FALSE)</f>
        <v>#N/A</v>
      </c>
      <c r="M575" s="144" t="e">
        <f ca="1">VLOOKUP($B575,bond!$B:$Q,16,FALSE)</f>
        <v>#N/A</v>
      </c>
      <c r="N575" s="136" t="e">
        <f ca="1">VALUE(LEFT(VLOOKUP(B575,bond!B:R,17,FALSE),SEARCH(" ",VLOOKUP(B575,bond!B:R,17,FALSE),1)))</f>
        <v>#N/A</v>
      </c>
      <c r="O575" s="136" t="e">
        <f ca="1">VALUE(RIGHT(VLOOKUP(B575,bond!B:R,17,FALSE),LEN(VLOOKUP(B575,bond!B:R,17,FALSE))-LEN(N575)-3))</f>
        <v>#N/A</v>
      </c>
      <c r="P575" s="135" t="e">
        <f ca="1">VLOOKUP($B575,bond!$B:$AG,32,FALSE)</f>
        <v>#N/A</v>
      </c>
      <c r="Q575" s="135" t="e">
        <f ca="1">VLOOKUP($B575,bond!$B:$AH,33,FALSE)</f>
        <v>#N/A</v>
      </c>
      <c r="R575" s="135" t="e">
        <f ca="1">VLOOKUP(B575,bond!B:AA,26,FALSE)</f>
        <v>#N/A</v>
      </c>
      <c r="S575" s="135" t="e">
        <f ca="1">VLOOKUP(B575,bond!B:AI,34,FALSE)</f>
        <v>#N/A</v>
      </c>
      <c r="T575" s="135" t="e">
        <f t="shared" ca="1" si="56"/>
        <v>#N/A</v>
      </c>
      <c r="U575" s="207" t="e">
        <f ca="1">IFERROR(VLOOKUP(T575,Bond_DES!D:E,2,FALSE),VLOOKUP(S575,bond!AI:AJ,2,FALSE))</f>
        <v>#N/A</v>
      </c>
      <c r="V575" s="136" t="e">
        <f ca="1">IFERROR(VLOOKUP(B575,'1_重設數據'!L:M,2,FALSE),IF(Q575="政府",IF(AD575&gt;16,"(NPI)非專投",IF(AD575&gt;10,"(PI)專投","高資產")),IF(VLOOKUP(B575,bond!B:AN,39,FALSE)="Y","(PI)專投",IF(AD575&gt;=15,"(NPI)非專投",IF(AD575&gt;=10,"(PI)專投","高資產")))))</f>
        <v>#N/A</v>
      </c>
      <c r="W575" s="136" t="e">
        <f ca="1">VLOOKUP(AD575,'credit rating'!$F$2:$H$22,3,FALSE)</f>
        <v>#N/A</v>
      </c>
      <c r="X575" s="136" t="e">
        <f t="shared" ca="1" si="57"/>
        <v>#N/A</v>
      </c>
      <c r="Y575" s="136" t="e">
        <f t="shared" ca="1" si="58"/>
        <v>#N/A</v>
      </c>
      <c r="Z575" s="136" t="e">
        <f t="shared" ca="1" si="59"/>
        <v>#N/A</v>
      </c>
      <c r="AA575" s="134">
        <f ca="1">IFERROR(VLOOKUP(X575,'credit rating'!A:C,3,FALSE),0)</f>
        <v>0</v>
      </c>
      <c r="AB575" s="134">
        <f ca="1">IFERROR(VLOOKUP(Y575,'credit rating'!B:C,2,FALSE),0)</f>
        <v>0</v>
      </c>
      <c r="AC575" s="136">
        <f ca="1">IFERROR(VLOOKUP(Z575,'credit rating'!B:C,2,FALSE),0)</f>
        <v>0</v>
      </c>
      <c r="AD575" s="136">
        <f t="shared" ca="1" si="60"/>
        <v>0</v>
      </c>
      <c r="AE575" s="249" t="str">
        <f ca="1">IFERROR(VLOOKUP(B575,bond!B:U,20,FALSE),"")</f>
        <v/>
      </c>
      <c r="AF575" s="136" t="e">
        <f ca="1">IF(VLOOKUP(B575,bond!B:AK,36,FALSE)="#N/A Field Not Applicable","",VLOOKUP(B575,bond!B:AK,36,FALSE))</f>
        <v>#N/A</v>
      </c>
      <c r="AG575" s="136" t="e">
        <f ca="1">IF(VLOOKUP(B575,bond!B:AL,37,FALSE)="FIXED","固定",IF(VLOOKUP(B575,bond!B:AL,37,FALSE)="FLOATING","浮動",IF(VLOOKUP(B575,bond!B:AL,37,FALSE)="VARIABLE","變動",IF(VLOOKUP(B575,bond!B:AL,37,FALSE)="FLAT TRADING","不含息交易",IF(VLOOKUP(B575,bond!B:AL,37,FALSE)="ZERO COUPON","零息",VLOOKUP(B575,bond!B:AL,37,FALSE))))))</f>
        <v>#N/A</v>
      </c>
      <c r="AH575" s="136" t="e">
        <f>VLOOKUP(C575,'2_Check_code'!I:J,2,FALSE)</f>
        <v>#N/A</v>
      </c>
      <c r="AI575" s="136" t="e">
        <f t="shared" ca="1" si="61"/>
        <v>#N/A</v>
      </c>
      <c r="AJ575" s="136" t="e">
        <f t="shared" ca="1" si="62"/>
        <v>#N/A</v>
      </c>
      <c r="AK575" s="594" t="e">
        <f ca="1">IF(VLOOKUP(B575,bond!B:S,18,FALSE)="是","有",IF(VLOOKUP(B575,bond!B:S,18,FALSE)="NO OFFER","無","需查詢"))</f>
        <v>#N/A</v>
      </c>
      <c r="AL575" s="136" t="e">
        <f>IF(VLOOKUP(A575,bond!F:AR,39,FALSE)="#N/A Field Not Applicable",VLOOKUP(A575,bond!F:AR,38,FALSE),IFERROR(VLOOKUP(A575,'7_發行日例外'!A:B,2,FALSE),VLOOKUP(A575,bond!F:AR,39,FALSE)))</f>
        <v>#N/A</v>
      </c>
      <c r="AM575" s="136" t="e">
        <f ca="1">VLOOKUP(B575,bond!B:AK,36,FALSE)</f>
        <v>#N/A</v>
      </c>
      <c r="AN575" s="136" t="str">
        <f ca="1">IFERROR(VLOOKUP(B575,'3_是否下架'!A:A,1,FALSE),"")</f>
        <v/>
      </c>
      <c r="AO575" s="136" t="e">
        <f ca="1">VLOOKUP(B575,bond!B:J,9,FALSE)</f>
        <v>#N/A</v>
      </c>
      <c r="AP575" s="136" t="e">
        <f ca="1">VLOOKUP(B575,bond!B:V,21,FALSE)</f>
        <v>#N/A</v>
      </c>
    </row>
    <row r="576" spans="1:42">
      <c r="A576" s="141">
        <f>bond!F577</f>
        <v>0</v>
      </c>
      <c r="B576" s="151">
        <f ca="1">IF($C$1=TRUE,bond!B577,"")</f>
        <v>0</v>
      </c>
      <c r="C576" s="95" t="e">
        <f>VLOOKUP(A576,bond!F:G,2,FALSE)</f>
        <v>#N/A</v>
      </c>
      <c r="D576" s="142" t="e">
        <f ca="1">VLOOKUP(B576,bond!B:C,2,FALSE)</f>
        <v>#N/A</v>
      </c>
      <c r="E576" s="95" t="e">
        <f ca="1">VLOOKUP(B576,bond!B:D,3,FALSE)</f>
        <v>#N/A</v>
      </c>
      <c r="F576" s="99" t="e">
        <f ca="1">VLOOKUP(B576,bond!B:AB,27,FALSE)</f>
        <v>#N/A</v>
      </c>
      <c r="G576" s="90" t="e">
        <f ca="1">VLOOKUP(B576,bond!B:E,4,FALSE)</f>
        <v>#N/A</v>
      </c>
      <c r="H576" s="202" t="e">
        <f ca="1">VLOOKUP(B576,bond!B:Y,24,FALSE)</f>
        <v>#N/A</v>
      </c>
      <c r="I576" s="95" t="e">
        <f ca="1">VLOOKUP(B576,bond!B:Z,25,FALSE)</f>
        <v>#N/A</v>
      </c>
      <c r="J576" s="180" t="e">
        <f ca="1">VLOOKUP(B576,bond!B:K,10,FALSE)</f>
        <v>#N/A</v>
      </c>
      <c r="K576" s="96" t="e">
        <f ca="1">VLOOKUP($B576,bond!B:S,14,FALSE)</f>
        <v>#N/A</v>
      </c>
      <c r="L576" s="91" t="e">
        <f ca="1">VLOOKUP(B576,bond!B:H,7,FALSE)</f>
        <v>#N/A</v>
      </c>
      <c r="M576" s="144" t="e">
        <f ca="1">VLOOKUP($B576,bond!$B:$Q,16,FALSE)</f>
        <v>#N/A</v>
      </c>
      <c r="N576" s="136" t="e">
        <f ca="1">VALUE(LEFT(VLOOKUP(B576,bond!B:R,17,FALSE),SEARCH(" ",VLOOKUP(B576,bond!B:R,17,FALSE),1)))</f>
        <v>#N/A</v>
      </c>
      <c r="O576" s="136" t="e">
        <f ca="1">VALUE(RIGHT(VLOOKUP(B576,bond!B:R,17,FALSE),LEN(VLOOKUP(B576,bond!B:R,17,FALSE))-LEN(N576)-3))</f>
        <v>#N/A</v>
      </c>
      <c r="P576" s="135" t="e">
        <f ca="1">VLOOKUP($B576,bond!$B:$AG,32,FALSE)</f>
        <v>#N/A</v>
      </c>
      <c r="Q576" s="135" t="e">
        <f ca="1">VLOOKUP($B576,bond!$B:$AH,33,FALSE)</f>
        <v>#N/A</v>
      </c>
      <c r="R576" s="135" t="e">
        <f ca="1">VLOOKUP(B576,bond!B:AA,26,FALSE)</f>
        <v>#N/A</v>
      </c>
      <c r="S576" s="135" t="e">
        <f ca="1">VLOOKUP(B576,bond!B:AI,34,FALSE)</f>
        <v>#N/A</v>
      </c>
      <c r="T576" s="135" t="e">
        <f t="shared" ca="1" si="56"/>
        <v>#N/A</v>
      </c>
      <c r="U576" s="207" t="e">
        <f ca="1">IFERROR(VLOOKUP(T576,Bond_DES!D:E,2,FALSE),VLOOKUP(S576,bond!AI:AJ,2,FALSE))</f>
        <v>#N/A</v>
      </c>
      <c r="V576" s="136" t="e">
        <f ca="1">IFERROR(VLOOKUP(B576,'1_重設數據'!L:M,2,FALSE),IF(Q576="政府",IF(AD576&gt;16,"(NPI)非專投",IF(AD576&gt;10,"(PI)專投","高資產")),IF(VLOOKUP(B576,bond!B:AN,39,FALSE)="Y","(PI)專投",IF(AD576&gt;=15,"(NPI)非專投",IF(AD576&gt;=10,"(PI)專投","高資產")))))</f>
        <v>#N/A</v>
      </c>
      <c r="W576" s="136" t="e">
        <f ca="1">VLOOKUP(AD576,'credit rating'!$F$2:$H$22,3,FALSE)</f>
        <v>#N/A</v>
      </c>
      <c r="X576" s="136" t="e">
        <f t="shared" ca="1" si="57"/>
        <v>#N/A</v>
      </c>
      <c r="Y576" s="136" t="e">
        <f t="shared" ca="1" si="58"/>
        <v>#N/A</v>
      </c>
      <c r="Z576" s="136" t="e">
        <f t="shared" ca="1" si="59"/>
        <v>#N/A</v>
      </c>
      <c r="AA576" s="134">
        <f ca="1">IFERROR(VLOOKUP(X576,'credit rating'!A:C,3,FALSE),0)</f>
        <v>0</v>
      </c>
      <c r="AB576" s="134">
        <f ca="1">IFERROR(VLOOKUP(Y576,'credit rating'!B:C,2,FALSE),0)</f>
        <v>0</v>
      </c>
      <c r="AC576" s="136">
        <f ca="1">IFERROR(VLOOKUP(Z576,'credit rating'!B:C,2,FALSE),0)</f>
        <v>0</v>
      </c>
      <c r="AD576" s="136">
        <f t="shared" ca="1" si="60"/>
        <v>0</v>
      </c>
      <c r="AE576" s="249" t="str">
        <f ca="1">IFERROR(VLOOKUP(B576,bond!B:U,20,FALSE),"")</f>
        <v/>
      </c>
      <c r="AF576" s="136" t="e">
        <f ca="1">IF(VLOOKUP(B576,bond!B:AK,36,FALSE)="#N/A Field Not Applicable","",VLOOKUP(B576,bond!B:AK,36,FALSE))</f>
        <v>#N/A</v>
      </c>
      <c r="AG576" s="136" t="e">
        <f ca="1">IF(VLOOKUP(B576,bond!B:AL,37,FALSE)="FIXED","固定",IF(VLOOKUP(B576,bond!B:AL,37,FALSE)="FLOATING","浮動",IF(VLOOKUP(B576,bond!B:AL,37,FALSE)="VARIABLE","變動",IF(VLOOKUP(B576,bond!B:AL,37,FALSE)="FLAT TRADING","不含息交易",IF(VLOOKUP(B576,bond!B:AL,37,FALSE)="ZERO COUPON","零息",VLOOKUP(B576,bond!B:AL,37,FALSE))))))</f>
        <v>#N/A</v>
      </c>
      <c r="AH576" s="136" t="e">
        <f>VLOOKUP(C576,'2_Check_code'!I:J,2,FALSE)</f>
        <v>#N/A</v>
      </c>
      <c r="AI576" s="136" t="e">
        <f t="shared" ca="1" si="61"/>
        <v>#N/A</v>
      </c>
      <c r="AJ576" s="136" t="e">
        <f t="shared" ca="1" si="62"/>
        <v>#N/A</v>
      </c>
      <c r="AK576" s="594" t="e">
        <f ca="1">IF(VLOOKUP(B576,bond!B:S,18,FALSE)="是","有",IF(VLOOKUP(B576,bond!B:S,18,FALSE)="NO OFFER","無","需查詢"))</f>
        <v>#N/A</v>
      </c>
      <c r="AL576" s="136" t="e">
        <f>IF(VLOOKUP(A576,bond!F:AR,39,FALSE)="#N/A Field Not Applicable",VLOOKUP(A576,bond!F:AR,38,FALSE),IFERROR(VLOOKUP(A576,'7_發行日例外'!A:B,2,FALSE),VLOOKUP(A576,bond!F:AR,39,FALSE)))</f>
        <v>#N/A</v>
      </c>
      <c r="AM576" s="136" t="e">
        <f ca="1">VLOOKUP(B576,bond!B:AK,36,FALSE)</f>
        <v>#N/A</v>
      </c>
      <c r="AN576" s="136" t="str">
        <f ca="1">IFERROR(VLOOKUP(B576,'3_是否下架'!A:A,1,FALSE),"")</f>
        <v/>
      </c>
      <c r="AO576" s="136" t="e">
        <f ca="1">VLOOKUP(B576,bond!B:J,9,FALSE)</f>
        <v>#N/A</v>
      </c>
      <c r="AP576" s="136" t="e">
        <f ca="1">VLOOKUP(B576,bond!B:V,21,FALSE)</f>
        <v>#N/A</v>
      </c>
    </row>
    <row r="577" spans="1:42">
      <c r="A577" s="141">
        <f>bond!F578</f>
        <v>0</v>
      </c>
      <c r="B577" s="151">
        <f ca="1">IF($C$1=TRUE,bond!B578,"")</f>
        <v>0</v>
      </c>
      <c r="C577" s="95" t="e">
        <f>VLOOKUP(A577,bond!F:G,2,FALSE)</f>
        <v>#N/A</v>
      </c>
      <c r="D577" s="142" t="e">
        <f ca="1">VLOOKUP(B577,bond!B:C,2,FALSE)</f>
        <v>#N/A</v>
      </c>
      <c r="E577" s="95" t="e">
        <f ca="1">VLOOKUP(B577,bond!B:D,3,FALSE)</f>
        <v>#N/A</v>
      </c>
      <c r="F577" s="99" t="e">
        <f ca="1">VLOOKUP(B577,bond!B:AB,27,FALSE)</f>
        <v>#N/A</v>
      </c>
      <c r="G577" s="90" t="e">
        <f ca="1">VLOOKUP(B577,bond!B:E,4,FALSE)</f>
        <v>#N/A</v>
      </c>
      <c r="H577" s="202" t="e">
        <f ca="1">VLOOKUP(B577,bond!B:Y,24,FALSE)</f>
        <v>#N/A</v>
      </c>
      <c r="I577" s="95" t="e">
        <f ca="1">VLOOKUP(B577,bond!B:Z,25,FALSE)</f>
        <v>#N/A</v>
      </c>
      <c r="J577" s="180" t="e">
        <f ca="1">VLOOKUP(B577,bond!B:K,10,FALSE)</f>
        <v>#N/A</v>
      </c>
      <c r="K577" s="96" t="e">
        <f ca="1">VLOOKUP($B577,bond!B:S,14,FALSE)</f>
        <v>#N/A</v>
      </c>
      <c r="L577" s="91" t="e">
        <f ca="1">VLOOKUP(B577,bond!B:H,7,FALSE)</f>
        <v>#N/A</v>
      </c>
      <c r="M577" s="144" t="e">
        <f ca="1">VLOOKUP($B577,bond!$B:$Q,16,FALSE)</f>
        <v>#N/A</v>
      </c>
      <c r="N577" s="136" t="e">
        <f ca="1">VALUE(LEFT(VLOOKUP(B577,bond!B:R,17,FALSE),SEARCH(" ",VLOOKUP(B577,bond!B:R,17,FALSE),1)))</f>
        <v>#N/A</v>
      </c>
      <c r="O577" s="136" t="e">
        <f ca="1">VALUE(RIGHT(VLOOKUP(B577,bond!B:R,17,FALSE),LEN(VLOOKUP(B577,bond!B:R,17,FALSE))-LEN(N577)-3))</f>
        <v>#N/A</v>
      </c>
      <c r="P577" s="135" t="e">
        <f ca="1">VLOOKUP($B577,bond!$B:$AG,32,FALSE)</f>
        <v>#N/A</v>
      </c>
      <c r="Q577" s="135" t="e">
        <f ca="1">VLOOKUP($B577,bond!$B:$AH,33,FALSE)</f>
        <v>#N/A</v>
      </c>
      <c r="R577" s="135" t="e">
        <f ca="1">VLOOKUP(B577,bond!B:AA,26,FALSE)</f>
        <v>#N/A</v>
      </c>
      <c r="S577" s="135" t="e">
        <f ca="1">VLOOKUP(B577,bond!B:AI,34,FALSE)</f>
        <v>#N/A</v>
      </c>
      <c r="T577" s="135" t="e">
        <f t="shared" ca="1" si="56"/>
        <v>#N/A</v>
      </c>
      <c r="U577" s="207" t="e">
        <f ca="1">IFERROR(VLOOKUP(T577,Bond_DES!D:E,2,FALSE),VLOOKUP(S577,bond!AI:AJ,2,FALSE))</f>
        <v>#N/A</v>
      </c>
      <c r="V577" s="136" t="e">
        <f ca="1">IFERROR(VLOOKUP(B577,'1_重設數據'!L:M,2,FALSE),IF(Q577="政府",IF(AD577&gt;16,"(NPI)非專投",IF(AD577&gt;10,"(PI)專投","高資產")),IF(VLOOKUP(B577,bond!B:AN,39,FALSE)="Y","(PI)專投",IF(AD577&gt;=15,"(NPI)非專投",IF(AD577&gt;=10,"(PI)專投","高資產")))))</f>
        <v>#N/A</v>
      </c>
      <c r="W577" s="136" t="e">
        <f ca="1">VLOOKUP(AD577,'credit rating'!$F$2:$H$22,3,FALSE)</f>
        <v>#N/A</v>
      </c>
      <c r="X577" s="136" t="e">
        <f t="shared" ca="1" si="57"/>
        <v>#N/A</v>
      </c>
      <c r="Y577" s="136" t="e">
        <f t="shared" ca="1" si="58"/>
        <v>#N/A</v>
      </c>
      <c r="Z577" s="136" t="e">
        <f t="shared" ca="1" si="59"/>
        <v>#N/A</v>
      </c>
      <c r="AA577" s="134">
        <f ca="1">IFERROR(VLOOKUP(X577,'credit rating'!A:C,3,FALSE),0)</f>
        <v>0</v>
      </c>
      <c r="AB577" s="134">
        <f ca="1">IFERROR(VLOOKUP(Y577,'credit rating'!B:C,2,FALSE),0)</f>
        <v>0</v>
      </c>
      <c r="AC577" s="136">
        <f ca="1">IFERROR(VLOOKUP(Z577,'credit rating'!B:C,2,FALSE),0)</f>
        <v>0</v>
      </c>
      <c r="AD577" s="136">
        <f t="shared" ca="1" si="60"/>
        <v>0</v>
      </c>
      <c r="AE577" s="249" t="str">
        <f ca="1">IFERROR(VLOOKUP(B577,bond!B:U,20,FALSE),"")</f>
        <v/>
      </c>
      <c r="AF577" s="136" t="e">
        <f ca="1">IF(VLOOKUP(B577,bond!B:AK,36,FALSE)="#N/A Field Not Applicable","",VLOOKUP(B577,bond!B:AK,36,FALSE))</f>
        <v>#N/A</v>
      </c>
      <c r="AG577" s="136" t="e">
        <f ca="1">IF(VLOOKUP(B577,bond!B:AL,37,FALSE)="FIXED","固定",IF(VLOOKUP(B577,bond!B:AL,37,FALSE)="FLOATING","浮動",IF(VLOOKUP(B577,bond!B:AL,37,FALSE)="VARIABLE","變動",IF(VLOOKUP(B577,bond!B:AL,37,FALSE)="FLAT TRADING","不含息交易",IF(VLOOKUP(B577,bond!B:AL,37,FALSE)="ZERO COUPON","零息",VLOOKUP(B577,bond!B:AL,37,FALSE))))))</f>
        <v>#N/A</v>
      </c>
      <c r="AH577" s="136" t="e">
        <f>VLOOKUP(C577,'2_Check_code'!I:J,2,FALSE)</f>
        <v>#N/A</v>
      </c>
      <c r="AI577" s="136" t="e">
        <f t="shared" ca="1" si="61"/>
        <v>#N/A</v>
      </c>
      <c r="AJ577" s="136" t="e">
        <f t="shared" ca="1" si="62"/>
        <v>#N/A</v>
      </c>
      <c r="AK577" s="594" t="e">
        <f ca="1">IF(VLOOKUP(B577,bond!B:S,18,FALSE)="是","有",IF(VLOOKUP(B577,bond!B:S,18,FALSE)="NO OFFER","無","需查詢"))</f>
        <v>#N/A</v>
      </c>
      <c r="AL577" s="136" t="e">
        <f>IF(VLOOKUP(A577,bond!F:AR,39,FALSE)="#N/A Field Not Applicable",VLOOKUP(A577,bond!F:AR,38,FALSE),IFERROR(VLOOKUP(A577,'7_發行日例外'!A:B,2,FALSE),VLOOKUP(A577,bond!F:AR,39,FALSE)))</f>
        <v>#N/A</v>
      </c>
      <c r="AM577" s="136" t="e">
        <f ca="1">VLOOKUP(B577,bond!B:AK,36,FALSE)</f>
        <v>#N/A</v>
      </c>
      <c r="AN577" s="136" t="str">
        <f ca="1">IFERROR(VLOOKUP(B577,'3_是否下架'!A:A,1,FALSE),"")</f>
        <v/>
      </c>
      <c r="AO577" s="136" t="e">
        <f ca="1">VLOOKUP(B577,bond!B:J,9,FALSE)</f>
        <v>#N/A</v>
      </c>
      <c r="AP577" s="136" t="e">
        <f ca="1">VLOOKUP(B577,bond!B:V,21,FALSE)</f>
        <v>#N/A</v>
      </c>
    </row>
    <row r="578" spans="1:42">
      <c r="A578" s="141">
        <f>bond!F579</f>
        <v>0</v>
      </c>
      <c r="B578" s="151">
        <f ca="1">IF($C$1=TRUE,bond!B579,"")</f>
        <v>0</v>
      </c>
      <c r="C578" s="95" t="e">
        <f>VLOOKUP(A578,bond!F:G,2,FALSE)</f>
        <v>#N/A</v>
      </c>
      <c r="D578" s="142" t="e">
        <f ca="1">VLOOKUP(B578,bond!B:C,2,FALSE)</f>
        <v>#N/A</v>
      </c>
      <c r="E578" s="95" t="e">
        <f ca="1">VLOOKUP(B578,bond!B:D,3,FALSE)</f>
        <v>#N/A</v>
      </c>
      <c r="F578" s="99" t="e">
        <f ca="1">VLOOKUP(B578,bond!B:AB,27,FALSE)</f>
        <v>#N/A</v>
      </c>
      <c r="G578" s="90" t="e">
        <f ca="1">VLOOKUP(B578,bond!B:E,4,FALSE)</f>
        <v>#N/A</v>
      </c>
      <c r="H578" s="202" t="e">
        <f ca="1">VLOOKUP(B578,bond!B:Y,24,FALSE)</f>
        <v>#N/A</v>
      </c>
      <c r="I578" s="95" t="e">
        <f ca="1">VLOOKUP(B578,bond!B:Z,25,FALSE)</f>
        <v>#N/A</v>
      </c>
      <c r="J578" s="180" t="e">
        <f ca="1">VLOOKUP(B578,bond!B:K,10,FALSE)</f>
        <v>#N/A</v>
      </c>
      <c r="K578" s="96" t="e">
        <f ca="1">VLOOKUP($B578,bond!B:S,14,FALSE)</f>
        <v>#N/A</v>
      </c>
      <c r="L578" s="91" t="e">
        <f ca="1">VLOOKUP(B578,bond!B:H,7,FALSE)</f>
        <v>#N/A</v>
      </c>
      <c r="M578" s="144" t="e">
        <f ca="1">VLOOKUP($B578,bond!$B:$Q,16,FALSE)</f>
        <v>#N/A</v>
      </c>
      <c r="N578" s="136" t="e">
        <f ca="1">VALUE(LEFT(VLOOKUP(B578,bond!B:R,17,FALSE),SEARCH(" ",VLOOKUP(B578,bond!B:R,17,FALSE),1)))</f>
        <v>#N/A</v>
      </c>
      <c r="O578" s="136" t="e">
        <f ca="1">VALUE(RIGHT(VLOOKUP(B578,bond!B:R,17,FALSE),LEN(VLOOKUP(B578,bond!B:R,17,FALSE))-LEN(N578)-3))</f>
        <v>#N/A</v>
      </c>
      <c r="P578" s="135" t="e">
        <f ca="1">VLOOKUP($B578,bond!$B:$AG,32,FALSE)</f>
        <v>#N/A</v>
      </c>
      <c r="Q578" s="135" t="e">
        <f ca="1">VLOOKUP($B578,bond!$B:$AH,33,FALSE)</f>
        <v>#N/A</v>
      </c>
      <c r="R578" s="135" t="e">
        <f ca="1">VLOOKUP(B578,bond!B:AA,26,FALSE)</f>
        <v>#N/A</v>
      </c>
      <c r="S578" s="135" t="e">
        <f ca="1">VLOOKUP(B578,bond!B:AI,34,FALSE)</f>
        <v>#N/A</v>
      </c>
      <c r="T578" s="135" t="e">
        <f t="shared" ca="1" si="56"/>
        <v>#N/A</v>
      </c>
      <c r="U578" s="207" t="e">
        <f ca="1">IFERROR(VLOOKUP(T578,Bond_DES!D:E,2,FALSE),VLOOKUP(S578,bond!AI:AJ,2,FALSE))</f>
        <v>#N/A</v>
      </c>
      <c r="V578" s="136" t="e">
        <f ca="1">IFERROR(VLOOKUP(B578,'1_重設數據'!L:M,2,FALSE),IF(Q578="政府",IF(AD578&gt;16,"(NPI)非專投",IF(AD578&gt;10,"(PI)專投","高資產")),IF(VLOOKUP(B578,bond!B:AN,39,FALSE)="Y","(PI)專投",IF(AD578&gt;=15,"(NPI)非專投",IF(AD578&gt;=10,"(PI)專投","高資產")))))</f>
        <v>#N/A</v>
      </c>
      <c r="W578" s="136" t="e">
        <f ca="1">VLOOKUP(AD578,'credit rating'!$F$2:$H$22,3,FALSE)</f>
        <v>#N/A</v>
      </c>
      <c r="X578" s="136" t="e">
        <f t="shared" ca="1" si="57"/>
        <v>#N/A</v>
      </c>
      <c r="Y578" s="136" t="e">
        <f t="shared" ca="1" si="58"/>
        <v>#N/A</v>
      </c>
      <c r="Z578" s="136" t="e">
        <f t="shared" ca="1" si="59"/>
        <v>#N/A</v>
      </c>
      <c r="AA578" s="134">
        <f ca="1">IFERROR(VLOOKUP(X578,'credit rating'!A:C,3,FALSE),0)</f>
        <v>0</v>
      </c>
      <c r="AB578" s="134">
        <f ca="1">IFERROR(VLOOKUP(Y578,'credit rating'!B:C,2,FALSE),0)</f>
        <v>0</v>
      </c>
      <c r="AC578" s="136">
        <f ca="1">IFERROR(VLOOKUP(Z578,'credit rating'!B:C,2,FALSE),0)</f>
        <v>0</v>
      </c>
      <c r="AD578" s="136">
        <f t="shared" ca="1" si="60"/>
        <v>0</v>
      </c>
      <c r="AE578" s="249" t="str">
        <f ca="1">IFERROR(VLOOKUP(B578,bond!B:U,20,FALSE),"")</f>
        <v/>
      </c>
      <c r="AF578" s="136" t="e">
        <f ca="1">IF(VLOOKUP(B578,bond!B:AK,36,FALSE)="#N/A Field Not Applicable","",VLOOKUP(B578,bond!B:AK,36,FALSE))</f>
        <v>#N/A</v>
      </c>
      <c r="AG578" s="136" t="e">
        <f ca="1">IF(VLOOKUP(B578,bond!B:AL,37,FALSE)="FIXED","固定",IF(VLOOKUP(B578,bond!B:AL,37,FALSE)="FLOATING","浮動",IF(VLOOKUP(B578,bond!B:AL,37,FALSE)="VARIABLE","變動",IF(VLOOKUP(B578,bond!B:AL,37,FALSE)="FLAT TRADING","不含息交易",IF(VLOOKUP(B578,bond!B:AL,37,FALSE)="ZERO COUPON","零息",VLOOKUP(B578,bond!B:AL,37,FALSE))))))</f>
        <v>#N/A</v>
      </c>
      <c r="AH578" s="136" t="e">
        <f>VLOOKUP(C578,'2_Check_code'!I:J,2,FALSE)</f>
        <v>#N/A</v>
      </c>
      <c r="AI578" s="136" t="e">
        <f t="shared" ca="1" si="61"/>
        <v>#N/A</v>
      </c>
      <c r="AJ578" s="136" t="e">
        <f t="shared" ca="1" si="62"/>
        <v>#N/A</v>
      </c>
      <c r="AK578" s="594" t="e">
        <f ca="1">IF(VLOOKUP(B578,bond!B:S,18,FALSE)="是","有",IF(VLOOKUP(B578,bond!B:S,18,FALSE)="NO OFFER","無","需查詢"))</f>
        <v>#N/A</v>
      </c>
      <c r="AL578" s="136" t="e">
        <f>IF(VLOOKUP(A578,bond!F:AR,39,FALSE)="#N/A Field Not Applicable",VLOOKUP(A578,bond!F:AR,38,FALSE),IFERROR(VLOOKUP(A578,'7_發行日例外'!A:B,2,FALSE),VLOOKUP(A578,bond!F:AR,39,FALSE)))</f>
        <v>#N/A</v>
      </c>
      <c r="AM578" s="136" t="e">
        <f ca="1">VLOOKUP(B578,bond!B:AK,36,FALSE)</f>
        <v>#N/A</v>
      </c>
      <c r="AN578" s="136" t="str">
        <f ca="1">IFERROR(VLOOKUP(B578,'3_是否下架'!A:A,1,FALSE),"")</f>
        <v/>
      </c>
      <c r="AO578" s="136" t="e">
        <f ca="1">VLOOKUP(B578,bond!B:J,9,FALSE)</f>
        <v>#N/A</v>
      </c>
      <c r="AP578" s="136" t="e">
        <f ca="1">VLOOKUP(B578,bond!B:V,21,FALSE)</f>
        <v>#N/A</v>
      </c>
    </row>
    <row r="579" spans="1:42">
      <c r="A579" s="141">
        <f>bond!F580</f>
        <v>0</v>
      </c>
      <c r="B579" s="151">
        <f ca="1">IF($C$1=TRUE,bond!B580,"")</f>
        <v>0</v>
      </c>
      <c r="C579" s="95" t="e">
        <f>VLOOKUP(A579,bond!F:G,2,FALSE)</f>
        <v>#N/A</v>
      </c>
      <c r="D579" s="142" t="e">
        <f ca="1">VLOOKUP(B579,bond!B:C,2,FALSE)</f>
        <v>#N/A</v>
      </c>
      <c r="E579" s="95" t="e">
        <f ca="1">VLOOKUP(B579,bond!B:D,3,FALSE)</f>
        <v>#N/A</v>
      </c>
      <c r="F579" s="99" t="e">
        <f ca="1">VLOOKUP(B579,bond!B:AB,27,FALSE)</f>
        <v>#N/A</v>
      </c>
      <c r="G579" s="90" t="e">
        <f ca="1">VLOOKUP(B579,bond!B:E,4,FALSE)</f>
        <v>#N/A</v>
      </c>
      <c r="H579" s="202" t="e">
        <f ca="1">VLOOKUP(B579,bond!B:Y,24,FALSE)</f>
        <v>#N/A</v>
      </c>
      <c r="I579" s="95" t="e">
        <f ca="1">VLOOKUP(B579,bond!B:Z,25,FALSE)</f>
        <v>#N/A</v>
      </c>
      <c r="J579" s="180" t="e">
        <f ca="1">VLOOKUP(B579,bond!B:K,10,FALSE)</f>
        <v>#N/A</v>
      </c>
      <c r="K579" s="96" t="e">
        <f ca="1">VLOOKUP($B579,bond!B:S,14,FALSE)</f>
        <v>#N/A</v>
      </c>
      <c r="L579" s="91" t="e">
        <f ca="1">VLOOKUP(B579,bond!B:H,7,FALSE)</f>
        <v>#N/A</v>
      </c>
      <c r="M579" s="144" t="e">
        <f ca="1">VLOOKUP($B579,bond!$B:$Q,16,FALSE)</f>
        <v>#N/A</v>
      </c>
      <c r="N579" s="136" t="e">
        <f ca="1">VALUE(LEFT(VLOOKUP(B579,bond!B:R,17,FALSE),SEARCH(" ",VLOOKUP(B579,bond!B:R,17,FALSE),1)))</f>
        <v>#N/A</v>
      </c>
      <c r="O579" s="136" t="e">
        <f ca="1">VALUE(RIGHT(VLOOKUP(B579,bond!B:R,17,FALSE),LEN(VLOOKUP(B579,bond!B:R,17,FALSE))-LEN(N579)-3))</f>
        <v>#N/A</v>
      </c>
      <c r="P579" s="135" t="e">
        <f ca="1">VLOOKUP($B579,bond!$B:$AG,32,FALSE)</f>
        <v>#N/A</v>
      </c>
      <c r="Q579" s="135" t="e">
        <f ca="1">VLOOKUP($B579,bond!$B:$AH,33,FALSE)</f>
        <v>#N/A</v>
      </c>
      <c r="R579" s="135" t="e">
        <f ca="1">VLOOKUP(B579,bond!B:AA,26,FALSE)</f>
        <v>#N/A</v>
      </c>
      <c r="S579" s="135" t="e">
        <f ca="1">VLOOKUP(B579,bond!B:AI,34,FALSE)</f>
        <v>#N/A</v>
      </c>
      <c r="T579" s="135" t="e">
        <f t="shared" ca="1" si="56"/>
        <v>#N/A</v>
      </c>
      <c r="U579" s="207" t="e">
        <f ca="1">IFERROR(VLOOKUP(T579,Bond_DES!D:E,2,FALSE),VLOOKUP(S579,bond!AI:AJ,2,FALSE))</f>
        <v>#N/A</v>
      </c>
      <c r="V579" s="136" t="e">
        <f ca="1">IFERROR(VLOOKUP(B579,'1_重設數據'!L:M,2,FALSE),IF(Q579="政府",IF(AD579&gt;16,"(NPI)非專投",IF(AD579&gt;10,"(PI)專投","高資產")),IF(VLOOKUP(B579,bond!B:AN,39,FALSE)="Y","(PI)專投",IF(AD579&gt;=15,"(NPI)非專投",IF(AD579&gt;=10,"(PI)專投","高資產")))))</f>
        <v>#N/A</v>
      </c>
      <c r="W579" s="136" t="e">
        <f ca="1">VLOOKUP(AD579,'credit rating'!$F$2:$H$22,3,FALSE)</f>
        <v>#N/A</v>
      </c>
      <c r="X579" s="136" t="e">
        <f t="shared" ca="1" si="57"/>
        <v>#N/A</v>
      </c>
      <c r="Y579" s="136" t="e">
        <f t="shared" ca="1" si="58"/>
        <v>#N/A</v>
      </c>
      <c r="Z579" s="136" t="e">
        <f t="shared" ca="1" si="59"/>
        <v>#N/A</v>
      </c>
      <c r="AA579" s="134">
        <f ca="1">IFERROR(VLOOKUP(X579,'credit rating'!A:C,3,FALSE),0)</f>
        <v>0</v>
      </c>
      <c r="AB579" s="134">
        <f ca="1">IFERROR(VLOOKUP(Y579,'credit rating'!B:C,2,FALSE),0)</f>
        <v>0</v>
      </c>
      <c r="AC579" s="136">
        <f ca="1">IFERROR(VLOOKUP(Z579,'credit rating'!B:C,2,FALSE),0)</f>
        <v>0</v>
      </c>
      <c r="AD579" s="136">
        <f t="shared" ca="1" si="60"/>
        <v>0</v>
      </c>
      <c r="AE579" s="249" t="str">
        <f ca="1">IFERROR(VLOOKUP(B579,bond!B:U,20,FALSE),"")</f>
        <v/>
      </c>
      <c r="AF579" s="136" t="e">
        <f ca="1">IF(VLOOKUP(B579,bond!B:AK,36,FALSE)="#N/A Field Not Applicable","",VLOOKUP(B579,bond!B:AK,36,FALSE))</f>
        <v>#N/A</v>
      </c>
      <c r="AG579" s="136" t="e">
        <f ca="1">IF(VLOOKUP(B579,bond!B:AL,37,FALSE)="FIXED","固定",IF(VLOOKUP(B579,bond!B:AL,37,FALSE)="FLOATING","浮動",IF(VLOOKUP(B579,bond!B:AL,37,FALSE)="VARIABLE","變動",IF(VLOOKUP(B579,bond!B:AL,37,FALSE)="FLAT TRADING","不含息交易",IF(VLOOKUP(B579,bond!B:AL,37,FALSE)="ZERO COUPON","零息",VLOOKUP(B579,bond!B:AL,37,FALSE))))))</f>
        <v>#N/A</v>
      </c>
      <c r="AH579" s="136" t="e">
        <f>VLOOKUP(C579,'2_Check_code'!I:J,2,FALSE)</f>
        <v>#N/A</v>
      </c>
      <c r="AI579" s="136" t="e">
        <f t="shared" ca="1" si="61"/>
        <v>#N/A</v>
      </c>
      <c r="AJ579" s="136" t="e">
        <f t="shared" ca="1" si="62"/>
        <v>#N/A</v>
      </c>
      <c r="AK579" s="594" t="e">
        <f ca="1">IF(VLOOKUP(B579,bond!B:S,18,FALSE)="是","有",IF(VLOOKUP(B579,bond!B:S,18,FALSE)="NO OFFER","無","需查詢"))</f>
        <v>#N/A</v>
      </c>
      <c r="AL579" s="136" t="e">
        <f>IF(VLOOKUP(A579,bond!F:AR,39,FALSE)="#N/A Field Not Applicable",VLOOKUP(A579,bond!F:AR,38,FALSE),IFERROR(VLOOKUP(A579,'7_發行日例外'!A:B,2,FALSE),VLOOKUP(A579,bond!F:AR,39,FALSE)))</f>
        <v>#N/A</v>
      </c>
      <c r="AM579" s="136" t="e">
        <f ca="1">VLOOKUP(B579,bond!B:AK,36,FALSE)</f>
        <v>#N/A</v>
      </c>
      <c r="AN579" s="136" t="str">
        <f ca="1">IFERROR(VLOOKUP(B579,'3_是否下架'!A:A,1,FALSE),"")</f>
        <v/>
      </c>
      <c r="AO579" s="136" t="e">
        <f ca="1">VLOOKUP(B579,bond!B:J,9,FALSE)</f>
        <v>#N/A</v>
      </c>
      <c r="AP579" s="136" t="e">
        <f ca="1">VLOOKUP(B579,bond!B:V,21,FALSE)</f>
        <v>#N/A</v>
      </c>
    </row>
    <row r="580" spans="1:42">
      <c r="A580" s="141">
        <f>bond!F581</f>
        <v>0</v>
      </c>
      <c r="B580" s="151">
        <f ca="1">IF($C$1=TRUE,bond!B581,"")</f>
        <v>0</v>
      </c>
      <c r="C580" s="95" t="e">
        <f>VLOOKUP(A580,bond!F:G,2,FALSE)</f>
        <v>#N/A</v>
      </c>
      <c r="D580" s="142" t="e">
        <f ca="1">VLOOKUP(B580,bond!B:C,2,FALSE)</f>
        <v>#N/A</v>
      </c>
      <c r="E580" s="95" t="e">
        <f ca="1">VLOOKUP(B580,bond!B:D,3,FALSE)</f>
        <v>#N/A</v>
      </c>
      <c r="F580" s="99" t="e">
        <f ca="1">VLOOKUP(B580,bond!B:AB,27,FALSE)</f>
        <v>#N/A</v>
      </c>
      <c r="G580" s="90" t="e">
        <f ca="1">VLOOKUP(B580,bond!B:E,4,FALSE)</f>
        <v>#N/A</v>
      </c>
      <c r="H580" s="202" t="e">
        <f ca="1">VLOOKUP(B580,bond!B:Y,24,FALSE)</f>
        <v>#N/A</v>
      </c>
      <c r="I580" s="95" t="e">
        <f ca="1">VLOOKUP(B580,bond!B:Z,25,FALSE)</f>
        <v>#N/A</v>
      </c>
      <c r="J580" s="180" t="e">
        <f ca="1">VLOOKUP(B580,bond!B:K,10,FALSE)</f>
        <v>#N/A</v>
      </c>
      <c r="K580" s="96" t="e">
        <f ca="1">VLOOKUP($B580,bond!B:S,14,FALSE)</f>
        <v>#N/A</v>
      </c>
      <c r="L580" s="91" t="e">
        <f ca="1">VLOOKUP(B580,bond!B:H,7,FALSE)</f>
        <v>#N/A</v>
      </c>
      <c r="M580" s="144" t="e">
        <f ca="1">VLOOKUP($B580,bond!$B:$Q,16,FALSE)</f>
        <v>#N/A</v>
      </c>
      <c r="N580" s="136" t="e">
        <f ca="1">VALUE(LEFT(VLOOKUP(B580,bond!B:R,17,FALSE),SEARCH(" ",VLOOKUP(B580,bond!B:R,17,FALSE),1)))</f>
        <v>#N/A</v>
      </c>
      <c r="O580" s="136" t="e">
        <f ca="1">VALUE(RIGHT(VLOOKUP(B580,bond!B:R,17,FALSE),LEN(VLOOKUP(B580,bond!B:R,17,FALSE))-LEN(N580)-3))</f>
        <v>#N/A</v>
      </c>
      <c r="P580" s="135" t="e">
        <f ca="1">VLOOKUP($B580,bond!$B:$AG,32,FALSE)</f>
        <v>#N/A</v>
      </c>
      <c r="Q580" s="135" t="e">
        <f ca="1">VLOOKUP($B580,bond!$B:$AH,33,FALSE)</f>
        <v>#N/A</v>
      </c>
      <c r="R580" s="135" t="e">
        <f ca="1">VLOOKUP(B580,bond!B:AA,26,FALSE)</f>
        <v>#N/A</v>
      </c>
      <c r="S580" s="135" t="e">
        <f ca="1">VLOOKUP(B580,bond!B:AI,34,FALSE)</f>
        <v>#N/A</v>
      </c>
      <c r="T580" s="135" t="e">
        <f t="shared" ref="T580:T588" ca="1" si="63">CONCATENATE(R580,"/",S580)</f>
        <v>#N/A</v>
      </c>
      <c r="U580" s="207" t="e">
        <f ca="1">IFERROR(VLOOKUP(T580,Bond_DES!D:E,2,FALSE),VLOOKUP(S580,bond!AI:AJ,2,FALSE))</f>
        <v>#N/A</v>
      </c>
      <c r="V580" s="136" t="e">
        <f ca="1">IFERROR(VLOOKUP(B580,'1_重設數據'!L:M,2,FALSE),IF(Q580="政府",IF(AD580&gt;16,"(NPI)非專投",IF(AD580&gt;10,"(PI)專投","高資產")),IF(VLOOKUP(B580,bond!B:AN,39,FALSE)="Y","(PI)專投",IF(AD580&gt;=15,"(NPI)非專投",IF(AD580&gt;=10,"(PI)專投","高資產")))))</f>
        <v>#N/A</v>
      </c>
      <c r="W580" s="136" t="e">
        <f ca="1">VLOOKUP(AD580,'credit rating'!$F$2:$H$22,3,FALSE)</f>
        <v>#N/A</v>
      </c>
      <c r="X580" s="136" t="e">
        <f t="shared" ref="X580:X588" ca="1" si="64">LEFT(E580,SEARCH(" /",E580)-1)</f>
        <v>#N/A</v>
      </c>
      <c r="Y580" s="136" t="e">
        <f t="shared" ref="Y580:Y588" ca="1" si="65">MID(E580,LEN(X580)+4,LEN(E580)-LEN(X580)-LEN(Z580)-6)</f>
        <v>#N/A</v>
      </c>
      <c r="Z580" s="136" t="e">
        <f t="shared" ref="Z580:Z588" ca="1" si="66">TRIM(RIGHT(SUBSTITUTE(E580,"/ ",REPT(" ",99)),99))</f>
        <v>#N/A</v>
      </c>
      <c r="AA580" s="134">
        <f ca="1">IFERROR(VLOOKUP(X580,'credit rating'!A:C,3,FALSE),0)</f>
        <v>0</v>
      </c>
      <c r="AB580" s="134">
        <f ca="1">IFERROR(VLOOKUP(Y580,'credit rating'!B:C,2,FALSE),0)</f>
        <v>0</v>
      </c>
      <c r="AC580" s="136">
        <f ca="1">IFERROR(VLOOKUP(Z580,'credit rating'!B:C,2,FALSE),0)</f>
        <v>0</v>
      </c>
      <c r="AD580" s="136">
        <f t="shared" ref="AD580:AD588" ca="1" si="67">MAX(AA580:AC580)</f>
        <v>0</v>
      </c>
      <c r="AE580" s="249" t="str">
        <f ca="1">IFERROR(VLOOKUP(B580,bond!B:U,20,FALSE),"")</f>
        <v/>
      </c>
      <c r="AF580" s="136" t="e">
        <f ca="1">IF(VLOOKUP(B580,bond!B:AK,36,FALSE)="#N/A Field Not Applicable","",VLOOKUP(B580,bond!B:AK,36,FALSE))</f>
        <v>#N/A</v>
      </c>
      <c r="AG580" s="136" t="e">
        <f ca="1">IF(VLOOKUP(B580,bond!B:AL,37,FALSE)="FIXED","固定",IF(VLOOKUP(B580,bond!B:AL,37,FALSE)="FLOATING","浮動",IF(VLOOKUP(B580,bond!B:AL,37,FALSE)="VARIABLE","變動",IF(VLOOKUP(B580,bond!B:AL,37,FALSE)="FLAT TRADING","不含息交易",IF(VLOOKUP(B580,bond!B:AL,37,FALSE)="ZERO COUPON","零息",VLOOKUP(B580,bond!B:AL,37,FALSE))))))</f>
        <v>#N/A</v>
      </c>
      <c r="AH580" s="136" t="e">
        <f>VLOOKUP(C580,'2_Check_code'!I:J,2,FALSE)</f>
        <v>#N/A</v>
      </c>
      <c r="AI580" s="136" t="e">
        <f t="shared" ref="AI580:AI588" ca="1" si="68">IF(AND(I580=2,C580="USD"),"自由選清單","")</f>
        <v>#N/A</v>
      </c>
      <c r="AJ580" s="136" t="e">
        <f t="shared" ref="AJ580:AJ588" ca="1" si="69">IF(AND(I580=2,C580="USD"),0,1)</f>
        <v>#N/A</v>
      </c>
      <c r="AK580" s="594" t="e">
        <f ca="1">IF(VLOOKUP(B580,bond!B:S,18,FALSE)="是","有",IF(VLOOKUP(B580,bond!B:S,18,FALSE)="NO OFFER","無","需查詢"))</f>
        <v>#N/A</v>
      </c>
      <c r="AL580" s="136" t="e">
        <f>IF(VLOOKUP(A580,bond!F:AR,39,FALSE)="#N/A Field Not Applicable",VLOOKUP(A580,bond!F:AR,38,FALSE),IFERROR(VLOOKUP(A580,'7_發行日例外'!A:B,2,FALSE),VLOOKUP(A580,bond!F:AR,39,FALSE)))</f>
        <v>#N/A</v>
      </c>
      <c r="AM580" s="136" t="e">
        <f ca="1">VLOOKUP(B580,bond!B:AK,36,FALSE)</f>
        <v>#N/A</v>
      </c>
      <c r="AN580" s="136" t="str">
        <f ca="1">IFERROR(VLOOKUP(B580,'3_是否下架'!A:A,1,FALSE),"")</f>
        <v/>
      </c>
      <c r="AO580" s="136" t="e">
        <f ca="1">VLOOKUP(B580,bond!B:J,9,FALSE)</f>
        <v>#N/A</v>
      </c>
      <c r="AP580" s="136" t="e">
        <f ca="1">VLOOKUP(B580,bond!B:V,21,FALSE)</f>
        <v>#N/A</v>
      </c>
    </row>
    <row r="581" spans="1:42">
      <c r="A581" s="141">
        <f>bond!F582</f>
        <v>0</v>
      </c>
      <c r="B581" s="151">
        <f ca="1">IF($C$1=TRUE,bond!B582,"")</f>
        <v>0</v>
      </c>
      <c r="C581" s="95" t="e">
        <f>VLOOKUP(A581,bond!F:G,2,FALSE)</f>
        <v>#N/A</v>
      </c>
      <c r="D581" s="142" t="e">
        <f ca="1">VLOOKUP(B581,bond!B:C,2,FALSE)</f>
        <v>#N/A</v>
      </c>
      <c r="E581" s="95" t="e">
        <f ca="1">VLOOKUP(B581,bond!B:D,3,FALSE)</f>
        <v>#N/A</v>
      </c>
      <c r="F581" s="99" t="e">
        <f ca="1">VLOOKUP(B581,bond!B:AB,27,FALSE)</f>
        <v>#N/A</v>
      </c>
      <c r="G581" s="90" t="e">
        <f ca="1">VLOOKUP(B581,bond!B:E,4,FALSE)</f>
        <v>#N/A</v>
      </c>
      <c r="H581" s="202" t="e">
        <f ca="1">VLOOKUP(B581,bond!B:Y,24,FALSE)</f>
        <v>#N/A</v>
      </c>
      <c r="I581" s="95" t="e">
        <f ca="1">VLOOKUP(B581,bond!B:Z,25,FALSE)</f>
        <v>#N/A</v>
      </c>
      <c r="J581" s="180" t="e">
        <f ca="1">VLOOKUP(B581,bond!B:K,10,FALSE)</f>
        <v>#N/A</v>
      </c>
      <c r="K581" s="96" t="e">
        <f ca="1">VLOOKUP($B581,bond!B:S,14,FALSE)</f>
        <v>#N/A</v>
      </c>
      <c r="L581" s="91" t="e">
        <f ca="1">VLOOKUP(B581,bond!B:H,7,FALSE)</f>
        <v>#N/A</v>
      </c>
      <c r="M581" s="144" t="e">
        <f ca="1">VLOOKUP($B581,bond!$B:$Q,16,FALSE)</f>
        <v>#N/A</v>
      </c>
      <c r="N581" s="136" t="e">
        <f ca="1">VALUE(LEFT(VLOOKUP(B581,bond!B:R,17,FALSE),SEARCH(" ",VLOOKUP(B581,bond!B:R,17,FALSE),1)))</f>
        <v>#N/A</v>
      </c>
      <c r="O581" s="136" t="e">
        <f ca="1">VALUE(RIGHT(VLOOKUP(B581,bond!B:R,17,FALSE),LEN(VLOOKUP(B581,bond!B:R,17,FALSE))-LEN(N581)-3))</f>
        <v>#N/A</v>
      </c>
      <c r="P581" s="135" t="e">
        <f ca="1">VLOOKUP($B581,bond!$B:$AG,32,FALSE)</f>
        <v>#N/A</v>
      </c>
      <c r="Q581" s="135" t="e">
        <f ca="1">VLOOKUP($B581,bond!$B:$AH,33,FALSE)</f>
        <v>#N/A</v>
      </c>
      <c r="R581" s="135" t="e">
        <f ca="1">VLOOKUP(B581,bond!B:AA,26,FALSE)</f>
        <v>#N/A</v>
      </c>
      <c r="S581" s="135" t="e">
        <f ca="1">VLOOKUP(B581,bond!B:AI,34,FALSE)</f>
        <v>#N/A</v>
      </c>
      <c r="T581" s="135" t="e">
        <f t="shared" ca="1" si="63"/>
        <v>#N/A</v>
      </c>
      <c r="U581" s="207" t="e">
        <f ca="1">IFERROR(VLOOKUP(T581,Bond_DES!D:E,2,FALSE),VLOOKUP(S581,bond!AI:AJ,2,FALSE))</f>
        <v>#N/A</v>
      </c>
      <c r="V581" s="136" t="e">
        <f ca="1">IFERROR(VLOOKUP(B581,'1_重設數據'!L:M,2,FALSE),IF(Q581="政府",IF(AD581&gt;16,"(NPI)非專投",IF(AD581&gt;10,"(PI)專投","高資產")),IF(VLOOKUP(B581,bond!B:AN,39,FALSE)="Y","(PI)專投",IF(AD581&gt;=15,"(NPI)非專投",IF(AD581&gt;=10,"(PI)專投","高資產")))))</f>
        <v>#N/A</v>
      </c>
      <c r="W581" s="136" t="e">
        <f ca="1">VLOOKUP(AD581,'credit rating'!$F$2:$H$22,3,FALSE)</f>
        <v>#N/A</v>
      </c>
      <c r="X581" s="136" t="e">
        <f t="shared" ca="1" si="64"/>
        <v>#N/A</v>
      </c>
      <c r="Y581" s="136" t="e">
        <f t="shared" ca="1" si="65"/>
        <v>#N/A</v>
      </c>
      <c r="Z581" s="136" t="e">
        <f t="shared" ca="1" si="66"/>
        <v>#N/A</v>
      </c>
      <c r="AA581" s="134">
        <f ca="1">IFERROR(VLOOKUP(X581,'credit rating'!A:C,3,FALSE),0)</f>
        <v>0</v>
      </c>
      <c r="AB581" s="134">
        <f ca="1">IFERROR(VLOOKUP(Y581,'credit rating'!B:C,2,FALSE),0)</f>
        <v>0</v>
      </c>
      <c r="AC581" s="136">
        <f ca="1">IFERROR(VLOOKUP(Z581,'credit rating'!B:C,2,FALSE),0)</f>
        <v>0</v>
      </c>
      <c r="AD581" s="136">
        <f t="shared" ca="1" si="67"/>
        <v>0</v>
      </c>
      <c r="AE581" s="249" t="str">
        <f ca="1">IFERROR(VLOOKUP(B581,bond!B:U,20,FALSE),"")</f>
        <v/>
      </c>
      <c r="AF581" s="136" t="e">
        <f ca="1">IF(VLOOKUP(B581,bond!B:AK,36,FALSE)="#N/A Field Not Applicable","",VLOOKUP(B581,bond!B:AK,36,FALSE))</f>
        <v>#N/A</v>
      </c>
      <c r="AG581" s="136" t="e">
        <f ca="1">IF(VLOOKUP(B581,bond!B:AL,37,FALSE)="FIXED","固定",IF(VLOOKUP(B581,bond!B:AL,37,FALSE)="FLOATING","浮動",IF(VLOOKUP(B581,bond!B:AL,37,FALSE)="VARIABLE","變動",IF(VLOOKUP(B581,bond!B:AL,37,FALSE)="FLAT TRADING","不含息交易",IF(VLOOKUP(B581,bond!B:AL,37,FALSE)="ZERO COUPON","零息",VLOOKUP(B581,bond!B:AL,37,FALSE))))))</f>
        <v>#N/A</v>
      </c>
      <c r="AH581" s="136" t="e">
        <f>VLOOKUP(C581,'2_Check_code'!I:J,2,FALSE)</f>
        <v>#N/A</v>
      </c>
      <c r="AI581" s="136" t="e">
        <f t="shared" ca="1" si="68"/>
        <v>#N/A</v>
      </c>
      <c r="AJ581" s="136" t="e">
        <f t="shared" ca="1" si="69"/>
        <v>#N/A</v>
      </c>
      <c r="AK581" s="594" t="e">
        <f ca="1">IF(VLOOKUP(B581,bond!B:S,18,FALSE)="是","有",IF(VLOOKUP(B581,bond!B:S,18,FALSE)="NO OFFER","無","需查詢"))</f>
        <v>#N/A</v>
      </c>
      <c r="AL581" s="136" t="e">
        <f>IF(VLOOKUP(A581,bond!F:AR,39,FALSE)="#N/A Field Not Applicable",VLOOKUP(A581,bond!F:AR,38,FALSE),IFERROR(VLOOKUP(A581,'7_發行日例外'!A:B,2,FALSE),VLOOKUP(A581,bond!F:AR,39,FALSE)))</f>
        <v>#N/A</v>
      </c>
      <c r="AM581" s="136" t="e">
        <f ca="1">VLOOKUP(B581,bond!B:AK,36,FALSE)</f>
        <v>#N/A</v>
      </c>
      <c r="AN581" s="136" t="str">
        <f ca="1">IFERROR(VLOOKUP(B581,'3_是否下架'!A:A,1,FALSE),"")</f>
        <v/>
      </c>
      <c r="AO581" s="136" t="e">
        <f ca="1">VLOOKUP(B581,bond!B:J,9,FALSE)</f>
        <v>#N/A</v>
      </c>
      <c r="AP581" s="136" t="e">
        <f ca="1">VLOOKUP(B581,bond!B:V,21,FALSE)</f>
        <v>#N/A</v>
      </c>
    </row>
    <row r="582" spans="1:42">
      <c r="A582" s="141">
        <f>bond!F583</f>
        <v>0</v>
      </c>
      <c r="B582" s="151">
        <f ca="1">IF($C$1=TRUE,bond!B583,"")</f>
        <v>0</v>
      </c>
      <c r="C582" s="95" t="e">
        <f>VLOOKUP(A582,bond!F:G,2,FALSE)</f>
        <v>#N/A</v>
      </c>
      <c r="D582" s="142" t="e">
        <f ca="1">VLOOKUP(B582,bond!B:C,2,FALSE)</f>
        <v>#N/A</v>
      </c>
      <c r="E582" s="95" t="e">
        <f ca="1">VLOOKUP(B582,bond!B:D,3,FALSE)</f>
        <v>#N/A</v>
      </c>
      <c r="F582" s="99" t="e">
        <f ca="1">VLOOKUP(B582,bond!B:AB,27,FALSE)</f>
        <v>#N/A</v>
      </c>
      <c r="G582" s="90" t="e">
        <f ca="1">VLOOKUP(B582,bond!B:E,4,FALSE)</f>
        <v>#N/A</v>
      </c>
      <c r="H582" s="202" t="e">
        <f ca="1">VLOOKUP(B582,bond!B:Y,24,FALSE)</f>
        <v>#N/A</v>
      </c>
      <c r="I582" s="95" t="e">
        <f ca="1">VLOOKUP(B582,bond!B:Z,25,FALSE)</f>
        <v>#N/A</v>
      </c>
      <c r="J582" s="180" t="e">
        <f ca="1">VLOOKUP(B582,bond!B:K,10,FALSE)</f>
        <v>#N/A</v>
      </c>
      <c r="K582" s="96" t="e">
        <f ca="1">VLOOKUP($B582,bond!B:S,14,FALSE)</f>
        <v>#N/A</v>
      </c>
      <c r="L582" s="91" t="e">
        <f ca="1">VLOOKUP(B582,bond!B:H,7,FALSE)</f>
        <v>#N/A</v>
      </c>
      <c r="M582" s="144" t="e">
        <f ca="1">VLOOKUP($B582,bond!$B:$Q,16,FALSE)</f>
        <v>#N/A</v>
      </c>
      <c r="N582" s="136" t="e">
        <f ca="1">VALUE(LEFT(VLOOKUP(B582,bond!B:R,17,FALSE),SEARCH(" ",VLOOKUP(B582,bond!B:R,17,FALSE),1)))</f>
        <v>#N/A</v>
      </c>
      <c r="O582" s="136" t="e">
        <f ca="1">VALUE(RIGHT(VLOOKUP(B582,bond!B:R,17,FALSE),LEN(VLOOKUP(B582,bond!B:R,17,FALSE))-LEN(N582)-3))</f>
        <v>#N/A</v>
      </c>
      <c r="P582" s="135" t="e">
        <f ca="1">VLOOKUP($B582,bond!$B:$AG,32,FALSE)</f>
        <v>#N/A</v>
      </c>
      <c r="Q582" s="135" t="e">
        <f ca="1">VLOOKUP($B582,bond!$B:$AH,33,FALSE)</f>
        <v>#N/A</v>
      </c>
      <c r="R582" s="135" t="e">
        <f ca="1">VLOOKUP(B582,bond!B:AA,26,FALSE)</f>
        <v>#N/A</v>
      </c>
      <c r="S582" s="135" t="e">
        <f ca="1">VLOOKUP(B582,bond!B:AI,34,FALSE)</f>
        <v>#N/A</v>
      </c>
      <c r="T582" s="135" t="e">
        <f t="shared" ca="1" si="63"/>
        <v>#N/A</v>
      </c>
      <c r="U582" s="207" t="e">
        <f ca="1">IFERROR(VLOOKUP(T582,Bond_DES!D:E,2,FALSE),VLOOKUP(S582,bond!AI:AJ,2,FALSE))</f>
        <v>#N/A</v>
      </c>
      <c r="V582" s="136" t="e">
        <f ca="1">IFERROR(VLOOKUP(B582,'1_重設數據'!L:M,2,FALSE),IF(Q582="政府",IF(AD582&gt;16,"(NPI)非專投",IF(AD582&gt;10,"(PI)專投","高資產")),IF(VLOOKUP(B582,bond!B:AN,39,FALSE)="Y","(PI)專投",IF(AD582&gt;=15,"(NPI)非專投",IF(AD582&gt;=10,"(PI)專投","高資產")))))</f>
        <v>#N/A</v>
      </c>
      <c r="W582" s="136" t="e">
        <f ca="1">VLOOKUP(AD582,'credit rating'!$F$2:$H$22,3,FALSE)</f>
        <v>#N/A</v>
      </c>
      <c r="X582" s="136" t="e">
        <f t="shared" ca="1" si="64"/>
        <v>#N/A</v>
      </c>
      <c r="Y582" s="136" t="e">
        <f t="shared" ca="1" si="65"/>
        <v>#N/A</v>
      </c>
      <c r="Z582" s="136" t="e">
        <f t="shared" ca="1" si="66"/>
        <v>#N/A</v>
      </c>
      <c r="AA582" s="134">
        <f ca="1">IFERROR(VLOOKUP(X582,'credit rating'!A:C,3,FALSE),0)</f>
        <v>0</v>
      </c>
      <c r="AB582" s="134">
        <f ca="1">IFERROR(VLOOKUP(Y582,'credit rating'!B:C,2,FALSE),0)</f>
        <v>0</v>
      </c>
      <c r="AC582" s="136">
        <f ca="1">IFERROR(VLOOKUP(Z582,'credit rating'!B:C,2,FALSE),0)</f>
        <v>0</v>
      </c>
      <c r="AD582" s="136">
        <f t="shared" ca="1" si="67"/>
        <v>0</v>
      </c>
      <c r="AE582" s="249" t="str">
        <f ca="1">IFERROR(VLOOKUP(B582,bond!B:U,20,FALSE),"")</f>
        <v/>
      </c>
      <c r="AF582" s="136" t="e">
        <f ca="1">IF(VLOOKUP(B582,bond!B:AK,36,FALSE)="#N/A Field Not Applicable","",VLOOKUP(B582,bond!B:AK,36,FALSE))</f>
        <v>#N/A</v>
      </c>
      <c r="AG582" s="136" t="e">
        <f ca="1">IF(VLOOKUP(B582,bond!B:AL,37,FALSE)="FIXED","固定",IF(VLOOKUP(B582,bond!B:AL,37,FALSE)="FLOATING","浮動",IF(VLOOKUP(B582,bond!B:AL,37,FALSE)="VARIABLE","變動",IF(VLOOKUP(B582,bond!B:AL,37,FALSE)="FLAT TRADING","不含息交易",IF(VLOOKUP(B582,bond!B:AL,37,FALSE)="ZERO COUPON","零息",VLOOKUP(B582,bond!B:AL,37,FALSE))))))</f>
        <v>#N/A</v>
      </c>
      <c r="AH582" s="136" t="e">
        <f>VLOOKUP(C582,'2_Check_code'!I:J,2,FALSE)</f>
        <v>#N/A</v>
      </c>
      <c r="AI582" s="136" t="e">
        <f t="shared" ca="1" si="68"/>
        <v>#N/A</v>
      </c>
      <c r="AJ582" s="136" t="e">
        <f t="shared" ca="1" si="69"/>
        <v>#N/A</v>
      </c>
      <c r="AK582" s="594" t="e">
        <f ca="1">IF(VLOOKUP(B582,bond!B:S,18,FALSE)="是","有",IF(VLOOKUP(B582,bond!B:S,18,FALSE)="NO OFFER","無","需查詢"))</f>
        <v>#N/A</v>
      </c>
      <c r="AL582" s="136" t="e">
        <f>IF(VLOOKUP(A582,bond!F:AR,39,FALSE)="#N/A Field Not Applicable",VLOOKUP(A582,bond!F:AR,38,FALSE),IFERROR(VLOOKUP(A582,'7_發行日例外'!A:B,2,FALSE),VLOOKUP(A582,bond!F:AR,39,FALSE)))</f>
        <v>#N/A</v>
      </c>
      <c r="AM582" s="136" t="e">
        <f ca="1">VLOOKUP(B582,bond!B:AK,36,FALSE)</f>
        <v>#N/A</v>
      </c>
      <c r="AN582" s="136" t="str">
        <f ca="1">IFERROR(VLOOKUP(B582,'3_是否下架'!A:A,1,FALSE),"")</f>
        <v/>
      </c>
      <c r="AO582" s="136" t="e">
        <f ca="1">VLOOKUP(B582,bond!B:J,9,FALSE)</f>
        <v>#N/A</v>
      </c>
      <c r="AP582" s="136" t="e">
        <f ca="1">VLOOKUP(B582,bond!B:V,21,FALSE)</f>
        <v>#N/A</v>
      </c>
    </row>
    <row r="583" spans="1:42">
      <c r="A583" s="141">
        <f>bond!F584</f>
        <v>0</v>
      </c>
      <c r="B583" s="151">
        <f ca="1">IF($C$1=TRUE,bond!B584,"")</f>
        <v>0</v>
      </c>
      <c r="C583" s="95" t="e">
        <f>VLOOKUP(A583,bond!F:G,2,FALSE)</f>
        <v>#N/A</v>
      </c>
      <c r="D583" s="142" t="e">
        <f ca="1">VLOOKUP(B583,bond!B:C,2,FALSE)</f>
        <v>#N/A</v>
      </c>
      <c r="E583" s="95" t="e">
        <f ca="1">VLOOKUP(B583,bond!B:D,3,FALSE)</f>
        <v>#N/A</v>
      </c>
      <c r="F583" s="99" t="e">
        <f ca="1">VLOOKUP(B583,bond!B:AB,27,FALSE)</f>
        <v>#N/A</v>
      </c>
      <c r="G583" s="90" t="e">
        <f ca="1">VLOOKUP(B583,bond!B:E,4,FALSE)</f>
        <v>#N/A</v>
      </c>
      <c r="H583" s="202" t="e">
        <f ca="1">VLOOKUP(B583,bond!B:Y,24,FALSE)</f>
        <v>#N/A</v>
      </c>
      <c r="I583" s="95" t="e">
        <f ca="1">VLOOKUP(B583,bond!B:Z,25,FALSE)</f>
        <v>#N/A</v>
      </c>
      <c r="J583" s="180" t="e">
        <f ca="1">VLOOKUP(B583,bond!B:K,10,FALSE)</f>
        <v>#N/A</v>
      </c>
      <c r="K583" s="96" t="e">
        <f ca="1">VLOOKUP($B583,bond!B:S,14,FALSE)</f>
        <v>#N/A</v>
      </c>
      <c r="L583" s="91" t="e">
        <f ca="1">VLOOKUP(B583,bond!B:H,7,FALSE)</f>
        <v>#N/A</v>
      </c>
      <c r="M583" s="144" t="e">
        <f ca="1">VLOOKUP($B583,bond!$B:$Q,16,FALSE)</f>
        <v>#N/A</v>
      </c>
      <c r="N583" s="136" t="e">
        <f ca="1">VALUE(LEFT(VLOOKUP(B583,bond!B:R,17,FALSE),SEARCH(" ",VLOOKUP(B583,bond!B:R,17,FALSE),1)))</f>
        <v>#N/A</v>
      </c>
      <c r="O583" s="136" t="e">
        <f ca="1">VALUE(RIGHT(VLOOKUP(B583,bond!B:R,17,FALSE),LEN(VLOOKUP(B583,bond!B:R,17,FALSE))-LEN(N583)-3))</f>
        <v>#N/A</v>
      </c>
      <c r="P583" s="135" t="e">
        <f ca="1">VLOOKUP($B583,bond!$B:$AG,32,FALSE)</f>
        <v>#N/A</v>
      </c>
      <c r="Q583" s="135" t="e">
        <f ca="1">VLOOKUP($B583,bond!$B:$AH,33,FALSE)</f>
        <v>#N/A</v>
      </c>
      <c r="R583" s="135" t="e">
        <f ca="1">VLOOKUP(B583,bond!B:AA,26,FALSE)</f>
        <v>#N/A</v>
      </c>
      <c r="S583" s="135" t="e">
        <f ca="1">VLOOKUP(B583,bond!B:AI,34,FALSE)</f>
        <v>#N/A</v>
      </c>
      <c r="T583" s="135" t="e">
        <f t="shared" ca="1" si="63"/>
        <v>#N/A</v>
      </c>
      <c r="U583" s="207" t="e">
        <f ca="1">IFERROR(VLOOKUP(T583,Bond_DES!D:E,2,FALSE),VLOOKUP(S583,bond!AI:AJ,2,FALSE))</f>
        <v>#N/A</v>
      </c>
      <c r="V583" s="136" t="e">
        <f ca="1">IFERROR(VLOOKUP(B583,'1_重設數據'!L:M,2,FALSE),IF(Q583="政府",IF(AD583&gt;16,"(NPI)非專投",IF(AD583&gt;10,"(PI)專投","高資產")),IF(VLOOKUP(B583,bond!B:AN,39,FALSE)="Y","(PI)專投",IF(AD583&gt;=15,"(NPI)非專投",IF(AD583&gt;=10,"(PI)專投","高資產")))))</f>
        <v>#N/A</v>
      </c>
      <c r="W583" s="136" t="e">
        <f ca="1">VLOOKUP(AD583,'credit rating'!$F$2:$H$22,3,FALSE)</f>
        <v>#N/A</v>
      </c>
      <c r="X583" s="136" t="e">
        <f t="shared" ca="1" si="64"/>
        <v>#N/A</v>
      </c>
      <c r="Y583" s="136" t="e">
        <f t="shared" ca="1" si="65"/>
        <v>#N/A</v>
      </c>
      <c r="Z583" s="136" t="e">
        <f t="shared" ca="1" si="66"/>
        <v>#N/A</v>
      </c>
      <c r="AA583" s="134">
        <f ca="1">IFERROR(VLOOKUP(X583,'credit rating'!A:C,3,FALSE),0)</f>
        <v>0</v>
      </c>
      <c r="AB583" s="134">
        <f ca="1">IFERROR(VLOOKUP(Y583,'credit rating'!B:C,2,FALSE),0)</f>
        <v>0</v>
      </c>
      <c r="AC583" s="136">
        <f ca="1">IFERROR(VLOOKUP(Z583,'credit rating'!B:C,2,FALSE),0)</f>
        <v>0</v>
      </c>
      <c r="AD583" s="136">
        <f t="shared" ca="1" si="67"/>
        <v>0</v>
      </c>
      <c r="AE583" s="249" t="str">
        <f ca="1">IFERROR(VLOOKUP(B583,bond!B:U,20,FALSE),"")</f>
        <v/>
      </c>
      <c r="AF583" s="136" t="e">
        <f ca="1">IF(VLOOKUP(B583,bond!B:AK,36,FALSE)="#N/A Field Not Applicable","",VLOOKUP(B583,bond!B:AK,36,FALSE))</f>
        <v>#N/A</v>
      </c>
      <c r="AG583" s="136" t="e">
        <f ca="1">IF(VLOOKUP(B583,bond!B:AL,37,FALSE)="FIXED","固定",IF(VLOOKUP(B583,bond!B:AL,37,FALSE)="FLOATING","浮動",IF(VLOOKUP(B583,bond!B:AL,37,FALSE)="VARIABLE","變動",IF(VLOOKUP(B583,bond!B:AL,37,FALSE)="FLAT TRADING","不含息交易",IF(VLOOKUP(B583,bond!B:AL,37,FALSE)="ZERO COUPON","零息",VLOOKUP(B583,bond!B:AL,37,FALSE))))))</f>
        <v>#N/A</v>
      </c>
      <c r="AH583" s="136" t="e">
        <f>VLOOKUP(C583,'2_Check_code'!I:J,2,FALSE)</f>
        <v>#N/A</v>
      </c>
      <c r="AI583" s="136" t="e">
        <f t="shared" ca="1" si="68"/>
        <v>#N/A</v>
      </c>
      <c r="AJ583" s="136" t="e">
        <f t="shared" ca="1" si="69"/>
        <v>#N/A</v>
      </c>
      <c r="AK583" s="594" t="e">
        <f ca="1">IF(VLOOKUP(B583,bond!B:S,18,FALSE)="是","有",IF(VLOOKUP(B583,bond!B:S,18,FALSE)="NO OFFER","無","需查詢"))</f>
        <v>#N/A</v>
      </c>
      <c r="AL583" s="136" t="e">
        <f>IF(VLOOKUP(A583,bond!F:AR,39,FALSE)="#N/A Field Not Applicable",VLOOKUP(A583,bond!F:AR,38,FALSE),IFERROR(VLOOKUP(A583,'7_發行日例外'!A:B,2,FALSE),VLOOKUP(A583,bond!F:AR,39,FALSE)))</f>
        <v>#N/A</v>
      </c>
      <c r="AM583" s="136" t="e">
        <f ca="1">VLOOKUP(B583,bond!B:AK,36,FALSE)</f>
        <v>#N/A</v>
      </c>
      <c r="AN583" s="136" t="str">
        <f ca="1">IFERROR(VLOOKUP(B583,'3_是否下架'!A:A,1,FALSE),"")</f>
        <v/>
      </c>
      <c r="AO583" s="136" t="e">
        <f ca="1">VLOOKUP(B583,bond!B:J,9,FALSE)</f>
        <v>#N/A</v>
      </c>
      <c r="AP583" s="136" t="e">
        <f ca="1">VLOOKUP(B583,bond!B:V,21,FALSE)</f>
        <v>#N/A</v>
      </c>
    </row>
    <row r="584" spans="1:42">
      <c r="A584" s="141">
        <f>bond!F585</f>
        <v>0</v>
      </c>
      <c r="B584" s="151">
        <f ca="1">IF($C$1=TRUE,bond!B585,"")</f>
        <v>0</v>
      </c>
      <c r="C584" s="95" t="e">
        <f>VLOOKUP(A584,bond!F:G,2,FALSE)</f>
        <v>#N/A</v>
      </c>
      <c r="D584" s="142" t="e">
        <f ca="1">VLOOKUP(B584,bond!B:C,2,FALSE)</f>
        <v>#N/A</v>
      </c>
      <c r="E584" s="95" t="e">
        <f ca="1">VLOOKUP(B584,bond!B:D,3,FALSE)</f>
        <v>#N/A</v>
      </c>
      <c r="F584" s="99" t="e">
        <f ca="1">VLOOKUP(B584,bond!B:AB,27,FALSE)</f>
        <v>#N/A</v>
      </c>
      <c r="G584" s="90" t="e">
        <f ca="1">VLOOKUP(B584,bond!B:E,4,FALSE)</f>
        <v>#N/A</v>
      </c>
      <c r="H584" s="202" t="e">
        <f ca="1">VLOOKUP(B584,bond!B:Y,24,FALSE)</f>
        <v>#N/A</v>
      </c>
      <c r="I584" s="95" t="e">
        <f ca="1">VLOOKUP(B584,bond!B:Z,25,FALSE)</f>
        <v>#N/A</v>
      </c>
      <c r="J584" s="180" t="e">
        <f ca="1">VLOOKUP(B584,bond!B:K,10,FALSE)</f>
        <v>#N/A</v>
      </c>
      <c r="K584" s="96" t="e">
        <f ca="1">VLOOKUP($B584,bond!B:S,14,FALSE)</f>
        <v>#N/A</v>
      </c>
      <c r="L584" s="91" t="e">
        <f ca="1">VLOOKUP(B584,bond!B:H,7,FALSE)</f>
        <v>#N/A</v>
      </c>
      <c r="M584" s="144" t="e">
        <f ca="1">VLOOKUP($B584,bond!$B:$Q,16,FALSE)</f>
        <v>#N/A</v>
      </c>
      <c r="N584" s="136" t="e">
        <f ca="1">VALUE(LEFT(VLOOKUP(B584,bond!B:R,17,FALSE),SEARCH(" ",VLOOKUP(B584,bond!B:R,17,FALSE),1)))</f>
        <v>#N/A</v>
      </c>
      <c r="O584" s="136" t="e">
        <f ca="1">VALUE(RIGHT(VLOOKUP(B584,bond!B:R,17,FALSE),LEN(VLOOKUP(B584,bond!B:R,17,FALSE))-LEN(N584)-3))</f>
        <v>#N/A</v>
      </c>
      <c r="P584" s="135" t="e">
        <f ca="1">VLOOKUP($B584,bond!$B:$AG,32,FALSE)</f>
        <v>#N/A</v>
      </c>
      <c r="Q584" s="135" t="e">
        <f ca="1">VLOOKUP($B584,bond!$B:$AH,33,FALSE)</f>
        <v>#N/A</v>
      </c>
      <c r="R584" s="135" t="e">
        <f ca="1">VLOOKUP(B584,bond!B:AA,26,FALSE)</f>
        <v>#N/A</v>
      </c>
      <c r="S584" s="135" t="e">
        <f ca="1">VLOOKUP(B584,bond!B:AI,34,FALSE)</f>
        <v>#N/A</v>
      </c>
      <c r="T584" s="135" t="e">
        <f t="shared" ca="1" si="63"/>
        <v>#N/A</v>
      </c>
      <c r="U584" s="207" t="e">
        <f ca="1">IFERROR(VLOOKUP(T584,Bond_DES!D:E,2,FALSE),VLOOKUP(S584,bond!AI:AJ,2,FALSE))</f>
        <v>#N/A</v>
      </c>
      <c r="V584" s="136" t="e">
        <f ca="1">IFERROR(VLOOKUP(B584,'1_重設數據'!L:M,2,FALSE),IF(Q584="政府",IF(AD584&gt;16,"(NPI)非專投",IF(AD584&gt;10,"(PI)專投","高資產")),IF(VLOOKUP(B584,bond!B:AN,39,FALSE)="Y","(PI)專投",IF(AD584&gt;=15,"(NPI)非專投",IF(AD584&gt;=10,"(PI)專投","高資產")))))</f>
        <v>#N/A</v>
      </c>
      <c r="W584" s="136" t="e">
        <f ca="1">VLOOKUP(AD584,'credit rating'!$F$2:$H$22,3,FALSE)</f>
        <v>#N/A</v>
      </c>
      <c r="X584" s="136" t="e">
        <f t="shared" ca="1" si="64"/>
        <v>#N/A</v>
      </c>
      <c r="Y584" s="136" t="e">
        <f t="shared" ca="1" si="65"/>
        <v>#N/A</v>
      </c>
      <c r="Z584" s="136" t="e">
        <f t="shared" ca="1" si="66"/>
        <v>#N/A</v>
      </c>
      <c r="AA584" s="134">
        <f ca="1">IFERROR(VLOOKUP(X584,'credit rating'!A:C,3,FALSE),0)</f>
        <v>0</v>
      </c>
      <c r="AB584" s="134">
        <f ca="1">IFERROR(VLOOKUP(Y584,'credit rating'!B:C,2,FALSE),0)</f>
        <v>0</v>
      </c>
      <c r="AC584" s="136">
        <f ca="1">IFERROR(VLOOKUP(Z584,'credit rating'!B:C,2,FALSE),0)</f>
        <v>0</v>
      </c>
      <c r="AD584" s="136">
        <f t="shared" ca="1" si="67"/>
        <v>0</v>
      </c>
      <c r="AE584" s="249" t="str">
        <f ca="1">IFERROR(VLOOKUP(B584,bond!B:U,20,FALSE),"")</f>
        <v/>
      </c>
      <c r="AF584" s="136" t="e">
        <f ca="1">IF(VLOOKUP(B584,bond!B:AK,36,FALSE)="#N/A Field Not Applicable","",VLOOKUP(B584,bond!B:AK,36,FALSE))</f>
        <v>#N/A</v>
      </c>
      <c r="AG584" s="136" t="e">
        <f ca="1">IF(VLOOKUP(B584,bond!B:AL,37,FALSE)="FIXED","固定",IF(VLOOKUP(B584,bond!B:AL,37,FALSE)="FLOATING","浮動",IF(VLOOKUP(B584,bond!B:AL,37,FALSE)="VARIABLE","變動",IF(VLOOKUP(B584,bond!B:AL,37,FALSE)="FLAT TRADING","不含息交易",IF(VLOOKUP(B584,bond!B:AL,37,FALSE)="ZERO COUPON","零息",VLOOKUP(B584,bond!B:AL,37,FALSE))))))</f>
        <v>#N/A</v>
      </c>
      <c r="AH584" s="136" t="e">
        <f>VLOOKUP(C584,'2_Check_code'!I:J,2,FALSE)</f>
        <v>#N/A</v>
      </c>
      <c r="AI584" s="136" t="e">
        <f t="shared" ca="1" si="68"/>
        <v>#N/A</v>
      </c>
      <c r="AJ584" s="136" t="e">
        <f t="shared" ca="1" si="69"/>
        <v>#N/A</v>
      </c>
      <c r="AK584" s="594" t="e">
        <f ca="1">IF(VLOOKUP(B584,bond!B:S,18,FALSE)="是","有",IF(VLOOKUP(B584,bond!B:S,18,FALSE)="NO OFFER","無","需查詢"))</f>
        <v>#N/A</v>
      </c>
      <c r="AL584" s="136" t="e">
        <f>IF(VLOOKUP(A584,bond!F:AR,39,FALSE)="#N/A Field Not Applicable",VLOOKUP(A584,bond!F:AR,38,FALSE),IFERROR(VLOOKUP(A584,'7_發行日例外'!A:B,2,FALSE),VLOOKUP(A584,bond!F:AR,39,FALSE)))</f>
        <v>#N/A</v>
      </c>
      <c r="AM584" s="136" t="e">
        <f ca="1">VLOOKUP(B584,bond!B:AK,36,FALSE)</f>
        <v>#N/A</v>
      </c>
      <c r="AN584" s="136" t="str">
        <f ca="1">IFERROR(VLOOKUP(B584,'3_是否下架'!A:A,1,FALSE),"")</f>
        <v/>
      </c>
      <c r="AO584" s="136" t="e">
        <f ca="1">VLOOKUP(B584,bond!B:J,9,FALSE)</f>
        <v>#N/A</v>
      </c>
      <c r="AP584" s="136" t="e">
        <f ca="1">VLOOKUP(B584,bond!B:V,21,FALSE)</f>
        <v>#N/A</v>
      </c>
    </row>
    <row r="585" spans="1:42">
      <c r="A585" s="141">
        <f>bond!F586</f>
        <v>0</v>
      </c>
      <c r="B585" s="151">
        <f ca="1">IF($C$1=TRUE,bond!B586,"")</f>
        <v>0</v>
      </c>
      <c r="C585" s="95" t="e">
        <f>VLOOKUP(A585,bond!F:G,2,FALSE)</f>
        <v>#N/A</v>
      </c>
      <c r="D585" s="142" t="e">
        <f ca="1">VLOOKUP(B585,bond!B:C,2,FALSE)</f>
        <v>#N/A</v>
      </c>
      <c r="E585" s="95" t="e">
        <f ca="1">VLOOKUP(B585,bond!B:D,3,FALSE)</f>
        <v>#N/A</v>
      </c>
      <c r="F585" s="99" t="e">
        <f ca="1">VLOOKUP(B585,bond!B:AB,27,FALSE)</f>
        <v>#N/A</v>
      </c>
      <c r="G585" s="90" t="e">
        <f ca="1">VLOOKUP(B585,bond!B:E,4,FALSE)</f>
        <v>#N/A</v>
      </c>
      <c r="H585" s="202" t="e">
        <f ca="1">VLOOKUP(B585,bond!B:Y,24,FALSE)</f>
        <v>#N/A</v>
      </c>
      <c r="I585" s="95" t="e">
        <f ca="1">VLOOKUP(B585,bond!B:Z,25,FALSE)</f>
        <v>#N/A</v>
      </c>
      <c r="J585" s="180" t="e">
        <f ca="1">VLOOKUP(B585,bond!B:K,10,FALSE)</f>
        <v>#N/A</v>
      </c>
      <c r="K585" s="96" t="e">
        <f ca="1">VLOOKUP($B585,bond!B:S,14,FALSE)</f>
        <v>#N/A</v>
      </c>
      <c r="L585" s="91" t="e">
        <f ca="1">VLOOKUP(B585,bond!B:H,7,FALSE)</f>
        <v>#N/A</v>
      </c>
      <c r="M585" s="144" t="e">
        <f ca="1">VLOOKUP($B585,bond!$B:$Q,16,FALSE)</f>
        <v>#N/A</v>
      </c>
      <c r="N585" s="136" t="e">
        <f ca="1">VALUE(LEFT(VLOOKUP(B585,bond!B:R,17,FALSE),SEARCH(" ",VLOOKUP(B585,bond!B:R,17,FALSE),1)))</f>
        <v>#N/A</v>
      </c>
      <c r="O585" s="136" t="e">
        <f ca="1">VALUE(RIGHT(VLOOKUP(B585,bond!B:R,17,FALSE),LEN(VLOOKUP(B585,bond!B:R,17,FALSE))-LEN(N585)-3))</f>
        <v>#N/A</v>
      </c>
      <c r="P585" s="135" t="e">
        <f ca="1">VLOOKUP($B585,bond!$B:$AG,32,FALSE)</f>
        <v>#N/A</v>
      </c>
      <c r="Q585" s="135" t="e">
        <f ca="1">VLOOKUP($B585,bond!$B:$AH,33,FALSE)</f>
        <v>#N/A</v>
      </c>
      <c r="R585" s="135" t="e">
        <f ca="1">VLOOKUP(B585,bond!B:AA,26,FALSE)</f>
        <v>#N/A</v>
      </c>
      <c r="S585" s="135" t="e">
        <f ca="1">VLOOKUP(B585,bond!B:AI,34,FALSE)</f>
        <v>#N/A</v>
      </c>
      <c r="T585" s="135" t="e">
        <f t="shared" ca="1" si="63"/>
        <v>#N/A</v>
      </c>
      <c r="U585" s="207" t="e">
        <f ca="1">IFERROR(VLOOKUP(T585,Bond_DES!D:E,2,FALSE),VLOOKUP(S585,bond!AI:AJ,2,FALSE))</f>
        <v>#N/A</v>
      </c>
      <c r="V585" s="136" t="e">
        <f ca="1">IFERROR(VLOOKUP(B585,'1_重設數據'!L:M,2,FALSE),IF(Q585="政府",IF(AD585&gt;16,"(NPI)非專投",IF(AD585&gt;10,"(PI)專投","高資產")),IF(VLOOKUP(B585,bond!B:AN,39,FALSE)="Y","(PI)專投",IF(AD585&gt;=15,"(NPI)非專投",IF(AD585&gt;=10,"(PI)專投","高資產")))))</f>
        <v>#N/A</v>
      </c>
      <c r="W585" s="136" t="e">
        <f ca="1">VLOOKUP(AD585,'credit rating'!$F$2:$H$22,3,FALSE)</f>
        <v>#N/A</v>
      </c>
      <c r="X585" s="136" t="e">
        <f t="shared" ca="1" si="64"/>
        <v>#N/A</v>
      </c>
      <c r="Y585" s="136" t="e">
        <f t="shared" ca="1" si="65"/>
        <v>#N/A</v>
      </c>
      <c r="Z585" s="136" t="e">
        <f t="shared" ca="1" si="66"/>
        <v>#N/A</v>
      </c>
      <c r="AA585" s="134">
        <f ca="1">IFERROR(VLOOKUP(X585,'credit rating'!A:C,3,FALSE),0)</f>
        <v>0</v>
      </c>
      <c r="AB585" s="134">
        <f ca="1">IFERROR(VLOOKUP(Y585,'credit rating'!B:C,2,FALSE),0)</f>
        <v>0</v>
      </c>
      <c r="AC585" s="136">
        <f ca="1">IFERROR(VLOOKUP(Z585,'credit rating'!B:C,2,FALSE),0)</f>
        <v>0</v>
      </c>
      <c r="AD585" s="136">
        <f t="shared" ca="1" si="67"/>
        <v>0</v>
      </c>
      <c r="AE585" s="249" t="str">
        <f ca="1">IFERROR(VLOOKUP(B585,bond!B:U,20,FALSE),"")</f>
        <v/>
      </c>
      <c r="AF585" s="136" t="e">
        <f ca="1">IF(VLOOKUP(B585,bond!B:AK,36,FALSE)="#N/A Field Not Applicable","",VLOOKUP(B585,bond!B:AK,36,FALSE))</f>
        <v>#N/A</v>
      </c>
      <c r="AG585" s="136" t="e">
        <f ca="1">IF(VLOOKUP(B585,bond!B:AL,37,FALSE)="FIXED","固定",IF(VLOOKUP(B585,bond!B:AL,37,FALSE)="FLOATING","浮動",IF(VLOOKUP(B585,bond!B:AL,37,FALSE)="VARIABLE","變動",IF(VLOOKUP(B585,bond!B:AL,37,FALSE)="FLAT TRADING","不含息交易",IF(VLOOKUP(B585,bond!B:AL,37,FALSE)="ZERO COUPON","零息",VLOOKUP(B585,bond!B:AL,37,FALSE))))))</f>
        <v>#N/A</v>
      </c>
      <c r="AH585" s="136" t="e">
        <f>VLOOKUP(C585,'2_Check_code'!I:J,2,FALSE)</f>
        <v>#N/A</v>
      </c>
      <c r="AI585" s="136" t="e">
        <f t="shared" ca="1" si="68"/>
        <v>#N/A</v>
      </c>
      <c r="AJ585" s="136" t="e">
        <f t="shared" ca="1" si="69"/>
        <v>#N/A</v>
      </c>
      <c r="AK585" s="594" t="e">
        <f ca="1">IF(VLOOKUP(B585,bond!B:S,18,FALSE)="是","有",IF(VLOOKUP(B585,bond!B:S,18,FALSE)="NO OFFER","無","需查詢"))</f>
        <v>#N/A</v>
      </c>
      <c r="AL585" s="136" t="e">
        <f>IF(VLOOKUP(A585,bond!F:AR,39,FALSE)="#N/A Field Not Applicable",VLOOKUP(A585,bond!F:AR,38,FALSE),IFERROR(VLOOKUP(A585,'7_發行日例外'!A:B,2,FALSE),VLOOKUP(A585,bond!F:AR,39,FALSE)))</f>
        <v>#N/A</v>
      </c>
      <c r="AM585" s="136" t="e">
        <f ca="1">VLOOKUP(B585,bond!B:AK,36,FALSE)</f>
        <v>#N/A</v>
      </c>
      <c r="AN585" s="136" t="str">
        <f ca="1">IFERROR(VLOOKUP(B585,'3_是否下架'!A:A,1,FALSE),"")</f>
        <v/>
      </c>
      <c r="AO585" s="136" t="e">
        <f ca="1">VLOOKUP(B585,bond!B:J,9,FALSE)</f>
        <v>#N/A</v>
      </c>
      <c r="AP585" s="136" t="e">
        <f ca="1">VLOOKUP(B585,bond!B:V,21,FALSE)</f>
        <v>#N/A</v>
      </c>
    </row>
    <row r="586" spans="1:42">
      <c r="A586" s="141">
        <f>bond!F587</f>
        <v>0</v>
      </c>
      <c r="B586" s="151">
        <f ca="1">IF($C$1=TRUE,bond!B587,"")</f>
        <v>0</v>
      </c>
      <c r="C586" s="95" t="e">
        <f>VLOOKUP(A586,bond!F:G,2,FALSE)</f>
        <v>#N/A</v>
      </c>
      <c r="D586" s="142" t="e">
        <f ca="1">VLOOKUP(B586,bond!B:C,2,FALSE)</f>
        <v>#N/A</v>
      </c>
      <c r="E586" s="95" t="e">
        <f ca="1">VLOOKUP(B586,bond!B:D,3,FALSE)</f>
        <v>#N/A</v>
      </c>
      <c r="F586" s="99" t="e">
        <f ca="1">VLOOKUP(B586,bond!B:AB,27,FALSE)</f>
        <v>#N/A</v>
      </c>
      <c r="G586" s="90" t="e">
        <f ca="1">VLOOKUP(B586,bond!B:E,4,FALSE)</f>
        <v>#N/A</v>
      </c>
      <c r="H586" s="202" t="e">
        <f ca="1">VLOOKUP(B586,bond!B:Y,24,FALSE)</f>
        <v>#N/A</v>
      </c>
      <c r="I586" s="95" t="e">
        <f ca="1">VLOOKUP(B586,bond!B:Z,25,FALSE)</f>
        <v>#N/A</v>
      </c>
      <c r="J586" s="180" t="e">
        <f ca="1">VLOOKUP(B586,bond!B:K,10,FALSE)</f>
        <v>#N/A</v>
      </c>
      <c r="K586" s="96" t="e">
        <f ca="1">VLOOKUP($B586,bond!B:S,14,FALSE)</f>
        <v>#N/A</v>
      </c>
      <c r="L586" s="91" t="e">
        <f ca="1">VLOOKUP(B586,bond!B:H,7,FALSE)</f>
        <v>#N/A</v>
      </c>
      <c r="M586" s="144" t="e">
        <f ca="1">VLOOKUP($B586,bond!$B:$Q,16,FALSE)</f>
        <v>#N/A</v>
      </c>
      <c r="N586" s="136" t="e">
        <f ca="1">VALUE(LEFT(VLOOKUP(B586,bond!B:R,17,FALSE),SEARCH(" ",VLOOKUP(B586,bond!B:R,17,FALSE),1)))</f>
        <v>#N/A</v>
      </c>
      <c r="O586" s="136" t="e">
        <f ca="1">VALUE(RIGHT(VLOOKUP(B586,bond!B:R,17,FALSE),LEN(VLOOKUP(B586,bond!B:R,17,FALSE))-LEN(N586)-3))</f>
        <v>#N/A</v>
      </c>
      <c r="P586" s="135" t="e">
        <f ca="1">VLOOKUP($B586,bond!$B:$AG,32,FALSE)</f>
        <v>#N/A</v>
      </c>
      <c r="Q586" s="135" t="e">
        <f ca="1">VLOOKUP($B586,bond!$B:$AH,33,FALSE)</f>
        <v>#N/A</v>
      </c>
      <c r="R586" s="135" t="e">
        <f ca="1">VLOOKUP(B586,bond!B:AA,26,FALSE)</f>
        <v>#N/A</v>
      </c>
      <c r="S586" s="135" t="e">
        <f ca="1">VLOOKUP(B586,bond!B:AI,34,FALSE)</f>
        <v>#N/A</v>
      </c>
      <c r="T586" s="135" t="e">
        <f t="shared" ca="1" si="63"/>
        <v>#N/A</v>
      </c>
      <c r="U586" s="207" t="e">
        <f ca="1">IFERROR(VLOOKUP(T586,Bond_DES!D:E,2,FALSE),VLOOKUP(S586,bond!AI:AJ,2,FALSE))</f>
        <v>#N/A</v>
      </c>
      <c r="V586" s="136" t="e">
        <f ca="1">IFERROR(VLOOKUP(B586,'1_重設數據'!L:M,2,FALSE),IF(Q586="政府",IF(AD586&gt;16,"(NPI)非專投",IF(AD586&gt;10,"(PI)專投","高資產")),IF(VLOOKUP(B586,bond!B:AN,39,FALSE)="Y","(PI)專投",IF(AD586&gt;=15,"(NPI)非專投",IF(AD586&gt;=10,"(PI)專投","高資產")))))</f>
        <v>#N/A</v>
      </c>
      <c r="W586" s="136" t="e">
        <f ca="1">VLOOKUP(AD586,'credit rating'!$F$2:$H$22,3,FALSE)</f>
        <v>#N/A</v>
      </c>
      <c r="X586" s="136" t="e">
        <f t="shared" ca="1" si="64"/>
        <v>#N/A</v>
      </c>
      <c r="Y586" s="136" t="e">
        <f t="shared" ca="1" si="65"/>
        <v>#N/A</v>
      </c>
      <c r="Z586" s="136" t="e">
        <f t="shared" ca="1" si="66"/>
        <v>#N/A</v>
      </c>
      <c r="AA586" s="134">
        <f ca="1">IFERROR(VLOOKUP(X586,'credit rating'!A:C,3,FALSE),0)</f>
        <v>0</v>
      </c>
      <c r="AB586" s="134">
        <f ca="1">IFERROR(VLOOKUP(Y586,'credit rating'!B:C,2,FALSE),0)</f>
        <v>0</v>
      </c>
      <c r="AC586" s="136">
        <f ca="1">IFERROR(VLOOKUP(Z586,'credit rating'!B:C,2,FALSE),0)</f>
        <v>0</v>
      </c>
      <c r="AD586" s="136">
        <f t="shared" ca="1" si="67"/>
        <v>0</v>
      </c>
      <c r="AE586" s="249" t="str">
        <f ca="1">IFERROR(VLOOKUP(B586,bond!B:U,20,FALSE),"")</f>
        <v/>
      </c>
      <c r="AF586" s="136" t="e">
        <f ca="1">IF(VLOOKUP(B586,bond!B:AK,36,FALSE)="#N/A Field Not Applicable","",VLOOKUP(B586,bond!B:AK,36,FALSE))</f>
        <v>#N/A</v>
      </c>
      <c r="AG586" s="136" t="e">
        <f ca="1">IF(VLOOKUP(B586,bond!B:AL,37,FALSE)="FIXED","固定",IF(VLOOKUP(B586,bond!B:AL,37,FALSE)="FLOATING","浮動",IF(VLOOKUP(B586,bond!B:AL,37,FALSE)="VARIABLE","變動",IF(VLOOKUP(B586,bond!B:AL,37,FALSE)="FLAT TRADING","不含息交易",IF(VLOOKUP(B586,bond!B:AL,37,FALSE)="ZERO COUPON","零息",VLOOKUP(B586,bond!B:AL,37,FALSE))))))</f>
        <v>#N/A</v>
      </c>
      <c r="AH586" s="136" t="e">
        <f>VLOOKUP(C586,'2_Check_code'!I:J,2,FALSE)</f>
        <v>#N/A</v>
      </c>
      <c r="AI586" s="136" t="e">
        <f t="shared" ca="1" si="68"/>
        <v>#N/A</v>
      </c>
      <c r="AJ586" s="136" t="e">
        <f t="shared" ca="1" si="69"/>
        <v>#N/A</v>
      </c>
      <c r="AK586" s="594" t="e">
        <f ca="1">IF(VLOOKUP(B586,bond!B:S,18,FALSE)="是","有",IF(VLOOKUP(B586,bond!B:S,18,FALSE)="NO OFFER","無","需查詢"))</f>
        <v>#N/A</v>
      </c>
      <c r="AL586" s="136" t="e">
        <f>IF(VLOOKUP(A586,bond!F:AR,39,FALSE)="#N/A Field Not Applicable",VLOOKUP(A586,bond!F:AR,38,FALSE),IFERROR(VLOOKUP(A586,'7_發行日例外'!A:B,2,FALSE),VLOOKUP(A586,bond!F:AR,39,FALSE)))</f>
        <v>#N/A</v>
      </c>
      <c r="AM586" s="136" t="e">
        <f ca="1">VLOOKUP(B586,bond!B:AK,36,FALSE)</f>
        <v>#N/A</v>
      </c>
      <c r="AN586" s="136" t="str">
        <f ca="1">IFERROR(VLOOKUP(B586,'3_是否下架'!A:A,1,FALSE),"")</f>
        <v/>
      </c>
      <c r="AO586" s="136" t="e">
        <f ca="1">VLOOKUP(B586,bond!B:J,9,FALSE)</f>
        <v>#N/A</v>
      </c>
      <c r="AP586" s="136" t="e">
        <f ca="1">VLOOKUP(B586,bond!B:V,21,FALSE)</f>
        <v>#N/A</v>
      </c>
    </row>
    <row r="587" spans="1:42">
      <c r="A587" s="141">
        <f>bond!F588</f>
        <v>0</v>
      </c>
      <c r="B587" s="151">
        <f ca="1">IF($C$1=TRUE,bond!B588,"")</f>
        <v>0</v>
      </c>
      <c r="C587" s="95" t="e">
        <f>VLOOKUP(A587,bond!F:G,2,FALSE)</f>
        <v>#N/A</v>
      </c>
      <c r="D587" s="142" t="e">
        <f ca="1">VLOOKUP(B587,bond!B:C,2,FALSE)</f>
        <v>#N/A</v>
      </c>
      <c r="E587" s="95" t="e">
        <f ca="1">VLOOKUP(B587,bond!B:D,3,FALSE)</f>
        <v>#N/A</v>
      </c>
      <c r="F587" s="99" t="e">
        <f ca="1">VLOOKUP(B587,bond!B:AB,27,FALSE)</f>
        <v>#N/A</v>
      </c>
      <c r="G587" s="90" t="e">
        <f ca="1">VLOOKUP(B587,bond!B:E,4,FALSE)</f>
        <v>#N/A</v>
      </c>
      <c r="H587" s="202" t="e">
        <f ca="1">VLOOKUP(B587,bond!B:Y,24,FALSE)</f>
        <v>#N/A</v>
      </c>
      <c r="I587" s="95" t="e">
        <f ca="1">VLOOKUP(B587,bond!B:Z,25,FALSE)</f>
        <v>#N/A</v>
      </c>
      <c r="J587" s="180" t="e">
        <f ca="1">VLOOKUP(B587,bond!B:K,10,FALSE)</f>
        <v>#N/A</v>
      </c>
      <c r="K587" s="96" t="e">
        <f ca="1">VLOOKUP($B587,bond!B:S,14,FALSE)</f>
        <v>#N/A</v>
      </c>
      <c r="L587" s="91" t="e">
        <f ca="1">VLOOKUP(B587,bond!B:H,7,FALSE)</f>
        <v>#N/A</v>
      </c>
      <c r="M587" s="144" t="e">
        <f ca="1">VLOOKUP($B587,bond!$B:$Q,16,FALSE)</f>
        <v>#N/A</v>
      </c>
      <c r="N587" s="136" t="e">
        <f ca="1">VALUE(LEFT(VLOOKUP(B587,bond!B:R,17,FALSE),SEARCH(" ",VLOOKUP(B587,bond!B:R,17,FALSE),1)))</f>
        <v>#N/A</v>
      </c>
      <c r="O587" s="136" t="e">
        <f ca="1">VALUE(RIGHT(VLOOKUP(B587,bond!B:R,17,FALSE),LEN(VLOOKUP(B587,bond!B:R,17,FALSE))-LEN(N587)-3))</f>
        <v>#N/A</v>
      </c>
      <c r="P587" s="135" t="e">
        <f ca="1">VLOOKUP($B587,bond!$B:$AG,32,FALSE)</f>
        <v>#N/A</v>
      </c>
      <c r="Q587" s="135" t="e">
        <f ca="1">VLOOKUP($B587,bond!$B:$AH,33,FALSE)</f>
        <v>#N/A</v>
      </c>
      <c r="R587" s="135" t="e">
        <f ca="1">VLOOKUP(B587,bond!B:AA,26,FALSE)</f>
        <v>#N/A</v>
      </c>
      <c r="S587" s="135" t="e">
        <f ca="1">VLOOKUP(B587,bond!B:AI,34,FALSE)</f>
        <v>#N/A</v>
      </c>
      <c r="T587" s="135" t="e">
        <f t="shared" ca="1" si="63"/>
        <v>#N/A</v>
      </c>
      <c r="U587" s="207" t="e">
        <f ca="1">IFERROR(VLOOKUP(T587,Bond_DES!D:E,2,FALSE),VLOOKUP(S587,bond!AI:AJ,2,FALSE))</f>
        <v>#N/A</v>
      </c>
      <c r="V587" s="136" t="e">
        <f ca="1">IFERROR(VLOOKUP(B587,'1_重設數據'!L:M,2,FALSE),IF(Q587="政府",IF(AD587&gt;16,"(NPI)非專投",IF(AD587&gt;10,"(PI)專投","高資產")),IF(VLOOKUP(B587,bond!B:AN,39,FALSE)="Y","(PI)專投",IF(AD587&gt;=15,"(NPI)非專投",IF(AD587&gt;=10,"(PI)專投","高資產")))))</f>
        <v>#N/A</v>
      </c>
      <c r="W587" s="136" t="e">
        <f ca="1">VLOOKUP(AD587,'credit rating'!$F$2:$H$22,3,FALSE)</f>
        <v>#N/A</v>
      </c>
      <c r="X587" s="136" t="e">
        <f t="shared" ca="1" si="64"/>
        <v>#N/A</v>
      </c>
      <c r="Y587" s="136" t="e">
        <f t="shared" ca="1" si="65"/>
        <v>#N/A</v>
      </c>
      <c r="Z587" s="136" t="e">
        <f t="shared" ca="1" si="66"/>
        <v>#N/A</v>
      </c>
      <c r="AA587" s="134">
        <f ca="1">IFERROR(VLOOKUP(X587,'credit rating'!A:C,3,FALSE),0)</f>
        <v>0</v>
      </c>
      <c r="AB587" s="134">
        <f ca="1">IFERROR(VLOOKUP(Y587,'credit rating'!B:C,2,FALSE),0)</f>
        <v>0</v>
      </c>
      <c r="AC587" s="136">
        <f ca="1">IFERROR(VLOOKUP(Z587,'credit rating'!B:C,2,FALSE),0)</f>
        <v>0</v>
      </c>
      <c r="AD587" s="136">
        <f t="shared" ca="1" si="67"/>
        <v>0</v>
      </c>
      <c r="AE587" s="249" t="str">
        <f ca="1">IFERROR(VLOOKUP(B587,bond!B:U,20,FALSE),"")</f>
        <v/>
      </c>
      <c r="AF587" s="136" t="e">
        <f ca="1">IF(VLOOKUP(B587,bond!B:AK,36,FALSE)="#N/A Field Not Applicable","",VLOOKUP(B587,bond!B:AK,36,FALSE))</f>
        <v>#N/A</v>
      </c>
      <c r="AG587" s="136" t="e">
        <f ca="1">IF(VLOOKUP(B587,bond!B:AL,37,FALSE)="FIXED","固定",IF(VLOOKUP(B587,bond!B:AL,37,FALSE)="FLOATING","浮動",IF(VLOOKUP(B587,bond!B:AL,37,FALSE)="VARIABLE","變動",IF(VLOOKUP(B587,bond!B:AL,37,FALSE)="FLAT TRADING","不含息交易",IF(VLOOKUP(B587,bond!B:AL,37,FALSE)="ZERO COUPON","零息",VLOOKUP(B587,bond!B:AL,37,FALSE))))))</f>
        <v>#N/A</v>
      </c>
      <c r="AH587" s="136" t="e">
        <f>VLOOKUP(C587,'2_Check_code'!I:J,2,FALSE)</f>
        <v>#N/A</v>
      </c>
      <c r="AI587" s="136" t="e">
        <f t="shared" ca="1" si="68"/>
        <v>#N/A</v>
      </c>
      <c r="AJ587" s="136" t="e">
        <f t="shared" ca="1" si="69"/>
        <v>#N/A</v>
      </c>
      <c r="AK587" s="594" t="e">
        <f ca="1">IF(VLOOKUP(B587,bond!B:S,18,FALSE)="是","有",IF(VLOOKUP(B587,bond!B:S,18,FALSE)="NO OFFER","無","需查詢"))</f>
        <v>#N/A</v>
      </c>
      <c r="AL587" s="136" t="e">
        <f>IF(VLOOKUP(A587,bond!F:AR,39,FALSE)="#N/A Field Not Applicable",VLOOKUP(A587,bond!F:AR,38,FALSE),IFERROR(VLOOKUP(A587,'7_發行日例外'!A:B,2,FALSE),VLOOKUP(A587,bond!F:AR,39,FALSE)))</f>
        <v>#N/A</v>
      </c>
      <c r="AM587" s="136" t="e">
        <f ca="1">VLOOKUP(B587,bond!B:AK,36,FALSE)</f>
        <v>#N/A</v>
      </c>
      <c r="AN587" s="136" t="str">
        <f ca="1">IFERROR(VLOOKUP(B587,'3_是否下架'!A:A,1,FALSE),"")</f>
        <v/>
      </c>
      <c r="AO587" s="136" t="e">
        <f ca="1">VLOOKUP(B587,bond!B:J,9,FALSE)</f>
        <v>#N/A</v>
      </c>
      <c r="AP587" s="136" t="e">
        <f ca="1">VLOOKUP(B587,bond!B:V,21,FALSE)</f>
        <v>#N/A</v>
      </c>
    </row>
    <row r="588" spans="1:42">
      <c r="A588" s="141">
        <f>bond!F589</f>
        <v>0</v>
      </c>
      <c r="B588" s="151">
        <f ca="1">IF($C$1=TRUE,bond!B589,"")</f>
        <v>0</v>
      </c>
      <c r="C588" s="95" t="e">
        <f>VLOOKUP(A588,bond!F:G,2,FALSE)</f>
        <v>#N/A</v>
      </c>
      <c r="D588" s="142" t="e">
        <f ca="1">VLOOKUP(B588,bond!B:C,2,FALSE)</f>
        <v>#N/A</v>
      </c>
      <c r="E588" s="95" t="e">
        <f ca="1">VLOOKUP(B588,bond!B:D,3,FALSE)</f>
        <v>#N/A</v>
      </c>
      <c r="F588" s="99" t="e">
        <f ca="1">VLOOKUP(B588,bond!B:AB,27,FALSE)</f>
        <v>#N/A</v>
      </c>
      <c r="G588" s="90" t="e">
        <f ca="1">VLOOKUP(B588,bond!B:E,4,FALSE)</f>
        <v>#N/A</v>
      </c>
      <c r="H588" s="202" t="e">
        <f ca="1">VLOOKUP(B588,bond!B:Y,24,FALSE)</f>
        <v>#N/A</v>
      </c>
      <c r="I588" s="95" t="e">
        <f ca="1">VLOOKUP(B588,bond!B:Z,25,FALSE)</f>
        <v>#N/A</v>
      </c>
      <c r="J588" s="180" t="e">
        <f ca="1">VLOOKUP(B588,bond!B:K,10,FALSE)</f>
        <v>#N/A</v>
      </c>
      <c r="K588" s="96" t="e">
        <f ca="1">VLOOKUP($B588,bond!B:S,14,FALSE)</f>
        <v>#N/A</v>
      </c>
      <c r="L588" s="91" t="e">
        <f ca="1">VLOOKUP(B588,bond!B:H,7,FALSE)</f>
        <v>#N/A</v>
      </c>
      <c r="M588" s="144" t="e">
        <f ca="1">VLOOKUP($B588,bond!$B:$Q,16,FALSE)</f>
        <v>#N/A</v>
      </c>
      <c r="N588" s="136" t="e">
        <f ca="1">VALUE(LEFT(VLOOKUP(B588,bond!B:R,17,FALSE),SEARCH(" ",VLOOKUP(B588,bond!B:R,17,FALSE),1)))</f>
        <v>#N/A</v>
      </c>
      <c r="O588" s="136" t="e">
        <f ca="1">VALUE(RIGHT(VLOOKUP(B588,bond!B:R,17,FALSE),LEN(VLOOKUP(B588,bond!B:R,17,FALSE))-LEN(N588)-3))</f>
        <v>#N/A</v>
      </c>
      <c r="P588" s="135" t="e">
        <f ca="1">VLOOKUP($B588,bond!$B:$AG,32,FALSE)</f>
        <v>#N/A</v>
      </c>
      <c r="Q588" s="135" t="e">
        <f ca="1">VLOOKUP($B588,bond!$B:$AH,33,FALSE)</f>
        <v>#N/A</v>
      </c>
      <c r="R588" s="135" t="e">
        <f ca="1">VLOOKUP(B588,bond!B:AA,26,FALSE)</f>
        <v>#N/A</v>
      </c>
      <c r="S588" s="135" t="e">
        <f ca="1">VLOOKUP(B588,bond!B:AI,34,FALSE)</f>
        <v>#N/A</v>
      </c>
      <c r="T588" s="135" t="e">
        <f t="shared" ca="1" si="63"/>
        <v>#N/A</v>
      </c>
      <c r="U588" s="207" t="e">
        <f ca="1">IFERROR(VLOOKUP(T588,Bond_DES!D:E,2,FALSE),VLOOKUP(S588,bond!AI:AJ,2,FALSE))</f>
        <v>#N/A</v>
      </c>
      <c r="V588" s="136" t="e">
        <f ca="1">IFERROR(VLOOKUP(B588,'1_重設數據'!L:M,2,FALSE),IF(Q588="政府",IF(AD588&gt;16,"(NPI)非專投",IF(AD588&gt;10,"(PI)專投","高資產")),IF(VLOOKUP(B588,bond!B:AN,39,FALSE)="Y","(PI)專投",IF(AD588&gt;=15,"(NPI)非專投",IF(AD588&gt;=10,"(PI)專投","高資產")))))</f>
        <v>#N/A</v>
      </c>
      <c r="W588" s="136" t="e">
        <f ca="1">VLOOKUP(AD588,'credit rating'!$F$2:$H$22,3,FALSE)</f>
        <v>#N/A</v>
      </c>
      <c r="X588" s="136" t="e">
        <f t="shared" ca="1" si="64"/>
        <v>#N/A</v>
      </c>
      <c r="Y588" s="136" t="e">
        <f t="shared" ca="1" si="65"/>
        <v>#N/A</v>
      </c>
      <c r="Z588" s="136" t="e">
        <f t="shared" ca="1" si="66"/>
        <v>#N/A</v>
      </c>
      <c r="AA588" s="134">
        <f ca="1">IFERROR(VLOOKUP(X588,'credit rating'!A:C,3,FALSE),0)</f>
        <v>0</v>
      </c>
      <c r="AB588" s="134">
        <f ca="1">IFERROR(VLOOKUP(Y588,'credit rating'!B:C,2,FALSE),0)</f>
        <v>0</v>
      </c>
      <c r="AC588" s="136">
        <f ca="1">IFERROR(VLOOKUP(Z588,'credit rating'!B:C,2,FALSE),0)</f>
        <v>0</v>
      </c>
      <c r="AD588" s="136">
        <f t="shared" ca="1" si="67"/>
        <v>0</v>
      </c>
      <c r="AE588" s="249" t="str">
        <f ca="1">IFERROR(VLOOKUP(B588,bond!B:U,20,FALSE),"")</f>
        <v/>
      </c>
      <c r="AF588" s="136" t="e">
        <f ca="1">IF(VLOOKUP(B588,bond!B:AK,36,FALSE)="#N/A Field Not Applicable","",VLOOKUP(B588,bond!B:AK,36,FALSE))</f>
        <v>#N/A</v>
      </c>
      <c r="AG588" s="136" t="e">
        <f ca="1">IF(VLOOKUP(B588,bond!B:AL,37,FALSE)="FIXED","固定",IF(VLOOKUP(B588,bond!B:AL,37,FALSE)="FLOATING","浮動",IF(VLOOKUP(B588,bond!B:AL,37,FALSE)="VARIABLE","變動",IF(VLOOKUP(B588,bond!B:AL,37,FALSE)="FLAT TRADING","不含息交易",IF(VLOOKUP(B588,bond!B:AL,37,FALSE)="ZERO COUPON","零息",VLOOKUP(B588,bond!B:AL,37,FALSE))))))</f>
        <v>#N/A</v>
      </c>
      <c r="AH588" s="136" t="e">
        <f>VLOOKUP(C588,'2_Check_code'!I:J,2,FALSE)</f>
        <v>#N/A</v>
      </c>
      <c r="AI588" s="136" t="e">
        <f t="shared" ca="1" si="68"/>
        <v>#N/A</v>
      </c>
      <c r="AJ588" s="136" t="e">
        <f t="shared" ca="1" si="69"/>
        <v>#N/A</v>
      </c>
      <c r="AK588" s="594" t="e">
        <f ca="1">IF(VLOOKUP(B588,bond!B:S,18,FALSE)="是","有",IF(VLOOKUP(B588,bond!B:S,18,FALSE)="NO OFFER","無","需查詢"))</f>
        <v>#N/A</v>
      </c>
      <c r="AL588" s="136" t="e">
        <f>IF(VLOOKUP(A588,bond!F:AR,39,FALSE)="#N/A Field Not Applicable",VLOOKUP(A588,bond!F:AR,38,FALSE),IFERROR(VLOOKUP(A588,'7_發行日例外'!A:B,2,FALSE),VLOOKUP(A588,bond!F:AR,39,FALSE)))</f>
        <v>#N/A</v>
      </c>
      <c r="AM588" s="136" t="e">
        <f ca="1">VLOOKUP(B588,bond!B:AK,36,FALSE)</f>
        <v>#N/A</v>
      </c>
      <c r="AN588" s="136" t="str">
        <f ca="1">IFERROR(VLOOKUP(B588,'3_是否下架'!A:A,1,FALSE),"")</f>
        <v/>
      </c>
      <c r="AO588" s="136" t="e">
        <f ca="1">VLOOKUP(B588,bond!B:J,9,FALSE)</f>
        <v>#N/A</v>
      </c>
      <c r="AP588" s="136" t="e">
        <f ca="1">VLOOKUP(B588,bond!B:V,21,FALSE)</f>
        <v>#N/A</v>
      </c>
    </row>
  </sheetData>
  <autoFilter ref="A2:AN588" xr:uid="{00000000-0009-0000-0000-000014000000}"/>
  <phoneticPr fontId="53" type="noConversion"/>
  <conditionalFormatting sqref="B1 D1 F1 H1 J1 L1 N1 P1 R1 T1 V1 X1 Z1 AB1 AD1 AF1">
    <cfRule type="duplicateValues" dxfId="224" priority="179"/>
  </conditionalFormatting>
  <conditionalFormatting sqref="B2:B588">
    <cfRule type="duplicateValues" dxfId="223" priority="441"/>
  </conditionalFormatting>
  <conditionalFormatting sqref="B589:B1048576">
    <cfRule type="duplicateValues" dxfId="222" priority="442"/>
  </conditionalFormatting>
  <conditionalFormatting sqref="D2">
    <cfRule type="duplicateValues" dxfId="221" priority="1"/>
  </conditionalFormatting>
  <conditionalFormatting sqref="F2:G2">
    <cfRule type="duplicateValues" dxfId="220" priority="7"/>
  </conditionalFormatting>
  <conditionalFormatting sqref="J2">
    <cfRule type="duplicateValues" dxfId="219" priority="6"/>
  </conditionalFormatting>
  <conditionalFormatting sqref="K2">
    <cfRule type="duplicateValues" dxfId="218" priority="5"/>
  </conditionalFormatting>
  <conditionalFormatting sqref="M2:O2">
    <cfRule type="duplicateValues" dxfId="217" priority="4"/>
  </conditionalFormatting>
  <conditionalFormatting sqref="X2">
    <cfRule type="duplicateValues" dxfId="216" priority="3"/>
  </conditionalFormatting>
  <conditionalFormatting sqref="Y2:Z2">
    <cfRule type="duplicateValues" dxfId="215" priority="2"/>
  </conditionalFormatting>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工作表29">
    <tabColor theme="9" tint="0.59999389629810485"/>
  </sheetPr>
  <dimension ref="A1:CN588"/>
  <sheetViews>
    <sheetView workbookViewId="0">
      <selection activeCell="K3" sqref="K3"/>
    </sheetView>
  </sheetViews>
  <sheetFormatPr defaultColWidth="15.42578125" defaultRowHeight="13"/>
  <cols>
    <col min="1" max="1" width="14.0703125" style="88" customWidth="1"/>
    <col min="2" max="2" width="8.42578125" style="87" bestFit="1" customWidth="1"/>
    <col min="3" max="3" width="48.640625" style="87" bestFit="1" customWidth="1"/>
    <col min="4" max="4" width="10.85546875" style="88" customWidth="1"/>
    <col min="5" max="5" width="16" style="89" customWidth="1"/>
    <col min="6" max="6" width="9.42578125" style="201" customWidth="1"/>
    <col min="7" max="7" width="15.42578125" style="87" customWidth="1"/>
    <col min="8" max="8" width="15.42578125" style="201" customWidth="1"/>
    <col min="9" max="10" width="16.640625" style="1214" customWidth="1"/>
    <col min="11" max="13" width="15.42578125" style="86" customWidth="1"/>
    <col min="14" max="14" width="15.640625" style="86" customWidth="1"/>
    <col min="15" max="15" width="15.640625" style="1212" customWidth="1"/>
    <col min="16" max="16" width="13.640625" style="1212" bestFit="1" customWidth="1"/>
    <col min="17" max="17" width="12" style="1212" bestFit="1" customWidth="1"/>
    <col min="18" max="19" width="12" style="1212" customWidth="1"/>
    <col min="20" max="20" width="12" style="86" customWidth="1"/>
    <col min="21" max="21" width="10.2109375" style="862" customWidth="1"/>
    <col min="22" max="24" width="15.85546875" style="86" customWidth="1"/>
    <col min="25" max="26" width="15.42578125" style="1219" customWidth="1"/>
    <col min="27" max="27" width="15.42578125" style="86" customWidth="1"/>
    <col min="28" max="28" width="15.42578125" style="1210" customWidth="1"/>
    <col min="29" max="32" width="15.42578125" style="86" customWidth="1"/>
    <col min="33" max="33" width="14.0703125" style="86" customWidth="1"/>
    <col min="34" max="34" width="7.2109375" style="86" customWidth="1"/>
    <col min="35" max="36" width="15.42578125" style="1212" customWidth="1"/>
    <col min="37" max="37" width="15.42578125" style="86" customWidth="1"/>
    <col min="38" max="38" width="14.0703125" style="86" customWidth="1"/>
    <col min="39" max="39" width="7.2109375" style="86" customWidth="1"/>
    <col min="40" max="41" width="15.42578125" style="1212" customWidth="1"/>
    <col min="42" max="42" width="15.42578125" style="86" customWidth="1"/>
    <col min="43" max="43" width="14.0703125" style="86" customWidth="1"/>
    <col min="44" max="44" width="7.2109375" style="86" customWidth="1"/>
    <col min="45" max="46" width="15.42578125" style="1212" customWidth="1"/>
    <col min="47" max="47" width="15.42578125" style="86" customWidth="1"/>
    <col min="48" max="48" width="14.0703125" style="86" customWidth="1"/>
    <col min="49" max="49" width="7.2109375" style="86" customWidth="1"/>
    <col min="50" max="51" width="15.42578125" style="1212" customWidth="1"/>
    <col min="52" max="52" width="15.42578125" style="86" customWidth="1"/>
    <col min="53" max="53" width="14.0703125" style="86" customWidth="1"/>
    <col min="54" max="54" width="7.2109375" style="86" customWidth="1"/>
    <col min="55" max="56" width="15.42578125" style="1212" customWidth="1"/>
    <col min="57" max="57" width="15.42578125" style="86" customWidth="1"/>
    <col min="58" max="58" width="14.0703125" style="86" customWidth="1"/>
    <col min="59" max="59" width="7.2109375" style="86" customWidth="1"/>
    <col min="60" max="61" width="15.42578125" style="1212" customWidth="1"/>
    <col min="62" max="62" width="15.42578125" style="86" customWidth="1"/>
    <col min="63" max="63" width="14.0703125" style="86" customWidth="1"/>
    <col min="64" max="64" width="7.2109375" style="86" customWidth="1"/>
    <col min="65" max="66" width="15.42578125" style="1212" customWidth="1"/>
    <col min="67" max="67" width="15.42578125" style="86" customWidth="1"/>
    <col min="68" max="68" width="14.0703125" style="86" customWidth="1"/>
    <col min="69" max="69" width="7.2109375" style="86" customWidth="1"/>
    <col min="70" max="71" width="15.42578125" style="1212" customWidth="1"/>
    <col min="72" max="72" width="15.42578125" style="86" customWidth="1"/>
    <col min="73" max="73" width="14.0703125" style="86" customWidth="1"/>
    <col min="74" max="74" width="7.2109375" style="86" customWidth="1"/>
    <col min="75" max="76" width="15.42578125" style="1212" customWidth="1"/>
    <col min="77" max="77" width="15.42578125" style="86" customWidth="1"/>
    <col min="78" max="78" width="14.0703125" style="86" customWidth="1"/>
    <col min="79" max="79" width="7.2109375" style="86" customWidth="1"/>
    <col min="80" max="81" width="15.42578125" style="1212" customWidth="1"/>
    <col min="82" max="82" width="15.42578125" style="86" customWidth="1"/>
    <col min="83" max="83" width="14.0703125" style="86" customWidth="1"/>
    <col min="84" max="84" width="7.2109375" style="86" customWidth="1"/>
    <col min="85" max="86" width="15.42578125" style="1212" customWidth="1"/>
    <col min="87" max="87" width="15.42578125" style="86" customWidth="1"/>
    <col min="88" max="88" width="14.0703125" style="86" customWidth="1"/>
    <col min="89" max="89" width="7.2109375" style="86" customWidth="1"/>
    <col min="90" max="91" width="15.42578125" style="1212" customWidth="1"/>
    <col min="92" max="92" width="15.42578125" style="86" customWidth="1"/>
    <col min="93" max="16384" width="15.42578125" style="86"/>
  </cols>
  <sheetData>
    <row r="1" spans="1:92" ht="14.5">
      <c r="A1" s="138"/>
      <c r="B1" s="710"/>
      <c r="C1" s="710"/>
      <c r="D1" s="392"/>
      <c r="E1" s="87"/>
      <c r="F1" s="87"/>
      <c r="I1" s="1212"/>
      <c r="J1" s="1212"/>
      <c r="K1" s="87"/>
      <c r="L1" s="87"/>
      <c r="M1" s="87"/>
      <c r="O1" s="1216">
        <f ca="1">換券單檔!D17</f>
        <v>96700.6</v>
      </c>
      <c r="P1" s="1216">
        <f ca="1">換券單檔!D10</f>
        <v>100000</v>
      </c>
      <c r="Q1" s="1216">
        <f ca="1">換券單檔!D29</f>
        <v>4849.9999999999991</v>
      </c>
      <c r="U1" s="860">
        <f ca="1">換券單檔!D9</f>
        <v>5.0274453752479784E-2</v>
      </c>
      <c r="V1" s="858" t="str">
        <f>CHOOSE(model!A3,"All","(NPI)非專投","(PI)專投")</f>
        <v>All</v>
      </c>
      <c r="W1" s="858"/>
      <c r="X1" s="858"/>
      <c r="Y1" s="1218">
        <f ca="1">Q1*0.9</f>
        <v>4364.9999999999991</v>
      </c>
      <c r="AC1" s="858">
        <f ca="1">換券單檔!D33</f>
        <v>14896.14</v>
      </c>
      <c r="AG1" s="1022" t="str">
        <f ca="1">換券單檔!$AB$2</f>
        <v>XH430</v>
      </c>
      <c r="AH1" s="1027" t="str">
        <f ca="1">換券單檔!$AC$2</f>
        <v>USD</v>
      </c>
      <c r="AI1" s="1222">
        <f ca="1">換券單檔!$AE$2</f>
        <v>100000</v>
      </c>
      <c r="AJ1" s="1222">
        <f ca="1">換券單檔!$AF$2</f>
        <v>4849.9999999999991</v>
      </c>
      <c r="AK1" s="86">
        <f ca="1">COUNTIF(AK3:AK588,"&gt;0")</f>
        <v>25</v>
      </c>
      <c r="AL1" s="1022" t="str">
        <f ca="1">換券單檔!$AB$3</f>
        <v>XG300</v>
      </c>
      <c r="AM1" s="1027" t="str">
        <f ca="1">換券單檔!$AC$3</f>
        <v>USD</v>
      </c>
      <c r="AN1" s="1222">
        <f ca="1">換券單檔!$AE$3</f>
        <v>100000</v>
      </c>
      <c r="AO1" s="1222">
        <f ca="1">換券單檔!$AF$3</f>
        <v>2250</v>
      </c>
      <c r="AP1" s="86">
        <f ca="1">COUNTIF(AP3:AP588,"&gt;0")</f>
        <v>0</v>
      </c>
      <c r="AQ1" s="1022" t="str">
        <f ca="1">換券單檔!$AB$4</f>
        <v>XH750</v>
      </c>
      <c r="AR1" s="1027" t="str">
        <f ca="1">換券單檔!$AC$4</f>
        <v>USD</v>
      </c>
      <c r="AS1" s="1222">
        <f ca="1">換券單檔!$AE$4</f>
        <v>100000</v>
      </c>
      <c r="AT1" s="1222">
        <f ca="1">換券單檔!$AF$4</f>
        <v>4875</v>
      </c>
      <c r="AU1" s="86">
        <f ca="1">COUNTIF(AU3:AU588,"&gt;0")</f>
        <v>15</v>
      </c>
      <c r="AV1" s="1022" t="str">
        <f ca="1">換券單檔!$AB$5</f>
        <v>XH040</v>
      </c>
      <c r="AW1" s="1027" t="str">
        <f ca="1">換券單檔!$AC$5</f>
        <v>USD</v>
      </c>
      <c r="AX1" s="1222">
        <f ca="1">換券單檔!$AE$5</f>
        <v>100000</v>
      </c>
      <c r="AY1" s="1222">
        <f ca="1">換券單檔!$AF$5</f>
        <v>4450.0000000000009</v>
      </c>
      <c r="AZ1" s="86">
        <f ca="1">COUNTIF(AZ3:AZ588,"&gt;0")</f>
        <v>8</v>
      </c>
      <c r="BA1" s="1022" t="str">
        <f ca="1">換券單檔!$AB$6</f>
        <v/>
      </c>
      <c r="BB1" s="1027" t="str">
        <f ca="1">換券單檔!$AC$6</f>
        <v/>
      </c>
      <c r="BC1" s="1222">
        <f ca="1">換券單檔!$AE$6</f>
        <v>0</v>
      </c>
      <c r="BD1" s="1222">
        <f ca="1">換券單檔!$AF$6</f>
        <v>0</v>
      </c>
      <c r="BE1" s="86">
        <f ca="1">COUNTIF(BE3:BE588,"&gt;0")</f>
        <v>0</v>
      </c>
      <c r="BF1" s="1022" t="str">
        <f ca="1">換券單檔!$AB$7</f>
        <v/>
      </c>
      <c r="BG1" s="1027" t="str">
        <f ca="1">換券單檔!$AC$7</f>
        <v/>
      </c>
      <c r="BH1" s="1222">
        <f ca="1">換券單檔!$AE$7</f>
        <v>0</v>
      </c>
      <c r="BI1" s="1222">
        <f ca="1">換券單檔!$AF$7</f>
        <v>0</v>
      </c>
      <c r="BJ1" s="86">
        <f ca="1">COUNTIF(BJ3:BJ588,"&gt;0")</f>
        <v>0</v>
      </c>
      <c r="BK1" s="1022" t="str">
        <f ca="1">換券單檔!$AB$8</f>
        <v/>
      </c>
      <c r="BL1" s="1027" t="str">
        <f ca="1">換券單檔!$AC$8</f>
        <v/>
      </c>
      <c r="BM1" s="1222">
        <f ca="1">換券單檔!$AE$8</f>
        <v>0</v>
      </c>
      <c r="BN1" s="1222">
        <f ca="1">換券單檔!$AF$8</f>
        <v>0</v>
      </c>
      <c r="BO1" s="86">
        <f ca="1">COUNTIF(BO3:BO588,"&gt;0")</f>
        <v>0</v>
      </c>
      <c r="BP1" s="1022" t="str">
        <f ca="1">換券單檔!$AB$9</f>
        <v/>
      </c>
      <c r="BQ1" s="1027" t="str">
        <f ca="1">換券單檔!$AC$9</f>
        <v/>
      </c>
      <c r="BR1" s="1222">
        <f ca="1">換券單檔!$AE$9</f>
        <v>0</v>
      </c>
      <c r="BS1" s="1222">
        <f ca="1">換券單檔!$AF$9</f>
        <v>0</v>
      </c>
      <c r="BT1" s="86">
        <f ca="1">COUNTIF(BT3:BT588,"&gt;0")</f>
        <v>0</v>
      </c>
      <c r="BU1" s="1022" t="str">
        <f ca="1">換券單檔!$AB$10</f>
        <v/>
      </c>
      <c r="BV1" s="1027" t="str">
        <f ca="1">換券單檔!$AC$10</f>
        <v/>
      </c>
      <c r="BW1" s="1222">
        <f ca="1">換券單檔!$AE$10</f>
        <v>0</v>
      </c>
      <c r="BX1" s="1222">
        <f ca="1">換券單檔!$AF$10</f>
        <v>0</v>
      </c>
      <c r="BY1" s="86">
        <f ca="1">COUNTIF(BY3:BY588,"&gt;0")</f>
        <v>0</v>
      </c>
      <c r="BZ1" s="1022" t="str">
        <f ca="1">換券單檔!$AB$11</f>
        <v/>
      </c>
      <c r="CA1" s="1027" t="str">
        <f ca="1">換券單檔!$AC$11</f>
        <v/>
      </c>
      <c r="CB1" s="1222">
        <f ca="1">換券單檔!$AE$11</f>
        <v>0</v>
      </c>
      <c r="CC1" s="1222">
        <f ca="1">換券單檔!$AF$11</f>
        <v>0</v>
      </c>
      <c r="CD1" s="86">
        <f ca="1">COUNTIF(CD3:CD588,"&gt;0")</f>
        <v>0</v>
      </c>
      <c r="CE1" s="1022" t="str">
        <f ca="1">換券單檔!$AB$12</f>
        <v/>
      </c>
      <c r="CF1" s="1027" t="str">
        <f ca="1">換券單檔!$AC$12</f>
        <v/>
      </c>
      <c r="CG1" s="1222">
        <f ca="1">換券單檔!$AE$12</f>
        <v>0</v>
      </c>
      <c r="CH1" s="1222">
        <f ca="1">換券單檔!$AF$12</f>
        <v>0</v>
      </c>
      <c r="CI1" s="86">
        <f ca="1">COUNTIF(CI3:CI588,"&gt;0")</f>
        <v>0</v>
      </c>
      <c r="CJ1" s="1022" t="str">
        <f ca="1">換券單檔!$AB$13</f>
        <v/>
      </c>
      <c r="CK1" s="1027" t="str">
        <f ca="1">換券單檔!$AC$13</f>
        <v/>
      </c>
      <c r="CL1" s="1222">
        <f ca="1">換券單檔!$AE$13</f>
        <v>0</v>
      </c>
      <c r="CM1" s="1222">
        <f ca="1">換券單檔!$AF$13</f>
        <v>0</v>
      </c>
      <c r="CN1" s="86">
        <f ca="1">COUNTIF(CN3:CN588,"&gt;0")</f>
        <v>0</v>
      </c>
    </row>
    <row r="2" spans="1:92" s="178" customFormat="1" ht="44" thickBot="1">
      <c r="A2" s="1196" t="s">
        <v>311</v>
      </c>
      <c r="B2" s="1196" t="s">
        <v>310</v>
      </c>
      <c r="C2" s="1196" t="s">
        <v>4265</v>
      </c>
      <c r="D2" s="1224" t="s">
        <v>202</v>
      </c>
      <c r="E2" s="1225" t="s">
        <v>525</v>
      </c>
      <c r="F2" s="1197" t="s">
        <v>200</v>
      </c>
      <c r="G2" s="1225" t="s">
        <v>1279</v>
      </c>
      <c r="H2" s="1226" t="s">
        <v>4116</v>
      </c>
      <c r="I2" s="1227" t="s">
        <v>537</v>
      </c>
      <c r="J2" s="1227" t="s">
        <v>535</v>
      </c>
      <c r="K2" s="1208" t="s">
        <v>2095</v>
      </c>
      <c r="L2" s="1208" t="s">
        <v>4115</v>
      </c>
      <c r="M2" s="1208" t="s">
        <v>2091</v>
      </c>
      <c r="N2" s="863" t="s">
        <v>3528</v>
      </c>
      <c r="O2" s="1237" t="s">
        <v>3552</v>
      </c>
      <c r="P2" s="1237" t="s">
        <v>3553</v>
      </c>
      <c r="Q2" s="1237" t="s">
        <v>211</v>
      </c>
      <c r="R2" s="1237" t="s">
        <v>4103</v>
      </c>
      <c r="S2" s="1237" t="s">
        <v>4104</v>
      </c>
      <c r="T2" s="863" t="s">
        <v>3546</v>
      </c>
      <c r="U2" s="1238" t="s">
        <v>3545</v>
      </c>
      <c r="V2" s="863" t="s">
        <v>3769</v>
      </c>
      <c r="W2" s="1239" t="s">
        <v>4118</v>
      </c>
      <c r="X2" s="1239" t="s">
        <v>3537</v>
      </c>
      <c r="Y2" s="1239" t="s">
        <v>3729</v>
      </c>
      <c r="Z2" s="1240" t="s">
        <v>4062</v>
      </c>
      <c r="AA2" s="1241" t="s">
        <v>4063</v>
      </c>
      <c r="AB2" s="1221" t="s">
        <v>4064</v>
      </c>
      <c r="AC2" s="1122" t="s">
        <v>4063</v>
      </c>
      <c r="AD2" s="1124" t="s">
        <v>4065</v>
      </c>
      <c r="AE2" s="1125" t="s">
        <v>4063</v>
      </c>
      <c r="AF2" s="1025" t="s">
        <v>3757</v>
      </c>
      <c r="AG2" s="1023" t="s">
        <v>3754</v>
      </c>
      <c r="AH2" s="1024">
        <f ca="1">換券單檔!$AD$2</f>
        <v>96700.6</v>
      </c>
      <c r="AI2" s="1217" t="s">
        <v>3553</v>
      </c>
      <c r="AJ2" s="1217" t="s">
        <v>211</v>
      </c>
      <c r="AK2" s="178" t="s">
        <v>4366</v>
      </c>
      <c r="AL2" s="1023" t="s">
        <v>3754</v>
      </c>
      <c r="AM2" s="1024">
        <f ca="1">換券單檔!$AD$3</f>
        <v>55316.3</v>
      </c>
      <c r="AN2" s="1217" t="s">
        <v>3553</v>
      </c>
      <c r="AO2" s="1217" t="s">
        <v>211</v>
      </c>
      <c r="AP2" s="178" t="s">
        <v>4366</v>
      </c>
      <c r="AQ2" s="1023" t="s">
        <v>3754</v>
      </c>
      <c r="AR2" s="1024">
        <f ca="1">換券單檔!$AD$4</f>
        <v>94562.7</v>
      </c>
      <c r="AS2" s="1217" t="s">
        <v>3553</v>
      </c>
      <c r="AT2" s="1217" t="s">
        <v>211</v>
      </c>
      <c r="AU2" s="178" t="s">
        <v>4366</v>
      </c>
      <c r="AV2" s="1023" t="s">
        <v>3754</v>
      </c>
      <c r="AW2" s="1024">
        <f ca="1">換券單檔!$AD$5</f>
        <v>86903.5</v>
      </c>
      <c r="AX2" s="1217" t="s">
        <v>3553</v>
      </c>
      <c r="AY2" s="1217" t="s">
        <v>211</v>
      </c>
      <c r="AZ2" s="178" t="s">
        <v>4366</v>
      </c>
      <c r="BA2" s="1023" t="s">
        <v>3754</v>
      </c>
      <c r="BB2" s="1024">
        <f ca="1">換券單檔!$AD$6</f>
        <v>0</v>
      </c>
      <c r="BC2" s="1217" t="s">
        <v>3553</v>
      </c>
      <c r="BD2" s="1217" t="s">
        <v>211</v>
      </c>
      <c r="BE2" s="178" t="s">
        <v>4366</v>
      </c>
      <c r="BF2" s="1023" t="s">
        <v>3754</v>
      </c>
      <c r="BG2" s="1024">
        <f ca="1">換券單檔!$AD$7</f>
        <v>0</v>
      </c>
      <c r="BH2" s="1217" t="s">
        <v>3553</v>
      </c>
      <c r="BI2" s="1217" t="s">
        <v>211</v>
      </c>
      <c r="BJ2" s="178" t="s">
        <v>4366</v>
      </c>
      <c r="BK2" s="1023" t="s">
        <v>3754</v>
      </c>
      <c r="BL2" s="1024">
        <f ca="1">換券單檔!$AD$8</f>
        <v>0</v>
      </c>
      <c r="BM2" s="1217" t="s">
        <v>3553</v>
      </c>
      <c r="BN2" s="1217" t="s">
        <v>211</v>
      </c>
      <c r="BO2" s="178" t="s">
        <v>4366</v>
      </c>
      <c r="BP2" s="1023" t="s">
        <v>3754</v>
      </c>
      <c r="BQ2" s="1024">
        <f ca="1">換券單檔!$AD$9</f>
        <v>0</v>
      </c>
      <c r="BR2" s="1217" t="s">
        <v>3553</v>
      </c>
      <c r="BS2" s="1217" t="s">
        <v>211</v>
      </c>
      <c r="BT2" s="178" t="s">
        <v>4366</v>
      </c>
      <c r="BU2" s="1023" t="s">
        <v>3754</v>
      </c>
      <c r="BV2" s="1024">
        <f ca="1">換券單檔!$AD$10</f>
        <v>0</v>
      </c>
      <c r="BW2" s="1217" t="s">
        <v>3553</v>
      </c>
      <c r="BX2" s="1217" t="s">
        <v>211</v>
      </c>
      <c r="BY2" s="178" t="s">
        <v>4366</v>
      </c>
      <c r="BZ2" s="1023" t="s">
        <v>3754</v>
      </c>
      <c r="CA2" s="1024">
        <f ca="1">換券單檔!$AD$11</f>
        <v>0</v>
      </c>
      <c r="CB2" s="1217" t="s">
        <v>3553</v>
      </c>
      <c r="CC2" s="1217" t="s">
        <v>211</v>
      </c>
      <c r="CD2" s="178" t="s">
        <v>4366</v>
      </c>
      <c r="CE2" s="1023" t="s">
        <v>3754</v>
      </c>
      <c r="CF2" s="1024">
        <f ca="1">換券單檔!$AD$12</f>
        <v>0</v>
      </c>
      <c r="CG2" s="1217" t="s">
        <v>3553</v>
      </c>
      <c r="CH2" s="1217" t="s">
        <v>211</v>
      </c>
      <c r="CI2" s="178" t="s">
        <v>4366</v>
      </c>
      <c r="CJ2" s="1023" t="s">
        <v>3754</v>
      </c>
      <c r="CK2" s="1024">
        <f ca="1">換券單檔!$AD$13</f>
        <v>0</v>
      </c>
      <c r="CL2" s="1217" t="s">
        <v>3553</v>
      </c>
      <c r="CM2" s="1217" t="s">
        <v>211</v>
      </c>
      <c r="CN2" s="178" t="s">
        <v>4366</v>
      </c>
    </row>
    <row r="3" spans="1:92" s="136" customFormat="1">
      <c r="A3" s="141" t="str">
        <f>'銀行-TSS'!A3</f>
        <v>US01609WAQ50</v>
      </c>
      <c r="B3" s="151" t="str">
        <f ca="1">VLOOKUP(A3,'銀行-TSS'!A:B,2,FALSE)</f>
        <v>XF860</v>
      </c>
      <c r="C3" s="151" t="str">
        <f ca="1">VLOOKUP(B3,bond!B:C,2,FALSE)</f>
        <v>阿里巴巴集團美元配息債券 3.6% 2024/11/28</v>
      </c>
      <c r="D3" s="95" t="str">
        <f>VLOOKUP(A3,'銀行-TSS'!A:C,3,FALSE)</f>
        <v>USD</v>
      </c>
      <c r="E3" s="90">
        <f ca="1">VLOOKUP(A3,'銀行-TSS'!A:G,7,FALSE)</f>
        <v>0.41</v>
      </c>
      <c r="F3" s="202">
        <f ca="1">VLOOKUP(A3,'銀行-TSS'!A:H,8,FALSE)</f>
        <v>3.6000000000000004E-2</v>
      </c>
      <c r="G3" s="96">
        <f ca="1">VLOOKUP(A3,'銀行-TSS'!A:K,11,FALSE)</f>
        <v>101.36</v>
      </c>
      <c r="H3" s="1209">
        <f ca="1">VLOOKUP(A3,'銀行-TSS'!A:M,13,FALSE)</f>
        <v>1.0699999999999999E-2</v>
      </c>
      <c r="I3" s="1213">
        <f ca="1">VLOOKUP(A3,'銀行-TSS'!A:N,14,FALSE)</f>
        <v>200000</v>
      </c>
      <c r="J3" s="1213">
        <f ca="1">VLOOKUP(A3,'銀行-TSS'!A:O,15,FALSE)</f>
        <v>1000</v>
      </c>
      <c r="K3" s="136" t="str">
        <f ca="1">VLOOKUP(A3,'銀行-TSS'!A:V,22,FALSE)</f>
        <v>(NPI)非專投</v>
      </c>
      <c r="L3" s="136" t="str">
        <f ca="1">VLOOKUP(A3,'銀行-TSS'!A:AK,37,FALSE)</f>
        <v>有</v>
      </c>
      <c r="M3" s="136" t="str">
        <f ca="1">VLOOKUP(A3,'銀行-TSS'!A:AN,40,FALSE)</f>
        <v>XF860</v>
      </c>
      <c r="N3" s="136">
        <f t="shared" ref="N3:N66" ca="1" si="0">G3*J3/100</f>
        <v>1013.6</v>
      </c>
      <c r="O3" s="1213">
        <f t="shared" ref="O3:O66" ca="1" si="1">G3*I3/100</f>
        <v>202720</v>
      </c>
      <c r="P3" s="1213">
        <f ca="1">IF(AND($O$1&gt;=O3,換券單檔!$D$13=D3),I3+INT(($O$1-O3)/N3)*J3,0)</f>
        <v>0</v>
      </c>
      <c r="Q3" s="1213">
        <f t="shared" ref="Q3:Q66" ca="1" si="2">P3*F3</f>
        <v>0</v>
      </c>
      <c r="R3" s="1213">
        <f ca="1">IF(A3=0,0,IF(V3=FALSE,0,P3))</f>
        <v>0</v>
      </c>
      <c r="S3" s="1213">
        <f ca="1">IF(A3=0,0,IF(V3=FALSE,0,Q3))</f>
        <v>0</v>
      </c>
      <c r="T3" s="136">
        <f ca="1">IF(OR(R3=0,A3=0),0,IF(AND(V3=TRUE,換券單檔!$D$13=D3),E3,0))</f>
        <v>0</v>
      </c>
      <c r="U3" s="861">
        <f ca="1">IF(OR(R3=0,A3=0),0,IF(AND(V3=TRUE,換券單檔!$D$13=D3),H3,0))</f>
        <v>0</v>
      </c>
      <c r="V3" s="136" t="b">
        <f ca="1">IF(OR(B3=換券單檔!$D$3,L3="無",M3&lt;&gt;"",K3="高資產",IFERROR(MATCH(B3,換券單檔!K:K,0),"N")&lt;&gt;"N"),FALSE,IF($V$1="All",TRUE,IF(K3=$V$1,TRUE,FALSE)))</f>
        <v>0</v>
      </c>
      <c r="W3" s="136">
        <f ca="1">VLOOKUP(A3,'銀行-TSS'!A:AO,41,FALSE)</f>
        <v>99.52000000000001</v>
      </c>
      <c r="X3" s="136">
        <f ca="1">VLOOKUP(A3,'銀行-TSS'!A:AP,42,FALSE)</f>
        <v>0.15479999999999999</v>
      </c>
      <c r="Y3" s="1220">
        <f t="shared" ref="Y3:Y66" ca="1" si="3">IF(A3=0,0,IF(V3=FALSE,0,IFERROR(W3/100*P3*X3*1%,0)))</f>
        <v>0</v>
      </c>
      <c r="Z3" s="1220">
        <f t="shared" ref="Z3:Z66" ca="1" si="4">IF(A3=0,0,IF(V3=FALSE,0,IF(OR(Q3&lt;$Y$1,E3&lt;5)=FALSE,((Q3-$Q$1)*MIN(3,E3)*(1-MIN(1/(2*E3),1))+IF((P3-$P$1)&lt;0,(P3-$P$1)*2,(P3-$P$1)*MIN(1/(2*E3),1))),0)))</f>
        <v>0</v>
      </c>
      <c r="AA3" s="136">
        <f ca="1">IF(Z3&lt;=0,0,RANK(Z3,Z:Z)+COUNTIF($Z$3:$Z3,Z3)-1)</f>
        <v>0</v>
      </c>
      <c r="AB3" s="1211">
        <f t="shared" ref="AB3:AB66" ca="1" si="5">IF(A3=0,0,IF(V3=FALSE,0,Y3+IF((P3-$P$1)&lt;0,(P3-$P$1),0)))-$AC$1</f>
        <v>-14896.14</v>
      </c>
      <c r="AC3" s="136">
        <f ca="1">IF(AB3&lt;=0,0,RANK(AB3,AB:AB)+COUNTIF($AB$3:$AB3,AB3)-1)</f>
        <v>0</v>
      </c>
      <c r="AD3" s="1123">
        <f t="shared" ref="AD3:AD66" ca="1" si="6">IF(A3=0,99999,IF(OR(V3=FALSE,AA3=0,AC3=0),99999,(AC3+AA3)/2))</f>
        <v>99999</v>
      </c>
      <c r="AE3" s="1123">
        <f ca="1">IF(AD3=99999,0,RANK(AD3,AD:AD,1)+COUNTIF($AD$3:$AD3,AD3)-1)</f>
        <v>0</v>
      </c>
      <c r="AF3" s="86" t="b">
        <f ca="1">IF(OR(M3&lt;&gt;"",L3="無",K3="高資產",IFERROR(MATCH(B3,換券單檔!K:K,0),"N")&lt;&gt;"N"),FALSE,TRUE)</f>
        <v>0</v>
      </c>
      <c r="AG3" s="86"/>
      <c r="AH3" s="86"/>
      <c r="AI3" s="1212">
        <f t="shared" ref="AI3:AI66" ca="1" si="7">IF($AF3=FALSE,0,IF(AND(AH$2&gt;=$O3,AH$1=$D3),$I3+INT((AH$2-$O3)/$N3)*$J3,0))</f>
        <v>0</v>
      </c>
      <c r="AJ3" s="1213">
        <f t="shared" ref="AJ3:AJ66" ca="1" si="8">AI3*$F3</f>
        <v>0</v>
      </c>
      <c r="AK3" s="1587">
        <f t="shared" ref="AK3:AK66" ca="1" si="9">IF($A3=0,0,IF(OR($AF3=FALSE,$B3=AG$1),0,IF(OR(AJ3&lt;(AJ$1*0.9),$E3&lt;5)=FALSE,((AJ3-AJ$1)*MIN(3,$E3)*(1-MIN(1/(2*$E3),1))+IF((AI3-AI$1)&lt;0,(AI3-AI$1)*2,(AI3-AI$1)*MIN(1/(2*$E3),1))),0)))</f>
        <v>0</v>
      </c>
      <c r="AL3" s="86"/>
      <c r="AM3" s="86"/>
      <c r="AN3" s="1212">
        <f t="shared" ref="AN3:AN66" ca="1" si="10">IF($AF3=FALSE,0,IF(AND(AM$2&gt;=$O3,AM$1=$D3),$I3+INT((AM$2-$O3)/$N3)*$J3,0))</f>
        <v>0</v>
      </c>
      <c r="AO3" s="1213">
        <f t="shared" ref="AO3:AO66" ca="1" si="11">AN3*$F3</f>
        <v>0</v>
      </c>
      <c r="AP3" s="1587">
        <f t="shared" ref="AP3:AP66" ca="1" si="12">IF($A3=0,0,IF(OR($AF3=FALSE,$B3=AL$1),0,IF(OR(AO3&lt;(AO$1*0.9),$E3&lt;5)=FALSE,((AO3-AO$1)*MIN(3,$E3)*(1-MIN(1/(2*$E3),1))+IF((AN3-AN$1)&lt;0,(AN3-AN$1)*2,(AN3-AN$1)*MIN(1/(2*$E3),1))),0)))</f>
        <v>0</v>
      </c>
      <c r="AQ3" s="86"/>
      <c r="AR3" s="86"/>
      <c r="AS3" s="1212">
        <f t="shared" ref="AS3:AS66" ca="1" si="13">IF($AF3=FALSE,0,IF(AND(AR$2&gt;=$O3,AR$1=$D3),$I3+INT((AR$2-$O3)/$N3)*$J3,0))</f>
        <v>0</v>
      </c>
      <c r="AT3" s="1213">
        <f t="shared" ref="AT3:AT66" ca="1" si="14">AS3*$F3</f>
        <v>0</v>
      </c>
      <c r="AU3" s="1587">
        <f t="shared" ref="AU3:AU66" ca="1" si="15">IF($A3=0,0,IF(OR($AF3=FALSE,$B3=AQ$1),0,IF(OR(AT3&lt;(AT$1*0.9),$E3&lt;5)=FALSE,((AT3-AT$1)*MIN(3,$E3)*(1-MIN(1/(2*$E3),1))+IF((AS3-AS$1)&lt;0,(AS3-AS$1)*2,(AS3-AS$1)*MIN(1/(2*$E3),1))),0)))</f>
        <v>0</v>
      </c>
      <c r="AV3" s="86"/>
      <c r="AW3" s="86"/>
      <c r="AX3" s="1212">
        <f t="shared" ref="AX3:AX66" ca="1" si="16">IF($AF3=FALSE,0,IF(AND(AW$2&gt;=$O3,AW$1=$D3),$I3+INT((AW$2-$O3)/$N3)*$J3,0))</f>
        <v>0</v>
      </c>
      <c r="AY3" s="1213">
        <f t="shared" ref="AY3:AY66" ca="1" si="17">AX3*$F3</f>
        <v>0</v>
      </c>
      <c r="AZ3" s="1587">
        <f t="shared" ref="AZ3:AZ66" ca="1" si="18">IF($A3=0,0,IF(OR($AF3=FALSE,$B3=AV$1),0,IF(OR(AY3&lt;(AY$1*0.9),$E3&lt;5)=FALSE,((AY3-AY$1)*MIN(3,$E3)*(1-MIN(1/(2*$E3),1))+IF((AX3-AX$1)&lt;0,(AX3-AX$1)*2,(AX3-AX$1)*MIN(1/(2*$E3),1))),0)))</f>
        <v>0</v>
      </c>
      <c r="BA3" s="86"/>
      <c r="BB3" s="86"/>
      <c r="BC3" s="1212">
        <f t="shared" ref="BC3:BC66" ca="1" si="19">IF($AF3=FALSE,0,IF(AND(BB$2&gt;=$O3,BB$1=$D3),$I3+INT((BB$2-$O3)/$N3)*$J3,0))</f>
        <v>0</v>
      </c>
      <c r="BD3" s="1213">
        <f t="shared" ref="BD3:BD66" ca="1" si="20">BC3*$F3</f>
        <v>0</v>
      </c>
      <c r="BE3" s="1587">
        <f t="shared" ref="BE3:BE66" ca="1" si="21">IF($A3=0,0,IF(OR($AF3=FALSE,$B3=BA$1),0,IF(OR(BD3&lt;(BD$1*0.9),$E3&lt;5)=FALSE,((BD3-BD$1)*MIN(3,$E3)*(1-MIN(1/(2*$E3),1))+IF((BC3-BC$1)&lt;0,(BC3-BC$1)*2,(BC3-BC$1)*MIN(1/(2*$E3),1))),0)))</f>
        <v>0</v>
      </c>
      <c r="BF3" s="86"/>
      <c r="BG3" s="86"/>
      <c r="BH3" s="1212">
        <f t="shared" ref="BH3:BH66" ca="1" si="22">IF($AF3=FALSE,0,IF(AND(BG$2&gt;=$O3,BG$1=$D3),$I3+INT((BG$2-$O3)/$N3)*$J3,0))</f>
        <v>0</v>
      </c>
      <c r="BI3" s="1213">
        <f t="shared" ref="BI3:BI66" ca="1" si="23">BH3*$F3</f>
        <v>0</v>
      </c>
      <c r="BJ3" s="1587">
        <f t="shared" ref="BJ3:BJ66" ca="1" si="24">IF($A3=0,0,IF(OR($AF3=FALSE,$B3=BF$1),0,IF(OR(BI3&lt;(BI$1*0.9),$E3&lt;5)=FALSE,((BI3-BI$1)*MIN(3,$E3)*(1-MIN(1/(2*$E3),1))+IF((BH3-BH$1)&lt;0,(BH3-BH$1)*2,(BH3-BH$1)*MIN(1/(2*$E3),1))),0)))</f>
        <v>0</v>
      </c>
      <c r="BK3" s="86"/>
      <c r="BL3" s="86"/>
      <c r="BM3" s="1212">
        <f t="shared" ref="BM3:BM66" ca="1" si="25">IF($AF3=FALSE,0,IF(AND(BL$2&gt;=$O3,BL$1=$D3),$I3+INT((BL$2-$O3)/$N3)*$J3,0))</f>
        <v>0</v>
      </c>
      <c r="BN3" s="1213">
        <f t="shared" ref="BN3:BN66" ca="1" si="26">BM3*$F3</f>
        <v>0</v>
      </c>
      <c r="BO3" s="1587">
        <f t="shared" ref="BO3:BO66" ca="1" si="27">IF($A3=0,0,IF(OR($AF3=FALSE,$B3=BK$1),0,IF(OR(BN3&lt;(BN$1*0.9),$E3&lt;5)=FALSE,((BN3-BN$1)*MIN(3,$E3)*(1-MIN(1/(2*$E3),1))+IF((BM3-BM$1)&lt;0,(BM3-BM$1)*2,(BM3-BM$1)*MIN(1/(2*$E3),1))),0)))</f>
        <v>0</v>
      </c>
      <c r="BP3" s="86"/>
      <c r="BQ3" s="86"/>
      <c r="BR3" s="1212">
        <f t="shared" ref="BR3:BR66" ca="1" si="28">IF($AF3=FALSE,0,IF(AND(BQ$2&gt;=$O3,BQ$1=$D3),$I3+INT((BQ$2-$O3)/$N3)*$J3,0))</f>
        <v>0</v>
      </c>
      <c r="BS3" s="1213">
        <f t="shared" ref="BS3:BS66" ca="1" si="29">BR3*$F3</f>
        <v>0</v>
      </c>
      <c r="BT3" s="1587">
        <f t="shared" ref="BT3:BT66" ca="1" si="30">IF($A3=0,0,IF(OR($AF3=FALSE,$B3=BP$1),0,IF(OR(BS3&lt;(BS$1*0.9),$E3&lt;5)=FALSE,((BS3-BS$1)*MIN(3,$E3)*(1-MIN(1/(2*$E3),1))+IF((BR3-BR$1)&lt;0,(BR3-BR$1)*2,(BR3-BR$1)*MIN(1/(2*$E3),1))),0)))</f>
        <v>0</v>
      </c>
      <c r="BU3" s="86"/>
      <c r="BV3" s="86"/>
      <c r="BW3" s="1212">
        <f t="shared" ref="BW3:BW66" ca="1" si="31">IF($AF3=FALSE,0,IF(AND(BV$2&gt;=$O3,BV$1=$D3),$I3+INT((BV$2-$O3)/$N3)*$J3,0))</f>
        <v>0</v>
      </c>
      <c r="BX3" s="1213">
        <f t="shared" ref="BX3:BX66" ca="1" si="32">BW3*$F3</f>
        <v>0</v>
      </c>
      <c r="BY3" s="1587">
        <f t="shared" ref="BY3:BY66" ca="1" si="33">IF($A3=0,0,IF(OR($AF3=FALSE,$B3=BU$1),0,IF(OR(BX3&lt;(BX$1*0.9),$E3&lt;5)=FALSE,((BX3-BX$1)*MIN(3,$E3)*(1-MIN(1/(2*$E3),1))+IF((BW3-BW$1)&lt;0,(BW3-BW$1)*2,(BW3-BW$1)*MIN(1/(2*$E3),1))),0)))</f>
        <v>0</v>
      </c>
      <c r="BZ3" s="86"/>
      <c r="CA3" s="86"/>
      <c r="CB3" s="1212">
        <f t="shared" ref="CB3:CB66" ca="1" si="34">IF($AF3=FALSE,0,IF(AND(CA$2&gt;=$O3,CA$1=$D3),$I3+INT((CA$2-$O3)/$N3)*$J3,0))</f>
        <v>0</v>
      </c>
      <c r="CC3" s="1213">
        <f t="shared" ref="CC3:CC66" ca="1" si="35">CB3*$F3</f>
        <v>0</v>
      </c>
      <c r="CD3" s="1587">
        <f t="shared" ref="CD3:CD66" ca="1" si="36">IF($A3=0,0,IF(OR($AF3=FALSE,$B3=BZ$1),0,IF(OR(CC3&lt;(CC$1*0.9),$E3&lt;5)=FALSE,((CC3-CC$1)*MIN(3,$E3)*(1-MIN(1/(2*$E3),1))+IF((CB3-CB$1)&lt;0,(CB3-CB$1)*2,(CB3-CB$1)*MIN(1/(2*$E3),1))),0)))</f>
        <v>0</v>
      </c>
      <c r="CE3" s="86"/>
      <c r="CF3" s="86"/>
      <c r="CG3" s="1212">
        <f t="shared" ref="CG3:CG66" ca="1" si="37">IF($AF3=FALSE,0,IF(AND(CF$2&gt;=$O3,CF$1=$D3),$I3+INT((CF$2-$O3)/$N3)*$J3,0))</f>
        <v>0</v>
      </c>
      <c r="CH3" s="1213">
        <f t="shared" ref="CH3:CH66" ca="1" si="38">CG3*$F3</f>
        <v>0</v>
      </c>
      <c r="CI3" s="1587">
        <f t="shared" ref="CI3:CI66" ca="1" si="39">IF($A3=0,0,IF(OR($AF3=FALSE,$B3=CE$1),0,IF(OR(CH3&lt;(CH$1*0.9),$E3&lt;5)=FALSE,((CH3-CH$1)*MIN(3,$E3)*(1-MIN(1/(2*$E3),1))+IF((CG3-CG$1)&lt;0,(CG3-CG$1)*2,(CG3-CG$1)*MIN(1/(2*$E3),1))),0)))</f>
        <v>0</v>
      </c>
      <c r="CJ3" s="86"/>
      <c r="CK3" s="86"/>
      <c r="CL3" s="1212">
        <f t="shared" ref="CL3:CL66" ca="1" si="40">IF($AF3=FALSE,0,IF(AND(CK$2&gt;=$O3,CK$1=$D3),$I3+INT((CK$2-$O3)/$N3)*$J3,0))</f>
        <v>0</v>
      </c>
      <c r="CM3" s="1213">
        <f t="shared" ref="CM3:CM66" ca="1" si="41">CL3*$F3</f>
        <v>0</v>
      </c>
      <c r="CN3" s="1587">
        <f t="shared" ref="CN3:CN66" ca="1" si="42">IF($A3=0,0,IF(OR($AF3=FALSE,$B3=CJ$1),0,IF(OR(CM3&lt;(CM$1*0.9),$E3&lt;5)=FALSE,((CM3-CM$1)*MIN(3,$E3)*(1-MIN(1/(2*$E3),1))+IF((CL3-CL$1)&lt;0,(CL3-CL$1)*2,(CL3-CL$1)*MIN(1/(2*$E3),1))),0)))</f>
        <v>0</v>
      </c>
    </row>
    <row r="4" spans="1:92" s="136" customFormat="1">
      <c r="A4" s="141" t="str">
        <f>'銀行-TSS'!A4</f>
        <v>US06738EAE59</v>
      </c>
      <c r="B4" s="151" t="str">
        <f ca="1">VLOOKUP(A4,'銀行-TSS'!A:B,2,FALSE)</f>
        <v>XFA60</v>
      </c>
      <c r="C4" s="151" t="str">
        <f ca="1">VLOOKUP(B4,bond!B:C,2,FALSE)</f>
        <v>巴克萊集團美元配息債券 3.65% 2025/3/16</v>
      </c>
      <c r="D4" s="95" t="str">
        <f>VLOOKUP(A4,'銀行-TSS'!A:C,3,FALSE)</f>
        <v>USD</v>
      </c>
      <c r="E4" s="90">
        <f ca="1">VLOOKUP(A4,'銀行-TSS'!A:G,7,FALSE)</f>
        <v>0.7</v>
      </c>
      <c r="F4" s="202">
        <f ca="1">VLOOKUP(A4,'銀行-TSS'!A:H,8,FALSE)</f>
        <v>3.6499999999999998E-2</v>
      </c>
      <c r="G4" s="96">
        <f ca="1">VLOOKUP(A4,'銀行-TSS'!A:K,11,FALSE)</f>
        <v>100.21</v>
      </c>
      <c r="H4" s="1209">
        <f ca="1">VLOOKUP(A4,'銀行-TSS'!A:M,13,FALSE)</f>
        <v>4.9000000000000002E-2</v>
      </c>
      <c r="I4" s="1213">
        <f ca="1">VLOOKUP(A4,'銀行-TSS'!A:N,14,FALSE)</f>
        <v>200000</v>
      </c>
      <c r="J4" s="1213">
        <f ca="1">VLOOKUP(A4,'銀行-TSS'!A:O,15,FALSE)</f>
        <v>1000</v>
      </c>
      <c r="K4" s="136" t="str">
        <f ca="1">VLOOKUP(A4,'銀行-TSS'!A:V,22,FALSE)</f>
        <v>(PI)專投</v>
      </c>
      <c r="L4" s="136" t="str">
        <f ca="1">VLOOKUP(A4,'銀行-TSS'!A:AK,37,FALSE)</f>
        <v>有</v>
      </c>
      <c r="M4" s="136" t="str">
        <f ca="1">VLOOKUP(A4,'銀行-TSS'!A:AN,40,FALSE)</f>
        <v/>
      </c>
      <c r="N4" s="136">
        <f t="shared" ca="1" si="0"/>
        <v>1002.1</v>
      </c>
      <c r="O4" s="1213">
        <f t="shared" ca="1" si="1"/>
        <v>200420</v>
      </c>
      <c r="P4" s="1213">
        <f ca="1">IF(AND($O$1&gt;=O4,換券單檔!$D$13=D4),I4+INT(($O$1-O4)/N4)*J4,0)</f>
        <v>0</v>
      </c>
      <c r="Q4" s="1213">
        <f t="shared" ca="1" si="2"/>
        <v>0</v>
      </c>
      <c r="R4" s="1213">
        <f t="shared" ref="R4:R66" ca="1" si="43">IF(A4=0,0,IF(V4=FALSE,0,P4))</f>
        <v>0</v>
      </c>
      <c r="S4" s="1213">
        <f t="shared" ref="S4:S66" ca="1" si="44">IF(A4=0,0,IF(V4=FALSE,0,Q4))</f>
        <v>0</v>
      </c>
      <c r="T4" s="136">
        <f ca="1">IF(OR(R4=0,A4=0),0,IF(AND(V4=TRUE,換券單檔!$D$13=D4),E4,0))</f>
        <v>0</v>
      </c>
      <c r="U4" s="861">
        <f ca="1">IF(OR(R4=0,A4=0),0,IF(AND(V4=TRUE,換券單檔!$D$13=D4),H4,0))</f>
        <v>0</v>
      </c>
      <c r="V4" s="136" t="b">
        <f ca="1">IF(OR(B4=換券單檔!$D$3,L4="無",M4&lt;&gt;"",K4="高資產",IFERROR(MATCH(B4,換券單檔!K:K,0),"N")&lt;&gt;"N"),FALSE,IF($V$1="All",TRUE,IF(K4=$V$1,TRUE,FALSE)))</f>
        <v>1</v>
      </c>
      <c r="W4" s="136">
        <f ca="1">VLOOKUP(A4,'銀行-TSS'!A:AO,41,FALSE)</f>
        <v>98.84</v>
      </c>
      <c r="X4" s="136">
        <f ca="1">VLOOKUP(A4,'銀行-TSS'!A:AP,42,FALSE)</f>
        <v>0.67820000000000003</v>
      </c>
      <c r="Y4" s="1220">
        <f t="shared" ca="1" si="3"/>
        <v>0</v>
      </c>
      <c r="Z4" s="1220">
        <f t="shared" ca="1" si="4"/>
        <v>0</v>
      </c>
      <c r="AA4" s="136">
        <f ca="1">IF(Z4&lt;=0,0,RANK(Z4,Z:Z)+COUNTIF($Z$3:$Z4,Z4)-1)</f>
        <v>0</v>
      </c>
      <c r="AB4" s="1211">
        <f t="shared" ca="1" si="5"/>
        <v>-114896.14</v>
      </c>
      <c r="AC4" s="136">
        <f ca="1">IF(AB4&lt;=0,0,RANK(AB4,AB:AB)+COUNTIF($AB$3:$AB4,AB4)-1)</f>
        <v>0</v>
      </c>
      <c r="AD4" s="1123">
        <f t="shared" ca="1" si="6"/>
        <v>99999</v>
      </c>
      <c r="AE4" s="1123">
        <f ca="1">IF(AD4=99999,0,RANK(AD4,AD:AD,1)+COUNTIF($AD$3:$AD4,AD4)-1)</f>
        <v>0</v>
      </c>
      <c r="AF4" s="86" t="b">
        <f ca="1">IF(OR(M4&lt;&gt;"",L4="無",K4="高資產",IFERROR(MATCH(B4,換券單檔!K:K,0),"N")&lt;&gt;"N"),FALSE,TRUE)</f>
        <v>1</v>
      </c>
      <c r="AG4" s="86"/>
      <c r="AH4" s="86"/>
      <c r="AI4" s="1212">
        <f t="shared" ca="1" si="7"/>
        <v>0</v>
      </c>
      <c r="AJ4" s="1213">
        <f t="shared" ca="1" si="8"/>
        <v>0</v>
      </c>
      <c r="AK4" s="1587">
        <f t="shared" ca="1" si="9"/>
        <v>0</v>
      </c>
      <c r="AL4" s="86"/>
      <c r="AM4" s="86"/>
      <c r="AN4" s="1212">
        <f t="shared" ca="1" si="10"/>
        <v>0</v>
      </c>
      <c r="AO4" s="1213">
        <f t="shared" ca="1" si="11"/>
        <v>0</v>
      </c>
      <c r="AP4" s="1587">
        <f t="shared" ca="1" si="12"/>
        <v>0</v>
      </c>
      <c r="AQ4" s="86"/>
      <c r="AR4" s="86"/>
      <c r="AS4" s="1212">
        <f t="shared" ca="1" si="13"/>
        <v>0</v>
      </c>
      <c r="AT4" s="1213">
        <f t="shared" ca="1" si="14"/>
        <v>0</v>
      </c>
      <c r="AU4" s="1587">
        <f t="shared" ca="1" si="15"/>
        <v>0</v>
      </c>
      <c r="AV4" s="86"/>
      <c r="AW4" s="86"/>
      <c r="AX4" s="1212">
        <f t="shared" ca="1" si="16"/>
        <v>0</v>
      </c>
      <c r="AY4" s="1213">
        <f t="shared" ca="1" si="17"/>
        <v>0</v>
      </c>
      <c r="AZ4" s="1587">
        <f t="shared" ca="1" si="18"/>
        <v>0</v>
      </c>
      <c r="BA4" s="86"/>
      <c r="BB4" s="86"/>
      <c r="BC4" s="1212">
        <f t="shared" ca="1" si="19"/>
        <v>0</v>
      </c>
      <c r="BD4" s="1213">
        <f t="shared" ca="1" si="20"/>
        <v>0</v>
      </c>
      <c r="BE4" s="1587">
        <f t="shared" ca="1" si="21"/>
        <v>0</v>
      </c>
      <c r="BF4" s="86"/>
      <c r="BG4" s="86"/>
      <c r="BH4" s="1212">
        <f t="shared" ca="1" si="22"/>
        <v>0</v>
      </c>
      <c r="BI4" s="1213">
        <f t="shared" ca="1" si="23"/>
        <v>0</v>
      </c>
      <c r="BJ4" s="1587">
        <f t="shared" ca="1" si="24"/>
        <v>0</v>
      </c>
      <c r="BK4" s="86"/>
      <c r="BL4" s="86"/>
      <c r="BM4" s="1212">
        <f t="shared" ca="1" si="25"/>
        <v>0</v>
      </c>
      <c r="BN4" s="1213">
        <f t="shared" ca="1" si="26"/>
        <v>0</v>
      </c>
      <c r="BO4" s="1587">
        <f t="shared" ca="1" si="27"/>
        <v>0</v>
      </c>
      <c r="BP4" s="86"/>
      <c r="BQ4" s="86"/>
      <c r="BR4" s="1212">
        <f t="shared" ca="1" si="28"/>
        <v>0</v>
      </c>
      <c r="BS4" s="1213">
        <f t="shared" ca="1" si="29"/>
        <v>0</v>
      </c>
      <c r="BT4" s="1587">
        <f t="shared" ca="1" si="30"/>
        <v>0</v>
      </c>
      <c r="BU4" s="86"/>
      <c r="BV4" s="86"/>
      <c r="BW4" s="1212">
        <f t="shared" ca="1" si="31"/>
        <v>0</v>
      </c>
      <c r="BX4" s="1213">
        <f t="shared" ca="1" si="32"/>
        <v>0</v>
      </c>
      <c r="BY4" s="1587">
        <f t="shared" ca="1" si="33"/>
        <v>0</v>
      </c>
      <c r="BZ4" s="86"/>
      <c r="CA4" s="86"/>
      <c r="CB4" s="1212">
        <f t="shared" ca="1" si="34"/>
        <v>0</v>
      </c>
      <c r="CC4" s="1213">
        <f t="shared" ca="1" si="35"/>
        <v>0</v>
      </c>
      <c r="CD4" s="1587">
        <f t="shared" ca="1" si="36"/>
        <v>0</v>
      </c>
      <c r="CE4" s="86"/>
      <c r="CF4" s="86"/>
      <c r="CG4" s="1212">
        <f t="shared" ca="1" si="37"/>
        <v>0</v>
      </c>
      <c r="CH4" s="1213">
        <f t="shared" ca="1" si="38"/>
        <v>0</v>
      </c>
      <c r="CI4" s="1587">
        <f t="shared" ca="1" si="39"/>
        <v>0</v>
      </c>
      <c r="CJ4" s="86"/>
      <c r="CK4" s="86"/>
      <c r="CL4" s="1212">
        <f t="shared" ca="1" si="40"/>
        <v>0</v>
      </c>
      <c r="CM4" s="1213">
        <f t="shared" ca="1" si="41"/>
        <v>0</v>
      </c>
      <c r="CN4" s="1587">
        <f t="shared" ca="1" si="42"/>
        <v>0</v>
      </c>
    </row>
    <row r="5" spans="1:92" s="137" customFormat="1">
      <c r="A5" s="141" t="str">
        <f>'銀行-TSS'!A5</f>
        <v>HK0000098928</v>
      </c>
      <c r="B5" s="151" t="str">
        <f ca="1">VLOOKUP(A5,'銀行-TSS'!A:B,2,FALSE)</f>
        <v>XD050</v>
      </c>
      <c r="C5" s="151" t="str">
        <f ca="1">VLOOKUP(B5,bond!B:C,2,FALSE)</f>
        <v>國家開發銀行人民幣配息債券 4.2% 2027/1/19</v>
      </c>
      <c r="D5" s="95" t="str">
        <f>VLOOKUP(A5,'銀行-TSS'!A:C,3,FALSE)</f>
        <v>CNY</v>
      </c>
      <c r="E5" s="90">
        <f ca="1">VLOOKUP(A5,'銀行-TSS'!A:G,7,FALSE)</f>
        <v>2.54</v>
      </c>
      <c r="F5" s="202">
        <f ca="1">VLOOKUP(A5,'銀行-TSS'!A:H,8,FALSE)</f>
        <v>4.2000000000000003E-2</v>
      </c>
      <c r="G5" s="96">
        <f ca="1">VLOOKUP(A5,'銀行-TSS'!A:K,11,FALSE)</f>
        <v>109.18</v>
      </c>
      <c r="H5" s="1209">
        <f ca="1">VLOOKUP(A5,'銀行-TSS'!A:M,13,FALSE)</f>
        <v>1.29E-2</v>
      </c>
      <c r="I5" s="1213">
        <f ca="1">VLOOKUP(A5,'銀行-TSS'!A:N,14,FALSE)</f>
        <v>1000000</v>
      </c>
      <c r="J5" s="1213">
        <f ca="1">VLOOKUP(A5,'銀行-TSS'!A:O,15,FALSE)</f>
        <v>1000000</v>
      </c>
      <c r="K5" s="136" t="str">
        <f ca="1">VLOOKUP(A5,'銀行-TSS'!A:V,22,FALSE)</f>
        <v>(NPI)非專投</v>
      </c>
      <c r="L5" s="136" t="str">
        <f ca="1">VLOOKUP(A5,'銀行-TSS'!A:AK,37,FALSE)</f>
        <v>需查詢</v>
      </c>
      <c r="M5" s="136" t="str">
        <f ca="1">VLOOKUP(A5,'銀行-TSS'!A:AN,40,FALSE)</f>
        <v>XD050</v>
      </c>
      <c r="N5" s="136">
        <f t="shared" ca="1" si="0"/>
        <v>1091800</v>
      </c>
      <c r="O5" s="1213">
        <f t="shared" ca="1" si="1"/>
        <v>1091800</v>
      </c>
      <c r="P5" s="1213">
        <f ca="1">IF(AND($O$1&gt;=O5,換券單檔!$D$13=D5),I5+INT(($O$1-O5)/N5)*J5,0)</f>
        <v>0</v>
      </c>
      <c r="Q5" s="1213">
        <f t="shared" ca="1" si="2"/>
        <v>0</v>
      </c>
      <c r="R5" s="1213">
        <f t="shared" ca="1" si="43"/>
        <v>0</v>
      </c>
      <c r="S5" s="1213">
        <f t="shared" ca="1" si="44"/>
        <v>0</v>
      </c>
      <c r="T5" s="136">
        <f ca="1">IF(OR(R5=0,A5=0),0,IF(AND(V5=TRUE,換券單檔!$D$13=D5),E5,0))</f>
        <v>0</v>
      </c>
      <c r="U5" s="861">
        <f ca="1">IF(OR(R5=0,A5=0),0,IF(AND(V5=TRUE,換券單檔!$D$13=D5),H5,0))</f>
        <v>0</v>
      </c>
      <c r="V5" s="136" t="b">
        <f ca="1">IF(OR(B5=換券單檔!$D$3,L5="無",M5&lt;&gt;"",K5="高資產",IFERROR(MATCH(B5,換券單檔!K:K,0),"N")&lt;&gt;"N"),FALSE,IF($V$1="All",TRUE,IF(K5=$V$1,TRUE,FALSE)))</f>
        <v>0</v>
      </c>
      <c r="W5" s="136">
        <f ca="1">VLOOKUP(A5,'銀行-TSS'!A:AO,41,FALSE)</f>
        <v>104.76</v>
      </c>
      <c r="X5" s="136">
        <f ca="1">VLOOKUP(A5,'銀行-TSS'!A:AP,42,FALSE)</f>
        <v>2.3774999999999999</v>
      </c>
      <c r="Y5" s="1220">
        <f t="shared" ca="1" si="3"/>
        <v>0</v>
      </c>
      <c r="Z5" s="1220">
        <f t="shared" ca="1" si="4"/>
        <v>0</v>
      </c>
      <c r="AA5" s="136">
        <f ca="1">IF(Z5&lt;=0,0,RANK(Z5,Z:Z)+COUNTIF($Z$3:$Z5,Z5)-1)</f>
        <v>0</v>
      </c>
      <c r="AB5" s="1211">
        <f t="shared" ca="1" si="5"/>
        <v>-14896.14</v>
      </c>
      <c r="AC5" s="136">
        <f ca="1">IF(AB5&lt;=0,0,RANK(AB5,AB:AB)+COUNTIF($AB$3:$AB5,AB5)-1)</f>
        <v>0</v>
      </c>
      <c r="AD5" s="1123">
        <f t="shared" ca="1" si="6"/>
        <v>99999</v>
      </c>
      <c r="AE5" s="1123">
        <f ca="1">IF(AD5=99999,0,RANK(AD5,AD:AD,1)+COUNTIF($AD$3:$AD5,AD5)-1)</f>
        <v>0</v>
      </c>
      <c r="AF5" s="86" t="b">
        <f ca="1">IF(OR(M5&lt;&gt;"",L5="無",K5="高資產",IFERROR(MATCH(B5,換券單檔!K:K,0),"N")&lt;&gt;"N"),FALSE,TRUE)</f>
        <v>0</v>
      </c>
      <c r="AG5" s="86"/>
      <c r="AH5" s="86"/>
      <c r="AI5" s="1212">
        <f t="shared" ca="1" si="7"/>
        <v>0</v>
      </c>
      <c r="AJ5" s="1213">
        <f t="shared" ca="1" si="8"/>
        <v>0</v>
      </c>
      <c r="AK5" s="1587">
        <f t="shared" ca="1" si="9"/>
        <v>0</v>
      </c>
      <c r="AL5" s="86"/>
      <c r="AM5" s="86"/>
      <c r="AN5" s="1212">
        <f t="shared" ca="1" si="10"/>
        <v>0</v>
      </c>
      <c r="AO5" s="1213">
        <f t="shared" ca="1" si="11"/>
        <v>0</v>
      </c>
      <c r="AP5" s="1587">
        <f t="shared" ca="1" si="12"/>
        <v>0</v>
      </c>
      <c r="AQ5" s="86"/>
      <c r="AR5" s="86"/>
      <c r="AS5" s="1212">
        <f t="shared" ca="1" si="13"/>
        <v>0</v>
      </c>
      <c r="AT5" s="1213">
        <f t="shared" ca="1" si="14"/>
        <v>0</v>
      </c>
      <c r="AU5" s="1587">
        <f t="shared" ca="1" si="15"/>
        <v>0</v>
      </c>
      <c r="AV5" s="86"/>
      <c r="AW5" s="86"/>
      <c r="AX5" s="1212">
        <f t="shared" ca="1" si="16"/>
        <v>0</v>
      </c>
      <c r="AY5" s="1213">
        <f t="shared" ca="1" si="17"/>
        <v>0</v>
      </c>
      <c r="AZ5" s="1587">
        <f t="shared" ca="1" si="18"/>
        <v>0</v>
      </c>
      <c r="BA5" s="86"/>
      <c r="BB5" s="86"/>
      <c r="BC5" s="1212">
        <f t="shared" ca="1" si="19"/>
        <v>0</v>
      </c>
      <c r="BD5" s="1213">
        <f t="shared" ca="1" si="20"/>
        <v>0</v>
      </c>
      <c r="BE5" s="1587">
        <f t="shared" ca="1" si="21"/>
        <v>0</v>
      </c>
      <c r="BF5" s="86"/>
      <c r="BG5" s="86"/>
      <c r="BH5" s="1212">
        <f t="shared" ca="1" si="22"/>
        <v>0</v>
      </c>
      <c r="BI5" s="1213">
        <f t="shared" ca="1" si="23"/>
        <v>0</v>
      </c>
      <c r="BJ5" s="1587">
        <f t="shared" ca="1" si="24"/>
        <v>0</v>
      </c>
      <c r="BK5" s="86"/>
      <c r="BL5" s="86"/>
      <c r="BM5" s="1212">
        <f t="shared" ca="1" si="25"/>
        <v>0</v>
      </c>
      <c r="BN5" s="1213">
        <f t="shared" ca="1" si="26"/>
        <v>0</v>
      </c>
      <c r="BO5" s="1587">
        <f t="shared" ca="1" si="27"/>
        <v>0</v>
      </c>
      <c r="BP5" s="86"/>
      <c r="BQ5" s="86"/>
      <c r="BR5" s="1212">
        <f t="shared" ca="1" si="28"/>
        <v>0</v>
      </c>
      <c r="BS5" s="1213">
        <f t="shared" ca="1" si="29"/>
        <v>0</v>
      </c>
      <c r="BT5" s="1587">
        <f t="shared" ca="1" si="30"/>
        <v>0</v>
      </c>
      <c r="BU5" s="86"/>
      <c r="BV5" s="86"/>
      <c r="BW5" s="1212">
        <f t="shared" ca="1" si="31"/>
        <v>0</v>
      </c>
      <c r="BX5" s="1213">
        <f t="shared" ca="1" si="32"/>
        <v>0</v>
      </c>
      <c r="BY5" s="1587">
        <f t="shared" ca="1" si="33"/>
        <v>0</v>
      </c>
      <c r="BZ5" s="86"/>
      <c r="CA5" s="86"/>
      <c r="CB5" s="1212">
        <f t="shared" ca="1" si="34"/>
        <v>0</v>
      </c>
      <c r="CC5" s="1213">
        <f t="shared" ca="1" si="35"/>
        <v>0</v>
      </c>
      <c r="CD5" s="1587">
        <f t="shared" ca="1" si="36"/>
        <v>0</v>
      </c>
      <c r="CE5" s="86"/>
      <c r="CF5" s="86"/>
      <c r="CG5" s="1212">
        <f t="shared" ca="1" si="37"/>
        <v>0</v>
      </c>
      <c r="CH5" s="1213">
        <f t="shared" ca="1" si="38"/>
        <v>0</v>
      </c>
      <c r="CI5" s="1587">
        <f t="shared" ca="1" si="39"/>
        <v>0</v>
      </c>
      <c r="CJ5" s="86"/>
      <c r="CK5" s="86"/>
      <c r="CL5" s="1212">
        <f t="shared" ca="1" si="40"/>
        <v>0</v>
      </c>
      <c r="CM5" s="1213">
        <f t="shared" ca="1" si="41"/>
        <v>0</v>
      </c>
      <c r="CN5" s="1587">
        <f t="shared" ca="1" si="42"/>
        <v>0</v>
      </c>
    </row>
    <row r="6" spans="1:92" s="136" customFormat="1">
      <c r="A6" s="141" t="str">
        <f>'銀行-TSS'!A6</f>
        <v>XS1214406792</v>
      </c>
      <c r="B6" s="151" t="str">
        <f ca="1">VLOOKUP(A6,'銀行-TSS'!A:B,2,FALSE)</f>
        <v>XF560</v>
      </c>
      <c r="C6" s="151" t="str">
        <f ca="1">VLOOKUP(B6,bond!B:C,2,FALSE)</f>
        <v>台塑集團投資(開曼)美元配息債券 3.375% 2025/4/22</v>
      </c>
      <c r="D6" s="95" t="str">
        <f>VLOOKUP(A6,'銀行-TSS'!A:C,3,FALSE)</f>
        <v>USD</v>
      </c>
      <c r="E6" s="90">
        <f ca="1">VLOOKUP(A6,'銀行-TSS'!A:G,7,FALSE)</f>
        <v>0.8</v>
      </c>
      <c r="F6" s="202">
        <f ca="1">VLOOKUP(A6,'銀行-TSS'!A:H,8,FALSE)</f>
        <v>3.3750000000000002E-2</v>
      </c>
      <c r="G6" s="96">
        <f ca="1">VLOOKUP(A6,'銀行-TSS'!A:K,11,FALSE)</f>
        <v>100.07</v>
      </c>
      <c r="H6" s="1209">
        <f ca="1">VLOOKUP(A6,'銀行-TSS'!A:M,13,FALSE)</f>
        <v>4.1399999999999999E-2</v>
      </c>
      <c r="I6" s="1213">
        <f ca="1">VLOOKUP(A6,'銀行-TSS'!A:N,14,FALSE)</f>
        <v>200000</v>
      </c>
      <c r="J6" s="1213">
        <f ca="1">VLOOKUP(A6,'銀行-TSS'!A:O,15,FALSE)</f>
        <v>1000</v>
      </c>
      <c r="K6" s="136" t="str">
        <f ca="1">VLOOKUP(A6,'銀行-TSS'!A:V,22,FALSE)</f>
        <v>(PI)專投</v>
      </c>
      <c r="L6" s="136" t="str">
        <f ca="1">VLOOKUP(A6,'銀行-TSS'!A:AK,37,FALSE)</f>
        <v>需查詢</v>
      </c>
      <c r="M6" s="136" t="str">
        <f ca="1">VLOOKUP(A6,'銀行-TSS'!A:AN,40,FALSE)</f>
        <v/>
      </c>
      <c r="N6" s="136">
        <f t="shared" ca="1" si="0"/>
        <v>1000.7</v>
      </c>
      <c r="O6" s="1213">
        <f t="shared" ca="1" si="1"/>
        <v>200140</v>
      </c>
      <c r="P6" s="1213">
        <f ca="1">IF(AND($O$1&gt;=O6,換券單檔!$D$13=D6),I6+INT(($O$1-O6)/N6)*J6,0)</f>
        <v>0</v>
      </c>
      <c r="Q6" s="1213">
        <f t="shared" ca="1" si="2"/>
        <v>0</v>
      </c>
      <c r="R6" s="1213">
        <f t="shared" ca="1" si="43"/>
        <v>0</v>
      </c>
      <c r="S6" s="1213">
        <f t="shared" ca="1" si="44"/>
        <v>0</v>
      </c>
      <c r="T6" s="136">
        <f ca="1">IF(OR(R6=0,A6=0),0,IF(AND(V6=TRUE,換券單檔!$D$13=D6),E6,0))</f>
        <v>0</v>
      </c>
      <c r="U6" s="861">
        <f ca="1">IF(OR(R6=0,A6=0),0,IF(AND(V6=TRUE,換券單檔!$D$13=D6),H6,0))</f>
        <v>0</v>
      </c>
      <c r="V6" s="136" t="b">
        <f ca="1">IF(OR(B6=換券單檔!$D$3,L6="無",M6&lt;&gt;"",K6="高資產",IFERROR(MATCH(B6,換券單檔!K:K,0),"N")&lt;&gt;"N"),FALSE,IF($V$1="All",TRUE,IF(K6=$V$1,TRUE,FALSE)))</f>
        <v>1</v>
      </c>
      <c r="W6" s="136">
        <f ca="1">VLOOKUP(A6,'銀行-TSS'!A:AO,41,FALSE)</f>
        <v>99.15</v>
      </c>
      <c r="X6" s="136">
        <f ca="1">VLOOKUP(A6,'銀行-TSS'!A:AP,42,FALSE)</f>
        <v>0.7752</v>
      </c>
      <c r="Y6" s="1220">
        <f t="shared" ca="1" si="3"/>
        <v>0</v>
      </c>
      <c r="Z6" s="1220">
        <f t="shared" ca="1" si="4"/>
        <v>0</v>
      </c>
      <c r="AA6" s="136">
        <f ca="1">IF(Z6&lt;=0,0,RANK(Z6,Z:Z)+COUNTIF($Z$3:$Z6,Z6)-1)</f>
        <v>0</v>
      </c>
      <c r="AB6" s="1211">
        <f t="shared" ca="1" si="5"/>
        <v>-114896.14</v>
      </c>
      <c r="AC6" s="136">
        <f ca="1">IF(AB6&lt;=0,0,RANK(AB6,AB:AB)+COUNTIF($AB$3:$AB6,AB6)-1)</f>
        <v>0</v>
      </c>
      <c r="AD6" s="1123">
        <f t="shared" ca="1" si="6"/>
        <v>99999</v>
      </c>
      <c r="AE6" s="1123">
        <f ca="1">IF(AD6=99999,0,RANK(AD6,AD:AD,1)+COUNTIF($AD$3:$AD6,AD6)-1)</f>
        <v>0</v>
      </c>
      <c r="AF6" s="86" t="b">
        <f ca="1">IF(OR(M6&lt;&gt;"",L6="無",K6="高資產",IFERROR(MATCH(B6,換券單檔!K:K,0),"N")&lt;&gt;"N"),FALSE,TRUE)</f>
        <v>1</v>
      </c>
      <c r="AG6" s="86"/>
      <c r="AH6" s="86"/>
      <c r="AI6" s="1212">
        <f t="shared" ca="1" si="7"/>
        <v>0</v>
      </c>
      <c r="AJ6" s="1213">
        <f t="shared" ca="1" si="8"/>
        <v>0</v>
      </c>
      <c r="AK6" s="1587">
        <f t="shared" ca="1" si="9"/>
        <v>0</v>
      </c>
      <c r="AL6" s="86"/>
      <c r="AM6" s="86"/>
      <c r="AN6" s="1212">
        <f t="shared" ca="1" si="10"/>
        <v>0</v>
      </c>
      <c r="AO6" s="1213">
        <f t="shared" ca="1" si="11"/>
        <v>0</v>
      </c>
      <c r="AP6" s="1587">
        <f t="shared" ca="1" si="12"/>
        <v>0</v>
      </c>
      <c r="AQ6" s="86"/>
      <c r="AR6" s="86"/>
      <c r="AS6" s="1212">
        <f t="shared" ca="1" si="13"/>
        <v>0</v>
      </c>
      <c r="AT6" s="1213">
        <f t="shared" ca="1" si="14"/>
        <v>0</v>
      </c>
      <c r="AU6" s="1587">
        <f t="shared" ca="1" si="15"/>
        <v>0</v>
      </c>
      <c r="AV6" s="86"/>
      <c r="AW6" s="86"/>
      <c r="AX6" s="1212">
        <f t="shared" ca="1" si="16"/>
        <v>0</v>
      </c>
      <c r="AY6" s="1213">
        <f t="shared" ca="1" si="17"/>
        <v>0</v>
      </c>
      <c r="AZ6" s="1587">
        <f t="shared" ca="1" si="18"/>
        <v>0</v>
      </c>
      <c r="BA6" s="86"/>
      <c r="BB6" s="86"/>
      <c r="BC6" s="1212">
        <f t="shared" ca="1" si="19"/>
        <v>0</v>
      </c>
      <c r="BD6" s="1213">
        <f t="shared" ca="1" si="20"/>
        <v>0</v>
      </c>
      <c r="BE6" s="1587">
        <f t="shared" ca="1" si="21"/>
        <v>0</v>
      </c>
      <c r="BF6" s="86"/>
      <c r="BG6" s="86"/>
      <c r="BH6" s="1212">
        <f t="shared" ca="1" si="22"/>
        <v>0</v>
      </c>
      <c r="BI6" s="1213">
        <f t="shared" ca="1" si="23"/>
        <v>0</v>
      </c>
      <c r="BJ6" s="1587">
        <f t="shared" ca="1" si="24"/>
        <v>0</v>
      </c>
      <c r="BK6" s="86"/>
      <c r="BL6" s="86"/>
      <c r="BM6" s="1212">
        <f t="shared" ca="1" si="25"/>
        <v>0</v>
      </c>
      <c r="BN6" s="1213">
        <f t="shared" ca="1" si="26"/>
        <v>0</v>
      </c>
      <c r="BO6" s="1587">
        <f t="shared" ca="1" si="27"/>
        <v>0</v>
      </c>
      <c r="BP6" s="86"/>
      <c r="BQ6" s="86"/>
      <c r="BR6" s="1212">
        <f t="shared" ca="1" si="28"/>
        <v>0</v>
      </c>
      <c r="BS6" s="1213">
        <f t="shared" ca="1" si="29"/>
        <v>0</v>
      </c>
      <c r="BT6" s="1587">
        <f t="shared" ca="1" si="30"/>
        <v>0</v>
      </c>
      <c r="BU6" s="86"/>
      <c r="BV6" s="86"/>
      <c r="BW6" s="1212">
        <f t="shared" ca="1" si="31"/>
        <v>0</v>
      </c>
      <c r="BX6" s="1213">
        <f t="shared" ca="1" si="32"/>
        <v>0</v>
      </c>
      <c r="BY6" s="1587">
        <f t="shared" ca="1" si="33"/>
        <v>0</v>
      </c>
      <c r="BZ6" s="86"/>
      <c r="CA6" s="86"/>
      <c r="CB6" s="1212">
        <f t="shared" ca="1" si="34"/>
        <v>0</v>
      </c>
      <c r="CC6" s="1213">
        <f t="shared" ca="1" si="35"/>
        <v>0</v>
      </c>
      <c r="CD6" s="1587">
        <f t="shared" ca="1" si="36"/>
        <v>0</v>
      </c>
      <c r="CE6" s="86"/>
      <c r="CF6" s="86"/>
      <c r="CG6" s="1212">
        <f t="shared" ca="1" si="37"/>
        <v>0</v>
      </c>
      <c r="CH6" s="1213">
        <f t="shared" ca="1" si="38"/>
        <v>0</v>
      </c>
      <c r="CI6" s="1587">
        <f t="shared" ca="1" si="39"/>
        <v>0</v>
      </c>
      <c r="CJ6" s="86"/>
      <c r="CK6" s="86"/>
      <c r="CL6" s="1212">
        <f t="shared" ca="1" si="40"/>
        <v>0</v>
      </c>
      <c r="CM6" s="1213">
        <f t="shared" ca="1" si="41"/>
        <v>0</v>
      </c>
      <c r="CN6" s="1587">
        <f t="shared" ca="1" si="42"/>
        <v>0</v>
      </c>
    </row>
    <row r="7" spans="1:92" s="136" customFormat="1">
      <c r="A7" s="141" t="str">
        <f>'銀行-TSS'!A7</f>
        <v>XS1219971774</v>
      </c>
      <c r="B7" s="151" t="str">
        <f ca="1">VLOOKUP(A7,'銀行-TSS'!A:B,2,FALSE)</f>
        <v>XFB20</v>
      </c>
      <c r="C7" s="151" t="str">
        <f ca="1">VLOOKUP(B7,bond!B:C,2,FALSE)</f>
        <v>渣打集團美元配息債券 3.2% 2025/4/17</v>
      </c>
      <c r="D7" s="95" t="str">
        <f>VLOOKUP(A7,'銀行-TSS'!A:C,3,FALSE)</f>
        <v>USD</v>
      </c>
      <c r="E7" s="90">
        <f ca="1">VLOOKUP(A7,'銀行-TSS'!A:G,7,FALSE)</f>
        <v>0.79</v>
      </c>
      <c r="F7" s="202">
        <f ca="1">VLOOKUP(A7,'銀行-TSS'!A:H,8,FALSE)</f>
        <v>3.2000000000000001E-2</v>
      </c>
      <c r="G7" s="96">
        <f ca="1">VLOOKUP(A7,'銀行-TSS'!A:K,11,FALSE)</f>
        <v>99.84</v>
      </c>
      <c r="H7" s="1209">
        <f ca="1">VLOOKUP(A7,'銀行-TSS'!A:M,13,FALSE)</f>
        <v>4.2900000000000001E-2</v>
      </c>
      <c r="I7" s="1213">
        <f ca="1">VLOOKUP(A7,'銀行-TSS'!A:N,14,FALSE)</f>
        <v>200000</v>
      </c>
      <c r="J7" s="1213">
        <f ca="1">VLOOKUP(A7,'銀行-TSS'!A:O,15,FALSE)</f>
        <v>1000</v>
      </c>
      <c r="K7" s="136" t="str">
        <f ca="1">VLOOKUP(A7,'銀行-TSS'!A:V,22,FALSE)</f>
        <v>(PI)專投</v>
      </c>
      <c r="L7" s="136" t="str">
        <f ca="1">VLOOKUP(A7,'銀行-TSS'!A:AK,37,FALSE)</f>
        <v>需查詢</v>
      </c>
      <c r="M7" s="136" t="str">
        <f ca="1">VLOOKUP(A7,'銀行-TSS'!A:AN,40,FALSE)</f>
        <v/>
      </c>
      <c r="N7" s="136">
        <f t="shared" ca="1" si="0"/>
        <v>998.4</v>
      </c>
      <c r="O7" s="1213">
        <f t="shared" ca="1" si="1"/>
        <v>199680</v>
      </c>
      <c r="P7" s="1213">
        <f ca="1">IF(AND($O$1&gt;=O7,換券單檔!$D$13=D7),I7+INT(($O$1-O7)/N7)*J7,0)</f>
        <v>0</v>
      </c>
      <c r="Q7" s="1213">
        <f t="shared" ca="1" si="2"/>
        <v>0</v>
      </c>
      <c r="R7" s="1213">
        <f t="shared" ca="1" si="43"/>
        <v>0</v>
      </c>
      <c r="S7" s="1213">
        <f t="shared" ca="1" si="44"/>
        <v>0</v>
      </c>
      <c r="T7" s="136">
        <f ca="1">IF(OR(R7=0,A7=0),0,IF(AND(V7=TRUE,換券單檔!$D$13=D7),E7,0))</f>
        <v>0</v>
      </c>
      <c r="U7" s="861">
        <f ca="1">IF(OR(R7=0,A7=0),0,IF(AND(V7=TRUE,換券單檔!$D$13=D7),H7,0))</f>
        <v>0</v>
      </c>
      <c r="V7" s="136" t="b">
        <f ca="1">IF(OR(B7=換券單檔!$D$3,L7="無",M7&lt;&gt;"",K7="高資產",IFERROR(MATCH(B7,換券單檔!K:K,0),"N")&lt;&gt;"N"),FALSE,IF($V$1="All",TRUE,IF(K7=$V$1,TRUE,FALSE)))</f>
        <v>1</v>
      </c>
      <c r="W7" s="136">
        <f ca="1">VLOOKUP(A7,'銀行-TSS'!A:AO,41,FALSE)</f>
        <v>98.910000000000011</v>
      </c>
      <c r="X7" s="136">
        <f ca="1">VLOOKUP(A7,'銀行-TSS'!A:AP,42,FALSE)</f>
        <v>0.76200000000000001</v>
      </c>
      <c r="Y7" s="1220">
        <f t="shared" ca="1" si="3"/>
        <v>0</v>
      </c>
      <c r="Z7" s="1220">
        <f t="shared" ca="1" si="4"/>
        <v>0</v>
      </c>
      <c r="AA7" s="136">
        <f ca="1">IF(Z7&lt;=0,0,RANK(Z7,Z:Z)+COUNTIF($Z$3:$Z7,Z7)-1)</f>
        <v>0</v>
      </c>
      <c r="AB7" s="1211">
        <f t="shared" ca="1" si="5"/>
        <v>-114896.14</v>
      </c>
      <c r="AC7" s="136">
        <f ca="1">IF(AB7&lt;=0,0,RANK(AB7,AB:AB)+COUNTIF($AB$3:$AB7,AB7)-1)</f>
        <v>0</v>
      </c>
      <c r="AD7" s="1123">
        <f t="shared" ca="1" si="6"/>
        <v>99999</v>
      </c>
      <c r="AE7" s="1123">
        <f ca="1">IF(AD7=99999,0,RANK(AD7,AD:AD,1)+COUNTIF($AD$3:$AD7,AD7)-1)</f>
        <v>0</v>
      </c>
      <c r="AF7" s="86" t="b">
        <f ca="1">IF(OR(M7&lt;&gt;"",L7="無",K7="高資產",IFERROR(MATCH(B7,換券單檔!K:K,0),"N")&lt;&gt;"N"),FALSE,TRUE)</f>
        <v>1</v>
      </c>
      <c r="AG7" s="86"/>
      <c r="AH7" s="86"/>
      <c r="AI7" s="1212">
        <f t="shared" ca="1" si="7"/>
        <v>0</v>
      </c>
      <c r="AJ7" s="1213">
        <f t="shared" ca="1" si="8"/>
        <v>0</v>
      </c>
      <c r="AK7" s="1587">
        <f t="shared" ca="1" si="9"/>
        <v>0</v>
      </c>
      <c r="AL7" s="86"/>
      <c r="AM7" s="86"/>
      <c r="AN7" s="1212">
        <f t="shared" ca="1" si="10"/>
        <v>0</v>
      </c>
      <c r="AO7" s="1213">
        <f t="shared" ca="1" si="11"/>
        <v>0</v>
      </c>
      <c r="AP7" s="1587">
        <f t="shared" ca="1" si="12"/>
        <v>0</v>
      </c>
      <c r="AQ7" s="86"/>
      <c r="AR7" s="86"/>
      <c r="AS7" s="1212">
        <f t="shared" ca="1" si="13"/>
        <v>0</v>
      </c>
      <c r="AT7" s="1213">
        <f t="shared" ca="1" si="14"/>
        <v>0</v>
      </c>
      <c r="AU7" s="1587">
        <f t="shared" ca="1" si="15"/>
        <v>0</v>
      </c>
      <c r="AV7" s="86"/>
      <c r="AW7" s="86"/>
      <c r="AX7" s="1212">
        <f t="shared" ca="1" si="16"/>
        <v>0</v>
      </c>
      <c r="AY7" s="1213">
        <f t="shared" ca="1" si="17"/>
        <v>0</v>
      </c>
      <c r="AZ7" s="1587">
        <f t="shared" ca="1" si="18"/>
        <v>0</v>
      </c>
      <c r="BA7" s="86"/>
      <c r="BB7" s="86"/>
      <c r="BC7" s="1212">
        <f t="shared" ca="1" si="19"/>
        <v>0</v>
      </c>
      <c r="BD7" s="1213">
        <f t="shared" ca="1" si="20"/>
        <v>0</v>
      </c>
      <c r="BE7" s="1587">
        <f t="shared" ca="1" si="21"/>
        <v>0</v>
      </c>
      <c r="BF7" s="86"/>
      <c r="BG7" s="86"/>
      <c r="BH7" s="1212">
        <f t="shared" ca="1" si="22"/>
        <v>0</v>
      </c>
      <c r="BI7" s="1213">
        <f t="shared" ca="1" si="23"/>
        <v>0</v>
      </c>
      <c r="BJ7" s="1587">
        <f t="shared" ca="1" si="24"/>
        <v>0</v>
      </c>
      <c r="BK7" s="86"/>
      <c r="BL7" s="86"/>
      <c r="BM7" s="1212">
        <f t="shared" ca="1" si="25"/>
        <v>0</v>
      </c>
      <c r="BN7" s="1213">
        <f t="shared" ca="1" si="26"/>
        <v>0</v>
      </c>
      <c r="BO7" s="1587">
        <f t="shared" ca="1" si="27"/>
        <v>0</v>
      </c>
      <c r="BP7" s="86"/>
      <c r="BQ7" s="86"/>
      <c r="BR7" s="1212">
        <f t="shared" ca="1" si="28"/>
        <v>0</v>
      </c>
      <c r="BS7" s="1213">
        <f t="shared" ca="1" si="29"/>
        <v>0</v>
      </c>
      <c r="BT7" s="1587">
        <f t="shared" ca="1" si="30"/>
        <v>0</v>
      </c>
      <c r="BU7" s="86"/>
      <c r="BV7" s="86"/>
      <c r="BW7" s="1212">
        <f t="shared" ca="1" si="31"/>
        <v>0</v>
      </c>
      <c r="BX7" s="1213">
        <f t="shared" ca="1" si="32"/>
        <v>0</v>
      </c>
      <c r="BY7" s="1587">
        <f t="shared" ca="1" si="33"/>
        <v>0</v>
      </c>
      <c r="BZ7" s="86"/>
      <c r="CA7" s="86"/>
      <c r="CB7" s="1212">
        <f t="shared" ca="1" si="34"/>
        <v>0</v>
      </c>
      <c r="CC7" s="1213">
        <f t="shared" ca="1" si="35"/>
        <v>0</v>
      </c>
      <c r="CD7" s="1587">
        <f t="shared" ca="1" si="36"/>
        <v>0</v>
      </c>
      <c r="CE7" s="86"/>
      <c r="CF7" s="86"/>
      <c r="CG7" s="1212">
        <f t="shared" ca="1" si="37"/>
        <v>0</v>
      </c>
      <c r="CH7" s="1213">
        <f t="shared" ca="1" si="38"/>
        <v>0</v>
      </c>
      <c r="CI7" s="1587">
        <f t="shared" ca="1" si="39"/>
        <v>0</v>
      </c>
      <c r="CJ7" s="86"/>
      <c r="CK7" s="86"/>
      <c r="CL7" s="1212">
        <f t="shared" ca="1" si="40"/>
        <v>0</v>
      </c>
      <c r="CM7" s="1213">
        <f t="shared" ca="1" si="41"/>
        <v>0</v>
      </c>
      <c r="CN7" s="1587">
        <f t="shared" ca="1" si="42"/>
        <v>0</v>
      </c>
    </row>
    <row r="8" spans="1:92">
      <c r="A8" s="141" t="str">
        <f>'銀行-TSS'!A8</f>
        <v>US404280AG49</v>
      </c>
      <c r="B8" s="151" t="str">
        <f ca="1">VLOOKUP(A8,'銀行-TSS'!A:B,2,FALSE)</f>
        <v>XFB60</v>
      </c>
      <c r="C8" s="151" t="str">
        <f ca="1">VLOOKUP(B8,bond!B:C,2,FALSE)</f>
        <v>匯豐控股公司美元配息債券 6.5% 2036/5/2</v>
      </c>
      <c r="D8" s="95" t="str">
        <f>VLOOKUP(A8,'銀行-TSS'!A:C,3,FALSE)</f>
        <v>USD</v>
      </c>
      <c r="E8" s="90">
        <f ca="1">VLOOKUP(A8,'銀行-TSS'!A:G,7,FALSE)</f>
        <v>11.83</v>
      </c>
      <c r="F8" s="202">
        <f ca="1">VLOOKUP(A8,'銀行-TSS'!A:H,8,FALSE)</f>
        <v>6.5000000000000002E-2</v>
      </c>
      <c r="G8" s="96">
        <f ca="1">VLOOKUP(A8,'銀行-TSS'!A:K,11,FALSE)</f>
        <v>109.68</v>
      </c>
      <c r="H8" s="1209">
        <f ca="1">VLOOKUP(A8,'銀行-TSS'!A:M,13,FALSE)</f>
        <v>5.5E-2</v>
      </c>
      <c r="I8" s="1213">
        <f ca="1">VLOOKUP(A8,'銀行-TSS'!A:N,14,FALSE)</f>
        <v>100000</v>
      </c>
      <c r="J8" s="1213">
        <f ca="1">VLOOKUP(A8,'銀行-TSS'!A:O,15,FALSE)</f>
        <v>1000</v>
      </c>
      <c r="K8" s="136" t="str">
        <f ca="1">VLOOKUP(A8,'銀行-TSS'!A:V,22,FALSE)</f>
        <v>(PI)專投</v>
      </c>
      <c r="L8" s="136" t="str">
        <f ca="1">VLOOKUP(A8,'銀行-TSS'!A:AK,37,FALSE)</f>
        <v>有</v>
      </c>
      <c r="M8" s="136" t="str">
        <f ca="1">VLOOKUP(A8,'銀行-TSS'!A:AN,40,FALSE)</f>
        <v/>
      </c>
      <c r="N8" s="136">
        <f t="shared" ca="1" si="0"/>
        <v>1096.8</v>
      </c>
      <c r="O8" s="1213">
        <f t="shared" ca="1" si="1"/>
        <v>109680</v>
      </c>
      <c r="P8" s="1213">
        <f ca="1">IF(AND($O$1&gt;=O8,換券單檔!$D$13=D8),I8+INT(($O$1-O8)/N8)*J8,0)</f>
        <v>0</v>
      </c>
      <c r="Q8" s="1213">
        <f t="shared" ca="1" si="2"/>
        <v>0</v>
      </c>
      <c r="R8" s="1213">
        <f t="shared" ca="1" si="43"/>
        <v>0</v>
      </c>
      <c r="S8" s="1213">
        <f t="shared" ca="1" si="44"/>
        <v>0</v>
      </c>
      <c r="T8" s="136">
        <f ca="1">IF(OR(R8=0,A8=0),0,IF(AND(V8=TRUE,換券單檔!$D$13=D8),E8,0))</f>
        <v>0</v>
      </c>
      <c r="U8" s="861">
        <f ca="1">IF(OR(R8=0,A8=0),0,IF(AND(V8=TRUE,換券單檔!$D$13=D8),H8,0))</f>
        <v>0</v>
      </c>
      <c r="V8" s="136" t="b">
        <f ca="1">IF(OR(B8=換券單檔!$D$3,L8="無",M8&lt;&gt;"",K8="高資產",IFERROR(MATCH(B8,換券單檔!K:K,0),"N")&lt;&gt;"N"),FALSE,IF($V$1="All",TRUE,IF(K8=$V$1,TRUE,FALSE)))</f>
        <v>1</v>
      </c>
      <c r="W8" s="136">
        <f ca="1">VLOOKUP(A8,'銀行-TSS'!A:AO,41,FALSE)</f>
        <v>105.60000000000001</v>
      </c>
      <c r="X8" s="136">
        <f ca="1">VLOOKUP(A8,'銀行-TSS'!A:AP,42,FALSE)</f>
        <v>8.2279</v>
      </c>
      <c r="Y8" s="1220">
        <f t="shared" ca="1" si="3"/>
        <v>0</v>
      </c>
      <c r="Z8" s="1220">
        <f ca="1">IF(A8=0,0,IF(V8=FALSE,0,IF(OR(Q8&lt;$Y$1,E8&lt;5)=FALSE,((Q8-$Q$1)*MIN(3,E8)*(1-MIN(1/(2*E8),1))+IF((P8-$P$1)&lt;0,(P8-$P$1)*2,(P8-$P$1)*MIN(1/(2*E8),1))),0)))</f>
        <v>0</v>
      </c>
      <c r="AA8" s="136">
        <f ca="1">IF(Z8&lt;=0,0,RANK(Z8,Z:Z)+COUNTIF($Z$3:$Z8,Z8)-1)</f>
        <v>0</v>
      </c>
      <c r="AB8" s="1211">
        <f t="shared" ca="1" si="5"/>
        <v>-114896.14</v>
      </c>
      <c r="AC8" s="136">
        <f ca="1">IF(AB8&lt;=0,0,RANK(AB8,AB:AB)+COUNTIF($AB$3:$AB8,AB8)-1)</f>
        <v>0</v>
      </c>
      <c r="AD8" s="1123">
        <f t="shared" ca="1" si="6"/>
        <v>99999</v>
      </c>
      <c r="AE8" s="1123">
        <f ca="1">IF(AD8=99999,0,RANK(AD8,AD:AD,1)+COUNTIF($AD$3:$AD8,AD8)-1)</f>
        <v>0</v>
      </c>
      <c r="AF8" s="86" t="b">
        <f ca="1">IF(OR(M8&lt;&gt;"",L8="無",K8="高資產",IFERROR(MATCH(B8,換券單檔!K:K,0),"N")&lt;&gt;"N"),FALSE,TRUE)</f>
        <v>1</v>
      </c>
      <c r="AI8" s="1212">
        <f t="shared" ca="1" si="7"/>
        <v>0</v>
      </c>
      <c r="AJ8" s="1213">
        <f t="shared" ca="1" si="8"/>
        <v>0</v>
      </c>
      <c r="AK8" s="1587">
        <f t="shared" ca="1" si="9"/>
        <v>0</v>
      </c>
      <c r="AN8" s="1212">
        <f t="shared" ca="1" si="10"/>
        <v>0</v>
      </c>
      <c r="AO8" s="1213">
        <f t="shared" ca="1" si="11"/>
        <v>0</v>
      </c>
      <c r="AP8" s="1587">
        <f t="shared" ca="1" si="12"/>
        <v>0</v>
      </c>
      <c r="AS8" s="1212">
        <f t="shared" ca="1" si="13"/>
        <v>0</v>
      </c>
      <c r="AT8" s="1213">
        <f t="shared" ca="1" si="14"/>
        <v>0</v>
      </c>
      <c r="AU8" s="1587">
        <f t="shared" ca="1" si="15"/>
        <v>0</v>
      </c>
      <c r="AX8" s="1212">
        <f t="shared" ca="1" si="16"/>
        <v>0</v>
      </c>
      <c r="AY8" s="1213">
        <f t="shared" ca="1" si="17"/>
        <v>0</v>
      </c>
      <c r="AZ8" s="1587">
        <f t="shared" ca="1" si="18"/>
        <v>0</v>
      </c>
      <c r="BC8" s="1212">
        <f t="shared" ca="1" si="19"/>
        <v>0</v>
      </c>
      <c r="BD8" s="1213">
        <f t="shared" ca="1" si="20"/>
        <v>0</v>
      </c>
      <c r="BE8" s="1587">
        <f t="shared" ca="1" si="21"/>
        <v>0</v>
      </c>
      <c r="BH8" s="1212">
        <f t="shared" ca="1" si="22"/>
        <v>0</v>
      </c>
      <c r="BI8" s="1213">
        <f t="shared" ca="1" si="23"/>
        <v>0</v>
      </c>
      <c r="BJ8" s="1587">
        <f t="shared" ca="1" si="24"/>
        <v>0</v>
      </c>
      <c r="BM8" s="1212">
        <f t="shared" ca="1" si="25"/>
        <v>0</v>
      </c>
      <c r="BN8" s="1213">
        <f t="shared" ca="1" si="26"/>
        <v>0</v>
      </c>
      <c r="BO8" s="1587">
        <f t="shared" ca="1" si="27"/>
        <v>0</v>
      </c>
      <c r="BR8" s="1212">
        <f t="shared" ca="1" si="28"/>
        <v>0</v>
      </c>
      <c r="BS8" s="1213">
        <f t="shared" ca="1" si="29"/>
        <v>0</v>
      </c>
      <c r="BT8" s="1587">
        <f t="shared" ca="1" si="30"/>
        <v>0</v>
      </c>
      <c r="BW8" s="1212">
        <f t="shared" ca="1" si="31"/>
        <v>0</v>
      </c>
      <c r="BX8" s="1213">
        <f t="shared" ca="1" si="32"/>
        <v>0</v>
      </c>
      <c r="BY8" s="1587">
        <f t="shared" ca="1" si="33"/>
        <v>0</v>
      </c>
      <c r="CB8" s="1212">
        <f t="shared" ca="1" si="34"/>
        <v>0</v>
      </c>
      <c r="CC8" s="1213">
        <f t="shared" ca="1" si="35"/>
        <v>0</v>
      </c>
      <c r="CD8" s="1587">
        <f t="shared" ca="1" si="36"/>
        <v>0</v>
      </c>
      <c r="CG8" s="1212">
        <f t="shared" ca="1" si="37"/>
        <v>0</v>
      </c>
      <c r="CH8" s="1213">
        <f t="shared" ca="1" si="38"/>
        <v>0</v>
      </c>
      <c r="CI8" s="1587">
        <f t="shared" ca="1" si="39"/>
        <v>0</v>
      </c>
      <c r="CL8" s="1212">
        <f t="shared" ca="1" si="40"/>
        <v>0</v>
      </c>
      <c r="CM8" s="1213">
        <f t="shared" ca="1" si="41"/>
        <v>0</v>
      </c>
      <c r="CN8" s="1587">
        <f t="shared" ca="1" si="42"/>
        <v>0</v>
      </c>
    </row>
    <row r="9" spans="1:92">
      <c r="A9" s="141" t="str">
        <f>'銀行-TSS'!A9</f>
        <v>US822582BE14</v>
      </c>
      <c r="B9" s="151" t="str">
        <f ca="1">VLOOKUP(A9,'銀行-TSS'!A:B,2,FALSE)</f>
        <v>XFD40</v>
      </c>
      <c r="C9" s="151" t="str">
        <f ca="1">VLOOKUP(B9,bond!B:C,2,FALSE)</f>
        <v>殼牌國際金融公司美元配息債券  4.125% 2035/5/11</v>
      </c>
      <c r="D9" s="95" t="str">
        <f>VLOOKUP(A9,'銀行-TSS'!A:C,3,FALSE)</f>
        <v>USD</v>
      </c>
      <c r="E9" s="90">
        <f ca="1">VLOOKUP(A9,'銀行-TSS'!A:G,7,FALSE)</f>
        <v>10.86</v>
      </c>
      <c r="F9" s="202">
        <f ca="1">VLOOKUP(A9,'銀行-TSS'!A:H,8,FALSE)</f>
        <v>4.1250000000000002E-2</v>
      </c>
      <c r="G9" s="96">
        <f ca="1">VLOOKUP(A9,'銀行-TSS'!A:K,11,FALSE)</f>
        <v>95.57</v>
      </c>
      <c r="H9" s="1209">
        <f ca="1">VLOOKUP(A9,'銀行-TSS'!A:M,13,FALSE)</f>
        <v>4.7199999999999999E-2</v>
      </c>
      <c r="I9" s="1213">
        <f ca="1">VLOOKUP(A9,'銀行-TSS'!A:N,14,FALSE)</f>
        <v>10000</v>
      </c>
      <c r="J9" s="1213">
        <f ca="1">VLOOKUP(A9,'銀行-TSS'!A:O,15,FALSE)</f>
        <v>1000</v>
      </c>
      <c r="K9" s="136" t="str">
        <f ca="1">VLOOKUP(A9,'銀行-TSS'!A:V,22,FALSE)</f>
        <v>(NPI)非專投</v>
      </c>
      <c r="L9" s="136" t="str">
        <f ca="1">VLOOKUP(A9,'銀行-TSS'!A:AK,37,FALSE)</f>
        <v>有</v>
      </c>
      <c r="M9" s="136" t="str">
        <f ca="1">VLOOKUP(A9,'銀行-TSS'!A:AN,40,FALSE)</f>
        <v/>
      </c>
      <c r="N9" s="136">
        <f t="shared" ca="1" si="0"/>
        <v>955.7</v>
      </c>
      <c r="O9" s="1213">
        <f t="shared" ca="1" si="1"/>
        <v>9556.9999999999982</v>
      </c>
      <c r="P9" s="1213">
        <f ca="1">IF(AND($O$1&gt;=O9,換券單檔!$D$13=D9),I9+INT(($O$1-O9)/N9)*J9,0)</f>
        <v>101000</v>
      </c>
      <c r="Q9" s="1213">
        <f t="shared" ca="1" si="2"/>
        <v>4166.25</v>
      </c>
      <c r="R9" s="1213">
        <f t="shared" ca="1" si="43"/>
        <v>101000</v>
      </c>
      <c r="S9" s="1213">
        <f t="shared" ca="1" si="44"/>
        <v>4166.25</v>
      </c>
      <c r="T9" s="136">
        <f ca="1">IF(OR(R9=0,A9=0),0,IF(AND(V9=TRUE,換券單檔!$D$13=D9),E9,0))</f>
        <v>10.86</v>
      </c>
      <c r="U9" s="861">
        <f ca="1">IF(OR(R9=0,A9=0),0,IF(AND(V9=TRUE,換券單檔!$D$13=D9),H9,0))</f>
        <v>4.7199999999999999E-2</v>
      </c>
      <c r="V9" s="136" t="b">
        <f ca="1">IF(OR(B9=換券單檔!$D$3,L9="無",M9&lt;&gt;"",K9="高資產",IFERROR(MATCH(B9,換券單檔!K:K,0),"N")&lt;&gt;"N"),FALSE,IF($V$1="All",TRUE,IF(K9=$V$1,TRUE,FALSE)))</f>
        <v>1</v>
      </c>
      <c r="W9" s="136">
        <f ca="1">VLOOKUP(A9,'銀行-TSS'!A:AO,41,FALSE)</f>
        <v>92.490000000000009</v>
      </c>
      <c r="X9" s="136">
        <f ca="1">VLOOKUP(A9,'銀行-TSS'!A:AP,42,FALSE)</f>
        <v>8.5144000000000002</v>
      </c>
      <c r="Y9" s="1220">
        <f t="shared" ca="1" si="3"/>
        <v>7953.718245600001</v>
      </c>
      <c r="Z9" s="1220">
        <f t="shared" ca="1" si="4"/>
        <v>0</v>
      </c>
      <c r="AA9" s="136">
        <f ca="1">IF(Z9&lt;=0,0,RANK(Z9,Z:Z)+COUNTIF($Z$3:$Z9,Z9)-1)</f>
        <v>0</v>
      </c>
      <c r="AB9" s="1211">
        <f t="shared" ca="1" si="5"/>
        <v>-6942.4217543999985</v>
      </c>
      <c r="AC9" s="136">
        <f ca="1">IF(AB9&lt;=0,0,RANK(AB9,AB:AB)+COUNTIF($AB$3:$AB9,AB9)-1)</f>
        <v>0</v>
      </c>
      <c r="AD9" s="1123">
        <f t="shared" ca="1" si="6"/>
        <v>99999</v>
      </c>
      <c r="AE9" s="1123">
        <f ca="1">IF(AD9=99999,0,RANK(AD9,AD:AD,1)+COUNTIF($AD$3:$AD9,AD9)-1)</f>
        <v>0</v>
      </c>
      <c r="AF9" s="86" t="b">
        <f ca="1">IF(OR(M9&lt;&gt;"",L9="無",K9="高資產",IFERROR(MATCH(B9,換券單檔!K:K,0),"N")&lt;&gt;"N"),FALSE,TRUE)</f>
        <v>1</v>
      </c>
      <c r="AI9" s="1212">
        <f t="shared" ca="1" si="7"/>
        <v>101000</v>
      </c>
      <c r="AJ9" s="1213">
        <f t="shared" ca="1" si="8"/>
        <v>4166.25</v>
      </c>
      <c r="AK9" s="1587">
        <f t="shared" ca="1" si="9"/>
        <v>0</v>
      </c>
      <c r="AN9" s="1212">
        <f t="shared" ca="1" si="10"/>
        <v>57000</v>
      </c>
      <c r="AO9" s="1213">
        <f t="shared" ca="1" si="11"/>
        <v>2351.25</v>
      </c>
      <c r="AP9" s="1587">
        <f t="shared" ca="1" si="12"/>
        <v>-85710.234806629829</v>
      </c>
      <c r="AS9" s="1212">
        <f t="shared" ca="1" si="13"/>
        <v>98000</v>
      </c>
      <c r="AT9" s="1213">
        <f t="shared" ca="1" si="14"/>
        <v>4042.5</v>
      </c>
      <c r="AU9" s="1587">
        <f t="shared" ca="1" si="15"/>
        <v>0</v>
      </c>
      <c r="AX9" s="1212">
        <f t="shared" ca="1" si="16"/>
        <v>90000</v>
      </c>
      <c r="AY9" s="1213">
        <f t="shared" ca="1" si="17"/>
        <v>3712.5</v>
      </c>
      <c r="AZ9" s="1587">
        <f t="shared" ca="1" si="18"/>
        <v>0</v>
      </c>
      <c r="BC9" s="1212">
        <f t="shared" ca="1" si="19"/>
        <v>0</v>
      </c>
      <c r="BD9" s="1213">
        <f t="shared" ca="1" si="20"/>
        <v>0</v>
      </c>
      <c r="BE9" s="1587">
        <f t="shared" ca="1" si="21"/>
        <v>0</v>
      </c>
      <c r="BH9" s="1212">
        <f t="shared" ca="1" si="22"/>
        <v>0</v>
      </c>
      <c r="BI9" s="1213">
        <f t="shared" ca="1" si="23"/>
        <v>0</v>
      </c>
      <c r="BJ9" s="1587">
        <f t="shared" ca="1" si="24"/>
        <v>0</v>
      </c>
      <c r="BM9" s="1212">
        <f t="shared" ca="1" si="25"/>
        <v>0</v>
      </c>
      <c r="BN9" s="1213">
        <f t="shared" ca="1" si="26"/>
        <v>0</v>
      </c>
      <c r="BO9" s="1587">
        <f t="shared" ca="1" si="27"/>
        <v>0</v>
      </c>
      <c r="BR9" s="1212">
        <f t="shared" ca="1" si="28"/>
        <v>0</v>
      </c>
      <c r="BS9" s="1213">
        <f t="shared" ca="1" si="29"/>
        <v>0</v>
      </c>
      <c r="BT9" s="1587">
        <f t="shared" ca="1" si="30"/>
        <v>0</v>
      </c>
      <c r="BW9" s="1212">
        <f t="shared" ca="1" si="31"/>
        <v>0</v>
      </c>
      <c r="BX9" s="1213">
        <f t="shared" ca="1" si="32"/>
        <v>0</v>
      </c>
      <c r="BY9" s="1587">
        <f t="shared" ca="1" si="33"/>
        <v>0</v>
      </c>
      <c r="CB9" s="1212">
        <f t="shared" ca="1" si="34"/>
        <v>0</v>
      </c>
      <c r="CC9" s="1213">
        <f t="shared" ca="1" si="35"/>
        <v>0</v>
      </c>
      <c r="CD9" s="1587">
        <f t="shared" ca="1" si="36"/>
        <v>0</v>
      </c>
      <c r="CG9" s="1212">
        <f t="shared" ca="1" si="37"/>
        <v>0</v>
      </c>
      <c r="CH9" s="1213">
        <f t="shared" ca="1" si="38"/>
        <v>0</v>
      </c>
      <c r="CI9" s="1587">
        <f t="shared" ca="1" si="39"/>
        <v>0</v>
      </c>
      <c r="CL9" s="1212">
        <f t="shared" ca="1" si="40"/>
        <v>0</v>
      </c>
      <c r="CM9" s="1213">
        <f t="shared" ca="1" si="41"/>
        <v>0</v>
      </c>
      <c r="CN9" s="1587">
        <f t="shared" ca="1" si="42"/>
        <v>0</v>
      </c>
    </row>
    <row r="10" spans="1:92">
      <c r="A10" s="141" t="str">
        <f>'銀行-TSS'!A10</f>
        <v>XS1266660122</v>
      </c>
      <c r="B10" s="151" t="str">
        <f ca="1">VLOOKUP(A10,'銀行-TSS'!A:B,2,FALSE)</f>
        <v>XFD50</v>
      </c>
      <c r="C10" s="151" t="str">
        <f ca="1">VLOOKUP(B10,bond!B:C,2,FALSE)</f>
        <v>軟銀集團公司美元配息債券 6% 2025/7/30</v>
      </c>
      <c r="D10" s="95" t="str">
        <f>VLOOKUP(A10,'銀行-TSS'!A:C,3,FALSE)</f>
        <v>USD</v>
      </c>
      <c r="E10" s="90">
        <f ca="1">VLOOKUP(A10,'銀行-TSS'!A:G,7,FALSE)</f>
        <v>1.07</v>
      </c>
      <c r="F10" s="202">
        <f ca="1">VLOOKUP(A10,'銀行-TSS'!A:H,8,FALSE)</f>
        <v>0.06</v>
      </c>
      <c r="G10" s="96">
        <f ca="1">VLOOKUP(A10,'銀行-TSS'!A:K,11,FALSE)</f>
        <v>103.23</v>
      </c>
      <c r="H10" s="1209">
        <f ca="1">VLOOKUP(A10,'銀行-TSS'!A:M,13,FALSE)</f>
        <v>5.3400000000000003E-2</v>
      </c>
      <c r="I10" s="1213">
        <f ca="1">VLOOKUP(A10,'銀行-TSS'!A:N,14,FALSE)</f>
        <v>200000</v>
      </c>
      <c r="J10" s="1213">
        <f ca="1">VLOOKUP(A10,'銀行-TSS'!A:O,15,FALSE)</f>
        <v>1000</v>
      </c>
      <c r="K10" s="136" t="str">
        <f ca="1">VLOOKUP(A10,'銀行-TSS'!A:V,22,FALSE)</f>
        <v>(PI)專投</v>
      </c>
      <c r="L10" s="136" t="str">
        <f ca="1">VLOOKUP(A10,'銀行-TSS'!A:AK,37,FALSE)</f>
        <v>無</v>
      </c>
      <c r="M10" s="136" t="str">
        <f ca="1">VLOOKUP(A10,'銀行-TSS'!A:AN,40,FALSE)</f>
        <v/>
      </c>
      <c r="N10" s="136">
        <f t="shared" ca="1" si="0"/>
        <v>1032.3</v>
      </c>
      <c r="O10" s="1213">
        <f t="shared" ca="1" si="1"/>
        <v>206460</v>
      </c>
      <c r="P10" s="1213">
        <f ca="1">IF(AND($O$1&gt;=O10,換券單檔!$D$13=D10),I10+INT(($O$1-O10)/N10)*J10,0)</f>
        <v>0</v>
      </c>
      <c r="Q10" s="1213">
        <f t="shared" ca="1" si="2"/>
        <v>0</v>
      </c>
      <c r="R10" s="1213">
        <f t="shared" ca="1" si="43"/>
        <v>0</v>
      </c>
      <c r="S10" s="1213">
        <f t="shared" ca="1" si="44"/>
        <v>0</v>
      </c>
      <c r="T10" s="136">
        <f ca="1">IF(OR(R10=0,A10=0),0,IF(AND(V10=TRUE,換券單檔!$D$13=D10),E10,0))</f>
        <v>0</v>
      </c>
      <c r="U10" s="861">
        <f ca="1">IF(OR(R10=0,A10=0),0,IF(AND(V10=TRUE,換券單檔!$D$13=D10),H10,0))</f>
        <v>0</v>
      </c>
      <c r="V10" s="136" t="b">
        <f ca="1">IF(OR(B10=換券單檔!$D$3,L10="無",M10&lt;&gt;"",K10="高資產",IFERROR(MATCH(B10,換券單檔!K:K,0),"N")&lt;&gt;"N"),FALSE,IF($V$1="All",TRUE,IF(K10=$V$1,TRUE,FALSE)))</f>
        <v>0</v>
      </c>
      <c r="W10" s="136">
        <f ca="1">VLOOKUP(A10,'銀行-TSS'!A:AO,41,FALSE)</f>
        <v>100.18</v>
      </c>
      <c r="X10" s="136">
        <f ca="1">VLOOKUP(A10,'銀行-TSS'!A:AP,42,FALSE)</f>
        <v>0.77359999999999995</v>
      </c>
      <c r="Y10" s="1220">
        <f t="shared" ca="1" si="3"/>
        <v>0</v>
      </c>
      <c r="Z10" s="1220">
        <f t="shared" ca="1" si="4"/>
        <v>0</v>
      </c>
      <c r="AA10" s="136">
        <f ca="1">IF(Z10&lt;=0,0,RANK(Z10,Z:Z)+COUNTIF($Z$3:$Z10,Z10)-1)</f>
        <v>0</v>
      </c>
      <c r="AB10" s="1211">
        <f t="shared" ca="1" si="5"/>
        <v>-14896.14</v>
      </c>
      <c r="AC10" s="136">
        <f ca="1">IF(AB10&lt;=0,0,RANK(AB10,AB:AB)+COUNTIF($AB$3:$AB10,AB10)-1)</f>
        <v>0</v>
      </c>
      <c r="AD10" s="1123">
        <f t="shared" ca="1" si="6"/>
        <v>99999</v>
      </c>
      <c r="AE10" s="1123">
        <f ca="1">IF(AD10=99999,0,RANK(AD10,AD:AD,1)+COUNTIF($AD$3:$AD10,AD10)-1)</f>
        <v>0</v>
      </c>
      <c r="AF10" s="86" t="b">
        <f ca="1">IF(OR(M10&lt;&gt;"",L10="無",K10="高資產",IFERROR(MATCH(B10,換券單檔!K:K,0),"N")&lt;&gt;"N"),FALSE,TRUE)</f>
        <v>0</v>
      </c>
      <c r="AI10" s="1212">
        <f t="shared" ca="1" si="7"/>
        <v>0</v>
      </c>
      <c r="AJ10" s="1213">
        <f t="shared" ca="1" si="8"/>
        <v>0</v>
      </c>
      <c r="AK10" s="1587">
        <f t="shared" ca="1" si="9"/>
        <v>0</v>
      </c>
      <c r="AN10" s="1212">
        <f t="shared" ca="1" si="10"/>
        <v>0</v>
      </c>
      <c r="AO10" s="1213">
        <f t="shared" ca="1" si="11"/>
        <v>0</v>
      </c>
      <c r="AP10" s="1587">
        <f t="shared" ca="1" si="12"/>
        <v>0</v>
      </c>
      <c r="AS10" s="1212">
        <f t="shared" ca="1" si="13"/>
        <v>0</v>
      </c>
      <c r="AT10" s="1213">
        <f t="shared" ca="1" si="14"/>
        <v>0</v>
      </c>
      <c r="AU10" s="1587">
        <f t="shared" ca="1" si="15"/>
        <v>0</v>
      </c>
      <c r="AX10" s="1212">
        <f t="shared" ca="1" si="16"/>
        <v>0</v>
      </c>
      <c r="AY10" s="1213">
        <f t="shared" ca="1" si="17"/>
        <v>0</v>
      </c>
      <c r="AZ10" s="1587">
        <f t="shared" ca="1" si="18"/>
        <v>0</v>
      </c>
      <c r="BC10" s="1212">
        <f t="shared" ca="1" si="19"/>
        <v>0</v>
      </c>
      <c r="BD10" s="1213">
        <f t="shared" ca="1" si="20"/>
        <v>0</v>
      </c>
      <c r="BE10" s="1587">
        <f t="shared" ca="1" si="21"/>
        <v>0</v>
      </c>
      <c r="BH10" s="1212">
        <f t="shared" ca="1" si="22"/>
        <v>0</v>
      </c>
      <c r="BI10" s="1213">
        <f t="shared" ca="1" si="23"/>
        <v>0</v>
      </c>
      <c r="BJ10" s="1587">
        <f t="shared" ca="1" si="24"/>
        <v>0</v>
      </c>
      <c r="BM10" s="1212">
        <f t="shared" ca="1" si="25"/>
        <v>0</v>
      </c>
      <c r="BN10" s="1213">
        <f t="shared" ca="1" si="26"/>
        <v>0</v>
      </c>
      <c r="BO10" s="1587">
        <f t="shared" ca="1" si="27"/>
        <v>0</v>
      </c>
      <c r="BR10" s="1212">
        <f t="shared" ca="1" si="28"/>
        <v>0</v>
      </c>
      <c r="BS10" s="1213">
        <f t="shared" ca="1" si="29"/>
        <v>0</v>
      </c>
      <c r="BT10" s="1587">
        <f t="shared" ca="1" si="30"/>
        <v>0</v>
      </c>
      <c r="BW10" s="1212">
        <f t="shared" ca="1" si="31"/>
        <v>0</v>
      </c>
      <c r="BX10" s="1213">
        <f t="shared" ca="1" si="32"/>
        <v>0</v>
      </c>
      <c r="BY10" s="1587">
        <f t="shared" ca="1" si="33"/>
        <v>0</v>
      </c>
      <c r="CB10" s="1212">
        <f t="shared" ca="1" si="34"/>
        <v>0</v>
      </c>
      <c r="CC10" s="1213">
        <f t="shared" ca="1" si="35"/>
        <v>0</v>
      </c>
      <c r="CD10" s="1587">
        <f t="shared" ca="1" si="36"/>
        <v>0</v>
      </c>
      <c r="CG10" s="1212">
        <f t="shared" ca="1" si="37"/>
        <v>0</v>
      </c>
      <c r="CH10" s="1213">
        <f t="shared" ca="1" si="38"/>
        <v>0</v>
      </c>
      <c r="CI10" s="1587">
        <f t="shared" ca="1" si="39"/>
        <v>0</v>
      </c>
      <c r="CL10" s="1212">
        <f t="shared" ca="1" si="40"/>
        <v>0</v>
      </c>
      <c r="CM10" s="1213">
        <f t="shared" ca="1" si="41"/>
        <v>0</v>
      </c>
      <c r="CN10" s="1587">
        <f t="shared" ca="1" si="42"/>
        <v>0</v>
      </c>
    </row>
    <row r="11" spans="1:92">
      <c r="A11" s="141" t="str">
        <f>'銀行-TSS'!A11</f>
        <v>US02364WAJ45</v>
      </c>
      <c r="B11" s="151" t="str">
        <f ca="1">VLOOKUP(A11,'銀行-TSS'!A:B,2,FALSE)</f>
        <v>XFE20</v>
      </c>
      <c r="C11" s="151" t="str">
        <f ca="1">VLOOKUP(B11,bond!B:C,2,FALSE)</f>
        <v>美洲電信公司美元配息債券 6.375% 2035/3/1</v>
      </c>
      <c r="D11" s="95" t="str">
        <f>VLOOKUP(A11,'銀行-TSS'!A:C,3,FALSE)</f>
        <v>USD</v>
      </c>
      <c r="E11" s="90">
        <f ca="1">VLOOKUP(A11,'銀行-TSS'!A:G,7,FALSE)</f>
        <v>10.66</v>
      </c>
      <c r="F11" s="202">
        <f ca="1">VLOOKUP(A11,'銀行-TSS'!A:H,8,FALSE)</f>
        <v>6.3750000000000001E-2</v>
      </c>
      <c r="G11" s="96">
        <f ca="1">VLOOKUP(A11,'銀行-TSS'!A:K,11,FALSE)</f>
        <v>112.65</v>
      </c>
      <c r="H11" s="1209">
        <f ca="1">VLOOKUP(A11,'銀行-TSS'!A:M,13,FALSE)</f>
        <v>5.0799999999999998E-2</v>
      </c>
      <c r="I11" s="1213">
        <f ca="1">VLOOKUP(A11,'銀行-TSS'!A:N,14,FALSE)</f>
        <v>10000</v>
      </c>
      <c r="J11" s="1213">
        <f ca="1">VLOOKUP(A11,'銀行-TSS'!A:O,15,FALSE)</f>
        <v>1000</v>
      </c>
      <c r="K11" s="136" t="str">
        <f ca="1">VLOOKUP(A11,'銀行-TSS'!A:V,22,FALSE)</f>
        <v>(NPI)非專投</v>
      </c>
      <c r="L11" s="136" t="str">
        <f ca="1">VLOOKUP(A11,'銀行-TSS'!A:AK,37,FALSE)</f>
        <v>需查詢</v>
      </c>
      <c r="M11" s="136" t="str">
        <f ca="1">VLOOKUP(A11,'銀行-TSS'!A:AN,40,FALSE)</f>
        <v>XFE20</v>
      </c>
      <c r="N11" s="136">
        <f t="shared" ca="1" si="0"/>
        <v>1126.5</v>
      </c>
      <c r="O11" s="1213">
        <f t="shared" ca="1" si="1"/>
        <v>11265</v>
      </c>
      <c r="P11" s="1213">
        <f ca="1">IF(AND($O$1&gt;=O11,換券單檔!$D$13=D11),I11+INT(($O$1-O11)/N11)*J11,0)</f>
        <v>85000</v>
      </c>
      <c r="Q11" s="1213">
        <f t="shared" ca="1" si="2"/>
        <v>5418.75</v>
      </c>
      <c r="R11" s="1213">
        <f t="shared" ca="1" si="43"/>
        <v>0</v>
      </c>
      <c r="S11" s="1213">
        <f t="shared" ca="1" si="44"/>
        <v>0</v>
      </c>
      <c r="T11" s="136">
        <f ca="1">IF(OR(R11=0,A11=0),0,IF(AND(V11=TRUE,換券單檔!$D$13=D11),E11,0))</f>
        <v>0</v>
      </c>
      <c r="U11" s="861">
        <f ca="1">IF(OR(R11=0,A11=0),0,IF(AND(V11=TRUE,換券單檔!$D$13=D11),H11,0))</f>
        <v>0</v>
      </c>
      <c r="V11" s="136" t="b">
        <f ca="1">IF(OR(B11=換券單檔!$D$3,L11="無",M11&lt;&gt;"",K11="高資產",IFERROR(MATCH(B11,換券單檔!K:K,0),"N")&lt;&gt;"N"),FALSE,IF($V$1="All",TRUE,IF(K11=$V$1,TRUE,FALSE)))</f>
        <v>0</v>
      </c>
      <c r="W11" s="136">
        <f ca="1">VLOOKUP(A11,'銀行-TSS'!A:AO,41,FALSE)</f>
        <v>108.01</v>
      </c>
      <c r="X11" s="136">
        <f ca="1">VLOOKUP(A11,'銀行-TSS'!A:AP,42,FALSE)</f>
        <v>7.6726000000000001</v>
      </c>
      <c r="Y11" s="1220">
        <f t="shared" ca="1" si="3"/>
        <v>0</v>
      </c>
      <c r="Z11" s="1220">
        <f t="shared" ca="1" si="4"/>
        <v>0</v>
      </c>
      <c r="AA11" s="136">
        <f ca="1">IF(Z11&lt;=0,0,RANK(Z11,Z:Z)+COUNTIF($Z$3:$Z11,Z11)-1)</f>
        <v>0</v>
      </c>
      <c r="AB11" s="1211">
        <f t="shared" ca="1" si="5"/>
        <v>-14896.14</v>
      </c>
      <c r="AC11" s="136">
        <f ca="1">IF(AB11&lt;=0,0,RANK(AB11,AB:AB)+COUNTIF($AB$3:$AB11,AB11)-1)</f>
        <v>0</v>
      </c>
      <c r="AD11" s="1123">
        <f t="shared" ca="1" si="6"/>
        <v>99999</v>
      </c>
      <c r="AE11" s="1123">
        <f ca="1">IF(AD11=99999,0,RANK(AD11,AD:AD,1)+COUNTIF($AD$3:$AD11,AD11)-1)</f>
        <v>0</v>
      </c>
      <c r="AF11" s="86" t="b">
        <f ca="1">IF(OR(M11&lt;&gt;"",L11="無",K11="高資產",IFERROR(MATCH(B11,換券單檔!K:K,0),"N")&lt;&gt;"N"),FALSE,TRUE)</f>
        <v>0</v>
      </c>
      <c r="AI11" s="1212">
        <f t="shared" ca="1" si="7"/>
        <v>0</v>
      </c>
      <c r="AJ11" s="1213">
        <f t="shared" ca="1" si="8"/>
        <v>0</v>
      </c>
      <c r="AK11" s="1587">
        <f t="shared" ca="1" si="9"/>
        <v>0</v>
      </c>
      <c r="AN11" s="1212">
        <f t="shared" ca="1" si="10"/>
        <v>0</v>
      </c>
      <c r="AO11" s="1213">
        <f t="shared" ca="1" si="11"/>
        <v>0</v>
      </c>
      <c r="AP11" s="1587">
        <f t="shared" ca="1" si="12"/>
        <v>0</v>
      </c>
      <c r="AS11" s="1212">
        <f t="shared" ca="1" si="13"/>
        <v>0</v>
      </c>
      <c r="AT11" s="1213">
        <f t="shared" ca="1" si="14"/>
        <v>0</v>
      </c>
      <c r="AU11" s="1587">
        <f t="shared" ca="1" si="15"/>
        <v>0</v>
      </c>
      <c r="AX11" s="1212">
        <f t="shared" ca="1" si="16"/>
        <v>0</v>
      </c>
      <c r="AY11" s="1213">
        <f t="shared" ca="1" si="17"/>
        <v>0</v>
      </c>
      <c r="AZ11" s="1587">
        <f t="shared" ca="1" si="18"/>
        <v>0</v>
      </c>
      <c r="BC11" s="1212">
        <f t="shared" ca="1" si="19"/>
        <v>0</v>
      </c>
      <c r="BD11" s="1213">
        <f t="shared" ca="1" si="20"/>
        <v>0</v>
      </c>
      <c r="BE11" s="1587">
        <f t="shared" ca="1" si="21"/>
        <v>0</v>
      </c>
      <c r="BH11" s="1212">
        <f t="shared" ca="1" si="22"/>
        <v>0</v>
      </c>
      <c r="BI11" s="1213">
        <f t="shared" ca="1" si="23"/>
        <v>0</v>
      </c>
      <c r="BJ11" s="1587">
        <f t="shared" ca="1" si="24"/>
        <v>0</v>
      </c>
      <c r="BM11" s="1212">
        <f t="shared" ca="1" si="25"/>
        <v>0</v>
      </c>
      <c r="BN11" s="1213">
        <f t="shared" ca="1" si="26"/>
        <v>0</v>
      </c>
      <c r="BO11" s="1587">
        <f t="shared" ca="1" si="27"/>
        <v>0</v>
      </c>
      <c r="BR11" s="1212">
        <f t="shared" ca="1" si="28"/>
        <v>0</v>
      </c>
      <c r="BS11" s="1213">
        <f t="shared" ca="1" si="29"/>
        <v>0</v>
      </c>
      <c r="BT11" s="1587">
        <f t="shared" ca="1" si="30"/>
        <v>0</v>
      </c>
      <c r="BW11" s="1212">
        <f t="shared" ca="1" si="31"/>
        <v>0</v>
      </c>
      <c r="BX11" s="1213">
        <f t="shared" ca="1" si="32"/>
        <v>0</v>
      </c>
      <c r="BY11" s="1587">
        <f t="shared" ca="1" si="33"/>
        <v>0</v>
      </c>
      <c r="CB11" s="1212">
        <f t="shared" ca="1" si="34"/>
        <v>0</v>
      </c>
      <c r="CC11" s="1213">
        <f t="shared" ca="1" si="35"/>
        <v>0</v>
      </c>
      <c r="CD11" s="1587">
        <f t="shared" ca="1" si="36"/>
        <v>0</v>
      </c>
      <c r="CG11" s="1212">
        <f t="shared" ca="1" si="37"/>
        <v>0</v>
      </c>
      <c r="CH11" s="1213">
        <f t="shared" ca="1" si="38"/>
        <v>0</v>
      </c>
      <c r="CI11" s="1587">
        <f t="shared" ca="1" si="39"/>
        <v>0</v>
      </c>
      <c r="CL11" s="1212">
        <f t="shared" ca="1" si="40"/>
        <v>0</v>
      </c>
      <c r="CM11" s="1213">
        <f t="shared" ca="1" si="41"/>
        <v>0</v>
      </c>
      <c r="CN11" s="1587">
        <f t="shared" ca="1" si="42"/>
        <v>0</v>
      </c>
    </row>
    <row r="12" spans="1:92">
      <c r="A12" s="141" t="str">
        <f>'銀行-TSS'!A12</f>
        <v>USY7138AAD29</v>
      </c>
      <c r="B12" s="151" t="str">
        <f ca="1">VLOOKUP(A12,'銀行-TSS'!A:B,2,FALSE)</f>
        <v>XFE30</v>
      </c>
      <c r="C12" s="151" t="str">
        <f ca="1">VLOOKUP(B12,bond!B:C,2,FALSE)</f>
        <v>印尼國家能源公司美元配息債券 6% 2042/5/3</v>
      </c>
      <c r="D12" s="95" t="str">
        <f>VLOOKUP(A12,'銀行-TSS'!A:C,3,FALSE)</f>
        <v>USD</v>
      </c>
      <c r="E12" s="90">
        <f ca="1">VLOOKUP(A12,'銀行-TSS'!A:G,7,FALSE)</f>
        <v>17.829999999999998</v>
      </c>
      <c r="F12" s="202">
        <f ca="1">VLOOKUP(A12,'銀行-TSS'!A:H,8,FALSE)</f>
        <v>0.06</v>
      </c>
      <c r="G12" s="96">
        <f ca="1">VLOOKUP(A12,'銀行-TSS'!A:K,11,FALSE)</f>
        <v>105.12</v>
      </c>
      <c r="H12" s="1209">
        <f ca="1">VLOOKUP(A12,'銀行-TSS'!A:M,13,FALSE)</f>
        <v>5.6300000000000003E-2</v>
      </c>
      <c r="I12" s="1213">
        <f ca="1">VLOOKUP(A12,'銀行-TSS'!A:N,14,FALSE)</f>
        <v>200000</v>
      </c>
      <c r="J12" s="1213">
        <f ca="1">VLOOKUP(A12,'銀行-TSS'!A:O,15,FALSE)</f>
        <v>1000</v>
      </c>
      <c r="K12" s="136" t="str">
        <f ca="1">VLOOKUP(A12,'銀行-TSS'!A:V,22,FALSE)</f>
        <v>(PI)專投</v>
      </c>
      <c r="L12" s="136" t="str">
        <f ca="1">VLOOKUP(A12,'銀行-TSS'!A:AK,37,FALSE)</f>
        <v>需查詢</v>
      </c>
      <c r="M12" s="136" t="str">
        <f ca="1">VLOOKUP(A12,'銀行-TSS'!A:AN,40,FALSE)</f>
        <v/>
      </c>
      <c r="N12" s="136">
        <f t="shared" ca="1" si="0"/>
        <v>1051.2</v>
      </c>
      <c r="O12" s="1213">
        <f t="shared" ca="1" si="1"/>
        <v>210240</v>
      </c>
      <c r="P12" s="1213">
        <f ca="1">IF(AND($O$1&gt;=O12,換券單檔!$D$13=D12),I12+INT(($O$1-O12)/N12)*J12,0)</f>
        <v>0</v>
      </c>
      <c r="Q12" s="1213">
        <f t="shared" ca="1" si="2"/>
        <v>0</v>
      </c>
      <c r="R12" s="1213">
        <f t="shared" ca="1" si="43"/>
        <v>0</v>
      </c>
      <c r="S12" s="1213">
        <f t="shared" ca="1" si="44"/>
        <v>0</v>
      </c>
      <c r="T12" s="136">
        <f ca="1">IF(OR(R12=0,A12=0),0,IF(AND(V12=TRUE,換券單檔!$D$13=D12),E12,0))</f>
        <v>0</v>
      </c>
      <c r="U12" s="861">
        <f ca="1">IF(OR(R12=0,A12=0),0,IF(AND(V12=TRUE,換券單檔!$D$13=D12),H12,0))</f>
        <v>0</v>
      </c>
      <c r="V12" s="136" t="b">
        <f ca="1">IF(OR(B12=換券單檔!$D$3,L12="無",M12&lt;&gt;"",K12="高資產",IFERROR(MATCH(B12,換券單檔!K:K,0),"N")&lt;&gt;"N"),FALSE,IF($V$1="All",TRUE,IF(K12=$V$1,TRUE,FALSE)))</f>
        <v>1</v>
      </c>
      <c r="W12" s="136">
        <f ca="1">VLOOKUP(A12,'銀行-TSS'!A:AO,41,FALSE)</f>
        <v>101.14</v>
      </c>
      <c r="X12" s="136">
        <f ca="1">VLOOKUP(A12,'銀行-TSS'!A:AP,42,FALSE)</f>
        <v>10.833500000000001</v>
      </c>
      <c r="Y12" s="1220">
        <f t="shared" ca="1" si="3"/>
        <v>0</v>
      </c>
      <c r="Z12" s="1220">
        <f t="shared" ca="1" si="4"/>
        <v>0</v>
      </c>
      <c r="AA12" s="136">
        <f ca="1">IF(Z12&lt;=0,0,RANK(Z12,Z:Z)+COUNTIF($Z$3:$Z12,Z12)-1)</f>
        <v>0</v>
      </c>
      <c r="AB12" s="1211">
        <f t="shared" ca="1" si="5"/>
        <v>-114896.14</v>
      </c>
      <c r="AC12" s="136">
        <f ca="1">IF(AB12&lt;=0,0,RANK(AB12,AB:AB)+COUNTIF($AB$3:$AB12,AB12)-1)</f>
        <v>0</v>
      </c>
      <c r="AD12" s="1123">
        <f t="shared" ca="1" si="6"/>
        <v>99999</v>
      </c>
      <c r="AE12" s="1123">
        <f ca="1">IF(AD12=99999,0,RANK(AD12,AD:AD,1)+COUNTIF($AD$3:$AD12,AD12)-1)</f>
        <v>0</v>
      </c>
      <c r="AF12" s="86" t="b">
        <f ca="1">IF(OR(M12&lt;&gt;"",L12="無",K12="高資產",IFERROR(MATCH(B12,換券單檔!K:K,0),"N")&lt;&gt;"N"),FALSE,TRUE)</f>
        <v>1</v>
      </c>
      <c r="AI12" s="1212">
        <f t="shared" ca="1" si="7"/>
        <v>0</v>
      </c>
      <c r="AJ12" s="1213">
        <f t="shared" ca="1" si="8"/>
        <v>0</v>
      </c>
      <c r="AK12" s="1587">
        <f t="shared" ca="1" si="9"/>
        <v>0</v>
      </c>
      <c r="AN12" s="1212">
        <f t="shared" ca="1" si="10"/>
        <v>0</v>
      </c>
      <c r="AO12" s="1213">
        <f t="shared" ca="1" si="11"/>
        <v>0</v>
      </c>
      <c r="AP12" s="1587">
        <f t="shared" ca="1" si="12"/>
        <v>0</v>
      </c>
      <c r="AS12" s="1212">
        <f t="shared" ca="1" si="13"/>
        <v>0</v>
      </c>
      <c r="AT12" s="1213">
        <f t="shared" ca="1" si="14"/>
        <v>0</v>
      </c>
      <c r="AU12" s="1587">
        <f t="shared" ca="1" si="15"/>
        <v>0</v>
      </c>
      <c r="AX12" s="1212">
        <f t="shared" ca="1" si="16"/>
        <v>0</v>
      </c>
      <c r="AY12" s="1213">
        <f t="shared" ca="1" si="17"/>
        <v>0</v>
      </c>
      <c r="AZ12" s="1587">
        <f t="shared" ca="1" si="18"/>
        <v>0</v>
      </c>
      <c r="BC12" s="1212">
        <f t="shared" ca="1" si="19"/>
        <v>0</v>
      </c>
      <c r="BD12" s="1213">
        <f t="shared" ca="1" si="20"/>
        <v>0</v>
      </c>
      <c r="BE12" s="1587">
        <f t="shared" ca="1" si="21"/>
        <v>0</v>
      </c>
      <c r="BH12" s="1212">
        <f t="shared" ca="1" si="22"/>
        <v>0</v>
      </c>
      <c r="BI12" s="1213">
        <f t="shared" ca="1" si="23"/>
        <v>0</v>
      </c>
      <c r="BJ12" s="1587">
        <f t="shared" ca="1" si="24"/>
        <v>0</v>
      </c>
      <c r="BM12" s="1212">
        <f t="shared" ca="1" si="25"/>
        <v>0</v>
      </c>
      <c r="BN12" s="1213">
        <f t="shared" ca="1" si="26"/>
        <v>0</v>
      </c>
      <c r="BO12" s="1587">
        <f t="shared" ca="1" si="27"/>
        <v>0</v>
      </c>
      <c r="BR12" s="1212">
        <f t="shared" ca="1" si="28"/>
        <v>0</v>
      </c>
      <c r="BS12" s="1213">
        <f t="shared" ca="1" si="29"/>
        <v>0</v>
      </c>
      <c r="BT12" s="1587">
        <f t="shared" ca="1" si="30"/>
        <v>0</v>
      </c>
      <c r="BW12" s="1212">
        <f t="shared" ca="1" si="31"/>
        <v>0</v>
      </c>
      <c r="BX12" s="1213">
        <f t="shared" ca="1" si="32"/>
        <v>0</v>
      </c>
      <c r="BY12" s="1587">
        <f t="shared" ca="1" si="33"/>
        <v>0</v>
      </c>
      <c r="CB12" s="1212">
        <f t="shared" ca="1" si="34"/>
        <v>0</v>
      </c>
      <c r="CC12" s="1213">
        <f t="shared" ca="1" si="35"/>
        <v>0</v>
      </c>
      <c r="CD12" s="1587">
        <f t="shared" ca="1" si="36"/>
        <v>0</v>
      </c>
      <c r="CG12" s="1212">
        <f t="shared" ca="1" si="37"/>
        <v>0</v>
      </c>
      <c r="CH12" s="1213">
        <f t="shared" ca="1" si="38"/>
        <v>0</v>
      </c>
      <c r="CI12" s="1587">
        <f t="shared" ca="1" si="39"/>
        <v>0</v>
      </c>
      <c r="CL12" s="1212">
        <f t="shared" ca="1" si="40"/>
        <v>0</v>
      </c>
      <c r="CM12" s="1213">
        <f t="shared" ca="1" si="41"/>
        <v>0</v>
      </c>
      <c r="CN12" s="1587">
        <f t="shared" ca="1" si="42"/>
        <v>0</v>
      </c>
    </row>
    <row r="13" spans="1:92">
      <c r="A13" s="141" t="str">
        <f>'銀行-TSS'!A13</f>
        <v>XS1274823571</v>
      </c>
      <c r="B13" s="151" t="str">
        <f ca="1">VLOOKUP(A13,'銀行-TSS'!A:B,2,FALSE)</f>
        <v>XFE40</v>
      </c>
      <c r="C13" s="151" t="str">
        <f ca="1">VLOOKUP(B13,bond!B:C,2,FALSE)</f>
        <v>歐洲投資銀行南非幣配息債券 8.75% 2025/8/18</v>
      </c>
      <c r="D13" s="95" t="str">
        <f>VLOOKUP(A13,'銀行-TSS'!A:C,3,FALSE)</f>
        <v>ZAR</v>
      </c>
      <c r="E13" s="90">
        <f ca="1">VLOOKUP(A13,'銀行-TSS'!A:G,7,FALSE)</f>
        <v>1.1299999999999999</v>
      </c>
      <c r="F13" s="202">
        <f ca="1">VLOOKUP(A13,'銀行-TSS'!A:H,8,FALSE)</f>
        <v>8.7499999999999994E-2</v>
      </c>
      <c r="G13" s="96">
        <f ca="1">VLOOKUP(A13,'銀行-TSS'!A:K,11,FALSE)</f>
        <v>109.54</v>
      </c>
      <c r="H13" s="1209">
        <f ca="1">VLOOKUP(A13,'銀行-TSS'!A:M,13,FALSE)</f>
        <v>6.9199999999999998E-2</v>
      </c>
      <c r="I13" s="1213">
        <f ca="1">VLOOKUP(A13,'銀行-TSS'!A:N,14,FALSE)</f>
        <v>100000</v>
      </c>
      <c r="J13" s="1213">
        <f ca="1">VLOOKUP(A13,'銀行-TSS'!A:O,15,FALSE)</f>
        <v>5000</v>
      </c>
      <c r="K13" s="136" t="str">
        <f ca="1">VLOOKUP(A13,'銀行-TSS'!A:V,22,FALSE)</f>
        <v>(NPI)非專投</v>
      </c>
      <c r="L13" s="136" t="str">
        <f ca="1">VLOOKUP(A13,'銀行-TSS'!A:AK,37,FALSE)</f>
        <v>有</v>
      </c>
      <c r="M13" s="136" t="str">
        <f ca="1">VLOOKUP(A13,'銀行-TSS'!A:AN,40,FALSE)</f>
        <v/>
      </c>
      <c r="N13" s="136">
        <f t="shared" ca="1" si="0"/>
        <v>5477</v>
      </c>
      <c r="O13" s="1213">
        <f t="shared" ca="1" si="1"/>
        <v>109540</v>
      </c>
      <c r="P13" s="1213">
        <f ca="1">IF(AND($O$1&gt;=O13,換券單檔!$D$13=D13),I13+INT(($O$1-O13)/N13)*J13,0)</f>
        <v>0</v>
      </c>
      <c r="Q13" s="1213">
        <f t="shared" ca="1" si="2"/>
        <v>0</v>
      </c>
      <c r="R13" s="1213">
        <f t="shared" ca="1" si="43"/>
        <v>0</v>
      </c>
      <c r="S13" s="1213">
        <f t="shared" ca="1" si="44"/>
        <v>0</v>
      </c>
      <c r="T13" s="136">
        <f ca="1">IF(OR(R13=0,A13=0),0,IF(AND(V13=TRUE,換券單檔!$D$13=D13),E13,0))</f>
        <v>0</v>
      </c>
      <c r="U13" s="861">
        <f ca="1">IF(OR(R13=0,A13=0),0,IF(AND(V13=TRUE,換券單檔!$D$13=D13),H13,0))</f>
        <v>0</v>
      </c>
      <c r="V13" s="136" t="b">
        <f ca="1">IF(OR(B13=換券單檔!$D$3,L13="無",M13&lt;&gt;"",K13="高資產",IFERROR(MATCH(B13,換券單檔!K:K,0),"N")&lt;&gt;"N"),FALSE,IF($V$1="All",TRUE,IF(K13=$V$1,TRUE,FALSE)))</f>
        <v>1</v>
      </c>
      <c r="W13" s="136">
        <f ca="1">VLOOKUP(A13,'銀行-TSS'!A:AO,41,FALSE)</f>
        <v>101.39</v>
      </c>
      <c r="X13" s="136">
        <f ca="1">VLOOKUP(A13,'銀行-TSS'!A:AP,42,FALSE)</f>
        <v>0.97170000000000001</v>
      </c>
      <c r="Y13" s="1220">
        <f t="shared" ca="1" si="3"/>
        <v>0</v>
      </c>
      <c r="Z13" s="1220">
        <f t="shared" ca="1" si="4"/>
        <v>0</v>
      </c>
      <c r="AA13" s="136">
        <f ca="1">IF(Z13&lt;=0,0,RANK(Z13,Z:Z)+COUNTIF($Z$3:$Z13,Z13)-1)</f>
        <v>0</v>
      </c>
      <c r="AB13" s="1211">
        <f t="shared" ca="1" si="5"/>
        <v>-114896.14</v>
      </c>
      <c r="AC13" s="136">
        <f ca="1">IF(AB13&lt;=0,0,RANK(AB13,AB:AB)+COUNTIF($AB$3:$AB13,AB13)-1)</f>
        <v>0</v>
      </c>
      <c r="AD13" s="1123">
        <f t="shared" ca="1" si="6"/>
        <v>99999</v>
      </c>
      <c r="AE13" s="1123">
        <f ca="1">IF(AD13=99999,0,RANK(AD13,AD:AD,1)+COUNTIF($AD$3:$AD13,AD13)-1)</f>
        <v>0</v>
      </c>
      <c r="AF13" s="86" t="b">
        <f ca="1">IF(OR(M13&lt;&gt;"",L13="無",K13="高資產",IFERROR(MATCH(B13,換券單檔!K:K,0),"N")&lt;&gt;"N"),FALSE,TRUE)</f>
        <v>1</v>
      </c>
      <c r="AI13" s="1212">
        <f t="shared" ca="1" si="7"/>
        <v>0</v>
      </c>
      <c r="AJ13" s="1213">
        <f t="shared" ca="1" si="8"/>
        <v>0</v>
      </c>
      <c r="AK13" s="1587">
        <f t="shared" ca="1" si="9"/>
        <v>0</v>
      </c>
      <c r="AN13" s="1212">
        <f t="shared" ca="1" si="10"/>
        <v>0</v>
      </c>
      <c r="AO13" s="1213">
        <f t="shared" ca="1" si="11"/>
        <v>0</v>
      </c>
      <c r="AP13" s="1587">
        <f t="shared" ca="1" si="12"/>
        <v>0</v>
      </c>
      <c r="AS13" s="1212">
        <f t="shared" ca="1" si="13"/>
        <v>0</v>
      </c>
      <c r="AT13" s="1213">
        <f t="shared" ca="1" si="14"/>
        <v>0</v>
      </c>
      <c r="AU13" s="1587">
        <f t="shared" ca="1" si="15"/>
        <v>0</v>
      </c>
      <c r="AX13" s="1212">
        <f t="shared" ca="1" si="16"/>
        <v>0</v>
      </c>
      <c r="AY13" s="1213">
        <f t="shared" ca="1" si="17"/>
        <v>0</v>
      </c>
      <c r="AZ13" s="1587">
        <f t="shared" ca="1" si="18"/>
        <v>0</v>
      </c>
      <c r="BC13" s="1212">
        <f t="shared" ca="1" si="19"/>
        <v>0</v>
      </c>
      <c r="BD13" s="1213">
        <f t="shared" ca="1" si="20"/>
        <v>0</v>
      </c>
      <c r="BE13" s="1587">
        <f t="shared" ca="1" si="21"/>
        <v>0</v>
      </c>
      <c r="BH13" s="1212">
        <f t="shared" ca="1" si="22"/>
        <v>0</v>
      </c>
      <c r="BI13" s="1213">
        <f t="shared" ca="1" si="23"/>
        <v>0</v>
      </c>
      <c r="BJ13" s="1587">
        <f t="shared" ca="1" si="24"/>
        <v>0</v>
      </c>
      <c r="BM13" s="1212">
        <f t="shared" ca="1" si="25"/>
        <v>0</v>
      </c>
      <c r="BN13" s="1213">
        <f t="shared" ca="1" si="26"/>
        <v>0</v>
      </c>
      <c r="BO13" s="1587">
        <f t="shared" ca="1" si="27"/>
        <v>0</v>
      </c>
      <c r="BR13" s="1212">
        <f t="shared" ca="1" si="28"/>
        <v>0</v>
      </c>
      <c r="BS13" s="1213">
        <f t="shared" ca="1" si="29"/>
        <v>0</v>
      </c>
      <c r="BT13" s="1587">
        <f t="shared" ca="1" si="30"/>
        <v>0</v>
      </c>
      <c r="BW13" s="1212">
        <f t="shared" ca="1" si="31"/>
        <v>0</v>
      </c>
      <c r="BX13" s="1213">
        <f t="shared" ca="1" si="32"/>
        <v>0</v>
      </c>
      <c r="BY13" s="1587">
        <f t="shared" ca="1" si="33"/>
        <v>0</v>
      </c>
      <c r="CB13" s="1212">
        <f t="shared" ca="1" si="34"/>
        <v>0</v>
      </c>
      <c r="CC13" s="1213">
        <f t="shared" ca="1" si="35"/>
        <v>0</v>
      </c>
      <c r="CD13" s="1587">
        <f t="shared" ca="1" si="36"/>
        <v>0</v>
      </c>
      <c r="CG13" s="1212">
        <f t="shared" ca="1" si="37"/>
        <v>0</v>
      </c>
      <c r="CH13" s="1213">
        <f t="shared" ca="1" si="38"/>
        <v>0</v>
      </c>
      <c r="CI13" s="1587">
        <f t="shared" ca="1" si="39"/>
        <v>0</v>
      </c>
      <c r="CL13" s="1212">
        <f t="shared" ca="1" si="40"/>
        <v>0</v>
      </c>
      <c r="CM13" s="1213">
        <f t="shared" ca="1" si="41"/>
        <v>0</v>
      </c>
      <c r="CN13" s="1587">
        <f t="shared" ca="1" si="42"/>
        <v>0</v>
      </c>
    </row>
    <row r="14" spans="1:92">
      <c r="A14" s="141" t="str">
        <f>'銀行-TSS'!A14</f>
        <v>XS1054250318</v>
      </c>
      <c r="B14" s="151" t="str">
        <f ca="1">VLOOKUP(A14,'銀行-TSS'!A:B,2,FALSE)</f>
        <v>XFF20 </v>
      </c>
      <c r="C14" s="151" t="str">
        <f ca="1">VLOOKUP(B14,bond!B:C,2,FALSE)</f>
        <v>沙烏地電力美元配息債券 5.5% 2044/4/8</v>
      </c>
      <c r="D14" s="95" t="str">
        <f>VLOOKUP(A14,'銀行-TSS'!A:C,3,FALSE)</f>
        <v>USD</v>
      </c>
      <c r="E14" s="90">
        <f ca="1">VLOOKUP(A14,'銀行-TSS'!A:G,7,FALSE)</f>
        <v>19.760000000000002</v>
      </c>
      <c r="F14" s="202">
        <f ca="1">VLOOKUP(A14,'銀行-TSS'!A:H,8,FALSE)</f>
        <v>5.5E-2</v>
      </c>
      <c r="G14" s="96">
        <f ca="1">VLOOKUP(A14,'銀行-TSS'!A:K,11,FALSE)</f>
        <v>102.29</v>
      </c>
      <c r="H14" s="1209">
        <f ca="1">VLOOKUP(A14,'銀行-TSS'!A:M,13,FALSE)</f>
        <v>5.4199999999999998E-2</v>
      </c>
      <c r="I14" s="1213">
        <f ca="1">VLOOKUP(A14,'銀行-TSS'!A:N,14,FALSE)</f>
        <v>200000</v>
      </c>
      <c r="J14" s="1213">
        <f ca="1">VLOOKUP(A14,'銀行-TSS'!A:O,15,FALSE)</f>
        <v>1000</v>
      </c>
      <c r="K14" s="136" t="str">
        <f ca="1">VLOOKUP(A14,'銀行-TSS'!A:V,22,FALSE)</f>
        <v>(NPI)非專投</v>
      </c>
      <c r="L14" s="136" t="str">
        <f ca="1">VLOOKUP(A14,'銀行-TSS'!A:AK,37,FALSE)</f>
        <v>無</v>
      </c>
      <c r="M14" s="136" t="str">
        <f ca="1">VLOOKUP(A14,'銀行-TSS'!A:AN,40,FALSE)</f>
        <v>XFF20 </v>
      </c>
      <c r="N14" s="136">
        <f t="shared" ca="1" si="0"/>
        <v>1022.9</v>
      </c>
      <c r="O14" s="1213">
        <f t="shared" ca="1" si="1"/>
        <v>204580</v>
      </c>
      <c r="P14" s="1213">
        <f ca="1">IF(AND($O$1&gt;=O14,換券單檔!$D$13=D14),I14+INT(($O$1-O14)/N14)*J14,0)</f>
        <v>0</v>
      </c>
      <c r="Q14" s="1213">
        <f t="shared" ca="1" si="2"/>
        <v>0</v>
      </c>
      <c r="R14" s="1213">
        <f t="shared" ca="1" si="43"/>
        <v>0</v>
      </c>
      <c r="S14" s="1213">
        <f t="shared" ca="1" si="44"/>
        <v>0</v>
      </c>
      <c r="T14" s="136">
        <f ca="1">IF(OR(R14=0,A14=0),0,IF(AND(V14=TRUE,換券單檔!$D$13=D14),E14,0))</f>
        <v>0</v>
      </c>
      <c r="U14" s="861">
        <f ca="1">IF(OR(R14=0,A14=0),0,IF(AND(V14=TRUE,換券單檔!$D$13=D14),H14,0))</f>
        <v>0</v>
      </c>
      <c r="V14" s="136" t="b">
        <f ca="1">IF(OR(B14=換券單檔!$D$3,L14="無",M14&lt;&gt;"",K14="高資產",IFERROR(MATCH(B14,換券單檔!K:K,0),"N")&lt;&gt;"N"),FALSE,IF($V$1="All",TRUE,IF(K14=$V$1,TRUE,FALSE)))</f>
        <v>0</v>
      </c>
      <c r="W14" s="136">
        <f ca="1">VLOOKUP(A14,'銀行-TSS'!A:AO,41,FALSE)</f>
        <v>97.990000000000009</v>
      </c>
      <c r="X14" s="136">
        <f ca="1">VLOOKUP(A14,'銀行-TSS'!A:AP,42,FALSE)</f>
        <v>11.747</v>
      </c>
      <c r="Y14" s="1220">
        <f t="shared" ca="1" si="3"/>
        <v>0</v>
      </c>
      <c r="Z14" s="1220">
        <f t="shared" ca="1" si="4"/>
        <v>0</v>
      </c>
      <c r="AA14" s="136">
        <f ca="1">IF(Z14&lt;=0,0,RANK(Z14,Z:Z)+COUNTIF($Z$3:$Z14,Z14)-1)</f>
        <v>0</v>
      </c>
      <c r="AB14" s="1211">
        <f t="shared" ca="1" si="5"/>
        <v>-14896.14</v>
      </c>
      <c r="AC14" s="136">
        <f ca="1">IF(AB14&lt;=0,0,RANK(AB14,AB:AB)+COUNTIF($AB$3:$AB14,AB14)-1)</f>
        <v>0</v>
      </c>
      <c r="AD14" s="1123">
        <f t="shared" ca="1" si="6"/>
        <v>99999</v>
      </c>
      <c r="AE14" s="1123">
        <f ca="1">IF(AD14=99999,0,RANK(AD14,AD:AD,1)+COUNTIF($AD$3:$AD14,AD14)-1)</f>
        <v>0</v>
      </c>
      <c r="AF14" s="86" t="b">
        <f ca="1">IF(OR(M14&lt;&gt;"",L14="無",K14="高資產",IFERROR(MATCH(B14,換券單檔!K:K,0),"N")&lt;&gt;"N"),FALSE,TRUE)</f>
        <v>0</v>
      </c>
      <c r="AI14" s="1212">
        <f t="shared" ca="1" si="7"/>
        <v>0</v>
      </c>
      <c r="AJ14" s="1213">
        <f t="shared" ca="1" si="8"/>
        <v>0</v>
      </c>
      <c r="AK14" s="1587">
        <f t="shared" ca="1" si="9"/>
        <v>0</v>
      </c>
      <c r="AN14" s="1212">
        <f t="shared" ca="1" si="10"/>
        <v>0</v>
      </c>
      <c r="AO14" s="1213">
        <f t="shared" ca="1" si="11"/>
        <v>0</v>
      </c>
      <c r="AP14" s="1587">
        <f t="shared" ca="1" si="12"/>
        <v>0</v>
      </c>
      <c r="AS14" s="1212">
        <f t="shared" ca="1" si="13"/>
        <v>0</v>
      </c>
      <c r="AT14" s="1213">
        <f t="shared" ca="1" si="14"/>
        <v>0</v>
      </c>
      <c r="AU14" s="1587">
        <f t="shared" ca="1" si="15"/>
        <v>0</v>
      </c>
      <c r="AX14" s="1212">
        <f t="shared" ca="1" si="16"/>
        <v>0</v>
      </c>
      <c r="AY14" s="1213">
        <f t="shared" ca="1" si="17"/>
        <v>0</v>
      </c>
      <c r="AZ14" s="1587">
        <f t="shared" ca="1" si="18"/>
        <v>0</v>
      </c>
      <c r="BC14" s="1212">
        <f t="shared" ca="1" si="19"/>
        <v>0</v>
      </c>
      <c r="BD14" s="1213">
        <f t="shared" ca="1" si="20"/>
        <v>0</v>
      </c>
      <c r="BE14" s="1587">
        <f t="shared" ca="1" si="21"/>
        <v>0</v>
      </c>
      <c r="BH14" s="1212">
        <f t="shared" ca="1" si="22"/>
        <v>0</v>
      </c>
      <c r="BI14" s="1213">
        <f t="shared" ca="1" si="23"/>
        <v>0</v>
      </c>
      <c r="BJ14" s="1587">
        <f t="shared" ca="1" si="24"/>
        <v>0</v>
      </c>
      <c r="BM14" s="1212">
        <f t="shared" ca="1" si="25"/>
        <v>0</v>
      </c>
      <c r="BN14" s="1213">
        <f t="shared" ca="1" si="26"/>
        <v>0</v>
      </c>
      <c r="BO14" s="1587">
        <f t="shared" ca="1" si="27"/>
        <v>0</v>
      </c>
      <c r="BR14" s="1212">
        <f t="shared" ca="1" si="28"/>
        <v>0</v>
      </c>
      <c r="BS14" s="1213">
        <f t="shared" ca="1" si="29"/>
        <v>0</v>
      </c>
      <c r="BT14" s="1587">
        <f t="shared" ca="1" si="30"/>
        <v>0</v>
      </c>
      <c r="BW14" s="1212">
        <f t="shared" ca="1" si="31"/>
        <v>0</v>
      </c>
      <c r="BX14" s="1213">
        <f t="shared" ca="1" si="32"/>
        <v>0</v>
      </c>
      <c r="BY14" s="1587">
        <f t="shared" ca="1" si="33"/>
        <v>0</v>
      </c>
      <c r="CB14" s="1212">
        <f t="shared" ca="1" si="34"/>
        <v>0</v>
      </c>
      <c r="CC14" s="1213">
        <f t="shared" ca="1" si="35"/>
        <v>0</v>
      </c>
      <c r="CD14" s="1587">
        <f t="shared" ca="1" si="36"/>
        <v>0</v>
      </c>
      <c r="CG14" s="1212">
        <f t="shared" ca="1" si="37"/>
        <v>0</v>
      </c>
      <c r="CH14" s="1213">
        <f t="shared" ca="1" si="38"/>
        <v>0</v>
      </c>
      <c r="CI14" s="1587">
        <f t="shared" ca="1" si="39"/>
        <v>0</v>
      </c>
      <c r="CL14" s="1212">
        <f t="shared" ca="1" si="40"/>
        <v>0</v>
      </c>
      <c r="CM14" s="1213">
        <f t="shared" ca="1" si="41"/>
        <v>0</v>
      </c>
      <c r="CN14" s="1587">
        <f t="shared" ca="1" si="42"/>
        <v>0</v>
      </c>
    </row>
    <row r="15" spans="1:92">
      <c r="A15" s="141" t="str">
        <f>'銀行-TSS'!A15</f>
        <v>XS1291352711</v>
      </c>
      <c r="B15" s="151" t="str">
        <f ca="1">VLOOKUP(A15,'銀行-TSS'!A:B,2,FALSE)</f>
        <v>OAZ20</v>
      </c>
      <c r="C15" s="151" t="str">
        <f ca="1">VLOOKUP(B15,bond!B:C,2,FALSE)</f>
        <v>西班牙國際銀行英國控股公司美元配息債券 5.625% 2045/9/15</v>
      </c>
      <c r="D15" s="95" t="str">
        <f>VLOOKUP(A15,'銀行-TSS'!A:C,3,FALSE)</f>
        <v>USD</v>
      </c>
      <c r="E15" s="90">
        <f ca="1">VLOOKUP(A15,'銀行-TSS'!A:G,7,FALSE)</f>
        <v>21.2</v>
      </c>
      <c r="F15" s="202">
        <f ca="1">VLOOKUP(A15,'銀行-TSS'!A:H,8,FALSE)</f>
        <v>5.6250000000000001E-2</v>
      </c>
      <c r="G15" s="96">
        <f ca="1">VLOOKUP(A15,'銀行-TSS'!A:K,11,FALSE)</f>
        <v>89.85</v>
      </c>
      <c r="H15" s="1209">
        <f ca="1">VLOOKUP(A15,'銀行-TSS'!A:M,13,FALSE)</f>
        <v>6.6799999999999998E-2</v>
      </c>
      <c r="I15" s="1213">
        <f ca="1">VLOOKUP(A15,'銀行-TSS'!A:N,14,FALSE)</f>
        <v>200000</v>
      </c>
      <c r="J15" s="1213">
        <f ca="1">VLOOKUP(A15,'銀行-TSS'!A:O,15,FALSE)</f>
        <v>1000</v>
      </c>
      <c r="K15" s="136" t="str">
        <f ca="1">VLOOKUP(A15,'銀行-TSS'!A:V,22,FALSE)</f>
        <v>(PI)專投</v>
      </c>
      <c r="L15" s="136" t="str">
        <f ca="1">VLOOKUP(A15,'銀行-TSS'!A:AK,37,FALSE)</f>
        <v>需查詢</v>
      </c>
      <c r="M15" s="136" t="str">
        <f ca="1">VLOOKUP(A15,'銀行-TSS'!A:AN,40,FALSE)</f>
        <v>OAZ20</v>
      </c>
      <c r="N15" s="136">
        <f t="shared" ca="1" si="0"/>
        <v>898.5</v>
      </c>
      <c r="O15" s="1213">
        <f t="shared" ca="1" si="1"/>
        <v>179700</v>
      </c>
      <c r="P15" s="1213">
        <f ca="1">IF(AND($O$1&gt;=O15,換券單檔!$D$13=D15),I15+INT(($O$1-O15)/N15)*J15,0)</f>
        <v>0</v>
      </c>
      <c r="Q15" s="1213">
        <f t="shared" ca="1" si="2"/>
        <v>0</v>
      </c>
      <c r="R15" s="1213">
        <f t="shared" ca="1" si="43"/>
        <v>0</v>
      </c>
      <c r="S15" s="1213">
        <f t="shared" ca="1" si="44"/>
        <v>0</v>
      </c>
      <c r="T15" s="136">
        <f ca="1">IF(OR(R15=0,A15=0),0,IF(AND(V15=TRUE,換券單檔!$D$13=D15),E15,0))</f>
        <v>0</v>
      </c>
      <c r="U15" s="861">
        <f ca="1">IF(OR(R15=0,A15=0),0,IF(AND(V15=TRUE,換券單檔!$D$13=D15),H15,0))</f>
        <v>0</v>
      </c>
      <c r="V15" s="136" t="b">
        <f ca="1">IF(OR(B15=換券單檔!$D$3,L15="無",M15&lt;&gt;"",K15="高資產",IFERROR(MATCH(B15,換券單檔!K:K,0),"N")&lt;&gt;"N"),FALSE,IF($V$1="All",TRUE,IF(K15=$V$1,TRUE,FALSE)))</f>
        <v>0</v>
      </c>
      <c r="W15" s="136">
        <f ca="1">VLOOKUP(A15,'銀行-TSS'!A:AO,41,FALSE)</f>
        <v>84.16</v>
      </c>
      <c r="X15" s="136">
        <f ca="1">VLOOKUP(A15,'銀行-TSS'!A:AP,42,FALSE)</f>
        <v>11.256500000000001</v>
      </c>
      <c r="Y15" s="1220">
        <f t="shared" ca="1" si="3"/>
        <v>0</v>
      </c>
      <c r="Z15" s="1220">
        <f t="shared" ca="1" si="4"/>
        <v>0</v>
      </c>
      <c r="AA15" s="136">
        <f ca="1">IF(Z15&lt;=0,0,RANK(Z15,Z:Z)+COUNTIF($Z$3:$Z15,Z15)-1)</f>
        <v>0</v>
      </c>
      <c r="AB15" s="1211">
        <f t="shared" ca="1" si="5"/>
        <v>-14896.14</v>
      </c>
      <c r="AC15" s="136">
        <f ca="1">IF(AB15&lt;=0,0,RANK(AB15,AB:AB)+COUNTIF($AB$3:$AB15,AB15)-1)</f>
        <v>0</v>
      </c>
      <c r="AD15" s="1123">
        <f t="shared" ca="1" si="6"/>
        <v>99999</v>
      </c>
      <c r="AE15" s="1123">
        <f ca="1">IF(AD15=99999,0,RANK(AD15,AD:AD,1)+COUNTIF($AD$3:$AD15,AD15)-1)</f>
        <v>0</v>
      </c>
      <c r="AF15" s="86" t="b">
        <f ca="1">IF(OR(M15&lt;&gt;"",L15="無",K15="高資產",IFERROR(MATCH(B15,換券單檔!K:K,0),"N")&lt;&gt;"N"),FALSE,TRUE)</f>
        <v>0</v>
      </c>
      <c r="AI15" s="1212">
        <f t="shared" ca="1" si="7"/>
        <v>0</v>
      </c>
      <c r="AJ15" s="1213">
        <f t="shared" ca="1" si="8"/>
        <v>0</v>
      </c>
      <c r="AK15" s="1587">
        <f t="shared" ca="1" si="9"/>
        <v>0</v>
      </c>
      <c r="AN15" s="1212">
        <f t="shared" ca="1" si="10"/>
        <v>0</v>
      </c>
      <c r="AO15" s="1213">
        <f t="shared" ca="1" si="11"/>
        <v>0</v>
      </c>
      <c r="AP15" s="1587">
        <f t="shared" ca="1" si="12"/>
        <v>0</v>
      </c>
      <c r="AS15" s="1212">
        <f t="shared" ca="1" si="13"/>
        <v>0</v>
      </c>
      <c r="AT15" s="1213">
        <f t="shared" ca="1" si="14"/>
        <v>0</v>
      </c>
      <c r="AU15" s="1587">
        <f t="shared" ca="1" si="15"/>
        <v>0</v>
      </c>
      <c r="AX15" s="1212">
        <f t="shared" ca="1" si="16"/>
        <v>0</v>
      </c>
      <c r="AY15" s="1213">
        <f t="shared" ca="1" si="17"/>
        <v>0</v>
      </c>
      <c r="AZ15" s="1587">
        <f t="shared" ca="1" si="18"/>
        <v>0</v>
      </c>
      <c r="BC15" s="1212">
        <f t="shared" ca="1" si="19"/>
        <v>0</v>
      </c>
      <c r="BD15" s="1213">
        <f t="shared" ca="1" si="20"/>
        <v>0</v>
      </c>
      <c r="BE15" s="1587">
        <f t="shared" ca="1" si="21"/>
        <v>0</v>
      </c>
      <c r="BH15" s="1212">
        <f t="shared" ca="1" si="22"/>
        <v>0</v>
      </c>
      <c r="BI15" s="1213">
        <f t="shared" ca="1" si="23"/>
        <v>0</v>
      </c>
      <c r="BJ15" s="1587">
        <f t="shared" ca="1" si="24"/>
        <v>0</v>
      </c>
      <c r="BM15" s="1212">
        <f t="shared" ca="1" si="25"/>
        <v>0</v>
      </c>
      <c r="BN15" s="1213">
        <f t="shared" ca="1" si="26"/>
        <v>0</v>
      </c>
      <c r="BO15" s="1587">
        <f t="shared" ca="1" si="27"/>
        <v>0</v>
      </c>
      <c r="BR15" s="1212">
        <f t="shared" ca="1" si="28"/>
        <v>0</v>
      </c>
      <c r="BS15" s="1213">
        <f t="shared" ca="1" si="29"/>
        <v>0</v>
      </c>
      <c r="BT15" s="1587">
        <f t="shared" ca="1" si="30"/>
        <v>0</v>
      </c>
      <c r="BW15" s="1212">
        <f t="shared" ca="1" si="31"/>
        <v>0</v>
      </c>
      <c r="BX15" s="1213">
        <f t="shared" ca="1" si="32"/>
        <v>0</v>
      </c>
      <c r="BY15" s="1587">
        <f t="shared" ca="1" si="33"/>
        <v>0</v>
      </c>
      <c r="CB15" s="1212">
        <f t="shared" ca="1" si="34"/>
        <v>0</v>
      </c>
      <c r="CC15" s="1213">
        <f t="shared" ca="1" si="35"/>
        <v>0</v>
      </c>
      <c r="CD15" s="1587">
        <f t="shared" ca="1" si="36"/>
        <v>0</v>
      </c>
      <c r="CG15" s="1212">
        <f t="shared" ca="1" si="37"/>
        <v>0</v>
      </c>
      <c r="CH15" s="1213">
        <f t="shared" ca="1" si="38"/>
        <v>0</v>
      </c>
      <c r="CI15" s="1587">
        <f t="shared" ca="1" si="39"/>
        <v>0</v>
      </c>
      <c r="CL15" s="1212">
        <f t="shared" ca="1" si="40"/>
        <v>0</v>
      </c>
      <c r="CM15" s="1213">
        <f t="shared" ca="1" si="41"/>
        <v>0</v>
      </c>
      <c r="CN15" s="1587">
        <f t="shared" ca="1" si="42"/>
        <v>0</v>
      </c>
    </row>
    <row r="16" spans="1:92">
      <c r="A16" s="141" t="str">
        <f>'銀行-TSS'!A16</f>
        <v>XS0082826255</v>
      </c>
      <c r="B16" s="151" t="str">
        <f ca="1">VLOOKUP(A16,'銀行-TSS'!A:B,2,FALSE)</f>
        <v>XFE90</v>
      </c>
      <c r="C16" s="151" t="str">
        <f ca="1">VLOOKUP(B16,bond!B:C,2,FALSE)</f>
        <v>歐洲復興開發銀行南非幣零息債券 0% 2028/12/29</v>
      </c>
      <c r="D16" s="95" t="str">
        <f>VLOOKUP(A16,'銀行-TSS'!A:C,3,FALSE)</f>
        <v>ZAR</v>
      </c>
      <c r="E16" s="90">
        <f ca="1">VLOOKUP(A16,'銀行-TSS'!A:G,7,FALSE)</f>
        <v>4.49</v>
      </c>
      <c r="F16" s="202">
        <f ca="1">VLOOKUP(A16,'銀行-TSS'!A:H,8,FALSE)</f>
        <v>0</v>
      </c>
      <c r="G16" s="96">
        <f ca="1">VLOOKUP(A16,'銀行-TSS'!A:K,11,FALSE)</f>
        <v>72.069999999999993</v>
      </c>
      <c r="H16" s="1209">
        <f ca="1">VLOOKUP(A16,'銀行-TSS'!A:M,13,FALSE)</f>
        <v>7.5700000000000003E-2</v>
      </c>
      <c r="I16" s="1213">
        <f ca="1">VLOOKUP(A16,'銀行-TSS'!A:N,14,FALSE)</f>
        <v>100000</v>
      </c>
      <c r="J16" s="1213">
        <f ca="1">VLOOKUP(A16,'銀行-TSS'!A:O,15,FALSE)</f>
        <v>50000</v>
      </c>
      <c r="K16" s="136" t="str">
        <f ca="1">VLOOKUP(A16,'銀行-TSS'!A:V,22,FALSE)</f>
        <v>(NPI)非專投</v>
      </c>
      <c r="L16" s="136" t="str">
        <f ca="1">VLOOKUP(A16,'銀行-TSS'!A:AK,37,FALSE)</f>
        <v>無</v>
      </c>
      <c r="M16" s="136" t="str">
        <f ca="1">VLOOKUP(A16,'銀行-TSS'!A:AN,40,FALSE)</f>
        <v>XFE90</v>
      </c>
      <c r="N16" s="136">
        <f t="shared" ca="1" si="0"/>
        <v>36034.999999999993</v>
      </c>
      <c r="O16" s="1213">
        <f t="shared" ca="1" si="1"/>
        <v>72069.999999999985</v>
      </c>
      <c r="P16" s="1213">
        <f ca="1">IF(AND($O$1&gt;=O16,換券單檔!$D$13=D16),I16+INT(($O$1-O16)/N16)*J16,0)</f>
        <v>0</v>
      </c>
      <c r="Q16" s="1213">
        <f t="shared" ca="1" si="2"/>
        <v>0</v>
      </c>
      <c r="R16" s="1213">
        <f t="shared" ca="1" si="43"/>
        <v>0</v>
      </c>
      <c r="S16" s="1213">
        <f t="shared" ca="1" si="44"/>
        <v>0</v>
      </c>
      <c r="T16" s="136">
        <f ca="1">IF(OR(R16=0,A16=0),0,IF(AND(V16=TRUE,換券單檔!$D$13=D16),E16,0))</f>
        <v>0</v>
      </c>
      <c r="U16" s="861">
        <f ca="1">IF(OR(R16=0,A16=0),0,IF(AND(V16=TRUE,換券單檔!$D$13=D16),H16,0))</f>
        <v>0</v>
      </c>
      <c r="V16" s="136" t="b">
        <f ca="1">IF(OR(B16=換券單檔!$D$3,L16="無",M16&lt;&gt;"",K16="高資產",IFERROR(MATCH(B16,換券單檔!K:K,0),"N")&lt;&gt;"N"),FALSE,IF($V$1="All",TRUE,IF(K16=$V$1,TRUE,FALSE)))</f>
        <v>0</v>
      </c>
      <c r="W16" s="136">
        <f ca="1">VLOOKUP(A16,'銀行-TSS'!A:AO,41,FALSE)</f>
        <v>70.070000000000007</v>
      </c>
      <c r="X16" s="136">
        <f ca="1">VLOOKUP(A16,'銀行-TSS'!A:AP,42,FALSE)</f>
        <v>4.3151999999999999</v>
      </c>
      <c r="Y16" s="1220">
        <f t="shared" ca="1" si="3"/>
        <v>0</v>
      </c>
      <c r="Z16" s="1220">
        <f t="shared" ca="1" si="4"/>
        <v>0</v>
      </c>
      <c r="AA16" s="136">
        <f ca="1">IF(Z16&lt;=0,0,RANK(Z16,Z:Z)+COUNTIF($Z$3:$Z16,Z16)-1)</f>
        <v>0</v>
      </c>
      <c r="AB16" s="1211">
        <f t="shared" ca="1" si="5"/>
        <v>-14896.14</v>
      </c>
      <c r="AC16" s="136">
        <f ca="1">IF(AB16&lt;=0,0,RANK(AB16,AB:AB)+COUNTIF($AB$3:$AB16,AB16)-1)</f>
        <v>0</v>
      </c>
      <c r="AD16" s="1123">
        <f t="shared" ca="1" si="6"/>
        <v>99999</v>
      </c>
      <c r="AE16" s="1123">
        <f ca="1">IF(AD16=99999,0,RANK(AD16,AD:AD,1)+COUNTIF($AD$3:$AD16,AD16)-1)</f>
        <v>0</v>
      </c>
      <c r="AF16" s="86" t="b">
        <f ca="1">IF(OR(M16&lt;&gt;"",L16="無",K16="高資產",IFERROR(MATCH(B16,換券單檔!K:K,0),"N")&lt;&gt;"N"),FALSE,TRUE)</f>
        <v>0</v>
      </c>
      <c r="AI16" s="1212">
        <f t="shared" ca="1" si="7"/>
        <v>0</v>
      </c>
      <c r="AJ16" s="1213">
        <f t="shared" ca="1" si="8"/>
        <v>0</v>
      </c>
      <c r="AK16" s="1587">
        <f t="shared" ca="1" si="9"/>
        <v>0</v>
      </c>
      <c r="AN16" s="1212">
        <f t="shared" ca="1" si="10"/>
        <v>0</v>
      </c>
      <c r="AO16" s="1213">
        <f t="shared" ca="1" si="11"/>
        <v>0</v>
      </c>
      <c r="AP16" s="1587">
        <f t="shared" ca="1" si="12"/>
        <v>0</v>
      </c>
      <c r="AS16" s="1212">
        <f t="shared" ca="1" si="13"/>
        <v>0</v>
      </c>
      <c r="AT16" s="1213">
        <f t="shared" ca="1" si="14"/>
        <v>0</v>
      </c>
      <c r="AU16" s="1587">
        <f t="shared" ca="1" si="15"/>
        <v>0</v>
      </c>
      <c r="AX16" s="1212">
        <f t="shared" ca="1" si="16"/>
        <v>0</v>
      </c>
      <c r="AY16" s="1213">
        <f t="shared" ca="1" si="17"/>
        <v>0</v>
      </c>
      <c r="AZ16" s="1587">
        <f t="shared" ca="1" si="18"/>
        <v>0</v>
      </c>
      <c r="BC16" s="1212">
        <f t="shared" ca="1" si="19"/>
        <v>0</v>
      </c>
      <c r="BD16" s="1213">
        <f t="shared" ca="1" si="20"/>
        <v>0</v>
      </c>
      <c r="BE16" s="1587">
        <f t="shared" ca="1" si="21"/>
        <v>0</v>
      </c>
      <c r="BH16" s="1212">
        <f t="shared" ca="1" si="22"/>
        <v>0</v>
      </c>
      <c r="BI16" s="1213">
        <f t="shared" ca="1" si="23"/>
        <v>0</v>
      </c>
      <c r="BJ16" s="1587">
        <f t="shared" ca="1" si="24"/>
        <v>0</v>
      </c>
      <c r="BM16" s="1212">
        <f t="shared" ca="1" si="25"/>
        <v>0</v>
      </c>
      <c r="BN16" s="1213">
        <f t="shared" ca="1" si="26"/>
        <v>0</v>
      </c>
      <c r="BO16" s="1587">
        <f t="shared" ca="1" si="27"/>
        <v>0</v>
      </c>
      <c r="BR16" s="1212">
        <f t="shared" ca="1" si="28"/>
        <v>0</v>
      </c>
      <c r="BS16" s="1213">
        <f t="shared" ca="1" si="29"/>
        <v>0</v>
      </c>
      <c r="BT16" s="1587">
        <f t="shared" ca="1" si="30"/>
        <v>0</v>
      </c>
      <c r="BW16" s="1212">
        <f t="shared" ca="1" si="31"/>
        <v>0</v>
      </c>
      <c r="BX16" s="1213">
        <f t="shared" ca="1" si="32"/>
        <v>0</v>
      </c>
      <c r="BY16" s="1587">
        <f t="shared" ca="1" si="33"/>
        <v>0</v>
      </c>
      <c r="CB16" s="1212">
        <f t="shared" ca="1" si="34"/>
        <v>0</v>
      </c>
      <c r="CC16" s="1213">
        <f t="shared" ca="1" si="35"/>
        <v>0</v>
      </c>
      <c r="CD16" s="1587">
        <f t="shared" ca="1" si="36"/>
        <v>0</v>
      </c>
      <c r="CG16" s="1212">
        <f t="shared" ca="1" si="37"/>
        <v>0</v>
      </c>
      <c r="CH16" s="1213">
        <f t="shared" ca="1" si="38"/>
        <v>0</v>
      </c>
      <c r="CI16" s="1587">
        <f t="shared" ca="1" si="39"/>
        <v>0</v>
      </c>
      <c r="CL16" s="1212">
        <f t="shared" ca="1" si="40"/>
        <v>0</v>
      </c>
      <c r="CM16" s="1213">
        <f t="shared" ca="1" si="41"/>
        <v>0</v>
      </c>
      <c r="CN16" s="1587">
        <f t="shared" ca="1" si="42"/>
        <v>0</v>
      </c>
    </row>
    <row r="17" spans="1:92">
      <c r="A17" s="141" t="str">
        <f>'銀行-TSS'!A17</f>
        <v>US056752AG38</v>
      </c>
      <c r="B17" s="151" t="str">
        <f ca="1">VLOOKUP(A17,'銀行-TSS'!A:B,2,FALSE)</f>
        <v>XFF40</v>
      </c>
      <c r="C17" s="151" t="str">
        <f ca="1">VLOOKUP(B17,bond!B:C,2,FALSE)</f>
        <v>百度公司美元配息債券 4.125% 2025/6/30</v>
      </c>
      <c r="D17" s="95" t="str">
        <f>VLOOKUP(A17,'銀行-TSS'!A:C,3,FALSE)</f>
        <v>USD</v>
      </c>
      <c r="E17" s="90">
        <f ca="1">VLOOKUP(A17,'銀行-TSS'!A:G,7,FALSE)</f>
        <v>0.99</v>
      </c>
      <c r="F17" s="202">
        <f ca="1">VLOOKUP(A17,'銀行-TSS'!A:H,8,FALSE)</f>
        <v>4.1250000000000002E-2</v>
      </c>
      <c r="G17" s="96">
        <f ca="1">VLOOKUP(A17,'銀行-TSS'!A:K,11,FALSE)</f>
        <v>100.07</v>
      </c>
      <c r="H17" s="1209">
        <f ca="1">VLOOKUP(A17,'銀行-TSS'!A:M,13,FALSE)</f>
        <v>4.07E-2</v>
      </c>
      <c r="I17" s="1213">
        <f ca="1">VLOOKUP(A17,'銀行-TSS'!A:N,14,FALSE)</f>
        <v>200000</v>
      </c>
      <c r="J17" s="1213">
        <f ca="1">VLOOKUP(A17,'銀行-TSS'!A:O,15,FALSE)</f>
        <v>1000</v>
      </c>
      <c r="K17" s="136" t="str">
        <f ca="1">VLOOKUP(A17,'銀行-TSS'!A:V,22,FALSE)</f>
        <v>(NPI)非專投</v>
      </c>
      <c r="L17" s="136" t="str">
        <f ca="1">VLOOKUP(A17,'銀行-TSS'!A:AK,37,FALSE)</f>
        <v>無</v>
      </c>
      <c r="M17" s="136" t="str">
        <f ca="1">VLOOKUP(A17,'銀行-TSS'!A:AN,40,FALSE)</f>
        <v>XFF40</v>
      </c>
      <c r="N17" s="136">
        <f t="shared" ca="1" si="0"/>
        <v>1000.7</v>
      </c>
      <c r="O17" s="1213">
        <f t="shared" ca="1" si="1"/>
        <v>200140</v>
      </c>
      <c r="P17" s="1213">
        <f ca="1">IF(AND($O$1&gt;=O17,換券單檔!$D$13=D17),I17+INT(($O$1-O17)/N17)*J17,0)</f>
        <v>0</v>
      </c>
      <c r="Q17" s="1213">
        <f t="shared" ca="1" si="2"/>
        <v>0</v>
      </c>
      <c r="R17" s="1213">
        <f t="shared" ca="1" si="43"/>
        <v>0</v>
      </c>
      <c r="S17" s="1213">
        <f t="shared" ca="1" si="44"/>
        <v>0</v>
      </c>
      <c r="T17" s="136">
        <f ca="1">IF(OR(R17=0,A17=0),0,IF(AND(V17=TRUE,換券單檔!$D$13=D17),E17,0))</f>
        <v>0</v>
      </c>
      <c r="U17" s="861">
        <f ca="1">IF(OR(R17=0,A17=0),0,IF(AND(V17=TRUE,換券單檔!$D$13=D17),H17,0))</f>
        <v>0</v>
      </c>
      <c r="V17" s="136" t="b">
        <f ca="1">IF(OR(B17=換券單檔!$D$3,L17="無",M17&lt;&gt;"",K17="高資產",IFERROR(MATCH(B17,換券單檔!K:K,0),"N")&lt;&gt;"N"),FALSE,IF($V$1="All",TRUE,IF(K17=$V$1,TRUE,FALSE)))</f>
        <v>0</v>
      </c>
      <c r="W17" s="136">
        <f ca="1">VLOOKUP(A17,'銀行-TSS'!A:AO,41,FALSE)</f>
        <v>99.050000000000011</v>
      </c>
      <c r="X17" s="136">
        <f ca="1">VLOOKUP(A17,'銀行-TSS'!A:AP,42,FALSE)</f>
        <v>0.96120000000000005</v>
      </c>
      <c r="Y17" s="1220">
        <f t="shared" ca="1" si="3"/>
        <v>0</v>
      </c>
      <c r="Z17" s="1220">
        <f t="shared" ca="1" si="4"/>
        <v>0</v>
      </c>
      <c r="AA17" s="136">
        <f ca="1">IF(Z17&lt;=0,0,RANK(Z17,Z:Z)+COUNTIF($Z$3:$Z17,Z17)-1)</f>
        <v>0</v>
      </c>
      <c r="AB17" s="1211">
        <f t="shared" ca="1" si="5"/>
        <v>-14896.14</v>
      </c>
      <c r="AC17" s="136">
        <f ca="1">IF(AB17&lt;=0,0,RANK(AB17,AB:AB)+COUNTIF($AB$3:$AB17,AB17)-1)</f>
        <v>0</v>
      </c>
      <c r="AD17" s="1123">
        <f t="shared" ca="1" si="6"/>
        <v>99999</v>
      </c>
      <c r="AE17" s="1123">
        <f ca="1">IF(AD17=99999,0,RANK(AD17,AD:AD,1)+COUNTIF($AD$3:$AD17,AD17)-1)</f>
        <v>0</v>
      </c>
      <c r="AF17" s="86" t="b">
        <f ca="1">IF(OR(M17&lt;&gt;"",L17="無",K17="高資產",IFERROR(MATCH(B17,換券單檔!K:K,0),"N")&lt;&gt;"N"),FALSE,TRUE)</f>
        <v>0</v>
      </c>
      <c r="AI17" s="1212">
        <f t="shared" ca="1" si="7"/>
        <v>0</v>
      </c>
      <c r="AJ17" s="1213">
        <f t="shared" ca="1" si="8"/>
        <v>0</v>
      </c>
      <c r="AK17" s="1587">
        <f t="shared" ca="1" si="9"/>
        <v>0</v>
      </c>
      <c r="AN17" s="1212">
        <f t="shared" ca="1" si="10"/>
        <v>0</v>
      </c>
      <c r="AO17" s="1213">
        <f t="shared" ca="1" si="11"/>
        <v>0</v>
      </c>
      <c r="AP17" s="1587">
        <f t="shared" ca="1" si="12"/>
        <v>0</v>
      </c>
      <c r="AS17" s="1212">
        <f t="shared" ca="1" si="13"/>
        <v>0</v>
      </c>
      <c r="AT17" s="1213">
        <f t="shared" ca="1" si="14"/>
        <v>0</v>
      </c>
      <c r="AU17" s="1587">
        <f t="shared" ca="1" si="15"/>
        <v>0</v>
      </c>
      <c r="AX17" s="1212">
        <f t="shared" ca="1" si="16"/>
        <v>0</v>
      </c>
      <c r="AY17" s="1213">
        <f t="shared" ca="1" si="17"/>
        <v>0</v>
      </c>
      <c r="AZ17" s="1587">
        <f t="shared" ca="1" si="18"/>
        <v>0</v>
      </c>
      <c r="BC17" s="1212">
        <f t="shared" ca="1" si="19"/>
        <v>0</v>
      </c>
      <c r="BD17" s="1213">
        <f t="shared" ca="1" si="20"/>
        <v>0</v>
      </c>
      <c r="BE17" s="1587">
        <f t="shared" ca="1" si="21"/>
        <v>0</v>
      </c>
      <c r="BH17" s="1212">
        <f t="shared" ca="1" si="22"/>
        <v>0</v>
      </c>
      <c r="BI17" s="1213">
        <f t="shared" ca="1" si="23"/>
        <v>0</v>
      </c>
      <c r="BJ17" s="1587">
        <f t="shared" ca="1" si="24"/>
        <v>0</v>
      </c>
      <c r="BM17" s="1212">
        <f t="shared" ca="1" si="25"/>
        <v>0</v>
      </c>
      <c r="BN17" s="1213">
        <f t="shared" ca="1" si="26"/>
        <v>0</v>
      </c>
      <c r="BO17" s="1587">
        <f t="shared" ca="1" si="27"/>
        <v>0</v>
      </c>
      <c r="BR17" s="1212">
        <f t="shared" ca="1" si="28"/>
        <v>0</v>
      </c>
      <c r="BS17" s="1213">
        <f t="shared" ca="1" si="29"/>
        <v>0</v>
      </c>
      <c r="BT17" s="1587">
        <f t="shared" ca="1" si="30"/>
        <v>0</v>
      </c>
      <c r="BW17" s="1212">
        <f t="shared" ca="1" si="31"/>
        <v>0</v>
      </c>
      <c r="BX17" s="1213">
        <f t="shared" ca="1" si="32"/>
        <v>0</v>
      </c>
      <c r="BY17" s="1587">
        <f t="shared" ca="1" si="33"/>
        <v>0</v>
      </c>
      <c r="CB17" s="1212">
        <f t="shared" ca="1" si="34"/>
        <v>0</v>
      </c>
      <c r="CC17" s="1213">
        <f t="shared" ca="1" si="35"/>
        <v>0</v>
      </c>
      <c r="CD17" s="1587">
        <f t="shared" ca="1" si="36"/>
        <v>0</v>
      </c>
      <c r="CG17" s="1212">
        <f t="shared" ca="1" si="37"/>
        <v>0</v>
      </c>
      <c r="CH17" s="1213">
        <f t="shared" ca="1" si="38"/>
        <v>0</v>
      </c>
      <c r="CI17" s="1587">
        <f t="shared" ca="1" si="39"/>
        <v>0</v>
      </c>
      <c r="CL17" s="1212">
        <f t="shared" ca="1" si="40"/>
        <v>0</v>
      </c>
      <c r="CM17" s="1213">
        <f t="shared" ca="1" si="41"/>
        <v>0</v>
      </c>
      <c r="CN17" s="1587">
        <f t="shared" ca="1" si="42"/>
        <v>0</v>
      </c>
    </row>
    <row r="18" spans="1:92">
      <c r="A18" s="141" t="str">
        <f>'銀行-TSS'!A18</f>
        <v>US81180WAL54</v>
      </c>
      <c r="B18" s="151" t="str">
        <f ca="1">VLOOKUP(A18,'銀行-TSS'!A:B,2,FALSE)</f>
        <v>XFF50</v>
      </c>
      <c r="C18" s="151" t="str">
        <f ca="1">VLOOKUP(B18,bond!B:C,2,FALSE)</f>
        <v>希捷硬碟美元配息債券 4.75% 2025/1/1</v>
      </c>
      <c r="D18" s="95" t="str">
        <f>VLOOKUP(A18,'銀行-TSS'!A:C,3,FALSE)</f>
        <v>USD</v>
      </c>
      <c r="E18" s="90">
        <f ca="1">VLOOKUP(A18,'銀行-TSS'!A:G,7,FALSE)</f>
        <v>0.5</v>
      </c>
      <c r="F18" s="202">
        <f ca="1">VLOOKUP(A18,'銀行-TSS'!A:H,8,FALSE)</f>
        <v>4.7500000000000001E-2</v>
      </c>
      <c r="G18" s="96">
        <f ca="1">VLOOKUP(A18,'銀行-TSS'!A:K,11,FALSE)</f>
        <v>101.77</v>
      </c>
      <c r="H18" s="1209">
        <f ca="1">VLOOKUP(A18,'銀行-TSS'!A:M,13,FALSE)</f>
        <v>1.1900000000000001E-2</v>
      </c>
      <c r="I18" s="1213">
        <f ca="1">VLOOKUP(A18,'銀行-TSS'!A:N,14,FALSE)</f>
        <v>10000</v>
      </c>
      <c r="J18" s="1213">
        <f ca="1">VLOOKUP(A18,'銀行-TSS'!A:O,15,FALSE)</f>
        <v>1000</v>
      </c>
      <c r="K18" s="136" t="str">
        <f ca="1">VLOOKUP(A18,'銀行-TSS'!A:V,22,FALSE)</f>
        <v>(PI)專投</v>
      </c>
      <c r="L18" s="136" t="str">
        <f ca="1">VLOOKUP(A18,'銀行-TSS'!A:AK,37,FALSE)</f>
        <v>有</v>
      </c>
      <c r="M18" s="136" t="str">
        <f ca="1">VLOOKUP(A18,'銀行-TSS'!A:AN,40,FALSE)</f>
        <v>XFF50</v>
      </c>
      <c r="N18" s="136">
        <f t="shared" ca="1" si="0"/>
        <v>1017.7</v>
      </c>
      <c r="O18" s="1213">
        <f t="shared" ca="1" si="1"/>
        <v>10177</v>
      </c>
      <c r="P18" s="1213">
        <f ca="1">IF(AND($O$1&gt;=O18,換券單檔!$D$13=D18),I18+INT(($O$1-O18)/N18)*J18,0)</f>
        <v>95000</v>
      </c>
      <c r="Q18" s="1213">
        <f t="shared" ca="1" si="2"/>
        <v>4512.5</v>
      </c>
      <c r="R18" s="1213">
        <f t="shared" ca="1" si="43"/>
        <v>0</v>
      </c>
      <c r="S18" s="1213">
        <f t="shared" ca="1" si="44"/>
        <v>0</v>
      </c>
      <c r="T18" s="136">
        <f ca="1">IF(OR(R18=0,A18=0),0,IF(AND(V18=TRUE,換券單檔!$D$13=D18),E18,0))</f>
        <v>0</v>
      </c>
      <c r="U18" s="861">
        <f ca="1">IF(OR(R18=0,A18=0),0,IF(AND(V18=TRUE,換券單檔!$D$13=D18),H18,0))</f>
        <v>0</v>
      </c>
      <c r="V18" s="136" t="b">
        <f ca="1">IF(OR(B18=換券單檔!$D$3,L18="無",M18&lt;&gt;"",K18="高資產",IFERROR(MATCH(B18,換券單檔!K:K,0),"N")&lt;&gt;"N"),FALSE,IF($V$1="All",TRUE,IF(K18=$V$1,TRUE,FALSE)))</f>
        <v>0</v>
      </c>
      <c r="W18" s="136">
        <f ca="1">VLOOKUP(A18,'銀行-TSS'!A:AO,41,FALSE)</f>
        <v>99.76</v>
      </c>
      <c r="X18" s="136">
        <f ca="1">VLOOKUP(A18,'銀行-TSS'!A:AP,42,FALSE)</f>
        <v>0.48780000000000001</v>
      </c>
      <c r="Y18" s="1220">
        <f t="shared" ca="1" si="3"/>
        <v>0</v>
      </c>
      <c r="Z18" s="1220">
        <f t="shared" ca="1" si="4"/>
        <v>0</v>
      </c>
      <c r="AA18" s="136">
        <f ca="1">IF(Z18&lt;=0,0,RANK(Z18,Z:Z)+COUNTIF($Z$3:$Z18,Z18)-1)</f>
        <v>0</v>
      </c>
      <c r="AB18" s="1211">
        <f t="shared" ca="1" si="5"/>
        <v>-14896.14</v>
      </c>
      <c r="AC18" s="136">
        <f ca="1">IF(AB18&lt;=0,0,RANK(AB18,AB:AB)+COUNTIF($AB$3:$AB18,AB18)-1)</f>
        <v>0</v>
      </c>
      <c r="AD18" s="1123">
        <f t="shared" ca="1" si="6"/>
        <v>99999</v>
      </c>
      <c r="AE18" s="1123">
        <f ca="1">IF(AD18=99999,0,RANK(AD18,AD:AD,1)+COUNTIF($AD$3:$AD18,AD18)-1)</f>
        <v>0</v>
      </c>
      <c r="AF18" s="86" t="b">
        <f ca="1">IF(OR(M18&lt;&gt;"",L18="無",K18="高資產",IFERROR(MATCH(B18,換券單檔!K:K,0),"N")&lt;&gt;"N"),FALSE,TRUE)</f>
        <v>0</v>
      </c>
      <c r="AI18" s="1212">
        <f t="shared" ca="1" si="7"/>
        <v>0</v>
      </c>
      <c r="AJ18" s="1213">
        <f t="shared" ca="1" si="8"/>
        <v>0</v>
      </c>
      <c r="AK18" s="1587">
        <f t="shared" ca="1" si="9"/>
        <v>0</v>
      </c>
      <c r="AN18" s="1212">
        <f t="shared" ca="1" si="10"/>
        <v>0</v>
      </c>
      <c r="AO18" s="1213">
        <f t="shared" ca="1" si="11"/>
        <v>0</v>
      </c>
      <c r="AP18" s="1587">
        <f t="shared" ca="1" si="12"/>
        <v>0</v>
      </c>
      <c r="AS18" s="1212">
        <f t="shared" ca="1" si="13"/>
        <v>0</v>
      </c>
      <c r="AT18" s="1213">
        <f t="shared" ca="1" si="14"/>
        <v>0</v>
      </c>
      <c r="AU18" s="1587">
        <f t="shared" ca="1" si="15"/>
        <v>0</v>
      </c>
      <c r="AX18" s="1212">
        <f t="shared" ca="1" si="16"/>
        <v>0</v>
      </c>
      <c r="AY18" s="1213">
        <f t="shared" ca="1" si="17"/>
        <v>0</v>
      </c>
      <c r="AZ18" s="1587">
        <f t="shared" ca="1" si="18"/>
        <v>0</v>
      </c>
      <c r="BC18" s="1212">
        <f t="shared" ca="1" si="19"/>
        <v>0</v>
      </c>
      <c r="BD18" s="1213">
        <f t="shared" ca="1" si="20"/>
        <v>0</v>
      </c>
      <c r="BE18" s="1587">
        <f t="shared" ca="1" si="21"/>
        <v>0</v>
      </c>
      <c r="BH18" s="1212">
        <f t="shared" ca="1" si="22"/>
        <v>0</v>
      </c>
      <c r="BI18" s="1213">
        <f t="shared" ca="1" si="23"/>
        <v>0</v>
      </c>
      <c r="BJ18" s="1587">
        <f t="shared" ca="1" si="24"/>
        <v>0</v>
      </c>
      <c r="BM18" s="1212">
        <f t="shared" ca="1" si="25"/>
        <v>0</v>
      </c>
      <c r="BN18" s="1213">
        <f t="shared" ca="1" si="26"/>
        <v>0</v>
      </c>
      <c r="BO18" s="1587">
        <f t="shared" ca="1" si="27"/>
        <v>0</v>
      </c>
      <c r="BR18" s="1212">
        <f t="shared" ca="1" si="28"/>
        <v>0</v>
      </c>
      <c r="BS18" s="1213">
        <f t="shared" ca="1" si="29"/>
        <v>0</v>
      </c>
      <c r="BT18" s="1587">
        <f t="shared" ca="1" si="30"/>
        <v>0</v>
      </c>
      <c r="BW18" s="1212">
        <f t="shared" ca="1" si="31"/>
        <v>0</v>
      </c>
      <c r="BX18" s="1213">
        <f t="shared" ca="1" si="32"/>
        <v>0</v>
      </c>
      <c r="BY18" s="1587">
        <f t="shared" ca="1" si="33"/>
        <v>0</v>
      </c>
      <c r="CB18" s="1212">
        <f t="shared" ca="1" si="34"/>
        <v>0</v>
      </c>
      <c r="CC18" s="1213">
        <f t="shared" ca="1" si="35"/>
        <v>0</v>
      </c>
      <c r="CD18" s="1587">
        <f t="shared" ca="1" si="36"/>
        <v>0</v>
      </c>
      <c r="CG18" s="1212">
        <f t="shared" ca="1" si="37"/>
        <v>0</v>
      </c>
      <c r="CH18" s="1213">
        <f t="shared" ca="1" si="38"/>
        <v>0</v>
      </c>
      <c r="CI18" s="1587">
        <f t="shared" ca="1" si="39"/>
        <v>0</v>
      </c>
      <c r="CL18" s="1212">
        <f t="shared" ca="1" si="40"/>
        <v>0</v>
      </c>
      <c r="CM18" s="1213">
        <f t="shared" ca="1" si="41"/>
        <v>0</v>
      </c>
      <c r="CN18" s="1587">
        <f t="shared" ca="1" si="42"/>
        <v>0</v>
      </c>
    </row>
    <row r="19" spans="1:92">
      <c r="A19" s="141" t="str">
        <f>'銀行-TSS'!A19</f>
        <v>US594918BS26</v>
      </c>
      <c r="B19" s="151" t="str">
        <f ca="1">VLOOKUP(A19,'銀行-TSS'!A:B,2,FALSE)</f>
        <v>XFF70</v>
      </c>
      <c r="C19" s="151" t="str">
        <f ca="1">VLOOKUP(B19,bond!B:C,2,FALSE)</f>
        <v>微軟美元配息債券 3.45% 2036/8/8</v>
      </c>
      <c r="D19" s="95" t="str">
        <f>VLOOKUP(A19,'銀行-TSS'!A:C,3,FALSE)</f>
        <v>USD</v>
      </c>
      <c r="E19" s="90">
        <f ca="1">VLOOKUP(A19,'銀行-TSS'!A:G,7,FALSE)</f>
        <v>12.1</v>
      </c>
      <c r="F19" s="202">
        <f ca="1">VLOOKUP(A19,'銀行-TSS'!A:H,8,FALSE)</f>
        <v>3.4500000000000003E-2</v>
      </c>
      <c r="G19" s="96">
        <f ca="1">VLOOKUP(A19,'銀行-TSS'!A:K,11,FALSE)</f>
        <v>91.72</v>
      </c>
      <c r="H19" s="1209">
        <f ca="1">VLOOKUP(A19,'銀行-TSS'!A:M,13,FALSE)</f>
        <v>4.4900000000000002E-2</v>
      </c>
      <c r="I19" s="1213">
        <f ca="1">VLOOKUP(A19,'銀行-TSS'!A:N,14,FALSE)</f>
        <v>10000</v>
      </c>
      <c r="J19" s="1213">
        <f ca="1">VLOOKUP(A19,'銀行-TSS'!A:O,15,FALSE)</f>
        <v>1000</v>
      </c>
      <c r="K19" s="136" t="str">
        <f ca="1">VLOOKUP(A19,'銀行-TSS'!A:V,22,FALSE)</f>
        <v>(NPI)非專投</v>
      </c>
      <c r="L19" s="136" t="str">
        <f ca="1">VLOOKUP(A19,'銀行-TSS'!A:AK,37,FALSE)</f>
        <v>有</v>
      </c>
      <c r="M19" s="136" t="str">
        <f ca="1">VLOOKUP(A19,'銀行-TSS'!A:AN,40,FALSE)</f>
        <v/>
      </c>
      <c r="N19" s="136">
        <f t="shared" ca="1" si="0"/>
        <v>917.2</v>
      </c>
      <c r="O19" s="1213">
        <f t="shared" ca="1" si="1"/>
        <v>9172</v>
      </c>
      <c r="P19" s="1213">
        <f ca="1">IF(AND($O$1&gt;=O19,換券單檔!$D$13=D19),I19+INT(($O$1-O19)/N19)*J19,0)</f>
        <v>105000</v>
      </c>
      <c r="Q19" s="1213">
        <f t="shared" ca="1" si="2"/>
        <v>3622.5000000000005</v>
      </c>
      <c r="R19" s="1213">
        <f t="shared" ca="1" si="43"/>
        <v>105000</v>
      </c>
      <c r="S19" s="1213">
        <f t="shared" ca="1" si="44"/>
        <v>3622.5000000000005</v>
      </c>
      <c r="T19" s="136">
        <f ca="1">IF(OR(R19=0,A19=0),0,IF(AND(V19=TRUE,換券單檔!$D$13=D19),E19,0))</f>
        <v>12.1</v>
      </c>
      <c r="U19" s="861">
        <f ca="1">IF(OR(R19=0,A19=0),0,IF(AND(V19=TRUE,換券單檔!$D$13=D19),H19,0))</f>
        <v>4.4900000000000002E-2</v>
      </c>
      <c r="V19" s="136" t="b">
        <f ca="1">IF(OR(B19=換券單檔!$D$3,L19="無",M19&lt;&gt;"",K19="高資產",IFERROR(MATCH(B19,換券單檔!K:K,0),"N")&lt;&gt;"N"),FALSE,IF($V$1="All",TRUE,IF(K19=$V$1,TRUE,FALSE)))</f>
        <v>1</v>
      </c>
      <c r="W19" s="136">
        <f ca="1">VLOOKUP(A19,'銀行-TSS'!A:AO,41,FALSE)</f>
        <v>87.84</v>
      </c>
      <c r="X19" s="136">
        <f ca="1">VLOOKUP(A19,'銀行-TSS'!A:AP,42,FALSE)</f>
        <v>9.4621999999999993</v>
      </c>
      <c r="Y19" s="1220">
        <f t="shared" ca="1" si="3"/>
        <v>8727.1763040000005</v>
      </c>
      <c r="Z19" s="1220">
        <f t="shared" ca="1" si="4"/>
        <v>0</v>
      </c>
      <c r="AA19" s="136">
        <f ca="1">IF(Z19&lt;=0,0,RANK(Z19,Z:Z)+COUNTIF($Z$3:$Z19,Z19)-1)</f>
        <v>0</v>
      </c>
      <c r="AB19" s="1211">
        <f t="shared" ca="1" si="5"/>
        <v>-6168.9636959999989</v>
      </c>
      <c r="AC19" s="136">
        <f ca="1">IF(AB19&lt;=0,0,RANK(AB19,AB:AB)+COUNTIF($AB$3:$AB19,AB19)-1)</f>
        <v>0</v>
      </c>
      <c r="AD19" s="1123">
        <f t="shared" ca="1" si="6"/>
        <v>99999</v>
      </c>
      <c r="AE19" s="1123">
        <f ca="1">IF(AD19=99999,0,RANK(AD19,AD:AD,1)+COUNTIF($AD$3:$AD19,AD19)-1)</f>
        <v>0</v>
      </c>
      <c r="AF19" s="86" t="b">
        <f ca="1">IF(OR(M19&lt;&gt;"",L19="無",K19="高資產",IFERROR(MATCH(B19,換券單檔!K:K,0),"N")&lt;&gt;"N"),FALSE,TRUE)</f>
        <v>1</v>
      </c>
      <c r="AI19" s="1212">
        <f t="shared" ca="1" si="7"/>
        <v>105000</v>
      </c>
      <c r="AJ19" s="1213">
        <f t="shared" ca="1" si="8"/>
        <v>3622.5000000000005</v>
      </c>
      <c r="AK19" s="1587">
        <f t="shared" ca="1" si="9"/>
        <v>0</v>
      </c>
      <c r="AN19" s="1212">
        <f t="shared" ca="1" si="10"/>
        <v>60000</v>
      </c>
      <c r="AO19" s="1213">
        <f t="shared" ca="1" si="11"/>
        <v>2070</v>
      </c>
      <c r="AP19" s="1587">
        <f t="shared" ca="1" si="12"/>
        <v>-80517.68595041323</v>
      </c>
      <c r="AS19" s="1212">
        <f t="shared" ca="1" si="13"/>
        <v>103000</v>
      </c>
      <c r="AT19" s="1213">
        <f t="shared" ca="1" si="14"/>
        <v>3553.5000000000005</v>
      </c>
      <c r="AU19" s="1587">
        <f t="shared" ca="1" si="15"/>
        <v>0</v>
      </c>
      <c r="AX19" s="1212">
        <f t="shared" ca="1" si="16"/>
        <v>94000</v>
      </c>
      <c r="AY19" s="1213">
        <f t="shared" ca="1" si="17"/>
        <v>3243.0000000000005</v>
      </c>
      <c r="AZ19" s="1587">
        <f t="shared" ca="1" si="18"/>
        <v>0</v>
      </c>
      <c r="BC19" s="1212">
        <f t="shared" ca="1" si="19"/>
        <v>0</v>
      </c>
      <c r="BD19" s="1213">
        <f t="shared" ca="1" si="20"/>
        <v>0</v>
      </c>
      <c r="BE19" s="1587">
        <f t="shared" ca="1" si="21"/>
        <v>0</v>
      </c>
      <c r="BH19" s="1212">
        <f t="shared" ca="1" si="22"/>
        <v>0</v>
      </c>
      <c r="BI19" s="1213">
        <f t="shared" ca="1" si="23"/>
        <v>0</v>
      </c>
      <c r="BJ19" s="1587">
        <f t="shared" ca="1" si="24"/>
        <v>0</v>
      </c>
      <c r="BM19" s="1212">
        <f t="shared" ca="1" si="25"/>
        <v>0</v>
      </c>
      <c r="BN19" s="1213">
        <f t="shared" ca="1" si="26"/>
        <v>0</v>
      </c>
      <c r="BO19" s="1587">
        <f t="shared" ca="1" si="27"/>
        <v>0</v>
      </c>
      <c r="BR19" s="1212">
        <f t="shared" ca="1" si="28"/>
        <v>0</v>
      </c>
      <c r="BS19" s="1213">
        <f t="shared" ca="1" si="29"/>
        <v>0</v>
      </c>
      <c r="BT19" s="1587">
        <f t="shared" ca="1" si="30"/>
        <v>0</v>
      </c>
      <c r="BW19" s="1212">
        <f t="shared" ca="1" si="31"/>
        <v>0</v>
      </c>
      <c r="BX19" s="1213">
        <f t="shared" ca="1" si="32"/>
        <v>0</v>
      </c>
      <c r="BY19" s="1587">
        <f t="shared" ca="1" si="33"/>
        <v>0</v>
      </c>
      <c r="CB19" s="1212">
        <f t="shared" ca="1" si="34"/>
        <v>0</v>
      </c>
      <c r="CC19" s="1213">
        <f t="shared" ca="1" si="35"/>
        <v>0</v>
      </c>
      <c r="CD19" s="1587">
        <f t="shared" ca="1" si="36"/>
        <v>0</v>
      </c>
      <c r="CG19" s="1212">
        <f t="shared" ca="1" si="37"/>
        <v>0</v>
      </c>
      <c r="CH19" s="1213">
        <f t="shared" ca="1" si="38"/>
        <v>0</v>
      </c>
      <c r="CI19" s="1587">
        <f t="shared" ca="1" si="39"/>
        <v>0</v>
      </c>
      <c r="CL19" s="1212">
        <f t="shared" ca="1" si="40"/>
        <v>0</v>
      </c>
      <c r="CM19" s="1213">
        <f t="shared" ca="1" si="41"/>
        <v>0</v>
      </c>
      <c r="CN19" s="1587">
        <f t="shared" ca="1" si="42"/>
        <v>0</v>
      </c>
    </row>
    <row r="20" spans="1:92">
      <c r="A20" s="141" t="str">
        <f>'銀行-TSS'!A20</f>
        <v>US037833BZ29</v>
      </c>
      <c r="B20" s="151" t="str">
        <f ca="1">VLOOKUP(A20,'銀行-TSS'!A:B,2,FALSE)</f>
        <v>XFF80</v>
      </c>
      <c r="C20" s="151" t="str">
        <f ca="1">VLOOKUP(B20,bond!B:C,2,FALSE)</f>
        <v>蘋果公司美元配息債券 2.45% 2026/8/4</v>
      </c>
      <c r="D20" s="95" t="str">
        <f>VLOOKUP(A20,'銀行-TSS'!A:C,3,FALSE)</f>
        <v>USD</v>
      </c>
      <c r="E20" s="90">
        <f ca="1">VLOOKUP(A20,'銀行-TSS'!A:G,7,FALSE)</f>
        <v>2.09</v>
      </c>
      <c r="F20" s="202">
        <f ca="1">VLOOKUP(A20,'銀行-TSS'!A:H,8,FALSE)</f>
        <v>2.4500000000000001E-2</v>
      </c>
      <c r="G20" s="96">
        <f ca="1">VLOOKUP(A20,'銀行-TSS'!A:K,11,FALSE)</f>
        <v>97.25</v>
      </c>
      <c r="H20" s="1209">
        <f ca="1">VLOOKUP(A20,'銀行-TSS'!A:M,13,FALSE)</f>
        <v>4.3499999999999997E-2</v>
      </c>
      <c r="I20" s="1213">
        <f ca="1">VLOOKUP(A20,'銀行-TSS'!A:N,14,FALSE)</f>
        <v>10000</v>
      </c>
      <c r="J20" s="1213">
        <f ca="1">VLOOKUP(A20,'銀行-TSS'!A:O,15,FALSE)</f>
        <v>1000</v>
      </c>
      <c r="K20" s="136" t="str">
        <f ca="1">VLOOKUP(A20,'銀行-TSS'!A:V,22,FALSE)</f>
        <v>(NPI)非專投</v>
      </c>
      <c r="L20" s="136" t="str">
        <f ca="1">VLOOKUP(A20,'銀行-TSS'!A:AK,37,FALSE)</f>
        <v>有</v>
      </c>
      <c r="M20" s="136" t="str">
        <f ca="1">VLOOKUP(A20,'銀行-TSS'!A:AN,40,FALSE)</f>
        <v/>
      </c>
      <c r="N20" s="136">
        <f t="shared" ca="1" si="0"/>
        <v>972.5</v>
      </c>
      <c r="O20" s="1213">
        <f t="shared" ca="1" si="1"/>
        <v>9725</v>
      </c>
      <c r="P20" s="1213">
        <f ca="1">IF(AND($O$1&gt;=O20,換券單檔!$D$13=D20),I20+INT(($O$1-O20)/N20)*J20,0)</f>
        <v>99000</v>
      </c>
      <c r="Q20" s="1213">
        <f t="shared" ca="1" si="2"/>
        <v>2425.5</v>
      </c>
      <c r="R20" s="1213">
        <f t="shared" ca="1" si="43"/>
        <v>99000</v>
      </c>
      <c r="S20" s="1213">
        <f t="shared" ca="1" si="44"/>
        <v>2425.5</v>
      </c>
      <c r="T20" s="136">
        <f ca="1">IF(OR(R20=0,A20=0),0,IF(AND(V20=TRUE,換券單檔!$D$13=D20),E20,0))</f>
        <v>2.09</v>
      </c>
      <c r="U20" s="861">
        <f ca="1">IF(OR(R20=0,A20=0),0,IF(AND(V20=TRUE,換券單檔!$D$13=D20),H20,0))</f>
        <v>4.3499999999999997E-2</v>
      </c>
      <c r="V20" s="136" t="b">
        <f ca="1">IF(OR(B20=換券單檔!$D$3,L20="無",M20&lt;&gt;"",K20="高資產",IFERROR(MATCH(B20,換券單檔!K:K,0),"N")&lt;&gt;"N"),FALSE,IF($V$1="All",TRUE,IF(K20=$V$1,TRUE,FALSE)))</f>
        <v>1</v>
      </c>
      <c r="W20" s="136">
        <f ca="1">VLOOKUP(A20,'銀行-TSS'!A:AO,41,FALSE)</f>
        <v>95.440000000000012</v>
      </c>
      <c r="X20" s="136">
        <f ca="1">VLOOKUP(A20,'銀行-TSS'!A:AP,42,FALSE)</f>
        <v>1.9805999999999999</v>
      </c>
      <c r="Y20" s="1220">
        <f t="shared" ca="1" si="3"/>
        <v>1871.3817936000005</v>
      </c>
      <c r="Z20" s="1220">
        <f t="shared" ca="1" si="4"/>
        <v>0</v>
      </c>
      <c r="AA20" s="136">
        <f ca="1">IF(Z20&lt;=0,0,RANK(Z20,Z:Z)+COUNTIF($Z$3:$Z20,Z20)-1)</f>
        <v>0</v>
      </c>
      <c r="AB20" s="1211">
        <f t="shared" ca="1" si="5"/>
        <v>-14024.758206399998</v>
      </c>
      <c r="AC20" s="136">
        <f ca="1">IF(AB20&lt;=0,0,RANK(AB20,AB:AB)+COUNTIF($AB$3:$AB20,AB20)-1)</f>
        <v>0</v>
      </c>
      <c r="AD20" s="1123">
        <f t="shared" ca="1" si="6"/>
        <v>99999</v>
      </c>
      <c r="AE20" s="1123">
        <f ca="1">IF(AD20=99999,0,RANK(AD20,AD:AD,1)+COUNTIF($AD$3:$AD20,AD20)-1)</f>
        <v>0</v>
      </c>
      <c r="AF20" s="86" t="b">
        <f ca="1">IF(OR(M20&lt;&gt;"",L20="無",K20="高資產",IFERROR(MATCH(B20,換券單檔!K:K,0),"N")&lt;&gt;"N"),FALSE,TRUE)</f>
        <v>1</v>
      </c>
      <c r="AI20" s="1212">
        <f t="shared" ca="1" si="7"/>
        <v>99000</v>
      </c>
      <c r="AJ20" s="1213">
        <f t="shared" ca="1" si="8"/>
        <v>2425.5</v>
      </c>
      <c r="AK20" s="1587">
        <f t="shared" ca="1" si="9"/>
        <v>0</v>
      </c>
      <c r="AN20" s="1212">
        <f t="shared" ca="1" si="10"/>
        <v>56000</v>
      </c>
      <c r="AO20" s="1213">
        <f t="shared" ca="1" si="11"/>
        <v>1372</v>
      </c>
      <c r="AP20" s="1587">
        <f t="shared" ca="1" si="12"/>
        <v>0</v>
      </c>
      <c r="AS20" s="1212">
        <f t="shared" ca="1" si="13"/>
        <v>97000</v>
      </c>
      <c r="AT20" s="1213">
        <f t="shared" ca="1" si="14"/>
        <v>2376.5</v>
      </c>
      <c r="AU20" s="1587">
        <f t="shared" ca="1" si="15"/>
        <v>0</v>
      </c>
      <c r="AX20" s="1212">
        <f t="shared" ca="1" si="16"/>
        <v>89000</v>
      </c>
      <c r="AY20" s="1213">
        <f t="shared" ca="1" si="17"/>
        <v>2180.5</v>
      </c>
      <c r="AZ20" s="1587">
        <f t="shared" ca="1" si="18"/>
        <v>0</v>
      </c>
      <c r="BC20" s="1212">
        <f t="shared" ca="1" si="19"/>
        <v>0</v>
      </c>
      <c r="BD20" s="1213">
        <f t="shared" ca="1" si="20"/>
        <v>0</v>
      </c>
      <c r="BE20" s="1587">
        <f t="shared" ca="1" si="21"/>
        <v>0</v>
      </c>
      <c r="BH20" s="1212">
        <f t="shared" ca="1" si="22"/>
        <v>0</v>
      </c>
      <c r="BI20" s="1213">
        <f t="shared" ca="1" si="23"/>
        <v>0</v>
      </c>
      <c r="BJ20" s="1587">
        <f t="shared" ca="1" si="24"/>
        <v>0</v>
      </c>
      <c r="BM20" s="1212">
        <f t="shared" ca="1" si="25"/>
        <v>0</v>
      </c>
      <c r="BN20" s="1213">
        <f t="shared" ca="1" si="26"/>
        <v>0</v>
      </c>
      <c r="BO20" s="1587">
        <f t="shared" ca="1" si="27"/>
        <v>0</v>
      </c>
      <c r="BR20" s="1212">
        <f t="shared" ca="1" si="28"/>
        <v>0</v>
      </c>
      <c r="BS20" s="1213">
        <f t="shared" ca="1" si="29"/>
        <v>0</v>
      </c>
      <c r="BT20" s="1587">
        <f t="shared" ca="1" si="30"/>
        <v>0</v>
      </c>
      <c r="BW20" s="1212">
        <f t="shared" ca="1" si="31"/>
        <v>0</v>
      </c>
      <c r="BX20" s="1213">
        <f t="shared" ca="1" si="32"/>
        <v>0</v>
      </c>
      <c r="BY20" s="1587">
        <f t="shared" ca="1" si="33"/>
        <v>0</v>
      </c>
      <c r="CB20" s="1212">
        <f t="shared" ca="1" si="34"/>
        <v>0</v>
      </c>
      <c r="CC20" s="1213">
        <f t="shared" ca="1" si="35"/>
        <v>0</v>
      </c>
      <c r="CD20" s="1587">
        <f t="shared" ca="1" si="36"/>
        <v>0</v>
      </c>
      <c r="CG20" s="1212">
        <f t="shared" ca="1" si="37"/>
        <v>0</v>
      </c>
      <c r="CH20" s="1213">
        <f t="shared" ca="1" si="38"/>
        <v>0</v>
      </c>
      <c r="CI20" s="1587">
        <f t="shared" ca="1" si="39"/>
        <v>0</v>
      </c>
      <c r="CL20" s="1212">
        <f t="shared" ca="1" si="40"/>
        <v>0</v>
      </c>
      <c r="CM20" s="1213">
        <f t="shared" ca="1" si="41"/>
        <v>0</v>
      </c>
      <c r="CN20" s="1587">
        <f t="shared" ca="1" si="42"/>
        <v>0</v>
      </c>
    </row>
    <row r="21" spans="1:92">
      <c r="A21" s="141" t="str">
        <f>'銀行-TSS'!A21</f>
        <v>US037833AL42</v>
      </c>
      <c r="B21" s="151" t="str">
        <f ca="1">VLOOKUP(A21,'銀行-TSS'!A:B,2,FALSE)</f>
        <v>XFF90</v>
      </c>
      <c r="C21" s="151" t="str">
        <f ca="1">VLOOKUP(B21,bond!B:C,2,FALSE)</f>
        <v>蘋果公司美元配息債券 3.85% 2043/5/4</v>
      </c>
      <c r="D21" s="95" t="str">
        <f>VLOOKUP(A21,'銀行-TSS'!A:C,3,FALSE)</f>
        <v>USD</v>
      </c>
      <c r="E21" s="90">
        <f ca="1">VLOOKUP(A21,'銀行-TSS'!A:G,7,FALSE)</f>
        <v>18.84</v>
      </c>
      <c r="F21" s="202">
        <f ca="1">VLOOKUP(A21,'銀行-TSS'!A:H,8,FALSE)</f>
        <v>3.85E-2</v>
      </c>
      <c r="G21" s="96">
        <f ca="1">VLOOKUP(A21,'銀行-TSS'!A:K,11,FALSE)</f>
        <v>88.03</v>
      </c>
      <c r="H21" s="1209">
        <f ca="1">VLOOKUP(A21,'銀行-TSS'!A:M,13,FALSE)</f>
        <v>4.8800000000000003E-2</v>
      </c>
      <c r="I21" s="1213">
        <f ca="1">VLOOKUP(A21,'銀行-TSS'!A:N,14,FALSE)</f>
        <v>10000</v>
      </c>
      <c r="J21" s="1213">
        <f ca="1">VLOOKUP(A21,'銀行-TSS'!A:O,15,FALSE)</f>
        <v>1000</v>
      </c>
      <c r="K21" s="136" t="str">
        <f ca="1">VLOOKUP(A21,'銀行-TSS'!A:V,22,FALSE)</f>
        <v>(NPI)非專投</v>
      </c>
      <c r="L21" s="136" t="str">
        <f ca="1">VLOOKUP(A21,'銀行-TSS'!A:AK,37,FALSE)</f>
        <v>有</v>
      </c>
      <c r="M21" s="136" t="str">
        <f ca="1">VLOOKUP(A21,'銀行-TSS'!A:AN,40,FALSE)</f>
        <v/>
      </c>
      <c r="N21" s="136">
        <f t="shared" ca="1" si="0"/>
        <v>880.3</v>
      </c>
      <c r="O21" s="1213">
        <f t="shared" ca="1" si="1"/>
        <v>8803</v>
      </c>
      <c r="P21" s="1213">
        <f ca="1">IF(AND($O$1&gt;=O21,換券單檔!$D$13=D21),I21+INT(($O$1-O21)/N21)*J21,0)</f>
        <v>109000</v>
      </c>
      <c r="Q21" s="1213">
        <f t="shared" ca="1" si="2"/>
        <v>4196.5</v>
      </c>
      <c r="R21" s="1213">
        <f t="shared" ca="1" si="43"/>
        <v>109000</v>
      </c>
      <c r="S21" s="1213">
        <f t="shared" ca="1" si="44"/>
        <v>4196.5</v>
      </c>
      <c r="T21" s="136">
        <f ca="1">IF(OR(R21=0,A21=0),0,IF(AND(V21=TRUE,換券單檔!$D$13=D21),E21,0))</f>
        <v>18.84</v>
      </c>
      <c r="U21" s="861">
        <f ca="1">IF(OR(R21=0,A21=0),0,IF(AND(V21=TRUE,換券單檔!$D$13=D21),H21,0))</f>
        <v>4.8800000000000003E-2</v>
      </c>
      <c r="V21" s="136" t="b">
        <f ca="1">IF(OR(B21=換券單檔!$D$3,L21="無",M21&lt;&gt;"",K21="高資產",IFERROR(MATCH(B21,換券單檔!K:K,0),"N")&lt;&gt;"N"),FALSE,IF($V$1="All",TRUE,IF(K21=$V$1,TRUE,FALSE)))</f>
        <v>1</v>
      </c>
      <c r="W21" s="136">
        <f ca="1">VLOOKUP(A21,'銀行-TSS'!A:AO,41,FALSE)</f>
        <v>84.410000000000011</v>
      </c>
      <c r="X21" s="136">
        <f ca="1">VLOOKUP(A21,'銀行-TSS'!A:AP,42,FALSE)</f>
        <v>12.655799999999999</v>
      </c>
      <c r="Y21" s="1220">
        <f t="shared" ca="1" si="3"/>
        <v>11644.2092502</v>
      </c>
      <c r="Z21" s="1220">
        <f t="shared" ca="1" si="4"/>
        <v>0</v>
      </c>
      <c r="AA21" s="136">
        <f ca="1">IF(Z21&lt;=0,0,RANK(Z21,Z:Z)+COUNTIF($Z$3:$Z21,Z21)-1)</f>
        <v>0</v>
      </c>
      <c r="AB21" s="1211">
        <f t="shared" ca="1" si="5"/>
        <v>-3251.9307497999998</v>
      </c>
      <c r="AC21" s="136">
        <f ca="1">IF(AB21&lt;=0,0,RANK(AB21,AB:AB)+COUNTIF($AB$3:$AB21,AB21)-1)</f>
        <v>0</v>
      </c>
      <c r="AD21" s="1123">
        <f t="shared" ca="1" si="6"/>
        <v>99999</v>
      </c>
      <c r="AE21" s="1123">
        <f ca="1">IF(AD21=99999,0,RANK(AD21,AD:AD,1)+COUNTIF($AD$3:$AD21,AD21)-1)</f>
        <v>0</v>
      </c>
      <c r="AF21" s="86" t="b">
        <f ca="1">IF(OR(M21&lt;&gt;"",L21="無",K21="高資產",IFERROR(MATCH(B21,換券單檔!K:K,0),"N")&lt;&gt;"N"),FALSE,TRUE)</f>
        <v>1</v>
      </c>
      <c r="AI21" s="1212">
        <f t="shared" ca="1" si="7"/>
        <v>109000</v>
      </c>
      <c r="AJ21" s="1213">
        <f t="shared" ca="1" si="8"/>
        <v>4196.5</v>
      </c>
      <c r="AK21" s="1587">
        <f t="shared" ca="1" si="9"/>
        <v>0</v>
      </c>
      <c r="AN21" s="1212">
        <f t="shared" ca="1" si="10"/>
        <v>62000</v>
      </c>
      <c r="AO21" s="1213">
        <f t="shared" ca="1" si="11"/>
        <v>2387</v>
      </c>
      <c r="AP21" s="1587">
        <f t="shared" ca="1" si="12"/>
        <v>-75599.907643312108</v>
      </c>
      <c r="AS21" s="1212">
        <f t="shared" ca="1" si="13"/>
        <v>107000</v>
      </c>
      <c r="AT21" s="1213">
        <f t="shared" ca="1" si="14"/>
        <v>4119.5</v>
      </c>
      <c r="AU21" s="1587">
        <f t="shared" ca="1" si="15"/>
        <v>0</v>
      </c>
      <c r="AX21" s="1212">
        <f t="shared" ca="1" si="16"/>
        <v>98000</v>
      </c>
      <c r="AY21" s="1213">
        <f t="shared" ca="1" si="17"/>
        <v>3773</v>
      </c>
      <c r="AZ21" s="1587">
        <f t="shared" ca="1" si="18"/>
        <v>0</v>
      </c>
      <c r="BC21" s="1212">
        <f t="shared" ca="1" si="19"/>
        <v>0</v>
      </c>
      <c r="BD21" s="1213">
        <f t="shared" ca="1" si="20"/>
        <v>0</v>
      </c>
      <c r="BE21" s="1587">
        <f t="shared" ca="1" si="21"/>
        <v>0</v>
      </c>
      <c r="BH21" s="1212">
        <f t="shared" ca="1" si="22"/>
        <v>0</v>
      </c>
      <c r="BI21" s="1213">
        <f t="shared" ca="1" si="23"/>
        <v>0</v>
      </c>
      <c r="BJ21" s="1587">
        <f t="shared" ca="1" si="24"/>
        <v>0</v>
      </c>
      <c r="BM21" s="1212">
        <f t="shared" ca="1" si="25"/>
        <v>0</v>
      </c>
      <c r="BN21" s="1213">
        <f t="shared" ca="1" si="26"/>
        <v>0</v>
      </c>
      <c r="BO21" s="1587">
        <f t="shared" ca="1" si="27"/>
        <v>0</v>
      </c>
      <c r="BR21" s="1212">
        <f t="shared" ca="1" si="28"/>
        <v>0</v>
      </c>
      <c r="BS21" s="1213">
        <f t="shared" ca="1" si="29"/>
        <v>0</v>
      </c>
      <c r="BT21" s="1587">
        <f t="shared" ca="1" si="30"/>
        <v>0</v>
      </c>
      <c r="BW21" s="1212">
        <f t="shared" ca="1" si="31"/>
        <v>0</v>
      </c>
      <c r="BX21" s="1213">
        <f t="shared" ca="1" si="32"/>
        <v>0</v>
      </c>
      <c r="BY21" s="1587">
        <f t="shared" ca="1" si="33"/>
        <v>0</v>
      </c>
      <c r="CB21" s="1212">
        <f t="shared" ca="1" si="34"/>
        <v>0</v>
      </c>
      <c r="CC21" s="1213">
        <f t="shared" ca="1" si="35"/>
        <v>0</v>
      </c>
      <c r="CD21" s="1587">
        <f t="shared" ca="1" si="36"/>
        <v>0</v>
      </c>
      <c r="CG21" s="1212">
        <f t="shared" ca="1" si="37"/>
        <v>0</v>
      </c>
      <c r="CH21" s="1213">
        <f t="shared" ca="1" si="38"/>
        <v>0</v>
      </c>
      <c r="CI21" s="1587">
        <f t="shared" ca="1" si="39"/>
        <v>0</v>
      </c>
      <c r="CL21" s="1212">
        <f t="shared" ca="1" si="40"/>
        <v>0</v>
      </c>
      <c r="CM21" s="1213">
        <f t="shared" ca="1" si="41"/>
        <v>0</v>
      </c>
      <c r="CN21" s="1587">
        <f t="shared" ca="1" si="42"/>
        <v>0</v>
      </c>
    </row>
    <row r="22" spans="1:92">
      <c r="A22" s="141" t="str">
        <f>'銀行-TSS'!A22</f>
        <v>US00206RCG56</v>
      </c>
      <c r="B22" s="151" t="str">
        <f ca="1">VLOOKUP(A22,'銀行-TSS'!A:B,2,FALSE)</f>
        <v>XFG10</v>
      </c>
      <c r="C22" s="151" t="str">
        <f ca="1">VLOOKUP(B22,bond!B:C,2,FALSE)</f>
        <v>AT&amp;T公司美元配息債券 4.8% 2044/6/15</v>
      </c>
      <c r="D22" s="95" t="str">
        <f>VLOOKUP(A22,'銀行-TSS'!A:C,3,FALSE)</f>
        <v>USD</v>
      </c>
      <c r="E22" s="90">
        <f ca="1">VLOOKUP(A22,'銀行-TSS'!A:G,7,FALSE)</f>
        <v>19.95</v>
      </c>
      <c r="F22" s="202">
        <f ca="1">VLOOKUP(A22,'銀行-TSS'!A:H,8,FALSE)</f>
        <v>4.8000000000000001E-2</v>
      </c>
      <c r="G22" s="96">
        <f ca="1">VLOOKUP(A22,'銀行-TSS'!A:K,11,FALSE)</f>
        <v>91.06</v>
      </c>
      <c r="H22" s="1209">
        <f ca="1">VLOOKUP(A22,'銀行-TSS'!A:M,13,FALSE)</f>
        <v>5.57E-2</v>
      </c>
      <c r="I22" s="1213">
        <f ca="1">VLOOKUP(A22,'銀行-TSS'!A:N,14,FALSE)</f>
        <v>10000</v>
      </c>
      <c r="J22" s="1213">
        <f ca="1">VLOOKUP(A22,'銀行-TSS'!A:O,15,FALSE)</f>
        <v>1000</v>
      </c>
      <c r="K22" s="136" t="str">
        <f ca="1">VLOOKUP(A22,'銀行-TSS'!A:V,22,FALSE)</f>
        <v>(PI)專投</v>
      </c>
      <c r="L22" s="136" t="str">
        <f ca="1">VLOOKUP(A22,'銀行-TSS'!A:AK,37,FALSE)</f>
        <v>需查詢</v>
      </c>
      <c r="M22" s="136" t="str">
        <f ca="1">VLOOKUP(A22,'銀行-TSS'!A:AN,40,FALSE)</f>
        <v/>
      </c>
      <c r="N22" s="136">
        <f t="shared" ca="1" si="0"/>
        <v>910.6</v>
      </c>
      <c r="O22" s="1213">
        <f t="shared" ca="1" si="1"/>
        <v>9106</v>
      </c>
      <c r="P22" s="1213">
        <f ca="1">IF(AND($O$1&gt;=O22,換券單檔!$D$13=D22),I22+INT(($O$1-O22)/N22)*J22,0)</f>
        <v>106000</v>
      </c>
      <c r="Q22" s="1213">
        <f t="shared" ca="1" si="2"/>
        <v>5088</v>
      </c>
      <c r="R22" s="1213">
        <f t="shared" ca="1" si="43"/>
        <v>106000</v>
      </c>
      <c r="S22" s="1213">
        <f t="shared" ca="1" si="44"/>
        <v>5088</v>
      </c>
      <c r="T22" s="136">
        <f ca="1">IF(OR(R22=0,A22=0),0,IF(AND(V22=TRUE,換券單檔!$D$13=D22),E22,0))</f>
        <v>19.95</v>
      </c>
      <c r="U22" s="861">
        <f ca="1">IF(OR(R22=0,A22=0),0,IF(AND(V22=TRUE,換券單檔!$D$13=D22),H22,0))</f>
        <v>5.57E-2</v>
      </c>
      <c r="V22" s="136" t="b">
        <f ca="1">IF(OR(B22=換券單檔!$D$3,L22="無",M22&lt;&gt;"",K22="高資產",IFERROR(MATCH(B22,換券單檔!K:K,0),"N")&lt;&gt;"N"),FALSE,IF($V$1="All",TRUE,IF(K22=$V$1,TRUE,FALSE)))</f>
        <v>1</v>
      </c>
      <c r="W22" s="136">
        <f ca="1">VLOOKUP(A22,'銀行-TSS'!A:AO,41,FALSE)</f>
        <v>87.83</v>
      </c>
      <c r="X22" s="136">
        <f ca="1">VLOOKUP(A22,'銀行-TSS'!A:AP,42,FALSE)</f>
        <v>12.202299999999999</v>
      </c>
      <c r="Y22" s="1220">
        <f t="shared" ca="1" si="3"/>
        <v>11360.316895399999</v>
      </c>
      <c r="Z22" s="1220">
        <f t="shared" ca="1" si="4"/>
        <v>846.48120300752146</v>
      </c>
      <c r="AA22" s="136">
        <f ca="1">IF(Z22&lt;=0,0,RANK(Z22,Z:Z)+COUNTIF($Z$3:$Z22,Z22)-1)</f>
        <v>14</v>
      </c>
      <c r="AB22" s="1211">
        <f t="shared" ca="1" si="5"/>
        <v>-3535.8231046000001</v>
      </c>
      <c r="AC22" s="136">
        <f ca="1">IF(AB22&lt;=0,0,RANK(AB22,AB:AB)+COUNTIF($AB$3:$AB22,AB22)-1)</f>
        <v>0</v>
      </c>
      <c r="AD22" s="1123">
        <f t="shared" ca="1" si="6"/>
        <v>99999</v>
      </c>
      <c r="AE22" s="1123">
        <f ca="1">IF(AD22=99999,0,RANK(AD22,AD:AD,1)+COUNTIF($AD$3:$AD22,AD22)-1)</f>
        <v>0</v>
      </c>
      <c r="AF22" s="86" t="b">
        <f ca="1">IF(OR(M22&lt;&gt;"",L22="無",K22="高資產",IFERROR(MATCH(B22,換券單檔!K:K,0),"N")&lt;&gt;"N"),FALSE,TRUE)</f>
        <v>1</v>
      </c>
      <c r="AI22" s="1212">
        <f t="shared" ca="1" si="7"/>
        <v>106000</v>
      </c>
      <c r="AJ22" s="1213">
        <f t="shared" ca="1" si="8"/>
        <v>5088</v>
      </c>
      <c r="AK22" s="1587">
        <f t="shared" ca="1" si="9"/>
        <v>846.48120300752146</v>
      </c>
      <c r="AN22" s="1212">
        <f t="shared" ca="1" si="10"/>
        <v>60000</v>
      </c>
      <c r="AO22" s="1213">
        <f t="shared" ca="1" si="11"/>
        <v>2880</v>
      </c>
      <c r="AP22" s="1587">
        <f t="shared" ca="1" si="12"/>
        <v>-78157.368421052626</v>
      </c>
      <c r="AS22" s="1212">
        <f t="shared" ca="1" si="13"/>
        <v>103000</v>
      </c>
      <c r="AT22" s="1213">
        <f t="shared" ca="1" si="14"/>
        <v>4944</v>
      </c>
      <c r="AU22" s="1587">
        <f t="shared" ca="1" si="15"/>
        <v>277</v>
      </c>
      <c r="AX22" s="1212">
        <f t="shared" ca="1" si="16"/>
        <v>95000</v>
      </c>
      <c r="AY22" s="1213">
        <f t="shared" ca="1" si="17"/>
        <v>4560</v>
      </c>
      <c r="AZ22" s="1587">
        <f t="shared" ca="1" si="18"/>
        <v>-9678.2706766917327</v>
      </c>
      <c r="BC22" s="1212">
        <f t="shared" ca="1" si="19"/>
        <v>0</v>
      </c>
      <c r="BD22" s="1213">
        <f t="shared" ca="1" si="20"/>
        <v>0</v>
      </c>
      <c r="BE22" s="1587">
        <f t="shared" ca="1" si="21"/>
        <v>0</v>
      </c>
      <c r="BH22" s="1212">
        <f t="shared" ca="1" si="22"/>
        <v>0</v>
      </c>
      <c r="BI22" s="1213">
        <f t="shared" ca="1" si="23"/>
        <v>0</v>
      </c>
      <c r="BJ22" s="1587">
        <f t="shared" ca="1" si="24"/>
        <v>0</v>
      </c>
      <c r="BM22" s="1212">
        <f t="shared" ca="1" si="25"/>
        <v>0</v>
      </c>
      <c r="BN22" s="1213">
        <f t="shared" ca="1" si="26"/>
        <v>0</v>
      </c>
      <c r="BO22" s="1587">
        <f t="shared" ca="1" si="27"/>
        <v>0</v>
      </c>
      <c r="BR22" s="1212">
        <f t="shared" ca="1" si="28"/>
        <v>0</v>
      </c>
      <c r="BS22" s="1213">
        <f t="shared" ca="1" si="29"/>
        <v>0</v>
      </c>
      <c r="BT22" s="1587">
        <f t="shared" ca="1" si="30"/>
        <v>0</v>
      </c>
      <c r="BW22" s="1212">
        <f t="shared" ca="1" si="31"/>
        <v>0</v>
      </c>
      <c r="BX22" s="1213">
        <f t="shared" ca="1" si="32"/>
        <v>0</v>
      </c>
      <c r="BY22" s="1587">
        <f t="shared" ca="1" si="33"/>
        <v>0</v>
      </c>
      <c r="CB22" s="1212">
        <f t="shared" ca="1" si="34"/>
        <v>0</v>
      </c>
      <c r="CC22" s="1213">
        <f t="shared" ca="1" si="35"/>
        <v>0</v>
      </c>
      <c r="CD22" s="1587">
        <f t="shared" ca="1" si="36"/>
        <v>0</v>
      </c>
      <c r="CG22" s="1212">
        <f t="shared" ca="1" si="37"/>
        <v>0</v>
      </c>
      <c r="CH22" s="1213">
        <f t="shared" ca="1" si="38"/>
        <v>0</v>
      </c>
      <c r="CI22" s="1587">
        <f t="shared" ca="1" si="39"/>
        <v>0</v>
      </c>
      <c r="CL22" s="1212">
        <f t="shared" ca="1" si="40"/>
        <v>0</v>
      </c>
      <c r="CM22" s="1213">
        <f t="shared" ca="1" si="41"/>
        <v>0</v>
      </c>
      <c r="CN22" s="1587">
        <f t="shared" ca="1" si="42"/>
        <v>0</v>
      </c>
    </row>
    <row r="23" spans="1:92">
      <c r="A23" s="141" t="str">
        <f>'銀行-TSS'!A23</f>
        <v>US42824CAY57</v>
      </c>
      <c r="B23" s="151" t="str">
        <f ca="1">VLOOKUP(A23,'銀行-TSS'!A:B,2,FALSE)</f>
        <v>XFG70</v>
      </c>
      <c r="C23" s="151" t="str">
        <f ca="1">VLOOKUP(B23,bond!B:C,2,FALSE)</f>
        <v>惠普企業公司美元配息債券  6.35% 2045/10/15</v>
      </c>
      <c r="D23" s="95" t="str">
        <f>VLOOKUP(A23,'銀行-TSS'!A:C,3,FALSE)</f>
        <v>USD</v>
      </c>
      <c r="E23" s="90">
        <f ca="1">VLOOKUP(A23,'銀行-TSS'!A:G,7,FALSE)</f>
        <v>21.29</v>
      </c>
      <c r="F23" s="202">
        <f ca="1">VLOOKUP(A23,'銀行-TSS'!A:H,8,FALSE)</f>
        <v>6.3500000000000001E-2</v>
      </c>
      <c r="G23" s="96">
        <f ca="1">VLOOKUP(A23,'銀行-TSS'!A:K,11,FALSE)</f>
        <v>110.29</v>
      </c>
      <c r="H23" s="1209">
        <f ca="1">VLOOKUP(A23,'銀行-TSS'!A:M,13,FALSE)</f>
        <v>5.62E-2</v>
      </c>
      <c r="I23" s="1213">
        <f ca="1">VLOOKUP(A23,'銀行-TSS'!A:N,14,FALSE)</f>
        <v>10000</v>
      </c>
      <c r="J23" s="1213">
        <f ca="1">VLOOKUP(A23,'銀行-TSS'!A:O,15,FALSE)</f>
        <v>1000</v>
      </c>
      <c r="K23" s="136" t="str">
        <f ca="1">VLOOKUP(A23,'銀行-TSS'!A:V,22,FALSE)</f>
        <v>(PI)專投</v>
      </c>
      <c r="L23" s="136" t="str">
        <f ca="1">VLOOKUP(A23,'銀行-TSS'!A:AK,37,FALSE)</f>
        <v>有</v>
      </c>
      <c r="M23" s="136" t="str">
        <f ca="1">VLOOKUP(A23,'銀行-TSS'!A:AN,40,FALSE)</f>
        <v/>
      </c>
      <c r="N23" s="136">
        <f t="shared" ca="1" si="0"/>
        <v>1102.9000000000001</v>
      </c>
      <c r="O23" s="1213">
        <f t="shared" ca="1" si="1"/>
        <v>11029</v>
      </c>
      <c r="P23" s="1213">
        <f ca="1">IF(AND($O$1&gt;=O23,換券單檔!$D$13=D23),I23+INT(($O$1-O23)/N23)*J23,0)</f>
        <v>87000</v>
      </c>
      <c r="Q23" s="1213">
        <f t="shared" ca="1" si="2"/>
        <v>5524.5</v>
      </c>
      <c r="R23" s="1213">
        <f t="shared" ca="1" si="43"/>
        <v>87000</v>
      </c>
      <c r="S23" s="1213">
        <f t="shared" ca="1" si="44"/>
        <v>5524.5</v>
      </c>
      <c r="T23" s="136">
        <f ca="1">IF(OR(R23=0,A23=0),0,IF(AND(V23=TRUE,換券單檔!$D$13=D23),E23,0))</f>
        <v>21.29</v>
      </c>
      <c r="U23" s="861">
        <f ca="1">IF(OR(R23=0,A23=0),0,IF(AND(V23=TRUE,換券單檔!$D$13=D23),H23,0))</f>
        <v>5.62E-2</v>
      </c>
      <c r="V23" s="136" t="b">
        <f ca="1">IF(OR(B23=換券單檔!$D$3,L23="無",M23&lt;&gt;"",K23="高資產",IFERROR(MATCH(B23,換券單檔!K:K,0),"N")&lt;&gt;"N"),FALSE,IF($V$1="All",TRUE,IF(K23=$V$1,TRUE,FALSE)))</f>
        <v>1</v>
      </c>
      <c r="W23" s="136">
        <f ca="1">VLOOKUP(A23,'銀行-TSS'!A:AO,41,FALSE)</f>
        <v>105.93</v>
      </c>
      <c r="X23" s="136">
        <f ca="1">VLOOKUP(A23,'銀行-TSS'!A:AP,42,FALSE)</f>
        <v>11.6347</v>
      </c>
      <c r="Y23" s="1220">
        <f t="shared" ca="1" si="3"/>
        <v>10722.434807700001</v>
      </c>
      <c r="Z23" s="1220">
        <f t="shared" ca="1" si="4"/>
        <v>-24024.022310944103</v>
      </c>
      <c r="AA23" s="136">
        <f ca="1">IF(Z23&lt;=0,0,RANK(Z23,Z:Z)+COUNTIF($Z$3:$Z23,Z23)-1)</f>
        <v>0</v>
      </c>
      <c r="AB23" s="1211">
        <f t="shared" ca="1" si="5"/>
        <v>-17173.705192299996</v>
      </c>
      <c r="AC23" s="136">
        <f ca="1">IF(AB23&lt;=0,0,RANK(AB23,AB:AB)+COUNTIF($AB$3:$AB23,AB23)-1)</f>
        <v>0</v>
      </c>
      <c r="AD23" s="1123">
        <f t="shared" ca="1" si="6"/>
        <v>99999</v>
      </c>
      <c r="AE23" s="1123">
        <f ca="1">IF(AD23=99999,0,RANK(AD23,AD:AD,1)+COUNTIF($AD$3:$AD23,AD23)-1)</f>
        <v>0</v>
      </c>
      <c r="AF23" s="86" t="b">
        <f ca="1">IF(OR(M23&lt;&gt;"",L23="無",K23="高資產",IFERROR(MATCH(B23,換券單檔!K:K,0),"N")&lt;&gt;"N"),FALSE,TRUE)</f>
        <v>1</v>
      </c>
      <c r="AI23" s="1212">
        <f t="shared" ca="1" si="7"/>
        <v>87000</v>
      </c>
      <c r="AJ23" s="1213">
        <f t="shared" ca="1" si="8"/>
        <v>5524.5</v>
      </c>
      <c r="AK23" s="1587">
        <f t="shared" ca="1" si="9"/>
        <v>-24024.022310944103</v>
      </c>
      <c r="AN23" s="1212">
        <f t="shared" ca="1" si="10"/>
        <v>50000</v>
      </c>
      <c r="AO23" s="1213">
        <f t="shared" ca="1" si="11"/>
        <v>3175</v>
      </c>
      <c r="AP23" s="1587">
        <f t="shared" ca="1" si="12"/>
        <v>-97290.171441991552</v>
      </c>
      <c r="AS23" s="1212">
        <f t="shared" ca="1" si="13"/>
        <v>85000</v>
      </c>
      <c r="AT23" s="1213">
        <f t="shared" ca="1" si="14"/>
        <v>5397.5</v>
      </c>
      <c r="AU23" s="1587">
        <f t="shared" ca="1" si="15"/>
        <v>-28469.313057773601</v>
      </c>
      <c r="AX23" s="1212">
        <f t="shared" ca="1" si="16"/>
        <v>78000</v>
      </c>
      <c r="AY23" s="1213">
        <f t="shared" ca="1" si="17"/>
        <v>4953</v>
      </c>
      <c r="AZ23" s="1587">
        <f t="shared" ca="1" si="18"/>
        <v>-42526.43917332081</v>
      </c>
      <c r="BC23" s="1212">
        <f t="shared" ca="1" si="19"/>
        <v>0</v>
      </c>
      <c r="BD23" s="1213">
        <f t="shared" ca="1" si="20"/>
        <v>0</v>
      </c>
      <c r="BE23" s="1587">
        <f t="shared" ca="1" si="21"/>
        <v>0</v>
      </c>
      <c r="BH23" s="1212">
        <f t="shared" ca="1" si="22"/>
        <v>0</v>
      </c>
      <c r="BI23" s="1213">
        <f t="shared" ca="1" si="23"/>
        <v>0</v>
      </c>
      <c r="BJ23" s="1587">
        <f t="shared" ca="1" si="24"/>
        <v>0</v>
      </c>
      <c r="BM23" s="1212">
        <f t="shared" ca="1" si="25"/>
        <v>0</v>
      </c>
      <c r="BN23" s="1213">
        <f t="shared" ca="1" si="26"/>
        <v>0</v>
      </c>
      <c r="BO23" s="1587">
        <f t="shared" ca="1" si="27"/>
        <v>0</v>
      </c>
      <c r="BR23" s="1212">
        <f t="shared" ca="1" si="28"/>
        <v>0</v>
      </c>
      <c r="BS23" s="1213">
        <f t="shared" ca="1" si="29"/>
        <v>0</v>
      </c>
      <c r="BT23" s="1587">
        <f t="shared" ca="1" si="30"/>
        <v>0</v>
      </c>
      <c r="BW23" s="1212">
        <f t="shared" ca="1" si="31"/>
        <v>0</v>
      </c>
      <c r="BX23" s="1213">
        <f t="shared" ca="1" si="32"/>
        <v>0</v>
      </c>
      <c r="BY23" s="1587">
        <f t="shared" ca="1" si="33"/>
        <v>0</v>
      </c>
      <c r="CB23" s="1212">
        <f t="shared" ca="1" si="34"/>
        <v>0</v>
      </c>
      <c r="CC23" s="1213">
        <f t="shared" ca="1" si="35"/>
        <v>0</v>
      </c>
      <c r="CD23" s="1587">
        <f t="shared" ca="1" si="36"/>
        <v>0</v>
      </c>
      <c r="CG23" s="1212">
        <f t="shared" ca="1" si="37"/>
        <v>0</v>
      </c>
      <c r="CH23" s="1213">
        <f t="shared" ca="1" si="38"/>
        <v>0</v>
      </c>
      <c r="CI23" s="1587">
        <f t="shared" ca="1" si="39"/>
        <v>0</v>
      </c>
      <c r="CL23" s="1212">
        <f t="shared" ca="1" si="40"/>
        <v>0</v>
      </c>
      <c r="CM23" s="1213">
        <f t="shared" ca="1" si="41"/>
        <v>0</v>
      </c>
      <c r="CN23" s="1587">
        <f t="shared" ca="1" si="42"/>
        <v>0</v>
      </c>
    </row>
    <row r="24" spans="1:92">
      <c r="A24" s="141" t="str">
        <f>'銀行-TSS'!A24</f>
        <v>US38141GCU67</v>
      </c>
      <c r="B24" s="151" t="str">
        <f ca="1">VLOOKUP(A24,'銀行-TSS'!A:B,2,FALSE)</f>
        <v>XFG80</v>
      </c>
      <c r="C24" s="151" t="str">
        <f ca="1">VLOOKUP(B24,bond!B:C,2,FALSE)</f>
        <v>高盛集團美元配息債券 6.125% 2033/2/15</v>
      </c>
      <c r="D24" s="95" t="str">
        <f>VLOOKUP(A24,'銀行-TSS'!A:C,3,FALSE)</f>
        <v>USD</v>
      </c>
      <c r="E24" s="90">
        <f ca="1">VLOOKUP(A24,'銀行-TSS'!A:G,7,FALSE)</f>
        <v>8.6199999999999992</v>
      </c>
      <c r="F24" s="202">
        <f ca="1">VLOOKUP(A24,'銀行-TSS'!A:H,8,FALSE)</f>
        <v>6.1249999999999999E-2</v>
      </c>
      <c r="G24" s="96">
        <f ca="1">VLOOKUP(A24,'銀行-TSS'!A:K,11,FALSE)</f>
        <v>111.41</v>
      </c>
      <c r="H24" s="1209">
        <f ca="1">VLOOKUP(A24,'銀行-TSS'!A:M,13,FALSE)</f>
        <v>4.82E-2</v>
      </c>
      <c r="I24" s="1213">
        <f ca="1">VLOOKUP(A24,'銀行-TSS'!A:N,14,FALSE)</f>
        <v>10000</v>
      </c>
      <c r="J24" s="1213">
        <f ca="1">VLOOKUP(A24,'銀行-TSS'!A:O,15,FALSE)</f>
        <v>1000</v>
      </c>
      <c r="K24" s="136" t="str">
        <f ca="1">VLOOKUP(A24,'銀行-TSS'!A:V,22,FALSE)</f>
        <v>(PI)專投</v>
      </c>
      <c r="L24" s="136" t="str">
        <f ca="1">VLOOKUP(A24,'銀行-TSS'!A:AK,37,FALSE)</f>
        <v>有</v>
      </c>
      <c r="M24" s="136" t="str">
        <f ca="1">VLOOKUP(A24,'銀行-TSS'!A:AN,40,FALSE)</f>
        <v/>
      </c>
      <c r="N24" s="136">
        <f t="shared" ca="1" si="0"/>
        <v>1114.0999999999999</v>
      </c>
      <c r="O24" s="1213">
        <f t="shared" ca="1" si="1"/>
        <v>11141</v>
      </c>
      <c r="P24" s="1213">
        <f ca="1">IF(AND($O$1&gt;=O24,換券單檔!$D$13=D24),I24+INT(($O$1-O24)/N24)*J24,0)</f>
        <v>86000</v>
      </c>
      <c r="Q24" s="1213">
        <f t="shared" ca="1" si="2"/>
        <v>5267.5</v>
      </c>
      <c r="R24" s="1213">
        <f t="shared" ca="1" si="43"/>
        <v>86000</v>
      </c>
      <c r="S24" s="1213">
        <f t="shared" ca="1" si="44"/>
        <v>5267.5</v>
      </c>
      <c r="T24" s="136">
        <f ca="1">IF(OR(R24=0,A24=0),0,IF(AND(V24=TRUE,換券單檔!$D$13=D24),E24,0))</f>
        <v>8.6199999999999992</v>
      </c>
      <c r="U24" s="861">
        <f ca="1">IF(OR(R24=0,A24=0),0,IF(AND(V24=TRUE,換券單檔!$D$13=D24),H24,0))</f>
        <v>4.82E-2</v>
      </c>
      <c r="V24" s="136" t="b">
        <f ca="1">IF(OR(B24=換券單檔!$D$3,L24="無",M24&lt;&gt;"",K24="高資產",IFERROR(MATCH(B24,換券單檔!K:K,0),"N")&lt;&gt;"N"),FALSE,IF($V$1="All",TRUE,IF(K24=$V$1,TRUE,FALSE)))</f>
        <v>1</v>
      </c>
      <c r="W24" s="136">
        <f ca="1">VLOOKUP(A24,'銀行-TSS'!A:AO,41,FALSE)</f>
        <v>106.58</v>
      </c>
      <c r="X24" s="136">
        <f ca="1">VLOOKUP(A24,'銀行-TSS'!A:AP,42,FALSE)</f>
        <v>6.5862999999999996</v>
      </c>
      <c r="Y24" s="1220">
        <f t="shared" ca="1" si="3"/>
        <v>6036.9235444000005</v>
      </c>
      <c r="Z24" s="1220">
        <f t="shared" ca="1" si="4"/>
        <v>-26820.150812064963</v>
      </c>
      <c r="AA24" s="136">
        <f ca="1">IF(Z24&lt;=0,0,RANK(Z24,Z:Z)+COUNTIF($Z$3:$Z24,Z24)-1)</f>
        <v>0</v>
      </c>
      <c r="AB24" s="1211">
        <f t="shared" ca="1" si="5"/>
        <v>-22859.216455599999</v>
      </c>
      <c r="AC24" s="136">
        <f ca="1">IF(AB24&lt;=0,0,RANK(AB24,AB:AB)+COUNTIF($AB$3:$AB24,AB24)-1)</f>
        <v>0</v>
      </c>
      <c r="AD24" s="1123">
        <f t="shared" ca="1" si="6"/>
        <v>99999</v>
      </c>
      <c r="AE24" s="1123">
        <f ca="1">IF(AD24=99999,0,RANK(AD24,AD:AD,1)+COUNTIF($AD$3:$AD24,AD24)-1)</f>
        <v>0</v>
      </c>
      <c r="AF24" s="86" t="b">
        <f ca="1">IF(OR(M24&lt;&gt;"",L24="無",K24="高資產",IFERROR(MATCH(B24,換券單檔!K:K,0),"N")&lt;&gt;"N"),FALSE,TRUE)</f>
        <v>1</v>
      </c>
      <c r="AI24" s="1212">
        <f t="shared" ca="1" si="7"/>
        <v>86000</v>
      </c>
      <c r="AJ24" s="1213">
        <f t="shared" ca="1" si="8"/>
        <v>5267.5</v>
      </c>
      <c r="AK24" s="1587">
        <f t="shared" ca="1" si="9"/>
        <v>-26820.150812064963</v>
      </c>
      <c r="AN24" s="1212">
        <f t="shared" ca="1" si="10"/>
        <v>49000</v>
      </c>
      <c r="AO24" s="1213">
        <f t="shared" ca="1" si="11"/>
        <v>3001.25</v>
      </c>
      <c r="AP24" s="1587">
        <f t="shared" ca="1" si="12"/>
        <v>-99876.977958236661</v>
      </c>
      <c r="AS24" s="1212">
        <f t="shared" ca="1" si="13"/>
        <v>84000</v>
      </c>
      <c r="AT24" s="1213">
        <f t="shared" ca="1" si="14"/>
        <v>5145</v>
      </c>
      <c r="AU24" s="1587">
        <f t="shared" ca="1" si="15"/>
        <v>-31236.983758700695</v>
      </c>
      <c r="AX24" s="1212">
        <f t="shared" ca="1" si="16"/>
        <v>78000</v>
      </c>
      <c r="AY24" s="1213">
        <f t="shared" ca="1" si="17"/>
        <v>4777.5</v>
      </c>
      <c r="AZ24" s="1587">
        <f t="shared" ca="1" si="18"/>
        <v>-43074.489559164736</v>
      </c>
      <c r="BC24" s="1212">
        <f t="shared" ca="1" si="19"/>
        <v>0</v>
      </c>
      <c r="BD24" s="1213">
        <f t="shared" ca="1" si="20"/>
        <v>0</v>
      </c>
      <c r="BE24" s="1587">
        <f t="shared" ca="1" si="21"/>
        <v>0</v>
      </c>
      <c r="BH24" s="1212">
        <f t="shared" ca="1" si="22"/>
        <v>0</v>
      </c>
      <c r="BI24" s="1213">
        <f t="shared" ca="1" si="23"/>
        <v>0</v>
      </c>
      <c r="BJ24" s="1587">
        <f t="shared" ca="1" si="24"/>
        <v>0</v>
      </c>
      <c r="BM24" s="1212">
        <f t="shared" ca="1" si="25"/>
        <v>0</v>
      </c>
      <c r="BN24" s="1213">
        <f t="shared" ca="1" si="26"/>
        <v>0</v>
      </c>
      <c r="BO24" s="1587">
        <f t="shared" ca="1" si="27"/>
        <v>0</v>
      </c>
      <c r="BR24" s="1212">
        <f t="shared" ca="1" si="28"/>
        <v>0</v>
      </c>
      <c r="BS24" s="1213">
        <f t="shared" ca="1" si="29"/>
        <v>0</v>
      </c>
      <c r="BT24" s="1587">
        <f t="shared" ca="1" si="30"/>
        <v>0</v>
      </c>
      <c r="BW24" s="1212">
        <f t="shared" ca="1" si="31"/>
        <v>0</v>
      </c>
      <c r="BX24" s="1213">
        <f t="shared" ca="1" si="32"/>
        <v>0</v>
      </c>
      <c r="BY24" s="1587">
        <f t="shared" ca="1" si="33"/>
        <v>0</v>
      </c>
      <c r="CB24" s="1212">
        <f t="shared" ca="1" si="34"/>
        <v>0</v>
      </c>
      <c r="CC24" s="1213">
        <f t="shared" ca="1" si="35"/>
        <v>0</v>
      </c>
      <c r="CD24" s="1587">
        <f t="shared" ca="1" si="36"/>
        <v>0</v>
      </c>
      <c r="CG24" s="1212">
        <f t="shared" ca="1" si="37"/>
        <v>0</v>
      </c>
      <c r="CH24" s="1213">
        <f t="shared" ca="1" si="38"/>
        <v>0</v>
      </c>
      <c r="CI24" s="1587">
        <f t="shared" ca="1" si="39"/>
        <v>0</v>
      </c>
      <c r="CL24" s="1212">
        <f t="shared" ca="1" si="40"/>
        <v>0</v>
      </c>
      <c r="CM24" s="1213">
        <f t="shared" ca="1" si="41"/>
        <v>0</v>
      </c>
      <c r="CN24" s="1587">
        <f t="shared" ca="1" si="42"/>
        <v>0</v>
      </c>
    </row>
    <row r="25" spans="1:92">
      <c r="A25" s="141" t="str">
        <f>'銀行-TSS'!A25</f>
        <v>XS0085517661</v>
      </c>
      <c r="B25" s="151" t="str">
        <f ca="1">VLOOKUP(A25,'銀行-TSS'!A:B,2,FALSE)</f>
        <v>XFI10</v>
      </c>
      <c r="C25" s="151" t="str">
        <f ca="1">VLOOKUP(B25,bond!B:C,2,FALSE)</f>
        <v>荷蘭市鎮銀行南非幣零息債券 0% 2025/12/31</v>
      </c>
      <c r="D25" s="95" t="str">
        <f>VLOOKUP(A25,'銀行-TSS'!A:C,3,FALSE)</f>
        <v>ZAR</v>
      </c>
      <c r="E25" s="90">
        <f ca="1">VLOOKUP(A25,'銀行-TSS'!A:G,7,FALSE)</f>
        <v>1.49</v>
      </c>
      <c r="F25" s="202">
        <f ca="1">VLOOKUP(A25,'銀行-TSS'!A:H,8,FALSE)</f>
        <v>0</v>
      </c>
      <c r="G25" s="96">
        <f ca="1">VLOOKUP(A25,'銀行-TSS'!A:K,11,FALSE)</f>
        <v>90.58</v>
      </c>
      <c r="H25" s="1209">
        <f ca="1">VLOOKUP(A25,'銀行-TSS'!A:M,13,FALSE)</f>
        <v>6.8599999999999994E-2</v>
      </c>
      <c r="I25" s="1213">
        <f ca="1">VLOOKUP(A25,'銀行-TSS'!A:N,14,FALSE)</f>
        <v>100000</v>
      </c>
      <c r="J25" s="1213">
        <f ca="1">VLOOKUP(A25,'銀行-TSS'!A:O,15,FALSE)</f>
        <v>5000</v>
      </c>
      <c r="K25" s="136" t="str">
        <f ca="1">VLOOKUP(A25,'銀行-TSS'!A:V,22,FALSE)</f>
        <v>(NPI)非專投</v>
      </c>
      <c r="L25" s="136" t="str">
        <f ca="1">VLOOKUP(A25,'銀行-TSS'!A:AK,37,FALSE)</f>
        <v>無</v>
      </c>
      <c r="M25" s="136" t="str">
        <f ca="1">VLOOKUP(A25,'銀行-TSS'!A:AN,40,FALSE)</f>
        <v>XFI10</v>
      </c>
      <c r="N25" s="136">
        <f t="shared" ca="1" si="0"/>
        <v>4529</v>
      </c>
      <c r="O25" s="1213">
        <f t="shared" ca="1" si="1"/>
        <v>90580</v>
      </c>
      <c r="P25" s="1213">
        <f ca="1">IF(AND($O$1&gt;=O25,換券單檔!$D$13=D25),I25+INT(($O$1-O25)/N25)*J25,0)</f>
        <v>0</v>
      </c>
      <c r="Q25" s="1213">
        <f t="shared" ca="1" si="2"/>
        <v>0</v>
      </c>
      <c r="R25" s="1213">
        <f t="shared" ca="1" si="43"/>
        <v>0</v>
      </c>
      <c r="S25" s="1213">
        <f t="shared" ca="1" si="44"/>
        <v>0</v>
      </c>
      <c r="T25" s="136">
        <f ca="1">IF(OR(R25=0,A25=0),0,IF(AND(V25=TRUE,換券單檔!$D$13=D25),E25,0))</f>
        <v>0</v>
      </c>
      <c r="U25" s="861">
        <f ca="1">IF(OR(R25=0,A25=0),0,IF(AND(V25=TRUE,換券單檔!$D$13=D25),H25,0))</f>
        <v>0</v>
      </c>
      <c r="V25" s="136" t="b">
        <f ca="1">IF(OR(B25=換券單檔!$D$3,L25="無",M25&lt;&gt;"",K25="高資產",IFERROR(MATCH(B25,換券單檔!K:K,0),"N")&lt;&gt;"N"),FALSE,IF($V$1="All",TRUE,IF(K25=$V$1,TRUE,FALSE)))</f>
        <v>0</v>
      </c>
      <c r="W25" s="136">
        <f ca="1">VLOOKUP(A25,'銀行-TSS'!A:AO,41,FALSE)</f>
        <v>89.58</v>
      </c>
      <c r="X25" s="136">
        <f ca="1">VLOOKUP(A25,'銀行-TSS'!A:AP,42,FALSE)</f>
        <v>1.3824000000000001</v>
      </c>
      <c r="Y25" s="1220">
        <f t="shared" ca="1" si="3"/>
        <v>0</v>
      </c>
      <c r="Z25" s="1220">
        <f t="shared" ca="1" si="4"/>
        <v>0</v>
      </c>
      <c r="AA25" s="136">
        <f ca="1">IF(Z25&lt;=0,0,RANK(Z25,Z:Z)+COUNTIF($Z$3:$Z25,Z25)-1)</f>
        <v>0</v>
      </c>
      <c r="AB25" s="1211">
        <f t="shared" ca="1" si="5"/>
        <v>-14896.14</v>
      </c>
      <c r="AC25" s="136">
        <f ca="1">IF(AB25&lt;=0,0,RANK(AB25,AB:AB)+COUNTIF($AB$3:$AB25,AB25)-1)</f>
        <v>0</v>
      </c>
      <c r="AD25" s="1123">
        <f t="shared" ca="1" si="6"/>
        <v>99999</v>
      </c>
      <c r="AE25" s="1123">
        <f ca="1">IF(AD25=99999,0,RANK(AD25,AD:AD,1)+COUNTIF($AD$3:$AD25,AD25)-1)</f>
        <v>0</v>
      </c>
      <c r="AF25" s="86" t="b">
        <f ca="1">IF(OR(M25&lt;&gt;"",L25="無",K25="高資產",IFERROR(MATCH(B25,換券單檔!K:K,0),"N")&lt;&gt;"N"),FALSE,TRUE)</f>
        <v>0</v>
      </c>
      <c r="AI25" s="1212">
        <f t="shared" ca="1" si="7"/>
        <v>0</v>
      </c>
      <c r="AJ25" s="1213">
        <f t="shared" ca="1" si="8"/>
        <v>0</v>
      </c>
      <c r="AK25" s="1587">
        <f t="shared" ca="1" si="9"/>
        <v>0</v>
      </c>
      <c r="AN25" s="1212">
        <f t="shared" ca="1" si="10"/>
        <v>0</v>
      </c>
      <c r="AO25" s="1213">
        <f t="shared" ca="1" si="11"/>
        <v>0</v>
      </c>
      <c r="AP25" s="1587">
        <f t="shared" ca="1" si="12"/>
        <v>0</v>
      </c>
      <c r="AS25" s="1212">
        <f t="shared" ca="1" si="13"/>
        <v>0</v>
      </c>
      <c r="AT25" s="1213">
        <f t="shared" ca="1" si="14"/>
        <v>0</v>
      </c>
      <c r="AU25" s="1587">
        <f t="shared" ca="1" si="15"/>
        <v>0</v>
      </c>
      <c r="AX25" s="1212">
        <f t="shared" ca="1" si="16"/>
        <v>0</v>
      </c>
      <c r="AY25" s="1213">
        <f t="shared" ca="1" si="17"/>
        <v>0</v>
      </c>
      <c r="AZ25" s="1587">
        <f t="shared" ca="1" si="18"/>
        <v>0</v>
      </c>
      <c r="BC25" s="1212">
        <f t="shared" ca="1" si="19"/>
        <v>0</v>
      </c>
      <c r="BD25" s="1213">
        <f t="shared" ca="1" si="20"/>
        <v>0</v>
      </c>
      <c r="BE25" s="1587">
        <f t="shared" ca="1" si="21"/>
        <v>0</v>
      </c>
      <c r="BH25" s="1212">
        <f t="shared" ca="1" si="22"/>
        <v>0</v>
      </c>
      <c r="BI25" s="1213">
        <f t="shared" ca="1" si="23"/>
        <v>0</v>
      </c>
      <c r="BJ25" s="1587">
        <f t="shared" ca="1" si="24"/>
        <v>0</v>
      </c>
      <c r="BM25" s="1212">
        <f t="shared" ca="1" si="25"/>
        <v>0</v>
      </c>
      <c r="BN25" s="1213">
        <f t="shared" ca="1" si="26"/>
        <v>0</v>
      </c>
      <c r="BO25" s="1587">
        <f t="shared" ca="1" si="27"/>
        <v>0</v>
      </c>
      <c r="BR25" s="1212">
        <f t="shared" ca="1" si="28"/>
        <v>0</v>
      </c>
      <c r="BS25" s="1213">
        <f t="shared" ca="1" si="29"/>
        <v>0</v>
      </c>
      <c r="BT25" s="1587">
        <f t="shared" ca="1" si="30"/>
        <v>0</v>
      </c>
      <c r="BW25" s="1212">
        <f t="shared" ca="1" si="31"/>
        <v>0</v>
      </c>
      <c r="BX25" s="1213">
        <f t="shared" ca="1" si="32"/>
        <v>0</v>
      </c>
      <c r="BY25" s="1587">
        <f t="shared" ca="1" si="33"/>
        <v>0</v>
      </c>
      <c r="CB25" s="1212">
        <f t="shared" ca="1" si="34"/>
        <v>0</v>
      </c>
      <c r="CC25" s="1213">
        <f t="shared" ca="1" si="35"/>
        <v>0</v>
      </c>
      <c r="CD25" s="1587">
        <f t="shared" ca="1" si="36"/>
        <v>0</v>
      </c>
      <c r="CG25" s="1212">
        <f t="shared" ca="1" si="37"/>
        <v>0</v>
      </c>
      <c r="CH25" s="1213">
        <f t="shared" ca="1" si="38"/>
        <v>0</v>
      </c>
      <c r="CI25" s="1587">
        <f t="shared" ca="1" si="39"/>
        <v>0</v>
      </c>
      <c r="CL25" s="1212">
        <f t="shared" ca="1" si="40"/>
        <v>0</v>
      </c>
      <c r="CM25" s="1213">
        <f t="shared" ca="1" si="41"/>
        <v>0</v>
      </c>
      <c r="CN25" s="1587">
        <f t="shared" ca="1" si="42"/>
        <v>0</v>
      </c>
    </row>
    <row r="26" spans="1:92">
      <c r="A26" s="141" t="str">
        <f>'銀行-TSS'!A26</f>
        <v>XS0078962809</v>
      </c>
      <c r="B26" s="151" t="str">
        <f ca="1">VLOOKUP(A26,'銀行-TSS'!A:B,2,FALSE)</f>
        <v>XFI60</v>
      </c>
      <c r="C26" s="151" t="str">
        <f ca="1">VLOOKUP(B26,bond!B:C,2,FALSE)</f>
        <v>南非開發銀行南非幣零息債券 0% 2027/12/31</v>
      </c>
      <c r="D26" s="95" t="str">
        <f>VLOOKUP(A26,'銀行-TSS'!A:C,3,FALSE)</f>
        <v>ZAR</v>
      </c>
      <c r="E26" s="90">
        <f ca="1">VLOOKUP(A26,'銀行-TSS'!A:G,7,FALSE)</f>
        <v>3.49</v>
      </c>
      <c r="F26" s="202">
        <f ca="1">VLOOKUP(A26,'銀行-TSS'!A:H,8,FALSE)</f>
        <v>0</v>
      </c>
      <c r="G26" s="96">
        <f ca="1">VLOOKUP(A26,'銀行-TSS'!A:K,11,FALSE)</f>
        <v>72</v>
      </c>
      <c r="H26" s="1209">
        <f ca="1">VLOOKUP(A26,'銀行-TSS'!A:M,13,FALSE)</f>
        <v>9.8699999999999996E-2</v>
      </c>
      <c r="I26" s="1213">
        <f ca="1">VLOOKUP(A26,'銀行-TSS'!A:N,14,FALSE)</f>
        <v>100000</v>
      </c>
      <c r="J26" s="1213">
        <f ca="1">VLOOKUP(A26,'銀行-TSS'!A:O,15,FALSE)</f>
        <v>5000</v>
      </c>
      <c r="K26" s="136" t="str">
        <f ca="1">VLOOKUP(A26,'銀行-TSS'!A:V,22,FALSE)</f>
        <v>高資產</v>
      </c>
      <c r="L26" s="136" t="str">
        <f ca="1">VLOOKUP(A26,'銀行-TSS'!A:AK,37,FALSE)</f>
        <v>有</v>
      </c>
      <c r="M26" s="136" t="str">
        <f ca="1">VLOOKUP(A26,'銀行-TSS'!A:AN,40,FALSE)</f>
        <v>XFI60</v>
      </c>
      <c r="N26" s="136">
        <f t="shared" ca="1" si="0"/>
        <v>3600</v>
      </c>
      <c r="O26" s="1213">
        <f t="shared" ca="1" si="1"/>
        <v>72000</v>
      </c>
      <c r="P26" s="1213">
        <f ca="1">IF(AND($O$1&gt;=O26,換券單檔!$D$13=D26),I26+INT(($O$1-O26)/N26)*J26,0)</f>
        <v>0</v>
      </c>
      <c r="Q26" s="1213">
        <f t="shared" ca="1" si="2"/>
        <v>0</v>
      </c>
      <c r="R26" s="1213">
        <f t="shared" ca="1" si="43"/>
        <v>0</v>
      </c>
      <c r="S26" s="1213">
        <f t="shared" ca="1" si="44"/>
        <v>0</v>
      </c>
      <c r="T26" s="136">
        <f ca="1">IF(OR(R26=0,A26=0),0,IF(AND(V26=TRUE,換券單檔!$D$13=D26),E26,0))</f>
        <v>0</v>
      </c>
      <c r="U26" s="861">
        <f ca="1">IF(OR(R26=0,A26=0),0,IF(AND(V26=TRUE,換券單檔!$D$13=D26),H26,0))</f>
        <v>0</v>
      </c>
      <c r="V26" s="136" t="b">
        <f ca="1">IF(OR(B26=換券單檔!$D$3,L26="無",M26&lt;&gt;"",K26="高資產",IFERROR(MATCH(B26,換券單檔!K:K,0),"N")&lt;&gt;"N"),FALSE,IF($V$1="All",TRUE,IF(K26=$V$1,TRUE,FALSE)))</f>
        <v>0</v>
      </c>
      <c r="W26" s="136">
        <f ca="1">VLOOKUP(A26,'銀行-TSS'!A:AO,41,FALSE)</f>
        <v>69.5</v>
      </c>
      <c r="X26" s="136">
        <f ca="1">VLOOKUP(A26,'銀行-TSS'!A:AP,42,FALSE)</f>
        <v>3.3146</v>
      </c>
      <c r="Y26" s="1220">
        <f t="shared" ca="1" si="3"/>
        <v>0</v>
      </c>
      <c r="Z26" s="1220">
        <f t="shared" ca="1" si="4"/>
        <v>0</v>
      </c>
      <c r="AA26" s="136">
        <f ca="1">IF(Z26&lt;=0,0,RANK(Z26,Z:Z)+COUNTIF($Z$3:$Z26,Z26)-1)</f>
        <v>0</v>
      </c>
      <c r="AB26" s="1211">
        <f t="shared" ca="1" si="5"/>
        <v>-14896.14</v>
      </c>
      <c r="AC26" s="136">
        <f ca="1">IF(AB26&lt;=0,0,RANK(AB26,AB:AB)+COUNTIF($AB$3:$AB26,AB26)-1)</f>
        <v>0</v>
      </c>
      <c r="AD26" s="1123">
        <f t="shared" ca="1" si="6"/>
        <v>99999</v>
      </c>
      <c r="AE26" s="1123">
        <f ca="1">IF(AD26=99999,0,RANK(AD26,AD:AD,1)+COUNTIF($AD$3:$AD26,AD26)-1)</f>
        <v>0</v>
      </c>
      <c r="AF26" s="86" t="b">
        <f ca="1">IF(OR(M26&lt;&gt;"",L26="無",K26="高資產",IFERROR(MATCH(B26,換券單檔!K:K,0),"N")&lt;&gt;"N"),FALSE,TRUE)</f>
        <v>0</v>
      </c>
      <c r="AI26" s="1212">
        <f t="shared" ca="1" si="7"/>
        <v>0</v>
      </c>
      <c r="AJ26" s="1213">
        <f t="shared" ca="1" si="8"/>
        <v>0</v>
      </c>
      <c r="AK26" s="1587">
        <f t="shared" ca="1" si="9"/>
        <v>0</v>
      </c>
      <c r="AN26" s="1212">
        <f t="shared" ca="1" si="10"/>
        <v>0</v>
      </c>
      <c r="AO26" s="1213">
        <f t="shared" ca="1" si="11"/>
        <v>0</v>
      </c>
      <c r="AP26" s="1587">
        <f t="shared" ca="1" si="12"/>
        <v>0</v>
      </c>
      <c r="AS26" s="1212">
        <f t="shared" ca="1" si="13"/>
        <v>0</v>
      </c>
      <c r="AT26" s="1213">
        <f t="shared" ca="1" si="14"/>
        <v>0</v>
      </c>
      <c r="AU26" s="1587">
        <f t="shared" ca="1" si="15"/>
        <v>0</v>
      </c>
      <c r="AX26" s="1212">
        <f t="shared" ca="1" si="16"/>
        <v>0</v>
      </c>
      <c r="AY26" s="1213">
        <f t="shared" ca="1" si="17"/>
        <v>0</v>
      </c>
      <c r="AZ26" s="1587">
        <f t="shared" ca="1" si="18"/>
        <v>0</v>
      </c>
      <c r="BC26" s="1212">
        <f t="shared" ca="1" si="19"/>
        <v>0</v>
      </c>
      <c r="BD26" s="1213">
        <f t="shared" ca="1" si="20"/>
        <v>0</v>
      </c>
      <c r="BE26" s="1587">
        <f t="shared" ca="1" si="21"/>
        <v>0</v>
      </c>
      <c r="BH26" s="1212">
        <f t="shared" ca="1" si="22"/>
        <v>0</v>
      </c>
      <c r="BI26" s="1213">
        <f t="shared" ca="1" si="23"/>
        <v>0</v>
      </c>
      <c r="BJ26" s="1587">
        <f t="shared" ca="1" si="24"/>
        <v>0</v>
      </c>
      <c r="BM26" s="1212">
        <f t="shared" ca="1" si="25"/>
        <v>0</v>
      </c>
      <c r="BN26" s="1213">
        <f t="shared" ca="1" si="26"/>
        <v>0</v>
      </c>
      <c r="BO26" s="1587">
        <f t="shared" ca="1" si="27"/>
        <v>0</v>
      </c>
      <c r="BR26" s="1212">
        <f t="shared" ca="1" si="28"/>
        <v>0</v>
      </c>
      <c r="BS26" s="1213">
        <f t="shared" ca="1" si="29"/>
        <v>0</v>
      </c>
      <c r="BT26" s="1587">
        <f t="shared" ca="1" si="30"/>
        <v>0</v>
      </c>
      <c r="BW26" s="1212">
        <f t="shared" ca="1" si="31"/>
        <v>0</v>
      </c>
      <c r="BX26" s="1213">
        <f t="shared" ca="1" si="32"/>
        <v>0</v>
      </c>
      <c r="BY26" s="1587">
        <f t="shared" ca="1" si="33"/>
        <v>0</v>
      </c>
      <c r="CB26" s="1212">
        <f t="shared" ca="1" si="34"/>
        <v>0</v>
      </c>
      <c r="CC26" s="1213">
        <f t="shared" ca="1" si="35"/>
        <v>0</v>
      </c>
      <c r="CD26" s="1587">
        <f t="shared" ca="1" si="36"/>
        <v>0</v>
      </c>
      <c r="CG26" s="1212">
        <f t="shared" ca="1" si="37"/>
        <v>0</v>
      </c>
      <c r="CH26" s="1213">
        <f t="shared" ca="1" si="38"/>
        <v>0</v>
      </c>
      <c r="CI26" s="1587">
        <f t="shared" ca="1" si="39"/>
        <v>0</v>
      </c>
      <c r="CL26" s="1212">
        <f t="shared" ca="1" si="40"/>
        <v>0</v>
      </c>
      <c r="CM26" s="1213">
        <f t="shared" ca="1" si="41"/>
        <v>0</v>
      </c>
      <c r="CN26" s="1587">
        <f t="shared" ca="1" si="42"/>
        <v>0</v>
      </c>
    </row>
    <row r="27" spans="1:92">
      <c r="A27" s="141" t="str">
        <f>'銀行-TSS'!A27</f>
        <v>US59562VAR87</v>
      </c>
      <c r="B27" s="151" t="str">
        <f ca="1">VLOOKUP(A27,'銀行-TSS'!A:B,2,FALSE)</f>
        <v>XFI70</v>
      </c>
      <c r="C27" s="151" t="str">
        <f ca="1">VLOOKUP(B27,bond!B:C,2,FALSE)</f>
        <v>波克夏海瑟威能源公司美元配息債券 6.5% 2037/9/15</v>
      </c>
      <c r="D27" s="95" t="str">
        <f>VLOOKUP(A27,'銀行-TSS'!A:C,3,FALSE)</f>
        <v>USD</v>
      </c>
      <c r="E27" s="90">
        <f ca="1">VLOOKUP(A27,'銀行-TSS'!A:G,7,FALSE)</f>
        <v>13.2</v>
      </c>
      <c r="F27" s="202">
        <f ca="1">VLOOKUP(A27,'銀行-TSS'!A:H,8,FALSE)</f>
        <v>6.5000000000000002E-2</v>
      </c>
      <c r="G27" s="96">
        <f ca="1">VLOOKUP(A27,'銀行-TSS'!A:K,11,FALSE)</f>
        <v>112.67</v>
      </c>
      <c r="H27" s="1209">
        <f ca="1">VLOOKUP(A27,'銀行-TSS'!A:M,13,FALSE)</f>
        <v>5.3499999999999999E-2</v>
      </c>
      <c r="I27" s="1213">
        <f ca="1">VLOOKUP(A27,'銀行-TSS'!A:N,14,FALSE)</f>
        <v>10000</v>
      </c>
      <c r="J27" s="1213">
        <f ca="1">VLOOKUP(A27,'銀行-TSS'!A:O,15,FALSE)</f>
        <v>1000</v>
      </c>
      <c r="K27" s="136" t="str">
        <f ca="1">VLOOKUP(A27,'銀行-TSS'!A:V,22,FALSE)</f>
        <v>(NPI)非專投</v>
      </c>
      <c r="L27" s="136" t="str">
        <f ca="1">VLOOKUP(A27,'銀行-TSS'!A:AK,37,FALSE)</f>
        <v>無</v>
      </c>
      <c r="M27" s="136" t="str">
        <f ca="1">VLOOKUP(A27,'銀行-TSS'!A:AN,40,FALSE)</f>
        <v>XFI70</v>
      </c>
      <c r="N27" s="136">
        <f t="shared" ca="1" si="0"/>
        <v>1126.7</v>
      </c>
      <c r="O27" s="1213">
        <f t="shared" ca="1" si="1"/>
        <v>11267</v>
      </c>
      <c r="P27" s="1213">
        <f ca="1">IF(AND($O$1&gt;=O27,換券單檔!$D$13=D27),I27+INT(($O$1-O27)/N27)*J27,0)</f>
        <v>85000</v>
      </c>
      <c r="Q27" s="1213">
        <f t="shared" ca="1" si="2"/>
        <v>5525</v>
      </c>
      <c r="R27" s="1213">
        <f t="shared" ca="1" si="43"/>
        <v>0</v>
      </c>
      <c r="S27" s="1213">
        <f t="shared" ca="1" si="44"/>
        <v>0</v>
      </c>
      <c r="T27" s="136">
        <f ca="1">IF(OR(R27=0,A27=0),0,IF(AND(V27=TRUE,換券單檔!$D$13=D27),E27,0))</f>
        <v>0</v>
      </c>
      <c r="U27" s="861">
        <f ca="1">IF(OR(R27=0,A27=0),0,IF(AND(V27=TRUE,換券單檔!$D$13=D27),H27,0))</f>
        <v>0</v>
      </c>
      <c r="V27" s="136" t="b">
        <f ca="1">IF(OR(B27=換券單檔!$D$3,L27="無",M27&lt;&gt;"",K27="高資產",IFERROR(MATCH(B27,換券單檔!K:K,0),"N")&lt;&gt;"N"),FALSE,IF($V$1="All",TRUE,IF(K27=$V$1,TRUE,FALSE)))</f>
        <v>0</v>
      </c>
      <c r="W27" s="136">
        <f ca="1">VLOOKUP(A27,'銀行-TSS'!A:AO,41,FALSE)</f>
        <v>108.24000000000001</v>
      </c>
      <c r="X27" s="136">
        <f ca="1">VLOOKUP(A27,'銀行-TSS'!A:AP,42,FALSE)</f>
        <v>8.8469999999999995</v>
      </c>
      <c r="Y27" s="1220">
        <f t="shared" ca="1" si="3"/>
        <v>0</v>
      </c>
      <c r="Z27" s="1220">
        <f t="shared" ca="1" si="4"/>
        <v>0</v>
      </c>
      <c r="AA27" s="136">
        <f ca="1">IF(Z27&lt;=0,0,RANK(Z27,Z:Z)+COUNTIF($Z$3:$Z27,Z27)-1)</f>
        <v>0</v>
      </c>
      <c r="AB27" s="1211">
        <f t="shared" ca="1" si="5"/>
        <v>-14896.14</v>
      </c>
      <c r="AC27" s="136">
        <f ca="1">IF(AB27&lt;=0,0,RANK(AB27,AB:AB)+COUNTIF($AB$3:$AB27,AB27)-1)</f>
        <v>0</v>
      </c>
      <c r="AD27" s="1123">
        <f t="shared" ca="1" si="6"/>
        <v>99999</v>
      </c>
      <c r="AE27" s="1123">
        <f ca="1">IF(AD27=99999,0,RANK(AD27,AD:AD,1)+COUNTIF($AD$3:$AD27,AD27)-1)</f>
        <v>0</v>
      </c>
      <c r="AF27" s="86" t="b">
        <f ca="1">IF(OR(M27&lt;&gt;"",L27="無",K27="高資產",IFERROR(MATCH(B27,換券單檔!K:K,0),"N")&lt;&gt;"N"),FALSE,TRUE)</f>
        <v>0</v>
      </c>
      <c r="AI27" s="1212">
        <f t="shared" ca="1" si="7"/>
        <v>0</v>
      </c>
      <c r="AJ27" s="1213">
        <f t="shared" ca="1" si="8"/>
        <v>0</v>
      </c>
      <c r="AK27" s="1587">
        <f t="shared" ca="1" si="9"/>
        <v>0</v>
      </c>
      <c r="AN27" s="1212">
        <f t="shared" ca="1" si="10"/>
        <v>0</v>
      </c>
      <c r="AO27" s="1213">
        <f t="shared" ca="1" si="11"/>
        <v>0</v>
      </c>
      <c r="AP27" s="1587">
        <f t="shared" ca="1" si="12"/>
        <v>0</v>
      </c>
      <c r="AS27" s="1212">
        <f t="shared" ca="1" si="13"/>
        <v>0</v>
      </c>
      <c r="AT27" s="1213">
        <f t="shared" ca="1" si="14"/>
        <v>0</v>
      </c>
      <c r="AU27" s="1587">
        <f t="shared" ca="1" si="15"/>
        <v>0</v>
      </c>
      <c r="AX27" s="1212">
        <f t="shared" ca="1" si="16"/>
        <v>0</v>
      </c>
      <c r="AY27" s="1213">
        <f t="shared" ca="1" si="17"/>
        <v>0</v>
      </c>
      <c r="AZ27" s="1587">
        <f t="shared" ca="1" si="18"/>
        <v>0</v>
      </c>
      <c r="BC27" s="1212">
        <f t="shared" ca="1" si="19"/>
        <v>0</v>
      </c>
      <c r="BD27" s="1213">
        <f t="shared" ca="1" si="20"/>
        <v>0</v>
      </c>
      <c r="BE27" s="1587">
        <f t="shared" ca="1" si="21"/>
        <v>0</v>
      </c>
      <c r="BH27" s="1212">
        <f t="shared" ca="1" si="22"/>
        <v>0</v>
      </c>
      <c r="BI27" s="1213">
        <f t="shared" ca="1" si="23"/>
        <v>0</v>
      </c>
      <c r="BJ27" s="1587">
        <f t="shared" ca="1" si="24"/>
        <v>0</v>
      </c>
      <c r="BM27" s="1212">
        <f t="shared" ca="1" si="25"/>
        <v>0</v>
      </c>
      <c r="BN27" s="1213">
        <f t="shared" ca="1" si="26"/>
        <v>0</v>
      </c>
      <c r="BO27" s="1587">
        <f t="shared" ca="1" si="27"/>
        <v>0</v>
      </c>
      <c r="BR27" s="1212">
        <f t="shared" ca="1" si="28"/>
        <v>0</v>
      </c>
      <c r="BS27" s="1213">
        <f t="shared" ca="1" si="29"/>
        <v>0</v>
      </c>
      <c r="BT27" s="1587">
        <f t="shared" ca="1" si="30"/>
        <v>0</v>
      </c>
      <c r="BW27" s="1212">
        <f t="shared" ca="1" si="31"/>
        <v>0</v>
      </c>
      <c r="BX27" s="1213">
        <f t="shared" ca="1" si="32"/>
        <v>0</v>
      </c>
      <c r="BY27" s="1587">
        <f t="shared" ca="1" si="33"/>
        <v>0</v>
      </c>
      <c r="CB27" s="1212">
        <f t="shared" ca="1" si="34"/>
        <v>0</v>
      </c>
      <c r="CC27" s="1213">
        <f t="shared" ca="1" si="35"/>
        <v>0</v>
      </c>
      <c r="CD27" s="1587">
        <f t="shared" ca="1" si="36"/>
        <v>0</v>
      </c>
      <c r="CG27" s="1212">
        <f t="shared" ca="1" si="37"/>
        <v>0</v>
      </c>
      <c r="CH27" s="1213">
        <f t="shared" ca="1" si="38"/>
        <v>0</v>
      </c>
      <c r="CI27" s="1587">
        <f t="shared" ca="1" si="39"/>
        <v>0</v>
      </c>
      <c r="CL27" s="1212">
        <f t="shared" ca="1" si="40"/>
        <v>0</v>
      </c>
      <c r="CM27" s="1213">
        <f t="shared" ca="1" si="41"/>
        <v>0</v>
      </c>
      <c r="CN27" s="1587">
        <f t="shared" ca="1" si="42"/>
        <v>0</v>
      </c>
    </row>
    <row r="28" spans="1:92">
      <c r="A28" s="141" t="str">
        <f>'銀行-TSS'!A28</f>
        <v>XS1490623516</v>
      </c>
      <c r="B28" s="151" t="str">
        <f ca="1">VLOOKUP(A28,'銀行-TSS'!A:B,2,FALSE)</f>
        <v>XFI80</v>
      </c>
      <c r="C28" s="151" t="str">
        <f ca="1">VLOOKUP(B28,bond!B:C,2,FALSE)</f>
        <v>富士康美元配息債券 3% 2026/9/23</v>
      </c>
      <c r="D28" s="95" t="str">
        <f>VLOOKUP(A28,'銀行-TSS'!A:C,3,FALSE)</f>
        <v>USD</v>
      </c>
      <c r="E28" s="90">
        <f ca="1">VLOOKUP(A28,'銀行-TSS'!A:G,7,FALSE)</f>
        <v>2.2200000000000002</v>
      </c>
      <c r="F28" s="202">
        <f ca="1">VLOOKUP(A28,'銀行-TSS'!A:H,8,FALSE)</f>
        <v>0.03</v>
      </c>
      <c r="G28" s="96">
        <f ca="1">VLOOKUP(A28,'銀行-TSS'!A:K,11,FALSE)</f>
        <v>97.929999999999993</v>
      </c>
      <c r="H28" s="1209">
        <f ca="1">VLOOKUP(A28,'銀行-TSS'!A:M,13,FALSE)</f>
        <v>4.3799999999999999E-2</v>
      </c>
      <c r="I28" s="1213">
        <f ca="1">VLOOKUP(A28,'銀行-TSS'!A:N,14,FALSE)</f>
        <v>200000</v>
      </c>
      <c r="J28" s="1213">
        <f ca="1">VLOOKUP(A28,'銀行-TSS'!A:O,15,FALSE)</f>
        <v>1000</v>
      </c>
      <c r="K28" s="136" t="str">
        <f ca="1">VLOOKUP(A28,'銀行-TSS'!A:V,22,FALSE)</f>
        <v>(NPI)非專投</v>
      </c>
      <c r="L28" s="136" t="str">
        <f ca="1">VLOOKUP(A28,'銀行-TSS'!A:AK,37,FALSE)</f>
        <v>無</v>
      </c>
      <c r="M28" s="136" t="str">
        <f ca="1">VLOOKUP(A28,'銀行-TSS'!A:AN,40,FALSE)</f>
        <v/>
      </c>
      <c r="N28" s="136">
        <f t="shared" ca="1" si="0"/>
        <v>979.29999999999984</v>
      </c>
      <c r="O28" s="1213">
        <f t="shared" ca="1" si="1"/>
        <v>195860</v>
      </c>
      <c r="P28" s="1213">
        <f ca="1">IF(AND($O$1&gt;=O28,換券單檔!$D$13=D28),I28+INT(($O$1-O28)/N28)*J28,0)</f>
        <v>0</v>
      </c>
      <c r="Q28" s="1213">
        <f t="shared" ca="1" si="2"/>
        <v>0</v>
      </c>
      <c r="R28" s="1213">
        <f t="shared" ca="1" si="43"/>
        <v>0</v>
      </c>
      <c r="S28" s="1213">
        <f t="shared" ca="1" si="44"/>
        <v>0</v>
      </c>
      <c r="T28" s="136">
        <f ca="1">IF(OR(R28=0,A28=0),0,IF(AND(V28=TRUE,換券單檔!$D$13=D28),E28,0))</f>
        <v>0</v>
      </c>
      <c r="U28" s="861">
        <f ca="1">IF(OR(R28=0,A28=0),0,IF(AND(V28=TRUE,換券單檔!$D$13=D28),H28,0))</f>
        <v>0</v>
      </c>
      <c r="V28" s="136" t="b">
        <f ca="1">IF(OR(B28=換券單檔!$D$3,L28="無",M28&lt;&gt;"",K28="高資產",IFERROR(MATCH(B28,換券單檔!K:K,0),"N")&lt;&gt;"N"),FALSE,IF($V$1="All",TRUE,IF(K28=$V$1,TRUE,FALSE)))</f>
        <v>0</v>
      </c>
      <c r="W28" s="136">
        <f ca="1">VLOOKUP(A28,'銀行-TSS'!A:AO,41,FALSE)</f>
        <v>96</v>
      </c>
      <c r="X28" s="136">
        <f ca="1">VLOOKUP(A28,'銀行-TSS'!A:AP,42,FALSE)</f>
        <v>2.0952000000000002</v>
      </c>
      <c r="Y28" s="1220">
        <f t="shared" ca="1" si="3"/>
        <v>0</v>
      </c>
      <c r="Z28" s="1220">
        <f t="shared" ca="1" si="4"/>
        <v>0</v>
      </c>
      <c r="AA28" s="136">
        <f ca="1">IF(Z28&lt;=0,0,RANK(Z28,Z:Z)+COUNTIF($Z$3:$Z28,Z28)-1)</f>
        <v>0</v>
      </c>
      <c r="AB28" s="1211">
        <f t="shared" ca="1" si="5"/>
        <v>-14896.14</v>
      </c>
      <c r="AC28" s="136">
        <f ca="1">IF(AB28&lt;=0,0,RANK(AB28,AB:AB)+COUNTIF($AB$3:$AB28,AB28)-1)</f>
        <v>0</v>
      </c>
      <c r="AD28" s="1123">
        <f t="shared" ca="1" si="6"/>
        <v>99999</v>
      </c>
      <c r="AE28" s="1123">
        <f ca="1">IF(AD28=99999,0,RANK(AD28,AD:AD,1)+COUNTIF($AD$3:$AD28,AD28)-1)</f>
        <v>0</v>
      </c>
      <c r="AF28" s="86" t="b">
        <f ca="1">IF(OR(M28&lt;&gt;"",L28="無",K28="高資產",IFERROR(MATCH(B28,換券單檔!K:K,0),"N")&lt;&gt;"N"),FALSE,TRUE)</f>
        <v>0</v>
      </c>
      <c r="AI28" s="1212">
        <f t="shared" ca="1" si="7"/>
        <v>0</v>
      </c>
      <c r="AJ28" s="1213">
        <f t="shared" ca="1" si="8"/>
        <v>0</v>
      </c>
      <c r="AK28" s="1587">
        <f t="shared" ca="1" si="9"/>
        <v>0</v>
      </c>
      <c r="AN28" s="1212">
        <f t="shared" ca="1" si="10"/>
        <v>0</v>
      </c>
      <c r="AO28" s="1213">
        <f t="shared" ca="1" si="11"/>
        <v>0</v>
      </c>
      <c r="AP28" s="1587">
        <f t="shared" ca="1" si="12"/>
        <v>0</v>
      </c>
      <c r="AS28" s="1212">
        <f t="shared" ca="1" si="13"/>
        <v>0</v>
      </c>
      <c r="AT28" s="1213">
        <f t="shared" ca="1" si="14"/>
        <v>0</v>
      </c>
      <c r="AU28" s="1587">
        <f t="shared" ca="1" si="15"/>
        <v>0</v>
      </c>
      <c r="AX28" s="1212">
        <f t="shared" ca="1" si="16"/>
        <v>0</v>
      </c>
      <c r="AY28" s="1213">
        <f t="shared" ca="1" si="17"/>
        <v>0</v>
      </c>
      <c r="AZ28" s="1587">
        <f t="shared" ca="1" si="18"/>
        <v>0</v>
      </c>
      <c r="BC28" s="1212">
        <f t="shared" ca="1" si="19"/>
        <v>0</v>
      </c>
      <c r="BD28" s="1213">
        <f t="shared" ca="1" si="20"/>
        <v>0</v>
      </c>
      <c r="BE28" s="1587">
        <f t="shared" ca="1" si="21"/>
        <v>0</v>
      </c>
      <c r="BH28" s="1212">
        <f t="shared" ca="1" si="22"/>
        <v>0</v>
      </c>
      <c r="BI28" s="1213">
        <f t="shared" ca="1" si="23"/>
        <v>0</v>
      </c>
      <c r="BJ28" s="1587">
        <f t="shared" ca="1" si="24"/>
        <v>0</v>
      </c>
      <c r="BM28" s="1212">
        <f t="shared" ca="1" si="25"/>
        <v>0</v>
      </c>
      <c r="BN28" s="1213">
        <f t="shared" ca="1" si="26"/>
        <v>0</v>
      </c>
      <c r="BO28" s="1587">
        <f t="shared" ca="1" si="27"/>
        <v>0</v>
      </c>
      <c r="BR28" s="1212">
        <f t="shared" ca="1" si="28"/>
        <v>0</v>
      </c>
      <c r="BS28" s="1213">
        <f t="shared" ca="1" si="29"/>
        <v>0</v>
      </c>
      <c r="BT28" s="1587">
        <f t="shared" ca="1" si="30"/>
        <v>0</v>
      </c>
      <c r="BW28" s="1212">
        <f t="shared" ca="1" si="31"/>
        <v>0</v>
      </c>
      <c r="BX28" s="1213">
        <f t="shared" ca="1" si="32"/>
        <v>0</v>
      </c>
      <c r="BY28" s="1587">
        <f t="shared" ca="1" si="33"/>
        <v>0</v>
      </c>
      <c r="CB28" s="1212">
        <f t="shared" ca="1" si="34"/>
        <v>0</v>
      </c>
      <c r="CC28" s="1213">
        <f t="shared" ca="1" si="35"/>
        <v>0</v>
      </c>
      <c r="CD28" s="1587">
        <f t="shared" ca="1" si="36"/>
        <v>0</v>
      </c>
      <c r="CG28" s="1212">
        <f t="shared" ca="1" si="37"/>
        <v>0</v>
      </c>
      <c r="CH28" s="1213">
        <f t="shared" ca="1" si="38"/>
        <v>0</v>
      </c>
      <c r="CI28" s="1587">
        <f t="shared" ca="1" si="39"/>
        <v>0</v>
      </c>
      <c r="CL28" s="1212">
        <f t="shared" ca="1" si="40"/>
        <v>0</v>
      </c>
      <c r="CM28" s="1213">
        <f t="shared" ca="1" si="41"/>
        <v>0</v>
      </c>
      <c r="CN28" s="1587">
        <f t="shared" ca="1" si="42"/>
        <v>0</v>
      </c>
    </row>
    <row r="29" spans="1:92">
      <c r="A29" s="141" t="str">
        <f>'銀行-TSS'!A29</f>
        <v>US92343VDU52</v>
      </c>
      <c r="B29" s="151" t="str">
        <f ca="1">VLOOKUP(A29,'銀行-TSS'!A:B,2,FALSE)</f>
        <v>XFJ50</v>
      </c>
      <c r="C29" s="151" t="str">
        <f ca="1">VLOOKUP(B29,bond!B:C,2,FALSE)</f>
        <v>威瑞森電信公司美元配息債券 5.25% 2037/3/16</v>
      </c>
      <c r="D29" s="95" t="str">
        <f>VLOOKUP(A29,'銀行-TSS'!A:C,3,FALSE)</f>
        <v>USD</v>
      </c>
      <c r="E29" s="90">
        <f ca="1">VLOOKUP(A29,'銀行-TSS'!A:G,7,FALSE)</f>
        <v>12.7</v>
      </c>
      <c r="F29" s="202">
        <f ca="1">VLOOKUP(A29,'銀行-TSS'!A:H,8,FALSE)</f>
        <v>5.2499999999999998E-2</v>
      </c>
      <c r="G29" s="96">
        <f ca="1">VLOOKUP(A29,'銀行-TSS'!A:K,11,FALSE)</f>
        <v>103.59</v>
      </c>
      <c r="H29" s="1209">
        <f ca="1">VLOOKUP(A29,'銀行-TSS'!A:M,13,FALSE)</f>
        <v>5.0299999999999997E-2</v>
      </c>
      <c r="I29" s="1213">
        <f ca="1">VLOOKUP(A29,'銀行-TSS'!A:N,14,FALSE)</f>
        <v>2000</v>
      </c>
      <c r="J29" s="1213">
        <f ca="1">VLOOKUP(A29,'銀行-TSS'!A:O,15,FALSE)</f>
        <v>1000</v>
      </c>
      <c r="K29" s="136" t="str">
        <f ca="1">VLOOKUP(A29,'銀行-TSS'!A:V,22,FALSE)</f>
        <v>(NPI)非專投</v>
      </c>
      <c r="L29" s="136" t="str">
        <f ca="1">VLOOKUP(A29,'銀行-TSS'!A:AK,37,FALSE)</f>
        <v>有</v>
      </c>
      <c r="M29" s="136" t="str">
        <f ca="1">VLOOKUP(A29,'銀行-TSS'!A:AN,40,FALSE)</f>
        <v/>
      </c>
      <c r="N29" s="136">
        <f t="shared" ca="1" si="0"/>
        <v>1035.9000000000001</v>
      </c>
      <c r="O29" s="1213">
        <f t="shared" ca="1" si="1"/>
        <v>2071.8000000000002</v>
      </c>
      <c r="P29" s="1213">
        <f ca="1">IF(AND($O$1&gt;=O29,換券單檔!$D$13=D29),I29+INT(($O$1-O29)/N29)*J29,0)</f>
        <v>93000</v>
      </c>
      <c r="Q29" s="1213">
        <f t="shared" ca="1" si="2"/>
        <v>4882.5</v>
      </c>
      <c r="R29" s="1213">
        <f t="shared" ca="1" si="43"/>
        <v>93000</v>
      </c>
      <c r="S29" s="1213">
        <f t="shared" ca="1" si="44"/>
        <v>4882.5</v>
      </c>
      <c r="T29" s="136">
        <f ca="1">IF(OR(R29=0,A29=0),0,IF(AND(V29=TRUE,換券單檔!$D$13=D29),E29,0))</f>
        <v>12.7</v>
      </c>
      <c r="U29" s="861">
        <f ca="1">IF(OR(R29=0,A29=0),0,IF(AND(V29=TRUE,換券單檔!$D$13=D29),H29,0))</f>
        <v>5.0299999999999997E-2</v>
      </c>
      <c r="V29" s="136" t="b">
        <f ca="1">IF(OR(B29=換券單檔!$D$3,L29="無",M29&lt;&gt;"",K29="高資產",IFERROR(MATCH(B29,換券單檔!K:K,0),"N")&lt;&gt;"N"),FALSE,IF($V$1="All",TRUE,IF(K29=$V$1,TRUE,FALSE)))</f>
        <v>1</v>
      </c>
      <c r="W29" s="136">
        <f ca="1">VLOOKUP(A29,'銀行-TSS'!A:AO,41,FALSE)</f>
        <v>99.54</v>
      </c>
      <c r="X29" s="136">
        <f ca="1">VLOOKUP(A29,'銀行-TSS'!A:AP,42,FALSE)</f>
        <v>9.0589999999999993</v>
      </c>
      <c r="Y29" s="1220">
        <f t="shared" ca="1" si="3"/>
        <v>8386.1155980000003</v>
      </c>
      <c r="Z29" s="1220">
        <f t="shared" ca="1" si="4"/>
        <v>-13906.338582677163</v>
      </c>
      <c r="AA29" s="136">
        <f ca="1">IF(Z29&lt;=0,0,RANK(Z29,Z:Z)+COUNTIF($Z$3:$Z29,Z29)-1)</f>
        <v>0</v>
      </c>
      <c r="AB29" s="1211">
        <f t="shared" ca="1" si="5"/>
        <v>-13510.024401999999</v>
      </c>
      <c r="AC29" s="136">
        <f ca="1">IF(AB29&lt;=0,0,RANK(AB29,AB:AB)+COUNTIF($AB$3:$AB29,AB29)-1)</f>
        <v>0</v>
      </c>
      <c r="AD29" s="1123">
        <f t="shared" ca="1" si="6"/>
        <v>99999</v>
      </c>
      <c r="AE29" s="1123">
        <f ca="1">IF(AD29=99999,0,RANK(AD29,AD:AD,1)+COUNTIF($AD$3:$AD29,AD29)-1)</f>
        <v>0</v>
      </c>
      <c r="AF29" s="86" t="b">
        <f ca="1">IF(OR(M29&lt;&gt;"",L29="無",K29="高資產",IFERROR(MATCH(B29,換券單檔!K:K,0),"N")&lt;&gt;"N"),FALSE,TRUE)</f>
        <v>1</v>
      </c>
      <c r="AI29" s="1212">
        <f t="shared" ca="1" si="7"/>
        <v>93000</v>
      </c>
      <c r="AJ29" s="1213">
        <f t="shared" ca="1" si="8"/>
        <v>4882.5</v>
      </c>
      <c r="AK29" s="1587">
        <f t="shared" ca="1" si="9"/>
        <v>-13906.338582677163</v>
      </c>
      <c r="AN29" s="1212">
        <f t="shared" ca="1" si="10"/>
        <v>53000</v>
      </c>
      <c r="AO29" s="1213">
        <f t="shared" ca="1" si="11"/>
        <v>2782.5</v>
      </c>
      <c r="AP29" s="1587">
        <f t="shared" ca="1" si="12"/>
        <v>-92465.393700787405</v>
      </c>
      <c r="AS29" s="1212">
        <f t="shared" ca="1" si="13"/>
        <v>91000</v>
      </c>
      <c r="AT29" s="1213">
        <f t="shared" ca="1" si="14"/>
        <v>4777.5</v>
      </c>
      <c r="AU29" s="1587">
        <f t="shared" ca="1" si="15"/>
        <v>-18280.984251968504</v>
      </c>
      <c r="AX29" s="1212">
        <f t="shared" ca="1" si="16"/>
        <v>83000</v>
      </c>
      <c r="AY29" s="1213">
        <f t="shared" ca="1" si="17"/>
        <v>4357.5</v>
      </c>
      <c r="AZ29" s="1587">
        <f t="shared" ca="1" si="18"/>
        <v>-34266.574803149611</v>
      </c>
      <c r="BC29" s="1212">
        <f t="shared" ca="1" si="19"/>
        <v>0</v>
      </c>
      <c r="BD29" s="1213">
        <f t="shared" ca="1" si="20"/>
        <v>0</v>
      </c>
      <c r="BE29" s="1587">
        <f t="shared" ca="1" si="21"/>
        <v>0</v>
      </c>
      <c r="BH29" s="1212">
        <f t="shared" ca="1" si="22"/>
        <v>0</v>
      </c>
      <c r="BI29" s="1213">
        <f t="shared" ca="1" si="23"/>
        <v>0</v>
      </c>
      <c r="BJ29" s="1587">
        <f t="shared" ca="1" si="24"/>
        <v>0</v>
      </c>
      <c r="BM29" s="1212">
        <f t="shared" ca="1" si="25"/>
        <v>0</v>
      </c>
      <c r="BN29" s="1213">
        <f t="shared" ca="1" si="26"/>
        <v>0</v>
      </c>
      <c r="BO29" s="1587">
        <f t="shared" ca="1" si="27"/>
        <v>0</v>
      </c>
      <c r="BR29" s="1212">
        <f t="shared" ca="1" si="28"/>
        <v>0</v>
      </c>
      <c r="BS29" s="1213">
        <f t="shared" ca="1" si="29"/>
        <v>0</v>
      </c>
      <c r="BT29" s="1587">
        <f t="shared" ca="1" si="30"/>
        <v>0</v>
      </c>
      <c r="BW29" s="1212">
        <f t="shared" ca="1" si="31"/>
        <v>0</v>
      </c>
      <c r="BX29" s="1213">
        <f t="shared" ca="1" si="32"/>
        <v>0</v>
      </c>
      <c r="BY29" s="1587">
        <f t="shared" ca="1" si="33"/>
        <v>0</v>
      </c>
      <c r="CB29" s="1212">
        <f t="shared" ca="1" si="34"/>
        <v>0</v>
      </c>
      <c r="CC29" s="1213">
        <f t="shared" ca="1" si="35"/>
        <v>0</v>
      </c>
      <c r="CD29" s="1587">
        <f t="shared" ca="1" si="36"/>
        <v>0</v>
      </c>
      <c r="CG29" s="1212">
        <f t="shared" ca="1" si="37"/>
        <v>0</v>
      </c>
      <c r="CH29" s="1213">
        <f t="shared" ca="1" si="38"/>
        <v>0</v>
      </c>
      <c r="CI29" s="1587">
        <f t="shared" ca="1" si="39"/>
        <v>0</v>
      </c>
      <c r="CL29" s="1212">
        <f t="shared" ca="1" si="40"/>
        <v>0</v>
      </c>
      <c r="CM29" s="1213">
        <f t="shared" ca="1" si="41"/>
        <v>0</v>
      </c>
      <c r="CN29" s="1587">
        <f t="shared" ca="1" si="42"/>
        <v>0</v>
      </c>
    </row>
    <row r="30" spans="1:92">
      <c r="A30" s="141" t="str">
        <f>'銀行-TSS'!A30</f>
        <v>US900123AL40</v>
      </c>
      <c r="B30" s="151" t="str">
        <f ca="1">VLOOKUP(A30,'銀行-TSS'!A:B,2,FALSE)</f>
        <v>XFJ60</v>
      </c>
      <c r="C30" s="151" t="str">
        <f ca="1">VLOOKUP(B30,bond!B:C,2,FALSE)</f>
        <v>土耳其政府美元配息債券 11.875% 2030/1/15</v>
      </c>
      <c r="D30" s="95" t="str">
        <f>VLOOKUP(A30,'銀行-TSS'!A:C,3,FALSE)</f>
        <v>USD</v>
      </c>
      <c r="E30" s="90">
        <f ca="1">VLOOKUP(A30,'銀行-TSS'!A:G,7,FALSE)</f>
        <v>5.54</v>
      </c>
      <c r="F30" s="202">
        <f ca="1">VLOOKUP(A30,'銀行-TSS'!A:H,8,FALSE)</f>
        <v>0.11874999999999999</v>
      </c>
      <c r="G30" s="96">
        <f ca="1">VLOOKUP(A30,'銀行-TSS'!A:K,11,FALSE)</f>
        <v>134.80000000000001</v>
      </c>
      <c r="H30" s="1209">
        <f ca="1">VLOOKUP(A30,'銀行-TSS'!A:M,13,FALSE)</f>
        <v>5.6399999999999999E-2</v>
      </c>
      <c r="I30" s="1213">
        <f ca="1">VLOOKUP(A30,'銀行-TSS'!A:N,14,FALSE)</f>
        <v>10000</v>
      </c>
      <c r="J30" s="1213">
        <f ca="1">VLOOKUP(A30,'銀行-TSS'!A:O,15,FALSE)</f>
        <v>1000</v>
      </c>
      <c r="K30" s="136" t="str">
        <f ca="1">VLOOKUP(A30,'銀行-TSS'!A:V,22,FALSE)</f>
        <v>高資產</v>
      </c>
      <c r="L30" s="136" t="str">
        <f ca="1">VLOOKUP(A30,'銀行-TSS'!A:AK,37,FALSE)</f>
        <v>有</v>
      </c>
      <c r="M30" s="136" t="str">
        <f ca="1">VLOOKUP(A30,'銀行-TSS'!A:AN,40,FALSE)</f>
        <v>XFJ60</v>
      </c>
      <c r="N30" s="136">
        <f t="shared" ca="1" si="0"/>
        <v>1348</v>
      </c>
      <c r="O30" s="1213">
        <f t="shared" ca="1" si="1"/>
        <v>13480</v>
      </c>
      <c r="P30" s="1213">
        <f ca="1">IF(AND($O$1&gt;=O30,換券單檔!$D$13=D30),I30+INT(($O$1-O30)/N30)*J30,0)</f>
        <v>71000</v>
      </c>
      <c r="Q30" s="1213">
        <f t="shared" ca="1" si="2"/>
        <v>8431.25</v>
      </c>
      <c r="R30" s="1213">
        <f t="shared" ca="1" si="43"/>
        <v>0</v>
      </c>
      <c r="S30" s="1213">
        <f t="shared" ca="1" si="44"/>
        <v>0</v>
      </c>
      <c r="T30" s="136">
        <f ca="1">IF(OR(R30=0,A30=0),0,IF(AND(V30=TRUE,換券單檔!$D$13=D30),E30,0))</f>
        <v>0</v>
      </c>
      <c r="U30" s="861">
        <f ca="1">IF(OR(R30=0,A30=0),0,IF(AND(V30=TRUE,換券單檔!$D$13=D30),H30,0))</f>
        <v>0</v>
      </c>
      <c r="V30" s="136" t="b">
        <f ca="1">IF(OR(B30=換券單檔!$D$3,L30="無",M30&lt;&gt;"",K30="高資產",IFERROR(MATCH(B30,換券單檔!K:K,0),"N")&lt;&gt;"N"),FALSE,IF($V$1="All",TRUE,IF(K30=$V$1,TRUE,FALSE)))</f>
        <v>0</v>
      </c>
      <c r="W30" s="136">
        <f ca="1">VLOOKUP(A30,'銀行-TSS'!A:AO,41,FALSE)</f>
        <v>126.29</v>
      </c>
      <c r="X30" s="136">
        <f ca="1">VLOOKUP(A30,'銀行-TSS'!A:AP,42,FALSE)</f>
        <v>4.0728</v>
      </c>
      <c r="Y30" s="1220">
        <f t="shared" ca="1" si="3"/>
        <v>0</v>
      </c>
      <c r="Z30" s="1220">
        <f t="shared" ca="1" si="4"/>
        <v>0</v>
      </c>
      <c r="AA30" s="136">
        <f ca="1">IF(Z30&lt;=0,0,RANK(Z30,Z:Z)+COUNTIF($Z$3:$Z30,Z30)-1)</f>
        <v>0</v>
      </c>
      <c r="AB30" s="1211">
        <f t="shared" ca="1" si="5"/>
        <v>-14896.14</v>
      </c>
      <c r="AC30" s="136">
        <f ca="1">IF(AB30&lt;=0,0,RANK(AB30,AB:AB)+COUNTIF($AB$3:$AB30,AB30)-1)</f>
        <v>0</v>
      </c>
      <c r="AD30" s="1123">
        <f t="shared" ca="1" si="6"/>
        <v>99999</v>
      </c>
      <c r="AE30" s="1123">
        <f ca="1">IF(AD30=99999,0,RANK(AD30,AD:AD,1)+COUNTIF($AD$3:$AD30,AD30)-1)</f>
        <v>0</v>
      </c>
      <c r="AF30" s="86" t="b">
        <f ca="1">IF(OR(M30&lt;&gt;"",L30="無",K30="高資產",IFERROR(MATCH(B30,換券單檔!K:K,0),"N")&lt;&gt;"N"),FALSE,TRUE)</f>
        <v>0</v>
      </c>
      <c r="AI30" s="1212">
        <f t="shared" ca="1" si="7"/>
        <v>0</v>
      </c>
      <c r="AJ30" s="1213">
        <f t="shared" ca="1" si="8"/>
        <v>0</v>
      </c>
      <c r="AK30" s="1587">
        <f t="shared" ca="1" si="9"/>
        <v>0</v>
      </c>
      <c r="AN30" s="1212">
        <f t="shared" ca="1" si="10"/>
        <v>0</v>
      </c>
      <c r="AO30" s="1213">
        <f t="shared" ca="1" si="11"/>
        <v>0</v>
      </c>
      <c r="AP30" s="1587">
        <f t="shared" ca="1" si="12"/>
        <v>0</v>
      </c>
      <c r="AS30" s="1212">
        <f t="shared" ca="1" si="13"/>
        <v>0</v>
      </c>
      <c r="AT30" s="1213">
        <f t="shared" ca="1" si="14"/>
        <v>0</v>
      </c>
      <c r="AU30" s="1587">
        <f t="shared" ca="1" si="15"/>
        <v>0</v>
      </c>
      <c r="AX30" s="1212">
        <f t="shared" ca="1" si="16"/>
        <v>0</v>
      </c>
      <c r="AY30" s="1213">
        <f t="shared" ca="1" si="17"/>
        <v>0</v>
      </c>
      <c r="AZ30" s="1587">
        <f t="shared" ca="1" si="18"/>
        <v>0</v>
      </c>
      <c r="BC30" s="1212">
        <f t="shared" ca="1" si="19"/>
        <v>0</v>
      </c>
      <c r="BD30" s="1213">
        <f t="shared" ca="1" si="20"/>
        <v>0</v>
      </c>
      <c r="BE30" s="1587">
        <f t="shared" ca="1" si="21"/>
        <v>0</v>
      </c>
      <c r="BH30" s="1212">
        <f t="shared" ca="1" si="22"/>
        <v>0</v>
      </c>
      <c r="BI30" s="1213">
        <f t="shared" ca="1" si="23"/>
        <v>0</v>
      </c>
      <c r="BJ30" s="1587">
        <f t="shared" ca="1" si="24"/>
        <v>0</v>
      </c>
      <c r="BM30" s="1212">
        <f t="shared" ca="1" si="25"/>
        <v>0</v>
      </c>
      <c r="BN30" s="1213">
        <f t="shared" ca="1" si="26"/>
        <v>0</v>
      </c>
      <c r="BO30" s="1587">
        <f t="shared" ca="1" si="27"/>
        <v>0</v>
      </c>
      <c r="BR30" s="1212">
        <f t="shared" ca="1" si="28"/>
        <v>0</v>
      </c>
      <c r="BS30" s="1213">
        <f t="shared" ca="1" si="29"/>
        <v>0</v>
      </c>
      <c r="BT30" s="1587">
        <f t="shared" ca="1" si="30"/>
        <v>0</v>
      </c>
      <c r="BW30" s="1212">
        <f t="shared" ca="1" si="31"/>
        <v>0</v>
      </c>
      <c r="BX30" s="1213">
        <f t="shared" ca="1" si="32"/>
        <v>0</v>
      </c>
      <c r="BY30" s="1587">
        <f t="shared" ca="1" si="33"/>
        <v>0</v>
      </c>
      <c r="CB30" s="1212">
        <f t="shared" ca="1" si="34"/>
        <v>0</v>
      </c>
      <c r="CC30" s="1213">
        <f t="shared" ca="1" si="35"/>
        <v>0</v>
      </c>
      <c r="CD30" s="1587">
        <f t="shared" ca="1" si="36"/>
        <v>0</v>
      </c>
      <c r="CG30" s="1212">
        <f t="shared" ca="1" si="37"/>
        <v>0</v>
      </c>
      <c r="CH30" s="1213">
        <f t="shared" ca="1" si="38"/>
        <v>0</v>
      </c>
      <c r="CI30" s="1587">
        <f t="shared" ca="1" si="39"/>
        <v>0</v>
      </c>
      <c r="CL30" s="1212">
        <f t="shared" ca="1" si="40"/>
        <v>0</v>
      </c>
      <c r="CM30" s="1213">
        <f t="shared" ca="1" si="41"/>
        <v>0</v>
      </c>
      <c r="CN30" s="1587">
        <f t="shared" ca="1" si="42"/>
        <v>0</v>
      </c>
    </row>
    <row r="31" spans="1:92">
      <c r="A31" s="141" t="str">
        <f>'銀行-TSS'!A31</f>
        <v>XS1238805102</v>
      </c>
      <c r="B31" s="151" t="str">
        <f ca="1">VLOOKUP(A31,'銀行-TSS'!A:B,2,FALSE)</f>
        <v>XFJ70</v>
      </c>
      <c r="C31" s="151" t="str">
        <f ca="1">VLOOKUP(B31,bond!B:C,2,FALSE)</f>
        <v>國際復興開發銀行南非幣零息債券 0% 2035/5/29</v>
      </c>
      <c r="D31" s="95" t="str">
        <f>VLOOKUP(A31,'銀行-TSS'!A:C,3,FALSE)</f>
        <v>ZAR</v>
      </c>
      <c r="E31" s="90">
        <f ca="1">VLOOKUP(A31,'銀行-TSS'!A:G,7,FALSE)</f>
        <v>10.9</v>
      </c>
      <c r="F31" s="202">
        <f ca="1">VLOOKUP(A31,'銀行-TSS'!A:H,8,FALSE)</f>
        <v>0</v>
      </c>
      <c r="G31" s="96">
        <f ca="1">VLOOKUP(A31,'銀行-TSS'!A:K,11,FALSE)</f>
        <v>37.659999999999997</v>
      </c>
      <c r="H31" s="1209">
        <f ca="1">VLOOKUP(A31,'銀行-TSS'!A:M,13,FALSE)</f>
        <v>9.3700000000000006E-2</v>
      </c>
      <c r="I31" s="1213">
        <f ca="1">VLOOKUP(A31,'銀行-TSS'!A:N,14,FALSE)</f>
        <v>100000</v>
      </c>
      <c r="J31" s="1213">
        <f ca="1">VLOOKUP(A31,'銀行-TSS'!A:O,15,FALSE)</f>
        <v>10000</v>
      </c>
      <c r="K31" s="136" t="str">
        <f ca="1">VLOOKUP(A31,'銀行-TSS'!A:V,22,FALSE)</f>
        <v>(NPI)非專投</v>
      </c>
      <c r="L31" s="136" t="str">
        <f ca="1">VLOOKUP(A31,'銀行-TSS'!A:AK,37,FALSE)</f>
        <v>有</v>
      </c>
      <c r="M31" s="136" t="str">
        <f ca="1">VLOOKUP(A31,'銀行-TSS'!A:AN,40,FALSE)</f>
        <v/>
      </c>
      <c r="N31" s="136">
        <f t="shared" ca="1" si="0"/>
        <v>3765.9999999999995</v>
      </c>
      <c r="O31" s="1213">
        <f t="shared" ca="1" si="1"/>
        <v>37659.999999999993</v>
      </c>
      <c r="P31" s="1213">
        <f ca="1">IF(AND($O$1&gt;=O31,換券單檔!$D$13=D31),I31+INT(($O$1-O31)/N31)*J31,0)</f>
        <v>0</v>
      </c>
      <c r="Q31" s="1213">
        <f t="shared" ca="1" si="2"/>
        <v>0</v>
      </c>
      <c r="R31" s="1213">
        <f t="shared" ca="1" si="43"/>
        <v>0</v>
      </c>
      <c r="S31" s="1213">
        <f t="shared" ca="1" si="44"/>
        <v>0</v>
      </c>
      <c r="T31" s="136">
        <f ca="1">IF(OR(R31=0,A31=0),0,IF(AND(V31=TRUE,換券單檔!$D$13=D31),E31,0))</f>
        <v>0</v>
      </c>
      <c r="U31" s="861">
        <f ca="1">IF(OR(R31=0,A31=0),0,IF(AND(V31=TRUE,換券單檔!$D$13=D31),H31,0))</f>
        <v>0</v>
      </c>
      <c r="V31" s="136" t="b">
        <f ca="1">IF(OR(B31=換券單檔!$D$3,L31="無",M31&lt;&gt;"",K31="高資產",IFERROR(MATCH(B31,換券單檔!K:K,0),"N")&lt;&gt;"N"),FALSE,IF($V$1="All",TRUE,IF(K31=$V$1,TRUE,FALSE)))</f>
        <v>1</v>
      </c>
      <c r="W31" s="136">
        <f ca="1">VLOOKUP(A31,'銀行-TSS'!A:AO,41,FALSE)</f>
        <v>36.159999999999997</v>
      </c>
      <c r="X31" s="136">
        <f ca="1">VLOOKUP(A31,'銀行-TSS'!A:AP,42,FALSE)</f>
        <v>10.407400000000001</v>
      </c>
      <c r="Y31" s="1220">
        <f t="shared" ca="1" si="3"/>
        <v>0</v>
      </c>
      <c r="Z31" s="1220">
        <f t="shared" ca="1" si="4"/>
        <v>0</v>
      </c>
      <c r="AA31" s="136">
        <f ca="1">IF(Z31&lt;=0,0,RANK(Z31,Z:Z)+COUNTIF($Z$3:$Z31,Z31)-1)</f>
        <v>0</v>
      </c>
      <c r="AB31" s="1211">
        <f t="shared" ca="1" si="5"/>
        <v>-114896.14</v>
      </c>
      <c r="AC31" s="136">
        <f ca="1">IF(AB31&lt;=0,0,RANK(AB31,AB:AB)+COUNTIF($AB$3:$AB31,AB31)-1)</f>
        <v>0</v>
      </c>
      <c r="AD31" s="1123">
        <f t="shared" ca="1" si="6"/>
        <v>99999</v>
      </c>
      <c r="AE31" s="1123">
        <f ca="1">IF(AD31=99999,0,RANK(AD31,AD:AD,1)+COUNTIF($AD$3:$AD31,AD31)-1)</f>
        <v>0</v>
      </c>
      <c r="AF31" s="86" t="b">
        <f ca="1">IF(OR(M31&lt;&gt;"",L31="無",K31="高資產",IFERROR(MATCH(B31,換券單檔!K:K,0),"N")&lt;&gt;"N"),FALSE,TRUE)</f>
        <v>1</v>
      </c>
      <c r="AI31" s="1212">
        <f t="shared" ca="1" si="7"/>
        <v>0</v>
      </c>
      <c r="AJ31" s="1213">
        <f t="shared" ca="1" si="8"/>
        <v>0</v>
      </c>
      <c r="AK31" s="1587">
        <f t="shared" ca="1" si="9"/>
        <v>0</v>
      </c>
      <c r="AN31" s="1212">
        <f t="shared" ca="1" si="10"/>
        <v>0</v>
      </c>
      <c r="AO31" s="1213">
        <f t="shared" ca="1" si="11"/>
        <v>0</v>
      </c>
      <c r="AP31" s="1587">
        <f t="shared" ca="1" si="12"/>
        <v>0</v>
      </c>
      <c r="AS31" s="1212">
        <f t="shared" ca="1" si="13"/>
        <v>0</v>
      </c>
      <c r="AT31" s="1213">
        <f t="shared" ca="1" si="14"/>
        <v>0</v>
      </c>
      <c r="AU31" s="1587">
        <f t="shared" ca="1" si="15"/>
        <v>0</v>
      </c>
      <c r="AX31" s="1212">
        <f t="shared" ca="1" si="16"/>
        <v>0</v>
      </c>
      <c r="AY31" s="1213">
        <f t="shared" ca="1" si="17"/>
        <v>0</v>
      </c>
      <c r="AZ31" s="1587">
        <f t="shared" ca="1" si="18"/>
        <v>0</v>
      </c>
      <c r="BC31" s="1212">
        <f t="shared" ca="1" si="19"/>
        <v>0</v>
      </c>
      <c r="BD31" s="1213">
        <f t="shared" ca="1" si="20"/>
        <v>0</v>
      </c>
      <c r="BE31" s="1587">
        <f t="shared" ca="1" si="21"/>
        <v>0</v>
      </c>
      <c r="BH31" s="1212">
        <f t="shared" ca="1" si="22"/>
        <v>0</v>
      </c>
      <c r="BI31" s="1213">
        <f t="shared" ca="1" si="23"/>
        <v>0</v>
      </c>
      <c r="BJ31" s="1587">
        <f t="shared" ca="1" si="24"/>
        <v>0</v>
      </c>
      <c r="BM31" s="1212">
        <f t="shared" ca="1" si="25"/>
        <v>0</v>
      </c>
      <c r="BN31" s="1213">
        <f t="shared" ca="1" si="26"/>
        <v>0</v>
      </c>
      <c r="BO31" s="1587">
        <f t="shared" ca="1" si="27"/>
        <v>0</v>
      </c>
      <c r="BR31" s="1212">
        <f t="shared" ca="1" si="28"/>
        <v>0</v>
      </c>
      <c r="BS31" s="1213">
        <f t="shared" ca="1" si="29"/>
        <v>0</v>
      </c>
      <c r="BT31" s="1587">
        <f t="shared" ca="1" si="30"/>
        <v>0</v>
      </c>
      <c r="BW31" s="1212">
        <f t="shared" ca="1" si="31"/>
        <v>0</v>
      </c>
      <c r="BX31" s="1213">
        <f t="shared" ca="1" si="32"/>
        <v>0</v>
      </c>
      <c r="BY31" s="1587">
        <f t="shared" ca="1" si="33"/>
        <v>0</v>
      </c>
      <c r="CB31" s="1212">
        <f t="shared" ca="1" si="34"/>
        <v>0</v>
      </c>
      <c r="CC31" s="1213">
        <f t="shared" ca="1" si="35"/>
        <v>0</v>
      </c>
      <c r="CD31" s="1587">
        <f t="shared" ca="1" si="36"/>
        <v>0</v>
      </c>
      <c r="CG31" s="1212">
        <f t="shared" ca="1" si="37"/>
        <v>0</v>
      </c>
      <c r="CH31" s="1213">
        <f t="shared" ca="1" si="38"/>
        <v>0</v>
      </c>
      <c r="CI31" s="1587">
        <f t="shared" ca="1" si="39"/>
        <v>0</v>
      </c>
      <c r="CL31" s="1212">
        <f t="shared" ca="1" si="40"/>
        <v>0</v>
      </c>
      <c r="CM31" s="1213">
        <f t="shared" ca="1" si="41"/>
        <v>0</v>
      </c>
      <c r="CN31" s="1587">
        <f t="shared" ca="1" si="42"/>
        <v>0</v>
      </c>
    </row>
    <row r="32" spans="1:92">
      <c r="A32" s="141" t="str">
        <f>'銀行-TSS'!A32</f>
        <v>US478160BJ28</v>
      </c>
      <c r="B32" s="151" t="str">
        <f ca="1">VLOOKUP(A32,'銀行-TSS'!A:B,2,FALSE)</f>
        <v>XFJ90</v>
      </c>
      <c r="C32" s="151" t="str">
        <f ca="1">VLOOKUP(B32,bond!B:C,2,FALSE)</f>
        <v>嬌生公司美元配息債券 4.375% 2033/12/5</v>
      </c>
      <c r="D32" s="95" t="str">
        <f>VLOOKUP(A32,'銀行-TSS'!A:C,3,FALSE)</f>
        <v>USD</v>
      </c>
      <c r="E32" s="90">
        <f ca="1">VLOOKUP(A32,'銀行-TSS'!A:G,7,FALSE)</f>
        <v>9.43</v>
      </c>
      <c r="F32" s="202">
        <f ca="1">VLOOKUP(A32,'銀行-TSS'!A:H,8,FALSE)</f>
        <v>4.3749999999999997E-2</v>
      </c>
      <c r="G32" s="96">
        <f ca="1">VLOOKUP(A32,'銀行-TSS'!A:K,11,FALSE)</f>
        <v>101.51</v>
      </c>
      <c r="H32" s="1209">
        <f ca="1">VLOOKUP(A32,'銀行-TSS'!A:M,13,FALSE)</f>
        <v>4.2200000000000001E-2</v>
      </c>
      <c r="I32" s="1213">
        <f ca="1">VLOOKUP(A32,'銀行-TSS'!A:N,14,FALSE)</f>
        <v>10000</v>
      </c>
      <c r="J32" s="1213">
        <f ca="1">VLOOKUP(A32,'銀行-TSS'!A:O,15,FALSE)</f>
        <v>1000</v>
      </c>
      <c r="K32" s="136" t="str">
        <f ca="1">VLOOKUP(A32,'銀行-TSS'!A:V,22,FALSE)</f>
        <v>(NPI)非專投</v>
      </c>
      <c r="L32" s="136" t="str">
        <f ca="1">VLOOKUP(A32,'銀行-TSS'!A:AK,37,FALSE)</f>
        <v>有</v>
      </c>
      <c r="M32" s="136" t="str">
        <f ca="1">VLOOKUP(A32,'銀行-TSS'!A:AN,40,FALSE)</f>
        <v/>
      </c>
      <c r="N32" s="136">
        <f t="shared" ca="1" si="0"/>
        <v>1015.1</v>
      </c>
      <c r="O32" s="1213">
        <f t="shared" ca="1" si="1"/>
        <v>10151</v>
      </c>
      <c r="P32" s="1213">
        <f ca="1">IF(AND($O$1&gt;=O32,換券單檔!$D$13=D32),I32+INT(($O$1-O32)/N32)*J32,0)</f>
        <v>95000</v>
      </c>
      <c r="Q32" s="1213">
        <f t="shared" ca="1" si="2"/>
        <v>4156.25</v>
      </c>
      <c r="R32" s="1213">
        <f t="shared" ca="1" si="43"/>
        <v>95000</v>
      </c>
      <c r="S32" s="1213">
        <f t="shared" ca="1" si="44"/>
        <v>4156.25</v>
      </c>
      <c r="T32" s="136">
        <f ca="1">IF(OR(R32=0,A32=0),0,IF(AND(V32=TRUE,換券單檔!$D$13=D32),E32,0))</f>
        <v>9.43</v>
      </c>
      <c r="U32" s="861">
        <f ca="1">IF(OR(R32=0,A32=0),0,IF(AND(V32=TRUE,換券單檔!$D$13=D32),H32,0))</f>
        <v>4.2200000000000001E-2</v>
      </c>
      <c r="V32" s="136" t="b">
        <f ca="1">IF(OR(B32=換券單檔!$D$3,L32="無",M32&lt;&gt;"",K32="高資產",IFERROR(MATCH(B32,換券單檔!K:K,0),"N")&lt;&gt;"N"),FALSE,IF($V$1="All",TRUE,IF(K32=$V$1,TRUE,FALSE)))</f>
        <v>1</v>
      </c>
      <c r="W32" s="136">
        <f ca="1">VLOOKUP(A32,'銀行-TSS'!A:AO,41,FALSE)</f>
        <v>98.68</v>
      </c>
      <c r="X32" s="136">
        <f ca="1">VLOOKUP(A32,'銀行-TSS'!A:AP,42,FALSE)</f>
        <v>7.6245000000000003</v>
      </c>
      <c r="Y32" s="1220">
        <f t="shared" ca="1" si="3"/>
        <v>7147.663770000001</v>
      </c>
      <c r="Z32" s="1220">
        <f t="shared" ca="1" si="4"/>
        <v>0</v>
      </c>
      <c r="AA32" s="136">
        <f ca="1">IF(Z32&lt;=0,0,RANK(Z32,Z:Z)+COUNTIF($Z$3:$Z32,Z32)-1)</f>
        <v>0</v>
      </c>
      <c r="AB32" s="1211">
        <f t="shared" ca="1" si="5"/>
        <v>-12748.476229999998</v>
      </c>
      <c r="AC32" s="136">
        <f ca="1">IF(AB32&lt;=0,0,RANK(AB32,AB:AB)+COUNTIF($AB$3:$AB32,AB32)-1)</f>
        <v>0</v>
      </c>
      <c r="AD32" s="1123">
        <f t="shared" ca="1" si="6"/>
        <v>99999</v>
      </c>
      <c r="AE32" s="1123">
        <f ca="1">IF(AD32=99999,0,RANK(AD32,AD:AD,1)+COUNTIF($AD$3:$AD32,AD32)-1)</f>
        <v>0</v>
      </c>
      <c r="AF32" s="86" t="b">
        <f ca="1">IF(OR(M32&lt;&gt;"",L32="無",K32="高資產",IFERROR(MATCH(B32,換券單檔!K:K,0),"N")&lt;&gt;"N"),FALSE,TRUE)</f>
        <v>1</v>
      </c>
      <c r="AI32" s="1212">
        <f t="shared" ca="1" si="7"/>
        <v>95000</v>
      </c>
      <c r="AJ32" s="1213">
        <f t="shared" ca="1" si="8"/>
        <v>4156.25</v>
      </c>
      <c r="AK32" s="1587">
        <f t="shared" ca="1" si="9"/>
        <v>0</v>
      </c>
      <c r="AN32" s="1212">
        <f t="shared" ca="1" si="10"/>
        <v>54000</v>
      </c>
      <c r="AO32" s="1213">
        <f t="shared" ca="1" si="11"/>
        <v>2362.5</v>
      </c>
      <c r="AP32" s="1587">
        <f t="shared" ca="1" si="12"/>
        <v>-91680.395015906688</v>
      </c>
      <c r="AS32" s="1212">
        <f t="shared" ca="1" si="13"/>
        <v>93000</v>
      </c>
      <c r="AT32" s="1213">
        <f t="shared" ca="1" si="14"/>
        <v>4068.7499999999995</v>
      </c>
      <c r="AU32" s="1587">
        <f t="shared" ca="1" si="15"/>
        <v>0</v>
      </c>
      <c r="AX32" s="1212">
        <f t="shared" ca="1" si="16"/>
        <v>85000</v>
      </c>
      <c r="AY32" s="1213">
        <f t="shared" ca="1" si="17"/>
        <v>3718.7499999999995</v>
      </c>
      <c r="AZ32" s="1587">
        <f t="shared" ca="1" si="18"/>
        <v>0</v>
      </c>
      <c r="BC32" s="1212">
        <f t="shared" ca="1" si="19"/>
        <v>0</v>
      </c>
      <c r="BD32" s="1213">
        <f t="shared" ca="1" si="20"/>
        <v>0</v>
      </c>
      <c r="BE32" s="1587">
        <f t="shared" ca="1" si="21"/>
        <v>0</v>
      </c>
      <c r="BH32" s="1212">
        <f t="shared" ca="1" si="22"/>
        <v>0</v>
      </c>
      <c r="BI32" s="1213">
        <f t="shared" ca="1" si="23"/>
        <v>0</v>
      </c>
      <c r="BJ32" s="1587">
        <f t="shared" ca="1" si="24"/>
        <v>0</v>
      </c>
      <c r="BM32" s="1212">
        <f t="shared" ca="1" si="25"/>
        <v>0</v>
      </c>
      <c r="BN32" s="1213">
        <f t="shared" ca="1" si="26"/>
        <v>0</v>
      </c>
      <c r="BO32" s="1587">
        <f t="shared" ca="1" si="27"/>
        <v>0</v>
      </c>
      <c r="BR32" s="1212">
        <f t="shared" ca="1" si="28"/>
        <v>0</v>
      </c>
      <c r="BS32" s="1213">
        <f t="shared" ca="1" si="29"/>
        <v>0</v>
      </c>
      <c r="BT32" s="1587">
        <f t="shared" ca="1" si="30"/>
        <v>0</v>
      </c>
      <c r="BW32" s="1212">
        <f t="shared" ca="1" si="31"/>
        <v>0</v>
      </c>
      <c r="BX32" s="1213">
        <f t="shared" ca="1" si="32"/>
        <v>0</v>
      </c>
      <c r="BY32" s="1587">
        <f t="shared" ca="1" si="33"/>
        <v>0</v>
      </c>
      <c r="CB32" s="1212">
        <f t="shared" ca="1" si="34"/>
        <v>0</v>
      </c>
      <c r="CC32" s="1213">
        <f t="shared" ca="1" si="35"/>
        <v>0</v>
      </c>
      <c r="CD32" s="1587">
        <f t="shared" ca="1" si="36"/>
        <v>0</v>
      </c>
      <c r="CG32" s="1212">
        <f t="shared" ca="1" si="37"/>
        <v>0</v>
      </c>
      <c r="CH32" s="1213">
        <f t="shared" ca="1" si="38"/>
        <v>0</v>
      </c>
      <c r="CI32" s="1587">
        <f t="shared" ca="1" si="39"/>
        <v>0</v>
      </c>
      <c r="CL32" s="1212">
        <f t="shared" ca="1" si="40"/>
        <v>0</v>
      </c>
      <c r="CM32" s="1213">
        <f t="shared" ca="1" si="41"/>
        <v>0</v>
      </c>
      <c r="CN32" s="1587">
        <f t="shared" ca="1" si="42"/>
        <v>0</v>
      </c>
    </row>
    <row r="33" spans="1:92">
      <c r="A33" s="141" t="str">
        <f>'銀行-TSS'!A33</f>
        <v>US458140AT73</v>
      </c>
      <c r="B33" s="151" t="str">
        <f ca="1">VLOOKUP(A33,'銀行-TSS'!A:B,2,FALSE)</f>
        <v>XFK10</v>
      </c>
      <c r="C33" s="151" t="str">
        <f ca="1">VLOOKUP(B33,bond!B:C,2,FALSE)</f>
        <v>英特爾公司美元配息債券 4.9% 2045/7/29</v>
      </c>
      <c r="D33" s="95" t="str">
        <f>VLOOKUP(A33,'銀行-TSS'!A:C,3,FALSE)</f>
        <v>USD</v>
      </c>
      <c r="E33" s="90">
        <f ca="1">VLOOKUP(A33,'銀行-TSS'!A:G,7,FALSE)</f>
        <v>21.07</v>
      </c>
      <c r="F33" s="202">
        <f ca="1">VLOOKUP(A33,'銀行-TSS'!A:H,8,FALSE)</f>
        <v>4.9000000000000002E-2</v>
      </c>
      <c r="G33" s="96">
        <f ca="1">VLOOKUP(A33,'銀行-TSS'!A:K,11,FALSE)</f>
        <v>97.24</v>
      </c>
      <c r="H33" s="1209">
        <f ca="1">VLOOKUP(A33,'銀行-TSS'!A:M,13,FALSE)</f>
        <v>5.28E-2</v>
      </c>
      <c r="I33" s="1213">
        <f ca="1">VLOOKUP(A33,'銀行-TSS'!A:N,14,FALSE)</f>
        <v>10000</v>
      </c>
      <c r="J33" s="1213">
        <f ca="1">VLOOKUP(A33,'銀行-TSS'!A:O,15,FALSE)</f>
        <v>1000</v>
      </c>
      <c r="K33" s="136" t="str">
        <f ca="1">VLOOKUP(A33,'銀行-TSS'!A:V,22,FALSE)</f>
        <v>(NPI)非專投</v>
      </c>
      <c r="L33" s="136" t="str">
        <f ca="1">VLOOKUP(A33,'銀行-TSS'!A:AK,37,FALSE)</f>
        <v>有</v>
      </c>
      <c r="M33" s="136" t="str">
        <f ca="1">VLOOKUP(A33,'銀行-TSS'!A:AN,40,FALSE)</f>
        <v/>
      </c>
      <c r="N33" s="136">
        <f t="shared" ca="1" si="0"/>
        <v>972.4</v>
      </c>
      <c r="O33" s="1213">
        <f t="shared" ca="1" si="1"/>
        <v>9724</v>
      </c>
      <c r="P33" s="1213">
        <f ca="1">IF(AND($O$1&gt;=O33,換券單檔!$D$13=D33),I33+INT(($O$1-O33)/N33)*J33,0)</f>
        <v>99000</v>
      </c>
      <c r="Q33" s="1213">
        <f t="shared" ca="1" si="2"/>
        <v>4851</v>
      </c>
      <c r="R33" s="1213">
        <f t="shared" ca="1" si="43"/>
        <v>99000</v>
      </c>
      <c r="S33" s="1213">
        <f t="shared" ca="1" si="44"/>
        <v>4851</v>
      </c>
      <c r="T33" s="136">
        <f ca="1">IF(OR(R33=0,A33=0),0,IF(AND(V33=TRUE,換券單檔!$D$13=D33),E33,0))</f>
        <v>21.07</v>
      </c>
      <c r="U33" s="861">
        <f ca="1">IF(OR(R33=0,A33=0),0,IF(AND(V33=TRUE,換券單檔!$D$13=D33),H33,0))</f>
        <v>5.28E-2</v>
      </c>
      <c r="V33" s="136" t="b">
        <f ca="1">IF(OR(B33=換券單檔!$D$3,L33="無",M33&lt;&gt;"",K33="高資產",IFERROR(MATCH(B33,換券單檔!K:K,0),"N")&lt;&gt;"N"),FALSE,IF($V$1="All",TRUE,IF(K33=$V$1,TRUE,FALSE)))</f>
        <v>1</v>
      </c>
      <c r="W33" s="136">
        <f ca="1">VLOOKUP(A33,'銀行-TSS'!A:AO,41,FALSE)</f>
        <v>92.160000000000011</v>
      </c>
      <c r="X33" s="136">
        <f ca="1">VLOOKUP(A33,'銀行-TSS'!A:AP,42,FALSE)</f>
        <v>12.4467</v>
      </c>
      <c r="Y33" s="1220">
        <f t="shared" ca="1" si="3"/>
        <v>11356.169932800001</v>
      </c>
      <c r="Z33" s="1220">
        <f t="shared" ca="1" si="4"/>
        <v>-1997.0711912672018</v>
      </c>
      <c r="AA33" s="136">
        <f ca="1">IF(Z33&lt;=0,0,RANK(Z33,Z:Z)+COUNTIF($Z$3:$Z33,Z33)-1)</f>
        <v>0</v>
      </c>
      <c r="AB33" s="1211">
        <f t="shared" ca="1" si="5"/>
        <v>-4539.9700671999981</v>
      </c>
      <c r="AC33" s="136">
        <f ca="1">IF(AB33&lt;=0,0,RANK(AB33,AB:AB)+COUNTIF($AB$3:$AB33,AB33)-1)</f>
        <v>0</v>
      </c>
      <c r="AD33" s="1123">
        <f t="shared" ca="1" si="6"/>
        <v>99999</v>
      </c>
      <c r="AE33" s="1123">
        <f ca="1">IF(AD33=99999,0,RANK(AD33,AD:AD,1)+COUNTIF($AD$3:$AD33,AD33)-1)</f>
        <v>0</v>
      </c>
      <c r="AF33" s="86" t="b">
        <f ca="1">IF(OR(M33&lt;&gt;"",L33="無",K33="高資產",IFERROR(MATCH(B33,換券單檔!K:K,0),"N")&lt;&gt;"N"),FALSE,TRUE)</f>
        <v>1</v>
      </c>
      <c r="AI33" s="1212">
        <f t="shared" ca="1" si="7"/>
        <v>99000</v>
      </c>
      <c r="AJ33" s="1213">
        <f t="shared" ca="1" si="8"/>
        <v>4851</v>
      </c>
      <c r="AK33" s="1587">
        <f t="shared" ca="1" si="9"/>
        <v>-1997.0711912672018</v>
      </c>
      <c r="AN33" s="1212">
        <f t="shared" ca="1" si="10"/>
        <v>56000</v>
      </c>
      <c r="AO33" s="1213">
        <f t="shared" ca="1" si="11"/>
        <v>2744</v>
      </c>
      <c r="AP33" s="1587">
        <f t="shared" ca="1" si="12"/>
        <v>-86553.168485999049</v>
      </c>
      <c r="AS33" s="1212">
        <f t="shared" ca="1" si="13"/>
        <v>97000</v>
      </c>
      <c r="AT33" s="1213">
        <f t="shared" ca="1" si="14"/>
        <v>4753</v>
      </c>
      <c r="AU33" s="1587">
        <f t="shared" ca="1" si="15"/>
        <v>-6357.3146654010443</v>
      </c>
      <c r="AX33" s="1212">
        <f t="shared" ca="1" si="16"/>
        <v>89000</v>
      </c>
      <c r="AY33" s="1213">
        <f t="shared" ca="1" si="17"/>
        <v>4361</v>
      </c>
      <c r="AZ33" s="1587">
        <f t="shared" ca="1" si="18"/>
        <v>-22260.663977218795</v>
      </c>
      <c r="BC33" s="1212">
        <f t="shared" ca="1" si="19"/>
        <v>0</v>
      </c>
      <c r="BD33" s="1213">
        <f t="shared" ca="1" si="20"/>
        <v>0</v>
      </c>
      <c r="BE33" s="1587">
        <f t="shared" ca="1" si="21"/>
        <v>0</v>
      </c>
      <c r="BH33" s="1212">
        <f t="shared" ca="1" si="22"/>
        <v>0</v>
      </c>
      <c r="BI33" s="1213">
        <f t="shared" ca="1" si="23"/>
        <v>0</v>
      </c>
      <c r="BJ33" s="1587">
        <f t="shared" ca="1" si="24"/>
        <v>0</v>
      </c>
      <c r="BM33" s="1212">
        <f t="shared" ca="1" si="25"/>
        <v>0</v>
      </c>
      <c r="BN33" s="1213">
        <f t="shared" ca="1" si="26"/>
        <v>0</v>
      </c>
      <c r="BO33" s="1587">
        <f t="shared" ca="1" si="27"/>
        <v>0</v>
      </c>
      <c r="BR33" s="1212">
        <f t="shared" ca="1" si="28"/>
        <v>0</v>
      </c>
      <c r="BS33" s="1213">
        <f t="shared" ca="1" si="29"/>
        <v>0</v>
      </c>
      <c r="BT33" s="1587">
        <f t="shared" ca="1" si="30"/>
        <v>0</v>
      </c>
      <c r="BW33" s="1212">
        <f t="shared" ca="1" si="31"/>
        <v>0</v>
      </c>
      <c r="BX33" s="1213">
        <f t="shared" ca="1" si="32"/>
        <v>0</v>
      </c>
      <c r="BY33" s="1587">
        <f t="shared" ca="1" si="33"/>
        <v>0</v>
      </c>
      <c r="CB33" s="1212">
        <f t="shared" ca="1" si="34"/>
        <v>0</v>
      </c>
      <c r="CC33" s="1213">
        <f t="shared" ca="1" si="35"/>
        <v>0</v>
      </c>
      <c r="CD33" s="1587">
        <f t="shared" ca="1" si="36"/>
        <v>0</v>
      </c>
      <c r="CG33" s="1212">
        <f t="shared" ca="1" si="37"/>
        <v>0</v>
      </c>
      <c r="CH33" s="1213">
        <f t="shared" ca="1" si="38"/>
        <v>0</v>
      </c>
      <c r="CI33" s="1587">
        <f t="shared" ca="1" si="39"/>
        <v>0</v>
      </c>
      <c r="CL33" s="1212">
        <f t="shared" ca="1" si="40"/>
        <v>0</v>
      </c>
      <c r="CM33" s="1213">
        <f t="shared" ca="1" si="41"/>
        <v>0</v>
      </c>
      <c r="CN33" s="1587">
        <f t="shared" ca="1" si="42"/>
        <v>0</v>
      </c>
    </row>
    <row r="34" spans="1:92">
      <c r="A34" s="141" t="str">
        <f>'銀行-TSS'!A34</f>
        <v>US71654QCG55</v>
      </c>
      <c r="B34" s="151" t="str">
        <f ca="1">VLOOKUP(A34,'銀行-TSS'!A:B,2,FALSE)</f>
        <v>XFK20</v>
      </c>
      <c r="C34" s="151" t="str">
        <f ca="1">VLOOKUP(B34,bond!B:C,2,FALSE)</f>
        <v>墨西哥石油公司美元配息債券 6.5% 2027/3/13</v>
      </c>
      <c r="D34" s="95" t="str">
        <f>VLOOKUP(A34,'銀行-TSS'!A:C,3,FALSE)</f>
        <v>USD</v>
      </c>
      <c r="E34" s="90">
        <f ca="1">VLOOKUP(A34,'銀行-TSS'!A:G,7,FALSE)</f>
        <v>2.69</v>
      </c>
      <c r="F34" s="202">
        <f ca="1">VLOOKUP(A34,'銀行-TSS'!A:H,8,FALSE)</f>
        <v>6.5000000000000002E-2</v>
      </c>
      <c r="G34" s="96">
        <f ca="1">VLOOKUP(A34,'銀行-TSS'!A:K,11,FALSE)</f>
        <v>99.47</v>
      </c>
      <c r="H34" s="1209">
        <f ca="1">VLOOKUP(A34,'銀行-TSS'!A:M,13,FALSE)</f>
        <v>7.5399999999999995E-2</v>
      </c>
      <c r="I34" s="1213">
        <f ca="1">VLOOKUP(A34,'銀行-TSS'!A:N,14,FALSE)</f>
        <v>10000</v>
      </c>
      <c r="J34" s="1213">
        <f ca="1">VLOOKUP(A34,'銀行-TSS'!A:O,15,FALSE)</f>
        <v>1000</v>
      </c>
      <c r="K34" s="136" t="str">
        <f ca="1">VLOOKUP(A34,'銀行-TSS'!A:V,22,FALSE)</f>
        <v>高資產</v>
      </c>
      <c r="L34" s="136" t="str">
        <f ca="1">VLOOKUP(A34,'銀行-TSS'!A:AK,37,FALSE)</f>
        <v>有</v>
      </c>
      <c r="M34" s="136" t="str">
        <f ca="1">VLOOKUP(A34,'銀行-TSS'!A:AN,40,FALSE)</f>
        <v/>
      </c>
      <c r="N34" s="136">
        <f t="shared" ca="1" si="0"/>
        <v>994.7</v>
      </c>
      <c r="O34" s="1213">
        <f t="shared" ca="1" si="1"/>
        <v>9947</v>
      </c>
      <c r="P34" s="1213">
        <f ca="1">IF(AND($O$1&gt;=O34,換券單檔!$D$13=D34),I34+INT(($O$1-O34)/N34)*J34,0)</f>
        <v>97000</v>
      </c>
      <c r="Q34" s="1213">
        <f t="shared" ca="1" si="2"/>
        <v>6305</v>
      </c>
      <c r="R34" s="1213">
        <f t="shared" ca="1" si="43"/>
        <v>0</v>
      </c>
      <c r="S34" s="1213">
        <f t="shared" ca="1" si="44"/>
        <v>0</v>
      </c>
      <c r="T34" s="136">
        <f ca="1">IF(OR(R34=0,A34=0),0,IF(AND(V34=TRUE,換券單檔!$D$13=D34),E34,0))</f>
        <v>0</v>
      </c>
      <c r="U34" s="861">
        <f ca="1">IF(OR(R34=0,A34=0),0,IF(AND(V34=TRUE,換券單檔!$D$13=D34),H34,0))</f>
        <v>0</v>
      </c>
      <c r="V34" s="136" t="b">
        <f ca="1">IF(OR(B34=換券單檔!$D$3,L34="無",M34&lt;&gt;"",K34="高資產",IFERROR(MATCH(B34,換券單檔!K:K,0),"N")&lt;&gt;"N"),FALSE,IF($V$1="All",TRUE,IF(K34=$V$1,TRUE,FALSE)))</f>
        <v>0</v>
      </c>
      <c r="W34" s="136">
        <f ca="1">VLOOKUP(A34,'銀行-TSS'!A:AO,41,FALSE)</f>
        <v>96.300000000000011</v>
      </c>
      <c r="X34" s="136">
        <f ca="1">VLOOKUP(A34,'銀行-TSS'!A:AP,42,FALSE)</f>
        <v>2.37</v>
      </c>
      <c r="Y34" s="1220">
        <f t="shared" ca="1" si="3"/>
        <v>0</v>
      </c>
      <c r="Z34" s="1220">
        <f t="shared" ca="1" si="4"/>
        <v>0</v>
      </c>
      <c r="AA34" s="136">
        <f ca="1">IF(Z34&lt;=0,0,RANK(Z34,Z:Z)+COUNTIF($Z$3:$Z34,Z34)-1)</f>
        <v>0</v>
      </c>
      <c r="AB34" s="1211">
        <f t="shared" ca="1" si="5"/>
        <v>-14896.14</v>
      </c>
      <c r="AC34" s="136">
        <f ca="1">IF(AB34&lt;=0,0,RANK(AB34,AB:AB)+COUNTIF($AB$3:$AB34,AB34)-1)</f>
        <v>0</v>
      </c>
      <c r="AD34" s="1123">
        <f t="shared" ca="1" si="6"/>
        <v>99999</v>
      </c>
      <c r="AE34" s="1123">
        <f ca="1">IF(AD34=99999,0,RANK(AD34,AD:AD,1)+COUNTIF($AD$3:$AD34,AD34)-1)</f>
        <v>0</v>
      </c>
      <c r="AF34" s="86" t="b">
        <f ca="1">IF(OR(M34&lt;&gt;"",L34="無",K34="高資產",IFERROR(MATCH(B34,換券單檔!K:K,0),"N")&lt;&gt;"N"),FALSE,TRUE)</f>
        <v>0</v>
      </c>
      <c r="AI34" s="1212">
        <f t="shared" ca="1" si="7"/>
        <v>0</v>
      </c>
      <c r="AJ34" s="1213">
        <f t="shared" ca="1" si="8"/>
        <v>0</v>
      </c>
      <c r="AK34" s="1587">
        <f t="shared" ca="1" si="9"/>
        <v>0</v>
      </c>
      <c r="AN34" s="1212">
        <f t="shared" ca="1" si="10"/>
        <v>0</v>
      </c>
      <c r="AO34" s="1213">
        <f t="shared" ca="1" si="11"/>
        <v>0</v>
      </c>
      <c r="AP34" s="1587">
        <f t="shared" ca="1" si="12"/>
        <v>0</v>
      </c>
      <c r="AS34" s="1212">
        <f t="shared" ca="1" si="13"/>
        <v>0</v>
      </c>
      <c r="AT34" s="1213">
        <f t="shared" ca="1" si="14"/>
        <v>0</v>
      </c>
      <c r="AU34" s="1587">
        <f t="shared" ca="1" si="15"/>
        <v>0</v>
      </c>
      <c r="AX34" s="1212">
        <f t="shared" ca="1" si="16"/>
        <v>0</v>
      </c>
      <c r="AY34" s="1213">
        <f t="shared" ca="1" si="17"/>
        <v>0</v>
      </c>
      <c r="AZ34" s="1587">
        <f t="shared" ca="1" si="18"/>
        <v>0</v>
      </c>
      <c r="BC34" s="1212">
        <f t="shared" ca="1" si="19"/>
        <v>0</v>
      </c>
      <c r="BD34" s="1213">
        <f t="shared" ca="1" si="20"/>
        <v>0</v>
      </c>
      <c r="BE34" s="1587">
        <f t="shared" ca="1" si="21"/>
        <v>0</v>
      </c>
      <c r="BH34" s="1212">
        <f t="shared" ca="1" si="22"/>
        <v>0</v>
      </c>
      <c r="BI34" s="1213">
        <f t="shared" ca="1" si="23"/>
        <v>0</v>
      </c>
      <c r="BJ34" s="1587">
        <f t="shared" ca="1" si="24"/>
        <v>0</v>
      </c>
      <c r="BM34" s="1212">
        <f t="shared" ca="1" si="25"/>
        <v>0</v>
      </c>
      <c r="BN34" s="1213">
        <f t="shared" ca="1" si="26"/>
        <v>0</v>
      </c>
      <c r="BO34" s="1587">
        <f t="shared" ca="1" si="27"/>
        <v>0</v>
      </c>
      <c r="BR34" s="1212">
        <f t="shared" ca="1" si="28"/>
        <v>0</v>
      </c>
      <c r="BS34" s="1213">
        <f t="shared" ca="1" si="29"/>
        <v>0</v>
      </c>
      <c r="BT34" s="1587">
        <f t="shared" ca="1" si="30"/>
        <v>0</v>
      </c>
      <c r="BW34" s="1212">
        <f t="shared" ca="1" si="31"/>
        <v>0</v>
      </c>
      <c r="BX34" s="1213">
        <f t="shared" ca="1" si="32"/>
        <v>0</v>
      </c>
      <c r="BY34" s="1587">
        <f t="shared" ca="1" si="33"/>
        <v>0</v>
      </c>
      <c r="CB34" s="1212">
        <f t="shared" ca="1" si="34"/>
        <v>0</v>
      </c>
      <c r="CC34" s="1213">
        <f t="shared" ca="1" si="35"/>
        <v>0</v>
      </c>
      <c r="CD34" s="1587">
        <f t="shared" ca="1" si="36"/>
        <v>0</v>
      </c>
      <c r="CG34" s="1212">
        <f t="shared" ca="1" si="37"/>
        <v>0</v>
      </c>
      <c r="CH34" s="1213">
        <f t="shared" ca="1" si="38"/>
        <v>0</v>
      </c>
      <c r="CI34" s="1587">
        <f t="shared" ca="1" si="39"/>
        <v>0</v>
      </c>
      <c r="CL34" s="1212">
        <f t="shared" ca="1" si="40"/>
        <v>0</v>
      </c>
      <c r="CM34" s="1213">
        <f t="shared" ca="1" si="41"/>
        <v>0</v>
      </c>
      <c r="CN34" s="1587">
        <f t="shared" ca="1" si="42"/>
        <v>0</v>
      </c>
    </row>
    <row r="35" spans="1:92">
      <c r="A35" s="141" t="str">
        <f>'銀行-TSS'!A35</f>
        <v>XS1615104244</v>
      </c>
      <c r="B35" s="151" t="str">
        <f ca="1">VLOOKUP(A35,'銀行-TSS'!A:B,2,FALSE)</f>
        <v>XFK30</v>
      </c>
      <c r="C35" s="151" t="str">
        <f ca="1">VLOOKUP(B35,bond!B:C,2,FALSE)</f>
        <v>法國興業銀行澳幣年配息債券 5% 2027/5/19</v>
      </c>
      <c r="D35" s="95" t="str">
        <f>VLOOKUP(A35,'銀行-TSS'!A:C,3,FALSE)</f>
        <v>AUD</v>
      </c>
      <c r="E35" s="90">
        <f ca="1">VLOOKUP(A35,'銀行-TSS'!A:G,7,FALSE)</f>
        <v>2.87</v>
      </c>
      <c r="F35" s="202">
        <f ca="1">VLOOKUP(A35,'銀行-TSS'!A:H,8,FALSE)</f>
        <v>0.05</v>
      </c>
      <c r="G35" s="96">
        <f ca="1">VLOOKUP(A35,'銀行-TSS'!A:K,11,FALSE)</f>
        <v>100.7</v>
      </c>
      <c r="H35" s="1209">
        <f ca="1">VLOOKUP(A35,'銀行-TSS'!A:M,13,FALSE)</f>
        <v>4.9599999999999998E-2</v>
      </c>
      <c r="I35" s="1213">
        <f ca="1">VLOOKUP(A35,'銀行-TSS'!A:N,14,FALSE)</f>
        <v>200000</v>
      </c>
      <c r="J35" s="1213">
        <f ca="1">VLOOKUP(A35,'銀行-TSS'!A:O,15,FALSE)</f>
        <v>2000</v>
      </c>
      <c r="K35" s="136" t="str">
        <f ca="1">VLOOKUP(A35,'銀行-TSS'!A:V,22,FALSE)</f>
        <v>(PI)專投</v>
      </c>
      <c r="L35" s="136" t="str">
        <f ca="1">VLOOKUP(A35,'銀行-TSS'!A:AK,37,FALSE)</f>
        <v>需查詢</v>
      </c>
      <c r="M35" s="136" t="str">
        <f ca="1">VLOOKUP(A35,'銀行-TSS'!A:AN,40,FALSE)</f>
        <v/>
      </c>
      <c r="N35" s="136">
        <f t="shared" ca="1" si="0"/>
        <v>2014</v>
      </c>
      <c r="O35" s="1213">
        <f t="shared" ca="1" si="1"/>
        <v>201400</v>
      </c>
      <c r="P35" s="1213">
        <f ca="1">IF(AND($O$1&gt;=O35,換券單檔!$D$13=D35),I35+INT(($O$1-O35)/N35)*J35,0)</f>
        <v>0</v>
      </c>
      <c r="Q35" s="1213">
        <f t="shared" ca="1" si="2"/>
        <v>0</v>
      </c>
      <c r="R35" s="1213">
        <f t="shared" ca="1" si="43"/>
        <v>0</v>
      </c>
      <c r="S35" s="1213">
        <f t="shared" ca="1" si="44"/>
        <v>0</v>
      </c>
      <c r="T35" s="136">
        <f ca="1">IF(OR(R35=0,A35=0),0,IF(AND(V35=TRUE,換券單檔!$D$13=D35),E35,0))</f>
        <v>0</v>
      </c>
      <c r="U35" s="861">
        <f ca="1">IF(OR(R35=0,A35=0),0,IF(AND(V35=TRUE,換券單檔!$D$13=D35),H35,0))</f>
        <v>0</v>
      </c>
      <c r="V35" s="136" t="b">
        <f ca="1">IF(OR(B35=換券單檔!$D$3,L35="無",M35&lt;&gt;"",K35="高資產",IFERROR(MATCH(B35,換券單檔!K:K,0),"N")&lt;&gt;"N"),FALSE,IF($V$1="All",TRUE,IF(K35=$V$1,TRUE,FALSE)))</f>
        <v>1</v>
      </c>
      <c r="W35" s="136">
        <f ca="1">VLOOKUP(A35,'銀行-TSS'!A:AO,41,FALSE)</f>
        <v>98.88000000000001</v>
      </c>
      <c r="X35" s="136">
        <f ca="1">VLOOKUP(A35,'銀行-TSS'!A:AP,42,FALSE)</f>
        <v>2.6614</v>
      </c>
      <c r="Y35" s="1220">
        <f t="shared" ca="1" si="3"/>
        <v>0</v>
      </c>
      <c r="Z35" s="1220">
        <f t="shared" ca="1" si="4"/>
        <v>0</v>
      </c>
      <c r="AA35" s="136">
        <f ca="1">IF(Z35&lt;=0,0,RANK(Z35,Z:Z)+COUNTIF($Z$3:$Z35,Z35)-1)</f>
        <v>0</v>
      </c>
      <c r="AB35" s="1211">
        <f t="shared" ca="1" si="5"/>
        <v>-114896.14</v>
      </c>
      <c r="AC35" s="136">
        <f ca="1">IF(AB35&lt;=0,0,RANK(AB35,AB:AB)+COUNTIF($AB$3:$AB35,AB35)-1)</f>
        <v>0</v>
      </c>
      <c r="AD35" s="1123">
        <f t="shared" ca="1" si="6"/>
        <v>99999</v>
      </c>
      <c r="AE35" s="1123">
        <f ca="1">IF(AD35=99999,0,RANK(AD35,AD:AD,1)+COUNTIF($AD$3:$AD35,AD35)-1)</f>
        <v>0</v>
      </c>
      <c r="AF35" s="86" t="b">
        <f ca="1">IF(OR(M35&lt;&gt;"",L35="無",K35="高資產",IFERROR(MATCH(B35,換券單檔!K:K,0),"N")&lt;&gt;"N"),FALSE,TRUE)</f>
        <v>1</v>
      </c>
      <c r="AI35" s="1212">
        <f t="shared" ca="1" si="7"/>
        <v>0</v>
      </c>
      <c r="AJ35" s="1213">
        <f t="shared" ca="1" si="8"/>
        <v>0</v>
      </c>
      <c r="AK35" s="1587">
        <f t="shared" ca="1" si="9"/>
        <v>0</v>
      </c>
      <c r="AN35" s="1212">
        <f t="shared" ca="1" si="10"/>
        <v>0</v>
      </c>
      <c r="AO35" s="1213">
        <f t="shared" ca="1" si="11"/>
        <v>0</v>
      </c>
      <c r="AP35" s="1587">
        <f t="shared" ca="1" si="12"/>
        <v>0</v>
      </c>
      <c r="AS35" s="1212">
        <f t="shared" ca="1" si="13"/>
        <v>0</v>
      </c>
      <c r="AT35" s="1213">
        <f t="shared" ca="1" si="14"/>
        <v>0</v>
      </c>
      <c r="AU35" s="1587">
        <f t="shared" ca="1" si="15"/>
        <v>0</v>
      </c>
      <c r="AX35" s="1212">
        <f t="shared" ca="1" si="16"/>
        <v>0</v>
      </c>
      <c r="AY35" s="1213">
        <f t="shared" ca="1" si="17"/>
        <v>0</v>
      </c>
      <c r="AZ35" s="1587">
        <f t="shared" ca="1" si="18"/>
        <v>0</v>
      </c>
      <c r="BC35" s="1212">
        <f t="shared" ca="1" si="19"/>
        <v>0</v>
      </c>
      <c r="BD35" s="1213">
        <f t="shared" ca="1" si="20"/>
        <v>0</v>
      </c>
      <c r="BE35" s="1587">
        <f t="shared" ca="1" si="21"/>
        <v>0</v>
      </c>
      <c r="BH35" s="1212">
        <f t="shared" ca="1" si="22"/>
        <v>0</v>
      </c>
      <c r="BI35" s="1213">
        <f t="shared" ca="1" si="23"/>
        <v>0</v>
      </c>
      <c r="BJ35" s="1587">
        <f t="shared" ca="1" si="24"/>
        <v>0</v>
      </c>
      <c r="BM35" s="1212">
        <f t="shared" ca="1" si="25"/>
        <v>0</v>
      </c>
      <c r="BN35" s="1213">
        <f t="shared" ca="1" si="26"/>
        <v>0</v>
      </c>
      <c r="BO35" s="1587">
        <f t="shared" ca="1" si="27"/>
        <v>0</v>
      </c>
      <c r="BR35" s="1212">
        <f t="shared" ca="1" si="28"/>
        <v>0</v>
      </c>
      <c r="BS35" s="1213">
        <f t="shared" ca="1" si="29"/>
        <v>0</v>
      </c>
      <c r="BT35" s="1587">
        <f t="shared" ca="1" si="30"/>
        <v>0</v>
      </c>
      <c r="BW35" s="1212">
        <f t="shared" ca="1" si="31"/>
        <v>0</v>
      </c>
      <c r="BX35" s="1213">
        <f t="shared" ca="1" si="32"/>
        <v>0</v>
      </c>
      <c r="BY35" s="1587">
        <f t="shared" ca="1" si="33"/>
        <v>0</v>
      </c>
      <c r="CB35" s="1212">
        <f t="shared" ca="1" si="34"/>
        <v>0</v>
      </c>
      <c r="CC35" s="1213">
        <f t="shared" ca="1" si="35"/>
        <v>0</v>
      </c>
      <c r="CD35" s="1587">
        <f t="shared" ca="1" si="36"/>
        <v>0</v>
      </c>
      <c r="CG35" s="1212">
        <f t="shared" ca="1" si="37"/>
        <v>0</v>
      </c>
      <c r="CH35" s="1213">
        <f t="shared" ca="1" si="38"/>
        <v>0</v>
      </c>
      <c r="CI35" s="1587">
        <f t="shared" ca="1" si="39"/>
        <v>0</v>
      </c>
      <c r="CL35" s="1212">
        <f t="shared" ca="1" si="40"/>
        <v>0</v>
      </c>
      <c r="CM35" s="1213">
        <f t="shared" ca="1" si="41"/>
        <v>0</v>
      </c>
      <c r="CN35" s="1587">
        <f t="shared" ca="1" si="42"/>
        <v>0</v>
      </c>
    </row>
    <row r="36" spans="1:92">
      <c r="A36" s="141" t="str">
        <f>'銀行-TSS'!A36</f>
        <v>US02079KAC18</v>
      </c>
      <c r="B36" s="151" t="str">
        <f ca="1">VLOOKUP(A36,'銀行-TSS'!A:B,2,FALSE)</f>
        <v>XFK60</v>
      </c>
      <c r="C36" s="151" t="str">
        <f ca="1">VLOOKUP(B36,bond!B:C,2,FALSE)</f>
        <v>Alphabet公司美元配息債券 1.998% 2026/8/15</v>
      </c>
      <c r="D36" s="95" t="str">
        <f>VLOOKUP(A36,'銀行-TSS'!A:C,3,FALSE)</f>
        <v>USD</v>
      </c>
      <c r="E36" s="90">
        <f ca="1">VLOOKUP(A36,'銀行-TSS'!A:G,7,FALSE)</f>
        <v>2.12</v>
      </c>
      <c r="F36" s="202">
        <f ca="1">VLOOKUP(A36,'銀行-TSS'!A:H,8,FALSE)</f>
        <v>1.9980000000000001E-2</v>
      </c>
      <c r="G36" s="96">
        <f ca="1">VLOOKUP(A36,'銀行-TSS'!A:K,11,FALSE)</f>
        <v>96.9</v>
      </c>
      <c r="H36" s="1209">
        <f ca="1">VLOOKUP(A36,'銀行-TSS'!A:M,13,FALSE)</f>
        <v>3.9100000000000003E-2</v>
      </c>
      <c r="I36" s="1213">
        <f ca="1">VLOOKUP(A36,'銀行-TSS'!A:N,14,FALSE)</f>
        <v>10000</v>
      </c>
      <c r="J36" s="1213">
        <f ca="1">VLOOKUP(A36,'銀行-TSS'!A:O,15,FALSE)</f>
        <v>1000</v>
      </c>
      <c r="K36" s="136" t="str">
        <f ca="1">VLOOKUP(A36,'銀行-TSS'!A:V,22,FALSE)</f>
        <v>(NPI)非專投</v>
      </c>
      <c r="L36" s="136" t="str">
        <f ca="1">VLOOKUP(A36,'銀行-TSS'!A:AK,37,FALSE)</f>
        <v>有</v>
      </c>
      <c r="M36" s="136" t="str">
        <f ca="1">VLOOKUP(A36,'銀行-TSS'!A:AN,40,FALSE)</f>
        <v>XFK60</v>
      </c>
      <c r="N36" s="136">
        <f t="shared" ca="1" si="0"/>
        <v>969</v>
      </c>
      <c r="O36" s="1213">
        <f t="shared" ca="1" si="1"/>
        <v>9690</v>
      </c>
      <c r="P36" s="1213">
        <f ca="1">IF(AND($O$1&gt;=O36,換券單檔!$D$13=D36),I36+INT(($O$1-O36)/N36)*J36,0)</f>
        <v>99000</v>
      </c>
      <c r="Q36" s="1213">
        <f t="shared" ca="1" si="2"/>
        <v>1978.0200000000002</v>
      </c>
      <c r="R36" s="1213">
        <f t="shared" ca="1" si="43"/>
        <v>0</v>
      </c>
      <c r="S36" s="1213">
        <f t="shared" ca="1" si="44"/>
        <v>0</v>
      </c>
      <c r="T36" s="136">
        <f ca="1">IF(OR(R36=0,A36=0),0,IF(AND(V36=TRUE,換券單檔!$D$13=D36),E36,0))</f>
        <v>0</v>
      </c>
      <c r="U36" s="861">
        <f ca="1">IF(OR(R36=0,A36=0),0,IF(AND(V36=TRUE,換券單檔!$D$13=D36),H36,0))</f>
        <v>0</v>
      </c>
      <c r="V36" s="136" t="b">
        <f ca="1">IF(OR(B36=換券單檔!$D$3,L36="無",M36&lt;&gt;"",K36="高資產",IFERROR(MATCH(B36,換券單檔!K:K,0),"N")&lt;&gt;"N"),FALSE,IF($V$1="All",TRUE,IF(K36=$V$1,TRUE,FALSE)))</f>
        <v>0</v>
      </c>
      <c r="W36" s="136">
        <f ca="1">VLOOKUP(A36,'銀行-TSS'!A:AO,41,FALSE)</f>
        <v>94.64</v>
      </c>
      <c r="X36" s="136">
        <f ca="1">VLOOKUP(A36,'銀行-TSS'!A:AP,42,FALSE)</f>
        <v>2.0238</v>
      </c>
      <c r="Y36" s="1220">
        <f t="shared" ca="1" si="3"/>
        <v>0</v>
      </c>
      <c r="Z36" s="1220">
        <f t="shared" ca="1" si="4"/>
        <v>0</v>
      </c>
      <c r="AA36" s="136">
        <f ca="1">IF(Z36&lt;=0,0,RANK(Z36,Z:Z)+COUNTIF($Z$3:$Z36,Z36)-1)</f>
        <v>0</v>
      </c>
      <c r="AB36" s="1211">
        <f t="shared" ca="1" si="5"/>
        <v>-14896.14</v>
      </c>
      <c r="AC36" s="136">
        <f ca="1">IF(AB36&lt;=0,0,RANK(AB36,AB:AB)+COUNTIF($AB$3:$AB36,AB36)-1)</f>
        <v>0</v>
      </c>
      <c r="AD36" s="1123">
        <f t="shared" ca="1" si="6"/>
        <v>99999</v>
      </c>
      <c r="AE36" s="1123">
        <f ca="1">IF(AD36=99999,0,RANK(AD36,AD:AD,1)+COUNTIF($AD$3:$AD36,AD36)-1)</f>
        <v>0</v>
      </c>
      <c r="AF36" s="86" t="b">
        <f ca="1">IF(OR(M36&lt;&gt;"",L36="無",K36="高資產",IFERROR(MATCH(B36,換券單檔!K:K,0),"N")&lt;&gt;"N"),FALSE,TRUE)</f>
        <v>0</v>
      </c>
      <c r="AI36" s="1212">
        <f t="shared" ca="1" si="7"/>
        <v>0</v>
      </c>
      <c r="AJ36" s="1213">
        <f t="shared" ca="1" si="8"/>
        <v>0</v>
      </c>
      <c r="AK36" s="1587">
        <f t="shared" ca="1" si="9"/>
        <v>0</v>
      </c>
      <c r="AN36" s="1212">
        <f t="shared" ca="1" si="10"/>
        <v>0</v>
      </c>
      <c r="AO36" s="1213">
        <f t="shared" ca="1" si="11"/>
        <v>0</v>
      </c>
      <c r="AP36" s="1587">
        <f t="shared" ca="1" si="12"/>
        <v>0</v>
      </c>
      <c r="AS36" s="1212">
        <f t="shared" ca="1" si="13"/>
        <v>0</v>
      </c>
      <c r="AT36" s="1213">
        <f t="shared" ca="1" si="14"/>
        <v>0</v>
      </c>
      <c r="AU36" s="1587">
        <f t="shared" ca="1" si="15"/>
        <v>0</v>
      </c>
      <c r="AX36" s="1212">
        <f t="shared" ca="1" si="16"/>
        <v>0</v>
      </c>
      <c r="AY36" s="1213">
        <f t="shared" ca="1" si="17"/>
        <v>0</v>
      </c>
      <c r="AZ36" s="1587">
        <f t="shared" ca="1" si="18"/>
        <v>0</v>
      </c>
      <c r="BC36" s="1212">
        <f t="shared" ca="1" si="19"/>
        <v>0</v>
      </c>
      <c r="BD36" s="1213">
        <f t="shared" ca="1" si="20"/>
        <v>0</v>
      </c>
      <c r="BE36" s="1587">
        <f t="shared" ca="1" si="21"/>
        <v>0</v>
      </c>
      <c r="BH36" s="1212">
        <f t="shared" ca="1" si="22"/>
        <v>0</v>
      </c>
      <c r="BI36" s="1213">
        <f t="shared" ca="1" si="23"/>
        <v>0</v>
      </c>
      <c r="BJ36" s="1587">
        <f t="shared" ca="1" si="24"/>
        <v>0</v>
      </c>
      <c r="BM36" s="1212">
        <f t="shared" ca="1" si="25"/>
        <v>0</v>
      </c>
      <c r="BN36" s="1213">
        <f t="shared" ca="1" si="26"/>
        <v>0</v>
      </c>
      <c r="BO36" s="1587">
        <f t="shared" ca="1" si="27"/>
        <v>0</v>
      </c>
      <c r="BR36" s="1212">
        <f t="shared" ca="1" si="28"/>
        <v>0</v>
      </c>
      <c r="BS36" s="1213">
        <f t="shared" ca="1" si="29"/>
        <v>0</v>
      </c>
      <c r="BT36" s="1587">
        <f t="shared" ca="1" si="30"/>
        <v>0</v>
      </c>
      <c r="BW36" s="1212">
        <f t="shared" ca="1" si="31"/>
        <v>0</v>
      </c>
      <c r="BX36" s="1213">
        <f t="shared" ca="1" si="32"/>
        <v>0</v>
      </c>
      <c r="BY36" s="1587">
        <f t="shared" ca="1" si="33"/>
        <v>0</v>
      </c>
      <c r="CB36" s="1212">
        <f t="shared" ca="1" si="34"/>
        <v>0</v>
      </c>
      <c r="CC36" s="1213">
        <f t="shared" ca="1" si="35"/>
        <v>0</v>
      </c>
      <c r="CD36" s="1587">
        <f t="shared" ca="1" si="36"/>
        <v>0</v>
      </c>
      <c r="CG36" s="1212">
        <f t="shared" ca="1" si="37"/>
        <v>0</v>
      </c>
      <c r="CH36" s="1213">
        <f t="shared" ca="1" si="38"/>
        <v>0</v>
      </c>
      <c r="CI36" s="1587">
        <f t="shared" ca="1" si="39"/>
        <v>0</v>
      </c>
      <c r="CL36" s="1212">
        <f t="shared" ca="1" si="40"/>
        <v>0</v>
      </c>
      <c r="CM36" s="1213">
        <f t="shared" ca="1" si="41"/>
        <v>0</v>
      </c>
      <c r="CN36" s="1587">
        <f t="shared" ca="1" si="42"/>
        <v>0</v>
      </c>
    </row>
    <row r="37" spans="1:92">
      <c r="A37" s="141" t="str">
        <f>'銀行-TSS'!A37</f>
        <v>US023135AQ91</v>
      </c>
      <c r="B37" s="151" t="str">
        <f ca="1">VLOOKUP(A37,'銀行-TSS'!A:B,2,FALSE)</f>
        <v>XFK70</v>
      </c>
      <c r="C37" s="151" t="str">
        <f ca="1">VLOOKUP(B37,bond!B:C,2,FALSE)</f>
        <v>亞馬遜公司美元配息債券 4.95% 2044/12/5</v>
      </c>
      <c r="D37" s="95" t="str">
        <f>VLOOKUP(A37,'銀行-TSS'!A:C,3,FALSE)</f>
        <v>USD</v>
      </c>
      <c r="E37" s="90">
        <f ca="1">VLOOKUP(A37,'銀行-TSS'!A:G,7,FALSE)</f>
        <v>20.43</v>
      </c>
      <c r="F37" s="202">
        <f ca="1">VLOOKUP(A37,'銀行-TSS'!A:H,8,FALSE)</f>
        <v>4.9500000000000002E-2</v>
      </c>
      <c r="G37" s="96">
        <f ca="1">VLOOKUP(A37,'銀行-TSS'!A:K,11,FALSE)</f>
        <v>100.91</v>
      </c>
      <c r="H37" s="1209">
        <f ca="1">VLOOKUP(A37,'銀行-TSS'!A:M,13,FALSE)</f>
        <v>4.9099999999999998E-2</v>
      </c>
      <c r="I37" s="1213">
        <f ca="1">VLOOKUP(A37,'銀行-TSS'!A:N,14,FALSE)</f>
        <v>2000</v>
      </c>
      <c r="J37" s="1213">
        <f ca="1">VLOOKUP(A37,'銀行-TSS'!A:O,15,FALSE)</f>
        <v>1000</v>
      </c>
      <c r="K37" s="136" t="str">
        <f ca="1">VLOOKUP(A37,'銀行-TSS'!A:V,22,FALSE)</f>
        <v>(NPI)非專投</v>
      </c>
      <c r="L37" s="136" t="str">
        <f ca="1">VLOOKUP(A37,'銀行-TSS'!A:AK,37,FALSE)</f>
        <v>有</v>
      </c>
      <c r="M37" s="136" t="str">
        <f ca="1">VLOOKUP(A37,'銀行-TSS'!A:AN,40,FALSE)</f>
        <v/>
      </c>
      <c r="N37" s="136">
        <f t="shared" ca="1" si="0"/>
        <v>1009.1</v>
      </c>
      <c r="O37" s="1213">
        <f t="shared" ca="1" si="1"/>
        <v>2018.2</v>
      </c>
      <c r="P37" s="1213">
        <f ca="1">IF(AND($O$1&gt;=O37,換券單檔!$D$13=D37),I37+INT(($O$1-O37)/N37)*J37,0)</f>
        <v>95000</v>
      </c>
      <c r="Q37" s="1213">
        <f t="shared" ca="1" si="2"/>
        <v>4702.5</v>
      </c>
      <c r="R37" s="1213">
        <f t="shared" ca="1" si="43"/>
        <v>95000</v>
      </c>
      <c r="S37" s="1213">
        <f t="shared" ca="1" si="44"/>
        <v>4702.5</v>
      </c>
      <c r="T37" s="136">
        <f ca="1">IF(OR(R37=0,A37=0),0,IF(AND(V37=TRUE,換券單檔!$D$13=D37),E37,0))</f>
        <v>20.43</v>
      </c>
      <c r="U37" s="861">
        <f ca="1">IF(OR(R37=0,A37=0),0,IF(AND(V37=TRUE,換券單檔!$D$13=D37),H37,0))</f>
        <v>4.9099999999999998E-2</v>
      </c>
      <c r="V37" s="136" t="b">
        <f ca="1">IF(OR(B37=換券單檔!$D$3,L37="無",M37&lt;&gt;"",K37="高資產",IFERROR(MATCH(B37,換券單檔!K:K,0),"N")&lt;&gt;"N"),FALSE,IF($V$1="All",TRUE,IF(K37=$V$1,TRUE,FALSE)))</f>
        <v>1</v>
      </c>
      <c r="W37" s="136">
        <f ca="1">VLOOKUP(A37,'銀行-TSS'!A:AO,41,FALSE)</f>
        <v>97.54</v>
      </c>
      <c r="X37" s="136">
        <f ca="1">VLOOKUP(A37,'銀行-TSS'!A:AP,42,FALSE)</f>
        <v>12.6425</v>
      </c>
      <c r="Y37" s="1220">
        <f t="shared" ca="1" si="3"/>
        <v>11714.919775</v>
      </c>
      <c r="Z37" s="1220">
        <f t="shared" ca="1" si="4"/>
        <v>-10431.670337738617</v>
      </c>
      <c r="AA37" s="136">
        <f ca="1">IF(Z37&lt;=0,0,RANK(Z37,Z:Z)+COUNTIF($Z$3:$Z37,Z37)-1)</f>
        <v>0</v>
      </c>
      <c r="AB37" s="1211">
        <f t="shared" ca="1" si="5"/>
        <v>-8181.2202249999991</v>
      </c>
      <c r="AC37" s="136">
        <f ca="1">IF(AB37&lt;=0,0,RANK(AB37,AB:AB)+COUNTIF($AB$3:$AB37,AB37)-1)</f>
        <v>0</v>
      </c>
      <c r="AD37" s="1123">
        <f t="shared" ca="1" si="6"/>
        <v>99999</v>
      </c>
      <c r="AE37" s="1123">
        <f ca="1">IF(AD37=99999,0,RANK(AD37,AD:AD,1)+COUNTIF($AD$3:$AD37,AD37)-1)</f>
        <v>0</v>
      </c>
      <c r="AF37" s="86" t="b">
        <f ca="1">IF(OR(M37&lt;&gt;"",L37="無",K37="高資產",IFERROR(MATCH(B37,換券單檔!K:K,0),"N")&lt;&gt;"N"),FALSE,TRUE)</f>
        <v>1</v>
      </c>
      <c r="AI37" s="1212">
        <f t="shared" ca="1" si="7"/>
        <v>95000</v>
      </c>
      <c r="AJ37" s="1213">
        <f t="shared" ca="1" si="8"/>
        <v>4702.5</v>
      </c>
      <c r="AK37" s="1587">
        <f t="shared" ca="1" si="9"/>
        <v>-10431.670337738617</v>
      </c>
      <c r="AN37" s="1212">
        <f t="shared" ca="1" si="10"/>
        <v>54000</v>
      </c>
      <c r="AO37" s="1213">
        <f t="shared" ca="1" si="11"/>
        <v>2673</v>
      </c>
      <c r="AP37" s="1587">
        <f t="shared" ca="1" si="12"/>
        <v>-90762.057268722463</v>
      </c>
      <c r="AS37" s="1212">
        <f t="shared" ca="1" si="13"/>
        <v>93000</v>
      </c>
      <c r="AT37" s="1213">
        <f t="shared" ca="1" si="14"/>
        <v>4603.5</v>
      </c>
      <c r="AU37" s="1587">
        <f t="shared" ca="1" si="15"/>
        <v>-14794.566079295155</v>
      </c>
      <c r="AX37" s="1212">
        <f t="shared" ca="1" si="16"/>
        <v>86000</v>
      </c>
      <c r="AY37" s="1213">
        <f t="shared" ca="1" si="17"/>
        <v>4257</v>
      </c>
      <c r="AZ37" s="1587">
        <f t="shared" ca="1" si="18"/>
        <v>-28564.829662261382</v>
      </c>
      <c r="BC37" s="1212">
        <f t="shared" ca="1" si="19"/>
        <v>0</v>
      </c>
      <c r="BD37" s="1213">
        <f t="shared" ca="1" si="20"/>
        <v>0</v>
      </c>
      <c r="BE37" s="1587">
        <f t="shared" ca="1" si="21"/>
        <v>0</v>
      </c>
      <c r="BH37" s="1212">
        <f t="shared" ca="1" si="22"/>
        <v>0</v>
      </c>
      <c r="BI37" s="1213">
        <f t="shared" ca="1" si="23"/>
        <v>0</v>
      </c>
      <c r="BJ37" s="1587">
        <f t="shared" ca="1" si="24"/>
        <v>0</v>
      </c>
      <c r="BM37" s="1212">
        <f t="shared" ca="1" si="25"/>
        <v>0</v>
      </c>
      <c r="BN37" s="1213">
        <f t="shared" ca="1" si="26"/>
        <v>0</v>
      </c>
      <c r="BO37" s="1587">
        <f t="shared" ca="1" si="27"/>
        <v>0</v>
      </c>
      <c r="BR37" s="1212">
        <f t="shared" ca="1" si="28"/>
        <v>0</v>
      </c>
      <c r="BS37" s="1213">
        <f t="shared" ca="1" si="29"/>
        <v>0</v>
      </c>
      <c r="BT37" s="1587">
        <f t="shared" ca="1" si="30"/>
        <v>0</v>
      </c>
      <c r="BW37" s="1212">
        <f t="shared" ca="1" si="31"/>
        <v>0</v>
      </c>
      <c r="BX37" s="1213">
        <f t="shared" ca="1" si="32"/>
        <v>0</v>
      </c>
      <c r="BY37" s="1587">
        <f t="shared" ca="1" si="33"/>
        <v>0</v>
      </c>
      <c r="CB37" s="1212">
        <f t="shared" ca="1" si="34"/>
        <v>0</v>
      </c>
      <c r="CC37" s="1213">
        <f t="shared" ca="1" si="35"/>
        <v>0</v>
      </c>
      <c r="CD37" s="1587">
        <f t="shared" ca="1" si="36"/>
        <v>0</v>
      </c>
      <c r="CG37" s="1212">
        <f t="shared" ca="1" si="37"/>
        <v>0</v>
      </c>
      <c r="CH37" s="1213">
        <f t="shared" ca="1" si="38"/>
        <v>0</v>
      </c>
      <c r="CI37" s="1587">
        <f t="shared" ca="1" si="39"/>
        <v>0</v>
      </c>
      <c r="CL37" s="1212">
        <f t="shared" ca="1" si="40"/>
        <v>0</v>
      </c>
      <c r="CM37" s="1213">
        <f t="shared" ca="1" si="41"/>
        <v>0</v>
      </c>
      <c r="CN37" s="1587">
        <f t="shared" ca="1" si="42"/>
        <v>0</v>
      </c>
    </row>
    <row r="38" spans="1:92">
      <c r="A38" s="141" t="str">
        <f>'銀行-TSS'!A38</f>
        <v>US29078EAA38</v>
      </c>
      <c r="B38" s="151" t="str">
        <f ca="1">VLOOKUP(A38,'銀行-TSS'!A:B,2,FALSE)</f>
        <v>XFK80</v>
      </c>
      <c r="C38" s="151" t="str">
        <f ca="1">VLOOKUP(B38,bond!B:C,2,FALSE)</f>
        <v>音巴克公司美元配息債券 7.995% 2036/6/1</v>
      </c>
      <c r="D38" s="95" t="str">
        <f>VLOOKUP(A38,'銀行-TSS'!A:C,3,FALSE)</f>
        <v>USD</v>
      </c>
      <c r="E38" s="90">
        <f ca="1">VLOOKUP(A38,'銀行-TSS'!A:G,7,FALSE)</f>
        <v>11.92</v>
      </c>
      <c r="F38" s="202">
        <f ca="1">VLOOKUP(A38,'銀行-TSS'!A:H,8,FALSE)</f>
        <v>7.9950000000000007E-2</v>
      </c>
      <c r="G38" s="96">
        <f ca="1">VLOOKUP(A38,'銀行-TSS'!A:K,11,FALSE)</f>
        <v>17.240000000000002</v>
      </c>
      <c r="H38" s="1209">
        <f ca="1">VLOOKUP(A38,'銀行-TSS'!A:M,13,FALSE)</f>
        <v>0.49419999999999997</v>
      </c>
      <c r="I38" s="1213">
        <f ca="1">VLOOKUP(A38,'銀行-TSS'!A:N,14,FALSE)</f>
        <v>10000</v>
      </c>
      <c r="J38" s="1213">
        <f ca="1">VLOOKUP(A38,'銀行-TSS'!A:O,15,FALSE)</f>
        <v>1000</v>
      </c>
      <c r="K38" s="136" t="str">
        <f ca="1">VLOOKUP(A38,'銀行-TSS'!A:V,22,FALSE)</f>
        <v>高資產</v>
      </c>
      <c r="L38" s="136" t="str">
        <f ca="1">VLOOKUP(A38,'銀行-TSS'!A:AK,37,FALSE)</f>
        <v>有</v>
      </c>
      <c r="M38" s="136" t="str">
        <f ca="1">VLOOKUP(A38,'銀行-TSS'!A:AN,40,FALSE)</f>
        <v>XFK80</v>
      </c>
      <c r="N38" s="136">
        <f t="shared" ca="1" si="0"/>
        <v>172.40000000000003</v>
      </c>
      <c r="O38" s="1213">
        <f t="shared" ca="1" si="1"/>
        <v>1724.0000000000002</v>
      </c>
      <c r="P38" s="1213">
        <f ca="1">IF(AND($O$1&gt;=O38,換券單檔!$D$13=D38),I38+INT(($O$1-O38)/N38)*J38,0)</f>
        <v>560000</v>
      </c>
      <c r="Q38" s="1213">
        <f t="shared" ca="1" si="2"/>
        <v>44772.000000000007</v>
      </c>
      <c r="R38" s="1213">
        <f t="shared" ca="1" si="43"/>
        <v>0</v>
      </c>
      <c r="S38" s="1213">
        <f t="shared" ca="1" si="44"/>
        <v>0</v>
      </c>
      <c r="T38" s="136">
        <f ca="1">IF(OR(R38=0,A38=0),0,IF(AND(V38=TRUE,換券單檔!$D$13=D38),E38,0))</f>
        <v>0</v>
      </c>
      <c r="U38" s="861">
        <f ca="1">IF(OR(R38=0,A38=0),0,IF(AND(V38=TRUE,換券單檔!$D$13=D38),H38,0))</f>
        <v>0</v>
      </c>
      <c r="V38" s="136" t="b">
        <f ca="1">IF(OR(B38=換券單檔!$D$3,L38="無",M38&lt;&gt;"",K38="高資產",IFERROR(MATCH(B38,換券單檔!K:K,0),"N")&lt;&gt;"N"),FALSE,IF($V$1="All",TRUE,IF(K38=$V$1,TRUE,FALSE)))</f>
        <v>0</v>
      </c>
      <c r="W38" s="136">
        <f ca="1">VLOOKUP(A38,'銀行-TSS'!A:AO,41,FALSE)</f>
        <v>13.549999999999999</v>
      </c>
      <c r="X38" s="136">
        <f ca="1">VLOOKUP(A38,'銀行-TSS'!A:AP,42,FALSE)</f>
        <v>1.8764000000000001</v>
      </c>
      <c r="Y38" s="1220">
        <f t="shared" ca="1" si="3"/>
        <v>0</v>
      </c>
      <c r="Z38" s="1220">
        <f t="shared" ca="1" si="4"/>
        <v>0</v>
      </c>
      <c r="AA38" s="136">
        <f ca="1">IF(Z38&lt;=0,0,RANK(Z38,Z:Z)+COUNTIF($Z$3:$Z38,Z38)-1)</f>
        <v>0</v>
      </c>
      <c r="AB38" s="1211">
        <f t="shared" ca="1" si="5"/>
        <v>-14896.14</v>
      </c>
      <c r="AC38" s="136">
        <f ca="1">IF(AB38&lt;=0,0,RANK(AB38,AB:AB)+COUNTIF($AB$3:$AB38,AB38)-1)</f>
        <v>0</v>
      </c>
      <c r="AD38" s="1123">
        <f t="shared" ca="1" si="6"/>
        <v>99999</v>
      </c>
      <c r="AE38" s="1123">
        <f ca="1">IF(AD38=99999,0,RANK(AD38,AD:AD,1)+COUNTIF($AD$3:$AD38,AD38)-1)</f>
        <v>0</v>
      </c>
      <c r="AF38" s="86" t="b">
        <f ca="1">IF(OR(M38&lt;&gt;"",L38="無",K38="高資產",IFERROR(MATCH(B38,換券單檔!K:K,0),"N")&lt;&gt;"N"),FALSE,TRUE)</f>
        <v>0</v>
      </c>
      <c r="AI38" s="1212">
        <f t="shared" ca="1" si="7"/>
        <v>0</v>
      </c>
      <c r="AJ38" s="1213">
        <f t="shared" ca="1" si="8"/>
        <v>0</v>
      </c>
      <c r="AK38" s="1587">
        <f t="shared" ca="1" si="9"/>
        <v>0</v>
      </c>
      <c r="AN38" s="1212">
        <f t="shared" ca="1" si="10"/>
        <v>0</v>
      </c>
      <c r="AO38" s="1213">
        <f t="shared" ca="1" si="11"/>
        <v>0</v>
      </c>
      <c r="AP38" s="1587">
        <f t="shared" ca="1" si="12"/>
        <v>0</v>
      </c>
      <c r="AS38" s="1212">
        <f t="shared" ca="1" si="13"/>
        <v>0</v>
      </c>
      <c r="AT38" s="1213">
        <f t="shared" ca="1" si="14"/>
        <v>0</v>
      </c>
      <c r="AU38" s="1587">
        <f t="shared" ca="1" si="15"/>
        <v>0</v>
      </c>
      <c r="AX38" s="1212">
        <f t="shared" ca="1" si="16"/>
        <v>0</v>
      </c>
      <c r="AY38" s="1213">
        <f t="shared" ca="1" si="17"/>
        <v>0</v>
      </c>
      <c r="AZ38" s="1587">
        <f t="shared" ca="1" si="18"/>
        <v>0</v>
      </c>
      <c r="BC38" s="1212">
        <f t="shared" ca="1" si="19"/>
        <v>0</v>
      </c>
      <c r="BD38" s="1213">
        <f t="shared" ca="1" si="20"/>
        <v>0</v>
      </c>
      <c r="BE38" s="1587">
        <f t="shared" ca="1" si="21"/>
        <v>0</v>
      </c>
      <c r="BH38" s="1212">
        <f t="shared" ca="1" si="22"/>
        <v>0</v>
      </c>
      <c r="BI38" s="1213">
        <f t="shared" ca="1" si="23"/>
        <v>0</v>
      </c>
      <c r="BJ38" s="1587">
        <f t="shared" ca="1" si="24"/>
        <v>0</v>
      </c>
      <c r="BM38" s="1212">
        <f t="shared" ca="1" si="25"/>
        <v>0</v>
      </c>
      <c r="BN38" s="1213">
        <f t="shared" ca="1" si="26"/>
        <v>0</v>
      </c>
      <c r="BO38" s="1587">
        <f t="shared" ca="1" si="27"/>
        <v>0</v>
      </c>
      <c r="BR38" s="1212">
        <f t="shared" ca="1" si="28"/>
        <v>0</v>
      </c>
      <c r="BS38" s="1213">
        <f t="shared" ca="1" si="29"/>
        <v>0</v>
      </c>
      <c r="BT38" s="1587">
        <f t="shared" ca="1" si="30"/>
        <v>0</v>
      </c>
      <c r="BW38" s="1212">
        <f t="shared" ca="1" si="31"/>
        <v>0</v>
      </c>
      <c r="BX38" s="1213">
        <f t="shared" ca="1" si="32"/>
        <v>0</v>
      </c>
      <c r="BY38" s="1587">
        <f t="shared" ca="1" si="33"/>
        <v>0</v>
      </c>
      <c r="CB38" s="1212">
        <f t="shared" ca="1" si="34"/>
        <v>0</v>
      </c>
      <c r="CC38" s="1213">
        <f t="shared" ca="1" si="35"/>
        <v>0</v>
      </c>
      <c r="CD38" s="1587">
        <f t="shared" ca="1" si="36"/>
        <v>0</v>
      </c>
      <c r="CG38" s="1212">
        <f t="shared" ca="1" si="37"/>
        <v>0</v>
      </c>
      <c r="CH38" s="1213">
        <f t="shared" ca="1" si="38"/>
        <v>0</v>
      </c>
      <c r="CI38" s="1587">
        <f t="shared" ca="1" si="39"/>
        <v>0</v>
      </c>
      <c r="CL38" s="1212">
        <f t="shared" ca="1" si="40"/>
        <v>0</v>
      </c>
      <c r="CM38" s="1213">
        <f t="shared" ca="1" si="41"/>
        <v>0</v>
      </c>
      <c r="CN38" s="1587">
        <f t="shared" ca="1" si="42"/>
        <v>0</v>
      </c>
    </row>
    <row r="39" spans="1:92">
      <c r="A39" s="141" t="str">
        <f>'銀行-TSS'!A39</f>
        <v>XS1602313279</v>
      </c>
      <c r="B39" s="151" t="str">
        <f ca="1">VLOOKUP(A39,'銀行-TSS'!A:B,2,FALSE)</f>
        <v>XFK90</v>
      </c>
      <c r="C39" s="151" t="str">
        <f ca="1">VLOOKUP(B39,bond!B:C,2,FALSE)</f>
        <v>富國銀行澳幣配息債券 4% 2027/4/27</v>
      </c>
      <c r="D39" s="95" t="str">
        <f>VLOOKUP(A39,'銀行-TSS'!A:C,3,FALSE)</f>
        <v>AUD</v>
      </c>
      <c r="E39" s="90">
        <f ca="1">VLOOKUP(A39,'銀行-TSS'!A:G,7,FALSE)</f>
        <v>2.81</v>
      </c>
      <c r="F39" s="202">
        <f ca="1">VLOOKUP(A39,'銀行-TSS'!A:H,8,FALSE)</f>
        <v>0.04</v>
      </c>
      <c r="G39" s="96">
        <f ca="1">VLOOKUP(A39,'銀行-TSS'!A:K,11,FALSE)</f>
        <v>100.38000000000001</v>
      </c>
      <c r="H39" s="1209">
        <f ca="1">VLOOKUP(A39,'銀行-TSS'!A:M,13,FALSE)</f>
        <v>4.1300000000000003E-2</v>
      </c>
      <c r="I39" s="1213">
        <f ca="1">VLOOKUP(A39,'銀行-TSS'!A:N,14,FALSE)</f>
        <v>10000</v>
      </c>
      <c r="J39" s="1213">
        <f ca="1">VLOOKUP(A39,'銀行-TSS'!A:O,15,FALSE)</f>
        <v>1000</v>
      </c>
      <c r="K39" s="136" t="str">
        <f ca="1">VLOOKUP(A39,'銀行-TSS'!A:V,22,FALSE)</f>
        <v>(PI)專投</v>
      </c>
      <c r="L39" s="136" t="str">
        <f ca="1">VLOOKUP(A39,'銀行-TSS'!A:AK,37,FALSE)</f>
        <v>需查詢</v>
      </c>
      <c r="M39" s="136" t="str">
        <f ca="1">VLOOKUP(A39,'銀行-TSS'!A:AN,40,FALSE)</f>
        <v/>
      </c>
      <c r="N39" s="136">
        <f t="shared" ca="1" si="0"/>
        <v>1003.8000000000002</v>
      </c>
      <c r="O39" s="1213">
        <f t="shared" ca="1" si="1"/>
        <v>10038.000000000002</v>
      </c>
      <c r="P39" s="1213">
        <f ca="1">IF(AND($O$1&gt;=O39,換券單檔!$D$13=D39),I39+INT(($O$1-O39)/N39)*J39,0)</f>
        <v>0</v>
      </c>
      <c r="Q39" s="1213">
        <f t="shared" ca="1" si="2"/>
        <v>0</v>
      </c>
      <c r="R39" s="1213">
        <f t="shared" ca="1" si="43"/>
        <v>0</v>
      </c>
      <c r="S39" s="1213">
        <f t="shared" ca="1" si="44"/>
        <v>0</v>
      </c>
      <c r="T39" s="136">
        <f ca="1">IF(OR(R39=0,A39=0),0,IF(AND(V39=TRUE,換券單檔!$D$13=D39),E39,0))</f>
        <v>0</v>
      </c>
      <c r="U39" s="861">
        <f ca="1">IF(OR(R39=0,A39=0),0,IF(AND(V39=TRUE,換券單檔!$D$13=D39),H39,0))</f>
        <v>0</v>
      </c>
      <c r="V39" s="136" t="b">
        <f ca="1">IF(OR(B39=換券單檔!$D$3,L39="無",M39&lt;&gt;"",K39="高資產",IFERROR(MATCH(B39,換券單檔!K:K,0),"N")&lt;&gt;"N"),FALSE,IF($V$1="All",TRUE,IF(K39=$V$1,TRUE,FALSE)))</f>
        <v>1</v>
      </c>
      <c r="W39" s="136">
        <f ca="1">VLOOKUP(A39,'銀行-TSS'!A:AO,41,FALSE)</f>
        <v>98.45</v>
      </c>
      <c r="X39" s="136">
        <f ca="1">VLOOKUP(A39,'銀行-TSS'!A:AP,42,FALSE)</f>
        <v>2.6109</v>
      </c>
      <c r="Y39" s="1220">
        <f t="shared" ca="1" si="3"/>
        <v>0</v>
      </c>
      <c r="Z39" s="1220">
        <f t="shared" ca="1" si="4"/>
        <v>0</v>
      </c>
      <c r="AA39" s="136">
        <f ca="1">IF(Z39&lt;=0,0,RANK(Z39,Z:Z)+COUNTIF($Z$3:$Z39,Z39)-1)</f>
        <v>0</v>
      </c>
      <c r="AB39" s="1211">
        <f t="shared" ca="1" si="5"/>
        <v>-114896.14</v>
      </c>
      <c r="AC39" s="136">
        <f ca="1">IF(AB39&lt;=0,0,RANK(AB39,AB:AB)+COUNTIF($AB$3:$AB39,AB39)-1)</f>
        <v>0</v>
      </c>
      <c r="AD39" s="1123">
        <f t="shared" ca="1" si="6"/>
        <v>99999</v>
      </c>
      <c r="AE39" s="1123">
        <f ca="1">IF(AD39=99999,0,RANK(AD39,AD:AD,1)+COUNTIF($AD$3:$AD39,AD39)-1)</f>
        <v>0</v>
      </c>
      <c r="AF39" s="86" t="b">
        <f ca="1">IF(OR(M39&lt;&gt;"",L39="無",K39="高資產",IFERROR(MATCH(B39,換券單檔!K:K,0),"N")&lt;&gt;"N"),FALSE,TRUE)</f>
        <v>1</v>
      </c>
      <c r="AI39" s="1212">
        <f t="shared" ca="1" si="7"/>
        <v>0</v>
      </c>
      <c r="AJ39" s="1213">
        <f t="shared" ca="1" si="8"/>
        <v>0</v>
      </c>
      <c r="AK39" s="1587">
        <f t="shared" ca="1" si="9"/>
        <v>0</v>
      </c>
      <c r="AN39" s="1212">
        <f t="shared" ca="1" si="10"/>
        <v>0</v>
      </c>
      <c r="AO39" s="1213">
        <f t="shared" ca="1" si="11"/>
        <v>0</v>
      </c>
      <c r="AP39" s="1587">
        <f t="shared" ca="1" si="12"/>
        <v>0</v>
      </c>
      <c r="AS39" s="1212">
        <f t="shared" ca="1" si="13"/>
        <v>0</v>
      </c>
      <c r="AT39" s="1213">
        <f t="shared" ca="1" si="14"/>
        <v>0</v>
      </c>
      <c r="AU39" s="1587">
        <f t="shared" ca="1" si="15"/>
        <v>0</v>
      </c>
      <c r="AX39" s="1212">
        <f t="shared" ca="1" si="16"/>
        <v>0</v>
      </c>
      <c r="AY39" s="1213">
        <f t="shared" ca="1" si="17"/>
        <v>0</v>
      </c>
      <c r="AZ39" s="1587">
        <f t="shared" ca="1" si="18"/>
        <v>0</v>
      </c>
      <c r="BC39" s="1212">
        <f t="shared" ca="1" si="19"/>
        <v>0</v>
      </c>
      <c r="BD39" s="1213">
        <f t="shared" ca="1" si="20"/>
        <v>0</v>
      </c>
      <c r="BE39" s="1587">
        <f t="shared" ca="1" si="21"/>
        <v>0</v>
      </c>
      <c r="BH39" s="1212">
        <f t="shared" ca="1" si="22"/>
        <v>0</v>
      </c>
      <c r="BI39" s="1213">
        <f t="shared" ca="1" si="23"/>
        <v>0</v>
      </c>
      <c r="BJ39" s="1587">
        <f t="shared" ca="1" si="24"/>
        <v>0</v>
      </c>
      <c r="BM39" s="1212">
        <f t="shared" ca="1" si="25"/>
        <v>0</v>
      </c>
      <c r="BN39" s="1213">
        <f t="shared" ca="1" si="26"/>
        <v>0</v>
      </c>
      <c r="BO39" s="1587">
        <f t="shared" ca="1" si="27"/>
        <v>0</v>
      </c>
      <c r="BR39" s="1212">
        <f t="shared" ca="1" si="28"/>
        <v>0</v>
      </c>
      <c r="BS39" s="1213">
        <f t="shared" ca="1" si="29"/>
        <v>0</v>
      </c>
      <c r="BT39" s="1587">
        <f t="shared" ca="1" si="30"/>
        <v>0</v>
      </c>
      <c r="BW39" s="1212">
        <f t="shared" ca="1" si="31"/>
        <v>0</v>
      </c>
      <c r="BX39" s="1213">
        <f t="shared" ca="1" si="32"/>
        <v>0</v>
      </c>
      <c r="BY39" s="1587">
        <f t="shared" ca="1" si="33"/>
        <v>0</v>
      </c>
      <c r="CB39" s="1212">
        <f t="shared" ca="1" si="34"/>
        <v>0</v>
      </c>
      <c r="CC39" s="1213">
        <f t="shared" ca="1" si="35"/>
        <v>0</v>
      </c>
      <c r="CD39" s="1587">
        <f t="shared" ca="1" si="36"/>
        <v>0</v>
      </c>
      <c r="CG39" s="1212">
        <f t="shared" ca="1" si="37"/>
        <v>0</v>
      </c>
      <c r="CH39" s="1213">
        <f t="shared" ca="1" si="38"/>
        <v>0</v>
      </c>
      <c r="CI39" s="1587">
        <f t="shared" ca="1" si="39"/>
        <v>0</v>
      </c>
      <c r="CL39" s="1212">
        <f t="shared" ca="1" si="40"/>
        <v>0</v>
      </c>
      <c r="CM39" s="1213">
        <f t="shared" ca="1" si="41"/>
        <v>0</v>
      </c>
      <c r="CN39" s="1587">
        <f t="shared" ca="1" si="42"/>
        <v>0</v>
      </c>
    </row>
    <row r="40" spans="1:92">
      <c r="A40" s="141" t="str">
        <f>'銀行-TSS'!A40</f>
        <v>US46625HHF01</v>
      </c>
      <c r="B40" s="151" t="str">
        <f ca="1">VLOOKUP(A40,'銀行-TSS'!A:B,2,FALSE)</f>
        <v>XFL20</v>
      </c>
      <c r="C40" s="151" t="str">
        <f ca="1">VLOOKUP(B40,bond!B:C,2,FALSE)</f>
        <v>摩根大通銀行美元配息債券 6.4% 2038/5/15</v>
      </c>
      <c r="D40" s="95" t="str">
        <f>VLOOKUP(A40,'銀行-TSS'!A:C,3,FALSE)</f>
        <v>USD</v>
      </c>
      <c r="E40" s="90">
        <f ca="1">VLOOKUP(A40,'銀行-TSS'!A:G,7,FALSE)</f>
        <v>13.87</v>
      </c>
      <c r="F40" s="202">
        <f ca="1">VLOOKUP(A40,'銀行-TSS'!A:H,8,FALSE)</f>
        <v>6.4000000000000001E-2</v>
      </c>
      <c r="G40" s="96">
        <f ca="1">VLOOKUP(A40,'銀行-TSS'!A:K,11,FALSE)</f>
        <v>114.54</v>
      </c>
      <c r="H40" s="1209">
        <f ca="1">VLOOKUP(A40,'銀行-TSS'!A:M,13,FALSE)</f>
        <v>5.0200000000000002E-2</v>
      </c>
      <c r="I40" s="1213">
        <f ca="1">VLOOKUP(A40,'銀行-TSS'!A:N,14,FALSE)</f>
        <v>10000</v>
      </c>
      <c r="J40" s="1213">
        <f ca="1">VLOOKUP(A40,'銀行-TSS'!A:O,15,FALSE)</f>
        <v>1000</v>
      </c>
      <c r="K40" s="136" t="str">
        <f ca="1">VLOOKUP(A40,'銀行-TSS'!A:V,22,FALSE)</f>
        <v>(PI)專投</v>
      </c>
      <c r="L40" s="136" t="str">
        <f ca="1">VLOOKUP(A40,'銀行-TSS'!A:AK,37,FALSE)</f>
        <v>有</v>
      </c>
      <c r="M40" s="136" t="str">
        <f ca="1">VLOOKUP(A40,'銀行-TSS'!A:AN,40,FALSE)</f>
        <v/>
      </c>
      <c r="N40" s="136">
        <f t="shared" ca="1" si="0"/>
        <v>1145.4000000000001</v>
      </c>
      <c r="O40" s="1213">
        <f t="shared" ca="1" si="1"/>
        <v>11454</v>
      </c>
      <c r="P40" s="1213">
        <f ca="1">IF(AND($O$1&gt;=O40,換券單檔!$D$13=D40),I40+INT(($O$1-O40)/N40)*J40,0)</f>
        <v>84000</v>
      </c>
      <c r="Q40" s="1213">
        <f t="shared" ca="1" si="2"/>
        <v>5376</v>
      </c>
      <c r="R40" s="1213">
        <f t="shared" ca="1" si="43"/>
        <v>84000</v>
      </c>
      <c r="S40" s="1213">
        <f t="shared" ca="1" si="44"/>
        <v>5376</v>
      </c>
      <c r="T40" s="136">
        <f ca="1">IF(OR(R40=0,A40=0),0,IF(AND(V40=TRUE,換券單檔!$D$13=D40),E40,0))</f>
        <v>13.87</v>
      </c>
      <c r="U40" s="861">
        <f ca="1">IF(OR(R40=0,A40=0),0,IF(AND(V40=TRUE,換券單檔!$D$13=D40),H40,0))</f>
        <v>5.0200000000000002E-2</v>
      </c>
      <c r="V40" s="136" t="b">
        <f ca="1">IF(OR(B40=換券單檔!$D$3,L40="無",M40&lt;&gt;"",K40="高資產",IFERROR(MATCH(B40,換券單檔!K:K,0),"N")&lt;&gt;"N"),FALSE,IF($V$1="All",TRUE,IF(K40=$V$1,TRUE,FALSE)))</f>
        <v>1</v>
      </c>
      <c r="W40" s="136">
        <f ca="1">VLOOKUP(A40,'銀行-TSS'!A:AO,41,FALSE)</f>
        <v>111.2</v>
      </c>
      <c r="X40" s="136">
        <f ca="1">VLOOKUP(A40,'銀行-TSS'!A:AP,42,FALSE)</f>
        <v>9.3504000000000005</v>
      </c>
      <c r="Y40" s="1220">
        <f t="shared" ca="1" si="3"/>
        <v>8734.0216320000018</v>
      </c>
      <c r="Z40" s="1220">
        <f t="shared" ca="1" si="4"/>
        <v>-30478.885364095167</v>
      </c>
      <c r="AA40" s="136">
        <f ca="1">IF(Z40&lt;=0,0,RANK(Z40,Z:Z)+COUNTIF($Z$3:$Z40,Z40)-1)</f>
        <v>0</v>
      </c>
      <c r="AB40" s="1211">
        <f t="shared" ca="1" si="5"/>
        <v>-22162.118367999996</v>
      </c>
      <c r="AC40" s="136">
        <f ca="1">IF(AB40&lt;=0,0,RANK(AB40,AB:AB)+COUNTIF($AB$3:$AB40,AB40)-1)</f>
        <v>0</v>
      </c>
      <c r="AD40" s="1123">
        <f t="shared" ca="1" si="6"/>
        <v>99999</v>
      </c>
      <c r="AE40" s="1123">
        <f ca="1">IF(AD40=99999,0,RANK(AD40,AD:AD,1)+COUNTIF($AD$3:$AD40,AD40)-1)</f>
        <v>0</v>
      </c>
      <c r="AF40" s="86" t="b">
        <f ca="1">IF(OR(M40&lt;&gt;"",L40="無",K40="高資產",IFERROR(MATCH(B40,換券單檔!K:K,0),"N")&lt;&gt;"N"),FALSE,TRUE)</f>
        <v>1</v>
      </c>
      <c r="AI40" s="1212">
        <f t="shared" ca="1" si="7"/>
        <v>84000</v>
      </c>
      <c r="AJ40" s="1213">
        <f t="shared" ca="1" si="8"/>
        <v>5376</v>
      </c>
      <c r="AK40" s="1587">
        <f t="shared" ca="1" si="9"/>
        <v>-30478.885364095167</v>
      </c>
      <c r="AN40" s="1212">
        <f t="shared" ca="1" si="10"/>
        <v>48000</v>
      </c>
      <c r="AO40" s="1213">
        <f t="shared" ca="1" si="11"/>
        <v>3072</v>
      </c>
      <c r="AP40" s="1587">
        <f t="shared" ca="1" si="12"/>
        <v>-101622.89689978371</v>
      </c>
      <c r="AS40" s="1212">
        <f t="shared" ca="1" si="13"/>
        <v>82000</v>
      </c>
      <c r="AT40" s="1213">
        <f t="shared" ca="1" si="14"/>
        <v>5248</v>
      </c>
      <c r="AU40" s="1587">
        <f t="shared" ca="1" si="15"/>
        <v>-34921.338860850759</v>
      </c>
      <c r="AX40" s="1212">
        <f t="shared" ca="1" si="16"/>
        <v>75000</v>
      </c>
      <c r="AY40" s="1213">
        <f t="shared" ca="1" si="17"/>
        <v>4800</v>
      </c>
      <c r="AZ40" s="1587">
        <f t="shared" ca="1" si="18"/>
        <v>-48987.851478010096</v>
      </c>
      <c r="BC40" s="1212">
        <f t="shared" ca="1" si="19"/>
        <v>0</v>
      </c>
      <c r="BD40" s="1213">
        <f t="shared" ca="1" si="20"/>
        <v>0</v>
      </c>
      <c r="BE40" s="1587">
        <f t="shared" ca="1" si="21"/>
        <v>0</v>
      </c>
      <c r="BH40" s="1212">
        <f t="shared" ca="1" si="22"/>
        <v>0</v>
      </c>
      <c r="BI40" s="1213">
        <f t="shared" ca="1" si="23"/>
        <v>0</v>
      </c>
      <c r="BJ40" s="1587">
        <f t="shared" ca="1" si="24"/>
        <v>0</v>
      </c>
      <c r="BM40" s="1212">
        <f t="shared" ca="1" si="25"/>
        <v>0</v>
      </c>
      <c r="BN40" s="1213">
        <f t="shared" ca="1" si="26"/>
        <v>0</v>
      </c>
      <c r="BO40" s="1587">
        <f t="shared" ca="1" si="27"/>
        <v>0</v>
      </c>
      <c r="BR40" s="1212">
        <f t="shared" ca="1" si="28"/>
        <v>0</v>
      </c>
      <c r="BS40" s="1213">
        <f t="shared" ca="1" si="29"/>
        <v>0</v>
      </c>
      <c r="BT40" s="1587">
        <f t="shared" ca="1" si="30"/>
        <v>0</v>
      </c>
      <c r="BW40" s="1212">
        <f t="shared" ca="1" si="31"/>
        <v>0</v>
      </c>
      <c r="BX40" s="1213">
        <f t="shared" ca="1" si="32"/>
        <v>0</v>
      </c>
      <c r="BY40" s="1587">
        <f t="shared" ca="1" si="33"/>
        <v>0</v>
      </c>
      <c r="CB40" s="1212">
        <f t="shared" ca="1" si="34"/>
        <v>0</v>
      </c>
      <c r="CC40" s="1213">
        <f t="shared" ca="1" si="35"/>
        <v>0</v>
      </c>
      <c r="CD40" s="1587">
        <f t="shared" ca="1" si="36"/>
        <v>0</v>
      </c>
      <c r="CG40" s="1212">
        <f t="shared" ca="1" si="37"/>
        <v>0</v>
      </c>
      <c r="CH40" s="1213">
        <f t="shared" ca="1" si="38"/>
        <v>0</v>
      </c>
      <c r="CI40" s="1587">
        <f t="shared" ca="1" si="39"/>
        <v>0</v>
      </c>
      <c r="CL40" s="1212">
        <f t="shared" ca="1" si="40"/>
        <v>0</v>
      </c>
      <c r="CM40" s="1213">
        <f t="shared" ca="1" si="41"/>
        <v>0</v>
      </c>
      <c r="CN40" s="1587">
        <f t="shared" ca="1" si="42"/>
        <v>0</v>
      </c>
    </row>
    <row r="41" spans="1:92">
      <c r="A41" s="141" t="str">
        <f>'銀行-TSS'!A41</f>
        <v>US30231GAW24</v>
      </c>
      <c r="B41" s="151" t="str">
        <f ca="1">VLOOKUP(A41,'銀行-TSS'!A:B,2,FALSE)</f>
        <v>XFL30</v>
      </c>
      <c r="C41" s="151" t="str">
        <f ca="1">VLOOKUP(B41,bond!B:C,2,FALSE)</f>
        <v>艾克索美孚石油美元債券 4.114% 2046/3/1</v>
      </c>
      <c r="D41" s="95" t="str">
        <f>VLOOKUP(A41,'銀行-TSS'!A:C,3,FALSE)</f>
        <v>USD</v>
      </c>
      <c r="E41" s="90">
        <f ca="1">VLOOKUP(A41,'銀行-TSS'!A:G,7,FALSE)</f>
        <v>21.66</v>
      </c>
      <c r="F41" s="202">
        <f ca="1">VLOOKUP(A41,'銀行-TSS'!A:H,8,FALSE)</f>
        <v>4.1139999999999996E-2</v>
      </c>
      <c r="G41" s="96">
        <f ca="1">VLOOKUP(A41,'銀行-TSS'!A:K,11,FALSE)</f>
        <v>87.56</v>
      </c>
      <c r="H41" s="1209">
        <f ca="1">VLOOKUP(A41,'銀行-TSS'!A:M,13,FALSE)</f>
        <v>5.1799999999999999E-2</v>
      </c>
      <c r="I41" s="1213">
        <f ca="1">VLOOKUP(A41,'銀行-TSS'!A:N,14,FALSE)</f>
        <v>10000</v>
      </c>
      <c r="J41" s="1213">
        <f ca="1">VLOOKUP(A41,'銀行-TSS'!A:O,15,FALSE)</f>
        <v>1000</v>
      </c>
      <c r="K41" s="136" t="str">
        <f ca="1">VLOOKUP(A41,'銀行-TSS'!A:V,22,FALSE)</f>
        <v>(NPI)非專投</v>
      </c>
      <c r="L41" s="136" t="str">
        <f ca="1">VLOOKUP(A41,'銀行-TSS'!A:AK,37,FALSE)</f>
        <v>有</v>
      </c>
      <c r="M41" s="136" t="str">
        <f ca="1">VLOOKUP(A41,'銀行-TSS'!A:AN,40,FALSE)</f>
        <v/>
      </c>
      <c r="N41" s="136">
        <f t="shared" ca="1" si="0"/>
        <v>875.6</v>
      </c>
      <c r="O41" s="1213">
        <f t="shared" ca="1" si="1"/>
        <v>8756</v>
      </c>
      <c r="P41" s="1213">
        <f ca="1">IF(AND($O$1&gt;=O41,換券單檔!$D$13=D41),I41+INT(($O$1-O41)/N41)*J41,0)</f>
        <v>110000</v>
      </c>
      <c r="Q41" s="1213">
        <f t="shared" ca="1" si="2"/>
        <v>4525.3999999999996</v>
      </c>
      <c r="R41" s="1213">
        <f t="shared" ca="1" si="43"/>
        <v>110000</v>
      </c>
      <c r="S41" s="1213">
        <f t="shared" ca="1" si="44"/>
        <v>4525.3999999999996</v>
      </c>
      <c r="T41" s="136">
        <f ca="1">IF(OR(R41=0,A41=0),0,IF(AND(V41=TRUE,換券單檔!$D$13=D41),E41,0))</f>
        <v>21.66</v>
      </c>
      <c r="U41" s="861">
        <f ca="1">IF(OR(R41=0,A41=0),0,IF(AND(V41=TRUE,換券單檔!$D$13=D41),H41,0))</f>
        <v>5.1799999999999999E-2</v>
      </c>
      <c r="V41" s="136" t="b">
        <f ca="1">IF(OR(B41=換券單檔!$D$3,L41="無",M41&lt;&gt;"",K41="高資產",IFERROR(MATCH(B41,換券單檔!K:K,0),"N")&lt;&gt;"N"),FALSE,IF($V$1="All",TRUE,IF(K41=$V$1,TRUE,FALSE)))</f>
        <v>1</v>
      </c>
      <c r="W41" s="136">
        <f ca="1">VLOOKUP(A41,'銀行-TSS'!A:AO,41,FALSE)</f>
        <v>83.18</v>
      </c>
      <c r="X41" s="136">
        <f ca="1">VLOOKUP(A41,'銀行-TSS'!A:AP,42,FALSE)</f>
        <v>13.2376</v>
      </c>
      <c r="Y41" s="1220">
        <f t="shared" ca="1" si="3"/>
        <v>12112.139248000001</v>
      </c>
      <c r="Z41" s="1220">
        <f t="shared" ca="1" si="4"/>
        <v>-720.48051708217758</v>
      </c>
      <c r="AA41" s="136">
        <f ca="1">IF(Z41&lt;=0,0,RANK(Z41,Z:Z)+COUNTIF($Z$3:$Z41,Z41)-1)</f>
        <v>0</v>
      </c>
      <c r="AB41" s="1211">
        <f t="shared" ca="1" si="5"/>
        <v>-2784.0007519999981</v>
      </c>
      <c r="AC41" s="136">
        <f ca="1">IF(AB41&lt;=0,0,RANK(AB41,AB:AB)+COUNTIF($AB$3:$AB41,AB41)-1)</f>
        <v>0</v>
      </c>
      <c r="AD41" s="1123">
        <f t="shared" ca="1" si="6"/>
        <v>99999</v>
      </c>
      <c r="AE41" s="1123">
        <f ca="1">IF(AD41=99999,0,RANK(AD41,AD:AD,1)+COUNTIF($AD$3:$AD41,AD41)-1)</f>
        <v>0</v>
      </c>
      <c r="AF41" s="86" t="b">
        <f ca="1">IF(OR(M41&lt;&gt;"",L41="無",K41="高資產",IFERROR(MATCH(B41,換券單檔!K:K,0),"N")&lt;&gt;"N"),FALSE,TRUE)</f>
        <v>1</v>
      </c>
      <c r="AI41" s="1212">
        <f t="shared" ca="1" si="7"/>
        <v>110000</v>
      </c>
      <c r="AJ41" s="1213">
        <f t="shared" ca="1" si="8"/>
        <v>4525.3999999999996</v>
      </c>
      <c r="AK41" s="1587">
        <f t="shared" ca="1" si="9"/>
        <v>-720.48051708217758</v>
      </c>
      <c r="AN41" s="1212">
        <f t="shared" ca="1" si="10"/>
        <v>63000</v>
      </c>
      <c r="AO41" s="1213">
        <f t="shared" ca="1" si="11"/>
        <v>2591.8199999999997</v>
      </c>
      <c r="AP41" s="1587">
        <f t="shared" ca="1" si="12"/>
        <v>-72998.211745152352</v>
      </c>
      <c r="AS41" s="1212">
        <f t="shared" ca="1" si="13"/>
        <v>107000</v>
      </c>
      <c r="AT41" s="1213">
        <f t="shared" ca="1" si="14"/>
        <v>4401.9799999999996</v>
      </c>
      <c r="AU41" s="1587">
        <f t="shared" ca="1" si="15"/>
        <v>-1224.7142012927068</v>
      </c>
      <c r="AX41" s="1212">
        <f t="shared" ca="1" si="16"/>
        <v>99000</v>
      </c>
      <c r="AY41" s="1213">
        <f t="shared" ca="1" si="17"/>
        <v>4072.8599999999997</v>
      </c>
      <c r="AZ41" s="1587">
        <f t="shared" ca="1" si="18"/>
        <v>-3105.3022714681474</v>
      </c>
      <c r="BC41" s="1212">
        <f t="shared" ca="1" si="19"/>
        <v>0</v>
      </c>
      <c r="BD41" s="1213">
        <f t="shared" ca="1" si="20"/>
        <v>0</v>
      </c>
      <c r="BE41" s="1587">
        <f t="shared" ca="1" si="21"/>
        <v>0</v>
      </c>
      <c r="BH41" s="1212">
        <f t="shared" ca="1" si="22"/>
        <v>0</v>
      </c>
      <c r="BI41" s="1213">
        <f t="shared" ca="1" si="23"/>
        <v>0</v>
      </c>
      <c r="BJ41" s="1587">
        <f t="shared" ca="1" si="24"/>
        <v>0</v>
      </c>
      <c r="BM41" s="1212">
        <f t="shared" ca="1" si="25"/>
        <v>0</v>
      </c>
      <c r="BN41" s="1213">
        <f t="shared" ca="1" si="26"/>
        <v>0</v>
      </c>
      <c r="BO41" s="1587">
        <f t="shared" ca="1" si="27"/>
        <v>0</v>
      </c>
      <c r="BR41" s="1212">
        <f t="shared" ca="1" si="28"/>
        <v>0</v>
      </c>
      <c r="BS41" s="1213">
        <f t="shared" ca="1" si="29"/>
        <v>0</v>
      </c>
      <c r="BT41" s="1587">
        <f t="shared" ca="1" si="30"/>
        <v>0</v>
      </c>
      <c r="BW41" s="1212">
        <f t="shared" ca="1" si="31"/>
        <v>0</v>
      </c>
      <c r="BX41" s="1213">
        <f t="shared" ca="1" si="32"/>
        <v>0</v>
      </c>
      <c r="BY41" s="1587">
        <f t="shared" ca="1" si="33"/>
        <v>0</v>
      </c>
      <c r="CB41" s="1212">
        <f t="shared" ca="1" si="34"/>
        <v>0</v>
      </c>
      <c r="CC41" s="1213">
        <f t="shared" ca="1" si="35"/>
        <v>0</v>
      </c>
      <c r="CD41" s="1587">
        <f t="shared" ca="1" si="36"/>
        <v>0</v>
      </c>
      <c r="CG41" s="1212">
        <f t="shared" ca="1" si="37"/>
        <v>0</v>
      </c>
      <c r="CH41" s="1213">
        <f t="shared" ca="1" si="38"/>
        <v>0</v>
      </c>
      <c r="CI41" s="1587">
        <f t="shared" ca="1" si="39"/>
        <v>0</v>
      </c>
      <c r="CL41" s="1212">
        <f t="shared" ca="1" si="40"/>
        <v>0</v>
      </c>
      <c r="CM41" s="1213">
        <f t="shared" ca="1" si="41"/>
        <v>0</v>
      </c>
      <c r="CN41" s="1587">
        <f t="shared" ca="1" si="42"/>
        <v>0</v>
      </c>
    </row>
    <row r="42" spans="1:92">
      <c r="A42" s="141" t="str">
        <f>'銀行-TSS'!A42</f>
        <v>USY20721AE96</v>
      </c>
      <c r="B42" s="151" t="str">
        <f ca="1">VLOOKUP(A42,'銀行-TSS'!A:B,2,FALSE)</f>
        <v>XFL40</v>
      </c>
      <c r="C42" s="151" t="str">
        <f ca="1">VLOOKUP(B42,bond!B:C,2,FALSE)</f>
        <v>印尼政府美元配息債券 8.5% 2035/10/12</v>
      </c>
      <c r="D42" s="95" t="str">
        <f>VLOOKUP(A42,'銀行-TSS'!A:C,3,FALSE)</f>
        <v>USD</v>
      </c>
      <c r="E42" s="90">
        <f ca="1">VLOOKUP(A42,'銀行-TSS'!A:G,7,FALSE)</f>
        <v>11.28</v>
      </c>
      <c r="F42" s="202">
        <f ca="1">VLOOKUP(A42,'銀行-TSS'!A:H,8,FALSE)</f>
        <v>8.5000000000000006E-2</v>
      </c>
      <c r="G42" s="96">
        <f ca="1">VLOOKUP(A42,'銀行-TSS'!A:K,11,FALSE)</f>
        <v>132.18</v>
      </c>
      <c r="H42" s="1209">
        <f ca="1">VLOOKUP(A42,'銀行-TSS'!A:M,13,FALSE)</f>
        <v>4.9599999999999998E-2</v>
      </c>
      <c r="I42" s="1213">
        <f ca="1">VLOOKUP(A42,'銀行-TSS'!A:N,14,FALSE)</f>
        <v>100000</v>
      </c>
      <c r="J42" s="1213">
        <f ca="1">VLOOKUP(A42,'銀行-TSS'!A:O,15,FALSE)</f>
        <v>1000</v>
      </c>
      <c r="K42" s="136" t="str">
        <f ca="1">VLOOKUP(A42,'銀行-TSS'!A:V,22,FALSE)</f>
        <v>(PI)專投</v>
      </c>
      <c r="L42" s="136" t="str">
        <f ca="1">VLOOKUP(A42,'銀行-TSS'!A:AK,37,FALSE)</f>
        <v>有</v>
      </c>
      <c r="M42" s="136" t="str">
        <f ca="1">VLOOKUP(A42,'銀行-TSS'!A:AN,40,FALSE)</f>
        <v/>
      </c>
      <c r="N42" s="136">
        <f t="shared" ca="1" si="0"/>
        <v>1321.8</v>
      </c>
      <c r="O42" s="1213">
        <f t="shared" ca="1" si="1"/>
        <v>132180</v>
      </c>
      <c r="P42" s="1213">
        <f ca="1">IF(AND($O$1&gt;=O42,換券單檔!$D$13=D42),I42+INT(($O$1-O42)/N42)*J42,0)</f>
        <v>0</v>
      </c>
      <c r="Q42" s="1213">
        <f t="shared" ca="1" si="2"/>
        <v>0</v>
      </c>
      <c r="R42" s="1213">
        <f t="shared" ca="1" si="43"/>
        <v>0</v>
      </c>
      <c r="S42" s="1213">
        <f t="shared" ca="1" si="44"/>
        <v>0</v>
      </c>
      <c r="T42" s="136">
        <f ca="1">IF(OR(R42=0,A42=0),0,IF(AND(V42=TRUE,換券單檔!$D$13=D42),E42,0))</f>
        <v>0</v>
      </c>
      <c r="U42" s="861">
        <f ca="1">IF(OR(R42=0,A42=0),0,IF(AND(V42=TRUE,換券單檔!$D$13=D42),H42,0))</f>
        <v>0</v>
      </c>
      <c r="V42" s="136" t="b">
        <f ca="1">IF(OR(B42=換券單檔!$D$3,L42="無",M42&lt;&gt;"",K42="高資產",IFERROR(MATCH(B42,換券單檔!K:K,0),"N")&lt;&gt;"N"),FALSE,IF($V$1="All",TRUE,IF(K42=$V$1,TRUE,FALSE)))</f>
        <v>1</v>
      </c>
      <c r="W42" s="136">
        <f ca="1">VLOOKUP(A42,'銀行-TSS'!A:AO,41,FALSE)</f>
        <v>127.29</v>
      </c>
      <c r="X42" s="136">
        <f ca="1">VLOOKUP(A42,'銀行-TSS'!A:AP,42,FALSE)</f>
        <v>7.6413000000000002</v>
      </c>
      <c r="Y42" s="1220">
        <f t="shared" ca="1" si="3"/>
        <v>0</v>
      </c>
      <c r="Z42" s="1220">
        <f t="shared" ca="1" si="4"/>
        <v>0</v>
      </c>
      <c r="AA42" s="136">
        <f ca="1">IF(Z42&lt;=0,0,RANK(Z42,Z:Z)+COUNTIF($Z$3:$Z42,Z42)-1)</f>
        <v>0</v>
      </c>
      <c r="AB42" s="1211">
        <f t="shared" ca="1" si="5"/>
        <v>-114896.14</v>
      </c>
      <c r="AC42" s="136">
        <f ca="1">IF(AB42&lt;=0,0,RANK(AB42,AB:AB)+COUNTIF($AB$3:$AB42,AB42)-1)</f>
        <v>0</v>
      </c>
      <c r="AD42" s="1123">
        <f t="shared" ca="1" si="6"/>
        <v>99999</v>
      </c>
      <c r="AE42" s="1123">
        <f ca="1">IF(AD42=99999,0,RANK(AD42,AD:AD,1)+COUNTIF($AD$3:$AD42,AD42)-1)</f>
        <v>0</v>
      </c>
      <c r="AF42" s="86" t="b">
        <f ca="1">IF(OR(M42&lt;&gt;"",L42="無",K42="高資產",IFERROR(MATCH(B42,換券單檔!K:K,0),"N")&lt;&gt;"N"),FALSE,TRUE)</f>
        <v>1</v>
      </c>
      <c r="AI42" s="1212">
        <f t="shared" ca="1" si="7"/>
        <v>0</v>
      </c>
      <c r="AJ42" s="1213">
        <f t="shared" ca="1" si="8"/>
        <v>0</v>
      </c>
      <c r="AK42" s="1587">
        <f t="shared" ca="1" si="9"/>
        <v>0</v>
      </c>
      <c r="AN42" s="1212">
        <f t="shared" ca="1" si="10"/>
        <v>0</v>
      </c>
      <c r="AO42" s="1213">
        <f t="shared" ca="1" si="11"/>
        <v>0</v>
      </c>
      <c r="AP42" s="1587">
        <f t="shared" ca="1" si="12"/>
        <v>0</v>
      </c>
      <c r="AS42" s="1212">
        <f t="shared" ca="1" si="13"/>
        <v>0</v>
      </c>
      <c r="AT42" s="1213">
        <f t="shared" ca="1" si="14"/>
        <v>0</v>
      </c>
      <c r="AU42" s="1587">
        <f t="shared" ca="1" si="15"/>
        <v>0</v>
      </c>
      <c r="AX42" s="1212">
        <f t="shared" ca="1" si="16"/>
        <v>0</v>
      </c>
      <c r="AY42" s="1213">
        <f t="shared" ca="1" si="17"/>
        <v>0</v>
      </c>
      <c r="AZ42" s="1587">
        <f t="shared" ca="1" si="18"/>
        <v>0</v>
      </c>
      <c r="BC42" s="1212">
        <f t="shared" ca="1" si="19"/>
        <v>0</v>
      </c>
      <c r="BD42" s="1213">
        <f t="shared" ca="1" si="20"/>
        <v>0</v>
      </c>
      <c r="BE42" s="1587">
        <f t="shared" ca="1" si="21"/>
        <v>0</v>
      </c>
      <c r="BH42" s="1212">
        <f t="shared" ca="1" si="22"/>
        <v>0</v>
      </c>
      <c r="BI42" s="1213">
        <f t="shared" ca="1" si="23"/>
        <v>0</v>
      </c>
      <c r="BJ42" s="1587">
        <f t="shared" ca="1" si="24"/>
        <v>0</v>
      </c>
      <c r="BM42" s="1212">
        <f t="shared" ca="1" si="25"/>
        <v>0</v>
      </c>
      <c r="BN42" s="1213">
        <f t="shared" ca="1" si="26"/>
        <v>0</v>
      </c>
      <c r="BO42" s="1587">
        <f t="shared" ca="1" si="27"/>
        <v>0</v>
      </c>
      <c r="BR42" s="1212">
        <f t="shared" ca="1" si="28"/>
        <v>0</v>
      </c>
      <c r="BS42" s="1213">
        <f t="shared" ca="1" si="29"/>
        <v>0</v>
      </c>
      <c r="BT42" s="1587">
        <f t="shared" ca="1" si="30"/>
        <v>0</v>
      </c>
      <c r="BW42" s="1212">
        <f t="shared" ca="1" si="31"/>
        <v>0</v>
      </c>
      <c r="BX42" s="1213">
        <f t="shared" ca="1" si="32"/>
        <v>0</v>
      </c>
      <c r="BY42" s="1587">
        <f t="shared" ca="1" si="33"/>
        <v>0</v>
      </c>
      <c r="CB42" s="1212">
        <f t="shared" ca="1" si="34"/>
        <v>0</v>
      </c>
      <c r="CC42" s="1213">
        <f t="shared" ca="1" si="35"/>
        <v>0</v>
      </c>
      <c r="CD42" s="1587">
        <f t="shared" ca="1" si="36"/>
        <v>0</v>
      </c>
      <c r="CG42" s="1212">
        <f t="shared" ca="1" si="37"/>
        <v>0</v>
      </c>
      <c r="CH42" s="1213">
        <f t="shared" ca="1" si="38"/>
        <v>0</v>
      </c>
      <c r="CI42" s="1587">
        <f t="shared" ca="1" si="39"/>
        <v>0</v>
      </c>
      <c r="CL42" s="1212">
        <f t="shared" ca="1" si="40"/>
        <v>0</v>
      </c>
      <c r="CM42" s="1213">
        <f t="shared" ca="1" si="41"/>
        <v>0</v>
      </c>
      <c r="CN42" s="1587">
        <f t="shared" ca="1" si="42"/>
        <v>0</v>
      </c>
    </row>
    <row r="43" spans="1:92">
      <c r="A43" s="141" t="str">
        <f>'銀行-TSS'!A43</f>
        <v>USP30179AK43</v>
      </c>
      <c r="B43" s="151" t="str">
        <f ca="1">VLOOKUP(A43,'銀行-TSS'!A:B,2,FALSE)</f>
        <v>XFL50</v>
      </c>
      <c r="C43" s="151" t="str">
        <f ca="1">VLOOKUP(B43,bond!B:C,2,FALSE)</f>
        <v>墨西哥國家電力美元配息債券 5.75% 2042/2/14</v>
      </c>
      <c r="D43" s="95" t="str">
        <f>VLOOKUP(A43,'銀行-TSS'!A:C,3,FALSE)</f>
        <v>USD</v>
      </c>
      <c r="E43" s="90">
        <f ca="1">VLOOKUP(A43,'銀行-TSS'!A:G,7,FALSE)</f>
        <v>17.62</v>
      </c>
      <c r="F43" s="202">
        <f ca="1">VLOOKUP(A43,'銀行-TSS'!A:H,8,FALSE)</f>
        <v>5.7500000000000002E-2</v>
      </c>
      <c r="G43" s="96">
        <f ca="1">VLOOKUP(A43,'銀行-TSS'!A:K,11,FALSE)</f>
        <v>98.23</v>
      </c>
      <c r="H43" s="1209">
        <f ca="1">VLOOKUP(A43,'銀行-TSS'!A:M,13,FALSE)</f>
        <v>6.1199999999999997E-2</v>
      </c>
      <c r="I43" s="1213">
        <f ca="1">VLOOKUP(A43,'銀行-TSS'!A:N,14,FALSE)</f>
        <v>200000</v>
      </c>
      <c r="J43" s="1213">
        <f ca="1">VLOOKUP(A43,'銀行-TSS'!A:O,15,FALSE)</f>
        <v>1000</v>
      </c>
      <c r="K43" s="136" t="str">
        <f ca="1">VLOOKUP(A43,'銀行-TSS'!A:V,22,FALSE)</f>
        <v>(PI)專投</v>
      </c>
      <c r="L43" s="136" t="str">
        <f ca="1">VLOOKUP(A43,'銀行-TSS'!A:AK,37,FALSE)</f>
        <v>需查詢</v>
      </c>
      <c r="M43" s="136" t="str">
        <f ca="1">VLOOKUP(A43,'銀行-TSS'!A:AN,40,FALSE)</f>
        <v/>
      </c>
      <c r="N43" s="136">
        <f t="shared" ca="1" si="0"/>
        <v>982.3</v>
      </c>
      <c r="O43" s="1213">
        <f t="shared" ca="1" si="1"/>
        <v>196460</v>
      </c>
      <c r="P43" s="1213">
        <f ca="1">IF(AND($O$1&gt;=O43,換券單檔!$D$13=D43),I43+INT(($O$1-O43)/N43)*J43,0)</f>
        <v>0</v>
      </c>
      <c r="Q43" s="1213">
        <f t="shared" ca="1" si="2"/>
        <v>0</v>
      </c>
      <c r="R43" s="1213">
        <f t="shared" ca="1" si="43"/>
        <v>0</v>
      </c>
      <c r="S43" s="1213">
        <f t="shared" ca="1" si="44"/>
        <v>0</v>
      </c>
      <c r="T43" s="136">
        <f ca="1">IF(OR(R43=0,A43=0),0,IF(AND(V43=TRUE,換券單檔!$D$13=D43),E43,0))</f>
        <v>0</v>
      </c>
      <c r="U43" s="861">
        <f ca="1">IF(OR(R43=0,A43=0),0,IF(AND(V43=TRUE,換券單檔!$D$13=D43),H43,0))</f>
        <v>0</v>
      </c>
      <c r="V43" s="136" t="b">
        <f ca="1">IF(OR(B43=換券單檔!$D$3,L43="無",M43&lt;&gt;"",K43="高資產",IFERROR(MATCH(B43,換券單檔!K:K,0),"N")&lt;&gt;"N"),FALSE,IF($V$1="All",TRUE,IF(K43=$V$1,TRUE,FALSE)))</f>
        <v>1</v>
      </c>
      <c r="W43" s="136">
        <f ca="1">VLOOKUP(A43,'銀行-TSS'!A:AO,41,FALSE)</f>
        <v>93.03</v>
      </c>
      <c r="X43" s="136">
        <f ca="1">VLOOKUP(A43,'銀行-TSS'!A:AP,42,FALSE)</f>
        <v>10.426399999999999</v>
      </c>
      <c r="Y43" s="1220">
        <f t="shared" ca="1" si="3"/>
        <v>0</v>
      </c>
      <c r="Z43" s="1220">
        <f t="shared" ca="1" si="4"/>
        <v>0</v>
      </c>
      <c r="AA43" s="136">
        <f ca="1">IF(Z43&lt;=0,0,RANK(Z43,Z:Z)+COUNTIF($Z$3:$Z43,Z43)-1)</f>
        <v>0</v>
      </c>
      <c r="AB43" s="1211">
        <f t="shared" ca="1" si="5"/>
        <v>-114896.14</v>
      </c>
      <c r="AC43" s="136">
        <f ca="1">IF(AB43&lt;=0,0,RANK(AB43,AB:AB)+COUNTIF($AB$3:$AB43,AB43)-1)</f>
        <v>0</v>
      </c>
      <c r="AD43" s="1123">
        <f t="shared" ca="1" si="6"/>
        <v>99999</v>
      </c>
      <c r="AE43" s="1123">
        <f ca="1">IF(AD43=99999,0,RANK(AD43,AD:AD,1)+COUNTIF($AD$3:$AD43,AD43)-1)</f>
        <v>0</v>
      </c>
      <c r="AF43" s="86" t="b">
        <f ca="1">IF(OR(M43&lt;&gt;"",L43="無",K43="高資產",IFERROR(MATCH(B43,換券單檔!K:K,0),"N")&lt;&gt;"N"),FALSE,TRUE)</f>
        <v>1</v>
      </c>
      <c r="AI43" s="1212">
        <f t="shared" ca="1" si="7"/>
        <v>0</v>
      </c>
      <c r="AJ43" s="1213">
        <f t="shared" ca="1" si="8"/>
        <v>0</v>
      </c>
      <c r="AK43" s="1587">
        <f t="shared" ca="1" si="9"/>
        <v>0</v>
      </c>
      <c r="AN43" s="1212">
        <f t="shared" ca="1" si="10"/>
        <v>0</v>
      </c>
      <c r="AO43" s="1213">
        <f t="shared" ca="1" si="11"/>
        <v>0</v>
      </c>
      <c r="AP43" s="1587">
        <f t="shared" ca="1" si="12"/>
        <v>0</v>
      </c>
      <c r="AS43" s="1212">
        <f t="shared" ca="1" si="13"/>
        <v>0</v>
      </c>
      <c r="AT43" s="1213">
        <f t="shared" ca="1" si="14"/>
        <v>0</v>
      </c>
      <c r="AU43" s="1587">
        <f t="shared" ca="1" si="15"/>
        <v>0</v>
      </c>
      <c r="AX43" s="1212">
        <f t="shared" ca="1" si="16"/>
        <v>0</v>
      </c>
      <c r="AY43" s="1213">
        <f t="shared" ca="1" si="17"/>
        <v>0</v>
      </c>
      <c r="AZ43" s="1587">
        <f t="shared" ca="1" si="18"/>
        <v>0</v>
      </c>
      <c r="BC43" s="1212">
        <f t="shared" ca="1" si="19"/>
        <v>0</v>
      </c>
      <c r="BD43" s="1213">
        <f t="shared" ca="1" si="20"/>
        <v>0</v>
      </c>
      <c r="BE43" s="1587">
        <f t="shared" ca="1" si="21"/>
        <v>0</v>
      </c>
      <c r="BH43" s="1212">
        <f t="shared" ca="1" si="22"/>
        <v>0</v>
      </c>
      <c r="BI43" s="1213">
        <f t="shared" ca="1" si="23"/>
        <v>0</v>
      </c>
      <c r="BJ43" s="1587">
        <f t="shared" ca="1" si="24"/>
        <v>0</v>
      </c>
      <c r="BM43" s="1212">
        <f t="shared" ca="1" si="25"/>
        <v>0</v>
      </c>
      <c r="BN43" s="1213">
        <f t="shared" ca="1" si="26"/>
        <v>0</v>
      </c>
      <c r="BO43" s="1587">
        <f t="shared" ca="1" si="27"/>
        <v>0</v>
      </c>
      <c r="BR43" s="1212">
        <f t="shared" ca="1" si="28"/>
        <v>0</v>
      </c>
      <c r="BS43" s="1213">
        <f t="shared" ca="1" si="29"/>
        <v>0</v>
      </c>
      <c r="BT43" s="1587">
        <f t="shared" ca="1" si="30"/>
        <v>0</v>
      </c>
      <c r="BW43" s="1212">
        <f t="shared" ca="1" si="31"/>
        <v>0</v>
      </c>
      <c r="BX43" s="1213">
        <f t="shared" ca="1" si="32"/>
        <v>0</v>
      </c>
      <c r="BY43" s="1587">
        <f t="shared" ca="1" si="33"/>
        <v>0</v>
      </c>
      <c r="CB43" s="1212">
        <f t="shared" ca="1" si="34"/>
        <v>0</v>
      </c>
      <c r="CC43" s="1213">
        <f t="shared" ca="1" si="35"/>
        <v>0</v>
      </c>
      <c r="CD43" s="1587">
        <f t="shared" ca="1" si="36"/>
        <v>0</v>
      </c>
      <c r="CG43" s="1212">
        <f t="shared" ca="1" si="37"/>
        <v>0</v>
      </c>
      <c r="CH43" s="1213">
        <f t="shared" ca="1" si="38"/>
        <v>0</v>
      </c>
      <c r="CI43" s="1587">
        <f t="shared" ca="1" si="39"/>
        <v>0</v>
      </c>
      <c r="CL43" s="1212">
        <f t="shared" ca="1" si="40"/>
        <v>0</v>
      </c>
      <c r="CM43" s="1213">
        <f t="shared" ca="1" si="41"/>
        <v>0</v>
      </c>
      <c r="CN43" s="1587">
        <f t="shared" ca="1" si="42"/>
        <v>0</v>
      </c>
    </row>
    <row r="44" spans="1:92">
      <c r="A44" s="141" t="str">
        <f>'銀行-TSS'!A44</f>
        <v>US00206RBK77</v>
      </c>
      <c r="B44" s="151" t="str">
        <f ca="1">VLOOKUP(A44,'銀行-TSS'!A:B,2,FALSE)</f>
        <v>XFL60</v>
      </c>
      <c r="C44" s="151" t="str">
        <f ca="1">VLOOKUP(B44,bond!B:C,2,FALSE)</f>
        <v>AT&amp;T公司美元配息債券 4.35% 2045/6/15</v>
      </c>
      <c r="D44" s="95" t="str">
        <f>VLOOKUP(A44,'銀行-TSS'!A:C,3,FALSE)</f>
        <v>USD</v>
      </c>
      <c r="E44" s="90">
        <f ca="1">VLOOKUP(A44,'銀行-TSS'!A:G,7,FALSE)</f>
        <v>20.95</v>
      </c>
      <c r="F44" s="202">
        <f ca="1">VLOOKUP(A44,'銀行-TSS'!A:H,8,FALSE)</f>
        <v>4.3499999999999997E-2</v>
      </c>
      <c r="G44" s="96">
        <f ca="1">VLOOKUP(A44,'銀行-TSS'!A:K,11,FALSE)</f>
        <v>86.94</v>
      </c>
      <c r="H44" s="1209">
        <f ca="1">VLOOKUP(A44,'銀行-TSS'!A:M,13,FALSE)</f>
        <v>5.4199999999999998E-2</v>
      </c>
      <c r="I44" s="1213">
        <f ca="1">VLOOKUP(A44,'銀行-TSS'!A:N,14,FALSE)</f>
        <v>10000</v>
      </c>
      <c r="J44" s="1213">
        <f ca="1">VLOOKUP(A44,'銀行-TSS'!A:O,15,FALSE)</f>
        <v>1000</v>
      </c>
      <c r="K44" s="136" t="str">
        <f ca="1">VLOOKUP(A44,'銀行-TSS'!A:V,22,FALSE)</f>
        <v>(PI)專投</v>
      </c>
      <c r="L44" s="136" t="str">
        <f ca="1">VLOOKUP(A44,'銀行-TSS'!A:AK,37,FALSE)</f>
        <v>有</v>
      </c>
      <c r="M44" s="136" t="str">
        <f ca="1">VLOOKUP(A44,'銀行-TSS'!A:AN,40,FALSE)</f>
        <v/>
      </c>
      <c r="N44" s="136">
        <f t="shared" ca="1" si="0"/>
        <v>869.4</v>
      </c>
      <c r="O44" s="1213">
        <f t="shared" ca="1" si="1"/>
        <v>8694</v>
      </c>
      <c r="P44" s="1213">
        <f ca="1">IF(AND($O$1&gt;=O44,換券單檔!$D$13=D44),I44+INT(($O$1-O44)/N44)*J44,0)</f>
        <v>111000</v>
      </c>
      <c r="Q44" s="1213">
        <f t="shared" ca="1" si="2"/>
        <v>4828.5</v>
      </c>
      <c r="R44" s="1213">
        <f t="shared" ca="1" si="43"/>
        <v>111000</v>
      </c>
      <c r="S44" s="1213">
        <f t="shared" ca="1" si="44"/>
        <v>4828.5</v>
      </c>
      <c r="T44" s="136">
        <f ca="1">IF(OR(R44=0,A44=0),0,IF(AND(V44=TRUE,換券單檔!$D$13=D44),E44,0))</f>
        <v>20.95</v>
      </c>
      <c r="U44" s="861">
        <f ca="1">IF(OR(R44=0,A44=0),0,IF(AND(V44=TRUE,換券單檔!$D$13=D44),H44,0))</f>
        <v>5.4199999999999998E-2</v>
      </c>
      <c r="V44" s="136" t="b">
        <f ca="1">IF(OR(B44=換券單檔!$D$3,L44="無",M44&lt;&gt;"",K44="高資產",IFERROR(MATCH(B44,換券單檔!K:K,0),"N")&lt;&gt;"N"),FALSE,IF($V$1="All",TRUE,IF(K44=$V$1,TRUE,FALSE)))</f>
        <v>1</v>
      </c>
      <c r="W44" s="136">
        <f ca="1">VLOOKUP(A44,'銀行-TSS'!A:AO,41,FALSE)</f>
        <v>83.73</v>
      </c>
      <c r="X44" s="136">
        <f ca="1">VLOOKUP(A44,'銀行-TSS'!A:AP,42,FALSE)</f>
        <v>12.8805</v>
      </c>
      <c r="Y44" s="1220">
        <f t="shared" ca="1" si="3"/>
        <v>11971.1753415</v>
      </c>
      <c r="Z44" s="1220">
        <f t="shared" ca="1" si="4"/>
        <v>199.56921241050389</v>
      </c>
      <c r="AA44" s="136">
        <f ca="1">IF(Z44&lt;=0,0,RANK(Z44,Z:Z)+COUNTIF($Z$3:$Z44,Z44)-1)</f>
        <v>20</v>
      </c>
      <c r="AB44" s="1211">
        <f t="shared" ca="1" si="5"/>
        <v>-2924.9646584999991</v>
      </c>
      <c r="AC44" s="136">
        <f ca="1">IF(AB44&lt;=0,0,RANK(AB44,AB:AB)+COUNTIF($AB$3:$AB44,AB44)-1)</f>
        <v>0</v>
      </c>
      <c r="AD44" s="1123">
        <f t="shared" ca="1" si="6"/>
        <v>99999</v>
      </c>
      <c r="AE44" s="1123">
        <f ca="1">IF(AD44=99999,0,RANK(AD44,AD:AD,1)+COUNTIF($AD$3:$AD44,AD44)-1)</f>
        <v>0</v>
      </c>
      <c r="AF44" s="86" t="b">
        <f ca="1">IF(OR(M44&lt;&gt;"",L44="無",K44="高資產",IFERROR(MATCH(B44,換券單檔!K:K,0),"N")&lt;&gt;"N"),FALSE,TRUE)</f>
        <v>1</v>
      </c>
      <c r="AI44" s="1212">
        <f t="shared" ca="1" si="7"/>
        <v>111000</v>
      </c>
      <c r="AJ44" s="1213">
        <f t="shared" ca="1" si="8"/>
        <v>4828.5</v>
      </c>
      <c r="AK44" s="1587">
        <f t="shared" ca="1" si="9"/>
        <v>199.56921241050389</v>
      </c>
      <c r="AN44" s="1212">
        <f t="shared" ca="1" si="10"/>
        <v>63000</v>
      </c>
      <c r="AO44" s="1213">
        <f t="shared" ca="1" si="11"/>
        <v>2740.5</v>
      </c>
      <c r="AP44" s="1587">
        <f t="shared" ca="1" si="12"/>
        <v>-72563.619331742244</v>
      </c>
      <c r="AS44" s="1212">
        <f t="shared" ca="1" si="13"/>
        <v>108000</v>
      </c>
      <c r="AT44" s="1213">
        <f t="shared" ca="1" si="14"/>
        <v>4698</v>
      </c>
      <c r="AU44" s="1587">
        <f t="shared" ca="1" si="15"/>
        <v>-327.39618138424817</v>
      </c>
      <c r="AX44" s="1212">
        <f t="shared" ca="1" si="16"/>
        <v>99000</v>
      </c>
      <c r="AY44" s="1213">
        <f t="shared" ca="1" si="17"/>
        <v>4306.5</v>
      </c>
      <c r="AZ44" s="1587">
        <f t="shared" ca="1" si="18"/>
        <v>-2420.2255369928425</v>
      </c>
      <c r="BC44" s="1212">
        <f t="shared" ca="1" si="19"/>
        <v>0</v>
      </c>
      <c r="BD44" s="1213">
        <f t="shared" ca="1" si="20"/>
        <v>0</v>
      </c>
      <c r="BE44" s="1587">
        <f t="shared" ca="1" si="21"/>
        <v>0</v>
      </c>
      <c r="BH44" s="1212">
        <f t="shared" ca="1" si="22"/>
        <v>0</v>
      </c>
      <c r="BI44" s="1213">
        <f t="shared" ca="1" si="23"/>
        <v>0</v>
      </c>
      <c r="BJ44" s="1587">
        <f t="shared" ca="1" si="24"/>
        <v>0</v>
      </c>
      <c r="BM44" s="1212">
        <f t="shared" ca="1" si="25"/>
        <v>0</v>
      </c>
      <c r="BN44" s="1213">
        <f t="shared" ca="1" si="26"/>
        <v>0</v>
      </c>
      <c r="BO44" s="1587">
        <f t="shared" ca="1" si="27"/>
        <v>0</v>
      </c>
      <c r="BR44" s="1212">
        <f t="shared" ca="1" si="28"/>
        <v>0</v>
      </c>
      <c r="BS44" s="1213">
        <f t="shared" ca="1" si="29"/>
        <v>0</v>
      </c>
      <c r="BT44" s="1587">
        <f t="shared" ca="1" si="30"/>
        <v>0</v>
      </c>
      <c r="BW44" s="1212">
        <f t="shared" ca="1" si="31"/>
        <v>0</v>
      </c>
      <c r="BX44" s="1213">
        <f t="shared" ca="1" si="32"/>
        <v>0</v>
      </c>
      <c r="BY44" s="1587">
        <f t="shared" ca="1" si="33"/>
        <v>0</v>
      </c>
      <c r="CB44" s="1212">
        <f t="shared" ca="1" si="34"/>
        <v>0</v>
      </c>
      <c r="CC44" s="1213">
        <f t="shared" ca="1" si="35"/>
        <v>0</v>
      </c>
      <c r="CD44" s="1587">
        <f t="shared" ca="1" si="36"/>
        <v>0</v>
      </c>
      <c r="CG44" s="1212">
        <f t="shared" ca="1" si="37"/>
        <v>0</v>
      </c>
      <c r="CH44" s="1213">
        <f t="shared" ca="1" si="38"/>
        <v>0</v>
      </c>
      <c r="CI44" s="1587">
        <f t="shared" ca="1" si="39"/>
        <v>0</v>
      </c>
      <c r="CL44" s="1212">
        <f t="shared" ca="1" si="40"/>
        <v>0</v>
      </c>
      <c r="CM44" s="1213">
        <f t="shared" ca="1" si="41"/>
        <v>0</v>
      </c>
      <c r="CN44" s="1587">
        <f t="shared" ca="1" si="42"/>
        <v>0</v>
      </c>
    </row>
    <row r="45" spans="1:92">
      <c r="A45" s="141" t="str">
        <f>'銀行-TSS'!A45</f>
        <v>US717081EC37</v>
      </c>
      <c r="B45" s="151" t="str">
        <f ca="1">VLOOKUP(A45,'銀行-TSS'!A:B,2,FALSE)</f>
        <v>XFL70</v>
      </c>
      <c r="C45" s="151" t="str">
        <f ca="1">VLOOKUP(B45,bond!B:C,2,FALSE)</f>
        <v>輝瑞大藥廠美元配息債券 4% 2036/12/15</v>
      </c>
      <c r="D45" s="95" t="str">
        <f>VLOOKUP(A45,'銀行-TSS'!A:C,3,FALSE)</f>
        <v>USD</v>
      </c>
      <c r="E45" s="90">
        <f ca="1">VLOOKUP(A45,'銀行-TSS'!A:G,7,FALSE)</f>
        <v>12.45</v>
      </c>
      <c r="F45" s="202">
        <f ca="1">VLOOKUP(A45,'銀行-TSS'!A:H,8,FALSE)</f>
        <v>0.04</v>
      </c>
      <c r="G45" s="96">
        <f ca="1">VLOOKUP(A45,'銀行-TSS'!A:K,11,FALSE)</f>
        <v>92.93</v>
      </c>
      <c r="H45" s="1209">
        <f ca="1">VLOOKUP(A45,'銀行-TSS'!A:M,13,FALSE)</f>
        <v>4.7800000000000002E-2</v>
      </c>
      <c r="I45" s="1213">
        <f ca="1">VLOOKUP(A45,'銀行-TSS'!A:N,14,FALSE)</f>
        <v>10000</v>
      </c>
      <c r="J45" s="1213">
        <f ca="1">VLOOKUP(A45,'銀行-TSS'!A:O,15,FALSE)</f>
        <v>1000</v>
      </c>
      <c r="K45" s="136" t="str">
        <f ca="1">VLOOKUP(A45,'銀行-TSS'!A:V,22,FALSE)</f>
        <v>(NPI)非專投</v>
      </c>
      <c r="L45" s="136" t="str">
        <f ca="1">VLOOKUP(A45,'銀行-TSS'!A:AK,37,FALSE)</f>
        <v>有</v>
      </c>
      <c r="M45" s="136" t="str">
        <f ca="1">VLOOKUP(A45,'銀行-TSS'!A:AN,40,FALSE)</f>
        <v/>
      </c>
      <c r="N45" s="136">
        <f t="shared" ca="1" si="0"/>
        <v>929.3</v>
      </c>
      <c r="O45" s="1213">
        <f t="shared" ca="1" si="1"/>
        <v>9293.0000000000018</v>
      </c>
      <c r="P45" s="1213">
        <f ca="1">IF(AND($O$1&gt;=O45,換券單檔!$D$13=D45),I45+INT(($O$1-O45)/N45)*J45,0)</f>
        <v>104000</v>
      </c>
      <c r="Q45" s="1213">
        <f t="shared" ca="1" si="2"/>
        <v>4160</v>
      </c>
      <c r="R45" s="1213">
        <f t="shared" ca="1" si="43"/>
        <v>104000</v>
      </c>
      <c r="S45" s="1213">
        <f t="shared" ca="1" si="44"/>
        <v>4160</v>
      </c>
      <c r="T45" s="136">
        <f ca="1">IF(OR(R45=0,A45=0),0,IF(AND(V45=TRUE,換券單檔!$D$13=D45),E45,0))</f>
        <v>12.45</v>
      </c>
      <c r="U45" s="861">
        <f ca="1">IF(OR(R45=0,A45=0),0,IF(AND(V45=TRUE,換券單檔!$D$13=D45),H45,0))</f>
        <v>4.7800000000000002E-2</v>
      </c>
      <c r="V45" s="136" t="b">
        <f ca="1">IF(OR(B45=換券單檔!$D$3,L45="無",M45&lt;&gt;"",K45="高資產",IFERROR(MATCH(B45,換券單檔!K:K,0),"N")&lt;&gt;"N"),FALSE,IF($V$1="All",TRUE,IF(K45=$V$1,TRUE,FALSE)))</f>
        <v>1</v>
      </c>
      <c r="W45" s="136">
        <f ca="1">VLOOKUP(A45,'銀行-TSS'!A:AO,41,FALSE)</f>
        <v>90.240000000000009</v>
      </c>
      <c r="X45" s="136">
        <f ca="1">VLOOKUP(A45,'銀行-TSS'!A:AP,42,FALSE)</f>
        <v>9.5267999999999997</v>
      </c>
      <c r="Y45" s="1220">
        <f t="shared" ca="1" si="3"/>
        <v>8940.8636927999996</v>
      </c>
      <c r="Z45" s="1220">
        <f t="shared" ca="1" si="4"/>
        <v>0</v>
      </c>
      <c r="AA45" s="136">
        <f ca="1">IF(Z45&lt;=0,0,RANK(Z45,Z:Z)+COUNTIF($Z$3:$Z45,Z45)-1)</f>
        <v>0</v>
      </c>
      <c r="AB45" s="1211">
        <f t="shared" ca="1" si="5"/>
        <v>-5955.2763071999998</v>
      </c>
      <c r="AC45" s="136">
        <f ca="1">IF(AB45&lt;=0,0,RANK(AB45,AB:AB)+COUNTIF($AB$3:$AB45,AB45)-1)</f>
        <v>0</v>
      </c>
      <c r="AD45" s="1123">
        <f t="shared" ca="1" si="6"/>
        <v>99999</v>
      </c>
      <c r="AE45" s="1123">
        <f ca="1">IF(AD45=99999,0,RANK(AD45,AD:AD,1)+COUNTIF($AD$3:$AD45,AD45)-1)</f>
        <v>0</v>
      </c>
      <c r="AF45" s="86" t="b">
        <f ca="1">IF(OR(M45&lt;&gt;"",L45="無",K45="高資產",IFERROR(MATCH(B45,換券單檔!K:K,0),"N")&lt;&gt;"N"),FALSE,TRUE)</f>
        <v>1</v>
      </c>
      <c r="AI45" s="1212">
        <f t="shared" ca="1" si="7"/>
        <v>104000</v>
      </c>
      <c r="AJ45" s="1213">
        <f t="shared" ca="1" si="8"/>
        <v>4160</v>
      </c>
      <c r="AK45" s="1587">
        <f t="shared" ca="1" si="9"/>
        <v>0</v>
      </c>
      <c r="AN45" s="1212">
        <f t="shared" ca="1" si="10"/>
        <v>59000</v>
      </c>
      <c r="AO45" s="1213">
        <f t="shared" ca="1" si="11"/>
        <v>2360</v>
      </c>
      <c r="AP45" s="1587">
        <f t="shared" ca="1" si="12"/>
        <v>-81683.253012048197</v>
      </c>
      <c r="AS45" s="1212">
        <f t="shared" ca="1" si="13"/>
        <v>101000</v>
      </c>
      <c r="AT45" s="1213">
        <f t="shared" ca="1" si="14"/>
        <v>4040</v>
      </c>
      <c r="AU45" s="1587">
        <f t="shared" ca="1" si="15"/>
        <v>0</v>
      </c>
      <c r="AX45" s="1212">
        <f t="shared" ca="1" si="16"/>
        <v>93000</v>
      </c>
      <c r="AY45" s="1213">
        <f t="shared" ca="1" si="17"/>
        <v>3720</v>
      </c>
      <c r="AZ45" s="1587">
        <f t="shared" ca="1" si="18"/>
        <v>0</v>
      </c>
      <c r="BC45" s="1212">
        <f t="shared" ca="1" si="19"/>
        <v>0</v>
      </c>
      <c r="BD45" s="1213">
        <f t="shared" ca="1" si="20"/>
        <v>0</v>
      </c>
      <c r="BE45" s="1587">
        <f t="shared" ca="1" si="21"/>
        <v>0</v>
      </c>
      <c r="BH45" s="1212">
        <f t="shared" ca="1" si="22"/>
        <v>0</v>
      </c>
      <c r="BI45" s="1213">
        <f t="shared" ca="1" si="23"/>
        <v>0</v>
      </c>
      <c r="BJ45" s="1587">
        <f t="shared" ca="1" si="24"/>
        <v>0</v>
      </c>
      <c r="BM45" s="1212">
        <f t="shared" ca="1" si="25"/>
        <v>0</v>
      </c>
      <c r="BN45" s="1213">
        <f t="shared" ca="1" si="26"/>
        <v>0</v>
      </c>
      <c r="BO45" s="1587">
        <f t="shared" ca="1" si="27"/>
        <v>0</v>
      </c>
      <c r="BR45" s="1212">
        <f t="shared" ca="1" si="28"/>
        <v>0</v>
      </c>
      <c r="BS45" s="1213">
        <f t="shared" ca="1" si="29"/>
        <v>0</v>
      </c>
      <c r="BT45" s="1587">
        <f t="shared" ca="1" si="30"/>
        <v>0</v>
      </c>
      <c r="BW45" s="1212">
        <f t="shared" ca="1" si="31"/>
        <v>0</v>
      </c>
      <c r="BX45" s="1213">
        <f t="shared" ca="1" si="32"/>
        <v>0</v>
      </c>
      <c r="BY45" s="1587">
        <f t="shared" ca="1" si="33"/>
        <v>0</v>
      </c>
      <c r="CB45" s="1212">
        <f t="shared" ca="1" si="34"/>
        <v>0</v>
      </c>
      <c r="CC45" s="1213">
        <f t="shared" ca="1" si="35"/>
        <v>0</v>
      </c>
      <c r="CD45" s="1587">
        <f t="shared" ca="1" si="36"/>
        <v>0</v>
      </c>
      <c r="CG45" s="1212">
        <f t="shared" ca="1" si="37"/>
        <v>0</v>
      </c>
      <c r="CH45" s="1213">
        <f t="shared" ca="1" si="38"/>
        <v>0</v>
      </c>
      <c r="CI45" s="1587">
        <f t="shared" ca="1" si="39"/>
        <v>0</v>
      </c>
      <c r="CL45" s="1212">
        <f t="shared" ca="1" si="40"/>
        <v>0</v>
      </c>
      <c r="CM45" s="1213">
        <f t="shared" ca="1" si="41"/>
        <v>0</v>
      </c>
      <c r="CN45" s="1587">
        <f t="shared" ca="1" si="42"/>
        <v>0</v>
      </c>
    </row>
    <row r="46" spans="1:92">
      <c r="A46" s="141" t="str">
        <f>'銀行-TSS'!A46</f>
        <v>USY0889VAA80</v>
      </c>
      <c r="B46" s="151" t="str">
        <f ca="1">VLOOKUP(A46,'銀行-TSS'!A:B,2,FALSE)</f>
        <v>XFL90</v>
      </c>
      <c r="C46" s="151" t="str">
        <f ca="1">VLOOKUP(B46,bond!B:C,2,FALSE)</f>
        <v>印度巴帝電信美元配息債券 4.375% 2025/6/10</v>
      </c>
      <c r="D46" s="95" t="str">
        <f>VLOOKUP(A46,'銀行-TSS'!A:C,3,FALSE)</f>
        <v>USD</v>
      </c>
      <c r="E46" s="90">
        <f ca="1">VLOOKUP(A46,'銀行-TSS'!A:G,7,FALSE)</f>
        <v>0.94</v>
      </c>
      <c r="F46" s="202">
        <f ca="1">VLOOKUP(A46,'銀行-TSS'!A:H,8,FALSE)</f>
        <v>4.3749999999999997E-2</v>
      </c>
      <c r="G46" s="96">
        <f ca="1">VLOOKUP(A46,'銀行-TSS'!A:K,11,FALSE)</f>
        <v>99.95</v>
      </c>
      <c r="H46" s="1209">
        <f ca="1">VLOOKUP(A46,'銀行-TSS'!A:M,13,FALSE)</f>
        <v>4.7199999999999999E-2</v>
      </c>
      <c r="I46" s="1213">
        <f ca="1">VLOOKUP(A46,'銀行-TSS'!A:N,14,FALSE)</f>
        <v>200000</v>
      </c>
      <c r="J46" s="1213">
        <f ca="1">VLOOKUP(A46,'銀行-TSS'!A:O,15,FALSE)</f>
        <v>1000</v>
      </c>
      <c r="K46" s="136" t="str">
        <f ca="1">VLOOKUP(A46,'銀行-TSS'!A:V,22,FALSE)</f>
        <v>(PI)專投</v>
      </c>
      <c r="L46" s="136" t="str">
        <f ca="1">VLOOKUP(A46,'銀行-TSS'!A:AK,37,FALSE)</f>
        <v>有</v>
      </c>
      <c r="M46" s="136" t="str">
        <f ca="1">VLOOKUP(A46,'銀行-TSS'!A:AN,40,FALSE)</f>
        <v/>
      </c>
      <c r="N46" s="136">
        <f t="shared" ca="1" si="0"/>
        <v>999.5</v>
      </c>
      <c r="O46" s="1213">
        <f t="shared" ca="1" si="1"/>
        <v>199900</v>
      </c>
      <c r="P46" s="1213">
        <f ca="1">IF(AND($O$1&gt;=O46,換券單檔!$D$13=D46),I46+INT(($O$1-O46)/N46)*J46,0)</f>
        <v>0</v>
      </c>
      <c r="Q46" s="1213">
        <f t="shared" ca="1" si="2"/>
        <v>0</v>
      </c>
      <c r="R46" s="1213">
        <f t="shared" ca="1" si="43"/>
        <v>0</v>
      </c>
      <c r="S46" s="1213">
        <f t="shared" ca="1" si="44"/>
        <v>0</v>
      </c>
      <c r="T46" s="136">
        <f ca="1">IF(OR(R46=0,A46=0),0,IF(AND(V46=TRUE,換券單檔!$D$13=D46),E46,0))</f>
        <v>0</v>
      </c>
      <c r="U46" s="861">
        <f ca="1">IF(OR(R46=0,A46=0),0,IF(AND(V46=TRUE,換券單檔!$D$13=D46),H46,0))</f>
        <v>0</v>
      </c>
      <c r="V46" s="136" t="b">
        <f ca="1">IF(OR(B46=換券單檔!$D$3,L46="無",M46&lt;&gt;"",K46="高資產",IFERROR(MATCH(B46,換券單檔!K:K,0),"N")&lt;&gt;"N"),FALSE,IF($V$1="All",TRUE,IF(K46=$V$1,TRUE,FALSE)))</f>
        <v>1</v>
      </c>
      <c r="W46" s="136">
        <f ca="1">VLOOKUP(A46,'銀行-TSS'!A:AO,41,FALSE)</f>
        <v>99.28</v>
      </c>
      <c r="X46" s="136">
        <f ca="1">VLOOKUP(A46,'銀行-TSS'!A:AP,42,FALSE)</f>
        <v>0.90490000000000004</v>
      </c>
      <c r="Y46" s="1220">
        <f t="shared" ca="1" si="3"/>
        <v>0</v>
      </c>
      <c r="Z46" s="1220">
        <f t="shared" ca="1" si="4"/>
        <v>0</v>
      </c>
      <c r="AA46" s="136">
        <f ca="1">IF(Z46&lt;=0,0,RANK(Z46,Z:Z)+COUNTIF($Z$3:$Z46,Z46)-1)</f>
        <v>0</v>
      </c>
      <c r="AB46" s="1211">
        <f t="shared" ca="1" si="5"/>
        <v>-114896.14</v>
      </c>
      <c r="AC46" s="136">
        <f ca="1">IF(AB46&lt;=0,0,RANK(AB46,AB:AB)+COUNTIF($AB$3:$AB46,AB46)-1)</f>
        <v>0</v>
      </c>
      <c r="AD46" s="1123">
        <f t="shared" ca="1" si="6"/>
        <v>99999</v>
      </c>
      <c r="AE46" s="1123">
        <f ca="1">IF(AD46=99999,0,RANK(AD46,AD:AD,1)+COUNTIF($AD$3:$AD46,AD46)-1)</f>
        <v>0</v>
      </c>
      <c r="AF46" s="86" t="b">
        <f ca="1">IF(OR(M46&lt;&gt;"",L46="無",K46="高資產",IFERROR(MATCH(B46,換券單檔!K:K,0),"N")&lt;&gt;"N"),FALSE,TRUE)</f>
        <v>1</v>
      </c>
      <c r="AI46" s="1212">
        <f t="shared" ca="1" si="7"/>
        <v>0</v>
      </c>
      <c r="AJ46" s="1213">
        <f t="shared" ca="1" si="8"/>
        <v>0</v>
      </c>
      <c r="AK46" s="1587">
        <f t="shared" ca="1" si="9"/>
        <v>0</v>
      </c>
      <c r="AN46" s="1212">
        <f t="shared" ca="1" si="10"/>
        <v>0</v>
      </c>
      <c r="AO46" s="1213">
        <f t="shared" ca="1" si="11"/>
        <v>0</v>
      </c>
      <c r="AP46" s="1587">
        <f t="shared" ca="1" si="12"/>
        <v>0</v>
      </c>
      <c r="AS46" s="1212">
        <f t="shared" ca="1" si="13"/>
        <v>0</v>
      </c>
      <c r="AT46" s="1213">
        <f t="shared" ca="1" si="14"/>
        <v>0</v>
      </c>
      <c r="AU46" s="1587">
        <f t="shared" ca="1" si="15"/>
        <v>0</v>
      </c>
      <c r="AX46" s="1212">
        <f t="shared" ca="1" si="16"/>
        <v>0</v>
      </c>
      <c r="AY46" s="1213">
        <f t="shared" ca="1" si="17"/>
        <v>0</v>
      </c>
      <c r="AZ46" s="1587">
        <f t="shared" ca="1" si="18"/>
        <v>0</v>
      </c>
      <c r="BC46" s="1212">
        <f t="shared" ca="1" si="19"/>
        <v>0</v>
      </c>
      <c r="BD46" s="1213">
        <f t="shared" ca="1" si="20"/>
        <v>0</v>
      </c>
      <c r="BE46" s="1587">
        <f t="shared" ca="1" si="21"/>
        <v>0</v>
      </c>
      <c r="BH46" s="1212">
        <f t="shared" ca="1" si="22"/>
        <v>0</v>
      </c>
      <c r="BI46" s="1213">
        <f t="shared" ca="1" si="23"/>
        <v>0</v>
      </c>
      <c r="BJ46" s="1587">
        <f t="shared" ca="1" si="24"/>
        <v>0</v>
      </c>
      <c r="BM46" s="1212">
        <f t="shared" ca="1" si="25"/>
        <v>0</v>
      </c>
      <c r="BN46" s="1213">
        <f t="shared" ca="1" si="26"/>
        <v>0</v>
      </c>
      <c r="BO46" s="1587">
        <f t="shared" ca="1" si="27"/>
        <v>0</v>
      </c>
      <c r="BR46" s="1212">
        <f t="shared" ca="1" si="28"/>
        <v>0</v>
      </c>
      <c r="BS46" s="1213">
        <f t="shared" ca="1" si="29"/>
        <v>0</v>
      </c>
      <c r="BT46" s="1587">
        <f t="shared" ca="1" si="30"/>
        <v>0</v>
      </c>
      <c r="BW46" s="1212">
        <f t="shared" ca="1" si="31"/>
        <v>0</v>
      </c>
      <c r="BX46" s="1213">
        <f t="shared" ca="1" si="32"/>
        <v>0</v>
      </c>
      <c r="BY46" s="1587">
        <f t="shared" ca="1" si="33"/>
        <v>0</v>
      </c>
      <c r="CB46" s="1212">
        <f t="shared" ca="1" si="34"/>
        <v>0</v>
      </c>
      <c r="CC46" s="1213">
        <f t="shared" ca="1" si="35"/>
        <v>0</v>
      </c>
      <c r="CD46" s="1587">
        <f t="shared" ca="1" si="36"/>
        <v>0</v>
      </c>
      <c r="CG46" s="1212">
        <f t="shared" ca="1" si="37"/>
        <v>0</v>
      </c>
      <c r="CH46" s="1213">
        <f t="shared" ca="1" si="38"/>
        <v>0</v>
      </c>
      <c r="CI46" s="1587">
        <f t="shared" ca="1" si="39"/>
        <v>0</v>
      </c>
      <c r="CL46" s="1212">
        <f t="shared" ca="1" si="40"/>
        <v>0</v>
      </c>
      <c r="CM46" s="1213">
        <f t="shared" ca="1" si="41"/>
        <v>0</v>
      </c>
      <c r="CN46" s="1587">
        <f t="shared" ca="1" si="42"/>
        <v>0</v>
      </c>
    </row>
    <row r="47" spans="1:92">
      <c r="A47" s="141" t="str">
        <f>'銀行-TSS'!A47</f>
        <v>US92343VDC54</v>
      </c>
      <c r="B47" s="151" t="str">
        <f ca="1">VLOOKUP(A47,'銀行-TSS'!A:B,2,FALSE)</f>
        <v>XFM10</v>
      </c>
      <c r="C47" s="151" t="str">
        <f ca="1">VLOOKUP(B47,bond!B:C,2,FALSE)</f>
        <v>威瑞森電信公司美元配息債券 4.125% 2046/8/15</v>
      </c>
      <c r="D47" s="95" t="str">
        <f>VLOOKUP(A47,'銀行-TSS'!A:C,3,FALSE)</f>
        <v>USD</v>
      </c>
      <c r="E47" s="90">
        <f ca="1">VLOOKUP(A47,'銀行-TSS'!A:G,7,FALSE)</f>
        <v>22.12</v>
      </c>
      <c r="F47" s="202">
        <f ca="1">VLOOKUP(A47,'銀行-TSS'!A:H,8,FALSE)</f>
        <v>4.1250000000000002E-2</v>
      </c>
      <c r="G47" s="96">
        <f ca="1">VLOOKUP(A47,'銀行-TSS'!A:K,11,FALSE)</f>
        <v>86.36</v>
      </c>
      <c r="H47" s="1209">
        <f ca="1">VLOOKUP(A47,'銀行-TSS'!A:M,13,FALSE)</f>
        <v>5.2999999999999999E-2</v>
      </c>
      <c r="I47" s="1213">
        <f ca="1">VLOOKUP(A47,'銀行-TSS'!A:N,14,FALSE)</f>
        <v>10000</v>
      </c>
      <c r="J47" s="1213">
        <f ca="1">VLOOKUP(A47,'銀行-TSS'!A:O,15,FALSE)</f>
        <v>1000</v>
      </c>
      <c r="K47" s="136" t="str">
        <f ca="1">VLOOKUP(A47,'銀行-TSS'!A:V,22,FALSE)</f>
        <v>(NPI)非專投</v>
      </c>
      <c r="L47" s="136" t="str">
        <f ca="1">VLOOKUP(A47,'銀行-TSS'!A:AK,37,FALSE)</f>
        <v>有</v>
      </c>
      <c r="M47" s="136" t="str">
        <f ca="1">VLOOKUP(A47,'銀行-TSS'!A:AN,40,FALSE)</f>
        <v/>
      </c>
      <c r="N47" s="136">
        <f t="shared" ca="1" si="0"/>
        <v>863.6</v>
      </c>
      <c r="O47" s="1213">
        <f t="shared" ca="1" si="1"/>
        <v>8636</v>
      </c>
      <c r="P47" s="1213">
        <f ca="1">IF(AND($O$1&gt;=O47,換券單檔!$D$13=D47),I47+INT(($O$1-O47)/N47)*J47,0)</f>
        <v>111000</v>
      </c>
      <c r="Q47" s="1213">
        <f t="shared" ca="1" si="2"/>
        <v>4578.75</v>
      </c>
      <c r="R47" s="1213">
        <f t="shared" ca="1" si="43"/>
        <v>111000</v>
      </c>
      <c r="S47" s="1213">
        <f t="shared" ca="1" si="44"/>
        <v>4578.75</v>
      </c>
      <c r="T47" s="136">
        <f ca="1">IF(OR(R47=0,A47=0),0,IF(AND(V47=TRUE,換券單檔!$D$13=D47),E47,0))</f>
        <v>22.12</v>
      </c>
      <c r="U47" s="861">
        <f ca="1">IF(OR(R47=0,A47=0),0,IF(AND(V47=TRUE,換券單檔!$D$13=D47),H47,0))</f>
        <v>5.2999999999999999E-2</v>
      </c>
      <c r="V47" s="136" t="b">
        <f ca="1">IF(OR(B47=換券單檔!$D$3,L47="無",M47&lt;&gt;"",K47="高資產",IFERROR(MATCH(B47,換券單檔!K:K,0),"N")&lt;&gt;"N"),FALSE,IF($V$1="All",TRUE,IF(K47=$V$1,TRUE,FALSE)))</f>
        <v>1</v>
      </c>
      <c r="W47" s="136">
        <f ca="1">VLOOKUP(A47,'銀行-TSS'!A:AO,41,FALSE)</f>
        <v>81.790000000000006</v>
      </c>
      <c r="X47" s="136">
        <f ca="1">VLOOKUP(A47,'銀行-TSS'!A:AP,42,FALSE)</f>
        <v>13.2621</v>
      </c>
      <c r="Y47" s="1220">
        <f t="shared" ca="1" si="3"/>
        <v>12040.249464900002</v>
      </c>
      <c r="Z47" s="1220">
        <f t="shared" ca="1" si="4"/>
        <v>-546.71225135623615</v>
      </c>
      <c r="AA47" s="136">
        <f ca="1">IF(Z47&lt;=0,0,RANK(Z47,Z:Z)+COUNTIF($Z$3:$Z47,Z47)-1)</f>
        <v>0</v>
      </c>
      <c r="AB47" s="1211">
        <f t="shared" ca="1" si="5"/>
        <v>-2855.8905350999976</v>
      </c>
      <c r="AC47" s="136">
        <f ca="1">IF(AB47&lt;=0,0,RANK(AB47,AB:AB)+COUNTIF($AB$3:$AB47,AB47)-1)</f>
        <v>0</v>
      </c>
      <c r="AD47" s="1123">
        <f t="shared" ca="1" si="6"/>
        <v>99999</v>
      </c>
      <c r="AE47" s="1123">
        <f ca="1">IF(AD47=99999,0,RANK(AD47,AD:AD,1)+COUNTIF($AD$3:$AD47,AD47)-1)</f>
        <v>0</v>
      </c>
      <c r="AF47" s="86" t="b">
        <f ca="1">IF(OR(M47&lt;&gt;"",L47="無",K47="高資產",IFERROR(MATCH(B47,換券單檔!K:K,0),"N")&lt;&gt;"N"),FALSE,TRUE)</f>
        <v>1</v>
      </c>
      <c r="AI47" s="1212">
        <f t="shared" ca="1" si="7"/>
        <v>111000</v>
      </c>
      <c r="AJ47" s="1213">
        <f t="shared" ca="1" si="8"/>
        <v>4578.75</v>
      </c>
      <c r="AK47" s="1587">
        <f t="shared" ca="1" si="9"/>
        <v>-546.71225135623615</v>
      </c>
      <c r="AN47" s="1212">
        <f t="shared" ca="1" si="10"/>
        <v>64000</v>
      </c>
      <c r="AO47" s="1213">
        <f t="shared" ca="1" si="11"/>
        <v>2640</v>
      </c>
      <c r="AP47" s="1587">
        <f t="shared" ca="1" si="12"/>
        <v>-70856.446654611209</v>
      </c>
      <c r="AS47" s="1212">
        <f t="shared" ca="1" si="13"/>
        <v>109000</v>
      </c>
      <c r="AT47" s="1213">
        <f t="shared" ca="1" si="14"/>
        <v>4496.25</v>
      </c>
      <c r="AU47" s="1587">
        <f t="shared" ca="1" si="15"/>
        <v>-907.13042495479215</v>
      </c>
      <c r="AX47" s="1212">
        <f t="shared" ca="1" si="16"/>
        <v>100000</v>
      </c>
      <c r="AY47" s="1213">
        <f t="shared" ca="1" si="17"/>
        <v>4125</v>
      </c>
      <c r="AZ47" s="1587">
        <f t="shared" ca="1" si="18"/>
        <v>-952.96112115732637</v>
      </c>
      <c r="BC47" s="1212">
        <f t="shared" ca="1" si="19"/>
        <v>0</v>
      </c>
      <c r="BD47" s="1213">
        <f t="shared" ca="1" si="20"/>
        <v>0</v>
      </c>
      <c r="BE47" s="1587">
        <f t="shared" ca="1" si="21"/>
        <v>0</v>
      </c>
      <c r="BH47" s="1212">
        <f t="shared" ca="1" si="22"/>
        <v>0</v>
      </c>
      <c r="BI47" s="1213">
        <f t="shared" ca="1" si="23"/>
        <v>0</v>
      </c>
      <c r="BJ47" s="1587">
        <f t="shared" ca="1" si="24"/>
        <v>0</v>
      </c>
      <c r="BM47" s="1212">
        <f t="shared" ca="1" si="25"/>
        <v>0</v>
      </c>
      <c r="BN47" s="1213">
        <f t="shared" ca="1" si="26"/>
        <v>0</v>
      </c>
      <c r="BO47" s="1587">
        <f t="shared" ca="1" si="27"/>
        <v>0</v>
      </c>
      <c r="BR47" s="1212">
        <f t="shared" ca="1" si="28"/>
        <v>0</v>
      </c>
      <c r="BS47" s="1213">
        <f t="shared" ca="1" si="29"/>
        <v>0</v>
      </c>
      <c r="BT47" s="1587">
        <f t="shared" ca="1" si="30"/>
        <v>0</v>
      </c>
      <c r="BW47" s="1212">
        <f t="shared" ca="1" si="31"/>
        <v>0</v>
      </c>
      <c r="BX47" s="1213">
        <f t="shared" ca="1" si="32"/>
        <v>0</v>
      </c>
      <c r="BY47" s="1587">
        <f t="shared" ca="1" si="33"/>
        <v>0</v>
      </c>
      <c r="CB47" s="1212">
        <f t="shared" ca="1" si="34"/>
        <v>0</v>
      </c>
      <c r="CC47" s="1213">
        <f t="shared" ca="1" si="35"/>
        <v>0</v>
      </c>
      <c r="CD47" s="1587">
        <f t="shared" ca="1" si="36"/>
        <v>0</v>
      </c>
      <c r="CG47" s="1212">
        <f t="shared" ca="1" si="37"/>
        <v>0</v>
      </c>
      <c r="CH47" s="1213">
        <f t="shared" ca="1" si="38"/>
        <v>0</v>
      </c>
      <c r="CI47" s="1587">
        <f t="shared" ca="1" si="39"/>
        <v>0</v>
      </c>
      <c r="CL47" s="1212">
        <f t="shared" ca="1" si="40"/>
        <v>0</v>
      </c>
      <c r="CM47" s="1213">
        <f t="shared" ca="1" si="41"/>
        <v>0</v>
      </c>
      <c r="CN47" s="1587">
        <f t="shared" ca="1" si="42"/>
        <v>0</v>
      </c>
    </row>
    <row r="48" spans="1:92">
      <c r="A48" s="141" t="str">
        <f>'銀行-TSS'!A48</f>
        <v>US925524AX89</v>
      </c>
      <c r="B48" s="151" t="str">
        <f ca="1">VLOOKUP(A48,'銀行-TSS'!A:B,2,FALSE)</f>
        <v>XFM20</v>
      </c>
      <c r="C48" s="151" t="str">
        <f ca="1">VLOOKUP(B48,bond!B:C,2,FALSE)</f>
        <v>派拉蒙全球公司美元配息債券6.875%  2036/4/30</v>
      </c>
      <c r="D48" s="95" t="str">
        <f>VLOOKUP(A48,'銀行-TSS'!A:C,3,FALSE)</f>
        <v>USD</v>
      </c>
      <c r="E48" s="90">
        <f ca="1">VLOOKUP(A48,'銀行-TSS'!A:G,7,FALSE)</f>
        <v>11.83</v>
      </c>
      <c r="F48" s="202">
        <f ca="1">VLOOKUP(A48,'銀行-TSS'!A:H,8,FALSE)</f>
        <v>6.8750000000000006E-2</v>
      </c>
      <c r="G48" s="96">
        <f ca="1">VLOOKUP(A48,'銀行-TSS'!A:K,11,FALSE)</f>
        <v>98.94</v>
      </c>
      <c r="H48" s="1209">
        <f ca="1">VLOOKUP(A48,'銀行-TSS'!A:M,13,FALSE)</f>
        <v>7.1599999999999997E-2</v>
      </c>
      <c r="I48" s="1213">
        <f ca="1">VLOOKUP(A48,'銀行-TSS'!A:N,14,FALSE)</f>
        <v>10000</v>
      </c>
      <c r="J48" s="1213">
        <f ca="1">VLOOKUP(A48,'銀行-TSS'!A:O,15,FALSE)</f>
        <v>1000</v>
      </c>
      <c r="K48" s="136" t="str">
        <f ca="1">VLOOKUP(A48,'銀行-TSS'!A:V,22,FALSE)</f>
        <v>(PI)專投</v>
      </c>
      <c r="L48" s="136" t="str">
        <f ca="1">VLOOKUP(A48,'銀行-TSS'!A:AK,37,FALSE)</f>
        <v>有</v>
      </c>
      <c r="M48" s="136" t="str">
        <f ca="1">VLOOKUP(A48,'銀行-TSS'!A:AN,40,FALSE)</f>
        <v/>
      </c>
      <c r="N48" s="136">
        <f t="shared" ca="1" si="0"/>
        <v>989.4</v>
      </c>
      <c r="O48" s="1213">
        <f t="shared" ca="1" si="1"/>
        <v>9894</v>
      </c>
      <c r="P48" s="1213">
        <f ca="1">IF(AND($O$1&gt;=O48,換券單檔!$D$13=D48),I48+INT(($O$1-O48)/N48)*J48,0)</f>
        <v>97000</v>
      </c>
      <c r="Q48" s="1213">
        <f t="shared" ca="1" si="2"/>
        <v>6668.7500000000009</v>
      </c>
      <c r="R48" s="1213">
        <f t="shared" ca="1" si="43"/>
        <v>97000</v>
      </c>
      <c r="S48" s="1213">
        <f t="shared" ca="1" si="44"/>
        <v>6668.7500000000009</v>
      </c>
      <c r="T48" s="136">
        <f ca="1">IF(OR(R48=0,A48=0),0,IF(AND(V48=TRUE,換券單檔!$D$13=D48),E48,0))</f>
        <v>11.83</v>
      </c>
      <c r="U48" s="861">
        <f ca="1">IF(OR(R48=0,A48=0),0,IF(AND(V48=TRUE,換券單檔!$D$13=D48),H48,0))</f>
        <v>7.1599999999999997E-2</v>
      </c>
      <c r="V48" s="136" t="b">
        <f ca="1">IF(OR(B48=換券單檔!$D$3,L48="無",M48&lt;&gt;"",K48="高資產",IFERROR(MATCH(B48,換券單檔!K:K,0),"N")&lt;&gt;"N"),FALSE,IF($V$1="All",TRUE,IF(K48=$V$1,TRUE,FALSE)))</f>
        <v>1</v>
      </c>
      <c r="W48" s="136">
        <f ca="1">VLOOKUP(A48,'銀行-TSS'!A:AO,41,FALSE)</f>
        <v>94.76</v>
      </c>
      <c r="X48" s="136">
        <f ca="1">VLOOKUP(A48,'銀行-TSS'!A:AP,42,FALSE)</f>
        <v>7.7984</v>
      </c>
      <c r="Y48" s="1220">
        <f t="shared" ca="1" si="3"/>
        <v>7168.0709248000003</v>
      </c>
      <c r="Z48" s="1220">
        <f t="shared" ca="1" si="4"/>
        <v>-774.36073541842234</v>
      </c>
      <c r="AA48" s="136">
        <f ca="1">IF(Z48&lt;=0,0,RANK(Z48,Z:Z)+COUNTIF($Z$3:$Z48,Z48)-1)</f>
        <v>0</v>
      </c>
      <c r="AB48" s="1211">
        <f t="shared" ca="1" si="5"/>
        <v>-10728.069075199999</v>
      </c>
      <c r="AC48" s="136">
        <f ca="1">IF(AB48&lt;=0,0,RANK(AB48,AB:AB)+COUNTIF($AB$3:$AB48,AB48)-1)</f>
        <v>0</v>
      </c>
      <c r="AD48" s="1123">
        <f t="shared" ca="1" si="6"/>
        <v>99999</v>
      </c>
      <c r="AE48" s="1123">
        <f ca="1">IF(AD48=99999,0,RANK(AD48,AD:AD,1)+COUNTIF($AD$3:$AD48,AD48)-1)</f>
        <v>0</v>
      </c>
      <c r="AF48" s="86" t="b">
        <f ca="1">IF(OR(M48&lt;&gt;"",L48="無",K48="高資產",IFERROR(MATCH(B48,換券單檔!K:K,0),"N")&lt;&gt;"N"),FALSE,TRUE)</f>
        <v>1</v>
      </c>
      <c r="AI48" s="1212">
        <f t="shared" ca="1" si="7"/>
        <v>97000</v>
      </c>
      <c r="AJ48" s="1213">
        <f t="shared" ca="1" si="8"/>
        <v>6668.7500000000009</v>
      </c>
      <c r="AK48" s="1587">
        <f t="shared" ca="1" si="9"/>
        <v>-774.36073541842234</v>
      </c>
      <c r="AN48" s="1212">
        <f t="shared" ca="1" si="10"/>
        <v>55000</v>
      </c>
      <c r="AO48" s="1213">
        <f t="shared" ca="1" si="11"/>
        <v>3781.2500000000005</v>
      </c>
      <c r="AP48" s="1587">
        <f t="shared" ca="1" si="12"/>
        <v>-85600.40680473372</v>
      </c>
      <c r="AS48" s="1212">
        <f t="shared" ca="1" si="13"/>
        <v>95000</v>
      </c>
      <c r="AT48" s="1213">
        <f t="shared" ca="1" si="14"/>
        <v>6531.2500000000009</v>
      </c>
      <c r="AU48" s="1587">
        <f t="shared" ca="1" si="15"/>
        <v>-5241.2563398140292</v>
      </c>
      <c r="AX48" s="1212">
        <f t="shared" ca="1" si="16"/>
        <v>87000</v>
      </c>
      <c r="AY48" s="1213">
        <f t="shared" ca="1" si="17"/>
        <v>5981.2500000000009</v>
      </c>
      <c r="AZ48" s="1587">
        <f t="shared" ca="1" si="18"/>
        <v>-21600.406804733728</v>
      </c>
      <c r="BC48" s="1212">
        <f t="shared" ca="1" si="19"/>
        <v>0</v>
      </c>
      <c r="BD48" s="1213">
        <f t="shared" ca="1" si="20"/>
        <v>0</v>
      </c>
      <c r="BE48" s="1587">
        <f t="shared" ca="1" si="21"/>
        <v>0</v>
      </c>
      <c r="BH48" s="1212">
        <f t="shared" ca="1" si="22"/>
        <v>0</v>
      </c>
      <c r="BI48" s="1213">
        <f t="shared" ca="1" si="23"/>
        <v>0</v>
      </c>
      <c r="BJ48" s="1587">
        <f t="shared" ca="1" si="24"/>
        <v>0</v>
      </c>
      <c r="BM48" s="1212">
        <f t="shared" ca="1" si="25"/>
        <v>0</v>
      </c>
      <c r="BN48" s="1213">
        <f t="shared" ca="1" si="26"/>
        <v>0</v>
      </c>
      <c r="BO48" s="1587">
        <f t="shared" ca="1" si="27"/>
        <v>0</v>
      </c>
      <c r="BR48" s="1212">
        <f t="shared" ca="1" si="28"/>
        <v>0</v>
      </c>
      <c r="BS48" s="1213">
        <f t="shared" ca="1" si="29"/>
        <v>0</v>
      </c>
      <c r="BT48" s="1587">
        <f t="shared" ca="1" si="30"/>
        <v>0</v>
      </c>
      <c r="BW48" s="1212">
        <f t="shared" ca="1" si="31"/>
        <v>0</v>
      </c>
      <c r="BX48" s="1213">
        <f t="shared" ca="1" si="32"/>
        <v>0</v>
      </c>
      <c r="BY48" s="1587">
        <f t="shared" ca="1" si="33"/>
        <v>0</v>
      </c>
      <c r="CB48" s="1212">
        <f t="shared" ca="1" si="34"/>
        <v>0</v>
      </c>
      <c r="CC48" s="1213">
        <f t="shared" ca="1" si="35"/>
        <v>0</v>
      </c>
      <c r="CD48" s="1587">
        <f t="shared" ca="1" si="36"/>
        <v>0</v>
      </c>
      <c r="CG48" s="1212">
        <f t="shared" ca="1" si="37"/>
        <v>0</v>
      </c>
      <c r="CH48" s="1213">
        <f t="shared" ca="1" si="38"/>
        <v>0</v>
      </c>
      <c r="CI48" s="1587">
        <f t="shared" ca="1" si="39"/>
        <v>0</v>
      </c>
      <c r="CL48" s="1212">
        <f t="shared" ca="1" si="40"/>
        <v>0</v>
      </c>
      <c r="CM48" s="1213">
        <f t="shared" ca="1" si="41"/>
        <v>0</v>
      </c>
      <c r="CN48" s="1587">
        <f t="shared" ca="1" si="42"/>
        <v>0</v>
      </c>
    </row>
    <row r="49" spans="1:92">
      <c r="A49" s="141" t="str">
        <f>'銀行-TSS'!A49</f>
        <v>USY68851AK32</v>
      </c>
      <c r="B49" s="151" t="str">
        <f ca="1">VLOOKUP(A49,'銀行-TSS'!A:B,2,FALSE)</f>
        <v>XFM50</v>
      </c>
      <c r="C49" s="151" t="str">
        <f ca="1">VLOOKUP(B49,bond!B:C,2,FALSE)</f>
        <v>馬來西亞國家石油公司美元配息債券 7.625% 2026/10/15</v>
      </c>
      <c r="D49" s="95" t="str">
        <f>VLOOKUP(A49,'銀行-TSS'!A:C,3,FALSE)</f>
        <v>USD</v>
      </c>
      <c r="E49" s="90">
        <f ca="1">VLOOKUP(A49,'銀行-TSS'!A:G,7,FALSE)</f>
        <v>2.29</v>
      </c>
      <c r="F49" s="202">
        <f ca="1">VLOOKUP(A49,'銀行-TSS'!A:H,8,FALSE)</f>
        <v>7.6249999999999998E-2</v>
      </c>
      <c r="G49" s="96">
        <f ca="1">VLOOKUP(A49,'銀行-TSS'!A:K,11,FALSE)</f>
        <v>108.17</v>
      </c>
      <c r="H49" s="1209">
        <f ca="1">VLOOKUP(A49,'銀行-TSS'!A:M,13,FALSE)</f>
        <v>4.5699999999999998E-2</v>
      </c>
      <c r="I49" s="1213">
        <f ca="1">VLOOKUP(A49,'銀行-TSS'!A:N,14,FALSE)</f>
        <v>100000</v>
      </c>
      <c r="J49" s="1213">
        <f ca="1">VLOOKUP(A49,'銀行-TSS'!A:O,15,FALSE)</f>
        <v>1000</v>
      </c>
      <c r="K49" s="136" t="str">
        <f ca="1">VLOOKUP(A49,'銀行-TSS'!A:V,22,FALSE)</f>
        <v>(NPI)非專投</v>
      </c>
      <c r="L49" s="136" t="str">
        <f ca="1">VLOOKUP(A49,'銀行-TSS'!A:AK,37,FALSE)</f>
        <v>有</v>
      </c>
      <c r="M49" s="136" t="str">
        <f ca="1">VLOOKUP(A49,'銀行-TSS'!A:AN,40,FALSE)</f>
        <v/>
      </c>
      <c r="N49" s="136">
        <f t="shared" ca="1" si="0"/>
        <v>1081.7</v>
      </c>
      <c r="O49" s="1213">
        <f t="shared" ca="1" si="1"/>
        <v>108170</v>
      </c>
      <c r="P49" s="1213">
        <f ca="1">IF(AND($O$1&gt;=O49,換券單檔!$D$13=D49),I49+INT(($O$1-O49)/N49)*J49,0)</f>
        <v>0</v>
      </c>
      <c r="Q49" s="1213">
        <f t="shared" ca="1" si="2"/>
        <v>0</v>
      </c>
      <c r="R49" s="1213">
        <f t="shared" ca="1" si="43"/>
        <v>0</v>
      </c>
      <c r="S49" s="1213">
        <f t="shared" ca="1" si="44"/>
        <v>0</v>
      </c>
      <c r="T49" s="136">
        <f ca="1">IF(OR(R49=0,A49=0),0,IF(AND(V49=TRUE,換券單檔!$D$13=D49),E49,0))</f>
        <v>0</v>
      </c>
      <c r="U49" s="861">
        <f ca="1">IF(OR(R49=0,A49=0),0,IF(AND(V49=TRUE,換券單檔!$D$13=D49),H49,0))</f>
        <v>0</v>
      </c>
      <c r="V49" s="136" t="b">
        <f ca="1">IF(OR(B49=換券單檔!$D$3,L49="無",M49&lt;&gt;"",K49="高資產",IFERROR(MATCH(B49,換券單檔!K:K,0),"N")&lt;&gt;"N"),FALSE,IF($V$1="All",TRUE,IF(K49=$V$1,TRUE,FALSE)))</f>
        <v>1</v>
      </c>
      <c r="W49" s="136">
        <f ca="1">VLOOKUP(A49,'銀行-TSS'!A:AO,41,FALSE)</f>
        <v>105.54</v>
      </c>
      <c r="X49" s="136">
        <f ca="1">VLOOKUP(A49,'銀行-TSS'!A:AP,42,FALSE)</f>
        <v>2.0640999999999998</v>
      </c>
      <c r="Y49" s="1220">
        <f t="shared" ca="1" si="3"/>
        <v>0</v>
      </c>
      <c r="Z49" s="1220">
        <f t="shared" ca="1" si="4"/>
        <v>0</v>
      </c>
      <c r="AA49" s="136">
        <f ca="1">IF(Z49&lt;=0,0,RANK(Z49,Z:Z)+COUNTIF($Z$3:$Z49,Z49)-1)</f>
        <v>0</v>
      </c>
      <c r="AB49" s="1211">
        <f t="shared" ca="1" si="5"/>
        <v>-114896.14</v>
      </c>
      <c r="AC49" s="136">
        <f ca="1">IF(AB49&lt;=0,0,RANK(AB49,AB:AB)+COUNTIF($AB$3:$AB49,AB49)-1)</f>
        <v>0</v>
      </c>
      <c r="AD49" s="1123">
        <f t="shared" ca="1" si="6"/>
        <v>99999</v>
      </c>
      <c r="AE49" s="1123">
        <f ca="1">IF(AD49=99999,0,RANK(AD49,AD:AD,1)+COUNTIF($AD$3:$AD49,AD49)-1)</f>
        <v>0</v>
      </c>
      <c r="AF49" s="86" t="b">
        <f ca="1">IF(OR(M49&lt;&gt;"",L49="無",K49="高資產",IFERROR(MATCH(B49,換券單檔!K:K,0),"N")&lt;&gt;"N"),FALSE,TRUE)</f>
        <v>1</v>
      </c>
      <c r="AI49" s="1212">
        <f t="shared" ca="1" si="7"/>
        <v>0</v>
      </c>
      <c r="AJ49" s="1213">
        <f t="shared" ca="1" si="8"/>
        <v>0</v>
      </c>
      <c r="AK49" s="1587">
        <f t="shared" ca="1" si="9"/>
        <v>0</v>
      </c>
      <c r="AN49" s="1212">
        <f t="shared" ca="1" si="10"/>
        <v>0</v>
      </c>
      <c r="AO49" s="1213">
        <f t="shared" ca="1" si="11"/>
        <v>0</v>
      </c>
      <c r="AP49" s="1587">
        <f t="shared" ca="1" si="12"/>
        <v>0</v>
      </c>
      <c r="AS49" s="1212">
        <f t="shared" ca="1" si="13"/>
        <v>0</v>
      </c>
      <c r="AT49" s="1213">
        <f t="shared" ca="1" si="14"/>
        <v>0</v>
      </c>
      <c r="AU49" s="1587">
        <f t="shared" ca="1" si="15"/>
        <v>0</v>
      </c>
      <c r="AX49" s="1212">
        <f t="shared" ca="1" si="16"/>
        <v>0</v>
      </c>
      <c r="AY49" s="1213">
        <f t="shared" ca="1" si="17"/>
        <v>0</v>
      </c>
      <c r="AZ49" s="1587">
        <f t="shared" ca="1" si="18"/>
        <v>0</v>
      </c>
      <c r="BC49" s="1212">
        <f t="shared" ca="1" si="19"/>
        <v>0</v>
      </c>
      <c r="BD49" s="1213">
        <f t="shared" ca="1" si="20"/>
        <v>0</v>
      </c>
      <c r="BE49" s="1587">
        <f t="shared" ca="1" si="21"/>
        <v>0</v>
      </c>
      <c r="BH49" s="1212">
        <f t="shared" ca="1" si="22"/>
        <v>0</v>
      </c>
      <c r="BI49" s="1213">
        <f t="shared" ca="1" si="23"/>
        <v>0</v>
      </c>
      <c r="BJ49" s="1587">
        <f t="shared" ca="1" si="24"/>
        <v>0</v>
      </c>
      <c r="BM49" s="1212">
        <f t="shared" ca="1" si="25"/>
        <v>0</v>
      </c>
      <c r="BN49" s="1213">
        <f t="shared" ca="1" si="26"/>
        <v>0</v>
      </c>
      <c r="BO49" s="1587">
        <f t="shared" ca="1" si="27"/>
        <v>0</v>
      </c>
      <c r="BR49" s="1212">
        <f t="shared" ca="1" si="28"/>
        <v>0</v>
      </c>
      <c r="BS49" s="1213">
        <f t="shared" ca="1" si="29"/>
        <v>0</v>
      </c>
      <c r="BT49" s="1587">
        <f t="shared" ca="1" si="30"/>
        <v>0</v>
      </c>
      <c r="BW49" s="1212">
        <f t="shared" ca="1" si="31"/>
        <v>0</v>
      </c>
      <c r="BX49" s="1213">
        <f t="shared" ca="1" si="32"/>
        <v>0</v>
      </c>
      <c r="BY49" s="1587">
        <f t="shared" ca="1" si="33"/>
        <v>0</v>
      </c>
      <c r="CB49" s="1212">
        <f t="shared" ca="1" si="34"/>
        <v>0</v>
      </c>
      <c r="CC49" s="1213">
        <f t="shared" ca="1" si="35"/>
        <v>0</v>
      </c>
      <c r="CD49" s="1587">
        <f t="shared" ca="1" si="36"/>
        <v>0</v>
      </c>
      <c r="CG49" s="1212">
        <f t="shared" ca="1" si="37"/>
        <v>0</v>
      </c>
      <c r="CH49" s="1213">
        <f t="shared" ca="1" si="38"/>
        <v>0</v>
      </c>
      <c r="CI49" s="1587">
        <f t="shared" ca="1" si="39"/>
        <v>0</v>
      </c>
      <c r="CL49" s="1212">
        <f t="shared" ca="1" si="40"/>
        <v>0</v>
      </c>
      <c r="CM49" s="1213">
        <f t="shared" ca="1" si="41"/>
        <v>0</v>
      </c>
      <c r="CN49" s="1587">
        <f t="shared" ca="1" si="42"/>
        <v>0</v>
      </c>
    </row>
    <row r="50" spans="1:92">
      <c r="A50" s="141" t="str">
        <f>'銀行-TSS'!A50</f>
        <v>US747525AU71</v>
      </c>
      <c r="B50" s="151" t="str">
        <f ca="1">VLOOKUP(A50,'銀行-TSS'!A:B,2,FALSE)</f>
        <v>XFM60</v>
      </c>
      <c r="C50" s="151" t="str">
        <f ca="1">VLOOKUP(B50,bond!B:C,2,FALSE)</f>
        <v>高通公司美元配息債券 3.25% 2027/5/20</v>
      </c>
      <c r="D50" s="95" t="str">
        <f>VLOOKUP(A50,'銀行-TSS'!A:C,3,FALSE)</f>
        <v>USD</v>
      </c>
      <c r="E50" s="90">
        <f ca="1">VLOOKUP(A50,'銀行-TSS'!A:G,7,FALSE)</f>
        <v>2.88</v>
      </c>
      <c r="F50" s="202">
        <f ca="1">VLOOKUP(A50,'銀行-TSS'!A:H,8,FALSE)</f>
        <v>3.2500000000000001E-2</v>
      </c>
      <c r="G50" s="96">
        <f ca="1">VLOOKUP(A50,'銀行-TSS'!A:K,11,FALSE)</f>
        <v>97.33</v>
      </c>
      <c r="H50" s="1209">
        <f ca="1">VLOOKUP(A50,'銀行-TSS'!A:M,13,FALSE)</f>
        <v>4.3900000000000002E-2</v>
      </c>
      <c r="I50" s="1213">
        <f ca="1">VLOOKUP(A50,'銀行-TSS'!A:N,14,FALSE)</f>
        <v>10000</v>
      </c>
      <c r="J50" s="1213">
        <f ca="1">VLOOKUP(A50,'銀行-TSS'!A:O,15,FALSE)</f>
        <v>1000</v>
      </c>
      <c r="K50" s="136" t="str">
        <f ca="1">VLOOKUP(A50,'銀行-TSS'!A:V,22,FALSE)</f>
        <v>(NPI)非專投</v>
      </c>
      <c r="L50" s="136" t="str">
        <f ca="1">VLOOKUP(A50,'銀行-TSS'!A:AK,37,FALSE)</f>
        <v>有</v>
      </c>
      <c r="M50" s="136" t="str">
        <f ca="1">VLOOKUP(A50,'銀行-TSS'!A:AN,40,FALSE)</f>
        <v/>
      </c>
      <c r="N50" s="136">
        <f t="shared" ca="1" si="0"/>
        <v>973.3</v>
      </c>
      <c r="O50" s="1213">
        <f t="shared" ca="1" si="1"/>
        <v>9733</v>
      </c>
      <c r="P50" s="1213">
        <f ca="1">IF(AND($O$1&gt;=O50,換券單檔!$D$13=D50),I50+INT(($O$1-O50)/N50)*J50,0)</f>
        <v>99000</v>
      </c>
      <c r="Q50" s="1213">
        <f t="shared" ca="1" si="2"/>
        <v>3217.5</v>
      </c>
      <c r="R50" s="1213">
        <f t="shared" ca="1" si="43"/>
        <v>99000</v>
      </c>
      <c r="S50" s="1213">
        <f t="shared" ca="1" si="44"/>
        <v>3217.5</v>
      </c>
      <c r="T50" s="136">
        <f ca="1">IF(OR(R50=0,A50=0),0,IF(AND(V50=TRUE,換券單檔!$D$13=D50),E50,0))</f>
        <v>2.88</v>
      </c>
      <c r="U50" s="861">
        <f ca="1">IF(OR(R50=0,A50=0),0,IF(AND(V50=TRUE,換券單檔!$D$13=D50),H50,0))</f>
        <v>4.3900000000000002E-2</v>
      </c>
      <c r="V50" s="136" t="b">
        <f ca="1">IF(OR(B50=換券單檔!$D$3,L50="無",M50&lt;&gt;"",K50="高資產",IFERROR(MATCH(B50,換券單檔!K:K,0),"N")&lt;&gt;"N"),FALSE,IF($V$1="All",TRUE,IF(K50=$V$1,TRUE,FALSE)))</f>
        <v>1</v>
      </c>
      <c r="W50" s="136">
        <f ca="1">VLOOKUP(A50,'銀行-TSS'!A:AO,41,FALSE)</f>
        <v>95.95</v>
      </c>
      <c r="X50" s="136">
        <f ca="1">VLOOKUP(A50,'銀行-TSS'!A:AP,42,FALSE)</f>
        <v>2.7</v>
      </c>
      <c r="Y50" s="1220">
        <f t="shared" ca="1" si="3"/>
        <v>2564.7435</v>
      </c>
      <c r="Z50" s="1220">
        <f t="shared" ca="1" si="4"/>
        <v>0</v>
      </c>
      <c r="AA50" s="136">
        <f ca="1">IF(Z50&lt;=0,0,RANK(Z50,Z:Z)+COUNTIF($Z$3:$Z50,Z50)-1)</f>
        <v>0</v>
      </c>
      <c r="AB50" s="1211">
        <f t="shared" ca="1" si="5"/>
        <v>-13331.396499999999</v>
      </c>
      <c r="AC50" s="136">
        <f ca="1">IF(AB50&lt;=0,0,RANK(AB50,AB:AB)+COUNTIF($AB$3:$AB50,AB50)-1)</f>
        <v>0</v>
      </c>
      <c r="AD50" s="1123">
        <f t="shared" ca="1" si="6"/>
        <v>99999</v>
      </c>
      <c r="AE50" s="1123">
        <f ca="1">IF(AD50=99999,0,RANK(AD50,AD:AD,1)+COUNTIF($AD$3:$AD50,AD50)-1)</f>
        <v>0</v>
      </c>
      <c r="AF50" s="86" t="b">
        <f ca="1">IF(OR(M50&lt;&gt;"",L50="無",K50="高資產",IFERROR(MATCH(B50,換券單檔!K:K,0),"N")&lt;&gt;"N"),FALSE,TRUE)</f>
        <v>1</v>
      </c>
      <c r="AI50" s="1212">
        <f t="shared" ca="1" si="7"/>
        <v>99000</v>
      </c>
      <c r="AJ50" s="1213">
        <f t="shared" ca="1" si="8"/>
        <v>3217.5</v>
      </c>
      <c r="AK50" s="1587">
        <f t="shared" ca="1" si="9"/>
        <v>0</v>
      </c>
      <c r="AN50" s="1212">
        <f t="shared" ca="1" si="10"/>
        <v>56000</v>
      </c>
      <c r="AO50" s="1213">
        <f t="shared" ca="1" si="11"/>
        <v>1820</v>
      </c>
      <c r="AP50" s="1587">
        <f t="shared" ca="1" si="12"/>
        <v>0</v>
      </c>
      <c r="AS50" s="1212">
        <f t="shared" ca="1" si="13"/>
        <v>97000</v>
      </c>
      <c r="AT50" s="1213">
        <f t="shared" ca="1" si="14"/>
        <v>3152.5</v>
      </c>
      <c r="AU50" s="1587">
        <f t="shared" ca="1" si="15"/>
        <v>0</v>
      </c>
      <c r="AX50" s="1212">
        <f t="shared" ca="1" si="16"/>
        <v>89000</v>
      </c>
      <c r="AY50" s="1213">
        <f t="shared" ca="1" si="17"/>
        <v>2892.5</v>
      </c>
      <c r="AZ50" s="1587">
        <f t="shared" ca="1" si="18"/>
        <v>0</v>
      </c>
      <c r="BC50" s="1212">
        <f t="shared" ca="1" si="19"/>
        <v>0</v>
      </c>
      <c r="BD50" s="1213">
        <f t="shared" ca="1" si="20"/>
        <v>0</v>
      </c>
      <c r="BE50" s="1587">
        <f t="shared" ca="1" si="21"/>
        <v>0</v>
      </c>
      <c r="BH50" s="1212">
        <f t="shared" ca="1" si="22"/>
        <v>0</v>
      </c>
      <c r="BI50" s="1213">
        <f t="shared" ca="1" si="23"/>
        <v>0</v>
      </c>
      <c r="BJ50" s="1587">
        <f t="shared" ca="1" si="24"/>
        <v>0</v>
      </c>
      <c r="BM50" s="1212">
        <f t="shared" ca="1" si="25"/>
        <v>0</v>
      </c>
      <c r="BN50" s="1213">
        <f t="shared" ca="1" si="26"/>
        <v>0</v>
      </c>
      <c r="BO50" s="1587">
        <f t="shared" ca="1" si="27"/>
        <v>0</v>
      </c>
      <c r="BR50" s="1212">
        <f t="shared" ca="1" si="28"/>
        <v>0</v>
      </c>
      <c r="BS50" s="1213">
        <f t="shared" ca="1" si="29"/>
        <v>0</v>
      </c>
      <c r="BT50" s="1587">
        <f t="shared" ca="1" si="30"/>
        <v>0</v>
      </c>
      <c r="BW50" s="1212">
        <f t="shared" ca="1" si="31"/>
        <v>0</v>
      </c>
      <c r="BX50" s="1213">
        <f t="shared" ca="1" si="32"/>
        <v>0</v>
      </c>
      <c r="BY50" s="1587">
        <f t="shared" ca="1" si="33"/>
        <v>0</v>
      </c>
      <c r="CB50" s="1212">
        <f t="shared" ca="1" si="34"/>
        <v>0</v>
      </c>
      <c r="CC50" s="1213">
        <f t="shared" ca="1" si="35"/>
        <v>0</v>
      </c>
      <c r="CD50" s="1587">
        <f t="shared" ca="1" si="36"/>
        <v>0</v>
      </c>
      <c r="CG50" s="1212">
        <f t="shared" ca="1" si="37"/>
        <v>0</v>
      </c>
      <c r="CH50" s="1213">
        <f t="shared" ca="1" si="38"/>
        <v>0</v>
      </c>
      <c r="CI50" s="1587">
        <f t="shared" ca="1" si="39"/>
        <v>0</v>
      </c>
      <c r="CL50" s="1212">
        <f t="shared" ca="1" si="40"/>
        <v>0</v>
      </c>
      <c r="CM50" s="1213">
        <f t="shared" ca="1" si="41"/>
        <v>0</v>
      </c>
      <c r="CN50" s="1587">
        <f t="shared" ca="1" si="42"/>
        <v>0</v>
      </c>
    </row>
    <row r="51" spans="1:92">
      <c r="A51" s="141" t="str">
        <f>'銀行-TSS'!A51</f>
        <v>XS1508675417</v>
      </c>
      <c r="B51" s="151" t="str">
        <f ca="1">VLOOKUP(A51,'銀行-TSS'!A:B,2,FALSE)</f>
        <v>XFM80</v>
      </c>
      <c r="C51" s="151" t="str">
        <f ca="1">VLOOKUP(B51,bond!B:C,2,FALSE)</f>
        <v>沙烏地阿拉伯政府美元配息債券 3.25% 2026/10/26</v>
      </c>
      <c r="D51" s="95" t="str">
        <f>VLOOKUP(A51,'銀行-TSS'!A:C,3,FALSE)</f>
        <v>USD</v>
      </c>
      <c r="E51" s="90">
        <f ca="1">VLOOKUP(A51,'銀行-TSS'!A:G,7,FALSE)</f>
        <v>2.31</v>
      </c>
      <c r="F51" s="202">
        <f ca="1">VLOOKUP(A51,'銀行-TSS'!A:H,8,FALSE)</f>
        <v>3.2500000000000001E-2</v>
      </c>
      <c r="G51" s="96">
        <f ca="1">VLOOKUP(A51,'銀行-TSS'!A:K,11,FALSE)</f>
        <v>98.17</v>
      </c>
      <c r="H51" s="1209">
        <f ca="1">VLOOKUP(A51,'銀行-TSS'!A:M,13,FALSE)</f>
        <v>4.36E-2</v>
      </c>
      <c r="I51" s="1213">
        <f ca="1">VLOOKUP(A51,'銀行-TSS'!A:N,14,FALSE)</f>
        <v>200000</v>
      </c>
      <c r="J51" s="1213">
        <f ca="1">VLOOKUP(A51,'銀行-TSS'!A:O,15,FALSE)</f>
        <v>1000</v>
      </c>
      <c r="K51" s="136" t="str">
        <f ca="1">VLOOKUP(A51,'銀行-TSS'!A:V,22,FALSE)</f>
        <v>(NPI)非專投</v>
      </c>
      <c r="L51" s="136" t="str">
        <f ca="1">VLOOKUP(A51,'銀行-TSS'!A:AK,37,FALSE)</f>
        <v>有</v>
      </c>
      <c r="M51" s="136" t="str">
        <f ca="1">VLOOKUP(A51,'銀行-TSS'!A:AN,40,FALSE)</f>
        <v/>
      </c>
      <c r="N51" s="136">
        <f t="shared" ca="1" si="0"/>
        <v>981.7</v>
      </c>
      <c r="O51" s="1213">
        <f t="shared" ca="1" si="1"/>
        <v>196340</v>
      </c>
      <c r="P51" s="1213">
        <f ca="1">IF(AND($O$1&gt;=O51,換券單檔!$D$13=D51),I51+INT(($O$1-O51)/N51)*J51,0)</f>
        <v>0</v>
      </c>
      <c r="Q51" s="1213">
        <f t="shared" ca="1" si="2"/>
        <v>0</v>
      </c>
      <c r="R51" s="1213">
        <f t="shared" ca="1" si="43"/>
        <v>0</v>
      </c>
      <c r="S51" s="1213">
        <f t="shared" ca="1" si="44"/>
        <v>0</v>
      </c>
      <c r="T51" s="136">
        <f ca="1">IF(OR(R51=0,A51=0),0,IF(AND(V51=TRUE,換券單檔!$D$13=D51),E51,0))</f>
        <v>0</v>
      </c>
      <c r="U51" s="861">
        <f ca="1">IF(OR(R51=0,A51=0),0,IF(AND(V51=TRUE,換券單檔!$D$13=D51),H51,0))</f>
        <v>0</v>
      </c>
      <c r="V51" s="136" t="b">
        <f ca="1">IF(OR(B51=換券單檔!$D$3,L51="無",M51&lt;&gt;"",K51="高資產",IFERROR(MATCH(B51,換券單檔!K:K,0),"N")&lt;&gt;"N"),FALSE,IF($V$1="All",TRUE,IF(K51=$V$1,TRUE,FALSE)))</f>
        <v>1</v>
      </c>
      <c r="W51" s="136">
        <f ca="1">VLOOKUP(A51,'銀行-TSS'!A:AO,41,FALSE)</f>
        <v>96.570000000000007</v>
      </c>
      <c r="X51" s="136">
        <f ca="1">VLOOKUP(A51,'銀行-TSS'!A:AP,42,FALSE)</f>
        <v>2.1804000000000001</v>
      </c>
      <c r="Y51" s="1220">
        <f t="shared" ca="1" si="3"/>
        <v>0</v>
      </c>
      <c r="Z51" s="1220">
        <f t="shared" ca="1" si="4"/>
        <v>0</v>
      </c>
      <c r="AA51" s="136">
        <f ca="1">IF(Z51&lt;=0,0,RANK(Z51,Z:Z)+COUNTIF($Z$3:$Z51,Z51)-1)</f>
        <v>0</v>
      </c>
      <c r="AB51" s="1211">
        <f t="shared" ca="1" si="5"/>
        <v>-114896.14</v>
      </c>
      <c r="AC51" s="136">
        <f ca="1">IF(AB51&lt;=0,0,RANK(AB51,AB:AB)+COUNTIF($AB$3:$AB51,AB51)-1)</f>
        <v>0</v>
      </c>
      <c r="AD51" s="1123">
        <f t="shared" ca="1" si="6"/>
        <v>99999</v>
      </c>
      <c r="AE51" s="1123">
        <f ca="1">IF(AD51=99999,0,RANK(AD51,AD:AD,1)+COUNTIF($AD$3:$AD51,AD51)-1)</f>
        <v>0</v>
      </c>
      <c r="AF51" s="86" t="b">
        <f ca="1">IF(OR(M51&lt;&gt;"",L51="無",K51="高資產",IFERROR(MATCH(B51,換券單檔!K:K,0),"N")&lt;&gt;"N"),FALSE,TRUE)</f>
        <v>1</v>
      </c>
      <c r="AI51" s="1212">
        <f t="shared" ca="1" si="7"/>
        <v>0</v>
      </c>
      <c r="AJ51" s="1213">
        <f t="shared" ca="1" si="8"/>
        <v>0</v>
      </c>
      <c r="AK51" s="1587">
        <f t="shared" ca="1" si="9"/>
        <v>0</v>
      </c>
      <c r="AN51" s="1212">
        <f t="shared" ca="1" si="10"/>
        <v>0</v>
      </c>
      <c r="AO51" s="1213">
        <f t="shared" ca="1" si="11"/>
        <v>0</v>
      </c>
      <c r="AP51" s="1587">
        <f t="shared" ca="1" si="12"/>
        <v>0</v>
      </c>
      <c r="AS51" s="1212">
        <f t="shared" ca="1" si="13"/>
        <v>0</v>
      </c>
      <c r="AT51" s="1213">
        <f t="shared" ca="1" si="14"/>
        <v>0</v>
      </c>
      <c r="AU51" s="1587">
        <f t="shared" ca="1" si="15"/>
        <v>0</v>
      </c>
      <c r="AX51" s="1212">
        <f t="shared" ca="1" si="16"/>
        <v>0</v>
      </c>
      <c r="AY51" s="1213">
        <f t="shared" ca="1" si="17"/>
        <v>0</v>
      </c>
      <c r="AZ51" s="1587">
        <f t="shared" ca="1" si="18"/>
        <v>0</v>
      </c>
      <c r="BC51" s="1212">
        <f t="shared" ca="1" si="19"/>
        <v>0</v>
      </c>
      <c r="BD51" s="1213">
        <f t="shared" ca="1" si="20"/>
        <v>0</v>
      </c>
      <c r="BE51" s="1587">
        <f t="shared" ca="1" si="21"/>
        <v>0</v>
      </c>
      <c r="BH51" s="1212">
        <f t="shared" ca="1" si="22"/>
        <v>0</v>
      </c>
      <c r="BI51" s="1213">
        <f t="shared" ca="1" si="23"/>
        <v>0</v>
      </c>
      <c r="BJ51" s="1587">
        <f t="shared" ca="1" si="24"/>
        <v>0</v>
      </c>
      <c r="BM51" s="1212">
        <f t="shared" ca="1" si="25"/>
        <v>0</v>
      </c>
      <c r="BN51" s="1213">
        <f t="shared" ca="1" si="26"/>
        <v>0</v>
      </c>
      <c r="BO51" s="1587">
        <f t="shared" ca="1" si="27"/>
        <v>0</v>
      </c>
      <c r="BR51" s="1212">
        <f t="shared" ca="1" si="28"/>
        <v>0</v>
      </c>
      <c r="BS51" s="1213">
        <f t="shared" ca="1" si="29"/>
        <v>0</v>
      </c>
      <c r="BT51" s="1587">
        <f t="shared" ca="1" si="30"/>
        <v>0</v>
      </c>
      <c r="BW51" s="1212">
        <f t="shared" ca="1" si="31"/>
        <v>0</v>
      </c>
      <c r="BX51" s="1213">
        <f t="shared" ca="1" si="32"/>
        <v>0</v>
      </c>
      <c r="BY51" s="1587">
        <f t="shared" ca="1" si="33"/>
        <v>0</v>
      </c>
      <c r="CB51" s="1212">
        <f t="shared" ca="1" si="34"/>
        <v>0</v>
      </c>
      <c r="CC51" s="1213">
        <f t="shared" ca="1" si="35"/>
        <v>0</v>
      </c>
      <c r="CD51" s="1587">
        <f t="shared" ca="1" si="36"/>
        <v>0</v>
      </c>
      <c r="CG51" s="1212">
        <f t="shared" ca="1" si="37"/>
        <v>0</v>
      </c>
      <c r="CH51" s="1213">
        <f t="shared" ca="1" si="38"/>
        <v>0</v>
      </c>
      <c r="CI51" s="1587">
        <f t="shared" ca="1" si="39"/>
        <v>0</v>
      </c>
      <c r="CL51" s="1212">
        <f t="shared" ca="1" si="40"/>
        <v>0</v>
      </c>
      <c r="CM51" s="1213">
        <f t="shared" ca="1" si="41"/>
        <v>0</v>
      </c>
      <c r="CN51" s="1587">
        <f t="shared" ca="1" si="42"/>
        <v>0</v>
      </c>
    </row>
    <row r="52" spans="1:92">
      <c r="A52" s="141" t="str">
        <f>'銀行-TSS'!A52</f>
        <v>RU000A0JXTS9</v>
      </c>
      <c r="B52" s="151" t="str">
        <f ca="1">VLOOKUP(A52,'銀行-TSS'!A:B,2,FALSE)</f>
        <v>XFM90</v>
      </c>
      <c r="C52" s="151" t="str">
        <f ca="1">VLOOKUP(B52,bond!B:C,2,FALSE)</f>
        <v>俄羅斯聯邦政府美元配息債券 4.25% 2027/6/23</v>
      </c>
      <c r="D52" s="95" t="str">
        <f>VLOOKUP(A52,'銀行-TSS'!A:C,3,FALSE)</f>
        <v>USD</v>
      </c>
      <c r="E52" s="90">
        <f ca="1">VLOOKUP(A52,'銀行-TSS'!A:G,7,FALSE)</f>
        <v>2.97</v>
      </c>
      <c r="F52" s="202">
        <f ca="1">VLOOKUP(A52,'銀行-TSS'!A:H,8,FALSE)</f>
        <v>4.2500000000000003E-2</v>
      </c>
      <c r="G52" s="96">
        <f ca="1">VLOOKUP(A52,'銀行-TSS'!A:K,11,FALSE)</f>
        <v>78.17</v>
      </c>
      <c r="H52" s="1209">
        <f ca="1">VLOOKUP(A52,'銀行-TSS'!A:M,13,FALSE)</f>
        <v>0.12479999999999999</v>
      </c>
      <c r="I52" s="1213">
        <f ca="1">VLOOKUP(A52,'銀行-TSS'!A:N,14,FALSE)</f>
        <v>200000</v>
      </c>
      <c r="J52" s="1213">
        <f ca="1">VLOOKUP(A52,'銀行-TSS'!A:O,15,FALSE)</f>
        <v>200000</v>
      </c>
      <c r="K52" s="136" t="str">
        <f ca="1">VLOOKUP(A52,'銀行-TSS'!A:V,22,FALSE)</f>
        <v>高資產</v>
      </c>
      <c r="L52" s="136" t="str">
        <f ca="1">VLOOKUP(A52,'銀行-TSS'!A:AK,37,FALSE)</f>
        <v>需查詢</v>
      </c>
      <c r="M52" s="136" t="str">
        <f ca="1">VLOOKUP(A52,'銀行-TSS'!A:AN,40,FALSE)</f>
        <v>XFM90</v>
      </c>
      <c r="N52" s="136">
        <f t="shared" ca="1" si="0"/>
        <v>156340</v>
      </c>
      <c r="O52" s="1213">
        <f t="shared" ca="1" si="1"/>
        <v>156340</v>
      </c>
      <c r="P52" s="1213">
        <f ca="1">IF(AND($O$1&gt;=O52,換券單檔!$D$13=D52),I52+INT(($O$1-O52)/N52)*J52,0)</f>
        <v>0</v>
      </c>
      <c r="Q52" s="1213">
        <f t="shared" ca="1" si="2"/>
        <v>0</v>
      </c>
      <c r="R52" s="1213">
        <f t="shared" ca="1" si="43"/>
        <v>0</v>
      </c>
      <c r="S52" s="1213">
        <f t="shared" ca="1" si="44"/>
        <v>0</v>
      </c>
      <c r="T52" s="136">
        <f ca="1">IF(OR(R52=0,A52=0),0,IF(AND(V52=TRUE,換券單檔!$D$13=D52),E52,0))</f>
        <v>0</v>
      </c>
      <c r="U52" s="861">
        <f ca="1">IF(OR(R52=0,A52=0),0,IF(AND(V52=TRUE,換券單檔!$D$13=D52),H52,0))</f>
        <v>0</v>
      </c>
      <c r="V52" s="136" t="b">
        <f ca="1">IF(OR(B52=換券單檔!$D$3,L52="無",M52&lt;&gt;"",K52="高資產",IFERROR(MATCH(B52,換券單檔!K:K,0),"N")&lt;&gt;"N"),FALSE,IF($V$1="All",TRUE,IF(K52=$V$1,TRUE,FALSE)))</f>
        <v>0</v>
      </c>
      <c r="W52" s="136">
        <f ca="1">VLOOKUP(A52,'銀行-TSS'!A:AO,41,FALSE)</f>
        <v>75.67</v>
      </c>
      <c r="X52" s="136">
        <f ca="1">VLOOKUP(A52,'銀行-TSS'!A:AP,42,FALSE)</f>
        <v>2.6739000000000002</v>
      </c>
      <c r="Y52" s="1220">
        <f t="shared" ca="1" si="3"/>
        <v>0</v>
      </c>
      <c r="Z52" s="1220">
        <f t="shared" ca="1" si="4"/>
        <v>0</v>
      </c>
      <c r="AA52" s="136">
        <f ca="1">IF(Z52&lt;=0,0,RANK(Z52,Z:Z)+COUNTIF($Z$3:$Z52,Z52)-1)</f>
        <v>0</v>
      </c>
      <c r="AB52" s="1211">
        <f t="shared" ca="1" si="5"/>
        <v>-14896.14</v>
      </c>
      <c r="AC52" s="136">
        <f ca="1">IF(AB52&lt;=0,0,RANK(AB52,AB:AB)+COUNTIF($AB$3:$AB52,AB52)-1)</f>
        <v>0</v>
      </c>
      <c r="AD52" s="1123">
        <f t="shared" ca="1" si="6"/>
        <v>99999</v>
      </c>
      <c r="AE52" s="1123">
        <f ca="1">IF(AD52=99999,0,RANK(AD52,AD:AD,1)+COUNTIF($AD$3:$AD52,AD52)-1)</f>
        <v>0</v>
      </c>
      <c r="AF52" s="86" t="b">
        <f ca="1">IF(OR(M52&lt;&gt;"",L52="無",K52="高資產",IFERROR(MATCH(B52,換券單檔!K:K,0),"N")&lt;&gt;"N"),FALSE,TRUE)</f>
        <v>0</v>
      </c>
      <c r="AI52" s="1212">
        <f t="shared" ca="1" si="7"/>
        <v>0</v>
      </c>
      <c r="AJ52" s="1213">
        <f t="shared" ca="1" si="8"/>
        <v>0</v>
      </c>
      <c r="AK52" s="1587">
        <f t="shared" ca="1" si="9"/>
        <v>0</v>
      </c>
      <c r="AN52" s="1212">
        <f t="shared" ca="1" si="10"/>
        <v>0</v>
      </c>
      <c r="AO52" s="1213">
        <f t="shared" ca="1" si="11"/>
        <v>0</v>
      </c>
      <c r="AP52" s="1587">
        <f t="shared" ca="1" si="12"/>
        <v>0</v>
      </c>
      <c r="AS52" s="1212">
        <f t="shared" ca="1" si="13"/>
        <v>0</v>
      </c>
      <c r="AT52" s="1213">
        <f t="shared" ca="1" si="14"/>
        <v>0</v>
      </c>
      <c r="AU52" s="1587">
        <f t="shared" ca="1" si="15"/>
        <v>0</v>
      </c>
      <c r="AX52" s="1212">
        <f t="shared" ca="1" si="16"/>
        <v>0</v>
      </c>
      <c r="AY52" s="1213">
        <f t="shared" ca="1" si="17"/>
        <v>0</v>
      </c>
      <c r="AZ52" s="1587">
        <f t="shared" ca="1" si="18"/>
        <v>0</v>
      </c>
      <c r="BC52" s="1212">
        <f t="shared" ca="1" si="19"/>
        <v>0</v>
      </c>
      <c r="BD52" s="1213">
        <f t="shared" ca="1" si="20"/>
        <v>0</v>
      </c>
      <c r="BE52" s="1587">
        <f t="shared" ca="1" si="21"/>
        <v>0</v>
      </c>
      <c r="BH52" s="1212">
        <f t="shared" ca="1" si="22"/>
        <v>0</v>
      </c>
      <c r="BI52" s="1213">
        <f t="shared" ca="1" si="23"/>
        <v>0</v>
      </c>
      <c r="BJ52" s="1587">
        <f t="shared" ca="1" si="24"/>
        <v>0</v>
      </c>
      <c r="BM52" s="1212">
        <f t="shared" ca="1" si="25"/>
        <v>0</v>
      </c>
      <c r="BN52" s="1213">
        <f t="shared" ca="1" si="26"/>
        <v>0</v>
      </c>
      <c r="BO52" s="1587">
        <f t="shared" ca="1" si="27"/>
        <v>0</v>
      </c>
      <c r="BR52" s="1212">
        <f t="shared" ca="1" si="28"/>
        <v>0</v>
      </c>
      <c r="BS52" s="1213">
        <f t="shared" ca="1" si="29"/>
        <v>0</v>
      </c>
      <c r="BT52" s="1587">
        <f t="shared" ca="1" si="30"/>
        <v>0</v>
      </c>
      <c r="BW52" s="1212">
        <f t="shared" ca="1" si="31"/>
        <v>0</v>
      </c>
      <c r="BX52" s="1213">
        <f t="shared" ca="1" si="32"/>
        <v>0</v>
      </c>
      <c r="BY52" s="1587">
        <f t="shared" ca="1" si="33"/>
        <v>0</v>
      </c>
      <c r="CB52" s="1212">
        <f t="shared" ca="1" si="34"/>
        <v>0</v>
      </c>
      <c r="CC52" s="1213">
        <f t="shared" ca="1" si="35"/>
        <v>0</v>
      </c>
      <c r="CD52" s="1587">
        <f t="shared" ca="1" si="36"/>
        <v>0</v>
      </c>
      <c r="CG52" s="1212">
        <f t="shared" ca="1" si="37"/>
        <v>0</v>
      </c>
      <c r="CH52" s="1213">
        <f t="shared" ca="1" si="38"/>
        <v>0</v>
      </c>
      <c r="CI52" s="1587">
        <f t="shared" ca="1" si="39"/>
        <v>0</v>
      </c>
      <c r="CL52" s="1212">
        <f t="shared" ca="1" si="40"/>
        <v>0</v>
      </c>
      <c r="CM52" s="1213">
        <f t="shared" ca="1" si="41"/>
        <v>0</v>
      </c>
      <c r="CN52" s="1587">
        <f t="shared" ca="1" si="42"/>
        <v>0</v>
      </c>
    </row>
    <row r="53" spans="1:92">
      <c r="A53" s="141" t="str">
        <f>'銀行-TSS'!A53</f>
        <v>US91086QAV05</v>
      </c>
      <c r="B53" s="151" t="str">
        <f ca="1">VLOOKUP(A53,'銀行-TSS'!A:B,2,FALSE)</f>
        <v>XFN30</v>
      </c>
      <c r="C53" s="151" t="str">
        <f ca="1">VLOOKUP(B53,bond!B:C,2,FALSE)</f>
        <v>墨西哥政府美元配息債券 6.05% 2040/1/11</v>
      </c>
      <c r="D53" s="95" t="str">
        <f>VLOOKUP(A53,'銀行-TSS'!A:C,3,FALSE)</f>
        <v>USD</v>
      </c>
      <c r="E53" s="90">
        <f ca="1">VLOOKUP(A53,'銀行-TSS'!A:G,7,FALSE)</f>
        <v>15.53</v>
      </c>
      <c r="F53" s="202">
        <f ca="1">VLOOKUP(A53,'銀行-TSS'!A:H,8,FALSE)</f>
        <v>6.0499999999999998E-2</v>
      </c>
      <c r="G53" s="96">
        <f ca="1">VLOOKUP(A53,'銀行-TSS'!A:K,11,FALSE)</f>
        <v>103.68</v>
      </c>
      <c r="H53" s="1209">
        <f ca="1">VLOOKUP(A53,'銀行-TSS'!A:M,13,FALSE)</f>
        <v>5.9700000000000003E-2</v>
      </c>
      <c r="I53" s="1213">
        <f ca="1">VLOOKUP(A53,'銀行-TSS'!A:N,14,FALSE)</f>
        <v>10000</v>
      </c>
      <c r="J53" s="1213">
        <f ca="1">VLOOKUP(A53,'銀行-TSS'!A:O,15,FALSE)</f>
        <v>2000</v>
      </c>
      <c r="K53" s="136" t="str">
        <f ca="1">VLOOKUP(A53,'銀行-TSS'!A:V,22,FALSE)</f>
        <v>(PI)專投</v>
      </c>
      <c r="L53" s="136" t="str">
        <f ca="1">VLOOKUP(A53,'銀行-TSS'!A:AK,37,FALSE)</f>
        <v>有</v>
      </c>
      <c r="M53" s="136" t="str">
        <f ca="1">VLOOKUP(A53,'銀行-TSS'!A:AN,40,FALSE)</f>
        <v/>
      </c>
      <c r="N53" s="136">
        <f t="shared" ca="1" si="0"/>
        <v>2073.6</v>
      </c>
      <c r="O53" s="1213">
        <f t="shared" ca="1" si="1"/>
        <v>10368.000000000002</v>
      </c>
      <c r="P53" s="1213">
        <f ca="1">IF(AND($O$1&gt;=O53,換券單檔!$D$13=D53),I53+INT(($O$1-O53)/N53)*J53,0)</f>
        <v>92000</v>
      </c>
      <c r="Q53" s="1213">
        <f t="shared" ca="1" si="2"/>
        <v>5566</v>
      </c>
      <c r="R53" s="1213">
        <f t="shared" ca="1" si="43"/>
        <v>92000</v>
      </c>
      <c r="S53" s="1213">
        <f t="shared" ca="1" si="44"/>
        <v>5566</v>
      </c>
      <c r="T53" s="136">
        <f ca="1">IF(OR(R53=0,A53=0),0,IF(AND(V53=TRUE,換券單檔!$D$13=D53),E53,0))</f>
        <v>15.53</v>
      </c>
      <c r="U53" s="861">
        <f ca="1">IF(OR(R53=0,A53=0),0,IF(AND(V53=TRUE,換券單檔!$D$13=D53),H53,0))</f>
        <v>5.9700000000000003E-2</v>
      </c>
      <c r="V53" s="136" t="b">
        <f ca="1">IF(OR(B53=換券單檔!$D$3,L53="無",M53&lt;&gt;"",K53="高資產",IFERROR(MATCH(B53,換券單檔!K:K,0),"N")&lt;&gt;"N"),FALSE,IF($V$1="All",TRUE,IF(K53=$V$1,TRUE,FALSE)))</f>
        <v>1</v>
      </c>
      <c r="W53" s="136">
        <f ca="1">VLOOKUP(A53,'銀行-TSS'!A:AO,41,FALSE)</f>
        <v>97.81</v>
      </c>
      <c r="X53" s="136">
        <f ca="1">VLOOKUP(A53,'銀行-TSS'!A:AP,42,FALSE)</f>
        <v>9.6557999999999993</v>
      </c>
      <c r="Y53" s="1220">
        <f t="shared" ca="1" si="3"/>
        <v>8688.7909415999984</v>
      </c>
      <c r="Z53" s="1220">
        <f t="shared" ca="1" si="4"/>
        <v>-13921.156471345779</v>
      </c>
      <c r="AA53" s="136">
        <f ca="1">IF(Z53&lt;=0,0,RANK(Z53,Z:Z)+COUNTIF($Z$3:$Z53,Z53)-1)</f>
        <v>0</v>
      </c>
      <c r="AB53" s="1211">
        <f t="shared" ca="1" si="5"/>
        <v>-14207.349058400001</v>
      </c>
      <c r="AC53" s="136">
        <f ca="1">IF(AB53&lt;=0,0,RANK(AB53,AB:AB)+COUNTIF($AB$3:$AB53,AB53)-1)</f>
        <v>0</v>
      </c>
      <c r="AD53" s="1123">
        <f t="shared" ca="1" si="6"/>
        <v>99999</v>
      </c>
      <c r="AE53" s="1123">
        <f ca="1">IF(AD53=99999,0,RANK(AD53,AD:AD,1)+COUNTIF($AD$3:$AD53,AD53)-1)</f>
        <v>0</v>
      </c>
      <c r="AF53" s="86" t="b">
        <f ca="1">IF(OR(M53&lt;&gt;"",L53="無",K53="高資產",IFERROR(MATCH(B53,換券單檔!K:K,0),"N")&lt;&gt;"N"),FALSE,TRUE)</f>
        <v>1</v>
      </c>
      <c r="AI53" s="1212">
        <f t="shared" ca="1" si="7"/>
        <v>92000</v>
      </c>
      <c r="AJ53" s="1213">
        <f t="shared" ca="1" si="8"/>
        <v>5566</v>
      </c>
      <c r="AK53" s="1587">
        <f t="shared" ca="1" si="9"/>
        <v>-13921.156471345779</v>
      </c>
      <c r="AN53" s="1212">
        <f t="shared" ca="1" si="10"/>
        <v>52000</v>
      </c>
      <c r="AO53" s="1213">
        <f t="shared" ca="1" si="11"/>
        <v>3146</v>
      </c>
      <c r="AP53" s="1587">
        <f t="shared" ca="1" si="12"/>
        <v>-93398.542176432704</v>
      </c>
      <c r="AS53" s="1212">
        <f t="shared" ca="1" si="13"/>
        <v>90000</v>
      </c>
      <c r="AT53" s="1213">
        <f t="shared" ca="1" si="14"/>
        <v>5445</v>
      </c>
      <c r="AU53" s="1587">
        <f t="shared" ca="1" si="15"/>
        <v>-18345.054732775272</v>
      </c>
      <c r="AX53" s="1212">
        <f t="shared" ca="1" si="16"/>
        <v>82000</v>
      </c>
      <c r="AY53" s="1213">
        <f t="shared" ca="1" si="17"/>
        <v>4961</v>
      </c>
      <c r="AZ53" s="1587">
        <f t="shared" ca="1" si="18"/>
        <v>-34516.356084996783</v>
      </c>
      <c r="BC53" s="1212">
        <f t="shared" ca="1" si="19"/>
        <v>0</v>
      </c>
      <c r="BD53" s="1213">
        <f t="shared" ca="1" si="20"/>
        <v>0</v>
      </c>
      <c r="BE53" s="1587">
        <f t="shared" ca="1" si="21"/>
        <v>0</v>
      </c>
      <c r="BH53" s="1212">
        <f t="shared" ca="1" si="22"/>
        <v>0</v>
      </c>
      <c r="BI53" s="1213">
        <f t="shared" ca="1" si="23"/>
        <v>0</v>
      </c>
      <c r="BJ53" s="1587">
        <f t="shared" ca="1" si="24"/>
        <v>0</v>
      </c>
      <c r="BM53" s="1212">
        <f t="shared" ca="1" si="25"/>
        <v>0</v>
      </c>
      <c r="BN53" s="1213">
        <f t="shared" ca="1" si="26"/>
        <v>0</v>
      </c>
      <c r="BO53" s="1587">
        <f t="shared" ca="1" si="27"/>
        <v>0</v>
      </c>
      <c r="BR53" s="1212">
        <f t="shared" ca="1" si="28"/>
        <v>0</v>
      </c>
      <c r="BS53" s="1213">
        <f t="shared" ca="1" si="29"/>
        <v>0</v>
      </c>
      <c r="BT53" s="1587">
        <f t="shared" ca="1" si="30"/>
        <v>0</v>
      </c>
      <c r="BW53" s="1212">
        <f t="shared" ca="1" si="31"/>
        <v>0</v>
      </c>
      <c r="BX53" s="1213">
        <f t="shared" ca="1" si="32"/>
        <v>0</v>
      </c>
      <c r="BY53" s="1587">
        <f t="shared" ca="1" si="33"/>
        <v>0</v>
      </c>
      <c r="CB53" s="1212">
        <f t="shared" ca="1" si="34"/>
        <v>0</v>
      </c>
      <c r="CC53" s="1213">
        <f t="shared" ca="1" si="35"/>
        <v>0</v>
      </c>
      <c r="CD53" s="1587">
        <f t="shared" ca="1" si="36"/>
        <v>0</v>
      </c>
      <c r="CG53" s="1212">
        <f t="shared" ca="1" si="37"/>
        <v>0</v>
      </c>
      <c r="CH53" s="1213">
        <f t="shared" ca="1" si="38"/>
        <v>0</v>
      </c>
      <c r="CI53" s="1587">
        <f t="shared" ca="1" si="39"/>
        <v>0</v>
      </c>
      <c r="CL53" s="1212">
        <f t="shared" ca="1" si="40"/>
        <v>0</v>
      </c>
      <c r="CM53" s="1213">
        <f t="shared" ca="1" si="41"/>
        <v>0</v>
      </c>
      <c r="CN53" s="1587">
        <f t="shared" ca="1" si="42"/>
        <v>0</v>
      </c>
    </row>
    <row r="54" spans="1:92">
      <c r="A54" s="141" t="str">
        <f>'銀行-TSS'!A54</f>
        <v>XS0316524130</v>
      </c>
      <c r="B54" s="151" t="str">
        <f ca="1">VLOOKUP(A54,'銀行-TSS'!A:B,2,FALSE)</f>
        <v>XFN40</v>
      </c>
      <c r="C54" s="151" t="str">
        <f ca="1">VLOOKUP(B54,bond!B:C,2,FALSE)</f>
        <v>俄羅斯天然氣集團美元配息債券 7.288% 2037/8/16</v>
      </c>
      <c r="D54" s="95" t="str">
        <f>VLOOKUP(A54,'銀行-TSS'!A:C,3,FALSE)</f>
        <v>USD</v>
      </c>
      <c r="E54" s="90">
        <f ca="1">VLOOKUP(A54,'銀行-TSS'!A:G,7,FALSE)</f>
        <v>13.12</v>
      </c>
      <c r="F54" s="202">
        <f ca="1">VLOOKUP(A54,'銀行-TSS'!A:H,8,FALSE)</f>
        <v>7.288E-2</v>
      </c>
      <c r="G54" s="96">
        <f ca="1">VLOOKUP(A54,'銀行-TSS'!A:K,11,FALSE)</f>
        <v>86.27</v>
      </c>
      <c r="H54" s="1209">
        <f ca="1">VLOOKUP(A54,'銀行-TSS'!A:M,13,FALSE)</f>
        <v>9.5100000000000004E-2</v>
      </c>
      <c r="I54" s="1213">
        <f ca="1">VLOOKUP(A54,'銀行-TSS'!A:N,14,FALSE)</f>
        <v>100000</v>
      </c>
      <c r="J54" s="1213">
        <f ca="1">VLOOKUP(A54,'銀行-TSS'!A:O,15,FALSE)</f>
        <v>1000</v>
      </c>
      <c r="K54" s="136" t="str">
        <f ca="1">VLOOKUP(A54,'銀行-TSS'!A:V,22,FALSE)</f>
        <v>高資產</v>
      </c>
      <c r="L54" s="136" t="str">
        <f ca="1">VLOOKUP(A54,'銀行-TSS'!A:AK,37,FALSE)</f>
        <v>需查詢</v>
      </c>
      <c r="M54" s="136" t="str">
        <f ca="1">VLOOKUP(A54,'銀行-TSS'!A:AN,40,FALSE)</f>
        <v>XFN40</v>
      </c>
      <c r="N54" s="136">
        <f t="shared" ca="1" si="0"/>
        <v>862.7</v>
      </c>
      <c r="O54" s="1213">
        <f t="shared" ca="1" si="1"/>
        <v>86270</v>
      </c>
      <c r="P54" s="1213">
        <f ca="1">IF(AND($O$1&gt;=O54,換券單檔!$D$13=D54),I54+INT(($O$1-O54)/N54)*J54,0)</f>
        <v>112000</v>
      </c>
      <c r="Q54" s="1213">
        <f t="shared" ca="1" si="2"/>
        <v>8162.56</v>
      </c>
      <c r="R54" s="1213">
        <f t="shared" ca="1" si="43"/>
        <v>0</v>
      </c>
      <c r="S54" s="1213">
        <f t="shared" ca="1" si="44"/>
        <v>0</v>
      </c>
      <c r="T54" s="136">
        <f ca="1">IF(OR(R54=0,A54=0),0,IF(AND(V54=TRUE,換券單檔!$D$13=D54),E54,0))</f>
        <v>0</v>
      </c>
      <c r="U54" s="861">
        <f ca="1">IF(OR(R54=0,A54=0),0,IF(AND(V54=TRUE,換券單檔!$D$13=D54),H54,0))</f>
        <v>0</v>
      </c>
      <c r="V54" s="136" t="b">
        <f ca="1">IF(OR(B54=換券單檔!$D$3,L54="無",M54&lt;&gt;"",K54="高資產",IFERROR(MATCH(B54,換券單檔!K:K,0),"N")&lt;&gt;"N"),FALSE,IF($V$1="All",TRUE,IF(K54=$V$1,TRUE,FALSE)))</f>
        <v>0</v>
      </c>
      <c r="W54" s="136">
        <f ca="1">VLOOKUP(A54,'銀行-TSS'!A:AO,41,FALSE)</f>
        <v>80.5</v>
      </c>
      <c r="X54" s="136">
        <f ca="1">VLOOKUP(A54,'銀行-TSS'!A:AP,42,FALSE)</f>
        <v>7.5000999999999998</v>
      </c>
      <c r="Y54" s="1220">
        <f t="shared" ca="1" si="3"/>
        <v>0</v>
      </c>
      <c r="Z54" s="1220">
        <f t="shared" ca="1" si="4"/>
        <v>0</v>
      </c>
      <c r="AA54" s="136">
        <f ca="1">IF(Z54&lt;=0,0,RANK(Z54,Z:Z)+COUNTIF($Z$3:$Z54,Z54)-1)</f>
        <v>0</v>
      </c>
      <c r="AB54" s="1211">
        <f t="shared" ca="1" si="5"/>
        <v>-14896.14</v>
      </c>
      <c r="AC54" s="136">
        <f ca="1">IF(AB54&lt;=0,0,RANK(AB54,AB:AB)+COUNTIF($AB$3:$AB54,AB54)-1)</f>
        <v>0</v>
      </c>
      <c r="AD54" s="1123">
        <f t="shared" ca="1" si="6"/>
        <v>99999</v>
      </c>
      <c r="AE54" s="1123">
        <f ca="1">IF(AD54=99999,0,RANK(AD54,AD:AD,1)+COUNTIF($AD$3:$AD54,AD54)-1)</f>
        <v>0</v>
      </c>
      <c r="AF54" s="86" t="b">
        <f ca="1">IF(OR(M54&lt;&gt;"",L54="無",K54="高資產",IFERROR(MATCH(B54,換券單檔!K:K,0),"N")&lt;&gt;"N"),FALSE,TRUE)</f>
        <v>0</v>
      </c>
      <c r="AI54" s="1212">
        <f t="shared" ca="1" si="7"/>
        <v>0</v>
      </c>
      <c r="AJ54" s="1213">
        <f t="shared" ca="1" si="8"/>
        <v>0</v>
      </c>
      <c r="AK54" s="1587">
        <f t="shared" ca="1" si="9"/>
        <v>0</v>
      </c>
      <c r="AN54" s="1212">
        <f t="shared" ca="1" si="10"/>
        <v>0</v>
      </c>
      <c r="AO54" s="1213">
        <f t="shared" ca="1" si="11"/>
        <v>0</v>
      </c>
      <c r="AP54" s="1587">
        <f t="shared" ca="1" si="12"/>
        <v>0</v>
      </c>
      <c r="AS54" s="1212">
        <f t="shared" ca="1" si="13"/>
        <v>0</v>
      </c>
      <c r="AT54" s="1213">
        <f t="shared" ca="1" si="14"/>
        <v>0</v>
      </c>
      <c r="AU54" s="1587">
        <f t="shared" ca="1" si="15"/>
        <v>0</v>
      </c>
      <c r="AX54" s="1212">
        <f t="shared" ca="1" si="16"/>
        <v>0</v>
      </c>
      <c r="AY54" s="1213">
        <f t="shared" ca="1" si="17"/>
        <v>0</v>
      </c>
      <c r="AZ54" s="1587">
        <f t="shared" ca="1" si="18"/>
        <v>0</v>
      </c>
      <c r="BC54" s="1212">
        <f t="shared" ca="1" si="19"/>
        <v>0</v>
      </c>
      <c r="BD54" s="1213">
        <f t="shared" ca="1" si="20"/>
        <v>0</v>
      </c>
      <c r="BE54" s="1587">
        <f t="shared" ca="1" si="21"/>
        <v>0</v>
      </c>
      <c r="BH54" s="1212">
        <f t="shared" ca="1" si="22"/>
        <v>0</v>
      </c>
      <c r="BI54" s="1213">
        <f t="shared" ca="1" si="23"/>
        <v>0</v>
      </c>
      <c r="BJ54" s="1587">
        <f t="shared" ca="1" si="24"/>
        <v>0</v>
      </c>
      <c r="BM54" s="1212">
        <f t="shared" ca="1" si="25"/>
        <v>0</v>
      </c>
      <c r="BN54" s="1213">
        <f t="shared" ca="1" si="26"/>
        <v>0</v>
      </c>
      <c r="BO54" s="1587">
        <f t="shared" ca="1" si="27"/>
        <v>0</v>
      </c>
      <c r="BR54" s="1212">
        <f t="shared" ca="1" si="28"/>
        <v>0</v>
      </c>
      <c r="BS54" s="1213">
        <f t="shared" ca="1" si="29"/>
        <v>0</v>
      </c>
      <c r="BT54" s="1587">
        <f t="shared" ca="1" si="30"/>
        <v>0</v>
      </c>
      <c r="BW54" s="1212">
        <f t="shared" ca="1" si="31"/>
        <v>0</v>
      </c>
      <c r="BX54" s="1213">
        <f t="shared" ca="1" si="32"/>
        <v>0</v>
      </c>
      <c r="BY54" s="1587">
        <f t="shared" ca="1" si="33"/>
        <v>0</v>
      </c>
      <c r="CB54" s="1212">
        <f t="shared" ca="1" si="34"/>
        <v>0</v>
      </c>
      <c r="CC54" s="1213">
        <f t="shared" ca="1" si="35"/>
        <v>0</v>
      </c>
      <c r="CD54" s="1587">
        <f t="shared" ca="1" si="36"/>
        <v>0</v>
      </c>
      <c r="CG54" s="1212">
        <f t="shared" ca="1" si="37"/>
        <v>0</v>
      </c>
      <c r="CH54" s="1213">
        <f t="shared" ca="1" si="38"/>
        <v>0</v>
      </c>
      <c r="CI54" s="1587">
        <f t="shared" ca="1" si="39"/>
        <v>0</v>
      </c>
      <c r="CL54" s="1212">
        <f t="shared" ca="1" si="40"/>
        <v>0</v>
      </c>
      <c r="CM54" s="1213">
        <f t="shared" ca="1" si="41"/>
        <v>0</v>
      </c>
      <c r="CN54" s="1587">
        <f t="shared" ca="1" si="42"/>
        <v>0</v>
      </c>
    </row>
    <row r="55" spans="1:92">
      <c r="A55" s="141" t="str">
        <f>'銀行-TSS'!A55</f>
        <v>US025816BR90</v>
      </c>
      <c r="B55" s="151" t="str">
        <f ca="1">VLOOKUP(A55,'銀行-TSS'!A:B,2,FALSE)</f>
        <v>XFN60</v>
      </c>
      <c r="C55" s="151" t="str">
        <f ca="1">VLOOKUP(B55,bond!B:C,2,FALSE)</f>
        <v>美國運通美元配息債券 3% 2024/10/30</v>
      </c>
      <c r="D55" s="95" t="str">
        <f>VLOOKUP(A55,'銀行-TSS'!A:C,3,FALSE)</f>
        <v>USD</v>
      </c>
      <c r="E55" s="90">
        <f ca="1">VLOOKUP(A55,'銀行-TSS'!A:G,7,FALSE)</f>
        <v>0.33</v>
      </c>
      <c r="F55" s="202">
        <f ca="1">VLOOKUP(A55,'銀行-TSS'!A:H,8,FALSE)</f>
        <v>0.03</v>
      </c>
      <c r="G55" s="96">
        <f ca="1">VLOOKUP(A55,'銀行-TSS'!A:K,11,FALSE)</f>
        <v>101.21000000000001</v>
      </c>
      <c r="H55" s="1209">
        <f ca="1">VLOOKUP(A55,'銀行-TSS'!A:M,13,FALSE)</f>
        <v>8.8000000000000005E-3</v>
      </c>
      <c r="I55" s="1213">
        <f ca="1">VLOOKUP(A55,'銀行-TSS'!A:N,14,FALSE)</f>
        <v>10000</v>
      </c>
      <c r="J55" s="1213">
        <f ca="1">VLOOKUP(A55,'銀行-TSS'!A:O,15,FALSE)</f>
        <v>1000</v>
      </c>
      <c r="K55" s="136" t="str">
        <f ca="1">VLOOKUP(A55,'銀行-TSS'!A:V,22,FALSE)</f>
        <v>(NPI)非專投</v>
      </c>
      <c r="L55" s="136" t="str">
        <f ca="1">VLOOKUP(A55,'銀行-TSS'!A:AK,37,FALSE)</f>
        <v>有</v>
      </c>
      <c r="M55" s="136" t="str">
        <f ca="1">VLOOKUP(A55,'銀行-TSS'!A:AN,40,FALSE)</f>
        <v>XFN60</v>
      </c>
      <c r="N55" s="136">
        <f t="shared" ca="1" si="0"/>
        <v>1012.1000000000001</v>
      </c>
      <c r="O55" s="1213">
        <f t="shared" ca="1" si="1"/>
        <v>10121.000000000002</v>
      </c>
      <c r="P55" s="1213">
        <f ca="1">IF(AND($O$1&gt;=O55,換券單檔!$D$13=D55),I55+INT(($O$1-O55)/N55)*J55,0)</f>
        <v>95000</v>
      </c>
      <c r="Q55" s="1213">
        <f t="shared" ca="1" si="2"/>
        <v>2850</v>
      </c>
      <c r="R55" s="1213">
        <f t="shared" ca="1" si="43"/>
        <v>0</v>
      </c>
      <c r="S55" s="1213">
        <f t="shared" ca="1" si="44"/>
        <v>0</v>
      </c>
      <c r="T55" s="136">
        <f ca="1">IF(OR(R55=0,A55=0),0,IF(AND(V55=TRUE,換券單檔!$D$13=D55),E55,0))</f>
        <v>0</v>
      </c>
      <c r="U55" s="861">
        <f ca="1">IF(OR(R55=0,A55=0),0,IF(AND(V55=TRUE,換券單檔!$D$13=D55),H55,0))</f>
        <v>0</v>
      </c>
      <c r="V55" s="136" t="b">
        <f ca="1">IF(OR(B55=換券單檔!$D$3,L55="無",M55&lt;&gt;"",K55="高資產",IFERROR(MATCH(B55,換券單檔!K:K,0),"N")&lt;&gt;"N"),FALSE,IF($V$1="All",TRUE,IF(K55=$V$1,TRUE,FALSE)))</f>
        <v>0</v>
      </c>
      <c r="W55" s="136">
        <f ca="1">VLOOKUP(A55,'銀行-TSS'!A:AO,41,FALSE)</f>
        <v>99.490000000000009</v>
      </c>
      <c r="X55" s="136">
        <f ca="1">VLOOKUP(A55,'銀行-TSS'!A:AP,42,FALSE)</f>
        <v>0.32429999999999998</v>
      </c>
      <c r="Y55" s="1220">
        <f t="shared" ca="1" si="3"/>
        <v>0</v>
      </c>
      <c r="Z55" s="1220">
        <f t="shared" ca="1" si="4"/>
        <v>0</v>
      </c>
      <c r="AA55" s="136">
        <f ca="1">IF(Z55&lt;=0,0,RANK(Z55,Z:Z)+COUNTIF($Z$3:$Z55,Z55)-1)</f>
        <v>0</v>
      </c>
      <c r="AB55" s="1211">
        <f t="shared" ca="1" si="5"/>
        <v>-14896.14</v>
      </c>
      <c r="AC55" s="136">
        <f ca="1">IF(AB55&lt;=0,0,RANK(AB55,AB:AB)+COUNTIF($AB$3:$AB55,AB55)-1)</f>
        <v>0</v>
      </c>
      <c r="AD55" s="1123">
        <f t="shared" ca="1" si="6"/>
        <v>99999</v>
      </c>
      <c r="AE55" s="1123">
        <f ca="1">IF(AD55=99999,0,RANK(AD55,AD:AD,1)+COUNTIF($AD$3:$AD55,AD55)-1)</f>
        <v>0</v>
      </c>
      <c r="AF55" s="86" t="b">
        <f ca="1">IF(OR(M55&lt;&gt;"",L55="無",K55="高資產",IFERROR(MATCH(B55,換券單檔!K:K,0),"N")&lt;&gt;"N"),FALSE,TRUE)</f>
        <v>0</v>
      </c>
      <c r="AI55" s="1212">
        <f t="shared" ca="1" si="7"/>
        <v>0</v>
      </c>
      <c r="AJ55" s="1213">
        <f t="shared" ca="1" si="8"/>
        <v>0</v>
      </c>
      <c r="AK55" s="1587">
        <f t="shared" ca="1" si="9"/>
        <v>0</v>
      </c>
      <c r="AN55" s="1212">
        <f t="shared" ca="1" si="10"/>
        <v>0</v>
      </c>
      <c r="AO55" s="1213">
        <f t="shared" ca="1" si="11"/>
        <v>0</v>
      </c>
      <c r="AP55" s="1587">
        <f t="shared" ca="1" si="12"/>
        <v>0</v>
      </c>
      <c r="AS55" s="1212">
        <f t="shared" ca="1" si="13"/>
        <v>0</v>
      </c>
      <c r="AT55" s="1213">
        <f t="shared" ca="1" si="14"/>
        <v>0</v>
      </c>
      <c r="AU55" s="1587">
        <f t="shared" ca="1" si="15"/>
        <v>0</v>
      </c>
      <c r="AX55" s="1212">
        <f t="shared" ca="1" si="16"/>
        <v>0</v>
      </c>
      <c r="AY55" s="1213">
        <f t="shared" ca="1" si="17"/>
        <v>0</v>
      </c>
      <c r="AZ55" s="1587">
        <f t="shared" ca="1" si="18"/>
        <v>0</v>
      </c>
      <c r="BC55" s="1212">
        <f t="shared" ca="1" si="19"/>
        <v>0</v>
      </c>
      <c r="BD55" s="1213">
        <f t="shared" ca="1" si="20"/>
        <v>0</v>
      </c>
      <c r="BE55" s="1587">
        <f t="shared" ca="1" si="21"/>
        <v>0</v>
      </c>
      <c r="BH55" s="1212">
        <f t="shared" ca="1" si="22"/>
        <v>0</v>
      </c>
      <c r="BI55" s="1213">
        <f t="shared" ca="1" si="23"/>
        <v>0</v>
      </c>
      <c r="BJ55" s="1587">
        <f t="shared" ca="1" si="24"/>
        <v>0</v>
      </c>
      <c r="BM55" s="1212">
        <f t="shared" ca="1" si="25"/>
        <v>0</v>
      </c>
      <c r="BN55" s="1213">
        <f t="shared" ca="1" si="26"/>
        <v>0</v>
      </c>
      <c r="BO55" s="1587">
        <f t="shared" ca="1" si="27"/>
        <v>0</v>
      </c>
      <c r="BR55" s="1212">
        <f t="shared" ca="1" si="28"/>
        <v>0</v>
      </c>
      <c r="BS55" s="1213">
        <f t="shared" ca="1" si="29"/>
        <v>0</v>
      </c>
      <c r="BT55" s="1587">
        <f t="shared" ca="1" si="30"/>
        <v>0</v>
      </c>
      <c r="BW55" s="1212">
        <f t="shared" ca="1" si="31"/>
        <v>0</v>
      </c>
      <c r="BX55" s="1213">
        <f t="shared" ca="1" si="32"/>
        <v>0</v>
      </c>
      <c r="BY55" s="1587">
        <f t="shared" ca="1" si="33"/>
        <v>0</v>
      </c>
      <c r="CB55" s="1212">
        <f t="shared" ca="1" si="34"/>
        <v>0</v>
      </c>
      <c r="CC55" s="1213">
        <f t="shared" ca="1" si="35"/>
        <v>0</v>
      </c>
      <c r="CD55" s="1587">
        <f t="shared" ca="1" si="36"/>
        <v>0</v>
      </c>
      <c r="CG55" s="1212">
        <f t="shared" ca="1" si="37"/>
        <v>0</v>
      </c>
      <c r="CH55" s="1213">
        <f t="shared" ca="1" si="38"/>
        <v>0</v>
      </c>
      <c r="CI55" s="1587">
        <f t="shared" ca="1" si="39"/>
        <v>0</v>
      </c>
      <c r="CL55" s="1212">
        <f t="shared" ca="1" si="40"/>
        <v>0</v>
      </c>
      <c r="CM55" s="1213">
        <f t="shared" ca="1" si="41"/>
        <v>0</v>
      </c>
      <c r="CN55" s="1587">
        <f t="shared" ca="1" si="42"/>
        <v>0</v>
      </c>
    </row>
    <row r="56" spans="1:92">
      <c r="A56" s="141" t="str">
        <f>'銀行-TSS'!A56</f>
        <v>US345370CA64</v>
      </c>
      <c r="B56" s="151" t="str">
        <f ca="1">VLOOKUP(A56,'銀行-TSS'!A:B,2,FALSE)</f>
        <v>XFN70</v>
      </c>
      <c r="C56" s="151" t="str">
        <f ca="1">VLOOKUP(B56,bond!B:C,2,FALSE)</f>
        <v>福特汽車公司美元配息債券 7.45% 2031/7/16</v>
      </c>
      <c r="D56" s="95" t="str">
        <f>VLOOKUP(A56,'銀行-TSS'!A:C,3,FALSE)</f>
        <v>USD</v>
      </c>
      <c r="E56" s="90">
        <f ca="1">VLOOKUP(A56,'銀行-TSS'!A:G,7,FALSE)</f>
        <v>7.04</v>
      </c>
      <c r="F56" s="202">
        <f ca="1">VLOOKUP(A56,'銀行-TSS'!A:H,8,FALSE)</f>
        <v>7.4499999999999997E-2</v>
      </c>
      <c r="G56" s="96">
        <f ca="1">VLOOKUP(A56,'銀行-TSS'!A:K,11,FALSE)</f>
        <v>113.76</v>
      </c>
      <c r="H56" s="1209">
        <f ca="1">VLOOKUP(A56,'銀行-TSS'!A:M,13,FALSE)</f>
        <v>5.6500000000000002E-2</v>
      </c>
      <c r="I56" s="1213">
        <f ca="1">VLOOKUP(A56,'銀行-TSS'!A:N,14,FALSE)</f>
        <v>10000</v>
      </c>
      <c r="J56" s="1213">
        <f ca="1">VLOOKUP(A56,'銀行-TSS'!A:O,15,FALSE)</f>
        <v>1000</v>
      </c>
      <c r="K56" s="136" t="str">
        <f ca="1">VLOOKUP(A56,'銀行-TSS'!A:V,22,FALSE)</f>
        <v>(PI)專投</v>
      </c>
      <c r="L56" s="136" t="str">
        <f ca="1">VLOOKUP(A56,'銀行-TSS'!A:AK,37,FALSE)</f>
        <v>有</v>
      </c>
      <c r="M56" s="136" t="str">
        <f ca="1">VLOOKUP(A56,'銀行-TSS'!A:AN,40,FALSE)</f>
        <v/>
      </c>
      <c r="N56" s="136">
        <f t="shared" ca="1" si="0"/>
        <v>1137.5999999999999</v>
      </c>
      <c r="O56" s="1213">
        <f t="shared" ca="1" si="1"/>
        <v>11376</v>
      </c>
      <c r="P56" s="1213">
        <f ca="1">IF(AND($O$1&gt;=O56,換券單檔!$D$13=D56),I56+INT(($O$1-O56)/N56)*J56,0)</f>
        <v>85000</v>
      </c>
      <c r="Q56" s="1213">
        <f t="shared" ca="1" si="2"/>
        <v>6332.5</v>
      </c>
      <c r="R56" s="1213">
        <f t="shared" ca="1" si="43"/>
        <v>85000</v>
      </c>
      <c r="S56" s="1213">
        <f t="shared" ca="1" si="44"/>
        <v>6332.5</v>
      </c>
      <c r="T56" s="136">
        <f ca="1">IF(OR(R56=0,A56=0),0,IF(AND(V56=TRUE,換券單檔!$D$13=D56),E56,0))</f>
        <v>7.04</v>
      </c>
      <c r="U56" s="861">
        <f ca="1">IF(OR(R56=0,A56=0),0,IF(AND(V56=TRUE,換券單檔!$D$13=D56),H56,0))</f>
        <v>5.6500000000000002E-2</v>
      </c>
      <c r="V56" s="136" t="b">
        <f ca="1">IF(OR(B56=換券單檔!$D$3,L56="無",M56&lt;&gt;"",K56="高資產",IFERROR(MATCH(B56,換券單檔!K:K,0),"N")&lt;&gt;"N"),FALSE,IF($V$1="All",TRUE,IF(K56=$V$1,TRUE,FALSE)))</f>
        <v>1</v>
      </c>
      <c r="W56" s="136">
        <f ca="1">VLOOKUP(A56,'銀行-TSS'!A:AO,41,FALSE)</f>
        <v>108.32</v>
      </c>
      <c r="X56" s="136">
        <f ca="1">VLOOKUP(A56,'銀行-TSS'!A:AP,42,FALSE)</f>
        <v>5.3428000000000004</v>
      </c>
      <c r="Y56" s="1220">
        <f t="shared" ca="1" si="3"/>
        <v>4919.2228160000004</v>
      </c>
      <c r="Z56" s="1220">
        <f t="shared" ca="1" si="4"/>
        <v>-25868.373579545452</v>
      </c>
      <c r="AA56" s="136">
        <f ca="1">IF(Z56&lt;=0,0,RANK(Z56,Z:Z)+COUNTIF($Z$3:$Z56,Z56)-1)</f>
        <v>0</v>
      </c>
      <c r="AB56" s="1211">
        <f t="shared" ca="1" si="5"/>
        <v>-24976.917183999998</v>
      </c>
      <c r="AC56" s="136">
        <f ca="1">IF(AB56&lt;=0,0,RANK(AB56,AB:AB)+COUNTIF($AB$3:$AB56,AB56)-1)</f>
        <v>0</v>
      </c>
      <c r="AD56" s="1123">
        <f t="shared" ca="1" si="6"/>
        <v>99999</v>
      </c>
      <c r="AE56" s="1123">
        <f ca="1">IF(AD56=99999,0,RANK(AD56,AD:AD,1)+COUNTIF($AD$3:$AD56,AD56)-1)</f>
        <v>0</v>
      </c>
      <c r="AF56" s="86" t="b">
        <f ca="1">IF(OR(M56&lt;&gt;"",L56="無",K56="高資產",IFERROR(MATCH(B56,換券單檔!K:K,0),"N")&lt;&gt;"N"),FALSE,TRUE)</f>
        <v>1</v>
      </c>
      <c r="AI56" s="1212">
        <f t="shared" ca="1" si="7"/>
        <v>85000</v>
      </c>
      <c r="AJ56" s="1213">
        <f t="shared" ca="1" si="8"/>
        <v>6332.5</v>
      </c>
      <c r="AK56" s="1587">
        <f t="shared" ca="1" si="9"/>
        <v>-25868.373579545452</v>
      </c>
      <c r="AN56" s="1212">
        <f t="shared" ca="1" si="10"/>
        <v>48000</v>
      </c>
      <c r="AO56" s="1213">
        <f t="shared" ca="1" si="11"/>
        <v>3576</v>
      </c>
      <c r="AP56" s="1587">
        <f t="shared" ca="1" si="12"/>
        <v>-100304.52840909091</v>
      </c>
      <c r="AS56" s="1212">
        <f t="shared" ca="1" si="13"/>
        <v>83000</v>
      </c>
      <c r="AT56" s="1213">
        <f t="shared" ca="1" si="14"/>
        <v>6183.5</v>
      </c>
      <c r="AU56" s="1587">
        <f t="shared" ca="1" si="15"/>
        <v>-30353.299715909092</v>
      </c>
      <c r="AX56" s="1212">
        <f t="shared" ca="1" si="16"/>
        <v>76000</v>
      </c>
      <c r="AY56" s="1213">
        <f t="shared" ca="1" si="17"/>
        <v>5662</v>
      </c>
      <c r="AZ56" s="1587">
        <f t="shared" ca="1" si="18"/>
        <v>-44622.23863636364</v>
      </c>
      <c r="BC56" s="1212">
        <f t="shared" ca="1" si="19"/>
        <v>0</v>
      </c>
      <c r="BD56" s="1213">
        <f t="shared" ca="1" si="20"/>
        <v>0</v>
      </c>
      <c r="BE56" s="1587">
        <f t="shared" ca="1" si="21"/>
        <v>0</v>
      </c>
      <c r="BH56" s="1212">
        <f t="shared" ca="1" si="22"/>
        <v>0</v>
      </c>
      <c r="BI56" s="1213">
        <f t="shared" ca="1" si="23"/>
        <v>0</v>
      </c>
      <c r="BJ56" s="1587">
        <f t="shared" ca="1" si="24"/>
        <v>0</v>
      </c>
      <c r="BM56" s="1212">
        <f t="shared" ca="1" si="25"/>
        <v>0</v>
      </c>
      <c r="BN56" s="1213">
        <f t="shared" ca="1" si="26"/>
        <v>0</v>
      </c>
      <c r="BO56" s="1587">
        <f t="shared" ca="1" si="27"/>
        <v>0</v>
      </c>
      <c r="BR56" s="1212">
        <f t="shared" ca="1" si="28"/>
        <v>0</v>
      </c>
      <c r="BS56" s="1213">
        <f t="shared" ca="1" si="29"/>
        <v>0</v>
      </c>
      <c r="BT56" s="1587">
        <f t="shared" ca="1" si="30"/>
        <v>0</v>
      </c>
      <c r="BW56" s="1212">
        <f t="shared" ca="1" si="31"/>
        <v>0</v>
      </c>
      <c r="BX56" s="1213">
        <f t="shared" ca="1" si="32"/>
        <v>0</v>
      </c>
      <c r="BY56" s="1587">
        <f t="shared" ca="1" si="33"/>
        <v>0</v>
      </c>
      <c r="CB56" s="1212">
        <f t="shared" ca="1" si="34"/>
        <v>0</v>
      </c>
      <c r="CC56" s="1213">
        <f t="shared" ca="1" si="35"/>
        <v>0</v>
      </c>
      <c r="CD56" s="1587">
        <f t="shared" ca="1" si="36"/>
        <v>0</v>
      </c>
      <c r="CG56" s="1212">
        <f t="shared" ca="1" si="37"/>
        <v>0</v>
      </c>
      <c r="CH56" s="1213">
        <f t="shared" ca="1" si="38"/>
        <v>0</v>
      </c>
      <c r="CI56" s="1587">
        <f t="shared" ca="1" si="39"/>
        <v>0</v>
      </c>
      <c r="CL56" s="1212">
        <f t="shared" ca="1" si="40"/>
        <v>0</v>
      </c>
      <c r="CM56" s="1213">
        <f t="shared" ca="1" si="41"/>
        <v>0</v>
      </c>
      <c r="CN56" s="1587">
        <f t="shared" ca="1" si="42"/>
        <v>0</v>
      </c>
    </row>
    <row r="57" spans="1:92">
      <c r="A57" s="141" t="str">
        <f>'銀行-TSS'!A57</f>
        <v>AU3CB0246239</v>
      </c>
      <c r="B57" s="151" t="str">
        <f ca="1">VLOOKUP(A57,'銀行-TSS'!A:B,2,FALSE)</f>
        <v>XFN80</v>
      </c>
      <c r="C57" s="151" t="str">
        <f ca="1">VLOOKUP(B57,bond!B:C,2,FALSE)</f>
        <v>威瑞森電信公司澳幣配息債券 4.5% 2027/8/17</v>
      </c>
      <c r="D57" s="95" t="str">
        <f>VLOOKUP(A57,'銀行-TSS'!A:C,3,FALSE)</f>
        <v>AUD</v>
      </c>
      <c r="E57" s="90">
        <f ca="1">VLOOKUP(A57,'銀行-TSS'!A:G,7,FALSE)</f>
        <v>3.12</v>
      </c>
      <c r="F57" s="202">
        <f ca="1">VLOOKUP(A57,'銀行-TSS'!A:H,8,FALSE)</f>
        <v>4.4999999999999998E-2</v>
      </c>
      <c r="G57" s="96">
        <f ca="1">VLOOKUP(A57,'銀行-TSS'!A:K,11,FALSE)</f>
        <v>103.26</v>
      </c>
      <c r="H57" s="1209">
        <f ca="1">VLOOKUP(A57,'銀行-TSS'!A:M,13,FALSE)</f>
        <v>3.9600000000000003E-2</v>
      </c>
      <c r="I57" s="1213">
        <f ca="1">VLOOKUP(A57,'銀行-TSS'!A:N,14,FALSE)</f>
        <v>10000</v>
      </c>
      <c r="J57" s="1213">
        <f ca="1">VLOOKUP(A57,'銀行-TSS'!A:O,15,FALSE)</f>
        <v>10000</v>
      </c>
      <c r="K57" s="136" t="str">
        <f ca="1">VLOOKUP(A57,'銀行-TSS'!A:V,22,FALSE)</f>
        <v>(NPI)非專投</v>
      </c>
      <c r="L57" s="136" t="str">
        <f ca="1">VLOOKUP(A57,'銀行-TSS'!A:AK,37,FALSE)</f>
        <v>無</v>
      </c>
      <c r="M57" s="136" t="str">
        <f ca="1">VLOOKUP(A57,'銀行-TSS'!A:AN,40,FALSE)</f>
        <v>XFN80</v>
      </c>
      <c r="N57" s="136">
        <f t="shared" ca="1" si="0"/>
        <v>10326</v>
      </c>
      <c r="O57" s="1213">
        <f t="shared" ca="1" si="1"/>
        <v>10326</v>
      </c>
      <c r="P57" s="1213">
        <f ca="1">IF(AND($O$1&gt;=O57,換券單檔!$D$13=D57),I57+INT(($O$1-O57)/N57)*J57,0)</f>
        <v>0</v>
      </c>
      <c r="Q57" s="1213">
        <f t="shared" ca="1" si="2"/>
        <v>0</v>
      </c>
      <c r="R57" s="1213">
        <f t="shared" ca="1" si="43"/>
        <v>0</v>
      </c>
      <c r="S57" s="1213">
        <f t="shared" ca="1" si="44"/>
        <v>0</v>
      </c>
      <c r="T57" s="136">
        <f ca="1">IF(OR(R57=0,A57=0),0,IF(AND(V57=TRUE,換券單檔!$D$13=D57),E57,0))</f>
        <v>0</v>
      </c>
      <c r="U57" s="861">
        <f ca="1">IF(OR(R57=0,A57=0),0,IF(AND(V57=TRUE,換券單檔!$D$13=D57),H57,0))</f>
        <v>0</v>
      </c>
      <c r="V57" s="136" t="b">
        <f ca="1">IF(OR(B57=換券單檔!$D$3,L57="無",M57&lt;&gt;"",K57="高資產",IFERROR(MATCH(B57,換券單檔!K:K,0),"N")&lt;&gt;"N"),FALSE,IF($V$1="All",TRUE,IF(K57=$V$1,TRUE,FALSE)))</f>
        <v>0</v>
      </c>
      <c r="W57" s="136">
        <f ca="1">VLOOKUP(A57,'銀行-TSS'!A:AO,41,FALSE)</f>
        <v>99.570000000000007</v>
      </c>
      <c r="X57" s="136">
        <f ca="1">VLOOKUP(A57,'銀行-TSS'!A:AP,42,FALSE)</f>
        <v>2.8348</v>
      </c>
      <c r="Y57" s="1220">
        <f t="shared" ca="1" si="3"/>
        <v>0</v>
      </c>
      <c r="Z57" s="1220">
        <f t="shared" ca="1" si="4"/>
        <v>0</v>
      </c>
      <c r="AA57" s="136">
        <f ca="1">IF(Z57&lt;=0,0,RANK(Z57,Z:Z)+COUNTIF($Z$3:$Z57,Z57)-1)</f>
        <v>0</v>
      </c>
      <c r="AB57" s="1211">
        <f t="shared" ca="1" si="5"/>
        <v>-14896.14</v>
      </c>
      <c r="AC57" s="136">
        <f ca="1">IF(AB57&lt;=0,0,RANK(AB57,AB:AB)+COUNTIF($AB$3:$AB57,AB57)-1)</f>
        <v>0</v>
      </c>
      <c r="AD57" s="1123">
        <f t="shared" ca="1" si="6"/>
        <v>99999</v>
      </c>
      <c r="AE57" s="1123">
        <f ca="1">IF(AD57=99999,0,RANK(AD57,AD:AD,1)+COUNTIF($AD$3:$AD57,AD57)-1)</f>
        <v>0</v>
      </c>
      <c r="AF57" s="86" t="b">
        <f ca="1">IF(OR(M57&lt;&gt;"",L57="無",K57="高資產",IFERROR(MATCH(B57,換券單檔!K:K,0),"N")&lt;&gt;"N"),FALSE,TRUE)</f>
        <v>0</v>
      </c>
      <c r="AI57" s="1212">
        <f t="shared" ca="1" si="7"/>
        <v>0</v>
      </c>
      <c r="AJ57" s="1213">
        <f t="shared" ca="1" si="8"/>
        <v>0</v>
      </c>
      <c r="AK57" s="1587">
        <f t="shared" ca="1" si="9"/>
        <v>0</v>
      </c>
      <c r="AN57" s="1212">
        <f t="shared" ca="1" si="10"/>
        <v>0</v>
      </c>
      <c r="AO57" s="1213">
        <f t="shared" ca="1" si="11"/>
        <v>0</v>
      </c>
      <c r="AP57" s="1587">
        <f t="shared" ca="1" si="12"/>
        <v>0</v>
      </c>
      <c r="AS57" s="1212">
        <f t="shared" ca="1" si="13"/>
        <v>0</v>
      </c>
      <c r="AT57" s="1213">
        <f t="shared" ca="1" si="14"/>
        <v>0</v>
      </c>
      <c r="AU57" s="1587">
        <f t="shared" ca="1" si="15"/>
        <v>0</v>
      </c>
      <c r="AX57" s="1212">
        <f t="shared" ca="1" si="16"/>
        <v>0</v>
      </c>
      <c r="AY57" s="1213">
        <f t="shared" ca="1" si="17"/>
        <v>0</v>
      </c>
      <c r="AZ57" s="1587">
        <f t="shared" ca="1" si="18"/>
        <v>0</v>
      </c>
      <c r="BC57" s="1212">
        <f t="shared" ca="1" si="19"/>
        <v>0</v>
      </c>
      <c r="BD57" s="1213">
        <f t="shared" ca="1" si="20"/>
        <v>0</v>
      </c>
      <c r="BE57" s="1587">
        <f t="shared" ca="1" si="21"/>
        <v>0</v>
      </c>
      <c r="BH57" s="1212">
        <f t="shared" ca="1" si="22"/>
        <v>0</v>
      </c>
      <c r="BI57" s="1213">
        <f t="shared" ca="1" si="23"/>
        <v>0</v>
      </c>
      <c r="BJ57" s="1587">
        <f t="shared" ca="1" si="24"/>
        <v>0</v>
      </c>
      <c r="BM57" s="1212">
        <f t="shared" ca="1" si="25"/>
        <v>0</v>
      </c>
      <c r="BN57" s="1213">
        <f t="shared" ca="1" si="26"/>
        <v>0</v>
      </c>
      <c r="BO57" s="1587">
        <f t="shared" ca="1" si="27"/>
        <v>0</v>
      </c>
      <c r="BR57" s="1212">
        <f t="shared" ca="1" si="28"/>
        <v>0</v>
      </c>
      <c r="BS57" s="1213">
        <f t="shared" ca="1" si="29"/>
        <v>0</v>
      </c>
      <c r="BT57" s="1587">
        <f t="shared" ca="1" si="30"/>
        <v>0</v>
      </c>
      <c r="BW57" s="1212">
        <f t="shared" ca="1" si="31"/>
        <v>0</v>
      </c>
      <c r="BX57" s="1213">
        <f t="shared" ca="1" si="32"/>
        <v>0</v>
      </c>
      <c r="BY57" s="1587">
        <f t="shared" ca="1" si="33"/>
        <v>0</v>
      </c>
      <c r="CB57" s="1212">
        <f t="shared" ca="1" si="34"/>
        <v>0</v>
      </c>
      <c r="CC57" s="1213">
        <f t="shared" ca="1" si="35"/>
        <v>0</v>
      </c>
      <c r="CD57" s="1587">
        <f t="shared" ca="1" si="36"/>
        <v>0</v>
      </c>
      <c r="CG57" s="1212">
        <f t="shared" ca="1" si="37"/>
        <v>0</v>
      </c>
      <c r="CH57" s="1213">
        <f t="shared" ca="1" si="38"/>
        <v>0</v>
      </c>
      <c r="CI57" s="1587">
        <f t="shared" ca="1" si="39"/>
        <v>0</v>
      </c>
      <c r="CL57" s="1212">
        <f t="shared" ca="1" si="40"/>
        <v>0</v>
      </c>
      <c r="CM57" s="1213">
        <f t="shared" ca="1" si="41"/>
        <v>0</v>
      </c>
      <c r="CN57" s="1587">
        <f t="shared" ca="1" si="42"/>
        <v>0</v>
      </c>
    </row>
    <row r="58" spans="1:92">
      <c r="A58" s="141" t="str">
        <f>'銀行-TSS'!A58</f>
        <v>XS1793255198</v>
      </c>
      <c r="B58" s="151" t="str">
        <f ca="1">VLOOKUP(A58,'銀行-TSS'!A:B,2,FALSE)</f>
        <v>XFN90</v>
      </c>
      <c r="C58" s="151" t="str">
        <f ca="1">VLOOKUP(B58,bond!B:C,2,FALSE)</f>
        <v>軟體銀行公司美元配息債券 6.25% 2028/4/15</v>
      </c>
      <c r="D58" s="95" t="str">
        <f>VLOOKUP(A58,'銀行-TSS'!A:C,3,FALSE)</f>
        <v>USD</v>
      </c>
      <c r="E58" s="90">
        <f ca="1">VLOOKUP(A58,'銀行-TSS'!A:G,7,FALSE)</f>
        <v>3.78</v>
      </c>
      <c r="F58" s="202">
        <f ca="1">VLOOKUP(A58,'銀行-TSS'!A:H,8,FALSE)</f>
        <v>6.25E-2</v>
      </c>
      <c r="G58" s="96">
        <f ca="1">VLOOKUP(A58,'銀行-TSS'!A:K,11,FALSE)</f>
        <v>102.32</v>
      </c>
      <c r="H58" s="1209">
        <f ca="1">VLOOKUP(A58,'銀行-TSS'!A:M,13,FALSE)</f>
        <v>5.96E-2</v>
      </c>
      <c r="I58" s="1213">
        <f ca="1">VLOOKUP(A58,'銀行-TSS'!A:N,14,FALSE)</f>
        <v>200000</v>
      </c>
      <c r="J58" s="1213">
        <f ca="1">VLOOKUP(A58,'銀行-TSS'!A:O,15,FALSE)</f>
        <v>1000</v>
      </c>
      <c r="K58" s="136" t="str">
        <f ca="1">VLOOKUP(A58,'銀行-TSS'!A:V,22,FALSE)</f>
        <v>(PI)專投</v>
      </c>
      <c r="L58" s="136" t="str">
        <f ca="1">VLOOKUP(A58,'銀行-TSS'!A:AK,37,FALSE)</f>
        <v>無</v>
      </c>
      <c r="M58" s="136" t="str">
        <f ca="1">VLOOKUP(A58,'銀行-TSS'!A:AN,40,FALSE)</f>
        <v/>
      </c>
      <c r="N58" s="136">
        <f t="shared" ca="1" si="0"/>
        <v>1023.2</v>
      </c>
      <c r="O58" s="1213">
        <f t="shared" ca="1" si="1"/>
        <v>204640</v>
      </c>
      <c r="P58" s="1213">
        <f ca="1">IF(AND($O$1&gt;=O58,換券單檔!$D$13=D58),I58+INT(($O$1-O58)/N58)*J58,0)</f>
        <v>0</v>
      </c>
      <c r="Q58" s="1213">
        <f t="shared" ca="1" si="2"/>
        <v>0</v>
      </c>
      <c r="R58" s="1213">
        <f t="shared" ca="1" si="43"/>
        <v>0</v>
      </c>
      <c r="S58" s="1213">
        <f t="shared" ca="1" si="44"/>
        <v>0</v>
      </c>
      <c r="T58" s="136">
        <f ca="1">IF(OR(R58=0,A58=0),0,IF(AND(V58=TRUE,換券單檔!$D$13=D58),E58,0))</f>
        <v>0</v>
      </c>
      <c r="U58" s="861">
        <f ca="1">IF(OR(R58=0,A58=0),0,IF(AND(V58=TRUE,換券單檔!$D$13=D58),H58,0))</f>
        <v>0</v>
      </c>
      <c r="V58" s="136" t="b">
        <f ca="1">IF(OR(B58=換券單檔!$D$3,L58="無",M58&lt;&gt;"",K58="高資產",IFERROR(MATCH(B58,換券單檔!K:K,0),"N")&lt;&gt;"N"),FALSE,IF($V$1="All",TRUE,IF(K58=$V$1,TRUE,FALSE)))</f>
        <v>0</v>
      </c>
      <c r="W58" s="136">
        <f ca="1">VLOOKUP(A58,'銀行-TSS'!A:AO,41,FALSE)</f>
        <v>99.47</v>
      </c>
      <c r="X58" s="136">
        <f ca="1">VLOOKUP(A58,'銀行-TSS'!A:AP,42,FALSE)</f>
        <v>3.2786</v>
      </c>
      <c r="Y58" s="1220">
        <f t="shared" ca="1" si="3"/>
        <v>0</v>
      </c>
      <c r="Z58" s="1220">
        <f t="shared" ca="1" si="4"/>
        <v>0</v>
      </c>
      <c r="AA58" s="136">
        <f ca="1">IF(Z58&lt;=0,0,RANK(Z58,Z:Z)+COUNTIF($Z$3:$Z58,Z58)-1)</f>
        <v>0</v>
      </c>
      <c r="AB58" s="1211">
        <f t="shared" ca="1" si="5"/>
        <v>-14896.14</v>
      </c>
      <c r="AC58" s="136">
        <f ca="1">IF(AB58&lt;=0,0,RANK(AB58,AB:AB)+COUNTIF($AB$3:$AB58,AB58)-1)</f>
        <v>0</v>
      </c>
      <c r="AD58" s="1123">
        <f t="shared" ca="1" si="6"/>
        <v>99999</v>
      </c>
      <c r="AE58" s="1123">
        <f ca="1">IF(AD58=99999,0,RANK(AD58,AD:AD,1)+COUNTIF($AD$3:$AD58,AD58)-1)</f>
        <v>0</v>
      </c>
      <c r="AF58" s="86" t="b">
        <f ca="1">IF(OR(M58&lt;&gt;"",L58="無",K58="高資產",IFERROR(MATCH(B58,換券單檔!K:K,0),"N")&lt;&gt;"N"),FALSE,TRUE)</f>
        <v>0</v>
      </c>
      <c r="AI58" s="1212">
        <f t="shared" ca="1" si="7"/>
        <v>0</v>
      </c>
      <c r="AJ58" s="1213">
        <f t="shared" ca="1" si="8"/>
        <v>0</v>
      </c>
      <c r="AK58" s="1587">
        <f t="shared" ca="1" si="9"/>
        <v>0</v>
      </c>
      <c r="AN58" s="1212">
        <f t="shared" ca="1" si="10"/>
        <v>0</v>
      </c>
      <c r="AO58" s="1213">
        <f t="shared" ca="1" si="11"/>
        <v>0</v>
      </c>
      <c r="AP58" s="1587">
        <f t="shared" ca="1" si="12"/>
        <v>0</v>
      </c>
      <c r="AS58" s="1212">
        <f t="shared" ca="1" si="13"/>
        <v>0</v>
      </c>
      <c r="AT58" s="1213">
        <f t="shared" ca="1" si="14"/>
        <v>0</v>
      </c>
      <c r="AU58" s="1587">
        <f t="shared" ca="1" si="15"/>
        <v>0</v>
      </c>
      <c r="AX58" s="1212">
        <f t="shared" ca="1" si="16"/>
        <v>0</v>
      </c>
      <c r="AY58" s="1213">
        <f t="shared" ca="1" si="17"/>
        <v>0</v>
      </c>
      <c r="AZ58" s="1587">
        <f t="shared" ca="1" si="18"/>
        <v>0</v>
      </c>
      <c r="BC58" s="1212">
        <f t="shared" ca="1" si="19"/>
        <v>0</v>
      </c>
      <c r="BD58" s="1213">
        <f t="shared" ca="1" si="20"/>
        <v>0</v>
      </c>
      <c r="BE58" s="1587">
        <f t="shared" ca="1" si="21"/>
        <v>0</v>
      </c>
      <c r="BH58" s="1212">
        <f t="shared" ca="1" si="22"/>
        <v>0</v>
      </c>
      <c r="BI58" s="1213">
        <f t="shared" ca="1" si="23"/>
        <v>0</v>
      </c>
      <c r="BJ58" s="1587">
        <f t="shared" ca="1" si="24"/>
        <v>0</v>
      </c>
      <c r="BM58" s="1212">
        <f t="shared" ca="1" si="25"/>
        <v>0</v>
      </c>
      <c r="BN58" s="1213">
        <f t="shared" ca="1" si="26"/>
        <v>0</v>
      </c>
      <c r="BO58" s="1587">
        <f t="shared" ca="1" si="27"/>
        <v>0</v>
      </c>
      <c r="BR58" s="1212">
        <f t="shared" ca="1" si="28"/>
        <v>0</v>
      </c>
      <c r="BS58" s="1213">
        <f t="shared" ca="1" si="29"/>
        <v>0</v>
      </c>
      <c r="BT58" s="1587">
        <f t="shared" ca="1" si="30"/>
        <v>0</v>
      </c>
      <c r="BW58" s="1212">
        <f t="shared" ca="1" si="31"/>
        <v>0</v>
      </c>
      <c r="BX58" s="1213">
        <f t="shared" ca="1" si="32"/>
        <v>0</v>
      </c>
      <c r="BY58" s="1587">
        <f t="shared" ca="1" si="33"/>
        <v>0</v>
      </c>
      <c r="CB58" s="1212">
        <f t="shared" ca="1" si="34"/>
        <v>0</v>
      </c>
      <c r="CC58" s="1213">
        <f t="shared" ca="1" si="35"/>
        <v>0</v>
      </c>
      <c r="CD58" s="1587">
        <f t="shared" ca="1" si="36"/>
        <v>0</v>
      </c>
      <c r="CG58" s="1212">
        <f t="shared" ca="1" si="37"/>
        <v>0</v>
      </c>
      <c r="CH58" s="1213">
        <f t="shared" ca="1" si="38"/>
        <v>0</v>
      </c>
      <c r="CI58" s="1587">
        <f t="shared" ca="1" si="39"/>
        <v>0</v>
      </c>
      <c r="CL58" s="1212">
        <f t="shared" ca="1" si="40"/>
        <v>0</v>
      </c>
      <c r="CM58" s="1213">
        <f t="shared" ca="1" si="41"/>
        <v>0</v>
      </c>
      <c r="CN58" s="1587">
        <f t="shared" ca="1" si="42"/>
        <v>0</v>
      </c>
    </row>
    <row r="59" spans="1:92">
      <c r="A59" s="141" t="str">
        <f>'銀行-TSS'!A59</f>
        <v>US55608KAN54</v>
      </c>
      <c r="B59" s="151" t="str">
        <f ca="1">VLOOKUP(A59,'銀行-TSS'!A:B,2,FALSE)</f>
        <v>XFO10</v>
      </c>
      <c r="C59" s="151" t="str">
        <f ca="1">VLOOKUP(B59,bond!B:C,2,FALSE)</f>
        <v>麥格理集團美元配息債券 4.654% 2029/3/27</v>
      </c>
      <c r="D59" s="95" t="str">
        <f>VLOOKUP(A59,'銀行-TSS'!A:C,3,FALSE)</f>
        <v>USD</v>
      </c>
      <c r="E59" s="90">
        <f ca="1">VLOOKUP(A59,'銀行-TSS'!A:G,7,FALSE)</f>
        <v>4.7300000000000004</v>
      </c>
      <c r="F59" s="202">
        <f ca="1">VLOOKUP(A59,'銀行-TSS'!A:H,8,FALSE)</f>
        <v>4.6539999999999998E-2</v>
      </c>
      <c r="G59" s="96">
        <f ca="1">VLOOKUP(A59,'銀行-TSS'!A:K,11,FALSE)</f>
        <v>102.35</v>
      </c>
      <c r="H59" s="1209">
        <f ca="1">VLOOKUP(A59,'銀行-TSS'!A:M,13,FALSE)</f>
        <v>4.9000000000000002E-2</v>
      </c>
      <c r="I59" s="1213">
        <f ca="1">VLOOKUP(A59,'銀行-TSS'!A:N,14,FALSE)</f>
        <v>10000</v>
      </c>
      <c r="J59" s="1213">
        <f ca="1">VLOOKUP(A59,'銀行-TSS'!A:O,15,FALSE)</f>
        <v>1000</v>
      </c>
      <c r="K59" s="136" t="str">
        <f ca="1">VLOOKUP(A59,'銀行-TSS'!A:V,22,FALSE)</f>
        <v>(NPI)非專投</v>
      </c>
      <c r="L59" s="136" t="str">
        <f ca="1">VLOOKUP(A59,'銀行-TSS'!A:AK,37,FALSE)</f>
        <v>需查詢</v>
      </c>
      <c r="M59" s="136" t="str">
        <f ca="1">VLOOKUP(A59,'銀行-TSS'!A:AN,40,FALSE)</f>
        <v/>
      </c>
      <c r="N59" s="136">
        <f t="shared" ca="1" si="0"/>
        <v>1023.5</v>
      </c>
      <c r="O59" s="1213">
        <f t="shared" ca="1" si="1"/>
        <v>10235</v>
      </c>
      <c r="P59" s="1213">
        <f ca="1">IF(AND($O$1&gt;=O59,換券單檔!$D$13=D59),I59+INT(($O$1-O59)/N59)*J59,0)</f>
        <v>94000</v>
      </c>
      <c r="Q59" s="1213">
        <f t="shared" ca="1" si="2"/>
        <v>4374.76</v>
      </c>
      <c r="R59" s="1213">
        <f t="shared" ca="1" si="43"/>
        <v>94000</v>
      </c>
      <c r="S59" s="1213">
        <f t="shared" ca="1" si="44"/>
        <v>4374.76</v>
      </c>
      <c r="T59" s="136">
        <f ca="1">IF(OR(R59=0,A59=0),0,IF(AND(V59=TRUE,換券單檔!$D$13=D59),E59,0))</f>
        <v>4.7300000000000004</v>
      </c>
      <c r="U59" s="861">
        <f ca="1">IF(OR(R59=0,A59=0),0,IF(AND(V59=TRUE,換券單檔!$D$13=D59),H59,0))</f>
        <v>4.9000000000000002E-2</v>
      </c>
      <c r="V59" s="136" t="b">
        <f ca="1">IF(OR(B59=換券單檔!$D$3,L59="無",M59&lt;&gt;"",K59="高資產",IFERROR(MATCH(B59,換券單檔!K:K,0),"N")&lt;&gt;"N"),FALSE,IF($V$1="All",TRUE,IF(K59=$V$1,TRUE,FALSE)))</f>
        <v>1</v>
      </c>
      <c r="W59" s="136">
        <f ca="1">VLOOKUP(A59,'銀行-TSS'!A:AO,41,FALSE)</f>
        <v>99.12</v>
      </c>
      <c r="X59" s="136">
        <f ca="1">VLOOKUP(A59,'銀行-TSS'!A:AP,42,FALSE)</f>
        <v>3.3496000000000001</v>
      </c>
      <c r="Y59" s="1220">
        <f t="shared" ca="1" si="3"/>
        <v>3120.9161088000005</v>
      </c>
      <c r="Z59" s="1220">
        <f t="shared" ca="1" si="4"/>
        <v>0</v>
      </c>
      <c r="AA59" s="136">
        <f ca="1">IF(Z59&lt;=0,0,RANK(Z59,Z:Z)+COUNTIF($Z$3:$Z59,Z59)-1)</f>
        <v>0</v>
      </c>
      <c r="AB59" s="1211">
        <f t="shared" ca="1" si="5"/>
        <v>-17775.223891199999</v>
      </c>
      <c r="AC59" s="136">
        <f ca="1">IF(AB59&lt;=0,0,RANK(AB59,AB:AB)+COUNTIF($AB$3:$AB59,AB59)-1)</f>
        <v>0</v>
      </c>
      <c r="AD59" s="1123">
        <f t="shared" ca="1" si="6"/>
        <v>99999</v>
      </c>
      <c r="AE59" s="1123">
        <f ca="1">IF(AD59=99999,0,RANK(AD59,AD:AD,1)+COUNTIF($AD$3:$AD59,AD59)-1)</f>
        <v>0</v>
      </c>
      <c r="AF59" s="86" t="b">
        <f ca="1">IF(OR(M59&lt;&gt;"",L59="無",K59="高資產",IFERROR(MATCH(B59,換券單檔!K:K,0),"N")&lt;&gt;"N"),FALSE,TRUE)</f>
        <v>1</v>
      </c>
      <c r="AI59" s="1212">
        <f t="shared" ca="1" si="7"/>
        <v>94000</v>
      </c>
      <c r="AJ59" s="1213">
        <f t="shared" ca="1" si="8"/>
        <v>4374.76</v>
      </c>
      <c r="AK59" s="1587">
        <f t="shared" ca="1" si="9"/>
        <v>0</v>
      </c>
      <c r="AN59" s="1212">
        <f t="shared" ca="1" si="10"/>
        <v>54000</v>
      </c>
      <c r="AO59" s="1213">
        <f t="shared" ca="1" si="11"/>
        <v>2513.16</v>
      </c>
      <c r="AP59" s="1587">
        <f t="shared" ca="1" si="12"/>
        <v>0</v>
      </c>
      <c r="AS59" s="1212">
        <f t="shared" ca="1" si="13"/>
        <v>92000</v>
      </c>
      <c r="AT59" s="1213">
        <f t="shared" ca="1" si="14"/>
        <v>4281.6799999999994</v>
      </c>
      <c r="AU59" s="1587">
        <f t="shared" ca="1" si="15"/>
        <v>0</v>
      </c>
      <c r="AX59" s="1212">
        <f t="shared" ca="1" si="16"/>
        <v>84000</v>
      </c>
      <c r="AY59" s="1213">
        <f t="shared" ca="1" si="17"/>
        <v>3909.3599999999997</v>
      </c>
      <c r="AZ59" s="1587">
        <f t="shared" ca="1" si="18"/>
        <v>0</v>
      </c>
      <c r="BC59" s="1212">
        <f t="shared" ca="1" si="19"/>
        <v>0</v>
      </c>
      <c r="BD59" s="1213">
        <f t="shared" ca="1" si="20"/>
        <v>0</v>
      </c>
      <c r="BE59" s="1587">
        <f t="shared" ca="1" si="21"/>
        <v>0</v>
      </c>
      <c r="BH59" s="1212">
        <f t="shared" ca="1" si="22"/>
        <v>0</v>
      </c>
      <c r="BI59" s="1213">
        <f t="shared" ca="1" si="23"/>
        <v>0</v>
      </c>
      <c r="BJ59" s="1587">
        <f t="shared" ca="1" si="24"/>
        <v>0</v>
      </c>
      <c r="BM59" s="1212">
        <f t="shared" ca="1" si="25"/>
        <v>0</v>
      </c>
      <c r="BN59" s="1213">
        <f t="shared" ca="1" si="26"/>
        <v>0</v>
      </c>
      <c r="BO59" s="1587">
        <f t="shared" ca="1" si="27"/>
        <v>0</v>
      </c>
      <c r="BR59" s="1212">
        <f t="shared" ca="1" si="28"/>
        <v>0</v>
      </c>
      <c r="BS59" s="1213">
        <f t="shared" ca="1" si="29"/>
        <v>0</v>
      </c>
      <c r="BT59" s="1587">
        <f t="shared" ca="1" si="30"/>
        <v>0</v>
      </c>
      <c r="BW59" s="1212">
        <f t="shared" ca="1" si="31"/>
        <v>0</v>
      </c>
      <c r="BX59" s="1213">
        <f t="shared" ca="1" si="32"/>
        <v>0</v>
      </c>
      <c r="BY59" s="1587">
        <f t="shared" ca="1" si="33"/>
        <v>0</v>
      </c>
      <c r="CB59" s="1212">
        <f t="shared" ca="1" si="34"/>
        <v>0</v>
      </c>
      <c r="CC59" s="1213">
        <f t="shared" ca="1" si="35"/>
        <v>0</v>
      </c>
      <c r="CD59" s="1587">
        <f t="shared" ca="1" si="36"/>
        <v>0</v>
      </c>
      <c r="CG59" s="1212">
        <f t="shared" ca="1" si="37"/>
        <v>0</v>
      </c>
      <c r="CH59" s="1213">
        <f t="shared" ca="1" si="38"/>
        <v>0</v>
      </c>
      <c r="CI59" s="1587">
        <f t="shared" ca="1" si="39"/>
        <v>0</v>
      </c>
      <c r="CL59" s="1212">
        <f t="shared" ca="1" si="40"/>
        <v>0</v>
      </c>
      <c r="CM59" s="1213">
        <f t="shared" ca="1" si="41"/>
        <v>0</v>
      </c>
      <c r="CN59" s="1587">
        <f t="shared" ca="1" si="42"/>
        <v>0</v>
      </c>
    </row>
    <row r="60" spans="1:92">
      <c r="A60" s="141" t="str">
        <f>'銀行-TSS'!A60</f>
        <v>CAG5533WBW69</v>
      </c>
      <c r="B60" s="151" t="str">
        <f ca="1">VLOOKUP(A60,'銀行-TSS'!A:B,2,FALSE)</f>
        <v>XFO20</v>
      </c>
      <c r="C60" s="151" t="str">
        <f ca="1">VLOOKUP(B60,bond!B:C,2,FALSE)</f>
        <v>駿懋銀行集團加幣配息債券 3.5% 2025/2/3</v>
      </c>
      <c r="D60" s="95" t="str">
        <f>VLOOKUP(A60,'銀行-TSS'!A:C,3,FALSE)</f>
        <v>CAD</v>
      </c>
      <c r="E60" s="90">
        <f ca="1">VLOOKUP(A60,'銀行-TSS'!A:G,7,FALSE)</f>
        <v>0.59</v>
      </c>
      <c r="F60" s="202">
        <f ca="1">VLOOKUP(A60,'銀行-TSS'!A:H,8,FALSE)</f>
        <v>3.5000000000000003E-2</v>
      </c>
      <c r="G60" s="96">
        <f ca="1">VLOOKUP(A60,'銀行-TSS'!A:K,11,FALSE)</f>
        <v>101.19</v>
      </c>
      <c r="H60" s="1209">
        <f ca="1">VLOOKUP(A60,'銀行-TSS'!A:M,13,FALSE)</f>
        <v>3.9300000000000002E-2</v>
      </c>
      <c r="I60" s="1213">
        <f ca="1">VLOOKUP(A60,'銀行-TSS'!A:N,14,FALSE)</f>
        <v>200000</v>
      </c>
      <c r="J60" s="1213">
        <f ca="1">VLOOKUP(A60,'銀行-TSS'!A:O,15,FALSE)</f>
        <v>1000</v>
      </c>
      <c r="K60" s="136" t="str">
        <f ca="1">VLOOKUP(A60,'銀行-TSS'!A:V,22,FALSE)</f>
        <v>(PI)專投</v>
      </c>
      <c r="L60" s="136" t="str">
        <f ca="1">VLOOKUP(A60,'銀行-TSS'!A:AK,37,FALSE)</f>
        <v>有</v>
      </c>
      <c r="M60" s="136" t="str">
        <f ca="1">VLOOKUP(A60,'銀行-TSS'!A:AN,40,FALSE)</f>
        <v/>
      </c>
      <c r="N60" s="136">
        <f t="shared" ca="1" si="0"/>
        <v>1011.9</v>
      </c>
      <c r="O60" s="1213">
        <f t="shared" ca="1" si="1"/>
        <v>202380</v>
      </c>
      <c r="P60" s="1213">
        <f ca="1">IF(AND($O$1&gt;=O60,換券單檔!$D$13=D60),I60+INT(($O$1-O60)/N60)*J60,0)</f>
        <v>0</v>
      </c>
      <c r="Q60" s="1213">
        <f t="shared" ca="1" si="2"/>
        <v>0</v>
      </c>
      <c r="R60" s="1213">
        <f t="shared" ca="1" si="43"/>
        <v>0</v>
      </c>
      <c r="S60" s="1213">
        <f t="shared" ca="1" si="44"/>
        <v>0</v>
      </c>
      <c r="T60" s="136">
        <f ca="1">IF(OR(R60=0,A60=0),0,IF(AND(V60=TRUE,換券單檔!$D$13=D60),E60,0))</f>
        <v>0</v>
      </c>
      <c r="U60" s="861">
        <f ca="1">IF(OR(R60=0,A60=0),0,IF(AND(V60=TRUE,換券單檔!$D$13=D60),H60,0))</f>
        <v>0</v>
      </c>
      <c r="V60" s="136" t="b">
        <f ca="1">IF(OR(B60=換券單檔!$D$3,L60="無",M60&lt;&gt;"",K60="高資產",IFERROR(MATCH(B60,換券單檔!K:K,0),"N")&lt;&gt;"N"),FALSE,IF($V$1="All",TRUE,IF(K60=$V$1,TRUE,FALSE)))</f>
        <v>1</v>
      </c>
      <c r="W60" s="136">
        <f ca="1">VLOOKUP(A60,'銀行-TSS'!A:AO,41,FALSE)</f>
        <v>99.550000000000011</v>
      </c>
      <c r="X60" s="136">
        <f ca="1">VLOOKUP(A60,'銀行-TSS'!A:AP,42,FALSE)</f>
        <v>0.55369999999999997</v>
      </c>
      <c r="Y60" s="1220">
        <f t="shared" ca="1" si="3"/>
        <v>0</v>
      </c>
      <c r="Z60" s="1220">
        <f t="shared" ca="1" si="4"/>
        <v>0</v>
      </c>
      <c r="AA60" s="136">
        <f ca="1">IF(Z60&lt;=0,0,RANK(Z60,Z:Z)+COUNTIF($Z$3:$Z60,Z60)-1)</f>
        <v>0</v>
      </c>
      <c r="AB60" s="1211">
        <f t="shared" ca="1" si="5"/>
        <v>-114896.14</v>
      </c>
      <c r="AC60" s="136">
        <f ca="1">IF(AB60&lt;=0,0,RANK(AB60,AB:AB)+COUNTIF($AB$3:$AB60,AB60)-1)</f>
        <v>0</v>
      </c>
      <c r="AD60" s="1123">
        <f t="shared" ca="1" si="6"/>
        <v>99999</v>
      </c>
      <c r="AE60" s="1123">
        <f ca="1">IF(AD60=99999,0,RANK(AD60,AD:AD,1)+COUNTIF($AD$3:$AD60,AD60)-1)</f>
        <v>0</v>
      </c>
      <c r="AF60" s="86" t="b">
        <f ca="1">IF(OR(M60&lt;&gt;"",L60="無",K60="高資產",IFERROR(MATCH(B60,換券單檔!K:K,0),"N")&lt;&gt;"N"),FALSE,TRUE)</f>
        <v>1</v>
      </c>
      <c r="AI60" s="1212">
        <f t="shared" ca="1" si="7"/>
        <v>0</v>
      </c>
      <c r="AJ60" s="1213">
        <f t="shared" ca="1" si="8"/>
        <v>0</v>
      </c>
      <c r="AK60" s="1587">
        <f t="shared" ca="1" si="9"/>
        <v>0</v>
      </c>
      <c r="AN60" s="1212">
        <f t="shared" ca="1" si="10"/>
        <v>0</v>
      </c>
      <c r="AO60" s="1213">
        <f t="shared" ca="1" si="11"/>
        <v>0</v>
      </c>
      <c r="AP60" s="1587">
        <f t="shared" ca="1" si="12"/>
        <v>0</v>
      </c>
      <c r="AS60" s="1212">
        <f t="shared" ca="1" si="13"/>
        <v>0</v>
      </c>
      <c r="AT60" s="1213">
        <f t="shared" ca="1" si="14"/>
        <v>0</v>
      </c>
      <c r="AU60" s="1587">
        <f t="shared" ca="1" si="15"/>
        <v>0</v>
      </c>
      <c r="AX60" s="1212">
        <f t="shared" ca="1" si="16"/>
        <v>0</v>
      </c>
      <c r="AY60" s="1213">
        <f t="shared" ca="1" si="17"/>
        <v>0</v>
      </c>
      <c r="AZ60" s="1587">
        <f t="shared" ca="1" si="18"/>
        <v>0</v>
      </c>
      <c r="BC60" s="1212">
        <f t="shared" ca="1" si="19"/>
        <v>0</v>
      </c>
      <c r="BD60" s="1213">
        <f t="shared" ca="1" si="20"/>
        <v>0</v>
      </c>
      <c r="BE60" s="1587">
        <f t="shared" ca="1" si="21"/>
        <v>0</v>
      </c>
      <c r="BH60" s="1212">
        <f t="shared" ca="1" si="22"/>
        <v>0</v>
      </c>
      <c r="BI60" s="1213">
        <f t="shared" ca="1" si="23"/>
        <v>0</v>
      </c>
      <c r="BJ60" s="1587">
        <f t="shared" ca="1" si="24"/>
        <v>0</v>
      </c>
      <c r="BM60" s="1212">
        <f t="shared" ca="1" si="25"/>
        <v>0</v>
      </c>
      <c r="BN60" s="1213">
        <f t="shared" ca="1" si="26"/>
        <v>0</v>
      </c>
      <c r="BO60" s="1587">
        <f t="shared" ca="1" si="27"/>
        <v>0</v>
      </c>
      <c r="BR60" s="1212">
        <f t="shared" ca="1" si="28"/>
        <v>0</v>
      </c>
      <c r="BS60" s="1213">
        <f t="shared" ca="1" si="29"/>
        <v>0</v>
      </c>
      <c r="BT60" s="1587">
        <f t="shared" ca="1" si="30"/>
        <v>0</v>
      </c>
      <c r="BW60" s="1212">
        <f t="shared" ca="1" si="31"/>
        <v>0</v>
      </c>
      <c r="BX60" s="1213">
        <f t="shared" ca="1" si="32"/>
        <v>0</v>
      </c>
      <c r="BY60" s="1587">
        <f t="shared" ca="1" si="33"/>
        <v>0</v>
      </c>
      <c r="CB60" s="1212">
        <f t="shared" ca="1" si="34"/>
        <v>0</v>
      </c>
      <c r="CC60" s="1213">
        <f t="shared" ca="1" si="35"/>
        <v>0</v>
      </c>
      <c r="CD60" s="1587">
        <f t="shared" ca="1" si="36"/>
        <v>0</v>
      </c>
      <c r="CG60" s="1212">
        <f t="shared" ca="1" si="37"/>
        <v>0</v>
      </c>
      <c r="CH60" s="1213">
        <f t="shared" ca="1" si="38"/>
        <v>0</v>
      </c>
      <c r="CI60" s="1587">
        <f t="shared" ca="1" si="39"/>
        <v>0</v>
      </c>
      <c r="CL60" s="1212">
        <f t="shared" ca="1" si="40"/>
        <v>0</v>
      </c>
      <c r="CM60" s="1213">
        <f t="shared" ca="1" si="41"/>
        <v>0</v>
      </c>
      <c r="CN60" s="1587">
        <f t="shared" ca="1" si="42"/>
        <v>0</v>
      </c>
    </row>
    <row r="61" spans="1:92">
      <c r="A61" s="141" t="str">
        <f>'銀行-TSS'!A61</f>
        <v>NZLGFDT007C4</v>
      </c>
      <c r="B61" s="151" t="str">
        <f ca="1">VLOOKUP(A61,'銀行-TSS'!A:B,2,FALSE)</f>
        <v>XFO30</v>
      </c>
      <c r="C61" s="151" t="str">
        <f ca="1">VLOOKUP(B61,bond!B:C,2,FALSE)</f>
        <v>紐西蘭地方政府紐幣配息債券 4.5% 2027/4/15</v>
      </c>
      <c r="D61" s="95" t="str">
        <f>VLOOKUP(A61,'銀行-TSS'!A:C,3,FALSE)</f>
        <v>NZD</v>
      </c>
      <c r="E61" s="90">
        <f ca="1">VLOOKUP(A61,'銀行-TSS'!A:G,7,FALSE)</f>
        <v>2.78</v>
      </c>
      <c r="F61" s="202">
        <f ca="1">VLOOKUP(A61,'銀行-TSS'!A:H,8,FALSE)</f>
        <v>4.4999999999999998E-2</v>
      </c>
      <c r="G61" s="96">
        <f ca="1">VLOOKUP(A61,'銀行-TSS'!A:K,11,FALSE)</f>
        <v>101.96</v>
      </c>
      <c r="H61" s="1209">
        <f ca="1">VLOOKUP(A61,'銀行-TSS'!A:M,13,FALSE)</f>
        <v>4.1200000000000001E-2</v>
      </c>
      <c r="I61" s="1213">
        <f ca="1">VLOOKUP(A61,'銀行-TSS'!A:N,14,FALSE)</f>
        <v>10000</v>
      </c>
      <c r="J61" s="1213">
        <f ca="1">VLOOKUP(A61,'銀行-TSS'!A:O,15,FALSE)</f>
        <v>1000</v>
      </c>
      <c r="K61" s="136" t="str">
        <f ca="1">VLOOKUP(A61,'銀行-TSS'!A:V,22,FALSE)</f>
        <v>(NPI)非專投</v>
      </c>
      <c r="L61" s="136" t="str">
        <f ca="1">VLOOKUP(A61,'銀行-TSS'!A:AK,37,FALSE)</f>
        <v>有</v>
      </c>
      <c r="M61" s="136" t="str">
        <f ca="1">VLOOKUP(A61,'銀行-TSS'!A:AN,40,FALSE)</f>
        <v/>
      </c>
      <c r="N61" s="136">
        <f t="shared" ca="1" si="0"/>
        <v>1019.6</v>
      </c>
      <c r="O61" s="1213">
        <f t="shared" ca="1" si="1"/>
        <v>10195.999999999998</v>
      </c>
      <c r="P61" s="1213">
        <f ca="1">IF(AND($O$1&gt;=O61,換券單檔!$D$13=D61),I61+INT(($O$1-O61)/N61)*J61,0)</f>
        <v>0</v>
      </c>
      <c r="Q61" s="1213">
        <f t="shared" ca="1" si="2"/>
        <v>0</v>
      </c>
      <c r="R61" s="1213">
        <f t="shared" ca="1" si="43"/>
        <v>0</v>
      </c>
      <c r="S61" s="1213">
        <f t="shared" ca="1" si="44"/>
        <v>0</v>
      </c>
      <c r="T61" s="136">
        <f ca="1">IF(OR(R61=0,A61=0),0,IF(AND(V61=TRUE,換券單檔!$D$13=D61),E61,0))</f>
        <v>0</v>
      </c>
      <c r="U61" s="861">
        <f ca="1">IF(OR(R61=0,A61=0),0,IF(AND(V61=TRUE,換券單檔!$D$13=D61),H61,0))</f>
        <v>0</v>
      </c>
      <c r="V61" s="136" t="b">
        <f ca="1">IF(OR(B61=換券單檔!$D$3,L61="無",M61&lt;&gt;"",K61="高資產",IFERROR(MATCH(B61,換券單檔!K:K,0),"N")&lt;&gt;"N"),FALSE,IF($V$1="All",TRUE,IF(K61=$V$1,TRUE,FALSE)))</f>
        <v>1</v>
      </c>
      <c r="W61" s="136">
        <f ca="1">VLOOKUP(A61,'銀行-TSS'!A:AO,41,FALSE)</f>
        <v>99.99</v>
      </c>
      <c r="X61" s="136">
        <f ca="1">VLOOKUP(A61,'銀行-TSS'!A:AP,42,FALSE)</f>
        <v>2.5653000000000001</v>
      </c>
      <c r="Y61" s="1220">
        <f t="shared" ca="1" si="3"/>
        <v>0</v>
      </c>
      <c r="Z61" s="1220">
        <f t="shared" ca="1" si="4"/>
        <v>0</v>
      </c>
      <c r="AA61" s="136">
        <f ca="1">IF(Z61&lt;=0,0,RANK(Z61,Z:Z)+COUNTIF($Z$3:$Z61,Z61)-1)</f>
        <v>0</v>
      </c>
      <c r="AB61" s="1211">
        <f t="shared" ca="1" si="5"/>
        <v>-114896.14</v>
      </c>
      <c r="AC61" s="136">
        <f ca="1">IF(AB61&lt;=0,0,RANK(AB61,AB:AB)+COUNTIF($AB$3:$AB61,AB61)-1)</f>
        <v>0</v>
      </c>
      <c r="AD61" s="1123">
        <f t="shared" ca="1" si="6"/>
        <v>99999</v>
      </c>
      <c r="AE61" s="1123">
        <f ca="1">IF(AD61=99999,0,RANK(AD61,AD:AD,1)+COUNTIF($AD$3:$AD61,AD61)-1)</f>
        <v>0</v>
      </c>
      <c r="AF61" s="86" t="b">
        <f ca="1">IF(OR(M61&lt;&gt;"",L61="無",K61="高資產",IFERROR(MATCH(B61,換券單檔!K:K,0),"N")&lt;&gt;"N"),FALSE,TRUE)</f>
        <v>1</v>
      </c>
      <c r="AI61" s="1212">
        <f t="shared" ca="1" si="7"/>
        <v>0</v>
      </c>
      <c r="AJ61" s="1213">
        <f t="shared" ca="1" si="8"/>
        <v>0</v>
      </c>
      <c r="AK61" s="1587">
        <f t="shared" ca="1" si="9"/>
        <v>0</v>
      </c>
      <c r="AN61" s="1212">
        <f t="shared" ca="1" si="10"/>
        <v>0</v>
      </c>
      <c r="AO61" s="1213">
        <f t="shared" ca="1" si="11"/>
        <v>0</v>
      </c>
      <c r="AP61" s="1587">
        <f t="shared" ca="1" si="12"/>
        <v>0</v>
      </c>
      <c r="AS61" s="1212">
        <f t="shared" ca="1" si="13"/>
        <v>0</v>
      </c>
      <c r="AT61" s="1213">
        <f t="shared" ca="1" si="14"/>
        <v>0</v>
      </c>
      <c r="AU61" s="1587">
        <f t="shared" ca="1" si="15"/>
        <v>0</v>
      </c>
      <c r="AX61" s="1212">
        <f t="shared" ca="1" si="16"/>
        <v>0</v>
      </c>
      <c r="AY61" s="1213">
        <f t="shared" ca="1" si="17"/>
        <v>0</v>
      </c>
      <c r="AZ61" s="1587">
        <f t="shared" ca="1" si="18"/>
        <v>0</v>
      </c>
      <c r="BC61" s="1212">
        <f t="shared" ca="1" si="19"/>
        <v>0</v>
      </c>
      <c r="BD61" s="1213">
        <f t="shared" ca="1" si="20"/>
        <v>0</v>
      </c>
      <c r="BE61" s="1587">
        <f t="shared" ca="1" si="21"/>
        <v>0</v>
      </c>
      <c r="BH61" s="1212">
        <f t="shared" ca="1" si="22"/>
        <v>0</v>
      </c>
      <c r="BI61" s="1213">
        <f t="shared" ca="1" si="23"/>
        <v>0</v>
      </c>
      <c r="BJ61" s="1587">
        <f t="shared" ca="1" si="24"/>
        <v>0</v>
      </c>
      <c r="BM61" s="1212">
        <f t="shared" ca="1" si="25"/>
        <v>0</v>
      </c>
      <c r="BN61" s="1213">
        <f t="shared" ca="1" si="26"/>
        <v>0</v>
      </c>
      <c r="BO61" s="1587">
        <f t="shared" ca="1" si="27"/>
        <v>0</v>
      </c>
      <c r="BR61" s="1212">
        <f t="shared" ca="1" si="28"/>
        <v>0</v>
      </c>
      <c r="BS61" s="1213">
        <f t="shared" ca="1" si="29"/>
        <v>0</v>
      </c>
      <c r="BT61" s="1587">
        <f t="shared" ca="1" si="30"/>
        <v>0</v>
      </c>
      <c r="BW61" s="1212">
        <f t="shared" ca="1" si="31"/>
        <v>0</v>
      </c>
      <c r="BX61" s="1213">
        <f t="shared" ca="1" si="32"/>
        <v>0</v>
      </c>
      <c r="BY61" s="1587">
        <f t="shared" ca="1" si="33"/>
        <v>0</v>
      </c>
      <c r="CB61" s="1212">
        <f t="shared" ca="1" si="34"/>
        <v>0</v>
      </c>
      <c r="CC61" s="1213">
        <f t="shared" ca="1" si="35"/>
        <v>0</v>
      </c>
      <c r="CD61" s="1587">
        <f t="shared" ca="1" si="36"/>
        <v>0</v>
      </c>
      <c r="CG61" s="1212">
        <f t="shared" ca="1" si="37"/>
        <v>0</v>
      </c>
      <c r="CH61" s="1213">
        <f t="shared" ca="1" si="38"/>
        <v>0</v>
      </c>
      <c r="CI61" s="1587">
        <f t="shared" ca="1" si="39"/>
        <v>0</v>
      </c>
      <c r="CL61" s="1212">
        <f t="shared" ca="1" si="40"/>
        <v>0</v>
      </c>
      <c r="CM61" s="1213">
        <f t="shared" ca="1" si="41"/>
        <v>0</v>
      </c>
      <c r="CN61" s="1587">
        <f t="shared" ca="1" si="42"/>
        <v>0</v>
      </c>
    </row>
    <row r="62" spans="1:92">
      <c r="A62" s="141" t="str">
        <f>'銀行-TSS'!A62</f>
        <v>US20030NCH26</v>
      </c>
      <c r="B62" s="151" t="str">
        <f ca="1">VLOOKUP(A62,'銀行-TSS'!A:B,2,FALSE)</f>
        <v>XFP20</v>
      </c>
      <c r="C62" s="151" t="str">
        <f ca="1">VLOOKUP(B62,bond!B:C,2,FALSE)</f>
        <v>康卡斯特公司美元配息債券 3.55% 2028/5/1</v>
      </c>
      <c r="D62" s="95" t="str">
        <f>VLOOKUP(A62,'銀行-TSS'!A:C,3,FALSE)</f>
        <v>USD</v>
      </c>
      <c r="E62" s="90">
        <f ca="1">VLOOKUP(A62,'銀行-TSS'!A:G,7,FALSE)</f>
        <v>3.83</v>
      </c>
      <c r="F62" s="202">
        <f ca="1">VLOOKUP(A62,'銀行-TSS'!A:H,8,FALSE)</f>
        <v>3.5499999999999997E-2</v>
      </c>
      <c r="G62" s="96">
        <f ca="1">VLOOKUP(A62,'銀行-TSS'!A:K,11,FALSE)</f>
        <v>97.53</v>
      </c>
      <c r="H62" s="1209">
        <f ca="1">VLOOKUP(A62,'銀行-TSS'!A:M,13,FALSE)</f>
        <v>4.4299999999999999E-2</v>
      </c>
      <c r="I62" s="1213">
        <f ca="1">VLOOKUP(A62,'銀行-TSS'!A:N,14,FALSE)</f>
        <v>10000</v>
      </c>
      <c r="J62" s="1213">
        <f ca="1">VLOOKUP(A62,'銀行-TSS'!A:O,15,FALSE)</f>
        <v>1000</v>
      </c>
      <c r="K62" s="136" t="str">
        <f ca="1">VLOOKUP(A62,'銀行-TSS'!A:V,22,FALSE)</f>
        <v>(NPI)非專投</v>
      </c>
      <c r="L62" s="136" t="str">
        <f ca="1">VLOOKUP(A62,'銀行-TSS'!A:AK,37,FALSE)</f>
        <v>有</v>
      </c>
      <c r="M62" s="136" t="str">
        <f ca="1">VLOOKUP(A62,'銀行-TSS'!A:AN,40,FALSE)</f>
        <v/>
      </c>
      <c r="N62" s="136">
        <f t="shared" ca="1" si="0"/>
        <v>975.3</v>
      </c>
      <c r="O62" s="1213">
        <f t="shared" ca="1" si="1"/>
        <v>9753</v>
      </c>
      <c r="P62" s="1213">
        <f ca="1">IF(AND($O$1&gt;=O62,換券單檔!$D$13=D62),I62+INT(($O$1-O62)/N62)*J62,0)</f>
        <v>99000</v>
      </c>
      <c r="Q62" s="1213">
        <f t="shared" ca="1" si="2"/>
        <v>3514.4999999999995</v>
      </c>
      <c r="R62" s="1213">
        <f t="shared" ca="1" si="43"/>
        <v>99000</v>
      </c>
      <c r="S62" s="1213">
        <f t="shared" ca="1" si="44"/>
        <v>3514.4999999999995</v>
      </c>
      <c r="T62" s="136">
        <f ca="1">IF(OR(R62=0,A62=0),0,IF(AND(V62=TRUE,換券單檔!$D$13=D62),E62,0))</f>
        <v>3.83</v>
      </c>
      <c r="U62" s="861">
        <f ca="1">IF(OR(R62=0,A62=0),0,IF(AND(V62=TRUE,換券單檔!$D$13=D62),H62,0))</f>
        <v>4.4299999999999999E-2</v>
      </c>
      <c r="V62" s="136" t="b">
        <f ca="1">IF(OR(B62=換券單檔!$D$3,L62="無",M62&lt;&gt;"",K62="高資產",IFERROR(MATCH(B62,換券單檔!K:K,0),"N")&lt;&gt;"N"),FALSE,IF($V$1="All",TRUE,IF(K62=$V$1,TRUE,FALSE)))</f>
        <v>1</v>
      </c>
      <c r="W62" s="136">
        <f ca="1">VLOOKUP(A62,'銀行-TSS'!A:AO,41,FALSE)</f>
        <v>95.33</v>
      </c>
      <c r="X62" s="136">
        <f ca="1">VLOOKUP(A62,'銀行-TSS'!A:AP,42,FALSE)</f>
        <v>3.5055000000000001</v>
      </c>
      <c r="Y62" s="1220">
        <f t="shared" ca="1" si="3"/>
        <v>3308.3752185000003</v>
      </c>
      <c r="Z62" s="1220">
        <f t="shared" ca="1" si="4"/>
        <v>0</v>
      </c>
      <c r="AA62" s="136">
        <f ca="1">IF(Z62&lt;=0,0,RANK(Z62,Z:Z)+COUNTIF($Z$3:$Z62,Z62)-1)</f>
        <v>0</v>
      </c>
      <c r="AB62" s="1211">
        <f t="shared" ca="1" si="5"/>
        <v>-12587.764781499998</v>
      </c>
      <c r="AC62" s="136">
        <f ca="1">IF(AB62&lt;=0,0,RANK(AB62,AB:AB)+COUNTIF($AB$3:$AB62,AB62)-1)</f>
        <v>0</v>
      </c>
      <c r="AD62" s="1123">
        <f t="shared" ca="1" si="6"/>
        <v>99999</v>
      </c>
      <c r="AE62" s="1123">
        <f ca="1">IF(AD62=99999,0,RANK(AD62,AD:AD,1)+COUNTIF($AD$3:$AD62,AD62)-1)</f>
        <v>0</v>
      </c>
      <c r="AF62" s="86" t="b">
        <f ca="1">IF(OR(M62&lt;&gt;"",L62="無",K62="高資產",IFERROR(MATCH(B62,換券單檔!K:K,0),"N")&lt;&gt;"N"),FALSE,TRUE)</f>
        <v>1</v>
      </c>
      <c r="AI62" s="1212">
        <f t="shared" ca="1" si="7"/>
        <v>99000</v>
      </c>
      <c r="AJ62" s="1213">
        <f t="shared" ca="1" si="8"/>
        <v>3514.4999999999995</v>
      </c>
      <c r="AK62" s="1587">
        <f t="shared" ca="1" si="9"/>
        <v>0</v>
      </c>
      <c r="AN62" s="1212">
        <f t="shared" ca="1" si="10"/>
        <v>56000</v>
      </c>
      <c r="AO62" s="1213">
        <f t="shared" ca="1" si="11"/>
        <v>1987.9999999999998</v>
      </c>
      <c r="AP62" s="1587">
        <f t="shared" ca="1" si="12"/>
        <v>0</v>
      </c>
      <c r="AS62" s="1212">
        <f t="shared" ca="1" si="13"/>
        <v>96000</v>
      </c>
      <c r="AT62" s="1213">
        <f t="shared" ca="1" si="14"/>
        <v>3407.9999999999995</v>
      </c>
      <c r="AU62" s="1587">
        <f t="shared" ca="1" si="15"/>
        <v>0</v>
      </c>
      <c r="AX62" s="1212">
        <f t="shared" ca="1" si="16"/>
        <v>89000</v>
      </c>
      <c r="AY62" s="1213">
        <f t="shared" ca="1" si="17"/>
        <v>3159.4999999999995</v>
      </c>
      <c r="AZ62" s="1587">
        <f t="shared" ca="1" si="18"/>
        <v>0</v>
      </c>
      <c r="BC62" s="1212">
        <f t="shared" ca="1" si="19"/>
        <v>0</v>
      </c>
      <c r="BD62" s="1213">
        <f t="shared" ca="1" si="20"/>
        <v>0</v>
      </c>
      <c r="BE62" s="1587">
        <f t="shared" ca="1" si="21"/>
        <v>0</v>
      </c>
      <c r="BH62" s="1212">
        <f t="shared" ca="1" si="22"/>
        <v>0</v>
      </c>
      <c r="BI62" s="1213">
        <f t="shared" ca="1" si="23"/>
        <v>0</v>
      </c>
      <c r="BJ62" s="1587">
        <f t="shared" ca="1" si="24"/>
        <v>0</v>
      </c>
      <c r="BM62" s="1212">
        <f t="shared" ca="1" si="25"/>
        <v>0</v>
      </c>
      <c r="BN62" s="1213">
        <f t="shared" ca="1" si="26"/>
        <v>0</v>
      </c>
      <c r="BO62" s="1587">
        <f t="shared" ca="1" si="27"/>
        <v>0</v>
      </c>
      <c r="BR62" s="1212">
        <f t="shared" ca="1" si="28"/>
        <v>0</v>
      </c>
      <c r="BS62" s="1213">
        <f t="shared" ca="1" si="29"/>
        <v>0</v>
      </c>
      <c r="BT62" s="1587">
        <f t="shared" ca="1" si="30"/>
        <v>0</v>
      </c>
      <c r="BW62" s="1212">
        <f t="shared" ca="1" si="31"/>
        <v>0</v>
      </c>
      <c r="BX62" s="1213">
        <f t="shared" ca="1" si="32"/>
        <v>0</v>
      </c>
      <c r="BY62" s="1587">
        <f t="shared" ca="1" si="33"/>
        <v>0</v>
      </c>
      <c r="CB62" s="1212">
        <f t="shared" ca="1" si="34"/>
        <v>0</v>
      </c>
      <c r="CC62" s="1213">
        <f t="shared" ca="1" si="35"/>
        <v>0</v>
      </c>
      <c r="CD62" s="1587">
        <f t="shared" ca="1" si="36"/>
        <v>0</v>
      </c>
      <c r="CG62" s="1212">
        <f t="shared" ca="1" si="37"/>
        <v>0</v>
      </c>
      <c r="CH62" s="1213">
        <f t="shared" ca="1" si="38"/>
        <v>0</v>
      </c>
      <c r="CI62" s="1587">
        <f t="shared" ca="1" si="39"/>
        <v>0</v>
      </c>
      <c r="CL62" s="1212">
        <f t="shared" ca="1" si="40"/>
        <v>0</v>
      </c>
      <c r="CM62" s="1213">
        <f t="shared" ca="1" si="41"/>
        <v>0</v>
      </c>
      <c r="CN62" s="1587">
        <f t="shared" ca="1" si="42"/>
        <v>0</v>
      </c>
    </row>
    <row r="63" spans="1:92">
      <c r="A63" s="141" t="str">
        <f>'銀行-TSS'!A63</f>
        <v>US88032XAH70</v>
      </c>
      <c r="B63" s="151" t="str">
        <f ca="1">VLOOKUP(A63,'銀行-TSS'!A:B,2,FALSE)</f>
        <v>XFP90</v>
      </c>
      <c r="C63" s="151" t="str">
        <f ca="1">VLOOKUP(B63,bond!B:C,2,FALSE)</f>
        <v>騰訊控股有限公司美元配息債券 3.925% 2038/1/19</v>
      </c>
      <c r="D63" s="95" t="str">
        <f>VLOOKUP(A63,'銀行-TSS'!A:C,3,FALSE)</f>
        <v>USD</v>
      </c>
      <c r="E63" s="90">
        <f ca="1">VLOOKUP(A63,'銀行-TSS'!A:G,7,FALSE)</f>
        <v>13.55</v>
      </c>
      <c r="F63" s="202">
        <f ca="1">VLOOKUP(A63,'銀行-TSS'!A:H,8,FALSE)</f>
        <v>3.925E-2</v>
      </c>
      <c r="G63" s="96">
        <f ca="1">VLOOKUP(A63,'銀行-TSS'!A:K,11,FALSE)</f>
        <v>89.06</v>
      </c>
      <c r="H63" s="1209">
        <f ca="1">VLOOKUP(A63,'銀行-TSS'!A:M,13,FALSE)</f>
        <v>5.2499999999999998E-2</v>
      </c>
      <c r="I63" s="1213">
        <f ca="1">VLOOKUP(A63,'銀行-TSS'!A:N,14,FALSE)</f>
        <v>200000</v>
      </c>
      <c r="J63" s="1213">
        <f ca="1">VLOOKUP(A63,'銀行-TSS'!A:O,15,FALSE)</f>
        <v>1000</v>
      </c>
      <c r="K63" s="136" t="str">
        <f ca="1">VLOOKUP(A63,'銀行-TSS'!A:V,22,FALSE)</f>
        <v>(NPI)非專投</v>
      </c>
      <c r="L63" s="136" t="str">
        <f ca="1">VLOOKUP(A63,'銀行-TSS'!A:AK,37,FALSE)</f>
        <v>有</v>
      </c>
      <c r="M63" s="136" t="str">
        <f ca="1">VLOOKUP(A63,'銀行-TSS'!A:AN,40,FALSE)</f>
        <v/>
      </c>
      <c r="N63" s="136">
        <f t="shared" ca="1" si="0"/>
        <v>890.6</v>
      </c>
      <c r="O63" s="1213">
        <f t="shared" ca="1" si="1"/>
        <v>178120</v>
      </c>
      <c r="P63" s="1213">
        <f ca="1">IF(AND($O$1&gt;=O63,換券單檔!$D$13=D63),I63+INT(($O$1-O63)/N63)*J63,0)</f>
        <v>0</v>
      </c>
      <c r="Q63" s="1213">
        <f t="shared" ca="1" si="2"/>
        <v>0</v>
      </c>
      <c r="R63" s="1213">
        <f t="shared" ca="1" si="43"/>
        <v>0</v>
      </c>
      <c r="S63" s="1213">
        <f t="shared" ca="1" si="44"/>
        <v>0</v>
      </c>
      <c r="T63" s="136">
        <f ca="1">IF(OR(R63=0,A63=0),0,IF(AND(V63=TRUE,換券單檔!$D$13=D63),E63,0))</f>
        <v>0</v>
      </c>
      <c r="U63" s="861">
        <f ca="1">IF(OR(R63=0,A63=0),0,IF(AND(V63=TRUE,換券單檔!$D$13=D63),H63,0))</f>
        <v>0</v>
      </c>
      <c r="V63" s="136" t="b">
        <f ca="1">IF(OR(B63=換券單檔!$D$3,L63="無",M63&lt;&gt;"",K63="高資產",IFERROR(MATCH(B63,換券單檔!K:K,0),"N")&lt;&gt;"N"),FALSE,IF($V$1="All",TRUE,IF(K63=$V$1,TRUE,FALSE)))</f>
        <v>1</v>
      </c>
      <c r="W63" s="136">
        <f ca="1">VLOOKUP(A63,'銀行-TSS'!A:AO,41,FALSE)</f>
        <v>84.78</v>
      </c>
      <c r="X63" s="136">
        <f ca="1">VLOOKUP(A63,'銀行-TSS'!A:AP,42,FALSE)</f>
        <v>9.8633000000000006</v>
      </c>
      <c r="Y63" s="1220">
        <f t="shared" ca="1" si="3"/>
        <v>0</v>
      </c>
      <c r="Z63" s="1220">
        <f t="shared" ca="1" si="4"/>
        <v>0</v>
      </c>
      <c r="AA63" s="136">
        <f ca="1">IF(Z63&lt;=0,0,RANK(Z63,Z:Z)+COUNTIF($Z$3:$Z63,Z63)-1)</f>
        <v>0</v>
      </c>
      <c r="AB63" s="1211">
        <f t="shared" ca="1" si="5"/>
        <v>-114896.14</v>
      </c>
      <c r="AC63" s="136">
        <f ca="1">IF(AB63&lt;=0,0,RANK(AB63,AB:AB)+COUNTIF($AB$3:$AB63,AB63)-1)</f>
        <v>0</v>
      </c>
      <c r="AD63" s="1123">
        <f t="shared" ca="1" si="6"/>
        <v>99999</v>
      </c>
      <c r="AE63" s="1123">
        <f ca="1">IF(AD63=99999,0,RANK(AD63,AD:AD,1)+COUNTIF($AD$3:$AD63,AD63)-1)</f>
        <v>0</v>
      </c>
      <c r="AF63" s="86" t="b">
        <f ca="1">IF(OR(M63&lt;&gt;"",L63="無",K63="高資產",IFERROR(MATCH(B63,換券單檔!K:K,0),"N")&lt;&gt;"N"),FALSE,TRUE)</f>
        <v>1</v>
      </c>
      <c r="AI63" s="1212">
        <f t="shared" ca="1" si="7"/>
        <v>0</v>
      </c>
      <c r="AJ63" s="1213">
        <f t="shared" ca="1" si="8"/>
        <v>0</v>
      </c>
      <c r="AK63" s="1587">
        <f t="shared" ca="1" si="9"/>
        <v>0</v>
      </c>
      <c r="AN63" s="1212">
        <f t="shared" ca="1" si="10"/>
        <v>0</v>
      </c>
      <c r="AO63" s="1213">
        <f t="shared" ca="1" si="11"/>
        <v>0</v>
      </c>
      <c r="AP63" s="1587">
        <f t="shared" ca="1" si="12"/>
        <v>0</v>
      </c>
      <c r="AS63" s="1212">
        <f t="shared" ca="1" si="13"/>
        <v>0</v>
      </c>
      <c r="AT63" s="1213">
        <f t="shared" ca="1" si="14"/>
        <v>0</v>
      </c>
      <c r="AU63" s="1587">
        <f t="shared" ca="1" si="15"/>
        <v>0</v>
      </c>
      <c r="AX63" s="1212">
        <f t="shared" ca="1" si="16"/>
        <v>0</v>
      </c>
      <c r="AY63" s="1213">
        <f t="shared" ca="1" si="17"/>
        <v>0</v>
      </c>
      <c r="AZ63" s="1587">
        <f t="shared" ca="1" si="18"/>
        <v>0</v>
      </c>
      <c r="BC63" s="1212">
        <f t="shared" ca="1" si="19"/>
        <v>0</v>
      </c>
      <c r="BD63" s="1213">
        <f t="shared" ca="1" si="20"/>
        <v>0</v>
      </c>
      <c r="BE63" s="1587">
        <f t="shared" ca="1" si="21"/>
        <v>0</v>
      </c>
      <c r="BH63" s="1212">
        <f t="shared" ca="1" si="22"/>
        <v>0</v>
      </c>
      <c r="BI63" s="1213">
        <f t="shared" ca="1" si="23"/>
        <v>0</v>
      </c>
      <c r="BJ63" s="1587">
        <f t="shared" ca="1" si="24"/>
        <v>0</v>
      </c>
      <c r="BM63" s="1212">
        <f t="shared" ca="1" si="25"/>
        <v>0</v>
      </c>
      <c r="BN63" s="1213">
        <f t="shared" ca="1" si="26"/>
        <v>0</v>
      </c>
      <c r="BO63" s="1587">
        <f t="shared" ca="1" si="27"/>
        <v>0</v>
      </c>
      <c r="BR63" s="1212">
        <f t="shared" ca="1" si="28"/>
        <v>0</v>
      </c>
      <c r="BS63" s="1213">
        <f t="shared" ca="1" si="29"/>
        <v>0</v>
      </c>
      <c r="BT63" s="1587">
        <f t="shared" ca="1" si="30"/>
        <v>0</v>
      </c>
      <c r="BW63" s="1212">
        <f t="shared" ca="1" si="31"/>
        <v>0</v>
      </c>
      <c r="BX63" s="1213">
        <f t="shared" ca="1" si="32"/>
        <v>0</v>
      </c>
      <c r="BY63" s="1587">
        <f t="shared" ca="1" si="33"/>
        <v>0</v>
      </c>
      <c r="CB63" s="1212">
        <f t="shared" ca="1" si="34"/>
        <v>0</v>
      </c>
      <c r="CC63" s="1213">
        <f t="shared" ca="1" si="35"/>
        <v>0</v>
      </c>
      <c r="CD63" s="1587">
        <f t="shared" ca="1" si="36"/>
        <v>0</v>
      </c>
      <c r="CG63" s="1212">
        <f t="shared" ca="1" si="37"/>
        <v>0</v>
      </c>
      <c r="CH63" s="1213">
        <f t="shared" ca="1" si="38"/>
        <v>0</v>
      </c>
      <c r="CI63" s="1587">
        <f t="shared" ca="1" si="39"/>
        <v>0</v>
      </c>
      <c r="CL63" s="1212">
        <f t="shared" ca="1" si="40"/>
        <v>0</v>
      </c>
      <c r="CM63" s="1213">
        <f t="shared" ca="1" si="41"/>
        <v>0</v>
      </c>
      <c r="CN63" s="1587">
        <f t="shared" ca="1" si="42"/>
        <v>0</v>
      </c>
    </row>
    <row r="64" spans="1:92">
      <c r="A64" s="141" t="str">
        <f>'銀行-TSS'!A64</f>
        <v>US00206RDQ20</v>
      </c>
      <c r="B64" s="151" t="str">
        <f ca="1">VLOOKUP(A64,'銀行-TSS'!A:B,2,FALSE)</f>
        <v>XFQ20</v>
      </c>
      <c r="C64" s="151" t="str">
        <f ca="1">VLOOKUP(B64,bond!B:C,2,FALSE)</f>
        <v>AT&amp;T公司美元配息債券 4.25% 2027/3/1</v>
      </c>
      <c r="D64" s="95" t="str">
        <f>VLOOKUP(A64,'銀行-TSS'!A:C,3,FALSE)</f>
        <v>USD</v>
      </c>
      <c r="E64" s="90">
        <f ca="1">VLOOKUP(A64,'銀行-TSS'!A:G,7,FALSE)</f>
        <v>2.66</v>
      </c>
      <c r="F64" s="202">
        <f ca="1">VLOOKUP(A64,'銀行-TSS'!A:H,8,FALSE)</f>
        <v>4.2500000000000003E-2</v>
      </c>
      <c r="G64" s="96">
        <f ca="1">VLOOKUP(A64,'銀行-TSS'!A:K,11,FALSE)</f>
        <v>100.86</v>
      </c>
      <c r="H64" s="1209">
        <f ca="1">VLOOKUP(A64,'銀行-TSS'!A:M,13,FALSE)</f>
        <v>4.48E-2</v>
      </c>
      <c r="I64" s="1213">
        <f ca="1">VLOOKUP(A64,'銀行-TSS'!A:N,14,FALSE)</f>
        <v>10000</v>
      </c>
      <c r="J64" s="1213">
        <f ca="1">VLOOKUP(A64,'銀行-TSS'!A:O,15,FALSE)</f>
        <v>1000</v>
      </c>
      <c r="K64" s="136" t="str">
        <f ca="1">VLOOKUP(A64,'銀行-TSS'!A:V,22,FALSE)</f>
        <v>(PI)專投</v>
      </c>
      <c r="L64" s="136" t="str">
        <f ca="1">VLOOKUP(A64,'銀行-TSS'!A:AK,37,FALSE)</f>
        <v>有</v>
      </c>
      <c r="M64" s="136" t="str">
        <f ca="1">VLOOKUP(A64,'銀行-TSS'!A:AN,40,FALSE)</f>
        <v/>
      </c>
      <c r="N64" s="136">
        <f t="shared" ca="1" si="0"/>
        <v>1008.6</v>
      </c>
      <c r="O64" s="1213">
        <f t="shared" ca="1" si="1"/>
        <v>10086</v>
      </c>
      <c r="P64" s="1213">
        <f ca="1">IF(AND($O$1&gt;=O64,換券單檔!$D$13=D64),I64+INT(($O$1-O64)/N64)*J64,0)</f>
        <v>95000</v>
      </c>
      <c r="Q64" s="1213">
        <f t="shared" ca="1" si="2"/>
        <v>4037.5000000000005</v>
      </c>
      <c r="R64" s="1213">
        <f t="shared" ca="1" si="43"/>
        <v>95000</v>
      </c>
      <c r="S64" s="1213">
        <f t="shared" ca="1" si="44"/>
        <v>4037.5000000000005</v>
      </c>
      <c r="T64" s="136">
        <f ca="1">IF(OR(R64=0,A64=0),0,IF(AND(V64=TRUE,換券單檔!$D$13=D64),E64,0))</f>
        <v>2.66</v>
      </c>
      <c r="U64" s="861">
        <f ca="1">IF(OR(R64=0,A64=0),0,IF(AND(V64=TRUE,換券單檔!$D$13=D64),H64,0))</f>
        <v>4.48E-2</v>
      </c>
      <c r="V64" s="136" t="b">
        <f ca="1">IF(OR(B64=換券單檔!$D$3,L64="無",M64&lt;&gt;"",K64="高資產",IFERROR(MATCH(B64,換券單檔!K:K,0),"N")&lt;&gt;"N"),FALSE,IF($V$1="All",TRUE,IF(K64=$V$1,TRUE,FALSE)))</f>
        <v>1</v>
      </c>
      <c r="W64" s="136">
        <f ca="1">VLOOKUP(A64,'銀行-TSS'!A:AO,41,FALSE)</f>
        <v>98.23</v>
      </c>
      <c r="X64" s="136">
        <f ca="1">VLOOKUP(A64,'銀行-TSS'!A:AP,42,FALSE)</f>
        <v>2.4512999999999998</v>
      </c>
      <c r="Y64" s="1220">
        <f t="shared" ca="1" si="3"/>
        <v>2287.5163904999999</v>
      </c>
      <c r="Z64" s="1220">
        <f t="shared" ca="1" si="4"/>
        <v>0</v>
      </c>
      <c r="AA64" s="136">
        <f ca="1">IF(Z64&lt;=0,0,RANK(Z64,Z:Z)+COUNTIF($Z$3:$Z64,Z64)-1)</f>
        <v>0</v>
      </c>
      <c r="AB64" s="1211">
        <f t="shared" ca="1" si="5"/>
        <v>-17608.623609499999</v>
      </c>
      <c r="AC64" s="136">
        <f ca="1">IF(AB64&lt;=0,0,RANK(AB64,AB:AB)+COUNTIF($AB$3:$AB64,AB64)-1)</f>
        <v>0</v>
      </c>
      <c r="AD64" s="1123">
        <f t="shared" ca="1" si="6"/>
        <v>99999</v>
      </c>
      <c r="AE64" s="1123">
        <f ca="1">IF(AD64=99999,0,RANK(AD64,AD:AD,1)+COUNTIF($AD$3:$AD64,AD64)-1)</f>
        <v>0</v>
      </c>
      <c r="AF64" s="86" t="b">
        <f ca="1">IF(OR(M64&lt;&gt;"",L64="無",K64="高資產",IFERROR(MATCH(B64,換券單檔!K:K,0),"N")&lt;&gt;"N"),FALSE,TRUE)</f>
        <v>1</v>
      </c>
      <c r="AI64" s="1212">
        <f t="shared" ca="1" si="7"/>
        <v>95000</v>
      </c>
      <c r="AJ64" s="1213">
        <f t="shared" ca="1" si="8"/>
        <v>4037.5000000000005</v>
      </c>
      <c r="AK64" s="1587">
        <f t="shared" ca="1" si="9"/>
        <v>0</v>
      </c>
      <c r="AN64" s="1212">
        <f t="shared" ca="1" si="10"/>
        <v>54000</v>
      </c>
      <c r="AO64" s="1213">
        <f t="shared" ca="1" si="11"/>
        <v>2295</v>
      </c>
      <c r="AP64" s="1587">
        <f t="shared" ca="1" si="12"/>
        <v>0</v>
      </c>
      <c r="AS64" s="1212">
        <f t="shared" ca="1" si="13"/>
        <v>93000</v>
      </c>
      <c r="AT64" s="1213">
        <f t="shared" ca="1" si="14"/>
        <v>3952.5000000000005</v>
      </c>
      <c r="AU64" s="1587">
        <f t="shared" ca="1" si="15"/>
        <v>0</v>
      </c>
      <c r="AX64" s="1212">
        <f t="shared" ca="1" si="16"/>
        <v>86000</v>
      </c>
      <c r="AY64" s="1213">
        <f t="shared" ca="1" si="17"/>
        <v>3655.0000000000005</v>
      </c>
      <c r="AZ64" s="1587">
        <f t="shared" ca="1" si="18"/>
        <v>0</v>
      </c>
      <c r="BC64" s="1212">
        <f t="shared" ca="1" si="19"/>
        <v>0</v>
      </c>
      <c r="BD64" s="1213">
        <f t="shared" ca="1" si="20"/>
        <v>0</v>
      </c>
      <c r="BE64" s="1587">
        <f t="shared" ca="1" si="21"/>
        <v>0</v>
      </c>
      <c r="BH64" s="1212">
        <f t="shared" ca="1" si="22"/>
        <v>0</v>
      </c>
      <c r="BI64" s="1213">
        <f t="shared" ca="1" si="23"/>
        <v>0</v>
      </c>
      <c r="BJ64" s="1587">
        <f t="shared" ca="1" si="24"/>
        <v>0</v>
      </c>
      <c r="BM64" s="1212">
        <f t="shared" ca="1" si="25"/>
        <v>0</v>
      </c>
      <c r="BN64" s="1213">
        <f t="shared" ca="1" si="26"/>
        <v>0</v>
      </c>
      <c r="BO64" s="1587">
        <f t="shared" ca="1" si="27"/>
        <v>0</v>
      </c>
      <c r="BR64" s="1212">
        <f t="shared" ca="1" si="28"/>
        <v>0</v>
      </c>
      <c r="BS64" s="1213">
        <f t="shared" ca="1" si="29"/>
        <v>0</v>
      </c>
      <c r="BT64" s="1587">
        <f t="shared" ca="1" si="30"/>
        <v>0</v>
      </c>
      <c r="BW64" s="1212">
        <f t="shared" ca="1" si="31"/>
        <v>0</v>
      </c>
      <c r="BX64" s="1213">
        <f t="shared" ca="1" si="32"/>
        <v>0</v>
      </c>
      <c r="BY64" s="1587">
        <f t="shared" ca="1" si="33"/>
        <v>0</v>
      </c>
      <c r="CB64" s="1212">
        <f t="shared" ca="1" si="34"/>
        <v>0</v>
      </c>
      <c r="CC64" s="1213">
        <f t="shared" ca="1" si="35"/>
        <v>0</v>
      </c>
      <c r="CD64" s="1587">
        <f t="shared" ca="1" si="36"/>
        <v>0</v>
      </c>
      <c r="CG64" s="1212">
        <f t="shared" ca="1" si="37"/>
        <v>0</v>
      </c>
      <c r="CH64" s="1213">
        <f t="shared" ca="1" si="38"/>
        <v>0</v>
      </c>
      <c r="CI64" s="1587">
        <f t="shared" ca="1" si="39"/>
        <v>0</v>
      </c>
      <c r="CL64" s="1212">
        <f t="shared" ca="1" si="40"/>
        <v>0</v>
      </c>
      <c r="CM64" s="1213">
        <f t="shared" ca="1" si="41"/>
        <v>0</v>
      </c>
      <c r="CN64" s="1587">
        <f t="shared" ca="1" si="42"/>
        <v>0</v>
      </c>
    </row>
    <row r="65" spans="1:92">
      <c r="A65" s="141" t="str">
        <f>'銀行-TSS'!A65</f>
        <v>US06738EAP07</v>
      </c>
      <c r="B65" s="151" t="str">
        <f ca="1">VLOOKUP(A65,'銀行-TSS'!A:B,2,FALSE)</f>
        <v>XFQ50</v>
      </c>
      <c r="C65" s="151" t="str">
        <f ca="1">VLOOKUP(B65,bond!B:C,2,FALSE)</f>
        <v>巴克萊集團美元配息債券 5.2% 2026/5/12</v>
      </c>
      <c r="D65" s="95" t="str">
        <f>VLOOKUP(A65,'銀行-TSS'!A:C,3,FALSE)</f>
        <v>USD</v>
      </c>
      <c r="E65" s="90">
        <f ca="1">VLOOKUP(A65,'銀行-TSS'!A:G,7,FALSE)</f>
        <v>1.86</v>
      </c>
      <c r="F65" s="202">
        <f ca="1">VLOOKUP(A65,'銀行-TSS'!A:H,8,FALSE)</f>
        <v>5.2000000000000005E-2</v>
      </c>
      <c r="G65" s="96">
        <f ca="1">VLOOKUP(A65,'銀行-TSS'!A:K,11,FALSE)</f>
        <v>100.73</v>
      </c>
      <c r="H65" s="1209">
        <f ca="1">VLOOKUP(A65,'銀行-TSS'!A:M,13,FALSE)</f>
        <v>5.1900000000000002E-2</v>
      </c>
      <c r="I65" s="1213">
        <f ca="1">VLOOKUP(A65,'銀行-TSS'!A:N,14,FALSE)</f>
        <v>200000</v>
      </c>
      <c r="J65" s="1213">
        <f ca="1">VLOOKUP(A65,'銀行-TSS'!A:O,15,FALSE)</f>
        <v>1000</v>
      </c>
      <c r="K65" s="136" t="str">
        <f ca="1">VLOOKUP(A65,'銀行-TSS'!A:V,22,FALSE)</f>
        <v>(PI)專投</v>
      </c>
      <c r="L65" s="136" t="str">
        <f ca="1">VLOOKUP(A65,'銀行-TSS'!A:AK,37,FALSE)</f>
        <v>有</v>
      </c>
      <c r="M65" s="136" t="str">
        <f ca="1">VLOOKUP(A65,'銀行-TSS'!A:AN,40,FALSE)</f>
        <v/>
      </c>
      <c r="N65" s="136">
        <f t="shared" ca="1" si="0"/>
        <v>1007.3</v>
      </c>
      <c r="O65" s="1213">
        <f t="shared" ca="1" si="1"/>
        <v>201460</v>
      </c>
      <c r="P65" s="1213">
        <f ca="1">IF(AND($O$1&gt;=O65,換券單檔!$D$13=D65),I65+INT(($O$1-O65)/N65)*J65,0)</f>
        <v>0</v>
      </c>
      <c r="Q65" s="1213">
        <f t="shared" ca="1" si="2"/>
        <v>0</v>
      </c>
      <c r="R65" s="1213">
        <f t="shared" ca="1" si="43"/>
        <v>0</v>
      </c>
      <c r="S65" s="1213">
        <f t="shared" ca="1" si="44"/>
        <v>0</v>
      </c>
      <c r="T65" s="136">
        <f ca="1">IF(OR(R65=0,A65=0),0,IF(AND(V65=TRUE,換券單檔!$D$13=D65),E65,0))</f>
        <v>0</v>
      </c>
      <c r="U65" s="861">
        <f ca="1">IF(OR(R65=0,A65=0),0,IF(AND(V65=TRUE,換券單檔!$D$13=D65),H65,0))</f>
        <v>0</v>
      </c>
      <c r="V65" s="136" t="b">
        <f ca="1">IF(OR(B65=換券單檔!$D$3,L65="無",M65&lt;&gt;"",K65="高資產",IFERROR(MATCH(B65,換券單檔!K:K,0),"N")&lt;&gt;"N"),FALSE,IF($V$1="All",TRUE,IF(K65=$V$1,TRUE,FALSE)))</f>
        <v>1</v>
      </c>
      <c r="W65" s="136">
        <f ca="1">VLOOKUP(A65,'銀行-TSS'!A:AO,41,FALSE)</f>
        <v>99.21</v>
      </c>
      <c r="X65" s="136">
        <f ca="1">VLOOKUP(A65,'銀行-TSS'!A:AP,42,FALSE)</f>
        <v>1.7378</v>
      </c>
      <c r="Y65" s="1220">
        <f t="shared" ca="1" si="3"/>
        <v>0</v>
      </c>
      <c r="Z65" s="1220">
        <f t="shared" ca="1" si="4"/>
        <v>0</v>
      </c>
      <c r="AA65" s="136">
        <f ca="1">IF(Z65&lt;=0,0,RANK(Z65,Z:Z)+COUNTIF($Z$3:$Z65,Z65)-1)</f>
        <v>0</v>
      </c>
      <c r="AB65" s="1211">
        <f t="shared" ca="1" si="5"/>
        <v>-114896.14</v>
      </c>
      <c r="AC65" s="136">
        <f ca="1">IF(AB65&lt;=0,0,RANK(AB65,AB:AB)+COUNTIF($AB$3:$AB65,AB65)-1)</f>
        <v>0</v>
      </c>
      <c r="AD65" s="1123">
        <f t="shared" ca="1" si="6"/>
        <v>99999</v>
      </c>
      <c r="AE65" s="1123">
        <f ca="1">IF(AD65=99999,0,RANK(AD65,AD:AD,1)+COUNTIF($AD$3:$AD65,AD65)-1)</f>
        <v>0</v>
      </c>
      <c r="AF65" s="86" t="b">
        <f ca="1">IF(OR(M65&lt;&gt;"",L65="無",K65="高資產",IFERROR(MATCH(B65,換券單檔!K:K,0),"N")&lt;&gt;"N"),FALSE,TRUE)</f>
        <v>1</v>
      </c>
      <c r="AI65" s="1212">
        <f t="shared" ca="1" si="7"/>
        <v>0</v>
      </c>
      <c r="AJ65" s="1213">
        <f t="shared" ca="1" si="8"/>
        <v>0</v>
      </c>
      <c r="AK65" s="1587">
        <f t="shared" ca="1" si="9"/>
        <v>0</v>
      </c>
      <c r="AN65" s="1212">
        <f t="shared" ca="1" si="10"/>
        <v>0</v>
      </c>
      <c r="AO65" s="1213">
        <f t="shared" ca="1" si="11"/>
        <v>0</v>
      </c>
      <c r="AP65" s="1587">
        <f t="shared" ca="1" si="12"/>
        <v>0</v>
      </c>
      <c r="AS65" s="1212">
        <f t="shared" ca="1" si="13"/>
        <v>0</v>
      </c>
      <c r="AT65" s="1213">
        <f t="shared" ca="1" si="14"/>
        <v>0</v>
      </c>
      <c r="AU65" s="1587">
        <f t="shared" ca="1" si="15"/>
        <v>0</v>
      </c>
      <c r="AX65" s="1212">
        <f t="shared" ca="1" si="16"/>
        <v>0</v>
      </c>
      <c r="AY65" s="1213">
        <f t="shared" ca="1" si="17"/>
        <v>0</v>
      </c>
      <c r="AZ65" s="1587">
        <f t="shared" ca="1" si="18"/>
        <v>0</v>
      </c>
      <c r="BC65" s="1212">
        <f t="shared" ca="1" si="19"/>
        <v>0</v>
      </c>
      <c r="BD65" s="1213">
        <f t="shared" ca="1" si="20"/>
        <v>0</v>
      </c>
      <c r="BE65" s="1587">
        <f t="shared" ca="1" si="21"/>
        <v>0</v>
      </c>
      <c r="BH65" s="1212">
        <f t="shared" ca="1" si="22"/>
        <v>0</v>
      </c>
      <c r="BI65" s="1213">
        <f t="shared" ca="1" si="23"/>
        <v>0</v>
      </c>
      <c r="BJ65" s="1587">
        <f t="shared" ca="1" si="24"/>
        <v>0</v>
      </c>
      <c r="BM65" s="1212">
        <f t="shared" ca="1" si="25"/>
        <v>0</v>
      </c>
      <c r="BN65" s="1213">
        <f t="shared" ca="1" si="26"/>
        <v>0</v>
      </c>
      <c r="BO65" s="1587">
        <f t="shared" ca="1" si="27"/>
        <v>0</v>
      </c>
      <c r="BR65" s="1212">
        <f t="shared" ca="1" si="28"/>
        <v>0</v>
      </c>
      <c r="BS65" s="1213">
        <f t="shared" ca="1" si="29"/>
        <v>0</v>
      </c>
      <c r="BT65" s="1587">
        <f t="shared" ca="1" si="30"/>
        <v>0</v>
      </c>
      <c r="BW65" s="1212">
        <f t="shared" ca="1" si="31"/>
        <v>0</v>
      </c>
      <c r="BX65" s="1213">
        <f t="shared" ca="1" si="32"/>
        <v>0</v>
      </c>
      <c r="BY65" s="1587">
        <f t="shared" ca="1" si="33"/>
        <v>0</v>
      </c>
      <c r="CB65" s="1212">
        <f t="shared" ca="1" si="34"/>
        <v>0</v>
      </c>
      <c r="CC65" s="1213">
        <f t="shared" ca="1" si="35"/>
        <v>0</v>
      </c>
      <c r="CD65" s="1587">
        <f t="shared" ca="1" si="36"/>
        <v>0</v>
      </c>
      <c r="CG65" s="1212">
        <f t="shared" ca="1" si="37"/>
        <v>0</v>
      </c>
      <c r="CH65" s="1213">
        <f t="shared" ca="1" si="38"/>
        <v>0</v>
      </c>
      <c r="CI65" s="1587">
        <f t="shared" ca="1" si="39"/>
        <v>0</v>
      </c>
      <c r="CL65" s="1212">
        <f t="shared" ca="1" si="40"/>
        <v>0</v>
      </c>
      <c r="CM65" s="1213">
        <f t="shared" ca="1" si="41"/>
        <v>0</v>
      </c>
      <c r="CN65" s="1587">
        <f t="shared" ca="1" si="42"/>
        <v>0</v>
      </c>
    </row>
    <row r="66" spans="1:92">
      <c r="A66" s="141" t="str">
        <f>'銀行-TSS'!A66</f>
        <v>US382550BF73</v>
      </c>
      <c r="B66" s="151" t="str">
        <f ca="1">VLOOKUP(A66,'銀行-TSS'!A:B,2,FALSE)</f>
        <v>XFQ60</v>
      </c>
      <c r="C66" s="151" t="str">
        <f ca="1">VLOOKUP(B66,bond!B:C,2,FALSE)</f>
        <v>固特異輪胎橡膠公司美元配息債券 5% 2026/5/31</v>
      </c>
      <c r="D66" s="95" t="str">
        <f>VLOOKUP(A66,'銀行-TSS'!A:C,3,FALSE)</f>
        <v>USD</v>
      </c>
      <c r="E66" s="90">
        <f ca="1">VLOOKUP(A66,'銀行-TSS'!A:G,7,FALSE)</f>
        <v>1.91</v>
      </c>
      <c r="F66" s="202">
        <f ca="1">VLOOKUP(A66,'銀行-TSS'!A:H,8,FALSE)</f>
        <v>0.05</v>
      </c>
      <c r="G66" s="96">
        <f ca="1">VLOOKUP(A66,'銀行-TSS'!A:K,11,FALSE)</f>
        <v>101.25</v>
      </c>
      <c r="H66" s="1209">
        <f ca="1">VLOOKUP(A66,'銀行-TSS'!A:M,13,FALSE)</f>
        <v>4.5499999999999999E-2</v>
      </c>
      <c r="I66" s="1213">
        <f ca="1">VLOOKUP(A66,'銀行-TSS'!A:N,14,FALSE)</f>
        <v>10000</v>
      </c>
      <c r="J66" s="1213">
        <f ca="1">VLOOKUP(A66,'銀行-TSS'!A:O,15,FALSE)</f>
        <v>1000</v>
      </c>
      <c r="K66" s="136" t="str">
        <f ca="1">VLOOKUP(A66,'銀行-TSS'!A:V,22,FALSE)</f>
        <v>高資產</v>
      </c>
      <c r="L66" s="136" t="str">
        <f ca="1">VLOOKUP(A66,'銀行-TSS'!A:AK,37,FALSE)</f>
        <v>有</v>
      </c>
      <c r="M66" s="136" t="str">
        <f ca="1">VLOOKUP(A66,'銀行-TSS'!A:AN,40,FALSE)</f>
        <v>XFQ60</v>
      </c>
      <c r="N66" s="136">
        <f t="shared" ca="1" si="0"/>
        <v>1012.5</v>
      </c>
      <c r="O66" s="1213">
        <f t="shared" ca="1" si="1"/>
        <v>10125</v>
      </c>
      <c r="P66" s="1213">
        <f ca="1">IF(AND($O$1&gt;=O66,換券單檔!$D$13=D66),I66+INT(($O$1-O66)/N66)*J66,0)</f>
        <v>95000</v>
      </c>
      <c r="Q66" s="1213">
        <f t="shared" ca="1" si="2"/>
        <v>4750</v>
      </c>
      <c r="R66" s="1213">
        <f t="shared" ca="1" si="43"/>
        <v>0</v>
      </c>
      <c r="S66" s="1213">
        <f t="shared" ca="1" si="44"/>
        <v>0</v>
      </c>
      <c r="T66" s="136">
        <f ca="1">IF(OR(R66=0,A66=0),0,IF(AND(V66=TRUE,換券單檔!$D$13=D66),E66,0))</f>
        <v>0</v>
      </c>
      <c r="U66" s="861">
        <f ca="1">IF(OR(R66=0,A66=0),0,IF(AND(V66=TRUE,換券單檔!$D$13=D66),H66,0))</f>
        <v>0</v>
      </c>
      <c r="V66" s="136" t="b">
        <f ca="1">IF(OR(B66=換券單檔!$D$3,L66="無",M66&lt;&gt;"",K66="高資產",IFERROR(MATCH(B66,換券單檔!K:K,0),"N")&lt;&gt;"N"),FALSE,IF($V$1="All",TRUE,IF(K66=$V$1,TRUE,FALSE)))</f>
        <v>0</v>
      </c>
      <c r="W66" s="136">
        <f ca="1">VLOOKUP(A66,'銀行-TSS'!A:AO,41,FALSE)</f>
        <v>98.81</v>
      </c>
      <c r="X66" s="136">
        <f ca="1">VLOOKUP(A66,'銀行-TSS'!A:AP,42,FALSE)</f>
        <v>1.7917000000000001</v>
      </c>
      <c r="Y66" s="1220">
        <f t="shared" ca="1" si="3"/>
        <v>0</v>
      </c>
      <c r="Z66" s="1220">
        <f t="shared" ca="1" si="4"/>
        <v>0</v>
      </c>
      <c r="AA66" s="136">
        <f ca="1">IF(Z66&lt;=0,0,RANK(Z66,Z:Z)+COUNTIF($Z$3:$Z66,Z66)-1)</f>
        <v>0</v>
      </c>
      <c r="AB66" s="1211">
        <f t="shared" ca="1" si="5"/>
        <v>-14896.14</v>
      </c>
      <c r="AC66" s="136">
        <f ca="1">IF(AB66&lt;=0,0,RANK(AB66,AB:AB)+COUNTIF($AB$3:$AB66,AB66)-1)</f>
        <v>0</v>
      </c>
      <c r="AD66" s="1123">
        <f t="shared" ca="1" si="6"/>
        <v>99999</v>
      </c>
      <c r="AE66" s="1123">
        <f ca="1">IF(AD66=99999,0,RANK(AD66,AD:AD,1)+COUNTIF($AD$3:$AD66,AD66)-1)</f>
        <v>0</v>
      </c>
      <c r="AF66" s="86" t="b">
        <f ca="1">IF(OR(M66&lt;&gt;"",L66="無",K66="高資產",IFERROR(MATCH(B66,換券單檔!K:K,0),"N")&lt;&gt;"N"),FALSE,TRUE)</f>
        <v>0</v>
      </c>
      <c r="AI66" s="1212">
        <f t="shared" ca="1" si="7"/>
        <v>0</v>
      </c>
      <c r="AJ66" s="1213">
        <f t="shared" ca="1" si="8"/>
        <v>0</v>
      </c>
      <c r="AK66" s="1587">
        <f t="shared" ca="1" si="9"/>
        <v>0</v>
      </c>
      <c r="AN66" s="1212">
        <f t="shared" ca="1" si="10"/>
        <v>0</v>
      </c>
      <c r="AO66" s="1213">
        <f t="shared" ca="1" si="11"/>
        <v>0</v>
      </c>
      <c r="AP66" s="1587">
        <f t="shared" ca="1" si="12"/>
        <v>0</v>
      </c>
      <c r="AS66" s="1212">
        <f t="shared" ca="1" si="13"/>
        <v>0</v>
      </c>
      <c r="AT66" s="1213">
        <f t="shared" ca="1" si="14"/>
        <v>0</v>
      </c>
      <c r="AU66" s="1587">
        <f t="shared" ca="1" si="15"/>
        <v>0</v>
      </c>
      <c r="AX66" s="1212">
        <f t="shared" ca="1" si="16"/>
        <v>0</v>
      </c>
      <c r="AY66" s="1213">
        <f t="shared" ca="1" si="17"/>
        <v>0</v>
      </c>
      <c r="AZ66" s="1587">
        <f t="shared" ca="1" si="18"/>
        <v>0</v>
      </c>
      <c r="BC66" s="1212">
        <f t="shared" ca="1" si="19"/>
        <v>0</v>
      </c>
      <c r="BD66" s="1213">
        <f t="shared" ca="1" si="20"/>
        <v>0</v>
      </c>
      <c r="BE66" s="1587">
        <f t="shared" ca="1" si="21"/>
        <v>0</v>
      </c>
      <c r="BH66" s="1212">
        <f t="shared" ca="1" si="22"/>
        <v>0</v>
      </c>
      <c r="BI66" s="1213">
        <f t="shared" ca="1" si="23"/>
        <v>0</v>
      </c>
      <c r="BJ66" s="1587">
        <f t="shared" ca="1" si="24"/>
        <v>0</v>
      </c>
      <c r="BM66" s="1212">
        <f t="shared" ca="1" si="25"/>
        <v>0</v>
      </c>
      <c r="BN66" s="1213">
        <f t="shared" ca="1" si="26"/>
        <v>0</v>
      </c>
      <c r="BO66" s="1587">
        <f t="shared" ca="1" si="27"/>
        <v>0</v>
      </c>
      <c r="BR66" s="1212">
        <f t="shared" ca="1" si="28"/>
        <v>0</v>
      </c>
      <c r="BS66" s="1213">
        <f t="shared" ca="1" si="29"/>
        <v>0</v>
      </c>
      <c r="BT66" s="1587">
        <f t="shared" ca="1" si="30"/>
        <v>0</v>
      </c>
      <c r="BW66" s="1212">
        <f t="shared" ca="1" si="31"/>
        <v>0</v>
      </c>
      <c r="BX66" s="1213">
        <f t="shared" ca="1" si="32"/>
        <v>0</v>
      </c>
      <c r="BY66" s="1587">
        <f t="shared" ca="1" si="33"/>
        <v>0</v>
      </c>
      <c r="CB66" s="1212">
        <f t="shared" ca="1" si="34"/>
        <v>0</v>
      </c>
      <c r="CC66" s="1213">
        <f t="shared" ca="1" si="35"/>
        <v>0</v>
      </c>
      <c r="CD66" s="1587">
        <f t="shared" ca="1" si="36"/>
        <v>0</v>
      </c>
      <c r="CG66" s="1212">
        <f t="shared" ca="1" si="37"/>
        <v>0</v>
      </c>
      <c r="CH66" s="1213">
        <f t="shared" ca="1" si="38"/>
        <v>0</v>
      </c>
      <c r="CI66" s="1587">
        <f t="shared" ca="1" si="39"/>
        <v>0</v>
      </c>
      <c r="CL66" s="1212">
        <f t="shared" ca="1" si="40"/>
        <v>0</v>
      </c>
      <c r="CM66" s="1213">
        <f t="shared" ca="1" si="41"/>
        <v>0</v>
      </c>
      <c r="CN66" s="1587">
        <f t="shared" ca="1" si="42"/>
        <v>0</v>
      </c>
    </row>
    <row r="67" spans="1:92">
      <c r="A67" s="141" t="str">
        <f>'銀行-TSS'!A67</f>
        <v>US038222AL98</v>
      </c>
      <c r="B67" s="151" t="str">
        <f ca="1">VLOOKUP(A67,'銀行-TSS'!A:B,2,FALSE)</f>
        <v>XFR10</v>
      </c>
      <c r="C67" s="151" t="str">
        <f ca="1">VLOOKUP(B67,bond!B:C,2,FALSE)</f>
        <v>應用材料公司美元配息債券 3.3% 2027/4/1</v>
      </c>
      <c r="D67" s="95" t="str">
        <f>VLOOKUP(A67,'銀行-TSS'!A:C,3,FALSE)</f>
        <v>USD</v>
      </c>
      <c r="E67" s="90">
        <f ca="1">VLOOKUP(A67,'銀行-TSS'!A:G,7,FALSE)</f>
        <v>2.75</v>
      </c>
      <c r="F67" s="202">
        <f ca="1">VLOOKUP(A67,'銀行-TSS'!A:H,8,FALSE)</f>
        <v>3.3000000000000002E-2</v>
      </c>
      <c r="G67" s="96">
        <f ca="1">VLOOKUP(A67,'銀行-TSS'!A:K,11,FALSE)</f>
        <v>98.570000000000007</v>
      </c>
      <c r="H67" s="1209">
        <f ca="1">VLOOKUP(A67,'銀行-TSS'!A:M,13,FALSE)</f>
        <v>4.1799999999999997E-2</v>
      </c>
      <c r="I67" s="1213">
        <f ca="1">VLOOKUP(A67,'銀行-TSS'!A:N,14,FALSE)</f>
        <v>10000</v>
      </c>
      <c r="J67" s="1213">
        <f ca="1">VLOOKUP(A67,'銀行-TSS'!A:O,15,FALSE)</f>
        <v>1000</v>
      </c>
      <c r="K67" s="136" t="str">
        <f ca="1">VLOOKUP(A67,'銀行-TSS'!A:V,22,FALSE)</f>
        <v>(NPI)非專投</v>
      </c>
      <c r="L67" s="136" t="str">
        <f ca="1">VLOOKUP(A67,'銀行-TSS'!A:AK,37,FALSE)</f>
        <v>有</v>
      </c>
      <c r="M67" s="136" t="str">
        <f ca="1">VLOOKUP(A67,'銀行-TSS'!A:AN,40,FALSE)</f>
        <v/>
      </c>
      <c r="N67" s="136">
        <f t="shared" ref="N67:N130" ca="1" si="45">G67*J67/100</f>
        <v>985.70000000000016</v>
      </c>
      <c r="O67" s="1213">
        <f t="shared" ref="O67:O130" ca="1" si="46">G67*I67/100</f>
        <v>9857.0000000000018</v>
      </c>
      <c r="P67" s="1213">
        <f ca="1">IF(AND($O$1&gt;=O67,換券單檔!$D$13=D67),I67+INT(($O$1-O67)/N67)*J67,0)</f>
        <v>98000</v>
      </c>
      <c r="Q67" s="1213">
        <f t="shared" ref="Q67:Q130" ca="1" si="47">P67*F67</f>
        <v>3234</v>
      </c>
      <c r="R67" s="1213">
        <f t="shared" ref="R67:R130" ca="1" si="48">IF(A67=0,0,IF(V67=FALSE,0,P67))</f>
        <v>98000</v>
      </c>
      <c r="S67" s="1213">
        <f t="shared" ref="S67:S130" ca="1" si="49">IF(A67=0,0,IF(V67=FALSE,0,Q67))</f>
        <v>3234</v>
      </c>
      <c r="T67" s="136">
        <f ca="1">IF(OR(R67=0,A67=0),0,IF(AND(V67=TRUE,換券單檔!$D$13=D67),E67,0))</f>
        <v>2.75</v>
      </c>
      <c r="U67" s="861">
        <f ca="1">IF(OR(R67=0,A67=0),0,IF(AND(V67=TRUE,換券單檔!$D$13=D67),H67,0))</f>
        <v>4.1799999999999997E-2</v>
      </c>
      <c r="V67" s="136" t="b">
        <f ca="1">IF(OR(B67=換券單檔!$D$3,L67="無",M67&lt;&gt;"",K67="高資產",IFERROR(MATCH(B67,換券單檔!K:K,0),"N")&lt;&gt;"N"),FALSE,IF($V$1="All",TRUE,IF(K67=$V$1,TRUE,FALSE)))</f>
        <v>1</v>
      </c>
      <c r="W67" s="136">
        <f ca="1">VLOOKUP(A67,'銀行-TSS'!A:AO,41,FALSE)</f>
        <v>96.54</v>
      </c>
      <c r="X67" s="136">
        <f ca="1">VLOOKUP(A67,'銀行-TSS'!A:AP,42,FALSE)</f>
        <v>2.5676999999999999</v>
      </c>
      <c r="Y67" s="1220">
        <f t="shared" ref="Y67:Y130" ca="1" si="50">IF(A67=0,0,IF(V67=FALSE,0,IFERROR(W67/100*P67*X67*1%,0)))</f>
        <v>2429.2804283999999</v>
      </c>
      <c r="Z67" s="1220">
        <f t="shared" ref="Z67:Z130" ca="1" si="51">IF(A67=0,0,IF(V67=FALSE,0,IF(OR(Q67&lt;$Y$1,E67&lt;5)=FALSE,((Q67-$Q$1)*MIN(3,E67)*(1-MIN(1/(2*E67),1))+IF((P67-$P$1)&lt;0,(P67-$P$1)*2,(P67-$P$1)*MIN(1/(2*E67),1))),0)))</f>
        <v>0</v>
      </c>
      <c r="AA67" s="136">
        <f ca="1">IF(Z67&lt;=0,0,RANK(Z67,Z:Z)+COUNTIF($Z$3:$Z67,Z67)-1)</f>
        <v>0</v>
      </c>
      <c r="AB67" s="1211">
        <f t="shared" ref="AB67:AB130" ca="1" si="52">IF(A67=0,0,IF(V67=FALSE,0,Y67+IF((P67-$P$1)&lt;0,(P67-$P$1),0)))-$AC$1</f>
        <v>-14466.8595716</v>
      </c>
      <c r="AC67" s="136">
        <f ca="1">IF(AB67&lt;=0,0,RANK(AB67,AB:AB)+COUNTIF($AB$3:$AB67,AB67)-1)</f>
        <v>0</v>
      </c>
      <c r="AD67" s="1123">
        <f t="shared" ref="AD67:AD130" ca="1" si="53">IF(A67=0,99999,IF(OR(V67=FALSE,AA67=0,AC67=0),99999,(AC67+AA67)/2))</f>
        <v>99999</v>
      </c>
      <c r="AE67" s="1123">
        <f ca="1">IF(AD67=99999,0,RANK(AD67,AD:AD,1)+COUNTIF($AD$3:$AD67,AD67)-1)</f>
        <v>0</v>
      </c>
      <c r="AF67" s="86" t="b">
        <f ca="1">IF(OR(M67&lt;&gt;"",L67="無",K67="高資產",IFERROR(MATCH(B67,換券單檔!K:K,0),"N")&lt;&gt;"N"),FALSE,TRUE)</f>
        <v>1</v>
      </c>
      <c r="AI67" s="1212">
        <f t="shared" ref="AI67:AI130" ca="1" si="54">IF($AF67=FALSE,0,IF(AND(AH$2&gt;=$O67,AH$1=$D67),$I67+INT((AH$2-$O67)/$N67)*$J67,0))</f>
        <v>98000</v>
      </c>
      <c r="AJ67" s="1213">
        <f t="shared" ref="AJ67:AJ130" ca="1" si="55">AI67*$F67</f>
        <v>3234</v>
      </c>
      <c r="AK67" s="1587">
        <f t="shared" ref="AK67:AK130" ca="1" si="56">IF($A67=0,0,IF(OR($AF67=FALSE,$B67=AG$1),0,IF(OR(AJ67&lt;(AJ$1*0.9),$E67&lt;5)=FALSE,((AJ67-AJ$1)*MIN(3,$E67)*(1-MIN(1/(2*$E67),1))+IF((AI67-AI$1)&lt;0,(AI67-AI$1)*2,(AI67-AI$1)*MIN(1/(2*$E67),1))),0)))</f>
        <v>0</v>
      </c>
      <c r="AN67" s="1212">
        <f t="shared" ref="AN67:AN130" ca="1" si="57">IF($AF67=FALSE,0,IF(AND(AM$2&gt;=$O67,AM$1=$D67),$I67+INT((AM$2-$O67)/$N67)*$J67,0))</f>
        <v>56000</v>
      </c>
      <c r="AO67" s="1213">
        <f t="shared" ref="AO67:AO130" ca="1" si="58">AN67*$F67</f>
        <v>1848</v>
      </c>
      <c r="AP67" s="1587">
        <f t="shared" ref="AP67:AP130" ca="1" si="59">IF($A67=0,0,IF(OR($AF67=FALSE,$B67=AL$1),0,IF(OR(AO67&lt;(AO$1*0.9),$E67&lt;5)=FALSE,((AO67-AO$1)*MIN(3,$E67)*(1-MIN(1/(2*$E67),1))+IF((AN67-AN$1)&lt;0,(AN67-AN$1)*2,(AN67-AN$1)*MIN(1/(2*$E67),1))),0)))</f>
        <v>0</v>
      </c>
      <c r="AS67" s="1212">
        <f t="shared" ref="AS67:AS130" ca="1" si="60">IF($AF67=FALSE,0,IF(AND(AR$2&gt;=$O67,AR$1=$D67),$I67+INT((AR$2-$O67)/$N67)*$J67,0))</f>
        <v>95000</v>
      </c>
      <c r="AT67" s="1213">
        <f t="shared" ref="AT67:AT130" ca="1" si="61">AS67*$F67</f>
        <v>3135</v>
      </c>
      <c r="AU67" s="1587">
        <f t="shared" ref="AU67:AU130" ca="1" si="62">IF($A67=0,0,IF(OR($AF67=FALSE,$B67=AQ$1),0,IF(OR(AT67&lt;(AT$1*0.9),$E67&lt;5)=FALSE,((AT67-AT$1)*MIN(3,$E67)*(1-MIN(1/(2*$E67),1))+IF((AS67-AS$1)&lt;0,(AS67-AS$1)*2,(AS67-AS$1)*MIN(1/(2*$E67),1))),0)))</f>
        <v>0</v>
      </c>
      <c r="AX67" s="1212">
        <f t="shared" ref="AX67:AX130" ca="1" si="63">IF($AF67=FALSE,0,IF(AND(AW$2&gt;=$O67,AW$1=$D67),$I67+INT((AW$2-$O67)/$N67)*$J67,0))</f>
        <v>88000</v>
      </c>
      <c r="AY67" s="1213">
        <f t="shared" ref="AY67:AY130" ca="1" si="64">AX67*$F67</f>
        <v>2904</v>
      </c>
      <c r="AZ67" s="1587">
        <f t="shared" ref="AZ67:AZ130" ca="1" si="65">IF($A67=0,0,IF(OR($AF67=FALSE,$B67=AV$1),0,IF(OR(AY67&lt;(AY$1*0.9),$E67&lt;5)=FALSE,((AY67-AY$1)*MIN(3,$E67)*(1-MIN(1/(2*$E67),1))+IF((AX67-AX$1)&lt;0,(AX67-AX$1)*2,(AX67-AX$1)*MIN(1/(2*$E67),1))),0)))</f>
        <v>0</v>
      </c>
      <c r="BC67" s="1212">
        <f t="shared" ref="BC67:BC130" ca="1" si="66">IF($AF67=FALSE,0,IF(AND(BB$2&gt;=$O67,BB$1=$D67),$I67+INT((BB$2-$O67)/$N67)*$J67,0))</f>
        <v>0</v>
      </c>
      <c r="BD67" s="1213">
        <f t="shared" ref="BD67:BD130" ca="1" si="67">BC67*$F67</f>
        <v>0</v>
      </c>
      <c r="BE67" s="1587">
        <f t="shared" ref="BE67:BE130" ca="1" si="68">IF($A67=0,0,IF(OR($AF67=FALSE,$B67=BA$1),0,IF(OR(BD67&lt;(BD$1*0.9),$E67&lt;5)=FALSE,((BD67-BD$1)*MIN(3,$E67)*(1-MIN(1/(2*$E67),1))+IF((BC67-BC$1)&lt;0,(BC67-BC$1)*2,(BC67-BC$1)*MIN(1/(2*$E67),1))),0)))</f>
        <v>0</v>
      </c>
      <c r="BH67" s="1212">
        <f t="shared" ref="BH67:BH130" ca="1" si="69">IF($AF67=FALSE,0,IF(AND(BG$2&gt;=$O67,BG$1=$D67),$I67+INT((BG$2-$O67)/$N67)*$J67,0))</f>
        <v>0</v>
      </c>
      <c r="BI67" s="1213">
        <f t="shared" ref="BI67:BI130" ca="1" si="70">BH67*$F67</f>
        <v>0</v>
      </c>
      <c r="BJ67" s="1587">
        <f t="shared" ref="BJ67:BJ130" ca="1" si="71">IF($A67=0,0,IF(OR($AF67=FALSE,$B67=BF$1),0,IF(OR(BI67&lt;(BI$1*0.9),$E67&lt;5)=FALSE,((BI67-BI$1)*MIN(3,$E67)*(1-MIN(1/(2*$E67),1))+IF((BH67-BH$1)&lt;0,(BH67-BH$1)*2,(BH67-BH$1)*MIN(1/(2*$E67),1))),0)))</f>
        <v>0</v>
      </c>
      <c r="BM67" s="1212">
        <f t="shared" ref="BM67:BM130" ca="1" si="72">IF($AF67=FALSE,0,IF(AND(BL$2&gt;=$O67,BL$1=$D67),$I67+INT((BL$2-$O67)/$N67)*$J67,0))</f>
        <v>0</v>
      </c>
      <c r="BN67" s="1213">
        <f t="shared" ref="BN67:BN130" ca="1" si="73">BM67*$F67</f>
        <v>0</v>
      </c>
      <c r="BO67" s="1587">
        <f t="shared" ref="BO67:BO130" ca="1" si="74">IF($A67=0,0,IF(OR($AF67=FALSE,$B67=BK$1),0,IF(OR(BN67&lt;(BN$1*0.9),$E67&lt;5)=FALSE,((BN67-BN$1)*MIN(3,$E67)*(1-MIN(1/(2*$E67),1))+IF((BM67-BM$1)&lt;0,(BM67-BM$1)*2,(BM67-BM$1)*MIN(1/(2*$E67),1))),0)))</f>
        <v>0</v>
      </c>
      <c r="BR67" s="1212">
        <f t="shared" ref="BR67:BR130" ca="1" si="75">IF($AF67=FALSE,0,IF(AND(BQ$2&gt;=$O67,BQ$1=$D67),$I67+INT((BQ$2-$O67)/$N67)*$J67,0))</f>
        <v>0</v>
      </c>
      <c r="BS67" s="1213">
        <f t="shared" ref="BS67:BS130" ca="1" si="76">BR67*$F67</f>
        <v>0</v>
      </c>
      <c r="BT67" s="1587">
        <f t="shared" ref="BT67:BT130" ca="1" si="77">IF($A67=0,0,IF(OR($AF67=FALSE,$B67=BP$1),0,IF(OR(BS67&lt;(BS$1*0.9),$E67&lt;5)=FALSE,((BS67-BS$1)*MIN(3,$E67)*(1-MIN(1/(2*$E67),1))+IF((BR67-BR$1)&lt;0,(BR67-BR$1)*2,(BR67-BR$1)*MIN(1/(2*$E67),1))),0)))</f>
        <v>0</v>
      </c>
      <c r="BW67" s="1212">
        <f t="shared" ref="BW67:BW130" ca="1" si="78">IF($AF67=FALSE,0,IF(AND(BV$2&gt;=$O67,BV$1=$D67),$I67+INT((BV$2-$O67)/$N67)*$J67,0))</f>
        <v>0</v>
      </c>
      <c r="BX67" s="1213">
        <f t="shared" ref="BX67:BX130" ca="1" si="79">BW67*$F67</f>
        <v>0</v>
      </c>
      <c r="BY67" s="1587">
        <f t="shared" ref="BY67:BY130" ca="1" si="80">IF($A67=0,0,IF(OR($AF67=FALSE,$B67=BU$1),0,IF(OR(BX67&lt;(BX$1*0.9),$E67&lt;5)=FALSE,((BX67-BX$1)*MIN(3,$E67)*(1-MIN(1/(2*$E67),1))+IF((BW67-BW$1)&lt;0,(BW67-BW$1)*2,(BW67-BW$1)*MIN(1/(2*$E67),1))),0)))</f>
        <v>0</v>
      </c>
      <c r="CB67" s="1212">
        <f t="shared" ref="CB67:CB130" ca="1" si="81">IF($AF67=FALSE,0,IF(AND(CA$2&gt;=$O67,CA$1=$D67),$I67+INT((CA$2-$O67)/$N67)*$J67,0))</f>
        <v>0</v>
      </c>
      <c r="CC67" s="1213">
        <f t="shared" ref="CC67:CC130" ca="1" si="82">CB67*$F67</f>
        <v>0</v>
      </c>
      <c r="CD67" s="1587">
        <f t="shared" ref="CD67:CD130" ca="1" si="83">IF($A67=0,0,IF(OR($AF67=FALSE,$B67=BZ$1),0,IF(OR(CC67&lt;(CC$1*0.9),$E67&lt;5)=FALSE,((CC67-CC$1)*MIN(3,$E67)*(1-MIN(1/(2*$E67),1))+IF((CB67-CB$1)&lt;0,(CB67-CB$1)*2,(CB67-CB$1)*MIN(1/(2*$E67),1))),0)))</f>
        <v>0</v>
      </c>
      <c r="CG67" s="1212">
        <f t="shared" ref="CG67:CG130" ca="1" si="84">IF($AF67=FALSE,0,IF(AND(CF$2&gt;=$O67,CF$1=$D67),$I67+INT((CF$2-$O67)/$N67)*$J67,0))</f>
        <v>0</v>
      </c>
      <c r="CH67" s="1213">
        <f t="shared" ref="CH67:CH130" ca="1" si="85">CG67*$F67</f>
        <v>0</v>
      </c>
      <c r="CI67" s="1587">
        <f t="shared" ref="CI67:CI130" ca="1" si="86">IF($A67=0,0,IF(OR($AF67=FALSE,$B67=CE$1),0,IF(OR(CH67&lt;(CH$1*0.9),$E67&lt;5)=FALSE,((CH67-CH$1)*MIN(3,$E67)*(1-MIN(1/(2*$E67),1))+IF((CG67-CG$1)&lt;0,(CG67-CG$1)*2,(CG67-CG$1)*MIN(1/(2*$E67),1))),0)))</f>
        <v>0</v>
      </c>
      <c r="CL67" s="1212">
        <f t="shared" ref="CL67:CL130" ca="1" si="87">IF($AF67=FALSE,0,IF(AND(CK$2&gt;=$O67,CK$1=$D67),$I67+INT((CK$2-$O67)/$N67)*$J67,0))</f>
        <v>0</v>
      </c>
      <c r="CM67" s="1213">
        <f t="shared" ref="CM67:CM130" ca="1" si="88">CL67*$F67</f>
        <v>0</v>
      </c>
      <c r="CN67" s="1587">
        <f t="shared" ref="CN67:CN130" ca="1" si="89">IF($A67=0,0,IF(OR($AF67=FALSE,$B67=CJ$1),0,IF(OR(CM67&lt;(CM$1*0.9),$E67&lt;5)=FALSE,((CM67-CM$1)*MIN(3,$E67)*(1-MIN(1/(2*$E67),1))+IF((CL67-CL$1)&lt;0,(CL67-CL$1)*2,(CL67-CL$1)*MIN(1/(2*$E67),1))),0)))</f>
        <v>0</v>
      </c>
    </row>
    <row r="68" spans="1:92">
      <c r="A68" s="141" t="str">
        <f>'銀行-TSS'!A68</f>
        <v>US035240AL43</v>
      </c>
      <c r="B68" s="151" t="str">
        <f ca="1">VLOOKUP(A68,'銀行-TSS'!A:B,2,FALSE)</f>
        <v>XFR50</v>
      </c>
      <c r="C68" s="151" t="str">
        <f ca="1">VLOOKUP(B68,bond!B:C,2,FALSE)</f>
        <v>安海斯-布希英博全球公司美元配息 4% 2028/4/13</v>
      </c>
      <c r="D68" s="95" t="str">
        <f>VLOOKUP(A68,'銀行-TSS'!A:C,3,FALSE)</f>
        <v>USD</v>
      </c>
      <c r="E68" s="90">
        <f ca="1">VLOOKUP(A68,'銀行-TSS'!A:G,7,FALSE)</f>
        <v>3.78</v>
      </c>
      <c r="F68" s="202">
        <f ca="1">VLOOKUP(A68,'銀行-TSS'!A:H,8,FALSE)</f>
        <v>0.04</v>
      </c>
      <c r="G68" s="96">
        <f ca="1">VLOOKUP(A68,'銀行-TSS'!A:K,11,FALSE)</f>
        <v>100.13</v>
      </c>
      <c r="H68" s="1209">
        <f ca="1">VLOOKUP(A68,'銀行-TSS'!A:M,13,FALSE)</f>
        <v>4.2200000000000001E-2</v>
      </c>
      <c r="I68" s="1213">
        <f ca="1">VLOOKUP(A68,'銀行-TSS'!A:N,14,FALSE)</f>
        <v>10000</v>
      </c>
      <c r="J68" s="1213">
        <f ca="1">VLOOKUP(A68,'銀行-TSS'!A:O,15,FALSE)</f>
        <v>1000</v>
      </c>
      <c r="K68" s="136" t="str">
        <f ca="1">VLOOKUP(A68,'銀行-TSS'!A:V,22,FALSE)</f>
        <v>(PI)專投</v>
      </c>
      <c r="L68" s="136" t="str">
        <f ca="1">VLOOKUP(A68,'銀行-TSS'!A:AK,37,FALSE)</f>
        <v>有</v>
      </c>
      <c r="M68" s="136" t="str">
        <f ca="1">VLOOKUP(A68,'銀行-TSS'!A:AN,40,FALSE)</f>
        <v/>
      </c>
      <c r="N68" s="136">
        <f t="shared" ca="1" si="45"/>
        <v>1001.3</v>
      </c>
      <c r="O68" s="1213">
        <f t="shared" ca="1" si="46"/>
        <v>10013</v>
      </c>
      <c r="P68" s="1213">
        <f ca="1">IF(AND($O$1&gt;=O68,換券單檔!$D$13=D68),I68+INT(($O$1-O68)/N68)*J68,0)</f>
        <v>96000</v>
      </c>
      <c r="Q68" s="1213">
        <f t="shared" ca="1" si="47"/>
        <v>3840</v>
      </c>
      <c r="R68" s="1213">
        <f t="shared" ca="1" si="48"/>
        <v>96000</v>
      </c>
      <c r="S68" s="1213">
        <f t="shared" ca="1" si="49"/>
        <v>3840</v>
      </c>
      <c r="T68" s="136">
        <f ca="1">IF(OR(R68=0,A68=0),0,IF(AND(V68=TRUE,換券單檔!$D$13=D68),E68,0))</f>
        <v>3.78</v>
      </c>
      <c r="U68" s="861">
        <f ca="1">IF(OR(R68=0,A68=0),0,IF(AND(V68=TRUE,換券單檔!$D$13=D68),H68,0))</f>
        <v>4.2200000000000001E-2</v>
      </c>
      <c r="V68" s="136" t="b">
        <f ca="1">IF(OR(B68=換券單檔!$D$3,L68="無",M68&lt;&gt;"",K68="高資產",IFERROR(MATCH(B68,換券單檔!K:K,0),"N")&lt;&gt;"N"),FALSE,IF($V$1="All",TRUE,IF(K68=$V$1,TRUE,FALSE)))</f>
        <v>1</v>
      </c>
      <c r="W68" s="136">
        <f ca="1">VLOOKUP(A68,'銀行-TSS'!A:AO,41,FALSE)</f>
        <v>97.65</v>
      </c>
      <c r="X68" s="136">
        <f ca="1">VLOOKUP(A68,'銀行-TSS'!A:AP,42,FALSE)</f>
        <v>3.4356</v>
      </c>
      <c r="Y68" s="1220">
        <f t="shared" ca="1" si="50"/>
        <v>3220.6688640000002</v>
      </c>
      <c r="Z68" s="1220">
        <f t="shared" ca="1" si="51"/>
        <v>0</v>
      </c>
      <c r="AA68" s="136">
        <f ca="1">IF(Z68&lt;=0,0,RANK(Z68,Z:Z)+COUNTIF($Z$3:$Z68,Z68)-1)</f>
        <v>0</v>
      </c>
      <c r="AB68" s="1211">
        <f t="shared" ca="1" si="52"/>
        <v>-15675.471136</v>
      </c>
      <c r="AC68" s="136">
        <f ca="1">IF(AB68&lt;=0,0,RANK(AB68,AB:AB)+COUNTIF($AB$3:$AB68,AB68)-1)</f>
        <v>0</v>
      </c>
      <c r="AD68" s="1123">
        <f t="shared" ca="1" si="53"/>
        <v>99999</v>
      </c>
      <c r="AE68" s="1123">
        <f ca="1">IF(AD68=99999,0,RANK(AD68,AD:AD,1)+COUNTIF($AD$3:$AD68,AD68)-1)</f>
        <v>0</v>
      </c>
      <c r="AF68" s="86" t="b">
        <f ca="1">IF(OR(M68&lt;&gt;"",L68="無",K68="高資產",IFERROR(MATCH(B68,換券單檔!K:K,0),"N")&lt;&gt;"N"),FALSE,TRUE)</f>
        <v>1</v>
      </c>
      <c r="AI68" s="1212">
        <f t="shared" ca="1" si="54"/>
        <v>96000</v>
      </c>
      <c r="AJ68" s="1213">
        <f t="shared" ca="1" si="55"/>
        <v>3840</v>
      </c>
      <c r="AK68" s="1587">
        <f t="shared" ca="1" si="56"/>
        <v>0</v>
      </c>
      <c r="AN68" s="1212">
        <f t="shared" ca="1" si="57"/>
        <v>55000</v>
      </c>
      <c r="AO68" s="1213">
        <f t="shared" ca="1" si="58"/>
        <v>2200</v>
      </c>
      <c r="AP68" s="1587">
        <f t="shared" ca="1" si="59"/>
        <v>0</v>
      </c>
      <c r="AS68" s="1212">
        <f t="shared" ca="1" si="60"/>
        <v>94000</v>
      </c>
      <c r="AT68" s="1213">
        <f t="shared" ca="1" si="61"/>
        <v>3760</v>
      </c>
      <c r="AU68" s="1587">
        <f t="shared" ca="1" si="62"/>
        <v>0</v>
      </c>
      <c r="AX68" s="1212">
        <f t="shared" ca="1" si="63"/>
        <v>86000</v>
      </c>
      <c r="AY68" s="1213">
        <f t="shared" ca="1" si="64"/>
        <v>3440</v>
      </c>
      <c r="AZ68" s="1587">
        <f t="shared" ca="1" si="65"/>
        <v>0</v>
      </c>
      <c r="BC68" s="1212">
        <f t="shared" ca="1" si="66"/>
        <v>0</v>
      </c>
      <c r="BD68" s="1213">
        <f t="shared" ca="1" si="67"/>
        <v>0</v>
      </c>
      <c r="BE68" s="1587">
        <f t="shared" ca="1" si="68"/>
        <v>0</v>
      </c>
      <c r="BH68" s="1212">
        <f t="shared" ca="1" si="69"/>
        <v>0</v>
      </c>
      <c r="BI68" s="1213">
        <f t="shared" ca="1" si="70"/>
        <v>0</v>
      </c>
      <c r="BJ68" s="1587">
        <f t="shared" ca="1" si="71"/>
        <v>0</v>
      </c>
      <c r="BM68" s="1212">
        <f t="shared" ca="1" si="72"/>
        <v>0</v>
      </c>
      <c r="BN68" s="1213">
        <f t="shared" ca="1" si="73"/>
        <v>0</v>
      </c>
      <c r="BO68" s="1587">
        <f t="shared" ca="1" si="74"/>
        <v>0</v>
      </c>
      <c r="BR68" s="1212">
        <f t="shared" ca="1" si="75"/>
        <v>0</v>
      </c>
      <c r="BS68" s="1213">
        <f t="shared" ca="1" si="76"/>
        <v>0</v>
      </c>
      <c r="BT68" s="1587">
        <f t="shared" ca="1" si="77"/>
        <v>0</v>
      </c>
      <c r="BW68" s="1212">
        <f t="shared" ca="1" si="78"/>
        <v>0</v>
      </c>
      <c r="BX68" s="1213">
        <f t="shared" ca="1" si="79"/>
        <v>0</v>
      </c>
      <c r="BY68" s="1587">
        <f t="shared" ca="1" si="80"/>
        <v>0</v>
      </c>
      <c r="CB68" s="1212">
        <f t="shared" ca="1" si="81"/>
        <v>0</v>
      </c>
      <c r="CC68" s="1213">
        <f t="shared" ca="1" si="82"/>
        <v>0</v>
      </c>
      <c r="CD68" s="1587">
        <f t="shared" ca="1" si="83"/>
        <v>0</v>
      </c>
      <c r="CG68" s="1212">
        <f t="shared" ca="1" si="84"/>
        <v>0</v>
      </c>
      <c r="CH68" s="1213">
        <f t="shared" ca="1" si="85"/>
        <v>0</v>
      </c>
      <c r="CI68" s="1587">
        <f t="shared" ca="1" si="86"/>
        <v>0</v>
      </c>
      <c r="CL68" s="1212">
        <f t="shared" ca="1" si="87"/>
        <v>0</v>
      </c>
      <c r="CM68" s="1213">
        <f t="shared" ca="1" si="88"/>
        <v>0</v>
      </c>
      <c r="CN68" s="1587">
        <f t="shared" ca="1" si="89"/>
        <v>0</v>
      </c>
    </row>
    <row r="69" spans="1:92">
      <c r="A69" s="141" t="str">
        <f>'銀行-TSS'!A69</f>
        <v>US00287YAY59</v>
      </c>
      <c r="B69" s="151" t="str">
        <f ca="1">VLOOKUP(A69,'銀行-TSS'!A:B,2,FALSE)</f>
        <v>XFR80</v>
      </c>
      <c r="C69" s="151" t="str">
        <f ca="1">VLOOKUP(B69,bond!B:C,2,FALSE)</f>
        <v>艾伯維藥品有限公司美元配息債券 3.2% 2026/5/14</v>
      </c>
      <c r="D69" s="95" t="str">
        <f>VLOOKUP(A69,'銀行-TSS'!A:C,3,FALSE)</f>
        <v>USD</v>
      </c>
      <c r="E69" s="90">
        <f ca="1">VLOOKUP(A69,'銀行-TSS'!A:G,7,FALSE)</f>
        <v>1.86</v>
      </c>
      <c r="F69" s="202">
        <f ca="1">VLOOKUP(A69,'銀行-TSS'!A:H,8,FALSE)</f>
        <v>3.2000000000000001E-2</v>
      </c>
      <c r="G69" s="96">
        <f ca="1">VLOOKUP(A69,'銀行-TSS'!A:K,11,FALSE)</f>
        <v>98.17</v>
      </c>
      <c r="H69" s="1209">
        <f ca="1">VLOOKUP(A69,'銀行-TSS'!A:M,13,FALSE)</f>
        <v>4.4699999999999997E-2</v>
      </c>
      <c r="I69" s="1213">
        <f ca="1">VLOOKUP(A69,'銀行-TSS'!A:N,14,FALSE)</f>
        <v>10000</v>
      </c>
      <c r="J69" s="1213">
        <f ca="1">VLOOKUP(A69,'銀行-TSS'!A:O,15,FALSE)</f>
        <v>1000</v>
      </c>
      <c r="K69" s="136" t="str">
        <f ca="1">VLOOKUP(A69,'銀行-TSS'!A:V,22,FALSE)</f>
        <v>(NPI)非專投</v>
      </c>
      <c r="L69" s="136" t="str">
        <f ca="1">VLOOKUP(A69,'銀行-TSS'!A:AK,37,FALSE)</f>
        <v>有</v>
      </c>
      <c r="M69" s="136" t="str">
        <f ca="1">VLOOKUP(A69,'銀行-TSS'!A:AN,40,FALSE)</f>
        <v/>
      </c>
      <c r="N69" s="136">
        <f t="shared" ca="1" si="45"/>
        <v>981.7</v>
      </c>
      <c r="O69" s="1213">
        <f t="shared" ca="1" si="46"/>
        <v>9817</v>
      </c>
      <c r="P69" s="1213">
        <f ca="1">IF(AND($O$1&gt;=O69,換券單檔!$D$13=D69),I69+INT(($O$1-O69)/N69)*J69,0)</f>
        <v>98000</v>
      </c>
      <c r="Q69" s="1213">
        <f t="shared" ca="1" si="47"/>
        <v>3136</v>
      </c>
      <c r="R69" s="1213">
        <f t="shared" ca="1" si="48"/>
        <v>98000</v>
      </c>
      <c r="S69" s="1213">
        <f t="shared" ca="1" si="49"/>
        <v>3136</v>
      </c>
      <c r="T69" s="136">
        <f ca="1">IF(OR(R69=0,A69=0),0,IF(AND(V69=TRUE,換券單檔!$D$13=D69),E69,0))</f>
        <v>1.86</v>
      </c>
      <c r="U69" s="861">
        <f ca="1">IF(OR(R69=0,A69=0),0,IF(AND(V69=TRUE,換券單檔!$D$13=D69),H69,0))</f>
        <v>4.4699999999999997E-2</v>
      </c>
      <c r="V69" s="136" t="b">
        <f ca="1">IF(OR(B69=換券單檔!$D$3,L69="無",M69&lt;&gt;"",K69="高資產",IFERROR(MATCH(B69,換券單檔!K:K,0),"N")&lt;&gt;"N"),FALSE,IF($V$1="All",TRUE,IF(K69=$V$1,TRUE,FALSE)))</f>
        <v>1</v>
      </c>
      <c r="W69" s="136">
        <f ca="1">VLOOKUP(A69,'銀行-TSS'!A:AO,41,FALSE)</f>
        <v>96.940000000000012</v>
      </c>
      <c r="X69" s="136">
        <f ca="1">VLOOKUP(A69,'銀行-TSS'!A:AP,42,FALSE)</f>
        <v>1.7762</v>
      </c>
      <c r="Y69" s="1220">
        <f t="shared" ca="1" si="50"/>
        <v>1687.4113144000003</v>
      </c>
      <c r="Z69" s="1220">
        <f t="shared" ca="1" si="51"/>
        <v>0</v>
      </c>
      <c r="AA69" s="136">
        <f ca="1">IF(Z69&lt;=0,0,RANK(Z69,Z:Z)+COUNTIF($Z$3:$Z69,Z69)-1)</f>
        <v>0</v>
      </c>
      <c r="AB69" s="1211">
        <f t="shared" ca="1" si="52"/>
        <v>-15208.728685599999</v>
      </c>
      <c r="AC69" s="136">
        <f ca="1">IF(AB69&lt;=0,0,RANK(AB69,AB:AB)+COUNTIF($AB$3:$AB69,AB69)-1)</f>
        <v>0</v>
      </c>
      <c r="AD69" s="1123">
        <f t="shared" ca="1" si="53"/>
        <v>99999</v>
      </c>
      <c r="AE69" s="1123">
        <f ca="1">IF(AD69=99999,0,RANK(AD69,AD:AD,1)+COUNTIF($AD$3:$AD69,AD69)-1)</f>
        <v>0</v>
      </c>
      <c r="AF69" s="86" t="b">
        <f ca="1">IF(OR(M69&lt;&gt;"",L69="無",K69="高資產",IFERROR(MATCH(B69,換券單檔!K:K,0),"N")&lt;&gt;"N"),FALSE,TRUE)</f>
        <v>1</v>
      </c>
      <c r="AI69" s="1212">
        <f t="shared" ca="1" si="54"/>
        <v>98000</v>
      </c>
      <c r="AJ69" s="1213">
        <f t="shared" ca="1" si="55"/>
        <v>3136</v>
      </c>
      <c r="AK69" s="1587">
        <f t="shared" ca="1" si="56"/>
        <v>0</v>
      </c>
      <c r="AN69" s="1212">
        <f t="shared" ca="1" si="57"/>
        <v>56000</v>
      </c>
      <c r="AO69" s="1213">
        <f t="shared" ca="1" si="58"/>
        <v>1792</v>
      </c>
      <c r="AP69" s="1587">
        <f t="shared" ca="1" si="59"/>
        <v>0</v>
      </c>
      <c r="AS69" s="1212">
        <f t="shared" ca="1" si="60"/>
        <v>96000</v>
      </c>
      <c r="AT69" s="1213">
        <f t="shared" ca="1" si="61"/>
        <v>3072</v>
      </c>
      <c r="AU69" s="1587">
        <f t="shared" ca="1" si="62"/>
        <v>0</v>
      </c>
      <c r="AX69" s="1212">
        <f t="shared" ca="1" si="63"/>
        <v>88000</v>
      </c>
      <c r="AY69" s="1213">
        <f t="shared" ca="1" si="64"/>
        <v>2816</v>
      </c>
      <c r="AZ69" s="1587">
        <f t="shared" ca="1" si="65"/>
        <v>0</v>
      </c>
      <c r="BC69" s="1212">
        <f t="shared" ca="1" si="66"/>
        <v>0</v>
      </c>
      <c r="BD69" s="1213">
        <f t="shared" ca="1" si="67"/>
        <v>0</v>
      </c>
      <c r="BE69" s="1587">
        <f t="shared" ca="1" si="68"/>
        <v>0</v>
      </c>
      <c r="BH69" s="1212">
        <f t="shared" ca="1" si="69"/>
        <v>0</v>
      </c>
      <c r="BI69" s="1213">
        <f t="shared" ca="1" si="70"/>
        <v>0</v>
      </c>
      <c r="BJ69" s="1587">
        <f t="shared" ca="1" si="71"/>
        <v>0</v>
      </c>
      <c r="BM69" s="1212">
        <f t="shared" ca="1" si="72"/>
        <v>0</v>
      </c>
      <c r="BN69" s="1213">
        <f t="shared" ca="1" si="73"/>
        <v>0</v>
      </c>
      <c r="BO69" s="1587">
        <f t="shared" ca="1" si="74"/>
        <v>0</v>
      </c>
      <c r="BR69" s="1212">
        <f t="shared" ca="1" si="75"/>
        <v>0</v>
      </c>
      <c r="BS69" s="1213">
        <f t="shared" ca="1" si="76"/>
        <v>0</v>
      </c>
      <c r="BT69" s="1587">
        <f t="shared" ca="1" si="77"/>
        <v>0</v>
      </c>
      <c r="BW69" s="1212">
        <f t="shared" ca="1" si="78"/>
        <v>0</v>
      </c>
      <c r="BX69" s="1213">
        <f t="shared" ca="1" si="79"/>
        <v>0</v>
      </c>
      <c r="BY69" s="1587">
        <f t="shared" ca="1" si="80"/>
        <v>0</v>
      </c>
      <c r="CB69" s="1212">
        <f t="shared" ca="1" si="81"/>
        <v>0</v>
      </c>
      <c r="CC69" s="1213">
        <f t="shared" ca="1" si="82"/>
        <v>0</v>
      </c>
      <c r="CD69" s="1587">
        <f t="shared" ca="1" si="83"/>
        <v>0</v>
      </c>
      <c r="CG69" s="1212">
        <f t="shared" ca="1" si="84"/>
        <v>0</v>
      </c>
      <c r="CH69" s="1213">
        <f t="shared" ca="1" si="85"/>
        <v>0</v>
      </c>
      <c r="CI69" s="1587">
        <f t="shared" ca="1" si="86"/>
        <v>0</v>
      </c>
      <c r="CL69" s="1212">
        <f t="shared" ca="1" si="87"/>
        <v>0</v>
      </c>
      <c r="CM69" s="1213">
        <f t="shared" ca="1" si="88"/>
        <v>0</v>
      </c>
      <c r="CN69" s="1587">
        <f t="shared" ca="1" si="89"/>
        <v>0</v>
      </c>
    </row>
    <row r="70" spans="1:92">
      <c r="A70" s="141" t="str">
        <f>'銀行-TSS'!A70</f>
        <v>US06738EAU91</v>
      </c>
      <c r="B70" s="151" t="str">
        <f ca="1">VLOOKUP(A70,'銀行-TSS'!A:B,2,FALSE)</f>
        <v>XFS30</v>
      </c>
      <c r="C70" s="151" t="str">
        <f ca="1">VLOOKUP(B70,bond!B:C,2,FALSE)</f>
        <v>巴克萊集團美元配息債券 4.337% 2028/1/10</v>
      </c>
      <c r="D70" s="95" t="str">
        <f>VLOOKUP(A70,'銀行-TSS'!A:C,3,FALSE)</f>
        <v>USD</v>
      </c>
      <c r="E70" s="90">
        <f ca="1">VLOOKUP(A70,'銀行-TSS'!A:G,7,FALSE)</f>
        <v>3.52</v>
      </c>
      <c r="F70" s="202">
        <f ca="1">VLOOKUP(A70,'銀行-TSS'!A:H,8,FALSE)</f>
        <v>4.3369999999999999E-2</v>
      </c>
      <c r="G70" s="96">
        <f ca="1">VLOOKUP(A70,'銀行-TSS'!A:K,11,FALSE)</f>
        <v>100.3</v>
      </c>
      <c r="H70" s="1209">
        <f ca="1">VLOOKUP(A70,'銀行-TSS'!A:M,13,FALSE)</f>
        <v>4.8899999999999999E-2</v>
      </c>
      <c r="I70" s="1213">
        <f ca="1">VLOOKUP(A70,'銀行-TSS'!A:N,14,FALSE)</f>
        <v>200000</v>
      </c>
      <c r="J70" s="1213">
        <f ca="1">VLOOKUP(A70,'銀行-TSS'!A:O,15,FALSE)</f>
        <v>1000</v>
      </c>
      <c r="K70" s="136" t="str">
        <f ca="1">VLOOKUP(A70,'銀行-TSS'!A:V,22,FALSE)</f>
        <v>(PI)專投</v>
      </c>
      <c r="L70" s="136" t="str">
        <f ca="1">VLOOKUP(A70,'銀行-TSS'!A:AK,37,FALSE)</f>
        <v>有</v>
      </c>
      <c r="M70" s="136" t="str">
        <f ca="1">VLOOKUP(A70,'銀行-TSS'!A:AN,40,FALSE)</f>
        <v/>
      </c>
      <c r="N70" s="136">
        <f t="shared" ca="1" si="45"/>
        <v>1003</v>
      </c>
      <c r="O70" s="1213">
        <f t="shared" ca="1" si="46"/>
        <v>200600</v>
      </c>
      <c r="P70" s="1213">
        <f ca="1">IF(AND($O$1&gt;=O70,換券單檔!$D$13=D70),I70+INT(($O$1-O70)/N70)*J70,0)</f>
        <v>0</v>
      </c>
      <c r="Q70" s="1213">
        <f t="shared" ca="1" si="47"/>
        <v>0</v>
      </c>
      <c r="R70" s="1213">
        <f t="shared" ca="1" si="48"/>
        <v>0</v>
      </c>
      <c r="S70" s="1213">
        <f t="shared" ca="1" si="49"/>
        <v>0</v>
      </c>
      <c r="T70" s="136">
        <f ca="1">IF(OR(R70=0,A70=0),0,IF(AND(V70=TRUE,換券單檔!$D$13=D70),E70,0))</f>
        <v>0</v>
      </c>
      <c r="U70" s="861">
        <f ca="1">IF(OR(R70=0,A70=0),0,IF(AND(V70=TRUE,換券單檔!$D$13=D70),H70,0))</f>
        <v>0</v>
      </c>
      <c r="V70" s="136" t="b">
        <f ca="1">IF(OR(B70=換券單檔!$D$3,L70="無",M70&lt;&gt;"",K70="高資產",IFERROR(MATCH(B70,換券單檔!K:K,0),"N")&lt;&gt;"N"),FALSE,IF($V$1="All",TRUE,IF(K70=$V$1,TRUE,FALSE)))</f>
        <v>1</v>
      </c>
      <c r="W70" s="136">
        <f ca="1">VLOOKUP(A70,'銀行-TSS'!A:AO,41,FALSE)</f>
        <v>96.73</v>
      </c>
      <c r="X70" s="136">
        <f ca="1">VLOOKUP(A70,'銀行-TSS'!A:AP,42,FALSE)</f>
        <v>3.1496</v>
      </c>
      <c r="Y70" s="1220">
        <f t="shared" ca="1" si="50"/>
        <v>0</v>
      </c>
      <c r="Z70" s="1220">
        <f t="shared" ca="1" si="51"/>
        <v>0</v>
      </c>
      <c r="AA70" s="136">
        <f ca="1">IF(Z70&lt;=0,0,RANK(Z70,Z:Z)+COUNTIF($Z$3:$Z70,Z70)-1)</f>
        <v>0</v>
      </c>
      <c r="AB70" s="1211">
        <f t="shared" ca="1" si="52"/>
        <v>-114896.14</v>
      </c>
      <c r="AC70" s="136">
        <f ca="1">IF(AB70&lt;=0,0,RANK(AB70,AB:AB)+COUNTIF($AB$3:$AB70,AB70)-1)</f>
        <v>0</v>
      </c>
      <c r="AD70" s="1123">
        <f t="shared" ca="1" si="53"/>
        <v>99999</v>
      </c>
      <c r="AE70" s="1123">
        <f ca="1">IF(AD70=99999,0,RANK(AD70,AD:AD,1)+COUNTIF($AD$3:$AD70,AD70)-1)</f>
        <v>0</v>
      </c>
      <c r="AF70" s="86" t="b">
        <f ca="1">IF(OR(M70&lt;&gt;"",L70="無",K70="高資產",IFERROR(MATCH(B70,換券單檔!K:K,0),"N")&lt;&gt;"N"),FALSE,TRUE)</f>
        <v>1</v>
      </c>
      <c r="AI70" s="1212">
        <f t="shared" ca="1" si="54"/>
        <v>0</v>
      </c>
      <c r="AJ70" s="1213">
        <f t="shared" ca="1" si="55"/>
        <v>0</v>
      </c>
      <c r="AK70" s="1587">
        <f t="shared" ca="1" si="56"/>
        <v>0</v>
      </c>
      <c r="AN70" s="1212">
        <f t="shared" ca="1" si="57"/>
        <v>0</v>
      </c>
      <c r="AO70" s="1213">
        <f t="shared" ca="1" si="58"/>
        <v>0</v>
      </c>
      <c r="AP70" s="1587">
        <f t="shared" ca="1" si="59"/>
        <v>0</v>
      </c>
      <c r="AS70" s="1212">
        <f t="shared" ca="1" si="60"/>
        <v>0</v>
      </c>
      <c r="AT70" s="1213">
        <f t="shared" ca="1" si="61"/>
        <v>0</v>
      </c>
      <c r="AU70" s="1587">
        <f t="shared" ca="1" si="62"/>
        <v>0</v>
      </c>
      <c r="AX70" s="1212">
        <f t="shared" ca="1" si="63"/>
        <v>0</v>
      </c>
      <c r="AY70" s="1213">
        <f t="shared" ca="1" si="64"/>
        <v>0</v>
      </c>
      <c r="AZ70" s="1587">
        <f t="shared" ca="1" si="65"/>
        <v>0</v>
      </c>
      <c r="BC70" s="1212">
        <f t="shared" ca="1" si="66"/>
        <v>0</v>
      </c>
      <c r="BD70" s="1213">
        <f t="shared" ca="1" si="67"/>
        <v>0</v>
      </c>
      <c r="BE70" s="1587">
        <f t="shared" ca="1" si="68"/>
        <v>0</v>
      </c>
      <c r="BH70" s="1212">
        <f t="shared" ca="1" si="69"/>
        <v>0</v>
      </c>
      <c r="BI70" s="1213">
        <f t="shared" ca="1" si="70"/>
        <v>0</v>
      </c>
      <c r="BJ70" s="1587">
        <f t="shared" ca="1" si="71"/>
        <v>0</v>
      </c>
      <c r="BM70" s="1212">
        <f t="shared" ca="1" si="72"/>
        <v>0</v>
      </c>
      <c r="BN70" s="1213">
        <f t="shared" ca="1" si="73"/>
        <v>0</v>
      </c>
      <c r="BO70" s="1587">
        <f t="shared" ca="1" si="74"/>
        <v>0</v>
      </c>
      <c r="BR70" s="1212">
        <f t="shared" ca="1" si="75"/>
        <v>0</v>
      </c>
      <c r="BS70" s="1213">
        <f t="shared" ca="1" si="76"/>
        <v>0</v>
      </c>
      <c r="BT70" s="1587">
        <f t="shared" ca="1" si="77"/>
        <v>0</v>
      </c>
      <c r="BW70" s="1212">
        <f t="shared" ca="1" si="78"/>
        <v>0</v>
      </c>
      <c r="BX70" s="1213">
        <f t="shared" ca="1" si="79"/>
        <v>0</v>
      </c>
      <c r="BY70" s="1587">
        <f t="shared" ca="1" si="80"/>
        <v>0</v>
      </c>
      <c r="CB70" s="1212">
        <f t="shared" ca="1" si="81"/>
        <v>0</v>
      </c>
      <c r="CC70" s="1213">
        <f t="shared" ca="1" si="82"/>
        <v>0</v>
      </c>
      <c r="CD70" s="1587">
        <f t="shared" ca="1" si="83"/>
        <v>0</v>
      </c>
      <c r="CG70" s="1212">
        <f t="shared" ca="1" si="84"/>
        <v>0</v>
      </c>
      <c r="CH70" s="1213">
        <f t="shared" ca="1" si="85"/>
        <v>0</v>
      </c>
      <c r="CI70" s="1587">
        <f t="shared" ca="1" si="86"/>
        <v>0</v>
      </c>
      <c r="CL70" s="1212">
        <f t="shared" ca="1" si="87"/>
        <v>0</v>
      </c>
      <c r="CM70" s="1213">
        <f t="shared" ca="1" si="88"/>
        <v>0</v>
      </c>
      <c r="CN70" s="1587">
        <f t="shared" ca="1" si="89"/>
        <v>0</v>
      </c>
    </row>
    <row r="71" spans="1:92">
      <c r="A71" s="141" t="str">
        <f>'銀行-TSS'!A71</f>
        <v>US958102AM75</v>
      </c>
      <c r="B71" s="151" t="str">
        <f ca="1">VLOOKUP(A71,'銀行-TSS'!A:B,2,FALSE)</f>
        <v>XFS40 </v>
      </c>
      <c r="C71" s="151" t="str">
        <f ca="1">VLOOKUP(B71,bond!B:C,2,FALSE)</f>
        <v>威騰電子公司美元配息債券 4.75% 2026/2/15</v>
      </c>
      <c r="D71" s="95" t="str">
        <f>VLOOKUP(A71,'銀行-TSS'!A:C,3,FALSE)</f>
        <v>USD</v>
      </c>
      <c r="E71" s="90">
        <f ca="1">VLOOKUP(A71,'銀行-TSS'!A:G,7,FALSE)</f>
        <v>1.62</v>
      </c>
      <c r="F71" s="202">
        <f ca="1">VLOOKUP(A71,'銀行-TSS'!A:H,8,FALSE)</f>
        <v>4.7500000000000001E-2</v>
      </c>
      <c r="G71" s="96">
        <f ca="1">VLOOKUP(A71,'銀行-TSS'!A:K,11,FALSE)</f>
        <v>102.1</v>
      </c>
      <c r="H71" s="1209">
        <f ca="1">VLOOKUP(A71,'銀行-TSS'!A:M,13,FALSE)</f>
        <v>4.5600000000000002E-2</v>
      </c>
      <c r="I71" s="1213">
        <f ca="1">VLOOKUP(A71,'銀行-TSS'!A:N,14,FALSE)</f>
        <v>10000</v>
      </c>
      <c r="J71" s="1213">
        <f ca="1">VLOOKUP(A71,'銀行-TSS'!A:O,15,FALSE)</f>
        <v>1000</v>
      </c>
      <c r="K71" s="136" t="str">
        <f ca="1">VLOOKUP(A71,'銀行-TSS'!A:V,22,FALSE)</f>
        <v>(PI)專投</v>
      </c>
      <c r="L71" s="136" t="str">
        <f ca="1">VLOOKUP(A71,'銀行-TSS'!A:AK,37,FALSE)</f>
        <v>有</v>
      </c>
      <c r="M71" s="136" t="str">
        <f ca="1">VLOOKUP(A71,'銀行-TSS'!A:AN,40,FALSE)</f>
        <v>XFS40 </v>
      </c>
      <c r="N71" s="136">
        <f t="shared" ca="1" si="45"/>
        <v>1021</v>
      </c>
      <c r="O71" s="1213">
        <f t="shared" ca="1" si="46"/>
        <v>10210</v>
      </c>
      <c r="P71" s="1213">
        <f ca="1">IF(AND($O$1&gt;=O71,換券單檔!$D$13=D71),I71+INT(($O$1-O71)/N71)*J71,0)</f>
        <v>94000</v>
      </c>
      <c r="Q71" s="1213">
        <f t="shared" ca="1" si="47"/>
        <v>4465</v>
      </c>
      <c r="R71" s="1213">
        <f t="shared" ca="1" si="48"/>
        <v>0</v>
      </c>
      <c r="S71" s="1213">
        <f t="shared" ca="1" si="49"/>
        <v>0</v>
      </c>
      <c r="T71" s="136">
        <f ca="1">IF(OR(R71=0,A71=0),0,IF(AND(V71=TRUE,換券單檔!$D$13=D71),E71,0))</f>
        <v>0</v>
      </c>
      <c r="U71" s="861">
        <f ca="1">IF(OR(R71=0,A71=0),0,IF(AND(V71=TRUE,換券單檔!$D$13=D71),H71,0))</f>
        <v>0</v>
      </c>
      <c r="V71" s="136" t="b">
        <f ca="1">IF(OR(B71=換券單檔!$D$3,L71="無",M71&lt;&gt;"",K71="高資產",IFERROR(MATCH(B71,換券單檔!K:K,0),"N")&lt;&gt;"N"),FALSE,IF($V$1="All",TRUE,IF(K71=$V$1,TRUE,FALSE)))</f>
        <v>0</v>
      </c>
      <c r="W71" s="136">
        <f ca="1">VLOOKUP(A71,'銀行-TSS'!A:AO,41,FALSE)</f>
        <v>98.29</v>
      </c>
      <c r="X71" s="136">
        <f ca="1">VLOOKUP(A71,'銀行-TSS'!A:AP,42,FALSE)</f>
        <v>1.5101</v>
      </c>
      <c r="Y71" s="1220">
        <f t="shared" ca="1" si="50"/>
        <v>0</v>
      </c>
      <c r="Z71" s="1220">
        <f t="shared" ca="1" si="51"/>
        <v>0</v>
      </c>
      <c r="AA71" s="136">
        <f ca="1">IF(Z71&lt;=0,0,RANK(Z71,Z:Z)+COUNTIF($Z$3:$Z71,Z71)-1)</f>
        <v>0</v>
      </c>
      <c r="AB71" s="1211">
        <f t="shared" ca="1" si="52"/>
        <v>-14896.14</v>
      </c>
      <c r="AC71" s="136">
        <f ca="1">IF(AB71&lt;=0,0,RANK(AB71,AB:AB)+COUNTIF($AB$3:$AB71,AB71)-1)</f>
        <v>0</v>
      </c>
      <c r="AD71" s="1123">
        <f t="shared" ca="1" si="53"/>
        <v>99999</v>
      </c>
      <c r="AE71" s="1123">
        <f ca="1">IF(AD71=99999,0,RANK(AD71,AD:AD,1)+COUNTIF($AD$3:$AD71,AD71)-1)</f>
        <v>0</v>
      </c>
      <c r="AF71" s="86" t="b">
        <f ca="1">IF(OR(M71&lt;&gt;"",L71="無",K71="高資產",IFERROR(MATCH(B71,換券單檔!K:K,0),"N")&lt;&gt;"N"),FALSE,TRUE)</f>
        <v>0</v>
      </c>
      <c r="AI71" s="1212">
        <f t="shared" ca="1" si="54"/>
        <v>0</v>
      </c>
      <c r="AJ71" s="1213">
        <f t="shared" ca="1" si="55"/>
        <v>0</v>
      </c>
      <c r="AK71" s="1587">
        <f t="shared" ca="1" si="56"/>
        <v>0</v>
      </c>
      <c r="AN71" s="1212">
        <f t="shared" ca="1" si="57"/>
        <v>0</v>
      </c>
      <c r="AO71" s="1213">
        <f t="shared" ca="1" si="58"/>
        <v>0</v>
      </c>
      <c r="AP71" s="1587">
        <f t="shared" ca="1" si="59"/>
        <v>0</v>
      </c>
      <c r="AS71" s="1212">
        <f t="shared" ca="1" si="60"/>
        <v>0</v>
      </c>
      <c r="AT71" s="1213">
        <f t="shared" ca="1" si="61"/>
        <v>0</v>
      </c>
      <c r="AU71" s="1587">
        <f t="shared" ca="1" si="62"/>
        <v>0</v>
      </c>
      <c r="AX71" s="1212">
        <f t="shared" ca="1" si="63"/>
        <v>0</v>
      </c>
      <c r="AY71" s="1213">
        <f t="shared" ca="1" si="64"/>
        <v>0</v>
      </c>
      <c r="AZ71" s="1587">
        <f t="shared" ca="1" si="65"/>
        <v>0</v>
      </c>
      <c r="BC71" s="1212">
        <f t="shared" ca="1" si="66"/>
        <v>0</v>
      </c>
      <c r="BD71" s="1213">
        <f t="shared" ca="1" si="67"/>
        <v>0</v>
      </c>
      <c r="BE71" s="1587">
        <f t="shared" ca="1" si="68"/>
        <v>0</v>
      </c>
      <c r="BH71" s="1212">
        <f t="shared" ca="1" si="69"/>
        <v>0</v>
      </c>
      <c r="BI71" s="1213">
        <f t="shared" ca="1" si="70"/>
        <v>0</v>
      </c>
      <c r="BJ71" s="1587">
        <f t="shared" ca="1" si="71"/>
        <v>0</v>
      </c>
      <c r="BM71" s="1212">
        <f t="shared" ca="1" si="72"/>
        <v>0</v>
      </c>
      <c r="BN71" s="1213">
        <f t="shared" ca="1" si="73"/>
        <v>0</v>
      </c>
      <c r="BO71" s="1587">
        <f t="shared" ca="1" si="74"/>
        <v>0</v>
      </c>
      <c r="BR71" s="1212">
        <f t="shared" ca="1" si="75"/>
        <v>0</v>
      </c>
      <c r="BS71" s="1213">
        <f t="shared" ca="1" si="76"/>
        <v>0</v>
      </c>
      <c r="BT71" s="1587">
        <f t="shared" ca="1" si="77"/>
        <v>0</v>
      </c>
      <c r="BW71" s="1212">
        <f t="shared" ca="1" si="78"/>
        <v>0</v>
      </c>
      <c r="BX71" s="1213">
        <f t="shared" ca="1" si="79"/>
        <v>0</v>
      </c>
      <c r="BY71" s="1587">
        <f t="shared" ca="1" si="80"/>
        <v>0</v>
      </c>
      <c r="CB71" s="1212">
        <f t="shared" ca="1" si="81"/>
        <v>0</v>
      </c>
      <c r="CC71" s="1213">
        <f t="shared" ca="1" si="82"/>
        <v>0</v>
      </c>
      <c r="CD71" s="1587">
        <f t="shared" ca="1" si="83"/>
        <v>0</v>
      </c>
      <c r="CG71" s="1212">
        <f t="shared" ca="1" si="84"/>
        <v>0</v>
      </c>
      <c r="CH71" s="1213">
        <f t="shared" ca="1" si="85"/>
        <v>0</v>
      </c>
      <c r="CI71" s="1587">
        <f t="shared" ca="1" si="86"/>
        <v>0</v>
      </c>
      <c r="CL71" s="1212">
        <f t="shared" ca="1" si="87"/>
        <v>0</v>
      </c>
      <c r="CM71" s="1213">
        <f t="shared" ca="1" si="88"/>
        <v>0</v>
      </c>
      <c r="CN71" s="1587">
        <f t="shared" ca="1" si="89"/>
        <v>0</v>
      </c>
    </row>
    <row r="72" spans="1:92">
      <c r="A72" s="141" t="str">
        <f>'銀行-TSS'!A72</f>
        <v>XS1891687300</v>
      </c>
      <c r="B72" s="151" t="str">
        <f ca="1">VLOOKUP(A72,'銀行-TSS'!A:B,2,FALSE)</f>
        <v>XFS80</v>
      </c>
      <c r="C72" s="151" t="str">
        <f ca="1">VLOOKUP(B72,bond!B:C,2,FALSE)</f>
        <v>鴻海子公司美元配息債券 4.25% 2029/3/12</v>
      </c>
      <c r="D72" s="95" t="str">
        <f>VLOOKUP(A72,'銀行-TSS'!A:C,3,FALSE)</f>
        <v>USD</v>
      </c>
      <c r="E72" s="90">
        <f ca="1">VLOOKUP(A72,'銀行-TSS'!A:G,7,FALSE)</f>
        <v>4.6900000000000004</v>
      </c>
      <c r="F72" s="202">
        <f ca="1">VLOOKUP(A72,'銀行-TSS'!A:H,8,FALSE)</f>
        <v>4.2500000000000003E-2</v>
      </c>
      <c r="G72" s="96">
        <f ca="1">VLOOKUP(A72,'銀行-TSS'!A:K,11,FALSE)</f>
        <v>100.6</v>
      </c>
      <c r="H72" s="1209">
        <f ca="1">VLOOKUP(A72,'銀行-TSS'!A:M,13,FALSE)</f>
        <v>4.4200000000000003E-2</v>
      </c>
      <c r="I72" s="1213">
        <f ca="1">VLOOKUP(A72,'銀行-TSS'!A:N,14,FALSE)</f>
        <v>200000</v>
      </c>
      <c r="J72" s="1213">
        <f ca="1">VLOOKUP(A72,'銀行-TSS'!A:O,15,FALSE)</f>
        <v>1000</v>
      </c>
      <c r="K72" s="136" t="str">
        <f ca="1">VLOOKUP(A72,'銀行-TSS'!A:V,22,FALSE)</f>
        <v>(NPI)非專投</v>
      </c>
      <c r="L72" s="136" t="str">
        <f ca="1">VLOOKUP(A72,'銀行-TSS'!A:AK,37,FALSE)</f>
        <v>需查詢</v>
      </c>
      <c r="M72" s="136" t="str">
        <f ca="1">VLOOKUP(A72,'銀行-TSS'!A:AN,40,FALSE)</f>
        <v/>
      </c>
      <c r="N72" s="136">
        <f t="shared" ca="1" si="45"/>
        <v>1006</v>
      </c>
      <c r="O72" s="1213">
        <f t="shared" ca="1" si="46"/>
        <v>201200</v>
      </c>
      <c r="P72" s="1213">
        <f ca="1">IF(AND($O$1&gt;=O72,換券單檔!$D$13=D72),I72+INT(($O$1-O72)/N72)*J72,0)</f>
        <v>0</v>
      </c>
      <c r="Q72" s="1213">
        <f t="shared" ca="1" si="47"/>
        <v>0</v>
      </c>
      <c r="R72" s="1213">
        <f t="shared" ca="1" si="48"/>
        <v>0</v>
      </c>
      <c r="S72" s="1213">
        <f t="shared" ca="1" si="49"/>
        <v>0</v>
      </c>
      <c r="T72" s="136">
        <f ca="1">IF(OR(R72=0,A72=0),0,IF(AND(V72=TRUE,換券單檔!$D$13=D72),E72,0))</f>
        <v>0</v>
      </c>
      <c r="U72" s="861">
        <f ca="1">IF(OR(R72=0,A72=0),0,IF(AND(V72=TRUE,換券單檔!$D$13=D72),H72,0))</f>
        <v>0</v>
      </c>
      <c r="V72" s="136" t="b">
        <f ca="1">IF(OR(B72=換券單檔!$D$3,L72="無",M72&lt;&gt;"",K72="高資產",IFERROR(MATCH(B72,換券單檔!K:K,0),"N")&lt;&gt;"N"),FALSE,IF($V$1="All",TRUE,IF(K72=$V$1,TRUE,FALSE)))</f>
        <v>1</v>
      </c>
      <c r="W72" s="136">
        <f ca="1">VLOOKUP(A72,'銀行-TSS'!A:AO,41,FALSE)</f>
        <v>97.29</v>
      </c>
      <c r="X72" s="136">
        <f ca="1">VLOOKUP(A72,'銀行-TSS'!A:AP,42,FALSE)</f>
        <v>4.1418999999999997</v>
      </c>
      <c r="Y72" s="1220">
        <f t="shared" ca="1" si="50"/>
        <v>0</v>
      </c>
      <c r="Z72" s="1220">
        <f t="shared" ca="1" si="51"/>
        <v>0</v>
      </c>
      <c r="AA72" s="136">
        <f ca="1">IF(Z72&lt;=0,0,RANK(Z72,Z:Z)+COUNTIF($Z$3:$Z72,Z72)-1)</f>
        <v>0</v>
      </c>
      <c r="AB72" s="1211">
        <f t="shared" ca="1" si="52"/>
        <v>-114896.14</v>
      </c>
      <c r="AC72" s="136">
        <f ca="1">IF(AB72&lt;=0,0,RANK(AB72,AB:AB)+COUNTIF($AB$3:$AB72,AB72)-1)</f>
        <v>0</v>
      </c>
      <c r="AD72" s="1123">
        <f t="shared" ca="1" si="53"/>
        <v>99999</v>
      </c>
      <c r="AE72" s="1123">
        <f ca="1">IF(AD72=99999,0,RANK(AD72,AD:AD,1)+COUNTIF($AD$3:$AD72,AD72)-1)</f>
        <v>0</v>
      </c>
      <c r="AF72" s="86" t="b">
        <f ca="1">IF(OR(M72&lt;&gt;"",L72="無",K72="高資產",IFERROR(MATCH(B72,換券單檔!K:K,0),"N")&lt;&gt;"N"),FALSE,TRUE)</f>
        <v>1</v>
      </c>
      <c r="AI72" s="1212">
        <f t="shared" ca="1" si="54"/>
        <v>0</v>
      </c>
      <c r="AJ72" s="1213">
        <f t="shared" ca="1" si="55"/>
        <v>0</v>
      </c>
      <c r="AK72" s="1587">
        <f t="shared" ca="1" si="56"/>
        <v>0</v>
      </c>
      <c r="AN72" s="1212">
        <f t="shared" ca="1" si="57"/>
        <v>0</v>
      </c>
      <c r="AO72" s="1213">
        <f t="shared" ca="1" si="58"/>
        <v>0</v>
      </c>
      <c r="AP72" s="1587">
        <f t="shared" ca="1" si="59"/>
        <v>0</v>
      </c>
      <c r="AS72" s="1212">
        <f t="shared" ca="1" si="60"/>
        <v>0</v>
      </c>
      <c r="AT72" s="1213">
        <f t="shared" ca="1" si="61"/>
        <v>0</v>
      </c>
      <c r="AU72" s="1587">
        <f t="shared" ca="1" si="62"/>
        <v>0</v>
      </c>
      <c r="AX72" s="1212">
        <f t="shared" ca="1" si="63"/>
        <v>0</v>
      </c>
      <c r="AY72" s="1213">
        <f t="shared" ca="1" si="64"/>
        <v>0</v>
      </c>
      <c r="AZ72" s="1587">
        <f t="shared" ca="1" si="65"/>
        <v>0</v>
      </c>
      <c r="BC72" s="1212">
        <f t="shared" ca="1" si="66"/>
        <v>0</v>
      </c>
      <c r="BD72" s="1213">
        <f t="shared" ca="1" si="67"/>
        <v>0</v>
      </c>
      <c r="BE72" s="1587">
        <f t="shared" ca="1" si="68"/>
        <v>0</v>
      </c>
      <c r="BH72" s="1212">
        <f t="shared" ca="1" si="69"/>
        <v>0</v>
      </c>
      <c r="BI72" s="1213">
        <f t="shared" ca="1" si="70"/>
        <v>0</v>
      </c>
      <c r="BJ72" s="1587">
        <f t="shared" ca="1" si="71"/>
        <v>0</v>
      </c>
      <c r="BM72" s="1212">
        <f t="shared" ca="1" si="72"/>
        <v>0</v>
      </c>
      <c r="BN72" s="1213">
        <f t="shared" ca="1" si="73"/>
        <v>0</v>
      </c>
      <c r="BO72" s="1587">
        <f t="shared" ca="1" si="74"/>
        <v>0</v>
      </c>
      <c r="BR72" s="1212">
        <f t="shared" ca="1" si="75"/>
        <v>0</v>
      </c>
      <c r="BS72" s="1213">
        <f t="shared" ca="1" si="76"/>
        <v>0</v>
      </c>
      <c r="BT72" s="1587">
        <f t="shared" ca="1" si="77"/>
        <v>0</v>
      </c>
      <c r="BW72" s="1212">
        <f t="shared" ca="1" si="78"/>
        <v>0</v>
      </c>
      <c r="BX72" s="1213">
        <f t="shared" ca="1" si="79"/>
        <v>0</v>
      </c>
      <c r="BY72" s="1587">
        <f t="shared" ca="1" si="80"/>
        <v>0</v>
      </c>
      <c r="CB72" s="1212">
        <f t="shared" ca="1" si="81"/>
        <v>0</v>
      </c>
      <c r="CC72" s="1213">
        <f t="shared" ca="1" si="82"/>
        <v>0</v>
      </c>
      <c r="CD72" s="1587">
        <f t="shared" ca="1" si="83"/>
        <v>0</v>
      </c>
      <c r="CG72" s="1212">
        <f t="shared" ca="1" si="84"/>
        <v>0</v>
      </c>
      <c r="CH72" s="1213">
        <f t="shared" ca="1" si="85"/>
        <v>0</v>
      </c>
      <c r="CI72" s="1587">
        <f t="shared" ca="1" si="86"/>
        <v>0</v>
      </c>
      <c r="CL72" s="1212">
        <f t="shared" ca="1" si="87"/>
        <v>0</v>
      </c>
      <c r="CM72" s="1213">
        <f t="shared" ca="1" si="88"/>
        <v>0</v>
      </c>
      <c r="CN72" s="1587">
        <f t="shared" ca="1" si="89"/>
        <v>0</v>
      </c>
    </row>
    <row r="73" spans="1:92">
      <c r="A73" s="141" t="str">
        <f>'銀行-TSS'!A73</f>
        <v>USU07265AF50</v>
      </c>
      <c r="B73" s="151" t="str">
        <f ca="1">VLOOKUP(A73,'銀行-TSS'!A:B,2,FALSE)</f>
        <v>XFS50</v>
      </c>
      <c r="C73" s="151" t="str">
        <f ca="1">VLOOKUP(B73,bond!B:C,2,FALSE)</f>
        <v>拜耳金融公司美元配息債券 4.375% 2028/12/15</v>
      </c>
      <c r="D73" s="95" t="str">
        <f>VLOOKUP(A73,'銀行-TSS'!A:C,3,FALSE)</f>
        <v>USD</v>
      </c>
      <c r="E73" s="90">
        <f ca="1">VLOOKUP(A73,'銀行-TSS'!A:G,7,FALSE)</f>
        <v>4.45</v>
      </c>
      <c r="F73" s="202">
        <f ca="1">VLOOKUP(A73,'銀行-TSS'!A:H,8,FALSE)</f>
        <v>4.3749999999999997E-2</v>
      </c>
      <c r="G73" s="96">
        <f ca="1">VLOOKUP(A73,'銀行-TSS'!A:K,11,FALSE)</f>
        <v>96.98</v>
      </c>
      <c r="H73" s="1209">
        <f ca="1">VLOOKUP(A73,'銀行-TSS'!A:M,13,FALSE)</f>
        <v>5.1999999999999998E-2</v>
      </c>
      <c r="I73" s="1213">
        <f ca="1">VLOOKUP(A73,'銀行-TSS'!A:N,14,FALSE)</f>
        <v>200000</v>
      </c>
      <c r="J73" s="1213">
        <f ca="1">VLOOKUP(A73,'銀行-TSS'!A:O,15,FALSE)</f>
        <v>1000</v>
      </c>
      <c r="K73" s="136" t="str">
        <f ca="1">VLOOKUP(A73,'銀行-TSS'!A:V,22,FALSE)</f>
        <v>(PI)專投</v>
      </c>
      <c r="L73" s="136" t="str">
        <f ca="1">VLOOKUP(A73,'銀行-TSS'!A:AK,37,FALSE)</f>
        <v>有</v>
      </c>
      <c r="M73" s="136" t="str">
        <f ca="1">VLOOKUP(A73,'銀行-TSS'!A:AN,40,FALSE)</f>
        <v/>
      </c>
      <c r="N73" s="136">
        <f t="shared" ca="1" si="45"/>
        <v>969.8</v>
      </c>
      <c r="O73" s="1213">
        <f t="shared" ca="1" si="46"/>
        <v>193960</v>
      </c>
      <c r="P73" s="1213">
        <f ca="1">IF(AND($O$1&gt;=O73,換券單檔!$D$13=D73),I73+INT(($O$1-O73)/N73)*J73,0)</f>
        <v>0</v>
      </c>
      <c r="Q73" s="1213">
        <f t="shared" ca="1" si="47"/>
        <v>0</v>
      </c>
      <c r="R73" s="1213">
        <f t="shared" ca="1" si="48"/>
        <v>0</v>
      </c>
      <c r="S73" s="1213">
        <f t="shared" ca="1" si="49"/>
        <v>0</v>
      </c>
      <c r="T73" s="136">
        <f ca="1">IF(OR(R73=0,A73=0),0,IF(AND(V73=TRUE,換券單檔!$D$13=D73),E73,0))</f>
        <v>0</v>
      </c>
      <c r="U73" s="861">
        <f ca="1">IF(OR(R73=0,A73=0),0,IF(AND(V73=TRUE,換券單檔!$D$13=D73),H73,0))</f>
        <v>0</v>
      </c>
      <c r="V73" s="136" t="b">
        <f ca="1">IF(OR(B73=換券單檔!$D$3,L73="無",M73&lt;&gt;"",K73="高資產",IFERROR(MATCH(B73,換券單檔!K:K,0),"N")&lt;&gt;"N"),FALSE,IF($V$1="All",TRUE,IF(K73=$V$1,TRUE,FALSE)))</f>
        <v>1</v>
      </c>
      <c r="W73" s="136">
        <f ca="1">VLOOKUP(A73,'銀行-TSS'!A:AO,41,FALSE)</f>
        <v>95.27000000000001</v>
      </c>
      <c r="X73" s="136">
        <f ca="1">VLOOKUP(A73,'銀行-TSS'!A:AP,42,FALSE)</f>
        <v>3.9676999999999998</v>
      </c>
      <c r="Y73" s="1220">
        <f t="shared" ca="1" si="50"/>
        <v>0</v>
      </c>
      <c r="Z73" s="1220">
        <f t="shared" ca="1" si="51"/>
        <v>0</v>
      </c>
      <c r="AA73" s="136">
        <f ca="1">IF(Z73&lt;=0,0,RANK(Z73,Z:Z)+COUNTIF($Z$3:$Z73,Z73)-1)</f>
        <v>0</v>
      </c>
      <c r="AB73" s="1211">
        <f t="shared" ca="1" si="52"/>
        <v>-114896.14</v>
      </c>
      <c r="AC73" s="136">
        <f ca="1">IF(AB73&lt;=0,0,RANK(AB73,AB:AB)+COUNTIF($AB$3:$AB73,AB73)-1)</f>
        <v>0</v>
      </c>
      <c r="AD73" s="1123">
        <f t="shared" ca="1" si="53"/>
        <v>99999</v>
      </c>
      <c r="AE73" s="1123">
        <f ca="1">IF(AD73=99999,0,RANK(AD73,AD:AD,1)+COUNTIF($AD$3:$AD73,AD73)-1)</f>
        <v>0</v>
      </c>
      <c r="AF73" s="86" t="b">
        <f ca="1">IF(OR(M73&lt;&gt;"",L73="無",K73="高資產",IFERROR(MATCH(B73,換券單檔!K:K,0),"N")&lt;&gt;"N"),FALSE,TRUE)</f>
        <v>1</v>
      </c>
      <c r="AI73" s="1212">
        <f t="shared" ca="1" si="54"/>
        <v>0</v>
      </c>
      <c r="AJ73" s="1213">
        <f t="shared" ca="1" si="55"/>
        <v>0</v>
      </c>
      <c r="AK73" s="1587">
        <f t="shared" ca="1" si="56"/>
        <v>0</v>
      </c>
      <c r="AN73" s="1212">
        <f t="shared" ca="1" si="57"/>
        <v>0</v>
      </c>
      <c r="AO73" s="1213">
        <f t="shared" ca="1" si="58"/>
        <v>0</v>
      </c>
      <c r="AP73" s="1587">
        <f t="shared" ca="1" si="59"/>
        <v>0</v>
      </c>
      <c r="AS73" s="1212">
        <f t="shared" ca="1" si="60"/>
        <v>0</v>
      </c>
      <c r="AT73" s="1213">
        <f t="shared" ca="1" si="61"/>
        <v>0</v>
      </c>
      <c r="AU73" s="1587">
        <f t="shared" ca="1" si="62"/>
        <v>0</v>
      </c>
      <c r="AX73" s="1212">
        <f t="shared" ca="1" si="63"/>
        <v>0</v>
      </c>
      <c r="AY73" s="1213">
        <f t="shared" ca="1" si="64"/>
        <v>0</v>
      </c>
      <c r="AZ73" s="1587">
        <f t="shared" ca="1" si="65"/>
        <v>0</v>
      </c>
      <c r="BC73" s="1212">
        <f t="shared" ca="1" si="66"/>
        <v>0</v>
      </c>
      <c r="BD73" s="1213">
        <f t="shared" ca="1" si="67"/>
        <v>0</v>
      </c>
      <c r="BE73" s="1587">
        <f t="shared" ca="1" si="68"/>
        <v>0</v>
      </c>
      <c r="BH73" s="1212">
        <f t="shared" ca="1" si="69"/>
        <v>0</v>
      </c>
      <c r="BI73" s="1213">
        <f t="shared" ca="1" si="70"/>
        <v>0</v>
      </c>
      <c r="BJ73" s="1587">
        <f t="shared" ca="1" si="71"/>
        <v>0</v>
      </c>
      <c r="BM73" s="1212">
        <f t="shared" ca="1" si="72"/>
        <v>0</v>
      </c>
      <c r="BN73" s="1213">
        <f t="shared" ca="1" si="73"/>
        <v>0</v>
      </c>
      <c r="BO73" s="1587">
        <f t="shared" ca="1" si="74"/>
        <v>0</v>
      </c>
      <c r="BR73" s="1212">
        <f t="shared" ca="1" si="75"/>
        <v>0</v>
      </c>
      <c r="BS73" s="1213">
        <f t="shared" ca="1" si="76"/>
        <v>0</v>
      </c>
      <c r="BT73" s="1587">
        <f t="shared" ca="1" si="77"/>
        <v>0</v>
      </c>
      <c r="BW73" s="1212">
        <f t="shared" ca="1" si="78"/>
        <v>0</v>
      </c>
      <c r="BX73" s="1213">
        <f t="shared" ca="1" si="79"/>
        <v>0</v>
      </c>
      <c r="BY73" s="1587">
        <f t="shared" ca="1" si="80"/>
        <v>0</v>
      </c>
      <c r="CB73" s="1212">
        <f t="shared" ca="1" si="81"/>
        <v>0</v>
      </c>
      <c r="CC73" s="1213">
        <f t="shared" ca="1" si="82"/>
        <v>0</v>
      </c>
      <c r="CD73" s="1587">
        <f t="shared" ca="1" si="83"/>
        <v>0</v>
      </c>
      <c r="CG73" s="1212">
        <f t="shared" ca="1" si="84"/>
        <v>0</v>
      </c>
      <c r="CH73" s="1213">
        <f t="shared" ca="1" si="85"/>
        <v>0</v>
      </c>
      <c r="CI73" s="1587">
        <f t="shared" ca="1" si="86"/>
        <v>0</v>
      </c>
      <c r="CL73" s="1212">
        <f t="shared" ca="1" si="87"/>
        <v>0</v>
      </c>
      <c r="CM73" s="1213">
        <f t="shared" ca="1" si="88"/>
        <v>0</v>
      </c>
      <c r="CN73" s="1587">
        <f t="shared" ca="1" si="89"/>
        <v>0</v>
      </c>
    </row>
    <row r="74" spans="1:92">
      <c r="A74" s="141" t="str">
        <f>'銀行-TSS'!A74</f>
        <v>US92857WBK53</v>
      </c>
      <c r="B74" s="151" t="str">
        <f ca="1">VLOOKUP(A74,'銀行-TSS'!A:B,2,FALSE)</f>
        <v>XFS60</v>
      </c>
      <c r="C74" s="151" t="str">
        <f ca="1">VLOOKUP(B74,bond!B:C,2,FALSE)</f>
        <v>伏得風集團美元配息債券 4.375% 2028/5/30</v>
      </c>
      <c r="D74" s="95" t="str">
        <f>VLOOKUP(A74,'銀行-TSS'!A:C,3,FALSE)</f>
        <v>USD</v>
      </c>
      <c r="E74" s="90">
        <f ca="1">VLOOKUP(A74,'銀行-TSS'!A:G,7,FALSE)</f>
        <v>3.91</v>
      </c>
      <c r="F74" s="202">
        <f ca="1">VLOOKUP(A74,'銀行-TSS'!A:H,8,FALSE)</f>
        <v>4.3749999999999997E-2</v>
      </c>
      <c r="G74" s="96">
        <f ca="1">VLOOKUP(A74,'銀行-TSS'!A:K,11,FALSE)</f>
        <v>100.31</v>
      </c>
      <c r="H74" s="1209">
        <f ca="1">VLOOKUP(A74,'銀行-TSS'!A:M,13,FALSE)</f>
        <v>4.3999999999999997E-2</v>
      </c>
      <c r="I74" s="1213">
        <f ca="1">VLOOKUP(A74,'銀行-TSS'!A:N,14,FALSE)</f>
        <v>10000</v>
      </c>
      <c r="J74" s="1213">
        <f ca="1">VLOOKUP(A74,'銀行-TSS'!A:O,15,FALSE)</f>
        <v>1000</v>
      </c>
      <c r="K74" s="136" t="str">
        <f ca="1">VLOOKUP(A74,'銀行-TSS'!A:V,22,FALSE)</f>
        <v>(PI)專投</v>
      </c>
      <c r="L74" s="136" t="str">
        <f ca="1">VLOOKUP(A74,'銀行-TSS'!A:AK,37,FALSE)</f>
        <v>需查詢</v>
      </c>
      <c r="M74" s="136" t="str">
        <f ca="1">VLOOKUP(A74,'銀行-TSS'!A:AN,40,FALSE)</f>
        <v/>
      </c>
      <c r="N74" s="136">
        <f t="shared" ca="1" si="45"/>
        <v>1003.1</v>
      </c>
      <c r="O74" s="1213">
        <f t="shared" ca="1" si="46"/>
        <v>10031</v>
      </c>
      <c r="P74" s="1213">
        <f ca="1">IF(AND($O$1&gt;=O74,換券單檔!$D$13=D74),I74+INT(($O$1-O74)/N74)*J74,0)</f>
        <v>96000</v>
      </c>
      <c r="Q74" s="1213">
        <f t="shared" ca="1" si="47"/>
        <v>4200</v>
      </c>
      <c r="R74" s="1213">
        <f t="shared" ca="1" si="48"/>
        <v>96000</v>
      </c>
      <c r="S74" s="1213">
        <f t="shared" ca="1" si="49"/>
        <v>4200</v>
      </c>
      <c r="T74" s="136">
        <f ca="1">IF(OR(R74=0,A74=0),0,IF(AND(V74=TRUE,換券單檔!$D$13=D74),E74,0))</f>
        <v>3.91</v>
      </c>
      <c r="U74" s="861">
        <f ca="1">IF(OR(R74=0,A74=0),0,IF(AND(V74=TRUE,換券單檔!$D$13=D74),H74,0))</f>
        <v>4.3999999999999997E-2</v>
      </c>
      <c r="V74" s="136" t="b">
        <f ca="1">IF(OR(B74=換券單檔!$D$3,L74="無",M74&lt;&gt;"",K74="高資產",IFERROR(MATCH(B74,換券單檔!K:K,0),"N")&lt;&gt;"N"),FALSE,IF($V$1="All",TRUE,IF(K74=$V$1,TRUE,FALSE)))</f>
        <v>1</v>
      </c>
      <c r="W74" s="136">
        <f ca="1">VLOOKUP(A74,'銀行-TSS'!A:AO,41,FALSE)</f>
        <v>98.42</v>
      </c>
      <c r="X74" s="136">
        <f ca="1">VLOOKUP(A74,'銀行-TSS'!A:AP,42,FALSE)</f>
        <v>3.5390000000000001</v>
      </c>
      <c r="Y74" s="1220">
        <f t="shared" ca="1" si="50"/>
        <v>3343.7604480000005</v>
      </c>
      <c r="Z74" s="1220">
        <f t="shared" ca="1" si="51"/>
        <v>0</v>
      </c>
      <c r="AA74" s="136">
        <f ca="1">IF(Z74&lt;=0,0,RANK(Z74,Z:Z)+COUNTIF($Z$3:$Z74,Z74)-1)</f>
        <v>0</v>
      </c>
      <c r="AB74" s="1211">
        <f t="shared" ca="1" si="52"/>
        <v>-15552.379551999999</v>
      </c>
      <c r="AC74" s="136">
        <f ca="1">IF(AB74&lt;=0,0,RANK(AB74,AB:AB)+COUNTIF($AB$3:$AB74,AB74)-1)</f>
        <v>0</v>
      </c>
      <c r="AD74" s="1123">
        <f t="shared" ca="1" si="53"/>
        <v>99999</v>
      </c>
      <c r="AE74" s="1123">
        <f ca="1">IF(AD74=99999,0,RANK(AD74,AD:AD,1)+COUNTIF($AD$3:$AD74,AD74)-1)</f>
        <v>0</v>
      </c>
      <c r="AF74" s="86" t="b">
        <f ca="1">IF(OR(M74&lt;&gt;"",L74="無",K74="高資產",IFERROR(MATCH(B74,換券單檔!K:K,0),"N")&lt;&gt;"N"),FALSE,TRUE)</f>
        <v>1</v>
      </c>
      <c r="AI74" s="1212">
        <f t="shared" ca="1" si="54"/>
        <v>96000</v>
      </c>
      <c r="AJ74" s="1213">
        <f t="shared" ca="1" si="55"/>
        <v>4200</v>
      </c>
      <c r="AK74" s="1587">
        <f t="shared" ca="1" si="56"/>
        <v>0</v>
      </c>
      <c r="AN74" s="1212">
        <f t="shared" ca="1" si="57"/>
        <v>55000</v>
      </c>
      <c r="AO74" s="1213">
        <f t="shared" ca="1" si="58"/>
        <v>2406.25</v>
      </c>
      <c r="AP74" s="1587">
        <f t="shared" ca="1" si="59"/>
        <v>0</v>
      </c>
      <c r="AS74" s="1212">
        <f t="shared" ca="1" si="60"/>
        <v>94000</v>
      </c>
      <c r="AT74" s="1213">
        <f t="shared" ca="1" si="61"/>
        <v>4112.5</v>
      </c>
      <c r="AU74" s="1587">
        <f t="shared" ca="1" si="62"/>
        <v>0</v>
      </c>
      <c r="AX74" s="1212">
        <f t="shared" ca="1" si="63"/>
        <v>86000</v>
      </c>
      <c r="AY74" s="1213">
        <f t="shared" ca="1" si="64"/>
        <v>3762.4999999999995</v>
      </c>
      <c r="AZ74" s="1587">
        <f t="shared" ca="1" si="65"/>
        <v>0</v>
      </c>
      <c r="BC74" s="1212">
        <f t="shared" ca="1" si="66"/>
        <v>0</v>
      </c>
      <c r="BD74" s="1213">
        <f t="shared" ca="1" si="67"/>
        <v>0</v>
      </c>
      <c r="BE74" s="1587">
        <f t="shared" ca="1" si="68"/>
        <v>0</v>
      </c>
      <c r="BH74" s="1212">
        <f t="shared" ca="1" si="69"/>
        <v>0</v>
      </c>
      <c r="BI74" s="1213">
        <f t="shared" ca="1" si="70"/>
        <v>0</v>
      </c>
      <c r="BJ74" s="1587">
        <f t="shared" ca="1" si="71"/>
        <v>0</v>
      </c>
      <c r="BM74" s="1212">
        <f t="shared" ca="1" si="72"/>
        <v>0</v>
      </c>
      <c r="BN74" s="1213">
        <f t="shared" ca="1" si="73"/>
        <v>0</v>
      </c>
      <c r="BO74" s="1587">
        <f t="shared" ca="1" si="74"/>
        <v>0</v>
      </c>
      <c r="BR74" s="1212">
        <f t="shared" ca="1" si="75"/>
        <v>0</v>
      </c>
      <c r="BS74" s="1213">
        <f t="shared" ca="1" si="76"/>
        <v>0</v>
      </c>
      <c r="BT74" s="1587">
        <f t="shared" ca="1" si="77"/>
        <v>0</v>
      </c>
      <c r="BW74" s="1212">
        <f t="shared" ca="1" si="78"/>
        <v>0</v>
      </c>
      <c r="BX74" s="1213">
        <f t="shared" ca="1" si="79"/>
        <v>0</v>
      </c>
      <c r="BY74" s="1587">
        <f t="shared" ca="1" si="80"/>
        <v>0</v>
      </c>
      <c r="CB74" s="1212">
        <f t="shared" ca="1" si="81"/>
        <v>0</v>
      </c>
      <c r="CC74" s="1213">
        <f t="shared" ca="1" si="82"/>
        <v>0</v>
      </c>
      <c r="CD74" s="1587">
        <f t="shared" ca="1" si="83"/>
        <v>0</v>
      </c>
      <c r="CG74" s="1212">
        <f t="shared" ca="1" si="84"/>
        <v>0</v>
      </c>
      <c r="CH74" s="1213">
        <f t="shared" ca="1" si="85"/>
        <v>0</v>
      </c>
      <c r="CI74" s="1587">
        <f t="shared" ca="1" si="86"/>
        <v>0</v>
      </c>
      <c r="CL74" s="1212">
        <f t="shared" ca="1" si="87"/>
        <v>0</v>
      </c>
      <c r="CM74" s="1213">
        <f t="shared" ca="1" si="88"/>
        <v>0</v>
      </c>
      <c r="CN74" s="1587">
        <f t="shared" ca="1" si="89"/>
        <v>0</v>
      </c>
    </row>
    <row r="75" spans="1:92">
      <c r="A75" s="141" t="str">
        <f>'銀行-TSS'!A75</f>
        <v>XS1982113463</v>
      </c>
      <c r="B75" s="151" t="str">
        <f ca="1">VLOOKUP(A75,'銀行-TSS'!A:B,2,FALSE)</f>
        <v>XFS90</v>
      </c>
      <c r="C75" s="151" t="str">
        <f ca="1">VLOOKUP(B75,bond!B:C,2,FALSE)</f>
        <v>沙烏地阿拉伯石油公司美元配息債券 4.25% 2039/4/16</v>
      </c>
      <c r="D75" s="95" t="str">
        <f>VLOOKUP(A75,'銀行-TSS'!A:C,3,FALSE)</f>
        <v>USD</v>
      </c>
      <c r="E75" s="90">
        <f ca="1">VLOOKUP(A75,'銀行-TSS'!A:G,7,FALSE)</f>
        <v>14.78</v>
      </c>
      <c r="F75" s="202">
        <f ca="1">VLOOKUP(A75,'銀行-TSS'!A:H,8,FALSE)</f>
        <v>4.2500000000000003E-2</v>
      </c>
      <c r="G75" s="96">
        <f ca="1">VLOOKUP(A75,'銀行-TSS'!A:K,11,FALSE)</f>
        <v>91.64</v>
      </c>
      <c r="H75" s="1209">
        <f ca="1">VLOOKUP(A75,'銀行-TSS'!A:M,13,FALSE)</f>
        <v>5.1499999999999997E-2</v>
      </c>
      <c r="I75" s="1213">
        <f ca="1">VLOOKUP(A75,'銀行-TSS'!A:N,14,FALSE)</f>
        <v>200000</v>
      </c>
      <c r="J75" s="1213">
        <f ca="1">VLOOKUP(A75,'銀行-TSS'!A:O,15,FALSE)</f>
        <v>1000</v>
      </c>
      <c r="K75" s="136" t="str">
        <f ca="1">VLOOKUP(A75,'銀行-TSS'!A:V,22,FALSE)</f>
        <v>(NPI)非專投</v>
      </c>
      <c r="L75" s="136" t="str">
        <f ca="1">VLOOKUP(A75,'銀行-TSS'!A:AK,37,FALSE)</f>
        <v>有</v>
      </c>
      <c r="M75" s="136" t="str">
        <f ca="1">VLOOKUP(A75,'銀行-TSS'!A:AN,40,FALSE)</f>
        <v/>
      </c>
      <c r="N75" s="136">
        <f t="shared" ca="1" si="45"/>
        <v>916.4</v>
      </c>
      <c r="O75" s="1213">
        <f t="shared" ca="1" si="46"/>
        <v>183280</v>
      </c>
      <c r="P75" s="1213">
        <f ca="1">IF(AND($O$1&gt;=O75,換券單檔!$D$13=D75),I75+INT(($O$1-O75)/N75)*J75,0)</f>
        <v>0</v>
      </c>
      <c r="Q75" s="1213">
        <f t="shared" ca="1" si="47"/>
        <v>0</v>
      </c>
      <c r="R75" s="1213">
        <f t="shared" ca="1" si="48"/>
        <v>0</v>
      </c>
      <c r="S75" s="1213">
        <f t="shared" ca="1" si="49"/>
        <v>0</v>
      </c>
      <c r="T75" s="136">
        <f ca="1">IF(OR(R75=0,A75=0),0,IF(AND(V75=TRUE,換券單檔!$D$13=D75),E75,0))</f>
        <v>0</v>
      </c>
      <c r="U75" s="861">
        <f ca="1">IF(OR(R75=0,A75=0),0,IF(AND(V75=TRUE,換券單檔!$D$13=D75),H75,0))</f>
        <v>0</v>
      </c>
      <c r="V75" s="136" t="b">
        <f ca="1">IF(OR(B75=換券單檔!$D$3,L75="無",M75&lt;&gt;"",K75="高資產",IFERROR(MATCH(B75,換券單檔!K:K,0),"N")&lt;&gt;"N"),FALSE,IF($V$1="All",TRUE,IF(K75=$V$1,TRUE,FALSE)))</f>
        <v>1</v>
      </c>
      <c r="W75" s="136">
        <f ca="1">VLOOKUP(A75,'銀行-TSS'!A:AO,41,FALSE)</f>
        <v>88.23</v>
      </c>
      <c r="X75" s="136">
        <f ca="1">VLOOKUP(A75,'銀行-TSS'!A:AP,42,FALSE)</f>
        <v>10.4665</v>
      </c>
      <c r="Y75" s="1220">
        <f t="shared" ca="1" si="50"/>
        <v>0</v>
      </c>
      <c r="Z75" s="1220">
        <f t="shared" ca="1" si="51"/>
        <v>0</v>
      </c>
      <c r="AA75" s="136">
        <f ca="1">IF(Z75&lt;=0,0,RANK(Z75,Z:Z)+COUNTIF($Z$3:$Z75,Z75)-1)</f>
        <v>0</v>
      </c>
      <c r="AB75" s="1211">
        <f t="shared" ca="1" si="52"/>
        <v>-114896.14</v>
      </c>
      <c r="AC75" s="136">
        <f ca="1">IF(AB75&lt;=0,0,RANK(AB75,AB:AB)+COUNTIF($AB$3:$AB75,AB75)-1)</f>
        <v>0</v>
      </c>
      <c r="AD75" s="1123">
        <f t="shared" ca="1" si="53"/>
        <v>99999</v>
      </c>
      <c r="AE75" s="1123">
        <f ca="1">IF(AD75=99999,0,RANK(AD75,AD:AD,1)+COUNTIF($AD$3:$AD75,AD75)-1)</f>
        <v>0</v>
      </c>
      <c r="AF75" s="86" t="b">
        <f ca="1">IF(OR(M75&lt;&gt;"",L75="無",K75="高資產",IFERROR(MATCH(B75,換券單檔!K:K,0),"N")&lt;&gt;"N"),FALSE,TRUE)</f>
        <v>1</v>
      </c>
      <c r="AI75" s="1212">
        <f t="shared" ca="1" si="54"/>
        <v>0</v>
      </c>
      <c r="AJ75" s="1213">
        <f t="shared" ca="1" si="55"/>
        <v>0</v>
      </c>
      <c r="AK75" s="1587">
        <f t="shared" ca="1" si="56"/>
        <v>0</v>
      </c>
      <c r="AN75" s="1212">
        <f t="shared" ca="1" si="57"/>
        <v>0</v>
      </c>
      <c r="AO75" s="1213">
        <f t="shared" ca="1" si="58"/>
        <v>0</v>
      </c>
      <c r="AP75" s="1587">
        <f t="shared" ca="1" si="59"/>
        <v>0</v>
      </c>
      <c r="AS75" s="1212">
        <f t="shared" ca="1" si="60"/>
        <v>0</v>
      </c>
      <c r="AT75" s="1213">
        <f t="shared" ca="1" si="61"/>
        <v>0</v>
      </c>
      <c r="AU75" s="1587">
        <f t="shared" ca="1" si="62"/>
        <v>0</v>
      </c>
      <c r="AX75" s="1212">
        <f t="shared" ca="1" si="63"/>
        <v>0</v>
      </c>
      <c r="AY75" s="1213">
        <f t="shared" ca="1" si="64"/>
        <v>0</v>
      </c>
      <c r="AZ75" s="1587">
        <f t="shared" ca="1" si="65"/>
        <v>0</v>
      </c>
      <c r="BC75" s="1212">
        <f t="shared" ca="1" si="66"/>
        <v>0</v>
      </c>
      <c r="BD75" s="1213">
        <f t="shared" ca="1" si="67"/>
        <v>0</v>
      </c>
      <c r="BE75" s="1587">
        <f t="shared" ca="1" si="68"/>
        <v>0</v>
      </c>
      <c r="BH75" s="1212">
        <f t="shared" ca="1" si="69"/>
        <v>0</v>
      </c>
      <c r="BI75" s="1213">
        <f t="shared" ca="1" si="70"/>
        <v>0</v>
      </c>
      <c r="BJ75" s="1587">
        <f t="shared" ca="1" si="71"/>
        <v>0</v>
      </c>
      <c r="BM75" s="1212">
        <f t="shared" ca="1" si="72"/>
        <v>0</v>
      </c>
      <c r="BN75" s="1213">
        <f t="shared" ca="1" si="73"/>
        <v>0</v>
      </c>
      <c r="BO75" s="1587">
        <f t="shared" ca="1" si="74"/>
        <v>0</v>
      </c>
      <c r="BR75" s="1212">
        <f t="shared" ca="1" si="75"/>
        <v>0</v>
      </c>
      <c r="BS75" s="1213">
        <f t="shared" ca="1" si="76"/>
        <v>0</v>
      </c>
      <c r="BT75" s="1587">
        <f t="shared" ca="1" si="77"/>
        <v>0</v>
      </c>
      <c r="BW75" s="1212">
        <f t="shared" ca="1" si="78"/>
        <v>0</v>
      </c>
      <c r="BX75" s="1213">
        <f t="shared" ca="1" si="79"/>
        <v>0</v>
      </c>
      <c r="BY75" s="1587">
        <f t="shared" ca="1" si="80"/>
        <v>0</v>
      </c>
      <c r="CB75" s="1212">
        <f t="shared" ca="1" si="81"/>
        <v>0</v>
      </c>
      <c r="CC75" s="1213">
        <f t="shared" ca="1" si="82"/>
        <v>0</v>
      </c>
      <c r="CD75" s="1587">
        <f t="shared" ca="1" si="83"/>
        <v>0</v>
      </c>
      <c r="CG75" s="1212">
        <f t="shared" ca="1" si="84"/>
        <v>0</v>
      </c>
      <c r="CH75" s="1213">
        <f t="shared" ca="1" si="85"/>
        <v>0</v>
      </c>
      <c r="CI75" s="1587">
        <f t="shared" ca="1" si="86"/>
        <v>0</v>
      </c>
      <c r="CL75" s="1212">
        <f t="shared" ca="1" si="87"/>
        <v>0</v>
      </c>
      <c r="CM75" s="1213">
        <f t="shared" ca="1" si="88"/>
        <v>0</v>
      </c>
      <c r="CN75" s="1587">
        <f t="shared" ca="1" si="89"/>
        <v>0</v>
      </c>
    </row>
    <row r="76" spans="1:92">
      <c r="A76" s="141" t="str">
        <f>'銀行-TSS'!A76</f>
        <v>AU3CB0261402</v>
      </c>
      <c r="B76" s="151" t="str">
        <f ca="1">VLOOKUP(A76,'銀行-TSS'!A:B,2,FALSE)</f>
        <v>XFT10</v>
      </c>
      <c r="C76" s="151" t="str">
        <f ca="1">VLOOKUP(B76,bond!B:C,2,FALSE)</f>
        <v>麥當勞公司澳幣配息債券 3.8% 2029/3/8</v>
      </c>
      <c r="D76" s="95" t="str">
        <f>VLOOKUP(A76,'銀行-TSS'!A:C,3,FALSE)</f>
        <v>AUD</v>
      </c>
      <c r="E76" s="90">
        <f ca="1">VLOOKUP(A76,'銀行-TSS'!A:G,7,FALSE)</f>
        <v>4.68</v>
      </c>
      <c r="F76" s="202">
        <f ca="1">VLOOKUP(A76,'銀行-TSS'!A:H,8,FALSE)</f>
        <v>3.7999999999999999E-2</v>
      </c>
      <c r="G76" s="96">
        <f ca="1">VLOOKUP(A76,'銀行-TSS'!A:K,11,FALSE)</f>
        <v>99.36</v>
      </c>
      <c r="H76" s="1209">
        <f ca="1">VLOOKUP(A76,'銀行-TSS'!A:M,13,FALSE)</f>
        <v>4.24E-2</v>
      </c>
      <c r="I76" s="1213">
        <f ca="1">VLOOKUP(A76,'銀行-TSS'!A:N,14,FALSE)</f>
        <v>10000</v>
      </c>
      <c r="J76" s="1213">
        <f ca="1">VLOOKUP(A76,'銀行-TSS'!A:O,15,FALSE)</f>
        <v>10000</v>
      </c>
      <c r="K76" s="136" t="str">
        <f ca="1">VLOOKUP(A76,'銀行-TSS'!A:V,22,FALSE)</f>
        <v>(PI)專投</v>
      </c>
      <c r="L76" s="136" t="str">
        <f ca="1">VLOOKUP(A76,'銀行-TSS'!A:AK,37,FALSE)</f>
        <v>需查詢</v>
      </c>
      <c r="M76" s="136" t="str">
        <f ca="1">VLOOKUP(A76,'銀行-TSS'!A:AN,40,FALSE)</f>
        <v/>
      </c>
      <c r="N76" s="136">
        <f t="shared" ca="1" si="45"/>
        <v>9936</v>
      </c>
      <c r="O76" s="1213">
        <f t="shared" ca="1" si="46"/>
        <v>9936</v>
      </c>
      <c r="P76" s="1213">
        <f ca="1">IF(AND($O$1&gt;=O76,換券單檔!$D$13=D76),I76+INT(($O$1-O76)/N76)*J76,0)</f>
        <v>0</v>
      </c>
      <c r="Q76" s="1213">
        <f t="shared" ca="1" si="47"/>
        <v>0</v>
      </c>
      <c r="R76" s="1213">
        <f t="shared" ca="1" si="48"/>
        <v>0</v>
      </c>
      <c r="S76" s="1213">
        <f t="shared" ca="1" si="49"/>
        <v>0</v>
      </c>
      <c r="T76" s="136">
        <f ca="1">IF(OR(R76=0,A76=0),0,IF(AND(V76=TRUE,換券單檔!$D$13=D76),E76,0))</f>
        <v>0</v>
      </c>
      <c r="U76" s="861">
        <f ca="1">IF(OR(R76=0,A76=0),0,IF(AND(V76=TRUE,換券單檔!$D$13=D76),H76,0))</f>
        <v>0</v>
      </c>
      <c r="V76" s="136" t="b">
        <f ca="1">IF(OR(B76=換券單檔!$D$3,L76="無",M76&lt;&gt;"",K76="高資產",IFERROR(MATCH(B76,換券單檔!K:K,0),"N")&lt;&gt;"N"),FALSE,IF($V$1="All",TRUE,IF(K76=$V$1,TRUE,FALSE)))</f>
        <v>1</v>
      </c>
      <c r="W76" s="136">
        <f ca="1">VLOOKUP(A76,'銀行-TSS'!A:AO,41,FALSE)</f>
        <v>96.15</v>
      </c>
      <c r="X76" s="136">
        <f ca="1">VLOOKUP(A76,'銀行-TSS'!A:AP,42,FALSE)</f>
        <v>4.1738999999999997</v>
      </c>
      <c r="Y76" s="1220">
        <f t="shared" ca="1" si="50"/>
        <v>0</v>
      </c>
      <c r="Z76" s="1220">
        <f t="shared" ca="1" si="51"/>
        <v>0</v>
      </c>
      <c r="AA76" s="136">
        <f ca="1">IF(Z76&lt;=0,0,RANK(Z76,Z:Z)+COUNTIF($Z$3:$Z76,Z76)-1)</f>
        <v>0</v>
      </c>
      <c r="AB76" s="1211">
        <f t="shared" ca="1" si="52"/>
        <v>-114896.14</v>
      </c>
      <c r="AC76" s="136">
        <f ca="1">IF(AB76&lt;=0,0,RANK(AB76,AB:AB)+COUNTIF($AB$3:$AB76,AB76)-1)</f>
        <v>0</v>
      </c>
      <c r="AD76" s="1123">
        <f t="shared" ca="1" si="53"/>
        <v>99999</v>
      </c>
      <c r="AE76" s="1123">
        <f ca="1">IF(AD76=99999,0,RANK(AD76,AD:AD,1)+COUNTIF($AD$3:$AD76,AD76)-1)</f>
        <v>0</v>
      </c>
      <c r="AF76" s="86" t="b">
        <f ca="1">IF(OR(M76&lt;&gt;"",L76="無",K76="高資產",IFERROR(MATCH(B76,換券單檔!K:K,0),"N")&lt;&gt;"N"),FALSE,TRUE)</f>
        <v>1</v>
      </c>
      <c r="AI76" s="1212">
        <f t="shared" ca="1" si="54"/>
        <v>0</v>
      </c>
      <c r="AJ76" s="1213">
        <f t="shared" ca="1" si="55"/>
        <v>0</v>
      </c>
      <c r="AK76" s="1587">
        <f t="shared" ca="1" si="56"/>
        <v>0</v>
      </c>
      <c r="AN76" s="1212">
        <f t="shared" ca="1" si="57"/>
        <v>0</v>
      </c>
      <c r="AO76" s="1213">
        <f t="shared" ca="1" si="58"/>
        <v>0</v>
      </c>
      <c r="AP76" s="1587">
        <f t="shared" ca="1" si="59"/>
        <v>0</v>
      </c>
      <c r="AS76" s="1212">
        <f t="shared" ca="1" si="60"/>
        <v>0</v>
      </c>
      <c r="AT76" s="1213">
        <f t="shared" ca="1" si="61"/>
        <v>0</v>
      </c>
      <c r="AU76" s="1587">
        <f t="shared" ca="1" si="62"/>
        <v>0</v>
      </c>
      <c r="AX76" s="1212">
        <f t="shared" ca="1" si="63"/>
        <v>0</v>
      </c>
      <c r="AY76" s="1213">
        <f t="shared" ca="1" si="64"/>
        <v>0</v>
      </c>
      <c r="AZ76" s="1587">
        <f t="shared" ca="1" si="65"/>
        <v>0</v>
      </c>
      <c r="BC76" s="1212">
        <f t="shared" ca="1" si="66"/>
        <v>0</v>
      </c>
      <c r="BD76" s="1213">
        <f t="shared" ca="1" si="67"/>
        <v>0</v>
      </c>
      <c r="BE76" s="1587">
        <f t="shared" ca="1" si="68"/>
        <v>0</v>
      </c>
      <c r="BH76" s="1212">
        <f t="shared" ca="1" si="69"/>
        <v>0</v>
      </c>
      <c r="BI76" s="1213">
        <f t="shared" ca="1" si="70"/>
        <v>0</v>
      </c>
      <c r="BJ76" s="1587">
        <f t="shared" ca="1" si="71"/>
        <v>0</v>
      </c>
      <c r="BM76" s="1212">
        <f t="shared" ca="1" si="72"/>
        <v>0</v>
      </c>
      <c r="BN76" s="1213">
        <f t="shared" ca="1" si="73"/>
        <v>0</v>
      </c>
      <c r="BO76" s="1587">
        <f t="shared" ca="1" si="74"/>
        <v>0</v>
      </c>
      <c r="BR76" s="1212">
        <f t="shared" ca="1" si="75"/>
        <v>0</v>
      </c>
      <c r="BS76" s="1213">
        <f t="shared" ca="1" si="76"/>
        <v>0</v>
      </c>
      <c r="BT76" s="1587">
        <f t="shared" ca="1" si="77"/>
        <v>0</v>
      </c>
      <c r="BW76" s="1212">
        <f t="shared" ca="1" si="78"/>
        <v>0</v>
      </c>
      <c r="BX76" s="1213">
        <f t="shared" ca="1" si="79"/>
        <v>0</v>
      </c>
      <c r="BY76" s="1587">
        <f t="shared" ca="1" si="80"/>
        <v>0</v>
      </c>
      <c r="CB76" s="1212">
        <f t="shared" ca="1" si="81"/>
        <v>0</v>
      </c>
      <c r="CC76" s="1213">
        <f t="shared" ca="1" si="82"/>
        <v>0</v>
      </c>
      <c r="CD76" s="1587">
        <f t="shared" ca="1" si="83"/>
        <v>0</v>
      </c>
      <c r="CG76" s="1212">
        <f t="shared" ca="1" si="84"/>
        <v>0</v>
      </c>
      <c r="CH76" s="1213">
        <f t="shared" ca="1" si="85"/>
        <v>0</v>
      </c>
      <c r="CI76" s="1587">
        <f t="shared" ca="1" si="86"/>
        <v>0</v>
      </c>
      <c r="CL76" s="1212">
        <f t="shared" ca="1" si="87"/>
        <v>0</v>
      </c>
      <c r="CM76" s="1213">
        <f t="shared" ca="1" si="88"/>
        <v>0</v>
      </c>
      <c r="CN76" s="1587">
        <f t="shared" ca="1" si="89"/>
        <v>0</v>
      </c>
    </row>
    <row r="77" spans="1:92">
      <c r="A77" s="141" t="str">
        <f>'銀行-TSS'!A77</f>
        <v>AU3CB0256915</v>
      </c>
      <c r="B77" s="151" t="str">
        <f ca="1">VLOOKUP(A77,'銀行-TSS'!A:B,2,FALSE)</f>
        <v>XFT50</v>
      </c>
      <c r="C77" s="151" t="str">
        <f ca="1">VLOOKUP(B77,bond!B:C,2,FALSE)</f>
        <v>AT&amp;T公司澳幣配息債券 4.6% 2028/9/19</v>
      </c>
      <c r="D77" s="95" t="str">
        <f>VLOOKUP(A77,'銀行-TSS'!A:C,3,FALSE)</f>
        <v>AUD</v>
      </c>
      <c r="E77" s="90">
        <f ca="1">VLOOKUP(A77,'銀行-TSS'!A:G,7,FALSE)</f>
        <v>4.21</v>
      </c>
      <c r="F77" s="202">
        <f ca="1">VLOOKUP(A77,'銀行-TSS'!A:H,8,FALSE)</f>
        <v>4.5999999999999999E-2</v>
      </c>
      <c r="G77" s="96">
        <f ca="1">VLOOKUP(A77,'銀行-TSS'!A:K,11,FALSE)</f>
        <v>101.71</v>
      </c>
      <c r="H77" s="1209">
        <f ca="1">VLOOKUP(A77,'銀行-TSS'!A:M,13,FALSE)</f>
        <v>4.4999999999999998E-2</v>
      </c>
      <c r="I77" s="1213">
        <f ca="1">VLOOKUP(A77,'銀行-TSS'!A:N,14,FALSE)</f>
        <v>10000</v>
      </c>
      <c r="J77" s="1213">
        <f ca="1">VLOOKUP(A77,'銀行-TSS'!A:O,15,FALSE)</f>
        <v>10000</v>
      </c>
      <c r="K77" s="136" t="str">
        <f ca="1">VLOOKUP(A77,'銀行-TSS'!A:V,22,FALSE)</f>
        <v>(PI)專投</v>
      </c>
      <c r="L77" s="136" t="str">
        <f ca="1">VLOOKUP(A77,'銀行-TSS'!A:AK,37,FALSE)</f>
        <v>需查詢</v>
      </c>
      <c r="M77" s="136" t="str">
        <f ca="1">VLOOKUP(A77,'銀行-TSS'!A:AN,40,FALSE)</f>
        <v/>
      </c>
      <c r="N77" s="136">
        <f t="shared" ca="1" si="45"/>
        <v>10170.999999999998</v>
      </c>
      <c r="O77" s="1213">
        <f t="shared" ca="1" si="46"/>
        <v>10170.999999999998</v>
      </c>
      <c r="P77" s="1213">
        <f ca="1">IF(AND($O$1&gt;=O77,換券單檔!$D$13=D77),I77+INT(($O$1-O77)/N77)*J77,0)</f>
        <v>0</v>
      </c>
      <c r="Q77" s="1213">
        <f t="shared" ca="1" si="47"/>
        <v>0</v>
      </c>
      <c r="R77" s="1213">
        <f t="shared" ca="1" si="48"/>
        <v>0</v>
      </c>
      <c r="S77" s="1213">
        <f t="shared" ca="1" si="49"/>
        <v>0</v>
      </c>
      <c r="T77" s="136">
        <f ca="1">IF(OR(R77=0,A77=0),0,IF(AND(V77=TRUE,換券單檔!$D$13=D77),E77,0))</f>
        <v>0</v>
      </c>
      <c r="U77" s="861">
        <f ca="1">IF(OR(R77=0,A77=0),0,IF(AND(V77=TRUE,換券單檔!$D$13=D77),H77,0))</f>
        <v>0</v>
      </c>
      <c r="V77" s="136" t="b">
        <f ca="1">IF(OR(B77=換券單檔!$D$3,L77="無",M77&lt;&gt;"",K77="高資產",IFERROR(MATCH(B77,換券單檔!K:K,0),"N")&lt;&gt;"N"),FALSE,IF($V$1="All",TRUE,IF(K77=$V$1,TRUE,FALSE)))</f>
        <v>1</v>
      </c>
      <c r="W77" s="136">
        <f ca="1">VLOOKUP(A77,'銀行-TSS'!A:AO,41,FALSE)</f>
        <v>98.88000000000001</v>
      </c>
      <c r="X77" s="136">
        <f ca="1">VLOOKUP(A77,'銀行-TSS'!A:AP,42,FALSE)</f>
        <v>3.7324999999999999</v>
      </c>
      <c r="Y77" s="1220">
        <f t="shared" ca="1" si="50"/>
        <v>0</v>
      </c>
      <c r="Z77" s="1220">
        <f t="shared" ca="1" si="51"/>
        <v>0</v>
      </c>
      <c r="AA77" s="136">
        <f ca="1">IF(Z77&lt;=0,0,RANK(Z77,Z:Z)+COUNTIF($Z$3:$Z77,Z77)-1)</f>
        <v>0</v>
      </c>
      <c r="AB77" s="1211">
        <f t="shared" ca="1" si="52"/>
        <v>-114896.14</v>
      </c>
      <c r="AC77" s="136">
        <f ca="1">IF(AB77&lt;=0,0,RANK(AB77,AB:AB)+COUNTIF($AB$3:$AB77,AB77)-1)</f>
        <v>0</v>
      </c>
      <c r="AD77" s="1123">
        <f t="shared" ca="1" si="53"/>
        <v>99999</v>
      </c>
      <c r="AE77" s="1123">
        <f ca="1">IF(AD77=99999,0,RANK(AD77,AD:AD,1)+COUNTIF($AD$3:$AD77,AD77)-1)</f>
        <v>0</v>
      </c>
      <c r="AF77" s="86" t="b">
        <f ca="1">IF(OR(M77&lt;&gt;"",L77="無",K77="高資產",IFERROR(MATCH(B77,換券單檔!K:K,0),"N")&lt;&gt;"N"),FALSE,TRUE)</f>
        <v>1</v>
      </c>
      <c r="AI77" s="1212">
        <f t="shared" ca="1" si="54"/>
        <v>0</v>
      </c>
      <c r="AJ77" s="1213">
        <f t="shared" ca="1" si="55"/>
        <v>0</v>
      </c>
      <c r="AK77" s="1587">
        <f t="shared" ca="1" si="56"/>
        <v>0</v>
      </c>
      <c r="AN77" s="1212">
        <f t="shared" ca="1" si="57"/>
        <v>0</v>
      </c>
      <c r="AO77" s="1213">
        <f t="shared" ca="1" si="58"/>
        <v>0</v>
      </c>
      <c r="AP77" s="1587">
        <f t="shared" ca="1" si="59"/>
        <v>0</v>
      </c>
      <c r="AS77" s="1212">
        <f t="shared" ca="1" si="60"/>
        <v>0</v>
      </c>
      <c r="AT77" s="1213">
        <f t="shared" ca="1" si="61"/>
        <v>0</v>
      </c>
      <c r="AU77" s="1587">
        <f t="shared" ca="1" si="62"/>
        <v>0</v>
      </c>
      <c r="AX77" s="1212">
        <f t="shared" ca="1" si="63"/>
        <v>0</v>
      </c>
      <c r="AY77" s="1213">
        <f t="shared" ca="1" si="64"/>
        <v>0</v>
      </c>
      <c r="AZ77" s="1587">
        <f t="shared" ca="1" si="65"/>
        <v>0</v>
      </c>
      <c r="BC77" s="1212">
        <f t="shared" ca="1" si="66"/>
        <v>0</v>
      </c>
      <c r="BD77" s="1213">
        <f t="shared" ca="1" si="67"/>
        <v>0</v>
      </c>
      <c r="BE77" s="1587">
        <f t="shared" ca="1" si="68"/>
        <v>0</v>
      </c>
      <c r="BH77" s="1212">
        <f t="shared" ca="1" si="69"/>
        <v>0</v>
      </c>
      <c r="BI77" s="1213">
        <f t="shared" ca="1" si="70"/>
        <v>0</v>
      </c>
      <c r="BJ77" s="1587">
        <f t="shared" ca="1" si="71"/>
        <v>0</v>
      </c>
      <c r="BM77" s="1212">
        <f t="shared" ca="1" si="72"/>
        <v>0</v>
      </c>
      <c r="BN77" s="1213">
        <f t="shared" ca="1" si="73"/>
        <v>0</v>
      </c>
      <c r="BO77" s="1587">
        <f t="shared" ca="1" si="74"/>
        <v>0</v>
      </c>
      <c r="BR77" s="1212">
        <f t="shared" ca="1" si="75"/>
        <v>0</v>
      </c>
      <c r="BS77" s="1213">
        <f t="shared" ca="1" si="76"/>
        <v>0</v>
      </c>
      <c r="BT77" s="1587">
        <f t="shared" ca="1" si="77"/>
        <v>0</v>
      </c>
      <c r="BW77" s="1212">
        <f t="shared" ca="1" si="78"/>
        <v>0</v>
      </c>
      <c r="BX77" s="1213">
        <f t="shared" ca="1" si="79"/>
        <v>0</v>
      </c>
      <c r="BY77" s="1587">
        <f t="shared" ca="1" si="80"/>
        <v>0</v>
      </c>
      <c r="CB77" s="1212">
        <f t="shared" ca="1" si="81"/>
        <v>0</v>
      </c>
      <c r="CC77" s="1213">
        <f t="shared" ca="1" si="82"/>
        <v>0</v>
      </c>
      <c r="CD77" s="1587">
        <f t="shared" ca="1" si="83"/>
        <v>0</v>
      </c>
      <c r="CG77" s="1212">
        <f t="shared" ca="1" si="84"/>
        <v>0</v>
      </c>
      <c r="CH77" s="1213">
        <f t="shared" ca="1" si="85"/>
        <v>0</v>
      </c>
      <c r="CI77" s="1587">
        <f t="shared" ca="1" si="86"/>
        <v>0</v>
      </c>
      <c r="CL77" s="1212">
        <f t="shared" ca="1" si="87"/>
        <v>0</v>
      </c>
      <c r="CM77" s="1213">
        <f t="shared" ca="1" si="88"/>
        <v>0</v>
      </c>
      <c r="CN77" s="1587">
        <f t="shared" ca="1" si="89"/>
        <v>0</v>
      </c>
    </row>
    <row r="78" spans="1:92">
      <c r="A78" s="141" t="str">
        <f>'銀行-TSS'!A78</f>
        <v>US404119BW86</v>
      </c>
      <c r="B78" s="151" t="str">
        <f ca="1">VLOOKUP(A78,'銀行-TSS'!A:B,2,FALSE)</f>
        <v>XFT60</v>
      </c>
      <c r="C78" s="151" t="str">
        <f ca="1">VLOOKUP(B78,bond!B:C,2,FALSE)</f>
        <v>美國醫院公司美元配息債券 5.875% 2029/2/1</v>
      </c>
      <c r="D78" s="95" t="str">
        <f>VLOOKUP(A78,'銀行-TSS'!A:C,3,FALSE)</f>
        <v>USD</v>
      </c>
      <c r="E78" s="90">
        <f ca="1">VLOOKUP(A78,'銀行-TSS'!A:G,7,FALSE)</f>
        <v>4.59</v>
      </c>
      <c r="F78" s="202">
        <f ca="1">VLOOKUP(A78,'銀行-TSS'!A:H,8,FALSE)</f>
        <v>5.8749999999999997E-2</v>
      </c>
      <c r="G78" s="96">
        <f ca="1">VLOOKUP(A78,'銀行-TSS'!A:K,11,FALSE)</f>
        <v>106.69</v>
      </c>
      <c r="H78" s="1209">
        <f ca="1">VLOOKUP(A78,'銀行-TSS'!A:M,13,FALSE)</f>
        <v>4.8300000000000003E-2</v>
      </c>
      <c r="I78" s="1213">
        <f ca="1">VLOOKUP(A78,'銀行-TSS'!A:N,14,FALSE)</f>
        <v>10000</v>
      </c>
      <c r="J78" s="1213">
        <f ca="1">VLOOKUP(A78,'銀行-TSS'!A:O,15,FALSE)</f>
        <v>1000</v>
      </c>
      <c r="K78" s="136" t="str">
        <f ca="1">VLOOKUP(A78,'銀行-TSS'!A:V,22,FALSE)</f>
        <v>(PI)專投</v>
      </c>
      <c r="L78" s="136" t="str">
        <f ca="1">VLOOKUP(A78,'銀行-TSS'!A:AK,37,FALSE)</f>
        <v>有</v>
      </c>
      <c r="M78" s="136" t="str">
        <f ca="1">VLOOKUP(A78,'銀行-TSS'!A:AN,40,FALSE)</f>
        <v/>
      </c>
      <c r="N78" s="136">
        <f t="shared" ca="1" si="45"/>
        <v>1066.9000000000001</v>
      </c>
      <c r="O78" s="1213">
        <f t="shared" ca="1" si="46"/>
        <v>10669</v>
      </c>
      <c r="P78" s="1213">
        <f ca="1">IF(AND($O$1&gt;=O78,換券單檔!$D$13=D78),I78+INT(($O$1-O78)/N78)*J78,0)</f>
        <v>90000</v>
      </c>
      <c r="Q78" s="1213">
        <f t="shared" ca="1" si="47"/>
        <v>5287.5</v>
      </c>
      <c r="R78" s="1213">
        <f t="shared" ca="1" si="48"/>
        <v>90000</v>
      </c>
      <c r="S78" s="1213">
        <f t="shared" ca="1" si="49"/>
        <v>5287.5</v>
      </c>
      <c r="T78" s="136">
        <f ca="1">IF(OR(R78=0,A78=0),0,IF(AND(V78=TRUE,換券單檔!$D$13=D78),E78,0))</f>
        <v>4.59</v>
      </c>
      <c r="U78" s="861">
        <f ca="1">IF(OR(R78=0,A78=0),0,IF(AND(V78=TRUE,換券單檔!$D$13=D78),H78,0))</f>
        <v>4.8300000000000003E-2</v>
      </c>
      <c r="V78" s="136" t="b">
        <f ca="1">IF(OR(B78=換券單檔!$D$3,L78="無",M78&lt;&gt;"",K78="高資產",IFERROR(MATCH(B78,換券單檔!K:K,0),"N")&lt;&gt;"N"),FALSE,IF($V$1="All",TRUE,IF(K78=$V$1,TRUE,FALSE)))</f>
        <v>1</v>
      </c>
      <c r="W78" s="136">
        <f ca="1">VLOOKUP(A78,'銀行-TSS'!A:AO,41,FALSE)</f>
        <v>102.23</v>
      </c>
      <c r="X78" s="136">
        <f ca="1">VLOOKUP(A78,'銀行-TSS'!A:AP,42,FALSE)</f>
        <v>3.5190999999999999</v>
      </c>
      <c r="Y78" s="1220">
        <f t="shared" ca="1" si="50"/>
        <v>3237.8183370000002</v>
      </c>
      <c r="Z78" s="1220">
        <f t="shared" ca="1" si="51"/>
        <v>0</v>
      </c>
      <c r="AA78" s="136">
        <f ca="1">IF(Z78&lt;=0,0,RANK(Z78,Z:Z)+COUNTIF($Z$3:$Z78,Z78)-1)</f>
        <v>0</v>
      </c>
      <c r="AB78" s="1211">
        <f t="shared" ca="1" si="52"/>
        <v>-21658.321662999999</v>
      </c>
      <c r="AC78" s="136">
        <f ca="1">IF(AB78&lt;=0,0,RANK(AB78,AB:AB)+COUNTIF($AB$3:$AB78,AB78)-1)</f>
        <v>0</v>
      </c>
      <c r="AD78" s="1123">
        <f t="shared" ca="1" si="53"/>
        <v>99999</v>
      </c>
      <c r="AE78" s="1123">
        <f ca="1">IF(AD78=99999,0,RANK(AD78,AD:AD,1)+COUNTIF($AD$3:$AD78,AD78)-1)</f>
        <v>0</v>
      </c>
      <c r="AF78" s="86" t="b">
        <f ca="1">IF(OR(M78&lt;&gt;"",L78="無",K78="高資產",IFERROR(MATCH(B78,換券單檔!K:K,0),"N")&lt;&gt;"N"),FALSE,TRUE)</f>
        <v>1</v>
      </c>
      <c r="AI78" s="1212">
        <f t="shared" ca="1" si="54"/>
        <v>90000</v>
      </c>
      <c r="AJ78" s="1213">
        <f t="shared" ca="1" si="55"/>
        <v>5287.5</v>
      </c>
      <c r="AK78" s="1587">
        <f t="shared" ca="1" si="56"/>
        <v>0</v>
      </c>
      <c r="AN78" s="1212">
        <f t="shared" ca="1" si="57"/>
        <v>51000</v>
      </c>
      <c r="AO78" s="1213">
        <f t="shared" ca="1" si="58"/>
        <v>2996.25</v>
      </c>
      <c r="AP78" s="1587">
        <f t="shared" ca="1" si="59"/>
        <v>0</v>
      </c>
      <c r="AS78" s="1212">
        <f t="shared" ca="1" si="60"/>
        <v>88000</v>
      </c>
      <c r="AT78" s="1213">
        <f t="shared" ca="1" si="61"/>
        <v>5170</v>
      </c>
      <c r="AU78" s="1587">
        <f t="shared" ca="1" si="62"/>
        <v>0</v>
      </c>
      <c r="AX78" s="1212">
        <f t="shared" ca="1" si="63"/>
        <v>81000</v>
      </c>
      <c r="AY78" s="1213">
        <f t="shared" ca="1" si="64"/>
        <v>4758.75</v>
      </c>
      <c r="AZ78" s="1587">
        <f t="shared" ca="1" si="65"/>
        <v>0</v>
      </c>
      <c r="BC78" s="1212">
        <f t="shared" ca="1" si="66"/>
        <v>0</v>
      </c>
      <c r="BD78" s="1213">
        <f t="shared" ca="1" si="67"/>
        <v>0</v>
      </c>
      <c r="BE78" s="1587">
        <f t="shared" ca="1" si="68"/>
        <v>0</v>
      </c>
      <c r="BH78" s="1212">
        <f t="shared" ca="1" si="69"/>
        <v>0</v>
      </c>
      <c r="BI78" s="1213">
        <f t="shared" ca="1" si="70"/>
        <v>0</v>
      </c>
      <c r="BJ78" s="1587">
        <f t="shared" ca="1" si="71"/>
        <v>0</v>
      </c>
      <c r="BM78" s="1212">
        <f t="shared" ca="1" si="72"/>
        <v>0</v>
      </c>
      <c r="BN78" s="1213">
        <f t="shared" ca="1" si="73"/>
        <v>0</v>
      </c>
      <c r="BO78" s="1587">
        <f t="shared" ca="1" si="74"/>
        <v>0</v>
      </c>
      <c r="BR78" s="1212">
        <f t="shared" ca="1" si="75"/>
        <v>0</v>
      </c>
      <c r="BS78" s="1213">
        <f t="shared" ca="1" si="76"/>
        <v>0</v>
      </c>
      <c r="BT78" s="1587">
        <f t="shared" ca="1" si="77"/>
        <v>0</v>
      </c>
      <c r="BW78" s="1212">
        <f t="shared" ca="1" si="78"/>
        <v>0</v>
      </c>
      <c r="BX78" s="1213">
        <f t="shared" ca="1" si="79"/>
        <v>0</v>
      </c>
      <c r="BY78" s="1587">
        <f t="shared" ca="1" si="80"/>
        <v>0</v>
      </c>
      <c r="CB78" s="1212">
        <f t="shared" ca="1" si="81"/>
        <v>0</v>
      </c>
      <c r="CC78" s="1213">
        <f t="shared" ca="1" si="82"/>
        <v>0</v>
      </c>
      <c r="CD78" s="1587">
        <f t="shared" ca="1" si="83"/>
        <v>0</v>
      </c>
      <c r="CG78" s="1212">
        <f t="shared" ca="1" si="84"/>
        <v>0</v>
      </c>
      <c r="CH78" s="1213">
        <f t="shared" ca="1" si="85"/>
        <v>0</v>
      </c>
      <c r="CI78" s="1587">
        <f t="shared" ca="1" si="86"/>
        <v>0</v>
      </c>
      <c r="CL78" s="1212">
        <f t="shared" ca="1" si="87"/>
        <v>0</v>
      </c>
      <c r="CM78" s="1213">
        <f t="shared" ca="1" si="88"/>
        <v>0</v>
      </c>
      <c r="CN78" s="1587">
        <f t="shared" ca="1" si="89"/>
        <v>0</v>
      </c>
    </row>
    <row r="79" spans="1:92">
      <c r="A79" s="141" t="str">
        <f>'銀行-TSS'!A79</f>
        <v>US26078JAF75</v>
      </c>
      <c r="B79" s="151" t="str">
        <f ca="1">VLOOKUP(A79,'銀行-TSS'!A:B,2,FALSE)</f>
        <v>XFU10</v>
      </c>
      <c r="C79" s="151" t="str">
        <f ca="1">VLOOKUP(B79,bond!B:C,2,FALSE)</f>
        <v>杜邦公司美元配息債券 5.419% 2048/11/15</v>
      </c>
      <c r="D79" s="95" t="str">
        <f>VLOOKUP(A79,'銀行-TSS'!A:C,3,FALSE)</f>
        <v>USD</v>
      </c>
      <c r="E79" s="90">
        <f ca="1">VLOOKUP(A79,'銀行-TSS'!A:G,7,FALSE)</f>
        <v>24.37</v>
      </c>
      <c r="F79" s="202">
        <f ca="1">VLOOKUP(A79,'銀行-TSS'!A:H,8,FALSE)</f>
        <v>5.4189999999999995E-2</v>
      </c>
      <c r="G79" s="96">
        <f ca="1">VLOOKUP(A79,'銀行-TSS'!A:K,11,FALSE)</f>
        <v>108.5</v>
      </c>
      <c r="H79" s="1209">
        <f ca="1">VLOOKUP(A79,'銀行-TSS'!A:M,13,FALSE)</f>
        <v>4.87E-2</v>
      </c>
      <c r="I79" s="1213">
        <f ca="1">VLOOKUP(A79,'銀行-TSS'!A:N,14,FALSE)</f>
        <v>10000</v>
      </c>
      <c r="J79" s="1213">
        <f ca="1">VLOOKUP(A79,'銀行-TSS'!A:O,15,FALSE)</f>
        <v>1000</v>
      </c>
      <c r="K79" s="136" t="str">
        <f ca="1">VLOOKUP(A79,'銀行-TSS'!A:V,22,FALSE)</f>
        <v>(PI)專投</v>
      </c>
      <c r="L79" s="136" t="str">
        <f ca="1">VLOOKUP(A79,'銀行-TSS'!A:AK,37,FALSE)</f>
        <v>有</v>
      </c>
      <c r="M79" s="136" t="str">
        <f ca="1">VLOOKUP(A79,'銀行-TSS'!A:AN,40,FALSE)</f>
        <v/>
      </c>
      <c r="N79" s="136">
        <f t="shared" ca="1" si="45"/>
        <v>1085</v>
      </c>
      <c r="O79" s="1213">
        <f t="shared" ca="1" si="46"/>
        <v>10850</v>
      </c>
      <c r="P79" s="1213">
        <f ca="1">IF(AND($O$1&gt;=O79,換券單檔!$D$13=D79),I79+INT(($O$1-O79)/N79)*J79,0)</f>
        <v>89000</v>
      </c>
      <c r="Q79" s="1213">
        <f t="shared" ca="1" si="47"/>
        <v>4822.91</v>
      </c>
      <c r="R79" s="1213">
        <f t="shared" ca="1" si="48"/>
        <v>89000</v>
      </c>
      <c r="S79" s="1213">
        <f t="shared" ca="1" si="49"/>
        <v>4822.91</v>
      </c>
      <c r="T79" s="136">
        <f ca="1">IF(OR(R79=0,A79=0),0,IF(AND(V79=TRUE,換券單檔!$D$13=D79),E79,0))</f>
        <v>24.37</v>
      </c>
      <c r="U79" s="861">
        <f ca="1">IF(OR(R79=0,A79=0),0,IF(AND(V79=TRUE,換券單檔!$D$13=D79),H79,0))</f>
        <v>4.87E-2</v>
      </c>
      <c r="V79" s="136" t="b">
        <f ca="1">IF(OR(B79=換券單檔!$D$3,L79="無",M79&lt;&gt;"",K79="高資產",IFERROR(MATCH(B79,換券單檔!K:K,0),"N")&lt;&gt;"N"),FALSE,IF($V$1="All",TRUE,IF(K79=$V$1,TRUE,FALSE)))</f>
        <v>1</v>
      </c>
      <c r="W79" s="136">
        <f ca="1">VLOOKUP(A79,'銀行-TSS'!A:AO,41,FALSE)</f>
        <v>104.29</v>
      </c>
      <c r="X79" s="136">
        <f ca="1">VLOOKUP(A79,'銀行-TSS'!A:AP,42,FALSE)</f>
        <v>13.5124</v>
      </c>
      <c r="Y79" s="1220">
        <f t="shared" ca="1" si="50"/>
        <v>12541.952944400004</v>
      </c>
      <c r="Z79" s="1220">
        <f t="shared" ca="1" si="51"/>
        <v>-22079.602581042262</v>
      </c>
      <c r="AA79" s="136">
        <f ca="1">IF(Z79&lt;=0,0,RANK(Z79,Z:Z)+COUNTIF($Z$3:$Z79,Z79)-1)</f>
        <v>0</v>
      </c>
      <c r="AB79" s="1211">
        <f t="shared" ca="1" si="52"/>
        <v>-13354.187055599996</v>
      </c>
      <c r="AC79" s="136">
        <f ca="1">IF(AB79&lt;=0,0,RANK(AB79,AB:AB)+COUNTIF($AB$3:$AB79,AB79)-1)</f>
        <v>0</v>
      </c>
      <c r="AD79" s="1123">
        <f t="shared" ca="1" si="53"/>
        <v>99999</v>
      </c>
      <c r="AE79" s="1123">
        <f ca="1">IF(AD79=99999,0,RANK(AD79,AD:AD,1)+COUNTIF($AD$3:$AD79,AD79)-1)</f>
        <v>0</v>
      </c>
      <c r="AF79" s="86" t="b">
        <f ca="1">IF(OR(M79&lt;&gt;"",L79="無",K79="高資產",IFERROR(MATCH(B79,換券單檔!K:K,0),"N")&lt;&gt;"N"),FALSE,TRUE)</f>
        <v>1</v>
      </c>
      <c r="AI79" s="1212">
        <f t="shared" ca="1" si="54"/>
        <v>89000</v>
      </c>
      <c r="AJ79" s="1213">
        <f t="shared" ca="1" si="55"/>
        <v>4822.91</v>
      </c>
      <c r="AK79" s="1587">
        <f t="shared" ca="1" si="56"/>
        <v>-22079.602581042262</v>
      </c>
      <c r="AN79" s="1212">
        <f t="shared" ca="1" si="57"/>
        <v>50000</v>
      </c>
      <c r="AO79" s="1213">
        <f t="shared" ca="1" si="58"/>
        <v>2709.4999999999995</v>
      </c>
      <c r="AP79" s="1587">
        <f t="shared" ca="1" si="59"/>
        <v>-98649.782724661476</v>
      </c>
      <c r="AS79" s="1212">
        <f t="shared" ca="1" si="60"/>
        <v>87000</v>
      </c>
      <c r="AT79" s="1213">
        <f t="shared" ca="1" si="61"/>
        <v>4714.53</v>
      </c>
      <c r="AU79" s="1587">
        <f t="shared" ca="1" si="62"/>
        <v>-26471.532897004516</v>
      </c>
      <c r="AX79" s="1212">
        <f t="shared" ca="1" si="63"/>
        <v>80000</v>
      </c>
      <c r="AY79" s="1213">
        <f t="shared" ca="1" si="64"/>
        <v>4335.2</v>
      </c>
      <c r="AZ79" s="1587">
        <f t="shared" ca="1" si="65"/>
        <v>-40337.333935166193</v>
      </c>
      <c r="BC79" s="1212">
        <f t="shared" ca="1" si="66"/>
        <v>0</v>
      </c>
      <c r="BD79" s="1213">
        <f t="shared" ca="1" si="67"/>
        <v>0</v>
      </c>
      <c r="BE79" s="1587">
        <f t="shared" ca="1" si="68"/>
        <v>0</v>
      </c>
      <c r="BH79" s="1212">
        <f t="shared" ca="1" si="69"/>
        <v>0</v>
      </c>
      <c r="BI79" s="1213">
        <f t="shared" ca="1" si="70"/>
        <v>0</v>
      </c>
      <c r="BJ79" s="1587">
        <f t="shared" ca="1" si="71"/>
        <v>0</v>
      </c>
      <c r="BM79" s="1212">
        <f t="shared" ca="1" si="72"/>
        <v>0</v>
      </c>
      <c r="BN79" s="1213">
        <f t="shared" ca="1" si="73"/>
        <v>0</v>
      </c>
      <c r="BO79" s="1587">
        <f t="shared" ca="1" si="74"/>
        <v>0</v>
      </c>
      <c r="BR79" s="1212">
        <f t="shared" ca="1" si="75"/>
        <v>0</v>
      </c>
      <c r="BS79" s="1213">
        <f t="shared" ca="1" si="76"/>
        <v>0</v>
      </c>
      <c r="BT79" s="1587">
        <f t="shared" ca="1" si="77"/>
        <v>0</v>
      </c>
      <c r="BW79" s="1212">
        <f t="shared" ca="1" si="78"/>
        <v>0</v>
      </c>
      <c r="BX79" s="1213">
        <f t="shared" ca="1" si="79"/>
        <v>0</v>
      </c>
      <c r="BY79" s="1587">
        <f t="shared" ca="1" si="80"/>
        <v>0</v>
      </c>
      <c r="CB79" s="1212">
        <f t="shared" ca="1" si="81"/>
        <v>0</v>
      </c>
      <c r="CC79" s="1213">
        <f t="shared" ca="1" si="82"/>
        <v>0</v>
      </c>
      <c r="CD79" s="1587">
        <f t="shared" ca="1" si="83"/>
        <v>0</v>
      </c>
      <c r="CG79" s="1212">
        <f t="shared" ca="1" si="84"/>
        <v>0</v>
      </c>
      <c r="CH79" s="1213">
        <f t="shared" ca="1" si="85"/>
        <v>0</v>
      </c>
      <c r="CI79" s="1587">
        <f t="shared" ca="1" si="86"/>
        <v>0</v>
      </c>
      <c r="CL79" s="1212">
        <f t="shared" ca="1" si="87"/>
        <v>0</v>
      </c>
      <c r="CM79" s="1213">
        <f t="shared" ca="1" si="88"/>
        <v>0</v>
      </c>
      <c r="CN79" s="1587">
        <f t="shared" ca="1" si="89"/>
        <v>0</v>
      </c>
    </row>
    <row r="80" spans="1:92">
      <c r="A80" s="141" t="str">
        <f>'銀行-TSS'!A80</f>
        <v>USU1109MAB29</v>
      </c>
      <c r="B80" s="151" t="str">
        <f ca="1">VLOOKUP(A80,'銀行-TSS'!A:B,2,FALSE)</f>
        <v>XFU20</v>
      </c>
      <c r="C80" s="151" t="str">
        <f ca="1">VLOOKUP(B80,bond!B:C,2,FALSE)</f>
        <v>博通公司美元配息債券 4.75% 2029/4/15</v>
      </c>
      <c r="D80" s="95" t="str">
        <f>VLOOKUP(A80,'銀行-TSS'!A:C,3,FALSE)</f>
        <v>USD</v>
      </c>
      <c r="E80" s="90">
        <f ca="1">VLOOKUP(A80,'銀行-TSS'!A:G,7,FALSE)</f>
        <v>4.79</v>
      </c>
      <c r="F80" s="202">
        <f ca="1">VLOOKUP(A80,'銀行-TSS'!A:H,8,FALSE)</f>
        <v>4.7500000000000001E-2</v>
      </c>
      <c r="G80" s="96">
        <f ca="1">VLOOKUP(A80,'銀行-TSS'!A:K,11,FALSE)</f>
        <v>102.03</v>
      </c>
      <c r="H80" s="1209">
        <f ca="1">VLOOKUP(A80,'銀行-TSS'!A:M,13,FALSE)</f>
        <v>4.5100000000000001E-2</v>
      </c>
      <c r="I80" s="1213">
        <f ca="1">VLOOKUP(A80,'銀行-TSS'!A:N,14,FALSE)</f>
        <v>10000</v>
      </c>
      <c r="J80" s="1213">
        <f ca="1">VLOOKUP(A80,'銀行-TSS'!A:O,15,FALSE)</f>
        <v>1000</v>
      </c>
      <c r="K80" s="136" t="str">
        <f ca="1">VLOOKUP(A80,'銀行-TSS'!A:V,22,FALSE)</f>
        <v>(PI)專投</v>
      </c>
      <c r="L80" s="136" t="str">
        <f ca="1">VLOOKUP(A80,'銀行-TSS'!A:AK,37,FALSE)</f>
        <v>需查詢</v>
      </c>
      <c r="M80" s="136" t="str">
        <f ca="1">VLOOKUP(A80,'銀行-TSS'!A:AN,40,FALSE)</f>
        <v/>
      </c>
      <c r="N80" s="136">
        <f t="shared" ca="1" si="45"/>
        <v>1020.3</v>
      </c>
      <c r="O80" s="1213">
        <f t="shared" ca="1" si="46"/>
        <v>10203</v>
      </c>
      <c r="P80" s="1213">
        <f ca="1">IF(AND($O$1&gt;=O80,換券單檔!$D$13=D80),I80+INT(($O$1-O80)/N80)*J80,0)</f>
        <v>94000</v>
      </c>
      <c r="Q80" s="1213">
        <f t="shared" ca="1" si="47"/>
        <v>4465</v>
      </c>
      <c r="R80" s="1213">
        <f t="shared" ca="1" si="48"/>
        <v>94000</v>
      </c>
      <c r="S80" s="1213">
        <f t="shared" ca="1" si="49"/>
        <v>4465</v>
      </c>
      <c r="T80" s="136">
        <f ca="1">IF(OR(R80=0,A80=0),0,IF(AND(V80=TRUE,換券單檔!$D$13=D80),E80,0))</f>
        <v>4.79</v>
      </c>
      <c r="U80" s="861">
        <f ca="1">IF(OR(R80=0,A80=0),0,IF(AND(V80=TRUE,換券單檔!$D$13=D80),H80,0))</f>
        <v>4.5100000000000001E-2</v>
      </c>
      <c r="V80" s="136" t="b">
        <f ca="1">IF(OR(B80=換券單檔!$D$3,L80="無",M80&lt;&gt;"",K80="高資產",IFERROR(MATCH(B80,換券單檔!K:K,0),"N")&lt;&gt;"N"),FALSE,IF($V$1="All",TRUE,IF(K80=$V$1,TRUE,FALSE)))</f>
        <v>1</v>
      </c>
      <c r="W80" s="136">
        <f ca="1">VLOOKUP(A80,'銀行-TSS'!A:AO,41,FALSE)</f>
        <v>99.01</v>
      </c>
      <c r="X80" s="136">
        <f ca="1">VLOOKUP(A80,'銀行-TSS'!A:AP,42,FALSE)</f>
        <v>4.1940999999999997</v>
      </c>
      <c r="Y80" s="1220">
        <f t="shared" ca="1" si="50"/>
        <v>3903.4237054000005</v>
      </c>
      <c r="Z80" s="1220">
        <f t="shared" ca="1" si="51"/>
        <v>0</v>
      </c>
      <c r="AA80" s="136">
        <f ca="1">IF(Z80&lt;=0,0,RANK(Z80,Z:Z)+COUNTIF($Z$3:$Z80,Z80)-1)</f>
        <v>0</v>
      </c>
      <c r="AB80" s="1211">
        <f t="shared" ca="1" si="52"/>
        <v>-16992.716294599999</v>
      </c>
      <c r="AC80" s="136">
        <f ca="1">IF(AB80&lt;=0,0,RANK(AB80,AB:AB)+COUNTIF($AB$3:$AB80,AB80)-1)</f>
        <v>0</v>
      </c>
      <c r="AD80" s="1123">
        <f t="shared" ca="1" si="53"/>
        <v>99999</v>
      </c>
      <c r="AE80" s="1123">
        <f ca="1">IF(AD80=99999,0,RANK(AD80,AD:AD,1)+COUNTIF($AD$3:$AD80,AD80)-1)</f>
        <v>0</v>
      </c>
      <c r="AF80" s="86" t="b">
        <f ca="1">IF(OR(M80&lt;&gt;"",L80="無",K80="高資產",IFERROR(MATCH(B80,換券單檔!K:K,0),"N")&lt;&gt;"N"),FALSE,TRUE)</f>
        <v>1</v>
      </c>
      <c r="AI80" s="1212">
        <f t="shared" ca="1" si="54"/>
        <v>94000</v>
      </c>
      <c r="AJ80" s="1213">
        <f t="shared" ca="1" si="55"/>
        <v>4465</v>
      </c>
      <c r="AK80" s="1587">
        <f t="shared" ca="1" si="56"/>
        <v>0</v>
      </c>
      <c r="AN80" s="1212">
        <f t="shared" ca="1" si="57"/>
        <v>54000</v>
      </c>
      <c r="AO80" s="1213">
        <f t="shared" ca="1" si="58"/>
        <v>2565</v>
      </c>
      <c r="AP80" s="1587">
        <f t="shared" ca="1" si="59"/>
        <v>0</v>
      </c>
      <c r="AS80" s="1212">
        <f t="shared" ca="1" si="60"/>
        <v>92000</v>
      </c>
      <c r="AT80" s="1213">
        <f t="shared" ca="1" si="61"/>
        <v>4370</v>
      </c>
      <c r="AU80" s="1587">
        <f t="shared" ca="1" si="62"/>
        <v>0</v>
      </c>
      <c r="AX80" s="1212">
        <f t="shared" ca="1" si="63"/>
        <v>85000</v>
      </c>
      <c r="AY80" s="1213">
        <f t="shared" ca="1" si="64"/>
        <v>4037.5</v>
      </c>
      <c r="AZ80" s="1587">
        <f t="shared" ca="1" si="65"/>
        <v>0</v>
      </c>
      <c r="BC80" s="1212">
        <f t="shared" ca="1" si="66"/>
        <v>0</v>
      </c>
      <c r="BD80" s="1213">
        <f t="shared" ca="1" si="67"/>
        <v>0</v>
      </c>
      <c r="BE80" s="1587">
        <f t="shared" ca="1" si="68"/>
        <v>0</v>
      </c>
      <c r="BH80" s="1212">
        <f t="shared" ca="1" si="69"/>
        <v>0</v>
      </c>
      <c r="BI80" s="1213">
        <f t="shared" ca="1" si="70"/>
        <v>0</v>
      </c>
      <c r="BJ80" s="1587">
        <f t="shared" ca="1" si="71"/>
        <v>0</v>
      </c>
      <c r="BM80" s="1212">
        <f t="shared" ca="1" si="72"/>
        <v>0</v>
      </c>
      <c r="BN80" s="1213">
        <f t="shared" ca="1" si="73"/>
        <v>0</v>
      </c>
      <c r="BO80" s="1587">
        <f t="shared" ca="1" si="74"/>
        <v>0</v>
      </c>
      <c r="BR80" s="1212">
        <f t="shared" ca="1" si="75"/>
        <v>0</v>
      </c>
      <c r="BS80" s="1213">
        <f t="shared" ca="1" si="76"/>
        <v>0</v>
      </c>
      <c r="BT80" s="1587">
        <f t="shared" ca="1" si="77"/>
        <v>0</v>
      </c>
      <c r="BW80" s="1212">
        <f t="shared" ca="1" si="78"/>
        <v>0</v>
      </c>
      <c r="BX80" s="1213">
        <f t="shared" ca="1" si="79"/>
        <v>0</v>
      </c>
      <c r="BY80" s="1587">
        <f t="shared" ca="1" si="80"/>
        <v>0</v>
      </c>
      <c r="CB80" s="1212">
        <f t="shared" ca="1" si="81"/>
        <v>0</v>
      </c>
      <c r="CC80" s="1213">
        <f t="shared" ca="1" si="82"/>
        <v>0</v>
      </c>
      <c r="CD80" s="1587">
        <f t="shared" ca="1" si="83"/>
        <v>0</v>
      </c>
      <c r="CG80" s="1212">
        <f t="shared" ca="1" si="84"/>
        <v>0</v>
      </c>
      <c r="CH80" s="1213">
        <f t="shared" ca="1" si="85"/>
        <v>0</v>
      </c>
      <c r="CI80" s="1587">
        <f t="shared" ca="1" si="86"/>
        <v>0</v>
      </c>
      <c r="CL80" s="1212">
        <f t="shared" ca="1" si="87"/>
        <v>0</v>
      </c>
      <c r="CM80" s="1213">
        <f t="shared" ca="1" si="88"/>
        <v>0</v>
      </c>
      <c r="CN80" s="1587">
        <f t="shared" ca="1" si="89"/>
        <v>0</v>
      </c>
    </row>
    <row r="81" spans="1:92">
      <c r="A81" s="141" t="str">
        <f>'銀行-TSS'!A81</f>
        <v>US06738EAJ47</v>
      </c>
      <c r="B81" s="151" t="str">
        <f ca="1">VLOOKUP(A81,'銀行-TSS'!A:B,2,FALSE)</f>
        <v>XFU60</v>
      </c>
      <c r="C81" s="151" t="str">
        <f ca="1">VLOOKUP(B81,bond!B:C,2,FALSE)</f>
        <v>巴克萊集團美元配息債券 5.25% 2045/8/17</v>
      </c>
      <c r="D81" s="95" t="str">
        <f>VLOOKUP(A81,'銀行-TSS'!A:C,3,FALSE)</f>
        <v>USD</v>
      </c>
      <c r="E81" s="90">
        <f ca="1">VLOOKUP(A81,'銀行-TSS'!A:G,7,FALSE)</f>
        <v>21.13</v>
      </c>
      <c r="F81" s="202">
        <f ca="1">VLOOKUP(A81,'銀行-TSS'!A:H,8,FALSE)</f>
        <v>5.2499999999999998E-2</v>
      </c>
      <c r="G81" s="96">
        <f ca="1">VLOOKUP(A81,'銀行-TSS'!A:K,11,FALSE)</f>
        <v>100.79</v>
      </c>
      <c r="H81" s="1209">
        <f ca="1">VLOOKUP(A81,'銀行-TSS'!A:M,13,FALSE)</f>
        <v>5.3400000000000003E-2</v>
      </c>
      <c r="I81" s="1213">
        <f ca="1">VLOOKUP(A81,'銀行-TSS'!A:N,14,FALSE)</f>
        <v>200000</v>
      </c>
      <c r="J81" s="1213">
        <f ca="1">VLOOKUP(A81,'銀行-TSS'!A:O,15,FALSE)</f>
        <v>1000</v>
      </c>
      <c r="K81" s="136" t="str">
        <f ca="1">VLOOKUP(A81,'銀行-TSS'!A:V,22,FALSE)</f>
        <v>(PI)專投</v>
      </c>
      <c r="L81" s="136" t="str">
        <f ca="1">VLOOKUP(A81,'銀行-TSS'!A:AK,37,FALSE)</f>
        <v>有</v>
      </c>
      <c r="M81" s="136" t="str">
        <f ca="1">VLOOKUP(A81,'銀行-TSS'!A:AN,40,FALSE)</f>
        <v/>
      </c>
      <c r="N81" s="136">
        <f t="shared" ca="1" si="45"/>
        <v>1007.9</v>
      </c>
      <c r="O81" s="1213">
        <f t="shared" ca="1" si="46"/>
        <v>201580</v>
      </c>
      <c r="P81" s="1213">
        <f ca="1">IF(AND($O$1&gt;=O81,換券單檔!$D$13=D81),I81+INT(($O$1-O81)/N81)*J81,0)</f>
        <v>0</v>
      </c>
      <c r="Q81" s="1213">
        <f t="shared" ca="1" si="47"/>
        <v>0</v>
      </c>
      <c r="R81" s="1213">
        <f t="shared" ca="1" si="48"/>
        <v>0</v>
      </c>
      <c r="S81" s="1213">
        <f t="shared" ca="1" si="49"/>
        <v>0</v>
      </c>
      <c r="T81" s="136">
        <f ca="1">IF(OR(R81=0,A81=0),0,IF(AND(V81=TRUE,換券單檔!$D$13=D81),E81,0))</f>
        <v>0</v>
      </c>
      <c r="U81" s="861">
        <f ca="1">IF(OR(R81=0,A81=0),0,IF(AND(V81=TRUE,換券單檔!$D$13=D81),H81,0))</f>
        <v>0</v>
      </c>
      <c r="V81" s="136" t="b">
        <f ca="1">IF(OR(B81=換券單檔!$D$3,L81="無",M81&lt;&gt;"",K81="高資產",IFERROR(MATCH(B81,換券單檔!K:K,0),"N")&lt;&gt;"N"),FALSE,IF($V$1="All",TRUE,IF(K81=$V$1,TRUE,FALSE)))</f>
        <v>1</v>
      </c>
      <c r="W81" s="136">
        <f ca="1">VLOOKUP(A81,'銀行-TSS'!A:AO,41,FALSE)</f>
        <v>95.820000000000007</v>
      </c>
      <c r="X81" s="136">
        <f ca="1">VLOOKUP(A81,'銀行-TSS'!A:AP,42,FALSE)</f>
        <v>12.2403</v>
      </c>
      <c r="Y81" s="1220">
        <f t="shared" ca="1" si="50"/>
        <v>0</v>
      </c>
      <c r="Z81" s="1220">
        <f t="shared" ca="1" si="51"/>
        <v>0</v>
      </c>
      <c r="AA81" s="136">
        <f ca="1">IF(Z81&lt;=0,0,RANK(Z81,Z:Z)+COUNTIF($Z$3:$Z81,Z81)-1)</f>
        <v>0</v>
      </c>
      <c r="AB81" s="1211">
        <f t="shared" ca="1" si="52"/>
        <v>-114896.14</v>
      </c>
      <c r="AC81" s="136">
        <f ca="1">IF(AB81&lt;=0,0,RANK(AB81,AB:AB)+COUNTIF($AB$3:$AB81,AB81)-1)</f>
        <v>0</v>
      </c>
      <c r="AD81" s="1123">
        <f t="shared" ca="1" si="53"/>
        <v>99999</v>
      </c>
      <c r="AE81" s="1123">
        <f ca="1">IF(AD81=99999,0,RANK(AD81,AD:AD,1)+COUNTIF($AD$3:$AD81,AD81)-1)</f>
        <v>0</v>
      </c>
      <c r="AF81" s="86" t="b">
        <f ca="1">IF(OR(M81&lt;&gt;"",L81="無",K81="高資產",IFERROR(MATCH(B81,換券單檔!K:K,0),"N")&lt;&gt;"N"),FALSE,TRUE)</f>
        <v>1</v>
      </c>
      <c r="AI81" s="1212">
        <f t="shared" ca="1" si="54"/>
        <v>0</v>
      </c>
      <c r="AJ81" s="1213">
        <f t="shared" ca="1" si="55"/>
        <v>0</v>
      </c>
      <c r="AK81" s="1587">
        <f t="shared" ca="1" si="56"/>
        <v>0</v>
      </c>
      <c r="AN81" s="1212">
        <f t="shared" ca="1" si="57"/>
        <v>0</v>
      </c>
      <c r="AO81" s="1213">
        <f t="shared" ca="1" si="58"/>
        <v>0</v>
      </c>
      <c r="AP81" s="1587">
        <f t="shared" ca="1" si="59"/>
        <v>0</v>
      </c>
      <c r="AS81" s="1212">
        <f t="shared" ca="1" si="60"/>
        <v>0</v>
      </c>
      <c r="AT81" s="1213">
        <f t="shared" ca="1" si="61"/>
        <v>0</v>
      </c>
      <c r="AU81" s="1587">
        <f t="shared" ca="1" si="62"/>
        <v>0</v>
      </c>
      <c r="AX81" s="1212">
        <f t="shared" ca="1" si="63"/>
        <v>0</v>
      </c>
      <c r="AY81" s="1213">
        <f t="shared" ca="1" si="64"/>
        <v>0</v>
      </c>
      <c r="AZ81" s="1587">
        <f t="shared" ca="1" si="65"/>
        <v>0</v>
      </c>
      <c r="BC81" s="1212">
        <f t="shared" ca="1" si="66"/>
        <v>0</v>
      </c>
      <c r="BD81" s="1213">
        <f t="shared" ca="1" si="67"/>
        <v>0</v>
      </c>
      <c r="BE81" s="1587">
        <f t="shared" ca="1" si="68"/>
        <v>0</v>
      </c>
      <c r="BH81" s="1212">
        <f t="shared" ca="1" si="69"/>
        <v>0</v>
      </c>
      <c r="BI81" s="1213">
        <f t="shared" ca="1" si="70"/>
        <v>0</v>
      </c>
      <c r="BJ81" s="1587">
        <f t="shared" ca="1" si="71"/>
        <v>0</v>
      </c>
      <c r="BM81" s="1212">
        <f t="shared" ca="1" si="72"/>
        <v>0</v>
      </c>
      <c r="BN81" s="1213">
        <f t="shared" ca="1" si="73"/>
        <v>0</v>
      </c>
      <c r="BO81" s="1587">
        <f t="shared" ca="1" si="74"/>
        <v>0</v>
      </c>
      <c r="BR81" s="1212">
        <f t="shared" ca="1" si="75"/>
        <v>0</v>
      </c>
      <c r="BS81" s="1213">
        <f t="shared" ca="1" si="76"/>
        <v>0</v>
      </c>
      <c r="BT81" s="1587">
        <f t="shared" ca="1" si="77"/>
        <v>0</v>
      </c>
      <c r="BW81" s="1212">
        <f t="shared" ca="1" si="78"/>
        <v>0</v>
      </c>
      <c r="BX81" s="1213">
        <f t="shared" ca="1" si="79"/>
        <v>0</v>
      </c>
      <c r="BY81" s="1587">
        <f t="shared" ca="1" si="80"/>
        <v>0</v>
      </c>
      <c r="CB81" s="1212">
        <f t="shared" ca="1" si="81"/>
        <v>0</v>
      </c>
      <c r="CC81" s="1213">
        <f t="shared" ca="1" si="82"/>
        <v>0</v>
      </c>
      <c r="CD81" s="1587">
        <f t="shared" ca="1" si="83"/>
        <v>0</v>
      </c>
      <c r="CG81" s="1212">
        <f t="shared" ca="1" si="84"/>
        <v>0</v>
      </c>
      <c r="CH81" s="1213">
        <f t="shared" ca="1" si="85"/>
        <v>0</v>
      </c>
      <c r="CI81" s="1587">
        <f t="shared" ca="1" si="86"/>
        <v>0</v>
      </c>
      <c r="CL81" s="1212">
        <f t="shared" ca="1" si="87"/>
        <v>0</v>
      </c>
      <c r="CM81" s="1213">
        <f t="shared" ca="1" si="88"/>
        <v>0</v>
      </c>
      <c r="CN81" s="1587">
        <f t="shared" ca="1" si="89"/>
        <v>0</v>
      </c>
    </row>
    <row r="82" spans="1:92">
      <c r="A82" s="141" t="str">
        <f>'銀行-TSS'!A82</f>
        <v>US87927VAV09</v>
      </c>
      <c r="B82" s="151" t="str">
        <f ca="1">VLOOKUP(A82,'銀行-TSS'!A:B,2,FALSE)</f>
        <v>XFU70</v>
      </c>
      <c r="C82" s="151" t="str">
        <f ca="1">VLOOKUP(B82,bond!B:C,2,FALSE)</f>
        <v>義大利電信資本公司美元配息債券 7.721% 2038/6/4</v>
      </c>
      <c r="D82" s="95" t="str">
        <f>VLOOKUP(A82,'銀行-TSS'!A:C,3,FALSE)</f>
        <v>USD</v>
      </c>
      <c r="E82" s="90">
        <f ca="1">VLOOKUP(A82,'銀行-TSS'!A:G,7,FALSE)</f>
        <v>13.92</v>
      </c>
      <c r="F82" s="202">
        <f ca="1">VLOOKUP(A82,'銀行-TSS'!A:H,8,FALSE)</f>
        <v>7.7210000000000001E-2</v>
      </c>
      <c r="G82" s="96">
        <f ca="1">VLOOKUP(A82,'銀行-TSS'!A:K,11,FALSE)</f>
        <v>102.29</v>
      </c>
      <c r="H82" s="1209">
        <f ca="1">VLOOKUP(A82,'銀行-TSS'!A:M,13,FALSE)</f>
        <v>7.5200000000000003E-2</v>
      </c>
      <c r="I82" s="1213">
        <f ca="1">VLOOKUP(A82,'銀行-TSS'!A:N,14,FALSE)</f>
        <v>10000</v>
      </c>
      <c r="J82" s="1213">
        <f ca="1">VLOOKUP(A82,'銀行-TSS'!A:O,15,FALSE)</f>
        <v>1000</v>
      </c>
      <c r="K82" s="136" t="str">
        <f ca="1">VLOOKUP(A82,'銀行-TSS'!A:V,22,FALSE)</f>
        <v>高資產</v>
      </c>
      <c r="L82" s="136" t="str">
        <f ca="1">VLOOKUP(A82,'銀行-TSS'!A:AK,37,FALSE)</f>
        <v>需查詢</v>
      </c>
      <c r="M82" s="136" t="str">
        <f ca="1">VLOOKUP(A82,'銀行-TSS'!A:AN,40,FALSE)</f>
        <v>XFU70</v>
      </c>
      <c r="N82" s="136">
        <f t="shared" ca="1" si="45"/>
        <v>1022.9</v>
      </c>
      <c r="O82" s="1213">
        <f t="shared" ca="1" si="46"/>
        <v>10229.000000000002</v>
      </c>
      <c r="P82" s="1213">
        <f ca="1">IF(AND($O$1&gt;=O82,換券單檔!$D$13=D82),I82+INT(($O$1-O82)/N82)*J82,0)</f>
        <v>94000</v>
      </c>
      <c r="Q82" s="1213">
        <f t="shared" ca="1" si="47"/>
        <v>7257.74</v>
      </c>
      <c r="R82" s="1213">
        <f t="shared" ca="1" si="48"/>
        <v>0</v>
      </c>
      <c r="S82" s="1213">
        <f t="shared" ca="1" si="49"/>
        <v>0</v>
      </c>
      <c r="T82" s="136">
        <f ca="1">IF(OR(R82=0,A82=0),0,IF(AND(V82=TRUE,換券單檔!$D$13=D82),E82,0))</f>
        <v>0</v>
      </c>
      <c r="U82" s="861">
        <f ca="1">IF(OR(R82=0,A82=0),0,IF(AND(V82=TRUE,換券單檔!$D$13=D82),H82,0))</f>
        <v>0</v>
      </c>
      <c r="V82" s="136" t="b">
        <f ca="1">IF(OR(B82=換券單檔!$D$3,L82="無",M82&lt;&gt;"",K82="高資產",IFERROR(MATCH(B82,換券單檔!K:K,0),"N")&lt;&gt;"N"),FALSE,IF($V$1="All",TRUE,IF(K82=$V$1,TRUE,FALSE)))</f>
        <v>0</v>
      </c>
      <c r="W82" s="136">
        <f ca="1">VLOOKUP(A82,'銀行-TSS'!A:AO,41,FALSE)</f>
        <v>98.69</v>
      </c>
      <c r="X82" s="136">
        <f ca="1">VLOOKUP(A82,'銀行-TSS'!A:AP,42,FALSE)</f>
        <v>8.4009999999999998</v>
      </c>
      <c r="Y82" s="1220">
        <f t="shared" ca="1" si="50"/>
        <v>0</v>
      </c>
      <c r="Z82" s="1220">
        <f t="shared" ca="1" si="51"/>
        <v>0</v>
      </c>
      <c r="AA82" s="136">
        <f ca="1">IF(Z82&lt;=0,0,RANK(Z82,Z:Z)+COUNTIF($Z$3:$Z82,Z82)-1)</f>
        <v>0</v>
      </c>
      <c r="AB82" s="1211">
        <f t="shared" ca="1" si="52"/>
        <v>-14896.14</v>
      </c>
      <c r="AC82" s="136">
        <f ca="1">IF(AB82&lt;=0,0,RANK(AB82,AB:AB)+COUNTIF($AB$3:$AB82,AB82)-1)</f>
        <v>0</v>
      </c>
      <c r="AD82" s="1123">
        <f t="shared" ca="1" si="53"/>
        <v>99999</v>
      </c>
      <c r="AE82" s="1123">
        <f ca="1">IF(AD82=99999,0,RANK(AD82,AD:AD,1)+COUNTIF($AD$3:$AD82,AD82)-1)</f>
        <v>0</v>
      </c>
      <c r="AF82" s="86" t="b">
        <f ca="1">IF(OR(M82&lt;&gt;"",L82="無",K82="高資產",IFERROR(MATCH(B82,換券單檔!K:K,0),"N")&lt;&gt;"N"),FALSE,TRUE)</f>
        <v>0</v>
      </c>
      <c r="AI82" s="1212">
        <f t="shared" ca="1" si="54"/>
        <v>0</v>
      </c>
      <c r="AJ82" s="1213">
        <f t="shared" ca="1" si="55"/>
        <v>0</v>
      </c>
      <c r="AK82" s="1587">
        <f t="shared" ca="1" si="56"/>
        <v>0</v>
      </c>
      <c r="AN82" s="1212">
        <f t="shared" ca="1" si="57"/>
        <v>0</v>
      </c>
      <c r="AO82" s="1213">
        <f t="shared" ca="1" si="58"/>
        <v>0</v>
      </c>
      <c r="AP82" s="1587">
        <f t="shared" ca="1" si="59"/>
        <v>0</v>
      </c>
      <c r="AS82" s="1212">
        <f t="shared" ca="1" si="60"/>
        <v>0</v>
      </c>
      <c r="AT82" s="1213">
        <f t="shared" ca="1" si="61"/>
        <v>0</v>
      </c>
      <c r="AU82" s="1587">
        <f t="shared" ca="1" si="62"/>
        <v>0</v>
      </c>
      <c r="AX82" s="1212">
        <f t="shared" ca="1" si="63"/>
        <v>0</v>
      </c>
      <c r="AY82" s="1213">
        <f t="shared" ca="1" si="64"/>
        <v>0</v>
      </c>
      <c r="AZ82" s="1587">
        <f t="shared" ca="1" si="65"/>
        <v>0</v>
      </c>
      <c r="BC82" s="1212">
        <f t="shared" ca="1" si="66"/>
        <v>0</v>
      </c>
      <c r="BD82" s="1213">
        <f t="shared" ca="1" si="67"/>
        <v>0</v>
      </c>
      <c r="BE82" s="1587">
        <f t="shared" ca="1" si="68"/>
        <v>0</v>
      </c>
      <c r="BH82" s="1212">
        <f t="shared" ca="1" si="69"/>
        <v>0</v>
      </c>
      <c r="BI82" s="1213">
        <f t="shared" ca="1" si="70"/>
        <v>0</v>
      </c>
      <c r="BJ82" s="1587">
        <f t="shared" ca="1" si="71"/>
        <v>0</v>
      </c>
      <c r="BM82" s="1212">
        <f t="shared" ca="1" si="72"/>
        <v>0</v>
      </c>
      <c r="BN82" s="1213">
        <f t="shared" ca="1" si="73"/>
        <v>0</v>
      </c>
      <c r="BO82" s="1587">
        <f t="shared" ca="1" si="74"/>
        <v>0</v>
      </c>
      <c r="BR82" s="1212">
        <f t="shared" ca="1" si="75"/>
        <v>0</v>
      </c>
      <c r="BS82" s="1213">
        <f t="shared" ca="1" si="76"/>
        <v>0</v>
      </c>
      <c r="BT82" s="1587">
        <f t="shared" ca="1" si="77"/>
        <v>0</v>
      </c>
      <c r="BW82" s="1212">
        <f t="shared" ca="1" si="78"/>
        <v>0</v>
      </c>
      <c r="BX82" s="1213">
        <f t="shared" ca="1" si="79"/>
        <v>0</v>
      </c>
      <c r="BY82" s="1587">
        <f t="shared" ca="1" si="80"/>
        <v>0</v>
      </c>
      <c r="CB82" s="1212">
        <f t="shared" ca="1" si="81"/>
        <v>0</v>
      </c>
      <c r="CC82" s="1213">
        <f t="shared" ca="1" si="82"/>
        <v>0</v>
      </c>
      <c r="CD82" s="1587">
        <f t="shared" ca="1" si="83"/>
        <v>0</v>
      </c>
      <c r="CG82" s="1212">
        <f t="shared" ca="1" si="84"/>
        <v>0</v>
      </c>
      <c r="CH82" s="1213">
        <f t="shared" ca="1" si="85"/>
        <v>0</v>
      </c>
      <c r="CI82" s="1587">
        <f t="shared" ca="1" si="86"/>
        <v>0</v>
      </c>
      <c r="CL82" s="1212">
        <f t="shared" ca="1" si="87"/>
        <v>0</v>
      </c>
      <c r="CM82" s="1213">
        <f t="shared" ca="1" si="88"/>
        <v>0</v>
      </c>
      <c r="CN82" s="1587">
        <f t="shared" ca="1" si="89"/>
        <v>0</v>
      </c>
    </row>
    <row r="83" spans="1:92">
      <c r="A83" s="141" t="str">
        <f>'銀行-TSS'!A83</f>
        <v>XS1568888777</v>
      </c>
      <c r="B83" s="151" t="str">
        <f ca="1">VLOOKUP(A83,'銀行-TSS'!A:B,2,FALSE)</f>
        <v>XFU80</v>
      </c>
      <c r="C83" s="151" t="str">
        <f ca="1">VLOOKUP(B83,bond!B:C,2,FALSE)</f>
        <v>墨西哥石油公司歐元配息債券 4.875% 2028/2/21</v>
      </c>
      <c r="D83" s="95" t="str">
        <f>VLOOKUP(A83,'銀行-TSS'!A:C,3,FALSE)</f>
        <v>EUR</v>
      </c>
      <c r="E83" s="90">
        <f ca="1">VLOOKUP(A83,'銀行-TSS'!A:G,7,FALSE)</f>
        <v>3.64</v>
      </c>
      <c r="F83" s="202">
        <f ca="1">VLOOKUP(A83,'銀行-TSS'!A:H,8,FALSE)</f>
        <v>4.8750000000000002E-2</v>
      </c>
      <c r="G83" s="96">
        <f ca="1">VLOOKUP(A83,'銀行-TSS'!A:K,11,FALSE)</f>
        <v>95.71</v>
      </c>
      <c r="H83" s="1209">
        <f ca="1">VLOOKUP(A83,'銀行-TSS'!A:M,13,FALSE)</f>
        <v>6.8000000000000005E-2</v>
      </c>
      <c r="I83" s="1213">
        <f ca="1">VLOOKUP(A83,'銀行-TSS'!A:N,14,FALSE)</f>
        <v>100000</v>
      </c>
      <c r="J83" s="1213">
        <f ca="1">VLOOKUP(A83,'銀行-TSS'!A:O,15,FALSE)</f>
        <v>1000</v>
      </c>
      <c r="K83" s="136" t="str">
        <f ca="1">VLOOKUP(A83,'銀行-TSS'!A:V,22,FALSE)</f>
        <v>高資產</v>
      </c>
      <c r="L83" s="136" t="str">
        <f ca="1">VLOOKUP(A83,'銀行-TSS'!A:AK,37,FALSE)</f>
        <v>有</v>
      </c>
      <c r="M83" s="136" t="str">
        <f ca="1">VLOOKUP(A83,'銀行-TSS'!A:AN,40,FALSE)</f>
        <v/>
      </c>
      <c r="N83" s="136">
        <f t="shared" ca="1" si="45"/>
        <v>957.1</v>
      </c>
      <c r="O83" s="1213">
        <f t="shared" ca="1" si="46"/>
        <v>95710</v>
      </c>
      <c r="P83" s="1213">
        <f ca="1">IF(AND($O$1&gt;=O83,換券單檔!$D$13=D83),I83+INT(($O$1-O83)/N83)*J83,0)</f>
        <v>0</v>
      </c>
      <c r="Q83" s="1213">
        <f t="shared" ca="1" si="47"/>
        <v>0</v>
      </c>
      <c r="R83" s="1213">
        <f t="shared" ca="1" si="48"/>
        <v>0</v>
      </c>
      <c r="S83" s="1213">
        <f t="shared" ca="1" si="49"/>
        <v>0</v>
      </c>
      <c r="T83" s="136">
        <f ca="1">IF(OR(R83=0,A83=0),0,IF(AND(V83=TRUE,換券單檔!$D$13=D83),E83,0))</f>
        <v>0</v>
      </c>
      <c r="U83" s="861">
        <f ca="1">IF(OR(R83=0,A83=0),0,IF(AND(V83=TRUE,換券單檔!$D$13=D83),H83,0))</f>
        <v>0</v>
      </c>
      <c r="V83" s="136" t="b">
        <f ca="1">IF(OR(B83=換券單檔!$D$3,L83="無",M83&lt;&gt;"",K83="高資產",IFERROR(MATCH(B83,換券單檔!K:K,0),"N")&lt;&gt;"N"),FALSE,IF($V$1="All",TRUE,IF(K83=$V$1,TRUE,FALSE)))</f>
        <v>0</v>
      </c>
      <c r="W83" s="136">
        <f ca="1">VLOOKUP(A83,'銀行-TSS'!A:AO,41,FALSE)</f>
        <v>92.440000000000012</v>
      </c>
      <c r="X83" s="136">
        <f ca="1">VLOOKUP(A83,'銀行-TSS'!A:AP,42,FALSE)</f>
        <v>3.1238999999999999</v>
      </c>
      <c r="Y83" s="1220">
        <f t="shared" ca="1" si="50"/>
        <v>0</v>
      </c>
      <c r="Z83" s="1220">
        <f t="shared" ca="1" si="51"/>
        <v>0</v>
      </c>
      <c r="AA83" s="136">
        <f ca="1">IF(Z83&lt;=0,0,RANK(Z83,Z:Z)+COUNTIF($Z$3:$Z83,Z83)-1)</f>
        <v>0</v>
      </c>
      <c r="AB83" s="1211">
        <f t="shared" ca="1" si="52"/>
        <v>-14896.14</v>
      </c>
      <c r="AC83" s="136">
        <f ca="1">IF(AB83&lt;=0,0,RANK(AB83,AB:AB)+COUNTIF($AB$3:$AB83,AB83)-1)</f>
        <v>0</v>
      </c>
      <c r="AD83" s="1123">
        <f t="shared" ca="1" si="53"/>
        <v>99999</v>
      </c>
      <c r="AE83" s="1123">
        <f ca="1">IF(AD83=99999,0,RANK(AD83,AD:AD,1)+COUNTIF($AD$3:$AD83,AD83)-1)</f>
        <v>0</v>
      </c>
      <c r="AF83" s="86" t="b">
        <f ca="1">IF(OR(M83&lt;&gt;"",L83="無",K83="高資產",IFERROR(MATCH(B83,換券單檔!K:K,0),"N")&lt;&gt;"N"),FALSE,TRUE)</f>
        <v>0</v>
      </c>
      <c r="AI83" s="1212">
        <f t="shared" ca="1" si="54"/>
        <v>0</v>
      </c>
      <c r="AJ83" s="1213">
        <f t="shared" ca="1" si="55"/>
        <v>0</v>
      </c>
      <c r="AK83" s="1587">
        <f t="shared" ca="1" si="56"/>
        <v>0</v>
      </c>
      <c r="AN83" s="1212">
        <f t="shared" ca="1" si="57"/>
        <v>0</v>
      </c>
      <c r="AO83" s="1213">
        <f t="shared" ca="1" si="58"/>
        <v>0</v>
      </c>
      <c r="AP83" s="1587">
        <f t="shared" ca="1" si="59"/>
        <v>0</v>
      </c>
      <c r="AS83" s="1212">
        <f t="shared" ca="1" si="60"/>
        <v>0</v>
      </c>
      <c r="AT83" s="1213">
        <f t="shared" ca="1" si="61"/>
        <v>0</v>
      </c>
      <c r="AU83" s="1587">
        <f t="shared" ca="1" si="62"/>
        <v>0</v>
      </c>
      <c r="AX83" s="1212">
        <f t="shared" ca="1" si="63"/>
        <v>0</v>
      </c>
      <c r="AY83" s="1213">
        <f t="shared" ca="1" si="64"/>
        <v>0</v>
      </c>
      <c r="AZ83" s="1587">
        <f t="shared" ca="1" si="65"/>
        <v>0</v>
      </c>
      <c r="BC83" s="1212">
        <f t="shared" ca="1" si="66"/>
        <v>0</v>
      </c>
      <c r="BD83" s="1213">
        <f t="shared" ca="1" si="67"/>
        <v>0</v>
      </c>
      <c r="BE83" s="1587">
        <f t="shared" ca="1" si="68"/>
        <v>0</v>
      </c>
      <c r="BH83" s="1212">
        <f t="shared" ca="1" si="69"/>
        <v>0</v>
      </c>
      <c r="BI83" s="1213">
        <f t="shared" ca="1" si="70"/>
        <v>0</v>
      </c>
      <c r="BJ83" s="1587">
        <f t="shared" ca="1" si="71"/>
        <v>0</v>
      </c>
      <c r="BM83" s="1212">
        <f t="shared" ca="1" si="72"/>
        <v>0</v>
      </c>
      <c r="BN83" s="1213">
        <f t="shared" ca="1" si="73"/>
        <v>0</v>
      </c>
      <c r="BO83" s="1587">
        <f t="shared" ca="1" si="74"/>
        <v>0</v>
      </c>
      <c r="BR83" s="1212">
        <f t="shared" ca="1" si="75"/>
        <v>0</v>
      </c>
      <c r="BS83" s="1213">
        <f t="shared" ca="1" si="76"/>
        <v>0</v>
      </c>
      <c r="BT83" s="1587">
        <f t="shared" ca="1" si="77"/>
        <v>0</v>
      </c>
      <c r="BW83" s="1212">
        <f t="shared" ca="1" si="78"/>
        <v>0</v>
      </c>
      <c r="BX83" s="1213">
        <f t="shared" ca="1" si="79"/>
        <v>0</v>
      </c>
      <c r="BY83" s="1587">
        <f t="shared" ca="1" si="80"/>
        <v>0</v>
      </c>
      <c r="CB83" s="1212">
        <f t="shared" ca="1" si="81"/>
        <v>0</v>
      </c>
      <c r="CC83" s="1213">
        <f t="shared" ca="1" si="82"/>
        <v>0</v>
      </c>
      <c r="CD83" s="1587">
        <f t="shared" ca="1" si="83"/>
        <v>0</v>
      </c>
      <c r="CG83" s="1212">
        <f t="shared" ca="1" si="84"/>
        <v>0</v>
      </c>
      <c r="CH83" s="1213">
        <f t="shared" ca="1" si="85"/>
        <v>0</v>
      </c>
      <c r="CI83" s="1587">
        <f t="shared" ca="1" si="86"/>
        <v>0</v>
      </c>
      <c r="CL83" s="1212">
        <f t="shared" ca="1" si="87"/>
        <v>0</v>
      </c>
      <c r="CM83" s="1213">
        <f t="shared" ca="1" si="88"/>
        <v>0</v>
      </c>
      <c r="CN83" s="1587">
        <f t="shared" ca="1" si="89"/>
        <v>0</v>
      </c>
    </row>
    <row r="84" spans="1:92">
      <c r="A84" s="141" t="str">
        <f>'銀行-TSS'!A84</f>
        <v>US30219GAP37</v>
      </c>
      <c r="B84" s="151" t="str">
        <f ca="1">VLOOKUP(A84,'銀行-TSS'!A:B,2,FALSE)</f>
        <v>XFV20</v>
      </c>
      <c r="C84" s="151" t="str">
        <f ca="1">VLOOKUP(B84,bond!B:C,2,FALSE)</f>
        <v>快捷藥方控股公司美元配息債券 4.8% 2046/7/15</v>
      </c>
      <c r="D84" s="95" t="str">
        <f>VLOOKUP(A84,'銀行-TSS'!A:C,3,FALSE)</f>
        <v>USD</v>
      </c>
      <c r="E84" s="90">
        <f ca="1">VLOOKUP(A84,'銀行-TSS'!A:G,7,FALSE)</f>
        <v>22.03</v>
      </c>
      <c r="F84" s="202">
        <f ca="1">VLOOKUP(A84,'銀行-TSS'!A:H,8,FALSE)</f>
        <v>4.8000000000000001E-2</v>
      </c>
      <c r="G84" s="96">
        <f ca="1">VLOOKUP(A84,'銀行-TSS'!A:K,11,FALSE)</f>
        <v>90.02</v>
      </c>
      <c r="H84" s="1209">
        <f ca="1">VLOOKUP(A84,'銀行-TSS'!A:M,13,FALSE)</f>
        <v>5.79E-2</v>
      </c>
      <c r="I84" s="1213">
        <f ca="1">VLOOKUP(A84,'銀行-TSS'!A:N,14,FALSE)</f>
        <v>10000</v>
      </c>
      <c r="J84" s="1213">
        <f ca="1">VLOOKUP(A84,'銀行-TSS'!A:O,15,FALSE)</f>
        <v>1000</v>
      </c>
      <c r="K84" s="136" t="str">
        <f ca="1">VLOOKUP(A84,'銀行-TSS'!A:V,22,FALSE)</f>
        <v>(NPI)非專投</v>
      </c>
      <c r="L84" s="136" t="str">
        <f ca="1">VLOOKUP(A84,'銀行-TSS'!A:AK,37,FALSE)</f>
        <v>需查詢</v>
      </c>
      <c r="M84" s="136" t="str">
        <f ca="1">VLOOKUP(A84,'銀行-TSS'!A:AN,40,FALSE)</f>
        <v>XFV20</v>
      </c>
      <c r="N84" s="136">
        <f t="shared" ca="1" si="45"/>
        <v>900.2</v>
      </c>
      <c r="O84" s="1213">
        <f t="shared" ca="1" si="46"/>
        <v>9002</v>
      </c>
      <c r="P84" s="1213">
        <f ca="1">IF(AND($O$1&gt;=O84,換券單檔!$D$13=D84),I84+INT(($O$1-O84)/N84)*J84,0)</f>
        <v>107000</v>
      </c>
      <c r="Q84" s="1213">
        <f t="shared" ca="1" si="47"/>
        <v>5136</v>
      </c>
      <c r="R84" s="1213">
        <f t="shared" ca="1" si="48"/>
        <v>0</v>
      </c>
      <c r="S84" s="1213">
        <f t="shared" ca="1" si="49"/>
        <v>0</v>
      </c>
      <c r="T84" s="136">
        <f ca="1">IF(OR(R84=0,A84=0),0,IF(AND(V84=TRUE,換券單檔!$D$13=D84),E84,0))</f>
        <v>0</v>
      </c>
      <c r="U84" s="861">
        <f ca="1">IF(OR(R84=0,A84=0),0,IF(AND(V84=TRUE,換券單檔!$D$13=D84),H84,0))</f>
        <v>0</v>
      </c>
      <c r="V84" s="136" t="b">
        <f ca="1">IF(OR(B84=換券單檔!$D$3,L84="無",M84&lt;&gt;"",K84="高資產",IFERROR(MATCH(B84,換券單檔!K:K,0),"N")&lt;&gt;"N"),FALSE,IF($V$1="All",TRUE,IF(K84=$V$1,TRUE,FALSE)))</f>
        <v>0</v>
      </c>
      <c r="W84" s="136">
        <f ca="1">VLOOKUP(A84,'銀行-TSS'!A:AO,41,FALSE)</f>
        <v>84.79</v>
      </c>
      <c r="X84" s="136">
        <f ca="1">VLOOKUP(A84,'銀行-TSS'!A:AP,42,FALSE)</f>
        <v>12.2967</v>
      </c>
      <c r="Y84" s="1220">
        <f t="shared" ca="1" si="50"/>
        <v>0</v>
      </c>
      <c r="Z84" s="1220">
        <f t="shared" ca="1" si="51"/>
        <v>0</v>
      </c>
      <c r="AA84" s="136">
        <f ca="1">IF(Z84&lt;=0,0,RANK(Z84,Z:Z)+COUNTIF($Z$3:$Z84,Z84)-1)</f>
        <v>0</v>
      </c>
      <c r="AB84" s="1211">
        <f t="shared" ca="1" si="52"/>
        <v>-14896.14</v>
      </c>
      <c r="AC84" s="136">
        <f ca="1">IF(AB84&lt;=0,0,RANK(AB84,AB:AB)+COUNTIF($AB$3:$AB84,AB84)-1)</f>
        <v>0</v>
      </c>
      <c r="AD84" s="1123">
        <f t="shared" ca="1" si="53"/>
        <v>99999</v>
      </c>
      <c r="AE84" s="1123">
        <f ca="1">IF(AD84=99999,0,RANK(AD84,AD:AD,1)+COUNTIF($AD$3:$AD84,AD84)-1)</f>
        <v>0</v>
      </c>
      <c r="AF84" s="86" t="b">
        <f ca="1">IF(OR(M84&lt;&gt;"",L84="無",K84="高資產",IFERROR(MATCH(B84,換券單檔!K:K,0),"N")&lt;&gt;"N"),FALSE,TRUE)</f>
        <v>0</v>
      </c>
      <c r="AI84" s="1212">
        <f t="shared" ca="1" si="54"/>
        <v>0</v>
      </c>
      <c r="AJ84" s="1213">
        <f t="shared" ca="1" si="55"/>
        <v>0</v>
      </c>
      <c r="AK84" s="1587">
        <f t="shared" ca="1" si="56"/>
        <v>0</v>
      </c>
      <c r="AN84" s="1212">
        <f t="shared" ca="1" si="57"/>
        <v>0</v>
      </c>
      <c r="AO84" s="1213">
        <f t="shared" ca="1" si="58"/>
        <v>0</v>
      </c>
      <c r="AP84" s="1587">
        <f t="shared" ca="1" si="59"/>
        <v>0</v>
      </c>
      <c r="AS84" s="1212">
        <f t="shared" ca="1" si="60"/>
        <v>0</v>
      </c>
      <c r="AT84" s="1213">
        <f t="shared" ca="1" si="61"/>
        <v>0</v>
      </c>
      <c r="AU84" s="1587">
        <f t="shared" ca="1" si="62"/>
        <v>0</v>
      </c>
      <c r="AX84" s="1212">
        <f t="shared" ca="1" si="63"/>
        <v>0</v>
      </c>
      <c r="AY84" s="1213">
        <f t="shared" ca="1" si="64"/>
        <v>0</v>
      </c>
      <c r="AZ84" s="1587">
        <f t="shared" ca="1" si="65"/>
        <v>0</v>
      </c>
      <c r="BC84" s="1212">
        <f t="shared" ca="1" si="66"/>
        <v>0</v>
      </c>
      <c r="BD84" s="1213">
        <f t="shared" ca="1" si="67"/>
        <v>0</v>
      </c>
      <c r="BE84" s="1587">
        <f t="shared" ca="1" si="68"/>
        <v>0</v>
      </c>
      <c r="BH84" s="1212">
        <f t="shared" ca="1" si="69"/>
        <v>0</v>
      </c>
      <c r="BI84" s="1213">
        <f t="shared" ca="1" si="70"/>
        <v>0</v>
      </c>
      <c r="BJ84" s="1587">
        <f t="shared" ca="1" si="71"/>
        <v>0</v>
      </c>
      <c r="BM84" s="1212">
        <f t="shared" ca="1" si="72"/>
        <v>0</v>
      </c>
      <c r="BN84" s="1213">
        <f t="shared" ca="1" si="73"/>
        <v>0</v>
      </c>
      <c r="BO84" s="1587">
        <f t="shared" ca="1" si="74"/>
        <v>0</v>
      </c>
      <c r="BR84" s="1212">
        <f t="shared" ca="1" si="75"/>
        <v>0</v>
      </c>
      <c r="BS84" s="1213">
        <f t="shared" ca="1" si="76"/>
        <v>0</v>
      </c>
      <c r="BT84" s="1587">
        <f t="shared" ca="1" si="77"/>
        <v>0</v>
      </c>
      <c r="BW84" s="1212">
        <f t="shared" ca="1" si="78"/>
        <v>0</v>
      </c>
      <c r="BX84" s="1213">
        <f t="shared" ca="1" si="79"/>
        <v>0</v>
      </c>
      <c r="BY84" s="1587">
        <f t="shared" ca="1" si="80"/>
        <v>0</v>
      </c>
      <c r="CB84" s="1212">
        <f t="shared" ca="1" si="81"/>
        <v>0</v>
      </c>
      <c r="CC84" s="1213">
        <f t="shared" ca="1" si="82"/>
        <v>0</v>
      </c>
      <c r="CD84" s="1587">
        <f t="shared" ca="1" si="83"/>
        <v>0</v>
      </c>
      <c r="CG84" s="1212">
        <f t="shared" ca="1" si="84"/>
        <v>0</v>
      </c>
      <c r="CH84" s="1213">
        <f t="shared" ca="1" si="85"/>
        <v>0</v>
      </c>
      <c r="CI84" s="1587">
        <f t="shared" ca="1" si="86"/>
        <v>0</v>
      </c>
      <c r="CL84" s="1212">
        <f t="shared" ca="1" si="87"/>
        <v>0</v>
      </c>
      <c r="CM84" s="1213">
        <f t="shared" ca="1" si="88"/>
        <v>0</v>
      </c>
      <c r="CN84" s="1587">
        <f t="shared" ca="1" si="89"/>
        <v>0</v>
      </c>
    </row>
    <row r="85" spans="1:92">
      <c r="A85" s="141" t="str">
        <f>'銀行-TSS'!A85</f>
        <v>US71568QAK31</v>
      </c>
      <c r="B85" s="151" t="str">
        <f ca="1">VLOOKUP(A85,'銀行-TSS'!A:B,2,FALSE)</f>
        <v>XFV30</v>
      </c>
      <c r="C85" s="151" t="str">
        <f ca="1">VLOOKUP(B85,bond!B:C,2,FALSE)</f>
        <v>印尼國家電力公司美元配息債券 4.875% 2049/7/17</v>
      </c>
      <c r="D85" s="95" t="str">
        <f>VLOOKUP(A85,'銀行-TSS'!A:C,3,FALSE)</f>
        <v>USD</v>
      </c>
      <c r="E85" s="90">
        <f ca="1">VLOOKUP(A85,'銀行-TSS'!A:G,7,FALSE)</f>
        <v>25.04</v>
      </c>
      <c r="F85" s="202">
        <f ca="1">VLOOKUP(A85,'銀行-TSS'!A:H,8,FALSE)</f>
        <v>4.8750000000000002E-2</v>
      </c>
      <c r="G85" s="96">
        <f ca="1">VLOOKUP(A85,'銀行-TSS'!A:K,11,FALSE)</f>
        <v>88.4</v>
      </c>
      <c r="H85" s="1209">
        <f ca="1">VLOOKUP(A85,'銀行-TSS'!A:M,13,FALSE)</f>
        <v>5.9400000000000001E-2</v>
      </c>
      <c r="I85" s="1213">
        <f ca="1">VLOOKUP(A85,'銀行-TSS'!A:N,14,FALSE)</f>
        <v>200000</v>
      </c>
      <c r="J85" s="1213">
        <f ca="1">VLOOKUP(A85,'銀行-TSS'!A:O,15,FALSE)</f>
        <v>1000</v>
      </c>
      <c r="K85" s="136" t="str">
        <f ca="1">VLOOKUP(A85,'銀行-TSS'!A:V,22,FALSE)</f>
        <v>(PI)專投</v>
      </c>
      <c r="L85" s="136" t="str">
        <f ca="1">VLOOKUP(A85,'銀行-TSS'!A:AK,37,FALSE)</f>
        <v>需查詢</v>
      </c>
      <c r="M85" s="136" t="str">
        <f ca="1">VLOOKUP(A85,'銀行-TSS'!A:AN,40,FALSE)</f>
        <v/>
      </c>
      <c r="N85" s="136">
        <f t="shared" ca="1" si="45"/>
        <v>884</v>
      </c>
      <c r="O85" s="1213">
        <f t="shared" ca="1" si="46"/>
        <v>176800</v>
      </c>
      <c r="P85" s="1213">
        <f ca="1">IF(AND($O$1&gt;=O85,換券單檔!$D$13=D85),I85+INT(($O$1-O85)/N85)*J85,0)</f>
        <v>0</v>
      </c>
      <c r="Q85" s="1213">
        <f t="shared" ca="1" si="47"/>
        <v>0</v>
      </c>
      <c r="R85" s="1213">
        <f t="shared" ca="1" si="48"/>
        <v>0</v>
      </c>
      <c r="S85" s="1213">
        <f t="shared" ca="1" si="49"/>
        <v>0</v>
      </c>
      <c r="T85" s="136">
        <f ca="1">IF(OR(R85=0,A85=0),0,IF(AND(V85=TRUE,換券單檔!$D$13=D85),E85,0))</f>
        <v>0</v>
      </c>
      <c r="U85" s="861">
        <f ca="1">IF(OR(R85=0,A85=0),0,IF(AND(V85=TRUE,換券單檔!$D$13=D85),H85,0))</f>
        <v>0</v>
      </c>
      <c r="V85" s="136" t="b">
        <f ca="1">IF(OR(B85=換券單檔!$D$3,L85="無",M85&lt;&gt;"",K85="高資產",IFERROR(MATCH(B85,換券單檔!K:K,0),"N")&lt;&gt;"N"),FALSE,IF($V$1="All",TRUE,IF(K85=$V$1,TRUE,FALSE)))</f>
        <v>1</v>
      </c>
      <c r="W85" s="136">
        <f ca="1">VLOOKUP(A85,'銀行-TSS'!A:AO,41,FALSE)</f>
        <v>82.67</v>
      </c>
      <c r="X85" s="136">
        <f ca="1">VLOOKUP(A85,'銀行-TSS'!A:AP,42,FALSE)</f>
        <v>12.9787</v>
      </c>
      <c r="Y85" s="1220">
        <f t="shared" ca="1" si="50"/>
        <v>0</v>
      </c>
      <c r="Z85" s="1220">
        <f t="shared" ca="1" si="51"/>
        <v>0</v>
      </c>
      <c r="AA85" s="136">
        <f ca="1">IF(Z85&lt;=0,0,RANK(Z85,Z:Z)+COUNTIF($Z$3:$Z85,Z85)-1)</f>
        <v>0</v>
      </c>
      <c r="AB85" s="1211">
        <f t="shared" ca="1" si="52"/>
        <v>-114896.14</v>
      </c>
      <c r="AC85" s="136">
        <f ca="1">IF(AB85&lt;=0,0,RANK(AB85,AB:AB)+COUNTIF($AB$3:$AB85,AB85)-1)</f>
        <v>0</v>
      </c>
      <c r="AD85" s="1123">
        <f t="shared" ca="1" si="53"/>
        <v>99999</v>
      </c>
      <c r="AE85" s="1123">
        <f ca="1">IF(AD85=99999,0,RANK(AD85,AD:AD,1)+COUNTIF($AD$3:$AD85,AD85)-1)</f>
        <v>0</v>
      </c>
      <c r="AF85" s="86" t="b">
        <f ca="1">IF(OR(M85&lt;&gt;"",L85="無",K85="高資產",IFERROR(MATCH(B85,換券單檔!K:K,0),"N")&lt;&gt;"N"),FALSE,TRUE)</f>
        <v>1</v>
      </c>
      <c r="AI85" s="1212">
        <f t="shared" ca="1" si="54"/>
        <v>0</v>
      </c>
      <c r="AJ85" s="1213">
        <f t="shared" ca="1" si="55"/>
        <v>0</v>
      </c>
      <c r="AK85" s="1587">
        <f t="shared" ca="1" si="56"/>
        <v>0</v>
      </c>
      <c r="AN85" s="1212">
        <f t="shared" ca="1" si="57"/>
        <v>0</v>
      </c>
      <c r="AO85" s="1213">
        <f t="shared" ca="1" si="58"/>
        <v>0</v>
      </c>
      <c r="AP85" s="1587">
        <f t="shared" ca="1" si="59"/>
        <v>0</v>
      </c>
      <c r="AS85" s="1212">
        <f t="shared" ca="1" si="60"/>
        <v>0</v>
      </c>
      <c r="AT85" s="1213">
        <f t="shared" ca="1" si="61"/>
        <v>0</v>
      </c>
      <c r="AU85" s="1587">
        <f t="shared" ca="1" si="62"/>
        <v>0</v>
      </c>
      <c r="AX85" s="1212">
        <f t="shared" ca="1" si="63"/>
        <v>0</v>
      </c>
      <c r="AY85" s="1213">
        <f t="shared" ca="1" si="64"/>
        <v>0</v>
      </c>
      <c r="AZ85" s="1587">
        <f t="shared" ca="1" si="65"/>
        <v>0</v>
      </c>
      <c r="BC85" s="1212">
        <f t="shared" ca="1" si="66"/>
        <v>0</v>
      </c>
      <c r="BD85" s="1213">
        <f t="shared" ca="1" si="67"/>
        <v>0</v>
      </c>
      <c r="BE85" s="1587">
        <f t="shared" ca="1" si="68"/>
        <v>0</v>
      </c>
      <c r="BH85" s="1212">
        <f t="shared" ca="1" si="69"/>
        <v>0</v>
      </c>
      <c r="BI85" s="1213">
        <f t="shared" ca="1" si="70"/>
        <v>0</v>
      </c>
      <c r="BJ85" s="1587">
        <f t="shared" ca="1" si="71"/>
        <v>0</v>
      </c>
      <c r="BM85" s="1212">
        <f t="shared" ca="1" si="72"/>
        <v>0</v>
      </c>
      <c r="BN85" s="1213">
        <f t="shared" ca="1" si="73"/>
        <v>0</v>
      </c>
      <c r="BO85" s="1587">
        <f t="shared" ca="1" si="74"/>
        <v>0</v>
      </c>
      <c r="BR85" s="1212">
        <f t="shared" ca="1" si="75"/>
        <v>0</v>
      </c>
      <c r="BS85" s="1213">
        <f t="shared" ca="1" si="76"/>
        <v>0</v>
      </c>
      <c r="BT85" s="1587">
        <f t="shared" ca="1" si="77"/>
        <v>0</v>
      </c>
      <c r="BW85" s="1212">
        <f t="shared" ca="1" si="78"/>
        <v>0</v>
      </c>
      <c r="BX85" s="1213">
        <f t="shared" ca="1" si="79"/>
        <v>0</v>
      </c>
      <c r="BY85" s="1587">
        <f t="shared" ca="1" si="80"/>
        <v>0</v>
      </c>
      <c r="CB85" s="1212">
        <f t="shared" ca="1" si="81"/>
        <v>0</v>
      </c>
      <c r="CC85" s="1213">
        <f t="shared" ca="1" si="82"/>
        <v>0</v>
      </c>
      <c r="CD85" s="1587">
        <f t="shared" ca="1" si="83"/>
        <v>0</v>
      </c>
      <c r="CG85" s="1212">
        <f t="shared" ca="1" si="84"/>
        <v>0</v>
      </c>
      <c r="CH85" s="1213">
        <f t="shared" ca="1" si="85"/>
        <v>0</v>
      </c>
      <c r="CI85" s="1587">
        <f t="shared" ca="1" si="86"/>
        <v>0</v>
      </c>
      <c r="CL85" s="1212">
        <f t="shared" ca="1" si="87"/>
        <v>0</v>
      </c>
      <c r="CM85" s="1213">
        <f t="shared" ca="1" si="88"/>
        <v>0</v>
      </c>
      <c r="CN85" s="1587">
        <f t="shared" ca="1" si="89"/>
        <v>0</v>
      </c>
    </row>
    <row r="86" spans="1:92">
      <c r="A86" s="141" t="str">
        <f>'銀行-TSS'!A86</f>
        <v>XS1910948675</v>
      </c>
      <c r="B86" s="151" t="str">
        <f ca="1">VLOOKUP(A86,'銀行-TSS'!A:B,2,FALSE)</f>
        <v>XFV40</v>
      </c>
      <c r="C86" s="151" t="str">
        <f ca="1">VLOOKUP(B86,bond!B:C,2,FALSE)</f>
        <v>福斯汽車國際金融公司歐元配息債券 4.125% 2038/11/16</v>
      </c>
      <c r="D86" s="95" t="str">
        <f>VLOOKUP(A86,'銀行-TSS'!A:C,3,FALSE)</f>
        <v>EUR</v>
      </c>
      <c r="E86" s="90">
        <f ca="1">VLOOKUP(A86,'銀行-TSS'!A:G,7,FALSE)</f>
        <v>14.37</v>
      </c>
      <c r="F86" s="202">
        <f ca="1">VLOOKUP(A86,'銀行-TSS'!A:H,8,FALSE)</f>
        <v>4.1250000000000002E-2</v>
      </c>
      <c r="G86" s="96">
        <f ca="1">VLOOKUP(A86,'銀行-TSS'!A:K,11,FALSE)</f>
        <v>107.64</v>
      </c>
      <c r="H86" s="1209">
        <f ca="1">VLOOKUP(A86,'銀行-TSS'!A:M,13,FALSE)</f>
        <v>3.6700000000000003E-2</v>
      </c>
      <c r="I86" s="1213">
        <f ca="1">VLOOKUP(A86,'銀行-TSS'!A:N,14,FALSE)</f>
        <v>100000</v>
      </c>
      <c r="J86" s="1213">
        <f ca="1">VLOOKUP(A86,'銀行-TSS'!A:O,15,FALSE)</f>
        <v>100000</v>
      </c>
      <c r="K86" s="136" t="str">
        <f ca="1">VLOOKUP(A86,'銀行-TSS'!A:V,22,FALSE)</f>
        <v>(NPI)非專投</v>
      </c>
      <c r="L86" s="136" t="str">
        <f ca="1">VLOOKUP(A86,'銀行-TSS'!A:AK,37,FALSE)</f>
        <v>需查詢</v>
      </c>
      <c r="M86" s="136" t="str">
        <f ca="1">VLOOKUP(A86,'銀行-TSS'!A:AN,40,FALSE)</f>
        <v/>
      </c>
      <c r="N86" s="136">
        <f t="shared" ca="1" si="45"/>
        <v>107640</v>
      </c>
      <c r="O86" s="1213">
        <f t="shared" ca="1" si="46"/>
        <v>107640</v>
      </c>
      <c r="P86" s="1213">
        <f ca="1">IF(AND($O$1&gt;=O86,換券單檔!$D$13=D86),I86+INT(($O$1-O86)/N86)*J86,0)</f>
        <v>0</v>
      </c>
      <c r="Q86" s="1213">
        <f t="shared" ca="1" si="47"/>
        <v>0</v>
      </c>
      <c r="R86" s="1213">
        <f t="shared" ca="1" si="48"/>
        <v>0</v>
      </c>
      <c r="S86" s="1213">
        <f t="shared" ca="1" si="49"/>
        <v>0</v>
      </c>
      <c r="T86" s="136">
        <f ca="1">IF(OR(R86=0,A86=0),0,IF(AND(V86=TRUE,換券單檔!$D$13=D86),E86,0))</f>
        <v>0</v>
      </c>
      <c r="U86" s="861">
        <f ca="1">IF(OR(R86=0,A86=0),0,IF(AND(V86=TRUE,換券單檔!$D$13=D86),H86,0))</f>
        <v>0</v>
      </c>
      <c r="V86" s="136" t="b">
        <f ca="1">IF(OR(B86=換券單檔!$D$3,L86="無",M86&lt;&gt;"",K86="高資產",IFERROR(MATCH(B86,換券單檔!K:K,0),"N")&lt;&gt;"N"),FALSE,IF($V$1="All",TRUE,IF(K86=$V$1,TRUE,FALSE)))</f>
        <v>1</v>
      </c>
      <c r="W86" s="136">
        <f ca="1">VLOOKUP(A86,'銀行-TSS'!A:AO,41,FALSE)</f>
        <v>102.05000000000001</v>
      </c>
      <c r="X86" s="136">
        <f ca="1">VLOOKUP(A86,'銀行-TSS'!A:AP,42,FALSE)</f>
        <v>10.4902</v>
      </c>
      <c r="Y86" s="1220">
        <f t="shared" ca="1" si="50"/>
        <v>0</v>
      </c>
      <c r="Z86" s="1220">
        <f t="shared" ca="1" si="51"/>
        <v>0</v>
      </c>
      <c r="AA86" s="136">
        <f ca="1">IF(Z86&lt;=0,0,RANK(Z86,Z:Z)+COUNTIF($Z$3:$Z86,Z86)-1)</f>
        <v>0</v>
      </c>
      <c r="AB86" s="1211">
        <f t="shared" ca="1" si="52"/>
        <v>-114896.14</v>
      </c>
      <c r="AC86" s="136">
        <f ca="1">IF(AB86&lt;=0,0,RANK(AB86,AB:AB)+COUNTIF($AB$3:$AB86,AB86)-1)</f>
        <v>0</v>
      </c>
      <c r="AD86" s="1123">
        <f t="shared" ca="1" si="53"/>
        <v>99999</v>
      </c>
      <c r="AE86" s="1123">
        <f ca="1">IF(AD86=99999,0,RANK(AD86,AD:AD,1)+COUNTIF($AD$3:$AD86,AD86)-1)</f>
        <v>0</v>
      </c>
      <c r="AF86" s="86" t="b">
        <f ca="1">IF(OR(M86&lt;&gt;"",L86="無",K86="高資產",IFERROR(MATCH(B86,換券單檔!K:K,0),"N")&lt;&gt;"N"),FALSE,TRUE)</f>
        <v>1</v>
      </c>
      <c r="AI86" s="1212">
        <f t="shared" ca="1" si="54"/>
        <v>0</v>
      </c>
      <c r="AJ86" s="1213">
        <f t="shared" ca="1" si="55"/>
        <v>0</v>
      </c>
      <c r="AK86" s="1587">
        <f t="shared" ca="1" si="56"/>
        <v>0</v>
      </c>
      <c r="AN86" s="1212">
        <f t="shared" ca="1" si="57"/>
        <v>0</v>
      </c>
      <c r="AO86" s="1213">
        <f t="shared" ca="1" si="58"/>
        <v>0</v>
      </c>
      <c r="AP86" s="1587">
        <f t="shared" ca="1" si="59"/>
        <v>0</v>
      </c>
      <c r="AS86" s="1212">
        <f t="shared" ca="1" si="60"/>
        <v>0</v>
      </c>
      <c r="AT86" s="1213">
        <f t="shared" ca="1" si="61"/>
        <v>0</v>
      </c>
      <c r="AU86" s="1587">
        <f t="shared" ca="1" si="62"/>
        <v>0</v>
      </c>
      <c r="AX86" s="1212">
        <f t="shared" ca="1" si="63"/>
        <v>0</v>
      </c>
      <c r="AY86" s="1213">
        <f t="shared" ca="1" si="64"/>
        <v>0</v>
      </c>
      <c r="AZ86" s="1587">
        <f t="shared" ca="1" si="65"/>
        <v>0</v>
      </c>
      <c r="BC86" s="1212">
        <f t="shared" ca="1" si="66"/>
        <v>0</v>
      </c>
      <c r="BD86" s="1213">
        <f t="shared" ca="1" si="67"/>
        <v>0</v>
      </c>
      <c r="BE86" s="1587">
        <f t="shared" ca="1" si="68"/>
        <v>0</v>
      </c>
      <c r="BH86" s="1212">
        <f t="shared" ca="1" si="69"/>
        <v>0</v>
      </c>
      <c r="BI86" s="1213">
        <f t="shared" ca="1" si="70"/>
        <v>0</v>
      </c>
      <c r="BJ86" s="1587">
        <f t="shared" ca="1" si="71"/>
        <v>0</v>
      </c>
      <c r="BM86" s="1212">
        <f t="shared" ca="1" si="72"/>
        <v>0</v>
      </c>
      <c r="BN86" s="1213">
        <f t="shared" ca="1" si="73"/>
        <v>0</v>
      </c>
      <c r="BO86" s="1587">
        <f t="shared" ca="1" si="74"/>
        <v>0</v>
      </c>
      <c r="BR86" s="1212">
        <f t="shared" ca="1" si="75"/>
        <v>0</v>
      </c>
      <c r="BS86" s="1213">
        <f t="shared" ca="1" si="76"/>
        <v>0</v>
      </c>
      <c r="BT86" s="1587">
        <f t="shared" ca="1" si="77"/>
        <v>0</v>
      </c>
      <c r="BW86" s="1212">
        <f t="shared" ca="1" si="78"/>
        <v>0</v>
      </c>
      <c r="BX86" s="1213">
        <f t="shared" ca="1" si="79"/>
        <v>0</v>
      </c>
      <c r="BY86" s="1587">
        <f t="shared" ca="1" si="80"/>
        <v>0</v>
      </c>
      <c r="CB86" s="1212">
        <f t="shared" ca="1" si="81"/>
        <v>0</v>
      </c>
      <c r="CC86" s="1213">
        <f t="shared" ca="1" si="82"/>
        <v>0</v>
      </c>
      <c r="CD86" s="1587">
        <f t="shared" ca="1" si="83"/>
        <v>0</v>
      </c>
      <c r="CG86" s="1212">
        <f t="shared" ca="1" si="84"/>
        <v>0</v>
      </c>
      <c r="CH86" s="1213">
        <f t="shared" ca="1" si="85"/>
        <v>0</v>
      </c>
      <c r="CI86" s="1587">
        <f t="shared" ca="1" si="86"/>
        <v>0</v>
      </c>
      <c r="CL86" s="1212">
        <f t="shared" ca="1" si="87"/>
        <v>0</v>
      </c>
      <c r="CM86" s="1213">
        <f t="shared" ca="1" si="88"/>
        <v>0</v>
      </c>
      <c r="CN86" s="1587">
        <f t="shared" ca="1" si="89"/>
        <v>0</v>
      </c>
    </row>
    <row r="87" spans="1:92">
      <c r="A87" s="141" t="str">
        <f>'銀行-TSS'!A87</f>
        <v>XS1684385591</v>
      </c>
      <c r="B87" s="151" t="str">
        <f ca="1">VLOOKUP(A87,'銀行-TSS'!A:B,2,FALSE)</f>
        <v>XFV50</v>
      </c>
      <c r="C87" s="151" t="str">
        <f ca="1">VLOOKUP(B87,bond!B:C,2,FALSE)</f>
        <v>軟銀集團公司歐元配息債券 4% 2029/9/19</v>
      </c>
      <c r="D87" s="95" t="str">
        <f>VLOOKUP(A87,'銀行-TSS'!A:C,3,FALSE)</f>
        <v>EUR</v>
      </c>
      <c r="E87" s="90">
        <f ca="1">VLOOKUP(A87,'銀行-TSS'!A:G,7,FALSE)</f>
        <v>5.21</v>
      </c>
      <c r="F87" s="202">
        <f ca="1">VLOOKUP(A87,'銀行-TSS'!A:H,8,FALSE)</f>
        <v>0.04</v>
      </c>
      <c r="G87" s="96">
        <f ca="1">VLOOKUP(A87,'銀行-TSS'!A:K,11,FALSE)</f>
        <v>99.65</v>
      </c>
      <c r="H87" s="1209">
        <f ca="1">VLOOKUP(A87,'銀行-TSS'!A:M,13,FALSE)</f>
        <v>4.3299999999999998E-2</v>
      </c>
      <c r="I87" s="1213">
        <f ca="1">VLOOKUP(A87,'銀行-TSS'!A:N,14,FALSE)</f>
        <v>100000</v>
      </c>
      <c r="J87" s="1213">
        <f ca="1">VLOOKUP(A87,'銀行-TSS'!A:O,15,FALSE)</f>
        <v>1000</v>
      </c>
      <c r="K87" s="136" t="str">
        <f ca="1">VLOOKUP(A87,'銀行-TSS'!A:V,22,FALSE)</f>
        <v>(PI)專投</v>
      </c>
      <c r="L87" s="136" t="str">
        <f ca="1">VLOOKUP(A87,'銀行-TSS'!A:AK,37,FALSE)</f>
        <v>需查詢</v>
      </c>
      <c r="M87" s="136" t="str">
        <f ca="1">VLOOKUP(A87,'銀行-TSS'!A:AN,40,FALSE)</f>
        <v/>
      </c>
      <c r="N87" s="136">
        <f t="shared" ca="1" si="45"/>
        <v>996.5</v>
      </c>
      <c r="O87" s="1213">
        <f t="shared" ca="1" si="46"/>
        <v>99650</v>
      </c>
      <c r="P87" s="1213">
        <f ca="1">IF(AND($O$1&gt;=O87,換券單檔!$D$13=D87),I87+INT(($O$1-O87)/N87)*J87,0)</f>
        <v>0</v>
      </c>
      <c r="Q87" s="1213">
        <f t="shared" ca="1" si="47"/>
        <v>0</v>
      </c>
      <c r="R87" s="1213">
        <f t="shared" ca="1" si="48"/>
        <v>0</v>
      </c>
      <c r="S87" s="1213">
        <f t="shared" ca="1" si="49"/>
        <v>0</v>
      </c>
      <c r="T87" s="136">
        <f ca="1">IF(OR(R87=0,A87=0),0,IF(AND(V87=TRUE,換券單檔!$D$13=D87),E87,0))</f>
        <v>0</v>
      </c>
      <c r="U87" s="861">
        <f ca="1">IF(OR(R87=0,A87=0),0,IF(AND(V87=TRUE,換券單檔!$D$13=D87),H87,0))</f>
        <v>0</v>
      </c>
      <c r="V87" s="136" t="b">
        <f ca="1">IF(OR(B87=換券單檔!$D$3,L87="無",M87&lt;&gt;"",K87="高資產",IFERROR(MATCH(B87,換券單檔!K:K,0),"N")&lt;&gt;"N"),FALSE,IF($V$1="All",TRUE,IF(K87=$V$1,TRUE,FALSE)))</f>
        <v>1</v>
      </c>
      <c r="W87" s="136">
        <f ca="1">VLOOKUP(A87,'銀行-TSS'!A:AO,41,FALSE)</f>
        <v>96.490000000000009</v>
      </c>
      <c r="X87" s="136">
        <f ca="1">VLOOKUP(A87,'銀行-TSS'!A:AP,42,FALSE)</f>
        <v>4.4715999999999996</v>
      </c>
      <c r="Y87" s="1220">
        <f t="shared" ca="1" si="50"/>
        <v>0</v>
      </c>
      <c r="Z87" s="1220">
        <f t="shared" ca="1" si="51"/>
        <v>0</v>
      </c>
      <c r="AA87" s="136">
        <f ca="1">IF(Z87&lt;=0,0,RANK(Z87,Z:Z)+COUNTIF($Z$3:$Z87,Z87)-1)</f>
        <v>0</v>
      </c>
      <c r="AB87" s="1211">
        <f t="shared" ca="1" si="52"/>
        <v>-114896.14</v>
      </c>
      <c r="AC87" s="136">
        <f ca="1">IF(AB87&lt;=0,0,RANK(AB87,AB:AB)+COUNTIF($AB$3:$AB87,AB87)-1)</f>
        <v>0</v>
      </c>
      <c r="AD87" s="1123">
        <f t="shared" ca="1" si="53"/>
        <v>99999</v>
      </c>
      <c r="AE87" s="1123">
        <f ca="1">IF(AD87=99999,0,RANK(AD87,AD:AD,1)+COUNTIF($AD$3:$AD87,AD87)-1)</f>
        <v>0</v>
      </c>
      <c r="AF87" s="86" t="b">
        <f ca="1">IF(OR(M87&lt;&gt;"",L87="無",K87="高資產",IFERROR(MATCH(B87,換券單檔!K:K,0),"N")&lt;&gt;"N"),FALSE,TRUE)</f>
        <v>1</v>
      </c>
      <c r="AI87" s="1212">
        <f t="shared" ca="1" si="54"/>
        <v>0</v>
      </c>
      <c r="AJ87" s="1213">
        <f t="shared" ca="1" si="55"/>
        <v>0</v>
      </c>
      <c r="AK87" s="1587">
        <f t="shared" ca="1" si="56"/>
        <v>0</v>
      </c>
      <c r="AN87" s="1212">
        <f t="shared" ca="1" si="57"/>
        <v>0</v>
      </c>
      <c r="AO87" s="1213">
        <f t="shared" ca="1" si="58"/>
        <v>0</v>
      </c>
      <c r="AP87" s="1587">
        <f t="shared" ca="1" si="59"/>
        <v>0</v>
      </c>
      <c r="AS87" s="1212">
        <f t="shared" ca="1" si="60"/>
        <v>0</v>
      </c>
      <c r="AT87" s="1213">
        <f t="shared" ca="1" si="61"/>
        <v>0</v>
      </c>
      <c r="AU87" s="1587">
        <f t="shared" ca="1" si="62"/>
        <v>0</v>
      </c>
      <c r="AX87" s="1212">
        <f t="shared" ca="1" si="63"/>
        <v>0</v>
      </c>
      <c r="AY87" s="1213">
        <f t="shared" ca="1" si="64"/>
        <v>0</v>
      </c>
      <c r="AZ87" s="1587">
        <f t="shared" ca="1" si="65"/>
        <v>0</v>
      </c>
      <c r="BC87" s="1212">
        <f t="shared" ca="1" si="66"/>
        <v>0</v>
      </c>
      <c r="BD87" s="1213">
        <f t="shared" ca="1" si="67"/>
        <v>0</v>
      </c>
      <c r="BE87" s="1587">
        <f t="shared" ca="1" si="68"/>
        <v>0</v>
      </c>
      <c r="BH87" s="1212">
        <f t="shared" ca="1" si="69"/>
        <v>0</v>
      </c>
      <c r="BI87" s="1213">
        <f t="shared" ca="1" si="70"/>
        <v>0</v>
      </c>
      <c r="BJ87" s="1587">
        <f t="shared" ca="1" si="71"/>
        <v>0</v>
      </c>
      <c r="BM87" s="1212">
        <f t="shared" ca="1" si="72"/>
        <v>0</v>
      </c>
      <c r="BN87" s="1213">
        <f t="shared" ca="1" si="73"/>
        <v>0</v>
      </c>
      <c r="BO87" s="1587">
        <f t="shared" ca="1" si="74"/>
        <v>0</v>
      </c>
      <c r="BR87" s="1212">
        <f t="shared" ca="1" si="75"/>
        <v>0</v>
      </c>
      <c r="BS87" s="1213">
        <f t="shared" ca="1" si="76"/>
        <v>0</v>
      </c>
      <c r="BT87" s="1587">
        <f t="shared" ca="1" si="77"/>
        <v>0</v>
      </c>
      <c r="BW87" s="1212">
        <f t="shared" ca="1" si="78"/>
        <v>0</v>
      </c>
      <c r="BX87" s="1213">
        <f t="shared" ca="1" si="79"/>
        <v>0</v>
      </c>
      <c r="BY87" s="1587">
        <f t="shared" ca="1" si="80"/>
        <v>0</v>
      </c>
      <c r="CB87" s="1212">
        <f t="shared" ca="1" si="81"/>
        <v>0</v>
      </c>
      <c r="CC87" s="1213">
        <f t="shared" ca="1" si="82"/>
        <v>0</v>
      </c>
      <c r="CD87" s="1587">
        <f t="shared" ca="1" si="83"/>
        <v>0</v>
      </c>
      <c r="CG87" s="1212">
        <f t="shared" ca="1" si="84"/>
        <v>0</v>
      </c>
      <c r="CH87" s="1213">
        <f t="shared" ca="1" si="85"/>
        <v>0</v>
      </c>
      <c r="CI87" s="1587">
        <f t="shared" ca="1" si="86"/>
        <v>0</v>
      </c>
      <c r="CL87" s="1212">
        <f t="shared" ca="1" si="87"/>
        <v>0</v>
      </c>
      <c r="CM87" s="1213">
        <f t="shared" ca="1" si="88"/>
        <v>0</v>
      </c>
      <c r="CN87" s="1587">
        <f t="shared" ca="1" si="89"/>
        <v>0</v>
      </c>
    </row>
    <row r="88" spans="1:92">
      <c r="A88" s="141" t="str">
        <f>'銀行-TSS'!A88</f>
        <v>USN30707AE88</v>
      </c>
      <c r="B88" s="151" t="str">
        <f ca="1">VLOOKUP(A88,'銀行-TSS'!A:B,2,FALSE)</f>
        <v>XFV60</v>
      </c>
      <c r="C88" s="151" t="str">
        <f ca="1">VLOOKUP(B88,bond!B:C,2,FALSE)</f>
        <v>義大利國家電力金融公司美元配息債券 4.75% 2047/5/25</v>
      </c>
      <c r="D88" s="95" t="str">
        <f>VLOOKUP(A88,'銀行-TSS'!A:C,3,FALSE)</f>
        <v>USD</v>
      </c>
      <c r="E88" s="90">
        <f ca="1">VLOOKUP(A88,'銀行-TSS'!A:G,7,FALSE)</f>
        <v>22.89</v>
      </c>
      <c r="F88" s="202">
        <f ca="1">VLOOKUP(A88,'銀行-TSS'!A:H,8,FALSE)</f>
        <v>4.7500000000000001E-2</v>
      </c>
      <c r="G88" s="96">
        <f ca="1">VLOOKUP(A88,'銀行-TSS'!A:K,11,FALSE)</f>
        <v>88.91</v>
      </c>
      <c r="H88" s="1209">
        <f ca="1">VLOOKUP(A88,'銀行-TSS'!A:M,13,FALSE)</f>
        <v>5.6599999999999998E-2</v>
      </c>
      <c r="I88" s="1213">
        <f ca="1">VLOOKUP(A88,'銀行-TSS'!A:N,14,FALSE)</f>
        <v>200000</v>
      </c>
      <c r="J88" s="1213">
        <f ca="1">VLOOKUP(A88,'銀行-TSS'!A:O,15,FALSE)</f>
        <v>1000</v>
      </c>
      <c r="K88" s="136" t="str">
        <f ca="1">VLOOKUP(A88,'銀行-TSS'!A:V,22,FALSE)</f>
        <v>(PI)專投</v>
      </c>
      <c r="L88" s="136" t="str">
        <f ca="1">VLOOKUP(A88,'銀行-TSS'!A:AK,37,FALSE)</f>
        <v>有</v>
      </c>
      <c r="M88" s="136" t="str">
        <f ca="1">VLOOKUP(A88,'銀行-TSS'!A:AN,40,FALSE)</f>
        <v/>
      </c>
      <c r="N88" s="136">
        <f t="shared" ca="1" si="45"/>
        <v>889.1</v>
      </c>
      <c r="O88" s="1213">
        <f t="shared" ca="1" si="46"/>
        <v>177820</v>
      </c>
      <c r="P88" s="1213">
        <f ca="1">IF(AND($O$1&gt;=O88,換券單檔!$D$13=D88),I88+INT(($O$1-O88)/N88)*J88,0)</f>
        <v>0</v>
      </c>
      <c r="Q88" s="1213">
        <f t="shared" ca="1" si="47"/>
        <v>0</v>
      </c>
      <c r="R88" s="1213">
        <f t="shared" ca="1" si="48"/>
        <v>0</v>
      </c>
      <c r="S88" s="1213">
        <f t="shared" ca="1" si="49"/>
        <v>0</v>
      </c>
      <c r="T88" s="136">
        <f ca="1">IF(OR(R88=0,A88=0),0,IF(AND(V88=TRUE,換券單檔!$D$13=D88),E88,0))</f>
        <v>0</v>
      </c>
      <c r="U88" s="861">
        <f ca="1">IF(OR(R88=0,A88=0),0,IF(AND(V88=TRUE,換券單檔!$D$13=D88),H88,0))</f>
        <v>0</v>
      </c>
      <c r="V88" s="136" t="b">
        <f ca="1">IF(OR(B88=換券單檔!$D$3,L88="無",M88&lt;&gt;"",K88="高資產",IFERROR(MATCH(B88,換券單檔!K:K,0),"N")&lt;&gt;"N"),FALSE,IF($V$1="All",TRUE,IF(K88=$V$1,TRUE,FALSE)))</f>
        <v>1</v>
      </c>
      <c r="W88" s="136">
        <f ca="1">VLOOKUP(A88,'銀行-TSS'!A:AO,41,FALSE)</f>
        <v>84.92</v>
      </c>
      <c r="X88" s="136">
        <f ca="1">VLOOKUP(A88,'銀行-TSS'!A:AP,42,FALSE)</f>
        <v>12.996700000000001</v>
      </c>
      <c r="Y88" s="1220">
        <f t="shared" ca="1" si="50"/>
        <v>0</v>
      </c>
      <c r="Z88" s="1220">
        <f t="shared" ca="1" si="51"/>
        <v>0</v>
      </c>
      <c r="AA88" s="136">
        <f ca="1">IF(Z88&lt;=0,0,RANK(Z88,Z:Z)+COUNTIF($Z$3:$Z88,Z88)-1)</f>
        <v>0</v>
      </c>
      <c r="AB88" s="1211">
        <f t="shared" ca="1" si="52"/>
        <v>-114896.14</v>
      </c>
      <c r="AC88" s="136">
        <f ca="1">IF(AB88&lt;=0,0,RANK(AB88,AB:AB)+COUNTIF($AB$3:$AB88,AB88)-1)</f>
        <v>0</v>
      </c>
      <c r="AD88" s="1123">
        <f t="shared" ca="1" si="53"/>
        <v>99999</v>
      </c>
      <c r="AE88" s="1123">
        <f ca="1">IF(AD88=99999,0,RANK(AD88,AD:AD,1)+COUNTIF($AD$3:$AD88,AD88)-1)</f>
        <v>0</v>
      </c>
      <c r="AF88" s="86" t="b">
        <f ca="1">IF(OR(M88&lt;&gt;"",L88="無",K88="高資產",IFERROR(MATCH(B88,換券單檔!K:K,0),"N")&lt;&gt;"N"),FALSE,TRUE)</f>
        <v>1</v>
      </c>
      <c r="AI88" s="1212">
        <f t="shared" ca="1" si="54"/>
        <v>0</v>
      </c>
      <c r="AJ88" s="1213">
        <f t="shared" ca="1" si="55"/>
        <v>0</v>
      </c>
      <c r="AK88" s="1587">
        <f t="shared" ca="1" si="56"/>
        <v>0</v>
      </c>
      <c r="AN88" s="1212">
        <f t="shared" ca="1" si="57"/>
        <v>0</v>
      </c>
      <c r="AO88" s="1213">
        <f t="shared" ca="1" si="58"/>
        <v>0</v>
      </c>
      <c r="AP88" s="1587">
        <f t="shared" ca="1" si="59"/>
        <v>0</v>
      </c>
      <c r="AS88" s="1212">
        <f t="shared" ca="1" si="60"/>
        <v>0</v>
      </c>
      <c r="AT88" s="1213">
        <f t="shared" ca="1" si="61"/>
        <v>0</v>
      </c>
      <c r="AU88" s="1587">
        <f t="shared" ca="1" si="62"/>
        <v>0</v>
      </c>
      <c r="AX88" s="1212">
        <f t="shared" ca="1" si="63"/>
        <v>0</v>
      </c>
      <c r="AY88" s="1213">
        <f t="shared" ca="1" si="64"/>
        <v>0</v>
      </c>
      <c r="AZ88" s="1587">
        <f t="shared" ca="1" si="65"/>
        <v>0</v>
      </c>
      <c r="BC88" s="1212">
        <f t="shared" ca="1" si="66"/>
        <v>0</v>
      </c>
      <c r="BD88" s="1213">
        <f t="shared" ca="1" si="67"/>
        <v>0</v>
      </c>
      <c r="BE88" s="1587">
        <f t="shared" ca="1" si="68"/>
        <v>0</v>
      </c>
      <c r="BH88" s="1212">
        <f t="shared" ca="1" si="69"/>
        <v>0</v>
      </c>
      <c r="BI88" s="1213">
        <f t="shared" ca="1" si="70"/>
        <v>0</v>
      </c>
      <c r="BJ88" s="1587">
        <f t="shared" ca="1" si="71"/>
        <v>0</v>
      </c>
      <c r="BM88" s="1212">
        <f t="shared" ca="1" si="72"/>
        <v>0</v>
      </c>
      <c r="BN88" s="1213">
        <f t="shared" ca="1" si="73"/>
        <v>0</v>
      </c>
      <c r="BO88" s="1587">
        <f t="shared" ca="1" si="74"/>
        <v>0</v>
      </c>
      <c r="BR88" s="1212">
        <f t="shared" ca="1" si="75"/>
        <v>0</v>
      </c>
      <c r="BS88" s="1213">
        <f t="shared" ca="1" si="76"/>
        <v>0</v>
      </c>
      <c r="BT88" s="1587">
        <f t="shared" ca="1" si="77"/>
        <v>0</v>
      </c>
      <c r="BW88" s="1212">
        <f t="shared" ca="1" si="78"/>
        <v>0</v>
      </c>
      <c r="BX88" s="1213">
        <f t="shared" ca="1" si="79"/>
        <v>0</v>
      </c>
      <c r="BY88" s="1587">
        <f t="shared" ca="1" si="80"/>
        <v>0</v>
      </c>
      <c r="CB88" s="1212">
        <f t="shared" ca="1" si="81"/>
        <v>0</v>
      </c>
      <c r="CC88" s="1213">
        <f t="shared" ca="1" si="82"/>
        <v>0</v>
      </c>
      <c r="CD88" s="1587">
        <f t="shared" ca="1" si="83"/>
        <v>0</v>
      </c>
      <c r="CG88" s="1212">
        <f t="shared" ca="1" si="84"/>
        <v>0</v>
      </c>
      <c r="CH88" s="1213">
        <f t="shared" ca="1" si="85"/>
        <v>0</v>
      </c>
      <c r="CI88" s="1587">
        <f t="shared" ca="1" si="86"/>
        <v>0</v>
      </c>
      <c r="CL88" s="1212">
        <f t="shared" ca="1" si="87"/>
        <v>0</v>
      </c>
      <c r="CM88" s="1213">
        <f t="shared" ca="1" si="88"/>
        <v>0</v>
      </c>
      <c r="CN88" s="1587">
        <f t="shared" ca="1" si="89"/>
        <v>0</v>
      </c>
    </row>
    <row r="89" spans="1:92">
      <c r="A89" s="141" t="str">
        <f>'銀行-TSS'!A89</f>
        <v>USP57908AH15</v>
      </c>
      <c r="B89" s="151" t="str">
        <f ca="1">VLOOKUP(A89,'銀行-TSS'!A:B,2,FALSE)</f>
        <v>XFV70</v>
      </c>
      <c r="C89" s="151" t="str">
        <f ca="1">VLOOKUP(B89,bond!B:C,2,FALSE)</f>
        <v>墨西哥化工公司美元配息債券 5.5% 2048/1/15</v>
      </c>
      <c r="D89" s="95" t="str">
        <f>VLOOKUP(A89,'銀行-TSS'!A:C,3,FALSE)</f>
        <v>USD</v>
      </c>
      <c r="E89" s="90">
        <f ca="1">VLOOKUP(A89,'銀行-TSS'!A:G,7,FALSE)</f>
        <v>23.54</v>
      </c>
      <c r="F89" s="202">
        <f ca="1">VLOOKUP(A89,'銀行-TSS'!A:H,8,FALSE)</f>
        <v>5.5E-2</v>
      </c>
      <c r="G89" s="96">
        <f ca="1">VLOOKUP(A89,'銀行-TSS'!A:K,11,FALSE)</f>
        <v>92</v>
      </c>
      <c r="H89" s="1209">
        <f ca="1">VLOOKUP(A89,'銀行-TSS'!A:M,13,FALSE)</f>
        <v>6.3700000000000007E-2</v>
      </c>
      <c r="I89" s="1213">
        <f ca="1">VLOOKUP(A89,'銀行-TSS'!A:N,14,FALSE)</f>
        <v>200000</v>
      </c>
      <c r="J89" s="1213">
        <f ca="1">VLOOKUP(A89,'銀行-TSS'!A:O,15,FALSE)</f>
        <v>1000</v>
      </c>
      <c r="K89" s="136" t="str">
        <f ca="1">VLOOKUP(A89,'銀行-TSS'!A:V,22,FALSE)</f>
        <v>(PI)專投</v>
      </c>
      <c r="L89" s="136" t="str">
        <f ca="1">VLOOKUP(A89,'銀行-TSS'!A:AK,37,FALSE)</f>
        <v>需查詢</v>
      </c>
      <c r="M89" s="136" t="str">
        <f ca="1">VLOOKUP(A89,'銀行-TSS'!A:AN,40,FALSE)</f>
        <v/>
      </c>
      <c r="N89" s="136">
        <f t="shared" ca="1" si="45"/>
        <v>920</v>
      </c>
      <c r="O89" s="1213">
        <f t="shared" ca="1" si="46"/>
        <v>184000</v>
      </c>
      <c r="P89" s="1213">
        <f ca="1">IF(AND($O$1&gt;=O89,換券單檔!$D$13=D89),I89+INT(($O$1-O89)/N89)*J89,0)</f>
        <v>0</v>
      </c>
      <c r="Q89" s="1213">
        <f t="shared" ca="1" si="47"/>
        <v>0</v>
      </c>
      <c r="R89" s="1213">
        <f t="shared" ca="1" si="48"/>
        <v>0</v>
      </c>
      <c r="S89" s="1213">
        <f t="shared" ca="1" si="49"/>
        <v>0</v>
      </c>
      <c r="T89" s="136">
        <f ca="1">IF(OR(R89=0,A89=0),0,IF(AND(V89=TRUE,換券單檔!$D$13=D89),E89,0))</f>
        <v>0</v>
      </c>
      <c r="U89" s="861">
        <f ca="1">IF(OR(R89=0,A89=0),0,IF(AND(V89=TRUE,換券單檔!$D$13=D89),H89,0))</f>
        <v>0</v>
      </c>
      <c r="V89" s="136" t="b">
        <f ca="1">IF(OR(B89=換券單檔!$D$3,L89="無",M89&lt;&gt;"",K89="高資產",IFERROR(MATCH(B89,換券單檔!K:K,0),"N")&lt;&gt;"N"),FALSE,IF($V$1="All",TRUE,IF(K89=$V$1,TRUE,FALSE)))</f>
        <v>1</v>
      </c>
      <c r="W89" s="136">
        <f ca="1">VLOOKUP(A89,'銀行-TSS'!A:AO,41,FALSE)</f>
        <v>85.95</v>
      </c>
      <c r="X89" s="136">
        <f ca="1">VLOOKUP(A89,'銀行-TSS'!A:AP,42,FALSE)</f>
        <v>11.930199999999999</v>
      </c>
      <c r="Y89" s="1220">
        <f t="shared" ca="1" si="50"/>
        <v>0</v>
      </c>
      <c r="Z89" s="1220">
        <f t="shared" ca="1" si="51"/>
        <v>0</v>
      </c>
      <c r="AA89" s="136">
        <f ca="1">IF(Z89&lt;=0,0,RANK(Z89,Z:Z)+COUNTIF($Z$3:$Z89,Z89)-1)</f>
        <v>0</v>
      </c>
      <c r="AB89" s="1211">
        <f t="shared" ca="1" si="52"/>
        <v>-114896.14</v>
      </c>
      <c r="AC89" s="136">
        <f ca="1">IF(AB89&lt;=0,0,RANK(AB89,AB:AB)+COUNTIF($AB$3:$AB89,AB89)-1)</f>
        <v>0</v>
      </c>
      <c r="AD89" s="1123">
        <f t="shared" ca="1" si="53"/>
        <v>99999</v>
      </c>
      <c r="AE89" s="1123">
        <f ca="1">IF(AD89=99999,0,RANK(AD89,AD:AD,1)+COUNTIF($AD$3:$AD89,AD89)-1)</f>
        <v>0</v>
      </c>
      <c r="AF89" s="86" t="b">
        <f ca="1">IF(OR(M89&lt;&gt;"",L89="無",K89="高資產",IFERROR(MATCH(B89,換券單檔!K:K,0),"N")&lt;&gt;"N"),FALSE,TRUE)</f>
        <v>1</v>
      </c>
      <c r="AI89" s="1212">
        <f t="shared" ca="1" si="54"/>
        <v>0</v>
      </c>
      <c r="AJ89" s="1213">
        <f t="shared" ca="1" si="55"/>
        <v>0</v>
      </c>
      <c r="AK89" s="1587">
        <f t="shared" ca="1" si="56"/>
        <v>0</v>
      </c>
      <c r="AN89" s="1212">
        <f t="shared" ca="1" si="57"/>
        <v>0</v>
      </c>
      <c r="AO89" s="1213">
        <f t="shared" ca="1" si="58"/>
        <v>0</v>
      </c>
      <c r="AP89" s="1587">
        <f t="shared" ca="1" si="59"/>
        <v>0</v>
      </c>
      <c r="AS89" s="1212">
        <f t="shared" ca="1" si="60"/>
        <v>0</v>
      </c>
      <c r="AT89" s="1213">
        <f t="shared" ca="1" si="61"/>
        <v>0</v>
      </c>
      <c r="AU89" s="1587">
        <f t="shared" ca="1" si="62"/>
        <v>0</v>
      </c>
      <c r="AX89" s="1212">
        <f t="shared" ca="1" si="63"/>
        <v>0</v>
      </c>
      <c r="AY89" s="1213">
        <f t="shared" ca="1" si="64"/>
        <v>0</v>
      </c>
      <c r="AZ89" s="1587">
        <f t="shared" ca="1" si="65"/>
        <v>0</v>
      </c>
      <c r="BC89" s="1212">
        <f t="shared" ca="1" si="66"/>
        <v>0</v>
      </c>
      <c r="BD89" s="1213">
        <f t="shared" ca="1" si="67"/>
        <v>0</v>
      </c>
      <c r="BE89" s="1587">
        <f t="shared" ca="1" si="68"/>
        <v>0</v>
      </c>
      <c r="BH89" s="1212">
        <f t="shared" ca="1" si="69"/>
        <v>0</v>
      </c>
      <c r="BI89" s="1213">
        <f t="shared" ca="1" si="70"/>
        <v>0</v>
      </c>
      <c r="BJ89" s="1587">
        <f t="shared" ca="1" si="71"/>
        <v>0</v>
      </c>
      <c r="BM89" s="1212">
        <f t="shared" ca="1" si="72"/>
        <v>0</v>
      </c>
      <c r="BN89" s="1213">
        <f t="shared" ca="1" si="73"/>
        <v>0</v>
      </c>
      <c r="BO89" s="1587">
        <f t="shared" ca="1" si="74"/>
        <v>0</v>
      </c>
      <c r="BR89" s="1212">
        <f t="shared" ca="1" si="75"/>
        <v>0</v>
      </c>
      <c r="BS89" s="1213">
        <f t="shared" ca="1" si="76"/>
        <v>0</v>
      </c>
      <c r="BT89" s="1587">
        <f t="shared" ca="1" si="77"/>
        <v>0</v>
      </c>
      <c r="BW89" s="1212">
        <f t="shared" ca="1" si="78"/>
        <v>0</v>
      </c>
      <c r="BX89" s="1213">
        <f t="shared" ca="1" si="79"/>
        <v>0</v>
      </c>
      <c r="BY89" s="1587">
        <f t="shared" ca="1" si="80"/>
        <v>0</v>
      </c>
      <c r="CB89" s="1212">
        <f t="shared" ca="1" si="81"/>
        <v>0</v>
      </c>
      <c r="CC89" s="1213">
        <f t="shared" ca="1" si="82"/>
        <v>0</v>
      </c>
      <c r="CD89" s="1587">
        <f t="shared" ca="1" si="83"/>
        <v>0</v>
      </c>
      <c r="CG89" s="1212">
        <f t="shared" ca="1" si="84"/>
        <v>0</v>
      </c>
      <c r="CH89" s="1213">
        <f t="shared" ca="1" si="85"/>
        <v>0</v>
      </c>
      <c r="CI89" s="1587">
        <f t="shared" ca="1" si="86"/>
        <v>0</v>
      </c>
      <c r="CL89" s="1212">
        <f t="shared" ca="1" si="87"/>
        <v>0</v>
      </c>
      <c r="CM89" s="1213">
        <f t="shared" ca="1" si="88"/>
        <v>0</v>
      </c>
      <c r="CN89" s="1587">
        <f t="shared" ca="1" si="89"/>
        <v>0</v>
      </c>
    </row>
    <row r="90" spans="1:92">
      <c r="A90" s="141" t="str">
        <f>'銀行-TSS'!A90</f>
        <v>USF2893TAE67</v>
      </c>
      <c r="B90" s="151" t="str">
        <f ca="1">VLOOKUP(A90,'銀行-TSS'!A:B,2,FALSE)</f>
        <v>XFV80</v>
      </c>
      <c r="C90" s="151" t="str">
        <f ca="1">VLOOKUP(B90,bond!B:C,2,FALSE)</f>
        <v>法國電力公司美元配息債券 5.6% 2040/1/27</v>
      </c>
      <c r="D90" s="95" t="str">
        <f>VLOOKUP(A90,'銀行-TSS'!A:C,3,FALSE)</f>
        <v>USD</v>
      </c>
      <c r="E90" s="90">
        <f ca="1">VLOOKUP(A90,'銀行-TSS'!A:G,7,FALSE)</f>
        <v>15.57</v>
      </c>
      <c r="F90" s="202">
        <f ca="1">VLOOKUP(A90,'銀行-TSS'!A:H,8,FALSE)</f>
        <v>5.5999999999999994E-2</v>
      </c>
      <c r="G90" s="96">
        <f ca="1">VLOOKUP(A90,'銀行-TSS'!A:K,11,FALSE)</f>
        <v>105.01</v>
      </c>
      <c r="H90" s="1209">
        <f ca="1">VLOOKUP(A90,'銀行-TSS'!A:M,13,FALSE)</f>
        <v>5.3499999999999999E-2</v>
      </c>
      <c r="I90" s="1213">
        <f ca="1">VLOOKUP(A90,'銀行-TSS'!A:N,14,FALSE)</f>
        <v>10000</v>
      </c>
      <c r="J90" s="1213">
        <f ca="1">VLOOKUP(A90,'銀行-TSS'!A:O,15,FALSE)</f>
        <v>1000</v>
      </c>
      <c r="K90" s="136" t="str">
        <f ca="1">VLOOKUP(A90,'銀行-TSS'!A:V,22,FALSE)</f>
        <v>(PI)專投</v>
      </c>
      <c r="L90" s="136" t="str">
        <f ca="1">VLOOKUP(A90,'銀行-TSS'!A:AK,37,FALSE)</f>
        <v>無</v>
      </c>
      <c r="M90" s="136" t="str">
        <f ca="1">VLOOKUP(A90,'銀行-TSS'!A:AN,40,FALSE)</f>
        <v>XFV80</v>
      </c>
      <c r="N90" s="136">
        <f t="shared" ca="1" si="45"/>
        <v>1050.0999999999999</v>
      </c>
      <c r="O90" s="1213">
        <f t="shared" ca="1" si="46"/>
        <v>10501</v>
      </c>
      <c r="P90" s="1213">
        <f ca="1">IF(AND($O$1&gt;=O90,換券單檔!$D$13=D90),I90+INT(($O$1-O90)/N90)*J90,0)</f>
        <v>92000</v>
      </c>
      <c r="Q90" s="1213">
        <f t="shared" ca="1" si="47"/>
        <v>5151.9999999999991</v>
      </c>
      <c r="R90" s="1213">
        <f t="shared" ca="1" si="48"/>
        <v>0</v>
      </c>
      <c r="S90" s="1213">
        <f t="shared" ca="1" si="49"/>
        <v>0</v>
      </c>
      <c r="T90" s="136">
        <f ca="1">IF(OR(R90=0,A90=0),0,IF(AND(V90=TRUE,換券單檔!$D$13=D90),E90,0))</f>
        <v>0</v>
      </c>
      <c r="U90" s="861">
        <f ca="1">IF(OR(R90=0,A90=0),0,IF(AND(V90=TRUE,換券單檔!$D$13=D90),H90,0))</f>
        <v>0</v>
      </c>
      <c r="V90" s="136" t="b">
        <f ca="1">IF(OR(B90=換券單檔!$D$3,L90="無",M90&lt;&gt;"",K90="高資產",IFERROR(MATCH(B90,換券單檔!K:K,0),"N")&lt;&gt;"N"),FALSE,IF($V$1="All",TRUE,IF(K90=$V$1,TRUE,FALSE)))</f>
        <v>0</v>
      </c>
      <c r="W90" s="136">
        <f ca="1">VLOOKUP(A90,'銀行-TSS'!A:AO,41,FALSE)</f>
        <v>99.600000000000009</v>
      </c>
      <c r="X90" s="136">
        <f ca="1">VLOOKUP(A90,'銀行-TSS'!A:AP,42,FALSE)</f>
        <v>10.0481</v>
      </c>
      <c r="Y90" s="1220">
        <f t="shared" ca="1" si="50"/>
        <v>0</v>
      </c>
      <c r="Z90" s="1220">
        <f t="shared" ca="1" si="51"/>
        <v>0</v>
      </c>
      <c r="AA90" s="136">
        <f ca="1">IF(Z90&lt;=0,0,RANK(Z90,Z:Z)+COUNTIF($Z$3:$Z90,Z90)-1)</f>
        <v>0</v>
      </c>
      <c r="AB90" s="1211">
        <f t="shared" ca="1" si="52"/>
        <v>-14896.14</v>
      </c>
      <c r="AC90" s="136">
        <f ca="1">IF(AB90&lt;=0,0,RANK(AB90,AB:AB)+COUNTIF($AB$3:$AB90,AB90)-1)</f>
        <v>0</v>
      </c>
      <c r="AD90" s="1123">
        <f t="shared" ca="1" si="53"/>
        <v>99999</v>
      </c>
      <c r="AE90" s="1123">
        <f ca="1">IF(AD90=99999,0,RANK(AD90,AD:AD,1)+COUNTIF($AD$3:$AD90,AD90)-1)</f>
        <v>0</v>
      </c>
      <c r="AF90" s="86" t="b">
        <f ca="1">IF(OR(M90&lt;&gt;"",L90="無",K90="高資產",IFERROR(MATCH(B90,換券單檔!K:K,0),"N")&lt;&gt;"N"),FALSE,TRUE)</f>
        <v>0</v>
      </c>
      <c r="AI90" s="1212">
        <f t="shared" ca="1" si="54"/>
        <v>0</v>
      </c>
      <c r="AJ90" s="1213">
        <f t="shared" ca="1" si="55"/>
        <v>0</v>
      </c>
      <c r="AK90" s="1587">
        <f t="shared" ca="1" si="56"/>
        <v>0</v>
      </c>
      <c r="AN90" s="1212">
        <f t="shared" ca="1" si="57"/>
        <v>0</v>
      </c>
      <c r="AO90" s="1213">
        <f t="shared" ca="1" si="58"/>
        <v>0</v>
      </c>
      <c r="AP90" s="1587">
        <f t="shared" ca="1" si="59"/>
        <v>0</v>
      </c>
      <c r="AS90" s="1212">
        <f t="shared" ca="1" si="60"/>
        <v>0</v>
      </c>
      <c r="AT90" s="1213">
        <f t="shared" ca="1" si="61"/>
        <v>0</v>
      </c>
      <c r="AU90" s="1587">
        <f t="shared" ca="1" si="62"/>
        <v>0</v>
      </c>
      <c r="AX90" s="1212">
        <f t="shared" ca="1" si="63"/>
        <v>0</v>
      </c>
      <c r="AY90" s="1213">
        <f t="shared" ca="1" si="64"/>
        <v>0</v>
      </c>
      <c r="AZ90" s="1587">
        <f t="shared" ca="1" si="65"/>
        <v>0</v>
      </c>
      <c r="BC90" s="1212">
        <f t="shared" ca="1" si="66"/>
        <v>0</v>
      </c>
      <c r="BD90" s="1213">
        <f t="shared" ca="1" si="67"/>
        <v>0</v>
      </c>
      <c r="BE90" s="1587">
        <f t="shared" ca="1" si="68"/>
        <v>0</v>
      </c>
      <c r="BH90" s="1212">
        <f t="shared" ca="1" si="69"/>
        <v>0</v>
      </c>
      <c r="BI90" s="1213">
        <f t="shared" ca="1" si="70"/>
        <v>0</v>
      </c>
      <c r="BJ90" s="1587">
        <f t="shared" ca="1" si="71"/>
        <v>0</v>
      </c>
      <c r="BM90" s="1212">
        <f t="shared" ca="1" si="72"/>
        <v>0</v>
      </c>
      <c r="BN90" s="1213">
        <f t="shared" ca="1" si="73"/>
        <v>0</v>
      </c>
      <c r="BO90" s="1587">
        <f t="shared" ca="1" si="74"/>
        <v>0</v>
      </c>
      <c r="BR90" s="1212">
        <f t="shared" ca="1" si="75"/>
        <v>0</v>
      </c>
      <c r="BS90" s="1213">
        <f t="shared" ca="1" si="76"/>
        <v>0</v>
      </c>
      <c r="BT90" s="1587">
        <f t="shared" ca="1" si="77"/>
        <v>0</v>
      </c>
      <c r="BW90" s="1212">
        <f t="shared" ca="1" si="78"/>
        <v>0</v>
      </c>
      <c r="BX90" s="1213">
        <f t="shared" ca="1" si="79"/>
        <v>0</v>
      </c>
      <c r="BY90" s="1587">
        <f t="shared" ca="1" si="80"/>
        <v>0</v>
      </c>
      <c r="CB90" s="1212">
        <f t="shared" ca="1" si="81"/>
        <v>0</v>
      </c>
      <c r="CC90" s="1213">
        <f t="shared" ca="1" si="82"/>
        <v>0</v>
      </c>
      <c r="CD90" s="1587">
        <f t="shared" ca="1" si="83"/>
        <v>0</v>
      </c>
      <c r="CG90" s="1212">
        <f t="shared" ca="1" si="84"/>
        <v>0</v>
      </c>
      <c r="CH90" s="1213">
        <f t="shared" ca="1" si="85"/>
        <v>0</v>
      </c>
      <c r="CI90" s="1587">
        <f t="shared" ca="1" si="86"/>
        <v>0</v>
      </c>
      <c r="CL90" s="1212">
        <f t="shared" ca="1" si="87"/>
        <v>0</v>
      </c>
      <c r="CM90" s="1213">
        <f t="shared" ca="1" si="88"/>
        <v>0</v>
      </c>
      <c r="CN90" s="1587">
        <f t="shared" ca="1" si="89"/>
        <v>0</v>
      </c>
    </row>
    <row r="91" spans="1:92">
      <c r="A91" s="141" t="str">
        <f>'銀行-TSS'!A91</f>
        <v>US58013MFA71</v>
      </c>
      <c r="B91" s="151" t="str">
        <f ca="1">VLOOKUP(A91,'銀行-TSS'!A:B,2,FALSE)</f>
        <v>XFV90</v>
      </c>
      <c r="C91" s="151" t="str">
        <f ca="1">VLOOKUP(B91,bond!B:C,2,FALSE)</f>
        <v>麥當勞公司美元配息債券 4.875% 2045/12/9</v>
      </c>
      <c r="D91" s="95" t="str">
        <f>VLOOKUP(A91,'銀行-TSS'!A:C,3,FALSE)</f>
        <v>USD</v>
      </c>
      <c r="E91" s="90">
        <f ca="1">VLOOKUP(A91,'銀行-TSS'!A:G,7,FALSE)</f>
        <v>21.44</v>
      </c>
      <c r="F91" s="202">
        <f ca="1">VLOOKUP(A91,'銀行-TSS'!A:H,8,FALSE)</f>
        <v>4.8750000000000002E-2</v>
      </c>
      <c r="G91" s="96">
        <f ca="1">VLOOKUP(A91,'銀行-TSS'!A:K,11,FALSE)</f>
        <v>93.85</v>
      </c>
      <c r="H91" s="1209">
        <f ca="1">VLOOKUP(A91,'銀行-TSS'!A:M,13,FALSE)</f>
        <v>5.3900000000000003E-2</v>
      </c>
      <c r="I91" s="1213">
        <f ca="1">VLOOKUP(A91,'銀行-TSS'!A:N,14,FALSE)</f>
        <v>10000</v>
      </c>
      <c r="J91" s="1213">
        <f ca="1">VLOOKUP(A91,'銀行-TSS'!A:O,15,FALSE)</f>
        <v>1000</v>
      </c>
      <c r="K91" s="136" t="str">
        <f ca="1">VLOOKUP(A91,'銀行-TSS'!A:V,22,FALSE)</f>
        <v>(PI)專投</v>
      </c>
      <c r="L91" s="136" t="str">
        <f ca="1">VLOOKUP(A91,'銀行-TSS'!A:AK,37,FALSE)</f>
        <v>有</v>
      </c>
      <c r="M91" s="136" t="str">
        <f ca="1">VLOOKUP(A91,'銀行-TSS'!A:AN,40,FALSE)</f>
        <v/>
      </c>
      <c r="N91" s="136">
        <f t="shared" ca="1" si="45"/>
        <v>938.5</v>
      </c>
      <c r="O91" s="1213">
        <f t="shared" ca="1" si="46"/>
        <v>9385</v>
      </c>
      <c r="P91" s="1213">
        <f ca="1">IF(AND($O$1&gt;=O91,換券單檔!$D$13=D91),I91+INT(($O$1-O91)/N91)*J91,0)</f>
        <v>103000</v>
      </c>
      <c r="Q91" s="1213">
        <f t="shared" ca="1" si="47"/>
        <v>5021.25</v>
      </c>
      <c r="R91" s="1213">
        <f t="shared" ca="1" si="48"/>
        <v>103000</v>
      </c>
      <c r="S91" s="1213">
        <f t="shared" ca="1" si="49"/>
        <v>5021.25</v>
      </c>
      <c r="T91" s="136">
        <f ca="1">IF(OR(R91=0,A91=0),0,IF(AND(V91=TRUE,換券單檔!$D$13=D91),E91,0))</f>
        <v>21.44</v>
      </c>
      <c r="U91" s="861">
        <f ca="1">IF(OR(R91=0,A91=0),0,IF(AND(V91=TRUE,換券單檔!$D$13=D91),H91,0))</f>
        <v>5.3900000000000003E-2</v>
      </c>
      <c r="V91" s="136" t="b">
        <f ca="1">IF(OR(B91=換券單檔!$D$3,L91="無",M91&lt;&gt;"",K91="高資產",IFERROR(MATCH(B91,換券單檔!K:K,0),"N")&lt;&gt;"N"),FALSE,IF($V$1="All",TRUE,IF(K91=$V$1,TRUE,FALSE)))</f>
        <v>1</v>
      </c>
      <c r="W91" s="136">
        <f ca="1">VLOOKUP(A91,'銀行-TSS'!A:AO,41,FALSE)</f>
        <v>90.54</v>
      </c>
      <c r="X91" s="136">
        <f ca="1">VLOOKUP(A91,'銀行-TSS'!A:AP,42,FALSE)</f>
        <v>12.735799999999999</v>
      </c>
      <c r="Y91" s="1220">
        <f t="shared" ca="1" si="50"/>
        <v>11876.923119600002</v>
      </c>
      <c r="Z91" s="1220">
        <f t="shared" ca="1" si="51"/>
        <v>571.73157649253994</v>
      </c>
      <c r="AA91" s="136">
        <f ca="1">IF(Z91&lt;=0,0,RANK(Z91,Z:Z)+COUNTIF($Z$3:$Z91,Z91)-1)</f>
        <v>17</v>
      </c>
      <c r="AB91" s="1211">
        <f t="shared" ca="1" si="52"/>
        <v>-3019.2168803999975</v>
      </c>
      <c r="AC91" s="136">
        <f ca="1">IF(AB91&lt;=0,0,RANK(AB91,AB:AB)+COUNTIF($AB$3:$AB91,AB91)-1)</f>
        <v>0</v>
      </c>
      <c r="AD91" s="1123">
        <f t="shared" ca="1" si="53"/>
        <v>99999</v>
      </c>
      <c r="AE91" s="1123">
        <f ca="1">IF(AD91=99999,0,RANK(AD91,AD:AD,1)+COUNTIF($AD$3:$AD91,AD91)-1)</f>
        <v>0</v>
      </c>
      <c r="AF91" s="86" t="b">
        <f ca="1">IF(OR(M91&lt;&gt;"",L91="無",K91="高資產",IFERROR(MATCH(B91,換券單檔!K:K,0),"N")&lt;&gt;"N"),FALSE,TRUE)</f>
        <v>1</v>
      </c>
      <c r="AI91" s="1212">
        <f t="shared" ca="1" si="54"/>
        <v>103000</v>
      </c>
      <c r="AJ91" s="1213">
        <f t="shared" ca="1" si="55"/>
        <v>5021.25</v>
      </c>
      <c r="AK91" s="1587">
        <f t="shared" ca="1" si="56"/>
        <v>571.73157649253994</v>
      </c>
      <c r="AN91" s="1212">
        <f t="shared" ca="1" si="57"/>
        <v>58000</v>
      </c>
      <c r="AO91" s="1213">
        <f t="shared" ca="1" si="58"/>
        <v>2827.5</v>
      </c>
      <c r="AP91" s="1587">
        <f t="shared" ca="1" si="59"/>
        <v>-82307.903451492544</v>
      </c>
      <c r="AS91" s="1212">
        <f t="shared" ca="1" si="60"/>
        <v>100000</v>
      </c>
      <c r="AT91" s="1213">
        <f t="shared" ca="1" si="61"/>
        <v>4875</v>
      </c>
      <c r="AU91" s="1587">
        <f t="shared" ca="1" si="62"/>
        <v>0</v>
      </c>
      <c r="AX91" s="1212">
        <f t="shared" ca="1" si="63"/>
        <v>92000</v>
      </c>
      <c r="AY91" s="1213">
        <f t="shared" ca="1" si="64"/>
        <v>4485</v>
      </c>
      <c r="AZ91" s="1587">
        <f t="shared" ca="1" si="65"/>
        <v>-15897.448694029854</v>
      </c>
      <c r="BC91" s="1212">
        <f t="shared" ca="1" si="66"/>
        <v>0</v>
      </c>
      <c r="BD91" s="1213">
        <f t="shared" ca="1" si="67"/>
        <v>0</v>
      </c>
      <c r="BE91" s="1587">
        <f t="shared" ca="1" si="68"/>
        <v>0</v>
      </c>
      <c r="BH91" s="1212">
        <f t="shared" ca="1" si="69"/>
        <v>0</v>
      </c>
      <c r="BI91" s="1213">
        <f t="shared" ca="1" si="70"/>
        <v>0</v>
      </c>
      <c r="BJ91" s="1587">
        <f t="shared" ca="1" si="71"/>
        <v>0</v>
      </c>
      <c r="BM91" s="1212">
        <f t="shared" ca="1" si="72"/>
        <v>0</v>
      </c>
      <c r="BN91" s="1213">
        <f t="shared" ca="1" si="73"/>
        <v>0</v>
      </c>
      <c r="BO91" s="1587">
        <f t="shared" ca="1" si="74"/>
        <v>0</v>
      </c>
      <c r="BR91" s="1212">
        <f t="shared" ca="1" si="75"/>
        <v>0</v>
      </c>
      <c r="BS91" s="1213">
        <f t="shared" ca="1" si="76"/>
        <v>0</v>
      </c>
      <c r="BT91" s="1587">
        <f t="shared" ca="1" si="77"/>
        <v>0</v>
      </c>
      <c r="BW91" s="1212">
        <f t="shared" ca="1" si="78"/>
        <v>0</v>
      </c>
      <c r="BX91" s="1213">
        <f t="shared" ca="1" si="79"/>
        <v>0</v>
      </c>
      <c r="BY91" s="1587">
        <f t="shared" ca="1" si="80"/>
        <v>0</v>
      </c>
      <c r="CB91" s="1212">
        <f t="shared" ca="1" si="81"/>
        <v>0</v>
      </c>
      <c r="CC91" s="1213">
        <f t="shared" ca="1" si="82"/>
        <v>0</v>
      </c>
      <c r="CD91" s="1587">
        <f t="shared" ca="1" si="83"/>
        <v>0</v>
      </c>
      <c r="CG91" s="1212">
        <f t="shared" ca="1" si="84"/>
        <v>0</v>
      </c>
      <c r="CH91" s="1213">
        <f t="shared" ca="1" si="85"/>
        <v>0</v>
      </c>
      <c r="CI91" s="1587">
        <f t="shared" ca="1" si="86"/>
        <v>0</v>
      </c>
      <c r="CL91" s="1212">
        <f t="shared" ca="1" si="87"/>
        <v>0</v>
      </c>
      <c r="CM91" s="1213">
        <f t="shared" ca="1" si="88"/>
        <v>0</v>
      </c>
      <c r="CN91" s="1587">
        <f t="shared" ca="1" si="89"/>
        <v>0</v>
      </c>
    </row>
    <row r="92" spans="1:92">
      <c r="A92" s="141" t="str">
        <f>'銀行-TSS'!A92</f>
        <v>US126650CZ11</v>
      </c>
      <c r="B92" s="151" t="str">
        <f ca="1">VLOOKUP(A92,'銀行-TSS'!A:B,2,FALSE)</f>
        <v>XFW10</v>
      </c>
      <c r="C92" s="151" t="str">
        <f ca="1">VLOOKUP(B92,bond!B:C,2,FALSE)</f>
        <v>CVSHEALTH公司美元配息債券 5.05% 2048/3/25</v>
      </c>
      <c r="D92" s="95" t="str">
        <f>VLOOKUP(A92,'銀行-TSS'!A:C,3,FALSE)</f>
        <v>USD</v>
      </c>
      <c r="E92" s="90">
        <f ca="1">VLOOKUP(A92,'銀行-TSS'!A:G,7,FALSE)</f>
        <v>23.73</v>
      </c>
      <c r="F92" s="202">
        <f ca="1">VLOOKUP(A92,'銀行-TSS'!A:H,8,FALSE)</f>
        <v>5.0499999999999996E-2</v>
      </c>
      <c r="G92" s="96">
        <f ca="1">VLOOKUP(A92,'銀行-TSS'!A:K,11,FALSE)</f>
        <v>91.65</v>
      </c>
      <c r="H92" s="1209">
        <f ca="1">VLOOKUP(A92,'銀行-TSS'!A:M,13,FALSE)</f>
        <v>5.8099999999999999E-2</v>
      </c>
      <c r="I92" s="1213">
        <f ca="1">VLOOKUP(A92,'銀行-TSS'!A:N,14,FALSE)</f>
        <v>10000</v>
      </c>
      <c r="J92" s="1213">
        <f ca="1">VLOOKUP(A92,'銀行-TSS'!A:O,15,FALSE)</f>
        <v>1000</v>
      </c>
      <c r="K92" s="136" t="str">
        <f ca="1">VLOOKUP(A92,'銀行-TSS'!A:V,22,FALSE)</f>
        <v>(PI)專投</v>
      </c>
      <c r="L92" s="136" t="str">
        <f ca="1">VLOOKUP(A92,'銀行-TSS'!A:AK,37,FALSE)</f>
        <v>有</v>
      </c>
      <c r="M92" s="136" t="str">
        <f ca="1">VLOOKUP(A92,'銀行-TSS'!A:AN,40,FALSE)</f>
        <v/>
      </c>
      <c r="N92" s="136">
        <f t="shared" ca="1" si="45"/>
        <v>916.5</v>
      </c>
      <c r="O92" s="1213">
        <f t="shared" ca="1" si="46"/>
        <v>9165</v>
      </c>
      <c r="P92" s="1213">
        <f ca="1">IF(AND($O$1&gt;=O92,換券單檔!$D$13=D92),I92+INT(($O$1-O92)/N92)*J92,0)</f>
        <v>105000</v>
      </c>
      <c r="Q92" s="1213">
        <f t="shared" ca="1" si="47"/>
        <v>5302.5</v>
      </c>
      <c r="R92" s="1213">
        <f t="shared" ca="1" si="48"/>
        <v>105000</v>
      </c>
      <c r="S92" s="1213">
        <f t="shared" ca="1" si="49"/>
        <v>5302.5</v>
      </c>
      <c r="T92" s="136">
        <f ca="1">IF(OR(R92=0,A92=0),0,IF(AND(V92=TRUE,換券單檔!$D$13=D92),E92,0))</f>
        <v>23.73</v>
      </c>
      <c r="U92" s="861">
        <f ca="1">IF(OR(R92=0,A92=0),0,IF(AND(V92=TRUE,換券單檔!$D$13=D92),H92,0))</f>
        <v>5.8099999999999999E-2</v>
      </c>
      <c r="V92" s="136" t="b">
        <f ca="1">IF(OR(B92=換券單檔!$D$3,L92="無",M92&lt;&gt;"",K92="高資產",IFERROR(MATCH(B92,換券單檔!K:K,0),"N")&lt;&gt;"N"),FALSE,IF($V$1="All",TRUE,IF(K92=$V$1,TRUE,FALSE)))</f>
        <v>1</v>
      </c>
      <c r="W92" s="136">
        <f ca="1">VLOOKUP(A92,'銀行-TSS'!A:AO,41,FALSE)</f>
        <v>86.79</v>
      </c>
      <c r="X92" s="136">
        <f ca="1">VLOOKUP(A92,'銀行-TSS'!A:AP,42,FALSE)</f>
        <v>12.8414</v>
      </c>
      <c r="Y92" s="1220">
        <f t="shared" ca="1" si="50"/>
        <v>11702.303613000002</v>
      </c>
      <c r="Z92" s="1220">
        <f t="shared" ca="1" si="51"/>
        <v>1434.2488411293748</v>
      </c>
      <c r="AA92" s="136">
        <f ca="1">IF(Z92&lt;=0,0,RANK(Z92,Z:Z)+COUNTIF($Z$3:$Z92,Z92)-1)</f>
        <v>11</v>
      </c>
      <c r="AB92" s="1211">
        <f t="shared" ca="1" si="52"/>
        <v>-3193.8363869999976</v>
      </c>
      <c r="AC92" s="136">
        <f ca="1">IF(AB92&lt;=0,0,RANK(AB92,AB:AB)+COUNTIF($AB$3:$AB92,AB92)-1)</f>
        <v>0</v>
      </c>
      <c r="AD92" s="1123">
        <f t="shared" ca="1" si="53"/>
        <v>99999</v>
      </c>
      <c r="AE92" s="1123">
        <f ca="1">IF(AD92=99999,0,RANK(AD92,AD:AD,1)+COUNTIF($AD$3:$AD92,AD92)-1)</f>
        <v>0</v>
      </c>
      <c r="AF92" s="86" t="b">
        <f ca="1">IF(OR(M92&lt;&gt;"",L92="無",K92="高資產",IFERROR(MATCH(B92,換券單檔!K:K,0),"N")&lt;&gt;"N"),FALSE,TRUE)</f>
        <v>1</v>
      </c>
      <c r="AI92" s="1212">
        <f t="shared" ca="1" si="54"/>
        <v>105000</v>
      </c>
      <c r="AJ92" s="1213">
        <f t="shared" ca="1" si="55"/>
        <v>5302.5</v>
      </c>
      <c r="AK92" s="1587">
        <f t="shared" ca="1" si="56"/>
        <v>1434.2488411293748</v>
      </c>
      <c r="AN92" s="1212">
        <f t="shared" ca="1" si="57"/>
        <v>60000</v>
      </c>
      <c r="AO92" s="1213">
        <f t="shared" ca="1" si="58"/>
        <v>3030</v>
      </c>
      <c r="AP92" s="1587">
        <f t="shared" ca="1" si="59"/>
        <v>-77709.304677623266</v>
      </c>
      <c r="AS92" s="1212">
        <f t="shared" ca="1" si="60"/>
        <v>103000</v>
      </c>
      <c r="AT92" s="1213">
        <f t="shared" ca="1" si="61"/>
        <v>5201.5</v>
      </c>
      <c r="AU92" s="1587">
        <f t="shared" ca="1" si="62"/>
        <v>1022.0726927939318</v>
      </c>
      <c r="AX92" s="1212">
        <f t="shared" ca="1" si="63"/>
        <v>94000</v>
      </c>
      <c r="AY92" s="1213">
        <f t="shared" ca="1" si="64"/>
        <v>4747</v>
      </c>
      <c r="AZ92" s="1587">
        <f t="shared" ca="1" si="65"/>
        <v>-11127.773704171937</v>
      </c>
      <c r="BC92" s="1212">
        <f t="shared" ca="1" si="66"/>
        <v>0</v>
      </c>
      <c r="BD92" s="1213">
        <f t="shared" ca="1" si="67"/>
        <v>0</v>
      </c>
      <c r="BE92" s="1587">
        <f t="shared" ca="1" si="68"/>
        <v>0</v>
      </c>
      <c r="BH92" s="1212">
        <f t="shared" ca="1" si="69"/>
        <v>0</v>
      </c>
      <c r="BI92" s="1213">
        <f t="shared" ca="1" si="70"/>
        <v>0</v>
      </c>
      <c r="BJ92" s="1587">
        <f t="shared" ca="1" si="71"/>
        <v>0</v>
      </c>
      <c r="BM92" s="1212">
        <f t="shared" ca="1" si="72"/>
        <v>0</v>
      </c>
      <c r="BN92" s="1213">
        <f t="shared" ca="1" si="73"/>
        <v>0</v>
      </c>
      <c r="BO92" s="1587">
        <f t="shared" ca="1" si="74"/>
        <v>0</v>
      </c>
      <c r="BR92" s="1212">
        <f t="shared" ca="1" si="75"/>
        <v>0</v>
      </c>
      <c r="BS92" s="1213">
        <f t="shared" ca="1" si="76"/>
        <v>0</v>
      </c>
      <c r="BT92" s="1587">
        <f t="shared" ca="1" si="77"/>
        <v>0</v>
      </c>
      <c r="BW92" s="1212">
        <f t="shared" ca="1" si="78"/>
        <v>0</v>
      </c>
      <c r="BX92" s="1213">
        <f t="shared" ca="1" si="79"/>
        <v>0</v>
      </c>
      <c r="BY92" s="1587">
        <f t="shared" ca="1" si="80"/>
        <v>0</v>
      </c>
      <c r="CB92" s="1212">
        <f t="shared" ca="1" si="81"/>
        <v>0</v>
      </c>
      <c r="CC92" s="1213">
        <f t="shared" ca="1" si="82"/>
        <v>0</v>
      </c>
      <c r="CD92" s="1587">
        <f t="shared" ca="1" si="83"/>
        <v>0</v>
      </c>
      <c r="CG92" s="1212">
        <f t="shared" ca="1" si="84"/>
        <v>0</v>
      </c>
      <c r="CH92" s="1213">
        <f t="shared" ca="1" si="85"/>
        <v>0</v>
      </c>
      <c r="CI92" s="1587">
        <f t="shared" ca="1" si="86"/>
        <v>0</v>
      </c>
      <c r="CL92" s="1212">
        <f t="shared" ca="1" si="87"/>
        <v>0</v>
      </c>
      <c r="CM92" s="1213">
        <f t="shared" ca="1" si="88"/>
        <v>0</v>
      </c>
      <c r="CN92" s="1587">
        <f t="shared" ca="1" si="89"/>
        <v>0</v>
      </c>
    </row>
    <row r="93" spans="1:92">
      <c r="A93" s="141" t="str">
        <f>'銀行-TSS'!A93</f>
        <v>US931142EP44</v>
      </c>
      <c r="B93" s="151" t="str">
        <f ca="1">VLOOKUP(A93,'銀行-TSS'!A:B,2,FALSE)</f>
        <v>XFW50</v>
      </c>
      <c r="C93" s="151" t="str">
        <f ca="1">VLOOKUP(B93,bond!B:C,2,FALSE)</f>
        <v>沃爾瑪公司美元配息債券 2.95% 2049/9/24</v>
      </c>
      <c r="D93" s="95" t="str">
        <f>VLOOKUP(A93,'銀行-TSS'!A:C,3,FALSE)</f>
        <v>USD</v>
      </c>
      <c r="E93" s="90">
        <f ca="1">VLOOKUP(A93,'銀行-TSS'!A:G,7,FALSE)</f>
        <v>25.23</v>
      </c>
      <c r="F93" s="202">
        <f ca="1">VLOOKUP(A93,'銀行-TSS'!A:H,8,FALSE)</f>
        <v>2.9500000000000002E-2</v>
      </c>
      <c r="G93" s="96">
        <f ca="1">VLOOKUP(A93,'銀行-TSS'!A:K,11,FALSE)</f>
        <v>70.81</v>
      </c>
      <c r="H93" s="1209">
        <f ca="1">VLOOKUP(A93,'銀行-TSS'!A:M,13,FALSE)</f>
        <v>5.0700000000000002E-2</v>
      </c>
      <c r="I93" s="1213">
        <f ca="1">VLOOKUP(A93,'銀行-TSS'!A:N,14,FALSE)</f>
        <v>2000</v>
      </c>
      <c r="J93" s="1213">
        <f ca="1">VLOOKUP(A93,'銀行-TSS'!A:O,15,FALSE)</f>
        <v>1000</v>
      </c>
      <c r="K93" s="136" t="str">
        <f ca="1">VLOOKUP(A93,'銀行-TSS'!A:V,22,FALSE)</f>
        <v>(NPI)非專投</v>
      </c>
      <c r="L93" s="136" t="str">
        <f ca="1">VLOOKUP(A93,'銀行-TSS'!A:AK,37,FALSE)</f>
        <v>有</v>
      </c>
      <c r="M93" s="136" t="str">
        <f ca="1">VLOOKUP(A93,'銀行-TSS'!A:AN,40,FALSE)</f>
        <v/>
      </c>
      <c r="N93" s="136">
        <f t="shared" ca="1" si="45"/>
        <v>708.1</v>
      </c>
      <c r="O93" s="1213">
        <f t="shared" ca="1" si="46"/>
        <v>1416.2</v>
      </c>
      <c r="P93" s="1213">
        <f ca="1">IF(AND($O$1&gt;=O93,換券單檔!$D$13=D93),I93+INT(($O$1-O93)/N93)*J93,0)</f>
        <v>136000</v>
      </c>
      <c r="Q93" s="1213">
        <f t="shared" ca="1" si="47"/>
        <v>4012.0000000000005</v>
      </c>
      <c r="R93" s="1213">
        <f t="shared" ca="1" si="48"/>
        <v>136000</v>
      </c>
      <c r="S93" s="1213">
        <f t="shared" ca="1" si="49"/>
        <v>4012.0000000000005</v>
      </c>
      <c r="T93" s="136">
        <f ca="1">IF(OR(R93=0,A93=0),0,IF(AND(V93=TRUE,換券單檔!$D$13=D93),E93,0))</f>
        <v>25.23</v>
      </c>
      <c r="U93" s="861">
        <f ca="1">IF(OR(R93=0,A93=0),0,IF(AND(V93=TRUE,換券單檔!$D$13=D93),H93,0))</f>
        <v>5.0700000000000002E-2</v>
      </c>
      <c r="V93" s="136" t="b">
        <f ca="1">IF(OR(B93=換券單檔!$D$3,L93="無",M93&lt;&gt;"",K93="高資產",IFERROR(MATCH(B93,換券單檔!K:K,0),"N")&lt;&gt;"N"),FALSE,IF($V$1="All",TRUE,IF(K93=$V$1,TRUE,FALSE)))</f>
        <v>1</v>
      </c>
      <c r="W93" s="136">
        <f ca="1">VLOOKUP(A93,'銀行-TSS'!A:AO,41,FALSE)</f>
        <v>69.010000000000005</v>
      </c>
      <c r="X93" s="136">
        <f ca="1">VLOOKUP(A93,'銀行-TSS'!A:AP,42,FALSE)</f>
        <v>15.648999999999999</v>
      </c>
      <c r="Y93" s="1220">
        <f t="shared" ca="1" si="50"/>
        <v>14687.149864000001</v>
      </c>
      <c r="Z93" s="1220">
        <f t="shared" ca="1" si="51"/>
        <v>0</v>
      </c>
      <c r="AA93" s="136">
        <f ca="1">IF(Z93&lt;=0,0,RANK(Z93,Z:Z)+COUNTIF($Z$3:$Z93,Z93)-1)</f>
        <v>0</v>
      </c>
      <c r="AB93" s="1211">
        <f t="shared" ca="1" si="52"/>
        <v>-208.99013599999853</v>
      </c>
      <c r="AC93" s="136">
        <f ca="1">IF(AB93&lt;=0,0,RANK(AB93,AB:AB)+COUNTIF($AB$3:$AB93,AB93)-1)</f>
        <v>0</v>
      </c>
      <c r="AD93" s="1123">
        <f t="shared" ca="1" si="53"/>
        <v>99999</v>
      </c>
      <c r="AE93" s="1123">
        <f ca="1">IF(AD93=99999,0,RANK(AD93,AD:AD,1)+COUNTIF($AD$3:$AD93,AD93)-1)</f>
        <v>0</v>
      </c>
      <c r="AF93" s="86" t="b">
        <f ca="1">IF(OR(M93&lt;&gt;"",L93="無",K93="高資產",IFERROR(MATCH(B93,換券單檔!K:K,0),"N")&lt;&gt;"N"),FALSE,TRUE)</f>
        <v>1</v>
      </c>
      <c r="AI93" s="1212">
        <f t="shared" ca="1" si="54"/>
        <v>136000</v>
      </c>
      <c r="AJ93" s="1213">
        <f t="shared" ca="1" si="55"/>
        <v>4012.0000000000005</v>
      </c>
      <c r="AK93" s="1587">
        <f t="shared" ca="1" si="56"/>
        <v>0</v>
      </c>
      <c r="AN93" s="1212">
        <f t="shared" ca="1" si="57"/>
        <v>78000</v>
      </c>
      <c r="AO93" s="1213">
        <f t="shared" ca="1" si="58"/>
        <v>2301</v>
      </c>
      <c r="AP93" s="1587">
        <f t="shared" ca="1" si="59"/>
        <v>-43850.032104637336</v>
      </c>
      <c r="AS93" s="1212">
        <f t="shared" ca="1" si="60"/>
        <v>133000</v>
      </c>
      <c r="AT93" s="1213">
        <f t="shared" ca="1" si="61"/>
        <v>3923.5000000000005</v>
      </c>
      <c r="AU93" s="1587">
        <f t="shared" ca="1" si="62"/>
        <v>0</v>
      </c>
      <c r="AX93" s="1212">
        <f t="shared" ca="1" si="63"/>
        <v>122000</v>
      </c>
      <c r="AY93" s="1213">
        <f t="shared" ca="1" si="64"/>
        <v>3599.0000000000005</v>
      </c>
      <c r="AZ93" s="1587">
        <f t="shared" ca="1" si="65"/>
        <v>0</v>
      </c>
      <c r="BC93" s="1212">
        <f t="shared" ca="1" si="66"/>
        <v>0</v>
      </c>
      <c r="BD93" s="1213">
        <f t="shared" ca="1" si="67"/>
        <v>0</v>
      </c>
      <c r="BE93" s="1587">
        <f t="shared" ca="1" si="68"/>
        <v>0</v>
      </c>
      <c r="BH93" s="1212">
        <f t="shared" ca="1" si="69"/>
        <v>0</v>
      </c>
      <c r="BI93" s="1213">
        <f t="shared" ca="1" si="70"/>
        <v>0</v>
      </c>
      <c r="BJ93" s="1587">
        <f t="shared" ca="1" si="71"/>
        <v>0</v>
      </c>
      <c r="BM93" s="1212">
        <f t="shared" ca="1" si="72"/>
        <v>0</v>
      </c>
      <c r="BN93" s="1213">
        <f t="shared" ca="1" si="73"/>
        <v>0</v>
      </c>
      <c r="BO93" s="1587">
        <f t="shared" ca="1" si="74"/>
        <v>0</v>
      </c>
      <c r="BR93" s="1212">
        <f t="shared" ca="1" si="75"/>
        <v>0</v>
      </c>
      <c r="BS93" s="1213">
        <f t="shared" ca="1" si="76"/>
        <v>0</v>
      </c>
      <c r="BT93" s="1587">
        <f t="shared" ca="1" si="77"/>
        <v>0</v>
      </c>
      <c r="BW93" s="1212">
        <f t="shared" ca="1" si="78"/>
        <v>0</v>
      </c>
      <c r="BX93" s="1213">
        <f t="shared" ca="1" si="79"/>
        <v>0</v>
      </c>
      <c r="BY93" s="1587">
        <f t="shared" ca="1" si="80"/>
        <v>0</v>
      </c>
      <c r="CB93" s="1212">
        <f t="shared" ca="1" si="81"/>
        <v>0</v>
      </c>
      <c r="CC93" s="1213">
        <f t="shared" ca="1" si="82"/>
        <v>0</v>
      </c>
      <c r="CD93" s="1587">
        <f t="shared" ca="1" si="83"/>
        <v>0</v>
      </c>
      <c r="CG93" s="1212">
        <f t="shared" ca="1" si="84"/>
        <v>0</v>
      </c>
      <c r="CH93" s="1213">
        <f t="shared" ca="1" si="85"/>
        <v>0</v>
      </c>
      <c r="CI93" s="1587">
        <f t="shared" ca="1" si="86"/>
        <v>0</v>
      </c>
      <c r="CL93" s="1212">
        <f t="shared" ca="1" si="87"/>
        <v>0</v>
      </c>
      <c r="CM93" s="1213">
        <f t="shared" ca="1" si="88"/>
        <v>0</v>
      </c>
      <c r="CN93" s="1587">
        <f t="shared" ca="1" si="89"/>
        <v>0</v>
      </c>
    </row>
    <row r="94" spans="1:92">
      <c r="A94" s="141" t="str">
        <f>'銀行-TSS'!A94</f>
        <v>US911312BS40</v>
      </c>
      <c r="B94" s="151" t="str">
        <f ca="1">VLOOKUP(A94,'銀行-TSS'!A:B,2,FALSE)</f>
        <v>XFW60</v>
      </c>
      <c r="C94" s="151" t="str">
        <f ca="1">VLOOKUP(B94,bond!B:C,2,FALSE)</f>
        <v>聯合包裹服務公司美元配息債券 3.4% 2049/9/1</v>
      </c>
      <c r="D94" s="95" t="str">
        <f>VLOOKUP(A94,'銀行-TSS'!A:C,3,FALSE)</f>
        <v>USD</v>
      </c>
      <c r="E94" s="90">
        <f ca="1">VLOOKUP(A94,'銀行-TSS'!A:G,7,FALSE)</f>
        <v>25.17</v>
      </c>
      <c r="F94" s="202">
        <f ca="1">VLOOKUP(A94,'銀行-TSS'!A:H,8,FALSE)</f>
        <v>3.4000000000000002E-2</v>
      </c>
      <c r="G94" s="96">
        <f ca="1">VLOOKUP(A94,'銀行-TSS'!A:K,11,FALSE)</f>
        <v>77.53</v>
      </c>
      <c r="H94" s="1209">
        <f ca="1">VLOOKUP(A94,'銀行-TSS'!A:M,13,FALSE)</f>
        <v>5.0700000000000002E-2</v>
      </c>
      <c r="I94" s="1213">
        <f ca="1">VLOOKUP(A94,'銀行-TSS'!A:N,14,FALSE)</f>
        <v>10000</v>
      </c>
      <c r="J94" s="1213">
        <f ca="1">VLOOKUP(A94,'銀行-TSS'!A:O,15,FALSE)</f>
        <v>1000</v>
      </c>
      <c r="K94" s="136" t="str">
        <f ca="1">VLOOKUP(A94,'銀行-TSS'!A:V,22,FALSE)</f>
        <v>(NPI)非專投</v>
      </c>
      <c r="L94" s="136" t="str">
        <f ca="1">VLOOKUP(A94,'銀行-TSS'!A:AK,37,FALSE)</f>
        <v>有</v>
      </c>
      <c r="M94" s="136" t="str">
        <f ca="1">VLOOKUP(A94,'銀行-TSS'!A:AN,40,FALSE)</f>
        <v/>
      </c>
      <c r="N94" s="136">
        <f t="shared" ca="1" si="45"/>
        <v>775.3</v>
      </c>
      <c r="O94" s="1213">
        <f t="shared" ca="1" si="46"/>
        <v>7753</v>
      </c>
      <c r="P94" s="1213">
        <f ca="1">IF(AND($O$1&gt;=O94,換券單檔!$D$13=D94),I94+INT(($O$1-O94)/N94)*J94,0)</f>
        <v>124000</v>
      </c>
      <c r="Q94" s="1213">
        <f t="shared" ca="1" si="47"/>
        <v>4216</v>
      </c>
      <c r="R94" s="1213">
        <f t="shared" ca="1" si="48"/>
        <v>124000</v>
      </c>
      <c r="S94" s="1213">
        <f t="shared" ca="1" si="49"/>
        <v>4216</v>
      </c>
      <c r="T94" s="136">
        <f ca="1">IF(OR(R94=0,A94=0),0,IF(AND(V94=TRUE,換券單檔!$D$13=D94),E94,0))</f>
        <v>25.17</v>
      </c>
      <c r="U94" s="861">
        <f ca="1">IF(OR(R94=0,A94=0),0,IF(AND(V94=TRUE,換券單檔!$D$13=D94),H94,0))</f>
        <v>5.0700000000000002E-2</v>
      </c>
      <c r="V94" s="136" t="b">
        <f ca="1">IF(OR(B94=換券單檔!$D$3,L94="無",M94&lt;&gt;"",K94="高資產",IFERROR(MATCH(B94,換券單檔!K:K,0),"N")&lt;&gt;"N"),FALSE,IF($V$1="All",TRUE,IF(K94=$V$1,TRUE,FALSE)))</f>
        <v>1</v>
      </c>
      <c r="W94" s="136">
        <f ca="1">VLOOKUP(A94,'銀行-TSS'!A:AO,41,FALSE)</f>
        <v>72.89</v>
      </c>
      <c r="X94" s="136">
        <f ca="1">VLOOKUP(A94,'銀行-TSS'!A:AP,42,FALSE)</f>
        <v>14.9969</v>
      </c>
      <c r="Y94" s="1220">
        <f t="shared" ca="1" si="50"/>
        <v>13554.738108400003</v>
      </c>
      <c r="Z94" s="1220">
        <f t="shared" ca="1" si="51"/>
        <v>0</v>
      </c>
      <c r="AA94" s="136">
        <f ca="1">IF(Z94&lt;=0,0,RANK(Z94,Z:Z)+COUNTIF($Z$3:$Z94,Z94)-1)</f>
        <v>0</v>
      </c>
      <c r="AB94" s="1211">
        <f t="shared" ca="1" si="52"/>
        <v>-1341.4018915999968</v>
      </c>
      <c r="AC94" s="136">
        <f ca="1">IF(AB94&lt;=0,0,RANK(AB94,AB:AB)+COUNTIF($AB$3:$AB94,AB94)-1)</f>
        <v>0</v>
      </c>
      <c r="AD94" s="1123">
        <f t="shared" ca="1" si="53"/>
        <v>99999</v>
      </c>
      <c r="AE94" s="1123">
        <f ca="1">IF(AD94=99999,0,RANK(AD94,AD:AD,1)+COUNTIF($AD$3:$AD94,AD94)-1)</f>
        <v>0</v>
      </c>
      <c r="AF94" s="86" t="b">
        <f ca="1">IF(OR(M94&lt;&gt;"",L94="無",K94="高資產",IFERROR(MATCH(B94,換券單檔!K:K,0),"N")&lt;&gt;"N"),FALSE,TRUE)</f>
        <v>1</v>
      </c>
      <c r="AI94" s="1212">
        <f t="shared" ca="1" si="54"/>
        <v>124000</v>
      </c>
      <c r="AJ94" s="1213">
        <f t="shared" ca="1" si="55"/>
        <v>4216</v>
      </c>
      <c r="AK94" s="1587">
        <f t="shared" ca="1" si="56"/>
        <v>0</v>
      </c>
      <c r="AN94" s="1212">
        <f t="shared" ca="1" si="57"/>
        <v>71000</v>
      </c>
      <c r="AO94" s="1213">
        <f t="shared" ca="1" si="58"/>
        <v>2414</v>
      </c>
      <c r="AP94" s="1587">
        <f t="shared" ca="1" si="59"/>
        <v>-57517.773539928487</v>
      </c>
      <c r="AS94" s="1212">
        <f t="shared" ca="1" si="60"/>
        <v>121000</v>
      </c>
      <c r="AT94" s="1213">
        <f t="shared" ca="1" si="61"/>
        <v>4114</v>
      </c>
      <c r="AU94" s="1587">
        <f t="shared" ca="1" si="62"/>
        <v>0</v>
      </c>
      <c r="AX94" s="1212">
        <f t="shared" ca="1" si="63"/>
        <v>112000</v>
      </c>
      <c r="AY94" s="1213">
        <f t="shared" ca="1" si="64"/>
        <v>3808.0000000000005</v>
      </c>
      <c r="AZ94" s="1587">
        <f t="shared" ca="1" si="65"/>
        <v>0</v>
      </c>
      <c r="BC94" s="1212">
        <f t="shared" ca="1" si="66"/>
        <v>0</v>
      </c>
      <c r="BD94" s="1213">
        <f t="shared" ca="1" si="67"/>
        <v>0</v>
      </c>
      <c r="BE94" s="1587">
        <f t="shared" ca="1" si="68"/>
        <v>0</v>
      </c>
      <c r="BH94" s="1212">
        <f t="shared" ca="1" si="69"/>
        <v>0</v>
      </c>
      <c r="BI94" s="1213">
        <f t="shared" ca="1" si="70"/>
        <v>0</v>
      </c>
      <c r="BJ94" s="1587">
        <f t="shared" ca="1" si="71"/>
        <v>0</v>
      </c>
      <c r="BM94" s="1212">
        <f t="shared" ca="1" si="72"/>
        <v>0</v>
      </c>
      <c r="BN94" s="1213">
        <f t="shared" ca="1" si="73"/>
        <v>0</v>
      </c>
      <c r="BO94" s="1587">
        <f t="shared" ca="1" si="74"/>
        <v>0</v>
      </c>
      <c r="BR94" s="1212">
        <f t="shared" ca="1" si="75"/>
        <v>0</v>
      </c>
      <c r="BS94" s="1213">
        <f t="shared" ca="1" si="76"/>
        <v>0</v>
      </c>
      <c r="BT94" s="1587">
        <f t="shared" ca="1" si="77"/>
        <v>0</v>
      </c>
      <c r="BW94" s="1212">
        <f t="shared" ca="1" si="78"/>
        <v>0</v>
      </c>
      <c r="BX94" s="1213">
        <f t="shared" ca="1" si="79"/>
        <v>0</v>
      </c>
      <c r="BY94" s="1587">
        <f t="shared" ca="1" si="80"/>
        <v>0</v>
      </c>
      <c r="CB94" s="1212">
        <f t="shared" ca="1" si="81"/>
        <v>0</v>
      </c>
      <c r="CC94" s="1213">
        <f t="shared" ca="1" si="82"/>
        <v>0</v>
      </c>
      <c r="CD94" s="1587">
        <f t="shared" ca="1" si="83"/>
        <v>0</v>
      </c>
      <c r="CG94" s="1212">
        <f t="shared" ca="1" si="84"/>
        <v>0</v>
      </c>
      <c r="CH94" s="1213">
        <f t="shared" ca="1" si="85"/>
        <v>0</v>
      </c>
      <c r="CI94" s="1587">
        <f t="shared" ca="1" si="86"/>
        <v>0</v>
      </c>
      <c r="CL94" s="1212">
        <f t="shared" ca="1" si="87"/>
        <v>0</v>
      </c>
      <c r="CM94" s="1213">
        <f t="shared" ca="1" si="88"/>
        <v>0</v>
      </c>
      <c r="CN94" s="1587">
        <f t="shared" ca="1" si="89"/>
        <v>0</v>
      </c>
    </row>
    <row r="95" spans="1:92">
      <c r="A95" s="141" t="str">
        <f>'銀行-TSS'!A95</f>
        <v>US00287YAS81</v>
      </c>
      <c r="B95" s="151" t="str">
        <f ca="1">VLOOKUP(A95,'銀行-TSS'!A:B,2,FALSE)</f>
        <v>XFW70</v>
      </c>
      <c r="C95" s="151" t="str">
        <f ca="1">VLOOKUP(B95,bond!B:C,2,FALSE)</f>
        <v>艾伯維藥品有限公司美元配息債券 4.7% 2045/5/14</v>
      </c>
      <c r="D95" s="95" t="str">
        <f>VLOOKUP(A95,'銀行-TSS'!A:C,3,FALSE)</f>
        <v>USD</v>
      </c>
      <c r="E95" s="90">
        <f ca="1">VLOOKUP(A95,'銀行-TSS'!A:G,7,FALSE)</f>
        <v>20.87</v>
      </c>
      <c r="F95" s="202">
        <f ca="1">VLOOKUP(A95,'銀行-TSS'!A:H,8,FALSE)</f>
        <v>4.7E-2</v>
      </c>
      <c r="G95" s="96">
        <f ca="1">VLOOKUP(A95,'銀行-TSS'!A:K,11,FALSE)</f>
        <v>94.66</v>
      </c>
      <c r="H95" s="1209">
        <f ca="1">VLOOKUP(A95,'銀行-TSS'!A:M,13,FALSE)</f>
        <v>5.1700000000000003E-2</v>
      </c>
      <c r="I95" s="1213">
        <f ca="1">VLOOKUP(A95,'銀行-TSS'!A:N,14,FALSE)</f>
        <v>10000</v>
      </c>
      <c r="J95" s="1213">
        <f ca="1">VLOOKUP(A95,'銀行-TSS'!A:O,15,FALSE)</f>
        <v>1000</v>
      </c>
      <c r="K95" s="136" t="str">
        <f ca="1">VLOOKUP(A95,'銀行-TSS'!A:V,22,FALSE)</f>
        <v>(NPI)非專投</v>
      </c>
      <c r="L95" s="136" t="str">
        <f ca="1">VLOOKUP(A95,'銀行-TSS'!A:AK,37,FALSE)</f>
        <v>有</v>
      </c>
      <c r="M95" s="136" t="str">
        <f ca="1">VLOOKUP(A95,'銀行-TSS'!A:AN,40,FALSE)</f>
        <v/>
      </c>
      <c r="N95" s="136">
        <f t="shared" ca="1" si="45"/>
        <v>946.6</v>
      </c>
      <c r="O95" s="1213">
        <f t="shared" ca="1" si="46"/>
        <v>9466</v>
      </c>
      <c r="P95" s="1213">
        <f ca="1">IF(AND($O$1&gt;=O95,換券單檔!$D$13=D95),I95+INT(($O$1-O95)/N95)*J95,0)</f>
        <v>102000</v>
      </c>
      <c r="Q95" s="1213">
        <f t="shared" ca="1" si="47"/>
        <v>4794</v>
      </c>
      <c r="R95" s="1213">
        <f t="shared" ca="1" si="48"/>
        <v>102000</v>
      </c>
      <c r="S95" s="1213">
        <f t="shared" ca="1" si="49"/>
        <v>4794</v>
      </c>
      <c r="T95" s="136">
        <f ca="1">IF(OR(R95=0,A95=0),0,IF(AND(V95=TRUE,換券單檔!$D$13=D95),E95,0))</f>
        <v>20.87</v>
      </c>
      <c r="U95" s="861">
        <f ca="1">IF(OR(R95=0,A95=0),0,IF(AND(V95=TRUE,換券單檔!$D$13=D95),H95,0))</f>
        <v>5.1700000000000003E-2</v>
      </c>
      <c r="V95" s="136" t="b">
        <f ca="1">IF(OR(B95=換券單檔!$D$3,L95="無",M95&lt;&gt;"",K95="高資產",IFERROR(MATCH(B95,換券單檔!K:K,0),"N")&lt;&gt;"N"),FALSE,IF($V$1="All",TRUE,IF(K95=$V$1,TRUE,FALSE)))</f>
        <v>1</v>
      </c>
      <c r="W95" s="136">
        <f ca="1">VLOOKUP(A95,'銀行-TSS'!A:AO,41,FALSE)</f>
        <v>91.03</v>
      </c>
      <c r="X95" s="136">
        <f ca="1">VLOOKUP(A95,'銀行-TSS'!A:AP,42,FALSE)</f>
        <v>12.7453</v>
      </c>
      <c r="Y95" s="1220">
        <f t="shared" ca="1" si="50"/>
        <v>11834.0875218</v>
      </c>
      <c r="Z95" s="1220">
        <f t="shared" ca="1" si="51"/>
        <v>-116.05941542884257</v>
      </c>
      <c r="AA95" s="136">
        <f ca="1">IF(Z95&lt;=0,0,RANK(Z95,Z:Z)+COUNTIF($Z$3:$Z95,Z95)-1)</f>
        <v>0</v>
      </c>
      <c r="AB95" s="1211">
        <f t="shared" ca="1" si="52"/>
        <v>-3062.0524781999993</v>
      </c>
      <c r="AC95" s="136">
        <f ca="1">IF(AB95&lt;=0,0,RANK(AB95,AB:AB)+COUNTIF($AB$3:$AB95,AB95)-1)</f>
        <v>0</v>
      </c>
      <c r="AD95" s="1123">
        <f t="shared" ca="1" si="53"/>
        <v>99999</v>
      </c>
      <c r="AE95" s="1123">
        <f ca="1">IF(AD95=99999,0,RANK(AD95,AD:AD,1)+COUNTIF($AD$3:$AD95,AD95)-1)</f>
        <v>0</v>
      </c>
      <c r="AF95" s="86" t="b">
        <f ca="1">IF(OR(M95&lt;&gt;"",L95="無",K95="高資產",IFERROR(MATCH(B95,換券單檔!K:K,0),"N")&lt;&gt;"N"),FALSE,TRUE)</f>
        <v>1</v>
      </c>
      <c r="AI95" s="1212">
        <f t="shared" ca="1" si="54"/>
        <v>102000</v>
      </c>
      <c r="AJ95" s="1213">
        <f t="shared" ca="1" si="55"/>
        <v>4794</v>
      </c>
      <c r="AK95" s="1587">
        <f t="shared" ca="1" si="56"/>
        <v>-116.05941542884257</v>
      </c>
      <c r="AN95" s="1212">
        <f t="shared" ca="1" si="57"/>
        <v>58000</v>
      </c>
      <c r="AO95" s="1213">
        <f t="shared" ca="1" si="58"/>
        <v>2726</v>
      </c>
      <c r="AP95" s="1587">
        <f t="shared" ca="1" si="59"/>
        <v>-82606.211787254433</v>
      </c>
      <c r="AS95" s="1212">
        <f t="shared" ca="1" si="60"/>
        <v>99000</v>
      </c>
      <c r="AT95" s="1213">
        <f t="shared" ca="1" si="61"/>
        <v>4653</v>
      </c>
      <c r="AU95" s="1587">
        <f t="shared" ca="1" si="62"/>
        <v>-2650.0440824149496</v>
      </c>
      <c r="AX95" s="1212">
        <f t="shared" ca="1" si="63"/>
        <v>91000</v>
      </c>
      <c r="AY95" s="1213">
        <f t="shared" ca="1" si="64"/>
        <v>4277</v>
      </c>
      <c r="AZ95" s="1587">
        <f t="shared" ca="1" si="65"/>
        <v>-18506.565884044085</v>
      </c>
      <c r="BC95" s="1212">
        <f t="shared" ca="1" si="66"/>
        <v>0</v>
      </c>
      <c r="BD95" s="1213">
        <f t="shared" ca="1" si="67"/>
        <v>0</v>
      </c>
      <c r="BE95" s="1587">
        <f t="shared" ca="1" si="68"/>
        <v>0</v>
      </c>
      <c r="BH95" s="1212">
        <f t="shared" ca="1" si="69"/>
        <v>0</v>
      </c>
      <c r="BI95" s="1213">
        <f t="shared" ca="1" si="70"/>
        <v>0</v>
      </c>
      <c r="BJ95" s="1587">
        <f t="shared" ca="1" si="71"/>
        <v>0</v>
      </c>
      <c r="BM95" s="1212">
        <f t="shared" ca="1" si="72"/>
        <v>0</v>
      </c>
      <c r="BN95" s="1213">
        <f t="shared" ca="1" si="73"/>
        <v>0</v>
      </c>
      <c r="BO95" s="1587">
        <f t="shared" ca="1" si="74"/>
        <v>0</v>
      </c>
      <c r="BR95" s="1212">
        <f t="shared" ca="1" si="75"/>
        <v>0</v>
      </c>
      <c r="BS95" s="1213">
        <f t="shared" ca="1" si="76"/>
        <v>0</v>
      </c>
      <c r="BT95" s="1587">
        <f t="shared" ca="1" si="77"/>
        <v>0</v>
      </c>
      <c r="BW95" s="1212">
        <f t="shared" ca="1" si="78"/>
        <v>0</v>
      </c>
      <c r="BX95" s="1213">
        <f t="shared" ca="1" si="79"/>
        <v>0</v>
      </c>
      <c r="BY95" s="1587">
        <f t="shared" ca="1" si="80"/>
        <v>0</v>
      </c>
      <c r="CB95" s="1212">
        <f t="shared" ca="1" si="81"/>
        <v>0</v>
      </c>
      <c r="CC95" s="1213">
        <f t="shared" ca="1" si="82"/>
        <v>0</v>
      </c>
      <c r="CD95" s="1587">
        <f t="shared" ca="1" si="83"/>
        <v>0</v>
      </c>
      <c r="CG95" s="1212">
        <f t="shared" ca="1" si="84"/>
        <v>0</v>
      </c>
      <c r="CH95" s="1213">
        <f t="shared" ca="1" si="85"/>
        <v>0</v>
      </c>
      <c r="CI95" s="1587">
        <f t="shared" ca="1" si="86"/>
        <v>0</v>
      </c>
      <c r="CL95" s="1212">
        <f t="shared" ca="1" si="87"/>
        <v>0</v>
      </c>
      <c r="CM95" s="1213">
        <f t="shared" ca="1" si="88"/>
        <v>0</v>
      </c>
      <c r="CN95" s="1587">
        <f t="shared" ca="1" si="89"/>
        <v>0</v>
      </c>
    </row>
    <row r="96" spans="1:92">
      <c r="A96" s="141" t="str">
        <f>'銀行-TSS'!A96</f>
        <v>US406216BK61</v>
      </c>
      <c r="B96" s="151" t="str">
        <f ca="1">VLOOKUP(A96,'銀行-TSS'!A:B,2,FALSE)</f>
        <v>XFW80</v>
      </c>
      <c r="C96" s="151" t="str">
        <f ca="1">VLOOKUP(B96,bond!B:C,2,FALSE)</f>
        <v>哈里伯頓公司美元配息債券 5% 2045/11/15</v>
      </c>
      <c r="D96" s="95" t="str">
        <f>VLOOKUP(A96,'銀行-TSS'!A:C,3,FALSE)</f>
        <v>USD</v>
      </c>
      <c r="E96" s="90">
        <f ca="1">VLOOKUP(A96,'銀行-TSS'!A:G,7,FALSE)</f>
        <v>21.37</v>
      </c>
      <c r="F96" s="202">
        <f ca="1">VLOOKUP(A96,'銀行-TSS'!A:H,8,FALSE)</f>
        <v>0.05</v>
      </c>
      <c r="G96" s="96">
        <f ca="1">VLOOKUP(A96,'銀行-TSS'!A:K,11,FALSE)</f>
        <v>94.77</v>
      </c>
      <c r="H96" s="1209">
        <f ca="1">VLOOKUP(A96,'銀行-TSS'!A:M,13,FALSE)</f>
        <v>5.4699999999999999E-2</v>
      </c>
      <c r="I96" s="1213">
        <f ca="1">VLOOKUP(A96,'銀行-TSS'!A:N,14,FALSE)</f>
        <v>10000</v>
      </c>
      <c r="J96" s="1213">
        <f ca="1">VLOOKUP(A96,'銀行-TSS'!A:O,15,FALSE)</f>
        <v>1000</v>
      </c>
      <c r="K96" s="136" t="str">
        <f ca="1">VLOOKUP(A96,'銀行-TSS'!A:V,22,FALSE)</f>
        <v>(NPI)非專投</v>
      </c>
      <c r="L96" s="136" t="str">
        <f ca="1">VLOOKUP(A96,'銀行-TSS'!A:AK,37,FALSE)</f>
        <v>需查詢</v>
      </c>
      <c r="M96" s="136" t="str">
        <f ca="1">VLOOKUP(A96,'銀行-TSS'!A:AN,40,FALSE)</f>
        <v/>
      </c>
      <c r="N96" s="136">
        <f t="shared" ca="1" si="45"/>
        <v>947.7</v>
      </c>
      <c r="O96" s="1213">
        <f t="shared" ca="1" si="46"/>
        <v>9477</v>
      </c>
      <c r="P96" s="1213">
        <f ca="1">IF(AND($O$1&gt;=O96,換券單檔!$D$13=D96),I96+INT(($O$1-O96)/N96)*J96,0)</f>
        <v>102000</v>
      </c>
      <c r="Q96" s="1213">
        <f t="shared" ca="1" si="47"/>
        <v>5100</v>
      </c>
      <c r="R96" s="1213">
        <f t="shared" ca="1" si="48"/>
        <v>102000</v>
      </c>
      <c r="S96" s="1213">
        <f t="shared" ca="1" si="49"/>
        <v>5100</v>
      </c>
      <c r="T96" s="136">
        <f ca="1">IF(OR(R96=0,A96=0),0,IF(AND(V96=TRUE,換券單檔!$D$13=D96),E96,0))</f>
        <v>21.37</v>
      </c>
      <c r="U96" s="861">
        <f ca="1">IF(OR(R96=0,A96=0),0,IF(AND(V96=TRUE,換券單檔!$D$13=D96),H96,0))</f>
        <v>5.4699999999999999E-2</v>
      </c>
      <c r="V96" s="136" t="b">
        <f ca="1">IF(OR(B96=換券單檔!$D$3,L96="無",M96&lt;&gt;"",K96="高資產",IFERROR(MATCH(B96,換券單檔!K:K,0),"N")&lt;&gt;"N"),FALSE,IF($V$1="All",TRUE,IF(K96=$V$1,TRUE,FALSE)))</f>
        <v>1</v>
      </c>
      <c r="W96" s="136">
        <f ca="1">VLOOKUP(A96,'銀行-TSS'!A:AO,41,FALSE)</f>
        <v>91.12</v>
      </c>
      <c r="X96" s="136">
        <f ca="1">VLOOKUP(A96,'銀行-TSS'!A:AP,42,FALSE)</f>
        <v>12.560600000000001</v>
      </c>
      <c r="Y96" s="1220">
        <f t="shared" ca="1" si="50"/>
        <v>11674.1230944</v>
      </c>
      <c r="Z96" s="1220">
        <f t="shared" ca="1" si="51"/>
        <v>779.24660739354499</v>
      </c>
      <c r="AA96" s="136">
        <f ca="1">IF(Z96&lt;=0,0,RANK(Z96,Z:Z)+COUNTIF($Z$3:$Z96,Z96)-1)</f>
        <v>16</v>
      </c>
      <c r="AB96" s="1211">
        <f t="shared" ca="1" si="52"/>
        <v>-3222.0169055999995</v>
      </c>
      <c r="AC96" s="136">
        <f ca="1">IF(AB96&lt;=0,0,RANK(AB96,AB:AB)+COUNTIF($AB$3:$AB96,AB96)-1)</f>
        <v>0</v>
      </c>
      <c r="AD96" s="1123">
        <f t="shared" ca="1" si="53"/>
        <v>99999</v>
      </c>
      <c r="AE96" s="1123">
        <f ca="1">IF(AD96=99999,0,RANK(AD96,AD:AD,1)+COUNTIF($AD$3:$AD96,AD96)-1)</f>
        <v>0</v>
      </c>
      <c r="AF96" s="86" t="b">
        <f ca="1">IF(OR(M96&lt;&gt;"",L96="無",K96="高資產",IFERROR(MATCH(B96,換券單檔!K:K,0),"N")&lt;&gt;"N"),FALSE,TRUE)</f>
        <v>1</v>
      </c>
      <c r="AI96" s="1212">
        <f t="shared" ca="1" si="54"/>
        <v>102000</v>
      </c>
      <c r="AJ96" s="1213">
        <f t="shared" ca="1" si="55"/>
        <v>5100</v>
      </c>
      <c r="AK96" s="1587">
        <f t="shared" ca="1" si="56"/>
        <v>779.24660739354499</v>
      </c>
      <c r="AN96" s="1212">
        <f t="shared" ca="1" si="57"/>
        <v>58000</v>
      </c>
      <c r="AO96" s="1213">
        <f t="shared" ca="1" si="58"/>
        <v>2900</v>
      </c>
      <c r="AP96" s="1587">
        <f t="shared" ca="1" si="59"/>
        <v>-82095.62470753392</v>
      </c>
      <c r="AS96" s="1212">
        <f t="shared" ca="1" si="60"/>
        <v>99000</v>
      </c>
      <c r="AT96" s="1213">
        <f t="shared" ca="1" si="61"/>
        <v>4950</v>
      </c>
      <c r="AU96" s="1587">
        <f t="shared" ca="1" si="62"/>
        <v>-1780.2643893308377</v>
      </c>
      <c r="AX96" s="1212">
        <f t="shared" ca="1" si="63"/>
        <v>91000</v>
      </c>
      <c r="AY96" s="1213">
        <f t="shared" ca="1" si="64"/>
        <v>4550</v>
      </c>
      <c r="AZ96" s="1587">
        <f t="shared" ca="1" si="65"/>
        <v>-17707.019185774454</v>
      </c>
      <c r="BC96" s="1212">
        <f t="shared" ca="1" si="66"/>
        <v>0</v>
      </c>
      <c r="BD96" s="1213">
        <f t="shared" ca="1" si="67"/>
        <v>0</v>
      </c>
      <c r="BE96" s="1587">
        <f t="shared" ca="1" si="68"/>
        <v>0</v>
      </c>
      <c r="BH96" s="1212">
        <f t="shared" ca="1" si="69"/>
        <v>0</v>
      </c>
      <c r="BI96" s="1213">
        <f t="shared" ca="1" si="70"/>
        <v>0</v>
      </c>
      <c r="BJ96" s="1587">
        <f t="shared" ca="1" si="71"/>
        <v>0</v>
      </c>
      <c r="BM96" s="1212">
        <f t="shared" ca="1" si="72"/>
        <v>0</v>
      </c>
      <c r="BN96" s="1213">
        <f t="shared" ca="1" si="73"/>
        <v>0</v>
      </c>
      <c r="BO96" s="1587">
        <f t="shared" ca="1" si="74"/>
        <v>0</v>
      </c>
      <c r="BR96" s="1212">
        <f t="shared" ca="1" si="75"/>
        <v>0</v>
      </c>
      <c r="BS96" s="1213">
        <f t="shared" ca="1" si="76"/>
        <v>0</v>
      </c>
      <c r="BT96" s="1587">
        <f t="shared" ca="1" si="77"/>
        <v>0</v>
      </c>
      <c r="BW96" s="1212">
        <f t="shared" ca="1" si="78"/>
        <v>0</v>
      </c>
      <c r="BX96" s="1213">
        <f t="shared" ca="1" si="79"/>
        <v>0</v>
      </c>
      <c r="BY96" s="1587">
        <f t="shared" ca="1" si="80"/>
        <v>0</v>
      </c>
      <c r="CB96" s="1212">
        <f t="shared" ca="1" si="81"/>
        <v>0</v>
      </c>
      <c r="CC96" s="1213">
        <f t="shared" ca="1" si="82"/>
        <v>0</v>
      </c>
      <c r="CD96" s="1587">
        <f t="shared" ca="1" si="83"/>
        <v>0</v>
      </c>
      <c r="CG96" s="1212">
        <f t="shared" ca="1" si="84"/>
        <v>0</v>
      </c>
      <c r="CH96" s="1213">
        <f t="shared" ca="1" si="85"/>
        <v>0</v>
      </c>
      <c r="CI96" s="1587">
        <f t="shared" ca="1" si="86"/>
        <v>0</v>
      </c>
      <c r="CL96" s="1212">
        <f t="shared" ca="1" si="87"/>
        <v>0</v>
      </c>
      <c r="CM96" s="1213">
        <f t="shared" ca="1" si="88"/>
        <v>0</v>
      </c>
      <c r="CN96" s="1587">
        <f t="shared" ca="1" si="89"/>
        <v>0</v>
      </c>
    </row>
    <row r="97" spans="1:92">
      <c r="A97" s="141" t="str">
        <f>'銀行-TSS'!A97</f>
        <v>US254687FM36</v>
      </c>
      <c r="B97" s="151" t="str">
        <f ca="1">VLOOKUP(A97,'銀行-TSS'!A:B,2,FALSE)</f>
        <v>XFW90</v>
      </c>
      <c r="C97" s="151" t="str">
        <f ca="1">VLOOKUP(B97,bond!B:C,2,FALSE)</f>
        <v>華特迪士尼公司美元配息債券 2.75% 2049/9/1</v>
      </c>
      <c r="D97" s="95" t="str">
        <f>VLOOKUP(A97,'銀行-TSS'!A:C,3,FALSE)</f>
        <v>USD</v>
      </c>
      <c r="E97" s="90">
        <f ca="1">VLOOKUP(A97,'銀行-TSS'!A:G,7,FALSE)</f>
        <v>25.17</v>
      </c>
      <c r="F97" s="202">
        <f ca="1">VLOOKUP(A97,'銀行-TSS'!A:H,8,FALSE)</f>
        <v>2.75E-2</v>
      </c>
      <c r="G97" s="96">
        <f ca="1">VLOOKUP(A97,'銀行-TSS'!A:K,11,FALSE)</f>
        <v>68.56</v>
      </c>
      <c r="H97" s="1209">
        <f ca="1">VLOOKUP(A97,'銀行-TSS'!A:M,13,FALSE)</f>
        <v>5.0299999999999997E-2</v>
      </c>
      <c r="I97" s="1213">
        <f ca="1">VLOOKUP(A97,'銀行-TSS'!A:N,14,FALSE)</f>
        <v>10000</v>
      </c>
      <c r="J97" s="1213">
        <f ca="1">VLOOKUP(A97,'銀行-TSS'!A:O,15,FALSE)</f>
        <v>1000</v>
      </c>
      <c r="K97" s="136" t="str">
        <f ca="1">VLOOKUP(A97,'銀行-TSS'!A:V,22,FALSE)</f>
        <v>(NPI)非專投</v>
      </c>
      <c r="L97" s="136" t="str">
        <f ca="1">VLOOKUP(A97,'銀行-TSS'!A:AK,37,FALSE)</f>
        <v>有</v>
      </c>
      <c r="M97" s="136" t="str">
        <f ca="1">VLOOKUP(A97,'銀行-TSS'!A:AN,40,FALSE)</f>
        <v/>
      </c>
      <c r="N97" s="136">
        <f t="shared" ca="1" si="45"/>
        <v>685.6</v>
      </c>
      <c r="O97" s="1213">
        <f t="shared" ca="1" si="46"/>
        <v>6856</v>
      </c>
      <c r="P97" s="1213">
        <f ca="1">IF(AND($O$1&gt;=O97,換券單檔!$D$13=D97),I97+INT(($O$1-O97)/N97)*J97,0)</f>
        <v>141000</v>
      </c>
      <c r="Q97" s="1213">
        <f t="shared" ca="1" si="47"/>
        <v>3877.5</v>
      </c>
      <c r="R97" s="1213">
        <f t="shared" ca="1" si="48"/>
        <v>141000</v>
      </c>
      <c r="S97" s="1213">
        <f t="shared" ca="1" si="49"/>
        <v>3877.5</v>
      </c>
      <c r="T97" s="136">
        <f ca="1">IF(OR(R97=0,A97=0),0,IF(AND(V97=TRUE,換券單檔!$D$13=D97),E97,0))</f>
        <v>25.17</v>
      </c>
      <c r="U97" s="861">
        <f ca="1">IF(OR(R97=0,A97=0),0,IF(AND(V97=TRUE,換券單檔!$D$13=D97),H97,0))</f>
        <v>5.0299999999999997E-2</v>
      </c>
      <c r="V97" s="136" t="b">
        <f ca="1">IF(OR(B97=換券單檔!$D$3,L97="無",M97&lt;&gt;"",K97="高資產",IFERROR(MATCH(B97,換券單檔!K:K,0),"N")&lt;&gt;"N"),FALSE,IF($V$1="All",TRUE,IF(K97=$V$1,TRUE,FALSE)))</f>
        <v>1</v>
      </c>
      <c r="W97" s="136">
        <f ca="1">VLOOKUP(A97,'銀行-TSS'!A:AO,41,FALSE)</f>
        <v>64.14</v>
      </c>
      <c r="X97" s="136">
        <f ca="1">VLOOKUP(A97,'銀行-TSS'!A:AP,42,FALSE)</f>
        <v>15.770099999999999</v>
      </c>
      <c r="Y97" s="1220">
        <f t="shared" ca="1" si="50"/>
        <v>14262.068417399998</v>
      </c>
      <c r="Z97" s="1220">
        <f t="shared" ca="1" si="51"/>
        <v>0</v>
      </c>
      <c r="AA97" s="136">
        <f ca="1">IF(Z97&lt;=0,0,RANK(Z97,Z:Z)+COUNTIF($Z$3:$Z97,Z97)-1)</f>
        <v>0</v>
      </c>
      <c r="AB97" s="1211">
        <f t="shared" ca="1" si="52"/>
        <v>-634.07158260000142</v>
      </c>
      <c r="AC97" s="136">
        <f ca="1">IF(AB97&lt;=0,0,RANK(AB97,AB:AB)+COUNTIF($AB$3:$AB97,AB97)-1)</f>
        <v>0</v>
      </c>
      <c r="AD97" s="1123">
        <f t="shared" ca="1" si="53"/>
        <v>99999</v>
      </c>
      <c r="AE97" s="1123">
        <f ca="1">IF(AD97=99999,0,RANK(AD97,AD:AD,1)+COUNTIF($AD$3:$AD97,AD97)-1)</f>
        <v>0</v>
      </c>
      <c r="AF97" s="86" t="b">
        <f ca="1">IF(OR(M97&lt;&gt;"",L97="無",K97="高資產",IFERROR(MATCH(B97,換券單檔!K:K,0),"N")&lt;&gt;"N"),FALSE,TRUE)</f>
        <v>1</v>
      </c>
      <c r="AI97" s="1212">
        <f t="shared" ca="1" si="54"/>
        <v>141000</v>
      </c>
      <c r="AJ97" s="1213">
        <f t="shared" ca="1" si="55"/>
        <v>3877.5</v>
      </c>
      <c r="AK97" s="1587">
        <f t="shared" ca="1" si="56"/>
        <v>0</v>
      </c>
      <c r="AN97" s="1212">
        <f t="shared" ca="1" si="57"/>
        <v>80000</v>
      </c>
      <c r="AO97" s="1213">
        <f t="shared" ca="1" si="58"/>
        <v>2200</v>
      </c>
      <c r="AP97" s="1587">
        <f t="shared" ca="1" si="59"/>
        <v>-40147.020262216924</v>
      </c>
      <c r="AS97" s="1212">
        <f t="shared" ca="1" si="60"/>
        <v>137000</v>
      </c>
      <c r="AT97" s="1213">
        <f t="shared" ca="1" si="61"/>
        <v>3767.5</v>
      </c>
      <c r="AU97" s="1587">
        <f t="shared" ca="1" si="62"/>
        <v>0</v>
      </c>
      <c r="AX97" s="1212">
        <f t="shared" ca="1" si="63"/>
        <v>126000</v>
      </c>
      <c r="AY97" s="1213">
        <f t="shared" ca="1" si="64"/>
        <v>3465</v>
      </c>
      <c r="AZ97" s="1587">
        <f t="shared" ca="1" si="65"/>
        <v>0</v>
      </c>
      <c r="BC97" s="1212">
        <f t="shared" ca="1" si="66"/>
        <v>0</v>
      </c>
      <c r="BD97" s="1213">
        <f t="shared" ca="1" si="67"/>
        <v>0</v>
      </c>
      <c r="BE97" s="1587">
        <f t="shared" ca="1" si="68"/>
        <v>0</v>
      </c>
      <c r="BH97" s="1212">
        <f t="shared" ca="1" si="69"/>
        <v>0</v>
      </c>
      <c r="BI97" s="1213">
        <f t="shared" ca="1" si="70"/>
        <v>0</v>
      </c>
      <c r="BJ97" s="1587">
        <f t="shared" ca="1" si="71"/>
        <v>0</v>
      </c>
      <c r="BM97" s="1212">
        <f t="shared" ca="1" si="72"/>
        <v>0</v>
      </c>
      <c r="BN97" s="1213">
        <f t="shared" ca="1" si="73"/>
        <v>0</v>
      </c>
      <c r="BO97" s="1587">
        <f t="shared" ca="1" si="74"/>
        <v>0</v>
      </c>
      <c r="BR97" s="1212">
        <f t="shared" ca="1" si="75"/>
        <v>0</v>
      </c>
      <c r="BS97" s="1213">
        <f t="shared" ca="1" si="76"/>
        <v>0</v>
      </c>
      <c r="BT97" s="1587">
        <f t="shared" ca="1" si="77"/>
        <v>0</v>
      </c>
      <c r="BW97" s="1212">
        <f t="shared" ca="1" si="78"/>
        <v>0</v>
      </c>
      <c r="BX97" s="1213">
        <f t="shared" ca="1" si="79"/>
        <v>0</v>
      </c>
      <c r="BY97" s="1587">
        <f t="shared" ca="1" si="80"/>
        <v>0</v>
      </c>
      <c r="CB97" s="1212">
        <f t="shared" ca="1" si="81"/>
        <v>0</v>
      </c>
      <c r="CC97" s="1213">
        <f t="shared" ca="1" si="82"/>
        <v>0</v>
      </c>
      <c r="CD97" s="1587">
        <f t="shared" ca="1" si="83"/>
        <v>0</v>
      </c>
      <c r="CG97" s="1212">
        <f t="shared" ca="1" si="84"/>
        <v>0</v>
      </c>
      <c r="CH97" s="1213">
        <f t="shared" ca="1" si="85"/>
        <v>0</v>
      </c>
      <c r="CI97" s="1587">
        <f t="shared" ca="1" si="86"/>
        <v>0</v>
      </c>
      <c r="CL97" s="1212">
        <f t="shared" ca="1" si="87"/>
        <v>0</v>
      </c>
      <c r="CM97" s="1213">
        <f t="shared" ca="1" si="88"/>
        <v>0</v>
      </c>
      <c r="CN97" s="1587">
        <f t="shared" ca="1" si="89"/>
        <v>0</v>
      </c>
    </row>
    <row r="98" spans="1:92">
      <c r="A98" s="141" t="str">
        <f>'銀行-TSS'!A98</f>
        <v>US50077LAB27</v>
      </c>
      <c r="B98" s="151" t="str">
        <f ca="1">VLOOKUP(A98,'銀行-TSS'!A:B,2,FALSE)</f>
        <v>XFX10</v>
      </c>
      <c r="C98" s="151" t="str">
        <f ca="1">VLOOKUP(B98,bond!B:C,2,FALSE)</f>
        <v>卡夫亨氏食品公司美元配息債券 4.375% 2046/6/1</v>
      </c>
      <c r="D98" s="95" t="str">
        <f>VLOOKUP(A98,'銀行-TSS'!A:C,3,FALSE)</f>
        <v>USD</v>
      </c>
      <c r="E98" s="90">
        <f ca="1">VLOOKUP(A98,'銀行-TSS'!A:G,7,FALSE)</f>
        <v>21.91</v>
      </c>
      <c r="F98" s="202">
        <f ca="1">VLOOKUP(A98,'銀行-TSS'!A:H,8,FALSE)</f>
        <v>4.3749999999999997E-2</v>
      </c>
      <c r="G98" s="96">
        <f ca="1">VLOOKUP(A98,'銀行-TSS'!A:K,11,FALSE)</f>
        <v>85.64</v>
      </c>
      <c r="H98" s="1209">
        <f ca="1">VLOOKUP(A98,'銀行-TSS'!A:M,13,FALSE)</f>
        <v>5.5399999999999998E-2</v>
      </c>
      <c r="I98" s="1213">
        <f ca="1">VLOOKUP(A98,'銀行-TSS'!A:N,14,FALSE)</f>
        <v>10000</v>
      </c>
      <c r="J98" s="1213">
        <f ca="1">VLOOKUP(A98,'銀行-TSS'!A:O,15,FALSE)</f>
        <v>1000</v>
      </c>
      <c r="K98" s="136" t="str">
        <f ca="1">VLOOKUP(A98,'銀行-TSS'!A:V,22,FALSE)</f>
        <v>(PI)專投</v>
      </c>
      <c r="L98" s="136" t="str">
        <f ca="1">VLOOKUP(A98,'銀行-TSS'!A:AK,37,FALSE)</f>
        <v>有</v>
      </c>
      <c r="M98" s="136" t="str">
        <f ca="1">VLOOKUP(A98,'銀行-TSS'!A:AN,40,FALSE)</f>
        <v/>
      </c>
      <c r="N98" s="136">
        <f t="shared" ca="1" si="45"/>
        <v>856.4</v>
      </c>
      <c r="O98" s="1213">
        <f t="shared" ca="1" si="46"/>
        <v>8564</v>
      </c>
      <c r="P98" s="1213">
        <f ca="1">IF(AND($O$1&gt;=O98,換券單檔!$D$13=D98),I98+INT(($O$1-O98)/N98)*J98,0)</f>
        <v>112000</v>
      </c>
      <c r="Q98" s="1213">
        <f t="shared" ca="1" si="47"/>
        <v>4900</v>
      </c>
      <c r="R98" s="1213">
        <f t="shared" ca="1" si="48"/>
        <v>112000</v>
      </c>
      <c r="S98" s="1213">
        <f t="shared" ca="1" si="49"/>
        <v>4900</v>
      </c>
      <c r="T98" s="136">
        <f ca="1">IF(OR(R98=0,A98=0),0,IF(AND(V98=TRUE,換券單檔!$D$13=D98),E98,0))</f>
        <v>21.91</v>
      </c>
      <c r="U98" s="861">
        <f ca="1">IF(OR(R98=0,A98=0),0,IF(AND(V98=TRUE,換券單檔!$D$13=D98),H98,0))</f>
        <v>5.5399999999999998E-2</v>
      </c>
      <c r="V98" s="136" t="b">
        <f ca="1">IF(OR(B98=換券單檔!$D$3,L98="無",M98&lt;&gt;"",K98="高資產",IFERROR(MATCH(B98,換券單檔!K:K,0),"N")&lt;&gt;"N"),FALSE,IF($V$1="All",TRUE,IF(K98=$V$1,TRUE,FALSE)))</f>
        <v>1</v>
      </c>
      <c r="W98" s="136">
        <f ca="1">VLOOKUP(A98,'銀行-TSS'!A:AO,41,FALSE)</f>
        <v>82.26</v>
      </c>
      <c r="X98" s="136">
        <f ca="1">VLOOKUP(A98,'銀行-TSS'!A:AP,42,FALSE)</f>
        <v>13.0779</v>
      </c>
      <c r="Y98" s="1220">
        <f t="shared" ca="1" si="50"/>
        <v>12048.826204800002</v>
      </c>
      <c r="Z98" s="1220">
        <f t="shared" ca="1" si="51"/>
        <v>420.42446371520123</v>
      </c>
      <c r="AA98" s="136">
        <f ca="1">IF(Z98&lt;=0,0,RANK(Z98,Z:Z)+COUNTIF($Z$3:$Z98,Z98)-1)</f>
        <v>19</v>
      </c>
      <c r="AB98" s="1211">
        <f t="shared" ca="1" si="52"/>
        <v>-2847.3137951999979</v>
      </c>
      <c r="AC98" s="136">
        <f ca="1">IF(AB98&lt;=0,0,RANK(AB98,AB:AB)+COUNTIF($AB$3:$AB98,AB98)-1)</f>
        <v>0</v>
      </c>
      <c r="AD98" s="1123">
        <f t="shared" ca="1" si="53"/>
        <v>99999</v>
      </c>
      <c r="AE98" s="1123">
        <f ca="1">IF(AD98=99999,0,RANK(AD98,AD:AD,1)+COUNTIF($AD$3:$AD98,AD98)-1)</f>
        <v>0</v>
      </c>
      <c r="AF98" s="86" t="b">
        <f ca="1">IF(OR(M98&lt;&gt;"",L98="無",K98="高資產",IFERROR(MATCH(B98,換券單檔!K:K,0),"N")&lt;&gt;"N"),FALSE,TRUE)</f>
        <v>1</v>
      </c>
      <c r="AI98" s="1212">
        <f t="shared" ca="1" si="54"/>
        <v>112000</v>
      </c>
      <c r="AJ98" s="1213">
        <f t="shared" ca="1" si="55"/>
        <v>4900</v>
      </c>
      <c r="AK98" s="1587">
        <f t="shared" ca="1" si="56"/>
        <v>420.42446371520123</v>
      </c>
      <c r="AN98" s="1212">
        <f t="shared" ca="1" si="57"/>
        <v>64000</v>
      </c>
      <c r="AO98" s="1213">
        <f t="shared" ca="1" si="58"/>
        <v>2800</v>
      </c>
      <c r="AP98" s="1587">
        <f t="shared" ca="1" si="59"/>
        <v>-70387.654039251487</v>
      </c>
      <c r="AS98" s="1212">
        <f t="shared" ca="1" si="60"/>
        <v>110000</v>
      </c>
      <c r="AT98" s="1213">
        <f t="shared" ca="1" si="61"/>
        <v>4812.5</v>
      </c>
      <c r="AU98" s="1587">
        <f t="shared" ca="1" si="62"/>
        <v>44.985166590597885</v>
      </c>
      <c r="AX98" s="1212">
        <f t="shared" ca="1" si="63"/>
        <v>101000</v>
      </c>
      <c r="AY98" s="1213">
        <f t="shared" ca="1" si="64"/>
        <v>4418.75</v>
      </c>
      <c r="AZ98" s="1587">
        <f t="shared" ca="1" si="65"/>
        <v>-68.789936102239096</v>
      </c>
      <c r="BC98" s="1212">
        <f t="shared" ca="1" si="66"/>
        <v>0</v>
      </c>
      <c r="BD98" s="1213">
        <f t="shared" ca="1" si="67"/>
        <v>0</v>
      </c>
      <c r="BE98" s="1587">
        <f t="shared" ca="1" si="68"/>
        <v>0</v>
      </c>
      <c r="BH98" s="1212">
        <f t="shared" ca="1" si="69"/>
        <v>0</v>
      </c>
      <c r="BI98" s="1213">
        <f t="shared" ca="1" si="70"/>
        <v>0</v>
      </c>
      <c r="BJ98" s="1587">
        <f t="shared" ca="1" si="71"/>
        <v>0</v>
      </c>
      <c r="BM98" s="1212">
        <f t="shared" ca="1" si="72"/>
        <v>0</v>
      </c>
      <c r="BN98" s="1213">
        <f t="shared" ca="1" si="73"/>
        <v>0</v>
      </c>
      <c r="BO98" s="1587">
        <f t="shared" ca="1" si="74"/>
        <v>0</v>
      </c>
      <c r="BR98" s="1212">
        <f t="shared" ca="1" si="75"/>
        <v>0</v>
      </c>
      <c r="BS98" s="1213">
        <f t="shared" ca="1" si="76"/>
        <v>0</v>
      </c>
      <c r="BT98" s="1587">
        <f t="shared" ca="1" si="77"/>
        <v>0</v>
      </c>
      <c r="BW98" s="1212">
        <f t="shared" ca="1" si="78"/>
        <v>0</v>
      </c>
      <c r="BX98" s="1213">
        <f t="shared" ca="1" si="79"/>
        <v>0</v>
      </c>
      <c r="BY98" s="1587">
        <f t="shared" ca="1" si="80"/>
        <v>0</v>
      </c>
      <c r="CB98" s="1212">
        <f t="shared" ca="1" si="81"/>
        <v>0</v>
      </c>
      <c r="CC98" s="1213">
        <f t="shared" ca="1" si="82"/>
        <v>0</v>
      </c>
      <c r="CD98" s="1587">
        <f t="shared" ca="1" si="83"/>
        <v>0</v>
      </c>
      <c r="CG98" s="1212">
        <f t="shared" ca="1" si="84"/>
        <v>0</v>
      </c>
      <c r="CH98" s="1213">
        <f t="shared" ca="1" si="85"/>
        <v>0</v>
      </c>
      <c r="CI98" s="1587">
        <f t="shared" ca="1" si="86"/>
        <v>0</v>
      </c>
      <c r="CL98" s="1212">
        <f t="shared" ca="1" si="87"/>
        <v>0</v>
      </c>
      <c r="CM98" s="1213">
        <f t="shared" ca="1" si="88"/>
        <v>0</v>
      </c>
      <c r="CN98" s="1587">
        <f t="shared" ca="1" si="89"/>
        <v>0</v>
      </c>
    </row>
    <row r="99" spans="1:92">
      <c r="A99" s="141" t="str">
        <f>'銀行-TSS'!A99</f>
        <v>USY52758AD47</v>
      </c>
      <c r="B99" s="151" t="str">
        <f ca="1">VLOOKUP(A99,'銀行-TSS'!A:B,2,FALSE)</f>
        <v>XFX20</v>
      </c>
      <c r="C99" s="151" t="str">
        <f ca="1">VLOOKUP(B99,bond!B:C,2,FALSE)</f>
        <v>LG化學公司美元配息債券 3.625% 2029/4/15</v>
      </c>
      <c r="D99" s="95" t="str">
        <f>VLOOKUP(A99,'銀行-TSS'!A:C,3,FALSE)</f>
        <v>USD</v>
      </c>
      <c r="E99" s="90">
        <f ca="1">VLOOKUP(A99,'銀行-TSS'!A:G,7,FALSE)</f>
        <v>4.79</v>
      </c>
      <c r="F99" s="202">
        <f ca="1">VLOOKUP(A99,'銀行-TSS'!A:H,8,FALSE)</f>
        <v>3.6249999999999998E-2</v>
      </c>
      <c r="G99" s="96">
        <f ca="1">VLOOKUP(A99,'銀行-TSS'!A:K,11,FALSE)</f>
        <v>96.97</v>
      </c>
      <c r="H99" s="1209">
        <f ca="1">VLOOKUP(A99,'銀行-TSS'!A:M,13,FALSE)</f>
        <v>4.5199999999999997E-2</v>
      </c>
      <c r="I99" s="1213">
        <f ca="1">VLOOKUP(A99,'銀行-TSS'!A:N,14,FALSE)</f>
        <v>200000</v>
      </c>
      <c r="J99" s="1213">
        <f ca="1">VLOOKUP(A99,'銀行-TSS'!A:O,15,FALSE)</f>
        <v>1000</v>
      </c>
      <c r="K99" s="136" t="str">
        <f ca="1">VLOOKUP(A99,'銀行-TSS'!A:V,22,FALSE)</f>
        <v>(NPI)非專投</v>
      </c>
      <c r="L99" s="136" t="str">
        <f ca="1">VLOOKUP(A99,'銀行-TSS'!A:AK,37,FALSE)</f>
        <v>需查詢</v>
      </c>
      <c r="M99" s="136" t="str">
        <f ca="1">VLOOKUP(A99,'銀行-TSS'!A:AN,40,FALSE)</f>
        <v/>
      </c>
      <c r="N99" s="136">
        <f t="shared" ca="1" si="45"/>
        <v>969.7</v>
      </c>
      <c r="O99" s="1213">
        <f t="shared" ca="1" si="46"/>
        <v>193940</v>
      </c>
      <c r="P99" s="1213">
        <f ca="1">IF(AND($O$1&gt;=O99,換券單檔!$D$13=D99),I99+INT(($O$1-O99)/N99)*J99,0)</f>
        <v>0</v>
      </c>
      <c r="Q99" s="1213">
        <f t="shared" ca="1" si="47"/>
        <v>0</v>
      </c>
      <c r="R99" s="1213">
        <f t="shared" ca="1" si="48"/>
        <v>0</v>
      </c>
      <c r="S99" s="1213">
        <f t="shared" ca="1" si="49"/>
        <v>0</v>
      </c>
      <c r="T99" s="136">
        <f ca="1">IF(OR(R99=0,A99=0),0,IF(AND(V99=TRUE,換券單檔!$D$13=D99),E99,0))</f>
        <v>0</v>
      </c>
      <c r="U99" s="861">
        <f ca="1">IF(OR(R99=0,A99=0),0,IF(AND(V99=TRUE,換券單檔!$D$13=D99),H99,0))</f>
        <v>0</v>
      </c>
      <c r="V99" s="136" t="b">
        <f ca="1">IF(OR(B99=換券單檔!$D$3,L99="無",M99&lt;&gt;"",K99="高資產",IFERROR(MATCH(B99,換券單檔!K:K,0),"N")&lt;&gt;"N"),FALSE,IF($V$1="All",TRUE,IF(K99=$V$1,TRUE,FALSE)))</f>
        <v>1</v>
      </c>
      <c r="W99" s="136">
        <f ca="1">VLOOKUP(A99,'銀行-TSS'!A:AO,41,FALSE)</f>
        <v>94.190000000000012</v>
      </c>
      <c r="X99" s="136">
        <f ca="1">VLOOKUP(A99,'銀行-TSS'!A:AP,42,FALSE)</f>
        <v>4.2846000000000002</v>
      </c>
      <c r="Y99" s="1220">
        <f t="shared" ca="1" si="50"/>
        <v>0</v>
      </c>
      <c r="Z99" s="1220">
        <f t="shared" ca="1" si="51"/>
        <v>0</v>
      </c>
      <c r="AA99" s="136">
        <f ca="1">IF(Z99&lt;=0,0,RANK(Z99,Z:Z)+COUNTIF($Z$3:$Z99,Z99)-1)</f>
        <v>0</v>
      </c>
      <c r="AB99" s="1211">
        <f t="shared" ca="1" si="52"/>
        <v>-114896.14</v>
      </c>
      <c r="AC99" s="136">
        <f ca="1">IF(AB99&lt;=0,0,RANK(AB99,AB:AB)+COUNTIF($AB$3:$AB99,AB99)-1)</f>
        <v>0</v>
      </c>
      <c r="AD99" s="1123">
        <f t="shared" ca="1" si="53"/>
        <v>99999</v>
      </c>
      <c r="AE99" s="1123">
        <f ca="1">IF(AD99=99999,0,RANK(AD99,AD:AD,1)+COUNTIF($AD$3:$AD99,AD99)-1)</f>
        <v>0</v>
      </c>
      <c r="AF99" s="86" t="b">
        <f ca="1">IF(OR(M99&lt;&gt;"",L99="無",K99="高資產",IFERROR(MATCH(B99,換券單檔!K:K,0),"N")&lt;&gt;"N"),FALSE,TRUE)</f>
        <v>1</v>
      </c>
      <c r="AI99" s="1212">
        <f t="shared" ca="1" si="54"/>
        <v>0</v>
      </c>
      <c r="AJ99" s="1213">
        <f t="shared" ca="1" si="55"/>
        <v>0</v>
      </c>
      <c r="AK99" s="1587">
        <f t="shared" ca="1" si="56"/>
        <v>0</v>
      </c>
      <c r="AN99" s="1212">
        <f t="shared" ca="1" si="57"/>
        <v>0</v>
      </c>
      <c r="AO99" s="1213">
        <f t="shared" ca="1" si="58"/>
        <v>0</v>
      </c>
      <c r="AP99" s="1587">
        <f t="shared" ca="1" si="59"/>
        <v>0</v>
      </c>
      <c r="AS99" s="1212">
        <f t="shared" ca="1" si="60"/>
        <v>0</v>
      </c>
      <c r="AT99" s="1213">
        <f t="shared" ca="1" si="61"/>
        <v>0</v>
      </c>
      <c r="AU99" s="1587">
        <f t="shared" ca="1" si="62"/>
        <v>0</v>
      </c>
      <c r="AX99" s="1212">
        <f t="shared" ca="1" si="63"/>
        <v>0</v>
      </c>
      <c r="AY99" s="1213">
        <f t="shared" ca="1" si="64"/>
        <v>0</v>
      </c>
      <c r="AZ99" s="1587">
        <f t="shared" ca="1" si="65"/>
        <v>0</v>
      </c>
      <c r="BC99" s="1212">
        <f t="shared" ca="1" si="66"/>
        <v>0</v>
      </c>
      <c r="BD99" s="1213">
        <f t="shared" ca="1" si="67"/>
        <v>0</v>
      </c>
      <c r="BE99" s="1587">
        <f t="shared" ca="1" si="68"/>
        <v>0</v>
      </c>
      <c r="BH99" s="1212">
        <f t="shared" ca="1" si="69"/>
        <v>0</v>
      </c>
      <c r="BI99" s="1213">
        <f t="shared" ca="1" si="70"/>
        <v>0</v>
      </c>
      <c r="BJ99" s="1587">
        <f t="shared" ca="1" si="71"/>
        <v>0</v>
      </c>
      <c r="BM99" s="1212">
        <f t="shared" ca="1" si="72"/>
        <v>0</v>
      </c>
      <c r="BN99" s="1213">
        <f t="shared" ca="1" si="73"/>
        <v>0</v>
      </c>
      <c r="BO99" s="1587">
        <f t="shared" ca="1" si="74"/>
        <v>0</v>
      </c>
      <c r="BR99" s="1212">
        <f t="shared" ca="1" si="75"/>
        <v>0</v>
      </c>
      <c r="BS99" s="1213">
        <f t="shared" ca="1" si="76"/>
        <v>0</v>
      </c>
      <c r="BT99" s="1587">
        <f t="shared" ca="1" si="77"/>
        <v>0</v>
      </c>
      <c r="BW99" s="1212">
        <f t="shared" ca="1" si="78"/>
        <v>0</v>
      </c>
      <c r="BX99" s="1213">
        <f t="shared" ca="1" si="79"/>
        <v>0</v>
      </c>
      <c r="BY99" s="1587">
        <f t="shared" ca="1" si="80"/>
        <v>0</v>
      </c>
      <c r="CB99" s="1212">
        <f t="shared" ca="1" si="81"/>
        <v>0</v>
      </c>
      <c r="CC99" s="1213">
        <f t="shared" ca="1" si="82"/>
        <v>0</v>
      </c>
      <c r="CD99" s="1587">
        <f t="shared" ca="1" si="83"/>
        <v>0</v>
      </c>
      <c r="CG99" s="1212">
        <f t="shared" ca="1" si="84"/>
        <v>0</v>
      </c>
      <c r="CH99" s="1213">
        <f t="shared" ca="1" si="85"/>
        <v>0</v>
      </c>
      <c r="CI99" s="1587">
        <f t="shared" ca="1" si="86"/>
        <v>0</v>
      </c>
      <c r="CL99" s="1212">
        <f t="shared" ca="1" si="87"/>
        <v>0</v>
      </c>
      <c r="CM99" s="1213">
        <f t="shared" ca="1" si="88"/>
        <v>0</v>
      </c>
      <c r="CN99" s="1587">
        <f t="shared" ca="1" si="89"/>
        <v>0</v>
      </c>
    </row>
    <row r="100" spans="1:92">
      <c r="A100" s="141" t="str">
        <f>'銀行-TSS'!A100</f>
        <v>USN8438JAB46</v>
      </c>
      <c r="B100" s="151" t="str">
        <f ca="1">VLOOKUP(A100,'銀行-TSS'!A:B,2,FALSE)</f>
        <v>XFX30</v>
      </c>
      <c r="C100" s="151" t="str">
        <f ca="1">VLOOKUP(B100,bond!B:C,2,FALSE)</f>
        <v>Fibria海外金融有限公司美元配息債券 5.5% 2027/1/17</v>
      </c>
      <c r="D100" s="95" t="str">
        <f>VLOOKUP(A100,'銀行-TSS'!A:C,3,FALSE)</f>
        <v>USD</v>
      </c>
      <c r="E100" s="90">
        <f ca="1">VLOOKUP(A100,'銀行-TSS'!A:G,7,FALSE)</f>
        <v>2.54</v>
      </c>
      <c r="F100" s="202">
        <f ca="1">VLOOKUP(A100,'銀行-TSS'!A:H,8,FALSE)</f>
        <v>5.5E-2</v>
      </c>
      <c r="G100" s="96">
        <f ca="1">VLOOKUP(A100,'銀行-TSS'!A:K,11,FALSE)</f>
        <v>104.87</v>
      </c>
      <c r="H100" s="1209">
        <f ca="1">VLOOKUP(A100,'銀行-TSS'!A:M,13,FALSE)</f>
        <v>4.5100000000000001E-2</v>
      </c>
      <c r="I100" s="1213">
        <f ca="1">VLOOKUP(A100,'銀行-TSS'!A:N,14,FALSE)</f>
        <v>10000</v>
      </c>
      <c r="J100" s="1213">
        <f ca="1">VLOOKUP(A100,'銀行-TSS'!A:O,15,FALSE)</f>
        <v>1000</v>
      </c>
      <c r="K100" s="136" t="str">
        <f ca="1">VLOOKUP(A100,'銀行-TSS'!A:V,22,FALSE)</f>
        <v>(PI)專投</v>
      </c>
      <c r="L100" s="136" t="str">
        <f ca="1">VLOOKUP(A100,'銀行-TSS'!A:AK,37,FALSE)</f>
        <v>有</v>
      </c>
      <c r="M100" s="136" t="str">
        <f ca="1">VLOOKUP(A100,'銀行-TSS'!A:AN,40,FALSE)</f>
        <v>XFX30</v>
      </c>
      <c r="N100" s="136">
        <f t="shared" ca="1" si="45"/>
        <v>1048.7</v>
      </c>
      <c r="O100" s="1213">
        <f t="shared" ca="1" si="46"/>
        <v>10487</v>
      </c>
      <c r="P100" s="1213">
        <f ca="1">IF(AND($O$1&gt;=O100,換券單檔!$D$13=D100),I100+INT(($O$1-O100)/N100)*J100,0)</f>
        <v>92000</v>
      </c>
      <c r="Q100" s="1213">
        <f t="shared" ca="1" si="47"/>
        <v>5060</v>
      </c>
      <c r="R100" s="1213">
        <f t="shared" ca="1" si="48"/>
        <v>0</v>
      </c>
      <c r="S100" s="1213">
        <f t="shared" ca="1" si="49"/>
        <v>0</v>
      </c>
      <c r="T100" s="136">
        <f ca="1">IF(OR(R100=0,A100=0),0,IF(AND(V100=TRUE,換券單檔!$D$13=D100),E100,0))</f>
        <v>0</v>
      </c>
      <c r="U100" s="861">
        <f ca="1">IF(OR(R100=0,A100=0),0,IF(AND(V100=TRUE,換券單檔!$D$13=D100),H100,0))</f>
        <v>0</v>
      </c>
      <c r="V100" s="136" t="b">
        <f ca="1">IF(OR(B100=換券單檔!$D$3,L100="無",M100&lt;&gt;"",K100="高資產",IFERROR(MATCH(B100,換券單檔!K:K,0),"N")&lt;&gt;"N"),FALSE,IF($V$1="All",TRUE,IF(K100=$V$1,TRUE,FALSE)))</f>
        <v>0</v>
      </c>
      <c r="W100" s="136">
        <f ca="1">VLOOKUP(A100,'銀行-TSS'!A:AO,41,FALSE)</f>
        <v>100.35000000000001</v>
      </c>
      <c r="X100" s="136">
        <f ca="1">VLOOKUP(A100,'銀行-TSS'!A:AP,42,FALSE)</f>
        <v>2.2898000000000001</v>
      </c>
      <c r="Y100" s="1220">
        <f t="shared" ca="1" si="50"/>
        <v>0</v>
      </c>
      <c r="Z100" s="1220">
        <f t="shared" ca="1" si="51"/>
        <v>0</v>
      </c>
      <c r="AA100" s="136">
        <f ca="1">IF(Z100&lt;=0,0,RANK(Z100,Z:Z)+COUNTIF($Z$3:$Z100,Z100)-1)</f>
        <v>0</v>
      </c>
      <c r="AB100" s="1211">
        <f t="shared" ca="1" si="52"/>
        <v>-14896.14</v>
      </c>
      <c r="AC100" s="136">
        <f ca="1">IF(AB100&lt;=0,0,RANK(AB100,AB:AB)+COUNTIF($AB$3:$AB100,AB100)-1)</f>
        <v>0</v>
      </c>
      <c r="AD100" s="1123">
        <f t="shared" ca="1" si="53"/>
        <v>99999</v>
      </c>
      <c r="AE100" s="1123">
        <f ca="1">IF(AD100=99999,0,RANK(AD100,AD:AD,1)+COUNTIF($AD$3:$AD100,AD100)-1)</f>
        <v>0</v>
      </c>
      <c r="AF100" s="86" t="b">
        <f ca="1">IF(OR(M100&lt;&gt;"",L100="無",K100="高資產",IFERROR(MATCH(B100,換券單檔!K:K,0),"N")&lt;&gt;"N"),FALSE,TRUE)</f>
        <v>0</v>
      </c>
      <c r="AI100" s="1212">
        <f t="shared" ca="1" si="54"/>
        <v>0</v>
      </c>
      <c r="AJ100" s="1213">
        <f t="shared" ca="1" si="55"/>
        <v>0</v>
      </c>
      <c r="AK100" s="1587">
        <f t="shared" ca="1" si="56"/>
        <v>0</v>
      </c>
      <c r="AN100" s="1212">
        <f t="shared" ca="1" si="57"/>
        <v>0</v>
      </c>
      <c r="AO100" s="1213">
        <f t="shared" ca="1" si="58"/>
        <v>0</v>
      </c>
      <c r="AP100" s="1587">
        <f t="shared" ca="1" si="59"/>
        <v>0</v>
      </c>
      <c r="AS100" s="1212">
        <f t="shared" ca="1" si="60"/>
        <v>0</v>
      </c>
      <c r="AT100" s="1213">
        <f t="shared" ca="1" si="61"/>
        <v>0</v>
      </c>
      <c r="AU100" s="1587">
        <f t="shared" ca="1" si="62"/>
        <v>0</v>
      </c>
      <c r="AX100" s="1212">
        <f t="shared" ca="1" si="63"/>
        <v>0</v>
      </c>
      <c r="AY100" s="1213">
        <f t="shared" ca="1" si="64"/>
        <v>0</v>
      </c>
      <c r="AZ100" s="1587">
        <f t="shared" ca="1" si="65"/>
        <v>0</v>
      </c>
      <c r="BC100" s="1212">
        <f t="shared" ca="1" si="66"/>
        <v>0</v>
      </c>
      <c r="BD100" s="1213">
        <f t="shared" ca="1" si="67"/>
        <v>0</v>
      </c>
      <c r="BE100" s="1587">
        <f t="shared" ca="1" si="68"/>
        <v>0</v>
      </c>
      <c r="BH100" s="1212">
        <f t="shared" ca="1" si="69"/>
        <v>0</v>
      </c>
      <c r="BI100" s="1213">
        <f t="shared" ca="1" si="70"/>
        <v>0</v>
      </c>
      <c r="BJ100" s="1587">
        <f t="shared" ca="1" si="71"/>
        <v>0</v>
      </c>
      <c r="BM100" s="1212">
        <f t="shared" ca="1" si="72"/>
        <v>0</v>
      </c>
      <c r="BN100" s="1213">
        <f t="shared" ca="1" si="73"/>
        <v>0</v>
      </c>
      <c r="BO100" s="1587">
        <f t="shared" ca="1" si="74"/>
        <v>0</v>
      </c>
      <c r="BR100" s="1212">
        <f t="shared" ca="1" si="75"/>
        <v>0</v>
      </c>
      <c r="BS100" s="1213">
        <f t="shared" ca="1" si="76"/>
        <v>0</v>
      </c>
      <c r="BT100" s="1587">
        <f t="shared" ca="1" si="77"/>
        <v>0</v>
      </c>
      <c r="BW100" s="1212">
        <f t="shared" ca="1" si="78"/>
        <v>0</v>
      </c>
      <c r="BX100" s="1213">
        <f t="shared" ca="1" si="79"/>
        <v>0</v>
      </c>
      <c r="BY100" s="1587">
        <f t="shared" ca="1" si="80"/>
        <v>0</v>
      </c>
      <c r="CB100" s="1212">
        <f t="shared" ca="1" si="81"/>
        <v>0</v>
      </c>
      <c r="CC100" s="1213">
        <f t="shared" ca="1" si="82"/>
        <v>0</v>
      </c>
      <c r="CD100" s="1587">
        <f t="shared" ca="1" si="83"/>
        <v>0</v>
      </c>
      <c r="CG100" s="1212">
        <f t="shared" ca="1" si="84"/>
        <v>0</v>
      </c>
      <c r="CH100" s="1213">
        <f t="shared" ca="1" si="85"/>
        <v>0</v>
      </c>
      <c r="CI100" s="1587">
        <f t="shared" ca="1" si="86"/>
        <v>0</v>
      </c>
      <c r="CL100" s="1212">
        <f t="shared" ca="1" si="87"/>
        <v>0</v>
      </c>
      <c r="CM100" s="1213">
        <f t="shared" ca="1" si="88"/>
        <v>0</v>
      </c>
      <c r="CN100" s="1587">
        <f t="shared" ca="1" si="89"/>
        <v>0</v>
      </c>
    </row>
    <row r="101" spans="1:92">
      <c r="A101" s="141" t="str">
        <f>'銀行-TSS'!A101</f>
        <v>US428236BR31</v>
      </c>
      <c r="B101" s="151" t="str">
        <f ca="1">VLOOKUP(A101,'銀行-TSS'!A:B,2,FALSE)</f>
        <v>XFX60</v>
      </c>
      <c r="C101" s="151" t="str">
        <f ca="1">VLOOKUP(B101,bond!B:C,2,FALSE)</f>
        <v>惠普公司美元配息債券 6% 2041/9/15</v>
      </c>
      <c r="D101" s="95" t="str">
        <f>VLOOKUP(A101,'銀行-TSS'!A:C,3,FALSE)</f>
        <v>USD</v>
      </c>
      <c r="E101" s="90">
        <f ca="1">VLOOKUP(A101,'銀行-TSS'!A:G,7,FALSE)</f>
        <v>17.2</v>
      </c>
      <c r="F101" s="202">
        <f ca="1">VLOOKUP(A101,'銀行-TSS'!A:H,8,FALSE)</f>
        <v>0.06</v>
      </c>
      <c r="G101" s="96">
        <f ca="1">VLOOKUP(A101,'銀行-TSS'!A:K,11,FALSE)</f>
        <v>107.57</v>
      </c>
      <c r="H101" s="1209">
        <f ca="1">VLOOKUP(A101,'銀行-TSS'!A:M,13,FALSE)</f>
        <v>5.4800000000000001E-2</v>
      </c>
      <c r="I101" s="1213">
        <f ca="1">VLOOKUP(A101,'銀行-TSS'!A:N,14,FALSE)</f>
        <v>10000</v>
      </c>
      <c r="J101" s="1213">
        <f ca="1">VLOOKUP(A101,'銀行-TSS'!A:O,15,FALSE)</f>
        <v>1000</v>
      </c>
      <c r="K101" s="136" t="str">
        <f ca="1">VLOOKUP(A101,'銀行-TSS'!A:V,22,FALSE)</f>
        <v>(PI)專投</v>
      </c>
      <c r="L101" s="136" t="str">
        <f ca="1">VLOOKUP(A101,'銀行-TSS'!A:AK,37,FALSE)</f>
        <v>有</v>
      </c>
      <c r="M101" s="136" t="str">
        <f ca="1">VLOOKUP(A101,'銀行-TSS'!A:AN,40,FALSE)</f>
        <v/>
      </c>
      <c r="N101" s="136">
        <f t="shared" ca="1" si="45"/>
        <v>1075.7</v>
      </c>
      <c r="O101" s="1213">
        <f t="shared" ca="1" si="46"/>
        <v>10757</v>
      </c>
      <c r="P101" s="1213">
        <f ca="1">IF(AND($O$1&gt;=O101,換券單檔!$D$13=D101),I101+INT(($O$1-O101)/N101)*J101,0)</f>
        <v>89000</v>
      </c>
      <c r="Q101" s="1213">
        <f t="shared" ca="1" si="47"/>
        <v>5340</v>
      </c>
      <c r="R101" s="1213">
        <f t="shared" ca="1" si="48"/>
        <v>89000</v>
      </c>
      <c r="S101" s="1213">
        <f t="shared" ca="1" si="49"/>
        <v>5340</v>
      </c>
      <c r="T101" s="136">
        <f ca="1">IF(OR(R101=0,A101=0),0,IF(AND(V101=TRUE,換券單檔!$D$13=D101),E101,0))</f>
        <v>17.2</v>
      </c>
      <c r="U101" s="861">
        <f ca="1">IF(OR(R101=0,A101=0),0,IF(AND(V101=TRUE,換券單檔!$D$13=D101),H101,0))</f>
        <v>5.4800000000000001E-2</v>
      </c>
      <c r="V101" s="136" t="b">
        <f ca="1">IF(OR(B101=換券單檔!$D$3,L101="無",M101&lt;&gt;"",K101="高資產",IFERROR(MATCH(B101,換券單檔!K:K,0),"N")&lt;&gt;"N"),FALSE,IF($V$1="All",TRUE,IF(K101=$V$1,TRUE,FALSE)))</f>
        <v>1</v>
      </c>
      <c r="W101" s="136">
        <f ca="1">VLOOKUP(A101,'銀行-TSS'!A:AO,41,FALSE)</f>
        <v>102.79</v>
      </c>
      <c r="X101" s="136">
        <f ca="1">VLOOKUP(A101,'銀行-TSS'!A:AP,42,FALSE)</f>
        <v>10.600199999999999</v>
      </c>
      <c r="Y101" s="1220">
        <f t="shared" ca="1" si="50"/>
        <v>9697.3915661999999</v>
      </c>
      <c r="Z101" s="1220">
        <f t="shared" ca="1" si="51"/>
        <v>-20572.732558139531</v>
      </c>
      <c r="AA101" s="136">
        <f ca="1">IF(Z101&lt;=0,0,RANK(Z101,Z:Z)+COUNTIF($Z$3:$Z101,Z101)-1)</f>
        <v>0</v>
      </c>
      <c r="AB101" s="1211">
        <f t="shared" ca="1" si="52"/>
        <v>-16198.748433799999</v>
      </c>
      <c r="AC101" s="136">
        <f ca="1">IF(AB101&lt;=0,0,RANK(AB101,AB:AB)+COUNTIF($AB$3:$AB101,AB101)-1)</f>
        <v>0</v>
      </c>
      <c r="AD101" s="1123">
        <f t="shared" ca="1" si="53"/>
        <v>99999</v>
      </c>
      <c r="AE101" s="1123">
        <f ca="1">IF(AD101=99999,0,RANK(AD101,AD:AD,1)+COUNTIF($AD$3:$AD101,AD101)-1)</f>
        <v>0</v>
      </c>
      <c r="AF101" s="86" t="b">
        <f ca="1">IF(OR(M101&lt;&gt;"",L101="無",K101="高資產",IFERROR(MATCH(B101,換券單檔!K:K,0),"N")&lt;&gt;"N"),FALSE,TRUE)</f>
        <v>1</v>
      </c>
      <c r="AI101" s="1212">
        <f t="shared" ca="1" si="54"/>
        <v>89000</v>
      </c>
      <c r="AJ101" s="1213">
        <f t="shared" ca="1" si="55"/>
        <v>5340</v>
      </c>
      <c r="AK101" s="1587">
        <f t="shared" ca="1" si="56"/>
        <v>-20572.732558139531</v>
      </c>
      <c r="AN101" s="1212">
        <f t="shared" ca="1" si="57"/>
        <v>51000</v>
      </c>
      <c r="AO101" s="1213">
        <f t="shared" ca="1" si="58"/>
        <v>3060</v>
      </c>
      <c r="AP101" s="1587">
        <f t="shared" ca="1" si="59"/>
        <v>-95640.639534883725</v>
      </c>
      <c r="AS101" s="1212">
        <f t="shared" ca="1" si="60"/>
        <v>87000</v>
      </c>
      <c r="AT101" s="1213">
        <f t="shared" ca="1" si="61"/>
        <v>5220</v>
      </c>
      <c r="AU101" s="1587">
        <f t="shared" ca="1" si="62"/>
        <v>-24995.087209302324</v>
      </c>
      <c r="AX101" s="1212">
        <f t="shared" ca="1" si="63"/>
        <v>80000</v>
      </c>
      <c r="AY101" s="1213">
        <f t="shared" ca="1" si="64"/>
        <v>4800</v>
      </c>
      <c r="AZ101" s="1587">
        <f t="shared" ca="1" si="65"/>
        <v>-38980.523255813954</v>
      </c>
      <c r="BC101" s="1212">
        <f t="shared" ca="1" si="66"/>
        <v>0</v>
      </c>
      <c r="BD101" s="1213">
        <f t="shared" ca="1" si="67"/>
        <v>0</v>
      </c>
      <c r="BE101" s="1587">
        <f t="shared" ca="1" si="68"/>
        <v>0</v>
      </c>
      <c r="BH101" s="1212">
        <f t="shared" ca="1" si="69"/>
        <v>0</v>
      </c>
      <c r="BI101" s="1213">
        <f t="shared" ca="1" si="70"/>
        <v>0</v>
      </c>
      <c r="BJ101" s="1587">
        <f t="shared" ca="1" si="71"/>
        <v>0</v>
      </c>
      <c r="BM101" s="1212">
        <f t="shared" ca="1" si="72"/>
        <v>0</v>
      </c>
      <c r="BN101" s="1213">
        <f t="shared" ca="1" si="73"/>
        <v>0</v>
      </c>
      <c r="BO101" s="1587">
        <f t="shared" ca="1" si="74"/>
        <v>0</v>
      </c>
      <c r="BR101" s="1212">
        <f t="shared" ca="1" si="75"/>
        <v>0</v>
      </c>
      <c r="BS101" s="1213">
        <f t="shared" ca="1" si="76"/>
        <v>0</v>
      </c>
      <c r="BT101" s="1587">
        <f t="shared" ca="1" si="77"/>
        <v>0</v>
      </c>
      <c r="BW101" s="1212">
        <f t="shared" ca="1" si="78"/>
        <v>0</v>
      </c>
      <c r="BX101" s="1213">
        <f t="shared" ca="1" si="79"/>
        <v>0</v>
      </c>
      <c r="BY101" s="1587">
        <f t="shared" ca="1" si="80"/>
        <v>0</v>
      </c>
      <c r="CB101" s="1212">
        <f t="shared" ca="1" si="81"/>
        <v>0</v>
      </c>
      <c r="CC101" s="1213">
        <f t="shared" ca="1" si="82"/>
        <v>0</v>
      </c>
      <c r="CD101" s="1587">
        <f t="shared" ca="1" si="83"/>
        <v>0</v>
      </c>
      <c r="CG101" s="1212">
        <f t="shared" ca="1" si="84"/>
        <v>0</v>
      </c>
      <c r="CH101" s="1213">
        <f t="shared" ca="1" si="85"/>
        <v>0</v>
      </c>
      <c r="CI101" s="1587">
        <f t="shared" ca="1" si="86"/>
        <v>0</v>
      </c>
      <c r="CL101" s="1212">
        <f t="shared" ca="1" si="87"/>
        <v>0</v>
      </c>
      <c r="CM101" s="1213">
        <f t="shared" ca="1" si="88"/>
        <v>0</v>
      </c>
      <c r="CN101" s="1587">
        <f t="shared" ca="1" si="89"/>
        <v>0</v>
      </c>
    </row>
    <row r="102" spans="1:92">
      <c r="A102" s="141" t="str">
        <f>'銀行-TSS'!A102</f>
        <v>US418056AU19</v>
      </c>
      <c r="B102" s="151" t="str">
        <f ca="1">VLOOKUP(A102,'銀行-TSS'!A:B,2,FALSE)</f>
        <v>XFX80</v>
      </c>
      <c r="C102" s="151" t="str">
        <f ca="1">VLOOKUP(B102,bond!B:C,2,FALSE)</f>
        <v>孩之寶公司美元配息債券 5.1% 2044/5/15</v>
      </c>
      <c r="D102" s="95" t="str">
        <f>VLOOKUP(A102,'銀行-TSS'!A:C,3,FALSE)</f>
        <v>USD</v>
      </c>
      <c r="E102" s="90">
        <f ca="1">VLOOKUP(A102,'銀行-TSS'!A:G,7,FALSE)</f>
        <v>19.87</v>
      </c>
      <c r="F102" s="202">
        <f ca="1">VLOOKUP(A102,'銀行-TSS'!A:H,8,FALSE)</f>
        <v>5.0999999999999997E-2</v>
      </c>
      <c r="G102" s="96">
        <f ca="1">VLOOKUP(A102,'銀行-TSS'!A:K,11,FALSE)</f>
        <v>90.38</v>
      </c>
      <c r="H102" s="1209">
        <f ca="1">VLOOKUP(A102,'銀行-TSS'!A:M,13,FALSE)</f>
        <v>5.9900000000000002E-2</v>
      </c>
      <c r="I102" s="1213">
        <f ca="1">VLOOKUP(A102,'銀行-TSS'!A:N,14,FALSE)</f>
        <v>10000</v>
      </c>
      <c r="J102" s="1213">
        <f ca="1">VLOOKUP(A102,'銀行-TSS'!A:O,15,FALSE)</f>
        <v>1000</v>
      </c>
      <c r="K102" s="136" t="str">
        <f ca="1">VLOOKUP(A102,'銀行-TSS'!A:V,22,FALSE)</f>
        <v>(PI)專投</v>
      </c>
      <c r="L102" s="136" t="str">
        <f ca="1">VLOOKUP(A102,'銀行-TSS'!A:AK,37,FALSE)</f>
        <v>需查詢</v>
      </c>
      <c r="M102" s="136" t="str">
        <f ca="1">VLOOKUP(A102,'銀行-TSS'!A:AN,40,FALSE)</f>
        <v/>
      </c>
      <c r="N102" s="136">
        <f t="shared" ca="1" si="45"/>
        <v>903.8</v>
      </c>
      <c r="O102" s="1213">
        <f t="shared" ca="1" si="46"/>
        <v>9038</v>
      </c>
      <c r="P102" s="1213">
        <f ca="1">IF(AND($O$1&gt;=O102,換券單檔!$D$13=D102),I102+INT(($O$1-O102)/N102)*J102,0)</f>
        <v>106000</v>
      </c>
      <c r="Q102" s="1213">
        <f t="shared" ca="1" si="47"/>
        <v>5406</v>
      </c>
      <c r="R102" s="1213">
        <f t="shared" ca="1" si="48"/>
        <v>106000</v>
      </c>
      <c r="S102" s="1213">
        <f t="shared" ca="1" si="49"/>
        <v>5406</v>
      </c>
      <c r="T102" s="136">
        <f ca="1">IF(OR(R102=0,A102=0),0,IF(AND(V102=TRUE,換券單檔!$D$13=D102),E102,0))</f>
        <v>19.87</v>
      </c>
      <c r="U102" s="861">
        <f ca="1">IF(OR(R102=0,A102=0),0,IF(AND(V102=TRUE,換券單檔!$D$13=D102),H102,0))</f>
        <v>5.9900000000000002E-2</v>
      </c>
      <c r="V102" s="136" t="b">
        <f ca="1">IF(OR(B102=換券單檔!$D$3,L102="無",M102&lt;&gt;"",K102="高資產",IFERROR(MATCH(B102,換券單檔!K:K,0),"N")&lt;&gt;"N"),FALSE,IF($V$1="All",TRUE,IF(K102=$V$1,TRUE,FALSE)))</f>
        <v>1</v>
      </c>
      <c r="W102" s="136">
        <f ca="1">VLOOKUP(A102,'銀行-TSS'!A:AO,41,FALSE)</f>
        <v>86.710000000000008</v>
      </c>
      <c r="X102" s="136">
        <f ca="1">VLOOKUP(A102,'銀行-TSS'!A:AP,42,FALSE)</f>
        <v>11.7331</v>
      </c>
      <c r="Y102" s="1220">
        <f t="shared" ca="1" si="50"/>
        <v>10784.197270600002</v>
      </c>
      <c r="Z102" s="1220">
        <f t="shared" ca="1" si="51"/>
        <v>1777.0085556114773</v>
      </c>
      <c r="AA102" s="136">
        <f ca="1">IF(Z102&lt;=0,0,RANK(Z102,Z:Z)+COUNTIF($Z$3:$Z102,Z102)-1)</f>
        <v>9</v>
      </c>
      <c r="AB102" s="1211">
        <f t="shared" ca="1" si="52"/>
        <v>-4111.9427293999979</v>
      </c>
      <c r="AC102" s="136">
        <f ca="1">IF(AB102&lt;=0,0,RANK(AB102,AB:AB)+COUNTIF($AB$3:$AB102,AB102)-1)</f>
        <v>0</v>
      </c>
      <c r="AD102" s="1123">
        <f t="shared" ca="1" si="53"/>
        <v>99999</v>
      </c>
      <c r="AE102" s="1123">
        <f ca="1">IF(AD102=99999,0,RANK(AD102,AD:AD,1)+COUNTIF($AD$3:$AD102,AD102)-1)</f>
        <v>0</v>
      </c>
      <c r="AF102" s="86" t="b">
        <f ca="1">IF(OR(M102&lt;&gt;"",L102="無",K102="高資產",IFERROR(MATCH(B102,換券單檔!K:K,0),"N")&lt;&gt;"N"),FALSE,TRUE)</f>
        <v>1</v>
      </c>
      <c r="AI102" s="1212">
        <f t="shared" ca="1" si="54"/>
        <v>106000</v>
      </c>
      <c r="AJ102" s="1213">
        <f t="shared" ca="1" si="55"/>
        <v>5406</v>
      </c>
      <c r="AK102" s="1587">
        <f t="shared" ca="1" si="56"/>
        <v>1777.0085556114773</v>
      </c>
      <c r="AN102" s="1212">
        <f t="shared" ca="1" si="57"/>
        <v>61000</v>
      </c>
      <c r="AO102" s="1213">
        <f t="shared" ca="1" si="58"/>
        <v>3111</v>
      </c>
      <c r="AP102" s="1587">
        <f t="shared" ca="1" si="59"/>
        <v>-75481.997483643689</v>
      </c>
      <c r="AS102" s="1212">
        <f t="shared" ca="1" si="60"/>
        <v>104000</v>
      </c>
      <c r="AT102" s="1213">
        <f t="shared" ca="1" si="61"/>
        <v>5304</v>
      </c>
      <c r="AU102" s="1587">
        <f t="shared" ca="1" si="62"/>
        <v>1355.2687468545546</v>
      </c>
      <c r="AX102" s="1212">
        <f t="shared" ca="1" si="63"/>
        <v>96000</v>
      </c>
      <c r="AY102" s="1213">
        <f t="shared" ca="1" si="64"/>
        <v>4896</v>
      </c>
      <c r="AZ102" s="1587">
        <f t="shared" ca="1" si="65"/>
        <v>-6695.6688475088104</v>
      </c>
      <c r="BC102" s="1212">
        <f t="shared" ca="1" si="66"/>
        <v>0</v>
      </c>
      <c r="BD102" s="1213">
        <f t="shared" ca="1" si="67"/>
        <v>0</v>
      </c>
      <c r="BE102" s="1587">
        <f t="shared" ca="1" si="68"/>
        <v>0</v>
      </c>
      <c r="BH102" s="1212">
        <f t="shared" ca="1" si="69"/>
        <v>0</v>
      </c>
      <c r="BI102" s="1213">
        <f t="shared" ca="1" si="70"/>
        <v>0</v>
      </c>
      <c r="BJ102" s="1587">
        <f t="shared" ca="1" si="71"/>
        <v>0</v>
      </c>
      <c r="BM102" s="1212">
        <f t="shared" ca="1" si="72"/>
        <v>0</v>
      </c>
      <c r="BN102" s="1213">
        <f t="shared" ca="1" si="73"/>
        <v>0</v>
      </c>
      <c r="BO102" s="1587">
        <f t="shared" ca="1" si="74"/>
        <v>0</v>
      </c>
      <c r="BR102" s="1212">
        <f t="shared" ca="1" si="75"/>
        <v>0</v>
      </c>
      <c r="BS102" s="1213">
        <f t="shared" ca="1" si="76"/>
        <v>0</v>
      </c>
      <c r="BT102" s="1587">
        <f t="shared" ca="1" si="77"/>
        <v>0</v>
      </c>
      <c r="BW102" s="1212">
        <f t="shared" ca="1" si="78"/>
        <v>0</v>
      </c>
      <c r="BX102" s="1213">
        <f t="shared" ca="1" si="79"/>
        <v>0</v>
      </c>
      <c r="BY102" s="1587">
        <f t="shared" ca="1" si="80"/>
        <v>0</v>
      </c>
      <c r="CB102" s="1212">
        <f t="shared" ca="1" si="81"/>
        <v>0</v>
      </c>
      <c r="CC102" s="1213">
        <f t="shared" ca="1" si="82"/>
        <v>0</v>
      </c>
      <c r="CD102" s="1587">
        <f t="shared" ca="1" si="83"/>
        <v>0</v>
      </c>
      <c r="CG102" s="1212">
        <f t="shared" ca="1" si="84"/>
        <v>0</v>
      </c>
      <c r="CH102" s="1213">
        <f t="shared" ca="1" si="85"/>
        <v>0</v>
      </c>
      <c r="CI102" s="1587">
        <f t="shared" ca="1" si="86"/>
        <v>0</v>
      </c>
      <c r="CL102" s="1212">
        <f t="shared" ca="1" si="87"/>
        <v>0</v>
      </c>
      <c r="CM102" s="1213">
        <f t="shared" ca="1" si="88"/>
        <v>0</v>
      </c>
      <c r="CN102" s="1587">
        <f t="shared" ca="1" si="89"/>
        <v>0</v>
      </c>
    </row>
    <row r="103" spans="1:92">
      <c r="A103" s="141" t="str">
        <f>'銀行-TSS'!A103</f>
        <v>US30212PAP09</v>
      </c>
      <c r="B103" s="151" t="str">
        <f ca="1">VLOOKUP(A103,'銀行-TSS'!A:B,2,FALSE)</f>
        <v>XFX90</v>
      </c>
      <c r="C103" s="151" t="str">
        <f ca="1">VLOOKUP(B103,bond!B:C,2,FALSE)</f>
        <v>智遊網集團公司美元配息債券 3.8% 2028/2/15</v>
      </c>
      <c r="D103" s="95" t="str">
        <f>VLOOKUP(A103,'銀行-TSS'!A:C,3,FALSE)</f>
        <v>USD</v>
      </c>
      <c r="E103" s="90">
        <f ca="1">VLOOKUP(A103,'銀行-TSS'!A:G,7,FALSE)</f>
        <v>3.62</v>
      </c>
      <c r="F103" s="202">
        <f ca="1">VLOOKUP(A103,'銀行-TSS'!A:H,8,FALSE)</f>
        <v>3.7999999999999999E-2</v>
      </c>
      <c r="G103" s="96">
        <f ca="1">VLOOKUP(A103,'銀行-TSS'!A:K,11,FALSE)</f>
        <v>99.13</v>
      </c>
      <c r="H103" s="1209">
        <f ca="1">VLOOKUP(A103,'銀行-TSS'!A:M,13,FALSE)</f>
        <v>4.4999999999999998E-2</v>
      </c>
      <c r="I103" s="1213">
        <f ca="1">VLOOKUP(A103,'銀行-TSS'!A:N,14,FALSE)</f>
        <v>10000</v>
      </c>
      <c r="J103" s="1213">
        <f ca="1">VLOOKUP(A103,'銀行-TSS'!A:O,15,FALSE)</f>
        <v>1000</v>
      </c>
      <c r="K103" s="136" t="str">
        <f ca="1">VLOOKUP(A103,'銀行-TSS'!A:V,22,FALSE)</f>
        <v>(PI)專投</v>
      </c>
      <c r="L103" s="136" t="str">
        <f ca="1">VLOOKUP(A103,'銀行-TSS'!A:AK,37,FALSE)</f>
        <v>有</v>
      </c>
      <c r="M103" s="136" t="str">
        <f ca="1">VLOOKUP(A103,'銀行-TSS'!A:AN,40,FALSE)</f>
        <v>XFX90</v>
      </c>
      <c r="N103" s="136">
        <f t="shared" ca="1" si="45"/>
        <v>991.3</v>
      </c>
      <c r="O103" s="1213">
        <f t="shared" ca="1" si="46"/>
        <v>9913</v>
      </c>
      <c r="P103" s="1213">
        <f ca="1">IF(AND($O$1&gt;=O103,換券單檔!$D$13=D103),I103+INT(($O$1-O103)/N103)*J103,0)</f>
        <v>97000</v>
      </c>
      <c r="Q103" s="1213">
        <f t="shared" ca="1" si="47"/>
        <v>3686</v>
      </c>
      <c r="R103" s="1213">
        <f t="shared" ca="1" si="48"/>
        <v>0</v>
      </c>
      <c r="S103" s="1213">
        <f t="shared" ca="1" si="49"/>
        <v>0</v>
      </c>
      <c r="T103" s="136">
        <f ca="1">IF(OR(R103=0,A103=0),0,IF(AND(V103=TRUE,換券單檔!$D$13=D103),E103,0))</f>
        <v>0</v>
      </c>
      <c r="U103" s="861">
        <f ca="1">IF(OR(R103=0,A103=0),0,IF(AND(V103=TRUE,換券單檔!$D$13=D103),H103,0))</f>
        <v>0</v>
      </c>
      <c r="V103" s="136" t="b">
        <f ca="1">IF(OR(B103=換券單檔!$D$3,L103="無",M103&lt;&gt;"",K103="高資產",IFERROR(MATCH(B103,換券單檔!K:K,0),"N")&lt;&gt;"N"),FALSE,IF($V$1="All",TRUE,IF(K103=$V$1,TRUE,FALSE)))</f>
        <v>0</v>
      </c>
      <c r="W103" s="136">
        <f ca="1">VLOOKUP(A103,'銀行-TSS'!A:AO,41,FALSE)</f>
        <v>95.68</v>
      </c>
      <c r="X103" s="136">
        <f ca="1">VLOOKUP(A103,'銀行-TSS'!A:AP,42,FALSE)</f>
        <v>3.2814000000000001</v>
      </c>
      <c r="Y103" s="1220">
        <f t="shared" ca="1" si="50"/>
        <v>0</v>
      </c>
      <c r="Z103" s="1220">
        <f t="shared" ca="1" si="51"/>
        <v>0</v>
      </c>
      <c r="AA103" s="136">
        <f ca="1">IF(Z103&lt;=0,0,RANK(Z103,Z:Z)+COUNTIF($Z$3:$Z103,Z103)-1)</f>
        <v>0</v>
      </c>
      <c r="AB103" s="1211">
        <f t="shared" ca="1" si="52"/>
        <v>-14896.14</v>
      </c>
      <c r="AC103" s="136">
        <f ca="1">IF(AB103&lt;=0,0,RANK(AB103,AB:AB)+COUNTIF($AB$3:$AB103,AB103)-1)</f>
        <v>0</v>
      </c>
      <c r="AD103" s="1123">
        <f t="shared" ca="1" si="53"/>
        <v>99999</v>
      </c>
      <c r="AE103" s="1123">
        <f ca="1">IF(AD103=99999,0,RANK(AD103,AD:AD,1)+COUNTIF($AD$3:$AD103,AD103)-1)</f>
        <v>0</v>
      </c>
      <c r="AF103" s="86" t="b">
        <f ca="1">IF(OR(M103&lt;&gt;"",L103="無",K103="高資產",IFERROR(MATCH(B103,換券單檔!K:K,0),"N")&lt;&gt;"N"),FALSE,TRUE)</f>
        <v>0</v>
      </c>
      <c r="AI103" s="1212">
        <f t="shared" ca="1" si="54"/>
        <v>0</v>
      </c>
      <c r="AJ103" s="1213">
        <f t="shared" ca="1" si="55"/>
        <v>0</v>
      </c>
      <c r="AK103" s="1587">
        <f t="shared" ca="1" si="56"/>
        <v>0</v>
      </c>
      <c r="AN103" s="1212">
        <f t="shared" ca="1" si="57"/>
        <v>0</v>
      </c>
      <c r="AO103" s="1213">
        <f t="shared" ca="1" si="58"/>
        <v>0</v>
      </c>
      <c r="AP103" s="1587">
        <f t="shared" ca="1" si="59"/>
        <v>0</v>
      </c>
      <c r="AS103" s="1212">
        <f t="shared" ca="1" si="60"/>
        <v>0</v>
      </c>
      <c r="AT103" s="1213">
        <f t="shared" ca="1" si="61"/>
        <v>0</v>
      </c>
      <c r="AU103" s="1587">
        <f t="shared" ca="1" si="62"/>
        <v>0</v>
      </c>
      <c r="AX103" s="1212">
        <f t="shared" ca="1" si="63"/>
        <v>0</v>
      </c>
      <c r="AY103" s="1213">
        <f t="shared" ca="1" si="64"/>
        <v>0</v>
      </c>
      <c r="AZ103" s="1587">
        <f t="shared" ca="1" si="65"/>
        <v>0</v>
      </c>
      <c r="BC103" s="1212">
        <f t="shared" ca="1" si="66"/>
        <v>0</v>
      </c>
      <c r="BD103" s="1213">
        <f t="shared" ca="1" si="67"/>
        <v>0</v>
      </c>
      <c r="BE103" s="1587">
        <f t="shared" ca="1" si="68"/>
        <v>0</v>
      </c>
      <c r="BH103" s="1212">
        <f t="shared" ca="1" si="69"/>
        <v>0</v>
      </c>
      <c r="BI103" s="1213">
        <f t="shared" ca="1" si="70"/>
        <v>0</v>
      </c>
      <c r="BJ103" s="1587">
        <f t="shared" ca="1" si="71"/>
        <v>0</v>
      </c>
      <c r="BM103" s="1212">
        <f t="shared" ca="1" si="72"/>
        <v>0</v>
      </c>
      <c r="BN103" s="1213">
        <f t="shared" ca="1" si="73"/>
        <v>0</v>
      </c>
      <c r="BO103" s="1587">
        <f t="shared" ca="1" si="74"/>
        <v>0</v>
      </c>
      <c r="BR103" s="1212">
        <f t="shared" ca="1" si="75"/>
        <v>0</v>
      </c>
      <c r="BS103" s="1213">
        <f t="shared" ca="1" si="76"/>
        <v>0</v>
      </c>
      <c r="BT103" s="1587">
        <f t="shared" ca="1" si="77"/>
        <v>0</v>
      </c>
      <c r="BW103" s="1212">
        <f t="shared" ca="1" si="78"/>
        <v>0</v>
      </c>
      <c r="BX103" s="1213">
        <f t="shared" ca="1" si="79"/>
        <v>0</v>
      </c>
      <c r="BY103" s="1587">
        <f t="shared" ca="1" si="80"/>
        <v>0</v>
      </c>
      <c r="CB103" s="1212">
        <f t="shared" ca="1" si="81"/>
        <v>0</v>
      </c>
      <c r="CC103" s="1213">
        <f t="shared" ca="1" si="82"/>
        <v>0</v>
      </c>
      <c r="CD103" s="1587">
        <f t="shared" ca="1" si="83"/>
        <v>0</v>
      </c>
      <c r="CG103" s="1212">
        <f t="shared" ca="1" si="84"/>
        <v>0</v>
      </c>
      <c r="CH103" s="1213">
        <f t="shared" ca="1" si="85"/>
        <v>0</v>
      </c>
      <c r="CI103" s="1587">
        <f t="shared" ca="1" si="86"/>
        <v>0</v>
      </c>
      <c r="CL103" s="1212">
        <f t="shared" ca="1" si="87"/>
        <v>0</v>
      </c>
      <c r="CM103" s="1213">
        <f t="shared" ca="1" si="88"/>
        <v>0</v>
      </c>
      <c r="CN103" s="1587">
        <f t="shared" ca="1" si="89"/>
        <v>0</v>
      </c>
    </row>
    <row r="104" spans="1:92">
      <c r="A104" s="141" t="str">
        <f>'銀行-TSS'!A104</f>
        <v>US88579YBK64</v>
      </c>
      <c r="B104" s="151" t="str">
        <f ca="1">VLOOKUP(A104,'銀行-TSS'!A:B,2,FALSE)</f>
        <v>XFY20</v>
      </c>
      <c r="C104" s="151" t="str">
        <f ca="1">VLOOKUP(B104,bond!B:C,2,FALSE)</f>
        <v>3M公司美元配息債券 3.25% 2049/8/26</v>
      </c>
      <c r="D104" s="95" t="str">
        <f>VLOOKUP(A104,'銀行-TSS'!A:C,3,FALSE)</f>
        <v>USD</v>
      </c>
      <c r="E104" s="90">
        <f ca="1">VLOOKUP(A104,'銀行-TSS'!A:G,7,FALSE)</f>
        <v>25.15</v>
      </c>
      <c r="F104" s="202">
        <f ca="1">VLOOKUP(A104,'銀行-TSS'!A:H,8,FALSE)</f>
        <v>3.2500000000000001E-2</v>
      </c>
      <c r="G104" s="96">
        <f ca="1">VLOOKUP(A104,'銀行-TSS'!A:K,11,FALSE)</f>
        <v>70.760000000000005</v>
      </c>
      <c r="H104" s="1209">
        <f ca="1">VLOOKUP(A104,'銀行-TSS'!A:M,13,FALSE)</f>
        <v>5.4899999999999997E-2</v>
      </c>
      <c r="I104" s="1213">
        <f ca="1">VLOOKUP(A104,'銀行-TSS'!A:N,14,FALSE)</f>
        <v>2000</v>
      </c>
      <c r="J104" s="1213">
        <f ca="1">VLOOKUP(A104,'銀行-TSS'!A:O,15,FALSE)</f>
        <v>1000</v>
      </c>
      <c r="K104" s="136" t="str">
        <f ca="1">VLOOKUP(A104,'銀行-TSS'!A:V,22,FALSE)</f>
        <v>(NPI)非專投</v>
      </c>
      <c r="L104" s="136" t="str">
        <f ca="1">VLOOKUP(A104,'銀行-TSS'!A:AK,37,FALSE)</f>
        <v>有</v>
      </c>
      <c r="M104" s="136" t="str">
        <f ca="1">VLOOKUP(A104,'銀行-TSS'!A:AN,40,FALSE)</f>
        <v/>
      </c>
      <c r="N104" s="136">
        <f t="shared" ca="1" si="45"/>
        <v>707.6</v>
      </c>
      <c r="O104" s="1213">
        <f t="shared" ca="1" si="46"/>
        <v>1415.2</v>
      </c>
      <c r="P104" s="1213">
        <f ca="1">IF(AND($O$1&gt;=O104,換券單檔!$D$13=D104),I104+INT(($O$1-O104)/N104)*J104,0)</f>
        <v>136000</v>
      </c>
      <c r="Q104" s="1213">
        <f t="shared" ca="1" si="47"/>
        <v>4420</v>
      </c>
      <c r="R104" s="1213">
        <f t="shared" ca="1" si="48"/>
        <v>136000</v>
      </c>
      <c r="S104" s="1213">
        <f t="shared" ca="1" si="49"/>
        <v>4420</v>
      </c>
      <c r="T104" s="136">
        <f ca="1">IF(OR(R104=0,A104=0),0,IF(AND(V104=TRUE,換券單檔!$D$13=D104),E104,0))</f>
        <v>25.15</v>
      </c>
      <c r="U104" s="861">
        <f ca="1">IF(OR(R104=0,A104=0),0,IF(AND(V104=TRUE,換券單檔!$D$13=D104),H104,0))</f>
        <v>5.4899999999999997E-2</v>
      </c>
      <c r="V104" s="136" t="b">
        <f ca="1">IF(OR(B104=換券單檔!$D$3,L104="無",M104&lt;&gt;"",K104="高資產",IFERROR(MATCH(B104,換券單檔!K:K,0),"N")&lt;&gt;"N"),FALSE,IF($V$1="All",TRUE,IF(K104=$V$1,TRUE,FALSE)))</f>
        <v>1</v>
      </c>
      <c r="W104" s="136">
        <f ca="1">VLOOKUP(A104,'銀行-TSS'!A:AO,41,FALSE)</f>
        <v>68.62</v>
      </c>
      <c r="X104" s="136">
        <f ca="1">VLOOKUP(A104,'銀行-TSS'!A:AP,42,FALSE)</f>
        <v>14.863300000000001</v>
      </c>
      <c r="Y104" s="1220">
        <f t="shared" ca="1" si="50"/>
        <v>13870.907185600003</v>
      </c>
      <c r="Z104" s="1220">
        <f t="shared" ca="1" si="51"/>
        <v>-548.6481113320051</v>
      </c>
      <c r="AA104" s="136">
        <f ca="1">IF(Z104&lt;=0,0,RANK(Z104,Z:Z)+COUNTIF($Z$3:$Z104,Z104)-1)</f>
        <v>0</v>
      </c>
      <c r="AB104" s="1211">
        <f t="shared" ca="1" si="52"/>
        <v>-1025.2328143999966</v>
      </c>
      <c r="AC104" s="136">
        <f ca="1">IF(AB104&lt;=0,0,RANK(AB104,AB:AB)+COUNTIF($AB$3:$AB104,AB104)-1)</f>
        <v>0</v>
      </c>
      <c r="AD104" s="1123">
        <f t="shared" ca="1" si="53"/>
        <v>99999</v>
      </c>
      <c r="AE104" s="1123">
        <f ca="1">IF(AD104=99999,0,RANK(AD104,AD:AD,1)+COUNTIF($AD$3:$AD104,AD104)-1)</f>
        <v>0</v>
      </c>
      <c r="AF104" s="86" t="b">
        <f ca="1">IF(OR(M104&lt;&gt;"",L104="無",K104="高資產",IFERROR(MATCH(B104,換券單檔!K:K,0),"N")&lt;&gt;"N"),FALSE,TRUE)</f>
        <v>1</v>
      </c>
      <c r="AI104" s="1212">
        <f t="shared" ca="1" si="54"/>
        <v>136000</v>
      </c>
      <c r="AJ104" s="1213">
        <f t="shared" ca="1" si="55"/>
        <v>4420</v>
      </c>
      <c r="AK104" s="1587">
        <f t="shared" ca="1" si="56"/>
        <v>-548.6481113320051</v>
      </c>
      <c r="AN104" s="1212">
        <f t="shared" ca="1" si="57"/>
        <v>78000</v>
      </c>
      <c r="AO104" s="1213">
        <f t="shared" ca="1" si="58"/>
        <v>2535</v>
      </c>
      <c r="AP104" s="1587">
        <f t="shared" ca="1" si="59"/>
        <v>-43161.99801192843</v>
      </c>
      <c r="AS104" s="1212">
        <f t="shared" ca="1" si="60"/>
        <v>133000</v>
      </c>
      <c r="AT104" s="1213">
        <f t="shared" ca="1" si="61"/>
        <v>4322.5</v>
      </c>
      <c r="AU104" s="1587">
        <f t="shared" ca="1" si="62"/>
        <v>0</v>
      </c>
      <c r="AX104" s="1212">
        <f t="shared" ca="1" si="63"/>
        <v>122000</v>
      </c>
      <c r="AY104" s="1213">
        <f t="shared" ca="1" si="64"/>
        <v>3965</v>
      </c>
      <c r="AZ104" s="1587">
        <f t="shared" ca="1" si="65"/>
        <v>0</v>
      </c>
      <c r="BC104" s="1212">
        <f t="shared" ca="1" si="66"/>
        <v>0</v>
      </c>
      <c r="BD104" s="1213">
        <f t="shared" ca="1" si="67"/>
        <v>0</v>
      </c>
      <c r="BE104" s="1587">
        <f t="shared" ca="1" si="68"/>
        <v>0</v>
      </c>
      <c r="BH104" s="1212">
        <f t="shared" ca="1" si="69"/>
        <v>0</v>
      </c>
      <c r="BI104" s="1213">
        <f t="shared" ca="1" si="70"/>
        <v>0</v>
      </c>
      <c r="BJ104" s="1587">
        <f t="shared" ca="1" si="71"/>
        <v>0</v>
      </c>
      <c r="BM104" s="1212">
        <f t="shared" ca="1" si="72"/>
        <v>0</v>
      </c>
      <c r="BN104" s="1213">
        <f t="shared" ca="1" si="73"/>
        <v>0</v>
      </c>
      <c r="BO104" s="1587">
        <f t="shared" ca="1" si="74"/>
        <v>0</v>
      </c>
      <c r="BR104" s="1212">
        <f t="shared" ca="1" si="75"/>
        <v>0</v>
      </c>
      <c r="BS104" s="1213">
        <f t="shared" ca="1" si="76"/>
        <v>0</v>
      </c>
      <c r="BT104" s="1587">
        <f t="shared" ca="1" si="77"/>
        <v>0</v>
      </c>
      <c r="BW104" s="1212">
        <f t="shared" ca="1" si="78"/>
        <v>0</v>
      </c>
      <c r="BX104" s="1213">
        <f t="shared" ca="1" si="79"/>
        <v>0</v>
      </c>
      <c r="BY104" s="1587">
        <f t="shared" ca="1" si="80"/>
        <v>0</v>
      </c>
      <c r="CB104" s="1212">
        <f t="shared" ca="1" si="81"/>
        <v>0</v>
      </c>
      <c r="CC104" s="1213">
        <f t="shared" ca="1" si="82"/>
        <v>0</v>
      </c>
      <c r="CD104" s="1587">
        <f t="shared" ca="1" si="83"/>
        <v>0</v>
      </c>
      <c r="CG104" s="1212">
        <f t="shared" ca="1" si="84"/>
        <v>0</v>
      </c>
      <c r="CH104" s="1213">
        <f t="shared" ca="1" si="85"/>
        <v>0</v>
      </c>
      <c r="CI104" s="1587">
        <f t="shared" ca="1" si="86"/>
        <v>0</v>
      </c>
      <c r="CL104" s="1212">
        <f t="shared" ca="1" si="87"/>
        <v>0</v>
      </c>
      <c r="CM104" s="1213">
        <f t="shared" ca="1" si="88"/>
        <v>0</v>
      </c>
      <c r="CN104" s="1587">
        <f t="shared" ca="1" si="89"/>
        <v>0</v>
      </c>
    </row>
    <row r="105" spans="1:92">
      <c r="A105" s="141" t="str">
        <f>'銀行-TSS'!A105</f>
        <v>US713448EP96</v>
      </c>
      <c r="B105" s="151" t="str">
        <f ca="1">VLOOKUP(A105,'銀行-TSS'!A:B,2,FALSE)</f>
        <v>XFY30</v>
      </c>
      <c r="C105" s="151" t="str">
        <f ca="1">VLOOKUP(B105,bond!B:C,2,FALSE)</f>
        <v>百事公司美元配息債券 2.875% 2049/10/15</v>
      </c>
      <c r="D105" s="95" t="str">
        <f>VLOOKUP(A105,'銀行-TSS'!A:C,3,FALSE)</f>
        <v>USD</v>
      </c>
      <c r="E105" s="90">
        <f ca="1">VLOOKUP(A105,'銀行-TSS'!A:G,7,FALSE)</f>
        <v>25.29</v>
      </c>
      <c r="F105" s="202">
        <f ca="1">VLOOKUP(A105,'銀行-TSS'!A:H,8,FALSE)</f>
        <v>2.8750000000000001E-2</v>
      </c>
      <c r="G105" s="96">
        <f ca="1">VLOOKUP(A105,'銀行-TSS'!A:K,11,FALSE)</f>
        <v>68.75</v>
      </c>
      <c r="H105" s="1209">
        <f ca="1">VLOOKUP(A105,'銀行-TSS'!A:M,13,FALSE)</f>
        <v>5.1400000000000001E-2</v>
      </c>
      <c r="I105" s="1213">
        <f ca="1">VLOOKUP(A105,'銀行-TSS'!A:N,14,FALSE)</f>
        <v>2000</v>
      </c>
      <c r="J105" s="1213">
        <f ca="1">VLOOKUP(A105,'銀行-TSS'!A:O,15,FALSE)</f>
        <v>1000</v>
      </c>
      <c r="K105" s="136" t="str">
        <f ca="1">VLOOKUP(A105,'銀行-TSS'!A:V,22,FALSE)</f>
        <v>(NPI)非專投</v>
      </c>
      <c r="L105" s="136" t="str">
        <f ca="1">VLOOKUP(A105,'銀行-TSS'!A:AK,37,FALSE)</f>
        <v>有</v>
      </c>
      <c r="M105" s="136" t="str">
        <f ca="1">VLOOKUP(A105,'銀行-TSS'!A:AN,40,FALSE)</f>
        <v/>
      </c>
      <c r="N105" s="136">
        <f t="shared" ca="1" si="45"/>
        <v>687.5</v>
      </c>
      <c r="O105" s="1213">
        <f t="shared" ca="1" si="46"/>
        <v>1375</v>
      </c>
      <c r="P105" s="1213">
        <f ca="1">IF(AND($O$1&gt;=O105,換券單檔!$D$13=D105),I105+INT(($O$1-O105)/N105)*J105,0)</f>
        <v>140000</v>
      </c>
      <c r="Q105" s="1213">
        <f t="shared" ca="1" si="47"/>
        <v>4025</v>
      </c>
      <c r="R105" s="1213">
        <f t="shared" ca="1" si="48"/>
        <v>140000</v>
      </c>
      <c r="S105" s="1213">
        <f t="shared" ca="1" si="49"/>
        <v>4025</v>
      </c>
      <c r="T105" s="136">
        <f ca="1">IF(OR(R105=0,A105=0),0,IF(AND(V105=TRUE,換券單檔!$D$13=D105),E105,0))</f>
        <v>25.29</v>
      </c>
      <c r="U105" s="861">
        <f ca="1">IF(OR(R105=0,A105=0),0,IF(AND(V105=TRUE,換券單檔!$D$13=D105),H105,0))</f>
        <v>5.1400000000000001E-2</v>
      </c>
      <c r="V105" s="136" t="b">
        <f ca="1">IF(OR(B105=換券單檔!$D$3,L105="無",M105&lt;&gt;"",K105="高資產",IFERROR(MATCH(B105,換券單檔!K:K,0),"N")&lt;&gt;"N"),FALSE,IF($V$1="All",TRUE,IF(K105=$V$1,TRUE,FALSE)))</f>
        <v>1</v>
      </c>
      <c r="W105" s="136">
        <f ca="1">VLOOKUP(A105,'銀行-TSS'!A:AO,41,FALSE)</f>
        <v>67.14</v>
      </c>
      <c r="X105" s="136">
        <f ca="1">VLOOKUP(A105,'銀行-TSS'!A:AP,42,FALSE)</f>
        <v>15.7402</v>
      </c>
      <c r="Y105" s="1220">
        <f t="shared" ca="1" si="50"/>
        <v>14795.158392000001</v>
      </c>
      <c r="Z105" s="1220">
        <f t="shared" ca="1" si="51"/>
        <v>0</v>
      </c>
      <c r="AA105" s="136">
        <f ca="1">IF(Z105&lt;=0,0,RANK(Z105,Z:Z)+COUNTIF($Z$3:$Z105,Z105)-1)</f>
        <v>0</v>
      </c>
      <c r="AB105" s="1211">
        <f t="shared" ca="1" si="52"/>
        <v>-100.98160799999823</v>
      </c>
      <c r="AC105" s="136">
        <f ca="1">IF(AB105&lt;=0,0,RANK(AB105,AB:AB)+COUNTIF($AB$3:$AB105,AB105)-1)</f>
        <v>0</v>
      </c>
      <c r="AD105" s="1123">
        <f t="shared" ca="1" si="53"/>
        <v>99999</v>
      </c>
      <c r="AE105" s="1123">
        <f ca="1">IF(AD105=99999,0,RANK(AD105,AD:AD,1)+COUNTIF($AD$3:$AD105,AD105)-1)</f>
        <v>0</v>
      </c>
      <c r="AF105" s="86" t="b">
        <f ca="1">IF(OR(M105&lt;&gt;"",L105="無",K105="高資產",IFERROR(MATCH(B105,換券單檔!K:K,0),"N")&lt;&gt;"N"),FALSE,TRUE)</f>
        <v>1</v>
      </c>
      <c r="AI105" s="1212">
        <f t="shared" ca="1" si="54"/>
        <v>140000</v>
      </c>
      <c r="AJ105" s="1213">
        <f t="shared" ca="1" si="55"/>
        <v>4025</v>
      </c>
      <c r="AK105" s="1587">
        <f t="shared" ca="1" si="56"/>
        <v>0</v>
      </c>
      <c r="AN105" s="1212">
        <f t="shared" ca="1" si="57"/>
        <v>80000</v>
      </c>
      <c r="AO105" s="1213">
        <f t="shared" ca="1" si="58"/>
        <v>2300</v>
      </c>
      <c r="AP105" s="1587">
        <f t="shared" ca="1" si="59"/>
        <v>-39852.965599051007</v>
      </c>
      <c r="AS105" s="1212">
        <f t="shared" ca="1" si="60"/>
        <v>137000</v>
      </c>
      <c r="AT105" s="1213">
        <f t="shared" ca="1" si="61"/>
        <v>3938.75</v>
      </c>
      <c r="AU105" s="1587">
        <f t="shared" ca="1" si="62"/>
        <v>0</v>
      </c>
      <c r="AX105" s="1212">
        <f t="shared" ca="1" si="63"/>
        <v>126000</v>
      </c>
      <c r="AY105" s="1213">
        <f t="shared" ca="1" si="64"/>
        <v>3622.5</v>
      </c>
      <c r="AZ105" s="1587">
        <f t="shared" ca="1" si="65"/>
        <v>0</v>
      </c>
      <c r="BC105" s="1212">
        <f t="shared" ca="1" si="66"/>
        <v>0</v>
      </c>
      <c r="BD105" s="1213">
        <f t="shared" ca="1" si="67"/>
        <v>0</v>
      </c>
      <c r="BE105" s="1587">
        <f t="shared" ca="1" si="68"/>
        <v>0</v>
      </c>
      <c r="BH105" s="1212">
        <f t="shared" ca="1" si="69"/>
        <v>0</v>
      </c>
      <c r="BI105" s="1213">
        <f t="shared" ca="1" si="70"/>
        <v>0</v>
      </c>
      <c r="BJ105" s="1587">
        <f t="shared" ca="1" si="71"/>
        <v>0</v>
      </c>
      <c r="BM105" s="1212">
        <f t="shared" ca="1" si="72"/>
        <v>0</v>
      </c>
      <c r="BN105" s="1213">
        <f t="shared" ca="1" si="73"/>
        <v>0</v>
      </c>
      <c r="BO105" s="1587">
        <f t="shared" ca="1" si="74"/>
        <v>0</v>
      </c>
      <c r="BR105" s="1212">
        <f t="shared" ca="1" si="75"/>
        <v>0</v>
      </c>
      <c r="BS105" s="1213">
        <f t="shared" ca="1" si="76"/>
        <v>0</v>
      </c>
      <c r="BT105" s="1587">
        <f t="shared" ca="1" si="77"/>
        <v>0</v>
      </c>
      <c r="BW105" s="1212">
        <f t="shared" ca="1" si="78"/>
        <v>0</v>
      </c>
      <c r="BX105" s="1213">
        <f t="shared" ca="1" si="79"/>
        <v>0</v>
      </c>
      <c r="BY105" s="1587">
        <f t="shared" ca="1" si="80"/>
        <v>0</v>
      </c>
      <c r="CB105" s="1212">
        <f t="shared" ca="1" si="81"/>
        <v>0</v>
      </c>
      <c r="CC105" s="1213">
        <f t="shared" ca="1" si="82"/>
        <v>0</v>
      </c>
      <c r="CD105" s="1587">
        <f t="shared" ca="1" si="83"/>
        <v>0</v>
      </c>
      <c r="CG105" s="1212">
        <f t="shared" ca="1" si="84"/>
        <v>0</v>
      </c>
      <c r="CH105" s="1213">
        <f t="shared" ca="1" si="85"/>
        <v>0</v>
      </c>
      <c r="CI105" s="1587">
        <f t="shared" ca="1" si="86"/>
        <v>0</v>
      </c>
      <c r="CL105" s="1212">
        <f t="shared" ca="1" si="87"/>
        <v>0</v>
      </c>
      <c r="CM105" s="1213">
        <f t="shared" ca="1" si="88"/>
        <v>0</v>
      </c>
      <c r="CN105" s="1587">
        <f t="shared" ca="1" si="89"/>
        <v>0</v>
      </c>
    </row>
    <row r="106" spans="1:92">
      <c r="A106" s="141" t="str">
        <f>'銀行-TSS'!A106</f>
        <v>US375558BK80</v>
      </c>
      <c r="B106" s="151" t="str">
        <f ca="1">VLOOKUP(A106,'銀行-TSS'!A:B,2,FALSE)</f>
        <v>XFY40</v>
      </c>
      <c r="C106" s="151" t="str">
        <f ca="1">VLOOKUP(B106,bond!B:C,2,FALSE)</f>
        <v>吉利德科學公司美元配息債券 4.15% 2047/3/1</v>
      </c>
      <c r="D106" s="95" t="str">
        <f>VLOOKUP(A106,'銀行-TSS'!A:C,3,FALSE)</f>
        <v>USD</v>
      </c>
      <c r="E106" s="90">
        <f ca="1">VLOOKUP(A106,'銀行-TSS'!A:G,7,FALSE)</f>
        <v>22.66</v>
      </c>
      <c r="F106" s="202">
        <f ca="1">VLOOKUP(A106,'銀行-TSS'!A:H,8,FALSE)</f>
        <v>4.1500000000000002E-2</v>
      </c>
      <c r="G106" s="96">
        <f ca="1">VLOOKUP(A106,'銀行-TSS'!A:K,11,FALSE)</f>
        <v>86.39</v>
      </c>
      <c r="H106" s="1209">
        <f ca="1">VLOOKUP(A106,'銀行-TSS'!A:M,13,FALSE)</f>
        <v>5.2900000000000003E-2</v>
      </c>
      <c r="I106" s="1213">
        <f ca="1">VLOOKUP(A106,'銀行-TSS'!A:N,14,FALSE)</f>
        <v>10000</v>
      </c>
      <c r="J106" s="1213">
        <f ca="1">VLOOKUP(A106,'銀行-TSS'!A:O,15,FALSE)</f>
        <v>1000</v>
      </c>
      <c r="K106" s="136" t="str">
        <f ca="1">VLOOKUP(A106,'銀行-TSS'!A:V,22,FALSE)</f>
        <v>(NPI)非專投</v>
      </c>
      <c r="L106" s="136" t="str">
        <f ca="1">VLOOKUP(A106,'銀行-TSS'!A:AK,37,FALSE)</f>
        <v>有</v>
      </c>
      <c r="M106" s="136" t="str">
        <f ca="1">VLOOKUP(A106,'銀行-TSS'!A:AN,40,FALSE)</f>
        <v/>
      </c>
      <c r="N106" s="136">
        <f t="shared" ca="1" si="45"/>
        <v>863.9</v>
      </c>
      <c r="O106" s="1213">
        <f t="shared" ca="1" si="46"/>
        <v>8639</v>
      </c>
      <c r="P106" s="1213">
        <f ca="1">IF(AND($O$1&gt;=O106,換券單檔!$D$13=D106),I106+INT(($O$1-O106)/N106)*J106,0)</f>
        <v>111000</v>
      </c>
      <c r="Q106" s="1213">
        <f t="shared" ca="1" si="47"/>
        <v>4606.5</v>
      </c>
      <c r="R106" s="1213">
        <f t="shared" ca="1" si="48"/>
        <v>111000</v>
      </c>
      <c r="S106" s="1213">
        <f t="shared" ca="1" si="49"/>
        <v>4606.5</v>
      </c>
      <c r="T106" s="136">
        <f ca="1">IF(OR(R106=0,A106=0),0,IF(AND(V106=TRUE,換券單檔!$D$13=D106),E106,0))</f>
        <v>22.66</v>
      </c>
      <c r="U106" s="861">
        <f ca="1">IF(OR(R106=0,A106=0),0,IF(AND(V106=TRUE,換券單檔!$D$13=D106),H106,0))</f>
        <v>5.2900000000000003E-2</v>
      </c>
      <c r="V106" s="136" t="b">
        <f ca="1">IF(OR(B106=換券單檔!$D$3,L106="無",M106&lt;&gt;"",K106="高資產",IFERROR(MATCH(B106,換券單檔!K:K,0),"N")&lt;&gt;"N"),FALSE,IF($V$1="All",TRUE,IF(K106=$V$1,TRUE,FALSE)))</f>
        <v>1</v>
      </c>
      <c r="W106" s="136">
        <f ca="1">VLOOKUP(A106,'銀行-TSS'!A:AO,41,FALSE)</f>
        <v>82</v>
      </c>
      <c r="X106" s="136">
        <f ca="1">VLOOKUP(A106,'銀行-TSS'!A:AP,42,FALSE)</f>
        <v>13.4552</v>
      </c>
      <c r="Y106" s="1220">
        <f t="shared" ca="1" si="50"/>
        <v>12246.92304</v>
      </c>
      <c r="Z106" s="1220">
        <f t="shared" ca="1" si="51"/>
        <v>-471.66284201235396</v>
      </c>
      <c r="AA106" s="136">
        <f ca="1">IF(Z106&lt;=0,0,RANK(Z106,Z:Z)+COUNTIF($Z$3:$Z106,Z106)-1)</f>
        <v>0</v>
      </c>
      <c r="AB106" s="1211">
        <f t="shared" ca="1" si="52"/>
        <v>-2649.2169599999997</v>
      </c>
      <c r="AC106" s="136">
        <f ca="1">IF(AB106&lt;=0,0,RANK(AB106,AB:AB)+COUNTIF($AB$3:$AB106,AB106)-1)</f>
        <v>0</v>
      </c>
      <c r="AD106" s="1123">
        <f t="shared" ca="1" si="53"/>
        <v>99999</v>
      </c>
      <c r="AE106" s="1123">
        <f ca="1">IF(AD106=99999,0,RANK(AD106,AD:AD,1)+COUNTIF($AD$3:$AD106,AD106)-1)</f>
        <v>0</v>
      </c>
      <c r="AF106" s="86" t="b">
        <f ca="1">IF(OR(M106&lt;&gt;"",L106="無",K106="高資產",IFERROR(MATCH(B106,換券單檔!K:K,0),"N")&lt;&gt;"N"),FALSE,TRUE)</f>
        <v>1</v>
      </c>
      <c r="AI106" s="1212">
        <f t="shared" ca="1" si="54"/>
        <v>111000</v>
      </c>
      <c r="AJ106" s="1213">
        <f t="shared" ca="1" si="55"/>
        <v>4606.5</v>
      </c>
      <c r="AK106" s="1587">
        <f t="shared" ca="1" si="56"/>
        <v>-471.66284201235396</v>
      </c>
      <c r="AN106" s="1212">
        <f t="shared" ca="1" si="57"/>
        <v>64000</v>
      </c>
      <c r="AO106" s="1213">
        <f t="shared" ca="1" si="58"/>
        <v>2656</v>
      </c>
      <c r="AP106" s="1587">
        <f t="shared" ca="1" si="59"/>
        <v>-70808.875551632838</v>
      </c>
      <c r="AS106" s="1212">
        <f t="shared" ca="1" si="60"/>
        <v>109000</v>
      </c>
      <c r="AT106" s="1213">
        <f t="shared" ca="1" si="61"/>
        <v>4523.5</v>
      </c>
      <c r="AU106" s="1587">
        <f t="shared" ca="1" si="62"/>
        <v>-832.64430714916148</v>
      </c>
      <c r="AX106" s="1212">
        <f t="shared" ca="1" si="63"/>
        <v>100000</v>
      </c>
      <c r="AY106" s="1213">
        <f t="shared" ca="1" si="64"/>
        <v>4150</v>
      </c>
      <c r="AZ106" s="1587">
        <f t="shared" ca="1" si="65"/>
        <v>-880.14121800529836</v>
      </c>
      <c r="BC106" s="1212">
        <f t="shared" ca="1" si="66"/>
        <v>0</v>
      </c>
      <c r="BD106" s="1213">
        <f t="shared" ca="1" si="67"/>
        <v>0</v>
      </c>
      <c r="BE106" s="1587">
        <f t="shared" ca="1" si="68"/>
        <v>0</v>
      </c>
      <c r="BH106" s="1212">
        <f t="shared" ca="1" si="69"/>
        <v>0</v>
      </c>
      <c r="BI106" s="1213">
        <f t="shared" ca="1" si="70"/>
        <v>0</v>
      </c>
      <c r="BJ106" s="1587">
        <f t="shared" ca="1" si="71"/>
        <v>0</v>
      </c>
      <c r="BM106" s="1212">
        <f t="shared" ca="1" si="72"/>
        <v>0</v>
      </c>
      <c r="BN106" s="1213">
        <f t="shared" ca="1" si="73"/>
        <v>0</v>
      </c>
      <c r="BO106" s="1587">
        <f t="shared" ca="1" si="74"/>
        <v>0</v>
      </c>
      <c r="BR106" s="1212">
        <f t="shared" ca="1" si="75"/>
        <v>0</v>
      </c>
      <c r="BS106" s="1213">
        <f t="shared" ca="1" si="76"/>
        <v>0</v>
      </c>
      <c r="BT106" s="1587">
        <f t="shared" ca="1" si="77"/>
        <v>0</v>
      </c>
      <c r="BW106" s="1212">
        <f t="shared" ca="1" si="78"/>
        <v>0</v>
      </c>
      <c r="BX106" s="1213">
        <f t="shared" ca="1" si="79"/>
        <v>0</v>
      </c>
      <c r="BY106" s="1587">
        <f t="shared" ca="1" si="80"/>
        <v>0</v>
      </c>
      <c r="CB106" s="1212">
        <f t="shared" ca="1" si="81"/>
        <v>0</v>
      </c>
      <c r="CC106" s="1213">
        <f t="shared" ca="1" si="82"/>
        <v>0</v>
      </c>
      <c r="CD106" s="1587">
        <f t="shared" ca="1" si="83"/>
        <v>0</v>
      </c>
      <c r="CG106" s="1212">
        <f t="shared" ca="1" si="84"/>
        <v>0</v>
      </c>
      <c r="CH106" s="1213">
        <f t="shared" ca="1" si="85"/>
        <v>0</v>
      </c>
      <c r="CI106" s="1587">
        <f t="shared" ca="1" si="86"/>
        <v>0</v>
      </c>
      <c r="CL106" s="1212">
        <f t="shared" ca="1" si="87"/>
        <v>0</v>
      </c>
      <c r="CM106" s="1213">
        <f t="shared" ca="1" si="88"/>
        <v>0</v>
      </c>
      <c r="CN106" s="1587">
        <f t="shared" ca="1" si="89"/>
        <v>0</v>
      </c>
    </row>
    <row r="107" spans="1:92">
      <c r="A107" s="141" t="str">
        <f>'銀行-TSS'!A107</f>
        <v>US437076BY77</v>
      </c>
      <c r="B107" s="151" t="str">
        <f ca="1">VLOOKUP(A107,'銀行-TSS'!A:B,2,FALSE)</f>
        <v>XFY50</v>
      </c>
      <c r="C107" s="151" t="str">
        <f ca="1">VLOOKUP(B107,bond!B:C,2,FALSE)</f>
        <v>家得寶公司美元配息債券 2.95% 2029/6/15</v>
      </c>
      <c r="D107" s="95" t="str">
        <f>VLOOKUP(A107,'銀行-TSS'!A:C,3,FALSE)</f>
        <v>USD</v>
      </c>
      <c r="E107" s="90">
        <f ca="1">VLOOKUP(A107,'銀行-TSS'!A:G,7,FALSE)</f>
        <v>4.95</v>
      </c>
      <c r="F107" s="202">
        <f ca="1">VLOOKUP(A107,'銀行-TSS'!A:H,8,FALSE)</f>
        <v>2.9500000000000002E-2</v>
      </c>
      <c r="G107" s="96">
        <f ca="1">VLOOKUP(A107,'銀行-TSS'!A:K,11,FALSE)</f>
        <v>93.72</v>
      </c>
      <c r="H107" s="1209">
        <f ca="1">VLOOKUP(A107,'銀行-TSS'!A:M,13,FALSE)</f>
        <v>4.41E-2</v>
      </c>
      <c r="I107" s="1213">
        <f ca="1">VLOOKUP(A107,'銀行-TSS'!A:N,14,FALSE)</f>
        <v>10000</v>
      </c>
      <c r="J107" s="1213">
        <f ca="1">VLOOKUP(A107,'銀行-TSS'!A:O,15,FALSE)</f>
        <v>1000</v>
      </c>
      <c r="K107" s="136" t="str">
        <f ca="1">VLOOKUP(A107,'銀行-TSS'!A:V,22,FALSE)</f>
        <v>(NPI)非專投</v>
      </c>
      <c r="L107" s="136" t="str">
        <f ca="1">VLOOKUP(A107,'銀行-TSS'!A:AK,37,FALSE)</f>
        <v>有</v>
      </c>
      <c r="M107" s="136" t="str">
        <f ca="1">VLOOKUP(A107,'銀行-TSS'!A:AN,40,FALSE)</f>
        <v/>
      </c>
      <c r="N107" s="136">
        <f t="shared" ca="1" si="45"/>
        <v>937.2</v>
      </c>
      <c r="O107" s="1213">
        <f t="shared" ca="1" si="46"/>
        <v>9372</v>
      </c>
      <c r="P107" s="1213">
        <f ca="1">IF(AND($O$1&gt;=O107,換券單檔!$D$13=D107),I107+INT(($O$1-O107)/N107)*J107,0)</f>
        <v>103000</v>
      </c>
      <c r="Q107" s="1213">
        <f t="shared" ca="1" si="47"/>
        <v>3038.5</v>
      </c>
      <c r="R107" s="1213">
        <f t="shared" ca="1" si="48"/>
        <v>103000</v>
      </c>
      <c r="S107" s="1213">
        <f t="shared" ca="1" si="49"/>
        <v>3038.5</v>
      </c>
      <c r="T107" s="136">
        <f ca="1">IF(OR(R107=0,A107=0),0,IF(AND(V107=TRUE,換券單檔!$D$13=D107),E107,0))</f>
        <v>4.95</v>
      </c>
      <c r="U107" s="861">
        <f ca="1">IF(OR(R107=0,A107=0),0,IF(AND(V107=TRUE,換券單檔!$D$13=D107),H107,0))</f>
        <v>4.41E-2</v>
      </c>
      <c r="V107" s="136" t="b">
        <f ca="1">IF(OR(B107=換券單檔!$D$3,L107="無",M107&lt;&gt;"",K107="高資產",IFERROR(MATCH(B107,換券單檔!K:K,0),"N")&lt;&gt;"N"),FALSE,IF($V$1="All",TRUE,IF(K107=$V$1,TRUE,FALSE)))</f>
        <v>1</v>
      </c>
      <c r="W107" s="136">
        <f ca="1">VLOOKUP(A107,'銀行-TSS'!A:AO,41,FALSE)</f>
        <v>91.98</v>
      </c>
      <c r="X107" s="136">
        <f ca="1">VLOOKUP(A107,'銀行-TSS'!A:AP,42,FALSE)</f>
        <v>4.5175999999999998</v>
      </c>
      <c r="Y107" s="1220">
        <f t="shared" ca="1" si="50"/>
        <v>4279.9471344000003</v>
      </c>
      <c r="Z107" s="1220">
        <f t="shared" ca="1" si="51"/>
        <v>0</v>
      </c>
      <c r="AA107" s="136">
        <f ca="1">IF(Z107&lt;=0,0,RANK(Z107,Z:Z)+COUNTIF($Z$3:$Z107,Z107)-1)</f>
        <v>0</v>
      </c>
      <c r="AB107" s="1211">
        <f t="shared" ca="1" si="52"/>
        <v>-10616.192865599998</v>
      </c>
      <c r="AC107" s="136">
        <f ca="1">IF(AB107&lt;=0,0,RANK(AB107,AB:AB)+COUNTIF($AB$3:$AB107,AB107)-1)</f>
        <v>0</v>
      </c>
      <c r="AD107" s="1123">
        <f t="shared" ca="1" si="53"/>
        <v>99999</v>
      </c>
      <c r="AE107" s="1123">
        <f ca="1">IF(AD107=99999,0,RANK(AD107,AD:AD,1)+COUNTIF($AD$3:$AD107,AD107)-1)</f>
        <v>0</v>
      </c>
      <c r="AF107" s="86" t="b">
        <f ca="1">IF(OR(M107&lt;&gt;"",L107="無",K107="高資產",IFERROR(MATCH(B107,換券單檔!K:K,0),"N")&lt;&gt;"N"),FALSE,TRUE)</f>
        <v>1</v>
      </c>
      <c r="AI107" s="1212">
        <f t="shared" ca="1" si="54"/>
        <v>103000</v>
      </c>
      <c r="AJ107" s="1213">
        <f t="shared" ca="1" si="55"/>
        <v>3038.5</v>
      </c>
      <c r="AK107" s="1587">
        <f t="shared" ca="1" si="56"/>
        <v>0</v>
      </c>
      <c r="AN107" s="1212">
        <f t="shared" ca="1" si="57"/>
        <v>59000</v>
      </c>
      <c r="AO107" s="1213">
        <f t="shared" ca="1" si="58"/>
        <v>1740.5</v>
      </c>
      <c r="AP107" s="1587">
        <f t="shared" ca="1" si="59"/>
        <v>0</v>
      </c>
      <c r="AS107" s="1212">
        <f t="shared" ca="1" si="60"/>
        <v>100000</v>
      </c>
      <c r="AT107" s="1213">
        <f t="shared" ca="1" si="61"/>
        <v>2950</v>
      </c>
      <c r="AU107" s="1587">
        <f t="shared" ca="1" si="62"/>
        <v>0</v>
      </c>
      <c r="AX107" s="1212">
        <f t="shared" ca="1" si="63"/>
        <v>92000</v>
      </c>
      <c r="AY107" s="1213">
        <f t="shared" ca="1" si="64"/>
        <v>2714</v>
      </c>
      <c r="AZ107" s="1587">
        <f t="shared" ca="1" si="65"/>
        <v>0</v>
      </c>
      <c r="BC107" s="1212">
        <f t="shared" ca="1" si="66"/>
        <v>0</v>
      </c>
      <c r="BD107" s="1213">
        <f t="shared" ca="1" si="67"/>
        <v>0</v>
      </c>
      <c r="BE107" s="1587">
        <f t="shared" ca="1" si="68"/>
        <v>0</v>
      </c>
      <c r="BH107" s="1212">
        <f t="shared" ca="1" si="69"/>
        <v>0</v>
      </c>
      <c r="BI107" s="1213">
        <f t="shared" ca="1" si="70"/>
        <v>0</v>
      </c>
      <c r="BJ107" s="1587">
        <f t="shared" ca="1" si="71"/>
        <v>0</v>
      </c>
      <c r="BM107" s="1212">
        <f t="shared" ca="1" si="72"/>
        <v>0</v>
      </c>
      <c r="BN107" s="1213">
        <f t="shared" ca="1" si="73"/>
        <v>0</v>
      </c>
      <c r="BO107" s="1587">
        <f t="shared" ca="1" si="74"/>
        <v>0</v>
      </c>
      <c r="BR107" s="1212">
        <f t="shared" ca="1" si="75"/>
        <v>0</v>
      </c>
      <c r="BS107" s="1213">
        <f t="shared" ca="1" si="76"/>
        <v>0</v>
      </c>
      <c r="BT107" s="1587">
        <f t="shared" ca="1" si="77"/>
        <v>0</v>
      </c>
      <c r="BW107" s="1212">
        <f t="shared" ca="1" si="78"/>
        <v>0</v>
      </c>
      <c r="BX107" s="1213">
        <f t="shared" ca="1" si="79"/>
        <v>0</v>
      </c>
      <c r="BY107" s="1587">
        <f t="shared" ca="1" si="80"/>
        <v>0</v>
      </c>
      <c r="CB107" s="1212">
        <f t="shared" ca="1" si="81"/>
        <v>0</v>
      </c>
      <c r="CC107" s="1213">
        <f t="shared" ca="1" si="82"/>
        <v>0</v>
      </c>
      <c r="CD107" s="1587">
        <f t="shared" ca="1" si="83"/>
        <v>0</v>
      </c>
      <c r="CG107" s="1212">
        <f t="shared" ca="1" si="84"/>
        <v>0</v>
      </c>
      <c r="CH107" s="1213">
        <f t="shared" ca="1" si="85"/>
        <v>0</v>
      </c>
      <c r="CI107" s="1587">
        <f t="shared" ca="1" si="86"/>
        <v>0</v>
      </c>
      <c r="CL107" s="1212">
        <f t="shared" ca="1" si="87"/>
        <v>0</v>
      </c>
      <c r="CM107" s="1213">
        <f t="shared" ca="1" si="88"/>
        <v>0</v>
      </c>
      <c r="CN107" s="1587">
        <f t="shared" ca="1" si="89"/>
        <v>0</v>
      </c>
    </row>
    <row r="108" spans="1:92">
      <c r="A108" s="141" t="str">
        <f>'銀行-TSS'!A108</f>
        <v>US655664AR15</v>
      </c>
      <c r="B108" s="151" t="str">
        <f ca="1">VLOOKUP(A108,'銀行-TSS'!A:B,2,FALSE)</f>
        <v>XFY70</v>
      </c>
      <c r="C108" s="151" t="str">
        <f ca="1">VLOOKUP(B108,bond!B:C,2,FALSE)</f>
        <v>諾德斯特隆公司美元配息債券 5% 2044/1/15</v>
      </c>
      <c r="D108" s="95" t="str">
        <f>VLOOKUP(A108,'銀行-TSS'!A:C,3,FALSE)</f>
        <v>USD</v>
      </c>
      <c r="E108" s="90">
        <f ca="1">VLOOKUP(A108,'銀行-TSS'!A:G,7,FALSE)</f>
        <v>19.54</v>
      </c>
      <c r="F108" s="202">
        <f ca="1">VLOOKUP(A108,'銀行-TSS'!A:H,8,FALSE)</f>
        <v>0.05</v>
      </c>
      <c r="G108" s="96">
        <f ca="1">VLOOKUP(A108,'銀行-TSS'!A:K,11,FALSE)</f>
        <v>87.04</v>
      </c>
      <c r="H108" s="1209">
        <f ca="1">VLOOKUP(A108,'銀行-TSS'!A:M,13,FALSE)</f>
        <v>6.3799999999999996E-2</v>
      </c>
      <c r="I108" s="1213">
        <f ca="1">VLOOKUP(A108,'銀行-TSS'!A:N,14,FALSE)</f>
        <v>10000</v>
      </c>
      <c r="J108" s="1213">
        <f ca="1">VLOOKUP(A108,'銀行-TSS'!A:O,15,FALSE)</f>
        <v>1000</v>
      </c>
      <c r="K108" s="136" t="str">
        <f ca="1">VLOOKUP(A108,'銀行-TSS'!A:V,22,FALSE)</f>
        <v>(PI)專投</v>
      </c>
      <c r="L108" s="136" t="str">
        <f ca="1">VLOOKUP(A108,'銀行-TSS'!A:AK,37,FALSE)</f>
        <v>有</v>
      </c>
      <c r="M108" s="136" t="str">
        <f ca="1">VLOOKUP(A108,'銀行-TSS'!A:AN,40,FALSE)</f>
        <v/>
      </c>
      <c r="N108" s="136">
        <f t="shared" ca="1" si="45"/>
        <v>870.4</v>
      </c>
      <c r="O108" s="1213">
        <f t="shared" ca="1" si="46"/>
        <v>8704.0000000000018</v>
      </c>
      <c r="P108" s="1213">
        <f ca="1">IF(AND($O$1&gt;=O108,換券單檔!$D$13=D108),I108+INT(($O$1-O108)/N108)*J108,0)</f>
        <v>111000</v>
      </c>
      <c r="Q108" s="1213">
        <f t="shared" ca="1" si="47"/>
        <v>5550</v>
      </c>
      <c r="R108" s="1213">
        <f t="shared" ca="1" si="48"/>
        <v>111000</v>
      </c>
      <c r="S108" s="1213">
        <f t="shared" ca="1" si="49"/>
        <v>5550</v>
      </c>
      <c r="T108" s="136">
        <f ca="1">IF(OR(R108=0,A108=0),0,IF(AND(V108=TRUE,換券單檔!$D$13=D108),E108,0))</f>
        <v>19.54</v>
      </c>
      <c r="U108" s="861">
        <f ca="1">IF(OR(R108=0,A108=0),0,IF(AND(V108=TRUE,換券單檔!$D$13=D108),H108,0))</f>
        <v>6.3799999999999996E-2</v>
      </c>
      <c r="V108" s="136" t="b">
        <f ca="1">IF(OR(B108=換券單檔!$D$3,L108="無",M108&lt;&gt;"",K108="高資產",IFERROR(MATCH(B108,換券單檔!K:K,0),"N")&lt;&gt;"N"),FALSE,IF($V$1="All",TRUE,IF(K108=$V$1,TRUE,FALSE)))</f>
        <v>1</v>
      </c>
      <c r="W108" s="136">
        <f ca="1">VLOOKUP(A108,'銀行-TSS'!A:AO,41,FALSE)</f>
        <v>81.72</v>
      </c>
      <c r="X108" s="136">
        <f ca="1">VLOOKUP(A108,'銀行-TSS'!A:AP,42,FALSE)</f>
        <v>11.227600000000001</v>
      </c>
      <c r="Y108" s="1220">
        <f t="shared" ca="1" si="50"/>
        <v>10184.4661392</v>
      </c>
      <c r="Z108" s="1220">
        <f t="shared" ca="1" si="51"/>
        <v>2327.7379733879252</v>
      </c>
      <c r="AA108" s="136">
        <f ca="1">IF(Z108&lt;=0,0,RANK(Z108,Z:Z)+COUNTIF($Z$3:$Z108,Z108)-1)</f>
        <v>5</v>
      </c>
      <c r="AB108" s="1211">
        <f t="shared" ca="1" si="52"/>
        <v>-4711.6738607999996</v>
      </c>
      <c r="AC108" s="136">
        <f ca="1">IF(AB108&lt;=0,0,RANK(AB108,AB:AB)+COUNTIF($AB$3:$AB108,AB108)-1)</f>
        <v>0</v>
      </c>
      <c r="AD108" s="1123">
        <f t="shared" ca="1" si="53"/>
        <v>99999</v>
      </c>
      <c r="AE108" s="1123">
        <f ca="1">IF(AD108=99999,0,RANK(AD108,AD:AD,1)+COUNTIF($AD$3:$AD108,AD108)-1)</f>
        <v>0</v>
      </c>
      <c r="AF108" s="86" t="b">
        <f ca="1">IF(OR(M108&lt;&gt;"",L108="無",K108="高資產",IFERROR(MATCH(B108,換券單檔!K:K,0),"N")&lt;&gt;"N"),FALSE,TRUE)</f>
        <v>1</v>
      </c>
      <c r="AI108" s="1212">
        <f t="shared" ca="1" si="54"/>
        <v>111000</v>
      </c>
      <c r="AJ108" s="1213">
        <f t="shared" ca="1" si="55"/>
        <v>5550</v>
      </c>
      <c r="AK108" s="1587">
        <f t="shared" ca="1" si="56"/>
        <v>2327.7379733879252</v>
      </c>
      <c r="AN108" s="1212">
        <f t="shared" ca="1" si="57"/>
        <v>63000</v>
      </c>
      <c r="AO108" s="1213">
        <f t="shared" ca="1" si="58"/>
        <v>3150</v>
      </c>
      <c r="AP108" s="1587">
        <f t="shared" ca="1" si="59"/>
        <v>-71369.089048106442</v>
      </c>
      <c r="AS108" s="1212">
        <f t="shared" ca="1" si="60"/>
        <v>108000</v>
      </c>
      <c r="AT108" s="1213">
        <f t="shared" ca="1" si="61"/>
        <v>5400</v>
      </c>
      <c r="AU108" s="1587">
        <f t="shared" ca="1" si="62"/>
        <v>1739.4063459570111</v>
      </c>
      <c r="AX108" s="1212">
        <f t="shared" ca="1" si="63"/>
        <v>99000</v>
      </c>
      <c r="AY108" s="1213">
        <f t="shared" ca="1" si="64"/>
        <v>4950</v>
      </c>
      <c r="AZ108" s="1587">
        <f t="shared" ca="1" si="65"/>
        <v>-538.38280450358502</v>
      </c>
      <c r="BC108" s="1212">
        <f t="shared" ca="1" si="66"/>
        <v>0</v>
      </c>
      <c r="BD108" s="1213">
        <f t="shared" ca="1" si="67"/>
        <v>0</v>
      </c>
      <c r="BE108" s="1587">
        <f t="shared" ca="1" si="68"/>
        <v>0</v>
      </c>
      <c r="BH108" s="1212">
        <f t="shared" ca="1" si="69"/>
        <v>0</v>
      </c>
      <c r="BI108" s="1213">
        <f t="shared" ca="1" si="70"/>
        <v>0</v>
      </c>
      <c r="BJ108" s="1587">
        <f t="shared" ca="1" si="71"/>
        <v>0</v>
      </c>
      <c r="BM108" s="1212">
        <f t="shared" ca="1" si="72"/>
        <v>0</v>
      </c>
      <c r="BN108" s="1213">
        <f t="shared" ca="1" si="73"/>
        <v>0</v>
      </c>
      <c r="BO108" s="1587">
        <f t="shared" ca="1" si="74"/>
        <v>0</v>
      </c>
      <c r="BR108" s="1212">
        <f t="shared" ca="1" si="75"/>
        <v>0</v>
      </c>
      <c r="BS108" s="1213">
        <f t="shared" ca="1" si="76"/>
        <v>0</v>
      </c>
      <c r="BT108" s="1587">
        <f t="shared" ca="1" si="77"/>
        <v>0</v>
      </c>
      <c r="BW108" s="1212">
        <f t="shared" ca="1" si="78"/>
        <v>0</v>
      </c>
      <c r="BX108" s="1213">
        <f t="shared" ca="1" si="79"/>
        <v>0</v>
      </c>
      <c r="BY108" s="1587">
        <f t="shared" ca="1" si="80"/>
        <v>0</v>
      </c>
      <c r="CB108" s="1212">
        <f t="shared" ca="1" si="81"/>
        <v>0</v>
      </c>
      <c r="CC108" s="1213">
        <f t="shared" ca="1" si="82"/>
        <v>0</v>
      </c>
      <c r="CD108" s="1587">
        <f t="shared" ca="1" si="83"/>
        <v>0</v>
      </c>
      <c r="CG108" s="1212">
        <f t="shared" ca="1" si="84"/>
        <v>0</v>
      </c>
      <c r="CH108" s="1213">
        <f t="shared" ca="1" si="85"/>
        <v>0</v>
      </c>
      <c r="CI108" s="1587">
        <f t="shared" ca="1" si="86"/>
        <v>0</v>
      </c>
      <c r="CL108" s="1212">
        <f t="shared" ca="1" si="87"/>
        <v>0</v>
      </c>
      <c r="CM108" s="1213">
        <f t="shared" ca="1" si="88"/>
        <v>0</v>
      </c>
      <c r="CN108" s="1587">
        <f t="shared" ca="1" si="89"/>
        <v>0</v>
      </c>
    </row>
    <row r="109" spans="1:92">
      <c r="A109" s="141" t="str">
        <f>'銀行-TSS'!A109</f>
        <v>US69370RAE71</v>
      </c>
      <c r="B109" s="151" t="str">
        <f ca="1">VLOOKUP(A109,'銀行-TSS'!A:B,2,FALSE)</f>
        <v>XFY80</v>
      </c>
      <c r="C109" s="151" t="str">
        <f ca="1">VLOOKUP(B109,bond!B:C,2,FALSE)</f>
        <v>印尼國家石油有限公司美元配息債券 4.7% 2049/7/30</v>
      </c>
      <c r="D109" s="95" t="str">
        <f>VLOOKUP(A109,'銀行-TSS'!A:C,3,FALSE)</f>
        <v>USD</v>
      </c>
      <c r="E109" s="90">
        <f ca="1">VLOOKUP(A109,'銀行-TSS'!A:G,7,FALSE)</f>
        <v>25.08</v>
      </c>
      <c r="F109" s="202">
        <f ca="1">VLOOKUP(A109,'銀行-TSS'!A:H,8,FALSE)</f>
        <v>4.7E-2</v>
      </c>
      <c r="G109" s="96">
        <f ca="1">VLOOKUP(A109,'銀行-TSS'!A:K,11,FALSE)</f>
        <v>90.71</v>
      </c>
      <c r="H109" s="1209">
        <f ca="1">VLOOKUP(A109,'銀行-TSS'!A:M,13,FALSE)</f>
        <v>5.5399999999999998E-2</v>
      </c>
      <c r="I109" s="1213">
        <f ca="1">VLOOKUP(A109,'銀行-TSS'!A:N,14,FALSE)</f>
        <v>200000</v>
      </c>
      <c r="J109" s="1213">
        <f ca="1">VLOOKUP(A109,'銀行-TSS'!A:O,15,FALSE)</f>
        <v>1000</v>
      </c>
      <c r="K109" s="136" t="str">
        <f ca="1">VLOOKUP(A109,'銀行-TSS'!A:V,22,FALSE)</f>
        <v>(PI)專投</v>
      </c>
      <c r="L109" s="136" t="str">
        <f ca="1">VLOOKUP(A109,'銀行-TSS'!A:AK,37,FALSE)</f>
        <v>有</v>
      </c>
      <c r="M109" s="136" t="str">
        <f ca="1">VLOOKUP(A109,'銀行-TSS'!A:AN,40,FALSE)</f>
        <v/>
      </c>
      <c r="N109" s="136">
        <f t="shared" ca="1" si="45"/>
        <v>907.1</v>
      </c>
      <c r="O109" s="1213">
        <f t="shared" ca="1" si="46"/>
        <v>181420</v>
      </c>
      <c r="P109" s="1213">
        <f ca="1">IF(AND($O$1&gt;=O109,換券單檔!$D$13=D109),I109+INT(($O$1-O109)/N109)*J109,0)</f>
        <v>0</v>
      </c>
      <c r="Q109" s="1213">
        <f t="shared" ca="1" si="47"/>
        <v>0</v>
      </c>
      <c r="R109" s="1213">
        <f t="shared" ca="1" si="48"/>
        <v>0</v>
      </c>
      <c r="S109" s="1213">
        <f t="shared" ca="1" si="49"/>
        <v>0</v>
      </c>
      <c r="T109" s="136">
        <f ca="1">IF(OR(R109=0,A109=0),0,IF(AND(V109=TRUE,換券單檔!$D$13=D109),E109,0))</f>
        <v>0</v>
      </c>
      <c r="U109" s="861">
        <f ca="1">IF(OR(R109=0,A109=0),0,IF(AND(V109=TRUE,換券單檔!$D$13=D109),H109,0))</f>
        <v>0</v>
      </c>
      <c r="V109" s="136" t="b">
        <f ca="1">IF(OR(B109=換券單檔!$D$3,L109="無",M109&lt;&gt;"",K109="高資產",IFERROR(MATCH(B109,換券單檔!K:K,0),"N")&lt;&gt;"N"),FALSE,IF($V$1="All",TRUE,IF(K109=$V$1,TRUE,FALSE)))</f>
        <v>1</v>
      </c>
      <c r="W109" s="136">
        <f ca="1">VLOOKUP(A109,'銀行-TSS'!A:AO,41,FALSE)</f>
        <v>85.23</v>
      </c>
      <c r="X109" s="136">
        <f ca="1">VLOOKUP(A109,'銀行-TSS'!A:AP,42,FALSE)</f>
        <v>13.4587</v>
      </c>
      <c r="Y109" s="1220">
        <f t="shared" ca="1" si="50"/>
        <v>0</v>
      </c>
      <c r="Z109" s="1220">
        <f t="shared" ca="1" si="51"/>
        <v>0</v>
      </c>
      <c r="AA109" s="136">
        <f ca="1">IF(Z109&lt;=0,0,RANK(Z109,Z:Z)+COUNTIF($Z$3:$Z109,Z109)-1)</f>
        <v>0</v>
      </c>
      <c r="AB109" s="1211">
        <f t="shared" ca="1" si="52"/>
        <v>-114896.14</v>
      </c>
      <c r="AC109" s="136">
        <f ca="1">IF(AB109&lt;=0,0,RANK(AB109,AB:AB)+COUNTIF($AB$3:$AB109,AB109)-1)</f>
        <v>0</v>
      </c>
      <c r="AD109" s="1123">
        <f t="shared" ca="1" si="53"/>
        <v>99999</v>
      </c>
      <c r="AE109" s="1123">
        <f ca="1">IF(AD109=99999,0,RANK(AD109,AD:AD,1)+COUNTIF($AD$3:$AD109,AD109)-1)</f>
        <v>0</v>
      </c>
      <c r="AF109" s="86" t="b">
        <f ca="1">IF(OR(M109&lt;&gt;"",L109="無",K109="高資產",IFERROR(MATCH(B109,換券單檔!K:K,0),"N")&lt;&gt;"N"),FALSE,TRUE)</f>
        <v>1</v>
      </c>
      <c r="AI109" s="1212">
        <f t="shared" ca="1" si="54"/>
        <v>0</v>
      </c>
      <c r="AJ109" s="1213">
        <f t="shared" ca="1" si="55"/>
        <v>0</v>
      </c>
      <c r="AK109" s="1587">
        <f t="shared" ca="1" si="56"/>
        <v>0</v>
      </c>
      <c r="AN109" s="1212">
        <f t="shared" ca="1" si="57"/>
        <v>0</v>
      </c>
      <c r="AO109" s="1213">
        <f t="shared" ca="1" si="58"/>
        <v>0</v>
      </c>
      <c r="AP109" s="1587">
        <f t="shared" ca="1" si="59"/>
        <v>0</v>
      </c>
      <c r="AS109" s="1212">
        <f t="shared" ca="1" si="60"/>
        <v>0</v>
      </c>
      <c r="AT109" s="1213">
        <f t="shared" ca="1" si="61"/>
        <v>0</v>
      </c>
      <c r="AU109" s="1587">
        <f t="shared" ca="1" si="62"/>
        <v>0</v>
      </c>
      <c r="AX109" s="1212">
        <f t="shared" ca="1" si="63"/>
        <v>0</v>
      </c>
      <c r="AY109" s="1213">
        <f t="shared" ca="1" si="64"/>
        <v>0</v>
      </c>
      <c r="AZ109" s="1587">
        <f t="shared" ca="1" si="65"/>
        <v>0</v>
      </c>
      <c r="BC109" s="1212">
        <f t="shared" ca="1" si="66"/>
        <v>0</v>
      </c>
      <c r="BD109" s="1213">
        <f t="shared" ca="1" si="67"/>
        <v>0</v>
      </c>
      <c r="BE109" s="1587">
        <f t="shared" ca="1" si="68"/>
        <v>0</v>
      </c>
      <c r="BH109" s="1212">
        <f t="shared" ca="1" si="69"/>
        <v>0</v>
      </c>
      <c r="BI109" s="1213">
        <f t="shared" ca="1" si="70"/>
        <v>0</v>
      </c>
      <c r="BJ109" s="1587">
        <f t="shared" ca="1" si="71"/>
        <v>0</v>
      </c>
      <c r="BM109" s="1212">
        <f t="shared" ca="1" si="72"/>
        <v>0</v>
      </c>
      <c r="BN109" s="1213">
        <f t="shared" ca="1" si="73"/>
        <v>0</v>
      </c>
      <c r="BO109" s="1587">
        <f t="shared" ca="1" si="74"/>
        <v>0</v>
      </c>
      <c r="BR109" s="1212">
        <f t="shared" ca="1" si="75"/>
        <v>0</v>
      </c>
      <c r="BS109" s="1213">
        <f t="shared" ca="1" si="76"/>
        <v>0</v>
      </c>
      <c r="BT109" s="1587">
        <f t="shared" ca="1" si="77"/>
        <v>0</v>
      </c>
      <c r="BW109" s="1212">
        <f t="shared" ca="1" si="78"/>
        <v>0</v>
      </c>
      <c r="BX109" s="1213">
        <f t="shared" ca="1" si="79"/>
        <v>0</v>
      </c>
      <c r="BY109" s="1587">
        <f t="shared" ca="1" si="80"/>
        <v>0</v>
      </c>
      <c r="CB109" s="1212">
        <f t="shared" ca="1" si="81"/>
        <v>0</v>
      </c>
      <c r="CC109" s="1213">
        <f t="shared" ca="1" si="82"/>
        <v>0</v>
      </c>
      <c r="CD109" s="1587">
        <f t="shared" ca="1" si="83"/>
        <v>0</v>
      </c>
      <c r="CG109" s="1212">
        <f t="shared" ca="1" si="84"/>
        <v>0</v>
      </c>
      <c r="CH109" s="1213">
        <f t="shared" ca="1" si="85"/>
        <v>0</v>
      </c>
      <c r="CI109" s="1587">
        <f t="shared" ca="1" si="86"/>
        <v>0</v>
      </c>
      <c r="CL109" s="1212">
        <f t="shared" ca="1" si="87"/>
        <v>0</v>
      </c>
      <c r="CM109" s="1213">
        <f t="shared" ca="1" si="88"/>
        <v>0</v>
      </c>
      <c r="CN109" s="1587">
        <f t="shared" ca="1" si="89"/>
        <v>0</v>
      </c>
    </row>
    <row r="110" spans="1:92">
      <c r="A110" s="141" t="str">
        <f>'銀行-TSS'!A110</f>
        <v>AU0000078644</v>
      </c>
      <c r="B110" s="151" t="str">
        <f ca="1">VLOOKUP(A110,'銀行-TSS'!A:B,2,FALSE)</f>
        <v>XFY90</v>
      </c>
      <c r="C110" s="151" t="str">
        <f ca="1">VLOOKUP(B110,bond!B:C,2,FALSE)</f>
        <v>阿聯酋杜拜國家銀行澳幣配息債券 3.05% 2030/2/26</v>
      </c>
      <c r="D110" s="95" t="str">
        <f>VLOOKUP(A110,'銀行-TSS'!A:C,3,FALSE)</f>
        <v>AUD</v>
      </c>
      <c r="E110" s="90">
        <f ca="1">VLOOKUP(A110,'銀行-TSS'!A:G,7,FALSE)</f>
        <v>5.65</v>
      </c>
      <c r="F110" s="202">
        <f ca="1">VLOOKUP(A110,'銀行-TSS'!A:H,8,FALSE)</f>
        <v>3.0499999999999999E-2</v>
      </c>
      <c r="G110" s="96">
        <f ca="1">VLOOKUP(A110,'銀行-TSS'!A:K,11,FALSE)</f>
        <v>92.68</v>
      </c>
      <c r="H110" s="1209">
        <f ca="1">VLOOKUP(A110,'銀行-TSS'!A:M,13,FALSE)</f>
        <v>4.7600000000000003E-2</v>
      </c>
      <c r="I110" s="1213">
        <f ca="1">VLOOKUP(A110,'銀行-TSS'!A:N,14,FALSE)</f>
        <v>10000</v>
      </c>
      <c r="J110" s="1213">
        <f ca="1">VLOOKUP(A110,'銀行-TSS'!A:O,15,FALSE)</f>
        <v>10000</v>
      </c>
      <c r="K110" s="136" t="str">
        <f ca="1">VLOOKUP(A110,'銀行-TSS'!A:V,22,FALSE)</f>
        <v>(NPI)非專投</v>
      </c>
      <c r="L110" s="136" t="str">
        <f ca="1">VLOOKUP(A110,'銀行-TSS'!A:AK,37,FALSE)</f>
        <v>無</v>
      </c>
      <c r="M110" s="136" t="str">
        <f ca="1">VLOOKUP(A110,'銀行-TSS'!A:AN,40,FALSE)</f>
        <v>XFY90</v>
      </c>
      <c r="N110" s="136">
        <f t="shared" ca="1" si="45"/>
        <v>9268.0000000000018</v>
      </c>
      <c r="O110" s="1213">
        <f t="shared" ca="1" si="46"/>
        <v>9268.0000000000018</v>
      </c>
      <c r="P110" s="1213">
        <f ca="1">IF(AND($O$1&gt;=O110,換券單檔!$D$13=D110),I110+INT(($O$1-O110)/N110)*J110,0)</f>
        <v>0</v>
      </c>
      <c r="Q110" s="1213">
        <f t="shared" ca="1" si="47"/>
        <v>0</v>
      </c>
      <c r="R110" s="1213">
        <f t="shared" ca="1" si="48"/>
        <v>0</v>
      </c>
      <c r="S110" s="1213">
        <f t="shared" ca="1" si="49"/>
        <v>0</v>
      </c>
      <c r="T110" s="136">
        <f ca="1">IF(OR(R110=0,A110=0),0,IF(AND(V110=TRUE,換券單檔!$D$13=D110),E110,0))</f>
        <v>0</v>
      </c>
      <c r="U110" s="861">
        <f ca="1">IF(OR(R110=0,A110=0),0,IF(AND(V110=TRUE,換券單檔!$D$13=D110),H110,0))</f>
        <v>0</v>
      </c>
      <c r="V110" s="136" t="b">
        <f ca="1">IF(OR(B110=換券單檔!$D$3,L110="無",M110&lt;&gt;"",K110="高資產",IFERROR(MATCH(B110,換券單檔!K:K,0),"N")&lt;&gt;"N"),FALSE,IF($V$1="All",TRUE,IF(K110=$V$1,TRUE,FALSE)))</f>
        <v>0</v>
      </c>
      <c r="W110" s="136">
        <f ca="1">VLOOKUP(A110,'銀行-TSS'!A:AO,41,FALSE)</f>
        <v>89.61</v>
      </c>
      <c r="X110" s="136">
        <f ca="1">VLOOKUP(A110,'銀行-TSS'!A:AP,42,FALSE)</f>
        <v>5.0106000000000002</v>
      </c>
      <c r="Y110" s="1220">
        <f t="shared" ca="1" si="50"/>
        <v>0</v>
      </c>
      <c r="Z110" s="1220">
        <f t="shared" ca="1" si="51"/>
        <v>0</v>
      </c>
      <c r="AA110" s="136">
        <f ca="1">IF(Z110&lt;=0,0,RANK(Z110,Z:Z)+COUNTIF($Z$3:$Z110,Z110)-1)</f>
        <v>0</v>
      </c>
      <c r="AB110" s="1211">
        <f t="shared" ca="1" si="52"/>
        <v>-14896.14</v>
      </c>
      <c r="AC110" s="136">
        <f ca="1">IF(AB110&lt;=0,0,RANK(AB110,AB:AB)+COUNTIF($AB$3:$AB110,AB110)-1)</f>
        <v>0</v>
      </c>
      <c r="AD110" s="1123">
        <f t="shared" ca="1" si="53"/>
        <v>99999</v>
      </c>
      <c r="AE110" s="1123">
        <f ca="1">IF(AD110=99999,0,RANK(AD110,AD:AD,1)+COUNTIF($AD$3:$AD110,AD110)-1)</f>
        <v>0</v>
      </c>
      <c r="AF110" s="86" t="b">
        <f ca="1">IF(OR(M110&lt;&gt;"",L110="無",K110="高資產",IFERROR(MATCH(B110,換券單檔!K:K,0),"N")&lt;&gt;"N"),FALSE,TRUE)</f>
        <v>0</v>
      </c>
      <c r="AI110" s="1212">
        <f t="shared" ca="1" si="54"/>
        <v>0</v>
      </c>
      <c r="AJ110" s="1213">
        <f t="shared" ca="1" si="55"/>
        <v>0</v>
      </c>
      <c r="AK110" s="1587">
        <f t="shared" ca="1" si="56"/>
        <v>0</v>
      </c>
      <c r="AN110" s="1212">
        <f t="shared" ca="1" si="57"/>
        <v>0</v>
      </c>
      <c r="AO110" s="1213">
        <f t="shared" ca="1" si="58"/>
        <v>0</v>
      </c>
      <c r="AP110" s="1587">
        <f t="shared" ca="1" si="59"/>
        <v>0</v>
      </c>
      <c r="AS110" s="1212">
        <f t="shared" ca="1" si="60"/>
        <v>0</v>
      </c>
      <c r="AT110" s="1213">
        <f t="shared" ca="1" si="61"/>
        <v>0</v>
      </c>
      <c r="AU110" s="1587">
        <f t="shared" ca="1" si="62"/>
        <v>0</v>
      </c>
      <c r="AX110" s="1212">
        <f t="shared" ca="1" si="63"/>
        <v>0</v>
      </c>
      <c r="AY110" s="1213">
        <f t="shared" ca="1" si="64"/>
        <v>0</v>
      </c>
      <c r="AZ110" s="1587">
        <f t="shared" ca="1" si="65"/>
        <v>0</v>
      </c>
      <c r="BC110" s="1212">
        <f t="shared" ca="1" si="66"/>
        <v>0</v>
      </c>
      <c r="BD110" s="1213">
        <f t="shared" ca="1" si="67"/>
        <v>0</v>
      </c>
      <c r="BE110" s="1587">
        <f t="shared" ca="1" si="68"/>
        <v>0</v>
      </c>
      <c r="BH110" s="1212">
        <f t="shared" ca="1" si="69"/>
        <v>0</v>
      </c>
      <c r="BI110" s="1213">
        <f t="shared" ca="1" si="70"/>
        <v>0</v>
      </c>
      <c r="BJ110" s="1587">
        <f t="shared" ca="1" si="71"/>
        <v>0</v>
      </c>
      <c r="BM110" s="1212">
        <f t="shared" ca="1" si="72"/>
        <v>0</v>
      </c>
      <c r="BN110" s="1213">
        <f t="shared" ca="1" si="73"/>
        <v>0</v>
      </c>
      <c r="BO110" s="1587">
        <f t="shared" ca="1" si="74"/>
        <v>0</v>
      </c>
      <c r="BR110" s="1212">
        <f t="shared" ca="1" si="75"/>
        <v>0</v>
      </c>
      <c r="BS110" s="1213">
        <f t="shared" ca="1" si="76"/>
        <v>0</v>
      </c>
      <c r="BT110" s="1587">
        <f t="shared" ca="1" si="77"/>
        <v>0</v>
      </c>
      <c r="BW110" s="1212">
        <f t="shared" ca="1" si="78"/>
        <v>0</v>
      </c>
      <c r="BX110" s="1213">
        <f t="shared" ca="1" si="79"/>
        <v>0</v>
      </c>
      <c r="BY110" s="1587">
        <f t="shared" ca="1" si="80"/>
        <v>0</v>
      </c>
      <c r="CB110" s="1212">
        <f t="shared" ca="1" si="81"/>
        <v>0</v>
      </c>
      <c r="CC110" s="1213">
        <f t="shared" ca="1" si="82"/>
        <v>0</v>
      </c>
      <c r="CD110" s="1587">
        <f t="shared" ca="1" si="83"/>
        <v>0</v>
      </c>
      <c r="CG110" s="1212">
        <f t="shared" ca="1" si="84"/>
        <v>0</v>
      </c>
      <c r="CH110" s="1213">
        <f t="shared" ca="1" si="85"/>
        <v>0</v>
      </c>
      <c r="CI110" s="1587">
        <f t="shared" ca="1" si="86"/>
        <v>0</v>
      </c>
      <c r="CL110" s="1212">
        <f t="shared" ca="1" si="87"/>
        <v>0</v>
      </c>
      <c r="CM110" s="1213">
        <f t="shared" ca="1" si="88"/>
        <v>0</v>
      </c>
      <c r="CN110" s="1587">
        <f t="shared" ca="1" si="89"/>
        <v>0</v>
      </c>
    </row>
    <row r="111" spans="1:92">
      <c r="A111" s="141" t="str">
        <f>'銀行-TSS'!A111</f>
        <v>US125523AK66</v>
      </c>
      <c r="B111" s="151" t="str">
        <f ca="1">VLOOKUP(A111,'銀行-TSS'!A:B,2,FALSE)</f>
        <v>XFZ10</v>
      </c>
      <c r="C111" s="151" t="str">
        <f ca="1">VLOOKUP(B111,bond!B:C,2,FALSE)</f>
        <v>信諾公司美元配息債券 4.9% 2048/12/15</v>
      </c>
      <c r="D111" s="95" t="str">
        <f>VLOOKUP(A111,'銀行-TSS'!A:C,3,FALSE)</f>
        <v>USD</v>
      </c>
      <c r="E111" s="90">
        <f ca="1">VLOOKUP(A111,'銀行-TSS'!A:G,7,FALSE)</f>
        <v>24.45</v>
      </c>
      <c r="F111" s="202">
        <f ca="1">VLOOKUP(A111,'銀行-TSS'!A:H,8,FALSE)</f>
        <v>4.9000000000000002E-2</v>
      </c>
      <c r="G111" s="96">
        <f ca="1">VLOOKUP(A111,'銀行-TSS'!A:K,11,FALSE)</f>
        <v>92.21</v>
      </c>
      <c r="H111" s="1209">
        <f ca="1">VLOOKUP(A111,'銀行-TSS'!A:M,13,FALSE)</f>
        <v>5.5E-2</v>
      </c>
      <c r="I111" s="1213">
        <f ca="1">VLOOKUP(A111,'銀行-TSS'!A:N,14,FALSE)</f>
        <v>10000</v>
      </c>
      <c r="J111" s="1213">
        <f ca="1">VLOOKUP(A111,'銀行-TSS'!A:O,15,FALSE)</f>
        <v>1000</v>
      </c>
      <c r="K111" s="136" t="str">
        <f ca="1">VLOOKUP(A111,'銀行-TSS'!A:V,22,FALSE)</f>
        <v>(NPI)非專投</v>
      </c>
      <c r="L111" s="136" t="str">
        <f ca="1">VLOOKUP(A111,'銀行-TSS'!A:AK,37,FALSE)</f>
        <v>有</v>
      </c>
      <c r="M111" s="136" t="str">
        <f ca="1">VLOOKUP(A111,'銀行-TSS'!A:AN,40,FALSE)</f>
        <v/>
      </c>
      <c r="N111" s="136">
        <f t="shared" ca="1" si="45"/>
        <v>922.1</v>
      </c>
      <c r="O111" s="1213">
        <f t="shared" ca="1" si="46"/>
        <v>9220.9999999999982</v>
      </c>
      <c r="P111" s="1213">
        <f ca="1">IF(AND($O$1&gt;=O111,換券單檔!$D$13=D111),I111+INT(($O$1-O111)/N111)*J111,0)</f>
        <v>104000</v>
      </c>
      <c r="Q111" s="1213">
        <f t="shared" ca="1" si="47"/>
        <v>5096</v>
      </c>
      <c r="R111" s="1213">
        <f t="shared" ca="1" si="48"/>
        <v>104000</v>
      </c>
      <c r="S111" s="1213">
        <f t="shared" ca="1" si="49"/>
        <v>5096</v>
      </c>
      <c r="T111" s="136">
        <f ca="1">IF(OR(R111=0,A111=0),0,IF(AND(V111=TRUE,換券單檔!$D$13=D111),E111,0))</f>
        <v>24.45</v>
      </c>
      <c r="U111" s="861">
        <f ca="1">IF(OR(R111=0,A111=0),0,IF(AND(V111=TRUE,換券單檔!$D$13=D111),H111,0))</f>
        <v>5.5E-2</v>
      </c>
      <c r="V111" s="136" t="b">
        <f ca="1">IF(OR(B111=換券單檔!$D$3,L111="無",M111&lt;&gt;"",K111="高資產",IFERROR(MATCH(B111,換券單檔!K:K,0),"N")&lt;&gt;"N"),FALSE,IF($V$1="All",TRUE,IF(K111=$V$1,TRUE,FALSE)))</f>
        <v>1</v>
      </c>
      <c r="W111" s="136">
        <f ca="1">VLOOKUP(A111,'銀行-TSS'!A:AO,41,FALSE)</f>
        <v>88.48</v>
      </c>
      <c r="X111" s="136">
        <f ca="1">VLOOKUP(A111,'銀行-TSS'!A:AP,42,FALSE)</f>
        <v>13.513400000000001</v>
      </c>
      <c r="Y111" s="1220">
        <f t="shared" ca="1" si="50"/>
        <v>12434.9225728</v>
      </c>
      <c r="Z111" s="1220">
        <f t="shared" ca="1" si="51"/>
        <v>804.70756646217035</v>
      </c>
      <c r="AA111" s="136">
        <f ca="1">IF(Z111&lt;=0,0,RANK(Z111,Z:Z)+COUNTIF($Z$3:$Z111,Z111)-1)</f>
        <v>15</v>
      </c>
      <c r="AB111" s="1211">
        <f t="shared" ca="1" si="52"/>
        <v>-2461.2174271999993</v>
      </c>
      <c r="AC111" s="136">
        <f ca="1">IF(AB111&lt;=0,0,RANK(AB111,AB:AB)+COUNTIF($AB$3:$AB111,AB111)-1)</f>
        <v>0</v>
      </c>
      <c r="AD111" s="1123">
        <f t="shared" ca="1" si="53"/>
        <v>99999</v>
      </c>
      <c r="AE111" s="1123">
        <f ca="1">IF(AD111=99999,0,RANK(AD111,AD:AD,1)+COUNTIF($AD$3:$AD111,AD111)-1)</f>
        <v>0</v>
      </c>
      <c r="AF111" s="86" t="b">
        <f ca="1">IF(OR(M111&lt;&gt;"",L111="無",K111="高資產",IFERROR(MATCH(B111,換券單檔!K:K,0),"N")&lt;&gt;"N"),FALSE,TRUE)</f>
        <v>1</v>
      </c>
      <c r="AI111" s="1212">
        <f t="shared" ca="1" si="54"/>
        <v>104000</v>
      </c>
      <c r="AJ111" s="1213">
        <f t="shared" ca="1" si="55"/>
        <v>5096</v>
      </c>
      <c r="AK111" s="1587">
        <f t="shared" ca="1" si="56"/>
        <v>804.70756646217035</v>
      </c>
      <c r="AN111" s="1212">
        <f t="shared" ca="1" si="57"/>
        <v>59000</v>
      </c>
      <c r="AO111" s="1213">
        <f t="shared" ca="1" si="58"/>
        <v>2891</v>
      </c>
      <c r="AP111" s="1587">
        <f t="shared" ca="1" si="59"/>
        <v>-80116.32515337423</v>
      </c>
      <c r="AS111" s="1212">
        <f t="shared" ca="1" si="60"/>
        <v>102000</v>
      </c>
      <c r="AT111" s="1213">
        <f t="shared" ca="1" si="61"/>
        <v>4998</v>
      </c>
      <c r="AU111" s="1587">
        <f t="shared" ca="1" si="62"/>
        <v>402.35378323108387</v>
      </c>
      <c r="AX111" s="1212">
        <f t="shared" ca="1" si="63"/>
        <v>94000</v>
      </c>
      <c r="AY111" s="1213">
        <f t="shared" ca="1" si="64"/>
        <v>4606</v>
      </c>
      <c r="AZ111" s="1587">
        <f t="shared" ca="1" si="65"/>
        <v>-11541.570552147243</v>
      </c>
      <c r="BC111" s="1212">
        <f t="shared" ca="1" si="66"/>
        <v>0</v>
      </c>
      <c r="BD111" s="1213">
        <f t="shared" ca="1" si="67"/>
        <v>0</v>
      </c>
      <c r="BE111" s="1587">
        <f t="shared" ca="1" si="68"/>
        <v>0</v>
      </c>
      <c r="BH111" s="1212">
        <f t="shared" ca="1" si="69"/>
        <v>0</v>
      </c>
      <c r="BI111" s="1213">
        <f t="shared" ca="1" si="70"/>
        <v>0</v>
      </c>
      <c r="BJ111" s="1587">
        <f t="shared" ca="1" si="71"/>
        <v>0</v>
      </c>
      <c r="BM111" s="1212">
        <f t="shared" ca="1" si="72"/>
        <v>0</v>
      </c>
      <c r="BN111" s="1213">
        <f t="shared" ca="1" si="73"/>
        <v>0</v>
      </c>
      <c r="BO111" s="1587">
        <f t="shared" ca="1" si="74"/>
        <v>0</v>
      </c>
      <c r="BR111" s="1212">
        <f t="shared" ca="1" si="75"/>
        <v>0</v>
      </c>
      <c r="BS111" s="1213">
        <f t="shared" ca="1" si="76"/>
        <v>0</v>
      </c>
      <c r="BT111" s="1587">
        <f t="shared" ca="1" si="77"/>
        <v>0</v>
      </c>
      <c r="BW111" s="1212">
        <f t="shared" ca="1" si="78"/>
        <v>0</v>
      </c>
      <c r="BX111" s="1213">
        <f t="shared" ca="1" si="79"/>
        <v>0</v>
      </c>
      <c r="BY111" s="1587">
        <f t="shared" ca="1" si="80"/>
        <v>0</v>
      </c>
      <c r="CB111" s="1212">
        <f t="shared" ca="1" si="81"/>
        <v>0</v>
      </c>
      <c r="CC111" s="1213">
        <f t="shared" ca="1" si="82"/>
        <v>0</v>
      </c>
      <c r="CD111" s="1587">
        <f t="shared" ca="1" si="83"/>
        <v>0</v>
      </c>
      <c r="CG111" s="1212">
        <f t="shared" ca="1" si="84"/>
        <v>0</v>
      </c>
      <c r="CH111" s="1213">
        <f t="shared" ca="1" si="85"/>
        <v>0</v>
      </c>
      <c r="CI111" s="1587">
        <f t="shared" ca="1" si="86"/>
        <v>0</v>
      </c>
      <c r="CL111" s="1212">
        <f t="shared" ca="1" si="87"/>
        <v>0</v>
      </c>
      <c r="CM111" s="1213">
        <f t="shared" ca="1" si="88"/>
        <v>0</v>
      </c>
      <c r="CN111" s="1587">
        <f t="shared" ca="1" si="89"/>
        <v>0</v>
      </c>
    </row>
    <row r="112" spans="1:92">
      <c r="A112" s="141" t="str">
        <f>'銀行-TSS'!A112</f>
        <v>US278642AW32</v>
      </c>
      <c r="B112" s="151" t="str">
        <f ca="1">VLOOKUP(A112,'銀行-TSS'!A:B,2,FALSE)</f>
        <v>XFZ20</v>
      </c>
      <c r="C112" s="151" t="str">
        <f ca="1">VLOOKUP(B112,bond!B:C,2,FALSE)</f>
        <v>eBay公司美元配息債券 2.7% 2030/3/11</v>
      </c>
      <c r="D112" s="95" t="str">
        <f>VLOOKUP(A112,'銀行-TSS'!A:C,3,FALSE)</f>
        <v>USD</v>
      </c>
      <c r="E112" s="90">
        <f ca="1">VLOOKUP(A112,'銀行-TSS'!A:G,7,FALSE)</f>
        <v>5.69</v>
      </c>
      <c r="F112" s="202">
        <f ca="1">VLOOKUP(A112,'銀行-TSS'!A:H,8,FALSE)</f>
        <v>2.7000000000000003E-2</v>
      </c>
      <c r="G112" s="96">
        <f ca="1">VLOOKUP(A112,'銀行-TSS'!A:K,11,FALSE)</f>
        <v>91.47</v>
      </c>
      <c r="H112" s="1209">
        <f ca="1">VLOOKUP(A112,'銀行-TSS'!A:M,13,FALSE)</f>
        <v>4.5900000000000003E-2</v>
      </c>
      <c r="I112" s="1213">
        <f ca="1">VLOOKUP(A112,'銀行-TSS'!A:N,14,FALSE)</f>
        <v>10000</v>
      </c>
      <c r="J112" s="1213">
        <f ca="1">VLOOKUP(A112,'銀行-TSS'!A:O,15,FALSE)</f>
        <v>1000</v>
      </c>
      <c r="K112" s="136" t="str">
        <f ca="1">VLOOKUP(A112,'銀行-TSS'!A:V,22,FALSE)</f>
        <v>(PI)專投</v>
      </c>
      <c r="L112" s="136" t="str">
        <f ca="1">VLOOKUP(A112,'銀行-TSS'!A:AK,37,FALSE)</f>
        <v>有</v>
      </c>
      <c r="M112" s="136" t="str">
        <f ca="1">VLOOKUP(A112,'銀行-TSS'!A:AN,40,FALSE)</f>
        <v/>
      </c>
      <c r="N112" s="136">
        <f t="shared" ca="1" si="45"/>
        <v>914.7</v>
      </c>
      <c r="O112" s="1213">
        <f t="shared" ca="1" si="46"/>
        <v>9147</v>
      </c>
      <c r="P112" s="1213">
        <f ca="1">IF(AND($O$1&gt;=O112,換券單檔!$D$13=D112),I112+INT(($O$1-O112)/N112)*J112,0)</f>
        <v>105000</v>
      </c>
      <c r="Q112" s="1213">
        <f t="shared" ca="1" si="47"/>
        <v>2835.0000000000005</v>
      </c>
      <c r="R112" s="1213">
        <f t="shared" ca="1" si="48"/>
        <v>105000</v>
      </c>
      <c r="S112" s="1213">
        <f t="shared" ca="1" si="49"/>
        <v>2835.0000000000005</v>
      </c>
      <c r="T112" s="136">
        <f ca="1">IF(OR(R112=0,A112=0),0,IF(AND(V112=TRUE,換券單檔!$D$13=D112),E112,0))</f>
        <v>5.69</v>
      </c>
      <c r="U112" s="861">
        <f ca="1">IF(OR(R112=0,A112=0),0,IF(AND(V112=TRUE,換券單檔!$D$13=D112),H112,0))</f>
        <v>4.5900000000000003E-2</v>
      </c>
      <c r="V112" s="136" t="b">
        <f ca="1">IF(OR(B112=換券單檔!$D$3,L112="無",M112&lt;&gt;"",K112="高資產",IFERROR(MATCH(B112,換券單檔!K:K,0),"N")&lt;&gt;"N"),FALSE,IF($V$1="All",TRUE,IF(K112=$V$1,TRUE,FALSE)))</f>
        <v>1</v>
      </c>
      <c r="W112" s="136">
        <f ca="1">VLOOKUP(A112,'銀行-TSS'!A:AO,41,FALSE)</f>
        <v>88.64</v>
      </c>
      <c r="X112" s="136">
        <f ca="1">VLOOKUP(A112,'銀行-TSS'!A:AP,42,FALSE)</f>
        <v>5.1140999999999996</v>
      </c>
      <c r="Y112" s="1220">
        <f t="shared" ca="1" si="50"/>
        <v>4759.7951519999997</v>
      </c>
      <c r="Z112" s="1220">
        <f t="shared" ca="1" si="51"/>
        <v>0</v>
      </c>
      <c r="AA112" s="136">
        <f ca="1">IF(Z112&lt;=0,0,RANK(Z112,Z:Z)+COUNTIF($Z$3:$Z112,Z112)-1)</f>
        <v>0</v>
      </c>
      <c r="AB112" s="1211">
        <f t="shared" ca="1" si="52"/>
        <v>-10136.344848000001</v>
      </c>
      <c r="AC112" s="136">
        <f ca="1">IF(AB112&lt;=0,0,RANK(AB112,AB:AB)+COUNTIF($AB$3:$AB112,AB112)-1)</f>
        <v>0</v>
      </c>
      <c r="AD112" s="1123">
        <f t="shared" ca="1" si="53"/>
        <v>99999</v>
      </c>
      <c r="AE112" s="1123">
        <f ca="1">IF(AD112=99999,0,RANK(AD112,AD:AD,1)+COUNTIF($AD$3:$AD112,AD112)-1)</f>
        <v>0</v>
      </c>
      <c r="AF112" s="86" t="b">
        <f ca="1">IF(OR(M112&lt;&gt;"",L112="無",K112="高資產",IFERROR(MATCH(B112,換券單檔!K:K,0),"N")&lt;&gt;"N"),FALSE,TRUE)</f>
        <v>1</v>
      </c>
      <c r="AI112" s="1212">
        <f t="shared" ca="1" si="54"/>
        <v>105000</v>
      </c>
      <c r="AJ112" s="1213">
        <f t="shared" ca="1" si="55"/>
        <v>2835.0000000000005</v>
      </c>
      <c r="AK112" s="1587">
        <f t="shared" ca="1" si="56"/>
        <v>0</v>
      </c>
      <c r="AN112" s="1212">
        <f t="shared" ca="1" si="57"/>
        <v>60000</v>
      </c>
      <c r="AO112" s="1213">
        <f t="shared" ca="1" si="58"/>
        <v>1620.0000000000002</v>
      </c>
      <c r="AP112" s="1587">
        <f t="shared" ca="1" si="59"/>
        <v>0</v>
      </c>
      <c r="AS112" s="1212">
        <f t="shared" ca="1" si="60"/>
        <v>103000</v>
      </c>
      <c r="AT112" s="1213">
        <f t="shared" ca="1" si="61"/>
        <v>2781.0000000000005</v>
      </c>
      <c r="AU112" s="1587">
        <f t="shared" ca="1" si="62"/>
        <v>0</v>
      </c>
      <c r="AX112" s="1212">
        <f t="shared" ca="1" si="63"/>
        <v>95000</v>
      </c>
      <c r="AY112" s="1213">
        <f t="shared" ca="1" si="64"/>
        <v>2565.0000000000005</v>
      </c>
      <c r="AZ112" s="1587">
        <f t="shared" ca="1" si="65"/>
        <v>0</v>
      </c>
      <c r="BC112" s="1212">
        <f t="shared" ca="1" si="66"/>
        <v>0</v>
      </c>
      <c r="BD112" s="1213">
        <f t="shared" ca="1" si="67"/>
        <v>0</v>
      </c>
      <c r="BE112" s="1587">
        <f t="shared" ca="1" si="68"/>
        <v>0</v>
      </c>
      <c r="BH112" s="1212">
        <f t="shared" ca="1" si="69"/>
        <v>0</v>
      </c>
      <c r="BI112" s="1213">
        <f t="shared" ca="1" si="70"/>
        <v>0</v>
      </c>
      <c r="BJ112" s="1587">
        <f t="shared" ca="1" si="71"/>
        <v>0</v>
      </c>
      <c r="BM112" s="1212">
        <f t="shared" ca="1" si="72"/>
        <v>0</v>
      </c>
      <c r="BN112" s="1213">
        <f t="shared" ca="1" si="73"/>
        <v>0</v>
      </c>
      <c r="BO112" s="1587">
        <f t="shared" ca="1" si="74"/>
        <v>0</v>
      </c>
      <c r="BR112" s="1212">
        <f t="shared" ca="1" si="75"/>
        <v>0</v>
      </c>
      <c r="BS112" s="1213">
        <f t="shared" ca="1" si="76"/>
        <v>0</v>
      </c>
      <c r="BT112" s="1587">
        <f t="shared" ca="1" si="77"/>
        <v>0</v>
      </c>
      <c r="BW112" s="1212">
        <f t="shared" ca="1" si="78"/>
        <v>0</v>
      </c>
      <c r="BX112" s="1213">
        <f t="shared" ca="1" si="79"/>
        <v>0</v>
      </c>
      <c r="BY112" s="1587">
        <f t="shared" ca="1" si="80"/>
        <v>0</v>
      </c>
      <c r="CB112" s="1212">
        <f t="shared" ca="1" si="81"/>
        <v>0</v>
      </c>
      <c r="CC112" s="1213">
        <f t="shared" ca="1" si="82"/>
        <v>0</v>
      </c>
      <c r="CD112" s="1587">
        <f t="shared" ca="1" si="83"/>
        <v>0</v>
      </c>
      <c r="CG112" s="1212">
        <f t="shared" ca="1" si="84"/>
        <v>0</v>
      </c>
      <c r="CH112" s="1213">
        <f t="shared" ca="1" si="85"/>
        <v>0</v>
      </c>
      <c r="CI112" s="1587">
        <f t="shared" ca="1" si="86"/>
        <v>0</v>
      </c>
      <c r="CL112" s="1212">
        <f t="shared" ca="1" si="87"/>
        <v>0</v>
      </c>
      <c r="CM112" s="1213">
        <f t="shared" ca="1" si="88"/>
        <v>0</v>
      </c>
      <c r="CN112" s="1587">
        <f t="shared" ca="1" si="89"/>
        <v>0</v>
      </c>
    </row>
    <row r="113" spans="1:92">
      <c r="A113" s="141" t="str">
        <f>'銀行-TSS'!A113</f>
        <v>US92826CAF95</v>
      </c>
      <c r="B113" s="151" t="str">
        <f ca="1">VLOOKUP(A113,'銀行-TSS'!A:B,2,FALSE)</f>
        <v>XFZ30</v>
      </c>
      <c r="C113" s="151" t="str">
        <f ca="1">VLOOKUP(B113,bond!B:C,2,FALSE)</f>
        <v>威士卡公司美元配息債券 4.3% 2045/12/14</v>
      </c>
      <c r="D113" s="95" t="str">
        <f>VLOOKUP(A113,'銀行-TSS'!A:C,3,FALSE)</f>
        <v>USD</v>
      </c>
      <c r="E113" s="90">
        <f ca="1">VLOOKUP(A113,'銀行-TSS'!A:G,7,FALSE)</f>
        <v>21.45</v>
      </c>
      <c r="F113" s="202">
        <f ca="1">VLOOKUP(A113,'銀行-TSS'!A:H,8,FALSE)</f>
        <v>4.2999999999999997E-2</v>
      </c>
      <c r="G113" s="96">
        <f ca="1">VLOOKUP(A113,'銀行-TSS'!A:K,11,FALSE)</f>
        <v>88.53</v>
      </c>
      <c r="H113" s="1209">
        <f ca="1">VLOOKUP(A113,'銀行-TSS'!A:M,13,FALSE)</f>
        <v>5.21E-2</v>
      </c>
      <c r="I113" s="1213">
        <f ca="1">VLOOKUP(A113,'銀行-TSS'!A:N,14,FALSE)</f>
        <v>2000</v>
      </c>
      <c r="J113" s="1213">
        <f ca="1">VLOOKUP(A113,'銀行-TSS'!A:O,15,FALSE)</f>
        <v>1000</v>
      </c>
      <c r="K113" s="136" t="str">
        <f ca="1">VLOOKUP(A113,'銀行-TSS'!A:V,22,FALSE)</f>
        <v>(NPI)非專投</v>
      </c>
      <c r="L113" s="136" t="str">
        <f ca="1">VLOOKUP(A113,'銀行-TSS'!A:AK,37,FALSE)</f>
        <v>有</v>
      </c>
      <c r="M113" s="136" t="str">
        <f ca="1">VLOOKUP(A113,'銀行-TSS'!A:AN,40,FALSE)</f>
        <v/>
      </c>
      <c r="N113" s="136">
        <f t="shared" ca="1" si="45"/>
        <v>885.3</v>
      </c>
      <c r="O113" s="1213">
        <f t="shared" ca="1" si="46"/>
        <v>1770.6</v>
      </c>
      <c r="P113" s="1213">
        <f ca="1">IF(AND($O$1&gt;=O113,換券單檔!$D$13=D113),I113+INT(($O$1-O113)/N113)*J113,0)</f>
        <v>109000</v>
      </c>
      <c r="Q113" s="1213">
        <f t="shared" ca="1" si="47"/>
        <v>4687</v>
      </c>
      <c r="R113" s="1213">
        <f t="shared" ca="1" si="48"/>
        <v>109000</v>
      </c>
      <c r="S113" s="1213">
        <f t="shared" ca="1" si="49"/>
        <v>4687</v>
      </c>
      <c r="T113" s="136">
        <f ca="1">IF(OR(R113=0,A113=0),0,IF(AND(V113=TRUE,換券單檔!$D$13=D113),E113,0))</f>
        <v>21.45</v>
      </c>
      <c r="U113" s="861">
        <f ca="1">IF(OR(R113=0,A113=0),0,IF(AND(V113=TRUE,換券單檔!$D$13=D113),H113,0))</f>
        <v>5.21E-2</v>
      </c>
      <c r="V113" s="136" t="b">
        <f ca="1">IF(OR(B113=換券單檔!$D$3,L113="無",M113&lt;&gt;"",K113="高資產",IFERROR(MATCH(B113,換券單檔!K:K,0),"N")&lt;&gt;"N"),FALSE,IF($V$1="All",TRUE,IF(K113=$V$1,TRUE,FALSE)))</f>
        <v>1</v>
      </c>
      <c r="W113" s="136">
        <f ca="1">VLOOKUP(A113,'銀行-TSS'!A:AO,41,FALSE)</f>
        <v>87.31</v>
      </c>
      <c r="X113" s="136">
        <f ca="1">VLOOKUP(A113,'銀行-TSS'!A:AP,42,FALSE)</f>
        <v>13.272399999999999</v>
      </c>
      <c r="Y113" s="1220">
        <f t="shared" ca="1" si="50"/>
        <v>12631.064359599999</v>
      </c>
      <c r="Z113" s="1220">
        <f t="shared" ca="1" si="51"/>
        <v>-267.81118881118613</v>
      </c>
      <c r="AA113" s="136">
        <f ca="1">IF(Z113&lt;=0,0,RANK(Z113,Z:Z)+COUNTIF($Z$3:$Z113,Z113)-1)</f>
        <v>0</v>
      </c>
      <c r="AB113" s="1211">
        <f t="shared" ca="1" si="52"/>
        <v>-2265.0756404000003</v>
      </c>
      <c r="AC113" s="136">
        <f ca="1">IF(AB113&lt;=0,0,RANK(AB113,AB:AB)+COUNTIF($AB$3:$AB113,AB113)-1)</f>
        <v>0</v>
      </c>
      <c r="AD113" s="1123">
        <f t="shared" ca="1" si="53"/>
        <v>99999</v>
      </c>
      <c r="AE113" s="1123">
        <f ca="1">IF(AD113=99999,0,RANK(AD113,AD:AD,1)+COUNTIF($AD$3:$AD113,AD113)-1)</f>
        <v>0</v>
      </c>
      <c r="AF113" s="86" t="b">
        <f ca="1">IF(OR(M113&lt;&gt;"",L113="無",K113="高資產",IFERROR(MATCH(B113,換券單檔!K:K,0),"N")&lt;&gt;"N"),FALSE,TRUE)</f>
        <v>1</v>
      </c>
      <c r="AI113" s="1212">
        <f t="shared" ca="1" si="54"/>
        <v>109000</v>
      </c>
      <c r="AJ113" s="1213">
        <f t="shared" ca="1" si="55"/>
        <v>4687</v>
      </c>
      <c r="AK113" s="1587">
        <f t="shared" ca="1" si="56"/>
        <v>-267.81118881118613</v>
      </c>
      <c r="AN113" s="1212">
        <f t="shared" ca="1" si="57"/>
        <v>62000</v>
      </c>
      <c r="AO113" s="1213">
        <f t="shared" ca="1" si="58"/>
        <v>2666</v>
      </c>
      <c r="AP113" s="1587">
        <f t="shared" ca="1" si="59"/>
        <v>-74781.090909090912</v>
      </c>
      <c r="AS113" s="1212">
        <f t="shared" ca="1" si="60"/>
        <v>106000</v>
      </c>
      <c r="AT113" s="1213">
        <f t="shared" ca="1" si="61"/>
        <v>4558</v>
      </c>
      <c r="AU113" s="1587">
        <f t="shared" ca="1" si="62"/>
        <v>-788.97202797202806</v>
      </c>
      <c r="AX113" s="1212">
        <f t="shared" ca="1" si="63"/>
        <v>98000</v>
      </c>
      <c r="AY113" s="1213">
        <f t="shared" ca="1" si="64"/>
        <v>4214</v>
      </c>
      <c r="AZ113" s="1587">
        <f t="shared" ca="1" si="65"/>
        <v>-4691.4965034965062</v>
      </c>
      <c r="BC113" s="1212">
        <f t="shared" ca="1" si="66"/>
        <v>0</v>
      </c>
      <c r="BD113" s="1213">
        <f t="shared" ca="1" si="67"/>
        <v>0</v>
      </c>
      <c r="BE113" s="1587">
        <f t="shared" ca="1" si="68"/>
        <v>0</v>
      </c>
      <c r="BH113" s="1212">
        <f t="shared" ca="1" si="69"/>
        <v>0</v>
      </c>
      <c r="BI113" s="1213">
        <f t="shared" ca="1" si="70"/>
        <v>0</v>
      </c>
      <c r="BJ113" s="1587">
        <f t="shared" ca="1" si="71"/>
        <v>0</v>
      </c>
      <c r="BM113" s="1212">
        <f t="shared" ca="1" si="72"/>
        <v>0</v>
      </c>
      <c r="BN113" s="1213">
        <f t="shared" ca="1" si="73"/>
        <v>0</v>
      </c>
      <c r="BO113" s="1587">
        <f t="shared" ca="1" si="74"/>
        <v>0</v>
      </c>
      <c r="BR113" s="1212">
        <f t="shared" ca="1" si="75"/>
        <v>0</v>
      </c>
      <c r="BS113" s="1213">
        <f t="shared" ca="1" si="76"/>
        <v>0</v>
      </c>
      <c r="BT113" s="1587">
        <f t="shared" ca="1" si="77"/>
        <v>0</v>
      </c>
      <c r="BW113" s="1212">
        <f t="shared" ca="1" si="78"/>
        <v>0</v>
      </c>
      <c r="BX113" s="1213">
        <f t="shared" ca="1" si="79"/>
        <v>0</v>
      </c>
      <c r="BY113" s="1587">
        <f t="shared" ca="1" si="80"/>
        <v>0</v>
      </c>
      <c r="CB113" s="1212">
        <f t="shared" ca="1" si="81"/>
        <v>0</v>
      </c>
      <c r="CC113" s="1213">
        <f t="shared" ca="1" si="82"/>
        <v>0</v>
      </c>
      <c r="CD113" s="1587">
        <f t="shared" ca="1" si="83"/>
        <v>0</v>
      </c>
      <c r="CG113" s="1212">
        <f t="shared" ca="1" si="84"/>
        <v>0</v>
      </c>
      <c r="CH113" s="1213">
        <f t="shared" ca="1" si="85"/>
        <v>0</v>
      </c>
      <c r="CI113" s="1587">
        <f t="shared" ca="1" si="86"/>
        <v>0</v>
      </c>
      <c r="CL113" s="1212">
        <f t="shared" ca="1" si="87"/>
        <v>0</v>
      </c>
      <c r="CM113" s="1213">
        <f t="shared" ca="1" si="88"/>
        <v>0</v>
      </c>
      <c r="CN113" s="1587">
        <f t="shared" ca="1" si="89"/>
        <v>0</v>
      </c>
    </row>
    <row r="114" spans="1:92">
      <c r="A114" s="141" t="str">
        <f>'銀行-TSS'!A114</f>
        <v>US68389XAV73</v>
      </c>
      <c r="B114" s="151" t="str">
        <f ca="1">VLOOKUP(A114,'銀行-TSS'!A:B,2,FALSE)</f>
        <v>XFZ40</v>
      </c>
      <c r="C114" s="151" t="str">
        <f ca="1">VLOOKUP(B114,bond!B:C,2,FALSE)</f>
        <v>甲骨文公司美元配息債券 4.3% 2034/7/8</v>
      </c>
      <c r="D114" s="95" t="str">
        <f>VLOOKUP(A114,'銀行-TSS'!A:C,3,FALSE)</f>
        <v>USD</v>
      </c>
      <c r="E114" s="90">
        <f ca="1">VLOOKUP(A114,'銀行-TSS'!A:G,7,FALSE)</f>
        <v>10.02</v>
      </c>
      <c r="F114" s="202">
        <f ca="1">VLOOKUP(A114,'銀行-TSS'!A:H,8,FALSE)</f>
        <v>4.2999999999999997E-2</v>
      </c>
      <c r="G114" s="96">
        <f ca="1">VLOOKUP(A114,'銀行-TSS'!A:K,11,FALSE)</f>
        <v>96.21</v>
      </c>
      <c r="H114" s="1209">
        <f ca="1">VLOOKUP(A114,'銀行-TSS'!A:M,13,FALSE)</f>
        <v>5.0500000000000003E-2</v>
      </c>
      <c r="I114" s="1213">
        <f ca="1">VLOOKUP(A114,'銀行-TSS'!A:N,14,FALSE)</f>
        <v>10000</v>
      </c>
      <c r="J114" s="1213">
        <f ca="1">VLOOKUP(A114,'銀行-TSS'!A:O,15,FALSE)</f>
        <v>1000</v>
      </c>
      <c r="K114" s="136" t="str">
        <f ca="1">VLOOKUP(A114,'銀行-TSS'!A:V,22,FALSE)</f>
        <v>(PI)專投</v>
      </c>
      <c r="L114" s="136" t="str">
        <f ca="1">VLOOKUP(A114,'銀行-TSS'!A:AK,37,FALSE)</f>
        <v>有</v>
      </c>
      <c r="M114" s="136" t="str">
        <f ca="1">VLOOKUP(A114,'銀行-TSS'!A:AN,40,FALSE)</f>
        <v/>
      </c>
      <c r="N114" s="136">
        <f t="shared" ca="1" si="45"/>
        <v>962.1</v>
      </c>
      <c r="O114" s="1213">
        <f t="shared" ca="1" si="46"/>
        <v>9620.9999999999982</v>
      </c>
      <c r="P114" s="1213">
        <f ca="1">IF(AND($O$1&gt;=O114,換券單檔!$D$13=D114),I114+INT(($O$1-O114)/N114)*J114,0)</f>
        <v>100000</v>
      </c>
      <c r="Q114" s="1213">
        <f t="shared" ca="1" si="47"/>
        <v>4300</v>
      </c>
      <c r="R114" s="1213">
        <f t="shared" ca="1" si="48"/>
        <v>100000</v>
      </c>
      <c r="S114" s="1213">
        <f t="shared" ca="1" si="49"/>
        <v>4300</v>
      </c>
      <c r="T114" s="136">
        <f ca="1">IF(OR(R114=0,A114=0),0,IF(AND(V114=TRUE,換券單檔!$D$13=D114),E114,0))</f>
        <v>10.02</v>
      </c>
      <c r="U114" s="861">
        <f ca="1">IF(OR(R114=0,A114=0),0,IF(AND(V114=TRUE,換券單檔!$D$13=D114),H114,0))</f>
        <v>5.0500000000000003E-2</v>
      </c>
      <c r="V114" s="136" t="b">
        <f ca="1">IF(OR(B114=換券單檔!$D$3,L114="無",M114&lt;&gt;"",K114="高資產",IFERROR(MATCH(B114,換券單檔!K:K,0),"N")&lt;&gt;"N"),FALSE,IF($V$1="All",TRUE,IF(K114=$V$1,TRUE,FALSE)))</f>
        <v>1</v>
      </c>
      <c r="W114" s="136">
        <f ca="1">VLOOKUP(A114,'銀行-TSS'!A:AO,41,FALSE)</f>
        <v>91.63</v>
      </c>
      <c r="X114" s="136">
        <f ca="1">VLOOKUP(A114,'銀行-TSS'!A:AP,42,FALSE)</f>
        <v>7.7744999999999997</v>
      </c>
      <c r="Y114" s="1220">
        <f t="shared" ca="1" si="50"/>
        <v>7123.7743499999997</v>
      </c>
      <c r="Z114" s="1220">
        <f t="shared" ca="1" si="51"/>
        <v>0</v>
      </c>
      <c r="AA114" s="136">
        <f ca="1">IF(Z114&lt;=0,0,RANK(Z114,Z:Z)+COUNTIF($Z$3:$Z114,Z114)-1)</f>
        <v>0</v>
      </c>
      <c r="AB114" s="1211">
        <f t="shared" ca="1" si="52"/>
        <v>-7772.3656499999997</v>
      </c>
      <c r="AC114" s="136">
        <f ca="1">IF(AB114&lt;=0,0,RANK(AB114,AB:AB)+COUNTIF($AB$3:$AB114,AB114)-1)</f>
        <v>0</v>
      </c>
      <c r="AD114" s="1123">
        <f t="shared" ca="1" si="53"/>
        <v>99999</v>
      </c>
      <c r="AE114" s="1123">
        <f ca="1">IF(AD114=99999,0,RANK(AD114,AD:AD,1)+COUNTIF($AD$3:$AD114,AD114)-1)</f>
        <v>0</v>
      </c>
      <c r="AF114" s="86" t="b">
        <f ca="1">IF(OR(M114&lt;&gt;"",L114="無",K114="高資產",IFERROR(MATCH(B114,換券單檔!K:K,0),"N")&lt;&gt;"N"),FALSE,TRUE)</f>
        <v>1</v>
      </c>
      <c r="AI114" s="1212">
        <f t="shared" ca="1" si="54"/>
        <v>100000</v>
      </c>
      <c r="AJ114" s="1213">
        <f t="shared" ca="1" si="55"/>
        <v>4300</v>
      </c>
      <c r="AK114" s="1587">
        <f t="shared" ca="1" si="56"/>
        <v>0</v>
      </c>
      <c r="AN114" s="1212">
        <f t="shared" ca="1" si="57"/>
        <v>57000</v>
      </c>
      <c r="AO114" s="1213">
        <f t="shared" ca="1" si="58"/>
        <v>2451</v>
      </c>
      <c r="AP114" s="1587">
        <f t="shared" ca="1" si="59"/>
        <v>-85427.089820359281</v>
      </c>
      <c r="AS114" s="1212">
        <f t="shared" ca="1" si="60"/>
        <v>98000</v>
      </c>
      <c r="AT114" s="1213">
        <f t="shared" ca="1" si="61"/>
        <v>4214</v>
      </c>
      <c r="AU114" s="1587">
        <f t="shared" ca="1" si="62"/>
        <v>0</v>
      </c>
      <c r="AX114" s="1212">
        <f t="shared" ca="1" si="63"/>
        <v>90000</v>
      </c>
      <c r="AY114" s="1213">
        <f t="shared" ca="1" si="64"/>
        <v>3869.9999999999995</v>
      </c>
      <c r="AZ114" s="1587">
        <f t="shared" ca="1" si="65"/>
        <v>0</v>
      </c>
      <c r="BC114" s="1212">
        <f t="shared" ca="1" si="66"/>
        <v>0</v>
      </c>
      <c r="BD114" s="1213">
        <f t="shared" ca="1" si="67"/>
        <v>0</v>
      </c>
      <c r="BE114" s="1587">
        <f t="shared" ca="1" si="68"/>
        <v>0</v>
      </c>
      <c r="BH114" s="1212">
        <f t="shared" ca="1" si="69"/>
        <v>0</v>
      </c>
      <c r="BI114" s="1213">
        <f t="shared" ca="1" si="70"/>
        <v>0</v>
      </c>
      <c r="BJ114" s="1587">
        <f t="shared" ca="1" si="71"/>
        <v>0</v>
      </c>
      <c r="BM114" s="1212">
        <f t="shared" ca="1" si="72"/>
        <v>0</v>
      </c>
      <c r="BN114" s="1213">
        <f t="shared" ca="1" si="73"/>
        <v>0</v>
      </c>
      <c r="BO114" s="1587">
        <f t="shared" ca="1" si="74"/>
        <v>0</v>
      </c>
      <c r="BR114" s="1212">
        <f t="shared" ca="1" si="75"/>
        <v>0</v>
      </c>
      <c r="BS114" s="1213">
        <f t="shared" ca="1" si="76"/>
        <v>0</v>
      </c>
      <c r="BT114" s="1587">
        <f t="shared" ca="1" si="77"/>
        <v>0</v>
      </c>
      <c r="BW114" s="1212">
        <f t="shared" ca="1" si="78"/>
        <v>0</v>
      </c>
      <c r="BX114" s="1213">
        <f t="shared" ca="1" si="79"/>
        <v>0</v>
      </c>
      <c r="BY114" s="1587">
        <f t="shared" ca="1" si="80"/>
        <v>0</v>
      </c>
      <c r="CB114" s="1212">
        <f t="shared" ca="1" si="81"/>
        <v>0</v>
      </c>
      <c r="CC114" s="1213">
        <f t="shared" ca="1" si="82"/>
        <v>0</v>
      </c>
      <c r="CD114" s="1587">
        <f t="shared" ca="1" si="83"/>
        <v>0</v>
      </c>
      <c r="CG114" s="1212">
        <f t="shared" ca="1" si="84"/>
        <v>0</v>
      </c>
      <c r="CH114" s="1213">
        <f t="shared" ca="1" si="85"/>
        <v>0</v>
      </c>
      <c r="CI114" s="1587">
        <f t="shared" ca="1" si="86"/>
        <v>0</v>
      </c>
      <c r="CL114" s="1212">
        <f t="shared" ca="1" si="87"/>
        <v>0</v>
      </c>
      <c r="CM114" s="1213">
        <f t="shared" ca="1" si="88"/>
        <v>0</v>
      </c>
      <c r="CN114" s="1587">
        <f t="shared" ca="1" si="89"/>
        <v>0</v>
      </c>
    </row>
    <row r="115" spans="1:92">
      <c r="A115" s="141" t="str">
        <f>'銀行-TSS'!A115</f>
        <v>US539830BB41</v>
      </c>
      <c r="B115" s="151" t="str">
        <f ca="1">VLOOKUP(A115,'銀行-TSS'!A:B,2,FALSE)</f>
        <v>XFZ50</v>
      </c>
      <c r="C115" s="151" t="str">
        <f ca="1">VLOOKUP(B115,bond!B:C,2,FALSE)</f>
        <v>洛克希德馬丁公司美元配息債券 4.07% 2042/12/15</v>
      </c>
      <c r="D115" s="95" t="str">
        <f>VLOOKUP(A115,'銀行-TSS'!A:C,3,FALSE)</f>
        <v>USD</v>
      </c>
      <c r="E115" s="90">
        <f ca="1">VLOOKUP(A115,'銀行-TSS'!A:G,7,FALSE)</f>
        <v>18.45</v>
      </c>
      <c r="F115" s="202">
        <f ca="1">VLOOKUP(A115,'銀行-TSS'!A:H,8,FALSE)</f>
        <v>4.07E-2</v>
      </c>
      <c r="G115" s="96">
        <f ca="1">VLOOKUP(A115,'銀行-TSS'!A:K,11,FALSE)</f>
        <v>88</v>
      </c>
      <c r="H115" s="1209">
        <f ca="1">VLOOKUP(A115,'銀行-TSS'!A:M,13,FALSE)</f>
        <v>5.0999999999999997E-2</v>
      </c>
      <c r="I115" s="1213">
        <f ca="1">VLOOKUP(A115,'銀行-TSS'!A:N,14,FALSE)</f>
        <v>10000</v>
      </c>
      <c r="J115" s="1213">
        <f ca="1">VLOOKUP(A115,'銀行-TSS'!A:O,15,FALSE)</f>
        <v>1000</v>
      </c>
      <c r="K115" s="136" t="str">
        <f ca="1">VLOOKUP(A115,'銀行-TSS'!A:V,22,FALSE)</f>
        <v>(NPI)非專投</v>
      </c>
      <c r="L115" s="136" t="str">
        <f ca="1">VLOOKUP(A115,'銀行-TSS'!A:AK,37,FALSE)</f>
        <v>有</v>
      </c>
      <c r="M115" s="136" t="str">
        <f ca="1">VLOOKUP(A115,'銀行-TSS'!A:AN,40,FALSE)</f>
        <v/>
      </c>
      <c r="N115" s="136">
        <f t="shared" ca="1" si="45"/>
        <v>880</v>
      </c>
      <c r="O115" s="1213">
        <f t="shared" ca="1" si="46"/>
        <v>8800</v>
      </c>
      <c r="P115" s="1213">
        <f ca="1">IF(AND($O$1&gt;=O115,換券單檔!$D$13=D115),I115+INT(($O$1-O115)/N115)*J115,0)</f>
        <v>109000</v>
      </c>
      <c r="Q115" s="1213">
        <f t="shared" ca="1" si="47"/>
        <v>4436.3</v>
      </c>
      <c r="R115" s="1213">
        <f t="shared" ca="1" si="48"/>
        <v>109000</v>
      </c>
      <c r="S115" s="1213">
        <f t="shared" ca="1" si="49"/>
        <v>4436.3</v>
      </c>
      <c r="T115" s="136">
        <f ca="1">IF(OR(R115=0,A115=0),0,IF(AND(V115=TRUE,換券單檔!$D$13=D115),E115,0))</f>
        <v>18.45</v>
      </c>
      <c r="U115" s="861">
        <f ca="1">IF(OR(R115=0,A115=0),0,IF(AND(V115=TRUE,換券單檔!$D$13=D115),H115,0))</f>
        <v>5.0999999999999997E-2</v>
      </c>
      <c r="V115" s="136" t="b">
        <f ca="1">IF(OR(B115=換券單檔!$D$3,L115="無",M115&lt;&gt;"",K115="高資產",IFERROR(MATCH(B115,換券單檔!K:K,0),"N")&lt;&gt;"N"),FALSE,IF($V$1="All",TRUE,IF(K115=$V$1,TRUE,FALSE)))</f>
        <v>1</v>
      </c>
      <c r="W115" s="136">
        <f ca="1">VLOOKUP(A115,'銀行-TSS'!A:AO,41,FALSE)</f>
        <v>84.81</v>
      </c>
      <c r="X115" s="136">
        <f ca="1">VLOOKUP(A115,'銀行-TSS'!A:AP,42,FALSE)</f>
        <v>12.3126</v>
      </c>
      <c r="Y115" s="1220">
        <f t="shared" ca="1" si="50"/>
        <v>11382.124505400001</v>
      </c>
      <c r="Z115" s="1220">
        <f t="shared" ca="1" si="51"/>
        <v>-963.56341463414321</v>
      </c>
      <c r="AA115" s="136">
        <f ca="1">IF(Z115&lt;=0,0,RANK(Z115,Z:Z)+COUNTIF($Z$3:$Z115,Z115)-1)</f>
        <v>0</v>
      </c>
      <c r="AB115" s="1211">
        <f t="shared" ca="1" si="52"/>
        <v>-3514.0154945999984</v>
      </c>
      <c r="AC115" s="136">
        <f ca="1">IF(AB115&lt;=0,0,RANK(AB115,AB:AB)+COUNTIF($AB$3:$AB115,AB115)-1)</f>
        <v>0</v>
      </c>
      <c r="AD115" s="1123">
        <f t="shared" ca="1" si="53"/>
        <v>99999</v>
      </c>
      <c r="AE115" s="1123">
        <f ca="1">IF(AD115=99999,0,RANK(AD115,AD:AD,1)+COUNTIF($AD$3:$AD115,AD115)-1)</f>
        <v>0</v>
      </c>
      <c r="AF115" s="86" t="b">
        <f ca="1">IF(OR(M115&lt;&gt;"",L115="無",K115="高資產",IFERROR(MATCH(B115,換券單檔!K:K,0),"N")&lt;&gt;"N"),FALSE,TRUE)</f>
        <v>1</v>
      </c>
      <c r="AI115" s="1212">
        <f t="shared" ca="1" si="54"/>
        <v>109000</v>
      </c>
      <c r="AJ115" s="1213">
        <f t="shared" ca="1" si="55"/>
        <v>4436.3</v>
      </c>
      <c r="AK115" s="1587">
        <f t="shared" ca="1" si="56"/>
        <v>-963.56341463414321</v>
      </c>
      <c r="AN115" s="1212">
        <f t="shared" ca="1" si="57"/>
        <v>62000</v>
      </c>
      <c r="AO115" s="1213">
        <f t="shared" ca="1" si="58"/>
        <v>2523.4</v>
      </c>
      <c r="AP115" s="1587">
        <f t="shared" ca="1" si="59"/>
        <v>-75202.027642276429</v>
      </c>
      <c r="AS115" s="1212">
        <f t="shared" ca="1" si="60"/>
        <v>107000</v>
      </c>
      <c r="AT115" s="1213">
        <f t="shared" ca="1" si="61"/>
        <v>4354.8999999999996</v>
      </c>
      <c r="AU115" s="1587">
        <f t="shared" ca="1" si="62"/>
        <v>0</v>
      </c>
      <c r="AX115" s="1212">
        <f t="shared" ca="1" si="63"/>
        <v>98000</v>
      </c>
      <c r="AY115" s="1213">
        <f t="shared" ca="1" si="64"/>
        <v>3988.6</v>
      </c>
      <c r="AZ115" s="1587">
        <f t="shared" ca="1" si="65"/>
        <v>0</v>
      </c>
      <c r="BC115" s="1212">
        <f t="shared" ca="1" si="66"/>
        <v>0</v>
      </c>
      <c r="BD115" s="1213">
        <f t="shared" ca="1" si="67"/>
        <v>0</v>
      </c>
      <c r="BE115" s="1587">
        <f t="shared" ca="1" si="68"/>
        <v>0</v>
      </c>
      <c r="BH115" s="1212">
        <f t="shared" ca="1" si="69"/>
        <v>0</v>
      </c>
      <c r="BI115" s="1213">
        <f t="shared" ca="1" si="70"/>
        <v>0</v>
      </c>
      <c r="BJ115" s="1587">
        <f t="shared" ca="1" si="71"/>
        <v>0</v>
      </c>
      <c r="BM115" s="1212">
        <f t="shared" ca="1" si="72"/>
        <v>0</v>
      </c>
      <c r="BN115" s="1213">
        <f t="shared" ca="1" si="73"/>
        <v>0</v>
      </c>
      <c r="BO115" s="1587">
        <f t="shared" ca="1" si="74"/>
        <v>0</v>
      </c>
      <c r="BR115" s="1212">
        <f t="shared" ca="1" si="75"/>
        <v>0</v>
      </c>
      <c r="BS115" s="1213">
        <f t="shared" ca="1" si="76"/>
        <v>0</v>
      </c>
      <c r="BT115" s="1587">
        <f t="shared" ca="1" si="77"/>
        <v>0</v>
      </c>
      <c r="BW115" s="1212">
        <f t="shared" ca="1" si="78"/>
        <v>0</v>
      </c>
      <c r="BX115" s="1213">
        <f t="shared" ca="1" si="79"/>
        <v>0</v>
      </c>
      <c r="BY115" s="1587">
        <f t="shared" ca="1" si="80"/>
        <v>0</v>
      </c>
      <c r="CB115" s="1212">
        <f t="shared" ca="1" si="81"/>
        <v>0</v>
      </c>
      <c r="CC115" s="1213">
        <f t="shared" ca="1" si="82"/>
        <v>0</v>
      </c>
      <c r="CD115" s="1587">
        <f t="shared" ca="1" si="83"/>
        <v>0</v>
      </c>
      <c r="CG115" s="1212">
        <f t="shared" ca="1" si="84"/>
        <v>0</v>
      </c>
      <c r="CH115" s="1213">
        <f t="shared" ca="1" si="85"/>
        <v>0</v>
      </c>
      <c r="CI115" s="1587">
        <f t="shared" ca="1" si="86"/>
        <v>0</v>
      </c>
      <c r="CL115" s="1212">
        <f t="shared" ca="1" si="87"/>
        <v>0</v>
      </c>
      <c r="CM115" s="1213">
        <f t="shared" ca="1" si="88"/>
        <v>0</v>
      </c>
      <c r="CN115" s="1587">
        <f t="shared" ca="1" si="89"/>
        <v>0</v>
      </c>
    </row>
    <row r="116" spans="1:92">
      <c r="A116" s="141" t="str">
        <f>'銀行-TSS'!A116</f>
        <v>XS1808738212</v>
      </c>
      <c r="B116" s="151" t="str">
        <f ca="1">VLOOKUP(A116,'銀行-TSS'!A:B,2,FALSE)</f>
        <v>XFZ60</v>
      </c>
      <c r="C116" s="151" t="str">
        <f ca="1">VLOOKUP(B116,bond!B:C,2,FALSE)</f>
        <v>阿布達比國家能源公司美元配息債券 4.875% 2030/4/23</v>
      </c>
      <c r="D116" s="95" t="str">
        <f>VLOOKUP(A116,'銀行-TSS'!A:C,3,FALSE)</f>
        <v>USD</v>
      </c>
      <c r="E116" s="90">
        <f ca="1">VLOOKUP(A116,'銀行-TSS'!A:G,7,FALSE)</f>
        <v>5.8</v>
      </c>
      <c r="F116" s="202">
        <f ca="1">VLOOKUP(A116,'銀行-TSS'!A:H,8,FALSE)</f>
        <v>4.8750000000000002E-2</v>
      </c>
      <c r="G116" s="96">
        <f ca="1">VLOOKUP(A116,'銀行-TSS'!A:K,11,FALSE)</f>
        <v>103.5</v>
      </c>
      <c r="H116" s="1209">
        <f ca="1">VLOOKUP(A116,'銀行-TSS'!A:M,13,FALSE)</f>
        <v>4.3700000000000003E-2</v>
      </c>
      <c r="I116" s="1213">
        <f ca="1">VLOOKUP(A116,'銀行-TSS'!A:N,14,FALSE)</f>
        <v>200000</v>
      </c>
      <c r="J116" s="1213">
        <f ca="1">VLOOKUP(A116,'銀行-TSS'!A:O,15,FALSE)</f>
        <v>1000</v>
      </c>
      <c r="K116" s="136" t="str">
        <f ca="1">VLOOKUP(A116,'銀行-TSS'!A:V,22,FALSE)</f>
        <v>(NPI)非專投</v>
      </c>
      <c r="L116" s="136" t="str">
        <f ca="1">VLOOKUP(A116,'銀行-TSS'!A:AK,37,FALSE)</f>
        <v>有</v>
      </c>
      <c r="M116" s="136" t="str">
        <f ca="1">VLOOKUP(A116,'銀行-TSS'!A:AN,40,FALSE)</f>
        <v/>
      </c>
      <c r="N116" s="136">
        <f t="shared" ca="1" si="45"/>
        <v>1035</v>
      </c>
      <c r="O116" s="1213">
        <f t="shared" ca="1" si="46"/>
        <v>207000</v>
      </c>
      <c r="P116" s="1213">
        <f ca="1">IF(AND($O$1&gt;=O116,換券單檔!$D$13=D116),I116+INT(($O$1-O116)/N116)*J116,0)</f>
        <v>0</v>
      </c>
      <c r="Q116" s="1213">
        <f t="shared" ca="1" si="47"/>
        <v>0</v>
      </c>
      <c r="R116" s="1213">
        <f t="shared" ca="1" si="48"/>
        <v>0</v>
      </c>
      <c r="S116" s="1213">
        <f t="shared" ca="1" si="49"/>
        <v>0</v>
      </c>
      <c r="T116" s="136">
        <f ca="1">IF(OR(R116=0,A116=0),0,IF(AND(V116=TRUE,換券單檔!$D$13=D116),E116,0))</f>
        <v>0</v>
      </c>
      <c r="U116" s="861">
        <f ca="1">IF(OR(R116=0,A116=0),0,IF(AND(V116=TRUE,換券單檔!$D$13=D116),H116,0))</f>
        <v>0</v>
      </c>
      <c r="V116" s="136" t="b">
        <f ca="1">IF(OR(B116=換券單檔!$D$3,L116="無",M116&lt;&gt;"",K116="高資產",IFERROR(MATCH(B116,換券單檔!K:K,0),"N")&lt;&gt;"N"),FALSE,IF($V$1="All",TRUE,IF(K116=$V$1,TRUE,FALSE)))</f>
        <v>1</v>
      </c>
      <c r="W116" s="136">
        <f ca="1">VLOOKUP(A116,'銀行-TSS'!A:AO,41,FALSE)</f>
        <v>100.55</v>
      </c>
      <c r="X116" s="136">
        <f ca="1">VLOOKUP(A116,'銀行-TSS'!A:AP,42,FALSE)</f>
        <v>4.9672000000000001</v>
      </c>
      <c r="Y116" s="1220">
        <f t="shared" ca="1" si="50"/>
        <v>0</v>
      </c>
      <c r="Z116" s="1220">
        <f t="shared" ca="1" si="51"/>
        <v>0</v>
      </c>
      <c r="AA116" s="136">
        <f ca="1">IF(Z116&lt;=0,0,RANK(Z116,Z:Z)+COUNTIF($Z$3:$Z116,Z116)-1)</f>
        <v>0</v>
      </c>
      <c r="AB116" s="1211">
        <f t="shared" ca="1" si="52"/>
        <v>-114896.14</v>
      </c>
      <c r="AC116" s="136">
        <f ca="1">IF(AB116&lt;=0,0,RANK(AB116,AB:AB)+COUNTIF($AB$3:$AB116,AB116)-1)</f>
        <v>0</v>
      </c>
      <c r="AD116" s="1123">
        <f t="shared" ca="1" si="53"/>
        <v>99999</v>
      </c>
      <c r="AE116" s="1123">
        <f ca="1">IF(AD116=99999,0,RANK(AD116,AD:AD,1)+COUNTIF($AD$3:$AD116,AD116)-1)</f>
        <v>0</v>
      </c>
      <c r="AF116" s="86" t="b">
        <f ca="1">IF(OR(M116&lt;&gt;"",L116="無",K116="高資產",IFERROR(MATCH(B116,換券單檔!K:K,0),"N")&lt;&gt;"N"),FALSE,TRUE)</f>
        <v>1</v>
      </c>
      <c r="AI116" s="1212">
        <f t="shared" ca="1" si="54"/>
        <v>0</v>
      </c>
      <c r="AJ116" s="1213">
        <f t="shared" ca="1" si="55"/>
        <v>0</v>
      </c>
      <c r="AK116" s="1587">
        <f t="shared" ca="1" si="56"/>
        <v>0</v>
      </c>
      <c r="AN116" s="1212">
        <f t="shared" ca="1" si="57"/>
        <v>0</v>
      </c>
      <c r="AO116" s="1213">
        <f t="shared" ca="1" si="58"/>
        <v>0</v>
      </c>
      <c r="AP116" s="1587">
        <f t="shared" ca="1" si="59"/>
        <v>0</v>
      </c>
      <c r="AS116" s="1212">
        <f t="shared" ca="1" si="60"/>
        <v>0</v>
      </c>
      <c r="AT116" s="1213">
        <f t="shared" ca="1" si="61"/>
        <v>0</v>
      </c>
      <c r="AU116" s="1587">
        <f t="shared" ca="1" si="62"/>
        <v>0</v>
      </c>
      <c r="AX116" s="1212">
        <f t="shared" ca="1" si="63"/>
        <v>0</v>
      </c>
      <c r="AY116" s="1213">
        <f t="shared" ca="1" si="64"/>
        <v>0</v>
      </c>
      <c r="AZ116" s="1587">
        <f t="shared" ca="1" si="65"/>
        <v>0</v>
      </c>
      <c r="BC116" s="1212">
        <f t="shared" ca="1" si="66"/>
        <v>0</v>
      </c>
      <c r="BD116" s="1213">
        <f t="shared" ca="1" si="67"/>
        <v>0</v>
      </c>
      <c r="BE116" s="1587">
        <f t="shared" ca="1" si="68"/>
        <v>0</v>
      </c>
      <c r="BH116" s="1212">
        <f t="shared" ca="1" si="69"/>
        <v>0</v>
      </c>
      <c r="BI116" s="1213">
        <f t="shared" ca="1" si="70"/>
        <v>0</v>
      </c>
      <c r="BJ116" s="1587">
        <f t="shared" ca="1" si="71"/>
        <v>0</v>
      </c>
      <c r="BM116" s="1212">
        <f t="shared" ca="1" si="72"/>
        <v>0</v>
      </c>
      <c r="BN116" s="1213">
        <f t="shared" ca="1" si="73"/>
        <v>0</v>
      </c>
      <c r="BO116" s="1587">
        <f t="shared" ca="1" si="74"/>
        <v>0</v>
      </c>
      <c r="BR116" s="1212">
        <f t="shared" ca="1" si="75"/>
        <v>0</v>
      </c>
      <c r="BS116" s="1213">
        <f t="shared" ca="1" si="76"/>
        <v>0</v>
      </c>
      <c r="BT116" s="1587">
        <f t="shared" ca="1" si="77"/>
        <v>0</v>
      </c>
      <c r="BW116" s="1212">
        <f t="shared" ca="1" si="78"/>
        <v>0</v>
      </c>
      <c r="BX116" s="1213">
        <f t="shared" ca="1" si="79"/>
        <v>0</v>
      </c>
      <c r="BY116" s="1587">
        <f t="shared" ca="1" si="80"/>
        <v>0</v>
      </c>
      <c r="CB116" s="1212">
        <f t="shared" ca="1" si="81"/>
        <v>0</v>
      </c>
      <c r="CC116" s="1213">
        <f t="shared" ca="1" si="82"/>
        <v>0</v>
      </c>
      <c r="CD116" s="1587">
        <f t="shared" ca="1" si="83"/>
        <v>0</v>
      </c>
      <c r="CG116" s="1212">
        <f t="shared" ca="1" si="84"/>
        <v>0</v>
      </c>
      <c r="CH116" s="1213">
        <f t="shared" ca="1" si="85"/>
        <v>0</v>
      </c>
      <c r="CI116" s="1587">
        <f t="shared" ca="1" si="86"/>
        <v>0</v>
      </c>
      <c r="CL116" s="1212">
        <f t="shared" ca="1" si="87"/>
        <v>0</v>
      </c>
      <c r="CM116" s="1213">
        <f t="shared" ca="1" si="88"/>
        <v>0</v>
      </c>
      <c r="CN116" s="1587">
        <f t="shared" ca="1" si="89"/>
        <v>0</v>
      </c>
    </row>
    <row r="117" spans="1:92">
      <c r="A117" s="141" t="str">
        <f>'銀行-TSS'!A117</f>
        <v>US037833DW79</v>
      </c>
      <c r="B117" s="151" t="str">
        <f ca="1">VLOOKUP(A117,'銀行-TSS'!A:B,2,FALSE)</f>
        <v>XFZ80</v>
      </c>
      <c r="C117" s="151" t="str">
        <f ca="1">VLOOKUP(B117,bond!B:C,2,FALSE)</f>
        <v>蘋果公司美元配息債券 2.65% 2050/5/11</v>
      </c>
      <c r="D117" s="95" t="str">
        <f>VLOOKUP(A117,'銀行-TSS'!A:C,3,FALSE)</f>
        <v>USD</v>
      </c>
      <c r="E117" s="90">
        <f ca="1">VLOOKUP(A117,'銀行-TSS'!A:G,7,FALSE)</f>
        <v>25.86</v>
      </c>
      <c r="F117" s="202">
        <f ca="1">VLOOKUP(A117,'銀行-TSS'!A:H,8,FALSE)</f>
        <v>2.6499999999999999E-2</v>
      </c>
      <c r="G117" s="96">
        <f ca="1">VLOOKUP(A117,'銀行-TSS'!A:K,11,FALSE)</f>
        <v>65.849999999999994</v>
      </c>
      <c r="H117" s="1209">
        <f ca="1">VLOOKUP(A117,'銀行-TSS'!A:M,13,FALSE)</f>
        <v>5.0599999999999999E-2</v>
      </c>
      <c r="I117" s="1213">
        <f ca="1">VLOOKUP(A117,'銀行-TSS'!A:N,14,FALSE)</f>
        <v>2000</v>
      </c>
      <c r="J117" s="1213">
        <f ca="1">VLOOKUP(A117,'銀行-TSS'!A:O,15,FALSE)</f>
        <v>1000</v>
      </c>
      <c r="K117" s="136" t="str">
        <f ca="1">VLOOKUP(A117,'銀行-TSS'!A:V,22,FALSE)</f>
        <v>(NPI)非專投</v>
      </c>
      <c r="L117" s="136" t="str">
        <f ca="1">VLOOKUP(A117,'銀行-TSS'!A:AK,37,FALSE)</f>
        <v>有</v>
      </c>
      <c r="M117" s="136" t="str">
        <f ca="1">VLOOKUP(A117,'銀行-TSS'!A:AN,40,FALSE)</f>
        <v/>
      </c>
      <c r="N117" s="136">
        <f t="shared" ca="1" si="45"/>
        <v>658.5</v>
      </c>
      <c r="O117" s="1213">
        <f t="shared" ca="1" si="46"/>
        <v>1317</v>
      </c>
      <c r="P117" s="1213">
        <f ca="1">IF(AND($O$1&gt;=O117,換券單檔!$D$13=D117),I117+INT(($O$1-O117)/N117)*J117,0)</f>
        <v>146000</v>
      </c>
      <c r="Q117" s="1213">
        <f t="shared" ca="1" si="47"/>
        <v>3869</v>
      </c>
      <c r="R117" s="1213">
        <f t="shared" ca="1" si="48"/>
        <v>146000</v>
      </c>
      <c r="S117" s="1213">
        <f t="shared" ca="1" si="49"/>
        <v>3869</v>
      </c>
      <c r="T117" s="136">
        <f ca="1">IF(OR(R117=0,A117=0),0,IF(AND(V117=TRUE,換券單檔!$D$13=D117),E117,0))</f>
        <v>25.86</v>
      </c>
      <c r="U117" s="861">
        <f ca="1">IF(OR(R117=0,A117=0),0,IF(AND(V117=TRUE,換券單檔!$D$13=D117),H117,0))</f>
        <v>5.0599999999999999E-2</v>
      </c>
      <c r="V117" s="136" t="b">
        <f ca="1">IF(OR(B117=換券單檔!$D$3,L117="無",M117&lt;&gt;"",K117="高資產",IFERROR(MATCH(B117,換券單檔!K:K,0),"N")&lt;&gt;"N"),FALSE,IF($V$1="All",TRUE,IF(K117=$V$1,TRUE,FALSE)))</f>
        <v>1</v>
      </c>
      <c r="W117" s="136">
        <f ca="1">VLOOKUP(A117,'銀行-TSS'!A:AO,41,FALSE)</f>
        <v>64.47</v>
      </c>
      <c r="X117" s="136">
        <f ca="1">VLOOKUP(A117,'銀行-TSS'!A:AP,42,FALSE)</f>
        <v>16.338699999999999</v>
      </c>
      <c r="Y117" s="1220">
        <f t="shared" ca="1" si="50"/>
        <v>15378.9974394</v>
      </c>
      <c r="Z117" s="1220">
        <f t="shared" ca="1" si="51"/>
        <v>0</v>
      </c>
      <c r="AA117" s="136">
        <f ca="1">IF(Z117&lt;=0,0,RANK(Z117,Z:Z)+COUNTIF($Z$3:$Z117,Z117)-1)</f>
        <v>0</v>
      </c>
      <c r="AB117" s="1211">
        <f t="shared" ca="1" si="52"/>
        <v>482.85743940000066</v>
      </c>
      <c r="AC117" s="136">
        <f ca="1">IF(AB117&lt;=0,0,RANK(AB117,AB:AB)+COUNTIF($AB$3:$AB117,AB117)-1)</f>
        <v>4</v>
      </c>
      <c r="AD117" s="1123">
        <f t="shared" ca="1" si="53"/>
        <v>99999</v>
      </c>
      <c r="AE117" s="1123">
        <f ca="1">IF(AD117=99999,0,RANK(AD117,AD:AD,1)+COUNTIF($AD$3:$AD117,AD117)-1)</f>
        <v>0</v>
      </c>
      <c r="AF117" s="86" t="b">
        <f ca="1">IF(OR(M117&lt;&gt;"",L117="無",K117="高資產",IFERROR(MATCH(B117,換券單檔!K:K,0),"N")&lt;&gt;"N"),FALSE,TRUE)</f>
        <v>1</v>
      </c>
      <c r="AI117" s="1212">
        <f t="shared" ca="1" si="54"/>
        <v>146000</v>
      </c>
      <c r="AJ117" s="1213">
        <f t="shared" ca="1" si="55"/>
        <v>3869</v>
      </c>
      <c r="AK117" s="1587">
        <f t="shared" ca="1" si="56"/>
        <v>0</v>
      </c>
      <c r="AN117" s="1212">
        <f t="shared" ca="1" si="57"/>
        <v>84000</v>
      </c>
      <c r="AO117" s="1213">
        <f t="shared" ca="1" si="58"/>
        <v>2226</v>
      </c>
      <c r="AP117" s="1587">
        <f t="shared" ca="1" si="59"/>
        <v>-32070.60788863109</v>
      </c>
      <c r="AS117" s="1212">
        <f t="shared" ca="1" si="60"/>
        <v>143000</v>
      </c>
      <c r="AT117" s="1213">
        <f t="shared" ca="1" si="61"/>
        <v>3789.5</v>
      </c>
      <c r="AU117" s="1587">
        <f t="shared" ca="1" si="62"/>
        <v>0</v>
      </c>
      <c r="AX117" s="1212">
        <f t="shared" ca="1" si="63"/>
        <v>131000</v>
      </c>
      <c r="AY117" s="1213">
        <f t="shared" ca="1" si="64"/>
        <v>3471.5</v>
      </c>
      <c r="AZ117" s="1587">
        <f t="shared" ca="1" si="65"/>
        <v>0</v>
      </c>
      <c r="BC117" s="1212">
        <f t="shared" ca="1" si="66"/>
        <v>0</v>
      </c>
      <c r="BD117" s="1213">
        <f t="shared" ca="1" si="67"/>
        <v>0</v>
      </c>
      <c r="BE117" s="1587">
        <f t="shared" ca="1" si="68"/>
        <v>0</v>
      </c>
      <c r="BH117" s="1212">
        <f t="shared" ca="1" si="69"/>
        <v>0</v>
      </c>
      <c r="BI117" s="1213">
        <f t="shared" ca="1" si="70"/>
        <v>0</v>
      </c>
      <c r="BJ117" s="1587">
        <f t="shared" ca="1" si="71"/>
        <v>0</v>
      </c>
      <c r="BM117" s="1212">
        <f t="shared" ca="1" si="72"/>
        <v>0</v>
      </c>
      <c r="BN117" s="1213">
        <f t="shared" ca="1" si="73"/>
        <v>0</v>
      </c>
      <c r="BO117" s="1587">
        <f t="shared" ca="1" si="74"/>
        <v>0</v>
      </c>
      <c r="BR117" s="1212">
        <f t="shared" ca="1" si="75"/>
        <v>0</v>
      </c>
      <c r="BS117" s="1213">
        <f t="shared" ca="1" si="76"/>
        <v>0</v>
      </c>
      <c r="BT117" s="1587">
        <f t="shared" ca="1" si="77"/>
        <v>0</v>
      </c>
      <c r="BW117" s="1212">
        <f t="shared" ca="1" si="78"/>
        <v>0</v>
      </c>
      <c r="BX117" s="1213">
        <f t="shared" ca="1" si="79"/>
        <v>0</v>
      </c>
      <c r="BY117" s="1587">
        <f t="shared" ca="1" si="80"/>
        <v>0</v>
      </c>
      <c r="CB117" s="1212">
        <f t="shared" ca="1" si="81"/>
        <v>0</v>
      </c>
      <c r="CC117" s="1213">
        <f t="shared" ca="1" si="82"/>
        <v>0</v>
      </c>
      <c r="CD117" s="1587">
        <f t="shared" ca="1" si="83"/>
        <v>0</v>
      </c>
      <c r="CG117" s="1212">
        <f t="shared" ca="1" si="84"/>
        <v>0</v>
      </c>
      <c r="CH117" s="1213">
        <f t="shared" ca="1" si="85"/>
        <v>0</v>
      </c>
      <c r="CI117" s="1587">
        <f t="shared" ca="1" si="86"/>
        <v>0</v>
      </c>
      <c r="CL117" s="1212">
        <f t="shared" ca="1" si="87"/>
        <v>0</v>
      </c>
      <c r="CM117" s="1213">
        <f t="shared" ca="1" si="88"/>
        <v>0</v>
      </c>
      <c r="CN117" s="1587">
        <f t="shared" ca="1" si="89"/>
        <v>0</v>
      </c>
    </row>
    <row r="118" spans="1:92">
      <c r="A118" s="141" t="str">
        <f>'銀行-TSS'!A118</f>
        <v>US20030NDL29</v>
      </c>
      <c r="B118" s="151" t="str">
        <f ca="1">VLOOKUP(A118,'銀行-TSS'!A:B,2,FALSE)</f>
        <v>XFZ90</v>
      </c>
      <c r="C118" s="151" t="str">
        <f ca="1">VLOOKUP(B118,bond!B:C,2,FALSE)</f>
        <v>康卡斯特公司美元配息債券 2.8% 2051/1/15</v>
      </c>
      <c r="D118" s="95" t="str">
        <f>VLOOKUP(A118,'銀行-TSS'!A:C,3,FALSE)</f>
        <v>USD</v>
      </c>
      <c r="E118" s="90">
        <f ca="1">VLOOKUP(A118,'銀行-TSS'!A:G,7,FALSE)</f>
        <v>26.54</v>
      </c>
      <c r="F118" s="202">
        <f ca="1">VLOOKUP(A118,'銀行-TSS'!A:H,8,FALSE)</f>
        <v>2.7999999999999997E-2</v>
      </c>
      <c r="G118" s="96">
        <f ca="1">VLOOKUP(A118,'銀行-TSS'!A:K,11,FALSE)</f>
        <v>64.64</v>
      </c>
      <c r="H118" s="1209">
        <f ca="1">VLOOKUP(A118,'銀行-TSS'!A:M,13,FALSE)</f>
        <v>5.4199999999999998E-2</v>
      </c>
      <c r="I118" s="1213">
        <f ca="1">VLOOKUP(A118,'銀行-TSS'!A:N,14,FALSE)</f>
        <v>2000</v>
      </c>
      <c r="J118" s="1213">
        <f ca="1">VLOOKUP(A118,'銀行-TSS'!A:O,15,FALSE)</f>
        <v>1000</v>
      </c>
      <c r="K118" s="136" t="str">
        <f ca="1">VLOOKUP(A118,'銀行-TSS'!A:V,22,FALSE)</f>
        <v>(NPI)非專投</v>
      </c>
      <c r="L118" s="136" t="str">
        <f ca="1">VLOOKUP(A118,'銀行-TSS'!A:AK,37,FALSE)</f>
        <v>有</v>
      </c>
      <c r="M118" s="136" t="str">
        <f ca="1">VLOOKUP(A118,'銀行-TSS'!A:AN,40,FALSE)</f>
        <v/>
      </c>
      <c r="N118" s="136">
        <f t="shared" ca="1" si="45"/>
        <v>646.4</v>
      </c>
      <c r="O118" s="1213">
        <f t="shared" ca="1" si="46"/>
        <v>1292.8</v>
      </c>
      <c r="P118" s="1213">
        <f ca="1">IF(AND($O$1&gt;=O118,換券單檔!$D$13=D118),I118+INT(($O$1-O118)/N118)*J118,0)</f>
        <v>149000</v>
      </c>
      <c r="Q118" s="1213">
        <f t="shared" ca="1" si="47"/>
        <v>4172</v>
      </c>
      <c r="R118" s="1213">
        <f t="shared" ca="1" si="48"/>
        <v>149000</v>
      </c>
      <c r="S118" s="1213">
        <f t="shared" ca="1" si="49"/>
        <v>4172</v>
      </c>
      <c r="T118" s="136">
        <f ca="1">IF(OR(R118=0,A118=0),0,IF(AND(V118=TRUE,換券單檔!$D$13=D118),E118,0))</f>
        <v>26.54</v>
      </c>
      <c r="U118" s="861">
        <f ca="1">IF(OR(R118=0,A118=0),0,IF(AND(V118=TRUE,換券單檔!$D$13=D118),H118,0))</f>
        <v>5.4199999999999998E-2</v>
      </c>
      <c r="V118" s="136" t="b">
        <f ca="1">IF(OR(B118=換券單檔!$D$3,L118="無",M118&lt;&gt;"",K118="高資產",IFERROR(MATCH(B118,換券單檔!K:K,0),"N")&lt;&gt;"N"),FALSE,IF($V$1="All",TRUE,IF(K118=$V$1,TRUE,FALSE)))</f>
        <v>1</v>
      </c>
      <c r="W118" s="136">
        <f ca="1">VLOOKUP(A118,'銀行-TSS'!A:AO,41,FALSE)</f>
        <v>62.339999999999996</v>
      </c>
      <c r="X118" s="136">
        <f ca="1">VLOOKUP(A118,'銀行-TSS'!A:AP,42,FALSE)</f>
        <v>15.7608</v>
      </c>
      <c r="Y118" s="1220">
        <f t="shared" ca="1" si="50"/>
        <v>14639.671252799999</v>
      </c>
      <c r="Z118" s="1220">
        <f t="shared" ca="1" si="51"/>
        <v>0</v>
      </c>
      <c r="AA118" s="136">
        <f ca="1">IF(Z118&lt;=0,0,RANK(Z118,Z:Z)+COUNTIF($Z$3:$Z118,Z118)-1)</f>
        <v>0</v>
      </c>
      <c r="AB118" s="1211">
        <f t="shared" ca="1" si="52"/>
        <v>-256.46874720000051</v>
      </c>
      <c r="AC118" s="136">
        <f ca="1">IF(AB118&lt;=0,0,RANK(AB118,AB:AB)+COUNTIF($AB$3:$AB118,AB118)-1)</f>
        <v>0</v>
      </c>
      <c r="AD118" s="1123">
        <f t="shared" ca="1" si="53"/>
        <v>99999</v>
      </c>
      <c r="AE118" s="1123">
        <f ca="1">IF(AD118=99999,0,RANK(AD118,AD:AD,1)+COUNTIF($AD$3:$AD118,AD118)-1)</f>
        <v>0</v>
      </c>
      <c r="AF118" s="86" t="b">
        <f ca="1">IF(OR(M118&lt;&gt;"",L118="無",K118="高資產",IFERROR(MATCH(B118,換券單檔!K:K,0),"N")&lt;&gt;"N"),FALSE,TRUE)</f>
        <v>1</v>
      </c>
      <c r="AI118" s="1212">
        <f t="shared" ca="1" si="54"/>
        <v>149000</v>
      </c>
      <c r="AJ118" s="1213">
        <f t="shared" ca="1" si="55"/>
        <v>4172</v>
      </c>
      <c r="AK118" s="1587">
        <f t="shared" ca="1" si="56"/>
        <v>0</v>
      </c>
      <c r="AN118" s="1212">
        <f t="shared" ca="1" si="57"/>
        <v>85000</v>
      </c>
      <c r="AO118" s="1213">
        <f t="shared" ca="1" si="58"/>
        <v>2379.9999999999995</v>
      </c>
      <c r="AP118" s="1587">
        <f t="shared" ca="1" si="59"/>
        <v>-29617.347400150717</v>
      </c>
      <c r="AS118" s="1212">
        <f t="shared" ca="1" si="60"/>
        <v>146000</v>
      </c>
      <c r="AT118" s="1213">
        <f t="shared" ca="1" si="61"/>
        <v>4087.9999999999995</v>
      </c>
      <c r="AU118" s="1587">
        <f t="shared" ca="1" si="62"/>
        <v>0</v>
      </c>
      <c r="AX118" s="1212">
        <f t="shared" ca="1" si="63"/>
        <v>134000</v>
      </c>
      <c r="AY118" s="1213">
        <f t="shared" ca="1" si="64"/>
        <v>3751.9999999999995</v>
      </c>
      <c r="AZ118" s="1587">
        <f t="shared" ca="1" si="65"/>
        <v>0</v>
      </c>
      <c r="BC118" s="1212">
        <f t="shared" ca="1" si="66"/>
        <v>0</v>
      </c>
      <c r="BD118" s="1213">
        <f t="shared" ca="1" si="67"/>
        <v>0</v>
      </c>
      <c r="BE118" s="1587">
        <f t="shared" ca="1" si="68"/>
        <v>0</v>
      </c>
      <c r="BH118" s="1212">
        <f t="shared" ca="1" si="69"/>
        <v>0</v>
      </c>
      <c r="BI118" s="1213">
        <f t="shared" ca="1" si="70"/>
        <v>0</v>
      </c>
      <c r="BJ118" s="1587">
        <f t="shared" ca="1" si="71"/>
        <v>0</v>
      </c>
      <c r="BM118" s="1212">
        <f t="shared" ca="1" si="72"/>
        <v>0</v>
      </c>
      <c r="BN118" s="1213">
        <f t="shared" ca="1" si="73"/>
        <v>0</v>
      </c>
      <c r="BO118" s="1587">
        <f t="shared" ca="1" si="74"/>
        <v>0</v>
      </c>
      <c r="BR118" s="1212">
        <f t="shared" ca="1" si="75"/>
        <v>0</v>
      </c>
      <c r="BS118" s="1213">
        <f t="shared" ca="1" si="76"/>
        <v>0</v>
      </c>
      <c r="BT118" s="1587">
        <f t="shared" ca="1" si="77"/>
        <v>0</v>
      </c>
      <c r="BW118" s="1212">
        <f t="shared" ca="1" si="78"/>
        <v>0</v>
      </c>
      <c r="BX118" s="1213">
        <f t="shared" ca="1" si="79"/>
        <v>0</v>
      </c>
      <c r="BY118" s="1587">
        <f t="shared" ca="1" si="80"/>
        <v>0</v>
      </c>
      <c r="CB118" s="1212">
        <f t="shared" ca="1" si="81"/>
        <v>0</v>
      </c>
      <c r="CC118" s="1213">
        <f t="shared" ca="1" si="82"/>
        <v>0</v>
      </c>
      <c r="CD118" s="1587">
        <f t="shared" ca="1" si="83"/>
        <v>0</v>
      </c>
      <c r="CG118" s="1212">
        <f t="shared" ca="1" si="84"/>
        <v>0</v>
      </c>
      <c r="CH118" s="1213">
        <f t="shared" ca="1" si="85"/>
        <v>0</v>
      </c>
      <c r="CI118" s="1587">
        <f t="shared" ca="1" si="86"/>
        <v>0</v>
      </c>
      <c r="CL118" s="1212">
        <f t="shared" ca="1" si="87"/>
        <v>0</v>
      </c>
      <c r="CM118" s="1213">
        <f t="shared" ca="1" si="88"/>
        <v>0</v>
      </c>
      <c r="CN118" s="1587">
        <f t="shared" ca="1" si="89"/>
        <v>0</v>
      </c>
    </row>
    <row r="119" spans="1:92">
      <c r="A119" s="141" t="str">
        <f>'銀行-TSS'!A119</f>
        <v>XS1508675508</v>
      </c>
      <c r="B119" s="151" t="str">
        <f ca="1">VLOOKUP(A119,'銀行-TSS'!A:B,2,FALSE)</f>
        <v>XG020</v>
      </c>
      <c r="C119" s="151" t="str">
        <f ca="1">VLOOKUP(B119,bond!B:C,2,FALSE)</f>
        <v>沙烏地阿拉伯政府美元配息債券 4.5% 2046/10/26</v>
      </c>
      <c r="D119" s="95" t="str">
        <f>VLOOKUP(A119,'銀行-TSS'!A:C,3,FALSE)</f>
        <v>USD</v>
      </c>
      <c r="E119" s="90">
        <f ca="1">VLOOKUP(A119,'銀行-TSS'!A:G,7,FALSE)</f>
        <v>22.31</v>
      </c>
      <c r="F119" s="202">
        <f ca="1">VLOOKUP(A119,'銀行-TSS'!A:H,8,FALSE)</f>
        <v>4.4999999999999998E-2</v>
      </c>
      <c r="G119" s="96">
        <f ca="1">VLOOKUP(A119,'銀行-TSS'!A:K,11,FALSE)</f>
        <v>89.14</v>
      </c>
      <c r="H119" s="1209">
        <f ca="1">VLOOKUP(A119,'銀行-TSS'!A:M,13,FALSE)</f>
        <v>5.4100000000000002E-2</v>
      </c>
      <c r="I119" s="1213">
        <f ca="1">VLOOKUP(A119,'銀行-TSS'!A:N,14,FALSE)</f>
        <v>200000</v>
      </c>
      <c r="J119" s="1213">
        <f ca="1">VLOOKUP(A119,'銀行-TSS'!A:O,15,FALSE)</f>
        <v>1000</v>
      </c>
      <c r="K119" s="136" t="str">
        <f ca="1">VLOOKUP(A119,'銀行-TSS'!A:V,22,FALSE)</f>
        <v>(NPI)非專投</v>
      </c>
      <c r="L119" s="136" t="str">
        <f ca="1">VLOOKUP(A119,'銀行-TSS'!A:AK,37,FALSE)</f>
        <v>有</v>
      </c>
      <c r="M119" s="136" t="str">
        <f ca="1">VLOOKUP(A119,'銀行-TSS'!A:AN,40,FALSE)</f>
        <v/>
      </c>
      <c r="N119" s="136">
        <f t="shared" ca="1" si="45"/>
        <v>891.4</v>
      </c>
      <c r="O119" s="1213">
        <f t="shared" ca="1" si="46"/>
        <v>178280</v>
      </c>
      <c r="P119" s="1213">
        <f ca="1">IF(AND($O$1&gt;=O119,換券單檔!$D$13=D119),I119+INT(($O$1-O119)/N119)*J119,0)</f>
        <v>0</v>
      </c>
      <c r="Q119" s="1213">
        <f t="shared" ca="1" si="47"/>
        <v>0</v>
      </c>
      <c r="R119" s="1213">
        <f t="shared" ca="1" si="48"/>
        <v>0</v>
      </c>
      <c r="S119" s="1213">
        <f t="shared" ca="1" si="49"/>
        <v>0</v>
      </c>
      <c r="T119" s="136">
        <f ca="1">IF(OR(R119=0,A119=0),0,IF(AND(V119=TRUE,換券單檔!$D$13=D119),E119,0))</f>
        <v>0</v>
      </c>
      <c r="U119" s="861">
        <f ca="1">IF(OR(R119=0,A119=0),0,IF(AND(V119=TRUE,換券單檔!$D$13=D119),H119,0))</f>
        <v>0</v>
      </c>
      <c r="V119" s="136" t="b">
        <f ca="1">IF(OR(B119=換券單檔!$D$3,L119="無",M119&lt;&gt;"",K119="高資產",IFERROR(MATCH(B119,換券單檔!K:K,0),"N")&lt;&gt;"N"),FALSE,IF($V$1="All",TRUE,IF(K119=$V$1,TRUE,FALSE)))</f>
        <v>1</v>
      </c>
      <c r="W119" s="136">
        <f ca="1">VLOOKUP(A119,'銀行-TSS'!A:AO,41,FALSE)</f>
        <v>85.300000000000011</v>
      </c>
      <c r="X119" s="136">
        <f ca="1">VLOOKUP(A119,'銀行-TSS'!A:AP,42,FALSE)</f>
        <v>13.1318</v>
      </c>
      <c r="Y119" s="1220">
        <f t="shared" ca="1" si="50"/>
        <v>0</v>
      </c>
      <c r="Z119" s="1220">
        <f t="shared" ca="1" si="51"/>
        <v>0</v>
      </c>
      <c r="AA119" s="136">
        <f ca="1">IF(Z119&lt;=0,0,RANK(Z119,Z:Z)+COUNTIF($Z$3:$Z119,Z119)-1)</f>
        <v>0</v>
      </c>
      <c r="AB119" s="1211">
        <f t="shared" ca="1" si="52"/>
        <v>-114896.14</v>
      </c>
      <c r="AC119" s="136">
        <f ca="1">IF(AB119&lt;=0,0,RANK(AB119,AB:AB)+COUNTIF($AB$3:$AB119,AB119)-1)</f>
        <v>0</v>
      </c>
      <c r="AD119" s="1123">
        <f t="shared" ca="1" si="53"/>
        <v>99999</v>
      </c>
      <c r="AE119" s="1123">
        <f ca="1">IF(AD119=99999,0,RANK(AD119,AD:AD,1)+COUNTIF($AD$3:$AD119,AD119)-1)</f>
        <v>0</v>
      </c>
      <c r="AF119" s="86" t="b">
        <f ca="1">IF(OR(M119&lt;&gt;"",L119="無",K119="高資產",IFERROR(MATCH(B119,換券單檔!K:K,0),"N")&lt;&gt;"N"),FALSE,TRUE)</f>
        <v>1</v>
      </c>
      <c r="AI119" s="1212">
        <f t="shared" ca="1" si="54"/>
        <v>0</v>
      </c>
      <c r="AJ119" s="1213">
        <f t="shared" ca="1" si="55"/>
        <v>0</v>
      </c>
      <c r="AK119" s="1587">
        <f t="shared" ca="1" si="56"/>
        <v>0</v>
      </c>
      <c r="AN119" s="1212">
        <f t="shared" ca="1" si="57"/>
        <v>0</v>
      </c>
      <c r="AO119" s="1213">
        <f t="shared" ca="1" si="58"/>
        <v>0</v>
      </c>
      <c r="AP119" s="1587">
        <f t="shared" ca="1" si="59"/>
        <v>0</v>
      </c>
      <c r="AS119" s="1212">
        <f t="shared" ca="1" si="60"/>
        <v>0</v>
      </c>
      <c r="AT119" s="1213">
        <f t="shared" ca="1" si="61"/>
        <v>0</v>
      </c>
      <c r="AU119" s="1587">
        <f t="shared" ca="1" si="62"/>
        <v>0</v>
      </c>
      <c r="AX119" s="1212">
        <f t="shared" ca="1" si="63"/>
        <v>0</v>
      </c>
      <c r="AY119" s="1213">
        <f t="shared" ca="1" si="64"/>
        <v>0</v>
      </c>
      <c r="AZ119" s="1587">
        <f t="shared" ca="1" si="65"/>
        <v>0</v>
      </c>
      <c r="BC119" s="1212">
        <f t="shared" ca="1" si="66"/>
        <v>0</v>
      </c>
      <c r="BD119" s="1213">
        <f t="shared" ca="1" si="67"/>
        <v>0</v>
      </c>
      <c r="BE119" s="1587">
        <f t="shared" ca="1" si="68"/>
        <v>0</v>
      </c>
      <c r="BH119" s="1212">
        <f t="shared" ca="1" si="69"/>
        <v>0</v>
      </c>
      <c r="BI119" s="1213">
        <f t="shared" ca="1" si="70"/>
        <v>0</v>
      </c>
      <c r="BJ119" s="1587">
        <f t="shared" ca="1" si="71"/>
        <v>0</v>
      </c>
      <c r="BM119" s="1212">
        <f t="shared" ca="1" si="72"/>
        <v>0</v>
      </c>
      <c r="BN119" s="1213">
        <f t="shared" ca="1" si="73"/>
        <v>0</v>
      </c>
      <c r="BO119" s="1587">
        <f t="shared" ca="1" si="74"/>
        <v>0</v>
      </c>
      <c r="BR119" s="1212">
        <f t="shared" ca="1" si="75"/>
        <v>0</v>
      </c>
      <c r="BS119" s="1213">
        <f t="shared" ca="1" si="76"/>
        <v>0</v>
      </c>
      <c r="BT119" s="1587">
        <f t="shared" ca="1" si="77"/>
        <v>0</v>
      </c>
      <c r="BW119" s="1212">
        <f t="shared" ca="1" si="78"/>
        <v>0</v>
      </c>
      <c r="BX119" s="1213">
        <f t="shared" ca="1" si="79"/>
        <v>0</v>
      </c>
      <c r="BY119" s="1587">
        <f t="shared" ca="1" si="80"/>
        <v>0</v>
      </c>
      <c r="CB119" s="1212">
        <f t="shared" ca="1" si="81"/>
        <v>0</v>
      </c>
      <c r="CC119" s="1213">
        <f t="shared" ca="1" si="82"/>
        <v>0</v>
      </c>
      <c r="CD119" s="1587">
        <f t="shared" ca="1" si="83"/>
        <v>0</v>
      </c>
      <c r="CG119" s="1212">
        <f t="shared" ca="1" si="84"/>
        <v>0</v>
      </c>
      <c r="CH119" s="1213">
        <f t="shared" ca="1" si="85"/>
        <v>0</v>
      </c>
      <c r="CI119" s="1587">
        <f t="shared" ca="1" si="86"/>
        <v>0</v>
      </c>
      <c r="CL119" s="1212">
        <f t="shared" ca="1" si="87"/>
        <v>0</v>
      </c>
      <c r="CM119" s="1213">
        <f t="shared" ca="1" si="88"/>
        <v>0</v>
      </c>
      <c r="CN119" s="1587">
        <f t="shared" ca="1" si="89"/>
        <v>0</v>
      </c>
    </row>
    <row r="120" spans="1:92">
      <c r="A120" s="141" t="str">
        <f>'銀行-TSS'!A120</f>
        <v>US097023CY98</v>
      </c>
      <c r="B120" s="151" t="str">
        <f ca="1">VLOOKUP(A120,'銀行-TSS'!A:B,2,FALSE)</f>
        <v>XG030</v>
      </c>
      <c r="C120" s="151" t="str">
        <f ca="1">VLOOKUP(B120,bond!B:C,2,FALSE)</f>
        <v>波音公司美元配息債券 5.15% 2030/5/1</v>
      </c>
      <c r="D120" s="95" t="str">
        <f>VLOOKUP(A120,'銀行-TSS'!A:C,3,FALSE)</f>
        <v>USD</v>
      </c>
      <c r="E120" s="90">
        <f ca="1">VLOOKUP(A120,'銀行-TSS'!A:G,7,FALSE)</f>
        <v>5.83</v>
      </c>
      <c r="F120" s="202">
        <f ca="1">VLOOKUP(A120,'銀行-TSS'!A:H,8,FALSE)</f>
        <v>5.1500000000000004E-2</v>
      </c>
      <c r="G120" s="96">
        <f ca="1">VLOOKUP(A120,'銀行-TSS'!A:K,11,FALSE)</f>
        <v>99.45</v>
      </c>
      <c r="H120" s="1209">
        <f ca="1">VLOOKUP(A120,'銀行-TSS'!A:M,13,FALSE)</f>
        <v>5.4399999999999997E-2</v>
      </c>
      <c r="I120" s="1213">
        <f ca="1">VLOOKUP(A120,'銀行-TSS'!A:N,14,FALSE)</f>
        <v>10000</v>
      </c>
      <c r="J120" s="1213">
        <f ca="1">VLOOKUP(A120,'銀行-TSS'!A:O,15,FALSE)</f>
        <v>1000</v>
      </c>
      <c r="K120" s="136" t="str">
        <f ca="1">VLOOKUP(A120,'銀行-TSS'!A:V,22,FALSE)</f>
        <v>(PI)專投</v>
      </c>
      <c r="L120" s="136" t="str">
        <f ca="1">VLOOKUP(A120,'銀行-TSS'!A:AK,37,FALSE)</f>
        <v>有</v>
      </c>
      <c r="M120" s="136" t="str">
        <f ca="1">VLOOKUP(A120,'銀行-TSS'!A:AN,40,FALSE)</f>
        <v/>
      </c>
      <c r="N120" s="136">
        <f t="shared" ca="1" si="45"/>
        <v>994.5</v>
      </c>
      <c r="O120" s="1213">
        <f t="shared" ca="1" si="46"/>
        <v>9945</v>
      </c>
      <c r="P120" s="1213">
        <f ca="1">IF(AND($O$1&gt;=O120,換券單檔!$D$13=D120),I120+INT(($O$1-O120)/N120)*J120,0)</f>
        <v>97000</v>
      </c>
      <c r="Q120" s="1213">
        <f t="shared" ca="1" si="47"/>
        <v>4995.5</v>
      </c>
      <c r="R120" s="1213">
        <f t="shared" ca="1" si="48"/>
        <v>97000</v>
      </c>
      <c r="S120" s="1213">
        <f t="shared" ca="1" si="49"/>
        <v>4995.5</v>
      </c>
      <c r="T120" s="136">
        <f ca="1">IF(OR(R120=0,A120=0),0,IF(AND(V120=TRUE,換券單檔!$D$13=D120),E120,0))</f>
        <v>5.83</v>
      </c>
      <c r="U120" s="861">
        <f ca="1">IF(OR(R120=0,A120=0),0,IF(AND(V120=TRUE,換券單檔!$D$13=D120),H120,0))</f>
        <v>5.4399999999999997E-2</v>
      </c>
      <c r="V120" s="136" t="b">
        <f ca="1">IF(OR(B120=換券單檔!$D$3,L120="無",M120&lt;&gt;"",K120="高資產",IFERROR(MATCH(B120,換券單檔!K:K,0),"N")&lt;&gt;"N"),FALSE,IF($V$1="All",TRUE,IF(K120=$V$1,TRUE,FALSE)))</f>
        <v>1</v>
      </c>
      <c r="W120" s="136">
        <f ca="1">VLOOKUP(A120,'銀行-TSS'!A:AO,41,FALSE)</f>
        <v>96.58</v>
      </c>
      <c r="X120" s="136">
        <f ca="1">VLOOKUP(A120,'銀行-TSS'!A:AP,42,FALSE)</f>
        <v>4.9138000000000002</v>
      </c>
      <c r="Y120" s="1220">
        <f t="shared" ca="1" si="50"/>
        <v>4603.3755988000003</v>
      </c>
      <c r="Z120" s="1220">
        <f t="shared" ca="1" si="51"/>
        <v>-5600.9356775300148</v>
      </c>
      <c r="AA120" s="136">
        <f ca="1">IF(Z120&lt;=0,0,RANK(Z120,Z:Z)+COUNTIF($Z$3:$Z120,Z120)-1)</f>
        <v>0</v>
      </c>
      <c r="AB120" s="1211">
        <f t="shared" ca="1" si="52"/>
        <v>-13292.764401199998</v>
      </c>
      <c r="AC120" s="136">
        <f ca="1">IF(AB120&lt;=0,0,RANK(AB120,AB:AB)+COUNTIF($AB$3:$AB120,AB120)-1)</f>
        <v>0</v>
      </c>
      <c r="AD120" s="1123">
        <f t="shared" ca="1" si="53"/>
        <v>99999</v>
      </c>
      <c r="AE120" s="1123">
        <f ca="1">IF(AD120=99999,0,RANK(AD120,AD:AD,1)+COUNTIF($AD$3:$AD120,AD120)-1)</f>
        <v>0</v>
      </c>
      <c r="AF120" s="86" t="b">
        <f ca="1">IF(OR(M120&lt;&gt;"",L120="無",K120="高資產",IFERROR(MATCH(B120,換券單檔!K:K,0),"N")&lt;&gt;"N"),FALSE,TRUE)</f>
        <v>1</v>
      </c>
      <c r="AI120" s="1212">
        <f t="shared" ca="1" si="54"/>
        <v>97000</v>
      </c>
      <c r="AJ120" s="1213">
        <f t="shared" ca="1" si="55"/>
        <v>4995.5</v>
      </c>
      <c r="AK120" s="1587">
        <f t="shared" ca="1" si="56"/>
        <v>-5600.9356775300148</v>
      </c>
      <c r="AN120" s="1212">
        <f t="shared" ca="1" si="57"/>
        <v>55000</v>
      </c>
      <c r="AO120" s="1213">
        <f t="shared" ca="1" si="58"/>
        <v>2832.5</v>
      </c>
      <c r="AP120" s="1587">
        <f t="shared" ca="1" si="59"/>
        <v>-88402.371355060037</v>
      </c>
      <c r="AS120" s="1212">
        <f t="shared" ca="1" si="60"/>
        <v>95000</v>
      </c>
      <c r="AT120" s="1213">
        <f t="shared" ca="1" si="61"/>
        <v>4892.5</v>
      </c>
      <c r="AU120" s="1587">
        <f t="shared" ca="1" si="62"/>
        <v>-9952.0025728987985</v>
      </c>
      <c r="AX120" s="1212">
        <f t="shared" ca="1" si="63"/>
        <v>87000</v>
      </c>
      <c r="AY120" s="1213">
        <f t="shared" ca="1" si="64"/>
        <v>4480.5</v>
      </c>
      <c r="AZ120" s="1587">
        <f t="shared" ca="1" si="65"/>
        <v>-25916.347341337911</v>
      </c>
      <c r="BC120" s="1212">
        <f t="shared" ca="1" si="66"/>
        <v>0</v>
      </c>
      <c r="BD120" s="1213">
        <f t="shared" ca="1" si="67"/>
        <v>0</v>
      </c>
      <c r="BE120" s="1587">
        <f t="shared" ca="1" si="68"/>
        <v>0</v>
      </c>
      <c r="BH120" s="1212">
        <f t="shared" ca="1" si="69"/>
        <v>0</v>
      </c>
      <c r="BI120" s="1213">
        <f t="shared" ca="1" si="70"/>
        <v>0</v>
      </c>
      <c r="BJ120" s="1587">
        <f t="shared" ca="1" si="71"/>
        <v>0</v>
      </c>
      <c r="BM120" s="1212">
        <f t="shared" ca="1" si="72"/>
        <v>0</v>
      </c>
      <c r="BN120" s="1213">
        <f t="shared" ca="1" si="73"/>
        <v>0</v>
      </c>
      <c r="BO120" s="1587">
        <f t="shared" ca="1" si="74"/>
        <v>0</v>
      </c>
      <c r="BR120" s="1212">
        <f t="shared" ca="1" si="75"/>
        <v>0</v>
      </c>
      <c r="BS120" s="1213">
        <f t="shared" ca="1" si="76"/>
        <v>0</v>
      </c>
      <c r="BT120" s="1587">
        <f t="shared" ca="1" si="77"/>
        <v>0</v>
      </c>
      <c r="BW120" s="1212">
        <f t="shared" ca="1" si="78"/>
        <v>0</v>
      </c>
      <c r="BX120" s="1213">
        <f t="shared" ca="1" si="79"/>
        <v>0</v>
      </c>
      <c r="BY120" s="1587">
        <f t="shared" ca="1" si="80"/>
        <v>0</v>
      </c>
      <c r="CB120" s="1212">
        <f t="shared" ca="1" si="81"/>
        <v>0</v>
      </c>
      <c r="CC120" s="1213">
        <f t="shared" ca="1" si="82"/>
        <v>0</v>
      </c>
      <c r="CD120" s="1587">
        <f t="shared" ca="1" si="83"/>
        <v>0</v>
      </c>
      <c r="CG120" s="1212">
        <f t="shared" ca="1" si="84"/>
        <v>0</v>
      </c>
      <c r="CH120" s="1213">
        <f t="shared" ca="1" si="85"/>
        <v>0</v>
      </c>
      <c r="CI120" s="1587">
        <f t="shared" ca="1" si="86"/>
        <v>0</v>
      </c>
      <c r="CL120" s="1212">
        <f t="shared" ca="1" si="87"/>
        <v>0</v>
      </c>
      <c r="CM120" s="1213">
        <f t="shared" ca="1" si="88"/>
        <v>0</v>
      </c>
      <c r="CN120" s="1587">
        <f t="shared" ca="1" si="89"/>
        <v>0</v>
      </c>
    </row>
    <row r="121" spans="1:92">
      <c r="A121" s="141" t="str">
        <f>'銀行-TSS'!A121</f>
        <v>US233835AQ08</v>
      </c>
      <c r="B121" s="151" t="str">
        <f ca="1">VLOOKUP(A121,'銀行-TSS'!A:B,2,FALSE)</f>
        <v>XG040</v>
      </c>
      <c r="C121" s="151" t="str">
        <f ca="1">VLOOKUP(B121,bond!B:C,2,FALSE)</f>
        <v>戴姆勒金融北美有限責任公司美元配息債券 8.5% 2031/1/18</v>
      </c>
      <c r="D121" s="95" t="str">
        <f>VLOOKUP(A121,'銀行-TSS'!A:C,3,FALSE)</f>
        <v>USD</v>
      </c>
      <c r="E121" s="90">
        <f ca="1">VLOOKUP(A121,'銀行-TSS'!A:G,7,FALSE)</f>
        <v>6.55</v>
      </c>
      <c r="F121" s="202">
        <f ca="1">VLOOKUP(A121,'銀行-TSS'!A:H,8,FALSE)</f>
        <v>8.5000000000000006E-2</v>
      </c>
      <c r="G121" s="96">
        <f ca="1">VLOOKUP(A121,'銀行-TSS'!A:K,11,FALSE)</f>
        <v>125.56</v>
      </c>
      <c r="H121" s="1209">
        <f ca="1">VLOOKUP(A121,'銀行-TSS'!A:M,13,FALSE)</f>
        <v>4.6199999999999998E-2</v>
      </c>
      <c r="I121" s="1213">
        <f ca="1">VLOOKUP(A121,'銀行-TSS'!A:N,14,FALSE)</f>
        <v>10000</v>
      </c>
      <c r="J121" s="1213">
        <f ca="1">VLOOKUP(A121,'銀行-TSS'!A:O,15,FALSE)</f>
        <v>1000</v>
      </c>
      <c r="K121" s="136" t="str">
        <f ca="1">VLOOKUP(A121,'銀行-TSS'!A:V,22,FALSE)</f>
        <v>(NPI)非專投</v>
      </c>
      <c r="L121" s="136" t="str">
        <f ca="1">VLOOKUP(A121,'銀行-TSS'!A:AK,37,FALSE)</f>
        <v>有</v>
      </c>
      <c r="M121" s="136" t="str">
        <f ca="1">VLOOKUP(A121,'銀行-TSS'!A:AN,40,FALSE)</f>
        <v/>
      </c>
      <c r="N121" s="136">
        <f t="shared" ca="1" si="45"/>
        <v>1255.5999999999999</v>
      </c>
      <c r="O121" s="1213">
        <f t="shared" ca="1" si="46"/>
        <v>12556</v>
      </c>
      <c r="P121" s="1213">
        <f ca="1">IF(AND($O$1&gt;=O121,換券單檔!$D$13=D121),I121+INT(($O$1-O121)/N121)*J121,0)</f>
        <v>77000</v>
      </c>
      <c r="Q121" s="1213">
        <f t="shared" ca="1" si="47"/>
        <v>6545.0000000000009</v>
      </c>
      <c r="R121" s="1213">
        <f t="shared" ca="1" si="48"/>
        <v>77000</v>
      </c>
      <c r="S121" s="1213">
        <f t="shared" ca="1" si="49"/>
        <v>6545.0000000000009</v>
      </c>
      <c r="T121" s="136">
        <f ca="1">IF(OR(R121=0,A121=0),0,IF(AND(V121=TRUE,換券單檔!$D$13=D121),E121,0))</f>
        <v>6.55</v>
      </c>
      <c r="U121" s="861">
        <f ca="1">IF(OR(R121=0,A121=0),0,IF(AND(V121=TRUE,換券單檔!$D$13=D121),H121,0))</f>
        <v>4.6199999999999998E-2</v>
      </c>
      <c r="V121" s="136" t="b">
        <f ca="1">IF(OR(B121=換券單檔!$D$3,L121="無",M121&lt;&gt;"",K121="高資產",IFERROR(MATCH(B121,換券單檔!K:K,0),"N")&lt;&gt;"N"),FALSE,IF($V$1="All",TRUE,IF(K121=$V$1,TRUE,FALSE)))</f>
        <v>1</v>
      </c>
      <c r="W121" s="136">
        <f ca="1">VLOOKUP(A121,'銀行-TSS'!A:AO,41,FALSE)</f>
        <v>119.69000000000001</v>
      </c>
      <c r="X121" s="136">
        <f ca="1">VLOOKUP(A121,'銀行-TSS'!A:AP,42,FALSE)</f>
        <v>5.0064000000000002</v>
      </c>
      <c r="Y121" s="1220">
        <f t="shared" ca="1" si="50"/>
        <v>4613.9633232000006</v>
      </c>
      <c r="Z121" s="1220">
        <f t="shared" ca="1" si="51"/>
        <v>-41303.167938931292</v>
      </c>
      <c r="AA121" s="136">
        <f ca="1">IF(Z121&lt;=0,0,RANK(Z121,Z:Z)+COUNTIF($Z$3:$Z121,Z121)-1)</f>
        <v>0</v>
      </c>
      <c r="AB121" s="1211">
        <f t="shared" ca="1" si="52"/>
        <v>-33282.176676799994</v>
      </c>
      <c r="AC121" s="136">
        <f ca="1">IF(AB121&lt;=0,0,RANK(AB121,AB:AB)+COUNTIF($AB$3:$AB121,AB121)-1)</f>
        <v>0</v>
      </c>
      <c r="AD121" s="1123">
        <f t="shared" ca="1" si="53"/>
        <v>99999</v>
      </c>
      <c r="AE121" s="1123">
        <f ca="1">IF(AD121=99999,0,RANK(AD121,AD:AD,1)+COUNTIF($AD$3:$AD121,AD121)-1)</f>
        <v>0</v>
      </c>
      <c r="AF121" s="86" t="b">
        <f ca="1">IF(OR(M121&lt;&gt;"",L121="無",K121="高資產",IFERROR(MATCH(B121,換券單檔!K:K,0),"N")&lt;&gt;"N"),FALSE,TRUE)</f>
        <v>1</v>
      </c>
      <c r="AI121" s="1212">
        <f t="shared" ca="1" si="54"/>
        <v>77000</v>
      </c>
      <c r="AJ121" s="1213">
        <f t="shared" ca="1" si="55"/>
        <v>6545.0000000000009</v>
      </c>
      <c r="AK121" s="1587">
        <f t="shared" ca="1" si="56"/>
        <v>-41303.167938931292</v>
      </c>
      <c r="AN121" s="1212">
        <f t="shared" ca="1" si="57"/>
        <v>44000</v>
      </c>
      <c r="AO121" s="1213">
        <f t="shared" ca="1" si="58"/>
        <v>3740.0000000000005</v>
      </c>
      <c r="AP121" s="1587">
        <f t="shared" ca="1" si="59"/>
        <v>-107871.2213740458</v>
      </c>
      <c r="AS121" s="1212">
        <f t="shared" ca="1" si="60"/>
        <v>75000</v>
      </c>
      <c r="AT121" s="1213">
        <f t="shared" ca="1" si="61"/>
        <v>6375.0000000000009</v>
      </c>
      <c r="AU121" s="1587">
        <f t="shared" ca="1" si="62"/>
        <v>-45843.511450381673</v>
      </c>
      <c r="AX121" s="1212">
        <f t="shared" ca="1" si="63"/>
        <v>69000</v>
      </c>
      <c r="AY121" s="1213">
        <f t="shared" ca="1" si="64"/>
        <v>5865</v>
      </c>
      <c r="AZ121" s="1587">
        <f t="shared" ca="1" si="65"/>
        <v>-58079.045801526721</v>
      </c>
      <c r="BC121" s="1212">
        <f t="shared" ca="1" si="66"/>
        <v>0</v>
      </c>
      <c r="BD121" s="1213">
        <f t="shared" ca="1" si="67"/>
        <v>0</v>
      </c>
      <c r="BE121" s="1587">
        <f t="shared" ca="1" si="68"/>
        <v>0</v>
      </c>
      <c r="BH121" s="1212">
        <f t="shared" ca="1" si="69"/>
        <v>0</v>
      </c>
      <c r="BI121" s="1213">
        <f t="shared" ca="1" si="70"/>
        <v>0</v>
      </c>
      <c r="BJ121" s="1587">
        <f t="shared" ca="1" si="71"/>
        <v>0</v>
      </c>
      <c r="BM121" s="1212">
        <f t="shared" ca="1" si="72"/>
        <v>0</v>
      </c>
      <c r="BN121" s="1213">
        <f t="shared" ca="1" si="73"/>
        <v>0</v>
      </c>
      <c r="BO121" s="1587">
        <f t="shared" ca="1" si="74"/>
        <v>0</v>
      </c>
      <c r="BR121" s="1212">
        <f t="shared" ca="1" si="75"/>
        <v>0</v>
      </c>
      <c r="BS121" s="1213">
        <f t="shared" ca="1" si="76"/>
        <v>0</v>
      </c>
      <c r="BT121" s="1587">
        <f t="shared" ca="1" si="77"/>
        <v>0</v>
      </c>
      <c r="BW121" s="1212">
        <f t="shared" ca="1" si="78"/>
        <v>0</v>
      </c>
      <c r="BX121" s="1213">
        <f t="shared" ca="1" si="79"/>
        <v>0</v>
      </c>
      <c r="BY121" s="1587">
        <f t="shared" ca="1" si="80"/>
        <v>0</v>
      </c>
      <c r="CB121" s="1212">
        <f t="shared" ca="1" si="81"/>
        <v>0</v>
      </c>
      <c r="CC121" s="1213">
        <f t="shared" ca="1" si="82"/>
        <v>0</v>
      </c>
      <c r="CD121" s="1587">
        <f t="shared" ca="1" si="83"/>
        <v>0</v>
      </c>
      <c r="CG121" s="1212">
        <f t="shared" ca="1" si="84"/>
        <v>0</v>
      </c>
      <c r="CH121" s="1213">
        <f t="shared" ca="1" si="85"/>
        <v>0</v>
      </c>
      <c r="CI121" s="1587">
        <f t="shared" ca="1" si="86"/>
        <v>0</v>
      </c>
      <c r="CL121" s="1212">
        <f t="shared" ca="1" si="87"/>
        <v>0</v>
      </c>
      <c r="CM121" s="1213">
        <f t="shared" ca="1" si="88"/>
        <v>0</v>
      </c>
      <c r="CN121" s="1587">
        <f t="shared" ca="1" si="89"/>
        <v>0</v>
      </c>
    </row>
    <row r="122" spans="1:92">
      <c r="A122" s="141" t="str">
        <f>'銀行-TSS'!A122</f>
        <v>US00287YAV11</v>
      </c>
      <c r="B122" s="151" t="str">
        <f ca="1">VLOOKUP(A122,'銀行-TSS'!A:B,2,FALSE)</f>
        <v>XG050</v>
      </c>
      <c r="C122" s="151" t="str">
        <f ca="1">VLOOKUP(B122,bond!B:C,2,FALSE)</f>
        <v>艾伯維藥品有限公司美元配息債券  4.3% 2036/5/14</v>
      </c>
      <c r="D122" s="95" t="str">
        <f>VLOOKUP(A122,'銀行-TSS'!A:C,3,FALSE)</f>
        <v>USD</v>
      </c>
      <c r="E122" s="90">
        <f ca="1">VLOOKUP(A122,'銀行-TSS'!A:G,7,FALSE)</f>
        <v>11.87</v>
      </c>
      <c r="F122" s="202">
        <f ca="1">VLOOKUP(A122,'銀行-TSS'!A:H,8,FALSE)</f>
        <v>4.2999999999999997E-2</v>
      </c>
      <c r="G122" s="96">
        <f ca="1">VLOOKUP(A122,'銀行-TSS'!A:K,11,FALSE)</f>
        <v>95.69</v>
      </c>
      <c r="H122" s="1209">
        <f ca="1">VLOOKUP(A122,'銀行-TSS'!A:M,13,FALSE)</f>
        <v>4.8399999999999999E-2</v>
      </c>
      <c r="I122" s="1213">
        <f ca="1">VLOOKUP(A122,'銀行-TSS'!A:N,14,FALSE)</f>
        <v>10000</v>
      </c>
      <c r="J122" s="1213">
        <f ca="1">VLOOKUP(A122,'銀行-TSS'!A:O,15,FALSE)</f>
        <v>1000</v>
      </c>
      <c r="K122" s="136" t="str">
        <f ca="1">VLOOKUP(A122,'銀行-TSS'!A:V,22,FALSE)</f>
        <v>(NPI)非專投</v>
      </c>
      <c r="L122" s="136" t="str">
        <f ca="1">VLOOKUP(A122,'銀行-TSS'!A:AK,37,FALSE)</f>
        <v>有</v>
      </c>
      <c r="M122" s="136" t="str">
        <f ca="1">VLOOKUP(A122,'銀行-TSS'!A:AN,40,FALSE)</f>
        <v/>
      </c>
      <c r="N122" s="136">
        <f t="shared" ca="1" si="45"/>
        <v>956.9</v>
      </c>
      <c r="O122" s="1213">
        <f t="shared" ca="1" si="46"/>
        <v>9569</v>
      </c>
      <c r="P122" s="1213">
        <f ca="1">IF(AND($O$1&gt;=O122,換券單檔!$D$13=D122),I122+INT(($O$1-O122)/N122)*J122,0)</f>
        <v>101000</v>
      </c>
      <c r="Q122" s="1213">
        <f t="shared" ca="1" si="47"/>
        <v>4343</v>
      </c>
      <c r="R122" s="1213">
        <f t="shared" ca="1" si="48"/>
        <v>101000</v>
      </c>
      <c r="S122" s="1213">
        <f t="shared" ca="1" si="49"/>
        <v>4343</v>
      </c>
      <c r="T122" s="136">
        <f ca="1">IF(OR(R122=0,A122=0),0,IF(AND(V122=TRUE,換券單檔!$D$13=D122),E122,0))</f>
        <v>11.87</v>
      </c>
      <c r="U122" s="861">
        <f ca="1">IF(OR(R122=0,A122=0),0,IF(AND(V122=TRUE,換券單檔!$D$13=D122),H122,0))</f>
        <v>4.8399999999999999E-2</v>
      </c>
      <c r="V122" s="136" t="b">
        <f ca="1">IF(OR(B122=換券單檔!$D$3,L122="無",M122&lt;&gt;"",K122="高資產",IFERROR(MATCH(B122,換券單檔!K:K,0),"N")&lt;&gt;"N"),FALSE,IF($V$1="All",TRUE,IF(K122=$V$1,TRUE,FALSE)))</f>
        <v>1</v>
      </c>
      <c r="W122" s="136">
        <f ca="1">VLOOKUP(A122,'銀行-TSS'!A:AO,41,FALSE)</f>
        <v>92.62</v>
      </c>
      <c r="X122" s="136">
        <f ca="1">VLOOKUP(A122,'銀行-TSS'!A:AP,42,FALSE)</f>
        <v>9.0341000000000005</v>
      </c>
      <c r="Y122" s="1220">
        <f t="shared" ca="1" si="50"/>
        <v>8451.0572542000009</v>
      </c>
      <c r="Z122" s="1220">
        <f t="shared" ca="1" si="51"/>
        <v>0</v>
      </c>
      <c r="AA122" s="136">
        <f ca="1">IF(Z122&lt;=0,0,RANK(Z122,Z:Z)+COUNTIF($Z$3:$Z122,Z122)-1)</f>
        <v>0</v>
      </c>
      <c r="AB122" s="1211">
        <f t="shared" ca="1" si="52"/>
        <v>-6445.0827457999985</v>
      </c>
      <c r="AC122" s="136">
        <f ca="1">IF(AB122&lt;=0,0,RANK(AB122,AB:AB)+COUNTIF($AB$3:$AB122,AB122)-1)</f>
        <v>0</v>
      </c>
      <c r="AD122" s="1123">
        <f t="shared" ca="1" si="53"/>
        <v>99999</v>
      </c>
      <c r="AE122" s="1123">
        <f ca="1">IF(AD122=99999,0,RANK(AD122,AD:AD,1)+COUNTIF($AD$3:$AD122,AD122)-1)</f>
        <v>0</v>
      </c>
      <c r="AF122" s="86" t="b">
        <f ca="1">IF(OR(M122&lt;&gt;"",L122="無",K122="高資產",IFERROR(MATCH(B122,換券單檔!K:K,0),"N")&lt;&gt;"N"),FALSE,TRUE)</f>
        <v>1</v>
      </c>
      <c r="AI122" s="1212">
        <f t="shared" ca="1" si="54"/>
        <v>101000</v>
      </c>
      <c r="AJ122" s="1213">
        <f t="shared" ca="1" si="55"/>
        <v>4343</v>
      </c>
      <c r="AK122" s="1587">
        <f t="shared" ca="1" si="56"/>
        <v>0</v>
      </c>
      <c r="AN122" s="1212">
        <f t="shared" ca="1" si="57"/>
        <v>57000</v>
      </c>
      <c r="AO122" s="1213">
        <f t="shared" ca="1" si="58"/>
        <v>2451</v>
      </c>
      <c r="AP122" s="1587">
        <f t="shared" ca="1" si="59"/>
        <v>-85422.400168491993</v>
      </c>
      <c r="AS122" s="1212">
        <f t="shared" ca="1" si="60"/>
        <v>98000</v>
      </c>
      <c r="AT122" s="1213">
        <f t="shared" ca="1" si="61"/>
        <v>4214</v>
      </c>
      <c r="AU122" s="1587">
        <f t="shared" ca="1" si="62"/>
        <v>0</v>
      </c>
      <c r="AX122" s="1212">
        <f t="shared" ca="1" si="63"/>
        <v>90000</v>
      </c>
      <c r="AY122" s="1213">
        <f t="shared" ca="1" si="64"/>
        <v>3869.9999999999995</v>
      </c>
      <c r="AZ122" s="1587">
        <f t="shared" ca="1" si="65"/>
        <v>0</v>
      </c>
      <c r="BC122" s="1212">
        <f t="shared" ca="1" si="66"/>
        <v>0</v>
      </c>
      <c r="BD122" s="1213">
        <f t="shared" ca="1" si="67"/>
        <v>0</v>
      </c>
      <c r="BE122" s="1587">
        <f t="shared" ca="1" si="68"/>
        <v>0</v>
      </c>
      <c r="BH122" s="1212">
        <f t="shared" ca="1" si="69"/>
        <v>0</v>
      </c>
      <c r="BI122" s="1213">
        <f t="shared" ca="1" si="70"/>
        <v>0</v>
      </c>
      <c r="BJ122" s="1587">
        <f t="shared" ca="1" si="71"/>
        <v>0</v>
      </c>
      <c r="BM122" s="1212">
        <f t="shared" ca="1" si="72"/>
        <v>0</v>
      </c>
      <c r="BN122" s="1213">
        <f t="shared" ca="1" si="73"/>
        <v>0</v>
      </c>
      <c r="BO122" s="1587">
        <f t="shared" ca="1" si="74"/>
        <v>0</v>
      </c>
      <c r="BR122" s="1212">
        <f t="shared" ca="1" si="75"/>
        <v>0</v>
      </c>
      <c r="BS122" s="1213">
        <f t="shared" ca="1" si="76"/>
        <v>0</v>
      </c>
      <c r="BT122" s="1587">
        <f t="shared" ca="1" si="77"/>
        <v>0</v>
      </c>
      <c r="BW122" s="1212">
        <f t="shared" ca="1" si="78"/>
        <v>0</v>
      </c>
      <c r="BX122" s="1213">
        <f t="shared" ca="1" si="79"/>
        <v>0</v>
      </c>
      <c r="BY122" s="1587">
        <f t="shared" ca="1" si="80"/>
        <v>0</v>
      </c>
      <c r="CB122" s="1212">
        <f t="shared" ca="1" si="81"/>
        <v>0</v>
      </c>
      <c r="CC122" s="1213">
        <f t="shared" ca="1" si="82"/>
        <v>0</v>
      </c>
      <c r="CD122" s="1587">
        <f t="shared" ca="1" si="83"/>
        <v>0</v>
      </c>
      <c r="CG122" s="1212">
        <f t="shared" ca="1" si="84"/>
        <v>0</v>
      </c>
      <c r="CH122" s="1213">
        <f t="shared" ca="1" si="85"/>
        <v>0</v>
      </c>
      <c r="CI122" s="1587">
        <f t="shared" ca="1" si="86"/>
        <v>0</v>
      </c>
      <c r="CL122" s="1212">
        <f t="shared" ca="1" si="87"/>
        <v>0</v>
      </c>
      <c r="CM122" s="1213">
        <f t="shared" ca="1" si="88"/>
        <v>0</v>
      </c>
      <c r="CN122" s="1587">
        <f t="shared" ca="1" si="89"/>
        <v>0</v>
      </c>
    </row>
    <row r="123" spans="1:92">
      <c r="A123" s="141" t="str">
        <f>'銀行-TSS'!A123</f>
        <v>US037833AT77</v>
      </c>
      <c r="B123" s="151" t="str">
        <f ca="1">VLOOKUP(A123,'銀行-TSS'!A:B,2,FALSE)</f>
        <v>XG060</v>
      </c>
      <c r="C123" s="151" t="str">
        <f ca="1">VLOOKUP(B123,bond!B:C,2,FALSE)</f>
        <v>蘋果公司美元配息債券 4.45% 2044/5/6</v>
      </c>
      <c r="D123" s="95" t="str">
        <f>VLOOKUP(A123,'銀行-TSS'!A:C,3,FALSE)</f>
        <v>USD</v>
      </c>
      <c r="E123" s="90">
        <f ca="1">VLOOKUP(A123,'銀行-TSS'!A:G,7,FALSE)</f>
        <v>19.84</v>
      </c>
      <c r="F123" s="202">
        <f ca="1">VLOOKUP(A123,'銀行-TSS'!A:H,8,FALSE)</f>
        <v>4.4500000000000005E-2</v>
      </c>
      <c r="G123" s="96">
        <f ca="1">VLOOKUP(A123,'銀行-TSS'!A:K,11,FALSE)</f>
        <v>96.76</v>
      </c>
      <c r="H123" s="1209">
        <f ca="1">VLOOKUP(A123,'銀行-TSS'!A:M,13,FALSE)</f>
        <v>4.7600000000000003E-2</v>
      </c>
      <c r="I123" s="1213">
        <f ca="1">VLOOKUP(A123,'銀行-TSS'!A:N,14,FALSE)</f>
        <v>10000</v>
      </c>
      <c r="J123" s="1213">
        <f ca="1">VLOOKUP(A123,'銀行-TSS'!A:O,15,FALSE)</f>
        <v>1000</v>
      </c>
      <c r="K123" s="136" t="str">
        <f ca="1">VLOOKUP(A123,'銀行-TSS'!A:V,22,FALSE)</f>
        <v>(NPI)非專投</v>
      </c>
      <c r="L123" s="136" t="str">
        <f ca="1">VLOOKUP(A123,'銀行-TSS'!A:AK,37,FALSE)</f>
        <v>有</v>
      </c>
      <c r="M123" s="136" t="str">
        <f ca="1">VLOOKUP(A123,'銀行-TSS'!A:AN,40,FALSE)</f>
        <v/>
      </c>
      <c r="N123" s="136">
        <f t="shared" ca="1" si="45"/>
        <v>967.6</v>
      </c>
      <c r="O123" s="1213">
        <f t="shared" ca="1" si="46"/>
        <v>9676</v>
      </c>
      <c r="P123" s="1213">
        <f ca="1">IF(AND($O$1&gt;=O123,換券單檔!$D$13=D123),I123+INT(($O$1-O123)/N123)*J123,0)</f>
        <v>99000</v>
      </c>
      <c r="Q123" s="1213">
        <f t="shared" ca="1" si="47"/>
        <v>4405.5000000000009</v>
      </c>
      <c r="R123" s="1213">
        <f t="shared" ca="1" si="48"/>
        <v>99000</v>
      </c>
      <c r="S123" s="1213">
        <f t="shared" ca="1" si="49"/>
        <v>4405.5000000000009</v>
      </c>
      <c r="T123" s="136">
        <f ca="1">IF(OR(R123=0,A123=0),0,IF(AND(V123=TRUE,換券單檔!$D$13=D123),E123,0))</f>
        <v>19.84</v>
      </c>
      <c r="U123" s="861">
        <f ca="1">IF(OR(R123=0,A123=0),0,IF(AND(V123=TRUE,換券單檔!$D$13=D123),H123,0))</f>
        <v>4.7600000000000003E-2</v>
      </c>
      <c r="V123" s="136" t="b">
        <f ca="1">IF(OR(B123=換券單檔!$D$3,L123="無",M123&lt;&gt;"",K123="高資產",IFERROR(MATCH(B123,換券單檔!K:K,0),"N")&lt;&gt;"N"),FALSE,IF($V$1="All",TRUE,IF(K123=$V$1,TRUE,FALSE)))</f>
        <v>1</v>
      </c>
      <c r="W123" s="136">
        <f ca="1">VLOOKUP(A123,'銀行-TSS'!A:AO,41,FALSE)</f>
        <v>93.07</v>
      </c>
      <c r="X123" s="136">
        <f ca="1">VLOOKUP(A123,'銀行-TSS'!A:AP,42,FALSE)</f>
        <v>12.7517</v>
      </c>
      <c r="Y123" s="1220">
        <f t="shared" ca="1" si="50"/>
        <v>11749.3271181</v>
      </c>
      <c r="Z123" s="1220">
        <f t="shared" ca="1" si="51"/>
        <v>-3299.8936491935428</v>
      </c>
      <c r="AA123" s="136">
        <f ca="1">IF(Z123&lt;=0,0,RANK(Z123,Z:Z)+COUNTIF($Z$3:$Z123,Z123)-1)</f>
        <v>0</v>
      </c>
      <c r="AB123" s="1211">
        <f t="shared" ca="1" si="52"/>
        <v>-4146.8128818999994</v>
      </c>
      <c r="AC123" s="136">
        <f ca="1">IF(AB123&lt;=0,0,RANK(AB123,AB:AB)+COUNTIF($AB$3:$AB123,AB123)-1)</f>
        <v>0</v>
      </c>
      <c r="AD123" s="1123">
        <f t="shared" ca="1" si="53"/>
        <v>99999</v>
      </c>
      <c r="AE123" s="1123">
        <f ca="1">IF(AD123=99999,0,RANK(AD123,AD:AD,1)+COUNTIF($AD$3:$AD123,AD123)-1)</f>
        <v>0</v>
      </c>
      <c r="AF123" s="86" t="b">
        <f ca="1">IF(OR(M123&lt;&gt;"",L123="無",K123="高資產",IFERROR(MATCH(B123,換券單檔!K:K,0),"N")&lt;&gt;"N"),FALSE,TRUE)</f>
        <v>1</v>
      </c>
      <c r="AI123" s="1212">
        <f t="shared" ca="1" si="54"/>
        <v>99000</v>
      </c>
      <c r="AJ123" s="1213">
        <f t="shared" ca="1" si="55"/>
        <v>4405.5000000000009</v>
      </c>
      <c r="AK123" s="1587">
        <f t="shared" ca="1" si="56"/>
        <v>-3299.8936491935428</v>
      </c>
      <c r="AN123" s="1212">
        <f t="shared" ca="1" si="57"/>
        <v>57000</v>
      </c>
      <c r="AO123" s="1213">
        <f t="shared" ca="1" si="58"/>
        <v>2536.5000000000005</v>
      </c>
      <c r="AP123" s="1587">
        <f t="shared" ca="1" si="59"/>
        <v>-85162.160786290318</v>
      </c>
      <c r="AS123" s="1212">
        <f t="shared" ca="1" si="60"/>
        <v>97000</v>
      </c>
      <c r="AT123" s="1213">
        <f t="shared" ca="1" si="61"/>
        <v>4316.5000000000009</v>
      </c>
      <c r="AU123" s="1587">
        <f t="shared" ca="1" si="62"/>
        <v>0</v>
      </c>
      <c r="AX123" s="1212">
        <f t="shared" ca="1" si="63"/>
        <v>89000</v>
      </c>
      <c r="AY123" s="1213">
        <f t="shared" ca="1" si="64"/>
        <v>3960.5000000000005</v>
      </c>
      <c r="AZ123" s="1587">
        <f t="shared" ca="1" si="65"/>
        <v>0</v>
      </c>
      <c r="BC123" s="1212">
        <f t="shared" ca="1" si="66"/>
        <v>0</v>
      </c>
      <c r="BD123" s="1213">
        <f t="shared" ca="1" si="67"/>
        <v>0</v>
      </c>
      <c r="BE123" s="1587">
        <f t="shared" ca="1" si="68"/>
        <v>0</v>
      </c>
      <c r="BH123" s="1212">
        <f t="shared" ca="1" si="69"/>
        <v>0</v>
      </c>
      <c r="BI123" s="1213">
        <f t="shared" ca="1" si="70"/>
        <v>0</v>
      </c>
      <c r="BJ123" s="1587">
        <f t="shared" ca="1" si="71"/>
        <v>0</v>
      </c>
      <c r="BM123" s="1212">
        <f t="shared" ca="1" si="72"/>
        <v>0</v>
      </c>
      <c r="BN123" s="1213">
        <f t="shared" ca="1" si="73"/>
        <v>0</v>
      </c>
      <c r="BO123" s="1587">
        <f t="shared" ca="1" si="74"/>
        <v>0</v>
      </c>
      <c r="BR123" s="1212">
        <f t="shared" ca="1" si="75"/>
        <v>0</v>
      </c>
      <c r="BS123" s="1213">
        <f t="shared" ca="1" si="76"/>
        <v>0</v>
      </c>
      <c r="BT123" s="1587">
        <f t="shared" ca="1" si="77"/>
        <v>0</v>
      </c>
      <c r="BW123" s="1212">
        <f t="shared" ca="1" si="78"/>
        <v>0</v>
      </c>
      <c r="BX123" s="1213">
        <f t="shared" ca="1" si="79"/>
        <v>0</v>
      </c>
      <c r="BY123" s="1587">
        <f t="shared" ca="1" si="80"/>
        <v>0</v>
      </c>
      <c r="CB123" s="1212">
        <f t="shared" ca="1" si="81"/>
        <v>0</v>
      </c>
      <c r="CC123" s="1213">
        <f t="shared" ca="1" si="82"/>
        <v>0</v>
      </c>
      <c r="CD123" s="1587">
        <f t="shared" ca="1" si="83"/>
        <v>0</v>
      </c>
      <c r="CG123" s="1212">
        <f t="shared" ca="1" si="84"/>
        <v>0</v>
      </c>
      <c r="CH123" s="1213">
        <f t="shared" ca="1" si="85"/>
        <v>0</v>
      </c>
      <c r="CI123" s="1587">
        <f t="shared" ca="1" si="86"/>
        <v>0</v>
      </c>
      <c r="CL123" s="1212">
        <f t="shared" ca="1" si="87"/>
        <v>0</v>
      </c>
      <c r="CM123" s="1213">
        <f t="shared" ca="1" si="88"/>
        <v>0</v>
      </c>
      <c r="CN123" s="1587">
        <f t="shared" ca="1" si="89"/>
        <v>0</v>
      </c>
    </row>
    <row r="124" spans="1:92">
      <c r="A124" s="141" t="str">
        <f>'銀行-TSS'!A124</f>
        <v>US375558BD48</v>
      </c>
      <c r="B124" s="151" t="str">
        <f ca="1">VLOOKUP(A124,'銀行-TSS'!A:B,2,FALSE)</f>
        <v>XG070</v>
      </c>
      <c r="C124" s="151" t="str">
        <f ca="1">VLOOKUP(B124,bond!B:C,2,FALSE)</f>
        <v>吉利德科學公司美元配息債券 4.75% 2046/3/1</v>
      </c>
      <c r="D124" s="95" t="str">
        <f>VLOOKUP(A124,'銀行-TSS'!A:C,3,FALSE)</f>
        <v>USD</v>
      </c>
      <c r="E124" s="90">
        <f ca="1">VLOOKUP(A124,'銀行-TSS'!A:G,7,FALSE)</f>
        <v>21.66</v>
      </c>
      <c r="F124" s="202">
        <f ca="1">VLOOKUP(A124,'銀行-TSS'!A:H,8,FALSE)</f>
        <v>4.7500000000000001E-2</v>
      </c>
      <c r="G124" s="96">
        <f ca="1">VLOOKUP(A124,'銀行-TSS'!A:K,11,FALSE)</f>
        <v>94.4</v>
      </c>
      <c r="H124" s="1209">
        <f ca="1">VLOOKUP(A124,'銀行-TSS'!A:M,13,FALSE)</f>
        <v>5.3100000000000001E-2</v>
      </c>
      <c r="I124" s="1213">
        <f ca="1">VLOOKUP(A124,'銀行-TSS'!A:N,14,FALSE)</f>
        <v>10000</v>
      </c>
      <c r="J124" s="1213">
        <f ca="1">VLOOKUP(A124,'銀行-TSS'!A:O,15,FALSE)</f>
        <v>1000</v>
      </c>
      <c r="K124" s="136" t="str">
        <f ca="1">VLOOKUP(A124,'銀行-TSS'!A:V,22,FALSE)</f>
        <v>(NPI)非專投</v>
      </c>
      <c r="L124" s="136" t="str">
        <f ca="1">VLOOKUP(A124,'銀行-TSS'!A:AK,37,FALSE)</f>
        <v>有</v>
      </c>
      <c r="M124" s="136" t="str">
        <f ca="1">VLOOKUP(A124,'銀行-TSS'!A:AN,40,FALSE)</f>
        <v/>
      </c>
      <c r="N124" s="136">
        <f t="shared" ca="1" si="45"/>
        <v>944</v>
      </c>
      <c r="O124" s="1213">
        <f t="shared" ca="1" si="46"/>
        <v>9440</v>
      </c>
      <c r="P124" s="1213">
        <f ca="1">IF(AND($O$1&gt;=O124,換券單檔!$D$13=D124),I124+INT(($O$1-O124)/N124)*J124,0)</f>
        <v>102000</v>
      </c>
      <c r="Q124" s="1213">
        <f t="shared" ca="1" si="47"/>
        <v>4845</v>
      </c>
      <c r="R124" s="1213">
        <f t="shared" ca="1" si="48"/>
        <v>102000</v>
      </c>
      <c r="S124" s="1213">
        <f t="shared" ca="1" si="49"/>
        <v>4845</v>
      </c>
      <c r="T124" s="136">
        <f ca="1">IF(OR(R124=0,A124=0),0,IF(AND(V124=TRUE,換券單檔!$D$13=D124),E124,0))</f>
        <v>21.66</v>
      </c>
      <c r="U124" s="861">
        <f ca="1">IF(OR(R124=0,A124=0),0,IF(AND(V124=TRUE,換券單檔!$D$13=D124),H124,0))</f>
        <v>5.3100000000000001E-2</v>
      </c>
      <c r="V124" s="136" t="b">
        <f ca="1">IF(OR(B124=換券單檔!$D$3,L124="無",M124&lt;&gt;"",K124="高資產",IFERROR(MATCH(B124,換券單檔!K:K,0),"N")&lt;&gt;"N"),FALSE,IF($V$1="All",TRUE,IF(K124=$V$1,TRUE,FALSE)))</f>
        <v>1</v>
      </c>
      <c r="W124" s="136">
        <f ca="1">VLOOKUP(A124,'銀行-TSS'!A:AO,41,FALSE)</f>
        <v>89.800000000000011</v>
      </c>
      <c r="X124" s="136">
        <f ca="1">VLOOKUP(A124,'銀行-TSS'!A:AP,42,FALSE)</f>
        <v>12.7578</v>
      </c>
      <c r="Y124" s="1220">
        <f t="shared" ca="1" si="50"/>
        <v>11685.634488000002</v>
      </c>
      <c r="Z124" s="1220">
        <f t="shared" ca="1" si="51"/>
        <v>31.51431209603221</v>
      </c>
      <c r="AA124" s="136">
        <f ca="1">IF(Z124&lt;=0,0,RANK(Z124,Z:Z)+COUNTIF($Z$3:$Z124,Z124)-1)</f>
        <v>24</v>
      </c>
      <c r="AB124" s="1211">
        <f t="shared" ca="1" si="52"/>
        <v>-3210.5055119999979</v>
      </c>
      <c r="AC124" s="136">
        <f ca="1">IF(AB124&lt;=0,0,RANK(AB124,AB:AB)+COUNTIF($AB$3:$AB124,AB124)-1)</f>
        <v>0</v>
      </c>
      <c r="AD124" s="1123">
        <f t="shared" ca="1" si="53"/>
        <v>99999</v>
      </c>
      <c r="AE124" s="1123">
        <f ca="1">IF(AD124=99999,0,RANK(AD124,AD:AD,1)+COUNTIF($AD$3:$AD124,AD124)-1)</f>
        <v>0</v>
      </c>
      <c r="AF124" s="86" t="b">
        <f ca="1">IF(OR(M124&lt;&gt;"",L124="無",K124="高資產",IFERROR(MATCH(B124,換券單檔!K:K,0),"N")&lt;&gt;"N"),FALSE,TRUE)</f>
        <v>1</v>
      </c>
      <c r="AI124" s="1212">
        <f t="shared" ca="1" si="54"/>
        <v>102000</v>
      </c>
      <c r="AJ124" s="1213">
        <f t="shared" ca="1" si="55"/>
        <v>4845</v>
      </c>
      <c r="AK124" s="1587">
        <f t="shared" ca="1" si="56"/>
        <v>31.51431209603221</v>
      </c>
      <c r="AN124" s="1212">
        <f t="shared" ca="1" si="57"/>
        <v>58000</v>
      </c>
      <c r="AO124" s="1213">
        <f t="shared" ca="1" si="58"/>
        <v>2755</v>
      </c>
      <c r="AP124" s="1587">
        <f t="shared" ca="1" si="59"/>
        <v>-82519.972299168978</v>
      </c>
      <c r="AS124" s="1212">
        <f t="shared" ca="1" si="60"/>
        <v>100000</v>
      </c>
      <c r="AT124" s="1213">
        <f t="shared" ca="1" si="61"/>
        <v>4750</v>
      </c>
      <c r="AU124" s="1587">
        <f t="shared" ca="1" si="62"/>
        <v>-366.34349030470912</v>
      </c>
      <c r="AX124" s="1212">
        <f t="shared" ca="1" si="63"/>
        <v>92000</v>
      </c>
      <c r="AY124" s="1213">
        <f t="shared" ca="1" si="64"/>
        <v>4370</v>
      </c>
      <c r="AZ124" s="1587">
        <f t="shared" ca="1" si="65"/>
        <v>-16234.459833795017</v>
      </c>
      <c r="BC124" s="1212">
        <f t="shared" ca="1" si="66"/>
        <v>0</v>
      </c>
      <c r="BD124" s="1213">
        <f t="shared" ca="1" si="67"/>
        <v>0</v>
      </c>
      <c r="BE124" s="1587">
        <f t="shared" ca="1" si="68"/>
        <v>0</v>
      </c>
      <c r="BH124" s="1212">
        <f t="shared" ca="1" si="69"/>
        <v>0</v>
      </c>
      <c r="BI124" s="1213">
        <f t="shared" ca="1" si="70"/>
        <v>0</v>
      </c>
      <c r="BJ124" s="1587">
        <f t="shared" ca="1" si="71"/>
        <v>0</v>
      </c>
      <c r="BM124" s="1212">
        <f t="shared" ca="1" si="72"/>
        <v>0</v>
      </c>
      <c r="BN124" s="1213">
        <f t="shared" ca="1" si="73"/>
        <v>0</v>
      </c>
      <c r="BO124" s="1587">
        <f t="shared" ca="1" si="74"/>
        <v>0</v>
      </c>
      <c r="BR124" s="1212">
        <f t="shared" ca="1" si="75"/>
        <v>0</v>
      </c>
      <c r="BS124" s="1213">
        <f t="shared" ca="1" si="76"/>
        <v>0</v>
      </c>
      <c r="BT124" s="1587">
        <f t="shared" ca="1" si="77"/>
        <v>0</v>
      </c>
      <c r="BW124" s="1212">
        <f t="shared" ca="1" si="78"/>
        <v>0</v>
      </c>
      <c r="BX124" s="1213">
        <f t="shared" ca="1" si="79"/>
        <v>0</v>
      </c>
      <c r="BY124" s="1587">
        <f t="shared" ca="1" si="80"/>
        <v>0</v>
      </c>
      <c r="CB124" s="1212">
        <f t="shared" ca="1" si="81"/>
        <v>0</v>
      </c>
      <c r="CC124" s="1213">
        <f t="shared" ca="1" si="82"/>
        <v>0</v>
      </c>
      <c r="CD124" s="1587">
        <f t="shared" ca="1" si="83"/>
        <v>0</v>
      </c>
      <c r="CG124" s="1212">
        <f t="shared" ca="1" si="84"/>
        <v>0</v>
      </c>
      <c r="CH124" s="1213">
        <f t="shared" ca="1" si="85"/>
        <v>0</v>
      </c>
      <c r="CI124" s="1587">
        <f t="shared" ca="1" si="86"/>
        <v>0</v>
      </c>
      <c r="CL124" s="1212">
        <f t="shared" ca="1" si="87"/>
        <v>0</v>
      </c>
      <c r="CM124" s="1213">
        <f t="shared" ca="1" si="88"/>
        <v>0</v>
      </c>
      <c r="CN124" s="1587">
        <f t="shared" ca="1" si="89"/>
        <v>0</v>
      </c>
    </row>
    <row r="125" spans="1:92">
      <c r="A125" s="141" t="str">
        <f>'銀行-TSS'!A125</f>
        <v>XS1697550512</v>
      </c>
      <c r="B125" s="151" t="str">
        <f ca="1">VLOOKUP(A125,'銀行-TSS'!A:B,2,FALSE)</f>
        <v>XG090</v>
      </c>
      <c r="C125" s="151" t="str">
        <f ca="1">VLOOKUP(B125,bond!B:C,2,FALSE)</f>
        <v>歐洲投資銀行南非幣零息債券 0% 2032/10/18</v>
      </c>
      <c r="D125" s="95" t="str">
        <f>VLOOKUP(A125,'銀行-TSS'!A:C,3,FALSE)</f>
        <v>ZAR</v>
      </c>
      <c r="E125" s="90">
        <f ca="1">VLOOKUP(A125,'銀行-TSS'!A:G,7,FALSE)</f>
        <v>8.2899999999999991</v>
      </c>
      <c r="F125" s="202">
        <f ca="1">VLOOKUP(A125,'銀行-TSS'!A:H,8,FALSE)</f>
        <v>0</v>
      </c>
      <c r="G125" s="96">
        <f ca="1">VLOOKUP(A125,'銀行-TSS'!A:K,11,FALSE)</f>
        <v>49.89</v>
      </c>
      <c r="H125" s="1209">
        <f ca="1">VLOOKUP(A125,'銀行-TSS'!A:M,13,FALSE)</f>
        <v>8.7499999999999994E-2</v>
      </c>
      <c r="I125" s="1213">
        <f ca="1">VLOOKUP(A125,'銀行-TSS'!A:N,14,FALSE)</f>
        <v>10000</v>
      </c>
      <c r="J125" s="1213">
        <f ca="1">VLOOKUP(A125,'銀行-TSS'!A:O,15,FALSE)</f>
        <v>10000</v>
      </c>
      <c r="K125" s="136" t="str">
        <f ca="1">VLOOKUP(A125,'銀行-TSS'!A:V,22,FALSE)</f>
        <v>(NPI)非專投</v>
      </c>
      <c r="L125" s="136" t="str">
        <f ca="1">VLOOKUP(A125,'銀行-TSS'!A:AK,37,FALSE)</f>
        <v>需查詢</v>
      </c>
      <c r="M125" s="136" t="str">
        <f ca="1">VLOOKUP(A125,'銀行-TSS'!A:AN,40,FALSE)</f>
        <v/>
      </c>
      <c r="N125" s="136">
        <f t="shared" ca="1" si="45"/>
        <v>4989</v>
      </c>
      <c r="O125" s="1213">
        <f t="shared" ca="1" si="46"/>
        <v>4989</v>
      </c>
      <c r="P125" s="1213">
        <f ca="1">IF(AND($O$1&gt;=O125,換券單檔!$D$13=D125),I125+INT(($O$1-O125)/N125)*J125,0)</f>
        <v>0</v>
      </c>
      <c r="Q125" s="1213">
        <f t="shared" ca="1" si="47"/>
        <v>0</v>
      </c>
      <c r="R125" s="1213">
        <f t="shared" ca="1" si="48"/>
        <v>0</v>
      </c>
      <c r="S125" s="1213">
        <f t="shared" ca="1" si="49"/>
        <v>0</v>
      </c>
      <c r="T125" s="136">
        <f ca="1">IF(OR(R125=0,A125=0),0,IF(AND(V125=TRUE,換券單檔!$D$13=D125),E125,0))</f>
        <v>0</v>
      </c>
      <c r="U125" s="861">
        <f ca="1">IF(OR(R125=0,A125=0),0,IF(AND(V125=TRUE,換券單檔!$D$13=D125),H125,0))</f>
        <v>0</v>
      </c>
      <c r="V125" s="136" t="b">
        <f ca="1">IF(OR(B125=換券單檔!$D$3,L125="無",M125&lt;&gt;"",K125="高資產",IFERROR(MATCH(B125,換券單檔!K:K,0),"N")&lt;&gt;"N"),FALSE,IF($V$1="All",TRUE,IF(K125=$V$1,TRUE,FALSE)))</f>
        <v>1</v>
      </c>
      <c r="W125" s="136">
        <f ca="1">VLOOKUP(A125,'銀行-TSS'!A:AO,41,FALSE)</f>
        <v>48.29</v>
      </c>
      <c r="X125" s="136">
        <f ca="1">VLOOKUP(A125,'銀行-TSS'!A:AP,42,FALSE)</f>
        <v>7.9372999999999996</v>
      </c>
      <c r="Y125" s="1220">
        <f t="shared" ca="1" si="50"/>
        <v>0</v>
      </c>
      <c r="Z125" s="1220">
        <f t="shared" ca="1" si="51"/>
        <v>0</v>
      </c>
      <c r="AA125" s="136">
        <f ca="1">IF(Z125&lt;=0,0,RANK(Z125,Z:Z)+COUNTIF($Z$3:$Z125,Z125)-1)</f>
        <v>0</v>
      </c>
      <c r="AB125" s="1211">
        <f t="shared" ca="1" si="52"/>
        <v>-114896.14</v>
      </c>
      <c r="AC125" s="136">
        <f ca="1">IF(AB125&lt;=0,0,RANK(AB125,AB:AB)+COUNTIF($AB$3:$AB125,AB125)-1)</f>
        <v>0</v>
      </c>
      <c r="AD125" s="1123">
        <f t="shared" ca="1" si="53"/>
        <v>99999</v>
      </c>
      <c r="AE125" s="1123">
        <f ca="1">IF(AD125=99999,0,RANK(AD125,AD:AD,1)+COUNTIF($AD$3:$AD125,AD125)-1)</f>
        <v>0</v>
      </c>
      <c r="AF125" s="86" t="b">
        <f ca="1">IF(OR(M125&lt;&gt;"",L125="無",K125="高資產",IFERROR(MATCH(B125,換券單檔!K:K,0),"N")&lt;&gt;"N"),FALSE,TRUE)</f>
        <v>1</v>
      </c>
      <c r="AI125" s="1212">
        <f t="shared" ca="1" si="54"/>
        <v>0</v>
      </c>
      <c r="AJ125" s="1213">
        <f t="shared" ca="1" si="55"/>
        <v>0</v>
      </c>
      <c r="AK125" s="1587">
        <f t="shared" ca="1" si="56"/>
        <v>0</v>
      </c>
      <c r="AN125" s="1212">
        <f t="shared" ca="1" si="57"/>
        <v>0</v>
      </c>
      <c r="AO125" s="1213">
        <f t="shared" ca="1" si="58"/>
        <v>0</v>
      </c>
      <c r="AP125" s="1587">
        <f t="shared" ca="1" si="59"/>
        <v>0</v>
      </c>
      <c r="AS125" s="1212">
        <f t="shared" ca="1" si="60"/>
        <v>0</v>
      </c>
      <c r="AT125" s="1213">
        <f t="shared" ca="1" si="61"/>
        <v>0</v>
      </c>
      <c r="AU125" s="1587">
        <f t="shared" ca="1" si="62"/>
        <v>0</v>
      </c>
      <c r="AX125" s="1212">
        <f t="shared" ca="1" si="63"/>
        <v>0</v>
      </c>
      <c r="AY125" s="1213">
        <f t="shared" ca="1" si="64"/>
        <v>0</v>
      </c>
      <c r="AZ125" s="1587">
        <f t="shared" ca="1" si="65"/>
        <v>0</v>
      </c>
      <c r="BC125" s="1212">
        <f t="shared" ca="1" si="66"/>
        <v>0</v>
      </c>
      <c r="BD125" s="1213">
        <f t="shared" ca="1" si="67"/>
        <v>0</v>
      </c>
      <c r="BE125" s="1587">
        <f t="shared" ca="1" si="68"/>
        <v>0</v>
      </c>
      <c r="BH125" s="1212">
        <f t="shared" ca="1" si="69"/>
        <v>0</v>
      </c>
      <c r="BI125" s="1213">
        <f t="shared" ca="1" si="70"/>
        <v>0</v>
      </c>
      <c r="BJ125" s="1587">
        <f t="shared" ca="1" si="71"/>
        <v>0</v>
      </c>
      <c r="BM125" s="1212">
        <f t="shared" ca="1" si="72"/>
        <v>0</v>
      </c>
      <c r="BN125" s="1213">
        <f t="shared" ca="1" si="73"/>
        <v>0</v>
      </c>
      <c r="BO125" s="1587">
        <f t="shared" ca="1" si="74"/>
        <v>0</v>
      </c>
      <c r="BR125" s="1212">
        <f t="shared" ca="1" si="75"/>
        <v>0</v>
      </c>
      <c r="BS125" s="1213">
        <f t="shared" ca="1" si="76"/>
        <v>0</v>
      </c>
      <c r="BT125" s="1587">
        <f t="shared" ca="1" si="77"/>
        <v>0</v>
      </c>
      <c r="BW125" s="1212">
        <f t="shared" ca="1" si="78"/>
        <v>0</v>
      </c>
      <c r="BX125" s="1213">
        <f t="shared" ca="1" si="79"/>
        <v>0</v>
      </c>
      <c r="BY125" s="1587">
        <f t="shared" ca="1" si="80"/>
        <v>0</v>
      </c>
      <c r="CB125" s="1212">
        <f t="shared" ca="1" si="81"/>
        <v>0</v>
      </c>
      <c r="CC125" s="1213">
        <f t="shared" ca="1" si="82"/>
        <v>0</v>
      </c>
      <c r="CD125" s="1587">
        <f t="shared" ca="1" si="83"/>
        <v>0</v>
      </c>
      <c r="CG125" s="1212">
        <f t="shared" ca="1" si="84"/>
        <v>0</v>
      </c>
      <c r="CH125" s="1213">
        <f t="shared" ca="1" si="85"/>
        <v>0</v>
      </c>
      <c r="CI125" s="1587">
        <f t="shared" ca="1" si="86"/>
        <v>0</v>
      </c>
      <c r="CL125" s="1212">
        <f t="shared" ca="1" si="87"/>
        <v>0</v>
      </c>
      <c r="CM125" s="1213">
        <f t="shared" ca="1" si="88"/>
        <v>0</v>
      </c>
      <c r="CN125" s="1587">
        <f t="shared" ca="1" si="89"/>
        <v>0</v>
      </c>
    </row>
    <row r="126" spans="1:92">
      <c r="A126" s="141" t="str">
        <f>'銀行-TSS'!A126</f>
        <v>US254687FZ49</v>
      </c>
      <c r="B126" s="151" t="str">
        <f ca="1">VLOOKUP(A126,'銀行-TSS'!A:B,2,FALSE)</f>
        <v>XG100</v>
      </c>
      <c r="C126" s="151" t="str">
        <f ca="1">VLOOKUP(B126,bond!B:C,2,FALSE)</f>
        <v>華特迪士尼公司美元配息債券 3.6% 2051/1/13</v>
      </c>
      <c r="D126" s="95" t="str">
        <f>VLOOKUP(A126,'銀行-TSS'!A:C,3,FALSE)</f>
        <v>USD</v>
      </c>
      <c r="E126" s="90">
        <f ca="1">VLOOKUP(A126,'銀行-TSS'!A:G,7,FALSE)</f>
        <v>26.53</v>
      </c>
      <c r="F126" s="202">
        <f ca="1">VLOOKUP(A126,'銀行-TSS'!A:H,8,FALSE)</f>
        <v>3.6000000000000004E-2</v>
      </c>
      <c r="G126" s="96">
        <f ca="1">VLOOKUP(A126,'銀行-TSS'!A:K,11,FALSE)</f>
        <v>80.400000000000006</v>
      </c>
      <c r="H126" s="1209">
        <f ca="1">VLOOKUP(A126,'銀行-TSS'!A:M,13,FALSE)</f>
        <v>5.0700000000000002E-2</v>
      </c>
      <c r="I126" s="1213">
        <f ca="1">VLOOKUP(A126,'銀行-TSS'!A:N,14,FALSE)</f>
        <v>10000</v>
      </c>
      <c r="J126" s="1213">
        <f ca="1">VLOOKUP(A126,'銀行-TSS'!A:O,15,FALSE)</f>
        <v>1000</v>
      </c>
      <c r="K126" s="136" t="str">
        <f ca="1">VLOOKUP(A126,'銀行-TSS'!A:V,22,FALSE)</f>
        <v>(NPI)非專投</v>
      </c>
      <c r="L126" s="136" t="str">
        <f ca="1">VLOOKUP(A126,'銀行-TSS'!A:AK,37,FALSE)</f>
        <v>需查詢</v>
      </c>
      <c r="M126" s="136" t="str">
        <f ca="1">VLOOKUP(A126,'銀行-TSS'!A:AN,40,FALSE)</f>
        <v/>
      </c>
      <c r="N126" s="136">
        <f t="shared" ca="1" si="45"/>
        <v>804</v>
      </c>
      <c r="O126" s="1213">
        <f t="shared" ca="1" si="46"/>
        <v>8040</v>
      </c>
      <c r="P126" s="1213">
        <f ca="1">IF(AND($O$1&gt;=O126,換券單檔!$D$13=D126),I126+INT(($O$1-O126)/N126)*J126,0)</f>
        <v>120000</v>
      </c>
      <c r="Q126" s="1213">
        <f t="shared" ca="1" si="47"/>
        <v>4320.0000000000009</v>
      </c>
      <c r="R126" s="1213">
        <f t="shared" ca="1" si="48"/>
        <v>120000</v>
      </c>
      <c r="S126" s="1213">
        <f t="shared" ca="1" si="49"/>
        <v>4320.0000000000009</v>
      </c>
      <c r="T126" s="136">
        <f ca="1">IF(OR(R126=0,A126=0),0,IF(AND(V126=TRUE,換券單檔!$D$13=D126),E126,0))</f>
        <v>26.53</v>
      </c>
      <c r="U126" s="861">
        <f ca="1">IF(OR(R126=0,A126=0),0,IF(AND(V126=TRUE,換券單檔!$D$13=D126),H126,0))</f>
        <v>5.0700000000000002E-2</v>
      </c>
      <c r="V126" s="136" t="b">
        <f ca="1">IF(OR(B126=換券單檔!$D$3,L126="無",M126&lt;&gt;"",K126="高資產",IFERROR(MATCH(B126,換券單檔!K:K,0),"N")&lt;&gt;"N"),FALSE,IF($V$1="All",TRUE,IF(K126=$V$1,TRUE,FALSE)))</f>
        <v>1</v>
      </c>
      <c r="W126" s="136">
        <f ca="1">VLOOKUP(A126,'銀行-TSS'!A:AO,41,FALSE)</f>
        <v>75.210000000000008</v>
      </c>
      <c r="X126" s="136">
        <f ca="1">VLOOKUP(A126,'銀行-TSS'!A:AP,42,FALSE)</f>
        <v>15.1081</v>
      </c>
      <c r="Y126" s="1220">
        <f t="shared" ca="1" si="50"/>
        <v>13635.362412000002</v>
      </c>
      <c r="Z126" s="1220">
        <f t="shared" ca="1" si="51"/>
        <v>0</v>
      </c>
      <c r="AA126" s="136">
        <f ca="1">IF(Z126&lt;=0,0,RANK(Z126,Z:Z)+COUNTIF($Z$3:$Z126,Z126)-1)</f>
        <v>0</v>
      </c>
      <c r="AB126" s="1211">
        <f t="shared" ca="1" si="52"/>
        <v>-1260.7775879999972</v>
      </c>
      <c r="AC126" s="136">
        <f ca="1">IF(AB126&lt;=0,0,RANK(AB126,AB:AB)+COUNTIF($AB$3:$AB126,AB126)-1)</f>
        <v>0</v>
      </c>
      <c r="AD126" s="1123">
        <f t="shared" ca="1" si="53"/>
        <v>99999</v>
      </c>
      <c r="AE126" s="1123">
        <f ca="1">IF(AD126=99999,0,RANK(AD126,AD:AD,1)+COUNTIF($AD$3:$AD126,AD126)-1)</f>
        <v>0</v>
      </c>
      <c r="AF126" s="86" t="b">
        <f ca="1">IF(OR(M126&lt;&gt;"",L126="無",K126="高資產",IFERROR(MATCH(B126,換券單檔!K:K,0),"N")&lt;&gt;"N"),FALSE,TRUE)</f>
        <v>1</v>
      </c>
      <c r="AI126" s="1212">
        <f t="shared" ca="1" si="54"/>
        <v>120000</v>
      </c>
      <c r="AJ126" s="1213">
        <f t="shared" ca="1" si="55"/>
        <v>4320.0000000000009</v>
      </c>
      <c r="AK126" s="1587">
        <f t="shared" ca="1" si="56"/>
        <v>0</v>
      </c>
      <c r="AN126" s="1212">
        <f t="shared" ca="1" si="57"/>
        <v>68000</v>
      </c>
      <c r="AO126" s="1213">
        <f t="shared" ca="1" si="58"/>
        <v>2448.0000000000005</v>
      </c>
      <c r="AP126" s="1587">
        <f t="shared" ca="1" si="59"/>
        <v>-63417.194873727851</v>
      </c>
      <c r="AS126" s="1212">
        <f t="shared" ca="1" si="60"/>
        <v>117000</v>
      </c>
      <c r="AT126" s="1213">
        <f t="shared" ca="1" si="61"/>
        <v>4212.0000000000009</v>
      </c>
      <c r="AU126" s="1587">
        <f t="shared" ca="1" si="62"/>
        <v>0</v>
      </c>
      <c r="AX126" s="1212">
        <f t="shared" ca="1" si="63"/>
        <v>108000</v>
      </c>
      <c r="AY126" s="1213">
        <f t="shared" ca="1" si="64"/>
        <v>3888.0000000000005</v>
      </c>
      <c r="AZ126" s="1587">
        <f t="shared" ca="1" si="65"/>
        <v>0</v>
      </c>
      <c r="BC126" s="1212">
        <f t="shared" ca="1" si="66"/>
        <v>0</v>
      </c>
      <c r="BD126" s="1213">
        <f t="shared" ca="1" si="67"/>
        <v>0</v>
      </c>
      <c r="BE126" s="1587">
        <f t="shared" ca="1" si="68"/>
        <v>0</v>
      </c>
      <c r="BH126" s="1212">
        <f t="shared" ca="1" si="69"/>
        <v>0</v>
      </c>
      <c r="BI126" s="1213">
        <f t="shared" ca="1" si="70"/>
        <v>0</v>
      </c>
      <c r="BJ126" s="1587">
        <f t="shared" ca="1" si="71"/>
        <v>0</v>
      </c>
      <c r="BM126" s="1212">
        <f t="shared" ca="1" si="72"/>
        <v>0</v>
      </c>
      <c r="BN126" s="1213">
        <f t="shared" ca="1" si="73"/>
        <v>0</v>
      </c>
      <c r="BO126" s="1587">
        <f t="shared" ca="1" si="74"/>
        <v>0</v>
      </c>
      <c r="BR126" s="1212">
        <f t="shared" ca="1" si="75"/>
        <v>0</v>
      </c>
      <c r="BS126" s="1213">
        <f t="shared" ca="1" si="76"/>
        <v>0</v>
      </c>
      <c r="BT126" s="1587">
        <f t="shared" ca="1" si="77"/>
        <v>0</v>
      </c>
      <c r="BW126" s="1212">
        <f t="shared" ca="1" si="78"/>
        <v>0</v>
      </c>
      <c r="BX126" s="1213">
        <f t="shared" ca="1" si="79"/>
        <v>0</v>
      </c>
      <c r="BY126" s="1587">
        <f t="shared" ca="1" si="80"/>
        <v>0</v>
      </c>
      <c r="CB126" s="1212">
        <f t="shared" ca="1" si="81"/>
        <v>0</v>
      </c>
      <c r="CC126" s="1213">
        <f t="shared" ca="1" si="82"/>
        <v>0</v>
      </c>
      <c r="CD126" s="1587">
        <f t="shared" ca="1" si="83"/>
        <v>0</v>
      </c>
      <c r="CG126" s="1212">
        <f t="shared" ca="1" si="84"/>
        <v>0</v>
      </c>
      <c r="CH126" s="1213">
        <f t="shared" ca="1" si="85"/>
        <v>0</v>
      </c>
      <c r="CI126" s="1587">
        <f t="shared" ca="1" si="86"/>
        <v>0</v>
      </c>
      <c r="CL126" s="1212">
        <f t="shared" ca="1" si="87"/>
        <v>0</v>
      </c>
      <c r="CM126" s="1213">
        <f t="shared" ca="1" si="88"/>
        <v>0</v>
      </c>
      <c r="CN126" s="1587">
        <f t="shared" ca="1" si="89"/>
        <v>0</v>
      </c>
    </row>
    <row r="127" spans="1:92">
      <c r="A127" s="141" t="str">
        <f>'銀行-TSS'!A127</f>
        <v>US31428XBG07</v>
      </c>
      <c r="B127" s="151" t="str">
        <f ca="1">VLOOKUP(A127,'銀行-TSS'!A:B,2,FALSE)</f>
        <v>XG110</v>
      </c>
      <c r="C127" s="151" t="str">
        <f ca="1">VLOOKUP(B127,bond!B:C,2,FALSE)</f>
        <v>聯邦快遞美元配息債券 4.55% 2046/4/1</v>
      </c>
      <c r="D127" s="95" t="str">
        <f>VLOOKUP(A127,'銀行-TSS'!A:C,3,FALSE)</f>
        <v>USD</v>
      </c>
      <c r="E127" s="90">
        <f ca="1">VLOOKUP(A127,'銀行-TSS'!A:G,7,FALSE)</f>
        <v>21.75</v>
      </c>
      <c r="F127" s="202">
        <f ca="1">VLOOKUP(A127,'銀行-TSS'!A:H,8,FALSE)</f>
        <v>4.5499999999999999E-2</v>
      </c>
      <c r="G127" s="96">
        <f ca="1">VLOOKUP(A127,'銀行-TSS'!A:K,11,FALSE)</f>
        <v>88.43</v>
      </c>
      <c r="H127" s="1209">
        <f ca="1">VLOOKUP(A127,'銀行-TSS'!A:M,13,FALSE)</f>
        <v>5.57E-2</v>
      </c>
      <c r="I127" s="1213">
        <f ca="1">VLOOKUP(A127,'銀行-TSS'!A:N,14,FALSE)</f>
        <v>10000</v>
      </c>
      <c r="J127" s="1213">
        <f ca="1">VLOOKUP(A127,'銀行-TSS'!A:O,15,FALSE)</f>
        <v>1000</v>
      </c>
      <c r="K127" s="136" t="str">
        <f ca="1">VLOOKUP(A127,'銀行-TSS'!A:V,22,FALSE)</f>
        <v>(PI)專投</v>
      </c>
      <c r="L127" s="136" t="str">
        <f ca="1">VLOOKUP(A127,'銀行-TSS'!A:AK,37,FALSE)</f>
        <v>有</v>
      </c>
      <c r="M127" s="136" t="str">
        <f ca="1">VLOOKUP(A127,'銀行-TSS'!A:AN,40,FALSE)</f>
        <v/>
      </c>
      <c r="N127" s="136">
        <f t="shared" ca="1" si="45"/>
        <v>884.3</v>
      </c>
      <c r="O127" s="1213">
        <f t="shared" ca="1" si="46"/>
        <v>8843.0000000000018</v>
      </c>
      <c r="P127" s="1213">
        <f ca="1">IF(AND($O$1&gt;=O127,換券單檔!$D$13=D127),I127+INT(($O$1-O127)/N127)*J127,0)</f>
        <v>109000</v>
      </c>
      <c r="Q127" s="1213">
        <f t="shared" ca="1" si="47"/>
        <v>4959.5</v>
      </c>
      <c r="R127" s="1213">
        <f t="shared" ca="1" si="48"/>
        <v>109000</v>
      </c>
      <c r="S127" s="1213">
        <f t="shared" ca="1" si="49"/>
        <v>4959.5</v>
      </c>
      <c r="T127" s="136">
        <f ca="1">IF(OR(R127=0,A127=0),0,IF(AND(V127=TRUE,換券單檔!$D$13=D127),E127,0))</f>
        <v>21.75</v>
      </c>
      <c r="U127" s="861">
        <f ca="1">IF(OR(R127=0,A127=0),0,IF(AND(V127=TRUE,換券單檔!$D$13=D127),H127,0))</f>
        <v>5.57E-2</v>
      </c>
      <c r="V127" s="136" t="b">
        <f ca="1">IF(OR(B127=換券單檔!$D$3,L127="無",M127&lt;&gt;"",K127="高資產",IFERROR(MATCH(B127,換券單檔!K:K,0),"N")&lt;&gt;"N"),FALSE,IF($V$1="All",TRUE,IF(K127=$V$1,TRUE,FALSE)))</f>
        <v>1</v>
      </c>
      <c r="W127" s="136">
        <f ca="1">VLOOKUP(A127,'銀行-TSS'!A:AO,41,FALSE)</f>
        <v>84.28</v>
      </c>
      <c r="X127" s="136">
        <f ca="1">VLOOKUP(A127,'銀行-TSS'!A:AP,42,FALSE)</f>
        <v>12.776999999999999</v>
      </c>
      <c r="Y127" s="1220">
        <f t="shared" ca="1" si="50"/>
        <v>11737.616603999999</v>
      </c>
      <c r="Z127" s="1220">
        <f t="shared" ca="1" si="51"/>
        <v>527.84482758620959</v>
      </c>
      <c r="AA127" s="136">
        <f ca="1">IF(Z127&lt;=0,0,RANK(Z127,Z:Z)+COUNTIF($Z$3:$Z127,Z127)-1)</f>
        <v>18</v>
      </c>
      <c r="AB127" s="1211">
        <f t="shared" ca="1" si="52"/>
        <v>-3158.5233960000005</v>
      </c>
      <c r="AC127" s="136">
        <f ca="1">IF(AB127&lt;=0,0,RANK(AB127,AB:AB)+COUNTIF($AB$3:$AB127,AB127)-1)</f>
        <v>0</v>
      </c>
      <c r="AD127" s="1123">
        <f t="shared" ca="1" si="53"/>
        <v>99999</v>
      </c>
      <c r="AE127" s="1123">
        <f ca="1">IF(AD127=99999,0,RANK(AD127,AD:AD,1)+COUNTIF($AD$3:$AD127,AD127)-1)</f>
        <v>0</v>
      </c>
      <c r="AF127" s="86" t="b">
        <f ca="1">IF(OR(M127&lt;&gt;"",L127="無",K127="高資產",IFERROR(MATCH(B127,換券單檔!K:K,0),"N")&lt;&gt;"N"),FALSE,TRUE)</f>
        <v>1</v>
      </c>
      <c r="AI127" s="1212">
        <f t="shared" ca="1" si="54"/>
        <v>109000</v>
      </c>
      <c r="AJ127" s="1213">
        <f t="shared" ca="1" si="55"/>
        <v>4959.5</v>
      </c>
      <c r="AK127" s="1587">
        <f t="shared" ca="1" si="56"/>
        <v>527.84482758620959</v>
      </c>
      <c r="AN127" s="1212">
        <f t="shared" ca="1" si="57"/>
        <v>62000</v>
      </c>
      <c r="AO127" s="1213">
        <f t="shared" ca="1" si="58"/>
        <v>2821</v>
      </c>
      <c r="AP127" s="1587">
        <f t="shared" ca="1" si="59"/>
        <v>-74326.379310344826</v>
      </c>
      <c r="AS127" s="1212">
        <f t="shared" ca="1" si="60"/>
        <v>106000</v>
      </c>
      <c r="AT127" s="1213">
        <f t="shared" ca="1" si="61"/>
        <v>4823</v>
      </c>
      <c r="AU127" s="1587">
        <f t="shared" ca="1" si="62"/>
        <v>-14.48275862068968</v>
      </c>
      <c r="AX127" s="1212">
        <f t="shared" ca="1" si="63"/>
        <v>98000</v>
      </c>
      <c r="AY127" s="1213">
        <f t="shared" ca="1" si="64"/>
        <v>4459</v>
      </c>
      <c r="AZ127" s="1587">
        <f t="shared" ca="1" si="65"/>
        <v>-3973.6206896551753</v>
      </c>
      <c r="BC127" s="1212">
        <f t="shared" ca="1" si="66"/>
        <v>0</v>
      </c>
      <c r="BD127" s="1213">
        <f t="shared" ca="1" si="67"/>
        <v>0</v>
      </c>
      <c r="BE127" s="1587">
        <f t="shared" ca="1" si="68"/>
        <v>0</v>
      </c>
      <c r="BH127" s="1212">
        <f t="shared" ca="1" si="69"/>
        <v>0</v>
      </c>
      <c r="BI127" s="1213">
        <f t="shared" ca="1" si="70"/>
        <v>0</v>
      </c>
      <c r="BJ127" s="1587">
        <f t="shared" ca="1" si="71"/>
        <v>0</v>
      </c>
      <c r="BM127" s="1212">
        <f t="shared" ca="1" si="72"/>
        <v>0</v>
      </c>
      <c r="BN127" s="1213">
        <f t="shared" ca="1" si="73"/>
        <v>0</v>
      </c>
      <c r="BO127" s="1587">
        <f t="shared" ca="1" si="74"/>
        <v>0</v>
      </c>
      <c r="BR127" s="1212">
        <f t="shared" ca="1" si="75"/>
        <v>0</v>
      </c>
      <c r="BS127" s="1213">
        <f t="shared" ca="1" si="76"/>
        <v>0</v>
      </c>
      <c r="BT127" s="1587">
        <f t="shared" ca="1" si="77"/>
        <v>0</v>
      </c>
      <c r="BW127" s="1212">
        <f t="shared" ca="1" si="78"/>
        <v>0</v>
      </c>
      <c r="BX127" s="1213">
        <f t="shared" ca="1" si="79"/>
        <v>0</v>
      </c>
      <c r="BY127" s="1587">
        <f t="shared" ca="1" si="80"/>
        <v>0</v>
      </c>
      <c r="CB127" s="1212">
        <f t="shared" ca="1" si="81"/>
        <v>0</v>
      </c>
      <c r="CC127" s="1213">
        <f t="shared" ca="1" si="82"/>
        <v>0</v>
      </c>
      <c r="CD127" s="1587">
        <f t="shared" ca="1" si="83"/>
        <v>0</v>
      </c>
      <c r="CG127" s="1212">
        <f t="shared" ca="1" si="84"/>
        <v>0</v>
      </c>
      <c r="CH127" s="1213">
        <f t="shared" ca="1" si="85"/>
        <v>0</v>
      </c>
      <c r="CI127" s="1587">
        <f t="shared" ca="1" si="86"/>
        <v>0</v>
      </c>
      <c r="CL127" s="1212">
        <f t="shared" ca="1" si="87"/>
        <v>0</v>
      </c>
      <c r="CM127" s="1213">
        <f t="shared" ca="1" si="88"/>
        <v>0</v>
      </c>
      <c r="CN127" s="1587">
        <f t="shared" ca="1" si="89"/>
        <v>0</v>
      </c>
    </row>
    <row r="128" spans="1:92">
      <c r="A128" s="141" t="str">
        <f>'銀行-TSS'!A128</f>
        <v>US00206RKE17</v>
      </c>
      <c r="B128" s="151" t="str">
        <f ca="1">VLOOKUP(A128,'銀行-TSS'!A:B,2,FALSE)</f>
        <v>XG120</v>
      </c>
      <c r="C128" s="151" t="str">
        <f ca="1">VLOOKUP(B128,bond!B:C,2,FALSE)</f>
        <v>AT&amp;T公司美元配息債券 3.3% 2052/2/1</v>
      </c>
      <c r="D128" s="95" t="str">
        <f>VLOOKUP(A128,'銀行-TSS'!A:C,3,FALSE)</f>
        <v>USD</v>
      </c>
      <c r="E128" s="90">
        <f ca="1">VLOOKUP(A128,'銀行-TSS'!A:G,7,FALSE)</f>
        <v>27.58</v>
      </c>
      <c r="F128" s="202">
        <f ca="1">VLOOKUP(A128,'銀行-TSS'!A:H,8,FALSE)</f>
        <v>3.3000000000000002E-2</v>
      </c>
      <c r="G128" s="96">
        <f ca="1">VLOOKUP(A128,'銀行-TSS'!A:K,11,FALSE)</f>
        <v>72.260000000000005</v>
      </c>
      <c r="H128" s="1209">
        <f ca="1">VLOOKUP(A128,'銀行-TSS'!A:M,13,FALSE)</f>
        <v>5.33E-2</v>
      </c>
      <c r="I128" s="1213">
        <f ca="1">VLOOKUP(A128,'銀行-TSS'!A:N,14,FALSE)</f>
        <v>10000</v>
      </c>
      <c r="J128" s="1213">
        <f ca="1">VLOOKUP(A128,'銀行-TSS'!A:O,15,FALSE)</f>
        <v>1000</v>
      </c>
      <c r="K128" s="136" t="str">
        <f ca="1">VLOOKUP(A128,'銀行-TSS'!A:V,22,FALSE)</f>
        <v>(PI)專投</v>
      </c>
      <c r="L128" s="136" t="str">
        <f ca="1">VLOOKUP(A128,'銀行-TSS'!A:AK,37,FALSE)</f>
        <v>有</v>
      </c>
      <c r="M128" s="136" t="str">
        <f ca="1">VLOOKUP(A128,'銀行-TSS'!A:AN,40,FALSE)</f>
        <v/>
      </c>
      <c r="N128" s="136">
        <f t="shared" ca="1" si="45"/>
        <v>722.6</v>
      </c>
      <c r="O128" s="1213">
        <f t="shared" ca="1" si="46"/>
        <v>7226</v>
      </c>
      <c r="P128" s="1213">
        <f ca="1">IF(AND($O$1&gt;=O128,換券單檔!$D$13=D128),I128+INT(($O$1-O128)/N128)*J128,0)</f>
        <v>133000</v>
      </c>
      <c r="Q128" s="1213">
        <f t="shared" ca="1" si="47"/>
        <v>4389</v>
      </c>
      <c r="R128" s="1213">
        <f t="shared" ca="1" si="48"/>
        <v>133000</v>
      </c>
      <c r="S128" s="1213">
        <f t="shared" ca="1" si="49"/>
        <v>4389</v>
      </c>
      <c r="T128" s="136">
        <f ca="1">IF(OR(R128=0,A128=0),0,IF(AND(V128=TRUE,換券單檔!$D$13=D128),E128,0))</f>
        <v>27.58</v>
      </c>
      <c r="U128" s="861">
        <f ca="1">IF(OR(R128=0,A128=0),0,IF(AND(V128=TRUE,換券單檔!$D$13=D128),H128,0))</f>
        <v>5.33E-2</v>
      </c>
      <c r="V128" s="136" t="b">
        <f ca="1">IF(OR(B128=換券單檔!$D$3,L128="無",M128&lt;&gt;"",K128="高資產",IFERROR(MATCH(B128,換券單檔!K:K,0),"N")&lt;&gt;"N"),FALSE,IF($V$1="All",TRUE,IF(K128=$V$1,TRUE,FALSE)))</f>
        <v>1</v>
      </c>
      <c r="W128" s="136">
        <f ca="1">VLOOKUP(A128,'銀行-TSS'!A:AO,41,FALSE)</f>
        <v>67.38000000000001</v>
      </c>
      <c r="X128" s="136">
        <f ca="1">VLOOKUP(A128,'銀行-TSS'!A:AP,42,FALSE)</f>
        <v>15.3986</v>
      </c>
      <c r="Y128" s="1220">
        <f t="shared" ca="1" si="50"/>
        <v>13799.516984400003</v>
      </c>
      <c r="Z128" s="1220">
        <f t="shared" ca="1" si="51"/>
        <v>-759.66787527193355</v>
      </c>
      <c r="AA128" s="136">
        <f ca="1">IF(Z128&lt;=0,0,RANK(Z128,Z:Z)+COUNTIF($Z$3:$Z128,Z128)-1)</f>
        <v>0</v>
      </c>
      <c r="AB128" s="1211">
        <f t="shared" ca="1" si="52"/>
        <v>-1096.6230155999965</v>
      </c>
      <c r="AC128" s="136">
        <f ca="1">IF(AB128&lt;=0,0,RANK(AB128,AB:AB)+COUNTIF($AB$3:$AB128,AB128)-1)</f>
        <v>0</v>
      </c>
      <c r="AD128" s="1123">
        <f t="shared" ca="1" si="53"/>
        <v>99999</v>
      </c>
      <c r="AE128" s="1123">
        <f ca="1">IF(AD128=99999,0,RANK(AD128,AD:AD,1)+COUNTIF($AD$3:$AD128,AD128)-1)</f>
        <v>0</v>
      </c>
      <c r="AF128" s="86" t="b">
        <f ca="1">IF(OR(M128&lt;&gt;"",L128="無",K128="高資產",IFERROR(MATCH(B128,換券單檔!K:K,0),"N")&lt;&gt;"N"),FALSE,TRUE)</f>
        <v>1</v>
      </c>
      <c r="AI128" s="1212">
        <f t="shared" ca="1" si="54"/>
        <v>133000</v>
      </c>
      <c r="AJ128" s="1213">
        <f t="shared" ca="1" si="55"/>
        <v>4389</v>
      </c>
      <c r="AK128" s="1587">
        <f t="shared" ca="1" si="56"/>
        <v>-759.66787527193355</v>
      </c>
      <c r="AN128" s="1212">
        <f t="shared" ca="1" si="57"/>
        <v>76000</v>
      </c>
      <c r="AO128" s="1213">
        <f t="shared" ca="1" si="58"/>
        <v>2508</v>
      </c>
      <c r="AP128" s="1587">
        <f t="shared" ca="1" si="59"/>
        <v>-47240.031907179116</v>
      </c>
      <c r="AS128" s="1212">
        <f t="shared" ca="1" si="60"/>
        <v>130000</v>
      </c>
      <c r="AT128" s="1213">
        <f t="shared" ca="1" si="61"/>
        <v>4290</v>
      </c>
      <c r="AU128" s="1587">
        <f t="shared" ca="1" si="62"/>
        <v>0</v>
      </c>
      <c r="AX128" s="1212">
        <f t="shared" ca="1" si="63"/>
        <v>120000</v>
      </c>
      <c r="AY128" s="1213">
        <f t="shared" ca="1" si="64"/>
        <v>3960</v>
      </c>
      <c r="AZ128" s="1587">
        <f t="shared" ca="1" si="65"/>
        <v>0</v>
      </c>
      <c r="BC128" s="1212">
        <f t="shared" ca="1" si="66"/>
        <v>0</v>
      </c>
      <c r="BD128" s="1213">
        <f t="shared" ca="1" si="67"/>
        <v>0</v>
      </c>
      <c r="BE128" s="1587">
        <f t="shared" ca="1" si="68"/>
        <v>0</v>
      </c>
      <c r="BH128" s="1212">
        <f t="shared" ca="1" si="69"/>
        <v>0</v>
      </c>
      <c r="BI128" s="1213">
        <f t="shared" ca="1" si="70"/>
        <v>0</v>
      </c>
      <c r="BJ128" s="1587">
        <f t="shared" ca="1" si="71"/>
        <v>0</v>
      </c>
      <c r="BM128" s="1212">
        <f t="shared" ca="1" si="72"/>
        <v>0</v>
      </c>
      <c r="BN128" s="1213">
        <f t="shared" ca="1" si="73"/>
        <v>0</v>
      </c>
      <c r="BO128" s="1587">
        <f t="shared" ca="1" si="74"/>
        <v>0</v>
      </c>
      <c r="BR128" s="1212">
        <f t="shared" ca="1" si="75"/>
        <v>0</v>
      </c>
      <c r="BS128" s="1213">
        <f t="shared" ca="1" si="76"/>
        <v>0</v>
      </c>
      <c r="BT128" s="1587">
        <f t="shared" ca="1" si="77"/>
        <v>0</v>
      </c>
      <c r="BW128" s="1212">
        <f t="shared" ca="1" si="78"/>
        <v>0</v>
      </c>
      <c r="BX128" s="1213">
        <f t="shared" ca="1" si="79"/>
        <v>0</v>
      </c>
      <c r="BY128" s="1587">
        <f t="shared" ca="1" si="80"/>
        <v>0</v>
      </c>
      <c r="CB128" s="1212">
        <f t="shared" ca="1" si="81"/>
        <v>0</v>
      </c>
      <c r="CC128" s="1213">
        <f t="shared" ca="1" si="82"/>
        <v>0</v>
      </c>
      <c r="CD128" s="1587">
        <f t="shared" ca="1" si="83"/>
        <v>0</v>
      </c>
      <c r="CG128" s="1212">
        <f t="shared" ca="1" si="84"/>
        <v>0</v>
      </c>
      <c r="CH128" s="1213">
        <f t="shared" ca="1" si="85"/>
        <v>0</v>
      </c>
      <c r="CI128" s="1587">
        <f t="shared" ca="1" si="86"/>
        <v>0</v>
      </c>
      <c r="CL128" s="1212">
        <f t="shared" ca="1" si="87"/>
        <v>0</v>
      </c>
      <c r="CM128" s="1213">
        <f t="shared" ca="1" si="88"/>
        <v>0</v>
      </c>
      <c r="CN128" s="1587">
        <f t="shared" ca="1" si="89"/>
        <v>0</v>
      </c>
    </row>
    <row r="129" spans="1:92">
      <c r="A129" s="141" t="str">
        <f>'銀行-TSS'!A129</f>
        <v>US88579YBD22</v>
      </c>
      <c r="B129" s="151" t="str">
        <f ca="1">VLOOKUP(A129,'銀行-TSS'!A:B,2,FALSE)</f>
        <v>XG130</v>
      </c>
      <c r="C129" s="151" t="str">
        <f ca="1">VLOOKUP(B129,bond!B:C,2,FALSE)</f>
        <v>3M公司美元配息債券 4% 2048/9/14</v>
      </c>
      <c r="D129" s="95" t="str">
        <f>VLOOKUP(A129,'銀行-TSS'!A:C,3,FALSE)</f>
        <v>USD</v>
      </c>
      <c r="E129" s="90">
        <f ca="1">VLOOKUP(A129,'銀行-TSS'!A:G,7,FALSE)</f>
        <v>24.2</v>
      </c>
      <c r="F129" s="202">
        <f ca="1">VLOOKUP(A129,'銀行-TSS'!A:H,8,FALSE)</f>
        <v>0.04</v>
      </c>
      <c r="G129" s="96">
        <f ca="1">VLOOKUP(A129,'銀行-TSS'!A:K,11,FALSE)</f>
        <v>85.07</v>
      </c>
      <c r="H129" s="1209">
        <f ca="1">VLOOKUP(A129,'銀行-TSS'!A:M,13,FALSE)</f>
        <v>5.1799999999999999E-2</v>
      </c>
      <c r="I129" s="1213">
        <f ca="1">VLOOKUP(A129,'銀行-TSS'!A:N,14,FALSE)</f>
        <v>10000</v>
      </c>
      <c r="J129" s="1213">
        <f ca="1">VLOOKUP(A129,'銀行-TSS'!A:O,15,FALSE)</f>
        <v>1000</v>
      </c>
      <c r="K129" s="136" t="str">
        <f ca="1">VLOOKUP(A129,'銀行-TSS'!A:V,22,FALSE)</f>
        <v>(NPI)非專投</v>
      </c>
      <c r="L129" s="136" t="str">
        <f ca="1">VLOOKUP(A129,'銀行-TSS'!A:AK,37,FALSE)</f>
        <v>有</v>
      </c>
      <c r="M129" s="136" t="str">
        <f ca="1">VLOOKUP(A129,'銀行-TSS'!A:AN,40,FALSE)</f>
        <v/>
      </c>
      <c r="N129" s="136">
        <f t="shared" ca="1" si="45"/>
        <v>850.7</v>
      </c>
      <c r="O129" s="1213">
        <f t="shared" ca="1" si="46"/>
        <v>8506.9999999999982</v>
      </c>
      <c r="P129" s="1213">
        <f ca="1">IF(AND($O$1&gt;=O129,換券單檔!$D$13=D129),I129+INT(($O$1-O129)/N129)*J129,0)</f>
        <v>113000</v>
      </c>
      <c r="Q129" s="1213">
        <f t="shared" ca="1" si="47"/>
        <v>4520</v>
      </c>
      <c r="R129" s="1213">
        <f t="shared" ca="1" si="48"/>
        <v>113000</v>
      </c>
      <c r="S129" s="1213">
        <f t="shared" ca="1" si="49"/>
        <v>4520</v>
      </c>
      <c r="T129" s="136">
        <f ca="1">IF(OR(R129=0,A129=0),0,IF(AND(V129=TRUE,換券單檔!$D$13=D129),E129,0))</f>
        <v>24.2</v>
      </c>
      <c r="U129" s="861">
        <f ca="1">IF(OR(R129=0,A129=0),0,IF(AND(V129=TRUE,換券單檔!$D$13=D129),H129,0))</f>
        <v>5.1799999999999999E-2</v>
      </c>
      <c r="V129" s="136" t="b">
        <f ca="1">IF(OR(B129=換券單檔!$D$3,L129="無",M129&lt;&gt;"",K129="高資產",IFERROR(MATCH(B129,換券單檔!K:K,0),"N")&lt;&gt;"N"),FALSE,IF($V$1="All",TRUE,IF(K129=$V$1,TRUE,FALSE)))</f>
        <v>1</v>
      </c>
      <c r="W129" s="136">
        <f ca="1">VLOOKUP(A129,'銀行-TSS'!A:AO,41,FALSE)</f>
        <v>80.37</v>
      </c>
      <c r="X129" s="136">
        <f ca="1">VLOOKUP(A129,'銀行-TSS'!A:AP,42,FALSE)</f>
        <v>14.1205</v>
      </c>
      <c r="Y129" s="1220">
        <f t="shared" ca="1" si="50"/>
        <v>12823.969810500001</v>
      </c>
      <c r="Z129" s="1220">
        <f t="shared" ca="1" si="51"/>
        <v>-700.95041322313773</v>
      </c>
      <c r="AA129" s="136">
        <f ca="1">IF(Z129&lt;=0,0,RANK(Z129,Z:Z)+COUNTIF($Z$3:$Z129,Z129)-1)</f>
        <v>0</v>
      </c>
      <c r="AB129" s="1211">
        <f t="shared" ca="1" si="52"/>
        <v>-2072.1701894999987</v>
      </c>
      <c r="AC129" s="136">
        <f ca="1">IF(AB129&lt;=0,0,RANK(AB129,AB:AB)+COUNTIF($AB$3:$AB129,AB129)-1)</f>
        <v>0</v>
      </c>
      <c r="AD129" s="1123">
        <f t="shared" ca="1" si="53"/>
        <v>99999</v>
      </c>
      <c r="AE129" s="1123">
        <f ca="1">IF(AD129=99999,0,RANK(AD129,AD:AD,1)+COUNTIF($AD$3:$AD129,AD129)-1)</f>
        <v>0</v>
      </c>
      <c r="AF129" s="86" t="b">
        <f ca="1">IF(OR(M129&lt;&gt;"",L129="無",K129="高資產",IFERROR(MATCH(B129,換券單檔!K:K,0),"N")&lt;&gt;"N"),FALSE,TRUE)</f>
        <v>1</v>
      </c>
      <c r="AI129" s="1212">
        <f t="shared" ca="1" si="54"/>
        <v>113000</v>
      </c>
      <c r="AJ129" s="1213">
        <f t="shared" ca="1" si="55"/>
        <v>4520</v>
      </c>
      <c r="AK129" s="1587">
        <f t="shared" ca="1" si="56"/>
        <v>-700.95041322313773</v>
      </c>
      <c r="AN129" s="1212">
        <f t="shared" ca="1" si="57"/>
        <v>65000</v>
      </c>
      <c r="AO129" s="1213">
        <f t="shared" ca="1" si="58"/>
        <v>2600</v>
      </c>
      <c r="AP129" s="1587">
        <f t="shared" ca="1" si="59"/>
        <v>-68971.694214876028</v>
      </c>
      <c r="AS129" s="1212">
        <f t="shared" ca="1" si="60"/>
        <v>111000</v>
      </c>
      <c r="AT129" s="1213">
        <f t="shared" ca="1" si="61"/>
        <v>4440</v>
      </c>
      <c r="AU129" s="1587">
        <f t="shared" ca="1" si="62"/>
        <v>-1050.7644628099174</v>
      </c>
      <c r="AX129" s="1212">
        <f t="shared" ca="1" si="63"/>
        <v>102000</v>
      </c>
      <c r="AY129" s="1213">
        <f t="shared" ca="1" si="64"/>
        <v>4080</v>
      </c>
      <c r="AZ129" s="1587">
        <f t="shared" ca="1" si="65"/>
        <v>-1045.7438016528952</v>
      </c>
      <c r="BC129" s="1212">
        <f t="shared" ca="1" si="66"/>
        <v>0</v>
      </c>
      <c r="BD129" s="1213">
        <f t="shared" ca="1" si="67"/>
        <v>0</v>
      </c>
      <c r="BE129" s="1587">
        <f t="shared" ca="1" si="68"/>
        <v>0</v>
      </c>
      <c r="BH129" s="1212">
        <f t="shared" ca="1" si="69"/>
        <v>0</v>
      </c>
      <c r="BI129" s="1213">
        <f t="shared" ca="1" si="70"/>
        <v>0</v>
      </c>
      <c r="BJ129" s="1587">
        <f t="shared" ca="1" si="71"/>
        <v>0</v>
      </c>
      <c r="BM129" s="1212">
        <f t="shared" ca="1" si="72"/>
        <v>0</v>
      </c>
      <c r="BN129" s="1213">
        <f t="shared" ca="1" si="73"/>
        <v>0</v>
      </c>
      <c r="BO129" s="1587">
        <f t="shared" ca="1" si="74"/>
        <v>0</v>
      </c>
      <c r="BR129" s="1212">
        <f t="shared" ca="1" si="75"/>
        <v>0</v>
      </c>
      <c r="BS129" s="1213">
        <f t="shared" ca="1" si="76"/>
        <v>0</v>
      </c>
      <c r="BT129" s="1587">
        <f t="shared" ca="1" si="77"/>
        <v>0</v>
      </c>
      <c r="BW129" s="1212">
        <f t="shared" ca="1" si="78"/>
        <v>0</v>
      </c>
      <c r="BX129" s="1213">
        <f t="shared" ca="1" si="79"/>
        <v>0</v>
      </c>
      <c r="BY129" s="1587">
        <f t="shared" ca="1" si="80"/>
        <v>0</v>
      </c>
      <c r="CB129" s="1212">
        <f t="shared" ca="1" si="81"/>
        <v>0</v>
      </c>
      <c r="CC129" s="1213">
        <f t="shared" ca="1" si="82"/>
        <v>0</v>
      </c>
      <c r="CD129" s="1587">
        <f t="shared" ca="1" si="83"/>
        <v>0</v>
      </c>
      <c r="CG129" s="1212">
        <f t="shared" ca="1" si="84"/>
        <v>0</v>
      </c>
      <c r="CH129" s="1213">
        <f t="shared" ca="1" si="85"/>
        <v>0</v>
      </c>
      <c r="CI129" s="1587">
        <f t="shared" ca="1" si="86"/>
        <v>0</v>
      </c>
      <c r="CL129" s="1212">
        <f t="shared" ca="1" si="87"/>
        <v>0</v>
      </c>
      <c r="CM129" s="1213">
        <f t="shared" ca="1" si="88"/>
        <v>0</v>
      </c>
      <c r="CN129" s="1587">
        <f t="shared" ca="1" si="89"/>
        <v>0</v>
      </c>
    </row>
    <row r="130" spans="1:92">
      <c r="A130" s="141" t="str">
        <f>'銀行-TSS'!A130</f>
        <v>US25468PDN33</v>
      </c>
      <c r="B130" s="151" t="str">
        <f ca="1">VLOOKUP(A130,'銀行-TSS'!A:B,2,FALSE)</f>
        <v>XG140</v>
      </c>
      <c r="C130" s="151" t="str">
        <f ca="1">VLOOKUP(B130,bond!B:C,2,FALSE)</f>
        <v>TWDC企業18公司美元配息債券 3% 2046/7/30</v>
      </c>
      <c r="D130" s="95" t="str">
        <f>VLOOKUP(A130,'銀行-TSS'!A:C,3,FALSE)</f>
        <v>USD</v>
      </c>
      <c r="E130" s="90">
        <f ca="1">VLOOKUP(A130,'銀行-TSS'!A:G,7,FALSE)</f>
        <v>22.08</v>
      </c>
      <c r="F130" s="202">
        <f ca="1">VLOOKUP(A130,'銀行-TSS'!A:H,8,FALSE)</f>
        <v>0.03</v>
      </c>
      <c r="G130" s="96">
        <f ca="1">VLOOKUP(A130,'銀行-TSS'!A:K,11,FALSE)</f>
        <v>73.14</v>
      </c>
      <c r="H130" s="1209">
        <f ca="1">VLOOKUP(A130,'銀行-TSS'!A:M,13,FALSE)</f>
        <v>5.1499999999999997E-2</v>
      </c>
      <c r="I130" s="1213">
        <f ca="1">VLOOKUP(A130,'銀行-TSS'!A:N,14,FALSE)</f>
        <v>10000</v>
      </c>
      <c r="J130" s="1213">
        <f ca="1">VLOOKUP(A130,'銀行-TSS'!A:O,15,FALSE)</f>
        <v>1000</v>
      </c>
      <c r="K130" s="136" t="str">
        <f ca="1">VLOOKUP(A130,'銀行-TSS'!A:V,22,FALSE)</f>
        <v>(NPI)非專投</v>
      </c>
      <c r="L130" s="136" t="str">
        <f ca="1">VLOOKUP(A130,'銀行-TSS'!A:AK,37,FALSE)</f>
        <v>有</v>
      </c>
      <c r="M130" s="136" t="str">
        <f ca="1">VLOOKUP(A130,'銀行-TSS'!A:AN,40,FALSE)</f>
        <v/>
      </c>
      <c r="N130" s="136">
        <f t="shared" ca="1" si="45"/>
        <v>731.4</v>
      </c>
      <c r="O130" s="1213">
        <f t="shared" ca="1" si="46"/>
        <v>7314</v>
      </c>
      <c r="P130" s="1213">
        <f ca="1">IF(AND($O$1&gt;=O130,換券單檔!$D$13=D130),I130+INT(($O$1-O130)/N130)*J130,0)</f>
        <v>132000</v>
      </c>
      <c r="Q130" s="1213">
        <f t="shared" ca="1" si="47"/>
        <v>3960</v>
      </c>
      <c r="R130" s="1213">
        <f t="shared" ca="1" si="48"/>
        <v>132000</v>
      </c>
      <c r="S130" s="1213">
        <f t="shared" ca="1" si="49"/>
        <v>3960</v>
      </c>
      <c r="T130" s="136">
        <f ca="1">IF(OR(R130=0,A130=0),0,IF(AND(V130=TRUE,換券單檔!$D$13=D130),E130,0))</f>
        <v>22.08</v>
      </c>
      <c r="U130" s="861">
        <f ca="1">IF(OR(R130=0,A130=0),0,IF(AND(V130=TRUE,換券單檔!$D$13=D130),H130,0))</f>
        <v>5.1499999999999997E-2</v>
      </c>
      <c r="V130" s="136" t="b">
        <f ca="1">IF(OR(B130=換券單檔!$D$3,L130="無",M130&lt;&gt;"",K130="高資產",IFERROR(MATCH(B130,換券單檔!K:K,0),"N")&lt;&gt;"N"),FALSE,IF($V$1="All",TRUE,IF(K130=$V$1,TRUE,FALSE)))</f>
        <v>1</v>
      </c>
      <c r="W130" s="136">
        <f ca="1">VLOOKUP(A130,'銀行-TSS'!A:AO,41,FALSE)</f>
        <v>68.87</v>
      </c>
      <c r="X130" s="136">
        <f ca="1">VLOOKUP(A130,'銀行-TSS'!A:AP,42,FALSE)</f>
        <v>14.3055</v>
      </c>
      <c r="Y130" s="1220">
        <f t="shared" ca="1" si="50"/>
        <v>13004.901162</v>
      </c>
      <c r="Z130" s="1220">
        <f t="shared" ca="1" si="51"/>
        <v>0</v>
      </c>
      <c r="AA130" s="136">
        <f ca="1">IF(Z130&lt;=0,0,RANK(Z130,Z:Z)+COUNTIF($Z$3:$Z130,Z130)-1)</f>
        <v>0</v>
      </c>
      <c r="AB130" s="1211">
        <f t="shared" ca="1" si="52"/>
        <v>-1891.2388379999993</v>
      </c>
      <c r="AC130" s="136">
        <f ca="1">IF(AB130&lt;=0,0,RANK(AB130,AB:AB)+COUNTIF($AB$3:$AB130,AB130)-1)</f>
        <v>0</v>
      </c>
      <c r="AD130" s="1123">
        <f t="shared" ca="1" si="53"/>
        <v>99999</v>
      </c>
      <c r="AE130" s="1123">
        <f ca="1">IF(AD130=99999,0,RANK(AD130,AD:AD,1)+COUNTIF($AD$3:$AD130,AD130)-1)</f>
        <v>0</v>
      </c>
      <c r="AF130" s="86" t="b">
        <f ca="1">IF(OR(M130&lt;&gt;"",L130="無",K130="高資產",IFERROR(MATCH(B130,換券單檔!K:K,0),"N")&lt;&gt;"N"),FALSE,TRUE)</f>
        <v>1</v>
      </c>
      <c r="AI130" s="1212">
        <f t="shared" ca="1" si="54"/>
        <v>132000</v>
      </c>
      <c r="AJ130" s="1213">
        <f t="shared" ca="1" si="55"/>
        <v>3960</v>
      </c>
      <c r="AK130" s="1587">
        <f t="shared" ca="1" si="56"/>
        <v>0</v>
      </c>
      <c r="AN130" s="1212">
        <f t="shared" ca="1" si="57"/>
        <v>75000</v>
      </c>
      <c r="AO130" s="1213">
        <f t="shared" ca="1" si="58"/>
        <v>2250</v>
      </c>
      <c r="AP130" s="1587">
        <f t="shared" ca="1" si="59"/>
        <v>-50000</v>
      </c>
      <c r="AS130" s="1212">
        <f t="shared" ca="1" si="60"/>
        <v>129000</v>
      </c>
      <c r="AT130" s="1213">
        <f t="shared" ca="1" si="61"/>
        <v>3870</v>
      </c>
      <c r="AU130" s="1587">
        <f t="shared" ca="1" si="62"/>
        <v>0</v>
      </c>
      <c r="AX130" s="1212">
        <f t="shared" ca="1" si="63"/>
        <v>118000</v>
      </c>
      <c r="AY130" s="1213">
        <f t="shared" ca="1" si="64"/>
        <v>3540</v>
      </c>
      <c r="AZ130" s="1587">
        <f t="shared" ca="1" si="65"/>
        <v>0</v>
      </c>
      <c r="BC130" s="1212">
        <f t="shared" ca="1" si="66"/>
        <v>0</v>
      </c>
      <c r="BD130" s="1213">
        <f t="shared" ca="1" si="67"/>
        <v>0</v>
      </c>
      <c r="BE130" s="1587">
        <f t="shared" ca="1" si="68"/>
        <v>0</v>
      </c>
      <c r="BH130" s="1212">
        <f t="shared" ca="1" si="69"/>
        <v>0</v>
      </c>
      <c r="BI130" s="1213">
        <f t="shared" ca="1" si="70"/>
        <v>0</v>
      </c>
      <c r="BJ130" s="1587">
        <f t="shared" ca="1" si="71"/>
        <v>0</v>
      </c>
      <c r="BM130" s="1212">
        <f t="shared" ca="1" si="72"/>
        <v>0</v>
      </c>
      <c r="BN130" s="1213">
        <f t="shared" ca="1" si="73"/>
        <v>0</v>
      </c>
      <c r="BO130" s="1587">
        <f t="shared" ca="1" si="74"/>
        <v>0</v>
      </c>
      <c r="BR130" s="1212">
        <f t="shared" ca="1" si="75"/>
        <v>0</v>
      </c>
      <c r="BS130" s="1213">
        <f t="shared" ca="1" si="76"/>
        <v>0</v>
      </c>
      <c r="BT130" s="1587">
        <f t="shared" ca="1" si="77"/>
        <v>0</v>
      </c>
      <c r="BW130" s="1212">
        <f t="shared" ca="1" si="78"/>
        <v>0</v>
      </c>
      <c r="BX130" s="1213">
        <f t="shared" ca="1" si="79"/>
        <v>0</v>
      </c>
      <c r="BY130" s="1587">
        <f t="shared" ca="1" si="80"/>
        <v>0</v>
      </c>
      <c r="CB130" s="1212">
        <f t="shared" ca="1" si="81"/>
        <v>0</v>
      </c>
      <c r="CC130" s="1213">
        <f t="shared" ca="1" si="82"/>
        <v>0</v>
      </c>
      <c r="CD130" s="1587">
        <f t="shared" ca="1" si="83"/>
        <v>0</v>
      </c>
      <c r="CG130" s="1212">
        <f t="shared" ca="1" si="84"/>
        <v>0</v>
      </c>
      <c r="CH130" s="1213">
        <f t="shared" ca="1" si="85"/>
        <v>0</v>
      </c>
      <c r="CI130" s="1587">
        <f t="shared" ca="1" si="86"/>
        <v>0</v>
      </c>
      <c r="CL130" s="1212">
        <f t="shared" ca="1" si="87"/>
        <v>0</v>
      </c>
      <c r="CM130" s="1213">
        <f t="shared" ca="1" si="88"/>
        <v>0</v>
      </c>
      <c r="CN130" s="1587">
        <f t="shared" ca="1" si="89"/>
        <v>0</v>
      </c>
    </row>
    <row r="131" spans="1:92">
      <c r="A131" s="141" t="str">
        <f>'銀行-TSS'!A131</f>
        <v>US10373QBG47</v>
      </c>
      <c r="B131" s="151" t="str">
        <f ca="1">VLOOKUP(A131,'銀行-TSS'!A:B,2,FALSE)</f>
        <v>XG150</v>
      </c>
      <c r="C131" s="151" t="str">
        <f ca="1">VLOOKUP(B131,bond!B:C,2,FALSE)</f>
        <v>BP資本市場美國公司美元配息債券 3% 2050/2/24</v>
      </c>
      <c r="D131" s="95" t="str">
        <f>VLOOKUP(A131,'銀行-TSS'!A:C,3,FALSE)</f>
        <v>USD</v>
      </c>
      <c r="E131" s="90">
        <f ca="1">VLOOKUP(A131,'銀行-TSS'!A:G,7,FALSE)</f>
        <v>25.65</v>
      </c>
      <c r="F131" s="202">
        <f ca="1">VLOOKUP(A131,'銀行-TSS'!A:H,8,FALSE)</f>
        <v>0.03</v>
      </c>
      <c r="G131" s="96">
        <f ca="1">VLOOKUP(A131,'銀行-TSS'!A:K,11,FALSE)</f>
        <v>70.260000000000005</v>
      </c>
      <c r="H131" s="1209">
        <f ca="1">VLOOKUP(A131,'銀行-TSS'!A:M,13,FALSE)</f>
        <v>5.1900000000000002E-2</v>
      </c>
      <c r="I131" s="1213">
        <f ca="1">VLOOKUP(A131,'銀行-TSS'!A:N,14,FALSE)</f>
        <v>10000</v>
      </c>
      <c r="J131" s="1213">
        <f ca="1">VLOOKUP(A131,'銀行-TSS'!A:O,15,FALSE)</f>
        <v>1000</v>
      </c>
      <c r="K131" s="136" t="str">
        <f ca="1">VLOOKUP(A131,'銀行-TSS'!A:V,22,FALSE)</f>
        <v>(NPI)非專投</v>
      </c>
      <c r="L131" s="136" t="str">
        <f ca="1">VLOOKUP(A131,'銀行-TSS'!A:AK,37,FALSE)</f>
        <v>有</v>
      </c>
      <c r="M131" s="136" t="str">
        <f ca="1">VLOOKUP(A131,'銀行-TSS'!A:AN,40,FALSE)</f>
        <v/>
      </c>
      <c r="N131" s="136">
        <f t="shared" ref="N131:N194" ca="1" si="90">G131*J131/100</f>
        <v>702.6</v>
      </c>
      <c r="O131" s="1213">
        <f t="shared" ref="O131:O194" ca="1" si="91">G131*I131/100</f>
        <v>7026</v>
      </c>
      <c r="P131" s="1213">
        <f ca="1">IF(AND($O$1&gt;=O131,換券單檔!$D$13=D131),I131+INT(($O$1-O131)/N131)*J131,0)</f>
        <v>137000</v>
      </c>
      <c r="Q131" s="1213">
        <f t="shared" ref="Q131:Q194" ca="1" si="92">P131*F131</f>
        <v>4110</v>
      </c>
      <c r="R131" s="1213">
        <f t="shared" ref="R131:R194" ca="1" si="93">IF(A131=0,0,IF(V131=FALSE,0,P131))</f>
        <v>137000</v>
      </c>
      <c r="S131" s="1213">
        <f t="shared" ref="S131:S194" ca="1" si="94">IF(A131=0,0,IF(V131=FALSE,0,Q131))</f>
        <v>4110</v>
      </c>
      <c r="T131" s="136">
        <f ca="1">IF(OR(R131=0,A131=0),0,IF(AND(V131=TRUE,換券單檔!$D$13=D131),E131,0))</f>
        <v>25.65</v>
      </c>
      <c r="U131" s="861">
        <f ca="1">IF(OR(R131=0,A131=0),0,IF(AND(V131=TRUE,換券單檔!$D$13=D131),H131,0))</f>
        <v>5.1900000000000002E-2</v>
      </c>
      <c r="V131" s="136" t="b">
        <f ca="1">IF(OR(B131=換券單檔!$D$3,L131="無",M131&lt;&gt;"",K131="高資產",IFERROR(MATCH(B131,換券單檔!K:K,0),"N")&lt;&gt;"N"),FALSE,IF($V$1="All",TRUE,IF(K131=$V$1,TRUE,FALSE)))</f>
        <v>1</v>
      </c>
      <c r="W131" s="136">
        <f ca="1">VLOOKUP(A131,'銀行-TSS'!A:AO,41,FALSE)</f>
        <v>65.69</v>
      </c>
      <c r="X131" s="136">
        <f ca="1">VLOOKUP(A131,'銀行-TSS'!A:AP,42,FALSE)</f>
        <v>15.459300000000001</v>
      </c>
      <c r="Y131" s="1220">
        <f t="shared" ref="Y131:Y194" ca="1" si="95">IF(A131=0,0,IF(V131=FALSE,0,IFERROR(W131/100*P131*X131*1%,0)))</f>
        <v>13912.643412899999</v>
      </c>
      <c r="Z131" s="1220">
        <f t="shared" ref="Z131:Z194" ca="1" si="96">IF(A131=0,0,IF(V131=FALSE,0,IF(OR(Q131&lt;$Y$1,E131&lt;5)=FALSE,((Q131-$Q$1)*MIN(3,E131)*(1-MIN(1/(2*E131),1))+IF((P131-$P$1)&lt;0,(P131-$P$1)*2,(P131-$P$1)*MIN(1/(2*E131),1))),0)))</f>
        <v>0</v>
      </c>
      <c r="AA131" s="136">
        <f ca="1">IF(Z131&lt;=0,0,RANK(Z131,Z:Z)+COUNTIF($Z$3:$Z131,Z131)-1)</f>
        <v>0</v>
      </c>
      <c r="AB131" s="1211">
        <f t="shared" ref="AB131:AB194" ca="1" si="97">IF(A131=0,0,IF(V131=FALSE,0,Y131+IF((P131-$P$1)&lt;0,(P131-$P$1),0)))-$AC$1</f>
        <v>-983.4965871000004</v>
      </c>
      <c r="AC131" s="136">
        <f ca="1">IF(AB131&lt;=0,0,RANK(AB131,AB:AB)+COUNTIF($AB$3:$AB131,AB131)-1)</f>
        <v>0</v>
      </c>
      <c r="AD131" s="1123">
        <f t="shared" ref="AD131:AD194" ca="1" si="98">IF(A131=0,99999,IF(OR(V131=FALSE,AA131=0,AC131=0),99999,(AC131+AA131)/2))</f>
        <v>99999</v>
      </c>
      <c r="AE131" s="1123">
        <f ca="1">IF(AD131=99999,0,RANK(AD131,AD:AD,1)+COUNTIF($AD$3:$AD131,AD131)-1)</f>
        <v>0</v>
      </c>
      <c r="AF131" s="86" t="b">
        <f ca="1">IF(OR(M131&lt;&gt;"",L131="無",K131="高資產",IFERROR(MATCH(B131,換券單檔!K:K,0),"N")&lt;&gt;"N"),FALSE,TRUE)</f>
        <v>1</v>
      </c>
      <c r="AI131" s="1212">
        <f t="shared" ref="AI131:AI194" ca="1" si="99">IF($AF131=FALSE,0,IF(AND(AH$2&gt;=$O131,AH$1=$D131),$I131+INT((AH$2-$O131)/$N131)*$J131,0))</f>
        <v>137000</v>
      </c>
      <c r="AJ131" s="1213">
        <f t="shared" ref="AJ131:AJ194" ca="1" si="100">AI131*$F131</f>
        <v>4110</v>
      </c>
      <c r="AK131" s="1587">
        <f t="shared" ref="AK131:AK194" ca="1" si="101">IF($A131=0,0,IF(OR($AF131=FALSE,$B131=AG$1),0,IF(OR(AJ131&lt;(AJ$1*0.9),$E131&lt;5)=FALSE,((AJ131-AJ$1)*MIN(3,$E131)*(1-MIN(1/(2*$E131),1))+IF((AI131-AI$1)&lt;0,(AI131-AI$1)*2,(AI131-AI$1)*MIN(1/(2*$E131),1))),0)))</f>
        <v>0</v>
      </c>
      <c r="AN131" s="1212">
        <f t="shared" ref="AN131:AN194" ca="1" si="102">IF($AF131=FALSE,0,IF(AND(AM$2&gt;=$O131,AM$1=$D131),$I131+INT((AM$2-$O131)/$N131)*$J131,0))</f>
        <v>78000</v>
      </c>
      <c r="AO131" s="1213">
        <f t="shared" ref="AO131:AO194" ca="1" si="103">AN131*$F131</f>
        <v>2340</v>
      </c>
      <c r="AP131" s="1587">
        <f t="shared" ref="AP131:AP194" ca="1" si="104">IF($A131=0,0,IF(OR($AF131=FALSE,$B131=AL$1),0,IF(OR(AO131&lt;(AO$1*0.9),$E131&lt;5)=FALSE,((AO131-AO$1)*MIN(3,$E131)*(1-MIN(1/(2*$E131),1))+IF((AN131-AN$1)&lt;0,(AN131-AN$1)*2,(AN131-AN$1)*MIN(1/(2*$E131),1))),0)))</f>
        <v>-43735.26315789474</v>
      </c>
      <c r="AS131" s="1212">
        <f t="shared" ref="AS131:AS194" ca="1" si="105">IF($AF131=FALSE,0,IF(AND(AR$2&gt;=$O131,AR$1=$D131),$I131+INT((AR$2-$O131)/$N131)*$J131,0))</f>
        <v>134000</v>
      </c>
      <c r="AT131" s="1213">
        <f t="shared" ref="AT131:AT194" ca="1" si="106">AS131*$F131</f>
        <v>4020</v>
      </c>
      <c r="AU131" s="1587">
        <f t="shared" ref="AU131:AU194" ca="1" si="107">IF($A131=0,0,IF(OR($AF131=FALSE,$B131=AQ$1),0,IF(OR(AT131&lt;(AT$1*0.9),$E131&lt;5)=FALSE,((AT131-AT$1)*MIN(3,$E131)*(1-MIN(1/(2*$E131),1))+IF((AS131-AS$1)&lt;0,(AS131-AS$1)*2,(AS131-AS$1)*MIN(1/(2*$E131),1))),0)))</f>
        <v>0</v>
      </c>
      <c r="AX131" s="1212">
        <f t="shared" ref="AX131:AX194" ca="1" si="108">IF($AF131=FALSE,0,IF(AND(AW$2&gt;=$O131,AW$1=$D131),$I131+INT((AW$2-$O131)/$N131)*$J131,0))</f>
        <v>123000</v>
      </c>
      <c r="AY131" s="1213">
        <f t="shared" ref="AY131:AY194" ca="1" si="109">AX131*$F131</f>
        <v>3690</v>
      </c>
      <c r="AZ131" s="1587">
        <f t="shared" ref="AZ131:AZ194" ca="1" si="110">IF($A131=0,0,IF(OR($AF131=FALSE,$B131=AV$1),0,IF(OR(AY131&lt;(AY$1*0.9),$E131&lt;5)=FALSE,((AY131-AY$1)*MIN(3,$E131)*(1-MIN(1/(2*$E131),1))+IF((AX131-AX$1)&lt;0,(AX131-AX$1)*2,(AX131-AX$1)*MIN(1/(2*$E131),1))),0)))</f>
        <v>0</v>
      </c>
      <c r="BC131" s="1212">
        <f t="shared" ref="BC131:BC194" ca="1" si="111">IF($AF131=FALSE,0,IF(AND(BB$2&gt;=$O131,BB$1=$D131),$I131+INT((BB$2-$O131)/$N131)*$J131,0))</f>
        <v>0</v>
      </c>
      <c r="BD131" s="1213">
        <f t="shared" ref="BD131:BD194" ca="1" si="112">BC131*$F131</f>
        <v>0</v>
      </c>
      <c r="BE131" s="1587">
        <f t="shared" ref="BE131:BE194" ca="1" si="113">IF($A131=0,0,IF(OR($AF131=FALSE,$B131=BA$1),0,IF(OR(BD131&lt;(BD$1*0.9),$E131&lt;5)=FALSE,((BD131-BD$1)*MIN(3,$E131)*(1-MIN(1/(2*$E131),1))+IF((BC131-BC$1)&lt;0,(BC131-BC$1)*2,(BC131-BC$1)*MIN(1/(2*$E131),1))),0)))</f>
        <v>0</v>
      </c>
      <c r="BH131" s="1212">
        <f t="shared" ref="BH131:BH194" ca="1" si="114">IF($AF131=FALSE,0,IF(AND(BG$2&gt;=$O131,BG$1=$D131),$I131+INT((BG$2-$O131)/$N131)*$J131,0))</f>
        <v>0</v>
      </c>
      <c r="BI131" s="1213">
        <f t="shared" ref="BI131:BI194" ca="1" si="115">BH131*$F131</f>
        <v>0</v>
      </c>
      <c r="BJ131" s="1587">
        <f t="shared" ref="BJ131:BJ194" ca="1" si="116">IF($A131=0,0,IF(OR($AF131=FALSE,$B131=BF$1),0,IF(OR(BI131&lt;(BI$1*0.9),$E131&lt;5)=FALSE,((BI131-BI$1)*MIN(3,$E131)*(1-MIN(1/(2*$E131),1))+IF((BH131-BH$1)&lt;0,(BH131-BH$1)*2,(BH131-BH$1)*MIN(1/(2*$E131),1))),0)))</f>
        <v>0</v>
      </c>
      <c r="BM131" s="1212">
        <f t="shared" ref="BM131:BM194" ca="1" si="117">IF($AF131=FALSE,0,IF(AND(BL$2&gt;=$O131,BL$1=$D131),$I131+INT((BL$2-$O131)/$N131)*$J131,0))</f>
        <v>0</v>
      </c>
      <c r="BN131" s="1213">
        <f t="shared" ref="BN131:BN194" ca="1" si="118">BM131*$F131</f>
        <v>0</v>
      </c>
      <c r="BO131" s="1587">
        <f t="shared" ref="BO131:BO194" ca="1" si="119">IF($A131=0,0,IF(OR($AF131=FALSE,$B131=BK$1),0,IF(OR(BN131&lt;(BN$1*0.9),$E131&lt;5)=FALSE,((BN131-BN$1)*MIN(3,$E131)*(1-MIN(1/(2*$E131),1))+IF((BM131-BM$1)&lt;0,(BM131-BM$1)*2,(BM131-BM$1)*MIN(1/(2*$E131),1))),0)))</f>
        <v>0</v>
      </c>
      <c r="BR131" s="1212">
        <f t="shared" ref="BR131:BR194" ca="1" si="120">IF($AF131=FALSE,0,IF(AND(BQ$2&gt;=$O131,BQ$1=$D131),$I131+INT((BQ$2-$O131)/$N131)*$J131,0))</f>
        <v>0</v>
      </c>
      <c r="BS131" s="1213">
        <f t="shared" ref="BS131:BS194" ca="1" si="121">BR131*$F131</f>
        <v>0</v>
      </c>
      <c r="BT131" s="1587">
        <f t="shared" ref="BT131:BT194" ca="1" si="122">IF($A131=0,0,IF(OR($AF131=FALSE,$B131=BP$1),0,IF(OR(BS131&lt;(BS$1*0.9),$E131&lt;5)=FALSE,((BS131-BS$1)*MIN(3,$E131)*(1-MIN(1/(2*$E131),1))+IF((BR131-BR$1)&lt;0,(BR131-BR$1)*2,(BR131-BR$1)*MIN(1/(2*$E131),1))),0)))</f>
        <v>0</v>
      </c>
      <c r="BW131" s="1212">
        <f t="shared" ref="BW131:BW194" ca="1" si="123">IF($AF131=FALSE,0,IF(AND(BV$2&gt;=$O131,BV$1=$D131),$I131+INT((BV$2-$O131)/$N131)*$J131,0))</f>
        <v>0</v>
      </c>
      <c r="BX131" s="1213">
        <f t="shared" ref="BX131:BX194" ca="1" si="124">BW131*$F131</f>
        <v>0</v>
      </c>
      <c r="BY131" s="1587">
        <f t="shared" ref="BY131:BY194" ca="1" si="125">IF($A131=0,0,IF(OR($AF131=FALSE,$B131=BU$1),0,IF(OR(BX131&lt;(BX$1*0.9),$E131&lt;5)=FALSE,((BX131-BX$1)*MIN(3,$E131)*(1-MIN(1/(2*$E131),1))+IF((BW131-BW$1)&lt;0,(BW131-BW$1)*2,(BW131-BW$1)*MIN(1/(2*$E131),1))),0)))</f>
        <v>0</v>
      </c>
      <c r="CB131" s="1212">
        <f t="shared" ref="CB131:CB194" ca="1" si="126">IF($AF131=FALSE,0,IF(AND(CA$2&gt;=$O131,CA$1=$D131),$I131+INT((CA$2-$O131)/$N131)*$J131,0))</f>
        <v>0</v>
      </c>
      <c r="CC131" s="1213">
        <f t="shared" ref="CC131:CC194" ca="1" si="127">CB131*$F131</f>
        <v>0</v>
      </c>
      <c r="CD131" s="1587">
        <f t="shared" ref="CD131:CD194" ca="1" si="128">IF($A131=0,0,IF(OR($AF131=FALSE,$B131=BZ$1),0,IF(OR(CC131&lt;(CC$1*0.9),$E131&lt;5)=FALSE,((CC131-CC$1)*MIN(3,$E131)*(1-MIN(1/(2*$E131),1))+IF((CB131-CB$1)&lt;0,(CB131-CB$1)*2,(CB131-CB$1)*MIN(1/(2*$E131),1))),0)))</f>
        <v>0</v>
      </c>
      <c r="CG131" s="1212">
        <f t="shared" ref="CG131:CG194" ca="1" si="129">IF($AF131=FALSE,0,IF(AND(CF$2&gt;=$O131,CF$1=$D131),$I131+INT((CF$2-$O131)/$N131)*$J131,0))</f>
        <v>0</v>
      </c>
      <c r="CH131" s="1213">
        <f t="shared" ref="CH131:CH194" ca="1" si="130">CG131*$F131</f>
        <v>0</v>
      </c>
      <c r="CI131" s="1587">
        <f t="shared" ref="CI131:CI194" ca="1" si="131">IF($A131=0,0,IF(OR($AF131=FALSE,$B131=CE$1),0,IF(OR(CH131&lt;(CH$1*0.9),$E131&lt;5)=FALSE,((CH131-CH$1)*MIN(3,$E131)*(1-MIN(1/(2*$E131),1))+IF((CG131-CG$1)&lt;0,(CG131-CG$1)*2,(CG131-CG$1)*MIN(1/(2*$E131),1))),0)))</f>
        <v>0</v>
      </c>
      <c r="CL131" s="1212">
        <f t="shared" ref="CL131:CL194" ca="1" si="132">IF($AF131=FALSE,0,IF(AND(CK$2&gt;=$O131,CK$1=$D131),$I131+INT((CK$2-$O131)/$N131)*$J131,0))</f>
        <v>0</v>
      </c>
      <c r="CM131" s="1213">
        <f t="shared" ref="CM131:CM194" ca="1" si="133">CL131*$F131</f>
        <v>0</v>
      </c>
      <c r="CN131" s="1587">
        <f t="shared" ref="CN131:CN194" ca="1" si="134">IF($A131=0,0,IF(OR($AF131=FALSE,$B131=CJ$1),0,IF(OR(CM131&lt;(CM$1*0.9),$E131&lt;5)=FALSE,((CM131-CM$1)*MIN(3,$E131)*(1-MIN(1/(2*$E131),1))+IF((CL131-CL$1)&lt;0,(CL131-CL$1)*2,(CL131-CL$1)*MIN(1/(2*$E131),1))),0)))</f>
        <v>0</v>
      </c>
    </row>
    <row r="132" spans="1:92">
      <c r="A132" s="141" t="str">
        <f>'銀行-TSS'!A132</f>
        <v>US68389XBX21</v>
      </c>
      <c r="B132" s="151" t="str">
        <f ca="1">VLOOKUP(A132,'銀行-TSS'!A:B,2,FALSE)</f>
        <v>XG160</v>
      </c>
      <c r="C132" s="151" t="str">
        <f ca="1">VLOOKUP(B132,bond!B:C,2,FALSE)</f>
        <v>甲骨文公司美元配息債券  3.6% 2050/4/1</v>
      </c>
      <c r="D132" s="95" t="str">
        <f>VLOOKUP(A132,'銀行-TSS'!A:C,3,FALSE)</f>
        <v>USD</v>
      </c>
      <c r="E132" s="90">
        <f ca="1">VLOOKUP(A132,'銀行-TSS'!A:G,7,FALSE)</f>
        <v>25.75</v>
      </c>
      <c r="F132" s="202">
        <f ca="1">VLOOKUP(A132,'銀行-TSS'!A:H,8,FALSE)</f>
        <v>3.6000000000000004E-2</v>
      </c>
      <c r="G132" s="96">
        <f ca="1">VLOOKUP(A132,'銀行-TSS'!A:K,11,FALSE)</f>
        <v>74.88</v>
      </c>
      <c r="H132" s="1209">
        <f ca="1">VLOOKUP(A132,'銀行-TSS'!A:M,13,FALSE)</f>
        <v>5.5E-2</v>
      </c>
      <c r="I132" s="1213">
        <f ca="1">VLOOKUP(A132,'銀行-TSS'!A:N,14,FALSE)</f>
        <v>10000</v>
      </c>
      <c r="J132" s="1213">
        <f ca="1">VLOOKUP(A132,'銀行-TSS'!A:O,15,FALSE)</f>
        <v>1000</v>
      </c>
      <c r="K132" s="136" t="str">
        <f ca="1">VLOOKUP(A132,'銀行-TSS'!A:V,22,FALSE)</f>
        <v>(PI)專投</v>
      </c>
      <c r="L132" s="136" t="str">
        <f ca="1">VLOOKUP(A132,'銀行-TSS'!A:AK,37,FALSE)</f>
        <v>有</v>
      </c>
      <c r="M132" s="136" t="str">
        <f ca="1">VLOOKUP(A132,'銀行-TSS'!A:AN,40,FALSE)</f>
        <v/>
      </c>
      <c r="N132" s="136">
        <f t="shared" ca="1" si="90"/>
        <v>748.8</v>
      </c>
      <c r="O132" s="1213">
        <f t="shared" ca="1" si="91"/>
        <v>7488</v>
      </c>
      <c r="P132" s="1213">
        <f ca="1">IF(AND($O$1&gt;=O132,換券單檔!$D$13=D132),I132+INT(($O$1-O132)/N132)*J132,0)</f>
        <v>129000</v>
      </c>
      <c r="Q132" s="1213">
        <f t="shared" ca="1" si="92"/>
        <v>4644.0000000000009</v>
      </c>
      <c r="R132" s="1213">
        <f t="shared" ca="1" si="93"/>
        <v>129000</v>
      </c>
      <c r="S132" s="1213">
        <f t="shared" ca="1" si="94"/>
        <v>4644.0000000000009</v>
      </c>
      <c r="T132" s="136">
        <f ca="1">IF(OR(R132=0,A132=0),0,IF(AND(V132=TRUE,換券單檔!$D$13=D132),E132,0))</f>
        <v>25.75</v>
      </c>
      <c r="U132" s="861">
        <f ca="1">IF(OR(R132=0,A132=0),0,IF(AND(V132=TRUE,換券單檔!$D$13=D132),H132,0))</f>
        <v>5.5E-2</v>
      </c>
      <c r="V132" s="136" t="b">
        <f ca="1">IF(OR(B132=換券單檔!$D$3,L132="無",M132&lt;&gt;"",K132="高資產",IFERROR(MATCH(B132,換券單檔!K:K,0),"N")&lt;&gt;"N"),FALSE,IF($V$1="All",TRUE,IF(K132=$V$1,TRUE,FALSE)))</f>
        <v>1</v>
      </c>
      <c r="W132" s="136">
        <f ca="1">VLOOKUP(A132,'銀行-TSS'!A:AO,41,FALSE)</f>
        <v>70.47</v>
      </c>
      <c r="X132" s="136">
        <f ca="1">VLOOKUP(A132,'銀行-TSS'!A:AP,42,FALSE)</f>
        <v>14.6212</v>
      </c>
      <c r="Y132" s="1220">
        <f t="shared" ca="1" si="95"/>
        <v>13291.591935600001</v>
      </c>
      <c r="Z132" s="1220">
        <f t="shared" ca="1" si="96"/>
        <v>-42.893203883489832</v>
      </c>
      <c r="AA132" s="136">
        <f ca="1">IF(Z132&lt;=0,0,RANK(Z132,Z:Z)+COUNTIF($Z$3:$Z132,Z132)-1)</f>
        <v>0</v>
      </c>
      <c r="AB132" s="1211">
        <f t="shared" ca="1" si="97"/>
        <v>-1604.5480643999981</v>
      </c>
      <c r="AC132" s="136">
        <f ca="1">IF(AB132&lt;=0,0,RANK(AB132,AB:AB)+COUNTIF($AB$3:$AB132,AB132)-1)</f>
        <v>0</v>
      </c>
      <c r="AD132" s="1123">
        <f t="shared" ca="1" si="98"/>
        <v>99999</v>
      </c>
      <c r="AE132" s="1123">
        <f ca="1">IF(AD132=99999,0,RANK(AD132,AD:AD,1)+COUNTIF($AD$3:$AD132,AD132)-1)</f>
        <v>0</v>
      </c>
      <c r="AF132" s="86" t="b">
        <f ca="1">IF(OR(M132&lt;&gt;"",L132="無",K132="高資產",IFERROR(MATCH(B132,換券單檔!K:K,0),"N")&lt;&gt;"N"),FALSE,TRUE)</f>
        <v>1</v>
      </c>
      <c r="AI132" s="1212">
        <f t="shared" ca="1" si="99"/>
        <v>129000</v>
      </c>
      <c r="AJ132" s="1213">
        <f t="shared" ca="1" si="100"/>
        <v>4644.0000000000009</v>
      </c>
      <c r="AK132" s="1587">
        <f t="shared" ca="1" si="101"/>
        <v>-42.893203883489832</v>
      </c>
      <c r="AN132" s="1212">
        <f t="shared" ca="1" si="102"/>
        <v>73000</v>
      </c>
      <c r="AO132" s="1213">
        <f t="shared" ca="1" si="103"/>
        <v>2628.0000000000005</v>
      </c>
      <c r="AP132" s="1587">
        <f t="shared" ca="1" si="104"/>
        <v>-52888.019417475727</v>
      </c>
      <c r="AS132" s="1212">
        <f t="shared" ca="1" si="105"/>
        <v>126000</v>
      </c>
      <c r="AT132" s="1213">
        <f t="shared" ca="1" si="106"/>
        <v>4536.0000000000009</v>
      </c>
      <c r="AU132" s="1587">
        <f t="shared" ca="1" si="107"/>
        <v>-492.39805825242462</v>
      </c>
      <c r="AX132" s="1212">
        <f t="shared" ca="1" si="108"/>
        <v>116000</v>
      </c>
      <c r="AY132" s="1213">
        <f t="shared" ca="1" si="109"/>
        <v>4176.0000000000009</v>
      </c>
      <c r="AZ132" s="1587">
        <f t="shared" ca="1" si="110"/>
        <v>-495.35922330097094</v>
      </c>
      <c r="BC132" s="1212">
        <f t="shared" ca="1" si="111"/>
        <v>0</v>
      </c>
      <c r="BD132" s="1213">
        <f t="shared" ca="1" si="112"/>
        <v>0</v>
      </c>
      <c r="BE132" s="1587">
        <f t="shared" ca="1" si="113"/>
        <v>0</v>
      </c>
      <c r="BH132" s="1212">
        <f t="shared" ca="1" si="114"/>
        <v>0</v>
      </c>
      <c r="BI132" s="1213">
        <f t="shared" ca="1" si="115"/>
        <v>0</v>
      </c>
      <c r="BJ132" s="1587">
        <f t="shared" ca="1" si="116"/>
        <v>0</v>
      </c>
      <c r="BM132" s="1212">
        <f t="shared" ca="1" si="117"/>
        <v>0</v>
      </c>
      <c r="BN132" s="1213">
        <f t="shared" ca="1" si="118"/>
        <v>0</v>
      </c>
      <c r="BO132" s="1587">
        <f t="shared" ca="1" si="119"/>
        <v>0</v>
      </c>
      <c r="BR132" s="1212">
        <f t="shared" ca="1" si="120"/>
        <v>0</v>
      </c>
      <c r="BS132" s="1213">
        <f t="shared" ca="1" si="121"/>
        <v>0</v>
      </c>
      <c r="BT132" s="1587">
        <f t="shared" ca="1" si="122"/>
        <v>0</v>
      </c>
      <c r="BW132" s="1212">
        <f t="shared" ca="1" si="123"/>
        <v>0</v>
      </c>
      <c r="BX132" s="1213">
        <f t="shared" ca="1" si="124"/>
        <v>0</v>
      </c>
      <c r="BY132" s="1587">
        <f t="shared" ca="1" si="125"/>
        <v>0</v>
      </c>
      <c r="CB132" s="1212">
        <f t="shared" ca="1" si="126"/>
        <v>0</v>
      </c>
      <c r="CC132" s="1213">
        <f t="shared" ca="1" si="127"/>
        <v>0</v>
      </c>
      <c r="CD132" s="1587">
        <f t="shared" ca="1" si="128"/>
        <v>0</v>
      </c>
      <c r="CG132" s="1212">
        <f t="shared" ca="1" si="129"/>
        <v>0</v>
      </c>
      <c r="CH132" s="1213">
        <f t="shared" ca="1" si="130"/>
        <v>0</v>
      </c>
      <c r="CI132" s="1587">
        <f t="shared" ca="1" si="131"/>
        <v>0</v>
      </c>
      <c r="CL132" s="1212">
        <f t="shared" ca="1" si="132"/>
        <v>0</v>
      </c>
      <c r="CM132" s="1213">
        <f t="shared" ca="1" si="133"/>
        <v>0</v>
      </c>
      <c r="CN132" s="1587">
        <f t="shared" ca="1" si="134"/>
        <v>0</v>
      </c>
    </row>
    <row r="133" spans="1:92">
      <c r="A133" s="141" t="str">
        <f>'銀行-TSS'!A133</f>
        <v>US03027XBD12</v>
      </c>
      <c r="B133" s="151" t="str">
        <f ca="1">VLOOKUP(A133,'銀行-TSS'!A:B,2,FALSE)</f>
        <v>XG170</v>
      </c>
      <c r="C133" s="151" t="str">
        <f ca="1">VLOOKUP(B133,bond!B:C,2,FALSE)</f>
        <v>美國電塔公司美元配息債券 3.1% 2050/6/15</v>
      </c>
      <c r="D133" s="95" t="str">
        <f>VLOOKUP(A133,'銀行-TSS'!A:C,3,FALSE)</f>
        <v>USD</v>
      </c>
      <c r="E133" s="90">
        <f ca="1">VLOOKUP(A133,'銀行-TSS'!A:G,7,FALSE)</f>
        <v>25.95</v>
      </c>
      <c r="F133" s="202">
        <f ca="1">VLOOKUP(A133,'銀行-TSS'!A:H,8,FALSE)</f>
        <v>3.1E-2</v>
      </c>
      <c r="G133" s="96">
        <f ca="1">VLOOKUP(A133,'銀行-TSS'!A:K,11,FALSE)</f>
        <v>69.03</v>
      </c>
      <c r="H133" s="1209">
        <f ca="1">VLOOKUP(A133,'銀行-TSS'!A:M,13,FALSE)</f>
        <v>5.33E-2</v>
      </c>
      <c r="I133" s="1213">
        <f ca="1">VLOOKUP(A133,'銀行-TSS'!A:N,14,FALSE)</f>
        <v>10000</v>
      </c>
      <c r="J133" s="1213">
        <f ca="1">VLOOKUP(A133,'銀行-TSS'!A:O,15,FALSE)</f>
        <v>1000</v>
      </c>
      <c r="K133" s="136" t="str">
        <f ca="1">VLOOKUP(A133,'銀行-TSS'!A:V,22,FALSE)</f>
        <v>(PI)專投</v>
      </c>
      <c r="L133" s="136" t="str">
        <f ca="1">VLOOKUP(A133,'銀行-TSS'!A:AK,37,FALSE)</f>
        <v>有</v>
      </c>
      <c r="M133" s="136" t="str">
        <f ca="1">VLOOKUP(A133,'銀行-TSS'!A:AN,40,FALSE)</f>
        <v/>
      </c>
      <c r="N133" s="136">
        <f t="shared" ca="1" si="90"/>
        <v>690.3</v>
      </c>
      <c r="O133" s="1213">
        <f t="shared" ca="1" si="91"/>
        <v>6903</v>
      </c>
      <c r="P133" s="1213">
        <f ca="1">IF(AND($O$1&gt;=O133,換券單檔!$D$13=D133),I133+INT(($O$1-O133)/N133)*J133,0)</f>
        <v>140000</v>
      </c>
      <c r="Q133" s="1213">
        <f t="shared" ca="1" si="92"/>
        <v>4340</v>
      </c>
      <c r="R133" s="1213">
        <f t="shared" ca="1" si="93"/>
        <v>140000</v>
      </c>
      <c r="S133" s="1213">
        <f t="shared" ca="1" si="94"/>
        <v>4340</v>
      </c>
      <c r="T133" s="136">
        <f ca="1">IF(OR(R133=0,A133=0),0,IF(AND(V133=TRUE,換券單檔!$D$13=D133),E133,0))</f>
        <v>25.95</v>
      </c>
      <c r="U133" s="861">
        <f ca="1">IF(OR(R133=0,A133=0),0,IF(AND(V133=TRUE,換券單檔!$D$13=D133),H133,0))</f>
        <v>5.33E-2</v>
      </c>
      <c r="V133" s="136" t="b">
        <f ca="1">IF(OR(B133=換券單檔!$D$3,L133="無",M133&lt;&gt;"",K133="高資產",IFERROR(MATCH(B133,換券單檔!K:K,0),"N")&lt;&gt;"N"),FALSE,IF($V$1="All",TRUE,IF(K133=$V$1,TRUE,FALSE)))</f>
        <v>1</v>
      </c>
      <c r="W133" s="136">
        <f ca="1">VLOOKUP(A133,'銀行-TSS'!A:AO,41,FALSE)</f>
        <v>65.38000000000001</v>
      </c>
      <c r="X133" s="136">
        <f ca="1">VLOOKUP(A133,'銀行-TSS'!A:AP,42,FALSE)</f>
        <v>15.494</v>
      </c>
      <c r="Y133" s="1220">
        <f t="shared" ca="1" si="95"/>
        <v>14181.968080000001</v>
      </c>
      <c r="Z133" s="1220">
        <f t="shared" ca="1" si="96"/>
        <v>0</v>
      </c>
      <c r="AA133" s="136">
        <f ca="1">IF(Z133&lt;=0,0,RANK(Z133,Z:Z)+COUNTIF($Z$3:$Z133,Z133)-1)</f>
        <v>0</v>
      </c>
      <c r="AB133" s="1211">
        <f t="shared" ca="1" si="97"/>
        <v>-714.17191999999886</v>
      </c>
      <c r="AC133" s="136">
        <f ca="1">IF(AB133&lt;=0,0,RANK(AB133,AB:AB)+COUNTIF($AB$3:$AB133,AB133)-1)</f>
        <v>0</v>
      </c>
      <c r="AD133" s="1123">
        <f t="shared" ca="1" si="98"/>
        <v>99999</v>
      </c>
      <c r="AE133" s="1123">
        <f ca="1">IF(AD133=99999,0,RANK(AD133,AD:AD,1)+COUNTIF($AD$3:$AD133,AD133)-1)</f>
        <v>0</v>
      </c>
      <c r="AF133" s="86" t="b">
        <f ca="1">IF(OR(M133&lt;&gt;"",L133="無",K133="高資產",IFERROR(MATCH(B133,換券單檔!K:K,0),"N")&lt;&gt;"N"),FALSE,TRUE)</f>
        <v>1</v>
      </c>
      <c r="AI133" s="1212">
        <f t="shared" ca="1" si="99"/>
        <v>140000</v>
      </c>
      <c r="AJ133" s="1213">
        <f t="shared" ca="1" si="100"/>
        <v>4340</v>
      </c>
      <c r="AK133" s="1587">
        <f t="shared" ca="1" si="101"/>
        <v>0</v>
      </c>
      <c r="AN133" s="1212">
        <f t="shared" ca="1" si="102"/>
        <v>80000</v>
      </c>
      <c r="AO133" s="1213">
        <f t="shared" ca="1" si="103"/>
        <v>2480</v>
      </c>
      <c r="AP133" s="1587">
        <f t="shared" ca="1" si="104"/>
        <v>-39323.294797687864</v>
      </c>
      <c r="AS133" s="1212">
        <f t="shared" ca="1" si="105"/>
        <v>136000</v>
      </c>
      <c r="AT133" s="1213">
        <f t="shared" ca="1" si="106"/>
        <v>4216</v>
      </c>
      <c r="AU133" s="1587">
        <f t="shared" ca="1" si="107"/>
        <v>0</v>
      </c>
      <c r="AX133" s="1212">
        <f t="shared" ca="1" si="108"/>
        <v>125000</v>
      </c>
      <c r="AY133" s="1213">
        <f t="shared" ca="1" si="109"/>
        <v>3875</v>
      </c>
      <c r="AZ133" s="1587">
        <f t="shared" ca="1" si="110"/>
        <v>0</v>
      </c>
      <c r="BC133" s="1212">
        <f t="shared" ca="1" si="111"/>
        <v>0</v>
      </c>
      <c r="BD133" s="1213">
        <f t="shared" ca="1" si="112"/>
        <v>0</v>
      </c>
      <c r="BE133" s="1587">
        <f t="shared" ca="1" si="113"/>
        <v>0</v>
      </c>
      <c r="BH133" s="1212">
        <f t="shared" ca="1" si="114"/>
        <v>0</v>
      </c>
      <c r="BI133" s="1213">
        <f t="shared" ca="1" si="115"/>
        <v>0</v>
      </c>
      <c r="BJ133" s="1587">
        <f t="shared" ca="1" si="116"/>
        <v>0</v>
      </c>
      <c r="BM133" s="1212">
        <f t="shared" ca="1" si="117"/>
        <v>0</v>
      </c>
      <c r="BN133" s="1213">
        <f t="shared" ca="1" si="118"/>
        <v>0</v>
      </c>
      <c r="BO133" s="1587">
        <f t="shared" ca="1" si="119"/>
        <v>0</v>
      </c>
      <c r="BR133" s="1212">
        <f t="shared" ca="1" si="120"/>
        <v>0</v>
      </c>
      <c r="BS133" s="1213">
        <f t="shared" ca="1" si="121"/>
        <v>0</v>
      </c>
      <c r="BT133" s="1587">
        <f t="shared" ca="1" si="122"/>
        <v>0</v>
      </c>
      <c r="BW133" s="1212">
        <f t="shared" ca="1" si="123"/>
        <v>0</v>
      </c>
      <c r="BX133" s="1213">
        <f t="shared" ca="1" si="124"/>
        <v>0</v>
      </c>
      <c r="BY133" s="1587">
        <f t="shared" ca="1" si="125"/>
        <v>0</v>
      </c>
      <c r="CB133" s="1212">
        <f t="shared" ca="1" si="126"/>
        <v>0</v>
      </c>
      <c r="CC133" s="1213">
        <f t="shared" ca="1" si="127"/>
        <v>0</v>
      </c>
      <c r="CD133" s="1587">
        <f t="shared" ca="1" si="128"/>
        <v>0</v>
      </c>
      <c r="CG133" s="1212">
        <f t="shared" ca="1" si="129"/>
        <v>0</v>
      </c>
      <c r="CH133" s="1213">
        <f t="shared" ca="1" si="130"/>
        <v>0</v>
      </c>
      <c r="CI133" s="1587">
        <f t="shared" ca="1" si="131"/>
        <v>0</v>
      </c>
      <c r="CL133" s="1212">
        <f t="shared" ca="1" si="132"/>
        <v>0</v>
      </c>
      <c r="CM133" s="1213">
        <f t="shared" ca="1" si="133"/>
        <v>0</v>
      </c>
      <c r="CN133" s="1587">
        <f t="shared" ca="1" si="134"/>
        <v>0</v>
      </c>
    </row>
    <row r="134" spans="1:92">
      <c r="A134" s="141" t="str">
        <f>'銀行-TSS'!A134</f>
        <v>XS2236363227</v>
      </c>
      <c r="B134" s="151" t="str">
        <f ca="1">VLOOKUP(A134,'銀行-TSS'!A:B,2,FALSE)</f>
        <v>XG180</v>
      </c>
      <c r="C134" s="151" t="str">
        <f ca="1">VLOOKUP(B134,bond!B:C,2,FALSE)</f>
        <v>富士康遠東有限公司美元配息債券 2.5% 2030/10/28</v>
      </c>
      <c r="D134" s="95" t="str">
        <f>VLOOKUP(A134,'銀行-TSS'!A:C,3,FALSE)</f>
        <v>USD</v>
      </c>
      <c r="E134" s="90">
        <f ca="1">VLOOKUP(A134,'銀行-TSS'!A:G,7,FALSE)</f>
        <v>6.32</v>
      </c>
      <c r="F134" s="202">
        <f ca="1">VLOOKUP(A134,'銀行-TSS'!A:H,8,FALSE)</f>
        <v>2.5000000000000001E-2</v>
      </c>
      <c r="G134" s="96">
        <f ca="1">VLOOKUP(A134,'銀行-TSS'!A:K,11,FALSE)</f>
        <v>88.23</v>
      </c>
      <c r="H134" s="1209">
        <f ca="1">VLOOKUP(A134,'銀行-TSS'!A:M,13,FALSE)</f>
        <v>4.7600000000000003E-2</v>
      </c>
      <c r="I134" s="1213">
        <f ca="1">VLOOKUP(A134,'銀行-TSS'!A:N,14,FALSE)</f>
        <v>200000</v>
      </c>
      <c r="J134" s="1213">
        <f ca="1">VLOOKUP(A134,'銀行-TSS'!A:O,15,FALSE)</f>
        <v>1000</v>
      </c>
      <c r="K134" s="136" t="str">
        <f ca="1">VLOOKUP(A134,'銀行-TSS'!A:V,22,FALSE)</f>
        <v>(NPI)非專投</v>
      </c>
      <c r="L134" s="136" t="str">
        <f ca="1">VLOOKUP(A134,'銀行-TSS'!A:AK,37,FALSE)</f>
        <v>有</v>
      </c>
      <c r="M134" s="136" t="str">
        <f ca="1">VLOOKUP(A134,'銀行-TSS'!A:AN,40,FALSE)</f>
        <v/>
      </c>
      <c r="N134" s="136">
        <f t="shared" ca="1" si="90"/>
        <v>882.3</v>
      </c>
      <c r="O134" s="1213">
        <f t="shared" ca="1" si="91"/>
        <v>176460</v>
      </c>
      <c r="P134" s="1213">
        <f ca="1">IF(AND($O$1&gt;=O134,換券單檔!$D$13=D134),I134+INT(($O$1-O134)/N134)*J134,0)</f>
        <v>0</v>
      </c>
      <c r="Q134" s="1213">
        <f t="shared" ca="1" si="92"/>
        <v>0</v>
      </c>
      <c r="R134" s="1213">
        <f t="shared" ca="1" si="93"/>
        <v>0</v>
      </c>
      <c r="S134" s="1213">
        <f t="shared" ca="1" si="94"/>
        <v>0</v>
      </c>
      <c r="T134" s="136">
        <f ca="1">IF(OR(R134=0,A134=0),0,IF(AND(V134=TRUE,換券單檔!$D$13=D134),E134,0))</f>
        <v>0</v>
      </c>
      <c r="U134" s="861">
        <f ca="1">IF(OR(R134=0,A134=0),0,IF(AND(V134=TRUE,換券單檔!$D$13=D134),H134,0))</f>
        <v>0</v>
      </c>
      <c r="V134" s="136" t="b">
        <f ca="1">IF(OR(B134=換券單檔!$D$3,L134="無",M134&lt;&gt;"",K134="高資產",IFERROR(MATCH(B134,換券單檔!K:K,0),"N")&lt;&gt;"N"),FALSE,IF($V$1="All",TRUE,IF(K134=$V$1,TRUE,FALSE)))</f>
        <v>1</v>
      </c>
      <c r="W134" s="136">
        <f ca="1">VLOOKUP(A134,'銀行-TSS'!A:AO,41,FALSE)</f>
        <v>86.28</v>
      </c>
      <c r="X134" s="136">
        <f ca="1">VLOOKUP(A134,'銀行-TSS'!A:AP,42,FALSE)</f>
        <v>5.6727999999999996</v>
      </c>
      <c r="Y134" s="1220">
        <f t="shared" ca="1" si="95"/>
        <v>0</v>
      </c>
      <c r="Z134" s="1220">
        <f t="shared" ca="1" si="96"/>
        <v>0</v>
      </c>
      <c r="AA134" s="136">
        <f ca="1">IF(Z134&lt;=0,0,RANK(Z134,Z:Z)+COUNTIF($Z$3:$Z134,Z134)-1)</f>
        <v>0</v>
      </c>
      <c r="AB134" s="1211">
        <f t="shared" ca="1" si="97"/>
        <v>-114896.14</v>
      </c>
      <c r="AC134" s="136">
        <f ca="1">IF(AB134&lt;=0,0,RANK(AB134,AB:AB)+COUNTIF($AB$3:$AB134,AB134)-1)</f>
        <v>0</v>
      </c>
      <c r="AD134" s="1123">
        <f t="shared" ca="1" si="98"/>
        <v>99999</v>
      </c>
      <c r="AE134" s="1123">
        <f ca="1">IF(AD134=99999,0,RANK(AD134,AD:AD,1)+COUNTIF($AD$3:$AD134,AD134)-1)</f>
        <v>0</v>
      </c>
      <c r="AF134" s="86" t="b">
        <f ca="1">IF(OR(M134&lt;&gt;"",L134="無",K134="高資產",IFERROR(MATCH(B134,換券單檔!K:K,0),"N")&lt;&gt;"N"),FALSE,TRUE)</f>
        <v>1</v>
      </c>
      <c r="AI134" s="1212">
        <f t="shared" ca="1" si="99"/>
        <v>0</v>
      </c>
      <c r="AJ134" s="1213">
        <f t="shared" ca="1" si="100"/>
        <v>0</v>
      </c>
      <c r="AK134" s="1587">
        <f t="shared" ca="1" si="101"/>
        <v>0</v>
      </c>
      <c r="AN134" s="1212">
        <f t="shared" ca="1" si="102"/>
        <v>0</v>
      </c>
      <c r="AO134" s="1213">
        <f t="shared" ca="1" si="103"/>
        <v>0</v>
      </c>
      <c r="AP134" s="1587">
        <f t="shared" ca="1" si="104"/>
        <v>0</v>
      </c>
      <c r="AS134" s="1212">
        <f t="shared" ca="1" si="105"/>
        <v>0</v>
      </c>
      <c r="AT134" s="1213">
        <f t="shared" ca="1" si="106"/>
        <v>0</v>
      </c>
      <c r="AU134" s="1587">
        <f t="shared" ca="1" si="107"/>
        <v>0</v>
      </c>
      <c r="AX134" s="1212">
        <f t="shared" ca="1" si="108"/>
        <v>0</v>
      </c>
      <c r="AY134" s="1213">
        <f t="shared" ca="1" si="109"/>
        <v>0</v>
      </c>
      <c r="AZ134" s="1587">
        <f t="shared" ca="1" si="110"/>
        <v>0</v>
      </c>
      <c r="BC134" s="1212">
        <f t="shared" ca="1" si="111"/>
        <v>0</v>
      </c>
      <c r="BD134" s="1213">
        <f t="shared" ca="1" si="112"/>
        <v>0</v>
      </c>
      <c r="BE134" s="1587">
        <f t="shared" ca="1" si="113"/>
        <v>0</v>
      </c>
      <c r="BH134" s="1212">
        <f t="shared" ca="1" si="114"/>
        <v>0</v>
      </c>
      <c r="BI134" s="1213">
        <f t="shared" ca="1" si="115"/>
        <v>0</v>
      </c>
      <c r="BJ134" s="1587">
        <f t="shared" ca="1" si="116"/>
        <v>0</v>
      </c>
      <c r="BM134" s="1212">
        <f t="shared" ca="1" si="117"/>
        <v>0</v>
      </c>
      <c r="BN134" s="1213">
        <f t="shared" ca="1" si="118"/>
        <v>0</v>
      </c>
      <c r="BO134" s="1587">
        <f t="shared" ca="1" si="119"/>
        <v>0</v>
      </c>
      <c r="BR134" s="1212">
        <f t="shared" ca="1" si="120"/>
        <v>0</v>
      </c>
      <c r="BS134" s="1213">
        <f t="shared" ca="1" si="121"/>
        <v>0</v>
      </c>
      <c r="BT134" s="1587">
        <f t="shared" ca="1" si="122"/>
        <v>0</v>
      </c>
      <c r="BW134" s="1212">
        <f t="shared" ca="1" si="123"/>
        <v>0</v>
      </c>
      <c r="BX134" s="1213">
        <f t="shared" ca="1" si="124"/>
        <v>0</v>
      </c>
      <c r="BY134" s="1587">
        <f t="shared" ca="1" si="125"/>
        <v>0</v>
      </c>
      <c r="CB134" s="1212">
        <f t="shared" ca="1" si="126"/>
        <v>0</v>
      </c>
      <c r="CC134" s="1213">
        <f t="shared" ca="1" si="127"/>
        <v>0</v>
      </c>
      <c r="CD134" s="1587">
        <f t="shared" ca="1" si="128"/>
        <v>0</v>
      </c>
      <c r="CG134" s="1212">
        <f t="shared" ca="1" si="129"/>
        <v>0</v>
      </c>
      <c r="CH134" s="1213">
        <f t="shared" ca="1" si="130"/>
        <v>0</v>
      </c>
      <c r="CI134" s="1587">
        <f t="shared" ca="1" si="131"/>
        <v>0</v>
      </c>
      <c r="CL134" s="1212">
        <f t="shared" ca="1" si="132"/>
        <v>0</v>
      </c>
      <c r="CM134" s="1213">
        <f t="shared" ca="1" si="133"/>
        <v>0</v>
      </c>
      <c r="CN134" s="1587">
        <f t="shared" ca="1" si="134"/>
        <v>0</v>
      </c>
    </row>
    <row r="135" spans="1:92">
      <c r="A135" s="141" t="str">
        <f>'銀行-TSS'!A135</f>
        <v>US478160BV55</v>
      </c>
      <c r="B135" s="151" t="str">
        <f ca="1">VLOOKUP(A135,'銀行-TSS'!A:B,2,FALSE)</f>
        <v>XG190</v>
      </c>
      <c r="C135" s="151" t="str">
        <f ca="1">VLOOKUP(B135,bond!B:C,2,FALSE)</f>
        <v>嬌生公司美元配息債券 3.7% 2046/3/1</v>
      </c>
      <c r="D135" s="95" t="str">
        <f>VLOOKUP(A135,'銀行-TSS'!A:C,3,FALSE)</f>
        <v>USD</v>
      </c>
      <c r="E135" s="90">
        <f ca="1">VLOOKUP(A135,'銀行-TSS'!A:G,7,FALSE)</f>
        <v>21.66</v>
      </c>
      <c r="F135" s="202">
        <f ca="1">VLOOKUP(A135,'銀行-TSS'!A:H,8,FALSE)</f>
        <v>3.7000000000000005E-2</v>
      </c>
      <c r="G135" s="96">
        <f ca="1">VLOOKUP(A135,'銀行-TSS'!A:K,11,FALSE)</f>
        <v>85.29</v>
      </c>
      <c r="H135" s="1209">
        <f ca="1">VLOOKUP(A135,'銀行-TSS'!A:M,13,FALSE)</f>
        <v>4.9000000000000002E-2</v>
      </c>
      <c r="I135" s="1213">
        <f ca="1">VLOOKUP(A135,'銀行-TSS'!A:N,14,FALSE)</f>
        <v>10000</v>
      </c>
      <c r="J135" s="1213">
        <f ca="1">VLOOKUP(A135,'銀行-TSS'!A:O,15,FALSE)</f>
        <v>1000</v>
      </c>
      <c r="K135" s="136" t="str">
        <f ca="1">VLOOKUP(A135,'銀行-TSS'!A:V,22,FALSE)</f>
        <v>(NPI)非專投</v>
      </c>
      <c r="L135" s="136" t="str">
        <f ca="1">VLOOKUP(A135,'銀行-TSS'!A:AK,37,FALSE)</f>
        <v>有</v>
      </c>
      <c r="M135" s="136" t="str">
        <f ca="1">VLOOKUP(A135,'銀行-TSS'!A:AN,40,FALSE)</f>
        <v/>
      </c>
      <c r="N135" s="136">
        <f t="shared" ca="1" si="90"/>
        <v>852.9</v>
      </c>
      <c r="O135" s="1213">
        <f t="shared" ca="1" si="91"/>
        <v>8529.0000000000018</v>
      </c>
      <c r="P135" s="1213">
        <f ca="1">IF(AND($O$1&gt;=O135,換券單檔!$D$13=D135),I135+INT(($O$1-O135)/N135)*J135,0)</f>
        <v>113000</v>
      </c>
      <c r="Q135" s="1213">
        <f t="shared" ca="1" si="92"/>
        <v>4181.0000000000009</v>
      </c>
      <c r="R135" s="1213">
        <f t="shared" ca="1" si="93"/>
        <v>113000</v>
      </c>
      <c r="S135" s="1213">
        <f t="shared" ca="1" si="94"/>
        <v>4181.0000000000009</v>
      </c>
      <c r="T135" s="136">
        <f ca="1">IF(OR(R135=0,A135=0),0,IF(AND(V135=TRUE,換券單檔!$D$13=D135),E135,0))</f>
        <v>21.66</v>
      </c>
      <c r="U135" s="861">
        <f ca="1">IF(OR(R135=0,A135=0),0,IF(AND(V135=TRUE,換券單檔!$D$13=D135),H135,0))</f>
        <v>4.9000000000000002E-2</v>
      </c>
      <c r="V135" s="136" t="b">
        <f ca="1">IF(OR(B135=換券單檔!$D$3,L135="無",M135&lt;&gt;"",K135="高資產",IFERROR(MATCH(B135,換券單檔!K:K,0),"N")&lt;&gt;"N"),FALSE,IF($V$1="All",TRUE,IF(K135=$V$1,TRUE,FALSE)))</f>
        <v>1</v>
      </c>
      <c r="W135" s="136">
        <f ca="1">VLOOKUP(A135,'銀行-TSS'!A:AO,41,FALSE)</f>
        <v>81.05</v>
      </c>
      <c r="X135" s="136">
        <f ca="1">VLOOKUP(A135,'銀行-TSS'!A:AP,42,FALSE)</f>
        <v>13.7463</v>
      </c>
      <c r="Y135" s="1220">
        <f t="shared" ca="1" si="95"/>
        <v>12589.7550495</v>
      </c>
      <c r="Z135" s="1220">
        <f t="shared" ca="1" si="96"/>
        <v>0</v>
      </c>
      <c r="AA135" s="136">
        <f ca="1">IF(Z135&lt;=0,0,RANK(Z135,Z:Z)+COUNTIF($Z$3:$Z135,Z135)-1)</f>
        <v>0</v>
      </c>
      <c r="AB135" s="1211">
        <f t="shared" ca="1" si="97"/>
        <v>-2306.3849504999998</v>
      </c>
      <c r="AC135" s="136">
        <f ca="1">IF(AB135&lt;=0,0,RANK(AB135,AB:AB)+COUNTIF($AB$3:$AB135,AB135)-1)</f>
        <v>0</v>
      </c>
      <c r="AD135" s="1123">
        <f t="shared" ca="1" si="98"/>
        <v>99999</v>
      </c>
      <c r="AE135" s="1123">
        <f ca="1">IF(AD135=99999,0,RANK(AD135,AD:AD,1)+COUNTIF($AD$3:$AD135,AD135)-1)</f>
        <v>0</v>
      </c>
      <c r="AF135" s="86" t="b">
        <f ca="1">IF(OR(M135&lt;&gt;"",L135="無",K135="高資產",IFERROR(MATCH(B135,換券單檔!K:K,0),"N")&lt;&gt;"N"),FALSE,TRUE)</f>
        <v>1</v>
      </c>
      <c r="AI135" s="1212">
        <f t="shared" ca="1" si="99"/>
        <v>113000</v>
      </c>
      <c r="AJ135" s="1213">
        <f t="shared" ca="1" si="100"/>
        <v>4181.0000000000009</v>
      </c>
      <c r="AK135" s="1587">
        <f t="shared" ca="1" si="101"/>
        <v>0</v>
      </c>
      <c r="AN135" s="1212">
        <f t="shared" ca="1" si="102"/>
        <v>64000</v>
      </c>
      <c r="AO135" s="1213">
        <f t="shared" ca="1" si="103"/>
        <v>2368.0000000000005</v>
      </c>
      <c r="AP135" s="1587">
        <f t="shared" ca="1" si="104"/>
        <v>-71654.171745152358</v>
      </c>
      <c r="AS135" s="1212">
        <f t="shared" ca="1" si="105"/>
        <v>110000</v>
      </c>
      <c r="AT135" s="1213">
        <f t="shared" ca="1" si="106"/>
        <v>4070.0000000000005</v>
      </c>
      <c r="AU135" s="1587">
        <f t="shared" ca="1" si="107"/>
        <v>0</v>
      </c>
      <c r="AX135" s="1212">
        <f t="shared" ca="1" si="108"/>
        <v>101000</v>
      </c>
      <c r="AY135" s="1213">
        <f t="shared" ca="1" si="109"/>
        <v>3737.0000000000005</v>
      </c>
      <c r="AZ135" s="1587">
        <f t="shared" ca="1" si="110"/>
        <v>0</v>
      </c>
      <c r="BC135" s="1212">
        <f t="shared" ca="1" si="111"/>
        <v>0</v>
      </c>
      <c r="BD135" s="1213">
        <f t="shared" ca="1" si="112"/>
        <v>0</v>
      </c>
      <c r="BE135" s="1587">
        <f t="shared" ca="1" si="113"/>
        <v>0</v>
      </c>
      <c r="BH135" s="1212">
        <f t="shared" ca="1" si="114"/>
        <v>0</v>
      </c>
      <c r="BI135" s="1213">
        <f t="shared" ca="1" si="115"/>
        <v>0</v>
      </c>
      <c r="BJ135" s="1587">
        <f t="shared" ca="1" si="116"/>
        <v>0</v>
      </c>
      <c r="BM135" s="1212">
        <f t="shared" ca="1" si="117"/>
        <v>0</v>
      </c>
      <c r="BN135" s="1213">
        <f t="shared" ca="1" si="118"/>
        <v>0</v>
      </c>
      <c r="BO135" s="1587">
        <f t="shared" ca="1" si="119"/>
        <v>0</v>
      </c>
      <c r="BR135" s="1212">
        <f t="shared" ca="1" si="120"/>
        <v>0</v>
      </c>
      <c r="BS135" s="1213">
        <f t="shared" ca="1" si="121"/>
        <v>0</v>
      </c>
      <c r="BT135" s="1587">
        <f t="shared" ca="1" si="122"/>
        <v>0</v>
      </c>
      <c r="BW135" s="1212">
        <f t="shared" ca="1" si="123"/>
        <v>0</v>
      </c>
      <c r="BX135" s="1213">
        <f t="shared" ca="1" si="124"/>
        <v>0</v>
      </c>
      <c r="BY135" s="1587">
        <f t="shared" ca="1" si="125"/>
        <v>0</v>
      </c>
      <c r="CB135" s="1212">
        <f t="shared" ca="1" si="126"/>
        <v>0</v>
      </c>
      <c r="CC135" s="1213">
        <f t="shared" ca="1" si="127"/>
        <v>0</v>
      </c>
      <c r="CD135" s="1587">
        <f t="shared" ca="1" si="128"/>
        <v>0</v>
      </c>
      <c r="CG135" s="1212">
        <f t="shared" ca="1" si="129"/>
        <v>0</v>
      </c>
      <c r="CH135" s="1213">
        <f t="shared" ca="1" si="130"/>
        <v>0</v>
      </c>
      <c r="CI135" s="1587">
        <f t="shared" ca="1" si="131"/>
        <v>0</v>
      </c>
      <c r="CL135" s="1212">
        <f t="shared" ca="1" si="132"/>
        <v>0</v>
      </c>
      <c r="CM135" s="1213">
        <f t="shared" ca="1" si="133"/>
        <v>0</v>
      </c>
      <c r="CN135" s="1587">
        <f t="shared" ca="1" si="134"/>
        <v>0</v>
      </c>
    </row>
    <row r="136" spans="1:92">
      <c r="A136" s="141" t="str">
        <f>'銀行-TSS'!A136</f>
        <v>US437076CD22</v>
      </c>
      <c r="B136" s="151" t="str">
        <f ca="1">VLOOKUP(A136,'銀行-TSS'!A:B,2,FALSE)</f>
        <v>XG200</v>
      </c>
      <c r="C136" s="151" t="str">
        <f ca="1">VLOOKUP(B136,bond!B:C,2,FALSE)</f>
        <v>家得寶公司美元配息債券  3.35% 2050/4/15</v>
      </c>
      <c r="D136" s="95" t="str">
        <f>VLOOKUP(A136,'銀行-TSS'!A:C,3,FALSE)</f>
        <v>USD</v>
      </c>
      <c r="E136" s="90">
        <f ca="1">VLOOKUP(A136,'銀行-TSS'!A:G,7,FALSE)</f>
        <v>25.79</v>
      </c>
      <c r="F136" s="202">
        <f ca="1">VLOOKUP(A136,'銀行-TSS'!A:H,8,FALSE)</f>
        <v>3.3500000000000002E-2</v>
      </c>
      <c r="G136" s="96">
        <f ca="1">VLOOKUP(A136,'銀行-TSS'!A:K,11,FALSE)</f>
        <v>75.959999999999994</v>
      </c>
      <c r="H136" s="1209">
        <f ca="1">VLOOKUP(A136,'銀行-TSS'!A:M,13,FALSE)</f>
        <v>5.0799999999999998E-2</v>
      </c>
      <c r="I136" s="1213">
        <f ca="1">VLOOKUP(A136,'銀行-TSS'!A:N,14,FALSE)</f>
        <v>2000</v>
      </c>
      <c r="J136" s="1213">
        <f ca="1">VLOOKUP(A136,'銀行-TSS'!A:O,15,FALSE)</f>
        <v>1000</v>
      </c>
      <c r="K136" s="136" t="str">
        <f ca="1">VLOOKUP(A136,'銀行-TSS'!A:V,22,FALSE)</f>
        <v>(NPI)非專投</v>
      </c>
      <c r="L136" s="136" t="str">
        <f ca="1">VLOOKUP(A136,'銀行-TSS'!A:AK,37,FALSE)</f>
        <v>有</v>
      </c>
      <c r="M136" s="136" t="str">
        <f ca="1">VLOOKUP(A136,'銀行-TSS'!A:AN,40,FALSE)</f>
        <v/>
      </c>
      <c r="N136" s="136">
        <f t="shared" ca="1" si="90"/>
        <v>759.6</v>
      </c>
      <c r="O136" s="1213">
        <f t="shared" ca="1" si="91"/>
        <v>1519.2</v>
      </c>
      <c r="P136" s="1213">
        <f ca="1">IF(AND($O$1&gt;=O136,換券單檔!$D$13=D136),I136+INT(($O$1-O136)/N136)*J136,0)</f>
        <v>127000</v>
      </c>
      <c r="Q136" s="1213">
        <f t="shared" ca="1" si="92"/>
        <v>4254.5</v>
      </c>
      <c r="R136" s="1213">
        <f t="shared" ca="1" si="93"/>
        <v>127000</v>
      </c>
      <c r="S136" s="1213">
        <f t="shared" ca="1" si="94"/>
        <v>4254.5</v>
      </c>
      <c r="T136" s="136">
        <f ca="1">IF(OR(R136=0,A136=0),0,IF(AND(V136=TRUE,換券單檔!$D$13=D136),E136,0))</f>
        <v>25.79</v>
      </c>
      <c r="U136" s="861">
        <f ca="1">IF(OR(R136=0,A136=0),0,IF(AND(V136=TRUE,換券單檔!$D$13=D136),H136,0))</f>
        <v>5.0799999999999998E-2</v>
      </c>
      <c r="V136" s="136" t="b">
        <f ca="1">IF(OR(B136=換券單檔!$D$3,L136="無",M136&lt;&gt;"",K136="高資產",IFERROR(MATCH(B136,換券單檔!K:K,0),"N")&lt;&gt;"N"),FALSE,IF($V$1="All",TRUE,IF(K136=$V$1,TRUE,FALSE)))</f>
        <v>1</v>
      </c>
      <c r="W136" s="136">
        <f ca="1">VLOOKUP(A136,'銀行-TSS'!A:AO,41,FALSE)</f>
        <v>71.740000000000009</v>
      </c>
      <c r="X136" s="136">
        <f ca="1">VLOOKUP(A136,'銀行-TSS'!A:AP,42,FALSE)</f>
        <v>15.3073</v>
      </c>
      <c r="Y136" s="1220">
        <f t="shared" ca="1" si="95"/>
        <v>13946.450415400002</v>
      </c>
      <c r="Z136" s="1220">
        <f t="shared" ca="1" si="96"/>
        <v>0</v>
      </c>
      <c r="AA136" s="136">
        <f ca="1">IF(Z136&lt;=0,0,RANK(Z136,Z:Z)+COUNTIF($Z$3:$Z136,Z136)-1)</f>
        <v>0</v>
      </c>
      <c r="AB136" s="1211">
        <f t="shared" ca="1" si="97"/>
        <v>-949.68958459999703</v>
      </c>
      <c r="AC136" s="136">
        <f ca="1">IF(AB136&lt;=0,0,RANK(AB136,AB:AB)+COUNTIF($AB$3:$AB136,AB136)-1)</f>
        <v>0</v>
      </c>
      <c r="AD136" s="1123">
        <f t="shared" ca="1" si="98"/>
        <v>99999</v>
      </c>
      <c r="AE136" s="1123">
        <f ca="1">IF(AD136=99999,0,RANK(AD136,AD:AD,1)+COUNTIF($AD$3:$AD136,AD136)-1)</f>
        <v>0</v>
      </c>
      <c r="AF136" s="86" t="b">
        <f ca="1">IF(OR(M136&lt;&gt;"",L136="無",K136="高資產",IFERROR(MATCH(B136,換券單檔!K:K,0),"N")&lt;&gt;"N"),FALSE,TRUE)</f>
        <v>1</v>
      </c>
      <c r="AI136" s="1212">
        <f t="shared" ca="1" si="99"/>
        <v>127000</v>
      </c>
      <c r="AJ136" s="1213">
        <f t="shared" ca="1" si="100"/>
        <v>4254.5</v>
      </c>
      <c r="AK136" s="1587">
        <f t="shared" ca="1" si="101"/>
        <v>0</v>
      </c>
      <c r="AN136" s="1212">
        <f t="shared" ca="1" si="102"/>
        <v>72000</v>
      </c>
      <c r="AO136" s="1213">
        <f t="shared" ca="1" si="103"/>
        <v>2412</v>
      </c>
      <c r="AP136" s="1587">
        <f t="shared" ca="1" si="104"/>
        <v>-55523.422256688638</v>
      </c>
      <c r="AS136" s="1212">
        <f t="shared" ca="1" si="105"/>
        <v>124000</v>
      </c>
      <c r="AT136" s="1213">
        <f t="shared" ca="1" si="106"/>
        <v>4154</v>
      </c>
      <c r="AU136" s="1587">
        <f t="shared" ca="1" si="107"/>
        <v>0</v>
      </c>
      <c r="AX136" s="1212">
        <f t="shared" ca="1" si="108"/>
        <v>114000</v>
      </c>
      <c r="AY136" s="1213">
        <f t="shared" ca="1" si="109"/>
        <v>3819.0000000000005</v>
      </c>
      <c r="AZ136" s="1587">
        <f t="shared" ca="1" si="110"/>
        <v>0</v>
      </c>
      <c r="BC136" s="1212">
        <f t="shared" ca="1" si="111"/>
        <v>0</v>
      </c>
      <c r="BD136" s="1213">
        <f t="shared" ca="1" si="112"/>
        <v>0</v>
      </c>
      <c r="BE136" s="1587">
        <f t="shared" ca="1" si="113"/>
        <v>0</v>
      </c>
      <c r="BH136" s="1212">
        <f t="shared" ca="1" si="114"/>
        <v>0</v>
      </c>
      <c r="BI136" s="1213">
        <f t="shared" ca="1" si="115"/>
        <v>0</v>
      </c>
      <c r="BJ136" s="1587">
        <f t="shared" ca="1" si="116"/>
        <v>0</v>
      </c>
      <c r="BM136" s="1212">
        <f t="shared" ca="1" si="117"/>
        <v>0</v>
      </c>
      <c r="BN136" s="1213">
        <f t="shared" ca="1" si="118"/>
        <v>0</v>
      </c>
      <c r="BO136" s="1587">
        <f t="shared" ca="1" si="119"/>
        <v>0</v>
      </c>
      <c r="BR136" s="1212">
        <f t="shared" ca="1" si="120"/>
        <v>0</v>
      </c>
      <c r="BS136" s="1213">
        <f t="shared" ca="1" si="121"/>
        <v>0</v>
      </c>
      <c r="BT136" s="1587">
        <f t="shared" ca="1" si="122"/>
        <v>0</v>
      </c>
      <c r="BW136" s="1212">
        <f t="shared" ca="1" si="123"/>
        <v>0</v>
      </c>
      <c r="BX136" s="1213">
        <f t="shared" ca="1" si="124"/>
        <v>0</v>
      </c>
      <c r="BY136" s="1587">
        <f t="shared" ca="1" si="125"/>
        <v>0</v>
      </c>
      <c r="CB136" s="1212">
        <f t="shared" ca="1" si="126"/>
        <v>0</v>
      </c>
      <c r="CC136" s="1213">
        <f t="shared" ca="1" si="127"/>
        <v>0</v>
      </c>
      <c r="CD136" s="1587">
        <f t="shared" ca="1" si="128"/>
        <v>0</v>
      </c>
      <c r="CG136" s="1212">
        <f t="shared" ca="1" si="129"/>
        <v>0</v>
      </c>
      <c r="CH136" s="1213">
        <f t="shared" ca="1" si="130"/>
        <v>0</v>
      </c>
      <c r="CI136" s="1587">
        <f t="shared" ca="1" si="131"/>
        <v>0</v>
      </c>
      <c r="CL136" s="1212">
        <f t="shared" ca="1" si="132"/>
        <v>0</v>
      </c>
      <c r="CM136" s="1213">
        <f t="shared" ca="1" si="133"/>
        <v>0</v>
      </c>
      <c r="CN136" s="1587">
        <f t="shared" ca="1" si="134"/>
        <v>0</v>
      </c>
    </row>
    <row r="137" spans="1:92">
      <c r="A137" s="141" t="str">
        <f>'銀行-TSS'!A137</f>
        <v>US37045VAL45</v>
      </c>
      <c r="B137" s="151" t="str">
        <f ca="1">VLOOKUP(A137,'銀行-TSS'!A:B,2,FALSE)</f>
        <v>XG210</v>
      </c>
      <c r="C137" s="151" t="str">
        <f ca="1">VLOOKUP(B137,bond!B:C,2,FALSE)</f>
        <v>通用汽車公司美元配息債券  6.75% 2046/4/1</v>
      </c>
      <c r="D137" s="95" t="str">
        <f>VLOOKUP(A137,'銀行-TSS'!A:C,3,FALSE)</f>
        <v>USD</v>
      </c>
      <c r="E137" s="90">
        <f ca="1">VLOOKUP(A137,'銀行-TSS'!A:G,7,FALSE)</f>
        <v>21.75</v>
      </c>
      <c r="F137" s="202">
        <f ca="1">VLOOKUP(A137,'銀行-TSS'!A:H,8,FALSE)</f>
        <v>6.7500000000000004E-2</v>
      </c>
      <c r="G137" s="96">
        <f ca="1">VLOOKUP(A137,'銀行-TSS'!A:K,11,FALSE)</f>
        <v>110.26</v>
      </c>
      <c r="H137" s="1209">
        <f ca="1">VLOOKUP(A137,'銀行-TSS'!A:M,13,FALSE)</f>
        <v>6.0400000000000002E-2</v>
      </c>
      <c r="I137" s="1213">
        <f ca="1">VLOOKUP(A137,'銀行-TSS'!A:N,14,FALSE)</f>
        <v>10000</v>
      </c>
      <c r="J137" s="1213">
        <f ca="1">VLOOKUP(A137,'銀行-TSS'!A:O,15,FALSE)</f>
        <v>1000</v>
      </c>
      <c r="K137" s="136" t="str">
        <f ca="1">VLOOKUP(A137,'銀行-TSS'!A:V,22,FALSE)</f>
        <v>(PI)專投</v>
      </c>
      <c r="L137" s="136" t="str">
        <f ca="1">VLOOKUP(A137,'銀行-TSS'!A:AK,37,FALSE)</f>
        <v>有</v>
      </c>
      <c r="M137" s="136" t="str">
        <f ca="1">VLOOKUP(A137,'銀行-TSS'!A:AN,40,FALSE)</f>
        <v/>
      </c>
      <c r="N137" s="136">
        <f t="shared" ca="1" si="90"/>
        <v>1102.5999999999999</v>
      </c>
      <c r="O137" s="1213">
        <f t="shared" ca="1" si="91"/>
        <v>11026</v>
      </c>
      <c r="P137" s="1213">
        <f ca="1">IF(AND($O$1&gt;=O137,換券單檔!$D$13=D137),I137+INT(($O$1-O137)/N137)*J137,0)</f>
        <v>87000</v>
      </c>
      <c r="Q137" s="1213">
        <f t="shared" ca="1" si="92"/>
        <v>5872.5</v>
      </c>
      <c r="R137" s="1213">
        <f t="shared" ca="1" si="93"/>
        <v>87000</v>
      </c>
      <c r="S137" s="1213">
        <f t="shared" ca="1" si="94"/>
        <v>5872.5</v>
      </c>
      <c r="T137" s="136">
        <f ca="1">IF(OR(R137=0,A137=0),0,IF(AND(V137=TRUE,換券單檔!$D$13=D137),E137,0))</f>
        <v>21.75</v>
      </c>
      <c r="U137" s="861">
        <f ca="1">IF(OR(R137=0,A137=0),0,IF(AND(V137=TRUE,換券單檔!$D$13=D137),H137,0))</f>
        <v>6.0400000000000002E-2</v>
      </c>
      <c r="V137" s="136" t="b">
        <f ca="1">IF(OR(B137=換券單檔!$D$3,L137="無",M137&lt;&gt;"",K137="高資產",IFERROR(MATCH(B137,換券單檔!K:K,0),"N")&lt;&gt;"N"),FALSE,IF($V$1="All",TRUE,IF(K137=$V$1,TRUE,FALSE)))</f>
        <v>1</v>
      </c>
      <c r="W137" s="136">
        <f ca="1">VLOOKUP(A137,'銀行-TSS'!A:AO,41,FALSE)</f>
        <v>105.55000000000001</v>
      </c>
      <c r="X137" s="136">
        <f ca="1">VLOOKUP(A137,'銀行-TSS'!A:AP,42,FALSE)</f>
        <v>11.3269</v>
      </c>
      <c r="Y137" s="1220">
        <f t="shared" ca="1" si="95"/>
        <v>10401.322366500002</v>
      </c>
      <c r="Z137" s="1220">
        <f t="shared" ca="1" si="96"/>
        <v>-23003.017241379308</v>
      </c>
      <c r="AA137" s="136">
        <f ca="1">IF(Z137&lt;=0,0,RANK(Z137,Z:Z)+COUNTIF($Z$3:$Z137,Z137)-1)</f>
        <v>0</v>
      </c>
      <c r="AB137" s="1211">
        <f t="shared" ca="1" si="97"/>
        <v>-17494.817633499995</v>
      </c>
      <c r="AC137" s="136">
        <f ca="1">IF(AB137&lt;=0,0,RANK(AB137,AB:AB)+COUNTIF($AB$3:$AB137,AB137)-1)</f>
        <v>0</v>
      </c>
      <c r="AD137" s="1123">
        <f t="shared" ca="1" si="98"/>
        <v>99999</v>
      </c>
      <c r="AE137" s="1123">
        <f ca="1">IF(AD137=99999,0,RANK(AD137,AD:AD,1)+COUNTIF($AD$3:$AD137,AD137)-1)</f>
        <v>0</v>
      </c>
      <c r="AF137" s="86" t="b">
        <f ca="1">IF(OR(M137&lt;&gt;"",L137="無",K137="高資產",IFERROR(MATCH(B137,換券單檔!K:K,0),"N")&lt;&gt;"N"),FALSE,TRUE)</f>
        <v>1</v>
      </c>
      <c r="AI137" s="1212">
        <f t="shared" ca="1" si="99"/>
        <v>87000</v>
      </c>
      <c r="AJ137" s="1213">
        <f t="shared" ca="1" si="100"/>
        <v>5872.5</v>
      </c>
      <c r="AK137" s="1587">
        <f t="shared" ca="1" si="101"/>
        <v>-23003.017241379308</v>
      </c>
      <c r="AN137" s="1212">
        <f t="shared" ca="1" si="102"/>
        <v>50000</v>
      </c>
      <c r="AO137" s="1213">
        <f t="shared" ca="1" si="103"/>
        <v>3375</v>
      </c>
      <c r="AP137" s="1587">
        <f t="shared" ca="1" si="104"/>
        <v>-96702.586206896551</v>
      </c>
      <c r="AS137" s="1212">
        <f t="shared" ca="1" si="105"/>
        <v>85000</v>
      </c>
      <c r="AT137" s="1213">
        <f t="shared" ca="1" si="106"/>
        <v>5737.5</v>
      </c>
      <c r="AU137" s="1587">
        <f t="shared" ca="1" si="107"/>
        <v>-27471.982758620688</v>
      </c>
      <c r="AX137" s="1212">
        <f t="shared" ca="1" si="108"/>
        <v>78000</v>
      </c>
      <c r="AY137" s="1213">
        <f t="shared" ca="1" si="109"/>
        <v>5265</v>
      </c>
      <c r="AZ137" s="1587">
        <f t="shared" ca="1" si="110"/>
        <v>-41611.206896551725</v>
      </c>
      <c r="BC137" s="1212">
        <f t="shared" ca="1" si="111"/>
        <v>0</v>
      </c>
      <c r="BD137" s="1213">
        <f t="shared" ca="1" si="112"/>
        <v>0</v>
      </c>
      <c r="BE137" s="1587">
        <f t="shared" ca="1" si="113"/>
        <v>0</v>
      </c>
      <c r="BH137" s="1212">
        <f t="shared" ca="1" si="114"/>
        <v>0</v>
      </c>
      <c r="BI137" s="1213">
        <f t="shared" ca="1" si="115"/>
        <v>0</v>
      </c>
      <c r="BJ137" s="1587">
        <f t="shared" ca="1" si="116"/>
        <v>0</v>
      </c>
      <c r="BM137" s="1212">
        <f t="shared" ca="1" si="117"/>
        <v>0</v>
      </c>
      <c r="BN137" s="1213">
        <f t="shared" ca="1" si="118"/>
        <v>0</v>
      </c>
      <c r="BO137" s="1587">
        <f t="shared" ca="1" si="119"/>
        <v>0</v>
      </c>
      <c r="BR137" s="1212">
        <f t="shared" ca="1" si="120"/>
        <v>0</v>
      </c>
      <c r="BS137" s="1213">
        <f t="shared" ca="1" si="121"/>
        <v>0</v>
      </c>
      <c r="BT137" s="1587">
        <f t="shared" ca="1" si="122"/>
        <v>0</v>
      </c>
      <c r="BW137" s="1212">
        <f t="shared" ca="1" si="123"/>
        <v>0</v>
      </c>
      <c r="BX137" s="1213">
        <f t="shared" ca="1" si="124"/>
        <v>0</v>
      </c>
      <c r="BY137" s="1587">
        <f t="shared" ca="1" si="125"/>
        <v>0</v>
      </c>
      <c r="CB137" s="1212">
        <f t="shared" ca="1" si="126"/>
        <v>0</v>
      </c>
      <c r="CC137" s="1213">
        <f t="shared" ca="1" si="127"/>
        <v>0</v>
      </c>
      <c r="CD137" s="1587">
        <f t="shared" ca="1" si="128"/>
        <v>0</v>
      </c>
      <c r="CG137" s="1212">
        <f t="shared" ca="1" si="129"/>
        <v>0</v>
      </c>
      <c r="CH137" s="1213">
        <f t="shared" ca="1" si="130"/>
        <v>0</v>
      </c>
      <c r="CI137" s="1587">
        <f t="shared" ca="1" si="131"/>
        <v>0</v>
      </c>
      <c r="CL137" s="1212">
        <f t="shared" ca="1" si="132"/>
        <v>0</v>
      </c>
      <c r="CM137" s="1213">
        <f t="shared" ca="1" si="133"/>
        <v>0</v>
      </c>
      <c r="CN137" s="1587">
        <f t="shared" ca="1" si="134"/>
        <v>0</v>
      </c>
    </row>
    <row r="138" spans="1:92">
      <c r="A138" s="141" t="str">
        <f>'銀行-TSS'!A138</f>
        <v>US501044DN88</v>
      </c>
      <c r="B138" s="151" t="str">
        <f ca="1">VLOOKUP(A138,'銀行-TSS'!A:B,2,FALSE)</f>
        <v>XG220</v>
      </c>
      <c r="C138" s="151" t="str">
        <f ca="1">VLOOKUP(B138,bond!B:C,2,FALSE)</f>
        <v>克羅格公司美元配息債券 3.95% 2050/1/15</v>
      </c>
      <c r="D138" s="95" t="str">
        <f>VLOOKUP(A138,'銀行-TSS'!A:C,3,FALSE)</f>
        <v>USD</v>
      </c>
      <c r="E138" s="90">
        <f ca="1">VLOOKUP(A138,'銀行-TSS'!A:G,7,FALSE)</f>
        <v>25.54</v>
      </c>
      <c r="F138" s="202">
        <f ca="1">VLOOKUP(A138,'銀行-TSS'!A:H,8,FALSE)</f>
        <v>3.95E-2</v>
      </c>
      <c r="G138" s="96">
        <f ca="1">VLOOKUP(A138,'銀行-TSS'!A:K,11,FALSE)</f>
        <v>83.31</v>
      </c>
      <c r="H138" s="1209">
        <f ca="1">VLOOKUP(A138,'銀行-TSS'!A:M,13,FALSE)</f>
        <v>5.28E-2</v>
      </c>
      <c r="I138" s="1213">
        <f ca="1">VLOOKUP(A138,'銀行-TSS'!A:N,14,FALSE)</f>
        <v>10000</v>
      </c>
      <c r="J138" s="1213">
        <f ca="1">VLOOKUP(A138,'銀行-TSS'!A:O,15,FALSE)</f>
        <v>1000</v>
      </c>
      <c r="K138" s="136" t="str">
        <f ca="1">VLOOKUP(A138,'銀行-TSS'!A:V,22,FALSE)</f>
        <v>(PI)專投</v>
      </c>
      <c r="L138" s="136" t="str">
        <f ca="1">VLOOKUP(A138,'銀行-TSS'!A:AK,37,FALSE)</f>
        <v>有</v>
      </c>
      <c r="M138" s="136" t="str">
        <f ca="1">VLOOKUP(A138,'銀行-TSS'!A:AN,40,FALSE)</f>
        <v/>
      </c>
      <c r="N138" s="136">
        <f t="shared" ca="1" si="90"/>
        <v>833.1</v>
      </c>
      <c r="O138" s="1213">
        <f t="shared" ca="1" si="91"/>
        <v>8331</v>
      </c>
      <c r="P138" s="1213">
        <f ca="1">IF(AND($O$1&gt;=O138,換券單檔!$D$13=D138),I138+INT(($O$1-O138)/N138)*J138,0)</f>
        <v>116000</v>
      </c>
      <c r="Q138" s="1213">
        <f t="shared" ca="1" si="92"/>
        <v>4582</v>
      </c>
      <c r="R138" s="1213">
        <f t="shared" ca="1" si="93"/>
        <v>116000</v>
      </c>
      <c r="S138" s="1213">
        <f t="shared" ca="1" si="94"/>
        <v>4582</v>
      </c>
      <c r="T138" s="136">
        <f ca="1">IF(OR(R138=0,A138=0),0,IF(AND(V138=TRUE,換券單檔!$D$13=D138),E138,0))</f>
        <v>25.54</v>
      </c>
      <c r="U138" s="861">
        <f ca="1">IF(OR(R138=0,A138=0),0,IF(AND(V138=TRUE,換券單檔!$D$13=D138),H138,0))</f>
        <v>5.28E-2</v>
      </c>
      <c r="V138" s="136" t="b">
        <f ca="1">IF(OR(B138=換券單檔!$D$3,L138="無",M138&lt;&gt;"",K138="高資產",IFERROR(MATCH(B138,換券單檔!K:K,0),"N")&lt;&gt;"N"),FALSE,IF($V$1="All",TRUE,IF(K138=$V$1,TRUE,FALSE)))</f>
        <v>1</v>
      </c>
      <c r="W138" s="136">
        <f ca="1">VLOOKUP(A138,'銀行-TSS'!A:AO,41,FALSE)</f>
        <v>77.98</v>
      </c>
      <c r="X138" s="136">
        <f ca="1">VLOOKUP(A138,'銀行-TSS'!A:AP,42,FALSE)</f>
        <v>14.325699999999999</v>
      </c>
      <c r="Y138" s="1220">
        <f t="shared" ca="1" si="95"/>
        <v>12958.569797600001</v>
      </c>
      <c r="Z138" s="1220">
        <f t="shared" ca="1" si="96"/>
        <v>-475.02584181675536</v>
      </c>
      <c r="AA138" s="136">
        <f ca="1">IF(Z138&lt;=0,0,RANK(Z138,Z:Z)+COUNTIF($Z$3:$Z138,Z138)-1)</f>
        <v>0</v>
      </c>
      <c r="AB138" s="1211">
        <f t="shared" ca="1" si="97"/>
        <v>-1937.5702023999984</v>
      </c>
      <c r="AC138" s="136">
        <f ca="1">IF(AB138&lt;=0,0,RANK(AB138,AB:AB)+COUNTIF($AB$3:$AB138,AB138)-1)</f>
        <v>0</v>
      </c>
      <c r="AD138" s="1123">
        <f t="shared" ca="1" si="98"/>
        <v>99999</v>
      </c>
      <c r="AE138" s="1123">
        <f ca="1">IF(AD138=99999,0,RANK(AD138,AD:AD,1)+COUNTIF($AD$3:$AD138,AD138)-1)</f>
        <v>0</v>
      </c>
      <c r="AF138" s="86" t="b">
        <f ca="1">IF(OR(M138&lt;&gt;"",L138="無",K138="高資產",IFERROR(MATCH(B138,換券單檔!K:K,0),"N")&lt;&gt;"N"),FALSE,TRUE)</f>
        <v>1</v>
      </c>
      <c r="AI138" s="1212">
        <f t="shared" ca="1" si="99"/>
        <v>116000</v>
      </c>
      <c r="AJ138" s="1213">
        <f t="shared" ca="1" si="100"/>
        <v>4582</v>
      </c>
      <c r="AK138" s="1587">
        <f t="shared" ca="1" si="101"/>
        <v>-475.02584181675536</v>
      </c>
      <c r="AN138" s="1212">
        <f t="shared" ca="1" si="102"/>
        <v>66000</v>
      </c>
      <c r="AO138" s="1213">
        <f t="shared" ca="1" si="103"/>
        <v>2607</v>
      </c>
      <c r="AP138" s="1587">
        <f t="shared" ca="1" si="104"/>
        <v>-66949.967110415033</v>
      </c>
      <c r="AS138" s="1212">
        <f t="shared" ca="1" si="105"/>
        <v>113000</v>
      </c>
      <c r="AT138" s="1213">
        <f t="shared" ca="1" si="106"/>
        <v>4463.5</v>
      </c>
      <c r="AU138" s="1587">
        <f t="shared" ca="1" si="107"/>
        <v>-955.8292873923258</v>
      </c>
      <c r="AX138" s="1212">
        <f t="shared" ca="1" si="108"/>
        <v>104000</v>
      </c>
      <c r="AY138" s="1213">
        <f t="shared" ca="1" si="109"/>
        <v>4108</v>
      </c>
      <c r="AZ138" s="1587">
        <f t="shared" ca="1" si="110"/>
        <v>-927.60532498042551</v>
      </c>
      <c r="BC138" s="1212">
        <f t="shared" ca="1" si="111"/>
        <v>0</v>
      </c>
      <c r="BD138" s="1213">
        <f t="shared" ca="1" si="112"/>
        <v>0</v>
      </c>
      <c r="BE138" s="1587">
        <f t="shared" ca="1" si="113"/>
        <v>0</v>
      </c>
      <c r="BH138" s="1212">
        <f t="shared" ca="1" si="114"/>
        <v>0</v>
      </c>
      <c r="BI138" s="1213">
        <f t="shared" ca="1" si="115"/>
        <v>0</v>
      </c>
      <c r="BJ138" s="1587">
        <f t="shared" ca="1" si="116"/>
        <v>0</v>
      </c>
      <c r="BM138" s="1212">
        <f t="shared" ca="1" si="117"/>
        <v>0</v>
      </c>
      <c r="BN138" s="1213">
        <f t="shared" ca="1" si="118"/>
        <v>0</v>
      </c>
      <c r="BO138" s="1587">
        <f t="shared" ca="1" si="119"/>
        <v>0</v>
      </c>
      <c r="BR138" s="1212">
        <f t="shared" ca="1" si="120"/>
        <v>0</v>
      </c>
      <c r="BS138" s="1213">
        <f t="shared" ca="1" si="121"/>
        <v>0</v>
      </c>
      <c r="BT138" s="1587">
        <f t="shared" ca="1" si="122"/>
        <v>0</v>
      </c>
      <c r="BW138" s="1212">
        <f t="shared" ca="1" si="123"/>
        <v>0</v>
      </c>
      <c r="BX138" s="1213">
        <f t="shared" ca="1" si="124"/>
        <v>0</v>
      </c>
      <c r="BY138" s="1587">
        <f t="shared" ca="1" si="125"/>
        <v>0</v>
      </c>
      <c r="CB138" s="1212">
        <f t="shared" ca="1" si="126"/>
        <v>0</v>
      </c>
      <c r="CC138" s="1213">
        <f t="shared" ca="1" si="127"/>
        <v>0</v>
      </c>
      <c r="CD138" s="1587">
        <f t="shared" ca="1" si="128"/>
        <v>0</v>
      </c>
      <c r="CG138" s="1212">
        <f t="shared" ca="1" si="129"/>
        <v>0</v>
      </c>
      <c r="CH138" s="1213">
        <f t="shared" ca="1" si="130"/>
        <v>0</v>
      </c>
      <c r="CI138" s="1587">
        <f t="shared" ca="1" si="131"/>
        <v>0</v>
      </c>
      <c r="CL138" s="1212">
        <f t="shared" ca="1" si="132"/>
        <v>0</v>
      </c>
      <c r="CM138" s="1213">
        <f t="shared" ca="1" si="133"/>
        <v>0</v>
      </c>
      <c r="CN138" s="1587">
        <f t="shared" ca="1" si="134"/>
        <v>0</v>
      </c>
    </row>
    <row r="139" spans="1:92">
      <c r="A139" s="141" t="str">
        <f>'銀行-TSS'!A139</f>
        <v>US931427AT57</v>
      </c>
      <c r="B139" s="151" t="str">
        <f ca="1">VLOOKUP(A139,'銀行-TSS'!A:B,2,FALSE)</f>
        <v>XG230</v>
      </c>
      <c r="C139" s="151" t="str">
        <f ca="1">VLOOKUP(B139,bond!B:C,2,FALSE)</f>
        <v>沃爾格林博姿聯合公司美元配息債券 4.1% 2050/4/15</v>
      </c>
      <c r="D139" s="95" t="str">
        <f>VLOOKUP(A139,'銀行-TSS'!A:C,3,FALSE)</f>
        <v>USD</v>
      </c>
      <c r="E139" s="90">
        <f ca="1">VLOOKUP(A139,'銀行-TSS'!A:G,7,FALSE)</f>
        <v>25.79</v>
      </c>
      <c r="F139" s="202">
        <f ca="1">VLOOKUP(A139,'銀行-TSS'!A:H,8,FALSE)</f>
        <v>4.0999999999999995E-2</v>
      </c>
      <c r="G139" s="96">
        <f ca="1">VLOOKUP(A139,'銀行-TSS'!A:K,11,FALSE)</f>
        <v>74.12</v>
      </c>
      <c r="H139" s="1209">
        <f ca="1">VLOOKUP(A139,'銀行-TSS'!A:M,13,FALSE)</f>
        <v>6.1899999999999997E-2</v>
      </c>
      <c r="I139" s="1213">
        <f ca="1">VLOOKUP(A139,'銀行-TSS'!A:N,14,FALSE)</f>
        <v>10000</v>
      </c>
      <c r="J139" s="1213">
        <f ca="1">VLOOKUP(A139,'銀行-TSS'!A:O,15,FALSE)</f>
        <v>1000</v>
      </c>
      <c r="K139" s="136" t="str">
        <f ca="1">VLOOKUP(A139,'銀行-TSS'!A:V,22,FALSE)</f>
        <v>(PI)專投</v>
      </c>
      <c r="L139" s="136" t="str">
        <f ca="1">VLOOKUP(A139,'銀行-TSS'!A:AK,37,FALSE)</f>
        <v>有</v>
      </c>
      <c r="M139" s="136" t="str">
        <f ca="1">VLOOKUP(A139,'銀行-TSS'!A:AN,40,FALSE)</f>
        <v/>
      </c>
      <c r="N139" s="136">
        <f t="shared" ca="1" si="90"/>
        <v>741.2</v>
      </c>
      <c r="O139" s="1213">
        <f t="shared" ca="1" si="91"/>
        <v>7412</v>
      </c>
      <c r="P139" s="1213">
        <f ca="1">IF(AND($O$1&gt;=O139,換券單檔!$D$13=D139),I139+INT(($O$1-O139)/N139)*J139,0)</f>
        <v>130000</v>
      </c>
      <c r="Q139" s="1213">
        <f t="shared" ca="1" si="92"/>
        <v>5329.9999999999991</v>
      </c>
      <c r="R139" s="1213">
        <f t="shared" ca="1" si="93"/>
        <v>130000</v>
      </c>
      <c r="S139" s="1213">
        <f t="shared" ca="1" si="94"/>
        <v>5329.9999999999991</v>
      </c>
      <c r="T139" s="136">
        <f ca="1">IF(OR(R139=0,A139=0),0,IF(AND(V139=TRUE,換券單檔!$D$13=D139),E139,0))</f>
        <v>25.79</v>
      </c>
      <c r="U139" s="861">
        <f ca="1">IF(OR(R139=0,A139=0),0,IF(AND(V139=TRUE,換券單檔!$D$13=D139),H139,0))</f>
        <v>6.1899999999999997E-2</v>
      </c>
      <c r="V139" s="136" t="b">
        <f ca="1">IF(OR(B139=換券單檔!$D$3,L139="無",M139&lt;&gt;"",K139="高資產",IFERROR(MATCH(B139,換券單檔!K:K,0),"N")&lt;&gt;"N"),FALSE,IF($V$1="All",TRUE,IF(K139=$V$1,TRUE,FALSE)))</f>
        <v>1</v>
      </c>
      <c r="W139" s="136">
        <f ca="1">VLOOKUP(A139,'銀行-TSS'!A:AO,41,FALSE)</f>
        <v>69.740000000000009</v>
      </c>
      <c r="X139" s="136">
        <f ca="1">VLOOKUP(A139,'銀行-TSS'!A:AP,42,FALSE)</f>
        <v>13.5687</v>
      </c>
      <c r="Y139" s="1220">
        <f t="shared" ca="1" si="95"/>
        <v>12301.654794000002</v>
      </c>
      <c r="Z139" s="1220">
        <f t="shared" ca="1" si="96"/>
        <v>1993.7029856533541</v>
      </c>
      <c r="AA139" s="136">
        <f ca="1">IF(Z139&lt;=0,0,RANK(Z139,Z:Z)+COUNTIF($Z$3:$Z139,Z139)-1)</f>
        <v>7</v>
      </c>
      <c r="AB139" s="1211">
        <f t="shared" ca="1" si="97"/>
        <v>-2594.4852059999976</v>
      </c>
      <c r="AC139" s="136">
        <f ca="1">IF(AB139&lt;=0,0,RANK(AB139,AB:AB)+COUNTIF($AB$3:$AB139,AB139)-1)</f>
        <v>0</v>
      </c>
      <c r="AD139" s="1123">
        <f t="shared" ca="1" si="98"/>
        <v>99999</v>
      </c>
      <c r="AE139" s="1123">
        <f ca="1">IF(AD139=99999,0,RANK(AD139,AD:AD,1)+COUNTIF($AD$3:$AD139,AD139)-1)</f>
        <v>0</v>
      </c>
      <c r="AF139" s="86" t="b">
        <f ca="1">IF(OR(M139&lt;&gt;"",L139="無",K139="高資產",IFERROR(MATCH(B139,換券單檔!K:K,0),"N")&lt;&gt;"N"),FALSE,TRUE)</f>
        <v>1</v>
      </c>
      <c r="AI139" s="1212">
        <f t="shared" ca="1" si="99"/>
        <v>130000</v>
      </c>
      <c r="AJ139" s="1213">
        <f t="shared" ca="1" si="100"/>
        <v>5329.9999999999991</v>
      </c>
      <c r="AK139" s="1587">
        <f t="shared" ca="1" si="101"/>
        <v>1993.7029856533541</v>
      </c>
      <c r="AN139" s="1212">
        <f t="shared" ca="1" si="102"/>
        <v>74000</v>
      </c>
      <c r="AO139" s="1213">
        <f t="shared" ca="1" si="103"/>
        <v>3033.9999999999995</v>
      </c>
      <c r="AP139" s="1587">
        <f t="shared" ca="1" si="104"/>
        <v>-49693.599069406751</v>
      </c>
      <c r="AS139" s="1212">
        <f t="shared" ca="1" si="105"/>
        <v>127000</v>
      </c>
      <c r="AT139" s="1213">
        <f t="shared" ca="1" si="106"/>
        <v>5206.9999999999991</v>
      </c>
      <c r="AU139" s="1587">
        <f t="shared" ca="1" si="107"/>
        <v>1500.1488949205091</v>
      </c>
      <c r="AX139" s="1212">
        <f t="shared" ca="1" si="108"/>
        <v>117000</v>
      </c>
      <c r="AY139" s="1213">
        <f t="shared" ca="1" si="109"/>
        <v>4796.9999999999991</v>
      </c>
      <c r="AZ139" s="1587">
        <f t="shared" ca="1" si="110"/>
        <v>1350.4028693291921</v>
      </c>
      <c r="BC139" s="1212">
        <f t="shared" ca="1" si="111"/>
        <v>0</v>
      </c>
      <c r="BD139" s="1213">
        <f t="shared" ca="1" si="112"/>
        <v>0</v>
      </c>
      <c r="BE139" s="1587">
        <f t="shared" ca="1" si="113"/>
        <v>0</v>
      </c>
      <c r="BH139" s="1212">
        <f t="shared" ca="1" si="114"/>
        <v>0</v>
      </c>
      <c r="BI139" s="1213">
        <f t="shared" ca="1" si="115"/>
        <v>0</v>
      </c>
      <c r="BJ139" s="1587">
        <f t="shared" ca="1" si="116"/>
        <v>0</v>
      </c>
      <c r="BM139" s="1212">
        <f t="shared" ca="1" si="117"/>
        <v>0</v>
      </c>
      <c r="BN139" s="1213">
        <f t="shared" ca="1" si="118"/>
        <v>0</v>
      </c>
      <c r="BO139" s="1587">
        <f t="shared" ca="1" si="119"/>
        <v>0</v>
      </c>
      <c r="BR139" s="1212">
        <f t="shared" ca="1" si="120"/>
        <v>0</v>
      </c>
      <c r="BS139" s="1213">
        <f t="shared" ca="1" si="121"/>
        <v>0</v>
      </c>
      <c r="BT139" s="1587">
        <f t="shared" ca="1" si="122"/>
        <v>0</v>
      </c>
      <c r="BW139" s="1212">
        <f t="shared" ca="1" si="123"/>
        <v>0</v>
      </c>
      <c r="BX139" s="1213">
        <f t="shared" ca="1" si="124"/>
        <v>0</v>
      </c>
      <c r="BY139" s="1587">
        <f t="shared" ca="1" si="125"/>
        <v>0</v>
      </c>
      <c r="CB139" s="1212">
        <f t="shared" ca="1" si="126"/>
        <v>0</v>
      </c>
      <c r="CC139" s="1213">
        <f t="shared" ca="1" si="127"/>
        <v>0</v>
      </c>
      <c r="CD139" s="1587">
        <f t="shared" ca="1" si="128"/>
        <v>0</v>
      </c>
      <c r="CG139" s="1212">
        <f t="shared" ca="1" si="129"/>
        <v>0</v>
      </c>
      <c r="CH139" s="1213">
        <f t="shared" ca="1" si="130"/>
        <v>0</v>
      </c>
      <c r="CI139" s="1587">
        <f t="shared" ca="1" si="131"/>
        <v>0</v>
      </c>
      <c r="CL139" s="1212">
        <f t="shared" ca="1" si="132"/>
        <v>0</v>
      </c>
      <c r="CM139" s="1213">
        <f t="shared" ca="1" si="133"/>
        <v>0</v>
      </c>
      <c r="CN139" s="1587">
        <f t="shared" ca="1" si="134"/>
        <v>0</v>
      </c>
    </row>
    <row r="140" spans="1:92">
      <c r="A140" s="141" t="str">
        <f>'銀行-TSS'!A140</f>
        <v>US00206RKA94</v>
      </c>
      <c r="B140" s="151" t="str">
        <f ca="1">VLOOKUP(A140,'銀行-TSS'!A:B,2,FALSE)</f>
        <v>XG240</v>
      </c>
      <c r="C140" s="151" t="str">
        <f ca="1">VLOOKUP(B140,bond!B:C,2,FALSE)</f>
        <v>AT&amp;T公司美元配息債券 3.65% 2051/6/1</v>
      </c>
      <c r="D140" s="95" t="str">
        <f>VLOOKUP(A140,'銀行-TSS'!A:C,3,FALSE)</f>
        <v>USD</v>
      </c>
      <c r="E140" s="90">
        <f ca="1">VLOOKUP(A140,'銀行-TSS'!A:G,7,FALSE)</f>
        <v>26.91</v>
      </c>
      <c r="F140" s="202">
        <f ca="1">VLOOKUP(A140,'銀行-TSS'!A:H,8,FALSE)</f>
        <v>3.6499999999999998E-2</v>
      </c>
      <c r="G140" s="96">
        <f ca="1">VLOOKUP(A140,'銀行-TSS'!A:K,11,FALSE)</f>
        <v>75.06</v>
      </c>
      <c r="H140" s="1209">
        <f ca="1">VLOOKUP(A140,'銀行-TSS'!A:M,13,FALSE)</f>
        <v>5.45E-2</v>
      </c>
      <c r="I140" s="1213">
        <f ca="1">VLOOKUP(A140,'銀行-TSS'!A:N,14,FALSE)</f>
        <v>10000</v>
      </c>
      <c r="J140" s="1213">
        <f ca="1">VLOOKUP(A140,'銀行-TSS'!A:O,15,FALSE)</f>
        <v>1000</v>
      </c>
      <c r="K140" s="136" t="str">
        <f ca="1">VLOOKUP(A140,'銀行-TSS'!A:V,22,FALSE)</f>
        <v>(PI)專投</v>
      </c>
      <c r="L140" s="136" t="str">
        <f ca="1">VLOOKUP(A140,'銀行-TSS'!A:AK,37,FALSE)</f>
        <v>有</v>
      </c>
      <c r="M140" s="136" t="str">
        <f ca="1">VLOOKUP(A140,'銀行-TSS'!A:AN,40,FALSE)</f>
        <v/>
      </c>
      <c r="N140" s="136">
        <f t="shared" ca="1" si="90"/>
        <v>750.6</v>
      </c>
      <c r="O140" s="1213">
        <f t="shared" ca="1" si="91"/>
        <v>7506</v>
      </c>
      <c r="P140" s="1213">
        <f ca="1">IF(AND($O$1&gt;=O140,換券單檔!$D$13=D140),I140+INT(($O$1-O140)/N140)*J140,0)</f>
        <v>128000</v>
      </c>
      <c r="Q140" s="1213">
        <f t="shared" ca="1" si="92"/>
        <v>4672</v>
      </c>
      <c r="R140" s="1213">
        <f t="shared" ca="1" si="93"/>
        <v>128000</v>
      </c>
      <c r="S140" s="1213">
        <f t="shared" ca="1" si="94"/>
        <v>4672</v>
      </c>
      <c r="T140" s="136">
        <f ca="1">IF(OR(R140=0,A140=0),0,IF(AND(V140=TRUE,換券單檔!$D$13=D140),E140,0))</f>
        <v>26.91</v>
      </c>
      <c r="U140" s="861">
        <f ca="1">IF(OR(R140=0,A140=0),0,IF(AND(V140=TRUE,換券單檔!$D$13=D140),H140,0))</f>
        <v>5.45E-2</v>
      </c>
      <c r="V140" s="136" t="b">
        <f ca="1">IF(OR(B140=換券單檔!$D$3,L140="無",M140&lt;&gt;"",K140="高資產",IFERROR(MATCH(B140,換券單檔!K:K,0),"N")&lt;&gt;"N"),FALSE,IF($V$1="All",TRUE,IF(K140=$V$1,TRUE,FALSE)))</f>
        <v>1</v>
      </c>
      <c r="W140" s="136">
        <f ca="1">VLOOKUP(A140,'銀行-TSS'!A:AO,41,FALSE)</f>
        <v>71.25</v>
      </c>
      <c r="X140" s="136">
        <f ca="1">VLOOKUP(A140,'銀行-TSS'!A:AP,42,FALSE)</f>
        <v>15.046900000000001</v>
      </c>
      <c r="Y140" s="1220">
        <f t="shared" ca="1" si="95"/>
        <v>13722.772800000001</v>
      </c>
      <c r="Z140" s="1220">
        <f t="shared" ca="1" si="96"/>
        <v>-3.8253437383845039</v>
      </c>
      <c r="AA140" s="136">
        <f ca="1">IF(Z140&lt;=0,0,RANK(Z140,Z:Z)+COUNTIF($Z$3:$Z140,Z140)-1)</f>
        <v>0</v>
      </c>
      <c r="AB140" s="1211">
        <f t="shared" ca="1" si="97"/>
        <v>-1173.3671999999988</v>
      </c>
      <c r="AC140" s="136">
        <f ca="1">IF(AB140&lt;=0,0,RANK(AB140,AB:AB)+COUNTIF($AB$3:$AB140,AB140)-1)</f>
        <v>0</v>
      </c>
      <c r="AD140" s="1123">
        <f t="shared" ca="1" si="98"/>
        <v>99999</v>
      </c>
      <c r="AE140" s="1123">
        <f ca="1">IF(AD140=99999,0,RANK(AD140,AD:AD,1)+COUNTIF($AD$3:$AD140,AD140)-1)</f>
        <v>0</v>
      </c>
      <c r="AF140" s="86" t="b">
        <f ca="1">IF(OR(M140&lt;&gt;"",L140="無",K140="高資產",IFERROR(MATCH(B140,換券單檔!K:K,0),"N")&lt;&gt;"N"),FALSE,TRUE)</f>
        <v>1</v>
      </c>
      <c r="AI140" s="1212">
        <f t="shared" ca="1" si="99"/>
        <v>128000</v>
      </c>
      <c r="AJ140" s="1213">
        <f t="shared" ca="1" si="100"/>
        <v>4672</v>
      </c>
      <c r="AK140" s="1587">
        <f t="shared" ca="1" si="101"/>
        <v>-3.8253437383845039</v>
      </c>
      <c r="AN140" s="1212">
        <f t="shared" ca="1" si="102"/>
        <v>73000</v>
      </c>
      <c r="AO140" s="1213">
        <f t="shared" ca="1" si="103"/>
        <v>2664.5</v>
      </c>
      <c r="AP140" s="1587">
        <f t="shared" ca="1" si="104"/>
        <v>-52779.604793756967</v>
      </c>
      <c r="AS140" s="1212">
        <f t="shared" ca="1" si="105"/>
        <v>125000</v>
      </c>
      <c r="AT140" s="1213">
        <f t="shared" ca="1" si="106"/>
        <v>4562.5</v>
      </c>
      <c r="AU140" s="1587">
        <f t="shared" ca="1" si="107"/>
        <v>-455.56949089557781</v>
      </c>
      <c r="AX140" s="1212">
        <f t="shared" ca="1" si="108"/>
        <v>115000</v>
      </c>
      <c r="AY140" s="1213">
        <f t="shared" ca="1" si="109"/>
        <v>4197.5</v>
      </c>
      <c r="AZ140" s="1587">
        <f t="shared" ca="1" si="110"/>
        <v>-464.71850613155226</v>
      </c>
      <c r="BC140" s="1212">
        <f t="shared" ca="1" si="111"/>
        <v>0</v>
      </c>
      <c r="BD140" s="1213">
        <f t="shared" ca="1" si="112"/>
        <v>0</v>
      </c>
      <c r="BE140" s="1587">
        <f t="shared" ca="1" si="113"/>
        <v>0</v>
      </c>
      <c r="BH140" s="1212">
        <f t="shared" ca="1" si="114"/>
        <v>0</v>
      </c>
      <c r="BI140" s="1213">
        <f t="shared" ca="1" si="115"/>
        <v>0</v>
      </c>
      <c r="BJ140" s="1587">
        <f t="shared" ca="1" si="116"/>
        <v>0</v>
      </c>
      <c r="BM140" s="1212">
        <f t="shared" ca="1" si="117"/>
        <v>0</v>
      </c>
      <c r="BN140" s="1213">
        <f t="shared" ca="1" si="118"/>
        <v>0</v>
      </c>
      <c r="BO140" s="1587">
        <f t="shared" ca="1" si="119"/>
        <v>0</v>
      </c>
      <c r="BR140" s="1212">
        <f t="shared" ca="1" si="120"/>
        <v>0</v>
      </c>
      <c r="BS140" s="1213">
        <f t="shared" ca="1" si="121"/>
        <v>0</v>
      </c>
      <c r="BT140" s="1587">
        <f t="shared" ca="1" si="122"/>
        <v>0</v>
      </c>
      <c r="BW140" s="1212">
        <f t="shared" ca="1" si="123"/>
        <v>0</v>
      </c>
      <c r="BX140" s="1213">
        <f t="shared" ca="1" si="124"/>
        <v>0</v>
      </c>
      <c r="BY140" s="1587">
        <f t="shared" ca="1" si="125"/>
        <v>0</v>
      </c>
      <c r="CB140" s="1212">
        <f t="shared" ca="1" si="126"/>
        <v>0</v>
      </c>
      <c r="CC140" s="1213">
        <f t="shared" ca="1" si="127"/>
        <v>0</v>
      </c>
      <c r="CD140" s="1587">
        <f t="shared" ca="1" si="128"/>
        <v>0</v>
      </c>
      <c r="CG140" s="1212">
        <f t="shared" ca="1" si="129"/>
        <v>0</v>
      </c>
      <c r="CH140" s="1213">
        <f t="shared" ca="1" si="130"/>
        <v>0</v>
      </c>
      <c r="CI140" s="1587">
        <f t="shared" ca="1" si="131"/>
        <v>0</v>
      </c>
      <c r="CL140" s="1212">
        <f t="shared" ca="1" si="132"/>
        <v>0</v>
      </c>
      <c r="CM140" s="1213">
        <f t="shared" ca="1" si="133"/>
        <v>0</v>
      </c>
      <c r="CN140" s="1587">
        <f t="shared" ca="1" si="134"/>
        <v>0</v>
      </c>
    </row>
    <row r="141" spans="1:92">
      <c r="A141" s="141" t="str">
        <f>'銀行-TSS'!A141</f>
        <v>US594918BT09</v>
      </c>
      <c r="B141" s="151" t="str">
        <f ca="1">VLOOKUP(A141,'銀行-TSS'!A:B,2,FALSE)</f>
        <v>XG250</v>
      </c>
      <c r="C141" s="151" t="str">
        <f ca="1">VLOOKUP(B141,bond!B:C,2,FALSE)</f>
        <v>微軟公司美元配息債券 3.7% 2046/8/8</v>
      </c>
      <c r="D141" s="95" t="str">
        <f>VLOOKUP(A141,'銀行-TSS'!A:C,3,FALSE)</f>
        <v>USD</v>
      </c>
      <c r="E141" s="90">
        <f ca="1">VLOOKUP(A141,'銀行-TSS'!A:G,7,FALSE)</f>
        <v>22.1</v>
      </c>
      <c r="F141" s="202">
        <f ca="1">VLOOKUP(A141,'銀行-TSS'!A:H,8,FALSE)</f>
        <v>3.7000000000000005E-2</v>
      </c>
      <c r="G141" s="96">
        <f ca="1">VLOOKUP(A141,'銀行-TSS'!A:K,11,FALSE)</f>
        <v>87.19</v>
      </c>
      <c r="H141" s="1209">
        <f ca="1">VLOOKUP(A141,'銀行-TSS'!A:M,13,FALSE)</f>
        <v>4.7500000000000001E-2</v>
      </c>
      <c r="I141" s="1213">
        <f ca="1">VLOOKUP(A141,'銀行-TSS'!A:N,14,FALSE)</f>
        <v>10000</v>
      </c>
      <c r="J141" s="1213">
        <f ca="1">VLOOKUP(A141,'銀行-TSS'!A:O,15,FALSE)</f>
        <v>1000</v>
      </c>
      <c r="K141" s="136" t="str">
        <f ca="1">VLOOKUP(A141,'銀行-TSS'!A:V,22,FALSE)</f>
        <v>(NPI)非專投</v>
      </c>
      <c r="L141" s="136" t="str">
        <f ca="1">VLOOKUP(A141,'銀行-TSS'!A:AK,37,FALSE)</f>
        <v>有</v>
      </c>
      <c r="M141" s="136" t="str">
        <f ca="1">VLOOKUP(A141,'銀行-TSS'!A:AN,40,FALSE)</f>
        <v/>
      </c>
      <c r="N141" s="136">
        <f t="shared" ca="1" si="90"/>
        <v>871.9</v>
      </c>
      <c r="O141" s="1213">
        <f t="shared" ca="1" si="91"/>
        <v>8719</v>
      </c>
      <c r="P141" s="1213">
        <f ca="1">IF(AND($O$1&gt;=O141,換券單檔!$D$13=D141),I141+INT(($O$1-O141)/N141)*J141,0)</f>
        <v>110000</v>
      </c>
      <c r="Q141" s="1213">
        <f t="shared" ca="1" si="92"/>
        <v>4070.0000000000005</v>
      </c>
      <c r="R141" s="1213">
        <f t="shared" ca="1" si="93"/>
        <v>110000</v>
      </c>
      <c r="S141" s="1213">
        <f t="shared" ca="1" si="94"/>
        <v>4070.0000000000005</v>
      </c>
      <c r="T141" s="136">
        <f ca="1">IF(OR(R141=0,A141=0),0,IF(AND(V141=TRUE,換券單檔!$D$13=D141),E141,0))</f>
        <v>22.1</v>
      </c>
      <c r="U141" s="861">
        <f ca="1">IF(OR(R141=0,A141=0),0,IF(AND(V141=TRUE,換券單檔!$D$13=D141),H141,0))</f>
        <v>4.7500000000000001E-2</v>
      </c>
      <c r="V141" s="136" t="b">
        <f ca="1">IF(OR(B141=換券單檔!$D$3,L141="無",M141&lt;&gt;"",K141="高資產",IFERROR(MATCH(B141,換券單檔!K:K,0),"N")&lt;&gt;"N"),FALSE,IF($V$1="All",TRUE,IF(K141=$V$1,TRUE,FALSE)))</f>
        <v>1</v>
      </c>
      <c r="W141" s="136">
        <f ca="1">VLOOKUP(A141,'銀行-TSS'!A:AO,41,FALSE)</f>
        <v>82.710000000000008</v>
      </c>
      <c r="X141" s="136">
        <f ca="1">VLOOKUP(A141,'銀行-TSS'!A:AP,42,FALSE)</f>
        <v>13.9755</v>
      </c>
      <c r="Y141" s="1220">
        <f t="shared" ca="1" si="95"/>
        <v>12715.049654999999</v>
      </c>
      <c r="Z141" s="1220">
        <f t="shared" ca="1" si="96"/>
        <v>0</v>
      </c>
      <c r="AA141" s="136">
        <f ca="1">IF(Z141&lt;=0,0,RANK(Z141,Z:Z)+COUNTIF($Z$3:$Z141,Z141)-1)</f>
        <v>0</v>
      </c>
      <c r="AB141" s="1211">
        <f t="shared" ca="1" si="97"/>
        <v>-2181.0903450000005</v>
      </c>
      <c r="AC141" s="136">
        <f ca="1">IF(AB141&lt;=0,0,RANK(AB141,AB:AB)+COUNTIF($AB$3:$AB141,AB141)-1)</f>
        <v>0</v>
      </c>
      <c r="AD141" s="1123">
        <f t="shared" ca="1" si="98"/>
        <v>99999</v>
      </c>
      <c r="AE141" s="1123">
        <f ca="1">IF(AD141=99999,0,RANK(AD141,AD:AD,1)+COUNTIF($AD$3:$AD141,AD141)-1)</f>
        <v>0</v>
      </c>
      <c r="AF141" s="86" t="b">
        <f ca="1">IF(OR(M141&lt;&gt;"",L141="無",K141="高資產",IFERROR(MATCH(B141,換券單檔!K:K,0),"N")&lt;&gt;"N"),FALSE,TRUE)</f>
        <v>1</v>
      </c>
      <c r="AI141" s="1212">
        <f t="shared" ca="1" si="99"/>
        <v>110000</v>
      </c>
      <c r="AJ141" s="1213">
        <f t="shared" ca="1" si="100"/>
        <v>4070.0000000000005</v>
      </c>
      <c r="AK141" s="1587">
        <f t="shared" ca="1" si="101"/>
        <v>0</v>
      </c>
      <c r="AN141" s="1212">
        <f t="shared" ca="1" si="102"/>
        <v>63000</v>
      </c>
      <c r="AO141" s="1213">
        <f t="shared" ca="1" si="103"/>
        <v>2331.0000000000005</v>
      </c>
      <c r="AP141" s="1587">
        <f t="shared" ca="1" si="104"/>
        <v>-73762.497737556565</v>
      </c>
      <c r="AS141" s="1212">
        <f t="shared" ca="1" si="105"/>
        <v>108000</v>
      </c>
      <c r="AT141" s="1213">
        <f t="shared" ca="1" si="106"/>
        <v>3996.0000000000005</v>
      </c>
      <c r="AU141" s="1587">
        <f t="shared" ca="1" si="107"/>
        <v>0</v>
      </c>
      <c r="AX141" s="1212">
        <f t="shared" ca="1" si="108"/>
        <v>99000</v>
      </c>
      <c r="AY141" s="1213">
        <f t="shared" ca="1" si="109"/>
        <v>3663.0000000000005</v>
      </c>
      <c r="AZ141" s="1587">
        <f t="shared" ca="1" si="110"/>
        <v>0</v>
      </c>
      <c r="BC141" s="1212">
        <f t="shared" ca="1" si="111"/>
        <v>0</v>
      </c>
      <c r="BD141" s="1213">
        <f t="shared" ca="1" si="112"/>
        <v>0</v>
      </c>
      <c r="BE141" s="1587">
        <f t="shared" ca="1" si="113"/>
        <v>0</v>
      </c>
      <c r="BH141" s="1212">
        <f t="shared" ca="1" si="114"/>
        <v>0</v>
      </c>
      <c r="BI141" s="1213">
        <f t="shared" ca="1" si="115"/>
        <v>0</v>
      </c>
      <c r="BJ141" s="1587">
        <f t="shared" ca="1" si="116"/>
        <v>0</v>
      </c>
      <c r="BM141" s="1212">
        <f t="shared" ca="1" si="117"/>
        <v>0</v>
      </c>
      <c r="BN141" s="1213">
        <f t="shared" ca="1" si="118"/>
        <v>0</v>
      </c>
      <c r="BO141" s="1587">
        <f t="shared" ca="1" si="119"/>
        <v>0</v>
      </c>
      <c r="BR141" s="1212">
        <f t="shared" ca="1" si="120"/>
        <v>0</v>
      </c>
      <c r="BS141" s="1213">
        <f t="shared" ca="1" si="121"/>
        <v>0</v>
      </c>
      <c r="BT141" s="1587">
        <f t="shared" ca="1" si="122"/>
        <v>0</v>
      </c>
      <c r="BW141" s="1212">
        <f t="shared" ca="1" si="123"/>
        <v>0</v>
      </c>
      <c r="BX141" s="1213">
        <f t="shared" ca="1" si="124"/>
        <v>0</v>
      </c>
      <c r="BY141" s="1587">
        <f t="shared" ca="1" si="125"/>
        <v>0</v>
      </c>
      <c r="CB141" s="1212">
        <f t="shared" ca="1" si="126"/>
        <v>0</v>
      </c>
      <c r="CC141" s="1213">
        <f t="shared" ca="1" si="127"/>
        <v>0</v>
      </c>
      <c r="CD141" s="1587">
        <f t="shared" ca="1" si="128"/>
        <v>0</v>
      </c>
      <c r="CG141" s="1212">
        <f t="shared" ca="1" si="129"/>
        <v>0</v>
      </c>
      <c r="CH141" s="1213">
        <f t="shared" ca="1" si="130"/>
        <v>0</v>
      </c>
      <c r="CI141" s="1587">
        <f t="shared" ca="1" si="131"/>
        <v>0</v>
      </c>
      <c r="CL141" s="1212">
        <f t="shared" ca="1" si="132"/>
        <v>0</v>
      </c>
      <c r="CM141" s="1213">
        <f t="shared" ca="1" si="133"/>
        <v>0</v>
      </c>
      <c r="CN141" s="1587">
        <f t="shared" ca="1" si="134"/>
        <v>0</v>
      </c>
    </row>
    <row r="142" spans="1:92">
      <c r="A142" s="141" t="str">
        <f>'銀行-TSS'!A142</f>
        <v>XS2216795638</v>
      </c>
      <c r="B142" s="151" t="str">
        <f ca="1">VLOOKUP(A142,'銀行-TSS'!A:B,2,FALSE)</f>
        <v>XG270</v>
      </c>
      <c r="C142" s="151" t="str">
        <f ca="1">VLOOKUP(B142,bond!B:C,2,FALSE)</f>
        <v>花旗環球證券控股公司南非幣配息債券  7% 2030/12/23</v>
      </c>
      <c r="D142" s="95" t="str">
        <f>VLOOKUP(A142,'銀行-TSS'!A:C,3,FALSE)</f>
        <v>ZAR</v>
      </c>
      <c r="E142" s="90">
        <f ca="1">VLOOKUP(A142,'銀行-TSS'!A:G,7,FALSE)</f>
        <v>6.47</v>
      </c>
      <c r="F142" s="202">
        <f ca="1">VLOOKUP(A142,'銀行-TSS'!A:H,8,FALSE)</f>
        <v>7.0000000000000007E-2</v>
      </c>
      <c r="G142" s="96">
        <f ca="1">VLOOKUP(A142,'銀行-TSS'!A:K,11,FALSE)</f>
        <v>0</v>
      </c>
      <c r="H142" s="1209">
        <f ca="1">VLOOKUP(A142,'銀行-TSS'!A:M,13,FALSE)</f>
        <v>0</v>
      </c>
      <c r="I142" s="1213">
        <f ca="1">VLOOKUP(A142,'銀行-TSS'!A:N,14,FALSE)</f>
        <v>100000</v>
      </c>
      <c r="J142" s="1213">
        <f ca="1">VLOOKUP(A142,'銀行-TSS'!A:O,15,FALSE)</f>
        <v>10000</v>
      </c>
      <c r="K142" s="136" t="str">
        <f ca="1">VLOOKUP(A142,'銀行-TSS'!A:V,22,FALSE)</f>
        <v>(NPI)非專投</v>
      </c>
      <c r="L142" s="136" t="str">
        <f ca="1">VLOOKUP(A142,'銀行-TSS'!A:AK,37,FALSE)</f>
        <v>無</v>
      </c>
      <c r="M142" s="136" t="str">
        <f ca="1">VLOOKUP(A142,'銀行-TSS'!A:AN,40,FALSE)</f>
        <v>XG270</v>
      </c>
      <c r="N142" s="136">
        <f t="shared" ca="1" si="90"/>
        <v>0</v>
      </c>
      <c r="O142" s="1213">
        <f t="shared" ca="1" si="91"/>
        <v>0</v>
      </c>
      <c r="P142" s="1213">
        <f ca="1">IF(AND($O$1&gt;=O142,換券單檔!$D$13=D142),I142+INT(($O$1-O142)/N142)*J142,0)</f>
        <v>0</v>
      </c>
      <c r="Q142" s="1213">
        <f t="shared" ca="1" si="92"/>
        <v>0</v>
      </c>
      <c r="R142" s="1213">
        <f t="shared" ca="1" si="93"/>
        <v>0</v>
      </c>
      <c r="S142" s="1213">
        <f t="shared" ca="1" si="94"/>
        <v>0</v>
      </c>
      <c r="T142" s="136">
        <f ca="1">IF(OR(R142=0,A142=0),0,IF(AND(V142=TRUE,換券單檔!$D$13=D142),E142,0))</f>
        <v>0</v>
      </c>
      <c r="U142" s="861">
        <f ca="1">IF(OR(R142=0,A142=0),0,IF(AND(V142=TRUE,換券單檔!$D$13=D142),H142,0))</f>
        <v>0</v>
      </c>
      <c r="V142" s="136" t="b">
        <f ca="1">IF(OR(B142=換券單檔!$D$3,L142="無",M142&lt;&gt;"",K142="高資產",IFERROR(MATCH(B142,換券單檔!K:K,0),"N")&lt;&gt;"N"),FALSE,IF($V$1="All",TRUE,IF(K142=$V$1,TRUE,FALSE)))</f>
        <v>0</v>
      </c>
      <c r="W142" s="136">
        <f ca="1">VLOOKUP(A142,'銀行-TSS'!A:AO,41,FALSE)</f>
        <v>0</v>
      </c>
      <c r="X142" s="136">
        <f ca="1">VLOOKUP(A142,'銀行-TSS'!A:AP,42,FALSE)</f>
        <v>4.0027999999999997</v>
      </c>
      <c r="Y142" s="1220">
        <f t="shared" ca="1" si="95"/>
        <v>0</v>
      </c>
      <c r="Z142" s="1220">
        <f t="shared" ca="1" si="96"/>
        <v>0</v>
      </c>
      <c r="AA142" s="136">
        <f ca="1">IF(Z142&lt;=0,0,RANK(Z142,Z:Z)+COUNTIF($Z$3:$Z142,Z142)-1)</f>
        <v>0</v>
      </c>
      <c r="AB142" s="1211">
        <f t="shared" ca="1" si="97"/>
        <v>-14896.14</v>
      </c>
      <c r="AC142" s="136">
        <f ca="1">IF(AB142&lt;=0,0,RANK(AB142,AB:AB)+COUNTIF($AB$3:$AB142,AB142)-1)</f>
        <v>0</v>
      </c>
      <c r="AD142" s="1123">
        <f t="shared" ca="1" si="98"/>
        <v>99999</v>
      </c>
      <c r="AE142" s="1123">
        <f ca="1">IF(AD142=99999,0,RANK(AD142,AD:AD,1)+COUNTIF($AD$3:$AD142,AD142)-1)</f>
        <v>0</v>
      </c>
      <c r="AF142" s="86" t="b">
        <f ca="1">IF(OR(M142&lt;&gt;"",L142="無",K142="高資產",IFERROR(MATCH(B142,換券單檔!K:K,0),"N")&lt;&gt;"N"),FALSE,TRUE)</f>
        <v>0</v>
      </c>
      <c r="AI142" s="1212">
        <f t="shared" ca="1" si="99"/>
        <v>0</v>
      </c>
      <c r="AJ142" s="1213">
        <f t="shared" ca="1" si="100"/>
        <v>0</v>
      </c>
      <c r="AK142" s="1587">
        <f t="shared" ca="1" si="101"/>
        <v>0</v>
      </c>
      <c r="AN142" s="1212">
        <f t="shared" ca="1" si="102"/>
        <v>0</v>
      </c>
      <c r="AO142" s="1213">
        <f t="shared" ca="1" si="103"/>
        <v>0</v>
      </c>
      <c r="AP142" s="1587">
        <f t="shared" ca="1" si="104"/>
        <v>0</v>
      </c>
      <c r="AS142" s="1212">
        <f t="shared" ca="1" si="105"/>
        <v>0</v>
      </c>
      <c r="AT142" s="1213">
        <f t="shared" ca="1" si="106"/>
        <v>0</v>
      </c>
      <c r="AU142" s="1587">
        <f t="shared" ca="1" si="107"/>
        <v>0</v>
      </c>
      <c r="AX142" s="1212">
        <f t="shared" ca="1" si="108"/>
        <v>0</v>
      </c>
      <c r="AY142" s="1213">
        <f t="shared" ca="1" si="109"/>
        <v>0</v>
      </c>
      <c r="AZ142" s="1587">
        <f t="shared" ca="1" si="110"/>
        <v>0</v>
      </c>
      <c r="BC142" s="1212">
        <f t="shared" ca="1" si="111"/>
        <v>0</v>
      </c>
      <c r="BD142" s="1213">
        <f t="shared" ca="1" si="112"/>
        <v>0</v>
      </c>
      <c r="BE142" s="1587">
        <f t="shared" ca="1" si="113"/>
        <v>0</v>
      </c>
      <c r="BH142" s="1212">
        <f t="shared" ca="1" si="114"/>
        <v>0</v>
      </c>
      <c r="BI142" s="1213">
        <f t="shared" ca="1" si="115"/>
        <v>0</v>
      </c>
      <c r="BJ142" s="1587">
        <f t="shared" ca="1" si="116"/>
        <v>0</v>
      </c>
      <c r="BM142" s="1212">
        <f t="shared" ca="1" si="117"/>
        <v>0</v>
      </c>
      <c r="BN142" s="1213">
        <f t="shared" ca="1" si="118"/>
        <v>0</v>
      </c>
      <c r="BO142" s="1587">
        <f t="shared" ca="1" si="119"/>
        <v>0</v>
      </c>
      <c r="BR142" s="1212">
        <f t="shared" ca="1" si="120"/>
        <v>0</v>
      </c>
      <c r="BS142" s="1213">
        <f t="shared" ca="1" si="121"/>
        <v>0</v>
      </c>
      <c r="BT142" s="1587">
        <f t="shared" ca="1" si="122"/>
        <v>0</v>
      </c>
      <c r="BW142" s="1212">
        <f t="shared" ca="1" si="123"/>
        <v>0</v>
      </c>
      <c r="BX142" s="1213">
        <f t="shared" ca="1" si="124"/>
        <v>0</v>
      </c>
      <c r="BY142" s="1587">
        <f t="shared" ca="1" si="125"/>
        <v>0</v>
      </c>
      <c r="CB142" s="1212">
        <f t="shared" ca="1" si="126"/>
        <v>0</v>
      </c>
      <c r="CC142" s="1213">
        <f t="shared" ca="1" si="127"/>
        <v>0</v>
      </c>
      <c r="CD142" s="1587">
        <f t="shared" ca="1" si="128"/>
        <v>0</v>
      </c>
      <c r="CG142" s="1212">
        <f t="shared" ca="1" si="129"/>
        <v>0</v>
      </c>
      <c r="CH142" s="1213">
        <f t="shared" ca="1" si="130"/>
        <v>0</v>
      </c>
      <c r="CI142" s="1587">
        <f t="shared" ca="1" si="131"/>
        <v>0</v>
      </c>
      <c r="CL142" s="1212">
        <f t="shared" ca="1" si="132"/>
        <v>0</v>
      </c>
      <c r="CM142" s="1213">
        <f t="shared" ca="1" si="133"/>
        <v>0</v>
      </c>
      <c r="CN142" s="1587">
        <f t="shared" ca="1" si="134"/>
        <v>0</v>
      </c>
    </row>
    <row r="143" spans="1:92">
      <c r="A143" s="141" t="str">
        <f>'銀行-TSS'!A143</f>
        <v>US654106AM50</v>
      </c>
      <c r="B143" s="151" t="str">
        <f ca="1">VLOOKUP(A143,'銀行-TSS'!A:B,2,FALSE)</f>
        <v>XG280</v>
      </c>
      <c r="C143" s="151" t="str">
        <f ca="1">VLOOKUP(B143,bond!B:C,2,FALSE)</f>
        <v>NIKE公司美元配息債券 3.375% 2050/3/27</v>
      </c>
      <c r="D143" s="95" t="str">
        <f>VLOOKUP(A143,'銀行-TSS'!A:C,3,FALSE)</f>
        <v>USD</v>
      </c>
      <c r="E143" s="90">
        <f ca="1">VLOOKUP(A143,'銀行-TSS'!A:G,7,FALSE)</f>
        <v>25.73</v>
      </c>
      <c r="F143" s="202">
        <f ca="1">VLOOKUP(A143,'銀行-TSS'!A:H,8,FALSE)</f>
        <v>3.3750000000000002E-2</v>
      </c>
      <c r="G143" s="96">
        <f ca="1">VLOOKUP(A143,'銀行-TSS'!A:K,11,FALSE)</f>
        <v>77.11</v>
      </c>
      <c r="H143" s="1209">
        <f ca="1">VLOOKUP(A143,'銀行-TSS'!A:M,13,FALSE)</f>
        <v>5.0299999999999997E-2</v>
      </c>
      <c r="I143" s="1213">
        <f ca="1">VLOOKUP(A143,'銀行-TSS'!A:N,14,FALSE)</f>
        <v>10000</v>
      </c>
      <c r="J143" s="1213">
        <f ca="1">VLOOKUP(A143,'銀行-TSS'!A:O,15,FALSE)</f>
        <v>1000</v>
      </c>
      <c r="K143" s="136" t="str">
        <f ca="1">VLOOKUP(A143,'銀行-TSS'!A:V,22,FALSE)</f>
        <v>(NPI)非專投</v>
      </c>
      <c r="L143" s="136" t="str">
        <f ca="1">VLOOKUP(A143,'銀行-TSS'!A:AK,37,FALSE)</f>
        <v>有</v>
      </c>
      <c r="M143" s="136" t="str">
        <f ca="1">VLOOKUP(A143,'銀行-TSS'!A:AN,40,FALSE)</f>
        <v/>
      </c>
      <c r="N143" s="136">
        <f t="shared" ca="1" si="90"/>
        <v>771.1</v>
      </c>
      <c r="O143" s="1213">
        <f t="shared" ca="1" si="91"/>
        <v>7711</v>
      </c>
      <c r="P143" s="1213">
        <f ca="1">IF(AND($O$1&gt;=O143,換券單檔!$D$13=D143),I143+INT(($O$1-O143)/N143)*J143,0)</f>
        <v>125000</v>
      </c>
      <c r="Q143" s="1213">
        <f t="shared" ca="1" si="92"/>
        <v>4218.75</v>
      </c>
      <c r="R143" s="1213">
        <f t="shared" ca="1" si="93"/>
        <v>125000</v>
      </c>
      <c r="S143" s="1213">
        <f t="shared" ca="1" si="94"/>
        <v>4218.75</v>
      </c>
      <c r="T143" s="136">
        <f ca="1">IF(OR(R143=0,A143=0),0,IF(AND(V143=TRUE,換券單檔!$D$13=D143),E143,0))</f>
        <v>25.73</v>
      </c>
      <c r="U143" s="861">
        <f ca="1">IF(OR(R143=0,A143=0),0,IF(AND(V143=TRUE,換券單檔!$D$13=D143),H143,0))</f>
        <v>5.0299999999999997E-2</v>
      </c>
      <c r="V143" s="136" t="b">
        <f ca="1">IF(OR(B143=換券單檔!$D$3,L143="無",M143&lt;&gt;"",K143="高資產",IFERROR(MATCH(B143,換券單檔!K:K,0),"N")&lt;&gt;"N"),FALSE,IF($V$1="All",TRUE,IF(K143=$V$1,TRUE,FALSE)))</f>
        <v>1</v>
      </c>
      <c r="W143" s="136">
        <f ca="1">VLOOKUP(A143,'銀行-TSS'!A:AO,41,FALSE)</f>
        <v>72.72</v>
      </c>
      <c r="X143" s="136">
        <f ca="1">VLOOKUP(A143,'銀行-TSS'!A:AP,42,FALSE)</f>
        <v>15.2905</v>
      </c>
      <c r="Y143" s="1220">
        <f t="shared" ca="1" si="95"/>
        <v>13899.0645</v>
      </c>
      <c r="Z143" s="1220">
        <f t="shared" ca="1" si="96"/>
        <v>0</v>
      </c>
      <c r="AA143" s="136">
        <f ca="1">IF(Z143&lt;=0,0,RANK(Z143,Z:Z)+COUNTIF($Z$3:$Z143,Z143)-1)</f>
        <v>0</v>
      </c>
      <c r="AB143" s="1211">
        <f t="shared" ca="1" si="97"/>
        <v>-997.07549999999901</v>
      </c>
      <c r="AC143" s="136">
        <f ca="1">IF(AB143&lt;=0,0,RANK(AB143,AB:AB)+COUNTIF($AB$3:$AB143,AB143)-1)</f>
        <v>0</v>
      </c>
      <c r="AD143" s="1123">
        <f t="shared" ca="1" si="98"/>
        <v>99999</v>
      </c>
      <c r="AE143" s="1123">
        <f ca="1">IF(AD143=99999,0,RANK(AD143,AD:AD,1)+COUNTIF($AD$3:$AD143,AD143)-1)</f>
        <v>0</v>
      </c>
      <c r="AF143" s="86" t="b">
        <f ca="1">IF(OR(M143&lt;&gt;"",L143="無",K143="高資產",IFERROR(MATCH(B143,換券單檔!K:K,0),"N")&lt;&gt;"N"),FALSE,TRUE)</f>
        <v>1</v>
      </c>
      <c r="AI143" s="1212">
        <f t="shared" ca="1" si="99"/>
        <v>125000</v>
      </c>
      <c r="AJ143" s="1213">
        <f t="shared" ca="1" si="100"/>
        <v>4218.75</v>
      </c>
      <c r="AK143" s="1587">
        <f t="shared" ca="1" si="101"/>
        <v>0</v>
      </c>
      <c r="AN143" s="1212">
        <f t="shared" ca="1" si="102"/>
        <v>71000</v>
      </c>
      <c r="AO143" s="1213">
        <f t="shared" ca="1" si="103"/>
        <v>2396.25</v>
      </c>
      <c r="AP143" s="1587">
        <f t="shared" ca="1" si="104"/>
        <v>-57569.776039642442</v>
      </c>
      <c r="AS143" s="1212">
        <f t="shared" ca="1" si="105"/>
        <v>122000</v>
      </c>
      <c r="AT143" s="1213">
        <f t="shared" ca="1" si="106"/>
        <v>4117.5</v>
      </c>
      <c r="AU143" s="1587">
        <f t="shared" ca="1" si="107"/>
        <v>0</v>
      </c>
      <c r="AX143" s="1212">
        <f t="shared" ca="1" si="108"/>
        <v>112000</v>
      </c>
      <c r="AY143" s="1213">
        <f t="shared" ca="1" si="109"/>
        <v>3780.0000000000005</v>
      </c>
      <c r="AZ143" s="1587">
        <f t="shared" ca="1" si="110"/>
        <v>0</v>
      </c>
      <c r="BC143" s="1212">
        <f t="shared" ca="1" si="111"/>
        <v>0</v>
      </c>
      <c r="BD143" s="1213">
        <f t="shared" ca="1" si="112"/>
        <v>0</v>
      </c>
      <c r="BE143" s="1587">
        <f t="shared" ca="1" si="113"/>
        <v>0</v>
      </c>
      <c r="BH143" s="1212">
        <f t="shared" ca="1" si="114"/>
        <v>0</v>
      </c>
      <c r="BI143" s="1213">
        <f t="shared" ca="1" si="115"/>
        <v>0</v>
      </c>
      <c r="BJ143" s="1587">
        <f t="shared" ca="1" si="116"/>
        <v>0</v>
      </c>
      <c r="BM143" s="1212">
        <f t="shared" ca="1" si="117"/>
        <v>0</v>
      </c>
      <c r="BN143" s="1213">
        <f t="shared" ca="1" si="118"/>
        <v>0</v>
      </c>
      <c r="BO143" s="1587">
        <f t="shared" ca="1" si="119"/>
        <v>0</v>
      </c>
      <c r="BR143" s="1212">
        <f t="shared" ca="1" si="120"/>
        <v>0</v>
      </c>
      <c r="BS143" s="1213">
        <f t="shared" ca="1" si="121"/>
        <v>0</v>
      </c>
      <c r="BT143" s="1587">
        <f t="shared" ca="1" si="122"/>
        <v>0</v>
      </c>
      <c r="BW143" s="1212">
        <f t="shared" ca="1" si="123"/>
        <v>0</v>
      </c>
      <c r="BX143" s="1213">
        <f t="shared" ca="1" si="124"/>
        <v>0</v>
      </c>
      <c r="BY143" s="1587">
        <f t="shared" ca="1" si="125"/>
        <v>0</v>
      </c>
      <c r="CB143" s="1212">
        <f t="shared" ca="1" si="126"/>
        <v>0</v>
      </c>
      <c r="CC143" s="1213">
        <f t="shared" ca="1" si="127"/>
        <v>0</v>
      </c>
      <c r="CD143" s="1587">
        <f t="shared" ca="1" si="128"/>
        <v>0</v>
      </c>
      <c r="CG143" s="1212">
        <f t="shared" ca="1" si="129"/>
        <v>0</v>
      </c>
      <c r="CH143" s="1213">
        <f t="shared" ca="1" si="130"/>
        <v>0</v>
      </c>
      <c r="CI143" s="1587">
        <f t="shared" ca="1" si="131"/>
        <v>0</v>
      </c>
      <c r="CL143" s="1212">
        <f t="shared" ca="1" si="132"/>
        <v>0</v>
      </c>
      <c r="CM143" s="1213">
        <f t="shared" ca="1" si="133"/>
        <v>0</v>
      </c>
      <c r="CN143" s="1587">
        <f t="shared" ca="1" si="134"/>
        <v>0</v>
      </c>
    </row>
    <row r="144" spans="1:92">
      <c r="A144" s="141" t="str">
        <f>'銀行-TSS'!A144</f>
        <v>XS2262853349</v>
      </c>
      <c r="B144" s="151" t="str">
        <f ca="1">VLOOKUP(A144,'銀行-TSS'!A:B,2,FALSE)</f>
        <v>XG290</v>
      </c>
      <c r="C144" s="151" t="str">
        <f ca="1">VLOOKUP(B144,bond!B:C,2,FALSE)</f>
        <v>沙烏地阿拉伯國家石油公司美元配息債券 3.25% 2050/11/24</v>
      </c>
      <c r="D144" s="95" t="str">
        <f>VLOOKUP(A144,'銀行-TSS'!A:C,3,FALSE)</f>
        <v>USD</v>
      </c>
      <c r="E144" s="90">
        <f ca="1">VLOOKUP(A144,'銀行-TSS'!A:G,7,FALSE)</f>
        <v>26.39</v>
      </c>
      <c r="F144" s="202">
        <f ca="1">VLOOKUP(A144,'銀行-TSS'!A:H,8,FALSE)</f>
        <v>3.2500000000000001E-2</v>
      </c>
      <c r="G144" s="96">
        <f ca="1">VLOOKUP(A144,'銀行-TSS'!A:K,11,FALSE)</f>
        <v>71.55</v>
      </c>
      <c r="H144" s="1209">
        <f ca="1">VLOOKUP(A144,'銀行-TSS'!A:M,13,FALSE)</f>
        <v>5.2900000000000003E-2</v>
      </c>
      <c r="I144" s="1213">
        <f ca="1">VLOOKUP(A144,'銀行-TSS'!A:N,14,FALSE)</f>
        <v>200000</v>
      </c>
      <c r="J144" s="1213">
        <f ca="1">VLOOKUP(A144,'銀行-TSS'!A:O,15,FALSE)</f>
        <v>1000</v>
      </c>
      <c r="K144" s="136" t="str">
        <f ca="1">VLOOKUP(A144,'銀行-TSS'!A:V,22,FALSE)</f>
        <v>(NPI)非專投</v>
      </c>
      <c r="L144" s="136" t="str">
        <f ca="1">VLOOKUP(A144,'銀行-TSS'!A:AK,37,FALSE)</f>
        <v>有</v>
      </c>
      <c r="M144" s="136" t="str">
        <f ca="1">VLOOKUP(A144,'銀行-TSS'!A:AN,40,FALSE)</f>
        <v/>
      </c>
      <c r="N144" s="136">
        <f t="shared" ca="1" si="90"/>
        <v>715.5</v>
      </c>
      <c r="O144" s="1213">
        <f t="shared" ca="1" si="91"/>
        <v>143100</v>
      </c>
      <c r="P144" s="1213">
        <f ca="1">IF(AND($O$1&gt;=O144,換券單檔!$D$13=D144),I144+INT(($O$1-O144)/N144)*J144,0)</f>
        <v>0</v>
      </c>
      <c r="Q144" s="1213">
        <f t="shared" ca="1" si="92"/>
        <v>0</v>
      </c>
      <c r="R144" s="1213">
        <f t="shared" ca="1" si="93"/>
        <v>0</v>
      </c>
      <c r="S144" s="1213">
        <f t="shared" ca="1" si="94"/>
        <v>0</v>
      </c>
      <c r="T144" s="136">
        <f ca="1">IF(OR(R144=0,A144=0),0,IF(AND(V144=TRUE,換券單檔!$D$13=D144),E144,0))</f>
        <v>0</v>
      </c>
      <c r="U144" s="861">
        <f ca="1">IF(OR(R144=0,A144=0),0,IF(AND(V144=TRUE,換券單檔!$D$13=D144),H144,0))</f>
        <v>0</v>
      </c>
      <c r="V144" s="136" t="b">
        <f ca="1">IF(OR(B144=換券單檔!$D$3,L144="無",M144&lt;&gt;"",K144="高資產",IFERROR(MATCH(B144,換券單檔!K:K,0),"N")&lt;&gt;"N"),FALSE,IF($V$1="All",TRUE,IF(K144=$V$1,TRUE,FALSE)))</f>
        <v>1</v>
      </c>
      <c r="W144" s="136">
        <f ca="1">VLOOKUP(A144,'銀行-TSS'!A:AO,41,FALSE)</f>
        <v>67.7</v>
      </c>
      <c r="X144" s="136">
        <f ca="1">VLOOKUP(A144,'銀行-TSS'!A:AP,42,FALSE)</f>
        <v>15.4412</v>
      </c>
      <c r="Y144" s="1220">
        <f t="shared" ca="1" si="95"/>
        <v>0</v>
      </c>
      <c r="Z144" s="1220">
        <f t="shared" ca="1" si="96"/>
        <v>0</v>
      </c>
      <c r="AA144" s="136">
        <f ca="1">IF(Z144&lt;=0,0,RANK(Z144,Z:Z)+COUNTIF($Z$3:$Z144,Z144)-1)</f>
        <v>0</v>
      </c>
      <c r="AB144" s="1211">
        <f t="shared" ca="1" si="97"/>
        <v>-114896.14</v>
      </c>
      <c r="AC144" s="136">
        <f ca="1">IF(AB144&lt;=0,0,RANK(AB144,AB:AB)+COUNTIF($AB$3:$AB144,AB144)-1)</f>
        <v>0</v>
      </c>
      <c r="AD144" s="1123">
        <f t="shared" ca="1" si="98"/>
        <v>99999</v>
      </c>
      <c r="AE144" s="1123">
        <f ca="1">IF(AD144=99999,0,RANK(AD144,AD:AD,1)+COUNTIF($AD$3:$AD144,AD144)-1)</f>
        <v>0</v>
      </c>
      <c r="AF144" s="86" t="b">
        <f ca="1">IF(OR(M144&lt;&gt;"",L144="無",K144="高資產",IFERROR(MATCH(B144,換券單檔!K:K,0),"N")&lt;&gt;"N"),FALSE,TRUE)</f>
        <v>1</v>
      </c>
      <c r="AI144" s="1212">
        <f t="shared" ca="1" si="99"/>
        <v>0</v>
      </c>
      <c r="AJ144" s="1213">
        <f t="shared" ca="1" si="100"/>
        <v>0</v>
      </c>
      <c r="AK144" s="1587">
        <f t="shared" ca="1" si="101"/>
        <v>0</v>
      </c>
      <c r="AN144" s="1212">
        <f t="shared" ca="1" si="102"/>
        <v>0</v>
      </c>
      <c r="AO144" s="1213">
        <f t="shared" ca="1" si="103"/>
        <v>0</v>
      </c>
      <c r="AP144" s="1587">
        <f t="shared" ca="1" si="104"/>
        <v>0</v>
      </c>
      <c r="AS144" s="1212">
        <f t="shared" ca="1" si="105"/>
        <v>0</v>
      </c>
      <c r="AT144" s="1213">
        <f t="shared" ca="1" si="106"/>
        <v>0</v>
      </c>
      <c r="AU144" s="1587">
        <f t="shared" ca="1" si="107"/>
        <v>0</v>
      </c>
      <c r="AX144" s="1212">
        <f t="shared" ca="1" si="108"/>
        <v>0</v>
      </c>
      <c r="AY144" s="1213">
        <f t="shared" ca="1" si="109"/>
        <v>0</v>
      </c>
      <c r="AZ144" s="1587">
        <f t="shared" ca="1" si="110"/>
        <v>0</v>
      </c>
      <c r="BC144" s="1212">
        <f t="shared" ca="1" si="111"/>
        <v>0</v>
      </c>
      <c r="BD144" s="1213">
        <f t="shared" ca="1" si="112"/>
        <v>0</v>
      </c>
      <c r="BE144" s="1587">
        <f t="shared" ca="1" si="113"/>
        <v>0</v>
      </c>
      <c r="BH144" s="1212">
        <f t="shared" ca="1" si="114"/>
        <v>0</v>
      </c>
      <c r="BI144" s="1213">
        <f t="shared" ca="1" si="115"/>
        <v>0</v>
      </c>
      <c r="BJ144" s="1587">
        <f t="shared" ca="1" si="116"/>
        <v>0</v>
      </c>
      <c r="BM144" s="1212">
        <f t="shared" ca="1" si="117"/>
        <v>0</v>
      </c>
      <c r="BN144" s="1213">
        <f t="shared" ca="1" si="118"/>
        <v>0</v>
      </c>
      <c r="BO144" s="1587">
        <f t="shared" ca="1" si="119"/>
        <v>0</v>
      </c>
      <c r="BR144" s="1212">
        <f t="shared" ca="1" si="120"/>
        <v>0</v>
      </c>
      <c r="BS144" s="1213">
        <f t="shared" ca="1" si="121"/>
        <v>0</v>
      </c>
      <c r="BT144" s="1587">
        <f t="shared" ca="1" si="122"/>
        <v>0</v>
      </c>
      <c r="BW144" s="1212">
        <f t="shared" ca="1" si="123"/>
        <v>0</v>
      </c>
      <c r="BX144" s="1213">
        <f t="shared" ca="1" si="124"/>
        <v>0</v>
      </c>
      <c r="BY144" s="1587">
        <f t="shared" ca="1" si="125"/>
        <v>0</v>
      </c>
      <c r="CB144" s="1212">
        <f t="shared" ca="1" si="126"/>
        <v>0</v>
      </c>
      <c r="CC144" s="1213">
        <f t="shared" ca="1" si="127"/>
        <v>0</v>
      </c>
      <c r="CD144" s="1587">
        <f t="shared" ca="1" si="128"/>
        <v>0</v>
      </c>
      <c r="CG144" s="1212">
        <f t="shared" ca="1" si="129"/>
        <v>0</v>
      </c>
      <c r="CH144" s="1213">
        <f t="shared" ca="1" si="130"/>
        <v>0</v>
      </c>
      <c r="CI144" s="1587">
        <f t="shared" ca="1" si="131"/>
        <v>0</v>
      </c>
      <c r="CL144" s="1212">
        <f t="shared" ca="1" si="132"/>
        <v>0</v>
      </c>
      <c r="CM144" s="1213">
        <f t="shared" ca="1" si="133"/>
        <v>0</v>
      </c>
      <c r="CN144" s="1587">
        <f t="shared" ca="1" si="134"/>
        <v>0</v>
      </c>
    </row>
    <row r="145" spans="1:92">
      <c r="A145" s="141" t="str">
        <f>'銀行-TSS'!A145</f>
        <v>US02079KAG22</v>
      </c>
      <c r="B145" s="151" t="str">
        <f ca="1">VLOOKUP(A145,'銀行-TSS'!A:B,2,FALSE)</f>
        <v>XG300</v>
      </c>
      <c r="C145" s="151" t="str">
        <f ca="1">VLOOKUP(B145,bond!B:C,2,FALSE)</f>
        <v>Alphabet公司美元配息債券 2.25% 2060/8/15</v>
      </c>
      <c r="D145" s="95" t="str">
        <f>VLOOKUP(A145,'銀行-TSS'!A:C,3,FALSE)</f>
        <v>USD</v>
      </c>
      <c r="E145" s="90">
        <f ca="1">VLOOKUP(A145,'銀行-TSS'!A:G,7,FALSE)</f>
        <v>36.119999999999997</v>
      </c>
      <c r="F145" s="202">
        <f ca="1">VLOOKUP(A145,'銀行-TSS'!A:H,8,FALSE)</f>
        <v>2.2499999999999999E-2</v>
      </c>
      <c r="G145" s="96">
        <f ca="1">VLOOKUP(A145,'銀行-TSS'!A:K,11,FALSE)</f>
        <v>60.32</v>
      </c>
      <c r="H145" s="1209">
        <f ca="1">VLOOKUP(A145,'銀行-TSS'!A:M,13,FALSE)</f>
        <v>4.5499999999999999E-2</v>
      </c>
      <c r="I145" s="1213">
        <f ca="1">VLOOKUP(A145,'銀行-TSS'!A:N,14,FALSE)</f>
        <v>10000</v>
      </c>
      <c r="J145" s="1213">
        <f ca="1">VLOOKUP(A145,'銀行-TSS'!A:O,15,FALSE)</f>
        <v>1000</v>
      </c>
      <c r="K145" s="136" t="str">
        <f ca="1">VLOOKUP(A145,'銀行-TSS'!A:V,22,FALSE)</f>
        <v>(NPI)非專投</v>
      </c>
      <c r="L145" s="136" t="str">
        <f ca="1">VLOOKUP(A145,'銀行-TSS'!A:AK,37,FALSE)</f>
        <v>有</v>
      </c>
      <c r="M145" s="136" t="str">
        <f ca="1">VLOOKUP(A145,'銀行-TSS'!A:AN,40,FALSE)</f>
        <v/>
      </c>
      <c r="N145" s="136">
        <f t="shared" ca="1" si="90"/>
        <v>603.20000000000005</v>
      </c>
      <c r="O145" s="1213">
        <f t="shared" ca="1" si="91"/>
        <v>6032</v>
      </c>
      <c r="P145" s="1213">
        <f ca="1">IF(AND($O$1&gt;=O145,換券單檔!$D$13=D145),I145+INT(($O$1-O145)/N145)*J145,0)</f>
        <v>160000</v>
      </c>
      <c r="Q145" s="1213">
        <f t="shared" ca="1" si="92"/>
        <v>3600</v>
      </c>
      <c r="R145" s="1213">
        <f t="shared" ca="1" si="93"/>
        <v>160000</v>
      </c>
      <c r="S145" s="1213">
        <f t="shared" ca="1" si="94"/>
        <v>3600</v>
      </c>
      <c r="T145" s="136">
        <f ca="1">IF(OR(R145=0,A145=0),0,IF(AND(V145=TRUE,換券單檔!$D$13=D145),E145,0))</f>
        <v>36.119999999999997</v>
      </c>
      <c r="U145" s="861">
        <f ca="1">IF(OR(R145=0,A145=0),0,IF(AND(V145=TRUE,換券單檔!$D$13=D145),H145,0))</f>
        <v>4.5499999999999999E-2</v>
      </c>
      <c r="V145" s="136" t="b">
        <f ca="1">IF(OR(B145=換券單檔!$D$3,L145="無",M145&lt;&gt;"",K145="高資產",IFERROR(MATCH(B145,換券單檔!K:K,0),"N")&lt;&gt;"N"),FALSE,IF($V$1="All",TRUE,IF(K145=$V$1,TRUE,FALSE)))</f>
        <v>1</v>
      </c>
      <c r="W145" s="136">
        <f ca="1">VLOOKUP(A145,'銀行-TSS'!A:AO,41,FALSE)</f>
        <v>55.96</v>
      </c>
      <c r="X145" s="136">
        <f ca="1">VLOOKUP(A145,'銀行-TSS'!A:AP,42,FALSE)</f>
        <v>19.9892</v>
      </c>
      <c r="Y145" s="1220">
        <f t="shared" ca="1" si="95"/>
        <v>17897.530112</v>
      </c>
      <c r="Z145" s="1220">
        <f t="shared" ca="1" si="96"/>
        <v>0</v>
      </c>
      <c r="AA145" s="136">
        <f ca="1">IF(Z145&lt;=0,0,RANK(Z145,Z:Z)+COUNTIF($Z$3:$Z145,Z145)-1)</f>
        <v>0</v>
      </c>
      <c r="AB145" s="1211">
        <f t="shared" ca="1" si="97"/>
        <v>3001.390112000001</v>
      </c>
      <c r="AC145" s="136">
        <f ca="1">IF(AB145&lt;=0,0,RANK(AB145,AB:AB)+COUNTIF($AB$3:$AB145,AB145)-1)</f>
        <v>1</v>
      </c>
      <c r="AD145" s="1123">
        <f t="shared" ca="1" si="98"/>
        <v>99999</v>
      </c>
      <c r="AE145" s="1123">
        <f ca="1">IF(AD145=99999,0,RANK(AD145,AD:AD,1)+COUNTIF($AD$3:$AD145,AD145)-1)</f>
        <v>0</v>
      </c>
      <c r="AF145" s="86" t="b">
        <f ca="1">IF(OR(M145&lt;&gt;"",L145="無",K145="高資產",IFERROR(MATCH(B145,換券單檔!K:K,0),"N")&lt;&gt;"N"),FALSE,TRUE)</f>
        <v>1</v>
      </c>
      <c r="AI145" s="1212">
        <f t="shared" ca="1" si="99"/>
        <v>160000</v>
      </c>
      <c r="AJ145" s="1213">
        <f t="shared" ca="1" si="100"/>
        <v>3600</v>
      </c>
      <c r="AK145" s="1587">
        <f t="shared" ca="1" si="101"/>
        <v>0</v>
      </c>
      <c r="AN145" s="1212">
        <f t="shared" ca="1" si="102"/>
        <v>91000</v>
      </c>
      <c r="AO145" s="1213">
        <f t="shared" ca="1" si="103"/>
        <v>2047.5</v>
      </c>
      <c r="AP145" s="1587">
        <f t="shared" ca="1" si="104"/>
        <v>0</v>
      </c>
      <c r="AS145" s="1212">
        <f t="shared" ca="1" si="105"/>
        <v>156000</v>
      </c>
      <c r="AT145" s="1213">
        <f t="shared" ca="1" si="106"/>
        <v>3510</v>
      </c>
      <c r="AU145" s="1587">
        <f t="shared" ca="1" si="107"/>
        <v>0</v>
      </c>
      <c r="AX145" s="1212">
        <f t="shared" ca="1" si="108"/>
        <v>144000</v>
      </c>
      <c r="AY145" s="1213">
        <f t="shared" ca="1" si="109"/>
        <v>3240</v>
      </c>
      <c r="AZ145" s="1587">
        <f t="shared" ca="1" si="110"/>
        <v>0</v>
      </c>
      <c r="BC145" s="1212">
        <f t="shared" ca="1" si="111"/>
        <v>0</v>
      </c>
      <c r="BD145" s="1213">
        <f t="shared" ca="1" si="112"/>
        <v>0</v>
      </c>
      <c r="BE145" s="1587">
        <f t="shared" ca="1" si="113"/>
        <v>0</v>
      </c>
      <c r="BH145" s="1212">
        <f t="shared" ca="1" si="114"/>
        <v>0</v>
      </c>
      <c r="BI145" s="1213">
        <f t="shared" ca="1" si="115"/>
        <v>0</v>
      </c>
      <c r="BJ145" s="1587">
        <f t="shared" ca="1" si="116"/>
        <v>0</v>
      </c>
      <c r="BM145" s="1212">
        <f t="shared" ca="1" si="117"/>
        <v>0</v>
      </c>
      <c r="BN145" s="1213">
        <f t="shared" ca="1" si="118"/>
        <v>0</v>
      </c>
      <c r="BO145" s="1587">
        <f t="shared" ca="1" si="119"/>
        <v>0</v>
      </c>
      <c r="BR145" s="1212">
        <f t="shared" ca="1" si="120"/>
        <v>0</v>
      </c>
      <c r="BS145" s="1213">
        <f t="shared" ca="1" si="121"/>
        <v>0</v>
      </c>
      <c r="BT145" s="1587">
        <f t="shared" ca="1" si="122"/>
        <v>0</v>
      </c>
      <c r="BW145" s="1212">
        <f t="shared" ca="1" si="123"/>
        <v>0</v>
      </c>
      <c r="BX145" s="1213">
        <f t="shared" ca="1" si="124"/>
        <v>0</v>
      </c>
      <c r="BY145" s="1587">
        <f t="shared" ca="1" si="125"/>
        <v>0</v>
      </c>
      <c r="CB145" s="1212">
        <f t="shared" ca="1" si="126"/>
        <v>0</v>
      </c>
      <c r="CC145" s="1213">
        <f t="shared" ca="1" si="127"/>
        <v>0</v>
      </c>
      <c r="CD145" s="1587">
        <f t="shared" ca="1" si="128"/>
        <v>0</v>
      </c>
      <c r="CG145" s="1212">
        <f t="shared" ca="1" si="129"/>
        <v>0</v>
      </c>
      <c r="CH145" s="1213">
        <f t="shared" ca="1" si="130"/>
        <v>0</v>
      </c>
      <c r="CI145" s="1587">
        <f t="shared" ca="1" si="131"/>
        <v>0</v>
      </c>
      <c r="CL145" s="1212">
        <f t="shared" ca="1" si="132"/>
        <v>0</v>
      </c>
      <c r="CM145" s="1213">
        <f t="shared" ca="1" si="133"/>
        <v>0</v>
      </c>
      <c r="CN145" s="1587">
        <f t="shared" ca="1" si="134"/>
        <v>0</v>
      </c>
    </row>
    <row r="146" spans="1:92">
      <c r="A146" s="141" t="str">
        <f>'銀行-TSS'!A146</f>
        <v>US855244AH20</v>
      </c>
      <c r="B146" s="151" t="str">
        <f ca="1">VLOOKUP(A146,'銀行-TSS'!A:B,2,FALSE)</f>
        <v>XG310</v>
      </c>
      <c r="C146" s="151" t="str">
        <f ca="1">VLOOKUP(B146,bond!B:C,2,FALSE)</f>
        <v>星巴克公司美元配息債券 4.3% 2045/6/15</v>
      </c>
      <c r="D146" s="95" t="str">
        <f>VLOOKUP(A146,'銀行-TSS'!A:C,3,FALSE)</f>
        <v>USD</v>
      </c>
      <c r="E146" s="90">
        <f ca="1">VLOOKUP(A146,'銀行-TSS'!A:G,7,FALSE)</f>
        <v>20.95</v>
      </c>
      <c r="F146" s="202">
        <f ca="1">VLOOKUP(A146,'銀行-TSS'!A:H,8,FALSE)</f>
        <v>4.2999999999999997E-2</v>
      </c>
      <c r="G146" s="96">
        <f ca="1">VLOOKUP(A146,'銀行-TSS'!A:K,11,FALSE)</f>
        <v>86.41</v>
      </c>
      <c r="H146" s="1209">
        <f ca="1">VLOOKUP(A146,'銀行-TSS'!A:M,13,FALSE)</f>
        <v>5.4100000000000002E-2</v>
      </c>
      <c r="I146" s="1213">
        <f ca="1">VLOOKUP(A146,'銀行-TSS'!A:N,14,FALSE)</f>
        <v>10000</v>
      </c>
      <c r="J146" s="1213">
        <f ca="1">VLOOKUP(A146,'銀行-TSS'!A:O,15,FALSE)</f>
        <v>1000</v>
      </c>
      <c r="K146" s="136" t="str">
        <f ca="1">VLOOKUP(A146,'銀行-TSS'!A:V,22,FALSE)</f>
        <v>(PI)專投</v>
      </c>
      <c r="L146" s="136" t="str">
        <f ca="1">VLOOKUP(A146,'銀行-TSS'!A:AK,37,FALSE)</f>
        <v>需查詢</v>
      </c>
      <c r="M146" s="136" t="str">
        <f ca="1">VLOOKUP(A146,'銀行-TSS'!A:AN,40,FALSE)</f>
        <v/>
      </c>
      <c r="N146" s="136">
        <f t="shared" ca="1" si="90"/>
        <v>864.1</v>
      </c>
      <c r="O146" s="1213">
        <f t="shared" ca="1" si="91"/>
        <v>8641</v>
      </c>
      <c r="P146" s="1213">
        <f ca="1">IF(AND($O$1&gt;=O146,換券單檔!$D$13=D146),I146+INT(($O$1-O146)/N146)*J146,0)</f>
        <v>111000</v>
      </c>
      <c r="Q146" s="1213">
        <f t="shared" ca="1" si="92"/>
        <v>4773</v>
      </c>
      <c r="R146" s="1213">
        <f t="shared" ca="1" si="93"/>
        <v>111000</v>
      </c>
      <c r="S146" s="1213">
        <f t="shared" ca="1" si="94"/>
        <v>4773</v>
      </c>
      <c r="T146" s="136">
        <f ca="1">IF(OR(R146=0,A146=0),0,IF(AND(V146=TRUE,換券單檔!$D$13=D146),E146,0))</f>
        <v>20.95</v>
      </c>
      <c r="U146" s="861">
        <f ca="1">IF(OR(R146=0,A146=0),0,IF(AND(V146=TRUE,換券單檔!$D$13=D146),H146,0))</f>
        <v>5.4100000000000002E-2</v>
      </c>
      <c r="V146" s="136" t="b">
        <f ca="1">IF(OR(B146=換券單檔!$D$3,L146="無",M146&lt;&gt;"",K146="高資產",IFERROR(MATCH(B146,換券單檔!K:K,0),"N")&lt;&gt;"N"),FALSE,IF($V$1="All",TRUE,IF(K146=$V$1,TRUE,FALSE)))</f>
        <v>1</v>
      </c>
      <c r="W146" s="136">
        <f ca="1">VLOOKUP(A146,'銀行-TSS'!A:AO,41,FALSE)</f>
        <v>83.210000000000008</v>
      </c>
      <c r="X146" s="136">
        <f ca="1">VLOOKUP(A146,'銀行-TSS'!A:AP,42,FALSE)</f>
        <v>12.9217</v>
      </c>
      <c r="Y146" s="1220">
        <f t="shared" ca="1" si="95"/>
        <v>11934.882692700001</v>
      </c>
      <c r="Z146" s="1220">
        <f t="shared" ca="1" si="96"/>
        <v>37.04295942721032</v>
      </c>
      <c r="AA146" s="136">
        <f ca="1">IF(Z146&lt;=0,0,RANK(Z146,Z:Z)+COUNTIF($Z$3:$Z146,Z146)-1)</f>
        <v>22</v>
      </c>
      <c r="AB146" s="1211">
        <f t="shared" ca="1" si="97"/>
        <v>-2961.2573072999985</v>
      </c>
      <c r="AC146" s="136">
        <f ca="1">IF(AB146&lt;=0,0,RANK(AB146,AB:AB)+COUNTIF($AB$3:$AB146,AB146)-1)</f>
        <v>0</v>
      </c>
      <c r="AD146" s="1123">
        <f t="shared" ca="1" si="98"/>
        <v>99999</v>
      </c>
      <c r="AE146" s="1123">
        <f ca="1">IF(AD146=99999,0,RANK(AD146,AD:AD,1)+COUNTIF($AD$3:$AD146,AD146)-1)</f>
        <v>0</v>
      </c>
      <c r="AF146" s="86" t="b">
        <f ca="1">IF(OR(M146&lt;&gt;"",L146="無",K146="高資產",IFERROR(MATCH(B146,換券單檔!K:K,0),"N")&lt;&gt;"N"),FALSE,TRUE)</f>
        <v>1</v>
      </c>
      <c r="AI146" s="1212">
        <f t="shared" ca="1" si="99"/>
        <v>111000</v>
      </c>
      <c r="AJ146" s="1213">
        <f t="shared" ca="1" si="100"/>
        <v>4773</v>
      </c>
      <c r="AK146" s="1587">
        <f t="shared" ca="1" si="101"/>
        <v>37.04295942721032</v>
      </c>
      <c r="AN146" s="1212">
        <f t="shared" ca="1" si="102"/>
        <v>64000</v>
      </c>
      <c r="AO146" s="1213">
        <f t="shared" ca="1" si="103"/>
        <v>2752</v>
      </c>
      <c r="AP146" s="1587">
        <f t="shared" ca="1" si="104"/>
        <v>-70529.94272076372</v>
      </c>
      <c r="AS146" s="1212">
        <f t="shared" ca="1" si="105"/>
        <v>109000</v>
      </c>
      <c r="AT146" s="1213">
        <f t="shared" ca="1" si="106"/>
        <v>4687</v>
      </c>
      <c r="AU146" s="1587">
        <f t="shared" ca="1" si="107"/>
        <v>-335.74224343675417</v>
      </c>
      <c r="AX146" s="1212">
        <f t="shared" ca="1" si="108"/>
        <v>100000</v>
      </c>
      <c r="AY146" s="1213">
        <f t="shared" ca="1" si="109"/>
        <v>4300</v>
      </c>
      <c r="AZ146" s="1587">
        <f t="shared" ca="1" si="110"/>
        <v>-439.26014319809332</v>
      </c>
      <c r="BC146" s="1212">
        <f t="shared" ca="1" si="111"/>
        <v>0</v>
      </c>
      <c r="BD146" s="1213">
        <f t="shared" ca="1" si="112"/>
        <v>0</v>
      </c>
      <c r="BE146" s="1587">
        <f t="shared" ca="1" si="113"/>
        <v>0</v>
      </c>
      <c r="BH146" s="1212">
        <f t="shared" ca="1" si="114"/>
        <v>0</v>
      </c>
      <c r="BI146" s="1213">
        <f t="shared" ca="1" si="115"/>
        <v>0</v>
      </c>
      <c r="BJ146" s="1587">
        <f t="shared" ca="1" si="116"/>
        <v>0</v>
      </c>
      <c r="BM146" s="1212">
        <f t="shared" ca="1" si="117"/>
        <v>0</v>
      </c>
      <c r="BN146" s="1213">
        <f t="shared" ca="1" si="118"/>
        <v>0</v>
      </c>
      <c r="BO146" s="1587">
        <f t="shared" ca="1" si="119"/>
        <v>0</v>
      </c>
      <c r="BR146" s="1212">
        <f t="shared" ca="1" si="120"/>
        <v>0</v>
      </c>
      <c r="BS146" s="1213">
        <f t="shared" ca="1" si="121"/>
        <v>0</v>
      </c>
      <c r="BT146" s="1587">
        <f t="shared" ca="1" si="122"/>
        <v>0</v>
      </c>
      <c r="BW146" s="1212">
        <f t="shared" ca="1" si="123"/>
        <v>0</v>
      </c>
      <c r="BX146" s="1213">
        <f t="shared" ca="1" si="124"/>
        <v>0</v>
      </c>
      <c r="BY146" s="1587">
        <f t="shared" ca="1" si="125"/>
        <v>0</v>
      </c>
      <c r="CB146" s="1212">
        <f t="shared" ca="1" si="126"/>
        <v>0</v>
      </c>
      <c r="CC146" s="1213">
        <f t="shared" ca="1" si="127"/>
        <v>0</v>
      </c>
      <c r="CD146" s="1587">
        <f t="shared" ca="1" si="128"/>
        <v>0</v>
      </c>
      <c r="CG146" s="1212">
        <f t="shared" ca="1" si="129"/>
        <v>0</v>
      </c>
      <c r="CH146" s="1213">
        <f t="shared" ca="1" si="130"/>
        <v>0</v>
      </c>
      <c r="CI146" s="1587">
        <f t="shared" ca="1" si="131"/>
        <v>0</v>
      </c>
      <c r="CL146" s="1212">
        <f t="shared" ca="1" si="132"/>
        <v>0</v>
      </c>
      <c r="CM146" s="1213">
        <f t="shared" ca="1" si="133"/>
        <v>0</v>
      </c>
      <c r="CN146" s="1587">
        <f t="shared" ca="1" si="134"/>
        <v>0</v>
      </c>
    </row>
    <row r="147" spans="1:92">
      <c r="A147" s="141" t="str">
        <f>'銀行-TSS'!A147</f>
        <v>USU1109MAT37</v>
      </c>
      <c r="B147" s="151" t="str">
        <f ca="1">VLOOKUP(A147,'銀行-TSS'!A:B,2,FALSE)</f>
        <v>XG320</v>
      </c>
      <c r="C147" s="151" t="str">
        <f ca="1">VLOOKUP(B147,bond!B:C,2,FALSE)</f>
        <v>博通公司美元配息債券 3.5% 2041/2/15</v>
      </c>
      <c r="D147" s="95" t="str">
        <f>VLOOKUP(A147,'銀行-TSS'!A:C,3,FALSE)</f>
        <v>USD</v>
      </c>
      <c r="E147" s="90">
        <f ca="1">VLOOKUP(A147,'銀行-TSS'!A:G,7,FALSE)</f>
        <v>16.62</v>
      </c>
      <c r="F147" s="202">
        <f ca="1">VLOOKUP(A147,'銀行-TSS'!A:H,8,FALSE)</f>
        <v>3.5000000000000003E-2</v>
      </c>
      <c r="G147" s="96">
        <f ca="1">VLOOKUP(A147,'銀行-TSS'!A:K,11,FALSE)</f>
        <v>81.92</v>
      </c>
      <c r="H147" s="1209">
        <f ca="1">VLOOKUP(A147,'銀行-TSS'!A:M,13,FALSE)</f>
        <v>5.2699999999999997E-2</v>
      </c>
      <c r="I147" s="1213">
        <f ca="1">VLOOKUP(A147,'銀行-TSS'!A:N,14,FALSE)</f>
        <v>10000</v>
      </c>
      <c r="J147" s="1213">
        <f ca="1">VLOOKUP(A147,'銀行-TSS'!A:O,15,FALSE)</f>
        <v>1000</v>
      </c>
      <c r="K147" s="136" t="str">
        <f ca="1">VLOOKUP(A147,'銀行-TSS'!A:V,22,FALSE)</f>
        <v>(PI)專投</v>
      </c>
      <c r="L147" s="136" t="str">
        <f ca="1">VLOOKUP(A147,'銀行-TSS'!A:AK,37,FALSE)</f>
        <v>有</v>
      </c>
      <c r="M147" s="136" t="str">
        <f ca="1">VLOOKUP(A147,'銀行-TSS'!A:AN,40,FALSE)</f>
        <v/>
      </c>
      <c r="N147" s="136">
        <f t="shared" ca="1" si="90"/>
        <v>819.2</v>
      </c>
      <c r="O147" s="1213">
        <f t="shared" ca="1" si="91"/>
        <v>8192</v>
      </c>
      <c r="P147" s="1213">
        <f ca="1">IF(AND($O$1&gt;=O147,換券單檔!$D$13=D147),I147+INT(($O$1-O147)/N147)*J147,0)</f>
        <v>118000</v>
      </c>
      <c r="Q147" s="1213">
        <f t="shared" ca="1" si="92"/>
        <v>4130</v>
      </c>
      <c r="R147" s="1213">
        <f t="shared" ca="1" si="93"/>
        <v>118000</v>
      </c>
      <c r="S147" s="1213">
        <f t="shared" ca="1" si="94"/>
        <v>4130</v>
      </c>
      <c r="T147" s="136">
        <f ca="1">IF(OR(R147=0,A147=0),0,IF(AND(V147=TRUE,換券單檔!$D$13=D147),E147,0))</f>
        <v>16.62</v>
      </c>
      <c r="U147" s="861">
        <f ca="1">IF(OR(R147=0,A147=0),0,IF(AND(V147=TRUE,換券單檔!$D$13=D147),H147,0))</f>
        <v>5.2699999999999997E-2</v>
      </c>
      <c r="V147" s="136" t="b">
        <f ca="1">IF(OR(B147=換券單檔!$D$3,L147="無",M147&lt;&gt;"",K147="高資產",IFERROR(MATCH(B147,換券單檔!K:K,0),"N")&lt;&gt;"N"),FALSE,IF($V$1="All",TRUE,IF(K147=$V$1,TRUE,FALSE)))</f>
        <v>1</v>
      </c>
      <c r="W147" s="136">
        <f ca="1">VLOOKUP(A147,'銀行-TSS'!A:AO,41,FALSE)</f>
        <v>77.59</v>
      </c>
      <c r="X147" s="136">
        <f ca="1">VLOOKUP(A147,'銀行-TSS'!A:AP,42,FALSE)</f>
        <v>11.625</v>
      </c>
      <c r="Y147" s="1220">
        <f t="shared" ca="1" si="95"/>
        <v>10643.40825</v>
      </c>
      <c r="Z147" s="1220">
        <f t="shared" ca="1" si="96"/>
        <v>0</v>
      </c>
      <c r="AA147" s="136">
        <f ca="1">IF(Z147&lt;=0,0,RANK(Z147,Z:Z)+COUNTIF($Z$3:$Z147,Z147)-1)</f>
        <v>0</v>
      </c>
      <c r="AB147" s="1211">
        <f t="shared" ca="1" si="97"/>
        <v>-4252.731749999999</v>
      </c>
      <c r="AC147" s="136">
        <f ca="1">IF(AB147&lt;=0,0,RANK(AB147,AB:AB)+COUNTIF($AB$3:$AB147,AB147)-1)</f>
        <v>0</v>
      </c>
      <c r="AD147" s="1123">
        <f t="shared" ca="1" si="98"/>
        <v>99999</v>
      </c>
      <c r="AE147" s="1123">
        <f ca="1">IF(AD147=99999,0,RANK(AD147,AD:AD,1)+COUNTIF($AD$3:$AD147,AD147)-1)</f>
        <v>0</v>
      </c>
      <c r="AF147" s="86" t="b">
        <f ca="1">IF(OR(M147&lt;&gt;"",L147="無",K147="高資產",IFERROR(MATCH(B147,換券單檔!K:K,0),"N")&lt;&gt;"N"),FALSE,TRUE)</f>
        <v>1</v>
      </c>
      <c r="AI147" s="1212">
        <f t="shared" ca="1" si="99"/>
        <v>118000</v>
      </c>
      <c r="AJ147" s="1213">
        <f t="shared" ca="1" si="100"/>
        <v>4130</v>
      </c>
      <c r="AK147" s="1587">
        <f t="shared" ca="1" si="101"/>
        <v>0</v>
      </c>
      <c r="AN147" s="1212">
        <f t="shared" ca="1" si="102"/>
        <v>67000</v>
      </c>
      <c r="AO147" s="1213">
        <f t="shared" ca="1" si="103"/>
        <v>2345</v>
      </c>
      <c r="AP147" s="1587">
        <f t="shared" ca="1" si="104"/>
        <v>-65723.574007220217</v>
      </c>
      <c r="AS147" s="1212">
        <f t="shared" ca="1" si="105"/>
        <v>115000</v>
      </c>
      <c r="AT147" s="1213">
        <f t="shared" ca="1" si="106"/>
        <v>4025.0000000000005</v>
      </c>
      <c r="AU147" s="1587">
        <f t="shared" ca="1" si="107"/>
        <v>0</v>
      </c>
      <c r="AX147" s="1212">
        <f t="shared" ca="1" si="108"/>
        <v>106000</v>
      </c>
      <c r="AY147" s="1213">
        <f t="shared" ca="1" si="109"/>
        <v>3710.0000000000005</v>
      </c>
      <c r="AZ147" s="1587">
        <f t="shared" ca="1" si="110"/>
        <v>0</v>
      </c>
      <c r="BC147" s="1212">
        <f t="shared" ca="1" si="111"/>
        <v>0</v>
      </c>
      <c r="BD147" s="1213">
        <f t="shared" ca="1" si="112"/>
        <v>0</v>
      </c>
      <c r="BE147" s="1587">
        <f t="shared" ca="1" si="113"/>
        <v>0</v>
      </c>
      <c r="BH147" s="1212">
        <f t="shared" ca="1" si="114"/>
        <v>0</v>
      </c>
      <c r="BI147" s="1213">
        <f t="shared" ca="1" si="115"/>
        <v>0</v>
      </c>
      <c r="BJ147" s="1587">
        <f t="shared" ca="1" si="116"/>
        <v>0</v>
      </c>
      <c r="BM147" s="1212">
        <f t="shared" ca="1" si="117"/>
        <v>0</v>
      </c>
      <c r="BN147" s="1213">
        <f t="shared" ca="1" si="118"/>
        <v>0</v>
      </c>
      <c r="BO147" s="1587">
        <f t="shared" ca="1" si="119"/>
        <v>0</v>
      </c>
      <c r="BR147" s="1212">
        <f t="shared" ca="1" si="120"/>
        <v>0</v>
      </c>
      <c r="BS147" s="1213">
        <f t="shared" ca="1" si="121"/>
        <v>0</v>
      </c>
      <c r="BT147" s="1587">
        <f t="shared" ca="1" si="122"/>
        <v>0</v>
      </c>
      <c r="BW147" s="1212">
        <f t="shared" ca="1" si="123"/>
        <v>0</v>
      </c>
      <c r="BX147" s="1213">
        <f t="shared" ca="1" si="124"/>
        <v>0</v>
      </c>
      <c r="BY147" s="1587">
        <f t="shared" ca="1" si="125"/>
        <v>0</v>
      </c>
      <c r="CB147" s="1212">
        <f t="shared" ca="1" si="126"/>
        <v>0</v>
      </c>
      <c r="CC147" s="1213">
        <f t="shared" ca="1" si="127"/>
        <v>0</v>
      </c>
      <c r="CD147" s="1587">
        <f t="shared" ca="1" si="128"/>
        <v>0</v>
      </c>
      <c r="CG147" s="1212">
        <f t="shared" ca="1" si="129"/>
        <v>0</v>
      </c>
      <c r="CH147" s="1213">
        <f t="shared" ca="1" si="130"/>
        <v>0</v>
      </c>
      <c r="CI147" s="1587">
        <f t="shared" ca="1" si="131"/>
        <v>0</v>
      </c>
      <c r="CL147" s="1212">
        <f t="shared" ca="1" si="132"/>
        <v>0</v>
      </c>
      <c r="CM147" s="1213">
        <f t="shared" ca="1" si="133"/>
        <v>0</v>
      </c>
      <c r="CN147" s="1587">
        <f t="shared" ca="1" si="134"/>
        <v>0</v>
      </c>
    </row>
    <row r="148" spans="1:92">
      <c r="A148" s="141" t="str">
        <f>'銀行-TSS'!A148</f>
        <v>US91912EAA38</v>
      </c>
      <c r="B148" s="151" t="str">
        <f ca="1">VLOOKUP(A148,'銀行-TSS'!A:B,2,FALSE)</f>
        <v>XG330</v>
      </c>
      <c r="C148" s="151" t="str">
        <f ca="1">VLOOKUP(B148,bond!B:C,2,FALSE)</f>
        <v>巴西淡水河谷公司美元配息債券  5.625% 2042/9/11</v>
      </c>
      <c r="D148" s="95" t="str">
        <f>VLOOKUP(A148,'銀行-TSS'!A:C,3,FALSE)</f>
        <v>USD</v>
      </c>
      <c r="E148" s="90">
        <f ca="1">VLOOKUP(A148,'銀行-TSS'!A:G,7,FALSE)</f>
        <v>18.190000000000001</v>
      </c>
      <c r="F148" s="202">
        <f ca="1">VLOOKUP(A148,'銀行-TSS'!A:H,8,FALSE)</f>
        <v>5.6250000000000001E-2</v>
      </c>
      <c r="G148" s="96">
        <f ca="1">VLOOKUP(A148,'銀行-TSS'!A:K,11,FALSE)</f>
        <v>103.37</v>
      </c>
      <c r="H148" s="1209">
        <f ca="1">VLOOKUP(A148,'銀行-TSS'!A:M,13,FALSE)</f>
        <v>5.4800000000000001E-2</v>
      </c>
      <c r="I148" s="1213">
        <f ca="1">VLOOKUP(A148,'銀行-TSS'!A:N,14,FALSE)</f>
        <v>10000</v>
      </c>
      <c r="J148" s="1213">
        <f ca="1">VLOOKUP(A148,'銀行-TSS'!A:O,15,FALSE)</f>
        <v>1000</v>
      </c>
      <c r="K148" s="136" t="str">
        <f ca="1">VLOOKUP(A148,'銀行-TSS'!A:V,22,FALSE)</f>
        <v>(PI)專投</v>
      </c>
      <c r="L148" s="136" t="str">
        <f ca="1">VLOOKUP(A148,'銀行-TSS'!A:AK,37,FALSE)</f>
        <v>有</v>
      </c>
      <c r="M148" s="136" t="str">
        <f ca="1">VLOOKUP(A148,'銀行-TSS'!A:AN,40,FALSE)</f>
        <v/>
      </c>
      <c r="N148" s="136">
        <f t="shared" ca="1" si="90"/>
        <v>1033.7</v>
      </c>
      <c r="O148" s="1213">
        <f t="shared" ca="1" si="91"/>
        <v>10337</v>
      </c>
      <c r="P148" s="1213">
        <f ca="1">IF(AND($O$1&gt;=O148,換券單檔!$D$13=D148),I148+INT(($O$1-O148)/N148)*J148,0)</f>
        <v>93000</v>
      </c>
      <c r="Q148" s="1213">
        <f t="shared" ca="1" si="92"/>
        <v>5231.25</v>
      </c>
      <c r="R148" s="1213">
        <f t="shared" ca="1" si="93"/>
        <v>93000</v>
      </c>
      <c r="S148" s="1213">
        <f t="shared" ca="1" si="94"/>
        <v>5231.25</v>
      </c>
      <c r="T148" s="136">
        <f ca="1">IF(OR(R148=0,A148=0),0,IF(AND(V148=TRUE,換券單檔!$D$13=D148),E148,0))</f>
        <v>18.190000000000001</v>
      </c>
      <c r="U148" s="861">
        <f ca="1">IF(OR(R148=0,A148=0),0,IF(AND(V148=TRUE,換券單檔!$D$13=D148),H148,0))</f>
        <v>5.4800000000000001E-2</v>
      </c>
      <c r="V148" s="136" t="b">
        <f ca="1">IF(OR(B148=換券單檔!$D$3,L148="無",M148&lt;&gt;"",K148="高資產",IFERROR(MATCH(B148,換券單檔!K:K,0),"N")&lt;&gt;"N"),FALSE,IF($V$1="All",TRUE,IF(K148=$V$1,TRUE,FALSE)))</f>
        <v>1</v>
      </c>
      <c r="W148" s="136">
        <f ca="1">VLOOKUP(A148,'銀行-TSS'!A:AO,41,FALSE)</f>
        <v>98.64</v>
      </c>
      <c r="X148" s="136">
        <f ca="1">VLOOKUP(A148,'銀行-TSS'!A:AP,42,FALSE)</f>
        <v>11.076000000000001</v>
      </c>
      <c r="Y148" s="1220">
        <f t="shared" ca="1" si="95"/>
        <v>10160.590752000002</v>
      </c>
      <c r="Z148" s="1220">
        <f t="shared" ca="1" si="96"/>
        <v>-12887.68897746014</v>
      </c>
      <c r="AA148" s="136">
        <f ca="1">IF(Z148&lt;=0,0,RANK(Z148,Z:Z)+COUNTIF($Z$3:$Z148,Z148)-1)</f>
        <v>0</v>
      </c>
      <c r="AB148" s="1211">
        <f t="shared" ca="1" si="97"/>
        <v>-11735.549247999998</v>
      </c>
      <c r="AC148" s="136">
        <f ca="1">IF(AB148&lt;=0,0,RANK(AB148,AB:AB)+COUNTIF($AB$3:$AB148,AB148)-1)</f>
        <v>0</v>
      </c>
      <c r="AD148" s="1123">
        <f t="shared" ca="1" si="98"/>
        <v>99999</v>
      </c>
      <c r="AE148" s="1123">
        <f ca="1">IF(AD148=99999,0,RANK(AD148,AD:AD,1)+COUNTIF($AD$3:$AD148,AD148)-1)</f>
        <v>0</v>
      </c>
      <c r="AF148" s="86" t="b">
        <f ca="1">IF(OR(M148&lt;&gt;"",L148="無",K148="高資產",IFERROR(MATCH(B148,換券單檔!K:K,0),"N")&lt;&gt;"N"),FALSE,TRUE)</f>
        <v>1</v>
      </c>
      <c r="AI148" s="1212">
        <f t="shared" ca="1" si="99"/>
        <v>93000</v>
      </c>
      <c r="AJ148" s="1213">
        <f t="shared" ca="1" si="100"/>
        <v>5231.25</v>
      </c>
      <c r="AK148" s="1587">
        <f t="shared" ca="1" si="101"/>
        <v>-12887.68897746014</v>
      </c>
      <c r="AN148" s="1212">
        <f t="shared" ca="1" si="102"/>
        <v>53000</v>
      </c>
      <c r="AO148" s="1213">
        <f t="shared" ca="1" si="103"/>
        <v>2981.25</v>
      </c>
      <c r="AP148" s="1587">
        <f t="shared" ca="1" si="104"/>
        <v>-91866.5509895547</v>
      </c>
      <c r="AS148" s="1212">
        <f t="shared" ca="1" si="105"/>
        <v>91000</v>
      </c>
      <c r="AT148" s="1213">
        <f t="shared" ca="1" si="106"/>
        <v>5118.75</v>
      </c>
      <c r="AU148" s="1587">
        <f t="shared" ca="1" si="107"/>
        <v>-17288.850329851568</v>
      </c>
      <c r="AX148" s="1212">
        <f t="shared" ca="1" si="108"/>
        <v>84000</v>
      </c>
      <c r="AY148" s="1213">
        <f t="shared" ca="1" si="109"/>
        <v>4725</v>
      </c>
      <c r="AZ148" s="1587">
        <f t="shared" ca="1" si="110"/>
        <v>-31197.677295217156</v>
      </c>
      <c r="BC148" s="1212">
        <f t="shared" ca="1" si="111"/>
        <v>0</v>
      </c>
      <c r="BD148" s="1213">
        <f t="shared" ca="1" si="112"/>
        <v>0</v>
      </c>
      <c r="BE148" s="1587">
        <f t="shared" ca="1" si="113"/>
        <v>0</v>
      </c>
      <c r="BH148" s="1212">
        <f t="shared" ca="1" si="114"/>
        <v>0</v>
      </c>
      <c r="BI148" s="1213">
        <f t="shared" ca="1" si="115"/>
        <v>0</v>
      </c>
      <c r="BJ148" s="1587">
        <f t="shared" ca="1" si="116"/>
        <v>0</v>
      </c>
      <c r="BM148" s="1212">
        <f t="shared" ca="1" si="117"/>
        <v>0</v>
      </c>
      <c r="BN148" s="1213">
        <f t="shared" ca="1" si="118"/>
        <v>0</v>
      </c>
      <c r="BO148" s="1587">
        <f t="shared" ca="1" si="119"/>
        <v>0</v>
      </c>
      <c r="BR148" s="1212">
        <f t="shared" ca="1" si="120"/>
        <v>0</v>
      </c>
      <c r="BS148" s="1213">
        <f t="shared" ca="1" si="121"/>
        <v>0</v>
      </c>
      <c r="BT148" s="1587">
        <f t="shared" ca="1" si="122"/>
        <v>0</v>
      </c>
      <c r="BW148" s="1212">
        <f t="shared" ca="1" si="123"/>
        <v>0</v>
      </c>
      <c r="BX148" s="1213">
        <f t="shared" ca="1" si="124"/>
        <v>0</v>
      </c>
      <c r="BY148" s="1587">
        <f t="shared" ca="1" si="125"/>
        <v>0</v>
      </c>
      <c r="CB148" s="1212">
        <f t="shared" ca="1" si="126"/>
        <v>0</v>
      </c>
      <c r="CC148" s="1213">
        <f t="shared" ca="1" si="127"/>
        <v>0</v>
      </c>
      <c r="CD148" s="1587">
        <f t="shared" ca="1" si="128"/>
        <v>0</v>
      </c>
      <c r="CG148" s="1212">
        <f t="shared" ca="1" si="129"/>
        <v>0</v>
      </c>
      <c r="CH148" s="1213">
        <f t="shared" ca="1" si="130"/>
        <v>0</v>
      </c>
      <c r="CI148" s="1587">
        <f t="shared" ca="1" si="131"/>
        <v>0</v>
      </c>
      <c r="CL148" s="1212">
        <f t="shared" ca="1" si="132"/>
        <v>0</v>
      </c>
      <c r="CM148" s="1213">
        <f t="shared" ca="1" si="133"/>
        <v>0</v>
      </c>
      <c r="CN148" s="1587">
        <f t="shared" ca="1" si="134"/>
        <v>0</v>
      </c>
    </row>
    <row r="149" spans="1:92">
      <c r="A149" s="141" t="str">
        <f>'銀行-TSS'!A149</f>
        <v>US912810SS87</v>
      </c>
      <c r="B149" s="151" t="str">
        <f ca="1">VLOOKUP(A149,'銀行-TSS'!A:B,2,FALSE)</f>
        <v>XG340</v>
      </c>
      <c r="C149" s="151" t="str">
        <f ca="1">VLOOKUP(B149,bond!B:C,2,FALSE)</f>
        <v>美國政府公債 1.625% 2050/11/15</v>
      </c>
      <c r="D149" s="95" t="str">
        <f>VLOOKUP(A149,'銀行-TSS'!A:C,3,FALSE)</f>
        <v>USD</v>
      </c>
      <c r="E149" s="90">
        <f ca="1">VLOOKUP(A149,'銀行-TSS'!A:G,7,FALSE)</f>
        <v>26.37</v>
      </c>
      <c r="F149" s="202">
        <f ca="1">VLOOKUP(A149,'銀行-TSS'!A:H,8,FALSE)</f>
        <v>1.6250000000000001E-2</v>
      </c>
      <c r="G149" s="96">
        <f ca="1">VLOOKUP(A149,'銀行-TSS'!A:K,11,FALSE)</f>
        <v>57.45</v>
      </c>
      <c r="H149" s="1209">
        <f ca="1">VLOOKUP(A149,'銀行-TSS'!A:M,13,FALSE)</f>
        <v>4.3700000000000003E-2</v>
      </c>
      <c r="I149" s="1213">
        <f ca="1">VLOOKUP(A149,'銀行-TSS'!A:N,14,FALSE)</f>
        <v>10000</v>
      </c>
      <c r="J149" s="1213">
        <f ca="1">VLOOKUP(A149,'銀行-TSS'!A:O,15,FALSE)</f>
        <v>100</v>
      </c>
      <c r="K149" s="136" t="str">
        <f ca="1">VLOOKUP(A149,'銀行-TSS'!A:V,22,FALSE)</f>
        <v>(NPI)非專投</v>
      </c>
      <c r="L149" s="136" t="str">
        <f ca="1">VLOOKUP(A149,'銀行-TSS'!A:AK,37,FALSE)</f>
        <v>有</v>
      </c>
      <c r="M149" s="136" t="str">
        <f ca="1">VLOOKUP(A149,'銀行-TSS'!A:AN,40,FALSE)</f>
        <v/>
      </c>
      <c r="N149" s="136">
        <f t="shared" ca="1" si="90"/>
        <v>57.45</v>
      </c>
      <c r="O149" s="1213">
        <f t="shared" ca="1" si="91"/>
        <v>5745</v>
      </c>
      <c r="P149" s="1213">
        <f ca="1">IF(AND($O$1&gt;=O149,換券單檔!$D$13=D149),I149+INT(($O$1-O149)/N149)*J149,0)</f>
        <v>168300</v>
      </c>
      <c r="Q149" s="1213">
        <f t="shared" ca="1" si="92"/>
        <v>2734.875</v>
      </c>
      <c r="R149" s="1213">
        <f t="shared" ca="1" si="93"/>
        <v>168300</v>
      </c>
      <c r="S149" s="1213">
        <f t="shared" ca="1" si="94"/>
        <v>2734.875</v>
      </c>
      <c r="T149" s="136">
        <f ca="1">IF(OR(R149=0,A149=0),0,IF(AND(V149=TRUE,換券單檔!$D$13=D149),E149,0))</f>
        <v>26.37</v>
      </c>
      <c r="U149" s="861">
        <f ca="1">IF(OR(R149=0,A149=0),0,IF(AND(V149=TRUE,換券單檔!$D$13=D149),H149,0))</f>
        <v>4.3700000000000003E-2</v>
      </c>
      <c r="V149" s="136" t="b">
        <f ca="1">IF(OR(B149=換券單檔!$D$3,L149="無",M149&lt;&gt;"",K149="高資產",IFERROR(MATCH(B149,換券單檔!K:K,0),"N")&lt;&gt;"N"),FALSE,IF($V$1="All",TRUE,IF(K149=$V$1,TRUE,FALSE)))</f>
        <v>1</v>
      </c>
      <c r="W149" s="136">
        <f ca="1">VLOOKUP(A149,'銀行-TSS'!A:AO,41,FALSE)</f>
        <v>55.239999999999995</v>
      </c>
      <c r="X149" s="136">
        <f ca="1">VLOOKUP(A149,'銀行-TSS'!A:AP,42,FALSE)</f>
        <v>18.971</v>
      </c>
      <c r="Y149" s="1220">
        <f t="shared" ca="1" si="95"/>
        <v>17637.133813199998</v>
      </c>
      <c r="Z149" s="1220">
        <f t="shared" ca="1" si="96"/>
        <v>0</v>
      </c>
      <c r="AA149" s="136">
        <f ca="1">IF(Z149&lt;=0,0,RANK(Z149,Z:Z)+COUNTIF($Z$3:$Z149,Z149)-1)</f>
        <v>0</v>
      </c>
      <c r="AB149" s="1211">
        <f t="shared" ca="1" si="97"/>
        <v>2740.9938131999988</v>
      </c>
      <c r="AC149" s="136">
        <f ca="1">IF(AB149&lt;=0,0,RANK(AB149,AB:AB)+COUNTIF($AB$3:$AB149,AB149)-1)</f>
        <v>2</v>
      </c>
      <c r="AD149" s="1123">
        <f t="shared" ca="1" si="98"/>
        <v>99999</v>
      </c>
      <c r="AE149" s="1123">
        <f ca="1">IF(AD149=99999,0,RANK(AD149,AD:AD,1)+COUNTIF($AD$3:$AD149,AD149)-1)</f>
        <v>0</v>
      </c>
      <c r="AF149" s="86" t="b">
        <f ca="1">IF(OR(M149&lt;&gt;"",L149="無",K149="高資產",IFERROR(MATCH(B149,換券單檔!K:K,0),"N")&lt;&gt;"N"),FALSE,TRUE)</f>
        <v>1</v>
      </c>
      <c r="AI149" s="1212">
        <f t="shared" ca="1" si="99"/>
        <v>168300</v>
      </c>
      <c r="AJ149" s="1213">
        <f t="shared" ca="1" si="100"/>
        <v>2734.875</v>
      </c>
      <c r="AK149" s="1587">
        <f t="shared" ca="1" si="101"/>
        <v>0</v>
      </c>
      <c r="AN149" s="1212">
        <f t="shared" ca="1" si="102"/>
        <v>96200</v>
      </c>
      <c r="AO149" s="1213">
        <f t="shared" ca="1" si="103"/>
        <v>1563.25</v>
      </c>
      <c r="AP149" s="1587">
        <f t="shared" ca="1" si="104"/>
        <v>0</v>
      </c>
      <c r="AS149" s="1212">
        <f t="shared" ca="1" si="105"/>
        <v>164600</v>
      </c>
      <c r="AT149" s="1213">
        <f t="shared" ca="1" si="106"/>
        <v>2674.75</v>
      </c>
      <c r="AU149" s="1587">
        <f t="shared" ca="1" si="107"/>
        <v>0</v>
      </c>
      <c r="AX149" s="1212">
        <f t="shared" ca="1" si="108"/>
        <v>151200</v>
      </c>
      <c r="AY149" s="1213">
        <f t="shared" ca="1" si="109"/>
        <v>2457</v>
      </c>
      <c r="AZ149" s="1587">
        <f t="shared" ca="1" si="110"/>
        <v>0</v>
      </c>
      <c r="BC149" s="1212">
        <f t="shared" ca="1" si="111"/>
        <v>0</v>
      </c>
      <c r="BD149" s="1213">
        <f t="shared" ca="1" si="112"/>
        <v>0</v>
      </c>
      <c r="BE149" s="1587">
        <f t="shared" ca="1" si="113"/>
        <v>0</v>
      </c>
      <c r="BH149" s="1212">
        <f t="shared" ca="1" si="114"/>
        <v>0</v>
      </c>
      <c r="BI149" s="1213">
        <f t="shared" ca="1" si="115"/>
        <v>0</v>
      </c>
      <c r="BJ149" s="1587">
        <f t="shared" ca="1" si="116"/>
        <v>0</v>
      </c>
      <c r="BM149" s="1212">
        <f t="shared" ca="1" si="117"/>
        <v>0</v>
      </c>
      <c r="BN149" s="1213">
        <f t="shared" ca="1" si="118"/>
        <v>0</v>
      </c>
      <c r="BO149" s="1587">
        <f t="shared" ca="1" si="119"/>
        <v>0</v>
      </c>
      <c r="BR149" s="1212">
        <f t="shared" ca="1" si="120"/>
        <v>0</v>
      </c>
      <c r="BS149" s="1213">
        <f t="shared" ca="1" si="121"/>
        <v>0</v>
      </c>
      <c r="BT149" s="1587">
        <f t="shared" ca="1" si="122"/>
        <v>0</v>
      </c>
      <c r="BW149" s="1212">
        <f t="shared" ca="1" si="123"/>
        <v>0</v>
      </c>
      <c r="BX149" s="1213">
        <f t="shared" ca="1" si="124"/>
        <v>0</v>
      </c>
      <c r="BY149" s="1587">
        <f t="shared" ca="1" si="125"/>
        <v>0</v>
      </c>
      <c r="CB149" s="1212">
        <f t="shared" ca="1" si="126"/>
        <v>0</v>
      </c>
      <c r="CC149" s="1213">
        <f t="shared" ca="1" si="127"/>
        <v>0</v>
      </c>
      <c r="CD149" s="1587">
        <f t="shared" ca="1" si="128"/>
        <v>0</v>
      </c>
      <c r="CG149" s="1212">
        <f t="shared" ca="1" si="129"/>
        <v>0</v>
      </c>
      <c r="CH149" s="1213">
        <f t="shared" ca="1" si="130"/>
        <v>0</v>
      </c>
      <c r="CI149" s="1587">
        <f t="shared" ca="1" si="131"/>
        <v>0</v>
      </c>
      <c r="CL149" s="1212">
        <f t="shared" ca="1" si="132"/>
        <v>0</v>
      </c>
      <c r="CM149" s="1213">
        <f t="shared" ca="1" si="133"/>
        <v>0</v>
      </c>
      <c r="CN149" s="1587">
        <f t="shared" ca="1" si="134"/>
        <v>0</v>
      </c>
    </row>
    <row r="150" spans="1:92">
      <c r="A150" s="141" t="str">
        <f>'銀行-TSS'!A150</f>
        <v>USU74078CC58</v>
      </c>
      <c r="B150" s="151" t="str">
        <f ca="1">VLOOKUP(A150,'銀行-TSS'!A:B,2,FALSE)</f>
        <v>XG350</v>
      </c>
      <c r="C150" s="151" t="str">
        <f ca="1">VLOOKUP(B150,bond!B:C,2,FALSE)</f>
        <v>雀巢控股公司美元配息債券 3.9% 2038/9/24</v>
      </c>
      <c r="D150" s="95" t="str">
        <f>VLOOKUP(A150,'銀行-TSS'!A:C,3,FALSE)</f>
        <v>USD</v>
      </c>
      <c r="E150" s="90">
        <f ca="1">VLOOKUP(A150,'銀行-TSS'!A:G,7,FALSE)</f>
        <v>14.23</v>
      </c>
      <c r="F150" s="202">
        <f ca="1">VLOOKUP(A150,'銀行-TSS'!A:H,8,FALSE)</f>
        <v>3.9E-2</v>
      </c>
      <c r="G150" s="96">
        <f ca="1">VLOOKUP(A150,'銀行-TSS'!A:K,11,FALSE)</f>
        <v>90.47</v>
      </c>
      <c r="H150" s="1209">
        <f ca="1">VLOOKUP(A150,'銀行-TSS'!A:M,13,FALSE)</f>
        <v>4.9399999999999999E-2</v>
      </c>
      <c r="I150" s="1213">
        <f ca="1">VLOOKUP(A150,'銀行-TSS'!A:N,14,FALSE)</f>
        <v>150000</v>
      </c>
      <c r="J150" s="1213">
        <f ca="1">VLOOKUP(A150,'銀行-TSS'!A:O,15,FALSE)</f>
        <v>1000</v>
      </c>
      <c r="K150" s="136" t="str">
        <f ca="1">VLOOKUP(A150,'銀行-TSS'!A:V,22,FALSE)</f>
        <v>(NPI)非專投</v>
      </c>
      <c r="L150" s="136" t="str">
        <f ca="1">VLOOKUP(A150,'銀行-TSS'!A:AK,37,FALSE)</f>
        <v>有</v>
      </c>
      <c r="M150" s="136" t="str">
        <f ca="1">VLOOKUP(A150,'銀行-TSS'!A:AN,40,FALSE)</f>
        <v/>
      </c>
      <c r="N150" s="136">
        <f t="shared" ca="1" si="90"/>
        <v>904.7</v>
      </c>
      <c r="O150" s="1213">
        <f t="shared" ca="1" si="91"/>
        <v>135705</v>
      </c>
      <c r="P150" s="1213">
        <f ca="1">IF(AND($O$1&gt;=O150,換券單檔!$D$13=D150),I150+INT(($O$1-O150)/N150)*J150,0)</f>
        <v>0</v>
      </c>
      <c r="Q150" s="1213">
        <f t="shared" ca="1" si="92"/>
        <v>0</v>
      </c>
      <c r="R150" s="1213">
        <f t="shared" ca="1" si="93"/>
        <v>0</v>
      </c>
      <c r="S150" s="1213">
        <f t="shared" ca="1" si="94"/>
        <v>0</v>
      </c>
      <c r="T150" s="136">
        <f ca="1">IF(OR(R150=0,A150=0),0,IF(AND(V150=TRUE,換券單檔!$D$13=D150),E150,0))</f>
        <v>0</v>
      </c>
      <c r="U150" s="861">
        <f ca="1">IF(OR(R150=0,A150=0),0,IF(AND(V150=TRUE,換券單檔!$D$13=D150),H150,0))</f>
        <v>0</v>
      </c>
      <c r="V150" s="136" t="b">
        <f ca="1">IF(OR(B150=換券單檔!$D$3,L150="無",M150&lt;&gt;"",K150="高資產",IFERROR(MATCH(B150,換券單檔!K:K,0),"N")&lt;&gt;"N"),FALSE,IF($V$1="All",TRUE,IF(K150=$V$1,TRUE,FALSE)))</f>
        <v>1</v>
      </c>
      <c r="W150" s="136">
        <f ca="1">VLOOKUP(A150,'銀行-TSS'!A:AO,41,FALSE)</f>
        <v>87.410000000000011</v>
      </c>
      <c r="X150" s="136">
        <f ca="1">VLOOKUP(A150,'銀行-TSS'!A:AP,42,FALSE)</f>
        <v>10.4087</v>
      </c>
      <c r="Y150" s="1220">
        <f t="shared" ca="1" si="95"/>
        <v>0</v>
      </c>
      <c r="Z150" s="1220">
        <f t="shared" ca="1" si="96"/>
        <v>0</v>
      </c>
      <c r="AA150" s="136">
        <f ca="1">IF(Z150&lt;=0,0,RANK(Z150,Z:Z)+COUNTIF($Z$3:$Z150,Z150)-1)</f>
        <v>0</v>
      </c>
      <c r="AB150" s="1211">
        <f t="shared" ca="1" si="97"/>
        <v>-114896.14</v>
      </c>
      <c r="AC150" s="136">
        <f ca="1">IF(AB150&lt;=0,0,RANK(AB150,AB:AB)+COUNTIF($AB$3:$AB150,AB150)-1)</f>
        <v>0</v>
      </c>
      <c r="AD150" s="1123">
        <f t="shared" ca="1" si="98"/>
        <v>99999</v>
      </c>
      <c r="AE150" s="1123">
        <f ca="1">IF(AD150=99999,0,RANK(AD150,AD:AD,1)+COUNTIF($AD$3:$AD150,AD150)-1)</f>
        <v>0</v>
      </c>
      <c r="AF150" s="86" t="b">
        <f ca="1">IF(OR(M150&lt;&gt;"",L150="無",K150="高資產",IFERROR(MATCH(B150,換券單檔!K:K,0),"N")&lt;&gt;"N"),FALSE,TRUE)</f>
        <v>1</v>
      </c>
      <c r="AI150" s="1212">
        <f t="shared" ca="1" si="99"/>
        <v>0</v>
      </c>
      <c r="AJ150" s="1213">
        <f t="shared" ca="1" si="100"/>
        <v>0</v>
      </c>
      <c r="AK150" s="1587">
        <f t="shared" ca="1" si="101"/>
        <v>0</v>
      </c>
      <c r="AN150" s="1212">
        <f t="shared" ca="1" si="102"/>
        <v>0</v>
      </c>
      <c r="AO150" s="1213">
        <f t="shared" ca="1" si="103"/>
        <v>0</v>
      </c>
      <c r="AP150" s="1587">
        <f t="shared" ca="1" si="104"/>
        <v>0</v>
      </c>
      <c r="AS150" s="1212">
        <f t="shared" ca="1" si="105"/>
        <v>0</v>
      </c>
      <c r="AT150" s="1213">
        <f t="shared" ca="1" si="106"/>
        <v>0</v>
      </c>
      <c r="AU150" s="1587">
        <f t="shared" ca="1" si="107"/>
        <v>0</v>
      </c>
      <c r="AX150" s="1212">
        <f t="shared" ca="1" si="108"/>
        <v>0</v>
      </c>
      <c r="AY150" s="1213">
        <f t="shared" ca="1" si="109"/>
        <v>0</v>
      </c>
      <c r="AZ150" s="1587">
        <f t="shared" ca="1" si="110"/>
        <v>0</v>
      </c>
      <c r="BC150" s="1212">
        <f t="shared" ca="1" si="111"/>
        <v>0</v>
      </c>
      <c r="BD150" s="1213">
        <f t="shared" ca="1" si="112"/>
        <v>0</v>
      </c>
      <c r="BE150" s="1587">
        <f t="shared" ca="1" si="113"/>
        <v>0</v>
      </c>
      <c r="BH150" s="1212">
        <f t="shared" ca="1" si="114"/>
        <v>0</v>
      </c>
      <c r="BI150" s="1213">
        <f t="shared" ca="1" si="115"/>
        <v>0</v>
      </c>
      <c r="BJ150" s="1587">
        <f t="shared" ca="1" si="116"/>
        <v>0</v>
      </c>
      <c r="BM150" s="1212">
        <f t="shared" ca="1" si="117"/>
        <v>0</v>
      </c>
      <c r="BN150" s="1213">
        <f t="shared" ca="1" si="118"/>
        <v>0</v>
      </c>
      <c r="BO150" s="1587">
        <f t="shared" ca="1" si="119"/>
        <v>0</v>
      </c>
      <c r="BR150" s="1212">
        <f t="shared" ca="1" si="120"/>
        <v>0</v>
      </c>
      <c r="BS150" s="1213">
        <f t="shared" ca="1" si="121"/>
        <v>0</v>
      </c>
      <c r="BT150" s="1587">
        <f t="shared" ca="1" si="122"/>
        <v>0</v>
      </c>
      <c r="BW150" s="1212">
        <f t="shared" ca="1" si="123"/>
        <v>0</v>
      </c>
      <c r="BX150" s="1213">
        <f t="shared" ca="1" si="124"/>
        <v>0</v>
      </c>
      <c r="BY150" s="1587">
        <f t="shared" ca="1" si="125"/>
        <v>0</v>
      </c>
      <c r="CB150" s="1212">
        <f t="shared" ca="1" si="126"/>
        <v>0</v>
      </c>
      <c r="CC150" s="1213">
        <f t="shared" ca="1" si="127"/>
        <v>0</v>
      </c>
      <c r="CD150" s="1587">
        <f t="shared" ca="1" si="128"/>
        <v>0</v>
      </c>
      <c r="CG150" s="1212">
        <f t="shared" ca="1" si="129"/>
        <v>0</v>
      </c>
      <c r="CH150" s="1213">
        <f t="shared" ca="1" si="130"/>
        <v>0</v>
      </c>
      <c r="CI150" s="1587">
        <f t="shared" ca="1" si="131"/>
        <v>0</v>
      </c>
      <c r="CL150" s="1212">
        <f t="shared" ca="1" si="132"/>
        <v>0</v>
      </c>
      <c r="CM150" s="1213">
        <f t="shared" ca="1" si="133"/>
        <v>0</v>
      </c>
      <c r="CN150" s="1587">
        <f t="shared" ca="1" si="134"/>
        <v>0</v>
      </c>
    </row>
    <row r="151" spans="1:92">
      <c r="A151" s="141" t="str">
        <f>'銀行-TSS'!A151</f>
        <v>US58933YAV74</v>
      </c>
      <c r="B151" s="151" t="str">
        <f ca="1">VLOOKUP(A151,'銀行-TSS'!A:B,2,FALSE)</f>
        <v>XG360</v>
      </c>
      <c r="C151" s="151" t="str">
        <f ca="1">VLOOKUP(B151,bond!B:C,2,FALSE)</f>
        <v>默克公司美元配息債券 3.9% 2039/3/7</v>
      </c>
      <c r="D151" s="95" t="str">
        <f>VLOOKUP(A151,'銀行-TSS'!A:C,3,FALSE)</f>
        <v>USD</v>
      </c>
      <c r="E151" s="90">
        <f ca="1">VLOOKUP(A151,'銀行-TSS'!A:G,7,FALSE)</f>
        <v>14.68</v>
      </c>
      <c r="F151" s="202">
        <f ca="1">VLOOKUP(A151,'銀行-TSS'!A:H,8,FALSE)</f>
        <v>3.9E-2</v>
      </c>
      <c r="G151" s="96">
        <f ca="1">VLOOKUP(A151,'銀行-TSS'!A:K,11,FALSE)</f>
        <v>90.21</v>
      </c>
      <c r="H151" s="1209">
        <f ca="1">VLOOKUP(A151,'銀行-TSS'!A:M,13,FALSE)</f>
        <v>4.9700000000000001E-2</v>
      </c>
      <c r="I151" s="1213">
        <f ca="1">VLOOKUP(A151,'銀行-TSS'!A:N,14,FALSE)</f>
        <v>10000</v>
      </c>
      <c r="J151" s="1213">
        <f ca="1">VLOOKUP(A151,'銀行-TSS'!A:O,15,FALSE)</f>
        <v>1000</v>
      </c>
      <c r="K151" s="136" t="str">
        <f ca="1">VLOOKUP(A151,'銀行-TSS'!A:V,22,FALSE)</f>
        <v>(NPI)非專投</v>
      </c>
      <c r="L151" s="136" t="str">
        <f ca="1">VLOOKUP(A151,'銀行-TSS'!A:AK,37,FALSE)</f>
        <v>有</v>
      </c>
      <c r="M151" s="136" t="str">
        <f ca="1">VLOOKUP(A151,'銀行-TSS'!A:AN,40,FALSE)</f>
        <v/>
      </c>
      <c r="N151" s="136">
        <f t="shared" ca="1" si="90"/>
        <v>902.1</v>
      </c>
      <c r="O151" s="1213">
        <f t="shared" ca="1" si="91"/>
        <v>9020.9999999999982</v>
      </c>
      <c r="P151" s="1213">
        <f ca="1">IF(AND($O$1&gt;=O151,換券單檔!$D$13=D151),I151+INT(($O$1-O151)/N151)*J151,0)</f>
        <v>107000</v>
      </c>
      <c r="Q151" s="1213">
        <f t="shared" ca="1" si="92"/>
        <v>4173</v>
      </c>
      <c r="R151" s="1213">
        <f t="shared" ca="1" si="93"/>
        <v>107000</v>
      </c>
      <c r="S151" s="1213">
        <f t="shared" ca="1" si="94"/>
        <v>4173</v>
      </c>
      <c r="T151" s="136">
        <f ca="1">IF(OR(R151=0,A151=0),0,IF(AND(V151=TRUE,換券單檔!$D$13=D151),E151,0))</f>
        <v>14.68</v>
      </c>
      <c r="U151" s="861">
        <f ca="1">IF(OR(R151=0,A151=0),0,IF(AND(V151=TRUE,換券單檔!$D$13=D151),H151,0))</f>
        <v>4.9700000000000001E-2</v>
      </c>
      <c r="V151" s="136" t="b">
        <f ca="1">IF(OR(B151=換券單檔!$D$3,L151="無",M151&lt;&gt;"",K151="高資產",IFERROR(MATCH(B151,換券單檔!K:K,0),"N")&lt;&gt;"N"),FALSE,IF($V$1="All",TRUE,IF(K151=$V$1,TRUE,FALSE)))</f>
        <v>1</v>
      </c>
      <c r="W151" s="136">
        <f ca="1">VLOOKUP(A151,'銀行-TSS'!A:AO,41,FALSE)</f>
        <v>86.960000000000008</v>
      </c>
      <c r="X151" s="136">
        <f ca="1">VLOOKUP(A151,'銀行-TSS'!A:AP,42,FALSE)</f>
        <v>10.6127</v>
      </c>
      <c r="Y151" s="1220">
        <f t="shared" ca="1" si="95"/>
        <v>9874.8201943999993</v>
      </c>
      <c r="Z151" s="1220">
        <f t="shared" ca="1" si="96"/>
        <v>0</v>
      </c>
      <c r="AA151" s="136">
        <f ca="1">IF(Z151&lt;=0,0,RANK(Z151,Z:Z)+COUNTIF($Z$3:$Z151,Z151)-1)</f>
        <v>0</v>
      </c>
      <c r="AB151" s="1211">
        <f t="shared" ca="1" si="97"/>
        <v>-5021.3198056000001</v>
      </c>
      <c r="AC151" s="136">
        <f ca="1">IF(AB151&lt;=0,0,RANK(AB151,AB:AB)+COUNTIF($AB$3:$AB151,AB151)-1)</f>
        <v>0</v>
      </c>
      <c r="AD151" s="1123">
        <f t="shared" ca="1" si="98"/>
        <v>99999</v>
      </c>
      <c r="AE151" s="1123">
        <f ca="1">IF(AD151=99999,0,RANK(AD151,AD:AD,1)+COUNTIF($AD$3:$AD151,AD151)-1)</f>
        <v>0</v>
      </c>
      <c r="AF151" s="86" t="b">
        <f ca="1">IF(OR(M151&lt;&gt;"",L151="無",K151="高資產",IFERROR(MATCH(B151,換券單檔!K:K,0),"N")&lt;&gt;"N"),FALSE,TRUE)</f>
        <v>1</v>
      </c>
      <c r="AI151" s="1212">
        <f t="shared" ca="1" si="99"/>
        <v>107000</v>
      </c>
      <c r="AJ151" s="1213">
        <f t="shared" ca="1" si="100"/>
        <v>4173</v>
      </c>
      <c r="AK151" s="1587">
        <f t="shared" ca="1" si="101"/>
        <v>0</v>
      </c>
      <c r="AN151" s="1212">
        <f t="shared" ca="1" si="102"/>
        <v>61000</v>
      </c>
      <c r="AO151" s="1213">
        <f t="shared" ca="1" si="103"/>
        <v>2379</v>
      </c>
      <c r="AP151" s="1587">
        <f t="shared" ca="1" si="104"/>
        <v>-77626.181198910082</v>
      </c>
      <c r="AS151" s="1212">
        <f t="shared" ca="1" si="105"/>
        <v>104000</v>
      </c>
      <c r="AT151" s="1213">
        <f t="shared" ca="1" si="106"/>
        <v>4056</v>
      </c>
      <c r="AU151" s="1587">
        <f t="shared" ca="1" si="107"/>
        <v>0</v>
      </c>
      <c r="AX151" s="1212">
        <f t="shared" ca="1" si="108"/>
        <v>96000</v>
      </c>
      <c r="AY151" s="1213">
        <f t="shared" ca="1" si="109"/>
        <v>3744</v>
      </c>
      <c r="AZ151" s="1587">
        <f t="shared" ca="1" si="110"/>
        <v>0</v>
      </c>
      <c r="BC151" s="1212">
        <f t="shared" ca="1" si="111"/>
        <v>0</v>
      </c>
      <c r="BD151" s="1213">
        <f t="shared" ca="1" si="112"/>
        <v>0</v>
      </c>
      <c r="BE151" s="1587">
        <f t="shared" ca="1" si="113"/>
        <v>0</v>
      </c>
      <c r="BH151" s="1212">
        <f t="shared" ca="1" si="114"/>
        <v>0</v>
      </c>
      <c r="BI151" s="1213">
        <f t="shared" ca="1" si="115"/>
        <v>0</v>
      </c>
      <c r="BJ151" s="1587">
        <f t="shared" ca="1" si="116"/>
        <v>0</v>
      </c>
      <c r="BM151" s="1212">
        <f t="shared" ca="1" si="117"/>
        <v>0</v>
      </c>
      <c r="BN151" s="1213">
        <f t="shared" ca="1" si="118"/>
        <v>0</v>
      </c>
      <c r="BO151" s="1587">
        <f t="shared" ca="1" si="119"/>
        <v>0</v>
      </c>
      <c r="BR151" s="1212">
        <f t="shared" ca="1" si="120"/>
        <v>0</v>
      </c>
      <c r="BS151" s="1213">
        <f t="shared" ca="1" si="121"/>
        <v>0</v>
      </c>
      <c r="BT151" s="1587">
        <f t="shared" ca="1" si="122"/>
        <v>0</v>
      </c>
      <c r="BW151" s="1212">
        <f t="shared" ca="1" si="123"/>
        <v>0</v>
      </c>
      <c r="BX151" s="1213">
        <f t="shared" ca="1" si="124"/>
        <v>0</v>
      </c>
      <c r="BY151" s="1587">
        <f t="shared" ca="1" si="125"/>
        <v>0</v>
      </c>
      <c r="CB151" s="1212">
        <f t="shared" ca="1" si="126"/>
        <v>0</v>
      </c>
      <c r="CC151" s="1213">
        <f t="shared" ca="1" si="127"/>
        <v>0</v>
      </c>
      <c r="CD151" s="1587">
        <f t="shared" ca="1" si="128"/>
        <v>0</v>
      </c>
      <c r="CG151" s="1212">
        <f t="shared" ca="1" si="129"/>
        <v>0</v>
      </c>
      <c r="CH151" s="1213">
        <f t="shared" ca="1" si="130"/>
        <v>0</v>
      </c>
      <c r="CI151" s="1587">
        <f t="shared" ca="1" si="131"/>
        <v>0</v>
      </c>
      <c r="CL151" s="1212">
        <f t="shared" ca="1" si="132"/>
        <v>0</v>
      </c>
      <c r="CM151" s="1213">
        <f t="shared" ca="1" si="133"/>
        <v>0</v>
      </c>
      <c r="CN151" s="1587">
        <f t="shared" ca="1" si="134"/>
        <v>0</v>
      </c>
    </row>
    <row r="152" spans="1:92">
      <c r="A152" s="141" t="str">
        <f>'銀行-TSS'!A152</f>
        <v>US002824BG43</v>
      </c>
      <c r="B152" s="151" t="str">
        <f ca="1">VLOOKUP(A152,'銀行-TSS'!A:B,2,FALSE)</f>
        <v>XG370</v>
      </c>
      <c r="C152" s="151" t="str">
        <f ca="1">VLOOKUP(B152,bond!B:C,2,FALSE)</f>
        <v>亞培公司美元配息債券 4.75% 2036/11/30</v>
      </c>
      <c r="D152" s="95" t="str">
        <f>VLOOKUP(A152,'銀行-TSS'!A:C,3,FALSE)</f>
        <v>USD</v>
      </c>
      <c r="E152" s="90">
        <f ca="1">VLOOKUP(A152,'銀行-TSS'!A:G,7,FALSE)</f>
        <v>12.41</v>
      </c>
      <c r="F152" s="202">
        <f ca="1">VLOOKUP(A152,'銀行-TSS'!A:H,8,FALSE)</f>
        <v>4.7500000000000001E-2</v>
      </c>
      <c r="G152" s="96">
        <f ca="1">VLOOKUP(A152,'銀行-TSS'!A:K,11,FALSE)</f>
        <v>99.98</v>
      </c>
      <c r="H152" s="1209">
        <f ca="1">VLOOKUP(A152,'銀行-TSS'!A:M,13,FALSE)</f>
        <v>4.8000000000000001E-2</v>
      </c>
      <c r="I152" s="1213">
        <f ca="1">VLOOKUP(A152,'銀行-TSS'!A:N,14,FALSE)</f>
        <v>10000</v>
      </c>
      <c r="J152" s="1213">
        <f ca="1">VLOOKUP(A152,'銀行-TSS'!A:O,15,FALSE)</f>
        <v>1000</v>
      </c>
      <c r="K152" s="136" t="str">
        <f ca="1">VLOOKUP(A152,'銀行-TSS'!A:V,22,FALSE)</f>
        <v>(NPI)非專投</v>
      </c>
      <c r="L152" s="136" t="str">
        <f ca="1">VLOOKUP(A152,'銀行-TSS'!A:AK,37,FALSE)</f>
        <v>有</v>
      </c>
      <c r="M152" s="136" t="str">
        <f ca="1">VLOOKUP(A152,'銀行-TSS'!A:AN,40,FALSE)</f>
        <v/>
      </c>
      <c r="N152" s="136">
        <f t="shared" ca="1" si="90"/>
        <v>999.8</v>
      </c>
      <c r="O152" s="1213">
        <f t="shared" ca="1" si="91"/>
        <v>9998</v>
      </c>
      <c r="P152" s="1213">
        <f ca="1">IF(AND($O$1&gt;=O152,換券單檔!$D$13=D152),I152+INT(($O$1-O152)/N152)*J152,0)</f>
        <v>96000</v>
      </c>
      <c r="Q152" s="1213">
        <f t="shared" ca="1" si="92"/>
        <v>4560</v>
      </c>
      <c r="R152" s="1213">
        <f t="shared" ca="1" si="93"/>
        <v>96000</v>
      </c>
      <c r="S152" s="1213">
        <f t="shared" ca="1" si="94"/>
        <v>4560</v>
      </c>
      <c r="T152" s="136">
        <f ca="1">IF(OR(R152=0,A152=0),0,IF(AND(V152=TRUE,換券單檔!$D$13=D152),E152,0))</f>
        <v>12.41</v>
      </c>
      <c r="U152" s="861">
        <f ca="1">IF(OR(R152=0,A152=0),0,IF(AND(V152=TRUE,換券單檔!$D$13=D152),H152,0))</f>
        <v>4.8000000000000001E-2</v>
      </c>
      <c r="V152" s="136" t="b">
        <f ca="1">IF(OR(B152=換券單檔!$D$3,L152="無",M152&lt;&gt;"",K152="高資產",IFERROR(MATCH(B152,換券單檔!K:K,0),"N")&lt;&gt;"N"),FALSE,IF($V$1="All",TRUE,IF(K152=$V$1,TRUE,FALSE)))</f>
        <v>1</v>
      </c>
      <c r="W152" s="136">
        <f ca="1">VLOOKUP(A152,'銀行-TSS'!A:AO,41,FALSE)</f>
        <v>97.56</v>
      </c>
      <c r="X152" s="136">
        <f ca="1">VLOOKUP(A152,'銀行-TSS'!A:AP,42,FALSE)</f>
        <v>9.2169000000000008</v>
      </c>
      <c r="Y152" s="1220">
        <f t="shared" ca="1" si="95"/>
        <v>8632.3273344000008</v>
      </c>
      <c r="Z152" s="1220">
        <f t="shared" ca="1" si="96"/>
        <v>-8834.947622884767</v>
      </c>
      <c r="AA152" s="136">
        <f ca="1">IF(Z152&lt;=0,0,RANK(Z152,Z:Z)+COUNTIF($Z$3:$Z152,Z152)-1)</f>
        <v>0</v>
      </c>
      <c r="AB152" s="1211">
        <f t="shared" ca="1" si="97"/>
        <v>-10263.812665599999</v>
      </c>
      <c r="AC152" s="136">
        <f ca="1">IF(AB152&lt;=0,0,RANK(AB152,AB:AB)+COUNTIF($AB$3:$AB152,AB152)-1)</f>
        <v>0</v>
      </c>
      <c r="AD152" s="1123">
        <f t="shared" ca="1" si="98"/>
        <v>99999</v>
      </c>
      <c r="AE152" s="1123">
        <f ca="1">IF(AD152=99999,0,RANK(AD152,AD:AD,1)+COUNTIF($AD$3:$AD152,AD152)-1)</f>
        <v>0</v>
      </c>
      <c r="AF152" s="86" t="b">
        <f ca="1">IF(OR(M152&lt;&gt;"",L152="無",K152="高資產",IFERROR(MATCH(B152,換券單檔!K:K,0),"N")&lt;&gt;"N"),FALSE,TRUE)</f>
        <v>1</v>
      </c>
      <c r="AI152" s="1212">
        <f t="shared" ca="1" si="99"/>
        <v>96000</v>
      </c>
      <c r="AJ152" s="1213">
        <f t="shared" ca="1" si="100"/>
        <v>4560</v>
      </c>
      <c r="AK152" s="1587">
        <f t="shared" ca="1" si="101"/>
        <v>-8834.947622884767</v>
      </c>
      <c r="AN152" s="1212">
        <f t="shared" ca="1" si="102"/>
        <v>55000</v>
      </c>
      <c r="AO152" s="1213">
        <f t="shared" ca="1" si="103"/>
        <v>2612.5</v>
      </c>
      <c r="AP152" s="1587">
        <f t="shared" ca="1" si="104"/>
        <v>-88956.315471394031</v>
      </c>
      <c r="AS152" s="1212">
        <f t="shared" ca="1" si="105"/>
        <v>94000</v>
      </c>
      <c r="AT152" s="1213">
        <f t="shared" ca="1" si="106"/>
        <v>4465</v>
      </c>
      <c r="AU152" s="1587">
        <f t="shared" ca="1" si="107"/>
        <v>-13180.44319097502</v>
      </c>
      <c r="AX152" s="1212">
        <f t="shared" ca="1" si="108"/>
        <v>86000</v>
      </c>
      <c r="AY152" s="1213">
        <f t="shared" ca="1" si="109"/>
        <v>4085</v>
      </c>
      <c r="AZ152" s="1587">
        <f t="shared" ca="1" si="110"/>
        <v>-29050.882352941178</v>
      </c>
      <c r="BC152" s="1212">
        <f t="shared" ca="1" si="111"/>
        <v>0</v>
      </c>
      <c r="BD152" s="1213">
        <f t="shared" ca="1" si="112"/>
        <v>0</v>
      </c>
      <c r="BE152" s="1587">
        <f t="shared" ca="1" si="113"/>
        <v>0</v>
      </c>
      <c r="BH152" s="1212">
        <f t="shared" ca="1" si="114"/>
        <v>0</v>
      </c>
      <c r="BI152" s="1213">
        <f t="shared" ca="1" si="115"/>
        <v>0</v>
      </c>
      <c r="BJ152" s="1587">
        <f t="shared" ca="1" si="116"/>
        <v>0</v>
      </c>
      <c r="BM152" s="1212">
        <f t="shared" ca="1" si="117"/>
        <v>0</v>
      </c>
      <c r="BN152" s="1213">
        <f t="shared" ca="1" si="118"/>
        <v>0</v>
      </c>
      <c r="BO152" s="1587">
        <f t="shared" ca="1" si="119"/>
        <v>0</v>
      </c>
      <c r="BR152" s="1212">
        <f t="shared" ca="1" si="120"/>
        <v>0</v>
      </c>
      <c r="BS152" s="1213">
        <f t="shared" ca="1" si="121"/>
        <v>0</v>
      </c>
      <c r="BT152" s="1587">
        <f t="shared" ca="1" si="122"/>
        <v>0</v>
      </c>
      <c r="BW152" s="1212">
        <f t="shared" ca="1" si="123"/>
        <v>0</v>
      </c>
      <c r="BX152" s="1213">
        <f t="shared" ca="1" si="124"/>
        <v>0</v>
      </c>
      <c r="BY152" s="1587">
        <f t="shared" ca="1" si="125"/>
        <v>0</v>
      </c>
      <c r="CB152" s="1212">
        <f t="shared" ca="1" si="126"/>
        <v>0</v>
      </c>
      <c r="CC152" s="1213">
        <f t="shared" ca="1" si="127"/>
        <v>0</v>
      </c>
      <c r="CD152" s="1587">
        <f t="shared" ca="1" si="128"/>
        <v>0</v>
      </c>
      <c r="CG152" s="1212">
        <f t="shared" ca="1" si="129"/>
        <v>0</v>
      </c>
      <c r="CH152" s="1213">
        <f t="shared" ca="1" si="130"/>
        <v>0</v>
      </c>
      <c r="CI152" s="1587">
        <f t="shared" ca="1" si="131"/>
        <v>0</v>
      </c>
      <c r="CL152" s="1212">
        <f t="shared" ca="1" si="132"/>
        <v>0</v>
      </c>
      <c r="CM152" s="1213">
        <f t="shared" ca="1" si="133"/>
        <v>0</v>
      </c>
      <c r="CN152" s="1587">
        <f t="shared" ca="1" si="134"/>
        <v>0</v>
      </c>
    </row>
    <row r="153" spans="1:92">
      <c r="A153" s="141" t="str">
        <f>'銀行-TSS'!A153</f>
        <v>US92343VFE92</v>
      </c>
      <c r="B153" s="151" t="str">
        <f ca="1">VLOOKUP(A153,'銀行-TSS'!A:B,2,FALSE)</f>
        <v>XG380</v>
      </c>
      <c r="C153" s="151" t="str">
        <f ca="1">VLOOKUP(B153,bond!B:C,2,FALSE)</f>
        <v>威瑞森電信公司美元配息債券 3.15% 2030/3/22</v>
      </c>
      <c r="D153" s="95" t="str">
        <f>VLOOKUP(A153,'銀行-TSS'!A:C,3,FALSE)</f>
        <v>USD</v>
      </c>
      <c r="E153" s="90">
        <f ca="1">VLOOKUP(A153,'銀行-TSS'!A:G,7,FALSE)</f>
        <v>5.72</v>
      </c>
      <c r="F153" s="202">
        <f ca="1">VLOOKUP(A153,'銀行-TSS'!A:H,8,FALSE)</f>
        <v>3.15E-2</v>
      </c>
      <c r="G153" s="96">
        <f ca="1">VLOOKUP(A153,'銀行-TSS'!A:K,11,FALSE)</f>
        <v>93.21</v>
      </c>
      <c r="H153" s="1209">
        <f ca="1">VLOOKUP(A153,'銀行-TSS'!A:M,13,FALSE)</f>
        <v>4.6899999999999997E-2</v>
      </c>
      <c r="I153" s="1213">
        <f ca="1">VLOOKUP(A153,'銀行-TSS'!A:N,14,FALSE)</f>
        <v>10000</v>
      </c>
      <c r="J153" s="1213">
        <f ca="1">VLOOKUP(A153,'銀行-TSS'!A:O,15,FALSE)</f>
        <v>1000</v>
      </c>
      <c r="K153" s="136" t="str">
        <f ca="1">VLOOKUP(A153,'銀行-TSS'!A:V,22,FALSE)</f>
        <v>(NPI)非專投</v>
      </c>
      <c r="L153" s="136" t="str">
        <f ca="1">VLOOKUP(A153,'銀行-TSS'!A:AK,37,FALSE)</f>
        <v>有</v>
      </c>
      <c r="M153" s="136" t="str">
        <f ca="1">VLOOKUP(A153,'銀行-TSS'!A:AN,40,FALSE)</f>
        <v/>
      </c>
      <c r="N153" s="136">
        <f t="shared" ca="1" si="90"/>
        <v>932.1</v>
      </c>
      <c r="O153" s="1213">
        <f t="shared" ca="1" si="91"/>
        <v>9320.9999999999982</v>
      </c>
      <c r="P153" s="1213">
        <f ca="1">IF(AND($O$1&gt;=O153,換券單檔!$D$13=D153),I153+INT(($O$1-O153)/N153)*J153,0)</f>
        <v>103000</v>
      </c>
      <c r="Q153" s="1213">
        <f t="shared" ca="1" si="92"/>
        <v>3244.5</v>
      </c>
      <c r="R153" s="1213">
        <f t="shared" ca="1" si="93"/>
        <v>103000</v>
      </c>
      <c r="S153" s="1213">
        <f t="shared" ca="1" si="94"/>
        <v>3244.5</v>
      </c>
      <c r="T153" s="136">
        <f ca="1">IF(OR(R153=0,A153=0),0,IF(AND(V153=TRUE,換券單檔!$D$13=D153),E153,0))</f>
        <v>5.72</v>
      </c>
      <c r="U153" s="861">
        <f ca="1">IF(OR(R153=0,A153=0),0,IF(AND(V153=TRUE,換券單檔!$D$13=D153),H153,0))</f>
        <v>4.6899999999999997E-2</v>
      </c>
      <c r="V153" s="136" t="b">
        <f ca="1">IF(OR(B153=換券單檔!$D$3,L153="無",M153&lt;&gt;"",K153="高資產",IFERROR(MATCH(B153,換券單檔!K:K,0),"N")&lt;&gt;"N"),FALSE,IF($V$1="All",TRUE,IF(K153=$V$1,TRUE,FALSE)))</f>
        <v>1</v>
      </c>
      <c r="W153" s="136">
        <f ca="1">VLOOKUP(A153,'銀行-TSS'!A:AO,41,FALSE)</f>
        <v>90.83</v>
      </c>
      <c r="X153" s="136">
        <f ca="1">VLOOKUP(A153,'銀行-TSS'!A:AP,42,FALSE)</f>
        <v>5.0799000000000003</v>
      </c>
      <c r="Y153" s="1220">
        <f t="shared" ca="1" si="95"/>
        <v>4752.4953651000005</v>
      </c>
      <c r="Z153" s="1220">
        <f t="shared" ca="1" si="96"/>
        <v>0</v>
      </c>
      <c r="AA153" s="136">
        <f ca="1">IF(Z153&lt;=0,0,RANK(Z153,Z:Z)+COUNTIF($Z$3:$Z153,Z153)-1)</f>
        <v>0</v>
      </c>
      <c r="AB153" s="1211">
        <f t="shared" ca="1" si="97"/>
        <v>-10143.6446349</v>
      </c>
      <c r="AC153" s="136">
        <f ca="1">IF(AB153&lt;=0,0,RANK(AB153,AB:AB)+COUNTIF($AB$3:$AB153,AB153)-1)</f>
        <v>0</v>
      </c>
      <c r="AD153" s="1123">
        <f t="shared" ca="1" si="98"/>
        <v>99999</v>
      </c>
      <c r="AE153" s="1123">
        <f ca="1">IF(AD153=99999,0,RANK(AD153,AD:AD,1)+COUNTIF($AD$3:$AD153,AD153)-1)</f>
        <v>0</v>
      </c>
      <c r="AF153" s="86" t="b">
        <f ca="1">IF(OR(M153&lt;&gt;"",L153="無",K153="高資產",IFERROR(MATCH(B153,換券單檔!K:K,0),"N")&lt;&gt;"N"),FALSE,TRUE)</f>
        <v>1</v>
      </c>
      <c r="AI153" s="1212">
        <f t="shared" ca="1" si="99"/>
        <v>103000</v>
      </c>
      <c r="AJ153" s="1213">
        <f t="shared" ca="1" si="100"/>
        <v>3244.5</v>
      </c>
      <c r="AK153" s="1587">
        <f t="shared" ca="1" si="101"/>
        <v>0</v>
      </c>
      <c r="AN153" s="1212">
        <f t="shared" ca="1" si="102"/>
        <v>59000</v>
      </c>
      <c r="AO153" s="1213">
        <f t="shared" ca="1" si="103"/>
        <v>1858.5</v>
      </c>
      <c r="AP153" s="1587">
        <f t="shared" ca="1" si="104"/>
        <v>0</v>
      </c>
      <c r="AS153" s="1212">
        <f t="shared" ca="1" si="105"/>
        <v>101000</v>
      </c>
      <c r="AT153" s="1213">
        <f t="shared" ca="1" si="106"/>
        <v>3181.5</v>
      </c>
      <c r="AU153" s="1587">
        <f t="shared" ca="1" si="107"/>
        <v>0</v>
      </c>
      <c r="AX153" s="1212">
        <f t="shared" ca="1" si="108"/>
        <v>93000</v>
      </c>
      <c r="AY153" s="1213">
        <f t="shared" ca="1" si="109"/>
        <v>2929.5</v>
      </c>
      <c r="AZ153" s="1587">
        <f t="shared" ca="1" si="110"/>
        <v>0</v>
      </c>
      <c r="BC153" s="1212">
        <f t="shared" ca="1" si="111"/>
        <v>0</v>
      </c>
      <c r="BD153" s="1213">
        <f t="shared" ca="1" si="112"/>
        <v>0</v>
      </c>
      <c r="BE153" s="1587">
        <f t="shared" ca="1" si="113"/>
        <v>0</v>
      </c>
      <c r="BH153" s="1212">
        <f t="shared" ca="1" si="114"/>
        <v>0</v>
      </c>
      <c r="BI153" s="1213">
        <f t="shared" ca="1" si="115"/>
        <v>0</v>
      </c>
      <c r="BJ153" s="1587">
        <f t="shared" ca="1" si="116"/>
        <v>0</v>
      </c>
      <c r="BM153" s="1212">
        <f t="shared" ca="1" si="117"/>
        <v>0</v>
      </c>
      <c r="BN153" s="1213">
        <f t="shared" ca="1" si="118"/>
        <v>0</v>
      </c>
      <c r="BO153" s="1587">
        <f t="shared" ca="1" si="119"/>
        <v>0</v>
      </c>
      <c r="BR153" s="1212">
        <f t="shared" ca="1" si="120"/>
        <v>0</v>
      </c>
      <c r="BS153" s="1213">
        <f t="shared" ca="1" si="121"/>
        <v>0</v>
      </c>
      <c r="BT153" s="1587">
        <f t="shared" ca="1" si="122"/>
        <v>0</v>
      </c>
      <c r="BW153" s="1212">
        <f t="shared" ca="1" si="123"/>
        <v>0</v>
      </c>
      <c r="BX153" s="1213">
        <f t="shared" ca="1" si="124"/>
        <v>0</v>
      </c>
      <c r="BY153" s="1587">
        <f t="shared" ca="1" si="125"/>
        <v>0</v>
      </c>
      <c r="CB153" s="1212">
        <f t="shared" ca="1" si="126"/>
        <v>0</v>
      </c>
      <c r="CC153" s="1213">
        <f t="shared" ca="1" si="127"/>
        <v>0</v>
      </c>
      <c r="CD153" s="1587">
        <f t="shared" ca="1" si="128"/>
        <v>0</v>
      </c>
      <c r="CG153" s="1212">
        <f t="shared" ca="1" si="129"/>
        <v>0</v>
      </c>
      <c r="CH153" s="1213">
        <f t="shared" ca="1" si="130"/>
        <v>0</v>
      </c>
      <c r="CI153" s="1587">
        <f t="shared" ca="1" si="131"/>
        <v>0</v>
      </c>
      <c r="CL153" s="1212">
        <f t="shared" ca="1" si="132"/>
        <v>0</v>
      </c>
      <c r="CM153" s="1213">
        <f t="shared" ca="1" si="133"/>
        <v>0</v>
      </c>
      <c r="CN153" s="1587">
        <f t="shared" ca="1" si="134"/>
        <v>0</v>
      </c>
    </row>
    <row r="154" spans="1:92">
      <c r="A154" s="141" t="str">
        <f>'銀行-TSS'!A154</f>
        <v>US88032XAV64</v>
      </c>
      <c r="B154" s="151" t="str">
        <f ca="1">VLOOKUP(A154,'銀行-TSS'!A:B,2,FALSE)</f>
        <v>XG390</v>
      </c>
      <c r="C154" s="151" t="str">
        <f ca="1">VLOOKUP(B154,bond!B:C,2,FALSE)</f>
        <v>騰訊控股美元配息債券 3.24% 2050/6/3</v>
      </c>
      <c r="D154" s="95" t="str">
        <f>VLOOKUP(A154,'銀行-TSS'!A:C,3,FALSE)</f>
        <v>USD</v>
      </c>
      <c r="E154" s="90">
        <f ca="1">VLOOKUP(A154,'銀行-TSS'!A:G,7,FALSE)</f>
        <v>25.92</v>
      </c>
      <c r="F154" s="202">
        <f ca="1">VLOOKUP(A154,'銀行-TSS'!A:H,8,FALSE)</f>
        <v>3.2400000000000005E-2</v>
      </c>
      <c r="G154" s="96">
        <f ca="1">VLOOKUP(A154,'銀行-TSS'!A:K,11,FALSE)</f>
        <v>69.989999999999995</v>
      </c>
      <c r="H154" s="1209">
        <f ca="1">VLOOKUP(A154,'銀行-TSS'!A:M,13,FALSE)</f>
        <v>5.4300000000000001E-2</v>
      </c>
      <c r="I154" s="1213">
        <f ca="1">VLOOKUP(A154,'銀行-TSS'!A:N,14,FALSE)</f>
        <v>200000</v>
      </c>
      <c r="J154" s="1213">
        <f ca="1">VLOOKUP(A154,'銀行-TSS'!A:O,15,FALSE)</f>
        <v>1000</v>
      </c>
      <c r="K154" s="136" t="str">
        <f ca="1">VLOOKUP(A154,'銀行-TSS'!A:V,22,FALSE)</f>
        <v>(NPI)非專投</v>
      </c>
      <c r="L154" s="136" t="str">
        <f ca="1">VLOOKUP(A154,'銀行-TSS'!A:AK,37,FALSE)</f>
        <v>有</v>
      </c>
      <c r="M154" s="136" t="str">
        <f ca="1">VLOOKUP(A154,'銀行-TSS'!A:AN,40,FALSE)</f>
        <v/>
      </c>
      <c r="N154" s="136">
        <f t="shared" ca="1" si="90"/>
        <v>699.9</v>
      </c>
      <c r="O154" s="1213">
        <f t="shared" ca="1" si="91"/>
        <v>139979.99999999997</v>
      </c>
      <c r="P154" s="1213">
        <f ca="1">IF(AND($O$1&gt;=O154,換券單檔!$D$13=D154),I154+INT(($O$1-O154)/N154)*J154,0)</f>
        <v>0</v>
      </c>
      <c r="Q154" s="1213">
        <f t="shared" ca="1" si="92"/>
        <v>0</v>
      </c>
      <c r="R154" s="1213">
        <f t="shared" ca="1" si="93"/>
        <v>0</v>
      </c>
      <c r="S154" s="1213">
        <f t="shared" ca="1" si="94"/>
        <v>0</v>
      </c>
      <c r="T154" s="136">
        <f ca="1">IF(OR(R154=0,A154=0),0,IF(AND(V154=TRUE,換券單檔!$D$13=D154),E154,0))</f>
        <v>0</v>
      </c>
      <c r="U154" s="861">
        <f ca="1">IF(OR(R154=0,A154=0),0,IF(AND(V154=TRUE,換券單檔!$D$13=D154),H154,0))</f>
        <v>0</v>
      </c>
      <c r="V154" s="136" t="b">
        <f ca="1">IF(OR(B154=換券單檔!$D$3,L154="無",M154&lt;&gt;"",K154="高資產",IFERROR(MATCH(B154,換券單檔!K:K,0),"N")&lt;&gt;"N"),FALSE,IF($V$1="All",TRUE,IF(K154=$V$1,TRUE,FALSE)))</f>
        <v>1</v>
      </c>
      <c r="W154" s="136">
        <f ca="1">VLOOKUP(A154,'銀行-TSS'!A:AO,41,FALSE)</f>
        <v>66.23</v>
      </c>
      <c r="X154" s="136">
        <f ca="1">VLOOKUP(A154,'銀行-TSS'!A:AP,42,FALSE)</f>
        <v>15.210599999999999</v>
      </c>
      <c r="Y154" s="1220">
        <f t="shared" ca="1" si="95"/>
        <v>0</v>
      </c>
      <c r="Z154" s="1220">
        <f t="shared" ca="1" si="96"/>
        <v>0</v>
      </c>
      <c r="AA154" s="136">
        <f ca="1">IF(Z154&lt;=0,0,RANK(Z154,Z:Z)+COUNTIF($Z$3:$Z154,Z154)-1)</f>
        <v>0</v>
      </c>
      <c r="AB154" s="1211">
        <f t="shared" ca="1" si="97"/>
        <v>-114896.14</v>
      </c>
      <c r="AC154" s="136">
        <f ca="1">IF(AB154&lt;=0,0,RANK(AB154,AB:AB)+COUNTIF($AB$3:$AB154,AB154)-1)</f>
        <v>0</v>
      </c>
      <c r="AD154" s="1123">
        <f t="shared" ca="1" si="98"/>
        <v>99999</v>
      </c>
      <c r="AE154" s="1123">
        <f ca="1">IF(AD154=99999,0,RANK(AD154,AD:AD,1)+COUNTIF($AD$3:$AD154,AD154)-1)</f>
        <v>0</v>
      </c>
      <c r="AF154" s="86" t="b">
        <f ca="1">IF(OR(M154&lt;&gt;"",L154="無",K154="高資產",IFERROR(MATCH(B154,換券單檔!K:K,0),"N")&lt;&gt;"N"),FALSE,TRUE)</f>
        <v>1</v>
      </c>
      <c r="AI154" s="1212">
        <f t="shared" ca="1" si="99"/>
        <v>0</v>
      </c>
      <c r="AJ154" s="1213">
        <f t="shared" ca="1" si="100"/>
        <v>0</v>
      </c>
      <c r="AK154" s="1587">
        <f t="shared" ca="1" si="101"/>
        <v>0</v>
      </c>
      <c r="AN154" s="1212">
        <f t="shared" ca="1" si="102"/>
        <v>0</v>
      </c>
      <c r="AO154" s="1213">
        <f t="shared" ca="1" si="103"/>
        <v>0</v>
      </c>
      <c r="AP154" s="1587">
        <f t="shared" ca="1" si="104"/>
        <v>0</v>
      </c>
      <c r="AS154" s="1212">
        <f t="shared" ca="1" si="105"/>
        <v>0</v>
      </c>
      <c r="AT154" s="1213">
        <f t="shared" ca="1" si="106"/>
        <v>0</v>
      </c>
      <c r="AU154" s="1587">
        <f t="shared" ca="1" si="107"/>
        <v>0</v>
      </c>
      <c r="AX154" s="1212">
        <f t="shared" ca="1" si="108"/>
        <v>0</v>
      </c>
      <c r="AY154" s="1213">
        <f t="shared" ca="1" si="109"/>
        <v>0</v>
      </c>
      <c r="AZ154" s="1587">
        <f t="shared" ca="1" si="110"/>
        <v>0</v>
      </c>
      <c r="BC154" s="1212">
        <f t="shared" ca="1" si="111"/>
        <v>0</v>
      </c>
      <c r="BD154" s="1213">
        <f t="shared" ca="1" si="112"/>
        <v>0</v>
      </c>
      <c r="BE154" s="1587">
        <f t="shared" ca="1" si="113"/>
        <v>0</v>
      </c>
      <c r="BH154" s="1212">
        <f t="shared" ca="1" si="114"/>
        <v>0</v>
      </c>
      <c r="BI154" s="1213">
        <f t="shared" ca="1" si="115"/>
        <v>0</v>
      </c>
      <c r="BJ154" s="1587">
        <f t="shared" ca="1" si="116"/>
        <v>0</v>
      </c>
      <c r="BM154" s="1212">
        <f t="shared" ca="1" si="117"/>
        <v>0</v>
      </c>
      <c r="BN154" s="1213">
        <f t="shared" ca="1" si="118"/>
        <v>0</v>
      </c>
      <c r="BO154" s="1587">
        <f t="shared" ca="1" si="119"/>
        <v>0</v>
      </c>
      <c r="BR154" s="1212">
        <f t="shared" ca="1" si="120"/>
        <v>0</v>
      </c>
      <c r="BS154" s="1213">
        <f t="shared" ca="1" si="121"/>
        <v>0</v>
      </c>
      <c r="BT154" s="1587">
        <f t="shared" ca="1" si="122"/>
        <v>0</v>
      </c>
      <c r="BW154" s="1212">
        <f t="shared" ca="1" si="123"/>
        <v>0</v>
      </c>
      <c r="BX154" s="1213">
        <f t="shared" ca="1" si="124"/>
        <v>0</v>
      </c>
      <c r="BY154" s="1587">
        <f t="shared" ca="1" si="125"/>
        <v>0</v>
      </c>
      <c r="CB154" s="1212">
        <f t="shared" ca="1" si="126"/>
        <v>0</v>
      </c>
      <c r="CC154" s="1213">
        <f t="shared" ca="1" si="127"/>
        <v>0</v>
      </c>
      <c r="CD154" s="1587">
        <f t="shared" ca="1" si="128"/>
        <v>0</v>
      </c>
      <c r="CG154" s="1212">
        <f t="shared" ca="1" si="129"/>
        <v>0</v>
      </c>
      <c r="CH154" s="1213">
        <f t="shared" ca="1" si="130"/>
        <v>0</v>
      </c>
      <c r="CI154" s="1587">
        <f t="shared" ca="1" si="131"/>
        <v>0</v>
      </c>
      <c r="CL154" s="1212">
        <f t="shared" ca="1" si="132"/>
        <v>0</v>
      </c>
      <c r="CM154" s="1213">
        <f t="shared" ca="1" si="133"/>
        <v>0</v>
      </c>
      <c r="CN154" s="1587">
        <f t="shared" ca="1" si="134"/>
        <v>0</v>
      </c>
    </row>
    <row r="155" spans="1:92">
      <c r="A155" s="141" t="str">
        <f>'銀行-TSS'!A155</f>
        <v>US209111FY40</v>
      </c>
      <c r="B155" s="151" t="str">
        <f ca="1">VLOOKUP(A155,'銀行-TSS'!A:B,2,FALSE)</f>
        <v>XG400</v>
      </c>
      <c r="C155" s="151" t="str">
        <f ca="1">VLOOKUP(B155,bond!B:C,2,FALSE)</f>
        <v>紐約聯合愛迪生公司美元配息債券 3.95% 2050/4/1</v>
      </c>
      <c r="D155" s="95" t="str">
        <f>VLOOKUP(A155,'銀行-TSS'!A:C,3,FALSE)</f>
        <v>USD</v>
      </c>
      <c r="E155" s="90">
        <f ca="1">VLOOKUP(A155,'銀行-TSS'!A:G,7,FALSE)</f>
        <v>25.75</v>
      </c>
      <c r="F155" s="202">
        <f ca="1">VLOOKUP(A155,'銀行-TSS'!A:H,8,FALSE)</f>
        <v>3.95E-2</v>
      </c>
      <c r="G155" s="96">
        <f ca="1">VLOOKUP(A155,'銀行-TSS'!A:K,11,FALSE)</f>
        <v>83.43</v>
      </c>
      <c r="H155" s="1209">
        <f ca="1">VLOOKUP(A155,'銀行-TSS'!A:M,13,FALSE)</f>
        <v>5.1900000000000002E-2</v>
      </c>
      <c r="I155" s="1213">
        <f ca="1">VLOOKUP(A155,'銀行-TSS'!A:N,14,FALSE)</f>
        <v>10000</v>
      </c>
      <c r="J155" s="1213">
        <f ca="1">VLOOKUP(A155,'銀行-TSS'!A:O,15,FALSE)</f>
        <v>1000</v>
      </c>
      <c r="K155" s="136" t="str">
        <f ca="1">VLOOKUP(A155,'銀行-TSS'!A:V,22,FALSE)</f>
        <v>(PI)專投</v>
      </c>
      <c r="L155" s="136" t="str">
        <f ca="1">VLOOKUP(A155,'銀行-TSS'!A:AK,37,FALSE)</f>
        <v>有</v>
      </c>
      <c r="M155" s="136" t="str">
        <f ca="1">VLOOKUP(A155,'銀行-TSS'!A:AN,40,FALSE)</f>
        <v/>
      </c>
      <c r="N155" s="136">
        <f t="shared" ca="1" si="90"/>
        <v>834.3</v>
      </c>
      <c r="O155" s="1213">
        <f t="shared" ca="1" si="91"/>
        <v>8343.0000000000018</v>
      </c>
      <c r="P155" s="1213">
        <f ca="1">IF(AND($O$1&gt;=O155,換券單檔!$D$13=D155),I155+INT(($O$1-O155)/N155)*J155,0)</f>
        <v>115000</v>
      </c>
      <c r="Q155" s="1213">
        <f t="shared" ca="1" si="92"/>
        <v>4542.5</v>
      </c>
      <c r="R155" s="1213">
        <f t="shared" ca="1" si="93"/>
        <v>115000</v>
      </c>
      <c r="S155" s="1213">
        <f t="shared" ca="1" si="94"/>
        <v>4542.5</v>
      </c>
      <c r="T155" s="136">
        <f ca="1">IF(OR(R155=0,A155=0),0,IF(AND(V155=TRUE,換券單檔!$D$13=D155),E155,0))</f>
        <v>25.75</v>
      </c>
      <c r="U155" s="861">
        <f ca="1">IF(OR(R155=0,A155=0),0,IF(AND(V155=TRUE,換券單檔!$D$13=D155),H155,0))</f>
        <v>5.1900000000000002E-2</v>
      </c>
      <c r="V155" s="136" t="b">
        <f ca="1">IF(OR(B155=換券單檔!$D$3,L155="無",M155&lt;&gt;"",K155="高資產",IFERROR(MATCH(B155,換券單檔!K:K,0),"N")&lt;&gt;"N"),FALSE,IF($V$1="All",TRUE,IF(K155=$V$1,TRUE,FALSE)))</f>
        <v>1</v>
      </c>
      <c r="W155" s="136">
        <f ca="1">VLOOKUP(A155,'銀行-TSS'!A:AO,41,FALSE)</f>
        <v>78.930000000000007</v>
      </c>
      <c r="X155" s="136">
        <f ca="1">VLOOKUP(A155,'銀行-TSS'!A:AP,42,FALSE)</f>
        <v>14.6214</v>
      </c>
      <c r="Y155" s="1220">
        <f t="shared" ca="1" si="95"/>
        <v>13271.771673000001</v>
      </c>
      <c r="Z155" s="1220">
        <f t="shared" ca="1" si="96"/>
        <v>-613.32524271844386</v>
      </c>
      <c r="AA155" s="136">
        <f ca="1">IF(Z155&lt;=0,0,RANK(Z155,Z:Z)+COUNTIF($Z$3:$Z155,Z155)-1)</f>
        <v>0</v>
      </c>
      <c r="AB155" s="1211">
        <f t="shared" ca="1" si="97"/>
        <v>-1624.3683269999983</v>
      </c>
      <c r="AC155" s="136">
        <f ca="1">IF(AB155&lt;=0,0,RANK(AB155,AB:AB)+COUNTIF($AB$3:$AB155,AB155)-1)</f>
        <v>0</v>
      </c>
      <c r="AD155" s="1123">
        <f t="shared" ca="1" si="98"/>
        <v>99999</v>
      </c>
      <c r="AE155" s="1123">
        <f ca="1">IF(AD155=99999,0,RANK(AD155,AD:AD,1)+COUNTIF($AD$3:$AD155,AD155)-1)</f>
        <v>0</v>
      </c>
      <c r="AF155" s="86" t="b">
        <f ca="1">IF(OR(M155&lt;&gt;"",L155="無",K155="高資產",IFERROR(MATCH(B155,換券單檔!K:K,0),"N")&lt;&gt;"N"),FALSE,TRUE)</f>
        <v>1</v>
      </c>
      <c r="AI155" s="1212">
        <f t="shared" ca="1" si="99"/>
        <v>115000</v>
      </c>
      <c r="AJ155" s="1213">
        <f t="shared" ca="1" si="100"/>
        <v>4542.5</v>
      </c>
      <c r="AK155" s="1587">
        <f t="shared" ca="1" si="101"/>
        <v>-613.32524271844386</v>
      </c>
      <c r="AN155" s="1212">
        <f t="shared" ca="1" si="102"/>
        <v>66000</v>
      </c>
      <c r="AO155" s="1213">
        <f t="shared" ca="1" si="103"/>
        <v>2607</v>
      </c>
      <c r="AP155" s="1587">
        <f t="shared" ca="1" si="104"/>
        <v>-66949.796116504847</v>
      </c>
      <c r="AS155" s="1212">
        <f t="shared" ca="1" si="105"/>
        <v>113000</v>
      </c>
      <c r="AT155" s="1213">
        <f t="shared" ca="1" si="106"/>
        <v>4463.5</v>
      </c>
      <c r="AU155" s="1587">
        <f t="shared" ca="1" si="107"/>
        <v>-958.10194174757282</v>
      </c>
      <c r="AX155" s="1212">
        <f t="shared" ca="1" si="108"/>
        <v>104000</v>
      </c>
      <c r="AY155" s="1213">
        <f t="shared" ca="1" si="109"/>
        <v>4108</v>
      </c>
      <c r="AZ155" s="1587">
        <f t="shared" ca="1" si="110"/>
        <v>-928.40776699029402</v>
      </c>
      <c r="BC155" s="1212">
        <f t="shared" ca="1" si="111"/>
        <v>0</v>
      </c>
      <c r="BD155" s="1213">
        <f t="shared" ca="1" si="112"/>
        <v>0</v>
      </c>
      <c r="BE155" s="1587">
        <f t="shared" ca="1" si="113"/>
        <v>0</v>
      </c>
      <c r="BH155" s="1212">
        <f t="shared" ca="1" si="114"/>
        <v>0</v>
      </c>
      <c r="BI155" s="1213">
        <f t="shared" ca="1" si="115"/>
        <v>0</v>
      </c>
      <c r="BJ155" s="1587">
        <f t="shared" ca="1" si="116"/>
        <v>0</v>
      </c>
      <c r="BM155" s="1212">
        <f t="shared" ca="1" si="117"/>
        <v>0</v>
      </c>
      <c r="BN155" s="1213">
        <f t="shared" ca="1" si="118"/>
        <v>0</v>
      </c>
      <c r="BO155" s="1587">
        <f t="shared" ca="1" si="119"/>
        <v>0</v>
      </c>
      <c r="BR155" s="1212">
        <f t="shared" ca="1" si="120"/>
        <v>0</v>
      </c>
      <c r="BS155" s="1213">
        <f t="shared" ca="1" si="121"/>
        <v>0</v>
      </c>
      <c r="BT155" s="1587">
        <f t="shared" ca="1" si="122"/>
        <v>0</v>
      </c>
      <c r="BW155" s="1212">
        <f t="shared" ca="1" si="123"/>
        <v>0</v>
      </c>
      <c r="BX155" s="1213">
        <f t="shared" ca="1" si="124"/>
        <v>0</v>
      </c>
      <c r="BY155" s="1587">
        <f t="shared" ca="1" si="125"/>
        <v>0</v>
      </c>
      <c r="CB155" s="1212">
        <f t="shared" ca="1" si="126"/>
        <v>0</v>
      </c>
      <c r="CC155" s="1213">
        <f t="shared" ca="1" si="127"/>
        <v>0</v>
      </c>
      <c r="CD155" s="1587">
        <f t="shared" ca="1" si="128"/>
        <v>0</v>
      </c>
      <c r="CG155" s="1212">
        <f t="shared" ca="1" si="129"/>
        <v>0</v>
      </c>
      <c r="CH155" s="1213">
        <f t="shared" ca="1" si="130"/>
        <v>0</v>
      </c>
      <c r="CI155" s="1587">
        <f t="shared" ca="1" si="131"/>
        <v>0</v>
      </c>
      <c r="CL155" s="1212">
        <f t="shared" ca="1" si="132"/>
        <v>0</v>
      </c>
      <c r="CM155" s="1213">
        <f t="shared" ca="1" si="133"/>
        <v>0</v>
      </c>
      <c r="CN155" s="1587">
        <f t="shared" ca="1" si="134"/>
        <v>0</v>
      </c>
    </row>
    <row r="156" spans="1:92">
      <c r="A156" s="141" t="str">
        <f>'銀行-TSS'!A156</f>
        <v>US46647PCD69</v>
      </c>
      <c r="B156" s="151" t="str">
        <f ca="1">VLOOKUP(A156,'銀行-TSS'!A:B,2,FALSE)</f>
        <v>XG410</v>
      </c>
      <c r="C156" s="151" t="str">
        <f ca="1">VLOOKUP(B156,bond!B:C,2,FALSE)</f>
        <v>摩根大通銀行美元配息債券  3.157% 2042/4/22</v>
      </c>
      <c r="D156" s="95" t="str">
        <f>VLOOKUP(A156,'銀行-TSS'!A:C,3,FALSE)</f>
        <v>USD</v>
      </c>
      <c r="E156" s="90">
        <f ca="1">VLOOKUP(A156,'銀行-TSS'!A:G,7,FALSE)</f>
        <v>17.8</v>
      </c>
      <c r="F156" s="202">
        <f ca="1">VLOOKUP(A156,'銀行-TSS'!A:H,8,FALSE)</f>
        <v>3.1570000000000001E-2</v>
      </c>
      <c r="G156" s="96">
        <f ca="1">VLOOKUP(A156,'銀行-TSS'!A:K,11,FALSE)</f>
        <v>78.2</v>
      </c>
      <c r="H156" s="1209">
        <f ca="1">VLOOKUP(A156,'銀行-TSS'!A:M,13,FALSE)</f>
        <v>5.2400000000000002E-2</v>
      </c>
      <c r="I156" s="1213">
        <f ca="1">VLOOKUP(A156,'銀行-TSS'!A:N,14,FALSE)</f>
        <v>10000</v>
      </c>
      <c r="J156" s="1213">
        <f ca="1">VLOOKUP(A156,'銀行-TSS'!A:O,15,FALSE)</f>
        <v>1000</v>
      </c>
      <c r="K156" s="136" t="str">
        <f ca="1">VLOOKUP(A156,'銀行-TSS'!A:V,22,FALSE)</f>
        <v>(PI)專投</v>
      </c>
      <c r="L156" s="136" t="str">
        <f ca="1">VLOOKUP(A156,'銀行-TSS'!A:AK,37,FALSE)</f>
        <v>有</v>
      </c>
      <c r="M156" s="136" t="str">
        <f ca="1">VLOOKUP(A156,'銀行-TSS'!A:AN,40,FALSE)</f>
        <v/>
      </c>
      <c r="N156" s="136">
        <f t="shared" ca="1" si="90"/>
        <v>782</v>
      </c>
      <c r="O156" s="1213">
        <f t="shared" ca="1" si="91"/>
        <v>7820</v>
      </c>
      <c r="P156" s="1213">
        <f ca="1">IF(AND($O$1&gt;=O156,換券單檔!$D$13=D156),I156+INT(($O$1-O156)/N156)*J156,0)</f>
        <v>123000</v>
      </c>
      <c r="Q156" s="1213">
        <f t="shared" ca="1" si="92"/>
        <v>3883.11</v>
      </c>
      <c r="R156" s="1213">
        <f t="shared" ca="1" si="93"/>
        <v>123000</v>
      </c>
      <c r="S156" s="1213">
        <f t="shared" ca="1" si="94"/>
        <v>3883.11</v>
      </c>
      <c r="T156" s="136">
        <f ca="1">IF(OR(R156=0,A156=0),0,IF(AND(V156=TRUE,換券單檔!$D$13=D156),E156,0))</f>
        <v>17.8</v>
      </c>
      <c r="U156" s="861">
        <f ca="1">IF(OR(R156=0,A156=0),0,IF(AND(V156=TRUE,換券單檔!$D$13=D156),H156,0))</f>
        <v>5.2400000000000002E-2</v>
      </c>
      <c r="V156" s="136" t="b">
        <f ca="1">IF(OR(B156=換券單檔!$D$3,L156="無",M156&lt;&gt;"",K156="高資產",IFERROR(MATCH(B156,換券單檔!K:K,0),"N")&lt;&gt;"N"),FALSE,IF($V$1="All",TRUE,IF(K156=$V$1,TRUE,FALSE)))</f>
        <v>1</v>
      </c>
      <c r="W156" s="136">
        <f ca="1">VLOOKUP(A156,'銀行-TSS'!A:AO,41,FALSE)</f>
        <v>75.09</v>
      </c>
      <c r="X156" s="136">
        <f ca="1">VLOOKUP(A156,'銀行-TSS'!A:AP,42,FALSE)</f>
        <v>12.0928</v>
      </c>
      <c r="Y156" s="1220">
        <f t="shared" ca="1" si="95"/>
        <v>11168.994729599999</v>
      </c>
      <c r="Z156" s="1220">
        <f t="shared" ca="1" si="96"/>
        <v>0</v>
      </c>
      <c r="AA156" s="136">
        <f ca="1">IF(Z156&lt;=0,0,RANK(Z156,Z:Z)+COUNTIF($Z$3:$Z156,Z156)-1)</f>
        <v>0</v>
      </c>
      <c r="AB156" s="1211">
        <f t="shared" ca="1" si="97"/>
        <v>-3727.1452704000003</v>
      </c>
      <c r="AC156" s="136">
        <f ca="1">IF(AB156&lt;=0,0,RANK(AB156,AB:AB)+COUNTIF($AB$3:$AB156,AB156)-1)</f>
        <v>0</v>
      </c>
      <c r="AD156" s="1123">
        <f t="shared" ca="1" si="98"/>
        <v>99999</v>
      </c>
      <c r="AE156" s="1123">
        <f ca="1">IF(AD156=99999,0,RANK(AD156,AD:AD,1)+COUNTIF($AD$3:$AD156,AD156)-1)</f>
        <v>0</v>
      </c>
      <c r="AF156" s="86" t="b">
        <f ca="1">IF(OR(M156&lt;&gt;"",L156="無",K156="高資產",IFERROR(MATCH(B156,換券單檔!K:K,0),"N")&lt;&gt;"N"),FALSE,TRUE)</f>
        <v>1</v>
      </c>
      <c r="AI156" s="1212">
        <f t="shared" ca="1" si="99"/>
        <v>123000</v>
      </c>
      <c r="AJ156" s="1213">
        <f t="shared" ca="1" si="100"/>
        <v>3883.11</v>
      </c>
      <c r="AK156" s="1587">
        <f t="shared" ca="1" si="101"/>
        <v>0</v>
      </c>
      <c r="AN156" s="1212">
        <f t="shared" ca="1" si="102"/>
        <v>70000</v>
      </c>
      <c r="AO156" s="1213">
        <f t="shared" ca="1" si="103"/>
        <v>2209.9</v>
      </c>
      <c r="AP156" s="1587">
        <f t="shared" ca="1" si="104"/>
        <v>-60116.92078651685</v>
      </c>
      <c r="AS156" s="1212">
        <f t="shared" ca="1" si="105"/>
        <v>120000</v>
      </c>
      <c r="AT156" s="1213">
        <f t="shared" ca="1" si="106"/>
        <v>3788.4</v>
      </c>
      <c r="AU156" s="1587">
        <f t="shared" ca="1" si="107"/>
        <v>0</v>
      </c>
      <c r="AX156" s="1212">
        <f t="shared" ca="1" si="108"/>
        <v>111000</v>
      </c>
      <c r="AY156" s="1213">
        <f t="shared" ca="1" si="109"/>
        <v>3504.27</v>
      </c>
      <c r="AZ156" s="1587">
        <f t="shared" ca="1" si="110"/>
        <v>0</v>
      </c>
      <c r="BC156" s="1212">
        <f t="shared" ca="1" si="111"/>
        <v>0</v>
      </c>
      <c r="BD156" s="1213">
        <f t="shared" ca="1" si="112"/>
        <v>0</v>
      </c>
      <c r="BE156" s="1587">
        <f t="shared" ca="1" si="113"/>
        <v>0</v>
      </c>
      <c r="BH156" s="1212">
        <f t="shared" ca="1" si="114"/>
        <v>0</v>
      </c>
      <c r="BI156" s="1213">
        <f t="shared" ca="1" si="115"/>
        <v>0</v>
      </c>
      <c r="BJ156" s="1587">
        <f t="shared" ca="1" si="116"/>
        <v>0</v>
      </c>
      <c r="BM156" s="1212">
        <f t="shared" ca="1" si="117"/>
        <v>0</v>
      </c>
      <c r="BN156" s="1213">
        <f t="shared" ca="1" si="118"/>
        <v>0</v>
      </c>
      <c r="BO156" s="1587">
        <f t="shared" ca="1" si="119"/>
        <v>0</v>
      </c>
      <c r="BR156" s="1212">
        <f t="shared" ca="1" si="120"/>
        <v>0</v>
      </c>
      <c r="BS156" s="1213">
        <f t="shared" ca="1" si="121"/>
        <v>0</v>
      </c>
      <c r="BT156" s="1587">
        <f t="shared" ca="1" si="122"/>
        <v>0</v>
      </c>
      <c r="BW156" s="1212">
        <f t="shared" ca="1" si="123"/>
        <v>0</v>
      </c>
      <c r="BX156" s="1213">
        <f t="shared" ca="1" si="124"/>
        <v>0</v>
      </c>
      <c r="BY156" s="1587">
        <f t="shared" ca="1" si="125"/>
        <v>0</v>
      </c>
      <c r="CB156" s="1212">
        <f t="shared" ca="1" si="126"/>
        <v>0</v>
      </c>
      <c r="CC156" s="1213">
        <f t="shared" ca="1" si="127"/>
        <v>0</v>
      </c>
      <c r="CD156" s="1587">
        <f t="shared" ca="1" si="128"/>
        <v>0</v>
      </c>
      <c r="CG156" s="1212">
        <f t="shared" ca="1" si="129"/>
        <v>0</v>
      </c>
      <c r="CH156" s="1213">
        <f t="shared" ca="1" si="130"/>
        <v>0</v>
      </c>
      <c r="CI156" s="1587">
        <f t="shared" ca="1" si="131"/>
        <v>0</v>
      </c>
      <c r="CL156" s="1212">
        <f t="shared" ca="1" si="132"/>
        <v>0</v>
      </c>
      <c r="CM156" s="1213">
        <f t="shared" ca="1" si="133"/>
        <v>0</v>
      </c>
      <c r="CN156" s="1587">
        <f t="shared" ca="1" si="134"/>
        <v>0</v>
      </c>
    </row>
    <row r="157" spans="1:92">
      <c r="A157" s="141" t="str">
        <f>'銀行-TSS'!A157</f>
        <v>US38141GYC22</v>
      </c>
      <c r="B157" s="151" t="str">
        <f ca="1">VLOOKUP(A157,'銀行-TSS'!A:B,2,FALSE)</f>
        <v>XG420</v>
      </c>
      <c r="C157" s="151" t="str">
        <f ca="1">VLOOKUP(B157,bond!B:C,2,FALSE)</f>
        <v>高盛集團美元配息債券 3.21% 2042/4/22</v>
      </c>
      <c r="D157" s="95" t="str">
        <f>VLOOKUP(A157,'銀行-TSS'!A:C,3,FALSE)</f>
        <v>USD</v>
      </c>
      <c r="E157" s="90">
        <f ca="1">VLOOKUP(A157,'銀行-TSS'!A:G,7,FALSE)</f>
        <v>17.8</v>
      </c>
      <c r="F157" s="202">
        <f ca="1">VLOOKUP(A157,'銀行-TSS'!A:H,8,FALSE)</f>
        <v>3.2099999999999997E-2</v>
      </c>
      <c r="G157" s="96">
        <f ca="1">VLOOKUP(A157,'銀行-TSS'!A:K,11,FALSE)</f>
        <v>77.790000000000006</v>
      </c>
      <c r="H157" s="1209">
        <f ca="1">VLOOKUP(A157,'銀行-TSS'!A:M,13,FALSE)</f>
        <v>5.3400000000000003E-2</v>
      </c>
      <c r="I157" s="1213">
        <f ca="1">VLOOKUP(A157,'銀行-TSS'!A:N,14,FALSE)</f>
        <v>10000</v>
      </c>
      <c r="J157" s="1213">
        <f ca="1">VLOOKUP(A157,'銀行-TSS'!A:O,15,FALSE)</f>
        <v>1000</v>
      </c>
      <c r="K157" s="136" t="str">
        <f ca="1">VLOOKUP(A157,'銀行-TSS'!A:V,22,FALSE)</f>
        <v>(PI)專投</v>
      </c>
      <c r="L157" s="136" t="str">
        <f ca="1">VLOOKUP(A157,'銀行-TSS'!A:AK,37,FALSE)</f>
        <v>有</v>
      </c>
      <c r="M157" s="136" t="str">
        <f ca="1">VLOOKUP(A157,'銀行-TSS'!A:AN,40,FALSE)</f>
        <v/>
      </c>
      <c r="N157" s="136">
        <f t="shared" ca="1" si="90"/>
        <v>777.9</v>
      </c>
      <c r="O157" s="1213">
        <f t="shared" ca="1" si="91"/>
        <v>7779.0000000000009</v>
      </c>
      <c r="P157" s="1213">
        <f ca="1">IF(AND($O$1&gt;=O157,換券單檔!$D$13=D157),I157+INT(($O$1-O157)/N157)*J157,0)</f>
        <v>124000</v>
      </c>
      <c r="Q157" s="1213">
        <f t="shared" ca="1" si="92"/>
        <v>3980.3999999999996</v>
      </c>
      <c r="R157" s="1213">
        <f t="shared" ca="1" si="93"/>
        <v>124000</v>
      </c>
      <c r="S157" s="1213">
        <f t="shared" ca="1" si="94"/>
        <v>3980.3999999999996</v>
      </c>
      <c r="T157" s="136">
        <f ca="1">IF(OR(R157=0,A157=0),0,IF(AND(V157=TRUE,換券單檔!$D$13=D157),E157,0))</f>
        <v>17.8</v>
      </c>
      <c r="U157" s="861">
        <f ca="1">IF(OR(R157=0,A157=0),0,IF(AND(V157=TRUE,換券單檔!$D$13=D157),H157,0))</f>
        <v>5.3400000000000003E-2</v>
      </c>
      <c r="V157" s="136" t="b">
        <f ca="1">IF(OR(B157=換券單檔!$D$3,L157="無",M157&lt;&gt;"",K157="高資產",IFERROR(MATCH(B157,換券單檔!K:K,0),"N")&lt;&gt;"N"),FALSE,IF($V$1="All",TRUE,IF(K157=$V$1,TRUE,FALSE)))</f>
        <v>1</v>
      </c>
      <c r="W157" s="136">
        <f ca="1">VLOOKUP(A157,'銀行-TSS'!A:AO,41,FALSE)</f>
        <v>74.67</v>
      </c>
      <c r="X157" s="136">
        <f ca="1">VLOOKUP(A157,'銀行-TSS'!A:AP,42,FALSE)</f>
        <v>12.0146</v>
      </c>
      <c r="Y157" s="1220">
        <f t="shared" ca="1" si="95"/>
        <v>11124.414256800001</v>
      </c>
      <c r="Z157" s="1220">
        <f t="shared" ca="1" si="96"/>
        <v>0</v>
      </c>
      <c r="AA157" s="136">
        <f ca="1">IF(Z157&lt;=0,0,RANK(Z157,Z:Z)+COUNTIF($Z$3:$Z157,Z157)-1)</f>
        <v>0</v>
      </c>
      <c r="AB157" s="1211">
        <f t="shared" ca="1" si="97"/>
        <v>-3771.7257431999988</v>
      </c>
      <c r="AC157" s="136">
        <f ca="1">IF(AB157&lt;=0,0,RANK(AB157,AB:AB)+COUNTIF($AB$3:$AB157,AB157)-1)</f>
        <v>0</v>
      </c>
      <c r="AD157" s="1123">
        <f t="shared" ca="1" si="98"/>
        <v>99999</v>
      </c>
      <c r="AE157" s="1123">
        <f ca="1">IF(AD157=99999,0,RANK(AD157,AD:AD,1)+COUNTIF($AD$3:$AD157,AD157)-1)</f>
        <v>0</v>
      </c>
      <c r="AF157" s="86" t="b">
        <f ca="1">IF(OR(M157&lt;&gt;"",L157="無",K157="高資產",IFERROR(MATCH(B157,換券單檔!K:K,0),"N")&lt;&gt;"N"),FALSE,TRUE)</f>
        <v>1</v>
      </c>
      <c r="AI157" s="1212">
        <f t="shared" ca="1" si="99"/>
        <v>124000</v>
      </c>
      <c r="AJ157" s="1213">
        <f t="shared" ca="1" si="100"/>
        <v>3980.3999999999996</v>
      </c>
      <c r="AK157" s="1587">
        <f t="shared" ca="1" si="101"/>
        <v>0</v>
      </c>
      <c r="AN157" s="1212">
        <f t="shared" ca="1" si="102"/>
        <v>71000</v>
      </c>
      <c r="AO157" s="1213">
        <f t="shared" ca="1" si="103"/>
        <v>2279.1</v>
      </c>
      <c r="AP157" s="1587">
        <f t="shared" ca="1" si="104"/>
        <v>-57915.152247191014</v>
      </c>
      <c r="AS157" s="1212">
        <f t="shared" ca="1" si="105"/>
        <v>121000</v>
      </c>
      <c r="AT157" s="1213">
        <f t="shared" ca="1" si="106"/>
        <v>3884.0999999999995</v>
      </c>
      <c r="AU157" s="1587">
        <f t="shared" ca="1" si="107"/>
        <v>0</v>
      </c>
      <c r="AX157" s="1212">
        <f t="shared" ca="1" si="108"/>
        <v>111000</v>
      </c>
      <c r="AY157" s="1213">
        <f t="shared" ca="1" si="109"/>
        <v>3563.0999999999995</v>
      </c>
      <c r="AZ157" s="1587">
        <f t="shared" ca="1" si="110"/>
        <v>0</v>
      </c>
      <c r="BC157" s="1212">
        <f t="shared" ca="1" si="111"/>
        <v>0</v>
      </c>
      <c r="BD157" s="1213">
        <f t="shared" ca="1" si="112"/>
        <v>0</v>
      </c>
      <c r="BE157" s="1587">
        <f t="shared" ca="1" si="113"/>
        <v>0</v>
      </c>
      <c r="BH157" s="1212">
        <f t="shared" ca="1" si="114"/>
        <v>0</v>
      </c>
      <c r="BI157" s="1213">
        <f t="shared" ca="1" si="115"/>
        <v>0</v>
      </c>
      <c r="BJ157" s="1587">
        <f t="shared" ca="1" si="116"/>
        <v>0</v>
      </c>
      <c r="BM157" s="1212">
        <f t="shared" ca="1" si="117"/>
        <v>0</v>
      </c>
      <c r="BN157" s="1213">
        <f t="shared" ca="1" si="118"/>
        <v>0</v>
      </c>
      <c r="BO157" s="1587">
        <f t="shared" ca="1" si="119"/>
        <v>0</v>
      </c>
      <c r="BR157" s="1212">
        <f t="shared" ca="1" si="120"/>
        <v>0</v>
      </c>
      <c r="BS157" s="1213">
        <f t="shared" ca="1" si="121"/>
        <v>0</v>
      </c>
      <c r="BT157" s="1587">
        <f t="shared" ca="1" si="122"/>
        <v>0</v>
      </c>
      <c r="BW157" s="1212">
        <f t="shared" ca="1" si="123"/>
        <v>0</v>
      </c>
      <c r="BX157" s="1213">
        <f t="shared" ca="1" si="124"/>
        <v>0</v>
      </c>
      <c r="BY157" s="1587">
        <f t="shared" ca="1" si="125"/>
        <v>0</v>
      </c>
      <c r="CB157" s="1212">
        <f t="shared" ca="1" si="126"/>
        <v>0</v>
      </c>
      <c r="CC157" s="1213">
        <f t="shared" ca="1" si="127"/>
        <v>0</v>
      </c>
      <c r="CD157" s="1587">
        <f t="shared" ca="1" si="128"/>
        <v>0</v>
      </c>
      <c r="CG157" s="1212">
        <f t="shared" ca="1" si="129"/>
        <v>0</v>
      </c>
      <c r="CH157" s="1213">
        <f t="shared" ca="1" si="130"/>
        <v>0</v>
      </c>
      <c r="CI157" s="1587">
        <f t="shared" ca="1" si="131"/>
        <v>0</v>
      </c>
      <c r="CL157" s="1212">
        <f t="shared" ca="1" si="132"/>
        <v>0</v>
      </c>
      <c r="CM157" s="1213">
        <f t="shared" ca="1" si="133"/>
        <v>0</v>
      </c>
      <c r="CN157" s="1587">
        <f t="shared" ca="1" si="134"/>
        <v>0</v>
      </c>
    </row>
    <row r="158" spans="1:92">
      <c r="A158" s="141" t="str">
        <f>'銀行-TSS'!A158</f>
        <v>US92343VFD10</v>
      </c>
      <c r="B158" s="151" t="str">
        <f ca="1">VLOOKUP(A158,'銀行-TSS'!A:B,2,FALSE)</f>
        <v>XG430</v>
      </c>
      <c r="C158" s="151" t="str">
        <f ca="1">VLOOKUP(B158,bond!B:C,2,FALSE)</f>
        <v>威瑞森電信公司美元配息債券 4% 2050/3/22</v>
      </c>
      <c r="D158" s="95" t="str">
        <f>VLOOKUP(A158,'銀行-TSS'!A:C,3,FALSE)</f>
        <v>USD</v>
      </c>
      <c r="E158" s="90">
        <f ca="1">VLOOKUP(A158,'銀行-TSS'!A:G,7,FALSE)</f>
        <v>25.72</v>
      </c>
      <c r="F158" s="202">
        <f ca="1">VLOOKUP(A158,'銀行-TSS'!A:H,8,FALSE)</f>
        <v>0.04</v>
      </c>
      <c r="G158" s="96">
        <f ca="1">VLOOKUP(A158,'銀行-TSS'!A:K,11,FALSE)</f>
        <v>83.44</v>
      </c>
      <c r="H158" s="1209">
        <f ca="1">VLOOKUP(A158,'銀行-TSS'!A:M,13,FALSE)</f>
        <v>5.2600000000000001E-2</v>
      </c>
      <c r="I158" s="1213">
        <f ca="1">VLOOKUP(A158,'銀行-TSS'!A:N,14,FALSE)</f>
        <v>10000</v>
      </c>
      <c r="J158" s="1213">
        <f ca="1">VLOOKUP(A158,'銀行-TSS'!A:O,15,FALSE)</f>
        <v>1000</v>
      </c>
      <c r="K158" s="136" t="str">
        <f ca="1">VLOOKUP(A158,'銀行-TSS'!A:V,22,FALSE)</f>
        <v>(NPI)非專投</v>
      </c>
      <c r="L158" s="136" t="str">
        <f ca="1">VLOOKUP(A158,'銀行-TSS'!A:AK,37,FALSE)</f>
        <v>有</v>
      </c>
      <c r="M158" s="136" t="str">
        <f ca="1">VLOOKUP(A158,'銀行-TSS'!A:AN,40,FALSE)</f>
        <v/>
      </c>
      <c r="N158" s="136">
        <f t="shared" ca="1" si="90"/>
        <v>834.4</v>
      </c>
      <c r="O158" s="1213">
        <f t="shared" ca="1" si="91"/>
        <v>8344</v>
      </c>
      <c r="P158" s="1213">
        <f ca="1">IF(AND($O$1&gt;=O158,換券單檔!$D$13=D158),I158+INT(($O$1-O158)/N158)*J158,0)</f>
        <v>115000</v>
      </c>
      <c r="Q158" s="1213">
        <f t="shared" ca="1" si="92"/>
        <v>4600</v>
      </c>
      <c r="R158" s="1213">
        <f t="shared" ca="1" si="93"/>
        <v>115000</v>
      </c>
      <c r="S158" s="1213">
        <f t="shared" ca="1" si="94"/>
        <v>4600</v>
      </c>
      <c r="T158" s="136">
        <f ca="1">IF(OR(R158=0,A158=0),0,IF(AND(V158=TRUE,換券單檔!$D$13=D158),E158,0))</f>
        <v>25.72</v>
      </c>
      <c r="U158" s="861">
        <f ca="1">IF(OR(R158=0,A158=0),0,IF(AND(V158=TRUE,換券單檔!$D$13=D158),H158,0))</f>
        <v>5.2600000000000001E-2</v>
      </c>
      <c r="V158" s="136" t="b">
        <f ca="1">IF(OR(B158=換券單檔!$D$3,L158="無",M158&lt;&gt;"",K158="高資產",IFERROR(MATCH(B158,換券單檔!K:K,0),"N")&lt;&gt;"N"),FALSE,IF($V$1="All",TRUE,IF(K158=$V$1,TRUE,FALSE)))</f>
        <v>1</v>
      </c>
      <c r="W158" s="136">
        <f ca="1">VLOOKUP(A158,'銀行-TSS'!A:AO,41,FALSE)</f>
        <v>78.83</v>
      </c>
      <c r="X158" s="136">
        <f ca="1">VLOOKUP(A158,'銀行-TSS'!A:AP,42,FALSE)</f>
        <v>14.474399999999999</v>
      </c>
      <c r="Y158" s="1220">
        <f t="shared" ca="1" si="95"/>
        <v>13121.694948</v>
      </c>
      <c r="Z158" s="1220">
        <f t="shared" ca="1" si="96"/>
        <v>-443.81804043545606</v>
      </c>
      <c r="AA158" s="136">
        <f ca="1">IF(Z158&lt;=0,0,RANK(Z158,Z:Z)+COUNTIF($Z$3:$Z158,Z158)-1)</f>
        <v>0</v>
      </c>
      <c r="AB158" s="1211">
        <f t="shared" ca="1" si="97"/>
        <v>-1774.4450519999991</v>
      </c>
      <c r="AC158" s="136">
        <f ca="1">IF(AB158&lt;=0,0,RANK(AB158,AB:AB)+COUNTIF($AB$3:$AB158,AB158)-1)</f>
        <v>0</v>
      </c>
      <c r="AD158" s="1123">
        <f t="shared" ca="1" si="98"/>
        <v>99999</v>
      </c>
      <c r="AE158" s="1123">
        <f ca="1">IF(AD158=99999,0,RANK(AD158,AD:AD,1)+COUNTIF($AD$3:$AD158,AD158)-1)</f>
        <v>0</v>
      </c>
      <c r="AF158" s="86" t="b">
        <f ca="1">IF(OR(M158&lt;&gt;"",L158="無",K158="高資產",IFERROR(MATCH(B158,換券單檔!K:K,0),"N")&lt;&gt;"N"),FALSE,TRUE)</f>
        <v>1</v>
      </c>
      <c r="AI158" s="1212">
        <f t="shared" ca="1" si="99"/>
        <v>115000</v>
      </c>
      <c r="AJ158" s="1213">
        <f t="shared" ca="1" si="100"/>
        <v>4600</v>
      </c>
      <c r="AK158" s="1587">
        <f t="shared" ca="1" si="101"/>
        <v>-443.81804043545606</v>
      </c>
      <c r="AN158" s="1212">
        <f t="shared" ca="1" si="102"/>
        <v>66000</v>
      </c>
      <c r="AO158" s="1213">
        <f t="shared" ca="1" si="103"/>
        <v>2640</v>
      </c>
      <c r="AP158" s="1587">
        <f t="shared" ca="1" si="104"/>
        <v>-66852.744945567654</v>
      </c>
      <c r="AS158" s="1212">
        <f t="shared" ca="1" si="105"/>
        <v>113000</v>
      </c>
      <c r="AT158" s="1213">
        <f t="shared" ca="1" si="106"/>
        <v>4520</v>
      </c>
      <c r="AU158" s="1587">
        <f t="shared" ca="1" si="107"/>
        <v>-791.57465007776057</v>
      </c>
      <c r="AX158" s="1212">
        <f t="shared" ca="1" si="108"/>
        <v>104000</v>
      </c>
      <c r="AY158" s="1213">
        <f t="shared" ca="1" si="109"/>
        <v>4160</v>
      </c>
      <c r="AZ158" s="1587">
        <f t="shared" ca="1" si="110"/>
        <v>-775.32659409020482</v>
      </c>
      <c r="BC158" s="1212">
        <f t="shared" ca="1" si="111"/>
        <v>0</v>
      </c>
      <c r="BD158" s="1213">
        <f t="shared" ca="1" si="112"/>
        <v>0</v>
      </c>
      <c r="BE158" s="1587">
        <f t="shared" ca="1" si="113"/>
        <v>0</v>
      </c>
      <c r="BH158" s="1212">
        <f t="shared" ca="1" si="114"/>
        <v>0</v>
      </c>
      <c r="BI158" s="1213">
        <f t="shared" ca="1" si="115"/>
        <v>0</v>
      </c>
      <c r="BJ158" s="1587">
        <f t="shared" ca="1" si="116"/>
        <v>0</v>
      </c>
      <c r="BM158" s="1212">
        <f t="shared" ca="1" si="117"/>
        <v>0</v>
      </c>
      <c r="BN158" s="1213">
        <f t="shared" ca="1" si="118"/>
        <v>0</v>
      </c>
      <c r="BO158" s="1587">
        <f t="shared" ca="1" si="119"/>
        <v>0</v>
      </c>
      <c r="BR158" s="1212">
        <f t="shared" ca="1" si="120"/>
        <v>0</v>
      </c>
      <c r="BS158" s="1213">
        <f t="shared" ca="1" si="121"/>
        <v>0</v>
      </c>
      <c r="BT158" s="1587">
        <f t="shared" ca="1" si="122"/>
        <v>0</v>
      </c>
      <c r="BW158" s="1212">
        <f t="shared" ca="1" si="123"/>
        <v>0</v>
      </c>
      <c r="BX158" s="1213">
        <f t="shared" ca="1" si="124"/>
        <v>0</v>
      </c>
      <c r="BY158" s="1587">
        <f t="shared" ca="1" si="125"/>
        <v>0</v>
      </c>
      <c r="CB158" s="1212">
        <f t="shared" ca="1" si="126"/>
        <v>0</v>
      </c>
      <c r="CC158" s="1213">
        <f t="shared" ca="1" si="127"/>
        <v>0</v>
      </c>
      <c r="CD158" s="1587">
        <f t="shared" ca="1" si="128"/>
        <v>0</v>
      </c>
      <c r="CG158" s="1212">
        <f t="shared" ca="1" si="129"/>
        <v>0</v>
      </c>
      <c r="CH158" s="1213">
        <f t="shared" ca="1" si="130"/>
        <v>0</v>
      </c>
      <c r="CI158" s="1587">
        <f t="shared" ca="1" si="131"/>
        <v>0</v>
      </c>
      <c r="CL158" s="1212">
        <f t="shared" ca="1" si="132"/>
        <v>0</v>
      </c>
      <c r="CM158" s="1213">
        <f t="shared" ca="1" si="133"/>
        <v>0</v>
      </c>
      <c r="CN158" s="1587">
        <f t="shared" ca="1" si="134"/>
        <v>0</v>
      </c>
    </row>
    <row r="159" spans="1:92">
      <c r="A159" s="141" t="str">
        <f>'銀行-TSS'!A159</f>
        <v>US125523CQ19</v>
      </c>
      <c r="B159" s="151" t="str">
        <f ca="1">VLOOKUP(A159,'銀行-TSS'!A:B,2,FALSE)</f>
        <v>XG440</v>
      </c>
      <c r="C159" s="151" t="str">
        <f ca="1">VLOOKUP(B159,bond!B:C,2,FALSE)</f>
        <v>信諾公司美元配息債券 3.4% 2051/3/15</v>
      </c>
      <c r="D159" s="95" t="str">
        <f>VLOOKUP(A159,'銀行-TSS'!A:C,3,FALSE)</f>
        <v>USD</v>
      </c>
      <c r="E159" s="90">
        <f ca="1">VLOOKUP(A159,'銀行-TSS'!A:G,7,FALSE)</f>
        <v>26.7</v>
      </c>
      <c r="F159" s="202">
        <f ca="1">VLOOKUP(A159,'銀行-TSS'!A:H,8,FALSE)</f>
        <v>3.4000000000000002E-2</v>
      </c>
      <c r="G159" s="96">
        <f ca="1">VLOOKUP(A159,'銀行-TSS'!A:K,11,FALSE)</f>
        <v>73.260000000000005</v>
      </c>
      <c r="H159" s="1209">
        <f ca="1">VLOOKUP(A159,'銀行-TSS'!A:M,13,FALSE)</f>
        <v>5.3699999999999998E-2</v>
      </c>
      <c r="I159" s="1213">
        <f ca="1">VLOOKUP(A159,'銀行-TSS'!A:N,14,FALSE)</f>
        <v>10000</v>
      </c>
      <c r="J159" s="1213">
        <f ca="1">VLOOKUP(A159,'銀行-TSS'!A:O,15,FALSE)</f>
        <v>1000</v>
      </c>
      <c r="K159" s="136" t="str">
        <f ca="1">VLOOKUP(A159,'銀行-TSS'!A:V,22,FALSE)</f>
        <v>(NPI)非專投</v>
      </c>
      <c r="L159" s="136" t="str">
        <f ca="1">VLOOKUP(A159,'銀行-TSS'!A:AK,37,FALSE)</f>
        <v>有</v>
      </c>
      <c r="M159" s="136" t="str">
        <f ca="1">VLOOKUP(A159,'銀行-TSS'!A:AN,40,FALSE)</f>
        <v/>
      </c>
      <c r="N159" s="136">
        <f t="shared" ca="1" si="90"/>
        <v>732.6</v>
      </c>
      <c r="O159" s="1213">
        <f t="shared" ca="1" si="91"/>
        <v>7326</v>
      </c>
      <c r="P159" s="1213">
        <f ca="1">IF(AND($O$1&gt;=O159,換券單檔!$D$13=D159),I159+INT(($O$1-O159)/N159)*J159,0)</f>
        <v>131000</v>
      </c>
      <c r="Q159" s="1213">
        <f t="shared" ca="1" si="92"/>
        <v>4454</v>
      </c>
      <c r="R159" s="1213">
        <f t="shared" ca="1" si="93"/>
        <v>131000</v>
      </c>
      <c r="S159" s="1213">
        <f t="shared" ca="1" si="94"/>
        <v>4454</v>
      </c>
      <c r="T159" s="136">
        <f ca="1">IF(OR(R159=0,A159=0),0,IF(AND(V159=TRUE,換券單檔!$D$13=D159),E159,0))</f>
        <v>26.7</v>
      </c>
      <c r="U159" s="861">
        <f ca="1">IF(OR(R159=0,A159=0),0,IF(AND(V159=TRUE,換券單檔!$D$13=D159),H159,0))</f>
        <v>5.3699999999999998E-2</v>
      </c>
      <c r="V159" s="136" t="b">
        <f ca="1">IF(OR(B159=換券單檔!$D$3,L159="無",M159&lt;&gt;"",K159="高資產",IFERROR(MATCH(B159,換券單檔!K:K,0),"N")&lt;&gt;"N"),FALSE,IF($V$1="All",TRUE,IF(K159=$V$1,TRUE,FALSE)))</f>
        <v>1</v>
      </c>
      <c r="W159" s="136">
        <f ca="1">VLOOKUP(A159,'銀行-TSS'!A:AO,41,FALSE)</f>
        <v>68.75</v>
      </c>
      <c r="X159" s="136">
        <f ca="1">VLOOKUP(A159,'銀行-TSS'!A:AP,42,FALSE)</f>
        <v>15.154999999999999</v>
      </c>
      <c r="Y159" s="1220">
        <f t="shared" ca="1" si="95"/>
        <v>13648.971875000001</v>
      </c>
      <c r="Z159" s="1220">
        <f t="shared" ca="1" si="96"/>
        <v>-585.22846441947286</v>
      </c>
      <c r="AA159" s="136">
        <f ca="1">IF(Z159&lt;=0,0,RANK(Z159,Z:Z)+COUNTIF($Z$3:$Z159,Z159)-1)</f>
        <v>0</v>
      </c>
      <c r="AB159" s="1211">
        <f t="shared" ca="1" si="97"/>
        <v>-1247.1681249999983</v>
      </c>
      <c r="AC159" s="136">
        <f ca="1">IF(AB159&lt;=0,0,RANK(AB159,AB:AB)+COUNTIF($AB$3:$AB159,AB159)-1)</f>
        <v>0</v>
      </c>
      <c r="AD159" s="1123">
        <f t="shared" ca="1" si="98"/>
        <v>99999</v>
      </c>
      <c r="AE159" s="1123">
        <f ca="1">IF(AD159=99999,0,RANK(AD159,AD:AD,1)+COUNTIF($AD$3:$AD159,AD159)-1)</f>
        <v>0</v>
      </c>
      <c r="AF159" s="86" t="b">
        <f ca="1">IF(OR(M159&lt;&gt;"",L159="無",K159="高資產",IFERROR(MATCH(B159,換券單檔!K:K,0),"N")&lt;&gt;"N"),FALSE,TRUE)</f>
        <v>1</v>
      </c>
      <c r="AI159" s="1212">
        <f t="shared" ca="1" si="99"/>
        <v>131000</v>
      </c>
      <c r="AJ159" s="1213">
        <f t="shared" ca="1" si="100"/>
        <v>4454</v>
      </c>
      <c r="AK159" s="1587">
        <f t="shared" ca="1" si="101"/>
        <v>-585.22846441947286</v>
      </c>
      <c r="AN159" s="1212">
        <f t="shared" ca="1" si="102"/>
        <v>75000</v>
      </c>
      <c r="AO159" s="1213">
        <f t="shared" ca="1" si="103"/>
        <v>2550</v>
      </c>
      <c r="AP159" s="1587">
        <f t="shared" ca="1" si="104"/>
        <v>-49116.853932584272</v>
      </c>
      <c r="AS159" s="1212">
        <f t="shared" ca="1" si="105"/>
        <v>129000</v>
      </c>
      <c r="AT159" s="1213">
        <f t="shared" ca="1" si="106"/>
        <v>4386</v>
      </c>
      <c r="AU159" s="1587">
        <f t="shared" ca="1" si="107"/>
        <v>0</v>
      </c>
      <c r="AX159" s="1212">
        <f t="shared" ca="1" si="108"/>
        <v>118000</v>
      </c>
      <c r="AY159" s="1213">
        <f t="shared" ca="1" si="109"/>
        <v>4012.0000000000005</v>
      </c>
      <c r="AZ159" s="1587">
        <f t="shared" ca="1" si="110"/>
        <v>-952.31460674157438</v>
      </c>
      <c r="BC159" s="1212">
        <f t="shared" ca="1" si="111"/>
        <v>0</v>
      </c>
      <c r="BD159" s="1213">
        <f t="shared" ca="1" si="112"/>
        <v>0</v>
      </c>
      <c r="BE159" s="1587">
        <f t="shared" ca="1" si="113"/>
        <v>0</v>
      </c>
      <c r="BH159" s="1212">
        <f t="shared" ca="1" si="114"/>
        <v>0</v>
      </c>
      <c r="BI159" s="1213">
        <f t="shared" ca="1" si="115"/>
        <v>0</v>
      </c>
      <c r="BJ159" s="1587">
        <f t="shared" ca="1" si="116"/>
        <v>0</v>
      </c>
      <c r="BM159" s="1212">
        <f t="shared" ca="1" si="117"/>
        <v>0</v>
      </c>
      <c r="BN159" s="1213">
        <f t="shared" ca="1" si="118"/>
        <v>0</v>
      </c>
      <c r="BO159" s="1587">
        <f t="shared" ca="1" si="119"/>
        <v>0</v>
      </c>
      <c r="BR159" s="1212">
        <f t="shared" ca="1" si="120"/>
        <v>0</v>
      </c>
      <c r="BS159" s="1213">
        <f t="shared" ca="1" si="121"/>
        <v>0</v>
      </c>
      <c r="BT159" s="1587">
        <f t="shared" ca="1" si="122"/>
        <v>0</v>
      </c>
      <c r="BW159" s="1212">
        <f t="shared" ca="1" si="123"/>
        <v>0</v>
      </c>
      <c r="BX159" s="1213">
        <f t="shared" ca="1" si="124"/>
        <v>0</v>
      </c>
      <c r="BY159" s="1587">
        <f t="shared" ca="1" si="125"/>
        <v>0</v>
      </c>
      <c r="CB159" s="1212">
        <f t="shared" ca="1" si="126"/>
        <v>0</v>
      </c>
      <c r="CC159" s="1213">
        <f t="shared" ca="1" si="127"/>
        <v>0</v>
      </c>
      <c r="CD159" s="1587">
        <f t="shared" ca="1" si="128"/>
        <v>0</v>
      </c>
      <c r="CG159" s="1212">
        <f t="shared" ca="1" si="129"/>
        <v>0</v>
      </c>
      <c r="CH159" s="1213">
        <f t="shared" ca="1" si="130"/>
        <v>0</v>
      </c>
      <c r="CI159" s="1587">
        <f t="shared" ca="1" si="131"/>
        <v>0</v>
      </c>
      <c r="CL159" s="1212">
        <f t="shared" ca="1" si="132"/>
        <v>0</v>
      </c>
      <c r="CM159" s="1213">
        <f t="shared" ca="1" si="133"/>
        <v>0</v>
      </c>
      <c r="CN159" s="1587">
        <f t="shared" ca="1" si="134"/>
        <v>0</v>
      </c>
    </row>
    <row r="160" spans="1:92">
      <c r="A160" s="141" t="str">
        <f>'銀行-TSS'!A160</f>
        <v>US285512AF68</v>
      </c>
      <c r="B160" s="151" t="str">
        <f ca="1">VLOOKUP(A160,'銀行-TSS'!A:B,2,FALSE)</f>
        <v>XG450</v>
      </c>
      <c r="C160" s="151" t="str">
        <f ca="1">VLOOKUP(B160,bond!B:C,2,FALSE)</f>
        <v>美商藝電公司美元配息債券 2.95% 2051/2/15</v>
      </c>
      <c r="D160" s="95" t="str">
        <f>VLOOKUP(A160,'銀行-TSS'!A:C,3,FALSE)</f>
        <v>USD</v>
      </c>
      <c r="E160" s="90">
        <f ca="1">VLOOKUP(A160,'銀行-TSS'!A:G,7,FALSE)</f>
        <v>26.62</v>
      </c>
      <c r="F160" s="202">
        <f ca="1">VLOOKUP(A160,'銀行-TSS'!A:H,8,FALSE)</f>
        <v>2.9500000000000002E-2</v>
      </c>
      <c r="G160" s="96">
        <f ca="1">VLOOKUP(A160,'銀行-TSS'!A:K,11,FALSE)</f>
        <v>70</v>
      </c>
      <c r="H160" s="1209">
        <f ca="1">VLOOKUP(A160,'銀行-TSS'!A:M,13,FALSE)</f>
        <v>5.0999999999999997E-2</v>
      </c>
      <c r="I160" s="1213">
        <f ca="1">VLOOKUP(A160,'銀行-TSS'!A:N,14,FALSE)</f>
        <v>10000</v>
      </c>
      <c r="J160" s="1213">
        <f ca="1">VLOOKUP(A160,'銀行-TSS'!A:O,15,FALSE)</f>
        <v>1000</v>
      </c>
      <c r="K160" s="136" t="str">
        <f ca="1">VLOOKUP(A160,'銀行-TSS'!A:V,22,FALSE)</f>
        <v>(NPI)非專投</v>
      </c>
      <c r="L160" s="136" t="str">
        <f ca="1">VLOOKUP(A160,'銀行-TSS'!A:AK,37,FALSE)</f>
        <v>有</v>
      </c>
      <c r="M160" s="136" t="str">
        <f ca="1">VLOOKUP(A160,'銀行-TSS'!A:AN,40,FALSE)</f>
        <v/>
      </c>
      <c r="N160" s="136">
        <f t="shared" ca="1" si="90"/>
        <v>700</v>
      </c>
      <c r="O160" s="1213">
        <f t="shared" ca="1" si="91"/>
        <v>7000</v>
      </c>
      <c r="P160" s="1213">
        <f ca="1">IF(AND($O$1&gt;=O160,換券單檔!$D$13=D160),I160+INT(($O$1-O160)/N160)*J160,0)</f>
        <v>138000</v>
      </c>
      <c r="Q160" s="1213">
        <f t="shared" ca="1" si="92"/>
        <v>4071.0000000000005</v>
      </c>
      <c r="R160" s="1213">
        <f t="shared" ca="1" si="93"/>
        <v>138000</v>
      </c>
      <c r="S160" s="1213">
        <f t="shared" ca="1" si="94"/>
        <v>4071.0000000000005</v>
      </c>
      <c r="T160" s="136">
        <f ca="1">IF(OR(R160=0,A160=0),0,IF(AND(V160=TRUE,換券單檔!$D$13=D160),E160,0))</f>
        <v>26.62</v>
      </c>
      <c r="U160" s="861">
        <f ca="1">IF(OR(R160=0,A160=0),0,IF(AND(V160=TRUE,換券單檔!$D$13=D160),H160,0))</f>
        <v>5.0999999999999997E-2</v>
      </c>
      <c r="V160" s="136" t="b">
        <f ca="1">IF(OR(B160=換券單檔!$D$3,L160="無",M160&lt;&gt;"",K160="高資產",IFERROR(MATCH(B160,換券單檔!K:K,0),"N")&lt;&gt;"N"),FALSE,IF($V$1="All",TRUE,IF(K160=$V$1,TRUE,FALSE)))</f>
        <v>1</v>
      </c>
      <c r="W160" s="136">
        <f ca="1">VLOOKUP(A160,'銀行-TSS'!A:AO,41,FALSE)</f>
        <v>65.38000000000001</v>
      </c>
      <c r="X160" s="136">
        <f ca="1">VLOOKUP(A160,'銀行-TSS'!A:AP,42,FALSE)</f>
        <v>15.8666</v>
      </c>
      <c r="Y160" s="1220">
        <f t="shared" ca="1" si="95"/>
        <v>14315.544650400001</v>
      </c>
      <c r="Z160" s="1220">
        <f t="shared" ca="1" si="96"/>
        <v>0</v>
      </c>
      <c r="AA160" s="136">
        <f ca="1">IF(Z160&lt;=0,0,RANK(Z160,Z:Z)+COUNTIF($Z$3:$Z160,Z160)-1)</f>
        <v>0</v>
      </c>
      <c r="AB160" s="1211">
        <f t="shared" ca="1" si="97"/>
        <v>-580.59534959999837</v>
      </c>
      <c r="AC160" s="136">
        <f ca="1">IF(AB160&lt;=0,0,RANK(AB160,AB:AB)+COUNTIF($AB$3:$AB160,AB160)-1)</f>
        <v>0</v>
      </c>
      <c r="AD160" s="1123">
        <f t="shared" ca="1" si="98"/>
        <v>99999</v>
      </c>
      <c r="AE160" s="1123">
        <f ca="1">IF(AD160=99999,0,RANK(AD160,AD:AD,1)+COUNTIF($AD$3:$AD160,AD160)-1)</f>
        <v>0</v>
      </c>
      <c r="AF160" s="86" t="b">
        <f ca="1">IF(OR(M160&lt;&gt;"",L160="無",K160="高資產",IFERROR(MATCH(B160,換券單檔!K:K,0),"N")&lt;&gt;"N"),FALSE,TRUE)</f>
        <v>1</v>
      </c>
      <c r="AI160" s="1212">
        <f t="shared" ca="1" si="99"/>
        <v>138000</v>
      </c>
      <c r="AJ160" s="1213">
        <f t="shared" ca="1" si="100"/>
        <v>4071.0000000000005</v>
      </c>
      <c r="AK160" s="1587">
        <f t="shared" ca="1" si="101"/>
        <v>0</v>
      </c>
      <c r="AN160" s="1212">
        <f t="shared" ca="1" si="102"/>
        <v>79000</v>
      </c>
      <c r="AO160" s="1213">
        <f t="shared" ca="1" si="103"/>
        <v>2330.5</v>
      </c>
      <c r="AP160" s="1587">
        <f t="shared" ca="1" si="104"/>
        <v>-41763.036063110441</v>
      </c>
      <c r="AS160" s="1212">
        <f t="shared" ca="1" si="105"/>
        <v>135000</v>
      </c>
      <c r="AT160" s="1213">
        <f t="shared" ca="1" si="106"/>
        <v>3982.5000000000005</v>
      </c>
      <c r="AU160" s="1587">
        <f t="shared" ca="1" si="107"/>
        <v>0</v>
      </c>
      <c r="AX160" s="1212">
        <f t="shared" ca="1" si="108"/>
        <v>124000</v>
      </c>
      <c r="AY160" s="1213">
        <f t="shared" ca="1" si="109"/>
        <v>3658.0000000000005</v>
      </c>
      <c r="AZ160" s="1587">
        <f t="shared" ca="1" si="110"/>
        <v>0</v>
      </c>
      <c r="BC160" s="1212">
        <f t="shared" ca="1" si="111"/>
        <v>0</v>
      </c>
      <c r="BD160" s="1213">
        <f t="shared" ca="1" si="112"/>
        <v>0</v>
      </c>
      <c r="BE160" s="1587">
        <f t="shared" ca="1" si="113"/>
        <v>0</v>
      </c>
      <c r="BH160" s="1212">
        <f t="shared" ca="1" si="114"/>
        <v>0</v>
      </c>
      <c r="BI160" s="1213">
        <f t="shared" ca="1" si="115"/>
        <v>0</v>
      </c>
      <c r="BJ160" s="1587">
        <f t="shared" ca="1" si="116"/>
        <v>0</v>
      </c>
      <c r="BM160" s="1212">
        <f t="shared" ca="1" si="117"/>
        <v>0</v>
      </c>
      <c r="BN160" s="1213">
        <f t="shared" ca="1" si="118"/>
        <v>0</v>
      </c>
      <c r="BO160" s="1587">
        <f t="shared" ca="1" si="119"/>
        <v>0</v>
      </c>
      <c r="BR160" s="1212">
        <f t="shared" ca="1" si="120"/>
        <v>0</v>
      </c>
      <c r="BS160" s="1213">
        <f t="shared" ca="1" si="121"/>
        <v>0</v>
      </c>
      <c r="BT160" s="1587">
        <f t="shared" ca="1" si="122"/>
        <v>0</v>
      </c>
      <c r="BW160" s="1212">
        <f t="shared" ca="1" si="123"/>
        <v>0</v>
      </c>
      <c r="BX160" s="1213">
        <f t="shared" ca="1" si="124"/>
        <v>0</v>
      </c>
      <c r="BY160" s="1587">
        <f t="shared" ca="1" si="125"/>
        <v>0</v>
      </c>
      <c r="CB160" s="1212">
        <f t="shared" ca="1" si="126"/>
        <v>0</v>
      </c>
      <c r="CC160" s="1213">
        <f t="shared" ca="1" si="127"/>
        <v>0</v>
      </c>
      <c r="CD160" s="1587">
        <f t="shared" ca="1" si="128"/>
        <v>0</v>
      </c>
      <c r="CG160" s="1212">
        <f t="shared" ca="1" si="129"/>
        <v>0</v>
      </c>
      <c r="CH160" s="1213">
        <f t="shared" ca="1" si="130"/>
        <v>0</v>
      </c>
      <c r="CI160" s="1587">
        <f t="shared" ca="1" si="131"/>
        <v>0</v>
      </c>
      <c r="CL160" s="1212">
        <f t="shared" ca="1" si="132"/>
        <v>0</v>
      </c>
      <c r="CM160" s="1213">
        <f t="shared" ca="1" si="133"/>
        <v>0</v>
      </c>
      <c r="CN160" s="1587">
        <f t="shared" ca="1" si="134"/>
        <v>0</v>
      </c>
    </row>
    <row r="161" spans="1:92">
      <c r="A161" s="141" t="str">
        <f>'銀行-TSS'!A161</f>
        <v>US046353AX64</v>
      </c>
      <c r="B161" s="151" t="str">
        <f ca="1">VLOOKUP(A161,'銀行-TSS'!A:B,2,FALSE)</f>
        <v>XG460</v>
      </c>
      <c r="C161" s="151" t="str">
        <f ca="1">VLOOKUP(B161,bond!B:C,2,FALSE)</f>
        <v>阿斯特捷利康公開有限公司美元配息債券 2.125% 2050/8/6</v>
      </c>
      <c r="D161" s="95" t="str">
        <f>VLOOKUP(A161,'銀行-TSS'!A:C,3,FALSE)</f>
        <v>USD</v>
      </c>
      <c r="E161" s="90">
        <f ca="1">VLOOKUP(A161,'銀行-TSS'!A:G,7,FALSE)</f>
        <v>26.09</v>
      </c>
      <c r="F161" s="202">
        <f ca="1">VLOOKUP(A161,'銀行-TSS'!A:H,8,FALSE)</f>
        <v>2.1250000000000002E-2</v>
      </c>
      <c r="G161" s="96">
        <f ca="1">VLOOKUP(A161,'銀行-TSS'!A:K,11,FALSE)</f>
        <v>61.73</v>
      </c>
      <c r="H161" s="1209">
        <f ca="1">VLOOKUP(A161,'銀行-TSS'!A:M,13,FALSE)</f>
        <v>4.7600000000000003E-2</v>
      </c>
      <c r="I161" s="1213">
        <f ca="1">VLOOKUP(A161,'銀行-TSS'!A:N,14,FALSE)</f>
        <v>10000</v>
      </c>
      <c r="J161" s="1213">
        <f ca="1">VLOOKUP(A161,'銀行-TSS'!A:O,15,FALSE)</f>
        <v>1000</v>
      </c>
      <c r="K161" s="136" t="str">
        <f ca="1">VLOOKUP(A161,'銀行-TSS'!A:V,22,FALSE)</f>
        <v>(NPI)非專投</v>
      </c>
      <c r="L161" s="136" t="str">
        <f ca="1">VLOOKUP(A161,'銀行-TSS'!A:AK,37,FALSE)</f>
        <v>有</v>
      </c>
      <c r="M161" s="136" t="str">
        <f ca="1">VLOOKUP(A161,'銀行-TSS'!A:AN,40,FALSE)</f>
        <v/>
      </c>
      <c r="N161" s="136">
        <f t="shared" ca="1" si="90"/>
        <v>617.29999999999995</v>
      </c>
      <c r="O161" s="1213">
        <f t="shared" ca="1" si="91"/>
        <v>6173</v>
      </c>
      <c r="P161" s="1213">
        <f ca="1">IF(AND($O$1&gt;=O161,換券單檔!$D$13=D161),I161+INT(($O$1-O161)/N161)*J161,0)</f>
        <v>156000</v>
      </c>
      <c r="Q161" s="1213">
        <f t="shared" ca="1" si="92"/>
        <v>3315.0000000000005</v>
      </c>
      <c r="R161" s="1213">
        <f t="shared" ca="1" si="93"/>
        <v>156000</v>
      </c>
      <c r="S161" s="1213">
        <f t="shared" ca="1" si="94"/>
        <v>3315.0000000000005</v>
      </c>
      <c r="T161" s="136">
        <f ca="1">IF(OR(R161=0,A161=0),0,IF(AND(V161=TRUE,換券單檔!$D$13=D161),E161,0))</f>
        <v>26.09</v>
      </c>
      <c r="U161" s="861">
        <f ca="1">IF(OR(R161=0,A161=0),0,IF(AND(V161=TRUE,換券單檔!$D$13=D161),H161,0))</f>
        <v>4.7600000000000003E-2</v>
      </c>
      <c r="V161" s="136" t="b">
        <f ca="1">IF(OR(B161=換券單檔!$D$3,L161="無",M161&lt;&gt;"",K161="高資產",IFERROR(MATCH(B161,換券單檔!K:K,0),"N")&lt;&gt;"N"),FALSE,IF($V$1="All",TRUE,IF(K161=$V$1,TRUE,FALSE)))</f>
        <v>1</v>
      </c>
      <c r="W161" s="136">
        <f ca="1">VLOOKUP(A161,'銀行-TSS'!A:AO,41,FALSE)</f>
        <v>57.37</v>
      </c>
      <c r="X161" s="136">
        <f ca="1">VLOOKUP(A161,'銀行-TSS'!A:AP,42,FALSE)</f>
        <v>17.215599999999998</v>
      </c>
      <c r="Y161" s="1220">
        <f t="shared" ca="1" si="95"/>
        <v>15407.479963199999</v>
      </c>
      <c r="Z161" s="1220">
        <f t="shared" ca="1" si="96"/>
        <v>0</v>
      </c>
      <c r="AA161" s="136">
        <f ca="1">IF(Z161&lt;=0,0,RANK(Z161,Z:Z)+COUNTIF($Z$3:$Z161,Z161)-1)</f>
        <v>0</v>
      </c>
      <c r="AB161" s="1211">
        <f t="shared" ca="1" si="97"/>
        <v>511.33996320000006</v>
      </c>
      <c r="AC161" s="136">
        <f ca="1">IF(AB161&lt;=0,0,RANK(AB161,AB:AB)+COUNTIF($AB$3:$AB161,AB161)-1)</f>
        <v>3</v>
      </c>
      <c r="AD161" s="1123">
        <f t="shared" ca="1" si="98"/>
        <v>99999</v>
      </c>
      <c r="AE161" s="1123">
        <f ca="1">IF(AD161=99999,0,RANK(AD161,AD:AD,1)+COUNTIF($AD$3:$AD161,AD161)-1)</f>
        <v>0</v>
      </c>
      <c r="AF161" s="86" t="b">
        <f ca="1">IF(OR(M161&lt;&gt;"",L161="無",K161="高資產",IFERROR(MATCH(B161,換券單檔!K:K,0),"N")&lt;&gt;"N"),FALSE,TRUE)</f>
        <v>1</v>
      </c>
      <c r="AI161" s="1212">
        <f t="shared" ca="1" si="99"/>
        <v>156000</v>
      </c>
      <c r="AJ161" s="1213">
        <f t="shared" ca="1" si="100"/>
        <v>3315.0000000000005</v>
      </c>
      <c r="AK161" s="1587">
        <f t="shared" ca="1" si="101"/>
        <v>0</v>
      </c>
      <c r="AN161" s="1212">
        <f t="shared" ca="1" si="102"/>
        <v>89000</v>
      </c>
      <c r="AO161" s="1213">
        <f t="shared" ca="1" si="103"/>
        <v>1891.2500000000002</v>
      </c>
      <c r="AP161" s="1587">
        <f t="shared" ca="1" si="104"/>
        <v>0</v>
      </c>
      <c r="AS161" s="1212">
        <f t="shared" ca="1" si="105"/>
        <v>153000</v>
      </c>
      <c r="AT161" s="1213">
        <f t="shared" ca="1" si="106"/>
        <v>3251.2500000000005</v>
      </c>
      <c r="AU161" s="1587">
        <f t="shared" ca="1" si="107"/>
        <v>0</v>
      </c>
      <c r="AX161" s="1212">
        <f t="shared" ca="1" si="108"/>
        <v>140000</v>
      </c>
      <c r="AY161" s="1213">
        <f t="shared" ca="1" si="109"/>
        <v>2975</v>
      </c>
      <c r="AZ161" s="1587">
        <f t="shared" ca="1" si="110"/>
        <v>0</v>
      </c>
      <c r="BC161" s="1212">
        <f t="shared" ca="1" si="111"/>
        <v>0</v>
      </c>
      <c r="BD161" s="1213">
        <f t="shared" ca="1" si="112"/>
        <v>0</v>
      </c>
      <c r="BE161" s="1587">
        <f t="shared" ca="1" si="113"/>
        <v>0</v>
      </c>
      <c r="BH161" s="1212">
        <f t="shared" ca="1" si="114"/>
        <v>0</v>
      </c>
      <c r="BI161" s="1213">
        <f t="shared" ca="1" si="115"/>
        <v>0</v>
      </c>
      <c r="BJ161" s="1587">
        <f t="shared" ca="1" si="116"/>
        <v>0</v>
      </c>
      <c r="BM161" s="1212">
        <f t="shared" ca="1" si="117"/>
        <v>0</v>
      </c>
      <c r="BN161" s="1213">
        <f t="shared" ca="1" si="118"/>
        <v>0</v>
      </c>
      <c r="BO161" s="1587">
        <f t="shared" ca="1" si="119"/>
        <v>0</v>
      </c>
      <c r="BR161" s="1212">
        <f t="shared" ca="1" si="120"/>
        <v>0</v>
      </c>
      <c r="BS161" s="1213">
        <f t="shared" ca="1" si="121"/>
        <v>0</v>
      </c>
      <c r="BT161" s="1587">
        <f t="shared" ca="1" si="122"/>
        <v>0</v>
      </c>
      <c r="BW161" s="1212">
        <f t="shared" ca="1" si="123"/>
        <v>0</v>
      </c>
      <c r="BX161" s="1213">
        <f t="shared" ca="1" si="124"/>
        <v>0</v>
      </c>
      <c r="BY161" s="1587">
        <f t="shared" ca="1" si="125"/>
        <v>0</v>
      </c>
      <c r="CB161" s="1212">
        <f t="shared" ca="1" si="126"/>
        <v>0</v>
      </c>
      <c r="CC161" s="1213">
        <f t="shared" ca="1" si="127"/>
        <v>0</v>
      </c>
      <c r="CD161" s="1587">
        <f t="shared" ca="1" si="128"/>
        <v>0</v>
      </c>
      <c r="CG161" s="1212">
        <f t="shared" ca="1" si="129"/>
        <v>0</v>
      </c>
      <c r="CH161" s="1213">
        <f t="shared" ca="1" si="130"/>
        <v>0</v>
      </c>
      <c r="CI161" s="1587">
        <f t="shared" ca="1" si="131"/>
        <v>0</v>
      </c>
      <c r="CL161" s="1212">
        <f t="shared" ca="1" si="132"/>
        <v>0</v>
      </c>
      <c r="CM161" s="1213">
        <f t="shared" ca="1" si="133"/>
        <v>0</v>
      </c>
      <c r="CN161" s="1587">
        <f t="shared" ca="1" si="134"/>
        <v>0</v>
      </c>
    </row>
    <row r="162" spans="1:92">
      <c r="A162" s="141" t="str">
        <f>'銀行-TSS'!A162</f>
        <v>US09062XAG88</v>
      </c>
      <c r="B162" s="151" t="str">
        <f ca="1">VLOOKUP(A162,'銀行-TSS'!A:B,2,FALSE)</f>
        <v>XG470</v>
      </c>
      <c r="C162" s="151" t="str">
        <f ca="1">VLOOKUP(B162,bond!B:C,2,FALSE)</f>
        <v>生物基因公司美元配息債券 3.15% 2050/5/1</v>
      </c>
      <c r="D162" s="95" t="str">
        <f>VLOOKUP(A162,'銀行-TSS'!A:C,3,FALSE)</f>
        <v>USD</v>
      </c>
      <c r="E162" s="90">
        <f ca="1">VLOOKUP(A162,'銀行-TSS'!A:G,7,FALSE)</f>
        <v>25.83</v>
      </c>
      <c r="F162" s="202">
        <f ca="1">VLOOKUP(A162,'銀行-TSS'!A:H,8,FALSE)</f>
        <v>3.15E-2</v>
      </c>
      <c r="G162" s="96">
        <f ca="1">VLOOKUP(A162,'銀行-TSS'!A:K,11,FALSE)</f>
        <v>69.37</v>
      </c>
      <c r="H162" s="1209">
        <f ca="1">VLOOKUP(A162,'銀行-TSS'!A:M,13,FALSE)</f>
        <v>5.3999999999999999E-2</v>
      </c>
      <c r="I162" s="1213">
        <f ca="1">VLOOKUP(A162,'銀行-TSS'!A:N,14,FALSE)</f>
        <v>10000</v>
      </c>
      <c r="J162" s="1213">
        <f ca="1">VLOOKUP(A162,'銀行-TSS'!A:O,15,FALSE)</f>
        <v>1000</v>
      </c>
      <c r="K162" s="136" t="str">
        <f ca="1">VLOOKUP(A162,'銀行-TSS'!A:V,22,FALSE)</f>
        <v>(PI)專投</v>
      </c>
      <c r="L162" s="136" t="str">
        <f ca="1">VLOOKUP(A162,'銀行-TSS'!A:AK,37,FALSE)</f>
        <v>有</v>
      </c>
      <c r="M162" s="136" t="str">
        <f ca="1">VLOOKUP(A162,'銀行-TSS'!A:AN,40,FALSE)</f>
        <v/>
      </c>
      <c r="N162" s="136">
        <f t="shared" ca="1" si="90"/>
        <v>693.7</v>
      </c>
      <c r="O162" s="1213">
        <f t="shared" ca="1" si="91"/>
        <v>6937</v>
      </c>
      <c r="P162" s="1213">
        <f ca="1">IF(AND($O$1&gt;=O162,換券單檔!$D$13=D162),I162+INT(($O$1-O162)/N162)*J162,0)</f>
        <v>139000</v>
      </c>
      <c r="Q162" s="1213">
        <f t="shared" ca="1" si="92"/>
        <v>4378.5</v>
      </c>
      <c r="R162" s="1213">
        <f t="shared" ca="1" si="93"/>
        <v>139000</v>
      </c>
      <c r="S162" s="1213">
        <f t="shared" ca="1" si="94"/>
        <v>4378.5</v>
      </c>
      <c r="T162" s="136">
        <f ca="1">IF(OR(R162=0,A162=0),0,IF(AND(V162=TRUE,換券單檔!$D$13=D162),E162,0))</f>
        <v>25.83</v>
      </c>
      <c r="U162" s="861">
        <f ca="1">IF(OR(R162=0,A162=0),0,IF(AND(V162=TRUE,換券單檔!$D$13=D162),H162,0))</f>
        <v>5.3999999999999999E-2</v>
      </c>
      <c r="V162" s="136" t="b">
        <f ca="1">IF(OR(B162=換券單檔!$D$3,L162="無",M162&lt;&gt;"",K162="高資產",IFERROR(MATCH(B162,換券單檔!K:K,0),"N")&lt;&gt;"N"),FALSE,IF($V$1="All",TRUE,IF(K162=$V$1,TRUE,FALSE)))</f>
        <v>1</v>
      </c>
      <c r="W162" s="136">
        <f ca="1">VLOOKUP(A162,'銀行-TSS'!A:AO,41,FALSE)</f>
        <v>65.34</v>
      </c>
      <c r="X162" s="136">
        <f ca="1">VLOOKUP(A162,'銀行-TSS'!A:AP,42,FALSE)</f>
        <v>15.257999999999999</v>
      </c>
      <c r="Y162" s="1220">
        <f t="shared" ca="1" si="95"/>
        <v>13857.712307999998</v>
      </c>
      <c r="Z162" s="1220">
        <f t="shared" ca="1" si="96"/>
        <v>-632.18292682926563</v>
      </c>
      <c r="AA162" s="136">
        <f ca="1">IF(Z162&lt;=0,0,RANK(Z162,Z:Z)+COUNTIF($Z$3:$Z162,Z162)-1)</f>
        <v>0</v>
      </c>
      <c r="AB162" s="1211">
        <f t="shared" ca="1" si="97"/>
        <v>-1038.4276920000011</v>
      </c>
      <c r="AC162" s="136">
        <f ca="1">IF(AB162&lt;=0,0,RANK(AB162,AB:AB)+COUNTIF($AB$3:$AB162,AB162)-1)</f>
        <v>0</v>
      </c>
      <c r="AD162" s="1123">
        <f t="shared" ca="1" si="98"/>
        <v>99999</v>
      </c>
      <c r="AE162" s="1123">
        <f ca="1">IF(AD162=99999,0,RANK(AD162,AD:AD,1)+COUNTIF($AD$3:$AD162,AD162)-1)</f>
        <v>0</v>
      </c>
      <c r="AF162" s="86" t="b">
        <f ca="1">IF(OR(M162&lt;&gt;"",L162="無",K162="高資產",IFERROR(MATCH(B162,換券單檔!K:K,0),"N")&lt;&gt;"N"),FALSE,TRUE)</f>
        <v>1</v>
      </c>
      <c r="AI162" s="1212">
        <f t="shared" ca="1" si="99"/>
        <v>139000</v>
      </c>
      <c r="AJ162" s="1213">
        <f t="shared" ca="1" si="100"/>
        <v>4378.5</v>
      </c>
      <c r="AK162" s="1587">
        <f t="shared" ca="1" si="101"/>
        <v>-632.18292682926563</v>
      </c>
      <c r="AN162" s="1212">
        <f t="shared" ca="1" si="102"/>
        <v>79000</v>
      </c>
      <c r="AO162" s="1213">
        <f t="shared" ca="1" si="103"/>
        <v>2488.5</v>
      </c>
      <c r="AP162" s="1587">
        <f t="shared" ca="1" si="104"/>
        <v>-41298.35017421603</v>
      </c>
      <c r="AS162" s="1212">
        <f t="shared" ca="1" si="105"/>
        <v>136000</v>
      </c>
      <c r="AT162" s="1213">
        <f t="shared" ca="1" si="106"/>
        <v>4284</v>
      </c>
      <c r="AU162" s="1587">
        <f t="shared" ca="1" si="107"/>
        <v>0</v>
      </c>
      <c r="AX162" s="1212">
        <f t="shared" ca="1" si="108"/>
        <v>125000</v>
      </c>
      <c r="AY162" s="1213">
        <f t="shared" ca="1" si="109"/>
        <v>3937.5</v>
      </c>
      <c r="AZ162" s="1587">
        <f t="shared" ca="1" si="110"/>
        <v>0</v>
      </c>
      <c r="BC162" s="1212">
        <f t="shared" ca="1" si="111"/>
        <v>0</v>
      </c>
      <c r="BD162" s="1213">
        <f t="shared" ca="1" si="112"/>
        <v>0</v>
      </c>
      <c r="BE162" s="1587">
        <f t="shared" ca="1" si="113"/>
        <v>0</v>
      </c>
      <c r="BH162" s="1212">
        <f t="shared" ca="1" si="114"/>
        <v>0</v>
      </c>
      <c r="BI162" s="1213">
        <f t="shared" ca="1" si="115"/>
        <v>0</v>
      </c>
      <c r="BJ162" s="1587">
        <f t="shared" ca="1" si="116"/>
        <v>0</v>
      </c>
      <c r="BM162" s="1212">
        <f t="shared" ca="1" si="117"/>
        <v>0</v>
      </c>
      <c r="BN162" s="1213">
        <f t="shared" ca="1" si="118"/>
        <v>0</v>
      </c>
      <c r="BO162" s="1587">
        <f t="shared" ca="1" si="119"/>
        <v>0</v>
      </c>
      <c r="BR162" s="1212">
        <f t="shared" ca="1" si="120"/>
        <v>0</v>
      </c>
      <c r="BS162" s="1213">
        <f t="shared" ca="1" si="121"/>
        <v>0</v>
      </c>
      <c r="BT162" s="1587">
        <f t="shared" ca="1" si="122"/>
        <v>0</v>
      </c>
      <c r="BW162" s="1212">
        <f t="shared" ca="1" si="123"/>
        <v>0</v>
      </c>
      <c r="BX162" s="1213">
        <f t="shared" ca="1" si="124"/>
        <v>0</v>
      </c>
      <c r="BY162" s="1587">
        <f t="shared" ca="1" si="125"/>
        <v>0</v>
      </c>
      <c r="CB162" s="1212">
        <f t="shared" ca="1" si="126"/>
        <v>0</v>
      </c>
      <c r="CC162" s="1213">
        <f t="shared" ca="1" si="127"/>
        <v>0</v>
      </c>
      <c r="CD162" s="1587">
        <f t="shared" ca="1" si="128"/>
        <v>0</v>
      </c>
      <c r="CG162" s="1212">
        <f t="shared" ca="1" si="129"/>
        <v>0</v>
      </c>
      <c r="CH162" s="1213">
        <f t="shared" ca="1" si="130"/>
        <v>0</v>
      </c>
      <c r="CI162" s="1587">
        <f t="shared" ca="1" si="131"/>
        <v>0</v>
      </c>
      <c r="CL162" s="1212">
        <f t="shared" ca="1" si="132"/>
        <v>0</v>
      </c>
      <c r="CM162" s="1213">
        <f t="shared" ca="1" si="133"/>
        <v>0</v>
      </c>
      <c r="CN162" s="1587">
        <f t="shared" ca="1" si="134"/>
        <v>0</v>
      </c>
    </row>
    <row r="163" spans="1:92">
      <c r="A163" s="141" t="str">
        <f>'銀行-TSS'!A163</f>
        <v>US25470DBH17</v>
      </c>
      <c r="B163" s="151" t="str">
        <f ca="1">VLOOKUP(A163,'銀行-TSS'!A:B,2,FALSE)</f>
        <v>XG480</v>
      </c>
      <c r="C163" s="151" t="str">
        <f ca="1">VLOOKUP(B163,bond!B:C,2,FALSE)</f>
        <v>Discovery傳播有限責任公司美元配息債券 4.65% 2050/5/15</v>
      </c>
      <c r="D163" s="95" t="str">
        <f>VLOOKUP(A163,'銀行-TSS'!A:C,3,FALSE)</f>
        <v>USD</v>
      </c>
      <c r="E163" s="90">
        <f ca="1">VLOOKUP(A163,'銀行-TSS'!A:G,7,FALSE)</f>
        <v>25.87</v>
      </c>
      <c r="F163" s="202">
        <f ca="1">VLOOKUP(A163,'銀行-TSS'!A:H,8,FALSE)</f>
        <v>4.6500000000000007E-2</v>
      </c>
      <c r="G163" s="96">
        <f ca="1">VLOOKUP(A163,'銀行-TSS'!A:K,11,FALSE)</f>
        <v>77.95</v>
      </c>
      <c r="H163" s="1209">
        <f ca="1">VLOOKUP(A163,'銀行-TSS'!A:M,13,FALSE)</f>
        <v>6.4600000000000005E-2</v>
      </c>
      <c r="I163" s="1213">
        <f ca="1">VLOOKUP(A163,'銀行-TSS'!A:N,14,FALSE)</f>
        <v>10000</v>
      </c>
      <c r="J163" s="1213">
        <f ca="1">VLOOKUP(A163,'銀行-TSS'!A:O,15,FALSE)</f>
        <v>1000</v>
      </c>
      <c r="K163" s="136" t="str">
        <f ca="1">VLOOKUP(A163,'銀行-TSS'!A:V,22,FALSE)</f>
        <v>(PI)專投</v>
      </c>
      <c r="L163" s="136" t="str">
        <f ca="1">VLOOKUP(A163,'銀行-TSS'!A:AK,37,FALSE)</f>
        <v>有</v>
      </c>
      <c r="M163" s="136" t="str">
        <f ca="1">VLOOKUP(A163,'銀行-TSS'!A:AN,40,FALSE)</f>
        <v/>
      </c>
      <c r="N163" s="136">
        <f t="shared" ca="1" si="90"/>
        <v>779.5</v>
      </c>
      <c r="O163" s="1213">
        <f t="shared" ca="1" si="91"/>
        <v>7795</v>
      </c>
      <c r="P163" s="1213">
        <f ca="1">IF(AND($O$1&gt;=O163,換券單檔!$D$13=D163),I163+INT(($O$1-O163)/N163)*J163,0)</f>
        <v>124000</v>
      </c>
      <c r="Q163" s="1213">
        <f t="shared" ca="1" si="92"/>
        <v>5766.0000000000009</v>
      </c>
      <c r="R163" s="1213">
        <f t="shared" ca="1" si="93"/>
        <v>124000</v>
      </c>
      <c r="S163" s="1213">
        <f t="shared" ca="1" si="94"/>
        <v>5766.0000000000009</v>
      </c>
      <c r="T163" s="136">
        <f ca="1">IF(OR(R163=0,A163=0),0,IF(AND(V163=TRUE,換券單檔!$D$13=D163),E163,0))</f>
        <v>25.87</v>
      </c>
      <c r="U163" s="861">
        <f ca="1">IF(OR(R163=0,A163=0),0,IF(AND(V163=TRUE,換券單檔!$D$13=D163),H163,0))</f>
        <v>6.4600000000000005E-2</v>
      </c>
      <c r="V163" s="136" t="b">
        <f ca="1">IF(OR(B163=換券單檔!$D$3,L163="無",M163&lt;&gt;"",K163="高資產",IFERROR(MATCH(B163,換券單檔!K:K,0),"N")&lt;&gt;"N"),FALSE,IF($V$1="All",TRUE,IF(K163=$V$1,TRUE,FALSE)))</f>
        <v>1</v>
      </c>
      <c r="W163" s="136">
        <f ca="1">VLOOKUP(A163,'銀行-TSS'!A:AO,41,FALSE)</f>
        <v>73.84</v>
      </c>
      <c r="X163" s="136">
        <f ca="1">VLOOKUP(A163,'銀行-TSS'!A:AP,42,FALSE)</f>
        <v>13.0832</v>
      </c>
      <c r="Y163" s="1220">
        <f t="shared" ca="1" si="95"/>
        <v>11979.187251200001</v>
      </c>
      <c r="Z163" s="1220">
        <f t="shared" ca="1" si="96"/>
        <v>3158.7460378817218</v>
      </c>
      <c r="AA163" s="136">
        <f ca="1">IF(Z163&lt;=0,0,RANK(Z163,Z:Z)+COUNTIF($Z$3:$Z163,Z163)-1)</f>
        <v>3</v>
      </c>
      <c r="AB163" s="1211">
        <f t="shared" ca="1" si="97"/>
        <v>-2916.9527487999985</v>
      </c>
      <c r="AC163" s="136">
        <f ca="1">IF(AB163&lt;=0,0,RANK(AB163,AB:AB)+COUNTIF($AB$3:$AB163,AB163)-1)</f>
        <v>0</v>
      </c>
      <c r="AD163" s="1123">
        <f t="shared" ca="1" si="98"/>
        <v>99999</v>
      </c>
      <c r="AE163" s="1123">
        <f ca="1">IF(AD163=99999,0,RANK(AD163,AD:AD,1)+COUNTIF($AD$3:$AD163,AD163)-1)</f>
        <v>0</v>
      </c>
      <c r="AF163" s="86" t="b">
        <f ca="1">IF(OR(M163&lt;&gt;"",L163="無",K163="高資產",IFERROR(MATCH(B163,換券單檔!K:K,0),"N")&lt;&gt;"N"),FALSE,TRUE)</f>
        <v>1</v>
      </c>
      <c r="AI163" s="1212">
        <f t="shared" ca="1" si="99"/>
        <v>124000</v>
      </c>
      <c r="AJ163" s="1213">
        <f t="shared" ca="1" si="100"/>
        <v>5766.0000000000009</v>
      </c>
      <c r="AK163" s="1587">
        <f t="shared" ca="1" si="101"/>
        <v>3158.7460378817218</v>
      </c>
      <c r="AN163" s="1212">
        <f t="shared" ca="1" si="102"/>
        <v>70000</v>
      </c>
      <c r="AO163" s="1213">
        <f t="shared" ca="1" si="103"/>
        <v>3255.0000000000005</v>
      </c>
      <c r="AP163" s="1587">
        <f t="shared" ca="1" si="104"/>
        <v>-57043.27212988017</v>
      </c>
      <c r="AS163" s="1212">
        <f t="shared" ca="1" si="105"/>
        <v>121000</v>
      </c>
      <c r="AT163" s="1213">
        <f t="shared" ca="1" si="106"/>
        <v>5626.5000000000009</v>
      </c>
      <c r="AU163" s="1587">
        <f t="shared" ca="1" si="107"/>
        <v>2616.8018940858165</v>
      </c>
      <c r="AX163" s="1212">
        <f t="shared" ca="1" si="108"/>
        <v>111000</v>
      </c>
      <c r="AY163" s="1213">
        <f t="shared" ca="1" si="109"/>
        <v>5161.5000000000009</v>
      </c>
      <c r="AZ163" s="1587">
        <f t="shared" ca="1" si="110"/>
        <v>2305.8471202164669</v>
      </c>
      <c r="BC163" s="1212">
        <f t="shared" ca="1" si="111"/>
        <v>0</v>
      </c>
      <c r="BD163" s="1213">
        <f t="shared" ca="1" si="112"/>
        <v>0</v>
      </c>
      <c r="BE163" s="1587">
        <f t="shared" ca="1" si="113"/>
        <v>0</v>
      </c>
      <c r="BH163" s="1212">
        <f t="shared" ca="1" si="114"/>
        <v>0</v>
      </c>
      <c r="BI163" s="1213">
        <f t="shared" ca="1" si="115"/>
        <v>0</v>
      </c>
      <c r="BJ163" s="1587">
        <f t="shared" ca="1" si="116"/>
        <v>0</v>
      </c>
      <c r="BM163" s="1212">
        <f t="shared" ca="1" si="117"/>
        <v>0</v>
      </c>
      <c r="BN163" s="1213">
        <f t="shared" ca="1" si="118"/>
        <v>0</v>
      </c>
      <c r="BO163" s="1587">
        <f t="shared" ca="1" si="119"/>
        <v>0</v>
      </c>
      <c r="BR163" s="1212">
        <f t="shared" ca="1" si="120"/>
        <v>0</v>
      </c>
      <c r="BS163" s="1213">
        <f t="shared" ca="1" si="121"/>
        <v>0</v>
      </c>
      <c r="BT163" s="1587">
        <f t="shared" ca="1" si="122"/>
        <v>0</v>
      </c>
      <c r="BW163" s="1212">
        <f t="shared" ca="1" si="123"/>
        <v>0</v>
      </c>
      <c r="BX163" s="1213">
        <f t="shared" ca="1" si="124"/>
        <v>0</v>
      </c>
      <c r="BY163" s="1587">
        <f t="shared" ca="1" si="125"/>
        <v>0</v>
      </c>
      <c r="CB163" s="1212">
        <f t="shared" ca="1" si="126"/>
        <v>0</v>
      </c>
      <c r="CC163" s="1213">
        <f t="shared" ca="1" si="127"/>
        <v>0</v>
      </c>
      <c r="CD163" s="1587">
        <f t="shared" ca="1" si="128"/>
        <v>0</v>
      </c>
      <c r="CG163" s="1212">
        <f t="shared" ca="1" si="129"/>
        <v>0</v>
      </c>
      <c r="CH163" s="1213">
        <f t="shared" ca="1" si="130"/>
        <v>0</v>
      </c>
      <c r="CI163" s="1587">
        <f t="shared" ca="1" si="131"/>
        <v>0</v>
      </c>
      <c r="CL163" s="1212">
        <f t="shared" ca="1" si="132"/>
        <v>0</v>
      </c>
      <c r="CM163" s="1213">
        <f t="shared" ca="1" si="133"/>
        <v>0</v>
      </c>
      <c r="CN163" s="1587">
        <f t="shared" ca="1" si="134"/>
        <v>0</v>
      </c>
    </row>
    <row r="164" spans="1:92">
      <c r="A164" s="141" t="str">
        <f>'銀行-TSS'!A164</f>
        <v>US404119CB31</v>
      </c>
      <c r="B164" s="151" t="str">
        <f ca="1">VLOOKUP(A164,'銀行-TSS'!A:B,2,FALSE)</f>
        <v>XG490</v>
      </c>
      <c r="C164" s="151" t="str">
        <f ca="1">VLOOKUP(B164,bond!B:C,2,FALSE)</f>
        <v>美國醫院公司美元配息債券 3.5% 2051/7/15</v>
      </c>
      <c r="D164" s="95" t="str">
        <f>VLOOKUP(A164,'銀行-TSS'!A:C,3,FALSE)</f>
        <v>USD</v>
      </c>
      <c r="E164" s="90">
        <f ca="1">VLOOKUP(A164,'銀行-TSS'!A:G,7,FALSE)</f>
        <v>27.03</v>
      </c>
      <c r="F164" s="202">
        <f ca="1">VLOOKUP(A164,'銀行-TSS'!A:H,8,FALSE)</f>
        <v>3.5000000000000003E-2</v>
      </c>
      <c r="G164" s="96">
        <f ca="1">VLOOKUP(A164,'銀行-TSS'!A:K,11,FALSE)</f>
        <v>72.69</v>
      </c>
      <c r="H164" s="1209">
        <f ca="1">VLOOKUP(A164,'銀行-TSS'!A:M,13,FALSE)</f>
        <v>5.5899999999999998E-2</v>
      </c>
      <c r="I164" s="1213">
        <f ca="1">VLOOKUP(A164,'銀行-TSS'!A:N,14,FALSE)</f>
        <v>10000</v>
      </c>
      <c r="J164" s="1213">
        <f ca="1">VLOOKUP(A164,'銀行-TSS'!A:O,15,FALSE)</f>
        <v>1000</v>
      </c>
      <c r="K164" s="136" t="str">
        <f ca="1">VLOOKUP(A164,'銀行-TSS'!A:V,22,FALSE)</f>
        <v>(PI)專投</v>
      </c>
      <c r="L164" s="136" t="str">
        <f ca="1">VLOOKUP(A164,'銀行-TSS'!A:AK,37,FALSE)</f>
        <v>有</v>
      </c>
      <c r="M164" s="136" t="str">
        <f ca="1">VLOOKUP(A164,'銀行-TSS'!A:AN,40,FALSE)</f>
        <v/>
      </c>
      <c r="N164" s="136">
        <f t="shared" ca="1" si="90"/>
        <v>726.9</v>
      </c>
      <c r="O164" s="1213">
        <f t="shared" ca="1" si="91"/>
        <v>7269</v>
      </c>
      <c r="P164" s="1213">
        <f ca="1">IF(AND($O$1&gt;=O164,換券單檔!$D$13=D164),I164+INT(($O$1-O164)/N164)*J164,0)</f>
        <v>133000</v>
      </c>
      <c r="Q164" s="1213">
        <f t="shared" ca="1" si="92"/>
        <v>4655</v>
      </c>
      <c r="R164" s="1213">
        <f t="shared" ca="1" si="93"/>
        <v>133000</v>
      </c>
      <c r="S164" s="1213">
        <f t="shared" ca="1" si="94"/>
        <v>4655</v>
      </c>
      <c r="T164" s="136">
        <f ca="1">IF(OR(R164=0,A164=0),0,IF(AND(V164=TRUE,換券單檔!$D$13=D164),E164,0))</f>
        <v>27.03</v>
      </c>
      <c r="U164" s="861">
        <f ca="1">IF(OR(R164=0,A164=0),0,IF(AND(V164=TRUE,換券單檔!$D$13=D164),H164,0))</f>
        <v>5.5899999999999998E-2</v>
      </c>
      <c r="V164" s="136" t="b">
        <f ca="1">IF(OR(B164=換券單檔!$D$3,L164="無",M164&lt;&gt;"",K164="高資產",IFERROR(MATCH(B164,換券單檔!K:K,0),"N")&lt;&gt;"N"),FALSE,IF($V$1="All",TRUE,IF(K164=$V$1,TRUE,FALSE)))</f>
        <v>1</v>
      </c>
      <c r="W164" s="136">
        <f ca="1">VLOOKUP(A164,'銀行-TSS'!A:AO,41,FALSE)</f>
        <v>67.570000000000007</v>
      </c>
      <c r="X164" s="136">
        <f ca="1">VLOOKUP(A164,'銀行-TSS'!A:AP,42,FALSE)</f>
        <v>14.7934</v>
      </c>
      <c r="Y164" s="1220">
        <f t="shared" ca="1" si="95"/>
        <v>13294.547505400002</v>
      </c>
      <c r="Z164" s="1220">
        <f t="shared" ca="1" si="96"/>
        <v>36.254162042178109</v>
      </c>
      <c r="AA164" s="136">
        <f ca="1">IF(Z164&lt;=0,0,RANK(Z164,Z:Z)+COUNTIF($Z$3:$Z164,Z164)-1)</f>
        <v>23</v>
      </c>
      <c r="AB164" s="1211">
        <f t="shared" ca="1" si="97"/>
        <v>-1601.5924945999977</v>
      </c>
      <c r="AC164" s="136">
        <f ca="1">IF(AB164&lt;=0,0,RANK(AB164,AB:AB)+COUNTIF($AB$3:$AB164,AB164)-1)</f>
        <v>0</v>
      </c>
      <c r="AD164" s="1123">
        <f t="shared" ca="1" si="98"/>
        <v>99999</v>
      </c>
      <c r="AE164" s="1123">
        <f ca="1">IF(AD164=99999,0,RANK(AD164,AD:AD,1)+COUNTIF($AD$3:$AD164,AD164)-1)</f>
        <v>0</v>
      </c>
      <c r="AF164" s="86" t="b">
        <f ca="1">IF(OR(M164&lt;&gt;"",L164="無",K164="高資產",IFERROR(MATCH(B164,換券單檔!K:K,0),"N")&lt;&gt;"N"),FALSE,TRUE)</f>
        <v>1</v>
      </c>
      <c r="AI164" s="1212">
        <f t="shared" ca="1" si="99"/>
        <v>133000</v>
      </c>
      <c r="AJ164" s="1213">
        <f t="shared" ca="1" si="100"/>
        <v>4655</v>
      </c>
      <c r="AK164" s="1587">
        <f t="shared" ca="1" si="101"/>
        <v>36.254162042178109</v>
      </c>
      <c r="AN164" s="1212">
        <f t="shared" ca="1" si="102"/>
        <v>76000</v>
      </c>
      <c r="AO164" s="1213">
        <f t="shared" ca="1" si="103"/>
        <v>2660.0000000000005</v>
      </c>
      <c r="AP164" s="1587">
        <f t="shared" ca="1" si="104"/>
        <v>-46792.752497225301</v>
      </c>
      <c r="AS164" s="1212">
        <f t="shared" ca="1" si="105"/>
        <v>130000</v>
      </c>
      <c r="AT164" s="1213">
        <f t="shared" ca="1" si="106"/>
        <v>4550</v>
      </c>
      <c r="AU164" s="1587">
        <f t="shared" ca="1" si="107"/>
        <v>-402.02552719200889</v>
      </c>
      <c r="AX164" s="1212">
        <f t="shared" ca="1" si="108"/>
        <v>119000</v>
      </c>
      <c r="AY164" s="1213">
        <f t="shared" ca="1" si="109"/>
        <v>4165</v>
      </c>
      <c r="AZ164" s="1587">
        <f t="shared" ca="1" si="110"/>
        <v>-487.7229004809497</v>
      </c>
      <c r="BC164" s="1212">
        <f t="shared" ca="1" si="111"/>
        <v>0</v>
      </c>
      <c r="BD164" s="1213">
        <f t="shared" ca="1" si="112"/>
        <v>0</v>
      </c>
      <c r="BE164" s="1587">
        <f t="shared" ca="1" si="113"/>
        <v>0</v>
      </c>
      <c r="BH164" s="1212">
        <f t="shared" ca="1" si="114"/>
        <v>0</v>
      </c>
      <c r="BI164" s="1213">
        <f t="shared" ca="1" si="115"/>
        <v>0</v>
      </c>
      <c r="BJ164" s="1587">
        <f t="shared" ca="1" si="116"/>
        <v>0</v>
      </c>
      <c r="BM164" s="1212">
        <f t="shared" ca="1" si="117"/>
        <v>0</v>
      </c>
      <c r="BN164" s="1213">
        <f t="shared" ca="1" si="118"/>
        <v>0</v>
      </c>
      <c r="BO164" s="1587">
        <f t="shared" ca="1" si="119"/>
        <v>0</v>
      </c>
      <c r="BR164" s="1212">
        <f t="shared" ca="1" si="120"/>
        <v>0</v>
      </c>
      <c r="BS164" s="1213">
        <f t="shared" ca="1" si="121"/>
        <v>0</v>
      </c>
      <c r="BT164" s="1587">
        <f t="shared" ca="1" si="122"/>
        <v>0</v>
      </c>
      <c r="BW164" s="1212">
        <f t="shared" ca="1" si="123"/>
        <v>0</v>
      </c>
      <c r="BX164" s="1213">
        <f t="shared" ca="1" si="124"/>
        <v>0</v>
      </c>
      <c r="BY164" s="1587">
        <f t="shared" ca="1" si="125"/>
        <v>0</v>
      </c>
      <c r="CB164" s="1212">
        <f t="shared" ca="1" si="126"/>
        <v>0</v>
      </c>
      <c r="CC164" s="1213">
        <f t="shared" ca="1" si="127"/>
        <v>0</v>
      </c>
      <c r="CD164" s="1587">
        <f t="shared" ca="1" si="128"/>
        <v>0</v>
      </c>
      <c r="CG164" s="1212">
        <f t="shared" ca="1" si="129"/>
        <v>0</v>
      </c>
      <c r="CH164" s="1213">
        <f t="shared" ca="1" si="130"/>
        <v>0</v>
      </c>
      <c r="CI164" s="1587">
        <f t="shared" ca="1" si="131"/>
        <v>0</v>
      </c>
      <c r="CL164" s="1212">
        <f t="shared" ca="1" si="132"/>
        <v>0</v>
      </c>
      <c r="CM164" s="1213">
        <f t="shared" ca="1" si="133"/>
        <v>0</v>
      </c>
      <c r="CN164" s="1587">
        <f t="shared" ca="1" si="134"/>
        <v>0</v>
      </c>
    </row>
    <row r="165" spans="1:92">
      <c r="A165" s="141" t="str">
        <f>'銀行-TSS'!A165</f>
        <v>US91529YAR71</v>
      </c>
      <c r="B165" s="151" t="str">
        <f ca="1">VLOOKUP(A165,'銀行-TSS'!A:B,2,FALSE)</f>
        <v>XG500</v>
      </c>
      <c r="C165" s="151" t="str">
        <f ca="1">VLOOKUP(B165,bond!B:C,2,FALSE)</f>
        <v>Unum集團美元配息債券 4.125% 2051/6/15</v>
      </c>
      <c r="D165" s="95" t="str">
        <f>VLOOKUP(A165,'銀行-TSS'!A:C,3,FALSE)</f>
        <v>USD</v>
      </c>
      <c r="E165" s="90">
        <f ca="1">VLOOKUP(A165,'銀行-TSS'!A:G,7,FALSE)</f>
        <v>26.95</v>
      </c>
      <c r="F165" s="202">
        <f ca="1">VLOOKUP(A165,'銀行-TSS'!A:H,8,FALSE)</f>
        <v>4.1250000000000002E-2</v>
      </c>
      <c r="G165" s="96">
        <f ca="1">VLOOKUP(A165,'銀行-TSS'!A:K,11,FALSE)</f>
        <v>77.930000000000007</v>
      </c>
      <c r="H165" s="1209">
        <f ca="1">VLOOKUP(A165,'銀行-TSS'!A:M,13,FALSE)</f>
        <v>5.7599999999999998E-2</v>
      </c>
      <c r="I165" s="1213">
        <f ca="1">VLOOKUP(A165,'銀行-TSS'!A:N,14,FALSE)</f>
        <v>10000</v>
      </c>
      <c r="J165" s="1213">
        <f ca="1">VLOOKUP(A165,'銀行-TSS'!A:O,15,FALSE)</f>
        <v>1000</v>
      </c>
      <c r="K165" s="136" t="str">
        <f ca="1">VLOOKUP(A165,'銀行-TSS'!A:V,22,FALSE)</f>
        <v>(PI)專投</v>
      </c>
      <c r="L165" s="136" t="str">
        <f ca="1">VLOOKUP(A165,'銀行-TSS'!A:AK,37,FALSE)</f>
        <v>有</v>
      </c>
      <c r="M165" s="136" t="str">
        <f ca="1">VLOOKUP(A165,'銀行-TSS'!A:AN,40,FALSE)</f>
        <v/>
      </c>
      <c r="N165" s="136">
        <f t="shared" ca="1" si="90"/>
        <v>779.3</v>
      </c>
      <c r="O165" s="1213">
        <f t="shared" ca="1" si="91"/>
        <v>7793.0000000000009</v>
      </c>
      <c r="P165" s="1213">
        <f ca="1">IF(AND($O$1&gt;=O165,換券單檔!$D$13=D165),I165+INT(($O$1-O165)/N165)*J165,0)</f>
        <v>124000</v>
      </c>
      <c r="Q165" s="1213">
        <f t="shared" ca="1" si="92"/>
        <v>5115</v>
      </c>
      <c r="R165" s="1213">
        <f t="shared" ca="1" si="93"/>
        <v>124000</v>
      </c>
      <c r="S165" s="1213">
        <f t="shared" ca="1" si="94"/>
        <v>5115</v>
      </c>
      <c r="T165" s="136">
        <f ca="1">IF(OR(R165=0,A165=0),0,IF(AND(V165=TRUE,換券單檔!$D$13=D165),E165,0))</f>
        <v>26.95</v>
      </c>
      <c r="U165" s="861">
        <f ca="1">IF(OR(R165=0,A165=0),0,IF(AND(V165=TRUE,換券單檔!$D$13=D165),H165,0))</f>
        <v>5.7599999999999998E-2</v>
      </c>
      <c r="V165" s="136" t="b">
        <f ca="1">IF(OR(B165=換券單檔!$D$3,L165="無",M165&lt;&gt;"",K165="高資產",IFERROR(MATCH(B165,換券單檔!K:K,0),"N")&lt;&gt;"N"),FALSE,IF($V$1="All",TRUE,IF(K165=$V$1,TRUE,FALSE)))</f>
        <v>1</v>
      </c>
      <c r="W165" s="136">
        <f ca="1">VLOOKUP(A165,'銀行-TSS'!A:AO,41,FALSE)</f>
        <v>74.239999999999995</v>
      </c>
      <c r="X165" s="136">
        <f ca="1">VLOOKUP(A165,'銀行-TSS'!A:AP,42,FALSE)</f>
        <v>14.351100000000001</v>
      </c>
      <c r="Y165" s="1220">
        <f t="shared" ca="1" si="95"/>
        <v>13211.2782336</v>
      </c>
      <c r="Z165" s="1220">
        <f t="shared" ca="1" si="96"/>
        <v>1225.5194805194833</v>
      </c>
      <c r="AA165" s="136">
        <f ca="1">IF(Z165&lt;=0,0,RANK(Z165,Z:Z)+COUNTIF($Z$3:$Z165,Z165)-1)</f>
        <v>12</v>
      </c>
      <c r="AB165" s="1211">
        <f t="shared" ca="1" si="97"/>
        <v>-1684.8617663999994</v>
      </c>
      <c r="AC165" s="136">
        <f ca="1">IF(AB165&lt;=0,0,RANK(AB165,AB:AB)+COUNTIF($AB$3:$AB165,AB165)-1)</f>
        <v>0</v>
      </c>
      <c r="AD165" s="1123">
        <f t="shared" ca="1" si="98"/>
        <v>99999</v>
      </c>
      <c r="AE165" s="1123">
        <f ca="1">IF(AD165=99999,0,RANK(AD165,AD:AD,1)+COUNTIF($AD$3:$AD165,AD165)-1)</f>
        <v>0</v>
      </c>
      <c r="AF165" s="86" t="b">
        <f ca="1">IF(OR(M165&lt;&gt;"",L165="無",K165="高資產",IFERROR(MATCH(B165,換券單檔!K:K,0),"N")&lt;&gt;"N"),FALSE,TRUE)</f>
        <v>1</v>
      </c>
      <c r="AI165" s="1212">
        <f t="shared" ca="1" si="99"/>
        <v>124000</v>
      </c>
      <c r="AJ165" s="1213">
        <f t="shared" ca="1" si="100"/>
        <v>5115</v>
      </c>
      <c r="AK165" s="1587">
        <f t="shared" ca="1" si="101"/>
        <v>1225.5194805194833</v>
      </c>
      <c r="AN165" s="1212">
        <f t="shared" ca="1" si="102"/>
        <v>70000</v>
      </c>
      <c r="AO165" s="1213">
        <f t="shared" ca="1" si="103"/>
        <v>2887.5</v>
      </c>
      <c r="AP165" s="1587">
        <f t="shared" ca="1" si="104"/>
        <v>-58122.982374768086</v>
      </c>
      <c r="AS165" s="1212">
        <f t="shared" ca="1" si="105"/>
        <v>121000</v>
      </c>
      <c r="AT165" s="1213">
        <f t="shared" ca="1" si="106"/>
        <v>4991.25</v>
      </c>
      <c r="AU165" s="1587">
        <f t="shared" ca="1" si="107"/>
        <v>731.89007421150279</v>
      </c>
      <c r="AX165" s="1212">
        <f t="shared" ca="1" si="108"/>
        <v>111000</v>
      </c>
      <c r="AY165" s="1213">
        <f t="shared" ca="1" si="109"/>
        <v>4578.75</v>
      </c>
      <c r="AZ165" s="1587">
        <f t="shared" ca="1" si="110"/>
        <v>583.16558441558175</v>
      </c>
      <c r="BC165" s="1212">
        <f t="shared" ca="1" si="111"/>
        <v>0</v>
      </c>
      <c r="BD165" s="1213">
        <f t="shared" ca="1" si="112"/>
        <v>0</v>
      </c>
      <c r="BE165" s="1587">
        <f t="shared" ca="1" si="113"/>
        <v>0</v>
      </c>
      <c r="BH165" s="1212">
        <f t="shared" ca="1" si="114"/>
        <v>0</v>
      </c>
      <c r="BI165" s="1213">
        <f t="shared" ca="1" si="115"/>
        <v>0</v>
      </c>
      <c r="BJ165" s="1587">
        <f t="shared" ca="1" si="116"/>
        <v>0</v>
      </c>
      <c r="BM165" s="1212">
        <f t="shared" ca="1" si="117"/>
        <v>0</v>
      </c>
      <c r="BN165" s="1213">
        <f t="shared" ca="1" si="118"/>
        <v>0</v>
      </c>
      <c r="BO165" s="1587">
        <f t="shared" ca="1" si="119"/>
        <v>0</v>
      </c>
      <c r="BR165" s="1212">
        <f t="shared" ca="1" si="120"/>
        <v>0</v>
      </c>
      <c r="BS165" s="1213">
        <f t="shared" ca="1" si="121"/>
        <v>0</v>
      </c>
      <c r="BT165" s="1587">
        <f t="shared" ca="1" si="122"/>
        <v>0</v>
      </c>
      <c r="BW165" s="1212">
        <f t="shared" ca="1" si="123"/>
        <v>0</v>
      </c>
      <c r="BX165" s="1213">
        <f t="shared" ca="1" si="124"/>
        <v>0</v>
      </c>
      <c r="BY165" s="1587">
        <f t="shared" ca="1" si="125"/>
        <v>0</v>
      </c>
      <c r="CB165" s="1212">
        <f t="shared" ca="1" si="126"/>
        <v>0</v>
      </c>
      <c r="CC165" s="1213">
        <f t="shared" ca="1" si="127"/>
        <v>0</v>
      </c>
      <c r="CD165" s="1587">
        <f t="shared" ca="1" si="128"/>
        <v>0</v>
      </c>
      <c r="CG165" s="1212">
        <f t="shared" ca="1" si="129"/>
        <v>0</v>
      </c>
      <c r="CH165" s="1213">
        <f t="shared" ca="1" si="130"/>
        <v>0</v>
      </c>
      <c r="CI165" s="1587">
        <f t="shared" ca="1" si="131"/>
        <v>0</v>
      </c>
      <c r="CL165" s="1212">
        <f t="shared" ca="1" si="132"/>
        <v>0</v>
      </c>
      <c r="CM165" s="1213">
        <f t="shared" ca="1" si="133"/>
        <v>0</v>
      </c>
      <c r="CN165" s="1587">
        <f t="shared" ca="1" si="134"/>
        <v>0</v>
      </c>
    </row>
    <row r="166" spans="1:92">
      <c r="A166" s="141" t="str">
        <f>'銀行-TSS'!A166</f>
        <v>US35671DBC83</v>
      </c>
      <c r="B166" s="151" t="str">
        <f ca="1">VLOOKUP(A166,'銀行-TSS'!A:B,2,FALSE)</f>
        <v>XG510</v>
      </c>
      <c r="C166" s="151" t="str">
        <f ca="1">VLOOKUP(B166,bond!B:C,2,FALSE)</f>
        <v>自由港麥克莫蘭銅金公司美元配息債券 5.45% 2043/3/15</v>
      </c>
      <c r="D166" s="95" t="str">
        <f>VLOOKUP(A166,'銀行-TSS'!A:C,3,FALSE)</f>
        <v>USD</v>
      </c>
      <c r="E166" s="90">
        <f ca="1">VLOOKUP(A166,'銀行-TSS'!A:G,7,FALSE)</f>
        <v>18.7</v>
      </c>
      <c r="F166" s="202">
        <f ca="1">VLOOKUP(A166,'銀行-TSS'!A:H,8,FALSE)</f>
        <v>5.45E-2</v>
      </c>
      <c r="G166" s="96">
        <f ca="1">VLOOKUP(A166,'銀行-TSS'!A:K,11,FALSE)</f>
        <v>99.64</v>
      </c>
      <c r="H166" s="1209">
        <f ca="1">VLOOKUP(A166,'銀行-TSS'!A:M,13,FALSE)</f>
        <v>5.62E-2</v>
      </c>
      <c r="I166" s="1213">
        <f ca="1">VLOOKUP(A166,'銀行-TSS'!A:N,14,FALSE)</f>
        <v>10000</v>
      </c>
      <c r="J166" s="1213">
        <f ca="1">VLOOKUP(A166,'銀行-TSS'!A:O,15,FALSE)</f>
        <v>1000</v>
      </c>
      <c r="K166" s="136" t="str">
        <f ca="1">VLOOKUP(A166,'銀行-TSS'!A:V,22,FALSE)</f>
        <v>(PI)專投</v>
      </c>
      <c r="L166" s="136" t="str">
        <f ca="1">VLOOKUP(A166,'銀行-TSS'!A:AK,37,FALSE)</f>
        <v>有</v>
      </c>
      <c r="M166" s="136" t="str">
        <f ca="1">VLOOKUP(A166,'銀行-TSS'!A:AN,40,FALSE)</f>
        <v/>
      </c>
      <c r="N166" s="136">
        <f t="shared" ca="1" si="90"/>
        <v>996.4</v>
      </c>
      <c r="O166" s="1213">
        <f t="shared" ca="1" si="91"/>
        <v>9964</v>
      </c>
      <c r="P166" s="1213">
        <f ca="1">IF(AND($O$1&gt;=O166,換券單檔!$D$13=D166),I166+INT(($O$1-O166)/N166)*J166,0)</f>
        <v>97000</v>
      </c>
      <c r="Q166" s="1213">
        <f t="shared" ca="1" si="92"/>
        <v>5286.5</v>
      </c>
      <c r="R166" s="1213">
        <f t="shared" ca="1" si="93"/>
        <v>97000</v>
      </c>
      <c r="S166" s="1213">
        <f t="shared" ca="1" si="94"/>
        <v>5286.5</v>
      </c>
      <c r="T166" s="136">
        <f ca="1">IF(OR(R166=0,A166=0),0,IF(AND(V166=TRUE,換券單檔!$D$13=D166),E166,0))</f>
        <v>18.7</v>
      </c>
      <c r="U166" s="861">
        <f ca="1">IF(OR(R166=0,A166=0),0,IF(AND(V166=TRUE,換券單檔!$D$13=D166),H166,0))</f>
        <v>5.62E-2</v>
      </c>
      <c r="V166" s="136" t="b">
        <f ca="1">IF(OR(B166=換券單檔!$D$3,L166="無",M166&lt;&gt;"",K166="高資產",IFERROR(MATCH(B166,換券單檔!K:K,0),"N")&lt;&gt;"N"),FALSE,IF($V$1="All",TRUE,IF(K166=$V$1,TRUE,FALSE)))</f>
        <v>1</v>
      </c>
      <c r="W166" s="136">
        <f ca="1">VLOOKUP(A166,'銀行-TSS'!A:AO,41,FALSE)</f>
        <v>95.02</v>
      </c>
      <c r="X166" s="136">
        <f ca="1">VLOOKUP(A166,'銀行-TSS'!A:AP,42,FALSE)</f>
        <v>11.282500000000001</v>
      </c>
      <c r="Y166" s="1220">
        <f t="shared" ca="1" si="95"/>
        <v>10399.012554999999</v>
      </c>
      <c r="Z166" s="1220">
        <f t="shared" ca="1" si="96"/>
        <v>-4725.5133689839549</v>
      </c>
      <c r="AA166" s="136">
        <f ca="1">IF(Z166&lt;=0,0,RANK(Z166,Z:Z)+COUNTIF($Z$3:$Z166,Z166)-1)</f>
        <v>0</v>
      </c>
      <c r="AB166" s="1211">
        <f t="shared" ca="1" si="97"/>
        <v>-7497.1274450000001</v>
      </c>
      <c r="AC166" s="136">
        <f ca="1">IF(AB166&lt;=0,0,RANK(AB166,AB:AB)+COUNTIF($AB$3:$AB166,AB166)-1)</f>
        <v>0</v>
      </c>
      <c r="AD166" s="1123">
        <f t="shared" ca="1" si="98"/>
        <v>99999</v>
      </c>
      <c r="AE166" s="1123">
        <f ca="1">IF(AD166=99999,0,RANK(AD166,AD:AD,1)+COUNTIF($AD$3:$AD166,AD166)-1)</f>
        <v>0</v>
      </c>
      <c r="AF166" s="86" t="b">
        <f ca="1">IF(OR(M166&lt;&gt;"",L166="無",K166="高資產",IFERROR(MATCH(B166,換券單檔!K:K,0),"N")&lt;&gt;"N"),FALSE,TRUE)</f>
        <v>1</v>
      </c>
      <c r="AI166" s="1212">
        <f t="shared" ca="1" si="99"/>
        <v>97000</v>
      </c>
      <c r="AJ166" s="1213">
        <f t="shared" ca="1" si="100"/>
        <v>5286.5</v>
      </c>
      <c r="AK166" s="1587">
        <f t="shared" ca="1" si="101"/>
        <v>-4725.5133689839549</v>
      </c>
      <c r="AN166" s="1212">
        <f t="shared" ca="1" si="102"/>
        <v>55000</v>
      </c>
      <c r="AO166" s="1213">
        <f t="shared" ca="1" si="103"/>
        <v>2997.5</v>
      </c>
      <c r="AP166" s="1587">
        <f t="shared" ca="1" si="104"/>
        <v>-87817.45989304813</v>
      </c>
      <c r="AS166" s="1212">
        <f t="shared" ca="1" si="105"/>
        <v>94000</v>
      </c>
      <c r="AT166" s="1213">
        <f t="shared" ca="1" si="106"/>
        <v>5123</v>
      </c>
      <c r="AU166" s="1587">
        <f t="shared" ca="1" si="107"/>
        <v>-11275.893048128342</v>
      </c>
      <c r="AX166" s="1212">
        <f t="shared" ca="1" si="108"/>
        <v>87000</v>
      </c>
      <c r="AY166" s="1213">
        <f t="shared" ca="1" si="109"/>
        <v>4741.5</v>
      </c>
      <c r="AZ166" s="1587">
        <f t="shared" ca="1" si="110"/>
        <v>-25148.882352941178</v>
      </c>
      <c r="BC166" s="1212">
        <f t="shared" ca="1" si="111"/>
        <v>0</v>
      </c>
      <c r="BD166" s="1213">
        <f t="shared" ca="1" si="112"/>
        <v>0</v>
      </c>
      <c r="BE166" s="1587">
        <f t="shared" ca="1" si="113"/>
        <v>0</v>
      </c>
      <c r="BH166" s="1212">
        <f t="shared" ca="1" si="114"/>
        <v>0</v>
      </c>
      <c r="BI166" s="1213">
        <f t="shared" ca="1" si="115"/>
        <v>0</v>
      </c>
      <c r="BJ166" s="1587">
        <f t="shared" ca="1" si="116"/>
        <v>0</v>
      </c>
      <c r="BM166" s="1212">
        <f t="shared" ca="1" si="117"/>
        <v>0</v>
      </c>
      <c r="BN166" s="1213">
        <f t="shared" ca="1" si="118"/>
        <v>0</v>
      </c>
      <c r="BO166" s="1587">
        <f t="shared" ca="1" si="119"/>
        <v>0</v>
      </c>
      <c r="BR166" s="1212">
        <f t="shared" ca="1" si="120"/>
        <v>0</v>
      </c>
      <c r="BS166" s="1213">
        <f t="shared" ca="1" si="121"/>
        <v>0</v>
      </c>
      <c r="BT166" s="1587">
        <f t="shared" ca="1" si="122"/>
        <v>0</v>
      </c>
      <c r="BW166" s="1212">
        <f t="shared" ca="1" si="123"/>
        <v>0</v>
      </c>
      <c r="BX166" s="1213">
        <f t="shared" ca="1" si="124"/>
        <v>0</v>
      </c>
      <c r="BY166" s="1587">
        <f t="shared" ca="1" si="125"/>
        <v>0</v>
      </c>
      <c r="CB166" s="1212">
        <f t="shared" ca="1" si="126"/>
        <v>0</v>
      </c>
      <c r="CC166" s="1213">
        <f t="shared" ca="1" si="127"/>
        <v>0</v>
      </c>
      <c r="CD166" s="1587">
        <f t="shared" ca="1" si="128"/>
        <v>0</v>
      </c>
      <c r="CG166" s="1212">
        <f t="shared" ca="1" si="129"/>
        <v>0</v>
      </c>
      <c r="CH166" s="1213">
        <f t="shared" ca="1" si="130"/>
        <v>0</v>
      </c>
      <c r="CI166" s="1587">
        <f t="shared" ca="1" si="131"/>
        <v>0</v>
      </c>
      <c r="CL166" s="1212">
        <f t="shared" ca="1" si="132"/>
        <v>0</v>
      </c>
      <c r="CM166" s="1213">
        <f t="shared" ca="1" si="133"/>
        <v>0</v>
      </c>
      <c r="CN166" s="1587">
        <f t="shared" ca="1" si="134"/>
        <v>0</v>
      </c>
    </row>
    <row r="167" spans="1:92">
      <c r="A167" s="141" t="str">
        <f>'銀行-TSS'!A167</f>
        <v>US345370CQ17</v>
      </c>
      <c r="B167" s="151" t="str">
        <f ca="1">VLOOKUP(A167,'銀行-TSS'!A:B,2,FALSE)</f>
        <v>XG520</v>
      </c>
      <c r="C167" s="151" t="str">
        <f ca="1">VLOOKUP(B167,bond!B:C,2,FALSE)</f>
        <v>福特汽車公司美元配息債券 4.75% 2043/1/15</v>
      </c>
      <c r="D167" s="95" t="str">
        <f>VLOOKUP(A167,'銀行-TSS'!A:C,3,FALSE)</f>
        <v>USD</v>
      </c>
      <c r="E167" s="90">
        <f ca="1">VLOOKUP(A167,'銀行-TSS'!A:G,7,FALSE)</f>
        <v>18.54</v>
      </c>
      <c r="F167" s="202">
        <f ca="1">VLOOKUP(A167,'銀行-TSS'!A:H,8,FALSE)</f>
        <v>4.7500000000000001E-2</v>
      </c>
      <c r="G167" s="96">
        <f ca="1">VLOOKUP(A167,'銀行-TSS'!A:K,11,FALSE)</f>
        <v>86.8</v>
      </c>
      <c r="H167" s="1209">
        <f ca="1">VLOOKUP(A167,'銀行-TSS'!A:M,13,FALSE)</f>
        <v>6.1499999999999999E-2</v>
      </c>
      <c r="I167" s="1213">
        <f ca="1">VLOOKUP(A167,'銀行-TSS'!A:N,14,FALSE)</f>
        <v>10000</v>
      </c>
      <c r="J167" s="1213">
        <f ca="1">VLOOKUP(A167,'銀行-TSS'!A:O,15,FALSE)</f>
        <v>1000</v>
      </c>
      <c r="K167" s="136" t="str">
        <f ca="1">VLOOKUP(A167,'銀行-TSS'!A:V,22,FALSE)</f>
        <v>(PI)專投</v>
      </c>
      <c r="L167" s="136" t="str">
        <f ca="1">VLOOKUP(A167,'銀行-TSS'!A:AK,37,FALSE)</f>
        <v>有</v>
      </c>
      <c r="M167" s="136" t="str">
        <f ca="1">VLOOKUP(A167,'銀行-TSS'!A:AN,40,FALSE)</f>
        <v/>
      </c>
      <c r="N167" s="136">
        <f t="shared" ca="1" si="90"/>
        <v>868</v>
      </c>
      <c r="O167" s="1213">
        <f t="shared" ca="1" si="91"/>
        <v>8680</v>
      </c>
      <c r="P167" s="1213">
        <f ca="1">IF(AND($O$1&gt;=O167,換券單檔!$D$13=D167),I167+INT(($O$1-O167)/N167)*J167,0)</f>
        <v>111000</v>
      </c>
      <c r="Q167" s="1213">
        <f t="shared" ca="1" si="92"/>
        <v>5272.5</v>
      </c>
      <c r="R167" s="1213">
        <f t="shared" ca="1" si="93"/>
        <v>111000</v>
      </c>
      <c r="S167" s="1213">
        <f t="shared" ca="1" si="94"/>
        <v>5272.5</v>
      </c>
      <c r="T167" s="136">
        <f ca="1">IF(OR(R167=0,A167=0),0,IF(AND(V167=TRUE,換券單檔!$D$13=D167),E167,0))</f>
        <v>18.54</v>
      </c>
      <c r="U167" s="861">
        <f ca="1">IF(OR(R167=0,A167=0),0,IF(AND(V167=TRUE,換券單檔!$D$13=D167),H167,0))</f>
        <v>6.1499999999999999E-2</v>
      </c>
      <c r="V167" s="136" t="b">
        <f ca="1">IF(OR(B167=換券單檔!$D$3,L167="無",M167&lt;&gt;"",K167="高資產",IFERROR(MATCH(B167,換券單檔!K:K,0),"N")&lt;&gt;"N"),FALSE,IF($V$1="All",TRUE,IF(K167=$V$1,TRUE,FALSE)))</f>
        <v>1</v>
      </c>
      <c r="W167" s="136">
        <f ca="1">VLOOKUP(A167,'銀行-TSS'!A:AO,41,FALSE)</f>
        <v>81.600000000000009</v>
      </c>
      <c r="X167" s="136">
        <f ca="1">VLOOKUP(A167,'銀行-TSS'!A:AP,42,FALSE)</f>
        <v>11.183</v>
      </c>
      <c r="Y167" s="1220">
        <f t="shared" ca="1" si="95"/>
        <v>10129.114079999999</v>
      </c>
      <c r="Z167" s="1220">
        <f t="shared" ca="1" si="96"/>
        <v>1529.9730312837135</v>
      </c>
      <c r="AA167" s="136">
        <f ca="1">IF(Z167&lt;=0,0,RANK(Z167,Z:Z)+COUNTIF($Z$3:$Z167,Z167)-1)</f>
        <v>10</v>
      </c>
      <c r="AB167" s="1211">
        <f t="shared" ca="1" si="97"/>
        <v>-4767.02592</v>
      </c>
      <c r="AC167" s="136">
        <f ca="1">IF(AB167&lt;=0,0,RANK(AB167,AB:AB)+COUNTIF($AB$3:$AB167,AB167)-1)</f>
        <v>0</v>
      </c>
      <c r="AD167" s="1123">
        <f t="shared" ca="1" si="98"/>
        <v>99999</v>
      </c>
      <c r="AE167" s="1123">
        <f ca="1">IF(AD167=99999,0,RANK(AD167,AD:AD,1)+COUNTIF($AD$3:$AD167,AD167)-1)</f>
        <v>0</v>
      </c>
      <c r="AF167" s="86" t="b">
        <f ca="1">IF(OR(M167&lt;&gt;"",L167="無",K167="高資產",IFERROR(MATCH(B167,換券單檔!K:K,0),"N")&lt;&gt;"N"),FALSE,TRUE)</f>
        <v>1</v>
      </c>
      <c r="AI167" s="1212">
        <f t="shared" ca="1" si="99"/>
        <v>111000</v>
      </c>
      <c r="AJ167" s="1213">
        <f t="shared" ca="1" si="100"/>
        <v>5272.5</v>
      </c>
      <c r="AK167" s="1587">
        <f t="shared" ca="1" si="101"/>
        <v>1529.9730312837135</v>
      </c>
      <c r="AN167" s="1212">
        <f t="shared" ca="1" si="102"/>
        <v>63000</v>
      </c>
      <c r="AO167" s="1213">
        <f t="shared" ca="1" si="103"/>
        <v>2992.5</v>
      </c>
      <c r="AP167" s="1587">
        <f t="shared" ca="1" si="104"/>
        <v>-71832.572815533975</v>
      </c>
      <c r="AS167" s="1212">
        <f t="shared" ca="1" si="105"/>
        <v>108000</v>
      </c>
      <c r="AT167" s="1213">
        <f t="shared" ca="1" si="106"/>
        <v>5130</v>
      </c>
      <c r="AU167" s="1587">
        <f t="shared" ca="1" si="107"/>
        <v>960.11866235167213</v>
      </c>
      <c r="AX167" s="1212">
        <f t="shared" ca="1" si="108"/>
        <v>100000</v>
      </c>
      <c r="AY167" s="1213">
        <f t="shared" ca="1" si="109"/>
        <v>4750</v>
      </c>
      <c r="AZ167" s="1587">
        <f t="shared" ca="1" si="110"/>
        <v>875.72815533980315</v>
      </c>
      <c r="BC167" s="1212">
        <f t="shared" ca="1" si="111"/>
        <v>0</v>
      </c>
      <c r="BD167" s="1213">
        <f t="shared" ca="1" si="112"/>
        <v>0</v>
      </c>
      <c r="BE167" s="1587">
        <f t="shared" ca="1" si="113"/>
        <v>0</v>
      </c>
      <c r="BH167" s="1212">
        <f t="shared" ca="1" si="114"/>
        <v>0</v>
      </c>
      <c r="BI167" s="1213">
        <f t="shared" ca="1" si="115"/>
        <v>0</v>
      </c>
      <c r="BJ167" s="1587">
        <f t="shared" ca="1" si="116"/>
        <v>0</v>
      </c>
      <c r="BM167" s="1212">
        <f t="shared" ca="1" si="117"/>
        <v>0</v>
      </c>
      <c r="BN167" s="1213">
        <f t="shared" ca="1" si="118"/>
        <v>0</v>
      </c>
      <c r="BO167" s="1587">
        <f t="shared" ca="1" si="119"/>
        <v>0</v>
      </c>
      <c r="BR167" s="1212">
        <f t="shared" ca="1" si="120"/>
        <v>0</v>
      </c>
      <c r="BS167" s="1213">
        <f t="shared" ca="1" si="121"/>
        <v>0</v>
      </c>
      <c r="BT167" s="1587">
        <f t="shared" ca="1" si="122"/>
        <v>0</v>
      </c>
      <c r="BW167" s="1212">
        <f t="shared" ca="1" si="123"/>
        <v>0</v>
      </c>
      <c r="BX167" s="1213">
        <f t="shared" ca="1" si="124"/>
        <v>0</v>
      </c>
      <c r="BY167" s="1587">
        <f t="shared" ca="1" si="125"/>
        <v>0</v>
      </c>
      <c r="CB167" s="1212">
        <f t="shared" ca="1" si="126"/>
        <v>0</v>
      </c>
      <c r="CC167" s="1213">
        <f t="shared" ca="1" si="127"/>
        <v>0</v>
      </c>
      <c r="CD167" s="1587">
        <f t="shared" ca="1" si="128"/>
        <v>0</v>
      </c>
      <c r="CG167" s="1212">
        <f t="shared" ca="1" si="129"/>
        <v>0</v>
      </c>
      <c r="CH167" s="1213">
        <f t="shared" ca="1" si="130"/>
        <v>0</v>
      </c>
      <c r="CI167" s="1587">
        <f t="shared" ca="1" si="131"/>
        <v>0</v>
      </c>
      <c r="CL167" s="1212">
        <f t="shared" ca="1" si="132"/>
        <v>0</v>
      </c>
      <c r="CM167" s="1213">
        <f t="shared" ca="1" si="133"/>
        <v>0</v>
      </c>
      <c r="CN167" s="1587">
        <f t="shared" ca="1" si="134"/>
        <v>0</v>
      </c>
    </row>
    <row r="168" spans="1:92">
      <c r="A168" s="141" t="str">
        <f>'銀行-TSS'!A168</f>
        <v>US674599CJ22</v>
      </c>
      <c r="B168" s="151" t="str">
        <f ca="1">VLOOKUP(A168,'銀行-TSS'!A:B,2,FALSE)</f>
        <v>XG530</v>
      </c>
      <c r="C168" s="151" t="str">
        <f ca="1">VLOOKUP(B168,bond!B:C,2,FALSE)</f>
        <v>西方石油公司美元配息債券  4.4% 2046/4/15</v>
      </c>
      <c r="D168" s="95" t="str">
        <f>VLOOKUP(A168,'銀行-TSS'!A:C,3,FALSE)</f>
        <v>USD</v>
      </c>
      <c r="E168" s="90">
        <f ca="1">VLOOKUP(A168,'銀行-TSS'!A:G,7,FALSE)</f>
        <v>21.79</v>
      </c>
      <c r="F168" s="202">
        <f ca="1">VLOOKUP(A168,'銀行-TSS'!A:H,8,FALSE)</f>
        <v>4.4000000000000004E-2</v>
      </c>
      <c r="G168" s="96">
        <f ca="1">VLOOKUP(A168,'銀行-TSS'!A:K,11,FALSE)</f>
        <v>83.24</v>
      </c>
      <c r="H168" s="1209">
        <f ca="1">VLOOKUP(A168,'銀行-TSS'!A:M,13,FALSE)</f>
        <v>5.8500000000000003E-2</v>
      </c>
      <c r="I168" s="1213">
        <f ca="1">VLOOKUP(A168,'銀行-TSS'!A:N,14,FALSE)</f>
        <v>10000</v>
      </c>
      <c r="J168" s="1213">
        <f ca="1">VLOOKUP(A168,'銀行-TSS'!A:O,15,FALSE)</f>
        <v>1000</v>
      </c>
      <c r="K168" s="136" t="str">
        <f ca="1">VLOOKUP(A168,'銀行-TSS'!A:V,22,FALSE)</f>
        <v>(PI)專投</v>
      </c>
      <c r="L168" s="136" t="str">
        <f ca="1">VLOOKUP(A168,'銀行-TSS'!A:AK,37,FALSE)</f>
        <v>有</v>
      </c>
      <c r="M168" s="136" t="str">
        <f ca="1">VLOOKUP(A168,'銀行-TSS'!A:AN,40,FALSE)</f>
        <v/>
      </c>
      <c r="N168" s="136">
        <f t="shared" ca="1" si="90"/>
        <v>832.4</v>
      </c>
      <c r="O168" s="1213">
        <f t="shared" ca="1" si="91"/>
        <v>8324</v>
      </c>
      <c r="P168" s="1213">
        <f ca="1">IF(AND($O$1&gt;=O168,換券單檔!$D$13=D168),I168+INT(($O$1-O168)/N168)*J168,0)</f>
        <v>116000</v>
      </c>
      <c r="Q168" s="1213">
        <f t="shared" ca="1" si="92"/>
        <v>5104.0000000000009</v>
      </c>
      <c r="R168" s="1213">
        <f t="shared" ca="1" si="93"/>
        <v>116000</v>
      </c>
      <c r="S168" s="1213">
        <f t="shared" ca="1" si="94"/>
        <v>5104.0000000000009</v>
      </c>
      <c r="T168" s="136">
        <f ca="1">IF(OR(R168=0,A168=0),0,IF(AND(V168=TRUE,換券單檔!$D$13=D168),E168,0))</f>
        <v>21.79</v>
      </c>
      <c r="U168" s="861">
        <f ca="1">IF(OR(R168=0,A168=0),0,IF(AND(V168=TRUE,換券單檔!$D$13=D168),H168,0))</f>
        <v>5.8500000000000003E-2</v>
      </c>
      <c r="V168" s="136" t="b">
        <f ca="1">IF(OR(B168=換券單檔!$D$3,L168="無",M168&lt;&gt;"",K168="高資產",IFERROR(MATCH(B168,換券單檔!K:K,0),"N")&lt;&gt;"N"),FALSE,IF($V$1="All",TRUE,IF(K168=$V$1,TRUE,FALSE)))</f>
        <v>1</v>
      </c>
      <c r="W168" s="136">
        <f ca="1">VLOOKUP(A168,'銀行-TSS'!A:AO,41,FALSE)</f>
        <v>79.300000000000011</v>
      </c>
      <c r="X168" s="136">
        <f ca="1">VLOOKUP(A168,'銀行-TSS'!A:AP,42,FALSE)</f>
        <v>12.7112</v>
      </c>
      <c r="Y168" s="1220">
        <f t="shared" ca="1" si="95"/>
        <v>11692.778656000002</v>
      </c>
      <c r="Z168" s="1220">
        <f t="shared" ca="1" si="96"/>
        <v>1111.6558054153334</v>
      </c>
      <c r="AA168" s="136">
        <f ca="1">IF(Z168&lt;=0,0,RANK(Z168,Z:Z)+COUNTIF($Z$3:$Z168,Z168)-1)</f>
        <v>13</v>
      </c>
      <c r="AB168" s="1211">
        <f t="shared" ca="1" si="97"/>
        <v>-3203.3613439999972</v>
      </c>
      <c r="AC168" s="136">
        <f ca="1">IF(AB168&lt;=0,0,RANK(AB168,AB:AB)+COUNTIF($AB$3:$AB168,AB168)-1)</f>
        <v>0</v>
      </c>
      <c r="AD168" s="1123">
        <f t="shared" ca="1" si="98"/>
        <v>99999</v>
      </c>
      <c r="AE168" s="1123">
        <f ca="1">IF(AD168=99999,0,RANK(AD168,AD:AD,1)+COUNTIF($AD$3:$AD168,AD168)-1)</f>
        <v>0</v>
      </c>
      <c r="AF168" s="86" t="b">
        <f ca="1">IF(OR(M168&lt;&gt;"",L168="無",K168="高資產",IFERROR(MATCH(B168,換券單檔!K:K,0),"N")&lt;&gt;"N"),FALSE,TRUE)</f>
        <v>1</v>
      </c>
      <c r="AI168" s="1212">
        <f t="shared" ca="1" si="99"/>
        <v>116000</v>
      </c>
      <c r="AJ168" s="1213">
        <f t="shared" ca="1" si="100"/>
        <v>5104.0000000000009</v>
      </c>
      <c r="AK168" s="1587">
        <f t="shared" ca="1" si="101"/>
        <v>1111.6558054153334</v>
      </c>
      <c r="AN168" s="1212">
        <f t="shared" ca="1" si="102"/>
        <v>66000</v>
      </c>
      <c r="AO168" s="1213">
        <f t="shared" ca="1" si="103"/>
        <v>2904.0000000000005</v>
      </c>
      <c r="AP168" s="1587">
        <f t="shared" ca="1" si="104"/>
        <v>-66083.020651675077</v>
      </c>
      <c r="AS168" s="1212">
        <f t="shared" ca="1" si="105"/>
        <v>113000</v>
      </c>
      <c r="AT168" s="1213">
        <f t="shared" ca="1" si="106"/>
        <v>4972.0000000000009</v>
      </c>
      <c r="AU168" s="1587">
        <f t="shared" ca="1" si="107"/>
        <v>582.62459843965394</v>
      </c>
      <c r="AX168" s="1212">
        <f t="shared" ca="1" si="108"/>
        <v>104000</v>
      </c>
      <c r="AY168" s="1213">
        <f t="shared" ca="1" si="109"/>
        <v>4576.0000000000009</v>
      </c>
      <c r="AZ168" s="1587">
        <f t="shared" ca="1" si="110"/>
        <v>461.11151904543374</v>
      </c>
      <c r="BC168" s="1212">
        <f t="shared" ca="1" si="111"/>
        <v>0</v>
      </c>
      <c r="BD168" s="1213">
        <f t="shared" ca="1" si="112"/>
        <v>0</v>
      </c>
      <c r="BE168" s="1587">
        <f t="shared" ca="1" si="113"/>
        <v>0</v>
      </c>
      <c r="BH168" s="1212">
        <f t="shared" ca="1" si="114"/>
        <v>0</v>
      </c>
      <c r="BI168" s="1213">
        <f t="shared" ca="1" si="115"/>
        <v>0</v>
      </c>
      <c r="BJ168" s="1587">
        <f t="shared" ca="1" si="116"/>
        <v>0</v>
      </c>
      <c r="BM168" s="1212">
        <f t="shared" ca="1" si="117"/>
        <v>0</v>
      </c>
      <c r="BN168" s="1213">
        <f t="shared" ca="1" si="118"/>
        <v>0</v>
      </c>
      <c r="BO168" s="1587">
        <f t="shared" ca="1" si="119"/>
        <v>0</v>
      </c>
      <c r="BR168" s="1212">
        <f t="shared" ca="1" si="120"/>
        <v>0</v>
      </c>
      <c r="BS168" s="1213">
        <f t="shared" ca="1" si="121"/>
        <v>0</v>
      </c>
      <c r="BT168" s="1587">
        <f t="shared" ca="1" si="122"/>
        <v>0</v>
      </c>
      <c r="BW168" s="1212">
        <f t="shared" ca="1" si="123"/>
        <v>0</v>
      </c>
      <c r="BX168" s="1213">
        <f t="shared" ca="1" si="124"/>
        <v>0</v>
      </c>
      <c r="BY168" s="1587">
        <f t="shared" ca="1" si="125"/>
        <v>0</v>
      </c>
      <c r="CB168" s="1212">
        <f t="shared" ca="1" si="126"/>
        <v>0</v>
      </c>
      <c r="CC168" s="1213">
        <f t="shared" ca="1" si="127"/>
        <v>0</v>
      </c>
      <c r="CD168" s="1587">
        <f t="shared" ca="1" si="128"/>
        <v>0</v>
      </c>
      <c r="CG168" s="1212">
        <f t="shared" ca="1" si="129"/>
        <v>0</v>
      </c>
      <c r="CH168" s="1213">
        <f t="shared" ca="1" si="130"/>
        <v>0</v>
      </c>
      <c r="CI168" s="1587">
        <f t="shared" ca="1" si="131"/>
        <v>0</v>
      </c>
      <c r="CL168" s="1212">
        <f t="shared" ca="1" si="132"/>
        <v>0</v>
      </c>
      <c r="CM168" s="1213">
        <f t="shared" ca="1" si="133"/>
        <v>0</v>
      </c>
      <c r="CN168" s="1587">
        <f t="shared" ca="1" si="134"/>
        <v>0</v>
      </c>
    </row>
    <row r="169" spans="1:92">
      <c r="A169" s="141" t="str">
        <f>'銀行-TSS'!A169</f>
        <v>US279158AE95</v>
      </c>
      <c r="B169" s="151" t="str">
        <f ca="1">VLOOKUP(A169,'銀行-TSS'!A:B,2,FALSE)</f>
        <v>XG540</v>
      </c>
      <c r="C169" s="151" t="str">
        <f ca="1">VLOOKUP(B169,bond!B:C,2,FALSE)</f>
        <v>哥倫比亞國家石油公司美元配息債券 7.375% 2043/9/18</v>
      </c>
      <c r="D169" s="95" t="str">
        <f>VLOOKUP(A169,'銀行-TSS'!A:C,3,FALSE)</f>
        <v>USD</v>
      </c>
      <c r="E169" s="90">
        <f ca="1">VLOOKUP(A169,'銀行-TSS'!A:G,7,FALSE)</f>
        <v>19.21</v>
      </c>
      <c r="F169" s="202">
        <f ca="1">VLOOKUP(A169,'銀行-TSS'!A:H,8,FALSE)</f>
        <v>7.3749999999999996E-2</v>
      </c>
      <c r="G169" s="96">
        <f ca="1">VLOOKUP(A169,'銀行-TSS'!A:K,11,FALSE)</f>
        <v>95.21</v>
      </c>
      <c r="H169" s="1209">
        <f ca="1">VLOOKUP(A169,'銀行-TSS'!A:M,13,FALSE)</f>
        <v>8.09E-2</v>
      </c>
      <c r="I169" s="1213">
        <f ca="1">VLOOKUP(A169,'銀行-TSS'!A:N,14,FALSE)</f>
        <v>10000</v>
      </c>
      <c r="J169" s="1213">
        <f ca="1">VLOOKUP(A169,'銀行-TSS'!A:O,15,FALSE)</f>
        <v>1000</v>
      </c>
      <c r="K169" s="136" t="str">
        <f ca="1">VLOOKUP(A169,'銀行-TSS'!A:V,22,FALSE)</f>
        <v>(PI)專投</v>
      </c>
      <c r="L169" s="136" t="str">
        <f ca="1">VLOOKUP(A169,'銀行-TSS'!A:AK,37,FALSE)</f>
        <v>有</v>
      </c>
      <c r="M169" s="136" t="str">
        <f ca="1">VLOOKUP(A169,'銀行-TSS'!A:AN,40,FALSE)</f>
        <v/>
      </c>
      <c r="N169" s="136">
        <f t="shared" ca="1" si="90"/>
        <v>952.1</v>
      </c>
      <c r="O169" s="1213">
        <f t="shared" ca="1" si="91"/>
        <v>9520.9999999999982</v>
      </c>
      <c r="P169" s="1213">
        <f ca="1">IF(AND($O$1&gt;=O169,換券單檔!$D$13=D169),I169+INT(($O$1-O169)/N169)*J169,0)</f>
        <v>101000</v>
      </c>
      <c r="Q169" s="1213">
        <f t="shared" ca="1" si="92"/>
        <v>7448.75</v>
      </c>
      <c r="R169" s="1213">
        <f ca="1">IF(A169=0,0,IF(V169=FALSE,0,P169))</f>
        <v>101000</v>
      </c>
      <c r="S169" s="1213">
        <f t="shared" ca="1" si="94"/>
        <v>7448.75</v>
      </c>
      <c r="T169" s="136">
        <f ca="1">IF(OR(R169=0,A169=0),0,IF(AND(V169=TRUE,換券單檔!$D$13=D169),E169,0))</f>
        <v>19.21</v>
      </c>
      <c r="U169" s="861">
        <f ca="1">IF(OR(R169=0,A169=0),0,IF(AND(V169=TRUE,換券單檔!$D$13=D169),H169,0))</f>
        <v>8.09E-2</v>
      </c>
      <c r="V169" s="136" t="b">
        <f ca="1">IF(OR(B169=換券單檔!$D$3,L169="無",M169&lt;&gt;"",K169="高資產",IFERROR(MATCH(B169,換券單檔!K:K,0),"N")&lt;&gt;"N"),FALSE,IF($V$1="All",TRUE,IF(K169=$V$1,TRUE,FALSE)))</f>
        <v>1</v>
      </c>
      <c r="W169" s="136">
        <f ca="1">VLOOKUP(A169,'銀行-TSS'!A:AO,41,FALSE)</f>
        <v>90.08</v>
      </c>
      <c r="X169" s="136">
        <f ca="1">VLOOKUP(A169,'銀行-TSS'!A:AP,42,FALSE)</f>
        <v>9.4692000000000007</v>
      </c>
      <c r="Y169" s="1220">
        <f t="shared" ca="1" si="95"/>
        <v>8615.153913600001</v>
      </c>
      <c r="Z169" s="1220">
        <f t="shared" ca="1" si="96"/>
        <v>7619.356454971371</v>
      </c>
      <c r="AA169" s="136">
        <f ca="1">IF(Z169&lt;=0,0,RANK(Z169,Z:Z)+COUNTIF($Z$3:$Z169,Z169)-1)</f>
        <v>1</v>
      </c>
      <c r="AB169" s="1211">
        <f t="shared" ca="1" si="97"/>
        <v>-6280.9860863999984</v>
      </c>
      <c r="AC169" s="136">
        <f ca="1">IF(AB169&lt;=0,0,RANK(AB169,AB:AB)+COUNTIF($AB$3:$AB169,AB169)-1)</f>
        <v>0</v>
      </c>
      <c r="AD169" s="1123">
        <f t="shared" ca="1" si="98"/>
        <v>99999</v>
      </c>
      <c r="AE169" s="1123">
        <f ca="1">IF(AD169=99999,0,RANK(AD169,AD:AD,1)+COUNTIF($AD$3:$AD169,AD169)-1)</f>
        <v>0</v>
      </c>
      <c r="AF169" s="86" t="b">
        <f ca="1">IF(OR(M169&lt;&gt;"",L169="無",K169="高資產",IFERROR(MATCH(B169,換券單檔!K:K,0),"N")&lt;&gt;"N"),FALSE,TRUE)</f>
        <v>1</v>
      </c>
      <c r="AI169" s="1212">
        <f t="shared" ca="1" si="99"/>
        <v>101000</v>
      </c>
      <c r="AJ169" s="1213">
        <f t="shared" ca="1" si="100"/>
        <v>7448.75</v>
      </c>
      <c r="AK169" s="1587">
        <f ca="1">IF($A169=0,0,IF(OR($AF169=FALSE,$B169=AG$1),0,IF(OR(AJ169&lt;(AJ$1*0.9),$E169&lt;5)=FALSE,((AJ169-AJ$1)*MIN(3,$E169)*(1-MIN(1/(2*$E169),1))+IF((AI169-AI$1)&lt;0,(AI169-AI$1)*2,(AI169-AI$1)*MIN(1/(2*$E169),1))),0)))</f>
        <v>7619.356454971371</v>
      </c>
      <c r="AN169" s="1212">
        <f ca="1">IF($AF169=FALSE,0,IF(AND(AM$2&gt;=$O169,AM$1=$D169),$I169+INT((AM$2-$O169)/$N169)*$J169,0))</f>
        <v>58000</v>
      </c>
      <c r="AO169" s="1213">
        <f t="shared" ca="1" si="103"/>
        <v>4277.5</v>
      </c>
      <c r="AP169" s="1587">
        <f t="shared" ca="1" si="104"/>
        <v>-78075.815981259759</v>
      </c>
      <c r="AS169" s="1212">
        <f t="shared" ca="1" si="105"/>
        <v>99000</v>
      </c>
      <c r="AT169" s="1213">
        <f t="shared" ca="1" si="106"/>
        <v>7301.25</v>
      </c>
      <c r="AU169" s="1587">
        <f t="shared" ca="1" si="107"/>
        <v>5089.2978917230603</v>
      </c>
      <c r="AX169" s="1212">
        <f t="shared" ca="1" si="108"/>
        <v>91000</v>
      </c>
      <c r="AY169" s="1213">
        <f t="shared" ca="1" si="109"/>
        <v>6711.25</v>
      </c>
      <c r="AZ169" s="1587">
        <f t="shared" ca="1" si="110"/>
        <v>-11392.818193649144</v>
      </c>
      <c r="BC169" s="1212">
        <f t="shared" ca="1" si="111"/>
        <v>0</v>
      </c>
      <c r="BD169" s="1213">
        <f t="shared" ca="1" si="112"/>
        <v>0</v>
      </c>
      <c r="BE169" s="1587">
        <f t="shared" ca="1" si="113"/>
        <v>0</v>
      </c>
      <c r="BH169" s="1212">
        <f t="shared" ca="1" si="114"/>
        <v>0</v>
      </c>
      <c r="BI169" s="1213">
        <f t="shared" ca="1" si="115"/>
        <v>0</v>
      </c>
      <c r="BJ169" s="1587">
        <f t="shared" ca="1" si="116"/>
        <v>0</v>
      </c>
      <c r="BM169" s="1212">
        <f t="shared" ca="1" si="117"/>
        <v>0</v>
      </c>
      <c r="BN169" s="1213">
        <f t="shared" ca="1" si="118"/>
        <v>0</v>
      </c>
      <c r="BO169" s="1587">
        <f t="shared" ca="1" si="119"/>
        <v>0</v>
      </c>
      <c r="BR169" s="1212">
        <f t="shared" ca="1" si="120"/>
        <v>0</v>
      </c>
      <c r="BS169" s="1213">
        <f t="shared" ca="1" si="121"/>
        <v>0</v>
      </c>
      <c r="BT169" s="1587">
        <f t="shared" ca="1" si="122"/>
        <v>0</v>
      </c>
      <c r="BW169" s="1212">
        <f t="shared" ca="1" si="123"/>
        <v>0</v>
      </c>
      <c r="BX169" s="1213">
        <f t="shared" ca="1" si="124"/>
        <v>0</v>
      </c>
      <c r="BY169" s="1587">
        <f t="shared" ca="1" si="125"/>
        <v>0</v>
      </c>
      <c r="CB169" s="1212">
        <f t="shared" ca="1" si="126"/>
        <v>0</v>
      </c>
      <c r="CC169" s="1213">
        <f t="shared" ca="1" si="127"/>
        <v>0</v>
      </c>
      <c r="CD169" s="1587">
        <f t="shared" ca="1" si="128"/>
        <v>0</v>
      </c>
      <c r="CG169" s="1212">
        <f t="shared" ca="1" si="129"/>
        <v>0</v>
      </c>
      <c r="CH169" s="1213">
        <f t="shared" ca="1" si="130"/>
        <v>0</v>
      </c>
      <c r="CI169" s="1587">
        <f t="shared" ca="1" si="131"/>
        <v>0</v>
      </c>
      <c r="CL169" s="1212">
        <f t="shared" ca="1" si="132"/>
        <v>0</v>
      </c>
      <c r="CM169" s="1213">
        <f t="shared" ca="1" si="133"/>
        <v>0</v>
      </c>
      <c r="CN169" s="1587">
        <f t="shared" ca="1" si="134"/>
        <v>0</v>
      </c>
    </row>
    <row r="170" spans="1:92">
      <c r="A170" s="141" t="str">
        <f>'銀行-TSS'!A170</f>
        <v>USP1905CJX94</v>
      </c>
      <c r="B170" s="151" t="str">
        <f ca="1">VLOOKUP(A170,'銀行-TSS'!A:B,2,FALSE)</f>
        <v>XG550</v>
      </c>
      <c r="C170" s="151" t="str">
        <f ca="1">VLOOKUP(B170,bond!B:C,2,FALSE)</f>
        <v>巴西食品公司美元配息債券  4.875% 2030/1/24</v>
      </c>
      <c r="D170" s="95" t="str">
        <f>VLOOKUP(A170,'銀行-TSS'!A:C,3,FALSE)</f>
        <v>USD</v>
      </c>
      <c r="E170" s="90">
        <f ca="1">VLOOKUP(A170,'銀行-TSS'!A:G,7,FALSE)</f>
        <v>5.56</v>
      </c>
      <c r="F170" s="202">
        <f ca="1">VLOOKUP(A170,'銀行-TSS'!A:H,8,FALSE)</f>
        <v>4.8750000000000002E-2</v>
      </c>
      <c r="G170" s="96">
        <f ca="1">VLOOKUP(A170,'銀行-TSS'!A:K,11,FALSE)</f>
        <v>96.29</v>
      </c>
      <c r="H170" s="1209">
        <f ca="1">VLOOKUP(A170,'銀行-TSS'!A:M,13,FALSE)</f>
        <v>6.13E-2</v>
      </c>
      <c r="I170" s="1213">
        <f ca="1">VLOOKUP(A170,'銀行-TSS'!A:N,14,FALSE)</f>
        <v>200000</v>
      </c>
      <c r="J170" s="1213">
        <f ca="1">VLOOKUP(A170,'銀行-TSS'!A:O,15,FALSE)</f>
        <v>1000</v>
      </c>
      <c r="K170" s="136" t="str">
        <f ca="1">VLOOKUP(A170,'銀行-TSS'!A:V,22,FALSE)</f>
        <v>(PI)專投</v>
      </c>
      <c r="L170" s="136" t="str">
        <f ca="1">VLOOKUP(A170,'銀行-TSS'!A:AK,37,FALSE)</f>
        <v>有</v>
      </c>
      <c r="M170" s="136" t="str">
        <f ca="1">VLOOKUP(A170,'銀行-TSS'!A:AN,40,FALSE)</f>
        <v/>
      </c>
      <c r="N170" s="136">
        <f t="shared" ca="1" si="90"/>
        <v>962.9</v>
      </c>
      <c r="O170" s="1213">
        <f t="shared" ca="1" si="91"/>
        <v>192580</v>
      </c>
      <c r="P170" s="1213">
        <f ca="1">IF(AND($O$1&gt;=O170,換券單檔!$D$13=D170),I170+INT(($O$1-O170)/N170)*J170,0)</f>
        <v>0</v>
      </c>
      <c r="Q170" s="1213">
        <f t="shared" ca="1" si="92"/>
        <v>0</v>
      </c>
      <c r="R170" s="1213">
        <f t="shared" ca="1" si="93"/>
        <v>0</v>
      </c>
      <c r="S170" s="1213">
        <f t="shared" ca="1" si="94"/>
        <v>0</v>
      </c>
      <c r="T170" s="136">
        <f ca="1">IF(OR(R170=0,A170=0),0,IF(AND(V170=TRUE,換券單檔!$D$13=D170),E170,0))</f>
        <v>0</v>
      </c>
      <c r="U170" s="861">
        <f ca="1">IF(OR(R170=0,A170=0),0,IF(AND(V170=TRUE,換券單檔!$D$13=D170),H170,0))</f>
        <v>0</v>
      </c>
      <c r="V170" s="136" t="b">
        <f ca="1">IF(OR(B170=換券單檔!$D$3,L170="無",M170&lt;&gt;"",K170="高資產",IFERROR(MATCH(B170,換券單檔!K:K,0),"N")&lt;&gt;"N"),FALSE,IF($V$1="All",TRUE,IF(K170=$V$1,TRUE,FALSE)))</f>
        <v>1</v>
      </c>
      <c r="W170" s="136">
        <f ca="1">VLOOKUP(A170,'銀行-TSS'!A:AO,41,FALSE)</f>
        <v>92.65</v>
      </c>
      <c r="X170" s="136">
        <f ca="1">VLOOKUP(A170,'銀行-TSS'!A:AP,42,FALSE)</f>
        <v>4.6497000000000002</v>
      </c>
      <c r="Y170" s="1220">
        <f t="shared" ca="1" si="95"/>
        <v>0</v>
      </c>
      <c r="Z170" s="1220">
        <f t="shared" ca="1" si="96"/>
        <v>0</v>
      </c>
      <c r="AA170" s="136">
        <f ca="1">IF(Z170&lt;=0,0,RANK(Z170,Z:Z)+COUNTIF($Z$3:$Z170,Z170)-1)</f>
        <v>0</v>
      </c>
      <c r="AB170" s="1211">
        <f t="shared" ca="1" si="97"/>
        <v>-114896.14</v>
      </c>
      <c r="AC170" s="136">
        <f ca="1">IF(AB170&lt;=0,0,RANK(AB170,AB:AB)+COUNTIF($AB$3:$AB170,AB170)-1)</f>
        <v>0</v>
      </c>
      <c r="AD170" s="1123">
        <f t="shared" ca="1" si="98"/>
        <v>99999</v>
      </c>
      <c r="AE170" s="1123">
        <f ca="1">IF(AD170=99999,0,RANK(AD170,AD:AD,1)+COUNTIF($AD$3:$AD170,AD170)-1)</f>
        <v>0</v>
      </c>
      <c r="AF170" s="86" t="b">
        <f ca="1">IF(OR(M170&lt;&gt;"",L170="無",K170="高資產",IFERROR(MATCH(B170,換券單檔!K:K,0),"N")&lt;&gt;"N"),FALSE,TRUE)</f>
        <v>1</v>
      </c>
      <c r="AI170" s="1212">
        <f t="shared" ca="1" si="99"/>
        <v>0</v>
      </c>
      <c r="AJ170" s="1213">
        <f t="shared" ca="1" si="100"/>
        <v>0</v>
      </c>
      <c r="AK170" s="1587">
        <f t="shared" ca="1" si="101"/>
        <v>0</v>
      </c>
      <c r="AN170" s="1212">
        <f t="shared" ca="1" si="102"/>
        <v>0</v>
      </c>
      <c r="AO170" s="1213">
        <f t="shared" ca="1" si="103"/>
        <v>0</v>
      </c>
      <c r="AP170" s="1587">
        <f t="shared" ca="1" si="104"/>
        <v>0</v>
      </c>
      <c r="AS170" s="1212">
        <f t="shared" ca="1" si="105"/>
        <v>0</v>
      </c>
      <c r="AT170" s="1213">
        <f t="shared" ca="1" si="106"/>
        <v>0</v>
      </c>
      <c r="AU170" s="1587">
        <f t="shared" ca="1" si="107"/>
        <v>0</v>
      </c>
      <c r="AX170" s="1212">
        <f t="shared" ca="1" si="108"/>
        <v>0</v>
      </c>
      <c r="AY170" s="1213">
        <f t="shared" ca="1" si="109"/>
        <v>0</v>
      </c>
      <c r="AZ170" s="1587">
        <f t="shared" ca="1" si="110"/>
        <v>0</v>
      </c>
      <c r="BC170" s="1212">
        <f t="shared" ca="1" si="111"/>
        <v>0</v>
      </c>
      <c r="BD170" s="1213">
        <f t="shared" ca="1" si="112"/>
        <v>0</v>
      </c>
      <c r="BE170" s="1587">
        <f t="shared" ca="1" si="113"/>
        <v>0</v>
      </c>
      <c r="BH170" s="1212">
        <f t="shared" ca="1" si="114"/>
        <v>0</v>
      </c>
      <c r="BI170" s="1213">
        <f t="shared" ca="1" si="115"/>
        <v>0</v>
      </c>
      <c r="BJ170" s="1587">
        <f t="shared" ca="1" si="116"/>
        <v>0</v>
      </c>
      <c r="BM170" s="1212">
        <f t="shared" ca="1" si="117"/>
        <v>0</v>
      </c>
      <c r="BN170" s="1213">
        <f t="shared" ca="1" si="118"/>
        <v>0</v>
      </c>
      <c r="BO170" s="1587">
        <f t="shared" ca="1" si="119"/>
        <v>0</v>
      </c>
      <c r="BR170" s="1212">
        <f t="shared" ca="1" si="120"/>
        <v>0</v>
      </c>
      <c r="BS170" s="1213">
        <f t="shared" ca="1" si="121"/>
        <v>0</v>
      </c>
      <c r="BT170" s="1587">
        <f t="shared" ca="1" si="122"/>
        <v>0</v>
      </c>
      <c r="BW170" s="1212">
        <f t="shared" ca="1" si="123"/>
        <v>0</v>
      </c>
      <c r="BX170" s="1213">
        <f t="shared" ca="1" si="124"/>
        <v>0</v>
      </c>
      <c r="BY170" s="1587">
        <f t="shared" ca="1" si="125"/>
        <v>0</v>
      </c>
      <c r="CB170" s="1212">
        <f t="shared" ca="1" si="126"/>
        <v>0</v>
      </c>
      <c r="CC170" s="1213">
        <f t="shared" ca="1" si="127"/>
        <v>0</v>
      </c>
      <c r="CD170" s="1587">
        <f t="shared" ca="1" si="128"/>
        <v>0</v>
      </c>
      <c r="CG170" s="1212">
        <f t="shared" ca="1" si="129"/>
        <v>0</v>
      </c>
      <c r="CH170" s="1213">
        <f t="shared" ca="1" si="130"/>
        <v>0</v>
      </c>
      <c r="CI170" s="1587">
        <f t="shared" ca="1" si="131"/>
        <v>0</v>
      </c>
      <c r="CL170" s="1212">
        <f t="shared" ca="1" si="132"/>
        <v>0</v>
      </c>
      <c r="CM170" s="1213">
        <f t="shared" ca="1" si="133"/>
        <v>0</v>
      </c>
      <c r="CN170" s="1587">
        <f t="shared" ca="1" si="134"/>
        <v>0</v>
      </c>
    </row>
    <row r="171" spans="1:92">
      <c r="A171" s="141" t="str">
        <f>'銀行-TSS'!A171</f>
        <v>XS2361253607</v>
      </c>
      <c r="B171" s="151" t="str">
        <f ca="1">VLOOKUP(A171,'銀行-TSS'!A:B,2,FALSE)</f>
        <v>XG560</v>
      </c>
      <c r="C171" s="151" t="str">
        <f ca="1">VLOOKUP(B171,bond!B:C,2,FALSE)</f>
        <v>軟銀集團公司美元配息債券  5.25% 2031/7/6</v>
      </c>
      <c r="D171" s="95" t="str">
        <f>VLOOKUP(A171,'銀行-TSS'!A:C,3,FALSE)</f>
        <v>USD</v>
      </c>
      <c r="E171" s="90">
        <f ca="1">VLOOKUP(A171,'銀行-TSS'!A:G,7,FALSE)</f>
        <v>7.01</v>
      </c>
      <c r="F171" s="202">
        <f ca="1">VLOOKUP(A171,'銀行-TSS'!A:H,8,FALSE)</f>
        <v>5.2499999999999998E-2</v>
      </c>
      <c r="G171" s="96">
        <f ca="1">VLOOKUP(A171,'銀行-TSS'!A:K,11,FALSE)</f>
        <v>97.3</v>
      </c>
      <c r="H171" s="1209">
        <f ca="1">VLOOKUP(A171,'銀行-TSS'!A:M,13,FALSE)</f>
        <v>6.1899999999999997E-2</v>
      </c>
      <c r="I171" s="1213">
        <f ca="1">VLOOKUP(A171,'銀行-TSS'!A:N,14,FALSE)</f>
        <v>200000</v>
      </c>
      <c r="J171" s="1213">
        <f ca="1">VLOOKUP(A171,'銀行-TSS'!A:O,15,FALSE)</f>
        <v>1000</v>
      </c>
      <c r="K171" s="136" t="str">
        <f ca="1">VLOOKUP(A171,'銀行-TSS'!A:V,22,FALSE)</f>
        <v>(PI)專投</v>
      </c>
      <c r="L171" s="136" t="str">
        <f ca="1">VLOOKUP(A171,'銀行-TSS'!A:AK,37,FALSE)</f>
        <v>有</v>
      </c>
      <c r="M171" s="136" t="str">
        <f ca="1">VLOOKUP(A171,'銀行-TSS'!A:AN,40,FALSE)</f>
        <v/>
      </c>
      <c r="N171" s="136">
        <f t="shared" ca="1" si="90"/>
        <v>973</v>
      </c>
      <c r="O171" s="1213">
        <f t="shared" ca="1" si="91"/>
        <v>194600</v>
      </c>
      <c r="P171" s="1213">
        <f ca="1">IF(AND($O$1&gt;=O171,換券單檔!$D$13=D171),I171+INT(($O$1-O171)/N171)*J171,0)</f>
        <v>0</v>
      </c>
      <c r="Q171" s="1213">
        <f t="shared" ca="1" si="92"/>
        <v>0</v>
      </c>
      <c r="R171" s="1213">
        <f t="shared" ca="1" si="93"/>
        <v>0</v>
      </c>
      <c r="S171" s="1213">
        <f t="shared" ca="1" si="94"/>
        <v>0</v>
      </c>
      <c r="T171" s="136">
        <f ca="1">IF(OR(R171=0,A171=0),0,IF(AND(V171=TRUE,換券單檔!$D$13=D171),E171,0))</f>
        <v>0</v>
      </c>
      <c r="U171" s="861">
        <f ca="1">IF(OR(R171=0,A171=0),0,IF(AND(V171=TRUE,換券單檔!$D$13=D171),H171,0))</f>
        <v>0</v>
      </c>
      <c r="V171" s="136" t="b">
        <f ca="1">IF(OR(B171=換券單檔!$D$3,L171="無",M171&lt;&gt;"",K171="高資產",IFERROR(MATCH(B171,換券單檔!K:K,0),"N")&lt;&gt;"N"),FALSE,IF($V$1="All",TRUE,IF(K171=$V$1,TRUE,FALSE)))</f>
        <v>1</v>
      </c>
      <c r="W171" s="136">
        <f ca="1">VLOOKUP(A171,'銀行-TSS'!A:AO,41,FALSE)</f>
        <v>92.22</v>
      </c>
      <c r="X171" s="136">
        <f ca="1">VLOOKUP(A171,'銀行-TSS'!A:AP,42,FALSE)</f>
        <v>5.5636999999999999</v>
      </c>
      <c r="Y171" s="1220">
        <f t="shared" ca="1" si="95"/>
        <v>0</v>
      </c>
      <c r="Z171" s="1220">
        <f t="shared" ca="1" si="96"/>
        <v>0</v>
      </c>
      <c r="AA171" s="136">
        <f ca="1">IF(Z171&lt;=0,0,RANK(Z171,Z:Z)+COUNTIF($Z$3:$Z171,Z171)-1)</f>
        <v>0</v>
      </c>
      <c r="AB171" s="1211">
        <f t="shared" ca="1" si="97"/>
        <v>-114896.14</v>
      </c>
      <c r="AC171" s="136">
        <f ca="1">IF(AB171&lt;=0,0,RANK(AB171,AB:AB)+COUNTIF($AB$3:$AB171,AB171)-1)</f>
        <v>0</v>
      </c>
      <c r="AD171" s="1123">
        <f t="shared" ca="1" si="98"/>
        <v>99999</v>
      </c>
      <c r="AE171" s="1123">
        <f ca="1">IF(AD171=99999,0,RANK(AD171,AD:AD,1)+COUNTIF($AD$3:$AD171,AD171)-1)</f>
        <v>0</v>
      </c>
      <c r="AF171" s="86" t="b">
        <f ca="1">IF(OR(M171&lt;&gt;"",L171="無",K171="高資產",IFERROR(MATCH(B171,換券單檔!K:K,0),"N")&lt;&gt;"N"),FALSE,TRUE)</f>
        <v>1</v>
      </c>
      <c r="AI171" s="1212">
        <f t="shared" ca="1" si="99"/>
        <v>0</v>
      </c>
      <c r="AJ171" s="1213">
        <f t="shared" ca="1" si="100"/>
        <v>0</v>
      </c>
      <c r="AK171" s="1587">
        <f t="shared" ca="1" si="101"/>
        <v>0</v>
      </c>
      <c r="AN171" s="1212">
        <f t="shared" ca="1" si="102"/>
        <v>0</v>
      </c>
      <c r="AO171" s="1213">
        <f t="shared" ca="1" si="103"/>
        <v>0</v>
      </c>
      <c r="AP171" s="1587">
        <f t="shared" ca="1" si="104"/>
        <v>0</v>
      </c>
      <c r="AS171" s="1212">
        <f t="shared" ca="1" si="105"/>
        <v>0</v>
      </c>
      <c r="AT171" s="1213">
        <f t="shared" ca="1" si="106"/>
        <v>0</v>
      </c>
      <c r="AU171" s="1587">
        <f t="shared" ca="1" si="107"/>
        <v>0</v>
      </c>
      <c r="AX171" s="1212">
        <f t="shared" ca="1" si="108"/>
        <v>0</v>
      </c>
      <c r="AY171" s="1213">
        <f t="shared" ca="1" si="109"/>
        <v>0</v>
      </c>
      <c r="AZ171" s="1587">
        <f t="shared" ca="1" si="110"/>
        <v>0</v>
      </c>
      <c r="BC171" s="1212">
        <f t="shared" ca="1" si="111"/>
        <v>0</v>
      </c>
      <c r="BD171" s="1213">
        <f t="shared" ca="1" si="112"/>
        <v>0</v>
      </c>
      <c r="BE171" s="1587">
        <f t="shared" ca="1" si="113"/>
        <v>0</v>
      </c>
      <c r="BH171" s="1212">
        <f t="shared" ca="1" si="114"/>
        <v>0</v>
      </c>
      <c r="BI171" s="1213">
        <f t="shared" ca="1" si="115"/>
        <v>0</v>
      </c>
      <c r="BJ171" s="1587">
        <f t="shared" ca="1" si="116"/>
        <v>0</v>
      </c>
      <c r="BM171" s="1212">
        <f t="shared" ca="1" si="117"/>
        <v>0</v>
      </c>
      <c r="BN171" s="1213">
        <f t="shared" ca="1" si="118"/>
        <v>0</v>
      </c>
      <c r="BO171" s="1587">
        <f t="shared" ca="1" si="119"/>
        <v>0</v>
      </c>
      <c r="BR171" s="1212">
        <f t="shared" ca="1" si="120"/>
        <v>0</v>
      </c>
      <c r="BS171" s="1213">
        <f t="shared" ca="1" si="121"/>
        <v>0</v>
      </c>
      <c r="BT171" s="1587">
        <f t="shared" ca="1" si="122"/>
        <v>0</v>
      </c>
      <c r="BW171" s="1212">
        <f t="shared" ca="1" si="123"/>
        <v>0</v>
      </c>
      <c r="BX171" s="1213">
        <f t="shared" ca="1" si="124"/>
        <v>0</v>
      </c>
      <c r="BY171" s="1587">
        <f t="shared" ca="1" si="125"/>
        <v>0</v>
      </c>
      <c r="CB171" s="1212">
        <f t="shared" ca="1" si="126"/>
        <v>0</v>
      </c>
      <c r="CC171" s="1213">
        <f t="shared" ca="1" si="127"/>
        <v>0</v>
      </c>
      <c r="CD171" s="1587">
        <f t="shared" ca="1" si="128"/>
        <v>0</v>
      </c>
      <c r="CG171" s="1212">
        <f t="shared" ca="1" si="129"/>
        <v>0</v>
      </c>
      <c r="CH171" s="1213">
        <f t="shared" ca="1" si="130"/>
        <v>0</v>
      </c>
      <c r="CI171" s="1587">
        <f t="shared" ca="1" si="131"/>
        <v>0</v>
      </c>
      <c r="CL171" s="1212">
        <f t="shared" ca="1" si="132"/>
        <v>0</v>
      </c>
      <c r="CM171" s="1213">
        <f t="shared" ca="1" si="133"/>
        <v>0</v>
      </c>
      <c r="CN171" s="1587">
        <f t="shared" ca="1" si="134"/>
        <v>0</v>
      </c>
    </row>
    <row r="172" spans="1:92">
      <c r="A172" s="141" t="str">
        <f>'銀行-TSS'!A172</f>
        <v>US189754AC88</v>
      </c>
      <c r="B172" s="151" t="str">
        <f ca="1">VLOOKUP(A172,'銀行-TSS'!A:B,2,FALSE)</f>
        <v>XG570</v>
      </c>
      <c r="C172" s="151" t="str">
        <f ca="1">VLOOKUP(B172,bond!B:C,2,FALSE)</f>
        <v>Tapestry公司美元配息債券 4.125% 2027/7/15</v>
      </c>
      <c r="D172" s="95" t="str">
        <f>VLOOKUP(A172,'銀行-TSS'!A:C,3,FALSE)</f>
        <v>USD</v>
      </c>
      <c r="E172" s="90">
        <f ca="1">VLOOKUP(A172,'銀行-TSS'!A:G,7,FALSE)</f>
        <v>3.03</v>
      </c>
      <c r="F172" s="202">
        <f ca="1">VLOOKUP(A172,'銀行-TSS'!A:H,8,FALSE)</f>
        <v>4.1250000000000002E-2</v>
      </c>
      <c r="G172" s="96">
        <f ca="1">VLOOKUP(A172,'銀行-TSS'!A:K,11,FALSE)</f>
        <v>99.48</v>
      </c>
      <c r="H172" s="1209">
        <f ca="1">VLOOKUP(A172,'銀行-TSS'!A:M,13,FALSE)</f>
        <v>0.05</v>
      </c>
      <c r="I172" s="1213">
        <f ca="1">VLOOKUP(A172,'銀行-TSS'!A:N,14,FALSE)</f>
        <v>10000</v>
      </c>
      <c r="J172" s="1213">
        <f ca="1">VLOOKUP(A172,'銀行-TSS'!A:O,15,FALSE)</f>
        <v>1000</v>
      </c>
      <c r="K172" s="136" t="str">
        <f ca="1">VLOOKUP(A172,'銀行-TSS'!A:V,22,FALSE)</f>
        <v>(PI)專投</v>
      </c>
      <c r="L172" s="136" t="str">
        <f ca="1">VLOOKUP(A172,'銀行-TSS'!A:AK,37,FALSE)</f>
        <v>有</v>
      </c>
      <c r="M172" s="136" t="str">
        <f ca="1">VLOOKUP(A172,'銀行-TSS'!A:AN,40,FALSE)</f>
        <v/>
      </c>
      <c r="N172" s="136">
        <f t="shared" ca="1" si="90"/>
        <v>994.8</v>
      </c>
      <c r="O172" s="1213">
        <f t="shared" ca="1" si="91"/>
        <v>9948</v>
      </c>
      <c r="P172" s="1213">
        <f ca="1">IF(AND($O$1&gt;=O172,換券單檔!$D$13=D172),I172+INT(($O$1-O172)/N172)*J172,0)</f>
        <v>97000</v>
      </c>
      <c r="Q172" s="1213">
        <f t="shared" ca="1" si="92"/>
        <v>4001.25</v>
      </c>
      <c r="R172" s="1213">
        <f t="shared" ca="1" si="93"/>
        <v>97000</v>
      </c>
      <c r="S172" s="1213">
        <f t="shared" ca="1" si="94"/>
        <v>4001.25</v>
      </c>
      <c r="T172" s="136">
        <f ca="1">IF(OR(R172=0,A172=0),0,IF(AND(V172=TRUE,換券單檔!$D$13=D172),E172,0))</f>
        <v>3.03</v>
      </c>
      <c r="U172" s="861">
        <f ca="1">IF(OR(R172=0,A172=0),0,IF(AND(V172=TRUE,換券單檔!$D$13=D172),H172,0))</f>
        <v>0.05</v>
      </c>
      <c r="V172" s="136" t="b">
        <f ca="1">IF(OR(B172=換券單檔!$D$3,L172="無",M172&lt;&gt;"",K172="高資產",IFERROR(MATCH(B172,換券單檔!K:K,0),"N")&lt;&gt;"N"),FALSE,IF($V$1="All",TRUE,IF(K172=$V$1,TRUE,FALSE)))</f>
        <v>1</v>
      </c>
      <c r="W172" s="136">
        <f ca="1">VLOOKUP(A172,'銀行-TSS'!A:AO,41,FALSE)</f>
        <v>96.37</v>
      </c>
      <c r="X172" s="136">
        <f ca="1">VLOOKUP(A172,'銀行-TSS'!A:AP,42,FALSE)</f>
        <v>2.7524000000000002</v>
      </c>
      <c r="Y172" s="1220">
        <f t="shared" ca="1" si="95"/>
        <v>2572.9132436</v>
      </c>
      <c r="Z172" s="1220">
        <f ca="1">IF(A172=0,0,IF(V172=FALSE,0,IF(OR(Q172&lt;$Y$1,E172&lt;5)=FALSE,((Q172-$Q$1)*MIN(3,E172)*(1-MIN(1/(2*E172),1))+IF((P172-$P$1)&lt;0,(P172-$P$1)*2,(P172-$P$1)*MIN(1/(2*E172),1))),0)))</f>
        <v>0</v>
      </c>
      <c r="AA172" s="136">
        <f ca="1">IF(Z172&lt;=0,0,RANK(Z172,Z:Z)+COUNTIF($Z$3:$Z172,Z172)-1)</f>
        <v>0</v>
      </c>
      <c r="AB172" s="1211">
        <f t="shared" ca="1" si="97"/>
        <v>-15323.226756399999</v>
      </c>
      <c r="AC172" s="136">
        <f ca="1">IF(AB172&lt;=0,0,RANK(AB172,AB:AB)+COUNTIF($AB$3:$AB172,AB172)-1)</f>
        <v>0</v>
      </c>
      <c r="AD172" s="1123">
        <f t="shared" ca="1" si="98"/>
        <v>99999</v>
      </c>
      <c r="AE172" s="1123">
        <f ca="1">IF(AD172=99999,0,RANK(AD172,AD:AD,1)+COUNTIF($AD$3:$AD172,AD172)-1)</f>
        <v>0</v>
      </c>
      <c r="AF172" s="86" t="b">
        <f ca="1">IF(OR(M172&lt;&gt;"",L172="無",K172="高資產",IFERROR(MATCH(B172,換券單檔!K:K,0),"N")&lt;&gt;"N"),FALSE,TRUE)</f>
        <v>1</v>
      </c>
      <c r="AI172" s="1212">
        <f t="shared" ca="1" si="99"/>
        <v>97000</v>
      </c>
      <c r="AJ172" s="1213">
        <f t="shared" ca="1" si="100"/>
        <v>4001.25</v>
      </c>
      <c r="AK172" s="1587">
        <f t="shared" ca="1" si="101"/>
        <v>0</v>
      </c>
      <c r="AN172" s="1212">
        <f t="shared" ca="1" si="102"/>
        <v>55000</v>
      </c>
      <c r="AO172" s="1213">
        <f t="shared" ca="1" si="103"/>
        <v>2268.75</v>
      </c>
      <c r="AP172" s="1587">
        <f t="shared" ca="1" si="104"/>
        <v>0</v>
      </c>
      <c r="AS172" s="1212">
        <f t="shared" ca="1" si="105"/>
        <v>95000</v>
      </c>
      <c r="AT172" s="1213">
        <f t="shared" ca="1" si="106"/>
        <v>3918.75</v>
      </c>
      <c r="AU172" s="1587">
        <f t="shared" ca="1" si="107"/>
        <v>0</v>
      </c>
      <c r="AX172" s="1212">
        <f t="shared" ca="1" si="108"/>
        <v>87000</v>
      </c>
      <c r="AY172" s="1213">
        <f t="shared" ca="1" si="109"/>
        <v>3588.75</v>
      </c>
      <c r="AZ172" s="1587">
        <f t="shared" ca="1" si="110"/>
        <v>0</v>
      </c>
      <c r="BC172" s="1212">
        <f t="shared" ca="1" si="111"/>
        <v>0</v>
      </c>
      <c r="BD172" s="1213">
        <f t="shared" ca="1" si="112"/>
        <v>0</v>
      </c>
      <c r="BE172" s="1587">
        <f t="shared" ca="1" si="113"/>
        <v>0</v>
      </c>
      <c r="BH172" s="1212">
        <f t="shared" ca="1" si="114"/>
        <v>0</v>
      </c>
      <c r="BI172" s="1213">
        <f t="shared" ca="1" si="115"/>
        <v>0</v>
      </c>
      <c r="BJ172" s="1587">
        <f t="shared" ca="1" si="116"/>
        <v>0</v>
      </c>
      <c r="BM172" s="1212">
        <f t="shared" ca="1" si="117"/>
        <v>0</v>
      </c>
      <c r="BN172" s="1213">
        <f t="shared" ca="1" si="118"/>
        <v>0</v>
      </c>
      <c r="BO172" s="1587">
        <f t="shared" ca="1" si="119"/>
        <v>0</v>
      </c>
      <c r="BR172" s="1212">
        <f t="shared" ca="1" si="120"/>
        <v>0</v>
      </c>
      <c r="BS172" s="1213">
        <f t="shared" ca="1" si="121"/>
        <v>0</v>
      </c>
      <c r="BT172" s="1587">
        <f t="shared" ca="1" si="122"/>
        <v>0</v>
      </c>
      <c r="BW172" s="1212">
        <f t="shared" ca="1" si="123"/>
        <v>0</v>
      </c>
      <c r="BX172" s="1213">
        <f t="shared" ca="1" si="124"/>
        <v>0</v>
      </c>
      <c r="BY172" s="1587">
        <f t="shared" ca="1" si="125"/>
        <v>0</v>
      </c>
      <c r="CB172" s="1212">
        <f t="shared" ca="1" si="126"/>
        <v>0</v>
      </c>
      <c r="CC172" s="1213">
        <f t="shared" ca="1" si="127"/>
        <v>0</v>
      </c>
      <c r="CD172" s="1587">
        <f t="shared" ca="1" si="128"/>
        <v>0</v>
      </c>
      <c r="CG172" s="1212">
        <f t="shared" ca="1" si="129"/>
        <v>0</v>
      </c>
      <c r="CH172" s="1213">
        <f t="shared" ca="1" si="130"/>
        <v>0</v>
      </c>
      <c r="CI172" s="1587">
        <f t="shared" ca="1" si="131"/>
        <v>0</v>
      </c>
      <c r="CL172" s="1212">
        <f t="shared" ca="1" si="132"/>
        <v>0</v>
      </c>
      <c r="CM172" s="1213">
        <f t="shared" ca="1" si="133"/>
        <v>0</v>
      </c>
      <c r="CN172" s="1587">
        <f t="shared" ca="1" si="134"/>
        <v>0</v>
      </c>
    </row>
    <row r="173" spans="1:92">
      <c r="A173" s="141" t="str">
        <f>'銀行-TSS'!A173</f>
        <v>US345397B694</v>
      </c>
      <c r="B173" s="151" t="str">
        <f ca="1">VLOOKUP(A173,'銀行-TSS'!A:B,2,FALSE)</f>
        <v>XG580</v>
      </c>
      <c r="C173" s="151" t="str">
        <f ca="1">VLOOKUP(B173,bond!B:C,2,FALSE)</f>
        <v>福特汽車信用有限責任公司美元配息債券  3.625% 2031/6/17</v>
      </c>
      <c r="D173" s="95" t="str">
        <f>VLOOKUP(A173,'銀行-TSS'!A:C,3,FALSE)</f>
        <v>USD</v>
      </c>
      <c r="E173" s="90">
        <f ca="1">VLOOKUP(A173,'銀行-TSS'!A:G,7,FALSE)</f>
        <v>6.96</v>
      </c>
      <c r="F173" s="202">
        <f ca="1">VLOOKUP(A173,'銀行-TSS'!A:H,8,FALSE)</f>
        <v>3.6249999999999998E-2</v>
      </c>
      <c r="G173" s="96">
        <f ca="1">VLOOKUP(A173,'銀行-TSS'!A:K,11,FALSE)</f>
        <v>89.42</v>
      </c>
      <c r="H173" s="1209">
        <f ca="1">VLOOKUP(A173,'銀行-TSS'!A:M,13,FALSE)</f>
        <v>5.5E-2</v>
      </c>
      <c r="I173" s="1213">
        <f ca="1">VLOOKUP(A173,'銀行-TSS'!A:N,14,FALSE)</f>
        <v>200000</v>
      </c>
      <c r="J173" s="1213">
        <f ca="1">VLOOKUP(A173,'銀行-TSS'!A:O,15,FALSE)</f>
        <v>1000</v>
      </c>
      <c r="K173" s="136" t="str">
        <f ca="1">VLOOKUP(A173,'銀行-TSS'!A:V,22,FALSE)</f>
        <v>(PI)專投</v>
      </c>
      <c r="L173" s="136" t="str">
        <f ca="1">VLOOKUP(A173,'銀行-TSS'!A:AK,37,FALSE)</f>
        <v>有</v>
      </c>
      <c r="M173" s="136" t="str">
        <f ca="1">VLOOKUP(A173,'銀行-TSS'!A:AN,40,FALSE)</f>
        <v/>
      </c>
      <c r="N173" s="136">
        <f t="shared" ca="1" si="90"/>
        <v>894.2</v>
      </c>
      <c r="O173" s="1213">
        <f t="shared" ca="1" si="91"/>
        <v>178840</v>
      </c>
      <c r="P173" s="1213">
        <f ca="1">IF(AND($O$1&gt;=O173,換券單檔!$D$13=D173),I173+INT(($O$1-O173)/N173)*J173,0)</f>
        <v>0</v>
      </c>
      <c r="Q173" s="1213">
        <f t="shared" ca="1" si="92"/>
        <v>0</v>
      </c>
      <c r="R173" s="1213">
        <f t="shared" ca="1" si="93"/>
        <v>0</v>
      </c>
      <c r="S173" s="1213">
        <f t="shared" ca="1" si="94"/>
        <v>0</v>
      </c>
      <c r="T173" s="136">
        <f ca="1">IF(OR(R173=0,A173=0),0,IF(AND(V173=TRUE,換券單檔!$D$13=D173),E173,0))</f>
        <v>0</v>
      </c>
      <c r="U173" s="861">
        <f ca="1">IF(OR(R173=0,A173=0),0,IF(AND(V173=TRUE,換券單檔!$D$13=D173),H173,0))</f>
        <v>0</v>
      </c>
      <c r="V173" s="136" t="b">
        <f ca="1">IF(OR(B173=換券單檔!$D$3,L173="無",M173&lt;&gt;"",K173="高資產",IFERROR(MATCH(B173,換券單檔!K:K,0),"N")&lt;&gt;"N"),FALSE,IF($V$1="All",TRUE,IF(K173=$V$1,TRUE,FALSE)))</f>
        <v>1</v>
      </c>
      <c r="W173" s="136">
        <f ca="1">VLOOKUP(A173,'銀行-TSS'!A:AO,41,FALSE)</f>
        <v>86.77000000000001</v>
      </c>
      <c r="X173" s="136">
        <f ca="1">VLOOKUP(A173,'銀行-TSS'!A:AP,42,FALSE)</f>
        <v>5.9612999999999996</v>
      </c>
      <c r="Y173" s="1220">
        <f t="shared" ca="1" si="95"/>
        <v>0</v>
      </c>
      <c r="Z173" s="1220">
        <f t="shared" ca="1" si="96"/>
        <v>0</v>
      </c>
      <c r="AA173" s="136">
        <f ca="1">IF(Z173&lt;=0,0,RANK(Z173,Z:Z)+COUNTIF($Z$3:$Z173,Z173)-1)</f>
        <v>0</v>
      </c>
      <c r="AB173" s="1211">
        <f t="shared" ca="1" si="97"/>
        <v>-114896.14</v>
      </c>
      <c r="AC173" s="136">
        <f ca="1">IF(AB173&lt;=0,0,RANK(AB173,AB:AB)+COUNTIF($AB$3:$AB173,AB173)-1)</f>
        <v>0</v>
      </c>
      <c r="AD173" s="1123">
        <f t="shared" ca="1" si="98"/>
        <v>99999</v>
      </c>
      <c r="AE173" s="1123">
        <f ca="1">IF(AD173=99999,0,RANK(AD173,AD:AD,1)+COUNTIF($AD$3:$AD173,AD173)-1)</f>
        <v>0</v>
      </c>
      <c r="AF173" s="86" t="b">
        <f ca="1">IF(OR(M173&lt;&gt;"",L173="無",K173="高資產",IFERROR(MATCH(B173,換券單檔!K:K,0),"N")&lt;&gt;"N"),FALSE,TRUE)</f>
        <v>1</v>
      </c>
      <c r="AI173" s="1212">
        <f t="shared" ca="1" si="99"/>
        <v>0</v>
      </c>
      <c r="AJ173" s="1213">
        <f t="shared" ca="1" si="100"/>
        <v>0</v>
      </c>
      <c r="AK173" s="1587">
        <f t="shared" ca="1" si="101"/>
        <v>0</v>
      </c>
      <c r="AN173" s="1212">
        <f t="shared" ca="1" si="102"/>
        <v>0</v>
      </c>
      <c r="AO173" s="1213">
        <f t="shared" ca="1" si="103"/>
        <v>0</v>
      </c>
      <c r="AP173" s="1587">
        <f t="shared" ca="1" si="104"/>
        <v>0</v>
      </c>
      <c r="AS173" s="1212">
        <f t="shared" ca="1" si="105"/>
        <v>0</v>
      </c>
      <c r="AT173" s="1213">
        <f t="shared" ca="1" si="106"/>
        <v>0</v>
      </c>
      <c r="AU173" s="1587">
        <f t="shared" ca="1" si="107"/>
        <v>0</v>
      </c>
      <c r="AX173" s="1212">
        <f t="shared" ca="1" si="108"/>
        <v>0</v>
      </c>
      <c r="AY173" s="1213">
        <f t="shared" ca="1" si="109"/>
        <v>0</v>
      </c>
      <c r="AZ173" s="1587">
        <f t="shared" ca="1" si="110"/>
        <v>0</v>
      </c>
      <c r="BC173" s="1212">
        <f t="shared" ca="1" si="111"/>
        <v>0</v>
      </c>
      <c r="BD173" s="1213">
        <f t="shared" ca="1" si="112"/>
        <v>0</v>
      </c>
      <c r="BE173" s="1587">
        <f t="shared" ca="1" si="113"/>
        <v>0</v>
      </c>
      <c r="BH173" s="1212">
        <f t="shared" ca="1" si="114"/>
        <v>0</v>
      </c>
      <c r="BI173" s="1213">
        <f t="shared" ca="1" si="115"/>
        <v>0</v>
      </c>
      <c r="BJ173" s="1587">
        <f t="shared" ca="1" si="116"/>
        <v>0</v>
      </c>
      <c r="BM173" s="1212">
        <f t="shared" ca="1" si="117"/>
        <v>0</v>
      </c>
      <c r="BN173" s="1213">
        <f t="shared" ca="1" si="118"/>
        <v>0</v>
      </c>
      <c r="BO173" s="1587">
        <f t="shared" ca="1" si="119"/>
        <v>0</v>
      </c>
      <c r="BR173" s="1212">
        <f t="shared" ca="1" si="120"/>
        <v>0</v>
      </c>
      <c r="BS173" s="1213">
        <f t="shared" ca="1" si="121"/>
        <v>0</v>
      </c>
      <c r="BT173" s="1587">
        <f t="shared" ca="1" si="122"/>
        <v>0</v>
      </c>
      <c r="BW173" s="1212">
        <f t="shared" ca="1" si="123"/>
        <v>0</v>
      </c>
      <c r="BX173" s="1213">
        <f t="shared" ca="1" si="124"/>
        <v>0</v>
      </c>
      <c r="BY173" s="1587">
        <f t="shared" ca="1" si="125"/>
        <v>0</v>
      </c>
      <c r="CB173" s="1212">
        <f t="shared" ca="1" si="126"/>
        <v>0</v>
      </c>
      <c r="CC173" s="1213">
        <f t="shared" ca="1" si="127"/>
        <v>0</v>
      </c>
      <c r="CD173" s="1587">
        <f t="shared" ca="1" si="128"/>
        <v>0</v>
      </c>
      <c r="CG173" s="1212">
        <f t="shared" ca="1" si="129"/>
        <v>0</v>
      </c>
      <c r="CH173" s="1213">
        <f t="shared" ca="1" si="130"/>
        <v>0</v>
      </c>
      <c r="CI173" s="1587">
        <f t="shared" ca="1" si="131"/>
        <v>0</v>
      </c>
      <c r="CL173" s="1212">
        <f t="shared" ca="1" si="132"/>
        <v>0</v>
      </c>
      <c r="CM173" s="1213">
        <f t="shared" ca="1" si="133"/>
        <v>0</v>
      </c>
      <c r="CN173" s="1587">
        <f t="shared" ca="1" si="134"/>
        <v>0</v>
      </c>
    </row>
    <row r="174" spans="1:92">
      <c r="A174" s="141" t="str">
        <f>'銀行-TSS'!A174</f>
        <v>US105756BW95</v>
      </c>
      <c r="B174" s="151" t="str">
        <f ca="1">VLOOKUP(A174,'銀行-TSS'!A:B,2,FALSE)</f>
        <v>XG590</v>
      </c>
      <c r="C174" s="151" t="str">
        <f ca="1">VLOOKUP(B174,bond!B:C,2,FALSE)</f>
        <v>巴西政府公債美元配息債券 5% 2045/1/27</v>
      </c>
      <c r="D174" s="95" t="str">
        <f>VLOOKUP(A174,'銀行-TSS'!A:C,3,FALSE)</f>
        <v>USD</v>
      </c>
      <c r="E174" s="90">
        <f ca="1">VLOOKUP(A174,'銀行-TSS'!A:G,7,FALSE)</f>
        <v>20.57</v>
      </c>
      <c r="F174" s="202">
        <f ca="1">VLOOKUP(A174,'銀行-TSS'!A:H,8,FALSE)</f>
        <v>0.05</v>
      </c>
      <c r="G174" s="96">
        <f ca="1">VLOOKUP(A174,'銀行-TSS'!A:K,11,FALSE)</f>
        <v>83.27</v>
      </c>
      <c r="H174" s="1209">
        <f ca="1">VLOOKUP(A174,'銀行-TSS'!A:M,13,FALSE)</f>
        <v>6.7000000000000004E-2</v>
      </c>
      <c r="I174" s="1213">
        <f ca="1">VLOOKUP(A174,'銀行-TSS'!A:N,14,FALSE)</f>
        <v>200000</v>
      </c>
      <c r="J174" s="1213">
        <f ca="1">VLOOKUP(A174,'銀行-TSS'!A:O,15,FALSE)</f>
        <v>1000</v>
      </c>
      <c r="K174" s="136" t="str">
        <f ca="1">VLOOKUP(A174,'銀行-TSS'!A:V,22,FALSE)</f>
        <v>高資產</v>
      </c>
      <c r="L174" s="136" t="str">
        <f ca="1">VLOOKUP(A174,'銀行-TSS'!A:AK,37,FALSE)</f>
        <v>有</v>
      </c>
      <c r="M174" s="136" t="str">
        <f ca="1">VLOOKUP(A174,'銀行-TSS'!A:AN,40,FALSE)</f>
        <v/>
      </c>
      <c r="N174" s="136">
        <f t="shared" ca="1" si="90"/>
        <v>832.7</v>
      </c>
      <c r="O174" s="1213">
        <f t="shared" ca="1" si="91"/>
        <v>166540</v>
      </c>
      <c r="P174" s="1213">
        <f ca="1">IF(AND($O$1&gt;=O174,換券單檔!$D$13=D174),I174+INT(($O$1-O174)/N174)*J174,0)</f>
        <v>0</v>
      </c>
      <c r="Q174" s="1213">
        <f t="shared" ca="1" si="92"/>
        <v>0</v>
      </c>
      <c r="R174" s="1213">
        <f t="shared" ca="1" si="93"/>
        <v>0</v>
      </c>
      <c r="S174" s="1213">
        <f t="shared" ca="1" si="94"/>
        <v>0</v>
      </c>
      <c r="T174" s="136">
        <f ca="1">IF(OR(R174=0,A174=0),0,IF(AND(V174=TRUE,換券單檔!$D$13=D174),E174,0))</f>
        <v>0</v>
      </c>
      <c r="U174" s="861">
        <f ca="1">IF(OR(R174=0,A174=0),0,IF(AND(V174=TRUE,換券單檔!$D$13=D174),H174,0))</f>
        <v>0</v>
      </c>
      <c r="V174" s="136" t="b">
        <f ca="1">IF(OR(B174=換券單檔!$D$3,L174="無",M174&lt;&gt;"",K174="高資產",IFERROR(MATCH(B174,換券單檔!K:K,0),"N")&lt;&gt;"N"),FALSE,IF($V$1="All",TRUE,IF(K174=$V$1,TRUE,FALSE)))</f>
        <v>0</v>
      </c>
      <c r="W174" s="136">
        <f ca="1">VLOOKUP(A174,'銀行-TSS'!A:AO,41,FALSE)</f>
        <v>78.12</v>
      </c>
      <c r="X174" s="136">
        <f ca="1">VLOOKUP(A174,'銀行-TSS'!A:AP,42,FALSE)</f>
        <v>11.356199999999999</v>
      </c>
      <c r="Y174" s="1220">
        <f t="shared" ca="1" si="95"/>
        <v>0</v>
      </c>
      <c r="Z174" s="1220">
        <f t="shared" ca="1" si="96"/>
        <v>0</v>
      </c>
      <c r="AA174" s="136">
        <f ca="1">IF(Z174&lt;=0,0,RANK(Z174,Z:Z)+COUNTIF($Z$3:$Z174,Z174)-1)</f>
        <v>0</v>
      </c>
      <c r="AB174" s="1211">
        <f t="shared" ca="1" si="97"/>
        <v>-14896.14</v>
      </c>
      <c r="AC174" s="136">
        <f ca="1">IF(AB174&lt;=0,0,RANK(AB174,AB:AB)+COUNTIF($AB$3:$AB174,AB174)-1)</f>
        <v>0</v>
      </c>
      <c r="AD174" s="1123">
        <f t="shared" ca="1" si="98"/>
        <v>99999</v>
      </c>
      <c r="AE174" s="1123">
        <f ca="1">IF(AD174=99999,0,RANK(AD174,AD:AD,1)+COUNTIF($AD$3:$AD174,AD174)-1)</f>
        <v>0</v>
      </c>
      <c r="AF174" s="86" t="b">
        <f ca="1">IF(OR(M174&lt;&gt;"",L174="無",K174="高資產",IFERROR(MATCH(B174,換券單檔!K:K,0),"N")&lt;&gt;"N"),FALSE,TRUE)</f>
        <v>0</v>
      </c>
      <c r="AI174" s="1212">
        <f t="shared" ca="1" si="99"/>
        <v>0</v>
      </c>
      <c r="AJ174" s="1213">
        <f t="shared" ca="1" si="100"/>
        <v>0</v>
      </c>
      <c r="AK174" s="1587">
        <f t="shared" ca="1" si="101"/>
        <v>0</v>
      </c>
      <c r="AN174" s="1212">
        <f t="shared" ca="1" si="102"/>
        <v>0</v>
      </c>
      <c r="AO174" s="1213">
        <f t="shared" ca="1" si="103"/>
        <v>0</v>
      </c>
      <c r="AP174" s="1587">
        <f t="shared" ca="1" si="104"/>
        <v>0</v>
      </c>
      <c r="AS174" s="1212">
        <f t="shared" ca="1" si="105"/>
        <v>0</v>
      </c>
      <c r="AT174" s="1213">
        <f t="shared" ca="1" si="106"/>
        <v>0</v>
      </c>
      <c r="AU174" s="1587">
        <f t="shared" ca="1" si="107"/>
        <v>0</v>
      </c>
      <c r="AX174" s="1212">
        <f t="shared" ca="1" si="108"/>
        <v>0</v>
      </c>
      <c r="AY174" s="1213">
        <f t="shared" ca="1" si="109"/>
        <v>0</v>
      </c>
      <c r="AZ174" s="1587">
        <f t="shared" ca="1" si="110"/>
        <v>0</v>
      </c>
      <c r="BC174" s="1212">
        <f t="shared" ca="1" si="111"/>
        <v>0</v>
      </c>
      <c r="BD174" s="1213">
        <f t="shared" ca="1" si="112"/>
        <v>0</v>
      </c>
      <c r="BE174" s="1587">
        <f t="shared" ca="1" si="113"/>
        <v>0</v>
      </c>
      <c r="BH174" s="1212">
        <f t="shared" ca="1" si="114"/>
        <v>0</v>
      </c>
      <c r="BI174" s="1213">
        <f t="shared" ca="1" si="115"/>
        <v>0</v>
      </c>
      <c r="BJ174" s="1587">
        <f t="shared" ca="1" si="116"/>
        <v>0</v>
      </c>
      <c r="BM174" s="1212">
        <f t="shared" ca="1" si="117"/>
        <v>0</v>
      </c>
      <c r="BN174" s="1213">
        <f t="shared" ca="1" si="118"/>
        <v>0</v>
      </c>
      <c r="BO174" s="1587">
        <f t="shared" ca="1" si="119"/>
        <v>0</v>
      </c>
      <c r="BR174" s="1212">
        <f t="shared" ca="1" si="120"/>
        <v>0</v>
      </c>
      <c r="BS174" s="1213">
        <f t="shared" ca="1" si="121"/>
        <v>0</v>
      </c>
      <c r="BT174" s="1587">
        <f t="shared" ca="1" si="122"/>
        <v>0</v>
      </c>
      <c r="BW174" s="1212">
        <f t="shared" ca="1" si="123"/>
        <v>0</v>
      </c>
      <c r="BX174" s="1213">
        <f t="shared" ca="1" si="124"/>
        <v>0</v>
      </c>
      <c r="BY174" s="1587">
        <f t="shared" ca="1" si="125"/>
        <v>0</v>
      </c>
      <c r="CB174" s="1212">
        <f t="shared" ca="1" si="126"/>
        <v>0</v>
      </c>
      <c r="CC174" s="1213">
        <f t="shared" ca="1" si="127"/>
        <v>0</v>
      </c>
      <c r="CD174" s="1587">
        <f t="shared" ca="1" si="128"/>
        <v>0</v>
      </c>
      <c r="CG174" s="1212">
        <f t="shared" ca="1" si="129"/>
        <v>0</v>
      </c>
      <c r="CH174" s="1213">
        <f t="shared" ca="1" si="130"/>
        <v>0</v>
      </c>
      <c r="CI174" s="1587">
        <f t="shared" ca="1" si="131"/>
        <v>0</v>
      </c>
      <c r="CL174" s="1212">
        <f t="shared" ca="1" si="132"/>
        <v>0</v>
      </c>
      <c r="CM174" s="1213">
        <f t="shared" ca="1" si="133"/>
        <v>0</v>
      </c>
      <c r="CN174" s="1587">
        <f t="shared" ca="1" si="134"/>
        <v>0</v>
      </c>
    </row>
    <row r="175" spans="1:92">
      <c r="A175" s="141" t="str">
        <f>'銀行-TSS'!A175</f>
        <v>US900123DC14</v>
      </c>
      <c r="B175" s="151" t="str">
        <f ca="1">VLOOKUP(A175,'銀行-TSS'!A:B,2,FALSE)</f>
        <v>XG600</v>
      </c>
      <c r="C175" s="151" t="str">
        <f ca="1">VLOOKUP(B175,bond!B:C,2,FALSE)</f>
        <v>土耳其政府國際債券美元配息債券 5.875% 2031/6/26</v>
      </c>
      <c r="D175" s="95" t="str">
        <f>VLOOKUP(A175,'銀行-TSS'!A:C,3,FALSE)</f>
        <v>USD</v>
      </c>
      <c r="E175" s="90">
        <f ca="1">VLOOKUP(A175,'銀行-TSS'!A:G,7,FALSE)</f>
        <v>6.98</v>
      </c>
      <c r="F175" s="202">
        <f ca="1">VLOOKUP(A175,'銀行-TSS'!A:H,8,FALSE)</f>
        <v>5.8749999999999997E-2</v>
      </c>
      <c r="G175" s="96">
        <f ca="1">VLOOKUP(A175,'銀行-TSS'!A:K,11,FALSE)</f>
        <v>95.67</v>
      </c>
      <c r="H175" s="1209">
        <f ca="1">VLOOKUP(A175,'銀行-TSS'!A:M,13,FALSE)</f>
        <v>6.6799999999999998E-2</v>
      </c>
      <c r="I175" s="1213">
        <f ca="1">VLOOKUP(A175,'銀行-TSS'!A:N,14,FALSE)</f>
        <v>200000</v>
      </c>
      <c r="J175" s="1213">
        <f ca="1">VLOOKUP(A175,'銀行-TSS'!A:O,15,FALSE)</f>
        <v>1000</v>
      </c>
      <c r="K175" s="136" t="str">
        <f ca="1">VLOOKUP(A175,'銀行-TSS'!A:V,22,FALSE)</f>
        <v>高資產</v>
      </c>
      <c r="L175" s="136" t="str">
        <f ca="1">VLOOKUP(A175,'銀行-TSS'!A:AK,37,FALSE)</f>
        <v>有</v>
      </c>
      <c r="M175" s="136" t="str">
        <f ca="1">VLOOKUP(A175,'銀行-TSS'!A:AN,40,FALSE)</f>
        <v/>
      </c>
      <c r="N175" s="136">
        <f t="shared" ca="1" si="90"/>
        <v>956.7</v>
      </c>
      <c r="O175" s="1213">
        <f t="shared" ca="1" si="91"/>
        <v>191340</v>
      </c>
      <c r="P175" s="1213">
        <f ca="1">IF(AND($O$1&gt;=O175,換券單檔!$D$13=D175),I175+INT(($O$1-O175)/N175)*J175,0)</f>
        <v>0</v>
      </c>
      <c r="Q175" s="1213">
        <f t="shared" ca="1" si="92"/>
        <v>0</v>
      </c>
      <c r="R175" s="1213">
        <f t="shared" ca="1" si="93"/>
        <v>0</v>
      </c>
      <c r="S175" s="1213">
        <f t="shared" ca="1" si="94"/>
        <v>0</v>
      </c>
      <c r="T175" s="136">
        <f ca="1">IF(OR(R175=0,A175=0),0,IF(AND(V175=TRUE,換券單檔!$D$13=D175),E175,0))</f>
        <v>0</v>
      </c>
      <c r="U175" s="861">
        <f ca="1">IF(OR(R175=0,A175=0),0,IF(AND(V175=TRUE,換券單檔!$D$13=D175),H175,0))</f>
        <v>0</v>
      </c>
      <c r="V175" s="136" t="b">
        <f ca="1">IF(OR(B175=換券單檔!$D$3,L175="無",M175&lt;&gt;"",K175="高資產",IFERROR(MATCH(B175,換券單檔!K:K,0),"N")&lt;&gt;"N"),FALSE,IF($V$1="All",TRUE,IF(K175=$V$1,TRUE,FALSE)))</f>
        <v>0</v>
      </c>
      <c r="W175" s="136">
        <f ca="1">VLOOKUP(A175,'銀行-TSS'!A:AO,41,FALSE)</f>
        <v>93.070000000000007</v>
      </c>
      <c r="X175" s="136">
        <f ca="1">VLOOKUP(A175,'銀行-TSS'!A:AP,42,FALSE)</f>
        <v>5.5795000000000003</v>
      </c>
      <c r="Y175" s="1220">
        <f t="shared" ca="1" si="95"/>
        <v>0</v>
      </c>
      <c r="Z175" s="1220">
        <f t="shared" ca="1" si="96"/>
        <v>0</v>
      </c>
      <c r="AA175" s="136">
        <f ca="1">IF(Z175&lt;=0,0,RANK(Z175,Z:Z)+COUNTIF($Z$3:$Z175,Z175)-1)</f>
        <v>0</v>
      </c>
      <c r="AB175" s="1211">
        <f t="shared" ca="1" si="97"/>
        <v>-14896.14</v>
      </c>
      <c r="AC175" s="136">
        <f ca="1">IF(AB175&lt;=0,0,RANK(AB175,AB:AB)+COUNTIF($AB$3:$AB175,AB175)-1)</f>
        <v>0</v>
      </c>
      <c r="AD175" s="1123">
        <f t="shared" ca="1" si="98"/>
        <v>99999</v>
      </c>
      <c r="AE175" s="1123">
        <f ca="1">IF(AD175=99999,0,RANK(AD175,AD:AD,1)+COUNTIF($AD$3:$AD175,AD175)-1)</f>
        <v>0</v>
      </c>
      <c r="AF175" s="86" t="b">
        <f ca="1">IF(OR(M175&lt;&gt;"",L175="無",K175="高資產",IFERROR(MATCH(B175,換券單檔!K:K,0),"N")&lt;&gt;"N"),FALSE,TRUE)</f>
        <v>0</v>
      </c>
      <c r="AI175" s="1212">
        <f t="shared" ca="1" si="99"/>
        <v>0</v>
      </c>
      <c r="AJ175" s="1213">
        <f t="shared" ca="1" si="100"/>
        <v>0</v>
      </c>
      <c r="AK175" s="1587">
        <f t="shared" ca="1" si="101"/>
        <v>0</v>
      </c>
      <c r="AN175" s="1212">
        <f t="shared" ca="1" si="102"/>
        <v>0</v>
      </c>
      <c r="AO175" s="1213">
        <f t="shared" ca="1" si="103"/>
        <v>0</v>
      </c>
      <c r="AP175" s="1587">
        <f t="shared" ca="1" si="104"/>
        <v>0</v>
      </c>
      <c r="AS175" s="1212">
        <f t="shared" ca="1" si="105"/>
        <v>0</v>
      </c>
      <c r="AT175" s="1213">
        <f t="shared" ca="1" si="106"/>
        <v>0</v>
      </c>
      <c r="AU175" s="1587">
        <f t="shared" ca="1" si="107"/>
        <v>0</v>
      </c>
      <c r="AX175" s="1212">
        <f t="shared" ca="1" si="108"/>
        <v>0</v>
      </c>
      <c r="AY175" s="1213">
        <f t="shared" ca="1" si="109"/>
        <v>0</v>
      </c>
      <c r="AZ175" s="1587">
        <f t="shared" ca="1" si="110"/>
        <v>0</v>
      </c>
      <c r="BC175" s="1212">
        <f t="shared" ca="1" si="111"/>
        <v>0</v>
      </c>
      <c r="BD175" s="1213">
        <f t="shared" ca="1" si="112"/>
        <v>0</v>
      </c>
      <c r="BE175" s="1587">
        <f t="shared" ca="1" si="113"/>
        <v>0</v>
      </c>
      <c r="BH175" s="1212">
        <f t="shared" ca="1" si="114"/>
        <v>0</v>
      </c>
      <c r="BI175" s="1213">
        <f t="shared" ca="1" si="115"/>
        <v>0</v>
      </c>
      <c r="BJ175" s="1587">
        <f t="shared" ca="1" si="116"/>
        <v>0</v>
      </c>
      <c r="BM175" s="1212">
        <f t="shared" ca="1" si="117"/>
        <v>0</v>
      </c>
      <c r="BN175" s="1213">
        <f t="shared" ca="1" si="118"/>
        <v>0</v>
      </c>
      <c r="BO175" s="1587">
        <f t="shared" ca="1" si="119"/>
        <v>0</v>
      </c>
      <c r="BR175" s="1212">
        <f t="shared" ca="1" si="120"/>
        <v>0</v>
      </c>
      <c r="BS175" s="1213">
        <f t="shared" ca="1" si="121"/>
        <v>0</v>
      </c>
      <c r="BT175" s="1587">
        <f t="shared" ca="1" si="122"/>
        <v>0</v>
      </c>
      <c r="BW175" s="1212">
        <f t="shared" ca="1" si="123"/>
        <v>0</v>
      </c>
      <c r="BX175" s="1213">
        <f t="shared" ca="1" si="124"/>
        <v>0</v>
      </c>
      <c r="BY175" s="1587">
        <f t="shared" ca="1" si="125"/>
        <v>0</v>
      </c>
      <c r="CB175" s="1212">
        <f t="shared" ca="1" si="126"/>
        <v>0</v>
      </c>
      <c r="CC175" s="1213">
        <f t="shared" ca="1" si="127"/>
        <v>0</v>
      </c>
      <c r="CD175" s="1587">
        <f t="shared" ca="1" si="128"/>
        <v>0</v>
      </c>
      <c r="CG175" s="1212">
        <f t="shared" ca="1" si="129"/>
        <v>0</v>
      </c>
      <c r="CH175" s="1213">
        <f t="shared" ca="1" si="130"/>
        <v>0</v>
      </c>
      <c r="CI175" s="1587">
        <f t="shared" ca="1" si="131"/>
        <v>0</v>
      </c>
      <c r="CL175" s="1212">
        <f t="shared" ca="1" si="132"/>
        <v>0</v>
      </c>
      <c r="CM175" s="1213">
        <f t="shared" ca="1" si="133"/>
        <v>0</v>
      </c>
      <c r="CN175" s="1587">
        <f t="shared" ca="1" si="134"/>
        <v>0</v>
      </c>
    </row>
    <row r="176" spans="1:92">
      <c r="A176" s="141" t="str">
        <f>'銀行-TSS'!A176</f>
        <v>US382550BJ95</v>
      </c>
      <c r="B176" s="151" t="str">
        <f ca="1">VLOOKUP(A176,'銀行-TSS'!A:B,2,FALSE)</f>
        <v>XG610</v>
      </c>
      <c r="C176" s="151" t="str">
        <f ca="1">VLOOKUP(B176,bond!B:C,2,FALSE)</f>
        <v>固特異美元配息債券  5.25% 2031/4/30</v>
      </c>
      <c r="D176" s="95" t="str">
        <f>VLOOKUP(A176,'銀行-TSS'!A:C,3,FALSE)</f>
        <v>USD</v>
      </c>
      <c r="E176" s="90">
        <f ca="1">VLOOKUP(A176,'銀行-TSS'!A:G,7,FALSE)</f>
        <v>6.83</v>
      </c>
      <c r="F176" s="202">
        <f ca="1">VLOOKUP(A176,'銀行-TSS'!A:H,8,FALSE)</f>
        <v>5.2499999999999998E-2</v>
      </c>
      <c r="G176" s="96">
        <f ca="1">VLOOKUP(A176,'銀行-TSS'!A:K,11,FALSE)</f>
        <v>95.68</v>
      </c>
      <c r="H176" s="1209">
        <f ca="1">VLOOKUP(A176,'銀行-TSS'!A:M,13,FALSE)</f>
        <v>6.2E-2</v>
      </c>
      <c r="I176" s="1213">
        <f ca="1">VLOOKUP(A176,'銀行-TSS'!A:N,14,FALSE)</f>
        <v>10000</v>
      </c>
      <c r="J176" s="1213">
        <f ca="1">VLOOKUP(A176,'銀行-TSS'!A:O,15,FALSE)</f>
        <v>1000</v>
      </c>
      <c r="K176" s="136" t="str">
        <f ca="1">VLOOKUP(A176,'銀行-TSS'!A:V,22,FALSE)</f>
        <v>高資產</v>
      </c>
      <c r="L176" s="136" t="str">
        <f ca="1">VLOOKUP(A176,'銀行-TSS'!A:AK,37,FALSE)</f>
        <v>有</v>
      </c>
      <c r="M176" s="136" t="str">
        <f ca="1">VLOOKUP(A176,'銀行-TSS'!A:AN,40,FALSE)</f>
        <v/>
      </c>
      <c r="N176" s="136">
        <f t="shared" ca="1" si="90"/>
        <v>956.8</v>
      </c>
      <c r="O176" s="1213">
        <f t="shared" ca="1" si="91"/>
        <v>9568.0000000000018</v>
      </c>
      <c r="P176" s="1213">
        <f ca="1">IF(AND($O$1&gt;=O176,換券單檔!$D$13=D176),I176+INT(($O$1-O176)/N176)*J176,0)</f>
        <v>101000</v>
      </c>
      <c r="Q176" s="1213">
        <f t="shared" ca="1" si="92"/>
        <v>5302.5</v>
      </c>
      <c r="R176" s="1213">
        <f t="shared" ca="1" si="93"/>
        <v>0</v>
      </c>
      <c r="S176" s="1213">
        <f t="shared" ca="1" si="94"/>
        <v>0</v>
      </c>
      <c r="T176" s="136">
        <f ca="1">IF(OR(R176=0,A176=0),0,IF(AND(V176=TRUE,換券單檔!$D$13=D176),E176,0))</f>
        <v>0</v>
      </c>
      <c r="U176" s="861">
        <f ca="1">IF(OR(R176=0,A176=0),0,IF(AND(V176=TRUE,換券單檔!$D$13=D176),H176,0))</f>
        <v>0</v>
      </c>
      <c r="V176" s="136" t="b">
        <f ca="1">IF(OR(B176=換券單檔!$D$3,L176="無",M176&lt;&gt;"",K176="高資產",IFERROR(MATCH(B176,換券單檔!K:K,0),"N")&lt;&gt;"N"),FALSE,IF($V$1="All",TRUE,IF(K176=$V$1,TRUE,FALSE)))</f>
        <v>0</v>
      </c>
      <c r="W176" s="136">
        <f ca="1">VLOOKUP(A176,'銀行-TSS'!A:AO,41,FALSE)</f>
        <v>92.28</v>
      </c>
      <c r="X176" s="136">
        <f ca="1">VLOOKUP(A176,'銀行-TSS'!A:AP,42,FALSE)</f>
        <v>5.5446999999999997</v>
      </c>
      <c r="Y176" s="1220">
        <f t="shared" ca="1" si="95"/>
        <v>0</v>
      </c>
      <c r="Z176" s="1220">
        <f t="shared" ca="1" si="96"/>
        <v>0</v>
      </c>
      <c r="AA176" s="136">
        <f ca="1">IF(Z176&lt;=0,0,RANK(Z176,Z:Z)+COUNTIF($Z$3:$Z176,Z176)-1)</f>
        <v>0</v>
      </c>
      <c r="AB176" s="1211">
        <f t="shared" ca="1" si="97"/>
        <v>-14896.14</v>
      </c>
      <c r="AC176" s="136">
        <f ca="1">IF(AB176&lt;=0,0,RANK(AB176,AB:AB)+COUNTIF($AB$3:$AB176,AB176)-1)</f>
        <v>0</v>
      </c>
      <c r="AD176" s="1123">
        <f t="shared" ca="1" si="98"/>
        <v>99999</v>
      </c>
      <c r="AE176" s="1123">
        <f ca="1">IF(AD176=99999,0,RANK(AD176,AD:AD,1)+COUNTIF($AD$3:$AD176,AD176)-1)</f>
        <v>0</v>
      </c>
      <c r="AF176" s="86" t="b">
        <f ca="1">IF(OR(M176&lt;&gt;"",L176="無",K176="高資產",IFERROR(MATCH(B176,換券單檔!K:K,0),"N")&lt;&gt;"N"),FALSE,TRUE)</f>
        <v>0</v>
      </c>
      <c r="AI176" s="1212">
        <f t="shared" ca="1" si="99"/>
        <v>0</v>
      </c>
      <c r="AJ176" s="1213">
        <f t="shared" ca="1" si="100"/>
        <v>0</v>
      </c>
      <c r="AK176" s="1587">
        <f t="shared" ca="1" si="101"/>
        <v>0</v>
      </c>
      <c r="AN176" s="1212">
        <f t="shared" ca="1" si="102"/>
        <v>0</v>
      </c>
      <c r="AO176" s="1213">
        <f t="shared" ca="1" si="103"/>
        <v>0</v>
      </c>
      <c r="AP176" s="1587">
        <f t="shared" ca="1" si="104"/>
        <v>0</v>
      </c>
      <c r="AS176" s="1212">
        <f t="shared" ca="1" si="105"/>
        <v>0</v>
      </c>
      <c r="AT176" s="1213">
        <f t="shared" ca="1" si="106"/>
        <v>0</v>
      </c>
      <c r="AU176" s="1587">
        <f t="shared" ca="1" si="107"/>
        <v>0</v>
      </c>
      <c r="AX176" s="1212">
        <f t="shared" ca="1" si="108"/>
        <v>0</v>
      </c>
      <c r="AY176" s="1213">
        <f t="shared" ca="1" si="109"/>
        <v>0</v>
      </c>
      <c r="AZ176" s="1587">
        <f t="shared" ca="1" si="110"/>
        <v>0</v>
      </c>
      <c r="BC176" s="1212">
        <f t="shared" ca="1" si="111"/>
        <v>0</v>
      </c>
      <c r="BD176" s="1213">
        <f t="shared" ca="1" si="112"/>
        <v>0</v>
      </c>
      <c r="BE176" s="1587">
        <f t="shared" ca="1" si="113"/>
        <v>0</v>
      </c>
      <c r="BH176" s="1212">
        <f t="shared" ca="1" si="114"/>
        <v>0</v>
      </c>
      <c r="BI176" s="1213">
        <f t="shared" ca="1" si="115"/>
        <v>0</v>
      </c>
      <c r="BJ176" s="1587">
        <f t="shared" ca="1" si="116"/>
        <v>0</v>
      </c>
      <c r="BM176" s="1212">
        <f t="shared" ca="1" si="117"/>
        <v>0</v>
      </c>
      <c r="BN176" s="1213">
        <f t="shared" ca="1" si="118"/>
        <v>0</v>
      </c>
      <c r="BO176" s="1587">
        <f t="shared" ca="1" si="119"/>
        <v>0</v>
      </c>
      <c r="BR176" s="1212">
        <f t="shared" ca="1" si="120"/>
        <v>0</v>
      </c>
      <c r="BS176" s="1213">
        <f t="shared" ca="1" si="121"/>
        <v>0</v>
      </c>
      <c r="BT176" s="1587">
        <f t="shared" ca="1" si="122"/>
        <v>0</v>
      </c>
      <c r="BW176" s="1212">
        <f t="shared" ca="1" si="123"/>
        <v>0</v>
      </c>
      <c r="BX176" s="1213">
        <f t="shared" ca="1" si="124"/>
        <v>0</v>
      </c>
      <c r="BY176" s="1587">
        <f t="shared" ca="1" si="125"/>
        <v>0</v>
      </c>
      <c r="CB176" s="1212">
        <f t="shared" ca="1" si="126"/>
        <v>0</v>
      </c>
      <c r="CC176" s="1213">
        <f t="shared" ca="1" si="127"/>
        <v>0</v>
      </c>
      <c r="CD176" s="1587">
        <f t="shared" ca="1" si="128"/>
        <v>0</v>
      </c>
      <c r="CG176" s="1212">
        <f t="shared" ca="1" si="129"/>
        <v>0</v>
      </c>
      <c r="CH176" s="1213">
        <f t="shared" ca="1" si="130"/>
        <v>0</v>
      </c>
      <c r="CI176" s="1587">
        <f t="shared" ca="1" si="131"/>
        <v>0</v>
      </c>
      <c r="CL176" s="1212">
        <f t="shared" ca="1" si="132"/>
        <v>0</v>
      </c>
      <c r="CM176" s="1213">
        <f t="shared" ca="1" si="133"/>
        <v>0</v>
      </c>
      <c r="CN176" s="1587">
        <f t="shared" ca="1" si="134"/>
        <v>0</v>
      </c>
    </row>
    <row r="177" spans="1:92">
      <c r="A177" s="141" t="str">
        <f>'銀行-TSS'!A177</f>
        <v>USV7780TAE39</v>
      </c>
      <c r="B177" s="151" t="str">
        <f ca="1">VLOOKUP(A177,'銀行-TSS'!A:B,2,FALSE)</f>
        <v>XG620</v>
      </c>
      <c r="C177" s="151" t="str">
        <f ca="1">VLOOKUP(B177,bond!B:C,2,FALSE)</f>
        <v>皇家加勒比國際郵輪美元配息債券  5.5% 2028/4/1</v>
      </c>
      <c r="D177" s="95" t="str">
        <f>VLOOKUP(A177,'銀行-TSS'!A:C,3,FALSE)</f>
        <v>USD</v>
      </c>
      <c r="E177" s="90">
        <f ca="1">VLOOKUP(A177,'銀行-TSS'!A:G,7,FALSE)</f>
        <v>3.75</v>
      </c>
      <c r="F177" s="202">
        <f ca="1">VLOOKUP(A177,'銀行-TSS'!A:H,8,FALSE)</f>
        <v>5.5E-2</v>
      </c>
      <c r="G177" s="96">
        <f ca="1">VLOOKUP(A177,'銀行-TSS'!A:K,11,FALSE)</f>
        <v>102.57</v>
      </c>
      <c r="H177" s="1209">
        <f ca="1">VLOOKUP(A177,'銀行-TSS'!A:M,13,FALSE)</f>
        <v>5.1499999999999997E-2</v>
      </c>
      <c r="I177" s="1213">
        <f ca="1">VLOOKUP(A177,'銀行-TSS'!A:N,14,FALSE)</f>
        <v>10000</v>
      </c>
      <c r="J177" s="1213">
        <f ca="1">VLOOKUP(A177,'銀行-TSS'!A:O,15,FALSE)</f>
        <v>1000</v>
      </c>
      <c r="K177" s="136" t="str">
        <f ca="1">VLOOKUP(A177,'銀行-TSS'!A:V,22,FALSE)</f>
        <v>高資產</v>
      </c>
      <c r="L177" s="136" t="str">
        <f ca="1">VLOOKUP(A177,'銀行-TSS'!A:AK,37,FALSE)</f>
        <v>有</v>
      </c>
      <c r="M177" s="136" t="str">
        <f ca="1">VLOOKUP(A177,'銀行-TSS'!A:AN,40,FALSE)</f>
        <v/>
      </c>
      <c r="N177" s="136">
        <f t="shared" ca="1" si="90"/>
        <v>1025.7</v>
      </c>
      <c r="O177" s="1213">
        <f t="shared" ca="1" si="91"/>
        <v>10256.999999999998</v>
      </c>
      <c r="P177" s="1213">
        <f ca="1">IF(AND($O$1&gt;=O177,換券單檔!$D$13=D177),I177+INT(($O$1-O177)/N177)*J177,0)</f>
        <v>94000</v>
      </c>
      <c r="Q177" s="1213">
        <f t="shared" ca="1" si="92"/>
        <v>5170</v>
      </c>
      <c r="R177" s="1213">
        <f t="shared" ca="1" si="93"/>
        <v>0</v>
      </c>
      <c r="S177" s="1213">
        <f t="shared" ca="1" si="94"/>
        <v>0</v>
      </c>
      <c r="T177" s="136">
        <f ca="1">IF(OR(R177=0,A177=0),0,IF(AND(V177=TRUE,換券單檔!$D$13=D177),E177,0))</f>
        <v>0</v>
      </c>
      <c r="U177" s="861">
        <f ca="1">IF(OR(R177=0,A177=0),0,IF(AND(V177=TRUE,換券單檔!$D$13=D177),H177,0))</f>
        <v>0</v>
      </c>
      <c r="V177" s="136" t="b">
        <f ca="1">IF(OR(B177=換券單檔!$D$3,L177="無",M177&lt;&gt;"",K177="高資產",IFERROR(MATCH(B177,換券單檔!K:K,0),"N")&lt;&gt;"N"),FALSE,IF($V$1="All",TRUE,IF(K177=$V$1,TRUE,FALSE)))</f>
        <v>0</v>
      </c>
      <c r="W177" s="136">
        <f ca="1">VLOOKUP(A177,'銀行-TSS'!A:AO,41,FALSE)</f>
        <v>99.58</v>
      </c>
      <c r="X177" s="136">
        <f ca="1">VLOOKUP(A177,'銀行-TSS'!A:AP,42,FALSE)</f>
        <v>3.2999000000000001</v>
      </c>
      <c r="Y177" s="1220">
        <f t="shared" ca="1" si="95"/>
        <v>0</v>
      </c>
      <c r="Z177" s="1220">
        <f t="shared" ca="1" si="96"/>
        <v>0</v>
      </c>
      <c r="AA177" s="136">
        <f ca="1">IF(Z177&lt;=0,0,RANK(Z177,Z:Z)+COUNTIF($Z$3:$Z177,Z177)-1)</f>
        <v>0</v>
      </c>
      <c r="AB177" s="1211">
        <f t="shared" ca="1" si="97"/>
        <v>-14896.14</v>
      </c>
      <c r="AC177" s="136">
        <f ca="1">IF(AB177&lt;=0,0,RANK(AB177,AB:AB)+COUNTIF($AB$3:$AB177,AB177)-1)</f>
        <v>0</v>
      </c>
      <c r="AD177" s="1123">
        <f t="shared" ca="1" si="98"/>
        <v>99999</v>
      </c>
      <c r="AE177" s="1123">
        <f ca="1">IF(AD177=99999,0,RANK(AD177,AD:AD,1)+COUNTIF($AD$3:$AD177,AD177)-1)</f>
        <v>0</v>
      </c>
      <c r="AF177" s="86" t="b">
        <f ca="1">IF(OR(M177&lt;&gt;"",L177="無",K177="高資產",IFERROR(MATCH(B177,換券單檔!K:K,0),"N")&lt;&gt;"N"),FALSE,TRUE)</f>
        <v>0</v>
      </c>
      <c r="AI177" s="1212">
        <f t="shared" ca="1" si="99"/>
        <v>0</v>
      </c>
      <c r="AJ177" s="1213">
        <f t="shared" ca="1" si="100"/>
        <v>0</v>
      </c>
      <c r="AK177" s="1587">
        <f t="shared" ca="1" si="101"/>
        <v>0</v>
      </c>
      <c r="AN177" s="1212">
        <f t="shared" ca="1" si="102"/>
        <v>0</v>
      </c>
      <c r="AO177" s="1213">
        <f t="shared" ca="1" si="103"/>
        <v>0</v>
      </c>
      <c r="AP177" s="1587">
        <f t="shared" ca="1" si="104"/>
        <v>0</v>
      </c>
      <c r="AS177" s="1212">
        <f t="shared" ca="1" si="105"/>
        <v>0</v>
      </c>
      <c r="AT177" s="1213">
        <f t="shared" ca="1" si="106"/>
        <v>0</v>
      </c>
      <c r="AU177" s="1587">
        <f t="shared" ca="1" si="107"/>
        <v>0</v>
      </c>
      <c r="AX177" s="1212">
        <f t="shared" ca="1" si="108"/>
        <v>0</v>
      </c>
      <c r="AY177" s="1213">
        <f t="shared" ca="1" si="109"/>
        <v>0</v>
      </c>
      <c r="AZ177" s="1587">
        <f t="shared" ca="1" si="110"/>
        <v>0</v>
      </c>
      <c r="BC177" s="1212">
        <f t="shared" ca="1" si="111"/>
        <v>0</v>
      </c>
      <c r="BD177" s="1213">
        <f t="shared" ca="1" si="112"/>
        <v>0</v>
      </c>
      <c r="BE177" s="1587">
        <f t="shared" ca="1" si="113"/>
        <v>0</v>
      </c>
      <c r="BH177" s="1212">
        <f t="shared" ca="1" si="114"/>
        <v>0</v>
      </c>
      <c r="BI177" s="1213">
        <f t="shared" ca="1" si="115"/>
        <v>0</v>
      </c>
      <c r="BJ177" s="1587">
        <f t="shared" ca="1" si="116"/>
        <v>0</v>
      </c>
      <c r="BM177" s="1212">
        <f t="shared" ca="1" si="117"/>
        <v>0</v>
      </c>
      <c r="BN177" s="1213">
        <f t="shared" ca="1" si="118"/>
        <v>0</v>
      </c>
      <c r="BO177" s="1587">
        <f t="shared" ca="1" si="119"/>
        <v>0</v>
      </c>
      <c r="BR177" s="1212">
        <f t="shared" ca="1" si="120"/>
        <v>0</v>
      </c>
      <c r="BS177" s="1213">
        <f t="shared" ca="1" si="121"/>
        <v>0</v>
      </c>
      <c r="BT177" s="1587">
        <f t="shared" ca="1" si="122"/>
        <v>0</v>
      </c>
      <c r="BW177" s="1212">
        <f t="shared" ca="1" si="123"/>
        <v>0</v>
      </c>
      <c r="BX177" s="1213">
        <f t="shared" ca="1" si="124"/>
        <v>0</v>
      </c>
      <c r="BY177" s="1587">
        <f t="shared" ca="1" si="125"/>
        <v>0</v>
      </c>
      <c r="CB177" s="1212">
        <f t="shared" ca="1" si="126"/>
        <v>0</v>
      </c>
      <c r="CC177" s="1213">
        <f t="shared" ca="1" si="127"/>
        <v>0</v>
      </c>
      <c r="CD177" s="1587">
        <f t="shared" ca="1" si="128"/>
        <v>0</v>
      </c>
      <c r="CG177" s="1212">
        <f t="shared" ca="1" si="129"/>
        <v>0</v>
      </c>
      <c r="CH177" s="1213">
        <f t="shared" ca="1" si="130"/>
        <v>0</v>
      </c>
      <c r="CI177" s="1587">
        <f t="shared" ca="1" si="131"/>
        <v>0</v>
      </c>
      <c r="CL177" s="1212">
        <f t="shared" ca="1" si="132"/>
        <v>0</v>
      </c>
      <c r="CM177" s="1213">
        <f t="shared" ca="1" si="133"/>
        <v>0</v>
      </c>
      <c r="CN177" s="1587">
        <f t="shared" ca="1" si="134"/>
        <v>0</v>
      </c>
    </row>
    <row r="178" spans="1:92">
      <c r="A178" s="141" t="str">
        <f>'銀行-TSS'!A178</f>
        <v>US404280CF48</v>
      </c>
      <c r="B178" s="151" t="str">
        <f ca="1">VLOOKUP(A178,'銀行-TSS'!A:B,2,FALSE)</f>
        <v>XG630</v>
      </c>
      <c r="C178" s="151" t="str">
        <f ca="1">VLOOKUP(B178,bond!B:C,2,FALSE)</f>
        <v>匯豐控股公司美元配息債券  4.95% 2030/3/31</v>
      </c>
      <c r="D178" s="95" t="str">
        <f>VLOOKUP(A178,'銀行-TSS'!A:C,3,FALSE)</f>
        <v>USD</v>
      </c>
      <c r="E178" s="90">
        <f ca="1">VLOOKUP(A178,'銀行-TSS'!A:G,7,FALSE)</f>
        <v>5.74</v>
      </c>
      <c r="F178" s="202">
        <f ca="1">VLOOKUP(A178,'銀行-TSS'!A:H,8,FALSE)</f>
        <v>4.9500000000000002E-2</v>
      </c>
      <c r="G178" s="96">
        <f ca="1">VLOOKUP(A178,'銀行-TSS'!A:K,11,FALSE)</f>
        <v>102.02</v>
      </c>
      <c r="H178" s="1209">
        <f ca="1">VLOOKUP(A178,'銀行-TSS'!A:M,13,FALSE)</f>
        <v>4.8000000000000001E-2</v>
      </c>
      <c r="I178" s="1213">
        <f ca="1">VLOOKUP(A178,'銀行-TSS'!A:N,14,FALSE)</f>
        <v>200000</v>
      </c>
      <c r="J178" s="1213">
        <f ca="1">VLOOKUP(A178,'銀行-TSS'!A:O,15,FALSE)</f>
        <v>1000</v>
      </c>
      <c r="K178" s="136" t="str">
        <f ca="1">VLOOKUP(A178,'銀行-TSS'!A:V,22,FALSE)</f>
        <v>(PI)專投</v>
      </c>
      <c r="L178" s="136" t="str">
        <f ca="1">VLOOKUP(A178,'銀行-TSS'!A:AK,37,FALSE)</f>
        <v>有</v>
      </c>
      <c r="M178" s="136" t="str">
        <f ca="1">VLOOKUP(A178,'銀行-TSS'!A:AN,40,FALSE)</f>
        <v/>
      </c>
      <c r="N178" s="136">
        <f t="shared" ca="1" si="90"/>
        <v>1020.2</v>
      </c>
      <c r="O178" s="1213">
        <f t="shared" ca="1" si="91"/>
        <v>204040</v>
      </c>
      <c r="P178" s="1213">
        <f ca="1">IF(AND($O$1&gt;=O178,換券單檔!$D$13=D178),I178+INT(($O$1-O178)/N178)*J178,0)</f>
        <v>0</v>
      </c>
      <c r="Q178" s="1213">
        <f t="shared" ca="1" si="92"/>
        <v>0</v>
      </c>
      <c r="R178" s="1213">
        <f t="shared" ca="1" si="93"/>
        <v>0</v>
      </c>
      <c r="S178" s="1213">
        <f t="shared" ca="1" si="94"/>
        <v>0</v>
      </c>
      <c r="T178" s="136">
        <f ca="1">IF(OR(R178=0,A178=0),0,IF(AND(V178=TRUE,換券單檔!$D$13=D178),E178,0))</f>
        <v>0</v>
      </c>
      <c r="U178" s="861">
        <f ca="1">IF(OR(R178=0,A178=0),0,IF(AND(V178=TRUE,換券單檔!$D$13=D178),H178,0))</f>
        <v>0</v>
      </c>
      <c r="V178" s="136" t="b">
        <f ca="1">IF(OR(B178=換券單檔!$D$3,L178="無",M178&lt;&gt;"",K178="高資產",IFERROR(MATCH(B178,換券單檔!K:K,0),"N")&lt;&gt;"N"),FALSE,IF($V$1="All",TRUE,IF(K178=$V$1,TRUE,FALSE)))</f>
        <v>1</v>
      </c>
      <c r="W178" s="136">
        <f ca="1">VLOOKUP(A178,'銀行-TSS'!A:AO,41,FALSE)</f>
        <v>98.75</v>
      </c>
      <c r="X178" s="136">
        <f ca="1">VLOOKUP(A178,'銀行-TSS'!A:AP,42,FALSE)</f>
        <v>4.8821000000000003</v>
      </c>
      <c r="Y178" s="1220">
        <f t="shared" ca="1" si="95"/>
        <v>0</v>
      </c>
      <c r="Z178" s="1220">
        <f t="shared" ca="1" si="96"/>
        <v>0</v>
      </c>
      <c r="AA178" s="136">
        <f ca="1">IF(Z178&lt;=0,0,RANK(Z178,Z:Z)+COUNTIF($Z$3:$Z178,Z178)-1)</f>
        <v>0</v>
      </c>
      <c r="AB178" s="1211">
        <f t="shared" ca="1" si="97"/>
        <v>-114896.14</v>
      </c>
      <c r="AC178" s="136">
        <f ca="1">IF(AB178&lt;=0,0,RANK(AB178,AB:AB)+COUNTIF($AB$3:$AB178,AB178)-1)</f>
        <v>0</v>
      </c>
      <c r="AD178" s="1123">
        <f t="shared" ca="1" si="98"/>
        <v>99999</v>
      </c>
      <c r="AE178" s="1123">
        <f ca="1">IF(AD178=99999,0,RANK(AD178,AD:AD,1)+COUNTIF($AD$3:$AD178,AD178)-1)</f>
        <v>0</v>
      </c>
      <c r="AF178" s="86" t="b">
        <f ca="1">IF(OR(M178&lt;&gt;"",L178="無",K178="高資產",IFERROR(MATCH(B178,換券單檔!K:K,0),"N")&lt;&gt;"N"),FALSE,TRUE)</f>
        <v>1</v>
      </c>
      <c r="AI178" s="1212">
        <f t="shared" ca="1" si="99"/>
        <v>0</v>
      </c>
      <c r="AJ178" s="1213">
        <f t="shared" ca="1" si="100"/>
        <v>0</v>
      </c>
      <c r="AK178" s="1587">
        <f t="shared" ca="1" si="101"/>
        <v>0</v>
      </c>
      <c r="AN178" s="1212">
        <f t="shared" ca="1" si="102"/>
        <v>0</v>
      </c>
      <c r="AO178" s="1213">
        <f t="shared" ca="1" si="103"/>
        <v>0</v>
      </c>
      <c r="AP178" s="1587">
        <f t="shared" ca="1" si="104"/>
        <v>0</v>
      </c>
      <c r="AS178" s="1212">
        <f t="shared" ca="1" si="105"/>
        <v>0</v>
      </c>
      <c r="AT178" s="1213">
        <f t="shared" ca="1" si="106"/>
        <v>0</v>
      </c>
      <c r="AU178" s="1587">
        <f t="shared" ca="1" si="107"/>
        <v>0</v>
      </c>
      <c r="AX178" s="1212">
        <f t="shared" ca="1" si="108"/>
        <v>0</v>
      </c>
      <c r="AY178" s="1213">
        <f t="shared" ca="1" si="109"/>
        <v>0</v>
      </c>
      <c r="AZ178" s="1587">
        <f t="shared" ca="1" si="110"/>
        <v>0</v>
      </c>
      <c r="BC178" s="1212">
        <f t="shared" ca="1" si="111"/>
        <v>0</v>
      </c>
      <c r="BD178" s="1213">
        <f t="shared" ca="1" si="112"/>
        <v>0</v>
      </c>
      <c r="BE178" s="1587">
        <f t="shared" ca="1" si="113"/>
        <v>0</v>
      </c>
      <c r="BH178" s="1212">
        <f t="shared" ca="1" si="114"/>
        <v>0</v>
      </c>
      <c r="BI178" s="1213">
        <f t="shared" ca="1" si="115"/>
        <v>0</v>
      </c>
      <c r="BJ178" s="1587">
        <f t="shared" ca="1" si="116"/>
        <v>0</v>
      </c>
      <c r="BM178" s="1212">
        <f t="shared" ca="1" si="117"/>
        <v>0</v>
      </c>
      <c r="BN178" s="1213">
        <f t="shared" ca="1" si="118"/>
        <v>0</v>
      </c>
      <c r="BO178" s="1587">
        <f t="shared" ca="1" si="119"/>
        <v>0</v>
      </c>
      <c r="BR178" s="1212">
        <f t="shared" ca="1" si="120"/>
        <v>0</v>
      </c>
      <c r="BS178" s="1213">
        <f t="shared" ca="1" si="121"/>
        <v>0</v>
      </c>
      <c r="BT178" s="1587">
        <f t="shared" ca="1" si="122"/>
        <v>0</v>
      </c>
      <c r="BW178" s="1212">
        <f t="shared" ca="1" si="123"/>
        <v>0</v>
      </c>
      <c r="BX178" s="1213">
        <f t="shared" ca="1" si="124"/>
        <v>0</v>
      </c>
      <c r="BY178" s="1587">
        <f t="shared" ca="1" si="125"/>
        <v>0</v>
      </c>
      <c r="CB178" s="1212">
        <f t="shared" ca="1" si="126"/>
        <v>0</v>
      </c>
      <c r="CC178" s="1213">
        <f t="shared" ca="1" si="127"/>
        <v>0</v>
      </c>
      <c r="CD178" s="1587">
        <f t="shared" ca="1" si="128"/>
        <v>0</v>
      </c>
      <c r="CG178" s="1212">
        <f t="shared" ca="1" si="129"/>
        <v>0</v>
      </c>
      <c r="CH178" s="1213">
        <f t="shared" ca="1" si="130"/>
        <v>0</v>
      </c>
      <c r="CI178" s="1587">
        <f t="shared" ca="1" si="131"/>
        <v>0</v>
      </c>
      <c r="CL178" s="1212">
        <f t="shared" ca="1" si="132"/>
        <v>0</v>
      </c>
      <c r="CM178" s="1213">
        <f t="shared" ca="1" si="133"/>
        <v>0</v>
      </c>
      <c r="CN178" s="1587">
        <f t="shared" ca="1" si="134"/>
        <v>0</v>
      </c>
    </row>
    <row r="179" spans="1:92">
      <c r="A179" s="141" t="str">
        <f>'銀行-TSS'!A179</f>
        <v>XS2057866191</v>
      </c>
      <c r="B179" s="151" t="str">
        <f ca="1">VLOOKUP(A179,'銀行-TSS'!A:B,2,FALSE)</f>
        <v>XG640</v>
      </c>
      <c r="C179" s="151" t="str">
        <f ca="1">VLOOKUP(B179,bond!B:C,2,FALSE)</f>
        <v>阿布達比政府國際美元配息債券 3.125% 2049/9/30</v>
      </c>
      <c r="D179" s="95" t="str">
        <f>VLOOKUP(A179,'銀行-TSS'!A:C,3,FALSE)</f>
        <v>USD</v>
      </c>
      <c r="E179" s="90">
        <f ca="1">VLOOKUP(A179,'銀行-TSS'!A:G,7,FALSE)</f>
        <v>25.24</v>
      </c>
      <c r="F179" s="202">
        <f ca="1">VLOOKUP(A179,'銀行-TSS'!A:H,8,FALSE)</f>
        <v>3.125E-2</v>
      </c>
      <c r="G179" s="96">
        <f ca="1">VLOOKUP(A179,'銀行-TSS'!A:K,11,FALSE)</f>
        <v>74.61</v>
      </c>
      <c r="H179" s="1209">
        <f ca="1">VLOOKUP(A179,'銀行-TSS'!A:M,13,FALSE)</f>
        <v>4.9500000000000002E-2</v>
      </c>
      <c r="I179" s="1213">
        <f ca="1">VLOOKUP(A179,'銀行-TSS'!A:N,14,FALSE)</f>
        <v>200000</v>
      </c>
      <c r="J179" s="1213">
        <f ca="1">VLOOKUP(A179,'銀行-TSS'!A:O,15,FALSE)</f>
        <v>1000</v>
      </c>
      <c r="K179" s="136" t="str">
        <f ca="1">VLOOKUP(A179,'銀行-TSS'!A:V,22,FALSE)</f>
        <v>(NPI)非專投</v>
      </c>
      <c r="L179" s="136" t="str">
        <f ca="1">VLOOKUP(A179,'銀行-TSS'!A:AK,37,FALSE)</f>
        <v>有</v>
      </c>
      <c r="M179" s="136" t="str">
        <f ca="1">VLOOKUP(A179,'銀行-TSS'!A:AN,40,FALSE)</f>
        <v/>
      </c>
      <c r="N179" s="136">
        <f t="shared" ca="1" si="90"/>
        <v>746.1</v>
      </c>
      <c r="O179" s="1213">
        <f t="shared" ca="1" si="91"/>
        <v>149220</v>
      </c>
      <c r="P179" s="1213">
        <f ca="1">IF(AND($O$1&gt;=O179,換券單檔!$D$13=D179),I179+INT(($O$1-O179)/N179)*J179,0)</f>
        <v>0</v>
      </c>
      <c r="Q179" s="1213">
        <f t="shared" ca="1" si="92"/>
        <v>0</v>
      </c>
      <c r="R179" s="1213">
        <f t="shared" ca="1" si="93"/>
        <v>0</v>
      </c>
      <c r="S179" s="1213">
        <f t="shared" ca="1" si="94"/>
        <v>0</v>
      </c>
      <c r="T179" s="136">
        <f ca="1">IF(OR(R179=0,A179=0),0,IF(AND(V179=TRUE,換券單檔!$D$13=D179),E179,0))</f>
        <v>0</v>
      </c>
      <c r="U179" s="861">
        <f ca="1">IF(OR(R179=0,A179=0),0,IF(AND(V179=TRUE,換券單檔!$D$13=D179),H179,0))</f>
        <v>0</v>
      </c>
      <c r="V179" s="136" t="b">
        <f ca="1">IF(OR(B179=換券單檔!$D$3,L179="無",M179&lt;&gt;"",K179="高資產",IFERROR(MATCH(B179,換券單檔!K:K,0),"N")&lt;&gt;"N"),FALSE,IF($V$1="All",TRUE,IF(K179=$V$1,TRUE,FALSE)))</f>
        <v>1</v>
      </c>
      <c r="W179" s="136">
        <f ca="1">VLOOKUP(A179,'銀行-TSS'!A:AO,41,FALSE)</f>
        <v>70.300000000000011</v>
      </c>
      <c r="X179" s="136">
        <f ca="1">VLOOKUP(A179,'銀行-TSS'!A:AP,42,FALSE)</f>
        <v>15.460599999999999</v>
      </c>
      <c r="Y179" s="1220">
        <f t="shared" ca="1" si="95"/>
        <v>0</v>
      </c>
      <c r="Z179" s="1220">
        <f t="shared" ca="1" si="96"/>
        <v>0</v>
      </c>
      <c r="AA179" s="136">
        <f ca="1">IF(Z179&lt;=0,0,RANK(Z179,Z:Z)+COUNTIF($Z$3:$Z179,Z179)-1)</f>
        <v>0</v>
      </c>
      <c r="AB179" s="1211">
        <f t="shared" ca="1" si="97"/>
        <v>-114896.14</v>
      </c>
      <c r="AC179" s="136">
        <f ca="1">IF(AB179&lt;=0,0,RANK(AB179,AB:AB)+COUNTIF($AB$3:$AB179,AB179)-1)</f>
        <v>0</v>
      </c>
      <c r="AD179" s="1123">
        <f t="shared" ca="1" si="98"/>
        <v>99999</v>
      </c>
      <c r="AE179" s="1123">
        <f ca="1">IF(AD179=99999,0,RANK(AD179,AD:AD,1)+COUNTIF($AD$3:$AD179,AD179)-1)</f>
        <v>0</v>
      </c>
      <c r="AF179" s="86" t="b">
        <f ca="1">IF(OR(M179&lt;&gt;"",L179="無",K179="高資產",IFERROR(MATCH(B179,換券單檔!K:K,0),"N")&lt;&gt;"N"),FALSE,TRUE)</f>
        <v>1</v>
      </c>
      <c r="AI179" s="1212">
        <f t="shared" ca="1" si="99"/>
        <v>0</v>
      </c>
      <c r="AJ179" s="1213">
        <f t="shared" ca="1" si="100"/>
        <v>0</v>
      </c>
      <c r="AK179" s="1587">
        <f t="shared" ca="1" si="101"/>
        <v>0</v>
      </c>
      <c r="AN179" s="1212">
        <f t="shared" ca="1" si="102"/>
        <v>0</v>
      </c>
      <c r="AO179" s="1213">
        <f t="shared" ca="1" si="103"/>
        <v>0</v>
      </c>
      <c r="AP179" s="1587">
        <f t="shared" ca="1" si="104"/>
        <v>0</v>
      </c>
      <c r="AS179" s="1212">
        <f t="shared" ca="1" si="105"/>
        <v>0</v>
      </c>
      <c r="AT179" s="1213">
        <f t="shared" ca="1" si="106"/>
        <v>0</v>
      </c>
      <c r="AU179" s="1587">
        <f t="shared" ca="1" si="107"/>
        <v>0</v>
      </c>
      <c r="AX179" s="1212">
        <f t="shared" ca="1" si="108"/>
        <v>0</v>
      </c>
      <c r="AY179" s="1213">
        <f t="shared" ca="1" si="109"/>
        <v>0</v>
      </c>
      <c r="AZ179" s="1587">
        <f t="shared" ca="1" si="110"/>
        <v>0</v>
      </c>
      <c r="BC179" s="1212">
        <f t="shared" ca="1" si="111"/>
        <v>0</v>
      </c>
      <c r="BD179" s="1213">
        <f t="shared" ca="1" si="112"/>
        <v>0</v>
      </c>
      <c r="BE179" s="1587">
        <f t="shared" ca="1" si="113"/>
        <v>0</v>
      </c>
      <c r="BH179" s="1212">
        <f t="shared" ca="1" si="114"/>
        <v>0</v>
      </c>
      <c r="BI179" s="1213">
        <f t="shared" ca="1" si="115"/>
        <v>0</v>
      </c>
      <c r="BJ179" s="1587">
        <f t="shared" ca="1" si="116"/>
        <v>0</v>
      </c>
      <c r="BM179" s="1212">
        <f t="shared" ca="1" si="117"/>
        <v>0</v>
      </c>
      <c r="BN179" s="1213">
        <f t="shared" ca="1" si="118"/>
        <v>0</v>
      </c>
      <c r="BO179" s="1587">
        <f t="shared" ca="1" si="119"/>
        <v>0</v>
      </c>
      <c r="BR179" s="1212">
        <f t="shared" ca="1" si="120"/>
        <v>0</v>
      </c>
      <c r="BS179" s="1213">
        <f t="shared" ca="1" si="121"/>
        <v>0</v>
      </c>
      <c r="BT179" s="1587">
        <f t="shared" ca="1" si="122"/>
        <v>0</v>
      </c>
      <c r="BW179" s="1212">
        <f t="shared" ca="1" si="123"/>
        <v>0</v>
      </c>
      <c r="BX179" s="1213">
        <f t="shared" ca="1" si="124"/>
        <v>0</v>
      </c>
      <c r="BY179" s="1587">
        <f t="shared" ca="1" si="125"/>
        <v>0</v>
      </c>
      <c r="CB179" s="1212">
        <f t="shared" ca="1" si="126"/>
        <v>0</v>
      </c>
      <c r="CC179" s="1213">
        <f t="shared" ca="1" si="127"/>
        <v>0</v>
      </c>
      <c r="CD179" s="1587">
        <f t="shared" ca="1" si="128"/>
        <v>0</v>
      </c>
      <c r="CG179" s="1212">
        <f t="shared" ca="1" si="129"/>
        <v>0</v>
      </c>
      <c r="CH179" s="1213">
        <f t="shared" ca="1" si="130"/>
        <v>0</v>
      </c>
      <c r="CI179" s="1587">
        <f t="shared" ca="1" si="131"/>
        <v>0</v>
      </c>
      <c r="CL179" s="1212">
        <f t="shared" ca="1" si="132"/>
        <v>0</v>
      </c>
      <c r="CM179" s="1213">
        <f t="shared" ca="1" si="133"/>
        <v>0</v>
      </c>
      <c r="CN179" s="1587">
        <f t="shared" ca="1" si="134"/>
        <v>0</v>
      </c>
    </row>
    <row r="180" spans="1:92">
      <c r="A180" s="141" t="str">
        <f>'銀行-TSS'!A180</f>
        <v>US747525AK99</v>
      </c>
      <c r="B180" s="151" t="str">
        <f ca="1">VLOOKUP(A180,'銀行-TSS'!A:B,2,FALSE)</f>
        <v>XG650</v>
      </c>
      <c r="C180" s="151" t="str">
        <f ca="1">VLOOKUP(B180,bond!B:C,2,FALSE)</f>
        <v>高通公司美元配息債券  4.8% 2045/5/20</v>
      </c>
      <c r="D180" s="95" t="str">
        <f>VLOOKUP(A180,'銀行-TSS'!A:C,3,FALSE)</f>
        <v>USD</v>
      </c>
      <c r="E180" s="90">
        <f ca="1">VLOOKUP(A180,'銀行-TSS'!A:G,7,FALSE)</f>
        <v>20.88</v>
      </c>
      <c r="F180" s="202">
        <f ca="1">VLOOKUP(A180,'銀行-TSS'!A:H,8,FALSE)</f>
        <v>4.8000000000000001E-2</v>
      </c>
      <c r="G180" s="96">
        <f ca="1">VLOOKUP(A180,'銀行-TSS'!A:K,11,FALSE)</f>
        <v>96.73</v>
      </c>
      <c r="H180" s="1209">
        <f ca="1">VLOOKUP(A180,'銀行-TSS'!A:M,13,FALSE)</f>
        <v>5.0999999999999997E-2</v>
      </c>
      <c r="I180" s="1213">
        <f ca="1">VLOOKUP(A180,'銀行-TSS'!A:N,14,FALSE)</f>
        <v>10000</v>
      </c>
      <c r="J180" s="1213">
        <f ca="1">VLOOKUP(A180,'銀行-TSS'!A:O,15,FALSE)</f>
        <v>1000</v>
      </c>
      <c r="K180" s="136" t="str">
        <f ca="1">VLOOKUP(A180,'銀行-TSS'!A:V,22,FALSE)</f>
        <v>(NPI)非專投</v>
      </c>
      <c r="L180" s="136" t="str">
        <f ca="1">VLOOKUP(A180,'銀行-TSS'!A:AK,37,FALSE)</f>
        <v>有</v>
      </c>
      <c r="M180" s="136" t="str">
        <f ca="1">VLOOKUP(A180,'銀行-TSS'!A:AN,40,FALSE)</f>
        <v/>
      </c>
      <c r="N180" s="136">
        <f t="shared" ca="1" si="90"/>
        <v>967.3</v>
      </c>
      <c r="O180" s="1213">
        <f t="shared" ca="1" si="91"/>
        <v>9673</v>
      </c>
      <c r="P180" s="1213">
        <f ca="1">IF(AND($O$1&gt;=O180,換券單檔!$D$13=D180),I180+INT(($O$1-O180)/N180)*J180,0)</f>
        <v>99000</v>
      </c>
      <c r="Q180" s="1213">
        <f t="shared" ca="1" si="92"/>
        <v>4752</v>
      </c>
      <c r="R180" s="1213">
        <f t="shared" ca="1" si="93"/>
        <v>99000</v>
      </c>
      <c r="S180" s="1213">
        <f t="shared" ca="1" si="94"/>
        <v>4752</v>
      </c>
      <c r="T180" s="136">
        <f ca="1">IF(OR(R180=0,A180=0),0,IF(AND(V180=TRUE,換券單檔!$D$13=D180),E180,0))</f>
        <v>20.88</v>
      </c>
      <c r="U180" s="861">
        <f ca="1">IF(OR(R180=0,A180=0),0,IF(AND(V180=TRUE,換券單檔!$D$13=D180),H180,0))</f>
        <v>5.0999999999999997E-2</v>
      </c>
      <c r="V180" s="136" t="b">
        <f ca="1">IF(OR(B180=換券單檔!$D$3,L180="無",M180&lt;&gt;"",K180="高資產",IFERROR(MATCH(B180,換券單檔!K:K,0),"N")&lt;&gt;"N"),FALSE,IF($V$1="All",TRUE,IF(K180=$V$1,TRUE,FALSE)))</f>
        <v>1</v>
      </c>
      <c r="W180" s="136">
        <f ca="1">VLOOKUP(A180,'銀行-TSS'!A:AO,41,FALSE)</f>
        <v>93.17</v>
      </c>
      <c r="X180" s="136">
        <f ca="1">VLOOKUP(A180,'銀行-TSS'!A:AP,42,FALSE)</f>
        <v>12.7455</v>
      </c>
      <c r="Y180" s="1220">
        <f t="shared" ca="1" si="95"/>
        <v>11756.2325265</v>
      </c>
      <c r="Z180" s="1220">
        <f t="shared" ca="1" si="96"/>
        <v>-2286.9597701149401</v>
      </c>
      <c r="AA180" s="136">
        <f ca="1">IF(Z180&lt;=0,0,RANK(Z180,Z:Z)+COUNTIF($Z$3:$Z180,Z180)-1)</f>
        <v>0</v>
      </c>
      <c r="AB180" s="1211">
        <f t="shared" ca="1" si="97"/>
        <v>-4139.9074734999995</v>
      </c>
      <c r="AC180" s="136">
        <f ca="1">IF(AB180&lt;=0,0,RANK(AB180,AB:AB)+COUNTIF($AB$3:$AB180,AB180)-1)</f>
        <v>0</v>
      </c>
      <c r="AD180" s="1123">
        <f t="shared" ca="1" si="98"/>
        <v>99999</v>
      </c>
      <c r="AE180" s="1123">
        <f ca="1">IF(AD180=99999,0,RANK(AD180,AD:AD,1)+COUNTIF($AD$3:$AD180,AD180)-1)</f>
        <v>0</v>
      </c>
      <c r="AF180" s="86" t="b">
        <f ca="1">IF(OR(M180&lt;&gt;"",L180="無",K180="高資產",IFERROR(MATCH(B180,換券單檔!K:K,0),"N")&lt;&gt;"N"),FALSE,TRUE)</f>
        <v>1</v>
      </c>
      <c r="AI180" s="1212">
        <f t="shared" ca="1" si="99"/>
        <v>99000</v>
      </c>
      <c r="AJ180" s="1213">
        <f t="shared" ca="1" si="100"/>
        <v>4752</v>
      </c>
      <c r="AK180" s="1587">
        <f t="shared" ca="1" si="101"/>
        <v>-2286.9597701149401</v>
      </c>
      <c r="AN180" s="1212">
        <f t="shared" ca="1" si="102"/>
        <v>57000</v>
      </c>
      <c r="AO180" s="1213">
        <f t="shared" ca="1" si="103"/>
        <v>2736</v>
      </c>
      <c r="AP180" s="1587">
        <f t="shared" ca="1" si="104"/>
        <v>-84576.913793103449</v>
      </c>
      <c r="AS180" s="1212">
        <f t="shared" ca="1" si="105"/>
        <v>97000</v>
      </c>
      <c r="AT180" s="1213">
        <f t="shared" ca="1" si="106"/>
        <v>4656</v>
      </c>
      <c r="AU180" s="1587">
        <f t="shared" ca="1" si="107"/>
        <v>-6641.2672413793107</v>
      </c>
      <c r="AX180" s="1212">
        <f t="shared" ca="1" si="108"/>
        <v>89000</v>
      </c>
      <c r="AY180" s="1213">
        <f t="shared" ca="1" si="109"/>
        <v>4272</v>
      </c>
      <c r="AZ180" s="1587">
        <f t="shared" ca="1" si="110"/>
        <v>-22521.212643678162</v>
      </c>
      <c r="BC180" s="1212">
        <f t="shared" ca="1" si="111"/>
        <v>0</v>
      </c>
      <c r="BD180" s="1213">
        <f t="shared" ca="1" si="112"/>
        <v>0</v>
      </c>
      <c r="BE180" s="1587">
        <f t="shared" ca="1" si="113"/>
        <v>0</v>
      </c>
      <c r="BH180" s="1212">
        <f t="shared" ca="1" si="114"/>
        <v>0</v>
      </c>
      <c r="BI180" s="1213">
        <f t="shared" ca="1" si="115"/>
        <v>0</v>
      </c>
      <c r="BJ180" s="1587">
        <f t="shared" ca="1" si="116"/>
        <v>0</v>
      </c>
      <c r="BM180" s="1212">
        <f t="shared" ca="1" si="117"/>
        <v>0</v>
      </c>
      <c r="BN180" s="1213">
        <f t="shared" ca="1" si="118"/>
        <v>0</v>
      </c>
      <c r="BO180" s="1587">
        <f t="shared" ca="1" si="119"/>
        <v>0</v>
      </c>
      <c r="BR180" s="1212">
        <f t="shared" ca="1" si="120"/>
        <v>0</v>
      </c>
      <c r="BS180" s="1213">
        <f t="shared" ca="1" si="121"/>
        <v>0</v>
      </c>
      <c r="BT180" s="1587">
        <f t="shared" ca="1" si="122"/>
        <v>0</v>
      </c>
      <c r="BW180" s="1212">
        <f t="shared" ca="1" si="123"/>
        <v>0</v>
      </c>
      <c r="BX180" s="1213">
        <f t="shared" ca="1" si="124"/>
        <v>0</v>
      </c>
      <c r="BY180" s="1587">
        <f t="shared" ca="1" si="125"/>
        <v>0</v>
      </c>
      <c r="CB180" s="1212">
        <f t="shared" ca="1" si="126"/>
        <v>0</v>
      </c>
      <c r="CC180" s="1213">
        <f t="shared" ca="1" si="127"/>
        <v>0</v>
      </c>
      <c r="CD180" s="1587">
        <f t="shared" ca="1" si="128"/>
        <v>0</v>
      </c>
      <c r="CG180" s="1212">
        <f t="shared" ca="1" si="129"/>
        <v>0</v>
      </c>
      <c r="CH180" s="1213">
        <f t="shared" ca="1" si="130"/>
        <v>0</v>
      </c>
      <c r="CI180" s="1587">
        <f t="shared" ca="1" si="131"/>
        <v>0</v>
      </c>
      <c r="CL180" s="1212">
        <f t="shared" ca="1" si="132"/>
        <v>0</v>
      </c>
      <c r="CM180" s="1213">
        <f t="shared" ca="1" si="133"/>
        <v>0</v>
      </c>
      <c r="CN180" s="1587">
        <f t="shared" ca="1" si="134"/>
        <v>0</v>
      </c>
    </row>
    <row r="181" spans="1:92">
      <c r="A181" s="141" t="str">
        <f>'銀行-TSS'!A181</f>
        <v>US87264ABL89</v>
      </c>
      <c r="B181" s="151" t="str">
        <f ca="1">VLOOKUP(A181,'銀行-TSS'!A:B,2,FALSE)</f>
        <v>XG660</v>
      </c>
      <c r="C181" s="151" t="str">
        <f ca="1">VLOOKUP(B181,bond!B:C,2,FALSE)</f>
        <v>T-Mobile公司美元配息債券 3% 2041/2/15</v>
      </c>
      <c r="D181" s="95" t="str">
        <f>VLOOKUP(A181,'銀行-TSS'!A:C,3,FALSE)</f>
        <v>USD</v>
      </c>
      <c r="E181" s="90">
        <f ca="1">VLOOKUP(A181,'銀行-TSS'!A:G,7,FALSE)</f>
        <v>16.62</v>
      </c>
      <c r="F181" s="202">
        <f ca="1">VLOOKUP(A181,'銀行-TSS'!A:H,8,FALSE)</f>
        <v>0.03</v>
      </c>
      <c r="G181" s="96">
        <f ca="1">VLOOKUP(A181,'銀行-TSS'!A:K,11,FALSE)</f>
        <v>76.319999999999993</v>
      </c>
      <c r="H181" s="1209">
        <f ca="1">VLOOKUP(A181,'銀行-TSS'!A:M,13,FALSE)</f>
        <v>5.2600000000000001E-2</v>
      </c>
      <c r="I181" s="1213">
        <f ca="1">VLOOKUP(A181,'銀行-TSS'!A:N,14,FALSE)</f>
        <v>10000</v>
      </c>
      <c r="J181" s="1213">
        <f ca="1">VLOOKUP(A181,'銀行-TSS'!A:O,15,FALSE)</f>
        <v>1000</v>
      </c>
      <c r="K181" s="136" t="str">
        <f ca="1">VLOOKUP(A181,'銀行-TSS'!A:V,22,FALSE)</f>
        <v>(PI)專投</v>
      </c>
      <c r="L181" s="136" t="str">
        <f ca="1">VLOOKUP(A181,'銀行-TSS'!A:AK,37,FALSE)</f>
        <v>有</v>
      </c>
      <c r="M181" s="136" t="str">
        <f ca="1">VLOOKUP(A181,'銀行-TSS'!A:AN,40,FALSE)</f>
        <v/>
      </c>
      <c r="N181" s="136">
        <f t="shared" ca="1" si="90"/>
        <v>763.2</v>
      </c>
      <c r="O181" s="1213">
        <f t="shared" ca="1" si="91"/>
        <v>7631.9999999999991</v>
      </c>
      <c r="P181" s="1213">
        <f ca="1">IF(AND($O$1&gt;=O181,換券單檔!$D$13=D181),I181+INT(($O$1-O181)/N181)*J181,0)</f>
        <v>126000</v>
      </c>
      <c r="Q181" s="1213">
        <f t="shared" ca="1" si="92"/>
        <v>3780</v>
      </c>
      <c r="R181" s="1213">
        <f t="shared" ca="1" si="93"/>
        <v>126000</v>
      </c>
      <c r="S181" s="1213">
        <f t="shared" ca="1" si="94"/>
        <v>3780</v>
      </c>
      <c r="T181" s="136">
        <f ca="1">IF(OR(R181=0,A181=0),0,IF(AND(V181=TRUE,換券單檔!$D$13=D181),E181,0))</f>
        <v>16.62</v>
      </c>
      <c r="U181" s="861">
        <f ca="1">IF(OR(R181=0,A181=0),0,IF(AND(V181=TRUE,換券單檔!$D$13=D181),H181,0))</f>
        <v>5.2600000000000001E-2</v>
      </c>
      <c r="V181" s="136" t="b">
        <f ca="1">IF(OR(B181=換券單檔!$D$3,L181="無",M181&lt;&gt;"",K181="高資產",IFERROR(MATCH(B181,換券單檔!K:K,0),"N")&lt;&gt;"N"),FALSE,IF($V$1="All",TRUE,IF(K181=$V$1,TRUE,FALSE)))</f>
        <v>1</v>
      </c>
      <c r="W181" s="136">
        <f ca="1">VLOOKUP(A181,'銀行-TSS'!A:AO,41,FALSE)</f>
        <v>72.180000000000007</v>
      </c>
      <c r="X181" s="136">
        <f ca="1">VLOOKUP(A181,'銀行-TSS'!A:AP,42,FALSE)</f>
        <v>11.988899999999999</v>
      </c>
      <c r="Y181" s="1220">
        <f t="shared" ca="1" si="95"/>
        <v>10903.520905200001</v>
      </c>
      <c r="Z181" s="1220">
        <f t="shared" ca="1" si="96"/>
        <v>0</v>
      </c>
      <c r="AA181" s="136">
        <f ca="1">IF(Z181&lt;=0,0,RANK(Z181,Z:Z)+COUNTIF($Z$3:$Z181,Z181)-1)</f>
        <v>0</v>
      </c>
      <c r="AB181" s="1211">
        <f t="shared" ca="1" si="97"/>
        <v>-3992.6190947999985</v>
      </c>
      <c r="AC181" s="136">
        <f ca="1">IF(AB181&lt;=0,0,RANK(AB181,AB:AB)+COUNTIF($AB$3:$AB181,AB181)-1)</f>
        <v>0</v>
      </c>
      <c r="AD181" s="1123">
        <f t="shared" ca="1" si="98"/>
        <v>99999</v>
      </c>
      <c r="AE181" s="1123">
        <f ca="1">IF(AD181=99999,0,RANK(AD181,AD:AD,1)+COUNTIF($AD$3:$AD181,AD181)-1)</f>
        <v>0</v>
      </c>
      <c r="AF181" s="86" t="b">
        <f ca="1">IF(OR(M181&lt;&gt;"",L181="無",K181="高資產",IFERROR(MATCH(B181,換券單檔!K:K,0),"N")&lt;&gt;"N"),FALSE,TRUE)</f>
        <v>1</v>
      </c>
      <c r="AI181" s="1212">
        <f t="shared" ca="1" si="99"/>
        <v>126000</v>
      </c>
      <c r="AJ181" s="1213">
        <f t="shared" ca="1" si="100"/>
        <v>3780</v>
      </c>
      <c r="AK181" s="1587">
        <f t="shared" ca="1" si="101"/>
        <v>0</v>
      </c>
      <c r="AN181" s="1212">
        <f t="shared" ca="1" si="102"/>
        <v>72000</v>
      </c>
      <c r="AO181" s="1213">
        <f t="shared" ca="1" si="103"/>
        <v>2160</v>
      </c>
      <c r="AP181" s="1587">
        <f t="shared" ca="1" si="104"/>
        <v>-56261.87725631769</v>
      </c>
      <c r="AS181" s="1212">
        <f t="shared" ca="1" si="105"/>
        <v>123000</v>
      </c>
      <c r="AT181" s="1213">
        <f t="shared" ca="1" si="106"/>
        <v>3690</v>
      </c>
      <c r="AU181" s="1587">
        <f t="shared" ca="1" si="107"/>
        <v>0</v>
      </c>
      <c r="AX181" s="1212">
        <f t="shared" ca="1" si="108"/>
        <v>113000</v>
      </c>
      <c r="AY181" s="1213">
        <f t="shared" ca="1" si="109"/>
        <v>3390</v>
      </c>
      <c r="AZ181" s="1587">
        <f t="shared" ca="1" si="110"/>
        <v>0</v>
      </c>
      <c r="BC181" s="1212">
        <f t="shared" ca="1" si="111"/>
        <v>0</v>
      </c>
      <c r="BD181" s="1213">
        <f t="shared" ca="1" si="112"/>
        <v>0</v>
      </c>
      <c r="BE181" s="1587">
        <f t="shared" ca="1" si="113"/>
        <v>0</v>
      </c>
      <c r="BH181" s="1212">
        <f t="shared" ca="1" si="114"/>
        <v>0</v>
      </c>
      <c r="BI181" s="1213">
        <f t="shared" ca="1" si="115"/>
        <v>0</v>
      </c>
      <c r="BJ181" s="1587">
        <f t="shared" ca="1" si="116"/>
        <v>0</v>
      </c>
      <c r="BM181" s="1212">
        <f t="shared" ca="1" si="117"/>
        <v>0</v>
      </c>
      <c r="BN181" s="1213">
        <f t="shared" ca="1" si="118"/>
        <v>0</v>
      </c>
      <c r="BO181" s="1587">
        <f t="shared" ca="1" si="119"/>
        <v>0</v>
      </c>
      <c r="BR181" s="1212">
        <f t="shared" ca="1" si="120"/>
        <v>0</v>
      </c>
      <c r="BS181" s="1213">
        <f t="shared" ca="1" si="121"/>
        <v>0</v>
      </c>
      <c r="BT181" s="1587">
        <f t="shared" ca="1" si="122"/>
        <v>0</v>
      </c>
      <c r="BW181" s="1212">
        <f t="shared" ca="1" si="123"/>
        <v>0</v>
      </c>
      <c r="BX181" s="1213">
        <f t="shared" ca="1" si="124"/>
        <v>0</v>
      </c>
      <c r="BY181" s="1587">
        <f t="shared" ca="1" si="125"/>
        <v>0</v>
      </c>
      <c r="CB181" s="1212">
        <f t="shared" ca="1" si="126"/>
        <v>0</v>
      </c>
      <c r="CC181" s="1213">
        <f t="shared" ca="1" si="127"/>
        <v>0</v>
      </c>
      <c r="CD181" s="1587">
        <f t="shared" ca="1" si="128"/>
        <v>0</v>
      </c>
      <c r="CG181" s="1212">
        <f t="shared" ca="1" si="129"/>
        <v>0</v>
      </c>
      <c r="CH181" s="1213">
        <f t="shared" ca="1" si="130"/>
        <v>0</v>
      </c>
      <c r="CI181" s="1587">
        <f t="shared" ca="1" si="131"/>
        <v>0</v>
      </c>
      <c r="CL181" s="1212">
        <f t="shared" ca="1" si="132"/>
        <v>0</v>
      </c>
      <c r="CM181" s="1213">
        <f t="shared" ca="1" si="133"/>
        <v>0</v>
      </c>
      <c r="CN181" s="1587">
        <f t="shared" ca="1" si="134"/>
        <v>0</v>
      </c>
    </row>
    <row r="182" spans="1:92">
      <c r="A182" s="141" t="str">
        <f>'銀行-TSS'!A182</f>
        <v>AU3CB0268167</v>
      </c>
      <c r="B182" s="151" t="str">
        <f ca="1">VLOOKUP(A182,'銀行-TSS'!A:B,2,FALSE)</f>
        <v>XG670</v>
      </c>
      <c r="C182" s="151" t="str">
        <f ca="1">VLOOKUP(B182,bond!B:C,2,FALSE)</f>
        <v>威瑞森電信公司澳幣配息債券  3.5% 2039/11/4</v>
      </c>
      <c r="D182" s="95" t="str">
        <f>VLOOKUP(A182,'銀行-TSS'!A:C,3,FALSE)</f>
        <v>AUD</v>
      </c>
      <c r="E182" s="90">
        <f ca="1">VLOOKUP(A182,'銀行-TSS'!A:G,7,FALSE)</f>
        <v>15.34</v>
      </c>
      <c r="F182" s="202">
        <f ca="1">VLOOKUP(A182,'銀行-TSS'!A:H,8,FALSE)</f>
        <v>3.5000000000000003E-2</v>
      </c>
      <c r="G182" s="96">
        <f ca="1">VLOOKUP(A182,'銀行-TSS'!A:K,11,FALSE)</f>
        <v>75.66</v>
      </c>
      <c r="H182" s="1209">
        <f ca="1">VLOOKUP(A182,'銀行-TSS'!A:M,13,FALSE)</f>
        <v>6.0100000000000001E-2</v>
      </c>
      <c r="I182" s="1213">
        <f ca="1">VLOOKUP(A182,'銀行-TSS'!A:N,14,FALSE)</f>
        <v>200000</v>
      </c>
      <c r="J182" s="1213">
        <f ca="1">VLOOKUP(A182,'銀行-TSS'!A:O,15,FALSE)</f>
        <v>10000</v>
      </c>
      <c r="K182" s="136" t="str">
        <f ca="1">VLOOKUP(A182,'銀行-TSS'!A:V,22,FALSE)</f>
        <v>(NPI)非專投</v>
      </c>
      <c r="L182" s="136" t="str">
        <f ca="1">VLOOKUP(A182,'銀行-TSS'!A:AK,37,FALSE)</f>
        <v>無</v>
      </c>
      <c r="M182" s="136" t="str">
        <f ca="1">VLOOKUP(A182,'銀行-TSS'!A:AN,40,FALSE)</f>
        <v>XG670</v>
      </c>
      <c r="N182" s="136">
        <f t="shared" ca="1" si="90"/>
        <v>7566</v>
      </c>
      <c r="O182" s="1213">
        <f t="shared" ca="1" si="91"/>
        <v>151320</v>
      </c>
      <c r="P182" s="1213">
        <f ca="1">IF(AND($O$1&gt;=O182,換券單檔!$D$13=D182),I182+INT(($O$1-O182)/N182)*J182,0)</f>
        <v>0</v>
      </c>
      <c r="Q182" s="1213">
        <f t="shared" ca="1" si="92"/>
        <v>0</v>
      </c>
      <c r="R182" s="1213">
        <f t="shared" ca="1" si="93"/>
        <v>0</v>
      </c>
      <c r="S182" s="1213">
        <f t="shared" ca="1" si="94"/>
        <v>0</v>
      </c>
      <c r="T182" s="136">
        <f ca="1">IF(OR(R182=0,A182=0),0,IF(AND(V182=TRUE,換券單檔!$D$13=D182),E182,0))</f>
        <v>0</v>
      </c>
      <c r="U182" s="861">
        <f ca="1">IF(OR(R182=0,A182=0),0,IF(AND(V182=TRUE,換券單檔!$D$13=D182),H182,0))</f>
        <v>0</v>
      </c>
      <c r="V182" s="136" t="b">
        <f ca="1">IF(OR(B182=換券單檔!$D$3,L182="無",M182&lt;&gt;"",K182="高資產",IFERROR(MATCH(B182,換券單檔!K:K,0),"N")&lt;&gt;"N"),FALSE,IF($V$1="All",TRUE,IF(K182=$V$1,TRUE,FALSE)))</f>
        <v>0</v>
      </c>
      <c r="W182" s="136">
        <f ca="1">VLOOKUP(A182,'銀行-TSS'!A:AO,41,FALSE)</f>
        <v>72.59</v>
      </c>
      <c r="X182" s="136">
        <f ca="1">VLOOKUP(A182,'銀行-TSS'!A:AP,42,FALSE)</f>
        <v>10.8348</v>
      </c>
      <c r="Y182" s="1220">
        <f t="shared" ca="1" si="95"/>
        <v>0</v>
      </c>
      <c r="Z182" s="1220">
        <f t="shared" ca="1" si="96"/>
        <v>0</v>
      </c>
      <c r="AA182" s="136">
        <f ca="1">IF(Z182&lt;=0,0,RANK(Z182,Z:Z)+COUNTIF($Z$3:$Z182,Z182)-1)</f>
        <v>0</v>
      </c>
      <c r="AB182" s="1211">
        <f t="shared" ca="1" si="97"/>
        <v>-14896.14</v>
      </c>
      <c r="AC182" s="136">
        <f ca="1">IF(AB182&lt;=0,0,RANK(AB182,AB:AB)+COUNTIF($AB$3:$AB182,AB182)-1)</f>
        <v>0</v>
      </c>
      <c r="AD182" s="1123">
        <f t="shared" ca="1" si="98"/>
        <v>99999</v>
      </c>
      <c r="AE182" s="1123">
        <f ca="1">IF(AD182=99999,0,RANK(AD182,AD:AD,1)+COUNTIF($AD$3:$AD182,AD182)-1)</f>
        <v>0</v>
      </c>
      <c r="AF182" s="86" t="b">
        <f ca="1">IF(OR(M182&lt;&gt;"",L182="無",K182="高資產",IFERROR(MATCH(B182,換券單檔!K:K,0),"N")&lt;&gt;"N"),FALSE,TRUE)</f>
        <v>0</v>
      </c>
      <c r="AI182" s="1212">
        <f t="shared" ca="1" si="99"/>
        <v>0</v>
      </c>
      <c r="AJ182" s="1213">
        <f t="shared" ca="1" si="100"/>
        <v>0</v>
      </c>
      <c r="AK182" s="1587">
        <f t="shared" ca="1" si="101"/>
        <v>0</v>
      </c>
      <c r="AN182" s="1212">
        <f t="shared" ca="1" si="102"/>
        <v>0</v>
      </c>
      <c r="AO182" s="1213">
        <f t="shared" ca="1" si="103"/>
        <v>0</v>
      </c>
      <c r="AP182" s="1587">
        <f t="shared" ca="1" si="104"/>
        <v>0</v>
      </c>
      <c r="AS182" s="1212">
        <f t="shared" ca="1" si="105"/>
        <v>0</v>
      </c>
      <c r="AT182" s="1213">
        <f t="shared" ca="1" si="106"/>
        <v>0</v>
      </c>
      <c r="AU182" s="1587">
        <f t="shared" ca="1" si="107"/>
        <v>0</v>
      </c>
      <c r="AX182" s="1212">
        <f t="shared" ca="1" si="108"/>
        <v>0</v>
      </c>
      <c r="AY182" s="1213">
        <f t="shared" ca="1" si="109"/>
        <v>0</v>
      </c>
      <c r="AZ182" s="1587">
        <f t="shared" ca="1" si="110"/>
        <v>0</v>
      </c>
      <c r="BC182" s="1212">
        <f t="shared" ca="1" si="111"/>
        <v>0</v>
      </c>
      <c r="BD182" s="1213">
        <f t="shared" ca="1" si="112"/>
        <v>0</v>
      </c>
      <c r="BE182" s="1587">
        <f t="shared" ca="1" si="113"/>
        <v>0</v>
      </c>
      <c r="BH182" s="1212">
        <f t="shared" ca="1" si="114"/>
        <v>0</v>
      </c>
      <c r="BI182" s="1213">
        <f t="shared" ca="1" si="115"/>
        <v>0</v>
      </c>
      <c r="BJ182" s="1587">
        <f t="shared" ca="1" si="116"/>
        <v>0</v>
      </c>
      <c r="BM182" s="1212">
        <f t="shared" ca="1" si="117"/>
        <v>0</v>
      </c>
      <c r="BN182" s="1213">
        <f t="shared" ca="1" si="118"/>
        <v>0</v>
      </c>
      <c r="BO182" s="1587">
        <f t="shared" ca="1" si="119"/>
        <v>0</v>
      </c>
      <c r="BR182" s="1212">
        <f t="shared" ca="1" si="120"/>
        <v>0</v>
      </c>
      <c r="BS182" s="1213">
        <f t="shared" ca="1" si="121"/>
        <v>0</v>
      </c>
      <c r="BT182" s="1587">
        <f t="shared" ca="1" si="122"/>
        <v>0</v>
      </c>
      <c r="BW182" s="1212">
        <f t="shared" ca="1" si="123"/>
        <v>0</v>
      </c>
      <c r="BX182" s="1213">
        <f t="shared" ca="1" si="124"/>
        <v>0</v>
      </c>
      <c r="BY182" s="1587">
        <f t="shared" ca="1" si="125"/>
        <v>0</v>
      </c>
      <c r="CB182" s="1212">
        <f t="shared" ca="1" si="126"/>
        <v>0</v>
      </c>
      <c r="CC182" s="1213">
        <f t="shared" ca="1" si="127"/>
        <v>0</v>
      </c>
      <c r="CD182" s="1587">
        <f t="shared" ca="1" si="128"/>
        <v>0</v>
      </c>
      <c r="CG182" s="1212">
        <f t="shared" ca="1" si="129"/>
        <v>0</v>
      </c>
      <c r="CH182" s="1213">
        <f t="shared" ca="1" si="130"/>
        <v>0</v>
      </c>
      <c r="CI182" s="1587">
        <f t="shared" ca="1" si="131"/>
        <v>0</v>
      </c>
      <c r="CL182" s="1212">
        <f t="shared" ca="1" si="132"/>
        <v>0</v>
      </c>
      <c r="CM182" s="1213">
        <f t="shared" ca="1" si="133"/>
        <v>0</v>
      </c>
      <c r="CN182" s="1587">
        <f t="shared" ca="1" si="134"/>
        <v>0</v>
      </c>
    </row>
    <row r="183" spans="1:92">
      <c r="A183" s="141" t="str">
        <f>'銀行-TSS'!A183</f>
        <v>XS1944412748</v>
      </c>
      <c r="B183" s="151" t="str">
        <f ca="1">VLOOKUP(A183,'銀行-TSS'!A:B,2,FALSE)</f>
        <v>XG680</v>
      </c>
      <c r="C183" s="151" t="str">
        <f ca="1">VLOOKUP(B183,bond!B:C,2,FALSE)</f>
        <v>阿曼政府國際公債美元配息債券 6% 2029/8/1</v>
      </c>
      <c r="D183" s="95" t="str">
        <f>VLOOKUP(A183,'銀行-TSS'!A:C,3,FALSE)</f>
        <v>USD</v>
      </c>
      <c r="E183" s="90">
        <f ca="1">VLOOKUP(A183,'銀行-TSS'!A:G,7,FALSE)</f>
        <v>5.08</v>
      </c>
      <c r="F183" s="202">
        <f ca="1">VLOOKUP(A183,'銀行-TSS'!A:H,8,FALSE)</f>
        <v>0.06</v>
      </c>
      <c r="G183" s="96">
        <f ca="1">VLOOKUP(A183,'銀行-TSS'!A:K,11,FALSE)</f>
        <v>106.85</v>
      </c>
      <c r="H183" s="1209">
        <f ca="1">VLOOKUP(A183,'銀行-TSS'!A:M,13,FALSE)</f>
        <v>5.0200000000000002E-2</v>
      </c>
      <c r="I183" s="1213">
        <f ca="1">VLOOKUP(A183,'銀行-TSS'!A:N,14,FALSE)</f>
        <v>200000</v>
      </c>
      <c r="J183" s="1213">
        <f ca="1">VLOOKUP(A183,'銀行-TSS'!A:O,15,FALSE)</f>
        <v>1000</v>
      </c>
      <c r="K183" s="136" t="str">
        <f ca="1">VLOOKUP(A183,'銀行-TSS'!A:V,22,FALSE)</f>
        <v>高資產</v>
      </c>
      <c r="L183" s="136" t="str">
        <f ca="1">VLOOKUP(A183,'銀行-TSS'!A:AK,37,FALSE)</f>
        <v>有</v>
      </c>
      <c r="M183" s="136" t="str">
        <f ca="1">VLOOKUP(A183,'銀行-TSS'!A:AN,40,FALSE)</f>
        <v/>
      </c>
      <c r="N183" s="136">
        <f t="shared" ca="1" si="90"/>
        <v>1068.5</v>
      </c>
      <c r="O183" s="1213">
        <f t="shared" ca="1" si="91"/>
        <v>213700</v>
      </c>
      <c r="P183" s="1213">
        <f ca="1">IF(AND($O$1&gt;=O183,換券單檔!$D$13=D183),I183+INT(($O$1-O183)/N183)*J183,0)</f>
        <v>0</v>
      </c>
      <c r="Q183" s="1213">
        <f t="shared" ca="1" si="92"/>
        <v>0</v>
      </c>
      <c r="R183" s="1213">
        <f t="shared" ca="1" si="93"/>
        <v>0</v>
      </c>
      <c r="S183" s="1213">
        <f t="shared" ca="1" si="94"/>
        <v>0</v>
      </c>
      <c r="T183" s="136">
        <f ca="1">IF(OR(R183=0,A183=0),0,IF(AND(V183=TRUE,換券單檔!$D$13=D183),E183,0))</f>
        <v>0</v>
      </c>
      <c r="U183" s="861">
        <f ca="1">IF(OR(R183=0,A183=0),0,IF(AND(V183=TRUE,換券單檔!$D$13=D183),H183,0))</f>
        <v>0</v>
      </c>
      <c r="V183" s="136" t="b">
        <f ca="1">IF(OR(B183=換券單檔!$D$3,L183="無",M183&lt;&gt;"",K183="高資產",IFERROR(MATCH(B183,換券單檔!K:K,0),"N")&lt;&gt;"N"),FALSE,IF($V$1="All",TRUE,IF(K183=$V$1,TRUE,FALSE)))</f>
        <v>0</v>
      </c>
      <c r="W183" s="136">
        <f ca="1">VLOOKUP(A183,'銀行-TSS'!A:AO,41,FALSE)</f>
        <v>102.32000000000001</v>
      </c>
      <c r="X183" s="136">
        <f ca="1">VLOOKUP(A183,'銀行-TSS'!A:AP,42,FALSE)</f>
        <v>4.2404000000000002</v>
      </c>
      <c r="Y183" s="1220">
        <f t="shared" ca="1" si="95"/>
        <v>0</v>
      </c>
      <c r="Z183" s="1220">
        <f t="shared" ca="1" si="96"/>
        <v>0</v>
      </c>
      <c r="AA183" s="136">
        <f ca="1">IF(Z183&lt;=0,0,RANK(Z183,Z:Z)+COUNTIF($Z$3:$Z183,Z183)-1)</f>
        <v>0</v>
      </c>
      <c r="AB183" s="1211">
        <f t="shared" ca="1" si="97"/>
        <v>-14896.14</v>
      </c>
      <c r="AC183" s="136">
        <f ca="1">IF(AB183&lt;=0,0,RANK(AB183,AB:AB)+COUNTIF($AB$3:$AB183,AB183)-1)</f>
        <v>0</v>
      </c>
      <c r="AD183" s="1123">
        <f t="shared" ca="1" si="98"/>
        <v>99999</v>
      </c>
      <c r="AE183" s="1123">
        <f ca="1">IF(AD183=99999,0,RANK(AD183,AD:AD,1)+COUNTIF($AD$3:$AD183,AD183)-1)</f>
        <v>0</v>
      </c>
      <c r="AF183" s="86" t="b">
        <f ca="1">IF(OR(M183&lt;&gt;"",L183="無",K183="高資產",IFERROR(MATCH(B183,換券單檔!K:K,0),"N")&lt;&gt;"N"),FALSE,TRUE)</f>
        <v>0</v>
      </c>
      <c r="AI183" s="1212">
        <f t="shared" ca="1" si="99"/>
        <v>0</v>
      </c>
      <c r="AJ183" s="1213">
        <f t="shared" ca="1" si="100"/>
        <v>0</v>
      </c>
      <c r="AK183" s="1587">
        <f t="shared" ca="1" si="101"/>
        <v>0</v>
      </c>
      <c r="AN183" s="1212">
        <f t="shared" ca="1" si="102"/>
        <v>0</v>
      </c>
      <c r="AO183" s="1213">
        <f t="shared" ca="1" si="103"/>
        <v>0</v>
      </c>
      <c r="AP183" s="1587">
        <f t="shared" ca="1" si="104"/>
        <v>0</v>
      </c>
      <c r="AS183" s="1212">
        <f t="shared" ca="1" si="105"/>
        <v>0</v>
      </c>
      <c r="AT183" s="1213">
        <f t="shared" ca="1" si="106"/>
        <v>0</v>
      </c>
      <c r="AU183" s="1587">
        <f t="shared" ca="1" si="107"/>
        <v>0</v>
      </c>
      <c r="AX183" s="1212">
        <f t="shared" ca="1" si="108"/>
        <v>0</v>
      </c>
      <c r="AY183" s="1213">
        <f t="shared" ca="1" si="109"/>
        <v>0</v>
      </c>
      <c r="AZ183" s="1587">
        <f t="shared" ca="1" si="110"/>
        <v>0</v>
      </c>
      <c r="BC183" s="1212">
        <f t="shared" ca="1" si="111"/>
        <v>0</v>
      </c>
      <c r="BD183" s="1213">
        <f t="shared" ca="1" si="112"/>
        <v>0</v>
      </c>
      <c r="BE183" s="1587">
        <f t="shared" ca="1" si="113"/>
        <v>0</v>
      </c>
      <c r="BH183" s="1212">
        <f t="shared" ca="1" si="114"/>
        <v>0</v>
      </c>
      <c r="BI183" s="1213">
        <f t="shared" ca="1" si="115"/>
        <v>0</v>
      </c>
      <c r="BJ183" s="1587">
        <f t="shared" ca="1" si="116"/>
        <v>0</v>
      </c>
      <c r="BM183" s="1212">
        <f t="shared" ca="1" si="117"/>
        <v>0</v>
      </c>
      <c r="BN183" s="1213">
        <f t="shared" ca="1" si="118"/>
        <v>0</v>
      </c>
      <c r="BO183" s="1587">
        <f t="shared" ca="1" si="119"/>
        <v>0</v>
      </c>
      <c r="BR183" s="1212">
        <f t="shared" ca="1" si="120"/>
        <v>0</v>
      </c>
      <c r="BS183" s="1213">
        <f t="shared" ca="1" si="121"/>
        <v>0</v>
      </c>
      <c r="BT183" s="1587">
        <f t="shared" ca="1" si="122"/>
        <v>0</v>
      </c>
      <c r="BW183" s="1212">
        <f t="shared" ca="1" si="123"/>
        <v>0</v>
      </c>
      <c r="BX183" s="1213">
        <f t="shared" ca="1" si="124"/>
        <v>0</v>
      </c>
      <c r="BY183" s="1587">
        <f t="shared" ca="1" si="125"/>
        <v>0</v>
      </c>
      <c r="CB183" s="1212">
        <f t="shared" ca="1" si="126"/>
        <v>0</v>
      </c>
      <c r="CC183" s="1213">
        <f t="shared" ca="1" si="127"/>
        <v>0</v>
      </c>
      <c r="CD183" s="1587">
        <f t="shared" ca="1" si="128"/>
        <v>0</v>
      </c>
      <c r="CG183" s="1212">
        <f t="shared" ca="1" si="129"/>
        <v>0</v>
      </c>
      <c r="CH183" s="1213">
        <f t="shared" ca="1" si="130"/>
        <v>0</v>
      </c>
      <c r="CI183" s="1587">
        <f t="shared" ca="1" si="131"/>
        <v>0</v>
      </c>
      <c r="CL183" s="1212">
        <f t="shared" ca="1" si="132"/>
        <v>0</v>
      </c>
      <c r="CM183" s="1213">
        <f t="shared" ca="1" si="133"/>
        <v>0</v>
      </c>
      <c r="CN183" s="1587">
        <f t="shared" ca="1" si="134"/>
        <v>0</v>
      </c>
    </row>
    <row r="184" spans="1:92">
      <c r="A184" s="141" t="str">
        <f>'銀行-TSS'!A184</f>
        <v>US71645WAS08</v>
      </c>
      <c r="B184" s="151" t="str">
        <f ca="1">VLOOKUP(A184,'銀行-TSS'!A:B,2,FALSE)</f>
        <v>XG690</v>
      </c>
      <c r="C184" s="151" t="str">
        <f ca="1">VLOOKUP(B184,bond!B:C,2,FALSE)</f>
        <v>巴西石油全球金融私人有限公司美元配息債券 6.75% 2041/1/27</v>
      </c>
      <c r="D184" s="95" t="str">
        <f>VLOOKUP(A184,'銀行-TSS'!A:C,3,FALSE)</f>
        <v>USD</v>
      </c>
      <c r="E184" s="90">
        <f ca="1">VLOOKUP(A184,'銀行-TSS'!A:G,7,FALSE)</f>
        <v>16.57</v>
      </c>
      <c r="F184" s="202">
        <f ca="1">VLOOKUP(A184,'銀行-TSS'!A:H,8,FALSE)</f>
        <v>6.7500000000000004E-2</v>
      </c>
      <c r="G184" s="96">
        <f ca="1">VLOOKUP(A184,'銀行-TSS'!A:K,11,FALSE)</f>
        <v>103.26</v>
      </c>
      <c r="H184" s="1209">
        <f ca="1">VLOOKUP(A184,'銀行-TSS'!A:M,13,FALSE)</f>
        <v>6.7100000000000007E-2</v>
      </c>
      <c r="I184" s="1213">
        <f ca="1">VLOOKUP(A184,'銀行-TSS'!A:N,14,FALSE)</f>
        <v>10000</v>
      </c>
      <c r="J184" s="1213">
        <f ca="1">VLOOKUP(A184,'銀行-TSS'!A:O,15,FALSE)</f>
        <v>1000</v>
      </c>
      <c r="K184" s="136" t="str">
        <f ca="1">VLOOKUP(A184,'銀行-TSS'!A:V,22,FALSE)</f>
        <v>高資產</v>
      </c>
      <c r="L184" s="136" t="str">
        <f ca="1">VLOOKUP(A184,'銀行-TSS'!A:AK,37,FALSE)</f>
        <v>有</v>
      </c>
      <c r="M184" s="136" t="str">
        <f ca="1">VLOOKUP(A184,'銀行-TSS'!A:AN,40,FALSE)</f>
        <v/>
      </c>
      <c r="N184" s="136">
        <f t="shared" ca="1" si="90"/>
        <v>1032.5999999999999</v>
      </c>
      <c r="O184" s="1213">
        <f t="shared" ca="1" si="91"/>
        <v>10326</v>
      </c>
      <c r="P184" s="1213">
        <f ca="1">IF(AND($O$1&gt;=O184,換券單檔!$D$13=D184),I184+INT(($O$1-O184)/N184)*J184,0)</f>
        <v>93000</v>
      </c>
      <c r="Q184" s="1213">
        <f t="shared" ca="1" si="92"/>
        <v>6277.5</v>
      </c>
      <c r="R184" s="1213">
        <f t="shared" ca="1" si="93"/>
        <v>0</v>
      </c>
      <c r="S184" s="1213">
        <f t="shared" ca="1" si="94"/>
        <v>0</v>
      </c>
      <c r="T184" s="136">
        <f ca="1">IF(OR(R184=0,A184=0),0,IF(AND(V184=TRUE,換券單檔!$D$13=D184),E184,0))</f>
        <v>0</v>
      </c>
      <c r="U184" s="861">
        <f ca="1">IF(OR(R184=0,A184=0),0,IF(AND(V184=TRUE,換券單檔!$D$13=D184),H184,0))</f>
        <v>0</v>
      </c>
      <c r="V184" s="136" t="b">
        <f ca="1">IF(OR(B184=換券單檔!$D$3,L184="無",M184&lt;&gt;"",K184="高資產",IFERROR(MATCH(B184,換券單檔!K:K,0),"N")&lt;&gt;"N"),FALSE,IF($V$1="All",TRUE,IF(K184=$V$1,TRUE,FALSE)))</f>
        <v>0</v>
      </c>
      <c r="W184" s="136">
        <f ca="1">VLOOKUP(A184,'銀行-TSS'!A:AO,41,FALSE)</f>
        <v>97.350000000000009</v>
      </c>
      <c r="X184" s="136">
        <f ca="1">VLOOKUP(A184,'銀行-TSS'!A:AP,42,FALSE)</f>
        <v>9.5225000000000009</v>
      </c>
      <c r="Y184" s="1220">
        <f t="shared" ca="1" si="95"/>
        <v>0</v>
      </c>
      <c r="Z184" s="1220">
        <f t="shared" ca="1" si="96"/>
        <v>0</v>
      </c>
      <c r="AA184" s="136">
        <f ca="1">IF(Z184&lt;=0,0,RANK(Z184,Z:Z)+COUNTIF($Z$3:$Z184,Z184)-1)</f>
        <v>0</v>
      </c>
      <c r="AB184" s="1211">
        <f t="shared" ca="1" si="97"/>
        <v>-14896.14</v>
      </c>
      <c r="AC184" s="136">
        <f ca="1">IF(AB184&lt;=0,0,RANK(AB184,AB:AB)+COUNTIF($AB$3:$AB184,AB184)-1)</f>
        <v>0</v>
      </c>
      <c r="AD184" s="1123">
        <f t="shared" ca="1" si="98"/>
        <v>99999</v>
      </c>
      <c r="AE184" s="1123">
        <f ca="1">IF(AD184=99999,0,RANK(AD184,AD:AD,1)+COUNTIF($AD$3:$AD184,AD184)-1)</f>
        <v>0</v>
      </c>
      <c r="AF184" s="86" t="b">
        <f ca="1">IF(OR(M184&lt;&gt;"",L184="無",K184="高資產",IFERROR(MATCH(B184,換券單檔!K:K,0),"N")&lt;&gt;"N"),FALSE,TRUE)</f>
        <v>0</v>
      </c>
      <c r="AI184" s="1212">
        <f t="shared" ca="1" si="99"/>
        <v>0</v>
      </c>
      <c r="AJ184" s="1213">
        <f t="shared" ca="1" si="100"/>
        <v>0</v>
      </c>
      <c r="AK184" s="1587">
        <f t="shared" ca="1" si="101"/>
        <v>0</v>
      </c>
      <c r="AN184" s="1212">
        <f t="shared" ca="1" si="102"/>
        <v>0</v>
      </c>
      <c r="AO184" s="1213">
        <f t="shared" ca="1" si="103"/>
        <v>0</v>
      </c>
      <c r="AP184" s="1587">
        <f t="shared" ca="1" si="104"/>
        <v>0</v>
      </c>
      <c r="AS184" s="1212">
        <f t="shared" ca="1" si="105"/>
        <v>0</v>
      </c>
      <c r="AT184" s="1213">
        <f t="shared" ca="1" si="106"/>
        <v>0</v>
      </c>
      <c r="AU184" s="1587">
        <f t="shared" ca="1" si="107"/>
        <v>0</v>
      </c>
      <c r="AX184" s="1212">
        <f t="shared" ca="1" si="108"/>
        <v>0</v>
      </c>
      <c r="AY184" s="1213">
        <f t="shared" ca="1" si="109"/>
        <v>0</v>
      </c>
      <c r="AZ184" s="1587">
        <f t="shared" ca="1" si="110"/>
        <v>0</v>
      </c>
      <c r="BC184" s="1212">
        <f t="shared" ca="1" si="111"/>
        <v>0</v>
      </c>
      <c r="BD184" s="1213">
        <f t="shared" ca="1" si="112"/>
        <v>0</v>
      </c>
      <c r="BE184" s="1587">
        <f t="shared" ca="1" si="113"/>
        <v>0</v>
      </c>
      <c r="BH184" s="1212">
        <f t="shared" ca="1" si="114"/>
        <v>0</v>
      </c>
      <c r="BI184" s="1213">
        <f t="shared" ca="1" si="115"/>
        <v>0</v>
      </c>
      <c r="BJ184" s="1587">
        <f t="shared" ca="1" si="116"/>
        <v>0</v>
      </c>
      <c r="BM184" s="1212">
        <f t="shared" ca="1" si="117"/>
        <v>0</v>
      </c>
      <c r="BN184" s="1213">
        <f t="shared" ca="1" si="118"/>
        <v>0</v>
      </c>
      <c r="BO184" s="1587">
        <f t="shared" ca="1" si="119"/>
        <v>0</v>
      </c>
      <c r="BR184" s="1212">
        <f t="shared" ca="1" si="120"/>
        <v>0</v>
      </c>
      <c r="BS184" s="1213">
        <f t="shared" ca="1" si="121"/>
        <v>0</v>
      </c>
      <c r="BT184" s="1587">
        <f t="shared" ca="1" si="122"/>
        <v>0</v>
      </c>
      <c r="BW184" s="1212">
        <f t="shared" ca="1" si="123"/>
        <v>0</v>
      </c>
      <c r="BX184" s="1213">
        <f t="shared" ca="1" si="124"/>
        <v>0</v>
      </c>
      <c r="BY184" s="1587">
        <f t="shared" ca="1" si="125"/>
        <v>0</v>
      </c>
      <c r="CB184" s="1212">
        <f t="shared" ca="1" si="126"/>
        <v>0</v>
      </c>
      <c r="CC184" s="1213">
        <f t="shared" ca="1" si="127"/>
        <v>0</v>
      </c>
      <c r="CD184" s="1587">
        <f t="shared" ca="1" si="128"/>
        <v>0</v>
      </c>
      <c r="CG184" s="1212">
        <f t="shared" ca="1" si="129"/>
        <v>0</v>
      </c>
      <c r="CH184" s="1213">
        <f t="shared" ca="1" si="130"/>
        <v>0</v>
      </c>
      <c r="CI184" s="1587">
        <f t="shared" ca="1" si="131"/>
        <v>0</v>
      </c>
      <c r="CL184" s="1212">
        <f t="shared" ca="1" si="132"/>
        <v>0</v>
      </c>
      <c r="CM184" s="1213">
        <f t="shared" ca="1" si="133"/>
        <v>0</v>
      </c>
      <c r="CN184" s="1587">
        <f t="shared" ca="1" si="134"/>
        <v>0</v>
      </c>
    </row>
    <row r="185" spans="1:92">
      <c r="A185" s="141" t="str">
        <f>'銀行-TSS'!A185</f>
        <v>US71654QCC42</v>
      </c>
      <c r="B185" s="151" t="str">
        <f ca="1">VLOOKUP(A185,'銀行-TSS'!A:B,2,FALSE)</f>
        <v>XG700</v>
      </c>
      <c r="C185" s="151" t="str">
        <f ca="1">VLOOKUP(B185,bond!B:C,2,FALSE)</f>
        <v>墨西哥石油公司美元配息債券 6.75% 2047/9/21</v>
      </c>
      <c r="D185" s="95" t="str">
        <f>VLOOKUP(A185,'銀行-TSS'!A:C,3,FALSE)</f>
        <v>USD</v>
      </c>
      <c r="E185" s="90">
        <f ca="1">VLOOKUP(A185,'銀行-TSS'!A:G,7,FALSE)</f>
        <v>23.22</v>
      </c>
      <c r="F185" s="202">
        <f ca="1">VLOOKUP(A185,'銀行-TSS'!A:H,8,FALSE)</f>
        <v>6.7500000000000004E-2</v>
      </c>
      <c r="G185" s="96">
        <f ca="1">VLOOKUP(A185,'銀行-TSS'!A:K,11,FALSE)</f>
        <v>72.55</v>
      </c>
      <c r="H185" s="1209">
        <f ca="1">VLOOKUP(A185,'銀行-TSS'!A:M,13,FALSE)</f>
        <v>0.1003</v>
      </c>
      <c r="I185" s="1213">
        <f ca="1">VLOOKUP(A185,'銀行-TSS'!A:N,14,FALSE)</f>
        <v>10000</v>
      </c>
      <c r="J185" s="1213">
        <f ca="1">VLOOKUP(A185,'銀行-TSS'!A:O,15,FALSE)</f>
        <v>1000</v>
      </c>
      <c r="K185" s="136" t="str">
        <f ca="1">VLOOKUP(A185,'銀行-TSS'!A:V,22,FALSE)</f>
        <v>高資產</v>
      </c>
      <c r="L185" s="136" t="str">
        <f ca="1">VLOOKUP(A185,'銀行-TSS'!A:AK,37,FALSE)</f>
        <v>有</v>
      </c>
      <c r="M185" s="136" t="str">
        <f ca="1">VLOOKUP(A185,'銀行-TSS'!A:AN,40,FALSE)</f>
        <v/>
      </c>
      <c r="N185" s="136">
        <f t="shared" ca="1" si="90"/>
        <v>725.5</v>
      </c>
      <c r="O185" s="1213">
        <f t="shared" ca="1" si="91"/>
        <v>7255</v>
      </c>
      <c r="P185" s="1213">
        <f ca="1">IF(AND($O$1&gt;=O185,換券單檔!$D$13=D185),I185+INT(($O$1-O185)/N185)*J185,0)</f>
        <v>133000</v>
      </c>
      <c r="Q185" s="1213">
        <f t="shared" ca="1" si="92"/>
        <v>8977.5</v>
      </c>
      <c r="R185" s="1213">
        <f t="shared" ca="1" si="93"/>
        <v>0</v>
      </c>
      <c r="S185" s="1213">
        <f t="shared" ca="1" si="94"/>
        <v>0</v>
      </c>
      <c r="T185" s="136">
        <f ca="1">IF(OR(R185=0,A185=0),0,IF(AND(V185=TRUE,換券單檔!$D$13=D185),E185,0))</f>
        <v>0</v>
      </c>
      <c r="U185" s="861">
        <f ca="1">IF(OR(R185=0,A185=0),0,IF(AND(V185=TRUE,換券單檔!$D$13=D185),H185,0))</f>
        <v>0</v>
      </c>
      <c r="V185" s="136" t="b">
        <f ca="1">IF(OR(B185=換券單檔!$D$3,L185="無",M185&lt;&gt;"",K185="高資產",IFERROR(MATCH(B185,換券單檔!K:K,0),"N")&lt;&gt;"N"),FALSE,IF($V$1="All",TRUE,IF(K185=$V$1,TRUE,FALSE)))</f>
        <v>0</v>
      </c>
      <c r="W185" s="136">
        <f ca="1">VLOOKUP(A185,'銀行-TSS'!A:AO,41,FALSE)</f>
        <v>67.16</v>
      </c>
      <c r="X185" s="136">
        <f ca="1">VLOOKUP(A185,'銀行-TSS'!A:AP,42,FALSE)</f>
        <v>9.0693999999999999</v>
      </c>
      <c r="Y185" s="1220">
        <f t="shared" ca="1" si="95"/>
        <v>0</v>
      </c>
      <c r="Z185" s="1220">
        <f t="shared" ca="1" si="96"/>
        <v>0</v>
      </c>
      <c r="AA185" s="136">
        <f ca="1">IF(Z185&lt;=0,0,RANK(Z185,Z:Z)+COUNTIF($Z$3:$Z185,Z185)-1)</f>
        <v>0</v>
      </c>
      <c r="AB185" s="1211">
        <f t="shared" ca="1" si="97"/>
        <v>-14896.14</v>
      </c>
      <c r="AC185" s="136">
        <f ca="1">IF(AB185&lt;=0,0,RANK(AB185,AB:AB)+COUNTIF($AB$3:$AB185,AB185)-1)</f>
        <v>0</v>
      </c>
      <c r="AD185" s="1123">
        <f t="shared" ca="1" si="98"/>
        <v>99999</v>
      </c>
      <c r="AE185" s="1123">
        <f ca="1">IF(AD185=99999,0,RANK(AD185,AD:AD,1)+COUNTIF($AD$3:$AD185,AD185)-1)</f>
        <v>0</v>
      </c>
      <c r="AF185" s="86" t="b">
        <f ca="1">IF(OR(M185&lt;&gt;"",L185="無",K185="高資產",IFERROR(MATCH(B185,換券單檔!K:K,0),"N")&lt;&gt;"N"),FALSE,TRUE)</f>
        <v>0</v>
      </c>
      <c r="AI185" s="1212">
        <f t="shared" ca="1" si="99"/>
        <v>0</v>
      </c>
      <c r="AJ185" s="1213">
        <f t="shared" ca="1" si="100"/>
        <v>0</v>
      </c>
      <c r="AK185" s="1587">
        <f t="shared" ca="1" si="101"/>
        <v>0</v>
      </c>
      <c r="AN185" s="1212">
        <f t="shared" ca="1" si="102"/>
        <v>0</v>
      </c>
      <c r="AO185" s="1213">
        <f t="shared" ca="1" si="103"/>
        <v>0</v>
      </c>
      <c r="AP185" s="1587">
        <f t="shared" ca="1" si="104"/>
        <v>0</v>
      </c>
      <c r="AS185" s="1212">
        <f t="shared" ca="1" si="105"/>
        <v>0</v>
      </c>
      <c r="AT185" s="1213">
        <f t="shared" ca="1" si="106"/>
        <v>0</v>
      </c>
      <c r="AU185" s="1587">
        <f t="shared" ca="1" si="107"/>
        <v>0</v>
      </c>
      <c r="AX185" s="1212">
        <f t="shared" ca="1" si="108"/>
        <v>0</v>
      </c>
      <c r="AY185" s="1213">
        <f t="shared" ca="1" si="109"/>
        <v>0</v>
      </c>
      <c r="AZ185" s="1587">
        <f t="shared" ca="1" si="110"/>
        <v>0</v>
      </c>
      <c r="BC185" s="1212">
        <f t="shared" ca="1" si="111"/>
        <v>0</v>
      </c>
      <c r="BD185" s="1213">
        <f t="shared" ca="1" si="112"/>
        <v>0</v>
      </c>
      <c r="BE185" s="1587">
        <f t="shared" ca="1" si="113"/>
        <v>0</v>
      </c>
      <c r="BH185" s="1212">
        <f t="shared" ca="1" si="114"/>
        <v>0</v>
      </c>
      <c r="BI185" s="1213">
        <f t="shared" ca="1" si="115"/>
        <v>0</v>
      </c>
      <c r="BJ185" s="1587">
        <f t="shared" ca="1" si="116"/>
        <v>0</v>
      </c>
      <c r="BM185" s="1212">
        <f t="shared" ca="1" si="117"/>
        <v>0</v>
      </c>
      <c r="BN185" s="1213">
        <f t="shared" ca="1" si="118"/>
        <v>0</v>
      </c>
      <c r="BO185" s="1587">
        <f t="shared" ca="1" si="119"/>
        <v>0</v>
      </c>
      <c r="BR185" s="1212">
        <f t="shared" ca="1" si="120"/>
        <v>0</v>
      </c>
      <c r="BS185" s="1213">
        <f t="shared" ca="1" si="121"/>
        <v>0</v>
      </c>
      <c r="BT185" s="1587">
        <f t="shared" ca="1" si="122"/>
        <v>0</v>
      </c>
      <c r="BW185" s="1212">
        <f t="shared" ca="1" si="123"/>
        <v>0</v>
      </c>
      <c r="BX185" s="1213">
        <f t="shared" ca="1" si="124"/>
        <v>0</v>
      </c>
      <c r="BY185" s="1587">
        <f t="shared" ca="1" si="125"/>
        <v>0</v>
      </c>
      <c r="CB185" s="1212">
        <f t="shared" ca="1" si="126"/>
        <v>0</v>
      </c>
      <c r="CC185" s="1213">
        <f t="shared" ca="1" si="127"/>
        <v>0</v>
      </c>
      <c r="CD185" s="1587">
        <f t="shared" ca="1" si="128"/>
        <v>0</v>
      </c>
      <c r="CG185" s="1212">
        <f t="shared" ca="1" si="129"/>
        <v>0</v>
      </c>
      <c r="CH185" s="1213">
        <f t="shared" ca="1" si="130"/>
        <v>0</v>
      </c>
      <c r="CI185" s="1587">
        <f t="shared" ca="1" si="131"/>
        <v>0</v>
      </c>
      <c r="CL185" s="1212">
        <f t="shared" ca="1" si="132"/>
        <v>0</v>
      </c>
      <c r="CM185" s="1213">
        <f t="shared" ca="1" si="133"/>
        <v>0</v>
      </c>
      <c r="CN185" s="1587">
        <f t="shared" ca="1" si="134"/>
        <v>0</v>
      </c>
    </row>
    <row r="186" spans="1:92">
      <c r="A186" s="141" t="str">
        <f>'銀行-TSS'!A186</f>
        <v>USU59340AM85</v>
      </c>
      <c r="B186" s="151" t="str">
        <f ca="1">VLOOKUP(A186,'銀行-TSS'!A:B,2,FALSE)</f>
        <v>XG720</v>
      </c>
      <c r="C186" s="151" t="str">
        <f ca="1">VLOOKUP(B186,bond!B:C,2,FALSE)</f>
        <v>微軟公司美元配息債券 2.5% 2050/9/15</v>
      </c>
      <c r="D186" s="95" t="str">
        <f>VLOOKUP(A186,'銀行-TSS'!A:C,3,FALSE)</f>
        <v>USD</v>
      </c>
      <c r="E186" s="90">
        <f ca="1">VLOOKUP(A186,'銀行-TSS'!A:G,7,FALSE)</f>
        <v>26.2</v>
      </c>
      <c r="F186" s="202">
        <f ca="1">VLOOKUP(A186,'銀行-TSS'!A:H,8,FALSE)</f>
        <v>2.5000000000000001E-2</v>
      </c>
      <c r="G186" s="96">
        <f ca="1">VLOOKUP(A186,'銀行-TSS'!A:K,11,FALSE)</f>
        <v>67.239999999999995</v>
      </c>
      <c r="H186" s="1209">
        <f ca="1">VLOOKUP(A186,'銀行-TSS'!A:M,13,FALSE)</f>
        <v>4.7500000000000001E-2</v>
      </c>
      <c r="I186" s="1213">
        <f ca="1">VLOOKUP(A186,'銀行-TSS'!A:N,14,FALSE)</f>
        <v>10000</v>
      </c>
      <c r="J186" s="1213">
        <f ca="1">VLOOKUP(A186,'銀行-TSS'!A:O,15,FALSE)</f>
        <v>1000</v>
      </c>
      <c r="K186" s="136" t="str">
        <f ca="1">VLOOKUP(A186,'銀行-TSS'!A:V,22,FALSE)</f>
        <v>高資產</v>
      </c>
      <c r="L186" s="136" t="str">
        <f ca="1">VLOOKUP(A186,'銀行-TSS'!A:AK,37,FALSE)</f>
        <v>需查詢</v>
      </c>
      <c r="M186" s="136" t="str">
        <f ca="1">VLOOKUP(A186,'銀行-TSS'!A:AN,40,FALSE)</f>
        <v/>
      </c>
      <c r="N186" s="136">
        <f t="shared" ca="1" si="90"/>
        <v>672.4</v>
      </c>
      <c r="O186" s="1213">
        <f t="shared" ca="1" si="91"/>
        <v>6724</v>
      </c>
      <c r="P186" s="1213">
        <f ca="1">IF(AND($O$1&gt;=O186,換券單檔!$D$13=D186),I186+INT(($O$1-O186)/N186)*J186,0)</f>
        <v>143000</v>
      </c>
      <c r="Q186" s="1213">
        <f t="shared" ca="1" si="92"/>
        <v>3575</v>
      </c>
      <c r="R186" s="1213">
        <f t="shared" ca="1" si="93"/>
        <v>0</v>
      </c>
      <c r="S186" s="1213">
        <f t="shared" ca="1" si="94"/>
        <v>0</v>
      </c>
      <c r="T186" s="136">
        <f ca="1">IF(OR(R186=0,A186=0),0,IF(AND(V186=TRUE,換券單檔!$D$13=D186),E186,0))</f>
        <v>0</v>
      </c>
      <c r="U186" s="861">
        <f ca="1">IF(OR(R186=0,A186=0),0,IF(AND(V186=TRUE,換券單檔!$D$13=D186),H186,0))</f>
        <v>0</v>
      </c>
      <c r="V186" s="136" t="b">
        <f ca="1">IF(OR(B186=換券單檔!$D$3,L186="無",M186&lt;&gt;"",K186="高資產",IFERROR(MATCH(B186,換券單檔!K:K,0),"N")&lt;&gt;"N"),FALSE,IF($V$1="All",TRUE,IF(K186=$V$1,TRUE,FALSE)))</f>
        <v>0</v>
      </c>
      <c r="W186" s="136">
        <f ca="1">VLOOKUP(A186,'銀行-TSS'!A:AO,41,FALSE)</f>
        <v>63.5</v>
      </c>
      <c r="X186" s="136">
        <f ca="1">VLOOKUP(A186,'銀行-TSS'!A:AP,42,FALSE)</f>
        <v>16.7669</v>
      </c>
      <c r="Y186" s="1220">
        <f t="shared" ca="1" si="95"/>
        <v>0</v>
      </c>
      <c r="Z186" s="1220">
        <f t="shared" ca="1" si="96"/>
        <v>0</v>
      </c>
      <c r="AA186" s="136">
        <f ca="1">IF(Z186&lt;=0,0,RANK(Z186,Z:Z)+COUNTIF($Z$3:$Z186,Z186)-1)</f>
        <v>0</v>
      </c>
      <c r="AB186" s="1211">
        <f t="shared" ca="1" si="97"/>
        <v>-14896.14</v>
      </c>
      <c r="AC186" s="136">
        <f ca="1">IF(AB186&lt;=0,0,RANK(AB186,AB:AB)+COUNTIF($AB$3:$AB186,AB186)-1)</f>
        <v>0</v>
      </c>
      <c r="AD186" s="1123">
        <f t="shared" ca="1" si="98"/>
        <v>99999</v>
      </c>
      <c r="AE186" s="1123">
        <f ca="1">IF(AD186=99999,0,RANK(AD186,AD:AD,1)+COUNTIF($AD$3:$AD186,AD186)-1)</f>
        <v>0</v>
      </c>
      <c r="AF186" s="86" t="b">
        <f ca="1">IF(OR(M186&lt;&gt;"",L186="無",K186="高資產",IFERROR(MATCH(B186,換券單檔!K:K,0),"N")&lt;&gt;"N"),FALSE,TRUE)</f>
        <v>0</v>
      </c>
      <c r="AI186" s="1212">
        <f t="shared" ca="1" si="99"/>
        <v>0</v>
      </c>
      <c r="AJ186" s="1213">
        <f t="shared" ca="1" si="100"/>
        <v>0</v>
      </c>
      <c r="AK186" s="1587">
        <f t="shared" ca="1" si="101"/>
        <v>0</v>
      </c>
      <c r="AN186" s="1212">
        <f t="shared" ca="1" si="102"/>
        <v>0</v>
      </c>
      <c r="AO186" s="1213">
        <f t="shared" ca="1" si="103"/>
        <v>0</v>
      </c>
      <c r="AP186" s="1587">
        <f t="shared" ca="1" si="104"/>
        <v>0</v>
      </c>
      <c r="AS186" s="1212">
        <f t="shared" ca="1" si="105"/>
        <v>0</v>
      </c>
      <c r="AT186" s="1213">
        <f t="shared" ca="1" si="106"/>
        <v>0</v>
      </c>
      <c r="AU186" s="1587">
        <f t="shared" ca="1" si="107"/>
        <v>0</v>
      </c>
      <c r="AX186" s="1212">
        <f t="shared" ca="1" si="108"/>
        <v>0</v>
      </c>
      <c r="AY186" s="1213">
        <f t="shared" ca="1" si="109"/>
        <v>0</v>
      </c>
      <c r="AZ186" s="1587">
        <f t="shared" ca="1" si="110"/>
        <v>0</v>
      </c>
      <c r="BC186" s="1212">
        <f t="shared" ca="1" si="111"/>
        <v>0</v>
      </c>
      <c r="BD186" s="1213">
        <f t="shared" ca="1" si="112"/>
        <v>0</v>
      </c>
      <c r="BE186" s="1587">
        <f t="shared" ca="1" si="113"/>
        <v>0</v>
      </c>
      <c r="BH186" s="1212">
        <f t="shared" ca="1" si="114"/>
        <v>0</v>
      </c>
      <c r="BI186" s="1213">
        <f t="shared" ca="1" si="115"/>
        <v>0</v>
      </c>
      <c r="BJ186" s="1587">
        <f t="shared" ca="1" si="116"/>
        <v>0</v>
      </c>
      <c r="BM186" s="1212">
        <f t="shared" ca="1" si="117"/>
        <v>0</v>
      </c>
      <c r="BN186" s="1213">
        <f t="shared" ca="1" si="118"/>
        <v>0</v>
      </c>
      <c r="BO186" s="1587">
        <f t="shared" ca="1" si="119"/>
        <v>0</v>
      </c>
      <c r="BR186" s="1212">
        <f t="shared" ca="1" si="120"/>
        <v>0</v>
      </c>
      <c r="BS186" s="1213">
        <f t="shared" ca="1" si="121"/>
        <v>0</v>
      </c>
      <c r="BT186" s="1587">
        <f t="shared" ca="1" si="122"/>
        <v>0</v>
      </c>
      <c r="BW186" s="1212">
        <f t="shared" ca="1" si="123"/>
        <v>0</v>
      </c>
      <c r="BX186" s="1213">
        <f t="shared" ca="1" si="124"/>
        <v>0</v>
      </c>
      <c r="BY186" s="1587">
        <f t="shared" ca="1" si="125"/>
        <v>0</v>
      </c>
      <c r="CB186" s="1212">
        <f t="shared" ca="1" si="126"/>
        <v>0</v>
      </c>
      <c r="CC186" s="1213">
        <f t="shared" ca="1" si="127"/>
        <v>0</v>
      </c>
      <c r="CD186" s="1587">
        <f t="shared" ca="1" si="128"/>
        <v>0</v>
      </c>
      <c r="CG186" s="1212">
        <f t="shared" ca="1" si="129"/>
        <v>0</v>
      </c>
      <c r="CH186" s="1213">
        <f t="shared" ca="1" si="130"/>
        <v>0</v>
      </c>
      <c r="CI186" s="1587">
        <f t="shared" ca="1" si="131"/>
        <v>0</v>
      </c>
      <c r="CL186" s="1212">
        <f t="shared" ca="1" si="132"/>
        <v>0</v>
      </c>
      <c r="CM186" s="1213">
        <f t="shared" ca="1" si="133"/>
        <v>0</v>
      </c>
      <c r="CN186" s="1587">
        <f t="shared" ca="1" si="134"/>
        <v>0</v>
      </c>
    </row>
    <row r="187" spans="1:92">
      <c r="A187" s="141" t="str">
        <f>'銀行-TSS'!A187</f>
        <v>XS2399787899</v>
      </c>
      <c r="B187" s="151" t="str">
        <f ca="1">VLOOKUP(A187,'銀行-TSS'!A:B,2,FALSE)</f>
        <v>XG730</v>
      </c>
      <c r="C187" s="151" t="str">
        <f ca="1">VLOOKUP(B187,bond!B:C,2,FALSE)</f>
        <v>印多福公司美元配息債券 3.541% 2032/4/27</v>
      </c>
      <c r="D187" s="95" t="str">
        <f>VLOOKUP(A187,'銀行-TSS'!A:C,3,FALSE)</f>
        <v>USD</v>
      </c>
      <c r="E187" s="90">
        <f ca="1">VLOOKUP(A187,'銀行-TSS'!A:G,7,FALSE)</f>
        <v>7.82</v>
      </c>
      <c r="F187" s="202">
        <f ca="1">VLOOKUP(A187,'銀行-TSS'!A:H,8,FALSE)</f>
        <v>3.5409999999999997E-2</v>
      </c>
      <c r="G187" s="96">
        <f ca="1">VLOOKUP(A187,'銀行-TSS'!A:K,11,FALSE)</f>
        <v>89.61</v>
      </c>
      <c r="H187" s="1209">
        <f ca="1">VLOOKUP(A187,'銀行-TSS'!A:M,13,FALSE)</f>
        <v>5.28E-2</v>
      </c>
      <c r="I187" s="1213">
        <f ca="1">VLOOKUP(A187,'銀行-TSS'!A:N,14,FALSE)</f>
        <v>200000</v>
      </c>
      <c r="J187" s="1213">
        <f ca="1">VLOOKUP(A187,'銀行-TSS'!A:O,15,FALSE)</f>
        <v>1000</v>
      </c>
      <c r="K187" s="136" t="str">
        <f ca="1">VLOOKUP(A187,'銀行-TSS'!A:V,22,FALSE)</f>
        <v>(PI)專投</v>
      </c>
      <c r="L187" s="136" t="str">
        <f ca="1">VLOOKUP(A187,'銀行-TSS'!A:AK,37,FALSE)</f>
        <v>有</v>
      </c>
      <c r="M187" s="136" t="str">
        <f ca="1">VLOOKUP(A187,'銀行-TSS'!A:AN,40,FALSE)</f>
        <v/>
      </c>
      <c r="N187" s="136">
        <f t="shared" ca="1" si="90"/>
        <v>896.1</v>
      </c>
      <c r="O187" s="1213">
        <f t="shared" ca="1" si="91"/>
        <v>179220</v>
      </c>
      <c r="P187" s="1213">
        <f ca="1">IF(AND($O$1&gt;=O187,換券單檔!$D$13=D187),I187+INT(($O$1-O187)/N187)*J187,0)</f>
        <v>0</v>
      </c>
      <c r="Q187" s="1213">
        <f t="shared" ca="1" si="92"/>
        <v>0</v>
      </c>
      <c r="R187" s="1213">
        <f t="shared" ca="1" si="93"/>
        <v>0</v>
      </c>
      <c r="S187" s="1213">
        <f t="shared" ca="1" si="94"/>
        <v>0</v>
      </c>
      <c r="T187" s="136">
        <f ca="1">IF(OR(R187=0,A187=0),0,IF(AND(V187=TRUE,換券單檔!$D$13=D187),E187,0))</f>
        <v>0</v>
      </c>
      <c r="U187" s="861">
        <f ca="1">IF(OR(R187=0,A187=0),0,IF(AND(V187=TRUE,換券單檔!$D$13=D187),H187,0))</f>
        <v>0</v>
      </c>
      <c r="V187" s="136" t="b">
        <f ca="1">IF(OR(B187=換券單檔!$D$3,L187="無",M187&lt;&gt;"",K187="高資產",IFERROR(MATCH(B187,換券單檔!K:K,0),"N")&lt;&gt;"N"),FALSE,IF($V$1="All",TRUE,IF(K187=$V$1,TRUE,FALSE)))</f>
        <v>1</v>
      </c>
      <c r="W187" s="136">
        <f ca="1">VLOOKUP(A187,'銀行-TSS'!A:AO,41,FALSE)</f>
        <v>86.960000000000008</v>
      </c>
      <c r="X187" s="136">
        <f ca="1">VLOOKUP(A187,'銀行-TSS'!A:AP,42,FALSE)</f>
        <v>6.5868000000000002</v>
      </c>
      <c r="Y187" s="1220">
        <f t="shared" ca="1" si="95"/>
        <v>0</v>
      </c>
      <c r="Z187" s="1220">
        <f t="shared" ca="1" si="96"/>
        <v>0</v>
      </c>
      <c r="AA187" s="136">
        <f ca="1">IF(Z187&lt;=0,0,RANK(Z187,Z:Z)+COUNTIF($Z$3:$Z187,Z187)-1)</f>
        <v>0</v>
      </c>
      <c r="AB187" s="1211">
        <f t="shared" ca="1" si="97"/>
        <v>-114896.14</v>
      </c>
      <c r="AC187" s="136">
        <f ca="1">IF(AB187&lt;=0,0,RANK(AB187,AB:AB)+COUNTIF($AB$3:$AB187,AB187)-1)</f>
        <v>0</v>
      </c>
      <c r="AD187" s="1123">
        <f t="shared" ca="1" si="98"/>
        <v>99999</v>
      </c>
      <c r="AE187" s="1123">
        <f ca="1">IF(AD187=99999,0,RANK(AD187,AD:AD,1)+COUNTIF($AD$3:$AD187,AD187)-1)</f>
        <v>0</v>
      </c>
      <c r="AF187" s="86" t="b">
        <f ca="1">IF(OR(M187&lt;&gt;"",L187="無",K187="高資產",IFERROR(MATCH(B187,換券單檔!K:K,0),"N")&lt;&gt;"N"),FALSE,TRUE)</f>
        <v>1</v>
      </c>
      <c r="AI187" s="1212">
        <f t="shared" ca="1" si="99"/>
        <v>0</v>
      </c>
      <c r="AJ187" s="1213">
        <f t="shared" ca="1" si="100"/>
        <v>0</v>
      </c>
      <c r="AK187" s="1587">
        <f t="shared" ca="1" si="101"/>
        <v>0</v>
      </c>
      <c r="AN187" s="1212">
        <f t="shared" ca="1" si="102"/>
        <v>0</v>
      </c>
      <c r="AO187" s="1213">
        <f t="shared" ca="1" si="103"/>
        <v>0</v>
      </c>
      <c r="AP187" s="1587">
        <f t="shared" ca="1" si="104"/>
        <v>0</v>
      </c>
      <c r="AS187" s="1212">
        <f t="shared" ca="1" si="105"/>
        <v>0</v>
      </c>
      <c r="AT187" s="1213">
        <f t="shared" ca="1" si="106"/>
        <v>0</v>
      </c>
      <c r="AU187" s="1587">
        <f t="shared" ca="1" si="107"/>
        <v>0</v>
      </c>
      <c r="AX187" s="1212">
        <f t="shared" ca="1" si="108"/>
        <v>0</v>
      </c>
      <c r="AY187" s="1213">
        <f t="shared" ca="1" si="109"/>
        <v>0</v>
      </c>
      <c r="AZ187" s="1587">
        <f t="shared" ca="1" si="110"/>
        <v>0</v>
      </c>
      <c r="BC187" s="1212">
        <f t="shared" ca="1" si="111"/>
        <v>0</v>
      </c>
      <c r="BD187" s="1213">
        <f t="shared" ca="1" si="112"/>
        <v>0</v>
      </c>
      <c r="BE187" s="1587">
        <f t="shared" ca="1" si="113"/>
        <v>0</v>
      </c>
      <c r="BH187" s="1212">
        <f t="shared" ca="1" si="114"/>
        <v>0</v>
      </c>
      <c r="BI187" s="1213">
        <f t="shared" ca="1" si="115"/>
        <v>0</v>
      </c>
      <c r="BJ187" s="1587">
        <f t="shared" ca="1" si="116"/>
        <v>0</v>
      </c>
      <c r="BM187" s="1212">
        <f t="shared" ca="1" si="117"/>
        <v>0</v>
      </c>
      <c r="BN187" s="1213">
        <f t="shared" ca="1" si="118"/>
        <v>0</v>
      </c>
      <c r="BO187" s="1587">
        <f t="shared" ca="1" si="119"/>
        <v>0</v>
      </c>
      <c r="BR187" s="1212">
        <f t="shared" ca="1" si="120"/>
        <v>0</v>
      </c>
      <c r="BS187" s="1213">
        <f t="shared" ca="1" si="121"/>
        <v>0</v>
      </c>
      <c r="BT187" s="1587">
        <f t="shared" ca="1" si="122"/>
        <v>0</v>
      </c>
      <c r="BW187" s="1212">
        <f t="shared" ca="1" si="123"/>
        <v>0</v>
      </c>
      <c r="BX187" s="1213">
        <f t="shared" ca="1" si="124"/>
        <v>0</v>
      </c>
      <c r="BY187" s="1587">
        <f t="shared" ca="1" si="125"/>
        <v>0</v>
      </c>
      <c r="CB187" s="1212">
        <f t="shared" ca="1" si="126"/>
        <v>0</v>
      </c>
      <c r="CC187" s="1213">
        <f t="shared" ca="1" si="127"/>
        <v>0</v>
      </c>
      <c r="CD187" s="1587">
        <f t="shared" ca="1" si="128"/>
        <v>0</v>
      </c>
      <c r="CG187" s="1212">
        <f t="shared" ca="1" si="129"/>
        <v>0</v>
      </c>
      <c r="CH187" s="1213">
        <f t="shared" ca="1" si="130"/>
        <v>0</v>
      </c>
      <c r="CI187" s="1587">
        <f t="shared" ca="1" si="131"/>
        <v>0</v>
      </c>
      <c r="CL187" s="1212">
        <f t="shared" ca="1" si="132"/>
        <v>0</v>
      </c>
      <c r="CM187" s="1213">
        <f t="shared" ca="1" si="133"/>
        <v>0</v>
      </c>
      <c r="CN187" s="1587">
        <f t="shared" ca="1" si="134"/>
        <v>0</v>
      </c>
    </row>
    <row r="188" spans="1:92">
      <c r="A188" s="141" t="str">
        <f>'銀行-TSS'!A188</f>
        <v>USY00130YU53</v>
      </c>
      <c r="B188" s="151" t="str">
        <f ca="1">VLOOKUP(A188,'銀行-TSS'!A:B,2,FALSE)</f>
        <v>XG740</v>
      </c>
      <c r="C188" s="151" t="str">
        <f ca="1">VLOOKUP(B188,bond!B:C,2,FALSE)</f>
        <v>Adani港口及特別經濟區有限公司美元配息債券 5% 2041/8/2</v>
      </c>
      <c r="D188" s="95" t="str">
        <f>VLOOKUP(A188,'銀行-TSS'!A:C,3,FALSE)</f>
        <v>USD</v>
      </c>
      <c r="E188" s="90">
        <f ca="1">VLOOKUP(A188,'銀行-TSS'!A:G,7,FALSE)</f>
        <v>17.079999999999998</v>
      </c>
      <c r="F188" s="202">
        <f ca="1">VLOOKUP(A188,'銀行-TSS'!A:H,8,FALSE)</f>
        <v>0.05</v>
      </c>
      <c r="G188" s="96">
        <f ca="1">VLOOKUP(A188,'銀行-TSS'!A:K,11,FALSE)</f>
        <v>84.07</v>
      </c>
      <c r="H188" s="1209">
        <f ca="1">VLOOKUP(A188,'銀行-TSS'!A:M,13,FALSE)</f>
        <v>6.8000000000000005E-2</v>
      </c>
      <c r="I188" s="1213">
        <f ca="1">VLOOKUP(A188,'銀行-TSS'!A:N,14,FALSE)</f>
        <v>200000</v>
      </c>
      <c r="J188" s="1213">
        <f ca="1">VLOOKUP(A188,'銀行-TSS'!A:O,15,FALSE)</f>
        <v>1000</v>
      </c>
      <c r="K188" s="136" t="str">
        <f ca="1">VLOOKUP(A188,'銀行-TSS'!A:V,22,FALSE)</f>
        <v>(PI)專投</v>
      </c>
      <c r="L188" s="136" t="str">
        <f ca="1">VLOOKUP(A188,'銀行-TSS'!A:AK,37,FALSE)</f>
        <v>無</v>
      </c>
      <c r="M188" s="136" t="str">
        <f ca="1">VLOOKUP(A188,'銀行-TSS'!A:AN,40,FALSE)</f>
        <v/>
      </c>
      <c r="N188" s="136">
        <f t="shared" ca="1" si="90"/>
        <v>840.7</v>
      </c>
      <c r="O188" s="1213">
        <f t="shared" ca="1" si="91"/>
        <v>168140</v>
      </c>
      <c r="P188" s="1213">
        <f ca="1">IF(AND($O$1&gt;=O188,換券單檔!$D$13=D188),I188+INT(($O$1-O188)/N188)*J188,0)</f>
        <v>0</v>
      </c>
      <c r="Q188" s="1213">
        <f t="shared" ca="1" si="92"/>
        <v>0</v>
      </c>
      <c r="R188" s="1213">
        <f t="shared" ca="1" si="93"/>
        <v>0</v>
      </c>
      <c r="S188" s="1213">
        <f t="shared" ca="1" si="94"/>
        <v>0</v>
      </c>
      <c r="T188" s="136">
        <f ca="1">IF(OR(R188=0,A188=0),0,IF(AND(V188=TRUE,換券單檔!$D$13=D188),E188,0))</f>
        <v>0</v>
      </c>
      <c r="U188" s="861">
        <f ca="1">IF(OR(R188=0,A188=0),0,IF(AND(V188=TRUE,換券單檔!$D$13=D188),H188,0))</f>
        <v>0</v>
      </c>
      <c r="V188" s="136" t="b">
        <f ca="1">IF(OR(B188=換券單檔!$D$3,L188="無",M188&lt;&gt;"",K188="高資產",IFERROR(MATCH(B188,換券單檔!K:K,0),"N")&lt;&gt;"N"),FALSE,IF($V$1="All",TRUE,IF(K188=$V$1,TRUE,FALSE)))</f>
        <v>0</v>
      </c>
      <c r="W188" s="136">
        <f ca="1">VLOOKUP(A188,'銀行-TSS'!A:AO,41,FALSE)</f>
        <v>78.990000000000009</v>
      </c>
      <c r="X188" s="136">
        <f ca="1">VLOOKUP(A188,'銀行-TSS'!A:AP,42,FALSE)</f>
        <v>10.2904</v>
      </c>
      <c r="Y188" s="1220">
        <f t="shared" ca="1" si="95"/>
        <v>0</v>
      </c>
      <c r="Z188" s="1220">
        <f t="shared" ca="1" si="96"/>
        <v>0</v>
      </c>
      <c r="AA188" s="136">
        <f ca="1">IF(Z188&lt;=0,0,RANK(Z188,Z:Z)+COUNTIF($Z$3:$Z188,Z188)-1)</f>
        <v>0</v>
      </c>
      <c r="AB188" s="1211">
        <f t="shared" ca="1" si="97"/>
        <v>-14896.14</v>
      </c>
      <c r="AC188" s="136">
        <f ca="1">IF(AB188&lt;=0,0,RANK(AB188,AB:AB)+COUNTIF($AB$3:$AB188,AB188)-1)</f>
        <v>0</v>
      </c>
      <c r="AD188" s="1123">
        <f t="shared" ca="1" si="98"/>
        <v>99999</v>
      </c>
      <c r="AE188" s="1123">
        <f ca="1">IF(AD188=99999,0,RANK(AD188,AD:AD,1)+COUNTIF($AD$3:$AD188,AD188)-1)</f>
        <v>0</v>
      </c>
      <c r="AF188" s="86" t="b">
        <f ca="1">IF(OR(M188&lt;&gt;"",L188="無",K188="高資產",IFERROR(MATCH(B188,換券單檔!K:K,0),"N")&lt;&gt;"N"),FALSE,TRUE)</f>
        <v>0</v>
      </c>
      <c r="AI188" s="1212">
        <f t="shared" ca="1" si="99"/>
        <v>0</v>
      </c>
      <c r="AJ188" s="1213">
        <f t="shared" ca="1" si="100"/>
        <v>0</v>
      </c>
      <c r="AK188" s="1587">
        <f t="shared" ca="1" si="101"/>
        <v>0</v>
      </c>
      <c r="AN188" s="1212">
        <f t="shared" ca="1" si="102"/>
        <v>0</v>
      </c>
      <c r="AO188" s="1213">
        <f t="shared" ca="1" si="103"/>
        <v>0</v>
      </c>
      <c r="AP188" s="1587">
        <f t="shared" ca="1" si="104"/>
        <v>0</v>
      </c>
      <c r="AS188" s="1212">
        <f t="shared" ca="1" si="105"/>
        <v>0</v>
      </c>
      <c r="AT188" s="1213">
        <f t="shared" ca="1" si="106"/>
        <v>0</v>
      </c>
      <c r="AU188" s="1587">
        <f t="shared" ca="1" si="107"/>
        <v>0</v>
      </c>
      <c r="AX188" s="1212">
        <f t="shared" ca="1" si="108"/>
        <v>0</v>
      </c>
      <c r="AY188" s="1213">
        <f t="shared" ca="1" si="109"/>
        <v>0</v>
      </c>
      <c r="AZ188" s="1587">
        <f t="shared" ca="1" si="110"/>
        <v>0</v>
      </c>
      <c r="BC188" s="1212">
        <f t="shared" ca="1" si="111"/>
        <v>0</v>
      </c>
      <c r="BD188" s="1213">
        <f t="shared" ca="1" si="112"/>
        <v>0</v>
      </c>
      <c r="BE188" s="1587">
        <f t="shared" ca="1" si="113"/>
        <v>0</v>
      </c>
      <c r="BH188" s="1212">
        <f t="shared" ca="1" si="114"/>
        <v>0</v>
      </c>
      <c r="BI188" s="1213">
        <f t="shared" ca="1" si="115"/>
        <v>0</v>
      </c>
      <c r="BJ188" s="1587">
        <f t="shared" ca="1" si="116"/>
        <v>0</v>
      </c>
      <c r="BM188" s="1212">
        <f t="shared" ca="1" si="117"/>
        <v>0</v>
      </c>
      <c r="BN188" s="1213">
        <f t="shared" ca="1" si="118"/>
        <v>0</v>
      </c>
      <c r="BO188" s="1587">
        <f t="shared" ca="1" si="119"/>
        <v>0</v>
      </c>
      <c r="BR188" s="1212">
        <f t="shared" ca="1" si="120"/>
        <v>0</v>
      </c>
      <c r="BS188" s="1213">
        <f t="shared" ca="1" si="121"/>
        <v>0</v>
      </c>
      <c r="BT188" s="1587">
        <f t="shared" ca="1" si="122"/>
        <v>0</v>
      </c>
      <c r="BW188" s="1212">
        <f t="shared" ca="1" si="123"/>
        <v>0</v>
      </c>
      <c r="BX188" s="1213">
        <f t="shared" ca="1" si="124"/>
        <v>0</v>
      </c>
      <c r="BY188" s="1587">
        <f t="shared" ca="1" si="125"/>
        <v>0</v>
      </c>
      <c r="CB188" s="1212">
        <f t="shared" ca="1" si="126"/>
        <v>0</v>
      </c>
      <c r="CC188" s="1213">
        <f t="shared" ca="1" si="127"/>
        <v>0</v>
      </c>
      <c r="CD188" s="1587">
        <f t="shared" ca="1" si="128"/>
        <v>0</v>
      </c>
      <c r="CG188" s="1212">
        <f t="shared" ca="1" si="129"/>
        <v>0</v>
      </c>
      <c r="CH188" s="1213">
        <f t="shared" ca="1" si="130"/>
        <v>0</v>
      </c>
      <c r="CI188" s="1587">
        <f t="shared" ca="1" si="131"/>
        <v>0</v>
      </c>
      <c r="CL188" s="1212">
        <f t="shared" ca="1" si="132"/>
        <v>0</v>
      </c>
      <c r="CM188" s="1213">
        <f t="shared" ca="1" si="133"/>
        <v>0</v>
      </c>
      <c r="CN188" s="1587">
        <f t="shared" ca="1" si="134"/>
        <v>0</v>
      </c>
    </row>
    <row r="189" spans="1:92">
      <c r="A189" s="141" t="str">
        <f>'銀行-TSS'!A189</f>
        <v>USJ57160DZ32</v>
      </c>
      <c r="B189" s="151" t="str">
        <f ca="1">VLOOKUP(A189,'銀行-TSS'!A:B,2,FALSE)</f>
        <v>XG750</v>
      </c>
      <c r="C189" s="151" t="str">
        <f ca="1">VLOOKUP(B189,bond!B:C,2,FALSE)</f>
        <v>日產汽車公司美元配息債券  4.81% 2030/9/17</v>
      </c>
      <c r="D189" s="95" t="str">
        <f>VLOOKUP(A189,'銀行-TSS'!A:C,3,FALSE)</f>
        <v>USD</v>
      </c>
      <c r="E189" s="90">
        <f ca="1">VLOOKUP(A189,'銀行-TSS'!A:G,7,FALSE)</f>
        <v>6.21</v>
      </c>
      <c r="F189" s="202">
        <f ca="1">VLOOKUP(A189,'銀行-TSS'!A:H,8,FALSE)</f>
        <v>4.8099999999999997E-2</v>
      </c>
      <c r="G189" s="96">
        <f ca="1">VLOOKUP(A189,'銀行-TSS'!A:K,11,FALSE)</f>
        <v>97.07</v>
      </c>
      <c r="H189" s="1209">
        <f ca="1">VLOOKUP(A189,'銀行-TSS'!A:M,13,FALSE)</f>
        <v>5.6399999999999999E-2</v>
      </c>
      <c r="I189" s="1213">
        <f ca="1">VLOOKUP(A189,'銀行-TSS'!A:N,14,FALSE)</f>
        <v>200000</v>
      </c>
      <c r="J189" s="1213">
        <f ca="1">VLOOKUP(A189,'銀行-TSS'!A:O,15,FALSE)</f>
        <v>1000</v>
      </c>
      <c r="K189" s="136" t="str">
        <f ca="1">VLOOKUP(A189,'銀行-TSS'!A:V,22,FALSE)</f>
        <v>(PI)專投</v>
      </c>
      <c r="L189" s="136" t="str">
        <f ca="1">VLOOKUP(A189,'銀行-TSS'!A:AK,37,FALSE)</f>
        <v>有</v>
      </c>
      <c r="M189" s="136" t="str">
        <f ca="1">VLOOKUP(A189,'銀行-TSS'!A:AN,40,FALSE)</f>
        <v/>
      </c>
      <c r="N189" s="136">
        <f t="shared" ca="1" si="90"/>
        <v>970.7</v>
      </c>
      <c r="O189" s="1213">
        <f t="shared" ca="1" si="91"/>
        <v>194140</v>
      </c>
      <c r="P189" s="1213">
        <f ca="1">IF(AND($O$1&gt;=O189,換券單檔!$D$13=D189),I189+INT(($O$1-O189)/N189)*J189,0)</f>
        <v>0</v>
      </c>
      <c r="Q189" s="1213">
        <f t="shared" ca="1" si="92"/>
        <v>0</v>
      </c>
      <c r="R189" s="1213">
        <f t="shared" ca="1" si="93"/>
        <v>0</v>
      </c>
      <c r="S189" s="1213">
        <f t="shared" ca="1" si="94"/>
        <v>0</v>
      </c>
      <c r="T189" s="136">
        <f ca="1">IF(OR(R189=0,A189=0),0,IF(AND(V189=TRUE,換券單檔!$D$13=D189),E189,0))</f>
        <v>0</v>
      </c>
      <c r="U189" s="861">
        <f ca="1">IF(OR(R189=0,A189=0),0,IF(AND(V189=TRUE,換券單檔!$D$13=D189),H189,0))</f>
        <v>0</v>
      </c>
      <c r="V189" s="136" t="b">
        <f ca="1">IF(OR(B189=換券單檔!$D$3,L189="無",M189&lt;&gt;"",K189="高資產",IFERROR(MATCH(B189,換券單檔!K:K,0),"N")&lt;&gt;"N"),FALSE,IF($V$1="All",TRUE,IF(K189=$V$1,TRUE,FALSE)))</f>
        <v>1</v>
      </c>
      <c r="W189" s="136">
        <f ca="1">VLOOKUP(A189,'銀行-TSS'!A:AO,41,FALSE)</f>
        <v>93.67</v>
      </c>
      <c r="X189" s="136">
        <f ca="1">VLOOKUP(A189,'銀行-TSS'!A:AP,42,FALSE)</f>
        <v>5.1802000000000001</v>
      </c>
      <c r="Y189" s="1220">
        <f t="shared" ca="1" si="95"/>
        <v>0</v>
      </c>
      <c r="Z189" s="1220">
        <f t="shared" ca="1" si="96"/>
        <v>0</v>
      </c>
      <c r="AA189" s="136">
        <f ca="1">IF(Z189&lt;=0,0,RANK(Z189,Z:Z)+COUNTIF($Z$3:$Z189,Z189)-1)</f>
        <v>0</v>
      </c>
      <c r="AB189" s="1211">
        <f t="shared" ca="1" si="97"/>
        <v>-114896.14</v>
      </c>
      <c r="AC189" s="136">
        <f ca="1">IF(AB189&lt;=0,0,RANK(AB189,AB:AB)+COUNTIF($AB$3:$AB189,AB189)-1)</f>
        <v>0</v>
      </c>
      <c r="AD189" s="1123">
        <f t="shared" ca="1" si="98"/>
        <v>99999</v>
      </c>
      <c r="AE189" s="1123">
        <f ca="1">IF(AD189=99999,0,RANK(AD189,AD:AD,1)+COUNTIF($AD$3:$AD189,AD189)-1)</f>
        <v>0</v>
      </c>
      <c r="AF189" s="86" t="b">
        <f ca="1">IF(OR(M189&lt;&gt;"",L189="無",K189="高資產",IFERROR(MATCH(B189,換券單檔!K:K,0),"N")&lt;&gt;"N"),FALSE,TRUE)</f>
        <v>1</v>
      </c>
      <c r="AI189" s="1212">
        <f t="shared" ca="1" si="99"/>
        <v>0</v>
      </c>
      <c r="AJ189" s="1213">
        <f t="shared" ca="1" si="100"/>
        <v>0</v>
      </c>
      <c r="AK189" s="1587">
        <f t="shared" ca="1" si="101"/>
        <v>0</v>
      </c>
      <c r="AN189" s="1212">
        <f t="shared" ca="1" si="102"/>
        <v>0</v>
      </c>
      <c r="AO189" s="1213">
        <f t="shared" ca="1" si="103"/>
        <v>0</v>
      </c>
      <c r="AP189" s="1587">
        <f t="shared" ca="1" si="104"/>
        <v>0</v>
      </c>
      <c r="AS189" s="1212">
        <f t="shared" ca="1" si="105"/>
        <v>0</v>
      </c>
      <c r="AT189" s="1213">
        <f t="shared" ca="1" si="106"/>
        <v>0</v>
      </c>
      <c r="AU189" s="1587">
        <f t="shared" ca="1" si="107"/>
        <v>0</v>
      </c>
      <c r="AX189" s="1212">
        <f t="shared" ca="1" si="108"/>
        <v>0</v>
      </c>
      <c r="AY189" s="1213">
        <f t="shared" ca="1" si="109"/>
        <v>0</v>
      </c>
      <c r="AZ189" s="1587">
        <f t="shared" ca="1" si="110"/>
        <v>0</v>
      </c>
      <c r="BC189" s="1212">
        <f t="shared" ca="1" si="111"/>
        <v>0</v>
      </c>
      <c r="BD189" s="1213">
        <f t="shared" ca="1" si="112"/>
        <v>0</v>
      </c>
      <c r="BE189" s="1587">
        <f t="shared" ca="1" si="113"/>
        <v>0</v>
      </c>
      <c r="BH189" s="1212">
        <f t="shared" ca="1" si="114"/>
        <v>0</v>
      </c>
      <c r="BI189" s="1213">
        <f t="shared" ca="1" si="115"/>
        <v>0</v>
      </c>
      <c r="BJ189" s="1587">
        <f t="shared" ca="1" si="116"/>
        <v>0</v>
      </c>
      <c r="BM189" s="1212">
        <f t="shared" ca="1" si="117"/>
        <v>0</v>
      </c>
      <c r="BN189" s="1213">
        <f t="shared" ca="1" si="118"/>
        <v>0</v>
      </c>
      <c r="BO189" s="1587">
        <f t="shared" ca="1" si="119"/>
        <v>0</v>
      </c>
      <c r="BR189" s="1212">
        <f t="shared" ca="1" si="120"/>
        <v>0</v>
      </c>
      <c r="BS189" s="1213">
        <f t="shared" ca="1" si="121"/>
        <v>0</v>
      </c>
      <c r="BT189" s="1587">
        <f t="shared" ca="1" si="122"/>
        <v>0</v>
      </c>
      <c r="BW189" s="1212">
        <f t="shared" ca="1" si="123"/>
        <v>0</v>
      </c>
      <c r="BX189" s="1213">
        <f t="shared" ca="1" si="124"/>
        <v>0</v>
      </c>
      <c r="BY189" s="1587">
        <f t="shared" ca="1" si="125"/>
        <v>0</v>
      </c>
      <c r="CB189" s="1212">
        <f t="shared" ca="1" si="126"/>
        <v>0</v>
      </c>
      <c r="CC189" s="1213">
        <f t="shared" ca="1" si="127"/>
        <v>0</v>
      </c>
      <c r="CD189" s="1587">
        <f t="shared" ca="1" si="128"/>
        <v>0</v>
      </c>
      <c r="CG189" s="1212">
        <f t="shared" ca="1" si="129"/>
        <v>0</v>
      </c>
      <c r="CH189" s="1213">
        <f t="shared" ca="1" si="130"/>
        <v>0</v>
      </c>
      <c r="CI189" s="1587">
        <f t="shared" ca="1" si="131"/>
        <v>0</v>
      </c>
      <c r="CL189" s="1212">
        <f t="shared" ca="1" si="132"/>
        <v>0</v>
      </c>
      <c r="CM189" s="1213">
        <f t="shared" ca="1" si="133"/>
        <v>0</v>
      </c>
      <c r="CN189" s="1587">
        <f t="shared" ca="1" si="134"/>
        <v>0</v>
      </c>
    </row>
    <row r="190" spans="1:92">
      <c r="A190" s="141" t="str">
        <f>'銀行-TSS'!A190</f>
        <v>US097023CW33</v>
      </c>
      <c r="B190" s="151" t="str">
        <f ca="1">VLOOKUP(A190,'銀行-TSS'!A:B,2,FALSE)</f>
        <v>XG760</v>
      </c>
      <c r="C190" s="151" t="str">
        <f ca="1">VLOOKUP(B190,bond!B:C,2,FALSE)</f>
        <v>波音公司美元配息債券 5.805% 2050/5/1</v>
      </c>
      <c r="D190" s="95" t="str">
        <f>VLOOKUP(A190,'銀行-TSS'!A:C,3,FALSE)</f>
        <v>USD</v>
      </c>
      <c r="E190" s="90">
        <f ca="1">VLOOKUP(A190,'銀行-TSS'!A:G,7,FALSE)</f>
        <v>25.83</v>
      </c>
      <c r="F190" s="202">
        <f ca="1">VLOOKUP(A190,'銀行-TSS'!A:H,8,FALSE)</f>
        <v>5.8049999999999997E-2</v>
      </c>
      <c r="G190" s="96">
        <f ca="1">VLOOKUP(A190,'銀行-TSS'!A:K,11,FALSE)</f>
        <v>95.6</v>
      </c>
      <c r="H190" s="1209">
        <f ca="1">VLOOKUP(A190,'銀行-TSS'!A:M,13,FALSE)</f>
        <v>6.2300000000000001E-2</v>
      </c>
      <c r="I190" s="1213">
        <f ca="1">VLOOKUP(A190,'銀行-TSS'!A:N,14,FALSE)</f>
        <v>10000</v>
      </c>
      <c r="J190" s="1213">
        <f ca="1">VLOOKUP(A190,'銀行-TSS'!A:O,15,FALSE)</f>
        <v>1000</v>
      </c>
      <c r="K190" s="136" t="str">
        <f ca="1">VLOOKUP(A190,'銀行-TSS'!A:V,22,FALSE)</f>
        <v>(PI)專投</v>
      </c>
      <c r="L190" s="136" t="str">
        <f ca="1">VLOOKUP(A190,'銀行-TSS'!A:AK,37,FALSE)</f>
        <v>有</v>
      </c>
      <c r="M190" s="136" t="str">
        <f ca="1">VLOOKUP(A190,'銀行-TSS'!A:AN,40,FALSE)</f>
        <v/>
      </c>
      <c r="N190" s="136">
        <f t="shared" ca="1" si="90"/>
        <v>956</v>
      </c>
      <c r="O190" s="1213">
        <f t="shared" ca="1" si="91"/>
        <v>9560</v>
      </c>
      <c r="P190" s="1213">
        <f ca="1">IF(AND($O$1&gt;=O190,換券單檔!$D$13=D190),I190+INT(($O$1-O190)/N190)*J190,0)</f>
        <v>101000</v>
      </c>
      <c r="Q190" s="1213">
        <f t="shared" ca="1" si="92"/>
        <v>5863.05</v>
      </c>
      <c r="R190" s="1213">
        <f t="shared" ca="1" si="93"/>
        <v>101000</v>
      </c>
      <c r="S190" s="1213">
        <f t="shared" ca="1" si="94"/>
        <v>5863.05</v>
      </c>
      <c r="T190" s="136">
        <f ca="1">IF(OR(R190=0,A190=0),0,IF(AND(V190=TRUE,換券單檔!$D$13=D190),E190,0))</f>
        <v>25.83</v>
      </c>
      <c r="U190" s="861">
        <f ca="1">IF(OR(R190=0,A190=0),0,IF(AND(V190=TRUE,換券單檔!$D$13=D190),H190,0))</f>
        <v>6.2300000000000001E-2</v>
      </c>
      <c r="V190" s="136" t="b">
        <f ca="1">IF(OR(B190=換券單檔!$D$3,L190="無",M190&lt;&gt;"",K190="高資產",IFERROR(MATCH(B190,換券單檔!K:K,0),"N")&lt;&gt;"N"),FALSE,IF($V$1="All",TRUE,IF(K190=$V$1,TRUE,FALSE)))</f>
        <v>1</v>
      </c>
      <c r="W190" s="136">
        <f ca="1">VLOOKUP(A190,'銀行-TSS'!A:AO,41,FALSE)</f>
        <v>91.12</v>
      </c>
      <c r="X190" s="136">
        <f ca="1">VLOOKUP(A190,'銀行-TSS'!A:AP,42,FALSE)</f>
        <v>12.670400000000001</v>
      </c>
      <c r="Y190" s="1220">
        <f t="shared" ca="1" si="95"/>
        <v>11660.721164800001</v>
      </c>
      <c r="Z190" s="1220">
        <f t="shared" ca="1" si="96"/>
        <v>2999.6774874177345</v>
      </c>
      <c r="AA190" s="136">
        <f ca="1">IF(Z190&lt;=0,0,RANK(Z190,Z:Z)+COUNTIF($Z$3:$Z190,Z190)-1)</f>
        <v>4</v>
      </c>
      <c r="AB190" s="1211">
        <f t="shared" ca="1" si="97"/>
        <v>-3235.4188351999983</v>
      </c>
      <c r="AC190" s="136">
        <f ca="1">IF(AB190&lt;=0,0,RANK(AB190,AB:AB)+COUNTIF($AB$3:$AB190,AB190)-1)</f>
        <v>0</v>
      </c>
      <c r="AD190" s="1123">
        <f t="shared" ca="1" si="98"/>
        <v>99999</v>
      </c>
      <c r="AE190" s="1123">
        <f ca="1">IF(AD190=99999,0,RANK(AD190,AD:AD,1)+COUNTIF($AD$3:$AD190,AD190)-1)</f>
        <v>0</v>
      </c>
      <c r="AF190" s="86" t="b">
        <f ca="1">IF(OR(M190&lt;&gt;"",L190="無",K190="高資產",IFERROR(MATCH(B190,換券單檔!K:K,0),"N")&lt;&gt;"N"),FALSE,TRUE)</f>
        <v>1</v>
      </c>
      <c r="AI190" s="1212">
        <f t="shared" ca="1" si="99"/>
        <v>101000</v>
      </c>
      <c r="AJ190" s="1213">
        <f t="shared" ca="1" si="100"/>
        <v>5863.05</v>
      </c>
      <c r="AK190" s="1587">
        <f t="shared" ca="1" si="101"/>
        <v>2999.6774874177345</v>
      </c>
      <c r="AN190" s="1212">
        <f t="shared" ca="1" si="102"/>
        <v>57000</v>
      </c>
      <c r="AO190" s="1213">
        <f t="shared" ca="1" si="103"/>
        <v>3308.85</v>
      </c>
      <c r="AP190" s="1587">
        <f t="shared" ca="1" si="104"/>
        <v>-82884.939547038332</v>
      </c>
      <c r="AS190" s="1212">
        <f t="shared" ca="1" si="105"/>
        <v>98000</v>
      </c>
      <c r="AT190" s="1213">
        <f t="shared" ca="1" si="106"/>
        <v>5688.9</v>
      </c>
      <c r="AU190" s="1587">
        <f t="shared" ca="1" si="107"/>
        <v>-1605.5648083623705</v>
      </c>
      <c r="AX190" s="1212">
        <f t="shared" ca="1" si="108"/>
        <v>90000</v>
      </c>
      <c r="AY190" s="1213">
        <f t="shared" ca="1" si="109"/>
        <v>5224.5</v>
      </c>
      <c r="AZ190" s="1587">
        <f t="shared" ca="1" si="110"/>
        <v>-17721.476771196285</v>
      </c>
      <c r="BC190" s="1212">
        <f t="shared" ca="1" si="111"/>
        <v>0</v>
      </c>
      <c r="BD190" s="1213">
        <f t="shared" ca="1" si="112"/>
        <v>0</v>
      </c>
      <c r="BE190" s="1587">
        <f t="shared" ca="1" si="113"/>
        <v>0</v>
      </c>
      <c r="BH190" s="1212">
        <f t="shared" ca="1" si="114"/>
        <v>0</v>
      </c>
      <c r="BI190" s="1213">
        <f t="shared" ca="1" si="115"/>
        <v>0</v>
      </c>
      <c r="BJ190" s="1587">
        <f t="shared" ca="1" si="116"/>
        <v>0</v>
      </c>
      <c r="BM190" s="1212">
        <f t="shared" ca="1" si="117"/>
        <v>0</v>
      </c>
      <c r="BN190" s="1213">
        <f t="shared" ca="1" si="118"/>
        <v>0</v>
      </c>
      <c r="BO190" s="1587">
        <f t="shared" ca="1" si="119"/>
        <v>0</v>
      </c>
      <c r="BR190" s="1212">
        <f t="shared" ca="1" si="120"/>
        <v>0</v>
      </c>
      <c r="BS190" s="1213">
        <f t="shared" ca="1" si="121"/>
        <v>0</v>
      </c>
      <c r="BT190" s="1587">
        <f t="shared" ca="1" si="122"/>
        <v>0</v>
      </c>
      <c r="BW190" s="1212">
        <f t="shared" ca="1" si="123"/>
        <v>0</v>
      </c>
      <c r="BX190" s="1213">
        <f t="shared" ca="1" si="124"/>
        <v>0</v>
      </c>
      <c r="BY190" s="1587">
        <f t="shared" ca="1" si="125"/>
        <v>0</v>
      </c>
      <c r="CB190" s="1212">
        <f t="shared" ca="1" si="126"/>
        <v>0</v>
      </c>
      <c r="CC190" s="1213">
        <f t="shared" ca="1" si="127"/>
        <v>0</v>
      </c>
      <c r="CD190" s="1587">
        <f t="shared" ca="1" si="128"/>
        <v>0</v>
      </c>
      <c r="CG190" s="1212">
        <f t="shared" ca="1" si="129"/>
        <v>0</v>
      </c>
      <c r="CH190" s="1213">
        <f t="shared" ca="1" si="130"/>
        <v>0</v>
      </c>
      <c r="CI190" s="1587">
        <f t="shared" ca="1" si="131"/>
        <v>0</v>
      </c>
      <c r="CL190" s="1212">
        <f t="shared" ca="1" si="132"/>
        <v>0</v>
      </c>
      <c r="CM190" s="1213">
        <f t="shared" ca="1" si="133"/>
        <v>0</v>
      </c>
      <c r="CN190" s="1587">
        <f t="shared" ca="1" si="134"/>
        <v>0</v>
      </c>
    </row>
    <row r="191" spans="1:92">
      <c r="A191" s="141" t="str">
        <f>'銀行-TSS'!A191</f>
        <v>USP7088CAC03</v>
      </c>
      <c r="B191" s="151" t="str">
        <f ca="1">VLOOKUP(A191,'銀行-TSS'!A:B,2,FALSE)</f>
        <v>XG770</v>
      </c>
      <c r="C191" s="151" t="str">
        <f ca="1">VLOOKUP(B191,bond!B:C,2,FALSE)</f>
        <v>大自然化妝品公司美元配息債券 4.125% 2028/5/3</v>
      </c>
      <c r="D191" s="95" t="str">
        <f>VLOOKUP(A191,'銀行-TSS'!A:C,3,FALSE)</f>
        <v>USD</v>
      </c>
      <c r="E191" s="90">
        <f ca="1">VLOOKUP(A191,'銀行-TSS'!A:G,7,FALSE)</f>
        <v>3.84</v>
      </c>
      <c r="F191" s="202">
        <f ca="1">VLOOKUP(A191,'銀行-TSS'!A:H,8,FALSE)</f>
        <v>4.1250000000000002E-2</v>
      </c>
      <c r="G191" s="96">
        <f ca="1">VLOOKUP(A191,'銀行-TSS'!A:K,11,FALSE)</f>
        <v>94.86</v>
      </c>
      <c r="H191" s="1209">
        <f ca="1">VLOOKUP(A191,'銀行-TSS'!A:M,13,FALSE)</f>
        <v>5.8400000000000001E-2</v>
      </c>
      <c r="I191" s="1213">
        <f ca="1">VLOOKUP(A191,'銀行-TSS'!A:N,14,FALSE)</f>
        <v>200000</v>
      </c>
      <c r="J191" s="1213">
        <f ca="1">VLOOKUP(A191,'銀行-TSS'!A:O,15,FALSE)</f>
        <v>1000</v>
      </c>
      <c r="K191" s="136" t="str">
        <f ca="1">VLOOKUP(A191,'銀行-TSS'!A:V,22,FALSE)</f>
        <v>(PI)專投</v>
      </c>
      <c r="L191" s="136" t="str">
        <f ca="1">VLOOKUP(A191,'銀行-TSS'!A:AK,37,FALSE)</f>
        <v>有</v>
      </c>
      <c r="M191" s="136" t="str">
        <f ca="1">VLOOKUP(A191,'銀行-TSS'!A:AN,40,FALSE)</f>
        <v/>
      </c>
      <c r="N191" s="136">
        <f t="shared" ca="1" si="90"/>
        <v>948.6</v>
      </c>
      <c r="O191" s="1213">
        <f t="shared" ca="1" si="91"/>
        <v>189720</v>
      </c>
      <c r="P191" s="1213">
        <f ca="1">IF(AND($O$1&gt;=O191,換券單檔!$D$13=D191),I191+INT(($O$1-O191)/N191)*J191,0)</f>
        <v>0</v>
      </c>
      <c r="Q191" s="1213">
        <f t="shared" ca="1" si="92"/>
        <v>0</v>
      </c>
      <c r="R191" s="1213">
        <f t="shared" ca="1" si="93"/>
        <v>0</v>
      </c>
      <c r="S191" s="1213">
        <f t="shared" ca="1" si="94"/>
        <v>0</v>
      </c>
      <c r="T191" s="136">
        <f ca="1">IF(OR(R191=0,A191=0),0,IF(AND(V191=TRUE,換券單檔!$D$13=D191),E191,0))</f>
        <v>0</v>
      </c>
      <c r="U191" s="861">
        <f ca="1">IF(OR(R191=0,A191=0),0,IF(AND(V191=TRUE,換券單檔!$D$13=D191),H191,0))</f>
        <v>0</v>
      </c>
      <c r="V191" s="136" t="b">
        <f ca="1">IF(OR(B191=換券單檔!$D$3,L191="無",M191&lt;&gt;"",K191="高資產",IFERROR(MATCH(B191,換券單檔!K:K,0),"N")&lt;&gt;"N"),FALSE,IF($V$1="All",TRUE,IF(K191=$V$1,TRUE,FALSE)))</f>
        <v>1</v>
      </c>
      <c r="W191" s="136">
        <f ca="1">VLOOKUP(A191,'銀行-TSS'!A:AO,41,FALSE)</f>
        <v>92.68</v>
      </c>
      <c r="X191" s="136">
        <f ca="1">VLOOKUP(A191,'銀行-TSS'!A:AP,42,FALSE)</f>
        <v>3.4407000000000001</v>
      </c>
      <c r="Y191" s="1220">
        <f t="shared" ca="1" si="95"/>
        <v>0</v>
      </c>
      <c r="Z191" s="1220">
        <f t="shared" ca="1" si="96"/>
        <v>0</v>
      </c>
      <c r="AA191" s="136">
        <f ca="1">IF(Z191&lt;=0,0,RANK(Z191,Z:Z)+COUNTIF($Z$3:$Z191,Z191)-1)</f>
        <v>0</v>
      </c>
      <c r="AB191" s="1211">
        <f t="shared" ca="1" si="97"/>
        <v>-114896.14</v>
      </c>
      <c r="AC191" s="136">
        <f ca="1">IF(AB191&lt;=0,0,RANK(AB191,AB:AB)+COUNTIF($AB$3:$AB191,AB191)-1)</f>
        <v>0</v>
      </c>
      <c r="AD191" s="1123">
        <f t="shared" ca="1" si="98"/>
        <v>99999</v>
      </c>
      <c r="AE191" s="1123">
        <f ca="1">IF(AD191=99999,0,RANK(AD191,AD:AD,1)+COUNTIF($AD$3:$AD191,AD191)-1)</f>
        <v>0</v>
      </c>
      <c r="AF191" s="86" t="b">
        <f ca="1">IF(OR(M191&lt;&gt;"",L191="無",K191="高資產",IFERROR(MATCH(B191,換券單檔!K:K,0),"N")&lt;&gt;"N"),FALSE,TRUE)</f>
        <v>1</v>
      </c>
      <c r="AI191" s="1212">
        <f t="shared" ca="1" si="99"/>
        <v>0</v>
      </c>
      <c r="AJ191" s="1213">
        <f t="shared" ca="1" si="100"/>
        <v>0</v>
      </c>
      <c r="AK191" s="1587">
        <f t="shared" ca="1" si="101"/>
        <v>0</v>
      </c>
      <c r="AN191" s="1212">
        <f t="shared" ca="1" si="102"/>
        <v>0</v>
      </c>
      <c r="AO191" s="1213">
        <f t="shared" ca="1" si="103"/>
        <v>0</v>
      </c>
      <c r="AP191" s="1587">
        <f t="shared" ca="1" si="104"/>
        <v>0</v>
      </c>
      <c r="AS191" s="1212">
        <f t="shared" ca="1" si="105"/>
        <v>0</v>
      </c>
      <c r="AT191" s="1213">
        <f t="shared" ca="1" si="106"/>
        <v>0</v>
      </c>
      <c r="AU191" s="1587">
        <f t="shared" ca="1" si="107"/>
        <v>0</v>
      </c>
      <c r="AX191" s="1212">
        <f t="shared" ca="1" si="108"/>
        <v>0</v>
      </c>
      <c r="AY191" s="1213">
        <f t="shared" ca="1" si="109"/>
        <v>0</v>
      </c>
      <c r="AZ191" s="1587">
        <f t="shared" ca="1" si="110"/>
        <v>0</v>
      </c>
      <c r="BC191" s="1212">
        <f t="shared" ca="1" si="111"/>
        <v>0</v>
      </c>
      <c r="BD191" s="1213">
        <f t="shared" ca="1" si="112"/>
        <v>0</v>
      </c>
      <c r="BE191" s="1587">
        <f t="shared" ca="1" si="113"/>
        <v>0</v>
      </c>
      <c r="BH191" s="1212">
        <f t="shared" ca="1" si="114"/>
        <v>0</v>
      </c>
      <c r="BI191" s="1213">
        <f t="shared" ca="1" si="115"/>
        <v>0</v>
      </c>
      <c r="BJ191" s="1587">
        <f t="shared" ca="1" si="116"/>
        <v>0</v>
      </c>
      <c r="BM191" s="1212">
        <f t="shared" ca="1" si="117"/>
        <v>0</v>
      </c>
      <c r="BN191" s="1213">
        <f t="shared" ca="1" si="118"/>
        <v>0</v>
      </c>
      <c r="BO191" s="1587">
        <f t="shared" ca="1" si="119"/>
        <v>0</v>
      </c>
      <c r="BR191" s="1212">
        <f t="shared" ca="1" si="120"/>
        <v>0</v>
      </c>
      <c r="BS191" s="1213">
        <f t="shared" ca="1" si="121"/>
        <v>0</v>
      </c>
      <c r="BT191" s="1587">
        <f t="shared" ca="1" si="122"/>
        <v>0</v>
      </c>
      <c r="BW191" s="1212">
        <f t="shared" ca="1" si="123"/>
        <v>0</v>
      </c>
      <c r="BX191" s="1213">
        <f t="shared" ca="1" si="124"/>
        <v>0</v>
      </c>
      <c r="BY191" s="1587">
        <f t="shared" ca="1" si="125"/>
        <v>0</v>
      </c>
      <c r="CB191" s="1212">
        <f t="shared" ca="1" si="126"/>
        <v>0</v>
      </c>
      <c r="CC191" s="1213">
        <f t="shared" ca="1" si="127"/>
        <v>0</v>
      </c>
      <c r="CD191" s="1587">
        <f t="shared" ca="1" si="128"/>
        <v>0</v>
      </c>
      <c r="CG191" s="1212">
        <f t="shared" ca="1" si="129"/>
        <v>0</v>
      </c>
      <c r="CH191" s="1213">
        <f t="shared" ca="1" si="130"/>
        <v>0</v>
      </c>
      <c r="CI191" s="1587">
        <f t="shared" ca="1" si="131"/>
        <v>0</v>
      </c>
      <c r="CL191" s="1212">
        <f t="shared" ca="1" si="132"/>
        <v>0</v>
      </c>
      <c r="CM191" s="1213">
        <f t="shared" ca="1" si="133"/>
        <v>0</v>
      </c>
      <c r="CN191" s="1587">
        <f t="shared" ca="1" si="134"/>
        <v>0</v>
      </c>
    </row>
    <row r="192" spans="1:92">
      <c r="A192" s="141" t="str">
        <f>'銀行-TSS'!A192</f>
        <v>US988498AN16</v>
      </c>
      <c r="B192" s="151" t="str">
        <f ca="1">VLOOKUP(A192,'銀行-TSS'!A:B,2,FALSE)</f>
        <v>XG790</v>
      </c>
      <c r="C192" s="151" t="str">
        <f ca="1">VLOOKUP(B192,bond!B:C,2,FALSE)</f>
        <v>百勝餐飲美元配息債券 3.625% 2031/3/15</v>
      </c>
      <c r="D192" s="95" t="str">
        <f>VLOOKUP(A192,'銀行-TSS'!A:C,3,FALSE)</f>
        <v>USD</v>
      </c>
      <c r="E192" s="90">
        <f ca="1">VLOOKUP(A192,'銀行-TSS'!A:G,7,FALSE)</f>
        <v>6.7</v>
      </c>
      <c r="F192" s="202">
        <f ca="1">VLOOKUP(A192,'銀行-TSS'!A:H,8,FALSE)</f>
        <v>3.6249999999999998E-2</v>
      </c>
      <c r="G192" s="96">
        <f ca="1">VLOOKUP(A192,'銀行-TSS'!A:K,11,FALSE)</f>
        <v>91.92</v>
      </c>
      <c r="H192" s="1209">
        <f ca="1">VLOOKUP(A192,'銀行-TSS'!A:M,13,FALSE)</f>
        <v>5.2600000000000001E-2</v>
      </c>
      <c r="I192" s="1213">
        <f ca="1">VLOOKUP(A192,'銀行-TSS'!A:N,14,FALSE)</f>
        <v>10000</v>
      </c>
      <c r="J192" s="1213">
        <f ca="1">VLOOKUP(A192,'銀行-TSS'!A:O,15,FALSE)</f>
        <v>1000</v>
      </c>
      <c r="K192" s="136" t="str">
        <f ca="1">VLOOKUP(A192,'銀行-TSS'!A:V,22,FALSE)</f>
        <v>高資產</v>
      </c>
      <c r="L192" s="136" t="str">
        <f ca="1">VLOOKUP(A192,'銀行-TSS'!A:AK,37,FALSE)</f>
        <v>有</v>
      </c>
      <c r="M192" s="136" t="str">
        <f ca="1">VLOOKUP(A192,'銀行-TSS'!A:AN,40,FALSE)</f>
        <v/>
      </c>
      <c r="N192" s="136">
        <f t="shared" ca="1" si="90"/>
        <v>919.2</v>
      </c>
      <c r="O192" s="1213">
        <f t="shared" ca="1" si="91"/>
        <v>9192</v>
      </c>
      <c r="P192" s="1213">
        <f ca="1">IF(AND($O$1&gt;=O192,換券單檔!$D$13=D192),I192+INT(($O$1-O192)/N192)*J192,0)</f>
        <v>105000</v>
      </c>
      <c r="Q192" s="1213">
        <f t="shared" ca="1" si="92"/>
        <v>3806.2499999999995</v>
      </c>
      <c r="R192" s="1213">
        <f t="shared" ca="1" si="93"/>
        <v>0</v>
      </c>
      <c r="S192" s="1213">
        <f t="shared" ca="1" si="94"/>
        <v>0</v>
      </c>
      <c r="T192" s="136">
        <f ca="1">IF(OR(R192=0,A192=0),0,IF(AND(V192=TRUE,換券單檔!$D$13=D192),E192,0))</f>
        <v>0</v>
      </c>
      <c r="U192" s="861">
        <f ca="1">IF(OR(R192=0,A192=0),0,IF(AND(V192=TRUE,換券單檔!$D$13=D192),H192,0))</f>
        <v>0</v>
      </c>
      <c r="V192" s="136" t="b">
        <f ca="1">IF(OR(B192=換券單檔!$D$3,L192="無",M192&lt;&gt;"",K192="高資產",IFERROR(MATCH(B192,換券單檔!K:K,0),"N")&lt;&gt;"N"),FALSE,IF($V$1="All",TRUE,IF(K192=$V$1,TRUE,FALSE)))</f>
        <v>0</v>
      </c>
      <c r="W192" s="136">
        <f ca="1">VLOOKUP(A192,'銀行-TSS'!A:AO,41,FALSE)</f>
        <v>88.84</v>
      </c>
      <c r="X192" s="136">
        <f ca="1">VLOOKUP(A192,'銀行-TSS'!A:AP,42,FALSE)</f>
        <v>5.7336</v>
      </c>
      <c r="Y192" s="1220">
        <f t="shared" ca="1" si="95"/>
        <v>0</v>
      </c>
      <c r="Z192" s="1220">
        <f t="shared" ca="1" si="96"/>
        <v>0</v>
      </c>
      <c r="AA192" s="136">
        <f ca="1">IF(Z192&lt;=0,0,RANK(Z192,Z:Z)+COUNTIF($Z$3:$Z192,Z192)-1)</f>
        <v>0</v>
      </c>
      <c r="AB192" s="1211">
        <f t="shared" ca="1" si="97"/>
        <v>-14896.14</v>
      </c>
      <c r="AC192" s="136">
        <f ca="1">IF(AB192&lt;=0,0,RANK(AB192,AB:AB)+COUNTIF($AB$3:$AB192,AB192)-1)</f>
        <v>0</v>
      </c>
      <c r="AD192" s="1123">
        <f t="shared" ca="1" si="98"/>
        <v>99999</v>
      </c>
      <c r="AE192" s="1123">
        <f ca="1">IF(AD192=99999,0,RANK(AD192,AD:AD,1)+COUNTIF($AD$3:$AD192,AD192)-1)</f>
        <v>0</v>
      </c>
      <c r="AF192" s="86" t="b">
        <f ca="1">IF(OR(M192&lt;&gt;"",L192="無",K192="高資產",IFERROR(MATCH(B192,換券單檔!K:K,0),"N")&lt;&gt;"N"),FALSE,TRUE)</f>
        <v>0</v>
      </c>
      <c r="AI192" s="1212">
        <f t="shared" ca="1" si="99"/>
        <v>0</v>
      </c>
      <c r="AJ192" s="1213">
        <f t="shared" ca="1" si="100"/>
        <v>0</v>
      </c>
      <c r="AK192" s="1587">
        <f t="shared" ca="1" si="101"/>
        <v>0</v>
      </c>
      <c r="AN192" s="1212">
        <f t="shared" ca="1" si="102"/>
        <v>0</v>
      </c>
      <c r="AO192" s="1213">
        <f t="shared" ca="1" si="103"/>
        <v>0</v>
      </c>
      <c r="AP192" s="1587">
        <f t="shared" ca="1" si="104"/>
        <v>0</v>
      </c>
      <c r="AS192" s="1212">
        <f t="shared" ca="1" si="105"/>
        <v>0</v>
      </c>
      <c r="AT192" s="1213">
        <f t="shared" ca="1" si="106"/>
        <v>0</v>
      </c>
      <c r="AU192" s="1587">
        <f t="shared" ca="1" si="107"/>
        <v>0</v>
      </c>
      <c r="AX192" s="1212">
        <f t="shared" ca="1" si="108"/>
        <v>0</v>
      </c>
      <c r="AY192" s="1213">
        <f t="shared" ca="1" si="109"/>
        <v>0</v>
      </c>
      <c r="AZ192" s="1587">
        <f t="shared" ca="1" si="110"/>
        <v>0</v>
      </c>
      <c r="BC192" s="1212">
        <f t="shared" ca="1" si="111"/>
        <v>0</v>
      </c>
      <c r="BD192" s="1213">
        <f t="shared" ca="1" si="112"/>
        <v>0</v>
      </c>
      <c r="BE192" s="1587">
        <f t="shared" ca="1" si="113"/>
        <v>0</v>
      </c>
      <c r="BH192" s="1212">
        <f t="shared" ca="1" si="114"/>
        <v>0</v>
      </c>
      <c r="BI192" s="1213">
        <f t="shared" ca="1" si="115"/>
        <v>0</v>
      </c>
      <c r="BJ192" s="1587">
        <f t="shared" ca="1" si="116"/>
        <v>0</v>
      </c>
      <c r="BM192" s="1212">
        <f t="shared" ca="1" si="117"/>
        <v>0</v>
      </c>
      <c r="BN192" s="1213">
        <f t="shared" ca="1" si="118"/>
        <v>0</v>
      </c>
      <c r="BO192" s="1587">
        <f t="shared" ca="1" si="119"/>
        <v>0</v>
      </c>
      <c r="BR192" s="1212">
        <f t="shared" ca="1" si="120"/>
        <v>0</v>
      </c>
      <c r="BS192" s="1213">
        <f t="shared" ca="1" si="121"/>
        <v>0</v>
      </c>
      <c r="BT192" s="1587">
        <f t="shared" ca="1" si="122"/>
        <v>0</v>
      </c>
      <c r="BW192" s="1212">
        <f t="shared" ca="1" si="123"/>
        <v>0</v>
      </c>
      <c r="BX192" s="1213">
        <f t="shared" ca="1" si="124"/>
        <v>0</v>
      </c>
      <c r="BY192" s="1587">
        <f t="shared" ca="1" si="125"/>
        <v>0</v>
      </c>
      <c r="CB192" s="1212">
        <f t="shared" ca="1" si="126"/>
        <v>0</v>
      </c>
      <c r="CC192" s="1213">
        <f t="shared" ca="1" si="127"/>
        <v>0</v>
      </c>
      <c r="CD192" s="1587">
        <f t="shared" ca="1" si="128"/>
        <v>0</v>
      </c>
      <c r="CG192" s="1212">
        <f t="shared" ca="1" si="129"/>
        <v>0</v>
      </c>
      <c r="CH192" s="1213">
        <f t="shared" ca="1" si="130"/>
        <v>0</v>
      </c>
      <c r="CI192" s="1587">
        <f t="shared" ca="1" si="131"/>
        <v>0</v>
      </c>
      <c r="CL192" s="1212">
        <f t="shared" ca="1" si="132"/>
        <v>0</v>
      </c>
      <c r="CM192" s="1213">
        <f t="shared" ca="1" si="133"/>
        <v>0</v>
      </c>
      <c r="CN192" s="1587">
        <f t="shared" ca="1" si="134"/>
        <v>0</v>
      </c>
    </row>
    <row r="193" spans="1:92">
      <c r="A193" s="141" t="str">
        <f>'銀行-TSS'!A193</f>
        <v>US70450YAJ29</v>
      </c>
      <c r="B193" s="151" t="str">
        <f ca="1">VLOOKUP(A193,'銀行-TSS'!A:B,2,FALSE)</f>
        <v>XG800</v>
      </c>
      <c r="C193" s="151" t="str">
        <f ca="1">VLOOKUP(B193,bond!B:C,2,FALSE)</f>
        <v>Paypal控股有限公司美元配息債券 3.25% 2050/6/1</v>
      </c>
      <c r="D193" s="95" t="str">
        <f>VLOOKUP(A193,'銀行-TSS'!A:C,3,FALSE)</f>
        <v>USD</v>
      </c>
      <c r="E193" s="90">
        <f ca="1">VLOOKUP(A193,'銀行-TSS'!A:G,7,FALSE)</f>
        <v>25.91</v>
      </c>
      <c r="F193" s="202">
        <f ca="1">VLOOKUP(A193,'銀行-TSS'!A:H,8,FALSE)</f>
        <v>3.2500000000000001E-2</v>
      </c>
      <c r="G193" s="96">
        <f ca="1">VLOOKUP(A193,'銀行-TSS'!A:K,11,FALSE)</f>
        <v>72.25</v>
      </c>
      <c r="H193" s="1209">
        <f ca="1">VLOOKUP(A193,'銀行-TSS'!A:M,13,FALSE)</f>
        <v>5.2400000000000002E-2</v>
      </c>
      <c r="I193" s="1213">
        <f ca="1">VLOOKUP(A193,'銀行-TSS'!A:N,14,FALSE)</f>
        <v>10000</v>
      </c>
      <c r="J193" s="1213">
        <f ca="1">VLOOKUP(A193,'銀行-TSS'!A:O,15,FALSE)</f>
        <v>1000</v>
      </c>
      <c r="K193" s="136" t="str">
        <f ca="1">VLOOKUP(A193,'銀行-TSS'!A:V,22,FALSE)</f>
        <v>(NPI)非專投</v>
      </c>
      <c r="L193" s="136" t="str">
        <f ca="1">VLOOKUP(A193,'銀行-TSS'!A:AK,37,FALSE)</f>
        <v>有</v>
      </c>
      <c r="M193" s="136" t="str">
        <f ca="1">VLOOKUP(A193,'銀行-TSS'!A:AN,40,FALSE)</f>
        <v/>
      </c>
      <c r="N193" s="136">
        <f t="shared" ca="1" si="90"/>
        <v>722.5</v>
      </c>
      <c r="O193" s="1213">
        <f t="shared" ca="1" si="91"/>
        <v>7225</v>
      </c>
      <c r="P193" s="1213">
        <f ca="1">IF(AND($O$1&gt;=O193,換券單檔!$D$13=D193),I193+INT(($O$1-O193)/N193)*J193,0)</f>
        <v>133000</v>
      </c>
      <c r="Q193" s="1213">
        <f t="shared" ca="1" si="92"/>
        <v>4322.5</v>
      </c>
      <c r="R193" s="1213">
        <f t="shared" ca="1" si="93"/>
        <v>133000</v>
      </c>
      <c r="S193" s="1213">
        <f t="shared" ca="1" si="94"/>
        <v>4322.5</v>
      </c>
      <c r="T193" s="136">
        <f ca="1">IF(OR(R193=0,A193=0),0,IF(AND(V193=TRUE,換券單檔!$D$13=D193),E193,0))</f>
        <v>25.91</v>
      </c>
      <c r="U193" s="861">
        <f ca="1">IF(OR(R193=0,A193=0),0,IF(AND(V193=TRUE,換券單檔!$D$13=D193),H193,0))</f>
        <v>5.2400000000000002E-2</v>
      </c>
      <c r="V193" s="136" t="b">
        <f ca="1">IF(OR(B193=換券單檔!$D$3,L193="無",M193&lt;&gt;"",K193="高資產",IFERROR(MATCH(B193,換券單檔!K:K,0),"N")&lt;&gt;"N"),FALSE,IF($V$1="All",TRUE,IF(K193=$V$1,TRUE,FALSE)))</f>
        <v>1</v>
      </c>
      <c r="W193" s="136">
        <f ca="1">VLOOKUP(A193,'銀行-TSS'!A:AO,41,FALSE)</f>
        <v>68.47</v>
      </c>
      <c r="X193" s="136">
        <f ca="1">VLOOKUP(A193,'銀行-TSS'!A:AP,42,FALSE)</f>
        <v>15.3908</v>
      </c>
      <c r="Y193" s="1220">
        <f t="shared" ca="1" si="95"/>
        <v>14015.647410799998</v>
      </c>
      <c r="Z193" s="1220">
        <f t="shared" ca="1" si="96"/>
        <v>0</v>
      </c>
      <c r="AA193" s="136">
        <f ca="1">IF(Z193&lt;=0,0,RANK(Z193,Z:Z)+COUNTIF($Z$3:$Z193,Z193)-1)</f>
        <v>0</v>
      </c>
      <c r="AB193" s="1211">
        <f t="shared" ca="1" si="97"/>
        <v>-880.49258920000102</v>
      </c>
      <c r="AC193" s="136">
        <f ca="1">IF(AB193&lt;=0,0,RANK(AB193,AB:AB)+COUNTIF($AB$3:$AB193,AB193)-1)</f>
        <v>0</v>
      </c>
      <c r="AD193" s="1123">
        <f t="shared" ca="1" si="98"/>
        <v>99999</v>
      </c>
      <c r="AE193" s="1123">
        <f ca="1">IF(AD193=99999,0,RANK(AD193,AD:AD,1)+COUNTIF($AD$3:$AD193,AD193)-1)</f>
        <v>0</v>
      </c>
      <c r="AF193" s="86" t="b">
        <f ca="1">IF(OR(M193&lt;&gt;"",L193="無",K193="高資產",IFERROR(MATCH(B193,換券單檔!K:K,0),"N")&lt;&gt;"N"),FALSE,TRUE)</f>
        <v>1</v>
      </c>
      <c r="AI193" s="1212">
        <f t="shared" ca="1" si="99"/>
        <v>133000</v>
      </c>
      <c r="AJ193" s="1213">
        <f t="shared" ca="1" si="100"/>
        <v>4322.5</v>
      </c>
      <c r="AK193" s="1587">
        <f t="shared" ca="1" si="101"/>
        <v>0</v>
      </c>
      <c r="AN193" s="1212">
        <f t="shared" ca="1" si="102"/>
        <v>76000</v>
      </c>
      <c r="AO193" s="1213">
        <f t="shared" ca="1" si="103"/>
        <v>2470</v>
      </c>
      <c r="AP193" s="1587">
        <f t="shared" ca="1" si="104"/>
        <v>-47352.736395214204</v>
      </c>
      <c r="AS193" s="1212">
        <f t="shared" ca="1" si="105"/>
        <v>130000</v>
      </c>
      <c r="AT193" s="1213">
        <f t="shared" ca="1" si="106"/>
        <v>4225</v>
      </c>
      <c r="AU193" s="1587">
        <f t="shared" ca="1" si="107"/>
        <v>0</v>
      </c>
      <c r="AX193" s="1212">
        <f t="shared" ca="1" si="108"/>
        <v>120000</v>
      </c>
      <c r="AY193" s="1213">
        <f t="shared" ca="1" si="109"/>
        <v>3900</v>
      </c>
      <c r="AZ193" s="1587">
        <f t="shared" ca="1" si="110"/>
        <v>0</v>
      </c>
      <c r="BC193" s="1212">
        <f t="shared" ca="1" si="111"/>
        <v>0</v>
      </c>
      <c r="BD193" s="1213">
        <f t="shared" ca="1" si="112"/>
        <v>0</v>
      </c>
      <c r="BE193" s="1587">
        <f t="shared" ca="1" si="113"/>
        <v>0</v>
      </c>
      <c r="BH193" s="1212">
        <f t="shared" ca="1" si="114"/>
        <v>0</v>
      </c>
      <c r="BI193" s="1213">
        <f t="shared" ca="1" si="115"/>
        <v>0</v>
      </c>
      <c r="BJ193" s="1587">
        <f t="shared" ca="1" si="116"/>
        <v>0</v>
      </c>
      <c r="BM193" s="1212">
        <f t="shared" ca="1" si="117"/>
        <v>0</v>
      </c>
      <c r="BN193" s="1213">
        <f t="shared" ca="1" si="118"/>
        <v>0</v>
      </c>
      <c r="BO193" s="1587">
        <f t="shared" ca="1" si="119"/>
        <v>0</v>
      </c>
      <c r="BR193" s="1212">
        <f t="shared" ca="1" si="120"/>
        <v>0</v>
      </c>
      <c r="BS193" s="1213">
        <f t="shared" ca="1" si="121"/>
        <v>0</v>
      </c>
      <c r="BT193" s="1587">
        <f t="shared" ca="1" si="122"/>
        <v>0</v>
      </c>
      <c r="BW193" s="1212">
        <f t="shared" ca="1" si="123"/>
        <v>0</v>
      </c>
      <c r="BX193" s="1213">
        <f t="shared" ca="1" si="124"/>
        <v>0</v>
      </c>
      <c r="BY193" s="1587">
        <f t="shared" ca="1" si="125"/>
        <v>0</v>
      </c>
      <c r="CB193" s="1212">
        <f t="shared" ca="1" si="126"/>
        <v>0</v>
      </c>
      <c r="CC193" s="1213">
        <f t="shared" ca="1" si="127"/>
        <v>0</v>
      </c>
      <c r="CD193" s="1587">
        <f t="shared" ca="1" si="128"/>
        <v>0</v>
      </c>
      <c r="CG193" s="1212">
        <f t="shared" ca="1" si="129"/>
        <v>0</v>
      </c>
      <c r="CH193" s="1213">
        <f t="shared" ca="1" si="130"/>
        <v>0</v>
      </c>
      <c r="CI193" s="1587">
        <f t="shared" ca="1" si="131"/>
        <v>0</v>
      </c>
      <c r="CL193" s="1212">
        <f t="shared" ca="1" si="132"/>
        <v>0</v>
      </c>
      <c r="CM193" s="1213">
        <f t="shared" ca="1" si="133"/>
        <v>0</v>
      </c>
      <c r="CN193" s="1587">
        <f t="shared" ca="1" si="134"/>
        <v>0</v>
      </c>
    </row>
    <row r="194" spans="1:92">
      <c r="A194" s="141" t="str">
        <f>'銀行-TSS'!A194</f>
        <v>US459200KL41</v>
      </c>
      <c r="B194" s="151" t="str">
        <f ca="1">VLOOKUP(A194,'銀行-TSS'!A:B,2,FALSE)</f>
        <v>XG810</v>
      </c>
      <c r="C194" s="151" t="str">
        <f ca="1">VLOOKUP(B194,bond!B:C,2,FALSE)</f>
        <v>國際商業機器公司美元配息債券 2.95% 2050/5/15</v>
      </c>
      <c r="D194" s="95" t="str">
        <f>VLOOKUP(A194,'銀行-TSS'!A:C,3,FALSE)</f>
        <v>USD</v>
      </c>
      <c r="E194" s="90">
        <f ca="1">VLOOKUP(A194,'銀行-TSS'!A:G,7,FALSE)</f>
        <v>25.87</v>
      </c>
      <c r="F194" s="202">
        <f ca="1">VLOOKUP(A194,'銀行-TSS'!A:H,8,FALSE)</f>
        <v>2.9500000000000002E-2</v>
      </c>
      <c r="G194" s="96">
        <f ca="1">VLOOKUP(A194,'銀行-TSS'!A:K,11,FALSE)</f>
        <v>68.260000000000005</v>
      </c>
      <c r="H194" s="1209">
        <f ca="1">VLOOKUP(A194,'銀行-TSS'!A:M,13,FALSE)</f>
        <v>5.2299999999999999E-2</v>
      </c>
      <c r="I194" s="1213">
        <f ca="1">VLOOKUP(A194,'銀行-TSS'!A:N,14,FALSE)</f>
        <v>100000</v>
      </c>
      <c r="J194" s="1213">
        <f ca="1">VLOOKUP(A194,'銀行-TSS'!A:O,15,FALSE)</f>
        <v>1000</v>
      </c>
      <c r="K194" s="136" t="str">
        <f ca="1">VLOOKUP(A194,'銀行-TSS'!A:V,22,FALSE)</f>
        <v>(NPI)非專投</v>
      </c>
      <c r="L194" s="136" t="str">
        <f ca="1">VLOOKUP(A194,'銀行-TSS'!A:AK,37,FALSE)</f>
        <v>有</v>
      </c>
      <c r="M194" s="136" t="str">
        <f ca="1">VLOOKUP(A194,'銀行-TSS'!A:AN,40,FALSE)</f>
        <v/>
      </c>
      <c r="N194" s="136">
        <f t="shared" ca="1" si="90"/>
        <v>682.6</v>
      </c>
      <c r="O194" s="1213">
        <f t="shared" ca="1" si="91"/>
        <v>68260.000000000015</v>
      </c>
      <c r="P194" s="1213">
        <f ca="1">IF(AND($O$1&gt;=O194,換券單檔!$D$13=D194),I194+INT(($O$1-O194)/N194)*J194,0)</f>
        <v>141000</v>
      </c>
      <c r="Q194" s="1213">
        <f t="shared" ca="1" si="92"/>
        <v>4159.5</v>
      </c>
      <c r="R194" s="1213">
        <f t="shared" ca="1" si="93"/>
        <v>141000</v>
      </c>
      <c r="S194" s="1213">
        <f t="shared" ca="1" si="94"/>
        <v>4159.5</v>
      </c>
      <c r="T194" s="136">
        <f ca="1">IF(OR(R194=0,A194=0),0,IF(AND(V194=TRUE,換券單檔!$D$13=D194),E194,0))</f>
        <v>25.87</v>
      </c>
      <c r="U194" s="861">
        <f ca="1">IF(OR(R194=0,A194=0),0,IF(AND(V194=TRUE,換券單檔!$D$13=D194),H194,0))</f>
        <v>5.2299999999999999E-2</v>
      </c>
      <c r="V194" s="136" t="b">
        <f ca="1">IF(OR(B194=換券單檔!$D$3,L194="無",M194&lt;&gt;"",K194="高資產",IFERROR(MATCH(B194,換券單檔!K:K,0),"N")&lt;&gt;"N"),FALSE,IF($V$1="All",TRUE,IF(K194=$V$1,TRUE,FALSE)))</f>
        <v>1</v>
      </c>
      <c r="W194" s="136">
        <f ca="1">VLOOKUP(A194,'銀行-TSS'!A:AO,41,FALSE)</f>
        <v>64.37</v>
      </c>
      <c r="X194" s="136">
        <f ca="1">VLOOKUP(A194,'銀行-TSS'!A:AP,42,FALSE)</f>
        <v>15.682600000000001</v>
      </c>
      <c r="Y194" s="1220">
        <f t="shared" ca="1" si="95"/>
        <v>14233.794364200003</v>
      </c>
      <c r="Z194" s="1220">
        <f t="shared" ca="1" si="96"/>
        <v>0</v>
      </c>
      <c r="AA194" s="136">
        <f ca="1">IF(Z194&lt;=0,0,RANK(Z194,Z:Z)+COUNTIF($Z$3:$Z194,Z194)-1)</f>
        <v>0</v>
      </c>
      <c r="AB194" s="1211">
        <f t="shared" ca="1" si="97"/>
        <v>-662.34563579999667</v>
      </c>
      <c r="AC194" s="136">
        <f ca="1">IF(AB194&lt;=0,0,RANK(AB194,AB:AB)+COUNTIF($AB$3:$AB194,AB194)-1)</f>
        <v>0</v>
      </c>
      <c r="AD194" s="1123">
        <f t="shared" ca="1" si="98"/>
        <v>99999</v>
      </c>
      <c r="AE194" s="1123">
        <f ca="1">IF(AD194=99999,0,RANK(AD194,AD:AD,1)+COUNTIF($AD$3:$AD194,AD194)-1)</f>
        <v>0</v>
      </c>
      <c r="AF194" s="86" t="b">
        <f ca="1">IF(OR(M194&lt;&gt;"",L194="無",K194="高資產",IFERROR(MATCH(B194,換券單檔!K:K,0),"N")&lt;&gt;"N"),FALSE,TRUE)</f>
        <v>1</v>
      </c>
      <c r="AI194" s="1212">
        <f t="shared" ca="1" si="99"/>
        <v>141000</v>
      </c>
      <c r="AJ194" s="1213">
        <f t="shared" ca="1" si="100"/>
        <v>4159.5</v>
      </c>
      <c r="AK194" s="1587">
        <f t="shared" ca="1" si="101"/>
        <v>0</v>
      </c>
      <c r="AN194" s="1212">
        <f t="shared" ca="1" si="102"/>
        <v>0</v>
      </c>
      <c r="AO194" s="1213">
        <f t="shared" ca="1" si="103"/>
        <v>0</v>
      </c>
      <c r="AP194" s="1587">
        <f t="shared" ca="1" si="104"/>
        <v>0</v>
      </c>
      <c r="AS194" s="1212">
        <f t="shared" ca="1" si="105"/>
        <v>138000</v>
      </c>
      <c r="AT194" s="1213">
        <f t="shared" ca="1" si="106"/>
        <v>4071.0000000000005</v>
      </c>
      <c r="AU194" s="1587">
        <f t="shared" ca="1" si="107"/>
        <v>0</v>
      </c>
      <c r="AX194" s="1212">
        <f t="shared" ca="1" si="108"/>
        <v>127000</v>
      </c>
      <c r="AY194" s="1213">
        <f t="shared" ca="1" si="109"/>
        <v>3746.5000000000005</v>
      </c>
      <c r="AZ194" s="1587">
        <f t="shared" ca="1" si="110"/>
        <v>0</v>
      </c>
      <c r="BC194" s="1212">
        <f t="shared" ca="1" si="111"/>
        <v>0</v>
      </c>
      <c r="BD194" s="1213">
        <f t="shared" ca="1" si="112"/>
        <v>0</v>
      </c>
      <c r="BE194" s="1587">
        <f t="shared" ca="1" si="113"/>
        <v>0</v>
      </c>
      <c r="BH194" s="1212">
        <f t="shared" ca="1" si="114"/>
        <v>0</v>
      </c>
      <c r="BI194" s="1213">
        <f t="shared" ca="1" si="115"/>
        <v>0</v>
      </c>
      <c r="BJ194" s="1587">
        <f t="shared" ca="1" si="116"/>
        <v>0</v>
      </c>
      <c r="BM194" s="1212">
        <f t="shared" ca="1" si="117"/>
        <v>0</v>
      </c>
      <c r="BN194" s="1213">
        <f t="shared" ca="1" si="118"/>
        <v>0</v>
      </c>
      <c r="BO194" s="1587">
        <f t="shared" ca="1" si="119"/>
        <v>0</v>
      </c>
      <c r="BR194" s="1212">
        <f t="shared" ca="1" si="120"/>
        <v>0</v>
      </c>
      <c r="BS194" s="1213">
        <f t="shared" ca="1" si="121"/>
        <v>0</v>
      </c>
      <c r="BT194" s="1587">
        <f t="shared" ca="1" si="122"/>
        <v>0</v>
      </c>
      <c r="BW194" s="1212">
        <f t="shared" ca="1" si="123"/>
        <v>0</v>
      </c>
      <c r="BX194" s="1213">
        <f t="shared" ca="1" si="124"/>
        <v>0</v>
      </c>
      <c r="BY194" s="1587">
        <f t="shared" ca="1" si="125"/>
        <v>0</v>
      </c>
      <c r="CB194" s="1212">
        <f t="shared" ca="1" si="126"/>
        <v>0</v>
      </c>
      <c r="CC194" s="1213">
        <f t="shared" ca="1" si="127"/>
        <v>0</v>
      </c>
      <c r="CD194" s="1587">
        <f t="shared" ca="1" si="128"/>
        <v>0</v>
      </c>
      <c r="CG194" s="1212">
        <f t="shared" ca="1" si="129"/>
        <v>0</v>
      </c>
      <c r="CH194" s="1213">
        <f t="shared" ca="1" si="130"/>
        <v>0</v>
      </c>
      <c r="CI194" s="1587">
        <f t="shared" ca="1" si="131"/>
        <v>0</v>
      </c>
      <c r="CL194" s="1212">
        <f t="shared" ca="1" si="132"/>
        <v>0</v>
      </c>
      <c r="CM194" s="1213">
        <f t="shared" ca="1" si="133"/>
        <v>0</v>
      </c>
      <c r="CN194" s="1587">
        <f t="shared" ca="1" si="134"/>
        <v>0</v>
      </c>
    </row>
    <row r="195" spans="1:92">
      <c r="A195" s="141" t="str">
        <f>'銀行-TSS'!A195</f>
        <v>USU8801TAE74</v>
      </c>
      <c r="B195" s="151" t="str">
        <f ca="1">VLOOKUP(A195,'銀行-TSS'!A:B,2,FALSE)</f>
        <v>XG820</v>
      </c>
      <c r="C195" s="151" t="str">
        <f ca="1">VLOOKUP(B195,bond!B:C,2,FALSE)</f>
        <v>丹普席伊麗國際公司美元配息債券 3.875% 2031/10/15</v>
      </c>
      <c r="D195" s="95" t="str">
        <f>VLOOKUP(A195,'銀行-TSS'!A:C,3,FALSE)</f>
        <v>USD</v>
      </c>
      <c r="E195" s="90">
        <f ca="1">VLOOKUP(A195,'銀行-TSS'!A:G,7,FALSE)</f>
        <v>7.29</v>
      </c>
      <c r="F195" s="202">
        <f ca="1">VLOOKUP(A195,'銀行-TSS'!A:H,8,FALSE)</f>
        <v>3.875E-2</v>
      </c>
      <c r="G195" s="96">
        <f ca="1">VLOOKUP(A195,'銀行-TSS'!A:K,11,FALSE)</f>
        <v>87.98</v>
      </c>
      <c r="H195" s="1209">
        <f ca="1">VLOOKUP(A195,'銀行-TSS'!A:M,13,FALSE)</f>
        <v>6.08E-2</v>
      </c>
      <c r="I195" s="1213">
        <f ca="1">VLOOKUP(A195,'銀行-TSS'!A:N,14,FALSE)</f>
        <v>10000</v>
      </c>
      <c r="J195" s="1213">
        <f ca="1">VLOOKUP(A195,'銀行-TSS'!A:O,15,FALSE)</f>
        <v>1000</v>
      </c>
      <c r="K195" s="136" t="str">
        <f ca="1">VLOOKUP(A195,'銀行-TSS'!A:V,22,FALSE)</f>
        <v>(PI)專投</v>
      </c>
      <c r="L195" s="136" t="str">
        <f ca="1">VLOOKUP(A195,'銀行-TSS'!A:AK,37,FALSE)</f>
        <v>需查詢</v>
      </c>
      <c r="M195" s="136" t="str">
        <f ca="1">VLOOKUP(A195,'銀行-TSS'!A:AN,40,FALSE)</f>
        <v/>
      </c>
      <c r="N195" s="136">
        <f t="shared" ref="N195:N258" ca="1" si="135">G195*J195/100</f>
        <v>879.8</v>
      </c>
      <c r="O195" s="1213">
        <f t="shared" ref="O195:O258" ca="1" si="136">G195*I195/100</f>
        <v>8798</v>
      </c>
      <c r="P195" s="1213">
        <f ca="1">IF(AND($O$1&gt;=O195,換券單檔!$D$13=D195),I195+INT(($O$1-O195)/N195)*J195,0)</f>
        <v>109000</v>
      </c>
      <c r="Q195" s="1213">
        <f t="shared" ref="Q195:Q258" ca="1" si="137">P195*F195</f>
        <v>4223.75</v>
      </c>
      <c r="R195" s="1213">
        <f t="shared" ref="R195:R258" ca="1" si="138">IF(A195=0,0,IF(V195=FALSE,0,P195))</f>
        <v>109000</v>
      </c>
      <c r="S195" s="1213">
        <f t="shared" ref="S195:S258" ca="1" si="139">IF(A195=0,0,IF(V195=FALSE,0,Q195))</f>
        <v>4223.75</v>
      </c>
      <c r="T195" s="136">
        <f ca="1">IF(OR(R195=0,A195=0),0,IF(AND(V195=TRUE,換券單檔!$D$13=D195),E195,0))</f>
        <v>7.29</v>
      </c>
      <c r="U195" s="861">
        <f ca="1">IF(OR(R195=0,A195=0),0,IF(AND(V195=TRUE,換券單檔!$D$13=D195),H195,0))</f>
        <v>6.08E-2</v>
      </c>
      <c r="V195" s="136" t="b">
        <f ca="1">IF(OR(B195=換券單檔!$D$3,L195="無",M195&lt;&gt;"",K195="高資產",IFERROR(MATCH(B195,換券單檔!K:K,0),"N")&lt;&gt;"N"),FALSE,IF($V$1="All",TRUE,IF(K195=$V$1,TRUE,FALSE)))</f>
        <v>1</v>
      </c>
      <c r="W195" s="136">
        <f ca="1">VLOOKUP(A195,'銀行-TSS'!A:AO,41,FALSE)</f>
        <v>85.15</v>
      </c>
      <c r="X195" s="136">
        <f ca="1">VLOOKUP(A195,'銀行-TSS'!A:AP,42,FALSE)</f>
        <v>6.0759999999999996</v>
      </c>
      <c r="Y195" s="1220">
        <f t="shared" ref="Y195:Y258" ca="1" si="140">IF(A195=0,0,IF(V195=FALSE,0,IFERROR(W195/100*P195*X195*1%,0)))</f>
        <v>5639.3482599999998</v>
      </c>
      <c r="Z195" s="1220">
        <f t="shared" ref="Z195:Z258" ca="1" si="141">IF(A195=0,0,IF(V195=FALSE,0,IF(OR(Q195&lt;$Y$1,E195&lt;5)=FALSE,((Q195-$Q$1)*MIN(3,E195)*(1-MIN(1/(2*E195),1))+IF((P195-$P$1)&lt;0,(P195-$P$1)*2,(P195-$P$1)*MIN(1/(2*E195),1))),0)))</f>
        <v>0</v>
      </c>
      <c r="AA195" s="136">
        <f ca="1">IF(Z195&lt;=0,0,RANK(Z195,Z:Z)+COUNTIF($Z$3:$Z195,Z195)-1)</f>
        <v>0</v>
      </c>
      <c r="AB195" s="1211">
        <f t="shared" ref="AB195:AB258" ca="1" si="142">IF(A195=0,0,IF(V195=FALSE,0,Y195+IF((P195-$P$1)&lt;0,(P195-$P$1),0)))-$AC$1</f>
        <v>-9256.7917400000006</v>
      </c>
      <c r="AC195" s="136">
        <f ca="1">IF(AB195&lt;=0,0,RANK(AB195,AB:AB)+COUNTIF($AB$3:$AB195,AB195)-1)</f>
        <v>0</v>
      </c>
      <c r="AD195" s="1123">
        <f t="shared" ref="AD195:AD258" ca="1" si="143">IF(A195=0,99999,IF(OR(V195=FALSE,AA195=0,AC195=0),99999,(AC195+AA195)/2))</f>
        <v>99999</v>
      </c>
      <c r="AE195" s="1123">
        <f ca="1">IF(AD195=99999,0,RANK(AD195,AD:AD,1)+COUNTIF($AD$3:$AD195,AD195)-1)</f>
        <v>0</v>
      </c>
      <c r="AF195" s="86" t="b">
        <f ca="1">IF(OR(M195&lt;&gt;"",L195="無",K195="高資產",IFERROR(MATCH(B195,換券單檔!K:K,0),"N")&lt;&gt;"N"),FALSE,TRUE)</f>
        <v>1</v>
      </c>
      <c r="AI195" s="1212">
        <f t="shared" ref="AI195:AI258" ca="1" si="144">IF($AF195=FALSE,0,IF(AND(AH$2&gt;=$O195,AH$1=$D195),$I195+INT((AH$2-$O195)/$N195)*$J195,0))</f>
        <v>109000</v>
      </c>
      <c r="AJ195" s="1213">
        <f t="shared" ref="AJ195:AJ258" ca="1" si="145">AI195*$F195</f>
        <v>4223.75</v>
      </c>
      <c r="AK195" s="1587">
        <f t="shared" ref="AK195:AK258" ca="1" si="146">IF($A195=0,0,IF(OR($AF195=FALSE,$B195=AG$1),0,IF(OR(AJ195&lt;(AJ$1*0.9),$E195&lt;5)=FALSE,((AJ195-AJ$1)*MIN(3,$E195)*(1-MIN(1/(2*$E195),1))+IF((AI195-AI$1)&lt;0,(AI195-AI$1)*2,(AI195-AI$1)*MIN(1/(2*$E195),1))),0)))</f>
        <v>0</v>
      </c>
      <c r="AN195" s="1212">
        <f t="shared" ref="AN195:AN258" ca="1" si="147">IF($AF195=FALSE,0,IF(AND(AM$2&gt;=$O195,AM$1=$D195),$I195+INT((AM$2-$O195)/$N195)*$J195,0))</f>
        <v>62000</v>
      </c>
      <c r="AO195" s="1213">
        <f t="shared" ref="AO195:AO258" ca="1" si="148">AN195*$F195</f>
        <v>2402.5</v>
      </c>
      <c r="AP195" s="1587">
        <f t="shared" ref="AP195:AP258" ca="1" si="149">IF($A195=0,0,IF(OR($AF195=FALSE,$B195=AL$1),0,IF(OR(AO195&lt;(AO$1*0.9),$E195&lt;5)=FALSE,((AO195-AO$1)*MIN(3,$E195)*(1-MIN(1/(2*$E195),1))+IF((AN195-AN$1)&lt;0,(AN195-AN$1)*2,(AN195-AN$1)*MIN(1/(2*$E195),1))),0)))</f>
        <v>-75573.878600823038</v>
      </c>
      <c r="AS195" s="1212">
        <f t="shared" ref="AS195:AS258" ca="1" si="150">IF($AF195=FALSE,0,IF(AND(AR$2&gt;=$O195,AR$1=$D195),$I195+INT((AR$2-$O195)/$N195)*$J195,0))</f>
        <v>107000</v>
      </c>
      <c r="AT195" s="1213">
        <f t="shared" ref="AT195:AT258" ca="1" si="151">AS195*$F195</f>
        <v>4146.25</v>
      </c>
      <c r="AU195" s="1587">
        <f t="shared" ref="AU195:AU258" ca="1" si="152">IF($A195=0,0,IF(OR($AF195=FALSE,$B195=AQ$1),0,IF(OR(AT195&lt;(AT$1*0.9),$E195&lt;5)=FALSE,((AT195-AT$1)*MIN(3,$E195)*(1-MIN(1/(2*$E195),1))+IF((AS195-AS$1)&lt;0,(AS195-AS$1)*2,(AS195-AS$1)*MIN(1/(2*$E195),1))),0)))</f>
        <v>0</v>
      </c>
      <c r="AX195" s="1212">
        <f t="shared" ref="AX195:AX258" ca="1" si="153">IF($AF195=FALSE,0,IF(AND(AW$2&gt;=$O195,AW$1=$D195),$I195+INT((AW$2-$O195)/$N195)*$J195,0))</f>
        <v>98000</v>
      </c>
      <c r="AY195" s="1213">
        <f t="shared" ref="AY195:AY258" ca="1" si="154">AX195*$F195</f>
        <v>3797.5</v>
      </c>
      <c r="AZ195" s="1587">
        <f t="shared" ref="AZ195:AZ258" ca="1" si="155">IF($A195=0,0,IF(OR($AF195=FALSE,$B195=AV$1),0,IF(OR(AY195&lt;(AY$1*0.9),$E195&lt;5)=FALSE,((AY195-AY$1)*MIN(3,$E195)*(1-MIN(1/(2*$E195),1))+IF((AX195-AX$1)&lt;0,(AX195-AX$1)*2,(AX195-AX$1)*MIN(1/(2*$E195),1))),0)))</f>
        <v>0</v>
      </c>
      <c r="BC195" s="1212">
        <f t="shared" ref="BC195:BC258" ca="1" si="156">IF($AF195=FALSE,0,IF(AND(BB$2&gt;=$O195,BB$1=$D195),$I195+INT((BB$2-$O195)/$N195)*$J195,0))</f>
        <v>0</v>
      </c>
      <c r="BD195" s="1213">
        <f t="shared" ref="BD195:BD258" ca="1" si="157">BC195*$F195</f>
        <v>0</v>
      </c>
      <c r="BE195" s="1587">
        <f t="shared" ref="BE195:BE258" ca="1" si="158">IF($A195=0,0,IF(OR($AF195=FALSE,$B195=BA$1),0,IF(OR(BD195&lt;(BD$1*0.9),$E195&lt;5)=FALSE,((BD195-BD$1)*MIN(3,$E195)*(1-MIN(1/(2*$E195),1))+IF((BC195-BC$1)&lt;0,(BC195-BC$1)*2,(BC195-BC$1)*MIN(1/(2*$E195),1))),0)))</f>
        <v>0</v>
      </c>
      <c r="BH195" s="1212">
        <f t="shared" ref="BH195:BH258" ca="1" si="159">IF($AF195=FALSE,0,IF(AND(BG$2&gt;=$O195,BG$1=$D195),$I195+INT((BG$2-$O195)/$N195)*$J195,0))</f>
        <v>0</v>
      </c>
      <c r="BI195" s="1213">
        <f t="shared" ref="BI195:BI258" ca="1" si="160">BH195*$F195</f>
        <v>0</v>
      </c>
      <c r="BJ195" s="1587">
        <f t="shared" ref="BJ195:BJ258" ca="1" si="161">IF($A195=0,0,IF(OR($AF195=FALSE,$B195=BF$1),0,IF(OR(BI195&lt;(BI$1*0.9),$E195&lt;5)=FALSE,((BI195-BI$1)*MIN(3,$E195)*(1-MIN(1/(2*$E195),1))+IF((BH195-BH$1)&lt;0,(BH195-BH$1)*2,(BH195-BH$1)*MIN(1/(2*$E195),1))),0)))</f>
        <v>0</v>
      </c>
      <c r="BM195" s="1212">
        <f t="shared" ref="BM195:BM258" ca="1" si="162">IF($AF195=FALSE,0,IF(AND(BL$2&gt;=$O195,BL$1=$D195),$I195+INT((BL$2-$O195)/$N195)*$J195,0))</f>
        <v>0</v>
      </c>
      <c r="BN195" s="1213">
        <f t="shared" ref="BN195:BN258" ca="1" si="163">BM195*$F195</f>
        <v>0</v>
      </c>
      <c r="BO195" s="1587">
        <f t="shared" ref="BO195:BO258" ca="1" si="164">IF($A195=0,0,IF(OR($AF195=FALSE,$B195=BK$1),0,IF(OR(BN195&lt;(BN$1*0.9),$E195&lt;5)=FALSE,((BN195-BN$1)*MIN(3,$E195)*(1-MIN(1/(2*$E195),1))+IF((BM195-BM$1)&lt;0,(BM195-BM$1)*2,(BM195-BM$1)*MIN(1/(2*$E195),1))),0)))</f>
        <v>0</v>
      </c>
      <c r="BR195" s="1212">
        <f t="shared" ref="BR195:BR258" ca="1" si="165">IF($AF195=FALSE,0,IF(AND(BQ$2&gt;=$O195,BQ$1=$D195),$I195+INT((BQ$2-$O195)/$N195)*$J195,0))</f>
        <v>0</v>
      </c>
      <c r="BS195" s="1213">
        <f t="shared" ref="BS195:BS258" ca="1" si="166">BR195*$F195</f>
        <v>0</v>
      </c>
      <c r="BT195" s="1587">
        <f t="shared" ref="BT195:BT258" ca="1" si="167">IF($A195=0,0,IF(OR($AF195=FALSE,$B195=BP$1),0,IF(OR(BS195&lt;(BS$1*0.9),$E195&lt;5)=FALSE,((BS195-BS$1)*MIN(3,$E195)*(1-MIN(1/(2*$E195),1))+IF((BR195-BR$1)&lt;0,(BR195-BR$1)*2,(BR195-BR$1)*MIN(1/(2*$E195),1))),0)))</f>
        <v>0</v>
      </c>
      <c r="BW195" s="1212">
        <f t="shared" ref="BW195:BW258" ca="1" si="168">IF($AF195=FALSE,0,IF(AND(BV$2&gt;=$O195,BV$1=$D195),$I195+INT((BV$2-$O195)/$N195)*$J195,0))</f>
        <v>0</v>
      </c>
      <c r="BX195" s="1213">
        <f t="shared" ref="BX195:BX258" ca="1" si="169">BW195*$F195</f>
        <v>0</v>
      </c>
      <c r="BY195" s="1587">
        <f t="shared" ref="BY195:BY258" ca="1" si="170">IF($A195=0,0,IF(OR($AF195=FALSE,$B195=BU$1),0,IF(OR(BX195&lt;(BX$1*0.9),$E195&lt;5)=FALSE,((BX195-BX$1)*MIN(3,$E195)*(1-MIN(1/(2*$E195),1))+IF((BW195-BW$1)&lt;0,(BW195-BW$1)*2,(BW195-BW$1)*MIN(1/(2*$E195),1))),0)))</f>
        <v>0</v>
      </c>
      <c r="CB195" s="1212">
        <f t="shared" ref="CB195:CB258" ca="1" si="171">IF($AF195=FALSE,0,IF(AND(CA$2&gt;=$O195,CA$1=$D195),$I195+INT((CA$2-$O195)/$N195)*$J195,0))</f>
        <v>0</v>
      </c>
      <c r="CC195" s="1213">
        <f t="shared" ref="CC195:CC258" ca="1" si="172">CB195*$F195</f>
        <v>0</v>
      </c>
      <c r="CD195" s="1587">
        <f t="shared" ref="CD195:CD258" ca="1" si="173">IF($A195=0,0,IF(OR($AF195=FALSE,$B195=BZ$1),0,IF(OR(CC195&lt;(CC$1*0.9),$E195&lt;5)=FALSE,((CC195-CC$1)*MIN(3,$E195)*(1-MIN(1/(2*$E195),1))+IF((CB195-CB$1)&lt;0,(CB195-CB$1)*2,(CB195-CB$1)*MIN(1/(2*$E195),1))),0)))</f>
        <v>0</v>
      </c>
      <c r="CG195" s="1212">
        <f t="shared" ref="CG195:CG258" ca="1" si="174">IF($AF195=FALSE,0,IF(AND(CF$2&gt;=$O195,CF$1=$D195),$I195+INT((CF$2-$O195)/$N195)*$J195,0))</f>
        <v>0</v>
      </c>
      <c r="CH195" s="1213">
        <f t="shared" ref="CH195:CH258" ca="1" si="175">CG195*$F195</f>
        <v>0</v>
      </c>
      <c r="CI195" s="1587">
        <f t="shared" ref="CI195:CI258" ca="1" si="176">IF($A195=0,0,IF(OR($AF195=FALSE,$B195=CE$1),0,IF(OR(CH195&lt;(CH$1*0.9),$E195&lt;5)=FALSE,((CH195-CH$1)*MIN(3,$E195)*(1-MIN(1/(2*$E195),1))+IF((CG195-CG$1)&lt;0,(CG195-CG$1)*2,(CG195-CG$1)*MIN(1/(2*$E195),1))),0)))</f>
        <v>0</v>
      </c>
      <c r="CL195" s="1212">
        <f t="shared" ref="CL195:CL258" ca="1" si="177">IF($AF195=FALSE,0,IF(AND(CK$2&gt;=$O195,CK$1=$D195),$I195+INT((CK$2-$O195)/$N195)*$J195,0))</f>
        <v>0</v>
      </c>
      <c r="CM195" s="1213">
        <f t="shared" ref="CM195:CM258" ca="1" si="178">CL195*$F195</f>
        <v>0</v>
      </c>
      <c r="CN195" s="1587">
        <f t="shared" ref="CN195:CN258" ca="1" si="179">IF($A195=0,0,IF(OR($AF195=FALSE,$B195=CJ$1),0,IF(OR(CM195&lt;(CM$1*0.9),$E195&lt;5)=FALSE,((CM195-CM$1)*MIN(3,$E195)*(1-MIN(1/(2*$E195),1))+IF((CL195-CL$1)&lt;0,(CL195-CL$1)*2,(CL195-CL$1)*MIN(1/(2*$E195),1))),0)))</f>
        <v>0</v>
      </c>
    </row>
    <row r="196" spans="1:92">
      <c r="A196" s="141" t="str">
        <f>'銀行-TSS'!A196</f>
        <v>US023135BJ40</v>
      </c>
      <c r="B196" s="151" t="str">
        <f ca="1">VLOOKUP(A196,'銀行-TSS'!A:B,2,FALSE)</f>
        <v>XG830</v>
      </c>
      <c r="C196" s="151" t="str">
        <f ca="1">VLOOKUP(B196,bond!B:C,2,FALSE)</f>
        <v>亞馬遜公司美元配息債券 4.05% 2047/8/22</v>
      </c>
      <c r="D196" s="95" t="str">
        <f>VLOOKUP(A196,'銀行-TSS'!A:C,3,FALSE)</f>
        <v>USD</v>
      </c>
      <c r="E196" s="90">
        <f ca="1">VLOOKUP(A196,'銀行-TSS'!A:G,7,FALSE)</f>
        <v>23.14</v>
      </c>
      <c r="F196" s="202">
        <f ca="1">VLOOKUP(A196,'銀行-TSS'!A:H,8,FALSE)</f>
        <v>4.0500000000000001E-2</v>
      </c>
      <c r="G196" s="96">
        <f ca="1">VLOOKUP(A196,'銀行-TSS'!A:K,11,FALSE)</f>
        <v>89.15</v>
      </c>
      <c r="H196" s="1209">
        <f ca="1">VLOOKUP(A196,'銀行-TSS'!A:M,13,FALSE)</f>
        <v>4.9500000000000002E-2</v>
      </c>
      <c r="I196" s="1213">
        <f ca="1">VLOOKUP(A196,'銀行-TSS'!A:N,14,FALSE)</f>
        <v>10000</v>
      </c>
      <c r="J196" s="1213">
        <f ca="1">VLOOKUP(A196,'銀行-TSS'!A:O,15,FALSE)</f>
        <v>1000</v>
      </c>
      <c r="K196" s="136" t="str">
        <f ca="1">VLOOKUP(A196,'銀行-TSS'!A:V,22,FALSE)</f>
        <v>(NPI)非專投</v>
      </c>
      <c r="L196" s="136" t="str">
        <f ca="1">VLOOKUP(A196,'銀行-TSS'!A:AK,37,FALSE)</f>
        <v>有</v>
      </c>
      <c r="M196" s="136" t="str">
        <f ca="1">VLOOKUP(A196,'銀行-TSS'!A:AN,40,FALSE)</f>
        <v/>
      </c>
      <c r="N196" s="136">
        <f t="shared" ca="1" si="135"/>
        <v>891.5</v>
      </c>
      <c r="O196" s="1213">
        <f t="shared" ca="1" si="136"/>
        <v>8915</v>
      </c>
      <c r="P196" s="1213">
        <f ca="1">IF(AND($O$1&gt;=O196,換券單檔!$D$13=D196),I196+INT(($O$1-O196)/N196)*J196,0)</f>
        <v>108000</v>
      </c>
      <c r="Q196" s="1213">
        <f t="shared" ca="1" si="137"/>
        <v>4374</v>
      </c>
      <c r="R196" s="1213">
        <f t="shared" ca="1" si="138"/>
        <v>108000</v>
      </c>
      <c r="S196" s="1213">
        <f t="shared" ca="1" si="139"/>
        <v>4374</v>
      </c>
      <c r="T196" s="136">
        <f ca="1">IF(OR(R196=0,A196=0),0,IF(AND(V196=TRUE,換券單檔!$D$13=D196),E196,0))</f>
        <v>23.14</v>
      </c>
      <c r="U196" s="861">
        <f ca="1">IF(OR(R196=0,A196=0),0,IF(AND(V196=TRUE,換券單檔!$D$13=D196),H196,0))</f>
        <v>4.9500000000000002E-2</v>
      </c>
      <c r="V196" s="136" t="b">
        <f ca="1">IF(OR(B196=換券單檔!$D$3,L196="無",M196&lt;&gt;"",K196="高資產",IFERROR(MATCH(B196,換券單檔!K:K,0),"N")&lt;&gt;"N"),FALSE,IF($V$1="All",TRUE,IF(K196=$V$1,TRUE,FALSE)))</f>
        <v>1</v>
      </c>
      <c r="W196" s="136">
        <f ca="1">VLOOKUP(A196,'銀行-TSS'!A:AO,41,FALSE)</f>
        <v>84.190000000000012</v>
      </c>
      <c r="X196" s="136">
        <f ca="1">VLOOKUP(A196,'銀行-TSS'!A:AP,42,FALSE)</f>
        <v>13.8955</v>
      </c>
      <c r="Y196" s="1220">
        <f t="shared" ca="1" si="140"/>
        <v>12634.511166</v>
      </c>
      <c r="Z196" s="1220">
        <f t="shared" ca="1" si="141"/>
        <v>-1224.2834917891068</v>
      </c>
      <c r="AA196" s="136">
        <f ca="1">IF(Z196&lt;=0,0,RANK(Z196,Z:Z)+COUNTIF($Z$3:$Z196,Z196)-1)</f>
        <v>0</v>
      </c>
      <c r="AB196" s="1211">
        <f t="shared" ca="1" si="142"/>
        <v>-2261.6288339999992</v>
      </c>
      <c r="AC196" s="136">
        <f ca="1">IF(AB196&lt;=0,0,RANK(AB196,AB:AB)+COUNTIF($AB$3:$AB196,AB196)-1)</f>
        <v>0</v>
      </c>
      <c r="AD196" s="1123">
        <f t="shared" ca="1" si="143"/>
        <v>99999</v>
      </c>
      <c r="AE196" s="1123">
        <f ca="1">IF(AD196=99999,0,RANK(AD196,AD:AD,1)+COUNTIF($AD$3:$AD196,AD196)-1)</f>
        <v>0</v>
      </c>
      <c r="AF196" s="86" t="b">
        <f ca="1">IF(OR(M196&lt;&gt;"",L196="無",K196="高資產",IFERROR(MATCH(B196,換券單檔!K:K,0),"N")&lt;&gt;"N"),FALSE,TRUE)</f>
        <v>1</v>
      </c>
      <c r="AI196" s="1212">
        <f t="shared" ca="1" si="144"/>
        <v>108000</v>
      </c>
      <c r="AJ196" s="1213">
        <f t="shared" ca="1" si="145"/>
        <v>4374</v>
      </c>
      <c r="AK196" s="1587">
        <f t="shared" ca="1" si="146"/>
        <v>-1224.2834917891068</v>
      </c>
      <c r="AN196" s="1212">
        <f t="shared" ca="1" si="147"/>
        <v>62000</v>
      </c>
      <c r="AO196" s="1213">
        <f t="shared" ca="1" si="148"/>
        <v>2511</v>
      </c>
      <c r="AP196" s="1587">
        <f t="shared" ca="1" si="149"/>
        <v>-75233.918755401901</v>
      </c>
      <c r="AS196" s="1212">
        <f t="shared" ca="1" si="150"/>
        <v>106000</v>
      </c>
      <c r="AT196" s="1213">
        <f t="shared" ca="1" si="151"/>
        <v>4293</v>
      </c>
      <c r="AU196" s="1587">
        <f t="shared" ca="1" si="152"/>
        <v>0</v>
      </c>
      <c r="AX196" s="1212">
        <f t="shared" ca="1" si="153"/>
        <v>97000</v>
      </c>
      <c r="AY196" s="1213">
        <f t="shared" ca="1" si="154"/>
        <v>3928.5</v>
      </c>
      <c r="AZ196" s="1587">
        <f t="shared" ca="1" si="155"/>
        <v>0</v>
      </c>
      <c r="BC196" s="1212">
        <f t="shared" ca="1" si="156"/>
        <v>0</v>
      </c>
      <c r="BD196" s="1213">
        <f t="shared" ca="1" si="157"/>
        <v>0</v>
      </c>
      <c r="BE196" s="1587">
        <f t="shared" ca="1" si="158"/>
        <v>0</v>
      </c>
      <c r="BH196" s="1212">
        <f t="shared" ca="1" si="159"/>
        <v>0</v>
      </c>
      <c r="BI196" s="1213">
        <f t="shared" ca="1" si="160"/>
        <v>0</v>
      </c>
      <c r="BJ196" s="1587">
        <f t="shared" ca="1" si="161"/>
        <v>0</v>
      </c>
      <c r="BM196" s="1212">
        <f t="shared" ca="1" si="162"/>
        <v>0</v>
      </c>
      <c r="BN196" s="1213">
        <f t="shared" ca="1" si="163"/>
        <v>0</v>
      </c>
      <c r="BO196" s="1587">
        <f t="shared" ca="1" si="164"/>
        <v>0</v>
      </c>
      <c r="BR196" s="1212">
        <f t="shared" ca="1" si="165"/>
        <v>0</v>
      </c>
      <c r="BS196" s="1213">
        <f t="shared" ca="1" si="166"/>
        <v>0</v>
      </c>
      <c r="BT196" s="1587">
        <f t="shared" ca="1" si="167"/>
        <v>0</v>
      </c>
      <c r="BW196" s="1212">
        <f t="shared" ca="1" si="168"/>
        <v>0</v>
      </c>
      <c r="BX196" s="1213">
        <f t="shared" ca="1" si="169"/>
        <v>0</v>
      </c>
      <c r="BY196" s="1587">
        <f t="shared" ca="1" si="170"/>
        <v>0</v>
      </c>
      <c r="CB196" s="1212">
        <f t="shared" ca="1" si="171"/>
        <v>0</v>
      </c>
      <c r="CC196" s="1213">
        <f t="shared" ca="1" si="172"/>
        <v>0</v>
      </c>
      <c r="CD196" s="1587">
        <f t="shared" ca="1" si="173"/>
        <v>0</v>
      </c>
      <c r="CG196" s="1212">
        <f t="shared" ca="1" si="174"/>
        <v>0</v>
      </c>
      <c r="CH196" s="1213">
        <f t="shared" ca="1" si="175"/>
        <v>0</v>
      </c>
      <c r="CI196" s="1587">
        <f t="shared" ca="1" si="176"/>
        <v>0</v>
      </c>
      <c r="CL196" s="1212">
        <f t="shared" ca="1" si="177"/>
        <v>0</v>
      </c>
      <c r="CM196" s="1213">
        <f t="shared" ca="1" si="178"/>
        <v>0</v>
      </c>
      <c r="CN196" s="1587">
        <f t="shared" ca="1" si="179"/>
        <v>0</v>
      </c>
    </row>
    <row r="197" spans="1:92">
      <c r="A197" s="141" t="str">
        <f>'銀行-TSS'!A197</f>
        <v>US031162CS70</v>
      </c>
      <c r="B197" s="151" t="str">
        <f ca="1">VLOOKUP(A197,'銀行-TSS'!A:B,2,FALSE)</f>
        <v>XG840</v>
      </c>
      <c r="C197" s="151" t="str">
        <f ca="1">VLOOKUP(B197,bond!B:C,2,FALSE)</f>
        <v>安進公司美元配息債券 3.375% 2050/2/21</v>
      </c>
      <c r="D197" s="95" t="str">
        <f>VLOOKUP(A197,'銀行-TSS'!A:C,3,FALSE)</f>
        <v>USD</v>
      </c>
      <c r="E197" s="90">
        <f ca="1">VLOOKUP(A197,'銀行-TSS'!A:G,7,FALSE)</f>
        <v>25.64</v>
      </c>
      <c r="F197" s="202">
        <f ca="1">VLOOKUP(A197,'銀行-TSS'!A:H,8,FALSE)</f>
        <v>3.3750000000000002E-2</v>
      </c>
      <c r="G197" s="96">
        <f ca="1">VLOOKUP(A197,'銀行-TSS'!A:K,11,FALSE)</f>
        <v>75.33</v>
      </c>
      <c r="H197" s="1209">
        <f ca="1">VLOOKUP(A197,'銀行-TSS'!A:M,13,FALSE)</f>
        <v>5.2200000000000003E-2</v>
      </c>
      <c r="I197" s="1213">
        <f ca="1">VLOOKUP(A197,'銀行-TSS'!A:N,14,FALSE)</f>
        <v>10000</v>
      </c>
      <c r="J197" s="1213">
        <f ca="1">VLOOKUP(A197,'銀行-TSS'!A:O,15,FALSE)</f>
        <v>1000</v>
      </c>
      <c r="K197" s="136" t="str">
        <f ca="1">VLOOKUP(A197,'銀行-TSS'!A:V,22,FALSE)</f>
        <v>(PI)專投</v>
      </c>
      <c r="L197" s="136" t="str">
        <f ca="1">VLOOKUP(A197,'銀行-TSS'!A:AK,37,FALSE)</f>
        <v>有</v>
      </c>
      <c r="M197" s="136" t="str">
        <f ca="1">VLOOKUP(A197,'銀行-TSS'!A:AN,40,FALSE)</f>
        <v>XG840</v>
      </c>
      <c r="N197" s="136">
        <f t="shared" ca="1" si="135"/>
        <v>753.3</v>
      </c>
      <c r="O197" s="1213">
        <f t="shared" ca="1" si="136"/>
        <v>7533</v>
      </c>
      <c r="P197" s="1213">
        <f ca="1">IF(AND($O$1&gt;=O197,換券單檔!$D$13=D197),I197+INT(($O$1-O197)/N197)*J197,0)</f>
        <v>128000</v>
      </c>
      <c r="Q197" s="1213">
        <f t="shared" ca="1" si="137"/>
        <v>4320</v>
      </c>
      <c r="R197" s="1213">
        <f t="shared" ca="1" si="138"/>
        <v>0</v>
      </c>
      <c r="S197" s="1213">
        <f t="shared" ca="1" si="139"/>
        <v>0</v>
      </c>
      <c r="T197" s="136">
        <f ca="1">IF(OR(R197=0,A197=0),0,IF(AND(V197=TRUE,換券單檔!$D$13=D197),E197,0))</f>
        <v>0</v>
      </c>
      <c r="U197" s="861">
        <f ca="1">IF(OR(R197=0,A197=0),0,IF(AND(V197=TRUE,換券單檔!$D$13=D197),H197,0))</f>
        <v>0</v>
      </c>
      <c r="V197" s="136" t="b">
        <f ca="1">IF(OR(B197=換券單檔!$D$3,L197="無",M197&lt;&gt;"",K197="高資產",IFERROR(MATCH(B197,換券單檔!K:K,0),"N")&lt;&gt;"N"),FALSE,IF($V$1="All",TRUE,IF(K197=$V$1,TRUE,FALSE)))</f>
        <v>0</v>
      </c>
      <c r="W197" s="136">
        <f ca="1">VLOOKUP(A197,'銀行-TSS'!A:AO,41,FALSE)</f>
        <v>71.100000000000009</v>
      </c>
      <c r="X197" s="136">
        <f ca="1">VLOOKUP(A197,'銀行-TSS'!A:AP,42,FALSE)</f>
        <v>15.036300000000001</v>
      </c>
      <c r="Y197" s="1220">
        <f t="shared" ca="1" si="140"/>
        <v>0</v>
      </c>
      <c r="Z197" s="1220">
        <f t="shared" ca="1" si="141"/>
        <v>0</v>
      </c>
      <c r="AA197" s="136">
        <f ca="1">IF(Z197&lt;=0,0,RANK(Z197,Z:Z)+COUNTIF($Z$3:$Z197,Z197)-1)</f>
        <v>0</v>
      </c>
      <c r="AB197" s="1211">
        <f t="shared" ca="1" si="142"/>
        <v>-14896.14</v>
      </c>
      <c r="AC197" s="136">
        <f ca="1">IF(AB197&lt;=0,0,RANK(AB197,AB:AB)+COUNTIF($AB$3:$AB197,AB197)-1)</f>
        <v>0</v>
      </c>
      <c r="AD197" s="1123">
        <f t="shared" ca="1" si="143"/>
        <v>99999</v>
      </c>
      <c r="AE197" s="1123">
        <f ca="1">IF(AD197=99999,0,RANK(AD197,AD:AD,1)+COUNTIF($AD$3:$AD197,AD197)-1)</f>
        <v>0</v>
      </c>
      <c r="AF197" s="86" t="b">
        <f ca="1">IF(OR(M197&lt;&gt;"",L197="無",K197="高資產",IFERROR(MATCH(B197,換券單檔!K:K,0),"N")&lt;&gt;"N"),FALSE,TRUE)</f>
        <v>0</v>
      </c>
      <c r="AI197" s="1212">
        <f t="shared" ca="1" si="144"/>
        <v>0</v>
      </c>
      <c r="AJ197" s="1213">
        <f t="shared" ca="1" si="145"/>
        <v>0</v>
      </c>
      <c r="AK197" s="1587">
        <f t="shared" ca="1" si="146"/>
        <v>0</v>
      </c>
      <c r="AN197" s="1212">
        <f t="shared" ca="1" si="147"/>
        <v>0</v>
      </c>
      <c r="AO197" s="1213">
        <f t="shared" ca="1" si="148"/>
        <v>0</v>
      </c>
      <c r="AP197" s="1587">
        <f t="shared" ca="1" si="149"/>
        <v>0</v>
      </c>
      <c r="AS197" s="1212">
        <f t="shared" ca="1" si="150"/>
        <v>0</v>
      </c>
      <c r="AT197" s="1213">
        <f t="shared" ca="1" si="151"/>
        <v>0</v>
      </c>
      <c r="AU197" s="1587">
        <f t="shared" ca="1" si="152"/>
        <v>0</v>
      </c>
      <c r="AX197" s="1212">
        <f t="shared" ca="1" si="153"/>
        <v>0</v>
      </c>
      <c r="AY197" s="1213">
        <f t="shared" ca="1" si="154"/>
        <v>0</v>
      </c>
      <c r="AZ197" s="1587">
        <f t="shared" ca="1" si="155"/>
        <v>0</v>
      </c>
      <c r="BC197" s="1212">
        <f t="shared" ca="1" si="156"/>
        <v>0</v>
      </c>
      <c r="BD197" s="1213">
        <f t="shared" ca="1" si="157"/>
        <v>0</v>
      </c>
      <c r="BE197" s="1587">
        <f t="shared" ca="1" si="158"/>
        <v>0</v>
      </c>
      <c r="BH197" s="1212">
        <f t="shared" ca="1" si="159"/>
        <v>0</v>
      </c>
      <c r="BI197" s="1213">
        <f t="shared" ca="1" si="160"/>
        <v>0</v>
      </c>
      <c r="BJ197" s="1587">
        <f t="shared" ca="1" si="161"/>
        <v>0</v>
      </c>
      <c r="BM197" s="1212">
        <f t="shared" ca="1" si="162"/>
        <v>0</v>
      </c>
      <c r="BN197" s="1213">
        <f t="shared" ca="1" si="163"/>
        <v>0</v>
      </c>
      <c r="BO197" s="1587">
        <f t="shared" ca="1" si="164"/>
        <v>0</v>
      </c>
      <c r="BR197" s="1212">
        <f t="shared" ca="1" si="165"/>
        <v>0</v>
      </c>
      <c r="BS197" s="1213">
        <f t="shared" ca="1" si="166"/>
        <v>0</v>
      </c>
      <c r="BT197" s="1587">
        <f t="shared" ca="1" si="167"/>
        <v>0</v>
      </c>
      <c r="BW197" s="1212">
        <f t="shared" ca="1" si="168"/>
        <v>0</v>
      </c>
      <c r="BX197" s="1213">
        <f t="shared" ca="1" si="169"/>
        <v>0</v>
      </c>
      <c r="BY197" s="1587">
        <f t="shared" ca="1" si="170"/>
        <v>0</v>
      </c>
      <c r="CB197" s="1212">
        <f t="shared" ca="1" si="171"/>
        <v>0</v>
      </c>
      <c r="CC197" s="1213">
        <f t="shared" ca="1" si="172"/>
        <v>0</v>
      </c>
      <c r="CD197" s="1587">
        <f t="shared" ca="1" si="173"/>
        <v>0</v>
      </c>
      <c r="CG197" s="1212">
        <f t="shared" ca="1" si="174"/>
        <v>0</v>
      </c>
      <c r="CH197" s="1213">
        <f t="shared" ca="1" si="175"/>
        <v>0</v>
      </c>
      <c r="CI197" s="1587">
        <f t="shared" ca="1" si="176"/>
        <v>0</v>
      </c>
      <c r="CL197" s="1212">
        <f t="shared" ca="1" si="177"/>
        <v>0</v>
      </c>
      <c r="CM197" s="1213">
        <f t="shared" ca="1" si="178"/>
        <v>0</v>
      </c>
      <c r="CN197" s="1587">
        <f t="shared" ca="1" si="179"/>
        <v>0</v>
      </c>
    </row>
    <row r="198" spans="1:92">
      <c r="A198" s="141" t="str">
        <f>'銀行-TSS'!A198</f>
        <v>US29446MAG78</v>
      </c>
      <c r="B198" s="151" t="str">
        <f ca="1">VLOOKUP(A198,'銀行-TSS'!A:B,2,FALSE)</f>
        <v>XG850</v>
      </c>
      <c r="C198" s="151" t="str">
        <f ca="1">VLOOKUP(B198,bond!B:C,2,FALSE)</f>
        <v>挪威國家石油公司美元配息債券 3.625% 2040/4/6</v>
      </c>
      <c r="D198" s="95" t="str">
        <f>VLOOKUP(A198,'銀行-TSS'!A:C,3,FALSE)</f>
        <v>USD</v>
      </c>
      <c r="E198" s="90">
        <f ca="1">VLOOKUP(A198,'銀行-TSS'!A:G,7,FALSE)</f>
        <v>15.76</v>
      </c>
      <c r="F198" s="202">
        <f ca="1">VLOOKUP(A198,'銀行-TSS'!A:H,8,FALSE)</f>
        <v>3.6249999999999998E-2</v>
      </c>
      <c r="G198" s="96">
        <f ca="1">VLOOKUP(A198,'銀行-TSS'!A:K,11,FALSE)</f>
        <v>85.09</v>
      </c>
      <c r="H198" s="1209">
        <f ca="1">VLOOKUP(A198,'銀行-TSS'!A:M,13,FALSE)</f>
        <v>5.0900000000000001E-2</v>
      </c>
      <c r="I198" s="1213">
        <f ca="1">VLOOKUP(A198,'銀行-TSS'!A:N,14,FALSE)</f>
        <v>10000</v>
      </c>
      <c r="J198" s="1213">
        <f ca="1">VLOOKUP(A198,'銀行-TSS'!A:O,15,FALSE)</f>
        <v>1000</v>
      </c>
      <c r="K198" s="136" t="str">
        <f ca="1">VLOOKUP(A198,'銀行-TSS'!A:V,22,FALSE)</f>
        <v>(NPI)非專投</v>
      </c>
      <c r="L198" s="136" t="str">
        <f ca="1">VLOOKUP(A198,'銀行-TSS'!A:AK,37,FALSE)</f>
        <v>有</v>
      </c>
      <c r="M198" s="136" t="str">
        <f ca="1">VLOOKUP(A198,'銀行-TSS'!A:AN,40,FALSE)</f>
        <v/>
      </c>
      <c r="N198" s="136">
        <f t="shared" ca="1" si="135"/>
        <v>850.9</v>
      </c>
      <c r="O198" s="1213">
        <f t="shared" ca="1" si="136"/>
        <v>8509</v>
      </c>
      <c r="P198" s="1213">
        <f ca="1">IF(AND($O$1&gt;=O198,換券單檔!$D$13=D198),I198+INT(($O$1-O198)/N198)*J198,0)</f>
        <v>113000</v>
      </c>
      <c r="Q198" s="1213">
        <f t="shared" ca="1" si="137"/>
        <v>4096.25</v>
      </c>
      <c r="R198" s="1213">
        <f t="shared" ca="1" si="138"/>
        <v>113000</v>
      </c>
      <c r="S198" s="1213">
        <f t="shared" ca="1" si="139"/>
        <v>4096.25</v>
      </c>
      <c r="T198" s="136">
        <f ca="1">IF(OR(R198=0,A198=0),0,IF(AND(V198=TRUE,換券單檔!$D$13=D198),E198,0))</f>
        <v>15.76</v>
      </c>
      <c r="U198" s="861">
        <f ca="1">IF(OR(R198=0,A198=0),0,IF(AND(V198=TRUE,換券單檔!$D$13=D198),H198,0))</f>
        <v>5.0900000000000001E-2</v>
      </c>
      <c r="V198" s="136" t="b">
        <f ca="1">IF(OR(B198=換券單檔!$D$3,L198="無",M198&lt;&gt;"",K198="高資產",IFERROR(MATCH(B198,換券單檔!K:K,0),"N")&lt;&gt;"N"),FALSE,IF($V$1="All",TRUE,IF(K198=$V$1,TRUE,FALSE)))</f>
        <v>1</v>
      </c>
      <c r="W198" s="136">
        <f ca="1">VLOOKUP(A198,'銀行-TSS'!A:AO,41,FALSE)</f>
        <v>82.22</v>
      </c>
      <c r="X198" s="136">
        <f ca="1">VLOOKUP(A198,'銀行-TSS'!A:AP,42,FALSE)</f>
        <v>11.2758</v>
      </c>
      <c r="Y198" s="1220">
        <f t="shared" ca="1" si="140"/>
        <v>10476.1879188</v>
      </c>
      <c r="Z198" s="1220">
        <f t="shared" ca="1" si="141"/>
        <v>0</v>
      </c>
      <c r="AA198" s="136">
        <f ca="1">IF(Z198&lt;=0,0,RANK(Z198,Z:Z)+COUNTIF($Z$3:$Z198,Z198)-1)</f>
        <v>0</v>
      </c>
      <c r="AB198" s="1211">
        <f t="shared" ca="1" si="142"/>
        <v>-4419.9520811999992</v>
      </c>
      <c r="AC198" s="136">
        <f ca="1">IF(AB198&lt;=0,0,RANK(AB198,AB:AB)+COUNTIF($AB$3:$AB198,AB198)-1)</f>
        <v>0</v>
      </c>
      <c r="AD198" s="1123">
        <f t="shared" ca="1" si="143"/>
        <v>99999</v>
      </c>
      <c r="AE198" s="1123">
        <f ca="1">IF(AD198=99999,0,RANK(AD198,AD:AD,1)+COUNTIF($AD$3:$AD198,AD198)-1)</f>
        <v>0</v>
      </c>
      <c r="AF198" s="86" t="b">
        <f ca="1">IF(OR(M198&lt;&gt;"",L198="無",K198="高資產",IFERROR(MATCH(B198,換券單檔!K:K,0),"N")&lt;&gt;"N"),FALSE,TRUE)</f>
        <v>1</v>
      </c>
      <c r="AI198" s="1212">
        <f t="shared" ca="1" si="144"/>
        <v>113000</v>
      </c>
      <c r="AJ198" s="1213">
        <f t="shared" ca="1" si="145"/>
        <v>4096.25</v>
      </c>
      <c r="AK198" s="1587">
        <f t="shared" ca="1" si="146"/>
        <v>0</v>
      </c>
      <c r="AN198" s="1212">
        <f t="shared" ca="1" si="147"/>
        <v>65000</v>
      </c>
      <c r="AO198" s="1213">
        <f t="shared" ca="1" si="148"/>
        <v>2356.25</v>
      </c>
      <c r="AP198" s="1587">
        <f t="shared" ca="1" si="149"/>
        <v>-69691.362626903559</v>
      </c>
      <c r="AS198" s="1212">
        <f t="shared" ca="1" si="150"/>
        <v>111000</v>
      </c>
      <c r="AT198" s="1213">
        <f t="shared" ca="1" si="151"/>
        <v>4023.7499999999995</v>
      </c>
      <c r="AU198" s="1587">
        <f t="shared" ca="1" si="152"/>
        <v>0</v>
      </c>
      <c r="AX198" s="1212">
        <f t="shared" ca="1" si="153"/>
        <v>102000</v>
      </c>
      <c r="AY198" s="1213">
        <f t="shared" ca="1" si="154"/>
        <v>3697.4999999999995</v>
      </c>
      <c r="AZ198" s="1587">
        <f t="shared" ca="1" si="155"/>
        <v>0</v>
      </c>
      <c r="BC198" s="1212">
        <f t="shared" ca="1" si="156"/>
        <v>0</v>
      </c>
      <c r="BD198" s="1213">
        <f t="shared" ca="1" si="157"/>
        <v>0</v>
      </c>
      <c r="BE198" s="1587">
        <f t="shared" ca="1" si="158"/>
        <v>0</v>
      </c>
      <c r="BH198" s="1212">
        <f t="shared" ca="1" si="159"/>
        <v>0</v>
      </c>
      <c r="BI198" s="1213">
        <f t="shared" ca="1" si="160"/>
        <v>0</v>
      </c>
      <c r="BJ198" s="1587">
        <f t="shared" ca="1" si="161"/>
        <v>0</v>
      </c>
      <c r="BM198" s="1212">
        <f t="shared" ca="1" si="162"/>
        <v>0</v>
      </c>
      <c r="BN198" s="1213">
        <f t="shared" ca="1" si="163"/>
        <v>0</v>
      </c>
      <c r="BO198" s="1587">
        <f t="shared" ca="1" si="164"/>
        <v>0</v>
      </c>
      <c r="BR198" s="1212">
        <f t="shared" ca="1" si="165"/>
        <v>0</v>
      </c>
      <c r="BS198" s="1213">
        <f t="shared" ca="1" si="166"/>
        <v>0</v>
      </c>
      <c r="BT198" s="1587">
        <f t="shared" ca="1" si="167"/>
        <v>0</v>
      </c>
      <c r="BW198" s="1212">
        <f t="shared" ca="1" si="168"/>
        <v>0</v>
      </c>
      <c r="BX198" s="1213">
        <f t="shared" ca="1" si="169"/>
        <v>0</v>
      </c>
      <c r="BY198" s="1587">
        <f t="shared" ca="1" si="170"/>
        <v>0</v>
      </c>
      <c r="CB198" s="1212">
        <f t="shared" ca="1" si="171"/>
        <v>0</v>
      </c>
      <c r="CC198" s="1213">
        <f t="shared" ca="1" si="172"/>
        <v>0</v>
      </c>
      <c r="CD198" s="1587">
        <f t="shared" ca="1" si="173"/>
        <v>0</v>
      </c>
      <c r="CG198" s="1212">
        <f t="shared" ca="1" si="174"/>
        <v>0</v>
      </c>
      <c r="CH198" s="1213">
        <f t="shared" ca="1" si="175"/>
        <v>0</v>
      </c>
      <c r="CI198" s="1587">
        <f t="shared" ca="1" si="176"/>
        <v>0</v>
      </c>
      <c r="CL198" s="1212">
        <f t="shared" ca="1" si="177"/>
        <v>0</v>
      </c>
      <c r="CM198" s="1213">
        <f t="shared" ca="1" si="178"/>
        <v>0</v>
      </c>
      <c r="CN198" s="1587">
        <f t="shared" ca="1" si="179"/>
        <v>0</v>
      </c>
    </row>
    <row r="199" spans="1:92">
      <c r="A199" s="141" t="str">
        <f>'銀行-TSS'!A199</f>
        <v>USU09513JL42</v>
      </c>
      <c r="B199" s="151" t="str">
        <f ca="1">VLOOKUP(A199,'銀行-TSS'!A:B,2,FALSE)</f>
        <v>XG870</v>
      </c>
      <c r="C199" s="151" t="str">
        <f ca="1">VLOOKUP(B199,bond!B:C,2,FALSE)</f>
        <v>寶馬美國資本有限責任公司美元配息債券 3.7% 2032/4/1</v>
      </c>
      <c r="D199" s="95" t="str">
        <f>VLOOKUP(A199,'銀行-TSS'!A:C,3,FALSE)</f>
        <v>USD</v>
      </c>
      <c r="E199" s="90">
        <f ca="1">VLOOKUP(A199,'銀行-TSS'!A:G,7,FALSE)</f>
        <v>7.75</v>
      </c>
      <c r="F199" s="202">
        <f ca="1">VLOOKUP(A199,'銀行-TSS'!A:H,8,FALSE)</f>
        <v>3.7000000000000005E-2</v>
      </c>
      <c r="G199" s="96">
        <f ca="1">VLOOKUP(A199,'銀行-TSS'!A:K,11,FALSE)</f>
        <v>94.14</v>
      </c>
      <c r="H199" s="1209">
        <f ca="1">VLOOKUP(A199,'銀行-TSS'!A:M,13,FALSE)</f>
        <v>4.7600000000000003E-2</v>
      </c>
      <c r="I199" s="1213">
        <f ca="1">VLOOKUP(A199,'銀行-TSS'!A:N,14,FALSE)</f>
        <v>10000</v>
      </c>
      <c r="J199" s="1213">
        <f ca="1">VLOOKUP(A199,'銀行-TSS'!A:O,15,FALSE)</f>
        <v>1000</v>
      </c>
      <c r="K199" s="136" t="str">
        <f ca="1">VLOOKUP(A199,'銀行-TSS'!A:V,22,FALSE)</f>
        <v>(NPI)非專投</v>
      </c>
      <c r="L199" s="136" t="str">
        <f ca="1">VLOOKUP(A199,'銀行-TSS'!A:AK,37,FALSE)</f>
        <v>需查詢</v>
      </c>
      <c r="M199" s="136" t="str">
        <f ca="1">VLOOKUP(A199,'銀行-TSS'!A:AN,40,FALSE)</f>
        <v/>
      </c>
      <c r="N199" s="136">
        <f t="shared" ca="1" si="135"/>
        <v>941.4</v>
      </c>
      <c r="O199" s="1213">
        <f t="shared" ca="1" si="136"/>
        <v>9414</v>
      </c>
      <c r="P199" s="1213">
        <f ca="1">IF(AND($O$1&gt;=O199,換券單檔!$D$13=D199),I199+INT(($O$1-O199)/N199)*J199,0)</f>
        <v>102000</v>
      </c>
      <c r="Q199" s="1213">
        <f t="shared" ca="1" si="137"/>
        <v>3774.0000000000005</v>
      </c>
      <c r="R199" s="1213">
        <f t="shared" ca="1" si="138"/>
        <v>102000</v>
      </c>
      <c r="S199" s="1213">
        <f t="shared" ca="1" si="139"/>
        <v>3774.0000000000005</v>
      </c>
      <c r="T199" s="136">
        <f ca="1">IF(OR(R199=0,A199=0),0,IF(AND(V199=TRUE,換券單檔!$D$13=D199),E199,0))</f>
        <v>7.75</v>
      </c>
      <c r="U199" s="861">
        <f ca="1">IF(OR(R199=0,A199=0),0,IF(AND(V199=TRUE,換券單檔!$D$13=D199),H199,0))</f>
        <v>4.7600000000000003E-2</v>
      </c>
      <c r="V199" s="136" t="b">
        <f ca="1">IF(OR(B199=換券單檔!$D$3,L199="無",M199&lt;&gt;"",K199="高資產",IFERROR(MATCH(B199,換券單檔!K:K,0),"N")&lt;&gt;"N"),FALSE,IF($V$1="All",TRUE,IF(K199=$V$1,TRUE,FALSE)))</f>
        <v>1</v>
      </c>
      <c r="W199" s="136">
        <f ca="1">VLOOKUP(A199,'銀行-TSS'!A:AO,41,FALSE)</f>
        <v>91.2</v>
      </c>
      <c r="X199" s="136">
        <f ca="1">VLOOKUP(A199,'銀行-TSS'!A:AP,42,FALSE)</f>
        <v>6.5254000000000003</v>
      </c>
      <c r="Y199" s="1220">
        <f t="shared" ca="1" si="140"/>
        <v>6070.1880960000008</v>
      </c>
      <c r="Z199" s="1220">
        <f t="shared" ca="1" si="141"/>
        <v>0</v>
      </c>
      <c r="AA199" s="136">
        <f ca="1">IF(Z199&lt;=0,0,RANK(Z199,Z:Z)+COUNTIF($Z$3:$Z199,Z199)-1)</f>
        <v>0</v>
      </c>
      <c r="AB199" s="1211">
        <f t="shared" ca="1" si="142"/>
        <v>-8825.9519039999977</v>
      </c>
      <c r="AC199" s="136">
        <f ca="1">IF(AB199&lt;=0,0,RANK(AB199,AB:AB)+COUNTIF($AB$3:$AB199,AB199)-1)</f>
        <v>0</v>
      </c>
      <c r="AD199" s="1123">
        <f t="shared" ca="1" si="143"/>
        <v>99999</v>
      </c>
      <c r="AE199" s="1123">
        <f ca="1">IF(AD199=99999,0,RANK(AD199,AD:AD,1)+COUNTIF($AD$3:$AD199,AD199)-1)</f>
        <v>0</v>
      </c>
      <c r="AF199" s="86" t="b">
        <f ca="1">IF(OR(M199&lt;&gt;"",L199="無",K199="高資產",IFERROR(MATCH(B199,換券單檔!K:K,0),"N")&lt;&gt;"N"),FALSE,TRUE)</f>
        <v>1</v>
      </c>
      <c r="AI199" s="1212">
        <f t="shared" ca="1" si="144"/>
        <v>102000</v>
      </c>
      <c r="AJ199" s="1213">
        <f t="shared" ca="1" si="145"/>
        <v>3774.0000000000005</v>
      </c>
      <c r="AK199" s="1587">
        <f t="shared" ca="1" si="146"/>
        <v>0</v>
      </c>
      <c r="AN199" s="1212">
        <f t="shared" ca="1" si="147"/>
        <v>58000</v>
      </c>
      <c r="AO199" s="1213">
        <f t="shared" ca="1" si="148"/>
        <v>2146.0000000000005</v>
      </c>
      <c r="AP199" s="1587">
        <f t="shared" ca="1" si="149"/>
        <v>-84291.870967741939</v>
      </c>
      <c r="AS199" s="1212">
        <f t="shared" ca="1" si="150"/>
        <v>100000</v>
      </c>
      <c r="AT199" s="1213">
        <f t="shared" ca="1" si="151"/>
        <v>3700.0000000000005</v>
      </c>
      <c r="AU199" s="1587">
        <f t="shared" ca="1" si="152"/>
        <v>0</v>
      </c>
      <c r="AX199" s="1212">
        <f t="shared" ca="1" si="153"/>
        <v>92000</v>
      </c>
      <c r="AY199" s="1213">
        <f t="shared" ca="1" si="154"/>
        <v>3404.0000000000005</v>
      </c>
      <c r="AZ199" s="1587">
        <f t="shared" ca="1" si="155"/>
        <v>0</v>
      </c>
      <c r="BC199" s="1212">
        <f t="shared" ca="1" si="156"/>
        <v>0</v>
      </c>
      <c r="BD199" s="1213">
        <f t="shared" ca="1" si="157"/>
        <v>0</v>
      </c>
      <c r="BE199" s="1587">
        <f t="shared" ca="1" si="158"/>
        <v>0</v>
      </c>
      <c r="BH199" s="1212">
        <f t="shared" ca="1" si="159"/>
        <v>0</v>
      </c>
      <c r="BI199" s="1213">
        <f t="shared" ca="1" si="160"/>
        <v>0</v>
      </c>
      <c r="BJ199" s="1587">
        <f t="shared" ca="1" si="161"/>
        <v>0</v>
      </c>
      <c r="BM199" s="1212">
        <f t="shared" ca="1" si="162"/>
        <v>0</v>
      </c>
      <c r="BN199" s="1213">
        <f t="shared" ca="1" si="163"/>
        <v>0</v>
      </c>
      <c r="BO199" s="1587">
        <f t="shared" ca="1" si="164"/>
        <v>0</v>
      </c>
      <c r="BR199" s="1212">
        <f t="shared" ca="1" si="165"/>
        <v>0</v>
      </c>
      <c r="BS199" s="1213">
        <f t="shared" ca="1" si="166"/>
        <v>0</v>
      </c>
      <c r="BT199" s="1587">
        <f t="shared" ca="1" si="167"/>
        <v>0</v>
      </c>
      <c r="BW199" s="1212">
        <f t="shared" ca="1" si="168"/>
        <v>0</v>
      </c>
      <c r="BX199" s="1213">
        <f t="shared" ca="1" si="169"/>
        <v>0</v>
      </c>
      <c r="BY199" s="1587">
        <f t="shared" ca="1" si="170"/>
        <v>0</v>
      </c>
      <c r="CB199" s="1212">
        <f t="shared" ca="1" si="171"/>
        <v>0</v>
      </c>
      <c r="CC199" s="1213">
        <f t="shared" ca="1" si="172"/>
        <v>0</v>
      </c>
      <c r="CD199" s="1587">
        <f t="shared" ca="1" si="173"/>
        <v>0</v>
      </c>
      <c r="CG199" s="1212">
        <f t="shared" ca="1" si="174"/>
        <v>0</v>
      </c>
      <c r="CH199" s="1213">
        <f t="shared" ca="1" si="175"/>
        <v>0</v>
      </c>
      <c r="CI199" s="1587">
        <f t="shared" ca="1" si="176"/>
        <v>0</v>
      </c>
      <c r="CL199" s="1212">
        <f t="shared" ca="1" si="177"/>
        <v>0</v>
      </c>
      <c r="CM199" s="1213">
        <f t="shared" ca="1" si="178"/>
        <v>0</v>
      </c>
      <c r="CN199" s="1587">
        <f t="shared" ca="1" si="179"/>
        <v>0</v>
      </c>
    </row>
    <row r="200" spans="1:92">
      <c r="A200" s="141" t="str">
        <f>'銀行-TSS'!A200</f>
        <v>US747525AJ27</v>
      </c>
      <c r="B200" s="151" t="str">
        <f ca="1">VLOOKUP(A200,'銀行-TSS'!A:B,2,FALSE)</f>
        <v>XG880</v>
      </c>
      <c r="C200" s="151" t="str">
        <f ca="1">VLOOKUP(B200,bond!B:C,2,FALSE)</f>
        <v>高通公司美元配息債券 4.65% 2035/5/20</v>
      </c>
      <c r="D200" s="95" t="str">
        <f>VLOOKUP(A200,'銀行-TSS'!A:C,3,FALSE)</f>
        <v>USD</v>
      </c>
      <c r="E200" s="90">
        <f ca="1">VLOOKUP(A200,'銀行-TSS'!A:G,7,FALSE)</f>
        <v>10.88</v>
      </c>
      <c r="F200" s="202">
        <f ca="1">VLOOKUP(A200,'銀行-TSS'!A:H,8,FALSE)</f>
        <v>4.6500000000000007E-2</v>
      </c>
      <c r="G200" s="96">
        <f ca="1">VLOOKUP(A200,'銀行-TSS'!A:K,11,FALSE)</f>
        <v>100.52</v>
      </c>
      <c r="H200" s="1209">
        <f ca="1">VLOOKUP(A200,'銀行-TSS'!A:M,13,FALSE)</f>
        <v>4.65E-2</v>
      </c>
      <c r="I200" s="1213">
        <f ca="1">VLOOKUP(A200,'銀行-TSS'!A:N,14,FALSE)</f>
        <v>10000</v>
      </c>
      <c r="J200" s="1213">
        <f ca="1">VLOOKUP(A200,'銀行-TSS'!A:O,15,FALSE)</f>
        <v>1000</v>
      </c>
      <c r="K200" s="136" t="str">
        <f ca="1">VLOOKUP(A200,'銀行-TSS'!A:V,22,FALSE)</f>
        <v>(NPI)非專投</v>
      </c>
      <c r="L200" s="136" t="str">
        <f ca="1">VLOOKUP(A200,'銀行-TSS'!A:AK,37,FALSE)</f>
        <v>有</v>
      </c>
      <c r="M200" s="136" t="str">
        <f ca="1">VLOOKUP(A200,'銀行-TSS'!A:AN,40,FALSE)</f>
        <v/>
      </c>
      <c r="N200" s="136">
        <f t="shared" ca="1" si="135"/>
        <v>1005.2</v>
      </c>
      <c r="O200" s="1213">
        <f t="shared" ca="1" si="136"/>
        <v>10052</v>
      </c>
      <c r="P200" s="1213">
        <f ca="1">IF(AND($O$1&gt;=O200,換券單檔!$D$13=D200),I200+INT(($O$1-O200)/N200)*J200,0)</f>
        <v>96000</v>
      </c>
      <c r="Q200" s="1213">
        <f t="shared" ca="1" si="137"/>
        <v>4464.0000000000009</v>
      </c>
      <c r="R200" s="1213">
        <f t="shared" ca="1" si="138"/>
        <v>96000</v>
      </c>
      <c r="S200" s="1213">
        <f t="shared" ca="1" si="139"/>
        <v>4464.0000000000009</v>
      </c>
      <c r="T200" s="136">
        <f ca="1">IF(OR(R200=0,A200=0),0,IF(AND(V200=TRUE,換券單檔!$D$13=D200),E200,0))</f>
        <v>10.88</v>
      </c>
      <c r="U200" s="861">
        <f ca="1">IF(OR(R200=0,A200=0),0,IF(AND(V200=TRUE,換券單檔!$D$13=D200),H200,0))</f>
        <v>4.65E-2</v>
      </c>
      <c r="V200" s="136" t="b">
        <f ca="1">IF(OR(B200=換券單檔!$D$3,L200="無",M200&lt;&gt;"",K200="高資產",IFERROR(MATCH(B200,換券單檔!K:K,0),"N")&lt;&gt;"N"),FALSE,IF($V$1="All",TRUE,IF(K200=$V$1,TRUE,FALSE)))</f>
        <v>1</v>
      </c>
      <c r="W200" s="136">
        <f ca="1">VLOOKUP(A200,'銀行-TSS'!A:AO,41,FALSE)</f>
        <v>97.98</v>
      </c>
      <c r="X200" s="136">
        <f ca="1">VLOOKUP(A200,'銀行-TSS'!A:AP,42,FALSE)</f>
        <v>8.3945000000000007</v>
      </c>
      <c r="Y200" s="1220">
        <f t="shared" ca="1" si="140"/>
        <v>7895.9338560000006</v>
      </c>
      <c r="Z200" s="1220">
        <f t="shared" ca="1" si="141"/>
        <v>-9104.7830882352882</v>
      </c>
      <c r="AA200" s="136">
        <f ca="1">IF(Z200&lt;=0,0,RANK(Z200,Z:Z)+COUNTIF($Z$3:$Z200,Z200)-1)</f>
        <v>0</v>
      </c>
      <c r="AB200" s="1211">
        <f t="shared" ca="1" si="142"/>
        <v>-11000.206144</v>
      </c>
      <c r="AC200" s="136">
        <f ca="1">IF(AB200&lt;=0,0,RANK(AB200,AB:AB)+COUNTIF($AB$3:$AB200,AB200)-1)</f>
        <v>0</v>
      </c>
      <c r="AD200" s="1123">
        <f t="shared" ca="1" si="143"/>
        <v>99999</v>
      </c>
      <c r="AE200" s="1123">
        <f ca="1">IF(AD200=99999,0,RANK(AD200,AD:AD,1)+COUNTIF($AD$3:$AD200,AD200)-1)</f>
        <v>0</v>
      </c>
      <c r="AF200" s="86" t="b">
        <f ca="1">IF(OR(M200&lt;&gt;"",L200="無",K200="高資產",IFERROR(MATCH(B200,換券單檔!K:K,0),"N")&lt;&gt;"N"),FALSE,TRUE)</f>
        <v>1</v>
      </c>
      <c r="AI200" s="1212">
        <f t="shared" ca="1" si="144"/>
        <v>96000</v>
      </c>
      <c r="AJ200" s="1213">
        <f t="shared" ca="1" si="145"/>
        <v>4464.0000000000009</v>
      </c>
      <c r="AK200" s="1587">
        <f t="shared" ca="1" si="146"/>
        <v>-9104.7830882352882</v>
      </c>
      <c r="AN200" s="1212">
        <f t="shared" ca="1" si="147"/>
        <v>55000</v>
      </c>
      <c r="AO200" s="1213">
        <f t="shared" ca="1" si="148"/>
        <v>2557.5000000000005</v>
      </c>
      <c r="AP200" s="1587">
        <f t="shared" ca="1" si="149"/>
        <v>-89119.894301470587</v>
      </c>
      <c r="AS200" s="1212">
        <f t="shared" ca="1" si="150"/>
        <v>94000</v>
      </c>
      <c r="AT200" s="1213">
        <f t="shared" ca="1" si="151"/>
        <v>4371.0000000000009</v>
      </c>
      <c r="AU200" s="1587">
        <f t="shared" ca="1" si="152"/>
        <v>0</v>
      </c>
      <c r="AX200" s="1212">
        <f t="shared" ca="1" si="153"/>
        <v>86000</v>
      </c>
      <c r="AY200" s="1213">
        <f t="shared" ca="1" si="154"/>
        <v>3999.0000000000005</v>
      </c>
      <c r="AZ200" s="1587">
        <f t="shared" ca="1" si="155"/>
        <v>0</v>
      </c>
      <c r="BC200" s="1212">
        <f t="shared" ca="1" si="156"/>
        <v>0</v>
      </c>
      <c r="BD200" s="1213">
        <f t="shared" ca="1" si="157"/>
        <v>0</v>
      </c>
      <c r="BE200" s="1587">
        <f t="shared" ca="1" si="158"/>
        <v>0</v>
      </c>
      <c r="BH200" s="1212">
        <f t="shared" ca="1" si="159"/>
        <v>0</v>
      </c>
      <c r="BI200" s="1213">
        <f t="shared" ca="1" si="160"/>
        <v>0</v>
      </c>
      <c r="BJ200" s="1587">
        <f t="shared" ca="1" si="161"/>
        <v>0</v>
      </c>
      <c r="BM200" s="1212">
        <f t="shared" ca="1" si="162"/>
        <v>0</v>
      </c>
      <c r="BN200" s="1213">
        <f t="shared" ca="1" si="163"/>
        <v>0</v>
      </c>
      <c r="BO200" s="1587">
        <f t="shared" ca="1" si="164"/>
        <v>0</v>
      </c>
      <c r="BR200" s="1212">
        <f t="shared" ca="1" si="165"/>
        <v>0</v>
      </c>
      <c r="BS200" s="1213">
        <f t="shared" ca="1" si="166"/>
        <v>0</v>
      </c>
      <c r="BT200" s="1587">
        <f t="shared" ca="1" si="167"/>
        <v>0</v>
      </c>
      <c r="BW200" s="1212">
        <f t="shared" ca="1" si="168"/>
        <v>0</v>
      </c>
      <c r="BX200" s="1213">
        <f t="shared" ca="1" si="169"/>
        <v>0</v>
      </c>
      <c r="BY200" s="1587">
        <f t="shared" ca="1" si="170"/>
        <v>0</v>
      </c>
      <c r="CB200" s="1212">
        <f t="shared" ca="1" si="171"/>
        <v>0</v>
      </c>
      <c r="CC200" s="1213">
        <f t="shared" ca="1" si="172"/>
        <v>0</v>
      </c>
      <c r="CD200" s="1587">
        <f t="shared" ca="1" si="173"/>
        <v>0</v>
      </c>
      <c r="CG200" s="1212">
        <f t="shared" ca="1" si="174"/>
        <v>0</v>
      </c>
      <c r="CH200" s="1213">
        <f t="shared" ca="1" si="175"/>
        <v>0</v>
      </c>
      <c r="CI200" s="1587">
        <f t="shared" ca="1" si="176"/>
        <v>0</v>
      </c>
      <c r="CL200" s="1212">
        <f t="shared" ca="1" si="177"/>
        <v>0</v>
      </c>
      <c r="CM200" s="1213">
        <f t="shared" ca="1" si="178"/>
        <v>0</v>
      </c>
      <c r="CN200" s="1587">
        <f t="shared" ca="1" si="179"/>
        <v>0</v>
      </c>
    </row>
    <row r="201" spans="1:92">
      <c r="A201" s="141" t="str">
        <f>'銀行-TSS'!A201</f>
        <v>US20030NDH17</v>
      </c>
      <c r="B201" s="151" t="str">
        <f ca="1">VLOOKUP(A201,'銀行-TSS'!A:B,2,FALSE)</f>
        <v>XG890</v>
      </c>
      <c r="C201" s="151" t="str">
        <f ca="1">VLOOKUP(B201,bond!B:C,2,FALSE)</f>
        <v>康卡斯特公司美元配息債券 3.75% 2040/4/1</v>
      </c>
      <c r="D201" s="95" t="str">
        <f>VLOOKUP(A201,'銀行-TSS'!A:C,3,FALSE)</f>
        <v>USD</v>
      </c>
      <c r="E201" s="90">
        <f ca="1">VLOOKUP(A201,'銀行-TSS'!A:G,7,FALSE)</f>
        <v>15.75</v>
      </c>
      <c r="F201" s="202">
        <f ca="1">VLOOKUP(A201,'銀行-TSS'!A:H,8,FALSE)</f>
        <v>3.7499999999999999E-2</v>
      </c>
      <c r="G201" s="96">
        <f ca="1">VLOOKUP(A201,'銀行-TSS'!A:K,11,FALSE)</f>
        <v>84.83</v>
      </c>
      <c r="H201" s="1209">
        <f ca="1">VLOOKUP(A201,'銀行-TSS'!A:M,13,FALSE)</f>
        <v>5.2699999999999997E-2</v>
      </c>
      <c r="I201" s="1213">
        <f ca="1">VLOOKUP(A201,'銀行-TSS'!A:N,14,FALSE)</f>
        <v>10000</v>
      </c>
      <c r="J201" s="1213">
        <f ca="1">VLOOKUP(A201,'銀行-TSS'!A:O,15,FALSE)</f>
        <v>1000</v>
      </c>
      <c r="K201" s="136" t="str">
        <f ca="1">VLOOKUP(A201,'銀行-TSS'!A:V,22,FALSE)</f>
        <v>(NPI)非專投</v>
      </c>
      <c r="L201" s="136" t="str">
        <f ca="1">VLOOKUP(A201,'銀行-TSS'!A:AK,37,FALSE)</f>
        <v>有</v>
      </c>
      <c r="M201" s="136" t="str">
        <f ca="1">VLOOKUP(A201,'銀行-TSS'!A:AN,40,FALSE)</f>
        <v/>
      </c>
      <c r="N201" s="136">
        <f t="shared" ca="1" si="135"/>
        <v>848.3</v>
      </c>
      <c r="O201" s="1213">
        <f t="shared" ca="1" si="136"/>
        <v>8483</v>
      </c>
      <c r="P201" s="1213">
        <f ca="1">IF(AND($O$1&gt;=O201,換券單檔!$D$13=D201),I201+INT(($O$1-O201)/N201)*J201,0)</f>
        <v>113000</v>
      </c>
      <c r="Q201" s="1213">
        <f t="shared" ca="1" si="137"/>
        <v>4237.5</v>
      </c>
      <c r="R201" s="1213">
        <f t="shared" ca="1" si="138"/>
        <v>113000</v>
      </c>
      <c r="S201" s="1213">
        <f t="shared" ca="1" si="139"/>
        <v>4237.5</v>
      </c>
      <c r="T201" s="136">
        <f ca="1">IF(OR(R201=0,A201=0),0,IF(AND(V201=TRUE,換券單檔!$D$13=D201),E201,0))</f>
        <v>15.75</v>
      </c>
      <c r="U201" s="861">
        <f ca="1">IF(OR(R201=0,A201=0),0,IF(AND(V201=TRUE,換券單檔!$D$13=D201),H201,0))</f>
        <v>5.2699999999999997E-2</v>
      </c>
      <c r="V201" s="136" t="b">
        <f ca="1">IF(OR(B201=換券單檔!$D$3,L201="無",M201&lt;&gt;"",K201="高資產",IFERROR(MATCH(B201,換券單檔!K:K,0),"N")&lt;&gt;"N"),FALSE,IF($V$1="All",TRUE,IF(K201=$V$1,TRUE,FALSE)))</f>
        <v>1</v>
      </c>
      <c r="W201" s="136">
        <f ca="1">VLOOKUP(A201,'銀行-TSS'!A:AO,41,FALSE)</f>
        <v>81.88</v>
      </c>
      <c r="X201" s="136">
        <f ca="1">VLOOKUP(A201,'銀行-TSS'!A:AP,42,FALSE)</f>
        <v>11.1547</v>
      </c>
      <c r="Y201" s="1220">
        <f t="shared" ca="1" si="140"/>
        <v>10320.8192468</v>
      </c>
      <c r="Z201" s="1220">
        <f t="shared" ca="1" si="141"/>
        <v>0</v>
      </c>
      <c r="AA201" s="136">
        <f ca="1">IF(Z201&lt;=0,0,RANK(Z201,Z:Z)+COUNTIF($Z$3:$Z201,Z201)-1)</f>
        <v>0</v>
      </c>
      <c r="AB201" s="1211">
        <f t="shared" ca="1" si="142"/>
        <v>-4575.3207531999997</v>
      </c>
      <c r="AC201" s="136">
        <f ca="1">IF(AB201&lt;=0,0,RANK(AB201,AB:AB)+COUNTIF($AB$3:$AB201,AB201)-1)</f>
        <v>0</v>
      </c>
      <c r="AD201" s="1123">
        <f t="shared" ca="1" si="143"/>
        <v>99999</v>
      </c>
      <c r="AE201" s="1123">
        <f ca="1">IF(AD201=99999,0,RANK(AD201,AD:AD,1)+COUNTIF($AD$3:$AD201,AD201)-1)</f>
        <v>0</v>
      </c>
      <c r="AF201" s="86" t="b">
        <f ca="1">IF(OR(M201&lt;&gt;"",L201="無",K201="高資產",IFERROR(MATCH(B201,換券單檔!K:K,0),"N")&lt;&gt;"N"),FALSE,TRUE)</f>
        <v>1</v>
      </c>
      <c r="AI201" s="1212">
        <f t="shared" ca="1" si="144"/>
        <v>113000</v>
      </c>
      <c r="AJ201" s="1213">
        <f t="shared" ca="1" si="145"/>
        <v>4237.5</v>
      </c>
      <c r="AK201" s="1587">
        <f t="shared" ca="1" si="146"/>
        <v>0</v>
      </c>
      <c r="AN201" s="1212">
        <f t="shared" ca="1" si="147"/>
        <v>65000</v>
      </c>
      <c r="AO201" s="1213">
        <f t="shared" ca="1" si="148"/>
        <v>2437.5</v>
      </c>
      <c r="AP201" s="1587">
        <f t="shared" ca="1" si="149"/>
        <v>-69455.357142857145</v>
      </c>
      <c r="AS201" s="1212">
        <f t="shared" ca="1" si="150"/>
        <v>111000</v>
      </c>
      <c r="AT201" s="1213">
        <f t="shared" ca="1" si="151"/>
        <v>4162.5</v>
      </c>
      <c r="AU201" s="1587">
        <f t="shared" ca="1" si="152"/>
        <v>0</v>
      </c>
      <c r="AX201" s="1212">
        <f t="shared" ca="1" si="153"/>
        <v>102000</v>
      </c>
      <c r="AY201" s="1213">
        <f t="shared" ca="1" si="154"/>
        <v>3825</v>
      </c>
      <c r="AZ201" s="1587">
        <f t="shared" ca="1" si="155"/>
        <v>0</v>
      </c>
      <c r="BC201" s="1212">
        <f t="shared" ca="1" si="156"/>
        <v>0</v>
      </c>
      <c r="BD201" s="1213">
        <f t="shared" ca="1" si="157"/>
        <v>0</v>
      </c>
      <c r="BE201" s="1587">
        <f t="shared" ca="1" si="158"/>
        <v>0</v>
      </c>
      <c r="BH201" s="1212">
        <f t="shared" ca="1" si="159"/>
        <v>0</v>
      </c>
      <c r="BI201" s="1213">
        <f t="shared" ca="1" si="160"/>
        <v>0</v>
      </c>
      <c r="BJ201" s="1587">
        <f t="shared" ca="1" si="161"/>
        <v>0</v>
      </c>
      <c r="BM201" s="1212">
        <f t="shared" ca="1" si="162"/>
        <v>0</v>
      </c>
      <c r="BN201" s="1213">
        <f t="shared" ca="1" si="163"/>
        <v>0</v>
      </c>
      <c r="BO201" s="1587">
        <f t="shared" ca="1" si="164"/>
        <v>0</v>
      </c>
      <c r="BR201" s="1212">
        <f t="shared" ca="1" si="165"/>
        <v>0</v>
      </c>
      <c r="BS201" s="1213">
        <f t="shared" ca="1" si="166"/>
        <v>0</v>
      </c>
      <c r="BT201" s="1587">
        <f t="shared" ca="1" si="167"/>
        <v>0</v>
      </c>
      <c r="BW201" s="1212">
        <f t="shared" ca="1" si="168"/>
        <v>0</v>
      </c>
      <c r="BX201" s="1213">
        <f t="shared" ca="1" si="169"/>
        <v>0</v>
      </c>
      <c r="BY201" s="1587">
        <f t="shared" ca="1" si="170"/>
        <v>0</v>
      </c>
      <c r="CB201" s="1212">
        <f t="shared" ca="1" si="171"/>
        <v>0</v>
      </c>
      <c r="CC201" s="1213">
        <f t="shared" ca="1" si="172"/>
        <v>0</v>
      </c>
      <c r="CD201" s="1587">
        <f t="shared" ca="1" si="173"/>
        <v>0</v>
      </c>
      <c r="CG201" s="1212">
        <f t="shared" ca="1" si="174"/>
        <v>0</v>
      </c>
      <c r="CH201" s="1213">
        <f t="shared" ca="1" si="175"/>
        <v>0</v>
      </c>
      <c r="CI201" s="1587">
        <f t="shared" ca="1" si="176"/>
        <v>0</v>
      </c>
      <c r="CL201" s="1212">
        <f t="shared" ca="1" si="177"/>
        <v>0</v>
      </c>
      <c r="CM201" s="1213">
        <f t="shared" ca="1" si="178"/>
        <v>0</v>
      </c>
      <c r="CN201" s="1587">
        <f t="shared" ca="1" si="179"/>
        <v>0</v>
      </c>
    </row>
    <row r="202" spans="1:92">
      <c r="A202" s="141" t="str">
        <f>'銀行-TSS'!A202</f>
        <v>US254687FY73</v>
      </c>
      <c r="B202" s="151" t="str">
        <f ca="1">VLOOKUP(A202,'銀行-TSS'!A:B,2,FALSE)</f>
        <v>XG900</v>
      </c>
      <c r="C202" s="151" t="str">
        <f ca="1">VLOOKUP(B202,bond!B:C,2,FALSE)</f>
        <v>華特迪士尼公司美元配息債券 3.5% 2040/5/13</v>
      </c>
      <c r="D202" s="95" t="str">
        <f>VLOOKUP(A202,'銀行-TSS'!A:C,3,FALSE)</f>
        <v>USD</v>
      </c>
      <c r="E202" s="90">
        <f ca="1">VLOOKUP(A202,'銀行-TSS'!A:G,7,FALSE)</f>
        <v>15.86</v>
      </c>
      <c r="F202" s="202">
        <f ca="1">VLOOKUP(A202,'銀行-TSS'!A:H,8,FALSE)</f>
        <v>3.5000000000000003E-2</v>
      </c>
      <c r="G202" s="96">
        <f ca="1">VLOOKUP(A202,'銀行-TSS'!A:K,11,FALSE)</f>
        <v>82.97</v>
      </c>
      <c r="H202" s="1209">
        <f ca="1">VLOOKUP(A202,'銀行-TSS'!A:M,13,FALSE)</f>
        <v>5.1299999999999998E-2</v>
      </c>
      <c r="I202" s="1213">
        <f ca="1">VLOOKUP(A202,'銀行-TSS'!A:N,14,FALSE)</f>
        <v>2000</v>
      </c>
      <c r="J202" s="1213">
        <f ca="1">VLOOKUP(A202,'銀行-TSS'!A:O,15,FALSE)</f>
        <v>1000</v>
      </c>
      <c r="K202" s="136" t="str">
        <f ca="1">VLOOKUP(A202,'銀行-TSS'!A:V,22,FALSE)</f>
        <v>(NPI)非專投</v>
      </c>
      <c r="L202" s="136" t="str">
        <f ca="1">VLOOKUP(A202,'銀行-TSS'!A:AK,37,FALSE)</f>
        <v>有</v>
      </c>
      <c r="M202" s="136" t="str">
        <f ca="1">VLOOKUP(A202,'銀行-TSS'!A:AN,40,FALSE)</f>
        <v/>
      </c>
      <c r="N202" s="136">
        <f t="shared" ca="1" si="135"/>
        <v>829.7</v>
      </c>
      <c r="O202" s="1213">
        <f t="shared" ca="1" si="136"/>
        <v>1659.4</v>
      </c>
      <c r="P202" s="1213">
        <f ca="1">IF(AND($O$1&gt;=O202,換券單檔!$D$13=D202),I202+INT(($O$1-O202)/N202)*J202,0)</f>
        <v>116000</v>
      </c>
      <c r="Q202" s="1213">
        <f t="shared" ca="1" si="137"/>
        <v>4060.0000000000005</v>
      </c>
      <c r="R202" s="1213">
        <f t="shared" ca="1" si="138"/>
        <v>116000</v>
      </c>
      <c r="S202" s="1213">
        <f t="shared" ca="1" si="139"/>
        <v>4060.0000000000005</v>
      </c>
      <c r="T202" s="136">
        <f ca="1">IF(OR(R202=0,A202=0),0,IF(AND(V202=TRUE,換券單檔!$D$13=D202),E202,0))</f>
        <v>15.86</v>
      </c>
      <c r="U202" s="861">
        <f ca="1">IF(OR(R202=0,A202=0),0,IF(AND(V202=TRUE,換券單檔!$D$13=D202),H202,0))</f>
        <v>5.1299999999999998E-2</v>
      </c>
      <c r="V202" s="136" t="b">
        <f ca="1">IF(OR(B202=換券單檔!$D$3,L202="無",M202&lt;&gt;"",K202="高資產",IFERROR(MATCH(B202,換券單檔!K:K,0),"N")&lt;&gt;"N"),FALSE,IF($V$1="All",TRUE,IF(K202=$V$1,TRUE,FALSE)))</f>
        <v>1</v>
      </c>
      <c r="W202" s="136">
        <f ca="1">VLOOKUP(A202,'銀行-TSS'!A:AO,41,FALSE)</f>
        <v>80.490000000000009</v>
      </c>
      <c r="X202" s="136">
        <f ca="1">VLOOKUP(A202,'銀行-TSS'!A:AP,42,FALSE)</f>
        <v>11.464399999999999</v>
      </c>
      <c r="Y202" s="1220">
        <f t="shared" ca="1" si="140"/>
        <v>10704.126849599999</v>
      </c>
      <c r="Z202" s="1220">
        <f t="shared" ca="1" si="141"/>
        <v>0</v>
      </c>
      <c r="AA202" s="136">
        <f ca="1">IF(Z202&lt;=0,0,RANK(Z202,Z:Z)+COUNTIF($Z$3:$Z202,Z202)-1)</f>
        <v>0</v>
      </c>
      <c r="AB202" s="1211">
        <f t="shared" ca="1" si="142"/>
        <v>-4192.0131504000001</v>
      </c>
      <c r="AC202" s="136">
        <f ca="1">IF(AB202&lt;=0,0,RANK(AB202,AB:AB)+COUNTIF($AB$3:$AB202,AB202)-1)</f>
        <v>0</v>
      </c>
      <c r="AD202" s="1123">
        <f t="shared" ca="1" si="143"/>
        <v>99999</v>
      </c>
      <c r="AE202" s="1123">
        <f ca="1">IF(AD202=99999,0,RANK(AD202,AD:AD,1)+COUNTIF($AD$3:$AD202,AD202)-1)</f>
        <v>0</v>
      </c>
      <c r="AF202" s="86" t="b">
        <f ca="1">IF(OR(M202&lt;&gt;"",L202="無",K202="高資產",IFERROR(MATCH(B202,換券單檔!K:K,0),"N")&lt;&gt;"N"),FALSE,TRUE)</f>
        <v>1</v>
      </c>
      <c r="AI202" s="1212">
        <f t="shared" ca="1" si="144"/>
        <v>116000</v>
      </c>
      <c r="AJ202" s="1213">
        <f t="shared" ca="1" si="145"/>
        <v>4060.0000000000005</v>
      </c>
      <c r="AK202" s="1587">
        <f t="shared" ca="1" si="146"/>
        <v>0</v>
      </c>
      <c r="AN202" s="1212">
        <f t="shared" ca="1" si="147"/>
        <v>66000</v>
      </c>
      <c r="AO202" s="1213">
        <f t="shared" ca="1" si="148"/>
        <v>2310</v>
      </c>
      <c r="AP202" s="1587">
        <f t="shared" ca="1" si="149"/>
        <v>-67825.674653215639</v>
      </c>
      <c r="AS202" s="1212">
        <f t="shared" ca="1" si="150"/>
        <v>113000</v>
      </c>
      <c r="AT202" s="1213">
        <f t="shared" ca="1" si="151"/>
        <v>3955.0000000000005</v>
      </c>
      <c r="AU202" s="1587">
        <f t="shared" ca="1" si="152"/>
        <v>0</v>
      </c>
      <c r="AX202" s="1212">
        <f t="shared" ca="1" si="153"/>
        <v>104000</v>
      </c>
      <c r="AY202" s="1213">
        <f t="shared" ca="1" si="154"/>
        <v>3640.0000000000005</v>
      </c>
      <c r="AZ202" s="1587">
        <f t="shared" ca="1" si="155"/>
        <v>0</v>
      </c>
      <c r="BC202" s="1212">
        <f t="shared" ca="1" si="156"/>
        <v>0</v>
      </c>
      <c r="BD202" s="1213">
        <f t="shared" ca="1" si="157"/>
        <v>0</v>
      </c>
      <c r="BE202" s="1587">
        <f t="shared" ca="1" si="158"/>
        <v>0</v>
      </c>
      <c r="BH202" s="1212">
        <f t="shared" ca="1" si="159"/>
        <v>0</v>
      </c>
      <c r="BI202" s="1213">
        <f t="shared" ca="1" si="160"/>
        <v>0</v>
      </c>
      <c r="BJ202" s="1587">
        <f t="shared" ca="1" si="161"/>
        <v>0</v>
      </c>
      <c r="BM202" s="1212">
        <f t="shared" ca="1" si="162"/>
        <v>0</v>
      </c>
      <c r="BN202" s="1213">
        <f t="shared" ca="1" si="163"/>
        <v>0</v>
      </c>
      <c r="BO202" s="1587">
        <f t="shared" ca="1" si="164"/>
        <v>0</v>
      </c>
      <c r="BR202" s="1212">
        <f t="shared" ca="1" si="165"/>
        <v>0</v>
      </c>
      <c r="BS202" s="1213">
        <f t="shared" ca="1" si="166"/>
        <v>0</v>
      </c>
      <c r="BT202" s="1587">
        <f t="shared" ca="1" si="167"/>
        <v>0</v>
      </c>
      <c r="BW202" s="1212">
        <f t="shared" ca="1" si="168"/>
        <v>0</v>
      </c>
      <c r="BX202" s="1213">
        <f t="shared" ca="1" si="169"/>
        <v>0</v>
      </c>
      <c r="BY202" s="1587">
        <f t="shared" ca="1" si="170"/>
        <v>0</v>
      </c>
      <c r="CB202" s="1212">
        <f t="shared" ca="1" si="171"/>
        <v>0</v>
      </c>
      <c r="CC202" s="1213">
        <f t="shared" ca="1" si="172"/>
        <v>0</v>
      </c>
      <c r="CD202" s="1587">
        <f t="shared" ca="1" si="173"/>
        <v>0</v>
      </c>
      <c r="CG202" s="1212">
        <f t="shared" ca="1" si="174"/>
        <v>0</v>
      </c>
      <c r="CH202" s="1213">
        <f t="shared" ca="1" si="175"/>
        <v>0</v>
      </c>
      <c r="CI202" s="1587">
        <f t="shared" ca="1" si="176"/>
        <v>0</v>
      </c>
      <c r="CL202" s="1212">
        <f t="shared" ca="1" si="177"/>
        <v>0</v>
      </c>
      <c r="CM202" s="1213">
        <f t="shared" ca="1" si="178"/>
        <v>0</v>
      </c>
      <c r="CN202" s="1587">
        <f t="shared" ca="1" si="179"/>
        <v>0</v>
      </c>
    </row>
    <row r="203" spans="1:92">
      <c r="A203" s="141" t="str">
        <f>'銀行-TSS'!A203</f>
        <v>US961214DW04</v>
      </c>
      <c r="B203" s="151" t="str">
        <f ca="1">VLOOKUP(A203,'銀行-TSS'!A:B,2,FALSE)</f>
        <v>XG910</v>
      </c>
      <c r="C203" s="151" t="str">
        <f ca="1">VLOOKUP(B203,bond!B:C,2,FALSE)</f>
        <v>西太平洋銀行公司美元配息債券 3.4% 2028/1/25</v>
      </c>
      <c r="D203" s="95" t="str">
        <f>VLOOKUP(A203,'銀行-TSS'!A:C,3,FALSE)</f>
        <v>USD</v>
      </c>
      <c r="E203" s="90">
        <f ca="1">VLOOKUP(A203,'銀行-TSS'!A:G,7,FALSE)</f>
        <v>3.56</v>
      </c>
      <c r="F203" s="202">
        <f ca="1">VLOOKUP(A203,'銀行-TSS'!A:H,8,FALSE)</f>
        <v>3.4000000000000002E-2</v>
      </c>
      <c r="G203" s="96">
        <f ca="1">VLOOKUP(A203,'銀行-TSS'!A:K,11,FALSE)</f>
        <v>98.63</v>
      </c>
      <c r="H203" s="1209">
        <f ca="1">VLOOKUP(A203,'銀行-TSS'!A:M,13,FALSE)</f>
        <v>4.2700000000000002E-2</v>
      </c>
      <c r="I203" s="1213">
        <f ca="1">VLOOKUP(A203,'銀行-TSS'!A:N,14,FALSE)</f>
        <v>10000</v>
      </c>
      <c r="J203" s="1213">
        <f ca="1">VLOOKUP(A203,'銀行-TSS'!A:O,15,FALSE)</f>
        <v>1000</v>
      </c>
      <c r="K203" s="136" t="str">
        <f ca="1">VLOOKUP(A203,'銀行-TSS'!A:V,22,FALSE)</f>
        <v>(NPI)非專投</v>
      </c>
      <c r="L203" s="136" t="str">
        <f ca="1">VLOOKUP(A203,'銀行-TSS'!A:AK,37,FALSE)</f>
        <v>有</v>
      </c>
      <c r="M203" s="136" t="str">
        <f ca="1">VLOOKUP(A203,'銀行-TSS'!A:AN,40,FALSE)</f>
        <v/>
      </c>
      <c r="N203" s="136">
        <f t="shared" ca="1" si="135"/>
        <v>986.3</v>
      </c>
      <c r="O203" s="1213">
        <f t="shared" ca="1" si="136"/>
        <v>9863</v>
      </c>
      <c r="P203" s="1213">
        <f ca="1">IF(AND($O$1&gt;=O203,換券單檔!$D$13=D203),I203+INT(($O$1-O203)/N203)*J203,0)</f>
        <v>98000</v>
      </c>
      <c r="Q203" s="1213">
        <f t="shared" ca="1" si="137"/>
        <v>3332.0000000000005</v>
      </c>
      <c r="R203" s="1213">
        <f t="shared" ca="1" si="138"/>
        <v>98000</v>
      </c>
      <c r="S203" s="1213">
        <f t="shared" ca="1" si="139"/>
        <v>3332.0000000000005</v>
      </c>
      <c r="T203" s="136">
        <f ca="1">IF(OR(R203=0,A203=0),0,IF(AND(V203=TRUE,換券單檔!$D$13=D203),E203,0))</f>
        <v>3.56</v>
      </c>
      <c r="U203" s="861">
        <f ca="1">IF(OR(R203=0,A203=0),0,IF(AND(V203=TRUE,換券單檔!$D$13=D203),H203,0))</f>
        <v>4.2700000000000002E-2</v>
      </c>
      <c r="V203" s="136" t="b">
        <f ca="1">IF(OR(B203=換券單檔!$D$3,L203="無",M203&lt;&gt;"",K203="高資產",IFERROR(MATCH(B203,換券單檔!K:K,0),"N")&lt;&gt;"N"),FALSE,IF($V$1="All",TRUE,IF(K203=$V$1,TRUE,FALSE)))</f>
        <v>1</v>
      </c>
      <c r="W203" s="136">
        <f ca="1">VLOOKUP(A203,'銀行-TSS'!A:AO,41,FALSE)</f>
        <v>95.65</v>
      </c>
      <c r="X203" s="136">
        <f ca="1">VLOOKUP(A203,'銀行-TSS'!A:AP,42,FALSE)</f>
        <v>3.2559</v>
      </c>
      <c r="Y203" s="1220">
        <f t="shared" ca="1" si="140"/>
        <v>3051.9829830000003</v>
      </c>
      <c r="Z203" s="1220">
        <f t="shared" ca="1" si="141"/>
        <v>0</v>
      </c>
      <c r="AA203" s="136">
        <f ca="1">IF(Z203&lt;=0,0,RANK(Z203,Z:Z)+COUNTIF($Z$3:$Z203,Z203)-1)</f>
        <v>0</v>
      </c>
      <c r="AB203" s="1211">
        <f t="shared" ca="1" si="142"/>
        <v>-13844.157017</v>
      </c>
      <c r="AC203" s="136">
        <f ca="1">IF(AB203&lt;=0,0,RANK(AB203,AB:AB)+COUNTIF($AB$3:$AB203,AB203)-1)</f>
        <v>0</v>
      </c>
      <c r="AD203" s="1123">
        <f t="shared" ca="1" si="143"/>
        <v>99999</v>
      </c>
      <c r="AE203" s="1123">
        <f ca="1">IF(AD203=99999,0,RANK(AD203,AD:AD,1)+COUNTIF($AD$3:$AD203,AD203)-1)</f>
        <v>0</v>
      </c>
      <c r="AF203" s="86" t="b">
        <f ca="1">IF(OR(M203&lt;&gt;"",L203="無",K203="高資產",IFERROR(MATCH(B203,換券單檔!K:K,0),"N")&lt;&gt;"N"),FALSE,TRUE)</f>
        <v>1</v>
      </c>
      <c r="AI203" s="1212">
        <f t="shared" ca="1" si="144"/>
        <v>98000</v>
      </c>
      <c r="AJ203" s="1213">
        <f t="shared" ca="1" si="145"/>
        <v>3332.0000000000005</v>
      </c>
      <c r="AK203" s="1587">
        <f t="shared" ca="1" si="146"/>
        <v>0</v>
      </c>
      <c r="AN203" s="1212">
        <f t="shared" ca="1" si="147"/>
        <v>56000</v>
      </c>
      <c r="AO203" s="1213">
        <f t="shared" ca="1" si="148"/>
        <v>1904.0000000000002</v>
      </c>
      <c r="AP203" s="1587">
        <f t="shared" ca="1" si="149"/>
        <v>0</v>
      </c>
      <c r="AS203" s="1212">
        <f t="shared" ca="1" si="150"/>
        <v>95000</v>
      </c>
      <c r="AT203" s="1213">
        <f t="shared" ca="1" si="151"/>
        <v>3230.0000000000005</v>
      </c>
      <c r="AU203" s="1587">
        <f t="shared" ca="1" si="152"/>
        <v>0</v>
      </c>
      <c r="AX203" s="1212">
        <f t="shared" ca="1" si="153"/>
        <v>88000</v>
      </c>
      <c r="AY203" s="1213">
        <f t="shared" ca="1" si="154"/>
        <v>2992</v>
      </c>
      <c r="AZ203" s="1587">
        <f t="shared" ca="1" si="155"/>
        <v>0</v>
      </c>
      <c r="BC203" s="1212">
        <f t="shared" ca="1" si="156"/>
        <v>0</v>
      </c>
      <c r="BD203" s="1213">
        <f t="shared" ca="1" si="157"/>
        <v>0</v>
      </c>
      <c r="BE203" s="1587">
        <f t="shared" ca="1" si="158"/>
        <v>0</v>
      </c>
      <c r="BH203" s="1212">
        <f t="shared" ca="1" si="159"/>
        <v>0</v>
      </c>
      <c r="BI203" s="1213">
        <f t="shared" ca="1" si="160"/>
        <v>0</v>
      </c>
      <c r="BJ203" s="1587">
        <f t="shared" ca="1" si="161"/>
        <v>0</v>
      </c>
      <c r="BM203" s="1212">
        <f t="shared" ca="1" si="162"/>
        <v>0</v>
      </c>
      <c r="BN203" s="1213">
        <f t="shared" ca="1" si="163"/>
        <v>0</v>
      </c>
      <c r="BO203" s="1587">
        <f t="shared" ca="1" si="164"/>
        <v>0</v>
      </c>
      <c r="BR203" s="1212">
        <f t="shared" ca="1" si="165"/>
        <v>0</v>
      </c>
      <c r="BS203" s="1213">
        <f t="shared" ca="1" si="166"/>
        <v>0</v>
      </c>
      <c r="BT203" s="1587">
        <f t="shared" ca="1" si="167"/>
        <v>0</v>
      </c>
      <c r="BW203" s="1212">
        <f t="shared" ca="1" si="168"/>
        <v>0</v>
      </c>
      <c r="BX203" s="1213">
        <f t="shared" ca="1" si="169"/>
        <v>0</v>
      </c>
      <c r="BY203" s="1587">
        <f t="shared" ca="1" si="170"/>
        <v>0</v>
      </c>
      <c r="CB203" s="1212">
        <f t="shared" ca="1" si="171"/>
        <v>0</v>
      </c>
      <c r="CC203" s="1213">
        <f t="shared" ca="1" si="172"/>
        <v>0</v>
      </c>
      <c r="CD203" s="1587">
        <f t="shared" ca="1" si="173"/>
        <v>0</v>
      </c>
      <c r="CG203" s="1212">
        <f t="shared" ca="1" si="174"/>
        <v>0</v>
      </c>
      <c r="CH203" s="1213">
        <f t="shared" ca="1" si="175"/>
        <v>0</v>
      </c>
      <c r="CI203" s="1587">
        <f t="shared" ca="1" si="176"/>
        <v>0</v>
      </c>
      <c r="CL203" s="1212">
        <f t="shared" ca="1" si="177"/>
        <v>0</v>
      </c>
      <c r="CM203" s="1213">
        <f t="shared" ca="1" si="178"/>
        <v>0</v>
      </c>
      <c r="CN203" s="1587">
        <f t="shared" ca="1" si="179"/>
        <v>0</v>
      </c>
    </row>
    <row r="204" spans="1:92">
      <c r="A204" s="141" t="str">
        <f>'銀行-TSS'!A204</f>
        <v>US084670BK32</v>
      </c>
      <c r="B204" s="151" t="str">
        <f ca="1">VLOOKUP(A204,'銀行-TSS'!A:B,2,FALSE)</f>
        <v>XG930</v>
      </c>
      <c r="C204" s="151" t="str">
        <f ca="1">VLOOKUP(B204,bond!B:C,2,FALSE)</f>
        <v>波克夏海瑟威公司美元配息債券 4.5% 2043/2/11</v>
      </c>
      <c r="D204" s="95" t="str">
        <f>VLOOKUP(A204,'銀行-TSS'!A:C,3,FALSE)</f>
        <v>USD</v>
      </c>
      <c r="E204" s="90">
        <f ca="1">VLOOKUP(A204,'銀行-TSS'!A:G,7,FALSE)</f>
        <v>18.61</v>
      </c>
      <c r="F204" s="202">
        <f ca="1">VLOOKUP(A204,'銀行-TSS'!A:H,8,FALSE)</f>
        <v>4.4999999999999998E-2</v>
      </c>
      <c r="G204" s="96">
        <f ca="1">VLOOKUP(A204,'銀行-TSS'!A:K,11,FALSE)</f>
        <v>97.83</v>
      </c>
      <c r="H204" s="1209">
        <f ca="1">VLOOKUP(A204,'銀行-TSS'!A:M,13,FALSE)</f>
        <v>4.82E-2</v>
      </c>
      <c r="I204" s="1213">
        <f ca="1">VLOOKUP(A204,'銀行-TSS'!A:N,14,FALSE)</f>
        <v>2000</v>
      </c>
      <c r="J204" s="1213">
        <f ca="1">VLOOKUP(A204,'銀行-TSS'!A:O,15,FALSE)</f>
        <v>1000</v>
      </c>
      <c r="K204" s="136" t="str">
        <f ca="1">VLOOKUP(A204,'銀行-TSS'!A:V,22,FALSE)</f>
        <v>(NPI)非專投</v>
      </c>
      <c r="L204" s="136" t="str">
        <f ca="1">VLOOKUP(A204,'銀行-TSS'!A:AK,37,FALSE)</f>
        <v>有</v>
      </c>
      <c r="M204" s="136" t="str">
        <f ca="1">VLOOKUP(A204,'銀行-TSS'!A:AN,40,FALSE)</f>
        <v/>
      </c>
      <c r="N204" s="136">
        <f t="shared" ca="1" si="135"/>
        <v>978.3</v>
      </c>
      <c r="O204" s="1213">
        <f t="shared" ca="1" si="136"/>
        <v>1956.6</v>
      </c>
      <c r="P204" s="1213">
        <f ca="1">IF(AND($O$1&gt;=O204,換券單檔!$D$13=D204),I204+INT(($O$1-O204)/N204)*J204,0)</f>
        <v>98000</v>
      </c>
      <c r="Q204" s="1213">
        <f t="shared" ca="1" si="137"/>
        <v>4410</v>
      </c>
      <c r="R204" s="1213">
        <f t="shared" ca="1" si="138"/>
        <v>98000</v>
      </c>
      <c r="S204" s="1213">
        <f t="shared" ca="1" si="139"/>
        <v>4410</v>
      </c>
      <c r="T204" s="136">
        <f ca="1">IF(OR(R204=0,A204=0),0,IF(AND(V204=TRUE,換券單檔!$D$13=D204),E204,0))</f>
        <v>18.61</v>
      </c>
      <c r="U204" s="861">
        <f ca="1">IF(OR(R204=0,A204=0),0,IF(AND(V204=TRUE,換券單檔!$D$13=D204),H204,0))</f>
        <v>4.82E-2</v>
      </c>
      <c r="V204" s="136" t="b">
        <f ca="1">IF(OR(B204=換券單檔!$D$3,L204="無",M204&lt;&gt;"",K204="高資產",IFERROR(MATCH(B204,換券單檔!K:K,0),"N")&lt;&gt;"N"),FALSE,IF($V$1="All",TRUE,IF(K204=$V$1,TRUE,FALSE)))</f>
        <v>1</v>
      </c>
      <c r="W204" s="136">
        <f ca="1">VLOOKUP(A204,'銀行-TSS'!A:AO,41,FALSE)</f>
        <v>93.570000000000007</v>
      </c>
      <c r="X204" s="136">
        <f ca="1">VLOOKUP(A204,'銀行-TSS'!A:AP,42,FALSE)</f>
        <v>12.057</v>
      </c>
      <c r="Y204" s="1220">
        <f t="shared" ca="1" si="140"/>
        <v>11056.100202000001</v>
      </c>
      <c r="Z204" s="1220">
        <f t="shared" ca="1" si="141"/>
        <v>-5284.5351961311098</v>
      </c>
      <c r="AA204" s="136">
        <f ca="1">IF(Z204&lt;=0,0,RANK(Z204,Z:Z)+COUNTIF($Z$3:$Z204,Z204)-1)</f>
        <v>0</v>
      </c>
      <c r="AB204" s="1211">
        <f t="shared" ca="1" si="142"/>
        <v>-5840.039797999998</v>
      </c>
      <c r="AC204" s="136">
        <f ca="1">IF(AB204&lt;=0,0,RANK(AB204,AB:AB)+COUNTIF($AB$3:$AB204,AB204)-1)</f>
        <v>0</v>
      </c>
      <c r="AD204" s="1123">
        <f t="shared" ca="1" si="143"/>
        <v>99999</v>
      </c>
      <c r="AE204" s="1123">
        <f ca="1">IF(AD204=99999,0,RANK(AD204,AD:AD,1)+COUNTIF($AD$3:$AD204,AD204)-1)</f>
        <v>0</v>
      </c>
      <c r="AF204" s="86" t="b">
        <f ca="1">IF(OR(M204&lt;&gt;"",L204="無",K204="高資產",IFERROR(MATCH(B204,換券單檔!K:K,0),"N")&lt;&gt;"N"),FALSE,TRUE)</f>
        <v>1</v>
      </c>
      <c r="AI204" s="1212">
        <f t="shared" ca="1" si="144"/>
        <v>98000</v>
      </c>
      <c r="AJ204" s="1213">
        <f t="shared" ca="1" si="145"/>
        <v>4410</v>
      </c>
      <c r="AK204" s="1587">
        <f t="shared" ca="1" si="146"/>
        <v>-5284.5351961311098</v>
      </c>
      <c r="AN204" s="1212">
        <f t="shared" ca="1" si="147"/>
        <v>56000</v>
      </c>
      <c r="AO204" s="1213">
        <f t="shared" ca="1" si="148"/>
        <v>2520</v>
      </c>
      <c r="AP204" s="1587">
        <f t="shared" ca="1" si="149"/>
        <v>-87211.762493283182</v>
      </c>
      <c r="AS204" s="1212">
        <f t="shared" ca="1" si="150"/>
        <v>96000</v>
      </c>
      <c r="AT204" s="1213">
        <f t="shared" ca="1" si="151"/>
        <v>4320</v>
      </c>
      <c r="AU204" s="1587">
        <f t="shared" ca="1" si="152"/>
        <v>0</v>
      </c>
      <c r="AX204" s="1212">
        <f t="shared" ca="1" si="153"/>
        <v>88000</v>
      </c>
      <c r="AY204" s="1213">
        <f t="shared" ca="1" si="154"/>
        <v>3960</v>
      </c>
      <c r="AZ204" s="1587">
        <f t="shared" ca="1" si="155"/>
        <v>0</v>
      </c>
      <c r="BC204" s="1212">
        <f t="shared" ca="1" si="156"/>
        <v>0</v>
      </c>
      <c r="BD204" s="1213">
        <f t="shared" ca="1" si="157"/>
        <v>0</v>
      </c>
      <c r="BE204" s="1587">
        <f t="shared" ca="1" si="158"/>
        <v>0</v>
      </c>
      <c r="BH204" s="1212">
        <f t="shared" ca="1" si="159"/>
        <v>0</v>
      </c>
      <c r="BI204" s="1213">
        <f t="shared" ca="1" si="160"/>
        <v>0</v>
      </c>
      <c r="BJ204" s="1587">
        <f t="shared" ca="1" si="161"/>
        <v>0</v>
      </c>
      <c r="BM204" s="1212">
        <f t="shared" ca="1" si="162"/>
        <v>0</v>
      </c>
      <c r="BN204" s="1213">
        <f t="shared" ca="1" si="163"/>
        <v>0</v>
      </c>
      <c r="BO204" s="1587">
        <f t="shared" ca="1" si="164"/>
        <v>0</v>
      </c>
      <c r="BR204" s="1212">
        <f t="shared" ca="1" si="165"/>
        <v>0</v>
      </c>
      <c r="BS204" s="1213">
        <f t="shared" ca="1" si="166"/>
        <v>0</v>
      </c>
      <c r="BT204" s="1587">
        <f t="shared" ca="1" si="167"/>
        <v>0</v>
      </c>
      <c r="BW204" s="1212">
        <f t="shared" ca="1" si="168"/>
        <v>0</v>
      </c>
      <c r="BX204" s="1213">
        <f t="shared" ca="1" si="169"/>
        <v>0</v>
      </c>
      <c r="BY204" s="1587">
        <f t="shared" ca="1" si="170"/>
        <v>0</v>
      </c>
      <c r="CB204" s="1212">
        <f t="shared" ca="1" si="171"/>
        <v>0</v>
      </c>
      <c r="CC204" s="1213">
        <f t="shared" ca="1" si="172"/>
        <v>0</v>
      </c>
      <c r="CD204" s="1587">
        <f t="shared" ca="1" si="173"/>
        <v>0</v>
      </c>
      <c r="CG204" s="1212">
        <f t="shared" ca="1" si="174"/>
        <v>0</v>
      </c>
      <c r="CH204" s="1213">
        <f t="shared" ca="1" si="175"/>
        <v>0</v>
      </c>
      <c r="CI204" s="1587">
        <f t="shared" ca="1" si="176"/>
        <v>0</v>
      </c>
      <c r="CL204" s="1212">
        <f t="shared" ca="1" si="177"/>
        <v>0</v>
      </c>
      <c r="CM204" s="1213">
        <f t="shared" ca="1" si="178"/>
        <v>0</v>
      </c>
      <c r="CN204" s="1587">
        <f t="shared" ca="1" si="179"/>
        <v>0</v>
      </c>
    </row>
    <row r="205" spans="1:92">
      <c r="A205" s="141" t="str">
        <f>'銀行-TSS'!A205</f>
        <v>US17275RAD44</v>
      </c>
      <c r="B205" s="151" t="str">
        <f ca="1">VLOOKUP(A205,'銀行-TSS'!A:B,2,FALSE)</f>
        <v>XG940</v>
      </c>
      <c r="C205" s="151" t="str">
        <f ca="1">VLOOKUP(B205,bond!B:C,2,FALSE)</f>
        <v>思科系統股份有限公司美元配息債券 5.9% 2039/2/15</v>
      </c>
      <c r="D205" s="95" t="str">
        <f>VLOOKUP(A205,'銀行-TSS'!A:C,3,FALSE)</f>
        <v>USD</v>
      </c>
      <c r="E205" s="90">
        <f ca="1">VLOOKUP(A205,'銀行-TSS'!A:G,7,FALSE)</f>
        <v>14.62</v>
      </c>
      <c r="F205" s="202">
        <f ca="1">VLOOKUP(A205,'銀行-TSS'!A:H,8,FALSE)</f>
        <v>5.9000000000000004E-2</v>
      </c>
      <c r="G205" s="96">
        <f ca="1">VLOOKUP(A205,'銀行-TSS'!A:K,11,FALSE)</f>
        <v>111.06</v>
      </c>
      <c r="H205" s="1209">
        <f ca="1">VLOOKUP(A205,'銀行-TSS'!A:M,13,FALSE)</f>
        <v>5.04E-2</v>
      </c>
      <c r="I205" s="1213">
        <f ca="1">VLOOKUP(A205,'銀行-TSS'!A:N,14,FALSE)</f>
        <v>10000</v>
      </c>
      <c r="J205" s="1213">
        <f ca="1">VLOOKUP(A205,'銀行-TSS'!A:O,15,FALSE)</f>
        <v>1000</v>
      </c>
      <c r="K205" s="136" t="str">
        <f ca="1">VLOOKUP(A205,'銀行-TSS'!A:V,22,FALSE)</f>
        <v>(NPI)非專投</v>
      </c>
      <c r="L205" s="136" t="str">
        <f ca="1">VLOOKUP(A205,'銀行-TSS'!A:AK,37,FALSE)</f>
        <v>有</v>
      </c>
      <c r="M205" s="136" t="str">
        <f ca="1">VLOOKUP(A205,'銀行-TSS'!A:AN,40,FALSE)</f>
        <v/>
      </c>
      <c r="N205" s="136">
        <f t="shared" ca="1" si="135"/>
        <v>1110.5999999999999</v>
      </c>
      <c r="O205" s="1213">
        <f t="shared" ca="1" si="136"/>
        <v>11106</v>
      </c>
      <c r="P205" s="1213">
        <f ca="1">IF(AND($O$1&gt;=O205,換券單檔!$D$13=D205),I205+INT(($O$1-O205)/N205)*J205,0)</f>
        <v>87000</v>
      </c>
      <c r="Q205" s="1213">
        <f t="shared" ca="1" si="137"/>
        <v>5133</v>
      </c>
      <c r="R205" s="1213">
        <f t="shared" ca="1" si="138"/>
        <v>87000</v>
      </c>
      <c r="S205" s="1213">
        <f t="shared" ca="1" si="139"/>
        <v>5133</v>
      </c>
      <c r="T205" s="136">
        <f ca="1">IF(OR(R205=0,A205=0),0,IF(AND(V205=TRUE,換券單檔!$D$13=D205),E205,0))</f>
        <v>14.62</v>
      </c>
      <c r="U205" s="861">
        <f ca="1">IF(OR(R205=0,A205=0),0,IF(AND(V205=TRUE,換券單檔!$D$13=D205),H205,0))</f>
        <v>5.04E-2</v>
      </c>
      <c r="V205" s="136" t="b">
        <f ca="1">IF(OR(B205=換券單檔!$D$3,L205="無",M205&lt;&gt;"",K205="高資產",IFERROR(MATCH(B205,換券單檔!K:K,0),"N")&lt;&gt;"N"),FALSE,IF($V$1="All",TRUE,IF(K205=$V$1,TRUE,FALSE)))</f>
        <v>1</v>
      </c>
      <c r="W205" s="136">
        <f ca="1">VLOOKUP(A205,'銀行-TSS'!A:AO,41,FALSE)</f>
        <v>106.81</v>
      </c>
      <c r="X205" s="136">
        <f ca="1">VLOOKUP(A205,'銀行-TSS'!A:AP,42,FALSE)</f>
        <v>9.7140000000000004</v>
      </c>
      <c r="Y205" s="1220">
        <f t="shared" ca="1" si="140"/>
        <v>9026.7053579999993</v>
      </c>
      <c r="Z205" s="1220">
        <f t="shared" ca="1" si="141"/>
        <v>-25180.035567715455</v>
      </c>
      <c r="AA205" s="136">
        <f ca="1">IF(Z205&lt;=0,0,RANK(Z205,Z:Z)+COUNTIF($Z$3:$Z205,Z205)-1)</f>
        <v>0</v>
      </c>
      <c r="AB205" s="1211">
        <f t="shared" ca="1" si="142"/>
        <v>-18869.434642</v>
      </c>
      <c r="AC205" s="136">
        <f ca="1">IF(AB205&lt;=0,0,RANK(AB205,AB:AB)+COUNTIF($AB$3:$AB205,AB205)-1)</f>
        <v>0</v>
      </c>
      <c r="AD205" s="1123">
        <f t="shared" ca="1" si="143"/>
        <v>99999</v>
      </c>
      <c r="AE205" s="1123">
        <f ca="1">IF(AD205=99999,0,RANK(AD205,AD:AD,1)+COUNTIF($AD$3:$AD205,AD205)-1)</f>
        <v>0</v>
      </c>
      <c r="AF205" s="86" t="b">
        <f ca="1">IF(OR(M205&lt;&gt;"",L205="無",K205="高資產",IFERROR(MATCH(B205,換券單檔!K:K,0),"N")&lt;&gt;"N"),FALSE,TRUE)</f>
        <v>1</v>
      </c>
      <c r="AI205" s="1212">
        <f t="shared" ca="1" si="144"/>
        <v>87000</v>
      </c>
      <c r="AJ205" s="1213">
        <f t="shared" ca="1" si="145"/>
        <v>5133</v>
      </c>
      <c r="AK205" s="1587">
        <f t="shared" ca="1" si="146"/>
        <v>-25180.035567715455</v>
      </c>
      <c r="AN205" s="1212">
        <f t="shared" ca="1" si="147"/>
        <v>49000</v>
      </c>
      <c r="AO205" s="1213">
        <f t="shared" ca="1" si="148"/>
        <v>2891</v>
      </c>
      <c r="AP205" s="1587">
        <f t="shared" ca="1" si="149"/>
        <v>-100142.7660738714</v>
      </c>
      <c r="AS205" s="1212">
        <f t="shared" ca="1" si="150"/>
        <v>85000</v>
      </c>
      <c r="AT205" s="1213">
        <f t="shared" ca="1" si="151"/>
        <v>5015</v>
      </c>
      <c r="AU205" s="1587">
        <f t="shared" ca="1" si="152"/>
        <v>-29594.363885088918</v>
      </c>
      <c r="AX205" s="1212">
        <f t="shared" ca="1" si="153"/>
        <v>78000</v>
      </c>
      <c r="AY205" s="1213">
        <f t="shared" ca="1" si="154"/>
        <v>4602</v>
      </c>
      <c r="AZ205" s="1587">
        <f t="shared" ca="1" si="155"/>
        <v>-43559.595075239398</v>
      </c>
      <c r="BC205" s="1212">
        <f t="shared" ca="1" si="156"/>
        <v>0</v>
      </c>
      <c r="BD205" s="1213">
        <f t="shared" ca="1" si="157"/>
        <v>0</v>
      </c>
      <c r="BE205" s="1587">
        <f t="shared" ca="1" si="158"/>
        <v>0</v>
      </c>
      <c r="BH205" s="1212">
        <f t="shared" ca="1" si="159"/>
        <v>0</v>
      </c>
      <c r="BI205" s="1213">
        <f t="shared" ca="1" si="160"/>
        <v>0</v>
      </c>
      <c r="BJ205" s="1587">
        <f t="shared" ca="1" si="161"/>
        <v>0</v>
      </c>
      <c r="BM205" s="1212">
        <f t="shared" ca="1" si="162"/>
        <v>0</v>
      </c>
      <c r="BN205" s="1213">
        <f t="shared" ca="1" si="163"/>
        <v>0</v>
      </c>
      <c r="BO205" s="1587">
        <f t="shared" ca="1" si="164"/>
        <v>0</v>
      </c>
      <c r="BR205" s="1212">
        <f t="shared" ca="1" si="165"/>
        <v>0</v>
      </c>
      <c r="BS205" s="1213">
        <f t="shared" ca="1" si="166"/>
        <v>0</v>
      </c>
      <c r="BT205" s="1587">
        <f t="shared" ca="1" si="167"/>
        <v>0</v>
      </c>
      <c r="BW205" s="1212">
        <f t="shared" ca="1" si="168"/>
        <v>0</v>
      </c>
      <c r="BX205" s="1213">
        <f t="shared" ca="1" si="169"/>
        <v>0</v>
      </c>
      <c r="BY205" s="1587">
        <f t="shared" ca="1" si="170"/>
        <v>0</v>
      </c>
      <c r="CB205" s="1212">
        <f t="shared" ca="1" si="171"/>
        <v>0</v>
      </c>
      <c r="CC205" s="1213">
        <f t="shared" ca="1" si="172"/>
        <v>0</v>
      </c>
      <c r="CD205" s="1587">
        <f t="shared" ca="1" si="173"/>
        <v>0</v>
      </c>
      <c r="CG205" s="1212">
        <f t="shared" ca="1" si="174"/>
        <v>0</v>
      </c>
      <c r="CH205" s="1213">
        <f t="shared" ca="1" si="175"/>
        <v>0</v>
      </c>
      <c r="CI205" s="1587">
        <f t="shared" ca="1" si="176"/>
        <v>0</v>
      </c>
      <c r="CL205" s="1212">
        <f t="shared" ca="1" si="177"/>
        <v>0</v>
      </c>
      <c r="CM205" s="1213">
        <f t="shared" ca="1" si="178"/>
        <v>0</v>
      </c>
      <c r="CN205" s="1587">
        <f t="shared" ca="1" si="179"/>
        <v>0</v>
      </c>
    </row>
    <row r="206" spans="1:92">
      <c r="A206" s="141" t="str">
        <f>'銀行-TSS'!A206</f>
        <v>US172967KN09</v>
      </c>
      <c r="B206" s="151" t="str">
        <f ca="1">VLOOKUP(A206,'銀行-TSS'!A:B,2,FALSE)</f>
        <v>XG950</v>
      </c>
      <c r="C206" s="151" t="str">
        <f ca="1">VLOOKUP(B206,bond!B:C,2,FALSE)</f>
        <v>花旗集團美元配息債券 3.4% 2026/5/1</v>
      </c>
      <c r="D206" s="95" t="str">
        <f>VLOOKUP(A206,'銀行-TSS'!A:C,3,FALSE)</f>
        <v>USD</v>
      </c>
      <c r="E206" s="90">
        <f ca="1">VLOOKUP(A206,'銀行-TSS'!A:G,7,FALSE)</f>
        <v>1.83</v>
      </c>
      <c r="F206" s="202">
        <f ca="1">VLOOKUP(A206,'銀行-TSS'!A:H,8,FALSE)</f>
        <v>3.4000000000000002E-2</v>
      </c>
      <c r="G206" s="96">
        <f ca="1">VLOOKUP(A206,'銀行-TSS'!A:K,11,FALSE)</f>
        <v>98.36</v>
      </c>
      <c r="H206" s="1209">
        <f ca="1">VLOOKUP(A206,'銀行-TSS'!A:M,13,FALSE)</f>
        <v>4.6800000000000001E-2</v>
      </c>
      <c r="I206" s="1213">
        <f ca="1">VLOOKUP(A206,'銀行-TSS'!A:N,14,FALSE)</f>
        <v>10000</v>
      </c>
      <c r="J206" s="1213">
        <f ca="1">VLOOKUP(A206,'銀行-TSS'!A:O,15,FALSE)</f>
        <v>1000</v>
      </c>
      <c r="K206" s="136" t="str">
        <f ca="1">VLOOKUP(A206,'銀行-TSS'!A:V,22,FALSE)</f>
        <v>(PI)專投</v>
      </c>
      <c r="L206" s="136" t="str">
        <f ca="1">VLOOKUP(A206,'銀行-TSS'!A:AK,37,FALSE)</f>
        <v>有</v>
      </c>
      <c r="M206" s="136" t="str">
        <f ca="1">VLOOKUP(A206,'銀行-TSS'!A:AN,40,FALSE)</f>
        <v/>
      </c>
      <c r="N206" s="136">
        <f t="shared" ca="1" si="135"/>
        <v>983.6</v>
      </c>
      <c r="O206" s="1213">
        <f t="shared" ca="1" si="136"/>
        <v>9836</v>
      </c>
      <c r="P206" s="1213">
        <f ca="1">IF(AND($O$1&gt;=O206,換券單檔!$D$13=D206),I206+INT(($O$1-O206)/N206)*J206,0)</f>
        <v>98000</v>
      </c>
      <c r="Q206" s="1213">
        <f t="shared" ca="1" si="137"/>
        <v>3332.0000000000005</v>
      </c>
      <c r="R206" s="1213">
        <f t="shared" ca="1" si="138"/>
        <v>98000</v>
      </c>
      <c r="S206" s="1213">
        <f t="shared" ca="1" si="139"/>
        <v>3332.0000000000005</v>
      </c>
      <c r="T206" s="136">
        <f ca="1">IF(OR(R206=0,A206=0),0,IF(AND(V206=TRUE,換券單檔!$D$13=D206),E206,0))</f>
        <v>1.83</v>
      </c>
      <c r="U206" s="861">
        <f ca="1">IF(OR(R206=0,A206=0),0,IF(AND(V206=TRUE,換券單檔!$D$13=D206),H206,0))</f>
        <v>4.6800000000000001E-2</v>
      </c>
      <c r="V206" s="136" t="b">
        <f ca="1">IF(OR(B206=換券單檔!$D$3,L206="無",M206&lt;&gt;"",K206="高資產",IFERROR(MATCH(B206,換券單檔!K:K,0),"N")&lt;&gt;"N"),FALSE,IF($V$1="All",TRUE,IF(K206=$V$1,TRUE,FALSE)))</f>
        <v>1</v>
      </c>
      <c r="W206" s="136">
        <f ca="1">VLOOKUP(A206,'銀行-TSS'!A:AO,41,FALSE)</f>
        <v>96.98</v>
      </c>
      <c r="X206" s="136">
        <f ca="1">VLOOKUP(A206,'銀行-TSS'!A:AP,42,FALSE)</f>
        <v>1.7363</v>
      </c>
      <c r="Y206" s="1220">
        <f t="shared" ca="1" si="140"/>
        <v>1650.1864651999999</v>
      </c>
      <c r="Z206" s="1220">
        <f t="shared" ca="1" si="141"/>
        <v>0</v>
      </c>
      <c r="AA206" s="136">
        <f ca="1">IF(Z206&lt;=0,0,RANK(Z206,Z:Z)+COUNTIF($Z$3:$Z206,Z206)-1)</f>
        <v>0</v>
      </c>
      <c r="AB206" s="1211">
        <f t="shared" ca="1" si="142"/>
        <v>-15245.953534799999</v>
      </c>
      <c r="AC206" s="136">
        <f ca="1">IF(AB206&lt;=0,0,RANK(AB206,AB:AB)+COUNTIF($AB$3:$AB206,AB206)-1)</f>
        <v>0</v>
      </c>
      <c r="AD206" s="1123">
        <f t="shared" ca="1" si="143"/>
        <v>99999</v>
      </c>
      <c r="AE206" s="1123">
        <f ca="1">IF(AD206=99999,0,RANK(AD206,AD:AD,1)+COUNTIF($AD$3:$AD206,AD206)-1)</f>
        <v>0</v>
      </c>
      <c r="AF206" s="86" t="b">
        <f ca="1">IF(OR(M206&lt;&gt;"",L206="無",K206="高資產",IFERROR(MATCH(B206,換券單檔!K:K,0),"N")&lt;&gt;"N"),FALSE,TRUE)</f>
        <v>1</v>
      </c>
      <c r="AI206" s="1212">
        <f t="shared" ca="1" si="144"/>
        <v>98000</v>
      </c>
      <c r="AJ206" s="1213">
        <f t="shared" ca="1" si="145"/>
        <v>3332.0000000000005</v>
      </c>
      <c r="AK206" s="1587">
        <f t="shared" ca="1" si="146"/>
        <v>0</v>
      </c>
      <c r="AN206" s="1212">
        <f t="shared" ca="1" si="147"/>
        <v>56000</v>
      </c>
      <c r="AO206" s="1213">
        <f t="shared" ca="1" si="148"/>
        <v>1904.0000000000002</v>
      </c>
      <c r="AP206" s="1587">
        <f t="shared" ca="1" si="149"/>
        <v>0</v>
      </c>
      <c r="AS206" s="1212">
        <f t="shared" ca="1" si="150"/>
        <v>96000</v>
      </c>
      <c r="AT206" s="1213">
        <f t="shared" ca="1" si="151"/>
        <v>3264.0000000000005</v>
      </c>
      <c r="AU206" s="1587">
        <f t="shared" ca="1" si="152"/>
        <v>0</v>
      </c>
      <c r="AX206" s="1212">
        <f t="shared" ca="1" si="153"/>
        <v>88000</v>
      </c>
      <c r="AY206" s="1213">
        <f t="shared" ca="1" si="154"/>
        <v>2992</v>
      </c>
      <c r="AZ206" s="1587">
        <f t="shared" ca="1" si="155"/>
        <v>0</v>
      </c>
      <c r="BC206" s="1212">
        <f t="shared" ca="1" si="156"/>
        <v>0</v>
      </c>
      <c r="BD206" s="1213">
        <f t="shared" ca="1" si="157"/>
        <v>0</v>
      </c>
      <c r="BE206" s="1587">
        <f t="shared" ca="1" si="158"/>
        <v>0</v>
      </c>
      <c r="BH206" s="1212">
        <f t="shared" ca="1" si="159"/>
        <v>0</v>
      </c>
      <c r="BI206" s="1213">
        <f t="shared" ca="1" si="160"/>
        <v>0</v>
      </c>
      <c r="BJ206" s="1587">
        <f t="shared" ca="1" si="161"/>
        <v>0</v>
      </c>
      <c r="BM206" s="1212">
        <f t="shared" ca="1" si="162"/>
        <v>0</v>
      </c>
      <c r="BN206" s="1213">
        <f t="shared" ca="1" si="163"/>
        <v>0</v>
      </c>
      <c r="BO206" s="1587">
        <f t="shared" ca="1" si="164"/>
        <v>0</v>
      </c>
      <c r="BR206" s="1212">
        <f t="shared" ca="1" si="165"/>
        <v>0</v>
      </c>
      <c r="BS206" s="1213">
        <f t="shared" ca="1" si="166"/>
        <v>0</v>
      </c>
      <c r="BT206" s="1587">
        <f t="shared" ca="1" si="167"/>
        <v>0</v>
      </c>
      <c r="BW206" s="1212">
        <f t="shared" ca="1" si="168"/>
        <v>0</v>
      </c>
      <c r="BX206" s="1213">
        <f t="shared" ca="1" si="169"/>
        <v>0</v>
      </c>
      <c r="BY206" s="1587">
        <f t="shared" ca="1" si="170"/>
        <v>0</v>
      </c>
      <c r="CB206" s="1212">
        <f t="shared" ca="1" si="171"/>
        <v>0</v>
      </c>
      <c r="CC206" s="1213">
        <f t="shared" ca="1" si="172"/>
        <v>0</v>
      </c>
      <c r="CD206" s="1587">
        <f t="shared" ca="1" si="173"/>
        <v>0</v>
      </c>
      <c r="CG206" s="1212">
        <f t="shared" ca="1" si="174"/>
        <v>0</v>
      </c>
      <c r="CH206" s="1213">
        <f t="shared" ca="1" si="175"/>
        <v>0</v>
      </c>
      <c r="CI206" s="1587">
        <f t="shared" ca="1" si="176"/>
        <v>0</v>
      </c>
      <c r="CL206" s="1212">
        <f t="shared" ca="1" si="177"/>
        <v>0</v>
      </c>
      <c r="CM206" s="1213">
        <f t="shared" ca="1" si="178"/>
        <v>0</v>
      </c>
      <c r="CN206" s="1587">
        <f t="shared" ca="1" si="179"/>
        <v>0</v>
      </c>
    </row>
    <row r="207" spans="1:92">
      <c r="A207" s="141" t="str">
        <f>'銀行-TSS'!A207</f>
        <v>US92553PAP71</v>
      </c>
      <c r="B207" s="151" t="str">
        <f ca="1">VLOOKUP(A207,'銀行-TSS'!A:B,2,FALSE)</f>
        <v>XG960</v>
      </c>
      <c r="C207" s="151" t="str">
        <f ca="1">VLOOKUP(B207,bond!B:C,2,FALSE)</f>
        <v>派拉蒙全球美元配息債券 4.375% 2043/3/15</v>
      </c>
      <c r="D207" s="95" t="str">
        <f>VLOOKUP(A207,'銀行-TSS'!A:C,3,FALSE)</f>
        <v>USD</v>
      </c>
      <c r="E207" s="90">
        <f ca="1">VLOOKUP(A207,'銀行-TSS'!A:G,7,FALSE)</f>
        <v>18.7</v>
      </c>
      <c r="F207" s="202">
        <f ca="1">VLOOKUP(A207,'銀行-TSS'!A:H,8,FALSE)</f>
        <v>4.3749999999999997E-2</v>
      </c>
      <c r="G207" s="96">
        <f ca="1">VLOOKUP(A207,'銀行-TSS'!A:K,11,FALSE)</f>
        <v>70.930000000000007</v>
      </c>
      <c r="H207" s="1209">
        <f ca="1">VLOOKUP(A207,'銀行-TSS'!A:M,13,FALSE)</f>
        <v>7.3999999999999996E-2</v>
      </c>
      <c r="I207" s="1213">
        <f ca="1">VLOOKUP(A207,'銀行-TSS'!A:N,14,FALSE)</f>
        <v>10000</v>
      </c>
      <c r="J207" s="1213">
        <f ca="1">VLOOKUP(A207,'銀行-TSS'!A:O,15,FALSE)</f>
        <v>1000</v>
      </c>
      <c r="K207" s="136" t="str">
        <f ca="1">VLOOKUP(A207,'銀行-TSS'!A:V,22,FALSE)</f>
        <v>(PI)專投</v>
      </c>
      <c r="L207" s="136" t="str">
        <f ca="1">VLOOKUP(A207,'銀行-TSS'!A:AK,37,FALSE)</f>
        <v>有</v>
      </c>
      <c r="M207" s="136" t="str">
        <f ca="1">VLOOKUP(A207,'銀行-TSS'!A:AN,40,FALSE)</f>
        <v/>
      </c>
      <c r="N207" s="136">
        <f t="shared" ca="1" si="135"/>
        <v>709.3</v>
      </c>
      <c r="O207" s="1213">
        <f t="shared" ca="1" si="136"/>
        <v>7093.0000000000009</v>
      </c>
      <c r="P207" s="1213">
        <f ca="1">IF(AND($O$1&gt;=O207,換券單檔!$D$13=D207),I207+INT(($O$1-O207)/N207)*J207,0)</f>
        <v>136000</v>
      </c>
      <c r="Q207" s="1213">
        <f t="shared" ca="1" si="137"/>
        <v>5950</v>
      </c>
      <c r="R207" s="1213">
        <f t="shared" ca="1" si="138"/>
        <v>136000</v>
      </c>
      <c r="S207" s="1213">
        <f t="shared" ca="1" si="139"/>
        <v>5950</v>
      </c>
      <c r="T207" s="136">
        <f ca="1">IF(OR(R207=0,A207=0),0,IF(AND(V207=TRUE,換券單檔!$D$13=D207),E207,0))</f>
        <v>18.7</v>
      </c>
      <c r="U207" s="861">
        <f ca="1">IF(OR(R207=0,A207=0),0,IF(AND(V207=TRUE,換券單檔!$D$13=D207),H207,0))</f>
        <v>7.3999999999999996E-2</v>
      </c>
      <c r="V207" s="136" t="b">
        <f ca="1">IF(OR(B207=換券單檔!$D$3,L207="無",M207&lt;&gt;"",K207="高資產",IFERROR(MATCH(B207,換券單檔!K:K,0),"N")&lt;&gt;"N"),FALSE,IF($V$1="All",TRUE,IF(K207=$V$1,TRUE,FALSE)))</f>
        <v>1</v>
      </c>
      <c r="W207" s="136">
        <f ca="1">VLOOKUP(A207,'銀行-TSS'!A:AO,41,FALSE)</f>
        <v>67.13000000000001</v>
      </c>
      <c r="X207" s="136">
        <f ca="1">VLOOKUP(A207,'銀行-TSS'!A:AP,42,FALSE)</f>
        <v>10.9193</v>
      </c>
      <c r="Y207" s="1220">
        <f t="shared" ca="1" si="140"/>
        <v>9968.9714824000021</v>
      </c>
      <c r="Z207" s="1220">
        <f t="shared" ca="1" si="141"/>
        <v>4174.3315508021415</v>
      </c>
      <c r="AA207" s="136">
        <f ca="1">IF(Z207&lt;=0,0,RANK(Z207,Z:Z)+COUNTIF($Z$3:$Z207,Z207)-1)</f>
        <v>2</v>
      </c>
      <c r="AB207" s="1211">
        <f t="shared" ca="1" si="142"/>
        <v>-4927.1685175999974</v>
      </c>
      <c r="AC207" s="136">
        <f ca="1">IF(AB207&lt;=0,0,RANK(AB207,AB:AB)+COUNTIF($AB$3:$AB207,AB207)-1)</f>
        <v>0</v>
      </c>
      <c r="AD207" s="1123">
        <f t="shared" ca="1" si="143"/>
        <v>99999</v>
      </c>
      <c r="AE207" s="1123">
        <f ca="1">IF(AD207=99999,0,RANK(AD207,AD:AD,1)+COUNTIF($AD$3:$AD207,AD207)-1)</f>
        <v>0</v>
      </c>
      <c r="AF207" s="86" t="b">
        <f ca="1">IF(OR(M207&lt;&gt;"",L207="無",K207="高資產",IFERROR(MATCH(B207,換券單檔!K:K,0),"N")&lt;&gt;"N"),FALSE,TRUE)</f>
        <v>1</v>
      </c>
      <c r="AI207" s="1212">
        <f t="shared" ca="1" si="144"/>
        <v>136000</v>
      </c>
      <c r="AJ207" s="1213">
        <f t="shared" ca="1" si="145"/>
        <v>5950</v>
      </c>
      <c r="AK207" s="1587">
        <f t="shared" ca="1" si="146"/>
        <v>4174.3315508021415</v>
      </c>
      <c r="AN207" s="1212">
        <f t="shared" ca="1" si="147"/>
        <v>77000</v>
      </c>
      <c r="AO207" s="1213">
        <f t="shared" ca="1" si="148"/>
        <v>3368.75</v>
      </c>
      <c r="AP207" s="1587">
        <f t="shared" ca="1" si="149"/>
        <v>-42733.489304812836</v>
      </c>
      <c r="AS207" s="1212">
        <f t="shared" ca="1" si="150"/>
        <v>133000</v>
      </c>
      <c r="AT207" s="1213">
        <f t="shared" ca="1" si="151"/>
        <v>5818.75</v>
      </c>
      <c r="AU207" s="1587">
        <f t="shared" ca="1" si="152"/>
        <v>3637.9010695187167</v>
      </c>
      <c r="AX207" s="1212">
        <f t="shared" ca="1" si="153"/>
        <v>122000</v>
      </c>
      <c r="AY207" s="1213">
        <f t="shared" ca="1" si="154"/>
        <v>5337.5</v>
      </c>
      <c r="AZ207" s="1587">
        <f t="shared" ca="1" si="155"/>
        <v>3179.5454545454522</v>
      </c>
      <c r="BC207" s="1212">
        <f t="shared" ca="1" si="156"/>
        <v>0</v>
      </c>
      <c r="BD207" s="1213">
        <f t="shared" ca="1" si="157"/>
        <v>0</v>
      </c>
      <c r="BE207" s="1587">
        <f t="shared" ca="1" si="158"/>
        <v>0</v>
      </c>
      <c r="BH207" s="1212">
        <f t="shared" ca="1" si="159"/>
        <v>0</v>
      </c>
      <c r="BI207" s="1213">
        <f t="shared" ca="1" si="160"/>
        <v>0</v>
      </c>
      <c r="BJ207" s="1587">
        <f t="shared" ca="1" si="161"/>
        <v>0</v>
      </c>
      <c r="BM207" s="1212">
        <f t="shared" ca="1" si="162"/>
        <v>0</v>
      </c>
      <c r="BN207" s="1213">
        <f t="shared" ca="1" si="163"/>
        <v>0</v>
      </c>
      <c r="BO207" s="1587">
        <f t="shared" ca="1" si="164"/>
        <v>0</v>
      </c>
      <c r="BR207" s="1212">
        <f t="shared" ca="1" si="165"/>
        <v>0</v>
      </c>
      <c r="BS207" s="1213">
        <f t="shared" ca="1" si="166"/>
        <v>0</v>
      </c>
      <c r="BT207" s="1587">
        <f t="shared" ca="1" si="167"/>
        <v>0</v>
      </c>
      <c r="BW207" s="1212">
        <f t="shared" ca="1" si="168"/>
        <v>0</v>
      </c>
      <c r="BX207" s="1213">
        <f t="shared" ca="1" si="169"/>
        <v>0</v>
      </c>
      <c r="BY207" s="1587">
        <f t="shared" ca="1" si="170"/>
        <v>0</v>
      </c>
      <c r="CB207" s="1212">
        <f t="shared" ca="1" si="171"/>
        <v>0</v>
      </c>
      <c r="CC207" s="1213">
        <f t="shared" ca="1" si="172"/>
        <v>0</v>
      </c>
      <c r="CD207" s="1587">
        <f t="shared" ca="1" si="173"/>
        <v>0</v>
      </c>
      <c r="CG207" s="1212">
        <f t="shared" ca="1" si="174"/>
        <v>0</v>
      </c>
      <c r="CH207" s="1213">
        <f t="shared" ca="1" si="175"/>
        <v>0</v>
      </c>
      <c r="CI207" s="1587">
        <f t="shared" ca="1" si="176"/>
        <v>0</v>
      </c>
      <c r="CL207" s="1212">
        <f t="shared" ca="1" si="177"/>
        <v>0</v>
      </c>
      <c r="CM207" s="1213">
        <f t="shared" ca="1" si="178"/>
        <v>0</v>
      </c>
      <c r="CN207" s="1587">
        <f t="shared" ca="1" si="179"/>
        <v>0</v>
      </c>
    </row>
    <row r="208" spans="1:92">
      <c r="A208" s="141" t="str">
        <f>'銀行-TSS'!A208</f>
        <v>US674599DZ54</v>
      </c>
      <c r="B208" s="151" t="str">
        <f ca="1">VLOOKUP(A208,'銀行-TSS'!A:B,2,FALSE)</f>
        <v>XG970</v>
      </c>
      <c r="C208" s="151" t="str">
        <f ca="1">VLOOKUP(B208,bond!B:C,2,FALSE)</f>
        <v>西方石油公司美元配息債券 8.5% 2027/7/15</v>
      </c>
      <c r="D208" s="95" t="str">
        <f>VLOOKUP(A208,'銀行-TSS'!A:C,3,FALSE)</f>
        <v>USD</v>
      </c>
      <c r="E208" s="90">
        <f ca="1">VLOOKUP(A208,'銀行-TSS'!A:G,7,FALSE)</f>
        <v>3.03</v>
      </c>
      <c r="F208" s="202">
        <f ca="1">VLOOKUP(A208,'銀行-TSS'!A:H,8,FALSE)</f>
        <v>8.5000000000000006E-2</v>
      </c>
      <c r="G208" s="96">
        <f ca="1">VLOOKUP(A208,'銀行-TSS'!A:K,11,FALSE)</f>
        <v>113.11</v>
      </c>
      <c r="H208" s="1209">
        <f ca="1">VLOOKUP(A208,'銀行-TSS'!A:M,13,FALSE)</f>
        <v>5.1900000000000002E-2</v>
      </c>
      <c r="I208" s="1213">
        <f ca="1">VLOOKUP(A208,'銀行-TSS'!A:N,14,FALSE)</f>
        <v>10000</v>
      </c>
      <c r="J208" s="1213">
        <f ca="1">VLOOKUP(A208,'銀行-TSS'!A:O,15,FALSE)</f>
        <v>1000</v>
      </c>
      <c r="K208" s="136" t="str">
        <f ca="1">VLOOKUP(A208,'銀行-TSS'!A:V,22,FALSE)</f>
        <v>(PI)專投</v>
      </c>
      <c r="L208" s="136" t="str">
        <f ca="1">VLOOKUP(A208,'銀行-TSS'!A:AK,37,FALSE)</f>
        <v>有</v>
      </c>
      <c r="M208" s="136" t="str">
        <f ca="1">VLOOKUP(A208,'銀行-TSS'!A:AN,40,FALSE)</f>
        <v/>
      </c>
      <c r="N208" s="136">
        <f t="shared" ca="1" si="135"/>
        <v>1131.0999999999999</v>
      </c>
      <c r="O208" s="1213">
        <f t="shared" ca="1" si="136"/>
        <v>11311</v>
      </c>
      <c r="P208" s="1213">
        <f ca="1">IF(AND($O$1&gt;=O208,換券單檔!$D$13=D208),I208+INT(($O$1-O208)/N208)*J208,0)</f>
        <v>85000</v>
      </c>
      <c r="Q208" s="1213">
        <f t="shared" ca="1" si="137"/>
        <v>7225.0000000000009</v>
      </c>
      <c r="R208" s="1213">
        <f t="shared" ca="1" si="138"/>
        <v>85000</v>
      </c>
      <c r="S208" s="1213">
        <f t="shared" ca="1" si="139"/>
        <v>7225.0000000000009</v>
      </c>
      <c r="T208" s="136">
        <f ca="1">IF(OR(R208=0,A208=0),0,IF(AND(V208=TRUE,換券單檔!$D$13=D208),E208,0))</f>
        <v>3.03</v>
      </c>
      <c r="U208" s="861">
        <f ca="1">IF(OR(R208=0,A208=0),0,IF(AND(V208=TRUE,換券單檔!$D$13=D208),H208,0))</f>
        <v>5.1900000000000002E-2</v>
      </c>
      <c r="V208" s="136" t="b">
        <f ca="1">IF(OR(B208=換券單檔!$D$3,L208="無",M208&lt;&gt;"",K208="高資產",IFERROR(MATCH(B208,換券單檔!K:K,0),"N")&lt;&gt;"N"),FALSE,IF($V$1="All",TRUE,IF(K208=$V$1,TRUE,FALSE)))</f>
        <v>1</v>
      </c>
      <c r="W208" s="136">
        <f ca="1">VLOOKUP(A208,'銀行-TSS'!A:AO,41,FALSE)</f>
        <v>107.67</v>
      </c>
      <c r="X208" s="136">
        <f ca="1">VLOOKUP(A208,'銀行-TSS'!A:AP,42,FALSE)</f>
        <v>2.2052</v>
      </c>
      <c r="Y208" s="1220">
        <f t="shared" ca="1" si="140"/>
        <v>2018.1880140000001</v>
      </c>
      <c r="Z208" s="1220">
        <f t="shared" ca="1" si="141"/>
        <v>0</v>
      </c>
      <c r="AA208" s="136">
        <f ca="1">IF(Z208&lt;=0,0,RANK(Z208,Z:Z)+COUNTIF($Z$3:$Z208,Z208)-1)</f>
        <v>0</v>
      </c>
      <c r="AB208" s="1211">
        <f t="shared" ca="1" si="142"/>
        <v>-27877.951986</v>
      </c>
      <c r="AC208" s="136">
        <f ca="1">IF(AB208&lt;=0,0,RANK(AB208,AB:AB)+COUNTIF($AB$3:$AB208,AB208)-1)</f>
        <v>0</v>
      </c>
      <c r="AD208" s="1123">
        <f t="shared" ca="1" si="143"/>
        <v>99999</v>
      </c>
      <c r="AE208" s="1123">
        <f ca="1">IF(AD208=99999,0,RANK(AD208,AD:AD,1)+COUNTIF($AD$3:$AD208,AD208)-1)</f>
        <v>0</v>
      </c>
      <c r="AF208" s="86" t="b">
        <f ca="1">IF(OR(M208&lt;&gt;"",L208="無",K208="高資產",IFERROR(MATCH(B208,換券單檔!K:K,0),"N")&lt;&gt;"N"),FALSE,TRUE)</f>
        <v>1</v>
      </c>
      <c r="AI208" s="1212">
        <f t="shared" ca="1" si="144"/>
        <v>85000</v>
      </c>
      <c r="AJ208" s="1213">
        <f t="shared" ca="1" si="145"/>
        <v>7225.0000000000009</v>
      </c>
      <c r="AK208" s="1587">
        <f t="shared" ca="1" si="146"/>
        <v>0</v>
      </c>
      <c r="AN208" s="1212">
        <f t="shared" ca="1" si="147"/>
        <v>48000</v>
      </c>
      <c r="AO208" s="1213">
        <f t="shared" ca="1" si="148"/>
        <v>4080.0000000000005</v>
      </c>
      <c r="AP208" s="1587">
        <f t="shared" ca="1" si="149"/>
        <v>0</v>
      </c>
      <c r="AS208" s="1212">
        <f t="shared" ca="1" si="150"/>
        <v>83000</v>
      </c>
      <c r="AT208" s="1213">
        <f t="shared" ca="1" si="151"/>
        <v>7055.0000000000009</v>
      </c>
      <c r="AU208" s="1587">
        <f t="shared" ca="1" si="152"/>
        <v>0</v>
      </c>
      <c r="AX208" s="1212">
        <f t="shared" ca="1" si="153"/>
        <v>76000</v>
      </c>
      <c r="AY208" s="1213">
        <f t="shared" ca="1" si="154"/>
        <v>6460.0000000000009</v>
      </c>
      <c r="AZ208" s="1587">
        <f t="shared" ca="1" si="155"/>
        <v>0</v>
      </c>
      <c r="BC208" s="1212">
        <f t="shared" ca="1" si="156"/>
        <v>0</v>
      </c>
      <c r="BD208" s="1213">
        <f t="shared" ca="1" si="157"/>
        <v>0</v>
      </c>
      <c r="BE208" s="1587">
        <f t="shared" ca="1" si="158"/>
        <v>0</v>
      </c>
      <c r="BH208" s="1212">
        <f t="shared" ca="1" si="159"/>
        <v>0</v>
      </c>
      <c r="BI208" s="1213">
        <f t="shared" ca="1" si="160"/>
        <v>0</v>
      </c>
      <c r="BJ208" s="1587">
        <f t="shared" ca="1" si="161"/>
        <v>0</v>
      </c>
      <c r="BM208" s="1212">
        <f t="shared" ca="1" si="162"/>
        <v>0</v>
      </c>
      <c r="BN208" s="1213">
        <f t="shared" ca="1" si="163"/>
        <v>0</v>
      </c>
      <c r="BO208" s="1587">
        <f t="shared" ca="1" si="164"/>
        <v>0</v>
      </c>
      <c r="BR208" s="1212">
        <f t="shared" ca="1" si="165"/>
        <v>0</v>
      </c>
      <c r="BS208" s="1213">
        <f t="shared" ca="1" si="166"/>
        <v>0</v>
      </c>
      <c r="BT208" s="1587">
        <f t="shared" ca="1" si="167"/>
        <v>0</v>
      </c>
      <c r="BW208" s="1212">
        <f t="shared" ca="1" si="168"/>
        <v>0</v>
      </c>
      <c r="BX208" s="1213">
        <f t="shared" ca="1" si="169"/>
        <v>0</v>
      </c>
      <c r="BY208" s="1587">
        <f t="shared" ca="1" si="170"/>
        <v>0</v>
      </c>
      <c r="CB208" s="1212">
        <f t="shared" ca="1" si="171"/>
        <v>0</v>
      </c>
      <c r="CC208" s="1213">
        <f t="shared" ca="1" si="172"/>
        <v>0</v>
      </c>
      <c r="CD208" s="1587">
        <f t="shared" ca="1" si="173"/>
        <v>0</v>
      </c>
      <c r="CG208" s="1212">
        <f t="shared" ca="1" si="174"/>
        <v>0</v>
      </c>
      <c r="CH208" s="1213">
        <f t="shared" ca="1" si="175"/>
        <v>0</v>
      </c>
      <c r="CI208" s="1587">
        <f t="shared" ca="1" si="176"/>
        <v>0</v>
      </c>
      <c r="CL208" s="1212">
        <f t="shared" ca="1" si="177"/>
        <v>0</v>
      </c>
      <c r="CM208" s="1213">
        <f t="shared" ca="1" si="178"/>
        <v>0</v>
      </c>
      <c r="CN208" s="1587">
        <f t="shared" ca="1" si="179"/>
        <v>0</v>
      </c>
    </row>
    <row r="209" spans="1:92">
      <c r="A209" s="141" t="str">
        <f>'銀行-TSS'!A209</f>
        <v>XS2114850949</v>
      </c>
      <c r="B209" s="151" t="str">
        <f ca="1">VLOOKUP(A209,'銀行-TSS'!A:B,2,FALSE)</f>
        <v>XG980</v>
      </c>
      <c r="C209" s="151" t="str">
        <f ca="1">VLOOKUP(B209,bond!B:C,2,FALSE)</f>
        <v>卡達國家銀行金融有限公司美元配息債券 2.75% 2027/2/12</v>
      </c>
      <c r="D209" s="95" t="str">
        <f>VLOOKUP(A209,'銀行-TSS'!A:C,3,FALSE)</f>
        <v>USD</v>
      </c>
      <c r="E209" s="90">
        <f ca="1">VLOOKUP(A209,'銀行-TSS'!A:G,7,FALSE)</f>
        <v>2.61</v>
      </c>
      <c r="F209" s="202">
        <f ca="1">VLOOKUP(A209,'銀行-TSS'!A:H,8,FALSE)</f>
        <v>2.75E-2</v>
      </c>
      <c r="G209" s="96">
        <f ca="1">VLOOKUP(A209,'銀行-TSS'!A:K,11,FALSE)</f>
        <v>96.63</v>
      </c>
      <c r="H209" s="1209">
        <f ca="1">VLOOKUP(A209,'銀行-TSS'!A:M,13,FALSE)</f>
        <v>4.58E-2</v>
      </c>
      <c r="I209" s="1213">
        <f ca="1">VLOOKUP(A209,'銀行-TSS'!A:N,14,FALSE)</f>
        <v>200000</v>
      </c>
      <c r="J209" s="1213">
        <f ca="1">VLOOKUP(A209,'銀行-TSS'!A:O,15,FALSE)</f>
        <v>1000</v>
      </c>
      <c r="K209" s="136" t="str">
        <f ca="1">VLOOKUP(A209,'銀行-TSS'!A:V,22,FALSE)</f>
        <v>(NPI)非專投</v>
      </c>
      <c r="L209" s="136" t="str">
        <f ca="1">VLOOKUP(A209,'銀行-TSS'!A:AK,37,FALSE)</f>
        <v>有</v>
      </c>
      <c r="M209" s="136" t="str">
        <f ca="1">VLOOKUP(A209,'銀行-TSS'!A:AN,40,FALSE)</f>
        <v/>
      </c>
      <c r="N209" s="136">
        <f t="shared" ca="1" si="135"/>
        <v>966.3</v>
      </c>
      <c r="O209" s="1213">
        <f t="shared" ca="1" si="136"/>
        <v>193260</v>
      </c>
      <c r="P209" s="1213">
        <f ca="1">IF(AND($O$1&gt;=O209,換券單檔!$D$13=D209),I209+INT(($O$1-O209)/N209)*J209,0)</f>
        <v>0</v>
      </c>
      <c r="Q209" s="1213">
        <f t="shared" ca="1" si="137"/>
        <v>0</v>
      </c>
      <c r="R209" s="1213">
        <f t="shared" ca="1" si="138"/>
        <v>0</v>
      </c>
      <c r="S209" s="1213">
        <f t="shared" ca="1" si="139"/>
        <v>0</v>
      </c>
      <c r="T209" s="136">
        <f ca="1">IF(OR(R209=0,A209=0),0,IF(AND(V209=TRUE,換券單檔!$D$13=D209),E209,0))</f>
        <v>0</v>
      </c>
      <c r="U209" s="861">
        <f ca="1">IF(OR(R209=0,A209=0),0,IF(AND(V209=TRUE,換券單檔!$D$13=D209),H209,0))</f>
        <v>0</v>
      </c>
      <c r="V209" s="136" t="b">
        <f ca="1">IF(OR(B209=換券單檔!$D$3,L209="無",M209&lt;&gt;"",K209="高資產",IFERROR(MATCH(B209,換券單檔!K:K,0),"N")&lt;&gt;"N"),FALSE,IF($V$1="All",TRUE,IF(K209=$V$1,TRUE,FALSE)))</f>
        <v>1</v>
      </c>
      <c r="W209" s="136">
        <f ca="1">VLOOKUP(A209,'銀行-TSS'!A:AO,41,FALSE)</f>
        <v>94.550000000000011</v>
      </c>
      <c r="X209" s="136">
        <f ca="1">VLOOKUP(A209,'銀行-TSS'!A:AP,42,FALSE)</f>
        <v>2.4441000000000002</v>
      </c>
      <c r="Y209" s="1220">
        <f t="shared" ca="1" si="140"/>
        <v>0</v>
      </c>
      <c r="Z209" s="1220">
        <f t="shared" ca="1" si="141"/>
        <v>0</v>
      </c>
      <c r="AA209" s="136">
        <f ca="1">IF(Z209&lt;=0,0,RANK(Z209,Z:Z)+COUNTIF($Z$3:$Z209,Z209)-1)</f>
        <v>0</v>
      </c>
      <c r="AB209" s="1211">
        <f t="shared" ca="1" si="142"/>
        <v>-114896.14</v>
      </c>
      <c r="AC209" s="136">
        <f ca="1">IF(AB209&lt;=0,0,RANK(AB209,AB:AB)+COUNTIF($AB$3:$AB209,AB209)-1)</f>
        <v>0</v>
      </c>
      <c r="AD209" s="1123">
        <f t="shared" ca="1" si="143"/>
        <v>99999</v>
      </c>
      <c r="AE209" s="1123">
        <f ca="1">IF(AD209=99999,0,RANK(AD209,AD:AD,1)+COUNTIF($AD$3:$AD209,AD209)-1)</f>
        <v>0</v>
      </c>
      <c r="AF209" s="86" t="b">
        <f ca="1">IF(OR(M209&lt;&gt;"",L209="無",K209="高資產",IFERROR(MATCH(B209,換券單檔!K:K,0),"N")&lt;&gt;"N"),FALSE,TRUE)</f>
        <v>1</v>
      </c>
      <c r="AI209" s="1212">
        <f t="shared" ca="1" si="144"/>
        <v>0</v>
      </c>
      <c r="AJ209" s="1213">
        <f t="shared" ca="1" si="145"/>
        <v>0</v>
      </c>
      <c r="AK209" s="1587">
        <f t="shared" ca="1" si="146"/>
        <v>0</v>
      </c>
      <c r="AN209" s="1212">
        <f t="shared" ca="1" si="147"/>
        <v>0</v>
      </c>
      <c r="AO209" s="1213">
        <f t="shared" ca="1" si="148"/>
        <v>0</v>
      </c>
      <c r="AP209" s="1587">
        <f t="shared" ca="1" si="149"/>
        <v>0</v>
      </c>
      <c r="AS209" s="1212">
        <f t="shared" ca="1" si="150"/>
        <v>0</v>
      </c>
      <c r="AT209" s="1213">
        <f t="shared" ca="1" si="151"/>
        <v>0</v>
      </c>
      <c r="AU209" s="1587">
        <f t="shared" ca="1" si="152"/>
        <v>0</v>
      </c>
      <c r="AX209" s="1212">
        <f t="shared" ca="1" si="153"/>
        <v>0</v>
      </c>
      <c r="AY209" s="1213">
        <f t="shared" ca="1" si="154"/>
        <v>0</v>
      </c>
      <c r="AZ209" s="1587">
        <f t="shared" ca="1" si="155"/>
        <v>0</v>
      </c>
      <c r="BC209" s="1212">
        <f t="shared" ca="1" si="156"/>
        <v>0</v>
      </c>
      <c r="BD209" s="1213">
        <f t="shared" ca="1" si="157"/>
        <v>0</v>
      </c>
      <c r="BE209" s="1587">
        <f t="shared" ca="1" si="158"/>
        <v>0</v>
      </c>
      <c r="BH209" s="1212">
        <f t="shared" ca="1" si="159"/>
        <v>0</v>
      </c>
      <c r="BI209" s="1213">
        <f t="shared" ca="1" si="160"/>
        <v>0</v>
      </c>
      <c r="BJ209" s="1587">
        <f t="shared" ca="1" si="161"/>
        <v>0</v>
      </c>
      <c r="BM209" s="1212">
        <f t="shared" ca="1" si="162"/>
        <v>0</v>
      </c>
      <c r="BN209" s="1213">
        <f t="shared" ca="1" si="163"/>
        <v>0</v>
      </c>
      <c r="BO209" s="1587">
        <f t="shared" ca="1" si="164"/>
        <v>0</v>
      </c>
      <c r="BR209" s="1212">
        <f t="shared" ca="1" si="165"/>
        <v>0</v>
      </c>
      <c r="BS209" s="1213">
        <f t="shared" ca="1" si="166"/>
        <v>0</v>
      </c>
      <c r="BT209" s="1587">
        <f t="shared" ca="1" si="167"/>
        <v>0</v>
      </c>
      <c r="BW209" s="1212">
        <f t="shared" ca="1" si="168"/>
        <v>0</v>
      </c>
      <c r="BX209" s="1213">
        <f t="shared" ca="1" si="169"/>
        <v>0</v>
      </c>
      <c r="BY209" s="1587">
        <f t="shared" ca="1" si="170"/>
        <v>0</v>
      </c>
      <c r="CB209" s="1212">
        <f t="shared" ca="1" si="171"/>
        <v>0</v>
      </c>
      <c r="CC209" s="1213">
        <f t="shared" ca="1" si="172"/>
        <v>0</v>
      </c>
      <c r="CD209" s="1587">
        <f t="shared" ca="1" si="173"/>
        <v>0</v>
      </c>
      <c r="CG209" s="1212">
        <f t="shared" ca="1" si="174"/>
        <v>0</v>
      </c>
      <c r="CH209" s="1213">
        <f t="shared" ca="1" si="175"/>
        <v>0</v>
      </c>
      <c r="CI209" s="1587">
        <f t="shared" ca="1" si="176"/>
        <v>0</v>
      </c>
      <c r="CL209" s="1212">
        <f t="shared" ca="1" si="177"/>
        <v>0</v>
      </c>
      <c r="CM209" s="1213">
        <f t="shared" ca="1" si="178"/>
        <v>0</v>
      </c>
      <c r="CN209" s="1587">
        <f t="shared" ca="1" si="179"/>
        <v>0</v>
      </c>
    </row>
    <row r="210" spans="1:92">
      <c r="A210" s="141" t="str">
        <f>'銀行-TSS'!A210</f>
        <v>US83368TBM99</v>
      </c>
      <c r="B210" s="151" t="str">
        <f ca="1">VLOOKUP(A210,'銀行-TSS'!A:B,2,FALSE)</f>
        <v>XG990</v>
      </c>
      <c r="C210" s="151" t="str">
        <f ca="1">VLOOKUP(B210,bond!B:C,2,FALSE)</f>
        <v>法國興業銀行美元配息債券 4.677% 2027/6/15</v>
      </c>
      <c r="D210" s="95" t="str">
        <f>VLOOKUP(A210,'銀行-TSS'!A:C,3,FALSE)</f>
        <v>USD</v>
      </c>
      <c r="E210" s="90">
        <f ca="1">VLOOKUP(A210,'銀行-TSS'!A:G,7,FALSE)</f>
        <v>2.95</v>
      </c>
      <c r="F210" s="202">
        <f ca="1">VLOOKUP(A210,'銀行-TSS'!A:H,8,FALSE)</f>
        <v>4.6769999999999999E-2</v>
      </c>
      <c r="G210" s="96">
        <f ca="1">VLOOKUP(A210,'銀行-TSS'!A:K,11,FALSE)</f>
        <v>100.59</v>
      </c>
      <c r="H210" s="1209">
        <f ca="1">VLOOKUP(A210,'銀行-TSS'!A:M,13,FALSE)</f>
        <v>4.5400000000000003E-2</v>
      </c>
      <c r="I210" s="1213">
        <f ca="1">VLOOKUP(A210,'銀行-TSS'!A:N,14,FALSE)</f>
        <v>200000</v>
      </c>
      <c r="J210" s="1213">
        <f ca="1">VLOOKUP(A210,'銀行-TSS'!A:O,15,FALSE)</f>
        <v>1000</v>
      </c>
      <c r="K210" s="136" t="str">
        <f ca="1">VLOOKUP(A210,'銀行-TSS'!A:V,22,FALSE)</f>
        <v>(PI)專投</v>
      </c>
      <c r="L210" s="136" t="str">
        <f ca="1">VLOOKUP(A210,'銀行-TSS'!A:AK,37,FALSE)</f>
        <v>有</v>
      </c>
      <c r="M210" s="136" t="str">
        <f ca="1">VLOOKUP(A210,'銀行-TSS'!A:AN,40,FALSE)</f>
        <v/>
      </c>
      <c r="N210" s="136">
        <f t="shared" ca="1" si="135"/>
        <v>1005.9</v>
      </c>
      <c r="O210" s="1213">
        <f t="shared" ca="1" si="136"/>
        <v>201180</v>
      </c>
      <c r="P210" s="1213">
        <f ca="1">IF(AND($O$1&gt;=O210,換券單檔!$D$13=D210),I210+INT(($O$1-O210)/N210)*J210,0)</f>
        <v>0</v>
      </c>
      <c r="Q210" s="1213">
        <f t="shared" ca="1" si="137"/>
        <v>0</v>
      </c>
      <c r="R210" s="1213">
        <f t="shared" ca="1" si="138"/>
        <v>0</v>
      </c>
      <c r="S210" s="1213">
        <f t="shared" ca="1" si="139"/>
        <v>0</v>
      </c>
      <c r="T210" s="136">
        <f ca="1">IF(OR(R210=0,A210=0),0,IF(AND(V210=TRUE,換券單檔!$D$13=D210),E210,0))</f>
        <v>0</v>
      </c>
      <c r="U210" s="861">
        <f ca="1">IF(OR(R210=0,A210=0),0,IF(AND(V210=TRUE,換券單檔!$D$13=D210),H210,0))</f>
        <v>0</v>
      </c>
      <c r="V210" s="136" t="b">
        <f ca="1">IF(OR(B210=換券單檔!$D$3,L210="無",M210&lt;&gt;"",K210="高資產",IFERROR(MATCH(B210,換券單檔!K:K,0),"N")&lt;&gt;"N"),FALSE,IF($V$1="All",TRUE,IF(K210=$V$1,TRUE,FALSE)))</f>
        <v>1</v>
      </c>
      <c r="W210" s="136">
        <f ca="1">VLOOKUP(A210,'銀行-TSS'!A:AO,41,FALSE)</f>
        <v>99.17</v>
      </c>
      <c r="X210" s="136">
        <f ca="1">VLOOKUP(A210,'銀行-TSS'!A:AP,42,FALSE)</f>
        <v>2.7187999999999999</v>
      </c>
      <c r="Y210" s="1220">
        <f t="shared" ca="1" si="140"/>
        <v>0</v>
      </c>
      <c r="Z210" s="1220">
        <f t="shared" ca="1" si="141"/>
        <v>0</v>
      </c>
      <c r="AA210" s="136">
        <f ca="1">IF(Z210&lt;=0,0,RANK(Z210,Z:Z)+COUNTIF($Z$3:$Z210,Z210)-1)</f>
        <v>0</v>
      </c>
      <c r="AB210" s="1211">
        <f t="shared" ca="1" si="142"/>
        <v>-114896.14</v>
      </c>
      <c r="AC210" s="136">
        <f ca="1">IF(AB210&lt;=0,0,RANK(AB210,AB:AB)+COUNTIF($AB$3:$AB210,AB210)-1)</f>
        <v>0</v>
      </c>
      <c r="AD210" s="1123">
        <f t="shared" ca="1" si="143"/>
        <v>99999</v>
      </c>
      <c r="AE210" s="1123">
        <f ca="1">IF(AD210=99999,0,RANK(AD210,AD:AD,1)+COUNTIF($AD$3:$AD210,AD210)-1)</f>
        <v>0</v>
      </c>
      <c r="AF210" s="86" t="b">
        <f ca="1">IF(OR(M210&lt;&gt;"",L210="無",K210="高資產",IFERROR(MATCH(B210,換券單檔!K:K,0),"N")&lt;&gt;"N"),FALSE,TRUE)</f>
        <v>1</v>
      </c>
      <c r="AI210" s="1212">
        <f t="shared" ca="1" si="144"/>
        <v>0</v>
      </c>
      <c r="AJ210" s="1213">
        <f t="shared" ca="1" si="145"/>
        <v>0</v>
      </c>
      <c r="AK210" s="1587">
        <f t="shared" ca="1" si="146"/>
        <v>0</v>
      </c>
      <c r="AN210" s="1212">
        <f t="shared" ca="1" si="147"/>
        <v>0</v>
      </c>
      <c r="AO210" s="1213">
        <f t="shared" ca="1" si="148"/>
        <v>0</v>
      </c>
      <c r="AP210" s="1587">
        <f t="shared" ca="1" si="149"/>
        <v>0</v>
      </c>
      <c r="AS210" s="1212">
        <f t="shared" ca="1" si="150"/>
        <v>0</v>
      </c>
      <c r="AT210" s="1213">
        <f t="shared" ca="1" si="151"/>
        <v>0</v>
      </c>
      <c r="AU210" s="1587">
        <f t="shared" ca="1" si="152"/>
        <v>0</v>
      </c>
      <c r="AX210" s="1212">
        <f t="shared" ca="1" si="153"/>
        <v>0</v>
      </c>
      <c r="AY210" s="1213">
        <f t="shared" ca="1" si="154"/>
        <v>0</v>
      </c>
      <c r="AZ210" s="1587">
        <f t="shared" ca="1" si="155"/>
        <v>0</v>
      </c>
      <c r="BC210" s="1212">
        <f t="shared" ca="1" si="156"/>
        <v>0</v>
      </c>
      <c r="BD210" s="1213">
        <f t="shared" ca="1" si="157"/>
        <v>0</v>
      </c>
      <c r="BE210" s="1587">
        <f t="shared" ca="1" si="158"/>
        <v>0</v>
      </c>
      <c r="BH210" s="1212">
        <f t="shared" ca="1" si="159"/>
        <v>0</v>
      </c>
      <c r="BI210" s="1213">
        <f t="shared" ca="1" si="160"/>
        <v>0</v>
      </c>
      <c r="BJ210" s="1587">
        <f t="shared" ca="1" si="161"/>
        <v>0</v>
      </c>
      <c r="BM210" s="1212">
        <f t="shared" ca="1" si="162"/>
        <v>0</v>
      </c>
      <c r="BN210" s="1213">
        <f t="shared" ca="1" si="163"/>
        <v>0</v>
      </c>
      <c r="BO210" s="1587">
        <f t="shared" ca="1" si="164"/>
        <v>0</v>
      </c>
      <c r="BR210" s="1212">
        <f t="shared" ca="1" si="165"/>
        <v>0</v>
      </c>
      <c r="BS210" s="1213">
        <f t="shared" ca="1" si="166"/>
        <v>0</v>
      </c>
      <c r="BT210" s="1587">
        <f t="shared" ca="1" si="167"/>
        <v>0</v>
      </c>
      <c r="BW210" s="1212">
        <f t="shared" ca="1" si="168"/>
        <v>0</v>
      </c>
      <c r="BX210" s="1213">
        <f t="shared" ca="1" si="169"/>
        <v>0</v>
      </c>
      <c r="BY210" s="1587">
        <f t="shared" ca="1" si="170"/>
        <v>0</v>
      </c>
      <c r="CB210" s="1212">
        <f t="shared" ca="1" si="171"/>
        <v>0</v>
      </c>
      <c r="CC210" s="1213">
        <f t="shared" ca="1" si="172"/>
        <v>0</v>
      </c>
      <c r="CD210" s="1587">
        <f t="shared" ca="1" si="173"/>
        <v>0</v>
      </c>
      <c r="CG210" s="1212">
        <f t="shared" ca="1" si="174"/>
        <v>0</v>
      </c>
      <c r="CH210" s="1213">
        <f t="shared" ca="1" si="175"/>
        <v>0</v>
      </c>
      <c r="CI210" s="1587">
        <f t="shared" ca="1" si="176"/>
        <v>0</v>
      </c>
      <c r="CL210" s="1212">
        <f t="shared" ca="1" si="177"/>
        <v>0</v>
      </c>
      <c r="CM210" s="1213">
        <f t="shared" ca="1" si="178"/>
        <v>0</v>
      </c>
      <c r="CN210" s="1587">
        <f t="shared" ca="1" si="179"/>
        <v>0</v>
      </c>
    </row>
    <row r="211" spans="1:92">
      <c r="A211" s="141" t="str">
        <f>'銀行-TSS'!A211</f>
        <v>US037833EN61</v>
      </c>
      <c r="B211" s="151" t="str">
        <f ca="1">VLOOKUP(A211,'銀行-TSS'!A:B,2,FALSE)</f>
        <v>XH010</v>
      </c>
      <c r="C211" s="151" t="str">
        <f ca="1">VLOOKUP(B211,bond!B:C,2,FALSE)</f>
        <v>蘋果公司美元配息債券 3.25% 2029/8/8</v>
      </c>
      <c r="D211" s="95" t="str">
        <f>VLOOKUP(A211,'銀行-TSS'!A:C,3,FALSE)</f>
        <v>USD</v>
      </c>
      <c r="E211" s="90">
        <f ca="1">VLOOKUP(A211,'銀行-TSS'!A:G,7,FALSE)</f>
        <v>5.0999999999999996</v>
      </c>
      <c r="F211" s="202">
        <f ca="1">VLOOKUP(A211,'銀行-TSS'!A:H,8,FALSE)</f>
        <v>3.2500000000000001E-2</v>
      </c>
      <c r="G211" s="96">
        <f ca="1">VLOOKUP(A211,'銀行-TSS'!A:K,11,FALSE)</f>
        <v>96.93</v>
      </c>
      <c r="H211" s="1209">
        <f ca="1">VLOOKUP(A211,'銀行-TSS'!A:M,13,FALSE)</f>
        <v>4.2099999999999999E-2</v>
      </c>
      <c r="I211" s="1213">
        <f ca="1">VLOOKUP(A211,'銀行-TSS'!A:N,14,FALSE)</f>
        <v>10000</v>
      </c>
      <c r="J211" s="1213">
        <f ca="1">VLOOKUP(A211,'銀行-TSS'!A:O,15,FALSE)</f>
        <v>1000</v>
      </c>
      <c r="K211" s="136" t="str">
        <f ca="1">VLOOKUP(A211,'銀行-TSS'!A:V,22,FALSE)</f>
        <v>(NPI)非專投</v>
      </c>
      <c r="L211" s="136" t="str">
        <f ca="1">VLOOKUP(A211,'銀行-TSS'!A:AK,37,FALSE)</f>
        <v>有</v>
      </c>
      <c r="M211" s="136" t="str">
        <f ca="1">VLOOKUP(A211,'銀行-TSS'!A:AN,40,FALSE)</f>
        <v/>
      </c>
      <c r="N211" s="136">
        <f t="shared" ca="1" si="135"/>
        <v>969.3</v>
      </c>
      <c r="O211" s="1213">
        <f t="shared" ca="1" si="136"/>
        <v>9693.0000000000018</v>
      </c>
      <c r="P211" s="1213">
        <f ca="1">IF(AND($O$1&gt;=O211,換券單檔!$D$13=D211),I211+INT(($O$1-O211)/N211)*J211,0)</f>
        <v>99000</v>
      </c>
      <c r="Q211" s="1213">
        <f t="shared" ca="1" si="137"/>
        <v>3217.5</v>
      </c>
      <c r="R211" s="1213">
        <f t="shared" ca="1" si="138"/>
        <v>99000</v>
      </c>
      <c r="S211" s="1213">
        <f t="shared" ca="1" si="139"/>
        <v>3217.5</v>
      </c>
      <c r="T211" s="136">
        <f ca="1">IF(OR(R211=0,A211=0),0,IF(AND(V211=TRUE,換券單檔!$D$13=D211),E211,0))</f>
        <v>5.0999999999999996</v>
      </c>
      <c r="U211" s="861">
        <f ca="1">IF(OR(R211=0,A211=0),0,IF(AND(V211=TRUE,換券單檔!$D$13=D211),H211,0))</f>
        <v>4.2099999999999999E-2</v>
      </c>
      <c r="V211" s="136" t="b">
        <f ca="1">IF(OR(B211=換券單檔!$D$3,L211="無",M211&lt;&gt;"",K211="高資產",IFERROR(MATCH(B211,換券單檔!K:K,0),"N")&lt;&gt;"N"),FALSE,IF($V$1="All",TRUE,IF(K211=$V$1,TRUE,FALSE)))</f>
        <v>1</v>
      </c>
      <c r="W211" s="136">
        <f ca="1">VLOOKUP(A211,'銀行-TSS'!A:AO,41,FALSE)</f>
        <v>94.13000000000001</v>
      </c>
      <c r="X211" s="136">
        <f ca="1">VLOOKUP(A211,'銀行-TSS'!A:AP,42,FALSE)</f>
        <v>4.5629</v>
      </c>
      <c r="Y211" s="1220">
        <f t="shared" ca="1" si="140"/>
        <v>4252.1071923000009</v>
      </c>
      <c r="Z211" s="1220">
        <f t="shared" ca="1" si="141"/>
        <v>0</v>
      </c>
      <c r="AA211" s="136">
        <f ca="1">IF(Z211&lt;=0,0,RANK(Z211,Z:Z)+COUNTIF($Z$3:$Z211,Z211)-1)</f>
        <v>0</v>
      </c>
      <c r="AB211" s="1211">
        <f t="shared" ca="1" si="142"/>
        <v>-11644.032807699998</v>
      </c>
      <c r="AC211" s="136">
        <f ca="1">IF(AB211&lt;=0,0,RANK(AB211,AB:AB)+COUNTIF($AB$3:$AB211,AB211)-1)</f>
        <v>0</v>
      </c>
      <c r="AD211" s="1123">
        <f t="shared" ca="1" si="143"/>
        <v>99999</v>
      </c>
      <c r="AE211" s="1123">
        <f ca="1">IF(AD211=99999,0,RANK(AD211,AD:AD,1)+COUNTIF($AD$3:$AD211,AD211)-1)</f>
        <v>0</v>
      </c>
      <c r="AF211" s="86" t="b">
        <f ca="1">IF(OR(M211&lt;&gt;"",L211="無",K211="高資產",IFERROR(MATCH(B211,換券單檔!K:K,0),"N")&lt;&gt;"N"),FALSE,TRUE)</f>
        <v>1</v>
      </c>
      <c r="AI211" s="1212">
        <f t="shared" ca="1" si="144"/>
        <v>99000</v>
      </c>
      <c r="AJ211" s="1213">
        <f t="shared" ca="1" si="145"/>
        <v>3217.5</v>
      </c>
      <c r="AK211" s="1587">
        <f t="shared" ca="1" si="146"/>
        <v>0</v>
      </c>
      <c r="AN211" s="1212">
        <f t="shared" ca="1" si="147"/>
        <v>57000</v>
      </c>
      <c r="AO211" s="1213">
        <f t="shared" ca="1" si="148"/>
        <v>1852.5</v>
      </c>
      <c r="AP211" s="1587">
        <f t="shared" ca="1" si="149"/>
        <v>0</v>
      </c>
      <c r="AS211" s="1212">
        <f t="shared" ca="1" si="150"/>
        <v>97000</v>
      </c>
      <c r="AT211" s="1213">
        <f t="shared" ca="1" si="151"/>
        <v>3152.5</v>
      </c>
      <c r="AU211" s="1587">
        <f t="shared" ca="1" si="152"/>
        <v>0</v>
      </c>
      <c r="AX211" s="1212">
        <f t="shared" ca="1" si="153"/>
        <v>89000</v>
      </c>
      <c r="AY211" s="1213">
        <f t="shared" ca="1" si="154"/>
        <v>2892.5</v>
      </c>
      <c r="AZ211" s="1587">
        <f t="shared" ca="1" si="155"/>
        <v>0</v>
      </c>
      <c r="BC211" s="1212">
        <f t="shared" ca="1" si="156"/>
        <v>0</v>
      </c>
      <c r="BD211" s="1213">
        <f t="shared" ca="1" si="157"/>
        <v>0</v>
      </c>
      <c r="BE211" s="1587">
        <f t="shared" ca="1" si="158"/>
        <v>0</v>
      </c>
      <c r="BH211" s="1212">
        <f t="shared" ca="1" si="159"/>
        <v>0</v>
      </c>
      <c r="BI211" s="1213">
        <f t="shared" ca="1" si="160"/>
        <v>0</v>
      </c>
      <c r="BJ211" s="1587">
        <f t="shared" ca="1" si="161"/>
        <v>0</v>
      </c>
      <c r="BM211" s="1212">
        <f t="shared" ca="1" si="162"/>
        <v>0</v>
      </c>
      <c r="BN211" s="1213">
        <f t="shared" ca="1" si="163"/>
        <v>0</v>
      </c>
      <c r="BO211" s="1587">
        <f t="shared" ca="1" si="164"/>
        <v>0</v>
      </c>
      <c r="BR211" s="1212">
        <f t="shared" ca="1" si="165"/>
        <v>0</v>
      </c>
      <c r="BS211" s="1213">
        <f t="shared" ca="1" si="166"/>
        <v>0</v>
      </c>
      <c r="BT211" s="1587">
        <f t="shared" ca="1" si="167"/>
        <v>0</v>
      </c>
      <c r="BW211" s="1212">
        <f t="shared" ca="1" si="168"/>
        <v>0</v>
      </c>
      <c r="BX211" s="1213">
        <f t="shared" ca="1" si="169"/>
        <v>0</v>
      </c>
      <c r="BY211" s="1587">
        <f t="shared" ca="1" si="170"/>
        <v>0</v>
      </c>
      <c r="CB211" s="1212">
        <f t="shared" ca="1" si="171"/>
        <v>0</v>
      </c>
      <c r="CC211" s="1213">
        <f t="shared" ca="1" si="172"/>
        <v>0</v>
      </c>
      <c r="CD211" s="1587">
        <f t="shared" ca="1" si="173"/>
        <v>0</v>
      </c>
      <c r="CG211" s="1212">
        <f t="shared" ca="1" si="174"/>
        <v>0</v>
      </c>
      <c r="CH211" s="1213">
        <f t="shared" ca="1" si="175"/>
        <v>0</v>
      </c>
      <c r="CI211" s="1587">
        <f t="shared" ca="1" si="176"/>
        <v>0</v>
      </c>
      <c r="CL211" s="1212">
        <f t="shared" ca="1" si="177"/>
        <v>0</v>
      </c>
      <c r="CM211" s="1213">
        <f t="shared" ca="1" si="178"/>
        <v>0</v>
      </c>
      <c r="CN211" s="1587">
        <f t="shared" ca="1" si="179"/>
        <v>0</v>
      </c>
    </row>
    <row r="212" spans="1:92">
      <c r="A212" s="141" t="str">
        <f>'銀行-TSS'!A212</f>
        <v>US037833EP10</v>
      </c>
      <c r="B212" s="151" t="str">
        <f ca="1">VLOOKUP(A212,'銀行-TSS'!A:B,2,FALSE)</f>
        <v>XH020</v>
      </c>
      <c r="C212" s="151" t="str">
        <f ca="1">VLOOKUP(B212,bond!B:C,2,FALSE)</f>
        <v>蘋果公司美元配息債券 3.35% 2032/8/8</v>
      </c>
      <c r="D212" s="95" t="str">
        <f>VLOOKUP(A212,'銀行-TSS'!A:C,3,FALSE)</f>
        <v>USD</v>
      </c>
      <c r="E212" s="90">
        <f ca="1">VLOOKUP(A212,'銀行-TSS'!A:G,7,FALSE)</f>
        <v>8.1</v>
      </c>
      <c r="F212" s="202">
        <f ca="1">VLOOKUP(A212,'銀行-TSS'!A:H,8,FALSE)</f>
        <v>3.3500000000000002E-2</v>
      </c>
      <c r="G212" s="96">
        <f ca="1">VLOOKUP(A212,'銀行-TSS'!A:K,11,FALSE)</f>
        <v>94.58</v>
      </c>
      <c r="H212" s="1209">
        <f ca="1">VLOOKUP(A212,'銀行-TSS'!A:M,13,FALSE)</f>
        <v>4.3499999999999997E-2</v>
      </c>
      <c r="I212" s="1213">
        <f ca="1">VLOOKUP(A212,'銀行-TSS'!A:N,14,FALSE)</f>
        <v>10000</v>
      </c>
      <c r="J212" s="1213">
        <f ca="1">VLOOKUP(A212,'銀行-TSS'!A:O,15,FALSE)</f>
        <v>1000</v>
      </c>
      <c r="K212" s="136" t="str">
        <f ca="1">VLOOKUP(A212,'銀行-TSS'!A:V,22,FALSE)</f>
        <v>(NPI)非專投</v>
      </c>
      <c r="L212" s="136" t="str">
        <f ca="1">VLOOKUP(A212,'銀行-TSS'!A:AK,37,FALSE)</f>
        <v>有</v>
      </c>
      <c r="M212" s="136" t="str">
        <f ca="1">VLOOKUP(A212,'銀行-TSS'!A:AN,40,FALSE)</f>
        <v/>
      </c>
      <c r="N212" s="136">
        <f t="shared" ca="1" si="135"/>
        <v>945.8</v>
      </c>
      <c r="O212" s="1213">
        <f t="shared" ca="1" si="136"/>
        <v>9458</v>
      </c>
      <c r="P212" s="1213">
        <f ca="1">IF(AND($O$1&gt;=O212,換券單檔!$D$13=D212),I212+INT(($O$1-O212)/N212)*J212,0)</f>
        <v>102000</v>
      </c>
      <c r="Q212" s="1213">
        <f t="shared" ca="1" si="137"/>
        <v>3417</v>
      </c>
      <c r="R212" s="1213">
        <f t="shared" ca="1" si="138"/>
        <v>102000</v>
      </c>
      <c r="S212" s="1213">
        <f t="shared" ca="1" si="139"/>
        <v>3417</v>
      </c>
      <c r="T212" s="136">
        <f ca="1">IF(OR(R212=0,A212=0),0,IF(AND(V212=TRUE,換券單檔!$D$13=D212),E212,0))</f>
        <v>8.1</v>
      </c>
      <c r="U212" s="861">
        <f ca="1">IF(OR(R212=0,A212=0),0,IF(AND(V212=TRUE,換券單檔!$D$13=D212),H212,0))</f>
        <v>4.3499999999999997E-2</v>
      </c>
      <c r="V212" s="136" t="b">
        <f ca="1">IF(OR(B212=換券單檔!$D$3,L212="無",M212&lt;&gt;"",K212="高資產",IFERROR(MATCH(B212,換券單檔!K:K,0),"N")&lt;&gt;"N"),FALSE,IF($V$1="All",TRUE,IF(K212=$V$1,TRUE,FALSE)))</f>
        <v>1</v>
      </c>
      <c r="W212" s="136">
        <f ca="1">VLOOKUP(A212,'銀行-TSS'!A:AO,41,FALSE)</f>
        <v>91.24</v>
      </c>
      <c r="X212" s="136">
        <f ca="1">VLOOKUP(A212,'銀行-TSS'!A:AP,42,FALSE)</f>
        <v>6.8532999999999999</v>
      </c>
      <c r="Y212" s="1220">
        <f t="shared" ca="1" si="140"/>
        <v>6378.0099384000005</v>
      </c>
      <c r="Z212" s="1220">
        <f t="shared" ca="1" si="141"/>
        <v>0</v>
      </c>
      <c r="AA212" s="136">
        <f ca="1">IF(Z212&lt;=0,0,RANK(Z212,Z:Z)+COUNTIF($Z$3:$Z212,Z212)-1)</f>
        <v>0</v>
      </c>
      <c r="AB212" s="1211">
        <f t="shared" ca="1" si="142"/>
        <v>-8518.130061599999</v>
      </c>
      <c r="AC212" s="136">
        <f ca="1">IF(AB212&lt;=0,0,RANK(AB212,AB:AB)+COUNTIF($AB$3:$AB212,AB212)-1)</f>
        <v>0</v>
      </c>
      <c r="AD212" s="1123">
        <f t="shared" ca="1" si="143"/>
        <v>99999</v>
      </c>
      <c r="AE212" s="1123">
        <f ca="1">IF(AD212=99999,0,RANK(AD212,AD:AD,1)+COUNTIF($AD$3:$AD212,AD212)-1)</f>
        <v>0</v>
      </c>
      <c r="AF212" s="86" t="b">
        <f ca="1">IF(OR(M212&lt;&gt;"",L212="無",K212="高資產",IFERROR(MATCH(B212,換券單檔!K:K,0),"N")&lt;&gt;"N"),FALSE,TRUE)</f>
        <v>1</v>
      </c>
      <c r="AI212" s="1212">
        <f t="shared" ca="1" si="144"/>
        <v>102000</v>
      </c>
      <c r="AJ212" s="1213">
        <f t="shared" ca="1" si="145"/>
        <v>3417</v>
      </c>
      <c r="AK212" s="1587">
        <f t="shared" ca="1" si="146"/>
        <v>0</v>
      </c>
      <c r="AN212" s="1212">
        <f t="shared" ca="1" si="147"/>
        <v>58000</v>
      </c>
      <c r="AO212" s="1213">
        <f t="shared" ca="1" si="148"/>
        <v>1943.0000000000002</v>
      </c>
      <c r="AP212" s="1587">
        <f t="shared" ca="1" si="149"/>
        <v>0</v>
      </c>
      <c r="AS212" s="1212">
        <f t="shared" ca="1" si="150"/>
        <v>99000</v>
      </c>
      <c r="AT212" s="1213">
        <f t="shared" ca="1" si="151"/>
        <v>3316.5</v>
      </c>
      <c r="AU212" s="1587">
        <f t="shared" ca="1" si="152"/>
        <v>0</v>
      </c>
      <c r="AX212" s="1212">
        <f t="shared" ca="1" si="153"/>
        <v>91000</v>
      </c>
      <c r="AY212" s="1213">
        <f t="shared" ca="1" si="154"/>
        <v>3048.5</v>
      </c>
      <c r="AZ212" s="1587">
        <f t="shared" ca="1" si="155"/>
        <v>0</v>
      </c>
      <c r="BC212" s="1212">
        <f t="shared" ca="1" si="156"/>
        <v>0</v>
      </c>
      <c r="BD212" s="1213">
        <f t="shared" ca="1" si="157"/>
        <v>0</v>
      </c>
      <c r="BE212" s="1587">
        <f t="shared" ca="1" si="158"/>
        <v>0</v>
      </c>
      <c r="BH212" s="1212">
        <f t="shared" ca="1" si="159"/>
        <v>0</v>
      </c>
      <c r="BI212" s="1213">
        <f t="shared" ca="1" si="160"/>
        <v>0</v>
      </c>
      <c r="BJ212" s="1587">
        <f t="shared" ca="1" si="161"/>
        <v>0</v>
      </c>
      <c r="BM212" s="1212">
        <f t="shared" ca="1" si="162"/>
        <v>0</v>
      </c>
      <c r="BN212" s="1213">
        <f t="shared" ca="1" si="163"/>
        <v>0</v>
      </c>
      <c r="BO212" s="1587">
        <f t="shared" ca="1" si="164"/>
        <v>0</v>
      </c>
      <c r="BR212" s="1212">
        <f t="shared" ca="1" si="165"/>
        <v>0</v>
      </c>
      <c r="BS212" s="1213">
        <f t="shared" ca="1" si="166"/>
        <v>0</v>
      </c>
      <c r="BT212" s="1587">
        <f t="shared" ca="1" si="167"/>
        <v>0</v>
      </c>
      <c r="BW212" s="1212">
        <f t="shared" ca="1" si="168"/>
        <v>0</v>
      </c>
      <c r="BX212" s="1213">
        <f t="shared" ca="1" si="169"/>
        <v>0</v>
      </c>
      <c r="BY212" s="1587">
        <f t="shared" ca="1" si="170"/>
        <v>0</v>
      </c>
      <c r="CB212" s="1212">
        <f t="shared" ca="1" si="171"/>
        <v>0</v>
      </c>
      <c r="CC212" s="1213">
        <f t="shared" ca="1" si="172"/>
        <v>0</v>
      </c>
      <c r="CD212" s="1587">
        <f t="shared" ca="1" si="173"/>
        <v>0</v>
      </c>
      <c r="CG212" s="1212">
        <f t="shared" ca="1" si="174"/>
        <v>0</v>
      </c>
      <c r="CH212" s="1213">
        <f t="shared" ca="1" si="175"/>
        <v>0</v>
      </c>
      <c r="CI212" s="1587">
        <f t="shared" ca="1" si="176"/>
        <v>0</v>
      </c>
      <c r="CL212" s="1212">
        <f t="shared" ca="1" si="177"/>
        <v>0</v>
      </c>
      <c r="CM212" s="1213">
        <f t="shared" ca="1" si="178"/>
        <v>0</v>
      </c>
      <c r="CN212" s="1587">
        <f t="shared" ca="1" si="179"/>
        <v>0</v>
      </c>
    </row>
    <row r="213" spans="1:92">
      <c r="A213" s="141" t="str">
        <f>'銀行-TSS'!A213</f>
        <v>US30303M8H84</v>
      </c>
      <c r="B213" s="151" t="str">
        <f ca="1">VLOOKUP(A213,'銀行-TSS'!A:B,2,FALSE)</f>
        <v>XH030</v>
      </c>
      <c r="C213" s="151" t="str">
        <f ca="1">VLOOKUP(B213,bond!B:C,2,FALSE)</f>
        <v>META平台公司美元配息債券 3.85% 2032/8/15</v>
      </c>
      <c r="D213" s="95" t="str">
        <f>VLOOKUP(A213,'銀行-TSS'!A:C,3,FALSE)</f>
        <v>USD</v>
      </c>
      <c r="E213" s="90">
        <f ca="1">VLOOKUP(A213,'銀行-TSS'!A:G,7,FALSE)</f>
        <v>8.1199999999999992</v>
      </c>
      <c r="F213" s="202">
        <f ca="1">VLOOKUP(A213,'銀行-TSS'!A:H,8,FALSE)</f>
        <v>3.85E-2</v>
      </c>
      <c r="G213" s="96">
        <f ca="1">VLOOKUP(A213,'銀行-TSS'!A:K,11,FALSE)</f>
        <v>96.96</v>
      </c>
      <c r="H213" s="1209">
        <f ca="1">VLOOKUP(A213,'銀行-TSS'!A:M,13,FALSE)</f>
        <v>4.5199999999999997E-2</v>
      </c>
      <c r="I213" s="1213">
        <f ca="1">VLOOKUP(A213,'銀行-TSS'!A:N,14,FALSE)</f>
        <v>10000</v>
      </c>
      <c r="J213" s="1213">
        <f ca="1">VLOOKUP(A213,'銀行-TSS'!A:O,15,FALSE)</f>
        <v>1000</v>
      </c>
      <c r="K213" s="136" t="str">
        <f ca="1">VLOOKUP(A213,'銀行-TSS'!A:V,22,FALSE)</f>
        <v>(NPI)非專投</v>
      </c>
      <c r="L213" s="136" t="str">
        <f ca="1">VLOOKUP(A213,'銀行-TSS'!A:AK,37,FALSE)</f>
        <v>有</v>
      </c>
      <c r="M213" s="136" t="str">
        <f ca="1">VLOOKUP(A213,'銀行-TSS'!A:AN,40,FALSE)</f>
        <v/>
      </c>
      <c r="N213" s="136">
        <f t="shared" ca="1" si="135"/>
        <v>969.6</v>
      </c>
      <c r="O213" s="1213">
        <f t="shared" ca="1" si="136"/>
        <v>9695.9999999999982</v>
      </c>
      <c r="P213" s="1213">
        <f ca="1">IF(AND($O$1&gt;=O213,換券單檔!$D$13=D213),I213+INT(($O$1-O213)/N213)*J213,0)</f>
        <v>99000</v>
      </c>
      <c r="Q213" s="1213">
        <f t="shared" ca="1" si="137"/>
        <v>3811.5</v>
      </c>
      <c r="R213" s="1213">
        <f t="shared" ca="1" si="138"/>
        <v>99000</v>
      </c>
      <c r="S213" s="1213">
        <f t="shared" ca="1" si="139"/>
        <v>3811.5</v>
      </c>
      <c r="T213" s="136">
        <f ca="1">IF(OR(R213=0,A213=0),0,IF(AND(V213=TRUE,換券單檔!$D$13=D213),E213,0))</f>
        <v>8.1199999999999992</v>
      </c>
      <c r="U213" s="861">
        <f ca="1">IF(OR(R213=0,A213=0),0,IF(AND(V213=TRUE,換券單檔!$D$13=D213),H213,0))</f>
        <v>4.5199999999999997E-2</v>
      </c>
      <c r="V213" s="136" t="b">
        <f ca="1">IF(OR(B213=換券單檔!$D$3,L213="無",M213&lt;&gt;"",K213="高資產",IFERROR(MATCH(B213,換券單檔!K:K,0),"N")&lt;&gt;"N"),FALSE,IF($V$1="All",TRUE,IF(K213=$V$1,TRUE,FALSE)))</f>
        <v>1</v>
      </c>
      <c r="W213" s="136">
        <f ca="1">VLOOKUP(A213,'銀行-TSS'!A:AO,41,FALSE)</f>
        <v>93.490000000000009</v>
      </c>
      <c r="X213" s="136">
        <f ca="1">VLOOKUP(A213,'銀行-TSS'!A:AP,42,FALSE)</f>
        <v>6.7439</v>
      </c>
      <c r="Y213" s="1220">
        <f t="shared" ca="1" si="140"/>
        <v>6241.8233889000003</v>
      </c>
      <c r="Z213" s="1220">
        <f t="shared" ca="1" si="141"/>
        <v>0</v>
      </c>
      <c r="AA213" s="136">
        <f ca="1">IF(Z213&lt;=0,0,RANK(Z213,Z:Z)+COUNTIF($Z$3:$Z213,Z213)-1)</f>
        <v>0</v>
      </c>
      <c r="AB213" s="1211">
        <f t="shared" ca="1" si="142"/>
        <v>-9654.3166110999991</v>
      </c>
      <c r="AC213" s="136">
        <f ca="1">IF(AB213&lt;=0,0,RANK(AB213,AB:AB)+COUNTIF($AB$3:$AB213,AB213)-1)</f>
        <v>0</v>
      </c>
      <c r="AD213" s="1123">
        <f t="shared" ca="1" si="143"/>
        <v>99999</v>
      </c>
      <c r="AE213" s="1123">
        <f ca="1">IF(AD213=99999,0,RANK(AD213,AD:AD,1)+COUNTIF($AD$3:$AD213,AD213)-1)</f>
        <v>0</v>
      </c>
      <c r="AF213" s="86" t="b">
        <f ca="1">IF(OR(M213&lt;&gt;"",L213="無",K213="高資產",IFERROR(MATCH(B213,換券單檔!K:K,0),"N")&lt;&gt;"N"),FALSE,TRUE)</f>
        <v>1</v>
      </c>
      <c r="AI213" s="1212">
        <f t="shared" ca="1" si="144"/>
        <v>99000</v>
      </c>
      <c r="AJ213" s="1213">
        <f t="shared" ca="1" si="145"/>
        <v>3811.5</v>
      </c>
      <c r="AK213" s="1587">
        <f t="shared" ca="1" si="146"/>
        <v>0</v>
      </c>
      <c r="AN213" s="1212">
        <f t="shared" ca="1" si="147"/>
        <v>57000</v>
      </c>
      <c r="AO213" s="1213">
        <f t="shared" ca="1" si="148"/>
        <v>2194.5</v>
      </c>
      <c r="AP213" s="1587">
        <f t="shared" ca="1" si="149"/>
        <v>-86156.247536945812</v>
      </c>
      <c r="AS213" s="1212">
        <f t="shared" ca="1" si="150"/>
        <v>97000</v>
      </c>
      <c r="AT213" s="1213">
        <f t="shared" ca="1" si="151"/>
        <v>3734.5</v>
      </c>
      <c r="AU213" s="1587">
        <f t="shared" ca="1" si="152"/>
        <v>0</v>
      </c>
      <c r="AX213" s="1212">
        <f t="shared" ca="1" si="153"/>
        <v>89000</v>
      </c>
      <c r="AY213" s="1213">
        <f t="shared" ca="1" si="154"/>
        <v>3426.5</v>
      </c>
      <c r="AZ213" s="1587">
        <f t="shared" ca="1" si="155"/>
        <v>0</v>
      </c>
      <c r="BC213" s="1212">
        <f t="shared" ca="1" si="156"/>
        <v>0</v>
      </c>
      <c r="BD213" s="1213">
        <f t="shared" ca="1" si="157"/>
        <v>0</v>
      </c>
      <c r="BE213" s="1587">
        <f t="shared" ca="1" si="158"/>
        <v>0</v>
      </c>
      <c r="BH213" s="1212">
        <f t="shared" ca="1" si="159"/>
        <v>0</v>
      </c>
      <c r="BI213" s="1213">
        <f t="shared" ca="1" si="160"/>
        <v>0</v>
      </c>
      <c r="BJ213" s="1587">
        <f t="shared" ca="1" si="161"/>
        <v>0</v>
      </c>
      <c r="BM213" s="1212">
        <f t="shared" ca="1" si="162"/>
        <v>0</v>
      </c>
      <c r="BN213" s="1213">
        <f t="shared" ca="1" si="163"/>
        <v>0</v>
      </c>
      <c r="BO213" s="1587">
        <f t="shared" ca="1" si="164"/>
        <v>0</v>
      </c>
      <c r="BR213" s="1212">
        <f t="shared" ca="1" si="165"/>
        <v>0</v>
      </c>
      <c r="BS213" s="1213">
        <f t="shared" ca="1" si="166"/>
        <v>0</v>
      </c>
      <c r="BT213" s="1587">
        <f t="shared" ca="1" si="167"/>
        <v>0</v>
      </c>
      <c r="BW213" s="1212">
        <f t="shared" ca="1" si="168"/>
        <v>0</v>
      </c>
      <c r="BX213" s="1213">
        <f t="shared" ca="1" si="169"/>
        <v>0</v>
      </c>
      <c r="BY213" s="1587">
        <f t="shared" ca="1" si="170"/>
        <v>0</v>
      </c>
      <c r="CB213" s="1212">
        <f t="shared" ca="1" si="171"/>
        <v>0</v>
      </c>
      <c r="CC213" s="1213">
        <f t="shared" ca="1" si="172"/>
        <v>0</v>
      </c>
      <c r="CD213" s="1587">
        <f t="shared" ca="1" si="173"/>
        <v>0</v>
      </c>
      <c r="CG213" s="1212">
        <f t="shared" ca="1" si="174"/>
        <v>0</v>
      </c>
      <c r="CH213" s="1213">
        <f t="shared" ca="1" si="175"/>
        <v>0</v>
      </c>
      <c r="CI213" s="1587">
        <f t="shared" ca="1" si="176"/>
        <v>0</v>
      </c>
      <c r="CL213" s="1212">
        <f t="shared" ca="1" si="177"/>
        <v>0</v>
      </c>
      <c r="CM213" s="1213">
        <f t="shared" ca="1" si="178"/>
        <v>0</v>
      </c>
      <c r="CN213" s="1587">
        <f t="shared" ca="1" si="179"/>
        <v>0</v>
      </c>
    </row>
    <row r="214" spans="1:92">
      <c r="A214" s="141" t="str">
        <f>'銀行-TSS'!A214</f>
        <v>US30303M8J41</v>
      </c>
      <c r="B214" s="151" t="str">
        <f ca="1">VLOOKUP(A214,'銀行-TSS'!A:B,2,FALSE)</f>
        <v>XH040</v>
      </c>
      <c r="C214" s="151" t="str">
        <f ca="1">VLOOKUP(B214,bond!B:C,2,FALSE)</f>
        <v>META平台公司美元配息債券 4.45% 2052/8/15</v>
      </c>
      <c r="D214" s="95" t="str">
        <f>VLOOKUP(A214,'銀行-TSS'!A:C,3,FALSE)</f>
        <v>USD</v>
      </c>
      <c r="E214" s="90">
        <f ca="1">VLOOKUP(A214,'銀行-TSS'!A:G,7,FALSE)</f>
        <v>28.12</v>
      </c>
      <c r="F214" s="202">
        <f ca="1">VLOOKUP(A214,'銀行-TSS'!A:H,8,FALSE)</f>
        <v>4.4500000000000005E-2</v>
      </c>
      <c r="G214" s="96">
        <f ca="1">VLOOKUP(A214,'銀行-TSS'!A:K,11,FALSE)</f>
        <v>91.89</v>
      </c>
      <c r="H214" s="1209">
        <f ca="1">VLOOKUP(A214,'銀行-TSS'!A:M,13,FALSE)</f>
        <v>5.11E-2</v>
      </c>
      <c r="I214" s="1213">
        <f ca="1">VLOOKUP(A214,'銀行-TSS'!A:N,14,FALSE)</f>
        <v>10000</v>
      </c>
      <c r="J214" s="1213">
        <f ca="1">VLOOKUP(A214,'銀行-TSS'!A:O,15,FALSE)</f>
        <v>1000</v>
      </c>
      <c r="K214" s="136" t="str">
        <f ca="1">VLOOKUP(A214,'銀行-TSS'!A:V,22,FALSE)</f>
        <v>(NPI)非專投</v>
      </c>
      <c r="L214" s="136" t="str">
        <f ca="1">VLOOKUP(A214,'銀行-TSS'!A:AK,37,FALSE)</f>
        <v>有</v>
      </c>
      <c r="M214" s="136" t="str">
        <f ca="1">VLOOKUP(A214,'銀行-TSS'!A:AN,40,FALSE)</f>
        <v/>
      </c>
      <c r="N214" s="136">
        <f t="shared" ca="1" si="135"/>
        <v>918.9</v>
      </c>
      <c r="O214" s="1213">
        <f t="shared" ca="1" si="136"/>
        <v>9189</v>
      </c>
      <c r="P214" s="1213">
        <f ca="1">IF(AND($O$1&gt;=O214,換券單檔!$D$13=D214),I214+INT(($O$1-O214)/N214)*J214,0)</f>
        <v>105000</v>
      </c>
      <c r="Q214" s="1213">
        <f t="shared" ca="1" si="137"/>
        <v>4672.5000000000009</v>
      </c>
      <c r="R214" s="1213">
        <f t="shared" ca="1" si="138"/>
        <v>105000</v>
      </c>
      <c r="S214" s="1213">
        <f t="shared" ca="1" si="139"/>
        <v>4672.5000000000009</v>
      </c>
      <c r="T214" s="136">
        <f ca="1">IF(OR(R214=0,A214=0),0,IF(AND(V214=TRUE,換券單檔!$D$13=D214),E214,0))</f>
        <v>28.12</v>
      </c>
      <c r="U214" s="861">
        <f ca="1">IF(OR(R214=0,A214=0),0,IF(AND(V214=TRUE,換券單檔!$D$13=D214),H214,0))</f>
        <v>5.11E-2</v>
      </c>
      <c r="V214" s="136" t="b">
        <f ca="1">IF(OR(B214=換券單檔!$D$3,L214="無",M214&lt;&gt;"",K214="高資產",IFERROR(MATCH(B214,換券單檔!K:K,0),"N")&lt;&gt;"N"),FALSE,IF($V$1="All",TRUE,IF(K214=$V$1,TRUE,FALSE)))</f>
        <v>1</v>
      </c>
      <c r="W214" s="136">
        <f ca="1">VLOOKUP(A214,'銀行-TSS'!A:AO,41,FALSE)</f>
        <v>86.7</v>
      </c>
      <c r="X214" s="136">
        <f ca="1">VLOOKUP(A214,'銀行-TSS'!A:AP,42,FALSE)</f>
        <v>14.818899999999999</v>
      </c>
      <c r="Y214" s="1220">
        <f t="shared" ca="1" si="140"/>
        <v>13490.385614999999</v>
      </c>
      <c r="Z214" s="1220">
        <f t="shared" ca="1" si="141"/>
        <v>-434.12695590326632</v>
      </c>
      <c r="AA214" s="136">
        <f ca="1">IF(Z214&lt;=0,0,RANK(Z214,Z:Z)+COUNTIF($Z$3:$Z214,Z214)-1)</f>
        <v>0</v>
      </c>
      <c r="AB214" s="1211">
        <f t="shared" ca="1" si="142"/>
        <v>-1405.7543850000002</v>
      </c>
      <c r="AC214" s="136">
        <f ca="1">IF(AB214&lt;=0,0,RANK(AB214,AB:AB)+COUNTIF($AB$3:$AB214,AB214)-1)</f>
        <v>0</v>
      </c>
      <c r="AD214" s="1123">
        <f t="shared" ca="1" si="143"/>
        <v>99999</v>
      </c>
      <c r="AE214" s="1123">
        <f ca="1">IF(AD214=99999,0,RANK(AD214,AD:AD,1)+COUNTIF($AD$3:$AD214,AD214)-1)</f>
        <v>0</v>
      </c>
      <c r="AF214" s="86" t="b">
        <f ca="1">IF(OR(M214&lt;&gt;"",L214="無",K214="高資產",IFERROR(MATCH(B214,換券單檔!K:K,0),"N")&lt;&gt;"N"),FALSE,TRUE)</f>
        <v>1</v>
      </c>
      <c r="AI214" s="1212">
        <f t="shared" ca="1" si="144"/>
        <v>105000</v>
      </c>
      <c r="AJ214" s="1213">
        <f t="shared" ca="1" si="145"/>
        <v>4672.5000000000009</v>
      </c>
      <c r="AK214" s="1587">
        <f t="shared" ca="1" si="146"/>
        <v>-434.12695590326632</v>
      </c>
      <c r="AN214" s="1212">
        <f t="shared" ca="1" si="147"/>
        <v>60000</v>
      </c>
      <c r="AO214" s="1213">
        <f t="shared" ca="1" si="148"/>
        <v>2670.0000000000005</v>
      </c>
      <c r="AP214" s="1587">
        <f t="shared" ca="1" si="149"/>
        <v>-78762.403982930293</v>
      </c>
      <c r="AS214" s="1212">
        <f t="shared" ca="1" si="150"/>
        <v>102000</v>
      </c>
      <c r="AT214" s="1213">
        <f t="shared" ca="1" si="151"/>
        <v>4539.0000000000009</v>
      </c>
      <c r="AU214" s="1587">
        <f t="shared" ca="1" si="152"/>
        <v>-954.51493598861748</v>
      </c>
      <c r="AX214" s="1212">
        <f t="shared" ca="1" si="153"/>
        <v>94000</v>
      </c>
      <c r="AY214" s="1213">
        <f t="shared" ca="1" si="154"/>
        <v>4183</v>
      </c>
      <c r="AZ214" s="1587">
        <f t="shared" ca="1" si="155"/>
        <v>0</v>
      </c>
      <c r="BC214" s="1212">
        <f t="shared" ca="1" si="156"/>
        <v>0</v>
      </c>
      <c r="BD214" s="1213">
        <f t="shared" ca="1" si="157"/>
        <v>0</v>
      </c>
      <c r="BE214" s="1587">
        <f t="shared" ca="1" si="158"/>
        <v>0</v>
      </c>
      <c r="BH214" s="1212">
        <f t="shared" ca="1" si="159"/>
        <v>0</v>
      </c>
      <c r="BI214" s="1213">
        <f t="shared" ca="1" si="160"/>
        <v>0</v>
      </c>
      <c r="BJ214" s="1587">
        <f t="shared" ca="1" si="161"/>
        <v>0</v>
      </c>
      <c r="BM214" s="1212">
        <f t="shared" ca="1" si="162"/>
        <v>0</v>
      </c>
      <c r="BN214" s="1213">
        <f t="shared" ca="1" si="163"/>
        <v>0</v>
      </c>
      <c r="BO214" s="1587">
        <f t="shared" ca="1" si="164"/>
        <v>0</v>
      </c>
      <c r="BR214" s="1212">
        <f t="shared" ca="1" si="165"/>
        <v>0</v>
      </c>
      <c r="BS214" s="1213">
        <f t="shared" ca="1" si="166"/>
        <v>0</v>
      </c>
      <c r="BT214" s="1587">
        <f t="shared" ca="1" si="167"/>
        <v>0</v>
      </c>
      <c r="BW214" s="1212">
        <f t="shared" ca="1" si="168"/>
        <v>0</v>
      </c>
      <c r="BX214" s="1213">
        <f t="shared" ca="1" si="169"/>
        <v>0</v>
      </c>
      <c r="BY214" s="1587">
        <f t="shared" ca="1" si="170"/>
        <v>0</v>
      </c>
      <c r="CB214" s="1212">
        <f t="shared" ca="1" si="171"/>
        <v>0</v>
      </c>
      <c r="CC214" s="1213">
        <f t="shared" ca="1" si="172"/>
        <v>0</v>
      </c>
      <c r="CD214" s="1587">
        <f t="shared" ca="1" si="173"/>
        <v>0</v>
      </c>
      <c r="CG214" s="1212">
        <f t="shared" ca="1" si="174"/>
        <v>0</v>
      </c>
      <c r="CH214" s="1213">
        <f t="shared" ca="1" si="175"/>
        <v>0</v>
      </c>
      <c r="CI214" s="1587">
        <f t="shared" ca="1" si="176"/>
        <v>0</v>
      </c>
      <c r="CL214" s="1212">
        <f t="shared" ca="1" si="177"/>
        <v>0</v>
      </c>
      <c r="CM214" s="1213">
        <f t="shared" ca="1" si="178"/>
        <v>0</v>
      </c>
      <c r="CN214" s="1587">
        <f t="shared" ca="1" si="179"/>
        <v>0</v>
      </c>
    </row>
    <row r="215" spans="1:92">
      <c r="A215" s="141" t="str">
        <f>'銀行-TSS'!A215</f>
        <v>US194162AP89</v>
      </c>
      <c r="B215" s="151" t="str">
        <f ca="1">VLOOKUP(A215,'銀行-TSS'!A:B,2,FALSE)</f>
        <v>XH050</v>
      </c>
      <c r="C215" s="151" t="str">
        <f ca="1">VLOOKUP(B215,bond!B:C,2,FALSE)</f>
        <v>高露潔-棕欖公司美元配息債券 3.25% 2032/8/15</v>
      </c>
      <c r="D215" s="95" t="str">
        <f>VLOOKUP(A215,'銀行-TSS'!A:C,3,FALSE)</f>
        <v>USD</v>
      </c>
      <c r="E215" s="90">
        <f ca="1">VLOOKUP(A215,'銀行-TSS'!A:G,7,FALSE)</f>
        <v>8.1199999999999992</v>
      </c>
      <c r="F215" s="202">
        <f ca="1">VLOOKUP(A215,'銀行-TSS'!A:H,8,FALSE)</f>
        <v>3.2500000000000001E-2</v>
      </c>
      <c r="G215" s="96">
        <f ca="1">VLOOKUP(A215,'銀行-TSS'!A:K,11,FALSE)</f>
        <v>93.26</v>
      </c>
      <c r="H215" s="1209">
        <f ca="1">VLOOKUP(A215,'銀行-TSS'!A:M,13,FALSE)</f>
        <v>4.4299999999999999E-2</v>
      </c>
      <c r="I215" s="1213">
        <f ca="1">VLOOKUP(A215,'銀行-TSS'!A:N,14,FALSE)</f>
        <v>10000</v>
      </c>
      <c r="J215" s="1213">
        <f ca="1">VLOOKUP(A215,'銀行-TSS'!A:O,15,FALSE)</f>
        <v>1000</v>
      </c>
      <c r="K215" s="136" t="str">
        <f ca="1">VLOOKUP(A215,'銀行-TSS'!A:V,22,FALSE)</f>
        <v>(NPI)非專投</v>
      </c>
      <c r="L215" s="136" t="str">
        <f ca="1">VLOOKUP(A215,'銀行-TSS'!A:AK,37,FALSE)</f>
        <v>有</v>
      </c>
      <c r="M215" s="136" t="str">
        <f ca="1">VLOOKUP(A215,'銀行-TSS'!A:AN,40,FALSE)</f>
        <v/>
      </c>
      <c r="N215" s="136">
        <f t="shared" ca="1" si="135"/>
        <v>932.6</v>
      </c>
      <c r="O215" s="1213">
        <f t="shared" ca="1" si="136"/>
        <v>9326</v>
      </c>
      <c r="P215" s="1213">
        <f ca="1">IF(AND($O$1&gt;=O215,換券單檔!$D$13=D215),I215+INT(($O$1-O215)/N215)*J215,0)</f>
        <v>103000</v>
      </c>
      <c r="Q215" s="1213">
        <f t="shared" ca="1" si="137"/>
        <v>3347.5</v>
      </c>
      <c r="R215" s="1213">
        <f t="shared" ca="1" si="138"/>
        <v>103000</v>
      </c>
      <c r="S215" s="1213">
        <f t="shared" ca="1" si="139"/>
        <v>3347.5</v>
      </c>
      <c r="T215" s="136">
        <f ca="1">IF(OR(R215=0,A215=0),0,IF(AND(V215=TRUE,換券單檔!$D$13=D215),E215,0))</f>
        <v>8.1199999999999992</v>
      </c>
      <c r="U215" s="861">
        <f ca="1">IF(OR(R215=0,A215=0),0,IF(AND(V215=TRUE,換券單檔!$D$13=D215),H215,0))</f>
        <v>4.4299999999999999E-2</v>
      </c>
      <c r="V215" s="136" t="b">
        <f ca="1">IF(OR(B215=換券單檔!$D$3,L215="無",M215&lt;&gt;"",K215="高資產",IFERROR(MATCH(B215,換券單檔!K:K,0),"N")&lt;&gt;"N"),FALSE,IF($V$1="All",TRUE,IF(K215=$V$1,TRUE,FALSE)))</f>
        <v>1</v>
      </c>
      <c r="W215" s="136">
        <f ca="1">VLOOKUP(A215,'銀行-TSS'!A:AO,41,FALSE)</f>
        <v>90.02000000000001</v>
      </c>
      <c r="X215" s="136">
        <f ca="1">VLOOKUP(A215,'銀行-TSS'!A:AP,42,FALSE)</f>
        <v>6.8879999999999999</v>
      </c>
      <c r="Y215" s="1220">
        <f t="shared" ca="1" si="140"/>
        <v>6386.5949280000004</v>
      </c>
      <c r="Z215" s="1220">
        <f t="shared" ca="1" si="141"/>
        <v>0</v>
      </c>
      <c r="AA215" s="136">
        <f ca="1">IF(Z215&lt;=0,0,RANK(Z215,Z:Z)+COUNTIF($Z$3:$Z215,Z215)-1)</f>
        <v>0</v>
      </c>
      <c r="AB215" s="1211">
        <f t="shared" ca="1" si="142"/>
        <v>-8509.545071999999</v>
      </c>
      <c r="AC215" s="136">
        <f ca="1">IF(AB215&lt;=0,0,RANK(AB215,AB:AB)+COUNTIF($AB$3:$AB215,AB215)-1)</f>
        <v>0</v>
      </c>
      <c r="AD215" s="1123">
        <f t="shared" ca="1" si="143"/>
        <v>99999</v>
      </c>
      <c r="AE215" s="1123">
        <f ca="1">IF(AD215=99999,0,RANK(AD215,AD:AD,1)+COUNTIF($AD$3:$AD215,AD215)-1)</f>
        <v>0</v>
      </c>
      <c r="AF215" s="86" t="b">
        <f ca="1">IF(OR(M215&lt;&gt;"",L215="無",K215="高資產",IFERROR(MATCH(B215,換券單檔!K:K,0),"N")&lt;&gt;"N"),FALSE,TRUE)</f>
        <v>1</v>
      </c>
      <c r="AI215" s="1212">
        <f t="shared" ca="1" si="144"/>
        <v>103000</v>
      </c>
      <c r="AJ215" s="1213">
        <f t="shared" ca="1" si="145"/>
        <v>3347.5</v>
      </c>
      <c r="AK215" s="1587">
        <f t="shared" ca="1" si="146"/>
        <v>0</v>
      </c>
      <c r="AN215" s="1212">
        <f t="shared" ca="1" si="147"/>
        <v>59000</v>
      </c>
      <c r="AO215" s="1213">
        <f t="shared" ca="1" si="148"/>
        <v>1917.5</v>
      </c>
      <c r="AP215" s="1587">
        <f t="shared" ca="1" si="149"/>
        <v>0</v>
      </c>
      <c r="AS215" s="1212">
        <f t="shared" ca="1" si="150"/>
        <v>101000</v>
      </c>
      <c r="AT215" s="1213">
        <f t="shared" ca="1" si="151"/>
        <v>3282.5</v>
      </c>
      <c r="AU215" s="1587">
        <f t="shared" ca="1" si="152"/>
        <v>0</v>
      </c>
      <c r="AX215" s="1212">
        <f t="shared" ca="1" si="153"/>
        <v>93000</v>
      </c>
      <c r="AY215" s="1213">
        <f t="shared" ca="1" si="154"/>
        <v>3022.5</v>
      </c>
      <c r="AZ215" s="1587">
        <f t="shared" ca="1" si="155"/>
        <v>0</v>
      </c>
      <c r="BC215" s="1212">
        <f t="shared" ca="1" si="156"/>
        <v>0</v>
      </c>
      <c r="BD215" s="1213">
        <f t="shared" ca="1" si="157"/>
        <v>0</v>
      </c>
      <c r="BE215" s="1587">
        <f t="shared" ca="1" si="158"/>
        <v>0</v>
      </c>
      <c r="BH215" s="1212">
        <f t="shared" ca="1" si="159"/>
        <v>0</v>
      </c>
      <c r="BI215" s="1213">
        <f t="shared" ca="1" si="160"/>
        <v>0</v>
      </c>
      <c r="BJ215" s="1587">
        <f t="shared" ca="1" si="161"/>
        <v>0</v>
      </c>
      <c r="BM215" s="1212">
        <f t="shared" ca="1" si="162"/>
        <v>0</v>
      </c>
      <c r="BN215" s="1213">
        <f t="shared" ca="1" si="163"/>
        <v>0</v>
      </c>
      <c r="BO215" s="1587">
        <f t="shared" ca="1" si="164"/>
        <v>0</v>
      </c>
      <c r="BR215" s="1212">
        <f t="shared" ca="1" si="165"/>
        <v>0</v>
      </c>
      <c r="BS215" s="1213">
        <f t="shared" ca="1" si="166"/>
        <v>0</v>
      </c>
      <c r="BT215" s="1587">
        <f t="shared" ca="1" si="167"/>
        <v>0</v>
      </c>
      <c r="BW215" s="1212">
        <f t="shared" ca="1" si="168"/>
        <v>0</v>
      </c>
      <c r="BX215" s="1213">
        <f t="shared" ca="1" si="169"/>
        <v>0</v>
      </c>
      <c r="BY215" s="1587">
        <f t="shared" ca="1" si="170"/>
        <v>0</v>
      </c>
      <c r="CB215" s="1212">
        <f t="shared" ca="1" si="171"/>
        <v>0</v>
      </c>
      <c r="CC215" s="1213">
        <f t="shared" ca="1" si="172"/>
        <v>0</v>
      </c>
      <c r="CD215" s="1587">
        <f t="shared" ca="1" si="173"/>
        <v>0</v>
      </c>
      <c r="CG215" s="1212">
        <f t="shared" ca="1" si="174"/>
        <v>0</v>
      </c>
      <c r="CH215" s="1213">
        <f t="shared" ca="1" si="175"/>
        <v>0</v>
      </c>
      <c r="CI215" s="1587">
        <f t="shared" ca="1" si="176"/>
        <v>0</v>
      </c>
      <c r="CL215" s="1212">
        <f t="shared" ca="1" si="177"/>
        <v>0</v>
      </c>
      <c r="CM215" s="1213">
        <f t="shared" ca="1" si="178"/>
        <v>0</v>
      </c>
      <c r="CN215" s="1587">
        <f t="shared" ca="1" si="179"/>
        <v>0</v>
      </c>
    </row>
    <row r="216" spans="1:92">
      <c r="A216" s="141" t="str">
        <f>'銀行-TSS'!A216</f>
        <v>XS2454678009</v>
      </c>
      <c r="B216" s="151" t="str">
        <f ca="1">VLOOKUP(A216,'銀行-TSS'!A:B,2,FALSE)</f>
        <v>XH060</v>
      </c>
      <c r="C216" s="151" t="str">
        <f ca="1">VLOOKUP(B216,bond!B:C,2,FALSE)</f>
        <v>卡達國家銀行金融有限公司人民幣配息債券 4% 2027/3/14</v>
      </c>
      <c r="D216" s="95" t="str">
        <f>VLOOKUP(A216,'銀行-TSS'!A:C,3,FALSE)</f>
        <v>CNY</v>
      </c>
      <c r="E216" s="90">
        <f ca="1">VLOOKUP(A216,'銀行-TSS'!A:G,7,FALSE)</f>
        <v>2.69</v>
      </c>
      <c r="F216" s="202">
        <f ca="1">VLOOKUP(A216,'銀行-TSS'!A:H,8,FALSE)</f>
        <v>0.04</v>
      </c>
      <c r="G216" s="96">
        <f ca="1">VLOOKUP(A216,'銀行-TSS'!A:K,11,FALSE)</f>
        <v>105.26</v>
      </c>
      <c r="H216" s="1209">
        <f ca="1">VLOOKUP(A216,'銀行-TSS'!A:M,13,FALSE)</f>
        <v>2.4299999999999999E-2</v>
      </c>
      <c r="I216" s="1213">
        <f ca="1">VLOOKUP(A216,'銀行-TSS'!A:N,14,FALSE)</f>
        <v>1000000</v>
      </c>
      <c r="J216" s="1213">
        <f ca="1">VLOOKUP(A216,'銀行-TSS'!A:O,15,FALSE)</f>
        <v>10000</v>
      </c>
      <c r="K216" s="136" t="str">
        <f ca="1">VLOOKUP(A216,'銀行-TSS'!A:V,22,FALSE)</f>
        <v>(NPI)非專投</v>
      </c>
      <c r="L216" s="136" t="str">
        <f ca="1">VLOOKUP(A216,'銀行-TSS'!A:AK,37,FALSE)</f>
        <v>需查詢</v>
      </c>
      <c r="M216" s="136" t="str">
        <f ca="1">VLOOKUP(A216,'銀行-TSS'!A:AN,40,FALSE)</f>
        <v>XH060</v>
      </c>
      <c r="N216" s="136">
        <f t="shared" ca="1" si="135"/>
        <v>10526</v>
      </c>
      <c r="O216" s="1213">
        <f t="shared" ca="1" si="136"/>
        <v>1052600</v>
      </c>
      <c r="P216" s="1213">
        <f ca="1">IF(AND($O$1&gt;=O216,換券單檔!$D$13=D216),I216+INT(($O$1-O216)/N216)*J216,0)</f>
        <v>0</v>
      </c>
      <c r="Q216" s="1213">
        <f t="shared" ca="1" si="137"/>
        <v>0</v>
      </c>
      <c r="R216" s="1213">
        <f t="shared" ca="1" si="138"/>
        <v>0</v>
      </c>
      <c r="S216" s="1213">
        <f t="shared" ca="1" si="139"/>
        <v>0</v>
      </c>
      <c r="T216" s="136">
        <f ca="1">IF(OR(R216=0,A216=0),0,IF(AND(V216=TRUE,換券單檔!$D$13=D216),E216,0))</f>
        <v>0</v>
      </c>
      <c r="U216" s="861">
        <f ca="1">IF(OR(R216=0,A216=0),0,IF(AND(V216=TRUE,換券單檔!$D$13=D216),H216,0))</f>
        <v>0</v>
      </c>
      <c r="V216" s="136" t="b">
        <f ca="1">IF(OR(B216=換券單檔!$D$3,L216="無",M216&lt;&gt;"",K216="高資產",IFERROR(MATCH(B216,換券單檔!K:K,0),"N")&lt;&gt;"N"),FALSE,IF($V$1="All",TRUE,IF(K216=$V$1,TRUE,FALSE)))</f>
        <v>0</v>
      </c>
      <c r="W216" s="136">
        <f ca="1">VLOOKUP(A216,'銀行-TSS'!A:AO,41,FALSE)</f>
        <v>103.04</v>
      </c>
      <c r="X216" s="136">
        <f ca="1">VLOOKUP(A216,'銀行-TSS'!A:AP,42,FALSE)</f>
        <v>2.5495999999999999</v>
      </c>
      <c r="Y216" s="1220">
        <f t="shared" ca="1" si="140"/>
        <v>0</v>
      </c>
      <c r="Z216" s="1220">
        <f t="shared" ca="1" si="141"/>
        <v>0</v>
      </c>
      <c r="AA216" s="136">
        <f ca="1">IF(Z216&lt;=0,0,RANK(Z216,Z:Z)+COUNTIF($Z$3:$Z216,Z216)-1)</f>
        <v>0</v>
      </c>
      <c r="AB216" s="1211">
        <f t="shared" ca="1" si="142"/>
        <v>-14896.14</v>
      </c>
      <c r="AC216" s="136">
        <f ca="1">IF(AB216&lt;=0,0,RANK(AB216,AB:AB)+COUNTIF($AB$3:$AB216,AB216)-1)</f>
        <v>0</v>
      </c>
      <c r="AD216" s="1123">
        <f t="shared" ca="1" si="143"/>
        <v>99999</v>
      </c>
      <c r="AE216" s="1123">
        <f ca="1">IF(AD216=99999,0,RANK(AD216,AD:AD,1)+COUNTIF($AD$3:$AD216,AD216)-1)</f>
        <v>0</v>
      </c>
      <c r="AF216" s="86" t="b">
        <f ca="1">IF(OR(M216&lt;&gt;"",L216="無",K216="高資產",IFERROR(MATCH(B216,換券單檔!K:K,0),"N")&lt;&gt;"N"),FALSE,TRUE)</f>
        <v>0</v>
      </c>
      <c r="AI216" s="1212">
        <f t="shared" ca="1" si="144"/>
        <v>0</v>
      </c>
      <c r="AJ216" s="1213">
        <f t="shared" ca="1" si="145"/>
        <v>0</v>
      </c>
      <c r="AK216" s="1587">
        <f t="shared" ca="1" si="146"/>
        <v>0</v>
      </c>
      <c r="AN216" s="1212">
        <f t="shared" ca="1" si="147"/>
        <v>0</v>
      </c>
      <c r="AO216" s="1213">
        <f t="shared" ca="1" si="148"/>
        <v>0</v>
      </c>
      <c r="AP216" s="1587">
        <f t="shared" ca="1" si="149"/>
        <v>0</v>
      </c>
      <c r="AS216" s="1212">
        <f t="shared" ca="1" si="150"/>
        <v>0</v>
      </c>
      <c r="AT216" s="1213">
        <f t="shared" ca="1" si="151"/>
        <v>0</v>
      </c>
      <c r="AU216" s="1587">
        <f t="shared" ca="1" si="152"/>
        <v>0</v>
      </c>
      <c r="AX216" s="1212">
        <f t="shared" ca="1" si="153"/>
        <v>0</v>
      </c>
      <c r="AY216" s="1213">
        <f t="shared" ca="1" si="154"/>
        <v>0</v>
      </c>
      <c r="AZ216" s="1587">
        <f t="shared" ca="1" si="155"/>
        <v>0</v>
      </c>
      <c r="BC216" s="1212">
        <f t="shared" ca="1" si="156"/>
        <v>0</v>
      </c>
      <c r="BD216" s="1213">
        <f t="shared" ca="1" si="157"/>
        <v>0</v>
      </c>
      <c r="BE216" s="1587">
        <f t="shared" ca="1" si="158"/>
        <v>0</v>
      </c>
      <c r="BH216" s="1212">
        <f t="shared" ca="1" si="159"/>
        <v>0</v>
      </c>
      <c r="BI216" s="1213">
        <f t="shared" ca="1" si="160"/>
        <v>0</v>
      </c>
      <c r="BJ216" s="1587">
        <f t="shared" ca="1" si="161"/>
        <v>0</v>
      </c>
      <c r="BM216" s="1212">
        <f t="shared" ca="1" si="162"/>
        <v>0</v>
      </c>
      <c r="BN216" s="1213">
        <f t="shared" ca="1" si="163"/>
        <v>0</v>
      </c>
      <c r="BO216" s="1587">
        <f t="shared" ca="1" si="164"/>
        <v>0</v>
      </c>
      <c r="BR216" s="1212">
        <f t="shared" ca="1" si="165"/>
        <v>0</v>
      </c>
      <c r="BS216" s="1213">
        <f t="shared" ca="1" si="166"/>
        <v>0</v>
      </c>
      <c r="BT216" s="1587">
        <f t="shared" ca="1" si="167"/>
        <v>0</v>
      </c>
      <c r="BW216" s="1212">
        <f t="shared" ca="1" si="168"/>
        <v>0</v>
      </c>
      <c r="BX216" s="1213">
        <f t="shared" ca="1" si="169"/>
        <v>0</v>
      </c>
      <c r="BY216" s="1587">
        <f t="shared" ca="1" si="170"/>
        <v>0</v>
      </c>
      <c r="CB216" s="1212">
        <f t="shared" ca="1" si="171"/>
        <v>0</v>
      </c>
      <c r="CC216" s="1213">
        <f t="shared" ca="1" si="172"/>
        <v>0</v>
      </c>
      <c r="CD216" s="1587">
        <f t="shared" ca="1" si="173"/>
        <v>0</v>
      </c>
      <c r="CG216" s="1212">
        <f t="shared" ca="1" si="174"/>
        <v>0</v>
      </c>
      <c r="CH216" s="1213">
        <f t="shared" ca="1" si="175"/>
        <v>0</v>
      </c>
      <c r="CI216" s="1587">
        <f t="shared" ca="1" si="176"/>
        <v>0</v>
      </c>
      <c r="CL216" s="1212">
        <f t="shared" ca="1" si="177"/>
        <v>0</v>
      </c>
      <c r="CM216" s="1213">
        <f t="shared" ca="1" si="178"/>
        <v>0</v>
      </c>
      <c r="CN216" s="1587">
        <f t="shared" ca="1" si="179"/>
        <v>0</v>
      </c>
    </row>
    <row r="217" spans="1:92">
      <c r="A217" s="141" t="str">
        <f>'銀行-TSS'!A217</f>
        <v>US91282CEW73</v>
      </c>
      <c r="B217" s="151" t="str">
        <f ca="1">VLOOKUP(A217,'銀行-TSS'!A:B,2,FALSE)</f>
        <v>XH070</v>
      </c>
      <c r="C217" s="151" t="str">
        <f ca="1">VLOOKUP(B217,bond!B:C,2,FALSE)</f>
        <v>美國政府公債 3.25% 2027/6/30</v>
      </c>
      <c r="D217" s="95" t="str">
        <f>VLOOKUP(A217,'銀行-TSS'!A:C,3,FALSE)</f>
        <v>USD</v>
      </c>
      <c r="E217" s="90">
        <f ca="1">VLOOKUP(A217,'銀行-TSS'!A:G,7,FALSE)</f>
        <v>2.99</v>
      </c>
      <c r="F217" s="202">
        <f ca="1">VLOOKUP(A217,'銀行-TSS'!A:H,8,FALSE)</f>
        <v>3.2500000000000001E-2</v>
      </c>
      <c r="G217" s="96">
        <f ca="1">VLOOKUP(A217,'銀行-TSS'!A:K,11,FALSE)</f>
        <v>97.94</v>
      </c>
      <c r="H217" s="1209">
        <f ca="1">VLOOKUP(A217,'銀行-TSS'!A:M,13,FALSE)</f>
        <v>3.9899999999999998E-2</v>
      </c>
      <c r="I217" s="1213">
        <f ca="1">VLOOKUP(A217,'銀行-TSS'!A:N,14,FALSE)</f>
        <v>10000</v>
      </c>
      <c r="J217" s="1213">
        <f ca="1">VLOOKUP(A217,'銀行-TSS'!A:O,15,FALSE)</f>
        <v>100</v>
      </c>
      <c r="K217" s="136" t="str">
        <f ca="1">VLOOKUP(A217,'銀行-TSS'!A:V,22,FALSE)</f>
        <v>(NPI)非專投</v>
      </c>
      <c r="L217" s="136" t="str">
        <f ca="1">VLOOKUP(A217,'銀行-TSS'!A:AK,37,FALSE)</f>
        <v>有</v>
      </c>
      <c r="M217" s="136" t="str">
        <f ca="1">VLOOKUP(A217,'銀行-TSS'!A:AN,40,FALSE)</f>
        <v/>
      </c>
      <c r="N217" s="136">
        <f t="shared" ca="1" si="135"/>
        <v>97.94</v>
      </c>
      <c r="O217" s="1213">
        <f t="shared" ca="1" si="136"/>
        <v>9794</v>
      </c>
      <c r="P217" s="1213">
        <f ca="1">IF(AND($O$1&gt;=O217,換券單檔!$D$13=D217),I217+INT(($O$1-O217)/N217)*J217,0)</f>
        <v>98700</v>
      </c>
      <c r="Q217" s="1213">
        <f t="shared" ca="1" si="137"/>
        <v>3207.75</v>
      </c>
      <c r="R217" s="1213">
        <f t="shared" ca="1" si="138"/>
        <v>98700</v>
      </c>
      <c r="S217" s="1213">
        <f t="shared" ca="1" si="139"/>
        <v>3207.75</v>
      </c>
      <c r="T217" s="136">
        <f ca="1">IF(OR(R217=0,A217=0),0,IF(AND(V217=TRUE,換券單檔!$D$13=D217),E217,0))</f>
        <v>2.99</v>
      </c>
      <c r="U217" s="861">
        <f ca="1">IF(OR(R217=0,A217=0),0,IF(AND(V217=TRUE,換券單檔!$D$13=D217),H217,0))</f>
        <v>3.9899999999999998E-2</v>
      </c>
      <c r="V217" s="136" t="b">
        <f ca="1">IF(OR(B217=換券單檔!$D$3,L217="無",M217&lt;&gt;"",K217="高資產",IFERROR(MATCH(B217,換券單檔!K:K,0),"N")&lt;&gt;"N"),FALSE,IF($V$1="All",TRUE,IF(K217=$V$1,TRUE,FALSE)))</f>
        <v>1</v>
      </c>
      <c r="W217" s="136">
        <f ca="1">VLOOKUP(A217,'銀行-TSS'!A:AO,41,FALSE)</f>
        <v>96.92</v>
      </c>
      <c r="X217" s="136">
        <f ca="1">VLOOKUP(A217,'銀行-TSS'!A:AP,42,FALSE)</f>
        <v>2.8149999999999999</v>
      </c>
      <c r="Y217" s="1220">
        <f t="shared" ca="1" si="140"/>
        <v>2692.8301260000003</v>
      </c>
      <c r="Z217" s="1220">
        <f t="shared" ca="1" si="141"/>
        <v>0</v>
      </c>
      <c r="AA217" s="136">
        <f ca="1">IF(Z217&lt;=0,0,RANK(Z217,Z:Z)+COUNTIF($Z$3:$Z217,Z217)-1)</f>
        <v>0</v>
      </c>
      <c r="AB217" s="1211">
        <f t="shared" ca="1" si="142"/>
        <v>-13503.309873999999</v>
      </c>
      <c r="AC217" s="136">
        <f ca="1">IF(AB217&lt;=0,0,RANK(AB217,AB:AB)+COUNTIF($AB$3:$AB217,AB217)-1)</f>
        <v>0</v>
      </c>
      <c r="AD217" s="1123">
        <f t="shared" ca="1" si="143"/>
        <v>99999</v>
      </c>
      <c r="AE217" s="1123">
        <f ca="1">IF(AD217=99999,0,RANK(AD217,AD:AD,1)+COUNTIF($AD$3:$AD217,AD217)-1)</f>
        <v>0</v>
      </c>
      <c r="AF217" s="86" t="b">
        <f ca="1">IF(OR(M217&lt;&gt;"",L217="無",K217="高資產",IFERROR(MATCH(B217,換券單檔!K:K,0),"N")&lt;&gt;"N"),FALSE,TRUE)</f>
        <v>1</v>
      </c>
      <c r="AI217" s="1212">
        <f t="shared" ca="1" si="144"/>
        <v>98700</v>
      </c>
      <c r="AJ217" s="1213">
        <f t="shared" ca="1" si="145"/>
        <v>3207.75</v>
      </c>
      <c r="AK217" s="1587">
        <f t="shared" ca="1" si="146"/>
        <v>0</v>
      </c>
      <c r="AN217" s="1212">
        <f t="shared" ca="1" si="147"/>
        <v>56400</v>
      </c>
      <c r="AO217" s="1213">
        <f t="shared" ca="1" si="148"/>
        <v>1833</v>
      </c>
      <c r="AP217" s="1587">
        <f t="shared" ca="1" si="149"/>
        <v>0</v>
      </c>
      <c r="AS217" s="1212">
        <f t="shared" ca="1" si="150"/>
        <v>96500</v>
      </c>
      <c r="AT217" s="1213">
        <f t="shared" ca="1" si="151"/>
        <v>3136.25</v>
      </c>
      <c r="AU217" s="1587">
        <f t="shared" ca="1" si="152"/>
        <v>0</v>
      </c>
      <c r="AX217" s="1212">
        <f t="shared" ca="1" si="153"/>
        <v>88700</v>
      </c>
      <c r="AY217" s="1213">
        <f t="shared" ca="1" si="154"/>
        <v>2882.75</v>
      </c>
      <c r="AZ217" s="1587">
        <f t="shared" ca="1" si="155"/>
        <v>0</v>
      </c>
      <c r="BC217" s="1212">
        <f t="shared" ca="1" si="156"/>
        <v>0</v>
      </c>
      <c r="BD217" s="1213">
        <f t="shared" ca="1" si="157"/>
        <v>0</v>
      </c>
      <c r="BE217" s="1587">
        <f t="shared" ca="1" si="158"/>
        <v>0</v>
      </c>
      <c r="BH217" s="1212">
        <f t="shared" ca="1" si="159"/>
        <v>0</v>
      </c>
      <c r="BI217" s="1213">
        <f t="shared" ca="1" si="160"/>
        <v>0</v>
      </c>
      <c r="BJ217" s="1587">
        <f t="shared" ca="1" si="161"/>
        <v>0</v>
      </c>
      <c r="BM217" s="1212">
        <f t="shared" ca="1" si="162"/>
        <v>0</v>
      </c>
      <c r="BN217" s="1213">
        <f t="shared" ca="1" si="163"/>
        <v>0</v>
      </c>
      <c r="BO217" s="1587">
        <f t="shared" ca="1" si="164"/>
        <v>0</v>
      </c>
      <c r="BR217" s="1212">
        <f t="shared" ca="1" si="165"/>
        <v>0</v>
      </c>
      <c r="BS217" s="1213">
        <f t="shared" ca="1" si="166"/>
        <v>0</v>
      </c>
      <c r="BT217" s="1587">
        <f t="shared" ca="1" si="167"/>
        <v>0</v>
      </c>
      <c r="BW217" s="1212">
        <f t="shared" ca="1" si="168"/>
        <v>0</v>
      </c>
      <c r="BX217" s="1213">
        <f t="shared" ca="1" si="169"/>
        <v>0</v>
      </c>
      <c r="BY217" s="1587">
        <f t="shared" ca="1" si="170"/>
        <v>0</v>
      </c>
      <c r="CB217" s="1212">
        <f t="shared" ca="1" si="171"/>
        <v>0</v>
      </c>
      <c r="CC217" s="1213">
        <f t="shared" ca="1" si="172"/>
        <v>0</v>
      </c>
      <c r="CD217" s="1587">
        <f t="shared" ca="1" si="173"/>
        <v>0</v>
      </c>
      <c r="CG217" s="1212">
        <f t="shared" ca="1" si="174"/>
        <v>0</v>
      </c>
      <c r="CH217" s="1213">
        <f t="shared" ca="1" si="175"/>
        <v>0</v>
      </c>
      <c r="CI217" s="1587">
        <f t="shared" ca="1" si="176"/>
        <v>0</v>
      </c>
      <c r="CL217" s="1212">
        <f t="shared" ca="1" si="177"/>
        <v>0</v>
      </c>
      <c r="CM217" s="1213">
        <f t="shared" ca="1" si="178"/>
        <v>0</v>
      </c>
      <c r="CN217" s="1587">
        <f t="shared" ca="1" si="179"/>
        <v>0</v>
      </c>
    </row>
    <row r="218" spans="1:92">
      <c r="A218" s="141" t="str">
        <f>'銀行-TSS'!A218</f>
        <v>US912810TK43</v>
      </c>
      <c r="B218" s="151" t="str">
        <f ca="1">VLOOKUP(A218,'銀行-TSS'!A:B,2,FALSE)</f>
        <v>XH080</v>
      </c>
      <c r="C218" s="151" t="str">
        <f ca="1">VLOOKUP(B218,bond!B:C,2,FALSE)</f>
        <v>美國政府公債 3.375% 2042/8/15</v>
      </c>
      <c r="D218" s="95" t="str">
        <f>VLOOKUP(A218,'銀行-TSS'!A:C,3,FALSE)</f>
        <v>USD</v>
      </c>
      <c r="E218" s="90">
        <f ca="1">VLOOKUP(A218,'銀行-TSS'!A:G,7,FALSE)</f>
        <v>18.12</v>
      </c>
      <c r="F218" s="202">
        <f ca="1">VLOOKUP(A218,'銀行-TSS'!A:H,8,FALSE)</f>
        <v>3.3750000000000002E-2</v>
      </c>
      <c r="G218" s="96">
        <f ca="1">VLOOKUP(A218,'銀行-TSS'!A:K,11,FALSE)</f>
        <v>88.25</v>
      </c>
      <c r="H218" s="1209">
        <f ca="1">VLOOKUP(A218,'銀行-TSS'!A:M,13,FALSE)</f>
        <v>4.4299999999999999E-2</v>
      </c>
      <c r="I218" s="1213">
        <f ca="1">VLOOKUP(A218,'銀行-TSS'!A:N,14,FALSE)</f>
        <v>10000</v>
      </c>
      <c r="J218" s="1213">
        <f ca="1">VLOOKUP(A218,'銀行-TSS'!A:O,15,FALSE)</f>
        <v>100</v>
      </c>
      <c r="K218" s="136" t="str">
        <f ca="1">VLOOKUP(A218,'銀行-TSS'!A:V,22,FALSE)</f>
        <v>(NPI)非專投</v>
      </c>
      <c r="L218" s="136" t="str">
        <f ca="1">VLOOKUP(A218,'銀行-TSS'!A:AK,37,FALSE)</f>
        <v>有</v>
      </c>
      <c r="M218" s="136" t="str">
        <f ca="1">VLOOKUP(A218,'銀行-TSS'!A:AN,40,FALSE)</f>
        <v/>
      </c>
      <c r="N218" s="136">
        <f t="shared" ca="1" si="135"/>
        <v>88.25</v>
      </c>
      <c r="O218" s="1213">
        <f t="shared" ca="1" si="136"/>
        <v>8825</v>
      </c>
      <c r="P218" s="1213">
        <f ca="1">IF(AND($O$1&gt;=O218,換券單檔!$D$13=D218),I218+INT(($O$1-O218)/N218)*J218,0)</f>
        <v>109500</v>
      </c>
      <c r="Q218" s="1213">
        <f t="shared" ca="1" si="137"/>
        <v>3695.6250000000005</v>
      </c>
      <c r="R218" s="1213">
        <f t="shared" ca="1" si="138"/>
        <v>109500</v>
      </c>
      <c r="S218" s="1213">
        <f t="shared" ca="1" si="139"/>
        <v>3695.6250000000005</v>
      </c>
      <c r="T218" s="136">
        <f ca="1">IF(OR(R218=0,A218=0),0,IF(AND(V218=TRUE,換券單檔!$D$13=D218),E218,0))</f>
        <v>18.12</v>
      </c>
      <c r="U218" s="861">
        <f ca="1">IF(OR(R218=0,A218=0),0,IF(AND(V218=TRUE,換券單檔!$D$13=D218),H218,0))</f>
        <v>4.4299999999999999E-2</v>
      </c>
      <c r="V218" s="136" t="b">
        <f ca="1">IF(OR(B218=換券單檔!$D$3,L218="無",M218&lt;&gt;"",K218="高資產",IFERROR(MATCH(B218,換券單檔!K:K,0),"N")&lt;&gt;"N"),FALSE,IF($V$1="All",TRUE,IF(K218=$V$1,TRUE,FALSE)))</f>
        <v>1</v>
      </c>
      <c r="W218" s="136">
        <f ca="1">VLOOKUP(A218,'銀行-TSS'!A:AO,41,FALSE)</f>
        <v>84.97</v>
      </c>
      <c r="X218" s="136">
        <f ca="1">VLOOKUP(A218,'銀行-TSS'!A:AP,42,FALSE)</f>
        <v>12.7896</v>
      </c>
      <c r="Y218" s="1220">
        <f t="shared" ca="1" si="140"/>
        <v>11899.7188164</v>
      </c>
      <c r="Z218" s="1220">
        <f t="shared" ca="1" si="141"/>
        <v>0</v>
      </c>
      <c r="AA218" s="136">
        <f ca="1">IF(Z218&lt;=0,0,RANK(Z218,Z:Z)+COUNTIF($Z$3:$Z218,Z218)-1)</f>
        <v>0</v>
      </c>
      <c r="AB218" s="1211">
        <f t="shared" ca="1" si="142"/>
        <v>-2996.4211835999995</v>
      </c>
      <c r="AC218" s="136">
        <f ca="1">IF(AB218&lt;=0,0,RANK(AB218,AB:AB)+COUNTIF($AB$3:$AB218,AB218)-1)</f>
        <v>0</v>
      </c>
      <c r="AD218" s="1123">
        <f t="shared" ca="1" si="143"/>
        <v>99999</v>
      </c>
      <c r="AE218" s="1123">
        <f ca="1">IF(AD218=99999,0,RANK(AD218,AD:AD,1)+COUNTIF($AD$3:$AD218,AD218)-1)</f>
        <v>0</v>
      </c>
      <c r="AF218" s="86" t="b">
        <f ca="1">IF(OR(M218&lt;&gt;"",L218="無",K218="高資產",IFERROR(MATCH(B218,換券單檔!K:K,0),"N")&lt;&gt;"N"),FALSE,TRUE)</f>
        <v>1</v>
      </c>
      <c r="AI218" s="1212">
        <f t="shared" ca="1" si="144"/>
        <v>109500</v>
      </c>
      <c r="AJ218" s="1213">
        <f t="shared" ca="1" si="145"/>
        <v>3695.6250000000005</v>
      </c>
      <c r="AK218" s="1587">
        <f t="shared" ca="1" si="146"/>
        <v>0</v>
      </c>
      <c r="AN218" s="1212">
        <f t="shared" ca="1" si="147"/>
        <v>62600</v>
      </c>
      <c r="AO218" s="1213">
        <f t="shared" ca="1" si="148"/>
        <v>2112.75</v>
      </c>
      <c r="AP218" s="1587">
        <f t="shared" ca="1" si="149"/>
        <v>-75200.388245033115</v>
      </c>
      <c r="AS218" s="1212">
        <f t="shared" ca="1" si="150"/>
        <v>107100</v>
      </c>
      <c r="AT218" s="1213">
        <f t="shared" ca="1" si="151"/>
        <v>3614.6250000000005</v>
      </c>
      <c r="AU218" s="1587">
        <f t="shared" ca="1" si="152"/>
        <v>0</v>
      </c>
      <c r="AX218" s="1212">
        <f t="shared" ca="1" si="153"/>
        <v>98400</v>
      </c>
      <c r="AY218" s="1213">
        <f t="shared" ca="1" si="154"/>
        <v>3321</v>
      </c>
      <c r="AZ218" s="1587">
        <f t="shared" ca="1" si="155"/>
        <v>0</v>
      </c>
      <c r="BC218" s="1212">
        <f t="shared" ca="1" si="156"/>
        <v>0</v>
      </c>
      <c r="BD218" s="1213">
        <f t="shared" ca="1" si="157"/>
        <v>0</v>
      </c>
      <c r="BE218" s="1587">
        <f t="shared" ca="1" si="158"/>
        <v>0</v>
      </c>
      <c r="BH218" s="1212">
        <f t="shared" ca="1" si="159"/>
        <v>0</v>
      </c>
      <c r="BI218" s="1213">
        <f t="shared" ca="1" si="160"/>
        <v>0</v>
      </c>
      <c r="BJ218" s="1587">
        <f t="shared" ca="1" si="161"/>
        <v>0</v>
      </c>
      <c r="BM218" s="1212">
        <f t="shared" ca="1" si="162"/>
        <v>0</v>
      </c>
      <c r="BN218" s="1213">
        <f t="shared" ca="1" si="163"/>
        <v>0</v>
      </c>
      <c r="BO218" s="1587">
        <f t="shared" ca="1" si="164"/>
        <v>0</v>
      </c>
      <c r="BR218" s="1212">
        <f t="shared" ca="1" si="165"/>
        <v>0</v>
      </c>
      <c r="BS218" s="1213">
        <f t="shared" ca="1" si="166"/>
        <v>0</v>
      </c>
      <c r="BT218" s="1587">
        <f t="shared" ca="1" si="167"/>
        <v>0</v>
      </c>
      <c r="BW218" s="1212">
        <f t="shared" ca="1" si="168"/>
        <v>0</v>
      </c>
      <c r="BX218" s="1213">
        <f t="shared" ca="1" si="169"/>
        <v>0</v>
      </c>
      <c r="BY218" s="1587">
        <f t="shared" ca="1" si="170"/>
        <v>0</v>
      </c>
      <c r="CB218" s="1212">
        <f t="shared" ca="1" si="171"/>
        <v>0</v>
      </c>
      <c r="CC218" s="1213">
        <f t="shared" ca="1" si="172"/>
        <v>0</v>
      </c>
      <c r="CD218" s="1587">
        <f t="shared" ca="1" si="173"/>
        <v>0</v>
      </c>
      <c r="CG218" s="1212">
        <f t="shared" ca="1" si="174"/>
        <v>0</v>
      </c>
      <c r="CH218" s="1213">
        <f t="shared" ca="1" si="175"/>
        <v>0</v>
      </c>
      <c r="CI218" s="1587">
        <f t="shared" ca="1" si="176"/>
        <v>0</v>
      </c>
      <c r="CL218" s="1212">
        <f t="shared" ca="1" si="177"/>
        <v>0</v>
      </c>
      <c r="CM218" s="1213">
        <f t="shared" ca="1" si="178"/>
        <v>0</v>
      </c>
      <c r="CN218" s="1587">
        <f t="shared" ca="1" si="179"/>
        <v>0</v>
      </c>
    </row>
    <row r="219" spans="1:92">
      <c r="A219" s="141" t="str">
        <f>'銀行-TSS'!A219</f>
        <v>US91282CFN65</v>
      </c>
      <c r="B219" s="151" t="str">
        <f ca="1">VLOOKUP(A219,'銀行-TSS'!A:B,2,FALSE)</f>
        <v>XH130</v>
      </c>
      <c r="C219" s="151" t="str">
        <f ca="1">VLOOKUP(B219,bond!B:C,2,FALSE)</f>
        <v>美國政府公債 4.25% 2024/9/30</v>
      </c>
      <c r="D219" s="95" t="str">
        <f>VLOOKUP(A219,'銀行-TSS'!A:C,3,FALSE)</f>
        <v>USD</v>
      </c>
      <c r="E219" s="90">
        <f ca="1">VLOOKUP(A219,'銀行-TSS'!A:G,7,FALSE)</f>
        <v>0.25</v>
      </c>
      <c r="F219" s="202">
        <f ca="1">VLOOKUP(A219,'銀行-TSS'!A:H,8,FALSE)</f>
        <v>4.2500000000000003E-2</v>
      </c>
      <c r="G219" s="96">
        <f ca="1">VLOOKUP(A219,'銀行-TSS'!A:K,11,FALSE)</f>
        <v>101.25</v>
      </c>
      <c r="H219" s="1209">
        <f ca="1">VLOOKUP(A219,'銀行-TSS'!A:M,13,FALSE)</f>
        <v>3.5099999999999999E-2</v>
      </c>
      <c r="I219" s="1213">
        <f ca="1">VLOOKUP(A219,'銀行-TSS'!A:N,14,FALSE)</f>
        <v>10000</v>
      </c>
      <c r="J219" s="1213">
        <f ca="1">VLOOKUP(A219,'銀行-TSS'!A:O,15,FALSE)</f>
        <v>100</v>
      </c>
      <c r="K219" s="136" t="str">
        <f ca="1">VLOOKUP(A219,'銀行-TSS'!A:V,22,FALSE)</f>
        <v>(NPI)非專投</v>
      </c>
      <c r="L219" s="136" t="str">
        <f ca="1">VLOOKUP(A219,'銀行-TSS'!A:AK,37,FALSE)</f>
        <v>有</v>
      </c>
      <c r="M219" s="136" t="str">
        <f ca="1">VLOOKUP(A219,'銀行-TSS'!A:AN,40,FALSE)</f>
        <v/>
      </c>
      <c r="N219" s="136">
        <f t="shared" ca="1" si="135"/>
        <v>101.25</v>
      </c>
      <c r="O219" s="1213">
        <f t="shared" ca="1" si="136"/>
        <v>10125</v>
      </c>
      <c r="P219" s="1213">
        <f ca="1">IF(AND($O$1&gt;=O219,換券單檔!$D$13=D219),I219+INT(($O$1-O219)/N219)*J219,0)</f>
        <v>95500</v>
      </c>
      <c r="Q219" s="1213">
        <f t="shared" ca="1" si="137"/>
        <v>4058.7500000000005</v>
      </c>
      <c r="R219" s="1213">
        <f t="shared" ca="1" si="138"/>
        <v>95500</v>
      </c>
      <c r="S219" s="1213">
        <f t="shared" ca="1" si="139"/>
        <v>4058.7500000000005</v>
      </c>
      <c r="T219" s="136">
        <f ca="1">IF(OR(R219=0,A219=0),0,IF(AND(V219=TRUE,換券單檔!$D$13=D219),E219,0))</f>
        <v>0.25</v>
      </c>
      <c r="U219" s="861">
        <f ca="1">IF(OR(R219=0,A219=0),0,IF(AND(V219=TRUE,換券單檔!$D$13=D219),H219,0))</f>
        <v>3.5099999999999999E-2</v>
      </c>
      <c r="V219" s="136" t="b">
        <f ca="1">IF(OR(B219=換券單檔!$D$3,L219="無",M219&lt;&gt;"",K219="高資產",IFERROR(MATCH(B219,換券單檔!K:K,0),"N")&lt;&gt;"N"),FALSE,IF($V$1="All",TRUE,IF(K219=$V$1,TRUE,FALSE)))</f>
        <v>1</v>
      </c>
      <c r="W219" s="136">
        <f ca="1">VLOOKUP(A219,'銀行-TSS'!A:AO,41,FALSE)</f>
        <v>100.07000000000001</v>
      </c>
      <c r="X219" s="136">
        <f ca="1">VLOOKUP(A219,'銀行-TSS'!A:AP,42,FALSE)</f>
        <v>0.24329999999999999</v>
      </c>
      <c r="Y219" s="1220">
        <f t="shared" ca="1" si="140"/>
        <v>232.51414605000005</v>
      </c>
      <c r="Z219" s="1220">
        <f t="shared" ca="1" si="141"/>
        <v>0</v>
      </c>
      <c r="AA219" s="136">
        <f ca="1">IF(Z219&lt;=0,0,RANK(Z219,Z:Z)+COUNTIF($Z$3:$Z219,Z219)-1)</f>
        <v>0</v>
      </c>
      <c r="AB219" s="1211">
        <f t="shared" ca="1" si="142"/>
        <v>-19163.625853949998</v>
      </c>
      <c r="AC219" s="136">
        <f ca="1">IF(AB219&lt;=0,0,RANK(AB219,AB:AB)+COUNTIF($AB$3:$AB219,AB219)-1)</f>
        <v>0</v>
      </c>
      <c r="AD219" s="1123">
        <f t="shared" ca="1" si="143"/>
        <v>99999</v>
      </c>
      <c r="AE219" s="1123">
        <f ca="1">IF(AD219=99999,0,RANK(AD219,AD:AD,1)+COUNTIF($AD$3:$AD219,AD219)-1)</f>
        <v>0</v>
      </c>
      <c r="AF219" s="86" t="b">
        <f ca="1">IF(OR(M219&lt;&gt;"",L219="無",K219="高資產",IFERROR(MATCH(B219,換券單檔!K:K,0),"N")&lt;&gt;"N"),FALSE,TRUE)</f>
        <v>1</v>
      </c>
      <c r="AI219" s="1212">
        <f t="shared" ca="1" si="144"/>
        <v>95500</v>
      </c>
      <c r="AJ219" s="1213">
        <f t="shared" ca="1" si="145"/>
        <v>4058.7500000000005</v>
      </c>
      <c r="AK219" s="1587">
        <f t="shared" ca="1" si="146"/>
        <v>0</v>
      </c>
      <c r="AN219" s="1212">
        <f t="shared" ca="1" si="147"/>
        <v>54600</v>
      </c>
      <c r="AO219" s="1213">
        <f t="shared" ca="1" si="148"/>
        <v>2320.5</v>
      </c>
      <c r="AP219" s="1587">
        <f t="shared" ca="1" si="149"/>
        <v>0</v>
      </c>
      <c r="AS219" s="1212">
        <f t="shared" ca="1" si="150"/>
        <v>93300</v>
      </c>
      <c r="AT219" s="1213">
        <f t="shared" ca="1" si="151"/>
        <v>3965.2500000000005</v>
      </c>
      <c r="AU219" s="1587">
        <f t="shared" ca="1" si="152"/>
        <v>0</v>
      </c>
      <c r="AX219" s="1212">
        <f t="shared" ca="1" si="153"/>
        <v>85800</v>
      </c>
      <c r="AY219" s="1213">
        <f t="shared" ca="1" si="154"/>
        <v>3646.5000000000005</v>
      </c>
      <c r="AZ219" s="1587">
        <f t="shared" ca="1" si="155"/>
        <v>0</v>
      </c>
      <c r="BC219" s="1212">
        <f t="shared" ca="1" si="156"/>
        <v>0</v>
      </c>
      <c r="BD219" s="1213">
        <f t="shared" ca="1" si="157"/>
        <v>0</v>
      </c>
      <c r="BE219" s="1587">
        <f t="shared" ca="1" si="158"/>
        <v>0</v>
      </c>
      <c r="BH219" s="1212">
        <f t="shared" ca="1" si="159"/>
        <v>0</v>
      </c>
      <c r="BI219" s="1213">
        <f t="shared" ca="1" si="160"/>
        <v>0</v>
      </c>
      <c r="BJ219" s="1587">
        <f t="shared" ca="1" si="161"/>
        <v>0</v>
      </c>
      <c r="BM219" s="1212">
        <f t="shared" ca="1" si="162"/>
        <v>0</v>
      </c>
      <c r="BN219" s="1213">
        <f t="shared" ca="1" si="163"/>
        <v>0</v>
      </c>
      <c r="BO219" s="1587">
        <f t="shared" ca="1" si="164"/>
        <v>0</v>
      </c>
      <c r="BR219" s="1212">
        <f t="shared" ca="1" si="165"/>
        <v>0</v>
      </c>
      <c r="BS219" s="1213">
        <f t="shared" ca="1" si="166"/>
        <v>0</v>
      </c>
      <c r="BT219" s="1587">
        <f t="shared" ca="1" si="167"/>
        <v>0</v>
      </c>
      <c r="BW219" s="1212">
        <f t="shared" ca="1" si="168"/>
        <v>0</v>
      </c>
      <c r="BX219" s="1213">
        <f t="shared" ca="1" si="169"/>
        <v>0</v>
      </c>
      <c r="BY219" s="1587">
        <f t="shared" ca="1" si="170"/>
        <v>0</v>
      </c>
      <c r="CB219" s="1212">
        <f t="shared" ca="1" si="171"/>
        <v>0</v>
      </c>
      <c r="CC219" s="1213">
        <f t="shared" ca="1" si="172"/>
        <v>0</v>
      </c>
      <c r="CD219" s="1587">
        <f t="shared" ca="1" si="173"/>
        <v>0</v>
      </c>
      <c r="CG219" s="1212">
        <f t="shared" ca="1" si="174"/>
        <v>0</v>
      </c>
      <c r="CH219" s="1213">
        <f t="shared" ca="1" si="175"/>
        <v>0</v>
      </c>
      <c r="CI219" s="1587">
        <f t="shared" ca="1" si="176"/>
        <v>0</v>
      </c>
      <c r="CL219" s="1212">
        <f t="shared" ca="1" si="177"/>
        <v>0</v>
      </c>
      <c r="CM219" s="1213">
        <f t="shared" ca="1" si="178"/>
        <v>0</v>
      </c>
      <c r="CN219" s="1587">
        <f t="shared" ca="1" si="179"/>
        <v>0</v>
      </c>
    </row>
    <row r="220" spans="1:92">
      <c r="A220" s="141" t="str">
        <f>'銀行-TSS'!A220</f>
        <v>US91282CFK27</v>
      </c>
      <c r="B220" s="151" t="str">
        <f ca="1">VLOOKUP(A220,'銀行-TSS'!A:B,2,FALSE)</f>
        <v>XH140</v>
      </c>
      <c r="C220" s="151" t="str">
        <f ca="1">VLOOKUP(B220,bond!B:C,2,FALSE)</f>
        <v>美國政府公債 3.5% 2025/9/15</v>
      </c>
      <c r="D220" s="95" t="str">
        <f>VLOOKUP(A220,'銀行-TSS'!A:C,3,FALSE)</f>
        <v>USD</v>
      </c>
      <c r="E220" s="90">
        <f ca="1">VLOOKUP(A220,'銀行-TSS'!A:G,7,FALSE)</f>
        <v>1.2</v>
      </c>
      <c r="F220" s="202">
        <f ca="1">VLOOKUP(A220,'銀行-TSS'!A:H,8,FALSE)</f>
        <v>3.5000000000000003E-2</v>
      </c>
      <c r="G220" s="96">
        <f ca="1">VLOOKUP(A220,'銀行-TSS'!A:K,11,FALSE)</f>
        <v>100.07</v>
      </c>
      <c r="H220" s="1209">
        <f ca="1">VLOOKUP(A220,'銀行-TSS'!A:M,13,FALSE)</f>
        <v>4.3299999999999998E-2</v>
      </c>
      <c r="I220" s="1213">
        <f ca="1">VLOOKUP(A220,'銀行-TSS'!A:N,14,FALSE)</f>
        <v>10000</v>
      </c>
      <c r="J220" s="1213">
        <f ca="1">VLOOKUP(A220,'銀行-TSS'!A:O,15,FALSE)</f>
        <v>100</v>
      </c>
      <c r="K220" s="136" t="str">
        <f ca="1">VLOOKUP(A220,'銀行-TSS'!A:V,22,FALSE)</f>
        <v>(NPI)非專投</v>
      </c>
      <c r="L220" s="136" t="str">
        <f ca="1">VLOOKUP(A220,'銀行-TSS'!A:AK,37,FALSE)</f>
        <v>有</v>
      </c>
      <c r="M220" s="136" t="str">
        <f ca="1">VLOOKUP(A220,'銀行-TSS'!A:AN,40,FALSE)</f>
        <v/>
      </c>
      <c r="N220" s="136">
        <f t="shared" ca="1" si="135"/>
        <v>100.07</v>
      </c>
      <c r="O220" s="1213">
        <f t="shared" ca="1" si="136"/>
        <v>10006.999999999998</v>
      </c>
      <c r="P220" s="1213">
        <f ca="1">IF(AND($O$1&gt;=O220,換券單檔!$D$13=D220),I220+INT(($O$1-O220)/N220)*J220,0)</f>
        <v>96600</v>
      </c>
      <c r="Q220" s="1213">
        <f t="shared" ca="1" si="137"/>
        <v>3381.0000000000005</v>
      </c>
      <c r="R220" s="1213">
        <f t="shared" ca="1" si="138"/>
        <v>96600</v>
      </c>
      <c r="S220" s="1213">
        <f t="shared" ca="1" si="139"/>
        <v>3381.0000000000005</v>
      </c>
      <c r="T220" s="136">
        <f ca="1">IF(OR(R220=0,A220=0),0,IF(AND(V220=TRUE,換券單檔!$D$13=D220),E220,0))</f>
        <v>1.2</v>
      </c>
      <c r="U220" s="861">
        <f ca="1">IF(OR(R220=0,A220=0),0,IF(AND(V220=TRUE,換券單檔!$D$13=D220),H220,0))</f>
        <v>4.3299999999999998E-2</v>
      </c>
      <c r="V220" s="136" t="b">
        <f ca="1">IF(OR(B220=換券單檔!$D$3,L220="無",M220&lt;&gt;"",K220="高資產",IFERROR(MATCH(B220,換券單檔!K:K,0),"N")&lt;&gt;"N"),FALSE,IF($V$1="All",TRUE,IF(K220=$V$1,TRUE,FALSE)))</f>
        <v>1</v>
      </c>
      <c r="W220" s="136">
        <f ca="1">VLOOKUP(A220,'銀行-TSS'!A:AO,41,FALSE)</f>
        <v>98.53</v>
      </c>
      <c r="X220" s="136">
        <f ca="1">VLOOKUP(A220,'銀行-TSS'!A:AP,42,FALSE)</f>
        <v>1.1508</v>
      </c>
      <c r="Y220" s="1220">
        <f t="shared" ca="1" si="140"/>
        <v>1095.3312098400002</v>
      </c>
      <c r="Z220" s="1220">
        <f t="shared" ca="1" si="141"/>
        <v>0</v>
      </c>
      <c r="AA220" s="136">
        <f ca="1">IF(Z220&lt;=0,0,RANK(Z220,Z:Z)+COUNTIF($Z$3:$Z220,Z220)-1)</f>
        <v>0</v>
      </c>
      <c r="AB220" s="1211">
        <f t="shared" ca="1" si="142"/>
        <v>-17200.808790160001</v>
      </c>
      <c r="AC220" s="136">
        <f ca="1">IF(AB220&lt;=0,0,RANK(AB220,AB:AB)+COUNTIF($AB$3:$AB220,AB220)-1)</f>
        <v>0</v>
      </c>
      <c r="AD220" s="1123">
        <f t="shared" ca="1" si="143"/>
        <v>99999</v>
      </c>
      <c r="AE220" s="1123">
        <f ca="1">IF(AD220=99999,0,RANK(AD220,AD:AD,1)+COUNTIF($AD$3:$AD220,AD220)-1)</f>
        <v>0</v>
      </c>
      <c r="AF220" s="86" t="b">
        <f ca="1">IF(OR(M220&lt;&gt;"",L220="無",K220="高資產",IFERROR(MATCH(B220,換券單檔!K:K,0),"N")&lt;&gt;"N"),FALSE,TRUE)</f>
        <v>1</v>
      </c>
      <c r="AI220" s="1212">
        <f t="shared" ca="1" si="144"/>
        <v>96600</v>
      </c>
      <c r="AJ220" s="1213">
        <f t="shared" ca="1" si="145"/>
        <v>3381.0000000000005</v>
      </c>
      <c r="AK220" s="1587">
        <f t="shared" ca="1" si="146"/>
        <v>0</v>
      </c>
      <c r="AN220" s="1212">
        <f t="shared" ca="1" si="147"/>
        <v>55200</v>
      </c>
      <c r="AO220" s="1213">
        <f t="shared" ca="1" si="148"/>
        <v>1932.0000000000002</v>
      </c>
      <c r="AP220" s="1587">
        <f t="shared" ca="1" si="149"/>
        <v>0</v>
      </c>
      <c r="AS220" s="1212">
        <f t="shared" ca="1" si="150"/>
        <v>94400</v>
      </c>
      <c r="AT220" s="1213">
        <f t="shared" ca="1" si="151"/>
        <v>3304.0000000000005</v>
      </c>
      <c r="AU220" s="1587">
        <f t="shared" ca="1" si="152"/>
        <v>0</v>
      </c>
      <c r="AX220" s="1212">
        <f t="shared" ca="1" si="153"/>
        <v>86800</v>
      </c>
      <c r="AY220" s="1213">
        <f t="shared" ca="1" si="154"/>
        <v>3038.0000000000005</v>
      </c>
      <c r="AZ220" s="1587">
        <f t="shared" ca="1" si="155"/>
        <v>0</v>
      </c>
      <c r="BC220" s="1212">
        <f t="shared" ca="1" si="156"/>
        <v>0</v>
      </c>
      <c r="BD220" s="1213">
        <f t="shared" ca="1" si="157"/>
        <v>0</v>
      </c>
      <c r="BE220" s="1587">
        <f t="shared" ca="1" si="158"/>
        <v>0</v>
      </c>
      <c r="BH220" s="1212">
        <f t="shared" ca="1" si="159"/>
        <v>0</v>
      </c>
      <c r="BI220" s="1213">
        <f t="shared" ca="1" si="160"/>
        <v>0</v>
      </c>
      <c r="BJ220" s="1587">
        <f t="shared" ca="1" si="161"/>
        <v>0</v>
      </c>
      <c r="BM220" s="1212">
        <f t="shared" ca="1" si="162"/>
        <v>0</v>
      </c>
      <c r="BN220" s="1213">
        <f t="shared" ca="1" si="163"/>
        <v>0</v>
      </c>
      <c r="BO220" s="1587">
        <f t="shared" ca="1" si="164"/>
        <v>0</v>
      </c>
      <c r="BR220" s="1212">
        <f t="shared" ca="1" si="165"/>
        <v>0</v>
      </c>
      <c r="BS220" s="1213">
        <f t="shared" ca="1" si="166"/>
        <v>0</v>
      </c>
      <c r="BT220" s="1587">
        <f t="shared" ca="1" si="167"/>
        <v>0</v>
      </c>
      <c r="BW220" s="1212">
        <f t="shared" ca="1" si="168"/>
        <v>0</v>
      </c>
      <c r="BX220" s="1213">
        <f t="shared" ca="1" si="169"/>
        <v>0</v>
      </c>
      <c r="BY220" s="1587">
        <f t="shared" ca="1" si="170"/>
        <v>0</v>
      </c>
      <c r="CB220" s="1212">
        <f t="shared" ca="1" si="171"/>
        <v>0</v>
      </c>
      <c r="CC220" s="1213">
        <f t="shared" ca="1" si="172"/>
        <v>0</v>
      </c>
      <c r="CD220" s="1587">
        <f t="shared" ca="1" si="173"/>
        <v>0</v>
      </c>
      <c r="CG220" s="1212">
        <f t="shared" ca="1" si="174"/>
        <v>0</v>
      </c>
      <c r="CH220" s="1213">
        <f t="shared" ca="1" si="175"/>
        <v>0</v>
      </c>
      <c r="CI220" s="1587">
        <f t="shared" ca="1" si="176"/>
        <v>0</v>
      </c>
      <c r="CL220" s="1212">
        <f t="shared" ca="1" si="177"/>
        <v>0</v>
      </c>
      <c r="CM220" s="1213">
        <f t="shared" ca="1" si="178"/>
        <v>0</v>
      </c>
      <c r="CN220" s="1587">
        <f t="shared" ca="1" si="179"/>
        <v>0</v>
      </c>
    </row>
    <row r="221" spans="1:92">
      <c r="A221" s="141" t="str">
        <f>'銀行-TSS'!A221</f>
        <v>US686330AQ49</v>
      </c>
      <c r="B221" s="151" t="str">
        <f ca="1">VLOOKUP(A221,'銀行-TSS'!A:B,2,FALSE)</f>
        <v>XH150</v>
      </c>
      <c r="C221" s="151" t="str">
        <f ca="1">VLOOKUP(B221,bond!B:C,2,FALSE)</f>
        <v>歐力士公司美元配息債券 5% 2027/9/13</v>
      </c>
      <c r="D221" s="95" t="str">
        <f>VLOOKUP(A221,'銀行-TSS'!A:C,3,FALSE)</f>
        <v>USD</v>
      </c>
      <c r="E221" s="90">
        <f ca="1">VLOOKUP(A221,'銀行-TSS'!A:G,7,FALSE)</f>
        <v>3.2</v>
      </c>
      <c r="F221" s="202">
        <f ca="1">VLOOKUP(A221,'銀行-TSS'!A:H,8,FALSE)</f>
        <v>0.05</v>
      </c>
      <c r="G221" s="96">
        <f ca="1">VLOOKUP(A221,'銀行-TSS'!A:K,11,FALSE)</f>
        <v>102.93</v>
      </c>
      <c r="H221" s="1209">
        <f ca="1">VLOOKUP(A221,'銀行-TSS'!A:M,13,FALSE)</f>
        <v>4.5199999999999997E-2</v>
      </c>
      <c r="I221" s="1213">
        <f ca="1">VLOOKUP(A221,'銀行-TSS'!A:N,14,FALSE)</f>
        <v>10000</v>
      </c>
      <c r="J221" s="1213">
        <f ca="1">VLOOKUP(A221,'銀行-TSS'!A:O,15,FALSE)</f>
        <v>1000</v>
      </c>
      <c r="K221" s="136" t="str">
        <f ca="1">VLOOKUP(A221,'銀行-TSS'!A:V,22,FALSE)</f>
        <v>(NPI)非專投</v>
      </c>
      <c r="L221" s="136" t="str">
        <f ca="1">VLOOKUP(A221,'銀行-TSS'!A:AK,37,FALSE)</f>
        <v>有</v>
      </c>
      <c r="M221" s="136" t="str">
        <f ca="1">VLOOKUP(A221,'銀行-TSS'!A:AN,40,FALSE)</f>
        <v/>
      </c>
      <c r="N221" s="136">
        <f t="shared" ca="1" si="135"/>
        <v>1029.3</v>
      </c>
      <c r="O221" s="1213">
        <f t="shared" ca="1" si="136"/>
        <v>10293.000000000002</v>
      </c>
      <c r="P221" s="1213">
        <f ca="1">IF(AND($O$1&gt;=O221,換券單檔!$D$13=D221),I221+INT(($O$1-O221)/N221)*J221,0)</f>
        <v>93000</v>
      </c>
      <c r="Q221" s="1213">
        <f t="shared" ca="1" si="137"/>
        <v>4650</v>
      </c>
      <c r="R221" s="1213">
        <f t="shared" ca="1" si="138"/>
        <v>93000</v>
      </c>
      <c r="S221" s="1213">
        <f t="shared" ca="1" si="139"/>
        <v>4650</v>
      </c>
      <c r="T221" s="136">
        <f ca="1">IF(OR(R221=0,A221=0),0,IF(AND(V221=TRUE,換券單檔!$D$13=D221),E221,0))</f>
        <v>3.2</v>
      </c>
      <c r="U221" s="861">
        <f ca="1">IF(OR(R221=0,A221=0),0,IF(AND(V221=TRUE,換券單檔!$D$13=D221),H221,0))</f>
        <v>4.5199999999999997E-2</v>
      </c>
      <c r="V221" s="136" t="b">
        <f ca="1">IF(OR(B221=換券單檔!$D$3,L221="無",M221&lt;&gt;"",K221="高資產",IFERROR(MATCH(B221,換券單檔!K:K,0),"N")&lt;&gt;"N"),FALSE,IF($V$1="All",TRUE,IF(K221=$V$1,TRUE,FALSE)))</f>
        <v>1</v>
      </c>
      <c r="W221" s="136">
        <f ca="1">VLOOKUP(A221,'銀行-TSS'!A:AO,41,FALSE)</f>
        <v>100.42</v>
      </c>
      <c r="X221" s="136">
        <f ca="1">VLOOKUP(A221,'銀行-TSS'!A:AP,42,FALSE)</f>
        <v>2.8818000000000001</v>
      </c>
      <c r="Y221" s="1220">
        <f t="shared" ca="1" si="140"/>
        <v>2691.3303108</v>
      </c>
      <c r="Z221" s="1220">
        <f t="shared" ca="1" si="141"/>
        <v>0</v>
      </c>
      <c r="AA221" s="136">
        <f ca="1">IF(Z221&lt;=0,0,RANK(Z221,Z:Z)+COUNTIF($Z$3:$Z221,Z221)-1)</f>
        <v>0</v>
      </c>
      <c r="AB221" s="1211">
        <f t="shared" ca="1" si="142"/>
        <v>-19204.809689199999</v>
      </c>
      <c r="AC221" s="136">
        <f ca="1">IF(AB221&lt;=0,0,RANK(AB221,AB:AB)+COUNTIF($AB$3:$AB221,AB221)-1)</f>
        <v>0</v>
      </c>
      <c r="AD221" s="1123">
        <f t="shared" ca="1" si="143"/>
        <v>99999</v>
      </c>
      <c r="AE221" s="1123">
        <f ca="1">IF(AD221=99999,0,RANK(AD221,AD:AD,1)+COUNTIF($AD$3:$AD221,AD221)-1)</f>
        <v>0</v>
      </c>
      <c r="AF221" s="86" t="b">
        <f ca="1">IF(OR(M221&lt;&gt;"",L221="無",K221="高資產",IFERROR(MATCH(B221,換券單檔!K:K,0),"N")&lt;&gt;"N"),FALSE,TRUE)</f>
        <v>1</v>
      </c>
      <c r="AI221" s="1212">
        <f t="shared" ca="1" si="144"/>
        <v>93000</v>
      </c>
      <c r="AJ221" s="1213">
        <f t="shared" ca="1" si="145"/>
        <v>4650</v>
      </c>
      <c r="AK221" s="1587">
        <f t="shared" ca="1" si="146"/>
        <v>0</v>
      </c>
      <c r="AN221" s="1212">
        <f t="shared" ca="1" si="147"/>
        <v>53000</v>
      </c>
      <c r="AO221" s="1213">
        <f t="shared" ca="1" si="148"/>
        <v>2650</v>
      </c>
      <c r="AP221" s="1587">
        <f t="shared" ca="1" si="149"/>
        <v>0</v>
      </c>
      <c r="AS221" s="1212">
        <f t="shared" ca="1" si="150"/>
        <v>91000</v>
      </c>
      <c r="AT221" s="1213">
        <f t="shared" ca="1" si="151"/>
        <v>4550</v>
      </c>
      <c r="AU221" s="1587">
        <f t="shared" ca="1" si="152"/>
        <v>0</v>
      </c>
      <c r="AX221" s="1212">
        <f t="shared" ca="1" si="153"/>
        <v>84000</v>
      </c>
      <c r="AY221" s="1213">
        <f t="shared" ca="1" si="154"/>
        <v>4200</v>
      </c>
      <c r="AZ221" s="1587">
        <f t="shared" ca="1" si="155"/>
        <v>0</v>
      </c>
      <c r="BC221" s="1212">
        <f t="shared" ca="1" si="156"/>
        <v>0</v>
      </c>
      <c r="BD221" s="1213">
        <f t="shared" ca="1" si="157"/>
        <v>0</v>
      </c>
      <c r="BE221" s="1587">
        <f t="shared" ca="1" si="158"/>
        <v>0</v>
      </c>
      <c r="BH221" s="1212">
        <f t="shared" ca="1" si="159"/>
        <v>0</v>
      </c>
      <c r="BI221" s="1213">
        <f t="shared" ca="1" si="160"/>
        <v>0</v>
      </c>
      <c r="BJ221" s="1587">
        <f t="shared" ca="1" si="161"/>
        <v>0</v>
      </c>
      <c r="BM221" s="1212">
        <f t="shared" ca="1" si="162"/>
        <v>0</v>
      </c>
      <c r="BN221" s="1213">
        <f t="shared" ca="1" si="163"/>
        <v>0</v>
      </c>
      <c r="BO221" s="1587">
        <f t="shared" ca="1" si="164"/>
        <v>0</v>
      </c>
      <c r="BR221" s="1212">
        <f t="shared" ca="1" si="165"/>
        <v>0</v>
      </c>
      <c r="BS221" s="1213">
        <f t="shared" ca="1" si="166"/>
        <v>0</v>
      </c>
      <c r="BT221" s="1587">
        <f t="shared" ca="1" si="167"/>
        <v>0</v>
      </c>
      <c r="BW221" s="1212">
        <f t="shared" ca="1" si="168"/>
        <v>0</v>
      </c>
      <c r="BX221" s="1213">
        <f t="shared" ca="1" si="169"/>
        <v>0</v>
      </c>
      <c r="BY221" s="1587">
        <f t="shared" ca="1" si="170"/>
        <v>0</v>
      </c>
      <c r="CB221" s="1212">
        <f t="shared" ca="1" si="171"/>
        <v>0</v>
      </c>
      <c r="CC221" s="1213">
        <f t="shared" ca="1" si="172"/>
        <v>0</v>
      </c>
      <c r="CD221" s="1587">
        <f t="shared" ca="1" si="173"/>
        <v>0</v>
      </c>
      <c r="CG221" s="1212">
        <f t="shared" ca="1" si="174"/>
        <v>0</v>
      </c>
      <c r="CH221" s="1213">
        <f t="shared" ca="1" si="175"/>
        <v>0</v>
      </c>
      <c r="CI221" s="1587">
        <f t="shared" ca="1" si="176"/>
        <v>0</v>
      </c>
      <c r="CL221" s="1212">
        <f t="shared" ca="1" si="177"/>
        <v>0</v>
      </c>
      <c r="CM221" s="1213">
        <f t="shared" ca="1" si="178"/>
        <v>0</v>
      </c>
      <c r="CN221" s="1587">
        <f t="shared" ca="1" si="179"/>
        <v>0</v>
      </c>
    </row>
    <row r="222" spans="1:92">
      <c r="A222" s="141" t="str">
        <f>'銀行-TSS'!A222</f>
        <v>US60687YCL11</v>
      </c>
      <c r="B222" s="151" t="str">
        <f ca="1">VLOOKUP(A222,'銀行-TSS'!A:B,2,FALSE)</f>
        <v>XH160</v>
      </c>
      <c r="C222" s="151" t="str">
        <f ca="1">VLOOKUP(B222,bond!B:C,2,FALSE)</f>
        <v>瑞穗金融集團美元配息債券 5.414% 2028/9/13</v>
      </c>
      <c r="D222" s="95" t="str">
        <f>VLOOKUP(A222,'銀行-TSS'!A:C,3,FALSE)</f>
        <v>USD</v>
      </c>
      <c r="E222" s="90">
        <f ca="1">VLOOKUP(A222,'銀行-TSS'!A:G,7,FALSE)</f>
        <v>4.2</v>
      </c>
      <c r="F222" s="202">
        <f ca="1">VLOOKUP(A222,'銀行-TSS'!A:H,8,FALSE)</f>
        <v>5.4139999999999994E-2</v>
      </c>
      <c r="G222" s="96">
        <f ca="1">VLOOKUP(A222,'銀行-TSS'!A:K,11,FALSE)</f>
        <v>103.85</v>
      </c>
      <c r="H222" s="1209">
        <f ca="1">VLOOKUP(A222,'銀行-TSS'!A:M,13,FALSE)</f>
        <v>5.1999999999999998E-2</v>
      </c>
      <c r="I222" s="1213">
        <f ca="1">VLOOKUP(A222,'銀行-TSS'!A:N,14,FALSE)</f>
        <v>200000</v>
      </c>
      <c r="J222" s="1213">
        <f ca="1">VLOOKUP(A222,'銀行-TSS'!A:O,15,FALSE)</f>
        <v>1000</v>
      </c>
      <c r="K222" s="136" t="str">
        <f ca="1">VLOOKUP(A222,'銀行-TSS'!A:V,22,FALSE)</f>
        <v>(PI)專投</v>
      </c>
      <c r="L222" s="136" t="str">
        <f ca="1">VLOOKUP(A222,'銀行-TSS'!A:AK,37,FALSE)</f>
        <v>有</v>
      </c>
      <c r="M222" s="136" t="str">
        <f ca="1">VLOOKUP(A222,'銀行-TSS'!A:AN,40,FALSE)</f>
        <v/>
      </c>
      <c r="N222" s="136">
        <f t="shared" ca="1" si="135"/>
        <v>1038.5</v>
      </c>
      <c r="O222" s="1213">
        <f t="shared" ca="1" si="136"/>
        <v>207700</v>
      </c>
      <c r="P222" s="1213">
        <f ca="1">IF(AND($O$1&gt;=O222,換券單檔!$D$13=D222),I222+INT(($O$1-O222)/N222)*J222,0)</f>
        <v>0</v>
      </c>
      <c r="Q222" s="1213">
        <f t="shared" ca="1" si="137"/>
        <v>0</v>
      </c>
      <c r="R222" s="1213">
        <f t="shared" ca="1" si="138"/>
        <v>0</v>
      </c>
      <c r="S222" s="1213">
        <f t="shared" ca="1" si="139"/>
        <v>0</v>
      </c>
      <c r="T222" s="136">
        <f ca="1">IF(OR(R222=0,A222=0),0,IF(AND(V222=TRUE,換券單檔!$D$13=D222),E222,0))</f>
        <v>0</v>
      </c>
      <c r="U222" s="861">
        <f ca="1">IF(OR(R222=0,A222=0),0,IF(AND(V222=TRUE,換券單檔!$D$13=D222),H222,0))</f>
        <v>0</v>
      </c>
      <c r="V222" s="136" t="b">
        <f ca="1">IF(OR(B222=換券單檔!$D$3,L222="無",M222&lt;&gt;"",K222="高資產",IFERROR(MATCH(B222,換券單檔!K:K,0),"N")&lt;&gt;"N"),FALSE,IF($V$1="All",TRUE,IF(K222=$V$1,TRUE,FALSE)))</f>
        <v>1</v>
      </c>
      <c r="W222" s="136">
        <f ca="1">VLOOKUP(A222,'銀行-TSS'!A:AO,41,FALSE)</f>
        <v>100.71000000000001</v>
      </c>
      <c r="X222" s="136">
        <f ca="1">VLOOKUP(A222,'銀行-TSS'!A:AP,42,FALSE)</f>
        <v>2.8628999999999998</v>
      </c>
      <c r="Y222" s="1220">
        <f t="shared" ca="1" si="140"/>
        <v>0</v>
      </c>
      <c r="Z222" s="1220">
        <f t="shared" ca="1" si="141"/>
        <v>0</v>
      </c>
      <c r="AA222" s="136">
        <f ca="1">IF(Z222&lt;=0,0,RANK(Z222,Z:Z)+COUNTIF($Z$3:$Z222,Z222)-1)</f>
        <v>0</v>
      </c>
      <c r="AB222" s="1211">
        <f t="shared" ca="1" si="142"/>
        <v>-114896.14</v>
      </c>
      <c r="AC222" s="136">
        <f ca="1">IF(AB222&lt;=0,0,RANK(AB222,AB:AB)+COUNTIF($AB$3:$AB222,AB222)-1)</f>
        <v>0</v>
      </c>
      <c r="AD222" s="1123">
        <f t="shared" ca="1" si="143"/>
        <v>99999</v>
      </c>
      <c r="AE222" s="1123">
        <f ca="1">IF(AD222=99999,0,RANK(AD222,AD:AD,1)+COUNTIF($AD$3:$AD222,AD222)-1)</f>
        <v>0</v>
      </c>
      <c r="AF222" s="86" t="b">
        <f ca="1">IF(OR(M222&lt;&gt;"",L222="無",K222="高資產",IFERROR(MATCH(B222,換券單檔!K:K,0),"N")&lt;&gt;"N"),FALSE,TRUE)</f>
        <v>1</v>
      </c>
      <c r="AI222" s="1212">
        <f t="shared" ca="1" si="144"/>
        <v>0</v>
      </c>
      <c r="AJ222" s="1213">
        <f t="shared" ca="1" si="145"/>
        <v>0</v>
      </c>
      <c r="AK222" s="1587">
        <f t="shared" ca="1" si="146"/>
        <v>0</v>
      </c>
      <c r="AN222" s="1212">
        <f t="shared" ca="1" si="147"/>
        <v>0</v>
      </c>
      <c r="AO222" s="1213">
        <f t="shared" ca="1" si="148"/>
        <v>0</v>
      </c>
      <c r="AP222" s="1587">
        <f t="shared" ca="1" si="149"/>
        <v>0</v>
      </c>
      <c r="AS222" s="1212">
        <f t="shared" ca="1" si="150"/>
        <v>0</v>
      </c>
      <c r="AT222" s="1213">
        <f t="shared" ca="1" si="151"/>
        <v>0</v>
      </c>
      <c r="AU222" s="1587">
        <f t="shared" ca="1" si="152"/>
        <v>0</v>
      </c>
      <c r="AX222" s="1212">
        <f t="shared" ca="1" si="153"/>
        <v>0</v>
      </c>
      <c r="AY222" s="1213">
        <f t="shared" ca="1" si="154"/>
        <v>0</v>
      </c>
      <c r="AZ222" s="1587">
        <f t="shared" ca="1" si="155"/>
        <v>0</v>
      </c>
      <c r="BC222" s="1212">
        <f t="shared" ca="1" si="156"/>
        <v>0</v>
      </c>
      <c r="BD222" s="1213">
        <f t="shared" ca="1" si="157"/>
        <v>0</v>
      </c>
      <c r="BE222" s="1587">
        <f t="shared" ca="1" si="158"/>
        <v>0</v>
      </c>
      <c r="BH222" s="1212">
        <f t="shared" ca="1" si="159"/>
        <v>0</v>
      </c>
      <c r="BI222" s="1213">
        <f t="shared" ca="1" si="160"/>
        <v>0</v>
      </c>
      <c r="BJ222" s="1587">
        <f t="shared" ca="1" si="161"/>
        <v>0</v>
      </c>
      <c r="BM222" s="1212">
        <f t="shared" ca="1" si="162"/>
        <v>0</v>
      </c>
      <c r="BN222" s="1213">
        <f t="shared" ca="1" si="163"/>
        <v>0</v>
      </c>
      <c r="BO222" s="1587">
        <f t="shared" ca="1" si="164"/>
        <v>0</v>
      </c>
      <c r="BR222" s="1212">
        <f t="shared" ca="1" si="165"/>
        <v>0</v>
      </c>
      <c r="BS222" s="1213">
        <f t="shared" ca="1" si="166"/>
        <v>0</v>
      </c>
      <c r="BT222" s="1587">
        <f t="shared" ca="1" si="167"/>
        <v>0</v>
      </c>
      <c r="BW222" s="1212">
        <f t="shared" ca="1" si="168"/>
        <v>0</v>
      </c>
      <c r="BX222" s="1213">
        <f t="shared" ca="1" si="169"/>
        <v>0</v>
      </c>
      <c r="BY222" s="1587">
        <f t="shared" ca="1" si="170"/>
        <v>0</v>
      </c>
      <c r="CB222" s="1212">
        <f t="shared" ca="1" si="171"/>
        <v>0</v>
      </c>
      <c r="CC222" s="1213">
        <f t="shared" ca="1" si="172"/>
        <v>0</v>
      </c>
      <c r="CD222" s="1587">
        <f t="shared" ca="1" si="173"/>
        <v>0</v>
      </c>
      <c r="CG222" s="1212">
        <f t="shared" ca="1" si="174"/>
        <v>0</v>
      </c>
      <c r="CH222" s="1213">
        <f t="shared" ca="1" si="175"/>
        <v>0</v>
      </c>
      <c r="CI222" s="1587">
        <f t="shared" ca="1" si="176"/>
        <v>0</v>
      </c>
      <c r="CL222" s="1212">
        <f t="shared" ca="1" si="177"/>
        <v>0</v>
      </c>
      <c r="CM222" s="1213">
        <f t="shared" ca="1" si="178"/>
        <v>0</v>
      </c>
      <c r="CN222" s="1587">
        <f t="shared" ca="1" si="179"/>
        <v>0</v>
      </c>
    </row>
    <row r="223" spans="1:92">
      <c r="A223" s="141" t="str">
        <f>'銀行-TSS'!A223</f>
        <v>US06051GGA13</v>
      </c>
      <c r="B223" s="151" t="str">
        <f ca="1">VLOOKUP(A223,'銀行-TSS'!A:B,2,FALSE)</f>
        <v>XH170</v>
      </c>
      <c r="C223" s="151" t="str">
        <f ca="1">VLOOKUP(B223,bond!B:C,2,FALSE)</f>
        <v>美國銀行美元配息債券 3.248% 2027/10/21</v>
      </c>
      <c r="D223" s="95" t="str">
        <f>VLOOKUP(A223,'銀行-TSS'!A:C,3,FALSE)</f>
        <v>USD</v>
      </c>
      <c r="E223" s="90">
        <f ca="1">VLOOKUP(A223,'銀行-TSS'!A:G,7,FALSE)</f>
        <v>3.3</v>
      </c>
      <c r="F223" s="202">
        <f ca="1">VLOOKUP(A223,'銀行-TSS'!A:H,8,FALSE)</f>
        <v>3.2480000000000002E-2</v>
      </c>
      <c r="G223" s="96">
        <f ca="1">VLOOKUP(A223,'銀行-TSS'!A:K,11,FALSE)</f>
        <v>96.92</v>
      </c>
      <c r="H223" s="1209">
        <f ca="1">VLOOKUP(A223,'銀行-TSS'!A:M,13,FALSE)</f>
        <v>4.4699999999999997E-2</v>
      </c>
      <c r="I223" s="1213">
        <f ca="1">VLOOKUP(A223,'銀行-TSS'!A:N,14,FALSE)</f>
        <v>10000</v>
      </c>
      <c r="J223" s="1213">
        <f ca="1">VLOOKUP(A223,'銀行-TSS'!A:O,15,FALSE)</f>
        <v>1000</v>
      </c>
      <c r="K223" s="136" t="str">
        <f ca="1">VLOOKUP(A223,'銀行-TSS'!A:V,22,FALSE)</f>
        <v>(PI)專投</v>
      </c>
      <c r="L223" s="136" t="str">
        <f ca="1">VLOOKUP(A223,'銀行-TSS'!A:AK,37,FALSE)</f>
        <v>有</v>
      </c>
      <c r="M223" s="136" t="str">
        <f ca="1">VLOOKUP(A223,'銀行-TSS'!A:AN,40,FALSE)</f>
        <v/>
      </c>
      <c r="N223" s="136">
        <f t="shared" ca="1" si="135"/>
        <v>969.2</v>
      </c>
      <c r="O223" s="1213">
        <f t="shared" ca="1" si="136"/>
        <v>9692</v>
      </c>
      <c r="P223" s="1213">
        <f ca="1">IF(AND($O$1&gt;=O223,換券單檔!$D$13=D223),I223+INT(($O$1-O223)/N223)*J223,0)</f>
        <v>99000</v>
      </c>
      <c r="Q223" s="1213">
        <f t="shared" ca="1" si="137"/>
        <v>3215.52</v>
      </c>
      <c r="R223" s="1213">
        <f t="shared" ca="1" si="138"/>
        <v>99000</v>
      </c>
      <c r="S223" s="1213">
        <f t="shared" ca="1" si="139"/>
        <v>3215.52</v>
      </c>
      <c r="T223" s="136">
        <f ca="1">IF(OR(R223=0,A223=0),0,IF(AND(V223=TRUE,換券單檔!$D$13=D223),E223,0))</f>
        <v>3.3</v>
      </c>
      <c r="U223" s="861">
        <f ca="1">IF(OR(R223=0,A223=0),0,IF(AND(V223=TRUE,換券單檔!$D$13=D223),H223,0))</f>
        <v>4.4699999999999997E-2</v>
      </c>
      <c r="V223" s="136" t="b">
        <f ca="1">IF(OR(B223=換券單檔!$D$3,L223="無",M223&lt;&gt;"",K223="高資產",IFERROR(MATCH(B223,換券單檔!K:K,0),"N")&lt;&gt;"N"),FALSE,IF($V$1="All",TRUE,IF(K223=$V$1,TRUE,FALSE)))</f>
        <v>1</v>
      </c>
      <c r="W223" s="136">
        <f ca="1">VLOOKUP(A223,'銀行-TSS'!A:AO,41,FALSE)</f>
        <v>95.08</v>
      </c>
      <c r="X223" s="136">
        <f ca="1">VLOOKUP(A223,'銀行-TSS'!A:AP,42,FALSE)</f>
        <v>3.0607000000000002</v>
      </c>
      <c r="Y223" s="1220">
        <f t="shared" ca="1" si="140"/>
        <v>2881.0124243999999</v>
      </c>
      <c r="Z223" s="1220">
        <f t="shared" ca="1" si="141"/>
        <v>0</v>
      </c>
      <c r="AA223" s="136">
        <f ca="1">IF(Z223&lt;=0,0,RANK(Z223,Z:Z)+COUNTIF($Z$3:$Z223,Z223)-1)</f>
        <v>0</v>
      </c>
      <c r="AB223" s="1211">
        <f t="shared" ca="1" si="142"/>
        <v>-13015.1275756</v>
      </c>
      <c r="AC223" s="136">
        <f ca="1">IF(AB223&lt;=0,0,RANK(AB223,AB:AB)+COUNTIF($AB$3:$AB223,AB223)-1)</f>
        <v>0</v>
      </c>
      <c r="AD223" s="1123">
        <f t="shared" ca="1" si="143"/>
        <v>99999</v>
      </c>
      <c r="AE223" s="1123">
        <f ca="1">IF(AD223=99999,0,RANK(AD223,AD:AD,1)+COUNTIF($AD$3:$AD223,AD223)-1)</f>
        <v>0</v>
      </c>
      <c r="AF223" s="86" t="b">
        <f ca="1">IF(OR(M223&lt;&gt;"",L223="無",K223="高資產",IFERROR(MATCH(B223,換券單檔!K:K,0),"N")&lt;&gt;"N"),FALSE,TRUE)</f>
        <v>1</v>
      </c>
      <c r="AI223" s="1212">
        <f t="shared" ca="1" si="144"/>
        <v>99000</v>
      </c>
      <c r="AJ223" s="1213">
        <f t="shared" ca="1" si="145"/>
        <v>3215.52</v>
      </c>
      <c r="AK223" s="1587">
        <f t="shared" ca="1" si="146"/>
        <v>0</v>
      </c>
      <c r="AN223" s="1212">
        <f t="shared" ca="1" si="147"/>
        <v>57000</v>
      </c>
      <c r="AO223" s="1213">
        <f t="shared" ca="1" si="148"/>
        <v>1851.3600000000001</v>
      </c>
      <c r="AP223" s="1587">
        <f t="shared" ca="1" si="149"/>
        <v>0</v>
      </c>
      <c r="AS223" s="1212">
        <f t="shared" ca="1" si="150"/>
        <v>97000</v>
      </c>
      <c r="AT223" s="1213">
        <f t="shared" ca="1" si="151"/>
        <v>3150.5600000000004</v>
      </c>
      <c r="AU223" s="1587">
        <f t="shared" ca="1" si="152"/>
        <v>0</v>
      </c>
      <c r="AX223" s="1212">
        <f t="shared" ca="1" si="153"/>
        <v>89000</v>
      </c>
      <c r="AY223" s="1213">
        <f t="shared" ca="1" si="154"/>
        <v>2890.7200000000003</v>
      </c>
      <c r="AZ223" s="1587">
        <f t="shared" ca="1" si="155"/>
        <v>0</v>
      </c>
      <c r="BC223" s="1212">
        <f t="shared" ca="1" si="156"/>
        <v>0</v>
      </c>
      <c r="BD223" s="1213">
        <f t="shared" ca="1" si="157"/>
        <v>0</v>
      </c>
      <c r="BE223" s="1587">
        <f t="shared" ca="1" si="158"/>
        <v>0</v>
      </c>
      <c r="BH223" s="1212">
        <f t="shared" ca="1" si="159"/>
        <v>0</v>
      </c>
      <c r="BI223" s="1213">
        <f t="shared" ca="1" si="160"/>
        <v>0</v>
      </c>
      <c r="BJ223" s="1587">
        <f t="shared" ca="1" si="161"/>
        <v>0</v>
      </c>
      <c r="BM223" s="1212">
        <f t="shared" ca="1" si="162"/>
        <v>0</v>
      </c>
      <c r="BN223" s="1213">
        <f t="shared" ca="1" si="163"/>
        <v>0</v>
      </c>
      <c r="BO223" s="1587">
        <f t="shared" ca="1" si="164"/>
        <v>0</v>
      </c>
      <c r="BR223" s="1212">
        <f t="shared" ca="1" si="165"/>
        <v>0</v>
      </c>
      <c r="BS223" s="1213">
        <f t="shared" ca="1" si="166"/>
        <v>0</v>
      </c>
      <c r="BT223" s="1587">
        <f t="shared" ca="1" si="167"/>
        <v>0</v>
      </c>
      <c r="BW223" s="1212">
        <f t="shared" ca="1" si="168"/>
        <v>0</v>
      </c>
      <c r="BX223" s="1213">
        <f t="shared" ca="1" si="169"/>
        <v>0</v>
      </c>
      <c r="BY223" s="1587">
        <f t="shared" ca="1" si="170"/>
        <v>0</v>
      </c>
      <c r="CB223" s="1212">
        <f t="shared" ca="1" si="171"/>
        <v>0</v>
      </c>
      <c r="CC223" s="1213">
        <f t="shared" ca="1" si="172"/>
        <v>0</v>
      </c>
      <c r="CD223" s="1587">
        <f t="shared" ca="1" si="173"/>
        <v>0</v>
      </c>
      <c r="CG223" s="1212">
        <f t="shared" ca="1" si="174"/>
        <v>0</v>
      </c>
      <c r="CH223" s="1213">
        <f t="shared" ca="1" si="175"/>
        <v>0</v>
      </c>
      <c r="CI223" s="1587">
        <f t="shared" ca="1" si="176"/>
        <v>0</v>
      </c>
      <c r="CL223" s="1212">
        <f t="shared" ca="1" si="177"/>
        <v>0</v>
      </c>
      <c r="CM223" s="1213">
        <f t="shared" ca="1" si="178"/>
        <v>0</v>
      </c>
      <c r="CN223" s="1587">
        <f t="shared" ca="1" si="179"/>
        <v>0</v>
      </c>
    </row>
    <row r="224" spans="1:92">
      <c r="A224" s="141" t="str">
        <f>'銀行-TSS'!A224</f>
        <v>US438516CK03</v>
      </c>
      <c r="B224" s="151" t="str">
        <f ca="1">VLOOKUP(A224,'銀行-TSS'!A:B,2,FALSE)</f>
        <v>XH180</v>
      </c>
      <c r="C224" s="151" t="str">
        <f ca="1">VLOOKUP(B224,bond!B:C,2,FALSE)</f>
        <v>漢威聯合國際公司美元配息債券 5% 2033/2/15</v>
      </c>
      <c r="D224" s="95" t="str">
        <f>VLOOKUP(A224,'銀行-TSS'!A:C,3,FALSE)</f>
        <v>USD</v>
      </c>
      <c r="E224" s="90">
        <f ca="1">VLOOKUP(A224,'銀行-TSS'!A:G,7,FALSE)</f>
        <v>8.6199999999999992</v>
      </c>
      <c r="F224" s="202">
        <f ca="1">VLOOKUP(A224,'銀行-TSS'!A:H,8,FALSE)</f>
        <v>0.05</v>
      </c>
      <c r="G224" s="96">
        <f ca="1">VLOOKUP(A224,'銀行-TSS'!A:K,11,FALSE)</f>
        <v>103.93</v>
      </c>
      <c r="H224" s="1209">
        <f ca="1">VLOOKUP(A224,'銀行-TSS'!A:M,13,FALSE)</f>
        <v>4.7100000000000003E-2</v>
      </c>
      <c r="I224" s="1213">
        <f ca="1">VLOOKUP(A224,'銀行-TSS'!A:N,14,FALSE)</f>
        <v>10000</v>
      </c>
      <c r="J224" s="1213">
        <f ca="1">VLOOKUP(A224,'銀行-TSS'!A:O,15,FALSE)</f>
        <v>1000</v>
      </c>
      <c r="K224" s="136" t="str">
        <f ca="1">VLOOKUP(A224,'銀行-TSS'!A:V,22,FALSE)</f>
        <v>(NPI)非專投</v>
      </c>
      <c r="L224" s="136" t="str">
        <f ca="1">VLOOKUP(A224,'銀行-TSS'!A:AK,37,FALSE)</f>
        <v>有</v>
      </c>
      <c r="M224" s="136" t="str">
        <f ca="1">VLOOKUP(A224,'銀行-TSS'!A:AN,40,FALSE)</f>
        <v/>
      </c>
      <c r="N224" s="136">
        <f t="shared" ca="1" si="135"/>
        <v>1039.3</v>
      </c>
      <c r="O224" s="1213">
        <f t="shared" ca="1" si="136"/>
        <v>10393.000000000002</v>
      </c>
      <c r="P224" s="1213">
        <f ca="1">IF(AND($O$1&gt;=O224,換券單檔!$D$13=D224),I224+INT(($O$1-O224)/N224)*J224,0)</f>
        <v>93000</v>
      </c>
      <c r="Q224" s="1213">
        <f t="shared" ca="1" si="137"/>
        <v>4650</v>
      </c>
      <c r="R224" s="1213">
        <f t="shared" ca="1" si="138"/>
        <v>93000</v>
      </c>
      <c r="S224" s="1213">
        <f t="shared" ca="1" si="139"/>
        <v>4650</v>
      </c>
      <c r="T224" s="136">
        <f ca="1">IF(OR(R224=0,A224=0),0,IF(AND(V224=TRUE,換券單檔!$D$13=D224),E224,0))</f>
        <v>8.6199999999999992</v>
      </c>
      <c r="U224" s="861">
        <f ca="1">IF(OR(R224=0,A224=0),0,IF(AND(V224=TRUE,換券單檔!$D$13=D224),H224,0))</f>
        <v>4.7100000000000003E-2</v>
      </c>
      <c r="V224" s="136" t="b">
        <f ca="1">IF(OR(B224=換券單檔!$D$3,L224="無",M224&lt;&gt;"",K224="高資產",IFERROR(MATCH(B224,換券單檔!K:K,0),"N")&lt;&gt;"N"),FALSE,IF($V$1="All",TRUE,IF(K224=$V$1,TRUE,FALSE)))</f>
        <v>1</v>
      </c>
      <c r="W224" s="136">
        <f ca="1">VLOOKUP(A224,'銀行-TSS'!A:AO,41,FALSE)</f>
        <v>100.53</v>
      </c>
      <c r="X224" s="136">
        <f ca="1">VLOOKUP(A224,'銀行-TSS'!A:AP,42,FALSE)</f>
        <v>6.6574</v>
      </c>
      <c r="Y224" s="1220">
        <f t="shared" ca="1" si="140"/>
        <v>6224.1963246000014</v>
      </c>
      <c r="Z224" s="1220">
        <f t="shared" ca="1" si="141"/>
        <v>-14565.19721577726</v>
      </c>
      <c r="AA224" s="136">
        <f ca="1">IF(Z224&lt;=0,0,RANK(Z224,Z:Z)+COUNTIF($Z$3:$Z224,Z224)-1)</f>
        <v>0</v>
      </c>
      <c r="AB224" s="1211">
        <f t="shared" ca="1" si="142"/>
        <v>-15671.943675399998</v>
      </c>
      <c r="AC224" s="136">
        <f ca="1">IF(AB224&lt;=0,0,RANK(AB224,AB:AB)+COUNTIF($AB$3:$AB224,AB224)-1)</f>
        <v>0</v>
      </c>
      <c r="AD224" s="1123">
        <f t="shared" ca="1" si="143"/>
        <v>99999</v>
      </c>
      <c r="AE224" s="1123">
        <f ca="1">IF(AD224=99999,0,RANK(AD224,AD:AD,1)+COUNTIF($AD$3:$AD224,AD224)-1)</f>
        <v>0</v>
      </c>
      <c r="AF224" s="86" t="b">
        <f ca="1">IF(OR(M224&lt;&gt;"",L224="無",K224="高資產",IFERROR(MATCH(B224,換券單檔!K:K,0),"N")&lt;&gt;"N"),FALSE,TRUE)</f>
        <v>1</v>
      </c>
      <c r="AI224" s="1212">
        <f t="shared" ca="1" si="144"/>
        <v>93000</v>
      </c>
      <c r="AJ224" s="1213">
        <f t="shared" ca="1" si="145"/>
        <v>4650</v>
      </c>
      <c r="AK224" s="1587">
        <f t="shared" ca="1" si="146"/>
        <v>-14565.19721577726</v>
      </c>
      <c r="AN224" s="1212">
        <f t="shared" ca="1" si="147"/>
        <v>53000</v>
      </c>
      <c r="AO224" s="1213">
        <f t="shared" ca="1" si="148"/>
        <v>2650</v>
      </c>
      <c r="AP224" s="1587">
        <f t="shared" ca="1" si="149"/>
        <v>-92869.605568445477</v>
      </c>
      <c r="AS224" s="1212">
        <f t="shared" ca="1" si="150"/>
        <v>90000</v>
      </c>
      <c r="AT224" s="1213">
        <f t="shared" ca="1" si="151"/>
        <v>4500</v>
      </c>
      <c r="AU224" s="1587">
        <f t="shared" ca="1" si="152"/>
        <v>-21059.744779582368</v>
      </c>
      <c r="AX224" s="1212">
        <f t="shared" ca="1" si="153"/>
        <v>83000</v>
      </c>
      <c r="AY224" s="1213">
        <f t="shared" ca="1" si="154"/>
        <v>4150</v>
      </c>
      <c r="AZ224" s="1587">
        <f t="shared" ca="1" si="155"/>
        <v>-34847.795823665896</v>
      </c>
      <c r="BC224" s="1212">
        <f t="shared" ca="1" si="156"/>
        <v>0</v>
      </c>
      <c r="BD224" s="1213">
        <f t="shared" ca="1" si="157"/>
        <v>0</v>
      </c>
      <c r="BE224" s="1587">
        <f t="shared" ca="1" si="158"/>
        <v>0</v>
      </c>
      <c r="BH224" s="1212">
        <f t="shared" ca="1" si="159"/>
        <v>0</v>
      </c>
      <c r="BI224" s="1213">
        <f t="shared" ca="1" si="160"/>
        <v>0</v>
      </c>
      <c r="BJ224" s="1587">
        <f t="shared" ca="1" si="161"/>
        <v>0</v>
      </c>
      <c r="BM224" s="1212">
        <f t="shared" ca="1" si="162"/>
        <v>0</v>
      </c>
      <c r="BN224" s="1213">
        <f t="shared" ca="1" si="163"/>
        <v>0</v>
      </c>
      <c r="BO224" s="1587">
        <f t="shared" ca="1" si="164"/>
        <v>0</v>
      </c>
      <c r="BR224" s="1212">
        <f t="shared" ca="1" si="165"/>
        <v>0</v>
      </c>
      <c r="BS224" s="1213">
        <f t="shared" ca="1" si="166"/>
        <v>0</v>
      </c>
      <c r="BT224" s="1587">
        <f t="shared" ca="1" si="167"/>
        <v>0</v>
      </c>
      <c r="BW224" s="1212">
        <f t="shared" ca="1" si="168"/>
        <v>0</v>
      </c>
      <c r="BX224" s="1213">
        <f t="shared" ca="1" si="169"/>
        <v>0</v>
      </c>
      <c r="BY224" s="1587">
        <f t="shared" ca="1" si="170"/>
        <v>0</v>
      </c>
      <c r="CB224" s="1212">
        <f t="shared" ca="1" si="171"/>
        <v>0</v>
      </c>
      <c r="CC224" s="1213">
        <f t="shared" ca="1" si="172"/>
        <v>0</v>
      </c>
      <c r="CD224" s="1587">
        <f t="shared" ca="1" si="173"/>
        <v>0</v>
      </c>
      <c r="CG224" s="1212">
        <f t="shared" ca="1" si="174"/>
        <v>0</v>
      </c>
      <c r="CH224" s="1213">
        <f t="shared" ca="1" si="175"/>
        <v>0</v>
      </c>
      <c r="CI224" s="1587">
        <f t="shared" ca="1" si="176"/>
        <v>0</v>
      </c>
      <c r="CL224" s="1212">
        <f t="shared" ca="1" si="177"/>
        <v>0</v>
      </c>
      <c r="CM224" s="1213">
        <f t="shared" ca="1" si="178"/>
        <v>0</v>
      </c>
      <c r="CN224" s="1587">
        <f t="shared" ca="1" si="179"/>
        <v>0</v>
      </c>
    </row>
    <row r="225" spans="1:92">
      <c r="A225" s="141" t="str">
        <f>'銀行-TSS'!A225</f>
        <v>US025816BF52</v>
      </c>
      <c r="B225" s="151" t="str">
        <f ca="1">VLOOKUP(A225,'銀行-TSS'!A:B,2,FALSE)</f>
        <v>XH190</v>
      </c>
      <c r="C225" s="151" t="str">
        <f ca="1">VLOOKUP(B225,bond!B:C,2,FALSE)</f>
        <v>美國運通公司美元配息債券 4.05% 2042/12/3</v>
      </c>
      <c r="D225" s="95" t="str">
        <f>VLOOKUP(A225,'銀行-TSS'!A:C,3,FALSE)</f>
        <v>USD</v>
      </c>
      <c r="E225" s="90">
        <f ca="1">VLOOKUP(A225,'銀行-TSS'!A:G,7,FALSE)</f>
        <v>18.420000000000002</v>
      </c>
      <c r="F225" s="202">
        <f ca="1">VLOOKUP(A225,'銀行-TSS'!A:H,8,FALSE)</f>
        <v>4.0500000000000001E-2</v>
      </c>
      <c r="G225" s="96">
        <f ca="1">VLOOKUP(A225,'銀行-TSS'!A:K,11,FALSE)</f>
        <v>86.85</v>
      </c>
      <c r="H225" s="1209">
        <f ca="1">VLOOKUP(A225,'銀行-TSS'!A:M,13,FALSE)</f>
        <v>5.1999999999999998E-2</v>
      </c>
      <c r="I225" s="1213">
        <f ca="1">VLOOKUP(A225,'銀行-TSS'!A:N,14,FALSE)</f>
        <v>10000</v>
      </c>
      <c r="J225" s="1213">
        <f ca="1">VLOOKUP(A225,'銀行-TSS'!A:O,15,FALSE)</f>
        <v>1000</v>
      </c>
      <c r="K225" s="136" t="str">
        <f ca="1">VLOOKUP(A225,'銀行-TSS'!A:V,22,FALSE)</f>
        <v>(NPI)非專投</v>
      </c>
      <c r="L225" s="136" t="str">
        <f ca="1">VLOOKUP(A225,'銀行-TSS'!A:AK,37,FALSE)</f>
        <v>有</v>
      </c>
      <c r="M225" s="136" t="str">
        <f ca="1">VLOOKUP(A225,'銀行-TSS'!A:AN,40,FALSE)</f>
        <v/>
      </c>
      <c r="N225" s="136">
        <f t="shared" ca="1" si="135"/>
        <v>868.5</v>
      </c>
      <c r="O225" s="1213">
        <f t="shared" ca="1" si="136"/>
        <v>8685</v>
      </c>
      <c r="P225" s="1213">
        <f ca="1">IF(AND($O$1&gt;=O225,換券單檔!$D$13=D225),I225+INT(($O$1-O225)/N225)*J225,0)</f>
        <v>111000</v>
      </c>
      <c r="Q225" s="1213">
        <f t="shared" ca="1" si="137"/>
        <v>4495.5</v>
      </c>
      <c r="R225" s="1213">
        <f t="shared" ca="1" si="138"/>
        <v>111000</v>
      </c>
      <c r="S225" s="1213">
        <f t="shared" ca="1" si="139"/>
        <v>4495.5</v>
      </c>
      <c r="T225" s="136">
        <f ca="1">IF(OR(R225=0,A225=0),0,IF(AND(V225=TRUE,換券單檔!$D$13=D225),E225,0))</f>
        <v>18.420000000000002</v>
      </c>
      <c r="U225" s="861">
        <f ca="1">IF(OR(R225=0,A225=0),0,IF(AND(V225=TRUE,換券單檔!$D$13=D225),H225,0))</f>
        <v>5.1999999999999998E-2</v>
      </c>
      <c r="V225" s="136" t="b">
        <f ca="1">IF(OR(B225=換券單檔!$D$3,L225="無",M225&lt;&gt;"",K225="高資產",IFERROR(MATCH(B225,換券單檔!K:K,0),"N")&lt;&gt;"N"),FALSE,IF($V$1="All",TRUE,IF(K225=$V$1,TRUE,FALSE)))</f>
        <v>1</v>
      </c>
      <c r="W225" s="136">
        <f ca="1">VLOOKUP(A225,'銀行-TSS'!A:AO,41,FALSE)</f>
        <v>84.02000000000001</v>
      </c>
      <c r="X225" s="136">
        <f ca="1">VLOOKUP(A225,'銀行-TSS'!A:AP,42,FALSE)</f>
        <v>12.253</v>
      </c>
      <c r="Y225" s="1220">
        <f t="shared" ca="1" si="140"/>
        <v>11427.417366000001</v>
      </c>
      <c r="Z225" s="1220">
        <f t="shared" ca="1" si="141"/>
        <v>-736.04343105320027</v>
      </c>
      <c r="AA225" s="136">
        <f ca="1">IF(Z225&lt;=0,0,RANK(Z225,Z:Z)+COUNTIF($Z$3:$Z225,Z225)-1)</f>
        <v>0</v>
      </c>
      <c r="AB225" s="1211">
        <f t="shared" ca="1" si="142"/>
        <v>-3468.7226339999979</v>
      </c>
      <c r="AC225" s="136">
        <f ca="1">IF(AB225&lt;=0,0,RANK(AB225,AB:AB)+COUNTIF($AB$3:$AB225,AB225)-1)</f>
        <v>0</v>
      </c>
      <c r="AD225" s="1123">
        <f t="shared" ca="1" si="143"/>
        <v>99999</v>
      </c>
      <c r="AE225" s="1123">
        <f ca="1">IF(AD225=99999,0,RANK(AD225,AD:AD,1)+COUNTIF($AD$3:$AD225,AD225)-1)</f>
        <v>0</v>
      </c>
      <c r="AF225" s="86" t="b">
        <f ca="1">IF(OR(M225&lt;&gt;"",L225="無",K225="高資產",IFERROR(MATCH(B225,換券單檔!K:K,0),"N")&lt;&gt;"N"),FALSE,TRUE)</f>
        <v>1</v>
      </c>
      <c r="AI225" s="1212">
        <f t="shared" ca="1" si="144"/>
        <v>111000</v>
      </c>
      <c r="AJ225" s="1213">
        <f t="shared" ca="1" si="145"/>
        <v>4495.5</v>
      </c>
      <c r="AK225" s="1587">
        <f t="shared" ca="1" si="146"/>
        <v>-736.04343105320027</v>
      </c>
      <c r="AN225" s="1212">
        <f t="shared" ca="1" si="147"/>
        <v>63000</v>
      </c>
      <c r="AO225" s="1213">
        <f t="shared" ca="1" si="148"/>
        <v>2551.5</v>
      </c>
      <c r="AP225" s="1587">
        <f t="shared" ca="1" si="149"/>
        <v>-73120.05211726384</v>
      </c>
      <c r="AS225" s="1212">
        <f t="shared" ca="1" si="150"/>
        <v>108000</v>
      </c>
      <c r="AT225" s="1213">
        <f t="shared" ca="1" si="151"/>
        <v>4374</v>
      </c>
      <c r="AU225" s="1587">
        <f t="shared" ca="1" si="152"/>
        <v>0</v>
      </c>
      <c r="AX225" s="1212">
        <f t="shared" ca="1" si="153"/>
        <v>100000</v>
      </c>
      <c r="AY225" s="1213">
        <f t="shared" ca="1" si="154"/>
        <v>4050</v>
      </c>
      <c r="AZ225" s="1587">
        <f t="shared" ca="1" si="155"/>
        <v>-1167.4267100977224</v>
      </c>
      <c r="BC225" s="1212">
        <f t="shared" ca="1" si="156"/>
        <v>0</v>
      </c>
      <c r="BD225" s="1213">
        <f t="shared" ca="1" si="157"/>
        <v>0</v>
      </c>
      <c r="BE225" s="1587">
        <f t="shared" ca="1" si="158"/>
        <v>0</v>
      </c>
      <c r="BH225" s="1212">
        <f t="shared" ca="1" si="159"/>
        <v>0</v>
      </c>
      <c r="BI225" s="1213">
        <f t="shared" ca="1" si="160"/>
        <v>0</v>
      </c>
      <c r="BJ225" s="1587">
        <f t="shared" ca="1" si="161"/>
        <v>0</v>
      </c>
      <c r="BM225" s="1212">
        <f t="shared" ca="1" si="162"/>
        <v>0</v>
      </c>
      <c r="BN225" s="1213">
        <f t="shared" ca="1" si="163"/>
        <v>0</v>
      </c>
      <c r="BO225" s="1587">
        <f t="shared" ca="1" si="164"/>
        <v>0</v>
      </c>
      <c r="BR225" s="1212">
        <f t="shared" ca="1" si="165"/>
        <v>0</v>
      </c>
      <c r="BS225" s="1213">
        <f t="shared" ca="1" si="166"/>
        <v>0</v>
      </c>
      <c r="BT225" s="1587">
        <f t="shared" ca="1" si="167"/>
        <v>0</v>
      </c>
      <c r="BW225" s="1212">
        <f t="shared" ca="1" si="168"/>
        <v>0</v>
      </c>
      <c r="BX225" s="1213">
        <f t="shared" ca="1" si="169"/>
        <v>0</v>
      </c>
      <c r="BY225" s="1587">
        <f t="shared" ca="1" si="170"/>
        <v>0</v>
      </c>
      <c r="CB225" s="1212">
        <f t="shared" ca="1" si="171"/>
        <v>0</v>
      </c>
      <c r="CC225" s="1213">
        <f t="shared" ca="1" si="172"/>
        <v>0</v>
      </c>
      <c r="CD225" s="1587">
        <f t="shared" ca="1" si="173"/>
        <v>0</v>
      </c>
      <c r="CG225" s="1212">
        <f t="shared" ca="1" si="174"/>
        <v>0</v>
      </c>
      <c r="CH225" s="1213">
        <f t="shared" ca="1" si="175"/>
        <v>0</v>
      </c>
      <c r="CI225" s="1587">
        <f t="shared" ca="1" si="176"/>
        <v>0</v>
      </c>
      <c r="CL225" s="1212">
        <f t="shared" ca="1" si="177"/>
        <v>0</v>
      </c>
      <c r="CM225" s="1213">
        <f t="shared" ca="1" si="178"/>
        <v>0</v>
      </c>
      <c r="CN225" s="1587">
        <f t="shared" ca="1" si="179"/>
        <v>0</v>
      </c>
    </row>
    <row r="226" spans="1:92">
      <c r="A226" s="141" t="str">
        <f>'銀行-TSS'!A226</f>
        <v>US74432QCA13</v>
      </c>
      <c r="B226" s="151" t="str">
        <f ca="1">VLOOKUP(A226,'銀行-TSS'!A:B,2,FALSE)</f>
        <v>XH200</v>
      </c>
      <c r="C226" s="151" t="str">
        <f ca="1">VLOOKUP(B226,bond!B:C,2,FALSE)</f>
        <v>保德信金融公司美元配息債券 4.6% 2044/5/15</v>
      </c>
      <c r="D226" s="95" t="str">
        <f>VLOOKUP(A226,'銀行-TSS'!A:C,3,FALSE)</f>
        <v>USD</v>
      </c>
      <c r="E226" s="90">
        <f ca="1">VLOOKUP(A226,'銀行-TSS'!A:G,7,FALSE)</f>
        <v>19.87</v>
      </c>
      <c r="F226" s="202">
        <f ca="1">VLOOKUP(A226,'銀行-TSS'!A:H,8,FALSE)</f>
        <v>4.5999999999999999E-2</v>
      </c>
      <c r="G226" s="96">
        <f ca="1">VLOOKUP(A226,'銀行-TSS'!A:K,11,FALSE)</f>
        <v>91.3</v>
      </c>
      <c r="H226" s="1209">
        <f ca="1">VLOOKUP(A226,'銀行-TSS'!A:M,13,FALSE)</f>
        <v>5.3699999999999998E-2</v>
      </c>
      <c r="I226" s="1213">
        <f ca="1">VLOOKUP(A226,'銀行-TSS'!A:N,14,FALSE)</f>
        <v>10000</v>
      </c>
      <c r="J226" s="1213">
        <f ca="1">VLOOKUP(A226,'銀行-TSS'!A:O,15,FALSE)</f>
        <v>1000</v>
      </c>
      <c r="K226" s="136" t="str">
        <f ca="1">VLOOKUP(A226,'銀行-TSS'!A:V,22,FALSE)</f>
        <v>(NPI)非專投</v>
      </c>
      <c r="L226" s="136" t="str">
        <f ca="1">VLOOKUP(A226,'銀行-TSS'!A:AK,37,FALSE)</f>
        <v>有</v>
      </c>
      <c r="M226" s="136" t="str">
        <f ca="1">VLOOKUP(A226,'銀行-TSS'!A:AN,40,FALSE)</f>
        <v/>
      </c>
      <c r="N226" s="136">
        <f t="shared" ca="1" si="135"/>
        <v>913</v>
      </c>
      <c r="O226" s="1213">
        <f t="shared" ca="1" si="136"/>
        <v>9130</v>
      </c>
      <c r="P226" s="1213">
        <f ca="1">IF(AND($O$1&gt;=O226,換券單檔!$D$13=D226),I226+INT(($O$1-O226)/N226)*J226,0)</f>
        <v>105000</v>
      </c>
      <c r="Q226" s="1213">
        <f t="shared" ca="1" si="137"/>
        <v>4830</v>
      </c>
      <c r="R226" s="1213">
        <f t="shared" ca="1" si="138"/>
        <v>105000</v>
      </c>
      <c r="S226" s="1213">
        <f t="shared" ca="1" si="139"/>
        <v>4830</v>
      </c>
      <c r="T226" s="136">
        <f ca="1">IF(OR(R226=0,A226=0),0,IF(AND(V226=TRUE,換券單檔!$D$13=D226),E226,0))</f>
        <v>19.87</v>
      </c>
      <c r="U226" s="861">
        <f ca="1">IF(OR(R226=0,A226=0),0,IF(AND(V226=TRUE,換券單檔!$D$13=D226),H226,0))</f>
        <v>5.3699999999999998E-2</v>
      </c>
      <c r="V226" s="136" t="b">
        <f ca="1">IF(OR(B226=換券單檔!$D$3,L226="無",M226&lt;&gt;"",K226="高資產",IFERROR(MATCH(B226,換券單檔!K:K,0),"N")&lt;&gt;"N"),FALSE,IF($V$1="All",TRUE,IF(K226=$V$1,TRUE,FALSE)))</f>
        <v>1</v>
      </c>
      <c r="W226" s="136">
        <f ca="1">VLOOKUP(A226,'銀行-TSS'!A:AO,41,FALSE)</f>
        <v>88.2</v>
      </c>
      <c r="X226" s="136">
        <f ca="1">VLOOKUP(A226,'銀行-TSS'!A:AP,42,FALSE)</f>
        <v>12.357900000000001</v>
      </c>
      <c r="Y226" s="1220">
        <f t="shared" ca="1" si="140"/>
        <v>11444.651190000002</v>
      </c>
      <c r="Z226" s="1220">
        <f t="shared" ca="1" si="141"/>
        <v>67.327629592352935</v>
      </c>
      <c r="AA226" s="136">
        <f ca="1">IF(Z226&lt;=0,0,RANK(Z226,Z:Z)+COUNTIF($Z$3:$Z226,Z226)-1)</f>
        <v>21</v>
      </c>
      <c r="AB226" s="1211">
        <f t="shared" ca="1" si="142"/>
        <v>-3451.4888099999971</v>
      </c>
      <c r="AC226" s="136">
        <f ca="1">IF(AB226&lt;=0,0,RANK(AB226,AB:AB)+COUNTIF($AB$3:$AB226,AB226)-1)</f>
        <v>0</v>
      </c>
      <c r="AD226" s="1123">
        <f t="shared" ca="1" si="143"/>
        <v>99999</v>
      </c>
      <c r="AE226" s="1123">
        <f ca="1">IF(AD226=99999,0,RANK(AD226,AD:AD,1)+COUNTIF($AD$3:$AD226,AD226)-1)</f>
        <v>0</v>
      </c>
      <c r="AF226" s="86" t="b">
        <f ca="1">IF(OR(M226&lt;&gt;"",L226="無",K226="高資產",IFERROR(MATCH(B226,換券單檔!K:K,0),"N")&lt;&gt;"N"),FALSE,TRUE)</f>
        <v>1</v>
      </c>
      <c r="AI226" s="1212">
        <f t="shared" ca="1" si="144"/>
        <v>105000</v>
      </c>
      <c r="AJ226" s="1213">
        <f t="shared" ca="1" si="145"/>
        <v>4830</v>
      </c>
      <c r="AK226" s="1587">
        <f t="shared" ca="1" si="146"/>
        <v>67.327629592352935</v>
      </c>
      <c r="AN226" s="1212">
        <f t="shared" ca="1" si="147"/>
        <v>60000</v>
      </c>
      <c r="AO226" s="1213">
        <f t="shared" ca="1" si="148"/>
        <v>2760</v>
      </c>
      <c r="AP226" s="1587">
        <f t="shared" ca="1" si="149"/>
        <v>-78508.500251635633</v>
      </c>
      <c r="AS226" s="1212">
        <f t="shared" ca="1" si="150"/>
        <v>103000</v>
      </c>
      <c r="AT226" s="1213">
        <f t="shared" ca="1" si="151"/>
        <v>4738</v>
      </c>
      <c r="AU226" s="1587">
        <f t="shared" ca="1" si="152"/>
        <v>-325.16708605938595</v>
      </c>
      <c r="AX226" s="1212">
        <f t="shared" ca="1" si="153"/>
        <v>95000</v>
      </c>
      <c r="AY226" s="1213">
        <f t="shared" ca="1" si="154"/>
        <v>4370</v>
      </c>
      <c r="AZ226" s="1587">
        <f t="shared" ca="1" si="155"/>
        <v>-10233.960744841472</v>
      </c>
      <c r="BC226" s="1212">
        <f t="shared" ca="1" si="156"/>
        <v>0</v>
      </c>
      <c r="BD226" s="1213">
        <f t="shared" ca="1" si="157"/>
        <v>0</v>
      </c>
      <c r="BE226" s="1587">
        <f t="shared" ca="1" si="158"/>
        <v>0</v>
      </c>
      <c r="BH226" s="1212">
        <f t="shared" ca="1" si="159"/>
        <v>0</v>
      </c>
      <c r="BI226" s="1213">
        <f t="shared" ca="1" si="160"/>
        <v>0</v>
      </c>
      <c r="BJ226" s="1587">
        <f t="shared" ca="1" si="161"/>
        <v>0</v>
      </c>
      <c r="BM226" s="1212">
        <f t="shared" ca="1" si="162"/>
        <v>0</v>
      </c>
      <c r="BN226" s="1213">
        <f t="shared" ca="1" si="163"/>
        <v>0</v>
      </c>
      <c r="BO226" s="1587">
        <f t="shared" ca="1" si="164"/>
        <v>0</v>
      </c>
      <c r="BR226" s="1212">
        <f t="shared" ca="1" si="165"/>
        <v>0</v>
      </c>
      <c r="BS226" s="1213">
        <f t="shared" ca="1" si="166"/>
        <v>0</v>
      </c>
      <c r="BT226" s="1587">
        <f t="shared" ca="1" si="167"/>
        <v>0</v>
      </c>
      <c r="BW226" s="1212">
        <f t="shared" ca="1" si="168"/>
        <v>0</v>
      </c>
      <c r="BX226" s="1213">
        <f t="shared" ca="1" si="169"/>
        <v>0</v>
      </c>
      <c r="BY226" s="1587">
        <f t="shared" ca="1" si="170"/>
        <v>0</v>
      </c>
      <c r="CB226" s="1212">
        <f t="shared" ca="1" si="171"/>
        <v>0</v>
      </c>
      <c r="CC226" s="1213">
        <f t="shared" ca="1" si="172"/>
        <v>0</v>
      </c>
      <c r="CD226" s="1587">
        <f t="shared" ca="1" si="173"/>
        <v>0</v>
      </c>
      <c r="CG226" s="1212">
        <f t="shared" ca="1" si="174"/>
        <v>0</v>
      </c>
      <c r="CH226" s="1213">
        <f t="shared" ca="1" si="175"/>
        <v>0</v>
      </c>
      <c r="CI226" s="1587">
        <f t="shared" ca="1" si="176"/>
        <v>0</v>
      </c>
      <c r="CL226" s="1212">
        <f t="shared" ca="1" si="177"/>
        <v>0</v>
      </c>
      <c r="CM226" s="1213">
        <f t="shared" ca="1" si="178"/>
        <v>0</v>
      </c>
      <c r="CN226" s="1587">
        <f t="shared" ca="1" si="179"/>
        <v>0</v>
      </c>
    </row>
    <row r="227" spans="1:92">
      <c r="A227" s="141" t="str">
        <f>'銀行-TSS'!A227</f>
        <v>USU9273ADM46</v>
      </c>
      <c r="B227" s="151" t="str">
        <f ca="1">VLOOKUP(A227,'銀行-TSS'!A:B,2,FALSE)</f>
        <v>XH220</v>
      </c>
      <c r="C227" s="151" t="str">
        <f ca="1">VLOOKUP(B227,bond!B:C,2,FALSE)</f>
        <v>福斯集團(美國)金融有限責任公司美元配息債券 4.6% 2029/6/8</v>
      </c>
      <c r="D227" s="95" t="str">
        <f>VLOOKUP(A227,'銀行-TSS'!A:C,3,FALSE)</f>
        <v>USD</v>
      </c>
      <c r="E227" s="90">
        <f ca="1">VLOOKUP(A227,'銀行-TSS'!A:G,7,FALSE)</f>
        <v>4.93</v>
      </c>
      <c r="F227" s="202">
        <f ca="1">VLOOKUP(A227,'銀行-TSS'!A:H,8,FALSE)</f>
        <v>4.5999999999999999E-2</v>
      </c>
      <c r="G227" s="96">
        <f ca="1">VLOOKUP(A227,'銀行-TSS'!A:K,11,FALSE)</f>
        <v>99.24</v>
      </c>
      <c r="H227" s="1209">
        <f ca="1">VLOOKUP(A227,'銀行-TSS'!A:M,13,FALSE)</f>
        <v>4.8500000000000001E-2</v>
      </c>
      <c r="I227" s="1213">
        <f ca="1">VLOOKUP(A227,'銀行-TSS'!A:N,14,FALSE)</f>
        <v>200000</v>
      </c>
      <c r="J227" s="1213">
        <f ca="1">VLOOKUP(A227,'銀行-TSS'!A:O,15,FALSE)</f>
        <v>1000</v>
      </c>
      <c r="K227" s="136" t="str">
        <f ca="1">VLOOKUP(A227,'銀行-TSS'!A:V,22,FALSE)</f>
        <v>(NPI)非專投</v>
      </c>
      <c r="L227" s="136" t="str">
        <f ca="1">VLOOKUP(A227,'銀行-TSS'!A:AK,37,FALSE)</f>
        <v>有</v>
      </c>
      <c r="M227" s="136" t="str">
        <f ca="1">VLOOKUP(A227,'銀行-TSS'!A:AN,40,FALSE)</f>
        <v/>
      </c>
      <c r="N227" s="136">
        <f t="shared" ca="1" si="135"/>
        <v>992.4</v>
      </c>
      <c r="O227" s="1213">
        <f t="shared" ca="1" si="136"/>
        <v>198480</v>
      </c>
      <c r="P227" s="1213">
        <f ca="1">IF(AND($O$1&gt;=O227,換券單檔!$D$13=D227),I227+INT(($O$1-O227)/N227)*J227,0)</f>
        <v>0</v>
      </c>
      <c r="Q227" s="1213">
        <f t="shared" ca="1" si="137"/>
        <v>0</v>
      </c>
      <c r="R227" s="1213">
        <f t="shared" ca="1" si="138"/>
        <v>0</v>
      </c>
      <c r="S227" s="1213">
        <f t="shared" ca="1" si="139"/>
        <v>0</v>
      </c>
      <c r="T227" s="136">
        <f ca="1">IF(OR(R227=0,A227=0),0,IF(AND(V227=TRUE,換券單檔!$D$13=D227),E227,0))</f>
        <v>0</v>
      </c>
      <c r="U227" s="861">
        <f ca="1">IF(OR(R227=0,A227=0),0,IF(AND(V227=TRUE,換券單檔!$D$13=D227),H227,0))</f>
        <v>0</v>
      </c>
      <c r="V227" s="136" t="b">
        <f ca="1">IF(OR(B227=換券單檔!$D$3,L227="無",M227&lt;&gt;"",K227="高資產",IFERROR(MATCH(B227,換券單檔!K:K,0),"N")&lt;&gt;"N"),FALSE,IF($V$1="All",TRUE,IF(K227=$V$1,TRUE,FALSE)))</f>
        <v>1</v>
      </c>
      <c r="W227" s="136">
        <f ca="1">VLOOKUP(A227,'銀行-TSS'!A:AO,41,FALSE)</f>
        <v>97.43</v>
      </c>
      <c r="X227" s="136">
        <f ca="1">VLOOKUP(A227,'銀行-TSS'!A:AP,42,FALSE)</f>
        <v>4.3391000000000002</v>
      </c>
      <c r="Y227" s="1220">
        <f t="shared" ca="1" si="140"/>
        <v>0</v>
      </c>
      <c r="Z227" s="1220">
        <f t="shared" ca="1" si="141"/>
        <v>0</v>
      </c>
      <c r="AA227" s="136">
        <f ca="1">IF(Z227&lt;=0,0,RANK(Z227,Z:Z)+COUNTIF($Z$3:$Z227,Z227)-1)</f>
        <v>0</v>
      </c>
      <c r="AB227" s="1211">
        <f t="shared" ca="1" si="142"/>
        <v>-114896.14</v>
      </c>
      <c r="AC227" s="136">
        <f ca="1">IF(AB227&lt;=0,0,RANK(AB227,AB:AB)+COUNTIF($AB$3:$AB227,AB227)-1)</f>
        <v>0</v>
      </c>
      <c r="AD227" s="1123">
        <f t="shared" ca="1" si="143"/>
        <v>99999</v>
      </c>
      <c r="AE227" s="1123">
        <f ca="1">IF(AD227=99999,0,RANK(AD227,AD:AD,1)+COUNTIF($AD$3:$AD227,AD227)-1)</f>
        <v>0</v>
      </c>
      <c r="AF227" s="86" t="b">
        <f ca="1">IF(OR(M227&lt;&gt;"",L227="無",K227="高資產",IFERROR(MATCH(B227,換券單檔!K:K,0),"N")&lt;&gt;"N"),FALSE,TRUE)</f>
        <v>1</v>
      </c>
      <c r="AI227" s="1212">
        <f t="shared" ca="1" si="144"/>
        <v>0</v>
      </c>
      <c r="AJ227" s="1213">
        <f t="shared" ca="1" si="145"/>
        <v>0</v>
      </c>
      <c r="AK227" s="1587">
        <f t="shared" ca="1" si="146"/>
        <v>0</v>
      </c>
      <c r="AN227" s="1212">
        <f t="shared" ca="1" si="147"/>
        <v>0</v>
      </c>
      <c r="AO227" s="1213">
        <f t="shared" ca="1" si="148"/>
        <v>0</v>
      </c>
      <c r="AP227" s="1587">
        <f t="shared" ca="1" si="149"/>
        <v>0</v>
      </c>
      <c r="AS227" s="1212">
        <f t="shared" ca="1" si="150"/>
        <v>0</v>
      </c>
      <c r="AT227" s="1213">
        <f t="shared" ca="1" si="151"/>
        <v>0</v>
      </c>
      <c r="AU227" s="1587">
        <f t="shared" ca="1" si="152"/>
        <v>0</v>
      </c>
      <c r="AX227" s="1212">
        <f t="shared" ca="1" si="153"/>
        <v>0</v>
      </c>
      <c r="AY227" s="1213">
        <f t="shared" ca="1" si="154"/>
        <v>0</v>
      </c>
      <c r="AZ227" s="1587">
        <f t="shared" ca="1" si="155"/>
        <v>0</v>
      </c>
      <c r="BC227" s="1212">
        <f t="shared" ca="1" si="156"/>
        <v>0</v>
      </c>
      <c r="BD227" s="1213">
        <f t="shared" ca="1" si="157"/>
        <v>0</v>
      </c>
      <c r="BE227" s="1587">
        <f t="shared" ca="1" si="158"/>
        <v>0</v>
      </c>
      <c r="BH227" s="1212">
        <f t="shared" ca="1" si="159"/>
        <v>0</v>
      </c>
      <c r="BI227" s="1213">
        <f t="shared" ca="1" si="160"/>
        <v>0</v>
      </c>
      <c r="BJ227" s="1587">
        <f t="shared" ca="1" si="161"/>
        <v>0</v>
      </c>
      <c r="BM227" s="1212">
        <f t="shared" ca="1" si="162"/>
        <v>0</v>
      </c>
      <c r="BN227" s="1213">
        <f t="shared" ca="1" si="163"/>
        <v>0</v>
      </c>
      <c r="BO227" s="1587">
        <f t="shared" ca="1" si="164"/>
        <v>0</v>
      </c>
      <c r="BR227" s="1212">
        <f t="shared" ca="1" si="165"/>
        <v>0</v>
      </c>
      <c r="BS227" s="1213">
        <f t="shared" ca="1" si="166"/>
        <v>0</v>
      </c>
      <c r="BT227" s="1587">
        <f t="shared" ca="1" si="167"/>
        <v>0</v>
      </c>
      <c r="BW227" s="1212">
        <f t="shared" ca="1" si="168"/>
        <v>0</v>
      </c>
      <c r="BX227" s="1213">
        <f t="shared" ca="1" si="169"/>
        <v>0</v>
      </c>
      <c r="BY227" s="1587">
        <f t="shared" ca="1" si="170"/>
        <v>0</v>
      </c>
      <c r="CB227" s="1212">
        <f t="shared" ca="1" si="171"/>
        <v>0</v>
      </c>
      <c r="CC227" s="1213">
        <f t="shared" ca="1" si="172"/>
        <v>0</v>
      </c>
      <c r="CD227" s="1587">
        <f t="shared" ca="1" si="173"/>
        <v>0</v>
      </c>
      <c r="CG227" s="1212">
        <f t="shared" ca="1" si="174"/>
        <v>0</v>
      </c>
      <c r="CH227" s="1213">
        <f t="shared" ca="1" si="175"/>
        <v>0</v>
      </c>
      <c r="CI227" s="1587">
        <f t="shared" ca="1" si="176"/>
        <v>0</v>
      </c>
      <c r="CL227" s="1212">
        <f t="shared" ca="1" si="177"/>
        <v>0</v>
      </c>
      <c r="CM227" s="1213">
        <f t="shared" ca="1" si="178"/>
        <v>0</v>
      </c>
      <c r="CN227" s="1587">
        <f t="shared" ca="1" si="179"/>
        <v>0</v>
      </c>
    </row>
    <row r="228" spans="1:92">
      <c r="A228" s="141" t="str">
        <f>'銀行-TSS'!A228</f>
        <v>USU5876JAC90</v>
      </c>
      <c r="B228" s="151" t="str">
        <f ca="1">VLOOKUP(A228,'銀行-TSS'!A:B,2,FALSE)</f>
        <v>XH230</v>
      </c>
      <c r="C228" s="151" t="str">
        <f ca="1">VLOOKUP(B228,bond!B:C,2,FALSE)</f>
        <v>梅賽德斯-賓士金融北美有限責任公司美元配息債券 5.25% 2027/11/29</v>
      </c>
      <c r="D228" s="95" t="str">
        <f>VLOOKUP(A228,'銀行-TSS'!A:C,3,FALSE)</f>
        <v>USD</v>
      </c>
      <c r="E228" s="90">
        <f ca="1">VLOOKUP(A228,'銀行-TSS'!A:G,7,FALSE)</f>
        <v>3.41</v>
      </c>
      <c r="F228" s="202">
        <f ca="1">VLOOKUP(A228,'銀行-TSS'!A:H,8,FALSE)</f>
        <v>5.2499999999999998E-2</v>
      </c>
      <c r="G228" s="96">
        <f ca="1">VLOOKUP(A228,'銀行-TSS'!A:K,11,FALSE)</f>
        <v>103.08</v>
      </c>
      <c r="H228" s="1209">
        <f ca="1">VLOOKUP(A228,'銀行-TSS'!A:M,13,FALSE)</f>
        <v>4.4200000000000003E-2</v>
      </c>
      <c r="I228" s="1213">
        <f ca="1">VLOOKUP(A228,'銀行-TSS'!A:N,14,FALSE)</f>
        <v>200000</v>
      </c>
      <c r="J228" s="1213">
        <f ca="1">VLOOKUP(A228,'銀行-TSS'!A:O,15,FALSE)</f>
        <v>1000</v>
      </c>
      <c r="K228" s="136" t="str">
        <f ca="1">VLOOKUP(A228,'銀行-TSS'!A:V,22,FALSE)</f>
        <v>(NPI)非專投</v>
      </c>
      <c r="L228" s="136" t="str">
        <f ca="1">VLOOKUP(A228,'銀行-TSS'!A:AK,37,FALSE)</f>
        <v>有</v>
      </c>
      <c r="M228" s="136" t="str">
        <f ca="1">VLOOKUP(A228,'銀行-TSS'!A:AN,40,FALSE)</f>
        <v/>
      </c>
      <c r="N228" s="136">
        <f t="shared" ca="1" si="135"/>
        <v>1030.8</v>
      </c>
      <c r="O228" s="1213">
        <f t="shared" ca="1" si="136"/>
        <v>206160</v>
      </c>
      <c r="P228" s="1213">
        <f ca="1">IF(AND($O$1&gt;=O228,換券單檔!$D$13=D228),I228+INT(($O$1-O228)/N228)*J228,0)</f>
        <v>0</v>
      </c>
      <c r="Q228" s="1213">
        <f t="shared" ca="1" si="137"/>
        <v>0</v>
      </c>
      <c r="R228" s="1213">
        <f t="shared" ca="1" si="138"/>
        <v>0</v>
      </c>
      <c r="S228" s="1213">
        <f t="shared" ca="1" si="139"/>
        <v>0</v>
      </c>
      <c r="T228" s="136">
        <f ca="1">IF(OR(R228=0,A228=0),0,IF(AND(V228=TRUE,換券單檔!$D$13=D228),E228,0))</f>
        <v>0</v>
      </c>
      <c r="U228" s="861">
        <f ca="1">IF(OR(R228=0,A228=0),0,IF(AND(V228=TRUE,換券單檔!$D$13=D228),H228,0))</f>
        <v>0</v>
      </c>
      <c r="V228" s="136" t="b">
        <f ca="1">IF(OR(B228=換券單檔!$D$3,L228="無",M228&lt;&gt;"",K228="高資產",IFERROR(MATCH(B228,換券單檔!K:K,0),"N")&lt;&gt;"N"),FALSE,IF($V$1="All",TRUE,IF(K228=$V$1,TRUE,FALSE)))</f>
        <v>1</v>
      </c>
      <c r="W228" s="136">
        <f ca="1">VLOOKUP(A228,'銀行-TSS'!A:AO,41,FALSE)</f>
        <v>101.10000000000001</v>
      </c>
      <c r="X228" s="136">
        <f ca="1">VLOOKUP(A228,'銀行-TSS'!A:AP,42,FALSE)</f>
        <v>3.0798000000000001</v>
      </c>
      <c r="Y228" s="1220">
        <f t="shared" ca="1" si="140"/>
        <v>0</v>
      </c>
      <c r="Z228" s="1220">
        <f t="shared" ca="1" si="141"/>
        <v>0</v>
      </c>
      <c r="AA228" s="136">
        <f ca="1">IF(Z228&lt;=0,0,RANK(Z228,Z:Z)+COUNTIF($Z$3:$Z228,Z228)-1)</f>
        <v>0</v>
      </c>
      <c r="AB228" s="1211">
        <f t="shared" ca="1" si="142"/>
        <v>-114896.14</v>
      </c>
      <c r="AC228" s="136">
        <f ca="1">IF(AB228&lt;=0,0,RANK(AB228,AB:AB)+COUNTIF($AB$3:$AB228,AB228)-1)</f>
        <v>0</v>
      </c>
      <c r="AD228" s="1123">
        <f t="shared" ca="1" si="143"/>
        <v>99999</v>
      </c>
      <c r="AE228" s="1123">
        <f ca="1">IF(AD228=99999,0,RANK(AD228,AD:AD,1)+COUNTIF($AD$3:$AD228,AD228)-1)</f>
        <v>0</v>
      </c>
      <c r="AF228" s="86" t="b">
        <f ca="1">IF(OR(M228&lt;&gt;"",L228="無",K228="高資產",IFERROR(MATCH(B228,換券單檔!K:K,0),"N")&lt;&gt;"N"),FALSE,TRUE)</f>
        <v>1</v>
      </c>
      <c r="AI228" s="1212">
        <f t="shared" ca="1" si="144"/>
        <v>0</v>
      </c>
      <c r="AJ228" s="1213">
        <f t="shared" ca="1" si="145"/>
        <v>0</v>
      </c>
      <c r="AK228" s="1587">
        <f t="shared" ca="1" si="146"/>
        <v>0</v>
      </c>
      <c r="AN228" s="1212">
        <f t="shared" ca="1" si="147"/>
        <v>0</v>
      </c>
      <c r="AO228" s="1213">
        <f t="shared" ca="1" si="148"/>
        <v>0</v>
      </c>
      <c r="AP228" s="1587">
        <f t="shared" ca="1" si="149"/>
        <v>0</v>
      </c>
      <c r="AS228" s="1212">
        <f t="shared" ca="1" si="150"/>
        <v>0</v>
      </c>
      <c r="AT228" s="1213">
        <f t="shared" ca="1" si="151"/>
        <v>0</v>
      </c>
      <c r="AU228" s="1587">
        <f t="shared" ca="1" si="152"/>
        <v>0</v>
      </c>
      <c r="AX228" s="1212">
        <f t="shared" ca="1" si="153"/>
        <v>0</v>
      </c>
      <c r="AY228" s="1213">
        <f t="shared" ca="1" si="154"/>
        <v>0</v>
      </c>
      <c r="AZ228" s="1587">
        <f t="shared" ca="1" si="155"/>
        <v>0</v>
      </c>
      <c r="BC228" s="1212">
        <f t="shared" ca="1" si="156"/>
        <v>0</v>
      </c>
      <c r="BD228" s="1213">
        <f t="shared" ca="1" si="157"/>
        <v>0</v>
      </c>
      <c r="BE228" s="1587">
        <f t="shared" ca="1" si="158"/>
        <v>0</v>
      </c>
      <c r="BH228" s="1212">
        <f t="shared" ca="1" si="159"/>
        <v>0</v>
      </c>
      <c r="BI228" s="1213">
        <f t="shared" ca="1" si="160"/>
        <v>0</v>
      </c>
      <c r="BJ228" s="1587">
        <f t="shared" ca="1" si="161"/>
        <v>0</v>
      </c>
      <c r="BM228" s="1212">
        <f t="shared" ca="1" si="162"/>
        <v>0</v>
      </c>
      <c r="BN228" s="1213">
        <f t="shared" ca="1" si="163"/>
        <v>0</v>
      </c>
      <c r="BO228" s="1587">
        <f t="shared" ca="1" si="164"/>
        <v>0</v>
      </c>
      <c r="BR228" s="1212">
        <f t="shared" ca="1" si="165"/>
        <v>0</v>
      </c>
      <c r="BS228" s="1213">
        <f t="shared" ca="1" si="166"/>
        <v>0</v>
      </c>
      <c r="BT228" s="1587">
        <f t="shared" ca="1" si="167"/>
        <v>0</v>
      </c>
      <c r="BW228" s="1212">
        <f t="shared" ca="1" si="168"/>
        <v>0</v>
      </c>
      <c r="BX228" s="1213">
        <f t="shared" ca="1" si="169"/>
        <v>0</v>
      </c>
      <c r="BY228" s="1587">
        <f t="shared" ca="1" si="170"/>
        <v>0</v>
      </c>
      <c r="CB228" s="1212">
        <f t="shared" ca="1" si="171"/>
        <v>0</v>
      </c>
      <c r="CC228" s="1213">
        <f t="shared" ca="1" si="172"/>
        <v>0</v>
      </c>
      <c r="CD228" s="1587">
        <f t="shared" ca="1" si="173"/>
        <v>0</v>
      </c>
      <c r="CG228" s="1212">
        <f t="shared" ca="1" si="174"/>
        <v>0</v>
      </c>
      <c r="CH228" s="1213">
        <f t="shared" ca="1" si="175"/>
        <v>0</v>
      </c>
      <c r="CI228" s="1587">
        <f t="shared" ca="1" si="176"/>
        <v>0</v>
      </c>
      <c r="CL228" s="1212">
        <f t="shared" ca="1" si="177"/>
        <v>0</v>
      </c>
      <c r="CM228" s="1213">
        <f t="shared" ca="1" si="178"/>
        <v>0</v>
      </c>
      <c r="CN228" s="1587">
        <f t="shared" ca="1" si="179"/>
        <v>0</v>
      </c>
    </row>
    <row r="229" spans="1:92">
      <c r="A229" s="141" t="str">
        <f>'銀行-TSS'!A229</f>
        <v>US87612EBN58</v>
      </c>
      <c r="B229" s="151" t="str">
        <f ca="1">VLOOKUP(A229,'銀行-TSS'!A:B,2,FALSE)</f>
        <v>XH240</v>
      </c>
      <c r="C229" s="151" t="str">
        <f ca="1">VLOOKUP(B229,bond!B:C,2,FALSE)</f>
        <v>目標百貨公司美元配息債券 2.95% 2052/1/15</v>
      </c>
      <c r="D229" s="95" t="str">
        <f>VLOOKUP(A229,'銀行-TSS'!A:C,3,FALSE)</f>
        <v>USD</v>
      </c>
      <c r="E229" s="90">
        <f ca="1">VLOOKUP(A229,'銀行-TSS'!A:G,7,FALSE)</f>
        <v>27.54</v>
      </c>
      <c r="F229" s="202">
        <f ca="1">VLOOKUP(A229,'銀行-TSS'!A:H,8,FALSE)</f>
        <v>2.9500000000000002E-2</v>
      </c>
      <c r="G229" s="96">
        <f ca="1">VLOOKUP(A229,'銀行-TSS'!A:K,11,FALSE)</f>
        <v>70.12</v>
      </c>
      <c r="H229" s="1209">
        <f ca="1">VLOOKUP(A229,'銀行-TSS'!A:M,13,FALSE)</f>
        <v>5.0700000000000002E-2</v>
      </c>
      <c r="I229" s="1213">
        <f ca="1">VLOOKUP(A229,'銀行-TSS'!A:N,14,FALSE)</f>
        <v>10000</v>
      </c>
      <c r="J229" s="1213">
        <f ca="1">VLOOKUP(A229,'銀行-TSS'!A:O,15,FALSE)</f>
        <v>1000</v>
      </c>
      <c r="K229" s="136" t="str">
        <f ca="1">VLOOKUP(A229,'銀行-TSS'!A:V,22,FALSE)</f>
        <v>(NPI)非專投</v>
      </c>
      <c r="L229" s="136" t="str">
        <f ca="1">VLOOKUP(A229,'銀行-TSS'!A:AK,37,FALSE)</f>
        <v>有</v>
      </c>
      <c r="M229" s="136" t="str">
        <f ca="1">VLOOKUP(A229,'銀行-TSS'!A:AN,40,FALSE)</f>
        <v/>
      </c>
      <c r="N229" s="136">
        <f t="shared" ca="1" si="135"/>
        <v>701.2</v>
      </c>
      <c r="O229" s="1213">
        <f t="shared" ca="1" si="136"/>
        <v>7012</v>
      </c>
      <c r="P229" s="1213">
        <f ca="1">IF(AND($O$1&gt;=O229,換券單檔!$D$13=D229),I229+INT(($O$1-O229)/N229)*J229,0)</f>
        <v>137000</v>
      </c>
      <c r="Q229" s="1213">
        <f t="shared" ca="1" si="137"/>
        <v>4041.5000000000005</v>
      </c>
      <c r="R229" s="1213">
        <f t="shared" ca="1" si="138"/>
        <v>137000</v>
      </c>
      <c r="S229" s="1213">
        <f t="shared" ca="1" si="139"/>
        <v>4041.5000000000005</v>
      </c>
      <c r="T229" s="136">
        <f ca="1">IF(OR(R229=0,A229=0),0,IF(AND(V229=TRUE,換券單檔!$D$13=D229),E229,0))</f>
        <v>27.54</v>
      </c>
      <c r="U229" s="861">
        <f ca="1">IF(OR(R229=0,A229=0),0,IF(AND(V229=TRUE,換券單檔!$D$13=D229),H229,0))</f>
        <v>5.0700000000000002E-2</v>
      </c>
      <c r="V229" s="136" t="b">
        <f ca="1">IF(OR(B229=換券單檔!$D$3,L229="無",M229&lt;&gt;"",K229="高資產",IFERROR(MATCH(B229,換券單檔!K:K,0),"N")&lt;&gt;"N"),FALSE,IF($V$1="All",TRUE,IF(K229=$V$1,TRUE,FALSE)))</f>
        <v>1</v>
      </c>
      <c r="W229" s="136">
        <f ca="1">VLOOKUP(A229,'銀行-TSS'!A:AO,41,FALSE)</f>
        <v>65.25</v>
      </c>
      <c r="X229" s="136">
        <f ca="1">VLOOKUP(A229,'銀行-TSS'!A:AP,42,FALSE)</f>
        <v>16.0761</v>
      </c>
      <c r="Y229" s="1220">
        <f t="shared" ca="1" si="140"/>
        <v>14370.827692500001</v>
      </c>
      <c r="Z229" s="1220">
        <f t="shared" ca="1" si="141"/>
        <v>0</v>
      </c>
      <c r="AA229" s="136">
        <f ca="1">IF(Z229&lt;=0,0,RANK(Z229,Z:Z)+COUNTIF($Z$3:$Z229,Z229)-1)</f>
        <v>0</v>
      </c>
      <c r="AB229" s="1211">
        <f t="shared" ca="1" si="142"/>
        <v>-525.3123074999985</v>
      </c>
      <c r="AC229" s="136">
        <f ca="1">IF(AB229&lt;=0,0,RANK(AB229,AB:AB)+COUNTIF($AB$3:$AB229,AB229)-1)</f>
        <v>0</v>
      </c>
      <c r="AD229" s="1123">
        <f t="shared" ca="1" si="143"/>
        <v>99999</v>
      </c>
      <c r="AE229" s="1123">
        <f ca="1">IF(AD229=99999,0,RANK(AD229,AD:AD,1)+COUNTIF($AD$3:$AD229,AD229)-1)</f>
        <v>0</v>
      </c>
      <c r="AF229" s="86" t="b">
        <f ca="1">IF(OR(M229&lt;&gt;"",L229="無",K229="高資產",IFERROR(MATCH(B229,換券單檔!K:K,0),"N")&lt;&gt;"N"),FALSE,TRUE)</f>
        <v>1</v>
      </c>
      <c r="AI229" s="1212">
        <f t="shared" ca="1" si="144"/>
        <v>137000</v>
      </c>
      <c r="AJ229" s="1213">
        <f t="shared" ca="1" si="145"/>
        <v>4041.5000000000005</v>
      </c>
      <c r="AK229" s="1587">
        <f t="shared" ca="1" si="146"/>
        <v>0</v>
      </c>
      <c r="AN229" s="1212">
        <f t="shared" ca="1" si="147"/>
        <v>78000</v>
      </c>
      <c r="AO229" s="1213">
        <f t="shared" ca="1" si="148"/>
        <v>2301</v>
      </c>
      <c r="AP229" s="1587">
        <f t="shared" ca="1" si="149"/>
        <v>-43849.777777777781</v>
      </c>
      <c r="AS229" s="1212">
        <f t="shared" ca="1" si="150"/>
        <v>134000</v>
      </c>
      <c r="AT229" s="1213">
        <f t="shared" ca="1" si="151"/>
        <v>3953.0000000000005</v>
      </c>
      <c r="AU229" s="1587">
        <f t="shared" ca="1" si="152"/>
        <v>0</v>
      </c>
      <c r="AX229" s="1212">
        <f t="shared" ca="1" si="153"/>
        <v>123000</v>
      </c>
      <c r="AY229" s="1213">
        <f t="shared" ca="1" si="154"/>
        <v>3628.5000000000005</v>
      </c>
      <c r="AZ229" s="1587">
        <f t="shared" ca="1" si="155"/>
        <v>0</v>
      </c>
      <c r="BC229" s="1212">
        <f t="shared" ca="1" si="156"/>
        <v>0</v>
      </c>
      <c r="BD229" s="1213">
        <f t="shared" ca="1" si="157"/>
        <v>0</v>
      </c>
      <c r="BE229" s="1587">
        <f t="shared" ca="1" si="158"/>
        <v>0</v>
      </c>
      <c r="BH229" s="1212">
        <f t="shared" ca="1" si="159"/>
        <v>0</v>
      </c>
      <c r="BI229" s="1213">
        <f t="shared" ca="1" si="160"/>
        <v>0</v>
      </c>
      <c r="BJ229" s="1587">
        <f t="shared" ca="1" si="161"/>
        <v>0</v>
      </c>
      <c r="BM229" s="1212">
        <f t="shared" ca="1" si="162"/>
        <v>0</v>
      </c>
      <c r="BN229" s="1213">
        <f t="shared" ca="1" si="163"/>
        <v>0</v>
      </c>
      <c r="BO229" s="1587">
        <f t="shared" ca="1" si="164"/>
        <v>0</v>
      </c>
      <c r="BR229" s="1212">
        <f t="shared" ca="1" si="165"/>
        <v>0</v>
      </c>
      <c r="BS229" s="1213">
        <f t="shared" ca="1" si="166"/>
        <v>0</v>
      </c>
      <c r="BT229" s="1587">
        <f t="shared" ca="1" si="167"/>
        <v>0</v>
      </c>
      <c r="BW229" s="1212">
        <f t="shared" ca="1" si="168"/>
        <v>0</v>
      </c>
      <c r="BX229" s="1213">
        <f t="shared" ca="1" si="169"/>
        <v>0</v>
      </c>
      <c r="BY229" s="1587">
        <f t="shared" ca="1" si="170"/>
        <v>0</v>
      </c>
      <c r="CB229" s="1212">
        <f t="shared" ca="1" si="171"/>
        <v>0</v>
      </c>
      <c r="CC229" s="1213">
        <f t="shared" ca="1" si="172"/>
        <v>0</v>
      </c>
      <c r="CD229" s="1587">
        <f t="shared" ca="1" si="173"/>
        <v>0</v>
      </c>
      <c r="CG229" s="1212">
        <f t="shared" ca="1" si="174"/>
        <v>0</v>
      </c>
      <c r="CH229" s="1213">
        <f t="shared" ca="1" si="175"/>
        <v>0</v>
      </c>
      <c r="CI229" s="1587">
        <f t="shared" ca="1" si="176"/>
        <v>0</v>
      </c>
      <c r="CL229" s="1212">
        <f t="shared" ca="1" si="177"/>
        <v>0</v>
      </c>
      <c r="CM229" s="1213">
        <f t="shared" ca="1" si="178"/>
        <v>0</v>
      </c>
      <c r="CN229" s="1587">
        <f t="shared" ca="1" si="179"/>
        <v>0</v>
      </c>
    </row>
    <row r="230" spans="1:92">
      <c r="A230" s="141" t="str">
        <f>'銀行-TSS'!A230</f>
        <v>US92556VAF31</v>
      </c>
      <c r="B230" s="151" t="str">
        <f ca="1">VLOOKUP(A230,'銀行-TSS'!A:B,2,FALSE)</f>
        <v>XH250</v>
      </c>
      <c r="C230" s="151" t="str">
        <f ca="1">VLOOKUP(B230,bond!B:C,2,FALSE)</f>
        <v>暉致公司美元配息債券 4% 2050/6/22</v>
      </c>
      <c r="D230" s="95" t="str">
        <f>VLOOKUP(A230,'銀行-TSS'!A:C,3,FALSE)</f>
        <v>USD</v>
      </c>
      <c r="E230" s="90">
        <f ca="1">VLOOKUP(A230,'銀行-TSS'!A:G,7,FALSE)</f>
        <v>25.97</v>
      </c>
      <c r="F230" s="202">
        <f ca="1">VLOOKUP(A230,'銀行-TSS'!A:H,8,FALSE)</f>
        <v>0.04</v>
      </c>
      <c r="G230" s="96">
        <f ca="1">VLOOKUP(A230,'銀行-TSS'!A:K,11,FALSE)</f>
        <v>71.63</v>
      </c>
      <c r="H230" s="1209">
        <f ca="1">VLOOKUP(A230,'銀行-TSS'!A:M,13,FALSE)</f>
        <v>6.2300000000000001E-2</v>
      </c>
      <c r="I230" s="1213">
        <f ca="1">VLOOKUP(A230,'銀行-TSS'!A:N,14,FALSE)</f>
        <v>10000</v>
      </c>
      <c r="J230" s="1213">
        <f ca="1">VLOOKUP(A230,'銀行-TSS'!A:O,15,FALSE)</f>
        <v>1000</v>
      </c>
      <c r="K230" s="136" t="str">
        <f ca="1">VLOOKUP(A230,'銀行-TSS'!A:V,22,FALSE)</f>
        <v>(PI)專投</v>
      </c>
      <c r="L230" s="136" t="str">
        <f ca="1">VLOOKUP(A230,'銀行-TSS'!A:AK,37,FALSE)</f>
        <v>有</v>
      </c>
      <c r="M230" s="136" t="str">
        <f ca="1">VLOOKUP(A230,'銀行-TSS'!A:AN,40,FALSE)</f>
        <v/>
      </c>
      <c r="N230" s="136">
        <f t="shared" ca="1" si="135"/>
        <v>716.3</v>
      </c>
      <c r="O230" s="1213">
        <f t="shared" ca="1" si="136"/>
        <v>7163</v>
      </c>
      <c r="P230" s="1213">
        <f ca="1">IF(AND($O$1&gt;=O230,換券單檔!$D$13=D230),I230+INT(($O$1-O230)/N230)*J230,0)</f>
        <v>135000</v>
      </c>
      <c r="Q230" s="1213">
        <f t="shared" ca="1" si="137"/>
        <v>5400</v>
      </c>
      <c r="R230" s="1213">
        <f t="shared" ca="1" si="138"/>
        <v>135000</v>
      </c>
      <c r="S230" s="1213">
        <f t="shared" ca="1" si="139"/>
        <v>5400</v>
      </c>
      <c r="T230" s="136">
        <f ca="1">IF(OR(R230=0,A230=0),0,IF(AND(V230=TRUE,換券單檔!$D$13=D230),E230,0))</f>
        <v>25.97</v>
      </c>
      <c r="U230" s="861">
        <f ca="1">IF(OR(R230=0,A230=0),0,IF(AND(V230=TRUE,換券單檔!$D$13=D230),H230,0))</f>
        <v>6.2300000000000001E-2</v>
      </c>
      <c r="V230" s="136" t="b">
        <f ca="1">IF(OR(B230=換券單檔!$D$3,L230="無",M230&lt;&gt;"",K230="高資產",IFERROR(MATCH(B230,換券單檔!K:K,0),"N")&lt;&gt;"N"),FALSE,IF($V$1="All",TRUE,IF(K230=$V$1,TRUE,FALSE)))</f>
        <v>1</v>
      </c>
      <c r="W230" s="136">
        <f ca="1">VLOOKUP(A230,'銀行-TSS'!A:AO,41,FALSE)</f>
        <v>68.02</v>
      </c>
      <c r="X230" s="136">
        <f ca="1">VLOOKUP(A230,'銀行-TSS'!A:AP,42,FALSE)</f>
        <v>13.8291</v>
      </c>
      <c r="Y230" s="1220">
        <f t="shared" ca="1" si="140"/>
        <v>12698.847656999998</v>
      </c>
      <c r="Z230" s="1220">
        <f t="shared" ca="1" si="141"/>
        <v>2292.0870234886434</v>
      </c>
      <c r="AA230" s="136">
        <f ca="1">IF(Z230&lt;=0,0,RANK(Z230,Z:Z)+COUNTIF($Z$3:$Z230,Z230)-1)</f>
        <v>6</v>
      </c>
      <c r="AB230" s="1211">
        <f t="shared" ca="1" si="142"/>
        <v>-2197.292343000001</v>
      </c>
      <c r="AC230" s="136">
        <f ca="1">IF(AB230&lt;=0,0,RANK(AB230,AB:AB)+COUNTIF($AB$3:$AB230,AB230)-1)</f>
        <v>0</v>
      </c>
      <c r="AD230" s="1123">
        <f t="shared" ca="1" si="143"/>
        <v>99999</v>
      </c>
      <c r="AE230" s="1123">
        <f ca="1">IF(AD230=99999,0,RANK(AD230,AD:AD,1)+COUNTIF($AD$3:$AD230,AD230)-1)</f>
        <v>0</v>
      </c>
      <c r="AF230" s="86" t="b">
        <f ca="1">IF(OR(M230&lt;&gt;"",L230="無",K230="高資產",IFERROR(MATCH(B230,換券單檔!K:K,0),"N")&lt;&gt;"N"),FALSE,TRUE)</f>
        <v>1</v>
      </c>
      <c r="AI230" s="1212">
        <f t="shared" ca="1" si="144"/>
        <v>135000</v>
      </c>
      <c r="AJ230" s="1213">
        <f t="shared" ca="1" si="145"/>
        <v>5400</v>
      </c>
      <c r="AK230" s="1587">
        <f t="shared" ca="1" si="146"/>
        <v>2292.0870234886434</v>
      </c>
      <c r="AN230" s="1212">
        <f t="shared" ca="1" si="147"/>
        <v>77000</v>
      </c>
      <c r="AO230" s="1213">
        <f t="shared" ca="1" si="148"/>
        <v>3080</v>
      </c>
      <c r="AP230" s="1587">
        <f t="shared" ca="1" si="149"/>
        <v>-43557.939930689259</v>
      </c>
      <c r="AS230" s="1212">
        <f t="shared" ca="1" si="150"/>
        <v>132000</v>
      </c>
      <c r="AT230" s="1213">
        <f t="shared" ca="1" si="151"/>
        <v>5280</v>
      </c>
      <c r="AU230" s="1587">
        <f t="shared" ca="1" si="152"/>
        <v>1807.7031189834424</v>
      </c>
      <c r="AX230" s="1212">
        <f t="shared" ca="1" si="153"/>
        <v>121000</v>
      </c>
      <c r="AY230" s="1213">
        <f t="shared" ca="1" si="154"/>
        <v>4840</v>
      </c>
      <c r="AZ230" s="1587">
        <f t="shared" ca="1" si="155"/>
        <v>1551.7866769349221</v>
      </c>
      <c r="BC230" s="1212">
        <f t="shared" ca="1" si="156"/>
        <v>0</v>
      </c>
      <c r="BD230" s="1213">
        <f t="shared" ca="1" si="157"/>
        <v>0</v>
      </c>
      <c r="BE230" s="1587">
        <f t="shared" ca="1" si="158"/>
        <v>0</v>
      </c>
      <c r="BH230" s="1212">
        <f t="shared" ca="1" si="159"/>
        <v>0</v>
      </c>
      <c r="BI230" s="1213">
        <f t="shared" ca="1" si="160"/>
        <v>0</v>
      </c>
      <c r="BJ230" s="1587">
        <f t="shared" ca="1" si="161"/>
        <v>0</v>
      </c>
      <c r="BM230" s="1212">
        <f t="shared" ca="1" si="162"/>
        <v>0</v>
      </c>
      <c r="BN230" s="1213">
        <f t="shared" ca="1" si="163"/>
        <v>0</v>
      </c>
      <c r="BO230" s="1587">
        <f t="shared" ca="1" si="164"/>
        <v>0</v>
      </c>
      <c r="BR230" s="1212">
        <f t="shared" ca="1" si="165"/>
        <v>0</v>
      </c>
      <c r="BS230" s="1213">
        <f t="shared" ca="1" si="166"/>
        <v>0</v>
      </c>
      <c r="BT230" s="1587">
        <f t="shared" ca="1" si="167"/>
        <v>0</v>
      </c>
      <c r="BW230" s="1212">
        <f t="shared" ca="1" si="168"/>
        <v>0</v>
      </c>
      <c r="BX230" s="1213">
        <f t="shared" ca="1" si="169"/>
        <v>0</v>
      </c>
      <c r="BY230" s="1587">
        <f t="shared" ca="1" si="170"/>
        <v>0</v>
      </c>
      <c r="CB230" s="1212">
        <f t="shared" ca="1" si="171"/>
        <v>0</v>
      </c>
      <c r="CC230" s="1213">
        <f t="shared" ca="1" si="172"/>
        <v>0</v>
      </c>
      <c r="CD230" s="1587">
        <f t="shared" ca="1" si="173"/>
        <v>0</v>
      </c>
      <c r="CG230" s="1212">
        <f t="shared" ca="1" si="174"/>
        <v>0</v>
      </c>
      <c r="CH230" s="1213">
        <f t="shared" ca="1" si="175"/>
        <v>0</v>
      </c>
      <c r="CI230" s="1587">
        <f t="shared" ca="1" si="176"/>
        <v>0</v>
      </c>
      <c r="CL230" s="1212">
        <f t="shared" ca="1" si="177"/>
        <v>0</v>
      </c>
      <c r="CM230" s="1213">
        <f t="shared" ca="1" si="178"/>
        <v>0</v>
      </c>
      <c r="CN230" s="1587">
        <f t="shared" ca="1" si="179"/>
        <v>0</v>
      </c>
    </row>
    <row r="231" spans="1:92">
      <c r="A231" s="141" t="str">
        <f>'銀行-TSS'!A231</f>
        <v>US717081DK61</v>
      </c>
      <c r="B231" s="151" t="str">
        <f ca="1">VLOOKUP(A231,'銀行-TSS'!A:B,2,FALSE)</f>
        <v>XH260</v>
      </c>
      <c r="C231" s="151" t="str">
        <f ca="1">VLOOKUP(B231,bond!B:C,2,FALSE)</f>
        <v>輝瑞大藥廠美元配息債券 4.4% 2044/5/15</v>
      </c>
      <c r="D231" s="95" t="str">
        <f>VLOOKUP(A231,'銀行-TSS'!A:C,3,FALSE)</f>
        <v>USD</v>
      </c>
      <c r="E231" s="90">
        <f ca="1">VLOOKUP(A231,'銀行-TSS'!A:G,7,FALSE)</f>
        <v>19.87</v>
      </c>
      <c r="F231" s="202">
        <f ca="1">VLOOKUP(A231,'銀行-TSS'!A:H,8,FALSE)</f>
        <v>4.4000000000000004E-2</v>
      </c>
      <c r="G231" s="96">
        <f ca="1">VLOOKUP(A231,'銀行-TSS'!A:K,11,FALSE)</f>
        <v>92.56</v>
      </c>
      <c r="H231" s="1209">
        <f ca="1">VLOOKUP(A231,'銀行-TSS'!A:M,13,FALSE)</f>
        <v>5.04E-2</v>
      </c>
      <c r="I231" s="1213">
        <f ca="1">VLOOKUP(A231,'銀行-TSS'!A:N,14,FALSE)</f>
        <v>10000</v>
      </c>
      <c r="J231" s="1213">
        <f ca="1">VLOOKUP(A231,'銀行-TSS'!A:O,15,FALSE)</f>
        <v>1000</v>
      </c>
      <c r="K231" s="136" t="str">
        <f ca="1">VLOOKUP(A231,'銀行-TSS'!A:V,22,FALSE)</f>
        <v>(NPI)非專投</v>
      </c>
      <c r="L231" s="136" t="str">
        <f ca="1">VLOOKUP(A231,'銀行-TSS'!A:AK,37,FALSE)</f>
        <v>有</v>
      </c>
      <c r="M231" s="136" t="str">
        <f ca="1">VLOOKUP(A231,'銀行-TSS'!A:AN,40,FALSE)</f>
        <v/>
      </c>
      <c r="N231" s="136">
        <f t="shared" ca="1" si="135"/>
        <v>925.6</v>
      </c>
      <c r="O231" s="1213">
        <f t="shared" ca="1" si="136"/>
        <v>9256</v>
      </c>
      <c r="P231" s="1213">
        <f ca="1">IF(AND($O$1&gt;=O231,換券單檔!$D$13=D231),I231+INT(($O$1-O231)/N231)*J231,0)</f>
        <v>104000</v>
      </c>
      <c r="Q231" s="1213">
        <f t="shared" ca="1" si="137"/>
        <v>4576.0000000000009</v>
      </c>
      <c r="R231" s="1213">
        <f t="shared" ca="1" si="138"/>
        <v>104000</v>
      </c>
      <c r="S231" s="1213">
        <f t="shared" ca="1" si="139"/>
        <v>4576.0000000000009</v>
      </c>
      <c r="T231" s="136">
        <f ca="1">IF(OR(R231=0,A231=0),0,IF(AND(V231=TRUE,換券單檔!$D$13=D231),E231,0))</f>
        <v>19.87</v>
      </c>
      <c r="U231" s="861">
        <f ca="1">IF(OR(R231=0,A231=0),0,IF(AND(V231=TRUE,換券單檔!$D$13=D231),H231,0))</f>
        <v>5.04E-2</v>
      </c>
      <c r="V231" s="136" t="b">
        <f ca="1">IF(OR(B231=換券單檔!$D$3,L231="無",M231&lt;&gt;"",K231="高資產",IFERROR(MATCH(B231,換券單檔!K:K,0),"N")&lt;&gt;"N"),FALSE,IF($V$1="All",TRUE,IF(K231=$V$1,TRUE,FALSE)))</f>
        <v>1</v>
      </c>
      <c r="W231" s="136">
        <f ca="1">VLOOKUP(A231,'銀行-TSS'!A:AO,41,FALSE)</f>
        <v>89.490000000000009</v>
      </c>
      <c r="X231" s="136">
        <f ca="1">VLOOKUP(A231,'銀行-TSS'!A:AP,42,FALSE)</f>
        <v>12.652799999999999</v>
      </c>
      <c r="Y231" s="1220">
        <f t="shared" ca="1" si="140"/>
        <v>11775.910348800002</v>
      </c>
      <c r="Z231" s="1220">
        <f t="shared" ca="1" si="141"/>
        <v>-700.66129843985368</v>
      </c>
      <c r="AA231" s="136">
        <f ca="1">IF(Z231&lt;=0,0,RANK(Z231,Z:Z)+COUNTIF($Z$3:$Z231,Z231)-1)</f>
        <v>0</v>
      </c>
      <c r="AB231" s="1211">
        <f t="shared" ca="1" si="142"/>
        <v>-3120.2296511999975</v>
      </c>
      <c r="AC231" s="136">
        <f ca="1">IF(AB231&lt;=0,0,RANK(AB231,AB:AB)+COUNTIF($AB$3:$AB231,AB231)-1)</f>
        <v>0</v>
      </c>
      <c r="AD231" s="1123">
        <f t="shared" ca="1" si="143"/>
        <v>99999</v>
      </c>
      <c r="AE231" s="1123">
        <f ca="1">IF(AD231=99999,0,RANK(AD231,AD:AD,1)+COUNTIF($AD$3:$AD231,AD231)-1)</f>
        <v>0</v>
      </c>
      <c r="AF231" s="86" t="b">
        <f ca="1">IF(OR(M231&lt;&gt;"",L231="無",K231="高資產",IFERROR(MATCH(B231,換券單檔!K:K,0),"N")&lt;&gt;"N"),FALSE,TRUE)</f>
        <v>1</v>
      </c>
      <c r="AI231" s="1212">
        <f t="shared" ca="1" si="144"/>
        <v>104000</v>
      </c>
      <c r="AJ231" s="1213">
        <f t="shared" ca="1" si="145"/>
        <v>4576.0000000000009</v>
      </c>
      <c r="AK231" s="1587">
        <f t="shared" ca="1" si="146"/>
        <v>-700.66129843985368</v>
      </c>
      <c r="AN231" s="1212">
        <f t="shared" ca="1" si="147"/>
        <v>59000</v>
      </c>
      <c r="AO231" s="1213">
        <f t="shared" ca="1" si="148"/>
        <v>2596.0000000000005</v>
      </c>
      <c r="AP231" s="1587">
        <f t="shared" ca="1" si="149"/>
        <v>-80988.119778560649</v>
      </c>
      <c r="AS231" s="1212">
        <f t="shared" ca="1" si="150"/>
        <v>102000</v>
      </c>
      <c r="AT231" s="1213">
        <f t="shared" ca="1" si="151"/>
        <v>4488</v>
      </c>
      <c r="AU231" s="1587">
        <f t="shared" ca="1" si="152"/>
        <v>-1081.4579768495219</v>
      </c>
      <c r="AX231" s="1212">
        <f t="shared" ca="1" si="153"/>
        <v>93000</v>
      </c>
      <c r="AY231" s="1213">
        <f t="shared" ca="1" si="154"/>
        <v>4092.0000000000005</v>
      </c>
      <c r="AZ231" s="1587">
        <f t="shared" ca="1" si="155"/>
        <v>-15046.974333165577</v>
      </c>
      <c r="BC231" s="1212">
        <f t="shared" ca="1" si="156"/>
        <v>0</v>
      </c>
      <c r="BD231" s="1213">
        <f t="shared" ca="1" si="157"/>
        <v>0</v>
      </c>
      <c r="BE231" s="1587">
        <f t="shared" ca="1" si="158"/>
        <v>0</v>
      </c>
      <c r="BH231" s="1212">
        <f t="shared" ca="1" si="159"/>
        <v>0</v>
      </c>
      <c r="BI231" s="1213">
        <f t="shared" ca="1" si="160"/>
        <v>0</v>
      </c>
      <c r="BJ231" s="1587">
        <f t="shared" ca="1" si="161"/>
        <v>0</v>
      </c>
      <c r="BM231" s="1212">
        <f t="shared" ca="1" si="162"/>
        <v>0</v>
      </c>
      <c r="BN231" s="1213">
        <f t="shared" ca="1" si="163"/>
        <v>0</v>
      </c>
      <c r="BO231" s="1587">
        <f t="shared" ca="1" si="164"/>
        <v>0</v>
      </c>
      <c r="BR231" s="1212">
        <f t="shared" ca="1" si="165"/>
        <v>0</v>
      </c>
      <c r="BS231" s="1213">
        <f t="shared" ca="1" si="166"/>
        <v>0</v>
      </c>
      <c r="BT231" s="1587">
        <f t="shared" ca="1" si="167"/>
        <v>0</v>
      </c>
      <c r="BW231" s="1212">
        <f t="shared" ca="1" si="168"/>
        <v>0</v>
      </c>
      <c r="BX231" s="1213">
        <f t="shared" ca="1" si="169"/>
        <v>0</v>
      </c>
      <c r="BY231" s="1587">
        <f t="shared" ca="1" si="170"/>
        <v>0</v>
      </c>
      <c r="CB231" s="1212">
        <f t="shared" ca="1" si="171"/>
        <v>0</v>
      </c>
      <c r="CC231" s="1213">
        <f t="shared" ca="1" si="172"/>
        <v>0</v>
      </c>
      <c r="CD231" s="1587">
        <f t="shared" ca="1" si="173"/>
        <v>0</v>
      </c>
      <c r="CG231" s="1212">
        <f t="shared" ca="1" si="174"/>
        <v>0</v>
      </c>
      <c r="CH231" s="1213">
        <f t="shared" ca="1" si="175"/>
        <v>0</v>
      </c>
      <c r="CI231" s="1587">
        <f t="shared" ca="1" si="176"/>
        <v>0</v>
      </c>
      <c r="CL231" s="1212">
        <f t="shared" ca="1" si="177"/>
        <v>0</v>
      </c>
      <c r="CM231" s="1213">
        <f t="shared" ca="1" si="178"/>
        <v>0</v>
      </c>
      <c r="CN231" s="1587">
        <f t="shared" ca="1" si="179"/>
        <v>0</v>
      </c>
    </row>
    <row r="232" spans="1:92">
      <c r="A232" s="141" t="str">
        <f>'銀行-TSS'!A232</f>
        <v>US59156RBN70</v>
      </c>
      <c r="B232" s="151" t="str">
        <f ca="1">VLOOKUP(A232,'銀行-TSS'!A:B,2,FALSE)</f>
        <v>XH270</v>
      </c>
      <c r="C232" s="151" t="str">
        <f ca="1">VLOOKUP(B232,bond!B:C,2,FALSE)</f>
        <v>大都會人壽美元配息債券 4.05% 2045/3/1</v>
      </c>
      <c r="D232" s="95" t="str">
        <f>VLOOKUP(A232,'銀行-TSS'!A:C,3,FALSE)</f>
        <v>USD</v>
      </c>
      <c r="E232" s="90">
        <f ca="1">VLOOKUP(A232,'銀行-TSS'!A:G,7,FALSE)</f>
        <v>20.66</v>
      </c>
      <c r="F232" s="202">
        <f ca="1">VLOOKUP(A232,'銀行-TSS'!A:H,8,FALSE)</f>
        <v>4.0500000000000001E-2</v>
      </c>
      <c r="G232" s="96">
        <f ca="1">VLOOKUP(A232,'銀行-TSS'!A:K,11,FALSE)</f>
        <v>84.8</v>
      </c>
      <c r="H232" s="1209">
        <f ca="1">VLOOKUP(A232,'銀行-TSS'!A:M,13,FALSE)</f>
        <v>5.3900000000000003E-2</v>
      </c>
      <c r="I232" s="1213">
        <f ca="1">VLOOKUP(A232,'銀行-TSS'!A:N,14,FALSE)</f>
        <v>10000</v>
      </c>
      <c r="J232" s="1213">
        <f ca="1">VLOOKUP(A232,'銀行-TSS'!A:O,15,FALSE)</f>
        <v>1000</v>
      </c>
      <c r="K232" s="136" t="str">
        <f ca="1">VLOOKUP(A232,'銀行-TSS'!A:V,22,FALSE)</f>
        <v>(NPI)非專投</v>
      </c>
      <c r="L232" s="136" t="str">
        <f ca="1">VLOOKUP(A232,'銀行-TSS'!A:AK,37,FALSE)</f>
        <v>有</v>
      </c>
      <c r="M232" s="136" t="str">
        <f ca="1">VLOOKUP(A232,'銀行-TSS'!A:AN,40,FALSE)</f>
        <v/>
      </c>
      <c r="N232" s="136">
        <f t="shared" ca="1" si="135"/>
        <v>848</v>
      </c>
      <c r="O232" s="1213">
        <f t="shared" ca="1" si="136"/>
        <v>8480</v>
      </c>
      <c r="P232" s="1213">
        <f ca="1">IF(AND($O$1&gt;=O232,換券單檔!$D$13=D232),I232+INT(($O$1-O232)/N232)*J232,0)</f>
        <v>114000</v>
      </c>
      <c r="Q232" s="1213">
        <f t="shared" ca="1" si="137"/>
        <v>4617</v>
      </c>
      <c r="R232" s="1213">
        <f t="shared" ca="1" si="138"/>
        <v>114000</v>
      </c>
      <c r="S232" s="1213">
        <f t="shared" ca="1" si="139"/>
        <v>4617</v>
      </c>
      <c r="T232" s="136">
        <f ca="1">IF(OR(R232=0,A232=0),0,IF(AND(V232=TRUE,換券單檔!$D$13=D232),E232,0))</f>
        <v>20.66</v>
      </c>
      <c r="U232" s="861">
        <f ca="1">IF(OR(R232=0,A232=0),0,IF(AND(V232=TRUE,換券單檔!$D$13=D232),H232,0))</f>
        <v>5.3900000000000003E-2</v>
      </c>
      <c r="V232" s="136" t="b">
        <f ca="1">IF(OR(B232=換券單檔!$D$3,L232="無",M232&lt;&gt;"",K232="高資產",IFERROR(MATCH(B232,換券單檔!K:K,0),"N")&lt;&gt;"N"),FALSE,IF($V$1="All",TRUE,IF(K232=$V$1,TRUE,FALSE)))</f>
        <v>1</v>
      </c>
      <c r="W232" s="136">
        <f ca="1">VLOOKUP(A232,'銀行-TSS'!A:AO,41,FALSE)</f>
        <v>80.940000000000012</v>
      </c>
      <c r="X232" s="136">
        <f ca="1">VLOOKUP(A232,'銀行-TSS'!A:AP,42,FALSE)</f>
        <v>12.843400000000001</v>
      </c>
      <c r="Y232" s="1220">
        <f t="shared" ca="1" si="140"/>
        <v>11850.810674400003</v>
      </c>
      <c r="Z232" s="1220">
        <f t="shared" ca="1" si="141"/>
        <v>-343.26427879961022</v>
      </c>
      <c r="AA232" s="136">
        <f ca="1">IF(Z232&lt;=0,0,RANK(Z232,Z:Z)+COUNTIF($Z$3:$Z232,Z232)-1)</f>
        <v>0</v>
      </c>
      <c r="AB232" s="1211">
        <f t="shared" ca="1" si="142"/>
        <v>-3045.3293255999961</v>
      </c>
      <c r="AC232" s="136">
        <f ca="1">IF(AB232&lt;=0,0,RANK(AB232,AB:AB)+COUNTIF($AB$3:$AB232,AB232)-1)</f>
        <v>0</v>
      </c>
      <c r="AD232" s="1123">
        <f t="shared" ca="1" si="143"/>
        <v>99999</v>
      </c>
      <c r="AE232" s="1123">
        <f ca="1">IF(AD232=99999,0,RANK(AD232,AD:AD,1)+COUNTIF($AD$3:$AD232,AD232)-1)</f>
        <v>0</v>
      </c>
      <c r="AF232" s="86" t="b">
        <f ca="1">IF(OR(M232&lt;&gt;"",L232="無",K232="高資產",IFERROR(MATCH(B232,換券單檔!K:K,0),"N")&lt;&gt;"N"),FALSE,TRUE)</f>
        <v>1</v>
      </c>
      <c r="AI232" s="1212">
        <f t="shared" ca="1" si="144"/>
        <v>114000</v>
      </c>
      <c r="AJ232" s="1213">
        <f t="shared" ca="1" si="145"/>
        <v>4617</v>
      </c>
      <c r="AK232" s="1587">
        <f t="shared" ca="1" si="146"/>
        <v>-343.26427879961022</v>
      </c>
      <c r="AN232" s="1212">
        <f t="shared" ca="1" si="147"/>
        <v>65000</v>
      </c>
      <c r="AO232" s="1213">
        <f t="shared" ca="1" si="148"/>
        <v>2632.5</v>
      </c>
      <c r="AP232" s="1587">
        <f t="shared" ca="1" si="149"/>
        <v>-68880.271055179095</v>
      </c>
      <c r="AS232" s="1212">
        <f t="shared" ca="1" si="150"/>
        <v>111000</v>
      </c>
      <c r="AT232" s="1213">
        <f t="shared" ca="1" si="151"/>
        <v>4495.5</v>
      </c>
      <c r="AU232" s="1587">
        <f t="shared" ca="1" si="152"/>
        <v>-844.73184898354316</v>
      </c>
      <c r="AX232" s="1212">
        <f t="shared" ca="1" si="153"/>
        <v>102000</v>
      </c>
      <c r="AY232" s="1213">
        <f t="shared" ca="1" si="154"/>
        <v>4131</v>
      </c>
      <c r="AZ232" s="1587">
        <f t="shared" ca="1" si="155"/>
        <v>-885.4365924491799</v>
      </c>
      <c r="BC232" s="1212">
        <f t="shared" ca="1" si="156"/>
        <v>0</v>
      </c>
      <c r="BD232" s="1213">
        <f t="shared" ca="1" si="157"/>
        <v>0</v>
      </c>
      <c r="BE232" s="1587">
        <f t="shared" ca="1" si="158"/>
        <v>0</v>
      </c>
      <c r="BH232" s="1212">
        <f t="shared" ca="1" si="159"/>
        <v>0</v>
      </c>
      <c r="BI232" s="1213">
        <f t="shared" ca="1" si="160"/>
        <v>0</v>
      </c>
      <c r="BJ232" s="1587">
        <f t="shared" ca="1" si="161"/>
        <v>0</v>
      </c>
      <c r="BM232" s="1212">
        <f t="shared" ca="1" si="162"/>
        <v>0</v>
      </c>
      <c r="BN232" s="1213">
        <f t="shared" ca="1" si="163"/>
        <v>0</v>
      </c>
      <c r="BO232" s="1587">
        <f t="shared" ca="1" si="164"/>
        <v>0</v>
      </c>
      <c r="BR232" s="1212">
        <f t="shared" ca="1" si="165"/>
        <v>0</v>
      </c>
      <c r="BS232" s="1213">
        <f t="shared" ca="1" si="166"/>
        <v>0</v>
      </c>
      <c r="BT232" s="1587">
        <f t="shared" ca="1" si="167"/>
        <v>0</v>
      </c>
      <c r="BW232" s="1212">
        <f t="shared" ca="1" si="168"/>
        <v>0</v>
      </c>
      <c r="BX232" s="1213">
        <f t="shared" ca="1" si="169"/>
        <v>0</v>
      </c>
      <c r="BY232" s="1587">
        <f t="shared" ca="1" si="170"/>
        <v>0</v>
      </c>
      <c r="CB232" s="1212">
        <f t="shared" ca="1" si="171"/>
        <v>0</v>
      </c>
      <c r="CC232" s="1213">
        <f t="shared" ca="1" si="172"/>
        <v>0</v>
      </c>
      <c r="CD232" s="1587">
        <f t="shared" ca="1" si="173"/>
        <v>0</v>
      </c>
      <c r="CG232" s="1212">
        <f t="shared" ca="1" si="174"/>
        <v>0</v>
      </c>
      <c r="CH232" s="1213">
        <f t="shared" ca="1" si="175"/>
        <v>0</v>
      </c>
      <c r="CI232" s="1587">
        <f t="shared" ca="1" si="176"/>
        <v>0</v>
      </c>
      <c r="CL232" s="1212">
        <f t="shared" ca="1" si="177"/>
        <v>0</v>
      </c>
      <c r="CM232" s="1213">
        <f t="shared" ca="1" si="178"/>
        <v>0</v>
      </c>
      <c r="CN232" s="1587">
        <f t="shared" ca="1" si="179"/>
        <v>0</v>
      </c>
    </row>
    <row r="233" spans="1:92">
      <c r="A233" s="141" t="str">
        <f>'銀行-TSS'!A233</f>
        <v>XS2577135127</v>
      </c>
      <c r="B233" s="151" t="str">
        <f ca="1">VLOOKUP(A233,'銀行-TSS'!A:B,2,FALSE)</f>
        <v>XH280</v>
      </c>
      <c r="C233" s="151" t="str">
        <f ca="1">VLOOKUP(B233,bond!B:C,2,FALSE)</f>
        <v>沙烏地阿拉伯政府美元配息債券 4.875% 2033/7/18</v>
      </c>
      <c r="D233" s="95" t="str">
        <f>VLOOKUP(A233,'銀行-TSS'!A:C,3,FALSE)</f>
        <v>USD</v>
      </c>
      <c r="E233" s="90">
        <f ca="1">VLOOKUP(A233,'銀行-TSS'!A:G,7,FALSE)</f>
        <v>9.0399999999999991</v>
      </c>
      <c r="F233" s="202">
        <f ca="1">VLOOKUP(A233,'銀行-TSS'!A:H,8,FALSE)</f>
        <v>4.8750000000000002E-2</v>
      </c>
      <c r="G233" s="96">
        <f ca="1">VLOOKUP(A233,'銀行-TSS'!A:K,11,FALSE)</f>
        <v>102.26</v>
      </c>
      <c r="H233" s="1209">
        <f ca="1">VLOOKUP(A233,'銀行-TSS'!A:M,13,FALSE)</f>
        <v>4.87E-2</v>
      </c>
      <c r="I233" s="1213">
        <f ca="1">VLOOKUP(A233,'銀行-TSS'!A:N,14,FALSE)</f>
        <v>200000</v>
      </c>
      <c r="J233" s="1213">
        <f ca="1">VLOOKUP(A233,'銀行-TSS'!A:O,15,FALSE)</f>
        <v>1000</v>
      </c>
      <c r="K233" s="136" t="str">
        <f ca="1">VLOOKUP(A233,'銀行-TSS'!A:V,22,FALSE)</f>
        <v>(NPI)非專投</v>
      </c>
      <c r="L233" s="136" t="str">
        <f ca="1">VLOOKUP(A233,'銀行-TSS'!A:AK,37,FALSE)</f>
        <v>有</v>
      </c>
      <c r="M233" s="136" t="str">
        <f ca="1">VLOOKUP(A233,'銀行-TSS'!A:AN,40,FALSE)</f>
        <v/>
      </c>
      <c r="N233" s="136">
        <f t="shared" ca="1" si="135"/>
        <v>1022.6</v>
      </c>
      <c r="O233" s="1213">
        <f t="shared" ca="1" si="136"/>
        <v>204520</v>
      </c>
      <c r="P233" s="1213">
        <f ca="1">IF(AND($O$1&gt;=O233,換券單檔!$D$13=D233),I233+INT(($O$1-O233)/N233)*J233,0)</f>
        <v>0</v>
      </c>
      <c r="Q233" s="1213">
        <f t="shared" ca="1" si="137"/>
        <v>0</v>
      </c>
      <c r="R233" s="1213">
        <f t="shared" ca="1" si="138"/>
        <v>0</v>
      </c>
      <c r="S233" s="1213">
        <f t="shared" ca="1" si="139"/>
        <v>0</v>
      </c>
      <c r="T233" s="136">
        <f ca="1">IF(OR(R233=0,A233=0),0,IF(AND(V233=TRUE,換券單檔!$D$13=D233),E233,0))</f>
        <v>0</v>
      </c>
      <c r="U233" s="861">
        <f ca="1">IF(OR(R233=0,A233=0),0,IF(AND(V233=TRUE,換券單檔!$D$13=D233),H233,0))</f>
        <v>0</v>
      </c>
      <c r="V233" s="136" t="b">
        <f ca="1">IF(OR(B233=換券單檔!$D$3,L233="無",M233&lt;&gt;"",K233="高資產",IFERROR(MATCH(B233,換券單檔!K:K,0),"N")&lt;&gt;"N"),FALSE,IF($V$1="All",TRUE,IF(K233=$V$1,TRUE,FALSE)))</f>
        <v>1</v>
      </c>
      <c r="W233" s="136">
        <f ca="1">VLOOKUP(A233,'銀行-TSS'!A:AO,41,FALSE)</f>
        <v>98.03</v>
      </c>
      <c r="X233" s="136">
        <f ca="1">VLOOKUP(A233,'銀行-TSS'!A:AP,42,FALSE)</f>
        <v>7.0598999999999998</v>
      </c>
      <c r="Y233" s="1220">
        <f t="shared" ca="1" si="140"/>
        <v>0</v>
      </c>
      <c r="Z233" s="1220">
        <f t="shared" ca="1" si="141"/>
        <v>0</v>
      </c>
      <c r="AA233" s="136">
        <f ca="1">IF(Z233&lt;=0,0,RANK(Z233,Z:Z)+COUNTIF($Z$3:$Z233,Z233)-1)</f>
        <v>0</v>
      </c>
      <c r="AB233" s="1211">
        <f t="shared" ca="1" si="142"/>
        <v>-114896.14</v>
      </c>
      <c r="AC233" s="136">
        <f ca="1">IF(AB233&lt;=0,0,RANK(AB233,AB:AB)+COUNTIF($AB$3:$AB233,AB233)-1)</f>
        <v>0</v>
      </c>
      <c r="AD233" s="1123">
        <f t="shared" ca="1" si="143"/>
        <v>99999</v>
      </c>
      <c r="AE233" s="1123">
        <f ca="1">IF(AD233=99999,0,RANK(AD233,AD:AD,1)+COUNTIF($AD$3:$AD233,AD233)-1)</f>
        <v>0</v>
      </c>
      <c r="AF233" s="86" t="b">
        <f ca="1">IF(OR(M233&lt;&gt;"",L233="無",K233="高資產",IFERROR(MATCH(B233,換券單檔!K:K,0),"N")&lt;&gt;"N"),FALSE,TRUE)</f>
        <v>1</v>
      </c>
      <c r="AI233" s="1212">
        <f t="shared" ca="1" si="144"/>
        <v>0</v>
      </c>
      <c r="AJ233" s="1213">
        <f t="shared" ca="1" si="145"/>
        <v>0</v>
      </c>
      <c r="AK233" s="1587">
        <f t="shared" ca="1" si="146"/>
        <v>0</v>
      </c>
      <c r="AN233" s="1212">
        <f t="shared" ca="1" si="147"/>
        <v>0</v>
      </c>
      <c r="AO233" s="1213">
        <f t="shared" ca="1" si="148"/>
        <v>0</v>
      </c>
      <c r="AP233" s="1587">
        <f t="shared" ca="1" si="149"/>
        <v>0</v>
      </c>
      <c r="AS233" s="1212">
        <f t="shared" ca="1" si="150"/>
        <v>0</v>
      </c>
      <c r="AT233" s="1213">
        <f t="shared" ca="1" si="151"/>
        <v>0</v>
      </c>
      <c r="AU233" s="1587">
        <f t="shared" ca="1" si="152"/>
        <v>0</v>
      </c>
      <c r="AX233" s="1212">
        <f t="shared" ca="1" si="153"/>
        <v>0</v>
      </c>
      <c r="AY233" s="1213">
        <f t="shared" ca="1" si="154"/>
        <v>0</v>
      </c>
      <c r="AZ233" s="1587">
        <f t="shared" ca="1" si="155"/>
        <v>0</v>
      </c>
      <c r="BC233" s="1212">
        <f t="shared" ca="1" si="156"/>
        <v>0</v>
      </c>
      <c r="BD233" s="1213">
        <f t="shared" ca="1" si="157"/>
        <v>0</v>
      </c>
      <c r="BE233" s="1587">
        <f t="shared" ca="1" si="158"/>
        <v>0</v>
      </c>
      <c r="BH233" s="1212">
        <f t="shared" ca="1" si="159"/>
        <v>0</v>
      </c>
      <c r="BI233" s="1213">
        <f t="shared" ca="1" si="160"/>
        <v>0</v>
      </c>
      <c r="BJ233" s="1587">
        <f t="shared" ca="1" si="161"/>
        <v>0</v>
      </c>
      <c r="BM233" s="1212">
        <f t="shared" ca="1" si="162"/>
        <v>0</v>
      </c>
      <c r="BN233" s="1213">
        <f t="shared" ca="1" si="163"/>
        <v>0</v>
      </c>
      <c r="BO233" s="1587">
        <f t="shared" ca="1" si="164"/>
        <v>0</v>
      </c>
      <c r="BR233" s="1212">
        <f t="shared" ca="1" si="165"/>
        <v>0</v>
      </c>
      <c r="BS233" s="1213">
        <f t="shared" ca="1" si="166"/>
        <v>0</v>
      </c>
      <c r="BT233" s="1587">
        <f t="shared" ca="1" si="167"/>
        <v>0</v>
      </c>
      <c r="BW233" s="1212">
        <f t="shared" ca="1" si="168"/>
        <v>0</v>
      </c>
      <c r="BX233" s="1213">
        <f t="shared" ca="1" si="169"/>
        <v>0</v>
      </c>
      <c r="BY233" s="1587">
        <f t="shared" ca="1" si="170"/>
        <v>0</v>
      </c>
      <c r="CB233" s="1212">
        <f t="shared" ca="1" si="171"/>
        <v>0</v>
      </c>
      <c r="CC233" s="1213">
        <f t="shared" ca="1" si="172"/>
        <v>0</v>
      </c>
      <c r="CD233" s="1587">
        <f t="shared" ca="1" si="173"/>
        <v>0</v>
      </c>
      <c r="CG233" s="1212">
        <f t="shared" ca="1" si="174"/>
        <v>0</v>
      </c>
      <c r="CH233" s="1213">
        <f t="shared" ca="1" si="175"/>
        <v>0</v>
      </c>
      <c r="CI233" s="1587">
        <f t="shared" ca="1" si="176"/>
        <v>0</v>
      </c>
      <c r="CL233" s="1212">
        <f t="shared" ca="1" si="177"/>
        <v>0</v>
      </c>
      <c r="CM233" s="1213">
        <f t="shared" ca="1" si="178"/>
        <v>0</v>
      </c>
      <c r="CN233" s="1587">
        <f t="shared" ca="1" si="179"/>
        <v>0</v>
      </c>
    </row>
    <row r="234" spans="1:92">
      <c r="A234" s="141" t="str">
        <f>'銀行-TSS'!A234</f>
        <v>US91324PAR38</v>
      </c>
      <c r="B234" s="151" t="str">
        <f ca="1">VLOOKUP(A234,'銀行-TSS'!A:B,2,FALSE)</f>
        <v>XH290</v>
      </c>
      <c r="C234" s="151" t="str">
        <f ca="1">VLOOKUP(B234,bond!B:C,2,FALSE)</f>
        <v>聯合健康集團美元配息債券 5.8% 2036/3/15</v>
      </c>
      <c r="D234" s="95" t="str">
        <f>VLOOKUP(A234,'銀行-TSS'!A:C,3,FALSE)</f>
        <v>USD</v>
      </c>
      <c r="E234" s="90">
        <f ca="1">VLOOKUP(A234,'銀行-TSS'!A:G,7,FALSE)</f>
        <v>11.7</v>
      </c>
      <c r="F234" s="202">
        <f ca="1">VLOOKUP(A234,'銀行-TSS'!A:H,8,FALSE)</f>
        <v>5.7999999999999996E-2</v>
      </c>
      <c r="G234" s="96">
        <f ca="1">VLOOKUP(A234,'銀行-TSS'!A:K,11,FALSE)</f>
        <v>109.03</v>
      </c>
      <c r="H234" s="1209">
        <f ca="1">VLOOKUP(A234,'銀行-TSS'!A:M,13,FALSE)</f>
        <v>4.9700000000000001E-2</v>
      </c>
      <c r="I234" s="1213">
        <f ca="1">VLOOKUP(A234,'銀行-TSS'!A:N,14,FALSE)</f>
        <v>10000</v>
      </c>
      <c r="J234" s="1213">
        <f ca="1">VLOOKUP(A234,'銀行-TSS'!A:O,15,FALSE)</f>
        <v>1000</v>
      </c>
      <c r="K234" s="136" t="str">
        <f ca="1">VLOOKUP(A234,'銀行-TSS'!A:V,22,FALSE)</f>
        <v>(NPI)非專投</v>
      </c>
      <c r="L234" s="136" t="str">
        <f ca="1">VLOOKUP(A234,'銀行-TSS'!A:AK,37,FALSE)</f>
        <v>有</v>
      </c>
      <c r="M234" s="136" t="str">
        <f ca="1">VLOOKUP(A234,'銀行-TSS'!A:AN,40,FALSE)</f>
        <v/>
      </c>
      <c r="N234" s="136">
        <f t="shared" ca="1" si="135"/>
        <v>1090.3</v>
      </c>
      <c r="O234" s="1213">
        <f t="shared" ca="1" si="136"/>
        <v>10903</v>
      </c>
      <c r="P234" s="1213">
        <f ca="1">IF(AND($O$1&gt;=O234,換券單檔!$D$13=D234),I234+INT(($O$1-O234)/N234)*J234,0)</f>
        <v>88000</v>
      </c>
      <c r="Q234" s="1213">
        <f t="shared" ca="1" si="137"/>
        <v>5104</v>
      </c>
      <c r="R234" s="1213">
        <f t="shared" ca="1" si="138"/>
        <v>88000</v>
      </c>
      <c r="S234" s="1213">
        <f t="shared" ca="1" si="139"/>
        <v>5104</v>
      </c>
      <c r="T234" s="136">
        <f ca="1">IF(OR(R234=0,A234=0),0,IF(AND(V234=TRUE,換券單檔!$D$13=D234),E234,0))</f>
        <v>11.7</v>
      </c>
      <c r="U234" s="861">
        <f ca="1">IF(OR(R234=0,A234=0),0,IF(AND(V234=TRUE,換券單檔!$D$13=D234),H234,0))</f>
        <v>4.9700000000000001E-2</v>
      </c>
      <c r="V234" s="136" t="b">
        <f ca="1">IF(OR(B234=換券單檔!$D$3,L234="無",M234&lt;&gt;"",K234="高資產",IFERROR(MATCH(B234,換券單檔!K:K,0),"N")&lt;&gt;"N"),FALSE,IF($V$1="All",TRUE,IF(K234=$V$1,TRUE,FALSE)))</f>
        <v>1</v>
      </c>
      <c r="W234" s="136">
        <f ca="1">VLOOKUP(A234,'銀行-TSS'!A:AO,41,FALSE)</f>
        <v>105.31</v>
      </c>
      <c r="X234" s="136">
        <f ca="1">VLOOKUP(A234,'銀行-TSS'!A:AP,42,FALSE)</f>
        <v>8.3977000000000004</v>
      </c>
      <c r="Y234" s="1220">
        <f t="shared" ca="1" si="140"/>
        <v>7782.3837255999997</v>
      </c>
      <c r="Z234" s="1220">
        <f t="shared" ca="1" si="141"/>
        <v>-23270.564102564102</v>
      </c>
      <c r="AA234" s="136">
        <f ca="1">IF(Z234&lt;=0,0,RANK(Z234,Z:Z)+COUNTIF($Z$3:$Z234,Z234)-1)</f>
        <v>0</v>
      </c>
      <c r="AB234" s="1211">
        <f t="shared" ca="1" si="142"/>
        <v>-19113.756274399999</v>
      </c>
      <c r="AC234" s="136">
        <f ca="1">IF(AB234&lt;=0,0,RANK(AB234,AB:AB)+COUNTIF($AB$3:$AB234,AB234)-1)</f>
        <v>0</v>
      </c>
      <c r="AD234" s="1123">
        <f t="shared" ca="1" si="143"/>
        <v>99999</v>
      </c>
      <c r="AE234" s="1123">
        <f ca="1">IF(AD234=99999,0,RANK(AD234,AD:AD,1)+COUNTIF($AD$3:$AD234,AD234)-1)</f>
        <v>0</v>
      </c>
      <c r="AF234" s="86" t="b">
        <f ca="1">IF(OR(M234&lt;&gt;"",L234="無",K234="高資產",IFERROR(MATCH(B234,換券單檔!K:K,0),"N")&lt;&gt;"N"),FALSE,TRUE)</f>
        <v>1</v>
      </c>
      <c r="AI234" s="1212">
        <f t="shared" ca="1" si="144"/>
        <v>88000</v>
      </c>
      <c r="AJ234" s="1213">
        <f t="shared" ca="1" si="145"/>
        <v>5104</v>
      </c>
      <c r="AK234" s="1587">
        <f t="shared" ca="1" si="146"/>
        <v>-23270.564102564102</v>
      </c>
      <c r="AN234" s="1212">
        <f t="shared" ca="1" si="147"/>
        <v>50000</v>
      </c>
      <c r="AO234" s="1213">
        <f t="shared" ca="1" si="148"/>
        <v>2900</v>
      </c>
      <c r="AP234" s="1587">
        <f t="shared" ca="1" si="149"/>
        <v>-98133.333333333328</v>
      </c>
      <c r="AS234" s="1212">
        <f t="shared" ca="1" si="150"/>
        <v>86000</v>
      </c>
      <c r="AT234" s="1213">
        <f t="shared" ca="1" si="151"/>
        <v>4988</v>
      </c>
      <c r="AU234" s="1587">
        <f t="shared" ca="1" si="152"/>
        <v>-27675.48717948718</v>
      </c>
      <c r="AX234" s="1212">
        <f t="shared" ca="1" si="153"/>
        <v>79000</v>
      </c>
      <c r="AY234" s="1213">
        <f t="shared" ca="1" si="154"/>
        <v>4582</v>
      </c>
      <c r="AZ234" s="1587">
        <f t="shared" ca="1" si="155"/>
        <v>-41620.923076923078</v>
      </c>
      <c r="BC234" s="1212">
        <f t="shared" ca="1" si="156"/>
        <v>0</v>
      </c>
      <c r="BD234" s="1213">
        <f t="shared" ca="1" si="157"/>
        <v>0</v>
      </c>
      <c r="BE234" s="1587">
        <f t="shared" ca="1" si="158"/>
        <v>0</v>
      </c>
      <c r="BH234" s="1212">
        <f t="shared" ca="1" si="159"/>
        <v>0</v>
      </c>
      <c r="BI234" s="1213">
        <f t="shared" ca="1" si="160"/>
        <v>0</v>
      </c>
      <c r="BJ234" s="1587">
        <f t="shared" ca="1" si="161"/>
        <v>0</v>
      </c>
      <c r="BM234" s="1212">
        <f t="shared" ca="1" si="162"/>
        <v>0</v>
      </c>
      <c r="BN234" s="1213">
        <f t="shared" ca="1" si="163"/>
        <v>0</v>
      </c>
      <c r="BO234" s="1587">
        <f t="shared" ca="1" si="164"/>
        <v>0</v>
      </c>
      <c r="BR234" s="1212">
        <f t="shared" ca="1" si="165"/>
        <v>0</v>
      </c>
      <c r="BS234" s="1213">
        <f t="shared" ca="1" si="166"/>
        <v>0</v>
      </c>
      <c r="BT234" s="1587">
        <f t="shared" ca="1" si="167"/>
        <v>0</v>
      </c>
      <c r="BW234" s="1212">
        <f t="shared" ca="1" si="168"/>
        <v>0</v>
      </c>
      <c r="BX234" s="1213">
        <f t="shared" ca="1" si="169"/>
        <v>0</v>
      </c>
      <c r="BY234" s="1587">
        <f t="shared" ca="1" si="170"/>
        <v>0</v>
      </c>
      <c r="CB234" s="1212">
        <f t="shared" ca="1" si="171"/>
        <v>0</v>
      </c>
      <c r="CC234" s="1213">
        <f t="shared" ca="1" si="172"/>
        <v>0</v>
      </c>
      <c r="CD234" s="1587">
        <f t="shared" ca="1" si="173"/>
        <v>0</v>
      </c>
      <c r="CG234" s="1212">
        <f t="shared" ca="1" si="174"/>
        <v>0</v>
      </c>
      <c r="CH234" s="1213">
        <f t="shared" ca="1" si="175"/>
        <v>0</v>
      </c>
      <c r="CI234" s="1587">
        <f t="shared" ca="1" si="176"/>
        <v>0</v>
      </c>
      <c r="CL234" s="1212">
        <f t="shared" ca="1" si="177"/>
        <v>0</v>
      </c>
      <c r="CM234" s="1213">
        <f t="shared" ca="1" si="178"/>
        <v>0</v>
      </c>
      <c r="CN234" s="1587">
        <f t="shared" ca="1" si="179"/>
        <v>0</v>
      </c>
    </row>
    <row r="235" spans="1:92">
      <c r="A235" s="141" t="str">
        <f>'銀行-TSS'!A235</f>
        <v>US91324PBW14</v>
      </c>
      <c r="B235" s="151" t="str">
        <f ca="1">VLOOKUP(A235,'銀行-TSS'!A:B,2,FALSE)</f>
        <v>XH300</v>
      </c>
      <c r="C235" s="151" t="str">
        <f ca="1">VLOOKUP(B235,bond!B:C,2,FALSE)</f>
        <v>聯合健康集團美元配息債券 4.375% 2042/3/15</v>
      </c>
      <c r="D235" s="95" t="str">
        <f>VLOOKUP(A235,'銀行-TSS'!A:C,3,FALSE)</f>
        <v>USD</v>
      </c>
      <c r="E235" s="90">
        <f ca="1">VLOOKUP(A235,'銀行-TSS'!A:G,7,FALSE)</f>
        <v>17.7</v>
      </c>
      <c r="F235" s="202">
        <f ca="1">VLOOKUP(A235,'銀行-TSS'!A:H,8,FALSE)</f>
        <v>4.3749999999999997E-2</v>
      </c>
      <c r="G235" s="96">
        <f ca="1">VLOOKUP(A235,'銀行-TSS'!A:K,11,FALSE)</f>
        <v>92.34</v>
      </c>
      <c r="H235" s="1209">
        <f ca="1">VLOOKUP(A235,'銀行-TSS'!A:M,13,FALSE)</f>
        <v>5.1499999999999997E-2</v>
      </c>
      <c r="I235" s="1213">
        <f ca="1">VLOOKUP(A235,'銀行-TSS'!A:N,14,FALSE)</f>
        <v>10000</v>
      </c>
      <c r="J235" s="1213">
        <f ca="1">VLOOKUP(A235,'銀行-TSS'!A:O,15,FALSE)</f>
        <v>1000</v>
      </c>
      <c r="K235" s="136" t="str">
        <f ca="1">VLOOKUP(A235,'銀行-TSS'!A:V,22,FALSE)</f>
        <v>(NPI)非專投</v>
      </c>
      <c r="L235" s="136" t="str">
        <f ca="1">VLOOKUP(A235,'銀行-TSS'!A:AK,37,FALSE)</f>
        <v>有</v>
      </c>
      <c r="M235" s="136" t="str">
        <f ca="1">VLOOKUP(A235,'銀行-TSS'!A:AN,40,FALSE)</f>
        <v/>
      </c>
      <c r="N235" s="136">
        <f t="shared" ca="1" si="135"/>
        <v>923.4</v>
      </c>
      <c r="O235" s="1213">
        <f t="shared" ca="1" si="136"/>
        <v>9234</v>
      </c>
      <c r="P235" s="1213">
        <f ca="1">IF(AND($O$1&gt;=O235,換券單檔!$D$13=D235),I235+INT(($O$1-O235)/N235)*J235,0)</f>
        <v>104000</v>
      </c>
      <c r="Q235" s="1213">
        <f t="shared" ca="1" si="137"/>
        <v>4550</v>
      </c>
      <c r="R235" s="1213">
        <f t="shared" ca="1" si="138"/>
        <v>104000</v>
      </c>
      <c r="S235" s="1213">
        <f t="shared" ca="1" si="139"/>
        <v>4550</v>
      </c>
      <c r="T235" s="136">
        <f ca="1">IF(OR(R235=0,A235=0),0,IF(AND(V235=TRUE,換券單檔!$D$13=D235),E235,0))</f>
        <v>17.7</v>
      </c>
      <c r="U235" s="861">
        <f ca="1">IF(OR(R235=0,A235=0),0,IF(AND(V235=TRUE,換券單檔!$D$13=D235),H235,0))</f>
        <v>5.1499999999999997E-2</v>
      </c>
      <c r="V235" s="136" t="b">
        <f ca="1">IF(OR(B235=換券單檔!$D$3,L235="無",M235&lt;&gt;"",K235="高資產",IFERROR(MATCH(B235,換券單檔!K:K,0),"N")&lt;&gt;"N"),FALSE,IF($V$1="All",TRUE,IF(K235=$V$1,TRUE,FALSE)))</f>
        <v>1</v>
      </c>
      <c r="W235" s="136">
        <f ca="1">VLOOKUP(A235,'銀行-TSS'!A:AO,41,FALSE)</f>
        <v>88.54</v>
      </c>
      <c r="X235" s="136">
        <f ca="1">VLOOKUP(A235,'銀行-TSS'!A:AP,42,FALSE)</f>
        <v>11.663399999999999</v>
      </c>
      <c r="Y235" s="1220">
        <f t="shared" ca="1" si="140"/>
        <v>10739.845334399999</v>
      </c>
      <c r="Z235" s="1220">
        <f t="shared" ca="1" si="141"/>
        <v>-761.5819209039521</v>
      </c>
      <c r="AA235" s="136">
        <f ca="1">IF(Z235&lt;=0,0,RANK(Z235,Z:Z)+COUNTIF($Z$3:$Z235,Z235)-1)</f>
        <v>0</v>
      </c>
      <c r="AB235" s="1211">
        <f t="shared" ca="1" si="142"/>
        <v>-4156.2946656000004</v>
      </c>
      <c r="AC235" s="136">
        <f ca="1">IF(AB235&lt;=0,0,RANK(AB235,AB:AB)+COUNTIF($AB$3:$AB235,AB235)-1)</f>
        <v>0</v>
      </c>
      <c r="AD235" s="1123">
        <f t="shared" ca="1" si="143"/>
        <v>99999</v>
      </c>
      <c r="AE235" s="1123">
        <f ca="1">IF(AD235=99999,0,RANK(AD235,AD:AD,1)+COUNTIF($AD$3:$AD235,AD235)-1)</f>
        <v>0</v>
      </c>
      <c r="AF235" s="86" t="b">
        <f ca="1">IF(OR(M235&lt;&gt;"",L235="無",K235="高資產",IFERROR(MATCH(B235,換券單檔!K:K,0),"N")&lt;&gt;"N"),FALSE,TRUE)</f>
        <v>1</v>
      </c>
      <c r="AI235" s="1212">
        <f t="shared" ca="1" si="144"/>
        <v>104000</v>
      </c>
      <c r="AJ235" s="1213">
        <f t="shared" ca="1" si="145"/>
        <v>4550</v>
      </c>
      <c r="AK235" s="1587">
        <f t="shared" ca="1" si="146"/>
        <v>-761.5819209039521</v>
      </c>
      <c r="AN235" s="1212">
        <f t="shared" ca="1" si="147"/>
        <v>59000</v>
      </c>
      <c r="AO235" s="1213">
        <f t="shared" ca="1" si="148"/>
        <v>2581.25</v>
      </c>
      <c r="AP235" s="1587">
        <f t="shared" ca="1" si="149"/>
        <v>-81034.322033898308</v>
      </c>
      <c r="AS235" s="1212">
        <f t="shared" ca="1" si="150"/>
        <v>102000</v>
      </c>
      <c r="AT235" s="1213">
        <f t="shared" ca="1" si="151"/>
        <v>4462.5</v>
      </c>
      <c r="AU235" s="1587">
        <f t="shared" ca="1" si="152"/>
        <v>-1146.0451977401131</v>
      </c>
      <c r="AX235" s="1212">
        <f t="shared" ca="1" si="153"/>
        <v>94000</v>
      </c>
      <c r="AY235" s="1213">
        <f t="shared" ca="1" si="154"/>
        <v>4112.5</v>
      </c>
      <c r="AZ235" s="1587">
        <f t="shared" ca="1" si="155"/>
        <v>-12983.898305084749</v>
      </c>
      <c r="BC235" s="1212">
        <f t="shared" ca="1" si="156"/>
        <v>0</v>
      </c>
      <c r="BD235" s="1213">
        <f t="shared" ca="1" si="157"/>
        <v>0</v>
      </c>
      <c r="BE235" s="1587">
        <f t="shared" ca="1" si="158"/>
        <v>0</v>
      </c>
      <c r="BH235" s="1212">
        <f t="shared" ca="1" si="159"/>
        <v>0</v>
      </c>
      <c r="BI235" s="1213">
        <f t="shared" ca="1" si="160"/>
        <v>0</v>
      </c>
      <c r="BJ235" s="1587">
        <f t="shared" ca="1" si="161"/>
        <v>0</v>
      </c>
      <c r="BM235" s="1212">
        <f t="shared" ca="1" si="162"/>
        <v>0</v>
      </c>
      <c r="BN235" s="1213">
        <f t="shared" ca="1" si="163"/>
        <v>0</v>
      </c>
      <c r="BO235" s="1587">
        <f t="shared" ca="1" si="164"/>
        <v>0</v>
      </c>
      <c r="BR235" s="1212">
        <f t="shared" ca="1" si="165"/>
        <v>0</v>
      </c>
      <c r="BS235" s="1213">
        <f t="shared" ca="1" si="166"/>
        <v>0</v>
      </c>
      <c r="BT235" s="1587">
        <f t="shared" ca="1" si="167"/>
        <v>0</v>
      </c>
      <c r="BW235" s="1212">
        <f t="shared" ca="1" si="168"/>
        <v>0</v>
      </c>
      <c r="BX235" s="1213">
        <f t="shared" ca="1" si="169"/>
        <v>0</v>
      </c>
      <c r="BY235" s="1587">
        <f t="shared" ca="1" si="170"/>
        <v>0</v>
      </c>
      <c r="CB235" s="1212">
        <f t="shared" ca="1" si="171"/>
        <v>0</v>
      </c>
      <c r="CC235" s="1213">
        <f t="shared" ca="1" si="172"/>
        <v>0</v>
      </c>
      <c r="CD235" s="1587">
        <f t="shared" ca="1" si="173"/>
        <v>0</v>
      </c>
      <c r="CG235" s="1212">
        <f t="shared" ca="1" si="174"/>
        <v>0</v>
      </c>
      <c r="CH235" s="1213">
        <f t="shared" ca="1" si="175"/>
        <v>0</v>
      </c>
      <c r="CI235" s="1587">
        <f t="shared" ca="1" si="176"/>
        <v>0</v>
      </c>
      <c r="CL235" s="1212">
        <f t="shared" ca="1" si="177"/>
        <v>0</v>
      </c>
      <c r="CM235" s="1213">
        <f t="shared" ca="1" si="178"/>
        <v>0</v>
      </c>
      <c r="CN235" s="1587">
        <f t="shared" ca="1" si="179"/>
        <v>0</v>
      </c>
    </row>
    <row r="236" spans="1:92">
      <c r="A236" s="141" t="str">
        <f>'銀行-TSS'!A236</f>
        <v>US654106AE35</v>
      </c>
      <c r="B236" s="151" t="str">
        <f ca="1">VLOOKUP(A236,'銀行-TSS'!A:B,2,FALSE)</f>
        <v>XH310</v>
      </c>
      <c r="C236" s="151" t="str">
        <f ca="1">VLOOKUP(B236,bond!B:C,2,FALSE)</f>
        <v>NIKE公司美元配息債券 3.875% 2045/11/1</v>
      </c>
      <c r="D236" s="95" t="str">
        <f>VLOOKUP(A236,'銀行-TSS'!A:C,3,FALSE)</f>
        <v>USD</v>
      </c>
      <c r="E236" s="90">
        <f ca="1">VLOOKUP(A236,'銀行-TSS'!A:G,7,FALSE)</f>
        <v>21.33</v>
      </c>
      <c r="F236" s="202">
        <f ca="1">VLOOKUP(A236,'銀行-TSS'!A:H,8,FALSE)</f>
        <v>3.875E-2</v>
      </c>
      <c r="G236" s="96">
        <f ca="1">VLOOKUP(A236,'銀行-TSS'!A:K,11,FALSE)</f>
        <v>84.56</v>
      </c>
      <c r="H236" s="1209">
        <f ca="1">VLOOKUP(A236,'銀行-TSS'!A:M,13,FALSE)</f>
        <v>5.1200000000000002E-2</v>
      </c>
      <c r="I236" s="1213">
        <f ca="1">VLOOKUP(A236,'銀行-TSS'!A:N,14,FALSE)</f>
        <v>10000</v>
      </c>
      <c r="J236" s="1213">
        <f ca="1">VLOOKUP(A236,'銀行-TSS'!A:O,15,FALSE)</f>
        <v>1000</v>
      </c>
      <c r="K236" s="136" t="str">
        <f ca="1">VLOOKUP(A236,'銀行-TSS'!A:V,22,FALSE)</f>
        <v>(NPI)非專投</v>
      </c>
      <c r="L236" s="136" t="str">
        <f ca="1">VLOOKUP(A236,'銀行-TSS'!A:AK,37,FALSE)</f>
        <v>有</v>
      </c>
      <c r="M236" s="136" t="str">
        <f ca="1">VLOOKUP(A236,'銀行-TSS'!A:AN,40,FALSE)</f>
        <v/>
      </c>
      <c r="N236" s="136">
        <f t="shared" ca="1" si="135"/>
        <v>845.6</v>
      </c>
      <c r="O236" s="1213">
        <f t="shared" ca="1" si="136"/>
        <v>8456</v>
      </c>
      <c r="P236" s="1213">
        <f ca="1">IF(AND($O$1&gt;=O236,換券單檔!$D$13=D236),I236+INT(($O$1-O236)/N236)*J236,0)</f>
        <v>114000</v>
      </c>
      <c r="Q236" s="1213">
        <f t="shared" ca="1" si="137"/>
        <v>4417.5</v>
      </c>
      <c r="R236" s="1213">
        <f t="shared" ca="1" si="138"/>
        <v>114000</v>
      </c>
      <c r="S236" s="1213">
        <f t="shared" ca="1" si="139"/>
        <v>4417.5</v>
      </c>
      <c r="T236" s="136">
        <f ca="1">IF(OR(R236=0,A236=0),0,IF(AND(V236=TRUE,換券單檔!$D$13=D236),E236,0))</f>
        <v>21.33</v>
      </c>
      <c r="U236" s="861">
        <f ca="1">IF(OR(R236=0,A236=0),0,IF(AND(V236=TRUE,換券單檔!$D$13=D236),H236,0))</f>
        <v>5.1200000000000002E-2</v>
      </c>
      <c r="V236" s="136" t="b">
        <f ca="1">IF(OR(B236=換券單檔!$D$3,L236="無",M236&lt;&gt;"",K236="高資產",IFERROR(MATCH(B236,換券單檔!K:K,0),"N")&lt;&gt;"N"),FALSE,IF($V$1="All",TRUE,IF(K236=$V$1,TRUE,FALSE)))</f>
        <v>1</v>
      </c>
      <c r="W236" s="136">
        <f ca="1">VLOOKUP(A236,'銀行-TSS'!A:AO,41,FALSE)</f>
        <v>80.900000000000006</v>
      </c>
      <c r="X236" s="136">
        <f ca="1">VLOOKUP(A236,'銀行-TSS'!A:AP,42,FALSE)</f>
        <v>13.453099999999999</v>
      </c>
      <c r="Y236" s="1220">
        <f t="shared" ca="1" si="140"/>
        <v>12407.256006</v>
      </c>
      <c r="Z236" s="1220">
        <f t="shared" ca="1" si="141"/>
        <v>-938.9088138771657</v>
      </c>
      <c r="AA236" s="136">
        <f ca="1">IF(Z236&lt;=0,0,RANK(Z236,Z:Z)+COUNTIF($Z$3:$Z236,Z236)-1)</f>
        <v>0</v>
      </c>
      <c r="AB236" s="1211">
        <f t="shared" ca="1" si="142"/>
        <v>-2488.8839939999998</v>
      </c>
      <c r="AC236" s="136">
        <f ca="1">IF(AB236&lt;=0,0,RANK(AB236,AB:AB)+COUNTIF($AB$3:$AB236,AB236)-1)</f>
        <v>0</v>
      </c>
      <c r="AD236" s="1123">
        <f t="shared" ca="1" si="143"/>
        <v>99999</v>
      </c>
      <c r="AE236" s="1123">
        <f ca="1">IF(AD236=99999,0,RANK(AD236,AD:AD,1)+COUNTIF($AD$3:$AD236,AD236)-1)</f>
        <v>0</v>
      </c>
      <c r="AF236" s="86" t="b">
        <f ca="1">IF(OR(M236&lt;&gt;"",L236="無",K236="高資產",IFERROR(MATCH(B236,換券單檔!K:K,0),"N")&lt;&gt;"N"),FALSE,TRUE)</f>
        <v>1</v>
      </c>
      <c r="AI236" s="1212">
        <f t="shared" ca="1" si="144"/>
        <v>114000</v>
      </c>
      <c r="AJ236" s="1213">
        <f t="shared" ca="1" si="145"/>
        <v>4417.5</v>
      </c>
      <c r="AK236" s="1587">
        <f t="shared" ca="1" si="146"/>
        <v>-938.9088138771657</v>
      </c>
      <c r="AN236" s="1212">
        <f t="shared" ca="1" si="147"/>
        <v>65000</v>
      </c>
      <c r="AO236" s="1213">
        <f t="shared" ca="1" si="148"/>
        <v>2518.75</v>
      </c>
      <c r="AP236" s="1587">
        <f t="shared" ca="1" si="149"/>
        <v>-69212.649437412096</v>
      </c>
      <c r="AS236" s="1212">
        <f t="shared" ca="1" si="150"/>
        <v>111000</v>
      </c>
      <c r="AT236" s="1213">
        <f t="shared" ca="1" si="151"/>
        <v>4301.25</v>
      </c>
      <c r="AU236" s="1587">
        <f t="shared" ca="1" si="152"/>
        <v>0</v>
      </c>
      <c r="AX236" s="1212">
        <f t="shared" ca="1" si="153"/>
        <v>102000</v>
      </c>
      <c r="AY236" s="1213">
        <f t="shared" ca="1" si="154"/>
        <v>3952.5</v>
      </c>
      <c r="AZ236" s="1587">
        <f t="shared" ca="1" si="155"/>
        <v>0</v>
      </c>
      <c r="BC236" s="1212">
        <f t="shared" ca="1" si="156"/>
        <v>0</v>
      </c>
      <c r="BD236" s="1213">
        <f t="shared" ca="1" si="157"/>
        <v>0</v>
      </c>
      <c r="BE236" s="1587">
        <f t="shared" ca="1" si="158"/>
        <v>0</v>
      </c>
      <c r="BH236" s="1212">
        <f t="shared" ca="1" si="159"/>
        <v>0</v>
      </c>
      <c r="BI236" s="1213">
        <f t="shared" ca="1" si="160"/>
        <v>0</v>
      </c>
      <c r="BJ236" s="1587">
        <f t="shared" ca="1" si="161"/>
        <v>0</v>
      </c>
      <c r="BM236" s="1212">
        <f t="shared" ca="1" si="162"/>
        <v>0</v>
      </c>
      <c r="BN236" s="1213">
        <f t="shared" ca="1" si="163"/>
        <v>0</v>
      </c>
      <c r="BO236" s="1587">
        <f t="shared" ca="1" si="164"/>
        <v>0</v>
      </c>
      <c r="BR236" s="1212">
        <f t="shared" ca="1" si="165"/>
        <v>0</v>
      </c>
      <c r="BS236" s="1213">
        <f t="shared" ca="1" si="166"/>
        <v>0</v>
      </c>
      <c r="BT236" s="1587">
        <f t="shared" ca="1" si="167"/>
        <v>0</v>
      </c>
      <c r="BW236" s="1212">
        <f t="shared" ca="1" si="168"/>
        <v>0</v>
      </c>
      <c r="BX236" s="1213">
        <f t="shared" ca="1" si="169"/>
        <v>0</v>
      </c>
      <c r="BY236" s="1587">
        <f t="shared" ca="1" si="170"/>
        <v>0</v>
      </c>
      <c r="CB236" s="1212">
        <f t="shared" ca="1" si="171"/>
        <v>0</v>
      </c>
      <c r="CC236" s="1213">
        <f t="shared" ca="1" si="172"/>
        <v>0</v>
      </c>
      <c r="CD236" s="1587">
        <f t="shared" ca="1" si="173"/>
        <v>0</v>
      </c>
      <c r="CG236" s="1212">
        <f t="shared" ca="1" si="174"/>
        <v>0</v>
      </c>
      <c r="CH236" s="1213">
        <f t="shared" ca="1" si="175"/>
        <v>0</v>
      </c>
      <c r="CI236" s="1587">
        <f t="shared" ca="1" si="176"/>
        <v>0</v>
      </c>
      <c r="CL236" s="1212">
        <f t="shared" ca="1" si="177"/>
        <v>0</v>
      </c>
      <c r="CM236" s="1213">
        <f t="shared" ca="1" si="178"/>
        <v>0</v>
      </c>
      <c r="CN236" s="1587">
        <f t="shared" ca="1" si="179"/>
        <v>0</v>
      </c>
    </row>
    <row r="237" spans="1:92">
      <c r="A237" s="141" t="str">
        <f>'銀行-TSS'!A237</f>
        <v>US912810FT08</v>
      </c>
      <c r="B237" s="151" t="str">
        <f ca="1">VLOOKUP(A237,'銀行-TSS'!A:B,2,FALSE)</f>
        <v>XH320</v>
      </c>
      <c r="C237" s="151" t="str">
        <f ca="1">VLOOKUP(B237,bond!B:C,2,FALSE)</f>
        <v>美國政府債券 4.5% 2036/2/15</v>
      </c>
      <c r="D237" s="95" t="str">
        <f>VLOOKUP(A237,'銀行-TSS'!A:C,3,FALSE)</f>
        <v>USD</v>
      </c>
      <c r="E237" s="90">
        <f ca="1">VLOOKUP(A237,'銀行-TSS'!A:G,7,FALSE)</f>
        <v>11.62</v>
      </c>
      <c r="F237" s="202">
        <f ca="1">VLOOKUP(A237,'銀行-TSS'!A:H,8,FALSE)</f>
        <v>4.4999999999999998E-2</v>
      </c>
      <c r="G237" s="96">
        <f ca="1">VLOOKUP(A237,'銀行-TSS'!A:K,11,FALSE)</f>
        <v>105.7</v>
      </c>
      <c r="H237" s="1209">
        <f ca="1">VLOOKUP(A237,'銀行-TSS'!A:M,13,FALSE)</f>
        <v>4.07E-2</v>
      </c>
      <c r="I237" s="1213">
        <f ca="1">VLOOKUP(A237,'銀行-TSS'!A:N,14,FALSE)</f>
        <v>10000</v>
      </c>
      <c r="J237" s="1213">
        <f ca="1">VLOOKUP(A237,'銀行-TSS'!A:O,15,FALSE)</f>
        <v>100</v>
      </c>
      <c r="K237" s="136" t="str">
        <f ca="1">VLOOKUP(A237,'銀行-TSS'!A:V,22,FALSE)</f>
        <v>(NPI)非專投</v>
      </c>
      <c r="L237" s="136" t="str">
        <f ca="1">VLOOKUP(A237,'銀行-TSS'!A:AK,37,FALSE)</f>
        <v>有</v>
      </c>
      <c r="M237" s="136" t="str">
        <f ca="1">VLOOKUP(A237,'銀行-TSS'!A:AN,40,FALSE)</f>
        <v/>
      </c>
      <c r="N237" s="136">
        <f t="shared" ca="1" si="135"/>
        <v>105.7</v>
      </c>
      <c r="O237" s="1213">
        <f t="shared" ca="1" si="136"/>
        <v>10570</v>
      </c>
      <c r="P237" s="1213">
        <f ca="1">IF(AND($O$1&gt;=O237,換券單檔!$D$13=D237),I237+INT(($O$1-O237)/N237)*J237,0)</f>
        <v>91400</v>
      </c>
      <c r="Q237" s="1213">
        <f t="shared" ca="1" si="137"/>
        <v>4113</v>
      </c>
      <c r="R237" s="1213">
        <f t="shared" ca="1" si="138"/>
        <v>91400</v>
      </c>
      <c r="S237" s="1213">
        <f t="shared" ca="1" si="139"/>
        <v>4113</v>
      </c>
      <c r="T237" s="136">
        <f ca="1">IF(OR(R237=0,A237=0),0,IF(AND(V237=TRUE,換券單檔!$D$13=D237),E237,0))</f>
        <v>11.62</v>
      </c>
      <c r="U237" s="861">
        <f ca="1">IF(OR(R237=0,A237=0),0,IF(AND(V237=TRUE,換券單檔!$D$13=D237),H237,0))</f>
        <v>4.07E-2</v>
      </c>
      <c r="V237" s="136" t="b">
        <f ca="1">IF(OR(B237=換券單檔!$D$3,L237="無",M237&lt;&gt;"",K237="高資產",IFERROR(MATCH(B237,換券單檔!K:K,0),"N")&lt;&gt;"N"),FALSE,IF($V$1="All",TRUE,IF(K237=$V$1,TRUE,FALSE)))</f>
        <v>1</v>
      </c>
      <c r="W237" s="136">
        <f ca="1">VLOOKUP(A237,'銀行-TSS'!A:AO,41,FALSE)</f>
        <v>102.49000000000001</v>
      </c>
      <c r="X237" s="136">
        <f ca="1">VLOOKUP(A237,'銀行-TSS'!A:AP,42,FALSE)</f>
        <v>8.8780000000000001</v>
      </c>
      <c r="Y237" s="1220">
        <f t="shared" ca="1" si="140"/>
        <v>8316.5428508000023</v>
      </c>
      <c r="Z237" s="1220">
        <f t="shared" ca="1" si="141"/>
        <v>0</v>
      </c>
      <c r="AA237" s="136">
        <f ca="1">IF(Z237&lt;=0,0,RANK(Z237,Z:Z)+COUNTIF($Z$3:$Z237,Z237)-1)</f>
        <v>0</v>
      </c>
      <c r="AB237" s="1211">
        <f t="shared" ca="1" si="142"/>
        <v>-15179.597149199997</v>
      </c>
      <c r="AC237" s="136">
        <f ca="1">IF(AB237&lt;=0,0,RANK(AB237,AB:AB)+COUNTIF($AB$3:$AB237,AB237)-1)</f>
        <v>0</v>
      </c>
      <c r="AD237" s="1123">
        <f t="shared" ca="1" si="143"/>
        <v>99999</v>
      </c>
      <c r="AE237" s="1123">
        <f ca="1">IF(AD237=99999,0,RANK(AD237,AD:AD,1)+COUNTIF($AD$3:$AD237,AD237)-1)</f>
        <v>0</v>
      </c>
      <c r="AF237" s="86" t="b">
        <f ca="1">IF(OR(M237&lt;&gt;"",L237="無",K237="高資產",IFERROR(MATCH(B237,換券單檔!K:K,0),"N")&lt;&gt;"N"),FALSE,TRUE)</f>
        <v>1</v>
      </c>
      <c r="AI237" s="1212">
        <f t="shared" ca="1" si="144"/>
        <v>91400</v>
      </c>
      <c r="AJ237" s="1213">
        <f t="shared" ca="1" si="145"/>
        <v>4113</v>
      </c>
      <c r="AK237" s="1587">
        <f t="shared" ca="1" si="146"/>
        <v>0</v>
      </c>
      <c r="AN237" s="1212">
        <f t="shared" ca="1" si="147"/>
        <v>52300</v>
      </c>
      <c r="AO237" s="1213">
        <f t="shared" ca="1" si="148"/>
        <v>2353.5</v>
      </c>
      <c r="AP237" s="1587">
        <f t="shared" ca="1" si="149"/>
        <v>-95102.860585197937</v>
      </c>
      <c r="AS237" s="1212">
        <f t="shared" ca="1" si="150"/>
        <v>89400</v>
      </c>
      <c r="AT237" s="1213">
        <f t="shared" ca="1" si="151"/>
        <v>4023</v>
      </c>
      <c r="AU237" s="1587">
        <f t="shared" ca="1" si="152"/>
        <v>0</v>
      </c>
      <c r="AX237" s="1212">
        <f t="shared" ca="1" si="153"/>
        <v>82200</v>
      </c>
      <c r="AY237" s="1213">
        <f t="shared" ca="1" si="154"/>
        <v>3699</v>
      </c>
      <c r="AZ237" s="1587">
        <f t="shared" ca="1" si="155"/>
        <v>0</v>
      </c>
      <c r="BC237" s="1212">
        <f t="shared" ca="1" si="156"/>
        <v>0</v>
      </c>
      <c r="BD237" s="1213">
        <f t="shared" ca="1" si="157"/>
        <v>0</v>
      </c>
      <c r="BE237" s="1587">
        <f t="shared" ca="1" si="158"/>
        <v>0</v>
      </c>
      <c r="BH237" s="1212">
        <f t="shared" ca="1" si="159"/>
        <v>0</v>
      </c>
      <c r="BI237" s="1213">
        <f t="shared" ca="1" si="160"/>
        <v>0</v>
      </c>
      <c r="BJ237" s="1587">
        <f t="shared" ca="1" si="161"/>
        <v>0</v>
      </c>
      <c r="BM237" s="1212">
        <f t="shared" ca="1" si="162"/>
        <v>0</v>
      </c>
      <c r="BN237" s="1213">
        <f t="shared" ca="1" si="163"/>
        <v>0</v>
      </c>
      <c r="BO237" s="1587">
        <f t="shared" ca="1" si="164"/>
        <v>0</v>
      </c>
      <c r="BR237" s="1212">
        <f t="shared" ca="1" si="165"/>
        <v>0</v>
      </c>
      <c r="BS237" s="1213">
        <f t="shared" ca="1" si="166"/>
        <v>0</v>
      </c>
      <c r="BT237" s="1587">
        <f t="shared" ca="1" si="167"/>
        <v>0</v>
      </c>
      <c r="BW237" s="1212">
        <f t="shared" ca="1" si="168"/>
        <v>0</v>
      </c>
      <c r="BX237" s="1213">
        <f t="shared" ca="1" si="169"/>
        <v>0</v>
      </c>
      <c r="BY237" s="1587">
        <f t="shared" ca="1" si="170"/>
        <v>0</v>
      </c>
      <c r="CB237" s="1212">
        <f t="shared" ca="1" si="171"/>
        <v>0</v>
      </c>
      <c r="CC237" s="1213">
        <f t="shared" ca="1" si="172"/>
        <v>0</v>
      </c>
      <c r="CD237" s="1587">
        <f t="shared" ca="1" si="173"/>
        <v>0</v>
      </c>
      <c r="CG237" s="1212">
        <f t="shared" ca="1" si="174"/>
        <v>0</v>
      </c>
      <c r="CH237" s="1213">
        <f t="shared" ca="1" si="175"/>
        <v>0</v>
      </c>
      <c r="CI237" s="1587">
        <f t="shared" ca="1" si="176"/>
        <v>0</v>
      </c>
      <c r="CL237" s="1212">
        <f t="shared" ca="1" si="177"/>
        <v>0</v>
      </c>
      <c r="CM237" s="1213">
        <f t="shared" ca="1" si="178"/>
        <v>0</v>
      </c>
      <c r="CN237" s="1587">
        <f t="shared" ca="1" si="179"/>
        <v>0</v>
      </c>
    </row>
    <row r="238" spans="1:92">
      <c r="A238" s="141" t="str">
        <f>'銀行-TSS'!A238</f>
        <v>US57636QAH74</v>
      </c>
      <c r="B238" s="151" t="str">
        <f ca="1">VLOOKUP(A238,'銀行-TSS'!A:B,2,FALSE)</f>
        <v>XH330</v>
      </c>
      <c r="C238" s="151" t="str">
        <f ca="1">VLOOKUP(B238,bond!B:C,2,FALSE)</f>
        <v>萬事達卡公司美元配息債券 3.8% 2046/11/21</v>
      </c>
      <c r="D238" s="95" t="str">
        <f>VLOOKUP(A238,'銀行-TSS'!A:C,3,FALSE)</f>
        <v>USD</v>
      </c>
      <c r="E238" s="90">
        <f ca="1">VLOOKUP(A238,'銀行-TSS'!A:G,7,FALSE)</f>
        <v>22.39</v>
      </c>
      <c r="F238" s="202">
        <f ca="1">VLOOKUP(A238,'銀行-TSS'!A:H,8,FALSE)</f>
        <v>3.7999999999999999E-2</v>
      </c>
      <c r="G238" s="96">
        <f ca="1">VLOOKUP(A238,'銀行-TSS'!A:K,11,FALSE)</f>
        <v>83.8</v>
      </c>
      <c r="H238" s="1209">
        <f ca="1">VLOOKUP(A238,'銀行-TSS'!A:M,13,FALSE)</f>
        <v>5.0500000000000003E-2</v>
      </c>
      <c r="I238" s="1213">
        <f ca="1">VLOOKUP(A238,'銀行-TSS'!A:N,14,FALSE)</f>
        <v>10000</v>
      </c>
      <c r="J238" s="1213">
        <f ca="1">VLOOKUP(A238,'銀行-TSS'!A:O,15,FALSE)</f>
        <v>1000</v>
      </c>
      <c r="K238" s="136" t="str">
        <f ca="1">VLOOKUP(A238,'銀行-TSS'!A:V,22,FALSE)</f>
        <v>(NPI)非專投</v>
      </c>
      <c r="L238" s="136" t="str">
        <f ca="1">VLOOKUP(A238,'銀行-TSS'!A:AK,37,FALSE)</f>
        <v>有</v>
      </c>
      <c r="M238" s="136" t="str">
        <f ca="1">VLOOKUP(A238,'銀行-TSS'!A:AN,40,FALSE)</f>
        <v/>
      </c>
      <c r="N238" s="136">
        <f t="shared" ca="1" si="135"/>
        <v>838</v>
      </c>
      <c r="O238" s="1213">
        <f t="shared" ca="1" si="136"/>
        <v>8380</v>
      </c>
      <c r="P238" s="1213">
        <f ca="1">IF(AND($O$1&gt;=O238,換券單檔!$D$13=D238),I238+INT(($O$1-O238)/N238)*J238,0)</f>
        <v>115000</v>
      </c>
      <c r="Q238" s="1213">
        <f t="shared" ca="1" si="137"/>
        <v>4370</v>
      </c>
      <c r="R238" s="1213">
        <f t="shared" ca="1" si="138"/>
        <v>115000</v>
      </c>
      <c r="S238" s="1213">
        <f t="shared" ca="1" si="139"/>
        <v>4370</v>
      </c>
      <c r="T238" s="136">
        <f ca="1">IF(OR(R238=0,A238=0),0,IF(AND(V238=TRUE,換券單檔!$D$13=D238),E238,0))</f>
        <v>22.39</v>
      </c>
      <c r="U238" s="861">
        <f ca="1">IF(OR(R238=0,A238=0),0,IF(AND(V238=TRUE,換券單檔!$D$13=D238),H238,0))</f>
        <v>5.0500000000000003E-2</v>
      </c>
      <c r="V238" s="136" t="b">
        <f ca="1">IF(OR(B238=換券單檔!$D$3,L238="無",M238&lt;&gt;"",K238="高資產",IFERROR(MATCH(B238,換券單檔!K:K,0),"N")&lt;&gt;"N"),FALSE,IF($V$1="All",TRUE,IF(K238=$V$1,TRUE,FALSE)))</f>
        <v>1</v>
      </c>
      <c r="W238" s="136">
        <f ca="1">VLOOKUP(A238,'銀行-TSS'!A:AO,41,FALSE)</f>
        <v>80.37</v>
      </c>
      <c r="X238" s="136">
        <f ca="1">VLOOKUP(A238,'銀行-TSS'!A:AP,42,FALSE)</f>
        <v>13.9498</v>
      </c>
      <c r="Y238" s="1220">
        <f t="shared" ca="1" si="140"/>
        <v>12893.172399000003</v>
      </c>
      <c r="Z238" s="1220">
        <f t="shared" ca="1" si="141"/>
        <v>-1072.8718177757901</v>
      </c>
      <c r="AA238" s="136">
        <f ca="1">IF(Z238&lt;=0,0,RANK(Z238,Z:Z)+COUNTIF($Z$3:$Z238,Z238)-1)</f>
        <v>0</v>
      </c>
      <c r="AB238" s="1211">
        <f t="shared" ca="1" si="142"/>
        <v>-2002.9676009999966</v>
      </c>
      <c r="AC238" s="136">
        <f ca="1">IF(AB238&lt;=0,0,RANK(AB238,AB:AB)+COUNTIF($AB$3:$AB238,AB238)-1)</f>
        <v>0</v>
      </c>
      <c r="AD238" s="1123">
        <f t="shared" ca="1" si="143"/>
        <v>99999</v>
      </c>
      <c r="AE238" s="1123">
        <f ca="1">IF(AD238=99999,0,RANK(AD238,AD:AD,1)+COUNTIF($AD$3:$AD238,AD238)-1)</f>
        <v>0</v>
      </c>
      <c r="AF238" s="86" t="b">
        <f ca="1">IF(OR(M238&lt;&gt;"",L238="無",K238="高資產",IFERROR(MATCH(B238,換券單檔!K:K,0),"N")&lt;&gt;"N"),FALSE,TRUE)</f>
        <v>1</v>
      </c>
      <c r="AI238" s="1212">
        <f t="shared" ca="1" si="144"/>
        <v>115000</v>
      </c>
      <c r="AJ238" s="1213">
        <f t="shared" ca="1" si="145"/>
        <v>4370</v>
      </c>
      <c r="AK238" s="1587">
        <f t="shared" ca="1" si="146"/>
        <v>-1072.8718177757901</v>
      </c>
      <c r="AN238" s="1212">
        <f t="shared" ca="1" si="147"/>
        <v>66000</v>
      </c>
      <c r="AO238" s="1213">
        <f t="shared" ca="1" si="148"/>
        <v>2508</v>
      </c>
      <c r="AP238" s="1587">
        <f t="shared" ca="1" si="149"/>
        <v>-67243.284502009832</v>
      </c>
      <c r="AS238" s="1212">
        <f t="shared" ca="1" si="150"/>
        <v>112000</v>
      </c>
      <c r="AT238" s="1213">
        <f t="shared" ca="1" si="151"/>
        <v>4256</v>
      </c>
      <c r="AU238" s="1587">
        <f t="shared" ca="1" si="152"/>
        <v>0</v>
      </c>
      <c r="AX238" s="1212">
        <f t="shared" ca="1" si="153"/>
        <v>103000</v>
      </c>
      <c r="AY238" s="1213">
        <f t="shared" ca="1" si="154"/>
        <v>3914</v>
      </c>
      <c r="AZ238" s="1587">
        <f t="shared" ca="1" si="155"/>
        <v>0</v>
      </c>
      <c r="BC238" s="1212">
        <f t="shared" ca="1" si="156"/>
        <v>0</v>
      </c>
      <c r="BD238" s="1213">
        <f t="shared" ca="1" si="157"/>
        <v>0</v>
      </c>
      <c r="BE238" s="1587">
        <f t="shared" ca="1" si="158"/>
        <v>0</v>
      </c>
      <c r="BH238" s="1212">
        <f t="shared" ca="1" si="159"/>
        <v>0</v>
      </c>
      <c r="BI238" s="1213">
        <f t="shared" ca="1" si="160"/>
        <v>0</v>
      </c>
      <c r="BJ238" s="1587">
        <f t="shared" ca="1" si="161"/>
        <v>0</v>
      </c>
      <c r="BM238" s="1212">
        <f t="shared" ca="1" si="162"/>
        <v>0</v>
      </c>
      <c r="BN238" s="1213">
        <f t="shared" ca="1" si="163"/>
        <v>0</v>
      </c>
      <c r="BO238" s="1587">
        <f t="shared" ca="1" si="164"/>
        <v>0</v>
      </c>
      <c r="BR238" s="1212">
        <f t="shared" ca="1" si="165"/>
        <v>0</v>
      </c>
      <c r="BS238" s="1213">
        <f t="shared" ca="1" si="166"/>
        <v>0</v>
      </c>
      <c r="BT238" s="1587">
        <f t="shared" ca="1" si="167"/>
        <v>0</v>
      </c>
      <c r="BW238" s="1212">
        <f t="shared" ca="1" si="168"/>
        <v>0</v>
      </c>
      <c r="BX238" s="1213">
        <f t="shared" ca="1" si="169"/>
        <v>0</v>
      </c>
      <c r="BY238" s="1587">
        <f t="shared" ca="1" si="170"/>
        <v>0</v>
      </c>
      <c r="CB238" s="1212">
        <f t="shared" ca="1" si="171"/>
        <v>0</v>
      </c>
      <c r="CC238" s="1213">
        <f t="shared" ca="1" si="172"/>
        <v>0</v>
      </c>
      <c r="CD238" s="1587">
        <f t="shared" ca="1" si="173"/>
        <v>0</v>
      </c>
      <c r="CG238" s="1212">
        <f t="shared" ca="1" si="174"/>
        <v>0</v>
      </c>
      <c r="CH238" s="1213">
        <f t="shared" ca="1" si="175"/>
        <v>0</v>
      </c>
      <c r="CI238" s="1587">
        <f t="shared" ca="1" si="176"/>
        <v>0</v>
      </c>
      <c r="CL238" s="1212">
        <f t="shared" ca="1" si="177"/>
        <v>0</v>
      </c>
      <c r="CM238" s="1213">
        <f t="shared" ca="1" si="178"/>
        <v>0</v>
      </c>
      <c r="CN238" s="1587">
        <f t="shared" ca="1" si="179"/>
        <v>0</v>
      </c>
    </row>
    <row r="239" spans="1:92">
      <c r="A239" s="141" t="str">
        <f>'銀行-TSS'!A239</f>
        <v>US742718GA10</v>
      </c>
      <c r="B239" s="151" t="str">
        <f ca="1">VLOOKUP(A239,'銀行-TSS'!A:B,2,FALSE)</f>
        <v>XH340</v>
      </c>
      <c r="C239" s="151" t="str">
        <f ca="1">VLOOKUP(B239,bond!B:C,2,FALSE)</f>
        <v>寶僑公司美元配息債券 4.05% 2033/1/26</v>
      </c>
      <c r="D239" s="95" t="str">
        <f>VLOOKUP(A239,'銀行-TSS'!A:C,3,FALSE)</f>
        <v>USD</v>
      </c>
      <c r="E239" s="90">
        <f ca="1">VLOOKUP(A239,'銀行-TSS'!A:G,7,FALSE)</f>
        <v>8.57</v>
      </c>
      <c r="F239" s="202">
        <f ca="1">VLOOKUP(A239,'銀行-TSS'!A:H,8,FALSE)</f>
        <v>4.0500000000000001E-2</v>
      </c>
      <c r="G239" s="96">
        <f ca="1">VLOOKUP(A239,'銀行-TSS'!A:K,11,FALSE)</f>
        <v>99.71</v>
      </c>
      <c r="H239" s="1209">
        <f ca="1">VLOOKUP(A239,'銀行-TSS'!A:M,13,FALSE)</f>
        <v>4.3400000000000001E-2</v>
      </c>
      <c r="I239" s="1213">
        <f ca="1">VLOOKUP(A239,'銀行-TSS'!A:N,14,FALSE)</f>
        <v>2000</v>
      </c>
      <c r="J239" s="1213">
        <f ca="1">VLOOKUP(A239,'銀行-TSS'!A:O,15,FALSE)</f>
        <v>1000</v>
      </c>
      <c r="K239" s="136" t="str">
        <f ca="1">VLOOKUP(A239,'銀行-TSS'!A:V,22,FALSE)</f>
        <v>(NPI)非專投</v>
      </c>
      <c r="L239" s="136" t="str">
        <f ca="1">VLOOKUP(A239,'銀行-TSS'!A:AK,37,FALSE)</f>
        <v>有</v>
      </c>
      <c r="M239" s="136" t="str">
        <f ca="1">VLOOKUP(A239,'銀行-TSS'!A:AN,40,FALSE)</f>
        <v/>
      </c>
      <c r="N239" s="136">
        <f t="shared" ca="1" si="135"/>
        <v>997.1</v>
      </c>
      <c r="O239" s="1213">
        <f t="shared" ca="1" si="136"/>
        <v>1994.2</v>
      </c>
      <c r="P239" s="1213">
        <f ca="1">IF(AND($O$1&gt;=O239,換券單檔!$D$13=D239),I239+INT(($O$1-O239)/N239)*J239,0)</f>
        <v>96000</v>
      </c>
      <c r="Q239" s="1213">
        <f t="shared" ca="1" si="137"/>
        <v>3888</v>
      </c>
      <c r="R239" s="1213">
        <f t="shared" ca="1" si="138"/>
        <v>96000</v>
      </c>
      <c r="S239" s="1213">
        <f t="shared" ca="1" si="139"/>
        <v>3888</v>
      </c>
      <c r="T239" s="136">
        <f ca="1">IF(OR(R239=0,A239=0),0,IF(AND(V239=TRUE,換券單檔!$D$13=D239),E239,0))</f>
        <v>8.57</v>
      </c>
      <c r="U239" s="861">
        <f ca="1">IF(OR(R239=0,A239=0),0,IF(AND(V239=TRUE,換券單檔!$D$13=D239),H239,0))</f>
        <v>4.3400000000000001E-2</v>
      </c>
      <c r="V239" s="136" t="b">
        <f ca="1">IF(OR(B239=換券單檔!$D$3,L239="無",M239&lt;&gt;"",K239="高資產",IFERROR(MATCH(B239,換券單檔!K:K,0),"N")&lt;&gt;"N"),FALSE,IF($V$1="All",TRUE,IF(K239=$V$1,TRUE,FALSE)))</f>
        <v>1</v>
      </c>
      <c r="W239" s="136">
        <f ca="1">VLOOKUP(A239,'銀行-TSS'!A:AO,41,FALSE)</f>
        <v>96.45</v>
      </c>
      <c r="X239" s="136">
        <f ca="1">VLOOKUP(A239,'銀行-TSS'!A:AP,42,FALSE)</f>
        <v>7.0119999999999996</v>
      </c>
      <c r="Y239" s="1220">
        <f t="shared" ca="1" si="140"/>
        <v>6492.5510399999994</v>
      </c>
      <c r="Z239" s="1220">
        <f t="shared" ca="1" si="141"/>
        <v>0</v>
      </c>
      <c r="AA239" s="136">
        <f ca="1">IF(Z239&lt;=0,0,RANK(Z239,Z:Z)+COUNTIF($Z$3:$Z239,Z239)-1)</f>
        <v>0</v>
      </c>
      <c r="AB239" s="1211">
        <f t="shared" ca="1" si="142"/>
        <v>-12403.588960000001</v>
      </c>
      <c r="AC239" s="136">
        <f ca="1">IF(AB239&lt;=0,0,RANK(AB239,AB:AB)+COUNTIF($AB$3:$AB239,AB239)-1)</f>
        <v>0</v>
      </c>
      <c r="AD239" s="1123">
        <f t="shared" ca="1" si="143"/>
        <v>99999</v>
      </c>
      <c r="AE239" s="1123">
        <f ca="1">IF(AD239=99999,0,RANK(AD239,AD:AD,1)+COUNTIF($AD$3:$AD239,AD239)-1)</f>
        <v>0</v>
      </c>
      <c r="AF239" s="86" t="b">
        <f ca="1">IF(OR(M239&lt;&gt;"",L239="無",K239="高資產",IFERROR(MATCH(B239,換券單檔!K:K,0),"N")&lt;&gt;"N"),FALSE,TRUE)</f>
        <v>1</v>
      </c>
      <c r="AI239" s="1212">
        <f t="shared" ca="1" si="144"/>
        <v>96000</v>
      </c>
      <c r="AJ239" s="1213">
        <f t="shared" ca="1" si="145"/>
        <v>3888</v>
      </c>
      <c r="AK239" s="1587">
        <f t="shared" ca="1" si="146"/>
        <v>0</v>
      </c>
      <c r="AN239" s="1212">
        <f t="shared" ca="1" si="147"/>
        <v>55000</v>
      </c>
      <c r="AO239" s="1213">
        <f t="shared" ca="1" si="148"/>
        <v>2227.5</v>
      </c>
      <c r="AP239" s="1587">
        <f t="shared" ca="1" si="149"/>
        <v>-90063.561843640608</v>
      </c>
      <c r="AS239" s="1212">
        <f t="shared" ca="1" si="150"/>
        <v>94000</v>
      </c>
      <c r="AT239" s="1213">
        <f t="shared" ca="1" si="151"/>
        <v>3807</v>
      </c>
      <c r="AU239" s="1587">
        <f t="shared" ca="1" si="152"/>
        <v>0</v>
      </c>
      <c r="AX239" s="1212">
        <f t="shared" ca="1" si="153"/>
        <v>87000</v>
      </c>
      <c r="AY239" s="1213">
        <f t="shared" ca="1" si="154"/>
        <v>3523.5</v>
      </c>
      <c r="AZ239" s="1587">
        <f t="shared" ca="1" si="155"/>
        <v>0</v>
      </c>
      <c r="BC239" s="1212">
        <f t="shared" ca="1" si="156"/>
        <v>0</v>
      </c>
      <c r="BD239" s="1213">
        <f t="shared" ca="1" si="157"/>
        <v>0</v>
      </c>
      <c r="BE239" s="1587">
        <f t="shared" ca="1" si="158"/>
        <v>0</v>
      </c>
      <c r="BH239" s="1212">
        <f t="shared" ca="1" si="159"/>
        <v>0</v>
      </c>
      <c r="BI239" s="1213">
        <f t="shared" ca="1" si="160"/>
        <v>0</v>
      </c>
      <c r="BJ239" s="1587">
        <f t="shared" ca="1" si="161"/>
        <v>0</v>
      </c>
      <c r="BM239" s="1212">
        <f t="shared" ca="1" si="162"/>
        <v>0</v>
      </c>
      <c r="BN239" s="1213">
        <f t="shared" ca="1" si="163"/>
        <v>0</v>
      </c>
      <c r="BO239" s="1587">
        <f t="shared" ca="1" si="164"/>
        <v>0</v>
      </c>
      <c r="BR239" s="1212">
        <f t="shared" ca="1" si="165"/>
        <v>0</v>
      </c>
      <c r="BS239" s="1213">
        <f t="shared" ca="1" si="166"/>
        <v>0</v>
      </c>
      <c r="BT239" s="1587">
        <f t="shared" ca="1" si="167"/>
        <v>0</v>
      </c>
      <c r="BW239" s="1212">
        <f t="shared" ca="1" si="168"/>
        <v>0</v>
      </c>
      <c r="BX239" s="1213">
        <f t="shared" ca="1" si="169"/>
        <v>0</v>
      </c>
      <c r="BY239" s="1587">
        <f t="shared" ca="1" si="170"/>
        <v>0</v>
      </c>
      <c r="CB239" s="1212">
        <f t="shared" ca="1" si="171"/>
        <v>0</v>
      </c>
      <c r="CC239" s="1213">
        <f t="shared" ca="1" si="172"/>
        <v>0</v>
      </c>
      <c r="CD239" s="1587">
        <f t="shared" ca="1" si="173"/>
        <v>0</v>
      </c>
      <c r="CG239" s="1212">
        <f t="shared" ca="1" si="174"/>
        <v>0</v>
      </c>
      <c r="CH239" s="1213">
        <f t="shared" ca="1" si="175"/>
        <v>0</v>
      </c>
      <c r="CI239" s="1587">
        <f t="shared" ca="1" si="176"/>
        <v>0</v>
      </c>
      <c r="CL239" s="1212">
        <f t="shared" ca="1" si="177"/>
        <v>0</v>
      </c>
      <c r="CM239" s="1213">
        <f t="shared" ca="1" si="178"/>
        <v>0</v>
      </c>
      <c r="CN239" s="1587">
        <f t="shared" ca="1" si="179"/>
        <v>0</v>
      </c>
    </row>
    <row r="240" spans="1:92">
      <c r="A240" s="141" t="str">
        <f>'銀行-TSS'!A240</f>
        <v>US674599DF90</v>
      </c>
      <c r="B240" s="151" t="str">
        <f ca="1">VLOOKUP(A240,'銀行-TSS'!A:B,2,FALSE)</f>
        <v>XH350</v>
      </c>
      <c r="C240" s="151" t="str">
        <f ca="1">VLOOKUP(B240,bond!B:C,2,FALSE)</f>
        <v>西方石油公司美元配息債券 6.45% 2036/9/15</v>
      </c>
      <c r="D240" s="95" t="str">
        <f>VLOOKUP(A240,'銀行-TSS'!A:C,3,FALSE)</f>
        <v>USD</v>
      </c>
      <c r="E240" s="90">
        <f ca="1">VLOOKUP(A240,'銀行-TSS'!A:G,7,FALSE)</f>
        <v>12.21</v>
      </c>
      <c r="F240" s="202">
        <f ca="1">VLOOKUP(A240,'銀行-TSS'!A:H,8,FALSE)</f>
        <v>6.4500000000000002E-2</v>
      </c>
      <c r="G240" s="96">
        <f ca="1">VLOOKUP(A240,'銀行-TSS'!A:K,11,FALSE)</f>
        <v>108.82</v>
      </c>
      <c r="H240" s="1209">
        <f ca="1">VLOOKUP(A240,'銀行-TSS'!A:M,13,FALSE)</f>
        <v>5.6599999999999998E-2</v>
      </c>
      <c r="I240" s="1213">
        <f ca="1">VLOOKUP(A240,'銀行-TSS'!A:N,14,FALSE)</f>
        <v>10000</v>
      </c>
      <c r="J240" s="1213">
        <f ca="1">VLOOKUP(A240,'銀行-TSS'!A:O,15,FALSE)</f>
        <v>1000</v>
      </c>
      <c r="K240" s="136" t="str">
        <f ca="1">VLOOKUP(A240,'銀行-TSS'!A:V,22,FALSE)</f>
        <v>(PI)專投</v>
      </c>
      <c r="L240" s="136" t="str">
        <f ca="1">VLOOKUP(A240,'銀行-TSS'!A:AK,37,FALSE)</f>
        <v>有</v>
      </c>
      <c r="M240" s="136" t="str">
        <f ca="1">VLOOKUP(A240,'銀行-TSS'!A:AN,40,FALSE)</f>
        <v/>
      </c>
      <c r="N240" s="136">
        <f t="shared" ca="1" si="135"/>
        <v>1088.2</v>
      </c>
      <c r="O240" s="1213">
        <f t="shared" ca="1" si="136"/>
        <v>10882</v>
      </c>
      <c r="P240" s="1213">
        <f ca="1">IF(AND($O$1&gt;=O240,換券單檔!$D$13=D240),I240+INT(($O$1-O240)/N240)*J240,0)</f>
        <v>88000</v>
      </c>
      <c r="Q240" s="1213">
        <f t="shared" ca="1" si="137"/>
        <v>5676</v>
      </c>
      <c r="R240" s="1213">
        <f t="shared" ca="1" si="138"/>
        <v>88000</v>
      </c>
      <c r="S240" s="1213">
        <f t="shared" ca="1" si="139"/>
        <v>5676</v>
      </c>
      <c r="T240" s="136">
        <f ca="1">IF(OR(R240=0,A240=0),0,IF(AND(V240=TRUE,換券單檔!$D$13=D240),E240,0))</f>
        <v>12.21</v>
      </c>
      <c r="U240" s="861">
        <f ca="1">IF(OR(R240=0,A240=0),0,IF(AND(V240=TRUE,換券單檔!$D$13=D240),H240,0))</f>
        <v>5.6599999999999998E-2</v>
      </c>
      <c r="V240" s="136" t="b">
        <f ca="1">IF(OR(B240=換券單檔!$D$3,L240="無",M240&lt;&gt;"",K240="高資產",IFERROR(MATCH(B240,換券單檔!K:K,0),"N")&lt;&gt;"N"),FALSE,IF($V$1="All",TRUE,IF(K240=$V$1,TRUE,FALSE)))</f>
        <v>1</v>
      </c>
      <c r="W240" s="136">
        <f ca="1">VLOOKUP(A240,'銀行-TSS'!A:AO,41,FALSE)</f>
        <v>104.9</v>
      </c>
      <c r="X240" s="136">
        <f ca="1">VLOOKUP(A240,'銀行-TSS'!A:AP,42,FALSE)</f>
        <v>8.3361000000000001</v>
      </c>
      <c r="Y240" s="1220">
        <f t="shared" ca="1" si="140"/>
        <v>7695.2206320000014</v>
      </c>
      <c r="Z240" s="1220">
        <f t="shared" ca="1" si="141"/>
        <v>-21623.474201474201</v>
      </c>
      <c r="AA240" s="136">
        <f ca="1">IF(Z240&lt;=0,0,RANK(Z240,Z:Z)+COUNTIF($Z$3:$Z240,Z240)-1)</f>
        <v>0</v>
      </c>
      <c r="AB240" s="1211">
        <f t="shared" ca="1" si="142"/>
        <v>-19200.919367999999</v>
      </c>
      <c r="AC240" s="136">
        <f ca="1">IF(AB240&lt;=0,0,RANK(AB240,AB:AB)+COUNTIF($AB$3:$AB240,AB240)-1)</f>
        <v>0</v>
      </c>
      <c r="AD240" s="1123">
        <f t="shared" ca="1" si="143"/>
        <v>99999</v>
      </c>
      <c r="AE240" s="1123">
        <f ca="1">IF(AD240=99999,0,RANK(AD240,AD:AD,1)+COUNTIF($AD$3:$AD240,AD240)-1)</f>
        <v>0</v>
      </c>
      <c r="AF240" s="86" t="b">
        <f ca="1">IF(OR(M240&lt;&gt;"",L240="無",K240="高資產",IFERROR(MATCH(B240,換券單檔!K:K,0),"N")&lt;&gt;"N"),FALSE,TRUE)</f>
        <v>1</v>
      </c>
      <c r="AI240" s="1212">
        <f t="shared" ca="1" si="144"/>
        <v>88000</v>
      </c>
      <c r="AJ240" s="1213">
        <f t="shared" ca="1" si="145"/>
        <v>5676</v>
      </c>
      <c r="AK240" s="1587">
        <f t="shared" ca="1" si="146"/>
        <v>-21623.474201474201</v>
      </c>
      <c r="AN240" s="1212">
        <f t="shared" ca="1" si="147"/>
        <v>50000</v>
      </c>
      <c r="AO240" s="1213">
        <f t="shared" ca="1" si="148"/>
        <v>3225</v>
      </c>
      <c r="AP240" s="1587">
        <f t="shared" ca="1" si="149"/>
        <v>-97194.778869778864</v>
      </c>
      <c r="AS240" s="1212">
        <f t="shared" ca="1" si="150"/>
        <v>86000</v>
      </c>
      <c r="AT240" s="1213">
        <f t="shared" ca="1" si="151"/>
        <v>5547</v>
      </c>
      <c r="AU240" s="1587">
        <f t="shared" ca="1" si="152"/>
        <v>-26066.555282555284</v>
      </c>
      <c r="AX240" s="1212">
        <f t="shared" ca="1" si="153"/>
        <v>79000</v>
      </c>
      <c r="AY240" s="1213">
        <f t="shared" ca="1" si="154"/>
        <v>5095.5</v>
      </c>
      <c r="AZ240" s="1587">
        <f t="shared" ca="1" si="155"/>
        <v>-40142.799754299755</v>
      </c>
      <c r="BC240" s="1212">
        <f t="shared" ca="1" si="156"/>
        <v>0</v>
      </c>
      <c r="BD240" s="1213">
        <f t="shared" ca="1" si="157"/>
        <v>0</v>
      </c>
      <c r="BE240" s="1587">
        <f t="shared" ca="1" si="158"/>
        <v>0</v>
      </c>
      <c r="BH240" s="1212">
        <f t="shared" ca="1" si="159"/>
        <v>0</v>
      </c>
      <c r="BI240" s="1213">
        <f t="shared" ca="1" si="160"/>
        <v>0</v>
      </c>
      <c r="BJ240" s="1587">
        <f t="shared" ca="1" si="161"/>
        <v>0</v>
      </c>
      <c r="BM240" s="1212">
        <f t="shared" ca="1" si="162"/>
        <v>0</v>
      </c>
      <c r="BN240" s="1213">
        <f t="shared" ca="1" si="163"/>
        <v>0</v>
      </c>
      <c r="BO240" s="1587">
        <f t="shared" ca="1" si="164"/>
        <v>0</v>
      </c>
      <c r="BR240" s="1212">
        <f t="shared" ca="1" si="165"/>
        <v>0</v>
      </c>
      <c r="BS240" s="1213">
        <f t="shared" ca="1" si="166"/>
        <v>0</v>
      </c>
      <c r="BT240" s="1587">
        <f t="shared" ca="1" si="167"/>
        <v>0</v>
      </c>
      <c r="BW240" s="1212">
        <f t="shared" ca="1" si="168"/>
        <v>0</v>
      </c>
      <c r="BX240" s="1213">
        <f t="shared" ca="1" si="169"/>
        <v>0</v>
      </c>
      <c r="BY240" s="1587">
        <f t="shared" ca="1" si="170"/>
        <v>0</v>
      </c>
      <c r="CB240" s="1212">
        <f t="shared" ca="1" si="171"/>
        <v>0</v>
      </c>
      <c r="CC240" s="1213">
        <f t="shared" ca="1" si="172"/>
        <v>0</v>
      </c>
      <c r="CD240" s="1587">
        <f t="shared" ca="1" si="173"/>
        <v>0</v>
      </c>
      <c r="CG240" s="1212">
        <f t="shared" ca="1" si="174"/>
        <v>0</v>
      </c>
      <c r="CH240" s="1213">
        <f t="shared" ca="1" si="175"/>
        <v>0</v>
      </c>
      <c r="CI240" s="1587">
        <f t="shared" ca="1" si="176"/>
        <v>0</v>
      </c>
      <c r="CL240" s="1212">
        <f t="shared" ca="1" si="177"/>
        <v>0</v>
      </c>
      <c r="CM240" s="1213">
        <f t="shared" ca="1" si="178"/>
        <v>0</v>
      </c>
      <c r="CN240" s="1587">
        <f t="shared" ca="1" si="179"/>
        <v>0</v>
      </c>
    </row>
    <row r="241" spans="1:92">
      <c r="A241" s="141" t="str">
        <f>'銀行-TSS'!A241</f>
        <v>US71568QAG29</v>
      </c>
      <c r="B241" s="151" t="str">
        <f ca="1">VLOOKUP(A241,'銀行-TSS'!A:B,2,FALSE)</f>
        <v>XH360</v>
      </c>
      <c r="C241" s="151" t="str">
        <f ca="1">VLOOKUP(B241,bond!B:C,2,FALSE)</f>
        <v>印尼國家電力公司美元配息債券 5.375% 2029/1/25</v>
      </c>
      <c r="D241" s="95" t="str">
        <f>VLOOKUP(A241,'銀行-TSS'!A:C,3,FALSE)</f>
        <v>USD</v>
      </c>
      <c r="E241" s="90">
        <f ca="1">VLOOKUP(A241,'銀行-TSS'!A:G,7,FALSE)</f>
        <v>4.57</v>
      </c>
      <c r="F241" s="202">
        <f ca="1">VLOOKUP(A241,'銀行-TSS'!A:H,8,FALSE)</f>
        <v>5.3749999999999999E-2</v>
      </c>
      <c r="G241" s="96">
        <f ca="1">VLOOKUP(A241,'銀行-TSS'!A:K,11,FALSE)</f>
        <v>103.95</v>
      </c>
      <c r="H241" s="1209">
        <f ca="1">VLOOKUP(A241,'銀行-TSS'!A:M,13,FALSE)</f>
        <v>4.9799999999999997E-2</v>
      </c>
      <c r="I241" s="1213">
        <f ca="1">VLOOKUP(A241,'銀行-TSS'!A:N,14,FALSE)</f>
        <v>200000</v>
      </c>
      <c r="J241" s="1213">
        <f ca="1">VLOOKUP(A241,'銀行-TSS'!A:O,15,FALSE)</f>
        <v>1000</v>
      </c>
      <c r="K241" s="136" t="str">
        <f ca="1">VLOOKUP(A241,'銀行-TSS'!A:V,22,FALSE)</f>
        <v>(PI)專投</v>
      </c>
      <c r="L241" s="136" t="str">
        <f ca="1">VLOOKUP(A241,'銀行-TSS'!A:AK,37,FALSE)</f>
        <v>有</v>
      </c>
      <c r="M241" s="136" t="str">
        <f ca="1">VLOOKUP(A241,'銀行-TSS'!A:AN,40,FALSE)</f>
        <v/>
      </c>
      <c r="N241" s="136">
        <f t="shared" ca="1" si="135"/>
        <v>1039.5</v>
      </c>
      <c r="O241" s="1213">
        <f t="shared" ca="1" si="136"/>
        <v>207900</v>
      </c>
      <c r="P241" s="1213">
        <f ca="1">IF(AND($O$1&gt;=O241,換券單檔!$D$13=D241),I241+INT(($O$1-O241)/N241)*J241,0)</f>
        <v>0</v>
      </c>
      <c r="Q241" s="1213">
        <f t="shared" ca="1" si="137"/>
        <v>0</v>
      </c>
      <c r="R241" s="1213">
        <f t="shared" ca="1" si="138"/>
        <v>0</v>
      </c>
      <c r="S241" s="1213">
        <f t="shared" ca="1" si="139"/>
        <v>0</v>
      </c>
      <c r="T241" s="136">
        <f ca="1">IF(OR(R241=0,A241=0),0,IF(AND(V241=TRUE,換券單檔!$D$13=D241),E241,0))</f>
        <v>0</v>
      </c>
      <c r="U241" s="861">
        <f ca="1">IF(OR(R241=0,A241=0),0,IF(AND(V241=TRUE,換券單檔!$D$13=D241),H241,0))</f>
        <v>0</v>
      </c>
      <c r="V241" s="136" t="b">
        <f ca="1">IF(OR(B241=換券單檔!$D$3,L241="無",M241&lt;&gt;"",K241="高資產",IFERROR(MATCH(B241,換券單檔!K:K,0),"N")&lt;&gt;"N"),FALSE,IF($V$1="All",TRUE,IF(K241=$V$1,TRUE,FALSE)))</f>
        <v>1</v>
      </c>
      <c r="W241" s="136">
        <f ca="1">VLOOKUP(A241,'銀行-TSS'!A:AO,41,FALSE)</f>
        <v>100.11</v>
      </c>
      <c r="X241" s="136">
        <f ca="1">VLOOKUP(A241,'銀行-TSS'!A:AP,42,FALSE)</f>
        <v>3.9127999999999998</v>
      </c>
      <c r="Y241" s="1220">
        <f t="shared" ca="1" si="140"/>
        <v>0</v>
      </c>
      <c r="Z241" s="1220">
        <f t="shared" ca="1" si="141"/>
        <v>0</v>
      </c>
      <c r="AA241" s="136">
        <f ca="1">IF(Z241&lt;=0,0,RANK(Z241,Z:Z)+COUNTIF($Z$3:$Z241,Z241)-1)</f>
        <v>0</v>
      </c>
      <c r="AB241" s="1211">
        <f t="shared" ca="1" si="142"/>
        <v>-114896.14</v>
      </c>
      <c r="AC241" s="136">
        <f ca="1">IF(AB241&lt;=0,0,RANK(AB241,AB:AB)+COUNTIF($AB$3:$AB241,AB241)-1)</f>
        <v>0</v>
      </c>
      <c r="AD241" s="1123">
        <f t="shared" ca="1" si="143"/>
        <v>99999</v>
      </c>
      <c r="AE241" s="1123">
        <f ca="1">IF(AD241=99999,0,RANK(AD241,AD:AD,1)+COUNTIF($AD$3:$AD241,AD241)-1)</f>
        <v>0</v>
      </c>
      <c r="AF241" s="86" t="b">
        <f ca="1">IF(OR(M241&lt;&gt;"",L241="無",K241="高資產",IFERROR(MATCH(B241,換券單檔!K:K,0),"N")&lt;&gt;"N"),FALSE,TRUE)</f>
        <v>1</v>
      </c>
      <c r="AI241" s="1212">
        <f t="shared" ca="1" si="144"/>
        <v>0</v>
      </c>
      <c r="AJ241" s="1213">
        <f t="shared" ca="1" si="145"/>
        <v>0</v>
      </c>
      <c r="AK241" s="1587">
        <f t="shared" ca="1" si="146"/>
        <v>0</v>
      </c>
      <c r="AN241" s="1212">
        <f t="shared" ca="1" si="147"/>
        <v>0</v>
      </c>
      <c r="AO241" s="1213">
        <f t="shared" ca="1" si="148"/>
        <v>0</v>
      </c>
      <c r="AP241" s="1587">
        <f t="shared" ca="1" si="149"/>
        <v>0</v>
      </c>
      <c r="AS241" s="1212">
        <f t="shared" ca="1" si="150"/>
        <v>0</v>
      </c>
      <c r="AT241" s="1213">
        <f t="shared" ca="1" si="151"/>
        <v>0</v>
      </c>
      <c r="AU241" s="1587">
        <f t="shared" ca="1" si="152"/>
        <v>0</v>
      </c>
      <c r="AX241" s="1212">
        <f t="shared" ca="1" si="153"/>
        <v>0</v>
      </c>
      <c r="AY241" s="1213">
        <f t="shared" ca="1" si="154"/>
        <v>0</v>
      </c>
      <c r="AZ241" s="1587">
        <f t="shared" ca="1" si="155"/>
        <v>0</v>
      </c>
      <c r="BC241" s="1212">
        <f t="shared" ca="1" si="156"/>
        <v>0</v>
      </c>
      <c r="BD241" s="1213">
        <f t="shared" ca="1" si="157"/>
        <v>0</v>
      </c>
      <c r="BE241" s="1587">
        <f t="shared" ca="1" si="158"/>
        <v>0</v>
      </c>
      <c r="BH241" s="1212">
        <f t="shared" ca="1" si="159"/>
        <v>0</v>
      </c>
      <c r="BI241" s="1213">
        <f t="shared" ca="1" si="160"/>
        <v>0</v>
      </c>
      <c r="BJ241" s="1587">
        <f t="shared" ca="1" si="161"/>
        <v>0</v>
      </c>
      <c r="BM241" s="1212">
        <f t="shared" ca="1" si="162"/>
        <v>0</v>
      </c>
      <c r="BN241" s="1213">
        <f t="shared" ca="1" si="163"/>
        <v>0</v>
      </c>
      <c r="BO241" s="1587">
        <f t="shared" ca="1" si="164"/>
        <v>0</v>
      </c>
      <c r="BR241" s="1212">
        <f t="shared" ca="1" si="165"/>
        <v>0</v>
      </c>
      <c r="BS241" s="1213">
        <f t="shared" ca="1" si="166"/>
        <v>0</v>
      </c>
      <c r="BT241" s="1587">
        <f t="shared" ca="1" si="167"/>
        <v>0</v>
      </c>
      <c r="BW241" s="1212">
        <f t="shared" ca="1" si="168"/>
        <v>0</v>
      </c>
      <c r="BX241" s="1213">
        <f t="shared" ca="1" si="169"/>
        <v>0</v>
      </c>
      <c r="BY241" s="1587">
        <f t="shared" ca="1" si="170"/>
        <v>0</v>
      </c>
      <c r="CB241" s="1212">
        <f t="shared" ca="1" si="171"/>
        <v>0</v>
      </c>
      <c r="CC241" s="1213">
        <f t="shared" ca="1" si="172"/>
        <v>0</v>
      </c>
      <c r="CD241" s="1587">
        <f t="shared" ca="1" si="173"/>
        <v>0</v>
      </c>
      <c r="CG241" s="1212">
        <f t="shared" ca="1" si="174"/>
        <v>0</v>
      </c>
      <c r="CH241" s="1213">
        <f t="shared" ca="1" si="175"/>
        <v>0</v>
      </c>
      <c r="CI241" s="1587">
        <f t="shared" ca="1" si="176"/>
        <v>0</v>
      </c>
      <c r="CL241" s="1212">
        <f t="shared" ca="1" si="177"/>
        <v>0</v>
      </c>
      <c r="CM241" s="1213">
        <f t="shared" ca="1" si="178"/>
        <v>0</v>
      </c>
      <c r="CN241" s="1587">
        <f t="shared" ca="1" si="179"/>
        <v>0</v>
      </c>
    </row>
    <row r="242" spans="1:92">
      <c r="A242" s="141" t="str">
        <f>'銀行-TSS'!A242</f>
        <v>ZAG000107004</v>
      </c>
      <c r="B242" s="151" t="str">
        <f ca="1">VLOOKUP(A242,'銀行-TSS'!A:B,2,FALSE)</f>
        <v>XH370</v>
      </c>
      <c r="C242" s="151" t="str">
        <f ca="1">VLOOKUP(B242,bond!B:C,2,FALSE)</f>
        <v>南非政府公債南非幣配息債券 8.25% 2032/03/31</v>
      </c>
      <c r="D242" s="95" t="str">
        <f>VLOOKUP(A242,'銀行-TSS'!A:C,3,FALSE)</f>
        <v>ZAR</v>
      </c>
      <c r="E242" s="90">
        <f ca="1">VLOOKUP(A242,'銀行-TSS'!A:G,7,FALSE)</f>
        <v>7.74</v>
      </c>
      <c r="F242" s="202">
        <f ca="1">VLOOKUP(A242,'銀行-TSS'!A:H,8,FALSE)</f>
        <v>8.2500000000000004E-2</v>
      </c>
      <c r="G242" s="96">
        <f ca="1">VLOOKUP(A242,'銀行-TSS'!A:K,11,FALSE)</f>
        <v>92.17</v>
      </c>
      <c r="H242" s="1209">
        <f ca="1">VLOOKUP(A242,'銀行-TSS'!A:M,13,FALSE)</f>
        <v>0.1014</v>
      </c>
      <c r="I242" s="1213">
        <f ca="1">VLOOKUP(A242,'銀行-TSS'!A:N,14,FALSE)</f>
        <v>100000</v>
      </c>
      <c r="J242" s="1213">
        <f ca="1">VLOOKUP(A242,'銀行-TSS'!A:O,15,FALSE)</f>
        <v>10000</v>
      </c>
      <c r="K242" s="136" t="str">
        <f ca="1">VLOOKUP(A242,'銀行-TSS'!A:V,22,FALSE)</f>
        <v>高資產</v>
      </c>
      <c r="L242" s="136" t="str">
        <f ca="1">VLOOKUP(A242,'銀行-TSS'!A:AK,37,FALSE)</f>
        <v>有</v>
      </c>
      <c r="M242" s="136" t="str">
        <f ca="1">VLOOKUP(A242,'銀行-TSS'!A:AN,40,FALSE)</f>
        <v/>
      </c>
      <c r="N242" s="136">
        <f t="shared" ca="1" si="135"/>
        <v>9217</v>
      </c>
      <c r="O242" s="1213">
        <f t="shared" ca="1" si="136"/>
        <v>92170</v>
      </c>
      <c r="P242" s="1213">
        <f ca="1">IF(AND($O$1&gt;=O242,換券單檔!$D$13=D242),I242+INT(($O$1-O242)/N242)*J242,0)</f>
        <v>0</v>
      </c>
      <c r="Q242" s="1213">
        <f t="shared" ca="1" si="137"/>
        <v>0</v>
      </c>
      <c r="R242" s="1213">
        <f t="shared" ca="1" si="138"/>
        <v>0</v>
      </c>
      <c r="S242" s="1213">
        <f t="shared" ca="1" si="139"/>
        <v>0</v>
      </c>
      <c r="T242" s="136">
        <f ca="1">IF(OR(R242=0,A242=0),0,IF(AND(V242=TRUE,換券單檔!$D$13=D242),E242,0))</f>
        <v>0</v>
      </c>
      <c r="U242" s="861">
        <f ca="1">IF(OR(R242=0,A242=0),0,IF(AND(V242=TRUE,換券單檔!$D$13=D242),H242,0))</f>
        <v>0</v>
      </c>
      <c r="V242" s="136" t="b">
        <f ca="1">IF(OR(B242=換券單檔!$D$3,L242="無",M242&lt;&gt;"",K242="高資產",IFERROR(MATCH(B242,換券單檔!K:K,0),"N")&lt;&gt;"N"),FALSE,IF($V$1="All",TRUE,IF(K242=$V$1,TRUE,FALSE)))</f>
        <v>0</v>
      </c>
      <c r="W242" s="136">
        <f ca="1">VLOOKUP(A242,'銀行-TSS'!A:AO,41,FALSE)</f>
        <v>88.02000000000001</v>
      </c>
      <c r="X242" s="136">
        <f ca="1">VLOOKUP(A242,'銀行-TSS'!A:AP,42,FALSE)</f>
        <v>5.3282999999999996</v>
      </c>
      <c r="Y242" s="1220">
        <f t="shared" ca="1" si="140"/>
        <v>0</v>
      </c>
      <c r="Z242" s="1220">
        <f t="shared" ca="1" si="141"/>
        <v>0</v>
      </c>
      <c r="AA242" s="136">
        <f ca="1">IF(Z242&lt;=0,0,RANK(Z242,Z:Z)+COUNTIF($Z$3:$Z242,Z242)-1)</f>
        <v>0</v>
      </c>
      <c r="AB242" s="1211">
        <f t="shared" ca="1" si="142"/>
        <v>-14896.14</v>
      </c>
      <c r="AC242" s="136">
        <f ca="1">IF(AB242&lt;=0,0,RANK(AB242,AB:AB)+COUNTIF($AB$3:$AB242,AB242)-1)</f>
        <v>0</v>
      </c>
      <c r="AD242" s="1123">
        <f t="shared" ca="1" si="143"/>
        <v>99999</v>
      </c>
      <c r="AE242" s="1123">
        <f ca="1">IF(AD242=99999,0,RANK(AD242,AD:AD,1)+COUNTIF($AD$3:$AD242,AD242)-1)</f>
        <v>0</v>
      </c>
      <c r="AF242" s="86" t="b">
        <f ca="1">IF(OR(M242&lt;&gt;"",L242="無",K242="高資產",IFERROR(MATCH(B242,換券單檔!K:K,0),"N")&lt;&gt;"N"),FALSE,TRUE)</f>
        <v>0</v>
      </c>
      <c r="AI242" s="1212">
        <f t="shared" ca="1" si="144"/>
        <v>0</v>
      </c>
      <c r="AJ242" s="1213">
        <f t="shared" ca="1" si="145"/>
        <v>0</v>
      </c>
      <c r="AK242" s="1587">
        <f t="shared" ca="1" si="146"/>
        <v>0</v>
      </c>
      <c r="AN242" s="1212">
        <f t="shared" ca="1" si="147"/>
        <v>0</v>
      </c>
      <c r="AO242" s="1213">
        <f t="shared" ca="1" si="148"/>
        <v>0</v>
      </c>
      <c r="AP242" s="1587">
        <f t="shared" ca="1" si="149"/>
        <v>0</v>
      </c>
      <c r="AS242" s="1212">
        <f t="shared" ca="1" si="150"/>
        <v>0</v>
      </c>
      <c r="AT242" s="1213">
        <f t="shared" ca="1" si="151"/>
        <v>0</v>
      </c>
      <c r="AU242" s="1587">
        <f t="shared" ca="1" si="152"/>
        <v>0</v>
      </c>
      <c r="AX242" s="1212">
        <f t="shared" ca="1" si="153"/>
        <v>0</v>
      </c>
      <c r="AY242" s="1213">
        <f t="shared" ca="1" si="154"/>
        <v>0</v>
      </c>
      <c r="AZ242" s="1587">
        <f t="shared" ca="1" si="155"/>
        <v>0</v>
      </c>
      <c r="BC242" s="1212">
        <f t="shared" ca="1" si="156"/>
        <v>0</v>
      </c>
      <c r="BD242" s="1213">
        <f t="shared" ca="1" si="157"/>
        <v>0</v>
      </c>
      <c r="BE242" s="1587">
        <f t="shared" ca="1" si="158"/>
        <v>0</v>
      </c>
      <c r="BH242" s="1212">
        <f t="shared" ca="1" si="159"/>
        <v>0</v>
      </c>
      <c r="BI242" s="1213">
        <f t="shared" ca="1" si="160"/>
        <v>0</v>
      </c>
      <c r="BJ242" s="1587">
        <f t="shared" ca="1" si="161"/>
        <v>0</v>
      </c>
      <c r="BM242" s="1212">
        <f t="shared" ca="1" si="162"/>
        <v>0</v>
      </c>
      <c r="BN242" s="1213">
        <f t="shared" ca="1" si="163"/>
        <v>0</v>
      </c>
      <c r="BO242" s="1587">
        <f t="shared" ca="1" si="164"/>
        <v>0</v>
      </c>
      <c r="BR242" s="1212">
        <f t="shared" ca="1" si="165"/>
        <v>0</v>
      </c>
      <c r="BS242" s="1213">
        <f t="shared" ca="1" si="166"/>
        <v>0</v>
      </c>
      <c r="BT242" s="1587">
        <f t="shared" ca="1" si="167"/>
        <v>0</v>
      </c>
      <c r="BW242" s="1212">
        <f t="shared" ca="1" si="168"/>
        <v>0</v>
      </c>
      <c r="BX242" s="1213">
        <f t="shared" ca="1" si="169"/>
        <v>0</v>
      </c>
      <c r="BY242" s="1587">
        <f t="shared" ca="1" si="170"/>
        <v>0</v>
      </c>
      <c r="CB242" s="1212">
        <f t="shared" ca="1" si="171"/>
        <v>0</v>
      </c>
      <c r="CC242" s="1213">
        <f t="shared" ca="1" si="172"/>
        <v>0</v>
      </c>
      <c r="CD242" s="1587">
        <f t="shared" ca="1" si="173"/>
        <v>0</v>
      </c>
      <c r="CG242" s="1212">
        <f t="shared" ca="1" si="174"/>
        <v>0</v>
      </c>
      <c r="CH242" s="1213">
        <f t="shared" ca="1" si="175"/>
        <v>0</v>
      </c>
      <c r="CI242" s="1587">
        <f t="shared" ca="1" si="176"/>
        <v>0</v>
      </c>
      <c r="CL242" s="1212">
        <f t="shared" ca="1" si="177"/>
        <v>0</v>
      </c>
      <c r="CM242" s="1213">
        <f t="shared" ca="1" si="178"/>
        <v>0</v>
      </c>
      <c r="CN242" s="1587">
        <f t="shared" ca="1" si="179"/>
        <v>0</v>
      </c>
    </row>
    <row r="243" spans="1:92">
      <c r="A243" s="141" t="str">
        <f>'銀行-TSS'!A243</f>
        <v>US92826CAE21</v>
      </c>
      <c r="B243" s="151" t="str">
        <f ca="1">VLOOKUP(A243,'銀行-TSS'!A:B,2,FALSE)</f>
        <v>XH380</v>
      </c>
      <c r="C243" s="151" t="str">
        <f ca="1">VLOOKUP(B243,bond!B:C,2,FALSE)</f>
        <v>威士卡公司美元配息債券 4.15% 2035/12/14</v>
      </c>
      <c r="D243" s="95" t="str">
        <f>VLOOKUP(A243,'銀行-TSS'!A:C,3,FALSE)</f>
        <v>USD</v>
      </c>
      <c r="E243" s="90">
        <f ca="1">VLOOKUP(A243,'銀行-TSS'!A:G,7,FALSE)</f>
        <v>11.45</v>
      </c>
      <c r="F243" s="202">
        <f ca="1">VLOOKUP(A243,'銀行-TSS'!A:H,8,FALSE)</f>
        <v>4.1500000000000002E-2</v>
      </c>
      <c r="G243" s="96">
        <f ca="1">VLOOKUP(A243,'銀行-TSS'!A:K,11,FALSE)</f>
        <v>96.12</v>
      </c>
      <c r="H243" s="1209">
        <f ca="1">VLOOKUP(A243,'銀行-TSS'!A:M,13,FALSE)</f>
        <v>4.6100000000000002E-2</v>
      </c>
      <c r="I243" s="1213">
        <f ca="1">VLOOKUP(A243,'銀行-TSS'!A:N,14,FALSE)</f>
        <v>10000</v>
      </c>
      <c r="J243" s="1213">
        <f ca="1">VLOOKUP(A243,'銀行-TSS'!A:O,15,FALSE)</f>
        <v>1000</v>
      </c>
      <c r="K243" s="136" t="str">
        <f ca="1">VLOOKUP(A243,'銀行-TSS'!A:V,22,FALSE)</f>
        <v>(NPI)非專投</v>
      </c>
      <c r="L243" s="136" t="str">
        <f ca="1">VLOOKUP(A243,'銀行-TSS'!A:AK,37,FALSE)</f>
        <v>有</v>
      </c>
      <c r="M243" s="136" t="str">
        <f ca="1">VLOOKUP(A243,'銀行-TSS'!A:AN,40,FALSE)</f>
        <v/>
      </c>
      <c r="N243" s="136">
        <f t="shared" ca="1" si="135"/>
        <v>961.2</v>
      </c>
      <c r="O243" s="1213">
        <f t="shared" ca="1" si="136"/>
        <v>9612</v>
      </c>
      <c r="P243" s="1213">
        <f ca="1">IF(AND($O$1&gt;=O243,換券單檔!$D$13=D243),I243+INT(($O$1-O243)/N243)*J243,0)</f>
        <v>100000</v>
      </c>
      <c r="Q243" s="1213">
        <f t="shared" ca="1" si="137"/>
        <v>4150</v>
      </c>
      <c r="R243" s="1213">
        <f t="shared" ca="1" si="138"/>
        <v>100000</v>
      </c>
      <c r="S243" s="1213">
        <f t="shared" ca="1" si="139"/>
        <v>4150</v>
      </c>
      <c r="T243" s="136">
        <f ca="1">IF(OR(R243=0,A243=0),0,IF(AND(V243=TRUE,換券單檔!$D$13=D243),E243,0))</f>
        <v>11.45</v>
      </c>
      <c r="U243" s="861">
        <f ca="1">IF(OR(R243=0,A243=0),0,IF(AND(V243=TRUE,換券單檔!$D$13=D243),H243,0))</f>
        <v>4.6100000000000002E-2</v>
      </c>
      <c r="V243" s="136" t="b">
        <f ca="1">IF(OR(B243=換券單檔!$D$3,L243="無",M243&lt;&gt;"",K243="高資產",IFERROR(MATCH(B243,換券單檔!K:K,0),"N")&lt;&gt;"N"),FALSE,IF($V$1="All",TRUE,IF(K243=$V$1,TRUE,FALSE)))</f>
        <v>1</v>
      </c>
      <c r="W243" s="136">
        <f ca="1">VLOOKUP(A243,'銀行-TSS'!A:AO,41,FALSE)</f>
        <v>93.91</v>
      </c>
      <c r="X243" s="136">
        <f ca="1">VLOOKUP(A243,'銀行-TSS'!A:AP,42,FALSE)</f>
        <v>8.9179999999999993</v>
      </c>
      <c r="Y243" s="1220">
        <f t="shared" ca="1" si="140"/>
        <v>8374.8937999999998</v>
      </c>
      <c r="Z243" s="1220">
        <f t="shared" ca="1" si="141"/>
        <v>0</v>
      </c>
      <c r="AA243" s="136">
        <f ca="1">IF(Z243&lt;=0,0,RANK(Z243,Z:Z)+COUNTIF($Z$3:$Z243,Z243)-1)</f>
        <v>0</v>
      </c>
      <c r="AB243" s="1211">
        <f t="shared" ca="1" si="142"/>
        <v>-6521.2461999999996</v>
      </c>
      <c r="AC243" s="136">
        <f ca="1">IF(AB243&lt;=0,0,RANK(AB243,AB:AB)+COUNTIF($AB$3:$AB243,AB243)-1)</f>
        <v>0</v>
      </c>
      <c r="AD243" s="1123">
        <f t="shared" ca="1" si="143"/>
        <v>99999</v>
      </c>
      <c r="AE243" s="1123">
        <f ca="1">IF(AD243=99999,0,RANK(AD243,AD:AD,1)+COUNTIF($AD$3:$AD243,AD243)-1)</f>
        <v>0</v>
      </c>
      <c r="AF243" s="86" t="b">
        <f ca="1">IF(OR(M243&lt;&gt;"",L243="無",K243="高資產",IFERROR(MATCH(B243,換券單檔!K:K,0),"N")&lt;&gt;"N"),FALSE,TRUE)</f>
        <v>1</v>
      </c>
      <c r="AI243" s="1212">
        <f t="shared" ca="1" si="144"/>
        <v>100000</v>
      </c>
      <c r="AJ243" s="1213">
        <f t="shared" ca="1" si="145"/>
        <v>4150</v>
      </c>
      <c r="AK243" s="1587">
        <f t="shared" ca="1" si="146"/>
        <v>0</v>
      </c>
      <c r="AN243" s="1212">
        <f t="shared" ca="1" si="147"/>
        <v>57000</v>
      </c>
      <c r="AO243" s="1213">
        <f t="shared" ca="1" si="148"/>
        <v>2365.5</v>
      </c>
      <c r="AP243" s="1587">
        <f t="shared" ca="1" si="149"/>
        <v>-85668.631004366805</v>
      </c>
      <c r="AS243" s="1212">
        <f t="shared" ca="1" si="150"/>
        <v>98000</v>
      </c>
      <c r="AT243" s="1213">
        <f t="shared" ca="1" si="151"/>
        <v>4067</v>
      </c>
      <c r="AU243" s="1587">
        <f t="shared" ca="1" si="152"/>
        <v>0</v>
      </c>
      <c r="AX243" s="1212">
        <f t="shared" ca="1" si="153"/>
        <v>90000</v>
      </c>
      <c r="AY243" s="1213">
        <f t="shared" ca="1" si="154"/>
        <v>3735</v>
      </c>
      <c r="AZ243" s="1587">
        <f t="shared" ca="1" si="155"/>
        <v>0</v>
      </c>
      <c r="BC243" s="1212">
        <f t="shared" ca="1" si="156"/>
        <v>0</v>
      </c>
      <c r="BD243" s="1213">
        <f t="shared" ca="1" si="157"/>
        <v>0</v>
      </c>
      <c r="BE243" s="1587">
        <f t="shared" ca="1" si="158"/>
        <v>0</v>
      </c>
      <c r="BH243" s="1212">
        <f t="shared" ca="1" si="159"/>
        <v>0</v>
      </c>
      <c r="BI243" s="1213">
        <f t="shared" ca="1" si="160"/>
        <v>0</v>
      </c>
      <c r="BJ243" s="1587">
        <f t="shared" ca="1" si="161"/>
        <v>0</v>
      </c>
      <c r="BM243" s="1212">
        <f t="shared" ca="1" si="162"/>
        <v>0</v>
      </c>
      <c r="BN243" s="1213">
        <f t="shared" ca="1" si="163"/>
        <v>0</v>
      </c>
      <c r="BO243" s="1587">
        <f t="shared" ca="1" si="164"/>
        <v>0</v>
      </c>
      <c r="BR243" s="1212">
        <f t="shared" ca="1" si="165"/>
        <v>0</v>
      </c>
      <c r="BS243" s="1213">
        <f t="shared" ca="1" si="166"/>
        <v>0</v>
      </c>
      <c r="BT243" s="1587">
        <f t="shared" ca="1" si="167"/>
        <v>0</v>
      </c>
      <c r="BW243" s="1212">
        <f t="shared" ca="1" si="168"/>
        <v>0</v>
      </c>
      <c r="BX243" s="1213">
        <f t="shared" ca="1" si="169"/>
        <v>0</v>
      </c>
      <c r="BY243" s="1587">
        <f t="shared" ca="1" si="170"/>
        <v>0</v>
      </c>
      <c r="CB243" s="1212">
        <f t="shared" ca="1" si="171"/>
        <v>0</v>
      </c>
      <c r="CC243" s="1213">
        <f t="shared" ca="1" si="172"/>
        <v>0</v>
      </c>
      <c r="CD243" s="1587">
        <f t="shared" ca="1" si="173"/>
        <v>0</v>
      </c>
      <c r="CG243" s="1212">
        <f t="shared" ca="1" si="174"/>
        <v>0</v>
      </c>
      <c r="CH243" s="1213">
        <f t="shared" ca="1" si="175"/>
        <v>0</v>
      </c>
      <c r="CI243" s="1587">
        <f t="shared" ca="1" si="176"/>
        <v>0</v>
      </c>
      <c r="CL243" s="1212">
        <f t="shared" ca="1" si="177"/>
        <v>0</v>
      </c>
      <c r="CM243" s="1213">
        <f t="shared" ca="1" si="178"/>
        <v>0</v>
      </c>
      <c r="CN243" s="1587">
        <f t="shared" ca="1" si="179"/>
        <v>0</v>
      </c>
    </row>
    <row r="244" spans="1:92">
      <c r="A244" s="141" t="str">
        <f>'銀行-TSS'!A244</f>
        <v>US037833ES58</v>
      </c>
      <c r="B244" s="151" t="str">
        <f ca="1">VLOOKUP(A244,'銀行-TSS'!A:B,2,FALSE)</f>
        <v>XH390</v>
      </c>
      <c r="C244" s="151" t="str">
        <f ca="1">VLOOKUP(B244,bond!B:C,2,FALSE)</f>
        <v>蘋果公司美元配息債券 4.421% 2026/5/8</v>
      </c>
      <c r="D244" s="95" t="str">
        <f>VLOOKUP(A244,'銀行-TSS'!A:C,3,FALSE)</f>
        <v>USD</v>
      </c>
      <c r="E244" s="90">
        <f ca="1">VLOOKUP(A244,'銀行-TSS'!A:G,7,FALSE)</f>
        <v>1.85</v>
      </c>
      <c r="F244" s="202">
        <f ca="1">VLOOKUP(A244,'銀行-TSS'!A:H,8,FALSE)</f>
        <v>4.4209999999999999E-2</v>
      </c>
      <c r="G244" s="96">
        <f ca="1">VLOOKUP(A244,'銀行-TSS'!A:K,11,FALSE)</f>
        <v>101.14999999999999</v>
      </c>
      <c r="H244" s="1209">
        <f ca="1">VLOOKUP(A244,'銀行-TSS'!A:M,13,FALSE)</f>
        <v>4.1399999999999999E-2</v>
      </c>
      <c r="I244" s="1213">
        <f ca="1">VLOOKUP(A244,'銀行-TSS'!A:N,14,FALSE)</f>
        <v>10000</v>
      </c>
      <c r="J244" s="1213">
        <f ca="1">VLOOKUP(A244,'銀行-TSS'!A:O,15,FALSE)</f>
        <v>1000</v>
      </c>
      <c r="K244" s="136" t="str">
        <f ca="1">VLOOKUP(A244,'銀行-TSS'!A:V,22,FALSE)</f>
        <v>(NPI)非專投</v>
      </c>
      <c r="L244" s="136" t="str">
        <f ca="1">VLOOKUP(A244,'銀行-TSS'!A:AK,37,FALSE)</f>
        <v>有</v>
      </c>
      <c r="M244" s="136" t="str">
        <f ca="1">VLOOKUP(A244,'銀行-TSS'!A:AN,40,FALSE)</f>
        <v/>
      </c>
      <c r="N244" s="136">
        <f t="shared" ca="1" si="135"/>
        <v>1011.4999999999999</v>
      </c>
      <c r="O244" s="1213">
        <f t="shared" ca="1" si="136"/>
        <v>10114.999999999998</v>
      </c>
      <c r="P244" s="1213">
        <f ca="1">IF(AND($O$1&gt;=O244,換券單檔!$D$13=D244),I244+INT(($O$1-O244)/N244)*J244,0)</f>
        <v>95000</v>
      </c>
      <c r="Q244" s="1213">
        <f t="shared" ca="1" si="137"/>
        <v>4199.95</v>
      </c>
      <c r="R244" s="1213">
        <f t="shared" ca="1" si="138"/>
        <v>95000</v>
      </c>
      <c r="S244" s="1213">
        <f t="shared" ca="1" si="139"/>
        <v>4199.95</v>
      </c>
      <c r="T244" s="136">
        <f ca="1">IF(OR(R244=0,A244=0),0,IF(AND(V244=TRUE,換券單檔!$D$13=D244),E244,0))</f>
        <v>1.85</v>
      </c>
      <c r="U244" s="861">
        <f ca="1">IF(OR(R244=0,A244=0),0,IF(AND(V244=TRUE,換券單檔!$D$13=D244),H244,0))</f>
        <v>4.1399999999999999E-2</v>
      </c>
      <c r="V244" s="136" t="b">
        <f ca="1">IF(OR(B244=換券單檔!$D$3,L244="無",M244&lt;&gt;"",K244="高資產",IFERROR(MATCH(B244,換券單檔!K:K,0),"N")&lt;&gt;"N"),FALSE,IF($V$1="All",TRUE,IF(K244=$V$1,TRUE,FALSE)))</f>
        <v>1</v>
      </c>
      <c r="W244" s="136">
        <f ca="1">VLOOKUP(A244,'銀行-TSS'!A:AO,41,FALSE)</f>
        <v>99.690000000000012</v>
      </c>
      <c r="X244" s="136">
        <f ca="1">VLOOKUP(A244,'銀行-TSS'!A:AP,42,FALSE)</f>
        <v>1.7468999999999999</v>
      </c>
      <c r="Y244" s="1220">
        <f t="shared" ca="1" si="140"/>
        <v>1654.4103795000003</v>
      </c>
      <c r="Z244" s="1220">
        <f t="shared" ca="1" si="141"/>
        <v>0</v>
      </c>
      <c r="AA244" s="136">
        <f ca="1">IF(Z244&lt;=0,0,RANK(Z244,Z:Z)+COUNTIF($Z$3:$Z244,Z244)-1)</f>
        <v>0</v>
      </c>
      <c r="AB244" s="1211">
        <f t="shared" ca="1" si="142"/>
        <v>-18241.729620499998</v>
      </c>
      <c r="AC244" s="136">
        <f ca="1">IF(AB244&lt;=0,0,RANK(AB244,AB:AB)+COUNTIF($AB$3:$AB244,AB244)-1)</f>
        <v>0</v>
      </c>
      <c r="AD244" s="1123">
        <f t="shared" ca="1" si="143"/>
        <v>99999</v>
      </c>
      <c r="AE244" s="1123">
        <f ca="1">IF(AD244=99999,0,RANK(AD244,AD:AD,1)+COUNTIF($AD$3:$AD244,AD244)-1)</f>
        <v>0</v>
      </c>
      <c r="AF244" s="86" t="b">
        <f ca="1">IF(OR(M244&lt;&gt;"",L244="無",K244="高資產",IFERROR(MATCH(B244,換券單檔!K:K,0),"N")&lt;&gt;"N"),FALSE,TRUE)</f>
        <v>1</v>
      </c>
      <c r="AI244" s="1212">
        <f t="shared" ca="1" si="144"/>
        <v>95000</v>
      </c>
      <c r="AJ244" s="1213">
        <f t="shared" ca="1" si="145"/>
        <v>4199.95</v>
      </c>
      <c r="AK244" s="1587">
        <f t="shared" ca="1" si="146"/>
        <v>0</v>
      </c>
      <c r="AN244" s="1212">
        <f t="shared" ca="1" si="147"/>
        <v>54000</v>
      </c>
      <c r="AO244" s="1213">
        <f t="shared" ca="1" si="148"/>
        <v>2387.34</v>
      </c>
      <c r="AP244" s="1587">
        <f t="shared" ca="1" si="149"/>
        <v>0</v>
      </c>
      <c r="AS244" s="1212">
        <f t="shared" ca="1" si="150"/>
        <v>93000</v>
      </c>
      <c r="AT244" s="1213">
        <f t="shared" ca="1" si="151"/>
        <v>4111.53</v>
      </c>
      <c r="AU244" s="1587">
        <f t="shared" ca="1" si="152"/>
        <v>0</v>
      </c>
      <c r="AX244" s="1212">
        <f t="shared" ca="1" si="153"/>
        <v>85000</v>
      </c>
      <c r="AY244" s="1213">
        <f t="shared" ca="1" si="154"/>
        <v>3757.85</v>
      </c>
      <c r="AZ244" s="1587">
        <f t="shared" ca="1" si="155"/>
        <v>0</v>
      </c>
      <c r="BC244" s="1212">
        <f t="shared" ca="1" si="156"/>
        <v>0</v>
      </c>
      <c r="BD244" s="1213">
        <f t="shared" ca="1" si="157"/>
        <v>0</v>
      </c>
      <c r="BE244" s="1587">
        <f t="shared" ca="1" si="158"/>
        <v>0</v>
      </c>
      <c r="BH244" s="1212">
        <f t="shared" ca="1" si="159"/>
        <v>0</v>
      </c>
      <c r="BI244" s="1213">
        <f t="shared" ca="1" si="160"/>
        <v>0</v>
      </c>
      <c r="BJ244" s="1587">
        <f t="shared" ca="1" si="161"/>
        <v>0</v>
      </c>
      <c r="BM244" s="1212">
        <f t="shared" ca="1" si="162"/>
        <v>0</v>
      </c>
      <c r="BN244" s="1213">
        <f t="shared" ca="1" si="163"/>
        <v>0</v>
      </c>
      <c r="BO244" s="1587">
        <f t="shared" ca="1" si="164"/>
        <v>0</v>
      </c>
      <c r="BR244" s="1212">
        <f t="shared" ca="1" si="165"/>
        <v>0</v>
      </c>
      <c r="BS244" s="1213">
        <f t="shared" ca="1" si="166"/>
        <v>0</v>
      </c>
      <c r="BT244" s="1587">
        <f t="shared" ca="1" si="167"/>
        <v>0</v>
      </c>
      <c r="BW244" s="1212">
        <f t="shared" ca="1" si="168"/>
        <v>0</v>
      </c>
      <c r="BX244" s="1213">
        <f t="shared" ca="1" si="169"/>
        <v>0</v>
      </c>
      <c r="BY244" s="1587">
        <f t="shared" ca="1" si="170"/>
        <v>0</v>
      </c>
      <c r="CB244" s="1212">
        <f t="shared" ca="1" si="171"/>
        <v>0</v>
      </c>
      <c r="CC244" s="1213">
        <f t="shared" ca="1" si="172"/>
        <v>0</v>
      </c>
      <c r="CD244" s="1587">
        <f t="shared" ca="1" si="173"/>
        <v>0</v>
      </c>
      <c r="CG244" s="1212">
        <f t="shared" ca="1" si="174"/>
        <v>0</v>
      </c>
      <c r="CH244" s="1213">
        <f t="shared" ca="1" si="175"/>
        <v>0</v>
      </c>
      <c r="CI244" s="1587">
        <f t="shared" ca="1" si="176"/>
        <v>0</v>
      </c>
      <c r="CL244" s="1212">
        <f t="shared" ca="1" si="177"/>
        <v>0</v>
      </c>
      <c r="CM244" s="1213">
        <f t="shared" ca="1" si="178"/>
        <v>0</v>
      </c>
      <c r="CN244" s="1587">
        <f t="shared" ca="1" si="179"/>
        <v>0</v>
      </c>
    </row>
    <row r="245" spans="1:92">
      <c r="A245" s="141" t="str">
        <f>'銀行-TSS'!A245</f>
        <v>US037833ET32</v>
      </c>
      <c r="B245" s="151" t="str">
        <f ca="1">VLOOKUP(A245,'銀行-TSS'!A:B,2,FALSE)</f>
        <v>XH400</v>
      </c>
      <c r="C245" s="151" t="str">
        <f ca="1">VLOOKUP(B245,bond!B:C,2,FALSE)</f>
        <v>蘋果公司美元配息債券 4% 2028/5/10</v>
      </c>
      <c r="D245" s="95" t="str">
        <f>VLOOKUP(A245,'銀行-TSS'!A:C,3,FALSE)</f>
        <v>USD</v>
      </c>
      <c r="E245" s="90">
        <f ca="1">VLOOKUP(A245,'銀行-TSS'!A:G,7,FALSE)</f>
        <v>3.85</v>
      </c>
      <c r="F245" s="202">
        <f ca="1">VLOOKUP(A245,'銀行-TSS'!A:H,8,FALSE)</f>
        <v>0.04</v>
      </c>
      <c r="G245" s="96">
        <f ca="1">VLOOKUP(A245,'銀行-TSS'!A:K,11,FALSE)</f>
        <v>100.33</v>
      </c>
      <c r="H245" s="1209">
        <f ca="1">VLOOKUP(A245,'銀行-TSS'!A:M,13,FALSE)</f>
        <v>4.07E-2</v>
      </c>
      <c r="I245" s="1213">
        <f ca="1">VLOOKUP(A245,'銀行-TSS'!A:N,14,FALSE)</f>
        <v>10000</v>
      </c>
      <c r="J245" s="1213">
        <f ca="1">VLOOKUP(A245,'銀行-TSS'!A:O,15,FALSE)</f>
        <v>1000</v>
      </c>
      <c r="K245" s="136" t="str">
        <f ca="1">VLOOKUP(A245,'銀行-TSS'!A:V,22,FALSE)</f>
        <v>(NPI)非專投</v>
      </c>
      <c r="L245" s="136" t="str">
        <f ca="1">VLOOKUP(A245,'銀行-TSS'!A:AK,37,FALSE)</f>
        <v>有</v>
      </c>
      <c r="M245" s="136" t="str">
        <f ca="1">VLOOKUP(A245,'銀行-TSS'!A:AN,40,FALSE)</f>
        <v/>
      </c>
      <c r="N245" s="136">
        <f t="shared" ca="1" si="135"/>
        <v>1003.3</v>
      </c>
      <c r="O245" s="1213">
        <f t="shared" ca="1" si="136"/>
        <v>10033</v>
      </c>
      <c r="P245" s="1213">
        <f ca="1">IF(AND($O$1&gt;=O245,換券單檔!$D$13=D245),I245+INT(($O$1-O245)/N245)*J245,0)</f>
        <v>96000</v>
      </c>
      <c r="Q245" s="1213">
        <f t="shared" ca="1" si="137"/>
        <v>3840</v>
      </c>
      <c r="R245" s="1213">
        <f t="shared" ca="1" si="138"/>
        <v>96000</v>
      </c>
      <c r="S245" s="1213">
        <f t="shared" ca="1" si="139"/>
        <v>3840</v>
      </c>
      <c r="T245" s="136">
        <f ca="1">IF(OR(R245=0,A245=0),0,IF(AND(V245=TRUE,換券單檔!$D$13=D245),E245,0))</f>
        <v>3.85</v>
      </c>
      <c r="U245" s="861">
        <f ca="1">IF(OR(R245=0,A245=0),0,IF(AND(V245=TRUE,換券單檔!$D$13=D245),H245,0))</f>
        <v>4.07E-2</v>
      </c>
      <c r="V245" s="136" t="b">
        <f ca="1">IF(OR(B245=換券單檔!$D$3,L245="無",M245&lt;&gt;"",K245="高資產",IFERROR(MATCH(B245,換券單檔!K:K,0),"N")&lt;&gt;"N"),FALSE,IF($V$1="All",TRUE,IF(K245=$V$1,TRUE,FALSE)))</f>
        <v>1</v>
      </c>
      <c r="W245" s="136">
        <f ca="1">VLOOKUP(A245,'銀行-TSS'!A:AO,41,FALSE)</f>
        <v>98.25</v>
      </c>
      <c r="X245" s="136">
        <f ca="1">VLOOKUP(A245,'銀行-TSS'!A:AP,42,FALSE)</f>
        <v>3.5129000000000001</v>
      </c>
      <c r="Y245" s="1220">
        <f t="shared" ca="1" si="140"/>
        <v>3313.3672799999999</v>
      </c>
      <c r="Z245" s="1220">
        <f t="shared" ca="1" si="141"/>
        <v>0</v>
      </c>
      <c r="AA245" s="136">
        <f ca="1">IF(Z245&lt;=0,0,RANK(Z245,Z:Z)+COUNTIF($Z$3:$Z245,Z245)-1)</f>
        <v>0</v>
      </c>
      <c r="AB245" s="1211">
        <f t="shared" ca="1" si="142"/>
        <v>-15582.772719999999</v>
      </c>
      <c r="AC245" s="136">
        <f ca="1">IF(AB245&lt;=0,0,RANK(AB245,AB:AB)+COUNTIF($AB$3:$AB245,AB245)-1)</f>
        <v>0</v>
      </c>
      <c r="AD245" s="1123">
        <f t="shared" ca="1" si="143"/>
        <v>99999</v>
      </c>
      <c r="AE245" s="1123">
        <f ca="1">IF(AD245=99999,0,RANK(AD245,AD:AD,1)+COUNTIF($AD$3:$AD245,AD245)-1)</f>
        <v>0</v>
      </c>
      <c r="AF245" s="86" t="b">
        <f ca="1">IF(OR(M245&lt;&gt;"",L245="無",K245="高資產",IFERROR(MATCH(B245,換券單檔!K:K,0),"N")&lt;&gt;"N"),FALSE,TRUE)</f>
        <v>1</v>
      </c>
      <c r="AI245" s="1212">
        <f t="shared" ca="1" si="144"/>
        <v>96000</v>
      </c>
      <c r="AJ245" s="1213">
        <f t="shared" ca="1" si="145"/>
        <v>3840</v>
      </c>
      <c r="AK245" s="1587">
        <f t="shared" ca="1" si="146"/>
        <v>0</v>
      </c>
      <c r="AN245" s="1212">
        <f t="shared" ca="1" si="147"/>
        <v>55000</v>
      </c>
      <c r="AO245" s="1213">
        <f t="shared" ca="1" si="148"/>
        <v>2200</v>
      </c>
      <c r="AP245" s="1587">
        <f t="shared" ca="1" si="149"/>
        <v>0</v>
      </c>
      <c r="AS245" s="1212">
        <f t="shared" ca="1" si="150"/>
        <v>94000</v>
      </c>
      <c r="AT245" s="1213">
        <f t="shared" ca="1" si="151"/>
        <v>3760</v>
      </c>
      <c r="AU245" s="1587">
        <f t="shared" ca="1" si="152"/>
        <v>0</v>
      </c>
      <c r="AX245" s="1212">
        <f t="shared" ca="1" si="153"/>
        <v>86000</v>
      </c>
      <c r="AY245" s="1213">
        <f t="shared" ca="1" si="154"/>
        <v>3440</v>
      </c>
      <c r="AZ245" s="1587">
        <f t="shared" ca="1" si="155"/>
        <v>0</v>
      </c>
      <c r="BC245" s="1212">
        <f t="shared" ca="1" si="156"/>
        <v>0</v>
      </c>
      <c r="BD245" s="1213">
        <f t="shared" ca="1" si="157"/>
        <v>0</v>
      </c>
      <c r="BE245" s="1587">
        <f t="shared" ca="1" si="158"/>
        <v>0</v>
      </c>
      <c r="BH245" s="1212">
        <f t="shared" ca="1" si="159"/>
        <v>0</v>
      </c>
      <c r="BI245" s="1213">
        <f t="shared" ca="1" si="160"/>
        <v>0</v>
      </c>
      <c r="BJ245" s="1587">
        <f t="shared" ca="1" si="161"/>
        <v>0</v>
      </c>
      <c r="BM245" s="1212">
        <f t="shared" ca="1" si="162"/>
        <v>0</v>
      </c>
      <c r="BN245" s="1213">
        <f t="shared" ca="1" si="163"/>
        <v>0</v>
      </c>
      <c r="BO245" s="1587">
        <f t="shared" ca="1" si="164"/>
        <v>0</v>
      </c>
      <c r="BR245" s="1212">
        <f t="shared" ca="1" si="165"/>
        <v>0</v>
      </c>
      <c r="BS245" s="1213">
        <f t="shared" ca="1" si="166"/>
        <v>0</v>
      </c>
      <c r="BT245" s="1587">
        <f t="shared" ca="1" si="167"/>
        <v>0</v>
      </c>
      <c r="BW245" s="1212">
        <f t="shared" ca="1" si="168"/>
        <v>0</v>
      </c>
      <c r="BX245" s="1213">
        <f t="shared" ca="1" si="169"/>
        <v>0</v>
      </c>
      <c r="BY245" s="1587">
        <f t="shared" ca="1" si="170"/>
        <v>0</v>
      </c>
      <c r="CB245" s="1212">
        <f t="shared" ca="1" si="171"/>
        <v>0</v>
      </c>
      <c r="CC245" s="1213">
        <f t="shared" ca="1" si="172"/>
        <v>0</v>
      </c>
      <c r="CD245" s="1587">
        <f t="shared" ca="1" si="173"/>
        <v>0</v>
      </c>
      <c r="CG245" s="1212">
        <f t="shared" ca="1" si="174"/>
        <v>0</v>
      </c>
      <c r="CH245" s="1213">
        <f t="shared" ca="1" si="175"/>
        <v>0</v>
      </c>
      <c r="CI245" s="1587">
        <f t="shared" ca="1" si="176"/>
        <v>0</v>
      </c>
      <c r="CL245" s="1212">
        <f t="shared" ca="1" si="177"/>
        <v>0</v>
      </c>
      <c r="CM245" s="1213">
        <f t="shared" ca="1" si="178"/>
        <v>0</v>
      </c>
      <c r="CN245" s="1587">
        <f t="shared" ca="1" si="179"/>
        <v>0</v>
      </c>
    </row>
    <row r="246" spans="1:92">
      <c r="A246" s="141" t="str">
        <f>'銀行-TSS'!A246</f>
        <v>US037833EU05</v>
      </c>
      <c r="B246" s="151" t="str">
        <f ca="1">VLOOKUP(A246,'銀行-TSS'!A:B,2,FALSE)</f>
        <v>XH410</v>
      </c>
      <c r="C246" s="151" t="str">
        <f ca="1">VLOOKUP(B246,bond!B:C,2,FALSE)</f>
        <v>蘋果公司美元配息債券 4.15% 2030/5/10</v>
      </c>
      <c r="D246" s="95" t="str">
        <f>VLOOKUP(A246,'銀行-TSS'!A:C,3,FALSE)</f>
        <v>USD</v>
      </c>
      <c r="E246" s="90">
        <f ca="1">VLOOKUP(A246,'銀行-TSS'!A:G,7,FALSE)</f>
        <v>5.85</v>
      </c>
      <c r="F246" s="202">
        <f ca="1">VLOOKUP(A246,'銀行-TSS'!A:H,8,FALSE)</f>
        <v>4.1500000000000002E-2</v>
      </c>
      <c r="G246" s="96">
        <f ca="1">VLOOKUP(A246,'銀行-TSS'!A:K,11,FALSE)</f>
        <v>100.76</v>
      </c>
      <c r="H246" s="1209">
        <f ca="1">VLOOKUP(A246,'銀行-TSS'!A:M,13,FALSE)</f>
        <v>4.1200000000000001E-2</v>
      </c>
      <c r="I246" s="1213">
        <f ca="1">VLOOKUP(A246,'銀行-TSS'!A:N,14,FALSE)</f>
        <v>10000</v>
      </c>
      <c r="J246" s="1213">
        <f ca="1">VLOOKUP(A246,'銀行-TSS'!A:O,15,FALSE)</f>
        <v>1000</v>
      </c>
      <c r="K246" s="136" t="str">
        <f ca="1">VLOOKUP(A246,'銀行-TSS'!A:V,22,FALSE)</f>
        <v>(NPI)非專投</v>
      </c>
      <c r="L246" s="136" t="str">
        <f ca="1">VLOOKUP(A246,'銀行-TSS'!A:AK,37,FALSE)</f>
        <v>有</v>
      </c>
      <c r="M246" s="136" t="str">
        <f ca="1">VLOOKUP(A246,'銀行-TSS'!A:AN,40,FALSE)</f>
        <v/>
      </c>
      <c r="N246" s="136">
        <f t="shared" ca="1" si="135"/>
        <v>1007.6</v>
      </c>
      <c r="O246" s="1213">
        <f t="shared" ca="1" si="136"/>
        <v>10076</v>
      </c>
      <c r="P246" s="1213">
        <f ca="1">IF(AND($O$1&gt;=O246,換券單檔!$D$13=D246),I246+INT(($O$1-O246)/N246)*J246,0)</f>
        <v>95000</v>
      </c>
      <c r="Q246" s="1213">
        <f t="shared" ca="1" si="137"/>
        <v>3942.5</v>
      </c>
      <c r="R246" s="1213">
        <f t="shared" ca="1" si="138"/>
        <v>95000</v>
      </c>
      <c r="S246" s="1213">
        <f t="shared" ca="1" si="139"/>
        <v>3942.5</v>
      </c>
      <c r="T246" s="136">
        <f ca="1">IF(OR(R246=0,A246=0),0,IF(AND(V246=TRUE,換券單檔!$D$13=D246),E246,0))</f>
        <v>5.85</v>
      </c>
      <c r="U246" s="861">
        <f ca="1">IF(OR(R246=0,A246=0),0,IF(AND(V246=TRUE,換券單檔!$D$13=D246),H246,0))</f>
        <v>4.1200000000000001E-2</v>
      </c>
      <c r="V246" s="136" t="b">
        <f ca="1">IF(OR(B246=換券單檔!$D$3,L246="無",M246&lt;&gt;"",K246="高資產",IFERROR(MATCH(B246,換券單檔!K:K,0),"N")&lt;&gt;"N"),FALSE,IF($V$1="All",TRUE,IF(K246=$V$1,TRUE,FALSE)))</f>
        <v>1</v>
      </c>
      <c r="W246" s="136">
        <f ca="1">VLOOKUP(A246,'銀行-TSS'!A:AO,41,FALSE)</f>
        <v>98.660000000000011</v>
      </c>
      <c r="X246" s="136">
        <f ca="1">VLOOKUP(A246,'銀行-TSS'!A:AP,42,FALSE)</f>
        <v>5.1138000000000003</v>
      </c>
      <c r="Y246" s="1220">
        <f t="shared" ca="1" si="140"/>
        <v>4793.0113260000016</v>
      </c>
      <c r="Z246" s="1220">
        <f t="shared" ca="1" si="141"/>
        <v>0</v>
      </c>
      <c r="AA246" s="136">
        <f ca="1">IF(Z246&lt;=0,0,RANK(Z246,Z:Z)+COUNTIF($Z$3:$Z246,Z246)-1)</f>
        <v>0</v>
      </c>
      <c r="AB246" s="1211">
        <f t="shared" ca="1" si="142"/>
        <v>-15103.128673999998</v>
      </c>
      <c r="AC246" s="136">
        <f ca="1">IF(AB246&lt;=0,0,RANK(AB246,AB:AB)+COUNTIF($AB$3:$AB246,AB246)-1)</f>
        <v>0</v>
      </c>
      <c r="AD246" s="1123">
        <f t="shared" ca="1" si="143"/>
        <v>99999</v>
      </c>
      <c r="AE246" s="1123">
        <f ca="1">IF(AD246=99999,0,RANK(AD246,AD:AD,1)+COUNTIF($AD$3:$AD246,AD246)-1)</f>
        <v>0</v>
      </c>
      <c r="AF246" s="86" t="b">
        <f ca="1">IF(OR(M246&lt;&gt;"",L246="無",K246="高資產",IFERROR(MATCH(B246,換券單檔!K:K,0),"N")&lt;&gt;"N"),FALSE,TRUE)</f>
        <v>1</v>
      </c>
      <c r="AI246" s="1212">
        <f t="shared" ca="1" si="144"/>
        <v>95000</v>
      </c>
      <c r="AJ246" s="1213">
        <f t="shared" ca="1" si="145"/>
        <v>3942.5</v>
      </c>
      <c r="AK246" s="1587">
        <f t="shared" ca="1" si="146"/>
        <v>0</v>
      </c>
      <c r="AN246" s="1212">
        <f t="shared" ca="1" si="147"/>
        <v>54000</v>
      </c>
      <c r="AO246" s="1213">
        <f t="shared" ca="1" si="148"/>
        <v>2241</v>
      </c>
      <c r="AP246" s="1587">
        <f t="shared" ca="1" si="149"/>
        <v>-92024.692307692312</v>
      </c>
      <c r="AS246" s="1212">
        <f t="shared" ca="1" si="150"/>
        <v>93000</v>
      </c>
      <c r="AT246" s="1213">
        <f t="shared" ca="1" si="151"/>
        <v>3859.5</v>
      </c>
      <c r="AU246" s="1587">
        <f t="shared" ca="1" si="152"/>
        <v>0</v>
      </c>
      <c r="AX246" s="1212">
        <f t="shared" ca="1" si="153"/>
        <v>86000</v>
      </c>
      <c r="AY246" s="1213">
        <f t="shared" ca="1" si="154"/>
        <v>3569</v>
      </c>
      <c r="AZ246" s="1587">
        <f t="shared" ca="1" si="155"/>
        <v>0</v>
      </c>
      <c r="BC246" s="1212">
        <f t="shared" ca="1" si="156"/>
        <v>0</v>
      </c>
      <c r="BD246" s="1213">
        <f t="shared" ca="1" si="157"/>
        <v>0</v>
      </c>
      <c r="BE246" s="1587">
        <f t="shared" ca="1" si="158"/>
        <v>0</v>
      </c>
      <c r="BH246" s="1212">
        <f t="shared" ca="1" si="159"/>
        <v>0</v>
      </c>
      <c r="BI246" s="1213">
        <f t="shared" ca="1" si="160"/>
        <v>0</v>
      </c>
      <c r="BJ246" s="1587">
        <f t="shared" ca="1" si="161"/>
        <v>0</v>
      </c>
      <c r="BM246" s="1212">
        <f t="shared" ca="1" si="162"/>
        <v>0</v>
      </c>
      <c r="BN246" s="1213">
        <f t="shared" ca="1" si="163"/>
        <v>0</v>
      </c>
      <c r="BO246" s="1587">
        <f t="shared" ca="1" si="164"/>
        <v>0</v>
      </c>
      <c r="BR246" s="1212">
        <f t="shared" ca="1" si="165"/>
        <v>0</v>
      </c>
      <c r="BS246" s="1213">
        <f t="shared" ca="1" si="166"/>
        <v>0</v>
      </c>
      <c r="BT246" s="1587">
        <f t="shared" ca="1" si="167"/>
        <v>0</v>
      </c>
      <c r="BW246" s="1212">
        <f t="shared" ca="1" si="168"/>
        <v>0</v>
      </c>
      <c r="BX246" s="1213">
        <f t="shared" ca="1" si="169"/>
        <v>0</v>
      </c>
      <c r="BY246" s="1587">
        <f t="shared" ca="1" si="170"/>
        <v>0</v>
      </c>
      <c r="CB246" s="1212">
        <f t="shared" ca="1" si="171"/>
        <v>0</v>
      </c>
      <c r="CC246" s="1213">
        <f t="shared" ca="1" si="172"/>
        <v>0</v>
      </c>
      <c r="CD246" s="1587">
        <f t="shared" ca="1" si="173"/>
        <v>0</v>
      </c>
      <c r="CG246" s="1212">
        <f t="shared" ca="1" si="174"/>
        <v>0</v>
      </c>
      <c r="CH246" s="1213">
        <f t="shared" ca="1" si="175"/>
        <v>0</v>
      </c>
      <c r="CI246" s="1587">
        <f t="shared" ca="1" si="176"/>
        <v>0</v>
      </c>
      <c r="CL246" s="1212">
        <f t="shared" ca="1" si="177"/>
        <v>0</v>
      </c>
      <c r="CM246" s="1213">
        <f t="shared" ca="1" si="178"/>
        <v>0</v>
      </c>
      <c r="CN246" s="1587">
        <f t="shared" ca="1" si="179"/>
        <v>0</v>
      </c>
    </row>
    <row r="247" spans="1:92">
      <c r="A247" s="141" t="str">
        <f>'銀行-TSS'!A247</f>
        <v>US037833EV87</v>
      </c>
      <c r="B247" s="151" t="str">
        <f ca="1">VLOOKUP(A247,'銀行-TSS'!A:B,2,FALSE)</f>
        <v>XH420</v>
      </c>
      <c r="C247" s="151" t="str">
        <f ca="1">VLOOKUP(B247,bond!B:C,2,FALSE)</f>
        <v>蘋果公司美元配息債券 4.3% 2033/5/10</v>
      </c>
      <c r="D247" s="95" t="str">
        <f>VLOOKUP(A247,'銀行-TSS'!A:C,3,FALSE)</f>
        <v>USD</v>
      </c>
      <c r="E247" s="90">
        <f ca="1">VLOOKUP(A247,'銀行-TSS'!A:G,7,FALSE)</f>
        <v>8.85</v>
      </c>
      <c r="F247" s="202">
        <f ca="1">VLOOKUP(A247,'銀行-TSS'!A:H,8,FALSE)</f>
        <v>4.2999999999999997E-2</v>
      </c>
      <c r="G247" s="96">
        <f ca="1">VLOOKUP(A247,'銀行-TSS'!A:K,11,FALSE)</f>
        <v>101.8</v>
      </c>
      <c r="H247" s="1209">
        <f ca="1">VLOOKUP(A247,'銀行-TSS'!A:M,13,FALSE)</f>
        <v>4.1399999999999999E-2</v>
      </c>
      <c r="I247" s="1213">
        <f ca="1">VLOOKUP(A247,'銀行-TSS'!A:N,14,FALSE)</f>
        <v>10000</v>
      </c>
      <c r="J247" s="1213">
        <f ca="1">VLOOKUP(A247,'銀行-TSS'!A:O,15,FALSE)</f>
        <v>1000</v>
      </c>
      <c r="K247" s="136" t="str">
        <f ca="1">VLOOKUP(A247,'銀行-TSS'!A:V,22,FALSE)</f>
        <v>(NPI)非專投</v>
      </c>
      <c r="L247" s="136" t="str">
        <f ca="1">VLOOKUP(A247,'銀行-TSS'!A:AK,37,FALSE)</f>
        <v>有</v>
      </c>
      <c r="M247" s="136" t="str">
        <f ca="1">VLOOKUP(A247,'銀行-TSS'!A:AN,40,FALSE)</f>
        <v/>
      </c>
      <c r="N247" s="136">
        <f t="shared" ca="1" si="135"/>
        <v>1018</v>
      </c>
      <c r="O247" s="1213">
        <f t="shared" ca="1" si="136"/>
        <v>10180</v>
      </c>
      <c r="P247" s="1213">
        <f ca="1">IF(AND($O$1&gt;=O247,換券單檔!$D$13=D247),I247+INT(($O$1-O247)/N247)*J247,0)</f>
        <v>94000</v>
      </c>
      <c r="Q247" s="1213">
        <f t="shared" ca="1" si="137"/>
        <v>4041.9999999999995</v>
      </c>
      <c r="R247" s="1213">
        <f t="shared" ca="1" si="138"/>
        <v>94000</v>
      </c>
      <c r="S247" s="1213">
        <f t="shared" ca="1" si="139"/>
        <v>4041.9999999999995</v>
      </c>
      <c r="T247" s="136">
        <f ca="1">IF(OR(R247=0,A247=0),0,IF(AND(V247=TRUE,換券單檔!$D$13=D247),E247,0))</f>
        <v>8.85</v>
      </c>
      <c r="U247" s="861">
        <f ca="1">IF(OR(R247=0,A247=0),0,IF(AND(V247=TRUE,換券單檔!$D$13=D247),H247,0))</f>
        <v>4.1399999999999999E-2</v>
      </c>
      <c r="V247" s="136" t="b">
        <f ca="1">IF(OR(B247=換券單檔!$D$3,L247="無",M247&lt;&gt;"",K247="高資產",IFERROR(MATCH(B247,換券單檔!K:K,0),"N")&lt;&gt;"N"),FALSE,IF($V$1="All",TRUE,IF(K247=$V$1,TRUE,FALSE)))</f>
        <v>1</v>
      </c>
      <c r="W247" s="136">
        <f ca="1">VLOOKUP(A247,'銀行-TSS'!A:AO,41,FALSE)</f>
        <v>99.18</v>
      </c>
      <c r="X247" s="136">
        <f ca="1">VLOOKUP(A247,'銀行-TSS'!A:AP,42,FALSE)</f>
        <v>7.2535999999999996</v>
      </c>
      <c r="Y247" s="1220">
        <f t="shared" ca="1" si="140"/>
        <v>6762.4732511999991</v>
      </c>
      <c r="Z247" s="1220">
        <f t="shared" ca="1" si="141"/>
        <v>0</v>
      </c>
      <c r="AA247" s="136">
        <f ca="1">IF(Z247&lt;=0,0,RANK(Z247,Z:Z)+COUNTIF($Z$3:$Z247,Z247)-1)</f>
        <v>0</v>
      </c>
      <c r="AB247" s="1211">
        <f t="shared" ca="1" si="142"/>
        <v>-14133.6667488</v>
      </c>
      <c r="AC247" s="136">
        <f ca="1">IF(AB247&lt;=0,0,RANK(AB247,AB:AB)+COUNTIF($AB$3:$AB247,AB247)-1)</f>
        <v>0</v>
      </c>
      <c r="AD247" s="1123">
        <f t="shared" ca="1" si="143"/>
        <v>99999</v>
      </c>
      <c r="AE247" s="1123">
        <f ca="1">IF(AD247=99999,0,RANK(AD247,AD:AD,1)+COUNTIF($AD$3:$AD247,AD247)-1)</f>
        <v>0</v>
      </c>
      <c r="AF247" s="86" t="b">
        <f ca="1">IF(OR(M247&lt;&gt;"",L247="無",K247="高資產",IFERROR(MATCH(B247,換券單檔!K:K,0),"N")&lt;&gt;"N"),FALSE,TRUE)</f>
        <v>1</v>
      </c>
      <c r="AI247" s="1212">
        <f t="shared" ca="1" si="144"/>
        <v>94000</v>
      </c>
      <c r="AJ247" s="1213">
        <f t="shared" ca="1" si="145"/>
        <v>4041.9999999999995</v>
      </c>
      <c r="AK247" s="1587">
        <f t="shared" ca="1" si="146"/>
        <v>0</v>
      </c>
      <c r="AN247" s="1212">
        <f t="shared" ca="1" si="147"/>
        <v>54000</v>
      </c>
      <c r="AO247" s="1213">
        <f t="shared" ca="1" si="148"/>
        <v>2322</v>
      </c>
      <c r="AP247" s="1587">
        <f t="shared" ca="1" si="149"/>
        <v>-91796.203389830509</v>
      </c>
      <c r="AS247" s="1212">
        <f t="shared" ca="1" si="150"/>
        <v>92000</v>
      </c>
      <c r="AT247" s="1213">
        <f t="shared" ca="1" si="151"/>
        <v>3955.9999999999995</v>
      </c>
      <c r="AU247" s="1587">
        <f t="shared" ca="1" si="152"/>
        <v>0</v>
      </c>
      <c r="AX247" s="1212">
        <f t="shared" ca="1" si="153"/>
        <v>85000</v>
      </c>
      <c r="AY247" s="1213">
        <f t="shared" ca="1" si="154"/>
        <v>3654.9999999999995</v>
      </c>
      <c r="AZ247" s="1587">
        <f t="shared" ca="1" si="155"/>
        <v>0</v>
      </c>
      <c r="BC247" s="1212">
        <f t="shared" ca="1" si="156"/>
        <v>0</v>
      </c>
      <c r="BD247" s="1213">
        <f t="shared" ca="1" si="157"/>
        <v>0</v>
      </c>
      <c r="BE247" s="1587">
        <f t="shared" ca="1" si="158"/>
        <v>0</v>
      </c>
      <c r="BH247" s="1212">
        <f t="shared" ca="1" si="159"/>
        <v>0</v>
      </c>
      <c r="BI247" s="1213">
        <f t="shared" ca="1" si="160"/>
        <v>0</v>
      </c>
      <c r="BJ247" s="1587">
        <f t="shared" ca="1" si="161"/>
        <v>0</v>
      </c>
      <c r="BM247" s="1212">
        <f t="shared" ca="1" si="162"/>
        <v>0</v>
      </c>
      <c r="BN247" s="1213">
        <f t="shared" ca="1" si="163"/>
        <v>0</v>
      </c>
      <c r="BO247" s="1587">
        <f t="shared" ca="1" si="164"/>
        <v>0</v>
      </c>
      <c r="BR247" s="1212">
        <f t="shared" ca="1" si="165"/>
        <v>0</v>
      </c>
      <c r="BS247" s="1213">
        <f t="shared" ca="1" si="166"/>
        <v>0</v>
      </c>
      <c r="BT247" s="1587">
        <f t="shared" ca="1" si="167"/>
        <v>0</v>
      </c>
      <c r="BW247" s="1212">
        <f t="shared" ca="1" si="168"/>
        <v>0</v>
      </c>
      <c r="BX247" s="1213">
        <f t="shared" ca="1" si="169"/>
        <v>0</v>
      </c>
      <c r="BY247" s="1587">
        <f t="shared" ca="1" si="170"/>
        <v>0</v>
      </c>
      <c r="CB247" s="1212">
        <f t="shared" ca="1" si="171"/>
        <v>0</v>
      </c>
      <c r="CC247" s="1213">
        <f t="shared" ca="1" si="172"/>
        <v>0</v>
      </c>
      <c r="CD247" s="1587">
        <f t="shared" ca="1" si="173"/>
        <v>0</v>
      </c>
      <c r="CG247" s="1212">
        <f t="shared" ca="1" si="174"/>
        <v>0</v>
      </c>
      <c r="CH247" s="1213">
        <f t="shared" ca="1" si="175"/>
        <v>0</v>
      </c>
      <c r="CI247" s="1587">
        <f t="shared" ca="1" si="176"/>
        <v>0</v>
      </c>
      <c r="CL247" s="1212">
        <f t="shared" ca="1" si="177"/>
        <v>0</v>
      </c>
      <c r="CM247" s="1213">
        <f t="shared" ca="1" si="178"/>
        <v>0</v>
      </c>
      <c r="CN247" s="1587">
        <f t="shared" ca="1" si="179"/>
        <v>0</v>
      </c>
    </row>
    <row r="248" spans="1:92">
      <c r="A248" s="141" t="str">
        <f>'銀行-TSS'!A248</f>
        <v>US037833EW60</v>
      </c>
      <c r="B248" s="151" t="str">
        <f ca="1">VLOOKUP(A248,'銀行-TSS'!A:B,2,FALSE)</f>
        <v>XH430</v>
      </c>
      <c r="C248" s="151" t="str">
        <f ca="1">VLOOKUP(B248,bond!B:C,2,FALSE)</f>
        <v>蘋果公司美元配息債券 4.85% 2053/5/10</v>
      </c>
      <c r="D248" s="95" t="str">
        <f>VLOOKUP(A248,'銀行-TSS'!A:C,3,FALSE)</f>
        <v>USD</v>
      </c>
      <c r="E248" s="90">
        <f ca="1">VLOOKUP(A248,'銀行-TSS'!A:G,7,FALSE)</f>
        <v>28.85</v>
      </c>
      <c r="F248" s="202">
        <f ca="1">VLOOKUP(A248,'銀行-TSS'!A:H,8,FALSE)</f>
        <v>4.8499999999999995E-2</v>
      </c>
      <c r="G248" s="96">
        <f ca="1">VLOOKUP(A248,'銀行-TSS'!A:K,11,FALSE)</f>
        <v>101.87</v>
      </c>
      <c r="H248" s="1209">
        <f ca="1">VLOOKUP(A248,'銀行-TSS'!A:M,13,FALSE)</f>
        <v>4.7699999999999999E-2</v>
      </c>
      <c r="I248" s="1213">
        <f ca="1">VLOOKUP(A248,'銀行-TSS'!A:N,14,FALSE)</f>
        <v>10000</v>
      </c>
      <c r="J248" s="1213">
        <f ca="1">VLOOKUP(A248,'銀行-TSS'!A:O,15,FALSE)</f>
        <v>1000</v>
      </c>
      <c r="K248" s="136" t="str">
        <f ca="1">VLOOKUP(A248,'銀行-TSS'!A:V,22,FALSE)</f>
        <v>(NPI)非專投</v>
      </c>
      <c r="L248" s="136" t="str">
        <f ca="1">VLOOKUP(A248,'銀行-TSS'!A:AK,37,FALSE)</f>
        <v>有</v>
      </c>
      <c r="M248" s="136" t="str">
        <f ca="1">VLOOKUP(A248,'銀行-TSS'!A:AN,40,FALSE)</f>
        <v/>
      </c>
      <c r="N248" s="136">
        <f t="shared" ca="1" si="135"/>
        <v>1018.7</v>
      </c>
      <c r="O248" s="1213">
        <f t="shared" ca="1" si="136"/>
        <v>10187</v>
      </c>
      <c r="P248" s="1213">
        <f ca="1">IF(AND($O$1&gt;=O248,換券單檔!$D$13=D248),I248+INT(($O$1-O248)/N248)*J248,0)</f>
        <v>94000</v>
      </c>
      <c r="Q248" s="1213">
        <f t="shared" ca="1" si="137"/>
        <v>4558.9999999999991</v>
      </c>
      <c r="R248" s="1213">
        <f t="shared" ca="1" si="138"/>
        <v>0</v>
      </c>
      <c r="S248" s="1213">
        <f t="shared" ca="1" si="139"/>
        <v>0</v>
      </c>
      <c r="T248" s="136">
        <f ca="1">IF(OR(R248=0,A248=0),0,IF(AND(V248=TRUE,換券單檔!$D$13=D248),E248,0))</f>
        <v>0</v>
      </c>
      <c r="U248" s="861">
        <f ca="1">IF(OR(R248=0,A248=0),0,IF(AND(V248=TRUE,換券單檔!$D$13=D248),H248,0))</f>
        <v>0</v>
      </c>
      <c r="V248" s="136" t="b">
        <f ca="1">IF(OR(B248=換券單檔!$D$3,L248="無",M248&lt;&gt;"",K248="高資產",IFERROR(MATCH(B248,換券單檔!K:K,0),"N")&lt;&gt;"N"),FALSE,IF($V$1="All",TRUE,IF(K248=$V$1,TRUE,FALSE)))</f>
        <v>0</v>
      </c>
      <c r="W248" s="136">
        <f ca="1">VLOOKUP(A248,'銀行-TSS'!A:AO,41,FALSE)</f>
        <v>97.67</v>
      </c>
      <c r="X248" s="136">
        <f ca="1">VLOOKUP(A248,'銀行-TSS'!A:AP,42,FALSE)</f>
        <v>15.2515</v>
      </c>
      <c r="Y248" s="1220">
        <f t="shared" ca="1" si="140"/>
        <v>0</v>
      </c>
      <c r="Z248" s="1220">
        <f t="shared" ca="1" si="141"/>
        <v>0</v>
      </c>
      <c r="AA248" s="136">
        <f ca="1">IF(Z248&lt;=0,0,RANK(Z248,Z:Z)+COUNTIF($Z$3:$Z248,Z248)-1)</f>
        <v>0</v>
      </c>
      <c r="AB248" s="1211">
        <f t="shared" ca="1" si="142"/>
        <v>-14896.14</v>
      </c>
      <c r="AC248" s="136">
        <f ca="1">IF(AB248&lt;=0,0,RANK(AB248,AB:AB)+COUNTIF($AB$3:$AB248,AB248)-1)</f>
        <v>0</v>
      </c>
      <c r="AD248" s="1123">
        <f t="shared" ca="1" si="143"/>
        <v>99999</v>
      </c>
      <c r="AE248" s="1123">
        <f ca="1">IF(AD248=99999,0,RANK(AD248,AD:AD,1)+COUNTIF($AD$3:$AD248,AD248)-1)</f>
        <v>0</v>
      </c>
      <c r="AF248" s="86" t="b">
        <f ca="1">IF(OR(M248&lt;&gt;"",L248="無",K248="高資產",IFERROR(MATCH(B248,換券單檔!K:K,0),"N")&lt;&gt;"N"),FALSE,TRUE)</f>
        <v>1</v>
      </c>
      <c r="AI248" s="1212">
        <f t="shared" ca="1" si="144"/>
        <v>94000</v>
      </c>
      <c r="AJ248" s="1213">
        <f t="shared" ca="1" si="145"/>
        <v>4558.9999999999991</v>
      </c>
      <c r="AK248" s="1587">
        <f t="shared" ca="1" si="146"/>
        <v>0</v>
      </c>
      <c r="AN248" s="1212">
        <f t="shared" ca="1" si="147"/>
        <v>54000</v>
      </c>
      <c r="AO248" s="1213">
        <f t="shared" ca="1" si="148"/>
        <v>2618.9999999999995</v>
      </c>
      <c r="AP248" s="1587">
        <f t="shared" ca="1" si="149"/>
        <v>-90912.185441941081</v>
      </c>
      <c r="AS248" s="1212">
        <f t="shared" ca="1" si="150"/>
        <v>92000</v>
      </c>
      <c r="AT248" s="1213">
        <f t="shared" ca="1" si="151"/>
        <v>4461.9999999999991</v>
      </c>
      <c r="AU248" s="1587">
        <f t="shared" ca="1" si="152"/>
        <v>-17217.526863084924</v>
      </c>
      <c r="AX248" s="1212">
        <f t="shared" ca="1" si="153"/>
        <v>85000</v>
      </c>
      <c r="AY248" s="1213">
        <f t="shared" ca="1" si="154"/>
        <v>4122.4999999999991</v>
      </c>
      <c r="AZ248" s="1587">
        <f t="shared" ca="1" si="155"/>
        <v>-30965.472270363956</v>
      </c>
      <c r="BC248" s="1212">
        <f t="shared" ca="1" si="156"/>
        <v>0</v>
      </c>
      <c r="BD248" s="1213">
        <f t="shared" ca="1" si="157"/>
        <v>0</v>
      </c>
      <c r="BE248" s="1587">
        <f t="shared" ca="1" si="158"/>
        <v>0</v>
      </c>
      <c r="BH248" s="1212">
        <f t="shared" ca="1" si="159"/>
        <v>0</v>
      </c>
      <c r="BI248" s="1213">
        <f t="shared" ca="1" si="160"/>
        <v>0</v>
      </c>
      <c r="BJ248" s="1587">
        <f t="shared" ca="1" si="161"/>
        <v>0</v>
      </c>
      <c r="BM248" s="1212">
        <f t="shared" ca="1" si="162"/>
        <v>0</v>
      </c>
      <c r="BN248" s="1213">
        <f t="shared" ca="1" si="163"/>
        <v>0</v>
      </c>
      <c r="BO248" s="1587">
        <f t="shared" ca="1" si="164"/>
        <v>0</v>
      </c>
      <c r="BR248" s="1212">
        <f t="shared" ca="1" si="165"/>
        <v>0</v>
      </c>
      <c r="BS248" s="1213">
        <f t="shared" ca="1" si="166"/>
        <v>0</v>
      </c>
      <c r="BT248" s="1587">
        <f t="shared" ca="1" si="167"/>
        <v>0</v>
      </c>
      <c r="BW248" s="1212">
        <f t="shared" ca="1" si="168"/>
        <v>0</v>
      </c>
      <c r="BX248" s="1213">
        <f t="shared" ca="1" si="169"/>
        <v>0</v>
      </c>
      <c r="BY248" s="1587">
        <f t="shared" ca="1" si="170"/>
        <v>0</v>
      </c>
      <c r="CB248" s="1212">
        <f t="shared" ca="1" si="171"/>
        <v>0</v>
      </c>
      <c r="CC248" s="1213">
        <f t="shared" ca="1" si="172"/>
        <v>0</v>
      </c>
      <c r="CD248" s="1587">
        <f t="shared" ca="1" si="173"/>
        <v>0</v>
      </c>
      <c r="CG248" s="1212">
        <f t="shared" ca="1" si="174"/>
        <v>0</v>
      </c>
      <c r="CH248" s="1213">
        <f t="shared" ca="1" si="175"/>
        <v>0</v>
      </c>
      <c r="CI248" s="1587">
        <f t="shared" ca="1" si="176"/>
        <v>0</v>
      </c>
      <c r="CL248" s="1212">
        <f t="shared" ca="1" si="177"/>
        <v>0</v>
      </c>
      <c r="CM248" s="1213">
        <f t="shared" ca="1" si="178"/>
        <v>0</v>
      </c>
      <c r="CN248" s="1587">
        <f t="shared" ca="1" si="179"/>
        <v>0</v>
      </c>
    </row>
    <row r="249" spans="1:92">
      <c r="A249" s="141" t="str">
        <f>'銀行-TSS'!A249</f>
        <v>US65535HBF55</v>
      </c>
      <c r="B249" s="151" t="str">
        <f ca="1">VLOOKUP(A249,'銀行-TSS'!A:B,2,FALSE)</f>
        <v>XH460</v>
      </c>
      <c r="C249" s="151" t="str">
        <f ca="1">VLOOKUP(B249,bond!B:C,2,FALSE)</f>
        <v>野村控股公司美元配息債券 5.386% 2027/7/6</v>
      </c>
      <c r="D249" s="95" t="str">
        <f>VLOOKUP(A249,'銀行-TSS'!A:C,3,FALSE)</f>
        <v>USD</v>
      </c>
      <c r="E249" s="90">
        <f ca="1">VLOOKUP(A249,'銀行-TSS'!A:G,7,FALSE)</f>
        <v>3.01</v>
      </c>
      <c r="F249" s="202">
        <f ca="1">VLOOKUP(A249,'銀行-TSS'!A:H,8,FALSE)</f>
        <v>5.3859999999999998E-2</v>
      </c>
      <c r="G249" s="96">
        <f ca="1">VLOOKUP(A249,'銀行-TSS'!A:K,11,FALSE)</f>
        <v>103.86</v>
      </c>
      <c r="H249" s="1209">
        <f ca="1">VLOOKUP(A249,'銀行-TSS'!A:M,13,FALSE)</f>
        <v>4.9399999999999999E-2</v>
      </c>
      <c r="I249" s="1213">
        <f ca="1">VLOOKUP(A249,'銀行-TSS'!A:N,14,FALSE)</f>
        <v>200000</v>
      </c>
      <c r="J249" s="1213">
        <f ca="1">VLOOKUP(A249,'銀行-TSS'!A:O,15,FALSE)</f>
        <v>1000</v>
      </c>
      <c r="K249" s="136" t="str">
        <f ca="1">VLOOKUP(A249,'銀行-TSS'!A:V,22,FALSE)</f>
        <v>(PI)專投</v>
      </c>
      <c r="L249" s="136" t="str">
        <f ca="1">VLOOKUP(A249,'銀行-TSS'!A:AK,37,FALSE)</f>
        <v>有</v>
      </c>
      <c r="M249" s="136" t="str">
        <f ca="1">VLOOKUP(A249,'銀行-TSS'!A:AN,40,FALSE)</f>
        <v/>
      </c>
      <c r="N249" s="136">
        <f t="shared" ca="1" si="135"/>
        <v>1038.5999999999999</v>
      </c>
      <c r="O249" s="1213">
        <f t="shared" ca="1" si="136"/>
        <v>207720</v>
      </c>
      <c r="P249" s="1213">
        <f ca="1">IF(AND($O$1&gt;=O249,換券單檔!$D$13=D249),I249+INT(($O$1-O249)/N249)*J249,0)</f>
        <v>0</v>
      </c>
      <c r="Q249" s="1213">
        <f t="shared" ca="1" si="137"/>
        <v>0</v>
      </c>
      <c r="R249" s="1213">
        <f t="shared" ca="1" si="138"/>
        <v>0</v>
      </c>
      <c r="S249" s="1213">
        <f t="shared" ca="1" si="139"/>
        <v>0</v>
      </c>
      <c r="T249" s="136">
        <f ca="1">IF(OR(R249=0,A249=0),0,IF(AND(V249=TRUE,換券單檔!$D$13=D249),E249,0))</f>
        <v>0</v>
      </c>
      <c r="U249" s="861">
        <f ca="1">IF(OR(R249=0,A249=0),0,IF(AND(V249=TRUE,換券單檔!$D$13=D249),H249,0))</f>
        <v>0</v>
      </c>
      <c r="V249" s="136" t="b">
        <f ca="1">IF(OR(B249=換券單檔!$D$3,L249="無",M249&lt;&gt;"",K249="高資產",IFERROR(MATCH(B249,換券單檔!K:K,0),"N")&lt;&gt;"N"),FALSE,IF($V$1="All",TRUE,IF(K249=$V$1,TRUE,FALSE)))</f>
        <v>1</v>
      </c>
      <c r="W249" s="136">
        <f ca="1">VLOOKUP(A249,'銀行-TSS'!A:AO,41,FALSE)</f>
        <v>100.23</v>
      </c>
      <c r="X249" s="136">
        <f ca="1">VLOOKUP(A249,'銀行-TSS'!A:AP,42,FALSE)</f>
        <v>2.6785999999999999</v>
      </c>
      <c r="Y249" s="1220">
        <f t="shared" ca="1" si="140"/>
        <v>0</v>
      </c>
      <c r="Z249" s="1220">
        <f t="shared" ca="1" si="141"/>
        <v>0</v>
      </c>
      <c r="AA249" s="136">
        <f ca="1">IF(Z249&lt;=0,0,RANK(Z249,Z:Z)+COUNTIF($Z$3:$Z249,Z249)-1)</f>
        <v>0</v>
      </c>
      <c r="AB249" s="1211">
        <f t="shared" ca="1" si="142"/>
        <v>-114896.14</v>
      </c>
      <c r="AC249" s="136">
        <f ca="1">IF(AB249&lt;=0,0,RANK(AB249,AB:AB)+COUNTIF($AB$3:$AB249,AB249)-1)</f>
        <v>0</v>
      </c>
      <c r="AD249" s="1123">
        <f t="shared" ca="1" si="143"/>
        <v>99999</v>
      </c>
      <c r="AE249" s="1123">
        <f ca="1">IF(AD249=99999,0,RANK(AD249,AD:AD,1)+COUNTIF($AD$3:$AD249,AD249)-1)</f>
        <v>0</v>
      </c>
      <c r="AF249" s="86" t="b">
        <f ca="1">IF(OR(M249&lt;&gt;"",L249="無",K249="高資產",IFERROR(MATCH(B249,換券單檔!K:K,0),"N")&lt;&gt;"N"),FALSE,TRUE)</f>
        <v>1</v>
      </c>
      <c r="AI249" s="1212">
        <f t="shared" ca="1" si="144"/>
        <v>0</v>
      </c>
      <c r="AJ249" s="1213">
        <f t="shared" ca="1" si="145"/>
        <v>0</v>
      </c>
      <c r="AK249" s="1587">
        <f t="shared" ca="1" si="146"/>
        <v>0</v>
      </c>
      <c r="AN249" s="1212">
        <f t="shared" ca="1" si="147"/>
        <v>0</v>
      </c>
      <c r="AO249" s="1213">
        <f t="shared" ca="1" si="148"/>
        <v>0</v>
      </c>
      <c r="AP249" s="1587">
        <f t="shared" ca="1" si="149"/>
        <v>0</v>
      </c>
      <c r="AS249" s="1212">
        <f t="shared" ca="1" si="150"/>
        <v>0</v>
      </c>
      <c r="AT249" s="1213">
        <f t="shared" ca="1" si="151"/>
        <v>0</v>
      </c>
      <c r="AU249" s="1587">
        <f t="shared" ca="1" si="152"/>
        <v>0</v>
      </c>
      <c r="AX249" s="1212">
        <f t="shared" ca="1" si="153"/>
        <v>0</v>
      </c>
      <c r="AY249" s="1213">
        <f t="shared" ca="1" si="154"/>
        <v>0</v>
      </c>
      <c r="AZ249" s="1587">
        <f t="shared" ca="1" si="155"/>
        <v>0</v>
      </c>
      <c r="BC249" s="1212">
        <f t="shared" ca="1" si="156"/>
        <v>0</v>
      </c>
      <c r="BD249" s="1213">
        <f t="shared" ca="1" si="157"/>
        <v>0</v>
      </c>
      <c r="BE249" s="1587">
        <f t="shared" ca="1" si="158"/>
        <v>0</v>
      </c>
      <c r="BH249" s="1212">
        <f t="shared" ca="1" si="159"/>
        <v>0</v>
      </c>
      <c r="BI249" s="1213">
        <f t="shared" ca="1" si="160"/>
        <v>0</v>
      </c>
      <c r="BJ249" s="1587">
        <f t="shared" ca="1" si="161"/>
        <v>0</v>
      </c>
      <c r="BM249" s="1212">
        <f t="shared" ca="1" si="162"/>
        <v>0</v>
      </c>
      <c r="BN249" s="1213">
        <f t="shared" ca="1" si="163"/>
        <v>0</v>
      </c>
      <c r="BO249" s="1587">
        <f t="shared" ca="1" si="164"/>
        <v>0</v>
      </c>
      <c r="BR249" s="1212">
        <f t="shared" ca="1" si="165"/>
        <v>0</v>
      </c>
      <c r="BS249" s="1213">
        <f t="shared" ca="1" si="166"/>
        <v>0</v>
      </c>
      <c r="BT249" s="1587">
        <f t="shared" ca="1" si="167"/>
        <v>0</v>
      </c>
      <c r="BW249" s="1212">
        <f t="shared" ca="1" si="168"/>
        <v>0</v>
      </c>
      <c r="BX249" s="1213">
        <f t="shared" ca="1" si="169"/>
        <v>0</v>
      </c>
      <c r="BY249" s="1587">
        <f t="shared" ca="1" si="170"/>
        <v>0</v>
      </c>
      <c r="CB249" s="1212">
        <f t="shared" ca="1" si="171"/>
        <v>0</v>
      </c>
      <c r="CC249" s="1213">
        <f t="shared" ca="1" si="172"/>
        <v>0</v>
      </c>
      <c r="CD249" s="1587">
        <f t="shared" ca="1" si="173"/>
        <v>0</v>
      </c>
      <c r="CG249" s="1212">
        <f t="shared" ca="1" si="174"/>
        <v>0</v>
      </c>
      <c r="CH249" s="1213">
        <f t="shared" ca="1" si="175"/>
        <v>0</v>
      </c>
      <c r="CI249" s="1587">
        <f t="shared" ca="1" si="176"/>
        <v>0</v>
      </c>
      <c r="CL249" s="1212">
        <f t="shared" ca="1" si="177"/>
        <v>0</v>
      </c>
      <c r="CM249" s="1213">
        <f t="shared" ca="1" si="178"/>
        <v>0</v>
      </c>
      <c r="CN249" s="1587">
        <f t="shared" ca="1" si="179"/>
        <v>0</v>
      </c>
    </row>
    <row r="250" spans="1:92">
      <c r="A250" s="141" t="str">
        <f>'銀行-TSS'!A250</f>
        <v>US29736RAT77</v>
      </c>
      <c r="B250" s="151" t="str">
        <f ca="1">VLOOKUP(A250,'銀行-TSS'!A:B,2,FALSE)</f>
        <v>XH470</v>
      </c>
      <c r="C250" s="151" t="str">
        <f ca="1">VLOOKUP(B250,bond!B:C,2,FALSE)</f>
        <v>雅詩蘭黛公司美元配息債券 4.65% 2033/5/15</v>
      </c>
      <c r="D250" s="95" t="str">
        <f>VLOOKUP(A250,'銀行-TSS'!A:C,3,FALSE)</f>
        <v>USD</v>
      </c>
      <c r="E250" s="90">
        <f ca="1">VLOOKUP(A250,'銀行-TSS'!A:G,7,FALSE)</f>
        <v>8.8699999999999992</v>
      </c>
      <c r="F250" s="202">
        <f ca="1">VLOOKUP(A250,'銀行-TSS'!A:H,8,FALSE)</f>
        <v>4.6500000000000007E-2</v>
      </c>
      <c r="G250" s="96">
        <f ca="1">VLOOKUP(A250,'銀行-TSS'!A:K,11,FALSE)</f>
        <v>99.78</v>
      </c>
      <c r="H250" s="1209">
        <f ca="1">VLOOKUP(A250,'銀行-TSS'!A:M,13,FALSE)</f>
        <v>4.7699999999999999E-2</v>
      </c>
      <c r="I250" s="1213">
        <f ca="1">VLOOKUP(A250,'銀行-TSS'!A:N,14,FALSE)</f>
        <v>10000</v>
      </c>
      <c r="J250" s="1213">
        <f ca="1">VLOOKUP(A250,'銀行-TSS'!A:O,15,FALSE)</f>
        <v>1000</v>
      </c>
      <c r="K250" s="136" t="str">
        <f ca="1">VLOOKUP(A250,'銀行-TSS'!A:V,22,FALSE)</f>
        <v>(NPI)非專投</v>
      </c>
      <c r="L250" s="136" t="str">
        <f ca="1">VLOOKUP(A250,'銀行-TSS'!A:AK,37,FALSE)</f>
        <v>有</v>
      </c>
      <c r="M250" s="136" t="str">
        <f ca="1">VLOOKUP(A250,'銀行-TSS'!A:AN,40,FALSE)</f>
        <v/>
      </c>
      <c r="N250" s="136">
        <f t="shared" ca="1" si="135"/>
        <v>997.8</v>
      </c>
      <c r="O250" s="1213">
        <f t="shared" ca="1" si="136"/>
        <v>9978</v>
      </c>
      <c r="P250" s="1213">
        <f ca="1">IF(AND($O$1&gt;=O250,換券單檔!$D$13=D250),I250+INT(($O$1-O250)/N250)*J250,0)</f>
        <v>96000</v>
      </c>
      <c r="Q250" s="1213">
        <f t="shared" ca="1" si="137"/>
        <v>4464.0000000000009</v>
      </c>
      <c r="R250" s="1213">
        <f t="shared" ca="1" si="138"/>
        <v>96000</v>
      </c>
      <c r="S250" s="1213">
        <f t="shared" ca="1" si="139"/>
        <v>4464.0000000000009</v>
      </c>
      <c r="T250" s="136">
        <f ca="1">IF(OR(R250=0,A250=0),0,IF(AND(V250=TRUE,換券單檔!$D$13=D250),E250,0))</f>
        <v>8.8699999999999992</v>
      </c>
      <c r="U250" s="861">
        <f ca="1">IF(OR(R250=0,A250=0),0,IF(AND(V250=TRUE,換券單檔!$D$13=D250),H250,0))</f>
        <v>4.7699999999999999E-2</v>
      </c>
      <c r="V250" s="136" t="b">
        <f ca="1">IF(OR(B250=換券單檔!$D$3,L250="無",M250&lt;&gt;"",K250="高資產",IFERROR(MATCH(B250,換券單檔!K:K,0),"N")&lt;&gt;"N"),FALSE,IF($V$1="All",TRUE,IF(K250=$V$1,TRUE,FALSE)))</f>
        <v>1</v>
      </c>
      <c r="W250" s="136">
        <f ca="1">VLOOKUP(A250,'銀行-TSS'!A:AO,41,FALSE)</f>
        <v>97.17</v>
      </c>
      <c r="X250" s="136">
        <f ca="1">VLOOKUP(A250,'銀行-TSS'!A:AP,42,FALSE)</f>
        <v>7.1268000000000002</v>
      </c>
      <c r="Y250" s="1220">
        <f t="shared" ca="1" si="140"/>
        <v>6648.1070976000001</v>
      </c>
      <c r="Z250" s="1220">
        <f t="shared" ca="1" si="141"/>
        <v>-9092.7237880495995</v>
      </c>
      <c r="AA250" s="136">
        <f ca="1">IF(Z250&lt;=0,0,RANK(Z250,Z:Z)+COUNTIF($Z$3:$Z250,Z250)-1)</f>
        <v>0</v>
      </c>
      <c r="AB250" s="1211">
        <f t="shared" ca="1" si="142"/>
        <v>-12248.032902399998</v>
      </c>
      <c r="AC250" s="136">
        <f ca="1">IF(AB250&lt;=0,0,RANK(AB250,AB:AB)+COUNTIF($AB$3:$AB250,AB250)-1)</f>
        <v>0</v>
      </c>
      <c r="AD250" s="1123">
        <f t="shared" ca="1" si="143"/>
        <v>99999</v>
      </c>
      <c r="AE250" s="1123">
        <f ca="1">IF(AD250=99999,0,RANK(AD250,AD:AD,1)+COUNTIF($AD$3:$AD250,AD250)-1)</f>
        <v>0</v>
      </c>
      <c r="AF250" s="86" t="b">
        <f ca="1">IF(OR(M250&lt;&gt;"",L250="無",K250="高資產",IFERROR(MATCH(B250,換券單檔!K:K,0),"N")&lt;&gt;"N"),FALSE,TRUE)</f>
        <v>1</v>
      </c>
      <c r="AI250" s="1212">
        <f t="shared" ca="1" si="144"/>
        <v>96000</v>
      </c>
      <c r="AJ250" s="1213">
        <f t="shared" ca="1" si="145"/>
        <v>4464.0000000000009</v>
      </c>
      <c r="AK250" s="1587">
        <f t="shared" ca="1" si="146"/>
        <v>-9092.7237880495995</v>
      </c>
      <c r="AN250" s="1212">
        <f t="shared" ca="1" si="147"/>
        <v>55000</v>
      </c>
      <c r="AO250" s="1213">
        <f t="shared" ca="1" si="148"/>
        <v>2557.5000000000005</v>
      </c>
      <c r="AP250" s="1587">
        <f t="shared" ca="1" si="149"/>
        <v>-89129.501127395721</v>
      </c>
      <c r="AS250" s="1212">
        <f t="shared" ca="1" si="150"/>
        <v>94000</v>
      </c>
      <c r="AT250" s="1213">
        <f t="shared" ca="1" si="151"/>
        <v>4371.0000000000009</v>
      </c>
      <c r="AU250" s="1587">
        <f t="shared" ca="1" si="152"/>
        <v>0</v>
      </c>
      <c r="AX250" s="1212">
        <f t="shared" ca="1" si="153"/>
        <v>87000</v>
      </c>
      <c r="AY250" s="1213">
        <f t="shared" ca="1" si="154"/>
        <v>4045.5000000000005</v>
      </c>
      <c r="AZ250" s="1587">
        <f t="shared" ca="1" si="155"/>
        <v>-27145.095264937994</v>
      </c>
      <c r="BC250" s="1212">
        <f t="shared" ca="1" si="156"/>
        <v>0</v>
      </c>
      <c r="BD250" s="1213">
        <f t="shared" ca="1" si="157"/>
        <v>0</v>
      </c>
      <c r="BE250" s="1587">
        <f t="shared" ca="1" si="158"/>
        <v>0</v>
      </c>
      <c r="BH250" s="1212">
        <f t="shared" ca="1" si="159"/>
        <v>0</v>
      </c>
      <c r="BI250" s="1213">
        <f t="shared" ca="1" si="160"/>
        <v>0</v>
      </c>
      <c r="BJ250" s="1587">
        <f t="shared" ca="1" si="161"/>
        <v>0</v>
      </c>
      <c r="BM250" s="1212">
        <f t="shared" ca="1" si="162"/>
        <v>0</v>
      </c>
      <c r="BN250" s="1213">
        <f t="shared" ca="1" si="163"/>
        <v>0</v>
      </c>
      <c r="BO250" s="1587">
        <f t="shared" ca="1" si="164"/>
        <v>0</v>
      </c>
      <c r="BR250" s="1212">
        <f t="shared" ca="1" si="165"/>
        <v>0</v>
      </c>
      <c r="BS250" s="1213">
        <f t="shared" ca="1" si="166"/>
        <v>0</v>
      </c>
      <c r="BT250" s="1587">
        <f t="shared" ca="1" si="167"/>
        <v>0</v>
      </c>
      <c r="BW250" s="1212">
        <f t="shared" ca="1" si="168"/>
        <v>0</v>
      </c>
      <c r="BX250" s="1213">
        <f t="shared" ca="1" si="169"/>
        <v>0</v>
      </c>
      <c r="BY250" s="1587">
        <f t="shared" ca="1" si="170"/>
        <v>0</v>
      </c>
      <c r="CB250" s="1212">
        <f t="shared" ca="1" si="171"/>
        <v>0</v>
      </c>
      <c r="CC250" s="1213">
        <f t="shared" ca="1" si="172"/>
        <v>0</v>
      </c>
      <c r="CD250" s="1587">
        <f t="shared" ca="1" si="173"/>
        <v>0</v>
      </c>
      <c r="CG250" s="1212">
        <f t="shared" ca="1" si="174"/>
        <v>0</v>
      </c>
      <c r="CH250" s="1213">
        <f t="shared" ca="1" si="175"/>
        <v>0</v>
      </c>
      <c r="CI250" s="1587">
        <f t="shared" ca="1" si="176"/>
        <v>0</v>
      </c>
      <c r="CL250" s="1212">
        <f t="shared" ca="1" si="177"/>
        <v>0</v>
      </c>
      <c r="CM250" s="1213">
        <f t="shared" ca="1" si="178"/>
        <v>0</v>
      </c>
      <c r="CN250" s="1587">
        <f t="shared" ca="1" si="179"/>
        <v>0</v>
      </c>
    </row>
    <row r="251" spans="1:92">
      <c r="A251" s="141" t="str">
        <f>'銀行-TSS'!A251</f>
        <v>US084664CQ25</v>
      </c>
      <c r="B251" s="151" t="str">
        <f ca="1">VLOOKUP(A251,'銀行-TSS'!A:B,2,FALSE)</f>
        <v>XH480</v>
      </c>
      <c r="C251" s="151" t="str">
        <f ca="1">VLOOKUP(B251,bond!B:C,2,FALSE)</f>
        <v>波克夏海瑟威金融公司美元配息債券 4.2% 2048/8/15</v>
      </c>
      <c r="D251" s="95" t="str">
        <f>VLOOKUP(A251,'銀行-TSS'!A:C,3,FALSE)</f>
        <v>USD</v>
      </c>
      <c r="E251" s="90">
        <f ca="1">VLOOKUP(A251,'銀行-TSS'!A:G,7,FALSE)</f>
        <v>24.12</v>
      </c>
      <c r="F251" s="202">
        <f ca="1">VLOOKUP(A251,'銀行-TSS'!A:H,8,FALSE)</f>
        <v>4.2000000000000003E-2</v>
      </c>
      <c r="G251" s="96">
        <f ca="1">VLOOKUP(A251,'銀行-TSS'!A:K,11,FALSE)</f>
        <v>89.93</v>
      </c>
      <c r="H251" s="1209">
        <f ca="1">VLOOKUP(A251,'銀行-TSS'!A:M,13,FALSE)</f>
        <v>5.04E-2</v>
      </c>
      <c r="I251" s="1213">
        <f ca="1">VLOOKUP(A251,'銀行-TSS'!A:N,14,FALSE)</f>
        <v>10000</v>
      </c>
      <c r="J251" s="1213">
        <f ca="1">VLOOKUP(A251,'銀行-TSS'!A:O,15,FALSE)</f>
        <v>1000</v>
      </c>
      <c r="K251" s="136" t="str">
        <f ca="1">VLOOKUP(A251,'銀行-TSS'!A:V,22,FALSE)</f>
        <v>(NPI)非專投</v>
      </c>
      <c r="L251" s="136" t="str">
        <f ca="1">VLOOKUP(A251,'銀行-TSS'!A:AK,37,FALSE)</f>
        <v>有</v>
      </c>
      <c r="M251" s="136" t="str">
        <f ca="1">VLOOKUP(A251,'銀行-TSS'!A:AN,40,FALSE)</f>
        <v/>
      </c>
      <c r="N251" s="136">
        <f t="shared" ca="1" si="135"/>
        <v>899.3</v>
      </c>
      <c r="O251" s="1213">
        <f t="shared" ca="1" si="136"/>
        <v>8993.0000000000018</v>
      </c>
      <c r="P251" s="1213">
        <f ca="1">IF(AND($O$1&gt;=O251,換券單檔!$D$13=D251),I251+INT(($O$1-O251)/N251)*J251,0)</f>
        <v>107000</v>
      </c>
      <c r="Q251" s="1213">
        <f t="shared" ca="1" si="137"/>
        <v>4494</v>
      </c>
      <c r="R251" s="1213">
        <f t="shared" ca="1" si="138"/>
        <v>107000</v>
      </c>
      <c r="S251" s="1213">
        <f t="shared" ca="1" si="139"/>
        <v>4494</v>
      </c>
      <c r="T251" s="136">
        <f ca="1">IF(OR(R251=0,A251=0),0,IF(AND(V251=TRUE,換券單檔!$D$13=D251),E251,0))</f>
        <v>24.12</v>
      </c>
      <c r="U251" s="861">
        <f ca="1">IF(OR(R251=0,A251=0),0,IF(AND(V251=TRUE,換券單檔!$D$13=D251),H251,0))</f>
        <v>5.04E-2</v>
      </c>
      <c r="V251" s="136" t="b">
        <f ca="1">IF(OR(B251=換券單檔!$D$3,L251="無",M251&lt;&gt;"",K251="高資產",IFERROR(MATCH(B251,換券單檔!K:K,0),"N")&lt;&gt;"N"),FALSE,IF($V$1="All",TRUE,IF(K251=$V$1,TRUE,FALSE)))</f>
        <v>1</v>
      </c>
      <c r="W251" s="136">
        <f ca="1">VLOOKUP(A251,'銀行-TSS'!A:AO,41,FALSE)</f>
        <v>84.83</v>
      </c>
      <c r="X251" s="136">
        <f ca="1">VLOOKUP(A251,'銀行-TSS'!A:AP,42,FALSE)</f>
        <v>14.009600000000001</v>
      </c>
      <c r="Y251" s="1220">
        <f t="shared" ca="1" si="140"/>
        <v>12716.247737600001</v>
      </c>
      <c r="Z251" s="1220">
        <f t="shared" ca="1" si="141"/>
        <v>-900.75290215588461</v>
      </c>
      <c r="AA251" s="136">
        <f ca="1">IF(Z251&lt;=0,0,RANK(Z251,Z:Z)+COUNTIF($Z$3:$Z251,Z251)-1)</f>
        <v>0</v>
      </c>
      <c r="AB251" s="1211">
        <f t="shared" ca="1" si="142"/>
        <v>-2179.8922623999988</v>
      </c>
      <c r="AC251" s="136">
        <f ca="1">IF(AB251&lt;=0,0,RANK(AB251,AB:AB)+COUNTIF($AB$3:$AB251,AB251)-1)</f>
        <v>0</v>
      </c>
      <c r="AD251" s="1123">
        <f t="shared" ca="1" si="143"/>
        <v>99999</v>
      </c>
      <c r="AE251" s="1123">
        <f ca="1">IF(AD251=99999,0,RANK(AD251,AD:AD,1)+COUNTIF($AD$3:$AD251,AD251)-1)</f>
        <v>0</v>
      </c>
      <c r="AF251" s="86" t="b">
        <f ca="1">IF(OR(M251&lt;&gt;"",L251="無",K251="高資產",IFERROR(MATCH(B251,換券單檔!K:K,0),"N")&lt;&gt;"N"),FALSE,TRUE)</f>
        <v>1</v>
      </c>
      <c r="AI251" s="1212">
        <f t="shared" ca="1" si="144"/>
        <v>107000</v>
      </c>
      <c r="AJ251" s="1213">
        <f t="shared" ca="1" si="145"/>
        <v>4494</v>
      </c>
      <c r="AK251" s="1587">
        <f t="shared" ca="1" si="146"/>
        <v>-900.75290215588461</v>
      </c>
      <c r="AN251" s="1212">
        <f t="shared" ca="1" si="147"/>
        <v>61000</v>
      </c>
      <c r="AO251" s="1213">
        <f t="shared" ca="1" si="148"/>
        <v>2562</v>
      </c>
      <c r="AP251" s="1587">
        <f t="shared" ca="1" si="149"/>
        <v>-77083.40298507463</v>
      </c>
      <c r="AS251" s="1212">
        <f t="shared" ca="1" si="150"/>
        <v>105000</v>
      </c>
      <c r="AT251" s="1213">
        <f t="shared" ca="1" si="151"/>
        <v>4410</v>
      </c>
      <c r="AU251" s="1587">
        <f t="shared" ca="1" si="152"/>
        <v>-1262.4336650082919</v>
      </c>
      <c r="AX251" s="1212">
        <f t="shared" ca="1" si="153"/>
        <v>96000</v>
      </c>
      <c r="AY251" s="1213">
        <f t="shared" ca="1" si="154"/>
        <v>4032.0000000000005</v>
      </c>
      <c r="AZ251" s="1587">
        <f t="shared" ca="1" si="155"/>
        <v>-9228.0049751243787</v>
      </c>
      <c r="BC251" s="1212">
        <f t="shared" ca="1" si="156"/>
        <v>0</v>
      </c>
      <c r="BD251" s="1213">
        <f t="shared" ca="1" si="157"/>
        <v>0</v>
      </c>
      <c r="BE251" s="1587">
        <f t="shared" ca="1" si="158"/>
        <v>0</v>
      </c>
      <c r="BH251" s="1212">
        <f t="shared" ca="1" si="159"/>
        <v>0</v>
      </c>
      <c r="BI251" s="1213">
        <f t="shared" ca="1" si="160"/>
        <v>0</v>
      </c>
      <c r="BJ251" s="1587">
        <f t="shared" ca="1" si="161"/>
        <v>0</v>
      </c>
      <c r="BM251" s="1212">
        <f t="shared" ca="1" si="162"/>
        <v>0</v>
      </c>
      <c r="BN251" s="1213">
        <f t="shared" ca="1" si="163"/>
        <v>0</v>
      </c>
      <c r="BO251" s="1587">
        <f t="shared" ca="1" si="164"/>
        <v>0</v>
      </c>
      <c r="BR251" s="1212">
        <f t="shared" ca="1" si="165"/>
        <v>0</v>
      </c>
      <c r="BS251" s="1213">
        <f t="shared" ca="1" si="166"/>
        <v>0</v>
      </c>
      <c r="BT251" s="1587">
        <f t="shared" ca="1" si="167"/>
        <v>0</v>
      </c>
      <c r="BW251" s="1212">
        <f t="shared" ca="1" si="168"/>
        <v>0</v>
      </c>
      <c r="BX251" s="1213">
        <f t="shared" ca="1" si="169"/>
        <v>0</v>
      </c>
      <c r="BY251" s="1587">
        <f t="shared" ca="1" si="170"/>
        <v>0</v>
      </c>
      <c r="CB251" s="1212">
        <f t="shared" ca="1" si="171"/>
        <v>0</v>
      </c>
      <c r="CC251" s="1213">
        <f t="shared" ca="1" si="172"/>
        <v>0</v>
      </c>
      <c r="CD251" s="1587">
        <f t="shared" ca="1" si="173"/>
        <v>0</v>
      </c>
      <c r="CG251" s="1212">
        <f t="shared" ca="1" si="174"/>
        <v>0</v>
      </c>
      <c r="CH251" s="1213">
        <f t="shared" ca="1" si="175"/>
        <v>0</v>
      </c>
      <c r="CI251" s="1587">
        <f t="shared" ca="1" si="176"/>
        <v>0</v>
      </c>
      <c r="CL251" s="1212">
        <f t="shared" ca="1" si="177"/>
        <v>0</v>
      </c>
      <c r="CM251" s="1213">
        <f t="shared" ca="1" si="178"/>
        <v>0</v>
      </c>
      <c r="CN251" s="1587">
        <f t="shared" ca="1" si="179"/>
        <v>0</v>
      </c>
    </row>
    <row r="252" spans="1:92">
      <c r="A252" s="141" t="str">
        <f>'銀行-TSS'!A252</f>
        <v>US88579EAC93</v>
      </c>
      <c r="B252" s="151" t="str">
        <f ca="1">VLOOKUP(A252,'銀行-TSS'!A:B,2,FALSE)</f>
        <v>XH500</v>
      </c>
      <c r="C252" s="151" t="str">
        <f ca="1">VLOOKUP(B252,bond!B:C,2,FALSE)</f>
        <v>3M公司美元配息債券 5.7% 2037/3/15</v>
      </c>
      <c r="D252" s="95" t="str">
        <f>VLOOKUP(A252,'銀行-TSS'!A:C,3,FALSE)</f>
        <v>USD</v>
      </c>
      <c r="E252" s="90">
        <f ca="1">VLOOKUP(A252,'銀行-TSS'!A:G,7,FALSE)</f>
        <v>12.7</v>
      </c>
      <c r="F252" s="202">
        <f ca="1">VLOOKUP(A252,'銀行-TSS'!A:H,8,FALSE)</f>
        <v>5.7000000000000002E-2</v>
      </c>
      <c r="G252" s="96">
        <f ca="1">VLOOKUP(A252,'銀行-TSS'!A:K,11,FALSE)</f>
        <v>108.43</v>
      </c>
      <c r="H252" s="1209">
        <f ca="1">VLOOKUP(A252,'銀行-TSS'!A:M,13,FALSE)</f>
        <v>4.9799999999999997E-2</v>
      </c>
      <c r="I252" s="1213">
        <f ca="1">VLOOKUP(A252,'銀行-TSS'!A:N,14,FALSE)</f>
        <v>10000</v>
      </c>
      <c r="J252" s="1213">
        <f ca="1">VLOOKUP(A252,'銀行-TSS'!A:O,15,FALSE)</f>
        <v>1000</v>
      </c>
      <c r="K252" s="136" t="str">
        <f ca="1">VLOOKUP(A252,'銀行-TSS'!A:V,22,FALSE)</f>
        <v>(NPI)非專投</v>
      </c>
      <c r="L252" s="136" t="str">
        <f ca="1">VLOOKUP(A252,'銀行-TSS'!A:AK,37,FALSE)</f>
        <v>有</v>
      </c>
      <c r="M252" s="136" t="str">
        <f ca="1">VLOOKUP(A252,'銀行-TSS'!A:AN,40,FALSE)</f>
        <v/>
      </c>
      <c r="N252" s="136">
        <f t="shared" ca="1" si="135"/>
        <v>1084.3</v>
      </c>
      <c r="O252" s="1213">
        <f t="shared" ca="1" si="136"/>
        <v>10843</v>
      </c>
      <c r="P252" s="1213">
        <f ca="1">IF(AND($O$1&gt;=O252,換券單檔!$D$13=D252),I252+INT(($O$1-O252)/N252)*J252,0)</f>
        <v>89000</v>
      </c>
      <c r="Q252" s="1213">
        <f t="shared" ca="1" si="137"/>
        <v>5073</v>
      </c>
      <c r="R252" s="1213">
        <f t="shared" ca="1" si="138"/>
        <v>89000</v>
      </c>
      <c r="S252" s="1213">
        <f t="shared" ca="1" si="139"/>
        <v>5073</v>
      </c>
      <c r="T252" s="136">
        <f ca="1">IF(OR(R252=0,A252=0),0,IF(AND(V252=TRUE,換券單檔!$D$13=D252),E252,0))</f>
        <v>12.7</v>
      </c>
      <c r="U252" s="861">
        <f ca="1">IF(OR(R252=0,A252=0),0,IF(AND(V252=TRUE,換券單檔!$D$13=D252),H252,0))</f>
        <v>4.9799999999999997E-2</v>
      </c>
      <c r="V252" s="136" t="b">
        <f ca="1">IF(OR(B252=換券單檔!$D$3,L252="無",M252&lt;&gt;"",K252="高資產",IFERROR(MATCH(B252,換券單檔!K:K,0),"N")&lt;&gt;"N"),FALSE,IF($V$1="All",TRUE,IF(K252=$V$1,TRUE,FALSE)))</f>
        <v>1</v>
      </c>
      <c r="W252" s="136">
        <f ca="1">VLOOKUP(A252,'銀行-TSS'!A:AO,41,FALSE)</f>
        <v>104.74000000000001</v>
      </c>
      <c r="X252" s="136">
        <f ca="1">VLOOKUP(A252,'銀行-TSS'!A:AP,42,FALSE)</f>
        <v>8.9278999999999993</v>
      </c>
      <c r="Y252" s="1220">
        <f t="shared" ca="1" si="140"/>
        <v>8322.4633893999999</v>
      </c>
      <c r="Z252" s="1220">
        <f t="shared" ca="1" si="141"/>
        <v>-21357.338582677163</v>
      </c>
      <c r="AA252" s="136">
        <f ca="1">IF(Z252&lt;=0,0,RANK(Z252,Z:Z)+COUNTIF($Z$3:$Z252,Z252)-1)</f>
        <v>0</v>
      </c>
      <c r="AB252" s="1211">
        <f t="shared" ca="1" si="142"/>
        <v>-17573.6766106</v>
      </c>
      <c r="AC252" s="136">
        <f ca="1">IF(AB252&lt;=0,0,RANK(AB252,AB:AB)+COUNTIF($AB$3:$AB252,AB252)-1)</f>
        <v>0</v>
      </c>
      <c r="AD252" s="1123">
        <f t="shared" ca="1" si="143"/>
        <v>99999</v>
      </c>
      <c r="AE252" s="1123">
        <f ca="1">IF(AD252=99999,0,RANK(AD252,AD:AD,1)+COUNTIF($AD$3:$AD252,AD252)-1)</f>
        <v>0</v>
      </c>
      <c r="AF252" s="86" t="b">
        <f ca="1">IF(OR(M252&lt;&gt;"",L252="無",K252="高資產",IFERROR(MATCH(B252,換券單檔!K:K,0),"N")&lt;&gt;"N"),FALSE,TRUE)</f>
        <v>1</v>
      </c>
      <c r="AI252" s="1212">
        <f t="shared" ca="1" si="144"/>
        <v>89000</v>
      </c>
      <c r="AJ252" s="1213">
        <f t="shared" ca="1" si="145"/>
        <v>5073</v>
      </c>
      <c r="AK252" s="1587">
        <f t="shared" ca="1" si="146"/>
        <v>-21357.338582677163</v>
      </c>
      <c r="AN252" s="1212">
        <f t="shared" ca="1" si="147"/>
        <v>51000</v>
      </c>
      <c r="AO252" s="1213">
        <f t="shared" ca="1" si="148"/>
        <v>2907</v>
      </c>
      <c r="AP252" s="1587">
        <f t="shared" ca="1" si="149"/>
        <v>-96106.598425196848</v>
      </c>
      <c r="AS252" s="1212">
        <f t="shared" ca="1" si="150"/>
        <v>87000</v>
      </c>
      <c r="AT252" s="1213">
        <f t="shared" ca="1" si="151"/>
        <v>4959</v>
      </c>
      <c r="AU252" s="1587">
        <f t="shared" ca="1" si="152"/>
        <v>-25757.921259842518</v>
      </c>
      <c r="AX252" s="1212">
        <f t="shared" ca="1" si="153"/>
        <v>80000</v>
      </c>
      <c r="AY252" s="1213">
        <f t="shared" ca="1" si="154"/>
        <v>4560</v>
      </c>
      <c r="AZ252" s="1587">
        <f t="shared" ca="1" si="155"/>
        <v>-39682.992125984252</v>
      </c>
      <c r="BC252" s="1212">
        <f t="shared" ca="1" si="156"/>
        <v>0</v>
      </c>
      <c r="BD252" s="1213">
        <f t="shared" ca="1" si="157"/>
        <v>0</v>
      </c>
      <c r="BE252" s="1587">
        <f t="shared" ca="1" si="158"/>
        <v>0</v>
      </c>
      <c r="BH252" s="1212">
        <f t="shared" ca="1" si="159"/>
        <v>0</v>
      </c>
      <c r="BI252" s="1213">
        <f t="shared" ca="1" si="160"/>
        <v>0</v>
      </c>
      <c r="BJ252" s="1587">
        <f t="shared" ca="1" si="161"/>
        <v>0</v>
      </c>
      <c r="BM252" s="1212">
        <f t="shared" ca="1" si="162"/>
        <v>0</v>
      </c>
      <c r="BN252" s="1213">
        <f t="shared" ca="1" si="163"/>
        <v>0</v>
      </c>
      <c r="BO252" s="1587">
        <f t="shared" ca="1" si="164"/>
        <v>0</v>
      </c>
      <c r="BR252" s="1212">
        <f t="shared" ca="1" si="165"/>
        <v>0</v>
      </c>
      <c r="BS252" s="1213">
        <f t="shared" ca="1" si="166"/>
        <v>0</v>
      </c>
      <c r="BT252" s="1587">
        <f t="shared" ca="1" si="167"/>
        <v>0</v>
      </c>
      <c r="BW252" s="1212">
        <f t="shared" ca="1" si="168"/>
        <v>0</v>
      </c>
      <c r="BX252" s="1213">
        <f t="shared" ca="1" si="169"/>
        <v>0</v>
      </c>
      <c r="BY252" s="1587">
        <f t="shared" ca="1" si="170"/>
        <v>0</v>
      </c>
      <c r="CB252" s="1212">
        <f t="shared" ca="1" si="171"/>
        <v>0</v>
      </c>
      <c r="CC252" s="1213">
        <f t="shared" ca="1" si="172"/>
        <v>0</v>
      </c>
      <c r="CD252" s="1587">
        <f t="shared" ca="1" si="173"/>
        <v>0</v>
      </c>
      <c r="CG252" s="1212">
        <f t="shared" ca="1" si="174"/>
        <v>0</v>
      </c>
      <c r="CH252" s="1213">
        <f t="shared" ca="1" si="175"/>
        <v>0</v>
      </c>
      <c r="CI252" s="1587">
        <f t="shared" ca="1" si="176"/>
        <v>0</v>
      </c>
      <c r="CL252" s="1212">
        <f t="shared" ca="1" si="177"/>
        <v>0</v>
      </c>
      <c r="CM252" s="1213">
        <f t="shared" ca="1" si="178"/>
        <v>0</v>
      </c>
      <c r="CN252" s="1587">
        <f t="shared" ca="1" si="179"/>
        <v>0</v>
      </c>
    </row>
    <row r="253" spans="1:92">
      <c r="A253" s="141" t="str">
        <f>'銀行-TSS'!A253</f>
        <v>US002824AV29</v>
      </c>
      <c r="B253" s="151" t="str">
        <f ca="1">VLOOKUP(A253,'銀行-TSS'!A:B,2,FALSE)</f>
        <v>XH510</v>
      </c>
      <c r="C253" s="151" t="str">
        <f ca="1">VLOOKUP(B253,bond!B:C,2,FALSE)</f>
        <v>亞培公司美元配息債券 6% 2039/4/1</v>
      </c>
      <c r="D253" s="95" t="str">
        <f>VLOOKUP(A253,'銀行-TSS'!A:C,3,FALSE)</f>
        <v>USD</v>
      </c>
      <c r="E253" s="90">
        <f ca="1">VLOOKUP(A253,'銀行-TSS'!A:G,7,FALSE)</f>
        <v>14.75</v>
      </c>
      <c r="F253" s="202">
        <f ca="1">VLOOKUP(A253,'銀行-TSS'!A:H,8,FALSE)</f>
        <v>0.06</v>
      </c>
      <c r="G253" s="96">
        <f ca="1">VLOOKUP(A253,'銀行-TSS'!A:K,11,FALSE)</f>
        <v>112.97</v>
      </c>
      <c r="H253" s="1209">
        <f ca="1">VLOOKUP(A253,'銀行-TSS'!A:M,13,FALSE)</f>
        <v>4.9000000000000002E-2</v>
      </c>
      <c r="I253" s="1213">
        <f ca="1">VLOOKUP(A253,'銀行-TSS'!A:N,14,FALSE)</f>
        <v>10000</v>
      </c>
      <c r="J253" s="1213">
        <f ca="1">VLOOKUP(A253,'銀行-TSS'!A:O,15,FALSE)</f>
        <v>1000</v>
      </c>
      <c r="K253" s="136" t="str">
        <f ca="1">VLOOKUP(A253,'銀行-TSS'!A:V,22,FALSE)</f>
        <v>(NPI)非專投</v>
      </c>
      <c r="L253" s="136" t="str">
        <f ca="1">VLOOKUP(A253,'銀行-TSS'!A:AK,37,FALSE)</f>
        <v>需查詢</v>
      </c>
      <c r="M253" s="136" t="str">
        <f ca="1">VLOOKUP(A253,'銀行-TSS'!A:AN,40,FALSE)</f>
        <v/>
      </c>
      <c r="N253" s="136">
        <f t="shared" ca="1" si="135"/>
        <v>1129.7</v>
      </c>
      <c r="O253" s="1213">
        <f t="shared" ca="1" si="136"/>
        <v>11297</v>
      </c>
      <c r="P253" s="1213">
        <f ca="1">IF(AND($O$1&gt;=O253,換券單檔!$D$13=D253),I253+INT(($O$1-O253)/N253)*J253,0)</f>
        <v>85000</v>
      </c>
      <c r="Q253" s="1213">
        <f t="shared" ca="1" si="137"/>
        <v>5100</v>
      </c>
      <c r="R253" s="1213">
        <f t="shared" ca="1" si="138"/>
        <v>85000</v>
      </c>
      <c r="S253" s="1213">
        <f t="shared" ca="1" si="139"/>
        <v>5100</v>
      </c>
      <c r="T253" s="136">
        <f ca="1">IF(OR(R253=0,A253=0),0,IF(AND(V253=TRUE,換券單檔!$D$13=D253),E253,0))</f>
        <v>14.75</v>
      </c>
      <c r="U253" s="861">
        <f ca="1">IF(OR(R253=0,A253=0),0,IF(AND(V253=TRUE,換券單檔!$D$13=D253),H253,0))</f>
        <v>4.9000000000000002E-2</v>
      </c>
      <c r="V253" s="136" t="b">
        <f ca="1">IF(OR(B253=換券單檔!$D$3,L253="無",M253&lt;&gt;"",K253="高資產",IFERROR(MATCH(B253,換券單檔!K:K,0),"N")&lt;&gt;"N"),FALSE,IF($V$1="All",TRUE,IF(K253=$V$1,TRUE,FALSE)))</f>
        <v>1</v>
      </c>
      <c r="W253" s="136">
        <f ca="1">VLOOKUP(A253,'銀行-TSS'!A:AO,41,FALSE)</f>
        <v>109.45</v>
      </c>
      <c r="X253" s="136">
        <f ca="1">VLOOKUP(A253,'銀行-TSS'!A:AP,42,FALSE)</f>
        <v>9.8422000000000001</v>
      </c>
      <c r="Y253" s="1220">
        <f t="shared" ca="1" si="140"/>
        <v>9156.4447149999996</v>
      </c>
      <c r="Z253" s="1220">
        <f t="shared" ca="1" si="141"/>
        <v>-29275.423728813555</v>
      </c>
      <c r="AA253" s="136">
        <f ca="1">IF(Z253&lt;=0,0,RANK(Z253,Z:Z)+COUNTIF($Z$3:$Z253,Z253)-1)</f>
        <v>0</v>
      </c>
      <c r="AB253" s="1211">
        <f t="shared" ca="1" si="142"/>
        <v>-20739.695285000002</v>
      </c>
      <c r="AC253" s="136">
        <f ca="1">IF(AB253&lt;=0,0,RANK(AB253,AB:AB)+COUNTIF($AB$3:$AB253,AB253)-1)</f>
        <v>0</v>
      </c>
      <c r="AD253" s="1123">
        <f t="shared" ca="1" si="143"/>
        <v>99999</v>
      </c>
      <c r="AE253" s="1123">
        <f ca="1">IF(AD253=99999,0,RANK(AD253,AD:AD,1)+COUNTIF($AD$3:$AD253,AD253)-1)</f>
        <v>0</v>
      </c>
      <c r="AF253" s="86" t="b">
        <f ca="1">IF(OR(M253&lt;&gt;"",L253="無",K253="高資產",IFERROR(MATCH(B253,換券單檔!K:K,0),"N")&lt;&gt;"N"),FALSE,TRUE)</f>
        <v>1</v>
      </c>
      <c r="AI253" s="1212">
        <f t="shared" ca="1" si="144"/>
        <v>85000</v>
      </c>
      <c r="AJ253" s="1213">
        <f t="shared" ca="1" si="145"/>
        <v>5100</v>
      </c>
      <c r="AK253" s="1587">
        <f t="shared" ca="1" si="146"/>
        <v>-29275.423728813555</v>
      </c>
      <c r="AN253" s="1212">
        <f t="shared" ca="1" si="147"/>
        <v>48000</v>
      </c>
      <c r="AO253" s="1213">
        <f t="shared" ca="1" si="148"/>
        <v>2880</v>
      </c>
      <c r="AP253" s="1587">
        <f t="shared" ca="1" si="149"/>
        <v>-102174.06779661016</v>
      </c>
      <c r="AS253" s="1212">
        <f t="shared" ca="1" si="150"/>
        <v>83000</v>
      </c>
      <c r="AT253" s="1213">
        <f t="shared" ca="1" si="151"/>
        <v>4980</v>
      </c>
      <c r="AU253" s="1587">
        <f t="shared" ca="1" si="152"/>
        <v>-33695.677966101692</v>
      </c>
      <c r="AX253" s="1212">
        <f t="shared" ca="1" si="153"/>
        <v>76000</v>
      </c>
      <c r="AY253" s="1213">
        <f t="shared" ca="1" si="154"/>
        <v>4560</v>
      </c>
      <c r="AZ253" s="1587">
        <f t="shared" ca="1" si="155"/>
        <v>-47681.186440677971</v>
      </c>
      <c r="BC253" s="1212">
        <f t="shared" ca="1" si="156"/>
        <v>0</v>
      </c>
      <c r="BD253" s="1213">
        <f t="shared" ca="1" si="157"/>
        <v>0</v>
      </c>
      <c r="BE253" s="1587">
        <f t="shared" ca="1" si="158"/>
        <v>0</v>
      </c>
      <c r="BH253" s="1212">
        <f t="shared" ca="1" si="159"/>
        <v>0</v>
      </c>
      <c r="BI253" s="1213">
        <f t="shared" ca="1" si="160"/>
        <v>0</v>
      </c>
      <c r="BJ253" s="1587">
        <f t="shared" ca="1" si="161"/>
        <v>0</v>
      </c>
      <c r="BM253" s="1212">
        <f t="shared" ca="1" si="162"/>
        <v>0</v>
      </c>
      <c r="BN253" s="1213">
        <f t="shared" ca="1" si="163"/>
        <v>0</v>
      </c>
      <c r="BO253" s="1587">
        <f t="shared" ca="1" si="164"/>
        <v>0</v>
      </c>
      <c r="BR253" s="1212">
        <f t="shared" ca="1" si="165"/>
        <v>0</v>
      </c>
      <c r="BS253" s="1213">
        <f t="shared" ca="1" si="166"/>
        <v>0</v>
      </c>
      <c r="BT253" s="1587">
        <f t="shared" ca="1" si="167"/>
        <v>0</v>
      </c>
      <c r="BW253" s="1212">
        <f t="shared" ca="1" si="168"/>
        <v>0</v>
      </c>
      <c r="BX253" s="1213">
        <f t="shared" ca="1" si="169"/>
        <v>0</v>
      </c>
      <c r="BY253" s="1587">
        <f t="shared" ca="1" si="170"/>
        <v>0</v>
      </c>
      <c r="CB253" s="1212">
        <f t="shared" ca="1" si="171"/>
        <v>0</v>
      </c>
      <c r="CC253" s="1213">
        <f t="shared" ca="1" si="172"/>
        <v>0</v>
      </c>
      <c r="CD253" s="1587">
        <f t="shared" ca="1" si="173"/>
        <v>0</v>
      </c>
      <c r="CG253" s="1212">
        <f t="shared" ca="1" si="174"/>
        <v>0</v>
      </c>
      <c r="CH253" s="1213">
        <f t="shared" ca="1" si="175"/>
        <v>0</v>
      </c>
      <c r="CI253" s="1587">
        <f t="shared" ca="1" si="176"/>
        <v>0</v>
      </c>
      <c r="CL253" s="1212">
        <f t="shared" ca="1" si="177"/>
        <v>0</v>
      </c>
      <c r="CM253" s="1213">
        <f t="shared" ca="1" si="178"/>
        <v>0</v>
      </c>
      <c r="CN253" s="1587">
        <f t="shared" ca="1" si="179"/>
        <v>0</v>
      </c>
    </row>
    <row r="254" spans="1:92">
      <c r="A254" s="141" t="str">
        <f>'銀行-TSS'!A254</f>
        <v>US172967FX46</v>
      </c>
      <c r="B254" s="151" t="str">
        <f ca="1">VLOOKUP(A254,'銀行-TSS'!A:B,2,FALSE)</f>
        <v>XH520</v>
      </c>
      <c r="C254" s="151" t="str">
        <f ca="1">VLOOKUP(B254,bond!B:C,2,FALSE)</f>
        <v>花旗集團美元配息債券 5.875% 2042/1/30</v>
      </c>
      <c r="D254" s="95" t="str">
        <f>VLOOKUP(A254,'銀行-TSS'!A:C,3,FALSE)</f>
        <v>USD</v>
      </c>
      <c r="E254" s="90">
        <f ca="1">VLOOKUP(A254,'銀行-TSS'!A:G,7,FALSE)</f>
        <v>17.579999999999998</v>
      </c>
      <c r="F254" s="202">
        <f ca="1">VLOOKUP(A254,'銀行-TSS'!A:H,8,FALSE)</f>
        <v>5.8749999999999997E-2</v>
      </c>
      <c r="G254" s="96">
        <f ca="1">VLOOKUP(A254,'銀行-TSS'!A:K,11,FALSE)</f>
        <v>108.44</v>
      </c>
      <c r="H254" s="1209">
        <f ca="1">VLOOKUP(A254,'銀行-TSS'!A:M,13,FALSE)</f>
        <v>5.3499999999999999E-2</v>
      </c>
      <c r="I254" s="1213">
        <f ca="1">VLOOKUP(A254,'銀行-TSS'!A:N,14,FALSE)</f>
        <v>10000</v>
      </c>
      <c r="J254" s="1213">
        <f ca="1">VLOOKUP(A254,'銀行-TSS'!A:O,15,FALSE)</f>
        <v>1000</v>
      </c>
      <c r="K254" s="136" t="str">
        <f ca="1">VLOOKUP(A254,'銀行-TSS'!A:V,22,FALSE)</f>
        <v>(PI)專投</v>
      </c>
      <c r="L254" s="136" t="str">
        <f ca="1">VLOOKUP(A254,'銀行-TSS'!A:AK,37,FALSE)</f>
        <v>有</v>
      </c>
      <c r="M254" s="136" t="str">
        <f ca="1">VLOOKUP(A254,'銀行-TSS'!A:AN,40,FALSE)</f>
        <v/>
      </c>
      <c r="N254" s="136">
        <f t="shared" ca="1" si="135"/>
        <v>1084.4000000000001</v>
      </c>
      <c r="O254" s="1213">
        <f t="shared" ca="1" si="136"/>
        <v>10844</v>
      </c>
      <c r="P254" s="1213">
        <f ca="1">IF(AND($O$1&gt;=O254,換券單檔!$D$13=D254),I254+INT(($O$1-O254)/N254)*J254,0)</f>
        <v>89000</v>
      </c>
      <c r="Q254" s="1213">
        <f t="shared" ca="1" si="137"/>
        <v>5228.75</v>
      </c>
      <c r="R254" s="1213">
        <f t="shared" ca="1" si="138"/>
        <v>89000</v>
      </c>
      <c r="S254" s="1213">
        <f t="shared" ca="1" si="139"/>
        <v>5228.75</v>
      </c>
      <c r="T254" s="136">
        <f ca="1">IF(OR(R254=0,A254=0),0,IF(AND(V254=TRUE,換券單檔!$D$13=D254),E254,0))</f>
        <v>17.579999999999998</v>
      </c>
      <c r="U254" s="861">
        <f ca="1">IF(OR(R254=0,A254=0),0,IF(AND(V254=TRUE,換券單檔!$D$13=D254),H254,0))</f>
        <v>5.3499999999999999E-2</v>
      </c>
      <c r="V254" s="136" t="b">
        <f ca="1">IF(OR(B254=換券單檔!$D$3,L254="無",M254&lt;&gt;"",K254="高資產",IFERROR(MATCH(B254,換券單檔!K:K,0),"N")&lt;&gt;"N"),FALSE,IF($V$1="All",TRUE,IF(K254=$V$1,TRUE,FALSE)))</f>
        <v>1</v>
      </c>
      <c r="W254" s="136">
        <f ca="1">VLOOKUP(A254,'銀行-TSS'!A:AO,41,FALSE)</f>
        <v>103.46</v>
      </c>
      <c r="X254" s="136">
        <f ca="1">VLOOKUP(A254,'銀行-TSS'!A:AP,42,FALSE)</f>
        <v>10.7684</v>
      </c>
      <c r="Y254" s="1220">
        <f t="shared" ca="1" si="140"/>
        <v>9915.4781095999988</v>
      </c>
      <c r="Z254" s="1220">
        <f t="shared" ca="1" si="141"/>
        <v>-20896.066552901022</v>
      </c>
      <c r="AA254" s="136">
        <f ca="1">IF(Z254&lt;=0,0,RANK(Z254,Z:Z)+COUNTIF($Z$3:$Z254,Z254)-1)</f>
        <v>0</v>
      </c>
      <c r="AB254" s="1211">
        <f t="shared" ca="1" si="142"/>
        <v>-15980.661890400001</v>
      </c>
      <c r="AC254" s="136">
        <f ca="1">IF(AB254&lt;=0,0,RANK(AB254,AB:AB)+COUNTIF($AB$3:$AB254,AB254)-1)</f>
        <v>0</v>
      </c>
      <c r="AD254" s="1123">
        <f t="shared" ca="1" si="143"/>
        <v>99999</v>
      </c>
      <c r="AE254" s="1123">
        <f ca="1">IF(AD254=99999,0,RANK(AD254,AD:AD,1)+COUNTIF($AD$3:$AD254,AD254)-1)</f>
        <v>0</v>
      </c>
      <c r="AF254" s="86" t="b">
        <f ca="1">IF(OR(M254&lt;&gt;"",L254="無",K254="高資產",IFERROR(MATCH(B254,換券單檔!K:K,0),"N")&lt;&gt;"N"),FALSE,TRUE)</f>
        <v>1</v>
      </c>
      <c r="AI254" s="1212">
        <f t="shared" ca="1" si="144"/>
        <v>89000</v>
      </c>
      <c r="AJ254" s="1213">
        <f t="shared" ca="1" si="145"/>
        <v>5228.75</v>
      </c>
      <c r="AK254" s="1587">
        <f t="shared" ca="1" si="146"/>
        <v>-20896.066552901022</v>
      </c>
      <c r="AN254" s="1212">
        <f t="shared" ca="1" si="147"/>
        <v>51000</v>
      </c>
      <c r="AO254" s="1213">
        <f t="shared" ca="1" si="148"/>
        <v>2996.25</v>
      </c>
      <c r="AP254" s="1587">
        <f t="shared" ca="1" si="149"/>
        <v>-95824.923208191132</v>
      </c>
      <c r="AS254" s="1212">
        <f t="shared" ca="1" si="150"/>
        <v>87000</v>
      </c>
      <c r="AT254" s="1213">
        <f t="shared" ca="1" si="151"/>
        <v>5111.25</v>
      </c>
      <c r="AU254" s="1587">
        <f t="shared" ca="1" si="152"/>
        <v>-25311.407849829353</v>
      </c>
      <c r="AX254" s="1212">
        <f t="shared" ca="1" si="153"/>
        <v>80000</v>
      </c>
      <c r="AY254" s="1213">
        <f t="shared" ca="1" si="154"/>
        <v>4700</v>
      </c>
      <c r="AZ254" s="1587">
        <f t="shared" ca="1" si="155"/>
        <v>-39271.331058020478</v>
      </c>
      <c r="BC254" s="1212">
        <f t="shared" ca="1" si="156"/>
        <v>0</v>
      </c>
      <c r="BD254" s="1213">
        <f t="shared" ca="1" si="157"/>
        <v>0</v>
      </c>
      <c r="BE254" s="1587">
        <f t="shared" ca="1" si="158"/>
        <v>0</v>
      </c>
      <c r="BH254" s="1212">
        <f t="shared" ca="1" si="159"/>
        <v>0</v>
      </c>
      <c r="BI254" s="1213">
        <f t="shared" ca="1" si="160"/>
        <v>0</v>
      </c>
      <c r="BJ254" s="1587">
        <f t="shared" ca="1" si="161"/>
        <v>0</v>
      </c>
      <c r="BM254" s="1212">
        <f t="shared" ca="1" si="162"/>
        <v>0</v>
      </c>
      <c r="BN254" s="1213">
        <f t="shared" ca="1" si="163"/>
        <v>0</v>
      </c>
      <c r="BO254" s="1587">
        <f t="shared" ca="1" si="164"/>
        <v>0</v>
      </c>
      <c r="BR254" s="1212">
        <f t="shared" ca="1" si="165"/>
        <v>0</v>
      </c>
      <c r="BS254" s="1213">
        <f t="shared" ca="1" si="166"/>
        <v>0</v>
      </c>
      <c r="BT254" s="1587">
        <f t="shared" ca="1" si="167"/>
        <v>0</v>
      </c>
      <c r="BW254" s="1212">
        <f t="shared" ca="1" si="168"/>
        <v>0</v>
      </c>
      <c r="BX254" s="1213">
        <f t="shared" ca="1" si="169"/>
        <v>0</v>
      </c>
      <c r="BY254" s="1587">
        <f t="shared" ca="1" si="170"/>
        <v>0</v>
      </c>
      <c r="CB254" s="1212">
        <f t="shared" ca="1" si="171"/>
        <v>0</v>
      </c>
      <c r="CC254" s="1213">
        <f t="shared" ca="1" si="172"/>
        <v>0</v>
      </c>
      <c r="CD254" s="1587">
        <f t="shared" ca="1" si="173"/>
        <v>0</v>
      </c>
      <c r="CG254" s="1212">
        <f t="shared" ca="1" si="174"/>
        <v>0</v>
      </c>
      <c r="CH254" s="1213">
        <f t="shared" ca="1" si="175"/>
        <v>0</v>
      </c>
      <c r="CI254" s="1587">
        <f t="shared" ca="1" si="176"/>
        <v>0</v>
      </c>
      <c r="CL254" s="1212">
        <f t="shared" ca="1" si="177"/>
        <v>0</v>
      </c>
      <c r="CM254" s="1213">
        <f t="shared" ca="1" si="178"/>
        <v>0</v>
      </c>
      <c r="CN254" s="1587">
        <f t="shared" ca="1" si="179"/>
        <v>0</v>
      </c>
    </row>
    <row r="255" spans="1:92">
      <c r="A255" s="141" t="str">
        <f>'銀行-TSS'!A255</f>
        <v>US172967MD09</v>
      </c>
      <c r="B255" s="151" t="str">
        <f ca="1">VLOOKUP(A255,'銀行-TSS'!A:B,2,FALSE)</f>
        <v>XH530</v>
      </c>
      <c r="C255" s="151" t="str">
        <f ca="1">VLOOKUP(B255,bond!B:C,2,FALSE)</f>
        <v>花旗集團美元配息債券 4.65% 2048/7/23</v>
      </c>
      <c r="D255" s="95" t="str">
        <f>VLOOKUP(A255,'銀行-TSS'!A:C,3,FALSE)</f>
        <v>USD</v>
      </c>
      <c r="E255" s="90">
        <f ca="1">VLOOKUP(A255,'銀行-TSS'!A:G,7,FALSE)</f>
        <v>24.06</v>
      </c>
      <c r="F255" s="202">
        <f ca="1">VLOOKUP(A255,'銀行-TSS'!A:H,8,FALSE)</f>
        <v>4.6500000000000007E-2</v>
      </c>
      <c r="G255" s="96">
        <f ca="1">VLOOKUP(A255,'銀行-TSS'!A:K,11,FALSE)</f>
        <v>93.46</v>
      </c>
      <c r="H255" s="1209">
        <f ca="1">VLOOKUP(A255,'銀行-TSS'!A:M,13,FALSE)</f>
        <v>5.28E-2</v>
      </c>
      <c r="I255" s="1213">
        <f ca="1">VLOOKUP(A255,'銀行-TSS'!A:N,14,FALSE)</f>
        <v>10000</v>
      </c>
      <c r="J255" s="1213">
        <f ca="1">VLOOKUP(A255,'銀行-TSS'!A:O,15,FALSE)</f>
        <v>1000</v>
      </c>
      <c r="K255" s="136" t="str">
        <f ca="1">VLOOKUP(A255,'銀行-TSS'!A:V,22,FALSE)</f>
        <v>(PI)專投</v>
      </c>
      <c r="L255" s="136" t="str">
        <f ca="1">VLOOKUP(A255,'銀行-TSS'!A:AK,37,FALSE)</f>
        <v>有</v>
      </c>
      <c r="M255" s="136" t="str">
        <f ca="1">VLOOKUP(A255,'銀行-TSS'!A:AN,40,FALSE)</f>
        <v/>
      </c>
      <c r="N255" s="136">
        <f t="shared" ca="1" si="135"/>
        <v>934.6</v>
      </c>
      <c r="O255" s="1213">
        <f t="shared" ca="1" si="136"/>
        <v>9345.9999999999982</v>
      </c>
      <c r="P255" s="1213">
        <f ca="1">IF(AND($O$1&gt;=O255,換券單檔!$D$13=D255),I255+INT(($O$1-O255)/N255)*J255,0)</f>
        <v>103000</v>
      </c>
      <c r="Q255" s="1213">
        <f t="shared" ca="1" si="137"/>
        <v>4789.5000000000009</v>
      </c>
      <c r="R255" s="1213">
        <f t="shared" ca="1" si="138"/>
        <v>103000</v>
      </c>
      <c r="S255" s="1213">
        <f t="shared" ca="1" si="139"/>
        <v>4789.5000000000009</v>
      </c>
      <c r="T255" s="136">
        <f ca="1">IF(OR(R255=0,A255=0),0,IF(AND(V255=TRUE,換券單檔!$D$13=D255),E255,0))</f>
        <v>24.06</v>
      </c>
      <c r="U255" s="861">
        <f ca="1">IF(OR(R255=0,A255=0),0,IF(AND(V255=TRUE,換券單檔!$D$13=D255),H255,0))</f>
        <v>5.28E-2</v>
      </c>
      <c r="V255" s="136" t="b">
        <f ca="1">IF(OR(B255=換券單檔!$D$3,L255="無",M255&lt;&gt;"",K255="高資產",IFERROR(MATCH(B255,換券單檔!K:K,0),"N")&lt;&gt;"N"),FALSE,IF($V$1="All",TRUE,IF(K255=$V$1,TRUE,FALSE)))</f>
        <v>1</v>
      </c>
      <c r="W255" s="136">
        <f ca="1">VLOOKUP(A255,'銀行-TSS'!A:AO,41,FALSE)</f>
        <v>87.910000000000011</v>
      </c>
      <c r="X255" s="136">
        <f ca="1">VLOOKUP(A255,'銀行-TSS'!A:AP,42,FALSE)</f>
        <v>13.444699999999999</v>
      </c>
      <c r="Y255" s="1220">
        <f t="shared" ca="1" si="140"/>
        <v>12173.812843100002</v>
      </c>
      <c r="Z255" s="1220">
        <f t="shared" ca="1" si="141"/>
        <v>-115.38403990024403</v>
      </c>
      <c r="AA255" s="136">
        <f ca="1">IF(Z255&lt;=0,0,RANK(Z255,Z:Z)+COUNTIF($Z$3:$Z255,Z255)-1)</f>
        <v>0</v>
      </c>
      <c r="AB255" s="1211">
        <f t="shared" ca="1" si="142"/>
        <v>-2722.3271568999971</v>
      </c>
      <c r="AC255" s="136">
        <f ca="1">IF(AB255&lt;=0,0,RANK(AB255,AB:AB)+COUNTIF($AB$3:$AB255,AB255)-1)</f>
        <v>0</v>
      </c>
      <c r="AD255" s="1123">
        <f t="shared" ca="1" si="143"/>
        <v>99999</v>
      </c>
      <c r="AE255" s="1123">
        <f ca="1">IF(AD255=99999,0,RANK(AD255,AD:AD,1)+COUNTIF($AD$3:$AD255,AD255)-1)</f>
        <v>0</v>
      </c>
      <c r="AF255" s="86" t="b">
        <f ca="1">IF(OR(M255&lt;&gt;"",L255="無",K255="高資產",IFERROR(MATCH(B255,換券單檔!K:K,0),"N")&lt;&gt;"N"),FALSE,TRUE)</f>
        <v>1</v>
      </c>
      <c r="AI255" s="1212">
        <f t="shared" ca="1" si="144"/>
        <v>103000</v>
      </c>
      <c r="AJ255" s="1213">
        <f t="shared" ca="1" si="145"/>
        <v>4789.5000000000009</v>
      </c>
      <c r="AK255" s="1587">
        <f t="shared" ca="1" si="146"/>
        <v>-115.38403990024403</v>
      </c>
      <c r="AN255" s="1212">
        <f t="shared" ca="1" si="147"/>
        <v>59000</v>
      </c>
      <c r="AO255" s="1213">
        <f t="shared" ca="1" si="148"/>
        <v>2743.5000000000005</v>
      </c>
      <c r="AP255" s="1587">
        <f t="shared" ca="1" si="149"/>
        <v>-80550.26683291771</v>
      </c>
      <c r="AS255" s="1212">
        <f t="shared" ca="1" si="150"/>
        <v>101000</v>
      </c>
      <c r="AT255" s="1213">
        <f t="shared" ca="1" si="151"/>
        <v>4696.5000000000009</v>
      </c>
      <c r="AU255" s="1587">
        <f t="shared" ca="1" si="152"/>
        <v>-503.5901911886923</v>
      </c>
      <c r="AX255" s="1212">
        <f t="shared" ca="1" si="153"/>
        <v>92000</v>
      </c>
      <c r="AY255" s="1213">
        <f t="shared" ca="1" si="154"/>
        <v>4278.0000000000009</v>
      </c>
      <c r="AZ255" s="1587">
        <f t="shared" ca="1" si="155"/>
        <v>-16505.276807980052</v>
      </c>
      <c r="BC255" s="1212">
        <f t="shared" ca="1" si="156"/>
        <v>0</v>
      </c>
      <c r="BD255" s="1213">
        <f t="shared" ca="1" si="157"/>
        <v>0</v>
      </c>
      <c r="BE255" s="1587">
        <f t="shared" ca="1" si="158"/>
        <v>0</v>
      </c>
      <c r="BH255" s="1212">
        <f t="shared" ca="1" si="159"/>
        <v>0</v>
      </c>
      <c r="BI255" s="1213">
        <f t="shared" ca="1" si="160"/>
        <v>0</v>
      </c>
      <c r="BJ255" s="1587">
        <f t="shared" ca="1" si="161"/>
        <v>0</v>
      </c>
      <c r="BM255" s="1212">
        <f t="shared" ca="1" si="162"/>
        <v>0</v>
      </c>
      <c r="BN255" s="1213">
        <f t="shared" ca="1" si="163"/>
        <v>0</v>
      </c>
      <c r="BO255" s="1587">
        <f t="shared" ca="1" si="164"/>
        <v>0</v>
      </c>
      <c r="BR255" s="1212">
        <f t="shared" ca="1" si="165"/>
        <v>0</v>
      </c>
      <c r="BS255" s="1213">
        <f t="shared" ca="1" si="166"/>
        <v>0</v>
      </c>
      <c r="BT255" s="1587">
        <f t="shared" ca="1" si="167"/>
        <v>0</v>
      </c>
      <c r="BW255" s="1212">
        <f t="shared" ca="1" si="168"/>
        <v>0</v>
      </c>
      <c r="BX255" s="1213">
        <f t="shared" ca="1" si="169"/>
        <v>0</v>
      </c>
      <c r="BY255" s="1587">
        <f t="shared" ca="1" si="170"/>
        <v>0</v>
      </c>
      <c r="CB255" s="1212">
        <f t="shared" ca="1" si="171"/>
        <v>0</v>
      </c>
      <c r="CC255" s="1213">
        <f t="shared" ca="1" si="172"/>
        <v>0</v>
      </c>
      <c r="CD255" s="1587">
        <f t="shared" ca="1" si="173"/>
        <v>0</v>
      </c>
      <c r="CG255" s="1212">
        <f t="shared" ca="1" si="174"/>
        <v>0</v>
      </c>
      <c r="CH255" s="1213">
        <f t="shared" ca="1" si="175"/>
        <v>0</v>
      </c>
      <c r="CI255" s="1587">
        <f t="shared" ca="1" si="176"/>
        <v>0</v>
      </c>
      <c r="CL255" s="1212">
        <f t="shared" ca="1" si="177"/>
        <v>0</v>
      </c>
      <c r="CM255" s="1213">
        <f t="shared" ca="1" si="178"/>
        <v>0</v>
      </c>
      <c r="CN255" s="1587">
        <f t="shared" ca="1" si="179"/>
        <v>0</v>
      </c>
    </row>
    <row r="256" spans="1:92">
      <c r="A256" s="141" t="str">
        <f>'銀行-TSS'!A256</f>
        <v>AU000XCLWAQ1</v>
      </c>
      <c r="B256" s="151" t="str">
        <f ca="1">VLOOKUP(A256,'銀行-TSS'!A:B,2,FALSE)</f>
        <v>XH540</v>
      </c>
      <c r="C256" s="151" t="str">
        <f ca="1">VLOOKUP(B256,bond!B:C,2,FALSE)</f>
        <v>澳洲政府公債澳幣配息債券 2.75% 2027/11/21</v>
      </c>
      <c r="D256" s="95" t="str">
        <f>VLOOKUP(A256,'銀行-TSS'!A:C,3,FALSE)</f>
        <v>AUD</v>
      </c>
      <c r="E256" s="90">
        <f ca="1">VLOOKUP(A256,'銀行-TSS'!A:G,7,FALSE)</f>
        <v>3.38</v>
      </c>
      <c r="F256" s="202">
        <f ca="1">VLOOKUP(A256,'銀行-TSS'!A:H,8,FALSE)</f>
        <v>2.75E-2</v>
      </c>
      <c r="G256" s="96">
        <f ca="1">VLOOKUP(A256,'銀行-TSS'!A:K,11,FALSE)</f>
        <v>98</v>
      </c>
      <c r="H256" s="1209">
        <f ca="1">VLOOKUP(A256,'銀行-TSS'!A:M,13,FALSE)</f>
        <v>3.4799999999999998E-2</v>
      </c>
      <c r="I256" s="1213">
        <f ca="1">VLOOKUP(A256,'銀行-TSS'!A:N,14,FALSE)</f>
        <v>10000</v>
      </c>
      <c r="J256" s="1213">
        <f ca="1">VLOOKUP(A256,'銀行-TSS'!A:O,15,FALSE)</f>
        <v>1000</v>
      </c>
      <c r="K256" s="136" t="str">
        <f ca="1">VLOOKUP(A256,'銀行-TSS'!A:V,22,FALSE)</f>
        <v>(NPI)非專投</v>
      </c>
      <c r="L256" s="136" t="str">
        <f ca="1">VLOOKUP(A256,'銀行-TSS'!A:AK,37,FALSE)</f>
        <v>有</v>
      </c>
      <c r="M256" s="136" t="str">
        <f ca="1">VLOOKUP(A256,'銀行-TSS'!A:AN,40,FALSE)</f>
        <v/>
      </c>
      <c r="N256" s="136">
        <f t="shared" ca="1" si="135"/>
        <v>980</v>
      </c>
      <c r="O256" s="1213">
        <f t="shared" ca="1" si="136"/>
        <v>9800</v>
      </c>
      <c r="P256" s="1213">
        <f ca="1">IF(AND($O$1&gt;=O256,換券單檔!$D$13=D256),I256+INT(($O$1-O256)/N256)*J256,0)</f>
        <v>0</v>
      </c>
      <c r="Q256" s="1213">
        <f t="shared" ca="1" si="137"/>
        <v>0</v>
      </c>
      <c r="R256" s="1213">
        <f t="shared" ca="1" si="138"/>
        <v>0</v>
      </c>
      <c r="S256" s="1213">
        <f t="shared" ca="1" si="139"/>
        <v>0</v>
      </c>
      <c r="T256" s="136">
        <f ca="1">IF(OR(R256=0,A256=0),0,IF(AND(V256=TRUE,換券單檔!$D$13=D256),E256,0))</f>
        <v>0</v>
      </c>
      <c r="U256" s="861">
        <f ca="1">IF(OR(R256=0,A256=0),0,IF(AND(V256=TRUE,換券單檔!$D$13=D256),H256,0))</f>
        <v>0</v>
      </c>
      <c r="V256" s="136" t="b">
        <f ca="1">IF(OR(B256=換券單檔!$D$3,L256="無",M256&lt;&gt;"",K256="高資產",IFERROR(MATCH(B256,換券單檔!K:K,0),"N")&lt;&gt;"N"),FALSE,IF($V$1="All",TRUE,IF(K256=$V$1,TRUE,FALSE)))</f>
        <v>1</v>
      </c>
      <c r="W256" s="136">
        <f ca="1">VLOOKUP(A256,'銀行-TSS'!A:AO,41,FALSE)</f>
        <v>96.18</v>
      </c>
      <c r="X256" s="136">
        <f ca="1">VLOOKUP(A256,'銀行-TSS'!A:AP,42,FALSE)</f>
        <v>3.1804999999999999</v>
      </c>
      <c r="Y256" s="1220">
        <f t="shared" ca="1" si="140"/>
        <v>0</v>
      </c>
      <c r="Z256" s="1220">
        <f t="shared" ca="1" si="141"/>
        <v>0</v>
      </c>
      <c r="AA256" s="136">
        <f ca="1">IF(Z256&lt;=0,0,RANK(Z256,Z:Z)+COUNTIF($Z$3:$Z256,Z256)-1)</f>
        <v>0</v>
      </c>
      <c r="AB256" s="1211">
        <f t="shared" ca="1" si="142"/>
        <v>-114896.14</v>
      </c>
      <c r="AC256" s="136">
        <f ca="1">IF(AB256&lt;=0,0,RANK(AB256,AB:AB)+COUNTIF($AB$3:$AB256,AB256)-1)</f>
        <v>0</v>
      </c>
      <c r="AD256" s="1123">
        <f t="shared" ca="1" si="143"/>
        <v>99999</v>
      </c>
      <c r="AE256" s="1123">
        <f ca="1">IF(AD256=99999,0,RANK(AD256,AD:AD,1)+COUNTIF($AD$3:$AD256,AD256)-1)</f>
        <v>0</v>
      </c>
      <c r="AF256" s="86" t="b">
        <f ca="1">IF(OR(M256&lt;&gt;"",L256="無",K256="高資產",IFERROR(MATCH(B256,換券單檔!K:K,0),"N")&lt;&gt;"N"),FALSE,TRUE)</f>
        <v>1</v>
      </c>
      <c r="AI256" s="1212">
        <f t="shared" ca="1" si="144"/>
        <v>0</v>
      </c>
      <c r="AJ256" s="1213">
        <f t="shared" ca="1" si="145"/>
        <v>0</v>
      </c>
      <c r="AK256" s="1587">
        <f t="shared" ca="1" si="146"/>
        <v>0</v>
      </c>
      <c r="AN256" s="1212">
        <f t="shared" ca="1" si="147"/>
        <v>0</v>
      </c>
      <c r="AO256" s="1213">
        <f t="shared" ca="1" si="148"/>
        <v>0</v>
      </c>
      <c r="AP256" s="1587">
        <f t="shared" ca="1" si="149"/>
        <v>0</v>
      </c>
      <c r="AS256" s="1212">
        <f t="shared" ca="1" si="150"/>
        <v>0</v>
      </c>
      <c r="AT256" s="1213">
        <f t="shared" ca="1" si="151"/>
        <v>0</v>
      </c>
      <c r="AU256" s="1587">
        <f t="shared" ca="1" si="152"/>
        <v>0</v>
      </c>
      <c r="AX256" s="1212">
        <f t="shared" ca="1" si="153"/>
        <v>0</v>
      </c>
      <c r="AY256" s="1213">
        <f t="shared" ca="1" si="154"/>
        <v>0</v>
      </c>
      <c r="AZ256" s="1587">
        <f t="shared" ca="1" si="155"/>
        <v>0</v>
      </c>
      <c r="BC256" s="1212">
        <f t="shared" ca="1" si="156"/>
        <v>0</v>
      </c>
      <c r="BD256" s="1213">
        <f t="shared" ca="1" si="157"/>
        <v>0</v>
      </c>
      <c r="BE256" s="1587">
        <f t="shared" ca="1" si="158"/>
        <v>0</v>
      </c>
      <c r="BH256" s="1212">
        <f t="shared" ca="1" si="159"/>
        <v>0</v>
      </c>
      <c r="BI256" s="1213">
        <f t="shared" ca="1" si="160"/>
        <v>0</v>
      </c>
      <c r="BJ256" s="1587">
        <f t="shared" ca="1" si="161"/>
        <v>0</v>
      </c>
      <c r="BM256" s="1212">
        <f t="shared" ca="1" si="162"/>
        <v>0</v>
      </c>
      <c r="BN256" s="1213">
        <f t="shared" ca="1" si="163"/>
        <v>0</v>
      </c>
      <c r="BO256" s="1587">
        <f t="shared" ca="1" si="164"/>
        <v>0</v>
      </c>
      <c r="BR256" s="1212">
        <f t="shared" ca="1" si="165"/>
        <v>0</v>
      </c>
      <c r="BS256" s="1213">
        <f t="shared" ca="1" si="166"/>
        <v>0</v>
      </c>
      <c r="BT256" s="1587">
        <f t="shared" ca="1" si="167"/>
        <v>0</v>
      </c>
      <c r="BW256" s="1212">
        <f t="shared" ca="1" si="168"/>
        <v>0</v>
      </c>
      <c r="BX256" s="1213">
        <f t="shared" ca="1" si="169"/>
        <v>0</v>
      </c>
      <c r="BY256" s="1587">
        <f t="shared" ca="1" si="170"/>
        <v>0</v>
      </c>
      <c r="CB256" s="1212">
        <f t="shared" ca="1" si="171"/>
        <v>0</v>
      </c>
      <c r="CC256" s="1213">
        <f t="shared" ca="1" si="172"/>
        <v>0</v>
      </c>
      <c r="CD256" s="1587">
        <f t="shared" ca="1" si="173"/>
        <v>0</v>
      </c>
      <c r="CG256" s="1212">
        <f t="shared" ca="1" si="174"/>
        <v>0</v>
      </c>
      <c r="CH256" s="1213">
        <f t="shared" ca="1" si="175"/>
        <v>0</v>
      </c>
      <c r="CI256" s="1587">
        <f t="shared" ca="1" si="176"/>
        <v>0</v>
      </c>
      <c r="CL256" s="1212">
        <f t="shared" ca="1" si="177"/>
        <v>0</v>
      </c>
      <c r="CM256" s="1213">
        <f t="shared" ca="1" si="178"/>
        <v>0</v>
      </c>
      <c r="CN256" s="1587">
        <f t="shared" ca="1" si="179"/>
        <v>0</v>
      </c>
    </row>
    <row r="257" spans="1:92">
      <c r="A257" s="141" t="str">
        <f>'銀行-TSS'!A257</f>
        <v>AU000XCLWAX7</v>
      </c>
      <c r="B257" s="151" t="str">
        <f ca="1">VLOOKUP(A257,'銀行-TSS'!A:B,2,FALSE)</f>
        <v>XH550</v>
      </c>
      <c r="C257" s="151" t="str">
        <f ca="1">VLOOKUP(B257,bond!B:C,2,FALSE)</f>
        <v>澳洲政府公債澳幣配息債券 2.75% 2029/11/21</v>
      </c>
      <c r="D257" s="95" t="str">
        <f>VLOOKUP(A257,'銀行-TSS'!A:C,3,FALSE)</f>
        <v>AUD</v>
      </c>
      <c r="E257" s="90">
        <f ca="1">VLOOKUP(A257,'銀行-TSS'!A:G,7,FALSE)</f>
        <v>5.39</v>
      </c>
      <c r="F257" s="202">
        <f ca="1">VLOOKUP(A257,'銀行-TSS'!A:H,8,FALSE)</f>
        <v>2.75E-2</v>
      </c>
      <c r="G257" s="96">
        <f ca="1">VLOOKUP(A257,'銀行-TSS'!A:K,11,FALSE)</f>
        <v>96.24</v>
      </c>
      <c r="H257" s="1209">
        <f ca="1">VLOOKUP(A257,'銀行-TSS'!A:M,13,FALSE)</f>
        <v>3.5900000000000001E-2</v>
      </c>
      <c r="I257" s="1213">
        <f ca="1">VLOOKUP(A257,'銀行-TSS'!A:N,14,FALSE)</f>
        <v>10000</v>
      </c>
      <c r="J257" s="1213">
        <f ca="1">VLOOKUP(A257,'銀行-TSS'!A:O,15,FALSE)</f>
        <v>1000</v>
      </c>
      <c r="K257" s="136" t="str">
        <f ca="1">VLOOKUP(A257,'銀行-TSS'!A:V,22,FALSE)</f>
        <v>(NPI)非專投</v>
      </c>
      <c r="L257" s="136" t="str">
        <f ca="1">VLOOKUP(A257,'銀行-TSS'!A:AK,37,FALSE)</f>
        <v>有</v>
      </c>
      <c r="M257" s="136" t="str">
        <f ca="1">VLOOKUP(A257,'銀行-TSS'!A:AN,40,FALSE)</f>
        <v/>
      </c>
      <c r="N257" s="136">
        <f t="shared" ca="1" si="135"/>
        <v>962.4</v>
      </c>
      <c r="O257" s="1213">
        <f t="shared" ca="1" si="136"/>
        <v>9624</v>
      </c>
      <c r="P257" s="1213">
        <f ca="1">IF(AND($O$1&gt;=O257,換券單檔!$D$13=D257),I257+INT(($O$1-O257)/N257)*J257,0)</f>
        <v>0</v>
      </c>
      <c r="Q257" s="1213">
        <f t="shared" ca="1" si="137"/>
        <v>0</v>
      </c>
      <c r="R257" s="1213">
        <f t="shared" ca="1" si="138"/>
        <v>0</v>
      </c>
      <c r="S257" s="1213">
        <f t="shared" ca="1" si="139"/>
        <v>0</v>
      </c>
      <c r="T257" s="136">
        <f ca="1">IF(OR(R257=0,A257=0),0,IF(AND(V257=TRUE,換券單檔!$D$13=D257),E257,0))</f>
        <v>0</v>
      </c>
      <c r="U257" s="861">
        <f ca="1">IF(OR(R257=0,A257=0),0,IF(AND(V257=TRUE,換券單檔!$D$13=D257),H257,0))</f>
        <v>0</v>
      </c>
      <c r="V257" s="136" t="b">
        <f ca="1">IF(OR(B257=換券單檔!$D$3,L257="無",M257&lt;&gt;"",K257="高資產",IFERROR(MATCH(B257,換券單檔!K:K,0),"N")&lt;&gt;"N"),FALSE,IF($V$1="All",TRUE,IF(K257=$V$1,TRUE,FALSE)))</f>
        <v>1</v>
      </c>
      <c r="W257" s="136">
        <f ca="1">VLOOKUP(A257,'銀行-TSS'!A:AO,41,FALSE)</f>
        <v>93.92</v>
      </c>
      <c r="X257" s="136">
        <f ca="1">VLOOKUP(A257,'銀行-TSS'!A:AP,42,FALSE)</f>
        <v>4.9169</v>
      </c>
      <c r="Y257" s="1220">
        <f t="shared" ca="1" si="140"/>
        <v>0</v>
      </c>
      <c r="Z257" s="1220">
        <f t="shared" ca="1" si="141"/>
        <v>0</v>
      </c>
      <c r="AA257" s="136">
        <f ca="1">IF(Z257&lt;=0,0,RANK(Z257,Z:Z)+COUNTIF($Z$3:$Z257,Z257)-1)</f>
        <v>0</v>
      </c>
      <c r="AB257" s="1211">
        <f t="shared" ca="1" si="142"/>
        <v>-114896.14</v>
      </c>
      <c r="AC257" s="136">
        <f ca="1">IF(AB257&lt;=0,0,RANK(AB257,AB:AB)+COUNTIF($AB$3:$AB257,AB257)-1)</f>
        <v>0</v>
      </c>
      <c r="AD257" s="1123">
        <f t="shared" ca="1" si="143"/>
        <v>99999</v>
      </c>
      <c r="AE257" s="1123">
        <f ca="1">IF(AD257=99999,0,RANK(AD257,AD:AD,1)+COUNTIF($AD$3:$AD257,AD257)-1)</f>
        <v>0</v>
      </c>
      <c r="AF257" s="86" t="b">
        <f ca="1">IF(OR(M257&lt;&gt;"",L257="無",K257="高資產",IFERROR(MATCH(B257,換券單檔!K:K,0),"N")&lt;&gt;"N"),FALSE,TRUE)</f>
        <v>1</v>
      </c>
      <c r="AI257" s="1212">
        <f t="shared" ca="1" si="144"/>
        <v>0</v>
      </c>
      <c r="AJ257" s="1213">
        <f t="shared" ca="1" si="145"/>
        <v>0</v>
      </c>
      <c r="AK257" s="1587">
        <f t="shared" ca="1" si="146"/>
        <v>0</v>
      </c>
      <c r="AN257" s="1212">
        <f t="shared" ca="1" si="147"/>
        <v>0</v>
      </c>
      <c r="AO257" s="1213">
        <f t="shared" ca="1" si="148"/>
        <v>0</v>
      </c>
      <c r="AP257" s="1587">
        <f t="shared" ca="1" si="149"/>
        <v>0</v>
      </c>
      <c r="AS257" s="1212">
        <f t="shared" ca="1" si="150"/>
        <v>0</v>
      </c>
      <c r="AT257" s="1213">
        <f t="shared" ca="1" si="151"/>
        <v>0</v>
      </c>
      <c r="AU257" s="1587">
        <f t="shared" ca="1" si="152"/>
        <v>0</v>
      </c>
      <c r="AX257" s="1212">
        <f t="shared" ca="1" si="153"/>
        <v>0</v>
      </c>
      <c r="AY257" s="1213">
        <f t="shared" ca="1" si="154"/>
        <v>0</v>
      </c>
      <c r="AZ257" s="1587">
        <f t="shared" ca="1" si="155"/>
        <v>0</v>
      </c>
      <c r="BC257" s="1212">
        <f t="shared" ca="1" si="156"/>
        <v>0</v>
      </c>
      <c r="BD257" s="1213">
        <f t="shared" ca="1" si="157"/>
        <v>0</v>
      </c>
      <c r="BE257" s="1587">
        <f t="shared" ca="1" si="158"/>
        <v>0</v>
      </c>
      <c r="BH257" s="1212">
        <f t="shared" ca="1" si="159"/>
        <v>0</v>
      </c>
      <c r="BI257" s="1213">
        <f t="shared" ca="1" si="160"/>
        <v>0</v>
      </c>
      <c r="BJ257" s="1587">
        <f t="shared" ca="1" si="161"/>
        <v>0</v>
      </c>
      <c r="BM257" s="1212">
        <f t="shared" ca="1" si="162"/>
        <v>0</v>
      </c>
      <c r="BN257" s="1213">
        <f t="shared" ca="1" si="163"/>
        <v>0</v>
      </c>
      <c r="BO257" s="1587">
        <f t="shared" ca="1" si="164"/>
        <v>0</v>
      </c>
      <c r="BR257" s="1212">
        <f t="shared" ca="1" si="165"/>
        <v>0</v>
      </c>
      <c r="BS257" s="1213">
        <f t="shared" ca="1" si="166"/>
        <v>0</v>
      </c>
      <c r="BT257" s="1587">
        <f t="shared" ca="1" si="167"/>
        <v>0</v>
      </c>
      <c r="BW257" s="1212">
        <f t="shared" ca="1" si="168"/>
        <v>0</v>
      </c>
      <c r="BX257" s="1213">
        <f t="shared" ca="1" si="169"/>
        <v>0</v>
      </c>
      <c r="BY257" s="1587">
        <f t="shared" ca="1" si="170"/>
        <v>0</v>
      </c>
      <c r="CB257" s="1212">
        <f t="shared" ca="1" si="171"/>
        <v>0</v>
      </c>
      <c r="CC257" s="1213">
        <f t="shared" ca="1" si="172"/>
        <v>0</v>
      </c>
      <c r="CD257" s="1587">
        <f t="shared" ca="1" si="173"/>
        <v>0</v>
      </c>
      <c r="CG257" s="1212">
        <f t="shared" ca="1" si="174"/>
        <v>0</v>
      </c>
      <c r="CH257" s="1213">
        <f t="shared" ca="1" si="175"/>
        <v>0</v>
      </c>
      <c r="CI257" s="1587">
        <f t="shared" ca="1" si="176"/>
        <v>0</v>
      </c>
      <c r="CL257" s="1212">
        <f t="shared" ca="1" si="177"/>
        <v>0</v>
      </c>
      <c r="CM257" s="1213">
        <f t="shared" ca="1" si="178"/>
        <v>0</v>
      </c>
      <c r="CN257" s="1587">
        <f t="shared" ca="1" si="179"/>
        <v>0</v>
      </c>
    </row>
    <row r="258" spans="1:92">
      <c r="A258" s="141" t="str">
        <f>'銀行-TSS'!A258</f>
        <v>AU0000013740</v>
      </c>
      <c r="B258" s="151" t="str">
        <f ca="1">VLOOKUP(A258,'銀行-TSS'!A:B,2,FALSE)</f>
        <v>XH560</v>
      </c>
      <c r="C258" s="151" t="str">
        <f ca="1">VLOOKUP(B258,bond!B:C,2,FALSE)</f>
        <v>澳洲政府公債澳幣配息債券 2.5% 2030/5/21</v>
      </c>
      <c r="D258" s="95" t="str">
        <f>VLOOKUP(A258,'銀行-TSS'!A:C,3,FALSE)</f>
        <v>AUD</v>
      </c>
      <c r="E258" s="90">
        <f ca="1">VLOOKUP(A258,'銀行-TSS'!A:G,7,FALSE)</f>
        <v>5.88</v>
      </c>
      <c r="F258" s="202">
        <f ca="1">VLOOKUP(A258,'銀行-TSS'!A:H,8,FALSE)</f>
        <v>2.5000000000000001E-2</v>
      </c>
      <c r="G258" s="96">
        <f ca="1">VLOOKUP(A258,'銀行-TSS'!A:K,11,FALSE)</f>
        <v>94.2</v>
      </c>
      <c r="H258" s="1209">
        <f ca="1">VLOOKUP(A258,'銀行-TSS'!A:M,13,FALSE)</f>
        <v>3.6600000000000001E-2</v>
      </c>
      <c r="I258" s="1213">
        <f ca="1">VLOOKUP(A258,'銀行-TSS'!A:N,14,FALSE)</f>
        <v>10000</v>
      </c>
      <c r="J258" s="1213">
        <f ca="1">VLOOKUP(A258,'銀行-TSS'!A:O,15,FALSE)</f>
        <v>1000</v>
      </c>
      <c r="K258" s="136" t="str">
        <f ca="1">VLOOKUP(A258,'銀行-TSS'!A:V,22,FALSE)</f>
        <v>(NPI)非專投</v>
      </c>
      <c r="L258" s="136" t="str">
        <f ca="1">VLOOKUP(A258,'銀行-TSS'!A:AK,37,FALSE)</f>
        <v>有</v>
      </c>
      <c r="M258" s="136" t="str">
        <f ca="1">VLOOKUP(A258,'銀行-TSS'!A:AN,40,FALSE)</f>
        <v/>
      </c>
      <c r="N258" s="136">
        <f t="shared" ca="1" si="135"/>
        <v>942</v>
      </c>
      <c r="O258" s="1213">
        <f t="shared" ca="1" si="136"/>
        <v>9420</v>
      </c>
      <c r="P258" s="1213">
        <f ca="1">IF(AND($O$1&gt;=O258,換券單檔!$D$13=D258),I258+INT(($O$1-O258)/N258)*J258,0)</f>
        <v>0</v>
      </c>
      <c r="Q258" s="1213">
        <f t="shared" ca="1" si="137"/>
        <v>0</v>
      </c>
      <c r="R258" s="1213">
        <f t="shared" ca="1" si="138"/>
        <v>0</v>
      </c>
      <c r="S258" s="1213">
        <f t="shared" ca="1" si="139"/>
        <v>0</v>
      </c>
      <c r="T258" s="136">
        <f ca="1">IF(OR(R258=0,A258=0),0,IF(AND(V258=TRUE,換券單檔!$D$13=D258),E258,0))</f>
        <v>0</v>
      </c>
      <c r="U258" s="861">
        <f ca="1">IF(OR(R258=0,A258=0),0,IF(AND(V258=TRUE,換券單檔!$D$13=D258),H258,0))</f>
        <v>0</v>
      </c>
      <c r="V258" s="136" t="b">
        <f ca="1">IF(OR(B258=換券單檔!$D$3,L258="無",M258&lt;&gt;"",K258="高資產",IFERROR(MATCH(B258,換券單檔!K:K,0),"N")&lt;&gt;"N"),FALSE,IF($V$1="All",TRUE,IF(K258=$V$1,TRUE,FALSE)))</f>
        <v>1</v>
      </c>
      <c r="W258" s="136">
        <f ca="1">VLOOKUP(A258,'銀行-TSS'!A:AO,41,FALSE)</f>
        <v>91.91</v>
      </c>
      <c r="X258" s="136">
        <f ca="1">VLOOKUP(A258,'銀行-TSS'!A:AP,42,FALSE)</f>
        <v>5.3672000000000004</v>
      </c>
      <c r="Y258" s="1220">
        <f t="shared" ca="1" si="140"/>
        <v>0</v>
      </c>
      <c r="Z258" s="1220">
        <f t="shared" ca="1" si="141"/>
        <v>0</v>
      </c>
      <c r="AA258" s="136">
        <f ca="1">IF(Z258&lt;=0,0,RANK(Z258,Z:Z)+COUNTIF($Z$3:$Z258,Z258)-1)</f>
        <v>0</v>
      </c>
      <c r="AB258" s="1211">
        <f t="shared" ca="1" si="142"/>
        <v>-114896.14</v>
      </c>
      <c r="AC258" s="136">
        <f ca="1">IF(AB258&lt;=0,0,RANK(AB258,AB:AB)+COUNTIF($AB$3:$AB258,AB258)-1)</f>
        <v>0</v>
      </c>
      <c r="AD258" s="1123">
        <f t="shared" ca="1" si="143"/>
        <v>99999</v>
      </c>
      <c r="AE258" s="1123">
        <f ca="1">IF(AD258=99999,0,RANK(AD258,AD:AD,1)+COUNTIF($AD$3:$AD258,AD258)-1)</f>
        <v>0</v>
      </c>
      <c r="AF258" s="86" t="b">
        <f ca="1">IF(OR(M258&lt;&gt;"",L258="無",K258="高資產",IFERROR(MATCH(B258,換券單檔!K:K,0),"N")&lt;&gt;"N"),FALSE,TRUE)</f>
        <v>1</v>
      </c>
      <c r="AI258" s="1212">
        <f t="shared" ca="1" si="144"/>
        <v>0</v>
      </c>
      <c r="AJ258" s="1213">
        <f t="shared" ca="1" si="145"/>
        <v>0</v>
      </c>
      <c r="AK258" s="1587">
        <f t="shared" ca="1" si="146"/>
        <v>0</v>
      </c>
      <c r="AN258" s="1212">
        <f t="shared" ca="1" si="147"/>
        <v>0</v>
      </c>
      <c r="AO258" s="1213">
        <f t="shared" ca="1" si="148"/>
        <v>0</v>
      </c>
      <c r="AP258" s="1587">
        <f t="shared" ca="1" si="149"/>
        <v>0</v>
      </c>
      <c r="AS258" s="1212">
        <f t="shared" ca="1" si="150"/>
        <v>0</v>
      </c>
      <c r="AT258" s="1213">
        <f t="shared" ca="1" si="151"/>
        <v>0</v>
      </c>
      <c r="AU258" s="1587">
        <f t="shared" ca="1" si="152"/>
        <v>0</v>
      </c>
      <c r="AX258" s="1212">
        <f t="shared" ca="1" si="153"/>
        <v>0</v>
      </c>
      <c r="AY258" s="1213">
        <f t="shared" ca="1" si="154"/>
        <v>0</v>
      </c>
      <c r="AZ258" s="1587">
        <f t="shared" ca="1" si="155"/>
        <v>0</v>
      </c>
      <c r="BC258" s="1212">
        <f t="shared" ca="1" si="156"/>
        <v>0</v>
      </c>
      <c r="BD258" s="1213">
        <f t="shared" ca="1" si="157"/>
        <v>0</v>
      </c>
      <c r="BE258" s="1587">
        <f t="shared" ca="1" si="158"/>
        <v>0</v>
      </c>
      <c r="BH258" s="1212">
        <f t="shared" ca="1" si="159"/>
        <v>0</v>
      </c>
      <c r="BI258" s="1213">
        <f t="shared" ca="1" si="160"/>
        <v>0</v>
      </c>
      <c r="BJ258" s="1587">
        <f t="shared" ca="1" si="161"/>
        <v>0</v>
      </c>
      <c r="BM258" s="1212">
        <f t="shared" ca="1" si="162"/>
        <v>0</v>
      </c>
      <c r="BN258" s="1213">
        <f t="shared" ca="1" si="163"/>
        <v>0</v>
      </c>
      <c r="BO258" s="1587">
        <f t="shared" ca="1" si="164"/>
        <v>0</v>
      </c>
      <c r="BR258" s="1212">
        <f t="shared" ca="1" si="165"/>
        <v>0</v>
      </c>
      <c r="BS258" s="1213">
        <f t="shared" ca="1" si="166"/>
        <v>0</v>
      </c>
      <c r="BT258" s="1587">
        <f t="shared" ca="1" si="167"/>
        <v>0</v>
      </c>
      <c r="BW258" s="1212">
        <f t="shared" ca="1" si="168"/>
        <v>0</v>
      </c>
      <c r="BX258" s="1213">
        <f t="shared" ca="1" si="169"/>
        <v>0</v>
      </c>
      <c r="BY258" s="1587">
        <f t="shared" ca="1" si="170"/>
        <v>0</v>
      </c>
      <c r="CB258" s="1212">
        <f t="shared" ca="1" si="171"/>
        <v>0</v>
      </c>
      <c r="CC258" s="1213">
        <f t="shared" ca="1" si="172"/>
        <v>0</v>
      </c>
      <c r="CD258" s="1587">
        <f t="shared" ca="1" si="173"/>
        <v>0</v>
      </c>
      <c r="CG258" s="1212">
        <f t="shared" ca="1" si="174"/>
        <v>0</v>
      </c>
      <c r="CH258" s="1213">
        <f t="shared" ca="1" si="175"/>
        <v>0</v>
      </c>
      <c r="CI258" s="1587">
        <f t="shared" ca="1" si="176"/>
        <v>0</v>
      </c>
      <c r="CL258" s="1212">
        <f t="shared" ca="1" si="177"/>
        <v>0</v>
      </c>
      <c r="CM258" s="1213">
        <f t="shared" ca="1" si="178"/>
        <v>0</v>
      </c>
      <c r="CN258" s="1587">
        <f t="shared" ca="1" si="179"/>
        <v>0</v>
      </c>
    </row>
    <row r="259" spans="1:92">
      <c r="A259" s="141" t="str">
        <f>'銀行-TSS'!A259</f>
        <v>US25470DAD12</v>
      </c>
      <c r="B259" s="151" t="str">
        <f ca="1">VLOOKUP(A259,'銀行-TSS'!A:B,2,FALSE)</f>
        <v>XH570</v>
      </c>
      <c r="C259" s="151" t="str">
        <f ca="1">VLOOKUP(B259,bond!B:C,2,FALSE)</f>
        <v>探索傳播有限責任公司美元配息債券 6.35% 2040/6/1</v>
      </c>
      <c r="D259" s="95" t="str">
        <f>VLOOKUP(A259,'銀行-TSS'!A:C,3,FALSE)</f>
        <v>USD</v>
      </c>
      <c r="E259" s="90">
        <f ca="1">VLOOKUP(A259,'銀行-TSS'!A:G,7,FALSE)</f>
        <v>15.92</v>
      </c>
      <c r="F259" s="202">
        <f ca="1">VLOOKUP(A259,'銀行-TSS'!A:H,8,FALSE)</f>
        <v>6.3500000000000001E-2</v>
      </c>
      <c r="G259" s="96">
        <f ca="1">VLOOKUP(A259,'銀行-TSS'!A:K,11,FALSE)</f>
        <v>98.81</v>
      </c>
      <c r="H259" s="1209">
        <f ca="1">VLOOKUP(A259,'銀行-TSS'!A:M,13,FALSE)</f>
        <v>6.5299999999999997E-2</v>
      </c>
      <c r="I259" s="1213">
        <f ca="1">VLOOKUP(A259,'銀行-TSS'!A:N,14,FALSE)</f>
        <v>10000</v>
      </c>
      <c r="J259" s="1213">
        <f ca="1">VLOOKUP(A259,'銀行-TSS'!A:O,15,FALSE)</f>
        <v>1000</v>
      </c>
      <c r="K259" s="136" t="str">
        <f ca="1">VLOOKUP(A259,'銀行-TSS'!A:V,22,FALSE)</f>
        <v>(PI)專投</v>
      </c>
      <c r="L259" s="136" t="str">
        <f ca="1">VLOOKUP(A259,'銀行-TSS'!A:AK,37,FALSE)</f>
        <v>有</v>
      </c>
      <c r="M259" s="136" t="str">
        <f ca="1">VLOOKUP(A259,'銀行-TSS'!A:AN,40,FALSE)</f>
        <v/>
      </c>
      <c r="N259" s="136">
        <f t="shared" ref="N259:N322" ca="1" si="180">G259*J259/100</f>
        <v>988.1</v>
      </c>
      <c r="O259" s="1213">
        <f t="shared" ref="O259:O322" ca="1" si="181">G259*I259/100</f>
        <v>9881</v>
      </c>
      <c r="P259" s="1213">
        <f ca="1">IF(AND($O$1&gt;=O259,換券單檔!$D$13=D259),I259+INT(($O$1-O259)/N259)*J259,0)</f>
        <v>97000</v>
      </c>
      <c r="Q259" s="1213">
        <f t="shared" ref="Q259:Q322" ca="1" si="182">P259*F259</f>
        <v>6159.5</v>
      </c>
      <c r="R259" s="1213">
        <f t="shared" ref="R259:R322" ca="1" si="183">IF(A259=0,0,IF(V259=FALSE,0,P259))</f>
        <v>97000</v>
      </c>
      <c r="S259" s="1213">
        <f t="shared" ref="S259:S322" ca="1" si="184">IF(A259=0,0,IF(V259=FALSE,0,Q259))</f>
        <v>6159.5</v>
      </c>
      <c r="T259" s="136">
        <f ca="1">IF(OR(R259=0,A259=0),0,IF(AND(V259=TRUE,換券單檔!$D$13=D259),E259,0))</f>
        <v>15.92</v>
      </c>
      <c r="U259" s="861">
        <f ca="1">IF(OR(R259=0,A259=0),0,IF(AND(V259=TRUE,換券單檔!$D$13=D259),H259,0))</f>
        <v>6.5299999999999997E-2</v>
      </c>
      <c r="V259" s="136" t="b">
        <f ca="1">IF(OR(B259=換券單檔!$D$3,L259="無",M259&lt;&gt;"",K259="高資產",IFERROR(MATCH(B259,換券單檔!K:K,0),"N")&lt;&gt;"N"),FALSE,IF($V$1="All",TRUE,IF(K259=$V$1,TRUE,FALSE)))</f>
        <v>1</v>
      </c>
      <c r="W259" s="136">
        <f ca="1">VLOOKUP(A259,'銀行-TSS'!A:AO,41,FALSE)</f>
        <v>96.26</v>
      </c>
      <c r="X259" s="136">
        <f ca="1">VLOOKUP(A259,'銀行-TSS'!A:AP,42,FALSE)</f>
        <v>9.7555999999999994</v>
      </c>
      <c r="Y259" s="1220">
        <f t="shared" ref="Y259:Y322" ca="1" si="185">IF(A259=0,0,IF(V259=FALSE,0,IFERROR(W259/100*P259*X259*1%,0)))</f>
        <v>9109.0183431999994</v>
      </c>
      <c r="Z259" s="1220">
        <f t="shared" ref="Z259:Z322" ca="1" si="186">IF(A259=0,0,IF(V259=FALSE,0,IF(OR(Q259&lt;$Y$1,E259&lt;5)=FALSE,((Q259-$Q$1)*MIN(3,E259)*(1-MIN(1/(2*E259),1))+IF((P259-$P$1)&lt;0,(P259-$P$1)*2,(P259-$P$1)*MIN(1/(2*E259),1))),0)))</f>
        <v>-2194.8825376884397</v>
      </c>
      <c r="AA259" s="136">
        <f ca="1">IF(Z259&lt;=0,0,RANK(Z259,Z:Z)+COUNTIF($Z$3:$Z259,Z259)-1)</f>
        <v>0</v>
      </c>
      <c r="AB259" s="1211">
        <f t="shared" ref="AB259:AB322" ca="1" si="187">IF(A259=0,0,IF(V259=FALSE,0,Y259+IF((P259-$P$1)&lt;0,(P259-$P$1),0)))-$AC$1</f>
        <v>-8787.1216568</v>
      </c>
      <c r="AC259" s="136">
        <f ca="1">IF(AB259&lt;=0,0,RANK(AB259,AB:AB)+COUNTIF($AB$3:$AB259,AB259)-1)</f>
        <v>0</v>
      </c>
      <c r="AD259" s="1123">
        <f t="shared" ref="AD259:AD322" ca="1" si="188">IF(A259=0,99999,IF(OR(V259=FALSE,AA259=0,AC259=0),99999,(AC259+AA259)/2))</f>
        <v>99999</v>
      </c>
      <c r="AE259" s="1123">
        <f ca="1">IF(AD259=99999,0,RANK(AD259,AD:AD,1)+COUNTIF($AD$3:$AD259,AD259)-1)</f>
        <v>0</v>
      </c>
      <c r="AF259" s="86" t="b">
        <f ca="1">IF(OR(M259&lt;&gt;"",L259="無",K259="高資產",IFERROR(MATCH(B259,換券單檔!K:K,0),"N")&lt;&gt;"N"),FALSE,TRUE)</f>
        <v>1</v>
      </c>
      <c r="AI259" s="1212">
        <f t="shared" ref="AI259:AI322" ca="1" si="189">IF($AF259=FALSE,0,IF(AND(AH$2&gt;=$O259,AH$1=$D259),$I259+INT((AH$2-$O259)/$N259)*$J259,0))</f>
        <v>97000</v>
      </c>
      <c r="AJ259" s="1213">
        <f t="shared" ref="AJ259:AJ322" ca="1" si="190">AI259*$F259</f>
        <v>6159.5</v>
      </c>
      <c r="AK259" s="1587">
        <f t="shared" ref="AK259:AK322" ca="1" si="191">IF($A259=0,0,IF(OR($AF259=FALSE,$B259=AG$1),0,IF(OR(AJ259&lt;(AJ$1*0.9),$E259&lt;5)=FALSE,((AJ259-AJ$1)*MIN(3,$E259)*(1-MIN(1/(2*$E259),1))+IF((AI259-AI$1)&lt;0,(AI259-AI$1)*2,(AI259-AI$1)*MIN(1/(2*$E259),1))),0)))</f>
        <v>-2194.8825376884397</v>
      </c>
      <c r="AN259" s="1212">
        <f t="shared" ref="AN259:AN322" ca="1" si="192">IF($AF259=FALSE,0,IF(AND(AM$2&gt;=$O259,AM$1=$D259),$I259+INT((AM$2-$O259)/$N259)*$J259,0))</f>
        <v>55000</v>
      </c>
      <c r="AO259" s="1213">
        <f t="shared" ref="AO259:AO322" ca="1" si="193">AN259*$F259</f>
        <v>3492.5</v>
      </c>
      <c r="AP259" s="1587">
        <f t="shared" ref="AP259:AP322" ca="1" si="194">IF($A259=0,0,IF(OR($AF259=FALSE,$B259=AL$1),0,IF(OR(AO259&lt;(AO$1*0.9),$E259&lt;5)=FALSE,((AO259-AO$1)*MIN(3,$E259)*(1-MIN(1/(2*$E259),1))+IF((AN259-AN$1)&lt;0,(AN259-AN$1)*2,(AN259-AN$1)*MIN(1/(2*$E259),1))),0)))</f>
        <v>-86389.569723618086</v>
      </c>
      <c r="AS259" s="1212">
        <f t="shared" ref="AS259:AS322" ca="1" si="195">IF($AF259=FALSE,0,IF(AND(AR$2&gt;=$O259,AR$1=$D259),$I259+INT((AR$2-$O259)/$N259)*$J259,0))</f>
        <v>95000</v>
      </c>
      <c r="AT259" s="1213">
        <f t="shared" ref="AT259:AT322" ca="1" si="196">AS259*$F259</f>
        <v>6032.5</v>
      </c>
      <c r="AU259" s="1587">
        <f t="shared" ref="AU259:AU322" ca="1" si="197">IF($A259=0,0,IF(OR($AF259=FALSE,$B259=AQ$1),0,IF(OR(AT259&lt;(AT$1*0.9),$E259&lt;5)=FALSE,((AT259-AT$1)*MIN(3,$E259)*(1-MIN(1/(2*$E259),1))+IF((AS259-AS$1)&lt;0,(AS259-AS$1)*2,(AS259-AS$1)*MIN(1/(2*$E259),1))),0)))</f>
        <v>-6636.5609296482417</v>
      </c>
      <c r="AX259" s="1212">
        <f t="shared" ref="AX259:AX322" ca="1" si="198">IF($AF259=FALSE,0,IF(AND(AW$2&gt;=$O259,AW$1=$D259),$I259+INT((AW$2-$O259)/$N259)*$J259,0))</f>
        <v>87000</v>
      </c>
      <c r="AY259" s="1213">
        <f t="shared" ref="AY259:AY322" ca="1" si="199">AX259*$F259</f>
        <v>5524.5</v>
      </c>
      <c r="AZ259" s="1587">
        <f t="shared" ref="AZ259:AZ322" ca="1" si="200">IF($A259=0,0,IF(OR($AF259=FALSE,$B259=AV$1),0,IF(OR(AY259&lt;(AY$1*0.9),$E259&lt;5)=FALSE,((AY259-AY$1)*MIN(3,$E259)*(1-MIN(1/(2*$E259),1))+IF((AX259-AX$1)&lt;0,(AX259-AX$1)*2,(AX259-AX$1)*MIN(1/(2*$E259),1))),0)))</f>
        <v>-22877.74057788945</v>
      </c>
      <c r="BC259" s="1212">
        <f t="shared" ref="BC259:BC322" ca="1" si="201">IF($AF259=FALSE,0,IF(AND(BB$2&gt;=$O259,BB$1=$D259),$I259+INT((BB$2-$O259)/$N259)*$J259,0))</f>
        <v>0</v>
      </c>
      <c r="BD259" s="1213">
        <f t="shared" ref="BD259:BD322" ca="1" si="202">BC259*$F259</f>
        <v>0</v>
      </c>
      <c r="BE259" s="1587">
        <f t="shared" ref="BE259:BE322" ca="1" si="203">IF($A259=0,0,IF(OR($AF259=FALSE,$B259=BA$1),0,IF(OR(BD259&lt;(BD$1*0.9),$E259&lt;5)=FALSE,((BD259-BD$1)*MIN(3,$E259)*(1-MIN(1/(2*$E259),1))+IF((BC259-BC$1)&lt;0,(BC259-BC$1)*2,(BC259-BC$1)*MIN(1/(2*$E259),1))),0)))</f>
        <v>0</v>
      </c>
      <c r="BH259" s="1212">
        <f t="shared" ref="BH259:BH322" ca="1" si="204">IF($AF259=FALSE,0,IF(AND(BG$2&gt;=$O259,BG$1=$D259),$I259+INT((BG$2-$O259)/$N259)*$J259,0))</f>
        <v>0</v>
      </c>
      <c r="BI259" s="1213">
        <f t="shared" ref="BI259:BI322" ca="1" si="205">BH259*$F259</f>
        <v>0</v>
      </c>
      <c r="BJ259" s="1587">
        <f t="shared" ref="BJ259:BJ322" ca="1" si="206">IF($A259=0,0,IF(OR($AF259=FALSE,$B259=BF$1),0,IF(OR(BI259&lt;(BI$1*0.9),$E259&lt;5)=FALSE,((BI259-BI$1)*MIN(3,$E259)*(1-MIN(1/(2*$E259),1))+IF((BH259-BH$1)&lt;0,(BH259-BH$1)*2,(BH259-BH$1)*MIN(1/(2*$E259),1))),0)))</f>
        <v>0</v>
      </c>
      <c r="BM259" s="1212">
        <f t="shared" ref="BM259:BM322" ca="1" si="207">IF($AF259=FALSE,0,IF(AND(BL$2&gt;=$O259,BL$1=$D259),$I259+INT((BL$2-$O259)/$N259)*$J259,0))</f>
        <v>0</v>
      </c>
      <c r="BN259" s="1213">
        <f t="shared" ref="BN259:BN322" ca="1" si="208">BM259*$F259</f>
        <v>0</v>
      </c>
      <c r="BO259" s="1587">
        <f t="shared" ref="BO259:BO322" ca="1" si="209">IF($A259=0,0,IF(OR($AF259=FALSE,$B259=BK$1),0,IF(OR(BN259&lt;(BN$1*0.9),$E259&lt;5)=FALSE,((BN259-BN$1)*MIN(3,$E259)*(1-MIN(1/(2*$E259),1))+IF((BM259-BM$1)&lt;0,(BM259-BM$1)*2,(BM259-BM$1)*MIN(1/(2*$E259),1))),0)))</f>
        <v>0</v>
      </c>
      <c r="BR259" s="1212">
        <f t="shared" ref="BR259:BR322" ca="1" si="210">IF($AF259=FALSE,0,IF(AND(BQ$2&gt;=$O259,BQ$1=$D259),$I259+INT((BQ$2-$O259)/$N259)*$J259,0))</f>
        <v>0</v>
      </c>
      <c r="BS259" s="1213">
        <f t="shared" ref="BS259:BS322" ca="1" si="211">BR259*$F259</f>
        <v>0</v>
      </c>
      <c r="BT259" s="1587">
        <f t="shared" ref="BT259:BT322" ca="1" si="212">IF($A259=0,0,IF(OR($AF259=FALSE,$B259=BP$1),0,IF(OR(BS259&lt;(BS$1*0.9),$E259&lt;5)=FALSE,((BS259-BS$1)*MIN(3,$E259)*(1-MIN(1/(2*$E259),1))+IF((BR259-BR$1)&lt;0,(BR259-BR$1)*2,(BR259-BR$1)*MIN(1/(2*$E259),1))),0)))</f>
        <v>0</v>
      </c>
      <c r="BW259" s="1212">
        <f t="shared" ref="BW259:BW322" ca="1" si="213">IF($AF259=FALSE,0,IF(AND(BV$2&gt;=$O259,BV$1=$D259),$I259+INT((BV$2-$O259)/$N259)*$J259,0))</f>
        <v>0</v>
      </c>
      <c r="BX259" s="1213">
        <f t="shared" ref="BX259:BX322" ca="1" si="214">BW259*$F259</f>
        <v>0</v>
      </c>
      <c r="BY259" s="1587">
        <f t="shared" ref="BY259:BY322" ca="1" si="215">IF($A259=0,0,IF(OR($AF259=FALSE,$B259=BU$1),0,IF(OR(BX259&lt;(BX$1*0.9),$E259&lt;5)=FALSE,((BX259-BX$1)*MIN(3,$E259)*(1-MIN(1/(2*$E259),1))+IF((BW259-BW$1)&lt;0,(BW259-BW$1)*2,(BW259-BW$1)*MIN(1/(2*$E259),1))),0)))</f>
        <v>0</v>
      </c>
      <c r="CB259" s="1212">
        <f t="shared" ref="CB259:CB322" ca="1" si="216">IF($AF259=FALSE,0,IF(AND(CA$2&gt;=$O259,CA$1=$D259),$I259+INT((CA$2-$O259)/$N259)*$J259,0))</f>
        <v>0</v>
      </c>
      <c r="CC259" s="1213">
        <f t="shared" ref="CC259:CC322" ca="1" si="217">CB259*$F259</f>
        <v>0</v>
      </c>
      <c r="CD259" s="1587">
        <f t="shared" ref="CD259:CD322" ca="1" si="218">IF($A259=0,0,IF(OR($AF259=FALSE,$B259=BZ$1),0,IF(OR(CC259&lt;(CC$1*0.9),$E259&lt;5)=FALSE,((CC259-CC$1)*MIN(3,$E259)*(1-MIN(1/(2*$E259),1))+IF((CB259-CB$1)&lt;0,(CB259-CB$1)*2,(CB259-CB$1)*MIN(1/(2*$E259),1))),0)))</f>
        <v>0</v>
      </c>
      <c r="CG259" s="1212">
        <f t="shared" ref="CG259:CG322" ca="1" si="219">IF($AF259=FALSE,0,IF(AND(CF$2&gt;=$O259,CF$1=$D259),$I259+INT((CF$2-$O259)/$N259)*$J259,0))</f>
        <v>0</v>
      </c>
      <c r="CH259" s="1213">
        <f t="shared" ref="CH259:CH322" ca="1" si="220">CG259*$F259</f>
        <v>0</v>
      </c>
      <c r="CI259" s="1587">
        <f t="shared" ref="CI259:CI322" ca="1" si="221">IF($A259=0,0,IF(OR($AF259=FALSE,$B259=CE$1),0,IF(OR(CH259&lt;(CH$1*0.9),$E259&lt;5)=FALSE,((CH259-CH$1)*MIN(3,$E259)*(1-MIN(1/(2*$E259),1))+IF((CG259-CG$1)&lt;0,(CG259-CG$1)*2,(CG259-CG$1)*MIN(1/(2*$E259),1))),0)))</f>
        <v>0</v>
      </c>
      <c r="CL259" s="1212">
        <f t="shared" ref="CL259:CL322" ca="1" si="222">IF($AF259=FALSE,0,IF(AND(CK$2&gt;=$O259,CK$1=$D259),$I259+INT((CK$2-$O259)/$N259)*$J259,0))</f>
        <v>0</v>
      </c>
      <c r="CM259" s="1213">
        <f t="shared" ref="CM259:CM322" ca="1" si="223">CL259*$F259</f>
        <v>0</v>
      </c>
      <c r="CN259" s="1587">
        <f t="shared" ref="CN259:CN322" ca="1" si="224">IF($A259=0,0,IF(OR($AF259=FALSE,$B259=CJ$1),0,IF(OR(CM259&lt;(CM$1*0.9),$E259&lt;5)=FALSE,((CM259-CM$1)*MIN(3,$E259)*(1-MIN(1/(2*$E259),1))+IF((CL259-CL$1)&lt;0,(CL259-CL$1)*2,(CL259-CL$1)*MIN(1/(2*$E259),1))),0)))</f>
        <v>0</v>
      </c>
    </row>
    <row r="260" spans="1:92">
      <c r="A260" s="141" t="str">
        <f>'銀行-TSS'!A260</f>
        <v>US56585AAF93</v>
      </c>
      <c r="B260" s="151" t="str">
        <f ca="1">VLOOKUP(A260,'銀行-TSS'!A:B,2,FALSE)</f>
        <v>XH580</v>
      </c>
      <c r="C260" s="151" t="str">
        <f ca="1">VLOOKUP(B260,bond!B:C,2,FALSE)</f>
        <v>馬拉松石油公司美元配息債券 6.5% 2041/3/1</v>
      </c>
      <c r="D260" s="95" t="str">
        <f>VLOOKUP(A260,'銀行-TSS'!A:C,3,FALSE)</f>
        <v>USD</v>
      </c>
      <c r="E260" s="90">
        <f ca="1">VLOOKUP(A260,'銀行-TSS'!A:G,7,FALSE)</f>
        <v>16.66</v>
      </c>
      <c r="F260" s="202">
        <f ca="1">VLOOKUP(A260,'銀行-TSS'!A:H,8,FALSE)</f>
        <v>6.5000000000000002E-2</v>
      </c>
      <c r="G260" s="96">
        <f ca="1">VLOOKUP(A260,'銀行-TSS'!A:K,11,FALSE)</f>
        <v>109.58</v>
      </c>
      <c r="H260" s="1209">
        <f ca="1">VLOOKUP(A260,'銀行-TSS'!A:M,13,FALSE)</f>
        <v>5.8000000000000003E-2</v>
      </c>
      <c r="I260" s="1213">
        <f ca="1">VLOOKUP(A260,'銀行-TSS'!A:N,14,FALSE)</f>
        <v>10000</v>
      </c>
      <c r="J260" s="1213">
        <f ca="1">VLOOKUP(A260,'銀行-TSS'!A:O,15,FALSE)</f>
        <v>1000</v>
      </c>
      <c r="K260" s="136" t="str">
        <f ca="1">VLOOKUP(A260,'銀行-TSS'!A:V,22,FALSE)</f>
        <v>(PI)專投</v>
      </c>
      <c r="L260" s="136" t="str">
        <f ca="1">VLOOKUP(A260,'銀行-TSS'!A:AK,37,FALSE)</f>
        <v>有</v>
      </c>
      <c r="M260" s="136" t="str">
        <f ca="1">VLOOKUP(A260,'銀行-TSS'!A:AN,40,FALSE)</f>
        <v/>
      </c>
      <c r="N260" s="136">
        <f t="shared" ca="1" si="180"/>
        <v>1095.8</v>
      </c>
      <c r="O260" s="1213">
        <f t="shared" ca="1" si="181"/>
        <v>10958</v>
      </c>
      <c r="P260" s="1213">
        <f ca="1">IF(AND($O$1&gt;=O260,換券單檔!$D$13=D260),I260+INT(($O$1-O260)/N260)*J260,0)</f>
        <v>88000</v>
      </c>
      <c r="Q260" s="1213">
        <f t="shared" ca="1" si="182"/>
        <v>5720</v>
      </c>
      <c r="R260" s="1213">
        <f t="shared" ca="1" si="183"/>
        <v>88000</v>
      </c>
      <c r="S260" s="1213">
        <f t="shared" ca="1" si="184"/>
        <v>5720</v>
      </c>
      <c r="T260" s="136">
        <f ca="1">IF(OR(R260=0,A260=0),0,IF(AND(V260=TRUE,換券單檔!$D$13=D260),E260,0))</f>
        <v>16.66</v>
      </c>
      <c r="U260" s="861">
        <f ca="1">IF(OR(R260=0,A260=0),0,IF(AND(V260=TRUE,換券單檔!$D$13=D260),H260,0))</f>
        <v>5.8000000000000003E-2</v>
      </c>
      <c r="V260" s="136" t="b">
        <f ca="1">IF(OR(B260=換券單檔!$D$3,L260="無",M260&lt;&gt;"",K260="高資產",IFERROR(MATCH(B260,換券單檔!K:K,0),"N")&lt;&gt;"N"),FALSE,IF($V$1="All",TRUE,IF(K260=$V$1,TRUE,FALSE)))</f>
        <v>1</v>
      </c>
      <c r="W260" s="136">
        <f ca="1">VLOOKUP(A260,'銀行-TSS'!A:AO,41,FALSE)</f>
        <v>104.9</v>
      </c>
      <c r="X260" s="136">
        <f ca="1">VLOOKUP(A260,'銀行-TSS'!A:AP,42,FALSE)</f>
        <v>9.8988999999999994</v>
      </c>
      <c r="Y260" s="1220">
        <f t="shared" ca="1" si="185"/>
        <v>9137.8725680000007</v>
      </c>
      <c r="Z260" s="1220">
        <f t="shared" ca="1" si="186"/>
        <v>-21468.331332533009</v>
      </c>
      <c r="AA260" s="136">
        <f ca="1">IF(Z260&lt;=0,0,RANK(Z260,Z:Z)+COUNTIF($Z$3:$Z260,Z260)-1)</f>
        <v>0</v>
      </c>
      <c r="AB260" s="1211">
        <f t="shared" ca="1" si="187"/>
        <v>-17758.267432000001</v>
      </c>
      <c r="AC260" s="136">
        <f ca="1">IF(AB260&lt;=0,0,RANK(AB260,AB:AB)+COUNTIF($AB$3:$AB260,AB260)-1)</f>
        <v>0</v>
      </c>
      <c r="AD260" s="1123">
        <f t="shared" ca="1" si="188"/>
        <v>99999</v>
      </c>
      <c r="AE260" s="1123">
        <f ca="1">IF(AD260=99999,0,RANK(AD260,AD:AD,1)+COUNTIF($AD$3:$AD260,AD260)-1)</f>
        <v>0</v>
      </c>
      <c r="AF260" s="86" t="b">
        <f ca="1">IF(OR(M260&lt;&gt;"",L260="無",K260="高資產",IFERROR(MATCH(B260,換券單檔!K:K,0),"N")&lt;&gt;"N"),FALSE,TRUE)</f>
        <v>1</v>
      </c>
      <c r="AI260" s="1212">
        <f t="shared" ca="1" si="189"/>
        <v>88000</v>
      </c>
      <c r="AJ260" s="1213">
        <f t="shared" ca="1" si="190"/>
        <v>5720</v>
      </c>
      <c r="AK260" s="1587">
        <f t="shared" ca="1" si="191"/>
        <v>-21468.331332533009</v>
      </c>
      <c r="AN260" s="1212">
        <f t="shared" ca="1" si="192"/>
        <v>50000</v>
      </c>
      <c r="AO260" s="1213">
        <f t="shared" ca="1" si="193"/>
        <v>3250</v>
      </c>
      <c r="AP260" s="1587">
        <f t="shared" ca="1" si="194"/>
        <v>-97090.036014405763</v>
      </c>
      <c r="AS260" s="1212">
        <f t="shared" ca="1" si="195"/>
        <v>86000</v>
      </c>
      <c r="AT260" s="1213">
        <f t="shared" ca="1" si="196"/>
        <v>5590</v>
      </c>
      <c r="AU260" s="1587">
        <f t="shared" ca="1" si="197"/>
        <v>-25919.375750300122</v>
      </c>
      <c r="AX260" s="1212">
        <f t="shared" ca="1" si="198"/>
        <v>79000</v>
      </c>
      <c r="AY260" s="1213">
        <f t="shared" ca="1" si="199"/>
        <v>5135</v>
      </c>
      <c r="AZ260" s="1587">
        <f t="shared" ca="1" si="200"/>
        <v>-40006.674669867949</v>
      </c>
      <c r="BC260" s="1212">
        <f t="shared" ca="1" si="201"/>
        <v>0</v>
      </c>
      <c r="BD260" s="1213">
        <f t="shared" ca="1" si="202"/>
        <v>0</v>
      </c>
      <c r="BE260" s="1587">
        <f t="shared" ca="1" si="203"/>
        <v>0</v>
      </c>
      <c r="BH260" s="1212">
        <f t="shared" ca="1" si="204"/>
        <v>0</v>
      </c>
      <c r="BI260" s="1213">
        <f t="shared" ca="1" si="205"/>
        <v>0</v>
      </c>
      <c r="BJ260" s="1587">
        <f t="shared" ca="1" si="206"/>
        <v>0</v>
      </c>
      <c r="BM260" s="1212">
        <f t="shared" ca="1" si="207"/>
        <v>0</v>
      </c>
      <c r="BN260" s="1213">
        <f t="shared" ca="1" si="208"/>
        <v>0</v>
      </c>
      <c r="BO260" s="1587">
        <f t="shared" ca="1" si="209"/>
        <v>0</v>
      </c>
      <c r="BR260" s="1212">
        <f t="shared" ca="1" si="210"/>
        <v>0</v>
      </c>
      <c r="BS260" s="1213">
        <f t="shared" ca="1" si="211"/>
        <v>0</v>
      </c>
      <c r="BT260" s="1587">
        <f t="shared" ca="1" si="212"/>
        <v>0</v>
      </c>
      <c r="BW260" s="1212">
        <f t="shared" ca="1" si="213"/>
        <v>0</v>
      </c>
      <c r="BX260" s="1213">
        <f t="shared" ca="1" si="214"/>
        <v>0</v>
      </c>
      <c r="BY260" s="1587">
        <f t="shared" ca="1" si="215"/>
        <v>0</v>
      </c>
      <c r="CB260" s="1212">
        <f t="shared" ca="1" si="216"/>
        <v>0</v>
      </c>
      <c r="CC260" s="1213">
        <f t="shared" ca="1" si="217"/>
        <v>0</v>
      </c>
      <c r="CD260" s="1587">
        <f t="shared" ca="1" si="218"/>
        <v>0</v>
      </c>
      <c r="CG260" s="1212">
        <f t="shared" ca="1" si="219"/>
        <v>0</v>
      </c>
      <c r="CH260" s="1213">
        <f t="shared" ca="1" si="220"/>
        <v>0</v>
      </c>
      <c r="CI260" s="1587">
        <f t="shared" ca="1" si="221"/>
        <v>0</v>
      </c>
      <c r="CL260" s="1212">
        <f t="shared" ca="1" si="222"/>
        <v>0</v>
      </c>
      <c r="CM260" s="1213">
        <f t="shared" ca="1" si="223"/>
        <v>0</v>
      </c>
      <c r="CN260" s="1587">
        <f t="shared" ca="1" si="224"/>
        <v>0</v>
      </c>
    </row>
    <row r="261" spans="1:92">
      <c r="A261" s="141" t="str">
        <f>'銀行-TSS'!A261</f>
        <v>USF29416AD06</v>
      </c>
      <c r="B261" s="151" t="str">
        <f ca="1">VLOOKUP(A261,'銀行-TSS'!A:B,2,FALSE)</f>
        <v>XH590</v>
      </c>
      <c r="C261" s="151" t="str">
        <f ca="1">VLOOKUP(B261,bond!B:C,2,FALSE)</f>
        <v>法國電力公司美元配息債券 6.9% 2053/5/23</v>
      </c>
      <c r="D261" s="95" t="str">
        <f>VLOOKUP(A261,'銀行-TSS'!A:C,3,FALSE)</f>
        <v>USD</v>
      </c>
      <c r="E261" s="90">
        <f ca="1">VLOOKUP(A261,'銀行-TSS'!A:G,7,FALSE)</f>
        <v>28.89</v>
      </c>
      <c r="F261" s="202">
        <f ca="1">VLOOKUP(A261,'銀行-TSS'!A:H,8,FALSE)</f>
        <v>6.9000000000000006E-2</v>
      </c>
      <c r="G261" s="96">
        <f ca="1">VLOOKUP(A261,'銀行-TSS'!A:K,11,FALSE)</f>
        <v>112.06</v>
      </c>
      <c r="H261" s="1209">
        <f ca="1">VLOOKUP(A261,'銀行-TSS'!A:M,13,FALSE)</f>
        <v>6.0600000000000001E-2</v>
      </c>
      <c r="I261" s="1213">
        <f ca="1">VLOOKUP(A261,'銀行-TSS'!A:N,14,FALSE)</f>
        <v>200000</v>
      </c>
      <c r="J261" s="1213">
        <f ca="1">VLOOKUP(A261,'銀行-TSS'!A:O,15,FALSE)</f>
        <v>1000</v>
      </c>
      <c r="K261" s="136" t="str">
        <f ca="1">VLOOKUP(A261,'銀行-TSS'!A:V,22,FALSE)</f>
        <v>(PI)專投</v>
      </c>
      <c r="L261" s="136" t="str">
        <f ca="1">VLOOKUP(A261,'銀行-TSS'!A:AK,37,FALSE)</f>
        <v>有</v>
      </c>
      <c r="M261" s="136" t="str">
        <f ca="1">VLOOKUP(A261,'銀行-TSS'!A:AN,40,FALSE)</f>
        <v/>
      </c>
      <c r="N261" s="136">
        <f t="shared" ca="1" si="180"/>
        <v>1120.5999999999999</v>
      </c>
      <c r="O261" s="1213">
        <f t="shared" ca="1" si="181"/>
        <v>224120</v>
      </c>
      <c r="P261" s="1213">
        <f ca="1">IF(AND($O$1&gt;=O261,換券單檔!$D$13=D261),I261+INT(($O$1-O261)/N261)*J261,0)</f>
        <v>0</v>
      </c>
      <c r="Q261" s="1213">
        <f t="shared" ca="1" si="182"/>
        <v>0</v>
      </c>
      <c r="R261" s="1213">
        <f t="shared" ca="1" si="183"/>
        <v>0</v>
      </c>
      <c r="S261" s="1213">
        <f t="shared" ca="1" si="184"/>
        <v>0</v>
      </c>
      <c r="T261" s="136">
        <f ca="1">IF(OR(R261=0,A261=0),0,IF(AND(V261=TRUE,換券單檔!$D$13=D261),E261,0))</f>
        <v>0</v>
      </c>
      <c r="U261" s="861">
        <f ca="1">IF(OR(R261=0,A261=0),0,IF(AND(V261=TRUE,換券單檔!$D$13=D261),H261,0))</f>
        <v>0</v>
      </c>
      <c r="V261" s="136" t="b">
        <f ca="1">IF(OR(B261=換券單檔!$D$3,L261="無",M261&lt;&gt;"",K261="高資產",IFERROR(MATCH(B261,換券單檔!K:K,0),"N")&lt;&gt;"N"),FALSE,IF($V$1="All",TRUE,IF(K261=$V$1,TRUE,FALSE)))</f>
        <v>1</v>
      </c>
      <c r="W261" s="136">
        <f ca="1">VLOOKUP(A261,'銀行-TSS'!A:AO,41,FALSE)</f>
        <v>107.81</v>
      </c>
      <c r="X261" s="136">
        <f ca="1">VLOOKUP(A261,'銀行-TSS'!A:AP,42,FALSE)</f>
        <v>12.886699999999999</v>
      </c>
      <c r="Y261" s="1220">
        <f t="shared" ca="1" si="185"/>
        <v>0</v>
      </c>
      <c r="Z261" s="1220">
        <f t="shared" ca="1" si="186"/>
        <v>0</v>
      </c>
      <c r="AA261" s="136">
        <f ca="1">IF(Z261&lt;=0,0,RANK(Z261,Z:Z)+COUNTIF($Z$3:$Z261,Z261)-1)</f>
        <v>0</v>
      </c>
      <c r="AB261" s="1211">
        <f t="shared" ca="1" si="187"/>
        <v>-114896.14</v>
      </c>
      <c r="AC261" s="136">
        <f ca="1">IF(AB261&lt;=0,0,RANK(AB261,AB:AB)+COUNTIF($AB$3:$AB261,AB261)-1)</f>
        <v>0</v>
      </c>
      <c r="AD261" s="1123">
        <f t="shared" ca="1" si="188"/>
        <v>99999</v>
      </c>
      <c r="AE261" s="1123">
        <f ca="1">IF(AD261=99999,0,RANK(AD261,AD:AD,1)+COUNTIF($AD$3:$AD261,AD261)-1)</f>
        <v>0</v>
      </c>
      <c r="AF261" s="86" t="b">
        <f ca="1">IF(OR(M261&lt;&gt;"",L261="無",K261="高資產",IFERROR(MATCH(B261,換券單檔!K:K,0),"N")&lt;&gt;"N"),FALSE,TRUE)</f>
        <v>1</v>
      </c>
      <c r="AI261" s="1212">
        <f t="shared" ca="1" si="189"/>
        <v>0</v>
      </c>
      <c r="AJ261" s="1213">
        <f t="shared" ca="1" si="190"/>
        <v>0</v>
      </c>
      <c r="AK261" s="1587">
        <f t="shared" ca="1" si="191"/>
        <v>0</v>
      </c>
      <c r="AN261" s="1212">
        <f t="shared" ca="1" si="192"/>
        <v>0</v>
      </c>
      <c r="AO261" s="1213">
        <f t="shared" ca="1" si="193"/>
        <v>0</v>
      </c>
      <c r="AP261" s="1587">
        <f t="shared" ca="1" si="194"/>
        <v>0</v>
      </c>
      <c r="AS261" s="1212">
        <f t="shared" ca="1" si="195"/>
        <v>0</v>
      </c>
      <c r="AT261" s="1213">
        <f t="shared" ca="1" si="196"/>
        <v>0</v>
      </c>
      <c r="AU261" s="1587">
        <f t="shared" ca="1" si="197"/>
        <v>0</v>
      </c>
      <c r="AX261" s="1212">
        <f t="shared" ca="1" si="198"/>
        <v>0</v>
      </c>
      <c r="AY261" s="1213">
        <f t="shared" ca="1" si="199"/>
        <v>0</v>
      </c>
      <c r="AZ261" s="1587">
        <f t="shared" ca="1" si="200"/>
        <v>0</v>
      </c>
      <c r="BC261" s="1212">
        <f t="shared" ca="1" si="201"/>
        <v>0</v>
      </c>
      <c r="BD261" s="1213">
        <f t="shared" ca="1" si="202"/>
        <v>0</v>
      </c>
      <c r="BE261" s="1587">
        <f t="shared" ca="1" si="203"/>
        <v>0</v>
      </c>
      <c r="BH261" s="1212">
        <f t="shared" ca="1" si="204"/>
        <v>0</v>
      </c>
      <c r="BI261" s="1213">
        <f t="shared" ca="1" si="205"/>
        <v>0</v>
      </c>
      <c r="BJ261" s="1587">
        <f t="shared" ca="1" si="206"/>
        <v>0</v>
      </c>
      <c r="BM261" s="1212">
        <f t="shared" ca="1" si="207"/>
        <v>0</v>
      </c>
      <c r="BN261" s="1213">
        <f t="shared" ca="1" si="208"/>
        <v>0</v>
      </c>
      <c r="BO261" s="1587">
        <f t="shared" ca="1" si="209"/>
        <v>0</v>
      </c>
      <c r="BR261" s="1212">
        <f t="shared" ca="1" si="210"/>
        <v>0</v>
      </c>
      <c r="BS261" s="1213">
        <f t="shared" ca="1" si="211"/>
        <v>0</v>
      </c>
      <c r="BT261" s="1587">
        <f t="shared" ca="1" si="212"/>
        <v>0</v>
      </c>
      <c r="BW261" s="1212">
        <f t="shared" ca="1" si="213"/>
        <v>0</v>
      </c>
      <c r="BX261" s="1213">
        <f t="shared" ca="1" si="214"/>
        <v>0</v>
      </c>
      <c r="BY261" s="1587">
        <f t="shared" ca="1" si="215"/>
        <v>0</v>
      </c>
      <c r="CB261" s="1212">
        <f t="shared" ca="1" si="216"/>
        <v>0</v>
      </c>
      <c r="CC261" s="1213">
        <f t="shared" ca="1" si="217"/>
        <v>0</v>
      </c>
      <c r="CD261" s="1587">
        <f t="shared" ca="1" si="218"/>
        <v>0</v>
      </c>
      <c r="CG261" s="1212">
        <f t="shared" ca="1" si="219"/>
        <v>0</v>
      </c>
      <c r="CH261" s="1213">
        <f t="shared" ca="1" si="220"/>
        <v>0</v>
      </c>
      <c r="CI261" s="1587">
        <f t="shared" ca="1" si="221"/>
        <v>0</v>
      </c>
      <c r="CL261" s="1212">
        <f t="shared" ca="1" si="222"/>
        <v>0</v>
      </c>
      <c r="CM261" s="1213">
        <f t="shared" ca="1" si="223"/>
        <v>0</v>
      </c>
      <c r="CN261" s="1587">
        <f t="shared" ca="1" si="224"/>
        <v>0</v>
      </c>
    </row>
    <row r="262" spans="1:92">
      <c r="A262" s="141" t="str">
        <f>'銀行-TSS'!A262</f>
        <v>US91087BAX82</v>
      </c>
      <c r="B262" s="151" t="str">
        <f ca="1">VLOOKUP(A262,'銀行-TSS'!A:B,2,FALSE)</f>
        <v>XH600</v>
      </c>
      <c r="C262" s="151" t="str">
        <f ca="1">VLOOKUP(B262,bond!B:C,2,FALSE)</f>
        <v>墨西哥政府美元配息債券 6.338% 2053/5/4</v>
      </c>
      <c r="D262" s="95" t="str">
        <f>VLOOKUP(A262,'銀行-TSS'!A:C,3,FALSE)</f>
        <v>USD</v>
      </c>
      <c r="E262" s="90">
        <f ca="1">VLOOKUP(A262,'銀行-TSS'!A:G,7,FALSE)</f>
        <v>28.84</v>
      </c>
      <c r="F262" s="202">
        <f ca="1">VLOOKUP(A262,'銀行-TSS'!A:H,8,FALSE)</f>
        <v>6.3380000000000006E-2</v>
      </c>
      <c r="G262" s="96">
        <f ca="1">VLOOKUP(A262,'銀行-TSS'!A:K,11,FALSE)</f>
        <v>99.65</v>
      </c>
      <c r="H262" s="1209">
        <f ca="1">VLOOKUP(A262,'銀行-TSS'!A:M,13,FALSE)</f>
        <v>6.4399999999999999E-2</v>
      </c>
      <c r="I262" s="1213">
        <f ca="1">VLOOKUP(A262,'銀行-TSS'!A:N,14,FALSE)</f>
        <v>200000</v>
      </c>
      <c r="J262" s="1213">
        <f ca="1">VLOOKUP(A262,'銀行-TSS'!A:O,15,FALSE)</f>
        <v>1000</v>
      </c>
      <c r="K262" s="136" t="str">
        <f ca="1">VLOOKUP(A262,'銀行-TSS'!A:V,22,FALSE)</f>
        <v>(PI)專投</v>
      </c>
      <c r="L262" s="136" t="str">
        <f ca="1">VLOOKUP(A262,'銀行-TSS'!A:AK,37,FALSE)</f>
        <v>有</v>
      </c>
      <c r="M262" s="136" t="str">
        <f ca="1">VLOOKUP(A262,'銀行-TSS'!A:AN,40,FALSE)</f>
        <v/>
      </c>
      <c r="N262" s="136">
        <f t="shared" ca="1" si="180"/>
        <v>996.5</v>
      </c>
      <c r="O262" s="1213">
        <f t="shared" ca="1" si="181"/>
        <v>199300</v>
      </c>
      <c r="P262" s="1213">
        <f ca="1">IF(AND($O$1&gt;=O262,換券單檔!$D$13=D262),I262+INT(($O$1-O262)/N262)*J262,0)</f>
        <v>0</v>
      </c>
      <c r="Q262" s="1213">
        <f t="shared" ca="1" si="182"/>
        <v>0</v>
      </c>
      <c r="R262" s="1213">
        <f t="shared" ca="1" si="183"/>
        <v>0</v>
      </c>
      <c r="S262" s="1213">
        <f t="shared" ca="1" si="184"/>
        <v>0</v>
      </c>
      <c r="T262" s="136">
        <f ca="1">IF(OR(R262=0,A262=0),0,IF(AND(V262=TRUE,換券單檔!$D$13=D262),E262,0))</f>
        <v>0</v>
      </c>
      <c r="U262" s="861">
        <f ca="1">IF(OR(R262=0,A262=0),0,IF(AND(V262=TRUE,換券單檔!$D$13=D262),H262,0))</f>
        <v>0</v>
      </c>
      <c r="V262" s="136" t="b">
        <f ca="1">IF(OR(B262=換券單檔!$D$3,L262="無",M262&lt;&gt;"",K262="高資產",IFERROR(MATCH(B262,換券單檔!K:K,0),"N")&lt;&gt;"N"),FALSE,IF($V$1="All",TRUE,IF(K262=$V$1,TRUE,FALSE)))</f>
        <v>1</v>
      </c>
      <c r="W262" s="136">
        <f ca="1">VLOOKUP(A262,'銀行-TSS'!A:AO,41,FALSE)</f>
        <v>95.13000000000001</v>
      </c>
      <c r="X262" s="136">
        <f ca="1">VLOOKUP(A262,'銀行-TSS'!A:AP,42,FALSE)</f>
        <v>12.755800000000001</v>
      </c>
      <c r="Y262" s="1220">
        <f t="shared" ca="1" si="185"/>
        <v>0</v>
      </c>
      <c r="Z262" s="1220">
        <f t="shared" ca="1" si="186"/>
        <v>0</v>
      </c>
      <c r="AA262" s="136">
        <f ca="1">IF(Z262&lt;=0,0,RANK(Z262,Z:Z)+COUNTIF($Z$3:$Z262,Z262)-1)</f>
        <v>0</v>
      </c>
      <c r="AB262" s="1211">
        <f t="shared" ca="1" si="187"/>
        <v>-114896.14</v>
      </c>
      <c r="AC262" s="136">
        <f ca="1">IF(AB262&lt;=0,0,RANK(AB262,AB:AB)+COUNTIF($AB$3:$AB262,AB262)-1)</f>
        <v>0</v>
      </c>
      <c r="AD262" s="1123">
        <f t="shared" ca="1" si="188"/>
        <v>99999</v>
      </c>
      <c r="AE262" s="1123">
        <f ca="1">IF(AD262=99999,0,RANK(AD262,AD:AD,1)+COUNTIF($AD$3:$AD262,AD262)-1)</f>
        <v>0</v>
      </c>
      <c r="AF262" s="86" t="b">
        <f ca="1">IF(OR(M262&lt;&gt;"",L262="無",K262="高資產",IFERROR(MATCH(B262,換券單檔!K:K,0),"N")&lt;&gt;"N"),FALSE,TRUE)</f>
        <v>1</v>
      </c>
      <c r="AI262" s="1212">
        <f t="shared" ca="1" si="189"/>
        <v>0</v>
      </c>
      <c r="AJ262" s="1213">
        <f t="shared" ca="1" si="190"/>
        <v>0</v>
      </c>
      <c r="AK262" s="1587">
        <f t="shared" ca="1" si="191"/>
        <v>0</v>
      </c>
      <c r="AN262" s="1212">
        <f t="shared" ca="1" si="192"/>
        <v>0</v>
      </c>
      <c r="AO262" s="1213">
        <f t="shared" ca="1" si="193"/>
        <v>0</v>
      </c>
      <c r="AP262" s="1587">
        <f t="shared" ca="1" si="194"/>
        <v>0</v>
      </c>
      <c r="AS262" s="1212">
        <f t="shared" ca="1" si="195"/>
        <v>0</v>
      </c>
      <c r="AT262" s="1213">
        <f t="shared" ca="1" si="196"/>
        <v>0</v>
      </c>
      <c r="AU262" s="1587">
        <f t="shared" ca="1" si="197"/>
        <v>0</v>
      </c>
      <c r="AX262" s="1212">
        <f t="shared" ca="1" si="198"/>
        <v>0</v>
      </c>
      <c r="AY262" s="1213">
        <f t="shared" ca="1" si="199"/>
        <v>0</v>
      </c>
      <c r="AZ262" s="1587">
        <f t="shared" ca="1" si="200"/>
        <v>0</v>
      </c>
      <c r="BC262" s="1212">
        <f t="shared" ca="1" si="201"/>
        <v>0</v>
      </c>
      <c r="BD262" s="1213">
        <f t="shared" ca="1" si="202"/>
        <v>0</v>
      </c>
      <c r="BE262" s="1587">
        <f t="shared" ca="1" si="203"/>
        <v>0</v>
      </c>
      <c r="BH262" s="1212">
        <f t="shared" ca="1" si="204"/>
        <v>0</v>
      </c>
      <c r="BI262" s="1213">
        <f t="shared" ca="1" si="205"/>
        <v>0</v>
      </c>
      <c r="BJ262" s="1587">
        <f t="shared" ca="1" si="206"/>
        <v>0</v>
      </c>
      <c r="BM262" s="1212">
        <f t="shared" ca="1" si="207"/>
        <v>0</v>
      </c>
      <c r="BN262" s="1213">
        <f t="shared" ca="1" si="208"/>
        <v>0</v>
      </c>
      <c r="BO262" s="1587">
        <f t="shared" ca="1" si="209"/>
        <v>0</v>
      </c>
      <c r="BR262" s="1212">
        <f t="shared" ca="1" si="210"/>
        <v>0</v>
      </c>
      <c r="BS262" s="1213">
        <f t="shared" ca="1" si="211"/>
        <v>0</v>
      </c>
      <c r="BT262" s="1587">
        <f t="shared" ca="1" si="212"/>
        <v>0</v>
      </c>
      <c r="BW262" s="1212">
        <f t="shared" ca="1" si="213"/>
        <v>0</v>
      </c>
      <c r="BX262" s="1213">
        <f t="shared" ca="1" si="214"/>
        <v>0</v>
      </c>
      <c r="BY262" s="1587">
        <f t="shared" ca="1" si="215"/>
        <v>0</v>
      </c>
      <c r="CB262" s="1212">
        <f t="shared" ca="1" si="216"/>
        <v>0</v>
      </c>
      <c r="CC262" s="1213">
        <f t="shared" ca="1" si="217"/>
        <v>0</v>
      </c>
      <c r="CD262" s="1587">
        <f t="shared" ca="1" si="218"/>
        <v>0</v>
      </c>
      <c r="CG262" s="1212">
        <f t="shared" ca="1" si="219"/>
        <v>0</v>
      </c>
      <c r="CH262" s="1213">
        <f t="shared" ca="1" si="220"/>
        <v>0</v>
      </c>
      <c r="CI262" s="1587">
        <f t="shared" ca="1" si="221"/>
        <v>0</v>
      </c>
      <c r="CL262" s="1212">
        <f t="shared" ca="1" si="222"/>
        <v>0</v>
      </c>
      <c r="CM262" s="1213">
        <f t="shared" ca="1" si="223"/>
        <v>0</v>
      </c>
      <c r="CN262" s="1587">
        <f t="shared" ca="1" si="224"/>
        <v>0</v>
      </c>
    </row>
    <row r="263" spans="1:92">
      <c r="A263" s="141" t="str">
        <f>'銀行-TSS'!A263</f>
        <v>US46625HHV50</v>
      </c>
      <c r="B263" s="151" t="str">
        <f ca="1">VLOOKUP(A263,'銀行-TSS'!A:B,2,FALSE)</f>
        <v>XH610</v>
      </c>
      <c r="C263" s="151" t="str">
        <f ca="1">VLOOKUP(B263,bond!B:C,2,FALSE)</f>
        <v>摩根大通銀行美元配息債券 5.5% 2040/10/15</v>
      </c>
      <c r="D263" s="95" t="str">
        <f>VLOOKUP(A263,'銀行-TSS'!A:C,3,FALSE)</f>
        <v>USD</v>
      </c>
      <c r="E263" s="90">
        <f ca="1">VLOOKUP(A263,'銀行-TSS'!A:G,7,FALSE)</f>
        <v>16.29</v>
      </c>
      <c r="F263" s="202">
        <f ca="1">VLOOKUP(A263,'銀行-TSS'!A:H,8,FALSE)</f>
        <v>5.5E-2</v>
      </c>
      <c r="G263" s="96">
        <f ca="1">VLOOKUP(A263,'銀行-TSS'!A:K,11,FALSE)</f>
        <v>104.98</v>
      </c>
      <c r="H263" s="1209">
        <f ca="1">VLOOKUP(A263,'銀行-TSS'!A:M,13,FALSE)</f>
        <v>5.1499999999999997E-2</v>
      </c>
      <c r="I263" s="1213">
        <f ca="1">VLOOKUP(A263,'銀行-TSS'!A:N,14,FALSE)</f>
        <v>10000</v>
      </c>
      <c r="J263" s="1213">
        <f ca="1">VLOOKUP(A263,'銀行-TSS'!A:O,15,FALSE)</f>
        <v>1000</v>
      </c>
      <c r="K263" s="136" t="str">
        <f ca="1">VLOOKUP(A263,'銀行-TSS'!A:V,22,FALSE)</f>
        <v>(PI)專投</v>
      </c>
      <c r="L263" s="136" t="str">
        <f ca="1">VLOOKUP(A263,'銀行-TSS'!A:AK,37,FALSE)</f>
        <v>有</v>
      </c>
      <c r="M263" s="136" t="str">
        <f ca="1">VLOOKUP(A263,'銀行-TSS'!A:AN,40,FALSE)</f>
        <v/>
      </c>
      <c r="N263" s="136">
        <f t="shared" ca="1" si="180"/>
        <v>1049.8</v>
      </c>
      <c r="O263" s="1213">
        <f t="shared" ca="1" si="181"/>
        <v>10498</v>
      </c>
      <c r="P263" s="1213">
        <f ca="1">IF(AND($O$1&gt;=O263,換券單檔!$D$13=D263),I263+INT(($O$1-O263)/N263)*J263,0)</f>
        <v>92000</v>
      </c>
      <c r="Q263" s="1213">
        <f t="shared" ca="1" si="182"/>
        <v>5060</v>
      </c>
      <c r="R263" s="1213">
        <f t="shared" ca="1" si="183"/>
        <v>92000</v>
      </c>
      <c r="S263" s="1213">
        <f t="shared" ca="1" si="184"/>
        <v>5060</v>
      </c>
      <c r="T263" s="136">
        <f ca="1">IF(OR(R263=0,A263=0),0,IF(AND(V263=TRUE,換券單檔!$D$13=D263),E263,0))</f>
        <v>16.29</v>
      </c>
      <c r="U263" s="861">
        <f ca="1">IF(OR(R263=0,A263=0),0,IF(AND(V263=TRUE,換券單檔!$D$13=D263),H263,0))</f>
        <v>5.1499999999999997E-2</v>
      </c>
      <c r="V263" s="136" t="b">
        <f ca="1">IF(OR(B263=換券單檔!$D$3,L263="無",M263&lt;&gt;"",K263="高資產",IFERROR(MATCH(B263,換券單檔!K:K,0),"N")&lt;&gt;"N"),FALSE,IF($V$1="All",TRUE,IF(K263=$V$1,TRUE,FALSE)))</f>
        <v>1</v>
      </c>
      <c r="W263" s="136">
        <f ca="1">VLOOKUP(A263,'銀行-TSS'!A:AO,41,FALSE)</f>
        <v>101.30000000000001</v>
      </c>
      <c r="X263" s="136">
        <f ca="1">VLOOKUP(A263,'銀行-TSS'!A:AP,42,FALSE)</f>
        <v>10.6053</v>
      </c>
      <c r="Y263" s="1220">
        <f t="shared" ca="1" si="185"/>
        <v>9883.7153880000005</v>
      </c>
      <c r="Z263" s="1220">
        <f t="shared" ca="1" si="186"/>
        <v>-15389.337016574584</v>
      </c>
      <c r="AA263" s="136">
        <f ca="1">IF(Z263&lt;=0,0,RANK(Z263,Z:Z)+COUNTIF($Z$3:$Z263,Z263)-1)</f>
        <v>0</v>
      </c>
      <c r="AB263" s="1211">
        <f t="shared" ca="1" si="187"/>
        <v>-13012.424611999999</v>
      </c>
      <c r="AC263" s="136">
        <f ca="1">IF(AB263&lt;=0,0,RANK(AB263,AB:AB)+COUNTIF($AB$3:$AB263,AB263)-1)</f>
        <v>0</v>
      </c>
      <c r="AD263" s="1123">
        <f t="shared" ca="1" si="188"/>
        <v>99999</v>
      </c>
      <c r="AE263" s="1123">
        <f ca="1">IF(AD263=99999,0,RANK(AD263,AD:AD,1)+COUNTIF($AD$3:$AD263,AD263)-1)</f>
        <v>0</v>
      </c>
      <c r="AF263" s="86" t="b">
        <f ca="1">IF(OR(M263&lt;&gt;"",L263="無",K263="高資產",IFERROR(MATCH(B263,換券單檔!K:K,0),"N")&lt;&gt;"N"),FALSE,TRUE)</f>
        <v>1</v>
      </c>
      <c r="AI263" s="1212">
        <f t="shared" ca="1" si="189"/>
        <v>92000</v>
      </c>
      <c r="AJ263" s="1213">
        <f t="shared" ca="1" si="190"/>
        <v>5060</v>
      </c>
      <c r="AK263" s="1587">
        <f t="shared" ca="1" si="191"/>
        <v>-15389.337016574584</v>
      </c>
      <c r="AN263" s="1212">
        <f t="shared" ca="1" si="192"/>
        <v>52000</v>
      </c>
      <c r="AO263" s="1213">
        <f t="shared" ca="1" si="193"/>
        <v>2860</v>
      </c>
      <c r="AP263" s="1587">
        <f t="shared" ca="1" si="194"/>
        <v>-94226.169429097601</v>
      </c>
      <c r="AS263" s="1212">
        <f t="shared" ca="1" si="195"/>
        <v>90000</v>
      </c>
      <c r="AT263" s="1213">
        <f t="shared" ca="1" si="196"/>
        <v>4950</v>
      </c>
      <c r="AU263" s="1587">
        <f t="shared" ca="1" si="197"/>
        <v>-19781.906077348067</v>
      </c>
      <c r="AX263" s="1212">
        <f t="shared" ca="1" si="198"/>
        <v>82000</v>
      </c>
      <c r="AY263" s="1213">
        <f t="shared" ca="1" si="199"/>
        <v>4510</v>
      </c>
      <c r="AZ263" s="1587">
        <f t="shared" ca="1" si="200"/>
        <v>-35825.524861878454</v>
      </c>
      <c r="BC263" s="1212">
        <f t="shared" ca="1" si="201"/>
        <v>0</v>
      </c>
      <c r="BD263" s="1213">
        <f t="shared" ca="1" si="202"/>
        <v>0</v>
      </c>
      <c r="BE263" s="1587">
        <f t="shared" ca="1" si="203"/>
        <v>0</v>
      </c>
      <c r="BH263" s="1212">
        <f t="shared" ca="1" si="204"/>
        <v>0</v>
      </c>
      <c r="BI263" s="1213">
        <f t="shared" ca="1" si="205"/>
        <v>0</v>
      </c>
      <c r="BJ263" s="1587">
        <f t="shared" ca="1" si="206"/>
        <v>0</v>
      </c>
      <c r="BM263" s="1212">
        <f t="shared" ca="1" si="207"/>
        <v>0</v>
      </c>
      <c r="BN263" s="1213">
        <f t="shared" ca="1" si="208"/>
        <v>0</v>
      </c>
      <c r="BO263" s="1587">
        <f t="shared" ca="1" si="209"/>
        <v>0</v>
      </c>
      <c r="BR263" s="1212">
        <f t="shared" ca="1" si="210"/>
        <v>0</v>
      </c>
      <c r="BS263" s="1213">
        <f t="shared" ca="1" si="211"/>
        <v>0</v>
      </c>
      <c r="BT263" s="1587">
        <f t="shared" ca="1" si="212"/>
        <v>0</v>
      </c>
      <c r="BW263" s="1212">
        <f t="shared" ca="1" si="213"/>
        <v>0</v>
      </c>
      <c r="BX263" s="1213">
        <f t="shared" ca="1" si="214"/>
        <v>0</v>
      </c>
      <c r="BY263" s="1587">
        <f t="shared" ca="1" si="215"/>
        <v>0</v>
      </c>
      <c r="CB263" s="1212">
        <f t="shared" ca="1" si="216"/>
        <v>0</v>
      </c>
      <c r="CC263" s="1213">
        <f t="shared" ca="1" si="217"/>
        <v>0</v>
      </c>
      <c r="CD263" s="1587">
        <f t="shared" ca="1" si="218"/>
        <v>0</v>
      </c>
      <c r="CG263" s="1212">
        <f t="shared" ca="1" si="219"/>
        <v>0</v>
      </c>
      <c r="CH263" s="1213">
        <f t="shared" ca="1" si="220"/>
        <v>0</v>
      </c>
      <c r="CI263" s="1587">
        <f t="shared" ca="1" si="221"/>
        <v>0</v>
      </c>
      <c r="CL263" s="1212">
        <f t="shared" ca="1" si="222"/>
        <v>0</v>
      </c>
      <c r="CM263" s="1213">
        <f t="shared" ca="1" si="223"/>
        <v>0</v>
      </c>
      <c r="CN263" s="1587">
        <f t="shared" ca="1" si="224"/>
        <v>0</v>
      </c>
    </row>
    <row r="264" spans="1:92">
      <c r="A264" s="141" t="str">
        <f>'銀行-TSS'!A264</f>
        <v>US46625HJU59</v>
      </c>
      <c r="B264" s="151" t="str">
        <f ca="1">VLOOKUP(A264,'銀行-TSS'!A:B,2,FALSE)</f>
        <v>XH620</v>
      </c>
      <c r="C264" s="151" t="str">
        <f ca="1">VLOOKUP(B264,bond!B:C,2,FALSE)</f>
        <v>摩根大通銀行美元配息債券 4.85% 2044/2/1</v>
      </c>
      <c r="D264" s="95" t="str">
        <f>VLOOKUP(A264,'銀行-TSS'!A:C,3,FALSE)</f>
        <v>USD</v>
      </c>
      <c r="E264" s="90">
        <f ca="1">VLOOKUP(A264,'銀行-TSS'!A:G,7,FALSE)</f>
        <v>19.579999999999998</v>
      </c>
      <c r="F264" s="202">
        <f ca="1">VLOOKUP(A264,'銀行-TSS'!A:H,8,FALSE)</f>
        <v>4.8499999999999995E-2</v>
      </c>
      <c r="G264" s="96">
        <f ca="1">VLOOKUP(A264,'銀行-TSS'!A:K,11,FALSE)</f>
        <v>99.01</v>
      </c>
      <c r="H264" s="1209">
        <f ca="1">VLOOKUP(A264,'銀行-TSS'!A:M,13,FALSE)</f>
        <v>5.0999999999999997E-2</v>
      </c>
      <c r="I264" s="1213">
        <f ca="1">VLOOKUP(A264,'銀行-TSS'!A:N,14,FALSE)</f>
        <v>10000</v>
      </c>
      <c r="J264" s="1213">
        <f ca="1">VLOOKUP(A264,'銀行-TSS'!A:O,15,FALSE)</f>
        <v>1000</v>
      </c>
      <c r="K264" s="136" t="str">
        <f ca="1">VLOOKUP(A264,'銀行-TSS'!A:V,22,FALSE)</f>
        <v>(PI)專投</v>
      </c>
      <c r="L264" s="136" t="str">
        <f ca="1">VLOOKUP(A264,'銀行-TSS'!A:AK,37,FALSE)</f>
        <v>有</v>
      </c>
      <c r="M264" s="136" t="str">
        <f ca="1">VLOOKUP(A264,'銀行-TSS'!A:AN,40,FALSE)</f>
        <v/>
      </c>
      <c r="N264" s="136">
        <f t="shared" ca="1" si="180"/>
        <v>990.1</v>
      </c>
      <c r="O264" s="1213">
        <f t="shared" ca="1" si="181"/>
        <v>9901</v>
      </c>
      <c r="P264" s="1213">
        <f ca="1">IF(AND($O$1&gt;=O264,換券單檔!$D$13=D264),I264+INT(($O$1-O264)/N264)*J264,0)</f>
        <v>97000</v>
      </c>
      <c r="Q264" s="1213">
        <f t="shared" ca="1" si="182"/>
        <v>4704.4999999999991</v>
      </c>
      <c r="R264" s="1213">
        <f t="shared" ca="1" si="183"/>
        <v>97000</v>
      </c>
      <c r="S264" s="1213">
        <f t="shared" ca="1" si="184"/>
        <v>4704.4999999999991</v>
      </c>
      <c r="T264" s="136">
        <f ca="1">IF(OR(R264=0,A264=0),0,IF(AND(V264=TRUE,換券單檔!$D$13=D264),E264,0))</f>
        <v>19.579999999999998</v>
      </c>
      <c r="U264" s="861">
        <f ca="1">IF(OR(R264=0,A264=0),0,IF(AND(V264=TRUE,換券單檔!$D$13=D264),H264,0))</f>
        <v>5.0999999999999997E-2</v>
      </c>
      <c r="V264" s="136" t="b">
        <f ca="1">IF(OR(B264=換券單檔!$D$3,L264="無",M264&lt;&gt;"",K264="高資產",IFERROR(MATCH(B264,換券單檔!K:K,0),"N")&lt;&gt;"N"),FALSE,IF($V$1="All",TRUE,IF(K264=$V$1,TRUE,FALSE)))</f>
        <v>1</v>
      </c>
      <c r="W264" s="136">
        <f ca="1">VLOOKUP(A264,'銀行-TSS'!A:AO,41,FALSE)</f>
        <v>93.98</v>
      </c>
      <c r="X264" s="136">
        <f ca="1">VLOOKUP(A264,'銀行-TSS'!A:AP,42,FALSE)</f>
        <v>12.064</v>
      </c>
      <c r="Y264" s="1220">
        <f t="shared" ca="1" si="185"/>
        <v>10997.614784000001</v>
      </c>
      <c r="Z264" s="1220">
        <f t="shared" ca="1" si="186"/>
        <v>-6425.3534218590394</v>
      </c>
      <c r="AA264" s="136">
        <f ca="1">IF(Z264&lt;=0,0,RANK(Z264,Z:Z)+COUNTIF($Z$3:$Z264,Z264)-1)</f>
        <v>0</v>
      </c>
      <c r="AB264" s="1211">
        <f t="shared" ca="1" si="187"/>
        <v>-6898.5252159999982</v>
      </c>
      <c r="AC264" s="136">
        <f ca="1">IF(AB264&lt;=0,0,RANK(AB264,AB:AB)+COUNTIF($AB$3:$AB264,AB264)-1)</f>
        <v>0</v>
      </c>
      <c r="AD264" s="1123">
        <f t="shared" ca="1" si="188"/>
        <v>99999</v>
      </c>
      <c r="AE264" s="1123">
        <f ca="1">IF(AD264=99999,0,RANK(AD264,AD:AD,1)+COUNTIF($AD$3:$AD264,AD264)-1)</f>
        <v>0</v>
      </c>
      <c r="AF264" s="86" t="b">
        <f ca="1">IF(OR(M264&lt;&gt;"",L264="無",K264="高資產",IFERROR(MATCH(B264,換券單檔!K:K,0),"N")&lt;&gt;"N"),FALSE,TRUE)</f>
        <v>1</v>
      </c>
      <c r="AI264" s="1212">
        <f t="shared" ca="1" si="189"/>
        <v>97000</v>
      </c>
      <c r="AJ264" s="1213">
        <f t="shared" ca="1" si="190"/>
        <v>4704.4999999999991</v>
      </c>
      <c r="AK264" s="1587">
        <f t="shared" ca="1" si="191"/>
        <v>-6425.3534218590394</v>
      </c>
      <c r="AN264" s="1212">
        <f t="shared" ca="1" si="192"/>
        <v>55000</v>
      </c>
      <c r="AO264" s="1213">
        <f t="shared" ca="1" si="193"/>
        <v>2667.4999999999995</v>
      </c>
      <c r="AP264" s="1587">
        <f t="shared" ca="1" si="194"/>
        <v>-88779.484167517876</v>
      </c>
      <c r="AS264" s="1212">
        <f t="shared" ca="1" si="195"/>
        <v>95000</v>
      </c>
      <c r="AT264" s="1213">
        <f t="shared" ca="1" si="196"/>
        <v>4607.4999999999991</v>
      </c>
      <c r="AU264" s="1587">
        <f t="shared" ca="1" si="197"/>
        <v>-10782.00715015322</v>
      </c>
      <c r="AX264" s="1212">
        <f t="shared" ca="1" si="198"/>
        <v>87000</v>
      </c>
      <c r="AY264" s="1213">
        <f t="shared" ca="1" si="199"/>
        <v>4219.4999999999991</v>
      </c>
      <c r="AZ264" s="1587">
        <f t="shared" ca="1" si="200"/>
        <v>-26673.841675178759</v>
      </c>
      <c r="BC264" s="1212">
        <f t="shared" ca="1" si="201"/>
        <v>0</v>
      </c>
      <c r="BD264" s="1213">
        <f t="shared" ca="1" si="202"/>
        <v>0</v>
      </c>
      <c r="BE264" s="1587">
        <f t="shared" ca="1" si="203"/>
        <v>0</v>
      </c>
      <c r="BH264" s="1212">
        <f t="shared" ca="1" si="204"/>
        <v>0</v>
      </c>
      <c r="BI264" s="1213">
        <f t="shared" ca="1" si="205"/>
        <v>0</v>
      </c>
      <c r="BJ264" s="1587">
        <f t="shared" ca="1" si="206"/>
        <v>0</v>
      </c>
      <c r="BM264" s="1212">
        <f t="shared" ca="1" si="207"/>
        <v>0</v>
      </c>
      <c r="BN264" s="1213">
        <f t="shared" ca="1" si="208"/>
        <v>0</v>
      </c>
      <c r="BO264" s="1587">
        <f t="shared" ca="1" si="209"/>
        <v>0</v>
      </c>
      <c r="BR264" s="1212">
        <f t="shared" ca="1" si="210"/>
        <v>0</v>
      </c>
      <c r="BS264" s="1213">
        <f t="shared" ca="1" si="211"/>
        <v>0</v>
      </c>
      <c r="BT264" s="1587">
        <f t="shared" ca="1" si="212"/>
        <v>0</v>
      </c>
      <c r="BW264" s="1212">
        <f t="shared" ca="1" si="213"/>
        <v>0</v>
      </c>
      <c r="BX264" s="1213">
        <f t="shared" ca="1" si="214"/>
        <v>0</v>
      </c>
      <c r="BY264" s="1587">
        <f t="shared" ca="1" si="215"/>
        <v>0</v>
      </c>
      <c r="CB264" s="1212">
        <f t="shared" ca="1" si="216"/>
        <v>0</v>
      </c>
      <c r="CC264" s="1213">
        <f t="shared" ca="1" si="217"/>
        <v>0</v>
      </c>
      <c r="CD264" s="1587">
        <f t="shared" ca="1" si="218"/>
        <v>0</v>
      </c>
      <c r="CG264" s="1212">
        <f t="shared" ca="1" si="219"/>
        <v>0</v>
      </c>
      <c r="CH264" s="1213">
        <f t="shared" ca="1" si="220"/>
        <v>0</v>
      </c>
      <c r="CI264" s="1587">
        <f t="shared" ca="1" si="221"/>
        <v>0</v>
      </c>
      <c r="CL264" s="1212">
        <f t="shared" ca="1" si="222"/>
        <v>0</v>
      </c>
      <c r="CM264" s="1213">
        <f t="shared" ca="1" si="223"/>
        <v>0</v>
      </c>
      <c r="CN264" s="1587">
        <f t="shared" ca="1" si="224"/>
        <v>0</v>
      </c>
    </row>
    <row r="265" spans="1:92">
      <c r="A265" s="141" t="str">
        <f>'銀行-TSS'!A265</f>
        <v>US172967EW71</v>
      </c>
      <c r="B265" s="151" t="str">
        <f ca="1">VLOOKUP(A265,'銀行-TSS'!A:B,2,FALSE)</f>
        <v>XH630</v>
      </c>
      <c r="C265" s="151" t="str">
        <f ca="1">VLOOKUP(B265,bond!B:C,2,FALSE)</f>
        <v>花旗集團美元配息債券 8.125% 2039/7/15</v>
      </c>
      <c r="D265" s="95" t="str">
        <f>VLOOKUP(A265,'銀行-TSS'!A:C,3,FALSE)</f>
        <v>USD</v>
      </c>
      <c r="E265" s="90">
        <f ca="1">VLOOKUP(A265,'銀行-TSS'!A:G,7,FALSE)</f>
        <v>15.03</v>
      </c>
      <c r="F265" s="202">
        <f ca="1">VLOOKUP(A265,'銀行-TSS'!A:H,8,FALSE)</f>
        <v>8.1250000000000003E-2</v>
      </c>
      <c r="G265" s="96">
        <f ca="1">VLOOKUP(A265,'銀行-TSS'!A:K,11,FALSE)</f>
        <v>131.37</v>
      </c>
      <c r="H265" s="1209">
        <f ca="1">VLOOKUP(A265,'銀行-TSS'!A:M,13,FALSE)</f>
        <v>5.4199999999999998E-2</v>
      </c>
      <c r="I265" s="1213">
        <f ca="1">VLOOKUP(A265,'銀行-TSS'!A:N,14,FALSE)</f>
        <v>10000</v>
      </c>
      <c r="J265" s="1213">
        <f ca="1">VLOOKUP(A265,'銀行-TSS'!A:O,15,FALSE)</f>
        <v>1000</v>
      </c>
      <c r="K265" s="136" t="str">
        <f ca="1">VLOOKUP(A265,'銀行-TSS'!A:V,22,FALSE)</f>
        <v>(PI)專投</v>
      </c>
      <c r="L265" s="136" t="str">
        <f ca="1">VLOOKUP(A265,'銀行-TSS'!A:AK,37,FALSE)</f>
        <v>有</v>
      </c>
      <c r="M265" s="136" t="str">
        <f ca="1">VLOOKUP(A265,'銀行-TSS'!A:AN,40,FALSE)</f>
        <v/>
      </c>
      <c r="N265" s="136">
        <f t="shared" ca="1" si="180"/>
        <v>1313.7</v>
      </c>
      <c r="O265" s="1213">
        <f t="shared" ca="1" si="181"/>
        <v>13137</v>
      </c>
      <c r="P265" s="1213">
        <f ca="1">IF(AND($O$1&gt;=O265,換券單檔!$D$13=D265),I265+INT(($O$1-O265)/N265)*J265,0)</f>
        <v>73000</v>
      </c>
      <c r="Q265" s="1213">
        <f t="shared" ca="1" si="182"/>
        <v>5931.25</v>
      </c>
      <c r="R265" s="1213">
        <f t="shared" ca="1" si="183"/>
        <v>73000</v>
      </c>
      <c r="S265" s="1213">
        <f t="shared" ca="1" si="184"/>
        <v>5931.25</v>
      </c>
      <c r="T265" s="136">
        <f ca="1">IF(OR(R265=0,A265=0),0,IF(AND(V265=TRUE,換券單檔!$D$13=D265),E265,0))</f>
        <v>15.03</v>
      </c>
      <c r="U265" s="861">
        <f ca="1">IF(OR(R265=0,A265=0),0,IF(AND(V265=TRUE,換券單檔!$D$13=D265),H265,0))</f>
        <v>5.4199999999999998E-2</v>
      </c>
      <c r="V265" s="136" t="b">
        <f ca="1">IF(OR(B265=換券單檔!$D$3,L265="無",M265&lt;&gt;"",K265="高資產",IFERROR(MATCH(B265,換券單檔!K:K,0),"N")&lt;&gt;"N"),FALSE,IF($V$1="All",TRUE,IF(K265=$V$1,TRUE,FALSE)))</f>
        <v>1</v>
      </c>
      <c r="W265" s="136">
        <f ca="1">VLOOKUP(A265,'銀行-TSS'!A:AO,41,FALSE)</f>
        <v>125.60000000000001</v>
      </c>
      <c r="X265" s="136">
        <f ca="1">VLOOKUP(A265,'銀行-TSS'!A:AP,42,FALSE)</f>
        <v>9.0993999999999993</v>
      </c>
      <c r="Y265" s="1220">
        <f t="shared" ca="1" si="185"/>
        <v>8343.0578719999994</v>
      </c>
      <c r="Z265" s="1220">
        <f t="shared" ca="1" si="186"/>
        <v>-50864.159181636722</v>
      </c>
      <c r="AA265" s="136">
        <f ca="1">IF(Z265&lt;=0,0,RANK(Z265,Z:Z)+COUNTIF($Z$3:$Z265,Z265)-1)</f>
        <v>0</v>
      </c>
      <c r="AB265" s="1211">
        <f t="shared" ca="1" si="187"/>
        <v>-33553.082128000002</v>
      </c>
      <c r="AC265" s="136">
        <f ca="1">IF(AB265&lt;=0,0,RANK(AB265,AB:AB)+COUNTIF($AB$3:$AB265,AB265)-1)</f>
        <v>0</v>
      </c>
      <c r="AD265" s="1123">
        <f t="shared" ca="1" si="188"/>
        <v>99999</v>
      </c>
      <c r="AE265" s="1123">
        <f ca="1">IF(AD265=99999,0,RANK(AD265,AD:AD,1)+COUNTIF($AD$3:$AD265,AD265)-1)</f>
        <v>0</v>
      </c>
      <c r="AF265" s="86" t="b">
        <f ca="1">IF(OR(M265&lt;&gt;"",L265="無",K265="高資產",IFERROR(MATCH(B265,換券單檔!K:K,0),"N")&lt;&gt;"N"),FALSE,TRUE)</f>
        <v>1</v>
      </c>
      <c r="AI265" s="1212">
        <f t="shared" ca="1" si="189"/>
        <v>73000</v>
      </c>
      <c r="AJ265" s="1213">
        <f t="shared" ca="1" si="190"/>
        <v>5931.25</v>
      </c>
      <c r="AK265" s="1587">
        <f t="shared" ca="1" si="191"/>
        <v>-50864.159181636722</v>
      </c>
      <c r="AN265" s="1212">
        <f t="shared" ca="1" si="192"/>
        <v>42000</v>
      </c>
      <c r="AO265" s="1213">
        <f t="shared" ca="1" si="193"/>
        <v>3412.5</v>
      </c>
      <c r="AP265" s="1587">
        <f t="shared" ca="1" si="194"/>
        <v>-112628.51796407186</v>
      </c>
      <c r="AS265" s="1212">
        <f t="shared" ca="1" si="195"/>
        <v>71000</v>
      </c>
      <c r="AT265" s="1213">
        <f t="shared" ca="1" si="196"/>
        <v>5768.75</v>
      </c>
      <c r="AU265" s="1587">
        <f t="shared" ca="1" si="197"/>
        <v>-55407.946606786427</v>
      </c>
      <c r="AX265" s="1212">
        <f t="shared" ca="1" si="198"/>
        <v>66000</v>
      </c>
      <c r="AY265" s="1213">
        <f t="shared" ca="1" si="199"/>
        <v>5362.5</v>
      </c>
      <c r="AZ265" s="1587">
        <f t="shared" ca="1" si="200"/>
        <v>-65353.567864271463</v>
      </c>
      <c r="BC265" s="1212">
        <f t="shared" ca="1" si="201"/>
        <v>0</v>
      </c>
      <c r="BD265" s="1213">
        <f t="shared" ca="1" si="202"/>
        <v>0</v>
      </c>
      <c r="BE265" s="1587">
        <f t="shared" ca="1" si="203"/>
        <v>0</v>
      </c>
      <c r="BH265" s="1212">
        <f t="shared" ca="1" si="204"/>
        <v>0</v>
      </c>
      <c r="BI265" s="1213">
        <f t="shared" ca="1" si="205"/>
        <v>0</v>
      </c>
      <c r="BJ265" s="1587">
        <f t="shared" ca="1" si="206"/>
        <v>0</v>
      </c>
      <c r="BM265" s="1212">
        <f t="shared" ca="1" si="207"/>
        <v>0</v>
      </c>
      <c r="BN265" s="1213">
        <f t="shared" ca="1" si="208"/>
        <v>0</v>
      </c>
      <c r="BO265" s="1587">
        <f t="shared" ca="1" si="209"/>
        <v>0</v>
      </c>
      <c r="BR265" s="1212">
        <f t="shared" ca="1" si="210"/>
        <v>0</v>
      </c>
      <c r="BS265" s="1213">
        <f t="shared" ca="1" si="211"/>
        <v>0</v>
      </c>
      <c r="BT265" s="1587">
        <f t="shared" ca="1" si="212"/>
        <v>0</v>
      </c>
      <c r="BW265" s="1212">
        <f t="shared" ca="1" si="213"/>
        <v>0</v>
      </c>
      <c r="BX265" s="1213">
        <f t="shared" ca="1" si="214"/>
        <v>0</v>
      </c>
      <c r="BY265" s="1587">
        <f t="shared" ca="1" si="215"/>
        <v>0</v>
      </c>
      <c r="CB265" s="1212">
        <f t="shared" ca="1" si="216"/>
        <v>0</v>
      </c>
      <c r="CC265" s="1213">
        <f t="shared" ca="1" si="217"/>
        <v>0</v>
      </c>
      <c r="CD265" s="1587">
        <f t="shared" ca="1" si="218"/>
        <v>0</v>
      </c>
      <c r="CG265" s="1212">
        <f t="shared" ca="1" si="219"/>
        <v>0</v>
      </c>
      <c r="CH265" s="1213">
        <f t="shared" ca="1" si="220"/>
        <v>0</v>
      </c>
      <c r="CI265" s="1587">
        <f t="shared" ca="1" si="221"/>
        <v>0</v>
      </c>
      <c r="CL265" s="1212">
        <f t="shared" ca="1" si="222"/>
        <v>0</v>
      </c>
      <c r="CM265" s="1213">
        <f t="shared" ca="1" si="223"/>
        <v>0</v>
      </c>
      <c r="CN265" s="1587">
        <f t="shared" ca="1" si="224"/>
        <v>0</v>
      </c>
    </row>
    <row r="266" spans="1:92">
      <c r="A266" s="141" t="str">
        <f>'銀行-TSS'!A266</f>
        <v>US478160AT19</v>
      </c>
      <c r="B266" s="151" t="str">
        <f ca="1">VLOOKUP(A266,'銀行-TSS'!A:B,2,FALSE)</f>
        <v>XH640</v>
      </c>
      <c r="C266" s="151" t="str">
        <f ca="1">VLOOKUP(B266,bond!B:C,2,FALSE)</f>
        <v>嬌生公司美元配息債券 5.85% 2038/7/15</v>
      </c>
      <c r="D266" s="95" t="str">
        <f>VLOOKUP(A266,'銀行-TSS'!A:C,3,FALSE)</f>
        <v>USD</v>
      </c>
      <c r="E266" s="90">
        <f ca="1">VLOOKUP(A266,'銀行-TSS'!A:G,7,FALSE)</f>
        <v>14.03</v>
      </c>
      <c r="F266" s="202">
        <f ca="1">VLOOKUP(A266,'銀行-TSS'!A:H,8,FALSE)</f>
        <v>5.8499999999999996E-2</v>
      </c>
      <c r="G266" s="96">
        <f ca="1">VLOOKUP(A266,'銀行-TSS'!A:K,11,FALSE)</f>
        <v>113.49</v>
      </c>
      <c r="H266" s="1209">
        <f ca="1">VLOOKUP(A266,'銀行-TSS'!A:M,13,FALSE)</f>
        <v>4.7899999999999998E-2</v>
      </c>
      <c r="I266" s="1213">
        <f ca="1">VLOOKUP(A266,'銀行-TSS'!A:N,14,FALSE)</f>
        <v>10000</v>
      </c>
      <c r="J266" s="1213">
        <f ca="1">VLOOKUP(A266,'銀行-TSS'!A:O,15,FALSE)</f>
        <v>1000</v>
      </c>
      <c r="K266" s="136" t="str">
        <f ca="1">VLOOKUP(A266,'銀行-TSS'!A:V,22,FALSE)</f>
        <v>(NPI)非專投</v>
      </c>
      <c r="L266" s="136" t="str">
        <f ca="1">VLOOKUP(A266,'銀行-TSS'!A:AK,37,FALSE)</f>
        <v>有</v>
      </c>
      <c r="M266" s="136" t="str">
        <f ca="1">VLOOKUP(A266,'銀行-TSS'!A:AN,40,FALSE)</f>
        <v/>
      </c>
      <c r="N266" s="136">
        <f t="shared" ca="1" si="180"/>
        <v>1134.9000000000001</v>
      </c>
      <c r="O266" s="1213">
        <f t="shared" ca="1" si="181"/>
        <v>11349</v>
      </c>
      <c r="P266" s="1213">
        <f ca="1">IF(AND($O$1&gt;=O266,換券單檔!$D$13=D266),I266+INT(($O$1-O266)/N266)*J266,0)</f>
        <v>85000</v>
      </c>
      <c r="Q266" s="1213">
        <f t="shared" ca="1" si="182"/>
        <v>4972.5</v>
      </c>
      <c r="R266" s="1213">
        <f t="shared" ca="1" si="183"/>
        <v>85000</v>
      </c>
      <c r="S266" s="1213">
        <f t="shared" ca="1" si="184"/>
        <v>4972.5</v>
      </c>
      <c r="T266" s="136">
        <f ca="1">IF(OR(R266=0,A266=0),0,IF(AND(V266=TRUE,換券單檔!$D$13=D266),E266,0))</f>
        <v>14.03</v>
      </c>
      <c r="U266" s="861">
        <f ca="1">IF(OR(R266=0,A266=0),0,IF(AND(V266=TRUE,換券單檔!$D$13=D266),H266,0))</f>
        <v>4.7899999999999998E-2</v>
      </c>
      <c r="V266" s="136" t="b">
        <f ca="1">IF(OR(B266=換券單檔!$D$3,L266="無",M266&lt;&gt;"",K266="高資產",IFERROR(MATCH(B266,換券單檔!K:K,0),"N")&lt;&gt;"N"),FALSE,IF($V$1="All",TRUE,IF(K266=$V$1,TRUE,FALSE)))</f>
        <v>1</v>
      </c>
      <c r="W266" s="136">
        <f ca="1">VLOOKUP(A266,'銀行-TSS'!A:AO,41,FALSE)</f>
        <v>108.78</v>
      </c>
      <c r="X266" s="136">
        <f ca="1">VLOOKUP(A266,'銀行-TSS'!A:AP,42,FALSE)</f>
        <v>9.4859000000000009</v>
      </c>
      <c r="Y266" s="1220">
        <f t="shared" ca="1" si="185"/>
        <v>8770.9477170000027</v>
      </c>
      <c r="Z266" s="1220">
        <f t="shared" ca="1" si="186"/>
        <v>-29645.596935138987</v>
      </c>
      <c r="AA266" s="136">
        <f ca="1">IF(Z266&lt;=0,0,RANK(Z266,Z:Z)+COUNTIF($Z$3:$Z266,Z266)-1)</f>
        <v>0</v>
      </c>
      <c r="AB266" s="1211">
        <f t="shared" ca="1" si="187"/>
        <v>-21125.192282999997</v>
      </c>
      <c r="AC266" s="136">
        <f ca="1">IF(AB266&lt;=0,0,RANK(AB266,AB:AB)+COUNTIF($AB$3:$AB266,AB266)-1)</f>
        <v>0</v>
      </c>
      <c r="AD266" s="1123">
        <f t="shared" ca="1" si="188"/>
        <v>99999</v>
      </c>
      <c r="AE266" s="1123">
        <f ca="1">IF(AD266=99999,0,RANK(AD266,AD:AD,1)+COUNTIF($AD$3:$AD266,AD266)-1)</f>
        <v>0</v>
      </c>
      <c r="AF266" s="86" t="b">
        <f ca="1">IF(OR(M266&lt;&gt;"",L266="無",K266="高資產",IFERROR(MATCH(B266,換券單檔!K:K,0),"N")&lt;&gt;"N"),FALSE,TRUE)</f>
        <v>1</v>
      </c>
      <c r="AI266" s="1212">
        <f t="shared" ca="1" si="189"/>
        <v>85000</v>
      </c>
      <c r="AJ266" s="1213">
        <f t="shared" ca="1" si="190"/>
        <v>4972.5</v>
      </c>
      <c r="AK266" s="1587">
        <f t="shared" ca="1" si="191"/>
        <v>-29645.596935138987</v>
      </c>
      <c r="AN266" s="1212">
        <f t="shared" ca="1" si="192"/>
        <v>48000</v>
      </c>
      <c r="AO266" s="1213">
        <f t="shared" ca="1" si="193"/>
        <v>2808</v>
      </c>
      <c r="AP266" s="1587">
        <f t="shared" ca="1" si="194"/>
        <v>-102385.65787598005</v>
      </c>
      <c r="AS266" s="1212">
        <f t="shared" ca="1" si="195"/>
        <v>83000</v>
      </c>
      <c r="AT266" s="1213">
        <f t="shared" ca="1" si="196"/>
        <v>4855.5</v>
      </c>
      <c r="AU266" s="1587">
        <f t="shared" ca="1" si="197"/>
        <v>-34056.415181753386</v>
      </c>
      <c r="AX266" s="1212">
        <f t="shared" ca="1" si="198"/>
        <v>76000</v>
      </c>
      <c r="AY266" s="1213">
        <f t="shared" ca="1" si="199"/>
        <v>4446</v>
      </c>
      <c r="AZ266" s="1587">
        <f t="shared" ca="1" si="200"/>
        <v>-48011.572344975059</v>
      </c>
      <c r="BC266" s="1212">
        <f t="shared" ca="1" si="201"/>
        <v>0</v>
      </c>
      <c r="BD266" s="1213">
        <f t="shared" ca="1" si="202"/>
        <v>0</v>
      </c>
      <c r="BE266" s="1587">
        <f t="shared" ca="1" si="203"/>
        <v>0</v>
      </c>
      <c r="BH266" s="1212">
        <f t="shared" ca="1" si="204"/>
        <v>0</v>
      </c>
      <c r="BI266" s="1213">
        <f t="shared" ca="1" si="205"/>
        <v>0</v>
      </c>
      <c r="BJ266" s="1587">
        <f t="shared" ca="1" si="206"/>
        <v>0</v>
      </c>
      <c r="BM266" s="1212">
        <f t="shared" ca="1" si="207"/>
        <v>0</v>
      </c>
      <c r="BN266" s="1213">
        <f t="shared" ca="1" si="208"/>
        <v>0</v>
      </c>
      <c r="BO266" s="1587">
        <f t="shared" ca="1" si="209"/>
        <v>0</v>
      </c>
      <c r="BR266" s="1212">
        <f t="shared" ca="1" si="210"/>
        <v>0</v>
      </c>
      <c r="BS266" s="1213">
        <f t="shared" ca="1" si="211"/>
        <v>0</v>
      </c>
      <c r="BT266" s="1587">
        <f t="shared" ca="1" si="212"/>
        <v>0</v>
      </c>
      <c r="BW266" s="1212">
        <f t="shared" ca="1" si="213"/>
        <v>0</v>
      </c>
      <c r="BX266" s="1213">
        <f t="shared" ca="1" si="214"/>
        <v>0</v>
      </c>
      <c r="BY266" s="1587">
        <f t="shared" ca="1" si="215"/>
        <v>0</v>
      </c>
      <c r="CB266" s="1212">
        <f t="shared" ca="1" si="216"/>
        <v>0</v>
      </c>
      <c r="CC266" s="1213">
        <f t="shared" ca="1" si="217"/>
        <v>0</v>
      </c>
      <c r="CD266" s="1587">
        <f t="shared" ca="1" si="218"/>
        <v>0</v>
      </c>
      <c r="CG266" s="1212">
        <f t="shared" ca="1" si="219"/>
        <v>0</v>
      </c>
      <c r="CH266" s="1213">
        <f t="shared" ca="1" si="220"/>
        <v>0</v>
      </c>
      <c r="CI266" s="1587">
        <f t="shared" ca="1" si="221"/>
        <v>0</v>
      </c>
      <c r="CL266" s="1212">
        <f t="shared" ca="1" si="222"/>
        <v>0</v>
      </c>
      <c r="CM266" s="1213">
        <f t="shared" ca="1" si="223"/>
        <v>0</v>
      </c>
      <c r="CN266" s="1587">
        <f t="shared" ca="1" si="224"/>
        <v>0</v>
      </c>
    </row>
    <row r="267" spans="1:92">
      <c r="A267" s="141" t="str">
        <f>'銀行-TSS'!A267</f>
        <v>US055451BF42</v>
      </c>
      <c r="B267" s="151" t="str">
        <f ca="1">VLOOKUP(A267,'銀行-TSS'!A:B,2,FALSE)</f>
        <v>XH680</v>
      </c>
      <c r="C267" s="151" t="str">
        <f ca="1">VLOOKUP(B267,bond!B:C,2,FALSE)</f>
        <v>必和必拓金融(美國)有限公司美元配息債券 5.5% 2053/9/8</v>
      </c>
      <c r="D267" s="95" t="str">
        <f>VLOOKUP(A267,'銀行-TSS'!A:C,3,FALSE)</f>
        <v>USD</v>
      </c>
      <c r="E267" s="90">
        <f ca="1">VLOOKUP(A267,'銀行-TSS'!A:G,7,FALSE)</f>
        <v>29.19</v>
      </c>
      <c r="F267" s="202">
        <f ca="1">VLOOKUP(A267,'銀行-TSS'!A:H,8,FALSE)</f>
        <v>5.5E-2</v>
      </c>
      <c r="G267" s="96">
        <f ca="1">VLOOKUP(A267,'銀行-TSS'!A:K,11,FALSE)</f>
        <v>105.15</v>
      </c>
      <c r="H267" s="1209">
        <f ca="1">VLOOKUP(A267,'銀行-TSS'!A:M,13,FALSE)</f>
        <v>5.2699999999999997E-2</v>
      </c>
      <c r="I267" s="1213">
        <f ca="1">VLOOKUP(A267,'銀行-TSS'!A:N,14,FALSE)</f>
        <v>10000</v>
      </c>
      <c r="J267" s="1213">
        <f ca="1">VLOOKUP(A267,'銀行-TSS'!A:O,15,FALSE)</f>
        <v>1000</v>
      </c>
      <c r="K267" s="136" t="str">
        <f ca="1">VLOOKUP(A267,'銀行-TSS'!A:V,22,FALSE)</f>
        <v>(NPI)非專投</v>
      </c>
      <c r="L267" s="136" t="str">
        <f ca="1">VLOOKUP(A267,'銀行-TSS'!A:AK,37,FALSE)</f>
        <v>有</v>
      </c>
      <c r="M267" s="136" t="str">
        <f ca="1">VLOOKUP(A267,'銀行-TSS'!A:AN,40,FALSE)</f>
        <v/>
      </c>
      <c r="N267" s="136">
        <f t="shared" ca="1" si="180"/>
        <v>1051.5</v>
      </c>
      <c r="O267" s="1213">
        <f t="shared" ca="1" si="181"/>
        <v>10515</v>
      </c>
      <c r="P267" s="1213">
        <f ca="1">IF(AND($O$1&gt;=O267,換券單檔!$D$13=D267),I267+INT(($O$1-O267)/N267)*J267,0)</f>
        <v>91000</v>
      </c>
      <c r="Q267" s="1213">
        <f t="shared" ca="1" si="182"/>
        <v>5005</v>
      </c>
      <c r="R267" s="1213">
        <f t="shared" ca="1" si="183"/>
        <v>91000</v>
      </c>
      <c r="S267" s="1213">
        <f t="shared" ca="1" si="184"/>
        <v>5005</v>
      </c>
      <c r="T267" s="136">
        <f ca="1">IF(OR(R267=0,A267=0),0,IF(AND(V267=TRUE,換券單檔!$D$13=D267),E267,0))</f>
        <v>29.19</v>
      </c>
      <c r="U267" s="861">
        <f ca="1">IF(OR(R267=0,A267=0),0,IF(AND(V267=TRUE,換券單檔!$D$13=D267),H267,0))</f>
        <v>5.2699999999999997E-2</v>
      </c>
      <c r="V267" s="136" t="b">
        <f ca="1">IF(OR(B267=換券單檔!$D$3,L267="無",M267&lt;&gt;"",K267="高資產",IFERROR(MATCH(B267,換券單檔!K:K,0),"N")&lt;&gt;"N"),FALSE,IF($V$1="All",TRUE,IF(K267=$V$1,TRUE,FALSE)))</f>
        <v>1</v>
      </c>
      <c r="W267" s="136">
        <f ca="1">VLOOKUP(A267,'銀行-TSS'!A:AO,41,FALSE)</f>
        <v>99.910000000000011</v>
      </c>
      <c r="X267" s="136">
        <f ca="1">VLOOKUP(A267,'銀行-TSS'!A:AP,42,FALSE)</f>
        <v>14.174099999999999</v>
      </c>
      <c r="Y267" s="1220">
        <f t="shared" ca="1" si="185"/>
        <v>12886.822412100002</v>
      </c>
      <c r="Z267" s="1220">
        <f t="shared" ca="1" si="186"/>
        <v>-17542.965056526205</v>
      </c>
      <c r="AA267" s="136">
        <f ca="1">IF(Z267&lt;=0,0,RANK(Z267,Z:Z)+COUNTIF($Z$3:$Z267,Z267)-1)</f>
        <v>0</v>
      </c>
      <c r="AB267" s="1211">
        <f t="shared" ca="1" si="187"/>
        <v>-11009.317587899997</v>
      </c>
      <c r="AC267" s="136">
        <f ca="1">IF(AB267&lt;=0,0,RANK(AB267,AB:AB)+COUNTIF($AB$3:$AB267,AB267)-1)</f>
        <v>0</v>
      </c>
      <c r="AD267" s="1123">
        <f t="shared" ca="1" si="188"/>
        <v>99999</v>
      </c>
      <c r="AE267" s="1123">
        <f ca="1">IF(AD267=99999,0,RANK(AD267,AD:AD,1)+COUNTIF($AD$3:$AD267,AD267)-1)</f>
        <v>0</v>
      </c>
      <c r="AF267" s="86" t="b">
        <f ca="1">IF(OR(M267&lt;&gt;"",L267="無",K267="高資產",IFERROR(MATCH(B267,換券單檔!K:K,0),"N")&lt;&gt;"N"),FALSE,TRUE)</f>
        <v>1</v>
      </c>
      <c r="AI267" s="1212">
        <f t="shared" ca="1" si="189"/>
        <v>91000</v>
      </c>
      <c r="AJ267" s="1213">
        <f t="shared" ca="1" si="190"/>
        <v>5005</v>
      </c>
      <c r="AK267" s="1587">
        <f t="shared" ca="1" si="191"/>
        <v>-17542.965056526205</v>
      </c>
      <c r="AN267" s="1212">
        <f t="shared" ca="1" si="192"/>
        <v>52000</v>
      </c>
      <c r="AO267" s="1213">
        <f t="shared" ca="1" si="193"/>
        <v>2860</v>
      </c>
      <c r="AP267" s="1587">
        <f t="shared" ca="1" si="194"/>
        <v>-94201.34635149024</v>
      </c>
      <c r="AS267" s="1212">
        <f t="shared" ca="1" si="195"/>
        <v>89000</v>
      </c>
      <c r="AT267" s="1213">
        <f t="shared" ca="1" si="196"/>
        <v>4895</v>
      </c>
      <c r="AU267" s="1587">
        <f t="shared" ca="1" si="197"/>
        <v>-21941.02774922919</v>
      </c>
      <c r="AX267" s="1212">
        <f t="shared" ca="1" si="198"/>
        <v>82000</v>
      </c>
      <c r="AY267" s="1213">
        <f t="shared" ca="1" si="199"/>
        <v>4510</v>
      </c>
      <c r="AZ267" s="1587">
        <f t="shared" ca="1" si="200"/>
        <v>-35823.083247687566</v>
      </c>
      <c r="BC267" s="1212">
        <f t="shared" ca="1" si="201"/>
        <v>0</v>
      </c>
      <c r="BD267" s="1213">
        <f t="shared" ca="1" si="202"/>
        <v>0</v>
      </c>
      <c r="BE267" s="1587">
        <f t="shared" ca="1" si="203"/>
        <v>0</v>
      </c>
      <c r="BH267" s="1212">
        <f t="shared" ca="1" si="204"/>
        <v>0</v>
      </c>
      <c r="BI267" s="1213">
        <f t="shared" ca="1" si="205"/>
        <v>0</v>
      </c>
      <c r="BJ267" s="1587">
        <f t="shared" ca="1" si="206"/>
        <v>0</v>
      </c>
      <c r="BM267" s="1212">
        <f t="shared" ca="1" si="207"/>
        <v>0</v>
      </c>
      <c r="BN267" s="1213">
        <f t="shared" ca="1" si="208"/>
        <v>0</v>
      </c>
      <c r="BO267" s="1587">
        <f t="shared" ca="1" si="209"/>
        <v>0</v>
      </c>
      <c r="BR267" s="1212">
        <f t="shared" ca="1" si="210"/>
        <v>0</v>
      </c>
      <c r="BS267" s="1213">
        <f t="shared" ca="1" si="211"/>
        <v>0</v>
      </c>
      <c r="BT267" s="1587">
        <f t="shared" ca="1" si="212"/>
        <v>0</v>
      </c>
      <c r="BW267" s="1212">
        <f t="shared" ca="1" si="213"/>
        <v>0</v>
      </c>
      <c r="BX267" s="1213">
        <f t="shared" ca="1" si="214"/>
        <v>0</v>
      </c>
      <c r="BY267" s="1587">
        <f t="shared" ca="1" si="215"/>
        <v>0</v>
      </c>
      <c r="CB267" s="1212">
        <f t="shared" ca="1" si="216"/>
        <v>0</v>
      </c>
      <c r="CC267" s="1213">
        <f t="shared" ca="1" si="217"/>
        <v>0</v>
      </c>
      <c r="CD267" s="1587">
        <f t="shared" ca="1" si="218"/>
        <v>0</v>
      </c>
      <c r="CG267" s="1212">
        <f t="shared" ca="1" si="219"/>
        <v>0</v>
      </c>
      <c r="CH267" s="1213">
        <f t="shared" ca="1" si="220"/>
        <v>0</v>
      </c>
      <c r="CI267" s="1587">
        <f t="shared" ca="1" si="221"/>
        <v>0</v>
      </c>
      <c r="CL267" s="1212">
        <f t="shared" ca="1" si="222"/>
        <v>0</v>
      </c>
      <c r="CM267" s="1213">
        <f t="shared" ca="1" si="223"/>
        <v>0</v>
      </c>
      <c r="CN267" s="1587">
        <f t="shared" ca="1" si="224"/>
        <v>0</v>
      </c>
    </row>
    <row r="268" spans="1:92">
      <c r="A268" s="141" t="str">
        <f>'銀行-TSS'!A268</f>
        <v>US892331AR09</v>
      </c>
      <c r="B268" s="151" t="str">
        <f ca="1">VLOOKUP(A268,'銀行-TSS'!A:B,2,FALSE)</f>
        <v>XH690</v>
      </c>
      <c r="C268" s="151" t="str">
        <f ca="1">VLOOKUP(B268,bond!B:C,2,FALSE)</f>
        <v>豐田汽車公司美元配息債券 5.123% 2033/7/13</v>
      </c>
      <c r="D268" s="95" t="str">
        <f>VLOOKUP(A268,'銀行-TSS'!A:C,3,FALSE)</f>
        <v>USD</v>
      </c>
      <c r="E268" s="90">
        <f ca="1">VLOOKUP(A268,'銀行-TSS'!A:G,7,FALSE)</f>
        <v>9.0299999999999994</v>
      </c>
      <c r="F268" s="202">
        <f ca="1">VLOOKUP(A268,'銀行-TSS'!A:H,8,FALSE)</f>
        <v>5.1230000000000005E-2</v>
      </c>
      <c r="G268" s="96">
        <f ca="1">VLOOKUP(A268,'銀行-TSS'!A:K,11,FALSE)</f>
        <v>109.18</v>
      </c>
      <c r="H268" s="1209">
        <f ca="1">VLOOKUP(A268,'銀行-TSS'!A:M,13,FALSE)</f>
        <v>4.2099999999999999E-2</v>
      </c>
      <c r="I268" s="1213">
        <f ca="1">VLOOKUP(A268,'銀行-TSS'!A:N,14,FALSE)</f>
        <v>10000</v>
      </c>
      <c r="J268" s="1213">
        <f ca="1">VLOOKUP(A268,'銀行-TSS'!A:O,15,FALSE)</f>
        <v>1000</v>
      </c>
      <c r="K268" s="136" t="str">
        <f ca="1">VLOOKUP(A268,'銀行-TSS'!A:V,22,FALSE)</f>
        <v>(NPI)非專投</v>
      </c>
      <c r="L268" s="136" t="str">
        <f ca="1">VLOOKUP(A268,'銀行-TSS'!A:AK,37,FALSE)</f>
        <v>有</v>
      </c>
      <c r="M268" s="136" t="str">
        <f ca="1">VLOOKUP(A268,'銀行-TSS'!A:AN,40,FALSE)</f>
        <v/>
      </c>
      <c r="N268" s="136">
        <f t="shared" ca="1" si="180"/>
        <v>1091.8</v>
      </c>
      <c r="O268" s="1213">
        <f t="shared" ca="1" si="181"/>
        <v>10918</v>
      </c>
      <c r="P268" s="1213">
        <f ca="1">IF(AND($O$1&gt;=O268,換券單檔!$D$13=D268),I268+INT(($O$1-O268)/N268)*J268,0)</f>
        <v>88000</v>
      </c>
      <c r="Q268" s="1213">
        <f t="shared" ca="1" si="182"/>
        <v>4508.2400000000007</v>
      </c>
      <c r="R268" s="1213">
        <f t="shared" ca="1" si="183"/>
        <v>88000</v>
      </c>
      <c r="S268" s="1213">
        <f t="shared" ca="1" si="184"/>
        <v>4508.2400000000007</v>
      </c>
      <c r="T268" s="136">
        <f ca="1">IF(OR(R268=0,A268=0),0,IF(AND(V268=TRUE,換券單檔!$D$13=D268),E268,0))</f>
        <v>9.0299999999999994</v>
      </c>
      <c r="U268" s="861">
        <f ca="1">IF(OR(R268=0,A268=0),0,IF(AND(V268=TRUE,換券單檔!$D$13=D268),H268,0))</f>
        <v>4.2099999999999999E-2</v>
      </c>
      <c r="V268" s="136" t="b">
        <f ca="1">IF(OR(B268=換券單檔!$D$3,L268="無",M268&lt;&gt;"",K268="高資產",IFERROR(MATCH(B268,換券單檔!K:K,0),"N")&lt;&gt;"N"),FALSE,IF($V$1="All",TRUE,IF(K268=$V$1,TRUE,FALSE)))</f>
        <v>1</v>
      </c>
      <c r="W268" s="136">
        <f ca="1">VLOOKUP(A268,'銀行-TSS'!A:AO,41,FALSE)</f>
        <v>104.77000000000001</v>
      </c>
      <c r="X268" s="136">
        <f ca="1">VLOOKUP(A268,'銀行-TSS'!A:AP,42,FALSE)</f>
        <v>6.9105999999999996</v>
      </c>
      <c r="Y268" s="1220">
        <f t="shared" ca="1" si="185"/>
        <v>6371.4073456000006</v>
      </c>
      <c r="Z268" s="1220">
        <f t="shared" ca="1" si="186"/>
        <v>-24968.509235880396</v>
      </c>
      <c r="AA268" s="136">
        <f ca="1">IF(Z268&lt;=0,0,RANK(Z268,Z:Z)+COUNTIF($Z$3:$Z268,Z268)-1)</f>
        <v>0</v>
      </c>
      <c r="AB268" s="1211">
        <f t="shared" ca="1" si="187"/>
        <v>-20524.732654399999</v>
      </c>
      <c r="AC268" s="136">
        <f ca="1">IF(AB268&lt;=0,0,RANK(AB268,AB:AB)+COUNTIF($AB$3:$AB268,AB268)-1)</f>
        <v>0</v>
      </c>
      <c r="AD268" s="1123">
        <f t="shared" ca="1" si="188"/>
        <v>99999</v>
      </c>
      <c r="AE268" s="1123">
        <f ca="1">IF(AD268=99999,0,RANK(AD268,AD:AD,1)+COUNTIF($AD$3:$AD268,AD268)-1)</f>
        <v>0</v>
      </c>
      <c r="AF268" s="86" t="b">
        <f ca="1">IF(OR(M268&lt;&gt;"",L268="無",K268="高資產",IFERROR(MATCH(B268,換券單檔!K:K,0),"N")&lt;&gt;"N"),FALSE,TRUE)</f>
        <v>1</v>
      </c>
      <c r="AI268" s="1212">
        <f t="shared" ca="1" si="189"/>
        <v>88000</v>
      </c>
      <c r="AJ268" s="1213">
        <f t="shared" ca="1" si="190"/>
        <v>4508.2400000000007</v>
      </c>
      <c r="AK268" s="1587">
        <f t="shared" ca="1" si="191"/>
        <v>-24968.509235880396</v>
      </c>
      <c r="AN268" s="1212">
        <f t="shared" ca="1" si="192"/>
        <v>50000</v>
      </c>
      <c r="AO268" s="1213">
        <f t="shared" ca="1" si="193"/>
        <v>2561.5000000000005</v>
      </c>
      <c r="AP268" s="1587">
        <f t="shared" ca="1" si="194"/>
        <v>-99117.244186046504</v>
      </c>
      <c r="AS268" s="1212">
        <f t="shared" ca="1" si="195"/>
        <v>86000</v>
      </c>
      <c r="AT268" s="1213">
        <f t="shared" ca="1" si="196"/>
        <v>4405.7800000000007</v>
      </c>
      <c r="AU268" s="1587">
        <f t="shared" ca="1" si="197"/>
        <v>-29329.716478405313</v>
      </c>
      <c r="AX268" s="1212">
        <f t="shared" ca="1" si="198"/>
        <v>79000</v>
      </c>
      <c r="AY268" s="1213">
        <f t="shared" ca="1" si="199"/>
        <v>4047.1700000000005</v>
      </c>
      <c r="AZ268" s="1587">
        <f t="shared" ca="1" si="200"/>
        <v>-43141.574717607975</v>
      </c>
      <c r="BC268" s="1212">
        <f t="shared" ca="1" si="201"/>
        <v>0</v>
      </c>
      <c r="BD268" s="1213">
        <f t="shared" ca="1" si="202"/>
        <v>0</v>
      </c>
      <c r="BE268" s="1587">
        <f t="shared" ca="1" si="203"/>
        <v>0</v>
      </c>
      <c r="BH268" s="1212">
        <f t="shared" ca="1" si="204"/>
        <v>0</v>
      </c>
      <c r="BI268" s="1213">
        <f t="shared" ca="1" si="205"/>
        <v>0</v>
      </c>
      <c r="BJ268" s="1587">
        <f t="shared" ca="1" si="206"/>
        <v>0</v>
      </c>
      <c r="BM268" s="1212">
        <f t="shared" ca="1" si="207"/>
        <v>0</v>
      </c>
      <c r="BN268" s="1213">
        <f t="shared" ca="1" si="208"/>
        <v>0</v>
      </c>
      <c r="BO268" s="1587">
        <f t="shared" ca="1" si="209"/>
        <v>0</v>
      </c>
      <c r="BR268" s="1212">
        <f t="shared" ca="1" si="210"/>
        <v>0</v>
      </c>
      <c r="BS268" s="1213">
        <f t="shared" ca="1" si="211"/>
        <v>0</v>
      </c>
      <c r="BT268" s="1587">
        <f t="shared" ca="1" si="212"/>
        <v>0</v>
      </c>
      <c r="BW268" s="1212">
        <f t="shared" ca="1" si="213"/>
        <v>0</v>
      </c>
      <c r="BX268" s="1213">
        <f t="shared" ca="1" si="214"/>
        <v>0</v>
      </c>
      <c r="BY268" s="1587">
        <f t="shared" ca="1" si="215"/>
        <v>0</v>
      </c>
      <c r="CB268" s="1212">
        <f t="shared" ca="1" si="216"/>
        <v>0</v>
      </c>
      <c r="CC268" s="1213">
        <f t="shared" ca="1" si="217"/>
        <v>0</v>
      </c>
      <c r="CD268" s="1587">
        <f t="shared" ca="1" si="218"/>
        <v>0</v>
      </c>
      <c r="CG268" s="1212">
        <f t="shared" ca="1" si="219"/>
        <v>0</v>
      </c>
      <c r="CH268" s="1213">
        <f t="shared" ca="1" si="220"/>
        <v>0</v>
      </c>
      <c r="CI268" s="1587">
        <f t="shared" ca="1" si="221"/>
        <v>0</v>
      </c>
      <c r="CL268" s="1212">
        <f t="shared" ca="1" si="222"/>
        <v>0</v>
      </c>
      <c r="CM268" s="1213">
        <f t="shared" ca="1" si="223"/>
        <v>0</v>
      </c>
      <c r="CN268" s="1587">
        <f t="shared" ca="1" si="224"/>
        <v>0</v>
      </c>
    </row>
    <row r="269" spans="1:92">
      <c r="A269" s="141" t="str">
        <f>'銀行-TSS'!A269</f>
        <v>US438127AC63</v>
      </c>
      <c r="B269" s="151" t="str">
        <f ca="1">VLOOKUP(A269,'銀行-TSS'!A:B,2,FALSE)</f>
        <v>XH700</v>
      </c>
      <c r="C269" s="151" t="str">
        <f ca="1">VLOOKUP(B269,bond!B:C,2,FALSE)</f>
        <v>本田汽車公司美元配息債券 2.967% 2032/03/10</v>
      </c>
      <c r="D269" s="95" t="str">
        <f>VLOOKUP(A269,'銀行-TSS'!A:C,3,FALSE)</f>
        <v>USD</v>
      </c>
      <c r="E269" s="90">
        <f ca="1">VLOOKUP(A269,'銀行-TSS'!A:G,7,FALSE)</f>
        <v>7.69</v>
      </c>
      <c r="F269" s="202">
        <f ca="1">VLOOKUP(A269,'銀行-TSS'!A:H,8,FALSE)</f>
        <v>2.9670000000000002E-2</v>
      </c>
      <c r="G269" s="96">
        <f ca="1">VLOOKUP(A269,'銀行-TSS'!A:K,11,FALSE)</f>
        <v>91.3</v>
      </c>
      <c r="H269" s="1209">
        <f ca="1">VLOOKUP(A269,'銀行-TSS'!A:M,13,FALSE)</f>
        <v>4.4600000000000001E-2</v>
      </c>
      <c r="I269" s="1213">
        <f ca="1">VLOOKUP(A269,'銀行-TSS'!A:N,14,FALSE)</f>
        <v>10000</v>
      </c>
      <c r="J269" s="1213">
        <f ca="1">VLOOKUP(A269,'銀行-TSS'!A:O,15,FALSE)</f>
        <v>1000</v>
      </c>
      <c r="K269" s="136" t="str">
        <f ca="1">VLOOKUP(A269,'銀行-TSS'!A:V,22,FALSE)</f>
        <v>(NPI)非專投</v>
      </c>
      <c r="L269" s="136" t="str">
        <f ca="1">VLOOKUP(A269,'銀行-TSS'!A:AK,37,FALSE)</f>
        <v>有</v>
      </c>
      <c r="M269" s="136" t="str">
        <f ca="1">VLOOKUP(A269,'銀行-TSS'!A:AN,40,FALSE)</f>
        <v/>
      </c>
      <c r="N269" s="136">
        <f t="shared" ca="1" si="180"/>
        <v>913</v>
      </c>
      <c r="O269" s="1213">
        <f t="shared" ca="1" si="181"/>
        <v>9130</v>
      </c>
      <c r="P269" s="1213">
        <f ca="1">IF(AND($O$1&gt;=O269,換券單檔!$D$13=D269),I269+INT(($O$1-O269)/N269)*J269,0)</f>
        <v>105000</v>
      </c>
      <c r="Q269" s="1213">
        <f t="shared" ca="1" si="182"/>
        <v>3115.3500000000004</v>
      </c>
      <c r="R269" s="1213">
        <f t="shared" ca="1" si="183"/>
        <v>105000</v>
      </c>
      <c r="S269" s="1213">
        <f t="shared" ca="1" si="184"/>
        <v>3115.3500000000004</v>
      </c>
      <c r="T269" s="136">
        <f ca="1">IF(OR(R269=0,A269=0),0,IF(AND(V269=TRUE,換券單檔!$D$13=D269),E269,0))</f>
        <v>7.69</v>
      </c>
      <c r="U269" s="861">
        <f ca="1">IF(OR(R269=0,A269=0),0,IF(AND(V269=TRUE,換券單檔!$D$13=D269),H269,0))</f>
        <v>4.4600000000000001E-2</v>
      </c>
      <c r="V269" s="136" t="b">
        <f ca="1">IF(OR(B269=換券單檔!$D$3,L269="無",M269&lt;&gt;"",K269="高資產",IFERROR(MATCH(B269,換券單檔!K:K,0),"N")&lt;&gt;"N"),FALSE,IF($V$1="All",TRUE,IF(K269=$V$1,TRUE,FALSE)))</f>
        <v>1</v>
      </c>
      <c r="W269" s="136">
        <f ca="1">VLOOKUP(A269,'銀行-TSS'!A:AO,41,FALSE)</f>
        <v>88.38000000000001</v>
      </c>
      <c r="X269" s="136">
        <f ca="1">VLOOKUP(A269,'銀行-TSS'!A:AP,42,FALSE)</f>
        <v>6.6494999999999997</v>
      </c>
      <c r="Y269" s="1220">
        <f t="shared" ca="1" si="185"/>
        <v>6170.6695050000008</v>
      </c>
      <c r="Z269" s="1220">
        <f t="shared" ca="1" si="186"/>
        <v>0</v>
      </c>
      <c r="AA269" s="136">
        <f ca="1">IF(Z269&lt;=0,0,RANK(Z269,Z:Z)+COUNTIF($Z$3:$Z269,Z269)-1)</f>
        <v>0</v>
      </c>
      <c r="AB269" s="1211">
        <f t="shared" ca="1" si="187"/>
        <v>-8725.4704949999978</v>
      </c>
      <c r="AC269" s="136">
        <f ca="1">IF(AB269&lt;=0,0,RANK(AB269,AB:AB)+COUNTIF($AB$3:$AB269,AB269)-1)</f>
        <v>0</v>
      </c>
      <c r="AD269" s="1123">
        <f t="shared" ca="1" si="188"/>
        <v>99999</v>
      </c>
      <c r="AE269" s="1123">
        <f ca="1">IF(AD269=99999,0,RANK(AD269,AD:AD,1)+COUNTIF($AD$3:$AD269,AD269)-1)</f>
        <v>0</v>
      </c>
      <c r="AF269" s="86" t="b">
        <f ca="1">IF(OR(M269&lt;&gt;"",L269="無",K269="高資產",IFERROR(MATCH(B269,換券單檔!K:K,0),"N")&lt;&gt;"N"),FALSE,TRUE)</f>
        <v>1</v>
      </c>
      <c r="AI269" s="1212">
        <f t="shared" ca="1" si="189"/>
        <v>105000</v>
      </c>
      <c r="AJ269" s="1213">
        <f t="shared" ca="1" si="190"/>
        <v>3115.3500000000004</v>
      </c>
      <c r="AK269" s="1587">
        <f t="shared" ca="1" si="191"/>
        <v>0</v>
      </c>
      <c r="AN269" s="1212">
        <f t="shared" ca="1" si="192"/>
        <v>60000</v>
      </c>
      <c r="AO269" s="1213">
        <f t="shared" ca="1" si="193"/>
        <v>1780.2</v>
      </c>
      <c r="AP269" s="1587">
        <f t="shared" ca="1" si="194"/>
        <v>0</v>
      </c>
      <c r="AS269" s="1212">
        <f t="shared" ca="1" si="195"/>
        <v>103000</v>
      </c>
      <c r="AT269" s="1213">
        <f t="shared" ca="1" si="196"/>
        <v>3056.01</v>
      </c>
      <c r="AU269" s="1587">
        <f t="shared" ca="1" si="197"/>
        <v>0</v>
      </c>
      <c r="AX269" s="1212">
        <f t="shared" ca="1" si="198"/>
        <v>95000</v>
      </c>
      <c r="AY269" s="1213">
        <f t="shared" ca="1" si="199"/>
        <v>2818.65</v>
      </c>
      <c r="AZ269" s="1587">
        <f t="shared" ca="1" si="200"/>
        <v>0</v>
      </c>
      <c r="BC269" s="1212">
        <f t="shared" ca="1" si="201"/>
        <v>0</v>
      </c>
      <c r="BD269" s="1213">
        <f t="shared" ca="1" si="202"/>
        <v>0</v>
      </c>
      <c r="BE269" s="1587">
        <f t="shared" ca="1" si="203"/>
        <v>0</v>
      </c>
      <c r="BH269" s="1212">
        <f t="shared" ca="1" si="204"/>
        <v>0</v>
      </c>
      <c r="BI269" s="1213">
        <f t="shared" ca="1" si="205"/>
        <v>0</v>
      </c>
      <c r="BJ269" s="1587">
        <f t="shared" ca="1" si="206"/>
        <v>0</v>
      </c>
      <c r="BM269" s="1212">
        <f t="shared" ca="1" si="207"/>
        <v>0</v>
      </c>
      <c r="BN269" s="1213">
        <f t="shared" ca="1" si="208"/>
        <v>0</v>
      </c>
      <c r="BO269" s="1587">
        <f t="shared" ca="1" si="209"/>
        <v>0</v>
      </c>
      <c r="BR269" s="1212">
        <f t="shared" ca="1" si="210"/>
        <v>0</v>
      </c>
      <c r="BS269" s="1213">
        <f t="shared" ca="1" si="211"/>
        <v>0</v>
      </c>
      <c r="BT269" s="1587">
        <f t="shared" ca="1" si="212"/>
        <v>0</v>
      </c>
      <c r="BW269" s="1212">
        <f t="shared" ca="1" si="213"/>
        <v>0</v>
      </c>
      <c r="BX269" s="1213">
        <f t="shared" ca="1" si="214"/>
        <v>0</v>
      </c>
      <c r="BY269" s="1587">
        <f t="shared" ca="1" si="215"/>
        <v>0</v>
      </c>
      <c r="CB269" s="1212">
        <f t="shared" ca="1" si="216"/>
        <v>0</v>
      </c>
      <c r="CC269" s="1213">
        <f t="shared" ca="1" si="217"/>
        <v>0</v>
      </c>
      <c r="CD269" s="1587">
        <f t="shared" ca="1" si="218"/>
        <v>0</v>
      </c>
      <c r="CG269" s="1212">
        <f t="shared" ca="1" si="219"/>
        <v>0</v>
      </c>
      <c r="CH269" s="1213">
        <f t="shared" ca="1" si="220"/>
        <v>0</v>
      </c>
      <c r="CI269" s="1587">
        <f t="shared" ca="1" si="221"/>
        <v>0</v>
      </c>
      <c r="CL269" s="1212">
        <f t="shared" ca="1" si="222"/>
        <v>0</v>
      </c>
      <c r="CM269" s="1213">
        <f t="shared" ca="1" si="223"/>
        <v>0</v>
      </c>
      <c r="CN269" s="1587">
        <f t="shared" ca="1" si="224"/>
        <v>0</v>
      </c>
    </row>
    <row r="270" spans="1:92">
      <c r="A270" s="141" t="str">
        <f>'銀行-TSS'!A270</f>
        <v>US02665WER88</v>
      </c>
      <c r="B270" s="151" t="str">
        <f ca="1">VLOOKUP(A270,'銀行-TSS'!A:B,2,FALSE)</f>
        <v>XH710</v>
      </c>
      <c r="C270" s="151" t="str">
        <f ca="1">VLOOKUP(B270,bond!B:C,2,FALSE)</f>
        <v>美國本田金融公司美元配息債券  5.85% 2030/10/04</v>
      </c>
      <c r="D270" s="95" t="str">
        <f>VLOOKUP(A270,'銀行-TSS'!A:C,3,FALSE)</f>
        <v>USD</v>
      </c>
      <c r="E270" s="90">
        <f ca="1">VLOOKUP(A270,'銀行-TSS'!A:G,7,FALSE)</f>
        <v>6.26</v>
      </c>
      <c r="F270" s="202">
        <f ca="1">VLOOKUP(A270,'銀行-TSS'!A:H,8,FALSE)</f>
        <v>5.8499999999999996E-2</v>
      </c>
      <c r="G270" s="96">
        <f ca="1">VLOOKUP(A270,'銀行-TSS'!A:K,11,FALSE)</f>
        <v>107.82</v>
      </c>
      <c r="H270" s="1209">
        <f ca="1">VLOOKUP(A270,'銀行-TSS'!A:M,13,FALSE)</f>
        <v>4.6600000000000003E-2</v>
      </c>
      <c r="I270" s="1213">
        <f ca="1">VLOOKUP(A270,'銀行-TSS'!A:N,14,FALSE)</f>
        <v>10000</v>
      </c>
      <c r="J270" s="1213">
        <f ca="1">VLOOKUP(A270,'銀行-TSS'!A:O,15,FALSE)</f>
        <v>1000</v>
      </c>
      <c r="K270" s="136" t="str">
        <f ca="1">VLOOKUP(A270,'銀行-TSS'!A:V,22,FALSE)</f>
        <v>(NPI)非專投</v>
      </c>
      <c r="L270" s="136" t="str">
        <f ca="1">VLOOKUP(A270,'銀行-TSS'!A:AK,37,FALSE)</f>
        <v>有</v>
      </c>
      <c r="M270" s="136" t="str">
        <f ca="1">VLOOKUP(A270,'銀行-TSS'!A:AN,40,FALSE)</f>
        <v/>
      </c>
      <c r="N270" s="136">
        <f t="shared" ca="1" si="180"/>
        <v>1078.2</v>
      </c>
      <c r="O270" s="1213">
        <f t="shared" ca="1" si="181"/>
        <v>10782</v>
      </c>
      <c r="P270" s="1213">
        <f ca="1">IF(AND($O$1&gt;=O270,換券單檔!$D$13=D270),I270+INT(($O$1-O270)/N270)*J270,0)</f>
        <v>89000</v>
      </c>
      <c r="Q270" s="1213">
        <f t="shared" ca="1" si="182"/>
        <v>5206.5</v>
      </c>
      <c r="R270" s="1213">
        <f t="shared" ca="1" si="183"/>
        <v>89000</v>
      </c>
      <c r="S270" s="1213">
        <f t="shared" ca="1" si="184"/>
        <v>5206.5</v>
      </c>
      <c r="T270" s="136">
        <f ca="1">IF(OR(R270=0,A270=0),0,IF(AND(V270=TRUE,換券單檔!$D$13=D270),E270,0))</f>
        <v>6.26</v>
      </c>
      <c r="U270" s="861">
        <f ca="1">IF(OR(R270=0,A270=0),0,IF(AND(V270=TRUE,換券單檔!$D$13=D270),H270,0))</f>
        <v>4.6600000000000003E-2</v>
      </c>
      <c r="V270" s="136" t="b">
        <f ca="1">IF(OR(B270=換券單檔!$D$3,L270="無",M270&lt;&gt;"",K270="高資產",IFERROR(MATCH(B270,換券單檔!K:K,0),"N")&lt;&gt;"N"),FALSE,IF($V$1="All",TRUE,IF(K270=$V$1,TRUE,FALSE)))</f>
        <v>1</v>
      </c>
      <c r="W270" s="136">
        <f ca="1">VLOOKUP(A270,'銀行-TSS'!A:AO,41,FALSE)</f>
        <v>104.89</v>
      </c>
      <c r="X270" s="136">
        <f ca="1">VLOOKUP(A270,'銀行-TSS'!A:AP,42,FALSE)</f>
        <v>5.1597</v>
      </c>
      <c r="Y270" s="1220">
        <f t="shared" ca="1" si="185"/>
        <v>4816.6883036999998</v>
      </c>
      <c r="Z270" s="1220">
        <f t="shared" ca="1" si="186"/>
        <v>-21015.923322683702</v>
      </c>
      <c r="AA270" s="136">
        <f ca="1">IF(Z270&lt;=0,0,RANK(Z270,Z:Z)+COUNTIF($Z$3:$Z270,Z270)-1)</f>
        <v>0</v>
      </c>
      <c r="AB270" s="1211">
        <f t="shared" ca="1" si="187"/>
        <v>-21079.451696299999</v>
      </c>
      <c r="AC270" s="136">
        <f ca="1">IF(AB270&lt;=0,0,RANK(AB270,AB:AB)+COUNTIF($AB$3:$AB270,AB270)-1)</f>
        <v>0</v>
      </c>
      <c r="AD270" s="1123">
        <f t="shared" ca="1" si="188"/>
        <v>99999</v>
      </c>
      <c r="AE270" s="1123">
        <f ca="1">IF(AD270=99999,0,RANK(AD270,AD:AD,1)+COUNTIF($AD$3:$AD270,AD270)-1)</f>
        <v>0</v>
      </c>
      <c r="AF270" s="86" t="b">
        <f ca="1">IF(OR(M270&lt;&gt;"",L270="無",K270="高資產",IFERROR(MATCH(B270,換券單檔!K:K,0),"N")&lt;&gt;"N"),FALSE,TRUE)</f>
        <v>1</v>
      </c>
      <c r="AI270" s="1212">
        <f t="shared" ca="1" si="189"/>
        <v>89000</v>
      </c>
      <c r="AJ270" s="1213">
        <f t="shared" ca="1" si="190"/>
        <v>5206.5</v>
      </c>
      <c r="AK270" s="1587">
        <f t="shared" ca="1" si="191"/>
        <v>-21015.923322683702</v>
      </c>
      <c r="AN270" s="1212">
        <f t="shared" ca="1" si="192"/>
        <v>51000</v>
      </c>
      <c r="AO270" s="1213">
        <f t="shared" ca="1" si="193"/>
        <v>2983.5</v>
      </c>
      <c r="AP270" s="1587">
        <f t="shared" ca="1" si="194"/>
        <v>-95975.258785942497</v>
      </c>
      <c r="AS270" s="1212">
        <f t="shared" ca="1" si="195"/>
        <v>87000</v>
      </c>
      <c r="AT270" s="1213">
        <f t="shared" ca="1" si="196"/>
        <v>5089.5</v>
      </c>
      <c r="AU270" s="1587">
        <f t="shared" ca="1" si="197"/>
        <v>-25407.897763578276</v>
      </c>
      <c r="AX270" s="1212">
        <f t="shared" ca="1" si="198"/>
        <v>80000</v>
      </c>
      <c r="AY270" s="1213">
        <f t="shared" ca="1" si="199"/>
        <v>4680</v>
      </c>
      <c r="AZ270" s="1587">
        <f t="shared" ca="1" si="200"/>
        <v>-39365.111821086262</v>
      </c>
      <c r="BC270" s="1212">
        <f t="shared" ca="1" si="201"/>
        <v>0</v>
      </c>
      <c r="BD270" s="1213">
        <f t="shared" ca="1" si="202"/>
        <v>0</v>
      </c>
      <c r="BE270" s="1587">
        <f t="shared" ca="1" si="203"/>
        <v>0</v>
      </c>
      <c r="BH270" s="1212">
        <f t="shared" ca="1" si="204"/>
        <v>0</v>
      </c>
      <c r="BI270" s="1213">
        <f t="shared" ca="1" si="205"/>
        <v>0</v>
      </c>
      <c r="BJ270" s="1587">
        <f t="shared" ca="1" si="206"/>
        <v>0</v>
      </c>
      <c r="BM270" s="1212">
        <f t="shared" ca="1" si="207"/>
        <v>0</v>
      </c>
      <c r="BN270" s="1213">
        <f t="shared" ca="1" si="208"/>
        <v>0</v>
      </c>
      <c r="BO270" s="1587">
        <f t="shared" ca="1" si="209"/>
        <v>0</v>
      </c>
      <c r="BR270" s="1212">
        <f t="shared" ca="1" si="210"/>
        <v>0</v>
      </c>
      <c r="BS270" s="1213">
        <f t="shared" ca="1" si="211"/>
        <v>0</v>
      </c>
      <c r="BT270" s="1587">
        <f t="shared" ca="1" si="212"/>
        <v>0</v>
      </c>
      <c r="BW270" s="1212">
        <f t="shared" ca="1" si="213"/>
        <v>0</v>
      </c>
      <c r="BX270" s="1213">
        <f t="shared" ca="1" si="214"/>
        <v>0</v>
      </c>
      <c r="BY270" s="1587">
        <f t="shared" ca="1" si="215"/>
        <v>0</v>
      </c>
      <c r="CB270" s="1212">
        <f t="shared" ca="1" si="216"/>
        <v>0</v>
      </c>
      <c r="CC270" s="1213">
        <f t="shared" ca="1" si="217"/>
        <v>0</v>
      </c>
      <c r="CD270" s="1587">
        <f t="shared" ca="1" si="218"/>
        <v>0</v>
      </c>
      <c r="CG270" s="1212">
        <f t="shared" ca="1" si="219"/>
        <v>0</v>
      </c>
      <c r="CH270" s="1213">
        <f t="shared" ca="1" si="220"/>
        <v>0</v>
      </c>
      <c r="CI270" s="1587">
        <f t="shared" ca="1" si="221"/>
        <v>0</v>
      </c>
      <c r="CL270" s="1212">
        <f t="shared" ca="1" si="222"/>
        <v>0</v>
      </c>
      <c r="CM270" s="1213">
        <f t="shared" ca="1" si="223"/>
        <v>0</v>
      </c>
      <c r="CN270" s="1587">
        <f t="shared" ca="1" si="224"/>
        <v>0</v>
      </c>
    </row>
    <row r="271" spans="1:92">
      <c r="A271" s="141" t="str">
        <f>'銀行-TSS'!A271</f>
        <v>US94974BGK08</v>
      </c>
      <c r="B271" s="151" t="str">
        <f ca="1">VLOOKUP(A271,'銀行-TSS'!A:B,2,FALSE)</f>
        <v>XH720</v>
      </c>
      <c r="C271" s="151" t="str">
        <f ca="1">VLOOKUP(B271,bond!B:C,2,FALSE)</f>
        <v>富國銀行美元配息債券 3.9% 2045/05/01</v>
      </c>
      <c r="D271" s="95" t="str">
        <f>VLOOKUP(A271,'銀行-TSS'!A:C,3,FALSE)</f>
        <v>USD</v>
      </c>
      <c r="E271" s="90">
        <f ca="1">VLOOKUP(A271,'銀行-TSS'!A:G,7,FALSE)</f>
        <v>20.83</v>
      </c>
      <c r="F271" s="202">
        <f ca="1">VLOOKUP(A271,'銀行-TSS'!A:H,8,FALSE)</f>
        <v>3.9E-2</v>
      </c>
      <c r="G271" s="96">
        <f ca="1">VLOOKUP(A271,'銀行-TSS'!A:K,11,FALSE)</f>
        <v>83.96</v>
      </c>
      <c r="H271" s="1209">
        <f ca="1">VLOOKUP(A271,'銀行-TSS'!A:M,13,FALSE)</f>
        <v>5.2200000000000003E-2</v>
      </c>
      <c r="I271" s="1213">
        <f ca="1">VLOOKUP(A271,'銀行-TSS'!A:N,14,FALSE)</f>
        <v>10000</v>
      </c>
      <c r="J271" s="1213">
        <f ca="1">VLOOKUP(A271,'銀行-TSS'!A:O,15,FALSE)</f>
        <v>1000</v>
      </c>
      <c r="K271" s="136" t="str">
        <f ca="1">VLOOKUP(A271,'銀行-TSS'!A:V,22,FALSE)</f>
        <v>(PI)專投</v>
      </c>
      <c r="L271" s="136" t="str">
        <f ca="1">VLOOKUP(A271,'銀行-TSS'!A:AK,37,FALSE)</f>
        <v>有</v>
      </c>
      <c r="M271" s="136" t="str">
        <f ca="1">VLOOKUP(A271,'銀行-TSS'!A:AN,40,FALSE)</f>
        <v/>
      </c>
      <c r="N271" s="136">
        <f t="shared" ca="1" si="180"/>
        <v>839.6</v>
      </c>
      <c r="O271" s="1213">
        <f t="shared" ca="1" si="181"/>
        <v>8395.9999999999982</v>
      </c>
      <c r="P271" s="1213">
        <f ca="1">IF(AND($O$1&gt;=O271,換券單檔!$D$13=D271),I271+INT(($O$1-O271)/N271)*J271,0)</f>
        <v>115000</v>
      </c>
      <c r="Q271" s="1213">
        <f t="shared" ca="1" si="182"/>
        <v>4485</v>
      </c>
      <c r="R271" s="1213">
        <f t="shared" ca="1" si="183"/>
        <v>115000</v>
      </c>
      <c r="S271" s="1213">
        <f t="shared" ca="1" si="184"/>
        <v>4485</v>
      </c>
      <c r="T271" s="136">
        <f ca="1">IF(OR(R271=0,A271=0),0,IF(AND(V271=TRUE,換券單檔!$D$13=D271),E271,0))</f>
        <v>20.83</v>
      </c>
      <c r="U271" s="861">
        <f ca="1">IF(OR(R271=0,A271=0),0,IF(AND(V271=TRUE,換券單檔!$D$13=D271),H271,0))</f>
        <v>5.2200000000000003E-2</v>
      </c>
      <c r="V271" s="136" t="b">
        <f ca="1">IF(OR(B271=換券單檔!$D$3,L271="無",M271&lt;&gt;"",K271="高資產",IFERROR(MATCH(B271,換券單檔!K:K,0),"N")&lt;&gt;"N"),FALSE,IF($V$1="All",TRUE,IF(K271=$V$1,TRUE,FALSE)))</f>
        <v>1</v>
      </c>
      <c r="W271" s="136">
        <f ca="1">VLOOKUP(A271,'銀行-TSS'!A:AO,41,FALSE)</f>
        <v>79.800000000000011</v>
      </c>
      <c r="X271" s="136">
        <f ca="1">VLOOKUP(A271,'銀行-TSS'!A:AP,42,FALSE)</f>
        <v>13.1707</v>
      </c>
      <c r="Y271" s="1220">
        <f t="shared" ca="1" si="185"/>
        <v>12086.751390000003</v>
      </c>
      <c r="Z271" s="1220">
        <f t="shared" ca="1" si="186"/>
        <v>-708.6581853096468</v>
      </c>
      <c r="AA271" s="136">
        <f ca="1">IF(Z271&lt;=0,0,RANK(Z271,Z:Z)+COUNTIF($Z$3:$Z271,Z271)-1)</f>
        <v>0</v>
      </c>
      <c r="AB271" s="1211">
        <f t="shared" ca="1" si="187"/>
        <v>-2809.3886099999963</v>
      </c>
      <c r="AC271" s="136">
        <f ca="1">IF(AB271&lt;=0,0,RANK(AB271,AB:AB)+COUNTIF($AB$3:$AB271,AB271)-1)</f>
        <v>0</v>
      </c>
      <c r="AD271" s="1123">
        <f t="shared" ca="1" si="188"/>
        <v>99999</v>
      </c>
      <c r="AE271" s="1123">
        <f ca="1">IF(AD271=99999,0,RANK(AD271,AD:AD,1)+COUNTIF($AD$3:$AD271,AD271)-1)</f>
        <v>0</v>
      </c>
      <c r="AF271" s="86" t="b">
        <f ca="1">IF(OR(M271&lt;&gt;"",L271="無",K271="高資產",IFERROR(MATCH(B271,換券單檔!K:K,0),"N")&lt;&gt;"N"),FALSE,TRUE)</f>
        <v>1</v>
      </c>
      <c r="AI271" s="1212">
        <f t="shared" ca="1" si="189"/>
        <v>115000</v>
      </c>
      <c r="AJ271" s="1213">
        <f t="shared" ca="1" si="190"/>
        <v>4485</v>
      </c>
      <c r="AK271" s="1587">
        <f t="shared" ca="1" si="191"/>
        <v>-708.6581853096468</v>
      </c>
      <c r="AN271" s="1212">
        <f t="shared" ca="1" si="192"/>
        <v>65000</v>
      </c>
      <c r="AO271" s="1213">
        <f t="shared" ca="1" si="193"/>
        <v>2535</v>
      </c>
      <c r="AP271" s="1587">
        <f t="shared" ca="1" si="194"/>
        <v>-69165.523283725401</v>
      </c>
      <c r="AS271" s="1212">
        <f t="shared" ca="1" si="195"/>
        <v>112000</v>
      </c>
      <c r="AT271" s="1213">
        <f t="shared" ca="1" si="196"/>
        <v>4368</v>
      </c>
      <c r="AU271" s="1587">
        <f t="shared" ca="1" si="197"/>
        <v>0</v>
      </c>
      <c r="AX271" s="1212">
        <f t="shared" ca="1" si="198"/>
        <v>103000</v>
      </c>
      <c r="AY271" s="1213">
        <f t="shared" ca="1" si="199"/>
        <v>4017</v>
      </c>
      <c r="AZ271" s="1587">
        <f t="shared" ca="1" si="200"/>
        <v>-1195.8074891982742</v>
      </c>
      <c r="BC271" s="1212">
        <f t="shared" ca="1" si="201"/>
        <v>0</v>
      </c>
      <c r="BD271" s="1213">
        <f t="shared" ca="1" si="202"/>
        <v>0</v>
      </c>
      <c r="BE271" s="1587">
        <f t="shared" ca="1" si="203"/>
        <v>0</v>
      </c>
      <c r="BH271" s="1212">
        <f t="shared" ca="1" si="204"/>
        <v>0</v>
      </c>
      <c r="BI271" s="1213">
        <f t="shared" ca="1" si="205"/>
        <v>0</v>
      </c>
      <c r="BJ271" s="1587">
        <f t="shared" ca="1" si="206"/>
        <v>0</v>
      </c>
      <c r="BM271" s="1212">
        <f t="shared" ca="1" si="207"/>
        <v>0</v>
      </c>
      <c r="BN271" s="1213">
        <f t="shared" ca="1" si="208"/>
        <v>0</v>
      </c>
      <c r="BO271" s="1587">
        <f t="shared" ca="1" si="209"/>
        <v>0</v>
      </c>
      <c r="BR271" s="1212">
        <f t="shared" ca="1" si="210"/>
        <v>0</v>
      </c>
      <c r="BS271" s="1213">
        <f t="shared" ca="1" si="211"/>
        <v>0</v>
      </c>
      <c r="BT271" s="1587">
        <f t="shared" ca="1" si="212"/>
        <v>0</v>
      </c>
      <c r="BW271" s="1212">
        <f t="shared" ca="1" si="213"/>
        <v>0</v>
      </c>
      <c r="BX271" s="1213">
        <f t="shared" ca="1" si="214"/>
        <v>0</v>
      </c>
      <c r="BY271" s="1587">
        <f t="shared" ca="1" si="215"/>
        <v>0</v>
      </c>
      <c r="CB271" s="1212">
        <f t="shared" ca="1" si="216"/>
        <v>0</v>
      </c>
      <c r="CC271" s="1213">
        <f t="shared" ca="1" si="217"/>
        <v>0</v>
      </c>
      <c r="CD271" s="1587">
        <f t="shared" ca="1" si="218"/>
        <v>0</v>
      </c>
      <c r="CG271" s="1212">
        <f t="shared" ca="1" si="219"/>
        <v>0</v>
      </c>
      <c r="CH271" s="1213">
        <f t="shared" ca="1" si="220"/>
        <v>0</v>
      </c>
      <c r="CI271" s="1587">
        <f t="shared" ca="1" si="221"/>
        <v>0</v>
      </c>
      <c r="CL271" s="1212">
        <f t="shared" ca="1" si="222"/>
        <v>0</v>
      </c>
      <c r="CM271" s="1213">
        <f t="shared" ca="1" si="223"/>
        <v>0</v>
      </c>
      <c r="CN271" s="1587">
        <f t="shared" ca="1" si="224"/>
        <v>0</v>
      </c>
    </row>
    <row r="272" spans="1:92">
      <c r="A272" s="141" t="str">
        <f>'銀行-TSS'!A272</f>
        <v>US532457CG18</v>
      </c>
      <c r="B272" s="151" t="str">
        <f ca="1">VLOOKUP(A272,'銀行-TSS'!A:B,2,FALSE)</f>
        <v>XH750</v>
      </c>
      <c r="C272" s="151" t="str">
        <f ca="1">VLOOKUP(B272,bond!B:C,2,FALSE)</f>
        <v>禮來公司美元配息債券 4.875% 2053/2/27</v>
      </c>
      <c r="D272" s="95" t="str">
        <f>VLOOKUP(A272,'銀行-TSS'!A:C,3,FALSE)</f>
        <v>USD</v>
      </c>
      <c r="E272" s="90">
        <f ca="1">VLOOKUP(A272,'銀行-TSS'!A:G,7,FALSE)</f>
        <v>28.66</v>
      </c>
      <c r="F272" s="202">
        <f ca="1">VLOOKUP(A272,'銀行-TSS'!A:H,8,FALSE)</f>
        <v>4.8750000000000002E-2</v>
      </c>
      <c r="G272" s="96">
        <f ca="1">VLOOKUP(A272,'銀行-TSS'!A:K,11,FALSE)</f>
        <v>99.7</v>
      </c>
      <c r="H272" s="1209">
        <f ca="1">VLOOKUP(A272,'銀行-TSS'!A:M,13,FALSE)</f>
        <v>5.0099999999999999E-2</v>
      </c>
      <c r="I272" s="1213">
        <f ca="1">VLOOKUP(A272,'銀行-TSS'!A:N,14,FALSE)</f>
        <v>10000</v>
      </c>
      <c r="J272" s="1213">
        <f ca="1">VLOOKUP(A272,'銀行-TSS'!A:O,15,FALSE)</f>
        <v>1000</v>
      </c>
      <c r="K272" s="136" t="str">
        <f ca="1">VLOOKUP(A272,'銀行-TSS'!A:V,22,FALSE)</f>
        <v>(NPI)非專投</v>
      </c>
      <c r="L272" s="136" t="str">
        <f ca="1">VLOOKUP(A272,'銀行-TSS'!A:AK,37,FALSE)</f>
        <v>有</v>
      </c>
      <c r="M272" s="136" t="str">
        <f ca="1">VLOOKUP(A272,'銀行-TSS'!A:AN,40,FALSE)</f>
        <v/>
      </c>
      <c r="N272" s="136">
        <f t="shared" ca="1" si="180"/>
        <v>997</v>
      </c>
      <c r="O272" s="1213">
        <f t="shared" ca="1" si="181"/>
        <v>9970</v>
      </c>
      <c r="P272" s="1213">
        <f ca="1">IF(AND($O$1&gt;=O272,換券單檔!$D$13=D272),I272+INT(($O$1-O272)/N272)*J272,0)</f>
        <v>96000</v>
      </c>
      <c r="Q272" s="1213">
        <f t="shared" ca="1" si="182"/>
        <v>4680</v>
      </c>
      <c r="R272" s="1213">
        <f t="shared" ca="1" si="183"/>
        <v>96000</v>
      </c>
      <c r="S272" s="1213">
        <f t="shared" ca="1" si="184"/>
        <v>4680</v>
      </c>
      <c r="T272" s="136">
        <f ca="1">IF(OR(R272=0,A272=0),0,IF(AND(V272=TRUE,換券單檔!$D$13=D272),E272,0))</f>
        <v>28.66</v>
      </c>
      <c r="U272" s="861">
        <f ca="1">IF(OR(R272=0,A272=0),0,IF(AND(V272=TRUE,換券單檔!$D$13=D272),H272,0))</f>
        <v>5.0099999999999999E-2</v>
      </c>
      <c r="V272" s="136" t="b">
        <f ca="1">IF(OR(B272=換券單檔!$D$3,L272="無",M272&lt;&gt;"",K272="高資產",IFERROR(MATCH(B272,換券單檔!K:K,0),"N")&lt;&gt;"N"),FALSE,IF($V$1="All",TRUE,IF(K272=$V$1,TRUE,FALSE)))</f>
        <v>1</v>
      </c>
      <c r="W272" s="136">
        <f ca="1">VLOOKUP(A272,'銀行-TSS'!A:AO,41,FALSE)</f>
        <v>94.51</v>
      </c>
      <c r="X272" s="136">
        <f ca="1">VLOOKUP(A272,'銀行-TSS'!A:AP,42,FALSE)</f>
        <v>14.7681</v>
      </c>
      <c r="Y272" s="1220">
        <f t="shared" ca="1" si="185"/>
        <v>13399.038057600003</v>
      </c>
      <c r="Z272" s="1220">
        <f t="shared" ca="1" si="186"/>
        <v>-8501.1025819958104</v>
      </c>
      <c r="AA272" s="136">
        <f ca="1">IF(Z272&lt;=0,0,RANK(Z272,Z:Z)+COUNTIF($Z$3:$Z272,Z272)-1)</f>
        <v>0</v>
      </c>
      <c r="AB272" s="1211">
        <f t="shared" ca="1" si="187"/>
        <v>-5497.1019423999969</v>
      </c>
      <c r="AC272" s="136">
        <f ca="1">IF(AB272&lt;=0,0,RANK(AB272,AB:AB)+COUNTIF($AB$3:$AB272,AB272)-1)</f>
        <v>0</v>
      </c>
      <c r="AD272" s="1123">
        <f t="shared" ca="1" si="188"/>
        <v>99999</v>
      </c>
      <c r="AE272" s="1123">
        <f ca="1">IF(AD272=99999,0,RANK(AD272,AD:AD,1)+COUNTIF($AD$3:$AD272,AD272)-1)</f>
        <v>0</v>
      </c>
      <c r="AF272" s="86" t="b">
        <f ca="1">IF(OR(M272&lt;&gt;"",L272="無",K272="高資產",IFERROR(MATCH(B272,換券單檔!K:K,0),"N")&lt;&gt;"N"),FALSE,TRUE)</f>
        <v>1</v>
      </c>
      <c r="AI272" s="1212">
        <f t="shared" ca="1" si="189"/>
        <v>96000</v>
      </c>
      <c r="AJ272" s="1213">
        <f t="shared" ca="1" si="190"/>
        <v>4680</v>
      </c>
      <c r="AK272" s="1587">
        <f t="shared" ca="1" si="191"/>
        <v>-8501.1025819958104</v>
      </c>
      <c r="AN272" s="1212">
        <f t="shared" ca="1" si="192"/>
        <v>55000</v>
      </c>
      <c r="AO272" s="1213">
        <f t="shared" ca="1" si="193"/>
        <v>2681.25</v>
      </c>
      <c r="AP272" s="1587">
        <f t="shared" ca="1" si="194"/>
        <v>-88728.820655966498</v>
      </c>
      <c r="AS272" s="1212">
        <f t="shared" ca="1" si="195"/>
        <v>94000</v>
      </c>
      <c r="AT272" s="1213">
        <f t="shared" ca="1" si="196"/>
        <v>4582.5</v>
      </c>
      <c r="AU272" s="1587">
        <f t="shared" ca="1" si="197"/>
        <v>0</v>
      </c>
      <c r="AX272" s="1212">
        <f t="shared" ca="1" si="198"/>
        <v>87000</v>
      </c>
      <c r="AY272" s="1213">
        <f t="shared" ca="1" si="199"/>
        <v>4241.25</v>
      </c>
      <c r="AZ272" s="1587">
        <f t="shared" ca="1" si="200"/>
        <v>-26615.324494068391</v>
      </c>
      <c r="BC272" s="1212">
        <f t="shared" ca="1" si="201"/>
        <v>0</v>
      </c>
      <c r="BD272" s="1213">
        <f t="shared" ca="1" si="202"/>
        <v>0</v>
      </c>
      <c r="BE272" s="1587">
        <f t="shared" ca="1" si="203"/>
        <v>0</v>
      </c>
      <c r="BH272" s="1212">
        <f t="shared" ca="1" si="204"/>
        <v>0</v>
      </c>
      <c r="BI272" s="1213">
        <f t="shared" ca="1" si="205"/>
        <v>0</v>
      </c>
      <c r="BJ272" s="1587">
        <f t="shared" ca="1" si="206"/>
        <v>0</v>
      </c>
      <c r="BM272" s="1212">
        <f t="shared" ca="1" si="207"/>
        <v>0</v>
      </c>
      <c r="BN272" s="1213">
        <f t="shared" ca="1" si="208"/>
        <v>0</v>
      </c>
      <c r="BO272" s="1587">
        <f t="shared" ca="1" si="209"/>
        <v>0</v>
      </c>
      <c r="BR272" s="1212">
        <f t="shared" ca="1" si="210"/>
        <v>0</v>
      </c>
      <c r="BS272" s="1213">
        <f t="shared" ca="1" si="211"/>
        <v>0</v>
      </c>
      <c r="BT272" s="1587">
        <f t="shared" ca="1" si="212"/>
        <v>0</v>
      </c>
      <c r="BW272" s="1212">
        <f t="shared" ca="1" si="213"/>
        <v>0</v>
      </c>
      <c r="BX272" s="1213">
        <f t="shared" ca="1" si="214"/>
        <v>0</v>
      </c>
      <c r="BY272" s="1587">
        <f t="shared" ca="1" si="215"/>
        <v>0</v>
      </c>
      <c r="CB272" s="1212">
        <f t="shared" ca="1" si="216"/>
        <v>0</v>
      </c>
      <c r="CC272" s="1213">
        <f t="shared" ca="1" si="217"/>
        <v>0</v>
      </c>
      <c r="CD272" s="1587">
        <f t="shared" ca="1" si="218"/>
        <v>0</v>
      </c>
      <c r="CG272" s="1212">
        <f t="shared" ca="1" si="219"/>
        <v>0</v>
      </c>
      <c r="CH272" s="1213">
        <f t="shared" ca="1" si="220"/>
        <v>0</v>
      </c>
      <c r="CI272" s="1587">
        <f t="shared" ca="1" si="221"/>
        <v>0</v>
      </c>
      <c r="CL272" s="1212">
        <f t="shared" ca="1" si="222"/>
        <v>0</v>
      </c>
      <c r="CM272" s="1213">
        <f t="shared" ca="1" si="223"/>
        <v>0</v>
      </c>
      <c r="CN272" s="1587">
        <f t="shared" ca="1" si="224"/>
        <v>0</v>
      </c>
    </row>
    <row r="273" spans="1:92">
      <c r="A273" s="141" t="str">
        <f>'銀行-TSS'!A273</f>
        <v>US023135CH74</v>
      </c>
      <c r="B273" s="151" t="str">
        <f ca="1">VLOOKUP(A273,'銀行-TSS'!A:B,2,FALSE)</f>
        <v>XH760</v>
      </c>
      <c r="C273" s="151" t="str">
        <f ca="1">VLOOKUP(B273,bond!B:C,2,FALSE)</f>
        <v>亞馬遜公司美元配息債券 3.6% 2032/4/13</v>
      </c>
      <c r="D273" s="95" t="str">
        <f>VLOOKUP(A273,'銀行-TSS'!A:C,3,FALSE)</f>
        <v>USD</v>
      </c>
      <c r="E273" s="90">
        <f ca="1">VLOOKUP(A273,'銀行-TSS'!A:G,7,FALSE)</f>
        <v>7.78</v>
      </c>
      <c r="F273" s="202">
        <f ca="1">VLOOKUP(A273,'銀行-TSS'!A:H,8,FALSE)</f>
        <v>3.6000000000000004E-2</v>
      </c>
      <c r="G273" s="96">
        <f ca="1">VLOOKUP(A273,'銀行-TSS'!A:K,11,FALSE)</f>
        <v>94.65</v>
      </c>
      <c r="H273" s="1209">
        <f ca="1">VLOOKUP(A273,'銀行-TSS'!A:M,13,FALSE)</f>
        <v>4.5400000000000003E-2</v>
      </c>
      <c r="I273" s="1213">
        <f ca="1">VLOOKUP(A273,'銀行-TSS'!A:N,14,FALSE)</f>
        <v>10000</v>
      </c>
      <c r="J273" s="1213">
        <f ca="1">VLOOKUP(A273,'銀行-TSS'!A:O,15,FALSE)</f>
        <v>1000</v>
      </c>
      <c r="K273" s="136" t="str">
        <f ca="1">VLOOKUP(A273,'銀行-TSS'!A:V,22,FALSE)</f>
        <v>(NPI)非專投</v>
      </c>
      <c r="L273" s="136" t="str">
        <f ca="1">VLOOKUP(A273,'銀行-TSS'!A:AK,37,FALSE)</f>
        <v>有</v>
      </c>
      <c r="M273" s="136" t="str">
        <f ca="1">VLOOKUP(A273,'銀行-TSS'!A:AN,40,FALSE)</f>
        <v/>
      </c>
      <c r="N273" s="136">
        <f t="shared" ca="1" si="180"/>
        <v>946.5</v>
      </c>
      <c r="O273" s="1213">
        <f t="shared" ca="1" si="181"/>
        <v>9465</v>
      </c>
      <c r="P273" s="1213">
        <f ca="1">IF(AND($O$1&gt;=O273,換券單檔!$D$13=D273),I273+INT(($O$1-O273)/N273)*J273,0)</f>
        <v>102000</v>
      </c>
      <c r="Q273" s="1213">
        <f t="shared" ca="1" si="182"/>
        <v>3672.0000000000005</v>
      </c>
      <c r="R273" s="1213">
        <f t="shared" ca="1" si="183"/>
        <v>102000</v>
      </c>
      <c r="S273" s="1213">
        <f t="shared" ca="1" si="184"/>
        <v>3672.0000000000005</v>
      </c>
      <c r="T273" s="136">
        <f ca="1">IF(OR(R273=0,A273=0),0,IF(AND(V273=TRUE,換券單檔!$D$13=D273),E273,0))</f>
        <v>7.78</v>
      </c>
      <c r="U273" s="861">
        <f ca="1">IF(OR(R273=0,A273=0),0,IF(AND(V273=TRUE,換券單檔!$D$13=D273),H273,0))</f>
        <v>4.5400000000000003E-2</v>
      </c>
      <c r="V273" s="136" t="b">
        <f ca="1">IF(OR(B273=換券單檔!$D$3,L273="無",M273&lt;&gt;"",K273="高資產",IFERROR(MATCH(B273,換券單檔!K:K,0),"N")&lt;&gt;"N"),FALSE,IF($V$1="All",TRUE,IF(K273=$V$1,TRUE,FALSE)))</f>
        <v>1</v>
      </c>
      <c r="W273" s="136">
        <f ca="1">VLOOKUP(A273,'銀行-TSS'!A:AO,41,FALSE)</f>
        <v>92.36</v>
      </c>
      <c r="X273" s="136">
        <f ca="1">VLOOKUP(A273,'銀行-TSS'!A:AP,42,FALSE)</f>
        <v>6.5997000000000003</v>
      </c>
      <c r="Y273" s="1220">
        <f t="shared" ca="1" si="185"/>
        <v>6217.3925784000003</v>
      </c>
      <c r="Z273" s="1220">
        <f t="shared" ca="1" si="186"/>
        <v>0</v>
      </c>
      <c r="AA273" s="136">
        <f ca="1">IF(Z273&lt;=0,0,RANK(Z273,Z:Z)+COUNTIF($Z$3:$Z273,Z273)-1)</f>
        <v>0</v>
      </c>
      <c r="AB273" s="1211">
        <f t="shared" ca="1" si="187"/>
        <v>-8678.7474215999991</v>
      </c>
      <c r="AC273" s="136">
        <f ca="1">IF(AB273&lt;=0,0,RANK(AB273,AB:AB)+COUNTIF($AB$3:$AB273,AB273)-1)</f>
        <v>0</v>
      </c>
      <c r="AD273" s="1123">
        <f t="shared" ca="1" si="188"/>
        <v>99999</v>
      </c>
      <c r="AE273" s="1123">
        <f ca="1">IF(AD273=99999,0,RANK(AD273,AD:AD,1)+COUNTIF($AD$3:$AD273,AD273)-1)</f>
        <v>0</v>
      </c>
      <c r="AF273" s="86" t="b">
        <f ca="1">IF(OR(M273&lt;&gt;"",L273="無",K273="高資產",IFERROR(MATCH(B273,換券單檔!K:K,0),"N")&lt;&gt;"N"),FALSE,TRUE)</f>
        <v>1</v>
      </c>
      <c r="AI273" s="1212">
        <f t="shared" ca="1" si="189"/>
        <v>102000</v>
      </c>
      <c r="AJ273" s="1213">
        <f t="shared" ca="1" si="190"/>
        <v>3672.0000000000005</v>
      </c>
      <c r="AK273" s="1587">
        <f t="shared" ca="1" si="191"/>
        <v>0</v>
      </c>
      <c r="AN273" s="1212">
        <f t="shared" ca="1" si="192"/>
        <v>58000</v>
      </c>
      <c r="AO273" s="1213">
        <f t="shared" ca="1" si="193"/>
        <v>2088.0000000000005</v>
      </c>
      <c r="AP273" s="1587">
        <f t="shared" ca="1" si="194"/>
        <v>-84454.766066838041</v>
      </c>
      <c r="AS273" s="1212">
        <f t="shared" ca="1" si="195"/>
        <v>99000</v>
      </c>
      <c r="AT273" s="1213">
        <f t="shared" ca="1" si="196"/>
        <v>3564.0000000000005</v>
      </c>
      <c r="AU273" s="1587">
        <f t="shared" ca="1" si="197"/>
        <v>0</v>
      </c>
      <c r="AX273" s="1212">
        <f t="shared" ca="1" si="198"/>
        <v>91000</v>
      </c>
      <c r="AY273" s="1213">
        <f t="shared" ca="1" si="199"/>
        <v>3276.0000000000005</v>
      </c>
      <c r="AZ273" s="1587">
        <f t="shared" ca="1" si="200"/>
        <v>0</v>
      </c>
      <c r="BC273" s="1212">
        <f t="shared" ca="1" si="201"/>
        <v>0</v>
      </c>
      <c r="BD273" s="1213">
        <f t="shared" ca="1" si="202"/>
        <v>0</v>
      </c>
      <c r="BE273" s="1587">
        <f t="shared" ca="1" si="203"/>
        <v>0</v>
      </c>
      <c r="BH273" s="1212">
        <f t="shared" ca="1" si="204"/>
        <v>0</v>
      </c>
      <c r="BI273" s="1213">
        <f t="shared" ca="1" si="205"/>
        <v>0</v>
      </c>
      <c r="BJ273" s="1587">
        <f t="shared" ca="1" si="206"/>
        <v>0</v>
      </c>
      <c r="BM273" s="1212">
        <f t="shared" ca="1" si="207"/>
        <v>0</v>
      </c>
      <c r="BN273" s="1213">
        <f t="shared" ca="1" si="208"/>
        <v>0</v>
      </c>
      <c r="BO273" s="1587">
        <f t="shared" ca="1" si="209"/>
        <v>0</v>
      </c>
      <c r="BR273" s="1212">
        <f t="shared" ca="1" si="210"/>
        <v>0</v>
      </c>
      <c r="BS273" s="1213">
        <f t="shared" ca="1" si="211"/>
        <v>0</v>
      </c>
      <c r="BT273" s="1587">
        <f t="shared" ca="1" si="212"/>
        <v>0</v>
      </c>
      <c r="BW273" s="1212">
        <f t="shared" ca="1" si="213"/>
        <v>0</v>
      </c>
      <c r="BX273" s="1213">
        <f t="shared" ca="1" si="214"/>
        <v>0</v>
      </c>
      <c r="BY273" s="1587">
        <f t="shared" ca="1" si="215"/>
        <v>0</v>
      </c>
      <c r="CB273" s="1212">
        <f t="shared" ca="1" si="216"/>
        <v>0</v>
      </c>
      <c r="CC273" s="1213">
        <f t="shared" ca="1" si="217"/>
        <v>0</v>
      </c>
      <c r="CD273" s="1587">
        <f t="shared" ca="1" si="218"/>
        <v>0</v>
      </c>
      <c r="CG273" s="1212">
        <f t="shared" ca="1" si="219"/>
        <v>0</v>
      </c>
      <c r="CH273" s="1213">
        <f t="shared" ca="1" si="220"/>
        <v>0</v>
      </c>
      <c r="CI273" s="1587">
        <f t="shared" ca="1" si="221"/>
        <v>0</v>
      </c>
      <c r="CL273" s="1212">
        <f t="shared" ca="1" si="222"/>
        <v>0</v>
      </c>
      <c r="CM273" s="1213">
        <f t="shared" ca="1" si="223"/>
        <v>0</v>
      </c>
      <c r="CN273" s="1587">
        <f t="shared" ca="1" si="224"/>
        <v>0</v>
      </c>
    </row>
    <row r="274" spans="1:92">
      <c r="A274" s="141" t="str">
        <f>'銀行-TSS'!A274</f>
        <v>US023135CR56</v>
      </c>
      <c r="B274" s="151" t="str">
        <f ca="1">VLOOKUP(A274,'銀行-TSS'!A:B,2,FALSE)</f>
        <v>XH770</v>
      </c>
      <c r="C274" s="151" t="str">
        <f ca="1">VLOOKUP(B274,bond!B:C,2,FALSE)</f>
        <v>亞馬遜公司美元配息債券 4.7% 2032/12/1</v>
      </c>
      <c r="D274" s="95" t="str">
        <f>VLOOKUP(A274,'銀行-TSS'!A:C,3,FALSE)</f>
        <v>USD</v>
      </c>
      <c r="E274" s="90">
        <f ca="1">VLOOKUP(A274,'銀行-TSS'!A:G,7,FALSE)</f>
        <v>8.42</v>
      </c>
      <c r="F274" s="202">
        <f ca="1">VLOOKUP(A274,'銀行-TSS'!A:H,8,FALSE)</f>
        <v>4.7E-2</v>
      </c>
      <c r="G274" s="96">
        <f ca="1">VLOOKUP(A274,'銀行-TSS'!A:K,11,FALSE)</f>
        <v>101.47</v>
      </c>
      <c r="H274" s="1209">
        <f ca="1">VLOOKUP(A274,'銀行-TSS'!A:M,13,FALSE)</f>
        <v>4.5499999999999999E-2</v>
      </c>
      <c r="I274" s="1213">
        <f ca="1">VLOOKUP(A274,'銀行-TSS'!A:N,14,FALSE)</f>
        <v>10000</v>
      </c>
      <c r="J274" s="1213">
        <f ca="1">VLOOKUP(A274,'銀行-TSS'!A:O,15,FALSE)</f>
        <v>1000</v>
      </c>
      <c r="K274" s="136" t="str">
        <f ca="1">VLOOKUP(A274,'銀行-TSS'!A:V,22,FALSE)</f>
        <v>(NPI)非專投</v>
      </c>
      <c r="L274" s="136" t="str">
        <f ca="1">VLOOKUP(A274,'銀行-TSS'!A:AK,37,FALSE)</f>
        <v>有</v>
      </c>
      <c r="M274" s="136" t="str">
        <f ca="1">VLOOKUP(A274,'銀行-TSS'!A:AN,40,FALSE)</f>
        <v/>
      </c>
      <c r="N274" s="136">
        <f t="shared" ca="1" si="180"/>
        <v>1014.7</v>
      </c>
      <c r="O274" s="1213">
        <f t="shared" ca="1" si="181"/>
        <v>10147</v>
      </c>
      <c r="P274" s="1213">
        <f ca="1">IF(AND($O$1&gt;=O274,換券單檔!$D$13=D274),I274+INT(($O$1-O274)/N274)*J274,0)</f>
        <v>95000</v>
      </c>
      <c r="Q274" s="1213">
        <f t="shared" ca="1" si="182"/>
        <v>4465</v>
      </c>
      <c r="R274" s="1213">
        <f t="shared" ca="1" si="183"/>
        <v>95000</v>
      </c>
      <c r="S274" s="1213">
        <f t="shared" ca="1" si="184"/>
        <v>4465</v>
      </c>
      <c r="T274" s="136">
        <f ca="1">IF(OR(R274=0,A274=0),0,IF(AND(V274=TRUE,換券單檔!$D$13=D274),E274,0))</f>
        <v>8.42</v>
      </c>
      <c r="U274" s="861">
        <f ca="1">IF(OR(R274=0,A274=0),0,IF(AND(V274=TRUE,換券單檔!$D$13=D274),H274,0))</f>
        <v>4.5499999999999999E-2</v>
      </c>
      <c r="V274" s="136" t="b">
        <f ca="1">IF(OR(B274=換券單檔!$D$3,L274="無",M274&lt;&gt;"",K274="高資產",IFERROR(MATCH(B274,換券單檔!K:K,0),"N")&lt;&gt;"N"),FALSE,IF($V$1="All",TRUE,IF(K274=$V$1,TRUE,FALSE)))</f>
        <v>1</v>
      </c>
      <c r="W274" s="136">
        <f ca="1">VLOOKUP(A274,'銀行-TSS'!A:AO,41,FALSE)</f>
        <v>99.570000000000007</v>
      </c>
      <c r="X274" s="136">
        <f ca="1">VLOOKUP(A274,'銀行-TSS'!A:AP,42,FALSE)</f>
        <v>6.8571</v>
      </c>
      <c r="Y274" s="1220">
        <f t="shared" ca="1" si="185"/>
        <v>6486.2337465000001</v>
      </c>
      <c r="Z274" s="1220">
        <f t="shared" ca="1" si="186"/>
        <v>-11086.413301662706</v>
      </c>
      <c r="AA274" s="136">
        <f ca="1">IF(Z274&lt;=0,0,RANK(Z274,Z:Z)+COUNTIF($Z$3:$Z274,Z274)-1)</f>
        <v>0</v>
      </c>
      <c r="AB274" s="1211">
        <f t="shared" ca="1" si="187"/>
        <v>-13409.906253499999</v>
      </c>
      <c r="AC274" s="136">
        <f ca="1">IF(AB274&lt;=0,0,RANK(AB274,AB:AB)+COUNTIF($AB$3:$AB274,AB274)-1)</f>
        <v>0</v>
      </c>
      <c r="AD274" s="1123">
        <f t="shared" ca="1" si="188"/>
        <v>99999</v>
      </c>
      <c r="AE274" s="1123">
        <f ca="1">IF(AD274=99999,0,RANK(AD274,AD:AD,1)+COUNTIF($AD$3:$AD274,AD274)-1)</f>
        <v>0</v>
      </c>
      <c r="AF274" s="86" t="b">
        <f ca="1">IF(OR(M274&lt;&gt;"",L274="無",K274="高資產",IFERROR(MATCH(B274,換券單檔!K:K,0),"N")&lt;&gt;"N"),FALSE,TRUE)</f>
        <v>1</v>
      </c>
      <c r="AI274" s="1212">
        <f t="shared" ca="1" si="189"/>
        <v>95000</v>
      </c>
      <c r="AJ274" s="1213">
        <f t="shared" ca="1" si="190"/>
        <v>4465</v>
      </c>
      <c r="AK274" s="1587">
        <f t="shared" ca="1" si="191"/>
        <v>-11086.413301662706</v>
      </c>
      <c r="AN274" s="1212">
        <f t="shared" ca="1" si="192"/>
        <v>54000</v>
      </c>
      <c r="AO274" s="1213">
        <f t="shared" ca="1" si="193"/>
        <v>2538</v>
      </c>
      <c r="AP274" s="1587">
        <f t="shared" ca="1" si="194"/>
        <v>-91187.30641330166</v>
      </c>
      <c r="AS274" s="1212">
        <f t="shared" ca="1" si="195"/>
        <v>93000</v>
      </c>
      <c r="AT274" s="1213">
        <f t="shared" ca="1" si="196"/>
        <v>4371</v>
      </c>
      <c r="AU274" s="1587">
        <f t="shared" ca="1" si="197"/>
        <v>0</v>
      </c>
      <c r="AX274" s="1212">
        <f t="shared" ca="1" si="198"/>
        <v>85000</v>
      </c>
      <c r="AY274" s="1213">
        <f t="shared" ca="1" si="199"/>
        <v>3995</v>
      </c>
      <c r="AZ274" s="1587">
        <f t="shared" ca="1" si="200"/>
        <v>0</v>
      </c>
      <c r="BC274" s="1212">
        <f t="shared" ca="1" si="201"/>
        <v>0</v>
      </c>
      <c r="BD274" s="1213">
        <f t="shared" ca="1" si="202"/>
        <v>0</v>
      </c>
      <c r="BE274" s="1587">
        <f t="shared" ca="1" si="203"/>
        <v>0</v>
      </c>
      <c r="BH274" s="1212">
        <f t="shared" ca="1" si="204"/>
        <v>0</v>
      </c>
      <c r="BI274" s="1213">
        <f t="shared" ca="1" si="205"/>
        <v>0</v>
      </c>
      <c r="BJ274" s="1587">
        <f t="shared" ca="1" si="206"/>
        <v>0</v>
      </c>
      <c r="BM274" s="1212">
        <f t="shared" ca="1" si="207"/>
        <v>0</v>
      </c>
      <c r="BN274" s="1213">
        <f t="shared" ca="1" si="208"/>
        <v>0</v>
      </c>
      <c r="BO274" s="1587">
        <f t="shared" ca="1" si="209"/>
        <v>0</v>
      </c>
      <c r="BR274" s="1212">
        <f t="shared" ca="1" si="210"/>
        <v>0</v>
      </c>
      <c r="BS274" s="1213">
        <f t="shared" ca="1" si="211"/>
        <v>0</v>
      </c>
      <c r="BT274" s="1587">
        <f t="shared" ca="1" si="212"/>
        <v>0</v>
      </c>
      <c r="BW274" s="1212">
        <f t="shared" ca="1" si="213"/>
        <v>0</v>
      </c>
      <c r="BX274" s="1213">
        <f t="shared" ca="1" si="214"/>
        <v>0</v>
      </c>
      <c r="BY274" s="1587">
        <f t="shared" ca="1" si="215"/>
        <v>0</v>
      </c>
      <c r="CB274" s="1212">
        <f t="shared" ca="1" si="216"/>
        <v>0</v>
      </c>
      <c r="CC274" s="1213">
        <f t="shared" ca="1" si="217"/>
        <v>0</v>
      </c>
      <c r="CD274" s="1587">
        <f t="shared" ca="1" si="218"/>
        <v>0</v>
      </c>
      <c r="CG274" s="1212">
        <f t="shared" ca="1" si="219"/>
        <v>0</v>
      </c>
      <c r="CH274" s="1213">
        <f t="shared" ca="1" si="220"/>
        <v>0</v>
      </c>
      <c r="CI274" s="1587">
        <f t="shared" ca="1" si="221"/>
        <v>0</v>
      </c>
      <c r="CL274" s="1212">
        <f t="shared" ca="1" si="222"/>
        <v>0</v>
      </c>
      <c r="CM274" s="1213">
        <f t="shared" ca="1" si="223"/>
        <v>0</v>
      </c>
      <c r="CN274" s="1587">
        <f t="shared" ca="1" si="224"/>
        <v>0</v>
      </c>
    </row>
    <row r="275" spans="1:92">
      <c r="A275" s="141" t="str">
        <f>'銀行-TSS'!A275</f>
        <v>XS2747599509</v>
      </c>
      <c r="B275" s="151" t="str">
        <f ca="1">VLOOKUP(A275,'銀行-TSS'!A:B,2,FALSE)</f>
        <v>XH780</v>
      </c>
      <c r="C275" s="151" t="str">
        <f ca="1">VLOOKUP(B275,bond!B:C,2,FALSE)</f>
        <v>沙烏地阿拉伯政府美元配息債券 5.75% 2054/1/16</v>
      </c>
      <c r="D275" s="95" t="str">
        <f>VLOOKUP(A275,'銀行-TSS'!A:C,3,FALSE)</f>
        <v>USD</v>
      </c>
      <c r="E275" s="90">
        <f ca="1">VLOOKUP(A275,'銀行-TSS'!A:G,7,FALSE)</f>
        <v>29.54</v>
      </c>
      <c r="F275" s="202">
        <f ca="1">VLOOKUP(A275,'銀行-TSS'!A:H,8,FALSE)</f>
        <v>5.7500000000000002E-2</v>
      </c>
      <c r="G275" s="96">
        <f ca="1">VLOOKUP(A275,'銀行-TSS'!A:K,11,FALSE)</f>
        <v>103.54</v>
      </c>
      <c r="H275" s="1209">
        <f ca="1">VLOOKUP(A275,'銀行-TSS'!A:M,13,FALSE)</f>
        <v>5.6899999999999999E-2</v>
      </c>
      <c r="I275" s="1213">
        <f ca="1">VLOOKUP(A275,'銀行-TSS'!A:N,14,FALSE)</f>
        <v>200000</v>
      </c>
      <c r="J275" s="1213">
        <f ca="1">VLOOKUP(A275,'銀行-TSS'!A:O,15,FALSE)</f>
        <v>1000</v>
      </c>
      <c r="K275" s="136" t="str">
        <f ca="1">VLOOKUP(A275,'銀行-TSS'!A:V,22,FALSE)</f>
        <v>(NPI)非專投</v>
      </c>
      <c r="L275" s="136" t="str">
        <f ca="1">VLOOKUP(A275,'銀行-TSS'!A:AK,37,FALSE)</f>
        <v>有</v>
      </c>
      <c r="M275" s="136" t="str">
        <f ca="1">VLOOKUP(A275,'銀行-TSS'!A:AN,40,FALSE)</f>
        <v/>
      </c>
      <c r="N275" s="136">
        <f t="shared" ca="1" si="180"/>
        <v>1035.4000000000001</v>
      </c>
      <c r="O275" s="1213">
        <f t="shared" ca="1" si="181"/>
        <v>207080</v>
      </c>
      <c r="P275" s="1213">
        <f ca="1">IF(AND($O$1&gt;=O275,換券單檔!$D$13=D275),I275+INT(($O$1-O275)/N275)*J275,0)</f>
        <v>0</v>
      </c>
      <c r="Q275" s="1213">
        <f t="shared" ca="1" si="182"/>
        <v>0</v>
      </c>
      <c r="R275" s="1213">
        <f t="shared" ca="1" si="183"/>
        <v>0</v>
      </c>
      <c r="S275" s="1213">
        <f t="shared" ca="1" si="184"/>
        <v>0</v>
      </c>
      <c r="T275" s="136">
        <f ca="1">IF(OR(R275=0,A275=0),0,IF(AND(V275=TRUE,換券單檔!$D$13=D275),E275,0))</f>
        <v>0</v>
      </c>
      <c r="U275" s="861">
        <f ca="1">IF(OR(R275=0,A275=0),0,IF(AND(V275=TRUE,換券單檔!$D$13=D275),H275,0))</f>
        <v>0</v>
      </c>
      <c r="V275" s="136" t="b">
        <f ca="1">IF(OR(B275=換券單檔!$D$3,L275="無",M275&lt;&gt;"",K275="高資產",IFERROR(MATCH(B275,換券單檔!K:K,0),"N")&lt;&gt;"N"),FALSE,IF($V$1="All",TRUE,IF(K275=$V$1,TRUE,FALSE)))</f>
        <v>1</v>
      </c>
      <c r="W275" s="136">
        <f ca="1">VLOOKUP(A275,'銀行-TSS'!A:AO,41,FALSE)</f>
        <v>97.37</v>
      </c>
      <c r="X275" s="136">
        <f ca="1">VLOOKUP(A275,'銀行-TSS'!A:AP,42,FALSE)</f>
        <v>13.6435</v>
      </c>
      <c r="Y275" s="1220">
        <f t="shared" ca="1" si="185"/>
        <v>0</v>
      </c>
      <c r="Z275" s="1220">
        <f t="shared" ca="1" si="186"/>
        <v>0</v>
      </c>
      <c r="AA275" s="136">
        <f ca="1">IF(Z275&lt;=0,0,RANK(Z275,Z:Z)+COUNTIF($Z$3:$Z275,Z275)-1)</f>
        <v>0</v>
      </c>
      <c r="AB275" s="1211">
        <f t="shared" ca="1" si="187"/>
        <v>-114896.14</v>
      </c>
      <c r="AC275" s="136">
        <f ca="1">IF(AB275&lt;=0,0,RANK(AB275,AB:AB)+COUNTIF($AB$3:$AB275,AB275)-1)</f>
        <v>0</v>
      </c>
      <c r="AD275" s="1123">
        <f t="shared" ca="1" si="188"/>
        <v>99999</v>
      </c>
      <c r="AE275" s="1123">
        <f ca="1">IF(AD275=99999,0,RANK(AD275,AD:AD,1)+COUNTIF($AD$3:$AD275,AD275)-1)</f>
        <v>0</v>
      </c>
      <c r="AF275" s="86" t="b">
        <f ca="1">IF(OR(M275&lt;&gt;"",L275="無",K275="高資產",IFERROR(MATCH(B275,換券單檔!K:K,0),"N")&lt;&gt;"N"),FALSE,TRUE)</f>
        <v>1</v>
      </c>
      <c r="AI275" s="1212">
        <f t="shared" ca="1" si="189"/>
        <v>0</v>
      </c>
      <c r="AJ275" s="1213">
        <f t="shared" ca="1" si="190"/>
        <v>0</v>
      </c>
      <c r="AK275" s="1587">
        <f t="shared" ca="1" si="191"/>
        <v>0</v>
      </c>
      <c r="AN275" s="1212">
        <f t="shared" ca="1" si="192"/>
        <v>0</v>
      </c>
      <c r="AO275" s="1213">
        <f t="shared" ca="1" si="193"/>
        <v>0</v>
      </c>
      <c r="AP275" s="1587">
        <f t="shared" ca="1" si="194"/>
        <v>0</v>
      </c>
      <c r="AS275" s="1212">
        <f t="shared" ca="1" si="195"/>
        <v>0</v>
      </c>
      <c r="AT275" s="1213">
        <f t="shared" ca="1" si="196"/>
        <v>0</v>
      </c>
      <c r="AU275" s="1587">
        <f t="shared" ca="1" si="197"/>
        <v>0</v>
      </c>
      <c r="AX275" s="1212">
        <f t="shared" ca="1" si="198"/>
        <v>0</v>
      </c>
      <c r="AY275" s="1213">
        <f t="shared" ca="1" si="199"/>
        <v>0</v>
      </c>
      <c r="AZ275" s="1587">
        <f t="shared" ca="1" si="200"/>
        <v>0</v>
      </c>
      <c r="BC275" s="1212">
        <f t="shared" ca="1" si="201"/>
        <v>0</v>
      </c>
      <c r="BD275" s="1213">
        <f t="shared" ca="1" si="202"/>
        <v>0</v>
      </c>
      <c r="BE275" s="1587">
        <f t="shared" ca="1" si="203"/>
        <v>0</v>
      </c>
      <c r="BH275" s="1212">
        <f t="shared" ca="1" si="204"/>
        <v>0</v>
      </c>
      <c r="BI275" s="1213">
        <f t="shared" ca="1" si="205"/>
        <v>0</v>
      </c>
      <c r="BJ275" s="1587">
        <f t="shared" ca="1" si="206"/>
        <v>0</v>
      </c>
      <c r="BM275" s="1212">
        <f t="shared" ca="1" si="207"/>
        <v>0</v>
      </c>
      <c r="BN275" s="1213">
        <f t="shared" ca="1" si="208"/>
        <v>0</v>
      </c>
      <c r="BO275" s="1587">
        <f t="shared" ca="1" si="209"/>
        <v>0</v>
      </c>
      <c r="BR275" s="1212">
        <f t="shared" ca="1" si="210"/>
        <v>0</v>
      </c>
      <c r="BS275" s="1213">
        <f t="shared" ca="1" si="211"/>
        <v>0</v>
      </c>
      <c r="BT275" s="1587">
        <f t="shared" ca="1" si="212"/>
        <v>0</v>
      </c>
      <c r="BW275" s="1212">
        <f t="shared" ca="1" si="213"/>
        <v>0</v>
      </c>
      <c r="BX275" s="1213">
        <f t="shared" ca="1" si="214"/>
        <v>0</v>
      </c>
      <c r="BY275" s="1587">
        <f t="shared" ca="1" si="215"/>
        <v>0</v>
      </c>
      <c r="CB275" s="1212">
        <f t="shared" ca="1" si="216"/>
        <v>0</v>
      </c>
      <c r="CC275" s="1213">
        <f t="shared" ca="1" si="217"/>
        <v>0</v>
      </c>
      <c r="CD275" s="1587">
        <f t="shared" ca="1" si="218"/>
        <v>0</v>
      </c>
      <c r="CG275" s="1212">
        <f t="shared" ca="1" si="219"/>
        <v>0</v>
      </c>
      <c r="CH275" s="1213">
        <f t="shared" ca="1" si="220"/>
        <v>0</v>
      </c>
      <c r="CI275" s="1587">
        <f t="shared" ca="1" si="221"/>
        <v>0</v>
      </c>
      <c r="CL275" s="1212">
        <f t="shared" ca="1" si="222"/>
        <v>0</v>
      </c>
      <c r="CM275" s="1213">
        <f t="shared" ca="1" si="223"/>
        <v>0</v>
      </c>
      <c r="CN275" s="1587">
        <f t="shared" ca="1" si="224"/>
        <v>0</v>
      </c>
    </row>
    <row r="276" spans="1:92">
      <c r="A276" s="141" t="str">
        <f>'銀行-TSS'!A276</f>
        <v>US12189LAS07</v>
      </c>
      <c r="B276" s="151" t="str">
        <f ca="1">VLOOKUP(A276,'銀行-TSS'!A:B,2,FALSE)</f>
        <v>XH800</v>
      </c>
      <c r="C276" s="151" t="str">
        <f ca="1">VLOOKUP(B276,bond!B:C,2,FALSE)</f>
        <v>伯靈頓北方聖塔菲有限責任公司美元配息債券 4.9% 2044/4/1</v>
      </c>
      <c r="D276" s="95" t="str">
        <f>VLOOKUP(A276,'銀行-TSS'!A:C,3,FALSE)</f>
        <v>USD</v>
      </c>
      <c r="E276" s="90">
        <f ca="1">VLOOKUP(A276,'銀行-TSS'!A:G,7,FALSE)</f>
        <v>19.75</v>
      </c>
      <c r="F276" s="202">
        <f ca="1">VLOOKUP(A276,'銀行-TSS'!A:H,8,FALSE)</f>
        <v>4.9000000000000002E-2</v>
      </c>
      <c r="G276" s="96">
        <f ca="1">VLOOKUP(A276,'銀行-TSS'!A:K,11,FALSE)</f>
        <v>97.31</v>
      </c>
      <c r="H276" s="1209">
        <f ca="1">VLOOKUP(A276,'銀行-TSS'!A:M,13,FALSE)</f>
        <v>5.2200000000000003E-2</v>
      </c>
      <c r="I276" s="1213">
        <f ca="1">VLOOKUP(A276,'銀行-TSS'!A:N,14,FALSE)</f>
        <v>10000</v>
      </c>
      <c r="J276" s="1213">
        <f ca="1">VLOOKUP(A276,'銀行-TSS'!A:O,15,FALSE)</f>
        <v>1000</v>
      </c>
      <c r="K276" s="136" t="str">
        <f ca="1">VLOOKUP(A276,'銀行-TSS'!A:V,22,FALSE)</f>
        <v>(NPI)非專投</v>
      </c>
      <c r="L276" s="136" t="str">
        <f ca="1">VLOOKUP(A276,'銀行-TSS'!A:AK,37,FALSE)</f>
        <v>有</v>
      </c>
      <c r="M276" s="136" t="str">
        <f ca="1">VLOOKUP(A276,'銀行-TSS'!A:AN,40,FALSE)</f>
        <v/>
      </c>
      <c r="N276" s="136">
        <f t="shared" ca="1" si="180"/>
        <v>973.1</v>
      </c>
      <c r="O276" s="1213">
        <f t="shared" ca="1" si="181"/>
        <v>9731</v>
      </c>
      <c r="P276" s="1213">
        <f ca="1">IF(AND($O$1&gt;=O276,換券單檔!$D$13=D276),I276+INT(($O$1-O276)/N276)*J276,0)</f>
        <v>99000</v>
      </c>
      <c r="Q276" s="1213">
        <f t="shared" ca="1" si="182"/>
        <v>4851</v>
      </c>
      <c r="R276" s="1213">
        <f t="shared" ca="1" si="183"/>
        <v>99000</v>
      </c>
      <c r="S276" s="1213">
        <f t="shared" ca="1" si="184"/>
        <v>4851</v>
      </c>
      <c r="T276" s="136">
        <f ca="1">IF(OR(R276=0,A276=0),0,IF(AND(V276=TRUE,換券單檔!$D$13=D276),E276,0))</f>
        <v>19.75</v>
      </c>
      <c r="U276" s="861">
        <f ca="1">IF(OR(R276=0,A276=0),0,IF(AND(V276=TRUE,換券單檔!$D$13=D276),H276,0))</f>
        <v>5.2200000000000003E-2</v>
      </c>
      <c r="V276" s="136" t="b">
        <f ca="1">IF(OR(B276=換券單檔!$D$3,L276="無",M276&lt;&gt;"",K276="高資產",IFERROR(MATCH(B276,換券單檔!K:K,0),"N")&lt;&gt;"N"),FALSE,IF($V$1="All",TRUE,IF(K276=$V$1,TRUE,FALSE)))</f>
        <v>1</v>
      </c>
      <c r="W276" s="136">
        <f ca="1">VLOOKUP(A276,'銀行-TSS'!A:AO,41,FALSE)</f>
        <v>93.070000000000007</v>
      </c>
      <c r="X276" s="136">
        <f ca="1">VLOOKUP(A276,'銀行-TSS'!A:AP,42,FALSE)</f>
        <v>12.144299999999999</v>
      </c>
      <c r="Y276" s="1220">
        <f t="shared" ca="1" si="185"/>
        <v>11189.6730099</v>
      </c>
      <c r="Z276" s="1220">
        <f t="shared" ca="1" si="186"/>
        <v>-1997.075949367086</v>
      </c>
      <c r="AA276" s="136">
        <f ca="1">IF(Z276&lt;=0,0,RANK(Z276,Z:Z)+COUNTIF($Z$3:$Z276,Z276)-1)</f>
        <v>0</v>
      </c>
      <c r="AB276" s="1211">
        <f t="shared" ca="1" si="187"/>
        <v>-4706.4669900999997</v>
      </c>
      <c r="AC276" s="136">
        <f ca="1">IF(AB276&lt;=0,0,RANK(AB276,AB:AB)+COUNTIF($AB$3:$AB276,AB276)-1)</f>
        <v>0</v>
      </c>
      <c r="AD276" s="1123">
        <f t="shared" ca="1" si="188"/>
        <v>99999</v>
      </c>
      <c r="AE276" s="1123">
        <f ca="1">IF(AD276=99999,0,RANK(AD276,AD:AD,1)+COUNTIF($AD$3:$AD276,AD276)-1)</f>
        <v>0</v>
      </c>
      <c r="AF276" s="86" t="b">
        <f ca="1">IF(OR(M276&lt;&gt;"",L276="無",K276="高資產",IFERROR(MATCH(B276,換券單檔!K:K,0),"N")&lt;&gt;"N"),FALSE,TRUE)</f>
        <v>1</v>
      </c>
      <c r="AI276" s="1212">
        <f t="shared" ca="1" si="189"/>
        <v>99000</v>
      </c>
      <c r="AJ276" s="1213">
        <f t="shared" ca="1" si="190"/>
        <v>4851</v>
      </c>
      <c r="AK276" s="1587">
        <f t="shared" ca="1" si="191"/>
        <v>-1997.075949367086</v>
      </c>
      <c r="AN276" s="1212">
        <f t="shared" ca="1" si="192"/>
        <v>56000</v>
      </c>
      <c r="AO276" s="1213">
        <f t="shared" ca="1" si="193"/>
        <v>2744</v>
      </c>
      <c r="AP276" s="1587">
        <f t="shared" ca="1" si="194"/>
        <v>-86555.518987341769</v>
      </c>
      <c r="AS276" s="1212">
        <f t="shared" ca="1" si="195"/>
        <v>97000</v>
      </c>
      <c r="AT276" s="1213">
        <f t="shared" ca="1" si="196"/>
        <v>4753</v>
      </c>
      <c r="AU276" s="1587">
        <f t="shared" ca="1" si="197"/>
        <v>-6356.7341772151894</v>
      </c>
      <c r="AX276" s="1212">
        <f t="shared" ca="1" si="198"/>
        <v>89000</v>
      </c>
      <c r="AY276" s="1213">
        <f t="shared" ca="1" si="199"/>
        <v>4361</v>
      </c>
      <c r="AZ276" s="1587">
        <f t="shared" ca="1" si="200"/>
        <v>-22260.240506329115</v>
      </c>
      <c r="BC276" s="1212">
        <f t="shared" ca="1" si="201"/>
        <v>0</v>
      </c>
      <c r="BD276" s="1213">
        <f t="shared" ca="1" si="202"/>
        <v>0</v>
      </c>
      <c r="BE276" s="1587">
        <f t="shared" ca="1" si="203"/>
        <v>0</v>
      </c>
      <c r="BH276" s="1212">
        <f t="shared" ca="1" si="204"/>
        <v>0</v>
      </c>
      <c r="BI276" s="1213">
        <f t="shared" ca="1" si="205"/>
        <v>0</v>
      </c>
      <c r="BJ276" s="1587">
        <f t="shared" ca="1" si="206"/>
        <v>0</v>
      </c>
      <c r="BM276" s="1212">
        <f t="shared" ca="1" si="207"/>
        <v>0</v>
      </c>
      <c r="BN276" s="1213">
        <f t="shared" ca="1" si="208"/>
        <v>0</v>
      </c>
      <c r="BO276" s="1587">
        <f t="shared" ca="1" si="209"/>
        <v>0</v>
      </c>
      <c r="BR276" s="1212">
        <f t="shared" ca="1" si="210"/>
        <v>0</v>
      </c>
      <c r="BS276" s="1213">
        <f t="shared" ca="1" si="211"/>
        <v>0</v>
      </c>
      <c r="BT276" s="1587">
        <f t="shared" ca="1" si="212"/>
        <v>0</v>
      </c>
      <c r="BW276" s="1212">
        <f t="shared" ca="1" si="213"/>
        <v>0</v>
      </c>
      <c r="BX276" s="1213">
        <f t="shared" ca="1" si="214"/>
        <v>0</v>
      </c>
      <c r="BY276" s="1587">
        <f t="shared" ca="1" si="215"/>
        <v>0</v>
      </c>
      <c r="CB276" s="1212">
        <f t="shared" ca="1" si="216"/>
        <v>0</v>
      </c>
      <c r="CC276" s="1213">
        <f t="shared" ca="1" si="217"/>
        <v>0</v>
      </c>
      <c r="CD276" s="1587">
        <f t="shared" ca="1" si="218"/>
        <v>0</v>
      </c>
      <c r="CG276" s="1212">
        <f t="shared" ca="1" si="219"/>
        <v>0</v>
      </c>
      <c r="CH276" s="1213">
        <f t="shared" ca="1" si="220"/>
        <v>0</v>
      </c>
      <c r="CI276" s="1587">
        <f t="shared" ca="1" si="221"/>
        <v>0</v>
      </c>
      <c r="CL276" s="1212">
        <f t="shared" ca="1" si="222"/>
        <v>0</v>
      </c>
      <c r="CM276" s="1213">
        <f t="shared" ca="1" si="223"/>
        <v>0</v>
      </c>
      <c r="CN276" s="1587">
        <f t="shared" ca="1" si="224"/>
        <v>0</v>
      </c>
    </row>
    <row r="277" spans="1:92">
      <c r="A277" s="141" t="str">
        <f>'銀行-TSS'!A277</f>
        <v>US88579YBC49</v>
      </c>
      <c r="B277" s="151" t="str">
        <f ca="1">VLOOKUP(A277,'銀行-TSS'!A:B,2,FALSE)</f>
        <v>XH810</v>
      </c>
      <c r="C277" s="151" t="str">
        <f ca="1">VLOOKUP(B277,bond!B:C,2,FALSE)</f>
        <v>3M公司美元配息債券 3.625% 2028/9/14</v>
      </c>
      <c r="D277" s="95" t="str">
        <f>VLOOKUP(A277,'銀行-TSS'!A:C,3,FALSE)</f>
        <v>USD</v>
      </c>
      <c r="E277" s="90">
        <f ca="1">VLOOKUP(A277,'銀行-TSS'!A:G,7,FALSE)</f>
        <v>4.2</v>
      </c>
      <c r="F277" s="202">
        <f ca="1">VLOOKUP(A277,'銀行-TSS'!A:H,8,FALSE)</f>
        <v>3.6249999999999998E-2</v>
      </c>
      <c r="G277" s="96">
        <f ca="1">VLOOKUP(A277,'銀行-TSS'!A:K,11,FALSE)</f>
        <v>97.62</v>
      </c>
      <c r="H277" s="1209">
        <f ca="1">VLOOKUP(A277,'銀行-TSS'!A:M,13,FALSE)</f>
        <v>4.5400000000000003E-2</v>
      </c>
      <c r="I277" s="1213">
        <f ca="1">VLOOKUP(A277,'銀行-TSS'!A:N,14,FALSE)</f>
        <v>10000</v>
      </c>
      <c r="J277" s="1213">
        <f ca="1">VLOOKUP(A277,'銀行-TSS'!A:O,15,FALSE)</f>
        <v>1000</v>
      </c>
      <c r="K277" s="136" t="str">
        <f ca="1">VLOOKUP(A277,'銀行-TSS'!A:V,22,FALSE)</f>
        <v>(NPI)非專投</v>
      </c>
      <c r="L277" s="136" t="str">
        <f ca="1">VLOOKUP(A277,'銀行-TSS'!A:AK,37,FALSE)</f>
        <v>有</v>
      </c>
      <c r="M277" s="136" t="str">
        <f ca="1">VLOOKUP(A277,'銀行-TSS'!A:AN,40,FALSE)</f>
        <v/>
      </c>
      <c r="N277" s="136">
        <f t="shared" ca="1" si="180"/>
        <v>976.2</v>
      </c>
      <c r="O277" s="1213">
        <f t="shared" ca="1" si="181"/>
        <v>9762</v>
      </c>
      <c r="P277" s="1213">
        <f ca="1">IF(AND($O$1&gt;=O277,換券單檔!$D$13=D277),I277+INT(($O$1-O277)/N277)*J277,0)</f>
        <v>99000</v>
      </c>
      <c r="Q277" s="1213">
        <f t="shared" ca="1" si="182"/>
        <v>3588.7499999999995</v>
      </c>
      <c r="R277" s="1213">
        <f t="shared" ca="1" si="183"/>
        <v>99000</v>
      </c>
      <c r="S277" s="1213">
        <f t="shared" ca="1" si="184"/>
        <v>3588.7499999999995</v>
      </c>
      <c r="T277" s="136">
        <f ca="1">IF(OR(R277=0,A277=0),0,IF(AND(V277=TRUE,換券單檔!$D$13=D277),E277,0))</f>
        <v>4.2</v>
      </c>
      <c r="U277" s="861">
        <f ca="1">IF(OR(R277=0,A277=0),0,IF(AND(V277=TRUE,換券單檔!$D$13=D277),H277,0))</f>
        <v>4.5400000000000003E-2</v>
      </c>
      <c r="V277" s="136" t="b">
        <f ca="1">IF(OR(B277=換券單檔!$D$3,L277="無",M277&lt;&gt;"",K277="高資產",IFERROR(MATCH(B277,換券單檔!K:K,0),"N")&lt;&gt;"N"),FALSE,IF($V$1="All",TRUE,IF(K277=$V$1,TRUE,FALSE)))</f>
        <v>1</v>
      </c>
      <c r="W277" s="136">
        <f ca="1">VLOOKUP(A277,'銀行-TSS'!A:AO,41,FALSE)</f>
        <v>95.03</v>
      </c>
      <c r="X277" s="136">
        <f ca="1">VLOOKUP(A277,'銀行-TSS'!A:AP,42,FALSE)</f>
        <v>3.7919</v>
      </c>
      <c r="Y277" s="1220">
        <f t="shared" ca="1" si="185"/>
        <v>3567.4081442999995</v>
      </c>
      <c r="Z277" s="1220">
        <f t="shared" ca="1" si="186"/>
        <v>0</v>
      </c>
      <c r="AA277" s="136">
        <f ca="1">IF(Z277&lt;=0,0,RANK(Z277,Z:Z)+COUNTIF($Z$3:$Z277,Z277)-1)</f>
        <v>0</v>
      </c>
      <c r="AB277" s="1211">
        <f t="shared" ca="1" si="187"/>
        <v>-12328.7318557</v>
      </c>
      <c r="AC277" s="136">
        <f ca="1">IF(AB277&lt;=0,0,RANK(AB277,AB:AB)+COUNTIF($AB$3:$AB277,AB277)-1)</f>
        <v>0</v>
      </c>
      <c r="AD277" s="1123">
        <f t="shared" ca="1" si="188"/>
        <v>99999</v>
      </c>
      <c r="AE277" s="1123">
        <f ca="1">IF(AD277=99999,0,RANK(AD277,AD:AD,1)+COUNTIF($AD$3:$AD277,AD277)-1)</f>
        <v>0</v>
      </c>
      <c r="AF277" s="86" t="b">
        <f ca="1">IF(OR(M277&lt;&gt;"",L277="無",K277="高資產",IFERROR(MATCH(B277,換券單檔!K:K,0),"N")&lt;&gt;"N"),FALSE,TRUE)</f>
        <v>1</v>
      </c>
      <c r="AI277" s="1212">
        <f t="shared" ca="1" si="189"/>
        <v>99000</v>
      </c>
      <c r="AJ277" s="1213">
        <f t="shared" ca="1" si="190"/>
        <v>3588.7499999999995</v>
      </c>
      <c r="AK277" s="1587">
        <f t="shared" ca="1" si="191"/>
        <v>0</v>
      </c>
      <c r="AN277" s="1212">
        <f t="shared" ca="1" si="192"/>
        <v>56000</v>
      </c>
      <c r="AO277" s="1213">
        <f t="shared" ca="1" si="193"/>
        <v>2029.9999999999998</v>
      </c>
      <c r="AP277" s="1587">
        <f t="shared" ca="1" si="194"/>
        <v>0</v>
      </c>
      <c r="AS277" s="1212">
        <f t="shared" ca="1" si="195"/>
        <v>96000</v>
      </c>
      <c r="AT277" s="1213">
        <f t="shared" ca="1" si="196"/>
        <v>3479.9999999999995</v>
      </c>
      <c r="AU277" s="1587">
        <f t="shared" ca="1" si="197"/>
        <v>0</v>
      </c>
      <c r="AX277" s="1212">
        <f t="shared" ca="1" si="198"/>
        <v>89000</v>
      </c>
      <c r="AY277" s="1213">
        <f t="shared" ca="1" si="199"/>
        <v>3226.25</v>
      </c>
      <c r="AZ277" s="1587">
        <f t="shared" ca="1" si="200"/>
        <v>0</v>
      </c>
      <c r="BC277" s="1212">
        <f t="shared" ca="1" si="201"/>
        <v>0</v>
      </c>
      <c r="BD277" s="1213">
        <f t="shared" ca="1" si="202"/>
        <v>0</v>
      </c>
      <c r="BE277" s="1587">
        <f t="shared" ca="1" si="203"/>
        <v>0</v>
      </c>
      <c r="BH277" s="1212">
        <f t="shared" ca="1" si="204"/>
        <v>0</v>
      </c>
      <c r="BI277" s="1213">
        <f t="shared" ca="1" si="205"/>
        <v>0</v>
      </c>
      <c r="BJ277" s="1587">
        <f t="shared" ca="1" si="206"/>
        <v>0</v>
      </c>
      <c r="BM277" s="1212">
        <f t="shared" ca="1" si="207"/>
        <v>0</v>
      </c>
      <c r="BN277" s="1213">
        <f t="shared" ca="1" si="208"/>
        <v>0</v>
      </c>
      <c r="BO277" s="1587">
        <f t="shared" ca="1" si="209"/>
        <v>0</v>
      </c>
      <c r="BR277" s="1212">
        <f t="shared" ca="1" si="210"/>
        <v>0</v>
      </c>
      <c r="BS277" s="1213">
        <f t="shared" ca="1" si="211"/>
        <v>0</v>
      </c>
      <c r="BT277" s="1587">
        <f t="shared" ca="1" si="212"/>
        <v>0</v>
      </c>
      <c r="BW277" s="1212">
        <f t="shared" ca="1" si="213"/>
        <v>0</v>
      </c>
      <c r="BX277" s="1213">
        <f t="shared" ca="1" si="214"/>
        <v>0</v>
      </c>
      <c r="BY277" s="1587">
        <f t="shared" ca="1" si="215"/>
        <v>0</v>
      </c>
      <c r="CB277" s="1212">
        <f t="shared" ca="1" si="216"/>
        <v>0</v>
      </c>
      <c r="CC277" s="1213">
        <f t="shared" ca="1" si="217"/>
        <v>0</v>
      </c>
      <c r="CD277" s="1587">
        <f t="shared" ca="1" si="218"/>
        <v>0</v>
      </c>
      <c r="CG277" s="1212">
        <f t="shared" ca="1" si="219"/>
        <v>0</v>
      </c>
      <c r="CH277" s="1213">
        <f t="shared" ca="1" si="220"/>
        <v>0</v>
      </c>
      <c r="CI277" s="1587">
        <f t="shared" ca="1" si="221"/>
        <v>0</v>
      </c>
      <c r="CL277" s="1212">
        <f t="shared" ca="1" si="222"/>
        <v>0</v>
      </c>
      <c r="CM277" s="1213">
        <f t="shared" ca="1" si="223"/>
        <v>0</v>
      </c>
      <c r="CN277" s="1587">
        <f t="shared" ca="1" si="224"/>
        <v>0</v>
      </c>
    </row>
    <row r="278" spans="1:92">
      <c r="A278" s="141" t="str">
        <f>'銀行-TSS'!A278</f>
        <v>US88579YBN04</v>
      </c>
      <c r="B278" s="151" t="str">
        <f ca="1">VLOOKUP(A278,'銀行-TSS'!A:B,2,FALSE)</f>
        <v>XH820</v>
      </c>
      <c r="C278" s="151" t="str">
        <f ca="1">VLOOKUP(B278,bond!B:C,2,FALSE)</f>
        <v>3M公司美元配息債券 3.05% 2030/4/15</v>
      </c>
      <c r="D278" s="95" t="str">
        <f>VLOOKUP(A278,'銀行-TSS'!A:C,3,FALSE)</f>
        <v>USD</v>
      </c>
      <c r="E278" s="90">
        <f ca="1">VLOOKUP(A278,'銀行-TSS'!A:G,7,FALSE)</f>
        <v>5.79</v>
      </c>
      <c r="F278" s="202">
        <f ca="1">VLOOKUP(A278,'銀行-TSS'!A:H,8,FALSE)</f>
        <v>3.0499999999999999E-2</v>
      </c>
      <c r="G278" s="96">
        <f ca="1">VLOOKUP(A278,'銀行-TSS'!A:K,11,FALSE)</f>
        <v>92.34</v>
      </c>
      <c r="H278" s="1209">
        <f ca="1">VLOOKUP(A278,'銀行-TSS'!A:M,13,FALSE)</f>
        <v>4.7100000000000003E-2</v>
      </c>
      <c r="I278" s="1213">
        <f ca="1">VLOOKUP(A278,'銀行-TSS'!A:N,14,FALSE)</f>
        <v>10000</v>
      </c>
      <c r="J278" s="1213">
        <f ca="1">VLOOKUP(A278,'銀行-TSS'!A:O,15,FALSE)</f>
        <v>1000</v>
      </c>
      <c r="K278" s="136" t="str">
        <f ca="1">VLOOKUP(A278,'銀行-TSS'!A:V,22,FALSE)</f>
        <v>(NPI)非專投</v>
      </c>
      <c r="L278" s="136" t="str">
        <f ca="1">VLOOKUP(A278,'銀行-TSS'!A:AK,37,FALSE)</f>
        <v>有</v>
      </c>
      <c r="M278" s="136" t="str">
        <f ca="1">VLOOKUP(A278,'銀行-TSS'!A:AN,40,FALSE)</f>
        <v/>
      </c>
      <c r="N278" s="136">
        <f t="shared" ca="1" si="180"/>
        <v>923.4</v>
      </c>
      <c r="O278" s="1213">
        <f t="shared" ca="1" si="181"/>
        <v>9234</v>
      </c>
      <c r="P278" s="1213">
        <f ca="1">IF(AND($O$1&gt;=O278,換券單檔!$D$13=D278),I278+INT(($O$1-O278)/N278)*J278,0)</f>
        <v>104000</v>
      </c>
      <c r="Q278" s="1213">
        <f t="shared" ca="1" si="182"/>
        <v>3172</v>
      </c>
      <c r="R278" s="1213">
        <f t="shared" ca="1" si="183"/>
        <v>104000</v>
      </c>
      <c r="S278" s="1213">
        <f t="shared" ca="1" si="184"/>
        <v>3172</v>
      </c>
      <c r="T278" s="136">
        <f ca="1">IF(OR(R278=0,A278=0),0,IF(AND(V278=TRUE,換券單檔!$D$13=D278),E278,0))</f>
        <v>5.79</v>
      </c>
      <c r="U278" s="861">
        <f ca="1">IF(OR(R278=0,A278=0),0,IF(AND(V278=TRUE,換券單檔!$D$13=D278),H278,0))</f>
        <v>4.7100000000000003E-2</v>
      </c>
      <c r="V278" s="136" t="b">
        <f ca="1">IF(OR(B278=換券單檔!$D$3,L278="無",M278&lt;&gt;"",K278="高資產",IFERROR(MATCH(B278,換券單檔!K:K,0),"N")&lt;&gt;"N"),FALSE,IF($V$1="All",TRUE,IF(K278=$V$1,TRUE,FALSE)))</f>
        <v>1</v>
      </c>
      <c r="W278" s="136">
        <f ca="1">VLOOKUP(A278,'銀行-TSS'!A:AO,41,FALSE)</f>
        <v>90.190000000000012</v>
      </c>
      <c r="X278" s="136">
        <f ca="1">VLOOKUP(A278,'銀行-TSS'!A:AP,42,FALSE)</f>
        <v>5.1563999999999997</v>
      </c>
      <c r="Y278" s="1220">
        <f t="shared" ca="1" si="185"/>
        <v>4836.579446400001</v>
      </c>
      <c r="Z278" s="1220">
        <f t="shared" ca="1" si="186"/>
        <v>0</v>
      </c>
      <c r="AA278" s="136">
        <f ca="1">IF(Z278&lt;=0,0,RANK(Z278,Z:Z)+COUNTIF($Z$3:$Z278,Z278)-1)</f>
        <v>0</v>
      </c>
      <c r="AB278" s="1211">
        <f t="shared" ca="1" si="187"/>
        <v>-10059.560553599998</v>
      </c>
      <c r="AC278" s="136">
        <f ca="1">IF(AB278&lt;=0,0,RANK(AB278,AB:AB)+COUNTIF($AB$3:$AB278,AB278)-1)</f>
        <v>0</v>
      </c>
      <c r="AD278" s="1123">
        <f t="shared" ca="1" si="188"/>
        <v>99999</v>
      </c>
      <c r="AE278" s="1123">
        <f ca="1">IF(AD278=99999,0,RANK(AD278,AD:AD,1)+COUNTIF($AD$3:$AD278,AD278)-1)</f>
        <v>0</v>
      </c>
      <c r="AF278" s="86" t="b">
        <f ca="1">IF(OR(M278&lt;&gt;"",L278="無",K278="高資產",IFERROR(MATCH(B278,換券單檔!K:K,0),"N")&lt;&gt;"N"),FALSE,TRUE)</f>
        <v>1</v>
      </c>
      <c r="AI278" s="1212">
        <f t="shared" ca="1" si="189"/>
        <v>104000</v>
      </c>
      <c r="AJ278" s="1213">
        <f t="shared" ca="1" si="190"/>
        <v>3172</v>
      </c>
      <c r="AK278" s="1587">
        <f t="shared" ca="1" si="191"/>
        <v>0</v>
      </c>
      <c r="AN278" s="1212">
        <f t="shared" ca="1" si="192"/>
        <v>59000</v>
      </c>
      <c r="AO278" s="1213">
        <f t="shared" ca="1" si="193"/>
        <v>1799.5</v>
      </c>
      <c r="AP278" s="1587">
        <f t="shared" ca="1" si="194"/>
        <v>0</v>
      </c>
      <c r="AS278" s="1212">
        <f t="shared" ca="1" si="195"/>
        <v>102000</v>
      </c>
      <c r="AT278" s="1213">
        <f t="shared" ca="1" si="196"/>
        <v>3111</v>
      </c>
      <c r="AU278" s="1587">
        <f t="shared" ca="1" si="197"/>
        <v>0</v>
      </c>
      <c r="AX278" s="1212">
        <f t="shared" ca="1" si="198"/>
        <v>94000</v>
      </c>
      <c r="AY278" s="1213">
        <f t="shared" ca="1" si="199"/>
        <v>2867</v>
      </c>
      <c r="AZ278" s="1587">
        <f t="shared" ca="1" si="200"/>
        <v>0</v>
      </c>
      <c r="BC278" s="1212">
        <f t="shared" ca="1" si="201"/>
        <v>0</v>
      </c>
      <c r="BD278" s="1213">
        <f t="shared" ca="1" si="202"/>
        <v>0</v>
      </c>
      <c r="BE278" s="1587">
        <f t="shared" ca="1" si="203"/>
        <v>0</v>
      </c>
      <c r="BH278" s="1212">
        <f t="shared" ca="1" si="204"/>
        <v>0</v>
      </c>
      <c r="BI278" s="1213">
        <f t="shared" ca="1" si="205"/>
        <v>0</v>
      </c>
      <c r="BJ278" s="1587">
        <f t="shared" ca="1" si="206"/>
        <v>0</v>
      </c>
      <c r="BM278" s="1212">
        <f t="shared" ca="1" si="207"/>
        <v>0</v>
      </c>
      <c r="BN278" s="1213">
        <f t="shared" ca="1" si="208"/>
        <v>0</v>
      </c>
      <c r="BO278" s="1587">
        <f t="shared" ca="1" si="209"/>
        <v>0</v>
      </c>
      <c r="BR278" s="1212">
        <f t="shared" ca="1" si="210"/>
        <v>0</v>
      </c>
      <c r="BS278" s="1213">
        <f t="shared" ca="1" si="211"/>
        <v>0</v>
      </c>
      <c r="BT278" s="1587">
        <f t="shared" ca="1" si="212"/>
        <v>0</v>
      </c>
      <c r="BW278" s="1212">
        <f t="shared" ca="1" si="213"/>
        <v>0</v>
      </c>
      <c r="BX278" s="1213">
        <f t="shared" ca="1" si="214"/>
        <v>0</v>
      </c>
      <c r="BY278" s="1587">
        <f t="shared" ca="1" si="215"/>
        <v>0</v>
      </c>
      <c r="CB278" s="1212">
        <f t="shared" ca="1" si="216"/>
        <v>0</v>
      </c>
      <c r="CC278" s="1213">
        <f t="shared" ca="1" si="217"/>
        <v>0</v>
      </c>
      <c r="CD278" s="1587">
        <f t="shared" ca="1" si="218"/>
        <v>0</v>
      </c>
      <c r="CG278" s="1212">
        <f t="shared" ca="1" si="219"/>
        <v>0</v>
      </c>
      <c r="CH278" s="1213">
        <f t="shared" ca="1" si="220"/>
        <v>0</v>
      </c>
      <c r="CI278" s="1587">
        <f t="shared" ca="1" si="221"/>
        <v>0</v>
      </c>
      <c r="CL278" s="1212">
        <f t="shared" ca="1" si="222"/>
        <v>0</v>
      </c>
      <c r="CM278" s="1213">
        <f t="shared" ca="1" si="223"/>
        <v>0</v>
      </c>
      <c r="CN278" s="1587">
        <f t="shared" ca="1" si="224"/>
        <v>0</v>
      </c>
    </row>
    <row r="279" spans="1:92">
      <c r="A279" s="141" t="str">
        <f>'銀行-TSS'!A279</f>
        <v>US038222AM71</v>
      </c>
      <c r="B279" s="151" t="str">
        <f ca="1">VLOOKUP(A279,'銀行-TSS'!A:B,2,FALSE)</f>
        <v>XH830</v>
      </c>
      <c r="C279" s="151" t="str">
        <f ca="1">VLOOKUP(B279,bond!B:C,2,FALSE)</f>
        <v>應用材料公司美元配息債券 4.35% 2047/4/1</v>
      </c>
      <c r="D279" s="95" t="str">
        <f>VLOOKUP(A279,'銀行-TSS'!A:C,3,FALSE)</f>
        <v>USD</v>
      </c>
      <c r="E279" s="90">
        <f ca="1">VLOOKUP(A279,'銀行-TSS'!A:G,7,FALSE)</f>
        <v>22.75</v>
      </c>
      <c r="F279" s="202">
        <f ca="1">VLOOKUP(A279,'銀行-TSS'!A:H,8,FALSE)</f>
        <v>4.3499999999999997E-2</v>
      </c>
      <c r="G279" s="96">
        <f ca="1">VLOOKUP(A279,'銀行-TSS'!A:K,11,FALSE)</f>
        <v>92.62</v>
      </c>
      <c r="H279" s="1209">
        <f ca="1">VLOOKUP(A279,'銀行-TSS'!A:M,13,FALSE)</f>
        <v>4.9799999999999997E-2</v>
      </c>
      <c r="I279" s="1213">
        <f ca="1">VLOOKUP(A279,'銀行-TSS'!A:N,14,FALSE)</f>
        <v>10000</v>
      </c>
      <c r="J279" s="1213">
        <f ca="1">VLOOKUP(A279,'銀行-TSS'!A:O,15,FALSE)</f>
        <v>1000</v>
      </c>
      <c r="K279" s="136" t="str">
        <f ca="1">VLOOKUP(A279,'銀行-TSS'!A:V,22,FALSE)</f>
        <v>(NPI)非專投</v>
      </c>
      <c r="L279" s="136" t="str">
        <f ca="1">VLOOKUP(A279,'銀行-TSS'!A:AK,37,FALSE)</f>
        <v>有</v>
      </c>
      <c r="M279" s="136" t="str">
        <f ca="1">VLOOKUP(A279,'銀行-TSS'!A:AN,40,FALSE)</f>
        <v/>
      </c>
      <c r="N279" s="136">
        <f t="shared" ca="1" si="180"/>
        <v>926.2</v>
      </c>
      <c r="O279" s="1213">
        <f t="shared" ca="1" si="181"/>
        <v>9262</v>
      </c>
      <c r="P279" s="1213">
        <f ca="1">IF(AND($O$1&gt;=O279,換券單檔!$D$13=D279),I279+INT(($O$1-O279)/N279)*J279,0)</f>
        <v>104000</v>
      </c>
      <c r="Q279" s="1213">
        <f t="shared" ca="1" si="182"/>
        <v>4524</v>
      </c>
      <c r="R279" s="1213">
        <f t="shared" ca="1" si="183"/>
        <v>104000</v>
      </c>
      <c r="S279" s="1213">
        <f t="shared" ca="1" si="184"/>
        <v>4524</v>
      </c>
      <c r="T279" s="136">
        <f ca="1">IF(OR(R279=0,A279=0),0,IF(AND(V279=TRUE,換券單檔!$D$13=D279),E279,0))</f>
        <v>22.75</v>
      </c>
      <c r="U279" s="861">
        <f ca="1">IF(OR(R279=0,A279=0),0,IF(AND(V279=TRUE,換券單檔!$D$13=D279),H279,0))</f>
        <v>4.9799999999999997E-2</v>
      </c>
      <c r="V279" s="136" t="b">
        <f ca="1">IF(OR(B279=換券單檔!$D$3,L279="無",M279&lt;&gt;"",K279="高資產",IFERROR(MATCH(B279,換券單檔!K:K,0),"N")&lt;&gt;"N"),FALSE,IF($V$1="All",TRUE,IF(K279=$V$1,TRUE,FALSE)))</f>
        <v>1</v>
      </c>
      <c r="W279" s="136">
        <f ca="1">VLOOKUP(A279,'銀行-TSS'!A:AO,41,FALSE)</f>
        <v>88.02000000000001</v>
      </c>
      <c r="X279" s="136">
        <f ca="1">VLOOKUP(A279,'銀行-TSS'!A:AP,42,FALSE)</f>
        <v>13.610300000000001</v>
      </c>
      <c r="Y279" s="1220">
        <f t="shared" ca="1" si="185"/>
        <v>12458.977502400003</v>
      </c>
      <c r="Z279" s="1220">
        <f t="shared" ca="1" si="186"/>
        <v>-868.59340659340387</v>
      </c>
      <c r="AA279" s="136">
        <f ca="1">IF(Z279&lt;=0,0,RANK(Z279,Z:Z)+COUNTIF($Z$3:$Z279,Z279)-1)</f>
        <v>0</v>
      </c>
      <c r="AB279" s="1211">
        <f t="shared" ca="1" si="187"/>
        <v>-2437.1624975999966</v>
      </c>
      <c r="AC279" s="136">
        <f ca="1">IF(AB279&lt;=0,0,RANK(AB279,AB:AB)+COUNTIF($AB$3:$AB279,AB279)-1)</f>
        <v>0</v>
      </c>
      <c r="AD279" s="1123">
        <f t="shared" ca="1" si="188"/>
        <v>99999</v>
      </c>
      <c r="AE279" s="1123">
        <f ca="1">IF(AD279=99999,0,RANK(AD279,AD:AD,1)+COUNTIF($AD$3:$AD279,AD279)-1)</f>
        <v>0</v>
      </c>
      <c r="AF279" s="86" t="b">
        <f ca="1">IF(OR(M279&lt;&gt;"",L279="無",K279="高資產",IFERROR(MATCH(B279,換券單檔!K:K,0),"N")&lt;&gt;"N"),FALSE,TRUE)</f>
        <v>1</v>
      </c>
      <c r="AI279" s="1212">
        <f t="shared" ca="1" si="189"/>
        <v>104000</v>
      </c>
      <c r="AJ279" s="1213">
        <f t="shared" ca="1" si="190"/>
        <v>4524</v>
      </c>
      <c r="AK279" s="1587">
        <f t="shared" ca="1" si="191"/>
        <v>-868.59340659340387</v>
      </c>
      <c r="AN279" s="1212">
        <f t="shared" ca="1" si="192"/>
        <v>59000</v>
      </c>
      <c r="AO279" s="1213">
        <f t="shared" ca="1" si="193"/>
        <v>2566.5</v>
      </c>
      <c r="AP279" s="1587">
        <f t="shared" ca="1" si="194"/>
        <v>-81071.368131868134</v>
      </c>
      <c r="AS279" s="1212">
        <f t="shared" ca="1" si="195"/>
        <v>102000</v>
      </c>
      <c r="AT279" s="1213">
        <f t="shared" ca="1" si="196"/>
        <v>4437</v>
      </c>
      <c r="AU279" s="1587">
        <f t="shared" ca="1" si="197"/>
        <v>-1241.1648351648353</v>
      </c>
      <c r="AX279" s="1212">
        <f t="shared" ca="1" si="198"/>
        <v>93000</v>
      </c>
      <c r="AY279" s="1213">
        <f t="shared" ca="1" si="199"/>
        <v>4045.4999999999995</v>
      </c>
      <c r="AZ279" s="1587">
        <f t="shared" ca="1" si="200"/>
        <v>-15186.829670329675</v>
      </c>
      <c r="BC279" s="1212">
        <f t="shared" ca="1" si="201"/>
        <v>0</v>
      </c>
      <c r="BD279" s="1213">
        <f t="shared" ca="1" si="202"/>
        <v>0</v>
      </c>
      <c r="BE279" s="1587">
        <f t="shared" ca="1" si="203"/>
        <v>0</v>
      </c>
      <c r="BH279" s="1212">
        <f t="shared" ca="1" si="204"/>
        <v>0</v>
      </c>
      <c r="BI279" s="1213">
        <f t="shared" ca="1" si="205"/>
        <v>0</v>
      </c>
      <c r="BJ279" s="1587">
        <f t="shared" ca="1" si="206"/>
        <v>0</v>
      </c>
      <c r="BM279" s="1212">
        <f t="shared" ca="1" si="207"/>
        <v>0</v>
      </c>
      <c r="BN279" s="1213">
        <f t="shared" ca="1" si="208"/>
        <v>0</v>
      </c>
      <c r="BO279" s="1587">
        <f t="shared" ca="1" si="209"/>
        <v>0</v>
      </c>
      <c r="BR279" s="1212">
        <f t="shared" ca="1" si="210"/>
        <v>0</v>
      </c>
      <c r="BS279" s="1213">
        <f t="shared" ca="1" si="211"/>
        <v>0</v>
      </c>
      <c r="BT279" s="1587">
        <f t="shared" ca="1" si="212"/>
        <v>0</v>
      </c>
      <c r="BW279" s="1212">
        <f t="shared" ca="1" si="213"/>
        <v>0</v>
      </c>
      <c r="BX279" s="1213">
        <f t="shared" ca="1" si="214"/>
        <v>0</v>
      </c>
      <c r="BY279" s="1587">
        <f t="shared" ca="1" si="215"/>
        <v>0</v>
      </c>
      <c r="CB279" s="1212">
        <f t="shared" ca="1" si="216"/>
        <v>0</v>
      </c>
      <c r="CC279" s="1213">
        <f t="shared" ca="1" si="217"/>
        <v>0</v>
      </c>
      <c r="CD279" s="1587">
        <f t="shared" ca="1" si="218"/>
        <v>0</v>
      </c>
      <c r="CG279" s="1212">
        <f t="shared" ca="1" si="219"/>
        <v>0</v>
      </c>
      <c r="CH279" s="1213">
        <f t="shared" ca="1" si="220"/>
        <v>0</v>
      </c>
      <c r="CI279" s="1587">
        <f t="shared" ca="1" si="221"/>
        <v>0</v>
      </c>
      <c r="CL279" s="1212">
        <f t="shared" ca="1" si="222"/>
        <v>0</v>
      </c>
      <c r="CM279" s="1213">
        <f t="shared" ca="1" si="223"/>
        <v>0</v>
      </c>
      <c r="CN279" s="1587">
        <f t="shared" ca="1" si="224"/>
        <v>0</v>
      </c>
    </row>
    <row r="280" spans="1:92">
      <c r="A280" s="141" t="str">
        <f>'銀行-TSS'!A280</f>
        <v>US459200HF10</v>
      </c>
      <c r="B280" s="151" t="str">
        <f ca="1">VLOOKUP(A280,'銀行-TSS'!A:B,2,FALSE)</f>
        <v>XH840</v>
      </c>
      <c r="C280" s="151" t="str">
        <f ca="1">VLOOKUP(B280,bond!B:C,2,FALSE)</f>
        <v>國際商業機器公司美元配息債券 4% 2042/6/20</v>
      </c>
      <c r="D280" s="95" t="str">
        <f>VLOOKUP(A280,'銀行-TSS'!A:C,3,FALSE)</f>
        <v>USD</v>
      </c>
      <c r="E280" s="90">
        <f ca="1">VLOOKUP(A280,'銀行-TSS'!A:G,7,FALSE)</f>
        <v>17.97</v>
      </c>
      <c r="F280" s="202">
        <f ca="1">VLOOKUP(A280,'銀行-TSS'!A:H,8,FALSE)</f>
        <v>0.04</v>
      </c>
      <c r="G280" s="96">
        <f ca="1">VLOOKUP(A280,'銀行-TSS'!A:K,11,FALSE)</f>
        <v>85.49</v>
      </c>
      <c r="H280" s="1209">
        <f ca="1">VLOOKUP(A280,'銀行-TSS'!A:M,13,FALSE)</f>
        <v>5.2699999999999997E-2</v>
      </c>
      <c r="I280" s="1213">
        <f ca="1">VLOOKUP(A280,'銀行-TSS'!A:N,14,FALSE)</f>
        <v>10000</v>
      </c>
      <c r="J280" s="1213">
        <f ca="1">VLOOKUP(A280,'銀行-TSS'!A:O,15,FALSE)</f>
        <v>1000</v>
      </c>
      <c r="K280" s="136" t="str">
        <f ca="1">VLOOKUP(A280,'銀行-TSS'!A:V,22,FALSE)</f>
        <v>(NPI)非專投</v>
      </c>
      <c r="L280" s="136" t="str">
        <f ca="1">VLOOKUP(A280,'銀行-TSS'!A:AK,37,FALSE)</f>
        <v>有</v>
      </c>
      <c r="M280" s="136" t="str">
        <f ca="1">VLOOKUP(A280,'銀行-TSS'!A:AN,40,FALSE)</f>
        <v/>
      </c>
      <c r="N280" s="136">
        <f t="shared" ca="1" si="180"/>
        <v>854.9</v>
      </c>
      <c r="O280" s="1213">
        <f t="shared" ca="1" si="181"/>
        <v>8549</v>
      </c>
      <c r="P280" s="1213">
        <f ca="1">IF(AND($O$1&gt;=O280,換券單檔!$D$13=D280),I280+INT(($O$1-O280)/N280)*J280,0)</f>
        <v>113000</v>
      </c>
      <c r="Q280" s="1213">
        <f t="shared" ca="1" si="182"/>
        <v>4520</v>
      </c>
      <c r="R280" s="1213">
        <f t="shared" ca="1" si="183"/>
        <v>113000</v>
      </c>
      <c r="S280" s="1213">
        <f t="shared" ca="1" si="184"/>
        <v>4520</v>
      </c>
      <c r="T280" s="136">
        <f ca="1">IF(OR(R280=0,A280=0),0,IF(AND(V280=TRUE,換券單檔!$D$13=D280),E280,0))</f>
        <v>17.97</v>
      </c>
      <c r="U280" s="861">
        <f ca="1">IF(OR(R280=0,A280=0),0,IF(AND(V280=TRUE,換券單檔!$D$13=D280),H280,0))</f>
        <v>5.2699999999999997E-2</v>
      </c>
      <c r="V280" s="136" t="b">
        <f ca="1">IF(OR(B280=換券單檔!$D$3,L280="無",M280&lt;&gt;"",K280="高資產",IFERROR(MATCH(B280,換券單檔!K:K,0),"N")&lt;&gt;"N"),FALSE,IF($V$1="All",TRUE,IF(K280=$V$1,TRUE,FALSE)))</f>
        <v>1</v>
      </c>
      <c r="W280" s="136">
        <f ca="1">VLOOKUP(A280,'銀行-TSS'!A:AO,41,FALSE)</f>
        <v>82.36</v>
      </c>
      <c r="X280" s="136">
        <f ca="1">VLOOKUP(A280,'銀行-TSS'!A:AP,42,FALSE)</f>
        <v>12.084300000000001</v>
      </c>
      <c r="Y280" s="1220">
        <f t="shared" ca="1" si="185"/>
        <v>11246.471312400001</v>
      </c>
      <c r="Z280" s="1220">
        <f t="shared" ca="1" si="186"/>
        <v>-600.74012242626327</v>
      </c>
      <c r="AA280" s="136">
        <f ca="1">IF(Z280&lt;=0,0,RANK(Z280,Z:Z)+COUNTIF($Z$3:$Z280,Z280)-1)</f>
        <v>0</v>
      </c>
      <c r="AB280" s="1211">
        <f t="shared" ca="1" si="187"/>
        <v>-3649.6686875999985</v>
      </c>
      <c r="AC280" s="136">
        <f ca="1">IF(AB280&lt;=0,0,RANK(AB280,AB:AB)+COUNTIF($AB$3:$AB280,AB280)-1)</f>
        <v>0</v>
      </c>
      <c r="AD280" s="1123">
        <f t="shared" ca="1" si="188"/>
        <v>99999</v>
      </c>
      <c r="AE280" s="1123">
        <f ca="1">IF(AD280=99999,0,RANK(AD280,AD:AD,1)+COUNTIF($AD$3:$AD280,AD280)-1)</f>
        <v>0</v>
      </c>
      <c r="AF280" s="86" t="b">
        <f ca="1">IF(OR(M280&lt;&gt;"",L280="無",K280="高資產",IFERROR(MATCH(B280,換券單檔!K:K,0),"N")&lt;&gt;"N"),FALSE,TRUE)</f>
        <v>1</v>
      </c>
      <c r="AI280" s="1212">
        <f t="shared" ca="1" si="189"/>
        <v>113000</v>
      </c>
      <c r="AJ280" s="1213">
        <f t="shared" ca="1" si="190"/>
        <v>4520</v>
      </c>
      <c r="AK280" s="1587">
        <f t="shared" ca="1" si="191"/>
        <v>-600.74012242626327</v>
      </c>
      <c r="AN280" s="1212">
        <f t="shared" ca="1" si="192"/>
        <v>64000</v>
      </c>
      <c r="AO280" s="1213">
        <f t="shared" ca="1" si="193"/>
        <v>2560</v>
      </c>
      <c r="AP280" s="1587">
        <f t="shared" ca="1" si="194"/>
        <v>-71095.876460767948</v>
      </c>
      <c r="AS280" s="1212">
        <f t="shared" ca="1" si="195"/>
        <v>110000</v>
      </c>
      <c r="AT280" s="1213">
        <f t="shared" ca="1" si="196"/>
        <v>4400</v>
      </c>
      <c r="AU280" s="1587">
        <f t="shared" ca="1" si="197"/>
        <v>-1107.1090706733444</v>
      </c>
      <c r="AX280" s="1212">
        <f t="shared" ca="1" si="198"/>
        <v>101000</v>
      </c>
      <c r="AY280" s="1213">
        <f t="shared" ca="1" si="199"/>
        <v>4040</v>
      </c>
      <c r="AZ280" s="1587">
        <f t="shared" ca="1" si="200"/>
        <v>-1167.9521424596576</v>
      </c>
      <c r="BC280" s="1212">
        <f t="shared" ca="1" si="201"/>
        <v>0</v>
      </c>
      <c r="BD280" s="1213">
        <f t="shared" ca="1" si="202"/>
        <v>0</v>
      </c>
      <c r="BE280" s="1587">
        <f t="shared" ca="1" si="203"/>
        <v>0</v>
      </c>
      <c r="BH280" s="1212">
        <f t="shared" ca="1" si="204"/>
        <v>0</v>
      </c>
      <c r="BI280" s="1213">
        <f t="shared" ca="1" si="205"/>
        <v>0</v>
      </c>
      <c r="BJ280" s="1587">
        <f t="shared" ca="1" si="206"/>
        <v>0</v>
      </c>
      <c r="BM280" s="1212">
        <f t="shared" ca="1" si="207"/>
        <v>0</v>
      </c>
      <c r="BN280" s="1213">
        <f t="shared" ca="1" si="208"/>
        <v>0</v>
      </c>
      <c r="BO280" s="1587">
        <f t="shared" ca="1" si="209"/>
        <v>0</v>
      </c>
      <c r="BR280" s="1212">
        <f t="shared" ca="1" si="210"/>
        <v>0</v>
      </c>
      <c r="BS280" s="1213">
        <f t="shared" ca="1" si="211"/>
        <v>0</v>
      </c>
      <c r="BT280" s="1587">
        <f t="shared" ca="1" si="212"/>
        <v>0</v>
      </c>
      <c r="BW280" s="1212">
        <f t="shared" ca="1" si="213"/>
        <v>0</v>
      </c>
      <c r="BX280" s="1213">
        <f t="shared" ca="1" si="214"/>
        <v>0</v>
      </c>
      <c r="BY280" s="1587">
        <f t="shared" ca="1" si="215"/>
        <v>0</v>
      </c>
      <c r="CB280" s="1212">
        <f t="shared" ca="1" si="216"/>
        <v>0</v>
      </c>
      <c r="CC280" s="1213">
        <f t="shared" ca="1" si="217"/>
        <v>0</v>
      </c>
      <c r="CD280" s="1587">
        <f t="shared" ca="1" si="218"/>
        <v>0</v>
      </c>
      <c r="CG280" s="1212">
        <f t="shared" ca="1" si="219"/>
        <v>0</v>
      </c>
      <c r="CH280" s="1213">
        <f t="shared" ca="1" si="220"/>
        <v>0</v>
      </c>
      <c r="CI280" s="1587">
        <f t="shared" ca="1" si="221"/>
        <v>0</v>
      </c>
      <c r="CL280" s="1212">
        <f t="shared" ca="1" si="222"/>
        <v>0</v>
      </c>
      <c r="CM280" s="1213">
        <f t="shared" ca="1" si="223"/>
        <v>0</v>
      </c>
      <c r="CN280" s="1587">
        <f t="shared" ca="1" si="224"/>
        <v>0</v>
      </c>
    </row>
    <row r="281" spans="1:92">
      <c r="A281" s="141" t="str">
        <f>'銀行-TSS'!A281</f>
        <v>US91282CFV81</v>
      </c>
      <c r="B281" s="151" t="str">
        <f ca="1">VLOOKUP(A281,'銀行-TSS'!A:B,2,FALSE)</f>
        <v>XH860</v>
      </c>
      <c r="C281" s="151" t="str">
        <f ca="1">VLOOKUP(B281,bond!B:C,2,FALSE)</f>
        <v>美國政府公債 4.125% 2032/11/15</v>
      </c>
      <c r="D281" s="95" t="str">
        <f>VLOOKUP(A281,'銀行-TSS'!A:C,3,FALSE)</f>
        <v>USD</v>
      </c>
      <c r="E281" s="90">
        <f ca="1">VLOOKUP(A281,'銀行-TSS'!A:G,7,FALSE)</f>
        <v>8.3699999999999992</v>
      </c>
      <c r="F281" s="202">
        <f ca="1">VLOOKUP(A281,'銀行-TSS'!A:H,8,FALSE)</f>
        <v>4.1250000000000002E-2</v>
      </c>
      <c r="G281" s="96">
        <f ca="1">VLOOKUP(A281,'銀行-TSS'!A:K,11,FALSE)</f>
        <v>100.45</v>
      </c>
      <c r="H281" s="1209">
        <f ca="1">VLOOKUP(A281,'銀行-TSS'!A:M,13,FALSE)</f>
        <v>4.1399999999999999E-2</v>
      </c>
      <c r="I281" s="1213">
        <f ca="1">VLOOKUP(A281,'銀行-TSS'!A:N,14,FALSE)</f>
        <v>10000</v>
      </c>
      <c r="J281" s="1213">
        <f ca="1">VLOOKUP(A281,'銀行-TSS'!A:O,15,FALSE)</f>
        <v>1000</v>
      </c>
      <c r="K281" s="136" t="str">
        <f ca="1">VLOOKUP(A281,'銀行-TSS'!A:V,22,FALSE)</f>
        <v>(NPI)非專投</v>
      </c>
      <c r="L281" s="136" t="str">
        <f ca="1">VLOOKUP(A281,'銀行-TSS'!A:AK,37,FALSE)</f>
        <v>有</v>
      </c>
      <c r="M281" s="136" t="str">
        <f ca="1">VLOOKUP(A281,'銀行-TSS'!A:AN,40,FALSE)</f>
        <v/>
      </c>
      <c r="N281" s="136">
        <f t="shared" ca="1" si="180"/>
        <v>1004.5</v>
      </c>
      <c r="O281" s="1213">
        <f t="shared" ca="1" si="181"/>
        <v>10045</v>
      </c>
      <c r="P281" s="1213">
        <f ca="1">IF(AND($O$1&gt;=O281,換券單檔!$D$13=D281),I281+INT(($O$1-O281)/N281)*J281,0)</f>
        <v>96000</v>
      </c>
      <c r="Q281" s="1213">
        <f t="shared" ca="1" si="182"/>
        <v>3960</v>
      </c>
      <c r="R281" s="1213">
        <f t="shared" ca="1" si="183"/>
        <v>96000</v>
      </c>
      <c r="S281" s="1213">
        <f t="shared" ca="1" si="184"/>
        <v>3960</v>
      </c>
      <c r="T281" s="136">
        <f ca="1">IF(OR(R281=0,A281=0),0,IF(AND(V281=TRUE,換券單檔!$D$13=D281),E281,0))</f>
        <v>8.3699999999999992</v>
      </c>
      <c r="U281" s="861">
        <f ca="1">IF(OR(R281=0,A281=0),0,IF(AND(V281=TRUE,換券單檔!$D$13=D281),H281,0))</f>
        <v>4.1399999999999999E-2</v>
      </c>
      <c r="V281" s="136" t="b">
        <f ca="1">IF(OR(B281=換券單檔!$D$3,L281="無",M281&lt;&gt;"",K281="高資產",IFERROR(MATCH(B281,換券單檔!K:K,0),"N")&lt;&gt;"N"),FALSE,IF($V$1="All",TRUE,IF(K281=$V$1,TRUE,FALSE)))</f>
        <v>1</v>
      </c>
      <c r="W281" s="136">
        <f ca="1">VLOOKUP(A281,'銀行-TSS'!A:AO,41,FALSE)</f>
        <v>98.710000000000008</v>
      </c>
      <c r="X281" s="136">
        <f ca="1">VLOOKUP(A281,'銀行-TSS'!A:AP,42,FALSE)</f>
        <v>6.9684999999999997</v>
      </c>
      <c r="Y281" s="1220">
        <f t="shared" ca="1" si="185"/>
        <v>6603.4620960000011</v>
      </c>
      <c r="Z281" s="1220">
        <f t="shared" ca="1" si="186"/>
        <v>0</v>
      </c>
      <c r="AA281" s="136">
        <f ca="1">IF(Z281&lt;=0,0,RANK(Z281,Z:Z)+COUNTIF($Z$3:$Z281,Z281)-1)</f>
        <v>0</v>
      </c>
      <c r="AB281" s="1211">
        <f t="shared" ca="1" si="187"/>
        <v>-12292.677903999998</v>
      </c>
      <c r="AC281" s="136">
        <f ca="1">IF(AB281&lt;=0,0,RANK(AB281,AB:AB)+COUNTIF($AB$3:$AB281,AB281)-1)</f>
        <v>0</v>
      </c>
      <c r="AD281" s="1123">
        <f t="shared" ca="1" si="188"/>
        <v>99999</v>
      </c>
      <c r="AE281" s="1123">
        <f ca="1">IF(AD281=99999,0,RANK(AD281,AD:AD,1)+COUNTIF($AD$3:$AD281,AD281)-1)</f>
        <v>0</v>
      </c>
      <c r="AF281" s="86" t="b">
        <f ca="1">IF(OR(M281&lt;&gt;"",L281="無",K281="高資產",IFERROR(MATCH(B281,換券單檔!K:K,0),"N")&lt;&gt;"N"),FALSE,TRUE)</f>
        <v>1</v>
      </c>
      <c r="AI281" s="1212">
        <f t="shared" ca="1" si="189"/>
        <v>96000</v>
      </c>
      <c r="AJ281" s="1213">
        <f t="shared" ca="1" si="190"/>
        <v>3960</v>
      </c>
      <c r="AK281" s="1587">
        <f t="shared" ca="1" si="191"/>
        <v>0</v>
      </c>
      <c r="AN281" s="1212">
        <f t="shared" ca="1" si="192"/>
        <v>55000</v>
      </c>
      <c r="AO281" s="1213">
        <f t="shared" ca="1" si="193"/>
        <v>2268.75</v>
      </c>
      <c r="AP281" s="1587">
        <f t="shared" ca="1" si="194"/>
        <v>-89947.110215053763</v>
      </c>
      <c r="AS281" s="1212">
        <f t="shared" ca="1" si="195"/>
        <v>94000</v>
      </c>
      <c r="AT281" s="1213">
        <f t="shared" ca="1" si="196"/>
        <v>3877.5</v>
      </c>
      <c r="AU281" s="1587">
        <f t="shared" ca="1" si="197"/>
        <v>0</v>
      </c>
      <c r="AX281" s="1212">
        <f t="shared" ca="1" si="198"/>
        <v>86000</v>
      </c>
      <c r="AY281" s="1213">
        <f t="shared" ca="1" si="199"/>
        <v>3547.5</v>
      </c>
      <c r="AZ281" s="1587">
        <f t="shared" ca="1" si="200"/>
        <v>0</v>
      </c>
      <c r="BC281" s="1212">
        <f t="shared" ca="1" si="201"/>
        <v>0</v>
      </c>
      <c r="BD281" s="1213">
        <f t="shared" ca="1" si="202"/>
        <v>0</v>
      </c>
      <c r="BE281" s="1587">
        <f t="shared" ca="1" si="203"/>
        <v>0</v>
      </c>
      <c r="BH281" s="1212">
        <f t="shared" ca="1" si="204"/>
        <v>0</v>
      </c>
      <c r="BI281" s="1213">
        <f t="shared" ca="1" si="205"/>
        <v>0</v>
      </c>
      <c r="BJ281" s="1587">
        <f t="shared" ca="1" si="206"/>
        <v>0</v>
      </c>
      <c r="BM281" s="1212">
        <f t="shared" ca="1" si="207"/>
        <v>0</v>
      </c>
      <c r="BN281" s="1213">
        <f t="shared" ca="1" si="208"/>
        <v>0</v>
      </c>
      <c r="BO281" s="1587">
        <f t="shared" ca="1" si="209"/>
        <v>0</v>
      </c>
      <c r="BR281" s="1212">
        <f t="shared" ca="1" si="210"/>
        <v>0</v>
      </c>
      <c r="BS281" s="1213">
        <f t="shared" ca="1" si="211"/>
        <v>0</v>
      </c>
      <c r="BT281" s="1587">
        <f t="shared" ca="1" si="212"/>
        <v>0</v>
      </c>
      <c r="BW281" s="1212">
        <f t="shared" ca="1" si="213"/>
        <v>0</v>
      </c>
      <c r="BX281" s="1213">
        <f t="shared" ca="1" si="214"/>
        <v>0</v>
      </c>
      <c r="BY281" s="1587">
        <f t="shared" ca="1" si="215"/>
        <v>0</v>
      </c>
      <c r="CB281" s="1212">
        <f t="shared" ca="1" si="216"/>
        <v>0</v>
      </c>
      <c r="CC281" s="1213">
        <f t="shared" ca="1" si="217"/>
        <v>0</v>
      </c>
      <c r="CD281" s="1587">
        <f t="shared" ca="1" si="218"/>
        <v>0</v>
      </c>
      <c r="CG281" s="1212">
        <f t="shared" ca="1" si="219"/>
        <v>0</v>
      </c>
      <c r="CH281" s="1213">
        <f t="shared" ca="1" si="220"/>
        <v>0</v>
      </c>
      <c r="CI281" s="1587">
        <f t="shared" ca="1" si="221"/>
        <v>0</v>
      </c>
      <c r="CL281" s="1212">
        <f t="shared" ca="1" si="222"/>
        <v>0</v>
      </c>
      <c r="CM281" s="1213">
        <f t="shared" ca="1" si="223"/>
        <v>0</v>
      </c>
      <c r="CN281" s="1587">
        <f t="shared" ca="1" si="224"/>
        <v>0</v>
      </c>
    </row>
    <row r="282" spans="1:92">
      <c r="A282" s="141" t="str">
        <f>'銀行-TSS'!A282</f>
        <v>US912810PX00</v>
      </c>
      <c r="B282" s="151" t="str">
        <f ca="1">VLOOKUP(A282,'銀行-TSS'!A:B,2,FALSE)</f>
        <v>XH870</v>
      </c>
      <c r="C282" s="151" t="str">
        <f ca="1">VLOOKUP(B282,bond!B:C,2,FALSE)</f>
        <v>美國政府公債 4.5% 2038/5/15</v>
      </c>
      <c r="D282" s="95" t="str">
        <f>VLOOKUP(A282,'銀行-TSS'!A:C,3,FALSE)</f>
        <v>USD</v>
      </c>
      <c r="E282" s="90">
        <f ca="1">VLOOKUP(A282,'銀行-TSS'!A:G,7,FALSE)</f>
        <v>13.87</v>
      </c>
      <c r="F282" s="202">
        <f ca="1">VLOOKUP(A282,'銀行-TSS'!A:H,8,FALSE)</f>
        <v>4.4999999999999998E-2</v>
      </c>
      <c r="G282" s="96">
        <f ca="1">VLOOKUP(A282,'銀行-TSS'!A:K,11,FALSE)</f>
        <v>103.59</v>
      </c>
      <c r="H282" s="1209">
        <f ca="1">VLOOKUP(A282,'銀行-TSS'!A:M,13,FALSE)</f>
        <v>4.2099999999999999E-2</v>
      </c>
      <c r="I282" s="1213">
        <f ca="1">VLOOKUP(A282,'銀行-TSS'!A:N,14,FALSE)</f>
        <v>10000</v>
      </c>
      <c r="J282" s="1213">
        <f ca="1">VLOOKUP(A282,'銀行-TSS'!A:O,15,FALSE)</f>
        <v>1000</v>
      </c>
      <c r="K282" s="136" t="str">
        <f ca="1">VLOOKUP(A282,'銀行-TSS'!A:V,22,FALSE)</f>
        <v>(NPI)非專投</v>
      </c>
      <c r="L282" s="136" t="str">
        <f ca="1">VLOOKUP(A282,'銀行-TSS'!A:AK,37,FALSE)</f>
        <v>有</v>
      </c>
      <c r="M282" s="136" t="str">
        <f ca="1">VLOOKUP(A282,'銀行-TSS'!A:AN,40,FALSE)</f>
        <v/>
      </c>
      <c r="N282" s="136">
        <f t="shared" ca="1" si="180"/>
        <v>1035.9000000000001</v>
      </c>
      <c r="O282" s="1213">
        <f t="shared" ca="1" si="181"/>
        <v>10359</v>
      </c>
      <c r="P282" s="1213">
        <f ca="1">IF(AND($O$1&gt;=O282,換券單檔!$D$13=D282),I282+INT(($O$1-O282)/N282)*J282,0)</f>
        <v>93000</v>
      </c>
      <c r="Q282" s="1213">
        <f t="shared" ca="1" si="182"/>
        <v>4185</v>
      </c>
      <c r="R282" s="1213">
        <f t="shared" ca="1" si="183"/>
        <v>93000</v>
      </c>
      <c r="S282" s="1213">
        <f t="shared" ca="1" si="184"/>
        <v>4185</v>
      </c>
      <c r="T282" s="136">
        <f ca="1">IF(OR(R282=0,A282=0),0,IF(AND(V282=TRUE,換券單檔!$D$13=D282),E282,0))</f>
        <v>13.87</v>
      </c>
      <c r="U282" s="861">
        <f ca="1">IF(OR(R282=0,A282=0),0,IF(AND(V282=TRUE,換券單檔!$D$13=D282),H282,0))</f>
        <v>4.2099999999999999E-2</v>
      </c>
      <c r="V282" s="136" t="b">
        <f ca="1">IF(OR(B282=換券單檔!$D$3,L282="無",M282&lt;&gt;"",K282="高資產",IFERROR(MATCH(B282,換券單檔!K:K,0),"N")&lt;&gt;"N"),FALSE,IF($V$1="All",TRUE,IF(K282=$V$1,TRUE,FALSE)))</f>
        <v>1</v>
      </c>
      <c r="W282" s="136">
        <f ca="1">VLOOKUP(A282,'銀行-TSS'!A:AO,41,FALSE)</f>
        <v>101.5</v>
      </c>
      <c r="X282" s="136">
        <f ca="1">VLOOKUP(A282,'銀行-TSS'!A:AP,42,FALSE)</f>
        <v>10.2193</v>
      </c>
      <c r="Y282" s="1220">
        <f t="shared" ca="1" si="185"/>
        <v>9646.5082349999993</v>
      </c>
      <c r="Z282" s="1220">
        <f t="shared" ca="1" si="186"/>
        <v>0</v>
      </c>
      <c r="AA282" s="136">
        <f ca="1">IF(Z282&lt;=0,0,RANK(Z282,Z:Z)+COUNTIF($Z$3:$Z282,Z282)-1)</f>
        <v>0</v>
      </c>
      <c r="AB282" s="1211">
        <f t="shared" ca="1" si="187"/>
        <v>-12249.631765</v>
      </c>
      <c r="AC282" s="136">
        <f ca="1">IF(AB282&lt;=0,0,RANK(AB282,AB:AB)+COUNTIF($AB$3:$AB282,AB282)-1)</f>
        <v>0</v>
      </c>
      <c r="AD282" s="1123">
        <f t="shared" ca="1" si="188"/>
        <v>99999</v>
      </c>
      <c r="AE282" s="1123">
        <f ca="1">IF(AD282=99999,0,RANK(AD282,AD:AD,1)+COUNTIF($AD$3:$AD282,AD282)-1)</f>
        <v>0</v>
      </c>
      <c r="AF282" s="86" t="b">
        <f ca="1">IF(OR(M282&lt;&gt;"",L282="無",K282="高資產",IFERROR(MATCH(B282,換券單檔!K:K,0),"N")&lt;&gt;"N"),FALSE,TRUE)</f>
        <v>1</v>
      </c>
      <c r="AI282" s="1212">
        <f t="shared" ca="1" si="189"/>
        <v>93000</v>
      </c>
      <c r="AJ282" s="1213">
        <f t="shared" ca="1" si="190"/>
        <v>4185</v>
      </c>
      <c r="AK282" s="1587">
        <f t="shared" ca="1" si="191"/>
        <v>0</v>
      </c>
      <c r="AN282" s="1212">
        <f t="shared" ca="1" si="192"/>
        <v>53000</v>
      </c>
      <c r="AO282" s="1213">
        <f t="shared" ca="1" si="193"/>
        <v>2385</v>
      </c>
      <c r="AP282" s="1587">
        <f t="shared" ca="1" si="194"/>
        <v>-93609.599855803899</v>
      </c>
      <c r="AS282" s="1212">
        <f t="shared" ca="1" si="195"/>
        <v>91000</v>
      </c>
      <c r="AT282" s="1213">
        <f t="shared" ca="1" si="196"/>
        <v>4095</v>
      </c>
      <c r="AU282" s="1587">
        <f t="shared" ca="1" si="197"/>
        <v>0</v>
      </c>
      <c r="AX282" s="1212">
        <f t="shared" ca="1" si="198"/>
        <v>83000</v>
      </c>
      <c r="AY282" s="1213">
        <f t="shared" ca="1" si="199"/>
        <v>3735</v>
      </c>
      <c r="AZ282" s="1587">
        <f t="shared" ca="1" si="200"/>
        <v>0</v>
      </c>
      <c r="BC282" s="1212">
        <f t="shared" ca="1" si="201"/>
        <v>0</v>
      </c>
      <c r="BD282" s="1213">
        <f t="shared" ca="1" si="202"/>
        <v>0</v>
      </c>
      <c r="BE282" s="1587">
        <f t="shared" ca="1" si="203"/>
        <v>0</v>
      </c>
      <c r="BH282" s="1212">
        <f t="shared" ca="1" si="204"/>
        <v>0</v>
      </c>
      <c r="BI282" s="1213">
        <f t="shared" ca="1" si="205"/>
        <v>0</v>
      </c>
      <c r="BJ282" s="1587">
        <f t="shared" ca="1" si="206"/>
        <v>0</v>
      </c>
      <c r="BM282" s="1212">
        <f t="shared" ca="1" si="207"/>
        <v>0</v>
      </c>
      <c r="BN282" s="1213">
        <f t="shared" ca="1" si="208"/>
        <v>0</v>
      </c>
      <c r="BO282" s="1587">
        <f t="shared" ca="1" si="209"/>
        <v>0</v>
      </c>
      <c r="BR282" s="1212">
        <f t="shared" ca="1" si="210"/>
        <v>0</v>
      </c>
      <c r="BS282" s="1213">
        <f t="shared" ca="1" si="211"/>
        <v>0</v>
      </c>
      <c r="BT282" s="1587">
        <f t="shared" ca="1" si="212"/>
        <v>0</v>
      </c>
      <c r="BW282" s="1212">
        <f t="shared" ca="1" si="213"/>
        <v>0</v>
      </c>
      <c r="BX282" s="1213">
        <f t="shared" ca="1" si="214"/>
        <v>0</v>
      </c>
      <c r="BY282" s="1587">
        <f t="shared" ca="1" si="215"/>
        <v>0</v>
      </c>
      <c r="CB282" s="1212">
        <f t="shared" ca="1" si="216"/>
        <v>0</v>
      </c>
      <c r="CC282" s="1213">
        <f t="shared" ca="1" si="217"/>
        <v>0</v>
      </c>
      <c r="CD282" s="1587">
        <f t="shared" ca="1" si="218"/>
        <v>0</v>
      </c>
      <c r="CG282" s="1212">
        <f t="shared" ca="1" si="219"/>
        <v>0</v>
      </c>
      <c r="CH282" s="1213">
        <f t="shared" ca="1" si="220"/>
        <v>0</v>
      </c>
      <c r="CI282" s="1587">
        <f t="shared" ca="1" si="221"/>
        <v>0</v>
      </c>
      <c r="CL282" s="1212">
        <f t="shared" ca="1" si="222"/>
        <v>0</v>
      </c>
      <c r="CM282" s="1213">
        <f t="shared" ca="1" si="223"/>
        <v>0</v>
      </c>
      <c r="CN282" s="1587">
        <f t="shared" ca="1" si="224"/>
        <v>0</v>
      </c>
    </row>
    <row r="283" spans="1:92">
      <c r="A283" s="141" t="str">
        <f>'銀行-TSS'!A283</f>
        <v>US912810QE10</v>
      </c>
      <c r="B283" s="151" t="str">
        <f ca="1">VLOOKUP(A283,'銀行-TSS'!A:B,2,FALSE)</f>
        <v>XH880</v>
      </c>
      <c r="C283" s="151" t="str">
        <f ca="1">VLOOKUP(B283,bond!B:C,2,FALSE)</f>
        <v>美國政府公債 4.625% 2040/2/15</v>
      </c>
      <c r="D283" s="95" t="str">
        <f>VLOOKUP(A283,'銀行-TSS'!A:C,3,FALSE)</f>
        <v>USD</v>
      </c>
      <c r="E283" s="90">
        <f ca="1">VLOOKUP(A283,'銀行-TSS'!A:G,7,FALSE)</f>
        <v>15.62</v>
      </c>
      <c r="F283" s="202">
        <f ca="1">VLOOKUP(A283,'銀行-TSS'!A:H,8,FALSE)</f>
        <v>4.6249999999999999E-2</v>
      </c>
      <c r="G283" s="96">
        <f ca="1">VLOOKUP(A283,'銀行-TSS'!A:K,11,FALSE)</f>
        <v>105.88</v>
      </c>
      <c r="H283" s="1209">
        <f ca="1">VLOOKUP(A283,'銀行-TSS'!A:M,13,FALSE)</f>
        <v>4.2599999999999999E-2</v>
      </c>
      <c r="I283" s="1213">
        <f ca="1">VLOOKUP(A283,'銀行-TSS'!A:N,14,FALSE)</f>
        <v>10000</v>
      </c>
      <c r="J283" s="1213">
        <f ca="1">VLOOKUP(A283,'銀行-TSS'!A:O,15,FALSE)</f>
        <v>1000</v>
      </c>
      <c r="K283" s="136" t="str">
        <f ca="1">VLOOKUP(A283,'銀行-TSS'!A:V,22,FALSE)</f>
        <v>(NPI)非專投</v>
      </c>
      <c r="L283" s="136" t="str">
        <f ca="1">VLOOKUP(A283,'銀行-TSS'!A:AK,37,FALSE)</f>
        <v>有</v>
      </c>
      <c r="M283" s="136" t="str">
        <f ca="1">VLOOKUP(A283,'銀行-TSS'!A:AN,40,FALSE)</f>
        <v/>
      </c>
      <c r="N283" s="136">
        <f t="shared" ca="1" si="180"/>
        <v>1058.8</v>
      </c>
      <c r="O283" s="1213">
        <f t="shared" ca="1" si="181"/>
        <v>10588</v>
      </c>
      <c r="P283" s="1213">
        <f ca="1">IF(AND($O$1&gt;=O283,換券單檔!$D$13=D283),I283+INT(($O$1-O283)/N283)*J283,0)</f>
        <v>91000</v>
      </c>
      <c r="Q283" s="1213">
        <f t="shared" ca="1" si="182"/>
        <v>4208.75</v>
      </c>
      <c r="R283" s="1213">
        <f t="shared" ca="1" si="183"/>
        <v>91000</v>
      </c>
      <c r="S283" s="1213">
        <f t="shared" ca="1" si="184"/>
        <v>4208.75</v>
      </c>
      <c r="T283" s="136">
        <f ca="1">IF(OR(R283=0,A283=0),0,IF(AND(V283=TRUE,換券單檔!$D$13=D283),E283,0))</f>
        <v>15.62</v>
      </c>
      <c r="U283" s="861">
        <f ca="1">IF(OR(R283=0,A283=0),0,IF(AND(V283=TRUE,換券單檔!$D$13=D283),H283,0))</f>
        <v>4.2599999999999999E-2</v>
      </c>
      <c r="V283" s="136" t="b">
        <f ca="1">IF(OR(B283=換券單檔!$D$3,L283="無",M283&lt;&gt;"",K283="高資產",IFERROR(MATCH(B283,換券單檔!K:K,0),"N")&lt;&gt;"N"),FALSE,IF($V$1="All",TRUE,IF(K283=$V$1,TRUE,FALSE)))</f>
        <v>1</v>
      </c>
      <c r="W283" s="136">
        <f ca="1">VLOOKUP(A283,'銀行-TSS'!A:AO,41,FALSE)</f>
        <v>102.13000000000001</v>
      </c>
      <c r="X283" s="136">
        <f ca="1">VLOOKUP(A283,'銀行-TSS'!A:AP,42,FALSE)</f>
        <v>10.926500000000001</v>
      </c>
      <c r="Y283" s="1220">
        <f t="shared" ca="1" si="185"/>
        <v>10154.9033495</v>
      </c>
      <c r="Z283" s="1220">
        <f t="shared" ca="1" si="186"/>
        <v>0</v>
      </c>
      <c r="AA283" s="136">
        <f ca="1">IF(Z283&lt;=0,0,RANK(Z283,Z:Z)+COUNTIF($Z$3:$Z283,Z283)-1)</f>
        <v>0</v>
      </c>
      <c r="AB283" s="1211">
        <f t="shared" ca="1" si="187"/>
        <v>-13741.236650499999</v>
      </c>
      <c r="AC283" s="136">
        <f ca="1">IF(AB283&lt;=0,0,RANK(AB283,AB:AB)+COUNTIF($AB$3:$AB283,AB283)-1)</f>
        <v>0</v>
      </c>
      <c r="AD283" s="1123">
        <f t="shared" ca="1" si="188"/>
        <v>99999</v>
      </c>
      <c r="AE283" s="1123">
        <f ca="1">IF(AD283=99999,0,RANK(AD283,AD:AD,1)+COUNTIF($AD$3:$AD283,AD283)-1)</f>
        <v>0</v>
      </c>
      <c r="AF283" s="86" t="b">
        <f ca="1">IF(OR(M283&lt;&gt;"",L283="無",K283="高資產",IFERROR(MATCH(B283,換券單檔!K:K,0),"N")&lt;&gt;"N"),FALSE,TRUE)</f>
        <v>1</v>
      </c>
      <c r="AI283" s="1212">
        <f t="shared" ca="1" si="189"/>
        <v>91000</v>
      </c>
      <c r="AJ283" s="1213">
        <f t="shared" ca="1" si="190"/>
        <v>4208.75</v>
      </c>
      <c r="AK283" s="1587">
        <f t="shared" ca="1" si="191"/>
        <v>0</v>
      </c>
      <c r="AN283" s="1212">
        <f t="shared" ca="1" si="192"/>
        <v>52000</v>
      </c>
      <c r="AO283" s="1213">
        <f t="shared" ca="1" si="193"/>
        <v>2405</v>
      </c>
      <c r="AP283" s="1587">
        <f t="shared" ca="1" si="194"/>
        <v>-95549.884763124195</v>
      </c>
      <c r="AS283" s="1212">
        <f t="shared" ca="1" si="195"/>
        <v>89000</v>
      </c>
      <c r="AT283" s="1213">
        <f t="shared" ca="1" si="196"/>
        <v>4116.25</v>
      </c>
      <c r="AU283" s="1587">
        <f t="shared" ca="1" si="197"/>
        <v>0</v>
      </c>
      <c r="AX283" s="1212">
        <f t="shared" ca="1" si="198"/>
        <v>82000</v>
      </c>
      <c r="AY283" s="1213">
        <f t="shared" ca="1" si="199"/>
        <v>3792.5</v>
      </c>
      <c r="AZ283" s="1587">
        <f t="shared" ca="1" si="200"/>
        <v>0</v>
      </c>
      <c r="BC283" s="1212">
        <f t="shared" ca="1" si="201"/>
        <v>0</v>
      </c>
      <c r="BD283" s="1213">
        <f t="shared" ca="1" si="202"/>
        <v>0</v>
      </c>
      <c r="BE283" s="1587">
        <f t="shared" ca="1" si="203"/>
        <v>0</v>
      </c>
      <c r="BH283" s="1212">
        <f t="shared" ca="1" si="204"/>
        <v>0</v>
      </c>
      <c r="BI283" s="1213">
        <f t="shared" ca="1" si="205"/>
        <v>0</v>
      </c>
      <c r="BJ283" s="1587">
        <f t="shared" ca="1" si="206"/>
        <v>0</v>
      </c>
      <c r="BM283" s="1212">
        <f t="shared" ca="1" si="207"/>
        <v>0</v>
      </c>
      <c r="BN283" s="1213">
        <f t="shared" ca="1" si="208"/>
        <v>0</v>
      </c>
      <c r="BO283" s="1587">
        <f t="shared" ca="1" si="209"/>
        <v>0</v>
      </c>
      <c r="BR283" s="1212">
        <f t="shared" ca="1" si="210"/>
        <v>0</v>
      </c>
      <c r="BS283" s="1213">
        <f t="shared" ca="1" si="211"/>
        <v>0</v>
      </c>
      <c r="BT283" s="1587">
        <f t="shared" ca="1" si="212"/>
        <v>0</v>
      </c>
      <c r="BW283" s="1212">
        <f t="shared" ca="1" si="213"/>
        <v>0</v>
      </c>
      <c r="BX283" s="1213">
        <f t="shared" ca="1" si="214"/>
        <v>0</v>
      </c>
      <c r="BY283" s="1587">
        <f t="shared" ca="1" si="215"/>
        <v>0</v>
      </c>
      <c r="CB283" s="1212">
        <f t="shared" ca="1" si="216"/>
        <v>0</v>
      </c>
      <c r="CC283" s="1213">
        <f t="shared" ca="1" si="217"/>
        <v>0</v>
      </c>
      <c r="CD283" s="1587">
        <f t="shared" ca="1" si="218"/>
        <v>0</v>
      </c>
      <c r="CG283" s="1212">
        <f t="shared" ca="1" si="219"/>
        <v>0</v>
      </c>
      <c r="CH283" s="1213">
        <f t="shared" ca="1" si="220"/>
        <v>0</v>
      </c>
      <c r="CI283" s="1587">
        <f t="shared" ca="1" si="221"/>
        <v>0</v>
      </c>
      <c r="CL283" s="1212">
        <f t="shared" ca="1" si="222"/>
        <v>0</v>
      </c>
      <c r="CM283" s="1213">
        <f t="shared" ca="1" si="223"/>
        <v>0</v>
      </c>
      <c r="CN283" s="1587">
        <f t="shared" ca="1" si="224"/>
        <v>0</v>
      </c>
    </row>
    <row r="284" spans="1:92">
      <c r="A284" s="141" t="str">
        <f>'銀行-TSS'!A284</f>
        <v>US458140AK64</v>
      </c>
      <c r="B284" s="151" t="str">
        <f ca="1">VLOOKUP(A284,'銀行-TSS'!A:B,2,FALSE)</f>
        <v>XH890</v>
      </c>
      <c r="C284" s="151" t="str">
        <f ca="1">VLOOKUP(B284,bond!B:C,2,FALSE)</f>
        <v>英特爾公司美元配息債券 4.8% 2041/10/1</v>
      </c>
      <c r="D284" s="95" t="str">
        <f>VLOOKUP(A284,'銀行-TSS'!A:C,3,FALSE)</f>
        <v>USD</v>
      </c>
      <c r="E284" s="90">
        <f ca="1">VLOOKUP(A284,'銀行-TSS'!A:G,7,FALSE)</f>
        <v>17.25</v>
      </c>
      <c r="F284" s="202">
        <f ca="1">VLOOKUP(A284,'銀行-TSS'!A:H,8,FALSE)</f>
        <v>4.8000000000000001E-2</v>
      </c>
      <c r="G284" s="96">
        <f ca="1">VLOOKUP(A284,'銀行-TSS'!A:K,11,FALSE)</f>
        <v>95.35</v>
      </c>
      <c r="H284" s="1209">
        <f ca="1">VLOOKUP(A284,'銀行-TSS'!A:M,13,FALSE)</f>
        <v>5.3199999999999997E-2</v>
      </c>
      <c r="I284" s="1213">
        <f ca="1">VLOOKUP(A284,'銀行-TSS'!A:N,14,FALSE)</f>
        <v>10000</v>
      </c>
      <c r="J284" s="1213">
        <f ca="1">VLOOKUP(A284,'銀行-TSS'!A:O,15,FALSE)</f>
        <v>1000</v>
      </c>
      <c r="K284" s="136" t="str">
        <f ca="1">VLOOKUP(A284,'銀行-TSS'!A:V,22,FALSE)</f>
        <v>(NPI)非專投</v>
      </c>
      <c r="L284" s="136" t="str">
        <f ca="1">VLOOKUP(A284,'銀行-TSS'!A:AK,37,FALSE)</f>
        <v>有</v>
      </c>
      <c r="M284" s="136" t="str">
        <f ca="1">VLOOKUP(A284,'銀行-TSS'!A:AN,40,FALSE)</f>
        <v/>
      </c>
      <c r="N284" s="136">
        <f t="shared" ca="1" si="180"/>
        <v>953.5</v>
      </c>
      <c r="O284" s="1213">
        <f t="shared" ca="1" si="181"/>
        <v>9535</v>
      </c>
      <c r="P284" s="1213">
        <f ca="1">IF(AND($O$1&gt;=O284,換券單檔!$D$13=D284),I284+INT(($O$1-O284)/N284)*J284,0)</f>
        <v>101000</v>
      </c>
      <c r="Q284" s="1213">
        <f t="shared" ca="1" si="182"/>
        <v>4848</v>
      </c>
      <c r="R284" s="1213">
        <f t="shared" ca="1" si="183"/>
        <v>101000</v>
      </c>
      <c r="S284" s="1213">
        <f t="shared" ca="1" si="184"/>
        <v>4848</v>
      </c>
      <c r="T284" s="136">
        <f ca="1">IF(OR(R284=0,A284=0),0,IF(AND(V284=TRUE,換券單檔!$D$13=D284),E284,0))</f>
        <v>17.25</v>
      </c>
      <c r="U284" s="861">
        <f ca="1">IF(OR(R284=0,A284=0),0,IF(AND(V284=TRUE,換券單檔!$D$13=D284),H284,0))</f>
        <v>5.3199999999999997E-2</v>
      </c>
      <c r="V284" s="136" t="b">
        <f ca="1">IF(OR(B284=換券單檔!$D$3,L284="無",M284&lt;&gt;"",K284="高資產",IFERROR(MATCH(B284,換券單檔!K:K,0),"N")&lt;&gt;"N"),FALSE,IF($V$1="All",TRUE,IF(K284=$V$1,TRUE,FALSE)))</f>
        <v>1</v>
      </c>
      <c r="W284" s="136">
        <f ca="1">VLOOKUP(A284,'銀行-TSS'!A:AO,41,FALSE)</f>
        <v>91.64</v>
      </c>
      <c r="X284" s="136">
        <f ca="1">VLOOKUP(A284,'銀行-TSS'!A:AP,42,FALSE)</f>
        <v>11.2102</v>
      </c>
      <c r="Y284" s="1220">
        <f t="shared" ca="1" si="185"/>
        <v>10375.7575528</v>
      </c>
      <c r="Z284" s="1220">
        <f t="shared" ca="1" si="186"/>
        <v>23.159420289857721</v>
      </c>
      <c r="AA284" s="136">
        <f ca="1">IF(Z284&lt;=0,0,RANK(Z284,Z:Z)+COUNTIF($Z$3:$Z284,Z284)-1)</f>
        <v>25</v>
      </c>
      <c r="AB284" s="1211">
        <f t="shared" ca="1" si="187"/>
        <v>-4520.3824471999997</v>
      </c>
      <c r="AC284" s="136">
        <f ca="1">IF(AB284&lt;=0,0,RANK(AB284,AB:AB)+COUNTIF($AB$3:$AB284,AB284)-1)</f>
        <v>0</v>
      </c>
      <c r="AD284" s="1123">
        <f t="shared" ca="1" si="188"/>
        <v>99999</v>
      </c>
      <c r="AE284" s="1123">
        <f ca="1">IF(AD284=99999,0,RANK(AD284,AD:AD,1)+COUNTIF($AD$3:$AD284,AD284)-1)</f>
        <v>0</v>
      </c>
      <c r="AF284" s="86" t="b">
        <f ca="1">IF(OR(M284&lt;&gt;"",L284="無",K284="高資產",IFERROR(MATCH(B284,換券單檔!K:K,0),"N")&lt;&gt;"N"),FALSE,TRUE)</f>
        <v>1</v>
      </c>
      <c r="AI284" s="1212">
        <f t="shared" ca="1" si="189"/>
        <v>101000</v>
      </c>
      <c r="AJ284" s="1213">
        <f t="shared" ca="1" si="190"/>
        <v>4848</v>
      </c>
      <c r="AK284" s="1587">
        <f t="shared" ca="1" si="191"/>
        <v>23.159420289857721</v>
      </c>
      <c r="AN284" s="1212">
        <f t="shared" ca="1" si="192"/>
        <v>58000</v>
      </c>
      <c r="AO284" s="1213">
        <f t="shared" ca="1" si="193"/>
        <v>2784</v>
      </c>
      <c r="AP284" s="1587">
        <f t="shared" ca="1" si="194"/>
        <v>-82444.434782608689</v>
      </c>
      <c r="AS284" s="1212">
        <f t="shared" ca="1" si="195"/>
        <v>99000</v>
      </c>
      <c r="AT284" s="1213">
        <f t="shared" ca="1" si="196"/>
        <v>4752</v>
      </c>
      <c r="AU284" s="1587">
        <f t="shared" ca="1" si="197"/>
        <v>-2358.304347826087</v>
      </c>
      <c r="AX284" s="1212">
        <f t="shared" ca="1" si="198"/>
        <v>91000</v>
      </c>
      <c r="AY284" s="1213">
        <f t="shared" ca="1" si="199"/>
        <v>4368</v>
      </c>
      <c r="AZ284" s="1587">
        <f t="shared" ca="1" si="200"/>
        <v>-18238.869565217396</v>
      </c>
      <c r="BC284" s="1212">
        <f t="shared" ca="1" si="201"/>
        <v>0</v>
      </c>
      <c r="BD284" s="1213">
        <f t="shared" ca="1" si="202"/>
        <v>0</v>
      </c>
      <c r="BE284" s="1587">
        <f t="shared" ca="1" si="203"/>
        <v>0</v>
      </c>
      <c r="BH284" s="1212">
        <f t="shared" ca="1" si="204"/>
        <v>0</v>
      </c>
      <c r="BI284" s="1213">
        <f t="shared" ca="1" si="205"/>
        <v>0</v>
      </c>
      <c r="BJ284" s="1587">
        <f t="shared" ca="1" si="206"/>
        <v>0</v>
      </c>
      <c r="BM284" s="1212">
        <f t="shared" ca="1" si="207"/>
        <v>0</v>
      </c>
      <c r="BN284" s="1213">
        <f t="shared" ca="1" si="208"/>
        <v>0</v>
      </c>
      <c r="BO284" s="1587">
        <f t="shared" ca="1" si="209"/>
        <v>0</v>
      </c>
      <c r="BR284" s="1212">
        <f t="shared" ca="1" si="210"/>
        <v>0</v>
      </c>
      <c r="BS284" s="1213">
        <f t="shared" ca="1" si="211"/>
        <v>0</v>
      </c>
      <c r="BT284" s="1587">
        <f t="shared" ca="1" si="212"/>
        <v>0</v>
      </c>
      <c r="BW284" s="1212">
        <f t="shared" ca="1" si="213"/>
        <v>0</v>
      </c>
      <c r="BX284" s="1213">
        <f t="shared" ca="1" si="214"/>
        <v>0</v>
      </c>
      <c r="BY284" s="1587">
        <f t="shared" ca="1" si="215"/>
        <v>0</v>
      </c>
      <c r="CB284" s="1212">
        <f t="shared" ca="1" si="216"/>
        <v>0</v>
      </c>
      <c r="CC284" s="1213">
        <f t="shared" ca="1" si="217"/>
        <v>0</v>
      </c>
      <c r="CD284" s="1587">
        <f t="shared" ca="1" si="218"/>
        <v>0</v>
      </c>
      <c r="CG284" s="1212">
        <f t="shared" ca="1" si="219"/>
        <v>0</v>
      </c>
      <c r="CH284" s="1213">
        <f t="shared" ca="1" si="220"/>
        <v>0</v>
      </c>
      <c r="CI284" s="1587">
        <f t="shared" ca="1" si="221"/>
        <v>0</v>
      </c>
      <c r="CL284" s="1212">
        <f t="shared" ca="1" si="222"/>
        <v>0</v>
      </c>
      <c r="CM284" s="1213">
        <f t="shared" ca="1" si="223"/>
        <v>0</v>
      </c>
      <c r="CN284" s="1587">
        <f t="shared" ca="1" si="224"/>
        <v>0</v>
      </c>
    </row>
    <row r="285" spans="1:92">
      <c r="A285" s="141" t="str">
        <f>'銀行-TSS'!A285</f>
        <v>US458140AY68</v>
      </c>
      <c r="B285" s="151" t="str">
        <f ca="1">VLOOKUP(A285,'銀行-TSS'!A:B,2,FALSE)</f>
        <v>XH900</v>
      </c>
      <c r="C285" s="151" t="str">
        <f ca="1">VLOOKUP(B285,bond!B:C,2,FALSE)</f>
        <v>英特爾公司美元配息債券 4.1% 2047/5/11</v>
      </c>
      <c r="D285" s="95" t="str">
        <f>VLOOKUP(A285,'銀行-TSS'!A:C,3,FALSE)</f>
        <v>USD</v>
      </c>
      <c r="E285" s="90">
        <f ca="1">VLOOKUP(A285,'銀行-TSS'!A:G,7,FALSE)</f>
        <v>22.86</v>
      </c>
      <c r="F285" s="202">
        <f ca="1">VLOOKUP(A285,'銀行-TSS'!A:H,8,FALSE)</f>
        <v>4.0999999999999995E-2</v>
      </c>
      <c r="G285" s="96">
        <f ca="1">VLOOKUP(A285,'銀行-TSS'!A:K,11,FALSE)</f>
        <v>84.24</v>
      </c>
      <c r="H285" s="1209">
        <f ca="1">VLOOKUP(A285,'銀行-TSS'!A:M,13,FALSE)</f>
        <v>5.3499999999999999E-2</v>
      </c>
      <c r="I285" s="1213">
        <f ca="1">VLOOKUP(A285,'銀行-TSS'!A:N,14,FALSE)</f>
        <v>10000</v>
      </c>
      <c r="J285" s="1213">
        <f ca="1">VLOOKUP(A285,'銀行-TSS'!A:O,15,FALSE)</f>
        <v>1000</v>
      </c>
      <c r="K285" s="136" t="str">
        <f ca="1">VLOOKUP(A285,'銀行-TSS'!A:V,22,FALSE)</f>
        <v>(NPI)非專投</v>
      </c>
      <c r="L285" s="136" t="str">
        <f ca="1">VLOOKUP(A285,'銀行-TSS'!A:AK,37,FALSE)</f>
        <v>有</v>
      </c>
      <c r="M285" s="136" t="str">
        <f ca="1">VLOOKUP(A285,'銀行-TSS'!A:AN,40,FALSE)</f>
        <v/>
      </c>
      <c r="N285" s="136">
        <f t="shared" ca="1" si="180"/>
        <v>842.4</v>
      </c>
      <c r="O285" s="1213">
        <f t="shared" ca="1" si="181"/>
        <v>8424</v>
      </c>
      <c r="P285" s="1213">
        <f ca="1">IF(AND($O$1&gt;=O285,換券單檔!$D$13=D285),I285+INT(($O$1-O285)/N285)*J285,0)</f>
        <v>114000</v>
      </c>
      <c r="Q285" s="1213">
        <f t="shared" ca="1" si="182"/>
        <v>4673.9999999999991</v>
      </c>
      <c r="R285" s="1213">
        <f t="shared" ca="1" si="183"/>
        <v>114000</v>
      </c>
      <c r="S285" s="1213">
        <f t="shared" ca="1" si="184"/>
        <v>4673.9999999999991</v>
      </c>
      <c r="T285" s="136">
        <f ca="1">IF(OR(R285=0,A285=0),0,IF(AND(V285=TRUE,換券單檔!$D$13=D285),E285,0))</f>
        <v>22.86</v>
      </c>
      <c r="U285" s="861">
        <f ca="1">IF(OR(R285=0,A285=0),0,IF(AND(V285=TRUE,換券單檔!$D$13=D285),H285,0))</f>
        <v>5.3499999999999999E-2</v>
      </c>
      <c r="V285" s="136" t="b">
        <f ca="1">IF(OR(B285=換券單檔!$D$3,L285="無",M285&lt;&gt;"",K285="高資產",IFERROR(MATCH(B285,換券單檔!K:K,0),"N")&lt;&gt;"N"),FALSE,IF($V$1="All",TRUE,IF(K285=$V$1,TRUE,FALSE)))</f>
        <v>1</v>
      </c>
      <c r="W285" s="136">
        <f ca="1">VLOOKUP(A285,'銀行-TSS'!A:AO,41,FALSE)</f>
        <v>80.160000000000011</v>
      </c>
      <c r="X285" s="136">
        <f ca="1">VLOOKUP(A285,'銀行-TSS'!A:AP,42,FALSE)</f>
        <v>13.629300000000001</v>
      </c>
      <c r="Y285" s="1220">
        <f t="shared" ca="1" si="185"/>
        <v>12454.781443200001</v>
      </c>
      <c r="Z285" s="1220">
        <f t="shared" ca="1" si="186"/>
        <v>-210.23972003499563</v>
      </c>
      <c r="AA285" s="136">
        <f ca="1">IF(Z285&lt;=0,0,RANK(Z285,Z:Z)+COUNTIF($Z$3:$Z285,Z285)-1)</f>
        <v>0</v>
      </c>
      <c r="AB285" s="1211">
        <f t="shared" ca="1" si="187"/>
        <v>-2441.358556799998</v>
      </c>
      <c r="AC285" s="136">
        <f ca="1">IF(AB285&lt;=0,0,RANK(AB285,AB:AB)+COUNTIF($AB$3:$AB285,AB285)-1)</f>
        <v>0</v>
      </c>
      <c r="AD285" s="1123">
        <f t="shared" ca="1" si="188"/>
        <v>99999</v>
      </c>
      <c r="AE285" s="1123">
        <f ca="1">IF(AD285=99999,0,RANK(AD285,AD:AD,1)+COUNTIF($AD$3:$AD285,AD285)-1)</f>
        <v>0</v>
      </c>
      <c r="AF285" s="86" t="b">
        <f ca="1">IF(OR(M285&lt;&gt;"",L285="無",K285="高資產",IFERROR(MATCH(B285,換券單檔!K:K,0),"N")&lt;&gt;"N"),FALSE,TRUE)</f>
        <v>1</v>
      </c>
      <c r="AI285" s="1212">
        <f t="shared" ca="1" si="189"/>
        <v>114000</v>
      </c>
      <c r="AJ285" s="1213">
        <f t="shared" ca="1" si="190"/>
        <v>4673.9999999999991</v>
      </c>
      <c r="AK285" s="1587">
        <f t="shared" ca="1" si="191"/>
        <v>-210.23972003499563</v>
      </c>
      <c r="AN285" s="1212">
        <f t="shared" ca="1" si="192"/>
        <v>65000</v>
      </c>
      <c r="AO285" s="1213">
        <f t="shared" ca="1" si="193"/>
        <v>2664.9999999999995</v>
      </c>
      <c r="AP285" s="1587">
        <f t="shared" ca="1" si="194"/>
        <v>-68782.230971128607</v>
      </c>
      <c r="AS285" s="1212">
        <f t="shared" ca="1" si="195"/>
        <v>112000</v>
      </c>
      <c r="AT285" s="1213">
        <f t="shared" ca="1" si="196"/>
        <v>4591.9999999999991</v>
      </c>
      <c r="AU285" s="1587">
        <f t="shared" ca="1" si="197"/>
        <v>-567.96325459317848</v>
      </c>
      <c r="AX285" s="1212">
        <f t="shared" ca="1" si="198"/>
        <v>103000</v>
      </c>
      <c r="AY285" s="1213">
        <f t="shared" ca="1" si="199"/>
        <v>4222.9999999999991</v>
      </c>
      <c r="AZ285" s="1587">
        <f t="shared" ca="1" si="200"/>
        <v>-600.4881889763833</v>
      </c>
      <c r="BC285" s="1212">
        <f t="shared" ca="1" si="201"/>
        <v>0</v>
      </c>
      <c r="BD285" s="1213">
        <f t="shared" ca="1" si="202"/>
        <v>0</v>
      </c>
      <c r="BE285" s="1587">
        <f t="shared" ca="1" si="203"/>
        <v>0</v>
      </c>
      <c r="BH285" s="1212">
        <f t="shared" ca="1" si="204"/>
        <v>0</v>
      </c>
      <c r="BI285" s="1213">
        <f t="shared" ca="1" si="205"/>
        <v>0</v>
      </c>
      <c r="BJ285" s="1587">
        <f t="shared" ca="1" si="206"/>
        <v>0</v>
      </c>
      <c r="BM285" s="1212">
        <f t="shared" ca="1" si="207"/>
        <v>0</v>
      </c>
      <c r="BN285" s="1213">
        <f t="shared" ca="1" si="208"/>
        <v>0</v>
      </c>
      <c r="BO285" s="1587">
        <f t="shared" ca="1" si="209"/>
        <v>0</v>
      </c>
      <c r="BR285" s="1212">
        <f t="shared" ca="1" si="210"/>
        <v>0</v>
      </c>
      <c r="BS285" s="1213">
        <f t="shared" ca="1" si="211"/>
        <v>0</v>
      </c>
      <c r="BT285" s="1587">
        <f t="shared" ca="1" si="212"/>
        <v>0</v>
      </c>
      <c r="BW285" s="1212">
        <f t="shared" ca="1" si="213"/>
        <v>0</v>
      </c>
      <c r="BX285" s="1213">
        <f t="shared" ca="1" si="214"/>
        <v>0</v>
      </c>
      <c r="BY285" s="1587">
        <f t="shared" ca="1" si="215"/>
        <v>0</v>
      </c>
      <c r="CB285" s="1212">
        <f t="shared" ca="1" si="216"/>
        <v>0</v>
      </c>
      <c r="CC285" s="1213">
        <f t="shared" ca="1" si="217"/>
        <v>0</v>
      </c>
      <c r="CD285" s="1587">
        <f t="shared" ca="1" si="218"/>
        <v>0</v>
      </c>
      <c r="CG285" s="1212">
        <f t="shared" ca="1" si="219"/>
        <v>0</v>
      </c>
      <c r="CH285" s="1213">
        <f t="shared" ca="1" si="220"/>
        <v>0</v>
      </c>
      <c r="CI285" s="1587">
        <f t="shared" ca="1" si="221"/>
        <v>0</v>
      </c>
      <c r="CL285" s="1212">
        <f t="shared" ca="1" si="222"/>
        <v>0</v>
      </c>
      <c r="CM285" s="1213">
        <f t="shared" ca="1" si="223"/>
        <v>0</v>
      </c>
      <c r="CN285" s="1587">
        <f t="shared" ca="1" si="224"/>
        <v>0</v>
      </c>
    </row>
    <row r="286" spans="1:92">
      <c r="A286" s="141" t="str">
        <f>'銀行-TSS'!A286</f>
        <v>US482480AH34</v>
      </c>
      <c r="B286" s="151" t="str">
        <f ca="1">VLOOKUP(A286,'銀行-TSS'!A:B,2,FALSE)</f>
        <v>XH910</v>
      </c>
      <c r="C286" s="151" t="str">
        <f ca="1">VLOOKUP(B286,bond!B:C,2,FALSE)</f>
        <v>科磊公司美元配息債券 5% 2049/3/15</v>
      </c>
      <c r="D286" s="95" t="str">
        <f>VLOOKUP(A286,'銀行-TSS'!A:C,3,FALSE)</f>
        <v>USD</v>
      </c>
      <c r="E286" s="90">
        <f ca="1">VLOOKUP(A286,'銀行-TSS'!A:G,7,FALSE)</f>
        <v>24.7</v>
      </c>
      <c r="F286" s="202">
        <f ca="1">VLOOKUP(A286,'銀行-TSS'!A:H,8,FALSE)</f>
        <v>0.05</v>
      </c>
      <c r="G286" s="96">
        <f ca="1">VLOOKUP(A286,'銀行-TSS'!A:K,11,FALSE)</f>
        <v>99.32</v>
      </c>
      <c r="H286" s="1209">
        <f ca="1">VLOOKUP(A286,'銀行-TSS'!A:M,13,FALSE)</f>
        <v>5.16E-2</v>
      </c>
      <c r="I286" s="1213">
        <f ca="1">VLOOKUP(A286,'銀行-TSS'!A:N,14,FALSE)</f>
        <v>10000</v>
      </c>
      <c r="J286" s="1213">
        <f ca="1">VLOOKUP(A286,'銀行-TSS'!A:O,15,FALSE)</f>
        <v>1000</v>
      </c>
      <c r="K286" s="136" t="str">
        <f ca="1">VLOOKUP(A286,'銀行-TSS'!A:V,22,FALSE)</f>
        <v>(NPI)非專投</v>
      </c>
      <c r="L286" s="136" t="str">
        <f ca="1">VLOOKUP(A286,'銀行-TSS'!A:AK,37,FALSE)</f>
        <v>有</v>
      </c>
      <c r="M286" s="136" t="str">
        <f ca="1">VLOOKUP(A286,'銀行-TSS'!A:AN,40,FALSE)</f>
        <v/>
      </c>
      <c r="N286" s="136">
        <f t="shared" ca="1" si="180"/>
        <v>993.2</v>
      </c>
      <c r="O286" s="1213">
        <f t="shared" ca="1" si="181"/>
        <v>9931.9999999999982</v>
      </c>
      <c r="P286" s="1213">
        <f ca="1">IF(AND($O$1&gt;=O286,換券單檔!$D$13=D286),I286+INT(($O$1-O286)/N286)*J286,0)</f>
        <v>97000</v>
      </c>
      <c r="Q286" s="1213">
        <f t="shared" ca="1" si="182"/>
        <v>4850</v>
      </c>
      <c r="R286" s="1213">
        <f t="shared" ca="1" si="183"/>
        <v>97000</v>
      </c>
      <c r="S286" s="1213">
        <f t="shared" ca="1" si="184"/>
        <v>4850</v>
      </c>
      <c r="T286" s="136">
        <f ca="1">IF(OR(R286=0,A286=0),0,IF(AND(V286=TRUE,換券單檔!$D$13=D286),E286,0))</f>
        <v>24.7</v>
      </c>
      <c r="U286" s="861">
        <f ca="1">IF(OR(R286=0,A286=0),0,IF(AND(V286=TRUE,換券單檔!$D$13=D286),H286,0))</f>
        <v>5.16E-2</v>
      </c>
      <c r="V286" s="136" t="b">
        <f ca="1">IF(OR(B286=換券單檔!$D$3,L286="無",M286&lt;&gt;"",K286="高資產",IFERROR(MATCH(B286,換券單檔!K:K,0),"N")&lt;&gt;"N"),FALSE,IF($V$1="All",TRUE,IF(K286=$V$1,TRUE,FALSE)))</f>
        <v>1</v>
      </c>
      <c r="W286" s="136">
        <f ca="1">VLOOKUP(A286,'銀行-TSS'!A:AO,41,FALSE)</f>
        <v>94.33</v>
      </c>
      <c r="X286" s="136">
        <f ca="1">VLOOKUP(A286,'銀行-TSS'!A:AP,42,FALSE)</f>
        <v>13.625400000000001</v>
      </c>
      <c r="Y286" s="1220">
        <f t="shared" ca="1" si="185"/>
        <v>12467.254625400003</v>
      </c>
      <c r="Z286" s="1220">
        <f t="shared" ca="1" si="186"/>
        <v>-5999.9999999999973</v>
      </c>
      <c r="AA286" s="136">
        <f ca="1">IF(Z286&lt;=0,0,RANK(Z286,Z:Z)+COUNTIF($Z$3:$Z286,Z286)-1)</f>
        <v>0</v>
      </c>
      <c r="AB286" s="1211">
        <f t="shared" ca="1" si="187"/>
        <v>-5428.8853745999968</v>
      </c>
      <c r="AC286" s="136">
        <f ca="1">IF(AB286&lt;=0,0,RANK(AB286,AB:AB)+COUNTIF($AB$3:$AB286,AB286)-1)</f>
        <v>0</v>
      </c>
      <c r="AD286" s="1123">
        <f t="shared" ca="1" si="188"/>
        <v>99999</v>
      </c>
      <c r="AE286" s="1123">
        <f ca="1">IF(AD286=99999,0,RANK(AD286,AD:AD,1)+COUNTIF($AD$3:$AD286,AD286)-1)</f>
        <v>0</v>
      </c>
      <c r="AF286" s="86" t="b">
        <f ca="1">IF(OR(M286&lt;&gt;"",L286="無",K286="高資產",IFERROR(MATCH(B286,換券單檔!K:K,0),"N")&lt;&gt;"N"),FALSE,TRUE)</f>
        <v>1</v>
      </c>
      <c r="AI286" s="1212">
        <f t="shared" ca="1" si="189"/>
        <v>97000</v>
      </c>
      <c r="AJ286" s="1213">
        <f t="shared" ca="1" si="190"/>
        <v>4850</v>
      </c>
      <c r="AK286" s="1587">
        <f t="shared" ca="1" si="191"/>
        <v>-5999.9999999999973</v>
      </c>
      <c r="AN286" s="1212">
        <f t="shared" ca="1" si="192"/>
        <v>55000</v>
      </c>
      <c r="AO286" s="1213">
        <f t="shared" ca="1" si="193"/>
        <v>2750</v>
      </c>
      <c r="AP286" s="1587">
        <f t="shared" ca="1" si="194"/>
        <v>-88530.36437246963</v>
      </c>
      <c r="AS286" s="1212">
        <f t="shared" ca="1" si="195"/>
        <v>95000</v>
      </c>
      <c r="AT286" s="1213">
        <f t="shared" ca="1" si="196"/>
        <v>4750</v>
      </c>
      <c r="AU286" s="1587">
        <f t="shared" ca="1" si="197"/>
        <v>-10367.408906882591</v>
      </c>
      <c r="AX286" s="1212">
        <f t="shared" ca="1" si="198"/>
        <v>87000</v>
      </c>
      <c r="AY286" s="1213">
        <f t="shared" ca="1" si="199"/>
        <v>4350</v>
      </c>
      <c r="AZ286" s="1587">
        <f t="shared" ca="1" si="200"/>
        <v>-26293.927125506074</v>
      </c>
      <c r="BC286" s="1212">
        <f t="shared" ca="1" si="201"/>
        <v>0</v>
      </c>
      <c r="BD286" s="1213">
        <f t="shared" ca="1" si="202"/>
        <v>0</v>
      </c>
      <c r="BE286" s="1587">
        <f t="shared" ca="1" si="203"/>
        <v>0</v>
      </c>
      <c r="BH286" s="1212">
        <f t="shared" ca="1" si="204"/>
        <v>0</v>
      </c>
      <c r="BI286" s="1213">
        <f t="shared" ca="1" si="205"/>
        <v>0</v>
      </c>
      <c r="BJ286" s="1587">
        <f t="shared" ca="1" si="206"/>
        <v>0</v>
      </c>
      <c r="BM286" s="1212">
        <f t="shared" ca="1" si="207"/>
        <v>0</v>
      </c>
      <c r="BN286" s="1213">
        <f t="shared" ca="1" si="208"/>
        <v>0</v>
      </c>
      <c r="BO286" s="1587">
        <f t="shared" ca="1" si="209"/>
        <v>0</v>
      </c>
      <c r="BR286" s="1212">
        <f t="shared" ca="1" si="210"/>
        <v>0</v>
      </c>
      <c r="BS286" s="1213">
        <f t="shared" ca="1" si="211"/>
        <v>0</v>
      </c>
      <c r="BT286" s="1587">
        <f t="shared" ca="1" si="212"/>
        <v>0</v>
      </c>
      <c r="BW286" s="1212">
        <f t="shared" ca="1" si="213"/>
        <v>0</v>
      </c>
      <c r="BX286" s="1213">
        <f t="shared" ca="1" si="214"/>
        <v>0</v>
      </c>
      <c r="BY286" s="1587">
        <f t="shared" ca="1" si="215"/>
        <v>0</v>
      </c>
      <c r="CB286" s="1212">
        <f t="shared" ca="1" si="216"/>
        <v>0</v>
      </c>
      <c r="CC286" s="1213">
        <f t="shared" ca="1" si="217"/>
        <v>0</v>
      </c>
      <c r="CD286" s="1587">
        <f t="shared" ca="1" si="218"/>
        <v>0</v>
      </c>
      <c r="CG286" s="1212">
        <f t="shared" ca="1" si="219"/>
        <v>0</v>
      </c>
      <c r="CH286" s="1213">
        <f t="shared" ca="1" si="220"/>
        <v>0</v>
      </c>
      <c r="CI286" s="1587">
        <f t="shared" ca="1" si="221"/>
        <v>0</v>
      </c>
      <c r="CL286" s="1212">
        <f t="shared" ca="1" si="222"/>
        <v>0</v>
      </c>
      <c r="CM286" s="1213">
        <f t="shared" ca="1" si="223"/>
        <v>0</v>
      </c>
      <c r="CN286" s="1587">
        <f t="shared" ca="1" si="224"/>
        <v>0</v>
      </c>
    </row>
    <row r="287" spans="1:92">
      <c r="A287" s="141" t="str">
        <f>'銀行-TSS'!A287</f>
        <v>US097023CK94</v>
      </c>
      <c r="B287" s="151" t="str">
        <f ca="1">VLOOKUP(A287,'銀行-TSS'!A:B,2,FALSE)</f>
        <v>XH930</v>
      </c>
      <c r="C287" s="151" t="str">
        <f ca="1">VLOOKUP(B287,bond!B:C,2,FALSE)</f>
        <v>波音公司美元配息債券 3.9% 2049/5/1</v>
      </c>
      <c r="D287" s="95" t="str">
        <f>VLOOKUP(A287,'銀行-TSS'!A:C,3,FALSE)</f>
        <v>USD</v>
      </c>
      <c r="E287" s="90">
        <f ca="1">VLOOKUP(A287,'銀行-TSS'!A:G,7,FALSE)</f>
        <v>24.83</v>
      </c>
      <c r="F287" s="202">
        <f ca="1">VLOOKUP(A287,'銀行-TSS'!A:H,8,FALSE)</f>
        <v>3.9E-2</v>
      </c>
      <c r="G287" s="96">
        <f ca="1">VLOOKUP(A287,'銀行-TSS'!A:K,11,FALSE)</f>
        <v>72.16</v>
      </c>
      <c r="H287" s="1209">
        <f ca="1">VLOOKUP(A287,'銀行-TSS'!A:M,13,FALSE)</f>
        <v>6.1499999999999999E-2</v>
      </c>
      <c r="I287" s="1213">
        <f ca="1">VLOOKUP(A287,'銀行-TSS'!A:N,14,FALSE)</f>
        <v>10000</v>
      </c>
      <c r="J287" s="1213">
        <f ca="1">VLOOKUP(A287,'銀行-TSS'!A:O,15,FALSE)</f>
        <v>1000</v>
      </c>
      <c r="K287" s="136" t="str">
        <f ca="1">VLOOKUP(A287,'銀行-TSS'!A:V,22,FALSE)</f>
        <v>(PI)專投</v>
      </c>
      <c r="L287" s="136" t="str">
        <f ca="1">VLOOKUP(A287,'銀行-TSS'!A:AK,37,FALSE)</f>
        <v>有</v>
      </c>
      <c r="M287" s="136" t="str">
        <f ca="1">VLOOKUP(A287,'銀行-TSS'!A:AN,40,FALSE)</f>
        <v/>
      </c>
      <c r="N287" s="136">
        <f t="shared" ca="1" si="180"/>
        <v>721.6</v>
      </c>
      <c r="O287" s="1213">
        <f t="shared" ca="1" si="181"/>
        <v>7216</v>
      </c>
      <c r="P287" s="1213">
        <f ca="1">IF(AND($O$1&gt;=O287,換券單檔!$D$13=D287),I287+INT(($O$1-O287)/N287)*J287,0)</f>
        <v>134000</v>
      </c>
      <c r="Q287" s="1213">
        <f t="shared" ca="1" si="182"/>
        <v>5226</v>
      </c>
      <c r="R287" s="1213">
        <f t="shared" ca="1" si="183"/>
        <v>134000</v>
      </c>
      <c r="S287" s="1213">
        <f t="shared" ca="1" si="184"/>
        <v>5226</v>
      </c>
      <c r="T287" s="136">
        <f ca="1">IF(OR(R287=0,A287=0),0,IF(AND(V287=TRUE,換券單檔!$D$13=D287),E287,0))</f>
        <v>24.83</v>
      </c>
      <c r="U287" s="861">
        <f ca="1">IF(OR(R287=0,A287=0),0,IF(AND(V287=TRUE,換券單檔!$D$13=D287),H287,0))</f>
        <v>6.1499999999999999E-2</v>
      </c>
      <c r="V287" s="136" t="b">
        <f ca="1">IF(OR(B287=換券單檔!$D$3,L287="無",M287&lt;&gt;"",K287="高資產",IFERROR(MATCH(B287,換券單檔!K:K,0),"N")&lt;&gt;"N"),FALSE,IF($V$1="All",TRUE,IF(K287=$V$1,TRUE,FALSE)))</f>
        <v>1</v>
      </c>
      <c r="W287" s="136">
        <f ca="1">VLOOKUP(A287,'銀行-TSS'!A:AO,41,FALSE)</f>
        <v>68</v>
      </c>
      <c r="X287" s="136">
        <f ca="1">VLOOKUP(A287,'銀行-TSS'!A:AP,42,FALSE)</f>
        <v>13.6366</v>
      </c>
      <c r="Y287" s="1220">
        <f t="shared" ca="1" si="185"/>
        <v>12425.669919999998</v>
      </c>
      <c r="Z287" s="1220">
        <f t="shared" ca="1" si="186"/>
        <v>1789.9412001610981</v>
      </c>
      <c r="AA287" s="136">
        <f ca="1">IF(Z287&lt;=0,0,RANK(Z287,Z:Z)+COUNTIF($Z$3:$Z287,Z287)-1)</f>
        <v>8</v>
      </c>
      <c r="AB287" s="1211">
        <f t="shared" ca="1" si="187"/>
        <v>-2470.470080000001</v>
      </c>
      <c r="AC287" s="136">
        <f ca="1">IF(AB287&lt;=0,0,RANK(AB287,AB:AB)+COUNTIF($AB$3:$AB287,AB287)-1)</f>
        <v>0</v>
      </c>
      <c r="AD287" s="1123">
        <f t="shared" ca="1" si="188"/>
        <v>99999</v>
      </c>
      <c r="AE287" s="1123">
        <f ca="1">IF(AD287=99999,0,RANK(AD287,AD:AD,1)+COUNTIF($AD$3:$AD287,AD287)-1)</f>
        <v>0</v>
      </c>
      <c r="AF287" s="86" t="b">
        <f ca="1">IF(OR(M287&lt;&gt;"",L287="無",K287="高資產",IFERROR(MATCH(B287,換券單檔!K:K,0),"N")&lt;&gt;"N"),FALSE,TRUE)</f>
        <v>1</v>
      </c>
      <c r="AI287" s="1212">
        <f t="shared" ca="1" si="189"/>
        <v>134000</v>
      </c>
      <c r="AJ287" s="1213">
        <f t="shared" ca="1" si="190"/>
        <v>5226</v>
      </c>
      <c r="AK287" s="1587">
        <f t="shared" ca="1" si="191"/>
        <v>1789.9412001610981</v>
      </c>
      <c r="AN287" s="1212">
        <f t="shared" ca="1" si="192"/>
        <v>76000</v>
      </c>
      <c r="AO287" s="1213">
        <f t="shared" ca="1" si="193"/>
        <v>2964</v>
      </c>
      <c r="AP287" s="1587">
        <f t="shared" ca="1" si="194"/>
        <v>-45901.133306484095</v>
      </c>
      <c r="AS287" s="1212">
        <f t="shared" ca="1" si="195"/>
        <v>131000</v>
      </c>
      <c r="AT287" s="1213">
        <f t="shared" ca="1" si="196"/>
        <v>5109</v>
      </c>
      <c r="AU287" s="1587">
        <f t="shared" ca="1" si="197"/>
        <v>1312.1087394281112</v>
      </c>
      <c r="AX287" s="1212">
        <f t="shared" ca="1" si="198"/>
        <v>120000</v>
      </c>
      <c r="AY287" s="1213">
        <f t="shared" ca="1" si="199"/>
        <v>4680</v>
      </c>
      <c r="AZ287" s="1587">
        <f t="shared" ca="1" si="200"/>
        <v>1078.8441401530381</v>
      </c>
      <c r="BC287" s="1212">
        <f t="shared" ca="1" si="201"/>
        <v>0</v>
      </c>
      <c r="BD287" s="1213">
        <f t="shared" ca="1" si="202"/>
        <v>0</v>
      </c>
      <c r="BE287" s="1587">
        <f t="shared" ca="1" si="203"/>
        <v>0</v>
      </c>
      <c r="BH287" s="1212">
        <f t="shared" ca="1" si="204"/>
        <v>0</v>
      </c>
      <c r="BI287" s="1213">
        <f t="shared" ca="1" si="205"/>
        <v>0</v>
      </c>
      <c r="BJ287" s="1587">
        <f t="shared" ca="1" si="206"/>
        <v>0</v>
      </c>
      <c r="BM287" s="1212">
        <f t="shared" ca="1" si="207"/>
        <v>0</v>
      </c>
      <c r="BN287" s="1213">
        <f t="shared" ca="1" si="208"/>
        <v>0</v>
      </c>
      <c r="BO287" s="1587">
        <f t="shared" ca="1" si="209"/>
        <v>0</v>
      </c>
      <c r="BR287" s="1212">
        <f t="shared" ca="1" si="210"/>
        <v>0</v>
      </c>
      <c r="BS287" s="1213">
        <f t="shared" ca="1" si="211"/>
        <v>0</v>
      </c>
      <c r="BT287" s="1587">
        <f t="shared" ca="1" si="212"/>
        <v>0</v>
      </c>
      <c r="BW287" s="1212">
        <f t="shared" ca="1" si="213"/>
        <v>0</v>
      </c>
      <c r="BX287" s="1213">
        <f t="shared" ca="1" si="214"/>
        <v>0</v>
      </c>
      <c r="BY287" s="1587">
        <f t="shared" ca="1" si="215"/>
        <v>0</v>
      </c>
      <c r="CB287" s="1212">
        <f t="shared" ca="1" si="216"/>
        <v>0</v>
      </c>
      <c r="CC287" s="1213">
        <f t="shared" ca="1" si="217"/>
        <v>0</v>
      </c>
      <c r="CD287" s="1587">
        <f t="shared" ca="1" si="218"/>
        <v>0</v>
      </c>
      <c r="CG287" s="1212">
        <f t="shared" ca="1" si="219"/>
        <v>0</v>
      </c>
      <c r="CH287" s="1213">
        <f t="shared" ca="1" si="220"/>
        <v>0</v>
      </c>
      <c r="CI287" s="1587">
        <f t="shared" ca="1" si="221"/>
        <v>0</v>
      </c>
      <c r="CL287" s="1212">
        <f t="shared" ca="1" si="222"/>
        <v>0</v>
      </c>
      <c r="CM287" s="1213">
        <f t="shared" ca="1" si="223"/>
        <v>0</v>
      </c>
      <c r="CN287" s="1587">
        <f t="shared" ca="1" si="224"/>
        <v>0</v>
      </c>
    </row>
    <row r="288" spans="1:92">
      <c r="A288" s="141" t="str">
        <f>'銀行-TSS'!A288</f>
        <v>US767201AL06</v>
      </c>
      <c r="B288" s="151" t="str">
        <f ca="1">VLOOKUP(A288,'銀行-TSS'!A:B,2,FALSE)</f>
        <v>XH970</v>
      </c>
      <c r="C288" s="151" t="str">
        <f ca="1">VLOOKUP(B288,bond!B:C,2,FALSE)</f>
        <v>力拓金融美國有限公司美元配息債券 5.2% 2040/11/2</v>
      </c>
      <c r="D288" s="95" t="str">
        <f>VLOOKUP(A288,'銀行-TSS'!A:C,3,FALSE)</f>
        <v>USD</v>
      </c>
      <c r="E288" s="90">
        <f ca="1">VLOOKUP(A288,'銀行-TSS'!A:G,7,FALSE)</f>
        <v>16.34</v>
      </c>
      <c r="F288" s="202">
        <f ca="1">VLOOKUP(A288,'銀行-TSS'!A:H,8,FALSE)</f>
        <v>5.2000000000000005E-2</v>
      </c>
      <c r="G288" s="96">
        <f ca="1">VLOOKUP(A288,'銀行-TSS'!A:K,11,FALSE)</f>
        <v>101.06</v>
      </c>
      <c r="H288" s="1209">
        <f ca="1">VLOOKUP(A288,'銀行-TSS'!A:M,13,FALSE)</f>
        <v>5.1799999999999999E-2</v>
      </c>
      <c r="I288" s="1213">
        <f ca="1">VLOOKUP(A288,'銀行-TSS'!A:N,14,FALSE)</f>
        <v>10000</v>
      </c>
      <c r="J288" s="1213">
        <f ca="1">VLOOKUP(A288,'銀行-TSS'!A:O,15,FALSE)</f>
        <v>1000</v>
      </c>
      <c r="K288" s="136" t="str">
        <f ca="1">VLOOKUP(A288,'銀行-TSS'!A:V,22,FALSE)</f>
        <v>(NPI)非專投</v>
      </c>
      <c r="L288" s="136" t="str">
        <f ca="1">VLOOKUP(A288,'銀行-TSS'!A:AK,37,FALSE)</f>
        <v>有</v>
      </c>
      <c r="M288" s="136" t="str">
        <f ca="1">VLOOKUP(A288,'銀行-TSS'!A:AN,40,FALSE)</f>
        <v/>
      </c>
      <c r="N288" s="136">
        <f t="shared" ca="1" si="180"/>
        <v>1010.6</v>
      </c>
      <c r="O288" s="1213">
        <f t="shared" ca="1" si="181"/>
        <v>10106</v>
      </c>
      <c r="P288" s="1213">
        <f ca="1">IF(AND($O$1&gt;=O288,換券單檔!$D$13=D288),I288+INT(($O$1-O288)/N288)*J288,0)</f>
        <v>95000</v>
      </c>
      <c r="Q288" s="1213">
        <f t="shared" ca="1" si="182"/>
        <v>4940</v>
      </c>
      <c r="R288" s="1213">
        <f t="shared" ca="1" si="183"/>
        <v>95000</v>
      </c>
      <c r="S288" s="1213">
        <f t="shared" ca="1" si="184"/>
        <v>4940</v>
      </c>
      <c r="T288" s="136">
        <f ca="1">IF(OR(R288=0,A288=0),0,IF(AND(V288=TRUE,換券單檔!$D$13=D288),E288,0))</f>
        <v>16.34</v>
      </c>
      <c r="U288" s="861">
        <f ca="1">IF(OR(R288=0,A288=0),0,IF(AND(V288=TRUE,換券單檔!$D$13=D288),H288,0))</f>
        <v>5.1799999999999999E-2</v>
      </c>
      <c r="V288" s="136" t="b">
        <f ca="1">IF(OR(B288=換券單檔!$D$3,L288="無",M288&lt;&gt;"",K288="高資產",IFERROR(MATCH(B288,換券單檔!K:K,0),"N")&lt;&gt;"N"),FALSE,IF($V$1="All",TRUE,IF(K288=$V$1,TRUE,FALSE)))</f>
        <v>1</v>
      </c>
      <c r="W288" s="136">
        <f ca="1">VLOOKUP(A288,'銀行-TSS'!A:AO,41,FALSE)</f>
        <v>97.690000000000012</v>
      </c>
      <c r="X288" s="136">
        <f ca="1">VLOOKUP(A288,'銀行-TSS'!A:AP,42,FALSE)</f>
        <v>10.767200000000001</v>
      </c>
      <c r="Y288" s="1220">
        <f t="shared" ca="1" si="185"/>
        <v>9992.553796000002</v>
      </c>
      <c r="Z288" s="1220">
        <f t="shared" ca="1" si="186"/>
        <v>-9738.2619339045268</v>
      </c>
      <c r="AA288" s="136">
        <f ca="1">IF(Z288&lt;=0,0,RANK(Z288,Z:Z)+COUNTIF($Z$3:$Z288,Z288)-1)</f>
        <v>0</v>
      </c>
      <c r="AB288" s="1211">
        <f t="shared" ca="1" si="187"/>
        <v>-9903.5862039999975</v>
      </c>
      <c r="AC288" s="136">
        <f ca="1">IF(AB288&lt;=0,0,RANK(AB288,AB:AB)+COUNTIF($AB$3:$AB288,AB288)-1)</f>
        <v>0</v>
      </c>
      <c r="AD288" s="1123">
        <f t="shared" ca="1" si="188"/>
        <v>99999</v>
      </c>
      <c r="AE288" s="1123">
        <f ca="1">IF(AD288=99999,0,RANK(AD288,AD:AD,1)+COUNTIF($AD$3:$AD288,AD288)-1)</f>
        <v>0</v>
      </c>
      <c r="AF288" s="86" t="b">
        <f ca="1">IF(OR(M288&lt;&gt;"",L288="無",K288="高資產",IFERROR(MATCH(B288,換券單檔!K:K,0),"N")&lt;&gt;"N"),FALSE,TRUE)</f>
        <v>1</v>
      </c>
      <c r="AI288" s="1212">
        <f t="shared" ca="1" si="189"/>
        <v>95000</v>
      </c>
      <c r="AJ288" s="1213">
        <f t="shared" ca="1" si="190"/>
        <v>4940</v>
      </c>
      <c r="AK288" s="1587">
        <f t="shared" ca="1" si="191"/>
        <v>-9738.2619339045268</v>
      </c>
      <c r="AN288" s="1212">
        <f t="shared" ca="1" si="192"/>
        <v>54000</v>
      </c>
      <c r="AO288" s="1213">
        <f t="shared" ca="1" si="193"/>
        <v>2808.0000000000005</v>
      </c>
      <c r="AP288" s="1587">
        <f t="shared" ca="1" si="194"/>
        <v>-90377.223990208076</v>
      </c>
      <c r="AS288" s="1212">
        <f t="shared" ca="1" si="195"/>
        <v>93000</v>
      </c>
      <c r="AT288" s="1213">
        <f t="shared" ca="1" si="196"/>
        <v>4836</v>
      </c>
      <c r="AU288" s="1587">
        <f t="shared" ca="1" si="197"/>
        <v>-14113.41982864137</v>
      </c>
      <c r="AX288" s="1212">
        <f t="shared" ca="1" si="198"/>
        <v>85000</v>
      </c>
      <c r="AY288" s="1213">
        <f t="shared" ca="1" si="199"/>
        <v>4420</v>
      </c>
      <c r="AZ288" s="1587">
        <f t="shared" ca="1" si="200"/>
        <v>-30087.246022031828</v>
      </c>
      <c r="BC288" s="1212">
        <f t="shared" ca="1" si="201"/>
        <v>0</v>
      </c>
      <c r="BD288" s="1213">
        <f t="shared" ca="1" si="202"/>
        <v>0</v>
      </c>
      <c r="BE288" s="1587">
        <f t="shared" ca="1" si="203"/>
        <v>0</v>
      </c>
      <c r="BH288" s="1212">
        <f t="shared" ca="1" si="204"/>
        <v>0</v>
      </c>
      <c r="BI288" s="1213">
        <f t="shared" ca="1" si="205"/>
        <v>0</v>
      </c>
      <c r="BJ288" s="1587">
        <f t="shared" ca="1" si="206"/>
        <v>0</v>
      </c>
      <c r="BM288" s="1212">
        <f t="shared" ca="1" si="207"/>
        <v>0</v>
      </c>
      <c r="BN288" s="1213">
        <f t="shared" ca="1" si="208"/>
        <v>0</v>
      </c>
      <c r="BO288" s="1587">
        <f t="shared" ca="1" si="209"/>
        <v>0</v>
      </c>
      <c r="BR288" s="1212">
        <f t="shared" ca="1" si="210"/>
        <v>0</v>
      </c>
      <c r="BS288" s="1213">
        <f t="shared" ca="1" si="211"/>
        <v>0</v>
      </c>
      <c r="BT288" s="1587">
        <f t="shared" ca="1" si="212"/>
        <v>0</v>
      </c>
      <c r="BW288" s="1212">
        <f t="shared" ca="1" si="213"/>
        <v>0</v>
      </c>
      <c r="BX288" s="1213">
        <f t="shared" ca="1" si="214"/>
        <v>0</v>
      </c>
      <c r="BY288" s="1587">
        <f t="shared" ca="1" si="215"/>
        <v>0</v>
      </c>
      <c r="CB288" s="1212">
        <f t="shared" ca="1" si="216"/>
        <v>0</v>
      </c>
      <c r="CC288" s="1213">
        <f t="shared" ca="1" si="217"/>
        <v>0</v>
      </c>
      <c r="CD288" s="1587">
        <f t="shared" ca="1" si="218"/>
        <v>0</v>
      </c>
      <c r="CG288" s="1212">
        <f t="shared" ca="1" si="219"/>
        <v>0</v>
      </c>
      <c r="CH288" s="1213">
        <f t="shared" ca="1" si="220"/>
        <v>0</v>
      </c>
      <c r="CI288" s="1587">
        <f t="shared" ca="1" si="221"/>
        <v>0</v>
      </c>
      <c r="CL288" s="1212">
        <f t="shared" ca="1" si="222"/>
        <v>0</v>
      </c>
      <c r="CM288" s="1213">
        <f t="shared" ca="1" si="223"/>
        <v>0</v>
      </c>
      <c r="CN288" s="1587">
        <f t="shared" ca="1" si="224"/>
        <v>0</v>
      </c>
    </row>
    <row r="289" spans="1:92">
      <c r="A289" s="141" t="str">
        <f>'銀行-TSS'!A289</f>
        <v>US406216AW19</v>
      </c>
      <c r="B289" s="151" t="str">
        <f ca="1">VLOOKUP(A289,'銀行-TSS'!A:B,2,FALSE)</f>
        <v>XH980</v>
      </c>
      <c r="C289" s="151" t="str">
        <f ca="1">VLOOKUP(B289,bond!B:C,2,FALSE)</f>
        <v>哈里伯頓公司美元配息債券 6.7% 2038/9/15</v>
      </c>
      <c r="D289" s="95" t="str">
        <f>VLOOKUP(A289,'銀行-TSS'!A:C,3,FALSE)</f>
        <v>USD</v>
      </c>
      <c r="E289" s="90">
        <f ca="1">VLOOKUP(A289,'銀行-TSS'!A:G,7,FALSE)</f>
        <v>14.2</v>
      </c>
      <c r="F289" s="202">
        <f ca="1">VLOOKUP(A289,'銀行-TSS'!A:H,8,FALSE)</f>
        <v>6.7000000000000004E-2</v>
      </c>
      <c r="G289" s="96">
        <f ca="1">VLOOKUP(A289,'銀行-TSS'!A:K,11,FALSE)</f>
        <v>114.66</v>
      </c>
      <c r="H289" s="1209">
        <f ca="1">VLOOKUP(A289,'銀行-TSS'!A:M,13,FALSE)</f>
        <v>5.4100000000000002E-2</v>
      </c>
      <c r="I289" s="1213">
        <f ca="1">VLOOKUP(A289,'銀行-TSS'!A:N,14,FALSE)</f>
        <v>10000</v>
      </c>
      <c r="J289" s="1213">
        <f ca="1">VLOOKUP(A289,'銀行-TSS'!A:O,15,FALSE)</f>
        <v>1000</v>
      </c>
      <c r="K289" s="136" t="str">
        <f ca="1">VLOOKUP(A289,'銀行-TSS'!A:V,22,FALSE)</f>
        <v>(NPI)非專投</v>
      </c>
      <c r="L289" s="136" t="str">
        <f ca="1">VLOOKUP(A289,'銀行-TSS'!A:AK,37,FALSE)</f>
        <v>有</v>
      </c>
      <c r="M289" s="136" t="str">
        <f ca="1">VLOOKUP(A289,'銀行-TSS'!A:AN,40,FALSE)</f>
        <v/>
      </c>
      <c r="N289" s="136">
        <f t="shared" ca="1" si="180"/>
        <v>1146.5999999999999</v>
      </c>
      <c r="O289" s="1213">
        <f t="shared" ca="1" si="181"/>
        <v>11466</v>
      </c>
      <c r="P289" s="1213">
        <f ca="1">IF(AND($O$1&gt;=O289,換券單檔!$D$13=D289),I289+INT(($O$1-O289)/N289)*J289,0)</f>
        <v>84000</v>
      </c>
      <c r="Q289" s="1213">
        <f t="shared" ca="1" si="182"/>
        <v>5628</v>
      </c>
      <c r="R289" s="1213">
        <f t="shared" ca="1" si="183"/>
        <v>84000</v>
      </c>
      <c r="S289" s="1213">
        <f t="shared" ca="1" si="184"/>
        <v>5628</v>
      </c>
      <c r="T289" s="136">
        <f ca="1">IF(OR(R289=0,A289=0),0,IF(AND(V289=TRUE,換券單檔!$D$13=D289),E289,0))</f>
        <v>14.2</v>
      </c>
      <c r="U289" s="861">
        <f ca="1">IF(OR(R289=0,A289=0),0,IF(AND(V289=TRUE,換券單檔!$D$13=D289),H289,0))</f>
        <v>5.4100000000000002E-2</v>
      </c>
      <c r="V289" s="136" t="b">
        <f ca="1">IF(OR(B289=換券單檔!$D$3,L289="無",M289&lt;&gt;"",K289="高資產",IFERROR(MATCH(B289,換券單檔!K:K,0),"N")&lt;&gt;"N"),FALSE,IF($V$1="All",TRUE,IF(K289=$V$1,TRUE,FALSE)))</f>
        <v>1</v>
      </c>
      <c r="W289" s="136">
        <f ca="1">VLOOKUP(A289,'銀行-TSS'!A:AO,41,FALSE)</f>
        <v>110.67</v>
      </c>
      <c r="X289" s="136">
        <f ca="1">VLOOKUP(A289,'銀行-TSS'!A:AP,42,FALSE)</f>
        <v>9.2203999999999997</v>
      </c>
      <c r="Y289" s="1220">
        <f t="shared" ca="1" si="185"/>
        <v>8571.5420111999993</v>
      </c>
      <c r="Z289" s="1220">
        <f t="shared" ca="1" si="186"/>
        <v>-29748.183098591548</v>
      </c>
      <c r="AA289" s="136">
        <f ca="1">IF(Z289&lt;=0,0,RANK(Z289,Z:Z)+COUNTIF($Z$3:$Z289,Z289)-1)</f>
        <v>0</v>
      </c>
      <c r="AB289" s="1211">
        <f t="shared" ca="1" si="187"/>
        <v>-22324.5979888</v>
      </c>
      <c r="AC289" s="136">
        <f ca="1">IF(AB289&lt;=0,0,RANK(AB289,AB:AB)+COUNTIF($AB$3:$AB289,AB289)-1)</f>
        <v>0</v>
      </c>
      <c r="AD289" s="1123">
        <f t="shared" ca="1" si="188"/>
        <v>99999</v>
      </c>
      <c r="AE289" s="1123">
        <f ca="1">IF(AD289=99999,0,RANK(AD289,AD:AD,1)+COUNTIF($AD$3:$AD289,AD289)-1)</f>
        <v>0</v>
      </c>
      <c r="AF289" s="86" t="b">
        <f ca="1">IF(OR(M289&lt;&gt;"",L289="無",K289="高資產",IFERROR(MATCH(B289,換券單檔!K:K,0),"N")&lt;&gt;"N"),FALSE,TRUE)</f>
        <v>1</v>
      </c>
      <c r="AI289" s="1212">
        <f t="shared" ca="1" si="189"/>
        <v>84000</v>
      </c>
      <c r="AJ289" s="1213">
        <f t="shared" ca="1" si="190"/>
        <v>5628</v>
      </c>
      <c r="AK289" s="1587">
        <f t="shared" ca="1" si="191"/>
        <v>-29748.183098591548</v>
      </c>
      <c r="AN289" s="1212">
        <f t="shared" ca="1" si="192"/>
        <v>48000</v>
      </c>
      <c r="AO289" s="1213">
        <f t="shared" ca="1" si="193"/>
        <v>3216</v>
      </c>
      <c r="AP289" s="1587">
        <f t="shared" ca="1" si="194"/>
        <v>-101204.04225352113</v>
      </c>
      <c r="AS289" s="1212">
        <f t="shared" ca="1" si="195"/>
        <v>82000</v>
      </c>
      <c r="AT289" s="1213">
        <f t="shared" ca="1" si="196"/>
        <v>5494</v>
      </c>
      <c r="AU289" s="1587">
        <f t="shared" ca="1" si="197"/>
        <v>-34208.387323943665</v>
      </c>
      <c r="AX289" s="1212">
        <f t="shared" ca="1" si="198"/>
        <v>75000</v>
      </c>
      <c r="AY289" s="1213">
        <f t="shared" ca="1" si="199"/>
        <v>5025</v>
      </c>
      <c r="AZ289" s="1587">
        <f t="shared" ca="1" si="200"/>
        <v>-48335.739436619719</v>
      </c>
      <c r="BC289" s="1212">
        <f t="shared" ca="1" si="201"/>
        <v>0</v>
      </c>
      <c r="BD289" s="1213">
        <f t="shared" ca="1" si="202"/>
        <v>0</v>
      </c>
      <c r="BE289" s="1587">
        <f t="shared" ca="1" si="203"/>
        <v>0</v>
      </c>
      <c r="BH289" s="1212">
        <f t="shared" ca="1" si="204"/>
        <v>0</v>
      </c>
      <c r="BI289" s="1213">
        <f t="shared" ca="1" si="205"/>
        <v>0</v>
      </c>
      <c r="BJ289" s="1587">
        <f t="shared" ca="1" si="206"/>
        <v>0</v>
      </c>
      <c r="BM289" s="1212">
        <f t="shared" ca="1" si="207"/>
        <v>0</v>
      </c>
      <c r="BN289" s="1213">
        <f t="shared" ca="1" si="208"/>
        <v>0</v>
      </c>
      <c r="BO289" s="1587">
        <f t="shared" ca="1" si="209"/>
        <v>0</v>
      </c>
      <c r="BR289" s="1212">
        <f t="shared" ca="1" si="210"/>
        <v>0</v>
      </c>
      <c r="BS289" s="1213">
        <f t="shared" ca="1" si="211"/>
        <v>0</v>
      </c>
      <c r="BT289" s="1587">
        <f t="shared" ca="1" si="212"/>
        <v>0</v>
      </c>
      <c r="BW289" s="1212">
        <f t="shared" ca="1" si="213"/>
        <v>0</v>
      </c>
      <c r="BX289" s="1213">
        <f t="shared" ca="1" si="214"/>
        <v>0</v>
      </c>
      <c r="BY289" s="1587">
        <f t="shared" ca="1" si="215"/>
        <v>0</v>
      </c>
      <c r="CB289" s="1212">
        <f t="shared" ca="1" si="216"/>
        <v>0</v>
      </c>
      <c r="CC289" s="1213">
        <f t="shared" ca="1" si="217"/>
        <v>0</v>
      </c>
      <c r="CD289" s="1587">
        <f t="shared" ca="1" si="218"/>
        <v>0</v>
      </c>
      <c r="CG289" s="1212">
        <f t="shared" ca="1" si="219"/>
        <v>0</v>
      </c>
      <c r="CH289" s="1213">
        <f t="shared" ca="1" si="220"/>
        <v>0</v>
      </c>
      <c r="CI289" s="1587">
        <f t="shared" ca="1" si="221"/>
        <v>0</v>
      </c>
      <c r="CL289" s="1212">
        <f t="shared" ca="1" si="222"/>
        <v>0</v>
      </c>
      <c r="CM289" s="1213">
        <f t="shared" ca="1" si="223"/>
        <v>0</v>
      </c>
      <c r="CN289" s="1587">
        <f t="shared" ca="1" si="224"/>
        <v>0</v>
      </c>
    </row>
    <row r="290" spans="1:92">
      <c r="A290" s="141">
        <f>'銀行-TSS'!A290</f>
        <v>0</v>
      </c>
      <c r="B290" s="151">
        <f ca="1">VLOOKUP(A290,'銀行-TSS'!A:B,2,FALSE)</f>
        <v>0</v>
      </c>
      <c r="C290" s="151" t="e">
        <f ca="1">VLOOKUP(B290,bond!B:C,2,FALSE)</f>
        <v>#N/A</v>
      </c>
      <c r="D290" s="95" t="e">
        <f>VLOOKUP(A290,'銀行-TSS'!A:C,3,FALSE)</f>
        <v>#N/A</v>
      </c>
      <c r="E290" s="90" t="e">
        <f ca="1">VLOOKUP(A290,'銀行-TSS'!A:G,7,FALSE)</f>
        <v>#N/A</v>
      </c>
      <c r="F290" s="202" t="e">
        <f ca="1">VLOOKUP(A290,'銀行-TSS'!A:H,8,FALSE)</f>
        <v>#N/A</v>
      </c>
      <c r="G290" s="96" t="e">
        <f ca="1">VLOOKUP(A290,'銀行-TSS'!A:K,11,FALSE)</f>
        <v>#N/A</v>
      </c>
      <c r="H290" s="1209" t="e">
        <f ca="1">VLOOKUP(A290,'銀行-TSS'!A:M,13,FALSE)</f>
        <v>#N/A</v>
      </c>
      <c r="I290" s="1213" t="e">
        <f ca="1">VLOOKUP(A290,'銀行-TSS'!A:N,14,FALSE)</f>
        <v>#N/A</v>
      </c>
      <c r="J290" s="1213" t="e">
        <f ca="1">VLOOKUP(A290,'銀行-TSS'!A:O,15,FALSE)</f>
        <v>#N/A</v>
      </c>
      <c r="K290" s="136" t="e">
        <f ca="1">VLOOKUP(A290,'銀行-TSS'!A:V,22,FALSE)</f>
        <v>#N/A</v>
      </c>
      <c r="L290" s="136" t="e">
        <f ca="1">VLOOKUP(A290,'銀行-TSS'!A:AK,37,FALSE)</f>
        <v>#N/A</v>
      </c>
      <c r="M290" s="136" t="str">
        <f ca="1">VLOOKUP(A290,'銀行-TSS'!A:AN,40,FALSE)</f>
        <v/>
      </c>
      <c r="N290" s="136" t="e">
        <f t="shared" ca="1" si="180"/>
        <v>#N/A</v>
      </c>
      <c r="O290" s="1213" t="e">
        <f t="shared" ca="1" si="181"/>
        <v>#N/A</v>
      </c>
      <c r="P290" s="1213" t="e">
        <f ca="1">IF(AND($O$1&gt;=O290,換券單檔!$D$13=D290),I290+INT(($O$1-O290)/N290)*J290,0)</f>
        <v>#N/A</v>
      </c>
      <c r="Q290" s="1213" t="e">
        <f t="shared" ca="1" si="182"/>
        <v>#N/A</v>
      </c>
      <c r="R290" s="1213">
        <f t="shared" si="183"/>
        <v>0</v>
      </c>
      <c r="S290" s="1213">
        <f t="shared" si="184"/>
        <v>0</v>
      </c>
      <c r="T290" s="136">
        <f>IF(OR(R290=0,A290=0),0,IF(AND(V290=TRUE,換券單檔!$D$13=D290),E290,0))</f>
        <v>0</v>
      </c>
      <c r="U290" s="861">
        <f>IF(OR(R290=0,A290=0),0,IF(AND(V290=TRUE,換券單檔!$D$13=D290),H290,0))</f>
        <v>0</v>
      </c>
      <c r="V290" s="136" t="e">
        <f ca="1">IF(OR(B290=換券單檔!$D$3,L290="無",M290&lt;&gt;"",K290="高資產",IFERROR(MATCH(B290,換券單檔!K:K,0),"N")&lt;&gt;"N"),FALSE,IF($V$1="All",TRUE,IF(K290=$V$1,TRUE,FALSE)))</f>
        <v>#N/A</v>
      </c>
      <c r="W290" s="136" t="e">
        <f ca="1">VLOOKUP(A290,'銀行-TSS'!A:AO,41,FALSE)</f>
        <v>#N/A</v>
      </c>
      <c r="X290" s="136" t="e">
        <f ca="1">VLOOKUP(A290,'銀行-TSS'!A:AP,42,FALSE)</f>
        <v>#N/A</v>
      </c>
      <c r="Y290" s="1220">
        <f t="shared" si="185"/>
        <v>0</v>
      </c>
      <c r="Z290" s="1220">
        <f t="shared" si="186"/>
        <v>0</v>
      </c>
      <c r="AA290" s="136">
        <f>IF(Z290&lt;=0,0,RANK(Z290,Z:Z)+COUNTIF($Z$3:$Z290,Z290)-1)</f>
        <v>0</v>
      </c>
      <c r="AB290" s="1211">
        <f t="shared" ca="1" si="187"/>
        <v>-14896.14</v>
      </c>
      <c r="AC290" s="136">
        <f ca="1">IF(AB290&lt;=0,0,RANK(AB290,AB:AB)+COUNTIF($AB$3:$AB290,AB290)-1)</f>
        <v>0</v>
      </c>
      <c r="AD290" s="1123">
        <f t="shared" si="188"/>
        <v>99999</v>
      </c>
      <c r="AE290" s="1123">
        <f>IF(AD290=99999,0,RANK(AD290,AD:AD,1)+COUNTIF($AD$3:$AD290,AD290)-1)</f>
        <v>0</v>
      </c>
      <c r="AF290" s="86" t="e">
        <f ca="1">IF(OR(M290&lt;&gt;"",L290="無",K290="高資產",IFERROR(MATCH(B290,換券單檔!K:K,0),"N")&lt;&gt;"N"),FALSE,TRUE)</f>
        <v>#N/A</v>
      </c>
      <c r="AI290" s="1212" t="e">
        <f t="shared" ca="1" si="189"/>
        <v>#N/A</v>
      </c>
      <c r="AJ290" s="1213" t="e">
        <f t="shared" ca="1" si="190"/>
        <v>#N/A</v>
      </c>
      <c r="AK290" s="1587">
        <f t="shared" si="191"/>
        <v>0</v>
      </c>
      <c r="AN290" s="1212" t="e">
        <f t="shared" ca="1" si="192"/>
        <v>#N/A</v>
      </c>
      <c r="AO290" s="1213" t="e">
        <f t="shared" ca="1" si="193"/>
        <v>#N/A</v>
      </c>
      <c r="AP290" s="1587">
        <f t="shared" si="194"/>
        <v>0</v>
      </c>
      <c r="AS290" s="1212" t="e">
        <f t="shared" ca="1" si="195"/>
        <v>#N/A</v>
      </c>
      <c r="AT290" s="1213" t="e">
        <f t="shared" ca="1" si="196"/>
        <v>#N/A</v>
      </c>
      <c r="AU290" s="1587">
        <f t="shared" si="197"/>
        <v>0</v>
      </c>
      <c r="AX290" s="1212" t="e">
        <f t="shared" ca="1" si="198"/>
        <v>#N/A</v>
      </c>
      <c r="AY290" s="1213" t="e">
        <f t="shared" ca="1" si="199"/>
        <v>#N/A</v>
      </c>
      <c r="AZ290" s="1587">
        <f t="shared" si="200"/>
        <v>0</v>
      </c>
      <c r="BC290" s="1212" t="e">
        <f t="shared" ca="1" si="201"/>
        <v>#N/A</v>
      </c>
      <c r="BD290" s="1213" t="e">
        <f t="shared" ca="1" si="202"/>
        <v>#N/A</v>
      </c>
      <c r="BE290" s="1587">
        <f t="shared" si="203"/>
        <v>0</v>
      </c>
      <c r="BH290" s="1212" t="e">
        <f t="shared" ca="1" si="204"/>
        <v>#N/A</v>
      </c>
      <c r="BI290" s="1213" t="e">
        <f t="shared" ca="1" si="205"/>
        <v>#N/A</v>
      </c>
      <c r="BJ290" s="1587">
        <f t="shared" si="206"/>
        <v>0</v>
      </c>
      <c r="BM290" s="1212" t="e">
        <f t="shared" ca="1" si="207"/>
        <v>#N/A</v>
      </c>
      <c r="BN290" s="1213" t="e">
        <f t="shared" ca="1" si="208"/>
        <v>#N/A</v>
      </c>
      <c r="BO290" s="1587">
        <f t="shared" si="209"/>
        <v>0</v>
      </c>
      <c r="BR290" s="1212" t="e">
        <f t="shared" ca="1" si="210"/>
        <v>#N/A</v>
      </c>
      <c r="BS290" s="1213" t="e">
        <f t="shared" ca="1" si="211"/>
        <v>#N/A</v>
      </c>
      <c r="BT290" s="1587">
        <f t="shared" si="212"/>
        <v>0</v>
      </c>
      <c r="BW290" s="1212" t="e">
        <f t="shared" ca="1" si="213"/>
        <v>#N/A</v>
      </c>
      <c r="BX290" s="1213" t="e">
        <f t="shared" ca="1" si="214"/>
        <v>#N/A</v>
      </c>
      <c r="BY290" s="1587">
        <f t="shared" si="215"/>
        <v>0</v>
      </c>
      <c r="CB290" s="1212" t="e">
        <f t="shared" ca="1" si="216"/>
        <v>#N/A</v>
      </c>
      <c r="CC290" s="1213" t="e">
        <f t="shared" ca="1" si="217"/>
        <v>#N/A</v>
      </c>
      <c r="CD290" s="1587">
        <f t="shared" si="218"/>
        <v>0</v>
      </c>
      <c r="CG290" s="1212" t="e">
        <f t="shared" ca="1" si="219"/>
        <v>#N/A</v>
      </c>
      <c r="CH290" s="1213" t="e">
        <f t="shared" ca="1" si="220"/>
        <v>#N/A</v>
      </c>
      <c r="CI290" s="1587">
        <f t="shared" si="221"/>
        <v>0</v>
      </c>
      <c r="CL290" s="1212" t="e">
        <f t="shared" ca="1" si="222"/>
        <v>#N/A</v>
      </c>
      <c r="CM290" s="1213" t="e">
        <f t="shared" ca="1" si="223"/>
        <v>#N/A</v>
      </c>
      <c r="CN290" s="1587">
        <f t="shared" si="224"/>
        <v>0</v>
      </c>
    </row>
    <row r="291" spans="1:92">
      <c r="A291" s="141">
        <f>'銀行-TSS'!A291</f>
        <v>0</v>
      </c>
      <c r="B291" s="151">
        <f ca="1">VLOOKUP(A291,'銀行-TSS'!A:B,2,FALSE)</f>
        <v>0</v>
      </c>
      <c r="C291" s="151" t="e">
        <f ca="1">VLOOKUP(B291,bond!B:C,2,FALSE)</f>
        <v>#N/A</v>
      </c>
      <c r="D291" s="95" t="e">
        <f>VLOOKUP(A291,'銀行-TSS'!A:C,3,FALSE)</f>
        <v>#N/A</v>
      </c>
      <c r="E291" s="90" t="e">
        <f ca="1">VLOOKUP(A291,'銀行-TSS'!A:G,7,FALSE)</f>
        <v>#N/A</v>
      </c>
      <c r="F291" s="202" t="e">
        <f ca="1">VLOOKUP(A291,'銀行-TSS'!A:H,8,FALSE)</f>
        <v>#N/A</v>
      </c>
      <c r="G291" s="96" t="e">
        <f ca="1">VLOOKUP(A291,'銀行-TSS'!A:K,11,FALSE)</f>
        <v>#N/A</v>
      </c>
      <c r="H291" s="1209" t="e">
        <f ca="1">VLOOKUP(A291,'銀行-TSS'!A:M,13,FALSE)</f>
        <v>#N/A</v>
      </c>
      <c r="I291" s="1213" t="e">
        <f ca="1">VLOOKUP(A291,'銀行-TSS'!A:N,14,FALSE)</f>
        <v>#N/A</v>
      </c>
      <c r="J291" s="1213" t="e">
        <f ca="1">VLOOKUP(A291,'銀行-TSS'!A:O,15,FALSE)</f>
        <v>#N/A</v>
      </c>
      <c r="K291" s="136" t="e">
        <f ca="1">VLOOKUP(A291,'銀行-TSS'!A:V,22,FALSE)</f>
        <v>#N/A</v>
      </c>
      <c r="L291" s="136" t="e">
        <f ca="1">VLOOKUP(A291,'銀行-TSS'!A:AK,37,FALSE)</f>
        <v>#N/A</v>
      </c>
      <c r="M291" s="136" t="str">
        <f ca="1">VLOOKUP(A291,'銀行-TSS'!A:AN,40,FALSE)</f>
        <v/>
      </c>
      <c r="N291" s="136" t="e">
        <f t="shared" ca="1" si="180"/>
        <v>#N/A</v>
      </c>
      <c r="O291" s="1213" t="e">
        <f t="shared" ca="1" si="181"/>
        <v>#N/A</v>
      </c>
      <c r="P291" s="1213" t="e">
        <f ca="1">IF(AND($O$1&gt;=O291,換券單檔!$D$13=D291),I291+INT(($O$1-O291)/N291)*J291,0)</f>
        <v>#N/A</v>
      </c>
      <c r="Q291" s="1213" t="e">
        <f t="shared" ca="1" si="182"/>
        <v>#N/A</v>
      </c>
      <c r="R291" s="1213">
        <f t="shared" si="183"/>
        <v>0</v>
      </c>
      <c r="S291" s="1213">
        <f t="shared" si="184"/>
        <v>0</v>
      </c>
      <c r="T291" s="136">
        <f>IF(OR(R291=0,A291=0),0,IF(AND(V291=TRUE,換券單檔!$D$13=D291),E291,0))</f>
        <v>0</v>
      </c>
      <c r="U291" s="861">
        <f>IF(OR(R291=0,A291=0),0,IF(AND(V291=TRUE,換券單檔!$D$13=D291),H291,0))</f>
        <v>0</v>
      </c>
      <c r="V291" s="136" t="e">
        <f ca="1">IF(OR(B291=換券單檔!$D$3,L291="無",M291&lt;&gt;"",K291="高資產",IFERROR(MATCH(B291,換券單檔!K:K,0),"N")&lt;&gt;"N"),FALSE,IF($V$1="All",TRUE,IF(K291=$V$1,TRUE,FALSE)))</f>
        <v>#N/A</v>
      </c>
      <c r="W291" s="136" t="e">
        <f ca="1">VLOOKUP(A291,'銀行-TSS'!A:AO,41,FALSE)</f>
        <v>#N/A</v>
      </c>
      <c r="X291" s="136" t="e">
        <f ca="1">VLOOKUP(A291,'銀行-TSS'!A:AP,42,FALSE)</f>
        <v>#N/A</v>
      </c>
      <c r="Y291" s="1220">
        <f t="shared" si="185"/>
        <v>0</v>
      </c>
      <c r="Z291" s="1220">
        <f t="shared" si="186"/>
        <v>0</v>
      </c>
      <c r="AA291" s="136">
        <f>IF(Z291&lt;=0,0,RANK(Z291,Z:Z)+COUNTIF($Z$3:$Z291,Z291)-1)</f>
        <v>0</v>
      </c>
      <c r="AB291" s="1211">
        <f t="shared" ca="1" si="187"/>
        <v>-14896.14</v>
      </c>
      <c r="AC291" s="136">
        <f ca="1">IF(AB291&lt;=0,0,RANK(AB291,AB:AB)+COUNTIF($AB$3:$AB291,AB291)-1)</f>
        <v>0</v>
      </c>
      <c r="AD291" s="1123">
        <f t="shared" si="188"/>
        <v>99999</v>
      </c>
      <c r="AE291" s="1123">
        <f>IF(AD291=99999,0,RANK(AD291,AD:AD,1)+COUNTIF($AD$3:$AD291,AD291)-1)</f>
        <v>0</v>
      </c>
      <c r="AF291" s="86" t="e">
        <f ca="1">IF(OR(M291&lt;&gt;"",L291="無",K291="高資產",IFERROR(MATCH(B291,換券單檔!K:K,0),"N")&lt;&gt;"N"),FALSE,TRUE)</f>
        <v>#N/A</v>
      </c>
      <c r="AI291" s="1212" t="e">
        <f t="shared" ca="1" si="189"/>
        <v>#N/A</v>
      </c>
      <c r="AJ291" s="1213" t="e">
        <f t="shared" ca="1" si="190"/>
        <v>#N/A</v>
      </c>
      <c r="AK291" s="1587">
        <f t="shared" si="191"/>
        <v>0</v>
      </c>
      <c r="AN291" s="1212" t="e">
        <f t="shared" ca="1" si="192"/>
        <v>#N/A</v>
      </c>
      <c r="AO291" s="1213" t="e">
        <f t="shared" ca="1" si="193"/>
        <v>#N/A</v>
      </c>
      <c r="AP291" s="1587">
        <f t="shared" si="194"/>
        <v>0</v>
      </c>
      <c r="AS291" s="1212" t="e">
        <f t="shared" ca="1" si="195"/>
        <v>#N/A</v>
      </c>
      <c r="AT291" s="1213" t="e">
        <f t="shared" ca="1" si="196"/>
        <v>#N/A</v>
      </c>
      <c r="AU291" s="1587">
        <f t="shared" si="197"/>
        <v>0</v>
      </c>
      <c r="AX291" s="1212" t="e">
        <f t="shared" ca="1" si="198"/>
        <v>#N/A</v>
      </c>
      <c r="AY291" s="1213" t="e">
        <f t="shared" ca="1" si="199"/>
        <v>#N/A</v>
      </c>
      <c r="AZ291" s="1587">
        <f t="shared" si="200"/>
        <v>0</v>
      </c>
      <c r="BC291" s="1212" t="e">
        <f t="shared" ca="1" si="201"/>
        <v>#N/A</v>
      </c>
      <c r="BD291" s="1213" t="e">
        <f t="shared" ca="1" si="202"/>
        <v>#N/A</v>
      </c>
      <c r="BE291" s="1587">
        <f t="shared" si="203"/>
        <v>0</v>
      </c>
      <c r="BH291" s="1212" t="e">
        <f t="shared" ca="1" si="204"/>
        <v>#N/A</v>
      </c>
      <c r="BI291" s="1213" t="e">
        <f t="shared" ca="1" si="205"/>
        <v>#N/A</v>
      </c>
      <c r="BJ291" s="1587">
        <f t="shared" si="206"/>
        <v>0</v>
      </c>
      <c r="BM291" s="1212" t="e">
        <f t="shared" ca="1" si="207"/>
        <v>#N/A</v>
      </c>
      <c r="BN291" s="1213" t="e">
        <f t="shared" ca="1" si="208"/>
        <v>#N/A</v>
      </c>
      <c r="BO291" s="1587">
        <f t="shared" si="209"/>
        <v>0</v>
      </c>
      <c r="BR291" s="1212" t="e">
        <f t="shared" ca="1" si="210"/>
        <v>#N/A</v>
      </c>
      <c r="BS291" s="1213" t="e">
        <f t="shared" ca="1" si="211"/>
        <v>#N/A</v>
      </c>
      <c r="BT291" s="1587">
        <f t="shared" si="212"/>
        <v>0</v>
      </c>
      <c r="BW291" s="1212" t="e">
        <f t="shared" ca="1" si="213"/>
        <v>#N/A</v>
      </c>
      <c r="BX291" s="1213" t="e">
        <f t="shared" ca="1" si="214"/>
        <v>#N/A</v>
      </c>
      <c r="BY291" s="1587">
        <f t="shared" si="215"/>
        <v>0</v>
      </c>
      <c r="CB291" s="1212" t="e">
        <f t="shared" ca="1" si="216"/>
        <v>#N/A</v>
      </c>
      <c r="CC291" s="1213" t="e">
        <f t="shared" ca="1" si="217"/>
        <v>#N/A</v>
      </c>
      <c r="CD291" s="1587">
        <f t="shared" si="218"/>
        <v>0</v>
      </c>
      <c r="CG291" s="1212" t="e">
        <f t="shared" ca="1" si="219"/>
        <v>#N/A</v>
      </c>
      <c r="CH291" s="1213" t="e">
        <f t="shared" ca="1" si="220"/>
        <v>#N/A</v>
      </c>
      <c r="CI291" s="1587">
        <f t="shared" si="221"/>
        <v>0</v>
      </c>
      <c r="CL291" s="1212" t="e">
        <f t="shared" ca="1" si="222"/>
        <v>#N/A</v>
      </c>
      <c r="CM291" s="1213" t="e">
        <f t="shared" ca="1" si="223"/>
        <v>#N/A</v>
      </c>
      <c r="CN291" s="1587">
        <f t="shared" si="224"/>
        <v>0</v>
      </c>
    </row>
    <row r="292" spans="1:92">
      <c r="A292" s="141">
        <f>'銀行-TSS'!A292</f>
        <v>0</v>
      </c>
      <c r="B292" s="151">
        <f ca="1">VLOOKUP(A292,'銀行-TSS'!A:B,2,FALSE)</f>
        <v>0</v>
      </c>
      <c r="C292" s="151" t="e">
        <f ca="1">VLOOKUP(B292,bond!B:C,2,FALSE)</f>
        <v>#N/A</v>
      </c>
      <c r="D292" s="95" t="e">
        <f>VLOOKUP(A292,'銀行-TSS'!A:C,3,FALSE)</f>
        <v>#N/A</v>
      </c>
      <c r="E292" s="90" t="e">
        <f ca="1">VLOOKUP(A292,'銀行-TSS'!A:G,7,FALSE)</f>
        <v>#N/A</v>
      </c>
      <c r="F292" s="202" t="e">
        <f ca="1">VLOOKUP(A292,'銀行-TSS'!A:H,8,FALSE)</f>
        <v>#N/A</v>
      </c>
      <c r="G292" s="96" t="e">
        <f ca="1">VLOOKUP(A292,'銀行-TSS'!A:K,11,FALSE)</f>
        <v>#N/A</v>
      </c>
      <c r="H292" s="1209" t="e">
        <f ca="1">VLOOKUP(A292,'銀行-TSS'!A:M,13,FALSE)</f>
        <v>#N/A</v>
      </c>
      <c r="I292" s="1213" t="e">
        <f ca="1">VLOOKUP(A292,'銀行-TSS'!A:N,14,FALSE)</f>
        <v>#N/A</v>
      </c>
      <c r="J292" s="1213" t="e">
        <f ca="1">VLOOKUP(A292,'銀行-TSS'!A:O,15,FALSE)</f>
        <v>#N/A</v>
      </c>
      <c r="K292" s="136" t="e">
        <f ca="1">VLOOKUP(A292,'銀行-TSS'!A:V,22,FALSE)</f>
        <v>#N/A</v>
      </c>
      <c r="L292" s="136" t="e">
        <f ca="1">VLOOKUP(A292,'銀行-TSS'!A:AK,37,FALSE)</f>
        <v>#N/A</v>
      </c>
      <c r="M292" s="136" t="str">
        <f ca="1">VLOOKUP(A292,'銀行-TSS'!A:AN,40,FALSE)</f>
        <v/>
      </c>
      <c r="N292" s="136" t="e">
        <f t="shared" ca="1" si="180"/>
        <v>#N/A</v>
      </c>
      <c r="O292" s="1213" t="e">
        <f t="shared" ca="1" si="181"/>
        <v>#N/A</v>
      </c>
      <c r="P292" s="1213" t="e">
        <f ca="1">IF(AND($O$1&gt;=O292,換券單檔!$D$13=D292),I292+INT(($O$1-O292)/N292)*J292,0)</f>
        <v>#N/A</v>
      </c>
      <c r="Q292" s="1213" t="e">
        <f t="shared" ca="1" si="182"/>
        <v>#N/A</v>
      </c>
      <c r="R292" s="1213">
        <f t="shared" si="183"/>
        <v>0</v>
      </c>
      <c r="S292" s="1213">
        <f t="shared" si="184"/>
        <v>0</v>
      </c>
      <c r="T292" s="136">
        <f>IF(OR(R292=0,A292=0),0,IF(AND(V292=TRUE,換券單檔!$D$13=D292),E292,0))</f>
        <v>0</v>
      </c>
      <c r="U292" s="861">
        <f>IF(OR(R292=0,A292=0),0,IF(AND(V292=TRUE,換券單檔!$D$13=D292),H292,0))</f>
        <v>0</v>
      </c>
      <c r="V292" s="136" t="e">
        <f ca="1">IF(OR(B292=換券單檔!$D$3,L292="無",M292&lt;&gt;"",K292="高資產",IFERROR(MATCH(B292,換券單檔!K:K,0),"N")&lt;&gt;"N"),FALSE,IF($V$1="All",TRUE,IF(K292=$V$1,TRUE,FALSE)))</f>
        <v>#N/A</v>
      </c>
      <c r="W292" s="136" t="e">
        <f ca="1">VLOOKUP(A292,'銀行-TSS'!A:AO,41,FALSE)</f>
        <v>#N/A</v>
      </c>
      <c r="X292" s="136" t="e">
        <f ca="1">VLOOKUP(A292,'銀行-TSS'!A:AP,42,FALSE)</f>
        <v>#N/A</v>
      </c>
      <c r="Y292" s="1220">
        <f t="shared" si="185"/>
        <v>0</v>
      </c>
      <c r="Z292" s="1220">
        <f t="shared" si="186"/>
        <v>0</v>
      </c>
      <c r="AA292" s="136">
        <f>IF(Z292&lt;=0,0,RANK(Z292,Z:Z)+COUNTIF($Z$3:$Z292,Z292)-1)</f>
        <v>0</v>
      </c>
      <c r="AB292" s="1211">
        <f t="shared" ca="1" si="187"/>
        <v>-14896.14</v>
      </c>
      <c r="AC292" s="136">
        <f ca="1">IF(AB292&lt;=0,0,RANK(AB292,AB:AB)+COUNTIF($AB$3:$AB292,AB292)-1)</f>
        <v>0</v>
      </c>
      <c r="AD292" s="1123">
        <f t="shared" si="188"/>
        <v>99999</v>
      </c>
      <c r="AE292" s="1123">
        <f>IF(AD292=99999,0,RANK(AD292,AD:AD,1)+COUNTIF($AD$3:$AD292,AD292)-1)</f>
        <v>0</v>
      </c>
      <c r="AF292" s="86" t="e">
        <f ca="1">IF(OR(M292&lt;&gt;"",L292="無",K292="高資產",IFERROR(MATCH(B292,換券單檔!K:K,0),"N")&lt;&gt;"N"),FALSE,TRUE)</f>
        <v>#N/A</v>
      </c>
      <c r="AI292" s="1212" t="e">
        <f t="shared" ca="1" si="189"/>
        <v>#N/A</v>
      </c>
      <c r="AJ292" s="1213" t="e">
        <f t="shared" ca="1" si="190"/>
        <v>#N/A</v>
      </c>
      <c r="AK292" s="1587">
        <f t="shared" si="191"/>
        <v>0</v>
      </c>
      <c r="AN292" s="1212" t="e">
        <f t="shared" ca="1" si="192"/>
        <v>#N/A</v>
      </c>
      <c r="AO292" s="1213" t="e">
        <f t="shared" ca="1" si="193"/>
        <v>#N/A</v>
      </c>
      <c r="AP292" s="1587">
        <f t="shared" si="194"/>
        <v>0</v>
      </c>
      <c r="AS292" s="1212" t="e">
        <f t="shared" ca="1" si="195"/>
        <v>#N/A</v>
      </c>
      <c r="AT292" s="1213" t="e">
        <f t="shared" ca="1" si="196"/>
        <v>#N/A</v>
      </c>
      <c r="AU292" s="1587">
        <f t="shared" si="197"/>
        <v>0</v>
      </c>
      <c r="AX292" s="1212" t="e">
        <f t="shared" ca="1" si="198"/>
        <v>#N/A</v>
      </c>
      <c r="AY292" s="1213" t="e">
        <f t="shared" ca="1" si="199"/>
        <v>#N/A</v>
      </c>
      <c r="AZ292" s="1587">
        <f t="shared" si="200"/>
        <v>0</v>
      </c>
      <c r="BC292" s="1212" t="e">
        <f t="shared" ca="1" si="201"/>
        <v>#N/A</v>
      </c>
      <c r="BD292" s="1213" t="e">
        <f t="shared" ca="1" si="202"/>
        <v>#N/A</v>
      </c>
      <c r="BE292" s="1587">
        <f t="shared" si="203"/>
        <v>0</v>
      </c>
      <c r="BH292" s="1212" t="e">
        <f t="shared" ca="1" si="204"/>
        <v>#N/A</v>
      </c>
      <c r="BI292" s="1213" t="e">
        <f t="shared" ca="1" si="205"/>
        <v>#N/A</v>
      </c>
      <c r="BJ292" s="1587">
        <f t="shared" si="206"/>
        <v>0</v>
      </c>
      <c r="BM292" s="1212" t="e">
        <f t="shared" ca="1" si="207"/>
        <v>#N/A</v>
      </c>
      <c r="BN292" s="1213" t="e">
        <f t="shared" ca="1" si="208"/>
        <v>#N/A</v>
      </c>
      <c r="BO292" s="1587">
        <f t="shared" si="209"/>
        <v>0</v>
      </c>
      <c r="BR292" s="1212" t="e">
        <f t="shared" ca="1" si="210"/>
        <v>#N/A</v>
      </c>
      <c r="BS292" s="1213" t="e">
        <f t="shared" ca="1" si="211"/>
        <v>#N/A</v>
      </c>
      <c r="BT292" s="1587">
        <f t="shared" si="212"/>
        <v>0</v>
      </c>
      <c r="BW292" s="1212" t="e">
        <f t="shared" ca="1" si="213"/>
        <v>#N/A</v>
      </c>
      <c r="BX292" s="1213" t="e">
        <f t="shared" ca="1" si="214"/>
        <v>#N/A</v>
      </c>
      <c r="BY292" s="1587">
        <f t="shared" si="215"/>
        <v>0</v>
      </c>
      <c r="CB292" s="1212" t="e">
        <f t="shared" ca="1" si="216"/>
        <v>#N/A</v>
      </c>
      <c r="CC292" s="1213" t="e">
        <f t="shared" ca="1" si="217"/>
        <v>#N/A</v>
      </c>
      <c r="CD292" s="1587">
        <f t="shared" si="218"/>
        <v>0</v>
      </c>
      <c r="CG292" s="1212" t="e">
        <f t="shared" ca="1" si="219"/>
        <v>#N/A</v>
      </c>
      <c r="CH292" s="1213" t="e">
        <f t="shared" ca="1" si="220"/>
        <v>#N/A</v>
      </c>
      <c r="CI292" s="1587">
        <f t="shared" si="221"/>
        <v>0</v>
      </c>
      <c r="CL292" s="1212" t="e">
        <f t="shared" ca="1" si="222"/>
        <v>#N/A</v>
      </c>
      <c r="CM292" s="1213" t="e">
        <f t="shared" ca="1" si="223"/>
        <v>#N/A</v>
      </c>
      <c r="CN292" s="1587">
        <f t="shared" si="224"/>
        <v>0</v>
      </c>
    </row>
    <row r="293" spans="1:92">
      <c r="A293" s="141">
        <f>'銀行-TSS'!A293</f>
        <v>0</v>
      </c>
      <c r="B293" s="151">
        <f ca="1">VLOOKUP(A293,'銀行-TSS'!A:B,2,FALSE)</f>
        <v>0</v>
      </c>
      <c r="C293" s="151" t="e">
        <f ca="1">VLOOKUP(B293,bond!B:C,2,FALSE)</f>
        <v>#N/A</v>
      </c>
      <c r="D293" s="95" t="e">
        <f>VLOOKUP(A293,'銀行-TSS'!A:C,3,FALSE)</f>
        <v>#N/A</v>
      </c>
      <c r="E293" s="90" t="e">
        <f ca="1">VLOOKUP(A293,'銀行-TSS'!A:G,7,FALSE)</f>
        <v>#N/A</v>
      </c>
      <c r="F293" s="202" t="e">
        <f ca="1">VLOOKUP(A293,'銀行-TSS'!A:H,8,FALSE)</f>
        <v>#N/A</v>
      </c>
      <c r="G293" s="96" t="e">
        <f ca="1">VLOOKUP(A293,'銀行-TSS'!A:K,11,FALSE)</f>
        <v>#N/A</v>
      </c>
      <c r="H293" s="1209" t="e">
        <f ca="1">VLOOKUP(A293,'銀行-TSS'!A:M,13,FALSE)</f>
        <v>#N/A</v>
      </c>
      <c r="I293" s="1213" t="e">
        <f ca="1">VLOOKUP(A293,'銀行-TSS'!A:N,14,FALSE)</f>
        <v>#N/A</v>
      </c>
      <c r="J293" s="1213" t="e">
        <f ca="1">VLOOKUP(A293,'銀行-TSS'!A:O,15,FALSE)</f>
        <v>#N/A</v>
      </c>
      <c r="K293" s="136" t="e">
        <f ca="1">VLOOKUP(A293,'銀行-TSS'!A:V,22,FALSE)</f>
        <v>#N/A</v>
      </c>
      <c r="L293" s="136" t="e">
        <f ca="1">VLOOKUP(A293,'銀行-TSS'!A:AK,37,FALSE)</f>
        <v>#N/A</v>
      </c>
      <c r="M293" s="136" t="str">
        <f ca="1">VLOOKUP(A293,'銀行-TSS'!A:AN,40,FALSE)</f>
        <v/>
      </c>
      <c r="N293" s="136" t="e">
        <f t="shared" ca="1" si="180"/>
        <v>#N/A</v>
      </c>
      <c r="O293" s="1213" t="e">
        <f t="shared" ca="1" si="181"/>
        <v>#N/A</v>
      </c>
      <c r="P293" s="1213" t="e">
        <f ca="1">IF(AND($O$1&gt;=O293,換券單檔!$D$13=D293),I293+INT(($O$1-O293)/N293)*J293,0)</f>
        <v>#N/A</v>
      </c>
      <c r="Q293" s="1213" t="e">
        <f t="shared" ca="1" si="182"/>
        <v>#N/A</v>
      </c>
      <c r="R293" s="1213">
        <f t="shared" si="183"/>
        <v>0</v>
      </c>
      <c r="S293" s="1213">
        <f t="shared" si="184"/>
        <v>0</v>
      </c>
      <c r="T293" s="136">
        <f>IF(OR(R293=0,A293=0),0,IF(AND(V293=TRUE,換券單檔!$D$13=D293),E293,0))</f>
        <v>0</v>
      </c>
      <c r="U293" s="861">
        <f>IF(OR(R293=0,A293=0),0,IF(AND(V293=TRUE,換券單檔!$D$13=D293),H293,0))</f>
        <v>0</v>
      </c>
      <c r="V293" s="136" t="e">
        <f ca="1">IF(OR(B293=換券單檔!$D$3,L293="無",M293&lt;&gt;"",K293="高資產",IFERROR(MATCH(B293,換券單檔!K:K,0),"N")&lt;&gt;"N"),FALSE,IF($V$1="All",TRUE,IF(K293=$V$1,TRUE,FALSE)))</f>
        <v>#N/A</v>
      </c>
      <c r="W293" s="136" t="e">
        <f ca="1">VLOOKUP(A293,'銀行-TSS'!A:AO,41,FALSE)</f>
        <v>#N/A</v>
      </c>
      <c r="X293" s="136" t="e">
        <f ca="1">VLOOKUP(A293,'銀行-TSS'!A:AP,42,FALSE)</f>
        <v>#N/A</v>
      </c>
      <c r="Y293" s="1220">
        <f t="shared" si="185"/>
        <v>0</v>
      </c>
      <c r="Z293" s="1220">
        <f t="shared" si="186"/>
        <v>0</v>
      </c>
      <c r="AA293" s="136">
        <f>IF(Z293&lt;=0,0,RANK(Z293,Z:Z)+COUNTIF($Z$3:$Z293,Z293)-1)</f>
        <v>0</v>
      </c>
      <c r="AB293" s="1211">
        <f t="shared" ca="1" si="187"/>
        <v>-14896.14</v>
      </c>
      <c r="AC293" s="136">
        <f ca="1">IF(AB293&lt;=0,0,RANK(AB293,AB:AB)+COUNTIF($AB$3:$AB293,AB293)-1)</f>
        <v>0</v>
      </c>
      <c r="AD293" s="1123">
        <f t="shared" si="188"/>
        <v>99999</v>
      </c>
      <c r="AE293" s="1123">
        <f>IF(AD293=99999,0,RANK(AD293,AD:AD,1)+COUNTIF($AD$3:$AD293,AD293)-1)</f>
        <v>0</v>
      </c>
      <c r="AF293" s="86" t="e">
        <f ca="1">IF(OR(M293&lt;&gt;"",L293="無",K293="高資產",IFERROR(MATCH(B293,換券單檔!K:K,0),"N")&lt;&gt;"N"),FALSE,TRUE)</f>
        <v>#N/A</v>
      </c>
      <c r="AI293" s="1212" t="e">
        <f t="shared" ca="1" si="189"/>
        <v>#N/A</v>
      </c>
      <c r="AJ293" s="1213" t="e">
        <f t="shared" ca="1" si="190"/>
        <v>#N/A</v>
      </c>
      <c r="AK293" s="1587">
        <f t="shared" si="191"/>
        <v>0</v>
      </c>
      <c r="AN293" s="1212" t="e">
        <f t="shared" ca="1" si="192"/>
        <v>#N/A</v>
      </c>
      <c r="AO293" s="1213" t="e">
        <f t="shared" ca="1" si="193"/>
        <v>#N/A</v>
      </c>
      <c r="AP293" s="1587">
        <f t="shared" si="194"/>
        <v>0</v>
      </c>
      <c r="AS293" s="1212" t="e">
        <f t="shared" ca="1" si="195"/>
        <v>#N/A</v>
      </c>
      <c r="AT293" s="1213" t="e">
        <f t="shared" ca="1" si="196"/>
        <v>#N/A</v>
      </c>
      <c r="AU293" s="1587">
        <f t="shared" si="197"/>
        <v>0</v>
      </c>
      <c r="AX293" s="1212" t="e">
        <f t="shared" ca="1" si="198"/>
        <v>#N/A</v>
      </c>
      <c r="AY293" s="1213" t="e">
        <f t="shared" ca="1" si="199"/>
        <v>#N/A</v>
      </c>
      <c r="AZ293" s="1587">
        <f t="shared" si="200"/>
        <v>0</v>
      </c>
      <c r="BC293" s="1212" t="e">
        <f t="shared" ca="1" si="201"/>
        <v>#N/A</v>
      </c>
      <c r="BD293" s="1213" t="e">
        <f t="shared" ca="1" si="202"/>
        <v>#N/A</v>
      </c>
      <c r="BE293" s="1587">
        <f t="shared" si="203"/>
        <v>0</v>
      </c>
      <c r="BH293" s="1212" t="e">
        <f t="shared" ca="1" si="204"/>
        <v>#N/A</v>
      </c>
      <c r="BI293" s="1213" t="e">
        <f t="shared" ca="1" si="205"/>
        <v>#N/A</v>
      </c>
      <c r="BJ293" s="1587">
        <f t="shared" si="206"/>
        <v>0</v>
      </c>
      <c r="BM293" s="1212" t="e">
        <f t="shared" ca="1" si="207"/>
        <v>#N/A</v>
      </c>
      <c r="BN293" s="1213" t="e">
        <f t="shared" ca="1" si="208"/>
        <v>#N/A</v>
      </c>
      <c r="BO293" s="1587">
        <f t="shared" si="209"/>
        <v>0</v>
      </c>
      <c r="BR293" s="1212" t="e">
        <f t="shared" ca="1" si="210"/>
        <v>#N/A</v>
      </c>
      <c r="BS293" s="1213" t="e">
        <f t="shared" ca="1" si="211"/>
        <v>#N/A</v>
      </c>
      <c r="BT293" s="1587">
        <f t="shared" si="212"/>
        <v>0</v>
      </c>
      <c r="BW293" s="1212" t="e">
        <f t="shared" ca="1" si="213"/>
        <v>#N/A</v>
      </c>
      <c r="BX293" s="1213" t="e">
        <f t="shared" ca="1" si="214"/>
        <v>#N/A</v>
      </c>
      <c r="BY293" s="1587">
        <f t="shared" si="215"/>
        <v>0</v>
      </c>
      <c r="CB293" s="1212" t="e">
        <f t="shared" ca="1" si="216"/>
        <v>#N/A</v>
      </c>
      <c r="CC293" s="1213" t="e">
        <f t="shared" ca="1" si="217"/>
        <v>#N/A</v>
      </c>
      <c r="CD293" s="1587">
        <f t="shared" si="218"/>
        <v>0</v>
      </c>
      <c r="CG293" s="1212" t="e">
        <f t="shared" ca="1" si="219"/>
        <v>#N/A</v>
      </c>
      <c r="CH293" s="1213" t="e">
        <f t="shared" ca="1" si="220"/>
        <v>#N/A</v>
      </c>
      <c r="CI293" s="1587">
        <f t="shared" si="221"/>
        <v>0</v>
      </c>
      <c r="CL293" s="1212" t="e">
        <f t="shared" ca="1" si="222"/>
        <v>#N/A</v>
      </c>
      <c r="CM293" s="1213" t="e">
        <f t="shared" ca="1" si="223"/>
        <v>#N/A</v>
      </c>
      <c r="CN293" s="1587">
        <f t="shared" si="224"/>
        <v>0</v>
      </c>
    </row>
    <row r="294" spans="1:92">
      <c r="A294" s="141">
        <f>'銀行-TSS'!A294</f>
        <v>0</v>
      </c>
      <c r="B294" s="151">
        <f ca="1">VLOOKUP(A294,'銀行-TSS'!A:B,2,FALSE)</f>
        <v>0</v>
      </c>
      <c r="C294" s="151" t="e">
        <f ca="1">VLOOKUP(B294,bond!B:C,2,FALSE)</f>
        <v>#N/A</v>
      </c>
      <c r="D294" s="95" t="e">
        <f>VLOOKUP(A294,'銀行-TSS'!A:C,3,FALSE)</f>
        <v>#N/A</v>
      </c>
      <c r="E294" s="90" t="e">
        <f ca="1">VLOOKUP(A294,'銀行-TSS'!A:G,7,FALSE)</f>
        <v>#N/A</v>
      </c>
      <c r="F294" s="202" t="e">
        <f ca="1">VLOOKUP(A294,'銀行-TSS'!A:H,8,FALSE)</f>
        <v>#N/A</v>
      </c>
      <c r="G294" s="96" t="e">
        <f ca="1">VLOOKUP(A294,'銀行-TSS'!A:K,11,FALSE)</f>
        <v>#N/A</v>
      </c>
      <c r="H294" s="1209" t="e">
        <f ca="1">VLOOKUP(A294,'銀行-TSS'!A:M,13,FALSE)</f>
        <v>#N/A</v>
      </c>
      <c r="I294" s="1213" t="e">
        <f ca="1">VLOOKUP(A294,'銀行-TSS'!A:N,14,FALSE)</f>
        <v>#N/A</v>
      </c>
      <c r="J294" s="1213" t="e">
        <f ca="1">VLOOKUP(A294,'銀行-TSS'!A:O,15,FALSE)</f>
        <v>#N/A</v>
      </c>
      <c r="K294" s="136" t="e">
        <f ca="1">VLOOKUP(A294,'銀行-TSS'!A:V,22,FALSE)</f>
        <v>#N/A</v>
      </c>
      <c r="L294" s="136" t="e">
        <f ca="1">VLOOKUP(A294,'銀行-TSS'!A:AK,37,FALSE)</f>
        <v>#N/A</v>
      </c>
      <c r="M294" s="136" t="str">
        <f ca="1">VLOOKUP(A294,'銀行-TSS'!A:AN,40,FALSE)</f>
        <v/>
      </c>
      <c r="N294" s="136" t="e">
        <f t="shared" ca="1" si="180"/>
        <v>#N/A</v>
      </c>
      <c r="O294" s="1213" t="e">
        <f t="shared" ca="1" si="181"/>
        <v>#N/A</v>
      </c>
      <c r="P294" s="1213" t="e">
        <f ca="1">IF(AND($O$1&gt;=O294,換券單檔!$D$13=D294),I294+INT(($O$1-O294)/N294)*J294,0)</f>
        <v>#N/A</v>
      </c>
      <c r="Q294" s="1213" t="e">
        <f t="shared" ca="1" si="182"/>
        <v>#N/A</v>
      </c>
      <c r="R294" s="1213">
        <f t="shared" si="183"/>
        <v>0</v>
      </c>
      <c r="S294" s="1213">
        <f t="shared" si="184"/>
        <v>0</v>
      </c>
      <c r="T294" s="136">
        <f>IF(OR(R294=0,A294=0),0,IF(AND(V294=TRUE,換券單檔!$D$13=D294),E294,0))</f>
        <v>0</v>
      </c>
      <c r="U294" s="861">
        <f>IF(OR(R294=0,A294=0),0,IF(AND(V294=TRUE,換券單檔!$D$13=D294),H294,0))</f>
        <v>0</v>
      </c>
      <c r="V294" s="136" t="e">
        <f ca="1">IF(OR(B294=換券單檔!$D$3,L294="無",M294&lt;&gt;"",K294="高資產",IFERROR(MATCH(B294,換券單檔!K:K,0),"N")&lt;&gt;"N"),FALSE,IF($V$1="All",TRUE,IF(K294=$V$1,TRUE,FALSE)))</f>
        <v>#N/A</v>
      </c>
      <c r="W294" s="136" t="e">
        <f ca="1">VLOOKUP(A294,'銀行-TSS'!A:AO,41,FALSE)</f>
        <v>#N/A</v>
      </c>
      <c r="X294" s="136" t="e">
        <f ca="1">VLOOKUP(A294,'銀行-TSS'!A:AP,42,FALSE)</f>
        <v>#N/A</v>
      </c>
      <c r="Y294" s="1220">
        <f t="shared" si="185"/>
        <v>0</v>
      </c>
      <c r="Z294" s="1220">
        <f t="shared" si="186"/>
        <v>0</v>
      </c>
      <c r="AA294" s="136">
        <f>IF(Z294&lt;=0,0,RANK(Z294,Z:Z)+COUNTIF($Z$3:$Z294,Z294)-1)</f>
        <v>0</v>
      </c>
      <c r="AB294" s="1211">
        <f t="shared" ca="1" si="187"/>
        <v>-14896.14</v>
      </c>
      <c r="AC294" s="136">
        <f ca="1">IF(AB294&lt;=0,0,RANK(AB294,AB:AB)+COUNTIF($AB$3:$AB294,AB294)-1)</f>
        <v>0</v>
      </c>
      <c r="AD294" s="1123">
        <f t="shared" si="188"/>
        <v>99999</v>
      </c>
      <c r="AE294" s="1123">
        <f>IF(AD294=99999,0,RANK(AD294,AD:AD,1)+COUNTIF($AD$3:$AD294,AD294)-1)</f>
        <v>0</v>
      </c>
      <c r="AF294" s="86" t="e">
        <f ca="1">IF(OR(M294&lt;&gt;"",L294="無",K294="高資產",IFERROR(MATCH(B294,換券單檔!K:K,0),"N")&lt;&gt;"N"),FALSE,TRUE)</f>
        <v>#N/A</v>
      </c>
      <c r="AI294" s="1212" t="e">
        <f t="shared" ca="1" si="189"/>
        <v>#N/A</v>
      </c>
      <c r="AJ294" s="1213" t="e">
        <f t="shared" ca="1" si="190"/>
        <v>#N/A</v>
      </c>
      <c r="AK294" s="1587">
        <f t="shared" si="191"/>
        <v>0</v>
      </c>
      <c r="AN294" s="1212" t="e">
        <f t="shared" ca="1" si="192"/>
        <v>#N/A</v>
      </c>
      <c r="AO294" s="1213" t="e">
        <f t="shared" ca="1" si="193"/>
        <v>#N/A</v>
      </c>
      <c r="AP294" s="1587">
        <f t="shared" si="194"/>
        <v>0</v>
      </c>
      <c r="AS294" s="1212" t="e">
        <f t="shared" ca="1" si="195"/>
        <v>#N/A</v>
      </c>
      <c r="AT294" s="1213" t="e">
        <f t="shared" ca="1" si="196"/>
        <v>#N/A</v>
      </c>
      <c r="AU294" s="1587">
        <f t="shared" si="197"/>
        <v>0</v>
      </c>
      <c r="AX294" s="1212" t="e">
        <f t="shared" ca="1" si="198"/>
        <v>#N/A</v>
      </c>
      <c r="AY294" s="1213" t="e">
        <f t="shared" ca="1" si="199"/>
        <v>#N/A</v>
      </c>
      <c r="AZ294" s="1587">
        <f t="shared" si="200"/>
        <v>0</v>
      </c>
      <c r="BC294" s="1212" t="e">
        <f t="shared" ca="1" si="201"/>
        <v>#N/A</v>
      </c>
      <c r="BD294" s="1213" t="e">
        <f t="shared" ca="1" si="202"/>
        <v>#N/A</v>
      </c>
      <c r="BE294" s="1587">
        <f t="shared" si="203"/>
        <v>0</v>
      </c>
      <c r="BH294" s="1212" t="e">
        <f t="shared" ca="1" si="204"/>
        <v>#N/A</v>
      </c>
      <c r="BI294" s="1213" t="e">
        <f t="shared" ca="1" si="205"/>
        <v>#N/A</v>
      </c>
      <c r="BJ294" s="1587">
        <f t="shared" si="206"/>
        <v>0</v>
      </c>
      <c r="BM294" s="1212" t="e">
        <f t="shared" ca="1" si="207"/>
        <v>#N/A</v>
      </c>
      <c r="BN294" s="1213" t="e">
        <f t="shared" ca="1" si="208"/>
        <v>#N/A</v>
      </c>
      <c r="BO294" s="1587">
        <f t="shared" si="209"/>
        <v>0</v>
      </c>
      <c r="BR294" s="1212" t="e">
        <f t="shared" ca="1" si="210"/>
        <v>#N/A</v>
      </c>
      <c r="BS294" s="1213" t="e">
        <f t="shared" ca="1" si="211"/>
        <v>#N/A</v>
      </c>
      <c r="BT294" s="1587">
        <f t="shared" si="212"/>
        <v>0</v>
      </c>
      <c r="BW294" s="1212" t="e">
        <f t="shared" ca="1" si="213"/>
        <v>#N/A</v>
      </c>
      <c r="BX294" s="1213" t="e">
        <f t="shared" ca="1" si="214"/>
        <v>#N/A</v>
      </c>
      <c r="BY294" s="1587">
        <f t="shared" si="215"/>
        <v>0</v>
      </c>
      <c r="CB294" s="1212" t="e">
        <f t="shared" ca="1" si="216"/>
        <v>#N/A</v>
      </c>
      <c r="CC294" s="1213" t="e">
        <f t="shared" ca="1" si="217"/>
        <v>#N/A</v>
      </c>
      <c r="CD294" s="1587">
        <f t="shared" si="218"/>
        <v>0</v>
      </c>
      <c r="CG294" s="1212" t="e">
        <f t="shared" ca="1" si="219"/>
        <v>#N/A</v>
      </c>
      <c r="CH294" s="1213" t="e">
        <f t="shared" ca="1" si="220"/>
        <v>#N/A</v>
      </c>
      <c r="CI294" s="1587">
        <f t="shared" si="221"/>
        <v>0</v>
      </c>
      <c r="CL294" s="1212" t="e">
        <f t="shared" ca="1" si="222"/>
        <v>#N/A</v>
      </c>
      <c r="CM294" s="1213" t="e">
        <f t="shared" ca="1" si="223"/>
        <v>#N/A</v>
      </c>
      <c r="CN294" s="1587">
        <f t="shared" si="224"/>
        <v>0</v>
      </c>
    </row>
    <row r="295" spans="1:92">
      <c r="A295" s="141">
        <f>'銀行-TSS'!A295</f>
        <v>0</v>
      </c>
      <c r="B295" s="151">
        <f ca="1">VLOOKUP(A295,'銀行-TSS'!A:B,2,FALSE)</f>
        <v>0</v>
      </c>
      <c r="C295" s="151" t="e">
        <f ca="1">VLOOKUP(B295,bond!B:C,2,FALSE)</f>
        <v>#N/A</v>
      </c>
      <c r="D295" s="95" t="e">
        <f>VLOOKUP(A295,'銀行-TSS'!A:C,3,FALSE)</f>
        <v>#N/A</v>
      </c>
      <c r="E295" s="90" t="e">
        <f ca="1">VLOOKUP(A295,'銀行-TSS'!A:G,7,FALSE)</f>
        <v>#N/A</v>
      </c>
      <c r="F295" s="202" t="e">
        <f ca="1">VLOOKUP(A295,'銀行-TSS'!A:H,8,FALSE)</f>
        <v>#N/A</v>
      </c>
      <c r="G295" s="96" t="e">
        <f ca="1">VLOOKUP(A295,'銀行-TSS'!A:K,11,FALSE)</f>
        <v>#N/A</v>
      </c>
      <c r="H295" s="1209" t="e">
        <f ca="1">VLOOKUP(A295,'銀行-TSS'!A:M,13,FALSE)</f>
        <v>#N/A</v>
      </c>
      <c r="I295" s="1213" t="e">
        <f ca="1">VLOOKUP(A295,'銀行-TSS'!A:N,14,FALSE)</f>
        <v>#N/A</v>
      </c>
      <c r="J295" s="1213" t="e">
        <f ca="1">VLOOKUP(A295,'銀行-TSS'!A:O,15,FALSE)</f>
        <v>#N/A</v>
      </c>
      <c r="K295" s="136" t="e">
        <f ca="1">VLOOKUP(A295,'銀行-TSS'!A:V,22,FALSE)</f>
        <v>#N/A</v>
      </c>
      <c r="L295" s="136" t="e">
        <f ca="1">VLOOKUP(A295,'銀行-TSS'!A:AK,37,FALSE)</f>
        <v>#N/A</v>
      </c>
      <c r="M295" s="136" t="str">
        <f ca="1">VLOOKUP(A295,'銀行-TSS'!A:AN,40,FALSE)</f>
        <v/>
      </c>
      <c r="N295" s="136" t="e">
        <f t="shared" ca="1" si="180"/>
        <v>#N/A</v>
      </c>
      <c r="O295" s="1213" t="e">
        <f t="shared" ca="1" si="181"/>
        <v>#N/A</v>
      </c>
      <c r="P295" s="1213" t="e">
        <f ca="1">IF(AND($O$1&gt;=O295,換券單檔!$D$13=D295),I295+INT(($O$1-O295)/N295)*J295,0)</f>
        <v>#N/A</v>
      </c>
      <c r="Q295" s="1213" t="e">
        <f t="shared" ca="1" si="182"/>
        <v>#N/A</v>
      </c>
      <c r="R295" s="1213">
        <f t="shared" si="183"/>
        <v>0</v>
      </c>
      <c r="S295" s="1213">
        <f t="shared" si="184"/>
        <v>0</v>
      </c>
      <c r="T295" s="136">
        <f>IF(OR(R295=0,A295=0),0,IF(AND(V295=TRUE,換券單檔!$D$13=D295),E295,0))</f>
        <v>0</v>
      </c>
      <c r="U295" s="861">
        <f>IF(OR(R295=0,A295=0),0,IF(AND(V295=TRUE,換券單檔!$D$13=D295),H295,0))</f>
        <v>0</v>
      </c>
      <c r="V295" s="136" t="e">
        <f ca="1">IF(OR(B295=換券單檔!$D$3,L295="無",M295&lt;&gt;"",K295="高資產",IFERROR(MATCH(B295,換券單檔!K:K,0),"N")&lt;&gt;"N"),FALSE,IF($V$1="All",TRUE,IF(K295=$V$1,TRUE,FALSE)))</f>
        <v>#N/A</v>
      </c>
      <c r="W295" s="136" t="e">
        <f ca="1">VLOOKUP(A295,'銀行-TSS'!A:AO,41,FALSE)</f>
        <v>#N/A</v>
      </c>
      <c r="X295" s="136" t="e">
        <f ca="1">VLOOKUP(A295,'銀行-TSS'!A:AP,42,FALSE)</f>
        <v>#N/A</v>
      </c>
      <c r="Y295" s="1220">
        <f t="shared" si="185"/>
        <v>0</v>
      </c>
      <c r="Z295" s="1220">
        <f t="shared" si="186"/>
        <v>0</v>
      </c>
      <c r="AA295" s="136">
        <f>IF(Z295&lt;=0,0,RANK(Z295,Z:Z)+COUNTIF($Z$3:$Z295,Z295)-1)</f>
        <v>0</v>
      </c>
      <c r="AB295" s="1211">
        <f t="shared" ca="1" si="187"/>
        <v>-14896.14</v>
      </c>
      <c r="AC295" s="136">
        <f ca="1">IF(AB295&lt;=0,0,RANK(AB295,AB:AB)+COUNTIF($AB$3:$AB295,AB295)-1)</f>
        <v>0</v>
      </c>
      <c r="AD295" s="1123">
        <f t="shared" si="188"/>
        <v>99999</v>
      </c>
      <c r="AE295" s="1123">
        <f>IF(AD295=99999,0,RANK(AD295,AD:AD,1)+COUNTIF($AD$3:$AD295,AD295)-1)</f>
        <v>0</v>
      </c>
      <c r="AF295" s="86" t="e">
        <f ca="1">IF(OR(M295&lt;&gt;"",L295="無",K295="高資產",IFERROR(MATCH(B295,換券單檔!K:K,0),"N")&lt;&gt;"N"),FALSE,TRUE)</f>
        <v>#N/A</v>
      </c>
      <c r="AI295" s="1212" t="e">
        <f t="shared" ca="1" si="189"/>
        <v>#N/A</v>
      </c>
      <c r="AJ295" s="1213" t="e">
        <f t="shared" ca="1" si="190"/>
        <v>#N/A</v>
      </c>
      <c r="AK295" s="1587">
        <f t="shared" si="191"/>
        <v>0</v>
      </c>
      <c r="AN295" s="1212" t="e">
        <f t="shared" ca="1" si="192"/>
        <v>#N/A</v>
      </c>
      <c r="AO295" s="1213" t="e">
        <f t="shared" ca="1" si="193"/>
        <v>#N/A</v>
      </c>
      <c r="AP295" s="1587">
        <f t="shared" si="194"/>
        <v>0</v>
      </c>
      <c r="AS295" s="1212" t="e">
        <f t="shared" ca="1" si="195"/>
        <v>#N/A</v>
      </c>
      <c r="AT295" s="1213" t="e">
        <f t="shared" ca="1" si="196"/>
        <v>#N/A</v>
      </c>
      <c r="AU295" s="1587">
        <f t="shared" si="197"/>
        <v>0</v>
      </c>
      <c r="AX295" s="1212" t="e">
        <f t="shared" ca="1" si="198"/>
        <v>#N/A</v>
      </c>
      <c r="AY295" s="1213" t="e">
        <f t="shared" ca="1" si="199"/>
        <v>#N/A</v>
      </c>
      <c r="AZ295" s="1587">
        <f t="shared" si="200"/>
        <v>0</v>
      </c>
      <c r="BC295" s="1212" t="e">
        <f t="shared" ca="1" si="201"/>
        <v>#N/A</v>
      </c>
      <c r="BD295" s="1213" t="e">
        <f t="shared" ca="1" si="202"/>
        <v>#N/A</v>
      </c>
      <c r="BE295" s="1587">
        <f t="shared" si="203"/>
        <v>0</v>
      </c>
      <c r="BH295" s="1212" t="e">
        <f t="shared" ca="1" si="204"/>
        <v>#N/A</v>
      </c>
      <c r="BI295" s="1213" t="e">
        <f t="shared" ca="1" si="205"/>
        <v>#N/A</v>
      </c>
      <c r="BJ295" s="1587">
        <f t="shared" si="206"/>
        <v>0</v>
      </c>
      <c r="BM295" s="1212" t="e">
        <f t="shared" ca="1" si="207"/>
        <v>#N/A</v>
      </c>
      <c r="BN295" s="1213" t="e">
        <f t="shared" ca="1" si="208"/>
        <v>#N/A</v>
      </c>
      <c r="BO295" s="1587">
        <f t="shared" si="209"/>
        <v>0</v>
      </c>
      <c r="BR295" s="1212" t="e">
        <f t="shared" ca="1" si="210"/>
        <v>#N/A</v>
      </c>
      <c r="BS295" s="1213" t="e">
        <f t="shared" ca="1" si="211"/>
        <v>#N/A</v>
      </c>
      <c r="BT295" s="1587">
        <f t="shared" si="212"/>
        <v>0</v>
      </c>
      <c r="BW295" s="1212" t="e">
        <f t="shared" ca="1" si="213"/>
        <v>#N/A</v>
      </c>
      <c r="BX295" s="1213" t="e">
        <f t="shared" ca="1" si="214"/>
        <v>#N/A</v>
      </c>
      <c r="BY295" s="1587">
        <f t="shared" si="215"/>
        <v>0</v>
      </c>
      <c r="CB295" s="1212" t="e">
        <f t="shared" ca="1" si="216"/>
        <v>#N/A</v>
      </c>
      <c r="CC295" s="1213" t="e">
        <f t="shared" ca="1" si="217"/>
        <v>#N/A</v>
      </c>
      <c r="CD295" s="1587">
        <f t="shared" si="218"/>
        <v>0</v>
      </c>
      <c r="CG295" s="1212" t="e">
        <f t="shared" ca="1" si="219"/>
        <v>#N/A</v>
      </c>
      <c r="CH295" s="1213" t="e">
        <f t="shared" ca="1" si="220"/>
        <v>#N/A</v>
      </c>
      <c r="CI295" s="1587">
        <f t="shared" si="221"/>
        <v>0</v>
      </c>
      <c r="CL295" s="1212" t="e">
        <f t="shared" ca="1" si="222"/>
        <v>#N/A</v>
      </c>
      <c r="CM295" s="1213" t="e">
        <f t="shared" ca="1" si="223"/>
        <v>#N/A</v>
      </c>
      <c r="CN295" s="1587">
        <f t="shared" si="224"/>
        <v>0</v>
      </c>
    </row>
    <row r="296" spans="1:92">
      <c r="A296" s="141">
        <f>'銀行-TSS'!A296</f>
        <v>0</v>
      </c>
      <c r="B296" s="151">
        <f ca="1">VLOOKUP(A296,'銀行-TSS'!A:B,2,FALSE)</f>
        <v>0</v>
      </c>
      <c r="C296" s="151" t="e">
        <f ca="1">VLOOKUP(B296,bond!B:C,2,FALSE)</f>
        <v>#N/A</v>
      </c>
      <c r="D296" s="95" t="e">
        <f>VLOOKUP(A296,'銀行-TSS'!A:C,3,FALSE)</f>
        <v>#N/A</v>
      </c>
      <c r="E296" s="90" t="e">
        <f ca="1">VLOOKUP(A296,'銀行-TSS'!A:G,7,FALSE)</f>
        <v>#N/A</v>
      </c>
      <c r="F296" s="202" t="e">
        <f ca="1">VLOOKUP(A296,'銀行-TSS'!A:H,8,FALSE)</f>
        <v>#N/A</v>
      </c>
      <c r="G296" s="96" t="e">
        <f ca="1">VLOOKUP(A296,'銀行-TSS'!A:K,11,FALSE)</f>
        <v>#N/A</v>
      </c>
      <c r="H296" s="1209" t="e">
        <f ca="1">VLOOKUP(A296,'銀行-TSS'!A:M,13,FALSE)</f>
        <v>#N/A</v>
      </c>
      <c r="I296" s="1213" t="e">
        <f ca="1">VLOOKUP(A296,'銀行-TSS'!A:N,14,FALSE)</f>
        <v>#N/A</v>
      </c>
      <c r="J296" s="1213" t="e">
        <f ca="1">VLOOKUP(A296,'銀行-TSS'!A:O,15,FALSE)</f>
        <v>#N/A</v>
      </c>
      <c r="K296" s="136" t="e">
        <f ca="1">VLOOKUP(A296,'銀行-TSS'!A:V,22,FALSE)</f>
        <v>#N/A</v>
      </c>
      <c r="L296" s="136" t="e">
        <f ca="1">VLOOKUP(A296,'銀行-TSS'!A:AK,37,FALSE)</f>
        <v>#N/A</v>
      </c>
      <c r="M296" s="136" t="str">
        <f ca="1">VLOOKUP(A296,'銀行-TSS'!A:AN,40,FALSE)</f>
        <v/>
      </c>
      <c r="N296" s="136" t="e">
        <f t="shared" ca="1" si="180"/>
        <v>#N/A</v>
      </c>
      <c r="O296" s="1213" t="e">
        <f t="shared" ca="1" si="181"/>
        <v>#N/A</v>
      </c>
      <c r="P296" s="1213" t="e">
        <f ca="1">IF(AND($O$1&gt;=O296,換券單檔!$D$13=D296),I296+INT(($O$1-O296)/N296)*J296,0)</f>
        <v>#N/A</v>
      </c>
      <c r="Q296" s="1213" t="e">
        <f t="shared" ca="1" si="182"/>
        <v>#N/A</v>
      </c>
      <c r="R296" s="1213">
        <f t="shared" si="183"/>
        <v>0</v>
      </c>
      <c r="S296" s="1213">
        <f t="shared" si="184"/>
        <v>0</v>
      </c>
      <c r="T296" s="136">
        <f>IF(OR(R296=0,A296=0),0,IF(AND(V296=TRUE,換券單檔!$D$13=D296),E296,0))</f>
        <v>0</v>
      </c>
      <c r="U296" s="861">
        <f>IF(OR(R296=0,A296=0),0,IF(AND(V296=TRUE,換券單檔!$D$13=D296),H296,0))</f>
        <v>0</v>
      </c>
      <c r="V296" s="136" t="e">
        <f ca="1">IF(OR(B296=換券單檔!$D$3,L296="無",M296&lt;&gt;"",K296="高資產",IFERROR(MATCH(B296,換券單檔!K:K,0),"N")&lt;&gt;"N"),FALSE,IF($V$1="All",TRUE,IF(K296=$V$1,TRUE,FALSE)))</f>
        <v>#N/A</v>
      </c>
      <c r="W296" s="136" t="e">
        <f ca="1">VLOOKUP(A296,'銀行-TSS'!A:AO,41,FALSE)</f>
        <v>#N/A</v>
      </c>
      <c r="X296" s="136" t="e">
        <f ca="1">VLOOKUP(A296,'銀行-TSS'!A:AP,42,FALSE)</f>
        <v>#N/A</v>
      </c>
      <c r="Y296" s="1220">
        <f t="shared" si="185"/>
        <v>0</v>
      </c>
      <c r="Z296" s="1220">
        <f t="shared" si="186"/>
        <v>0</v>
      </c>
      <c r="AA296" s="136">
        <f>IF(Z296&lt;=0,0,RANK(Z296,Z:Z)+COUNTIF($Z$3:$Z296,Z296)-1)</f>
        <v>0</v>
      </c>
      <c r="AB296" s="1211">
        <f t="shared" ca="1" si="187"/>
        <v>-14896.14</v>
      </c>
      <c r="AC296" s="136">
        <f ca="1">IF(AB296&lt;=0,0,RANK(AB296,AB:AB)+COUNTIF($AB$3:$AB296,AB296)-1)</f>
        <v>0</v>
      </c>
      <c r="AD296" s="1123">
        <f t="shared" si="188"/>
        <v>99999</v>
      </c>
      <c r="AE296" s="1123">
        <f>IF(AD296=99999,0,RANK(AD296,AD:AD,1)+COUNTIF($AD$3:$AD296,AD296)-1)</f>
        <v>0</v>
      </c>
      <c r="AF296" s="86" t="e">
        <f ca="1">IF(OR(M296&lt;&gt;"",L296="無",K296="高資產",IFERROR(MATCH(B296,換券單檔!K:K,0),"N")&lt;&gt;"N"),FALSE,TRUE)</f>
        <v>#N/A</v>
      </c>
      <c r="AI296" s="1212" t="e">
        <f t="shared" ca="1" si="189"/>
        <v>#N/A</v>
      </c>
      <c r="AJ296" s="1213" t="e">
        <f t="shared" ca="1" si="190"/>
        <v>#N/A</v>
      </c>
      <c r="AK296" s="1587">
        <f t="shared" si="191"/>
        <v>0</v>
      </c>
      <c r="AN296" s="1212" t="e">
        <f t="shared" ca="1" si="192"/>
        <v>#N/A</v>
      </c>
      <c r="AO296" s="1213" t="e">
        <f t="shared" ca="1" si="193"/>
        <v>#N/A</v>
      </c>
      <c r="AP296" s="1587">
        <f t="shared" si="194"/>
        <v>0</v>
      </c>
      <c r="AS296" s="1212" t="e">
        <f t="shared" ca="1" si="195"/>
        <v>#N/A</v>
      </c>
      <c r="AT296" s="1213" t="e">
        <f t="shared" ca="1" si="196"/>
        <v>#N/A</v>
      </c>
      <c r="AU296" s="1587">
        <f t="shared" si="197"/>
        <v>0</v>
      </c>
      <c r="AX296" s="1212" t="e">
        <f t="shared" ca="1" si="198"/>
        <v>#N/A</v>
      </c>
      <c r="AY296" s="1213" t="e">
        <f t="shared" ca="1" si="199"/>
        <v>#N/A</v>
      </c>
      <c r="AZ296" s="1587">
        <f t="shared" si="200"/>
        <v>0</v>
      </c>
      <c r="BC296" s="1212" t="e">
        <f t="shared" ca="1" si="201"/>
        <v>#N/A</v>
      </c>
      <c r="BD296" s="1213" t="e">
        <f t="shared" ca="1" si="202"/>
        <v>#N/A</v>
      </c>
      <c r="BE296" s="1587">
        <f t="shared" si="203"/>
        <v>0</v>
      </c>
      <c r="BH296" s="1212" t="e">
        <f t="shared" ca="1" si="204"/>
        <v>#N/A</v>
      </c>
      <c r="BI296" s="1213" t="e">
        <f t="shared" ca="1" si="205"/>
        <v>#N/A</v>
      </c>
      <c r="BJ296" s="1587">
        <f t="shared" si="206"/>
        <v>0</v>
      </c>
      <c r="BM296" s="1212" t="e">
        <f t="shared" ca="1" si="207"/>
        <v>#N/A</v>
      </c>
      <c r="BN296" s="1213" t="e">
        <f t="shared" ca="1" si="208"/>
        <v>#N/A</v>
      </c>
      <c r="BO296" s="1587">
        <f t="shared" si="209"/>
        <v>0</v>
      </c>
      <c r="BR296" s="1212" t="e">
        <f t="shared" ca="1" si="210"/>
        <v>#N/A</v>
      </c>
      <c r="BS296" s="1213" t="e">
        <f t="shared" ca="1" si="211"/>
        <v>#N/A</v>
      </c>
      <c r="BT296" s="1587">
        <f t="shared" si="212"/>
        <v>0</v>
      </c>
      <c r="BW296" s="1212" t="e">
        <f t="shared" ca="1" si="213"/>
        <v>#N/A</v>
      </c>
      <c r="BX296" s="1213" t="e">
        <f t="shared" ca="1" si="214"/>
        <v>#N/A</v>
      </c>
      <c r="BY296" s="1587">
        <f t="shared" si="215"/>
        <v>0</v>
      </c>
      <c r="CB296" s="1212" t="e">
        <f t="shared" ca="1" si="216"/>
        <v>#N/A</v>
      </c>
      <c r="CC296" s="1213" t="e">
        <f t="shared" ca="1" si="217"/>
        <v>#N/A</v>
      </c>
      <c r="CD296" s="1587">
        <f t="shared" si="218"/>
        <v>0</v>
      </c>
      <c r="CG296" s="1212" t="e">
        <f t="shared" ca="1" si="219"/>
        <v>#N/A</v>
      </c>
      <c r="CH296" s="1213" t="e">
        <f t="shared" ca="1" si="220"/>
        <v>#N/A</v>
      </c>
      <c r="CI296" s="1587">
        <f t="shared" si="221"/>
        <v>0</v>
      </c>
      <c r="CL296" s="1212" t="e">
        <f t="shared" ca="1" si="222"/>
        <v>#N/A</v>
      </c>
      <c r="CM296" s="1213" t="e">
        <f t="shared" ca="1" si="223"/>
        <v>#N/A</v>
      </c>
      <c r="CN296" s="1587">
        <f t="shared" si="224"/>
        <v>0</v>
      </c>
    </row>
    <row r="297" spans="1:92">
      <c r="A297" s="141">
        <f>'銀行-TSS'!A297</f>
        <v>0</v>
      </c>
      <c r="B297" s="151">
        <f ca="1">VLOOKUP(A297,'銀行-TSS'!A:B,2,FALSE)</f>
        <v>0</v>
      </c>
      <c r="C297" s="151" t="e">
        <f ca="1">VLOOKUP(B297,bond!B:C,2,FALSE)</f>
        <v>#N/A</v>
      </c>
      <c r="D297" s="95" t="e">
        <f>VLOOKUP(A297,'銀行-TSS'!A:C,3,FALSE)</f>
        <v>#N/A</v>
      </c>
      <c r="E297" s="90" t="e">
        <f ca="1">VLOOKUP(A297,'銀行-TSS'!A:G,7,FALSE)</f>
        <v>#N/A</v>
      </c>
      <c r="F297" s="202" t="e">
        <f ca="1">VLOOKUP(A297,'銀行-TSS'!A:H,8,FALSE)</f>
        <v>#N/A</v>
      </c>
      <c r="G297" s="96" t="e">
        <f ca="1">VLOOKUP(A297,'銀行-TSS'!A:K,11,FALSE)</f>
        <v>#N/A</v>
      </c>
      <c r="H297" s="1209" t="e">
        <f ca="1">VLOOKUP(A297,'銀行-TSS'!A:M,13,FALSE)</f>
        <v>#N/A</v>
      </c>
      <c r="I297" s="1213" t="e">
        <f ca="1">VLOOKUP(A297,'銀行-TSS'!A:N,14,FALSE)</f>
        <v>#N/A</v>
      </c>
      <c r="J297" s="1213" t="e">
        <f ca="1">VLOOKUP(A297,'銀行-TSS'!A:O,15,FALSE)</f>
        <v>#N/A</v>
      </c>
      <c r="K297" s="136" t="e">
        <f ca="1">VLOOKUP(A297,'銀行-TSS'!A:V,22,FALSE)</f>
        <v>#N/A</v>
      </c>
      <c r="L297" s="136" t="e">
        <f ca="1">VLOOKUP(A297,'銀行-TSS'!A:AK,37,FALSE)</f>
        <v>#N/A</v>
      </c>
      <c r="M297" s="136" t="str">
        <f ca="1">VLOOKUP(A297,'銀行-TSS'!A:AN,40,FALSE)</f>
        <v/>
      </c>
      <c r="N297" s="136" t="e">
        <f t="shared" ca="1" si="180"/>
        <v>#N/A</v>
      </c>
      <c r="O297" s="1213" t="e">
        <f t="shared" ca="1" si="181"/>
        <v>#N/A</v>
      </c>
      <c r="P297" s="1213" t="e">
        <f ca="1">IF(AND($O$1&gt;=O297,換券單檔!$D$13=D297),I297+INT(($O$1-O297)/N297)*J297,0)</f>
        <v>#N/A</v>
      </c>
      <c r="Q297" s="1213" t="e">
        <f t="shared" ca="1" si="182"/>
        <v>#N/A</v>
      </c>
      <c r="R297" s="1213">
        <f t="shared" si="183"/>
        <v>0</v>
      </c>
      <c r="S297" s="1213">
        <f t="shared" si="184"/>
        <v>0</v>
      </c>
      <c r="T297" s="136">
        <f>IF(OR(R297=0,A297=0),0,IF(AND(V297=TRUE,換券單檔!$D$13=D297),E297,0))</f>
        <v>0</v>
      </c>
      <c r="U297" s="861">
        <f>IF(OR(R297=0,A297=0),0,IF(AND(V297=TRUE,換券單檔!$D$13=D297),H297,0))</f>
        <v>0</v>
      </c>
      <c r="V297" s="136" t="e">
        <f ca="1">IF(OR(B297=換券單檔!$D$3,L297="無",M297&lt;&gt;"",K297="高資產",IFERROR(MATCH(B297,換券單檔!K:K,0),"N")&lt;&gt;"N"),FALSE,IF($V$1="All",TRUE,IF(K297=$V$1,TRUE,FALSE)))</f>
        <v>#N/A</v>
      </c>
      <c r="W297" s="136" t="e">
        <f ca="1">VLOOKUP(A297,'銀行-TSS'!A:AO,41,FALSE)</f>
        <v>#N/A</v>
      </c>
      <c r="X297" s="136" t="e">
        <f ca="1">VLOOKUP(A297,'銀行-TSS'!A:AP,42,FALSE)</f>
        <v>#N/A</v>
      </c>
      <c r="Y297" s="1220">
        <f t="shared" si="185"/>
        <v>0</v>
      </c>
      <c r="Z297" s="1220">
        <f t="shared" si="186"/>
        <v>0</v>
      </c>
      <c r="AA297" s="136">
        <f>IF(Z297&lt;=0,0,RANK(Z297,Z:Z)+COUNTIF($Z$3:$Z297,Z297)-1)</f>
        <v>0</v>
      </c>
      <c r="AB297" s="1211">
        <f t="shared" ca="1" si="187"/>
        <v>-14896.14</v>
      </c>
      <c r="AC297" s="136">
        <f ca="1">IF(AB297&lt;=0,0,RANK(AB297,AB:AB)+COUNTIF($AB$3:$AB297,AB297)-1)</f>
        <v>0</v>
      </c>
      <c r="AD297" s="1123">
        <f t="shared" si="188"/>
        <v>99999</v>
      </c>
      <c r="AE297" s="1123">
        <f>IF(AD297=99999,0,RANK(AD297,AD:AD,1)+COUNTIF($AD$3:$AD297,AD297)-1)</f>
        <v>0</v>
      </c>
      <c r="AF297" s="86" t="e">
        <f ca="1">IF(OR(M297&lt;&gt;"",L297="無",K297="高資產",IFERROR(MATCH(B297,換券單檔!K:K,0),"N")&lt;&gt;"N"),FALSE,TRUE)</f>
        <v>#N/A</v>
      </c>
      <c r="AI297" s="1212" t="e">
        <f t="shared" ca="1" si="189"/>
        <v>#N/A</v>
      </c>
      <c r="AJ297" s="1213" t="e">
        <f t="shared" ca="1" si="190"/>
        <v>#N/A</v>
      </c>
      <c r="AK297" s="1587">
        <f t="shared" si="191"/>
        <v>0</v>
      </c>
      <c r="AN297" s="1212" t="e">
        <f t="shared" ca="1" si="192"/>
        <v>#N/A</v>
      </c>
      <c r="AO297" s="1213" t="e">
        <f t="shared" ca="1" si="193"/>
        <v>#N/A</v>
      </c>
      <c r="AP297" s="1587">
        <f t="shared" si="194"/>
        <v>0</v>
      </c>
      <c r="AS297" s="1212" t="e">
        <f t="shared" ca="1" si="195"/>
        <v>#N/A</v>
      </c>
      <c r="AT297" s="1213" t="e">
        <f t="shared" ca="1" si="196"/>
        <v>#N/A</v>
      </c>
      <c r="AU297" s="1587">
        <f t="shared" si="197"/>
        <v>0</v>
      </c>
      <c r="AX297" s="1212" t="e">
        <f t="shared" ca="1" si="198"/>
        <v>#N/A</v>
      </c>
      <c r="AY297" s="1213" t="e">
        <f t="shared" ca="1" si="199"/>
        <v>#N/A</v>
      </c>
      <c r="AZ297" s="1587">
        <f t="shared" si="200"/>
        <v>0</v>
      </c>
      <c r="BC297" s="1212" t="e">
        <f t="shared" ca="1" si="201"/>
        <v>#N/A</v>
      </c>
      <c r="BD297" s="1213" t="e">
        <f t="shared" ca="1" si="202"/>
        <v>#N/A</v>
      </c>
      <c r="BE297" s="1587">
        <f t="shared" si="203"/>
        <v>0</v>
      </c>
      <c r="BH297" s="1212" t="e">
        <f t="shared" ca="1" si="204"/>
        <v>#N/A</v>
      </c>
      <c r="BI297" s="1213" t="e">
        <f t="shared" ca="1" si="205"/>
        <v>#N/A</v>
      </c>
      <c r="BJ297" s="1587">
        <f t="shared" si="206"/>
        <v>0</v>
      </c>
      <c r="BM297" s="1212" t="e">
        <f t="shared" ca="1" si="207"/>
        <v>#N/A</v>
      </c>
      <c r="BN297" s="1213" t="e">
        <f t="shared" ca="1" si="208"/>
        <v>#N/A</v>
      </c>
      <c r="BO297" s="1587">
        <f t="shared" si="209"/>
        <v>0</v>
      </c>
      <c r="BR297" s="1212" t="e">
        <f t="shared" ca="1" si="210"/>
        <v>#N/A</v>
      </c>
      <c r="BS297" s="1213" t="e">
        <f t="shared" ca="1" si="211"/>
        <v>#N/A</v>
      </c>
      <c r="BT297" s="1587">
        <f t="shared" si="212"/>
        <v>0</v>
      </c>
      <c r="BW297" s="1212" t="e">
        <f t="shared" ca="1" si="213"/>
        <v>#N/A</v>
      </c>
      <c r="BX297" s="1213" t="e">
        <f t="shared" ca="1" si="214"/>
        <v>#N/A</v>
      </c>
      <c r="BY297" s="1587">
        <f t="shared" si="215"/>
        <v>0</v>
      </c>
      <c r="CB297" s="1212" t="e">
        <f t="shared" ca="1" si="216"/>
        <v>#N/A</v>
      </c>
      <c r="CC297" s="1213" t="e">
        <f t="shared" ca="1" si="217"/>
        <v>#N/A</v>
      </c>
      <c r="CD297" s="1587">
        <f t="shared" si="218"/>
        <v>0</v>
      </c>
      <c r="CG297" s="1212" t="e">
        <f t="shared" ca="1" si="219"/>
        <v>#N/A</v>
      </c>
      <c r="CH297" s="1213" t="e">
        <f t="shared" ca="1" si="220"/>
        <v>#N/A</v>
      </c>
      <c r="CI297" s="1587">
        <f t="shared" si="221"/>
        <v>0</v>
      </c>
      <c r="CL297" s="1212" t="e">
        <f t="shared" ca="1" si="222"/>
        <v>#N/A</v>
      </c>
      <c r="CM297" s="1213" t="e">
        <f t="shared" ca="1" si="223"/>
        <v>#N/A</v>
      </c>
      <c r="CN297" s="1587">
        <f t="shared" si="224"/>
        <v>0</v>
      </c>
    </row>
    <row r="298" spans="1:92">
      <c r="A298" s="141">
        <f>'銀行-TSS'!A298</f>
        <v>0</v>
      </c>
      <c r="B298" s="151">
        <f ca="1">VLOOKUP(A298,'銀行-TSS'!A:B,2,FALSE)</f>
        <v>0</v>
      </c>
      <c r="C298" s="151" t="e">
        <f ca="1">VLOOKUP(B298,bond!B:C,2,FALSE)</f>
        <v>#N/A</v>
      </c>
      <c r="D298" s="95" t="e">
        <f>VLOOKUP(A298,'銀行-TSS'!A:C,3,FALSE)</f>
        <v>#N/A</v>
      </c>
      <c r="E298" s="90" t="e">
        <f ca="1">VLOOKUP(A298,'銀行-TSS'!A:G,7,FALSE)</f>
        <v>#N/A</v>
      </c>
      <c r="F298" s="202" t="e">
        <f ca="1">VLOOKUP(A298,'銀行-TSS'!A:H,8,FALSE)</f>
        <v>#N/A</v>
      </c>
      <c r="G298" s="96" t="e">
        <f ca="1">VLOOKUP(A298,'銀行-TSS'!A:K,11,FALSE)</f>
        <v>#N/A</v>
      </c>
      <c r="H298" s="1209" t="e">
        <f ca="1">VLOOKUP(A298,'銀行-TSS'!A:M,13,FALSE)</f>
        <v>#N/A</v>
      </c>
      <c r="I298" s="1213" t="e">
        <f ca="1">VLOOKUP(A298,'銀行-TSS'!A:N,14,FALSE)</f>
        <v>#N/A</v>
      </c>
      <c r="J298" s="1213" t="e">
        <f ca="1">VLOOKUP(A298,'銀行-TSS'!A:O,15,FALSE)</f>
        <v>#N/A</v>
      </c>
      <c r="K298" s="136" t="e">
        <f ca="1">VLOOKUP(A298,'銀行-TSS'!A:V,22,FALSE)</f>
        <v>#N/A</v>
      </c>
      <c r="L298" s="136" t="e">
        <f ca="1">VLOOKUP(A298,'銀行-TSS'!A:AK,37,FALSE)</f>
        <v>#N/A</v>
      </c>
      <c r="M298" s="136" t="str">
        <f ca="1">VLOOKUP(A298,'銀行-TSS'!A:AN,40,FALSE)</f>
        <v/>
      </c>
      <c r="N298" s="136" t="e">
        <f t="shared" ca="1" si="180"/>
        <v>#N/A</v>
      </c>
      <c r="O298" s="1213" t="e">
        <f t="shared" ca="1" si="181"/>
        <v>#N/A</v>
      </c>
      <c r="P298" s="1213" t="e">
        <f ca="1">IF(AND($O$1&gt;=O298,換券單檔!$D$13=D298),I298+INT(($O$1-O298)/N298)*J298,0)</f>
        <v>#N/A</v>
      </c>
      <c r="Q298" s="1213" t="e">
        <f t="shared" ca="1" si="182"/>
        <v>#N/A</v>
      </c>
      <c r="R298" s="1213">
        <f t="shared" si="183"/>
        <v>0</v>
      </c>
      <c r="S298" s="1213">
        <f t="shared" si="184"/>
        <v>0</v>
      </c>
      <c r="T298" s="136">
        <f>IF(OR(R298=0,A298=0),0,IF(AND(V298=TRUE,換券單檔!$D$13=D298),E298,0))</f>
        <v>0</v>
      </c>
      <c r="U298" s="861">
        <f>IF(OR(R298=0,A298=0),0,IF(AND(V298=TRUE,換券單檔!$D$13=D298),H298,0))</f>
        <v>0</v>
      </c>
      <c r="V298" s="136" t="e">
        <f ca="1">IF(OR(B298=換券單檔!$D$3,L298="無",M298&lt;&gt;"",K298="高資產",IFERROR(MATCH(B298,換券單檔!K:K,0),"N")&lt;&gt;"N"),FALSE,IF($V$1="All",TRUE,IF(K298=$V$1,TRUE,FALSE)))</f>
        <v>#N/A</v>
      </c>
      <c r="W298" s="136" t="e">
        <f ca="1">VLOOKUP(A298,'銀行-TSS'!A:AO,41,FALSE)</f>
        <v>#N/A</v>
      </c>
      <c r="X298" s="136" t="e">
        <f ca="1">VLOOKUP(A298,'銀行-TSS'!A:AP,42,FALSE)</f>
        <v>#N/A</v>
      </c>
      <c r="Y298" s="1220">
        <f t="shared" si="185"/>
        <v>0</v>
      </c>
      <c r="Z298" s="1220">
        <f t="shared" si="186"/>
        <v>0</v>
      </c>
      <c r="AA298" s="136">
        <f>IF(Z298&lt;=0,0,RANK(Z298,Z:Z)+COUNTIF($Z$3:$Z298,Z298)-1)</f>
        <v>0</v>
      </c>
      <c r="AB298" s="1211">
        <f t="shared" ca="1" si="187"/>
        <v>-14896.14</v>
      </c>
      <c r="AC298" s="136">
        <f ca="1">IF(AB298&lt;=0,0,RANK(AB298,AB:AB)+COUNTIF($AB$3:$AB298,AB298)-1)</f>
        <v>0</v>
      </c>
      <c r="AD298" s="1123">
        <f t="shared" si="188"/>
        <v>99999</v>
      </c>
      <c r="AE298" s="1123">
        <f>IF(AD298=99999,0,RANK(AD298,AD:AD,1)+COUNTIF($AD$3:$AD298,AD298)-1)</f>
        <v>0</v>
      </c>
      <c r="AF298" s="86" t="e">
        <f ca="1">IF(OR(M298&lt;&gt;"",L298="無",K298="高資產",IFERROR(MATCH(B298,換券單檔!K:K,0),"N")&lt;&gt;"N"),FALSE,TRUE)</f>
        <v>#N/A</v>
      </c>
      <c r="AI298" s="1212" t="e">
        <f t="shared" ca="1" si="189"/>
        <v>#N/A</v>
      </c>
      <c r="AJ298" s="1213" t="e">
        <f t="shared" ca="1" si="190"/>
        <v>#N/A</v>
      </c>
      <c r="AK298" s="1587">
        <f t="shared" si="191"/>
        <v>0</v>
      </c>
      <c r="AN298" s="1212" t="e">
        <f t="shared" ca="1" si="192"/>
        <v>#N/A</v>
      </c>
      <c r="AO298" s="1213" t="e">
        <f t="shared" ca="1" si="193"/>
        <v>#N/A</v>
      </c>
      <c r="AP298" s="1587">
        <f t="shared" si="194"/>
        <v>0</v>
      </c>
      <c r="AS298" s="1212" t="e">
        <f t="shared" ca="1" si="195"/>
        <v>#N/A</v>
      </c>
      <c r="AT298" s="1213" t="e">
        <f t="shared" ca="1" si="196"/>
        <v>#N/A</v>
      </c>
      <c r="AU298" s="1587">
        <f t="shared" si="197"/>
        <v>0</v>
      </c>
      <c r="AX298" s="1212" t="e">
        <f t="shared" ca="1" si="198"/>
        <v>#N/A</v>
      </c>
      <c r="AY298" s="1213" t="e">
        <f t="shared" ca="1" si="199"/>
        <v>#N/A</v>
      </c>
      <c r="AZ298" s="1587">
        <f t="shared" si="200"/>
        <v>0</v>
      </c>
      <c r="BC298" s="1212" t="e">
        <f t="shared" ca="1" si="201"/>
        <v>#N/A</v>
      </c>
      <c r="BD298" s="1213" t="e">
        <f t="shared" ca="1" si="202"/>
        <v>#N/A</v>
      </c>
      <c r="BE298" s="1587">
        <f t="shared" si="203"/>
        <v>0</v>
      </c>
      <c r="BH298" s="1212" t="e">
        <f t="shared" ca="1" si="204"/>
        <v>#N/A</v>
      </c>
      <c r="BI298" s="1213" t="e">
        <f t="shared" ca="1" si="205"/>
        <v>#N/A</v>
      </c>
      <c r="BJ298" s="1587">
        <f t="shared" si="206"/>
        <v>0</v>
      </c>
      <c r="BM298" s="1212" t="e">
        <f t="shared" ca="1" si="207"/>
        <v>#N/A</v>
      </c>
      <c r="BN298" s="1213" t="e">
        <f t="shared" ca="1" si="208"/>
        <v>#N/A</v>
      </c>
      <c r="BO298" s="1587">
        <f t="shared" si="209"/>
        <v>0</v>
      </c>
      <c r="BR298" s="1212" t="e">
        <f t="shared" ca="1" si="210"/>
        <v>#N/A</v>
      </c>
      <c r="BS298" s="1213" t="e">
        <f t="shared" ca="1" si="211"/>
        <v>#N/A</v>
      </c>
      <c r="BT298" s="1587">
        <f t="shared" si="212"/>
        <v>0</v>
      </c>
      <c r="BW298" s="1212" t="e">
        <f t="shared" ca="1" si="213"/>
        <v>#N/A</v>
      </c>
      <c r="BX298" s="1213" t="e">
        <f t="shared" ca="1" si="214"/>
        <v>#N/A</v>
      </c>
      <c r="BY298" s="1587">
        <f t="shared" si="215"/>
        <v>0</v>
      </c>
      <c r="CB298" s="1212" t="e">
        <f t="shared" ca="1" si="216"/>
        <v>#N/A</v>
      </c>
      <c r="CC298" s="1213" t="e">
        <f t="shared" ca="1" si="217"/>
        <v>#N/A</v>
      </c>
      <c r="CD298" s="1587">
        <f t="shared" si="218"/>
        <v>0</v>
      </c>
      <c r="CG298" s="1212" t="e">
        <f t="shared" ca="1" si="219"/>
        <v>#N/A</v>
      </c>
      <c r="CH298" s="1213" t="e">
        <f t="shared" ca="1" si="220"/>
        <v>#N/A</v>
      </c>
      <c r="CI298" s="1587">
        <f t="shared" si="221"/>
        <v>0</v>
      </c>
      <c r="CL298" s="1212" t="e">
        <f t="shared" ca="1" si="222"/>
        <v>#N/A</v>
      </c>
      <c r="CM298" s="1213" t="e">
        <f t="shared" ca="1" si="223"/>
        <v>#N/A</v>
      </c>
      <c r="CN298" s="1587">
        <f t="shared" si="224"/>
        <v>0</v>
      </c>
    </row>
    <row r="299" spans="1:92">
      <c r="A299" s="141">
        <f>'銀行-TSS'!A299</f>
        <v>0</v>
      </c>
      <c r="B299" s="151">
        <f ca="1">VLOOKUP(A299,'銀行-TSS'!A:B,2,FALSE)</f>
        <v>0</v>
      </c>
      <c r="C299" s="151" t="e">
        <f ca="1">VLOOKUP(B299,bond!B:C,2,FALSE)</f>
        <v>#N/A</v>
      </c>
      <c r="D299" s="95" t="e">
        <f>VLOOKUP(A299,'銀行-TSS'!A:C,3,FALSE)</f>
        <v>#N/A</v>
      </c>
      <c r="E299" s="90" t="e">
        <f ca="1">VLOOKUP(A299,'銀行-TSS'!A:G,7,FALSE)</f>
        <v>#N/A</v>
      </c>
      <c r="F299" s="202" t="e">
        <f ca="1">VLOOKUP(A299,'銀行-TSS'!A:H,8,FALSE)</f>
        <v>#N/A</v>
      </c>
      <c r="G299" s="96" t="e">
        <f ca="1">VLOOKUP(A299,'銀行-TSS'!A:K,11,FALSE)</f>
        <v>#N/A</v>
      </c>
      <c r="H299" s="1209" t="e">
        <f ca="1">VLOOKUP(A299,'銀行-TSS'!A:M,13,FALSE)</f>
        <v>#N/A</v>
      </c>
      <c r="I299" s="1213" t="e">
        <f ca="1">VLOOKUP(A299,'銀行-TSS'!A:N,14,FALSE)</f>
        <v>#N/A</v>
      </c>
      <c r="J299" s="1213" t="e">
        <f ca="1">VLOOKUP(A299,'銀行-TSS'!A:O,15,FALSE)</f>
        <v>#N/A</v>
      </c>
      <c r="K299" s="136" t="e">
        <f ca="1">VLOOKUP(A299,'銀行-TSS'!A:V,22,FALSE)</f>
        <v>#N/A</v>
      </c>
      <c r="L299" s="136" t="e">
        <f ca="1">VLOOKUP(A299,'銀行-TSS'!A:AK,37,FALSE)</f>
        <v>#N/A</v>
      </c>
      <c r="M299" s="136" t="str">
        <f ca="1">VLOOKUP(A299,'銀行-TSS'!A:AN,40,FALSE)</f>
        <v/>
      </c>
      <c r="N299" s="136" t="e">
        <f t="shared" ca="1" si="180"/>
        <v>#N/A</v>
      </c>
      <c r="O299" s="1213" t="e">
        <f t="shared" ca="1" si="181"/>
        <v>#N/A</v>
      </c>
      <c r="P299" s="1213" t="e">
        <f ca="1">IF(AND($O$1&gt;=O299,換券單檔!$D$13=D299),I299+INT(($O$1-O299)/N299)*J299,0)</f>
        <v>#N/A</v>
      </c>
      <c r="Q299" s="1213" t="e">
        <f t="shared" ca="1" si="182"/>
        <v>#N/A</v>
      </c>
      <c r="R299" s="1213">
        <f t="shared" si="183"/>
        <v>0</v>
      </c>
      <c r="S299" s="1213">
        <f t="shared" si="184"/>
        <v>0</v>
      </c>
      <c r="T299" s="136">
        <f>IF(OR(R299=0,A299=0),0,IF(AND(V299=TRUE,換券單檔!$D$13=D299),E299,0))</f>
        <v>0</v>
      </c>
      <c r="U299" s="861">
        <f>IF(OR(R299=0,A299=0),0,IF(AND(V299=TRUE,換券單檔!$D$13=D299),H299,0))</f>
        <v>0</v>
      </c>
      <c r="V299" s="136" t="e">
        <f ca="1">IF(OR(B299=換券單檔!$D$3,L299="無",M299&lt;&gt;"",K299="高資產",IFERROR(MATCH(B299,換券單檔!K:K,0),"N")&lt;&gt;"N"),FALSE,IF($V$1="All",TRUE,IF(K299=$V$1,TRUE,FALSE)))</f>
        <v>#N/A</v>
      </c>
      <c r="W299" s="136" t="e">
        <f ca="1">VLOOKUP(A299,'銀行-TSS'!A:AO,41,FALSE)</f>
        <v>#N/A</v>
      </c>
      <c r="X299" s="136" t="e">
        <f ca="1">VLOOKUP(A299,'銀行-TSS'!A:AP,42,FALSE)</f>
        <v>#N/A</v>
      </c>
      <c r="Y299" s="1220">
        <f t="shared" si="185"/>
        <v>0</v>
      </c>
      <c r="Z299" s="1220">
        <f t="shared" si="186"/>
        <v>0</v>
      </c>
      <c r="AA299" s="136">
        <f>IF(Z299&lt;=0,0,RANK(Z299,Z:Z)+COUNTIF($Z$3:$Z299,Z299)-1)</f>
        <v>0</v>
      </c>
      <c r="AB299" s="1211">
        <f t="shared" ca="1" si="187"/>
        <v>-14896.14</v>
      </c>
      <c r="AC299" s="136">
        <f ca="1">IF(AB299&lt;=0,0,RANK(AB299,AB:AB)+COUNTIF($AB$3:$AB299,AB299)-1)</f>
        <v>0</v>
      </c>
      <c r="AD299" s="1123">
        <f t="shared" si="188"/>
        <v>99999</v>
      </c>
      <c r="AE299" s="1123">
        <f>IF(AD299=99999,0,RANK(AD299,AD:AD,1)+COUNTIF($AD$3:$AD299,AD299)-1)</f>
        <v>0</v>
      </c>
      <c r="AF299" s="86" t="e">
        <f ca="1">IF(OR(M299&lt;&gt;"",L299="無",K299="高資產",IFERROR(MATCH(B299,換券單檔!K:K,0),"N")&lt;&gt;"N"),FALSE,TRUE)</f>
        <v>#N/A</v>
      </c>
      <c r="AI299" s="1212" t="e">
        <f t="shared" ca="1" si="189"/>
        <v>#N/A</v>
      </c>
      <c r="AJ299" s="1213" t="e">
        <f t="shared" ca="1" si="190"/>
        <v>#N/A</v>
      </c>
      <c r="AK299" s="1587">
        <f t="shared" si="191"/>
        <v>0</v>
      </c>
      <c r="AN299" s="1212" t="e">
        <f t="shared" ca="1" si="192"/>
        <v>#N/A</v>
      </c>
      <c r="AO299" s="1213" t="e">
        <f t="shared" ca="1" si="193"/>
        <v>#N/A</v>
      </c>
      <c r="AP299" s="1587">
        <f t="shared" si="194"/>
        <v>0</v>
      </c>
      <c r="AS299" s="1212" t="e">
        <f t="shared" ca="1" si="195"/>
        <v>#N/A</v>
      </c>
      <c r="AT299" s="1213" t="e">
        <f t="shared" ca="1" si="196"/>
        <v>#N/A</v>
      </c>
      <c r="AU299" s="1587">
        <f t="shared" si="197"/>
        <v>0</v>
      </c>
      <c r="AX299" s="1212" t="e">
        <f t="shared" ca="1" si="198"/>
        <v>#N/A</v>
      </c>
      <c r="AY299" s="1213" t="e">
        <f t="shared" ca="1" si="199"/>
        <v>#N/A</v>
      </c>
      <c r="AZ299" s="1587">
        <f t="shared" si="200"/>
        <v>0</v>
      </c>
      <c r="BC299" s="1212" t="e">
        <f t="shared" ca="1" si="201"/>
        <v>#N/A</v>
      </c>
      <c r="BD299" s="1213" t="e">
        <f t="shared" ca="1" si="202"/>
        <v>#N/A</v>
      </c>
      <c r="BE299" s="1587">
        <f t="shared" si="203"/>
        <v>0</v>
      </c>
      <c r="BH299" s="1212" t="e">
        <f t="shared" ca="1" si="204"/>
        <v>#N/A</v>
      </c>
      <c r="BI299" s="1213" t="e">
        <f t="shared" ca="1" si="205"/>
        <v>#N/A</v>
      </c>
      <c r="BJ299" s="1587">
        <f t="shared" si="206"/>
        <v>0</v>
      </c>
      <c r="BM299" s="1212" t="e">
        <f t="shared" ca="1" si="207"/>
        <v>#N/A</v>
      </c>
      <c r="BN299" s="1213" t="e">
        <f t="shared" ca="1" si="208"/>
        <v>#N/A</v>
      </c>
      <c r="BO299" s="1587">
        <f t="shared" si="209"/>
        <v>0</v>
      </c>
      <c r="BR299" s="1212" t="e">
        <f t="shared" ca="1" si="210"/>
        <v>#N/A</v>
      </c>
      <c r="BS299" s="1213" t="e">
        <f t="shared" ca="1" si="211"/>
        <v>#N/A</v>
      </c>
      <c r="BT299" s="1587">
        <f t="shared" si="212"/>
        <v>0</v>
      </c>
      <c r="BW299" s="1212" t="e">
        <f t="shared" ca="1" si="213"/>
        <v>#N/A</v>
      </c>
      <c r="BX299" s="1213" t="e">
        <f t="shared" ca="1" si="214"/>
        <v>#N/A</v>
      </c>
      <c r="BY299" s="1587">
        <f t="shared" si="215"/>
        <v>0</v>
      </c>
      <c r="CB299" s="1212" t="e">
        <f t="shared" ca="1" si="216"/>
        <v>#N/A</v>
      </c>
      <c r="CC299" s="1213" t="e">
        <f t="shared" ca="1" si="217"/>
        <v>#N/A</v>
      </c>
      <c r="CD299" s="1587">
        <f t="shared" si="218"/>
        <v>0</v>
      </c>
      <c r="CG299" s="1212" t="e">
        <f t="shared" ca="1" si="219"/>
        <v>#N/A</v>
      </c>
      <c r="CH299" s="1213" t="e">
        <f t="shared" ca="1" si="220"/>
        <v>#N/A</v>
      </c>
      <c r="CI299" s="1587">
        <f t="shared" si="221"/>
        <v>0</v>
      </c>
      <c r="CL299" s="1212" t="e">
        <f t="shared" ca="1" si="222"/>
        <v>#N/A</v>
      </c>
      <c r="CM299" s="1213" t="e">
        <f t="shared" ca="1" si="223"/>
        <v>#N/A</v>
      </c>
      <c r="CN299" s="1587">
        <f t="shared" si="224"/>
        <v>0</v>
      </c>
    </row>
    <row r="300" spans="1:92">
      <c r="A300" s="141">
        <f>'銀行-TSS'!A300</f>
        <v>0</v>
      </c>
      <c r="B300" s="151">
        <f ca="1">VLOOKUP(A300,'銀行-TSS'!A:B,2,FALSE)</f>
        <v>0</v>
      </c>
      <c r="C300" s="151" t="e">
        <f ca="1">VLOOKUP(B300,bond!B:C,2,FALSE)</f>
        <v>#N/A</v>
      </c>
      <c r="D300" s="95" t="e">
        <f>VLOOKUP(A300,'銀行-TSS'!A:C,3,FALSE)</f>
        <v>#N/A</v>
      </c>
      <c r="E300" s="90" t="e">
        <f ca="1">VLOOKUP(A300,'銀行-TSS'!A:G,7,FALSE)</f>
        <v>#N/A</v>
      </c>
      <c r="F300" s="202" t="e">
        <f ca="1">VLOOKUP(A300,'銀行-TSS'!A:H,8,FALSE)</f>
        <v>#N/A</v>
      </c>
      <c r="G300" s="96" t="e">
        <f ca="1">VLOOKUP(A300,'銀行-TSS'!A:K,11,FALSE)</f>
        <v>#N/A</v>
      </c>
      <c r="H300" s="1209" t="e">
        <f ca="1">VLOOKUP(A300,'銀行-TSS'!A:M,13,FALSE)</f>
        <v>#N/A</v>
      </c>
      <c r="I300" s="1213" t="e">
        <f ca="1">VLOOKUP(A300,'銀行-TSS'!A:N,14,FALSE)</f>
        <v>#N/A</v>
      </c>
      <c r="J300" s="1213" t="e">
        <f ca="1">VLOOKUP(A300,'銀行-TSS'!A:O,15,FALSE)</f>
        <v>#N/A</v>
      </c>
      <c r="K300" s="136" t="e">
        <f ca="1">VLOOKUP(A300,'銀行-TSS'!A:V,22,FALSE)</f>
        <v>#N/A</v>
      </c>
      <c r="L300" s="136" t="e">
        <f ca="1">VLOOKUP(A300,'銀行-TSS'!A:AK,37,FALSE)</f>
        <v>#N/A</v>
      </c>
      <c r="M300" s="136" t="str">
        <f ca="1">VLOOKUP(A300,'銀行-TSS'!A:AN,40,FALSE)</f>
        <v/>
      </c>
      <c r="N300" s="136" t="e">
        <f t="shared" ca="1" si="180"/>
        <v>#N/A</v>
      </c>
      <c r="O300" s="1213" t="e">
        <f t="shared" ca="1" si="181"/>
        <v>#N/A</v>
      </c>
      <c r="P300" s="1213" t="e">
        <f ca="1">IF(AND($O$1&gt;=O300,換券單檔!$D$13=D300),I300+INT(($O$1-O300)/N300)*J300,0)</f>
        <v>#N/A</v>
      </c>
      <c r="Q300" s="1213" t="e">
        <f t="shared" ca="1" si="182"/>
        <v>#N/A</v>
      </c>
      <c r="R300" s="1213">
        <f t="shared" si="183"/>
        <v>0</v>
      </c>
      <c r="S300" s="1213">
        <f t="shared" si="184"/>
        <v>0</v>
      </c>
      <c r="T300" s="136">
        <f>IF(OR(R300=0,A300=0),0,IF(AND(V300=TRUE,換券單檔!$D$13=D300),E300,0))</f>
        <v>0</v>
      </c>
      <c r="U300" s="861">
        <f>IF(OR(R300=0,A300=0),0,IF(AND(V300=TRUE,換券單檔!$D$13=D300),H300,0))</f>
        <v>0</v>
      </c>
      <c r="V300" s="136" t="e">
        <f ca="1">IF(OR(B300=換券單檔!$D$3,L300="無",M300&lt;&gt;"",K300="高資產",IFERROR(MATCH(B300,換券單檔!K:K,0),"N")&lt;&gt;"N"),FALSE,IF($V$1="All",TRUE,IF(K300=$V$1,TRUE,FALSE)))</f>
        <v>#N/A</v>
      </c>
      <c r="W300" s="136" t="e">
        <f ca="1">VLOOKUP(A300,'銀行-TSS'!A:AO,41,FALSE)</f>
        <v>#N/A</v>
      </c>
      <c r="X300" s="136" t="e">
        <f ca="1">VLOOKUP(A300,'銀行-TSS'!A:AP,42,FALSE)</f>
        <v>#N/A</v>
      </c>
      <c r="Y300" s="1220">
        <f t="shared" si="185"/>
        <v>0</v>
      </c>
      <c r="Z300" s="1220">
        <f t="shared" si="186"/>
        <v>0</v>
      </c>
      <c r="AA300" s="136">
        <f>IF(Z300&lt;=0,0,RANK(Z300,Z:Z)+COUNTIF($Z$3:$Z300,Z300)-1)</f>
        <v>0</v>
      </c>
      <c r="AB300" s="1211">
        <f t="shared" ca="1" si="187"/>
        <v>-14896.14</v>
      </c>
      <c r="AC300" s="136">
        <f ca="1">IF(AB300&lt;=0,0,RANK(AB300,AB:AB)+COUNTIF($AB$3:$AB300,AB300)-1)</f>
        <v>0</v>
      </c>
      <c r="AD300" s="1123">
        <f t="shared" si="188"/>
        <v>99999</v>
      </c>
      <c r="AE300" s="1123">
        <f>IF(AD300=99999,0,RANK(AD300,AD:AD,1)+COUNTIF($AD$3:$AD300,AD300)-1)</f>
        <v>0</v>
      </c>
      <c r="AF300" s="86" t="e">
        <f ca="1">IF(OR(M300&lt;&gt;"",L300="無",K300="高資產",IFERROR(MATCH(B300,換券單檔!K:K,0),"N")&lt;&gt;"N"),FALSE,TRUE)</f>
        <v>#N/A</v>
      </c>
      <c r="AI300" s="1212" t="e">
        <f t="shared" ca="1" si="189"/>
        <v>#N/A</v>
      </c>
      <c r="AJ300" s="1213" t="e">
        <f t="shared" ca="1" si="190"/>
        <v>#N/A</v>
      </c>
      <c r="AK300" s="1587">
        <f t="shared" si="191"/>
        <v>0</v>
      </c>
      <c r="AN300" s="1212" t="e">
        <f t="shared" ca="1" si="192"/>
        <v>#N/A</v>
      </c>
      <c r="AO300" s="1213" t="e">
        <f t="shared" ca="1" si="193"/>
        <v>#N/A</v>
      </c>
      <c r="AP300" s="1587">
        <f t="shared" si="194"/>
        <v>0</v>
      </c>
      <c r="AS300" s="1212" t="e">
        <f t="shared" ca="1" si="195"/>
        <v>#N/A</v>
      </c>
      <c r="AT300" s="1213" t="e">
        <f t="shared" ca="1" si="196"/>
        <v>#N/A</v>
      </c>
      <c r="AU300" s="1587">
        <f t="shared" si="197"/>
        <v>0</v>
      </c>
      <c r="AX300" s="1212" t="e">
        <f t="shared" ca="1" si="198"/>
        <v>#N/A</v>
      </c>
      <c r="AY300" s="1213" t="e">
        <f t="shared" ca="1" si="199"/>
        <v>#N/A</v>
      </c>
      <c r="AZ300" s="1587">
        <f t="shared" si="200"/>
        <v>0</v>
      </c>
      <c r="BC300" s="1212" t="e">
        <f t="shared" ca="1" si="201"/>
        <v>#N/A</v>
      </c>
      <c r="BD300" s="1213" t="e">
        <f t="shared" ca="1" si="202"/>
        <v>#N/A</v>
      </c>
      <c r="BE300" s="1587">
        <f t="shared" si="203"/>
        <v>0</v>
      </c>
      <c r="BH300" s="1212" t="e">
        <f t="shared" ca="1" si="204"/>
        <v>#N/A</v>
      </c>
      <c r="BI300" s="1213" t="e">
        <f t="shared" ca="1" si="205"/>
        <v>#N/A</v>
      </c>
      <c r="BJ300" s="1587">
        <f t="shared" si="206"/>
        <v>0</v>
      </c>
      <c r="BM300" s="1212" t="e">
        <f t="shared" ca="1" si="207"/>
        <v>#N/A</v>
      </c>
      <c r="BN300" s="1213" t="e">
        <f t="shared" ca="1" si="208"/>
        <v>#N/A</v>
      </c>
      <c r="BO300" s="1587">
        <f t="shared" si="209"/>
        <v>0</v>
      </c>
      <c r="BR300" s="1212" t="e">
        <f t="shared" ca="1" si="210"/>
        <v>#N/A</v>
      </c>
      <c r="BS300" s="1213" t="e">
        <f t="shared" ca="1" si="211"/>
        <v>#N/A</v>
      </c>
      <c r="BT300" s="1587">
        <f t="shared" si="212"/>
        <v>0</v>
      </c>
      <c r="BW300" s="1212" t="e">
        <f t="shared" ca="1" si="213"/>
        <v>#N/A</v>
      </c>
      <c r="BX300" s="1213" t="e">
        <f t="shared" ca="1" si="214"/>
        <v>#N/A</v>
      </c>
      <c r="BY300" s="1587">
        <f t="shared" si="215"/>
        <v>0</v>
      </c>
      <c r="CB300" s="1212" t="e">
        <f t="shared" ca="1" si="216"/>
        <v>#N/A</v>
      </c>
      <c r="CC300" s="1213" t="e">
        <f t="shared" ca="1" si="217"/>
        <v>#N/A</v>
      </c>
      <c r="CD300" s="1587">
        <f t="shared" si="218"/>
        <v>0</v>
      </c>
      <c r="CG300" s="1212" t="e">
        <f t="shared" ca="1" si="219"/>
        <v>#N/A</v>
      </c>
      <c r="CH300" s="1213" t="e">
        <f t="shared" ca="1" si="220"/>
        <v>#N/A</v>
      </c>
      <c r="CI300" s="1587">
        <f t="shared" si="221"/>
        <v>0</v>
      </c>
      <c r="CL300" s="1212" t="e">
        <f t="shared" ca="1" si="222"/>
        <v>#N/A</v>
      </c>
      <c r="CM300" s="1213" t="e">
        <f t="shared" ca="1" si="223"/>
        <v>#N/A</v>
      </c>
      <c r="CN300" s="1587">
        <f t="shared" si="224"/>
        <v>0</v>
      </c>
    </row>
    <row r="301" spans="1:92">
      <c r="A301" s="141">
        <f>'銀行-TSS'!A301</f>
        <v>0</v>
      </c>
      <c r="B301" s="151">
        <f ca="1">VLOOKUP(A301,'銀行-TSS'!A:B,2,FALSE)</f>
        <v>0</v>
      </c>
      <c r="C301" s="151" t="e">
        <f ca="1">VLOOKUP(B301,bond!B:C,2,FALSE)</f>
        <v>#N/A</v>
      </c>
      <c r="D301" s="95" t="e">
        <f>VLOOKUP(A301,'銀行-TSS'!A:C,3,FALSE)</f>
        <v>#N/A</v>
      </c>
      <c r="E301" s="90" t="e">
        <f ca="1">VLOOKUP(A301,'銀行-TSS'!A:G,7,FALSE)</f>
        <v>#N/A</v>
      </c>
      <c r="F301" s="202" t="e">
        <f ca="1">VLOOKUP(A301,'銀行-TSS'!A:H,8,FALSE)</f>
        <v>#N/A</v>
      </c>
      <c r="G301" s="96" t="e">
        <f ca="1">VLOOKUP(A301,'銀行-TSS'!A:K,11,FALSE)</f>
        <v>#N/A</v>
      </c>
      <c r="H301" s="1209" t="e">
        <f ca="1">VLOOKUP(A301,'銀行-TSS'!A:M,13,FALSE)</f>
        <v>#N/A</v>
      </c>
      <c r="I301" s="1213" t="e">
        <f ca="1">VLOOKUP(A301,'銀行-TSS'!A:N,14,FALSE)</f>
        <v>#N/A</v>
      </c>
      <c r="J301" s="1213" t="e">
        <f ca="1">VLOOKUP(A301,'銀行-TSS'!A:O,15,FALSE)</f>
        <v>#N/A</v>
      </c>
      <c r="K301" s="136" t="e">
        <f ca="1">VLOOKUP(A301,'銀行-TSS'!A:V,22,FALSE)</f>
        <v>#N/A</v>
      </c>
      <c r="L301" s="136" t="e">
        <f ca="1">VLOOKUP(A301,'銀行-TSS'!A:AK,37,FALSE)</f>
        <v>#N/A</v>
      </c>
      <c r="M301" s="136" t="str">
        <f ca="1">VLOOKUP(A301,'銀行-TSS'!A:AN,40,FALSE)</f>
        <v/>
      </c>
      <c r="N301" s="136" t="e">
        <f t="shared" ca="1" si="180"/>
        <v>#N/A</v>
      </c>
      <c r="O301" s="1213" t="e">
        <f t="shared" ca="1" si="181"/>
        <v>#N/A</v>
      </c>
      <c r="P301" s="1213" t="e">
        <f ca="1">IF(AND($O$1&gt;=O301,換券單檔!$D$13=D301),I301+INT(($O$1-O301)/N301)*J301,0)</f>
        <v>#N/A</v>
      </c>
      <c r="Q301" s="1213" t="e">
        <f t="shared" ca="1" si="182"/>
        <v>#N/A</v>
      </c>
      <c r="R301" s="1213">
        <f t="shared" si="183"/>
        <v>0</v>
      </c>
      <c r="S301" s="1213">
        <f t="shared" si="184"/>
        <v>0</v>
      </c>
      <c r="T301" s="136">
        <f>IF(OR(R301=0,A301=0),0,IF(AND(V301=TRUE,換券單檔!$D$13=D301),E301,0))</f>
        <v>0</v>
      </c>
      <c r="U301" s="861">
        <f>IF(OR(R301=0,A301=0),0,IF(AND(V301=TRUE,換券單檔!$D$13=D301),H301,0))</f>
        <v>0</v>
      </c>
      <c r="V301" s="136" t="e">
        <f ca="1">IF(OR(B301=換券單檔!$D$3,L301="無",M301&lt;&gt;"",K301="高資產",IFERROR(MATCH(B301,換券單檔!K:K,0),"N")&lt;&gt;"N"),FALSE,IF($V$1="All",TRUE,IF(K301=$V$1,TRUE,FALSE)))</f>
        <v>#N/A</v>
      </c>
      <c r="W301" s="136" t="e">
        <f ca="1">VLOOKUP(A301,'銀行-TSS'!A:AO,41,FALSE)</f>
        <v>#N/A</v>
      </c>
      <c r="X301" s="136" t="e">
        <f ca="1">VLOOKUP(A301,'銀行-TSS'!A:AP,42,FALSE)</f>
        <v>#N/A</v>
      </c>
      <c r="Y301" s="1220">
        <f t="shared" si="185"/>
        <v>0</v>
      </c>
      <c r="Z301" s="1220">
        <f t="shared" si="186"/>
        <v>0</v>
      </c>
      <c r="AA301" s="136">
        <f>IF(Z301&lt;=0,0,RANK(Z301,Z:Z)+COUNTIF($Z$3:$Z301,Z301)-1)</f>
        <v>0</v>
      </c>
      <c r="AB301" s="1211">
        <f t="shared" ca="1" si="187"/>
        <v>-14896.14</v>
      </c>
      <c r="AC301" s="136">
        <f ca="1">IF(AB301&lt;=0,0,RANK(AB301,AB:AB)+COUNTIF($AB$3:$AB301,AB301)-1)</f>
        <v>0</v>
      </c>
      <c r="AD301" s="1123">
        <f t="shared" si="188"/>
        <v>99999</v>
      </c>
      <c r="AE301" s="1123">
        <f>IF(AD301=99999,0,RANK(AD301,AD:AD,1)+COUNTIF($AD$3:$AD301,AD301)-1)</f>
        <v>0</v>
      </c>
      <c r="AF301" s="86" t="e">
        <f ca="1">IF(OR(M301&lt;&gt;"",L301="無",K301="高資產",IFERROR(MATCH(B301,換券單檔!K:K,0),"N")&lt;&gt;"N"),FALSE,TRUE)</f>
        <v>#N/A</v>
      </c>
      <c r="AI301" s="1212" t="e">
        <f t="shared" ca="1" si="189"/>
        <v>#N/A</v>
      </c>
      <c r="AJ301" s="1213" t="e">
        <f t="shared" ca="1" si="190"/>
        <v>#N/A</v>
      </c>
      <c r="AK301" s="1587">
        <f t="shared" si="191"/>
        <v>0</v>
      </c>
      <c r="AN301" s="1212" t="e">
        <f t="shared" ca="1" si="192"/>
        <v>#N/A</v>
      </c>
      <c r="AO301" s="1213" t="e">
        <f t="shared" ca="1" si="193"/>
        <v>#N/A</v>
      </c>
      <c r="AP301" s="1587">
        <f t="shared" si="194"/>
        <v>0</v>
      </c>
      <c r="AS301" s="1212" t="e">
        <f t="shared" ca="1" si="195"/>
        <v>#N/A</v>
      </c>
      <c r="AT301" s="1213" t="e">
        <f t="shared" ca="1" si="196"/>
        <v>#N/A</v>
      </c>
      <c r="AU301" s="1587">
        <f t="shared" si="197"/>
        <v>0</v>
      </c>
      <c r="AX301" s="1212" t="e">
        <f t="shared" ca="1" si="198"/>
        <v>#N/A</v>
      </c>
      <c r="AY301" s="1213" t="e">
        <f t="shared" ca="1" si="199"/>
        <v>#N/A</v>
      </c>
      <c r="AZ301" s="1587">
        <f t="shared" si="200"/>
        <v>0</v>
      </c>
      <c r="BC301" s="1212" t="e">
        <f t="shared" ca="1" si="201"/>
        <v>#N/A</v>
      </c>
      <c r="BD301" s="1213" t="e">
        <f t="shared" ca="1" si="202"/>
        <v>#N/A</v>
      </c>
      <c r="BE301" s="1587">
        <f t="shared" si="203"/>
        <v>0</v>
      </c>
      <c r="BH301" s="1212" t="e">
        <f t="shared" ca="1" si="204"/>
        <v>#N/A</v>
      </c>
      <c r="BI301" s="1213" t="e">
        <f t="shared" ca="1" si="205"/>
        <v>#N/A</v>
      </c>
      <c r="BJ301" s="1587">
        <f t="shared" si="206"/>
        <v>0</v>
      </c>
      <c r="BM301" s="1212" t="e">
        <f t="shared" ca="1" si="207"/>
        <v>#N/A</v>
      </c>
      <c r="BN301" s="1213" t="e">
        <f t="shared" ca="1" si="208"/>
        <v>#N/A</v>
      </c>
      <c r="BO301" s="1587">
        <f t="shared" si="209"/>
        <v>0</v>
      </c>
      <c r="BR301" s="1212" t="e">
        <f t="shared" ca="1" si="210"/>
        <v>#N/A</v>
      </c>
      <c r="BS301" s="1213" t="e">
        <f t="shared" ca="1" si="211"/>
        <v>#N/A</v>
      </c>
      <c r="BT301" s="1587">
        <f t="shared" si="212"/>
        <v>0</v>
      </c>
      <c r="BW301" s="1212" t="e">
        <f t="shared" ca="1" si="213"/>
        <v>#N/A</v>
      </c>
      <c r="BX301" s="1213" t="e">
        <f t="shared" ca="1" si="214"/>
        <v>#N/A</v>
      </c>
      <c r="BY301" s="1587">
        <f t="shared" si="215"/>
        <v>0</v>
      </c>
      <c r="CB301" s="1212" t="e">
        <f t="shared" ca="1" si="216"/>
        <v>#N/A</v>
      </c>
      <c r="CC301" s="1213" t="e">
        <f t="shared" ca="1" si="217"/>
        <v>#N/A</v>
      </c>
      <c r="CD301" s="1587">
        <f t="shared" si="218"/>
        <v>0</v>
      </c>
      <c r="CG301" s="1212" t="e">
        <f t="shared" ca="1" si="219"/>
        <v>#N/A</v>
      </c>
      <c r="CH301" s="1213" t="e">
        <f t="shared" ca="1" si="220"/>
        <v>#N/A</v>
      </c>
      <c r="CI301" s="1587">
        <f t="shared" si="221"/>
        <v>0</v>
      </c>
      <c r="CL301" s="1212" t="e">
        <f t="shared" ca="1" si="222"/>
        <v>#N/A</v>
      </c>
      <c r="CM301" s="1213" t="e">
        <f t="shared" ca="1" si="223"/>
        <v>#N/A</v>
      </c>
      <c r="CN301" s="1587">
        <f t="shared" si="224"/>
        <v>0</v>
      </c>
    </row>
    <row r="302" spans="1:92">
      <c r="A302" s="141">
        <f>'銀行-TSS'!A302</f>
        <v>0</v>
      </c>
      <c r="B302" s="151">
        <f ca="1">VLOOKUP(A302,'銀行-TSS'!A:B,2,FALSE)</f>
        <v>0</v>
      </c>
      <c r="C302" s="151" t="e">
        <f ca="1">VLOOKUP(B302,bond!B:C,2,FALSE)</f>
        <v>#N/A</v>
      </c>
      <c r="D302" s="95" t="e">
        <f>VLOOKUP(A302,'銀行-TSS'!A:C,3,FALSE)</f>
        <v>#N/A</v>
      </c>
      <c r="E302" s="90" t="e">
        <f ca="1">VLOOKUP(A302,'銀行-TSS'!A:G,7,FALSE)</f>
        <v>#N/A</v>
      </c>
      <c r="F302" s="202" t="e">
        <f ca="1">VLOOKUP(A302,'銀行-TSS'!A:H,8,FALSE)</f>
        <v>#N/A</v>
      </c>
      <c r="G302" s="96" t="e">
        <f ca="1">VLOOKUP(A302,'銀行-TSS'!A:K,11,FALSE)</f>
        <v>#N/A</v>
      </c>
      <c r="H302" s="1209" t="e">
        <f ca="1">VLOOKUP(A302,'銀行-TSS'!A:M,13,FALSE)</f>
        <v>#N/A</v>
      </c>
      <c r="I302" s="1213" t="e">
        <f ca="1">VLOOKUP(A302,'銀行-TSS'!A:N,14,FALSE)</f>
        <v>#N/A</v>
      </c>
      <c r="J302" s="1213" t="e">
        <f ca="1">VLOOKUP(A302,'銀行-TSS'!A:O,15,FALSE)</f>
        <v>#N/A</v>
      </c>
      <c r="K302" s="136" t="e">
        <f ca="1">VLOOKUP(A302,'銀行-TSS'!A:V,22,FALSE)</f>
        <v>#N/A</v>
      </c>
      <c r="L302" s="136" t="e">
        <f ca="1">VLOOKUP(A302,'銀行-TSS'!A:AK,37,FALSE)</f>
        <v>#N/A</v>
      </c>
      <c r="M302" s="136" t="str">
        <f ca="1">VLOOKUP(A302,'銀行-TSS'!A:AN,40,FALSE)</f>
        <v/>
      </c>
      <c r="N302" s="136" t="e">
        <f t="shared" ca="1" si="180"/>
        <v>#N/A</v>
      </c>
      <c r="O302" s="1213" t="e">
        <f t="shared" ca="1" si="181"/>
        <v>#N/A</v>
      </c>
      <c r="P302" s="1213" t="e">
        <f ca="1">IF(AND($O$1&gt;=O302,換券單檔!$D$13=D302),I302+INT(($O$1-O302)/N302)*J302,0)</f>
        <v>#N/A</v>
      </c>
      <c r="Q302" s="1213" t="e">
        <f t="shared" ca="1" si="182"/>
        <v>#N/A</v>
      </c>
      <c r="R302" s="1213">
        <f t="shared" si="183"/>
        <v>0</v>
      </c>
      <c r="S302" s="1213">
        <f t="shared" si="184"/>
        <v>0</v>
      </c>
      <c r="T302" s="136">
        <f>IF(OR(R302=0,A302=0),0,IF(AND(V302=TRUE,換券單檔!$D$13=D302),E302,0))</f>
        <v>0</v>
      </c>
      <c r="U302" s="861">
        <f>IF(OR(R302=0,A302=0),0,IF(AND(V302=TRUE,換券單檔!$D$13=D302),H302,0))</f>
        <v>0</v>
      </c>
      <c r="V302" s="136" t="e">
        <f ca="1">IF(OR(B302=換券單檔!$D$3,L302="無",M302&lt;&gt;"",K302="高資產",IFERROR(MATCH(B302,換券單檔!K:K,0),"N")&lt;&gt;"N"),FALSE,IF($V$1="All",TRUE,IF(K302=$V$1,TRUE,FALSE)))</f>
        <v>#N/A</v>
      </c>
      <c r="W302" s="136" t="e">
        <f ca="1">VLOOKUP(A302,'銀行-TSS'!A:AO,41,FALSE)</f>
        <v>#N/A</v>
      </c>
      <c r="X302" s="136" t="e">
        <f ca="1">VLOOKUP(A302,'銀行-TSS'!A:AP,42,FALSE)</f>
        <v>#N/A</v>
      </c>
      <c r="Y302" s="1220">
        <f t="shared" si="185"/>
        <v>0</v>
      </c>
      <c r="Z302" s="1220">
        <f t="shared" si="186"/>
        <v>0</v>
      </c>
      <c r="AA302" s="136">
        <f>IF(Z302&lt;=0,0,RANK(Z302,Z:Z)+COUNTIF($Z$3:$Z302,Z302)-1)</f>
        <v>0</v>
      </c>
      <c r="AB302" s="1211">
        <f t="shared" ca="1" si="187"/>
        <v>-14896.14</v>
      </c>
      <c r="AC302" s="136">
        <f ca="1">IF(AB302&lt;=0,0,RANK(AB302,AB:AB)+COUNTIF($AB$3:$AB302,AB302)-1)</f>
        <v>0</v>
      </c>
      <c r="AD302" s="1123">
        <f t="shared" si="188"/>
        <v>99999</v>
      </c>
      <c r="AE302" s="1123">
        <f>IF(AD302=99999,0,RANK(AD302,AD:AD,1)+COUNTIF($AD$3:$AD302,AD302)-1)</f>
        <v>0</v>
      </c>
      <c r="AF302" s="86" t="e">
        <f ca="1">IF(OR(M302&lt;&gt;"",L302="無",K302="高資產",IFERROR(MATCH(B302,換券單檔!K:K,0),"N")&lt;&gt;"N"),FALSE,TRUE)</f>
        <v>#N/A</v>
      </c>
      <c r="AI302" s="1212" t="e">
        <f t="shared" ca="1" si="189"/>
        <v>#N/A</v>
      </c>
      <c r="AJ302" s="1213" t="e">
        <f t="shared" ca="1" si="190"/>
        <v>#N/A</v>
      </c>
      <c r="AK302" s="1587">
        <f t="shared" si="191"/>
        <v>0</v>
      </c>
      <c r="AN302" s="1212" t="e">
        <f t="shared" ca="1" si="192"/>
        <v>#N/A</v>
      </c>
      <c r="AO302" s="1213" t="e">
        <f t="shared" ca="1" si="193"/>
        <v>#N/A</v>
      </c>
      <c r="AP302" s="1587">
        <f t="shared" si="194"/>
        <v>0</v>
      </c>
      <c r="AS302" s="1212" t="e">
        <f t="shared" ca="1" si="195"/>
        <v>#N/A</v>
      </c>
      <c r="AT302" s="1213" t="e">
        <f t="shared" ca="1" si="196"/>
        <v>#N/A</v>
      </c>
      <c r="AU302" s="1587">
        <f t="shared" si="197"/>
        <v>0</v>
      </c>
      <c r="AX302" s="1212" t="e">
        <f t="shared" ca="1" si="198"/>
        <v>#N/A</v>
      </c>
      <c r="AY302" s="1213" t="e">
        <f t="shared" ca="1" si="199"/>
        <v>#N/A</v>
      </c>
      <c r="AZ302" s="1587">
        <f t="shared" si="200"/>
        <v>0</v>
      </c>
      <c r="BC302" s="1212" t="e">
        <f t="shared" ca="1" si="201"/>
        <v>#N/A</v>
      </c>
      <c r="BD302" s="1213" t="e">
        <f t="shared" ca="1" si="202"/>
        <v>#N/A</v>
      </c>
      <c r="BE302" s="1587">
        <f t="shared" si="203"/>
        <v>0</v>
      </c>
      <c r="BH302" s="1212" t="e">
        <f t="shared" ca="1" si="204"/>
        <v>#N/A</v>
      </c>
      <c r="BI302" s="1213" t="e">
        <f t="shared" ca="1" si="205"/>
        <v>#N/A</v>
      </c>
      <c r="BJ302" s="1587">
        <f t="shared" si="206"/>
        <v>0</v>
      </c>
      <c r="BM302" s="1212" t="e">
        <f t="shared" ca="1" si="207"/>
        <v>#N/A</v>
      </c>
      <c r="BN302" s="1213" t="e">
        <f t="shared" ca="1" si="208"/>
        <v>#N/A</v>
      </c>
      <c r="BO302" s="1587">
        <f t="shared" si="209"/>
        <v>0</v>
      </c>
      <c r="BR302" s="1212" t="e">
        <f t="shared" ca="1" si="210"/>
        <v>#N/A</v>
      </c>
      <c r="BS302" s="1213" t="e">
        <f t="shared" ca="1" si="211"/>
        <v>#N/A</v>
      </c>
      <c r="BT302" s="1587">
        <f t="shared" si="212"/>
        <v>0</v>
      </c>
      <c r="BW302" s="1212" t="e">
        <f t="shared" ca="1" si="213"/>
        <v>#N/A</v>
      </c>
      <c r="BX302" s="1213" t="e">
        <f t="shared" ca="1" si="214"/>
        <v>#N/A</v>
      </c>
      <c r="BY302" s="1587">
        <f t="shared" si="215"/>
        <v>0</v>
      </c>
      <c r="CB302" s="1212" t="e">
        <f t="shared" ca="1" si="216"/>
        <v>#N/A</v>
      </c>
      <c r="CC302" s="1213" t="e">
        <f t="shared" ca="1" si="217"/>
        <v>#N/A</v>
      </c>
      <c r="CD302" s="1587">
        <f t="shared" si="218"/>
        <v>0</v>
      </c>
      <c r="CG302" s="1212" t="e">
        <f t="shared" ca="1" si="219"/>
        <v>#N/A</v>
      </c>
      <c r="CH302" s="1213" t="e">
        <f t="shared" ca="1" si="220"/>
        <v>#N/A</v>
      </c>
      <c r="CI302" s="1587">
        <f t="shared" si="221"/>
        <v>0</v>
      </c>
      <c r="CL302" s="1212" t="e">
        <f t="shared" ca="1" si="222"/>
        <v>#N/A</v>
      </c>
      <c r="CM302" s="1213" t="e">
        <f t="shared" ca="1" si="223"/>
        <v>#N/A</v>
      </c>
      <c r="CN302" s="1587">
        <f t="shared" si="224"/>
        <v>0</v>
      </c>
    </row>
    <row r="303" spans="1:92">
      <c r="A303" s="141">
        <f>'銀行-TSS'!A303</f>
        <v>0</v>
      </c>
      <c r="B303" s="151">
        <f ca="1">VLOOKUP(A303,'銀行-TSS'!A:B,2,FALSE)</f>
        <v>0</v>
      </c>
      <c r="C303" s="151" t="e">
        <f ca="1">VLOOKUP(B303,bond!B:C,2,FALSE)</f>
        <v>#N/A</v>
      </c>
      <c r="D303" s="95" t="e">
        <f>VLOOKUP(A303,'銀行-TSS'!A:C,3,FALSE)</f>
        <v>#N/A</v>
      </c>
      <c r="E303" s="90" t="e">
        <f ca="1">VLOOKUP(A303,'銀行-TSS'!A:G,7,FALSE)</f>
        <v>#N/A</v>
      </c>
      <c r="F303" s="202" t="e">
        <f ca="1">VLOOKUP(A303,'銀行-TSS'!A:H,8,FALSE)</f>
        <v>#N/A</v>
      </c>
      <c r="G303" s="96" t="e">
        <f ca="1">VLOOKUP(A303,'銀行-TSS'!A:K,11,FALSE)</f>
        <v>#N/A</v>
      </c>
      <c r="H303" s="1209" t="e">
        <f ca="1">VLOOKUP(A303,'銀行-TSS'!A:M,13,FALSE)</f>
        <v>#N/A</v>
      </c>
      <c r="I303" s="1213" t="e">
        <f ca="1">VLOOKUP(A303,'銀行-TSS'!A:N,14,FALSE)</f>
        <v>#N/A</v>
      </c>
      <c r="J303" s="1213" t="e">
        <f ca="1">VLOOKUP(A303,'銀行-TSS'!A:O,15,FALSE)</f>
        <v>#N/A</v>
      </c>
      <c r="K303" s="136" t="e">
        <f ca="1">VLOOKUP(A303,'銀行-TSS'!A:V,22,FALSE)</f>
        <v>#N/A</v>
      </c>
      <c r="L303" s="136" t="e">
        <f ca="1">VLOOKUP(A303,'銀行-TSS'!A:AK,37,FALSE)</f>
        <v>#N/A</v>
      </c>
      <c r="M303" s="136" t="str">
        <f ca="1">VLOOKUP(A303,'銀行-TSS'!A:AN,40,FALSE)</f>
        <v/>
      </c>
      <c r="N303" s="136" t="e">
        <f t="shared" ca="1" si="180"/>
        <v>#N/A</v>
      </c>
      <c r="O303" s="1213" t="e">
        <f t="shared" ca="1" si="181"/>
        <v>#N/A</v>
      </c>
      <c r="P303" s="1213" t="e">
        <f ca="1">IF(AND($O$1&gt;=O303,換券單檔!$D$13=D303),I303+INT(($O$1-O303)/N303)*J303,0)</f>
        <v>#N/A</v>
      </c>
      <c r="Q303" s="1213" t="e">
        <f t="shared" ca="1" si="182"/>
        <v>#N/A</v>
      </c>
      <c r="R303" s="1213">
        <f t="shared" si="183"/>
        <v>0</v>
      </c>
      <c r="S303" s="1213">
        <f t="shared" si="184"/>
        <v>0</v>
      </c>
      <c r="T303" s="136">
        <f>IF(OR(R303=0,A303=0),0,IF(AND(V303=TRUE,換券單檔!$D$13=D303),E303,0))</f>
        <v>0</v>
      </c>
      <c r="U303" s="861">
        <f>IF(OR(R303=0,A303=0),0,IF(AND(V303=TRUE,換券單檔!$D$13=D303),H303,0))</f>
        <v>0</v>
      </c>
      <c r="V303" s="136" t="e">
        <f ca="1">IF(OR(B303=換券單檔!$D$3,L303="無",M303&lt;&gt;"",K303="高資產",IFERROR(MATCH(B303,換券單檔!K:K,0),"N")&lt;&gt;"N"),FALSE,IF($V$1="All",TRUE,IF(K303=$V$1,TRUE,FALSE)))</f>
        <v>#N/A</v>
      </c>
      <c r="W303" s="136" t="e">
        <f ca="1">VLOOKUP(A303,'銀行-TSS'!A:AO,41,FALSE)</f>
        <v>#N/A</v>
      </c>
      <c r="X303" s="136" t="e">
        <f ca="1">VLOOKUP(A303,'銀行-TSS'!A:AP,42,FALSE)</f>
        <v>#N/A</v>
      </c>
      <c r="Y303" s="1220">
        <f t="shared" si="185"/>
        <v>0</v>
      </c>
      <c r="Z303" s="1220">
        <f t="shared" si="186"/>
        <v>0</v>
      </c>
      <c r="AA303" s="136">
        <f>IF(Z303&lt;=0,0,RANK(Z303,Z:Z)+COUNTIF($Z$3:$Z303,Z303)-1)</f>
        <v>0</v>
      </c>
      <c r="AB303" s="1211">
        <f t="shared" ca="1" si="187"/>
        <v>-14896.14</v>
      </c>
      <c r="AC303" s="136">
        <f ca="1">IF(AB303&lt;=0,0,RANK(AB303,AB:AB)+COUNTIF($AB$3:$AB303,AB303)-1)</f>
        <v>0</v>
      </c>
      <c r="AD303" s="1123">
        <f t="shared" si="188"/>
        <v>99999</v>
      </c>
      <c r="AE303" s="1123">
        <f>IF(AD303=99999,0,RANK(AD303,AD:AD,1)+COUNTIF($AD$3:$AD303,AD303)-1)</f>
        <v>0</v>
      </c>
      <c r="AF303" s="86" t="e">
        <f ca="1">IF(OR(M303&lt;&gt;"",L303="無",K303="高資產",IFERROR(MATCH(B303,換券單檔!K:K,0),"N")&lt;&gt;"N"),FALSE,TRUE)</f>
        <v>#N/A</v>
      </c>
      <c r="AI303" s="1212" t="e">
        <f t="shared" ca="1" si="189"/>
        <v>#N/A</v>
      </c>
      <c r="AJ303" s="1213" t="e">
        <f t="shared" ca="1" si="190"/>
        <v>#N/A</v>
      </c>
      <c r="AK303" s="1587">
        <f t="shared" si="191"/>
        <v>0</v>
      </c>
      <c r="AN303" s="1212" t="e">
        <f t="shared" ca="1" si="192"/>
        <v>#N/A</v>
      </c>
      <c r="AO303" s="1213" t="e">
        <f t="shared" ca="1" si="193"/>
        <v>#N/A</v>
      </c>
      <c r="AP303" s="1587">
        <f t="shared" si="194"/>
        <v>0</v>
      </c>
      <c r="AS303" s="1212" t="e">
        <f t="shared" ca="1" si="195"/>
        <v>#N/A</v>
      </c>
      <c r="AT303" s="1213" t="e">
        <f t="shared" ca="1" si="196"/>
        <v>#N/A</v>
      </c>
      <c r="AU303" s="1587">
        <f t="shared" si="197"/>
        <v>0</v>
      </c>
      <c r="AX303" s="1212" t="e">
        <f t="shared" ca="1" si="198"/>
        <v>#N/A</v>
      </c>
      <c r="AY303" s="1213" t="e">
        <f t="shared" ca="1" si="199"/>
        <v>#N/A</v>
      </c>
      <c r="AZ303" s="1587">
        <f t="shared" si="200"/>
        <v>0</v>
      </c>
      <c r="BC303" s="1212" t="e">
        <f t="shared" ca="1" si="201"/>
        <v>#N/A</v>
      </c>
      <c r="BD303" s="1213" t="e">
        <f t="shared" ca="1" si="202"/>
        <v>#N/A</v>
      </c>
      <c r="BE303" s="1587">
        <f t="shared" si="203"/>
        <v>0</v>
      </c>
      <c r="BH303" s="1212" t="e">
        <f t="shared" ca="1" si="204"/>
        <v>#N/A</v>
      </c>
      <c r="BI303" s="1213" t="e">
        <f t="shared" ca="1" si="205"/>
        <v>#N/A</v>
      </c>
      <c r="BJ303" s="1587">
        <f t="shared" si="206"/>
        <v>0</v>
      </c>
      <c r="BM303" s="1212" t="e">
        <f t="shared" ca="1" si="207"/>
        <v>#N/A</v>
      </c>
      <c r="BN303" s="1213" t="e">
        <f t="shared" ca="1" si="208"/>
        <v>#N/A</v>
      </c>
      <c r="BO303" s="1587">
        <f t="shared" si="209"/>
        <v>0</v>
      </c>
      <c r="BR303" s="1212" t="e">
        <f t="shared" ca="1" si="210"/>
        <v>#N/A</v>
      </c>
      <c r="BS303" s="1213" t="e">
        <f t="shared" ca="1" si="211"/>
        <v>#N/A</v>
      </c>
      <c r="BT303" s="1587">
        <f t="shared" si="212"/>
        <v>0</v>
      </c>
      <c r="BW303" s="1212" t="e">
        <f t="shared" ca="1" si="213"/>
        <v>#N/A</v>
      </c>
      <c r="BX303" s="1213" t="e">
        <f t="shared" ca="1" si="214"/>
        <v>#N/A</v>
      </c>
      <c r="BY303" s="1587">
        <f t="shared" si="215"/>
        <v>0</v>
      </c>
      <c r="CB303" s="1212" t="e">
        <f t="shared" ca="1" si="216"/>
        <v>#N/A</v>
      </c>
      <c r="CC303" s="1213" t="e">
        <f t="shared" ca="1" si="217"/>
        <v>#N/A</v>
      </c>
      <c r="CD303" s="1587">
        <f t="shared" si="218"/>
        <v>0</v>
      </c>
      <c r="CG303" s="1212" t="e">
        <f t="shared" ca="1" si="219"/>
        <v>#N/A</v>
      </c>
      <c r="CH303" s="1213" t="e">
        <f t="shared" ca="1" si="220"/>
        <v>#N/A</v>
      </c>
      <c r="CI303" s="1587">
        <f t="shared" si="221"/>
        <v>0</v>
      </c>
      <c r="CL303" s="1212" t="e">
        <f t="shared" ca="1" si="222"/>
        <v>#N/A</v>
      </c>
      <c r="CM303" s="1213" t="e">
        <f t="shared" ca="1" si="223"/>
        <v>#N/A</v>
      </c>
      <c r="CN303" s="1587">
        <f t="shared" si="224"/>
        <v>0</v>
      </c>
    </row>
    <row r="304" spans="1:92">
      <c r="A304" s="141">
        <f>'銀行-TSS'!A304</f>
        <v>0</v>
      </c>
      <c r="B304" s="151">
        <f ca="1">VLOOKUP(A304,'銀行-TSS'!A:B,2,FALSE)</f>
        <v>0</v>
      </c>
      <c r="C304" s="151" t="e">
        <f ca="1">VLOOKUP(B304,bond!B:C,2,FALSE)</f>
        <v>#N/A</v>
      </c>
      <c r="D304" s="95" t="e">
        <f>VLOOKUP(A304,'銀行-TSS'!A:C,3,FALSE)</f>
        <v>#N/A</v>
      </c>
      <c r="E304" s="90" t="e">
        <f ca="1">VLOOKUP(A304,'銀行-TSS'!A:G,7,FALSE)</f>
        <v>#N/A</v>
      </c>
      <c r="F304" s="202" t="e">
        <f ca="1">VLOOKUP(A304,'銀行-TSS'!A:H,8,FALSE)</f>
        <v>#N/A</v>
      </c>
      <c r="G304" s="96" t="e">
        <f ca="1">VLOOKUP(A304,'銀行-TSS'!A:K,11,FALSE)</f>
        <v>#N/A</v>
      </c>
      <c r="H304" s="1209" t="e">
        <f ca="1">VLOOKUP(A304,'銀行-TSS'!A:M,13,FALSE)</f>
        <v>#N/A</v>
      </c>
      <c r="I304" s="1213" t="e">
        <f ca="1">VLOOKUP(A304,'銀行-TSS'!A:N,14,FALSE)</f>
        <v>#N/A</v>
      </c>
      <c r="J304" s="1213" t="e">
        <f ca="1">VLOOKUP(A304,'銀行-TSS'!A:O,15,FALSE)</f>
        <v>#N/A</v>
      </c>
      <c r="K304" s="136" t="e">
        <f ca="1">VLOOKUP(A304,'銀行-TSS'!A:V,22,FALSE)</f>
        <v>#N/A</v>
      </c>
      <c r="L304" s="136" t="e">
        <f ca="1">VLOOKUP(A304,'銀行-TSS'!A:AK,37,FALSE)</f>
        <v>#N/A</v>
      </c>
      <c r="M304" s="136" t="str">
        <f ca="1">VLOOKUP(A304,'銀行-TSS'!A:AN,40,FALSE)</f>
        <v/>
      </c>
      <c r="N304" s="136" t="e">
        <f t="shared" ca="1" si="180"/>
        <v>#N/A</v>
      </c>
      <c r="O304" s="1213" t="e">
        <f t="shared" ca="1" si="181"/>
        <v>#N/A</v>
      </c>
      <c r="P304" s="1213" t="e">
        <f ca="1">IF(AND($O$1&gt;=O304,換券單檔!$D$13=D304),I304+INT(($O$1-O304)/N304)*J304,0)</f>
        <v>#N/A</v>
      </c>
      <c r="Q304" s="1213" t="e">
        <f t="shared" ca="1" si="182"/>
        <v>#N/A</v>
      </c>
      <c r="R304" s="1213">
        <f t="shared" si="183"/>
        <v>0</v>
      </c>
      <c r="S304" s="1213">
        <f t="shared" si="184"/>
        <v>0</v>
      </c>
      <c r="T304" s="136">
        <f>IF(OR(R304=0,A304=0),0,IF(AND(V304=TRUE,換券單檔!$D$13=D304),E304,0))</f>
        <v>0</v>
      </c>
      <c r="U304" s="861">
        <f>IF(OR(R304=0,A304=0),0,IF(AND(V304=TRUE,換券單檔!$D$13=D304),H304,0))</f>
        <v>0</v>
      </c>
      <c r="V304" s="136" t="e">
        <f ca="1">IF(OR(B304=換券單檔!$D$3,L304="無",M304&lt;&gt;"",K304="高資產",IFERROR(MATCH(B304,換券單檔!K:K,0),"N")&lt;&gt;"N"),FALSE,IF($V$1="All",TRUE,IF(K304=$V$1,TRUE,FALSE)))</f>
        <v>#N/A</v>
      </c>
      <c r="W304" s="136" t="e">
        <f ca="1">VLOOKUP(A304,'銀行-TSS'!A:AO,41,FALSE)</f>
        <v>#N/A</v>
      </c>
      <c r="X304" s="136" t="e">
        <f ca="1">VLOOKUP(A304,'銀行-TSS'!A:AP,42,FALSE)</f>
        <v>#N/A</v>
      </c>
      <c r="Y304" s="1220">
        <f t="shared" si="185"/>
        <v>0</v>
      </c>
      <c r="Z304" s="1220">
        <f t="shared" si="186"/>
        <v>0</v>
      </c>
      <c r="AA304" s="136">
        <f>IF(Z304&lt;=0,0,RANK(Z304,Z:Z)+COUNTIF($Z$3:$Z304,Z304)-1)</f>
        <v>0</v>
      </c>
      <c r="AB304" s="1211">
        <f t="shared" ca="1" si="187"/>
        <v>-14896.14</v>
      </c>
      <c r="AC304" s="136">
        <f ca="1">IF(AB304&lt;=0,0,RANK(AB304,AB:AB)+COUNTIF($AB$3:$AB304,AB304)-1)</f>
        <v>0</v>
      </c>
      <c r="AD304" s="1123">
        <f t="shared" si="188"/>
        <v>99999</v>
      </c>
      <c r="AE304" s="1123">
        <f>IF(AD304=99999,0,RANK(AD304,AD:AD,1)+COUNTIF($AD$3:$AD304,AD304)-1)</f>
        <v>0</v>
      </c>
      <c r="AF304" s="86" t="e">
        <f ca="1">IF(OR(M304&lt;&gt;"",L304="無",K304="高資產",IFERROR(MATCH(B304,換券單檔!K:K,0),"N")&lt;&gt;"N"),FALSE,TRUE)</f>
        <v>#N/A</v>
      </c>
      <c r="AI304" s="1212" t="e">
        <f t="shared" ca="1" si="189"/>
        <v>#N/A</v>
      </c>
      <c r="AJ304" s="1213" t="e">
        <f t="shared" ca="1" si="190"/>
        <v>#N/A</v>
      </c>
      <c r="AK304" s="1587">
        <f t="shared" si="191"/>
        <v>0</v>
      </c>
      <c r="AN304" s="1212" t="e">
        <f t="shared" ca="1" si="192"/>
        <v>#N/A</v>
      </c>
      <c r="AO304" s="1213" t="e">
        <f t="shared" ca="1" si="193"/>
        <v>#N/A</v>
      </c>
      <c r="AP304" s="1587">
        <f t="shared" si="194"/>
        <v>0</v>
      </c>
      <c r="AS304" s="1212" t="e">
        <f t="shared" ca="1" si="195"/>
        <v>#N/A</v>
      </c>
      <c r="AT304" s="1213" t="e">
        <f t="shared" ca="1" si="196"/>
        <v>#N/A</v>
      </c>
      <c r="AU304" s="1587">
        <f t="shared" si="197"/>
        <v>0</v>
      </c>
      <c r="AX304" s="1212" t="e">
        <f t="shared" ca="1" si="198"/>
        <v>#N/A</v>
      </c>
      <c r="AY304" s="1213" t="e">
        <f t="shared" ca="1" si="199"/>
        <v>#N/A</v>
      </c>
      <c r="AZ304" s="1587">
        <f t="shared" si="200"/>
        <v>0</v>
      </c>
      <c r="BC304" s="1212" t="e">
        <f t="shared" ca="1" si="201"/>
        <v>#N/A</v>
      </c>
      <c r="BD304" s="1213" t="e">
        <f t="shared" ca="1" si="202"/>
        <v>#N/A</v>
      </c>
      <c r="BE304" s="1587">
        <f t="shared" si="203"/>
        <v>0</v>
      </c>
      <c r="BH304" s="1212" t="e">
        <f t="shared" ca="1" si="204"/>
        <v>#N/A</v>
      </c>
      <c r="BI304" s="1213" t="e">
        <f t="shared" ca="1" si="205"/>
        <v>#N/A</v>
      </c>
      <c r="BJ304" s="1587">
        <f t="shared" si="206"/>
        <v>0</v>
      </c>
      <c r="BM304" s="1212" t="e">
        <f t="shared" ca="1" si="207"/>
        <v>#N/A</v>
      </c>
      <c r="BN304" s="1213" t="e">
        <f t="shared" ca="1" si="208"/>
        <v>#N/A</v>
      </c>
      <c r="BO304" s="1587">
        <f t="shared" si="209"/>
        <v>0</v>
      </c>
      <c r="BR304" s="1212" t="e">
        <f t="shared" ca="1" si="210"/>
        <v>#N/A</v>
      </c>
      <c r="BS304" s="1213" t="e">
        <f t="shared" ca="1" si="211"/>
        <v>#N/A</v>
      </c>
      <c r="BT304" s="1587">
        <f t="shared" si="212"/>
        <v>0</v>
      </c>
      <c r="BW304" s="1212" t="e">
        <f t="shared" ca="1" si="213"/>
        <v>#N/A</v>
      </c>
      <c r="BX304" s="1213" t="e">
        <f t="shared" ca="1" si="214"/>
        <v>#N/A</v>
      </c>
      <c r="BY304" s="1587">
        <f t="shared" si="215"/>
        <v>0</v>
      </c>
      <c r="CB304" s="1212" t="e">
        <f t="shared" ca="1" si="216"/>
        <v>#N/A</v>
      </c>
      <c r="CC304" s="1213" t="e">
        <f t="shared" ca="1" si="217"/>
        <v>#N/A</v>
      </c>
      <c r="CD304" s="1587">
        <f t="shared" si="218"/>
        <v>0</v>
      </c>
      <c r="CG304" s="1212" t="e">
        <f t="shared" ca="1" si="219"/>
        <v>#N/A</v>
      </c>
      <c r="CH304" s="1213" t="e">
        <f t="shared" ca="1" si="220"/>
        <v>#N/A</v>
      </c>
      <c r="CI304" s="1587">
        <f t="shared" si="221"/>
        <v>0</v>
      </c>
      <c r="CL304" s="1212" t="e">
        <f t="shared" ca="1" si="222"/>
        <v>#N/A</v>
      </c>
      <c r="CM304" s="1213" t="e">
        <f t="shared" ca="1" si="223"/>
        <v>#N/A</v>
      </c>
      <c r="CN304" s="1587">
        <f t="shared" si="224"/>
        <v>0</v>
      </c>
    </row>
    <row r="305" spans="1:92">
      <c r="A305" s="141">
        <f>'銀行-TSS'!A305</f>
        <v>0</v>
      </c>
      <c r="B305" s="151">
        <f ca="1">VLOOKUP(A305,'銀行-TSS'!A:B,2,FALSE)</f>
        <v>0</v>
      </c>
      <c r="C305" s="151" t="e">
        <f ca="1">VLOOKUP(B305,bond!B:C,2,FALSE)</f>
        <v>#N/A</v>
      </c>
      <c r="D305" s="95" t="e">
        <f>VLOOKUP(A305,'銀行-TSS'!A:C,3,FALSE)</f>
        <v>#N/A</v>
      </c>
      <c r="E305" s="90" t="e">
        <f ca="1">VLOOKUP(A305,'銀行-TSS'!A:G,7,FALSE)</f>
        <v>#N/A</v>
      </c>
      <c r="F305" s="202" t="e">
        <f ca="1">VLOOKUP(A305,'銀行-TSS'!A:H,8,FALSE)</f>
        <v>#N/A</v>
      </c>
      <c r="G305" s="96" t="e">
        <f ca="1">VLOOKUP(A305,'銀行-TSS'!A:K,11,FALSE)</f>
        <v>#N/A</v>
      </c>
      <c r="H305" s="1209" t="e">
        <f ca="1">VLOOKUP(A305,'銀行-TSS'!A:M,13,FALSE)</f>
        <v>#N/A</v>
      </c>
      <c r="I305" s="1213" t="e">
        <f ca="1">VLOOKUP(A305,'銀行-TSS'!A:N,14,FALSE)</f>
        <v>#N/A</v>
      </c>
      <c r="J305" s="1213" t="e">
        <f ca="1">VLOOKUP(A305,'銀行-TSS'!A:O,15,FALSE)</f>
        <v>#N/A</v>
      </c>
      <c r="K305" s="136" t="e">
        <f ca="1">VLOOKUP(A305,'銀行-TSS'!A:V,22,FALSE)</f>
        <v>#N/A</v>
      </c>
      <c r="L305" s="136" t="e">
        <f ca="1">VLOOKUP(A305,'銀行-TSS'!A:AK,37,FALSE)</f>
        <v>#N/A</v>
      </c>
      <c r="M305" s="136" t="str">
        <f ca="1">VLOOKUP(A305,'銀行-TSS'!A:AN,40,FALSE)</f>
        <v/>
      </c>
      <c r="N305" s="136" t="e">
        <f t="shared" ca="1" si="180"/>
        <v>#N/A</v>
      </c>
      <c r="O305" s="1213" t="e">
        <f t="shared" ca="1" si="181"/>
        <v>#N/A</v>
      </c>
      <c r="P305" s="1213" t="e">
        <f ca="1">IF(AND($O$1&gt;=O305,換券單檔!$D$13=D305),I305+INT(($O$1-O305)/N305)*J305,0)</f>
        <v>#N/A</v>
      </c>
      <c r="Q305" s="1213" t="e">
        <f t="shared" ca="1" si="182"/>
        <v>#N/A</v>
      </c>
      <c r="R305" s="1213">
        <f t="shared" si="183"/>
        <v>0</v>
      </c>
      <c r="S305" s="1213">
        <f t="shared" si="184"/>
        <v>0</v>
      </c>
      <c r="T305" s="136">
        <f>IF(OR(R305=0,A305=0),0,IF(AND(V305=TRUE,換券單檔!$D$13=D305),E305,0))</f>
        <v>0</v>
      </c>
      <c r="U305" s="861">
        <f>IF(OR(R305=0,A305=0),0,IF(AND(V305=TRUE,換券單檔!$D$13=D305),H305,0))</f>
        <v>0</v>
      </c>
      <c r="V305" s="136" t="e">
        <f ca="1">IF(OR(B305=換券單檔!$D$3,L305="無",M305&lt;&gt;"",K305="高資產",IFERROR(MATCH(B305,換券單檔!K:K,0),"N")&lt;&gt;"N"),FALSE,IF($V$1="All",TRUE,IF(K305=$V$1,TRUE,FALSE)))</f>
        <v>#N/A</v>
      </c>
      <c r="W305" s="136" t="e">
        <f ca="1">VLOOKUP(A305,'銀行-TSS'!A:AO,41,FALSE)</f>
        <v>#N/A</v>
      </c>
      <c r="X305" s="136" t="e">
        <f ca="1">VLOOKUP(A305,'銀行-TSS'!A:AP,42,FALSE)</f>
        <v>#N/A</v>
      </c>
      <c r="Y305" s="1220">
        <f t="shared" si="185"/>
        <v>0</v>
      </c>
      <c r="Z305" s="1220">
        <f t="shared" si="186"/>
        <v>0</v>
      </c>
      <c r="AA305" s="136">
        <f>IF(Z305&lt;=0,0,RANK(Z305,Z:Z)+COUNTIF($Z$3:$Z305,Z305)-1)</f>
        <v>0</v>
      </c>
      <c r="AB305" s="1211">
        <f t="shared" ca="1" si="187"/>
        <v>-14896.14</v>
      </c>
      <c r="AC305" s="136">
        <f ca="1">IF(AB305&lt;=0,0,RANK(AB305,AB:AB)+COUNTIF($AB$3:$AB305,AB305)-1)</f>
        <v>0</v>
      </c>
      <c r="AD305" s="1123">
        <f t="shared" si="188"/>
        <v>99999</v>
      </c>
      <c r="AE305" s="1123">
        <f>IF(AD305=99999,0,RANK(AD305,AD:AD,1)+COUNTIF($AD$3:$AD305,AD305)-1)</f>
        <v>0</v>
      </c>
      <c r="AF305" s="86" t="e">
        <f ca="1">IF(OR(M305&lt;&gt;"",L305="無",K305="高資產",IFERROR(MATCH(B305,換券單檔!K:K,0),"N")&lt;&gt;"N"),FALSE,TRUE)</f>
        <v>#N/A</v>
      </c>
      <c r="AI305" s="1212" t="e">
        <f t="shared" ca="1" si="189"/>
        <v>#N/A</v>
      </c>
      <c r="AJ305" s="1213" t="e">
        <f t="shared" ca="1" si="190"/>
        <v>#N/A</v>
      </c>
      <c r="AK305" s="1587">
        <f t="shared" si="191"/>
        <v>0</v>
      </c>
      <c r="AN305" s="1212" t="e">
        <f t="shared" ca="1" si="192"/>
        <v>#N/A</v>
      </c>
      <c r="AO305" s="1213" t="e">
        <f t="shared" ca="1" si="193"/>
        <v>#N/A</v>
      </c>
      <c r="AP305" s="1587">
        <f t="shared" si="194"/>
        <v>0</v>
      </c>
      <c r="AS305" s="1212" t="e">
        <f t="shared" ca="1" si="195"/>
        <v>#N/A</v>
      </c>
      <c r="AT305" s="1213" t="e">
        <f t="shared" ca="1" si="196"/>
        <v>#N/A</v>
      </c>
      <c r="AU305" s="1587">
        <f t="shared" si="197"/>
        <v>0</v>
      </c>
      <c r="AX305" s="1212" t="e">
        <f t="shared" ca="1" si="198"/>
        <v>#N/A</v>
      </c>
      <c r="AY305" s="1213" t="e">
        <f t="shared" ca="1" si="199"/>
        <v>#N/A</v>
      </c>
      <c r="AZ305" s="1587">
        <f t="shared" si="200"/>
        <v>0</v>
      </c>
      <c r="BC305" s="1212" t="e">
        <f t="shared" ca="1" si="201"/>
        <v>#N/A</v>
      </c>
      <c r="BD305" s="1213" t="e">
        <f t="shared" ca="1" si="202"/>
        <v>#N/A</v>
      </c>
      <c r="BE305" s="1587">
        <f t="shared" si="203"/>
        <v>0</v>
      </c>
      <c r="BH305" s="1212" t="e">
        <f t="shared" ca="1" si="204"/>
        <v>#N/A</v>
      </c>
      <c r="BI305" s="1213" t="e">
        <f t="shared" ca="1" si="205"/>
        <v>#N/A</v>
      </c>
      <c r="BJ305" s="1587">
        <f t="shared" si="206"/>
        <v>0</v>
      </c>
      <c r="BM305" s="1212" t="e">
        <f t="shared" ca="1" si="207"/>
        <v>#N/A</v>
      </c>
      <c r="BN305" s="1213" t="e">
        <f t="shared" ca="1" si="208"/>
        <v>#N/A</v>
      </c>
      <c r="BO305" s="1587">
        <f t="shared" si="209"/>
        <v>0</v>
      </c>
      <c r="BR305" s="1212" t="e">
        <f t="shared" ca="1" si="210"/>
        <v>#N/A</v>
      </c>
      <c r="BS305" s="1213" t="e">
        <f t="shared" ca="1" si="211"/>
        <v>#N/A</v>
      </c>
      <c r="BT305" s="1587">
        <f t="shared" si="212"/>
        <v>0</v>
      </c>
      <c r="BW305" s="1212" t="e">
        <f t="shared" ca="1" si="213"/>
        <v>#N/A</v>
      </c>
      <c r="BX305" s="1213" t="e">
        <f t="shared" ca="1" si="214"/>
        <v>#N/A</v>
      </c>
      <c r="BY305" s="1587">
        <f t="shared" si="215"/>
        <v>0</v>
      </c>
      <c r="CB305" s="1212" t="e">
        <f t="shared" ca="1" si="216"/>
        <v>#N/A</v>
      </c>
      <c r="CC305" s="1213" t="e">
        <f t="shared" ca="1" si="217"/>
        <v>#N/A</v>
      </c>
      <c r="CD305" s="1587">
        <f t="shared" si="218"/>
        <v>0</v>
      </c>
      <c r="CG305" s="1212" t="e">
        <f t="shared" ca="1" si="219"/>
        <v>#N/A</v>
      </c>
      <c r="CH305" s="1213" t="e">
        <f t="shared" ca="1" si="220"/>
        <v>#N/A</v>
      </c>
      <c r="CI305" s="1587">
        <f t="shared" si="221"/>
        <v>0</v>
      </c>
      <c r="CL305" s="1212" t="e">
        <f t="shared" ca="1" si="222"/>
        <v>#N/A</v>
      </c>
      <c r="CM305" s="1213" t="e">
        <f t="shared" ca="1" si="223"/>
        <v>#N/A</v>
      </c>
      <c r="CN305" s="1587">
        <f t="shared" si="224"/>
        <v>0</v>
      </c>
    </row>
    <row r="306" spans="1:92">
      <c r="A306" s="141">
        <f>'銀行-TSS'!A306</f>
        <v>0</v>
      </c>
      <c r="B306" s="151">
        <f ca="1">VLOOKUP(A306,'銀行-TSS'!A:B,2,FALSE)</f>
        <v>0</v>
      </c>
      <c r="C306" s="151" t="e">
        <f ca="1">VLOOKUP(B306,bond!B:C,2,FALSE)</f>
        <v>#N/A</v>
      </c>
      <c r="D306" s="95" t="e">
        <f>VLOOKUP(A306,'銀行-TSS'!A:C,3,FALSE)</f>
        <v>#N/A</v>
      </c>
      <c r="E306" s="90" t="e">
        <f ca="1">VLOOKUP(A306,'銀行-TSS'!A:G,7,FALSE)</f>
        <v>#N/A</v>
      </c>
      <c r="F306" s="202" t="e">
        <f ca="1">VLOOKUP(A306,'銀行-TSS'!A:H,8,FALSE)</f>
        <v>#N/A</v>
      </c>
      <c r="G306" s="96" t="e">
        <f ca="1">VLOOKUP(A306,'銀行-TSS'!A:K,11,FALSE)</f>
        <v>#N/A</v>
      </c>
      <c r="H306" s="1209" t="e">
        <f ca="1">VLOOKUP(A306,'銀行-TSS'!A:M,13,FALSE)</f>
        <v>#N/A</v>
      </c>
      <c r="I306" s="1213" t="e">
        <f ca="1">VLOOKUP(A306,'銀行-TSS'!A:N,14,FALSE)</f>
        <v>#N/A</v>
      </c>
      <c r="J306" s="1213" t="e">
        <f ca="1">VLOOKUP(A306,'銀行-TSS'!A:O,15,FALSE)</f>
        <v>#N/A</v>
      </c>
      <c r="K306" s="136" t="e">
        <f ca="1">VLOOKUP(A306,'銀行-TSS'!A:V,22,FALSE)</f>
        <v>#N/A</v>
      </c>
      <c r="L306" s="136" t="e">
        <f ca="1">VLOOKUP(A306,'銀行-TSS'!A:AK,37,FALSE)</f>
        <v>#N/A</v>
      </c>
      <c r="M306" s="136" t="str">
        <f ca="1">VLOOKUP(A306,'銀行-TSS'!A:AN,40,FALSE)</f>
        <v/>
      </c>
      <c r="N306" s="136" t="e">
        <f t="shared" ca="1" si="180"/>
        <v>#N/A</v>
      </c>
      <c r="O306" s="1213" t="e">
        <f t="shared" ca="1" si="181"/>
        <v>#N/A</v>
      </c>
      <c r="P306" s="1213" t="e">
        <f ca="1">IF(AND($O$1&gt;=O306,換券單檔!$D$13=D306),I306+INT(($O$1-O306)/N306)*J306,0)</f>
        <v>#N/A</v>
      </c>
      <c r="Q306" s="1213" t="e">
        <f t="shared" ca="1" si="182"/>
        <v>#N/A</v>
      </c>
      <c r="R306" s="1213">
        <f t="shared" si="183"/>
        <v>0</v>
      </c>
      <c r="S306" s="1213">
        <f t="shared" si="184"/>
        <v>0</v>
      </c>
      <c r="T306" s="136">
        <f>IF(OR(R306=0,A306=0),0,IF(AND(V306=TRUE,換券單檔!$D$13=D306),E306,0))</f>
        <v>0</v>
      </c>
      <c r="U306" s="861">
        <f>IF(OR(R306=0,A306=0),0,IF(AND(V306=TRUE,換券單檔!$D$13=D306),H306,0))</f>
        <v>0</v>
      </c>
      <c r="V306" s="136" t="e">
        <f ca="1">IF(OR(B306=換券單檔!$D$3,L306="無",M306&lt;&gt;"",K306="高資產",IFERROR(MATCH(B306,換券單檔!K:K,0),"N")&lt;&gt;"N"),FALSE,IF($V$1="All",TRUE,IF(K306=$V$1,TRUE,FALSE)))</f>
        <v>#N/A</v>
      </c>
      <c r="W306" s="136" t="e">
        <f ca="1">VLOOKUP(A306,'銀行-TSS'!A:AO,41,FALSE)</f>
        <v>#N/A</v>
      </c>
      <c r="X306" s="136" t="e">
        <f ca="1">VLOOKUP(A306,'銀行-TSS'!A:AP,42,FALSE)</f>
        <v>#N/A</v>
      </c>
      <c r="Y306" s="1220">
        <f t="shared" si="185"/>
        <v>0</v>
      </c>
      <c r="Z306" s="1220">
        <f t="shared" si="186"/>
        <v>0</v>
      </c>
      <c r="AA306" s="136">
        <f>IF(Z306&lt;=0,0,RANK(Z306,Z:Z)+COUNTIF($Z$3:$Z306,Z306)-1)</f>
        <v>0</v>
      </c>
      <c r="AB306" s="1211">
        <f t="shared" ca="1" si="187"/>
        <v>-14896.14</v>
      </c>
      <c r="AC306" s="136">
        <f ca="1">IF(AB306&lt;=0,0,RANK(AB306,AB:AB)+COUNTIF($AB$3:$AB306,AB306)-1)</f>
        <v>0</v>
      </c>
      <c r="AD306" s="1123">
        <f t="shared" si="188"/>
        <v>99999</v>
      </c>
      <c r="AE306" s="1123">
        <f>IF(AD306=99999,0,RANK(AD306,AD:AD,1)+COUNTIF($AD$3:$AD306,AD306)-1)</f>
        <v>0</v>
      </c>
      <c r="AF306" s="86" t="e">
        <f ca="1">IF(OR(M306&lt;&gt;"",L306="無",K306="高資產",IFERROR(MATCH(B306,換券單檔!K:K,0),"N")&lt;&gt;"N"),FALSE,TRUE)</f>
        <v>#N/A</v>
      </c>
      <c r="AI306" s="1212" t="e">
        <f t="shared" ca="1" si="189"/>
        <v>#N/A</v>
      </c>
      <c r="AJ306" s="1213" t="e">
        <f t="shared" ca="1" si="190"/>
        <v>#N/A</v>
      </c>
      <c r="AK306" s="1587">
        <f t="shared" si="191"/>
        <v>0</v>
      </c>
      <c r="AN306" s="1212" t="e">
        <f t="shared" ca="1" si="192"/>
        <v>#N/A</v>
      </c>
      <c r="AO306" s="1213" t="e">
        <f t="shared" ca="1" si="193"/>
        <v>#N/A</v>
      </c>
      <c r="AP306" s="1587">
        <f t="shared" si="194"/>
        <v>0</v>
      </c>
      <c r="AS306" s="1212" t="e">
        <f t="shared" ca="1" si="195"/>
        <v>#N/A</v>
      </c>
      <c r="AT306" s="1213" t="e">
        <f t="shared" ca="1" si="196"/>
        <v>#N/A</v>
      </c>
      <c r="AU306" s="1587">
        <f t="shared" si="197"/>
        <v>0</v>
      </c>
      <c r="AX306" s="1212" t="e">
        <f t="shared" ca="1" si="198"/>
        <v>#N/A</v>
      </c>
      <c r="AY306" s="1213" t="e">
        <f t="shared" ca="1" si="199"/>
        <v>#N/A</v>
      </c>
      <c r="AZ306" s="1587">
        <f t="shared" si="200"/>
        <v>0</v>
      </c>
      <c r="BC306" s="1212" t="e">
        <f t="shared" ca="1" si="201"/>
        <v>#N/A</v>
      </c>
      <c r="BD306" s="1213" t="e">
        <f t="shared" ca="1" si="202"/>
        <v>#N/A</v>
      </c>
      <c r="BE306" s="1587">
        <f t="shared" si="203"/>
        <v>0</v>
      </c>
      <c r="BH306" s="1212" t="e">
        <f t="shared" ca="1" si="204"/>
        <v>#N/A</v>
      </c>
      <c r="BI306" s="1213" t="e">
        <f t="shared" ca="1" si="205"/>
        <v>#N/A</v>
      </c>
      <c r="BJ306" s="1587">
        <f t="shared" si="206"/>
        <v>0</v>
      </c>
      <c r="BM306" s="1212" t="e">
        <f t="shared" ca="1" si="207"/>
        <v>#N/A</v>
      </c>
      <c r="BN306" s="1213" t="e">
        <f t="shared" ca="1" si="208"/>
        <v>#N/A</v>
      </c>
      <c r="BO306" s="1587">
        <f t="shared" si="209"/>
        <v>0</v>
      </c>
      <c r="BR306" s="1212" t="e">
        <f t="shared" ca="1" si="210"/>
        <v>#N/A</v>
      </c>
      <c r="BS306" s="1213" t="e">
        <f t="shared" ca="1" si="211"/>
        <v>#N/A</v>
      </c>
      <c r="BT306" s="1587">
        <f t="shared" si="212"/>
        <v>0</v>
      </c>
      <c r="BW306" s="1212" t="e">
        <f t="shared" ca="1" si="213"/>
        <v>#N/A</v>
      </c>
      <c r="BX306" s="1213" t="e">
        <f t="shared" ca="1" si="214"/>
        <v>#N/A</v>
      </c>
      <c r="BY306" s="1587">
        <f t="shared" si="215"/>
        <v>0</v>
      </c>
      <c r="CB306" s="1212" t="e">
        <f t="shared" ca="1" si="216"/>
        <v>#N/A</v>
      </c>
      <c r="CC306" s="1213" t="e">
        <f t="shared" ca="1" si="217"/>
        <v>#N/A</v>
      </c>
      <c r="CD306" s="1587">
        <f t="shared" si="218"/>
        <v>0</v>
      </c>
      <c r="CG306" s="1212" t="e">
        <f t="shared" ca="1" si="219"/>
        <v>#N/A</v>
      </c>
      <c r="CH306" s="1213" t="e">
        <f t="shared" ca="1" si="220"/>
        <v>#N/A</v>
      </c>
      <c r="CI306" s="1587">
        <f t="shared" si="221"/>
        <v>0</v>
      </c>
      <c r="CL306" s="1212" t="e">
        <f t="shared" ca="1" si="222"/>
        <v>#N/A</v>
      </c>
      <c r="CM306" s="1213" t="e">
        <f t="shared" ca="1" si="223"/>
        <v>#N/A</v>
      </c>
      <c r="CN306" s="1587">
        <f t="shared" si="224"/>
        <v>0</v>
      </c>
    </row>
    <row r="307" spans="1:92">
      <c r="A307" s="141">
        <f>'銀行-TSS'!A307</f>
        <v>0</v>
      </c>
      <c r="B307" s="151">
        <f ca="1">VLOOKUP(A307,'銀行-TSS'!A:B,2,FALSE)</f>
        <v>0</v>
      </c>
      <c r="C307" s="151" t="e">
        <f ca="1">VLOOKUP(B307,bond!B:C,2,FALSE)</f>
        <v>#N/A</v>
      </c>
      <c r="D307" s="95" t="e">
        <f>VLOOKUP(A307,'銀行-TSS'!A:C,3,FALSE)</f>
        <v>#N/A</v>
      </c>
      <c r="E307" s="90" t="e">
        <f ca="1">VLOOKUP(A307,'銀行-TSS'!A:G,7,FALSE)</f>
        <v>#N/A</v>
      </c>
      <c r="F307" s="202" t="e">
        <f ca="1">VLOOKUP(A307,'銀行-TSS'!A:H,8,FALSE)</f>
        <v>#N/A</v>
      </c>
      <c r="G307" s="96" t="e">
        <f ca="1">VLOOKUP(A307,'銀行-TSS'!A:K,11,FALSE)</f>
        <v>#N/A</v>
      </c>
      <c r="H307" s="1209" t="e">
        <f ca="1">VLOOKUP(A307,'銀行-TSS'!A:M,13,FALSE)</f>
        <v>#N/A</v>
      </c>
      <c r="I307" s="1213" t="e">
        <f ca="1">VLOOKUP(A307,'銀行-TSS'!A:N,14,FALSE)</f>
        <v>#N/A</v>
      </c>
      <c r="J307" s="1213" t="e">
        <f ca="1">VLOOKUP(A307,'銀行-TSS'!A:O,15,FALSE)</f>
        <v>#N/A</v>
      </c>
      <c r="K307" s="136" t="e">
        <f ca="1">VLOOKUP(A307,'銀行-TSS'!A:V,22,FALSE)</f>
        <v>#N/A</v>
      </c>
      <c r="L307" s="136" t="e">
        <f ca="1">VLOOKUP(A307,'銀行-TSS'!A:AK,37,FALSE)</f>
        <v>#N/A</v>
      </c>
      <c r="M307" s="136" t="str">
        <f ca="1">VLOOKUP(A307,'銀行-TSS'!A:AN,40,FALSE)</f>
        <v/>
      </c>
      <c r="N307" s="136" t="e">
        <f t="shared" ca="1" si="180"/>
        <v>#N/A</v>
      </c>
      <c r="O307" s="1213" t="e">
        <f t="shared" ca="1" si="181"/>
        <v>#N/A</v>
      </c>
      <c r="P307" s="1213" t="e">
        <f ca="1">IF(AND($O$1&gt;=O307,換券單檔!$D$13=D307),I307+INT(($O$1-O307)/N307)*J307,0)</f>
        <v>#N/A</v>
      </c>
      <c r="Q307" s="1213" t="e">
        <f t="shared" ca="1" si="182"/>
        <v>#N/A</v>
      </c>
      <c r="R307" s="1213">
        <f t="shared" si="183"/>
        <v>0</v>
      </c>
      <c r="S307" s="1213">
        <f t="shared" si="184"/>
        <v>0</v>
      </c>
      <c r="T307" s="136">
        <f>IF(OR(R307=0,A307=0),0,IF(AND(V307=TRUE,換券單檔!$D$13=D307),E307,0))</f>
        <v>0</v>
      </c>
      <c r="U307" s="861">
        <f>IF(OR(R307=0,A307=0),0,IF(AND(V307=TRUE,換券單檔!$D$13=D307),H307,0))</f>
        <v>0</v>
      </c>
      <c r="V307" s="136" t="e">
        <f ca="1">IF(OR(B307=換券單檔!$D$3,L307="無",M307&lt;&gt;"",K307="高資產",IFERROR(MATCH(B307,換券單檔!K:K,0),"N")&lt;&gt;"N"),FALSE,IF($V$1="All",TRUE,IF(K307=$V$1,TRUE,FALSE)))</f>
        <v>#N/A</v>
      </c>
      <c r="W307" s="136" t="e">
        <f ca="1">VLOOKUP(A307,'銀行-TSS'!A:AO,41,FALSE)</f>
        <v>#N/A</v>
      </c>
      <c r="X307" s="136" t="e">
        <f ca="1">VLOOKUP(A307,'銀行-TSS'!A:AP,42,FALSE)</f>
        <v>#N/A</v>
      </c>
      <c r="Y307" s="1220">
        <f t="shared" si="185"/>
        <v>0</v>
      </c>
      <c r="Z307" s="1220">
        <f t="shared" si="186"/>
        <v>0</v>
      </c>
      <c r="AA307" s="136">
        <f>IF(Z307&lt;=0,0,RANK(Z307,Z:Z)+COUNTIF($Z$3:$Z307,Z307)-1)</f>
        <v>0</v>
      </c>
      <c r="AB307" s="1211">
        <f t="shared" ca="1" si="187"/>
        <v>-14896.14</v>
      </c>
      <c r="AC307" s="136">
        <f ca="1">IF(AB307&lt;=0,0,RANK(AB307,AB:AB)+COUNTIF($AB$3:$AB307,AB307)-1)</f>
        <v>0</v>
      </c>
      <c r="AD307" s="1123">
        <f t="shared" si="188"/>
        <v>99999</v>
      </c>
      <c r="AE307" s="1123">
        <f>IF(AD307=99999,0,RANK(AD307,AD:AD,1)+COUNTIF($AD$3:$AD307,AD307)-1)</f>
        <v>0</v>
      </c>
      <c r="AF307" s="86" t="e">
        <f ca="1">IF(OR(M307&lt;&gt;"",L307="無",K307="高資產",IFERROR(MATCH(B307,換券單檔!K:K,0),"N")&lt;&gt;"N"),FALSE,TRUE)</f>
        <v>#N/A</v>
      </c>
      <c r="AI307" s="1212" t="e">
        <f t="shared" ca="1" si="189"/>
        <v>#N/A</v>
      </c>
      <c r="AJ307" s="1213" t="e">
        <f t="shared" ca="1" si="190"/>
        <v>#N/A</v>
      </c>
      <c r="AK307" s="1587">
        <f t="shared" si="191"/>
        <v>0</v>
      </c>
      <c r="AN307" s="1212" t="e">
        <f t="shared" ca="1" si="192"/>
        <v>#N/A</v>
      </c>
      <c r="AO307" s="1213" t="e">
        <f t="shared" ca="1" si="193"/>
        <v>#N/A</v>
      </c>
      <c r="AP307" s="1587">
        <f t="shared" si="194"/>
        <v>0</v>
      </c>
      <c r="AS307" s="1212" t="e">
        <f t="shared" ca="1" si="195"/>
        <v>#N/A</v>
      </c>
      <c r="AT307" s="1213" t="e">
        <f t="shared" ca="1" si="196"/>
        <v>#N/A</v>
      </c>
      <c r="AU307" s="1587">
        <f t="shared" si="197"/>
        <v>0</v>
      </c>
      <c r="AX307" s="1212" t="e">
        <f t="shared" ca="1" si="198"/>
        <v>#N/A</v>
      </c>
      <c r="AY307" s="1213" t="e">
        <f t="shared" ca="1" si="199"/>
        <v>#N/A</v>
      </c>
      <c r="AZ307" s="1587">
        <f t="shared" si="200"/>
        <v>0</v>
      </c>
      <c r="BC307" s="1212" t="e">
        <f t="shared" ca="1" si="201"/>
        <v>#N/A</v>
      </c>
      <c r="BD307" s="1213" t="e">
        <f t="shared" ca="1" si="202"/>
        <v>#N/A</v>
      </c>
      <c r="BE307" s="1587">
        <f t="shared" si="203"/>
        <v>0</v>
      </c>
      <c r="BH307" s="1212" t="e">
        <f t="shared" ca="1" si="204"/>
        <v>#N/A</v>
      </c>
      <c r="BI307" s="1213" t="e">
        <f t="shared" ca="1" si="205"/>
        <v>#N/A</v>
      </c>
      <c r="BJ307" s="1587">
        <f t="shared" si="206"/>
        <v>0</v>
      </c>
      <c r="BM307" s="1212" t="e">
        <f t="shared" ca="1" si="207"/>
        <v>#N/A</v>
      </c>
      <c r="BN307" s="1213" t="e">
        <f t="shared" ca="1" si="208"/>
        <v>#N/A</v>
      </c>
      <c r="BO307" s="1587">
        <f t="shared" si="209"/>
        <v>0</v>
      </c>
      <c r="BR307" s="1212" t="e">
        <f t="shared" ca="1" si="210"/>
        <v>#N/A</v>
      </c>
      <c r="BS307" s="1213" t="e">
        <f t="shared" ca="1" si="211"/>
        <v>#N/A</v>
      </c>
      <c r="BT307" s="1587">
        <f t="shared" si="212"/>
        <v>0</v>
      </c>
      <c r="BW307" s="1212" t="e">
        <f t="shared" ca="1" si="213"/>
        <v>#N/A</v>
      </c>
      <c r="BX307" s="1213" t="e">
        <f t="shared" ca="1" si="214"/>
        <v>#N/A</v>
      </c>
      <c r="BY307" s="1587">
        <f t="shared" si="215"/>
        <v>0</v>
      </c>
      <c r="CB307" s="1212" t="e">
        <f t="shared" ca="1" si="216"/>
        <v>#N/A</v>
      </c>
      <c r="CC307" s="1213" t="e">
        <f t="shared" ca="1" si="217"/>
        <v>#N/A</v>
      </c>
      <c r="CD307" s="1587">
        <f t="shared" si="218"/>
        <v>0</v>
      </c>
      <c r="CG307" s="1212" t="e">
        <f t="shared" ca="1" si="219"/>
        <v>#N/A</v>
      </c>
      <c r="CH307" s="1213" t="e">
        <f t="shared" ca="1" si="220"/>
        <v>#N/A</v>
      </c>
      <c r="CI307" s="1587">
        <f t="shared" si="221"/>
        <v>0</v>
      </c>
      <c r="CL307" s="1212" t="e">
        <f t="shared" ca="1" si="222"/>
        <v>#N/A</v>
      </c>
      <c r="CM307" s="1213" t="e">
        <f t="shared" ca="1" si="223"/>
        <v>#N/A</v>
      </c>
      <c r="CN307" s="1587">
        <f t="shared" si="224"/>
        <v>0</v>
      </c>
    </row>
    <row r="308" spans="1:92">
      <c r="A308" s="141">
        <f>'銀行-TSS'!A308</f>
        <v>0</v>
      </c>
      <c r="B308" s="151">
        <f ca="1">VLOOKUP(A308,'銀行-TSS'!A:B,2,FALSE)</f>
        <v>0</v>
      </c>
      <c r="C308" s="151" t="e">
        <f ca="1">VLOOKUP(B308,bond!B:C,2,FALSE)</f>
        <v>#N/A</v>
      </c>
      <c r="D308" s="95" t="e">
        <f>VLOOKUP(A308,'銀行-TSS'!A:C,3,FALSE)</f>
        <v>#N/A</v>
      </c>
      <c r="E308" s="90" t="e">
        <f ca="1">VLOOKUP(A308,'銀行-TSS'!A:G,7,FALSE)</f>
        <v>#N/A</v>
      </c>
      <c r="F308" s="202" t="e">
        <f ca="1">VLOOKUP(A308,'銀行-TSS'!A:H,8,FALSE)</f>
        <v>#N/A</v>
      </c>
      <c r="G308" s="96" t="e">
        <f ca="1">VLOOKUP(A308,'銀行-TSS'!A:K,11,FALSE)</f>
        <v>#N/A</v>
      </c>
      <c r="H308" s="1209" t="e">
        <f ca="1">VLOOKUP(A308,'銀行-TSS'!A:M,13,FALSE)</f>
        <v>#N/A</v>
      </c>
      <c r="I308" s="1213" t="e">
        <f ca="1">VLOOKUP(A308,'銀行-TSS'!A:N,14,FALSE)</f>
        <v>#N/A</v>
      </c>
      <c r="J308" s="1213" t="e">
        <f ca="1">VLOOKUP(A308,'銀行-TSS'!A:O,15,FALSE)</f>
        <v>#N/A</v>
      </c>
      <c r="K308" s="136" t="e">
        <f ca="1">VLOOKUP(A308,'銀行-TSS'!A:V,22,FALSE)</f>
        <v>#N/A</v>
      </c>
      <c r="L308" s="136" t="e">
        <f ca="1">VLOOKUP(A308,'銀行-TSS'!A:AK,37,FALSE)</f>
        <v>#N/A</v>
      </c>
      <c r="M308" s="136" t="str">
        <f ca="1">VLOOKUP(A308,'銀行-TSS'!A:AN,40,FALSE)</f>
        <v/>
      </c>
      <c r="N308" s="136" t="e">
        <f t="shared" ca="1" si="180"/>
        <v>#N/A</v>
      </c>
      <c r="O308" s="1213" t="e">
        <f t="shared" ca="1" si="181"/>
        <v>#N/A</v>
      </c>
      <c r="P308" s="1213" t="e">
        <f ca="1">IF(AND($O$1&gt;=O308,換券單檔!$D$13=D308),I308+INT(($O$1-O308)/N308)*J308,0)</f>
        <v>#N/A</v>
      </c>
      <c r="Q308" s="1213" t="e">
        <f t="shared" ca="1" si="182"/>
        <v>#N/A</v>
      </c>
      <c r="R308" s="1213">
        <f t="shared" si="183"/>
        <v>0</v>
      </c>
      <c r="S308" s="1213">
        <f t="shared" si="184"/>
        <v>0</v>
      </c>
      <c r="T308" s="136">
        <f>IF(OR(R308=0,A308=0),0,IF(AND(V308=TRUE,換券單檔!$D$13=D308),E308,0))</f>
        <v>0</v>
      </c>
      <c r="U308" s="861">
        <f>IF(OR(R308=0,A308=0),0,IF(AND(V308=TRUE,換券單檔!$D$13=D308),H308,0))</f>
        <v>0</v>
      </c>
      <c r="V308" s="136" t="e">
        <f ca="1">IF(OR(B308=換券單檔!$D$3,L308="無",M308&lt;&gt;"",K308="高資產",IFERROR(MATCH(B308,換券單檔!K:K,0),"N")&lt;&gt;"N"),FALSE,IF($V$1="All",TRUE,IF(K308=$V$1,TRUE,FALSE)))</f>
        <v>#N/A</v>
      </c>
      <c r="W308" s="136" t="e">
        <f ca="1">VLOOKUP(A308,'銀行-TSS'!A:AO,41,FALSE)</f>
        <v>#N/A</v>
      </c>
      <c r="X308" s="136" t="e">
        <f ca="1">VLOOKUP(A308,'銀行-TSS'!A:AP,42,FALSE)</f>
        <v>#N/A</v>
      </c>
      <c r="Y308" s="1220">
        <f t="shared" si="185"/>
        <v>0</v>
      </c>
      <c r="Z308" s="1220">
        <f t="shared" si="186"/>
        <v>0</v>
      </c>
      <c r="AA308" s="136">
        <f>IF(Z308&lt;=0,0,RANK(Z308,Z:Z)+COUNTIF($Z$3:$Z308,Z308)-1)</f>
        <v>0</v>
      </c>
      <c r="AB308" s="1211">
        <f t="shared" ca="1" si="187"/>
        <v>-14896.14</v>
      </c>
      <c r="AC308" s="136">
        <f ca="1">IF(AB308&lt;=0,0,RANK(AB308,AB:AB)+COUNTIF($AB$3:$AB308,AB308)-1)</f>
        <v>0</v>
      </c>
      <c r="AD308" s="1123">
        <f t="shared" si="188"/>
        <v>99999</v>
      </c>
      <c r="AE308" s="1123">
        <f>IF(AD308=99999,0,RANK(AD308,AD:AD,1)+COUNTIF($AD$3:$AD308,AD308)-1)</f>
        <v>0</v>
      </c>
      <c r="AF308" s="86" t="e">
        <f ca="1">IF(OR(M308&lt;&gt;"",L308="無",K308="高資產",IFERROR(MATCH(B308,換券單檔!K:K,0),"N")&lt;&gt;"N"),FALSE,TRUE)</f>
        <v>#N/A</v>
      </c>
      <c r="AI308" s="1212" t="e">
        <f t="shared" ca="1" si="189"/>
        <v>#N/A</v>
      </c>
      <c r="AJ308" s="1213" t="e">
        <f t="shared" ca="1" si="190"/>
        <v>#N/A</v>
      </c>
      <c r="AK308" s="1587">
        <f t="shared" si="191"/>
        <v>0</v>
      </c>
      <c r="AN308" s="1212" t="e">
        <f t="shared" ca="1" si="192"/>
        <v>#N/A</v>
      </c>
      <c r="AO308" s="1213" t="e">
        <f t="shared" ca="1" si="193"/>
        <v>#N/A</v>
      </c>
      <c r="AP308" s="1587">
        <f t="shared" si="194"/>
        <v>0</v>
      </c>
      <c r="AS308" s="1212" t="e">
        <f t="shared" ca="1" si="195"/>
        <v>#N/A</v>
      </c>
      <c r="AT308" s="1213" t="e">
        <f t="shared" ca="1" si="196"/>
        <v>#N/A</v>
      </c>
      <c r="AU308" s="1587">
        <f t="shared" si="197"/>
        <v>0</v>
      </c>
      <c r="AX308" s="1212" t="e">
        <f t="shared" ca="1" si="198"/>
        <v>#N/A</v>
      </c>
      <c r="AY308" s="1213" t="e">
        <f t="shared" ca="1" si="199"/>
        <v>#N/A</v>
      </c>
      <c r="AZ308" s="1587">
        <f t="shared" si="200"/>
        <v>0</v>
      </c>
      <c r="BC308" s="1212" t="e">
        <f t="shared" ca="1" si="201"/>
        <v>#N/A</v>
      </c>
      <c r="BD308" s="1213" t="e">
        <f t="shared" ca="1" si="202"/>
        <v>#N/A</v>
      </c>
      <c r="BE308" s="1587">
        <f t="shared" si="203"/>
        <v>0</v>
      </c>
      <c r="BH308" s="1212" t="e">
        <f t="shared" ca="1" si="204"/>
        <v>#N/A</v>
      </c>
      <c r="BI308" s="1213" t="e">
        <f t="shared" ca="1" si="205"/>
        <v>#N/A</v>
      </c>
      <c r="BJ308" s="1587">
        <f t="shared" si="206"/>
        <v>0</v>
      </c>
      <c r="BM308" s="1212" t="e">
        <f t="shared" ca="1" si="207"/>
        <v>#N/A</v>
      </c>
      <c r="BN308" s="1213" t="e">
        <f t="shared" ca="1" si="208"/>
        <v>#N/A</v>
      </c>
      <c r="BO308" s="1587">
        <f t="shared" si="209"/>
        <v>0</v>
      </c>
      <c r="BR308" s="1212" t="e">
        <f t="shared" ca="1" si="210"/>
        <v>#N/A</v>
      </c>
      <c r="BS308" s="1213" t="e">
        <f t="shared" ca="1" si="211"/>
        <v>#N/A</v>
      </c>
      <c r="BT308" s="1587">
        <f t="shared" si="212"/>
        <v>0</v>
      </c>
      <c r="BW308" s="1212" t="e">
        <f t="shared" ca="1" si="213"/>
        <v>#N/A</v>
      </c>
      <c r="BX308" s="1213" t="e">
        <f t="shared" ca="1" si="214"/>
        <v>#N/A</v>
      </c>
      <c r="BY308" s="1587">
        <f t="shared" si="215"/>
        <v>0</v>
      </c>
      <c r="CB308" s="1212" t="e">
        <f t="shared" ca="1" si="216"/>
        <v>#N/A</v>
      </c>
      <c r="CC308" s="1213" t="e">
        <f t="shared" ca="1" si="217"/>
        <v>#N/A</v>
      </c>
      <c r="CD308" s="1587">
        <f t="shared" si="218"/>
        <v>0</v>
      </c>
      <c r="CG308" s="1212" t="e">
        <f t="shared" ca="1" si="219"/>
        <v>#N/A</v>
      </c>
      <c r="CH308" s="1213" t="e">
        <f t="shared" ca="1" si="220"/>
        <v>#N/A</v>
      </c>
      <c r="CI308" s="1587">
        <f t="shared" si="221"/>
        <v>0</v>
      </c>
      <c r="CL308" s="1212" t="e">
        <f t="shared" ca="1" si="222"/>
        <v>#N/A</v>
      </c>
      <c r="CM308" s="1213" t="e">
        <f t="shared" ca="1" si="223"/>
        <v>#N/A</v>
      </c>
      <c r="CN308" s="1587">
        <f t="shared" si="224"/>
        <v>0</v>
      </c>
    </row>
    <row r="309" spans="1:92">
      <c r="A309" s="141">
        <f>'銀行-TSS'!A309</f>
        <v>0</v>
      </c>
      <c r="B309" s="151">
        <f ca="1">VLOOKUP(A309,'銀行-TSS'!A:B,2,FALSE)</f>
        <v>0</v>
      </c>
      <c r="C309" s="151" t="e">
        <f ca="1">VLOOKUP(B309,bond!B:C,2,FALSE)</f>
        <v>#N/A</v>
      </c>
      <c r="D309" s="95" t="e">
        <f>VLOOKUP(A309,'銀行-TSS'!A:C,3,FALSE)</f>
        <v>#N/A</v>
      </c>
      <c r="E309" s="90" t="e">
        <f ca="1">VLOOKUP(A309,'銀行-TSS'!A:G,7,FALSE)</f>
        <v>#N/A</v>
      </c>
      <c r="F309" s="202" t="e">
        <f ca="1">VLOOKUP(A309,'銀行-TSS'!A:H,8,FALSE)</f>
        <v>#N/A</v>
      </c>
      <c r="G309" s="96" t="e">
        <f ca="1">VLOOKUP(A309,'銀行-TSS'!A:K,11,FALSE)</f>
        <v>#N/A</v>
      </c>
      <c r="H309" s="1209" t="e">
        <f ca="1">VLOOKUP(A309,'銀行-TSS'!A:M,13,FALSE)</f>
        <v>#N/A</v>
      </c>
      <c r="I309" s="1213" t="e">
        <f ca="1">VLOOKUP(A309,'銀行-TSS'!A:N,14,FALSE)</f>
        <v>#N/A</v>
      </c>
      <c r="J309" s="1213" t="e">
        <f ca="1">VLOOKUP(A309,'銀行-TSS'!A:O,15,FALSE)</f>
        <v>#N/A</v>
      </c>
      <c r="K309" s="136" t="e">
        <f ca="1">VLOOKUP(A309,'銀行-TSS'!A:V,22,FALSE)</f>
        <v>#N/A</v>
      </c>
      <c r="L309" s="136" t="e">
        <f ca="1">VLOOKUP(A309,'銀行-TSS'!A:AK,37,FALSE)</f>
        <v>#N/A</v>
      </c>
      <c r="M309" s="136" t="str">
        <f ca="1">VLOOKUP(A309,'銀行-TSS'!A:AN,40,FALSE)</f>
        <v/>
      </c>
      <c r="N309" s="136" t="e">
        <f t="shared" ca="1" si="180"/>
        <v>#N/A</v>
      </c>
      <c r="O309" s="1213" t="e">
        <f t="shared" ca="1" si="181"/>
        <v>#N/A</v>
      </c>
      <c r="P309" s="1213" t="e">
        <f ca="1">IF(AND($O$1&gt;=O309,換券單檔!$D$13=D309),I309+INT(($O$1-O309)/N309)*J309,0)</f>
        <v>#N/A</v>
      </c>
      <c r="Q309" s="1213" t="e">
        <f t="shared" ca="1" si="182"/>
        <v>#N/A</v>
      </c>
      <c r="R309" s="1213">
        <f t="shared" si="183"/>
        <v>0</v>
      </c>
      <c r="S309" s="1213">
        <f t="shared" si="184"/>
        <v>0</v>
      </c>
      <c r="T309" s="136">
        <f>IF(OR(R309=0,A309=0),0,IF(AND(V309=TRUE,換券單檔!$D$13=D309),E309,0))</f>
        <v>0</v>
      </c>
      <c r="U309" s="861">
        <f>IF(OR(R309=0,A309=0),0,IF(AND(V309=TRUE,換券單檔!$D$13=D309),H309,0))</f>
        <v>0</v>
      </c>
      <c r="V309" s="136" t="e">
        <f ca="1">IF(OR(B309=換券單檔!$D$3,L309="無",M309&lt;&gt;"",K309="高資產",IFERROR(MATCH(B309,換券單檔!K:K,0),"N")&lt;&gt;"N"),FALSE,IF($V$1="All",TRUE,IF(K309=$V$1,TRUE,FALSE)))</f>
        <v>#N/A</v>
      </c>
      <c r="W309" s="136" t="e">
        <f ca="1">VLOOKUP(A309,'銀行-TSS'!A:AO,41,FALSE)</f>
        <v>#N/A</v>
      </c>
      <c r="X309" s="136" t="e">
        <f ca="1">VLOOKUP(A309,'銀行-TSS'!A:AP,42,FALSE)</f>
        <v>#N/A</v>
      </c>
      <c r="Y309" s="1220">
        <f t="shared" si="185"/>
        <v>0</v>
      </c>
      <c r="Z309" s="1220">
        <f t="shared" si="186"/>
        <v>0</v>
      </c>
      <c r="AA309" s="136">
        <f>IF(Z309&lt;=0,0,RANK(Z309,Z:Z)+COUNTIF($Z$3:$Z309,Z309)-1)</f>
        <v>0</v>
      </c>
      <c r="AB309" s="1211">
        <f t="shared" ca="1" si="187"/>
        <v>-14896.14</v>
      </c>
      <c r="AC309" s="136">
        <f ca="1">IF(AB309&lt;=0,0,RANK(AB309,AB:AB)+COUNTIF($AB$3:$AB309,AB309)-1)</f>
        <v>0</v>
      </c>
      <c r="AD309" s="1123">
        <f t="shared" si="188"/>
        <v>99999</v>
      </c>
      <c r="AE309" s="1123">
        <f>IF(AD309=99999,0,RANK(AD309,AD:AD,1)+COUNTIF($AD$3:$AD309,AD309)-1)</f>
        <v>0</v>
      </c>
      <c r="AF309" s="86" t="e">
        <f ca="1">IF(OR(M309&lt;&gt;"",L309="無",K309="高資產",IFERROR(MATCH(B309,換券單檔!K:K,0),"N")&lt;&gt;"N"),FALSE,TRUE)</f>
        <v>#N/A</v>
      </c>
      <c r="AI309" s="1212" t="e">
        <f t="shared" ca="1" si="189"/>
        <v>#N/A</v>
      </c>
      <c r="AJ309" s="1213" t="e">
        <f t="shared" ca="1" si="190"/>
        <v>#N/A</v>
      </c>
      <c r="AK309" s="1587">
        <f t="shared" si="191"/>
        <v>0</v>
      </c>
      <c r="AN309" s="1212" t="e">
        <f t="shared" ca="1" si="192"/>
        <v>#N/A</v>
      </c>
      <c r="AO309" s="1213" t="e">
        <f t="shared" ca="1" si="193"/>
        <v>#N/A</v>
      </c>
      <c r="AP309" s="1587">
        <f t="shared" si="194"/>
        <v>0</v>
      </c>
      <c r="AS309" s="1212" t="e">
        <f t="shared" ca="1" si="195"/>
        <v>#N/A</v>
      </c>
      <c r="AT309" s="1213" t="e">
        <f t="shared" ca="1" si="196"/>
        <v>#N/A</v>
      </c>
      <c r="AU309" s="1587">
        <f t="shared" si="197"/>
        <v>0</v>
      </c>
      <c r="AX309" s="1212" t="e">
        <f t="shared" ca="1" si="198"/>
        <v>#N/A</v>
      </c>
      <c r="AY309" s="1213" t="e">
        <f t="shared" ca="1" si="199"/>
        <v>#N/A</v>
      </c>
      <c r="AZ309" s="1587">
        <f t="shared" si="200"/>
        <v>0</v>
      </c>
      <c r="BC309" s="1212" t="e">
        <f t="shared" ca="1" si="201"/>
        <v>#N/A</v>
      </c>
      <c r="BD309" s="1213" t="e">
        <f t="shared" ca="1" si="202"/>
        <v>#N/A</v>
      </c>
      <c r="BE309" s="1587">
        <f t="shared" si="203"/>
        <v>0</v>
      </c>
      <c r="BH309" s="1212" t="e">
        <f t="shared" ca="1" si="204"/>
        <v>#N/A</v>
      </c>
      <c r="BI309" s="1213" t="e">
        <f t="shared" ca="1" si="205"/>
        <v>#N/A</v>
      </c>
      <c r="BJ309" s="1587">
        <f t="shared" si="206"/>
        <v>0</v>
      </c>
      <c r="BM309" s="1212" t="e">
        <f t="shared" ca="1" si="207"/>
        <v>#N/A</v>
      </c>
      <c r="BN309" s="1213" t="e">
        <f t="shared" ca="1" si="208"/>
        <v>#N/A</v>
      </c>
      <c r="BO309" s="1587">
        <f t="shared" si="209"/>
        <v>0</v>
      </c>
      <c r="BR309" s="1212" t="e">
        <f t="shared" ca="1" si="210"/>
        <v>#N/A</v>
      </c>
      <c r="BS309" s="1213" t="e">
        <f t="shared" ca="1" si="211"/>
        <v>#N/A</v>
      </c>
      <c r="BT309" s="1587">
        <f t="shared" si="212"/>
        <v>0</v>
      </c>
      <c r="BW309" s="1212" t="e">
        <f t="shared" ca="1" si="213"/>
        <v>#N/A</v>
      </c>
      <c r="BX309" s="1213" t="e">
        <f t="shared" ca="1" si="214"/>
        <v>#N/A</v>
      </c>
      <c r="BY309" s="1587">
        <f t="shared" si="215"/>
        <v>0</v>
      </c>
      <c r="CB309" s="1212" t="e">
        <f t="shared" ca="1" si="216"/>
        <v>#N/A</v>
      </c>
      <c r="CC309" s="1213" t="e">
        <f t="shared" ca="1" si="217"/>
        <v>#N/A</v>
      </c>
      <c r="CD309" s="1587">
        <f t="shared" si="218"/>
        <v>0</v>
      </c>
      <c r="CG309" s="1212" t="e">
        <f t="shared" ca="1" si="219"/>
        <v>#N/A</v>
      </c>
      <c r="CH309" s="1213" t="e">
        <f t="shared" ca="1" si="220"/>
        <v>#N/A</v>
      </c>
      <c r="CI309" s="1587">
        <f t="shared" si="221"/>
        <v>0</v>
      </c>
      <c r="CL309" s="1212" t="e">
        <f t="shared" ca="1" si="222"/>
        <v>#N/A</v>
      </c>
      <c r="CM309" s="1213" t="e">
        <f t="shared" ca="1" si="223"/>
        <v>#N/A</v>
      </c>
      <c r="CN309" s="1587">
        <f t="shared" si="224"/>
        <v>0</v>
      </c>
    </row>
    <row r="310" spans="1:92">
      <c r="A310" s="141">
        <f>'銀行-TSS'!A310</f>
        <v>0</v>
      </c>
      <c r="B310" s="151">
        <f ca="1">VLOOKUP(A310,'銀行-TSS'!A:B,2,FALSE)</f>
        <v>0</v>
      </c>
      <c r="C310" s="151" t="e">
        <f ca="1">VLOOKUP(B310,bond!B:C,2,FALSE)</f>
        <v>#N/A</v>
      </c>
      <c r="D310" s="95" t="e">
        <f>VLOOKUP(A310,'銀行-TSS'!A:C,3,FALSE)</f>
        <v>#N/A</v>
      </c>
      <c r="E310" s="90" t="e">
        <f ca="1">VLOOKUP(A310,'銀行-TSS'!A:G,7,FALSE)</f>
        <v>#N/A</v>
      </c>
      <c r="F310" s="202" t="e">
        <f ca="1">VLOOKUP(A310,'銀行-TSS'!A:H,8,FALSE)</f>
        <v>#N/A</v>
      </c>
      <c r="G310" s="96" t="e">
        <f ca="1">VLOOKUP(A310,'銀行-TSS'!A:K,11,FALSE)</f>
        <v>#N/A</v>
      </c>
      <c r="H310" s="1209" t="e">
        <f ca="1">VLOOKUP(A310,'銀行-TSS'!A:M,13,FALSE)</f>
        <v>#N/A</v>
      </c>
      <c r="I310" s="1213" t="e">
        <f ca="1">VLOOKUP(A310,'銀行-TSS'!A:N,14,FALSE)</f>
        <v>#N/A</v>
      </c>
      <c r="J310" s="1213" t="e">
        <f ca="1">VLOOKUP(A310,'銀行-TSS'!A:O,15,FALSE)</f>
        <v>#N/A</v>
      </c>
      <c r="K310" s="136" t="e">
        <f ca="1">VLOOKUP(A310,'銀行-TSS'!A:V,22,FALSE)</f>
        <v>#N/A</v>
      </c>
      <c r="L310" s="136" t="e">
        <f ca="1">VLOOKUP(A310,'銀行-TSS'!A:AK,37,FALSE)</f>
        <v>#N/A</v>
      </c>
      <c r="M310" s="136" t="str">
        <f ca="1">VLOOKUP(A310,'銀行-TSS'!A:AN,40,FALSE)</f>
        <v/>
      </c>
      <c r="N310" s="136" t="e">
        <f t="shared" ca="1" si="180"/>
        <v>#N/A</v>
      </c>
      <c r="O310" s="1213" t="e">
        <f t="shared" ca="1" si="181"/>
        <v>#N/A</v>
      </c>
      <c r="P310" s="1213" t="e">
        <f ca="1">IF(AND($O$1&gt;=O310,換券單檔!$D$13=D310),I310+INT(($O$1-O310)/N310)*J310,0)</f>
        <v>#N/A</v>
      </c>
      <c r="Q310" s="1213" t="e">
        <f t="shared" ca="1" si="182"/>
        <v>#N/A</v>
      </c>
      <c r="R310" s="1213">
        <f t="shared" si="183"/>
        <v>0</v>
      </c>
      <c r="S310" s="1213">
        <f t="shared" si="184"/>
        <v>0</v>
      </c>
      <c r="T310" s="136">
        <f>IF(OR(R310=0,A310=0),0,IF(AND(V310=TRUE,換券單檔!$D$13=D310),E310,0))</f>
        <v>0</v>
      </c>
      <c r="U310" s="861">
        <f>IF(OR(R310=0,A310=0),0,IF(AND(V310=TRUE,換券單檔!$D$13=D310),H310,0))</f>
        <v>0</v>
      </c>
      <c r="V310" s="136" t="e">
        <f ca="1">IF(OR(B310=換券單檔!$D$3,L310="無",M310&lt;&gt;"",K310="高資產",IFERROR(MATCH(B310,換券單檔!K:K,0),"N")&lt;&gt;"N"),FALSE,IF($V$1="All",TRUE,IF(K310=$V$1,TRUE,FALSE)))</f>
        <v>#N/A</v>
      </c>
      <c r="W310" s="136" t="e">
        <f ca="1">VLOOKUP(A310,'銀行-TSS'!A:AO,41,FALSE)</f>
        <v>#N/A</v>
      </c>
      <c r="X310" s="136" t="e">
        <f ca="1">VLOOKUP(A310,'銀行-TSS'!A:AP,42,FALSE)</f>
        <v>#N/A</v>
      </c>
      <c r="Y310" s="1220">
        <f t="shared" si="185"/>
        <v>0</v>
      </c>
      <c r="Z310" s="1220">
        <f t="shared" si="186"/>
        <v>0</v>
      </c>
      <c r="AA310" s="136">
        <f>IF(Z310&lt;=0,0,RANK(Z310,Z:Z)+COUNTIF($Z$3:$Z310,Z310)-1)</f>
        <v>0</v>
      </c>
      <c r="AB310" s="1211">
        <f t="shared" ca="1" si="187"/>
        <v>-14896.14</v>
      </c>
      <c r="AC310" s="136">
        <f ca="1">IF(AB310&lt;=0,0,RANK(AB310,AB:AB)+COUNTIF($AB$3:$AB310,AB310)-1)</f>
        <v>0</v>
      </c>
      <c r="AD310" s="1123">
        <f t="shared" si="188"/>
        <v>99999</v>
      </c>
      <c r="AE310" s="1123">
        <f>IF(AD310=99999,0,RANK(AD310,AD:AD,1)+COUNTIF($AD$3:$AD310,AD310)-1)</f>
        <v>0</v>
      </c>
      <c r="AF310" s="86" t="e">
        <f ca="1">IF(OR(M310&lt;&gt;"",L310="無",K310="高資產",IFERROR(MATCH(B310,換券單檔!K:K,0),"N")&lt;&gt;"N"),FALSE,TRUE)</f>
        <v>#N/A</v>
      </c>
      <c r="AI310" s="1212" t="e">
        <f t="shared" ca="1" si="189"/>
        <v>#N/A</v>
      </c>
      <c r="AJ310" s="1213" t="e">
        <f t="shared" ca="1" si="190"/>
        <v>#N/A</v>
      </c>
      <c r="AK310" s="1587">
        <f t="shared" si="191"/>
        <v>0</v>
      </c>
      <c r="AN310" s="1212" t="e">
        <f t="shared" ca="1" si="192"/>
        <v>#N/A</v>
      </c>
      <c r="AO310" s="1213" t="e">
        <f t="shared" ca="1" si="193"/>
        <v>#N/A</v>
      </c>
      <c r="AP310" s="1587">
        <f t="shared" si="194"/>
        <v>0</v>
      </c>
      <c r="AS310" s="1212" t="e">
        <f t="shared" ca="1" si="195"/>
        <v>#N/A</v>
      </c>
      <c r="AT310" s="1213" t="e">
        <f t="shared" ca="1" si="196"/>
        <v>#N/A</v>
      </c>
      <c r="AU310" s="1587">
        <f t="shared" si="197"/>
        <v>0</v>
      </c>
      <c r="AX310" s="1212" t="e">
        <f t="shared" ca="1" si="198"/>
        <v>#N/A</v>
      </c>
      <c r="AY310" s="1213" t="e">
        <f t="shared" ca="1" si="199"/>
        <v>#N/A</v>
      </c>
      <c r="AZ310" s="1587">
        <f t="shared" si="200"/>
        <v>0</v>
      </c>
      <c r="BC310" s="1212" t="e">
        <f t="shared" ca="1" si="201"/>
        <v>#N/A</v>
      </c>
      <c r="BD310" s="1213" t="e">
        <f t="shared" ca="1" si="202"/>
        <v>#N/A</v>
      </c>
      <c r="BE310" s="1587">
        <f t="shared" si="203"/>
        <v>0</v>
      </c>
      <c r="BH310" s="1212" t="e">
        <f t="shared" ca="1" si="204"/>
        <v>#N/A</v>
      </c>
      <c r="BI310" s="1213" t="e">
        <f t="shared" ca="1" si="205"/>
        <v>#N/A</v>
      </c>
      <c r="BJ310" s="1587">
        <f t="shared" si="206"/>
        <v>0</v>
      </c>
      <c r="BM310" s="1212" t="e">
        <f t="shared" ca="1" si="207"/>
        <v>#N/A</v>
      </c>
      <c r="BN310" s="1213" t="e">
        <f t="shared" ca="1" si="208"/>
        <v>#N/A</v>
      </c>
      <c r="BO310" s="1587">
        <f t="shared" si="209"/>
        <v>0</v>
      </c>
      <c r="BR310" s="1212" t="e">
        <f t="shared" ca="1" si="210"/>
        <v>#N/A</v>
      </c>
      <c r="BS310" s="1213" t="e">
        <f t="shared" ca="1" si="211"/>
        <v>#N/A</v>
      </c>
      <c r="BT310" s="1587">
        <f t="shared" si="212"/>
        <v>0</v>
      </c>
      <c r="BW310" s="1212" t="e">
        <f t="shared" ca="1" si="213"/>
        <v>#N/A</v>
      </c>
      <c r="BX310" s="1213" t="e">
        <f t="shared" ca="1" si="214"/>
        <v>#N/A</v>
      </c>
      <c r="BY310" s="1587">
        <f t="shared" si="215"/>
        <v>0</v>
      </c>
      <c r="CB310" s="1212" t="e">
        <f t="shared" ca="1" si="216"/>
        <v>#N/A</v>
      </c>
      <c r="CC310" s="1213" t="e">
        <f t="shared" ca="1" si="217"/>
        <v>#N/A</v>
      </c>
      <c r="CD310" s="1587">
        <f t="shared" si="218"/>
        <v>0</v>
      </c>
      <c r="CG310" s="1212" t="e">
        <f t="shared" ca="1" si="219"/>
        <v>#N/A</v>
      </c>
      <c r="CH310" s="1213" t="e">
        <f t="shared" ca="1" si="220"/>
        <v>#N/A</v>
      </c>
      <c r="CI310" s="1587">
        <f t="shared" si="221"/>
        <v>0</v>
      </c>
      <c r="CL310" s="1212" t="e">
        <f t="shared" ca="1" si="222"/>
        <v>#N/A</v>
      </c>
      <c r="CM310" s="1213" t="e">
        <f t="shared" ca="1" si="223"/>
        <v>#N/A</v>
      </c>
      <c r="CN310" s="1587">
        <f t="shared" si="224"/>
        <v>0</v>
      </c>
    </row>
    <row r="311" spans="1:92">
      <c r="A311" s="141">
        <f>'銀行-TSS'!A311</f>
        <v>0</v>
      </c>
      <c r="B311" s="151">
        <f ca="1">VLOOKUP(A311,'銀行-TSS'!A:B,2,FALSE)</f>
        <v>0</v>
      </c>
      <c r="C311" s="151" t="e">
        <f ca="1">VLOOKUP(B311,bond!B:C,2,FALSE)</f>
        <v>#N/A</v>
      </c>
      <c r="D311" s="95" t="e">
        <f>VLOOKUP(A311,'銀行-TSS'!A:C,3,FALSE)</f>
        <v>#N/A</v>
      </c>
      <c r="E311" s="90" t="e">
        <f ca="1">VLOOKUP(A311,'銀行-TSS'!A:G,7,FALSE)</f>
        <v>#N/A</v>
      </c>
      <c r="F311" s="202" t="e">
        <f ca="1">VLOOKUP(A311,'銀行-TSS'!A:H,8,FALSE)</f>
        <v>#N/A</v>
      </c>
      <c r="G311" s="96" t="e">
        <f ca="1">VLOOKUP(A311,'銀行-TSS'!A:K,11,FALSE)</f>
        <v>#N/A</v>
      </c>
      <c r="H311" s="1209" t="e">
        <f ca="1">VLOOKUP(A311,'銀行-TSS'!A:M,13,FALSE)</f>
        <v>#N/A</v>
      </c>
      <c r="I311" s="1213" t="e">
        <f ca="1">VLOOKUP(A311,'銀行-TSS'!A:N,14,FALSE)</f>
        <v>#N/A</v>
      </c>
      <c r="J311" s="1213" t="e">
        <f ca="1">VLOOKUP(A311,'銀行-TSS'!A:O,15,FALSE)</f>
        <v>#N/A</v>
      </c>
      <c r="K311" s="136" t="e">
        <f ca="1">VLOOKUP(A311,'銀行-TSS'!A:V,22,FALSE)</f>
        <v>#N/A</v>
      </c>
      <c r="L311" s="136" t="e">
        <f ca="1">VLOOKUP(A311,'銀行-TSS'!A:AK,37,FALSE)</f>
        <v>#N/A</v>
      </c>
      <c r="M311" s="136" t="str">
        <f ca="1">VLOOKUP(A311,'銀行-TSS'!A:AN,40,FALSE)</f>
        <v/>
      </c>
      <c r="N311" s="136" t="e">
        <f t="shared" ca="1" si="180"/>
        <v>#N/A</v>
      </c>
      <c r="O311" s="1213" t="e">
        <f t="shared" ca="1" si="181"/>
        <v>#N/A</v>
      </c>
      <c r="P311" s="1213" t="e">
        <f ca="1">IF(AND($O$1&gt;=O311,換券單檔!$D$13=D311),I311+INT(($O$1-O311)/N311)*J311,0)</f>
        <v>#N/A</v>
      </c>
      <c r="Q311" s="1213" t="e">
        <f t="shared" ca="1" si="182"/>
        <v>#N/A</v>
      </c>
      <c r="R311" s="1213">
        <f t="shared" si="183"/>
        <v>0</v>
      </c>
      <c r="S311" s="1213">
        <f t="shared" si="184"/>
        <v>0</v>
      </c>
      <c r="T311" s="136">
        <f>IF(OR(R311=0,A311=0),0,IF(AND(V311=TRUE,換券單檔!$D$13=D311),E311,0))</f>
        <v>0</v>
      </c>
      <c r="U311" s="861">
        <f>IF(OR(R311=0,A311=0),0,IF(AND(V311=TRUE,換券單檔!$D$13=D311),H311,0))</f>
        <v>0</v>
      </c>
      <c r="V311" s="136" t="e">
        <f ca="1">IF(OR(B311=換券單檔!$D$3,L311="無",M311&lt;&gt;"",K311="高資產",IFERROR(MATCH(B311,換券單檔!K:K,0),"N")&lt;&gt;"N"),FALSE,IF($V$1="All",TRUE,IF(K311=$V$1,TRUE,FALSE)))</f>
        <v>#N/A</v>
      </c>
      <c r="W311" s="136" t="e">
        <f ca="1">VLOOKUP(A311,'銀行-TSS'!A:AO,41,FALSE)</f>
        <v>#N/A</v>
      </c>
      <c r="X311" s="136" t="e">
        <f ca="1">VLOOKUP(A311,'銀行-TSS'!A:AP,42,FALSE)</f>
        <v>#N/A</v>
      </c>
      <c r="Y311" s="1220">
        <f t="shared" si="185"/>
        <v>0</v>
      </c>
      <c r="Z311" s="1220">
        <f t="shared" si="186"/>
        <v>0</v>
      </c>
      <c r="AA311" s="136">
        <f>IF(Z311&lt;=0,0,RANK(Z311,Z:Z)+COUNTIF($Z$3:$Z311,Z311)-1)</f>
        <v>0</v>
      </c>
      <c r="AB311" s="1211">
        <f t="shared" ca="1" si="187"/>
        <v>-14896.14</v>
      </c>
      <c r="AC311" s="136">
        <f ca="1">IF(AB311&lt;=0,0,RANK(AB311,AB:AB)+COUNTIF($AB$3:$AB311,AB311)-1)</f>
        <v>0</v>
      </c>
      <c r="AD311" s="1123">
        <f t="shared" si="188"/>
        <v>99999</v>
      </c>
      <c r="AE311" s="1123">
        <f>IF(AD311=99999,0,RANK(AD311,AD:AD,1)+COUNTIF($AD$3:$AD311,AD311)-1)</f>
        <v>0</v>
      </c>
      <c r="AF311" s="86" t="e">
        <f ca="1">IF(OR(M311&lt;&gt;"",L311="無",K311="高資產",IFERROR(MATCH(B311,換券單檔!K:K,0),"N")&lt;&gt;"N"),FALSE,TRUE)</f>
        <v>#N/A</v>
      </c>
      <c r="AI311" s="1212" t="e">
        <f t="shared" ca="1" si="189"/>
        <v>#N/A</v>
      </c>
      <c r="AJ311" s="1213" t="e">
        <f t="shared" ca="1" si="190"/>
        <v>#N/A</v>
      </c>
      <c r="AK311" s="1587">
        <f t="shared" si="191"/>
        <v>0</v>
      </c>
      <c r="AN311" s="1212" t="e">
        <f t="shared" ca="1" si="192"/>
        <v>#N/A</v>
      </c>
      <c r="AO311" s="1213" t="e">
        <f t="shared" ca="1" si="193"/>
        <v>#N/A</v>
      </c>
      <c r="AP311" s="1587">
        <f t="shared" si="194"/>
        <v>0</v>
      </c>
      <c r="AS311" s="1212" t="e">
        <f t="shared" ca="1" si="195"/>
        <v>#N/A</v>
      </c>
      <c r="AT311" s="1213" t="e">
        <f t="shared" ca="1" si="196"/>
        <v>#N/A</v>
      </c>
      <c r="AU311" s="1587">
        <f t="shared" si="197"/>
        <v>0</v>
      </c>
      <c r="AX311" s="1212" t="e">
        <f t="shared" ca="1" si="198"/>
        <v>#N/A</v>
      </c>
      <c r="AY311" s="1213" t="e">
        <f t="shared" ca="1" si="199"/>
        <v>#N/A</v>
      </c>
      <c r="AZ311" s="1587">
        <f t="shared" si="200"/>
        <v>0</v>
      </c>
      <c r="BC311" s="1212" t="e">
        <f t="shared" ca="1" si="201"/>
        <v>#N/A</v>
      </c>
      <c r="BD311" s="1213" t="e">
        <f t="shared" ca="1" si="202"/>
        <v>#N/A</v>
      </c>
      <c r="BE311" s="1587">
        <f t="shared" si="203"/>
        <v>0</v>
      </c>
      <c r="BH311" s="1212" t="e">
        <f t="shared" ca="1" si="204"/>
        <v>#N/A</v>
      </c>
      <c r="BI311" s="1213" t="e">
        <f t="shared" ca="1" si="205"/>
        <v>#N/A</v>
      </c>
      <c r="BJ311" s="1587">
        <f t="shared" si="206"/>
        <v>0</v>
      </c>
      <c r="BM311" s="1212" t="e">
        <f t="shared" ca="1" si="207"/>
        <v>#N/A</v>
      </c>
      <c r="BN311" s="1213" t="e">
        <f t="shared" ca="1" si="208"/>
        <v>#N/A</v>
      </c>
      <c r="BO311" s="1587">
        <f t="shared" si="209"/>
        <v>0</v>
      </c>
      <c r="BR311" s="1212" t="e">
        <f t="shared" ca="1" si="210"/>
        <v>#N/A</v>
      </c>
      <c r="BS311" s="1213" t="e">
        <f t="shared" ca="1" si="211"/>
        <v>#N/A</v>
      </c>
      <c r="BT311" s="1587">
        <f t="shared" si="212"/>
        <v>0</v>
      </c>
      <c r="BW311" s="1212" t="e">
        <f t="shared" ca="1" si="213"/>
        <v>#N/A</v>
      </c>
      <c r="BX311" s="1213" t="e">
        <f t="shared" ca="1" si="214"/>
        <v>#N/A</v>
      </c>
      <c r="BY311" s="1587">
        <f t="shared" si="215"/>
        <v>0</v>
      </c>
      <c r="CB311" s="1212" t="e">
        <f t="shared" ca="1" si="216"/>
        <v>#N/A</v>
      </c>
      <c r="CC311" s="1213" t="e">
        <f t="shared" ca="1" si="217"/>
        <v>#N/A</v>
      </c>
      <c r="CD311" s="1587">
        <f t="shared" si="218"/>
        <v>0</v>
      </c>
      <c r="CG311" s="1212" t="e">
        <f t="shared" ca="1" si="219"/>
        <v>#N/A</v>
      </c>
      <c r="CH311" s="1213" t="e">
        <f t="shared" ca="1" si="220"/>
        <v>#N/A</v>
      </c>
      <c r="CI311" s="1587">
        <f t="shared" si="221"/>
        <v>0</v>
      </c>
      <c r="CL311" s="1212" t="e">
        <f t="shared" ca="1" si="222"/>
        <v>#N/A</v>
      </c>
      <c r="CM311" s="1213" t="e">
        <f t="shared" ca="1" si="223"/>
        <v>#N/A</v>
      </c>
      <c r="CN311" s="1587">
        <f t="shared" si="224"/>
        <v>0</v>
      </c>
    </row>
    <row r="312" spans="1:92">
      <c r="A312" s="141">
        <f>'銀行-TSS'!A312</f>
        <v>0</v>
      </c>
      <c r="B312" s="151">
        <f ca="1">VLOOKUP(A312,'銀行-TSS'!A:B,2,FALSE)</f>
        <v>0</v>
      </c>
      <c r="C312" s="151" t="e">
        <f ca="1">VLOOKUP(B312,bond!B:C,2,FALSE)</f>
        <v>#N/A</v>
      </c>
      <c r="D312" s="95" t="e">
        <f>VLOOKUP(A312,'銀行-TSS'!A:C,3,FALSE)</f>
        <v>#N/A</v>
      </c>
      <c r="E312" s="90" t="e">
        <f ca="1">VLOOKUP(A312,'銀行-TSS'!A:G,7,FALSE)</f>
        <v>#N/A</v>
      </c>
      <c r="F312" s="202" t="e">
        <f ca="1">VLOOKUP(A312,'銀行-TSS'!A:H,8,FALSE)</f>
        <v>#N/A</v>
      </c>
      <c r="G312" s="96" t="e">
        <f ca="1">VLOOKUP(A312,'銀行-TSS'!A:K,11,FALSE)</f>
        <v>#N/A</v>
      </c>
      <c r="H312" s="1209" t="e">
        <f ca="1">VLOOKUP(A312,'銀行-TSS'!A:M,13,FALSE)</f>
        <v>#N/A</v>
      </c>
      <c r="I312" s="1213" t="e">
        <f ca="1">VLOOKUP(A312,'銀行-TSS'!A:N,14,FALSE)</f>
        <v>#N/A</v>
      </c>
      <c r="J312" s="1213" t="e">
        <f ca="1">VLOOKUP(A312,'銀行-TSS'!A:O,15,FALSE)</f>
        <v>#N/A</v>
      </c>
      <c r="K312" s="136" t="e">
        <f ca="1">VLOOKUP(A312,'銀行-TSS'!A:V,22,FALSE)</f>
        <v>#N/A</v>
      </c>
      <c r="L312" s="136" t="e">
        <f ca="1">VLOOKUP(A312,'銀行-TSS'!A:AK,37,FALSE)</f>
        <v>#N/A</v>
      </c>
      <c r="M312" s="136" t="str">
        <f ca="1">VLOOKUP(A312,'銀行-TSS'!A:AN,40,FALSE)</f>
        <v/>
      </c>
      <c r="N312" s="136" t="e">
        <f t="shared" ca="1" si="180"/>
        <v>#N/A</v>
      </c>
      <c r="O312" s="1213" t="e">
        <f t="shared" ca="1" si="181"/>
        <v>#N/A</v>
      </c>
      <c r="P312" s="1213" t="e">
        <f ca="1">IF(AND($O$1&gt;=O312,換券單檔!$D$13=D312),I312+INT(($O$1-O312)/N312)*J312,0)</f>
        <v>#N/A</v>
      </c>
      <c r="Q312" s="1213" t="e">
        <f t="shared" ca="1" si="182"/>
        <v>#N/A</v>
      </c>
      <c r="R312" s="1213">
        <f t="shared" si="183"/>
        <v>0</v>
      </c>
      <c r="S312" s="1213">
        <f t="shared" si="184"/>
        <v>0</v>
      </c>
      <c r="T312" s="136">
        <f>IF(OR(R312=0,A312=0),0,IF(AND(V312=TRUE,換券單檔!$D$13=D312),E312,0))</f>
        <v>0</v>
      </c>
      <c r="U312" s="861">
        <f>IF(OR(R312=0,A312=0),0,IF(AND(V312=TRUE,換券單檔!$D$13=D312),H312,0))</f>
        <v>0</v>
      </c>
      <c r="V312" s="136" t="e">
        <f ca="1">IF(OR(B312=換券單檔!$D$3,L312="無",M312&lt;&gt;"",K312="高資產",IFERROR(MATCH(B312,換券單檔!K:K,0),"N")&lt;&gt;"N"),FALSE,IF($V$1="All",TRUE,IF(K312=$V$1,TRUE,FALSE)))</f>
        <v>#N/A</v>
      </c>
      <c r="W312" s="136" t="e">
        <f ca="1">VLOOKUP(A312,'銀行-TSS'!A:AO,41,FALSE)</f>
        <v>#N/A</v>
      </c>
      <c r="X312" s="136" t="e">
        <f ca="1">VLOOKUP(A312,'銀行-TSS'!A:AP,42,FALSE)</f>
        <v>#N/A</v>
      </c>
      <c r="Y312" s="1220">
        <f t="shared" si="185"/>
        <v>0</v>
      </c>
      <c r="Z312" s="1220">
        <f t="shared" si="186"/>
        <v>0</v>
      </c>
      <c r="AA312" s="136">
        <f>IF(Z312&lt;=0,0,RANK(Z312,Z:Z)+COUNTIF($Z$3:$Z312,Z312)-1)</f>
        <v>0</v>
      </c>
      <c r="AB312" s="1211">
        <f t="shared" ca="1" si="187"/>
        <v>-14896.14</v>
      </c>
      <c r="AC312" s="136">
        <f ca="1">IF(AB312&lt;=0,0,RANK(AB312,AB:AB)+COUNTIF($AB$3:$AB312,AB312)-1)</f>
        <v>0</v>
      </c>
      <c r="AD312" s="1123">
        <f t="shared" si="188"/>
        <v>99999</v>
      </c>
      <c r="AE312" s="1123">
        <f>IF(AD312=99999,0,RANK(AD312,AD:AD,1)+COUNTIF($AD$3:$AD312,AD312)-1)</f>
        <v>0</v>
      </c>
      <c r="AF312" s="86" t="e">
        <f ca="1">IF(OR(M312&lt;&gt;"",L312="無",K312="高資產",IFERROR(MATCH(B312,換券單檔!K:K,0),"N")&lt;&gt;"N"),FALSE,TRUE)</f>
        <v>#N/A</v>
      </c>
      <c r="AI312" s="1212" t="e">
        <f t="shared" ca="1" si="189"/>
        <v>#N/A</v>
      </c>
      <c r="AJ312" s="1213" t="e">
        <f t="shared" ca="1" si="190"/>
        <v>#N/A</v>
      </c>
      <c r="AK312" s="1587">
        <f t="shared" si="191"/>
        <v>0</v>
      </c>
      <c r="AN312" s="1212" t="e">
        <f t="shared" ca="1" si="192"/>
        <v>#N/A</v>
      </c>
      <c r="AO312" s="1213" t="e">
        <f t="shared" ca="1" si="193"/>
        <v>#N/A</v>
      </c>
      <c r="AP312" s="1587">
        <f t="shared" si="194"/>
        <v>0</v>
      </c>
      <c r="AS312" s="1212" t="e">
        <f t="shared" ca="1" si="195"/>
        <v>#N/A</v>
      </c>
      <c r="AT312" s="1213" t="e">
        <f t="shared" ca="1" si="196"/>
        <v>#N/A</v>
      </c>
      <c r="AU312" s="1587">
        <f t="shared" si="197"/>
        <v>0</v>
      </c>
      <c r="AX312" s="1212" t="e">
        <f t="shared" ca="1" si="198"/>
        <v>#N/A</v>
      </c>
      <c r="AY312" s="1213" t="e">
        <f t="shared" ca="1" si="199"/>
        <v>#N/A</v>
      </c>
      <c r="AZ312" s="1587">
        <f t="shared" si="200"/>
        <v>0</v>
      </c>
      <c r="BC312" s="1212" t="e">
        <f t="shared" ca="1" si="201"/>
        <v>#N/A</v>
      </c>
      <c r="BD312" s="1213" t="e">
        <f t="shared" ca="1" si="202"/>
        <v>#N/A</v>
      </c>
      <c r="BE312" s="1587">
        <f t="shared" si="203"/>
        <v>0</v>
      </c>
      <c r="BH312" s="1212" t="e">
        <f t="shared" ca="1" si="204"/>
        <v>#N/A</v>
      </c>
      <c r="BI312" s="1213" t="e">
        <f t="shared" ca="1" si="205"/>
        <v>#N/A</v>
      </c>
      <c r="BJ312" s="1587">
        <f t="shared" si="206"/>
        <v>0</v>
      </c>
      <c r="BM312" s="1212" t="e">
        <f t="shared" ca="1" si="207"/>
        <v>#N/A</v>
      </c>
      <c r="BN312" s="1213" t="e">
        <f t="shared" ca="1" si="208"/>
        <v>#N/A</v>
      </c>
      <c r="BO312" s="1587">
        <f t="shared" si="209"/>
        <v>0</v>
      </c>
      <c r="BR312" s="1212" t="e">
        <f t="shared" ca="1" si="210"/>
        <v>#N/A</v>
      </c>
      <c r="BS312" s="1213" t="e">
        <f t="shared" ca="1" si="211"/>
        <v>#N/A</v>
      </c>
      <c r="BT312" s="1587">
        <f t="shared" si="212"/>
        <v>0</v>
      </c>
      <c r="BW312" s="1212" t="e">
        <f t="shared" ca="1" si="213"/>
        <v>#N/A</v>
      </c>
      <c r="BX312" s="1213" t="e">
        <f t="shared" ca="1" si="214"/>
        <v>#N/A</v>
      </c>
      <c r="BY312" s="1587">
        <f t="shared" si="215"/>
        <v>0</v>
      </c>
      <c r="CB312" s="1212" t="e">
        <f t="shared" ca="1" si="216"/>
        <v>#N/A</v>
      </c>
      <c r="CC312" s="1213" t="e">
        <f t="shared" ca="1" si="217"/>
        <v>#N/A</v>
      </c>
      <c r="CD312" s="1587">
        <f t="shared" si="218"/>
        <v>0</v>
      </c>
      <c r="CG312" s="1212" t="e">
        <f t="shared" ca="1" si="219"/>
        <v>#N/A</v>
      </c>
      <c r="CH312" s="1213" t="e">
        <f t="shared" ca="1" si="220"/>
        <v>#N/A</v>
      </c>
      <c r="CI312" s="1587">
        <f t="shared" si="221"/>
        <v>0</v>
      </c>
      <c r="CL312" s="1212" t="e">
        <f t="shared" ca="1" si="222"/>
        <v>#N/A</v>
      </c>
      <c r="CM312" s="1213" t="e">
        <f t="shared" ca="1" si="223"/>
        <v>#N/A</v>
      </c>
      <c r="CN312" s="1587">
        <f t="shared" si="224"/>
        <v>0</v>
      </c>
    </row>
    <row r="313" spans="1:92">
      <c r="A313" s="141">
        <f>'銀行-TSS'!A313</f>
        <v>0</v>
      </c>
      <c r="B313" s="151">
        <f ca="1">VLOOKUP(A313,'銀行-TSS'!A:B,2,FALSE)</f>
        <v>0</v>
      </c>
      <c r="C313" s="151" t="e">
        <f ca="1">VLOOKUP(B313,bond!B:C,2,FALSE)</f>
        <v>#N/A</v>
      </c>
      <c r="D313" s="95" t="e">
        <f>VLOOKUP(A313,'銀行-TSS'!A:C,3,FALSE)</f>
        <v>#N/A</v>
      </c>
      <c r="E313" s="90" t="e">
        <f ca="1">VLOOKUP(A313,'銀行-TSS'!A:G,7,FALSE)</f>
        <v>#N/A</v>
      </c>
      <c r="F313" s="202" t="e">
        <f ca="1">VLOOKUP(A313,'銀行-TSS'!A:H,8,FALSE)</f>
        <v>#N/A</v>
      </c>
      <c r="G313" s="96" t="e">
        <f ca="1">VLOOKUP(A313,'銀行-TSS'!A:K,11,FALSE)</f>
        <v>#N/A</v>
      </c>
      <c r="H313" s="1209" t="e">
        <f ca="1">VLOOKUP(A313,'銀行-TSS'!A:M,13,FALSE)</f>
        <v>#N/A</v>
      </c>
      <c r="I313" s="1213" t="e">
        <f ca="1">VLOOKUP(A313,'銀行-TSS'!A:N,14,FALSE)</f>
        <v>#N/A</v>
      </c>
      <c r="J313" s="1213" t="e">
        <f ca="1">VLOOKUP(A313,'銀行-TSS'!A:O,15,FALSE)</f>
        <v>#N/A</v>
      </c>
      <c r="K313" s="136" t="e">
        <f ca="1">VLOOKUP(A313,'銀行-TSS'!A:V,22,FALSE)</f>
        <v>#N/A</v>
      </c>
      <c r="L313" s="136" t="e">
        <f ca="1">VLOOKUP(A313,'銀行-TSS'!A:AK,37,FALSE)</f>
        <v>#N/A</v>
      </c>
      <c r="M313" s="136" t="str">
        <f ca="1">VLOOKUP(A313,'銀行-TSS'!A:AN,40,FALSE)</f>
        <v/>
      </c>
      <c r="N313" s="136" t="e">
        <f t="shared" ca="1" si="180"/>
        <v>#N/A</v>
      </c>
      <c r="O313" s="1213" t="e">
        <f t="shared" ca="1" si="181"/>
        <v>#N/A</v>
      </c>
      <c r="P313" s="1213" t="e">
        <f ca="1">IF(AND($O$1&gt;=O313,換券單檔!$D$13=D313),I313+INT(($O$1-O313)/N313)*J313,0)</f>
        <v>#N/A</v>
      </c>
      <c r="Q313" s="1213" t="e">
        <f t="shared" ca="1" si="182"/>
        <v>#N/A</v>
      </c>
      <c r="R313" s="1213">
        <f t="shared" si="183"/>
        <v>0</v>
      </c>
      <c r="S313" s="1213">
        <f t="shared" si="184"/>
        <v>0</v>
      </c>
      <c r="T313" s="136">
        <f>IF(OR(R313=0,A313=0),0,IF(AND(V313=TRUE,換券單檔!$D$13=D313),E313,0))</f>
        <v>0</v>
      </c>
      <c r="U313" s="861">
        <f>IF(OR(R313=0,A313=0),0,IF(AND(V313=TRUE,換券單檔!$D$13=D313),H313,0))</f>
        <v>0</v>
      </c>
      <c r="V313" s="136" t="e">
        <f ca="1">IF(OR(B313=換券單檔!$D$3,L313="無",M313&lt;&gt;"",K313="高資產",IFERROR(MATCH(B313,換券單檔!K:K,0),"N")&lt;&gt;"N"),FALSE,IF($V$1="All",TRUE,IF(K313=$V$1,TRUE,FALSE)))</f>
        <v>#N/A</v>
      </c>
      <c r="W313" s="136" t="e">
        <f ca="1">VLOOKUP(A313,'銀行-TSS'!A:AO,41,FALSE)</f>
        <v>#N/A</v>
      </c>
      <c r="X313" s="136" t="e">
        <f ca="1">VLOOKUP(A313,'銀行-TSS'!A:AP,42,FALSE)</f>
        <v>#N/A</v>
      </c>
      <c r="Y313" s="1220">
        <f t="shared" si="185"/>
        <v>0</v>
      </c>
      <c r="Z313" s="1220">
        <f t="shared" si="186"/>
        <v>0</v>
      </c>
      <c r="AA313" s="136">
        <f>IF(Z313&lt;=0,0,RANK(Z313,Z:Z)+COUNTIF($Z$3:$Z313,Z313)-1)</f>
        <v>0</v>
      </c>
      <c r="AB313" s="1211">
        <f t="shared" ca="1" si="187"/>
        <v>-14896.14</v>
      </c>
      <c r="AC313" s="136">
        <f ca="1">IF(AB313&lt;=0,0,RANK(AB313,AB:AB)+COUNTIF($AB$3:$AB313,AB313)-1)</f>
        <v>0</v>
      </c>
      <c r="AD313" s="1123">
        <f t="shared" si="188"/>
        <v>99999</v>
      </c>
      <c r="AE313" s="1123">
        <f>IF(AD313=99999,0,RANK(AD313,AD:AD,1)+COUNTIF($AD$3:$AD313,AD313)-1)</f>
        <v>0</v>
      </c>
      <c r="AF313" s="86" t="e">
        <f ca="1">IF(OR(M313&lt;&gt;"",L313="無",K313="高資產",IFERROR(MATCH(B313,換券單檔!K:K,0),"N")&lt;&gt;"N"),FALSE,TRUE)</f>
        <v>#N/A</v>
      </c>
      <c r="AI313" s="1212" t="e">
        <f t="shared" ca="1" si="189"/>
        <v>#N/A</v>
      </c>
      <c r="AJ313" s="1213" t="e">
        <f t="shared" ca="1" si="190"/>
        <v>#N/A</v>
      </c>
      <c r="AK313" s="1587">
        <f t="shared" si="191"/>
        <v>0</v>
      </c>
      <c r="AN313" s="1212" t="e">
        <f t="shared" ca="1" si="192"/>
        <v>#N/A</v>
      </c>
      <c r="AO313" s="1213" t="e">
        <f t="shared" ca="1" si="193"/>
        <v>#N/A</v>
      </c>
      <c r="AP313" s="1587">
        <f t="shared" si="194"/>
        <v>0</v>
      </c>
      <c r="AS313" s="1212" t="e">
        <f t="shared" ca="1" si="195"/>
        <v>#N/A</v>
      </c>
      <c r="AT313" s="1213" t="e">
        <f t="shared" ca="1" si="196"/>
        <v>#N/A</v>
      </c>
      <c r="AU313" s="1587">
        <f t="shared" si="197"/>
        <v>0</v>
      </c>
      <c r="AX313" s="1212" t="e">
        <f t="shared" ca="1" si="198"/>
        <v>#N/A</v>
      </c>
      <c r="AY313" s="1213" t="e">
        <f t="shared" ca="1" si="199"/>
        <v>#N/A</v>
      </c>
      <c r="AZ313" s="1587">
        <f t="shared" si="200"/>
        <v>0</v>
      </c>
      <c r="BC313" s="1212" t="e">
        <f t="shared" ca="1" si="201"/>
        <v>#N/A</v>
      </c>
      <c r="BD313" s="1213" t="e">
        <f t="shared" ca="1" si="202"/>
        <v>#N/A</v>
      </c>
      <c r="BE313" s="1587">
        <f t="shared" si="203"/>
        <v>0</v>
      </c>
      <c r="BH313" s="1212" t="e">
        <f t="shared" ca="1" si="204"/>
        <v>#N/A</v>
      </c>
      <c r="BI313" s="1213" t="e">
        <f t="shared" ca="1" si="205"/>
        <v>#N/A</v>
      </c>
      <c r="BJ313" s="1587">
        <f t="shared" si="206"/>
        <v>0</v>
      </c>
      <c r="BM313" s="1212" t="e">
        <f t="shared" ca="1" si="207"/>
        <v>#N/A</v>
      </c>
      <c r="BN313" s="1213" t="e">
        <f t="shared" ca="1" si="208"/>
        <v>#N/A</v>
      </c>
      <c r="BO313" s="1587">
        <f t="shared" si="209"/>
        <v>0</v>
      </c>
      <c r="BR313" s="1212" t="e">
        <f t="shared" ca="1" si="210"/>
        <v>#N/A</v>
      </c>
      <c r="BS313" s="1213" t="e">
        <f t="shared" ca="1" si="211"/>
        <v>#N/A</v>
      </c>
      <c r="BT313" s="1587">
        <f t="shared" si="212"/>
        <v>0</v>
      </c>
      <c r="BW313" s="1212" t="e">
        <f t="shared" ca="1" si="213"/>
        <v>#N/A</v>
      </c>
      <c r="BX313" s="1213" t="e">
        <f t="shared" ca="1" si="214"/>
        <v>#N/A</v>
      </c>
      <c r="BY313" s="1587">
        <f t="shared" si="215"/>
        <v>0</v>
      </c>
      <c r="CB313" s="1212" t="e">
        <f t="shared" ca="1" si="216"/>
        <v>#N/A</v>
      </c>
      <c r="CC313" s="1213" t="e">
        <f t="shared" ca="1" si="217"/>
        <v>#N/A</v>
      </c>
      <c r="CD313" s="1587">
        <f t="shared" si="218"/>
        <v>0</v>
      </c>
      <c r="CG313" s="1212" t="e">
        <f t="shared" ca="1" si="219"/>
        <v>#N/A</v>
      </c>
      <c r="CH313" s="1213" t="e">
        <f t="shared" ca="1" si="220"/>
        <v>#N/A</v>
      </c>
      <c r="CI313" s="1587">
        <f t="shared" si="221"/>
        <v>0</v>
      </c>
      <c r="CL313" s="1212" t="e">
        <f t="shared" ca="1" si="222"/>
        <v>#N/A</v>
      </c>
      <c r="CM313" s="1213" t="e">
        <f t="shared" ca="1" si="223"/>
        <v>#N/A</v>
      </c>
      <c r="CN313" s="1587">
        <f t="shared" si="224"/>
        <v>0</v>
      </c>
    </row>
    <row r="314" spans="1:92">
      <c r="A314" s="141">
        <f>'銀行-TSS'!A314</f>
        <v>0</v>
      </c>
      <c r="B314" s="151">
        <f ca="1">VLOOKUP(A314,'銀行-TSS'!A:B,2,FALSE)</f>
        <v>0</v>
      </c>
      <c r="C314" s="151" t="e">
        <f ca="1">VLOOKUP(B314,bond!B:C,2,FALSE)</f>
        <v>#N/A</v>
      </c>
      <c r="D314" s="95" t="e">
        <f>VLOOKUP(A314,'銀行-TSS'!A:C,3,FALSE)</f>
        <v>#N/A</v>
      </c>
      <c r="E314" s="90" t="e">
        <f ca="1">VLOOKUP(A314,'銀行-TSS'!A:G,7,FALSE)</f>
        <v>#N/A</v>
      </c>
      <c r="F314" s="202" t="e">
        <f ca="1">VLOOKUP(A314,'銀行-TSS'!A:H,8,FALSE)</f>
        <v>#N/A</v>
      </c>
      <c r="G314" s="96" t="e">
        <f ca="1">VLOOKUP(A314,'銀行-TSS'!A:K,11,FALSE)</f>
        <v>#N/A</v>
      </c>
      <c r="H314" s="1209" t="e">
        <f ca="1">VLOOKUP(A314,'銀行-TSS'!A:M,13,FALSE)</f>
        <v>#N/A</v>
      </c>
      <c r="I314" s="1213" t="e">
        <f ca="1">VLOOKUP(A314,'銀行-TSS'!A:N,14,FALSE)</f>
        <v>#N/A</v>
      </c>
      <c r="J314" s="1213" t="e">
        <f ca="1">VLOOKUP(A314,'銀行-TSS'!A:O,15,FALSE)</f>
        <v>#N/A</v>
      </c>
      <c r="K314" s="136" t="e">
        <f ca="1">VLOOKUP(A314,'銀行-TSS'!A:V,22,FALSE)</f>
        <v>#N/A</v>
      </c>
      <c r="L314" s="136" t="e">
        <f ca="1">VLOOKUP(A314,'銀行-TSS'!A:AK,37,FALSE)</f>
        <v>#N/A</v>
      </c>
      <c r="M314" s="136" t="str">
        <f ca="1">VLOOKUP(A314,'銀行-TSS'!A:AN,40,FALSE)</f>
        <v/>
      </c>
      <c r="N314" s="136" t="e">
        <f t="shared" ca="1" si="180"/>
        <v>#N/A</v>
      </c>
      <c r="O314" s="1213" t="e">
        <f t="shared" ca="1" si="181"/>
        <v>#N/A</v>
      </c>
      <c r="P314" s="1213" t="e">
        <f ca="1">IF(AND($O$1&gt;=O314,換券單檔!$D$13=D314),I314+INT(($O$1-O314)/N314)*J314,0)</f>
        <v>#N/A</v>
      </c>
      <c r="Q314" s="1213" t="e">
        <f t="shared" ca="1" si="182"/>
        <v>#N/A</v>
      </c>
      <c r="R314" s="1213">
        <f t="shared" si="183"/>
        <v>0</v>
      </c>
      <c r="S314" s="1213">
        <f t="shared" si="184"/>
        <v>0</v>
      </c>
      <c r="T314" s="136">
        <f>IF(OR(R314=0,A314=0),0,IF(AND(V314=TRUE,換券單檔!$D$13=D314),E314,0))</f>
        <v>0</v>
      </c>
      <c r="U314" s="861">
        <f>IF(OR(R314=0,A314=0),0,IF(AND(V314=TRUE,換券單檔!$D$13=D314),H314,0))</f>
        <v>0</v>
      </c>
      <c r="V314" s="136" t="e">
        <f ca="1">IF(OR(B314=換券單檔!$D$3,L314="無",M314&lt;&gt;"",K314="高資產",IFERROR(MATCH(B314,換券單檔!K:K,0),"N")&lt;&gt;"N"),FALSE,IF($V$1="All",TRUE,IF(K314=$V$1,TRUE,FALSE)))</f>
        <v>#N/A</v>
      </c>
      <c r="W314" s="136" t="e">
        <f ca="1">VLOOKUP(A314,'銀行-TSS'!A:AO,41,FALSE)</f>
        <v>#N/A</v>
      </c>
      <c r="X314" s="136" t="e">
        <f ca="1">VLOOKUP(A314,'銀行-TSS'!A:AP,42,FALSE)</f>
        <v>#N/A</v>
      </c>
      <c r="Y314" s="1220">
        <f t="shared" si="185"/>
        <v>0</v>
      </c>
      <c r="Z314" s="1220">
        <f t="shared" si="186"/>
        <v>0</v>
      </c>
      <c r="AA314" s="136">
        <f>IF(Z314&lt;=0,0,RANK(Z314,Z:Z)+COUNTIF($Z$3:$Z314,Z314)-1)</f>
        <v>0</v>
      </c>
      <c r="AB314" s="1211">
        <f t="shared" ca="1" si="187"/>
        <v>-14896.14</v>
      </c>
      <c r="AC314" s="136">
        <f ca="1">IF(AB314&lt;=0,0,RANK(AB314,AB:AB)+COUNTIF($AB$3:$AB314,AB314)-1)</f>
        <v>0</v>
      </c>
      <c r="AD314" s="1123">
        <f t="shared" si="188"/>
        <v>99999</v>
      </c>
      <c r="AE314" s="1123">
        <f>IF(AD314=99999,0,RANK(AD314,AD:AD,1)+COUNTIF($AD$3:$AD314,AD314)-1)</f>
        <v>0</v>
      </c>
      <c r="AF314" s="86" t="e">
        <f ca="1">IF(OR(M314&lt;&gt;"",L314="無",K314="高資產",IFERROR(MATCH(B314,換券單檔!K:K,0),"N")&lt;&gt;"N"),FALSE,TRUE)</f>
        <v>#N/A</v>
      </c>
      <c r="AI314" s="1212" t="e">
        <f t="shared" ca="1" si="189"/>
        <v>#N/A</v>
      </c>
      <c r="AJ314" s="1213" t="e">
        <f t="shared" ca="1" si="190"/>
        <v>#N/A</v>
      </c>
      <c r="AK314" s="1587">
        <f t="shared" si="191"/>
        <v>0</v>
      </c>
      <c r="AN314" s="1212" t="e">
        <f t="shared" ca="1" si="192"/>
        <v>#N/A</v>
      </c>
      <c r="AO314" s="1213" t="e">
        <f t="shared" ca="1" si="193"/>
        <v>#N/A</v>
      </c>
      <c r="AP314" s="1587">
        <f t="shared" si="194"/>
        <v>0</v>
      </c>
      <c r="AS314" s="1212" t="e">
        <f t="shared" ca="1" si="195"/>
        <v>#N/A</v>
      </c>
      <c r="AT314" s="1213" t="e">
        <f t="shared" ca="1" si="196"/>
        <v>#N/A</v>
      </c>
      <c r="AU314" s="1587">
        <f t="shared" si="197"/>
        <v>0</v>
      </c>
      <c r="AX314" s="1212" t="e">
        <f t="shared" ca="1" si="198"/>
        <v>#N/A</v>
      </c>
      <c r="AY314" s="1213" t="e">
        <f t="shared" ca="1" si="199"/>
        <v>#N/A</v>
      </c>
      <c r="AZ314" s="1587">
        <f t="shared" si="200"/>
        <v>0</v>
      </c>
      <c r="BC314" s="1212" t="e">
        <f t="shared" ca="1" si="201"/>
        <v>#N/A</v>
      </c>
      <c r="BD314" s="1213" t="e">
        <f t="shared" ca="1" si="202"/>
        <v>#N/A</v>
      </c>
      <c r="BE314" s="1587">
        <f t="shared" si="203"/>
        <v>0</v>
      </c>
      <c r="BH314" s="1212" t="e">
        <f t="shared" ca="1" si="204"/>
        <v>#N/A</v>
      </c>
      <c r="BI314" s="1213" t="e">
        <f t="shared" ca="1" si="205"/>
        <v>#N/A</v>
      </c>
      <c r="BJ314" s="1587">
        <f t="shared" si="206"/>
        <v>0</v>
      </c>
      <c r="BM314" s="1212" t="e">
        <f t="shared" ca="1" si="207"/>
        <v>#N/A</v>
      </c>
      <c r="BN314" s="1213" t="e">
        <f t="shared" ca="1" si="208"/>
        <v>#N/A</v>
      </c>
      <c r="BO314" s="1587">
        <f t="shared" si="209"/>
        <v>0</v>
      </c>
      <c r="BR314" s="1212" t="e">
        <f t="shared" ca="1" si="210"/>
        <v>#N/A</v>
      </c>
      <c r="BS314" s="1213" t="e">
        <f t="shared" ca="1" si="211"/>
        <v>#N/A</v>
      </c>
      <c r="BT314" s="1587">
        <f t="shared" si="212"/>
        <v>0</v>
      </c>
      <c r="BW314" s="1212" t="e">
        <f t="shared" ca="1" si="213"/>
        <v>#N/A</v>
      </c>
      <c r="BX314" s="1213" t="e">
        <f t="shared" ca="1" si="214"/>
        <v>#N/A</v>
      </c>
      <c r="BY314" s="1587">
        <f t="shared" si="215"/>
        <v>0</v>
      </c>
      <c r="CB314" s="1212" t="e">
        <f t="shared" ca="1" si="216"/>
        <v>#N/A</v>
      </c>
      <c r="CC314" s="1213" t="e">
        <f t="shared" ca="1" si="217"/>
        <v>#N/A</v>
      </c>
      <c r="CD314" s="1587">
        <f t="shared" si="218"/>
        <v>0</v>
      </c>
      <c r="CG314" s="1212" t="e">
        <f t="shared" ca="1" si="219"/>
        <v>#N/A</v>
      </c>
      <c r="CH314" s="1213" t="e">
        <f t="shared" ca="1" si="220"/>
        <v>#N/A</v>
      </c>
      <c r="CI314" s="1587">
        <f t="shared" si="221"/>
        <v>0</v>
      </c>
      <c r="CL314" s="1212" t="e">
        <f t="shared" ca="1" si="222"/>
        <v>#N/A</v>
      </c>
      <c r="CM314" s="1213" t="e">
        <f t="shared" ca="1" si="223"/>
        <v>#N/A</v>
      </c>
      <c r="CN314" s="1587">
        <f t="shared" si="224"/>
        <v>0</v>
      </c>
    </row>
    <row r="315" spans="1:92">
      <c r="A315" s="141">
        <f>'銀行-TSS'!A315</f>
        <v>0</v>
      </c>
      <c r="B315" s="151">
        <f ca="1">VLOOKUP(A315,'銀行-TSS'!A:B,2,FALSE)</f>
        <v>0</v>
      </c>
      <c r="C315" s="151" t="e">
        <f ca="1">VLOOKUP(B315,bond!B:C,2,FALSE)</f>
        <v>#N/A</v>
      </c>
      <c r="D315" s="95" t="e">
        <f>VLOOKUP(A315,'銀行-TSS'!A:C,3,FALSE)</f>
        <v>#N/A</v>
      </c>
      <c r="E315" s="90" t="e">
        <f ca="1">VLOOKUP(A315,'銀行-TSS'!A:G,7,FALSE)</f>
        <v>#N/A</v>
      </c>
      <c r="F315" s="202" t="e">
        <f ca="1">VLOOKUP(A315,'銀行-TSS'!A:H,8,FALSE)</f>
        <v>#N/A</v>
      </c>
      <c r="G315" s="96" t="e">
        <f ca="1">VLOOKUP(A315,'銀行-TSS'!A:K,11,FALSE)</f>
        <v>#N/A</v>
      </c>
      <c r="H315" s="1209" t="e">
        <f ca="1">VLOOKUP(A315,'銀行-TSS'!A:M,13,FALSE)</f>
        <v>#N/A</v>
      </c>
      <c r="I315" s="1213" t="e">
        <f ca="1">VLOOKUP(A315,'銀行-TSS'!A:N,14,FALSE)</f>
        <v>#N/A</v>
      </c>
      <c r="J315" s="1213" t="e">
        <f ca="1">VLOOKUP(A315,'銀行-TSS'!A:O,15,FALSE)</f>
        <v>#N/A</v>
      </c>
      <c r="K315" s="136" t="e">
        <f ca="1">VLOOKUP(A315,'銀行-TSS'!A:V,22,FALSE)</f>
        <v>#N/A</v>
      </c>
      <c r="L315" s="136" t="e">
        <f ca="1">VLOOKUP(A315,'銀行-TSS'!A:AK,37,FALSE)</f>
        <v>#N/A</v>
      </c>
      <c r="M315" s="136" t="str">
        <f ca="1">VLOOKUP(A315,'銀行-TSS'!A:AN,40,FALSE)</f>
        <v/>
      </c>
      <c r="N315" s="136" t="e">
        <f t="shared" ca="1" si="180"/>
        <v>#N/A</v>
      </c>
      <c r="O315" s="1213" t="e">
        <f t="shared" ca="1" si="181"/>
        <v>#N/A</v>
      </c>
      <c r="P315" s="1213" t="e">
        <f ca="1">IF(AND($O$1&gt;=O315,換券單檔!$D$13=D315),I315+INT(($O$1-O315)/N315)*J315,0)</f>
        <v>#N/A</v>
      </c>
      <c r="Q315" s="1213" t="e">
        <f t="shared" ca="1" si="182"/>
        <v>#N/A</v>
      </c>
      <c r="R315" s="1213">
        <f t="shared" si="183"/>
        <v>0</v>
      </c>
      <c r="S315" s="1213">
        <f t="shared" si="184"/>
        <v>0</v>
      </c>
      <c r="T315" s="136">
        <f>IF(OR(R315=0,A315=0),0,IF(AND(V315=TRUE,換券單檔!$D$13=D315),E315,0))</f>
        <v>0</v>
      </c>
      <c r="U315" s="861">
        <f>IF(OR(R315=0,A315=0),0,IF(AND(V315=TRUE,換券單檔!$D$13=D315),H315,0))</f>
        <v>0</v>
      </c>
      <c r="V315" s="136" t="e">
        <f ca="1">IF(OR(B315=換券單檔!$D$3,L315="無",M315&lt;&gt;"",K315="高資產",IFERROR(MATCH(B315,換券單檔!K:K,0),"N")&lt;&gt;"N"),FALSE,IF($V$1="All",TRUE,IF(K315=$V$1,TRUE,FALSE)))</f>
        <v>#N/A</v>
      </c>
      <c r="W315" s="136" t="e">
        <f ca="1">VLOOKUP(A315,'銀行-TSS'!A:AO,41,FALSE)</f>
        <v>#N/A</v>
      </c>
      <c r="X315" s="136" t="e">
        <f ca="1">VLOOKUP(A315,'銀行-TSS'!A:AP,42,FALSE)</f>
        <v>#N/A</v>
      </c>
      <c r="Y315" s="1220">
        <f t="shared" si="185"/>
        <v>0</v>
      </c>
      <c r="Z315" s="1220">
        <f t="shared" si="186"/>
        <v>0</v>
      </c>
      <c r="AA315" s="136">
        <f>IF(Z315&lt;=0,0,RANK(Z315,Z:Z)+COUNTIF($Z$3:$Z315,Z315)-1)</f>
        <v>0</v>
      </c>
      <c r="AB315" s="1211">
        <f t="shared" ca="1" si="187"/>
        <v>-14896.14</v>
      </c>
      <c r="AC315" s="136">
        <f ca="1">IF(AB315&lt;=0,0,RANK(AB315,AB:AB)+COUNTIF($AB$3:$AB315,AB315)-1)</f>
        <v>0</v>
      </c>
      <c r="AD315" s="1123">
        <f t="shared" si="188"/>
        <v>99999</v>
      </c>
      <c r="AE315" s="1123">
        <f>IF(AD315=99999,0,RANK(AD315,AD:AD,1)+COUNTIF($AD$3:$AD315,AD315)-1)</f>
        <v>0</v>
      </c>
      <c r="AF315" s="86" t="e">
        <f ca="1">IF(OR(M315&lt;&gt;"",L315="無",K315="高資產",IFERROR(MATCH(B315,換券單檔!K:K,0),"N")&lt;&gt;"N"),FALSE,TRUE)</f>
        <v>#N/A</v>
      </c>
      <c r="AI315" s="1212" t="e">
        <f t="shared" ca="1" si="189"/>
        <v>#N/A</v>
      </c>
      <c r="AJ315" s="1213" t="e">
        <f t="shared" ca="1" si="190"/>
        <v>#N/A</v>
      </c>
      <c r="AK315" s="1587">
        <f t="shared" si="191"/>
        <v>0</v>
      </c>
      <c r="AN315" s="1212" t="e">
        <f t="shared" ca="1" si="192"/>
        <v>#N/A</v>
      </c>
      <c r="AO315" s="1213" t="e">
        <f t="shared" ca="1" si="193"/>
        <v>#N/A</v>
      </c>
      <c r="AP315" s="1587">
        <f t="shared" si="194"/>
        <v>0</v>
      </c>
      <c r="AS315" s="1212" t="e">
        <f t="shared" ca="1" si="195"/>
        <v>#N/A</v>
      </c>
      <c r="AT315" s="1213" t="e">
        <f t="shared" ca="1" si="196"/>
        <v>#N/A</v>
      </c>
      <c r="AU315" s="1587">
        <f t="shared" si="197"/>
        <v>0</v>
      </c>
      <c r="AX315" s="1212" t="e">
        <f t="shared" ca="1" si="198"/>
        <v>#N/A</v>
      </c>
      <c r="AY315" s="1213" t="e">
        <f t="shared" ca="1" si="199"/>
        <v>#N/A</v>
      </c>
      <c r="AZ315" s="1587">
        <f t="shared" si="200"/>
        <v>0</v>
      </c>
      <c r="BC315" s="1212" t="e">
        <f t="shared" ca="1" si="201"/>
        <v>#N/A</v>
      </c>
      <c r="BD315" s="1213" t="e">
        <f t="shared" ca="1" si="202"/>
        <v>#N/A</v>
      </c>
      <c r="BE315" s="1587">
        <f t="shared" si="203"/>
        <v>0</v>
      </c>
      <c r="BH315" s="1212" t="e">
        <f t="shared" ca="1" si="204"/>
        <v>#N/A</v>
      </c>
      <c r="BI315" s="1213" t="e">
        <f t="shared" ca="1" si="205"/>
        <v>#N/A</v>
      </c>
      <c r="BJ315" s="1587">
        <f t="shared" si="206"/>
        <v>0</v>
      </c>
      <c r="BM315" s="1212" t="e">
        <f t="shared" ca="1" si="207"/>
        <v>#N/A</v>
      </c>
      <c r="BN315" s="1213" t="e">
        <f t="shared" ca="1" si="208"/>
        <v>#N/A</v>
      </c>
      <c r="BO315" s="1587">
        <f t="shared" si="209"/>
        <v>0</v>
      </c>
      <c r="BR315" s="1212" t="e">
        <f t="shared" ca="1" si="210"/>
        <v>#N/A</v>
      </c>
      <c r="BS315" s="1213" t="e">
        <f t="shared" ca="1" si="211"/>
        <v>#N/A</v>
      </c>
      <c r="BT315" s="1587">
        <f t="shared" si="212"/>
        <v>0</v>
      </c>
      <c r="BW315" s="1212" t="e">
        <f t="shared" ca="1" si="213"/>
        <v>#N/A</v>
      </c>
      <c r="BX315" s="1213" t="e">
        <f t="shared" ca="1" si="214"/>
        <v>#N/A</v>
      </c>
      <c r="BY315" s="1587">
        <f t="shared" si="215"/>
        <v>0</v>
      </c>
      <c r="CB315" s="1212" t="e">
        <f t="shared" ca="1" si="216"/>
        <v>#N/A</v>
      </c>
      <c r="CC315" s="1213" t="e">
        <f t="shared" ca="1" si="217"/>
        <v>#N/A</v>
      </c>
      <c r="CD315" s="1587">
        <f t="shared" si="218"/>
        <v>0</v>
      </c>
      <c r="CG315" s="1212" t="e">
        <f t="shared" ca="1" si="219"/>
        <v>#N/A</v>
      </c>
      <c r="CH315" s="1213" t="e">
        <f t="shared" ca="1" si="220"/>
        <v>#N/A</v>
      </c>
      <c r="CI315" s="1587">
        <f t="shared" si="221"/>
        <v>0</v>
      </c>
      <c r="CL315" s="1212" t="e">
        <f t="shared" ca="1" si="222"/>
        <v>#N/A</v>
      </c>
      <c r="CM315" s="1213" t="e">
        <f t="shared" ca="1" si="223"/>
        <v>#N/A</v>
      </c>
      <c r="CN315" s="1587">
        <f t="shared" si="224"/>
        <v>0</v>
      </c>
    </row>
    <row r="316" spans="1:92">
      <c r="A316" s="141">
        <f>'銀行-TSS'!A316</f>
        <v>0</v>
      </c>
      <c r="B316" s="151">
        <f ca="1">VLOOKUP(A316,'銀行-TSS'!A:B,2,FALSE)</f>
        <v>0</v>
      </c>
      <c r="C316" s="151" t="e">
        <f ca="1">VLOOKUP(B316,bond!B:C,2,FALSE)</f>
        <v>#N/A</v>
      </c>
      <c r="D316" s="95" t="e">
        <f>VLOOKUP(A316,'銀行-TSS'!A:C,3,FALSE)</f>
        <v>#N/A</v>
      </c>
      <c r="E316" s="90" t="e">
        <f ca="1">VLOOKUP(A316,'銀行-TSS'!A:G,7,FALSE)</f>
        <v>#N/A</v>
      </c>
      <c r="F316" s="202" t="e">
        <f ca="1">VLOOKUP(A316,'銀行-TSS'!A:H,8,FALSE)</f>
        <v>#N/A</v>
      </c>
      <c r="G316" s="96" t="e">
        <f ca="1">VLOOKUP(A316,'銀行-TSS'!A:K,11,FALSE)</f>
        <v>#N/A</v>
      </c>
      <c r="H316" s="1209" t="e">
        <f ca="1">VLOOKUP(A316,'銀行-TSS'!A:M,13,FALSE)</f>
        <v>#N/A</v>
      </c>
      <c r="I316" s="1213" t="e">
        <f ca="1">VLOOKUP(A316,'銀行-TSS'!A:N,14,FALSE)</f>
        <v>#N/A</v>
      </c>
      <c r="J316" s="1213" t="e">
        <f ca="1">VLOOKUP(A316,'銀行-TSS'!A:O,15,FALSE)</f>
        <v>#N/A</v>
      </c>
      <c r="K316" s="136" t="e">
        <f ca="1">VLOOKUP(A316,'銀行-TSS'!A:V,22,FALSE)</f>
        <v>#N/A</v>
      </c>
      <c r="L316" s="136" t="e">
        <f ca="1">VLOOKUP(A316,'銀行-TSS'!A:AK,37,FALSE)</f>
        <v>#N/A</v>
      </c>
      <c r="M316" s="136" t="str">
        <f ca="1">VLOOKUP(A316,'銀行-TSS'!A:AN,40,FALSE)</f>
        <v/>
      </c>
      <c r="N316" s="136" t="e">
        <f t="shared" ca="1" si="180"/>
        <v>#N/A</v>
      </c>
      <c r="O316" s="1213" t="e">
        <f t="shared" ca="1" si="181"/>
        <v>#N/A</v>
      </c>
      <c r="P316" s="1213" t="e">
        <f ca="1">IF(AND($O$1&gt;=O316,換券單檔!$D$13=D316),I316+INT(($O$1-O316)/N316)*J316,0)</f>
        <v>#N/A</v>
      </c>
      <c r="Q316" s="1213" t="e">
        <f t="shared" ca="1" si="182"/>
        <v>#N/A</v>
      </c>
      <c r="R316" s="1213">
        <f t="shared" si="183"/>
        <v>0</v>
      </c>
      <c r="S316" s="1213">
        <f t="shared" si="184"/>
        <v>0</v>
      </c>
      <c r="T316" s="136">
        <f>IF(OR(R316=0,A316=0),0,IF(AND(V316=TRUE,換券單檔!$D$13=D316),E316,0))</f>
        <v>0</v>
      </c>
      <c r="U316" s="861">
        <f>IF(OR(R316=0,A316=0),0,IF(AND(V316=TRUE,換券單檔!$D$13=D316),H316,0))</f>
        <v>0</v>
      </c>
      <c r="V316" s="136" t="e">
        <f ca="1">IF(OR(B316=換券單檔!$D$3,L316="無",M316&lt;&gt;"",K316="高資產",IFERROR(MATCH(B316,換券單檔!K:K,0),"N")&lt;&gt;"N"),FALSE,IF($V$1="All",TRUE,IF(K316=$V$1,TRUE,FALSE)))</f>
        <v>#N/A</v>
      </c>
      <c r="W316" s="136" t="e">
        <f ca="1">VLOOKUP(A316,'銀行-TSS'!A:AO,41,FALSE)</f>
        <v>#N/A</v>
      </c>
      <c r="X316" s="136" t="e">
        <f ca="1">VLOOKUP(A316,'銀行-TSS'!A:AP,42,FALSE)</f>
        <v>#N/A</v>
      </c>
      <c r="Y316" s="1220">
        <f t="shared" si="185"/>
        <v>0</v>
      </c>
      <c r="Z316" s="1220">
        <f t="shared" si="186"/>
        <v>0</v>
      </c>
      <c r="AA316" s="136">
        <f>IF(Z316&lt;=0,0,RANK(Z316,Z:Z)+COUNTIF($Z$3:$Z316,Z316)-1)</f>
        <v>0</v>
      </c>
      <c r="AB316" s="1211">
        <f t="shared" ca="1" si="187"/>
        <v>-14896.14</v>
      </c>
      <c r="AC316" s="136">
        <f ca="1">IF(AB316&lt;=0,0,RANK(AB316,AB:AB)+COUNTIF($AB$3:$AB316,AB316)-1)</f>
        <v>0</v>
      </c>
      <c r="AD316" s="1123">
        <f t="shared" si="188"/>
        <v>99999</v>
      </c>
      <c r="AE316" s="1123">
        <f>IF(AD316=99999,0,RANK(AD316,AD:AD,1)+COUNTIF($AD$3:$AD316,AD316)-1)</f>
        <v>0</v>
      </c>
      <c r="AF316" s="86" t="e">
        <f ca="1">IF(OR(M316&lt;&gt;"",L316="無",K316="高資產",IFERROR(MATCH(B316,換券單檔!K:K,0),"N")&lt;&gt;"N"),FALSE,TRUE)</f>
        <v>#N/A</v>
      </c>
      <c r="AI316" s="1212" t="e">
        <f t="shared" ca="1" si="189"/>
        <v>#N/A</v>
      </c>
      <c r="AJ316" s="1213" t="e">
        <f t="shared" ca="1" si="190"/>
        <v>#N/A</v>
      </c>
      <c r="AK316" s="1587">
        <f t="shared" si="191"/>
        <v>0</v>
      </c>
      <c r="AN316" s="1212" t="e">
        <f t="shared" ca="1" si="192"/>
        <v>#N/A</v>
      </c>
      <c r="AO316" s="1213" t="e">
        <f t="shared" ca="1" si="193"/>
        <v>#N/A</v>
      </c>
      <c r="AP316" s="1587">
        <f t="shared" si="194"/>
        <v>0</v>
      </c>
      <c r="AS316" s="1212" t="e">
        <f t="shared" ca="1" si="195"/>
        <v>#N/A</v>
      </c>
      <c r="AT316" s="1213" t="e">
        <f t="shared" ca="1" si="196"/>
        <v>#N/A</v>
      </c>
      <c r="AU316" s="1587">
        <f t="shared" si="197"/>
        <v>0</v>
      </c>
      <c r="AX316" s="1212" t="e">
        <f t="shared" ca="1" si="198"/>
        <v>#N/A</v>
      </c>
      <c r="AY316" s="1213" t="e">
        <f t="shared" ca="1" si="199"/>
        <v>#N/A</v>
      </c>
      <c r="AZ316" s="1587">
        <f t="shared" si="200"/>
        <v>0</v>
      </c>
      <c r="BC316" s="1212" t="e">
        <f t="shared" ca="1" si="201"/>
        <v>#N/A</v>
      </c>
      <c r="BD316" s="1213" t="e">
        <f t="shared" ca="1" si="202"/>
        <v>#N/A</v>
      </c>
      <c r="BE316" s="1587">
        <f t="shared" si="203"/>
        <v>0</v>
      </c>
      <c r="BH316" s="1212" t="e">
        <f t="shared" ca="1" si="204"/>
        <v>#N/A</v>
      </c>
      <c r="BI316" s="1213" t="e">
        <f t="shared" ca="1" si="205"/>
        <v>#N/A</v>
      </c>
      <c r="BJ316" s="1587">
        <f t="shared" si="206"/>
        <v>0</v>
      </c>
      <c r="BM316" s="1212" t="e">
        <f t="shared" ca="1" si="207"/>
        <v>#N/A</v>
      </c>
      <c r="BN316" s="1213" t="e">
        <f t="shared" ca="1" si="208"/>
        <v>#N/A</v>
      </c>
      <c r="BO316" s="1587">
        <f t="shared" si="209"/>
        <v>0</v>
      </c>
      <c r="BR316" s="1212" t="e">
        <f t="shared" ca="1" si="210"/>
        <v>#N/A</v>
      </c>
      <c r="BS316" s="1213" t="e">
        <f t="shared" ca="1" si="211"/>
        <v>#N/A</v>
      </c>
      <c r="BT316" s="1587">
        <f t="shared" si="212"/>
        <v>0</v>
      </c>
      <c r="BW316" s="1212" t="e">
        <f t="shared" ca="1" si="213"/>
        <v>#N/A</v>
      </c>
      <c r="BX316" s="1213" t="e">
        <f t="shared" ca="1" si="214"/>
        <v>#N/A</v>
      </c>
      <c r="BY316" s="1587">
        <f t="shared" si="215"/>
        <v>0</v>
      </c>
      <c r="CB316" s="1212" t="e">
        <f t="shared" ca="1" si="216"/>
        <v>#N/A</v>
      </c>
      <c r="CC316" s="1213" t="e">
        <f t="shared" ca="1" si="217"/>
        <v>#N/A</v>
      </c>
      <c r="CD316" s="1587">
        <f t="shared" si="218"/>
        <v>0</v>
      </c>
      <c r="CG316" s="1212" t="e">
        <f t="shared" ca="1" si="219"/>
        <v>#N/A</v>
      </c>
      <c r="CH316" s="1213" t="e">
        <f t="shared" ca="1" si="220"/>
        <v>#N/A</v>
      </c>
      <c r="CI316" s="1587">
        <f t="shared" si="221"/>
        <v>0</v>
      </c>
      <c r="CL316" s="1212" t="e">
        <f t="shared" ca="1" si="222"/>
        <v>#N/A</v>
      </c>
      <c r="CM316" s="1213" t="e">
        <f t="shared" ca="1" si="223"/>
        <v>#N/A</v>
      </c>
      <c r="CN316" s="1587">
        <f t="shared" si="224"/>
        <v>0</v>
      </c>
    </row>
    <row r="317" spans="1:92">
      <c r="A317" s="141">
        <f>'銀行-TSS'!A317</f>
        <v>0</v>
      </c>
      <c r="B317" s="151">
        <f ca="1">VLOOKUP(A317,'銀行-TSS'!A:B,2,FALSE)</f>
        <v>0</v>
      </c>
      <c r="C317" s="151" t="e">
        <f ca="1">VLOOKUP(B317,bond!B:C,2,FALSE)</f>
        <v>#N/A</v>
      </c>
      <c r="D317" s="95" t="e">
        <f>VLOOKUP(A317,'銀行-TSS'!A:C,3,FALSE)</f>
        <v>#N/A</v>
      </c>
      <c r="E317" s="90" t="e">
        <f ca="1">VLOOKUP(A317,'銀行-TSS'!A:G,7,FALSE)</f>
        <v>#N/A</v>
      </c>
      <c r="F317" s="202" t="e">
        <f ca="1">VLOOKUP(A317,'銀行-TSS'!A:H,8,FALSE)</f>
        <v>#N/A</v>
      </c>
      <c r="G317" s="96" t="e">
        <f ca="1">VLOOKUP(A317,'銀行-TSS'!A:K,11,FALSE)</f>
        <v>#N/A</v>
      </c>
      <c r="H317" s="1209" t="e">
        <f ca="1">VLOOKUP(A317,'銀行-TSS'!A:M,13,FALSE)</f>
        <v>#N/A</v>
      </c>
      <c r="I317" s="1213" t="e">
        <f ca="1">VLOOKUP(A317,'銀行-TSS'!A:N,14,FALSE)</f>
        <v>#N/A</v>
      </c>
      <c r="J317" s="1213" t="e">
        <f ca="1">VLOOKUP(A317,'銀行-TSS'!A:O,15,FALSE)</f>
        <v>#N/A</v>
      </c>
      <c r="K317" s="136" t="e">
        <f ca="1">VLOOKUP(A317,'銀行-TSS'!A:V,22,FALSE)</f>
        <v>#N/A</v>
      </c>
      <c r="L317" s="136" t="e">
        <f ca="1">VLOOKUP(A317,'銀行-TSS'!A:AK,37,FALSE)</f>
        <v>#N/A</v>
      </c>
      <c r="M317" s="136" t="str">
        <f ca="1">VLOOKUP(A317,'銀行-TSS'!A:AN,40,FALSE)</f>
        <v/>
      </c>
      <c r="N317" s="136" t="e">
        <f t="shared" ca="1" si="180"/>
        <v>#N/A</v>
      </c>
      <c r="O317" s="1213" t="e">
        <f t="shared" ca="1" si="181"/>
        <v>#N/A</v>
      </c>
      <c r="P317" s="1213" t="e">
        <f ca="1">IF(AND($O$1&gt;=O317,換券單檔!$D$13=D317),I317+INT(($O$1-O317)/N317)*J317,0)</f>
        <v>#N/A</v>
      </c>
      <c r="Q317" s="1213" t="e">
        <f t="shared" ca="1" si="182"/>
        <v>#N/A</v>
      </c>
      <c r="R317" s="1213">
        <f t="shared" si="183"/>
        <v>0</v>
      </c>
      <c r="S317" s="1213">
        <f t="shared" si="184"/>
        <v>0</v>
      </c>
      <c r="T317" s="136">
        <f>IF(OR(R317=0,A317=0),0,IF(AND(V317=TRUE,換券單檔!$D$13=D317),E317,0))</f>
        <v>0</v>
      </c>
      <c r="U317" s="861">
        <f>IF(OR(R317=0,A317=0),0,IF(AND(V317=TRUE,換券單檔!$D$13=D317),H317,0))</f>
        <v>0</v>
      </c>
      <c r="V317" s="136" t="e">
        <f ca="1">IF(OR(B317=換券單檔!$D$3,L317="無",M317&lt;&gt;"",K317="高資產",IFERROR(MATCH(B317,換券單檔!K:K,0),"N")&lt;&gt;"N"),FALSE,IF($V$1="All",TRUE,IF(K317=$V$1,TRUE,FALSE)))</f>
        <v>#N/A</v>
      </c>
      <c r="W317" s="136" t="e">
        <f ca="1">VLOOKUP(A317,'銀行-TSS'!A:AO,41,FALSE)</f>
        <v>#N/A</v>
      </c>
      <c r="X317" s="136" t="e">
        <f ca="1">VLOOKUP(A317,'銀行-TSS'!A:AP,42,FALSE)</f>
        <v>#N/A</v>
      </c>
      <c r="Y317" s="1220">
        <f t="shared" si="185"/>
        <v>0</v>
      </c>
      <c r="Z317" s="1220">
        <f t="shared" si="186"/>
        <v>0</v>
      </c>
      <c r="AA317" s="136">
        <f>IF(Z317&lt;=0,0,RANK(Z317,Z:Z)+COUNTIF($Z$3:$Z317,Z317)-1)</f>
        <v>0</v>
      </c>
      <c r="AB317" s="1211">
        <f t="shared" ca="1" si="187"/>
        <v>-14896.14</v>
      </c>
      <c r="AC317" s="136">
        <f ca="1">IF(AB317&lt;=0,0,RANK(AB317,AB:AB)+COUNTIF($AB$3:$AB317,AB317)-1)</f>
        <v>0</v>
      </c>
      <c r="AD317" s="1123">
        <f t="shared" si="188"/>
        <v>99999</v>
      </c>
      <c r="AE317" s="1123">
        <f>IF(AD317=99999,0,RANK(AD317,AD:AD,1)+COUNTIF($AD$3:$AD317,AD317)-1)</f>
        <v>0</v>
      </c>
      <c r="AF317" s="86" t="e">
        <f ca="1">IF(OR(M317&lt;&gt;"",L317="無",K317="高資產",IFERROR(MATCH(B317,換券單檔!K:K,0),"N")&lt;&gt;"N"),FALSE,TRUE)</f>
        <v>#N/A</v>
      </c>
      <c r="AI317" s="1212" t="e">
        <f t="shared" ca="1" si="189"/>
        <v>#N/A</v>
      </c>
      <c r="AJ317" s="1213" t="e">
        <f t="shared" ca="1" si="190"/>
        <v>#N/A</v>
      </c>
      <c r="AK317" s="1587">
        <f t="shared" si="191"/>
        <v>0</v>
      </c>
      <c r="AN317" s="1212" t="e">
        <f t="shared" ca="1" si="192"/>
        <v>#N/A</v>
      </c>
      <c r="AO317" s="1213" t="e">
        <f t="shared" ca="1" si="193"/>
        <v>#N/A</v>
      </c>
      <c r="AP317" s="1587">
        <f t="shared" si="194"/>
        <v>0</v>
      </c>
      <c r="AS317" s="1212" t="e">
        <f t="shared" ca="1" si="195"/>
        <v>#N/A</v>
      </c>
      <c r="AT317" s="1213" t="e">
        <f t="shared" ca="1" si="196"/>
        <v>#N/A</v>
      </c>
      <c r="AU317" s="1587">
        <f t="shared" si="197"/>
        <v>0</v>
      </c>
      <c r="AX317" s="1212" t="e">
        <f t="shared" ca="1" si="198"/>
        <v>#N/A</v>
      </c>
      <c r="AY317" s="1213" t="e">
        <f t="shared" ca="1" si="199"/>
        <v>#N/A</v>
      </c>
      <c r="AZ317" s="1587">
        <f t="shared" si="200"/>
        <v>0</v>
      </c>
      <c r="BC317" s="1212" t="e">
        <f t="shared" ca="1" si="201"/>
        <v>#N/A</v>
      </c>
      <c r="BD317" s="1213" t="e">
        <f t="shared" ca="1" si="202"/>
        <v>#N/A</v>
      </c>
      <c r="BE317" s="1587">
        <f t="shared" si="203"/>
        <v>0</v>
      </c>
      <c r="BH317" s="1212" t="e">
        <f t="shared" ca="1" si="204"/>
        <v>#N/A</v>
      </c>
      <c r="BI317" s="1213" t="e">
        <f t="shared" ca="1" si="205"/>
        <v>#N/A</v>
      </c>
      <c r="BJ317" s="1587">
        <f t="shared" si="206"/>
        <v>0</v>
      </c>
      <c r="BM317" s="1212" t="e">
        <f t="shared" ca="1" si="207"/>
        <v>#N/A</v>
      </c>
      <c r="BN317" s="1213" t="e">
        <f t="shared" ca="1" si="208"/>
        <v>#N/A</v>
      </c>
      <c r="BO317" s="1587">
        <f t="shared" si="209"/>
        <v>0</v>
      </c>
      <c r="BR317" s="1212" t="e">
        <f t="shared" ca="1" si="210"/>
        <v>#N/A</v>
      </c>
      <c r="BS317" s="1213" t="e">
        <f t="shared" ca="1" si="211"/>
        <v>#N/A</v>
      </c>
      <c r="BT317" s="1587">
        <f t="shared" si="212"/>
        <v>0</v>
      </c>
      <c r="BW317" s="1212" t="e">
        <f t="shared" ca="1" si="213"/>
        <v>#N/A</v>
      </c>
      <c r="BX317" s="1213" t="e">
        <f t="shared" ca="1" si="214"/>
        <v>#N/A</v>
      </c>
      <c r="BY317" s="1587">
        <f t="shared" si="215"/>
        <v>0</v>
      </c>
      <c r="CB317" s="1212" t="e">
        <f t="shared" ca="1" si="216"/>
        <v>#N/A</v>
      </c>
      <c r="CC317" s="1213" t="e">
        <f t="shared" ca="1" si="217"/>
        <v>#N/A</v>
      </c>
      <c r="CD317" s="1587">
        <f t="shared" si="218"/>
        <v>0</v>
      </c>
      <c r="CG317" s="1212" t="e">
        <f t="shared" ca="1" si="219"/>
        <v>#N/A</v>
      </c>
      <c r="CH317" s="1213" t="e">
        <f t="shared" ca="1" si="220"/>
        <v>#N/A</v>
      </c>
      <c r="CI317" s="1587">
        <f t="shared" si="221"/>
        <v>0</v>
      </c>
      <c r="CL317" s="1212" t="e">
        <f t="shared" ca="1" si="222"/>
        <v>#N/A</v>
      </c>
      <c r="CM317" s="1213" t="e">
        <f t="shared" ca="1" si="223"/>
        <v>#N/A</v>
      </c>
      <c r="CN317" s="1587">
        <f t="shared" si="224"/>
        <v>0</v>
      </c>
    </row>
    <row r="318" spans="1:92">
      <c r="A318" s="141">
        <f>'銀行-TSS'!A318</f>
        <v>0</v>
      </c>
      <c r="B318" s="151">
        <f ca="1">VLOOKUP(A318,'銀行-TSS'!A:B,2,FALSE)</f>
        <v>0</v>
      </c>
      <c r="C318" s="151" t="e">
        <f ca="1">VLOOKUP(B318,bond!B:C,2,FALSE)</f>
        <v>#N/A</v>
      </c>
      <c r="D318" s="95" t="e">
        <f>VLOOKUP(A318,'銀行-TSS'!A:C,3,FALSE)</f>
        <v>#N/A</v>
      </c>
      <c r="E318" s="90" t="e">
        <f ca="1">VLOOKUP(A318,'銀行-TSS'!A:G,7,FALSE)</f>
        <v>#N/A</v>
      </c>
      <c r="F318" s="202" t="e">
        <f ca="1">VLOOKUP(A318,'銀行-TSS'!A:H,8,FALSE)</f>
        <v>#N/A</v>
      </c>
      <c r="G318" s="96" t="e">
        <f ca="1">VLOOKUP(A318,'銀行-TSS'!A:K,11,FALSE)</f>
        <v>#N/A</v>
      </c>
      <c r="H318" s="1209" t="e">
        <f ca="1">VLOOKUP(A318,'銀行-TSS'!A:M,13,FALSE)</f>
        <v>#N/A</v>
      </c>
      <c r="I318" s="1213" t="e">
        <f ca="1">VLOOKUP(A318,'銀行-TSS'!A:N,14,FALSE)</f>
        <v>#N/A</v>
      </c>
      <c r="J318" s="1213" t="e">
        <f ca="1">VLOOKUP(A318,'銀行-TSS'!A:O,15,FALSE)</f>
        <v>#N/A</v>
      </c>
      <c r="K318" s="136" t="e">
        <f ca="1">VLOOKUP(A318,'銀行-TSS'!A:V,22,FALSE)</f>
        <v>#N/A</v>
      </c>
      <c r="L318" s="136" t="e">
        <f ca="1">VLOOKUP(A318,'銀行-TSS'!A:AK,37,FALSE)</f>
        <v>#N/A</v>
      </c>
      <c r="M318" s="136" t="str">
        <f ca="1">VLOOKUP(A318,'銀行-TSS'!A:AN,40,FALSE)</f>
        <v/>
      </c>
      <c r="N318" s="136" t="e">
        <f t="shared" ca="1" si="180"/>
        <v>#N/A</v>
      </c>
      <c r="O318" s="1213" t="e">
        <f t="shared" ca="1" si="181"/>
        <v>#N/A</v>
      </c>
      <c r="P318" s="1213" t="e">
        <f ca="1">IF(AND($O$1&gt;=O318,換券單檔!$D$13=D318),I318+INT(($O$1-O318)/N318)*J318,0)</f>
        <v>#N/A</v>
      </c>
      <c r="Q318" s="1213" t="e">
        <f t="shared" ca="1" si="182"/>
        <v>#N/A</v>
      </c>
      <c r="R318" s="1213">
        <f t="shared" si="183"/>
        <v>0</v>
      </c>
      <c r="S318" s="1213">
        <f t="shared" si="184"/>
        <v>0</v>
      </c>
      <c r="T318" s="136">
        <f>IF(OR(R318=0,A318=0),0,IF(AND(V318=TRUE,換券單檔!$D$13=D318),E318,0))</f>
        <v>0</v>
      </c>
      <c r="U318" s="861">
        <f>IF(OR(R318=0,A318=0),0,IF(AND(V318=TRUE,換券單檔!$D$13=D318),H318,0))</f>
        <v>0</v>
      </c>
      <c r="V318" s="136" t="e">
        <f ca="1">IF(OR(B318=換券單檔!$D$3,L318="無",M318&lt;&gt;"",K318="高資產",IFERROR(MATCH(B318,換券單檔!K:K,0),"N")&lt;&gt;"N"),FALSE,IF($V$1="All",TRUE,IF(K318=$V$1,TRUE,FALSE)))</f>
        <v>#N/A</v>
      </c>
      <c r="W318" s="136" t="e">
        <f ca="1">VLOOKUP(A318,'銀行-TSS'!A:AO,41,FALSE)</f>
        <v>#N/A</v>
      </c>
      <c r="X318" s="136" t="e">
        <f ca="1">VLOOKUP(A318,'銀行-TSS'!A:AP,42,FALSE)</f>
        <v>#N/A</v>
      </c>
      <c r="Y318" s="1220">
        <f t="shared" si="185"/>
        <v>0</v>
      </c>
      <c r="Z318" s="1220">
        <f t="shared" si="186"/>
        <v>0</v>
      </c>
      <c r="AA318" s="136">
        <f>IF(Z318&lt;=0,0,RANK(Z318,Z:Z)+COUNTIF($Z$3:$Z318,Z318)-1)</f>
        <v>0</v>
      </c>
      <c r="AB318" s="1211">
        <f t="shared" ca="1" si="187"/>
        <v>-14896.14</v>
      </c>
      <c r="AC318" s="136">
        <f ca="1">IF(AB318&lt;=0,0,RANK(AB318,AB:AB)+COUNTIF($AB$3:$AB318,AB318)-1)</f>
        <v>0</v>
      </c>
      <c r="AD318" s="1123">
        <f t="shared" si="188"/>
        <v>99999</v>
      </c>
      <c r="AE318" s="1123">
        <f>IF(AD318=99999,0,RANK(AD318,AD:AD,1)+COUNTIF($AD$3:$AD318,AD318)-1)</f>
        <v>0</v>
      </c>
      <c r="AF318" s="86" t="e">
        <f ca="1">IF(OR(M318&lt;&gt;"",L318="無",K318="高資產",IFERROR(MATCH(B318,換券單檔!K:K,0),"N")&lt;&gt;"N"),FALSE,TRUE)</f>
        <v>#N/A</v>
      </c>
      <c r="AI318" s="1212" t="e">
        <f t="shared" ca="1" si="189"/>
        <v>#N/A</v>
      </c>
      <c r="AJ318" s="1213" t="e">
        <f t="shared" ca="1" si="190"/>
        <v>#N/A</v>
      </c>
      <c r="AK318" s="1587">
        <f t="shared" si="191"/>
        <v>0</v>
      </c>
      <c r="AN318" s="1212" t="e">
        <f t="shared" ca="1" si="192"/>
        <v>#N/A</v>
      </c>
      <c r="AO318" s="1213" t="e">
        <f t="shared" ca="1" si="193"/>
        <v>#N/A</v>
      </c>
      <c r="AP318" s="1587">
        <f t="shared" si="194"/>
        <v>0</v>
      </c>
      <c r="AS318" s="1212" t="e">
        <f t="shared" ca="1" si="195"/>
        <v>#N/A</v>
      </c>
      <c r="AT318" s="1213" t="e">
        <f t="shared" ca="1" si="196"/>
        <v>#N/A</v>
      </c>
      <c r="AU318" s="1587">
        <f t="shared" si="197"/>
        <v>0</v>
      </c>
      <c r="AX318" s="1212" t="e">
        <f t="shared" ca="1" si="198"/>
        <v>#N/A</v>
      </c>
      <c r="AY318" s="1213" t="e">
        <f t="shared" ca="1" si="199"/>
        <v>#N/A</v>
      </c>
      <c r="AZ318" s="1587">
        <f t="shared" si="200"/>
        <v>0</v>
      </c>
      <c r="BC318" s="1212" t="e">
        <f t="shared" ca="1" si="201"/>
        <v>#N/A</v>
      </c>
      <c r="BD318" s="1213" t="e">
        <f t="shared" ca="1" si="202"/>
        <v>#N/A</v>
      </c>
      <c r="BE318" s="1587">
        <f t="shared" si="203"/>
        <v>0</v>
      </c>
      <c r="BH318" s="1212" t="e">
        <f t="shared" ca="1" si="204"/>
        <v>#N/A</v>
      </c>
      <c r="BI318" s="1213" t="e">
        <f t="shared" ca="1" si="205"/>
        <v>#N/A</v>
      </c>
      <c r="BJ318" s="1587">
        <f t="shared" si="206"/>
        <v>0</v>
      </c>
      <c r="BM318" s="1212" t="e">
        <f t="shared" ca="1" si="207"/>
        <v>#N/A</v>
      </c>
      <c r="BN318" s="1213" t="e">
        <f t="shared" ca="1" si="208"/>
        <v>#N/A</v>
      </c>
      <c r="BO318" s="1587">
        <f t="shared" si="209"/>
        <v>0</v>
      </c>
      <c r="BR318" s="1212" t="e">
        <f t="shared" ca="1" si="210"/>
        <v>#N/A</v>
      </c>
      <c r="BS318" s="1213" t="e">
        <f t="shared" ca="1" si="211"/>
        <v>#N/A</v>
      </c>
      <c r="BT318" s="1587">
        <f t="shared" si="212"/>
        <v>0</v>
      </c>
      <c r="BW318" s="1212" t="e">
        <f t="shared" ca="1" si="213"/>
        <v>#N/A</v>
      </c>
      <c r="BX318" s="1213" t="e">
        <f t="shared" ca="1" si="214"/>
        <v>#N/A</v>
      </c>
      <c r="BY318" s="1587">
        <f t="shared" si="215"/>
        <v>0</v>
      </c>
      <c r="CB318" s="1212" t="e">
        <f t="shared" ca="1" si="216"/>
        <v>#N/A</v>
      </c>
      <c r="CC318" s="1213" t="e">
        <f t="shared" ca="1" si="217"/>
        <v>#N/A</v>
      </c>
      <c r="CD318" s="1587">
        <f t="shared" si="218"/>
        <v>0</v>
      </c>
      <c r="CG318" s="1212" t="e">
        <f t="shared" ca="1" si="219"/>
        <v>#N/A</v>
      </c>
      <c r="CH318" s="1213" t="e">
        <f t="shared" ca="1" si="220"/>
        <v>#N/A</v>
      </c>
      <c r="CI318" s="1587">
        <f t="shared" si="221"/>
        <v>0</v>
      </c>
      <c r="CL318" s="1212" t="e">
        <f t="shared" ca="1" si="222"/>
        <v>#N/A</v>
      </c>
      <c r="CM318" s="1213" t="e">
        <f t="shared" ca="1" si="223"/>
        <v>#N/A</v>
      </c>
      <c r="CN318" s="1587">
        <f t="shared" si="224"/>
        <v>0</v>
      </c>
    </row>
    <row r="319" spans="1:92">
      <c r="A319" s="141">
        <f>'銀行-TSS'!A319</f>
        <v>0</v>
      </c>
      <c r="B319" s="151">
        <f ca="1">VLOOKUP(A319,'銀行-TSS'!A:B,2,FALSE)</f>
        <v>0</v>
      </c>
      <c r="C319" s="151" t="e">
        <f ca="1">VLOOKUP(B319,bond!B:C,2,FALSE)</f>
        <v>#N/A</v>
      </c>
      <c r="D319" s="95" t="e">
        <f>VLOOKUP(A319,'銀行-TSS'!A:C,3,FALSE)</f>
        <v>#N/A</v>
      </c>
      <c r="E319" s="90" t="e">
        <f ca="1">VLOOKUP(A319,'銀行-TSS'!A:G,7,FALSE)</f>
        <v>#N/A</v>
      </c>
      <c r="F319" s="202" t="e">
        <f ca="1">VLOOKUP(A319,'銀行-TSS'!A:H,8,FALSE)</f>
        <v>#N/A</v>
      </c>
      <c r="G319" s="96" t="e">
        <f ca="1">VLOOKUP(A319,'銀行-TSS'!A:K,11,FALSE)</f>
        <v>#N/A</v>
      </c>
      <c r="H319" s="1209" t="e">
        <f ca="1">VLOOKUP(A319,'銀行-TSS'!A:M,13,FALSE)</f>
        <v>#N/A</v>
      </c>
      <c r="I319" s="1213" t="e">
        <f ca="1">VLOOKUP(A319,'銀行-TSS'!A:N,14,FALSE)</f>
        <v>#N/A</v>
      </c>
      <c r="J319" s="1213" t="e">
        <f ca="1">VLOOKUP(A319,'銀行-TSS'!A:O,15,FALSE)</f>
        <v>#N/A</v>
      </c>
      <c r="K319" s="136" t="e">
        <f ca="1">VLOOKUP(A319,'銀行-TSS'!A:V,22,FALSE)</f>
        <v>#N/A</v>
      </c>
      <c r="L319" s="136" t="e">
        <f ca="1">VLOOKUP(A319,'銀行-TSS'!A:AK,37,FALSE)</f>
        <v>#N/A</v>
      </c>
      <c r="M319" s="136" t="str">
        <f ca="1">VLOOKUP(A319,'銀行-TSS'!A:AN,40,FALSE)</f>
        <v/>
      </c>
      <c r="N319" s="136" t="e">
        <f t="shared" ca="1" si="180"/>
        <v>#N/A</v>
      </c>
      <c r="O319" s="1213" t="e">
        <f t="shared" ca="1" si="181"/>
        <v>#N/A</v>
      </c>
      <c r="P319" s="1213" t="e">
        <f ca="1">IF(AND($O$1&gt;=O319,換券單檔!$D$13=D319),I319+INT(($O$1-O319)/N319)*J319,0)</f>
        <v>#N/A</v>
      </c>
      <c r="Q319" s="1213" t="e">
        <f t="shared" ca="1" si="182"/>
        <v>#N/A</v>
      </c>
      <c r="R319" s="1213">
        <f t="shared" si="183"/>
        <v>0</v>
      </c>
      <c r="S319" s="1213">
        <f t="shared" si="184"/>
        <v>0</v>
      </c>
      <c r="T319" s="136">
        <f>IF(OR(R319=0,A319=0),0,IF(AND(V319=TRUE,換券單檔!$D$13=D319),E319,0))</f>
        <v>0</v>
      </c>
      <c r="U319" s="861">
        <f>IF(OR(R319=0,A319=0),0,IF(AND(V319=TRUE,換券單檔!$D$13=D319),H319,0))</f>
        <v>0</v>
      </c>
      <c r="V319" s="136" t="e">
        <f ca="1">IF(OR(B319=換券單檔!$D$3,L319="無",M319&lt;&gt;"",K319="高資產",IFERROR(MATCH(B319,換券單檔!K:K,0),"N")&lt;&gt;"N"),FALSE,IF($V$1="All",TRUE,IF(K319=$V$1,TRUE,FALSE)))</f>
        <v>#N/A</v>
      </c>
      <c r="W319" s="136" t="e">
        <f ca="1">VLOOKUP(A319,'銀行-TSS'!A:AO,41,FALSE)</f>
        <v>#N/A</v>
      </c>
      <c r="X319" s="136" t="e">
        <f ca="1">VLOOKUP(A319,'銀行-TSS'!A:AP,42,FALSE)</f>
        <v>#N/A</v>
      </c>
      <c r="Y319" s="1220">
        <f t="shared" si="185"/>
        <v>0</v>
      </c>
      <c r="Z319" s="1220">
        <f t="shared" si="186"/>
        <v>0</v>
      </c>
      <c r="AA319" s="136">
        <f>IF(Z319&lt;=0,0,RANK(Z319,Z:Z)+COUNTIF($Z$3:$Z319,Z319)-1)</f>
        <v>0</v>
      </c>
      <c r="AB319" s="1211">
        <f t="shared" ca="1" si="187"/>
        <v>-14896.14</v>
      </c>
      <c r="AC319" s="136">
        <f ca="1">IF(AB319&lt;=0,0,RANK(AB319,AB:AB)+COUNTIF($AB$3:$AB319,AB319)-1)</f>
        <v>0</v>
      </c>
      <c r="AD319" s="1123">
        <f t="shared" si="188"/>
        <v>99999</v>
      </c>
      <c r="AE319" s="1123">
        <f>IF(AD319=99999,0,RANK(AD319,AD:AD,1)+COUNTIF($AD$3:$AD319,AD319)-1)</f>
        <v>0</v>
      </c>
      <c r="AF319" s="86" t="e">
        <f ca="1">IF(OR(M319&lt;&gt;"",L319="無",K319="高資產",IFERROR(MATCH(B319,換券單檔!K:K,0),"N")&lt;&gt;"N"),FALSE,TRUE)</f>
        <v>#N/A</v>
      </c>
      <c r="AI319" s="1212" t="e">
        <f t="shared" ca="1" si="189"/>
        <v>#N/A</v>
      </c>
      <c r="AJ319" s="1213" t="e">
        <f t="shared" ca="1" si="190"/>
        <v>#N/A</v>
      </c>
      <c r="AK319" s="1587">
        <f t="shared" si="191"/>
        <v>0</v>
      </c>
      <c r="AN319" s="1212" t="e">
        <f t="shared" ca="1" si="192"/>
        <v>#N/A</v>
      </c>
      <c r="AO319" s="1213" t="e">
        <f t="shared" ca="1" si="193"/>
        <v>#N/A</v>
      </c>
      <c r="AP319" s="1587">
        <f t="shared" si="194"/>
        <v>0</v>
      </c>
      <c r="AS319" s="1212" t="e">
        <f t="shared" ca="1" si="195"/>
        <v>#N/A</v>
      </c>
      <c r="AT319" s="1213" t="e">
        <f t="shared" ca="1" si="196"/>
        <v>#N/A</v>
      </c>
      <c r="AU319" s="1587">
        <f t="shared" si="197"/>
        <v>0</v>
      </c>
      <c r="AX319" s="1212" t="e">
        <f t="shared" ca="1" si="198"/>
        <v>#N/A</v>
      </c>
      <c r="AY319" s="1213" t="e">
        <f t="shared" ca="1" si="199"/>
        <v>#N/A</v>
      </c>
      <c r="AZ319" s="1587">
        <f t="shared" si="200"/>
        <v>0</v>
      </c>
      <c r="BC319" s="1212" t="e">
        <f t="shared" ca="1" si="201"/>
        <v>#N/A</v>
      </c>
      <c r="BD319" s="1213" t="e">
        <f t="shared" ca="1" si="202"/>
        <v>#N/A</v>
      </c>
      <c r="BE319" s="1587">
        <f t="shared" si="203"/>
        <v>0</v>
      </c>
      <c r="BH319" s="1212" t="e">
        <f t="shared" ca="1" si="204"/>
        <v>#N/A</v>
      </c>
      <c r="BI319" s="1213" t="e">
        <f t="shared" ca="1" si="205"/>
        <v>#N/A</v>
      </c>
      <c r="BJ319" s="1587">
        <f t="shared" si="206"/>
        <v>0</v>
      </c>
      <c r="BM319" s="1212" t="e">
        <f t="shared" ca="1" si="207"/>
        <v>#N/A</v>
      </c>
      <c r="BN319" s="1213" t="e">
        <f t="shared" ca="1" si="208"/>
        <v>#N/A</v>
      </c>
      <c r="BO319" s="1587">
        <f t="shared" si="209"/>
        <v>0</v>
      </c>
      <c r="BR319" s="1212" t="e">
        <f t="shared" ca="1" si="210"/>
        <v>#N/A</v>
      </c>
      <c r="BS319" s="1213" t="e">
        <f t="shared" ca="1" si="211"/>
        <v>#N/A</v>
      </c>
      <c r="BT319" s="1587">
        <f t="shared" si="212"/>
        <v>0</v>
      </c>
      <c r="BW319" s="1212" t="e">
        <f t="shared" ca="1" si="213"/>
        <v>#N/A</v>
      </c>
      <c r="BX319" s="1213" t="e">
        <f t="shared" ca="1" si="214"/>
        <v>#N/A</v>
      </c>
      <c r="BY319" s="1587">
        <f t="shared" si="215"/>
        <v>0</v>
      </c>
      <c r="CB319" s="1212" t="e">
        <f t="shared" ca="1" si="216"/>
        <v>#N/A</v>
      </c>
      <c r="CC319" s="1213" t="e">
        <f t="shared" ca="1" si="217"/>
        <v>#N/A</v>
      </c>
      <c r="CD319" s="1587">
        <f t="shared" si="218"/>
        <v>0</v>
      </c>
      <c r="CG319" s="1212" t="e">
        <f t="shared" ca="1" si="219"/>
        <v>#N/A</v>
      </c>
      <c r="CH319" s="1213" t="e">
        <f t="shared" ca="1" si="220"/>
        <v>#N/A</v>
      </c>
      <c r="CI319" s="1587">
        <f t="shared" si="221"/>
        <v>0</v>
      </c>
      <c r="CL319" s="1212" t="e">
        <f t="shared" ca="1" si="222"/>
        <v>#N/A</v>
      </c>
      <c r="CM319" s="1213" t="e">
        <f t="shared" ca="1" si="223"/>
        <v>#N/A</v>
      </c>
      <c r="CN319" s="1587">
        <f t="shared" si="224"/>
        <v>0</v>
      </c>
    </row>
    <row r="320" spans="1:92">
      <c r="A320" s="141">
        <f>'銀行-TSS'!A320</f>
        <v>0</v>
      </c>
      <c r="B320" s="151">
        <f ca="1">VLOOKUP(A320,'銀行-TSS'!A:B,2,FALSE)</f>
        <v>0</v>
      </c>
      <c r="C320" s="151" t="e">
        <f ca="1">VLOOKUP(B320,bond!B:C,2,FALSE)</f>
        <v>#N/A</v>
      </c>
      <c r="D320" s="95" t="e">
        <f>VLOOKUP(A320,'銀行-TSS'!A:C,3,FALSE)</f>
        <v>#N/A</v>
      </c>
      <c r="E320" s="90" t="e">
        <f ca="1">VLOOKUP(A320,'銀行-TSS'!A:G,7,FALSE)</f>
        <v>#N/A</v>
      </c>
      <c r="F320" s="202" t="e">
        <f ca="1">VLOOKUP(A320,'銀行-TSS'!A:H,8,FALSE)</f>
        <v>#N/A</v>
      </c>
      <c r="G320" s="96" t="e">
        <f ca="1">VLOOKUP(A320,'銀行-TSS'!A:K,11,FALSE)</f>
        <v>#N/A</v>
      </c>
      <c r="H320" s="1209" t="e">
        <f ca="1">VLOOKUP(A320,'銀行-TSS'!A:M,13,FALSE)</f>
        <v>#N/A</v>
      </c>
      <c r="I320" s="1213" t="e">
        <f ca="1">VLOOKUP(A320,'銀行-TSS'!A:N,14,FALSE)</f>
        <v>#N/A</v>
      </c>
      <c r="J320" s="1213" t="e">
        <f ca="1">VLOOKUP(A320,'銀行-TSS'!A:O,15,FALSE)</f>
        <v>#N/A</v>
      </c>
      <c r="K320" s="136" t="e">
        <f ca="1">VLOOKUP(A320,'銀行-TSS'!A:V,22,FALSE)</f>
        <v>#N/A</v>
      </c>
      <c r="L320" s="136" t="e">
        <f ca="1">VLOOKUP(A320,'銀行-TSS'!A:AK,37,FALSE)</f>
        <v>#N/A</v>
      </c>
      <c r="M320" s="136" t="str">
        <f ca="1">VLOOKUP(A320,'銀行-TSS'!A:AN,40,FALSE)</f>
        <v/>
      </c>
      <c r="N320" s="136" t="e">
        <f t="shared" ca="1" si="180"/>
        <v>#N/A</v>
      </c>
      <c r="O320" s="1213" t="e">
        <f t="shared" ca="1" si="181"/>
        <v>#N/A</v>
      </c>
      <c r="P320" s="1213" t="e">
        <f ca="1">IF(AND($O$1&gt;=O320,換券單檔!$D$13=D320),I320+INT(($O$1-O320)/N320)*J320,0)</f>
        <v>#N/A</v>
      </c>
      <c r="Q320" s="1213" t="e">
        <f t="shared" ca="1" si="182"/>
        <v>#N/A</v>
      </c>
      <c r="R320" s="1213">
        <f t="shared" si="183"/>
        <v>0</v>
      </c>
      <c r="S320" s="1213">
        <f t="shared" si="184"/>
        <v>0</v>
      </c>
      <c r="T320" s="136">
        <f>IF(OR(R320=0,A320=0),0,IF(AND(V320=TRUE,換券單檔!$D$13=D320),E320,0))</f>
        <v>0</v>
      </c>
      <c r="U320" s="861">
        <f>IF(OR(R320=0,A320=0),0,IF(AND(V320=TRUE,換券單檔!$D$13=D320),H320,0))</f>
        <v>0</v>
      </c>
      <c r="V320" s="136" t="e">
        <f ca="1">IF(OR(B320=換券單檔!$D$3,L320="無",M320&lt;&gt;"",K320="高資產",IFERROR(MATCH(B320,換券單檔!K:K,0),"N")&lt;&gt;"N"),FALSE,IF($V$1="All",TRUE,IF(K320=$V$1,TRUE,FALSE)))</f>
        <v>#N/A</v>
      </c>
      <c r="W320" s="136" t="e">
        <f ca="1">VLOOKUP(A320,'銀行-TSS'!A:AO,41,FALSE)</f>
        <v>#N/A</v>
      </c>
      <c r="X320" s="136" t="e">
        <f ca="1">VLOOKUP(A320,'銀行-TSS'!A:AP,42,FALSE)</f>
        <v>#N/A</v>
      </c>
      <c r="Y320" s="1220">
        <f t="shared" si="185"/>
        <v>0</v>
      </c>
      <c r="Z320" s="1220">
        <f t="shared" si="186"/>
        <v>0</v>
      </c>
      <c r="AA320" s="136">
        <f>IF(Z320&lt;=0,0,RANK(Z320,Z:Z)+COUNTIF($Z$3:$Z320,Z320)-1)</f>
        <v>0</v>
      </c>
      <c r="AB320" s="1211">
        <f t="shared" ca="1" si="187"/>
        <v>-14896.14</v>
      </c>
      <c r="AC320" s="136">
        <f ca="1">IF(AB320&lt;=0,0,RANK(AB320,AB:AB)+COUNTIF($AB$3:$AB320,AB320)-1)</f>
        <v>0</v>
      </c>
      <c r="AD320" s="1123">
        <f t="shared" si="188"/>
        <v>99999</v>
      </c>
      <c r="AE320" s="1123">
        <f>IF(AD320=99999,0,RANK(AD320,AD:AD,1)+COUNTIF($AD$3:$AD320,AD320)-1)</f>
        <v>0</v>
      </c>
      <c r="AF320" s="86" t="e">
        <f ca="1">IF(OR(M320&lt;&gt;"",L320="無",K320="高資產",IFERROR(MATCH(B320,換券單檔!K:K,0),"N")&lt;&gt;"N"),FALSE,TRUE)</f>
        <v>#N/A</v>
      </c>
      <c r="AI320" s="1212" t="e">
        <f t="shared" ca="1" si="189"/>
        <v>#N/A</v>
      </c>
      <c r="AJ320" s="1213" t="e">
        <f t="shared" ca="1" si="190"/>
        <v>#N/A</v>
      </c>
      <c r="AK320" s="1587">
        <f t="shared" si="191"/>
        <v>0</v>
      </c>
      <c r="AN320" s="1212" t="e">
        <f t="shared" ca="1" si="192"/>
        <v>#N/A</v>
      </c>
      <c r="AO320" s="1213" t="e">
        <f t="shared" ca="1" si="193"/>
        <v>#N/A</v>
      </c>
      <c r="AP320" s="1587">
        <f t="shared" si="194"/>
        <v>0</v>
      </c>
      <c r="AS320" s="1212" t="e">
        <f t="shared" ca="1" si="195"/>
        <v>#N/A</v>
      </c>
      <c r="AT320" s="1213" t="e">
        <f t="shared" ca="1" si="196"/>
        <v>#N/A</v>
      </c>
      <c r="AU320" s="1587">
        <f t="shared" si="197"/>
        <v>0</v>
      </c>
      <c r="AX320" s="1212" t="e">
        <f t="shared" ca="1" si="198"/>
        <v>#N/A</v>
      </c>
      <c r="AY320" s="1213" t="e">
        <f t="shared" ca="1" si="199"/>
        <v>#N/A</v>
      </c>
      <c r="AZ320" s="1587">
        <f t="shared" si="200"/>
        <v>0</v>
      </c>
      <c r="BC320" s="1212" t="e">
        <f t="shared" ca="1" si="201"/>
        <v>#N/A</v>
      </c>
      <c r="BD320" s="1213" t="e">
        <f t="shared" ca="1" si="202"/>
        <v>#N/A</v>
      </c>
      <c r="BE320" s="1587">
        <f t="shared" si="203"/>
        <v>0</v>
      </c>
      <c r="BH320" s="1212" t="e">
        <f t="shared" ca="1" si="204"/>
        <v>#N/A</v>
      </c>
      <c r="BI320" s="1213" t="e">
        <f t="shared" ca="1" si="205"/>
        <v>#N/A</v>
      </c>
      <c r="BJ320" s="1587">
        <f t="shared" si="206"/>
        <v>0</v>
      </c>
      <c r="BM320" s="1212" t="e">
        <f t="shared" ca="1" si="207"/>
        <v>#N/A</v>
      </c>
      <c r="BN320" s="1213" t="e">
        <f t="shared" ca="1" si="208"/>
        <v>#N/A</v>
      </c>
      <c r="BO320" s="1587">
        <f t="shared" si="209"/>
        <v>0</v>
      </c>
      <c r="BR320" s="1212" t="e">
        <f t="shared" ca="1" si="210"/>
        <v>#N/A</v>
      </c>
      <c r="BS320" s="1213" t="e">
        <f t="shared" ca="1" si="211"/>
        <v>#N/A</v>
      </c>
      <c r="BT320" s="1587">
        <f t="shared" si="212"/>
        <v>0</v>
      </c>
      <c r="BW320" s="1212" t="e">
        <f t="shared" ca="1" si="213"/>
        <v>#N/A</v>
      </c>
      <c r="BX320" s="1213" t="e">
        <f t="shared" ca="1" si="214"/>
        <v>#N/A</v>
      </c>
      <c r="BY320" s="1587">
        <f t="shared" si="215"/>
        <v>0</v>
      </c>
      <c r="CB320" s="1212" t="e">
        <f t="shared" ca="1" si="216"/>
        <v>#N/A</v>
      </c>
      <c r="CC320" s="1213" t="e">
        <f t="shared" ca="1" si="217"/>
        <v>#N/A</v>
      </c>
      <c r="CD320" s="1587">
        <f t="shared" si="218"/>
        <v>0</v>
      </c>
      <c r="CG320" s="1212" t="e">
        <f t="shared" ca="1" si="219"/>
        <v>#N/A</v>
      </c>
      <c r="CH320" s="1213" t="e">
        <f t="shared" ca="1" si="220"/>
        <v>#N/A</v>
      </c>
      <c r="CI320" s="1587">
        <f t="shared" si="221"/>
        <v>0</v>
      </c>
      <c r="CL320" s="1212" t="e">
        <f t="shared" ca="1" si="222"/>
        <v>#N/A</v>
      </c>
      <c r="CM320" s="1213" t="e">
        <f t="shared" ca="1" si="223"/>
        <v>#N/A</v>
      </c>
      <c r="CN320" s="1587">
        <f t="shared" si="224"/>
        <v>0</v>
      </c>
    </row>
    <row r="321" spans="1:92">
      <c r="A321" s="141">
        <f>'銀行-TSS'!A321</f>
        <v>0</v>
      </c>
      <c r="B321" s="151">
        <f ca="1">VLOOKUP(A321,'銀行-TSS'!A:B,2,FALSE)</f>
        <v>0</v>
      </c>
      <c r="C321" s="151" t="e">
        <f ca="1">VLOOKUP(B321,bond!B:C,2,FALSE)</f>
        <v>#N/A</v>
      </c>
      <c r="D321" s="95" t="e">
        <f>VLOOKUP(A321,'銀行-TSS'!A:C,3,FALSE)</f>
        <v>#N/A</v>
      </c>
      <c r="E321" s="90" t="e">
        <f ca="1">VLOOKUP(A321,'銀行-TSS'!A:G,7,FALSE)</f>
        <v>#N/A</v>
      </c>
      <c r="F321" s="202" t="e">
        <f ca="1">VLOOKUP(A321,'銀行-TSS'!A:H,8,FALSE)</f>
        <v>#N/A</v>
      </c>
      <c r="G321" s="96" t="e">
        <f ca="1">VLOOKUP(A321,'銀行-TSS'!A:K,11,FALSE)</f>
        <v>#N/A</v>
      </c>
      <c r="H321" s="1209" t="e">
        <f ca="1">VLOOKUP(A321,'銀行-TSS'!A:M,13,FALSE)</f>
        <v>#N/A</v>
      </c>
      <c r="I321" s="1213" t="e">
        <f ca="1">VLOOKUP(A321,'銀行-TSS'!A:N,14,FALSE)</f>
        <v>#N/A</v>
      </c>
      <c r="J321" s="1213" t="e">
        <f ca="1">VLOOKUP(A321,'銀行-TSS'!A:O,15,FALSE)</f>
        <v>#N/A</v>
      </c>
      <c r="K321" s="136" t="e">
        <f ca="1">VLOOKUP(A321,'銀行-TSS'!A:V,22,FALSE)</f>
        <v>#N/A</v>
      </c>
      <c r="L321" s="136" t="e">
        <f ca="1">VLOOKUP(A321,'銀行-TSS'!A:AK,37,FALSE)</f>
        <v>#N/A</v>
      </c>
      <c r="M321" s="136" t="str">
        <f ca="1">VLOOKUP(A321,'銀行-TSS'!A:AN,40,FALSE)</f>
        <v/>
      </c>
      <c r="N321" s="136" t="e">
        <f t="shared" ca="1" si="180"/>
        <v>#N/A</v>
      </c>
      <c r="O321" s="1213" t="e">
        <f t="shared" ca="1" si="181"/>
        <v>#N/A</v>
      </c>
      <c r="P321" s="1213" t="e">
        <f ca="1">IF(AND($O$1&gt;=O321,換券單檔!$D$13=D321),I321+INT(($O$1-O321)/N321)*J321,0)</f>
        <v>#N/A</v>
      </c>
      <c r="Q321" s="1213" t="e">
        <f t="shared" ca="1" si="182"/>
        <v>#N/A</v>
      </c>
      <c r="R321" s="1213">
        <f t="shared" si="183"/>
        <v>0</v>
      </c>
      <c r="S321" s="1213">
        <f t="shared" si="184"/>
        <v>0</v>
      </c>
      <c r="T321" s="136">
        <f>IF(OR(R321=0,A321=0),0,IF(AND(V321=TRUE,換券單檔!$D$13=D321),E321,0))</f>
        <v>0</v>
      </c>
      <c r="U321" s="861">
        <f>IF(OR(R321=0,A321=0),0,IF(AND(V321=TRUE,換券單檔!$D$13=D321),H321,0))</f>
        <v>0</v>
      </c>
      <c r="V321" s="136" t="e">
        <f ca="1">IF(OR(B321=換券單檔!$D$3,L321="無",M321&lt;&gt;"",K321="高資產",IFERROR(MATCH(B321,換券單檔!K:K,0),"N")&lt;&gt;"N"),FALSE,IF($V$1="All",TRUE,IF(K321=$V$1,TRUE,FALSE)))</f>
        <v>#N/A</v>
      </c>
      <c r="W321" s="136" t="e">
        <f ca="1">VLOOKUP(A321,'銀行-TSS'!A:AO,41,FALSE)</f>
        <v>#N/A</v>
      </c>
      <c r="X321" s="136" t="e">
        <f ca="1">VLOOKUP(A321,'銀行-TSS'!A:AP,42,FALSE)</f>
        <v>#N/A</v>
      </c>
      <c r="Y321" s="1220">
        <f t="shared" si="185"/>
        <v>0</v>
      </c>
      <c r="Z321" s="1220">
        <f t="shared" si="186"/>
        <v>0</v>
      </c>
      <c r="AA321" s="136">
        <f>IF(Z321&lt;=0,0,RANK(Z321,Z:Z)+COUNTIF($Z$3:$Z321,Z321)-1)</f>
        <v>0</v>
      </c>
      <c r="AB321" s="1211">
        <f t="shared" ca="1" si="187"/>
        <v>-14896.14</v>
      </c>
      <c r="AC321" s="136">
        <f ca="1">IF(AB321&lt;=0,0,RANK(AB321,AB:AB)+COUNTIF($AB$3:$AB321,AB321)-1)</f>
        <v>0</v>
      </c>
      <c r="AD321" s="1123">
        <f t="shared" si="188"/>
        <v>99999</v>
      </c>
      <c r="AE321" s="1123">
        <f>IF(AD321=99999,0,RANK(AD321,AD:AD,1)+COUNTIF($AD$3:$AD321,AD321)-1)</f>
        <v>0</v>
      </c>
      <c r="AF321" s="86" t="e">
        <f ca="1">IF(OR(M321&lt;&gt;"",L321="無",K321="高資產",IFERROR(MATCH(B321,換券單檔!K:K,0),"N")&lt;&gt;"N"),FALSE,TRUE)</f>
        <v>#N/A</v>
      </c>
      <c r="AI321" s="1212" t="e">
        <f t="shared" ca="1" si="189"/>
        <v>#N/A</v>
      </c>
      <c r="AJ321" s="1213" t="e">
        <f t="shared" ca="1" si="190"/>
        <v>#N/A</v>
      </c>
      <c r="AK321" s="1587">
        <f t="shared" si="191"/>
        <v>0</v>
      </c>
      <c r="AN321" s="1212" t="e">
        <f t="shared" ca="1" si="192"/>
        <v>#N/A</v>
      </c>
      <c r="AO321" s="1213" t="e">
        <f t="shared" ca="1" si="193"/>
        <v>#N/A</v>
      </c>
      <c r="AP321" s="1587">
        <f t="shared" si="194"/>
        <v>0</v>
      </c>
      <c r="AS321" s="1212" t="e">
        <f t="shared" ca="1" si="195"/>
        <v>#N/A</v>
      </c>
      <c r="AT321" s="1213" t="e">
        <f t="shared" ca="1" si="196"/>
        <v>#N/A</v>
      </c>
      <c r="AU321" s="1587">
        <f t="shared" si="197"/>
        <v>0</v>
      </c>
      <c r="AX321" s="1212" t="e">
        <f t="shared" ca="1" si="198"/>
        <v>#N/A</v>
      </c>
      <c r="AY321" s="1213" t="e">
        <f t="shared" ca="1" si="199"/>
        <v>#N/A</v>
      </c>
      <c r="AZ321" s="1587">
        <f t="shared" si="200"/>
        <v>0</v>
      </c>
      <c r="BC321" s="1212" t="e">
        <f t="shared" ca="1" si="201"/>
        <v>#N/A</v>
      </c>
      <c r="BD321" s="1213" t="e">
        <f t="shared" ca="1" si="202"/>
        <v>#N/A</v>
      </c>
      <c r="BE321" s="1587">
        <f t="shared" si="203"/>
        <v>0</v>
      </c>
      <c r="BH321" s="1212" t="e">
        <f t="shared" ca="1" si="204"/>
        <v>#N/A</v>
      </c>
      <c r="BI321" s="1213" t="e">
        <f t="shared" ca="1" si="205"/>
        <v>#N/A</v>
      </c>
      <c r="BJ321" s="1587">
        <f t="shared" si="206"/>
        <v>0</v>
      </c>
      <c r="BM321" s="1212" t="e">
        <f t="shared" ca="1" si="207"/>
        <v>#N/A</v>
      </c>
      <c r="BN321" s="1213" t="e">
        <f t="shared" ca="1" si="208"/>
        <v>#N/A</v>
      </c>
      <c r="BO321" s="1587">
        <f t="shared" si="209"/>
        <v>0</v>
      </c>
      <c r="BR321" s="1212" t="e">
        <f t="shared" ca="1" si="210"/>
        <v>#N/A</v>
      </c>
      <c r="BS321" s="1213" t="e">
        <f t="shared" ca="1" si="211"/>
        <v>#N/A</v>
      </c>
      <c r="BT321" s="1587">
        <f t="shared" si="212"/>
        <v>0</v>
      </c>
      <c r="BW321" s="1212" t="e">
        <f t="shared" ca="1" si="213"/>
        <v>#N/A</v>
      </c>
      <c r="BX321" s="1213" t="e">
        <f t="shared" ca="1" si="214"/>
        <v>#N/A</v>
      </c>
      <c r="BY321" s="1587">
        <f t="shared" si="215"/>
        <v>0</v>
      </c>
      <c r="CB321" s="1212" t="e">
        <f t="shared" ca="1" si="216"/>
        <v>#N/A</v>
      </c>
      <c r="CC321" s="1213" t="e">
        <f t="shared" ca="1" si="217"/>
        <v>#N/A</v>
      </c>
      <c r="CD321" s="1587">
        <f t="shared" si="218"/>
        <v>0</v>
      </c>
      <c r="CG321" s="1212" t="e">
        <f t="shared" ca="1" si="219"/>
        <v>#N/A</v>
      </c>
      <c r="CH321" s="1213" t="e">
        <f t="shared" ca="1" si="220"/>
        <v>#N/A</v>
      </c>
      <c r="CI321" s="1587">
        <f t="shared" si="221"/>
        <v>0</v>
      </c>
      <c r="CL321" s="1212" t="e">
        <f t="shared" ca="1" si="222"/>
        <v>#N/A</v>
      </c>
      <c r="CM321" s="1213" t="e">
        <f t="shared" ca="1" si="223"/>
        <v>#N/A</v>
      </c>
      <c r="CN321" s="1587">
        <f t="shared" si="224"/>
        <v>0</v>
      </c>
    </row>
    <row r="322" spans="1:92">
      <c r="A322" s="141">
        <f>'銀行-TSS'!A322</f>
        <v>0</v>
      </c>
      <c r="B322" s="151">
        <f ca="1">VLOOKUP(A322,'銀行-TSS'!A:B,2,FALSE)</f>
        <v>0</v>
      </c>
      <c r="C322" s="151" t="e">
        <f ca="1">VLOOKUP(B322,bond!B:C,2,FALSE)</f>
        <v>#N/A</v>
      </c>
      <c r="D322" s="95" t="e">
        <f>VLOOKUP(A322,'銀行-TSS'!A:C,3,FALSE)</f>
        <v>#N/A</v>
      </c>
      <c r="E322" s="90" t="e">
        <f ca="1">VLOOKUP(A322,'銀行-TSS'!A:G,7,FALSE)</f>
        <v>#N/A</v>
      </c>
      <c r="F322" s="202" t="e">
        <f ca="1">VLOOKUP(A322,'銀行-TSS'!A:H,8,FALSE)</f>
        <v>#N/A</v>
      </c>
      <c r="G322" s="96" t="e">
        <f ca="1">VLOOKUP(A322,'銀行-TSS'!A:K,11,FALSE)</f>
        <v>#N/A</v>
      </c>
      <c r="H322" s="1209" t="e">
        <f ca="1">VLOOKUP(A322,'銀行-TSS'!A:M,13,FALSE)</f>
        <v>#N/A</v>
      </c>
      <c r="I322" s="1213" t="e">
        <f ca="1">VLOOKUP(A322,'銀行-TSS'!A:N,14,FALSE)</f>
        <v>#N/A</v>
      </c>
      <c r="J322" s="1213" t="e">
        <f ca="1">VLOOKUP(A322,'銀行-TSS'!A:O,15,FALSE)</f>
        <v>#N/A</v>
      </c>
      <c r="K322" s="136" t="e">
        <f ca="1">VLOOKUP(A322,'銀行-TSS'!A:V,22,FALSE)</f>
        <v>#N/A</v>
      </c>
      <c r="L322" s="136" t="e">
        <f ca="1">VLOOKUP(A322,'銀行-TSS'!A:AK,37,FALSE)</f>
        <v>#N/A</v>
      </c>
      <c r="M322" s="136" t="str">
        <f ca="1">VLOOKUP(A322,'銀行-TSS'!A:AN,40,FALSE)</f>
        <v/>
      </c>
      <c r="N322" s="136" t="e">
        <f t="shared" ca="1" si="180"/>
        <v>#N/A</v>
      </c>
      <c r="O322" s="1213" t="e">
        <f t="shared" ca="1" si="181"/>
        <v>#N/A</v>
      </c>
      <c r="P322" s="1213" t="e">
        <f ca="1">IF(AND($O$1&gt;=O322,換券單檔!$D$13=D322),I322+INT(($O$1-O322)/N322)*J322,0)</f>
        <v>#N/A</v>
      </c>
      <c r="Q322" s="1213" t="e">
        <f t="shared" ca="1" si="182"/>
        <v>#N/A</v>
      </c>
      <c r="R322" s="1213">
        <f t="shared" si="183"/>
        <v>0</v>
      </c>
      <c r="S322" s="1213">
        <f t="shared" si="184"/>
        <v>0</v>
      </c>
      <c r="T322" s="136">
        <f>IF(OR(R322=0,A322=0),0,IF(AND(V322=TRUE,換券單檔!$D$13=D322),E322,0))</f>
        <v>0</v>
      </c>
      <c r="U322" s="861">
        <f>IF(OR(R322=0,A322=0),0,IF(AND(V322=TRUE,換券單檔!$D$13=D322),H322,0))</f>
        <v>0</v>
      </c>
      <c r="V322" s="136" t="e">
        <f ca="1">IF(OR(B322=換券單檔!$D$3,L322="無",M322&lt;&gt;"",K322="高資產",IFERROR(MATCH(B322,換券單檔!K:K,0),"N")&lt;&gt;"N"),FALSE,IF($V$1="All",TRUE,IF(K322=$V$1,TRUE,FALSE)))</f>
        <v>#N/A</v>
      </c>
      <c r="W322" s="136" t="e">
        <f ca="1">VLOOKUP(A322,'銀行-TSS'!A:AO,41,FALSE)</f>
        <v>#N/A</v>
      </c>
      <c r="X322" s="136" t="e">
        <f ca="1">VLOOKUP(A322,'銀行-TSS'!A:AP,42,FALSE)</f>
        <v>#N/A</v>
      </c>
      <c r="Y322" s="1220">
        <f t="shared" si="185"/>
        <v>0</v>
      </c>
      <c r="Z322" s="1220">
        <f t="shared" si="186"/>
        <v>0</v>
      </c>
      <c r="AA322" s="136">
        <f>IF(Z322&lt;=0,0,RANK(Z322,Z:Z)+COUNTIF($Z$3:$Z322,Z322)-1)</f>
        <v>0</v>
      </c>
      <c r="AB322" s="1211">
        <f t="shared" ca="1" si="187"/>
        <v>-14896.14</v>
      </c>
      <c r="AC322" s="136">
        <f ca="1">IF(AB322&lt;=0,0,RANK(AB322,AB:AB)+COUNTIF($AB$3:$AB322,AB322)-1)</f>
        <v>0</v>
      </c>
      <c r="AD322" s="1123">
        <f t="shared" si="188"/>
        <v>99999</v>
      </c>
      <c r="AE322" s="1123">
        <f>IF(AD322=99999,0,RANK(AD322,AD:AD,1)+COUNTIF($AD$3:$AD322,AD322)-1)</f>
        <v>0</v>
      </c>
      <c r="AF322" s="86" t="e">
        <f ca="1">IF(OR(M322&lt;&gt;"",L322="無",K322="高資產",IFERROR(MATCH(B322,換券單檔!K:K,0),"N")&lt;&gt;"N"),FALSE,TRUE)</f>
        <v>#N/A</v>
      </c>
      <c r="AI322" s="1212" t="e">
        <f t="shared" ca="1" si="189"/>
        <v>#N/A</v>
      </c>
      <c r="AJ322" s="1213" t="e">
        <f t="shared" ca="1" si="190"/>
        <v>#N/A</v>
      </c>
      <c r="AK322" s="1587">
        <f t="shared" si="191"/>
        <v>0</v>
      </c>
      <c r="AN322" s="1212" t="e">
        <f t="shared" ca="1" si="192"/>
        <v>#N/A</v>
      </c>
      <c r="AO322" s="1213" t="e">
        <f t="shared" ca="1" si="193"/>
        <v>#N/A</v>
      </c>
      <c r="AP322" s="1587">
        <f t="shared" si="194"/>
        <v>0</v>
      </c>
      <c r="AS322" s="1212" t="e">
        <f t="shared" ca="1" si="195"/>
        <v>#N/A</v>
      </c>
      <c r="AT322" s="1213" t="e">
        <f t="shared" ca="1" si="196"/>
        <v>#N/A</v>
      </c>
      <c r="AU322" s="1587">
        <f t="shared" si="197"/>
        <v>0</v>
      </c>
      <c r="AX322" s="1212" t="e">
        <f t="shared" ca="1" si="198"/>
        <v>#N/A</v>
      </c>
      <c r="AY322" s="1213" t="e">
        <f t="shared" ca="1" si="199"/>
        <v>#N/A</v>
      </c>
      <c r="AZ322" s="1587">
        <f t="shared" si="200"/>
        <v>0</v>
      </c>
      <c r="BC322" s="1212" t="e">
        <f t="shared" ca="1" si="201"/>
        <v>#N/A</v>
      </c>
      <c r="BD322" s="1213" t="e">
        <f t="shared" ca="1" si="202"/>
        <v>#N/A</v>
      </c>
      <c r="BE322" s="1587">
        <f t="shared" si="203"/>
        <v>0</v>
      </c>
      <c r="BH322" s="1212" t="e">
        <f t="shared" ca="1" si="204"/>
        <v>#N/A</v>
      </c>
      <c r="BI322" s="1213" t="e">
        <f t="shared" ca="1" si="205"/>
        <v>#N/A</v>
      </c>
      <c r="BJ322" s="1587">
        <f t="shared" si="206"/>
        <v>0</v>
      </c>
      <c r="BM322" s="1212" t="e">
        <f t="shared" ca="1" si="207"/>
        <v>#N/A</v>
      </c>
      <c r="BN322" s="1213" t="e">
        <f t="shared" ca="1" si="208"/>
        <v>#N/A</v>
      </c>
      <c r="BO322" s="1587">
        <f t="shared" si="209"/>
        <v>0</v>
      </c>
      <c r="BR322" s="1212" t="e">
        <f t="shared" ca="1" si="210"/>
        <v>#N/A</v>
      </c>
      <c r="BS322" s="1213" t="e">
        <f t="shared" ca="1" si="211"/>
        <v>#N/A</v>
      </c>
      <c r="BT322" s="1587">
        <f t="shared" si="212"/>
        <v>0</v>
      </c>
      <c r="BW322" s="1212" t="e">
        <f t="shared" ca="1" si="213"/>
        <v>#N/A</v>
      </c>
      <c r="BX322" s="1213" t="e">
        <f t="shared" ca="1" si="214"/>
        <v>#N/A</v>
      </c>
      <c r="BY322" s="1587">
        <f t="shared" si="215"/>
        <v>0</v>
      </c>
      <c r="CB322" s="1212" t="e">
        <f t="shared" ca="1" si="216"/>
        <v>#N/A</v>
      </c>
      <c r="CC322" s="1213" t="e">
        <f t="shared" ca="1" si="217"/>
        <v>#N/A</v>
      </c>
      <c r="CD322" s="1587">
        <f t="shared" si="218"/>
        <v>0</v>
      </c>
      <c r="CG322" s="1212" t="e">
        <f t="shared" ca="1" si="219"/>
        <v>#N/A</v>
      </c>
      <c r="CH322" s="1213" t="e">
        <f t="shared" ca="1" si="220"/>
        <v>#N/A</v>
      </c>
      <c r="CI322" s="1587">
        <f t="shared" si="221"/>
        <v>0</v>
      </c>
      <c r="CL322" s="1212" t="e">
        <f t="shared" ca="1" si="222"/>
        <v>#N/A</v>
      </c>
      <c r="CM322" s="1213" t="e">
        <f t="shared" ca="1" si="223"/>
        <v>#N/A</v>
      </c>
      <c r="CN322" s="1587">
        <f t="shared" si="224"/>
        <v>0</v>
      </c>
    </row>
    <row r="323" spans="1:92">
      <c r="A323" s="141">
        <f>'銀行-TSS'!A323</f>
        <v>0</v>
      </c>
      <c r="B323" s="151">
        <f ca="1">VLOOKUP(A323,'銀行-TSS'!A:B,2,FALSE)</f>
        <v>0</v>
      </c>
      <c r="C323" s="151" t="e">
        <f ca="1">VLOOKUP(B323,bond!B:C,2,FALSE)</f>
        <v>#N/A</v>
      </c>
      <c r="D323" s="95" t="e">
        <f>VLOOKUP(A323,'銀行-TSS'!A:C,3,FALSE)</f>
        <v>#N/A</v>
      </c>
      <c r="E323" s="90" t="e">
        <f ca="1">VLOOKUP(A323,'銀行-TSS'!A:G,7,FALSE)</f>
        <v>#N/A</v>
      </c>
      <c r="F323" s="202" t="e">
        <f ca="1">VLOOKUP(A323,'銀行-TSS'!A:H,8,FALSE)</f>
        <v>#N/A</v>
      </c>
      <c r="G323" s="96" t="e">
        <f ca="1">VLOOKUP(A323,'銀行-TSS'!A:K,11,FALSE)</f>
        <v>#N/A</v>
      </c>
      <c r="H323" s="1209" t="e">
        <f ca="1">VLOOKUP(A323,'銀行-TSS'!A:M,13,FALSE)</f>
        <v>#N/A</v>
      </c>
      <c r="I323" s="1213" t="e">
        <f ca="1">VLOOKUP(A323,'銀行-TSS'!A:N,14,FALSE)</f>
        <v>#N/A</v>
      </c>
      <c r="J323" s="1213" t="e">
        <f ca="1">VLOOKUP(A323,'銀行-TSS'!A:O,15,FALSE)</f>
        <v>#N/A</v>
      </c>
      <c r="K323" s="136" t="e">
        <f ca="1">VLOOKUP(A323,'銀行-TSS'!A:V,22,FALSE)</f>
        <v>#N/A</v>
      </c>
      <c r="L323" s="136" t="e">
        <f ca="1">VLOOKUP(A323,'銀行-TSS'!A:AK,37,FALSE)</f>
        <v>#N/A</v>
      </c>
      <c r="M323" s="136" t="str">
        <f ca="1">VLOOKUP(A323,'銀行-TSS'!A:AN,40,FALSE)</f>
        <v/>
      </c>
      <c r="N323" s="136" t="e">
        <f t="shared" ref="N323:N386" ca="1" si="225">G323*J323/100</f>
        <v>#N/A</v>
      </c>
      <c r="O323" s="1213" t="e">
        <f t="shared" ref="O323:O386" ca="1" si="226">G323*I323/100</f>
        <v>#N/A</v>
      </c>
      <c r="P323" s="1213" t="e">
        <f ca="1">IF(AND($O$1&gt;=O323,換券單檔!$D$13=D323),I323+INT(($O$1-O323)/N323)*J323,0)</f>
        <v>#N/A</v>
      </c>
      <c r="Q323" s="1213" t="e">
        <f t="shared" ref="Q323:Q386" ca="1" si="227">P323*F323</f>
        <v>#N/A</v>
      </c>
      <c r="R323" s="1213">
        <f t="shared" ref="R323:R386" si="228">IF(A323=0,0,IF(V323=FALSE,0,P323))</f>
        <v>0</v>
      </c>
      <c r="S323" s="1213">
        <f t="shared" ref="S323:S386" si="229">IF(A323=0,0,IF(V323=FALSE,0,Q323))</f>
        <v>0</v>
      </c>
      <c r="T323" s="136">
        <f>IF(OR(R323=0,A323=0),0,IF(AND(V323=TRUE,換券單檔!$D$13=D323),E323,0))</f>
        <v>0</v>
      </c>
      <c r="U323" s="861">
        <f>IF(OR(R323=0,A323=0),0,IF(AND(V323=TRUE,換券單檔!$D$13=D323),H323,0))</f>
        <v>0</v>
      </c>
      <c r="V323" s="136" t="e">
        <f ca="1">IF(OR(B323=換券單檔!$D$3,L323="無",M323&lt;&gt;"",K323="高資產",IFERROR(MATCH(B323,換券單檔!K:K,0),"N")&lt;&gt;"N"),FALSE,IF($V$1="All",TRUE,IF(K323=$V$1,TRUE,FALSE)))</f>
        <v>#N/A</v>
      </c>
      <c r="W323" s="136" t="e">
        <f ca="1">VLOOKUP(A323,'銀行-TSS'!A:AO,41,FALSE)</f>
        <v>#N/A</v>
      </c>
      <c r="X323" s="136" t="e">
        <f ca="1">VLOOKUP(A323,'銀行-TSS'!A:AP,42,FALSE)</f>
        <v>#N/A</v>
      </c>
      <c r="Y323" s="1220">
        <f t="shared" ref="Y323:Y386" si="230">IF(A323=0,0,IF(V323=FALSE,0,IFERROR(W323/100*P323*X323*1%,0)))</f>
        <v>0</v>
      </c>
      <c r="Z323" s="1220">
        <f t="shared" ref="Z323:Z386" si="231">IF(A323=0,0,IF(V323=FALSE,0,IF(OR(Q323&lt;$Y$1,E323&lt;5)=FALSE,((Q323-$Q$1)*MIN(3,E323)*(1-MIN(1/(2*E323),1))+IF((P323-$P$1)&lt;0,(P323-$P$1)*2,(P323-$P$1)*MIN(1/(2*E323),1))),0)))</f>
        <v>0</v>
      </c>
      <c r="AA323" s="136">
        <f>IF(Z323&lt;=0,0,RANK(Z323,Z:Z)+COUNTIF($Z$3:$Z323,Z323)-1)</f>
        <v>0</v>
      </c>
      <c r="AB323" s="1211">
        <f t="shared" ref="AB323:AB386" ca="1" si="232">IF(A323=0,0,IF(V323=FALSE,0,Y323+IF((P323-$P$1)&lt;0,(P323-$P$1),0)))-$AC$1</f>
        <v>-14896.14</v>
      </c>
      <c r="AC323" s="136">
        <f ca="1">IF(AB323&lt;=0,0,RANK(AB323,AB:AB)+COUNTIF($AB$3:$AB323,AB323)-1)</f>
        <v>0</v>
      </c>
      <c r="AD323" s="1123">
        <f t="shared" ref="AD323:AD386" si="233">IF(A323=0,99999,IF(OR(V323=FALSE,AA323=0,AC323=0),99999,(AC323+AA323)/2))</f>
        <v>99999</v>
      </c>
      <c r="AE323" s="1123">
        <f>IF(AD323=99999,0,RANK(AD323,AD:AD,1)+COUNTIF($AD$3:$AD323,AD323)-1)</f>
        <v>0</v>
      </c>
      <c r="AF323" s="86" t="e">
        <f ca="1">IF(OR(M323&lt;&gt;"",L323="無",K323="高資產",IFERROR(MATCH(B323,換券單檔!K:K,0),"N")&lt;&gt;"N"),FALSE,TRUE)</f>
        <v>#N/A</v>
      </c>
      <c r="AI323" s="1212" t="e">
        <f t="shared" ref="AI323:AI386" ca="1" si="234">IF($AF323=FALSE,0,IF(AND(AH$2&gt;=$O323,AH$1=$D323),$I323+INT((AH$2-$O323)/$N323)*$J323,0))</f>
        <v>#N/A</v>
      </c>
      <c r="AJ323" s="1213" t="e">
        <f t="shared" ref="AJ323:AJ386" ca="1" si="235">AI323*$F323</f>
        <v>#N/A</v>
      </c>
      <c r="AK323" s="1587">
        <f t="shared" ref="AK323:AK386" si="236">IF($A323=0,0,IF(OR($AF323=FALSE,$B323=AG$1),0,IF(OR(AJ323&lt;(AJ$1*0.9),$E323&lt;5)=FALSE,((AJ323-AJ$1)*MIN(3,$E323)*(1-MIN(1/(2*$E323),1))+IF((AI323-AI$1)&lt;0,(AI323-AI$1)*2,(AI323-AI$1)*MIN(1/(2*$E323),1))),0)))</f>
        <v>0</v>
      </c>
      <c r="AN323" s="1212" t="e">
        <f t="shared" ref="AN323:AN386" ca="1" si="237">IF($AF323=FALSE,0,IF(AND(AM$2&gt;=$O323,AM$1=$D323),$I323+INT((AM$2-$O323)/$N323)*$J323,0))</f>
        <v>#N/A</v>
      </c>
      <c r="AO323" s="1213" t="e">
        <f t="shared" ref="AO323:AO386" ca="1" si="238">AN323*$F323</f>
        <v>#N/A</v>
      </c>
      <c r="AP323" s="1587">
        <f t="shared" ref="AP323:AP386" si="239">IF($A323=0,0,IF(OR($AF323=FALSE,$B323=AL$1),0,IF(OR(AO323&lt;(AO$1*0.9),$E323&lt;5)=FALSE,((AO323-AO$1)*MIN(3,$E323)*(1-MIN(1/(2*$E323),1))+IF((AN323-AN$1)&lt;0,(AN323-AN$1)*2,(AN323-AN$1)*MIN(1/(2*$E323),1))),0)))</f>
        <v>0</v>
      </c>
      <c r="AS323" s="1212" t="e">
        <f t="shared" ref="AS323:AS386" ca="1" si="240">IF($AF323=FALSE,0,IF(AND(AR$2&gt;=$O323,AR$1=$D323),$I323+INT((AR$2-$O323)/$N323)*$J323,0))</f>
        <v>#N/A</v>
      </c>
      <c r="AT323" s="1213" t="e">
        <f t="shared" ref="AT323:AT386" ca="1" si="241">AS323*$F323</f>
        <v>#N/A</v>
      </c>
      <c r="AU323" s="1587">
        <f t="shared" ref="AU323:AU386" si="242">IF($A323=0,0,IF(OR($AF323=FALSE,$B323=AQ$1),0,IF(OR(AT323&lt;(AT$1*0.9),$E323&lt;5)=FALSE,((AT323-AT$1)*MIN(3,$E323)*(1-MIN(1/(2*$E323),1))+IF((AS323-AS$1)&lt;0,(AS323-AS$1)*2,(AS323-AS$1)*MIN(1/(2*$E323),1))),0)))</f>
        <v>0</v>
      </c>
      <c r="AX323" s="1212" t="e">
        <f t="shared" ref="AX323:AX386" ca="1" si="243">IF($AF323=FALSE,0,IF(AND(AW$2&gt;=$O323,AW$1=$D323),$I323+INT((AW$2-$O323)/$N323)*$J323,0))</f>
        <v>#N/A</v>
      </c>
      <c r="AY323" s="1213" t="e">
        <f t="shared" ref="AY323:AY386" ca="1" si="244">AX323*$F323</f>
        <v>#N/A</v>
      </c>
      <c r="AZ323" s="1587">
        <f t="shared" ref="AZ323:AZ386" si="245">IF($A323=0,0,IF(OR($AF323=FALSE,$B323=AV$1),0,IF(OR(AY323&lt;(AY$1*0.9),$E323&lt;5)=FALSE,((AY323-AY$1)*MIN(3,$E323)*(1-MIN(1/(2*$E323),1))+IF((AX323-AX$1)&lt;0,(AX323-AX$1)*2,(AX323-AX$1)*MIN(1/(2*$E323),1))),0)))</f>
        <v>0</v>
      </c>
      <c r="BC323" s="1212" t="e">
        <f t="shared" ref="BC323:BC386" ca="1" si="246">IF($AF323=FALSE,0,IF(AND(BB$2&gt;=$O323,BB$1=$D323),$I323+INT((BB$2-$O323)/$N323)*$J323,0))</f>
        <v>#N/A</v>
      </c>
      <c r="BD323" s="1213" t="e">
        <f t="shared" ref="BD323:BD386" ca="1" si="247">BC323*$F323</f>
        <v>#N/A</v>
      </c>
      <c r="BE323" s="1587">
        <f t="shared" ref="BE323:BE386" si="248">IF($A323=0,0,IF(OR($AF323=FALSE,$B323=BA$1),0,IF(OR(BD323&lt;(BD$1*0.9),$E323&lt;5)=FALSE,((BD323-BD$1)*MIN(3,$E323)*(1-MIN(1/(2*$E323),1))+IF((BC323-BC$1)&lt;0,(BC323-BC$1)*2,(BC323-BC$1)*MIN(1/(2*$E323),1))),0)))</f>
        <v>0</v>
      </c>
      <c r="BH323" s="1212" t="e">
        <f t="shared" ref="BH323:BH386" ca="1" si="249">IF($AF323=FALSE,0,IF(AND(BG$2&gt;=$O323,BG$1=$D323),$I323+INT((BG$2-$O323)/$N323)*$J323,0))</f>
        <v>#N/A</v>
      </c>
      <c r="BI323" s="1213" t="e">
        <f t="shared" ref="BI323:BI386" ca="1" si="250">BH323*$F323</f>
        <v>#N/A</v>
      </c>
      <c r="BJ323" s="1587">
        <f t="shared" ref="BJ323:BJ386" si="251">IF($A323=0,0,IF(OR($AF323=FALSE,$B323=BF$1),0,IF(OR(BI323&lt;(BI$1*0.9),$E323&lt;5)=FALSE,((BI323-BI$1)*MIN(3,$E323)*(1-MIN(1/(2*$E323),1))+IF((BH323-BH$1)&lt;0,(BH323-BH$1)*2,(BH323-BH$1)*MIN(1/(2*$E323),1))),0)))</f>
        <v>0</v>
      </c>
      <c r="BM323" s="1212" t="e">
        <f t="shared" ref="BM323:BM386" ca="1" si="252">IF($AF323=FALSE,0,IF(AND(BL$2&gt;=$O323,BL$1=$D323),$I323+INT((BL$2-$O323)/$N323)*$J323,0))</f>
        <v>#N/A</v>
      </c>
      <c r="BN323" s="1213" t="e">
        <f t="shared" ref="BN323:BN386" ca="1" si="253">BM323*$F323</f>
        <v>#N/A</v>
      </c>
      <c r="BO323" s="1587">
        <f t="shared" ref="BO323:BO386" si="254">IF($A323=0,0,IF(OR($AF323=FALSE,$B323=BK$1),0,IF(OR(BN323&lt;(BN$1*0.9),$E323&lt;5)=FALSE,((BN323-BN$1)*MIN(3,$E323)*(1-MIN(1/(2*$E323),1))+IF((BM323-BM$1)&lt;0,(BM323-BM$1)*2,(BM323-BM$1)*MIN(1/(2*$E323),1))),0)))</f>
        <v>0</v>
      </c>
      <c r="BR323" s="1212" t="e">
        <f t="shared" ref="BR323:BR386" ca="1" si="255">IF($AF323=FALSE,0,IF(AND(BQ$2&gt;=$O323,BQ$1=$D323),$I323+INT((BQ$2-$O323)/$N323)*$J323,0))</f>
        <v>#N/A</v>
      </c>
      <c r="BS323" s="1213" t="e">
        <f t="shared" ref="BS323:BS386" ca="1" si="256">BR323*$F323</f>
        <v>#N/A</v>
      </c>
      <c r="BT323" s="1587">
        <f t="shared" ref="BT323:BT386" si="257">IF($A323=0,0,IF(OR($AF323=FALSE,$B323=BP$1),0,IF(OR(BS323&lt;(BS$1*0.9),$E323&lt;5)=FALSE,((BS323-BS$1)*MIN(3,$E323)*(1-MIN(1/(2*$E323),1))+IF((BR323-BR$1)&lt;0,(BR323-BR$1)*2,(BR323-BR$1)*MIN(1/(2*$E323),1))),0)))</f>
        <v>0</v>
      </c>
      <c r="BW323" s="1212" t="e">
        <f t="shared" ref="BW323:BW386" ca="1" si="258">IF($AF323=FALSE,0,IF(AND(BV$2&gt;=$O323,BV$1=$D323),$I323+INT((BV$2-$O323)/$N323)*$J323,0))</f>
        <v>#N/A</v>
      </c>
      <c r="BX323" s="1213" t="e">
        <f t="shared" ref="BX323:BX386" ca="1" si="259">BW323*$F323</f>
        <v>#N/A</v>
      </c>
      <c r="BY323" s="1587">
        <f t="shared" ref="BY323:BY386" si="260">IF($A323=0,0,IF(OR($AF323=FALSE,$B323=BU$1),0,IF(OR(BX323&lt;(BX$1*0.9),$E323&lt;5)=FALSE,((BX323-BX$1)*MIN(3,$E323)*(1-MIN(1/(2*$E323),1))+IF((BW323-BW$1)&lt;0,(BW323-BW$1)*2,(BW323-BW$1)*MIN(1/(2*$E323),1))),0)))</f>
        <v>0</v>
      </c>
      <c r="CB323" s="1212" t="e">
        <f t="shared" ref="CB323:CB386" ca="1" si="261">IF($AF323=FALSE,0,IF(AND(CA$2&gt;=$O323,CA$1=$D323),$I323+INT((CA$2-$O323)/$N323)*$J323,0))</f>
        <v>#N/A</v>
      </c>
      <c r="CC323" s="1213" t="e">
        <f t="shared" ref="CC323:CC386" ca="1" si="262">CB323*$F323</f>
        <v>#N/A</v>
      </c>
      <c r="CD323" s="1587">
        <f t="shared" ref="CD323:CD386" si="263">IF($A323=0,0,IF(OR($AF323=FALSE,$B323=BZ$1),0,IF(OR(CC323&lt;(CC$1*0.9),$E323&lt;5)=FALSE,((CC323-CC$1)*MIN(3,$E323)*(1-MIN(1/(2*$E323),1))+IF((CB323-CB$1)&lt;0,(CB323-CB$1)*2,(CB323-CB$1)*MIN(1/(2*$E323),1))),0)))</f>
        <v>0</v>
      </c>
      <c r="CG323" s="1212" t="e">
        <f t="shared" ref="CG323:CG386" ca="1" si="264">IF($AF323=FALSE,0,IF(AND(CF$2&gt;=$O323,CF$1=$D323),$I323+INT((CF$2-$O323)/$N323)*$J323,0))</f>
        <v>#N/A</v>
      </c>
      <c r="CH323" s="1213" t="e">
        <f t="shared" ref="CH323:CH386" ca="1" si="265">CG323*$F323</f>
        <v>#N/A</v>
      </c>
      <c r="CI323" s="1587">
        <f t="shared" ref="CI323:CI386" si="266">IF($A323=0,0,IF(OR($AF323=FALSE,$B323=CE$1),0,IF(OR(CH323&lt;(CH$1*0.9),$E323&lt;5)=FALSE,((CH323-CH$1)*MIN(3,$E323)*(1-MIN(1/(2*$E323),1))+IF((CG323-CG$1)&lt;0,(CG323-CG$1)*2,(CG323-CG$1)*MIN(1/(2*$E323),1))),0)))</f>
        <v>0</v>
      </c>
      <c r="CL323" s="1212" t="e">
        <f t="shared" ref="CL323:CL386" ca="1" si="267">IF($AF323=FALSE,0,IF(AND(CK$2&gt;=$O323,CK$1=$D323),$I323+INT((CK$2-$O323)/$N323)*$J323,0))</f>
        <v>#N/A</v>
      </c>
      <c r="CM323" s="1213" t="e">
        <f t="shared" ref="CM323:CM386" ca="1" si="268">CL323*$F323</f>
        <v>#N/A</v>
      </c>
      <c r="CN323" s="1587">
        <f t="shared" ref="CN323:CN386" si="269">IF($A323=0,0,IF(OR($AF323=FALSE,$B323=CJ$1),0,IF(OR(CM323&lt;(CM$1*0.9),$E323&lt;5)=FALSE,((CM323-CM$1)*MIN(3,$E323)*(1-MIN(1/(2*$E323),1))+IF((CL323-CL$1)&lt;0,(CL323-CL$1)*2,(CL323-CL$1)*MIN(1/(2*$E323),1))),0)))</f>
        <v>0</v>
      </c>
    </row>
    <row r="324" spans="1:92">
      <c r="A324" s="141">
        <f>'銀行-TSS'!A324</f>
        <v>0</v>
      </c>
      <c r="B324" s="151">
        <f ca="1">VLOOKUP(A324,'銀行-TSS'!A:B,2,FALSE)</f>
        <v>0</v>
      </c>
      <c r="C324" s="151" t="e">
        <f ca="1">VLOOKUP(B324,bond!B:C,2,FALSE)</f>
        <v>#N/A</v>
      </c>
      <c r="D324" s="95" t="e">
        <f>VLOOKUP(A324,'銀行-TSS'!A:C,3,FALSE)</f>
        <v>#N/A</v>
      </c>
      <c r="E324" s="90" t="e">
        <f ca="1">VLOOKUP(A324,'銀行-TSS'!A:G,7,FALSE)</f>
        <v>#N/A</v>
      </c>
      <c r="F324" s="202" t="e">
        <f ca="1">VLOOKUP(A324,'銀行-TSS'!A:H,8,FALSE)</f>
        <v>#N/A</v>
      </c>
      <c r="G324" s="96" t="e">
        <f ca="1">VLOOKUP(A324,'銀行-TSS'!A:K,11,FALSE)</f>
        <v>#N/A</v>
      </c>
      <c r="H324" s="1209" t="e">
        <f ca="1">VLOOKUP(A324,'銀行-TSS'!A:M,13,FALSE)</f>
        <v>#N/A</v>
      </c>
      <c r="I324" s="1213" t="e">
        <f ca="1">VLOOKUP(A324,'銀行-TSS'!A:N,14,FALSE)</f>
        <v>#N/A</v>
      </c>
      <c r="J324" s="1213" t="e">
        <f ca="1">VLOOKUP(A324,'銀行-TSS'!A:O,15,FALSE)</f>
        <v>#N/A</v>
      </c>
      <c r="K324" s="136" t="e">
        <f ca="1">VLOOKUP(A324,'銀行-TSS'!A:V,22,FALSE)</f>
        <v>#N/A</v>
      </c>
      <c r="L324" s="136" t="e">
        <f ca="1">VLOOKUP(A324,'銀行-TSS'!A:AK,37,FALSE)</f>
        <v>#N/A</v>
      </c>
      <c r="M324" s="136" t="str">
        <f ca="1">VLOOKUP(A324,'銀行-TSS'!A:AN,40,FALSE)</f>
        <v/>
      </c>
      <c r="N324" s="136" t="e">
        <f t="shared" ca="1" si="225"/>
        <v>#N/A</v>
      </c>
      <c r="O324" s="1213" t="e">
        <f t="shared" ca="1" si="226"/>
        <v>#N/A</v>
      </c>
      <c r="P324" s="1213" t="e">
        <f ca="1">IF(AND($O$1&gt;=O324,換券單檔!$D$13=D324),I324+INT(($O$1-O324)/N324)*J324,0)</f>
        <v>#N/A</v>
      </c>
      <c r="Q324" s="1213" t="e">
        <f t="shared" ca="1" si="227"/>
        <v>#N/A</v>
      </c>
      <c r="R324" s="1213">
        <f t="shared" si="228"/>
        <v>0</v>
      </c>
      <c r="S324" s="1213">
        <f t="shared" si="229"/>
        <v>0</v>
      </c>
      <c r="T324" s="136">
        <f>IF(OR(R324=0,A324=0),0,IF(AND(V324=TRUE,換券單檔!$D$13=D324),E324,0))</f>
        <v>0</v>
      </c>
      <c r="U324" s="861">
        <f>IF(OR(R324=0,A324=0),0,IF(AND(V324=TRUE,換券單檔!$D$13=D324),H324,0))</f>
        <v>0</v>
      </c>
      <c r="V324" s="136" t="e">
        <f ca="1">IF(OR(B324=換券單檔!$D$3,L324="無",M324&lt;&gt;"",K324="高資產",IFERROR(MATCH(B324,換券單檔!K:K,0),"N")&lt;&gt;"N"),FALSE,IF($V$1="All",TRUE,IF(K324=$V$1,TRUE,FALSE)))</f>
        <v>#N/A</v>
      </c>
      <c r="W324" s="136" t="e">
        <f ca="1">VLOOKUP(A324,'銀行-TSS'!A:AO,41,FALSE)</f>
        <v>#N/A</v>
      </c>
      <c r="X324" s="136" t="e">
        <f ca="1">VLOOKUP(A324,'銀行-TSS'!A:AP,42,FALSE)</f>
        <v>#N/A</v>
      </c>
      <c r="Y324" s="1220">
        <f t="shared" si="230"/>
        <v>0</v>
      </c>
      <c r="Z324" s="1220">
        <f t="shared" si="231"/>
        <v>0</v>
      </c>
      <c r="AA324" s="136">
        <f>IF(Z324&lt;=0,0,RANK(Z324,Z:Z)+COUNTIF($Z$3:$Z324,Z324)-1)</f>
        <v>0</v>
      </c>
      <c r="AB324" s="1211">
        <f t="shared" ca="1" si="232"/>
        <v>-14896.14</v>
      </c>
      <c r="AC324" s="136">
        <f ca="1">IF(AB324&lt;=0,0,RANK(AB324,AB:AB)+COUNTIF($AB$3:$AB324,AB324)-1)</f>
        <v>0</v>
      </c>
      <c r="AD324" s="1123">
        <f t="shared" si="233"/>
        <v>99999</v>
      </c>
      <c r="AE324" s="1123">
        <f>IF(AD324=99999,0,RANK(AD324,AD:AD,1)+COUNTIF($AD$3:$AD324,AD324)-1)</f>
        <v>0</v>
      </c>
      <c r="AF324" s="86" t="e">
        <f ca="1">IF(OR(M324&lt;&gt;"",L324="無",K324="高資產",IFERROR(MATCH(B324,換券單檔!K:K,0),"N")&lt;&gt;"N"),FALSE,TRUE)</f>
        <v>#N/A</v>
      </c>
      <c r="AI324" s="1212" t="e">
        <f t="shared" ca="1" si="234"/>
        <v>#N/A</v>
      </c>
      <c r="AJ324" s="1213" t="e">
        <f t="shared" ca="1" si="235"/>
        <v>#N/A</v>
      </c>
      <c r="AK324" s="1587">
        <f t="shared" si="236"/>
        <v>0</v>
      </c>
      <c r="AN324" s="1212" t="e">
        <f t="shared" ca="1" si="237"/>
        <v>#N/A</v>
      </c>
      <c r="AO324" s="1213" t="e">
        <f t="shared" ca="1" si="238"/>
        <v>#N/A</v>
      </c>
      <c r="AP324" s="1587">
        <f t="shared" si="239"/>
        <v>0</v>
      </c>
      <c r="AS324" s="1212" t="e">
        <f t="shared" ca="1" si="240"/>
        <v>#N/A</v>
      </c>
      <c r="AT324" s="1213" t="e">
        <f t="shared" ca="1" si="241"/>
        <v>#N/A</v>
      </c>
      <c r="AU324" s="1587">
        <f t="shared" si="242"/>
        <v>0</v>
      </c>
      <c r="AX324" s="1212" t="e">
        <f t="shared" ca="1" si="243"/>
        <v>#N/A</v>
      </c>
      <c r="AY324" s="1213" t="e">
        <f t="shared" ca="1" si="244"/>
        <v>#N/A</v>
      </c>
      <c r="AZ324" s="1587">
        <f t="shared" si="245"/>
        <v>0</v>
      </c>
      <c r="BC324" s="1212" t="e">
        <f t="shared" ca="1" si="246"/>
        <v>#N/A</v>
      </c>
      <c r="BD324" s="1213" t="e">
        <f t="shared" ca="1" si="247"/>
        <v>#N/A</v>
      </c>
      <c r="BE324" s="1587">
        <f t="shared" si="248"/>
        <v>0</v>
      </c>
      <c r="BH324" s="1212" t="e">
        <f t="shared" ca="1" si="249"/>
        <v>#N/A</v>
      </c>
      <c r="BI324" s="1213" t="e">
        <f t="shared" ca="1" si="250"/>
        <v>#N/A</v>
      </c>
      <c r="BJ324" s="1587">
        <f t="shared" si="251"/>
        <v>0</v>
      </c>
      <c r="BM324" s="1212" t="e">
        <f t="shared" ca="1" si="252"/>
        <v>#N/A</v>
      </c>
      <c r="BN324" s="1213" t="e">
        <f t="shared" ca="1" si="253"/>
        <v>#N/A</v>
      </c>
      <c r="BO324" s="1587">
        <f t="shared" si="254"/>
        <v>0</v>
      </c>
      <c r="BR324" s="1212" t="e">
        <f t="shared" ca="1" si="255"/>
        <v>#N/A</v>
      </c>
      <c r="BS324" s="1213" t="e">
        <f t="shared" ca="1" si="256"/>
        <v>#N/A</v>
      </c>
      <c r="BT324" s="1587">
        <f t="shared" si="257"/>
        <v>0</v>
      </c>
      <c r="BW324" s="1212" t="e">
        <f t="shared" ca="1" si="258"/>
        <v>#N/A</v>
      </c>
      <c r="BX324" s="1213" t="e">
        <f t="shared" ca="1" si="259"/>
        <v>#N/A</v>
      </c>
      <c r="BY324" s="1587">
        <f t="shared" si="260"/>
        <v>0</v>
      </c>
      <c r="CB324" s="1212" t="e">
        <f t="shared" ca="1" si="261"/>
        <v>#N/A</v>
      </c>
      <c r="CC324" s="1213" t="e">
        <f t="shared" ca="1" si="262"/>
        <v>#N/A</v>
      </c>
      <c r="CD324" s="1587">
        <f t="shared" si="263"/>
        <v>0</v>
      </c>
      <c r="CG324" s="1212" t="e">
        <f t="shared" ca="1" si="264"/>
        <v>#N/A</v>
      </c>
      <c r="CH324" s="1213" t="e">
        <f t="shared" ca="1" si="265"/>
        <v>#N/A</v>
      </c>
      <c r="CI324" s="1587">
        <f t="shared" si="266"/>
        <v>0</v>
      </c>
      <c r="CL324" s="1212" t="e">
        <f t="shared" ca="1" si="267"/>
        <v>#N/A</v>
      </c>
      <c r="CM324" s="1213" t="e">
        <f t="shared" ca="1" si="268"/>
        <v>#N/A</v>
      </c>
      <c r="CN324" s="1587">
        <f t="shared" si="269"/>
        <v>0</v>
      </c>
    </row>
    <row r="325" spans="1:92">
      <c r="A325" s="141">
        <f>'銀行-TSS'!A325</f>
        <v>0</v>
      </c>
      <c r="B325" s="151">
        <f ca="1">VLOOKUP(A325,'銀行-TSS'!A:B,2,FALSE)</f>
        <v>0</v>
      </c>
      <c r="C325" s="151" t="e">
        <f ca="1">VLOOKUP(B325,bond!B:C,2,FALSE)</f>
        <v>#N/A</v>
      </c>
      <c r="D325" s="95" t="e">
        <f>VLOOKUP(A325,'銀行-TSS'!A:C,3,FALSE)</f>
        <v>#N/A</v>
      </c>
      <c r="E325" s="90" t="e">
        <f ca="1">VLOOKUP(A325,'銀行-TSS'!A:G,7,FALSE)</f>
        <v>#N/A</v>
      </c>
      <c r="F325" s="202" t="e">
        <f ca="1">VLOOKUP(A325,'銀行-TSS'!A:H,8,FALSE)</f>
        <v>#N/A</v>
      </c>
      <c r="G325" s="96" t="e">
        <f ca="1">VLOOKUP(A325,'銀行-TSS'!A:K,11,FALSE)</f>
        <v>#N/A</v>
      </c>
      <c r="H325" s="1209" t="e">
        <f ca="1">VLOOKUP(A325,'銀行-TSS'!A:M,13,FALSE)</f>
        <v>#N/A</v>
      </c>
      <c r="I325" s="1213" t="e">
        <f ca="1">VLOOKUP(A325,'銀行-TSS'!A:N,14,FALSE)</f>
        <v>#N/A</v>
      </c>
      <c r="J325" s="1213" t="e">
        <f ca="1">VLOOKUP(A325,'銀行-TSS'!A:O,15,FALSE)</f>
        <v>#N/A</v>
      </c>
      <c r="K325" s="136" t="e">
        <f ca="1">VLOOKUP(A325,'銀行-TSS'!A:V,22,FALSE)</f>
        <v>#N/A</v>
      </c>
      <c r="L325" s="136" t="e">
        <f ca="1">VLOOKUP(A325,'銀行-TSS'!A:AK,37,FALSE)</f>
        <v>#N/A</v>
      </c>
      <c r="M325" s="136" t="str">
        <f ca="1">VLOOKUP(A325,'銀行-TSS'!A:AN,40,FALSE)</f>
        <v/>
      </c>
      <c r="N325" s="136" t="e">
        <f t="shared" ca="1" si="225"/>
        <v>#N/A</v>
      </c>
      <c r="O325" s="1213" t="e">
        <f t="shared" ca="1" si="226"/>
        <v>#N/A</v>
      </c>
      <c r="P325" s="1213" t="e">
        <f ca="1">IF(AND($O$1&gt;=O325,換券單檔!$D$13=D325),I325+INT(($O$1-O325)/N325)*J325,0)</f>
        <v>#N/A</v>
      </c>
      <c r="Q325" s="1213" t="e">
        <f t="shared" ca="1" si="227"/>
        <v>#N/A</v>
      </c>
      <c r="R325" s="1213">
        <f t="shared" si="228"/>
        <v>0</v>
      </c>
      <c r="S325" s="1213">
        <f t="shared" si="229"/>
        <v>0</v>
      </c>
      <c r="T325" s="136">
        <f>IF(OR(R325=0,A325=0),0,IF(AND(V325=TRUE,換券單檔!$D$13=D325),E325,0))</f>
        <v>0</v>
      </c>
      <c r="U325" s="861">
        <f>IF(OR(R325=0,A325=0),0,IF(AND(V325=TRUE,換券單檔!$D$13=D325),H325,0))</f>
        <v>0</v>
      </c>
      <c r="V325" s="136" t="e">
        <f ca="1">IF(OR(B325=換券單檔!$D$3,L325="無",M325&lt;&gt;"",K325="高資產",IFERROR(MATCH(B325,換券單檔!K:K,0),"N")&lt;&gt;"N"),FALSE,IF($V$1="All",TRUE,IF(K325=$V$1,TRUE,FALSE)))</f>
        <v>#N/A</v>
      </c>
      <c r="W325" s="136" t="e">
        <f ca="1">VLOOKUP(A325,'銀行-TSS'!A:AO,41,FALSE)</f>
        <v>#N/A</v>
      </c>
      <c r="X325" s="136" t="e">
        <f ca="1">VLOOKUP(A325,'銀行-TSS'!A:AP,42,FALSE)</f>
        <v>#N/A</v>
      </c>
      <c r="Y325" s="1220">
        <f t="shared" si="230"/>
        <v>0</v>
      </c>
      <c r="Z325" s="1220">
        <f t="shared" si="231"/>
        <v>0</v>
      </c>
      <c r="AA325" s="136">
        <f>IF(Z325&lt;=0,0,RANK(Z325,Z:Z)+COUNTIF($Z$3:$Z325,Z325)-1)</f>
        <v>0</v>
      </c>
      <c r="AB325" s="1211">
        <f t="shared" ca="1" si="232"/>
        <v>-14896.14</v>
      </c>
      <c r="AC325" s="136">
        <f ca="1">IF(AB325&lt;=0,0,RANK(AB325,AB:AB)+COUNTIF($AB$3:$AB325,AB325)-1)</f>
        <v>0</v>
      </c>
      <c r="AD325" s="1123">
        <f t="shared" si="233"/>
        <v>99999</v>
      </c>
      <c r="AE325" s="1123">
        <f>IF(AD325=99999,0,RANK(AD325,AD:AD,1)+COUNTIF($AD$3:$AD325,AD325)-1)</f>
        <v>0</v>
      </c>
      <c r="AF325" s="86" t="e">
        <f ca="1">IF(OR(M325&lt;&gt;"",L325="無",K325="高資產",IFERROR(MATCH(B325,換券單檔!K:K,0),"N")&lt;&gt;"N"),FALSE,TRUE)</f>
        <v>#N/A</v>
      </c>
      <c r="AI325" s="1212" t="e">
        <f t="shared" ca="1" si="234"/>
        <v>#N/A</v>
      </c>
      <c r="AJ325" s="1213" t="e">
        <f t="shared" ca="1" si="235"/>
        <v>#N/A</v>
      </c>
      <c r="AK325" s="1587">
        <f t="shared" si="236"/>
        <v>0</v>
      </c>
      <c r="AN325" s="1212" t="e">
        <f t="shared" ca="1" si="237"/>
        <v>#N/A</v>
      </c>
      <c r="AO325" s="1213" t="e">
        <f t="shared" ca="1" si="238"/>
        <v>#N/A</v>
      </c>
      <c r="AP325" s="1587">
        <f t="shared" si="239"/>
        <v>0</v>
      </c>
      <c r="AS325" s="1212" t="e">
        <f t="shared" ca="1" si="240"/>
        <v>#N/A</v>
      </c>
      <c r="AT325" s="1213" t="e">
        <f t="shared" ca="1" si="241"/>
        <v>#N/A</v>
      </c>
      <c r="AU325" s="1587">
        <f t="shared" si="242"/>
        <v>0</v>
      </c>
      <c r="AX325" s="1212" t="e">
        <f t="shared" ca="1" si="243"/>
        <v>#N/A</v>
      </c>
      <c r="AY325" s="1213" t="e">
        <f t="shared" ca="1" si="244"/>
        <v>#N/A</v>
      </c>
      <c r="AZ325" s="1587">
        <f t="shared" si="245"/>
        <v>0</v>
      </c>
      <c r="BC325" s="1212" t="e">
        <f t="shared" ca="1" si="246"/>
        <v>#N/A</v>
      </c>
      <c r="BD325" s="1213" t="e">
        <f t="shared" ca="1" si="247"/>
        <v>#N/A</v>
      </c>
      <c r="BE325" s="1587">
        <f t="shared" si="248"/>
        <v>0</v>
      </c>
      <c r="BH325" s="1212" t="e">
        <f t="shared" ca="1" si="249"/>
        <v>#N/A</v>
      </c>
      <c r="BI325" s="1213" t="e">
        <f t="shared" ca="1" si="250"/>
        <v>#N/A</v>
      </c>
      <c r="BJ325" s="1587">
        <f t="shared" si="251"/>
        <v>0</v>
      </c>
      <c r="BM325" s="1212" t="e">
        <f t="shared" ca="1" si="252"/>
        <v>#N/A</v>
      </c>
      <c r="BN325" s="1213" t="e">
        <f t="shared" ca="1" si="253"/>
        <v>#N/A</v>
      </c>
      <c r="BO325" s="1587">
        <f t="shared" si="254"/>
        <v>0</v>
      </c>
      <c r="BR325" s="1212" t="e">
        <f t="shared" ca="1" si="255"/>
        <v>#N/A</v>
      </c>
      <c r="BS325" s="1213" t="e">
        <f t="shared" ca="1" si="256"/>
        <v>#N/A</v>
      </c>
      <c r="BT325" s="1587">
        <f t="shared" si="257"/>
        <v>0</v>
      </c>
      <c r="BW325" s="1212" t="e">
        <f t="shared" ca="1" si="258"/>
        <v>#N/A</v>
      </c>
      <c r="BX325" s="1213" t="e">
        <f t="shared" ca="1" si="259"/>
        <v>#N/A</v>
      </c>
      <c r="BY325" s="1587">
        <f t="shared" si="260"/>
        <v>0</v>
      </c>
      <c r="CB325" s="1212" t="e">
        <f t="shared" ca="1" si="261"/>
        <v>#N/A</v>
      </c>
      <c r="CC325" s="1213" t="e">
        <f t="shared" ca="1" si="262"/>
        <v>#N/A</v>
      </c>
      <c r="CD325" s="1587">
        <f t="shared" si="263"/>
        <v>0</v>
      </c>
      <c r="CG325" s="1212" t="e">
        <f t="shared" ca="1" si="264"/>
        <v>#N/A</v>
      </c>
      <c r="CH325" s="1213" t="e">
        <f t="shared" ca="1" si="265"/>
        <v>#N/A</v>
      </c>
      <c r="CI325" s="1587">
        <f t="shared" si="266"/>
        <v>0</v>
      </c>
      <c r="CL325" s="1212" t="e">
        <f t="shared" ca="1" si="267"/>
        <v>#N/A</v>
      </c>
      <c r="CM325" s="1213" t="e">
        <f t="shared" ca="1" si="268"/>
        <v>#N/A</v>
      </c>
      <c r="CN325" s="1587">
        <f t="shared" si="269"/>
        <v>0</v>
      </c>
    </row>
    <row r="326" spans="1:92">
      <c r="A326" s="141">
        <f>'銀行-TSS'!A326</f>
        <v>0</v>
      </c>
      <c r="B326" s="151">
        <f ca="1">VLOOKUP(A326,'銀行-TSS'!A:B,2,FALSE)</f>
        <v>0</v>
      </c>
      <c r="C326" s="151" t="e">
        <f ca="1">VLOOKUP(B326,bond!B:C,2,FALSE)</f>
        <v>#N/A</v>
      </c>
      <c r="D326" s="95" t="e">
        <f>VLOOKUP(A326,'銀行-TSS'!A:C,3,FALSE)</f>
        <v>#N/A</v>
      </c>
      <c r="E326" s="90" t="e">
        <f ca="1">VLOOKUP(A326,'銀行-TSS'!A:G,7,FALSE)</f>
        <v>#N/A</v>
      </c>
      <c r="F326" s="202" t="e">
        <f ca="1">VLOOKUP(A326,'銀行-TSS'!A:H,8,FALSE)</f>
        <v>#N/A</v>
      </c>
      <c r="G326" s="96" t="e">
        <f ca="1">VLOOKUP(A326,'銀行-TSS'!A:K,11,FALSE)</f>
        <v>#N/A</v>
      </c>
      <c r="H326" s="1209" t="e">
        <f ca="1">VLOOKUP(A326,'銀行-TSS'!A:M,13,FALSE)</f>
        <v>#N/A</v>
      </c>
      <c r="I326" s="1213" t="e">
        <f ca="1">VLOOKUP(A326,'銀行-TSS'!A:N,14,FALSE)</f>
        <v>#N/A</v>
      </c>
      <c r="J326" s="1213" t="e">
        <f ca="1">VLOOKUP(A326,'銀行-TSS'!A:O,15,FALSE)</f>
        <v>#N/A</v>
      </c>
      <c r="K326" s="136" t="e">
        <f ca="1">VLOOKUP(A326,'銀行-TSS'!A:V,22,FALSE)</f>
        <v>#N/A</v>
      </c>
      <c r="L326" s="136" t="e">
        <f ca="1">VLOOKUP(A326,'銀行-TSS'!A:AK,37,FALSE)</f>
        <v>#N/A</v>
      </c>
      <c r="M326" s="136" t="str">
        <f ca="1">VLOOKUP(A326,'銀行-TSS'!A:AN,40,FALSE)</f>
        <v/>
      </c>
      <c r="N326" s="136" t="e">
        <f t="shared" ca="1" si="225"/>
        <v>#N/A</v>
      </c>
      <c r="O326" s="1213" t="e">
        <f t="shared" ca="1" si="226"/>
        <v>#N/A</v>
      </c>
      <c r="P326" s="1213" t="e">
        <f ca="1">IF(AND($O$1&gt;=O326,換券單檔!$D$13=D326),I326+INT(($O$1-O326)/N326)*J326,0)</f>
        <v>#N/A</v>
      </c>
      <c r="Q326" s="1213" t="e">
        <f t="shared" ca="1" si="227"/>
        <v>#N/A</v>
      </c>
      <c r="R326" s="1213">
        <f t="shared" si="228"/>
        <v>0</v>
      </c>
      <c r="S326" s="1213">
        <f t="shared" si="229"/>
        <v>0</v>
      </c>
      <c r="T326" s="136">
        <f>IF(OR(R326=0,A326=0),0,IF(AND(V326=TRUE,換券單檔!$D$13=D326),E326,0))</f>
        <v>0</v>
      </c>
      <c r="U326" s="861">
        <f>IF(OR(R326=0,A326=0),0,IF(AND(V326=TRUE,換券單檔!$D$13=D326),H326,0))</f>
        <v>0</v>
      </c>
      <c r="V326" s="136" t="e">
        <f ca="1">IF(OR(B326=換券單檔!$D$3,L326="無",M326&lt;&gt;"",K326="高資產",IFERROR(MATCH(B326,換券單檔!K:K,0),"N")&lt;&gt;"N"),FALSE,IF($V$1="All",TRUE,IF(K326=$V$1,TRUE,FALSE)))</f>
        <v>#N/A</v>
      </c>
      <c r="W326" s="136" t="e">
        <f ca="1">VLOOKUP(A326,'銀行-TSS'!A:AO,41,FALSE)</f>
        <v>#N/A</v>
      </c>
      <c r="X326" s="136" t="e">
        <f ca="1">VLOOKUP(A326,'銀行-TSS'!A:AP,42,FALSE)</f>
        <v>#N/A</v>
      </c>
      <c r="Y326" s="1220">
        <f t="shared" si="230"/>
        <v>0</v>
      </c>
      <c r="Z326" s="1220">
        <f t="shared" si="231"/>
        <v>0</v>
      </c>
      <c r="AA326" s="136">
        <f>IF(Z326&lt;=0,0,RANK(Z326,Z:Z)+COUNTIF($Z$3:$Z326,Z326)-1)</f>
        <v>0</v>
      </c>
      <c r="AB326" s="1211">
        <f t="shared" ca="1" si="232"/>
        <v>-14896.14</v>
      </c>
      <c r="AC326" s="136">
        <f ca="1">IF(AB326&lt;=0,0,RANK(AB326,AB:AB)+COUNTIF($AB$3:$AB326,AB326)-1)</f>
        <v>0</v>
      </c>
      <c r="AD326" s="1123">
        <f t="shared" si="233"/>
        <v>99999</v>
      </c>
      <c r="AE326" s="1123">
        <f>IF(AD326=99999,0,RANK(AD326,AD:AD,1)+COUNTIF($AD$3:$AD326,AD326)-1)</f>
        <v>0</v>
      </c>
      <c r="AF326" s="86" t="e">
        <f ca="1">IF(OR(M326&lt;&gt;"",L326="無",K326="高資產",IFERROR(MATCH(B326,換券單檔!K:K,0),"N")&lt;&gt;"N"),FALSE,TRUE)</f>
        <v>#N/A</v>
      </c>
      <c r="AI326" s="1212" t="e">
        <f t="shared" ca="1" si="234"/>
        <v>#N/A</v>
      </c>
      <c r="AJ326" s="1213" t="e">
        <f t="shared" ca="1" si="235"/>
        <v>#N/A</v>
      </c>
      <c r="AK326" s="1587">
        <f t="shared" si="236"/>
        <v>0</v>
      </c>
      <c r="AN326" s="1212" t="e">
        <f t="shared" ca="1" si="237"/>
        <v>#N/A</v>
      </c>
      <c r="AO326" s="1213" t="e">
        <f t="shared" ca="1" si="238"/>
        <v>#N/A</v>
      </c>
      <c r="AP326" s="1587">
        <f t="shared" si="239"/>
        <v>0</v>
      </c>
      <c r="AS326" s="1212" t="e">
        <f t="shared" ca="1" si="240"/>
        <v>#N/A</v>
      </c>
      <c r="AT326" s="1213" t="e">
        <f t="shared" ca="1" si="241"/>
        <v>#N/A</v>
      </c>
      <c r="AU326" s="1587">
        <f t="shared" si="242"/>
        <v>0</v>
      </c>
      <c r="AX326" s="1212" t="e">
        <f t="shared" ca="1" si="243"/>
        <v>#N/A</v>
      </c>
      <c r="AY326" s="1213" t="e">
        <f t="shared" ca="1" si="244"/>
        <v>#N/A</v>
      </c>
      <c r="AZ326" s="1587">
        <f t="shared" si="245"/>
        <v>0</v>
      </c>
      <c r="BC326" s="1212" t="e">
        <f t="shared" ca="1" si="246"/>
        <v>#N/A</v>
      </c>
      <c r="BD326" s="1213" t="e">
        <f t="shared" ca="1" si="247"/>
        <v>#N/A</v>
      </c>
      <c r="BE326" s="1587">
        <f t="shared" si="248"/>
        <v>0</v>
      </c>
      <c r="BH326" s="1212" t="e">
        <f t="shared" ca="1" si="249"/>
        <v>#N/A</v>
      </c>
      <c r="BI326" s="1213" t="e">
        <f t="shared" ca="1" si="250"/>
        <v>#N/A</v>
      </c>
      <c r="BJ326" s="1587">
        <f t="shared" si="251"/>
        <v>0</v>
      </c>
      <c r="BM326" s="1212" t="e">
        <f t="shared" ca="1" si="252"/>
        <v>#N/A</v>
      </c>
      <c r="BN326" s="1213" t="e">
        <f t="shared" ca="1" si="253"/>
        <v>#N/A</v>
      </c>
      <c r="BO326" s="1587">
        <f t="shared" si="254"/>
        <v>0</v>
      </c>
      <c r="BR326" s="1212" t="e">
        <f t="shared" ca="1" si="255"/>
        <v>#N/A</v>
      </c>
      <c r="BS326" s="1213" t="e">
        <f t="shared" ca="1" si="256"/>
        <v>#N/A</v>
      </c>
      <c r="BT326" s="1587">
        <f t="shared" si="257"/>
        <v>0</v>
      </c>
      <c r="BW326" s="1212" t="e">
        <f t="shared" ca="1" si="258"/>
        <v>#N/A</v>
      </c>
      <c r="BX326" s="1213" t="e">
        <f t="shared" ca="1" si="259"/>
        <v>#N/A</v>
      </c>
      <c r="BY326" s="1587">
        <f t="shared" si="260"/>
        <v>0</v>
      </c>
      <c r="CB326" s="1212" t="e">
        <f t="shared" ca="1" si="261"/>
        <v>#N/A</v>
      </c>
      <c r="CC326" s="1213" t="e">
        <f t="shared" ca="1" si="262"/>
        <v>#N/A</v>
      </c>
      <c r="CD326" s="1587">
        <f t="shared" si="263"/>
        <v>0</v>
      </c>
      <c r="CG326" s="1212" t="e">
        <f t="shared" ca="1" si="264"/>
        <v>#N/A</v>
      </c>
      <c r="CH326" s="1213" t="e">
        <f t="shared" ca="1" si="265"/>
        <v>#N/A</v>
      </c>
      <c r="CI326" s="1587">
        <f t="shared" si="266"/>
        <v>0</v>
      </c>
      <c r="CL326" s="1212" t="e">
        <f t="shared" ca="1" si="267"/>
        <v>#N/A</v>
      </c>
      <c r="CM326" s="1213" t="e">
        <f t="shared" ca="1" si="268"/>
        <v>#N/A</v>
      </c>
      <c r="CN326" s="1587">
        <f t="shared" si="269"/>
        <v>0</v>
      </c>
    </row>
    <row r="327" spans="1:92">
      <c r="A327" s="141">
        <f>'銀行-TSS'!A327</f>
        <v>0</v>
      </c>
      <c r="B327" s="151">
        <f ca="1">VLOOKUP(A327,'銀行-TSS'!A:B,2,FALSE)</f>
        <v>0</v>
      </c>
      <c r="C327" s="151" t="e">
        <f ca="1">VLOOKUP(B327,bond!B:C,2,FALSE)</f>
        <v>#N/A</v>
      </c>
      <c r="D327" s="95" t="e">
        <f>VLOOKUP(A327,'銀行-TSS'!A:C,3,FALSE)</f>
        <v>#N/A</v>
      </c>
      <c r="E327" s="90" t="e">
        <f ca="1">VLOOKUP(A327,'銀行-TSS'!A:G,7,FALSE)</f>
        <v>#N/A</v>
      </c>
      <c r="F327" s="202" t="e">
        <f ca="1">VLOOKUP(A327,'銀行-TSS'!A:H,8,FALSE)</f>
        <v>#N/A</v>
      </c>
      <c r="G327" s="96" t="e">
        <f ca="1">VLOOKUP(A327,'銀行-TSS'!A:K,11,FALSE)</f>
        <v>#N/A</v>
      </c>
      <c r="H327" s="1209" t="e">
        <f ca="1">VLOOKUP(A327,'銀行-TSS'!A:M,13,FALSE)</f>
        <v>#N/A</v>
      </c>
      <c r="I327" s="1213" t="e">
        <f ca="1">VLOOKUP(A327,'銀行-TSS'!A:N,14,FALSE)</f>
        <v>#N/A</v>
      </c>
      <c r="J327" s="1213" t="e">
        <f ca="1">VLOOKUP(A327,'銀行-TSS'!A:O,15,FALSE)</f>
        <v>#N/A</v>
      </c>
      <c r="K327" s="136" t="e">
        <f ca="1">VLOOKUP(A327,'銀行-TSS'!A:V,22,FALSE)</f>
        <v>#N/A</v>
      </c>
      <c r="L327" s="136" t="e">
        <f ca="1">VLOOKUP(A327,'銀行-TSS'!A:AK,37,FALSE)</f>
        <v>#N/A</v>
      </c>
      <c r="M327" s="136" t="str">
        <f ca="1">VLOOKUP(A327,'銀行-TSS'!A:AN,40,FALSE)</f>
        <v/>
      </c>
      <c r="N327" s="136" t="e">
        <f t="shared" ca="1" si="225"/>
        <v>#N/A</v>
      </c>
      <c r="O327" s="1213" t="e">
        <f t="shared" ca="1" si="226"/>
        <v>#N/A</v>
      </c>
      <c r="P327" s="1213" t="e">
        <f ca="1">IF(AND($O$1&gt;=O327,換券單檔!$D$13=D327),I327+INT(($O$1-O327)/N327)*J327,0)</f>
        <v>#N/A</v>
      </c>
      <c r="Q327" s="1213" t="e">
        <f t="shared" ca="1" si="227"/>
        <v>#N/A</v>
      </c>
      <c r="R327" s="1213">
        <f t="shared" si="228"/>
        <v>0</v>
      </c>
      <c r="S327" s="1213">
        <f t="shared" si="229"/>
        <v>0</v>
      </c>
      <c r="T327" s="136">
        <f>IF(OR(R327=0,A327=0),0,IF(AND(V327=TRUE,換券單檔!$D$13=D327),E327,0))</f>
        <v>0</v>
      </c>
      <c r="U327" s="861">
        <f>IF(OR(R327=0,A327=0),0,IF(AND(V327=TRUE,換券單檔!$D$13=D327),H327,0))</f>
        <v>0</v>
      </c>
      <c r="V327" s="136" t="e">
        <f ca="1">IF(OR(B327=換券單檔!$D$3,L327="無",M327&lt;&gt;"",K327="高資產",IFERROR(MATCH(B327,換券單檔!K:K,0),"N")&lt;&gt;"N"),FALSE,IF($V$1="All",TRUE,IF(K327=$V$1,TRUE,FALSE)))</f>
        <v>#N/A</v>
      </c>
      <c r="W327" s="136" t="e">
        <f ca="1">VLOOKUP(A327,'銀行-TSS'!A:AO,41,FALSE)</f>
        <v>#N/A</v>
      </c>
      <c r="X327" s="136" t="e">
        <f ca="1">VLOOKUP(A327,'銀行-TSS'!A:AP,42,FALSE)</f>
        <v>#N/A</v>
      </c>
      <c r="Y327" s="1220">
        <f t="shared" si="230"/>
        <v>0</v>
      </c>
      <c r="Z327" s="1220">
        <f t="shared" si="231"/>
        <v>0</v>
      </c>
      <c r="AA327" s="136">
        <f>IF(Z327&lt;=0,0,RANK(Z327,Z:Z)+COUNTIF($Z$3:$Z327,Z327)-1)</f>
        <v>0</v>
      </c>
      <c r="AB327" s="1211">
        <f t="shared" ca="1" si="232"/>
        <v>-14896.14</v>
      </c>
      <c r="AC327" s="136">
        <f ca="1">IF(AB327&lt;=0,0,RANK(AB327,AB:AB)+COUNTIF($AB$3:$AB327,AB327)-1)</f>
        <v>0</v>
      </c>
      <c r="AD327" s="1123">
        <f t="shared" si="233"/>
        <v>99999</v>
      </c>
      <c r="AE327" s="1123">
        <f>IF(AD327=99999,0,RANK(AD327,AD:AD,1)+COUNTIF($AD$3:$AD327,AD327)-1)</f>
        <v>0</v>
      </c>
      <c r="AF327" s="86" t="e">
        <f ca="1">IF(OR(M327&lt;&gt;"",L327="無",K327="高資產",IFERROR(MATCH(B327,換券單檔!K:K,0),"N")&lt;&gt;"N"),FALSE,TRUE)</f>
        <v>#N/A</v>
      </c>
      <c r="AI327" s="1212" t="e">
        <f t="shared" ca="1" si="234"/>
        <v>#N/A</v>
      </c>
      <c r="AJ327" s="1213" t="e">
        <f t="shared" ca="1" si="235"/>
        <v>#N/A</v>
      </c>
      <c r="AK327" s="1587">
        <f t="shared" si="236"/>
        <v>0</v>
      </c>
      <c r="AN327" s="1212" t="e">
        <f t="shared" ca="1" si="237"/>
        <v>#N/A</v>
      </c>
      <c r="AO327" s="1213" t="e">
        <f t="shared" ca="1" si="238"/>
        <v>#N/A</v>
      </c>
      <c r="AP327" s="1587">
        <f t="shared" si="239"/>
        <v>0</v>
      </c>
      <c r="AS327" s="1212" t="e">
        <f t="shared" ca="1" si="240"/>
        <v>#N/A</v>
      </c>
      <c r="AT327" s="1213" t="e">
        <f t="shared" ca="1" si="241"/>
        <v>#N/A</v>
      </c>
      <c r="AU327" s="1587">
        <f t="shared" si="242"/>
        <v>0</v>
      </c>
      <c r="AX327" s="1212" t="e">
        <f t="shared" ca="1" si="243"/>
        <v>#N/A</v>
      </c>
      <c r="AY327" s="1213" t="e">
        <f t="shared" ca="1" si="244"/>
        <v>#N/A</v>
      </c>
      <c r="AZ327" s="1587">
        <f t="shared" si="245"/>
        <v>0</v>
      </c>
      <c r="BC327" s="1212" t="e">
        <f t="shared" ca="1" si="246"/>
        <v>#N/A</v>
      </c>
      <c r="BD327" s="1213" t="e">
        <f t="shared" ca="1" si="247"/>
        <v>#N/A</v>
      </c>
      <c r="BE327" s="1587">
        <f t="shared" si="248"/>
        <v>0</v>
      </c>
      <c r="BH327" s="1212" t="e">
        <f t="shared" ca="1" si="249"/>
        <v>#N/A</v>
      </c>
      <c r="BI327" s="1213" t="e">
        <f t="shared" ca="1" si="250"/>
        <v>#N/A</v>
      </c>
      <c r="BJ327" s="1587">
        <f t="shared" si="251"/>
        <v>0</v>
      </c>
      <c r="BM327" s="1212" t="e">
        <f t="shared" ca="1" si="252"/>
        <v>#N/A</v>
      </c>
      <c r="BN327" s="1213" t="e">
        <f t="shared" ca="1" si="253"/>
        <v>#N/A</v>
      </c>
      <c r="BO327" s="1587">
        <f t="shared" si="254"/>
        <v>0</v>
      </c>
      <c r="BR327" s="1212" t="e">
        <f t="shared" ca="1" si="255"/>
        <v>#N/A</v>
      </c>
      <c r="BS327" s="1213" t="e">
        <f t="shared" ca="1" si="256"/>
        <v>#N/A</v>
      </c>
      <c r="BT327" s="1587">
        <f t="shared" si="257"/>
        <v>0</v>
      </c>
      <c r="BW327" s="1212" t="e">
        <f t="shared" ca="1" si="258"/>
        <v>#N/A</v>
      </c>
      <c r="BX327" s="1213" t="e">
        <f t="shared" ca="1" si="259"/>
        <v>#N/A</v>
      </c>
      <c r="BY327" s="1587">
        <f t="shared" si="260"/>
        <v>0</v>
      </c>
      <c r="CB327" s="1212" t="e">
        <f t="shared" ca="1" si="261"/>
        <v>#N/A</v>
      </c>
      <c r="CC327" s="1213" t="e">
        <f t="shared" ca="1" si="262"/>
        <v>#N/A</v>
      </c>
      <c r="CD327" s="1587">
        <f t="shared" si="263"/>
        <v>0</v>
      </c>
      <c r="CG327" s="1212" t="e">
        <f t="shared" ca="1" si="264"/>
        <v>#N/A</v>
      </c>
      <c r="CH327" s="1213" t="e">
        <f t="shared" ca="1" si="265"/>
        <v>#N/A</v>
      </c>
      <c r="CI327" s="1587">
        <f t="shared" si="266"/>
        <v>0</v>
      </c>
      <c r="CL327" s="1212" t="e">
        <f t="shared" ca="1" si="267"/>
        <v>#N/A</v>
      </c>
      <c r="CM327" s="1213" t="e">
        <f t="shared" ca="1" si="268"/>
        <v>#N/A</v>
      </c>
      <c r="CN327" s="1587">
        <f t="shared" si="269"/>
        <v>0</v>
      </c>
    </row>
    <row r="328" spans="1:92">
      <c r="A328" s="141">
        <f>'銀行-TSS'!A328</f>
        <v>0</v>
      </c>
      <c r="B328" s="151">
        <f ca="1">VLOOKUP(A328,'銀行-TSS'!A:B,2,FALSE)</f>
        <v>0</v>
      </c>
      <c r="C328" s="151" t="e">
        <f ca="1">VLOOKUP(B328,bond!B:C,2,FALSE)</f>
        <v>#N/A</v>
      </c>
      <c r="D328" s="95" t="e">
        <f>VLOOKUP(A328,'銀行-TSS'!A:C,3,FALSE)</f>
        <v>#N/A</v>
      </c>
      <c r="E328" s="90" t="e">
        <f ca="1">VLOOKUP(A328,'銀行-TSS'!A:G,7,FALSE)</f>
        <v>#N/A</v>
      </c>
      <c r="F328" s="202" t="e">
        <f ca="1">VLOOKUP(A328,'銀行-TSS'!A:H,8,FALSE)</f>
        <v>#N/A</v>
      </c>
      <c r="G328" s="96" t="e">
        <f ca="1">VLOOKUP(A328,'銀行-TSS'!A:K,11,FALSE)</f>
        <v>#N/A</v>
      </c>
      <c r="H328" s="1209" t="e">
        <f ca="1">VLOOKUP(A328,'銀行-TSS'!A:M,13,FALSE)</f>
        <v>#N/A</v>
      </c>
      <c r="I328" s="1213" t="e">
        <f ca="1">VLOOKUP(A328,'銀行-TSS'!A:N,14,FALSE)</f>
        <v>#N/A</v>
      </c>
      <c r="J328" s="1213" t="e">
        <f ca="1">VLOOKUP(A328,'銀行-TSS'!A:O,15,FALSE)</f>
        <v>#N/A</v>
      </c>
      <c r="K328" s="136" t="e">
        <f ca="1">VLOOKUP(A328,'銀行-TSS'!A:V,22,FALSE)</f>
        <v>#N/A</v>
      </c>
      <c r="L328" s="136" t="e">
        <f ca="1">VLOOKUP(A328,'銀行-TSS'!A:AK,37,FALSE)</f>
        <v>#N/A</v>
      </c>
      <c r="M328" s="136" t="str">
        <f ca="1">VLOOKUP(A328,'銀行-TSS'!A:AN,40,FALSE)</f>
        <v/>
      </c>
      <c r="N328" s="136" t="e">
        <f t="shared" ca="1" si="225"/>
        <v>#N/A</v>
      </c>
      <c r="O328" s="1213" t="e">
        <f t="shared" ca="1" si="226"/>
        <v>#N/A</v>
      </c>
      <c r="P328" s="1213" t="e">
        <f ca="1">IF(AND($O$1&gt;=O328,換券單檔!$D$13=D328),I328+INT(($O$1-O328)/N328)*J328,0)</f>
        <v>#N/A</v>
      </c>
      <c r="Q328" s="1213" t="e">
        <f t="shared" ca="1" si="227"/>
        <v>#N/A</v>
      </c>
      <c r="R328" s="1213">
        <f t="shared" si="228"/>
        <v>0</v>
      </c>
      <c r="S328" s="1213">
        <f t="shared" si="229"/>
        <v>0</v>
      </c>
      <c r="T328" s="136">
        <f>IF(OR(R328=0,A328=0),0,IF(AND(V328=TRUE,換券單檔!$D$13=D328),E328,0))</f>
        <v>0</v>
      </c>
      <c r="U328" s="861">
        <f>IF(OR(R328=0,A328=0),0,IF(AND(V328=TRUE,換券單檔!$D$13=D328),H328,0))</f>
        <v>0</v>
      </c>
      <c r="V328" s="136" t="e">
        <f ca="1">IF(OR(B328=換券單檔!$D$3,L328="無",M328&lt;&gt;"",K328="高資產",IFERROR(MATCH(B328,換券單檔!K:K,0),"N")&lt;&gt;"N"),FALSE,IF($V$1="All",TRUE,IF(K328=$V$1,TRUE,FALSE)))</f>
        <v>#N/A</v>
      </c>
      <c r="W328" s="136" t="e">
        <f ca="1">VLOOKUP(A328,'銀行-TSS'!A:AO,41,FALSE)</f>
        <v>#N/A</v>
      </c>
      <c r="X328" s="136" t="e">
        <f ca="1">VLOOKUP(A328,'銀行-TSS'!A:AP,42,FALSE)</f>
        <v>#N/A</v>
      </c>
      <c r="Y328" s="1220">
        <f t="shared" si="230"/>
        <v>0</v>
      </c>
      <c r="Z328" s="1220">
        <f t="shared" si="231"/>
        <v>0</v>
      </c>
      <c r="AA328" s="136">
        <f>IF(Z328&lt;=0,0,RANK(Z328,Z:Z)+COUNTIF($Z$3:$Z328,Z328)-1)</f>
        <v>0</v>
      </c>
      <c r="AB328" s="1211">
        <f t="shared" ca="1" si="232"/>
        <v>-14896.14</v>
      </c>
      <c r="AC328" s="136">
        <f ca="1">IF(AB328&lt;=0,0,RANK(AB328,AB:AB)+COUNTIF($AB$3:$AB328,AB328)-1)</f>
        <v>0</v>
      </c>
      <c r="AD328" s="1123">
        <f t="shared" si="233"/>
        <v>99999</v>
      </c>
      <c r="AE328" s="1123">
        <f>IF(AD328=99999,0,RANK(AD328,AD:AD,1)+COUNTIF($AD$3:$AD328,AD328)-1)</f>
        <v>0</v>
      </c>
      <c r="AF328" s="86" t="e">
        <f ca="1">IF(OR(M328&lt;&gt;"",L328="無",K328="高資產",IFERROR(MATCH(B328,換券單檔!K:K,0),"N")&lt;&gt;"N"),FALSE,TRUE)</f>
        <v>#N/A</v>
      </c>
      <c r="AI328" s="1212" t="e">
        <f t="shared" ca="1" si="234"/>
        <v>#N/A</v>
      </c>
      <c r="AJ328" s="1213" t="e">
        <f t="shared" ca="1" si="235"/>
        <v>#N/A</v>
      </c>
      <c r="AK328" s="1587">
        <f t="shared" si="236"/>
        <v>0</v>
      </c>
      <c r="AN328" s="1212" t="e">
        <f t="shared" ca="1" si="237"/>
        <v>#N/A</v>
      </c>
      <c r="AO328" s="1213" t="e">
        <f t="shared" ca="1" si="238"/>
        <v>#N/A</v>
      </c>
      <c r="AP328" s="1587">
        <f t="shared" si="239"/>
        <v>0</v>
      </c>
      <c r="AS328" s="1212" t="e">
        <f t="shared" ca="1" si="240"/>
        <v>#N/A</v>
      </c>
      <c r="AT328" s="1213" t="e">
        <f t="shared" ca="1" si="241"/>
        <v>#N/A</v>
      </c>
      <c r="AU328" s="1587">
        <f t="shared" si="242"/>
        <v>0</v>
      </c>
      <c r="AX328" s="1212" t="e">
        <f t="shared" ca="1" si="243"/>
        <v>#N/A</v>
      </c>
      <c r="AY328" s="1213" t="e">
        <f t="shared" ca="1" si="244"/>
        <v>#N/A</v>
      </c>
      <c r="AZ328" s="1587">
        <f t="shared" si="245"/>
        <v>0</v>
      </c>
      <c r="BC328" s="1212" t="e">
        <f t="shared" ca="1" si="246"/>
        <v>#N/A</v>
      </c>
      <c r="BD328" s="1213" t="e">
        <f t="shared" ca="1" si="247"/>
        <v>#N/A</v>
      </c>
      <c r="BE328" s="1587">
        <f t="shared" si="248"/>
        <v>0</v>
      </c>
      <c r="BH328" s="1212" t="e">
        <f t="shared" ca="1" si="249"/>
        <v>#N/A</v>
      </c>
      <c r="BI328" s="1213" t="e">
        <f t="shared" ca="1" si="250"/>
        <v>#N/A</v>
      </c>
      <c r="BJ328" s="1587">
        <f t="shared" si="251"/>
        <v>0</v>
      </c>
      <c r="BM328" s="1212" t="e">
        <f t="shared" ca="1" si="252"/>
        <v>#N/A</v>
      </c>
      <c r="BN328" s="1213" t="e">
        <f t="shared" ca="1" si="253"/>
        <v>#N/A</v>
      </c>
      <c r="BO328" s="1587">
        <f t="shared" si="254"/>
        <v>0</v>
      </c>
      <c r="BR328" s="1212" t="e">
        <f t="shared" ca="1" si="255"/>
        <v>#N/A</v>
      </c>
      <c r="BS328" s="1213" t="e">
        <f t="shared" ca="1" si="256"/>
        <v>#N/A</v>
      </c>
      <c r="BT328" s="1587">
        <f t="shared" si="257"/>
        <v>0</v>
      </c>
      <c r="BW328" s="1212" t="e">
        <f t="shared" ca="1" si="258"/>
        <v>#N/A</v>
      </c>
      <c r="BX328" s="1213" t="e">
        <f t="shared" ca="1" si="259"/>
        <v>#N/A</v>
      </c>
      <c r="BY328" s="1587">
        <f t="shared" si="260"/>
        <v>0</v>
      </c>
      <c r="CB328" s="1212" t="e">
        <f t="shared" ca="1" si="261"/>
        <v>#N/A</v>
      </c>
      <c r="CC328" s="1213" t="e">
        <f t="shared" ca="1" si="262"/>
        <v>#N/A</v>
      </c>
      <c r="CD328" s="1587">
        <f t="shared" si="263"/>
        <v>0</v>
      </c>
      <c r="CG328" s="1212" t="e">
        <f t="shared" ca="1" si="264"/>
        <v>#N/A</v>
      </c>
      <c r="CH328" s="1213" t="e">
        <f t="shared" ca="1" si="265"/>
        <v>#N/A</v>
      </c>
      <c r="CI328" s="1587">
        <f t="shared" si="266"/>
        <v>0</v>
      </c>
      <c r="CL328" s="1212" t="e">
        <f t="shared" ca="1" si="267"/>
        <v>#N/A</v>
      </c>
      <c r="CM328" s="1213" t="e">
        <f t="shared" ca="1" si="268"/>
        <v>#N/A</v>
      </c>
      <c r="CN328" s="1587">
        <f t="shared" si="269"/>
        <v>0</v>
      </c>
    </row>
    <row r="329" spans="1:92">
      <c r="A329" s="141">
        <f>'銀行-TSS'!A329</f>
        <v>0</v>
      </c>
      <c r="B329" s="151">
        <f ca="1">VLOOKUP(A329,'銀行-TSS'!A:B,2,FALSE)</f>
        <v>0</v>
      </c>
      <c r="C329" s="151" t="e">
        <f ca="1">VLOOKUP(B329,bond!B:C,2,FALSE)</f>
        <v>#N/A</v>
      </c>
      <c r="D329" s="95" t="e">
        <f>VLOOKUP(A329,'銀行-TSS'!A:C,3,FALSE)</f>
        <v>#N/A</v>
      </c>
      <c r="E329" s="90" t="e">
        <f ca="1">VLOOKUP(A329,'銀行-TSS'!A:G,7,FALSE)</f>
        <v>#N/A</v>
      </c>
      <c r="F329" s="202" t="e">
        <f ca="1">VLOOKUP(A329,'銀行-TSS'!A:H,8,FALSE)</f>
        <v>#N/A</v>
      </c>
      <c r="G329" s="96" t="e">
        <f ca="1">VLOOKUP(A329,'銀行-TSS'!A:K,11,FALSE)</f>
        <v>#N/A</v>
      </c>
      <c r="H329" s="1209" t="e">
        <f ca="1">VLOOKUP(A329,'銀行-TSS'!A:M,13,FALSE)</f>
        <v>#N/A</v>
      </c>
      <c r="I329" s="1213" t="e">
        <f ca="1">VLOOKUP(A329,'銀行-TSS'!A:N,14,FALSE)</f>
        <v>#N/A</v>
      </c>
      <c r="J329" s="1213" t="e">
        <f ca="1">VLOOKUP(A329,'銀行-TSS'!A:O,15,FALSE)</f>
        <v>#N/A</v>
      </c>
      <c r="K329" s="136" t="e">
        <f ca="1">VLOOKUP(A329,'銀行-TSS'!A:V,22,FALSE)</f>
        <v>#N/A</v>
      </c>
      <c r="L329" s="136" t="e">
        <f ca="1">VLOOKUP(A329,'銀行-TSS'!A:AK,37,FALSE)</f>
        <v>#N/A</v>
      </c>
      <c r="M329" s="136" t="str">
        <f ca="1">VLOOKUP(A329,'銀行-TSS'!A:AN,40,FALSE)</f>
        <v/>
      </c>
      <c r="N329" s="136" t="e">
        <f t="shared" ca="1" si="225"/>
        <v>#N/A</v>
      </c>
      <c r="O329" s="1213" t="e">
        <f t="shared" ca="1" si="226"/>
        <v>#N/A</v>
      </c>
      <c r="P329" s="1213" t="e">
        <f ca="1">IF(AND($O$1&gt;=O329,換券單檔!$D$13=D329),I329+INT(($O$1-O329)/N329)*J329,0)</f>
        <v>#N/A</v>
      </c>
      <c r="Q329" s="1213" t="e">
        <f t="shared" ca="1" si="227"/>
        <v>#N/A</v>
      </c>
      <c r="R329" s="1213">
        <f t="shared" si="228"/>
        <v>0</v>
      </c>
      <c r="S329" s="1213">
        <f t="shared" si="229"/>
        <v>0</v>
      </c>
      <c r="T329" s="136">
        <f>IF(OR(R329=0,A329=0),0,IF(AND(V329=TRUE,換券單檔!$D$13=D329),E329,0))</f>
        <v>0</v>
      </c>
      <c r="U329" s="861">
        <f>IF(OR(R329=0,A329=0),0,IF(AND(V329=TRUE,換券單檔!$D$13=D329),H329,0))</f>
        <v>0</v>
      </c>
      <c r="V329" s="136" t="e">
        <f ca="1">IF(OR(B329=換券單檔!$D$3,L329="無",M329&lt;&gt;"",K329="高資產",IFERROR(MATCH(B329,換券單檔!K:K,0),"N")&lt;&gt;"N"),FALSE,IF($V$1="All",TRUE,IF(K329=$V$1,TRUE,FALSE)))</f>
        <v>#N/A</v>
      </c>
      <c r="W329" s="136" t="e">
        <f ca="1">VLOOKUP(A329,'銀行-TSS'!A:AO,41,FALSE)</f>
        <v>#N/A</v>
      </c>
      <c r="X329" s="136" t="e">
        <f ca="1">VLOOKUP(A329,'銀行-TSS'!A:AP,42,FALSE)</f>
        <v>#N/A</v>
      </c>
      <c r="Y329" s="1220">
        <f t="shared" si="230"/>
        <v>0</v>
      </c>
      <c r="Z329" s="1220">
        <f t="shared" si="231"/>
        <v>0</v>
      </c>
      <c r="AA329" s="136">
        <f>IF(Z329&lt;=0,0,RANK(Z329,Z:Z)+COUNTIF($Z$3:$Z329,Z329)-1)</f>
        <v>0</v>
      </c>
      <c r="AB329" s="1211">
        <f t="shared" ca="1" si="232"/>
        <v>-14896.14</v>
      </c>
      <c r="AC329" s="136">
        <f ca="1">IF(AB329&lt;=0,0,RANK(AB329,AB:AB)+COUNTIF($AB$3:$AB329,AB329)-1)</f>
        <v>0</v>
      </c>
      <c r="AD329" s="1123">
        <f t="shared" si="233"/>
        <v>99999</v>
      </c>
      <c r="AE329" s="1123">
        <f>IF(AD329=99999,0,RANK(AD329,AD:AD,1)+COUNTIF($AD$3:$AD329,AD329)-1)</f>
        <v>0</v>
      </c>
      <c r="AF329" s="86" t="e">
        <f ca="1">IF(OR(M329&lt;&gt;"",L329="無",K329="高資產",IFERROR(MATCH(B329,換券單檔!K:K,0),"N")&lt;&gt;"N"),FALSE,TRUE)</f>
        <v>#N/A</v>
      </c>
      <c r="AI329" s="1212" t="e">
        <f t="shared" ca="1" si="234"/>
        <v>#N/A</v>
      </c>
      <c r="AJ329" s="1213" t="e">
        <f t="shared" ca="1" si="235"/>
        <v>#N/A</v>
      </c>
      <c r="AK329" s="1587">
        <f t="shared" si="236"/>
        <v>0</v>
      </c>
      <c r="AN329" s="1212" t="e">
        <f t="shared" ca="1" si="237"/>
        <v>#N/A</v>
      </c>
      <c r="AO329" s="1213" t="e">
        <f t="shared" ca="1" si="238"/>
        <v>#N/A</v>
      </c>
      <c r="AP329" s="1587">
        <f t="shared" si="239"/>
        <v>0</v>
      </c>
      <c r="AS329" s="1212" t="e">
        <f t="shared" ca="1" si="240"/>
        <v>#N/A</v>
      </c>
      <c r="AT329" s="1213" t="e">
        <f t="shared" ca="1" si="241"/>
        <v>#N/A</v>
      </c>
      <c r="AU329" s="1587">
        <f t="shared" si="242"/>
        <v>0</v>
      </c>
      <c r="AX329" s="1212" t="e">
        <f t="shared" ca="1" si="243"/>
        <v>#N/A</v>
      </c>
      <c r="AY329" s="1213" t="e">
        <f t="shared" ca="1" si="244"/>
        <v>#N/A</v>
      </c>
      <c r="AZ329" s="1587">
        <f t="shared" si="245"/>
        <v>0</v>
      </c>
      <c r="BC329" s="1212" t="e">
        <f t="shared" ca="1" si="246"/>
        <v>#N/A</v>
      </c>
      <c r="BD329" s="1213" t="e">
        <f t="shared" ca="1" si="247"/>
        <v>#N/A</v>
      </c>
      <c r="BE329" s="1587">
        <f t="shared" si="248"/>
        <v>0</v>
      </c>
      <c r="BH329" s="1212" t="e">
        <f t="shared" ca="1" si="249"/>
        <v>#N/A</v>
      </c>
      <c r="BI329" s="1213" t="e">
        <f t="shared" ca="1" si="250"/>
        <v>#N/A</v>
      </c>
      <c r="BJ329" s="1587">
        <f t="shared" si="251"/>
        <v>0</v>
      </c>
      <c r="BM329" s="1212" t="e">
        <f t="shared" ca="1" si="252"/>
        <v>#N/A</v>
      </c>
      <c r="BN329" s="1213" t="e">
        <f t="shared" ca="1" si="253"/>
        <v>#N/A</v>
      </c>
      <c r="BO329" s="1587">
        <f t="shared" si="254"/>
        <v>0</v>
      </c>
      <c r="BR329" s="1212" t="e">
        <f t="shared" ca="1" si="255"/>
        <v>#N/A</v>
      </c>
      <c r="BS329" s="1213" t="e">
        <f t="shared" ca="1" si="256"/>
        <v>#N/A</v>
      </c>
      <c r="BT329" s="1587">
        <f t="shared" si="257"/>
        <v>0</v>
      </c>
      <c r="BW329" s="1212" t="e">
        <f t="shared" ca="1" si="258"/>
        <v>#N/A</v>
      </c>
      <c r="BX329" s="1213" t="e">
        <f t="shared" ca="1" si="259"/>
        <v>#N/A</v>
      </c>
      <c r="BY329" s="1587">
        <f t="shared" si="260"/>
        <v>0</v>
      </c>
      <c r="CB329" s="1212" t="e">
        <f t="shared" ca="1" si="261"/>
        <v>#N/A</v>
      </c>
      <c r="CC329" s="1213" t="e">
        <f t="shared" ca="1" si="262"/>
        <v>#N/A</v>
      </c>
      <c r="CD329" s="1587">
        <f t="shared" si="263"/>
        <v>0</v>
      </c>
      <c r="CG329" s="1212" t="e">
        <f t="shared" ca="1" si="264"/>
        <v>#N/A</v>
      </c>
      <c r="CH329" s="1213" t="e">
        <f t="shared" ca="1" si="265"/>
        <v>#N/A</v>
      </c>
      <c r="CI329" s="1587">
        <f t="shared" si="266"/>
        <v>0</v>
      </c>
      <c r="CL329" s="1212" t="e">
        <f t="shared" ca="1" si="267"/>
        <v>#N/A</v>
      </c>
      <c r="CM329" s="1213" t="e">
        <f t="shared" ca="1" si="268"/>
        <v>#N/A</v>
      </c>
      <c r="CN329" s="1587">
        <f t="shared" si="269"/>
        <v>0</v>
      </c>
    </row>
    <row r="330" spans="1:92">
      <c r="A330" s="141">
        <f>'銀行-TSS'!A330</f>
        <v>0</v>
      </c>
      <c r="B330" s="151">
        <f ca="1">VLOOKUP(A330,'銀行-TSS'!A:B,2,FALSE)</f>
        <v>0</v>
      </c>
      <c r="C330" s="151" t="e">
        <f ca="1">VLOOKUP(B330,bond!B:C,2,FALSE)</f>
        <v>#N/A</v>
      </c>
      <c r="D330" s="95" t="e">
        <f>VLOOKUP(A330,'銀行-TSS'!A:C,3,FALSE)</f>
        <v>#N/A</v>
      </c>
      <c r="E330" s="90" t="e">
        <f ca="1">VLOOKUP(A330,'銀行-TSS'!A:G,7,FALSE)</f>
        <v>#N/A</v>
      </c>
      <c r="F330" s="202" t="e">
        <f ca="1">VLOOKUP(A330,'銀行-TSS'!A:H,8,FALSE)</f>
        <v>#N/A</v>
      </c>
      <c r="G330" s="96" t="e">
        <f ca="1">VLOOKUP(A330,'銀行-TSS'!A:K,11,FALSE)</f>
        <v>#N/A</v>
      </c>
      <c r="H330" s="1209" t="e">
        <f ca="1">VLOOKUP(A330,'銀行-TSS'!A:M,13,FALSE)</f>
        <v>#N/A</v>
      </c>
      <c r="I330" s="1213" t="e">
        <f ca="1">VLOOKUP(A330,'銀行-TSS'!A:N,14,FALSE)</f>
        <v>#N/A</v>
      </c>
      <c r="J330" s="1213" t="e">
        <f ca="1">VLOOKUP(A330,'銀行-TSS'!A:O,15,FALSE)</f>
        <v>#N/A</v>
      </c>
      <c r="K330" s="136" t="e">
        <f ca="1">VLOOKUP(A330,'銀行-TSS'!A:V,22,FALSE)</f>
        <v>#N/A</v>
      </c>
      <c r="L330" s="136" t="e">
        <f ca="1">VLOOKUP(A330,'銀行-TSS'!A:AK,37,FALSE)</f>
        <v>#N/A</v>
      </c>
      <c r="M330" s="136" t="str">
        <f ca="1">VLOOKUP(A330,'銀行-TSS'!A:AN,40,FALSE)</f>
        <v/>
      </c>
      <c r="N330" s="136" t="e">
        <f t="shared" ca="1" si="225"/>
        <v>#N/A</v>
      </c>
      <c r="O330" s="1213" t="e">
        <f t="shared" ca="1" si="226"/>
        <v>#N/A</v>
      </c>
      <c r="P330" s="1213" t="e">
        <f ca="1">IF(AND($O$1&gt;=O330,換券單檔!$D$13=D330),I330+INT(($O$1-O330)/N330)*J330,0)</f>
        <v>#N/A</v>
      </c>
      <c r="Q330" s="1213" t="e">
        <f t="shared" ca="1" si="227"/>
        <v>#N/A</v>
      </c>
      <c r="R330" s="1213">
        <f t="shared" si="228"/>
        <v>0</v>
      </c>
      <c r="S330" s="1213">
        <f t="shared" si="229"/>
        <v>0</v>
      </c>
      <c r="T330" s="136">
        <f>IF(OR(R330=0,A330=0),0,IF(AND(V330=TRUE,換券單檔!$D$13=D330),E330,0))</f>
        <v>0</v>
      </c>
      <c r="U330" s="861">
        <f>IF(OR(R330=0,A330=0),0,IF(AND(V330=TRUE,換券單檔!$D$13=D330),H330,0))</f>
        <v>0</v>
      </c>
      <c r="V330" s="136" t="e">
        <f ca="1">IF(OR(B330=換券單檔!$D$3,L330="無",M330&lt;&gt;"",K330="高資產",IFERROR(MATCH(B330,換券單檔!K:K,0),"N")&lt;&gt;"N"),FALSE,IF($V$1="All",TRUE,IF(K330=$V$1,TRUE,FALSE)))</f>
        <v>#N/A</v>
      </c>
      <c r="W330" s="136" t="e">
        <f ca="1">VLOOKUP(A330,'銀行-TSS'!A:AO,41,FALSE)</f>
        <v>#N/A</v>
      </c>
      <c r="X330" s="136" t="e">
        <f ca="1">VLOOKUP(A330,'銀行-TSS'!A:AP,42,FALSE)</f>
        <v>#N/A</v>
      </c>
      <c r="Y330" s="1220">
        <f t="shared" si="230"/>
        <v>0</v>
      </c>
      <c r="Z330" s="1220">
        <f t="shared" si="231"/>
        <v>0</v>
      </c>
      <c r="AA330" s="136">
        <f>IF(Z330&lt;=0,0,RANK(Z330,Z:Z)+COUNTIF($Z$3:$Z330,Z330)-1)</f>
        <v>0</v>
      </c>
      <c r="AB330" s="1211">
        <f t="shared" ca="1" si="232"/>
        <v>-14896.14</v>
      </c>
      <c r="AC330" s="136">
        <f ca="1">IF(AB330&lt;=0,0,RANK(AB330,AB:AB)+COUNTIF($AB$3:$AB330,AB330)-1)</f>
        <v>0</v>
      </c>
      <c r="AD330" s="1123">
        <f t="shared" si="233"/>
        <v>99999</v>
      </c>
      <c r="AE330" s="1123">
        <f>IF(AD330=99999,0,RANK(AD330,AD:AD,1)+COUNTIF($AD$3:$AD330,AD330)-1)</f>
        <v>0</v>
      </c>
      <c r="AF330" s="86" t="e">
        <f ca="1">IF(OR(M330&lt;&gt;"",L330="無",K330="高資產",IFERROR(MATCH(B330,換券單檔!K:K,0),"N")&lt;&gt;"N"),FALSE,TRUE)</f>
        <v>#N/A</v>
      </c>
      <c r="AI330" s="1212" t="e">
        <f t="shared" ca="1" si="234"/>
        <v>#N/A</v>
      </c>
      <c r="AJ330" s="1213" t="e">
        <f t="shared" ca="1" si="235"/>
        <v>#N/A</v>
      </c>
      <c r="AK330" s="1587">
        <f t="shared" si="236"/>
        <v>0</v>
      </c>
      <c r="AN330" s="1212" t="e">
        <f t="shared" ca="1" si="237"/>
        <v>#N/A</v>
      </c>
      <c r="AO330" s="1213" t="e">
        <f t="shared" ca="1" si="238"/>
        <v>#N/A</v>
      </c>
      <c r="AP330" s="1587">
        <f t="shared" si="239"/>
        <v>0</v>
      </c>
      <c r="AS330" s="1212" t="e">
        <f t="shared" ca="1" si="240"/>
        <v>#N/A</v>
      </c>
      <c r="AT330" s="1213" t="e">
        <f t="shared" ca="1" si="241"/>
        <v>#N/A</v>
      </c>
      <c r="AU330" s="1587">
        <f t="shared" si="242"/>
        <v>0</v>
      </c>
      <c r="AX330" s="1212" t="e">
        <f t="shared" ca="1" si="243"/>
        <v>#N/A</v>
      </c>
      <c r="AY330" s="1213" t="e">
        <f t="shared" ca="1" si="244"/>
        <v>#N/A</v>
      </c>
      <c r="AZ330" s="1587">
        <f t="shared" si="245"/>
        <v>0</v>
      </c>
      <c r="BC330" s="1212" t="e">
        <f t="shared" ca="1" si="246"/>
        <v>#N/A</v>
      </c>
      <c r="BD330" s="1213" t="e">
        <f t="shared" ca="1" si="247"/>
        <v>#N/A</v>
      </c>
      <c r="BE330" s="1587">
        <f t="shared" si="248"/>
        <v>0</v>
      </c>
      <c r="BH330" s="1212" t="e">
        <f t="shared" ca="1" si="249"/>
        <v>#N/A</v>
      </c>
      <c r="BI330" s="1213" t="e">
        <f t="shared" ca="1" si="250"/>
        <v>#N/A</v>
      </c>
      <c r="BJ330" s="1587">
        <f t="shared" si="251"/>
        <v>0</v>
      </c>
      <c r="BM330" s="1212" t="e">
        <f t="shared" ca="1" si="252"/>
        <v>#N/A</v>
      </c>
      <c r="BN330" s="1213" t="e">
        <f t="shared" ca="1" si="253"/>
        <v>#N/A</v>
      </c>
      <c r="BO330" s="1587">
        <f t="shared" si="254"/>
        <v>0</v>
      </c>
      <c r="BR330" s="1212" t="e">
        <f t="shared" ca="1" si="255"/>
        <v>#N/A</v>
      </c>
      <c r="BS330" s="1213" t="e">
        <f t="shared" ca="1" si="256"/>
        <v>#N/A</v>
      </c>
      <c r="BT330" s="1587">
        <f t="shared" si="257"/>
        <v>0</v>
      </c>
      <c r="BW330" s="1212" t="e">
        <f t="shared" ca="1" si="258"/>
        <v>#N/A</v>
      </c>
      <c r="BX330" s="1213" t="e">
        <f t="shared" ca="1" si="259"/>
        <v>#N/A</v>
      </c>
      <c r="BY330" s="1587">
        <f t="shared" si="260"/>
        <v>0</v>
      </c>
      <c r="CB330" s="1212" t="e">
        <f t="shared" ca="1" si="261"/>
        <v>#N/A</v>
      </c>
      <c r="CC330" s="1213" t="e">
        <f t="shared" ca="1" si="262"/>
        <v>#N/A</v>
      </c>
      <c r="CD330" s="1587">
        <f t="shared" si="263"/>
        <v>0</v>
      </c>
      <c r="CG330" s="1212" t="e">
        <f t="shared" ca="1" si="264"/>
        <v>#N/A</v>
      </c>
      <c r="CH330" s="1213" t="e">
        <f t="shared" ca="1" si="265"/>
        <v>#N/A</v>
      </c>
      <c r="CI330" s="1587">
        <f t="shared" si="266"/>
        <v>0</v>
      </c>
      <c r="CL330" s="1212" t="e">
        <f t="shared" ca="1" si="267"/>
        <v>#N/A</v>
      </c>
      <c r="CM330" s="1213" t="e">
        <f t="shared" ca="1" si="268"/>
        <v>#N/A</v>
      </c>
      <c r="CN330" s="1587">
        <f t="shared" si="269"/>
        <v>0</v>
      </c>
    </row>
    <row r="331" spans="1:92">
      <c r="A331" s="141">
        <f>'銀行-TSS'!A331</f>
        <v>0</v>
      </c>
      <c r="B331" s="151">
        <f ca="1">VLOOKUP(A331,'銀行-TSS'!A:B,2,FALSE)</f>
        <v>0</v>
      </c>
      <c r="C331" s="151" t="e">
        <f ca="1">VLOOKUP(B331,bond!B:C,2,FALSE)</f>
        <v>#N/A</v>
      </c>
      <c r="D331" s="95" t="e">
        <f>VLOOKUP(A331,'銀行-TSS'!A:C,3,FALSE)</f>
        <v>#N/A</v>
      </c>
      <c r="E331" s="90" t="e">
        <f ca="1">VLOOKUP(A331,'銀行-TSS'!A:G,7,FALSE)</f>
        <v>#N/A</v>
      </c>
      <c r="F331" s="202" t="e">
        <f ca="1">VLOOKUP(A331,'銀行-TSS'!A:H,8,FALSE)</f>
        <v>#N/A</v>
      </c>
      <c r="G331" s="96" t="e">
        <f ca="1">VLOOKUP(A331,'銀行-TSS'!A:K,11,FALSE)</f>
        <v>#N/A</v>
      </c>
      <c r="H331" s="1209" t="e">
        <f ca="1">VLOOKUP(A331,'銀行-TSS'!A:M,13,FALSE)</f>
        <v>#N/A</v>
      </c>
      <c r="I331" s="1213" t="e">
        <f ca="1">VLOOKUP(A331,'銀行-TSS'!A:N,14,FALSE)</f>
        <v>#N/A</v>
      </c>
      <c r="J331" s="1213" t="e">
        <f ca="1">VLOOKUP(A331,'銀行-TSS'!A:O,15,FALSE)</f>
        <v>#N/A</v>
      </c>
      <c r="K331" s="136" t="e">
        <f ca="1">VLOOKUP(A331,'銀行-TSS'!A:V,22,FALSE)</f>
        <v>#N/A</v>
      </c>
      <c r="L331" s="136" t="e">
        <f ca="1">VLOOKUP(A331,'銀行-TSS'!A:AK,37,FALSE)</f>
        <v>#N/A</v>
      </c>
      <c r="M331" s="136" t="str">
        <f ca="1">VLOOKUP(A331,'銀行-TSS'!A:AN,40,FALSE)</f>
        <v/>
      </c>
      <c r="N331" s="136" t="e">
        <f t="shared" ca="1" si="225"/>
        <v>#N/A</v>
      </c>
      <c r="O331" s="1213" t="e">
        <f t="shared" ca="1" si="226"/>
        <v>#N/A</v>
      </c>
      <c r="P331" s="1213" t="e">
        <f ca="1">IF(AND($O$1&gt;=O331,換券單檔!$D$13=D331),I331+INT(($O$1-O331)/N331)*J331,0)</f>
        <v>#N/A</v>
      </c>
      <c r="Q331" s="1213" t="e">
        <f t="shared" ca="1" si="227"/>
        <v>#N/A</v>
      </c>
      <c r="R331" s="1213">
        <f t="shared" si="228"/>
        <v>0</v>
      </c>
      <c r="S331" s="1213">
        <f t="shared" si="229"/>
        <v>0</v>
      </c>
      <c r="T331" s="136">
        <f>IF(OR(R331=0,A331=0),0,IF(AND(V331=TRUE,換券單檔!$D$13=D331),E331,0))</f>
        <v>0</v>
      </c>
      <c r="U331" s="861">
        <f>IF(OR(R331=0,A331=0),0,IF(AND(V331=TRUE,換券單檔!$D$13=D331),H331,0))</f>
        <v>0</v>
      </c>
      <c r="V331" s="136" t="e">
        <f ca="1">IF(OR(B331=換券單檔!$D$3,L331="無",M331&lt;&gt;"",K331="高資產",IFERROR(MATCH(B331,換券單檔!K:K,0),"N")&lt;&gt;"N"),FALSE,IF($V$1="All",TRUE,IF(K331=$V$1,TRUE,FALSE)))</f>
        <v>#N/A</v>
      </c>
      <c r="W331" s="136" t="e">
        <f ca="1">VLOOKUP(A331,'銀行-TSS'!A:AO,41,FALSE)</f>
        <v>#N/A</v>
      </c>
      <c r="X331" s="136" t="e">
        <f ca="1">VLOOKUP(A331,'銀行-TSS'!A:AP,42,FALSE)</f>
        <v>#N/A</v>
      </c>
      <c r="Y331" s="1220">
        <f t="shared" si="230"/>
        <v>0</v>
      </c>
      <c r="Z331" s="1220">
        <f t="shared" si="231"/>
        <v>0</v>
      </c>
      <c r="AA331" s="136">
        <f>IF(Z331&lt;=0,0,RANK(Z331,Z:Z)+COUNTIF($Z$3:$Z331,Z331)-1)</f>
        <v>0</v>
      </c>
      <c r="AB331" s="1211">
        <f t="shared" ca="1" si="232"/>
        <v>-14896.14</v>
      </c>
      <c r="AC331" s="136">
        <f ca="1">IF(AB331&lt;=0,0,RANK(AB331,AB:AB)+COUNTIF($AB$3:$AB331,AB331)-1)</f>
        <v>0</v>
      </c>
      <c r="AD331" s="1123">
        <f t="shared" si="233"/>
        <v>99999</v>
      </c>
      <c r="AE331" s="1123">
        <f>IF(AD331=99999,0,RANK(AD331,AD:AD,1)+COUNTIF($AD$3:$AD331,AD331)-1)</f>
        <v>0</v>
      </c>
      <c r="AF331" s="86" t="e">
        <f ca="1">IF(OR(M331&lt;&gt;"",L331="無",K331="高資產",IFERROR(MATCH(B331,換券單檔!K:K,0),"N")&lt;&gt;"N"),FALSE,TRUE)</f>
        <v>#N/A</v>
      </c>
      <c r="AI331" s="1212" t="e">
        <f t="shared" ca="1" si="234"/>
        <v>#N/A</v>
      </c>
      <c r="AJ331" s="1213" t="e">
        <f t="shared" ca="1" si="235"/>
        <v>#N/A</v>
      </c>
      <c r="AK331" s="1587">
        <f t="shared" si="236"/>
        <v>0</v>
      </c>
      <c r="AN331" s="1212" t="e">
        <f t="shared" ca="1" si="237"/>
        <v>#N/A</v>
      </c>
      <c r="AO331" s="1213" t="e">
        <f t="shared" ca="1" si="238"/>
        <v>#N/A</v>
      </c>
      <c r="AP331" s="1587">
        <f t="shared" si="239"/>
        <v>0</v>
      </c>
      <c r="AS331" s="1212" t="e">
        <f t="shared" ca="1" si="240"/>
        <v>#N/A</v>
      </c>
      <c r="AT331" s="1213" t="e">
        <f t="shared" ca="1" si="241"/>
        <v>#N/A</v>
      </c>
      <c r="AU331" s="1587">
        <f t="shared" si="242"/>
        <v>0</v>
      </c>
      <c r="AX331" s="1212" t="e">
        <f t="shared" ca="1" si="243"/>
        <v>#N/A</v>
      </c>
      <c r="AY331" s="1213" t="e">
        <f t="shared" ca="1" si="244"/>
        <v>#N/A</v>
      </c>
      <c r="AZ331" s="1587">
        <f t="shared" si="245"/>
        <v>0</v>
      </c>
      <c r="BC331" s="1212" t="e">
        <f t="shared" ca="1" si="246"/>
        <v>#N/A</v>
      </c>
      <c r="BD331" s="1213" t="e">
        <f t="shared" ca="1" si="247"/>
        <v>#N/A</v>
      </c>
      <c r="BE331" s="1587">
        <f t="shared" si="248"/>
        <v>0</v>
      </c>
      <c r="BH331" s="1212" t="e">
        <f t="shared" ca="1" si="249"/>
        <v>#N/A</v>
      </c>
      <c r="BI331" s="1213" t="e">
        <f t="shared" ca="1" si="250"/>
        <v>#N/A</v>
      </c>
      <c r="BJ331" s="1587">
        <f t="shared" si="251"/>
        <v>0</v>
      </c>
      <c r="BM331" s="1212" t="e">
        <f t="shared" ca="1" si="252"/>
        <v>#N/A</v>
      </c>
      <c r="BN331" s="1213" t="e">
        <f t="shared" ca="1" si="253"/>
        <v>#N/A</v>
      </c>
      <c r="BO331" s="1587">
        <f t="shared" si="254"/>
        <v>0</v>
      </c>
      <c r="BR331" s="1212" t="e">
        <f t="shared" ca="1" si="255"/>
        <v>#N/A</v>
      </c>
      <c r="BS331" s="1213" t="e">
        <f t="shared" ca="1" si="256"/>
        <v>#N/A</v>
      </c>
      <c r="BT331" s="1587">
        <f t="shared" si="257"/>
        <v>0</v>
      </c>
      <c r="BW331" s="1212" t="e">
        <f t="shared" ca="1" si="258"/>
        <v>#N/A</v>
      </c>
      <c r="BX331" s="1213" t="e">
        <f t="shared" ca="1" si="259"/>
        <v>#N/A</v>
      </c>
      <c r="BY331" s="1587">
        <f t="shared" si="260"/>
        <v>0</v>
      </c>
      <c r="CB331" s="1212" t="e">
        <f t="shared" ca="1" si="261"/>
        <v>#N/A</v>
      </c>
      <c r="CC331" s="1213" t="e">
        <f t="shared" ca="1" si="262"/>
        <v>#N/A</v>
      </c>
      <c r="CD331" s="1587">
        <f t="shared" si="263"/>
        <v>0</v>
      </c>
      <c r="CG331" s="1212" t="e">
        <f t="shared" ca="1" si="264"/>
        <v>#N/A</v>
      </c>
      <c r="CH331" s="1213" t="e">
        <f t="shared" ca="1" si="265"/>
        <v>#N/A</v>
      </c>
      <c r="CI331" s="1587">
        <f t="shared" si="266"/>
        <v>0</v>
      </c>
      <c r="CL331" s="1212" t="e">
        <f t="shared" ca="1" si="267"/>
        <v>#N/A</v>
      </c>
      <c r="CM331" s="1213" t="e">
        <f t="shared" ca="1" si="268"/>
        <v>#N/A</v>
      </c>
      <c r="CN331" s="1587">
        <f t="shared" si="269"/>
        <v>0</v>
      </c>
    </row>
    <row r="332" spans="1:92">
      <c r="A332" s="141">
        <f>'銀行-TSS'!A332</f>
        <v>0</v>
      </c>
      <c r="B332" s="151">
        <f ca="1">VLOOKUP(A332,'銀行-TSS'!A:B,2,FALSE)</f>
        <v>0</v>
      </c>
      <c r="C332" s="151" t="e">
        <f ca="1">VLOOKUP(B332,bond!B:C,2,FALSE)</f>
        <v>#N/A</v>
      </c>
      <c r="D332" s="95" t="e">
        <f>VLOOKUP(A332,'銀行-TSS'!A:C,3,FALSE)</f>
        <v>#N/A</v>
      </c>
      <c r="E332" s="90" t="e">
        <f ca="1">VLOOKUP(A332,'銀行-TSS'!A:G,7,FALSE)</f>
        <v>#N/A</v>
      </c>
      <c r="F332" s="202" t="e">
        <f ca="1">VLOOKUP(A332,'銀行-TSS'!A:H,8,FALSE)</f>
        <v>#N/A</v>
      </c>
      <c r="G332" s="96" t="e">
        <f ca="1">VLOOKUP(A332,'銀行-TSS'!A:K,11,FALSE)</f>
        <v>#N/A</v>
      </c>
      <c r="H332" s="1209" t="e">
        <f ca="1">VLOOKUP(A332,'銀行-TSS'!A:M,13,FALSE)</f>
        <v>#N/A</v>
      </c>
      <c r="I332" s="1213" t="e">
        <f ca="1">VLOOKUP(A332,'銀行-TSS'!A:N,14,FALSE)</f>
        <v>#N/A</v>
      </c>
      <c r="J332" s="1213" t="e">
        <f ca="1">VLOOKUP(A332,'銀行-TSS'!A:O,15,FALSE)</f>
        <v>#N/A</v>
      </c>
      <c r="K332" s="136" t="e">
        <f ca="1">VLOOKUP(A332,'銀行-TSS'!A:V,22,FALSE)</f>
        <v>#N/A</v>
      </c>
      <c r="L332" s="136" t="e">
        <f ca="1">VLOOKUP(A332,'銀行-TSS'!A:AK,37,FALSE)</f>
        <v>#N/A</v>
      </c>
      <c r="M332" s="136" t="str">
        <f ca="1">VLOOKUP(A332,'銀行-TSS'!A:AN,40,FALSE)</f>
        <v/>
      </c>
      <c r="N332" s="136" t="e">
        <f t="shared" ca="1" si="225"/>
        <v>#N/A</v>
      </c>
      <c r="O332" s="1213" t="e">
        <f t="shared" ca="1" si="226"/>
        <v>#N/A</v>
      </c>
      <c r="P332" s="1213" t="e">
        <f ca="1">IF(AND($O$1&gt;=O332,換券單檔!$D$13=D332),I332+INT(($O$1-O332)/N332)*J332,0)</f>
        <v>#N/A</v>
      </c>
      <c r="Q332" s="1213" t="e">
        <f t="shared" ca="1" si="227"/>
        <v>#N/A</v>
      </c>
      <c r="R332" s="1213">
        <f t="shared" si="228"/>
        <v>0</v>
      </c>
      <c r="S332" s="1213">
        <f t="shared" si="229"/>
        <v>0</v>
      </c>
      <c r="T332" s="136">
        <f>IF(OR(R332=0,A332=0),0,IF(AND(V332=TRUE,換券單檔!$D$13=D332),E332,0))</f>
        <v>0</v>
      </c>
      <c r="U332" s="861">
        <f>IF(OR(R332=0,A332=0),0,IF(AND(V332=TRUE,換券單檔!$D$13=D332),H332,0))</f>
        <v>0</v>
      </c>
      <c r="V332" s="136" t="e">
        <f ca="1">IF(OR(B332=換券單檔!$D$3,L332="無",M332&lt;&gt;"",K332="高資產",IFERROR(MATCH(B332,換券單檔!K:K,0),"N")&lt;&gt;"N"),FALSE,IF($V$1="All",TRUE,IF(K332=$V$1,TRUE,FALSE)))</f>
        <v>#N/A</v>
      </c>
      <c r="W332" s="136" t="e">
        <f ca="1">VLOOKUP(A332,'銀行-TSS'!A:AO,41,FALSE)</f>
        <v>#N/A</v>
      </c>
      <c r="X332" s="136" t="e">
        <f ca="1">VLOOKUP(A332,'銀行-TSS'!A:AP,42,FALSE)</f>
        <v>#N/A</v>
      </c>
      <c r="Y332" s="1220">
        <f t="shared" si="230"/>
        <v>0</v>
      </c>
      <c r="Z332" s="1220">
        <f t="shared" si="231"/>
        <v>0</v>
      </c>
      <c r="AA332" s="136">
        <f>IF(Z332&lt;=0,0,RANK(Z332,Z:Z)+COUNTIF($Z$3:$Z332,Z332)-1)</f>
        <v>0</v>
      </c>
      <c r="AB332" s="1211">
        <f t="shared" ca="1" si="232"/>
        <v>-14896.14</v>
      </c>
      <c r="AC332" s="136">
        <f ca="1">IF(AB332&lt;=0,0,RANK(AB332,AB:AB)+COUNTIF($AB$3:$AB332,AB332)-1)</f>
        <v>0</v>
      </c>
      <c r="AD332" s="1123">
        <f t="shared" si="233"/>
        <v>99999</v>
      </c>
      <c r="AE332" s="1123">
        <f>IF(AD332=99999,0,RANK(AD332,AD:AD,1)+COUNTIF($AD$3:$AD332,AD332)-1)</f>
        <v>0</v>
      </c>
      <c r="AF332" s="86" t="e">
        <f ca="1">IF(OR(M332&lt;&gt;"",L332="無",K332="高資產",IFERROR(MATCH(B332,換券單檔!K:K,0),"N")&lt;&gt;"N"),FALSE,TRUE)</f>
        <v>#N/A</v>
      </c>
      <c r="AI332" s="1212" t="e">
        <f t="shared" ca="1" si="234"/>
        <v>#N/A</v>
      </c>
      <c r="AJ332" s="1213" t="e">
        <f t="shared" ca="1" si="235"/>
        <v>#N/A</v>
      </c>
      <c r="AK332" s="1587">
        <f t="shared" si="236"/>
        <v>0</v>
      </c>
      <c r="AN332" s="1212" t="e">
        <f t="shared" ca="1" si="237"/>
        <v>#N/A</v>
      </c>
      <c r="AO332" s="1213" t="e">
        <f t="shared" ca="1" si="238"/>
        <v>#N/A</v>
      </c>
      <c r="AP332" s="1587">
        <f t="shared" si="239"/>
        <v>0</v>
      </c>
      <c r="AS332" s="1212" t="e">
        <f t="shared" ca="1" si="240"/>
        <v>#N/A</v>
      </c>
      <c r="AT332" s="1213" t="e">
        <f t="shared" ca="1" si="241"/>
        <v>#N/A</v>
      </c>
      <c r="AU332" s="1587">
        <f t="shared" si="242"/>
        <v>0</v>
      </c>
      <c r="AX332" s="1212" t="e">
        <f t="shared" ca="1" si="243"/>
        <v>#N/A</v>
      </c>
      <c r="AY332" s="1213" t="e">
        <f t="shared" ca="1" si="244"/>
        <v>#N/A</v>
      </c>
      <c r="AZ332" s="1587">
        <f t="shared" si="245"/>
        <v>0</v>
      </c>
      <c r="BC332" s="1212" t="e">
        <f t="shared" ca="1" si="246"/>
        <v>#N/A</v>
      </c>
      <c r="BD332" s="1213" t="e">
        <f t="shared" ca="1" si="247"/>
        <v>#N/A</v>
      </c>
      <c r="BE332" s="1587">
        <f t="shared" si="248"/>
        <v>0</v>
      </c>
      <c r="BH332" s="1212" t="e">
        <f t="shared" ca="1" si="249"/>
        <v>#N/A</v>
      </c>
      <c r="BI332" s="1213" t="e">
        <f t="shared" ca="1" si="250"/>
        <v>#N/A</v>
      </c>
      <c r="BJ332" s="1587">
        <f t="shared" si="251"/>
        <v>0</v>
      </c>
      <c r="BM332" s="1212" t="e">
        <f t="shared" ca="1" si="252"/>
        <v>#N/A</v>
      </c>
      <c r="BN332" s="1213" t="e">
        <f t="shared" ca="1" si="253"/>
        <v>#N/A</v>
      </c>
      <c r="BO332" s="1587">
        <f t="shared" si="254"/>
        <v>0</v>
      </c>
      <c r="BR332" s="1212" t="e">
        <f t="shared" ca="1" si="255"/>
        <v>#N/A</v>
      </c>
      <c r="BS332" s="1213" t="e">
        <f t="shared" ca="1" si="256"/>
        <v>#N/A</v>
      </c>
      <c r="BT332" s="1587">
        <f t="shared" si="257"/>
        <v>0</v>
      </c>
      <c r="BW332" s="1212" t="e">
        <f t="shared" ca="1" si="258"/>
        <v>#N/A</v>
      </c>
      <c r="BX332" s="1213" t="e">
        <f t="shared" ca="1" si="259"/>
        <v>#N/A</v>
      </c>
      <c r="BY332" s="1587">
        <f t="shared" si="260"/>
        <v>0</v>
      </c>
      <c r="CB332" s="1212" t="e">
        <f t="shared" ca="1" si="261"/>
        <v>#N/A</v>
      </c>
      <c r="CC332" s="1213" t="e">
        <f t="shared" ca="1" si="262"/>
        <v>#N/A</v>
      </c>
      <c r="CD332" s="1587">
        <f t="shared" si="263"/>
        <v>0</v>
      </c>
      <c r="CG332" s="1212" t="e">
        <f t="shared" ca="1" si="264"/>
        <v>#N/A</v>
      </c>
      <c r="CH332" s="1213" t="e">
        <f t="shared" ca="1" si="265"/>
        <v>#N/A</v>
      </c>
      <c r="CI332" s="1587">
        <f t="shared" si="266"/>
        <v>0</v>
      </c>
      <c r="CL332" s="1212" t="e">
        <f t="shared" ca="1" si="267"/>
        <v>#N/A</v>
      </c>
      <c r="CM332" s="1213" t="e">
        <f t="shared" ca="1" si="268"/>
        <v>#N/A</v>
      </c>
      <c r="CN332" s="1587">
        <f t="shared" si="269"/>
        <v>0</v>
      </c>
    </row>
    <row r="333" spans="1:92">
      <c r="A333" s="141">
        <f>'銀行-TSS'!A333</f>
        <v>0</v>
      </c>
      <c r="B333" s="151">
        <f ca="1">VLOOKUP(A333,'銀行-TSS'!A:B,2,FALSE)</f>
        <v>0</v>
      </c>
      <c r="C333" s="151" t="e">
        <f ca="1">VLOOKUP(B333,bond!B:C,2,FALSE)</f>
        <v>#N/A</v>
      </c>
      <c r="D333" s="95" t="e">
        <f>VLOOKUP(A333,'銀行-TSS'!A:C,3,FALSE)</f>
        <v>#N/A</v>
      </c>
      <c r="E333" s="90" t="e">
        <f ca="1">VLOOKUP(A333,'銀行-TSS'!A:G,7,FALSE)</f>
        <v>#N/A</v>
      </c>
      <c r="F333" s="202" t="e">
        <f ca="1">VLOOKUP(A333,'銀行-TSS'!A:H,8,FALSE)</f>
        <v>#N/A</v>
      </c>
      <c r="G333" s="96" t="e">
        <f ca="1">VLOOKUP(A333,'銀行-TSS'!A:K,11,FALSE)</f>
        <v>#N/A</v>
      </c>
      <c r="H333" s="1209" t="e">
        <f ca="1">VLOOKUP(A333,'銀行-TSS'!A:M,13,FALSE)</f>
        <v>#N/A</v>
      </c>
      <c r="I333" s="1213" t="e">
        <f ca="1">VLOOKUP(A333,'銀行-TSS'!A:N,14,FALSE)</f>
        <v>#N/A</v>
      </c>
      <c r="J333" s="1213" t="e">
        <f ca="1">VLOOKUP(A333,'銀行-TSS'!A:O,15,FALSE)</f>
        <v>#N/A</v>
      </c>
      <c r="K333" s="136" t="e">
        <f ca="1">VLOOKUP(A333,'銀行-TSS'!A:V,22,FALSE)</f>
        <v>#N/A</v>
      </c>
      <c r="L333" s="136" t="e">
        <f ca="1">VLOOKUP(A333,'銀行-TSS'!A:AK,37,FALSE)</f>
        <v>#N/A</v>
      </c>
      <c r="M333" s="136" t="str">
        <f ca="1">VLOOKUP(A333,'銀行-TSS'!A:AN,40,FALSE)</f>
        <v/>
      </c>
      <c r="N333" s="136" t="e">
        <f t="shared" ca="1" si="225"/>
        <v>#N/A</v>
      </c>
      <c r="O333" s="1213" t="e">
        <f t="shared" ca="1" si="226"/>
        <v>#N/A</v>
      </c>
      <c r="P333" s="1213" t="e">
        <f ca="1">IF(AND($O$1&gt;=O333,換券單檔!$D$13=D333),I333+INT(($O$1-O333)/N333)*J333,0)</f>
        <v>#N/A</v>
      </c>
      <c r="Q333" s="1213" t="e">
        <f t="shared" ca="1" si="227"/>
        <v>#N/A</v>
      </c>
      <c r="R333" s="1213">
        <f t="shared" si="228"/>
        <v>0</v>
      </c>
      <c r="S333" s="1213">
        <f t="shared" si="229"/>
        <v>0</v>
      </c>
      <c r="T333" s="136">
        <f>IF(OR(R333=0,A333=0),0,IF(AND(V333=TRUE,換券單檔!$D$13=D333),E333,0))</f>
        <v>0</v>
      </c>
      <c r="U333" s="861">
        <f>IF(OR(R333=0,A333=0),0,IF(AND(V333=TRUE,換券單檔!$D$13=D333),H333,0))</f>
        <v>0</v>
      </c>
      <c r="V333" s="136" t="e">
        <f ca="1">IF(OR(B333=換券單檔!$D$3,L333="無",M333&lt;&gt;"",K333="高資產",IFERROR(MATCH(B333,換券單檔!K:K,0),"N")&lt;&gt;"N"),FALSE,IF($V$1="All",TRUE,IF(K333=$V$1,TRUE,FALSE)))</f>
        <v>#N/A</v>
      </c>
      <c r="W333" s="136" t="e">
        <f ca="1">VLOOKUP(A333,'銀行-TSS'!A:AO,41,FALSE)</f>
        <v>#N/A</v>
      </c>
      <c r="X333" s="136" t="e">
        <f ca="1">VLOOKUP(A333,'銀行-TSS'!A:AP,42,FALSE)</f>
        <v>#N/A</v>
      </c>
      <c r="Y333" s="1220">
        <f t="shared" si="230"/>
        <v>0</v>
      </c>
      <c r="Z333" s="1220">
        <f t="shared" si="231"/>
        <v>0</v>
      </c>
      <c r="AA333" s="136">
        <f>IF(Z333&lt;=0,0,RANK(Z333,Z:Z)+COUNTIF($Z$3:$Z333,Z333)-1)</f>
        <v>0</v>
      </c>
      <c r="AB333" s="1211">
        <f t="shared" ca="1" si="232"/>
        <v>-14896.14</v>
      </c>
      <c r="AC333" s="136">
        <f ca="1">IF(AB333&lt;=0,0,RANK(AB333,AB:AB)+COUNTIF($AB$3:$AB333,AB333)-1)</f>
        <v>0</v>
      </c>
      <c r="AD333" s="1123">
        <f t="shared" si="233"/>
        <v>99999</v>
      </c>
      <c r="AE333" s="1123">
        <f>IF(AD333=99999,0,RANK(AD333,AD:AD,1)+COUNTIF($AD$3:$AD333,AD333)-1)</f>
        <v>0</v>
      </c>
      <c r="AF333" s="86" t="e">
        <f ca="1">IF(OR(M333&lt;&gt;"",L333="無",K333="高資產",IFERROR(MATCH(B333,換券單檔!K:K,0),"N")&lt;&gt;"N"),FALSE,TRUE)</f>
        <v>#N/A</v>
      </c>
      <c r="AI333" s="1212" t="e">
        <f t="shared" ca="1" si="234"/>
        <v>#N/A</v>
      </c>
      <c r="AJ333" s="1213" t="e">
        <f t="shared" ca="1" si="235"/>
        <v>#N/A</v>
      </c>
      <c r="AK333" s="1587">
        <f t="shared" si="236"/>
        <v>0</v>
      </c>
      <c r="AN333" s="1212" t="e">
        <f t="shared" ca="1" si="237"/>
        <v>#N/A</v>
      </c>
      <c r="AO333" s="1213" t="e">
        <f t="shared" ca="1" si="238"/>
        <v>#N/A</v>
      </c>
      <c r="AP333" s="1587">
        <f t="shared" si="239"/>
        <v>0</v>
      </c>
      <c r="AS333" s="1212" t="e">
        <f t="shared" ca="1" si="240"/>
        <v>#N/A</v>
      </c>
      <c r="AT333" s="1213" t="e">
        <f t="shared" ca="1" si="241"/>
        <v>#N/A</v>
      </c>
      <c r="AU333" s="1587">
        <f t="shared" si="242"/>
        <v>0</v>
      </c>
      <c r="AX333" s="1212" t="e">
        <f t="shared" ca="1" si="243"/>
        <v>#N/A</v>
      </c>
      <c r="AY333" s="1213" t="e">
        <f t="shared" ca="1" si="244"/>
        <v>#N/A</v>
      </c>
      <c r="AZ333" s="1587">
        <f t="shared" si="245"/>
        <v>0</v>
      </c>
      <c r="BC333" s="1212" t="e">
        <f t="shared" ca="1" si="246"/>
        <v>#N/A</v>
      </c>
      <c r="BD333" s="1213" t="e">
        <f t="shared" ca="1" si="247"/>
        <v>#N/A</v>
      </c>
      <c r="BE333" s="1587">
        <f t="shared" si="248"/>
        <v>0</v>
      </c>
      <c r="BH333" s="1212" t="e">
        <f t="shared" ca="1" si="249"/>
        <v>#N/A</v>
      </c>
      <c r="BI333" s="1213" t="e">
        <f t="shared" ca="1" si="250"/>
        <v>#N/A</v>
      </c>
      <c r="BJ333" s="1587">
        <f t="shared" si="251"/>
        <v>0</v>
      </c>
      <c r="BM333" s="1212" t="e">
        <f t="shared" ca="1" si="252"/>
        <v>#N/A</v>
      </c>
      <c r="BN333" s="1213" t="e">
        <f t="shared" ca="1" si="253"/>
        <v>#N/A</v>
      </c>
      <c r="BO333" s="1587">
        <f t="shared" si="254"/>
        <v>0</v>
      </c>
      <c r="BR333" s="1212" t="e">
        <f t="shared" ca="1" si="255"/>
        <v>#N/A</v>
      </c>
      <c r="BS333" s="1213" t="e">
        <f t="shared" ca="1" si="256"/>
        <v>#N/A</v>
      </c>
      <c r="BT333" s="1587">
        <f t="shared" si="257"/>
        <v>0</v>
      </c>
      <c r="BW333" s="1212" t="e">
        <f t="shared" ca="1" si="258"/>
        <v>#N/A</v>
      </c>
      <c r="BX333" s="1213" t="e">
        <f t="shared" ca="1" si="259"/>
        <v>#N/A</v>
      </c>
      <c r="BY333" s="1587">
        <f t="shared" si="260"/>
        <v>0</v>
      </c>
      <c r="CB333" s="1212" t="e">
        <f t="shared" ca="1" si="261"/>
        <v>#N/A</v>
      </c>
      <c r="CC333" s="1213" t="e">
        <f t="shared" ca="1" si="262"/>
        <v>#N/A</v>
      </c>
      <c r="CD333" s="1587">
        <f t="shared" si="263"/>
        <v>0</v>
      </c>
      <c r="CG333" s="1212" t="e">
        <f t="shared" ca="1" si="264"/>
        <v>#N/A</v>
      </c>
      <c r="CH333" s="1213" t="e">
        <f t="shared" ca="1" si="265"/>
        <v>#N/A</v>
      </c>
      <c r="CI333" s="1587">
        <f t="shared" si="266"/>
        <v>0</v>
      </c>
      <c r="CL333" s="1212" t="e">
        <f t="shared" ca="1" si="267"/>
        <v>#N/A</v>
      </c>
      <c r="CM333" s="1213" t="e">
        <f t="shared" ca="1" si="268"/>
        <v>#N/A</v>
      </c>
      <c r="CN333" s="1587">
        <f t="shared" si="269"/>
        <v>0</v>
      </c>
    </row>
    <row r="334" spans="1:92">
      <c r="A334" s="141">
        <f>'銀行-TSS'!A334</f>
        <v>0</v>
      </c>
      <c r="B334" s="151">
        <f ca="1">VLOOKUP(A334,'銀行-TSS'!A:B,2,FALSE)</f>
        <v>0</v>
      </c>
      <c r="C334" s="151" t="e">
        <f ca="1">VLOOKUP(B334,bond!B:C,2,FALSE)</f>
        <v>#N/A</v>
      </c>
      <c r="D334" s="95" t="e">
        <f>VLOOKUP(A334,'銀行-TSS'!A:C,3,FALSE)</f>
        <v>#N/A</v>
      </c>
      <c r="E334" s="90" t="e">
        <f ca="1">VLOOKUP(A334,'銀行-TSS'!A:G,7,FALSE)</f>
        <v>#N/A</v>
      </c>
      <c r="F334" s="202" t="e">
        <f ca="1">VLOOKUP(A334,'銀行-TSS'!A:H,8,FALSE)</f>
        <v>#N/A</v>
      </c>
      <c r="G334" s="96" t="e">
        <f ca="1">VLOOKUP(A334,'銀行-TSS'!A:K,11,FALSE)</f>
        <v>#N/A</v>
      </c>
      <c r="H334" s="1209" t="e">
        <f ca="1">VLOOKUP(A334,'銀行-TSS'!A:M,13,FALSE)</f>
        <v>#N/A</v>
      </c>
      <c r="I334" s="1213" t="e">
        <f ca="1">VLOOKUP(A334,'銀行-TSS'!A:N,14,FALSE)</f>
        <v>#N/A</v>
      </c>
      <c r="J334" s="1213" t="e">
        <f ca="1">VLOOKUP(A334,'銀行-TSS'!A:O,15,FALSE)</f>
        <v>#N/A</v>
      </c>
      <c r="K334" s="136" t="e">
        <f ca="1">VLOOKUP(A334,'銀行-TSS'!A:V,22,FALSE)</f>
        <v>#N/A</v>
      </c>
      <c r="L334" s="136" t="e">
        <f ca="1">VLOOKUP(A334,'銀行-TSS'!A:AK,37,FALSE)</f>
        <v>#N/A</v>
      </c>
      <c r="M334" s="136" t="str">
        <f ca="1">VLOOKUP(A334,'銀行-TSS'!A:AN,40,FALSE)</f>
        <v/>
      </c>
      <c r="N334" s="136" t="e">
        <f t="shared" ca="1" si="225"/>
        <v>#N/A</v>
      </c>
      <c r="O334" s="1213" t="e">
        <f t="shared" ca="1" si="226"/>
        <v>#N/A</v>
      </c>
      <c r="P334" s="1213" t="e">
        <f ca="1">IF(AND($O$1&gt;=O334,換券單檔!$D$13=D334),I334+INT(($O$1-O334)/N334)*J334,0)</f>
        <v>#N/A</v>
      </c>
      <c r="Q334" s="1213" t="e">
        <f t="shared" ca="1" si="227"/>
        <v>#N/A</v>
      </c>
      <c r="R334" s="1213">
        <f t="shared" si="228"/>
        <v>0</v>
      </c>
      <c r="S334" s="1213">
        <f t="shared" si="229"/>
        <v>0</v>
      </c>
      <c r="T334" s="136">
        <f>IF(OR(R334=0,A334=0),0,IF(AND(V334=TRUE,換券單檔!$D$13=D334),E334,0))</f>
        <v>0</v>
      </c>
      <c r="U334" s="861">
        <f>IF(OR(R334=0,A334=0),0,IF(AND(V334=TRUE,換券單檔!$D$13=D334),H334,0))</f>
        <v>0</v>
      </c>
      <c r="V334" s="136" t="e">
        <f ca="1">IF(OR(B334=換券單檔!$D$3,L334="無",M334&lt;&gt;"",K334="高資產",IFERROR(MATCH(B334,換券單檔!K:K,0),"N")&lt;&gt;"N"),FALSE,IF($V$1="All",TRUE,IF(K334=$V$1,TRUE,FALSE)))</f>
        <v>#N/A</v>
      </c>
      <c r="W334" s="136" t="e">
        <f ca="1">VLOOKUP(A334,'銀行-TSS'!A:AO,41,FALSE)</f>
        <v>#N/A</v>
      </c>
      <c r="X334" s="136" t="e">
        <f ca="1">VLOOKUP(A334,'銀行-TSS'!A:AP,42,FALSE)</f>
        <v>#N/A</v>
      </c>
      <c r="Y334" s="1220">
        <f t="shared" si="230"/>
        <v>0</v>
      </c>
      <c r="Z334" s="1220">
        <f t="shared" si="231"/>
        <v>0</v>
      </c>
      <c r="AA334" s="136">
        <f>IF(Z334&lt;=0,0,RANK(Z334,Z:Z)+COUNTIF($Z$3:$Z334,Z334)-1)</f>
        <v>0</v>
      </c>
      <c r="AB334" s="1211">
        <f t="shared" ca="1" si="232"/>
        <v>-14896.14</v>
      </c>
      <c r="AC334" s="136">
        <f ca="1">IF(AB334&lt;=0,0,RANK(AB334,AB:AB)+COUNTIF($AB$3:$AB334,AB334)-1)</f>
        <v>0</v>
      </c>
      <c r="AD334" s="1123">
        <f t="shared" si="233"/>
        <v>99999</v>
      </c>
      <c r="AE334" s="1123">
        <f>IF(AD334=99999,0,RANK(AD334,AD:AD,1)+COUNTIF($AD$3:$AD334,AD334)-1)</f>
        <v>0</v>
      </c>
      <c r="AF334" s="86" t="e">
        <f ca="1">IF(OR(M334&lt;&gt;"",L334="無",K334="高資產",IFERROR(MATCH(B334,換券單檔!K:K,0),"N")&lt;&gt;"N"),FALSE,TRUE)</f>
        <v>#N/A</v>
      </c>
      <c r="AI334" s="1212" t="e">
        <f t="shared" ca="1" si="234"/>
        <v>#N/A</v>
      </c>
      <c r="AJ334" s="1213" t="e">
        <f t="shared" ca="1" si="235"/>
        <v>#N/A</v>
      </c>
      <c r="AK334" s="1587">
        <f t="shared" si="236"/>
        <v>0</v>
      </c>
      <c r="AN334" s="1212" t="e">
        <f t="shared" ca="1" si="237"/>
        <v>#N/A</v>
      </c>
      <c r="AO334" s="1213" t="e">
        <f t="shared" ca="1" si="238"/>
        <v>#N/A</v>
      </c>
      <c r="AP334" s="1587">
        <f t="shared" si="239"/>
        <v>0</v>
      </c>
      <c r="AS334" s="1212" t="e">
        <f t="shared" ca="1" si="240"/>
        <v>#N/A</v>
      </c>
      <c r="AT334" s="1213" t="e">
        <f t="shared" ca="1" si="241"/>
        <v>#N/A</v>
      </c>
      <c r="AU334" s="1587">
        <f t="shared" si="242"/>
        <v>0</v>
      </c>
      <c r="AX334" s="1212" t="e">
        <f t="shared" ca="1" si="243"/>
        <v>#N/A</v>
      </c>
      <c r="AY334" s="1213" t="e">
        <f t="shared" ca="1" si="244"/>
        <v>#N/A</v>
      </c>
      <c r="AZ334" s="1587">
        <f t="shared" si="245"/>
        <v>0</v>
      </c>
      <c r="BC334" s="1212" t="e">
        <f t="shared" ca="1" si="246"/>
        <v>#N/A</v>
      </c>
      <c r="BD334" s="1213" t="e">
        <f t="shared" ca="1" si="247"/>
        <v>#N/A</v>
      </c>
      <c r="BE334" s="1587">
        <f t="shared" si="248"/>
        <v>0</v>
      </c>
      <c r="BH334" s="1212" t="e">
        <f t="shared" ca="1" si="249"/>
        <v>#N/A</v>
      </c>
      <c r="BI334" s="1213" t="e">
        <f t="shared" ca="1" si="250"/>
        <v>#N/A</v>
      </c>
      <c r="BJ334" s="1587">
        <f t="shared" si="251"/>
        <v>0</v>
      </c>
      <c r="BM334" s="1212" t="e">
        <f t="shared" ca="1" si="252"/>
        <v>#N/A</v>
      </c>
      <c r="BN334" s="1213" t="e">
        <f t="shared" ca="1" si="253"/>
        <v>#N/A</v>
      </c>
      <c r="BO334" s="1587">
        <f t="shared" si="254"/>
        <v>0</v>
      </c>
      <c r="BR334" s="1212" t="e">
        <f t="shared" ca="1" si="255"/>
        <v>#N/A</v>
      </c>
      <c r="BS334" s="1213" t="e">
        <f t="shared" ca="1" si="256"/>
        <v>#N/A</v>
      </c>
      <c r="BT334" s="1587">
        <f t="shared" si="257"/>
        <v>0</v>
      </c>
      <c r="BW334" s="1212" t="e">
        <f t="shared" ca="1" si="258"/>
        <v>#N/A</v>
      </c>
      <c r="BX334" s="1213" t="e">
        <f t="shared" ca="1" si="259"/>
        <v>#N/A</v>
      </c>
      <c r="BY334" s="1587">
        <f t="shared" si="260"/>
        <v>0</v>
      </c>
      <c r="CB334" s="1212" t="e">
        <f t="shared" ca="1" si="261"/>
        <v>#N/A</v>
      </c>
      <c r="CC334" s="1213" t="e">
        <f t="shared" ca="1" si="262"/>
        <v>#N/A</v>
      </c>
      <c r="CD334" s="1587">
        <f t="shared" si="263"/>
        <v>0</v>
      </c>
      <c r="CG334" s="1212" t="e">
        <f t="shared" ca="1" si="264"/>
        <v>#N/A</v>
      </c>
      <c r="CH334" s="1213" t="e">
        <f t="shared" ca="1" si="265"/>
        <v>#N/A</v>
      </c>
      <c r="CI334" s="1587">
        <f t="shared" si="266"/>
        <v>0</v>
      </c>
      <c r="CL334" s="1212" t="e">
        <f t="shared" ca="1" si="267"/>
        <v>#N/A</v>
      </c>
      <c r="CM334" s="1213" t="e">
        <f t="shared" ca="1" si="268"/>
        <v>#N/A</v>
      </c>
      <c r="CN334" s="1587">
        <f t="shared" si="269"/>
        <v>0</v>
      </c>
    </row>
    <row r="335" spans="1:92">
      <c r="A335" s="141">
        <f>'銀行-TSS'!A335</f>
        <v>0</v>
      </c>
      <c r="B335" s="151">
        <f ca="1">VLOOKUP(A335,'銀行-TSS'!A:B,2,FALSE)</f>
        <v>0</v>
      </c>
      <c r="C335" s="151" t="e">
        <f ca="1">VLOOKUP(B335,bond!B:C,2,FALSE)</f>
        <v>#N/A</v>
      </c>
      <c r="D335" s="95" t="e">
        <f>VLOOKUP(A335,'銀行-TSS'!A:C,3,FALSE)</f>
        <v>#N/A</v>
      </c>
      <c r="E335" s="90" t="e">
        <f ca="1">VLOOKUP(A335,'銀行-TSS'!A:G,7,FALSE)</f>
        <v>#N/A</v>
      </c>
      <c r="F335" s="202" t="e">
        <f ca="1">VLOOKUP(A335,'銀行-TSS'!A:H,8,FALSE)</f>
        <v>#N/A</v>
      </c>
      <c r="G335" s="96" t="e">
        <f ca="1">VLOOKUP(A335,'銀行-TSS'!A:K,11,FALSE)</f>
        <v>#N/A</v>
      </c>
      <c r="H335" s="1209" t="e">
        <f ca="1">VLOOKUP(A335,'銀行-TSS'!A:M,13,FALSE)</f>
        <v>#N/A</v>
      </c>
      <c r="I335" s="1213" t="e">
        <f ca="1">VLOOKUP(A335,'銀行-TSS'!A:N,14,FALSE)</f>
        <v>#N/A</v>
      </c>
      <c r="J335" s="1213" t="e">
        <f ca="1">VLOOKUP(A335,'銀行-TSS'!A:O,15,FALSE)</f>
        <v>#N/A</v>
      </c>
      <c r="K335" s="136" t="e">
        <f ca="1">VLOOKUP(A335,'銀行-TSS'!A:V,22,FALSE)</f>
        <v>#N/A</v>
      </c>
      <c r="L335" s="136" t="e">
        <f ca="1">VLOOKUP(A335,'銀行-TSS'!A:AK,37,FALSE)</f>
        <v>#N/A</v>
      </c>
      <c r="M335" s="136" t="str">
        <f ca="1">VLOOKUP(A335,'銀行-TSS'!A:AN,40,FALSE)</f>
        <v/>
      </c>
      <c r="N335" s="136" t="e">
        <f t="shared" ca="1" si="225"/>
        <v>#N/A</v>
      </c>
      <c r="O335" s="1213" t="e">
        <f t="shared" ca="1" si="226"/>
        <v>#N/A</v>
      </c>
      <c r="P335" s="1213" t="e">
        <f ca="1">IF(AND($O$1&gt;=O335,換券單檔!$D$13=D335),I335+INT(($O$1-O335)/N335)*J335,0)</f>
        <v>#N/A</v>
      </c>
      <c r="Q335" s="1213" t="e">
        <f t="shared" ca="1" si="227"/>
        <v>#N/A</v>
      </c>
      <c r="R335" s="1213">
        <f t="shared" si="228"/>
        <v>0</v>
      </c>
      <c r="S335" s="1213">
        <f t="shared" si="229"/>
        <v>0</v>
      </c>
      <c r="T335" s="136">
        <f>IF(OR(R335=0,A335=0),0,IF(AND(V335=TRUE,換券單檔!$D$13=D335),E335,0))</f>
        <v>0</v>
      </c>
      <c r="U335" s="861">
        <f>IF(OR(R335=0,A335=0),0,IF(AND(V335=TRUE,換券單檔!$D$13=D335),H335,0))</f>
        <v>0</v>
      </c>
      <c r="V335" s="136" t="e">
        <f ca="1">IF(OR(B335=換券單檔!$D$3,L335="無",M335&lt;&gt;"",K335="高資產",IFERROR(MATCH(B335,換券單檔!K:K,0),"N")&lt;&gt;"N"),FALSE,IF($V$1="All",TRUE,IF(K335=$V$1,TRUE,FALSE)))</f>
        <v>#N/A</v>
      </c>
      <c r="W335" s="136" t="e">
        <f ca="1">VLOOKUP(A335,'銀行-TSS'!A:AO,41,FALSE)</f>
        <v>#N/A</v>
      </c>
      <c r="X335" s="136" t="e">
        <f ca="1">VLOOKUP(A335,'銀行-TSS'!A:AP,42,FALSE)</f>
        <v>#N/A</v>
      </c>
      <c r="Y335" s="1220">
        <f t="shared" si="230"/>
        <v>0</v>
      </c>
      <c r="Z335" s="1220">
        <f t="shared" si="231"/>
        <v>0</v>
      </c>
      <c r="AA335" s="136">
        <f>IF(Z335&lt;=0,0,RANK(Z335,Z:Z)+COUNTIF($Z$3:$Z335,Z335)-1)</f>
        <v>0</v>
      </c>
      <c r="AB335" s="1211">
        <f t="shared" ca="1" si="232"/>
        <v>-14896.14</v>
      </c>
      <c r="AC335" s="136">
        <f ca="1">IF(AB335&lt;=0,0,RANK(AB335,AB:AB)+COUNTIF($AB$3:$AB335,AB335)-1)</f>
        <v>0</v>
      </c>
      <c r="AD335" s="1123">
        <f t="shared" si="233"/>
        <v>99999</v>
      </c>
      <c r="AE335" s="1123">
        <f>IF(AD335=99999,0,RANK(AD335,AD:AD,1)+COUNTIF($AD$3:$AD335,AD335)-1)</f>
        <v>0</v>
      </c>
      <c r="AF335" s="86" t="e">
        <f ca="1">IF(OR(M335&lt;&gt;"",L335="無",K335="高資產",IFERROR(MATCH(B335,換券單檔!K:K,0),"N")&lt;&gt;"N"),FALSE,TRUE)</f>
        <v>#N/A</v>
      </c>
      <c r="AI335" s="1212" t="e">
        <f t="shared" ca="1" si="234"/>
        <v>#N/A</v>
      </c>
      <c r="AJ335" s="1213" t="e">
        <f t="shared" ca="1" si="235"/>
        <v>#N/A</v>
      </c>
      <c r="AK335" s="1587">
        <f t="shared" si="236"/>
        <v>0</v>
      </c>
      <c r="AN335" s="1212" t="e">
        <f t="shared" ca="1" si="237"/>
        <v>#N/A</v>
      </c>
      <c r="AO335" s="1213" t="e">
        <f t="shared" ca="1" si="238"/>
        <v>#N/A</v>
      </c>
      <c r="AP335" s="1587">
        <f t="shared" si="239"/>
        <v>0</v>
      </c>
      <c r="AS335" s="1212" t="e">
        <f t="shared" ca="1" si="240"/>
        <v>#N/A</v>
      </c>
      <c r="AT335" s="1213" t="e">
        <f t="shared" ca="1" si="241"/>
        <v>#N/A</v>
      </c>
      <c r="AU335" s="1587">
        <f t="shared" si="242"/>
        <v>0</v>
      </c>
      <c r="AX335" s="1212" t="e">
        <f t="shared" ca="1" si="243"/>
        <v>#N/A</v>
      </c>
      <c r="AY335" s="1213" t="e">
        <f t="shared" ca="1" si="244"/>
        <v>#N/A</v>
      </c>
      <c r="AZ335" s="1587">
        <f t="shared" si="245"/>
        <v>0</v>
      </c>
      <c r="BC335" s="1212" t="e">
        <f t="shared" ca="1" si="246"/>
        <v>#N/A</v>
      </c>
      <c r="BD335" s="1213" t="e">
        <f t="shared" ca="1" si="247"/>
        <v>#N/A</v>
      </c>
      <c r="BE335" s="1587">
        <f t="shared" si="248"/>
        <v>0</v>
      </c>
      <c r="BH335" s="1212" t="e">
        <f t="shared" ca="1" si="249"/>
        <v>#N/A</v>
      </c>
      <c r="BI335" s="1213" t="e">
        <f t="shared" ca="1" si="250"/>
        <v>#N/A</v>
      </c>
      <c r="BJ335" s="1587">
        <f t="shared" si="251"/>
        <v>0</v>
      </c>
      <c r="BM335" s="1212" t="e">
        <f t="shared" ca="1" si="252"/>
        <v>#N/A</v>
      </c>
      <c r="BN335" s="1213" t="e">
        <f t="shared" ca="1" si="253"/>
        <v>#N/A</v>
      </c>
      <c r="BO335" s="1587">
        <f t="shared" si="254"/>
        <v>0</v>
      </c>
      <c r="BR335" s="1212" t="e">
        <f t="shared" ca="1" si="255"/>
        <v>#N/A</v>
      </c>
      <c r="BS335" s="1213" t="e">
        <f t="shared" ca="1" si="256"/>
        <v>#N/A</v>
      </c>
      <c r="BT335" s="1587">
        <f t="shared" si="257"/>
        <v>0</v>
      </c>
      <c r="BW335" s="1212" t="e">
        <f t="shared" ca="1" si="258"/>
        <v>#N/A</v>
      </c>
      <c r="BX335" s="1213" t="e">
        <f t="shared" ca="1" si="259"/>
        <v>#N/A</v>
      </c>
      <c r="BY335" s="1587">
        <f t="shared" si="260"/>
        <v>0</v>
      </c>
      <c r="CB335" s="1212" t="e">
        <f t="shared" ca="1" si="261"/>
        <v>#N/A</v>
      </c>
      <c r="CC335" s="1213" t="e">
        <f t="shared" ca="1" si="262"/>
        <v>#N/A</v>
      </c>
      <c r="CD335" s="1587">
        <f t="shared" si="263"/>
        <v>0</v>
      </c>
      <c r="CG335" s="1212" t="e">
        <f t="shared" ca="1" si="264"/>
        <v>#N/A</v>
      </c>
      <c r="CH335" s="1213" t="e">
        <f t="shared" ca="1" si="265"/>
        <v>#N/A</v>
      </c>
      <c r="CI335" s="1587">
        <f t="shared" si="266"/>
        <v>0</v>
      </c>
      <c r="CL335" s="1212" t="e">
        <f t="shared" ca="1" si="267"/>
        <v>#N/A</v>
      </c>
      <c r="CM335" s="1213" t="e">
        <f t="shared" ca="1" si="268"/>
        <v>#N/A</v>
      </c>
      <c r="CN335" s="1587">
        <f t="shared" si="269"/>
        <v>0</v>
      </c>
    </row>
    <row r="336" spans="1:92">
      <c r="A336" s="141">
        <f>'銀行-TSS'!A336</f>
        <v>0</v>
      </c>
      <c r="B336" s="151">
        <f ca="1">VLOOKUP(A336,'銀行-TSS'!A:B,2,FALSE)</f>
        <v>0</v>
      </c>
      <c r="C336" s="151" t="e">
        <f ca="1">VLOOKUP(B336,bond!B:C,2,FALSE)</f>
        <v>#N/A</v>
      </c>
      <c r="D336" s="95" t="e">
        <f>VLOOKUP(A336,'銀行-TSS'!A:C,3,FALSE)</f>
        <v>#N/A</v>
      </c>
      <c r="E336" s="90" t="e">
        <f ca="1">VLOOKUP(A336,'銀行-TSS'!A:G,7,FALSE)</f>
        <v>#N/A</v>
      </c>
      <c r="F336" s="202" t="e">
        <f ca="1">VLOOKUP(A336,'銀行-TSS'!A:H,8,FALSE)</f>
        <v>#N/A</v>
      </c>
      <c r="G336" s="96" t="e">
        <f ca="1">VLOOKUP(A336,'銀行-TSS'!A:K,11,FALSE)</f>
        <v>#N/A</v>
      </c>
      <c r="H336" s="1209" t="e">
        <f ca="1">VLOOKUP(A336,'銀行-TSS'!A:M,13,FALSE)</f>
        <v>#N/A</v>
      </c>
      <c r="I336" s="1213" t="e">
        <f ca="1">VLOOKUP(A336,'銀行-TSS'!A:N,14,FALSE)</f>
        <v>#N/A</v>
      </c>
      <c r="J336" s="1213" t="e">
        <f ca="1">VLOOKUP(A336,'銀行-TSS'!A:O,15,FALSE)</f>
        <v>#N/A</v>
      </c>
      <c r="K336" s="136" t="e">
        <f ca="1">VLOOKUP(A336,'銀行-TSS'!A:V,22,FALSE)</f>
        <v>#N/A</v>
      </c>
      <c r="L336" s="136" t="e">
        <f ca="1">VLOOKUP(A336,'銀行-TSS'!A:AK,37,FALSE)</f>
        <v>#N/A</v>
      </c>
      <c r="M336" s="136" t="str">
        <f ca="1">VLOOKUP(A336,'銀行-TSS'!A:AN,40,FALSE)</f>
        <v/>
      </c>
      <c r="N336" s="136" t="e">
        <f t="shared" ca="1" si="225"/>
        <v>#N/A</v>
      </c>
      <c r="O336" s="1213" t="e">
        <f t="shared" ca="1" si="226"/>
        <v>#N/A</v>
      </c>
      <c r="P336" s="1213" t="e">
        <f ca="1">IF(AND($O$1&gt;=O336,換券單檔!$D$13=D336),I336+INT(($O$1-O336)/N336)*J336,0)</f>
        <v>#N/A</v>
      </c>
      <c r="Q336" s="1213" t="e">
        <f t="shared" ca="1" si="227"/>
        <v>#N/A</v>
      </c>
      <c r="R336" s="1213">
        <f t="shared" si="228"/>
        <v>0</v>
      </c>
      <c r="S336" s="1213">
        <f t="shared" si="229"/>
        <v>0</v>
      </c>
      <c r="T336" s="136">
        <f>IF(OR(R336=0,A336=0),0,IF(AND(V336=TRUE,換券單檔!$D$13=D336),E336,0))</f>
        <v>0</v>
      </c>
      <c r="U336" s="861">
        <f>IF(OR(R336=0,A336=0),0,IF(AND(V336=TRUE,換券單檔!$D$13=D336),H336,0))</f>
        <v>0</v>
      </c>
      <c r="V336" s="136" t="e">
        <f ca="1">IF(OR(B336=換券單檔!$D$3,L336="無",M336&lt;&gt;"",K336="高資產",IFERROR(MATCH(B336,換券單檔!K:K,0),"N")&lt;&gt;"N"),FALSE,IF($V$1="All",TRUE,IF(K336=$V$1,TRUE,FALSE)))</f>
        <v>#N/A</v>
      </c>
      <c r="W336" s="136" t="e">
        <f ca="1">VLOOKUP(A336,'銀行-TSS'!A:AO,41,FALSE)</f>
        <v>#N/A</v>
      </c>
      <c r="X336" s="136" t="e">
        <f ca="1">VLOOKUP(A336,'銀行-TSS'!A:AP,42,FALSE)</f>
        <v>#N/A</v>
      </c>
      <c r="Y336" s="1220">
        <f t="shared" si="230"/>
        <v>0</v>
      </c>
      <c r="Z336" s="1220">
        <f t="shared" si="231"/>
        <v>0</v>
      </c>
      <c r="AA336" s="136">
        <f>IF(Z336&lt;=0,0,RANK(Z336,Z:Z)+COUNTIF($Z$3:$Z336,Z336)-1)</f>
        <v>0</v>
      </c>
      <c r="AB336" s="1211">
        <f t="shared" ca="1" si="232"/>
        <v>-14896.14</v>
      </c>
      <c r="AC336" s="136">
        <f ca="1">IF(AB336&lt;=0,0,RANK(AB336,AB:AB)+COUNTIF($AB$3:$AB336,AB336)-1)</f>
        <v>0</v>
      </c>
      <c r="AD336" s="1123">
        <f t="shared" si="233"/>
        <v>99999</v>
      </c>
      <c r="AE336" s="1123">
        <f>IF(AD336=99999,0,RANK(AD336,AD:AD,1)+COUNTIF($AD$3:$AD336,AD336)-1)</f>
        <v>0</v>
      </c>
      <c r="AF336" s="86" t="e">
        <f ca="1">IF(OR(M336&lt;&gt;"",L336="無",K336="高資產",IFERROR(MATCH(B336,換券單檔!K:K,0),"N")&lt;&gt;"N"),FALSE,TRUE)</f>
        <v>#N/A</v>
      </c>
      <c r="AI336" s="1212" t="e">
        <f t="shared" ca="1" si="234"/>
        <v>#N/A</v>
      </c>
      <c r="AJ336" s="1213" t="e">
        <f t="shared" ca="1" si="235"/>
        <v>#N/A</v>
      </c>
      <c r="AK336" s="1587">
        <f t="shared" si="236"/>
        <v>0</v>
      </c>
      <c r="AN336" s="1212" t="e">
        <f t="shared" ca="1" si="237"/>
        <v>#N/A</v>
      </c>
      <c r="AO336" s="1213" t="e">
        <f t="shared" ca="1" si="238"/>
        <v>#N/A</v>
      </c>
      <c r="AP336" s="1587">
        <f t="shared" si="239"/>
        <v>0</v>
      </c>
      <c r="AS336" s="1212" t="e">
        <f t="shared" ca="1" si="240"/>
        <v>#N/A</v>
      </c>
      <c r="AT336" s="1213" t="e">
        <f t="shared" ca="1" si="241"/>
        <v>#N/A</v>
      </c>
      <c r="AU336" s="1587">
        <f t="shared" si="242"/>
        <v>0</v>
      </c>
      <c r="AX336" s="1212" t="e">
        <f t="shared" ca="1" si="243"/>
        <v>#N/A</v>
      </c>
      <c r="AY336" s="1213" t="e">
        <f t="shared" ca="1" si="244"/>
        <v>#N/A</v>
      </c>
      <c r="AZ336" s="1587">
        <f t="shared" si="245"/>
        <v>0</v>
      </c>
      <c r="BC336" s="1212" t="e">
        <f t="shared" ca="1" si="246"/>
        <v>#N/A</v>
      </c>
      <c r="BD336" s="1213" t="e">
        <f t="shared" ca="1" si="247"/>
        <v>#N/A</v>
      </c>
      <c r="BE336" s="1587">
        <f t="shared" si="248"/>
        <v>0</v>
      </c>
      <c r="BH336" s="1212" t="e">
        <f t="shared" ca="1" si="249"/>
        <v>#N/A</v>
      </c>
      <c r="BI336" s="1213" t="e">
        <f t="shared" ca="1" si="250"/>
        <v>#N/A</v>
      </c>
      <c r="BJ336" s="1587">
        <f t="shared" si="251"/>
        <v>0</v>
      </c>
      <c r="BM336" s="1212" t="e">
        <f t="shared" ca="1" si="252"/>
        <v>#N/A</v>
      </c>
      <c r="BN336" s="1213" t="e">
        <f t="shared" ca="1" si="253"/>
        <v>#N/A</v>
      </c>
      <c r="BO336" s="1587">
        <f t="shared" si="254"/>
        <v>0</v>
      </c>
      <c r="BR336" s="1212" t="e">
        <f t="shared" ca="1" si="255"/>
        <v>#N/A</v>
      </c>
      <c r="BS336" s="1213" t="e">
        <f t="shared" ca="1" si="256"/>
        <v>#N/A</v>
      </c>
      <c r="BT336" s="1587">
        <f t="shared" si="257"/>
        <v>0</v>
      </c>
      <c r="BW336" s="1212" t="e">
        <f t="shared" ca="1" si="258"/>
        <v>#N/A</v>
      </c>
      <c r="BX336" s="1213" t="e">
        <f t="shared" ca="1" si="259"/>
        <v>#N/A</v>
      </c>
      <c r="BY336" s="1587">
        <f t="shared" si="260"/>
        <v>0</v>
      </c>
      <c r="CB336" s="1212" t="e">
        <f t="shared" ca="1" si="261"/>
        <v>#N/A</v>
      </c>
      <c r="CC336" s="1213" t="e">
        <f t="shared" ca="1" si="262"/>
        <v>#N/A</v>
      </c>
      <c r="CD336" s="1587">
        <f t="shared" si="263"/>
        <v>0</v>
      </c>
      <c r="CG336" s="1212" t="e">
        <f t="shared" ca="1" si="264"/>
        <v>#N/A</v>
      </c>
      <c r="CH336" s="1213" t="e">
        <f t="shared" ca="1" si="265"/>
        <v>#N/A</v>
      </c>
      <c r="CI336" s="1587">
        <f t="shared" si="266"/>
        <v>0</v>
      </c>
      <c r="CL336" s="1212" t="e">
        <f t="shared" ca="1" si="267"/>
        <v>#N/A</v>
      </c>
      <c r="CM336" s="1213" t="e">
        <f t="shared" ca="1" si="268"/>
        <v>#N/A</v>
      </c>
      <c r="CN336" s="1587">
        <f t="shared" si="269"/>
        <v>0</v>
      </c>
    </row>
    <row r="337" spans="1:92">
      <c r="A337" s="141">
        <f>'銀行-TSS'!A337</f>
        <v>0</v>
      </c>
      <c r="B337" s="151">
        <f ca="1">VLOOKUP(A337,'銀行-TSS'!A:B,2,FALSE)</f>
        <v>0</v>
      </c>
      <c r="C337" s="151" t="e">
        <f ca="1">VLOOKUP(B337,bond!B:C,2,FALSE)</f>
        <v>#N/A</v>
      </c>
      <c r="D337" s="95" t="e">
        <f>VLOOKUP(A337,'銀行-TSS'!A:C,3,FALSE)</f>
        <v>#N/A</v>
      </c>
      <c r="E337" s="90" t="e">
        <f ca="1">VLOOKUP(A337,'銀行-TSS'!A:G,7,FALSE)</f>
        <v>#N/A</v>
      </c>
      <c r="F337" s="202" t="e">
        <f ca="1">VLOOKUP(A337,'銀行-TSS'!A:H,8,FALSE)</f>
        <v>#N/A</v>
      </c>
      <c r="G337" s="96" t="e">
        <f ca="1">VLOOKUP(A337,'銀行-TSS'!A:K,11,FALSE)</f>
        <v>#N/A</v>
      </c>
      <c r="H337" s="1209" t="e">
        <f ca="1">VLOOKUP(A337,'銀行-TSS'!A:M,13,FALSE)</f>
        <v>#N/A</v>
      </c>
      <c r="I337" s="1213" t="e">
        <f ca="1">VLOOKUP(A337,'銀行-TSS'!A:N,14,FALSE)</f>
        <v>#N/A</v>
      </c>
      <c r="J337" s="1213" t="e">
        <f ca="1">VLOOKUP(A337,'銀行-TSS'!A:O,15,FALSE)</f>
        <v>#N/A</v>
      </c>
      <c r="K337" s="136" t="e">
        <f ca="1">VLOOKUP(A337,'銀行-TSS'!A:V,22,FALSE)</f>
        <v>#N/A</v>
      </c>
      <c r="L337" s="136" t="e">
        <f ca="1">VLOOKUP(A337,'銀行-TSS'!A:AK,37,FALSE)</f>
        <v>#N/A</v>
      </c>
      <c r="M337" s="136" t="str">
        <f ca="1">VLOOKUP(A337,'銀行-TSS'!A:AN,40,FALSE)</f>
        <v/>
      </c>
      <c r="N337" s="136" t="e">
        <f t="shared" ca="1" si="225"/>
        <v>#N/A</v>
      </c>
      <c r="O337" s="1213" t="e">
        <f t="shared" ca="1" si="226"/>
        <v>#N/A</v>
      </c>
      <c r="P337" s="1213" t="e">
        <f ca="1">IF(AND($O$1&gt;=O337,換券單檔!$D$13=D337),I337+INT(($O$1-O337)/N337)*J337,0)</f>
        <v>#N/A</v>
      </c>
      <c r="Q337" s="1213" t="e">
        <f t="shared" ca="1" si="227"/>
        <v>#N/A</v>
      </c>
      <c r="R337" s="1213">
        <f t="shared" si="228"/>
        <v>0</v>
      </c>
      <c r="S337" s="1213">
        <f t="shared" si="229"/>
        <v>0</v>
      </c>
      <c r="T337" s="136">
        <f>IF(OR(R337=0,A337=0),0,IF(AND(V337=TRUE,換券單檔!$D$13=D337),E337,0))</f>
        <v>0</v>
      </c>
      <c r="U337" s="861">
        <f>IF(OR(R337=0,A337=0),0,IF(AND(V337=TRUE,換券單檔!$D$13=D337),H337,0))</f>
        <v>0</v>
      </c>
      <c r="V337" s="136" t="e">
        <f ca="1">IF(OR(B337=換券單檔!$D$3,L337="無",M337&lt;&gt;"",K337="高資產",IFERROR(MATCH(B337,換券單檔!K:K,0),"N")&lt;&gt;"N"),FALSE,IF($V$1="All",TRUE,IF(K337=$V$1,TRUE,FALSE)))</f>
        <v>#N/A</v>
      </c>
      <c r="W337" s="136" t="e">
        <f ca="1">VLOOKUP(A337,'銀行-TSS'!A:AO,41,FALSE)</f>
        <v>#N/A</v>
      </c>
      <c r="X337" s="136" t="e">
        <f ca="1">VLOOKUP(A337,'銀行-TSS'!A:AP,42,FALSE)</f>
        <v>#N/A</v>
      </c>
      <c r="Y337" s="1220">
        <f t="shared" si="230"/>
        <v>0</v>
      </c>
      <c r="Z337" s="1220">
        <f t="shared" si="231"/>
        <v>0</v>
      </c>
      <c r="AA337" s="136">
        <f>IF(Z337&lt;=0,0,RANK(Z337,Z:Z)+COUNTIF($Z$3:$Z337,Z337)-1)</f>
        <v>0</v>
      </c>
      <c r="AB337" s="1211">
        <f t="shared" ca="1" si="232"/>
        <v>-14896.14</v>
      </c>
      <c r="AC337" s="136">
        <f ca="1">IF(AB337&lt;=0,0,RANK(AB337,AB:AB)+COUNTIF($AB$3:$AB337,AB337)-1)</f>
        <v>0</v>
      </c>
      <c r="AD337" s="1123">
        <f t="shared" si="233"/>
        <v>99999</v>
      </c>
      <c r="AE337" s="1123">
        <f>IF(AD337=99999,0,RANK(AD337,AD:AD,1)+COUNTIF($AD$3:$AD337,AD337)-1)</f>
        <v>0</v>
      </c>
      <c r="AF337" s="86" t="e">
        <f ca="1">IF(OR(M337&lt;&gt;"",L337="無",K337="高資產",IFERROR(MATCH(B337,換券單檔!K:K,0),"N")&lt;&gt;"N"),FALSE,TRUE)</f>
        <v>#N/A</v>
      </c>
      <c r="AI337" s="1212" t="e">
        <f t="shared" ca="1" si="234"/>
        <v>#N/A</v>
      </c>
      <c r="AJ337" s="1213" t="e">
        <f t="shared" ca="1" si="235"/>
        <v>#N/A</v>
      </c>
      <c r="AK337" s="1587">
        <f t="shared" si="236"/>
        <v>0</v>
      </c>
      <c r="AN337" s="1212" t="e">
        <f t="shared" ca="1" si="237"/>
        <v>#N/A</v>
      </c>
      <c r="AO337" s="1213" t="e">
        <f t="shared" ca="1" si="238"/>
        <v>#N/A</v>
      </c>
      <c r="AP337" s="1587">
        <f t="shared" si="239"/>
        <v>0</v>
      </c>
      <c r="AS337" s="1212" t="e">
        <f t="shared" ca="1" si="240"/>
        <v>#N/A</v>
      </c>
      <c r="AT337" s="1213" t="e">
        <f t="shared" ca="1" si="241"/>
        <v>#N/A</v>
      </c>
      <c r="AU337" s="1587">
        <f t="shared" si="242"/>
        <v>0</v>
      </c>
      <c r="AX337" s="1212" t="e">
        <f t="shared" ca="1" si="243"/>
        <v>#N/A</v>
      </c>
      <c r="AY337" s="1213" t="e">
        <f t="shared" ca="1" si="244"/>
        <v>#N/A</v>
      </c>
      <c r="AZ337" s="1587">
        <f t="shared" si="245"/>
        <v>0</v>
      </c>
      <c r="BC337" s="1212" t="e">
        <f t="shared" ca="1" si="246"/>
        <v>#N/A</v>
      </c>
      <c r="BD337" s="1213" t="e">
        <f t="shared" ca="1" si="247"/>
        <v>#N/A</v>
      </c>
      <c r="BE337" s="1587">
        <f t="shared" si="248"/>
        <v>0</v>
      </c>
      <c r="BH337" s="1212" t="e">
        <f t="shared" ca="1" si="249"/>
        <v>#N/A</v>
      </c>
      <c r="BI337" s="1213" t="e">
        <f t="shared" ca="1" si="250"/>
        <v>#N/A</v>
      </c>
      <c r="BJ337" s="1587">
        <f t="shared" si="251"/>
        <v>0</v>
      </c>
      <c r="BM337" s="1212" t="e">
        <f t="shared" ca="1" si="252"/>
        <v>#N/A</v>
      </c>
      <c r="BN337" s="1213" t="e">
        <f t="shared" ca="1" si="253"/>
        <v>#N/A</v>
      </c>
      <c r="BO337" s="1587">
        <f t="shared" si="254"/>
        <v>0</v>
      </c>
      <c r="BR337" s="1212" t="e">
        <f t="shared" ca="1" si="255"/>
        <v>#N/A</v>
      </c>
      <c r="BS337" s="1213" t="e">
        <f t="shared" ca="1" si="256"/>
        <v>#N/A</v>
      </c>
      <c r="BT337" s="1587">
        <f t="shared" si="257"/>
        <v>0</v>
      </c>
      <c r="BW337" s="1212" t="e">
        <f t="shared" ca="1" si="258"/>
        <v>#N/A</v>
      </c>
      <c r="BX337" s="1213" t="e">
        <f t="shared" ca="1" si="259"/>
        <v>#N/A</v>
      </c>
      <c r="BY337" s="1587">
        <f t="shared" si="260"/>
        <v>0</v>
      </c>
      <c r="CB337" s="1212" t="e">
        <f t="shared" ca="1" si="261"/>
        <v>#N/A</v>
      </c>
      <c r="CC337" s="1213" t="e">
        <f t="shared" ca="1" si="262"/>
        <v>#N/A</v>
      </c>
      <c r="CD337" s="1587">
        <f t="shared" si="263"/>
        <v>0</v>
      </c>
      <c r="CG337" s="1212" t="e">
        <f t="shared" ca="1" si="264"/>
        <v>#N/A</v>
      </c>
      <c r="CH337" s="1213" t="e">
        <f t="shared" ca="1" si="265"/>
        <v>#N/A</v>
      </c>
      <c r="CI337" s="1587">
        <f t="shared" si="266"/>
        <v>0</v>
      </c>
      <c r="CL337" s="1212" t="e">
        <f t="shared" ca="1" si="267"/>
        <v>#N/A</v>
      </c>
      <c r="CM337" s="1213" t="e">
        <f t="shared" ca="1" si="268"/>
        <v>#N/A</v>
      </c>
      <c r="CN337" s="1587">
        <f t="shared" si="269"/>
        <v>0</v>
      </c>
    </row>
    <row r="338" spans="1:92">
      <c r="A338" s="141">
        <f>'銀行-TSS'!A338</f>
        <v>0</v>
      </c>
      <c r="B338" s="151">
        <f ca="1">VLOOKUP(A338,'銀行-TSS'!A:B,2,FALSE)</f>
        <v>0</v>
      </c>
      <c r="C338" s="151" t="e">
        <f ca="1">VLOOKUP(B338,bond!B:C,2,FALSE)</f>
        <v>#N/A</v>
      </c>
      <c r="D338" s="95" t="e">
        <f>VLOOKUP(A338,'銀行-TSS'!A:C,3,FALSE)</f>
        <v>#N/A</v>
      </c>
      <c r="E338" s="90" t="e">
        <f ca="1">VLOOKUP(A338,'銀行-TSS'!A:G,7,FALSE)</f>
        <v>#N/A</v>
      </c>
      <c r="F338" s="202" t="e">
        <f ca="1">VLOOKUP(A338,'銀行-TSS'!A:H,8,FALSE)</f>
        <v>#N/A</v>
      </c>
      <c r="G338" s="96" t="e">
        <f ca="1">VLOOKUP(A338,'銀行-TSS'!A:K,11,FALSE)</f>
        <v>#N/A</v>
      </c>
      <c r="H338" s="1209" t="e">
        <f ca="1">VLOOKUP(A338,'銀行-TSS'!A:M,13,FALSE)</f>
        <v>#N/A</v>
      </c>
      <c r="I338" s="1213" t="e">
        <f ca="1">VLOOKUP(A338,'銀行-TSS'!A:N,14,FALSE)</f>
        <v>#N/A</v>
      </c>
      <c r="J338" s="1213" t="e">
        <f ca="1">VLOOKUP(A338,'銀行-TSS'!A:O,15,FALSE)</f>
        <v>#N/A</v>
      </c>
      <c r="K338" s="136" t="e">
        <f ca="1">VLOOKUP(A338,'銀行-TSS'!A:V,22,FALSE)</f>
        <v>#N/A</v>
      </c>
      <c r="L338" s="136" t="e">
        <f ca="1">VLOOKUP(A338,'銀行-TSS'!A:AK,37,FALSE)</f>
        <v>#N/A</v>
      </c>
      <c r="M338" s="136" t="str">
        <f ca="1">VLOOKUP(A338,'銀行-TSS'!A:AN,40,FALSE)</f>
        <v/>
      </c>
      <c r="N338" s="136" t="e">
        <f t="shared" ca="1" si="225"/>
        <v>#N/A</v>
      </c>
      <c r="O338" s="1213" t="e">
        <f t="shared" ca="1" si="226"/>
        <v>#N/A</v>
      </c>
      <c r="P338" s="1213" t="e">
        <f ca="1">IF(AND($O$1&gt;=O338,換券單檔!$D$13=D338),I338+INT(($O$1-O338)/N338)*J338,0)</f>
        <v>#N/A</v>
      </c>
      <c r="Q338" s="1213" t="e">
        <f t="shared" ca="1" si="227"/>
        <v>#N/A</v>
      </c>
      <c r="R338" s="1213">
        <f t="shared" si="228"/>
        <v>0</v>
      </c>
      <c r="S338" s="1213">
        <f t="shared" si="229"/>
        <v>0</v>
      </c>
      <c r="T338" s="136">
        <f>IF(OR(R338=0,A338=0),0,IF(AND(V338=TRUE,換券單檔!$D$13=D338),E338,0))</f>
        <v>0</v>
      </c>
      <c r="U338" s="861">
        <f>IF(OR(R338=0,A338=0),0,IF(AND(V338=TRUE,換券單檔!$D$13=D338),H338,0))</f>
        <v>0</v>
      </c>
      <c r="V338" s="136" t="e">
        <f ca="1">IF(OR(B338=換券單檔!$D$3,L338="無",M338&lt;&gt;"",K338="高資產",IFERROR(MATCH(B338,換券單檔!K:K,0),"N")&lt;&gt;"N"),FALSE,IF($V$1="All",TRUE,IF(K338=$V$1,TRUE,FALSE)))</f>
        <v>#N/A</v>
      </c>
      <c r="W338" s="136" t="e">
        <f ca="1">VLOOKUP(A338,'銀行-TSS'!A:AO,41,FALSE)</f>
        <v>#N/A</v>
      </c>
      <c r="X338" s="136" t="e">
        <f ca="1">VLOOKUP(A338,'銀行-TSS'!A:AP,42,FALSE)</f>
        <v>#N/A</v>
      </c>
      <c r="Y338" s="1220">
        <f t="shared" si="230"/>
        <v>0</v>
      </c>
      <c r="Z338" s="1220">
        <f t="shared" si="231"/>
        <v>0</v>
      </c>
      <c r="AA338" s="136">
        <f>IF(Z338&lt;=0,0,RANK(Z338,Z:Z)+COUNTIF($Z$3:$Z338,Z338)-1)</f>
        <v>0</v>
      </c>
      <c r="AB338" s="1211">
        <f t="shared" ca="1" si="232"/>
        <v>-14896.14</v>
      </c>
      <c r="AC338" s="136">
        <f ca="1">IF(AB338&lt;=0,0,RANK(AB338,AB:AB)+COUNTIF($AB$3:$AB338,AB338)-1)</f>
        <v>0</v>
      </c>
      <c r="AD338" s="1123">
        <f t="shared" si="233"/>
        <v>99999</v>
      </c>
      <c r="AE338" s="1123">
        <f>IF(AD338=99999,0,RANK(AD338,AD:AD,1)+COUNTIF($AD$3:$AD338,AD338)-1)</f>
        <v>0</v>
      </c>
      <c r="AF338" s="86" t="e">
        <f ca="1">IF(OR(M338&lt;&gt;"",L338="無",K338="高資產",IFERROR(MATCH(B338,換券單檔!K:K,0),"N")&lt;&gt;"N"),FALSE,TRUE)</f>
        <v>#N/A</v>
      </c>
      <c r="AI338" s="1212" t="e">
        <f t="shared" ca="1" si="234"/>
        <v>#N/A</v>
      </c>
      <c r="AJ338" s="1213" t="e">
        <f t="shared" ca="1" si="235"/>
        <v>#N/A</v>
      </c>
      <c r="AK338" s="1587">
        <f t="shared" si="236"/>
        <v>0</v>
      </c>
      <c r="AN338" s="1212" t="e">
        <f t="shared" ca="1" si="237"/>
        <v>#N/A</v>
      </c>
      <c r="AO338" s="1213" t="e">
        <f t="shared" ca="1" si="238"/>
        <v>#N/A</v>
      </c>
      <c r="AP338" s="1587">
        <f t="shared" si="239"/>
        <v>0</v>
      </c>
      <c r="AS338" s="1212" t="e">
        <f t="shared" ca="1" si="240"/>
        <v>#N/A</v>
      </c>
      <c r="AT338" s="1213" t="e">
        <f t="shared" ca="1" si="241"/>
        <v>#N/A</v>
      </c>
      <c r="AU338" s="1587">
        <f t="shared" si="242"/>
        <v>0</v>
      </c>
      <c r="AX338" s="1212" t="e">
        <f t="shared" ca="1" si="243"/>
        <v>#N/A</v>
      </c>
      <c r="AY338" s="1213" t="e">
        <f t="shared" ca="1" si="244"/>
        <v>#N/A</v>
      </c>
      <c r="AZ338" s="1587">
        <f t="shared" si="245"/>
        <v>0</v>
      </c>
      <c r="BC338" s="1212" t="e">
        <f t="shared" ca="1" si="246"/>
        <v>#N/A</v>
      </c>
      <c r="BD338" s="1213" t="e">
        <f t="shared" ca="1" si="247"/>
        <v>#N/A</v>
      </c>
      <c r="BE338" s="1587">
        <f t="shared" si="248"/>
        <v>0</v>
      </c>
      <c r="BH338" s="1212" t="e">
        <f t="shared" ca="1" si="249"/>
        <v>#N/A</v>
      </c>
      <c r="BI338" s="1213" t="e">
        <f t="shared" ca="1" si="250"/>
        <v>#N/A</v>
      </c>
      <c r="BJ338" s="1587">
        <f t="shared" si="251"/>
        <v>0</v>
      </c>
      <c r="BM338" s="1212" t="e">
        <f t="shared" ca="1" si="252"/>
        <v>#N/A</v>
      </c>
      <c r="BN338" s="1213" t="e">
        <f t="shared" ca="1" si="253"/>
        <v>#N/A</v>
      </c>
      <c r="BO338" s="1587">
        <f t="shared" si="254"/>
        <v>0</v>
      </c>
      <c r="BR338" s="1212" t="e">
        <f t="shared" ca="1" si="255"/>
        <v>#N/A</v>
      </c>
      <c r="BS338" s="1213" t="e">
        <f t="shared" ca="1" si="256"/>
        <v>#N/A</v>
      </c>
      <c r="BT338" s="1587">
        <f t="shared" si="257"/>
        <v>0</v>
      </c>
      <c r="BW338" s="1212" t="e">
        <f t="shared" ca="1" si="258"/>
        <v>#N/A</v>
      </c>
      <c r="BX338" s="1213" t="e">
        <f t="shared" ca="1" si="259"/>
        <v>#N/A</v>
      </c>
      <c r="BY338" s="1587">
        <f t="shared" si="260"/>
        <v>0</v>
      </c>
      <c r="CB338" s="1212" t="e">
        <f t="shared" ca="1" si="261"/>
        <v>#N/A</v>
      </c>
      <c r="CC338" s="1213" t="e">
        <f t="shared" ca="1" si="262"/>
        <v>#N/A</v>
      </c>
      <c r="CD338" s="1587">
        <f t="shared" si="263"/>
        <v>0</v>
      </c>
      <c r="CG338" s="1212" t="e">
        <f t="shared" ca="1" si="264"/>
        <v>#N/A</v>
      </c>
      <c r="CH338" s="1213" t="e">
        <f t="shared" ca="1" si="265"/>
        <v>#N/A</v>
      </c>
      <c r="CI338" s="1587">
        <f t="shared" si="266"/>
        <v>0</v>
      </c>
      <c r="CL338" s="1212" t="e">
        <f t="shared" ca="1" si="267"/>
        <v>#N/A</v>
      </c>
      <c r="CM338" s="1213" t="e">
        <f t="shared" ca="1" si="268"/>
        <v>#N/A</v>
      </c>
      <c r="CN338" s="1587">
        <f t="shared" si="269"/>
        <v>0</v>
      </c>
    </row>
    <row r="339" spans="1:92">
      <c r="A339" s="141">
        <f>'銀行-TSS'!A339</f>
        <v>0</v>
      </c>
      <c r="B339" s="151">
        <f ca="1">VLOOKUP(A339,'銀行-TSS'!A:B,2,FALSE)</f>
        <v>0</v>
      </c>
      <c r="C339" s="151" t="e">
        <f ca="1">VLOOKUP(B339,bond!B:C,2,FALSE)</f>
        <v>#N/A</v>
      </c>
      <c r="D339" s="95" t="e">
        <f>VLOOKUP(A339,'銀行-TSS'!A:C,3,FALSE)</f>
        <v>#N/A</v>
      </c>
      <c r="E339" s="90" t="e">
        <f ca="1">VLOOKUP(A339,'銀行-TSS'!A:G,7,FALSE)</f>
        <v>#N/A</v>
      </c>
      <c r="F339" s="202" t="e">
        <f ca="1">VLOOKUP(A339,'銀行-TSS'!A:H,8,FALSE)</f>
        <v>#N/A</v>
      </c>
      <c r="G339" s="96" t="e">
        <f ca="1">VLOOKUP(A339,'銀行-TSS'!A:K,11,FALSE)</f>
        <v>#N/A</v>
      </c>
      <c r="H339" s="1209" t="e">
        <f ca="1">VLOOKUP(A339,'銀行-TSS'!A:M,13,FALSE)</f>
        <v>#N/A</v>
      </c>
      <c r="I339" s="1213" t="e">
        <f ca="1">VLOOKUP(A339,'銀行-TSS'!A:N,14,FALSE)</f>
        <v>#N/A</v>
      </c>
      <c r="J339" s="1213" t="e">
        <f ca="1">VLOOKUP(A339,'銀行-TSS'!A:O,15,FALSE)</f>
        <v>#N/A</v>
      </c>
      <c r="K339" s="136" t="e">
        <f ca="1">VLOOKUP(A339,'銀行-TSS'!A:V,22,FALSE)</f>
        <v>#N/A</v>
      </c>
      <c r="L339" s="136" t="e">
        <f ca="1">VLOOKUP(A339,'銀行-TSS'!A:AK,37,FALSE)</f>
        <v>#N/A</v>
      </c>
      <c r="M339" s="136" t="str">
        <f ca="1">VLOOKUP(A339,'銀行-TSS'!A:AN,40,FALSE)</f>
        <v/>
      </c>
      <c r="N339" s="136" t="e">
        <f t="shared" ca="1" si="225"/>
        <v>#N/A</v>
      </c>
      <c r="O339" s="1213" t="e">
        <f t="shared" ca="1" si="226"/>
        <v>#N/A</v>
      </c>
      <c r="P339" s="1213" t="e">
        <f ca="1">IF(AND($O$1&gt;=O339,換券單檔!$D$13=D339),I339+INT(($O$1-O339)/N339)*J339,0)</f>
        <v>#N/A</v>
      </c>
      <c r="Q339" s="1213" t="e">
        <f t="shared" ca="1" si="227"/>
        <v>#N/A</v>
      </c>
      <c r="R339" s="1213">
        <f t="shared" si="228"/>
        <v>0</v>
      </c>
      <c r="S339" s="1213">
        <f t="shared" si="229"/>
        <v>0</v>
      </c>
      <c r="T339" s="136">
        <f>IF(OR(R339=0,A339=0),0,IF(AND(V339=TRUE,換券單檔!$D$13=D339),E339,0))</f>
        <v>0</v>
      </c>
      <c r="U339" s="861">
        <f>IF(OR(R339=0,A339=0),0,IF(AND(V339=TRUE,換券單檔!$D$13=D339),H339,0))</f>
        <v>0</v>
      </c>
      <c r="V339" s="136" t="e">
        <f ca="1">IF(OR(B339=換券單檔!$D$3,L339="無",M339&lt;&gt;"",K339="高資產",IFERROR(MATCH(B339,換券單檔!K:K,0),"N")&lt;&gt;"N"),FALSE,IF($V$1="All",TRUE,IF(K339=$V$1,TRUE,FALSE)))</f>
        <v>#N/A</v>
      </c>
      <c r="W339" s="136" t="e">
        <f ca="1">VLOOKUP(A339,'銀行-TSS'!A:AO,41,FALSE)</f>
        <v>#N/A</v>
      </c>
      <c r="X339" s="136" t="e">
        <f ca="1">VLOOKUP(A339,'銀行-TSS'!A:AP,42,FALSE)</f>
        <v>#N/A</v>
      </c>
      <c r="Y339" s="1220">
        <f t="shared" si="230"/>
        <v>0</v>
      </c>
      <c r="Z339" s="1220">
        <f t="shared" si="231"/>
        <v>0</v>
      </c>
      <c r="AA339" s="136">
        <f>IF(Z339&lt;=0,0,RANK(Z339,Z:Z)+COUNTIF($Z$3:$Z339,Z339)-1)</f>
        <v>0</v>
      </c>
      <c r="AB339" s="1211">
        <f t="shared" ca="1" si="232"/>
        <v>-14896.14</v>
      </c>
      <c r="AC339" s="136">
        <f ca="1">IF(AB339&lt;=0,0,RANK(AB339,AB:AB)+COUNTIF($AB$3:$AB339,AB339)-1)</f>
        <v>0</v>
      </c>
      <c r="AD339" s="1123">
        <f t="shared" si="233"/>
        <v>99999</v>
      </c>
      <c r="AE339" s="1123">
        <f>IF(AD339=99999,0,RANK(AD339,AD:AD,1)+COUNTIF($AD$3:$AD339,AD339)-1)</f>
        <v>0</v>
      </c>
      <c r="AF339" s="86" t="e">
        <f ca="1">IF(OR(M339&lt;&gt;"",L339="無",K339="高資產",IFERROR(MATCH(B339,換券單檔!K:K,0),"N")&lt;&gt;"N"),FALSE,TRUE)</f>
        <v>#N/A</v>
      </c>
      <c r="AI339" s="1212" t="e">
        <f t="shared" ca="1" si="234"/>
        <v>#N/A</v>
      </c>
      <c r="AJ339" s="1213" t="e">
        <f t="shared" ca="1" si="235"/>
        <v>#N/A</v>
      </c>
      <c r="AK339" s="1587">
        <f t="shared" si="236"/>
        <v>0</v>
      </c>
      <c r="AN339" s="1212" t="e">
        <f t="shared" ca="1" si="237"/>
        <v>#N/A</v>
      </c>
      <c r="AO339" s="1213" t="e">
        <f t="shared" ca="1" si="238"/>
        <v>#N/A</v>
      </c>
      <c r="AP339" s="1587">
        <f t="shared" si="239"/>
        <v>0</v>
      </c>
      <c r="AS339" s="1212" t="e">
        <f t="shared" ca="1" si="240"/>
        <v>#N/A</v>
      </c>
      <c r="AT339" s="1213" t="e">
        <f t="shared" ca="1" si="241"/>
        <v>#N/A</v>
      </c>
      <c r="AU339" s="1587">
        <f t="shared" si="242"/>
        <v>0</v>
      </c>
      <c r="AX339" s="1212" t="e">
        <f t="shared" ca="1" si="243"/>
        <v>#N/A</v>
      </c>
      <c r="AY339" s="1213" t="e">
        <f t="shared" ca="1" si="244"/>
        <v>#N/A</v>
      </c>
      <c r="AZ339" s="1587">
        <f t="shared" si="245"/>
        <v>0</v>
      </c>
      <c r="BC339" s="1212" t="e">
        <f t="shared" ca="1" si="246"/>
        <v>#N/A</v>
      </c>
      <c r="BD339" s="1213" t="e">
        <f t="shared" ca="1" si="247"/>
        <v>#N/A</v>
      </c>
      <c r="BE339" s="1587">
        <f t="shared" si="248"/>
        <v>0</v>
      </c>
      <c r="BH339" s="1212" t="e">
        <f t="shared" ca="1" si="249"/>
        <v>#N/A</v>
      </c>
      <c r="BI339" s="1213" t="e">
        <f t="shared" ca="1" si="250"/>
        <v>#N/A</v>
      </c>
      <c r="BJ339" s="1587">
        <f t="shared" si="251"/>
        <v>0</v>
      </c>
      <c r="BM339" s="1212" t="e">
        <f t="shared" ca="1" si="252"/>
        <v>#N/A</v>
      </c>
      <c r="BN339" s="1213" t="e">
        <f t="shared" ca="1" si="253"/>
        <v>#N/A</v>
      </c>
      <c r="BO339" s="1587">
        <f t="shared" si="254"/>
        <v>0</v>
      </c>
      <c r="BR339" s="1212" t="e">
        <f t="shared" ca="1" si="255"/>
        <v>#N/A</v>
      </c>
      <c r="BS339" s="1213" t="e">
        <f t="shared" ca="1" si="256"/>
        <v>#N/A</v>
      </c>
      <c r="BT339" s="1587">
        <f t="shared" si="257"/>
        <v>0</v>
      </c>
      <c r="BW339" s="1212" t="e">
        <f t="shared" ca="1" si="258"/>
        <v>#N/A</v>
      </c>
      <c r="BX339" s="1213" t="e">
        <f t="shared" ca="1" si="259"/>
        <v>#N/A</v>
      </c>
      <c r="BY339" s="1587">
        <f t="shared" si="260"/>
        <v>0</v>
      </c>
      <c r="CB339" s="1212" t="e">
        <f t="shared" ca="1" si="261"/>
        <v>#N/A</v>
      </c>
      <c r="CC339" s="1213" t="e">
        <f t="shared" ca="1" si="262"/>
        <v>#N/A</v>
      </c>
      <c r="CD339" s="1587">
        <f t="shared" si="263"/>
        <v>0</v>
      </c>
      <c r="CG339" s="1212" t="e">
        <f t="shared" ca="1" si="264"/>
        <v>#N/A</v>
      </c>
      <c r="CH339" s="1213" t="e">
        <f t="shared" ca="1" si="265"/>
        <v>#N/A</v>
      </c>
      <c r="CI339" s="1587">
        <f t="shared" si="266"/>
        <v>0</v>
      </c>
      <c r="CL339" s="1212" t="e">
        <f t="shared" ca="1" si="267"/>
        <v>#N/A</v>
      </c>
      <c r="CM339" s="1213" t="e">
        <f t="shared" ca="1" si="268"/>
        <v>#N/A</v>
      </c>
      <c r="CN339" s="1587">
        <f t="shared" si="269"/>
        <v>0</v>
      </c>
    </row>
    <row r="340" spans="1:92">
      <c r="A340" s="141">
        <f>'銀行-TSS'!A340</f>
        <v>0</v>
      </c>
      <c r="B340" s="151">
        <f ca="1">VLOOKUP(A340,'銀行-TSS'!A:B,2,FALSE)</f>
        <v>0</v>
      </c>
      <c r="C340" s="151" t="e">
        <f ca="1">VLOOKUP(B340,bond!B:C,2,FALSE)</f>
        <v>#N/A</v>
      </c>
      <c r="D340" s="95" t="e">
        <f>VLOOKUP(A340,'銀行-TSS'!A:C,3,FALSE)</f>
        <v>#N/A</v>
      </c>
      <c r="E340" s="90" t="e">
        <f ca="1">VLOOKUP(A340,'銀行-TSS'!A:G,7,FALSE)</f>
        <v>#N/A</v>
      </c>
      <c r="F340" s="202" t="e">
        <f ca="1">VLOOKUP(A340,'銀行-TSS'!A:H,8,FALSE)</f>
        <v>#N/A</v>
      </c>
      <c r="G340" s="96" t="e">
        <f ca="1">VLOOKUP(A340,'銀行-TSS'!A:K,11,FALSE)</f>
        <v>#N/A</v>
      </c>
      <c r="H340" s="1209" t="e">
        <f ca="1">VLOOKUP(A340,'銀行-TSS'!A:M,13,FALSE)</f>
        <v>#N/A</v>
      </c>
      <c r="I340" s="1213" t="e">
        <f ca="1">VLOOKUP(A340,'銀行-TSS'!A:N,14,FALSE)</f>
        <v>#N/A</v>
      </c>
      <c r="J340" s="1213" t="e">
        <f ca="1">VLOOKUP(A340,'銀行-TSS'!A:O,15,FALSE)</f>
        <v>#N/A</v>
      </c>
      <c r="K340" s="136" t="e">
        <f ca="1">VLOOKUP(A340,'銀行-TSS'!A:V,22,FALSE)</f>
        <v>#N/A</v>
      </c>
      <c r="L340" s="136" t="e">
        <f ca="1">VLOOKUP(A340,'銀行-TSS'!A:AK,37,FALSE)</f>
        <v>#N/A</v>
      </c>
      <c r="M340" s="136" t="str">
        <f ca="1">VLOOKUP(A340,'銀行-TSS'!A:AN,40,FALSE)</f>
        <v/>
      </c>
      <c r="N340" s="136" t="e">
        <f t="shared" ca="1" si="225"/>
        <v>#N/A</v>
      </c>
      <c r="O340" s="1213" t="e">
        <f t="shared" ca="1" si="226"/>
        <v>#N/A</v>
      </c>
      <c r="P340" s="1213" t="e">
        <f ca="1">IF(AND($O$1&gt;=O340,換券單檔!$D$13=D340),I340+INT(($O$1-O340)/N340)*J340,0)</f>
        <v>#N/A</v>
      </c>
      <c r="Q340" s="1213" t="e">
        <f t="shared" ca="1" si="227"/>
        <v>#N/A</v>
      </c>
      <c r="R340" s="1213">
        <f t="shared" si="228"/>
        <v>0</v>
      </c>
      <c r="S340" s="1213">
        <f t="shared" si="229"/>
        <v>0</v>
      </c>
      <c r="T340" s="136">
        <f>IF(OR(R340=0,A340=0),0,IF(AND(V340=TRUE,換券單檔!$D$13=D340),E340,0))</f>
        <v>0</v>
      </c>
      <c r="U340" s="861">
        <f>IF(OR(R340=0,A340=0),0,IF(AND(V340=TRUE,換券單檔!$D$13=D340),H340,0))</f>
        <v>0</v>
      </c>
      <c r="V340" s="136" t="e">
        <f ca="1">IF(OR(B340=換券單檔!$D$3,L340="無",M340&lt;&gt;"",K340="高資產",IFERROR(MATCH(B340,換券單檔!K:K,0),"N")&lt;&gt;"N"),FALSE,IF($V$1="All",TRUE,IF(K340=$V$1,TRUE,FALSE)))</f>
        <v>#N/A</v>
      </c>
      <c r="W340" s="136" t="e">
        <f ca="1">VLOOKUP(A340,'銀行-TSS'!A:AO,41,FALSE)</f>
        <v>#N/A</v>
      </c>
      <c r="X340" s="136" t="e">
        <f ca="1">VLOOKUP(A340,'銀行-TSS'!A:AP,42,FALSE)</f>
        <v>#N/A</v>
      </c>
      <c r="Y340" s="1220">
        <f t="shared" si="230"/>
        <v>0</v>
      </c>
      <c r="Z340" s="1220">
        <f t="shared" si="231"/>
        <v>0</v>
      </c>
      <c r="AA340" s="136">
        <f>IF(Z340&lt;=0,0,RANK(Z340,Z:Z)+COUNTIF($Z$3:$Z340,Z340)-1)</f>
        <v>0</v>
      </c>
      <c r="AB340" s="1211">
        <f t="shared" ca="1" si="232"/>
        <v>-14896.14</v>
      </c>
      <c r="AC340" s="136">
        <f ca="1">IF(AB340&lt;=0,0,RANK(AB340,AB:AB)+COUNTIF($AB$3:$AB340,AB340)-1)</f>
        <v>0</v>
      </c>
      <c r="AD340" s="1123">
        <f t="shared" si="233"/>
        <v>99999</v>
      </c>
      <c r="AE340" s="1123">
        <f>IF(AD340=99999,0,RANK(AD340,AD:AD,1)+COUNTIF($AD$3:$AD340,AD340)-1)</f>
        <v>0</v>
      </c>
      <c r="AF340" s="86" t="e">
        <f ca="1">IF(OR(M340&lt;&gt;"",L340="無",K340="高資產",IFERROR(MATCH(B340,換券單檔!K:K,0),"N")&lt;&gt;"N"),FALSE,TRUE)</f>
        <v>#N/A</v>
      </c>
      <c r="AI340" s="1212" t="e">
        <f t="shared" ca="1" si="234"/>
        <v>#N/A</v>
      </c>
      <c r="AJ340" s="1213" t="e">
        <f t="shared" ca="1" si="235"/>
        <v>#N/A</v>
      </c>
      <c r="AK340" s="1587">
        <f t="shared" si="236"/>
        <v>0</v>
      </c>
      <c r="AN340" s="1212" t="e">
        <f t="shared" ca="1" si="237"/>
        <v>#N/A</v>
      </c>
      <c r="AO340" s="1213" t="e">
        <f t="shared" ca="1" si="238"/>
        <v>#N/A</v>
      </c>
      <c r="AP340" s="1587">
        <f t="shared" si="239"/>
        <v>0</v>
      </c>
      <c r="AS340" s="1212" t="e">
        <f t="shared" ca="1" si="240"/>
        <v>#N/A</v>
      </c>
      <c r="AT340" s="1213" t="e">
        <f t="shared" ca="1" si="241"/>
        <v>#N/A</v>
      </c>
      <c r="AU340" s="1587">
        <f t="shared" si="242"/>
        <v>0</v>
      </c>
      <c r="AX340" s="1212" t="e">
        <f t="shared" ca="1" si="243"/>
        <v>#N/A</v>
      </c>
      <c r="AY340" s="1213" t="e">
        <f t="shared" ca="1" si="244"/>
        <v>#N/A</v>
      </c>
      <c r="AZ340" s="1587">
        <f t="shared" si="245"/>
        <v>0</v>
      </c>
      <c r="BC340" s="1212" t="e">
        <f t="shared" ca="1" si="246"/>
        <v>#N/A</v>
      </c>
      <c r="BD340" s="1213" t="e">
        <f t="shared" ca="1" si="247"/>
        <v>#N/A</v>
      </c>
      <c r="BE340" s="1587">
        <f t="shared" si="248"/>
        <v>0</v>
      </c>
      <c r="BH340" s="1212" t="e">
        <f t="shared" ca="1" si="249"/>
        <v>#N/A</v>
      </c>
      <c r="BI340" s="1213" t="e">
        <f t="shared" ca="1" si="250"/>
        <v>#N/A</v>
      </c>
      <c r="BJ340" s="1587">
        <f t="shared" si="251"/>
        <v>0</v>
      </c>
      <c r="BM340" s="1212" t="e">
        <f t="shared" ca="1" si="252"/>
        <v>#N/A</v>
      </c>
      <c r="BN340" s="1213" t="e">
        <f t="shared" ca="1" si="253"/>
        <v>#N/A</v>
      </c>
      <c r="BO340" s="1587">
        <f t="shared" si="254"/>
        <v>0</v>
      </c>
      <c r="BR340" s="1212" t="e">
        <f t="shared" ca="1" si="255"/>
        <v>#N/A</v>
      </c>
      <c r="BS340" s="1213" t="e">
        <f t="shared" ca="1" si="256"/>
        <v>#N/A</v>
      </c>
      <c r="BT340" s="1587">
        <f t="shared" si="257"/>
        <v>0</v>
      </c>
      <c r="BW340" s="1212" t="e">
        <f t="shared" ca="1" si="258"/>
        <v>#N/A</v>
      </c>
      <c r="BX340" s="1213" t="e">
        <f t="shared" ca="1" si="259"/>
        <v>#N/A</v>
      </c>
      <c r="BY340" s="1587">
        <f t="shared" si="260"/>
        <v>0</v>
      </c>
      <c r="CB340" s="1212" t="e">
        <f t="shared" ca="1" si="261"/>
        <v>#N/A</v>
      </c>
      <c r="CC340" s="1213" t="e">
        <f t="shared" ca="1" si="262"/>
        <v>#N/A</v>
      </c>
      <c r="CD340" s="1587">
        <f t="shared" si="263"/>
        <v>0</v>
      </c>
      <c r="CG340" s="1212" t="e">
        <f t="shared" ca="1" si="264"/>
        <v>#N/A</v>
      </c>
      <c r="CH340" s="1213" t="e">
        <f t="shared" ca="1" si="265"/>
        <v>#N/A</v>
      </c>
      <c r="CI340" s="1587">
        <f t="shared" si="266"/>
        <v>0</v>
      </c>
      <c r="CL340" s="1212" t="e">
        <f t="shared" ca="1" si="267"/>
        <v>#N/A</v>
      </c>
      <c r="CM340" s="1213" t="e">
        <f t="shared" ca="1" si="268"/>
        <v>#N/A</v>
      </c>
      <c r="CN340" s="1587">
        <f t="shared" si="269"/>
        <v>0</v>
      </c>
    </row>
    <row r="341" spans="1:92">
      <c r="A341" s="141">
        <f>'銀行-TSS'!A341</f>
        <v>0</v>
      </c>
      <c r="B341" s="151">
        <f ca="1">VLOOKUP(A341,'銀行-TSS'!A:B,2,FALSE)</f>
        <v>0</v>
      </c>
      <c r="C341" s="151" t="e">
        <f ca="1">VLOOKUP(B341,bond!B:C,2,FALSE)</f>
        <v>#N/A</v>
      </c>
      <c r="D341" s="95" t="e">
        <f>VLOOKUP(A341,'銀行-TSS'!A:C,3,FALSE)</f>
        <v>#N/A</v>
      </c>
      <c r="E341" s="90" t="e">
        <f ca="1">VLOOKUP(A341,'銀行-TSS'!A:G,7,FALSE)</f>
        <v>#N/A</v>
      </c>
      <c r="F341" s="202" t="e">
        <f ca="1">VLOOKUP(A341,'銀行-TSS'!A:H,8,FALSE)</f>
        <v>#N/A</v>
      </c>
      <c r="G341" s="96" t="e">
        <f ca="1">VLOOKUP(A341,'銀行-TSS'!A:K,11,FALSE)</f>
        <v>#N/A</v>
      </c>
      <c r="H341" s="1209" t="e">
        <f ca="1">VLOOKUP(A341,'銀行-TSS'!A:M,13,FALSE)</f>
        <v>#N/A</v>
      </c>
      <c r="I341" s="1213" t="e">
        <f ca="1">VLOOKUP(A341,'銀行-TSS'!A:N,14,FALSE)</f>
        <v>#N/A</v>
      </c>
      <c r="J341" s="1213" t="e">
        <f ca="1">VLOOKUP(A341,'銀行-TSS'!A:O,15,FALSE)</f>
        <v>#N/A</v>
      </c>
      <c r="K341" s="136" t="e">
        <f ca="1">VLOOKUP(A341,'銀行-TSS'!A:V,22,FALSE)</f>
        <v>#N/A</v>
      </c>
      <c r="L341" s="136" t="e">
        <f ca="1">VLOOKUP(A341,'銀行-TSS'!A:AK,37,FALSE)</f>
        <v>#N/A</v>
      </c>
      <c r="M341" s="136" t="str">
        <f ca="1">VLOOKUP(A341,'銀行-TSS'!A:AN,40,FALSE)</f>
        <v/>
      </c>
      <c r="N341" s="136" t="e">
        <f t="shared" ca="1" si="225"/>
        <v>#N/A</v>
      </c>
      <c r="O341" s="1213" t="e">
        <f t="shared" ca="1" si="226"/>
        <v>#N/A</v>
      </c>
      <c r="P341" s="1213" t="e">
        <f ca="1">IF(AND($O$1&gt;=O341,換券單檔!$D$13=D341),I341+INT(($O$1-O341)/N341)*J341,0)</f>
        <v>#N/A</v>
      </c>
      <c r="Q341" s="1213" t="e">
        <f t="shared" ca="1" si="227"/>
        <v>#N/A</v>
      </c>
      <c r="R341" s="1213">
        <f t="shared" si="228"/>
        <v>0</v>
      </c>
      <c r="S341" s="1213">
        <f t="shared" si="229"/>
        <v>0</v>
      </c>
      <c r="T341" s="136">
        <f>IF(OR(R341=0,A341=0),0,IF(AND(V341=TRUE,換券單檔!$D$13=D341),E341,0))</f>
        <v>0</v>
      </c>
      <c r="U341" s="861">
        <f>IF(OR(R341=0,A341=0),0,IF(AND(V341=TRUE,換券單檔!$D$13=D341),H341,0))</f>
        <v>0</v>
      </c>
      <c r="V341" s="136" t="e">
        <f ca="1">IF(OR(B341=換券單檔!$D$3,L341="無",M341&lt;&gt;"",K341="高資產",IFERROR(MATCH(B341,換券單檔!K:K,0),"N")&lt;&gt;"N"),FALSE,IF($V$1="All",TRUE,IF(K341=$V$1,TRUE,FALSE)))</f>
        <v>#N/A</v>
      </c>
      <c r="W341" s="136" t="e">
        <f ca="1">VLOOKUP(A341,'銀行-TSS'!A:AO,41,FALSE)</f>
        <v>#N/A</v>
      </c>
      <c r="X341" s="136" t="e">
        <f ca="1">VLOOKUP(A341,'銀行-TSS'!A:AP,42,FALSE)</f>
        <v>#N/A</v>
      </c>
      <c r="Y341" s="1220">
        <f t="shared" si="230"/>
        <v>0</v>
      </c>
      <c r="Z341" s="1220">
        <f t="shared" si="231"/>
        <v>0</v>
      </c>
      <c r="AA341" s="136">
        <f>IF(Z341&lt;=0,0,RANK(Z341,Z:Z)+COUNTIF($Z$3:$Z341,Z341)-1)</f>
        <v>0</v>
      </c>
      <c r="AB341" s="1211">
        <f t="shared" ca="1" si="232"/>
        <v>-14896.14</v>
      </c>
      <c r="AC341" s="136">
        <f ca="1">IF(AB341&lt;=0,0,RANK(AB341,AB:AB)+COUNTIF($AB$3:$AB341,AB341)-1)</f>
        <v>0</v>
      </c>
      <c r="AD341" s="1123">
        <f t="shared" si="233"/>
        <v>99999</v>
      </c>
      <c r="AE341" s="1123">
        <f>IF(AD341=99999,0,RANK(AD341,AD:AD,1)+COUNTIF($AD$3:$AD341,AD341)-1)</f>
        <v>0</v>
      </c>
      <c r="AF341" s="86" t="e">
        <f ca="1">IF(OR(M341&lt;&gt;"",L341="無",K341="高資產",IFERROR(MATCH(B341,換券單檔!K:K,0),"N")&lt;&gt;"N"),FALSE,TRUE)</f>
        <v>#N/A</v>
      </c>
      <c r="AI341" s="1212" t="e">
        <f t="shared" ca="1" si="234"/>
        <v>#N/A</v>
      </c>
      <c r="AJ341" s="1213" t="e">
        <f t="shared" ca="1" si="235"/>
        <v>#N/A</v>
      </c>
      <c r="AK341" s="1587">
        <f t="shared" si="236"/>
        <v>0</v>
      </c>
      <c r="AN341" s="1212" t="e">
        <f t="shared" ca="1" si="237"/>
        <v>#N/A</v>
      </c>
      <c r="AO341" s="1213" t="e">
        <f t="shared" ca="1" si="238"/>
        <v>#N/A</v>
      </c>
      <c r="AP341" s="1587">
        <f t="shared" si="239"/>
        <v>0</v>
      </c>
      <c r="AS341" s="1212" t="e">
        <f t="shared" ca="1" si="240"/>
        <v>#N/A</v>
      </c>
      <c r="AT341" s="1213" t="e">
        <f t="shared" ca="1" si="241"/>
        <v>#N/A</v>
      </c>
      <c r="AU341" s="1587">
        <f t="shared" si="242"/>
        <v>0</v>
      </c>
      <c r="AX341" s="1212" t="e">
        <f t="shared" ca="1" si="243"/>
        <v>#N/A</v>
      </c>
      <c r="AY341" s="1213" t="e">
        <f t="shared" ca="1" si="244"/>
        <v>#N/A</v>
      </c>
      <c r="AZ341" s="1587">
        <f t="shared" si="245"/>
        <v>0</v>
      </c>
      <c r="BC341" s="1212" t="e">
        <f t="shared" ca="1" si="246"/>
        <v>#N/A</v>
      </c>
      <c r="BD341" s="1213" t="e">
        <f t="shared" ca="1" si="247"/>
        <v>#N/A</v>
      </c>
      <c r="BE341" s="1587">
        <f t="shared" si="248"/>
        <v>0</v>
      </c>
      <c r="BH341" s="1212" t="e">
        <f t="shared" ca="1" si="249"/>
        <v>#N/A</v>
      </c>
      <c r="BI341" s="1213" t="e">
        <f t="shared" ca="1" si="250"/>
        <v>#N/A</v>
      </c>
      <c r="BJ341" s="1587">
        <f t="shared" si="251"/>
        <v>0</v>
      </c>
      <c r="BM341" s="1212" t="e">
        <f t="shared" ca="1" si="252"/>
        <v>#N/A</v>
      </c>
      <c r="BN341" s="1213" t="e">
        <f t="shared" ca="1" si="253"/>
        <v>#N/A</v>
      </c>
      <c r="BO341" s="1587">
        <f t="shared" si="254"/>
        <v>0</v>
      </c>
      <c r="BR341" s="1212" t="e">
        <f t="shared" ca="1" si="255"/>
        <v>#N/A</v>
      </c>
      <c r="BS341" s="1213" t="e">
        <f t="shared" ca="1" si="256"/>
        <v>#N/A</v>
      </c>
      <c r="BT341" s="1587">
        <f t="shared" si="257"/>
        <v>0</v>
      </c>
      <c r="BW341" s="1212" t="e">
        <f t="shared" ca="1" si="258"/>
        <v>#N/A</v>
      </c>
      <c r="BX341" s="1213" t="e">
        <f t="shared" ca="1" si="259"/>
        <v>#N/A</v>
      </c>
      <c r="BY341" s="1587">
        <f t="shared" si="260"/>
        <v>0</v>
      </c>
      <c r="CB341" s="1212" t="e">
        <f t="shared" ca="1" si="261"/>
        <v>#N/A</v>
      </c>
      <c r="CC341" s="1213" t="e">
        <f t="shared" ca="1" si="262"/>
        <v>#N/A</v>
      </c>
      <c r="CD341" s="1587">
        <f t="shared" si="263"/>
        <v>0</v>
      </c>
      <c r="CG341" s="1212" t="e">
        <f t="shared" ca="1" si="264"/>
        <v>#N/A</v>
      </c>
      <c r="CH341" s="1213" t="e">
        <f t="shared" ca="1" si="265"/>
        <v>#N/A</v>
      </c>
      <c r="CI341" s="1587">
        <f t="shared" si="266"/>
        <v>0</v>
      </c>
      <c r="CL341" s="1212" t="e">
        <f t="shared" ca="1" si="267"/>
        <v>#N/A</v>
      </c>
      <c r="CM341" s="1213" t="e">
        <f t="shared" ca="1" si="268"/>
        <v>#N/A</v>
      </c>
      <c r="CN341" s="1587">
        <f t="shared" si="269"/>
        <v>0</v>
      </c>
    </row>
    <row r="342" spans="1:92">
      <c r="A342" s="141">
        <f>'銀行-TSS'!A342</f>
        <v>0</v>
      </c>
      <c r="B342" s="151">
        <f ca="1">VLOOKUP(A342,'銀行-TSS'!A:B,2,FALSE)</f>
        <v>0</v>
      </c>
      <c r="C342" s="151" t="e">
        <f ca="1">VLOOKUP(B342,bond!B:C,2,FALSE)</f>
        <v>#N/A</v>
      </c>
      <c r="D342" s="95" t="e">
        <f>VLOOKUP(A342,'銀行-TSS'!A:C,3,FALSE)</f>
        <v>#N/A</v>
      </c>
      <c r="E342" s="90" t="e">
        <f ca="1">VLOOKUP(A342,'銀行-TSS'!A:G,7,FALSE)</f>
        <v>#N/A</v>
      </c>
      <c r="F342" s="202" t="e">
        <f ca="1">VLOOKUP(A342,'銀行-TSS'!A:H,8,FALSE)</f>
        <v>#N/A</v>
      </c>
      <c r="G342" s="96" t="e">
        <f ca="1">VLOOKUP(A342,'銀行-TSS'!A:K,11,FALSE)</f>
        <v>#N/A</v>
      </c>
      <c r="H342" s="1209" t="e">
        <f ca="1">VLOOKUP(A342,'銀行-TSS'!A:M,13,FALSE)</f>
        <v>#N/A</v>
      </c>
      <c r="I342" s="1213" t="e">
        <f ca="1">VLOOKUP(A342,'銀行-TSS'!A:N,14,FALSE)</f>
        <v>#N/A</v>
      </c>
      <c r="J342" s="1213" t="e">
        <f ca="1">VLOOKUP(A342,'銀行-TSS'!A:O,15,FALSE)</f>
        <v>#N/A</v>
      </c>
      <c r="K342" s="136" t="e">
        <f ca="1">VLOOKUP(A342,'銀行-TSS'!A:V,22,FALSE)</f>
        <v>#N/A</v>
      </c>
      <c r="L342" s="136" t="e">
        <f ca="1">VLOOKUP(A342,'銀行-TSS'!A:AK,37,FALSE)</f>
        <v>#N/A</v>
      </c>
      <c r="M342" s="136" t="str">
        <f ca="1">VLOOKUP(A342,'銀行-TSS'!A:AN,40,FALSE)</f>
        <v/>
      </c>
      <c r="N342" s="136" t="e">
        <f t="shared" ca="1" si="225"/>
        <v>#N/A</v>
      </c>
      <c r="O342" s="1213" t="e">
        <f t="shared" ca="1" si="226"/>
        <v>#N/A</v>
      </c>
      <c r="P342" s="1213" t="e">
        <f ca="1">IF(AND($O$1&gt;=O342,換券單檔!$D$13=D342),I342+INT(($O$1-O342)/N342)*J342,0)</f>
        <v>#N/A</v>
      </c>
      <c r="Q342" s="1213" t="e">
        <f t="shared" ca="1" si="227"/>
        <v>#N/A</v>
      </c>
      <c r="R342" s="1213">
        <f t="shared" si="228"/>
        <v>0</v>
      </c>
      <c r="S342" s="1213">
        <f t="shared" si="229"/>
        <v>0</v>
      </c>
      <c r="T342" s="136">
        <f>IF(OR(R342=0,A342=0),0,IF(AND(V342=TRUE,換券單檔!$D$13=D342),E342,0))</f>
        <v>0</v>
      </c>
      <c r="U342" s="861">
        <f>IF(OR(R342=0,A342=0),0,IF(AND(V342=TRUE,換券單檔!$D$13=D342),H342,0))</f>
        <v>0</v>
      </c>
      <c r="V342" s="136" t="e">
        <f ca="1">IF(OR(B342=換券單檔!$D$3,L342="無",M342&lt;&gt;"",K342="高資產",IFERROR(MATCH(B342,換券單檔!K:K,0),"N")&lt;&gt;"N"),FALSE,IF($V$1="All",TRUE,IF(K342=$V$1,TRUE,FALSE)))</f>
        <v>#N/A</v>
      </c>
      <c r="W342" s="136" t="e">
        <f ca="1">VLOOKUP(A342,'銀行-TSS'!A:AO,41,FALSE)</f>
        <v>#N/A</v>
      </c>
      <c r="X342" s="136" t="e">
        <f ca="1">VLOOKUP(A342,'銀行-TSS'!A:AP,42,FALSE)</f>
        <v>#N/A</v>
      </c>
      <c r="Y342" s="1220">
        <f t="shared" si="230"/>
        <v>0</v>
      </c>
      <c r="Z342" s="1220">
        <f t="shared" si="231"/>
        <v>0</v>
      </c>
      <c r="AA342" s="136">
        <f>IF(Z342&lt;=0,0,RANK(Z342,Z:Z)+COUNTIF($Z$3:$Z342,Z342)-1)</f>
        <v>0</v>
      </c>
      <c r="AB342" s="1211">
        <f t="shared" ca="1" si="232"/>
        <v>-14896.14</v>
      </c>
      <c r="AC342" s="136">
        <f ca="1">IF(AB342&lt;=0,0,RANK(AB342,AB:AB)+COUNTIF($AB$3:$AB342,AB342)-1)</f>
        <v>0</v>
      </c>
      <c r="AD342" s="1123">
        <f t="shared" si="233"/>
        <v>99999</v>
      </c>
      <c r="AE342" s="1123">
        <f>IF(AD342=99999,0,RANK(AD342,AD:AD,1)+COUNTIF($AD$3:$AD342,AD342)-1)</f>
        <v>0</v>
      </c>
      <c r="AF342" s="86" t="e">
        <f ca="1">IF(OR(M342&lt;&gt;"",L342="無",K342="高資產",IFERROR(MATCH(B342,換券單檔!K:K,0),"N")&lt;&gt;"N"),FALSE,TRUE)</f>
        <v>#N/A</v>
      </c>
      <c r="AI342" s="1212" t="e">
        <f t="shared" ca="1" si="234"/>
        <v>#N/A</v>
      </c>
      <c r="AJ342" s="1213" t="e">
        <f t="shared" ca="1" si="235"/>
        <v>#N/A</v>
      </c>
      <c r="AK342" s="1587">
        <f t="shared" si="236"/>
        <v>0</v>
      </c>
      <c r="AN342" s="1212" t="e">
        <f t="shared" ca="1" si="237"/>
        <v>#N/A</v>
      </c>
      <c r="AO342" s="1213" t="e">
        <f t="shared" ca="1" si="238"/>
        <v>#N/A</v>
      </c>
      <c r="AP342" s="1587">
        <f t="shared" si="239"/>
        <v>0</v>
      </c>
      <c r="AS342" s="1212" t="e">
        <f t="shared" ca="1" si="240"/>
        <v>#N/A</v>
      </c>
      <c r="AT342" s="1213" t="e">
        <f t="shared" ca="1" si="241"/>
        <v>#N/A</v>
      </c>
      <c r="AU342" s="1587">
        <f t="shared" si="242"/>
        <v>0</v>
      </c>
      <c r="AX342" s="1212" t="e">
        <f t="shared" ca="1" si="243"/>
        <v>#N/A</v>
      </c>
      <c r="AY342" s="1213" t="e">
        <f t="shared" ca="1" si="244"/>
        <v>#N/A</v>
      </c>
      <c r="AZ342" s="1587">
        <f t="shared" si="245"/>
        <v>0</v>
      </c>
      <c r="BC342" s="1212" t="e">
        <f t="shared" ca="1" si="246"/>
        <v>#N/A</v>
      </c>
      <c r="BD342" s="1213" t="e">
        <f t="shared" ca="1" si="247"/>
        <v>#N/A</v>
      </c>
      <c r="BE342" s="1587">
        <f t="shared" si="248"/>
        <v>0</v>
      </c>
      <c r="BH342" s="1212" t="e">
        <f t="shared" ca="1" si="249"/>
        <v>#N/A</v>
      </c>
      <c r="BI342" s="1213" t="e">
        <f t="shared" ca="1" si="250"/>
        <v>#N/A</v>
      </c>
      <c r="BJ342" s="1587">
        <f t="shared" si="251"/>
        <v>0</v>
      </c>
      <c r="BM342" s="1212" t="e">
        <f t="shared" ca="1" si="252"/>
        <v>#N/A</v>
      </c>
      <c r="BN342" s="1213" t="e">
        <f t="shared" ca="1" si="253"/>
        <v>#N/A</v>
      </c>
      <c r="BO342" s="1587">
        <f t="shared" si="254"/>
        <v>0</v>
      </c>
      <c r="BR342" s="1212" t="e">
        <f t="shared" ca="1" si="255"/>
        <v>#N/A</v>
      </c>
      <c r="BS342" s="1213" t="e">
        <f t="shared" ca="1" si="256"/>
        <v>#N/A</v>
      </c>
      <c r="BT342" s="1587">
        <f t="shared" si="257"/>
        <v>0</v>
      </c>
      <c r="BW342" s="1212" t="e">
        <f t="shared" ca="1" si="258"/>
        <v>#N/A</v>
      </c>
      <c r="BX342" s="1213" t="e">
        <f t="shared" ca="1" si="259"/>
        <v>#N/A</v>
      </c>
      <c r="BY342" s="1587">
        <f t="shared" si="260"/>
        <v>0</v>
      </c>
      <c r="CB342" s="1212" t="e">
        <f t="shared" ca="1" si="261"/>
        <v>#N/A</v>
      </c>
      <c r="CC342" s="1213" t="e">
        <f t="shared" ca="1" si="262"/>
        <v>#N/A</v>
      </c>
      <c r="CD342" s="1587">
        <f t="shared" si="263"/>
        <v>0</v>
      </c>
      <c r="CG342" s="1212" t="e">
        <f t="shared" ca="1" si="264"/>
        <v>#N/A</v>
      </c>
      <c r="CH342" s="1213" t="e">
        <f t="shared" ca="1" si="265"/>
        <v>#N/A</v>
      </c>
      <c r="CI342" s="1587">
        <f t="shared" si="266"/>
        <v>0</v>
      </c>
      <c r="CL342" s="1212" t="e">
        <f t="shared" ca="1" si="267"/>
        <v>#N/A</v>
      </c>
      <c r="CM342" s="1213" t="e">
        <f t="shared" ca="1" si="268"/>
        <v>#N/A</v>
      </c>
      <c r="CN342" s="1587">
        <f t="shared" si="269"/>
        <v>0</v>
      </c>
    </row>
    <row r="343" spans="1:92">
      <c r="A343" s="141">
        <f>'銀行-TSS'!A343</f>
        <v>0</v>
      </c>
      <c r="B343" s="151">
        <f ca="1">VLOOKUP(A343,'銀行-TSS'!A:B,2,FALSE)</f>
        <v>0</v>
      </c>
      <c r="C343" s="151" t="e">
        <f ca="1">VLOOKUP(B343,bond!B:C,2,FALSE)</f>
        <v>#N/A</v>
      </c>
      <c r="D343" s="95" t="e">
        <f>VLOOKUP(A343,'銀行-TSS'!A:C,3,FALSE)</f>
        <v>#N/A</v>
      </c>
      <c r="E343" s="90" t="e">
        <f ca="1">VLOOKUP(A343,'銀行-TSS'!A:G,7,FALSE)</f>
        <v>#N/A</v>
      </c>
      <c r="F343" s="202" t="e">
        <f ca="1">VLOOKUP(A343,'銀行-TSS'!A:H,8,FALSE)</f>
        <v>#N/A</v>
      </c>
      <c r="G343" s="96" t="e">
        <f ca="1">VLOOKUP(A343,'銀行-TSS'!A:K,11,FALSE)</f>
        <v>#N/A</v>
      </c>
      <c r="H343" s="1209" t="e">
        <f ca="1">VLOOKUP(A343,'銀行-TSS'!A:M,13,FALSE)</f>
        <v>#N/A</v>
      </c>
      <c r="I343" s="1213" t="e">
        <f ca="1">VLOOKUP(A343,'銀行-TSS'!A:N,14,FALSE)</f>
        <v>#N/A</v>
      </c>
      <c r="J343" s="1213" t="e">
        <f ca="1">VLOOKUP(A343,'銀行-TSS'!A:O,15,FALSE)</f>
        <v>#N/A</v>
      </c>
      <c r="K343" s="136" t="e">
        <f ca="1">VLOOKUP(A343,'銀行-TSS'!A:V,22,FALSE)</f>
        <v>#N/A</v>
      </c>
      <c r="L343" s="136" t="e">
        <f ca="1">VLOOKUP(A343,'銀行-TSS'!A:AK,37,FALSE)</f>
        <v>#N/A</v>
      </c>
      <c r="M343" s="136" t="str">
        <f ca="1">VLOOKUP(A343,'銀行-TSS'!A:AN,40,FALSE)</f>
        <v/>
      </c>
      <c r="N343" s="136" t="e">
        <f t="shared" ca="1" si="225"/>
        <v>#N/A</v>
      </c>
      <c r="O343" s="1213" t="e">
        <f t="shared" ca="1" si="226"/>
        <v>#N/A</v>
      </c>
      <c r="P343" s="1213" t="e">
        <f ca="1">IF(AND($O$1&gt;=O343,換券單檔!$D$13=D343),I343+INT(($O$1-O343)/N343)*J343,0)</f>
        <v>#N/A</v>
      </c>
      <c r="Q343" s="1213" t="e">
        <f t="shared" ca="1" si="227"/>
        <v>#N/A</v>
      </c>
      <c r="R343" s="1213">
        <f t="shared" si="228"/>
        <v>0</v>
      </c>
      <c r="S343" s="1213">
        <f t="shared" si="229"/>
        <v>0</v>
      </c>
      <c r="T343" s="136">
        <f>IF(OR(R343=0,A343=0),0,IF(AND(V343=TRUE,換券單檔!$D$13=D343),E343,0))</f>
        <v>0</v>
      </c>
      <c r="U343" s="861">
        <f>IF(OR(R343=0,A343=0),0,IF(AND(V343=TRUE,換券單檔!$D$13=D343),H343,0))</f>
        <v>0</v>
      </c>
      <c r="V343" s="136" t="e">
        <f ca="1">IF(OR(B343=換券單檔!$D$3,L343="無",M343&lt;&gt;"",K343="高資產",IFERROR(MATCH(B343,換券單檔!K:K,0),"N")&lt;&gt;"N"),FALSE,IF($V$1="All",TRUE,IF(K343=$V$1,TRUE,FALSE)))</f>
        <v>#N/A</v>
      </c>
      <c r="W343" s="136" t="e">
        <f ca="1">VLOOKUP(A343,'銀行-TSS'!A:AO,41,FALSE)</f>
        <v>#N/A</v>
      </c>
      <c r="X343" s="136" t="e">
        <f ca="1">VLOOKUP(A343,'銀行-TSS'!A:AP,42,FALSE)</f>
        <v>#N/A</v>
      </c>
      <c r="Y343" s="1220">
        <f t="shared" si="230"/>
        <v>0</v>
      </c>
      <c r="Z343" s="1220">
        <f t="shared" si="231"/>
        <v>0</v>
      </c>
      <c r="AA343" s="136">
        <f>IF(Z343&lt;=0,0,RANK(Z343,Z:Z)+COUNTIF($Z$3:$Z343,Z343)-1)</f>
        <v>0</v>
      </c>
      <c r="AB343" s="1211">
        <f t="shared" ca="1" si="232"/>
        <v>-14896.14</v>
      </c>
      <c r="AC343" s="136">
        <f ca="1">IF(AB343&lt;=0,0,RANK(AB343,AB:AB)+COUNTIF($AB$3:$AB343,AB343)-1)</f>
        <v>0</v>
      </c>
      <c r="AD343" s="1123">
        <f t="shared" si="233"/>
        <v>99999</v>
      </c>
      <c r="AE343" s="1123">
        <f>IF(AD343=99999,0,RANK(AD343,AD:AD,1)+COUNTIF($AD$3:$AD343,AD343)-1)</f>
        <v>0</v>
      </c>
      <c r="AF343" s="86" t="e">
        <f ca="1">IF(OR(M343&lt;&gt;"",L343="無",K343="高資產",IFERROR(MATCH(B343,換券單檔!K:K,0),"N")&lt;&gt;"N"),FALSE,TRUE)</f>
        <v>#N/A</v>
      </c>
      <c r="AI343" s="1212" t="e">
        <f t="shared" ca="1" si="234"/>
        <v>#N/A</v>
      </c>
      <c r="AJ343" s="1213" t="e">
        <f t="shared" ca="1" si="235"/>
        <v>#N/A</v>
      </c>
      <c r="AK343" s="1587">
        <f t="shared" si="236"/>
        <v>0</v>
      </c>
      <c r="AN343" s="1212" t="e">
        <f t="shared" ca="1" si="237"/>
        <v>#N/A</v>
      </c>
      <c r="AO343" s="1213" t="e">
        <f t="shared" ca="1" si="238"/>
        <v>#N/A</v>
      </c>
      <c r="AP343" s="1587">
        <f t="shared" si="239"/>
        <v>0</v>
      </c>
      <c r="AS343" s="1212" t="e">
        <f t="shared" ca="1" si="240"/>
        <v>#N/A</v>
      </c>
      <c r="AT343" s="1213" t="e">
        <f t="shared" ca="1" si="241"/>
        <v>#N/A</v>
      </c>
      <c r="AU343" s="1587">
        <f t="shared" si="242"/>
        <v>0</v>
      </c>
      <c r="AX343" s="1212" t="e">
        <f t="shared" ca="1" si="243"/>
        <v>#N/A</v>
      </c>
      <c r="AY343" s="1213" t="e">
        <f t="shared" ca="1" si="244"/>
        <v>#N/A</v>
      </c>
      <c r="AZ343" s="1587">
        <f t="shared" si="245"/>
        <v>0</v>
      </c>
      <c r="BC343" s="1212" t="e">
        <f t="shared" ca="1" si="246"/>
        <v>#N/A</v>
      </c>
      <c r="BD343" s="1213" t="e">
        <f t="shared" ca="1" si="247"/>
        <v>#N/A</v>
      </c>
      <c r="BE343" s="1587">
        <f t="shared" si="248"/>
        <v>0</v>
      </c>
      <c r="BH343" s="1212" t="e">
        <f t="shared" ca="1" si="249"/>
        <v>#N/A</v>
      </c>
      <c r="BI343" s="1213" t="e">
        <f t="shared" ca="1" si="250"/>
        <v>#N/A</v>
      </c>
      <c r="BJ343" s="1587">
        <f t="shared" si="251"/>
        <v>0</v>
      </c>
      <c r="BM343" s="1212" t="e">
        <f t="shared" ca="1" si="252"/>
        <v>#N/A</v>
      </c>
      <c r="BN343" s="1213" t="e">
        <f t="shared" ca="1" si="253"/>
        <v>#N/A</v>
      </c>
      <c r="BO343" s="1587">
        <f t="shared" si="254"/>
        <v>0</v>
      </c>
      <c r="BR343" s="1212" t="e">
        <f t="shared" ca="1" si="255"/>
        <v>#N/A</v>
      </c>
      <c r="BS343" s="1213" t="e">
        <f t="shared" ca="1" si="256"/>
        <v>#N/A</v>
      </c>
      <c r="BT343" s="1587">
        <f t="shared" si="257"/>
        <v>0</v>
      </c>
      <c r="BW343" s="1212" t="e">
        <f t="shared" ca="1" si="258"/>
        <v>#N/A</v>
      </c>
      <c r="BX343" s="1213" t="e">
        <f t="shared" ca="1" si="259"/>
        <v>#N/A</v>
      </c>
      <c r="BY343" s="1587">
        <f t="shared" si="260"/>
        <v>0</v>
      </c>
      <c r="CB343" s="1212" t="e">
        <f t="shared" ca="1" si="261"/>
        <v>#N/A</v>
      </c>
      <c r="CC343" s="1213" t="e">
        <f t="shared" ca="1" si="262"/>
        <v>#N/A</v>
      </c>
      <c r="CD343" s="1587">
        <f t="shared" si="263"/>
        <v>0</v>
      </c>
      <c r="CG343" s="1212" t="e">
        <f t="shared" ca="1" si="264"/>
        <v>#N/A</v>
      </c>
      <c r="CH343" s="1213" t="e">
        <f t="shared" ca="1" si="265"/>
        <v>#N/A</v>
      </c>
      <c r="CI343" s="1587">
        <f t="shared" si="266"/>
        <v>0</v>
      </c>
      <c r="CL343" s="1212" t="e">
        <f t="shared" ca="1" si="267"/>
        <v>#N/A</v>
      </c>
      <c r="CM343" s="1213" t="e">
        <f t="shared" ca="1" si="268"/>
        <v>#N/A</v>
      </c>
      <c r="CN343" s="1587">
        <f t="shared" si="269"/>
        <v>0</v>
      </c>
    </row>
    <row r="344" spans="1:92">
      <c r="A344" s="141">
        <f>'銀行-TSS'!A344</f>
        <v>0</v>
      </c>
      <c r="B344" s="151">
        <f ca="1">VLOOKUP(A344,'銀行-TSS'!A:B,2,FALSE)</f>
        <v>0</v>
      </c>
      <c r="C344" s="151" t="e">
        <f ca="1">VLOOKUP(B344,bond!B:C,2,FALSE)</f>
        <v>#N/A</v>
      </c>
      <c r="D344" s="95" t="e">
        <f>VLOOKUP(A344,'銀行-TSS'!A:C,3,FALSE)</f>
        <v>#N/A</v>
      </c>
      <c r="E344" s="90" t="e">
        <f ca="1">VLOOKUP(A344,'銀行-TSS'!A:G,7,FALSE)</f>
        <v>#N/A</v>
      </c>
      <c r="F344" s="202" t="e">
        <f ca="1">VLOOKUP(A344,'銀行-TSS'!A:H,8,FALSE)</f>
        <v>#N/A</v>
      </c>
      <c r="G344" s="96" t="e">
        <f ca="1">VLOOKUP(A344,'銀行-TSS'!A:K,11,FALSE)</f>
        <v>#N/A</v>
      </c>
      <c r="H344" s="1209" t="e">
        <f ca="1">VLOOKUP(A344,'銀行-TSS'!A:M,13,FALSE)</f>
        <v>#N/A</v>
      </c>
      <c r="I344" s="1213" t="e">
        <f ca="1">VLOOKUP(A344,'銀行-TSS'!A:N,14,FALSE)</f>
        <v>#N/A</v>
      </c>
      <c r="J344" s="1213" t="e">
        <f ca="1">VLOOKUP(A344,'銀行-TSS'!A:O,15,FALSE)</f>
        <v>#N/A</v>
      </c>
      <c r="K344" s="136" t="e">
        <f ca="1">VLOOKUP(A344,'銀行-TSS'!A:V,22,FALSE)</f>
        <v>#N/A</v>
      </c>
      <c r="L344" s="136" t="e">
        <f ca="1">VLOOKUP(A344,'銀行-TSS'!A:AK,37,FALSE)</f>
        <v>#N/A</v>
      </c>
      <c r="M344" s="136" t="str">
        <f ca="1">VLOOKUP(A344,'銀行-TSS'!A:AN,40,FALSE)</f>
        <v/>
      </c>
      <c r="N344" s="136" t="e">
        <f t="shared" ca="1" si="225"/>
        <v>#N/A</v>
      </c>
      <c r="O344" s="1213" t="e">
        <f t="shared" ca="1" si="226"/>
        <v>#N/A</v>
      </c>
      <c r="P344" s="1213" t="e">
        <f ca="1">IF(AND($O$1&gt;=O344,換券單檔!$D$13=D344),I344+INT(($O$1-O344)/N344)*J344,0)</f>
        <v>#N/A</v>
      </c>
      <c r="Q344" s="1213" t="e">
        <f t="shared" ca="1" si="227"/>
        <v>#N/A</v>
      </c>
      <c r="R344" s="1213">
        <f t="shared" si="228"/>
        <v>0</v>
      </c>
      <c r="S344" s="1213">
        <f t="shared" si="229"/>
        <v>0</v>
      </c>
      <c r="T344" s="136">
        <f>IF(OR(R344=0,A344=0),0,IF(AND(V344=TRUE,換券單檔!$D$13=D344),E344,0))</f>
        <v>0</v>
      </c>
      <c r="U344" s="861">
        <f>IF(OR(R344=0,A344=0),0,IF(AND(V344=TRUE,換券單檔!$D$13=D344),H344,0))</f>
        <v>0</v>
      </c>
      <c r="V344" s="136" t="e">
        <f ca="1">IF(OR(B344=換券單檔!$D$3,L344="無",M344&lt;&gt;"",K344="高資產",IFERROR(MATCH(B344,換券單檔!K:K,0),"N")&lt;&gt;"N"),FALSE,IF($V$1="All",TRUE,IF(K344=$V$1,TRUE,FALSE)))</f>
        <v>#N/A</v>
      </c>
      <c r="W344" s="136" t="e">
        <f ca="1">VLOOKUP(A344,'銀行-TSS'!A:AO,41,FALSE)</f>
        <v>#N/A</v>
      </c>
      <c r="X344" s="136" t="e">
        <f ca="1">VLOOKUP(A344,'銀行-TSS'!A:AP,42,FALSE)</f>
        <v>#N/A</v>
      </c>
      <c r="Y344" s="1220">
        <f t="shared" si="230"/>
        <v>0</v>
      </c>
      <c r="Z344" s="1220">
        <f t="shared" si="231"/>
        <v>0</v>
      </c>
      <c r="AA344" s="136">
        <f>IF(Z344&lt;=0,0,RANK(Z344,Z:Z)+COUNTIF($Z$3:$Z344,Z344)-1)</f>
        <v>0</v>
      </c>
      <c r="AB344" s="1211">
        <f t="shared" ca="1" si="232"/>
        <v>-14896.14</v>
      </c>
      <c r="AC344" s="136">
        <f ca="1">IF(AB344&lt;=0,0,RANK(AB344,AB:AB)+COUNTIF($AB$3:$AB344,AB344)-1)</f>
        <v>0</v>
      </c>
      <c r="AD344" s="1123">
        <f t="shared" si="233"/>
        <v>99999</v>
      </c>
      <c r="AE344" s="1123">
        <f>IF(AD344=99999,0,RANK(AD344,AD:AD,1)+COUNTIF($AD$3:$AD344,AD344)-1)</f>
        <v>0</v>
      </c>
      <c r="AF344" s="86" t="e">
        <f ca="1">IF(OR(M344&lt;&gt;"",L344="無",K344="高資產",IFERROR(MATCH(B344,換券單檔!K:K,0),"N")&lt;&gt;"N"),FALSE,TRUE)</f>
        <v>#N/A</v>
      </c>
      <c r="AI344" s="1212" t="e">
        <f t="shared" ca="1" si="234"/>
        <v>#N/A</v>
      </c>
      <c r="AJ344" s="1213" t="e">
        <f t="shared" ca="1" si="235"/>
        <v>#N/A</v>
      </c>
      <c r="AK344" s="1587">
        <f t="shared" si="236"/>
        <v>0</v>
      </c>
      <c r="AN344" s="1212" t="e">
        <f t="shared" ca="1" si="237"/>
        <v>#N/A</v>
      </c>
      <c r="AO344" s="1213" t="e">
        <f t="shared" ca="1" si="238"/>
        <v>#N/A</v>
      </c>
      <c r="AP344" s="1587">
        <f t="shared" si="239"/>
        <v>0</v>
      </c>
      <c r="AS344" s="1212" t="e">
        <f t="shared" ca="1" si="240"/>
        <v>#N/A</v>
      </c>
      <c r="AT344" s="1213" t="e">
        <f t="shared" ca="1" si="241"/>
        <v>#N/A</v>
      </c>
      <c r="AU344" s="1587">
        <f t="shared" si="242"/>
        <v>0</v>
      </c>
      <c r="AX344" s="1212" t="e">
        <f t="shared" ca="1" si="243"/>
        <v>#N/A</v>
      </c>
      <c r="AY344" s="1213" t="e">
        <f t="shared" ca="1" si="244"/>
        <v>#N/A</v>
      </c>
      <c r="AZ344" s="1587">
        <f t="shared" si="245"/>
        <v>0</v>
      </c>
      <c r="BC344" s="1212" t="e">
        <f t="shared" ca="1" si="246"/>
        <v>#N/A</v>
      </c>
      <c r="BD344" s="1213" t="e">
        <f t="shared" ca="1" si="247"/>
        <v>#N/A</v>
      </c>
      <c r="BE344" s="1587">
        <f t="shared" si="248"/>
        <v>0</v>
      </c>
      <c r="BH344" s="1212" t="e">
        <f t="shared" ca="1" si="249"/>
        <v>#N/A</v>
      </c>
      <c r="BI344" s="1213" t="e">
        <f t="shared" ca="1" si="250"/>
        <v>#N/A</v>
      </c>
      <c r="BJ344" s="1587">
        <f t="shared" si="251"/>
        <v>0</v>
      </c>
      <c r="BM344" s="1212" t="e">
        <f t="shared" ca="1" si="252"/>
        <v>#N/A</v>
      </c>
      <c r="BN344" s="1213" t="e">
        <f t="shared" ca="1" si="253"/>
        <v>#N/A</v>
      </c>
      <c r="BO344" s="1587">
        <f t="shared" si="254"/>
        <v>0</v>
      </c>
      <c r="BR344" s="1212" t="e">
        <f t="shared" ca="1" si="255"/>
        <v>#N/A</v>
      </c>
      <c r="BS344" s="1213" t="e">
        <f t="shared" ca="1" si="256"/>
        <v>#N/A</v>
      </c>
      <c r="BT344" s="1587">
        <f t="shared" si="257"/>
        <v>0</v>
      </c>
      <c r="BW344" s="1212" t="e">
        <f t="shared" ca="1" si="258"/>
        <v>#N/A</v>
      </c>
      <c r="BX344" s="1213" t="e">
        <f t="shared" ca="1" si="259"/>
        <v>#N/A</v>
      </c>
      <c r="BY344" s="1587">
        <f t="shared" si="260"/>
        <v>0</v>
      </c>
      <c r="CB344" s="1212" t="e">
        <f t="shared" ca="1" si="261"/>
        <v>#N/A</v>
      </c>
      <c r="CC344" s="1213" t="e">
        <f t="shared" ca="1" si="262"/>
        <v>#N/A</v>
      </c>
      <c r="CD344" s="1587">
        <f t="shared" si="263"/>
        <v>0</v>
      </c>
      <c r="CG344" s="1212" t="e">
        <f t="shared" ca="1" si="264"/>
        <v>#N/A</v>
      </c>
      <c r="CH344" s="1213" t="e">
        <f t="shared" ca="1" si="265"/>
        <v>#N/A</v>
      </c>
      <c r="CI344" s="1587">
        <f t="shared" si="266"/>
        <v>0</v>
      </c>
      <c r="CL344" s="1212" t="e">
        <f t="shared" ca="1" si="267"/>
        <v>#N/A</v>
      </c>
      <c r="CM344" s="1213" t="e">
        <f t="shared" ca="1" si="268"/>
        <v>#N/A</v>
      </c>
      <c r="CN344" s="1587">
        <f t="shared" si="269"/>
        <v>0</v>
      </c>
    </row>
    <row r="345" spans="1:92">
      <c r="A345" s="141">
        <f>'銀行-TSS'!A345</f>
        <v>0</v>
      </c>
      <c r="B345" s="151">
        <f ca="1">VLOOKUP(A345,'銀行-TSS'!A:B,2,FALSE)</f>
        <v>0</v>
      </c>
      <c r="C345" s="151" t="e">
        <f ca="1">VLOOKUP(B345,bond!B:C,2,FALSE)</f>
        <v>#N/A</v>
      </c>
      <c r="D345" s="95" t="e">
        <f>VLOOKUP(A345,'銀行-TSS'!A:C,3,FALSE)</f>
        <v>#N/A</v>
      </c>
      <c r="E345" s="90" t="e">
        <f ca="1">VLOOKUP(A345,'銀行-TSS'!A:G,7,FALSE)</f>
        <v>#N/A</v>
      </c>
      <c r="F345" s="202" t="e">
        <f ca="1">VLOOKUP(A345,'銀行-TSS'!A:H,8,FALSE)</f>
        <v>#N/A</v>
      </c>
      <c r="G345" s="96" t="e">
        <f ca="1">VLOOKUP(A345,'銀行-TSS'!A:K,11,FALSE)</f>
        <v>#N/A</v>
      </c>
      <c r="H345" s="1209" t="e">
        <f ca="1">VLOOKUP(A345,'銀行-TSS'!A:M,13,FALSE)</f>
        <v>#N/A</v>
      </c>
      <c r="I345" s="1213" t="e">
        <f ca="1">VLOOKUP(A345,'銀行-TSS'!A:N,14,FALSE)</f>
        <v>#N/A</v>
      </c>
      <c r="J345" s="1213" t="e">
        <f ca="1">VLOOKUP(A345,'銀行-TSS'!A:O,15,FALSE)</f>
        <v>#N/A</v>
      </c>
      <c r="K345" s="136" t="e">
        <f ca="1">VLOOKUP(A345,'銀行-TSS'!A:V,22,FALSE)</f>
        <v>#N/A</v>
      </c>
      <c r="L345" s="136" t="e">
        <f ca="1">VLOOKUP(A345,'銀行-TSS'!A:AK,37,FALSE)</f>
        <v>#N/A</v>
      </c>
      <c r="M345" s="136" t="str">
        <f ca="1">VLOOKUP(A345,'銀行-TSS'!A:AN,40,FALSE)</f>
        <v/>
      </c>
      <c r="N345" s="136" t="e">
        <f t="shared" ca="1" si="225"/>
        <v>#N/A</v>
      </c>
      <c r="O345" s="1213" t="e">
        <f t="shared" ca="1" si="226"/>
        <v>#N/A</v>
      </c>
      <c r="P345" s="1213" t="e">
        <f ca="1">IF(AND($O$1&gt;=O345,換券單檔!$D$13=D345),I345+INT(($O$1-O345)/N345)*J345,0)</f>
        <v>#N/A</v>
      </c>
      <c r="Q345" s="1213" t="e">
        <f t="shared" ca="1" si="227"/>
        <v>#N/A</v>
      </c>
      <c r="R345" s="1213">
        <f t="shared" si="228"/>
        <v>0</v>
      </c>
      <c r="S345" s="1213">
        <f t="shared" si="229"/>
        <v>0</v>
      </c>
      <c r="T345" s="136">
        <f>IF(OR(R345=0,A345=0),0,IF(AND(V345=TRUE,換券單檔!$D$13=D345),E345,0))</f>
        <v>0</v>
      </c>
      <c r="U345" s="861">
        <f>IF(OR(R345=0,A345=0),0,IF(AND(V345=TRUE,換券單檔!$D$13=D345),H345,0))</f>
        <v>0</v>
      </c>
      <c r="V345" s="136" t="e">
        <f ca="1">IF(OR(B345=換券單檔!$D$3,L345="無",M345&lt;&gt;"",K345="高資產",IFERROR(MATCH(B345,換券單檔!K:K,0),"N")&lt;&gt;"N"),FALSE,IF($V$1="All",TRUE,IF(K345=$V$1,TRUE,FALSE)))</f>
        <v>#N/A</v>
      </c>
      <c r="W345" s="136" t="e">
        <f ca="1">VLOOKUP(A345,'銀行-TSS'!A:AO,41,FALSE)</f>
        <v>#N/A</v>
      </c>
      <c r="X345" s="136" t="e">
        <f ca="1">VLOOKUP(A345,'銀行-TSS'!A:AP,42,FALSE)</f>
        <v>#N/A</v>
      </c>
      <c r="Y345" s="1220">
        <f t="shared" si="230"/>
        <v>0</v>
      </c>
      <c r="Z345" s="1220">
        <f t="shared" si="231"/>
        <v>0</v>
      </c>
      <c r="AA345" s="136">
        <f>IF(Z345&lt;=0,0,RANK(Z345,Z:Z)+COUNTIF($Z$3:$Z345,Z345)-1)</f>
        <v>0</v>
      </c>
      <c r="AB345" s="1211">
        <f t="shared" ca="1" si="232"/>
        <v>-14896.14</v>
      </c>
      <c r="AC345" s="136">
        <f ca="1">IF(AB345&lt;=0,0,RANK(AB345,AB:AB)+COUNTIF($AB$3:$AB345,AB345)-1)</f>
        <v>0</v>
      </c>
      <c r="AD345" s="1123">
        <f t="shared" si="233"/>
        <v>99999</v>
      </c>
      <c r="AE345" s="1123">
        <f>IF(AD345=99999,0,RANK(AD345,AD:AD,1)+COUNTIF($AD$3:$AD345,AD345)-1)</f>
        <v>0</v>
      </c>
      <c r="AF345" s="86" t="e">
        <f ca="1">IF(OR(M345&lt;&gt;"",L345="無",K345="高資產",IFERROR(MATCH(B345,換券單檔!K:K,0),"N")&lt;&gt;"N"),FALSE,TRUE)</f>
        <v>#N/A</v>
      </c>
      <c r="AI345" s="1212" t="e">
        <f t="shared" ca="1" si="234"/>
        <v>#N/A</v>
      </c>
      <c r="AJ345" s="1213" t="e">
        <f t="shared" ca="1" si="235"/>
        <v>#N/A</v>
      </c>
      <c r="AK345" s="1587">
        <f t="shared" si="236"/>
        <v>0</v>
      </c>
      <c r="AN345" s="1212" t="e">
        <f t="shared" ca="1" si="237"/>
        <v>#N/A</v>
      </c>
      <c r="AO345" s="1213" t="e">
        <f t="shared" ca="1" si="238"/>
        <v>#N/A</v>
      </c>
      <c r="AP345" s="1587">
        <f t="shared" si="239"/>
        <v>0</v>
      </c>
      <c r="AS345" s="1212" t="e">
        <f t="shared" ca="1" si="240"/>
        <v>#N/A</v>
      </c>
      <c r="AT345" s="1213" t="e">
        <f t="shared" ca="1" si="241"/>
        <v>#N/A</v>
      </c>
      <c r="AU345" s="1587">
        <f t="shared" si="242"/>
        <v>0</v>
      </c>
      <c r="AX345" s="1212" t="e">
        <f t="shared" ca="1" si="243"/>
        <v>#N/A</v>
      </c>
      <c r="AY345" s="1213" t="e">
        <f t="shared" ca="1" si="244"/>
        <v>#N/A</v>
      </c>
      <c r="AZ345" s="1587">
        <f t="shared" si="245"/>
        <v>0</v>
      </c>
      <c r="BC345" s="1212" t="e">
        <f t="shared" ca="1" si="246"/>
        <v>#N/A</v>
      </c>
      <c r="BD345" s="1213" t="e">
        <f t="shared" ca="1" si="247"/>
        <v>#N/A</v>
      </c>
      <c r="BE345" s="1587">
        <f t="shared" si="248"/>
        <v>0</v>
      </c>
      <c r="BH345" s="1212" t="e">
        <f t="shared" ca="1" si="249"/>
        <v>#N/A</v>
      </c>
      <c r="BI345" s="1213" t="e">
        <f t="shared" ca="1" si="250"/>
        <v>#N/A</v>
      </c>
      <c r="BJ345" s="1587">
        <f t="shared" si="251"/>
        <v>0</v>
      </c>
      <c r="BM345" s="1212" t="e">
        <f t="shared" ca="1" si="252"/>
        <v>#N/A</v>
      </c>
      <c r="BN345" s="1213" t="e">
        <f t="shared" ca="1" si="253"/>
        <v>#N/A</v>
      </c>
      <c r="BO345" s="1587">
        <f t="shared" si="254"/>
        <v>0</v>
      </c>
      <c r="BR345" s="1212" t="e">
        <f t="shared" ca="1" si="255"/>
        <v>#N/A</v>
      </c>
      <c r="BS345" s="1213" t="e">
        <f t="shared" ca="1" si="256"/>
        <v>#N/A</v>
      </c>
      <c r="BT345" s="1587">
        <f t="shared" si="257"/>
        <v>0</v>
      </c>
      <c r="BW345" s="1212" t="e">
        <f t="shared" ca="1" si="258"/>
        <v>#N/A</v>
      </c>
      <c r="BX345" s="1213" t="e">
        <f t="shared" ca="1" si="259"/>
        <v>#N/A</v>
      </c>
      <c r="BY345" s="1587">
        <f t="shared" si="260"/>
        <v>0</v>
      </c>
      <c r="CB345" s="1212" t="e">
        <f t="shared" ca="1" si="261"/>
        <v>#N/A</v>
      </c>
      <c r="CC345" s="1213" t="e">
        <f t="shared" ca="1" si="262"/>
        <v>#N/A</v>
      </c>
      <c r="CD345" s="1587">
        <f t="shared" si="263"/>
        <v>0</v>
      </c>
      <c r="CG345" s="1212" t="e">
        <f t="shared" ca="1" si="264"/>
        <v>#N/A</v>
      </c>
      <c r="CH345" s="1213" t="e">
        <f t="shared" ca="1" si="265"/>
        <v>#N/A</v>
      </c>
      <c r="CI345" s="1587">
        <f t="shared" si="266"/>
        <v>0</v>
      </c>
      <c r="CL345" s="1212" t="e">
        <f t="shared" ca="1" si="267"/>
        <v>#N/A</v>
      </c>
      <c r="CM345" s="1213" t="e">
        <f t="shared" ca="1" si="268"/>
        <v>#N/A</v>
      </c>
      <c r="CN345" s="1587">
        <f t="shared" si="269"/>
        <v>0</v>
      </c>
    </row>
    <row r="346" spans="1:92">
      <c r="A346" s="141">
        <f>'銀行-TSS'!A346</f>
        <v>0</v>
      </c>
      <c r="B346" s="151">
        <f ca="1">VLOOKUP(A346,'銀行-TSS'!A:B,2,FALSE)</f>
        <v>0</v>
      </c>
      <c r="C346" s="151" t="e">
        <f ca="1">VLOOKUP(B346,bond!B:C,2,FALSE)</f>
        <v>#N/A</v>
      </c>
      <c r="D346" s="95" t="e">
        <f>VLOOKUP(A346,'銀行-TSS'!A:C,3,FALSE)</f>
        <v>#N/A</v>
      </c>
      <c r="E346" s="90" t="e">
        <f ca="1">VLOOKUP(A346,'銀行-TSS'!A:G,7,FALSE)</f>
        <v>#N/A</v>
      </c>
      <c r="F346" s="202" t="e">
        <f ca="1">VLOOKUP(A346,'銀行-TSS'!A:H,8,FALSE)</f>
        <v>#N/A</v>
      </c>
      <c r="G346" s="96" t="e">
        <f ca="1">VLOOKUP(A346,'銀行-TSS'!A:K,11,FALSE)</f>
        <v>#N/A</v>
      </c>
      <c r="H346" s="1209" t="e">
        <f ca="1">VLOOKUP(A346,'銀行-TSS'!A:M,13,FALSE)</f>
        <v>#N/A</v>
      </c>
      <c r="I346" s="1213" t="e">
        <f ca="1">VLOOKUP(A346,'銀行-TSS'!A:N,14,FALSE)</f>
        <v>#N/A</v>
      </c>
      <c r="J346" s="1213" t="e">
        <f ca="1">VLOOKUP(A346,'銀行-TSS'!A:O,15,FALSE)</f>
        <v>#N/A</v>
      </c>
      <c r="K346" s="136" t="e">
        <f ca="1">VLOOKUP(A346,'銀行-TSS'!A:V,22,FALSE)</f>
        <v>#N/A</v>
      </c>
      <c r="L346" s="136" t="e">
        <f ca="1">VLOOKUP(A346,'銀行-TSS'!A:AK,37,FALSE)</f>
        <v>#N/A</v>
      </c>
      <c r="M346" s="136" t="str">
        <f ca="1">VLOOKUP(A346,'銀行-TSS'!A:AN,40,FALSE)</f>
        <v/>
      </c>
      <c r="N346" s="136" t="e">
        <f t="shared" ca="1" si="225"/>
        <v>#N/A</v>
      </c>
      <c r="O346" s="1213" t="e">
        <f t="shared" ca="1" si="226"/>
        <v>#N/A</v>
      </c>
      <c r="P346" s="1213" t="e">
        <f ca="1">IF(AND($O$1&gt;=O346,換券單檔!$D$13=D346),I346+INT(($O$1-O346)/N346)*J346,0)</f>
        <v>#N/A</v>
      </c>
      <c r="Q346" s="1213" t="e">
        <f t="shared" ca="1" si="227"/>
        <v>#N/A</v>
      </c>
      <c r="R346" s="1213">
        <f t="shared" si="228"/>
        <v>0</v>
      </c>
      <c r="S346" s="1213">
        <f t="shared" si="229"/>
        <v>0</v>
      </c>
      <c r="T346" s="136">
        <f>IF(OR(R346=0,A346=0),0,IF(AND(V346=TRUE,換券單檔!$D$13=D346),E346,0))</f>
        <v>0</v>
      </c>
      <c r="U346" s="861">
        <f>IF(OR(R346=0,A346=0),0,IF(AND(V346=TRUE,換券單檔!$D$13=D346),H346,0))</f>
        <v>0</v>
      </c>
      <c r="V346" s="136" t="e">
        <f ca="1">IF(OR(B346=換券單檔!$D$3,L346="無",M346&lt;&gt;"",K346="高資產",IFERROR(MATCH(B346,換券單檔!K:K,0),"N")&lt;&gt;"N"),FALSE,IF($V$1="All",TRUE,IF(K346=$V$1,TRUE,FALSE)))</f>
        <v>#N/A</v>
      </c>
      <c r="W346" s="136" t="e">
        <f ca="1">VLOOKUP(A346,'銀行-TSS'!A:AO,41,FALSE)</f>
        <v>#N/A</v>
      </c>
      <c r="X346" s="136" t="e">
        <f ca="1">VLOOKUP(A346,'銀行-TSS'!A:AP,42,FALSE)</f>
        <v>#N/A</v>
      </c>
      <c r="Y346" s="1220">
        <f t="shared" si="230"/>
        <v>0</v>
      </c>
      <c r="Z346" s="1220">
        <f t="shared" si="231"/>
        <v>0</v>
      </c>
      <c r="AA346" s="136">
        <f>IF(Z346&lt;=0,0,RANK(Z346,Z:Z)+COUNTIF($Z$3:$Z346,Z346)-1)</f>
        <v>0</v>
      </c>
      <c r="AB346" s="1211">
        <f t="shared" ca="1" si="232"/>
        <v>-14896.14</v>
      </c>
      <c r="AC346" s="136">
        <f ca="1">IF(AB346&lt;=0,0,RANK(AB346,AB:AB)+COUNTIF($AB$3:$AB346,AB346)-1)</f>
        <v>0</v>
      </c>
      <c r="AD346" s="1123">
        <f t="shared" si="233"/>
        <v>99999</v>
      </c>
      <c r="AE346" s="1123">
        <f>IF(AD346=99999,0,RANK(AD346,AD:AD,1)+COUNTIF($AD$3:$AD346,AD346)-1)</f>
        <v>0</v>
      </c>
      <c r="AF346" s="86" t="e">
        <f ca="1">IF(OR(M346&lt;&gt;"",L346="無",K346="高資產",IFERROR(MATCH(B346,換券單檔!K:K,0),"N")&lt;&gt;"N"),FALSE,TRUE)</f>
        <v>#N/A</v>
      </c>
      <c r="AI346" s="1212" t="e">
        <f t="shared" ca="1" si="234"/>
        <v>#N/A</v>
      </c>
      <c r="AJ346" s="1213" t="e">
        <f t="shared" ca="1" si="235"/>
        <v>#N/A</v>
      </c>
      <c r="AK346" s="1587">
        <f t="shared" si="236"/>
        <v>0</v>
      </c>
      <c r="AN346" s="1212" t="e">
        <f t="shared" ca="1" si="237"/>
        <v>#N/A</v>
      </c>
      <c r="AO346" s="1213" t="e">
        <f t="shared" ca="1" si="238"/>
        <v>#N/A</v>
      </c>
      <c r="AP346" s="1587">
        <f t="shared" si="239"/>
        <v>0</v>
      </c>
      <c r="AS346" s="1212" t="e">
        <f t="shared" ca="1" si="240"/>
        <v>#N/A</v>
      </c>
      <c r="AT346" s="1213" t="e">
        <f t="shared" ca="1" si="241"/>
        <v>#N/A</v>
      </c>
      <c r="AU346" s="1587">
        <f t="shared" si="242"/>
        <v>0</v>
      </c>
      <c r="AX346" s="1212" t="e">
        <f t="shared" ca="1" si="243"/>
        <v>#N/A</v>
      </c>
      <c r="AY346" s="1213" t="e">
        <f t="shared" ca="1" si="244"/>
        <v>#N/A</v>
      </c>
      <c r="AZ346" s="1587">
        <f t="shared" si="245"/>
        <v>0</v>
      </c>
      <c r="BC346" s="1212" t="e">
        <f t="shared" ca="1" si="246"/>
        <v>#N/A</v>
      </c>
      <c r="BD346" s="1213" t="e">
        <f t="shared" ca="1" si="247"/>
        <v>#N/A</v>
      </c>
      <c r="BE346" s="1587">
        <f t="shared" si="248"/>
        <v>0</v>
      </c>
      <c r="BH346" s="1212" t="e">
        <f t="shared" ca="1" si="249"/>
        <v>#N/A</v>
      </c>
      <c r="BI346" s="1213" t="e">
        <f t="shared" ca="1" si="250"/>
        <v>#N/A</v>
      </c>
      <c r="BJ346" s="1587">
        <f t="shared" si="251"/>
        <v>0</v>
      </c>
      <c r="BM346" s="1212" t="e">
        <f t="shared" ca="1" si="252"/>
        <v>#N/A</v>
      </c>
      <c r="BN346" s="1213" t="e">
        <f t="shared" ca="1" si="253"/>
        <v>#N/A</v>
      </c>
      <c r="BO346" s="1587">
        <f t="shared" si="254"/>
        <v>0</v>
      </c>
      <c r="BR346" s="1212" t="e">
        <f t="shared" ca="1" si="255"/>
        <v>#N/A</v>
      </c>
      <c r="BS346" s="1213" t="e">
        <f t="shared" ca="1" si="256"/>
        <v>#N/A</v>
      </c>
      <c r="BT346" s="1587">
        <f t="shared" si="257"/>
        <v>0</v>
      </c>
      <c r="BW346" s="1212" t="e">
        <f t="shared" ca="1" si="258"/>
        <v>#N/A</v>
      </c>
      <c r="BX346" s="1213" t="e">
        <f t="shared" ca="1" si="259"/>
        <v>#N/A</v>
      </c>
      <c r="BY346" s="1587">
        <f t="shared" si="260"/>
        <v>0</v>
      </c>
      <c r="CB346" s="1212" t="e">
        <f t="shared" ca="1" si="261"/>
        <v>#N/A</v>
      </c>
      <c r="CC346" s="1213" t="e">
        <f t="shared" ca="1" si="262"/>
        <v>#N/A</v>
      </c>
      <c r="CD346" s="1587">
        <f t="shared" si="263"/>
        <v>0</v>
      </c>
      <c r="CG346" s="1212" t="e">
        <f t="shared" ca="1" si="264"/>
        <v>#N/A</v>
      </c>
      <c r="CH346" s="1213" t="e">
        <f t="shared" ca="1" si="265"/>
        <v>#N/A</v>
      </c>
      <c r="CI346" s="1587">
        <f t="shared" si="266"/>
        <v>0</v>
      </c>
      <c r="CL346" s="1212" t="e">
        <f t="shared" ca="1" si="267"/>
        <v>#N/A</v>
      </c>
      <c r="CM346" s="1213" t="e">
        <f t="shared" ca="1" si="268"/>
        <v>#N/A</v>
      </c>
      <c r="CN346" s="1587">
        <f t="shared" si="269"/>
        <v>0</v>
      </c>
    </row>
    <row r="347" spans="1:92">
      <c r="A347" s="141">
        <f>'銀行-TSS'!A347</f>
        <v>0</v>
      </c>
      <c r="B347" s="151">
        <f ca="1">VLOOKUP(A347,'銀行-TSS'!A:B,2,FALSE)</f>
        <v>0</v>
      </c>
      <c r="C347" s="151" t="e">
        <f ca="1">VLOOKUP(B347,bond!B:C,2,FALSE)</f>
        <v>#N/A</v>
      </c>
      <c r="D347" s="95" t="e">
        <f>VLOOKUP(A347,'銀行-TSS'!A:C,3,FALSE)</f>
        <v>#N/A</v>
      </c>
      <c r="E347" s="90" t="e">
        <f ca="1">VLOOKUP(A347,'銀行-TSS'!A:G,7,FALSE)</f>
        <v>#N/A</v>
      </c>
      <c r="F347" s="202" t="e">
        <f ca="1">VLOOKUP(A347,'銀行-TSS'!A:H,8,FALSE)</f>
        <v>#N/A</v>
      </c>
      <c r="G347" s="96" t="e">
        <f ca="1">VLOOKUP(A347,'銀行-TSS'!A:K,11,FALSE)</f>
        <v>#N/A</v>
      </c>
      <c r="H347" s="1209" t="e">
        <f ca="1">VLOOKUP(A347,'銀行-TSS'!A:M,13,FALSE)</f>
        <v>#N/A</v>
      </c>
      <c r="I347" s="1213" t="e">
        <f ca="1">VLOOKUP(A347,'銀行-TSS'!A:N,14,FALSE)</f>
        <v>#N/A</v>
      </c>
      <c r="J347" s="1213" t="e">
        <f ca="1">VLOOKUP(A347,'銀行-TSS'!A:O,15,FALSE)</f>
        <v>#N/A</v>
      </c>
      <c r="K347" s="136" t="e">
        <f ca="1">VLOOKUP(A347,'銀行-TSS'!A:V,22,FALSE)</f>
        <v>#N/A</v>
      </c>
      <c r="L347" s="136" t="e">
        <f ca="1">VLOOKUP(A347,'銀行-TSS'!A:AK,37,FALSE)</f>
        <v>#N/A</v>
      </c>
      <c r="M347" s="136" t="str">
        <f ca="1">VLOOKUP(A347,'銀行-TSS'!A:AN,40,FALSE)</f>
        <v/>
      </c>
      <c r="N347" s="136" t="e">
        <f t="shared" ca="1" si="225"/>
        <v>#N/A</v>
      </c>
      <c r="O347" s="1213" t="e">
        <f t="shared" ca="1" si="226"/>
        <v>#N/A</v>
      </c>
      <c r="P347" s="1213" t="e">
        <f ca="1">IF(AND($O$1&gt;=O347,換券單檔!$D$13=D347),I347+INT(($O$1-O347)/N347)*J347,0)</f>
        <v>#N/A</v>
      </c>
      <c r="Q347" s="1213" t="e">
        <f t="shared" ca="1" si="227"/>
        <v>#N/A</v>
      </c>
      <c r="R347" s="1213">
        <f t="shared" si="228"/>
        <v>0</v>
      </c>
      <c r="S347" s="1213">
        <f t="shared" si="229"/>
        <v>0</v>
      </c>
      <c r="T347" s="136">
        <f>IF(OR(R347=0,A347=0),0,IF(AND(V347=TRUE,換券單檔!$D$13=D347),E347,0))</f>
        <v>0</v>
      </c>
      <c r="U347" s="861">
        <f>IF(OR(R347=0,A347=0),0,IF(AND(V347=TRUE,換券單檔!$D$13=D347),H347,0))</f>
        <v>0</v>
      </c>
      <c r="V347" s="136" t="e">
        <f ca="1">IF(OR(B347=換券單檔!$D$3,L347="無",M347&lt;&gt;"",K347="高資產",IFERROR(MATCH(B347,換券單檔!K:K,0),"N")&lt;&gt;"N"),FALSE,IF($V$1="All",TRUE,IF(K347=$V$1,TRUE,FALSE)))</f>
        <v>#N/A</v>
      </c>
      <c r="W347" s="136" t="e">
        <f ca="1">VLOOKUP(A347,'銀行-TSS'!A:AO,41,FALSE)</f>
        <v>#N/A</v>
      </c>
      <c r="X347" s="136" t="e">
        <f ca="1">VLOOKUP(A347,'銀行-TSS'!A:AP,42,FALSE)</f>
        <v>#N/A</v>
      </c>
      <c r="Y347" s="1220">
        <f t="shared" si="230"/>
        <v>0</v>
      </c>
      <c r="Z347" s="1220">
        <f t="shared" si="231"/>
        <v>0</v>
      </c>
      <c r="AA347" s="136">
        <f>IF(Z347&lt;=0,0,RANK(Z347,Z:Z)+COUNTIF($Z$3:$Z347,Z347)-1)</f>
        <v>0</v>
      </c>
      <c r="AB347" s="1211">
        <f t="shared" ca="1" si="232"/>
        <v>-14896.14</v>
      </c>
      <c r="AC347" s="136">
        <f ca="1">IF(AB347&lt;=0,0,RANK(AB347,AB:AB)+COUNTIF($AB$3:$AB347,AB347)-1)</f>
        <v>0</v>
      </c>
      <c r="AD347" s="1123">
        <f t="shared" si="233"/>
        <v>99999</v>
      </c>
      <c r="AE347" s="1123">
        <f>IF(AD347=99999,0,RANK(AD347,AD:AD,1)+COUNTIF($AD$3:$AD347,AD347)-1)</f>
        <v>0</v>
      </c>
      <c r="AF347" s="86" t="e">
        <f ca="1">IF(OR(M347&lt;&gt;"",L347="無",K347="高資產",IFERROR(MATCH(B347,換券單檔!K:K,0),"N")&lt;&gt;"N"),FALSE,TRUE)</f>
        <v>#N/A</v>
      </c>
      <c r="AI347" s="1212" t="e">
        <f t="shared" ca="1" si="234"/>
        <v>#N/A</v>
      </c>
      <c r="AJ347" s="1213" t="e">
        <f t="shared" ca="1" si="235"/>
        <v>#N/A</v>
      </c>
      <c r="AK347" s="1587">
        <f t="shared" si="236"/>
        <v>0</v>
      </c>
      <c r="AN347" s="1212" t="e">
        <f t="shared" ca="1" si="237"/>
        <v>#N/A</v>
      </c>
      <c r="AO347" s="1213" t="e">
        <f t="shared" ca="1" si="238"/>
        <v>#N/A</v>
      </c>
      <c r="AP347" s="1587">
        <f t="shared" si="239"/>
        <v>0</v>
      </c>
      <c r="AS347" s="1212" t="e">
        <f t="shared" ca="1" si="240"/>
        <v>#N/A</v>
      </c>
      <c r="AT347" s="1213" t="e">
        <f t="shared" ca="1" si="241"/>
        <v>#N/A</v>
      </c>
      <c r="AU347" s="1587">
        <f t="shared" si="242"/>
        <v>0</v>
      </c>
      <c r="AX347" s="1212" t="e">
        <f t="shared" ca="1" si="243"/>
        <v>#N/A</v>
      </c>
      <c r="AY347" s="1213" t="e">
        <f t="shared" ca="1" si="244"/>
        <v>#N/A</v>
      </c>
      <c r="AZ347" s="1587">
        <f t="shared" si="245"/>
        <v>0</v>
      </c>
      <c r="BC347" s="1212" t="e">
        <f t="shared" ca="1" si="246"/>
        <v>#N/A</v>
      </c>
      <c r="BD347" s="1213" t="e">
        <f t="shared" ca="1" si="247"/>
        <v>#N/A</v>
      </c>
      <c r="BE347" s="1587">
        <f t="shared" si="248"/>
        <v>0</v>
      </c>
      <c r="BH347" s="1212" t="e">
        <f t="shared" ca="1" si="249"/>
        <v>#N/A</v>
      </c>
      <c r="BI347" s="1213" t="e">
        <f t="shared" ca="1" si="250"/>
        <v>#N/A</v>
      </c>
      <c r="BJ347" s="1587">
        <f t="shared" si="251"/>
        <v>0</v>
      </c>
      <c r="BM347" s="1212" t="e">
        <f t="shared" ca="1" si="252"/>
        <v>#N/A</v>
      </c>
      <c r="BN347" s="1213" t="e">
        <f t="shared" ca="1" si="253"/>
        <v>#N/A</v>
      </c>
      <c r="BO347" s="1587">
        <f t="shared" si="254"/>
        <v>0</v>
      </c>
      <c r="BR347" s="1212" t="e">
        <f t="shared" ca="1" si="255"/>
        <v>#N/A</v>
      </c>
      <c r="BS347" s="1213" t="e">
        <f t="shared" ca="1" si="256"/>
        <v>#N/A</v>
      </c>
      <c r="BT347" s="1587">
        <f t="shared" si="257"/>
        <v>0</v>
      </c>
      <c r="BW347" s="1212" t="e">
        <f t="shared" ca="1" si="258"/>
        <v>#N/A</v>
      </c>
      <c r="BX347" s="1213" t="e">
        <f t="shared" ca="1" si="259"/>
        <v>#N/A</v>
      </c>
      <c r="BY347" s="1587">
        <f t="shared" si="260"/>
        <v>0</v>
      </c>
      <c r="CB347" s="1212" t="e">
        <f t="shared" ca="1" si="261"/>
        <v>#N/A</v>
      </c>
      <c r="CC347" s="1213" t="e">
        <f t="shared" ca="1" si="262"/>
        <v>#N/A</v>
      </c>
      <c r="CD347" s="1587">
        <f t="shared" si="263"/>
        <v>0</v>
      </c>
      <c r="CG347" s="1212" t="e">
        <f t="shared" ca="1" si="264"/>
        <v>#N/A</v>
      </c>
      <c r="CH347" s="1213" t="e">
        <f t="shared" ca="1" si="265"/>
        <v>#N/A</v>
      </c>
      <c r="CI347" s="1587">
        <f t="shared" si="266"/>
        <v>0</v>
      </c>
      <c r="CL347" s="1212" t="e">
        <f t="shared" ca="1" si="267"/>
        <v>#N/A</v>
      </c>
      <c r="CM347" s="1213" t="e">
        <f t="shared" ca="1" si="268"/>
        <v>#N/A</v>
      </c>
      <c r="CN347" s="1587">
        <f t="shared" si="269"/>
        <v>0</v>
      </c>
    </row>
    <row r="348" spans="1:92">
      <c r="A348" s="141">
        <f>'銀行-TSS'!A348</f>
        <v>0</v>
      </c>
      <c r="B348" s="151">
        <f ca="1">VLOOKUP(A348,'銀行-TSS'!A:B,2,FALSE)</f>
        <v>0</v>
      </c>
      <c r="C348" s="151" t="e">
        <f ca="1">VLOOKUP(B348,bond!B:C,2,FALSE)</f>
        <v>#N/A</v>
      </c>
      <c r="D348" s="95" t="e">
        <f>VLOOKUP(A348,'銀行-TSS'!A:C,3,FALSE)</f>
        <v>#N/A</v>
      </c>
      <c r="E348" s="90" t="e">
        <f ca="1">VLOOKUP(A348,'銀行-TSS'!A:G,7,FALSE)</f>
        <v>#N/A</v>
      </c>
      <c r="F348" s="202" t="e">
        <f ca="1">VLOOKUP(A348,'銀行-TSS'!A:H,8,FALSE)</f>
        <v>#N/A</v>
      </c>
      <c r="G348" s="96" t="e">
        <f ca="1">VLOOKUP(A348,'銀行-TSS'!A:K,11,FALSE)</f>
        <v>#N/A</v>
      </c>
      <c r="H348" s="1209" t="e">
        <f ca="1">VLOOKUP(A348,'銀行-TSS'!A:M,13,FALSE)</f>
        <v>#N/A</v>
      </c>
      <c r="I348" s="1213" t="e">
        <f ca="1">VLOOKUP(A348,'銀行-TSS'!A:N,14,FALSE)</f>
        <v>#N/A</v>
      </c>
      <c r="J348" s="1213" t="e">
        <f ca="1">VLOOKUP(A348,'銀行-TSS'!A:O,15,FALSE)</f>
        <v>#N/A</v>
      </c>
      <c r="K348" s="136" t="e">
        <f ca="1">VLOOKUP(A348,'銀行-TSS'!A:V,22,FALSE)</f>
        <v>#N/A</v>
      </c>
      <c r="L348" s="136" t="e">
        <f ca="1">VLOOKUP(A348,'銀行-TSS'!A:AK,37,FALSE)</f>
        <v>#N/A</v>
      </c>
      <c r="M348" s="136" t="str">
        <f ca="1">VLOOKUP(A348,'銀行-TSS'!A:AN,40,FALSE)</f>
        <v/>
      </c>
      <c r="N348" s="136" t="e">
        <f t="shared" ca="1" si="225"/>
        <v>#N/A</v>
      </c>
      <c r="O348" s="1213" t="e">
        <f t="shared" ca="1" si="226"/>
        <v>#N/A</v>
      </c>
      <c r="P348" s="1213" t="e">
        <f ca="1">IF(AND($O$1&gt;=O348,換券單檔!$D$13=D348),I348+INT(($O$1-O348)/N348)*J348,0)</f>
        <v>#N/A</v>
      </c>
      <c r="Q348" s="1213" t="e">
        <f t="shared" ca="1" si="227"/>
        <v>#N/A</v>
      </c>
      <c r="R348" s="1213">
        <f t="shared" si="228"/>
        <v>0</v>
      </c>
      <c r="S348" s="1213">
        <f t="shared" si="229"/>
        <v>0</v>
      </c>
      <c r="T348" s="136">
        <f>IF(OR(R348=0,A348=0),0,IF(AND(V348=TRUE,換券單檔!$D$13=D348),E348,0))</f>
        <v>0</v>
      </c>
      <c r="U348" s="861">
        <f>IF(OR(R348=0,A348=0),0,IF(AND(V348=TRUE,換券單檔!$D$13=D348),H348,0))</f>
        <v>0</v>
      </c>
      <c r="V348" s="136" t="e">
        <f ca="1">IF(OR(B348=換券單檔!$D$3,L348="無",M348&lt;&gt;"",K348="高資產",IFERROR(MATCH(B348,換券單檔!K:K,0),"N")&lt;&gt;"N"),FALSE,IF($V$1="All",TRUE,IF(K348=$V$1,TRUE,FALSE)))</f>
        <v>#N/A</v>
      </c>
      <c r="W348" s="136" t="e">
        <f ca="1">VLOOKUP(A348,'銀行-TSS'!A:AO,41,FALSE)</f>
        <v>#N/A</v>
      </c>
      <c r="X348" s="136" t="e">
        <f ca="1">VLOOKUP(A348,'銀行-TSS'!A:AP,42,FALSE)</f>
        <v>#N/A</v>
      </c>
      <c r="Y348" s="1220">
        <f t="shared" si="230"/>
        <v>0</v>
      </c>
      <c r="Z348" s="1220">
        <f t="shared" si="231"/>
        <v>0</v>
      </c>
      <c r="AA348" s="136">
        <f>IF(Z348&lt;=0,0,RANK(Z348,Z:Z)+COUNTIF($Z$3:$Z348,Z348)-1)</f>
        <v>0</v>
      </c>
      <c r="AB348" s="1211">
        <f t="shared" ca="1" si="232"/>
        <v>-14896.14</v>
      </c>
      <c r="AC348" s="136">
        <f ca="1">IF(AB348&lt;=0,0,RANK(AB348,AB:AB)+COUNTIF($AB$3:$AB348,AB348)-1)</f>
        <v>0</v>
      </c>
      <c r="AD348" s="1123">
        <f t="shared" si="233"/>
        <v>99999</v>
      </c>
      <c r="AE348" s="1123">
        <f>IF(AD348=99999,0,RANK(AD348,AD:AD,1)+COUNTIF($AD$3:$AD348,AD348)-1)</f>
        <v>0</v>
      </c>
      <c r="AF348" s="86" t="e">
        <f ca="1">IF(OR(M348&lt;&gt;"",L348="無",K348="高資產",IFERROR(MATCH(B348,換券單檔!K:K,0),"N")&lt;&gt;"N"),FALSE,TRUE)</f>
        <v>#N/A</v>
      </c>
      <c r="AI348" s="1212" t="e">
        <f t="shared" ca="1" si="234"/>
        <v>#N/A</v>
      </c>
      <c r="AJ348" s="1213" t="e">
        <f t="shared" ca="1" si="235"/>
        <v>#N/A</v>
      </c>
      <c r="AK348" s="1587">
        <f t="shared" si="236"/>
        <v>0</v>
      </c>
      <c r="AN348" s="1212" t="e">
        <f t="shared" ca="1" si="237"/>
        <v>#N/A</v>
      </c>
      <c r="AO348" s="1213" t="e">
        <f t="shared" ca="1" si="238"/>
        <v>#N/A</v>
      </c>
      <c r="AP348" s="1587">
        <f t="shared" si="239"/>
        <v>0</v>
      </c>
      <c r="AS348" s="1212" t="e">
        <f t="shared" ca="1" si="240"/>
        <v>#N/A</v>
      </c>
      <c r="AT348" s="1213" t="e">
        <f t="shared" ca="1" si="241"/>
        <v>#N/A</v>
      </c>
      <c r="AU348" s="1587">
        <f t="shared" si="242"/>
        <v>0</v>
      </c>
      <c r="AX348" s="1212" t="e">
        <f t="shared" ca="1" si="243"/>
        <v>#N/A</v>
      </c>
      <c r="AY348" s="1213" t="e">
        <f t="shared" ca="1" si="244"/>
        <v>#N/A</v>
      </c>
      <c r="AZ348" s="1587">
        <f t="shared" si="245"/>
        <v>0</v>
      </c>
      <c r="BC348" s="1212" t="e">
        <f t="shared" ca="1" si="246"/>
        <v>#N/A</v>
      </c>
      <c r="BD348" s="1213" t="e">
        <f t="shared" ca="1" si="247"/>
        <v>#N/A</v>
      </c>
      <c r="BE348" s="1587">
        <f t="shared" si="248"/>
        <v>0</v>
      </c>
      <c r="BH348" s="1212" t="e">
        <f t="shared" ca="1" si="249"/>
        <v>#N/A</v>
      </c>
      <c r="BI348" s="1213" t="e">
        <f t="shared" ca="1" si="250"/>
        <v>#N/A</v>
      </c>
      <c r="BJ348" s="1587">
        <f t="shared" si="251"/>
        <v>0</v>
      </c>
      <c r="BM348" s="1212" t="e">
        <f t="shared" ca="1" si="252"/>
        <v>#N/A</v>
      </c>
      <c r="BN348" s="1213" t="e">
        <f t="shared" ca="1" si="253"/>
        <v>#N/A</v>
      </c>
      <c r="BO348" s="1587">
        <f t="shared" si="254"/>
        <v>0</v>
      </c>
      <c r="BR348" s="1212" t="e">
        <f t="shared" ca="1" si="255"/>
        <v>#N/A</v>
      </c>
      <c r="BS348" s="1213" t="e">
        <f t="shared" ca="1" si="256"/>
        <v>#N/A</v>
      </c>
      <c r="BT348" s="1587">
        <f t="shared" si="257"/>
        <v>0</v>
      </c>
      <c r="BW348" s="1212" t="e">
        <f t="shared" ca="1" si="258"/>
        <v>#N/A</v>
      </c>
      <c r="BX348" s="1213" t="e">
        <f t="shared" ca="1" si="259"/>
        <v>#N/A</v>
      </c>
      <c r="BY348" s="1587">
        <f t="shared" si="260"/>
        <v>0</v>
      </c>
      <c r="CB348" s="1212" t="e">
        <f t="shared" ca="1" si="261"/>
        <v>#N/A</v>
      </c>
      <c r="CC348" s="1213" t="e">
        <f t="shared" ca="1" si="262"/>
        <v>#N/A</v>
      </c>
      <c r="CD348" s="1587">
        <f t="shared" si="263"/>
        <v>0</v>
      </c>
      <c r="CG348" s="1212" t="e">
        <f t="shared" ca="1" si="264"/>
        <v>#N/A</v>
      </c>
      <c r="CH348" s="1213" t="e">
        <f t="shared" ca="1" si="265"/>
        <v>#N/A</v>
      </c>
      <c r="CI348" s="1587">
        <f t="shared" si="266"/>
        <v>0</v>
      </c>
      <c r="CL348" s="1212" t="e">
        <f t="shared" ca="1" si="267"/>
        <v>#N/A</v>
      </c>
      <c r="CM348" s="1213" t="e">
        <f t="shared" ca="1" si="268"/>
        <v>#N/A</v>
      </c>
      <c r="CN348" s="1587">
        <f t="shared" si="269"/>
        <v>0</v>
      </c>
    </row>
    <row r="349" spans="1:92">
      <c r="A349" s="141">
        <f>'銀行-TSS'!A349</f>
        <v>0</v>
      </c>
      <c r="B349" s="151">
        <f ca="1">VLOOKUP(A349,'銀行-TSS'!A:B,2,FALSE)</f>
        <v>0</v>
      </c>
      <c r="C349" s="151" t="e">
        <f ca="1">VLOOKUP(B349,bond!B:C,2,FALSE)</f>
        <v>#N/A</v>
      </c>
      <c r="D349" s="95" t="e">
        <f>VLOOKUP(A349,'銀行-TSS'!A:C,3,FALSE)</f>
        <v>#N/A</v>
      </c>
      <c r="E349" s="90" t="e">
        <f ca="1">VLOOKUP(A349,'銀行-TSS'!A:G,7,FALSE)</f>
        <v>#N/A</v>
      </c>
      <c r="F349" s="202" t="e">
        <f ca="1">VLOOKUP(A349,'銀行-TSS'!A:H,8,FALSE)</f>
        <v>#N/A</v>
      </c>
      <c r="G349" s="96" t="e">
        <f ca="1">VLOOKUP(A349,'銀行-TSS'!A:K,11,FALSE)</f>
        <v>#N/A</v>
      </c>
      <c r="H349" s="1209" t="e">
        <f ca="1">VLOOKUP(A349,'銀行-TSS'!A:M,13,FALSE)</f>
        <v>#N/A</v>
      </c>
      <c r="I349" s="1213" t="e">
        <f ca="1">VLOOKUP(A349,'銀行-TSS'!A:N,14,FALSE)</f>
        <v>#N/A</v>
      </c>
      <c r="J349" s="1213" t="e">
        <f ca="1">VLOOKUP(A349,'銀行-TSS'!A:O,15,FALSE)</f>
        <v>#N/A</v>
      </c>
      <c r="K349" s="136" t="e">
        <f ca="1">VLOOKUP(A349,'銀行-TSS'!A:V,22,FALSE)</f>
        <v>#N/A</v>
      </c>
      <c r="L349" s="136" t="e">
        <f ca="1">VLOOKUP(A349,'銀行-TSS'!A:AK,37,FALSE)</f>
        <v>#N/A</v>
      </c>
      <c r="M349" s="136" t="str">
        <f ca="1">VLOOKUP(A349,'銀行-TSS'!A:AN,40,FALSE)</f>
        <v/>
      </c>
      <c r="N349" s="136" t="e">
        <f t="shared" ca="1" si="225"/>
        <v>#N/A</v>
      </c>
      <c r="O349" s="1213" t="e">
        <f t="shared" ca="1" si="226"/>
        <v>#N/A</v>
      </c>
      <c r="P349" s="1213" t="e">
        <f ca="1">IF(AND($O$1&gt;=O349,換券單檔!$D$13=D349),I349+INT(($O$1-O349)/N349)*J349,0)</f>
        <v>#N/A</v>
      </c>
      <c r="Q349" s="1213" t="e">
        <f t="shared" ca="1" si="227"/>
        <v>#N/A</v>
      </c>
      <c r="R349" s="1213">
        <f t="shared" si="228"/>
        <v>0</v>
      </c>
      <c r="S349" s="1213">
        <f t="shared" si="229"/>
        <v>0</v>
      </c>
      <c r="T349" s="136">
        <f>IF(OR(R349=0,A349=0),0,IF(AND(V349=TRUE,換券單檔!$D$13=D349),E349,0))</f>
        <v>0</v>
      </c>
      <c r="U349" s="861">
        <f>IF(OR(R349=0,A349=0),0,IF(AND(V349=TRUE,換券單檔!$D$13=D349),H349,0))</f>
        <v>0</v>
      </c>
      <c r="V349" s="136" t="e">
        <f ca="1">IF(OR(B349=換券單檔!$D$3,L349="無",M349&lt;&gt;"",K349="高資產",IFERROR(MATCH(B349,換券單檔!K:K,0),"N")&lt;&gt;"N"),FALSE,IF($V$1="All",TRUE,IF(K349=$V$1,TRUE,FALSE)))</f>
        <v>#N/A</v>
      </c>
      <c r="W349" s="136" t="e">
        <f ca="1">VLOOKUP(A349,'銀行-TSS'!A:AO,41,FALSE)</f>
        <v>#N/A</v>
      </c>
      <c r="X349" s="136" t="e">
        <f ca="1">VLOOKUP(A349,'銀行-TSS'!A:AP,42,FALSE)</f>
        <v>#N/A</v>
      </c>
      <c r="Y349" s="1220">
        <f t="shared" si="230"/>
        <v>0</v>
      </c>
      <c r="Z349" s="1220">
        <f t="shared" si="231"/>
        <v>0</v>
      </c>
      <c r="AA349" s="136">
        <f>IF(Z349&lt;=0,0,RANK(Z349,Z:Z)+COUNTIF($Z$3:$Z349,Z349)-1)</f>
        <v>0</v>
      </c>
      <c r="AB349" s="1211">
        <f t="shared" ca="1" si="232"/>
        <v>-14896.14</v>
      </c>
      <c r="AC349" s="136">
        <f ca="1">IF(AB349&lt;=0,0,RANK(AB349,AB:AB)+COUNTIF($AB$3:$AB349,AB349)-1)</f>
        <v>0</v>
      </c>
      <c r="AD349" s="1123">
        <f t="shared" si="233"/>
        <v>99999</v>
      </c>
      <c r="AE349" s="1123">
        <f>IF(AD349=99999,0,RANK(AD349,AD:AD,1)+COUNTIF($AD$3:$AD349,AD349)-1)</f>
        <v>0</v>
      </c>
      <c r="AF349" s="86" t="e">
        <f ca="1">IF(OR(M349&lt;&gt;"",L349="無",K349="高資產",IFERROR(MATCH(B349,換券單檔!K:K,0),"N")&lt;&gt;"N"),FALSE,TRUE)</f>
        <v>#N/A</v>
      </c>
      <c r="AI349" s="1212" t="e">
        <f t="shared" ca="1" si="234"/>
        <v>#N/A</v>
      </c>
      <c r="AJ349" s="1213" t="e">
        <f t="shared" ca="1" si="235"/>
        <v>#N/A</v>
      </c>
      <c r="AK349" s="1587">
        <f t="shared" si="236"/>
        <v>0</v>
      </c>
      <c r="AN349" s="1212" t="e">
        <f t="shared" ca="1" si="237"/>
        <v>#N/A</v>
      </c>
      <c r="AO349" s="1213" t="e">
        <f t="shared" ca="1" si="238"/>
        <v>#N/A</v>
      </c>
      <c r="AP349" s="1587">
        <f t="shared" si="239"/>
        <v>0</v>
      </c>
      <c r="AS349" s="1212" t="e">
        <f t="shared" ca="1" si="240"/>
        <v>#N/A</v>
      </c>
      <c r="AT349" s="1213" t="e">
        <f t="shared" ca="1" si="241"/>
        <v>#N/A</v>
      </c>
      <c r="AU349" s="1587">
        <f t="shared" si="242"/>
        <v>0</v>
      </c>
      <c r="AX349" s="1212" t="e">
        <f t="shared" ca="1" si="243"/>
        <v>#N/A</v>
      </c>
      <c r="AY349" s="1213" t="e">
        <f t="shared" ca="1" si="244"/>
        <v>#N/A</v>
      </c>
      <c r="AZ349" s="1587">
        <f t="shared" si="245"/>
        <v>0</v>
      </c>
      <c r="BC349" s="1212" t="e">
        <f t="shared" ca="1" si="246"/>
        <v>#N/A</v>
      </c>
      <c r="BD349" s="1213" t="e">
        <f t="shared" ca="1" si="247"/>
        <v>#N/A</v>
      </c>
      <c r="BE349" s="1587">
        <f t="shared" si="248"/>
        <v>0</v>
      </c>
      <c r="BH349" s="1212" t="e">
        <f t="shared" ca="1" si="249"/>
        <v>#N/A</v>
      </c>
      <c r="BI349" s="1213" t="e">
        <f t="shared" ca="1" si="250"/>
        <v>#N/A</v>
      </c>
      <c r="BJ349" s="1587">
        <f t="shared" si="251"/>
        <v>0</v>
      </c>
      <c r="BM349" s="1212" t="e">
        <f t="shared" ca="1" si="252"/>
        <v>#N/A</v>
      </c>
      <c r="BN349" s="1213" t="e">
        <f t="shared" ca="1" si="253"/>
        <v>#N/A</v>
      </c>
      <c r="BO349" s="1587">
        <f t="shared" si="254"/>
        <v>0</v>
      </c>
      <c r="BR349" s="1212" t="e">
        <f t="shared" ca="1" si="255"/>
        <v>#N/A</v>
      </c>
      <c r="BS349" s="1213" t="e">
        <f t="shared" ca="1" si="256"/>
        <v>#N/A</v>
      </c>
      <c r="BT349" s="1587">
        <f t="shared" si="257"/>
        <v>0</v>
      </c>
      <c r="BW349" s="1212" t="e">
        <f t="shared" ca="1" si="258"/>
        <v>#N/A</v>
      </c>
      <c r="BX349" s="1213" t="e">
        <f t="shared" ca="1" si="259"/>
        <v>#N/A</v>
      </c>
      <c r="BY349" s="1587">
        <f t="shared" si="260"/>
        <v>0</v>
      </c>
      <c r="CB349" s="1212" t="e">
        <f t="shared" ca="1" si="261"/>
        <v>#N/A</v>
      </c>
      <c r="CC349" s="1213" t="e">
        <f t="shared" ca="1" si="262"/>
        <v>#N/A</v>
      </c>
      <c r="CD349" s="1587">
        <f t="shared" si="263"/>
        <v>0</v>
      </c>
      <c r="CG349" s="1212" t="e">
        <f t="shared" ca="1" si="264"/>
        <v>#N/A</v>
      </c>
      <c r="CH349" s="1213" t="e">
        <f t="shared" ca="1" si="265"/>
        <v>#N/A</v>
      </c>
      <c r="CI349" s="1587">
        <f t="shared" si="266"/>
        <v>0</v>
      </c>
      <c r="CL349" s="1212" t="e">
        <f t="shared" ca="1" si="267"/>
        <v>#N/A</v>
      </c>
      <c r="CM349" s="1213" t="e">
        <f t="shared" ca="1" si="268"/>
        <v>#N/A</v>
      </c>
      <c r="CN349" s="1587">
        <f t="shared" si="269"/>
        <v>0</v>
      </c>
    </row>
    <row r="350" spans="1:92">
      <c r="A350" s="141">
        <f>'銀行-TSS'!A350</f>
        <v>0</v>
      </c>
      <c r="B350" s="151">
        <f ca="1">VLOOKUP(A350,'銀行-TSS'!A:B,2,FALSE)</f>
        <v>0</v>
      </c>
      <c r="C350" s="151" t="e">
        <f ca="1">VLOOKUP(B350,bond!B:C,2,FALSE)</f>
        <v>#N/A</v>
      </c>
      <c r="D350" s="95" t="e">
        <f>VLOOKUP(A350,'銀行-TSS'!A:C,3,FALSE)</f>
        <v>#N/A</v>
      </c>
      <c r="E350" s="90" t="e">
        <f ca="1">VLOOKUP(A350,'銀行-TSS'!A:G,7,FALSE)</f>
        <v>#N/A</v>
      </c>
      <c r="F350" s="202" t="e">
        <f ca="1">VLOOKUP(A350,'銀行-TSS'!A:H,8,FALSE)</f>
        <v>#N/A</v>
      </c>
      <c r="G350" s="96" t="e">
        <f ca="1">VLOOKUP(A350,'銀行-TSS'!A:K,11,FALSE)</f>
        <v>#N/A</v>
      </c>
      <c r="H350" s="1209" t="e">
        <f ca="1">VLOOKUP(A350,'銀行-TSS'!A:M,13,FALSE)</f>
        <v>#N/A</v>
      </c>
      <c r="I350" s="1213" t="e">
        <f ca="1">VLOOKUP(A350,'銀行-TSS'!A:N,14,FALSE)</f>
        <v>#N/A</v>
      </c>
      <c r="J350" s="1213" t="e">
        <f ca="1">VLOOKUP(A350,'銀行-TSS'!A:O,15,FALSE)</f>
        <v>#N/A</v>
      </c>
      <c r="K350" s="136" t="e">
        <f ca="1">VLOOKUP(A350,'銀行-TSS'!A:V,22,FALSE)</f>
        <v>#N/A</v>
      </c>
      <c r="L350" s="136" t="e">
        <f ca="1">VLOOKUP(A350,'銀行-TSS'!A:AK,37,FALSE)</f>
        <v>#N/A</v>
      </c>
      <c r="M350" s="136" t="str">
        <f ca="1">VLOOKUP(A350,'銀行-TSS'!A:AN,40,FALSE)</f>
        <v/>
      </c>
      <c r="N350" s="136" t="e">
        <f t="shared" ca="1" si="225"/>
        <v>#N/A</v>
      </c>
      <c r="O350" s="1213" t="e">
        <f t="shared" ca="1" si="226"/>
        <v>#N/A</v>
      </c>
      <c r="P350" s="1213" t="e">
        <f ca="1">IF(AND($O$1&gt;=O350,換券單檔!$D$13=D350),I350+INT(($O$1-O350)/N350)*J350,0)</f>
        <v>#N/A</v>
      </c>
      <c r="Q350" s="1213" t="e">
        <f t="shared" ca="1" si="227"/>
        <v>#N/A</v>
      </c>
      <c r="R350" s="1213">
        <f t="shared" si="228"/>
        <v>0</v>
      </c>
      <c r="S350" s="1213">
        <f t="shared" si="229"/>
        <v>0</v>
      </c>
      <c r="T350" s="136">
        <f>IF(OR(R350=0,A350=0),0,IF(AND(V350=TRUE,換券單檔!$D$13=D350),E350,0))</f>
        <v>0</v>
      </c>
      <c r="U350" s="861">
        <f>IF(OR(R350=0,A350=0),0,IF(AND(V350=TRUE,換券單檔!$D$13=D350),H350,0))</f>
        <v>0</v>
      </c>
      <c r="V350" s="136" t="e">
        <f ca="1">IF(OR(B350=換券單檔!$D$3,L350="無",M350&lt;&gt;"",K350="高資產",IFERROR(MATCH(B350,換券單檔!K:K,0),"N")&lt;&gt;"N"),FALSE,IF($V$1="All",TRUE,IF(K350=$V$1,TRUE,FALSE)))</f>
        <v>#N/A</v>
      </c>
      <c r="W350" s="136" t="e">
        <f ca="1">VLOOKUP(A350,'銀行-TSS'!A:AO,41,FALSE)</f>
        <v>#N/A</v>
      </c>
      <c r="X350" s="136" t="e">
        <f ca="1">VLOOKUP(A350,'銀行-TSS'!A:AP,42,FALSE)</f>
        <v>#N/A</v>
      </c>
      <c r="Y350" s="1220">
        <f t="shared" si="230"/>
        <v>0</v>
      </c>
      <c r="Z350" s="1220">
        <f t="shared" si="231"/>
        <v>0</v>
      </c>
      <c r="AA350" s="136">
        <f>IF(Z350&lt;=0,0,RANK(Z350,Z:Z)+COUNTIF($Z$3:$Z350,Z350)-1)</f>
        <v>0</v>
      </c>
      <c r="AB350" s="1211">
        <f t="shared" ca="1" si="232"/>
        <v>-14896.14</v>
      </c>
      <c r="AC350" s="136">
        <f ca="1">IF(AB350&lt;=0,0,RANK(AB350,AB:AB)+COUNTIF($AB$3:$AB350,AB350)-1)</f>
        <v>0</v>
      </c>
      <c r="AD350" s="1123">
        <f t="shared" si="233"/>
        <v>99999</v>
      </c>
      <c r="AE350" s="1123">
        <f>IF(AD350=99999,0,RANK(AD350,AD:AD,1)+COUNTIF($AD$3:$AD350,AD350)-1)</f>
        <v>0</v>
      </c>
      <c r="AF350" s="86" t="e">
        <f ca="1">IF(OR(M350&lt;&gt;"",L350="無",K350="高資產",IFERROR(MATCH(B350,換券單檔!K:K,0),"N")&lt;&gt;"N"),FALSE,TRUE)</f>
        <v>#N/A</v>
      </c>
      <c r="AI350" s="1212" t="e">
        <f t="shared" ca="1" si="234"/>
        <v>#N/A</v>
      </c>
      <c r="AJ350" s="1213" t="e">
        <f t="shared" ca="1" si="235"/>
        <v>#N/A</v>
      </c>
      <c r="AK350" s="1587">
        <f t="shared" si="236"/>
        <v>0</v>
      </c>
      <c r="AN350" s="1212" t="e">
        <f t="shared" ca="1" si="237"/>
        <v>#N/A</v>
      </c>
      <c r="AO350" s="1213" t="e">
        <f t="shared" ca="1" si="238"/>
        <v>#N/A</v>
      </c>
      <c r="AP350" s="1587">
        <f t="shared" si="239"/>
        <v>0</v>
      </c>
      <c r="AS350" s="1212" t="e">
        <f t="shared" ca="1" si="240"/>
        <v>#N/A</v>
      </c>
      <c r="AT350" s="1213" t="e">
        <f t="shared" ca="1" si="241"/>
        <v>#N/A</v>
      </c>
      <c r="AU350" s="1587">
        <f t="shared" si="242"/>
        <v>0</v>
      </c>
      <c r="AX350" s="1212" t="e">
        <f t="shared" ca="1" si="243"/>
        <v>#N/A</v>
      </c>
      <c r="AY350" s="1213" t="e">
        <f t="shared" ca="1" si="244"/>
        <v>#N/A</v>
      </c>
      <c r="AZ350" s="1587">
        <f t="shared" si="245"/>
        <v>0</v>
      </c>
      <c r="BC350" s="1212" t="e">
        <f t="shared" ca="1" si="246"/>
        <v>#N/A</v>
      </c>
      <c r="BD350" s="1213" t="e">
        <f t="shared" ca="1" si="247"/>
        <v>#N/A</v>
      </c>
      <c r="BE350" s="1587">
        <f t="shared" si="248"/>
        <v>0</v>
      </c>
      <c r="BH350" s="1212" t="e">
        <f t="shared" ca="1" si="249"/>
        <v>#N/A</v>
      </c>
      <c r="BI350" s="1213" t="e">
        <f t="shared" ca="1" si="250"/>
        <v>#N/A</v>
      </c>
      <c r="BJ350" s="1587">
        <f t="shared" si="251"/>
        <v>0</v>
      </c>
      <c r="BM350" s="1212" t="e">
        <f t="shared" ca="1" si="252"/>
        <v>#N/A</v>
      </c>
      <c r="BN350" s="1213" t="e">
        <f t="shared" ca="1" si="253"/>
        <v>#N/A</v>
      </c>
      <c r="BO350" s="1587">
        <f t="shared" si="254"/>
        <v>0</v>
      </c>
      <c r="BR350" s="1212" t="e">
        <f t="shared" ca="1" si="255"/>
        <v>#N/A</v>
      </c>
      <c r="BS350" s="1213" t="e">
        <f t="shared" ca="1" si="256"/>
        <v>#N/A</v>
      </c>
      <c r="BT350" s="1587">
        <f t="shared" si="257"/>
        <v>0</v>
      </c>
      <c r="BW350" s="1212" t="e">
        <f t="shared" ca="1" si="258"/>
        <v>#N/A</v>
      </c>
      <c r="BX350" s="1213" t="e">
        <f t="shared" ca="1" si="259"/>
        <v>#N/A</v>
      </c>
      <c r="BY350" s="1587">
        <f t="shared" si="260"/>
        <v>0</v>
      </c>
      <c r="CB350" s="1212" t="e">
        <f t="shared" ca="1" si="261"/>
        <v>#N/A</v>
      </c>
      <c r="CC350" s="1213" t="e">
        <f t="shared" ca="1" si="262"/>
        <v>#N/A</v>
      </c>
      <c r="CD350" s="1587">
        <f t="shared" si="263"/>
        <v>0</v>
      </c>
      <c r="CG350" s="1212" t="e">
        <f t="shared" ca="1" si="264"/>
        <v>#N/A</v>
      </c>
      <c r="CH350" s="1213" t="e">
        <f t="shared" ca="1" si="265"/>
        <v>#N/A</v>
      </c>
      <c r="CI350" s="1587">
        <f t="shared" si="266"/>
        <v>0</v>
      </c>
      <c r="CL350" s="1212" t="e">
        <f t="shared" ca="1" si="267"/>
        <v>#N/A</v>
      </c>
      <c r="CM350" s="1213" t="e">
        <f t="shared" ca="1" si="268"/>
        <v>#N/A</v>
      </c>
      <c r="CN350" s="1587">
        <f t="shared" si="269"/>
        <v>0</v>
      </c>
    </row>
    <row r="351" spans="1:92">
      <c r="A351" s="141">
        <f>'銀行-TSS'!A351</f>
        <v>0</v>
      </c>
      <c r="B351" s="151">
        <f ca="1">VLOOKUP(A351,'銀行-TSS'!A:B,2,FALSE)</f>
        <v>0</v>
      </c>
      <c r="C351" s="151" t="e">
        <f ca="1">VLOOKUP(B351,bond!B:C,2,FALSE)</f>
        <v>#N/A</v>
      </c>
      <c r="D351" s="95" t="e">
        <f>VLOOKUP(A351,'銀行-TSS'!A:C,3,FALSE)</f>
        <v>#N/A</v>
      </c>
      <c r="E351" s="90" t="e">
        <f ca="1">VLOOKUP(A351,'銀行-TSS'!A:G,7,FALSE)</f>
        <v>#N/A</v>
      </c>
      <c r="F351" s="202" t="e">
        <f ca="1">VLOOKUP(A351,'銀行-TSS'!A:H,8,FALSE)</f>
        <v>#N/A</v>
      </c>
      <c r="G351" s="96" t="e">
        <f ca="1">VLOOKUP(A351,'銀行-TSS'!A:K,11,FALSE)</f>
        <v>#N/A</v>
      </c>
      <c r="H351" s="1209" t="e">
        <f ca="1">VLOOKUP(A351,'銀行-TSS'!A:M,13,FALSE)</f>
        <v>#N/A</v>
      </c>
      <c r="I351" s="1213" t="e">
        <f ca="1">VLOOKUP(A351,'銀行-TSS'!A:N,14,FALSE)</f>
        <v>#N/A</v>
      </c>
      <c r="J351" s="1213" t="e">
        <f ca="1">VLOOKUP(A351,'銀行-TSS'!A:O,15,FALSE)</f>
        <v>#N/A</v>
      </c>
      <c r="K351" s="136" t="e">
        <f ca="1">VLOOKUP(A351,'銀行-TSS'!A:V,22,FALSE)</f>
        <v>#N/A</v>
      </c>
      <c r="L351" s="136" t="e">
        <f ca="1">VLOOKUP(A351,'銀行-TSS'!A:AK,37,FALSE)</f>
        <v>#N/A</v>
      </c>
      <c r="M351" s="136" t="str">
        <f ca="1">VLOOKUP(A351,'銀行-TSS'!A:AN,40,FALSE)</f>
        <v/>
      </c>
      <c r="N351" s="136" t="e">
        <f t="shared" ca="1" si="225"/>
        <v>#N/A</v>
      </c>
      <c r="O351" s="1213" t="e">
        <f t="shared" ca="1" si="226"/>
        <v>#N/A</v>
      </c>
      <c r="P351" s="1213" t="e">
        <f ca="1">IF(AND($O$1&gt;=O351,換券單檔!$D$13=D351),I351+INT(($O$1-O351)/N351)*J351,0)</f>
        <v>#N/A</v>
      </c>
      <c r="Q351" s="1213" t="e">
        <f t="shared" ca="1" si="227"/>
        <v>#N/A</v>
      </c>
      <c r="R351" s="1213">
        <f t="shared" si="228"/>
        <v>0</v>
      </c>
      <c r="S351" s="1213">
        <f t="shared" si="229"/>
        <v>0</v>
      </c>
      <c r="T351" s="136">
        <f>IF(OR(R351=0,A351=0),0,IF(AND(V351=TRUE,換券單檔!$D$13=D351),E351,0))</f>
        <v>0</v>
      </c>
      <c r="U351" s="861">
        <f>IF(OR(R351=0,A351=0),0,IF(AND(V351=TRUE,換券單檔!$D$13=D351),H351,0))</f>
        <v>0</v>
      </c>
      <c r="V351" s="136" t="e">
        <f ca="1">IF(OR(B351=換券單檔!$D$3,L351="無",M351&lt;&gt;"",K351="高資產",IFERROR(MATCH(B351,換券單檔!K:K,0),"N")&lt;&gt;"N"),FALSE,IF($V$1="All",TRUE,IF(K351=$V$1,TRUE,FALSE)))</f>
        <v>#N/A</v>
      </c>
      <c r="W351" s="136" t="e">
        <f ca="1">VLOOKUP(A351,'銀行-TSS'!A:AO,41,FALSE)</f>
        <v>#N/A</v>
      </c>
      <c r="X351" s="136" t="e">
        <f ca="1">VLOOKUP(A351,'銀行-TSS'!A:AP,42,FALSE)</f>
        <v>#N/A</v>
      </c>
      <c r="Y351" s="1220">
        <f t="shared" si="230"/>
        <v>0</v>
      </c>
      <c r="Z351" s="1220">
        <f t="shared" si="231"/>
        <v>0</v>
      </c>
      <c r="AA351" s="136">
        <f>IF(Z351&lt;=0,0,RANK(Z351,Z:Z)+COUNTIF($Z$3:$Z351,Z351)-1)</f>
        <v>0</v>
      </c>
      <c r="AB351" s="1211">
        <f t="shared" ca="1" si="232"/>
        <v>-14896.14</v>
      </c>
      <c r="AC351" s="136">
        <f ca="1">IF(AB351&lt;=0,0,RANK(AB351,AB:AB)+COUNTIF($AB$3:$AB351,AB351)-1)</f>
        <v>0</v>
      </c>
      <c r="AD351" s="1123">
        <f t="shared" si="233"/>
        <v>99999</v>
      </c>
      <c r="AE351" s="1123">
        <f>IF(AD351=99999,0,RANK(AD351,AD:AD,1)+COUNTIF($AD$3:$AD351,AD351)-1)</f>
        <v>0</v>
      </c>
      <c r="AF351" s="86" t="e">
        <f ca="1">IF(OR(M351&lt;&gt;"",L351="無",K351="高資產",IFERROR(MATCH(B351,換券單檔!K:K,0),"N")&lt;&gt;"N"),FALSE,TRUE)</f>
        <v>#N/A</v>
      </c>
      <c r="AI351" s="1212" t="e">
        <f t="shared" ca="1" si="234"/>
        <v>#N/A</v>
      </c>
      <c r="AJ351" s="1213" t="e">
        <f t="shared" ca="1" si="235"/>
        <v>#N/A</v>
      </c>
      <c r="AK351" s="1587">
        <f t="shared" si="236"/>
        <v>0</v>
      </c>
      <c r="AN351" s="1212" t="e">
        <f t="shared" ca="1" si="237"/>
        <v>#N/A</v>
      </c>
      <c r="AO351" s="1213" t="e">
        <f t="shared" ca="1" si="238"/>
        <v>#N/A</v>
      </c>
      <c r="AP351" s="1587">
        <f t="shared" si="239"/>
        <v>0</v>
      </c>
      <c r="AS351" s="1212" t="e">
        <f t="shared" ca="1" si="240"/>
        <v>#N/A</v>
      </c>
      <c r="AT351" s="1213" t="e">
        <f t="shared" ca="1" si="241"/>
        <v>#N/A</v>
      </c>
      <c r="AU351" s="1587">
        <f t="shared" si="242"/>
        <v>0</v>
      </c>
      <c r="AX351" s="1212" t="e">
        <f t="shared" ca="1" si="243"/>
        <v>#N/A</v>
      </c>
      <c r="AY351" s="1213" t="e">
        <f t="shared" ca="1" si="244"/>
        <v>#N/A</v>
      </c>
      <c r="AZ351" s="1587">
        <f t="shared" si="245"/>
        <v>0</v>
      </c>
      <c r="BC351" s="1212" t="e">
        <f t="shared" ca="1" si="246"/>
        <v>#N/A</v>
      </c>
      <c r="BD351" s="1213" t="e">
        <f t="shared" ca="1" si="247"/>
        <v>#N/A</v>
      </c>
      <c r="BE351" s="1587">
        <f t="shared" si="248"/>
        <v>0</v>
      </c>
      <c r="BH351" s="1212" t="e">
        <f t="shared" ca="1" si="249"/>
        <v>#N/A</v>
      </c>
      <c r="BI351" s="1213" t="e">
        <f t="shared" ca="1" si="250"/>
        <v>#N/A</v>
      </c>
      <c r="BJ351" s="1587">
        <f t="shared" si="251"/>
        <v>0</v>
      </c>
      <c r="BM351" s="1212" t="e">
        <f t="shared" ca="1" si="252"/>
        <v>#N/A</v>
      </c>
      <c r="BN351" s="1213" t="e">
        <f t="shared" ca="1" si="253"/>
        <v>#N/A</v>
      </c>
      <c r="BO351" s="1587">
        <f t="shared" si="254"/>
        <v>0</v>
      </c>
      <c r="BR351" s="1212" t="e">
        <f t="shared" ca="1" si="255"/>
        <v>#N/A</v>
      </c>
      <c r="BS351" s="1213" t="e">
        <f t="shared" ca="1" si="256"/>
        <v>#N/A</v>
      </c>
      <c r="BT351" s="1587">
        <f t="shared" si="257"/>
        <v>0</v>
      </c>
      <c r="BW351" s="1212" t="e">
        <f t="shared" ca="1" si="258"/>
        <v>#N/A</v>
      </c>
      <c r="BX351" s="1213" t="e">
        <f t="shared" ca="1" si="259"/>
        <v>#N/A</v>
      </c>
      <c r="BY351" s="1587">
        <f t="shared" si="260"/>
        <v>0</v>
      </c>
      <c r="CB351" s="1212" t="e">
        <f t="shared" ca="1" si="261"/>
        <v>#N/A</v>
      </c>
      <c r="CC351" s="1213" t="e">
        <f t="shared" ca="1" si="262"/>
        <v>#N/A</v>
      </c>
      <c r="CD351" s="1587">
        <f t="shared" si="263"/>
        <v>0</v>
      </c>
      <c r="CG351" s="1212" t="e">
        <f t="shared" ca="1" si="264"/>
        <v>#N/A</v>
      </c>
      <c r="CH351" s="1213" t="e">
        <f t="shared" ca="1" si="265"/>
        <v>#N/A</v>
      </c>
      <c r="CI351" s="1587">
        <f t="shared" si="266"/>
        <v>0</v>
      </c>
      <c r="CL351" s="1212" t="e">
        <f t="shared" ca="1" si="267"/>
        <v>#N/A</v>
      </c>
      <c r="CM351" s="1213" t="e">
        <f t="shared" ca="1" si="268"/>
        <v>#N/A</v>
      </c>
      <c r="CN351" s="1587">
        <f t="shared" si="269"/>
        <v>0</v>
      </c>
    </row>
    <row r="352" spans="1:92">
      <c r="A352" s="141">
        <f>'銀行-TSS'!A352</f>
        <v>0</v>
      </c>
      <c r="B352" s="151">
        <f ca="1">VLOOKUP(A352,'銀行-TSS'!A:B,2,FALSE)</f>
        <v>0</v>
      </c>
      <c r="C352" s="151" t="e">
        <f ca="1">VLOOKUP(B352,bond!B:C,2,FALSE)</f>
        <v>#N/A</v>
      </c>
      <c r="D352" s="95" t="e">
        <f>VLOOKUP(A352,'銀行-TSS'!A:C,3,FALSE)</f>
        <v>#N/A</v>
      </c>
      <c r="E352" s="90" t="e">
        <f ca="1">VLOOKUP(A352,'銀行-TSS'!A:G,7,FALSE)</f>
        <v>#N/A</v>
      </c>
      <c r="F352" s="202" t="e">
        <f ca="1">VLOOKUP(A352,'銀行-TSS'!A:H,8,FALSE)</f>
        <v>#N/A</v>
      </c>
      <c r="G352" s="96" t="e">
        <f ca="1">VLOOKUP(A352,'銀行-TSS'!A:K,11,FALSE)</f>
        <v>#N/A</v>
      </c>
      <c r="H352" s="1209" t="e">
        <f ca="1">VLOOKUP(A352,'銀行-TSS'!A:M,13,FALSE)</f>
        <v>#N/A</v>
      </c>
      <c r="I352" s="1213" t="e">
        <f ca="1">VLOOKUP(A352,'銀行-TSS'!A:N,14,FALSE)</f>
        <v>#N/A</v>
      </c>
      <c r="J352" s="1213" t="e">
        <f ca="1">VLOOKUP(A352,'銀行-TSS'!A:O,15,FALSE)</f>
        <v>#N/A</v>
      </c>
      <c r="K352" s="136" t="e">
        <f ca="1">VLOOKUP(A352,'銀行-TSS'!A:V,22,FALSE)</f>
        <v>#N/A</v>
      </c>
      <c r="L352" s="136" t="e">
        <f ca="1">VLOOKUP(A352,'銀行-TSS'!A:AK,37,FALSE)</f>
        <v>#N/A</v>
      </c>
      <c r="M352" s="136" t="str">
        <f ca="1">VLOOKUP(A352,'銀行-TSS'!A:AN,40,FALSE)</f>
        <v/>
      </c>
      <c r="N352" s="136" t="e">
        <f t="shared" ca="1" si="225"/>
        <v>#N/A</v>
      </c>
      <c r="O352" s="1213" t="e">
        <f t="shared" ca="1" si="226"/>
        <v>#N/A</v>
      </c>
      <c r="P352" s="1213" t="e">
        <f ca="1">IF(AND($O$1&gt;=O352,換券單檔!$D$13=D352),I352+INT(($O$1-O352)/N352)*J352,0)</f>
        <v>#N/A</v>
      </c>
      <c r="Q352" s="1213" t="e">
        <f t="shared" ca="1" si="227"/>
        <v>#N/A</v>
      </c>
      <c r="R352" s="1213">
        <f t="shared" si="228"/>
        <v>0</v>
      </c>
      <c r="S352" s="1213">
        <f t="shared" si="229"/>
        <v>0</v>
      </c>
      <c r="T352" s="136">
        <f>IF(OR(R352=0,A352=0),0,IF(AND(V352=TRUE,換券單檔!$D$13=D352),E352,0))</f>
        <v>0</v>
      </c>
      <c r="U352" s="861">
        <f>IF(OR(R352=0,A352=0),0,IF(AND(V352=TRUE,換券單檔!$D$13=D352),H352,0))</f>
        <v>0</v>
      </c>
      <c r="V352" s="136" t="e">
        <f ca="1">IF(OR(B352=換券單檔!$D$3,L352="無",M352&lt;&gt;"",K352="高資產",IFERROR(MATCH(B352,換券單檔!K:K,0),"N")&lt;&gt;"N"),FALSE,IF($V$1="All",TRUE,IF(K352=$V$1,TRUE,FALSE)))</f>
        <v>#N/A</v>
      </c>
      <c r="W352" s="136" t="e">
        <f ca="1">VLOOKUP(A352,'銀行-TSS'!A:AO,41,FALSE)</f>
        <v>#N/A</v>
      </c>
      <c r="X352" s="136" t="e">
        <f ca="1">VLOOKUP(A352,'銀行-TSS'!A:AP,42,FALSE)</f>
        <v>#N/A</v>
      </c>
      <c r="Y352" s="1220">
        <f t="shared" si="230"/>
        <v>0</v>
      </c>
      <c r="Z352" s="1220">
        <f t="shared" si="231"/>
        <v>0</v>
      </c>
      <c r="AA352" s="136">
        <f>IF(Z352&lt;=0,0,RANK(Z352,Z:Z)+COUNTIF($Z$3:$Z352,Z352)-1)</f>
        <v>0</v>
      </c>
      <c r="AB352" s="1211">
        <f t="shared" ca="1" si="232"/>
        <v>-14896.14</v>
      </c>
      <c r="AC352" s="136">
        <f ca="1">IF(AB352&lt;=0,0,RANK(AB352,AB:AB)+COUNTIF($AB$3:$AB352,AB352)-1)</f>
        <v>0</v>
      </c>
      <c r="AD352" s="1123">
        <f t="shared" si="233"/>
        <v>99999</v>
      </c>
      <c r="AE352" s="1123">
        <f>IF(AD352=99999,0,RANK(AD352,AD:AD,1)+COUNTIF($AD$3:$AD352,AD352)-1)</f>
        <v>0</v>
      </c>
      <c r="AF352" s="86" t="e">
        <f ca="1">IF(OR(M352&lt;&gt;"",L352="無",K352="高資產",IFERROR(MATCH(B352,換券單檔!K:K,0),"N")&lt;&gt;"N"),FALSE,TRUE)</f>
        <v>#N/A</v>
      </c>
      <c r="AI352" s="1212" t="e">
        <f t="shared" ca="1" si="234"/>
        <v>#N/A</v>
      </c>
      <c r="AJ352" s="1213" t="e">
        <f t="shared" ca="1" si="235"/>
        <v>#N/A</v>
      </c>
      <c r="AK352" s="1587">
        <f t="shared" si="236"/>
        <v>0</v>
      </c>
      <c r="AN352" s="1212" t="e">
        <f t="shared" ca="1" si="237"/>
        <v>#N/A</v>
      </c>
      <c r="AO352" s="1213" t="e">
        <f t="shared" ca="1" si="238"/>
        <v>#N/A</v>
      </c>
      <c r="AP352" s="1587">
        <f t="shared" si="239"/>
        <v>0</v>
      </c>
      <c r="AS352" s="1212" t="e">
        <f t="shared" ca="1" si="240"/>
        <v>#N/A</v>
      </c>
      <c r="AT352" s="1213" t="e">
        <f t="shared" ca="1" si="241"/>
        <v>#N/A</v>
      </c>
      <c r="AU352" s="1587">
        <f t="shared" si="242"/>
        <v>0</v>
      </c>
      <c r="AX352" s="1212" t="e">
        <f t="shared" ca="1" si="243"/>
        <v>#N/A</v>
      </c>
      <c r="AY352" s="1213" t="e">
        <f t="shared" ca="1" si="244"/>
        <v>#N/A</v>
      </c>
      <c r="AZ352" s="1587">
        <f t="shared" si="245"/>
        <v>0</v>
      </c>
      <c r="BC352" s="1212" t="e">
        <f t="shared" ca="1" si="246"/>
        <v>#N/A</v>
      </c>
      <c r="BD352" s="1213" t="e">
        <f t="shared" ca="1" si="247"/>
        <v>#N/A</v>
      </c>
      <c r="BE352" s="1587">
        <f t="shared" si="248"/>
        <v>0</v>
      </c>
      <c r="BH352" s="1212" t="e">
        <f t="shared" ca="1" si="249"/>
        <v>#N/A</v>
      </c>
      <c r="BI352" s="1213" t="e">
        <f t="shared" ca="1" si="250"/>
        <v>#N/A</v>
      </c>
      <c r="BJ352" s="1587">
        <f t="shared" si="251"/>
        <v>0</v>
      </c>
      <c r="BM352" s="1212" t="e">
        <f t="shared" ca="1" si="252"/>
        <v>#N/A</v>
      </c>
      <c r="BN352" s="1213" t="e">
        <f t="shared" ca="1" si="253"/>
        <v>#N/A</v>
      </c>
      <c r="BO352" s="1587">
        <f t="shared" si="254"/>
        <v>0</v>
      </c>
      <c r="BR352" s="1212" t="e">
        <f t="shared" ca="1" si="255"/>
        <v>#N/A</v>
      </c>
      <c r="BS352" s="1213" t="e">
        <f t="shared" ca="1" si="256"/>
        <v>#N/A</v>
      </c>
      <c r="BT352" s="1587">
        <f t="shared" si="257"/>
        <v>0</v>
      </c>
      <c r="BW352" s="1212" t="e">
        <f t="shared" ca="1" si="258"/>
        <v>#N/A</v>
      </c>
      <c r="BX352" s="1213" t="e">
        <f t="shared" ca="1" si="259"/>
        <v>#N/A</v>
      </c>
      <c r="BY352" s="1587">
        <f t="shared" si="260"/>
        <v>0</v>
      </c>
      <c r="CB352" s="1212" t="e">
        <f t="shared" ca="1" si="261"/>
        <v>#N/A</v>
      </c>
      <c r="CC352" s="1213" t="e">
        <f t="shared" ca="1" si="262"/>
        <v>#N/A</v>
      </c>
      <c r="CD352" s="1587">
        <f t="shared" si="263"/>
        <v>0</v>
      </c>
      <c r="CG352" s="1212" t="e">
        <f t="shared" ca="1" si="264"/>
        <v>#N/A</v>
      </c>
      <c r="CH352" s="1213" t="e">
        <f t="shared" ca="1" si="265"/>
        <v>#N/A</v>
      </c>
      <c r="CI352" s="1587">
        <f t="shared" si="266"/>
        <v>0</v>
      </c>
      <c r="CL352" s="1212" t="e">
        <f t="shared" ca="1" si="267"/>
        <v>#N/A</v>
      </c>
      <c r="CM352" s="1213" t="e">
        <f t="shared" ca="1" si="268"/>
        <v>#N/A</v>
      </c>
      <c r="CN352" s="1587">
        <f t="shared" si="269"/>
        <v>0</v>
      </c>
    </row>
    <row r="353" spans="1:92">
      <c r="A353" s="141">
        <f>'銀行-TSS'!A353</f>
        <v>0</v>
      </c>
      <c r="B353" s="151">
        <f ca="1">VLOOKUP(A353,'銀行-TSS'!A:B,2,FALSE)</f>
        <v>0</v>
      </c>
      <c r="C353" s="151" t="e">
        <f ca="1">VLOOKUP(B353,bond!B:C,2,FALSE)</f>
        <v>#N/A</v>
      </c>
      <c r="D353" s="95" t="e">
        <f>VLOOKUP(A353,'銀行-TSS'!A:C,3,FALSE)</f>
        <v>#N/A</v>
      </c>
      <c r="E353" s="90" t="e">
        <f ca="1">VLOOKUP(A353,'銀行-TSS'!A:G,7,FALSE)</f>
        <v>#N/A</v>
      </c>
      <c r="F353" s="202" t="e">
        <f ca="1">VLOOKUP(A353,'銀行-TSS'!A:H,8,FALSE)</f>
        <v>#N/A</v>
      </c>
      <c r="G353" s="96" t="e">
        <f ca="1">VLOOKUP(A353,'銀行-TSS'!A:K,11,FALSE)</f>
        <v>#N/A</v>
      </c>
      <c r="H353" s="1209" t="e">
        <f ca="1">VLOOKUP(A353,'銀行-TSS'!A:M,13,FALSE)</f>
        <v>#N/A</v>
      </c>
      <c r="I353" s="1213" t="e">
        <f ca="1">VLOOKUP(A353,'銀行-TSS'!A:N,14,FALSE)</f>
        <v>#N/A</v>
      </c>
      <c r="J353" s="1213" t="e">
        <f ca="1">VLOOKUP(A353,'銀行-TSS'!A:O,15,FALSE)</f>
        <v>#N/A</v>
      </c>
      <c r="K353" s="136" t="e">
        <f ca="1">VLOOKUP(A353,'銀行-TSS'!A:V,22,FALSE)</f>
        <v>#N/A</v>
      </c>
      <c r="L353" s="136" t="e">
        <f ca="1">VLOOKUP(A353,'銀行-TSS'!A:AK,37,FALSE)</f>
        <v>#N/A</v>
      </c>
      <c r="M353" s="136" t="str">
        <f ca="1">VLOOKUP(A353,'銀行-TSS'!A:AN,40,FALSE)</f>
        <v/>
      </c>
      <c r="N353" s="136" t="e">
        <f t="shared" ca="1" si="225"/>
        <v>#N/A</v>
      </c>
      <c r="O353" s="1213" t="e">
        <f t="shared" ca="1" si="226"/>
        <v>#N/A</v>
      </c>
      <c r="P353" s="1213" t="e">
        <f ca="1">IF(AND($O$1&gt;=O353,換券單檔!$D$13=D353),I353+INT(($O$1-O353)/N353)*J353,0)</f>
        <v>#N/A</v>
      </c>
      <c r="Q353" s="1213" t="e">
        <f t="shared" ca="1" si="227"/>
        <v>#N/A</v>
      </c>
      <c r="R353" s="1213">
        <f t="shared" si="228"/>
        <v>0</v>
      </c>
      <c r="S353" s="1213">
        <f t="shared" si="229"/>
        <v>0</v>
      </c>
      <c r="T353" s="136">
        <f>IF(OR(R353=0,A353=0),0,IF(AND(V353=TRUE,換券單檔!$D$13=D353),E353,0))</f>
        <v>0</v>
      </c>
      <c r="U353" s="861">
        <f>IF(OR(R353=0,A353=0),0,IF(AND(V353=TRUE,換券單檔!$D$13=D353),H353,0))</f>
        <v>0</v>
      </c>
      <c r="V353" s="136" t="e">
        <f ca="1">IF(OR(B353=換券單檔!$D$3,L353="無",M353&lt;&gt;"",K353="高資產",IFERROR(MATCH(B353,換券單檔!K:K,0),"N")&lt;&gt;"N"),FALSE,IF($V$1="All",TRUE,IF(K353=$V$1,TRUE,FALSE)))</f>
        <v>#N/A</v>
      </c>
      <c r="W353" s="136" t="e">
        <f ca="1">VLOOKUP(A353,'銀行-TSS'!A:AO,41,FALSE)</f>
        <v>#N/A</v>
      </c>
      <c r="X353" s="136" t="e">
        <f ca="1">VLOOKUP(A353,'銀行-TSS'!A:AP,42,FALSE)</f>
        <v>#N/A</v>
      </c>
      <c r="Y353" s="1220">
        <f t="shared" si="230"/>
        <v>0</v>
      </c>
      <c r="Z353" s="1220">
        <f t="shared" si="231"/>
        <v>0</v>
      </c>
      <c r="AA353" s="136">
        <f>IF(Z353&lt;=0,0,RANK(Z353,Z:Z)+COUNTIF($Z$3:$Z353,Z353)-1)</f>
        <v>0</v>
      </c>
      <c r="AB353" s="1211">
        <f t="shared" ca="1" si="232"/>
        <v>-14896.14</v>
      </c>
      <c r="AC353" s="136">
        <f ca="1">IF(AB353&lt;=0,0,RANK(AB353,AB:AB)+COUNTIF($AB$3:$AB353,AB353)-1)</f>
        <v>0</v>
      </c>
      <c r="AD353" s="1123">
        <f t="shared" si="233"/>
        <v>99999</v>
      </c>
      <c r="AE353" s="1123">
        <f>IF(AD353=99999,0,RANK(AD353,AD:AD,1)+COUNTIF($AD$3:$AD353,AD353)-1)</f>
        <v>0</v>
      </c>
      <c r="AF353" s="86" t="e">
        <f ca="1">IF(OR(M353&lt;&gt;"",L353="無",K353="高資產",IFERROR(MATCH(B353,換券單檔!K:K,0),"N")&lt;&gt;"N"),FALSE,TRUE)</f>
        <v>#N/A</v>
      </c>
      <c r="AI353" s="1212" t="e">
        <f t="shared" ca="1" si="234"/>
        <v>#N/A</v>
      </c>
      <c r="AJ353" s="1213" t="e">
        <f t="shared" ca="1" si="235"/>
        <v>#N/A</v>
      </c>
      <c r="AK353" s="1587">
        <f t="shared" si="236"/>
        <v>0</v>
      </c>
      <c r="AN353" s="1212" t="e">
        <f t="shared" ca="1" si="237"/>
        <v>#N/A</v>
      </c>
      <c r="AO353" s="1213" t="e">
        <f t="shared" ca="1" si="238"/>
        <v>#N/A</v>
      </c>
      <c r="AP353" s="1587">
        <f t="shared" si="239"/>
        <v>0</v>
      </c>
      <c r="AS353" s="1212" t="e">
        <f t="shared" ca="1" si="240"/>
        <v>#N/A</v>
      </c>
      <c r="AT353" s="1213" t="e">
        <f t="shared" ca="1" si="241"/>
        <v>#N/A</v>
      </c>
      <c r="AU353" s="1587">
        <f t="shared" si="242"/>
        <v>0</v>
      </c>
      <c r="AX353" s="1212" t="e">
        <f t="shared" ca="1" si="243"/>
        <v>#N/A</v>
      </c>
      <c r="AY353" s="1213" t="e">
        <f t="shared" ca="1" si="244"/>
        <v>#N/A</v>
      </c>
      <c r="AZ353" s="1587">
        <f t="shared" si="245"/>
        <v>0</v>
      </c>
      <c r="BC353" s="1212" t="e">
        <f t="shared" ca="1" si="246"/>
        <v>#N/A</v>
      </c>
      <c r="BD353" s="1213" t="e">
        <f t="shared" ca="1" si="247"/>
        <v>#N/A</v>
      </c>
      <c r="BE353" s="1587">
        <f t="shared" si="248"/>
        <v>0</v>
      </c>
      <c r="BH353" s="1212" t="e">
        <f t="shared" ca="1" si="249"/>
        <v>#N/A</v>
      </c>
      <c r="BI353" s="1213" t="e">
        <f t="shared" ca="1" si="250"/>
        <v>#N/A</v>
      </c>
      <c r="BJ353" s="1587">
        <f t="shared" si="251"/>
        <v>0</v>
      </c>
      <c r="BM353" s="1212" t="e">
        <f t="shared" ca="1" si="252"/>
        <v>#N/A</v>
      </c>
      <c r="BN353" s="1213" t="e">
        <f t="shared" ca="1" si="253"/>
        <v>#N/A</v>
      </c>
      <c r="BO353" s="1587">
        <f t="shared" si="254"/>
        <v>0</v>
      </c>
      <c r="BR353" s="1212" t="e">
        <f t="shared" ca="1" si="255"/>
        <v>#N/A</v>
      </c>
      <c r="BS353" s="1213" t="e">
        <f t="shared" ca="1" si="256"/>
        <v>#N/A</v>
      </c>
      <c r="BT353" s="1587">
        <f t="shared" si="257"/>
        <v>0</v>
      </c>
      <c r="BW353" s="1212" t="e">
        <f t="shared" ca="1" si="258"/>
        <v>#N/A</v>
      </c>
      <c r="BX353" s="1213" t="e">
        <f t="shared" ca="1" si="259"/>
        <v>#N/A</v>
      </c>
      <c r="BY353" s="1587">
        <f t="shared" si="260"/>
        <v>0</v>
      </c>
      <c r="CB353" s="1212" t="e">
        <f t="shared" ca="1" si="261"/>
        <v>#N/A</v>
      </c>
      <c r="CC353" s="1213" t="e">
        <f t="shared" ca="1" si="262"/>
        <v>#N/A</v>
      </c>
      <c r="CD353" s="1587">
        <f t="shared" si="263"/>
        <v>0</v>
      </c>
      <c r="CG353" s="1212" t="e">
        <f t="shared" ca="1" si="264"/>
        <v>#N/A</v>
      </c>
      <c r="CH353" s="1213" t="e">
        <f t="shared" ca="1" si="265"/>
        <v>#N/A</v>
      </c>
      <c r="CI353" s="1587">
        <f t="shared" si="266"/>
        <v>0</v>
      </c>
      <c r="CL353" s="1212" t="e">
        <f t="shared" ca="1" si="267"/>
        <v>#N/A</v>
      </c>
      <c r="CM353" s="1213" t="e">
        <f t="shared" ca="1" si="268"/>
        <v>#N/A</v>
      </c>
      <c r="CN353" s="1587">
        <f t="shared" si="269"/>
        <v>0</v>
      </c>
    </row>
    <row r="354" spans="1:92">
      <c r="A354" s="141">
        <f>'銀行-TSS'!A354</f>
        <v>0</v>
      </c>
      <c r="B354" s="151">
        <f ca="1">VLOOKUP(A354,'銀行-TSS'!A:B,2,FALSE)</f>
        <v>0</v>
      </c>
      <c r="C354" s="151" t="e">
        <f ca="1">VLOOKUP(B354,bond!B:C,2,FALSE)</f>
        <v>#N/A</v>
      </c>
      <c r="D354" s="95" t="e">
        <f>VLOOKUP(A354,'銀行-TSS'!A:C,3,FALSE)</f>
        <v>#N/A</v>
      </c>
      <c r="E354" s="90" t="e">
        <f ca="1">VLOOKUP(A354,'銀行-TSS'!A:G,7,FALSE)</f>
        <v>#N/A</v>
      </c>
      <c r="F354" s="202" t="e">
        <f ca="1">VLOOKUP(A354,'銀行-TSS'!A:H,8,FALSE)</f>
        <v>#N/A</v>
      </c>
      <c r="G354" s="96" t="e">
        <f ca="1">VLOOKUP(A354,'銀行-TSS'!A:K,11,FALSE)</f>
        <v>#N/A</v>
      </c>
      <c r="H354" s="1209" t="e">
        <f ca="1">VLOOKUP(A354,'銀行-TSS'!A:M,13,FALSE)</f>
        <v>#N/A</v>
      </c>
      <c r="I354" s="1213" t="e">
        <f ca="1">VLOOKUP(A354,'銀行-TSS'!A:N,14,FALSE)</f>
        <v>#N/A</v>
      </c>
      <c r="J354" s="1213" t="e">
        <f ca="1">VLOOKUP(A354,'銀行-TSS'!A:O,15,FALSE)</f>
        <v>#N/A</v>
      </c>
      <c r="K354" s="136" t="e">
        <f ca="1">VLOOKUP(A354,'銀行-TSS'!A:V,22,FALSE)</f>
        <v>#N/A</v>
      </c>
      <c r="L354" s="136" t="e">
        <f ca="1">VLOOKUP(A354,'銀行-TSS'!A:AK,37,FALSE)</f>
        <v>#N/A</v>
      </c>
      <c r="M354" s="136" t="str">
        <f ca="1">VLOOKUP(A354,'銀行-TSS'!A:AN,40,FALSE)</f>
        <v/>
      </c>
      <c r="N354" s="136" t="e">
        <f t="shared" ca="1" si="225"/>
        <v>#N/A</v>
      </c>
      <c r="O354" s="1213" t="e">
        <f t="shared" ca="1" si="226"/>
        <v>#N/A</v>
      </c>
      <c r="P354" s="1213" t="e">
        <f ca="1">IF(AND($O$1&gt;=O354,換券單檔!$D$13=D354),I354+INT(($O$1-O354)/N354)*J354,0)</f>
        <v>#N/A</v>
      </c>
      <c r="Q354" s="1213" t="e">
        <f t="shared" ca="1" si="227"/>
        <v>#N/A</v>
      </c>
      <c r="R354" s="1213">
        <f t="shared" si="228"/>
        <v>0</v>
      </c>
      <c r="S354" s="1213">
        <f t="shared" si="229"/>
        <v>0</v>
      </c>
      <c r="T354" s="136">
        <f>IF(OR(R354=0,A354=0),0,IF(AND(V354=TRUE,換券單檔!$D$13=D354),E354,0))</f>
        <v>0</v>
      </c>
      <c r="U354" s="861">
        <f>IF(OR(R354=0,A354=0),0,IF(AND(V354=TRUE,換券單檔!$D$13=D354),H354,0))</f>
        <v>0</v>
      </c>
      <c r="V354" s="136" t="e">
        <f ca="1">IF(OR(B354=換券單檔!$D$3,L354="無",M354&lt;&gt;"",K354="高資產",IFERROR(MATCH(B354,換券單檔!K:K,0),"N")&lt;&gt;"N"),FALSE,IF($V$1="All",TRUE,IF(K354=$V$1,TRUE,FALSE)))</f>
        <v>#N/A</v>
      </c>
      <c r="W354" s="136" t="e">
        <f ca="1">VLOOKUP(A354,'銀行-TSS'!A:AO,41,FALSE)</f>
        <v>#N/A</v>
      </c>
      <c r="X354" s="136" t="e">
        <f ca="1">VLOOKUP(A354,'銀行-TSS'!A:AP,42,FALSE)</f>
        <v>#N/A</v>
      </c>
      <c r="Y354" s="1220">
        <f t="shared" si="230"/>
        <v>0</v>
      </c>
      <c r="Z354" s="1220">
        <f t="shared" si="231"/>
        <v>0</v>
      </c>
      <c r="AA354" s="136">
        <f>IF(Z354&lt;=0,0,RANK(Z354,Z:Z)+COUNTIF($Z$3:$Z354,Z354)-1)</f>
        <v>0</v>
      </c>
      <c r="AB354" s="1211">
        <f t="shared" ca="1" si="232"/>
        <v>-14896.14</v>
      </c>
      <c r="AC354" s="136">
        <f ca="1">IF(AB354&lt;=0,0,RANK(AB354,AB:AB)+COUNTIF($AB$3:$AB354,AB354)-1)</f>
        <v>0</v>
      </c>
      <c r="AD354" s="1123">
        <f t="shared" si="233"/>
        <v>99999</v>
      </c>
      <c r="AE354" s="1123">
        <f>IF(AD354=99999,0,RANK(AD354,AD:AD,1)+COUNTIF($AD$3:$AD354,AD354)-1)</f>
        <v>0</v>
      </c>
      <c r="AF354" s="86" t="e">
        <f ca="1">IF(OR(M354&lt;&gt;"",L354="無",K354="高資產",IFERROR(MATCH(B354,換券單檔!K:K,0),"N")&lt;&gt;"N"),FALSE,TRUE)</f>
        <v>#N/A</v>
      </c>
      <c r="AI354" s="1212" t="e">
        <f t="shared" ca="1" si="234"/>
        <v>#N/A</v>
      </c>
      <c r="AJ354" s="1213" t="e">
        <f t="shared" ca="1" si="235"/>
        <v>#N/A</v>
      </c>
      <c r="AK354" s="1587">
        <f t="shared" si="236"/>
        <v>0</v>
      </c>
      <c r="AN354" s="1212" t="e">
        <f t="shared" ca="1" si="237"/>
        <v>#N/A</v>
      </c>
      <c r="AO354" s="1213" t="e">
        <f t="shared" ca="1" si="238"/>
        <v>#N/A</v>
      </c>
      <c r="AP354" s="1587">
        <f t="shared" si="239"/>
        <v>0</v>
      </c>
      <c r="AS354" s="1212" t="e">
        <f t="shared" ca="1" si="240"/>
        <v>#N/A</v>
      </c>
      <c r="AT354" s="1213" t="e">
        <f t="shared" ca="1" si="241"/>
        <v>#N/A</v>
      </c>
      <c r="AU354" s="1587">
        <f t="shared" si="242"/>
        <v>0</v>
      </c>
      <c r="AX354" s="1212" t="e">
        <f t="shared" ca="1" si="243"/>
        <v>#N/A</v>
      </c>
      <c r="AY354" s="1213" t="e">
        <f t="shared" ca="1" si="244"/>
        <v>#N/A</v>
      </c>
      <c r="AZ354" s="1587">
        <f t="shared" si="245"/>
        <v>0</v>
      </c>
      <c r="BC354" s="1212" t="e">
        <f t="shared" ca="1" si="246"/>
        <v>#N/A</v>
      </c>
      <c r="BD354" s="1213" t="e">
        <f t="shared" ca="1" si="247"/>
        <v>#N/A</v>
      </c>
      <c r="BE354" s="1587">
        <f t="shared" si="248"/>
        <v>0</v>
      </c>
      <c r="BH354" s="1212" t="e">
        <f t="shared" ca="1" si="249"/>
        <v>#N/A</v>
      </c>
      <c r="BI354" s="1213" t="e">
        <f t="shared" ca="1" si="250"/>
        <v>#N/A</v>
      </c>
      <c r="BJ354" s="1587">
        <f t="shared" si="251"/>
        <v>0</v>
      </c>
      <c r="BM354" s="1212" t="e">
        <f t="shared" ca="1" si="252"/>
        <v>#N/A</v>
      </c>
      <c r="BN354" s="1213" t="e">
        <f t="shared" ca="1" si="253"/>
        <v>#N/A</v>
      </c>
      <c r="BO354" s="1587">
        <f t="shared" si="254"/>
        <v>0</v>
      </c>
      <c r="BR354" s="1212" t="e">
        <f t="shared" ca="1" si="255"/>
        <v>#N/A</v>
      </c>
      <c r="BS354" s="1213" t="e">
        <f t="shared" ca="1" si="256"/>
        <v>#N/A</v>
      </c>
      <c r="BT354" s="1587">
        <f t="shared" si="257"/>
        <v>0</v>
      </c>
      <c r="BW354" s="1212" t="e">
        <f t="shared" ca="1" si="258"/>
        <v>#N/A</v>
      </c>
      <c r="BX354" s="1213" t="e">
        <f t="shared" ca="1" si="259"/>
        <v>#N/A</v>
      </c>
      <c r="BY354" s="1587">
        <f t="shared" si="260"/>
        <v>0</v>
      </c>
      <c r="CB354" s="1212" t="e">
        <f t="shared" ca="1" si="261"/>
        <v>#N/A</v>
      </c>
      <c r="CC354" s="1213" t="e">
        <f t="shared" ca="1" si="262"/>
        <v>#N/A</v>
      </c>
      <c r="CD354" s="1587">
        <f t="shared" si="263"/>
        <v>0</v>
      </c>
      <c r="CG354" s="1212" t="e">
        <f t="shared" ca="1" si="264"/>
        <v>#N/A</v>
      </c>
      <c r="CH354" s="1213" t="e">
        <f t="shared" ca="1" si="265"/>
        <v>#N/A</v>
      </c>
      <c r="CI354" s="1587">
        <f t="shared" si="266"/>
        <v>0</v>
      </c>
      <c r="CL354" s="1212" t="e">
        <f t="shared" ca="1" si="267"/>
        <v>#N/A</v>
      </c>
      <c r="CM354" s="1213" t="e">
        <f t="shared" ca="1" si="268"/>
        <v>#N/A</v>
      </c>
      <c r="CN354" s="1587">
        <f t="shared" si="269"/>
        <v>0</v>
      </c>
    </row>
    <row r="355" spans="1:92">
      <c r="A355" s="141">
        <f>'銀行-TSS'!A355</f>
        <v>0</v>
      </c>
      <c r="B355" s="151">
        <f ca="1">VLOOKUP(A355,'銀行-TSS'!A:B,2,FALSE)</f>
        <v>0</v>
      </c>
      <c r="C355" s="151" t="e">
        <f ca="1">VLOOKUP(B355,bond!B:C,2,FALSE)</f>
        <v>#N/A</v>
      </c>
      <c r="D355" s="95" t="e">
        <f>VLOOKUP(A355,'銀行-TSS'!A:C,3,FALSE)</f>
        <v>#N/A</v>
      </c>
      <c r="E355" s="90" t="e">
        <f ca="1">VLOOKUP(A355,'銀行-TSS'!A:G,7,FALSE)</f>
        <v>#N/A</v>
      </c>
      <c r="F355" s="202" t="e">
        <f ca="1">VLOOKUP(A355,'銀行-TSS'!A:H,8,FALSE)</f>
        <v>#N/A</v>
      </c>
      <c r="G355" s="96" t="e">
        <f ca="1">VLOOKUP(A355,'銀行-TSS'!A:K,11,FALSE)</f>
        <v>#N/A</v>
      </c>
      <c r="H355" s="1209" t="e">
        <f ca="1">VLOOKUP(A355,'銀行-TSS'!A:M,13,FALSE)</f>
        <v>#N/A</v>
      </c>
      <c r="I355" s="1213" t="e">
        <f ca="1">VLOOKUP(A355,'銀行-TSS'!A:N,14,FALSE)</f>
        <v>#N/A</v>
      </c>
      <c r="J355" s="1213" t="e">
        <f ca="1">VLOOKUP(A355,'銀行-TSS'!A:O,15,FALSE)</f>
        <v>#N/A</v>
      </c>
      <c r="K355" s="136" t="e">
        <f ca="1">VLOOKUP(A355,'銀行-TSS'!A:V,22,FALSE)</f>
        <v>#N/A</v>
      </c>
      <c r="L355" s="136" t="e">
        <f ca="1">VLOOKUP(A355,'銀行-TSS'!A:AK,37,FALSE)</f>
        <v>#N/A</v>
      </c>
      <c r="M355" s="136" t="str">
        <f ca="1">VLOOKUP(A355,'銀行-TSS'!A:AN,40,FALSE)</f>
        <v/>
      </c>
      <c r="N355" s="136" t="e">
        <f t="shared" ca="1" si="225"/>
        <v>#N/A</v>
      </c>
      <c r="O355" s="1213" t="e">
        <f t="shared" ca="1" si="226"/>
        <v>#N/A</v>
      </c>
      <c r="P355" s="1213" t="e">
        <f ca="1">IF(AND($O$1&gt;=O355,換券單檔!$D$13=D355),I355+INT(($O$1-O355)/N355)*J355,0)</f>
        <v>#N/A</v>
      </c>
      <c r="Q355" s="1213" t="e">
        <f t="shared" ca="1" si="227"/>
        <v>#N/A</v>
      </c>
      <c r="R355" s="1213">
        <f t="shared" si="228"/>
        <v>0</v>
      </c>
      <c r="S355" s="1213">
        <f t="shared" si="229"/>
        <v>0</v>
      </c>
      <c r="T355" s="136">
        <f>IF(OR(R355=0,A355=0),0,IF(AND(V355=TRUE,換券單檔!$D$13=D355),E355,0))</f>
        <v>0</v>
      </c>
      <c r="U355" s="861">
        <f>IF(OR(R355=0,A355=0),0,IF(AND(V355=TRUE,換券單檔!$D$13=D355),H355,0))</f>
        <v>0</v>
      </c>
      <c r="V355" s="136" t="e">
        <f ca="1">IF(OR(B355=換券單檔!$D$3,L355="無",M355&lt;&gt;"",K355="高資產",IFERROR(MATCH(B355,換券單檔!K:K,0),"N")&lt;&gt;"N"),FALSE,IF($V$1="All",TRUE,IF(K355=$V$1,TRUE,FALSE)))</f>
        <v>#N/A</v>
      </c>
      <c r="W355" s="136" t="e">
        <f ca="1">VLOOKUP(A355,'銀行-TSS'!A:AO,41,FALSE)</f>
        <v>#N/A</v>
      </c>
      <c r="X355" s="136" t="e">
        <f ca="1">VLOOKUP(A355,'銀行-TSS'!A:AP,42,FALSE)</f>
        <v>#N/A</v>
      </c>
      <c r="Y355" s="1220">
        <f t="shared" si="230"/>
        <v>0</v>
      </c>
      <c r="Z355" s="1220">
        <f t="shared" si="231"/>
        <v>0</v>
      </c>
      <c r="AA355" s="136">
        <f>IF(Z355&lt;=0,0,RANK(Z355,Z:Z)+COUNTIF($Z$3:$Z355,Z355)-1)</f>
        <v>0</v>
      </c>
      <c r="AB355" s="1211">
        <f t="shared" ca="1" si="232"/>
        <v>-14896.14</v>
      </c>
      <c r="AC355" s="136">
        <f ca="1">IF(AB355&lt;=0,0,RANK(AB355,AB:AB)+COUNTIF($AB$3:$AB355,AB355)-1)</f>
        <v>0</v>
      </c>
      <c r="AD355" s="1123">
        <f t="shared" si="233"/>
        <v>99999</v>
      </c>
      <c r="AE355" s="1123">
        <f>IF(AD355=99999,0,RANK(AD355,AD:AD,1)+COUNTIF($AD$3:$AD355,AD355)-1)</f>
        <v>0</v>
      </c>
      <c r="AF355" s="86" t="e">
        <f ca="1">IF(OR(M355&lt;&gt;"",L355="無",K355="高資產",IFERROR(MATCH(B355,換券單檔!K:K,0),"N")&lt;&gt;"N"),FALSE,TRUE)</f>
        <v>#N/A</v>
      </c>
      <c r="AI355" s="1212" t="e">
        <f t="shared" ca="1" si="234"/>
        <v>#N/A</v>
      </c>
      <c r="AJ355" s="1213" t="e">
        <f t="shared" ca="1" si="235"/>
        <v>#N/A</v>
      </c>
      <c r="AK355" s="1587">
        <f t="shared" si="236"/>
        <v>0</v>
      </c>
      <c r="AN355" s="1212" t="e">
        <f t="shared" ca="1" si="237"/>
        <v>#N/A</v>
      </c>
      <c r="AO355" s="1213" t="e">
        <f t="shared" ca="1" si="238"/>
        <v>#N/A</v>
      </c>
      <c r="AP355" s="1587">
        <f t="shared" si="239"/>
        <v>0</v>
      </c>
      <c r="AS355" s="1212" t="e">
        <f t="shared" ca="1" si="240"/>
        <v>#N/A</v>
      </c>
      <c r="AT355" s="1213" t="e">
        <f t="shared" ca="1" si="241"/>
        <v>#N/A</v>
      </c>
      <c r="AU355" s="1587">
        <f t="shared" si="242"/>
        <v>0</v>
      </c>
      <c r="AX355" s="1212" t="e">
        <f t="shared" ca="1" si="243"/>
        <v>#N/A</v>
      </c>
      <c r="AY355" s="1213" t="e">
        <f t="shared" ca="1" si="244"/>
        <v>#N/A</v>
      </c>
      <c r="AZ355" s="1587">
        <f t="shared" si="245"/>
        <v>0</v>
      </c>
      <c r="BC355" s="1212" t="e">
        <f t="shared" ca="1" si="246"/>
        <v>#N/A</v>
      </c>
      <c r="BD355" s="1213" t="e">
        <f t="shared" ca="1" si="247"/>
        <v>#N/A</v>
      </c>
      <c r="BE355" s="1587">
        <f t="shared" si="248"/>
        <v>0</v>
      </c>
      <c r="BH355" s="1212" t="e">
        <f t="shared" ca="1" si="249"/>
        <v>#N/A</v>
      </c>
      <c r="BI355" s="1213" t="e">
        <f t="shared" ca="1" si="250"/>
        <v>#N/A</v>
      </c>
      <c r="BJ355" s="1587">
        <f t="shared" si="251"/>
        <v>0</v>
      </c>
      <c r="BM355" s="1212" t="e">
        <f t="shared" ca="1" si="252"/>
        <v>#N/A</v>
      </c>
      <c r="BN355" s="1213" t="e">
        <f t="shared" ca="1" si="253"/>
        <v>#N/A</v>
      </c>
      <c r="BO355" s="1587">
        <f t="shared" si="254"/>
        <v>0</v>
      </c>
      <c r="BR355" s="1212" t="e">
        <f t="shared" ca="1" si="255"/>
        <v>#N/A</v>
      </c>
      <c r="BS355" s="1213" t="e">
        <f t="shared" ca="1" si="256"/>
        <v>#N/A</v>
      </c>
      <c r="BT355" s="1587">
        <f t="shared" si="257"/>
        <v>0</v>
      </c>
      <c r="BW355" s="1212" t="e">
        <f t="shared" ca="1" si="258"/>
        <v>#N/A</v>
      </c>
      <c r="BX355" s="1213" t="e">
        <f t="shared" ca="1" si="259"/>
        <v>#N/A</v>
      </c>
      <c r="BY355" s="1587">
        <f t="shared" si="260"/>
        <v>0</v>
      </c>
      <c r="CB355" s="1212" t="e">
        <f t="shared" ca="1" si="261"/>
        <v>#N/A</v>
      </c>
      <c r="CC355" s="1213" t="e">
        <f t="shared" ca="1" si="262"/>
        <v>#N/A</v>
      </c>
      <c r="CD355" s="1587">
        <f t="shared" si="263"/>
        <v>0</v>
      </c>
      <c r="CG355" s="1212" t="e">
        <f t="shared" ca="1" si="264"/>
        <v>#N/A</v>
      </c>
      <c r="CH355" s="1213" t="e">
        <f t="shared" ca="1" si="265"/>
        <v>#N/A</v>
      </c>
      <c r="CI355" s="1587">
        <f t="shared" si="266"/>
        <v>0</v>
      </c>
      <c r="CL355" s="1212" t="e">
        <f t="shared" ca="1" si="267"/>
        <v>#N/A</v>
      </c>
      <c r="CM355" s="1213" t="e">
        <f t="shared" ca="1" si="268"/>
        <v>#N/A</v>
      </c>
      <c r="CN355" s="1587">
        <f t="shared" si="269"/>
        <v>0</v>
      </c>
    </row>
    <row r="356" spans="1:92">
      <c r="A356" s="141">
        <f>'銀行-TSS'!A356</f>
        <v>0</v>
      </c>
      <c r="B356" s="151">
        <f ca="1">VLOOKUP(A356,'銀行-TSS'!A:B,2,FALSE)</f>
        <v>0</v>
      </c>
      <c r="C356" s="151" t="e">
        <f ca="1">VLOOKUP(B356,bond!B:C,2,FALSE)</f>
        <v>#N/A</v>
      </c>
      <c r="D356" s="95" t="e">
        <f>VLOOKUP(A356,'銀行-TSS'!A:C,3,FALSE)</f>
        <v>#N/A</v>
      </c>
      <c r="E356" s="90" t="e">
        <f ca="1">VLOOKUP(A356,'銀行-TSS'!A:G,7,FALSE)</f>
        <v>#N/A</v>
      </c>
      <c r="F356" s="202" t="e">
        <f ca="1">VLOOKUP(A356,'銀行-TSS'!A:H,8,FALSE)</f>
        <v>#N/A</v>
      </c>
      <c r="G356" s="96" t="e">
        <f ca="1">VLOOKUP(A356,'銀行-TSS'!A:K,11,FALSE)</f>
        <v>#N/A</v>
      </c>
      <c r="H356" s="1209" t="e">
        <f ca="1">VLOOKUP(A356,'銀行-TSS'!A:M,13,FALSE)</f>
        <v>#N/A</v>
      </c>
      <c r="I356" s="1213" t="e">
        <f ca="1">VLOOKUP(A356,'銀行-TSS'!A:N,14,FALSE)</f>
        <v>#N/A</v>
      </c>
      <c r="J356" s="1213" t="e">
        <f ca="1">VLOOKUP(A356,'銀行-TSS'!A:O,15,FALSE)</f>
        <v>#N/A</v>
      </c>
      <c r="K356" s="136" t="e">
        <f ca="1">VLOOKUP(A356,'銀行-TSS'!A:V,22,FALSE)</f>
        <v>#N/A</v>
      </c>
      <c r="L356" s="136" t="e">
        <f ca="1">VLOOKUP(A356,'銀行-TSS'!A:AK,37,FALSE)</f>
        <v>#N/A</v>
      </c>
      <c r="M356" s="136" t="str">
        <f ca="1">VLOOKUP(A356,'銀行-TSS'!A:AN,40,FALSE)</f>
        <v/>
      </c>
      <c r="N356" s="136" t="e">
        <f t="shared" ca="1" si="225"/>
        <v>#N/A</v>
      </c>
      <c r="O356" s="1213" t="e">
        <f t="shared" ca="1" si="226"/>
        <v>#N/A</v>
      </c>
      <c r="P356" s="1213" t="e">
        <f ca="1">IF(AND($O$1&gt;=O356,換券單檔!$D$13=D356),I356+INT(($O$1-O356)/N356)*J356,0)</f>
        <v>#N/A</v>
      </c>
      <c r="Q356" s="1213" t="e">
        <f t="shared" ca="1" si="227"/>
        <v>#N/A</v>
      </c>
      <c r="R356" s="1213">
        <f t="shared" si="228"/>
        <v>0</v>
      </c>
      <c r="S356" s="1213">
        <f t="shared" si="229"/>
        <v>0</v>
      </c>
      <c r="T356" s="136">
        <f>IF(OR(R356=0,A356=0),0,IF(AND(V356=TRUE,換券單檔!$D$13=D356),E356,0))</f>
        <v>0</v>
      </c>
      <c r="U356" s="861">
        <f>IF(OR(R356=0,A356=0),0,IF(AND(V356=TRUE,換券單檔!$D$13=D356),H356,0))</f>
        <v>0</v>
      </c>
      <c r="V356" s="136" t="e">
        <f ca="1">IF(OR(B356=換券單檔!$D$3,L356="無",M356&lt;&gt;"",K356="高資產",IFERROR(MATCH(B356,換券單檔!K:K,0),"N")&lt;&gt;"N"),FALSE,IF($V$1="All",TRUE,IF(K356=$V$1,TRUE,FALSE)))</f>
        <v>#N/A</v>
      </c>
      <c r="W356" s="136" t="e">
        <f ca="1">VLOOKUP(A356,'銀行-TSS'!A:AO,41,FALSE)</f>
        <v>#N/A</v>
      </c>
      <c r="X356" s="136" t="e">
        <f ca="1">VLOOKUP(A356,'銀行-TSS'!A:AP,42,FALSE)</f>
        <v>#N/A</v>
      </c>
      <c r="Y356" s="1220">
        <f t="shared" si="230"/>
        <v>0</v>
      </c>
      <c r="Z356" s="1220">
        <f t="shared" si="231"/>
        <v>0</v>
      </c>
      <c r="AA356" s="136">
        <f>IF(Z356&lt;=0,0,RANK(Z356,Z:Z)+COUNTIF($Z$3:$Z356,Z356)-1)</f>
        <v>0</v>
      </c>
      <c r="AB356" s="1211">
        <f t="shared" ca="1" si="232"/>
        <v>-14896.14</v>
      </c>
      <c r="AC356" s="136">
        <f ca="1">IF(AB356&lt;=0,0,RANK(AB356,AB:AB)+COUNTIF($AB$3:$AB356,AB356)-1)</f>
        <v>0</v>
      </c>
      <c r="AD356" s="1123">
        <f t="shared" si="233"/>
        <v>99999</v>
      </c>
      <c r="AE356" s="1123">
        <f>IF(AD356=99999,0,RANK(AD356,AD:AD,1)+COUNTIF($AD$3:$AD356,AD356)-1)</f>
        <v>0</v>
      </c>
      <c r="AF356" s="86" t="e">
        <f ca="1">IF(OR(M356&lt;&gt;"",L356="無",K356="高資產",IFERROR(MATCH(B356,換券單檔!K:K,0),"N")&lt;&gt;"N"),FALSE,TRUE)</f>
        <v>#N/A</v>
      </c>
      <c r="AI356" s="1212" t="e">
        <f t="shared" ca="1" si="234"/>
        <v>#N/A</v>
      </c>
      <c r="AJ356" s="1213" t="e">
        <f t="shared" ca="1" si="235"/>
        <v>#N/A</v>
      </c>
      <c r="AK356" s="1587">
        <f t="shared" si="236"/>
        <v>0</v>
      </c>
      <c r="AN356" s="1212" t="e">
        <f t="shared" ca="1" si="237"/>
        <v>#N/A</v>
      </c>
      <c r="AO356" s="1213" t="e">
        <f t="shared" ca="1" si="238"/>
        <v>#N/A</v>
      </c>
      <c r="AP356" s="1587">
        <f t="shared" si="239"/>
        <v>0</v>
      </c>
      <c r="AS356" s="1212" t="e">
        <f t="shared" ca="1" si="240"/>
        <v>#N/A</v>
      </c>
      <c r="AT356" s="1213" t="e">
        <f t="shared" ca="1" si="241"/>
        <v>#N/A</v>
      </c>
      <c r="AU356" s="1587">
        <f t="shared" si="242"/>
        <v>0</v>
      </c>
      <c r="AX356" s="1212" t="e">
        <f t="shared" ca="1" si="243"/>
        <v>#N/A</v>
      </c>
      <c r="AY356" s="1213" t="e">
        <f t="shared" ca="1" si="244"/>
        <v>#N/A</v>
      </c>
      <c r="AZ356" s="1587">
        <f t="shared" si="245"/>
        <v>0</v>
      </c>
      <c r="BC356" s="1212" t="e">
        <f t="shared" ca="1" si="246"/>
        <v>#N/A</v>
      </c>
      <c r="BD356" s="1213" t="e">
        <f t="shared" ca="1" si="247"/>
        <v>#N/A</v>
      </c>
      <c r="BE356" s="1587">
        <f t="shared" si="248"/>
        <v>0</v>
      </c>
      <c r="BH356" s="1212" t="e">
        <f t="shared" ca="1" si="249"/>
        <v>#N/A</v>
      </c>
      <c r="BI356" s="1213" t="e">
        <f t="shared" ca="1" si="250"/>
        <v>#N/A</v>
      </c>
      <c r="BJ356" s="1587">
        <f t="shared" si="251"/>
        <v>0</v>
      </c>
      <c r="BM356" s="1212" t="e">
        <f t="shared" ca="1" si="252"/>
        <v>#N/A</v>
      </c>
      <c r="BN356" s="1213" t="e">
        <f t="shared" ca="1" si="253"/>
        <v>#N/A</v>
      </c>
      <c r="BO356" s="1587">
        <f t="shared" si="254"/>
        <v>0</v>
      </c>
      <c r="BR356" s="1212" t="e">
        <f t="shared" ca="1" si="255"/>
        <v>#N/A</v>
      </c>
      <c r="BS356" s="1213" t="e">
        <f t="shared" ca="1" si="256"/>
        <v>#N/A</v>
      </c>
      <c r="BT356" s="1587">
        <f t="shared" si="257"/>
        <v>0</v>
      </c>
      <c r="BW356" s="1212" t="e">
        <f t="shared" ca="1" si="258"/>
        <v>#N/A</v>
      </c>
      <c r="BX356" s="1213" t="e">
        <f t="shared" ca="1" si="259"/>
        <v>#N/A</v>
      </c>
      <c r="BY356" s="1587">
        <f t="shared" si="260"/>
        <v>0</v>
      </c>
      <c r="CB356" s="1212" t="e">
        <f t="shared" ca="1" si="261"/>
        <v>#N/A</v>
      </c>
      <c r="CC356" s="1213" t="e">
        <f t="shared" ca="1" si="262"/>
        <v>#N/A</v>
      </c>
      <c r="CD356" s="1587">
        <f t="shared" si="263"/>
        <v>0</v>
      </c>
      <c r="CG356" s="1212" t="e">
        <f t="shared" ca="1" si="264"/>
        <v>#N/A</v>
      </c>
      <c r="CH356" s="1213" t="e">
        <f t="shared" ca="1" si="265"/>
        <v>#N/A</v>
      </c>
      <c r="CI356" s="1587">
        <f t="shared" si="266"/>
        <v>0</v>
      </c>
      <c r="CL356" s="1212" t="e">
        <f t="shared" ca="1" si="267"/>
        <v>#N/A</v>
      </c>
      <c r="CM356" s="1213" t="e">
        <f t="shared" ca="1" si="268"/>
        <v>#N/A</v>
      </c>
      <c r="CN356" s="1587">
        <f t="shared" si="269"/>
        <v>0</v>
      </c>
    </row>
    <row r="357" spans="1:92">
      <c r="A357" s="141">
        <f>'銀行-TSS'!A357</f>
        <v>0</v>
      </c>
      <c r="B357" s="151">
        <f ca="1">VLOOKUP(A357,'銀行-TSS'!A:B,2,FALSE)</f>
        <v>0</v>
      </c>
      <c r="C357" s="151" t="e">
        <f ca="1">VLOOKUP(B357,bond!B:C,2,FALSE)</f>
        <v>#N/A</v>
      </c>
      <c r="D357" s="95" t="e">
        <f>VLOOKUP(A357,'銀行-TSS'!A:C,3,FALSE)</f>
        <v>#N/A</v>
      </c>
      <c r="E357" s="90" t="e">
        <f ca="1">VLOOKUP(A357,'銀行-TSS'!A:G,7,FALSE)</f>
        <v>#N/A</v>
      </c>
      <c r="F357" s="202" t="e">
        <f ca="1">VLOOKUP(A357,'銀行-TSS'!A:H,8,FALSE)</f>
        <v>#N/A</v>
      </c>
      <c r="G357" s="96" t="e">
        <f ca="1">VLOOKUP(A357,'銀行-TSS'!A:K,11,FALSE)</f>
        <v>#N/A</v>
      </c>
      <c r="H357" s="1209" t="e">
        <f ca="1">VLOOKUP(A357,'銀行-TSS'!A:M,13,FALSE)</f>
        <v>#N/A</v>
      </c>
      <c r="I357" s="1213" t="e">
        <f ca="1">VLOOKUP(A357,'銀行-TSS'!A:N,14,FALSE)</f>
        <v>#N/A</v>
      </c>
      <c r="J357" s="1213" t="e">
        <f ca="1">VLOOKUP(A357,'銀行-TSS'!A:O,15,FALSE)</f>
        <v>#N/A</v>
      </c>
      <c r="K357" s="136" t="e">
        <f ca="1">VLOOKUP(A357,'銀行-TSS'!A:V,22,FALSE)</f>
        <v>#N/A</v>
      </c>
      <c r="L357" s="136" t="e">
        <f ca="1">VLOOKUP(A357,'銀行-TSS'!A:AK,37,FALSE)</f>
        <v>#N/A</v>
      </c>
      <c r="M357" s="136" t="str">
        <f ca="1">VLOOKUP(A357,'銀行-TSS'!A:AN,40,FALSE)</f>
        <v/>
      </c>
      <c r="N357" s="136" t="e">
        <f t="shared" ca="1" si="225"/>
        <v>#N/A</v>
      </c>
      <c r="O357" s="1213" t="e">
        <f t="shared" ca="1" si="226"/>
        <v>#N/A</v>
      </c>
      <c r="P357" s="1213" t="e">
        <f ca="1">IF(AND($O$1&gt;=O357,換券單檔!$D$13=D357),I357+INT(($O$1-O357)/N357)*J357,0)</f>
        <v>#N/A</v>
      </c>
      <c r="Q357" s="1213" t="e">
        <f t="shared" ca="1" si="227"/>
        <v>#N/A</v>
      </c>
      <c r="R357" s="1213">
        <f t="shared" si="228"/>
        <v>0</v>
      </c>
      <c r="S357" s="1213">
        <f t="shared" si="229"/>
        <v>0</v>
      </c>
      <c r="T357" s="136">
        <f>IF(OR(R357=0,A357=0),0,IF(AND(V357=TRUE,換券單檔!$D$13=D357),E357,0))</f>
        <v>0</v>
      </c>
      <c r="U357" s="861">
        <f>IF(OR(R357=0,A357=0),0,IF(AND(V357=TRUE,換券單檔!$D$13=D357),H357,0))</f>
        <v>0</v>
      </c>
      <c r="V357" s="136" t="e">
        <f ca="1">IF(OR(B357=換券單檔!$D$3,L357="無",M357&lt;&gt;"",K357="高資產",IFERROR(MATCH(B357,換券單檔!K:K,0),"N")&lt;&gt;"N"),FALSE,IF($V$1="All",TRUE,IF(K357=$V$1,TRUE,FALSE)))</f>
        <v>#N/A</v>
      </c>
      <c r="W357" s="136" t="e">
        <f ca="1">VLOOKUP(A357,'銀行-TSS'!A:AO,41,FALSE)</f>
        <v>#N/A</v>
      </c>
      <c r="X357" s="136" t="e">
        <f ca="1">VLOOKUP(A357,'銀行-TSS'!A:AP,42,FALSE)</f>
        <v>#N/A</v>
      </c>
      <c r="Y357" s="1220">
        <f t="shared" si="230"/>
        <v>0</v>
      </c>
      <c r="Z357" s="1220">
        <f t="shared" si="231"/>
        <v>0</v>
      </c>
      <c r="AA357" s="136">
        <f>IF(Z357&lt;=0,0,RANK(Z357,Z:Z)+COUNTIF($Z$3:$Z357,Z357)-1)</f>
        <v>0</v>
      </c>
      <c r="AB357" s="1211">
        <f t="shared" ca="1" si="232"/>
        <v>-14896.14</v>
      </c>
      <c r="AC357" s="136">
        <f ca="1">IF(AB357&lt;=0,0,RANK(AB357,AB:AB)+COUNTIF($AB$3:$AB357,AB357)-1)</f>
        <v>0</v>
      </c>
      <c r="AD357" s="1123">
        <f t="shared" si="233"/>
        <v>99999</v>
      </c>
      <c r="AE357" s="1123">
        <f>IF(AD357=99999,0,RANK(AD357,AD:AD,1)+COUNTIF($AD$3:$AD357,AD357)-1)</f>
        <v>0</v>
      </c>
      <c r="AF357" s="86" t="e">
        <f ca="1">IF(OR(M357&lt;&gt;"",L357="無",K357="高資產",IFERROR(MATCH(B357,換券單檔!K:K,0),"N")&lt;&gt;"N"),FALSE,TRUE)</f>
        <v>#N/A</v>
      </c>
      <c r="AI357" s="1212" t="e">
        <f t="shared" ca="1" si="234"/>
        <v>#N/A</v>
      </c>
      <c r="AJ357" s="1213" t="e">
        <f t="shared" ca="1" si="235"/>
        <v>#N/A</v>
      </c>
      <c r="AK357" s="1587">
        <f t="shared" si="236"/>
        <v>0</v>
      </c>
      <c r="AN357" s="1212" t="e">
        <f t="shared" ca="1" si="237"/>
        <v>#N/A</v>
      </c>
      <c r="AO357" s="1213" t="e">
        <f t="shared" ca="1" si="238"/>
        <v>#N/A</v>
      </c>
      <c r="AP357" s="1587">
        <f t="shared" si="239"/>
        <v>0</v>
      </c>
      <c r="AS357" s="1212" t="e">
        <f t="shared" ca="1" si="240"/>
        <v>#N/A</v>
      </c>
      <c r="AT357" s="1213" t="e">
        <f t="shared" ca="1" si="241"/>
        <v>#N/A</v>
      </c>
      <c r="AU357" s="1587">
        <f t="shared" si="242"/>
        <v>0</v>
      </c>
      <c r="AX357" s="1212" t="e">
        <f t="shared" ca="1" si="243"/>
        <v>#N/A</v>
      </c>
      <c r="AY357" s="1213" t="e">
        <f t="shared" ca="1" si="244"/>
        <v>#N/A</v>
      </c>
      <c r="AZ357" s="1587">
        <f t="shared" si="245"/>
        <v>0</v>
      </c>
      <c r="BC357" s="1212" t="e">
        <f t="shared" ca="1" si="246"/>
        <v>#N/A</v>
      </c>
      <c r="BD357" s="1213" t="e">
        <f t="shared" ca="1" si="247"/>
        <v>#N/A</v>
      </c>
      <c r="BE357" s="1587">
        <f t="shared" si="248"/>
        <v>0</v>
      </c>
      <c r="BH357" s="1212" t="e">
        <f t="shared" ca="1" si="249"/>
        <v>#N/A</v>
      </c>
      <c r="BI357" s="1213" t="e">
        <f t="shared" ca="1" si="250"/>
        <v>#N/A</v>
      </c>
      <c r="BJ357" s="1587">
        <f t="shared" si="251"/>
        <v>0</v>
      </c>
      <c r="BM357" s="1212" t="e">
        <f t="shared" ca="1" si="252"/>
        <v>#N/A</v>
      </c>
      <c r="BN357" s="1213" t="e">
        <f t="shared" ca="1" si="253"/>
        <v>#N/A</v>
      </c>
      <c r="BO357" s="1587">
        <f t="shared" si="254"/>
        <v>0</v>
      </c>
      <c r="BR357" s="1212" t="e">
        <f t="shared" ca="1" si="255"/>
        <v>#N/A</v>
      </c>
      <c r="BS357" s="1213" t="e">
        <f t="shared" ca="1" si="256"/>
        <v>#N/A</v>
      </c>
      <c r="BT357" s="1587">
        <f t="shared" si="257"/>
        <v>0</v>
      </c>
      <c r="BW357" s="1212" t="e">
        <f t="shared" ca="1" si="258"/>
        <v>#N/A</v>
      </c>
      <c r="BX357" s="1213" t="e">
        <f t="shared" ca="1" si="259"/>
        <v>#N/A</v>
      </c>
      <c r="BY357" s="1587">
        <f t="shared" si="260"/>
        <v>0</v>
      </c>
      <c r="CB357" s="1212" t="e">
        <f t="shared" ca="1" si="261"/>
        <v>#N/A</v>
      </c>
      <c r="CC357" s="1213" t="e">
        <f t="shared" ca="1" si="262"/>
        <v>#N/A</v>
      </c>
      <c r="CD357" s="1587">
        <f t="shared" si="263"/>
        <v>0</v>
      </c>
      <c r="CG357" s="1212" t="e">
        <f t="shared" ca="1" si="264"/>
        <v>#N/A</v>
      </c>
      <c r="CH357" s="1213" t="e">
        <f t="shared" ca="1" si="265"/>
        <v>#N/A</v>
      </c>
      <c r="CI357" s="1587">
        <f t="shared" si="266"/>
        <v>0</v>
      </c>
      <c r="CL357" s="1212" t="e">
        <f t="shared" ca="1" si="267"/>
        <v>#N/A</v>
      </c>
      <c r="CM357" s="1213" t="e">
        <f t="shared" ca="1" si="268"/>
        <v>#N/A</v>
      </c>
      <c r="CN357" s="1587">
        <f t="shared" si="269"/>
        <v>0</v>
      </c>
    </row>
    <row r="358" spans="1:92">
      <c r="A358" s="141">
        <f>'銀行-TSS'!A358</f>
        <v>0</v>
      </c>
      <c r="B358" s="151">
        <f ca="1">VLOOKUP(A358,'銀行-TSS'!A:B,2,FALSE)</f>
        <v>0</v>
      </c>
      <c r="C358" s="151" t="e">
        <f ca="1">VLOOKUP(B358,bond!B:C,2,FALSE)</f>
        <v>#N/A</v>
      </c>
      <c r="D358" s="95" t="e">
        <f>VLOOKUP(A358,'銀行-TSS'!A:C,3,FALSE)</f>
        <v>#N/A</v>
      </c>
      <c r="E358" s="90" t="e">
        <f ca="1">VLOOKUP(A358,'銀行-TSS'!A:G,7,FALSE)</f>
        <v>#N/A</v>
      </c>
      <c r="F358" s="202" t="e">
        <f ca="1">VLOOKUP(A358,'銀行-TSS'!A:H,8,FALSE)</f>
        <v>#N/A</v>
      </c>
      <c r="G358" s="96" t="e">
        <f ca="1">VLOOKUP(A358,'銀行-TSS'!A:K,11,FALSE)</f>
        <v>#N/A</v>
      </c>
      <c r="H358" s="1209" t="e">
        <f ca="1">VLOOKUP(A358,'銀行-TSS'!A:M,13,FALSE)</f>
        <v>#N/A</v>
      </c>
      <c r="I358" s="1213" t="e">
        <f ca="1">VLOOKUP(A358,'銀行-TSS'!A:N,14,FALSE)</f>
        <v>#N/A</v>
      </c>
      <c r="J358" s="1213" t="e">
        <f ca="1">VLOOKUP(A358,'銀行-TSS'!A:O,15,FALSE)</f>
        <v>#N/A</v>
      </c>
      <c r="K358" s="136" t="e">
        <f ca="1">VLOOKUP(A358,'銀行-TSS'!A:V,22,FALSE)</f>
        <v>#N/A</v>
      </c>
      <c r="L358" s="136" t="e">
        <f ca="1">VLOOKUP(A358,'銀行-TSS'!A:AK,37,FALSE)</f>
        <v>#N/A</v>
      </c>
      <c r="M358" s="136" t="str">
        <f ca="1">VLOOKUP(A358,'銀行-TSS'!A:AN,40,FALSE)</f>
        <v/>
      </c>
      <c r="N358" s="136" t="e">
        <f t="shared" ca="1" si="225"/>
        <v>#N/A</v>
      </c>
      <c r="O358" s="1213" t="e">
        <f t="shared" ca="1" si="226"/>
        <v>#N/A</v>
      </c>
      <c r="P358" s="1213" t="e">
        <f ca="1">IF(AND($O$1&gt;=O358,換券單檔!$D$13=D358),I358+INT(($O$1-O358)/N358)*J358,0)</f>
        <v>#N/A</v>
      </c>
      <c r="Q358" s="1213" t="e">
        <f t="shared" ca="1" si="227"/>
        <v>#N/A</v>
      </c>
      <c r="R358" s="1213">
        <f t="shared" si="228"/>
        <v>0</v>
      </c>
      <c r="S358" s="1213">
        <f t="shared" si="229"/>
        <v>0</v>
      </c>
      <c r="T358" s="136">
        <f>IF(OR(R358=0,A358=0),0,IF(AND(V358=TRUE,換券單檔!$D$13=D358),E358,0))</f>
        <v>0</v>
      </c>
      <c r="U358" s="861">
        <f>IF(OR(R358=0,A358=0),0,IF(AND(V358=TRUE,換券單檔!$D$13=D358),H358,0))</f>
        <v>0</v>
      </c>
      <c r="V358" s="136" t="e">
        <f ca="1">IF(OR(B358=換券單檔!$D$3,L358="無",M358&lt;&gt;"",K358="高資產",IFERROR(MATCH(B358,換券單檔!K:K,0),"N")&lt;&gt;"N"),FALSE,IF($V$1="All",TRUE,IF(K358=$V$1,TRUE,FALSE)))</f>
        <v>#N/A</v>
      </c>
      <c r="W358" s="136" t="e">
        <f ca="1">VLOOKUP(A358,'銀行-TSS'!A:AO,41,FALSE)</f>
        <v>#N/A</v>
      </c>
      <c r="X358" s="136" t="e">
        <f ca="1">VLOOKUP(A358,'銀行-TSS'!A:AP,42,FALSE)</f>
        <v>#N/A</v>
      </c>
      <c r="Y358" s="1220">
        <f t="shared" si="230"/>
        <v>0</v>
      </c>
      <c r="Z358" s="1220">
        <f t="shared" si="231"/>
        <v>0</v>
      </c>
      <c r="AA358" s="136">
        <f>IF(Z358&lt;=0,0,RANK(Z358,Z:Z)+COUNTIF($Z$3:$Z358,Z358)-1)</f>
        <v>0</v>
      </c>
      <c r="AB358" s="1211">
        <f t="shared" ca="1" si="232"/>
        <v>-14896.14</v>
      </c>
      <c r="AC358" s="136">
        <f ca="1">IF(AB358&lt;=0,0,RANK(AB358,AB:AB)+COUNTIF($AB$3:$AB358,AB358)-1)</f>
        <v>0</v>
      </c>
      <c r="AD358" s="1123">
        <f t="shared" si="233"/>
        <v>99999</v>
      </c>
      <c r="AE358" s="1123">
        <f>IF(AD358=99999,0,RANK(AD358,AD:AD,1)+COUNTIF($AD$3:$AD358,AD358)-1)</f>
        <v>0</v>
      </c>
      <c r="AF358" s="86" t="e">
        <f ca="1">IF(OR(M358&lt;&gt;"",L358="無",K358="高資產",IFERROR(MATCH(B358,換券單檔!K:K,0),"N")&lt;&gt;"N"),FALSE,TRUE)</f>
        <v>#N/A</v>
      </c>
      <c r="AI358" s="1212" t="e">
        <f t="shared" ca="1" si="234"/>
        <v>#N/A</v>
      </c>
      <c r="AJ358" s="1213" t="e">
        <f t="shared" ca="1" si="235"/>
        <v>#N/A</v>
      </c>
      <c r="AK358" s="1587">
        <f t="shared" si="236"/>
        <v>0</v>
      </c>
      <c r="AN358" s="1212" t="e">
        <f t="shared" ca="1" si="237"/>
        <v>#N/A</v>
      </c>
      <c r="AO358" s="1213" t="e">
        <f t="shared" ca="1" si="238"/>
        <v>#N/A</v>
      </c>
      <c r="AP358" s="1587">
        <f t="shared" si="239"/>
        <v>0</v>
      </c>
      <c r="AS358" s="1212" t="e">
        <f t="shared" ca="1" si="240"/>
        <v>#N/A</v>
      </c>
      <c r="AT358" s="1213" t="e">
        <f t="shared" ca="1" si="241"/>
        <v>#N/A</v>
      </c>
      <c r="AU358" s="1587">
        <f t="shared" si="242"/>
        <v>0</v>
      </c>
      <c r="AX358" s="1212" t="e">
        <f t="shared" ca="1" si="243"/>
        <v>#N/A</v>
      </c>
      <c r="AY358" s="1213" t="e">
        <f t="shared" ca="1" si="244"/>
        <v>#N/A</v>
      </c>
      <c r="AZ358" s="1587">
        <f t="shared" si="245"/>
        <v>0</v>
      </c>
      <c r="BC358" s="1212" t="e">
        <f t="shared" ca="1" si="246"/>
        <v>#N/A</v>
      </c>
      <c r="BD358" s="1213" t="e">
        <f t="shared" ca="1" si="247"/>
        <v>#N/A</v>
      </c>
      <c r="BE358" s="1587">
        <f t="shared" si="248"/>
        <v>0</v>
      </c>
      <c r="BH358" s="1212" t="e">
        <f t="shared" ca="1" si="249"/>
        <v>#N/A</v>
      </c>
      <c r="BI358" s="1213" t="e">
        <f t="shared" ca="1" si="250"/>
        <v>#N/A</v>
      </c>
      <c r="BJ358" s="1587">
        <f t="shared" si="251"/>
        <v>0</v>
      </c>
      <c r="BM358" s="1212" t="e">
        <f t="shared" ca="1" si="252"/>
        <v>#N/A</v>
      </c>
      <c r="BN358" s="1213" t="e">
        <f t="shared" ca="1" si="253"/>
        <v>#N/A</v>
      </c>
      <c r="BO358" s="1587">
        <f t="shared" si="254"/>
        <v>0</v>
      </c>
      <c r="BR358" s="1212" t="e">
        <f t="shared" ca="1" si="255"/>
        <v>#N/A</v>
      </c>
      <c r="BS358" s="1213" t="e">
        <f t="shared" ca="1" si="256"/>
        <v>#N/A</v>
      </c>
      <c r="BT358" s="1587">
        <f t="shared" si="257"/>
        <v>0</v>
      </c>
      <c r="BW358" s="1212" t="e">
        <f t="shared" ca="1" si="258"/>
        <v>#N/A</v>
      </c>
      <c r="BX358" s="1213" t="e">
        <f t="shared" ca="1" si="259"/>
        <v>#N/A</v>
      </c>
      <c r="BY358" s="1587">
        <f t="shared" si="260"/>
        <v>0</v>
      </c>
      <c r="CB358" s="1212" t="e">
        <f t="shared" ca="1" si="261"/>
        <v>#N/A</v>
      </c>
      <c r="CC358" s="1213" t="e">
        <f t="shared" ca="1" si="262"/>
        <v>#N/A</v>
      </c>
      <c r="CD358" s="1587">
        <f t="shared" si="263"/>
        <v>0</v>
      </c>
      <c r="CG358" s="1212" t="e">
        <f t="shared" ca="1" si="264"/>
        <v>#N/A</v>
      </c>
      <c r="CH358" s="1213" t="e">
        <f t="shared" ca="1" si="265"/>
        <v>#N/A</v>
      </c>
      <c r="CI358" s="1587">
        <f t="shared" si="266"/>
        <v>0</v>
      </c>
      <c r="CL358" s="1212" t="e">
        <f t="shared" ca="1" si="267"/>
        <v>#N/A</v>
      </c>
      <c r="CM358" s="1213" t="e">
        <f t="shared" ca="1" si="268"/>
        <v>#N/A</v>
      </c>
      <c r="CN358" s="1587">
        <f t="shared" si="269"/>
        <v>0</v>
      </c>
    </row>
    <row r="359" spans="1:92">
      <c r="A359" s="141">
        <f>'銀行-TSS'!A359</f>
        <v>0</v>
      </c>
      <c r="B359" s="151">
        <f ca="1">VLOOKUP(A359,'銀行-TSS'!A:B,2,FALSE)</f>
        <v>0</v>
      </c>
      <c r="C359" s="151" t="e">
        <f ca="1">VLOOKUP(B359,bond!B:C,2,FALSE)</f>
        <v>#N/A</v>
      </c>
      <c r="D359" s="95" t="e">
        <f>VLOOKUP(A359,'銀行-TSS'!A:C,3,FALSE)</f>
        <v>#N/A</v>
      </c>
      <c r="E359" s="90" t="e">
        <f ca="1">VLOOKUP(A359,'銀行-TSS'!A:G,7,FALSE)</f>
        <v>#N/A</v>
      </c>
      <c r="F359" s="202" t="e">
        <f ca="1">VLOOKUP(A359,'銀行-TSS'!A:H,8,FALSE)</f>
        <v>#N/A</v>
      </c>
      <c r="G359" s="96" t="e">
        <f ca="1">VLOOKUP(A359,'銀行-TSS'!A:K,11,FALSE)</f>
        <v>#N/A</v>
      </c>
      <c r="H359" s="1209" t="e">
        <f ca="1">VLOOKUP(A359,'銀行-TSS'!A:M,13,FALSE)</f>
        <v>#N/A</v>
      </c>
      <c r="I359" s="1213" t="e">
        <f ca="1">VLOOKUP(A359,'銀行-TSS'!A:N,14,FALSE)</f>
        <v>#N/A</v>
      </c>
      <c r="J359" s="1213" t="e">
        <f ca="1">VLOOKUP(A359,'銀行-TSS'!A:O,15,FALSE)</f>
        <v>#N/A</v>
      </c>
      <c r="K359" s="136" t="e">
        <f ca="1">VLOOKUP(A359,'銀行-TSS'!A:V,22,FALSE)</f>
        <v>#N/A</v>
      </c>
      <c r="L359" s="136" t="e">
        <f ca="1">VLOOKUP(A359,'銀行-TSS'!A:AK,37,FALSE)</f>
        <v>#N/A</v>
      </c>
      <c r="M359" s="136" t="str">
        <f ca="1">VLOOKUP(A359,'銀行-TSS'!A:AN,40,FALSE)</f>
        <v/>
      </c>
      <c r="N359" s="136" t="e">
        <f t="shared" ca="1" si="225"/>
        <v>#N/A</v>
      </c>
      <c r="O359" s="1213" t="e">
        <f t="shared" ca="1" si="226"/>
        <v>#N/A</v>
      </c>
      <c r="P359" s="1213" t="e">
        <f ca="1">IF(AND($O$1&gt;=O359,換券單檔!$D$13=D359),I359+INT(($O$1-O359)/N359)*J359,0)</f>
        <v>#N/A</v>
      </c>
      <c r="Q359" s="1213" t="e">
        <f t="shared" ca="1" si="227"/>
        <v>#N/A</v>
      </c>
      <c r="R359" s="1213">
        <f t="shared" si="228"/>
        <v>0</v>
      </c>
      <c r="S359" s="1213">
        <f t="shared" si="229"/>
        <v>0</v>
      </c>
      <c r="T359" s="136">
        <f>IF(OR(R359=0,A359=0),0,IF(AND(V359=TRUE,換券單檔!$D$13=D359),E359,0))</f>
        <v>0</v>
      </c>
      <c r="U359" s="861">
        <f>IF(OR(R359=0,A359=0),0,IF(AND(V359=TRUE,換券單檔!$D$13=D359),H359,0))</f>
        <v>0</v>
      </c>
      <c r="V359" s="136" t="e">
        <f ca="1">IF(OR(B359=換券單檔!$D$3,L359="無",M359&lt;&gt;"",K359="高資產",IFERROR(MATCH(B359,換券單檔!K:K,0),"N")&lt;&gt;"N"),FALSE,IF($V$1="All",TRUE,IF(K359=$V$1,TRUE,FALSE)))</f>
        <v>#N/A</v>
      </c>
      <c r="W359" s="136" t="e">
        <f ca="1">VLOOKUP(A359,'銀行-TSS'!A:AO,41,FALSE)</f>
        <v>#N/A</v>
      </c>
      <c r="X359" s="136" t="e">
        <f ca="1">VLOOKUP(A359,'銀行-TSS'!A:AP,42,FALSE)</f>
        <v>#N/A</v>
      </c>
      <c r="Y359" s="1220">
        <f t="shared" si="230"/>
        <v>0</v>
      </c>
      <c r="Z359" s="1220">
        <f t="shared" si="231"/>
        <v>0</v>
      </c>
      <c r="AA359" s="136">
        <f>IF(Z359&lt;=0,0,RANK(Z359,Z:Z)+COUNTIF($Z$3:$Z359,Z359)-1)</f>
        <v>0</v>
      </c>
      <c r="AB359" s="1211">
        <f t="shared" ca="1" si="232"/>
        <v>-14896.14</v>
      </c>
      <c r="AC359" s="136">
        <f ca="1">IF(AB359&lt;=0,0,RANK(AB359,AB:AB)+COUNTIF($AB$3:$AB359,AB359)-1)</f>
        <v>0</v>
      </c>
      <c r="AD359" s="1123">
        <f t="shared" si="233"/>
        <v>99999</v>
      </c>
      <c r="AE359" s="1123">
        <f>IF(AD359=99999,0,RANK(AD359,AD:AD,1)+COUNTIF($AD$3:$AD359,AD359)-1)</f>
        <v>0</v>
      </c>
      <c r="AF359" s="86" t="e">
        <f ca="1">IF(OR(M359&lt;&gt;"",L359="無",K359="高資產",IFERROR(MATCH(B359,換券單檔!K:K,0),"N")&lt;&gt;"N"),FALSE,TRUE)</f>
        <v>#N/A</v>
      </c>
      <c r="AI359" s="1212" t="e">
        <f t="shared" ca="1" si="234"/>
        <v>#N/A</v>
      </c>
      <c r="AJ359" s="1213" t="e">
        <f t="shared" ca="1" si="235"/>
        <v>#N/A</v>
      </c>
      <c r="AK359" s="1587">
        <f t="shared" si="236"/>
        <v>0</v>
      </c>
      <c r="AN359" s="1212" t="e">
        <f t="shared" ca="1" si="237"/>
        <v>#N/A</v>
      </c>
      <c r="AO359" s="1213" t="e">
        <f t="shared" ca="1" si="238"/>
        <v>#N/A</v>
      </c>
      <c r="AP359" s="1587">
        <f t="shared" si="239"/>
        <v>0</v>
      </c>
      <c r="AS359" s="1212" t="e">
        <f t="shared" ca="1" si="240"/>
        <v>#N/A</v>
      </c>
      <c r="AT359" s="1213" t="e">
        <f t="shared" ca="1" si="241"/>
        <v>#N/A</v>
      </c>
      <c r="AU359" s="1587">
        <f t="shared" si="242"/>
        <v>0</v>
      </c>
      <c r="AX359" s="1212" t="e">
        <f t="shared" ca="1" si="243"/>
        <v>#N/A</v>
      </c>
      <c r="AY359" s="1213" t="e">
        <f t="shared" ca="1" si="244"/>
        <v>#N/A</v>
      </c>
      <c r="AZ359" s="1587">
        <f t="shared" si="245"/>
        <v>0</v>
      </c>
      <c r="BC359" s="1212" t="e">
        <f t="shared" ca="1" si="246"/>
        <v>#N/A</v>
      </c>
      <c r="BD359" s="1213" t="e">
        <f t="shared" ca="1" si="247"/>
        <v>#N/A</v>
      </c>
      <c r="BE359" s="1587">
        <f t="shared" si="248"/>
        <v>0</v>
      </c>
      <c r="BH359" s="1212" t="e">
        <f t="shared" ca="1" si="249"/>
        <v>#N/A</v>
      </c>
      <c r="BI359" s="1213" t="e">
        <f t="shared" ca="1" si="250"/>
        <v>#N/A</v>
      </c>
      <c r="BJ359" s="1587">
        <f t="shared" si="251"/>
        <v>0</v>
      </c>
      <c r="BM359" s="1212" t="e">
        <f t="shared" ca="1" si="252"/>
        <v>#N/A</v>
      </c>
      <c r="BN359" s="1213" t="e">
        <f t="shared" ca="1" si="253"/>
        <v>#N/A</v>
      </c>
      <c r="BO359" s="1587">
        <f t="shared" si="254"/>
        <v>0</v>
      </c>
      <c r="BR359" s="1212" t="e">
        <f t="shared" ca="1" si="255"/>
        <v>#N/A</v>
      </c>
      <c r="BS359" s="1213" t="e">
        <f t="shared" ca="1" si="256"/>
        <v>#N/A</v>
      </c>
      <c r="BT359" s="1587">
        <f t="shared" si="257"/>
        <v>0</v>
      </c>
      <c r="BW359" s="1212" t="e">
        <f t="shared" ca="1" si="258"/>
        <v>#N/A</v>
      </c>
      <c r="BX359" s="1213" t="e">
        <f t="shared" ca="1" si="259"/>
        <v>#N/A</v>
      </c>
      <c r="BY359" s="1587">
        <f t="shared" si="260"/>
        <v>0</v>
      </c>
      <c r="CB359" s="1212" t="e">
        <f t="shared" ca="1" si="261"/>
        <v>#N/A</v>
      </c>
      <c r="CC359" s="1213" t="e">
        <f t="shared" ca="1" si="262"/>
        <v>#N/A</v>
      </c>
      <c r="CD359" s="1587">
        <f t="shared" si="263"/>
        <v>0</v>
      </c>
      <c r="CG359" s="1212" t="e">
        <f t="shared" ca="1" si="264"/>
        <v>#N/A</v>
      </c>
      <c r="CH359" s="1213" t="e">
        <f t="shared" ca="1" si="265"/>
        <v>#N/A</v>
      </c>
      <c r="CI359" s="1587">
        <f t="shared" si="266"/>
        <v>0</v>
      </c>
      <c r="CL359" s="1212" t="e">
        <f t="shared" ca="1" si="267"/>
        <v>#N/A</v>
      </c>
      <c r="CM359" s="1213" t="e">
        <f t="shared" ca="1" si="268"/>
        <v>#N/A</v>
      </c>
      <c r="CN359" s="1587">
        <f t="shared" si="269"/>
        <v>0</v>
      </c>
    </row>
    <row r="360" spans="1:92">
      <c r="A360" s="141">
        <f>'銀行-TSS'!A360</f>
        <v>0</v>
      </c>
      <c r="B360" s="151">
        <f ca="1">VLOOKUP(A360,'銀行-TSS'!A:B,2,FALSE)</f>
        <v>0</v>
      </c>
      <c r="C360" s="151" t="e">
        <f ca="1">VLOOKUP(B360,bond!B:C,2,FALSE)</f>
        <v>#N/A</v>
      </c>
      <c r="D360" s="95" t="e">
        <f>VLOOKUP(A360,'銀行-TSS'!A:C,3,FALSE)</f>
        <v>#N/A</v>
      </c>
      <c r="E360" s="90" t="e">
        <f ca="1">VLOOKUP(A360,'銀行-TSS'!A:G,7,FALSE)</f>
        <v>#N/A</v>
      </c>
      <c r="F360" s="202" t="e">
        <f ca="1">VLOOKUP(A360,'銀行-TSS'!A:H,8,FALSE)</f>
        <v>#N/A</v>
      </c>
      <c r="G360" s="96" t="e">
        <f ca="1">VLOOKUP(A360,'銀行-TSS'!A:K,11,FALSE)</f>
        <v>#N/A</v>
      </c>
      <c r="H360" s="1209" t="e">
        <f ca="1">VLOOKUP(A360,'銀行-TSS'!A:M,13,FALSE)</f>
        <v>#N/A</v>
      </c>
      <c r="I360" s="1213" t="e">
        <f ca="1">VLOOKUP(A360,'銀行-TSS'!A:N,14,FALSE)</f>
        <v>#N/A</v>
      </c>
      <c r="J360" s="1213" t="e">
        <f ca="1">VLOOKUP(A360,'銀行-TSS'!A:O,15,FALSE)</f>
        <v>#N/A</v>
      </c>
      <c r="K360" s="136" t="e">
        <f ca="1">VLOOKUP(A360,'銀行-TSS'!A:V,22,FALSE)</f>
        <v>#N/A</v>
      </c>
      <c r="L360" s="136" t="e">
        <f ca="1">VLOOKUP(A360,'銀行-TSS'!A:AK,37,FALSE)</f>
        <v>#N/A</v>
      </c>
      <c r="M360" s="136" t="str">
        <f ca="1">VLOOKUP(A360,'銀行-TSS'!A:AN,40,FALSE)</f>
        <v/>
      </c>
      <c r="N360" s="136" t="e">
        <f t="shared" ca="1" si="225"/>
        <v>#N/A</v>
      </c>
      <c r="O360" s="1213" t="e">
        <f t="shared" ca="1" si="226"/>
        <v>#N/A</v>
      </c>
      <c r="P360" s="1213" t="e">
        <f ca="1">IF(AND($O$1&gt;=O360,換券單檔!$D$13=D360),I360+INT(($O$1-O360)/N360)*J360,0)</f>
        <v>#N/A</v>
      </c>
      <c r="Q360" s="1213" t="e">
        <f t="shared" ca="1" si="227"/>
        <v>#N/A</v>
      </c>
      <c r="R360" s="1213">
        <f t="shared" si="228"/>
        <v>0</v>
      </c>
      <c r="S360" s="1213">
        <f t="shared" si="229"/>
        <v>0</v>
      </c>
      <c r="T360" s="136">
        <f>IF(OR(R360=0,A360=0),0,IF(AND(V360=TRUE,換券單檔!$D$13=D360),E360,0))</f>
        <v>0</v>
      </c>
      <c r="U360" s="861">
        <f>IF(OR(R360=0,A360=0),0,IF(AND(V360=TRUE,換券單檔!$D$13=D360),H360,0))</f>
        <v>0</v>
      </c>
      <c r="V360" s="136" t="e">
        <f ca="1">IF(OR(B360=換券單檔!$D$3,L360="無",M360&lt;&gt;"",K360="高資產",IFERROR(MATCH(B360,換券單檔!K:K,0),"N")&lt;&gt;"N"),FALSE,IF($V$1="All",TRUE,IF(K360=$V$1,TRUE,FALSE)))</f>
        <v>#N/A</v>
      </c>
      <c r="W360" s="136" t="e">
        <f ca="1">VLOOKUP(A360,'銀行-TSS'!A:AO,41,FALSE)</f>
        <v>#N/A</v>
      </c>
      <c r="X360" s="136" t="e">
        <f ca="1">VLOOKUP(A360,'銀行-TSS'!A:AP,42,FALSE)</f>
        <v>#N/A</v>
      </c>
      <c r="Y360" s="1220">
        <f t="shared" si="230"/>
        <v>0</v>
      </c>
      <c r="Z360" s="1220">
        <f t="shared" si="231"/>
        <v>0</v>
      </c>
      <c r="AA360" s="136">
        <f>IF(Z360&lt;=0,0,RANK(Z360,Z:Z)+COUNTIF($Z$3:$Z360,Z360)-1)</f>
        <v>0</v>
      </c>
      <c r="AB360" s="1211">
        <f t="shared" ca="1" si="232"/>
        <v>-14896.14</v>
      </c>
      <c r="AC360" s="136">
        <f ca="1">IF(AB360&lt;=0,0,RANK(AB360,AB:AB)+COUNTIF($AB$3:$AB360,AB360)-1)</f>
        <v>0</v>
      </c>
      <c r="AD360" s="1123">
        <f t="shared" si="233"/>
        <v>99999</v>
      </c>
      <c r="AE360" s="1123">
        <f>IF(AD360=99999,0,RANK(AD360,AD:AD,1)+COUNTIF($AD$3:$AD360,AD360)-1)</f>
        <v>0</v>
      </c>
      <c r="AF360" s="86" t="e">
        <f ca="1">IF(OR(M360&lt;&gt;"",L360="無",K360="高資產",IFERROR(MATCH(B360,換券單檔!K:K,0),"N")&lt;&gt;"N"),FALSE,TRUE)</f>
        <v>#N/A</v>
      </c>
      <c r="AI360" s="1212" t="e">
        <f t="shared" ca="1" si="234"/>
        <v>#N/A</v>
      </c>
      <c r="AJ360" s="1213" t="e">
        <f t="shared" ca="1" si="235"/>
        <v>#N/A</v>
      </c>
      <c r="AK360" s="1587">
        <f t="shared" si="236"/>
        <v>0</v>
      </c>
      <c r="AN360" s="1212" t="e">
        <f t="shared" ca="1" si="237"/>
        <v>#N/A</v>
      </c>
      <c r="AO360" s="1213" t="e">
        <f t="shared" ca="1" si="238"/>
        <v>#N/A</v>
      </c>
      <c r="AP360" s="1587">
        <f t="shared" si="239"/>
        <v>0</v>
      </c>
      <c r="AS360" s="1212" t="e">
        <f t="shared" ca="1" si="240"/>
        <v>#N/A</v>
      </c>
      <c r="AT360" s="1213" t="e">
        <f t="shared" ca="1" si="241"/>
        <v>#N/A</v>
      </c>
      <c r="AU360" s="1587">
        <f t="shared" si="242"/>
        <v>0</v>
      </c>
      <c r="AX360" s="1212" t="e">
        <f t="shared" ca="1" si="243"/>
        <v>#N/A</v>
      </c>
      <c r="AY360" s="1213" t="e">
        <f t="shared" ca="1" si="244"/>
        <v>#N/A</v>
      </c>
      <c r="AZ360" s="1587">
        <f t="shared" si="245"/>
        <v>0</v>
      </c>
      <c r="BC360" s="1212" t="e">
        <f t="shared" ca="1" si="246"/>
        <v>#N/A</v>
      </c>
      <c r="BD360" s="1213" t="e">
        <f t="shared" ca="1" si="247"/>
        <v>#N/A</v>
      </c>
      <c r="BE360" s="1587">
        <f t="shared" si="248"/>
        <v>0</v>
      </c>
      <c r="BH360" s="1212" t="e">
        <f t="shared" ca="1" si="249"/>
        <v>#N/A</v>
      </c>
      <c r="BI360" s="1213" t="e">
        <f t="shared" ca="1" si="250"/>
        <v>#N/A</v>
      </c>
      <c r="BJ360" s="1587">
        <f t="shared" si="251"/>
        <v>0</v>
      </c>
      <c r="BM360" s="1212" t="e">
        <f t="shared" ca="1" si="252"/>
        <v>#N/A</v>
      </c>
      <c r="BN360" s="1213" t="e">
        <f t="shared" ca="1" si="253"/>
        <v>#N/A</v>
      </c>
      <c r="BO360" s="1587">
        <f t="shared" si="254"/>
        <v>0</v>
      </c>
      <c r="BR360" s="1212" t="e">
        <f t="shared" ca="1" si="255"/>
        <v>#N/A</v>
      </c>
      <c r="BS360" s="1213" t="e">
        <f t="shared" ca="1" si="256"/>
        <v>#N/A</v>
      </c>
      <c r="BT360" s="1587">
        <f t="shared" si="257"/>
        <v>0</v>
      </c>
      <c r="BW360" s="1212" t="e">
        <f t="shared" ca="1" si="258"/>
        <v>#N/A</v>
      </c>
      <c r="BX360" s="1213" t="e">
        <f t="shared" ca="1" si="259"/>
        <v>#N/A</v>
      </c>
      <c r="BY360" s="1587">
        <f t="shared" si="260"/>
        <v>0</v>
      </c>
      <c r="CB360" s="1212" t="e">
        <f t="shared" ca="1" si="261"/>
        <v>#N/A</v>
      </c>
      <c r="CC360" s="1213" t="e">
        <f t="shared" ca="1" si="262"/>
        <v>#N/A</v>
      </c>
      <c r="CD360" s="1587">
        <f t="shared" si="263"/>
        <v>0</v>
      </c>
      <c r="CG360" s="1212" t="e">
        <f t="shared" ca="1" si="264"/>
        <v>#N/A</v>
      </c>
      <c r="CH360" s="1213" t="e">
        <f t="shared" ca="1" si="265"/>
        <v>#N/A</v>
      </c>
      <c r="CI360" s="1587">
        <f t="shared" si="266"/>
        <v>0</v>
      </c>
      <c r="CL360" s="1212" t="e">
        <f t="shared" ca="1" si="267"/>
        <v>#N/A</v>
      </c>
      <c r="CM360" s="1213" t="e">
        <f t="shared" ca="1" si="268"/>
        <v>#N/A</v>
      </c>
      <c r="CN360" s="1587">
        <f t="shared" si="269"/>
        <v>0</v>
      </c>
    </row>
    <row r="361" spans="1:92">
      <c r="A361" s="141">
        <f>'銀行-TSS'!A361</f>
        <v>0</v>
      </c>
      <c r="B361" s="151">
        <f ca="1">VLOOKUP(A361,'銀行-TSS'!A:B,2,FALSE)</f>
        <v>0</v>
      </c>
      <c r="C361" s="151" t="e">
        <f ca="1">VLOOKUP(B361,bond!B:C,2,FALSE)</f>
        <v>#N/A</v>
      </c>
      <c r="D361" s="95" t="e">
        <f>VLOOKUP(A361,'銀行-TSS'!A:C,3,FALSE)</f>
        <v>#N/A</v>
      </c>
      <c r="E361" s="90" t="e">
        <f ca="1">VLOOKUP(A361,'銀行-TSS'!A:G,7,FALSE)</f>
        <v>#N/A</v>
      </c>
      <c r="F361" s="202" t="e">
        <f ca="1">VLOOKUP(A361,'銀行-TSS'!A:H,8,FALSE)</f>
        <v>#N/A</v>
      </c>
      <c r="G361" s="96" t="e">
        <f ca="1">VLOOKUP(A361,'銀行-TSS'!A:K,11,FALSE)</f>
        <v>#N/A</v>
      </c>
      <c r="H361" s="1209" t="e">
        <f ca="1">VLOOKUP(A361,'銀行-TSS'!A:M,13,FALSE)</f>
        <v>#N/A</v>
      </c>
      <c r="I361" s="1213" t="e">
        <f ca="1">VLOOKUP(A361,'銀行-TSS'!A:N,14,FALSE)</f>
        <v>#N/A</v>
      </c>
      <c r="J361" s="1213" t="e">
        <f ca="1">VLOOKUP(A361,'銀行-TSS'!A:O,15,FALSE)</f>
        <v>#N/A</v>
      </c>
      <c r="K361" s="136" t="e">
        <f ca="1">VLOOKUP(A361,'銀行-TSS'!A:V,22,FALSE)</f>
        <v>#N/A</v>
      </c>
      <c r="L361" s="136" t="e">
        <f ca="1">VLOOKUP(A361,'銀行-TSS'!A:AK,37,FALSE)</f>
        <v>#N/A</v>
      </c>
      <c r="M361" s="136" t="str">
        <f ca="1">VLOOKUP(A361,'銀行-TSS'!A:AN,40,FALSE)</f>
        <v/>
      </c>
      <c r="N361" s="136" t="e">
        <f t="shared" ca="1" si="225"/>
        <v>#N/A</v>
      </c>
      <c r="O361" s="1213" t="e">
        <f t="shared" ca="1" si="226"/>
        <v>#N/A</v>
      </c>
      <c r="P361" s="1213" t="e">
        <f ca="1">IF(AND($O$1&gt;=O361,換券單檔!$D$13=D361),I361+INT(($O$1-O361)/N361)*J361,0)</f>
        <v>#N/A</v>
      </c>
      <c r="Q361" s="1213" t="e">
        <f t="shared" ca="1" si="227"/>
        <v>#N/A</v>
      </c>
      <c r="R361" s="1213">
        <f t="shared" si="228"/>
        <v>0</v>
      </c>
      <c r="S361" s="1213">
        <f t="shared" si="229"/>
        <v>0</v>
      </c>
      <c r="T361" s="136">
        <f>IF(OR(R361=0,A361=0),0,IF(AND(V361=TRUE,換券單檔!$D$13=D361),E361,0))</f>
        <v>0</v>
      </c>
      <c r="U361" s="861">
        <f>IF(OR(R361=0,A361=0),0,IF(AND(V361=TRUE,換券單檔!$D$13=D361),H361,0))</f>
        <v>0</v>
      </c>
      <c r="V361" s="136" t="e">
        <f ca="1">IF(OR(B361=換券單檔!$D$3,L361="無",M361&lt;&gt;"",K361="高資產",IFERROR(MATCH(B361,換券單檔!K:K,0),"N")&lt;&gt;"N"),FALSE,IF($V$1="All",TRUE,IF(K361=$V$1,TRUE,FALSE)))</f>
        <v>#N/A</v>
      </c>
      <c r="W361" s="136" t="e">
        <f ca="1">VLOOKUP(A361,'銀行-TSS'!A:AO,41,FALSE)</f>
        <v>#N/A</v>
      </c>
      <c r="X361" s="136" t="e">
        <f ca="1">VLOOKUP(A361,'銀行-TSS'!A:AP,42,FALSE)</f>
        <v>#N/A</v>
      </c>
      <c r="Y361" s="1220">
        <f t="shared" si="230"/>
        <v>0</v>
      </c>
      <c r="Z361" s="1220">
        <f t="shared" si="231"/>
        <v>0</v>
      </c>
      <c r="AA361" s="136">
        <f>IF(Z361&lt;=0,0,RANK(Z361,Z:Z)+COUNTIF($Z$3:$Z361,Z361)-1)</f>
        <v>0</v>
      </c>
      <c r="AB361" s="1211">
        <f t="shared" ca="1" si="232"/>
        <v>-14896.14</v>
      </c>
      <c r="AC361" s="136">
        <f ca="1">IF(AB361&lt;=0,0,RANK(AB361,AB:AB)+COUNTIF($AB$3:$AB361,AB361)-1)</f>
        <v>0</v>
      </c>
      <c r="AD361" s="1123">
        <f t="shared" si="233"/>
        <v>99999</v>
      </c>
      <c r="AE361" s="1123">
        <f>IF(AD361=99999,0,RANK(AD361,AD:AD,1)+COUNTIF($AD$3:$AD361,AD361)-1)</f>
        <v>0</v>
      </c>
      <c r="AF361" s="86" t="e">
        <f ca="1">IF(OR(M361&lt;&gt;"",L361="無",K361="高資產",IFERROR(MATCH(B361,換券單檔!K:K,0),"N")&lt;&gt;"N"),FALSE,TRUE)</f>
        <v>#N/A</v>
      </c>
      <c r="AI361" s="1212" t="e">
        <f t="shared" ca="1" si="234"/>
        <v>#N/A</v>
      </c>
      <c r="AJ361" s="1213" t="e">
        <f t="shared" ca="1" si="235"/>
        <v>#N/A</v>
      </c>
      <c r="AK361" s="1587">
        <f t="shared" si="236"/>
        <v>0</v>
      </c>
      <c r="AN361" s="1212" t="e">
        <f t="shared" ca="1" si="237"/>
        <v>#N/A</v>
      </c>
      <c r="AO361" s="1213" t="e">
        <f t="shared" ca="1" si="238"/>
        <v>#N/A</v>
      </c>
      <c r="AP361" s="1587">
        <f t="shared" si="239"/>
        <v>0</v>
      </c>
      <c r="AS361" s="1212" t="e">
        <f t="shared" ca="1" si="240"/>
        <v>#N/A</v>
      </c>
      <c r="AT361" s="1213" t="e">
        <f t="shared" ca="1" si="241"/>
        <v>#N/A</v>
      </c>
      <c r="AU361" s="1587">
        <f t="shared" si="242"/>
        <v>0</v>
      </c>
      <c r="AX361" s="1212" t="e">
        <f t="shared" ca="1" si="243"/>
        <v>#N/A</v>
      </c>
      <c r="AY361" s="1213" t="e">
        <f t="shared" ca="1" si="244"/>
        <v>#N/A</v>
      </c>
      <c r="AZ361" s="1587">
        <f t="shared" si="245"/>
        <v>0</v>
      </c>
      <c r="BC361" s="1212" t="e">
        <f t="shared" ca="1" si="246"/>
        <v>#N/A</v>
      </c>
      <c r="BD361" s="1213" t="e">
        <f t="shared" ca="1" si="247"/>
        <v>#N/A</v>
      </c>
      <c r="BE361" s="1587">
        <f t="shared" si="248"/>
        <v>0</v>
      </c>
      <c r="BH361" s="1212" t="e">
        <f t="shared" ca="1" si="249"/>
        <v>#N/A</v>
      </c>
      <c r="BI361" s="1213" t="e">
        <f t="shared" ca="1" si="250"/>
        <v>#N/A</v>
      </c>
      <c r="BJ361" s="1587">
        <f t="shared" si="251"/>
        <v>0</v>
      </c>
      <c r="BM361" s="1212" t="e">
        <f t="shared" ca="1" si="252"/>
        <v>#N/A</v>
      </c>
      <c r="BN361" s="1213" t="e">
        <f t="shared" ca="1" si="253"/>
        <v>#N/A</v>
      </c>
      <c r="BO361" s="1587">
        <f t="shared" si="254"/>
        <v>0</v>
      </c>
      <c r="BR361" s="1212" t="e">
        <f t="shared" ca="1" si="255"/>
        <v>#N/A</v>
      </c>
      <c r="BS361" s="1213" t="e">
        <f t="shared" ca="1" si="256"/>
        <v>#N/A</v>
      </c>
      <c r="BT361" s="1587">
        <f t="shared" si="257"/>
        <v>0</v>
      </c>
      <c r="BW361" s="1212" t="e">
        <f t="shared" ca="1" si="258"/>
        <v>#N/A</v>
      </c>
      <c r="BX361" s="1213" t="e">
        <f t="shared" ca="1" si="259"/>
        <v>#N/A</v>
      </c>
      <c r="BY361" s="1587">
        <f t="shared" si="260"/>
        <v>0</v>
      </c>
      <c r="CB361" s="1212" t="e">
        <f t="shared" ca="1" si="261"/>
        <v>#N/A</v>
      </c>
      <c r="CC361" s="1213" t="e">
        <f t="shared" ca="1" si="262"/>
        <v>#N/A</v>
      </c>
      <c r="CD361" s="1587">
        <f t="shared" si="263"/>
        <v>0</v>
      </c>
      <c r="CG361" s="1212" t="e">
        <f t="shared" ca="1" si="264"/>
        <v>#N/A</v>
      </c>
      <c r="CH361" s="1213" t="e">
        <f t="shared" ca="1" si="265"/>
        <v>#N/A</v>
      </c>
      <c r="CI361" s="1587">
        <f t="shared" si="266"/>
        <v>0</v>
      </c>
      <c r="CL361" s="1212" t="e">
        <f t="shared" ca="1" si="267"/>
        <v>#N/A</v>
      </c>
      <c r="CM361" s="1213" t="e">
        <f t="shared" ca="1" si="268"/>
        <v>#N/A</v>
      </c>
      <c r="CN361" s="1587">
        <f t="shared" si="269"/>
        <v>0</v>
      </c>
    </row>
    <row r="362" spans="1:92">
      <c r="A362" s="141">
        <f>'銀行-TSS'!A362</f>
        <v>0</v>
      </c>
      <c r="B362" s="151">
        <f ca="1">VLOOKUP(A362,'銀行-TSS'!A:B,2,FALSE)</f>
        <v>0</v>
      </c>
      <c r="C362" s="151" t="e">
        <f ca="1">VLOOKUP(B362,bond!B:C,2,FALSE)</f>
        <v>#N/A</v>
      </c>
      <c r="D362" s="95" t="e">
        <f>VLOOKUP(A362,'銀行-TSS'!A:C,3,FALSE)</f>
        <v>#N/A</v>
      </c>
      <c r="E362" s="90" t="e">
        <f ca="1">VLOOKUP(A362,'銀行-TSS'!A:G,7,FALSE)</f>
        <v>#N/A</v>
      </c>
      <c r="F362" s="202" t="e">
        <f ca="1">VLOOKUP(A362,'銀行-TSS'!A:H,8,FALSE)</f>
        <v>#N/A</v>
      </c>
      <c r="G362" s="96" t="e">
        <f ca="1">VLOOKUP(A362,'銀行-TSS'!A:K,11,FALSE)</f>
        <v>#N/A</v>
      </c>
      <c r="H362" s="1209" t="e">
        <f ca="1">VLOOKUP(A362,'銀行-TSS'!A:M,13,FALSE)</f>
        <v>#N/A</v>
      </c>
      <c r="I362" s="1213" t="e">
        <f ca="1">VLOOKUP(A362,'銀行-TSS'!A:N,14,FALSE)</f>
        <v>#N/A</v>
      </c>
      <c r="J362" s="1213" t="e">
        <f ca="1">VLOOKUP(A362,'銀行-TSS'!A:O,15,FALSE)</f>
        <v>#N/A</v>
      </c>
      <c r="K362" s="136" t="e">
        <f ca="1">VLOOKUP(A362,'銀行-TSS'!A:V,22,FALSE)</f>
        <v>#N/A</v>
      </c>
      <c r="L362" s="136" t="e">
        <f ca="1">VLOOKUP(A362,'銀行-TSS'!A:AK,37,FALSE)</f>
        <v>#N/A</v>
      </c>
      <c r="M362" s="136" t="str">
        <f ca="1">VLOOKUP(A362,'銀行-TSS'!A:AN,40,FALSE)</f>
        <v/>
      </c>
      <c r="N362" s="136" t="e">
        <f t="shared" ca="1" si="225"/>
        <v>#N/A</v>
      </c>
      <c r="O362" s="1213" t="e">
        <f t="shared" ca="1" si="226"/>
        <v>#N/A</v>
      </c>
      <c r="P362" s="1213" t="e">
        <f ca="1">IF(AND($O$1&gt;=O362,換券單檔!$D$13=D362),I362+INT(($O$1-O362)/N362)*J362,0)</f>
        <v>#N/A</v>
      </c>
      <c r="Q362" s="1213" t="e">
        <f t="shared" ca="1" si="227"/>
        <v>#N/A</v>
      </c>
      <c r="R362" s="1213">
        <f t="shared" si="228"/>
        <v>0</v>
      </c>
      <c r="S362" s="1213">
        <f t="shared" si="229"/>
        <v>0</v>
      </c>
      <c r="T362" s="136">
        <f>IF(OR(R362=0,A362=0),0,IF(AND(V362=TRUE,換券單檔!$D$13=D362),E362,0))</f>
        <v>0</v>
      </c>
      <c r="U362" s="861">
        <f>IF(OR(R362=0,A362=0),0,IF(AND(V362=TRUE,換券單檔!$D$13=D362),H362,0))</f>
        <v>0</v>
      </c>
      <c r="V362" s="136" t="e">
        <f ca="1">IF(OR(B362=換券單檔!$D$3,L362="無",M362&lt;&gt;"",K362="高資產",IFERROR(MATCH(B362,換券單檔!K:K,0),"N")&lt;&gt;"N"),FALSE,IF($V$1="All",TRUE,IF(K362=$V$1,TRUE,FALSE)))</f>
        <v>#N/A</v>
      </c>
      <c r="W362" s="136" t="e">
        <f ca="1">VLOOKUP(A362,'銀行-TSS'!A:AO,41,FALSE)</f>
        <v>#N/A</v>
      </c>
      <c r="X362" s="136" t="e">
        <f ca="1">VLOOKUP(A362,'銀行-TSS'!A:AP,42,FALSE)</f>
        <v>#N/A</v>
      </c>
      <c r="Y362" s="1220">
        <f t="shared" si="230"/>
        <v>0</v>
      </c>
      <c r="Z362" s="1220">
        <f t="shared" si="231"/>
        <v>0</v>
      </c>
      <c r="AA362" s="136">
        <f>IF(Z362&lt;=0,0,RANK(Z362,Z:Z)+COUNTIF($Z$3:$Z362,Z362)-1)</f>
        <v>0</v>
      </c>
      <c r="AB362" s="1211">
        <f t="shared" ca="1" si="232"/>
        <v>-14896.14</v>
      </c>
      <c r="AC362" s="136">
        <f ca="1">IF(AB362&lt;=0,0,RANK(AB362,AB:AB)+COUNTIF($AB$3:$AB362,AB362)-1)</f>
        <v>0</v>
      </c>
      <c r="AD362" s="1123">
        <f t="shared" si="233"/>
        <v>99999</v>
      </c>
      <c r="AE362" s="1123">
        <f>IF(AD362=99999,0,RANK(AD362,AD:AD,1)+COUNTIF($AD$3:$AD362,AD362)-1)</f>
        <v>0</v>
      </c>
      <c r="AF362" s="86" t="e">
        <f ca="1">IF(OR(M362&lt;&gt;"",L362="無",K362="高資產",IFERROR(MATCH(B362,換券單檔!K:K,0),"N")&lt;&gt;"N"),FALSE,TRUE)</f>
        <v>#N/A</v>
      </c>
      <c r="AI362" s="1212" t="e">
        <f t="shared" ca="1" si="234"/>
        <v>#N/A</v>
      </c>
      <c r="AJ362" s="1213" t="e">
        <f t="shared" ca="1" si="235"/>
        <v>#N/A</v>
      </c>
      <c r="AK362" s="1587">
        <f t="shared" si="236"/>
        <v>0</v>
      </c>
      <c r="AN362" s="1212" t="e">
        <f t="shared" ca="1" si="237"/>
        <v>#N/A</v>
      </c>
      <c r="AO362" s="1213" t="e">
        <f t="shared" ca="1" si="238"/>
        <v>#N/A</v>
      </c>
      <c r="AP362" s="1587">
        <f t="shared" si="239"/>
        <v>0</v>
      </c>
      <c r="AS362" s="1212" t="e">
        <f t="shared" ca="1" si="240"/>
        <v>#N/A</v>
      </c>
      <c r="AT362" s="1213" t="e">
        <f t="shared" ca="1" si="241"/>
        <v>#N/A</v>
      </c>
      <c r="AU362" s="1587">
        <f t="shared" si="242"/>
        <v>0</v>
      </c>
      <c r="AX362" s="1212" t="e">
        <f t="shared" ca="1" si="243"/>
        <v>#N/A</v>
      </c>
      <c r="AY362" s="1213" t="e">
        <f t="shared" ca="1" si="244"/>
        <v>#N/A</v>
      </c>
      <c r="AZ362" s="1587">
        <f t="shared" si="245"/>
        <v>0</v>
      </c>
      <c r="BC362" s="1212" t="e">
        <f t="shared" ca="1" si="246"/>
        <v>#N/A</v>
      </c>
      <c r="BD362" s="1213" t="e">
        <f t="shared" ca="1" si="247"/>
        <v>#N/A</v>
      </c>
      <c r="BE362" s="1587">
        <f t="shared" si="248"/>
        <v>0</v>
      </c>
      <c r="BH362" s="1212" t="e">
        <f t="shared" ca="1" si="249"/>
        <v>#N/A</v>
      </c>
      <c r="BI362" s="1213" t="e">
        <f t="shared" ca="1" si="250"/>
        <v>#N/A</v>
      </c>
      <c r="BJ362" s="1587">
        <f t="shared" si="251"/>
        <v>0</v>
      </c>
      <c r="BM362" s="1212" t="e">
        <f t="shared" ca="1" si="252"/>
        <v>#N/A</v>
      </c>
      <c r="BN362" s="1213" t="e">
        <f t="shared" ca="1" si="253"/>
        <v>#N/A</v>
      </c>
      <c r="BO362" s="1587">
        <f t="shared" si="254"/>
        <v>0</v>
      </c>
      <c r="BR362" s="1212" t="e">
        <f t="shared" ca="1" si="255"/>
        <v>#N/A</v>
      </c>
      <c r="BS362" s="1213" t="e">
        <f t="shared" ca="1" si="256"/>
        <v>#N/A</v>
      </c>
      <c r="BT362" s="1587">
        <f t="shared" si="257"/>
        <v>0</v>
      </c>
      <c r="BW362" s="1212" t="e">
        <f t="shared" ca="1" si="258"/>
        <v>#N/A</v>
      </c>
      <c r="BX362" s="1213" t="e">
        <f t="shared" ca="1" si="259"/>
        <v>#N/A</v>
      </c>
      <c r="BY362" s="1587">
        <f t="shared" si="260"/>
        <v>0</v>
      </c>
      <c r="CB362" s="1212" t="e">
        <f t="shared" ca="1" si="261"/>
        <v>#N/A</v>
      </c>
      <c r="CC362" s="1213" t="e">
        <f t="shared" ca="1" si="262"/>
        <v>#N/A</v>
      </c>
      <c r="CD362" s="1587">
        <f t="shared" si="263"/>
        <v>0</v>
      </c>
      <c r="CG362" s="1212" t="e">
        <f t="shared" ca="1" si="264"/>
        <v>#N/A</v>
      </c>
      <c r="CH362" s="1213" t="e">
        <f t="shared" ca="1" si="265"/>
        <v>#N/A</v>
      </c>
      <c r="CI362" s="1587">
        <f t="shared" si="266"/>
        <v>0</v>
      </c>
      <c r="CL362" s="1212" t="e">
        <f t="shared" ca="1" si="267"/>
        <v>#N/A</v>
      </c>
      <c r="CM362" s="1213" t="e">
        <f t="shared" ca="1" si="268"/>
        <v>#N/A</v>
      </c>
      <c r="CN362" s="1587">
        <f t="shared" si="269"/>
        <v>0</v>
      </c>
    </row>
    <row r="363" spans="1:92">
      <c r="A363" s="141">
        <f>'銀行-TSS'!A363</f>
        <v>0</v>
      </c>
      <c r="B363" s="151">
        <f ca="1">VLOOKUP(A363,'銀行-TSS'!A:B,2,FALSE)</f>
        <v>0</v>
      </c>
      <c r="C363" s="151" t="e">
        <f ca="1">VLOOKUP(B363,bond!B:C,2,FALSE)</f>
        <v>#N/A</v>
      </c>
      <c r="D363" s="95" t="e">
        <f>VLOOKUP(A363,'銀行-TSS'!A:C,3,FALSE)</f>
        <v>#N/A</v>
      </c>
      <c r="E363" s="90" t="e">
        <f ca="1">VLOOKUP(A363,'銀行-TSS'!A:G,7,FALSE)</f>
        <v>#N/A</v>
      </c>
      <c r="F363" s="202" t="e">
        <f ca="1">VLOOKUP(A363,'銀行-TSS'!A:H,8,FALSE)</f>
        <v>#N/A</v>
      </c>
      <c r="G363" s="96" t="e">
        <f ca="1">VLOOKUP(A363,'銀行-TSS'!A:K,11,FALSE)</f>
        <v>#N/A</v>
      </c>
      <c r="H363" s="1209" t="e">
        <f ca="1">VLOOKUP(A363,'銀行-TSS'!A:M,13,FALSE)</f>
        <v>#N/A</v>
      </c>
      <c r="I363" s="1213" t="e">
        <f ca="1">VLOOKUP(A363,'銀行-TSS'!A:N,14,FALSE)</f>
        <v>#N/A</v>
      </c>
      <c r="J363" s="1213" t="e">
        <f ca="1">VLOOKUP(A363,'銀行-TSS'!A:O,15,FALSE)</f>
        <v>#N/A</v>
      </c>
      <c r="K363" s="136" t="e">
        <f ca="1">VLOOKUP(A363,'銀行-TSS'!A:V,22,FALSE)</f>
        <v>#N/A</v>
      </c>
      <c r="L363" s="136" t="e">
        <f ca="1">VLOOKUP(A363,'銀行-TSS'!A:AK,37,FALSE)</f>
        <v>#N/A</v>
      </c>
      <c r="M363" s="136" t="str">
        <f ca="1">VLOOKUP(A363,'銀行-TSS'!A:AN,40,FALSE)</f>
        <v/>
      </c>
      <c r="N363" s="136" t="e">
        <f t="shared" ca="1" si="225"/>
        <v>#N/A</v>
      </c>
      <c r="O363" s="1213" t="e">
        <f t="shared" ca="1" si="226"/>
        <v>#N/A</v>
      </c>
      <c r="P363" s="1213" t="e">
        <f ca="1">IF(AND($O$1&gt;=O363,換券單檔!$D$13=D363),I363+INT(($O$1-O363)/N363)*J363,0)</f>
        <v>#N/A</v>
      </c>
      <c r="Q363" s="1213" t="e">
        <f t="shared" ca="1" si="227"/>
        <v>#N/A</v>
      </c>
      <c r="R363" s="1213">
        <f t="shared" si="228"/>
        <v>0</v>
      </c>
      <c r="S363" s="1213">
        <f t="shared" si="229"/>
        <v>0</v>
      </c>
      <c r="T363" s="136">
        <f>IF(OR(R363=0,A363=0),0,IF(AND(V363=TRUE,換券單檔!$D$13=D363),E363,0))</f>
        <v>0</v>
      </c>
      <c r="U363" s="861">
        <f>IF(OR(R363=0,A363=0),0,IF(AND(V363=TRUE,換券單檔!$D$13=D363),H363,0))</f>
        <v>0</v>
      </c>
      <c r="V363" s="136" t="e">
        <f ca="1">IF(OR(B363=換券單檔!$D$3,L363="無",M363&lt;&gt;"",K363="高資產",IFERROR(MATCH(B363,換券單檔!K:K,0),"N")&lt;&gt;"N"),FALSE,IF($V$1="All",TRUE,IF(K363=$V$1,TRUE,FALSE)))</f>
        <v>#N/A</v>
      </c>
      <c r="W363" s="136" t="e">
        <f ca="1">VLOOKUP(A363,'銀行-TSS'!A:AO,41,FALSE)</f>
        <v>#N/A</v>
      </c>
      <c r="X363" s="136" t="e">
        <f ca="1">VLOOKUP(A363,'銀行-TSS'!A:AP,42,FALSE)</f>
        <v>#N/A</v>
      </c>
      <c r="Y363" s="1220">
        <f t="shared" si="230"/>
        <v>0</v>
      </c>
      <c r="Z363" s="1220">
        <f t="shared" si="231"/>
        <v>0</v>
      </c>
      <c r="AA363" s="136">
        <f>IF(Z363&lt;=0,0,RANK(Z363,Z:Z)+COUNTIF($Z$3:$Z363,Z363)-1)</f>
        <v>0</v>
      </c>
      <c r="AB363" s="1211">
        <f t="shared" ca="1" si="232"/>
        <v>-14896.14</v>
      </c>
      <c r="AC363" s="136">
        <f ca="1">IF(AB363&lt;=0,0,RANK(AB363,AB:AB)+COUNTIF($AB$3:$AB363,AB363)-1)</f>
        <v>0</v>
      </c>
      <c r="AD363" s="1123">
        <f t="shared" si="233"/>
        <v>99999</v>
      </c>
      <c r="AE363" s="1123">
        <f>IF(AD363=99999,0,RANK(AD363,AD:AD,1)+COUNTIF($AD$3:$AD363,AD363)-1)</f>
        <v>0</v>
      </c>
      <c r="AF363" s="86" t="e">
        <f ca="1">IF(OR(M363&lt;&gt;"",L363="無",K363="高資產",IFERROR(MATCH(B363,換券單檔!K:K,0),"N")&lt;&gt;"N"),FALSE,TRUE)</f>
        <v>#N/A</v>
      </c>
      <c r="AI363" s="1212" t="e">
        <f t="shared" ca="1" si="234"/>
        <v>#N/A</v>
      </c>
      <c r="AJ363" s="1213" t="e">
        <f t="shared" ca="1" si="235"/>
        <v>#N/A</v>
      </c>
      <c r="AK363" s="1587">
        <f t="shared" si="236"/>
        <v>0</v>
      </c>
      <c r="AN363" s="1212" t="e">
        <f t="shared" ca="1" si="237"/>
        <v>#N/A</v>
      </c>
      <c r="AO363" s="1213" t="e">
        <f t="shared" ca="1" si="238"/>
        <v>#N/A</v>
      </c>
      <c r="AP363" s="1587">
        <f t="shared" si="239"/>
        <v>0</v>
      </c>
      <c r="AS363" s="1212" t="e">
        <f t="shared" ca="1" si="240"/>
        <v>#N/A</v>
      </c>
      <c r="AT363" s="1213" t="e">
        <f t="shared" ca="1" si="241"/>
        <v>#N/A</v>
      </c>
      <c r="AU363" s="1587">
        <f t="shared" si="242"/>
        <v>0</v>
      </c>
      <c r="AX363" s="1212" t="e">
        <f t="shared" ca="1" si="243"/>
        <v>#N/A</v>
      </c>
      <c r="AY363" s="1213" t="e">
        <f t="shared" ca="1" si="244"/>
        <v>#N/A</v>
      </c>
      <c r="AZ363" s="1587">
        <f t="shared" si="245"/>
        <v>0</v>
      </c>
      <c r="BC363" s="1212" t="e">
        <f t="shared" ca="1" si="246"/>
        <v>#N/A</v>
      </c>
      <c r="BD363" s="1213" t="e">
        <f t="shared" ca="1" si="247"/>
        <v>#N/A</v>
      </c>
      <c r="BE363" s="1587">
        <f t="shared" si="248"/>
        <v>0</v>
      </c>
      <c r="BH363" s="1212" t="e">
        <f t="shared" ca="1" si="249"/>
        <v>#N/A</v>
      </c>
      <c r="BI363" s="1213" t="e">
        <f t="shared" ca="1" si="250"/>
        <v>#N/A</v>
      </c>
      <c r="BJ363" s="1587">
        <f t="shared" si="251"/>
        <v>0</v>
      </c>
      <c r="BM363" s="1212" t="e">
        <f t="shared" ca="1" si="252"/>
        <v>#N/A</v>
      </c>
      <c r="BN363" s="1213" t="e">
        <f t="shared" ca="1" si="253"/>
        <v>#N/A</v>
      </c>
      <c r="BO363" s="1587">
        <f t="shared" si="254"/>
        <v>0</v>
      </c>
      <c r="BR363" s="1212" t="e">
        <f t="shared" ca="1" si="255"/>
        <v>#N/A</v>
      </c>
      <c r="BS363" s="1213" t="e">
        <f t="shared" ca="1" si="256"/>
        <v>#N/A</v>
      </c>
      <c r="BT363" s="1587">
        <f t="shared" si="257"/>
        <v>0</v>
      </c>
      <c r="BW363" s="1212" t="e">
        <f t="shared" ca="1" si="258"/>
        <v>#N/A</v>
      </c>
      <c r="BX363" s="1213" t="e">
        <f t="shared" ca="1" si="259"/>
        <v>#N/A</v>
      </c>
      <c r="BY363" s="1587">
        <f t="shared" si="260"/>
        <v>0</v>
      </c>
      <c r="CB363" s="1212" t="e">
        <f t="shared" ca="1" si="261"/>
        <v>#N/A</v>
      </c>
      <c r="CC363" s="1213" t="e">
        <f t="shared" ca="1" si="262"/>
        <v>#N/A</v>
      </c>
      <c r="CD363" s="1587">
        <f t="shared" si="263"/>
        <v>0</v>
      </c>
      <c r="CG363" s="1212" t="e">
        <f t="shared" ca="1" si="264"/>
        <v>#N/A</v>
      </c>
      <c r="CH363" s="1213" t="e">
        <f t="shared" ca="1" si="265"/>
        <v>#N/A</v>
      </c>
      <c r="CI363" s="1587">
        <f t="shared" si="266"/>
        <v>0</v>
      </c>
      <c r="CL363" s="1212" t="e">
        <f t="shared" ca="1" si="267"/>
        <v>#N/A</v>
      </c>
      <c r="CM363" s="1213" t="e">
        <f t="shared" ca="1" si="268"/>
        <v>#N/A</v>
      </c>
      <c r="CN363" s="1587">
        <f t="shared" si="269"/>
        <v>0</v>
      </c>
    </row>
    <row r="364" spans="1:92">
      <c r="A364" s="141">
        <f>'銀行-TSS'!A364</f>
        <v>0</v>
      </c>
      <c r="B364" s="151">
        <f ca="1">VLOOKUP(A364,'銀行-TSS'!A:B,2,FALSE)</f>
        <v>0</v>
      </c>
      <c r="C364" s="151" t="e">
        <f ca="1">VLOOKUP(B364,bond!B:C,2,FALSE)</f>
        <v>#N/A</v>
      </c>
      <c r="D364" s="95" t="e">
        <f>VLOOKUP(A364,'銀行-TSS'!A:C,3,FALSE)</f>
        <v>#N/A</v>
      </c>
      <c r="E364" s="90" t="e">
        <f ca="1">VLOOKUP(A364,'銀行-TSS'!A:G,7,FALSE)</f>
        <v>#N/A</v>
      </c>
      <c r="F364" s="202" t="e">
        <f ca="1">VLOOKUP(A364,'銀行-TSS'!A:H,8,FALSE)</f>
        <v>#N/A</v>
      </c>
      <c r="G364" s="96" t="e">
        <f ca="1">VLOOKUP(A364,'銀行-TSS'!A:K,11,FALSE)</f>
        <v>#N/A</v>
      </c>
      <c r="H364" s="1209" t="e">
        <f ca="1">VLOOKUP(A364,'銀行-TSS'!A:M,13,FALSE)</f>
        <v>#N/A</v>
      </c>
      <c r="I364" s="1213" t="e">
        <f ca="1">VLOOKUP(A364,'銀行-TSS'!A:N,14,FALSE)</f>
        <v>#N/A</v>
      </c>
      <c r="J364" s="1213" t="e">
        <f ca="1">VLOOKUP(A364,'銀行-TSS'!A:O,15,FALSE)</f>
        <v>#N/A</v>
      </c>
      <c r="K364" s="136" t="e">
        <f ca="1">VLOOKUP(A364,'銀行-TSS'!A:V,22,FALSE)</f>
        <v>#N/A</v>
      </c>
      <c r="L364" s="136" t="e">
        <f ca="1">VLOOKUP(A364,'銀行-TSS'!A:AK,37,FALSE)</f>
        <v>#N/A</v>
      </c>
      <c r="M364" s="136" t="str">
        <f ca="1">VLOOKUP(A364,'銀行-TSS'!A:AN,40,FALSE)</f>
        <v/>
      </c>
      <c r="N364" s="136" t="e">
        <f t="shared" ca="1" si="225"/>
        <v>#N/A</v>
      </c>
      <c r="O364" s="1213" t="e">
        <f t="shared" ca="1" si="226"/>
        <v>#N/A</v>
      </c>
      <c r="P364" s="1213" t="e">
        <f ca="1">IF(AND($O$1&gt;=O364,換券單檔!$D$13=D364),I364+INT(($O$1-O364)/N364)*J364,0)</f>
        <v>#N/A</v>
      </c>
      <c r="Q364" s="1213" t="e">
        <f t="shared" ca="1" si="227"/>
        <v>#N/A</v>
      </c>
      <c r="R364" s="1213">
        <f t="shared" si="228"/>
        <v>0</v>
      </c>
      <c r="S364" s="1213">
        <f t="shared" si="229"/>
        <v>0</v>
      </c>
      <c r="T364" s="136">
        <f>IF(OR(R364=0,A364=0),0,IF(AND(V364=TRUE,換券單檔!$D$13=D364),E364,0))</f>
        <v>0</v>
      </c>
      <c r="U364" s="861">
        <f>IF(OR(R364=0,A364=0),0,IF(AND(V364=TRUE,換券單檔!$D$13=D364),H364,0))</f>
        <v>0</v>
      </c>
      <c r="V364" s="136" t="e">
        <f ca="1">IF(OR(B364=換券單檔!$D$3,L364="無",M364&lt;&gt;"",K364="高資產",IFERROR(MATCH(B364,換券單檔!K:K,0),"N")&lt;&gt;"N"),FALSE,IF($V$1="All",TRUE,IF(K364=$V$1,TRUE,FALSE)))</f>
        <v>#N/A</v>
      </c>
      <c r="W364" s="136" t="e">
        <f ca="1">VLOOKUP(A364,'銀行-TSS'!A:AO,41,FALSE)</f>
        <v>#N/A</v>
      </c>
      <c r="X364" s="136" t="e">
        <f ca="1">VLOOKUP(A364,'銀行-TSS'!A:AP,42,FALSE)</f>
        <v>#N/A</v>
      </c>
      <c r="Y364" s="1220">
        <f t="shared" si="230"/>
        <v>0</v>
      </c>
      <c r="Z364" s="1220">
        <f t="shared" si="231"/>
        <v>0</v>
      </c>
      <c r="AA364" s="136">
        <f>IF(Z364&lt;=0,0,RANK(Z364,Z:Z)+COUNTIF($Z$3:$Z364,Z364)-1)</f>
        <v>0</v>
      </c>
      <c r="AB364" s="1211">
        <f t="shared" ca="1" si="232"/>
        <v>-14896.14</v>
      </c>
      <c r="AC364" s="136">
        <f ca="1">IF(AB364&lt;=0,0,RANK(AB364,AB:AB)+COUNTIF($AB$3:$AB364,AB364)-1)</f>
        <v>0</v>
      </c>
      <c r="AD364" s="1123">
        <f t="shared" si="233"/>
        <v>99999</v>
      </c>
      <c r="AE364" s="1123">
        <f>IF(AD364=99999,0,RANK(AD364,AD:AD,1)+COUNTIF($AD$3:$AD364,AD364)-1)</f>
        <v>0</v>
      </c>
      <c r="AF364" s="86" t="e">
        <f ca="1">IF(OR(M364&lt;&gt;"",L364="無",K364="高資產",IFERROR(MATCH(B364,換券單檔!K:K,0),"N")&lt;&gt;"N"),FALSE,TRUE)</f>
        <v>#N/A</v>
      </c>
      <c r="AI364" s="1212" t="e">
        <f t="shared" ca="1" si="234"/>
        <v>#N/A</v>
      </c>
      <c r="AJ364" s="1213" t="e">
        <f t="shared" ca="1" si="235"/>
        <v>#N/A</v>
      </c>
      <c r="AK364" s="1587">
        <f t="shared" si="236"/>
        <v>0</v>
      </c>
      <c r="AN364" s="1212" t="e">
        <f t="shared" ca="1" si="237"/>
        <v>#N/A</v>
      </c>
      <c r="AO364" s="1213" t="e">
        <f t="shared" ca="1" si="238"/>
        <v>#N/A</v>
      </c>
      <c r="AP364" s="1587">
        <f t="shared" si="239"/>
        <v>0</v>
      </c>
      <c r="AS364" s="1212" t="e">
        <f t="shared" ca="1" si="240"/>
        <v>#N/A</v>
      </c>
      <c r="AT364" s="1213" t="e">
        <f t="shared" ca="1" si="241"/>
        <v>#N/A</v>
      </c>
      <c r="AU364" s="1587">
        <f t="shared" si="242"/>
        <v>0</v>
      </c>
      <c r="AX364" s="1212" t="e">
        <f t="shared" ca="1" si="243"/>
        <v>#N/A</v>
      </c>
      <c r="AY364" s="1213" t="e">
        <f t="shared" ca="1" si="244"/>
        <v>#N/A</v>
      </c>
      <c r="AZ364" s="1587">
        <f t="shared" si="245"/>
        <v>0</v>
      </c>
      <c r="BC364" s="1212" t="e">
        <f t="shared" ca="1" si="246"/>
        <v>#N/A</v>
      </c>
      <c r="BD364" s="1213" t="e">
        <f t="shared" ca="1" si="247"/>
        <v>#N/A</v>
      </c>
      <c r="BE364" s="1587">
        <f t="shared" si="248"/>
        <v>0</v>
      </c>
      <c r="BH364" s="1212" t="e">
        <f t="shared" ca="1" si="249"/>
        <v>#N/A</v>
      </c>
      <c r="BI364" s="1213" t="e">
        <f t="shared" ca="1" si="250"/>
        <v>#N/A</v>
      </c>
      <c r="BJ364" s="1587">
        <f t="shared" si="251"/>
        <v>0</v>
      </c>
      <c r="BM364" s="1212" t="e">
        <f t="shared" ca="1" si="252"/>
        <v>#N/A</v>
      </c>
      <c r="BN364" s="1213" t="e">
        <f t="shared" ca="1" si="253"/>
        <v>#N/A</v>
      </c>
      <c r="BO364" s="1587">
        <f t="shared" si="254"/>
        <v>0</v>
      </c>
      <c r="BR364" s="1212" t="e">
        <f t="shared" ca="1" si="255"/>
        <v>#N/A</v>
      </c>
      <c r="BS364" s="1213" t="e">
        <f t="shared" ca="1" si="256"/>
        <v>#N/A</v>
      </c>
      <c r="BT364" s="1587">
        <f t="shared" si="257"/>
        <v>0</v>
      </c>
      <c r="BW364" s="1212" t="e">
        <f t="shared" ca="1" si="258"/>
        <v>#N/A</v>
      </c>
      <c r="BX364" s="1213" t="e">
        <f t="shared" ca="1" si="259"/>
        <v>#N/A</v>
      </c>
      <c r="BY364" s="1587">
        <f t="shared" si="260"/>
        <v>0</v>
      </c>
      <c r="CB364" s="1212" t="e">
        <f t="shared" ca="1" si="261"/>
        <v>#N/A</v>
      </c>
      <c r="CC364" s="1213" t="e">
        <f t="shared" ca="1" si="262"/>
        <v>#N/A</v>
      </c>
      <c r="CD364" s="1587">
        <f t="shared" si="263"/>
        <v>0</v>
      </c>
      <c r="CG364" s="1212" t="e">
        <f t="shared" ca="1" si="264"/>
        <v>#N/A</v>
      </c>
      <c r="CH364" s="1213" t="e">
        <f t="shared" ca="1" si="265"/>
        <v>#N/A</v>
      </c>
      <c r="CI364" s="1587">
        <f t="shared" si="266"/>
        <v>0</v>
      </c>
      <c r="CL364" s="1212" t="e">
        <f t="shared" ca="1" si="267"/>
        <v>#N/A</v>
      </c>
      <c r="CM364" s="1213" t="e">
        <f t="shared" ca="1" si="268"/>
        <v>#N/A</v>
      </c>
      <c r="CN364" s="1587">
        <f t="shared" si="269"/>
        <v>0</v>
      </c>
    </row>
    <row r="365" spans="1:92">
      <c r="A365" s="141">
        <f>'銀行-TSS'!A365</f>
        <v>0</v>
      </c>
      <c r="B365" s="151">
        <f ca="1">VLOOKUP(A365,'銀行-TSS'!A:B,2,FALSE)</f>
        <v>0</v>
      </c>
      <c r="C365" s="151" t="e">
        <f ca="1">VLOOKUP(B365,bond!B:C,2,FALSE)</f>
        <v>#N/A</v>
      </c>
      <c r="D365" s="95" t="e">
        <f>VLOOKUP(A365,'銀行-TSS'!A:C,3,FALSE)</f>
        <v>#N/A</v>
      </c>
      <c r="E365" s="90" t="e">
        <f ca="1">VLOOKUP(A365,'銀行-TSS'!A:G,7,FALSE)</f>
        <v>#N/A</v>
      </c>
      <c r="F365" s="202" t="e">
        <f ca="1">VLOOKUP(A365,'銀行-TSS'!A:H,8,FALSE)</f>
        <v>#N/A</v>
      </c>
      <c r="G365" s="96" t="e">
        <f ca="1">VLOOKUP(A365,'銀行-TSS'!A:K,11,FALSE)</f>
        <v>#N/A</v>
      </c>
      <c r="H365" s="1209" t="e">
        <f ca="1">VLOOKUP(A365,'銀行-TSS'!A:M,13,FALSE)</f>
        <v>#N/A</v>
      </c>
      <c r="I365" s="1213" t="e">
        <f ca="1">VLOOKUP(A365,'銀行-TSS'!A:N,14,FALSE)</f>
        <v>#N/A</v>
      </c>
      <c r="J365" s="1213" t="e">
        <f ca="1">VLOOKUP(A365,'銀行-TSS'!A:O,15,FALSE)</f>
        <v>#N/A</v>
      </c>
      <c r="K365" s="136" t="e">
        <f ca="1">VLOOKUP(A365,'銀行-TSS'!A:V,22,FALSE)</f>
        <v>#N/A</v>
      </c>
      <c r="L365" s="136" t="e">
        <f ca="1">VLOOKUP(A365,'銀行-TSS'!A:AK,37,FALSE)</f>
        <v>#N/A</v>
      </c>
      <c r="M365" s="136" t="str">
        <f ca="1">VLOOKUP(A365,'銀行-TSS'!A:AN,40,FALSE)</f>
        <v/>
      </c>
      <c r="N365" s="136" t="e">
        <f t="shared" ca="1" si="225"/>
        <v>#N/A</v>
      </c>
      <c r="O365" s="1213" t="e">
        <f t="shared" ca="1" si="226"/>
        <v>#N/A</v>
      </c>
      <c r="P365" s="1213" t="e">
        <f ca="1">IF(AND($O$1&gt;=O365,換券單檔!$D$13=D365),I365+INT(($O$1-O365)/N365)*J365,0)</f>
        <v>#N/A</v>
      </c>
      <c r="Q365" s="1213" t="e">
        <f t="shared" ca="1" si="227"/>
        <v>#N/A</v>
      </c>
      <c r="R365" s="1213">
        <f t="shared" si="228"/>
        <v>0</v>
      </c>
      <c r="S365" s="1213">
        <f t="shared" si="229"/>
        <v>0</v>
      </c>
      <c r="T365" s="136">
        <f>IF(OR(R365=0,A365=0),0,IF(AND(V365=TRUE,換券單檔!$D$13=D365),E365,0))</f>
        <v>0</v>
      </c>
      <c r="U365" s="861">
        <f>IF(OR(R365=0,A365=0),0,IF(AND(V365=TRUE,換券單檔!$D$13=D365),H365,0))</f>
        <v>0</v>
      </c>
      <c r="V365" s="136" t="e">
        <f ca="1">IF(OR(B365=換券單檔!$D$3,L365="無",M365&lt;&gt;"",K365="高資產",IFERROR(MATCH(B365,換券單檔!K:K,0),"N")&lt;&gt;"N"),FALSE,IF($V$1="All",TRUE,IF(K365=$V$1,TRUE,FALSE)))</f>
        <v>#N/A</v>
      </c>
      <c r="W365" s="136" t="e">
        <f ca="1">VLOOKUP(A365,'銀行-TSS'!A:AO,41,FALSE)</f>
        <v>#N/A</v>
      </c>
      <c r="X365" s="136" t="e">
        <f ca="1">VLOOKUP(A365,'銀行-TSS'!A:AP,42,FALSE)</f>
        <v>#N/A</v>
      </c>
      <c r="Y365" s="1220">
        <f t="shared" si="230"/>
        <v>0</v>
      </c>
      <c r="Z365" s="1220">
        <f t="shared" si="231"/>
        <v>0</v>
      </c>
      <c r="AA365" s="136">
        <f>IF(Z365&lt;=0,0,RANK(Z365,Z:Z)+COUNTIF($Z$3:$Z365,Z365)-1)</f>
        <v>0</v>
      </c>
      <c r="AB365" s="1211">
        <f t="shared" ca="1" si="232"/>
        <v>-14896.14</v>
      </c>
      <c r="AC365" s="136">
        <f ca="1">IF(AB365&lt;=0,0,RANK(AB365,AB:AB)+COUNTIF($AB$3:$AB365,AB365)-1)</f>
        <v>0</v>
      </c>
      <c r="AD365" s="1123">
        <f t="shared" si="233"/>
        <v>99999</v>
      </c>
      <c r="AE365" s="1123">
        <f>IF(AD365=99999,0,RANK(AD365,AD:AD,1)+COUNTIF($AD$3:$AD365,AD365)-1)</f>
        <v>0</v>
      </c>
      <c r="AF365" s="86" t="e">
        <f ca="1">IF(OR(M365&lt;&gt;"",L365="無",K365="高資產",IFERROR(MATCH(B365,換券單檔!K:K,0),"N")&lt;&gt;"N"),FALSE,TRUE)</f>
        <v>#N/A</v>
      </c>
      <c r="AI365" s="1212" t="e">
        <f t="shared" ca="1" si="234"/>
        <v>#N/A</v>
      </c>
      <c r="AJ365" s="1213" t="e">
        <f t="shared" ca="1" si="235"/>
        <v>#N/A</v>
      </c>
      <c r="AK365" s="1587">
        <f t="shared" si="236"/>
        <v>0</v>
      </c>
      <c r="AN365" s="1212" t="e">
        <f t="shared" ca="1" si="237"/>
        <v>#N/A</v>
      </c>
      <c r="AO365" s="1213" t="e">
        <f t="shared" ca="1" si="238"/>
        <v>#N/A</v>
      </c>
      <c r="AP365" s="1587">
        <f t="shared" si="239"/>
        <v>0</v>
      </c>
      <c r="AS365" s="1212" t="e">
        <f t="shared" ca="1" si="240"/>
        <v>#N/A</v>
      </c>
      <c r="AT365" s="1213" t="e">
        <f t="shared" ca="1" si="241"/>
        <v>#N/A</v>
      </c>
      <c r="AU365" s="1587">
        <f t="shared" si="242"/>
        <v>0</v>
      </c>
      <c r="AX365" s="1212" t="e">
        <f t="shared" ca="1" si="243"/>
        <v>#N/A</v>
      </c>
      <c r="AY365" s="1213" t="e">
        <f t="shared" ca="1" si="244"/>
        <v>#N/A</v>
      </c>
      <c r="AZ365" s="1587">
        <f t="shared" si="245"/>
        <v>0</v>
      </c>
      <c r="BC365" s="1212" t="e">
        <f t="shared" ca="1" si="246"/>
        <v>#N/A</v>
      </c>
      <c r="BD365" s="1213" t="e">
        <f t="shared" ca="1" si="247"/>
        <v>#N/A</v>
      </c>
      <c r="BE365" s="1587">
        <f t="shared" si="248"/>
        <v>0</v>
      </c>
      <c r="BH365" s="1212" t="e">
        <f t="shared" ca="1" si="249"/>
        <v>#N/A</v>
      </c>
      <c r="BI365" s="1213" t="e">
        <f t="shared" ca="1" si="250"/>
        <v>#N/A</v>
      </c>
      <c r="BJ365" s="1587">
        <f t="shared" si="251"/>
        <v>0</v>
      </c>
      <c r="BM365" s="1212" t="e">
        <f t="shared" ca="1" si="252"/>
        <v>#N/A</v>
      </c>
      <c r="BN365" s="1213" t="e">
        <f t="shared" ca="1" si="253"/>
        <v>#N/A</v>
      </c>
      <c r="BO365" s="1587">
        <f t="shared" si="254"/>
        <v>0</v>
      </c>
      <c r="BR365" s="1212" t="e">
        <f t="shared" ca="1" si="255"/>
        <v>#N/A</v>
      </c>
      <c r="BS365" s="1213" t="e">
        <f t="shared" ca="1" si="256"/>
        <v>#N/A</v>
      </c>
      <c r="BT365" s="1587">
        <f t="shared" si="257"/>
        <v>0</v>
      </c>
      <c r="BW365" s="1212" t="e">
        <f t="shared" ca="1" si="258"/>
        <v>#N/A</v>
      </c>
      <c r="BX365" s="1213" t="e">
        <f t="shared" ca="1" si="259"/>
        <v>#N/A</v>
      </c>
      <c r="BY365" s="1587">
        <f t="shared" si="260"/>
        <v>0</v>
      </c>
      <c r="CB365" s="1212" t="e">
        <f t="shared" ca="1" si="261"/>
        <v>#N/A</v>
      </c>
      <c r="CC365" s="1213" t="e">
        <f t="shared" ca="1" si="262"/>
        <v>#N/A</v>
      </c>
      <c r="CD365" s="1587">
        <f t="shared" si="263"/>
        <v>0</v>
      </c>
      <c r="CG365" s="1212" t="e">
        <f t="shared" ca="1" si="264"/>
        <v>#N/A</v>
      </c>
      <c r="CH365" s="1213" t="e">
        <f t="shared" ca="1" si="265"/>
        <v>#N/A</v>
      </c>
      <c r="CI365" s="1587">
        <f t="shared" si="266"/>
        <v>0</v>
      </c>
      <c r="CL365" s="1212" t="e">
        <f t="shared" ca="1" si="267"/>
        <v>#N/A</v>
      </c>
      <c r="CM365" s="1213" t="e">
        <f t="shared" ca="1" si="268"/>
        <v>#N/A</v>
      </c>
      <c r="CN365" s="1587">
        <f t="shared" si="269"/>
        <v>0</v>
      </c>
    </row>
    <row r="366" spans="1:92">
      <c r="A366" s="141">
        <f>'銀行-TSS'!A366</f>
        <v>0</v>
      </c>
      <c r="B366" s="151">
        <f ca="1">VLOOKUP(A366,'銀行-TSS'!A:B,2,FALSE)</f>
        <v>0</v>
      </c>
      <c r="C366" s="151" t="e">
        <f ca="1">VLOOKUP(B366,bond!B:C,2,FALSE)</f>
        <v>#N/A</v>
      </c>
      <c r="D366" s="95" t="e">
        <f>VLOOKUP(A366,'銀行-TSS'!A:C,3,FALSE)</f>
        <v>#N/A</v>
      </c>
      <c r="E366" s="90" t="e">
        <f ca="1">VLOOKUP(A366,'銀行-TSS'!A:G,7,FALSE)</f>
        <v>#N/A</v>
      </c>
      <c r="F366" s="202" t="e">
        <f ca="1">VLOOKUP(A366,'銀行-TSS'!A:H,8,FALSE)</f>
        <v>#N/A</v>
      </c>
      <c r="G366" s="96" t="e">
        <f ca="1">VLOOKUP(A366,'銀行-TSS'!A:K,11,FALSE)</f>
        <v>#N/A</v>
      </c>
      <c r="H366" s="1209" t="e">
        <f ca="1">VLOOKUP(A366,'銀行-TSS'!A:M,13,FALSE)</f>
        <v>#N/A</v>
      </c>
      <c r="I366" s="1213" t="e">
        <f ca="1">VLOOKUP(A366,'銀行-TSS'!A:N,14,FALSE)</f>
        <v>#N/A</v>
      </c>
      <c r="J366" s="1213" t="e">
        <f ca="1">VLOOKUP(A366,'銀行-TSS'!A:O,15,FALSE)</f>
        <v>#N/A</v>
      </c>
      <c r="K366" s="136" t="e">
        <f ca="1">VLOOKUP(A366,'銀行-TSS'!A:V,22,FALSE)</f>
        <v>#N/A</v>
      </c>
      <c r="L366" s="136" t="e">
        <f ca="1">VLOOKUP(A366,'銀行-TSS'!A:AK,37,FALSE)</f>
        <v>#N/A</v>
      </c>
      <c r="M366" s="136" t="str">
        <f ca="1">VLOOKUP(A366,'銀行-TSS'!A:AN,40,FALSE)</f>
        <v/>
      </c>
      <c r="N366" s="136" t="e">
        <f t="shared" ca="1" si="225"/>
        <v>#N/A</v>
      </c>
      <c r="O366" s="1213" t="e">
        <f t="shared" ca="1" si="226"/>
        <v>#N/A</v>
      </c>
      <c r="P366" s="1213" t="e">
        <f ca="1">IF(AND($O$1&gt;=O366,換券單檔!$D$13=D366),I366+INT(($O$1-O366)/N366)*J366,0)</f>
        <v>#N/A</v>
      </c>
      <c r="Q366" s="1213" t="e">
        <f t="shared" ca="1" si="227"/>
        <v>#N/A</v>
      </c>
      <c r="R366" s="1213">
        <f t="shared" si="228"/>
        <v>0</v>
      </c>
      <c r="S366" s="1213">
        <f t="shared" si="229"/>
        <v>0</v>
      </c>
      <c r="T366" s="136">
        <f>IF(OR(R366=0,A366=0),0,IF(AND(V366=TRUE,換券單檔!$D$13=D366),E366,0))</f>
        <v>0</v>
      </c>
      <c r="U366" s="861">
        <f>IF(OR(R366=0,A366=0),0,IF(AND(V366=TRUE,換券單檔!$D$13=D366),H366,0))</f>
        <v>0</v>
      </c>
      <c r="V366" s="136" t="e">
        <f ca="1">IF(OR(B366=換券單檔!$D$3,L366="無",M366&lt;&gt;"",K366="高資產",IFERROR(MATCH(B366,換券單檔!K:K,0),"N")&lt;&gt;"N"),FALSE,IF($V$1="All",TRUE,IF(K366=$V$1,TRUE,FALSE)))</f>
        <v>#N/A</v>
      </c>
      <c r="W366" s="136" t="e">
        <f ca="1">VLOOKUP(A366,'銀行-TSS'!A:AO,41,FALSE)</f>
        <v>#N/A</v>
      </c>
      <c r="X366" s="136" t="e">
        <f ca="1">VLOOKUP(A366,'銀行-TSS'!A:AP,42,FALSE)</f>
        <v>#N/A</v>
      </c>
      <c r="Y366" s="1220">
        <f t="shared" si="230"/>
        <v>0</v>
      </c>
      <c r="Z366" s="1220">
        <f t="shared" si="231"/>
        <v>0</v>
      </c>
      <c r="AA366" s="136">
        <f>IF(Z366&lt;=0,0,RANK(Z366,Z:Z)+COUNTIF($Z$3:$Z366,Z366)-1)</f>
        <v>0</v>
      </c>
      <c r="AB366" s="1211">
        <f t="shared" ca="1" si="232"/>
        <v>-14896.14</v>
      </c>
      <c r="AC366" s="136">
        <f ca="1">IF(AB366&lt;=0,0,RANK(AB366,AB:AB)+COUNTIF($AB$3:$AB366,AB366)-1)</f>
        <v>0</v>
      </c>
      <c r="AD366" s="1123">
        <f t="shared" si="233"/>
        <v>99999</v>
      </c>
      <c r="AE366" s="1123">
        <f>IF(AD366=99999,0,RANK(AD366,AD:AD,1)+COUNTIF($AD$3:$AD366,AD366)-1)</f>
        <v>0</v>
      </c>
      <c r="AF366" s="86" t="e">
        <f ca="1">IF(OR(M366&lt;&gt;"",L366="無",K366="高資產",IFERROR(MATCH(B366,換券單檔!K:K,0),"N")&lt;&gt;"N"),FALSE,TRUE)</f>
        <v>#N/A</v>
      </c>
      <c r="AI366" s="1212" t="e">
        <f t="shared" ca="1" si="234"/>
        <v>#N/A</v>
      </c>
      <c r="AJ366" s="1213" t="e">
        <f t="shared" ca="1" si="235"/>
        <v>#N/A</v>
      </c>
      <c r="AK366" s="1587">
        <f t="shared" si="236"/>
        <v>0</v>
      </c>
      <c r="AN366" s="1212" t="e">
        <f t="shared" ca="1" si="237"/>
        <v>#N/A</v>
      </c>
      <c r="AO366" s="1213" t="e">
        <f t="shared" ca="1" si="238"/>
        <v>#N/A</v>
      </c>
      <c r="AP366" s="1587">
        <f t="shared" si="239"/>
        <v>0</v>
      </c>
      <c r="AS366" s="1212" t="e">
        <f t="shared" ca="1" si="240"/>
        <v>#N/A</v>
      </c>
      <c r="AT366" s="1213" t="e">
        <f t="shared" ca="1" si="241"/>
        <v>#N/A</v>
      </c>
      <c r="AU366" s="1587">
        <f t="shared" si="242"/>
        <v>0</v>
      </c>
      <c r="AX366" s="1212" t="e">
        <f t="shared" ca="1" si="243"/>
        <v>#N/A</v>
      </c>
      <c r="AY366" s="1213" t="e">
        <f t="shared" ca="1" si="244"/>
        <v>#N/A</v>
      </c>
      <c r="AZ366" s="1587">
        <f t="shared" si="245"/>
        <v>0</v>
      </c>
      <c r="BC366" s="1212" t="e">
        <f t="shared" ca="1" si="246"/>
        <v>#N/A</v>
      </c>
      <c r="BD366" s="1213" t="e">
        <f t="shared" ca="1" si="247"/>
        <v>#N/A</v>
      </c>
      <c r="BE366" s="1587">
        <f t="shared" si="248"/>
        <v>0</v>
      </c>
      <c r="BH366" s="1212" t="e">
        <f t="shared" ca="1" si="249"/>
        <v>#N/A</v>
      </c>
      <c r="BI366" s="1213" t="e">
        <f t="shared" ca="1" si="250"/>
        <v>#N/A</v>
      </c>
      <c r="BJ366" s="1587">
        <f t="shared" si="251"/>
        <v>0</v>
      </c>
      <c r="BM366" s="1212" t="e">
        <f t="shared" ca="1" si="252"/>
        <v>#N/A</v>
      </c>
      <c r="BN366" s="1213" t="e">
        <f t="shared" ca="1" si="253"/>
        <v>#N/A</v>
      </c>
      <c r="BO366" s="1587">
        <f t="shared" si="254"/>
        <v>0</v>
      </c>
      <c r="BR366" s="1212" t="e">
        <f t="shared" ca="1" si="255"/>
        <v>#N/A</v>
      </c>
      <c r="BS366" s="1213" t="e">
        <f t="shared" ca="1" si="256"/>
        <v>#N/A</v>
      </c>
      <c r="BT366" s="1587">
        <f t="shared" si="257"/>
        <v>0</v>
      </c>
      <c r="BW366" s="1212" t="e">
        <f t="shared" ca="1" si="258"/>
        <v>#N/A</v>
      </c>
      <c r="BX366" s="1213" t="e">
        <f t="shared" ca="1" si="259"/>
        <v>#N/A</v>
      </c>
      <c r="BY366" s="1587">
        <f t="shared" si="260"/>
        <v>0</v>
      </c>
      <c r="CB366" s="1212" t="e">
        <f t="shared" ca="1" si="261"/>
        <v>#N/A</v>
      </c>
      <c r="CC366" s="1213" t="e">
        <f t="shared" ca="1" si="262"/>
        <v>#N/A</v>
      </c>
      <c r="CD366" s="1587">
        <f t="shared" si="263"/>
        <v>0</v>
      </c>
      <c r="CG366" s="1212" t="e">
        <f t="shared" ca="1" si="264"/>
        <v>#N/A</v>
      </c>
      <c r="CH366" s="1213" t="e">
        <f t="shared" ca="1" si="265"/>
        <v>#N/A</v>
      </c>
      <c r="CI366" s="1587">
        <f t="shared" si="266"/>
        <v>0</v>
      </c>
      <c r="CL366" s="1212" t="e">
        <f t="shared" ca="1" si="267"/>
        <v>#N/A</v>
      </c>
      <c r="CM366" s="1213" t="e">
        <f t="shared" ca="1" si="268"/>
        <v>#N/A</v>
      </c>
      <c r="CN366" s="1587">
        <f t="shared" si="269"/>
        <v>0</v>
      </c>
    </row>
    <row r="367" spans="1:92">
      <c r="A367" s="141">
        <f>'銀行-TSS'!A367</f>
        <v>0</v>
      </c>
      <c r="B367" s="151">
        <f ca="1">VLOOKUP(A367,'銀行-TSS'!A:B,2,FALSE)</f>
        <v>0</v>
      </c>
      <c r="C367" s="151" t="e">
        <f ca="1">VLOOKUP(B367,bond!B:C,2,FALSE)</f>
        <v>#N/A</v>
      </c>
      <c r="D367" s="95" t="e">
        <f>VLOOKUP(A367,'銀行-TSS'!A:C,3,FALSE)</f>
        <v>#N/A</v>
      </c>
      <c r="E367" s="90" t="e">
        <f ca="1">VLOOKUP(A367,'銀行-TSS'!A:G,7,FALSE)</f>
        <v>#N/A</v>
      </c>
      <c r="F367" s="202" t="e">
        <f ca="1">VLOOKUP(A367,'銀行-TSS'!A:H,8,FALSE)</f>
        <v>#N/A</v>
      </c>
      <c r="G367" s="96" t="e">
        <f ca="1">VLOOKUP(A367,'銀行-TSS'!A:K,11,FALSE)</f>
        <v>#N/A</v>
      </c>
      <c r="H367" s="1209" t="e">
        <f ca="1">VLOOKUP(A367,'銀行-TSS'!A:M,13,FALSE)</f>
        <v>#N/A</v>
      </c>
      <c r="I367" s="1213" t="e">
        <f ca="1">VLOOKUP(A367,'銀行-TSS'!A:N,14,FALSE)</f>
        <v>#N/A</v>
      </c>
      <c r="J367" s="1213" t="e">
        <f ca="1">VLOOKUP(A367,'銀行-TSS'!A:O,15,FALSE)</f>
        <v>#N/A</v>
      </c>
      <c r="K367" s="136" t="e">
        <f ca="1">VLOOKUP(A367,'銀行-TSS'!A:V,22,FALSE)</f>
        <v>#N/A</v>
      </c>
      <c r="L367" s="136" t="e">
        <f ca="1">VLOOKUP(A367,'銀行-TSS'!A:AK,37,FALSE)</f>
        <v>#N/A</v>
      </c>
      <c r="M367" s="136" t="str">
        <f ca="1">VLOOKUP(A367,'銀行-TSS'!A:AN,40,FALSE)</f>
        <v/>
      </c>
      <c r="N367" s="136" t="e">
        <f t="shared" ca="1" si="225"/>
        <v>#N/A</v>
      </c>
      <c r="O367" s="1213" t="e">
        <f t="shared" ca="1" si="226"/>
        <v>#N/A</v>
      </c>
      <c r="P367" s="1213" t="e">
        <f ca="1">IF(AND($O$1&gt;=O367,換券單檔!$D$13=D367),I367+INT(($O$1-O367)/N367)*J367,0)</f>
        <v>#N/A</v>
      </c>
      <c r="Q367" s="1213" t="e">
        <f t="shared" ca="1" si="227"/>
        <v>#N/A</v>
      </c>
      <c r="R367" s="1213">
        <f t="shared" si="228"/>
        <v>0</v>
      </c>
      <c r="S367" s="1213">
        <f t="shared" si="229"/>
        <v>0</v>
      </c>
      <c r="T367" s="136">
        <f>IF(OR(R367=0,A367=0),0,IF(AND(V367=TRUE,換券單檔!$D$13=D367),E367,0))</f>
        <v>0</v>
      </c>
      <c r="U367" s="861">
        <f>IF(OR(R367=0,A367=0),0,IF(AND(V367=TRUE,換券單檔!$D$13=D367),H367,0))</f>
        <v>0</v>
      </c>
      <c r="V367" s="136" t="e">
        <f ca="1">IF(OR(B367=換券單檔!$D$3,L367="無",M367&lt;&gt;"",K367="高資產",IFERROR(MATCH(B367,換券單檔!K:K,0),"N")&lt;&gt;"N"),FALSE,IF($V$1="All",TRUE,IF(K367=$V$1,TRUE,FALSE)))</f>
        <v>#N/A</v>
      </c>
      <c r="W367" s="136" t="e">
        <f ca="1">VLOOKUP(A367,'銀行-TSS'!A:AO,41,FALSE)</f>
        <v>#N/A</v>
      </c>
      <c r="X367" s="136" t="e">
        <f ca="1">VLOOKUP(A367,'銀行-TSS'!A:AP,42,FALSE)</f>
        <v>#N/A</v>
      </c>
      <c r="Y367" s="1220">
        <f t="shared" si="230"/>
        <v>0</v>
      </c>
      <c r="Z367" s="1220">
        <f t="shared" si="231"/>
        <v>0</v>
      </c>
      <c r="AA367" s="136">
        <f>IF(Z367&lt;=0,0,RANK(Z367,Z:Z)+COUNTIF($Z$3:$Z367,Z367)-1)</f>
        <v>0</v>
      </c>
      <c r="AB367" s="1211">
        <f t="shared" ca="1" si="232"/>
        <v>-14896.14</v>
      </c>
      <c r="AC367" s="136">
        <f ca="1">IF(AB367&lt;=0,0,RANK(AB367,AB:AB)+COUNTIF($AB$3:$AB367,AB367)-1)</f>
        <v>0</v>
      </c>
      <c r="AD367" s="1123">
        <f t="shared" si="233"/>
        <v>99999</v>
      </c>
      <c r="AE367" s="1123">
        <f>IF(AD367=99999,0,RANK(AD367,AD:AD,1)+COUNTIF($AD$3:$AD367,AD367)-1)</f>
        <v>0</v>
      </c>
      <c r="AF367" s="86" t="e">
        <f ca="1">IF(OR(M367&lt;&gt;"",L367="無",K367="高資產",IFERROR(MATCH(B367,換券單檔!K:K,0),"N")&lt;&gt;"N"),FALSE,TRUE)</f>
        <v>#N/A</v>
      </c>
      <c r="AI367" s="1212" t="e">
        <f t="shared" ca="1" si="234"/>
        <v>#N/A</v>
      </c>
      <c r="AJ367" s="1213" t="e">
        <f t="shared" ca="1" si="235"/>
        <v>#N/A</v>
      </c>
      <c r="AK367" s="1587">
        <f t="shared" si="236"/>
        <v>0</v>
      </c>
      <c r="AN367" s="1212" t="e">
        <f t="shared" ca="1" si="237"/>
        <v>#N/A</v>
      </c>
      <c r="AO367" s="1213" t="e">
        <f t="shared" ca="1" si="238"/>
        <v>#N/A</v>
      </c>
      <c r="AP367" s="1587">
        <f t="shared" si="239"/>
        <v>0</v>
      </c>
      <c r="AS367" s="1212" t="e">
        <f t="shared" ca="1" si="240"/>
        <v>#N/A</v>
      </c>
      <c r="AT367" s="1213" t="e">
        <f t="shared" ca="1" si="241"/>
        <v>#N/A</v>
      </c>
      <c r="AU367" s="1587">
        <f t="shared" si="242"/>
        <v>0</v>
      </c>
      <c r="AX367" s="1212" t="e">
        <f t="shared" ca="1" si="243"/>
        <v>#N/A</v>
      </c>
      <c r="AY367" s="1213" t="e">
        <f t="shared" ca="1" si="244"/>
        <v>#N/A</v>
      </c>
      <c r="AZ367" s="1587">
        <f t="shared" si="245"/>
        <v>0</v>
      </c>
      <c r="BC367" s="1212" t="e">
        <f t="shared" ca="1" si="246"/>
        <v>#N/A</v>
      </c>
      <c r="BD367" s="1213" t="e">
        <f t="shared" ca="1" si="247"/>
        <v>#N/A</v>
      </c>
      <c r="BE367" s="1587">
        <f t="shared" si="248"/>
        <v>0</v>
      </c>
      <c r="BH367" s="1212" t="e">
        <f t="shared" ca="1" si="249"/>
        <v>#N/A</v>
      </c>
      <c r="BI367" s="1213" t="e">
        <f t="shared" ca="1" si="250"/>
        <v>#N/A</v>
      </c>
      <c r="BJ367" s="1587">
        <f t="shared" si="251"/>
        <v>0</v>
      </c>
      <c r="BM367" s="1212" t="e">
        <f t="shared" ca="1" si="252"/>
        <v>#N/A</v>
      </c>
      <c r="BN367" s="1213" t="e">
        <f t="shared" ca="1" si="253"/>
        <v>#N/A</v>
      </c>
      <c r="BO367" s="1587">
        <f t="shared" si="254"/>
        <v>0</v>
      </c>
      <c r="BR367" s="1212" t="e">
        <f t="shared" ca="1" si="255"/>
        <v>#N/A</v>
      </c>
      <c r="BS367" s="1213" t="e">
        <f t="shared" ca="1" si="256"/>
        <v>#N/A</v>
      </c>
      <c r="BT367" s="1587">
        <f t="shared" si="257"/>
        <v>0</v>
      </c>
      <c r="BW367" s="1212" t="e">
        <f t="shared" ca="1" si="258"/>
        <v>#N/A</v>
      </c>
      <c r="BX367" s="1213" t="e">
        <f t="shared" ca="1" si="259"/>
        <v>#N/A</v>
      </c>
      <c r="BY367" s="1587">
        <f t="shared" si="260"/>
        <v>0</v>
      </c>
      <c r="CB367" s="1212" t="e">
        <f t="shared" ca="1" si="261"/>
        <v>#N/A</v>
      </c>
      <c r="CC367" s="1213" t="e">
        <f t="shared" ca="1" si="262"/>
        <v>#N/A</v>
      </c>
      <c r="CD367" s="1587">
        <f t="shared" si="263"/>
        <v>0</v>
      </c>
      <c r="CG367" s="1212" t="e">
        <f t="shared" ca="1" si="264"/>
        <v>#N/A</v>
      </c>
      <c r="CH367" s="1213" t="e">
        <f t="shared" ca="1" si="265"/>
        <v>#N/A</v>
      </c>
      <c r="CI367" s="1587">
        <f t="shared" si="266"/>
        <v>0</v>
      </c>
      <c r="CL367" s="1212" t="e">
        <f t="shared" ca="1" si="267"/>
        <v>#N/A</v>
      </c>
      <c r="CM367" s="1213" t="e">
        <f t="shared" ca="1" si="268"/>
        <v>#N/A</v>
      </c>
      <c r="CN367" s="1587">
        <f t="shared" si="269"/>
        <v>0</v>
      </c>
    </row>
    <row r="368" spans="1:92">
      <c r="A368" s="141">
        <f>'銀行-TSS'!A368</f>
        <v>0</v>
      </c>
      <c r="B368" s="151">
        <f ca="1">VLOOKUP(A368,'銀行-TSS'!A:B,2,FALSE)</f>
        <v>0</v>
      </c>
      <c r="C368" s="151" t="e">
        <f ca="1">VLOOKUP(B368,bond!B:C,2,FALSE)</f>
        <v>#N/A</v>
      </c>
      <c r="D368" s="95" t="e">
        <f>VLOOKUP(A368,'銀行-TSS'!A:C,3,FALSE)</f>
        <v>#N/A</v>
      </c>
      <c r="E368" s="90" t="e">
        <f ca="1">VLOOKUP(A368,'銀行-TSS'!A:G,7,FALSE)</f>
        <v>#N/A</v>
      </c>
      <c r="F368" s="202" t="e">
        <f ca="1">VLOOKUP(A368,'銀行-TSS'!A:H,8,FALSE)</f>
        <v>#N/A</v>
      </c>
      <c r="G368" s="96" t="e">
        <f ca="1">VLOOKUP(A368,'銀行-TSS'!A:K,11,FALSE)</f>
        <v>#N/A</v>
      </c>
      <c r="H368" s="1209" t="e">
        <f ca="1">VLOOKUP(A368,'銀行-TSS'!A:M,13,FALSE)</f>
        <v>#N/A</v>
      </c>
      <c r="I368" s="1213" t="e">
        <f ca="1">VLOOKUP(A368,'銀行-TSS'!A:N,14,FALSE)</f>
        <v>#N/A</v>
      </c>
      <c r="J368" s="1213" t="e">
        <f ca="1">VLOOKUP(A368,'銀行-TSS'!A:O,15,FALSE)</f>
        <v>#N/A</v>
      </c>
      <c r="K368" s="136" t="e">
        <f ca="1">VLOOKUP(A368,'銀行-TSS'!A:V,22,FALSE)</f>
        <v>#N/A</v>
      </c>
      <c r="L368" s="136" t="e">
        <f ca="1">VLOOKUP(A368,'銀行-TSS'!A:AK,37,FALSE)</f>
        <v>#N/A</v>
      </c>
      <c r="M368" s="136" t="str">
        <f ca="1">VLOOKUP(A368,'銀行-TSS'!A:AN,40,FALSE)</f>
        <v/>
      </c>
      <c r="N368" s="136" t="e">
        <f t="shared" ca="1" si="225"/>
        <v>#N/A</v>
      </c>
      <c r="O368" s="1213" t="e">
        <f t="shared" ca="1" si="226"/>
        <v>#N/A</v>
      </c>
      <c r="P368" s="1213" t="e">
        <f ca="1">IF(AND($O$1&gt;=O368,換券單檔!$D$13=D368),I368+INT(($O$1-O368)/N368)*J368,0)</f>
        <v>#N/A</v>
      </c>
      <c r="Q368" s="1213" t="e">
        <f t="shared" ca="1" si="227"/>
        <v>#N/A</v>
      </c>
      <c r="R368" s="1213">
        <f t="shared" si="228"/>
        <v>0</v>
      </c>
      <c r="S368" s="1213">
        <f t="shared" si="229"/>
        <v>0</v>
      </c>
      <c r="T368" s="136">
        <f>IF(OR(R368=0,A368=0),0,IF(AND(V368=TRUE,換券單檔!$D$13=D368),E368,0))</f>
        <v>0</v>
      </c>
      <c r="U368" s="861">
        <f>IF(OR(R368=0,A368=0),0,IF(AND(V368=TRUE,換券單檔!$D$13=D368),H368,0))</f>
        <v>0</v>
      </c>
      <c r="V368" s="136" t="e">
        <f ca="1">IF(OR(B368=換券單檔!$D$3,L368="無",M368&lt;&gt;"",K368="高資產",IFERROR(MATCH(B368,換券單檔!K:K,0),"N")&lt;&gt;"N"),FALSE,IF($V$1="All",TRUE,IF(K368=$V$1,TRUE,FALSE)))</f>
        <v>#N/A</v>
      </c>
      <c r="W368" s="136" t="e">
        <f ca="1">VLOOKUP(A368,'銀行-TSS'!A:AO,41,FALSE)</f>
        <v>#N/A</v>
      </c>
      <c r="X368" s="136" t="e">
        <f ca="1">VLOOKUP(A368,'銀行-TSS'!A:AP,42,FALSE)</f>
        <v>#N/A</v>
      </c>
      <c r="Y368" s="1220">
        <f t="shared" si="230"/>
        <v>0</v>
      </c>
      <c r="Z368" s="1220">
        <f t="shared" si="231"/>
        <v>0</v>
      </c>
      <c r="AA368" s="136">
        <f>IF(Z368&lt;=0,0,RANK(Z368,Z:Z)+COUNTIF($Z$3:$Z368,Z368)-1)</f>
        <v>0</v>
      </c>
      <c r="AB368" s="1211">
        <f t="shared" ca="1" si="232"/>
        <v>-14896.14</v>
      </c>
      <c r="AC368" s="136">
        <f ca="1">IF(AB368&lt;=0,0,RANK(AB368,AB:AB)+COUNTIF($AB$3:$AB368,AB368)-1)</f>
        <v>0</v>
      </c>
      <c r="AD368" s="1123">
        <f t="shared" si="233"/>
        <v>99999</v>
      </c>
      <c r="AE368" s="1123">
        <f>IF(AD368=99999,0,RANK(AD368,AD:AD,1)+COUNTIF($AD$3:$AD368,AD368)-1)</f>
        <v>0</v>
      </c>
      <c r="AF368" s="86" t="e">
        <f ca="1">IF(OR(M368&lt;&gt;"",L368="無",K368="高資產",IFERROR(MATCH(B368,換券單檔!K:K,0),"N")&lt;&gt;"N"),FALSE,TRUE)</f>
        <v>#N/A</v>
      </c>
      <c r="AI368" s="1212" t="e">
        <f t="shared" ca="1" si="234"/>
        <v>#N/A</v>
      </c>
      <c r="AJ368" s="1213" t="e">
        <f t="shared" ca="1" si="235"/>
        <v>#N/A</v>
      </c>
      <c r="AK368" s="1587">
        <f t="shared" si="236"/>
        <v>0</v>
      </c>
      <c r="AN368" s="1212" t="e">
        <f t="shared" ca="1" si="237"/>
        <v>#N/A</v>
      </c>
      <c r="AO368" s="1213" t="e">
        <f t="shared" ca="1" si="238"/>
        <v>#N/A</v>
      </c>
      <c r="AP368" s="1587">
        <f t="shared" si="239"/>
        <v>0</v>
      </c>
      <c r="AS368" s="1212" t="e">
        <f t="shared" ca="1" si="240"/>
        <v>#N/A</v>
      </c>
      <c r="AT368" s="1213" t="e">
        <f t="shared" ca="1" si="241"/>
        <v>#N/A</v>
      </c>
      <c r="AU368" s="1587">
        <f t="shared" si="242"/>
        <v>0</v>
      </c>
      <c r="AX368" s="1212" t="e">
        <f t="shared" ca="1" si="243"/>
        <v>#N/A</v>
      </c>
      <c r="AY368" s="1213" t="e">
        <f t="shared" ca="1" si="244"/>
        <v>#N/A</v>
      </c>
      <c r="AZ368" s="1587">
        <f t="shared" si="245"/>
        <v>0</v>
      </c>
      <c r="BC368" s="1212" t="e">
        <f t="shared" ca="1" si="246"/>
        <v>#N/A</v>
      </c>
      <c r="BD368" s="1213" t="e">
        <f t="shared" ca="1" si="247"/>
        <v>#N/A</v>
      </c>
      <c r="BE368" s="1587">
        <f t="shared" si="248"/>
        <v>0</v>
      </c>
      <c r="BH368" s="1212" t="e">
        <f t="shared" ca="1" si="249"/>
        <v>#N/A</v>
      </c>
      <c r="BI368" s="1213" t="e">
        <f t="shared" ca="1" si="250"/>
        <v>#N/A</v>
      </c>
      <c r="BJ368" s="1587">
        <f t="shared" si="251"/>
        <v>0</v>
      </c>
      <c r="BM368" s="1212" t="e">
        <f t="shared" ca="1" si="252"/>
        <v>#N/A</v>
      </c>
      <c r="BN368" s="1213" t="e">
        <f t="shared" ca="1" si="253"/>
        <v>#N/A</v>
      </c>
      <c r="BO368" s="1587">
        <f t="shared" si="254"/>
        <v>0</v>
      </c>
      <c r="BR368" s="1212" t="e">
        <f t="shared" ca="1" si="255"/>
        <v>#N/A</v>
      </c>
      <c r="BS368" s="1213" t="e">
        <f t="shared" ca="1" si="256"/>
        <v>#N/A</v>
      </c>
      <c r="BT368" s="1587">
        <f t="shared" si="257"/>
        <v>0</v>
      </c>
      <c r="BW368" s="1212" t="e">
        <f t="shared" ca="1" si="258"/>
        <v>#N/A</v>
      </c>
      <c r="BX368" s="1213" t="e">
        <f t="shared" ca="1" si="259"/>
        <v>#N/A</v>
      </c>
      <c r="BY368" s="1587">
        <f t="shared" si="260"/>
        <v>0</v>
      </c>
      <c r="CB368" s="1212" t="e">
        <f t="shared" ca="1" si="261"/>
        <v>#N/A</v>
      </c>
      <c r="CC368" s="1213" t="e">
        <f t="shared" ca="1" si="262"/>
        <v>#N/A</v>
      </c>
      <c r="CD368" s="1587">
        <f t="shared" si="263"/>
        <v>0</v>
      </c>
      <c r="CG368" s="1212" t="e">
        <f t="shared" ca="1" si="264"/>
        <v>#N/A</v>
      </c>
      <c r="CH368" s="1213" t="e">
        <f t="shared" ca="1" si="265"/>
        <v>#N/A</v>
      </c>
      <c r="CI368" s="1587">
        <f t="shared" si="266"/>
        <v>0</v>
      </c>
      <c r="CL368" s="1212" t="e">
        <f t="shared" ca="1" si="267"/>
        <v>#N/A</v>
      </c>
      <c r="CM368" s="1213" t="e">
        <f t="shared" ca="1" si="268"/>
        <v>#N/A</v>
      </c>
      <c r="CN368" s="1587">
        <f t="shared" si="269"/>
        <v>0</v>
      </c>
    </row>
    <row r="369" spans="1:92">
      <c r="A369" s="141">
        <f>'銀行-TSS'!A369</f>
        <v>0</v>
      </c>
      <c r="B369" s="151">
        <f ca="1">VLOOKUP(A369,'銀行-TSS'!A:B,2,FALSE)</f>
        <v>0</v>
      </c>
      <c r="C369" s="151" t="e">
        <f ca="1">VLOOKUP(B369,bond!B:C,2,FALSE)</f>
        <v>#N/A</v>
      </c>
      <c r="D369" s="95" t="e">
        <f>VLOOKUP(A369,'銀行-TSS'!A:C,3,FALSE)</f>
        <v>#N/A</v>
      </c>
      <c r="E369" s="90" t="e">
        <f ca="1">VLOOKUP(A369,'銀行-TSS'!A:G,7,FALSE)</f>
        <v>#N/A</v>
      </c>
      <c r="F369" s="202" t="e">
        <f ca="1">VLOOKUP(A369,'銀行-TSS'!A:H,8,FALSE)</f>
        <v>#N/A</v>
      </c>
      <c r="G369" s="96" t="e">
        <f ca="1">VLOOKUP(A369,'銀行-TSS'!A:K,11,FALSE)</f>
        <v>#N/A</v>
      </c>
      <c r="H369" s="1209" t="e">
        <f ca="1">VLOOKUP(A369,'銀行-TSS'!A:M,13,FALSE)</f>
        <v>#N/A</v>
      </c>
      <c r="I369" s="1213" t="e">
        <f ca="1">VLOOKUP(A369,'銀行-TSS'!A:N,14,FALSE)</f>
        <v>#N/A</v>
      </c>
      <c r="J369" s="1213" t="e">
        <f ca="1">VLOOKUP(A369,'銀行-TSS'!A:O,15,FALSE)</f>
        <v>#N/A</v>
      </c>
      <c r="K369" s="136" t="e">
        <f ca="1">VLOOKUP(A369,'銀行-TSS'!A:V,22,FALSE)</f>
        <v>#N/A</v>
      </c>
      <c r="L369" s="136" t="e">
        <f ca="1">VLOOKUP(A369,'銀行-TSS'!A:AK,37,FALSE)</f>
        <v>#N/A</v>
      </c>
      <c r="M369" s="136" t="str">
        <f ca="1">VLOOKUP(A369,'銀行-TSS'!A:AN,40,FALSE)</f>
        <v/>
      </c>
      <c r="N369" s="136" t="e">
        <f t="shared" ca="1" si="225"/>
        <v>#N/A</v>
      </c>
      <c r="O369" s="1213" t="e">
        <f t="shared" ca="1" si="226"/>
        <v>#N/A</v>
      </c>
      <c r="P369" s="1213" t="e">
        <f ca="1">IF(AND($O$1&gt;=O369,換券單檔!$D$13=D369),I369+INT(($O$1-O369)/N369)*J369,0)</f>
        <v>#N/A</v>
      </c>
      <c r="Q369" s="1213" t="e">
        <f t="shared" ca="1" si="227"/>
        <v>#N/A</v>
      </c>
      <c r="R369" s="1213">
        <f t="shared" si="228"/>
        <v>0</v>
      </c>
      <c r="S369" s="1213">
        <f t="shared" si="229"/>
        <v>0</v>
      </c>
      <c r="T369" s="136">
        <f>IF(OR(R369=0,A369=0),0,IF(AND(V369=TRUE,換券單檔!$D$13=D369),E369,0))</f>
        <v>0</v>
      </c>
      <c r="U369" s="861">
        <f>IF(OR(R369=0,A369=0),0,IF(AND(V369=TRUE,換券單檔!$D$13=D369),H369,0))</f>
        <v>0</v>
      </c>
      <c r="V369" s="136" t="e">
        <f ca="1">IF(OR(B369=換券單檔!$D$3,L369="無",M369&lt;&gt;"",K369="高資產",IFERROR(MATCH(B369,換券單檔!K:K,0),"N")&lt;&gt;"N"),FALSE,IF($V$1="All",TRUE,IF(K369=$V$1,TRUE,FALSE)))</f>
        <v>#N/A</v>
      </c>
      <c r="W369" s="136" t="e">
        <f ca="1">VLOOKUP(A369,'銀行-TSS'!A:AO,41,FALSE)</f>
        <v>#N/A</v>
      </c>
      <c r="X369" s="136" t="e">
        <f ca="1">VLOOKUP(A369,'銀行-TSS'!A:AP,42,FALSE)</f>
        <v>#N/A</v>
      </c>
      <c r="Y369" s="1220">
        <f t="shared" si="230"/>
        <v>0</v>
      </c>
      <c r="Z369" s="1220">
        <f t="shared" si="231"/>
        <v>0</v>
      </c>
      <c r="AA369" s="136">
        <f>IF(Z369&lt;=0,0,RANK(Z369,Z:Z)+COUNTIF($Z$3:$Z369,Z369)-1)</f>
        <v>0</v>
      </c>
      <c r="AB369" s="1211">
        <f t="shared" ca="1" si="232"/>
        <v>-14896.14</v>
      </c>
      <c r="AC369" s="136">
        <f ca="1">IF(AB369&lt;=0,0,RANK(AB369,AB:AB)+COUNTIF($AB$3:$AB369,AB369)-1)</f>
        <v>0</v>
      </c>
      <c r="AD369" s="1123">
        <f t="shared" si="233"/>
        <v>99999</v>
      </c>
      <c r="AE369" s="1123">
        <f>IF(AD369=99999,0,RANK(AD369,AD:AD,1)+COUNTIF($AD$3:$AD369,AD369)-1)</f>
        <v>0</v>
      </c>
      <c r="AF369" s="86" t="e">
        <f ca="1">IF(OR(M369&lt;&gt;"",L369="無",K369="高資產",IFERROR(MATCH(B369,換券單檔!K:K,0),"N")&lt;&gt;"N"),FALSE,TRUE)</f>
        <v>#N/A</v>
      </c>
      <c r="AI369" s="1212" t="e">
        <f t="shared" ca="1" si="234"/>
        <v>#N/A</v>
      </c>
      <c r="AJ369" s="1213" t="e">
        <f t="shared" ca="1" si="235"/>
        <v>#N/A</v>
      </c>
      <c r="AK369" s="1587">
        <f t="shared" si="236"/>
        <v>0</v>
      </c>
      <c r="AN369" s="1212" t="e">
        <f t="shared" ca="1" si="237"/>
        <v>#N/A</v>
      </c>
      <c r="AO369" s="1213" t="e">
        <f t="shared" ca="1" si="238"/>
        <v>#N/A</v>
      </c>
      <c r="AP369" s="1587">
        <f t="shared" si="239"/>
        <v>0</v>
      </c>
      <c r="AS369" s="1212" t="e">
        <f t="shared" ca="1" si="240"/>
        <v>#N/A</v>
      </c>
      <c r="AT369" s="1213" t="e">
        <f t="shared" ca="1" si="241"/>
        <v>#N/A</v>
      </c>
      <c r="AU369" s="1587">
        <f t="shared" si="242"/>
        <v>0</v>
      </c>
      <c r="AX369" s="1212" t="e">
        <f t="shared" ca="1" si="243"/>
        <v>#N/A</v>
      </c>
      <c r="AY369" s="1213" t="e">
        <f t="shared" ca="1" si="244"/>
        <v>#N/A</v>
      </c>
      <c r="AZ369" s="1587">
        <f t="shared" si="245"/>
        <v>0</v>
      </c>
      <c r="BC369" s="1212" t="e">
        <f t="shared" ca="1" si="246"/>
        <v>#N/A</v>
      </c>
      <c r="BD369" s="1213" t="e">
        <f t="shared" ca="1" si="247"/>
        <v>#N/A</v>
      </c>
      <c r="BE369" s="1587">
        <f t="shared" si="248"/>
        <v>0</v>
      </c>
      <c r="BH369" s="1212" t="e">
        <f t="shared" ca="1" si="249"/>
        <v>#N/A</v>
      </c>
      <c r="BI369" s="1213" t="e">
        <f t="shared" ca="1" si="250"/>
        <v>#N/A</v>
      </c>
      <c r="BJ369" s="1587">
        <f t="shared" si="251"/>
        <v>0</v>
      </c>
      <c r="BM369" s="1212" t="e">
        <f t="shared" ca="1" si="252"/>
        <v>#N/A</v>
      </c>
      <c r="BN369" s="1213" t="e">
        <f t="shared" ca="1" si="253"/>
        <v>#N/A</v>
      </c>
      <c r="BO369" s="1587">
        <f t="shared" si="254"/>
        <v>0</v>
      </c>
      <c r="BR369" s="1212" t="e">
        <f t="shared" ca="1" si="255"/>
        <v>#N/A</v>
      </c>
      <c r="BS369" s="1213" t="e">
        <f t="shared" ca="1" si="256"/>
        <v>#N/A</v>
      </c>
      <c r="BT369" s="1587">
        <f t="shared" si="257"/>
        <v>0</v>
      </c>
      <c r="BW369" s="1212" t="e">
        <f t="shared" ca="1" si="258"/>
        <v>#N/A</v>
      </c>
      <c r="BX369" s="1213" t="e">
        <f t="shared" ca="1" si="259"/>
        <v>#N/A</v>
      </c>
      <c r="BY369" s="1587">
        <f t="shared" si="260"/>
        <v>0</v>
      </c>
      <c r="CB369" s="1212" t="e">
        <f t="shared" ca="1" si="261"/>
        <v>#N/A</v>
      </c>
      <c r="CC369" s="1213" t="e">
        <f t="shared" ca="1" si="262"/>
        <v>#N/A</v>
      </c>
      <c r="CD369" s="1587">
        <f t="shared" si="263"/>
        <v>0</v>
      </c>
      <c r="CG369" s="1212" t="e">
        <f t="shared" ca="1" si="264"/>
        <v>#N/A</v>
      </c>
      <c r="CH369" s="1213" t="e">
        <f t="shared" ca="1" si="265"/>
        <v>#N/A</v>
      </c>
      <c r="CI369" s="1587">
        <f t="shared" si="266"/>
        <v>0</v>
      </c>
      <c r="CL369" s="1212" t="e">
        <f t="shared" ca="1" si="267"/>
        <v>#N/A</v>
      </c>
      <c r="CM369" s="1213" t="e">
        <f t="shared" ca="1" si="268"/>
        <v>#N/A</v>
      </c>
      <c r="CN369" s="1587">
        <f t="shared" si="269"/>
        <v>0</v>
      </c>
    </row>
    <row r="370" spans="1:92">
      <c r="A370" s="141">
        <f>'銀行-TSS'!A370</f>
        <v>0</v>
      </c>
      <c r="B370" s="151">
        <f ca="1">VLOOKUP(A370,'銀行-TSS'!A:B,2,FALSE)</f>
        <v>0</v>
      </c>
      <c r="C370" s="151" t="e">
        <f ca="1">VLOOKUP(B370,bond!B:C,2,FALSE)</f>
        <v>#N/A</v>
      </c>
      <c r="D370" s="95" t="e">
        <f>VLOOKUP(A370,'銀行-TSS'!A:C,3,FALSE)</f>
        <v>#N/A</v>
      </c>
      <c r="E370" s="90" t="e">
        <f ca="1">VLOOKUP(A370,'銀行-TSS'!A:G,7,FALSE)</f>
        <v>#N/A</v>
      </c>
      <c r="F370" s="202" t="e">
        <f ca="1">VLOOKUP(A370,'銀行-TSS'!A:H,8,FALSE)</f>
        <v>#N/A</v>
      </c>
      <c r="G370" s="96" t="e">
        <f ca="1">VLOOKUP(A370,'銀行-TSS'!A:K,11,FALSE)</f>
        <v>#N/A</v>
      </c>
      <c r="H370" s="1209" t="e">
        <f ca="1">VLOOKUP(A370,'銀行-TSS'!A:M,13,FALSE)</f>
        <v>#N/A</v>
      </c>
      <c r="I370" s="1213" t="e">
        <f ca="1">VLOOKUP(A370,'銀行-TSS'!A:N,14,FALSE)</f>
        <v>#N/A</v>
      </c>
      <c r="J370" s="1213" t="e">
        <f ca="1">VLOOKUP(A370,'銀行-TSS'!A:O,15,FALSE)</f>
        <v>#N/A</v>
      </c>
      <c r="K370" s="136" t="e">
        <f ca="1">VLOOKUP(A370,'銀行-TSS'!A:V,22,FALSE)</f>
        <v>#N/A</v>
      </c>
      <c r="L370" s="136" t="e">
        <f ca="1">VLOOKUP(A370,'銀行-TSS'!A:AK,37,FALSE)</f>
        <v>#N/A</v>
      </c>
      <c r="M370" s="136" t="str">
        <f ca="1">VLOOKUP(A370,'銀行-TSS'!A:AN,40,FALSE)</f>
        <v/>
      </c>
      <c r="N370" s="136" t="e">
        <f t="shared" ca="1" si="225"/>
        <v>#N/A</v>
      </c>
      <c r="O370" s="1213" t="e">
        <f t="shared" ca="1" si="226"/>
        <v>#N/A</v>
      </c>
      <c r="P370" s="1213" t="e">
        <f ca="1">IF(AND($O$1&gt;=O370,換券單檔!$D$13=D370),I370+INT(($O$1-O370)/N370)*J370,0)</f>
        <v>#N/A</v>
      </c>
      <c r="Q370" s="1213" t="e">
        <f t="shared" ca="1" si="227"/>
        <v>#N/A</v>
      </c>
      <c r="R370" s="1213">
        <f t="shared" si="228"/>
        <v>0</v>
      </c>
      <c r="S370" s="1213">
        <f t="shared" si="229"/>
        <v>0</v>
      </c>
      <c r="T370" s="136">
        <f>IF(OR(R370=0,A370=0),0,IF(AND(V370=TRUE,換券單檔!$D$13=D370),E370,0))</f>
        <v>0</v>
      </c>
      <c r="U370" s="861">
        <f>IF(OR(R370=0,A370=0),0,IF(AND(V370=TRUE,換券單檔!$D$13=D370),H370,0))</f>
        <v>0</v>
      </c>
      <c r="V370" s="136" t="e">
        <f ca="1">IF(OR(B370=換券單檔!$D$3,L370="無",M370&lt;&gt;"",K370="高資產",IFERROR(MATCH(B370,換券單檔!K:K,0),"N")&lt;&gt;"N"),FALSE,IF($V$1="All",TRUE,IF(K370=$V$1,TRUE,FALSE)))</f>
        <v>#N/A</v>
      </c>
      <c r="W370" s="136" t="e">
        <f ca="1">VLOOKUP(A370,'銀行-TSS'!A:AO,41,FALSE)</f>
        <v>#N/A</v>
      </c>
      <c r="X370" s="136" t="e">
        <f ca="1">VLOOKUP(A370,'銀行-TSS'!A:AP,42,FALSE)</f>
        <v>#N/A</v>
      </c>
      <c r="Y370" s="1220">
        <f t="shared" si="230"/>
        <v>0</v>
      </c>
      <c r="Z370" s="1220">
        <f t="shared" si="231"/>
        <v>0</v>
      </c>
      <c r="AA370" s="136">
        <f>IF(Z370&lt;=0,0,RANK(Z370,Z:Z)+COUNTIF($Z$3:$Z370,Z370)-1)</f>
        <v>0</v>
      </c>
      <c r="AB370" s="1211">
        <f t="shared" ca="1" si="232"/>
        <v>-14896.14</v>
      </c>
      <c r="AC370" s="136">
        <f ca="1">IF(AB370&lt;=0,0,RANK(AB370,AB:AB)+COUNTIF($AB$3:$AB370,AB370)-1)</f>
        <v>0</v>
      </c>
      <c r="AD370" s="1123">
        <f t="shared" si="233"/>
        <v>99999</v>
      </c>
      <c r="AE370" s="1123">
        <f>IF(AD370=99999,0,RANK(AD370,AD:AD,1)+COUNTIF($AD$3:$AD370,AD370)-1)</f>
        <v>0</v>
      </c>
      <c r="AF370" s="86" t="e">
        <f ca="1">IF(OR(M370&lt;&gt;"",L370="無",K370="高資產",IFERROR(MATCH(B370,換券單檔!K:K,0),"N")&lt;&gt;"N"),FALSE,TRUE)</f>
        <v>#N/A</v>
      </c>
      <c r="AI370" s="1212" t="e">
        <f t="shared" ca="1" si="234"/>
        <v>#N/A</v>
      </c>
      <c r="AJ370" s="1213" t="e">
        <f t="shared" ca="1" si="235"/>
        <v>#N/A</v>
      </c>
      <c r="AK370" s="1587">
        <f t="shared" si="236"/>
        <v>0</v>
      </c>
      <c r="AN370" s="1212" t="e">
        <f t="shared" ca="1" si="237"/>
        <v>#N/A</v>
      </c>
      <c r="AO370" s="1213" t="e">
        <f t="shared" ca="1" si="238"/>
        <v>#N/A</v>
      </c>
      <c r="AP370" s="1587">
        <f t="shared" si="239"/>
        <v>0</v>
      </c>
      <c r="AS370" s="1212" t="e">
        <f t="shared" ca="1" si="240"/>
        <v>#N/A</v>
      </c>
      <c r="AT370" s="1213" t="e">
        <f t="shared" ca="1" si="241"/>
        <v>#N/A</v>
      </c>
      <c r="AU370" s="1587">
        <f t="shared" si="242"/>
        <v>0</v>
      </c>
      <c r="AX370" s="1212" t="e">
        <f t="shared" ca="1" si="243"/>
        <v>#N/A</v>
      </c>
      <c r="AY370" s="1213" t="e">
        <f t="shared" ca="1" si="244"/>
        <v>#N/A</v>
      </c>
      <c r="AZ370" s="1587">
        <f t="shared" si="245"/>
        <v>0</v>
      </c>
      <c r="BC370" s="1212" t="e">
        <f t="shared" ca="1" si="246"/>
        <v>#N/A</v>
      </c>
      <c r="BD370" s="1213" t="e">
        <f t="shared" ca="1" si="247"/>
        <v>#N/A</v>
      </c>
      <c r="BE370" s="1587">
        <f t="shared" si="248"/>
        <v>0</v>
      </c>
      <c r="BH370" s="1212" t="e">
        <f t="shared" ca="1" si="249"/>
        <v>#N/A</v>
      </c>
      <c r="BI370" s="1213" t="e">
        <f t="shared" ca="1" si="250"/>
        <v>#N/A</v>
      </c>
      <c r="BJ370" s="1587">
        <f t="shared" si="251"/>
        <v>0</v>
      </c>
      <c r="BM370" s="1212" t="e">
        <f t="shared" ca="1" si="252"/>
        <v>#N/A</v>
      </c>
      <c r="BN370" s="1213" t="e">
        <f t="shared" ca="1" si="253"/>
        <v>#N/A</v>
      </c>
      <c r="BO370" s="1587">
        <f t="shared" si="254"/>
        <v>0</v>
      </c>
      <c r="BR370" s="1212" t="e">
        <f t="shared" ca="1" si="255"/>
        <v>#N/A</v>
      </c>
      <c r="BS370" s="1213" t="e">
        <f t="shared" ca="1" si="256"/>
        <v>#N/A</v>
      </c>
      <c r="BT370" s="1587">
        <f t="shared" si="257"/>
        <v>0</v>
      </c>
      <c r="BW370" s="1212" t="e">
        <f t="shared" ca="1" si="258"/>
        <v>#N/A</v>
      </c>
      <c r="BX370" s="1213" t="e">
        <f t="shared" ca="1" si="259"/>
        <v>#N/A</v>
      </c>
      <c r="BY370" s="1587">
        <f t="shared" si="260"/>
        <v>0</v>
      </c>
      <c r="CB370" s="1212" t="e">
        <f t="shared" ca="1" si="261"/>
        <v>#N/A</v>
      </c>
      <c r="CC370" s="1213" t="e">
        <f t="shared" ca="1" si="262"/>
        <v>#N/A</v>
      </c>
      <c r="CD370" s="1587">
        <f t="shared" si="263"/>
        <v>0</v>
      </c>
      <c r="CG370" s="1212" t="e">
        <f t="shared" ca="1" si="264"/>
        <v>#N/A</v>
      </c>
      <c r="CH370" s="1213" t="e">
        <f t="shared" ca="1" si="265"/>
        <v>#N/A</v>
      </c>
      <c r="CI370" s="1587">
        <f t="shared" si="266"/>
        <v>0</v>
      </c>
      <c r="CL370" s="1212" t="e">
        <f t="shared" ca="1" si="267"/>
        <v>#N/A</v>
      </c>
      <c r="CM370" s="1213" t="e">
        <f t="shared" ca="1" si="268"/>
        <v>#N/A</v>
      </c>
      <c r="CN370" s="1587">
        <f t="shared" si="269"/>
        <v>0</v>
      </c>
    </row>
    <row r="371" spans="1:92">
      <c r="A371" s="141">
        <f>'銀行-TSS'!A371</f>
        <v>0</v>
      </c>
      <c r="B371" s="151">
        <f ca="1">VLOOKUP(A371,'銀行-TSS'!A:B,2,FALSE)</f>
        <v>0</v>
      </c>
      <c r="C371" s="151" t="e">
        <f ca="1">VLOOKUP(B371,bond!B:C,2,FALSE)</f>
        <v>#N/A</v>
      </c>
      <c r="D371" s="95" t="e">
        <f>VLOOKUP(A371,'銀行-TSS'!A:C,3,FALSE)</f>
        <v>#N/A</v>
      </c>
      <c r="E371" s="90" t="e">
        <f ca="1">VLOOKUP(A371,'銀行-TSS'!A:G,7,FALSE)</f>
        <v>#N/A</v>
      </c>
      <c r="F371" s="202" t="e">
        <f ca="1">VLOOKUP(A371,'銀行-TSS'!A:H,8,FALSE)</f>
        <v>#N/A</v>
      </c>
      <c r="G371" s="96" t="e">
        <f ca="1">VLOOKUP(A371,'銀行-TSS'!A:K,11,FALSE)</f>
        <v>#N/A</v>
      </c>
      <c r="H371" s="1209" t="e">
        <f ca="1">VLOOKUP(A371,'銀行-TSS'!A:M,13,FALSE)</f>
        <v>#N/A</v>
      </c>
      <c r="I371" s="1213" t="e">
        <f ca="1">VLOOKUP(A371,'銀行-TSS'!A:N,14,FALSE)</f>
        <v>#N/A</v>
      </c>
      <c r="J371" s="1213" t="e">
        <f ca="1">VLOOKUP(A371,'銀行-TSS'!A:O,15,FALSE)</f>
        <v>#N/A</v>
      </c>
      <c r="K371" s="136" t="e">
        <f ca="1">VLOOKUP(A371,'銀行-TSS'!A:V,22,FALSE)</f>
        <v>#N/A</v>
      </c>
      <c r="L371" s="136" t="e">
        <f ca="1">VLOOKUP(A371,'銀行-TSS'!A:AK,37,FALSE)</f>
        <v>#N/A</v>
      </c>
      <c r="M371" s="136" t="str">
        <f ca="1">VLOOKUP(A371,'銀行-TSS'!A:AN,40,FALSE)</f>
        <v/>
      </c>
      <c r="N371" s="136" t="e">
        <f t="shared" ca="1" si="225"/>
        <v>#N/A</v>
      </c>
      <c r="O371" s="1213" t="e">
        <f t="shared" ca="1" si="226"/>
        <v>#N/A</v>
      </c>
      <c r="P371" s="1213" t="e">
        <f ca="1">IF(AND($O$1&gt;=O371,換券單檔!$D$13=D371),I371+INT(($O$1-O371)/N371)*J371,0)</f>
        <v>#N/A</v>
      </c>
      <c r="Q371" s="1213" t="e">
        <f t="shared" ca="1" si="227"/>
        <v>#N/A</v>
      </c>
      <c r="R371" s="1213">
        <f t="shared" si="228"/>
        <v>0</v>
      </c>
      <c r="S371" s="1213">
        <f t="shared" si="229"/>
        <v>0</v>
      </c>
      <c r="T371" s="136">
        <f>IF(OR(R371=0,A371=0),0,IF(AND(V371=TRUE,換券單檔!$D$13=D371),E371,0))</f>
        <v>0</v>
      </c>
      <c r="U371" s="861">
        <f>IF(OR(R371=0,A371=0),0,IF(AND(V371=TRUE,換券單檔!$D$13=D371),H371,0))</f>
        <v>0</v>
      </c>
      <c r="V371" s="136" t="e">
        <f ca="1">IF(OR(B371=換券單檔!$D$3,L371="無",M371&lt;&gt;"",K371="高資產",IFERROR(MATCH(B371,換券單檔!K:K,0),"N")&lt;&gt;"N"),FALSE,IF($V$1="All",TRUE,IF(K371=$V$1,TRUE,FALSE)))</f>
        <v>#N/A</v>
      </c>
      <c r="W371" s="136" t="e">
        <f ca="1">VLOOKUP(A371,'銀行-TSS'!A:AO,41,FALSE)</f>
        <v>#N/A</v>
      </c>
      <c r="X371" s="136" t="e">
        <f ca="1">VLOOKUP(A371,'銀行-TSS'!A:AP,42,FALSE)</f>
        <v>#N/A</v>
      </c>
      <c r="Y371" s="1220">
        <f t="shared" si="230"/>
        <v>0</v>
      </c>
      <c r="Z371" s="1220">
        <f t="shared" si="231"/>
        <v>0</v>
      </c>
      <c r="AA371" s="136">
        <f>IF(Z371&lt;=0,0,RANK(Z371,Z:Z)+COUNTIF($Z$3:$Z371,Z371)-1)</f>
        <v>0</v>
      </c>
      <c r="AB371" s="1211">
        <f t="shared" ca="1" si="232"/>
        <v>-14896.14</v>
      </c>
      <c r="AC371" s="136">
        <f ca="1">IF(AB371&lt;=0,0,RANK(AB371,AB:AB)+COUNTIF($AB$3:$AB371,AB371)-1)</f>
        <v>0</v>
      </c>
      <c r="AD371" s="1123">
        <f t="shared" si="233"/>
        <v>99999</v>
      </c>
      <c r="AE371" s="1123">
        <f>IF(AD371=99999,0,RANK(AD371,AD:AD,1)+COUNTIF($AD$3:$AD371,AD371)-1)</f>
        <v>0</v>
      </c>
      <c r="AF371" s="86" t="e">
        <f ca="1">IF(OR(M371&lt;&gt;"",L371="無",K371="高資產",IFERROR(MATCH(B371,換券單檔!K:K,0),"N")&lt;&gt;"N"),FALSE,TRUE)</f>
        <v>#N/A</v>
      </c>
      <c r="AI371" s="1212" t="e">
        <f t="shared" ca="1" si="234"/>
        <v>#N/A</v>
      </c>
      <c r="AJ371" s="1213" t="e">
        <f t="shared" ca="1" si="235"/>
        <v>#N/A</v>
      </c>
      <c r="AK371" s="1587">
        <f t="shared" si="236"/>
        <v>0</v>
      </c>
      <c r="AN371" s="1212" t="e">
        <f t="shared" ca="1" si="237"/>
        <v>#N/A</v>
      </c>
      <c r="AO371" s="1213" t="e">
        <f t="shared" ca="1" si="238"/>
        <v>#N/A</v>
      </c>
      <c r="AP371" s="1587">
        <f t="shared" si="239"/>
        <v>0</v>
      </c>
      <c r="AS371" s="1212" t="e">
        <f t="shared" ca="1" si="240"/>
        <v>#N/A</v>
      </c>
      <c r="AT371" s="1213" t="e">
        <f t="shared" ca="1" si="241"/>
        <v>#N/A</v>
      </c>
      <c r="AU371" s="1587">
        <f t="shared" si="242"/>
        <v>0</v>
      </c>
      <c r="AX371" s="1212" t="e">
        <f t="shared" ca="1" si="243"/>
        <v>#N/A</v>
      </c>
      <c r="AY371" s="1213" t="e">
        <f t="shared" ca="1" si="244"/>
        <v>#N/A</v>
      </c>
      <c r="AZ371" s="1587">
        <f t="shared" si="245"/>
        <v>0</v>
      </c>
      <c r="BC371" s="1212" t="e">
        <f t="shared" ca="1" si="246"/>
        <v>#N/A</v>
      </c>
      <c r="BD371" s="1213" t="e">
        <f t="shared" ca="1" si="247"/>
        <v>#N/A</v>
      </c>
      <c r="BE371" s="1587">
        <f t="shared" si="248"/>
        <v>0</v>
      </c>
      <c r="BH371" s="1212" t="e">
        <f t="shared" ca="1" si="249"/>
        <v>#N/A</v>
      </c>
      <c r="BI371" s="1213" t="e">
        <f t="shared" ca="1" si="250"/>
        <v>#N/A</v>
      </c>
      <c r="BJ371" s="1587">
        <f t="shared" si="251"/>
        <v>0</v>
      </c>
      <c r="BM371" s="1212" t="e">
        <f t="shared" ca="1" si="252"/>
        <v>#N/A</v>
      </c>
      <c r="BN371" s="1213" t="e">
        <f t="shared" ca="1" si="253"/>
        <v>#N/A</v>
      </c>
      <c r="BO371" s="1587">
        <f t="shared" si="254"/>
        <v>0</v>
      </c>
      <c r="BR371" s="1212" t="e">
        <f t="shared" ca="1" si="255"/>
        <v>#N/A</v>
      </c>
      <c r="BS371" s="1213" t="e">
        <f t="shared" ca="1" si="256"/>
        <v>#N/A</v>
      </c>
      <c r="BT371" s="1587">
        <f t="shared" si="257"/>
        <v>0</v>
      </c>
      <c r="BW371" s="1212" t="e">
        <f t="shared" ca="1" si="258"/>
        <v>#N/A</v>
      </c>
      <c r="BX371" s="1213" t="e">
        <f t="shared" ca="1" si="259"/>
        <v>#N/A</v>
      </c>
      <c r="BY371" s="1587">
        <f t="shared" si="260"/>
        <v>0</v>
      </c>
      <c r="CB371" s="1212" t="e">
        <f t="shared" ca="1" si="261"/>
        <v>#N/A</v>
      </c>
      <c r="CC371" s="1213" t="e">
        <f t="shared" ca="1" si="262"/>
        <v>#N/A</v>
      </c>
      <c r="CD371" s="1587">
        <f t="shared" si="263"/>
        <v>0</v>
      </c>
      <c r="CG371" s="1212" t="e">
        <f t="shared" ca="1" si="264"/>
        <v>#N/A</v>
      </c>
      <c r="CH371" s="1213" t="e">
        <f t="shared" ca="1" si="265"/>
        <v>#N/A</v>
      </c>
      <c r="CI371" s="1587">
        <f t="shared" si="266"/>
        <v>0</v>
      </c>
      <c r="CL371" s="1212" t="e">
        <f t="shared" ca="1" si="267"/>
        <v>#N/A</v>
      </c>
      <c r="CM371" s="1213" t="e">
        <f t="shared" ca="1" si="268"/>
        <v>#N/A</v>
      </c>
      <c r="CN371" s="1587">
        <f t="shared" si="269"/>
        <v>0</v>
      </c>
    </row>
    <row r="372" spans="1:92">
      <c r="A372" s="141">
        <f>'銀行-TSS'!A372</f>
        <v>0</v>
      </c>
      <c r="B372" s="151">
        <f ca="1">VLOOKUP(A372,'銀行-TSS'!A:B,2,FALSE)</f>
        <v>0</v>
      </c>
      <c r="C372" s="151" t="e">
        <f ca="1">VLOOKUP(B372,bond!B:C,2,FALSE)</f>
        <v>#N/A</v>
      </c>
      <c r="D372" s="95" t="e">
        <f>VLOOKUP(A372,'銀行-TSS'!A:C,3,FALSE)</f>
        <v>#N/A</v>
      </c>
      <c r="E372" s="90" t="e">
        <f ca="1">VLOOKUP(A372,'銀行-TSS'!A:G,7,FALSE)</f>
        <v>#N/A</v>
      </c>
      <c r="F372" s="202" t="e">
        <f ca="1">VLOOKUP(A372,'銀行-TSS'!A:H,8,FALSE)</f>
        <v>#N/A</v>
      </c>
      <c r="G372" s="96" t="e">
        <f ca="1">VLOOKUP(A372,'銀行-TSS'!A:K,11,FALSE)</f>
        <v>#N/A</v>
      </c>
      <c r="H372" s="1209" t="e">
        <f ca="1">VLOOKUP(A372,'銀行-TSS'!A:M,13,FALSE)</f>
        <v>#N/A</v>
      </c>
      <c r="I372" s="1213" t="e">
        <f ca="1">VLOOKUP(A372,'銀行-TSS'!A:N,14,FALSE)</f>
        <v>#N/A</v>
      </c>
      <c r="J372" s="1213" t="e">
        <f ca="1">VLOOKUP(A372,'銀行-TSS'!A:O,15,FALSE)</f>
        <v>#N/A</v>
      </c>
      <c r="K372" s="136" t="e">
        <f ca="1">VLOOKUP(A372,'銀行-TSS'!A:V,22,FALSE)</f>
        <v>#N/A</v>
      </c>
      <c r="L372" s="136" t="e">
        <f ca="1">VLOOKUP(A372,'銀行-TSS'!A:AK,37,FALSE)</f>
        <v>#N/A</v>
      </c>
      <c r="M372" s="136" t="str">
        <f ca="1">VLOOKUP(A372,'銀行-TSS'!A:AN,40,FALSE)</f>
        <v/>
      </c>
      <c r="N372" s="136" t="e">
        <f t="shared" ca="1" si="225"/>
        <v>#N/A</v>
      </c>
      <c r="O372" s="1213" t="e">
        <f t="shared" ca="1" si="226"/>
        <v>#N/A</v>
      </c>
      <c r="P372" s="1213" t="e">
        <f ca="1">IF(AND($O$1&gt;=O372,換券單檔!$D$13=D372),I372+INT(($O$1-O372)/N372)*J372,0)</f>
        <v>#N/A</v>
      </c>
      <c r="Q372" s="1213" t="e">
        <f t="shared" ca="1" si="227"/>
        <v>#N/A</v>
      </c>
      <c r="R372" s="1213">
        <f t="shared" si="228"/>
        <v>0</v>
      </c>
      <c r="S372" s="1213">
        <f t="shared" si="229"/>
        <v>0</v>
      </c>
      <c r="T372" s="136">
        <f>IF(OR(R372=0,A372=0),0,IF(AND(V372=TRUE,換券單檔!$D$13=D372),E372,0))</f>
        <v>0</v>
      </c>
      <c r="U372" s="861">
        <f>IF(OR(R372=0,A372=0),0,IF(AND(V372=TRUE,換券單檔!$D$13=D372),H372,0))</f>
        <v>0</v>
      </c>
      <c r="V372" s="136" t="e">
        <f ca="1">IF(OR(B372=換券單檔!$D$3,L372="無",M372&lt;&gt;"",K372="高資產",IFERROR(MATCH(B372,換券單檔!K:K,0),"N")&lt;&gt;"N"),FALSE,IF($V$1="All",TRUE,IF(K372=$V$1,TRUE,FALSE)))</f>
        <v>#N/A</v>
      </c>
      <c r="W372" s="136" t="e">
        <f ca="1">VLOOKUP(A372,'銀行-TSS'!A:AO,41,FALSE)</f>
        <v>#N/A</v>
      </c>
      <c r="X372" s="136" t="e">
        <f ca="1">VLOOKUP(A372,'銀行-TSS'!A:AP,42,FALSE)</f>
        <v>#N/A</v>
      </c>
      <c r="Y372" s="1220">
        <f t="shared" si="230"/>
        <v>0</v>
      </c>
      <c r="Z372" s="1220">
        <f t="shared" si="231"/>
        <v>0</v>
      </c>
      <c r="AA372" s="136">
        <f>IF(Z372&lt;=0,0,RANK(Z372,Z:Z)+COUNTIF($Z$3:$Z372,Z372)-1)</f>
        <v>0</v>
      </c>
      <c r="AB372" s="1211">
        <f t="shared" ca="1" si="232"/>
        <v>-14896.14</v>
      </c>
      <c r="AC372" s="136">
        <f ca="1">IF(AB372&lt;=0,0,RANK(AB372,AB:AB)+COUNTIF($AB$3:$AB372,AB372)-1)</f>
        <v>0</v>
      </c>
      <c r="AD372" s="1123">
        <f t="shared" si="233"/>
        <v>99999</v>
      </c>
      <c r="AE372" s="1123">
        <f>IF(AD372=99999,0,RANK(AD372,AD:AD,1)+COUNTIF($AD$3:$AD372,AD372)-1)</f>
        <v>0</v>
      </c>
      <c r="AF372" s="86" t="e">
        <f ca="1">IF(OR(M372&lt;&gt;"",L372="無",K372="高資產",IFERROR(MATCH(B372,換券單檔!K:K,0),"N")&lt;&gt;"N"),FALSE,TRUE)</f>
        <v>#N/A</v>
      </c>
      <c r="AI372" s="1212" t="e">
        <f t="shared" ca="1" si="234"/>
        <v>#N/A</v>
      </c>
      <c r="AJ372" s="1213" t="e">
        <f t="shared" ca="1" si="235"/>
        <v>#N/A</v>
      </c>
      <c r="AK372" s="1587">
        <f t="shared" si="236"/>
        <v>0</v>
      </c>
      <c r="AN372" s="1212" t="e">
        <f t="shared" ca="1" si="237"/>
        <v>#N/A</v>
      </c>
      <c r="AO372" s="1213" t="e">
        <f t="shared" ca="1" si="238"/>
        <v>#N/A</v>
      </c>
      <c r="AP372" s="1587">
        <f t="shared" si="239"/>
        <v>0</v>
      </c>
      <c r="AS372" s="1212" t="e">
        <f t="shared" ca="1" si="240"/>
        <v>#N/A</v>
      </c>
      <c r="AT372" s="1213" t="e">
        <f t="shared" ca="1" si="241"/>
        <v>#N/A</v>
      </c>
      <c r="AU372" s="1587">
        <f t="shared" si="242"/>
        <v>0</v>
      </c>
      <c r="AX372" s="1212" t="e">
        <f t="shared" ca="1" si="243"/>
        <v>#N/A</v>
      </c>
      <c r="AY372" s="1213" t="e">
        <f t="shared" ca="1" si="244"/>
        <v>#N/A</v>
      </c>
      <c r="AZ372" s="1587">
        <f t="shared" si="245"/>
        <v>0</v>
      </c>
      <c r="BC372" s="1212" t="e">
        <f t="shared" ca="1" si="246"/>
        <v>#N/A</v>
      </c>
      <c r="BD372" s="1213" t="e">
        <f t="shared" ca="1" si="247"/>
        <v>#N/A</v>
      </c>
      <c r="BE372" s="1587">
        <f t="shared" si="248"/>
        <v>0</v>
      </c>
      <c r="BH372" s="1212" t="e">
        <f t="shared" ca="1" si="249"/>
        <v>#N/A</v>
      </c>
      <c r="BI372" s="1213" t="e">
        <f t="shared" ca="1" si="250"/>
        <v>#N/A</v>
      </c>
      <c r="BJ372" s="1587">
        <f t="shared" si="251"/>
        <v>0</v>
      </c>
      <c r="BM372" s="1212" t="e">
        <f t="shared" ca="1" si="252"/>
        <v>#N/A</v>
      </c>
      <c r="BN372" s="1213" t="e">
        <f t="shared" ca="1" si="253"/>
        <v>#N/A</v>
      </c>
      <c r="BO372" s="1587">
        <f t="shared" si="254"/>
        <v>0</v>
      </c>
      <c r="BR372" s="1212" t="e">
        <f t="shared" ca="1" si="255"/>
        <v>#N/A</v>
      </c>
      <c r="BS372" s="1213" t="e">
        <f t="shared" ca="1" si="256"/>
        <v>#N/A</v>
      </c>
      <c r="BT372" s="1587">
        <f t="shared" si="257"/>
        <v>0</v>
      </c>
      <c r="BW372" s="1212" t="e">
        <f t="shared" ca="1" si="258"/>
        <v>#N/A</v>
      </c>
      <c r="BX372" s="1213" t="e">
        <f t="shared" ca="1" si="259"/>
        <v>#N/A</v>
      </c>
      <c r="BY372" s="1587">
        <f t="shared" si="260"/>
        <v>0</v>
      </c>
      <c r="CB372" s="1212" t="e">
        <f t="shared" ca="1" si="261"/>
        <v>#N/A</v>
      </c>
      <c r="CC372" s="1213" t="e">
        <f t="shared" ca="1" si="262"/>
        <v>#N/A</v>
      </c>
      <c r="CD372" s="1587">
        <f t="shared" si="263"/>
        <v>0</v>
      </c>
      <c r="CG372" s="1212" t="e">
        <f t="shared" ca="1" si="264"/>
        <v>#N/A</v>
      </c>
      <c r="CH372" s="1213" t="e">
        <f t="shared" ca="1" si="265"/>
        <v>#N/A</v>
      </c>
      <c r="CI372" s="1587">
        <f t="shared" si="266"/>
        <v>0</v>
      </c>
      <c r="CL372" s="1212" t="e">
        <f t="shared" ca="1" si="267"/>
        <v>#N/A</v>
      </c>
      <c r="CM372" s="1213" t="e">
        <f t="shared" ca="1" si="268"/>
        <v>#N/A</v>
      </c>
      <c r="CN372" s="1587">
        <f t="shared" si="269"/>
        <v>0</v>
      </c>
    </row>
    <row r="373" spans="1:92">
      <c r="A373" s="141">
        <f>'銀行-TSS'!A373</f>
        <v>0</v>
      </c>
      <c r="B373" s="151">
        <f ca="1">VLOOKUP(A373,'銀行-TSS'!A:B,2,FALSE)</f>
        <v>0</v>
      </c>
      <c r="C373" s="151" t="e">
        <f ca="1">VLOOKUP(B373,bond!B:C,2,FALSE)</f>
        <v>#N/A</v>
      </c>
      <c r="D373" s="95" t="e">
        <f>VLOOKUP(A373,'銀行-TSS'!A:C,3,FALSE)</f>
        <v>#N/A</v>
      </c>
      <c r="E373" s="90" t="e">
        <f ca="1">VLOOKUP(A373,'銀行-TSS'!A:G,7,FALSE)</f>
        <v>#N/A</v>
      </c>
      <c r="F373" s="202" t="e">
        <f ca="1">VLOOKUP(A373,'銀行-TSS'!A:H,8,FALSE)</f>
        <v>#N/A</v>
      </c>
      <c r="G373" s="96" t="e">
        <f ca="1">VLOOKUP(A373,'銀行-TSS'!A:K,11,FALSE)</f>
        <v>#N/A</v>
      </c>
      <c r="H373" s="1209" t="e">
        <f ca="1">VLOOKUP(A373,'銀行-TSS'!A:M,13,FALSE)</f>
        <v>#N/A</v>
      </c>
      <c r="I373" s="1213" t="e">
        <f ca="1">VLOOKUP(A373,'銀行-TSS'!A:N,14,FALSE)</f>
        <v>#N/A</v>
      </c>
      <c r="J373" s="1213" t="e">
        <f ca="1">VLOOKUP(A373,'銀行-TSS'!A:O,15,FALSE)</f>
        <v>#N/A</v>
      </c>
      <c r="K373" s="136" t="e">
        <f ca="1">VLOOKUP(A373,'銀行-TSS'!A:V,22,FALSE)</f>
        <v>#N/A</v>
      </c>
      <c r="L373" s="136" t="e">
        <f ca="1">VLOOKUP(A373,'銀行-TSS'!A:AK,37,FALSE)</f>
        <v>#N/A</v>
      </c>
      <c r="M373" s="136" t="str">
        <f ca="1">VLOOKUP(A373,'銀行-TSS'!A:AN,40,FALSE)</f>
        <v/>
      </c>
      <c r="N373" s="136" t="e">
        <f t="shared" ca="1" si="225"/>
        <v>#N/A</v>
      </c>
      <c r="O373" s="1213" t="e">
        <f t="shared" ca="1" si="226"/>
        <v>#N/A</v>
      </c>
      <c r="P373" s="1213" t="e">
        <f ca="1">IF(AND($O$1&gt;=O373,換券單檔!$D$13=D373),I373+INT(($O$1-O373)/N373)*J373,0)</f>
        <v>#N/A</v>
      </c>
      <c r="Q373" s="1213" t="e">
        <f t="shared" ca="1" si="227"/>
        <v>#N/A</v>
      </c>
      <c r="R373" s="1213">
        <f t="shared" si="228"/>
        <v>0</v>
      </c>
      <c r="S373" s="1213">
        <f t="shared" si="229"/>
        <v>0</v>
      </c>
      <c r="T373" s="136">
        <f>IF(OR(R373=0,A373=0),0,IF(AND(V373=TRUE,換券單檔!$D$13=D373),E373,0))</f>
        <v>0</v>
      </c>
      <c r="U373" s="861">
        <f>IF(OR(R373=0,A373=0),0,IF(AND(V373=TRUE,換券單檔!$D$13=D373),H373,0))</f>
        <v>0</v>
      </c>
      <c r="V373" s="136" t="e">
        <f ca="1">IF(OR(B373=換券單檔!$D$3,L373="無",M373&lt;&gt;"",K373="高資產",IFERROR(MATCH(B373,換券單檔!K:K,0),"N")&lt;&gt;"N"),FALSE,IF($V$1="All",TRUE,IF(K373=$V$1,TRUE,FALSE)))</f>
        <v>#N/A</v>
      </c>
      <c r="W373" s="136" t="e">
        <f ca="1">VLOOKUP(A373,'銀行-TSS'!A:AO,41,FALSE)</f>
        <v>#N/A</v>
      </c>
      <c r="X373" s="136" t="e">
        <f ca="1">VLOOKUP(A373,'銀行-TSS'!A:AP,42,FALSE)</f>
        <v>#N/A</v>
      </c>
      <c r="Y373" s="1220">
        <f t="shared" si="230"/>
        <v>0</v>
      </c>
      <c r="Z373" s="1220">
        <f t="shared" si="231"/>
        <v>0</v>
      </c>
      <c r="AA373" s="136">
        <f>IF(Z373&lt;=0,0,RANK(Z373,Z:Z)+COUNTIF($Z$3:$Z373,Z373)-1)</f>
        <v>0</v>
      </c>
      <c r="AB373" s="1211">
        <f t="shared" ca="1" si="232"/>
        <v>-14896.14</v>
      </c>
      <c r="AC373" s="136">
        <f ca="1">IF(AB373&lt;=0,0,RANK(AB373,AB:AB)+COUNTIF($AB$3:$AB373,AB373)-1)</f>
        <v>0</v>
      </c>
      <c r="AD373" s="1123">
        <f t="shared" si="233"/>
        <v>99999</v>
      </c>
      <c r="AE373" s="1123">
        <f>IF(AD373=99999,0,RANK(AD373,AD:AD,1)+COUNTIF($AD$3:$AD373,AD373)-1)</f>
        <v>0</v>
      </c>
      <c r="AF373" s="86" t="e">
        <f ca="1">IF(OR(M373&lt;&gt;"",L373="無",K373="高資產",IFERROR(MATCH(B373,換券單檔!K:K,0),"N")&lt;&gt;"N"),FALSE,TRUE)</f>
        <v>#N/A</v>
      </c>
      <c r="AI373" s="1212" t="e">
        <f t="shared" ca="1" si="234"/>
        <v>#N/A</v>
      </c>
      <c r="AJ373" s="1213" t="e">
        <f t="shared" ca="1" si="235"/>
        <v>#N/A</v>
      </c>
      <c r="AK373" s="1587">
        <f t="shared" si="236"/>
        <v>0</v>
      </c>
      <c r="AN373" s="1212" t="e">
        <f t="shared" ca="1" si="237"/>
        <v>#N/A</v>
      </c>
      <c r="AO373" s="1213" t="e">
        <f t="shared" ca="1" si="238"/>
        <v>#N/A</v>
      </c>
      <c r="AP373" s="1587">
        <f t="shared" si="239"/>
        <v>0</v>
      </c>
      <c r="AS373" s="1212" t="e">
        <f t="shared" ca="1" si="240"/>
        <v>#N/A</v>
      </c>
      <c r="AT373" s="1213" t="e">
        <f t="shared" ca="1" si="241"/>
        <v>#N/A</v>
      </c>
      <c r="AU373" s="1587">
        <f t="shared" si="242"/>
        <v>0</v>
      </c>
      <c r="AX373" s="1212" t="e">
        <f t="shared" ca="1" si="243"/>
        <v>#N/A</v>
      </c>
      <c r="AY373" s="1213" t="e">
        <f t="shared" ca="1" si="244"/>
        <v>#N/A</v>
      </c>
      <c r="AZ373" s="1587">
        <f t="shared" si="245"/>
        <v>0</v>
      </c>
      <c r="BC373" s="1212" t="e">
        <f t="shared" ca="1" si="246"/>
        <v>#N/A</v>
      </c>
      <c r="BD373" s="1213" t="e">
        <f t="shared" ca="1" si="247"/>
        <v>#N/A</v>
      </c>
      <c r="BE373" s="1587">
        <f t="shared" si="248"/>
        <v>0</v>
      </c>
      <c r="BH373" s="1212" t="e">
        <f t="shared" ca="1" si="249"/>
        <v>#N/A</v>
      </c>
      <c r="BI373" s="1213" t="e">
        <f t="shared" ca="1" si="250"/>
        <v>#N/A</v>
      </c>
      <c r="BJ373" s="1587">
        <f t="shared" si="251"/>
        <v>0</v>
      </c>
      <c r="BM373" s="1212" t="e">
        <f t="shared" ca="1" si="252"/>
        <v>#N/A</v>
      </c>
      <c r="BN373" s="1213" t="e">
        <f t="shared" ca="1" si="253"/>
        <v>#N/A</v>
      </c>
      <c r="BO373" s="1587">
        <f t="shared" si="254"/>
        <v>0</v>
      </c>
      <c r="BR373" s="1212" t="e">
        <f t="shared" ca="1" si="255"/>
        <v>#N/A</v>
      </c>
      <c r="BS373" s="1213" t="e">
        <f t="shared" ca="1" si="256"/>
        <v>#N/A</v>
      </c>
      <c r="BT373" s="1587">
        <f t="shared" si="257"/>
        <v>0</v>
      </c>
      <c r="BW373" s="1212" t="e">
        <f t="shared" ca="1" si="258"/>
        <v>#N/A</v>
      </c>
      <c r="BX373" s="1213" t="e">
        <f t="shared" ca="1" si="259"/>
        <v>#N/A</v>
      </c>
      <c r="BY373" s="1587">
        <f t="shared" si="260"/>
        <v>0</v>
      </c>
      <c r="CB373" s="1212" t="e">
        <f t="shared" ca="1" si="261"/>
        <v>#N/A</v>
      </c>
      <c r="CC373" s="1213" t="e">
        <f t="shared" ca="1" si="262"/>
        <v>#N/A</v>
      </c>
      <c r="CD373" s="1587">
        <f t="shared" si="263"/>
        <v>0</v>
      </c>
      <c r="CG373" s="1212" t="e">
        <f t="shared" ca="1" si="264"/>
        <v>#N/A</v>
      </c>
      <c r="CH373" s="1213" t="e">
        <f t="shared" ca="1" si="265"/>
        <v>#N/A</v>
      </c>
      <c r="CI373" s="1587">
        <f t="shared" si="266"/>
        <v>0</v>
      </c>
      <c r="CL373" s="1212" t="e">
        <f t="shared" ca="1" si="267"/>
        <v>#N/A</v>
      </c>
      <c r="CM373" s="1213" t="e">
        <f t="shared" ca="1" si="268"/>
        <v>#N/A</v>
      </c>
      <c r="CN373" s="1587">
        <f t="shared" si="269"/>
        <v>0</v>
      </c>
    </row>
    <row r="374" spans="1:92">
      <c r="A374" s="141">
        <f>'銀行-TSS'!A374</f>
        <v>0</v>
      </c>
      <c r="B374" s="151">
        <f ca="1">VLOOKUP(A374,'銀行-TSS'!A:B,2,FALSE)</f>
        <v>0</v>
      </c>
      <c r="C374" s="151" t="e">
        <f ca="1">VLOOKUP(B374,bond!B:C,2,FALSE)</f>
        <v>#N/A</v>
      </c>
      <c r="D374" s="95" t="e">
        <f>VLOOKUP(A374,'銀行-TSS'!A:C,3,FALSE)</f>
        <v>#N/A</v>
      </c>
      <c r="E374" s="90" t="e">
        <f ca="1">VLOOKUP(A374,'銀行-TSS'!A:G,7,FALSE)</f>
        <v>#N/A</v>
      </c>
      <c r="F374" s="202" t="e">
        <f ca="1">VLOOKUP(A374,'銀行-TSS'!A:H,8,FALSE)</f>
        <v>#N/A</v>
      </c>
      <c r="G374" s="96" t="e">
        <f ca="1">VLOOKUP(A374,'銀行-TSS'!A:K,11,FALSE)</f>
        <v>#N/A</v>
      </c>
      <c r="H374" s="1209" t="e">
        <f ca="1">VLOOKUP(A374,'銀行-TSS'!A:M,13,FALSE)</f>
        <v>#N/A</v>
      </c>
      <c r="I374" s="1213" t="e">
        <f ca="1">VLOOKUP(A374,'銀行-TSS'!A:N,14,FALSE)</f>
        <v>#N/A</v>
      </c>
      <c r="J374" s="1213" t="e">
        <f ca="1">VLOOKUP(A374,'銀行-TSS'!A:O,15,FALSE)</f>
        <v>#N/A</v>
      </c>
      <c r="K374" s="136" t="e">
        <f ca="1">VLOOKUP(A374,'銀行-TSS'!A:V,22,FALSE)</f>
        <v>#N/A</v>
      </c>
      <c r="L374" s="136" t="e">
        <f ca="1">VLOOKUP(A374,'銀行-TSS'!A:AK,37,FALSE)</f>
        <v>#N/A</v>
      </c>
      <c r="M374" s="136" t="str">
        <f ca="1">VLOOKUP(A374,'銀行-TSS'!A:AN,40,FALSE)</f>
        <v/>
      </c>
      <c r="N374" s="136" t="e">
        <f t="shared" ca="1" si="225"/>
        <v>#N/A</v>
      </c>
      <c r="O374" s="1213" t="e">
        <f t="shared" ca="1" si="226"/>
        <v>#N/A</v>
      </c>
      <c r="P374" s="1213" t="e">
        <f ca="1">IF(AND($O$1&gt;=O374,換券單檔!$D$13=D374),I374+INT(($O$1-O374)/N374)*J374,0)</f>
        <v>#N/A</v>
      </c>
      <c r="Q374" s="1213" t="e">
        <f t="shared" ca="1" si="227"/>
        <v>#N/A</v>
      </c>
      <c r="R374" s="1213">
        <f t="shared" si="228"/>
        <v>0</v>
      </c>
      <c r="S374" s="1213">
        <f t="shared" si="229"/>
        <v>0</v>
      </c>
      <c r="T374" s="136">
        <f>IF(OR(R374=0,A374=0),0,IF(AND(V374=TRUE,換券單檔!$D$13=D374),E374,0))</f>
        <v>0</v>
      </c>
      <c r="U374" s="861">
        <f>IF(OR(R374=0,A374=0),0,IF(AND(V374=TRUE,換券單檔!$D$13=D374),H374,0))</f>
        <v>0</v>
      </c>
      <c r="V374" s="136" t="e">
        <f ca="1">IF(OR(B374=換券單檔!$D$3,L374="無",M374&lt;&gt;"",K374="高資產",IFERROR(MATCH(B374,換券單檔!K:K,0),"N")&lt;&gt;"N"),FALSE,IF($V$1="All",TRUE,IF(K374=$V$1,TRUE,FALSE)))</f>
        <v>#N/A</v>
      </c>
      <c r="W374" s="136" t="e">
        <f ca="1">VLOOKUP(A374,'銀行-TSS'!A:AO,41,FALSE)</f>
        <v>#N/A</v>
      </c>
      <c r="X374" s="136" t="e">
        <f ca="1">VLOOKUP(A374,'銀行-TSS'!A:AP,42,FALSE)</f>
        <v>#N/A</v>
      </c>
      <c r="Y374" s="1220">
        <f t="shared" si="230"/>
        <v>0</v>
      </c>
      <c r="Z374" s="1220">
        <f t="shared" si="231"/>
        <v>0</v>
      </c>
      <c r="AA374" s="136">
        <f>IF(Z374&lt;=0,0,RANK(Z374,Z:Z)+COUNTIF($Z$3:$Z374,Z374)-1)</f>
        <v>0</v>
      </c>
      <c r="AB374" s="1211">
        <f t="shared" ca="1" si="232"/>
        <v>-14896.14</v>
      </c>
      <c r="AC374" s="136">
        <f ca="1">IF(AB374&lt;=0,0,RANK(AB374,AB:AB)+COUNTIF($AB$3:$AB374,AB374)-1)</f>
        <v>0</v>
      </c>
      <c r="AD374" s="1123">
        <f t="shared" si="233"/>
        <v>99999</v>
      </c>
      <c r="AE374" s="1123">
        <f>IF(AD374=99999,0,RANK(AD374,AD:AD,1)+COUNTIF($AD$3:$AD374,AD374)-1)</f>
        <v>0</v>
      </c>
      <c r="AF374" s="86" t="e">
        <f ca="1">IF(OR(M374&lt;&gt;"",L374="無",K374="高資產",IFERROR(MATCH(B374,換券單檔!K:K,0),"N")&lt;&gt;"N"),FALSE,TRUE)</f>
        <v>#N/A</v>
      </c>
      <c r="AI374" s="1212" t="e">
        <f t="shared" ca="1" si="234"/>
        <v>#N/A</v>
      </c>
      <c r="AJ374" s="1213" t="e">
        <f t="shared" ca="1" si="235"/>
        <v>#N/A</v>
      </c>
      <c r="AK374" s="1587">
        <f t="shared" si="236"/>
        <v>0</v>
      </c>
      <c r="AN374" s="1212" t="e">
        <f t="shared" ca="1" si="237"/>
        <v>#N/A</v>
      </c>
      <c r="AO374" s="1213" t="e">
        <f t="shared" ca="1" si="238"/>
        <v>#N/A</v>
      </c>
      <c r="AP374" s="1587">
        <f t="shared" si="239"/>
        <v>0</v>
      </c>
      <c r="AS374" s="1212" t="e">
        <f t="shared" ca="1" si="240"/>
        <v>#N/A</v>
      </c>
      <c r="AT374" s="1213" t="e">
        <f t="shared" ca="1" si="241"/>
        <v>#N/A</v>
      </c>
      <c r="AU374" s="1587">
        <f t="shared" si="242"/>
        <v>0</v>
      </c>
      <c r="AX374" s="1212" t="e">
        <f t="shared" ca="1" si="243"/>
        <v>#N/A</v>
      </c>
      <c r="AY374" s="1213" t="e">
        <f t="shared" ca="1" si="244"/>
        <v>#N/A</v>
      </c>
      <c r="AZ374" s="1587">
        <f t="shared" si="245"/>
        <v>0</v>
      </c>
      <c r="BC374" s="1212" t="e">
        <f t="shared" ca="1" si="246"/>
        <v>#N/A</v>
      </c>
      <c r="BD374" s="1213" t="e">
        <f t="shared" ca="1" si="247"/>
        <v>#N/A</v>
      </c>
      <c r="BE374" s="1587">
        <f t="shared" si="248"/>
        <v>0</v>
      </c>
      <c r="BH374" s="1212" t="e">
        <f t="shared" ca="1" si="249"/>
        <v>#N/A</v>
      </c>
      <c r="BI374" s="1213" t="e">
        <f t="shared" ca="1" si="250"/>
        <v>#N/A</v>
      </c>
      <c r="BJ374" s="1587">
        <f t="shared" si="251"/>
        <v>0</v>
      </c>
      <c r="BM374" s="1212" t="e">
        <f t="shared" ca="1" si="252"/>
        <v>#N/A</v>
      </c>
      <c r="BN374" s="1213" t="e">
        <f t="shared" ca="1" si="253"/>
        <v>#N/A</v>
      </c>
      <c r="BO374" s="1587">
        <f t="shared" si="254"/>
        <v>0</v>
      </c>
      <c r="BR374" s="1212" t="e">
        <f t="shared" ca="1" si="255"/>
        <v>#N/A</v>
      </c>
      <c r="BS374" s="1213" t="e">
        <f t="shared" ca="1" si="256"/>
        <v>#N/A</v>
      </c>
      <c r="BT374" s="1587">
        <f t="shared" si="257"/>
        <v>0</v>
      </c>
      <c r="BW374" s="1212" t="e">
        <f t="shared" ca="1" si="258"/>
        <v>#N/A</v>
      </c>
      <c r="BX374" s="1213" t="e">
        <f t="shared" ca="1" si="259"/>
        <v>#N/A</v>
      </c>
      <c r="BY374" s="1587">
        <f t="shared" si="260"/>
        <v>0</v>
      </c>
      <c r="CB374" s="1212" t="e">
        <f t="shared" ca="1" si="261"/>
        <v>#N/A</v>
      </c>
      <c r="CC374" s="1213" t="e">
        <f t="shared" ca="1" si="262"/>
        <v>#N/A</v>
      </c>
      <c r="CD374" s="1587">
        <f t="shared" si="263"/>
        <v>0</v>
      </c>
      <c r="CG374" s="1212" t="e">
        <f t="shared" ca="1" si="264"/>
        <v>#N/A</v>
      </c>
      <c r="CH374" s="1213" t="e">
        <f t="shared" ca="1" si="265"/>
        <v>#N/A</v>
      </c>
      <c r="CI374" s="1587">
        <f t="shared" si="266"/>
        <v>0</v>
      </c>
      <c r="CL374" s="1212" t="e">
        <f t="shared" ca="1" si="267"/>
        <v>#N/A</v>
      </c>
      <c r="CM374" s="1213" t="e">
        <f t="shared" ca="1" si="268"/>
        <v>#N/A</v>
      </c>
      <c r="CN374" s="1587">
        <f t="shared" si="269"/>
        <v>0</v>
      </c>
    </row>
    <row r="375" spans="1:92">
      <c r="A375" s="141">
        <f>'銀行-TSS'!A375</f>
        <v>0</v>
      </c>
      <c r="B375" s="151">
        <f ca="1">VLOOKUP(A375,'銀行-TSS'!A:B,2,FALSE)</f>
        <v>0</v>
      </c>
      <c r="C375" s="151" t="e">
        <f ca="1">VLOOKUP(B375,bond!B:C,2,FALSE)</f>
        <v>#N/A</v>
      </c>
      <c r="D375" s="95" t="e">
        <f>VLOOKUP(A375,'銀行-TSS'!A:C,3,FALSE)</f>
        <v>#N/A</v>
      </c>
      <c r="E375" s="90" t="e">
        <f ca="1">VLOOKUP(A375,'銀行-TSS'!A:G,7,FALSE)</f>
        <v>#N/A</v>
      </c>
      <c r="F375" s="202" t="e">
        <f ca="1">VLOOKUP(A375,'銀行-TSS'!A:H,8,FALSE)</f>
        <v>#N/A</v>
      </c>
      <c r="G375" s="96" t="e">
        <f ca="1">VLOOKUP(A375,'銀行-TSS'!A:K,11,FALSE)</f>
        <v>#N/A</v>
      </c>
      <c r="H375" s="1209" t="e">
        <f ca="1">VLOOKUP(A375,'銀行-TSS'!A:M,13,FALSE)</f>
        <v>#N/A</v>
      </c>
      <c r="I375" s="1213" t="e">
        <f ca="1">VLOOKUP(A375,'銀行-TSS'!A:N,14,FALSE)</f>
        <v>#N/A</v>
      </c>
      <c r="J375" s="1213" t="e">
        <f ca="1">VLOOKUP(A375,'銀行-TSS'!A:O,15,FALSE)</f>
        <v>#N/A</v>
      </c>
      <c r="K375" s="136" t="e">
        <f ca="1">VLOOKUP(A375,'銀行-TSS'!A:V,22,FALSE)</f>
        <v>#N/A</v>
      </c>
      <c r="L375" s="136" t="e">
        <f ca="1">VLOOKUP(A375,'銀行-TSS'!A:AK,37,FALSE)</f>
        <v>#N/A</v>
      </c>
      <c r="M375" s="136" t="str">
        <f ca="1">VLOOKUP(A375,'銀行-TSS'!A:AN,40,FALSE)</f>
        <v/>
      </c>
      <c r="N375" s="136" t="e">
        <f t="shared" ca="1" si="225"/>
        <v>#N/A</v>
      </c>
      <c r="O375" s="1213" t="e">
        <f t="shared" ca="1" si="226"/>
        <v>#N/A</v>
      </c>
      <c r="P375" s="1213" t="e">
        <f ca="1">IF(AND($O$1&gt;=O375,換券單檔!$D$13=D375),I375+INT(($O$1-O375)/N375)*J375,0)</f>
        <v>#N/A</v>
      </c>
      <c r="Q375" s="1213" t="e">
        <f t="shared" ca="1" si="227"/>
        <v>#N/A</v>
      </c>
      <c r="R375" s="1213">
        <f t="shared" si="228"/>
        <v>0</v>
      </c>
      <c r="S375" s="1213">
        <f t="shared" si="229"/>
        <v>0</v>
      </c>
      <c r="T375" s="136">
        <f>IF(OR(R375=0,A375=0),0,IF(AND(V375=TRUE,換券單檔!$D$13=D375),E375,0))</f>
        <v>0</v>
      </c>
      <c r="U375" s="861">
        <f>IF(OR(R375=0,A375=0),0,IF(AND(V375=TRUE,換券單檔!$D$13=D375),H375,0))</f>
        <v>0</v>
      </c>
      <c r="V375" s="136" t="e">
        <f ca="1">IF(OR(B375=換券單檔!$D$3,L375="無",M375&lt;&gt;"",K375="高資產",IFERROR(MATCH(B375,換券單檔!K:K,0),"N")&lt;&gt;"N"),FALSE,IF($V$1="All",TRUE,IF(K375=$V$1,TRUE,FALSE)))</f>
        <v>#N/A</v>
      </c>
      <c r="W375" s="136" t="e">
        <f ca="1">VLOOKUP(A375,'銀行-TSS'!A:AO,41,FALSE)</f>
        <v>#N/A</v>
      </c>
      <c r="X375" s="136" t="e">
        <f ca="1">VLOOKUP(A375,'銀行-TSS'!A:AP,42,FALSE)</f>
        <v>#N/A</v>
      </c>
      <c r="Y375" s="1220">
        <f t="shared" si="230"/>
        <v>0</v>
      </c>
      <c r="Z375" s="1220">
        <f t="shared" si="231"/>
        <v>0</v>
      </c>
      <c r="AA375" s="136">
        <f>IF(Z375&lt;=0,0,RANK(Z375,Z:Z)+COUNTIF($Z$3:$Z375,Z375)-1)</f>
        <v>0</v>
      </c>
      <c r="AB375" s="1211">
        <f t="shared" ca="1" si="232"/>
        <v>-14896.14</v>
      </c>
      <c r="AC375" s="136">
        <f ca="1">IF(AB375&lt;=0,0,RANK(AB375,AB:AB)+COUNTIF($AB$3:$AB375,AB375)-1)</f>
        <v>0</v>
      </c>
      <c r="AD375" s="1123">
        <f t="shared" si="233"/>
        <v>99999</v>
      </c>
      <c r="AE375" s="1123">
        <f>IF(AD375=99999,0,RANK(AD375,AD:AD,1)+COUNTIF($AD$3:$AD375,AD375)-1)</f>
        <v>0</v>
      </c>
      <c r="AF375" s="86" t="e">
        <f ca="1">IF(OR(M375&lt;&gt;"",L375="無",K375="高資產",IFERROR(MATCH(B375,換券單檔!K:K,0),"N")&lt;&gt;"N"),FALSE,TRUE)</f>
        <v>#N/A</v>
      </c>
      <c r="AI375" s="1212" t="e">
        <f t="shared" ca="1" si="234"/>
        <v>#N/A</v>
      </c>
      <c r="AJ375" s="1213" t="e">
        <f t="shared" ca="1" si="235"/>
        <v>#N/A</v>
      </c>
      <c r="AK375" s="1587">
        <f t="shared" si="236"/>
        <v>0</v>
      </c>
      <c r="AN375" s="1212" t="e">
        <f t="shared" ca="1" si="237"/>
        <v>#N/A</v>
      </c>
      <c r="AO375" s="1213" t="e">
        <f t="shared" ca="1" si="238"/>
        <v>#N/A</v>
      </c>
      <c r="AP375" s="1587">
        <f t="shared" si="239"/>
        <v>0</v>
      </c>
      <c r="AS375" s="1212" t="e">
        <f t="shared" ca="1" si="240"/>
        <v>#N/A</v>
      </c>
      <c r="AT375" s="1213" t="e">
        <f t="shared" ca="1" si="241"/>
        <v>#N/A</v>
      </c>
      <c r="AU375" s="1587">
        <f t="shared" si="242"/>
        <v>0</v>
      </c>
      <c r="AX375" s="1212" t="e">
        <f t="shared" ca="1" si="243"/>
        <v>#N/A</v>
      </c>
      <c r="AY375" s="1213" t="e">
        <f t="shared" ca="1" si="244"/>
        <v>#N/A</v>
      </c>
      <c r="AZ375" s="1587">
        <f t="shared" si="245"/>
        <v>0</v>
      </c>
      <c r="BC375" s="1212" t="e">
        <f t="shared" ca="1" si="246"/>
        <v>#N/A</v>
      </c>
      <c r="BD375" s="1213" t="e">
        <f t="shared" ca="1" si="247"/>
        <v>#N/A</v>
      </c>
      <c r="BE375" s="1587">
        <f t="shared" si="248"/>
        <v>0</v>
      </c>
      <c r="BH375" s="1212" t="e">
        <f t="shared" ca="1" si="249"/>
        <v>#N/A</v>
      </c>
      <c r="BI375" s="1213" t="e">
        <f t="shared" ca="1" si="250"/>
        <v>#N/A</v>
      </c>
      <c r="BJ375" s="1587">
        <f t="shared" si="251"/>
        <v>0</v>
      </c>
      <c r="BM375" s="1212" t="e">
        <f t="shared" ca="1" si="252"/>
        <v>#N/A</v>
      </c>
      <c r="BN375" s="1213" t="e">
        <f t="shared" ca="1" si="253"/>
        <v>#N/A</v>
      </c>
      <c r="BO375" s="1587">
        <f t="shared" si="254"/>
        <v>0</v>
      </c>
      <c r="BR375" s="1212" t="e">
        <f t="shared" ca="1" si="255"/>
        <v>#N/A</v>
      </c>
      <c r="BS375" s="1213" t="e">
        <f t="shared" ca="1" si="256"/>
        <v>#N/A</v>
      </c>
      <c r="BT375" s="1587">
        <f t="shared" si="257"/>
        <v>0</v>
      </c>
      <c r="BW375" s="1212" t="e">
        <f t="shared" ca="1" si="258"/>
        <v>#N/A</v>
      </c>
      <c r="BX375" s="1213" t="e">
        <f t="shared" ca="1" si="259"/>
        <v>#N/A</v>
      </c>
      <c r="BY375" s="1587">
        <f t="shared" si="260"/>
        <v>0</v>
      </c>
      <c r="CB375" s="1212" t="e">
        <f t="shared" ca="1" si="261"/>
        <v>#N/A</v>
      </c>
      <c r="CC375" s="1213" t="e">
        <f t="shared" ca="1" si="262"/>
        <v>#N/A</v>
      </c>
      <c r="CD375" s="1587">
        <f t="shared" si="263"/>
        <v>0</v>
      </c>
      <c r="CG375" s="1212" t="e">
        <f t="shared" ca="1" si="264"/>
        <v>#N/A</v>
      </c>
      <c r="CH375" s="1213" t="e">
        <f t="shared" ca="1" si="265"/>
        <v>#N/A</v>
      </c>
      <c r="CI375" s="1587">
        <f t="shared" si="266"/>
        <v>0</v>
      </c>
      <c r="CL375" s="1212" t="e">
        <f t="shared" ca="1" si="267"/>
        <v>#N/A</v>
      </c>
      <c r="CM375" s="1213" t="e">
        <f t="shared" ca="1" si="268"/>
        <v>#N/A</v>
      </c>
      <c r="CN375" s="1587">
        <f t="shared" si="269"/>
        <v>0</v>
      </c>
    </row>
    <row r="376" spans="1:92">
      <c r="A376" s="141">
        <f>'銀行-TSS'!A376</f>
        <v>0</v>
      </c>
      <c r="B376" s="151">
        <f ca="1">VLOOKUP(A376,'銀行-TSS'!A:B,2,FALSE)</f>
        <v>0</v>
      </c>
      <c r="C376" s="151" t="e">
        <f ca="1">VLOOKUP(B376,bond!B:C,2,FALSE)</f>
        <v>#N/A</v>
      </c>
      <c r="D376" s="95" t="e">
        <f>VLOOKUP(A376,'銀行-TSS'!A:C,3,FALSE)</f>
        <v>#N/A</v>
      </c>
      <c r="E376" s="90" t="e">
        <f ca="1">VLOOKUP(A376,'銀行-TSS'!A:G,7,FALSE)</f>
        <v>#N/A</v>
      </c>
      <c r="F376" s="202" t="e">
        <f ca="1">VLOOKUP(A376,'銀行-TSS'!A:H,8,FALSE)</f>
        <v>#N/A</v>
      </c>
      <c r="G376" s="96" t="e">
        <f ca="1">VLOOKUP(A376,'銀行-TSS'!A:K,11,FALSE)</f>
        <v>#N/A</v>
      </c>
      <c r="H376" s="1209" t="e">
        <f ca="1">VLOOKUP(A376,'銀行-TSS'!A:M,13,FALSE)</f>
        <v>#N/A</v>
      </c>
      <c r="I376" s="1213" t="e">
        <f ca="1">VLOOKUP(A376,'銀行-TSS'!A:N,14,FALSE)</f>
        <v>#N/A</v>
      </c>
      <c r="J376" s="1213" t="e">
        <f ca="1">VLOOKUP(A376,'銀行-TSS'!A:O,15,FALSE)</f>
        <v>#N/A</v>
      </c>
      <c r="K376" s="136" t="e">
        <f ca="1">VLOOKUP(A376,'銀行-TSS'!A:V,22,FALSE)</f>
        <v>#N/A</v>
      </c>
      <c r="L376" s="136" t="e">
        <f ca="1">VLOOKUP(A376,'銀行-TSS'!A:AK,37,FALSE)</f>
        <v>#N/A</v>
      </c>
      <c r="M376" s="136" t="str">
        <f ca="1">VLOOKUP(A376,'銀行-TSS'!A:AN,40,FALSE)</f>
        <v/>
      </c>
      <c r="N376" s="136" t="e">
        <f t="shared" ca="1" si="225"/>
        <v>#N/A</v>
      </c>
      <c r="O376" s="1213" t="e">
        <f t="shared" ca="1" si="226"/>
        <v>#N/A</v>
      </c>
      <c r="P376" s="1213" t="e">
        <f ca="1">IF(AND($O$1&gt;=O376,換券單檔!$D$13=D376),I376+INT(($O$1-O376)/N376)*J376,0)</f>
        <v>#N/A</v>
      </c>
      <c r="Q376" s="1213" t="e">
        <f t="shared" ca="1" si="227"/>
        <v>#N/A</v>
      </c>
      <c r="R376" s="1213">
        <f t="shared" si="228"/>
        <v>0</v>
      </c>
      <c r="S376" s="1213">
        <f t="shared" si="229"/>
        <v>0</v>
      </c>
      <c r="T376" s="136">
        <f>IF(OR(R376=0,A376=0),0,IF(AND(V376=TRUE,換券單檔!$D$13=D376),E376,0))</f>
        <v>0</v>
      </c>
      <c r="U376" s="861">
        <f>IF(OR(R376=0,A376=0),0,IF(AND(V376=TRUE,換券單檔!$D$13=D376),H376,0))</f>
        <v>0</v>
      </c>
      <c r="V376" s="136" t="e">
        <f ca="1">IF(OR(B376=換券單檔!$D$3,L376="無",M376&lt;&gt;"",K376="高資產",IFERROR(MATCH(B376,換券單檔!K:K,0),"N")&lt;&gt;"N"),FALSE,IF($V$1="All",TRUE,IF(K376=$V$1,TRUE,FALSE)))</f>
        <v>#N/A</v>
      </c>
      <c r="W376" s="136" t="e">
        <f ca="1">VLOOKUP(A376,'銀行-TSS'!A:AO,41,FALSE)</f>
        <v>#N/A</v>
      </c>
      <c r="X376" s="136" t="e">
        <f ca="1">VLOOKUP(A376,'銀行-TSS'!A:AP,42,FALSE)</f>
        <v>#N/A</v>
      </c>
      <c r="Y376" s="1220">
        <f t="shared" si="230"/>
        <v>0</v>
      </c>
      <c r="Z376" s="1220">
        <f t="shared" si="231"/>
        <v>0</v>
      </c>
      <c r="AA376" s="136">
        <f>IF(Z376&lt;=0,0,RANK(Z376,Z:Z)+COUNTIF($Z$3:$Z376,Z376)-1)</f>
        <v>0</v>
      </c>
      <c r="AB376" s="1211">
        <f t="shared" ca="1" si="232"/>
        <v>-14896.14</v>
      </c>
      <c r="AC376" s="136">
        <f ca="1">IF(AB376&lt;=0,0,RANK(AB376,AB:AB)+COUNTIF($AB$3:$AB376,AB376)-1)</f>
        <v>0</v>
      </c>
      <c r="AD376" s="1123">
        <f t="shared" si="233"/>
        <v>99999</v>
      </c>
      <c r="AE376" s="1123">
        <f>IF(AD376=99999,0,RANK(AD376,AD:AD,1)+COUNTIF($AD$3:$AD376,AD376)-1)</f>
        <v>0</v>
      </c>
      <c r="AF376" s="86" t="e">
        <f ca="1">IF(OR(M376&lt;&gt;"",L376="無",K376="高資產",IFERROR(MATCH(B376,換券單檔!K:K,0),"N")&lt;&gt;"N"),FALSE,TRUE)</f>
        <v>#N/A</v>
      </c>
      <c r="AI376" s="1212" t="e">
        <f t="shared" ca="1" si="234"/>
        <v>#N/A</v>
      </c>
      <c r="AJ376" s="1213" t="e">
        <f t="shared" ca="1" si="235"/>
        <v>#N/A</v>
      </c>
      <c r="AK376" s="1587">
        <f t="shared" si="236"/>
        <v>0</v>
      </c>
      <c r="AN376" s="1212" t="e">
        <f t="shared" ca="1" si="237"/>
        <v>#N/A</v>
      </c>
      <c r="AO376" s="1213" t="e">
        <f t="shared" ca="1" si="238"/>
        <v>#N/A</v>
      </c>
      <c r="AP376" s="1587">
        <f t="shared" si="239"/>
        <v>0</v>
      </c>
      <c r="AS376" s="1212" t="e">
        <f t="shared" ca="1" si="240"/>
        <v>#N/A</v>
      </c>
      <c r="AT376" s="1213" t="e">
        <f t="shared" ca="1" si="241"/>
        <v>#N/A</v>
      </c>
      <c r="AU376" s="1587">
        <f t="shared" si="242"/>
        <v>0</v>
      </c>
      <c r="AX376" s="1212" t="e">
        <f t="shared" ca="1" si="243"/>
        <v>#N/A</v>
      </c>
      <c r="AY376" s="1213" t="e">
        <f t="shared" ca="1" si="244"/>
        <v>#N/A</v>
      </c>
      <c r="AZ376" s="1587">
        <f t="shared" si="245"/>
        <v>0</v>
      </c>
      <c r="BC376" s="1212" t="e">
        <f t="shared" ca="1" si="246"/>
        <v>#N/A</v>
      </c>
      <c r="BD376" s="1213" t="e">
        <f t="shared" ca="1" si="247"/>
        <v>#N/A</v>
      </c>
      <c r="BE376" s="1587">
        <f t="shared" si="248"/>
        <v>0</v>
      </c>
      <c r="BH376" s="1212" t="e">
        <f t="shared" ca="1" si="249"/>
        <v>#N/A</v>
      </c>
      <c r="BI376" s="1213" t="e">
        <f t="shared" ca="1" si="250"/>
        <v>#N/A</v>
      </c>
      <c r="BJ376" s="1587">
        <f t="shared" si="251"/>
        <v>0</v>
      </c>
      <c r="BM376" s="1212" t="e">
        <f t="shared" ca="1" si="252"/>
        <v>#N/A</v>
      </c>
      <c r="BN376" s="1213" t="e">
        <f t="shared" ca="1" si="253"/>
        <v>#N/A</v>
      </c>
      <c r="BO376" s="1587">
        <f t="shared" si="254"/>
        <v>0</v>
      </c>
      <c r="BR376" s="1212" t="e">
        <f t="shared" ca="1" si="255"/>
        <v>#N/A</v>
      </c>
      <c r="BS376" s="1213" t="e">
        <f t="shared" ca="1" si="256"/>
        <v>#N/A</v>
      </c>
      <c r="BT376" s="1587">
        <f t="shared" si="257"/>
        <v>0</v>
      </c>
      <c r="BW376" s="1212" t="e">
        <f t="shared" ca="1" si="258"/>
        <v>#N/A</v>
      </c>
      <c r="BX376" s="1213" t="e">
        <f t="shared" ca="1" si="259"/>
        <v>#N/A</v>
      </c>
      <c r="BY376" s="1587">
        <f t="shared" si="260"/>
        <v>0</v>
      </c>
      <c r="CB376" s="1212" t="e">
        <f t="shared" ca="1" si="261"/>
        <v>#N/A</v>
      </c>
      <c r="CC376" s="1213" t="e">
        <f t="shared" ca="1" si="262"/>
        <v>#N/A</v>
      </c>
      <c r="CD376" s="1587">
        <f t="shared" si="263"/>
        <v>0</v>
      </c>
      <c r="CG376" s="1212" t="e">
        <f t="shared" ca="1" si="264"/>
        <v>#N/A</v>
      </c>
      <c r="CH376" s="1213" t="e">
        <f t="shared" ca="1" si="265"/>
        <v>#N/A</v>
      </c>
      <c r="CI376" s="1587">
        <f t="shared" si="266"/>
        <v>0</v>
      </c>
      <c r="CL376" s="1212" t="e">
        <f t="shared" ca="1" si="267"/>
        <v>#N/A</v>
      </c>
      <c r="CM376" s="1213" t="e">
        <f t="shared" ca="1" si="268"/>
        <v>#N/A</v>
      </c>
      <c r="CN376" s="1587">
        <f t="shared" si="269"/>
        <v>0</v>
      </c>
    </row>
    <row r="377" spans="1:92">
      <c r="A377" s="141">
        <f>'銀行-TSS'!A377</f>
        <v>0</v>
      </c>
      <c r="B377" s="151">
        <f ca="1">VLOOKUP(A377,'銀行-TSS'!A:B,2,FALSE)</f>
        <v>0</v>
      </c>
      <c r="C377" s="151" t="e">
        <f ca="1">VLOOKUP(B377,bond!B:C,2,FALSE)</f>
        <v>#N/A</v>
      </c>
      <c r="D377" s="95" t="e">
        <f>VLOOKUP(A377,'銀行-TSS'!A:C,3,FALSE)</f>
        <v>#N/A</v>
      </c>
      <c r="E377" s="90" t="e">
        <f ca="1">VLOOKUP(A377,'銀行-TSS'!A:G,7,FALSE)</f>
        <v>#N/A</v>
      </c>
      <c r="F377" s="202" t="e">
        <f ca="1">VLOOKUP(A377,'銀行-TSS'!A:H,8,FALSE)</f>
        <v>#N/A</v>
      </c>
      <c r="G377" s="96" t="e">
        <f ca="1">VLOOKUP(A377,'銀行-TSS'!A:K,11,FALSE)</f>
        <v>#N/A</v>
      </c>
      <c r="H377" s="1209" t="e">
        <f ca="1">VLOOKUP(A377,'銀行-TSS'!A:M,13,FALSE)</f>
        <v>#N/A</v>
      </c>
      <c r="I377" s="1213" t="e">
        <f ca="1">VLOOKUP(A377,'銀行-TSS'!A:N,14,FALSE)</f>
        <v>#N/A</v>
      </c>
      <c r="J377" s="1213" t="e">
        <f ca="1">VLOOKUP(A377,'銀行-TSS'!A:O,15,FALSE)</f>
        <v>#N/A</v>
      </c>
      <c r="K377" s="136" t="e">
        <f ca="1">VLOOKUP(A377,'銀行-TSS'!A:V,22,FALSE)</f>
        <v>#N/A</v>
      </c>
      <c r="L377" s="136" t="e">
        <f ca="1">VLOOKUP(A377,'銀行-TSS'!A:AK,37,FALSE)</f>
        <v>#N/A</v>
      </c>
      <c r="M377" s="136" t="str">
        <f ca="1">VLOOKUP(A377,'銀行-TSS'!A:AN,40,FALSE)</f>
        <v/>
      </c>
      <c r="N377" s="136" t="e">
        <f t="shared" ca="1" si="225"/>
        <v>#N/A</v>
      </c>
      <c r="O377" s="1213" t="e">
        <f t="shared" ca="1" si="226"/>
        <v>#N/A</v>
      </c>
      <c r="P377" s="1213" t="e">
        <f ca="1">IF(AND($O$1&gt;=O377,換券單檔!$D$13=D377),I377+INT(($O$1-O377)/N377)*J377,0)</f>
        <v>#N/A</v>
      </c>
      <c r="Q377" s="1213" t="e">
        <f t="shared" ca="1" si="227"/>
        <v>#N/A</v>
      </c>
      <c r="R377" s="1213">
        <f t="shared" si="228"/>
        <v>0</v>
      </c>
      <c r="S377" s="1213">
        <f t="shared" si="229"/>
        <v>0</v>
      </c>
      <c r="T377" s="136">
        <f>IF(OR(R377=0,A377=0),0,IF(AND(V377=TRUE,換券單檔!$D$13=D377),E377,0))</f>
        <v>0</v>
      </c>
      <c r="U377" s="861">
        <f>IF(OR(R377=0,A377=0),0,IF(AND(V377=TRUE,換券單檔!$D$13=D377),H377,0))</f>
        <v>0</v>
      </c>
      <c r="V377" s="136" t="e">
        <f ca="1">IF(OR(B377=換券單檔!$D$3,L377="無",M377&lt;&gt;"",K377="高資產",IFERROR(MATCH(B377,換券單檔!K:K,0),"N")&lt;&gt;"N"),FALSE,IF($V$1="All",TRUE,IF(K377=$V$1,TRUE,FALSE)))</f>
        <v>#N/A</v>
      </c>
      <c r="W377" s="136" t="e">
        <f ca="1">VLOOKUP(A377,'銀行-TSS'!A:AO,41,FALSE)</f>
        <v>#N/A</v>
      </c>
      <c r="X377" s="136" t="e">
        <f ca="1">VLOOKUP(A377,'銀行-TSS'!A:AP,42,FALSE)</f>
        <v>#N/A</v>
      </c>
      <c r="Y377" s="1220">
        <f t="shared" si="230"/>
        <v>0</v>
      </c>
      <c r="Z377" s="1220">
        <f t="shared" si="231"/>
        <v>0</v>
      </c>
      <c r="AA377" s="136">
        <f>IF(Z377&lt;=0,0,RANK(Z377,Z:Z)+COUNTIF($Z$3:$Z377,Z377)-1)</f>
        <v>0</v>
      </c>
      <c r="AB377" s="1211">
        <f t="shared" ca="1" si="232"/>
        <v>-14896.14</v>
      </c>
      <c r="AC377" s="136">
        <f ca="1">IF(AB377&lt;=0,0,RANK(AB377,AB:AB)+COUNTIF($AB$3:$AB377,AB377)-1)</f>
        <v>0</v>
      </c>
      <c r="AD377" s="1123">
        <f t="shared" si="233"/>
        <v>99999</v>
      </c>
      <c r="AE377" s="1123">
        <f>IF(AD377=99999,0,RANK(AD377,AD:AD,1)+COUNTIF($AD$3:$AD377,AD377)-1)</f>
        <v>0</v>
      </c>
      <c r="AF377" s="86" t="e">
        <f ca="1">IF(OR(M377&lt;&gt;"",L377="無",K377="高資產",IFERROR(MATCH(B377,換券單檔!K:K,0),"N")&lt;&gt;"N"),FALSE,TRUE)</f>
        <v>#N/A</v>
      </c>
      <c r="AI377" s="1212" t="e">
        <f t="shared" ca="1" si="234"/>
        <v>#N/A</v>
      </c>
      <c r="AJ377" s="1213" t="e">
        <f t="shared" ca="1" si="235"/>
        <v>#N/A</v>
      </c>
      <c r="AK377" s="1587">
        <f t="shared" si="236"/>
        <v>0</v>
      </c>
      <c r="AN377" s="1212" t="e">
        <f t="shared" ca="1" si="237"/>
        <v>#N/A</v>
      </c>
      <c r="AO377" s="1213" t="e">
        <f t="shared" ca="1" si="238"/>
        <v>#N/A</v>
      </c>
      <c r="AP377" s="1587">
        <f t="shared" si="239"/>
        <v>0</v>
      </c>
      <c r="AS377" s="1212" t="e">
        <f t="shared" ca="1" si="240"/>
        <v>#N/A</v>
      </c>
      <c r="AT377" s="1213" t="e">
        <f t="shared" ca="1" si="241"/>
        <v>#N/A</v>
      </c>
      <c r="AU377" s="1587">
        <f t="shared" si="242"/>
        <v>0</v>
      </c>
      <c r="AX377" s="1212" t="e">
        <f t="shared" ca="1" si="243"/>
        <v>#N/A</v>
      </c>
      <c r="AY377" s="1213" t="e">
        <f t="shared" ca="1" si="244"/>
        <v>#N/A</v>
      </c>
      <c r="AZ377" s="1587">
        <f t="shared" si="245"/>
        <v>0</v>
      </c>
      <c r="BC377" s="1212" t="e">
        <f t="shared" ca="1" si="246"/>
        <v>#N/A</v>
      </c>
      <c r="BD377" s="1213" t="e">
        <f t="shared" ca="1" si="247"/>
        <v>#N/A</v>
      </c>
      <c r="BE377" s="1587">
        <f t="shared" si="248"/>
        <v>0</v>
      </c>
      <c r="BH377" s="1212" t="e">
        <f t="shared" ca="1" si="249"/>
        <v>#N/A</v>
      </c>
      <c r="BI377" s="1213" t="e">
        <f t="shared" ca="1" si="250"/>
        <v>#N/A</v>
      </c>
      <c r="BJ377" s="1587">
        <f t="shared" si="251"/>
        <v>0</v>
      </c>
      <c r="BM377" s="1212" t="e">
        <f t="shared" ca="1" si="252"/>
        <v>#N/A</v>
      </c>
      <c r="BN377" s="1213" t="e">
        <f t="shared" ca="1" si="253"/>
        <v>#N/A</v>
      </c>
      <c r="BO377" s="1587">
        <f t="shared" si="254"/>
        <v>0</v>
      </c>
      <c r="BR377" s="1212" t="e">
        <f t="shared" ca="1" si="255"/>
        <v>#N/A</v>
      </c>
      <c r="BS377" s="1213" t="e">
        <f t="shared" ca="1" si="256"/>
        <v>#N/A</v>
      </c>
      <c r="BT377" s="1587">
        <f t="shared" si="257"/>
        <v>0</v>
      </c>
      <c r="BW377" s="1212" t="e">
        <f t="shared" ca="1" si="258"/>
        <v>#N/A</v>
      </c>
      <c r="BX377" s="1213" t="e">
        <f t="shared" ca="1" si="259"/>
        <v>#N/A</v>
      </c>
      <c r="BY377" s="1587">
        <f t="shared" si="260"/>
        <v>0</v>
      </c>
      <c r="CB377" s="1212" t="e">
        <f t="shared" ca="1" si="261"/>
        <v>#N/A</v>
      </c>
      <c r="CC377" s="1213" t="e">
        <f t="shared" ca="1" si="262"/>
        <v>#N/A</v>
      </c>
      <c r="CD377" s="1587">
        <f t="shared" si="263"/>
        <v>0</v>
      </c>
      <c r="CG377" s="1212" t="e">
        <f t="shared" ca="1" si="264"/>
        <v>#N/A</v>
      </c>
      <c r="CH377" s="1213" t="e">
        <f t="shared" ca="1" si="265"/>
        <v>#N/A</v>
      </c>
      <c r="CI377" s="1587">
        <f t="shared" si="266"/>
        <v>0</v>
      </c>
      <c r="CL377" s="1212" t="e">
        <f t="shared" ca="1" si="267"/>
        <v>#N/A</v>
      </c>
      <c r="CM377" s="1213" t="e">
        <f t="shared" ca="1" si="268"/>
        <v>#N/A</v>
      </c>
      <c r="CN377" s="1587">
        <f t="shared" si="269"/>
        <v>0</v>
      </c>
    </row>
    <row r="378" spans="1:92">
      <c r="A378" s="141">
        <f>'銀行-TSS'!A378</f>
        <v>0</v>
      </c>
      <c r="B378" s="151">
        <f ca="1">VLOOKUP(A378,'銀行-TSS'!A:B,2,FALSE)</f>
        <v>0</v>
      </c>
      <c r="C378" s="151" t="e">
        <f ca="1">VLOOKUP(B378,bond!B:C,2,FALSE)</f>
        <v>#N/A</v>
      </c>
      <c r="D378" s="95" t="e">
        <f>VLOOKUP(A378,'銀行-TSS'!A:C,3,FALSE)</f>
        <v>#N/A</v>
      </c>
      <c r="E378" s="90" t="e">
        <f ca="1">VLOOKUP(A378,'銀行-TSS'!A:G,7,FALSE)</f>
        <v>#N/A</v>
      </c>
      <c r="F378" s="202" t="e">
        <f ca="1">VLOOKUP(A378,'銀行-TSS'!A:H,8,FALSE)</f>
        <v>#N/A</v>
      </c>
      <c r="G378" s="96" t="e">
        <f ca="1">VLOOKUP(A378,'銀行-TSS'!A:K,11,FALSE)</f>
        <v>#N/A</v>
      </c>
      <c r="H378" s="1209" t="e">
        <f ca="1">VLOOKUP(A378,'銀行-TSS'!A:M,13,FALSE)</f>
        <v>#N/A</v>
      </c>
      <c r="I378" s="1213" t="e">
        <f ca="1">VLOOKUP(A378,'銀行-TSS'!A:N,14,FALSE)</f>
        <v>#N/A</v>
      </c>
      <c r="J378" s="1213" t="e">
        <f ca="1">VLOOKUP(A378,'銀行-TSS'!A:O,15,FALSE)</f>
        <v>#N/A</v>
      </c>
      <c r="K378" s="136" t="e">
        <f ca="1">VLOOKUP(A378,'銀行-TSS'!A:V,22,FALSE)</f>
        <v>#N/A</v>
      </c>
      <c r="L378" s="136" t="e">
        <f ca="1">VLOOKUP(A378,'銀行-TSS'!A:AK,37,FALSE)</f>
        <v>#N/A</v>
      </c>
      <c r="M378" s="136" t="str">
        <f ca="1">VLOOKUP(A378,'銀行-TSS'!A:AN,40,FALSE)</f>
        <v/>
      </c>
      <c r="N378" s="136" t="e">
        <f t="shared" ca="1" si="225"/>
        <v>#N/A</v>
      </c>
      <c r="O378" s="1213" t="e">
        <f t="shared" ca="1" si="226"/>
        <v>#N/A</v>
      </c>
      <c r="P378" s="1213" t="e">
        <f ca="1">IF(AND($O$1&gt;=O378,換券單檔!$D$13=D378),I378+INT(($O$1-O378)/N378)*J378,0)</f>
        <v>#N/A</v>
      </c>
      <c r="Q378" s="1213" t="e">
        <f t="shared" ca="1" si="227"/>
        <v>#N/A</v>
      </c>
      <c r="R378" s="1213">
        <f t="shared" si="228"/>
        <v>0</v>
      </c>
      <c r="S378" s="1213">
        <f t="shared" si="229"/>
        <v>0</v>
      </c>
      <c r="T378" s="136">
        <f>IF(OR(R378=0,A378=0),0,IF(AND(V378=TRUE,換券單檔!$D$13=D378),E378,0))</f>
        <v>0</v>
      </c>
      <c r="U378" s="861">
        <f>IF(OR(R378=0,A378=0),0,IF(AND(V378=TRUE,換券單檔!$D$13=D378),H378,0))</f>
        <v>0</v>
      </c>
      <c r="V378" s="136" t="e">
        <f ca="1">IF(OR(B378=換券單檔!$D$3,L378="無",M378&lt;&gt;"",K378="高資產",IFERROR(MATCH(B378,換券單檔!K:K,0),"N")&lt;&gt;"N"),FALSE,IF($V$1="All",TRUE,IF(K378=$V$1,TRUE,FALSE)))</f>
        <v>#N/A</v>
      </c>
      <c r="W378" s="136" t="e">
        <f ca="1">VLOOKUP(A378,'銀行-TSS'!A:AO,41,FALSE)</f>
        <v>#N/A</v>
      </c>
      <c r="X378" s="136" t="e">
        <f ca="1">VLOOKUP(A378,'銀行-TSS'!A:AP,42,FALSE)</f>
        <v>#N/A</v>
      </c>
      <c r="Y378" s="1220">
        <f t="shared" si="230"/>
        <v>0</v>
      </c>
      <c r="Z378" s="1220">
        <f t="shared" si="231"/>
        <v>0</v>
      </c>
      <c r="AA378" s="136">
        <f>IF(Z378&lt;=0,0,RANK(Z378,Z:Z)+COUNTIF($Z$3:$Z378,Z378)-1)</f>
        <v>0</v>
      </c>
      <c r="AB378" s="1211">
        <f t="shared" ca="1" si="232"/>
        <v>-14896.14</v>
      </c>
      <c r="AC378" s="136">
        <f ca="1">IF(AB378&lt;=0,0,RANK(AB378,AB:AB)+COUNTIF($AB$3:$AB378,AB378)-1)</f>
        <v>0</v>
      </c>
      <c r="AD378" s="1123">
        <f t="shared" si="233"/>
        <v>99999</v>
      </c>
      <c r="AE378" s="1123">
        <f>IF(AD378=99999,0,RANK(AD378,AD:AD,1)+COUNTIF($AD$3:$AD378,AD378)-1)</f>
        <v>0</v>
      </c>
      <c r="AF378" s="86" t="e">
        <f ca="1">IF(OR(M378&lt;&gt;"",L378="無",K378="高資產",IFERROR(MATCH(B378,換券單檔!K:K,0),"N")&lt;&gt;"N"),FALSE,TRUE)</f>
        <v>#N/A</v>
      </c>
      <c r="AI378" s="1212" t="e">
        <f t="shared" ca="1" si="234"/>
        <v>#N/A</v>
      </c>
      <c r="AJ378" s="1213" t="e">
        <f t="shared" ca="1" si="235"/>
        <v>#N/A</v>
      </c>
      <c r="AK378" s="1587">
        <f t="shared" si="236"/>
        <v>0</v>
      </c>
      <c r="AN378" s="1212" t="e">
        <f t="shared" ca="1" si="237"/>
        <v>#N/A</v>
      </c>
      <c r="AO378" s="1213" t="e">
        <f t="shared" ca="1" si="238"/>
        <v>#N/A</v>
      </c>
      <c r="AP378" s="1587">
        <f t="shared" si="239"/>
        <v>0</v>
      </c>
      <c r="AS378" s="1212" t="e">
        <f t="shared" ca="1" si="240"/>
        <v>#N/A</v>
      </c>
      <c r="AT378" s="1213" t="e">
        <f t="shared" ca="1" si="241"/>
        <v>#N/A</v>
      </c>
      <c r="AU378" s="1587">
        <f t="shared" si="242"/>
        <v>0</v>
      </c>
      <c r="AX378" s="1212" t="e">
        <f t="shared" ca="1" si="243"/>
        <v>#N/A</v>
      </c>
      <c r="AY378" s="1213" t="e">
        <f t="shared" ca="1" si="244"/>
        <v>#N/A</v>
      </c>
      <c r="AZ378" s="1587">
        <f t="shared" si="245"/>
        <v>0</v>
      </c>
      <c r="BC378" s="1212" t="e">
        <f t="shared" ca="1" si="246"/>
        <v>#N/A</v>
      </c>
      <c r="BD378" s="1213" t="e">
        <f t="shared" ca="1" si="247"/>
        <v>#N/A</v>
      </c>
      <c r="BE378" s="1587">
        <f t="shared" si="248"/>
        <v>0</v>
      </c>
      <c r="BH378" s="1212" t="e">
        <f t="shared" ca="1" si="249"/>
        <v>#N/A</v>
      </c>
      <c r="BI378" s="1213" t="e">
        <f t="shared" ca="1" si="250"/>
        <v>#N/A</v>
      </c>
      <c r="BJ378" s="1587">
        <f t="shared" si="251"/>
        <v>0</v>
      </c>
      <c r="BM378" s="1212" t="e">
        <f t="shared" ca="1" si="252"/>
        <v>#N/A</v>
      </c>
      <c r="BN378" s="1213" t="e">
        <f t="shared" ca="1" si="253"/>
        <v>#N/A</v>
      </c>
      <c r="BO378" s="1587">
        <f t="shared" si="254"/>
        <v>0</v>
      </c>
      <c r="BR378" s="1212" t="e">
        <f t="shared" ca="1" si="255"/>
        <v>#N/A</v>
      </c>
      <c r="BS378" s="1213" t="e">
        <f t="shared" ca="1" si="256"/>
        <v>#N/A</v>
      </c>
      <c r="BT378" s="1587">
        <f t="shared" si="257"/>
        <v>0</v>
      </c>
      <c r="BW378" s="1212" t="e">
        <f t="shared" ca="1" si="258"/>
        <v>#N/A</v>
      </c>
      <c r="BX378" s="1213" t="e">
        <f t="shared" ca="1" si="259"/>
        <v>#N/A</v>
      </c>
      <c r="BY378" s="1587">
        <f t="shared" si="260"/>
        <v>0</v>
      </c>
      <c r="CB378" s="1212" t="e">
        <f t="shared" ca="1" si="261"/>
        <v>#N/A</v>
      </c>
      <c r="CC378" s="1213" t="e">
        <f t="shared" ca="1" si="262"/>
        <v>#N/A</v>
      </c>
      <c r="CD378" s="1587">
        <f t="shared" si="263"/>
        <v>0</v>
      </c>
      <c r="CG378" s="1212" t="e">
        <f t="shared" ca="1" si="264"/>
        <v>#N/A</v>
      </c>
      <c r="CH378" s="1213" t="e">
        <f t="shared" ca="1" si="265"/>
        <v>#N/A</v>
      </c>
      <c r="CI378" s="1587">
        <f t="shared" si="266"/>
        <v>0</v>
      </c>
      <c r="CL378" s="1212" t="e">
        <f t="shared" ca="1" si="267"/>
        <v>#N/A</v>
      </c>
      <c r="CM378" s="1213" t="e">
        <f t="shared" ca="1" si="268"/>
        <v>#N/A</v>
      </c>
      <c r="CN378" s="1587">
        <f t="shared" si="269"/>
        <v>0</v>
      </c>
    </row>
    <row r="379" spans="1:92">
      <c r="A379" s="141">
        <f>'銀行-TSS'!A379</f>
        <v>0</v>
      </c>
      <c r="B379" s="151">
        <f ca="1">VLOOKUP(A379,'銀行-TSS'!A:B,2,FALSE)</f>
        <v>0</v>
      </c>
      <c r="C379" s="151" t="e">
        <f ca="1">VLOOKUP(B379,bond!B:C,2,FALSE)</f>
        <v>#N/A</v>
      </c>
      <c r="D379" s="95" t="e">
        <f>VLOOKUP(A379,'銀行-TSS'!A:C,3,FALSE)</f>
        <v>#N/A</v>
      </c>
      <c r="E379" s="90" t="e">
        <f ca="1">VLOOKUP(A379,'銀行-TSS'!A:G,7,FALSE)</f>
        <v>#N/A</v>
      </c>
      <c r="F379" s="202" t="e">
        <f ca="1">VLOOKUP(A379,'銀行-TSS'!A:H,8,FALSE)</f>
        <v>#N/A</v>
      </c>
      <c r="G379" s="96" t="e">
        <f ca="1">VLOOKUP(A379,'銀行-TSS'!A:K,11,FALSE)</f>
        <v>#N/A</v>
      </c>
      <c r="H379" s="1209" t="e">
        <f ca="1">VLOOKUP(A379,'銀行-TSS'!A:M,13,FALSE)</f>
        <v>#N/A</v>
      </c>
      <c r="I379" s="1213" t="e">
        <f ca="1">VLOOKUP(A379,'銀行-TSS'!A:N,14,FALSE)</f>
        <v>#N/A</v>
      </c>
      <c r="J379" s="1213" t="e">
        <f ca="1">VLOOKUP(A379,'銀行-TSS'!A:O,15,FALSE)</f>
        <v>#N/A</v>
      </c>
      <c r="K379" s="136" t="e">
        <f ca="1">VLOOKUP(A379,'銀行-TSS'!A:V,22,FALSE)</f>
        <v>#N/A</v>
      </c>
      <c r="L379" s="136" t="e">
        <f ca="1">VLOOKUP(A379,'銀行-TSS'!A:AK,37,FALSE)</f>
        <v>#N/A</v>
      </c>
      <c r="M379" s="136" t="str">
        <f ca="1">VLOOKUP(A379,'銀行-TSS'!A:AN,40,FALSE)</f>
        <v/>
      </c>
      <c r="N379" s="136" t="e">
        <f t="shared" ca="1" si="225"/>
        <v>#N/A</v>
      </c>
      <c r="O379" s="1213" t="e">
        <f t="shared" ca="1" si="226"/>
        <v>#N/A</v>
      </c>
      <c r="P379" s="1213" t="e">
        <f ca="1">IF(AND($O$1&gt;=O379,換券單檔!$D$13=D379),I379+INT(($O$1-O379)/N379)*J379,0)</f>
        <v>#N/A</v>
      </c>
      <c r="Q379" s="1213" t="e">
        <f t="shared" ca="1" si="227"/>
        <v>#N/A</v>
      </c>
      <c r="R379" s="1213">
        <f t="shared" si="228"/>
        <v>0</v>
      </c>
      <c r="S379" s="1213">
        <f t="shared" si="229"/>
        <v>0</v>
      </c>
      <c r="T379" s="136">
        <f>IF(OR(R379=0,A379=0),0,IF(AND(V379=TRUE,換券單檔!$D$13=D379),E379,0))</f>
        <v>0</v>
      </c>
      <c r="U379" s="861">
        <f>IF(OR(R379=0,A379=0),0,IF(AND(V379=TRUE,換券單檔!$D$13=D379),H379,0))</f>
        <v>0</v>
      </c>
      <c r="V379" s="136" t="e">
        <f ca="1">IF(OR(B379=換券單檔!$D$3,L379="無",M379&lt;&gt;"",K379="高資產",IFERROR(MATCH(B379,換券單檔!K:K,0),"N")&lt;&gt;"N"),FALSE,IF($V$1="All",TRUE,IF(K379=$V$1,TRUE,FALSE)))</f>
        <v>#N/A</v>
      </c>
      <c r="W379" s="136" t="e">
        <f ca="1">VLOOKUP(A379,'銀行-TSS'!A:AO,41,FALSE)</f>
        <v>#N/A</v>
      </c>
      <c r="X379" s="136" t="e">
        <f ca="1">VLOOKUP(A379,'銀行-TSS'!A:AP,42,FALSE)</f>
        <v>#N/A</v>
      </c>
      <c r="Y379" s="1220">
        <f t="shared" si="230"/>
        <v>0</v>
      </c>
      <c r="Z379" s="1220">
        <f t="shared" si="231"/>
        <v>0</v>
      </c>
      <c r="AA379" s="136">
        <f>IF(Z379&lt;=0,0,RANK(Z379,Z:Z)+COUNTIF($Z$3:$Z379,Z379)-1)</f>
        <v>0</v>
      </c>
      <c r="AB379" s="1211">
        <f t="shared" ca="1" si="232"/>
        <v>-14896.14</v>
      </c>
      <c r="AC379" s="136">
        <f ca="1">IF(AB379&lt;=0,0,RANK(AB379,AB:AB)+COUNTIF($AB$3:$AB379,AB379)-1)</f>
        <v>0</v>
      </c>
      <c r="AD379" s="1123">
        <f t="shared" si="233"/>
        <v>99999</v>
      </c>
      <c r="AE379" s="1123">
        <f>IF(AD379=99999,0,RANK(AD379,AD:AD,1)+COUNTIF($AD$3:$AD379,AD379)-1)</f>
        <v>0</v>
      </c>
      <c r="AF379" s="86" t="e">
        <f ca="1">IF(OR(M379&lt;&gt;"",L379="無",K379="高資產",IFERROR(MATCH(B379,換券單檔!K:K,0),"N")&lt;&gt;"N"),FALSE,TRUE)</f>
        <v>#N/A</v>
      </c>
      <c r="AI379" s="1212" t="e">
        <f t="shared" ca="1" si="234"/>
        <v>#N/A</v>
      </c>
      <c r="AJ379" s="1213" t="e">
        <f t="shared" ca="1" si="235"/>
        <v>#N/A</v>
      </c>
      <c r="AK379" s="1587">
        <f t="shared" si="236"/>
        <v>0</v>
      </c>
      <c r="AN379" s="1212" t="e">
        <f t="shared" ca="1" si="237"/>
        <v>#N/A</v>
      </c>
      <c r="AO379" s="1213" t="e">
        <f t="shared" ca="1" si="238"/>
        <v>#N/A</v>
      </c>
      <c r="AP379" s="1587">
        <f t="shared" si="239"/>
        <v>0</v>
      </c>
      <c r="AS379" s="1212" t="e">
        <f t="shared" ca="1" si="240"/>
        <v>#N/A</v>
      </c>
      <c r="AT379" s="1213" t="e">
        <f t="shared" ca="1" si="241"/>
        <v>#N/A</v>
      </c>
      <c r="AU379" s="1587">
        <f t="shared" si="242"/>
        <v>0</v>
      </c>
      <c r="AX379" s="1212" t="e">
        <f t="shared" ca="1" si="243"/>
        <v>#N/A</v>
      </c>
      <c r="AY379" s="1213" t="e">
        <f t="shared" ca="1" si="244"/>
        <v>#N/A</v>
      </c>
      <c r="AZ379" s="1587">
        <f t="shared" si="245"/>
        <v>0</v>
      </c>
      <c r="BC379" s="1212" t="e">
        <f t="shared" ca="1" si="246"/>
        <v>#N/A</v>
      </c>
      <c r="BD379" s="1213" t="e">
        <f t="shared" ca="1" si="247"/>
        <v>#N/A</v>
      </c>
      <c r="BE379" s="1587">
        <f t="shared" si="248"/>
        <v>0</v>
      </c>
      <c r="BH379" s="1212" t="e">
        <f t="shared" ca="1" si="249"/>
        <v>#N/A</v>
      </c>
      <c r="BI379" s="1213" t="e">
        <f t="shared" ca="1" si="250"/>
        <v>#N/A</v>
      </c>
      <c r="BJ379" s="1587">
        <f t="shared" si="251"/>
        <v>0</v>
      </c>
      <c r="BM379" s="1212" t="e">
        <f t="shared" ca="1" si="252"/>
        <v>#N/A</v>
      </c>
      <c r="BN379" s="1213" t="e">
        <f t="shared" ca="1" si="253"/>
        <v>#N/A</v>
      </c>
      <c r="BO379" s="1587">
        <f t="shared" si="254"/>
        <v>0</v>
      </c>
      <c r="BR379" s="1212" t="e">
        <f t="shared" ca="1" si="255"/>
        <v>#N/A</v>
      </c>
      <c r="BS379" s="1213" t="e">
        <f t="shared" ca="1" si="256"/>
        <v>#N/A</v>
      </c>
      <c r="BT379" s="1587">
        <f t="shared" si="257"/>
        <v>0</v>
      </c>
      <c r="BW379" s="1212" t="e">
        <f t="shared" ca="1" si="258"/>
        <v>#N/A</v>
      </c>
      <c r="BX379" s="1213" t="e">
        <f t="shared" ca="1" si="259"/>
        <v>#N/A</v>
      </c>
      <c r="BY379" s="1587">
        <f t="shared" si="260"/>
        <v>0</v>
      </c>
      <c r="CB379" s="1212" t="e">
        <f t="shared" ca="1" si="261"/>
        <v>#N/A</v>
      </c>
      <c r="CC379" s="1213" t="e">
        <f t="shared" ca="1" si="262"/>
        <v>#N/A</v>
      </c>
      <c r="CD379" s="1587">
        <f t="shared" si="263"/>
        <v>0</v>
      </c>
      <c r="CG379" s="1212" t="e">
        <f t="shared" ca="1" si="264"/>
        <v>#N/A</v>
      </c>
      <c r="CH379" s="1213" t="e">
        <f t="shared" ca="1" si="265"/>
        <v>#N/A</v>
      </c>
      <c r="CI379" s="1587">
        <f t="shared" si="266"/>
        <v>0</v>
      </c>
      <c r="CL379" s="1212" t="e">
        <f t="shared" ca="1" si="267"/>
        <v>#N/A</v>
      </c>
      <c r="CM379" s="1213" t="e">
        <f t="shared" ca="1" si="268"/>
        <v>#N/A</v>
      </c>
      <c r="CN379" s="1587">
        <f t="shared" si="269"/>
        <v>0</v>
      </c>
    </row>
    <row r="380" spans="1:92">
      <c r="A380" s="141">
        <f>'銀行-TSS'!A380</f>
        <v>0</v>
      </c>
      <c r="B380" s="151">
        <f ca="1">VLOOKUP(A380,'銀行-TSS'!A:B,2,FALSE)</f>
        <v>0</v>
      </c>
      <c r="C380" s="151" t="e">
        <f ca="1">VLOOKUP(B380,bond!B:C,2,FALSE)</f>
        <v>#N/A</v>
      </c>
      <c r="D380" s="95" t="e">
        <f>VLOOKUP(A380,'銀行-TSS'!A:C,3,FALSE)</f>
        <v>#N/A</v>
      </c>
      <c r="E380" s="90" t="e">
        <f ca="1">VLOOKUP(A380,'銀行-TSS'!A:G,7,FALSE)</f>
        <v>#N/A</v>
      </c>
      <c r="F380" s="202" t="e">
        <f ca="1">VLOOKUP(A380,'銀行-TSS'!A:H,8,FALSE)</f>
        <v>#N/A</v>
      </c>
      <c r="G380" s="96" t="e">
        <f ca="1">VLOOKUP(A380,'銀行-TSS'!A:K,11,FALSE)</f>
        <v>#N/A</v>
      </c>
      <c r="H380" s="1209" t="e">
        <f ca="1">VLOOKUP(A380,'銀行-TSS'!A:M,13,FALSE)</f>
        <v>#N/A</v>
      </c>
      <c r="I380" s="1213" t="e">
        <f ca="1">VLOOKUP(A380,'銀行-TSS'!A:N,14,FALSE)</f>
        <v>#N/A</v>
      </c>
      <c r="J380" s="1213" t="e">
        <f ca="1">VLOOKUP(A380,'銀行-TSS'!A:O,15,FALSE)</f>
        <v>#N/A</v>
      </c>
      <c r="K380" s="136" t="e">
        <f ca="1">VLOOKUP(A380,'銀行-TSS'!A:V,22,FALSE)</f>
        <v>#N/A</v>
      </c>
      <c r="L380" s="136" t="e">
        <f ca="1">VLOOKUP(A380,'銀行-TSS'!A:AK,37,FALSE)</f>
        <v>#N/A</v>
      </c>
      <c r="M380" s="136" t="str">
        <f ca="1">VLOOKUP(A380,'銀行-TSS'!A:AN,40,FALSE)</f>
        <v/>
      </c>
      <c r="N380" s="136" t="e">
        <f t="shared" ca="1" si="225"/>
        <v>#N/A</v>
      </c>
      <c r="O380" s="1213" t="e">
        <f t="shared" ca="1" si="226"/>
        <v>#N/A</v>
      </c>
      <c r="P380" s="1213" t="e">
        <f ca="1">IF(AND($O$1&gt;=O380,換券單檔!$D$13=D380),I380+INT(($O$1-O380)/N380)*J380,0)</f>
        <v>#N/A</v>
      </c>
      <c r="Q380" s="1213" t="e">
        <f t="shared" ca="1" si="227"/>
        <v>#N/A</v>
      </c>
      <c r="R380" s="1213">
        <f t="shared" si="228"/>
        <v>0</v>
      </c>
      <c r="S380" s="1213">
        <f t="shared" si="229"/>
        <v>0</v>
      </c>
      <c r="T380" s="136">
        <f>IF(OR(R380=0,A380=0),0,IF(AND(V380=TRUE,換券單檔!$D$13=D380),E380,0))</f>
        <v>0</v>
      </c>
      <c r="U380" s="861">
        <f>IF(OR(R380=0,A380=0),0,IF(AND(V380=TRUE,換券單檔!$D$13=D380),H380,0))</f>
        <v>0</v>
      </c>
      <c r="V380" s="136" t="e">
        <f ca="1">IF(OR(B380=換券單檔!$D$3,L380="無",M380&lt;&gt;"",K380="高資產",IFERROR(MATCH(B380,換券單檔!K:K,0),"N")&lt;&gt;"N"),FALSE,IF($V$1="All",TRUE,IF(K380=$V$1,TRUE,FALSE)))</f>
        <v>#N/A</v>
      </c>
      <c r="W380" s="136" t="e">
        <f ca="1">VLOOKUP(A380,'銀行-TSS'!A:AO,41,FALSE)</f>
        <v>#N/A</v>
      </c>
      <c r="X380" s="136" t="e">
        <f ca="1">VLOOKUP(A380,'銀行-TSS'!A:AP,42,FALSE)</f>
        <v>#N/A</v>
      </c>
      <c r="Y380" s="1220">
        <f t="shared" si="230"/>
        <v>0</v>
      </c>
      <c r="Z380" s="1220">
        <f t="shared" si="231"/>
        <v>0</v>
      </c>
      <c r="AA380" s="136">
        <f>IF(Z380&lt;=0,0,RANK(Z380,Z:Z)+COUNTIF($Z$3:$Z380,Z380)-1)</f>
        <v>0</v>
      </c>
      <c r="AB380" s="1211">
        <f t="shared" ca="1" si="232"/>
        <v>-14896.14</v>
      </c>
      <c r="AC380" s="136">
        <f ca="1">IF(AB380&lt;=0,0,RANK(AB380,AB:AB)+COUNTIF($AB$3:$AB380,AB380)-1)</f>
        <v>0</v>
      </c>
      <c r="AD380" s="1123">
        <f t="shared" si="233"/>
        <v>99999</v>
      </c>
      <c r="AE380" s="1123">
        <f>IF(AD380=99999,0,RANK(AD380,AD:AD,1)+COUNTIF($AD$3:$AD380,AD380)-1)</f>
        <v>0</v>
      </c>
      <c r="AF380" s="86" t="e">
        <f ca="1">IF(OR(M380&lt;&gt;"",L380="無",K380="高資產",IFERROR(MATCH(B380,換券單檔!K:K,0),"N")&lt;&gt;"N"),FALSE,TRUE)</f>
        <v>#N/A</v>
      </c>
      <c r="AI380" s="1212" t="e">
        <f t="shared" ca="1" si="234"/>
        <v>#N/A</v>
      </c>
      <c r="AJ380" s="1213" t="e">
        <f t="shared" ca="1" si="235"/>
        <v>#N/A</v>
      </c>
      <c r="AK380" s="1587">
        <f t="shared" si="236"/>
        <v>0</v>
      </c>
      <c r="AN380" s="1212" t="e">
        <f t="shared" ca="1" si="237"/>
        <v>#N/A</v>
      </c>
      <c r="AO380" s="1213" t="e">
        <f t="shared" ca="1" si="238"/>
        <v>#N/A</v>
      </c>
      <c r="AP380" s="1587">
        <f t="shared" si="239"/>
        <v>0</v>
      </c>
      <c r="AS380" s="1212" t="e">
        <f t="shared" ca="1" si="240"/>
        <v>#N/A</v>
      </c>
      <c r="AT380" s="1213" t="e">
        <f t="shared" ca="1" si="241"/>
        <v>#N/A</v>
      </c>
      <c r="AU380" s="1587">
        <f t="shared" si="242"/>
        <v>0</v>
      </c>
      <c r="AX380" s="1212" t="e">
        <f t="shared" ca="1" si="243"/>
        <v>#N/A</v>
      </c>
      <c r="AY380" s="1213" t="e">
        <f t="shared" ca="1" si="244"/>
        <v>#N/A</v>
      </c>
      <c r="AZ380" s="1587">
        <f t="shared" si="245"/>
        <v>0</v>
      </c>
      <c r="BC380" s="1212" t="e">
        <f t="shared" ca="1" si="246"/>
        <v>#N/A</v>
      </c>
      <c r="BD380" s="1213" t="e">
        <f t="shared" ca="1" si="247"/>
        <v>#N/A</v>
      </c>
      <c r="BE380" s="1587">
        <f t="shared" si="248"/>
        <v>0</v>
      </c>
      <c r="BH380" s="1212" t="e">
        <f t="shared" ca="1" si="249"/>
        <v>#N/A</v>
      </c>
      <c r="BI380" s="1213" t="e">
        <f t="shared" ca="1" si="250"/>
        <v>#N/A</v>
      </c>
      <c r="BJ380" s="1587">
        <f t="shared" si="251"/>
        <v>0</v>
      </c>
      <c r="BM380" s="1212" t="e">
        <f t="shared" ca="1" si="252"/>
        <v>#N/A</v>
      </c>
      <c r="BN380" s="1213" t="e">
        <f t="shared" ca="1" si="253"/>
        <v>#N/A</v>
      </c>
      <c r="BO380" s="1587">
        <f t="shared" si="254"/>
        <v>0</v>
      </c>
      <c r="BR380" s="1212" t="e">
        <f t="shared" ca="1" si="255"/>
        <v>#N/A</v>
      </c>
      <c r="BS380" s="1213" t="e">
        <f t="shared" ca="1" si="256"/>
        <v>#N/A</v>
      </c>
      <c r="BT380" s="1587">
        <f t="shared" si="257"/>
        <v>0</v>
      </c>
      <c r="BW380" s="1212" t="e">
        <f t="shared" ca="1" si="258"/>
        <v>#N/A</v>
      </c>
      <c r="BX380" s="1213" t="e">
        <f t="shared" ca="1" si="259"/>
        <v>#N/A</v>
      </c>
      <c r="BY380" s="1587">
        <f t="shared" si="260"/>
        <v>0</v>
      </c>
      <c r="CB380" s="1212" t="e">
        <f t="shared" ca="1" si="261"/>
        <v>#N/A</v>
      </c>
      <c r="CC380" s="1213" t="e">
        <f t="shared" ca="1" si="262"/>
        <v>#N/A</v>
      </c>
      <c r="CD380" s="1587">
        <f t="shared" si="263"/>
        <v>0</v>
      </c>
      <c r="CG380" s="1212" t="e">
        <f t="shared" ca="1" si="264"/>
        <v>#N/A</v>
      </c>
      <c r="CH380" s="1213" t="e">
        <f t="shared" ca="1" si="265"/>
        <v>#N/A</v>
      </c>
      <c r="CI380" s="1587">
        <f t="shared" si="266"/>
        <v>0</v>
      </c>
      <c r="CL380" s="1212" t="e">
        <f t="shared" ca="1" si="267"/>
        <v>#N/A</v>
      </c>
      <c r="CM380" s="1213" t="e">
        <f t="shared" ca="1" si="268"/>
        <v>#N/A</v>
      </c>
      <c r="CN380" s="1587">
        <f t="shared" si="269"/>
        <v>0</v>
      </c>
    </row>
    <row r="381" spans="1:92">
      <c r="A381" s="141">
        <f>'銀行-TSS'!A381</f>
        <v>0</v>
      </c>
      <c r="B381" s="151">
        <f ca="1">VLOOKUP(A381,'銀行-TSS'!A:B,2,FALSE)</f>
        <v>0</v>
      </c>
      <c r="C381" s="151" t="e">
        <f ca="1">VLOOKUP(B381,bond!B:C,2,FALSE)</f>
        <v>#N/A</v>
      </c>
      <c r="D381" s="95" t="e">
        <f>VLOOKUP(A381,'銀行-TSS'!A:C,3,FALSE)</f>
        <v>#N/A</v>
      </c>
      <c r="E381" s="90" t="e">
        <f ca="1">VLOOKUP(A381,'銀行-TSS'!A:G,7,FALSE)</f>
        <v>#N/A</v>
      </c>
      <c r="F381" s="202" t="e">
        <f ca="1">VLOOKUP(A381,'銀行-TSS'!A:H,8,FALSE)</f>
        <v>#N/A</v>
      </c>
      <c r="G381" s="96" t="e">
        <f ca="1">VLOOKUP(A381,'銀行-TSS'!A:K,11,FALSE)</f>
        <v>#N/A</v>
      </c>
      <c r="H381" s="1209" t="e">
        <f ca="1">VLOOKUP(A381,'銀行-TSS'!A:M,13,FALSE)</f>
        <v>#N/A</v>
      </c>
      <c r="I381" s="1213" t="e">
        <f ca="1">VLOOKUP(A381,'銀行-TSS'!A:N,14,FALSE)</f>
        <v>#N/A</v>
      </c>
      <c r="J381" s="1213" t="e">
        <f ca="1">VLOOKUP(A381,'銀行-TSS'!A:O,15,FALSE)</f>
        <v>#N/A</v>
      </c>
      <c r="K381" s="136" t="e">
        <f ca="1">VLOOKUP(A381,'銀行-TSS'!A:V,22,FALSE)</f>
        <v>#N/A</v>
      </c>
      <c r="L381" s="136" t="e">
        <f ca="1">VLOOKUP(A381,'銀行-TSS'!A:AK,37,FALSE)</f>
        <v>#N/A</v>
      </c>
      <c r="M381" s="136" t="str">
        <f ca="1">VLOOKUP(A381,'銀行-TSS'!A:AN,40,FALSE)</f>
        <v/>
      </c>
      <c r="N381" s="136" t="e">
        <f t="shared" ca="1" si="225"/>
        <v>#N/A</v>
      </c>
      <c r="O381" s="1213" t="e">
        <f t="shared" ca="1" si="226"/>
        <v>#N/A</v>
      </c>
      <c r="P381" s="1213" t="e">
        <f ca="1">IF(AND($O$1&gt;=O381,換券單檔!$D$13=D381),I381+INT(($O$1-O381)/N381)*J381,0)</f>
        <v>#N/A</v>
      </c>
      <c r="Q381" s="1213" t="e">
        <f t="shared" ca="1" si="227"/>
        <v>#N/A</v>
      </c>
      <c r="R381" s="1213">
        <f t="shared" si="228"/>
        <v>0</v>
      </c>
      <c r="S381" s="1213">
        <f t="shared" si="229"/>
        <v>0</v>
      </c>
      <c r="T381" s="136">
        <f>IF(OR(R381=0,A381=0),0,IF(AND(V381=TRUE,換券單檔!$D$13=D381),E381,0))</f>
        <v>0</v>
      </c>
      <c r="U381" s="861">
        <f>IF(OR(R381=0,A381=0),0,IF(AND(V381=TRUE,換券單檔!$D$13=D381),H381,0))</f>
        <v>0</v>
      </c>
      <c r="V381" s="136" t="e">
        <f ca="1">IF(OR(B381=換券單檔!$D$3,L381="無",M381&lt;&gt;"",K381="高資產",IFERROR(MATCH(B381,換券單檔!K:K,0),"N")&lt;&gt;"N"),FALSE,IF($V$1="All",TRUE,IF(K381=$V$1,TRUE,FALSE)))</f>
        <v>#N/A</v>
      </c>
      <c r="W381" s="136" t="e">
        <f ca="1">VLOOKUP(A381,'銀行-TSS'!A:AO,41,FALSE)</f>
        <v>#N/A</v>
      </c>
      <c r="X381" s="136" t="e">
        <f ca="1">VLOOKUP(A381,'銀行-TSS'!A:AP,42,FALSE)</f>
        <v>#N/A</v>
      </c>
      <c r="Y381" s="1220">
        <f t="shared" si="230"/>
        <v>0</v>
      </c>
      <c r="Z381" s="1220">
        <f t="shared" si="231"/>
        <v>0</v>
      </c>
      <c r="AA381" s="136">
        <f>IF(Z381&lt;=0,0,RANK(Z381,Z:Z)+COUNTIF($Z$3:$Z381,Z381)-1)</f>
        <v>0</v>
      </c>
      <c r="AB381" s="1211">
        <f t="shared" ca="1" si="232"/>
        <v>-14896.14</v>
      </c>
      <c r="AC381" s="136">
        <f ca="1">IF(AB381&lt;=0,0,RANK(AB381,AB:AB)+COUNTIF($AB$3:$AB381,AB381)-1)</f>
        <v>0</v>
      </c>
      <c r="AD381" s="1123">
        <f t="shared" si="233"/>
        <v>99999</v>
      </c>
      <c r="AE381" s="1123">
        <f>IF(AD381=99999,0,RANK(AD381,AD:AD,1)+COUNTIF($AD$3:$AD381,AD381)-1)</f>
        <v>0</v>
      </c>
      <c r="AF381" s="86" t="e">
        <f ca="1">IF(OR(M381&lt;&gt;"",L381="無",K381="高資產",IFERROR(MATCH(B381,換券單檔!K:K,0),"N")&lt;&gt;"N"),FALSE,TRUE)</f>
        <v>#N/A</v>
      </c>
      <c r="AI381" s="1212" t="e">
        <f t="shared" ca="1" si="234"/>
        <v>#N/A</v>
      </c>
      <c r="AJ381" s="1213" t="e">
        <f t="shared" ca="1" si="235"/>
        <v>#N/A</v>
      </c>
      <c r="AK381" s="1587">
        <f t="shared" si="236"/>
        <v>0</v>
      </c>
      <c r="AN381" s="1212" t="e">
        <f t="shared" ca="1" si="237"/>
        <v>#N/A</v>
      </c>
      <c r="AO381" s="1213" t="e">
        <f t="shared" ca="1" si="238"/>
        <v>#N/A</v>
      </c>
      <c r="AP381" s="1587">
        <f t="shared" si="239"/>
        <v>0</v>
      </c>
      <c r="AS381" s="1212" t="e">
        <f t="shared" ca="1" si="240"/>
        <v>#N/A</v>
      </c>
      <c r="AT381" s="1213" t="e">
        <f t="shared" ca="1" si="241"/>
        <v>#N/A</v>
      </c>
      <c r="AU381" s="1587">
        <f t="shared" si="242"/>
        <v>0</v>
      </c>
      <c r="AX381" s="1212" t="e">
        <f t="shared" ca="1" si="243"/>
        <v>#N/A</v>
      </c>
      <c r="AY381" s="1213" t="e">
        <f t="shared" ca="1" si="244"/>
        <v>#N/A</v>
      </c>
      <c r="AZ381" s="1587">
        <f t="shared" si="245"/>
        <v>0</v>
      </c>
      <c r="BC381" s="1212" t="e">
        <f t="shared" ca="1" si="246"/>
        <v>#N/A</v>
      </c>
      <c r="BD381" s="1213" t="e">
        <f t="shared" ca="1" si="247"/>
        <v>#N/A</v>
      </c>
      <c r="BE381" s="1587">
        <f t="shared" si="248"/>
        <v>0</v>
      </c>
      <c r="BH381" s="1212" t="e">
        <f t="shared" ca="1" si="249"/>
        <v>#N/A</v>
      </c>
      <c r="BI381" s="1213" t="e">
        <f t="shared" ca="1" si="250"/>
        <v>#N/A</v>
      </c>
      <c r="BJ381" s="1587">
        <f t="shared" si="251"/>
        <v>0</v>
      </c>
      <c r="BM381" s="1212" t="e">
        <f t="shared" ca="1" si="252"/>
        <v>#N/A</v>
      </c>
      <c r="BN381" s="1213" t="e">
        <f t="shared" ca="1" si="253"/>
        <v>#N/A</v>
      </c>
      <c r="BO381" s="1587">
        <f t="shared" si="254"/>
        <v>0</v>
      </c>
      <c r="BR381" s="1212" t="e">
        <f t="shared" ca="1" si="255"/>
        <v>#N/A</v>
      </c>
      <c r="BS381" s="1213" t="e">
        <f t="shared" ca="1" si="256"/>
        <v>#N/A</v>
      </c>
      <c r="BT381" s="1587">
        <f t="shared" si="257"/>
        <v>0</v>
      </c>
      <c r="BW381" s="1212" t="e">
        <f t="shared" ca="1" si="258"/>
        <v>#N/A</v>
      </c>
      <c r="BX381" s="1213" t="e">
        <f t="shared" ca="1" si="259"/>
        <v>#N/A</v>
      </c>
      <c r="BY381" s="1587">
        <f t="shared" si="260"/>
        <v>0</v>
      </c>
      <c r="CB381" s="1212" t="e">
        <f t="shared" ca="1" si="261"/>
        <v>#N/A</v>
      </c>
      <c r="CC381" s="1213" t="e">
        <f t="shared" ca="1" si="262"/>
        <v>#N/A</v>
      </c>
      <c r="CD381" s="1587">
        <f t="shared" si="263"/>
        <v>0</v>
      </c>
      <c r="CG381" s="1212" t="e">
        <f t="shared" ca="1" si="264"/>
        <v>#N/A</v>
      </c>
      <c r="CH381" s="1213" t="e">
        <f t="shared" ca="1" si="265"/>
        <v>#N/A</v>
      </c>
      <c r="CI381" s="1587">
        <f t="shared" si="266"/>
        <v>0</v>
      </c>
      <c r="CL381" s="1212" t="e">
        <f t="shared" ca="1" si="267"/>
        <v>#N/A</v>
      </c>
      <c r="CM381" s="1213" t="e">
        <f t="shared" ca="1" si="268"/>
        <v>#N/A</v>
      </c>
      <c r="CN381" s="1587">
        <f t="shared" si="269"/>
        <v>0</v>
      </c>
    </row>
    <row r="382" spans="1:92">
      <c r="A382" s="141">
        <f>'銀行-TSS'!A382</f>
        <v>0</v>
      </c>
      <c r="B382" s="151">
        <f ca="1">VLOOKUP(A382,'銀行-TSS'!A:B,2,FALSE)</f>
        <v>0</v>
      </c>
      <c r="C382" s="151" t="e">
        <f ca="1">VLOOKUP(B382,bond!B:C,2,FALSE)</f>
        <v>#N/A</v>
      </c>
      <c r="D382" s="95" t="e">
        <f>VLOOKUP(A382,'銀行-TSS'!A:C,3,FALSE)</f>
        <v>#N/A</v>
      </c>
      <c r="E382" s="90" t="e">
        <f ca="1">VLOOKUP(A382,'銀行-TSS'!A:G,7,FALSE)</f>
        <v>#N/A</v>
      </c>
      <c r="F382" s="202" t="e">
        <f ca="1">VLOOKUP(A382,'銀行-TSS'!A:H,8,FALSE)</f>
        <v>#N/A</v>
      </c>
      <c r="G382" s="96" t="e">
        <f ca="1">VLOOKUP(A382,'銀行-TSS'!A:K,11,FALSE)</f>
        <v>#N/A</v>
      </c>
      <c r="H382" s="1209" t="e">
        <f ca="1">VLOOKUP(A382,'銀行-TSS'!A:M,13,FALSE)</f>
        <v>#N/A</v>
      </c>
      <c r="I382" s="1213" t="e">
        <f ca="1">VLOOKUP(A382,'銀行-TSS'!A:N,14,FALSE)</f>
        <v>#N/A</v>
      </c>
      <c r="J382" s="1213" t="e">
        <f ca="1">VLOOKUP(A382,'銀行-TSS'!A:O,15,FALSE)</f>
        <v>#N/A</v>
      </c>
      <c r="K382" s="136" t="e">
        <f ca="1">VLOOKUP(A382,'銀行-TSS'!A:V,22,FALSE)</f>
        <v>#N/A</v>
      </c>
      <c r="L382" s="136" t="e">
        <f ca="1">VLOOKUP(A382,'銀行-TSS'!A:AK,37,FALSE)</f>
        <v>#N/A</v>
      </c>
      <c r="M382" s="136" t="str">
        <f ca="1">VLOOKUP(A382,'銀行-TSS'!A:AN,40,FALSE)</f>
        <v/>
      </c>
      <c r="N382" s="136" t="e">
        <f t="shared" ca="1" si="225"/>
        <v>#N/A</v>
      </c>
      <c r="O382" s="1213" t="e">
        <f t="shared" ca="1" si="226"/>
        <v>#N/A</v>
      </c>
      <c r="P382" s="1213" t="e">
        <f ca="1">IF(AND($O$1&gt;=O382,換券單檔!$D$13=D382),I382+INT(($O$1-O382)/N382)*J382,0)</f>
        <v>#N/A</v>
      </c>
      <c r="Q382" s="1213" t="e">
        <f t="shared" ca="1" si="227"/>
        <v>#N/A</v>
      </c>
      <c r="R382" s="1213">
        <f t="shared" si="228"/>
        <v>0</v>
      </c>
      <c r="S382" s="1213">
        <f t="shared" si="229"/>
        <v>0</v>
      </c>
      <c r="T382" s="136">
        <f>IF(OR(R382=0,A382=0),0,IF(AND(V382=TRUE,換券單檔!$D$13=D382),E382,0))</f>
        <v>0</v>
      </c>
      <c r="U382" s="861">
        <f>IF(OR(R382=0,A382=0),0,IF(AND(V382=TRUE,換券單檔!$D$13=D382),H382,0))</f>
        <v>0</v>
      </c>
      <c r="V382" s="136" t="e">
        <f ca="1">IF(OR(B382=換券單檔!$D$3,L382="無",M382&lt;&gt;"",K382="高資產",IFERROR(MATCH(B382,換券單檔!K:K,0),"N")&lt;&gt;"N"),FALSE,IF($V$1="All",TRUE,IF(K382=$V$1,TRUE,FALSE)))</f>
        <v>#N/A</v>
      </c>
      <c r="W382" s="136" t="e">
        <f ca="1">VLOOKUP(A382,'銀行-TSS'!A:AO,41,FALSE)</f>
        <v>#N/A</v>
      </c>
      <c r="X382" s="136" t="e">
        <f ca="1">VLOOKUP(A382,'銀行-TSS'!A:AP,42,FALSE)</f>
        <v>#N/A</v>
      </c>
      <c r="Y382" s="1220">
        <f t="shared" si="230"/>
        <v>0</v>
      </c>
      <c r="Z382" s="1220">
        <f t="shared" si="231"/>
        <v>0</v>
      </c>
      <c r="AA382" s="136">
        <f>IF(Z382&lt;=0,0,RANK(Z382,Z:Z)+COUNTIF($Z$3:$Z382,Z382)-1)</f>
        <v>0</v>
      </c>
      <c r="AB382" s="1211">
        <f t="shared" ca="1" si="232"/>
        <v>-14896.14</v>
      </c>
      <c r="AC382" s="136">
        <f ca="1">IF(AB382&lt;=0,0,RANK(AB382,AB:AB)+COUNTIF($AB$3:$AB382,AB382)-1)</f>
        <v>0</v>
      </c>
      <c r="AD382" s="1123">
        <f t="shared" si="233"/>
        <v>99999</v>
      </c>
      <c r="AE382" s="1123">
        <f>IF(AD382=99999,0,RANK(AD382,AD:AD,1)+COUNTIF($AD$3:$AD382,AD382)-1)</f>
        <v>0</v>
      </c>
      <c r="AF382" s="86" t="e">
        <f ca="1">IF(OR(M382&lt;&gt;"",L382="無",K382="高資產",IFERROR(MATCH(B382,換券單檔!K:K,0),"N")&lt;&gt;"N"),FALSE,TRUE)</f>
        <v>#N/A</v>
      </c>
      <c r="AI382" s="1212" t="e">
        <f t="shared" ca="1" si="234"/>
        <v>#N/A</v>
      </c>
      <c r="AJ382" s="1213" t="e">
        <f t="shared" ca="1" si="235"/>
        <v>#N/A</v>
      </c>
      <c r="AK382" s="1587">
        <f t="shared" si="236"/>
        <v>0</v>
      </c>
      <c r="AN382" s="1212" t="e">
        <f t="shared" ca="1" si="237"/>
        <v>#N/A</v>
      </c>
      <c r="AO382" s="1213" t="e">
        <f t="shared" ca="1" si="238"/>
        <v>#N/A</v>
      </c>
      <c r="AP382" s="1587">
        <f t="shared" si="239"/>
        <v>0</v>
      </c>
      <c r="AS382" s="1212" t="e">
        <f t="shared" ca="1" si="240"/>
        <v>#N/A</v>
      </c>
      <c r="AT382" s="1213" t="e">
        <f t="shared" ca="1" si="241"/>
        <v>#N/A</v>
      </c>
      <c r="AU382" s="1587">
        <f t="shared" si="242"/>
        <v>0</v>
      </c>
      <c r="AX382" s="1212" t="e">
        <f t="shared" ca="1" si="243"/>
        <v>#N/A</v>
      </c>
      <c r="AY382" s="1213" t="e">
        <f t="shared" ca="1" si="244"/>
        <v>#N/A</v>
      </c>
      <c r="AZ382" s="1587">
        <f t="shared" si="245"/>
        <v>0</v>
      </c>
      <c r="BC382" s="1212" t="e">
        <f t="shared" ca="1" si="246"/>
        <v>#N/A</v>
      </c>
      <c r="BD382" s="1213" t="e">
        <f t="shared" ca="1" si="247"/>
        <v>#N/A</v>
      </c>
      <c r="BE382" s="1587">
        <f t="shared" si="248"/>
        <v>0</v>
      </c>
      <c r="BH382" s="1212" t="e">
        <f t="shared" ca="1" si="249"/>
        <v>#N/A</v>
      </c>
      <c r="BI382" s="1213" t="e">
        <f t="shared" ca="1" si="250"/>
        <v>#N/A</v>
      </c>
      <c r="BJ382" s="1587">
        <f t="shared" si="251"/>
        <v>0</v>
      </c>
      <c r="BM382" s="1212" t="e">
        <f t="shared" ca="1" si="252"/>
        <v>#N/A</v>
      </c>
      <c r="BN382" s="1213" t="e">
        <f t="shared" ca="1" si="253"/>
        <v>#N/A</v>
      </c>
      <c r="BO382" s="1587">
        <f t="shared" si="254"/>
        <v>0</v>
      </c>
      <c r="BR382" s="1212" t="e">
        <f t="shared" ca="1" si="255"/>
        <v>#N/A</v>
      </c>
      <c r="BS382" s="1213" t="e">
        <f t="shared" ca="1" si="256"/>
        <v>#N/A</v>
      </c>
      <c r="BT382" s="1587">
        <f t="shared" si="257"/>
        <v>0</v>
      </c>
      <c r="BW382" s="1212" t="e">
        <f t="shared" ca="1" si="258"/>
        <v>#N/A</v>
      </c>
      <c r="BX382" s="1213" t="e">
        <f t="shared" ca="1" si="259"/>
        <v>#N/A</v>
      </c>
      <c r="BY382" s="1587">
        <f t="shared" si="260"/>
        <v>0</v>
      </c>
      <c r="CB382" s="1212" t="e">
        <f t="shared" ca="1" si="261"/>
        <v>#N/A</v>
      </c>
      <c r="CC382" s="1213" t="e">
        <f t="shared" ca="1" si="262"/>
        <v>#N/A</v>
      </c>
      <c r="CD382" s="1587">
        <f t="shared" si="263"/>
        <v>0</v>
      </c>
      <c r="CG382" s="1212" t="e">
        <f t="shared" ca="1" si="264"/>
        <v>#N/A</v>
      </c>
      <c r="CH382" s="1213" t="e">
        <f t="shared" ca="1" si="265"/>
        <v>#N/A</v>
      </c>
      <c r="CI382" s="1587">
        <f t="shared" si="266"/>
        <v>0</v>
      </c>
      <c r="CL382" s="1212" t="e">
        <f t="shared" ca="1" si="267"/>
        <v>#N/A</v>
      </c>
      <c r="CM382" s="1213" t="e">
        <f t="shared" ca="1" si="268"/>
        <v>#N/A</v>
      </c>
      <c r="CN382" s="1587">
        <f t="shared" si="269"/>
        <v>0</v>
      </c>
    </row>
    <row r="383" spans="1:92">
      <c r="A383" s="141">
        <f>'銀行-TSS'!A383</f>
        <v>0</v>
      </c>
      <c r="B383" s="151">
        <f ca="1">VLOOKUP(A383,'銀行-TSS'!A:B,2,FALSE)</f>
        <v>0</v>
      </c>
      <c r="C383" s="151" t="e">
        <f ca="1">VLOOKUP(B383,bond!B:C,2,FALSE)</f>
        <v>#N/A</v>
      </c>
      <c r="D383" s="95" t="e">
        <f>VLOOKUP(A383,'銀行-TSS'!A:C,3,FALSE)</f>
        <v>#N/A</v>
      </c>
      <c r="E383" s="90" t="e">
        <f ca="1">VLOOKUP(A383,'銀行-TSS'!A:G,7,FALSE)</f>
        <v>#N/A</v>
      </c>
      <c r="F383" s="202" t="e">
        <f ca="1">VLOOKUP(A383,'銀行-TSS'!A:H,8,FALSE)</f>
        <v>#N/A</v>
      </c>
      <c r="G383" s="96" t="e">
        <f ca="1">VLOOKUP(A383,'銀行-TSS'!A:K,11,FALSE)</f>
        <v>#N/A</v>
      </c>
      <c r="H383" s="1209" t="e">
        <f ca="1">VLOOKUP(A383,'銀行-TSS'!A:M,13,FALSE)</f>
        <v>#N/A</v>
      </c>
      <c r="I383" s="1213" t="e">
        <f ca="1">VLOOKUP(A383,'銀行-TSS'!A:N,14,FALSE)</f>
        <v>#N/A</v>
      </c>
      <c r="J383" s="1213" t="e">
        <f ca="1">VLOOKUP(A383,'銀行-TSS'!A:O,15,FALSE)</f>
        <v>#N/A</v>
      </c>
      <c r="K383" s="136" t="e">
        <f ca="1">VLOOKUP(A383,'銀行-TSS'!A:V,22,FALSE)</f>
        <v>#N/A</v>
      </c>
      <c r="L383" s="136" t="e">
        <f ca="1">VLOOKUP(A383,'銀行-TSS'!A:AK,37,FALSE)</f>
        <v>#N/A</v>
      </c>
      <c r="M383" s="136" t="str">
        <f ca="1">VLOOKUP(A383,'銀行-TSS'!A:AN,40,FALSE)</f>
        <v/>
      </c>
      <c r="N383" s="136" t="e">
        <f t="shared" ca="1" si="225"/>
        <v>#N/A</v>
      </c>
      <c r="O383" s="1213" t="e">
        <f t="shared" ca="1" si="226"/>
        <v>#N/A</v>
      </c>
      <c r="P383" s="1213" t="e">
        <f ca="1">IF(AND($O$1&gt;=O383,換券單檔!$D$13=D383),I383+INT(($O$1-O383)/N383)*J383,0)</f>
        <v>#N/A</v>
      </c>
      <c r="Q383" s="1213" t="e">
        <f t="shared" ca="1" si="227"/>
        <v>#N/A</v>
      </c>
      <c r="R383" s="1213">
        <f t="shared" si="228"/>
        <v>0</v>
      </c>
      <c r="S383" s="1213">
        <f t="shared" si="229"/>
        <v>0</v>
      </c>
      <c r="T383" s="136">
        <f>IF(OR(R383=0,A383=0),0,IF(AND(V383=TRUE,換券單檔!$D$13=D383),E383,0))</f>
        <v>0</v>
      </c>
      <c r="U383" s="861">
        <f>IF(OR(R383=0,A383=0),0,IF(AND(V383=TRUE,換券單檔!$D$13=D383),H383,0))</f>
        <v>0</v>
      </c>
      <c r="V383" s="136" t="e">
        <f ca="1">IF(OR(B383=換券單檔!$D$3,L383="無",M383&lt;&gt;"",K383="高資產",IFERROR(MATCH(B383,換券單檔!K:K,0),"N")&lt;&gt;"N"),FALSE,IF($V$1="All",TRUE,IF(K383=$V$1,TRUE,FALSE)))</f>
        <v>#N/A</v>
      </c>
      <c r="W383" s="136" t="e">
        <f ca="1">VLOOKUP(A383,'銀行-TSS'!A:AO,41,FALSE)</f>
        <v>#N/A</v>
      </c>
      <c r="X383" s="136" t="e">
        <f ca="1">VLOOKUP(A383,'銀行-TSS'!A:AP,42,FALSE)</f>
        <v>#N/A</v>
      </c>
      <c r="Y383" s="1220">
        <f t="shared" si="230"/>
        <v>0</v>
      </c>
      <c r="Z383" s="1220">
        <f t="shared" si="231"/>
        <v>0</v>
      </c>
      <c r="AA383" s="136">
        <f>IF(Z383&lt;=0,0,RANK(Z383,Z:Z)+COUNTIF($Z$3:$Z383,Z383)-1)</f>
        <v>0</v>
      </c>
      <c r="AB383" s="1211">
        <f t="shared" ca="1" si="232"/>
        <v>-14896.14</v>
      </c>
      <c r="AC383" s="136">
        <f ca="1">IF(AB383&lt;=0,0,RANK(AB383,AB:AB)+COUNTIF($AB$3:$AB383,AB383)-1)</f>
        <v>0</v>
      </c>
      <c r="AD383" s="1123">
        <f t="shared" si="233"/>
        <v>99999</v>
      </c>
      <c r="AE383" s="1123">
        <f>IF(AD383=99999,0,RANK(AD383,AD:AD,1)+COUNTIF($AD$3:$AD383,AD383)-1)</f>
        <v>0</v>
      </c>
      <c r="AF383" s="86" t="e">
        <f ca="1">IF(OR(M383&lt;&gt;"",L383="無",K383="高資產",IFERROR(MATCH(B383,換券單檔!K:K,0),"N")&lt;&gt;"N"),FALSE,TRUE)</f>
        <v>#N/A</v>
      </c>
      <c r="AI383" s="1212" t="e">
        <f t="shared" ca="1" si="234"/>
        <v>#N/A</v>
      </c>
      <c r="AJ383" s="1213" t="e">
        <f t="shared" ca="1" si="235"/>
        <v>#N/A</v>
      </c>
      <c r="AK383" s="1587">
        <f t="shared" si="236"/>
        <v>0</v>
      </c>
      <c r="AN383" s="1212" t="e">
        <f t="shared" ca="1" si="237"/>
        <v>#N/A</v>
      </c>
      <c r="AO383" s="1213" t="e">
        <f t="shared" ca="1" si="238"/>
        <v>#N/A</v>
      </c>
      <c r="AP383" s="1587">
        <f t="shared" si="239"/>
        <v>0</v>
      </c>
      <c r="AS383" s="1212" t="e">
        <f t="shared" ca="1" si="240"/>
        <v>#N/A</v>
      </c>
      <c r="AT383" s="1213" t="e">
        <f t="shared" ca="1" si="241"/>
        <v>#N/A</v>
      </c>
      <c r="AU383" s="1587">
        <f t="shared" si="242"/>
        <v>0</v>
      </c>
      <c r="AX383" s="1212" t="e">
        <f t="shared" ca="1" si="243"/>
        <v>#N/A</v>
      </c>
      <c r="AY383" s="1213" t="e">
        <f t="shared" ca="1" si="244"/>
        <v>#N/A</v>
      </c>
      <c r="AZ383" s="1587">
        <f t="shared" si="245"/>
        <v>0</v>
      </c>
      <c r="BC383" s="1212" t="e">
        <f t="shared" ca="1" si="246"/>
        <v>#N/A</v>
      </c>
      <c r="BD383" s="1213" t="e">
        <f t="shared" ca="1" si="247"/>
        <v>#N/A</v>
      </c>
      <c r="BE383" s="1587">
        <f t="shared" si="248"/>
        <v>0</v>
      </c>
      <c r="BH383" s="1212" t="e">
        <f t="shared" ca="1" si="249"/>
        <v>#N/A</v>
      </c>
      <c r="BI383" s="1213" t="e">
        <f t="shared" ca="1" si="250"/>
        <v>#N/A</v>
      </c>
      <c r="BJ383" s="1587">
        <f t="shared" si="251"/>
        <v>0</v>
      </c>
      <c r="BM383" s="1212" t="e">
        <f t="shared" ca="1" si="252"/>
        <v>#N/A</v>
      </c>
      <c r="BN383" s="1213" t="e">
        <f t="shared" ca="1" si="253"/>
        <v>#N/A</v>
      </c>
      <c r="BO383" s="1587">
        <f t="shared" si="254"/>
        <v>0</v>
      </c>
      <c r="BR383" s="1212" t="e">
        <f t="shared" ca="1" si="255"/>
        <v>#N/A</v>
      </c>
      <c r="BS383" s="1213" t="e">
        <f t="shared" ca="1" si="256"/>
        <v>#N/A</v>
      </c>
      <c r="BT383" s="1587">
        <f t="shared" si="257"/>
        <v>0</v>
      </c>
      <c r="BW383" s="1212" t="e">
        <f t="shared" ca="1" si="258"/>
        <v>#N/A</v>
      </c>
      <c r="BX383" s="1213" t="e">
        <f t="shared" ca="1" si="259"/>
        <v>#N/A</v>
      </c>
      <c r="BY383" s="1587">
        <f t="shared" si="260"/>
        <v>0</v>
      </c>
      <c r="CB383" s="1212" t="e">
        <f t="shared" ca="1" si="261"/>
        <v>#N/A</v>
      </c>
      <c r="CC383" s="1213" t="e">
        <f t="shared" ca="1" si="262"/>
        <v>#N/A</v>
      </c>
      <c r="CD383" s="1587">
        <f t="shared" si="263"/>
        <v>0</v>
      </c>
      <c r="CG383" s="1212" t="e">
        <f t="shared" ca="1" si="264"/>
        <v>#N/A</v>
      </c>
      <c r="CH383" s="1213" t="e">
        <f t="shared" ca="1" si="265"/>
        <v>#N/A</v>
      </c>
      <c r="CI383" s="1587">
        <f t="shared" si="266"/>
        <v>0</v>
      </c>
      <c r="CL383" s="1212" t="e">
        <f t="shared" ca="1" si="267"/>
        <v>#N/A</v>
      </c>
      <c r="CM383" s="1213" t="e">
        <f t="shared" ca="1" si="268"/>
        <v>#N/A</v>
      </c>
      <c r="CN383" s="1587">
        <f t="shared" si="269"/>
        <v>0</v>
      </c>
    </row>
    <row r="384" spans="1:92">
      <c r="A384" s="141">
        <f>'銀行-TSS'!A384</f>
        <v>0</v>
      </c>
      <c r="B384" s="151">
        <f ca="1">VLOOKUP(A384,'銀行-TSS'!A:B,2,FALSE)</f>
        <v>0</v>
      </c>
      <c r="C384" s="151" t="e">
        <f ca="1">VLOOKUP(B384,bond!B:C,2,FALSE)</f>
        <v>#N/A</v>
      </c>
      <c r="D384" s="95" t="e">
        <f>VLOOKUP(A384,'銀行-TSS'!A:C,3,FALSE)</f>
        <v>#N/A</v>
      </c>
      <c r="E384" s="90" t="e">
        <f ca="1">VLOOKUP(A384,'銀行-TSS'!A:G,7,FALSE)</f>
        <v>#N/A</v>
      </c>
      <c r="F384" s="202" t="e">
        <f ca="1">VLOOKUP(A384,'銀行-TSS'!A:H,8,FALSE)</f>
        <v>#N/A</v>
      </c>
      <c r="G384" s="96" t="e">
        <f ca="1">VLOOKUP(A384,'銀行-TSS'!A:K,11,FALSE)</f>
        <v>#N/A</v>
      </c>
      <c r="H384" s="1209" t="e">
        <f ca="1">VLOOKUP(A384,'銀行-TSS'!A:M,13,FALSE)</f>
        <v>#N/A</v>
      </c>
      <c r="I384" s="1213" t="e">
        <f ca="1">VLOOKUP(A384,'銀行-TSS'!A:N,14,FALSE)</f>
        <v>#N/A</v>
      </c>
      <c r="J384" s="1213" t="e">
        <f ca="1">VLOOKUP(A384,'銀行-TSS'!A:O,15,FALSE)</f>
        <v>#N/A</v>
      </c>
      <c r="K384" s="136" t="e">
        <f ca="1">VLOOKUP(A384,'銀行-TSS'!A:V,22,FALSE)</f>
        <v>#N/A</v>
      </c>
      <c r="L384" s="136" t="e">
        <f ca="1">VLOOKUP(A384,'銀行-TSS'!A:AK,37,FALSE)</f>
        <v>#N/A</v>
      </c>
      <c r="M384" s="136" t="str">
        <f ca="1">VLOOKUP(A384,'銀行-TSS'!A:AN,40,FALSE)</f>
        <v/>
      </c>
      <c r="N384" s="136" t="e">
        <f t="shared" ca="1" si="225"/>
        <v>#N/A</v>
      </c>
      <c r="O384" s="1213" t="e">
        <f t="shared" ca="1" si="226"/>
        <v>#N/A</v>
      </c>
      <c r="P384" s="1213" t="e">
        <f ca="1">IF(AND($O$1&gt;=O384,換券單檔!$D$13=D384),I384+INT(($O$1-O384)/N384)*J384,0)</f>
        <v>#N/A</v>
      </c>
      <c r="Q384" s="1213" t="e">
        <f t="shared" ca="1" si="227"/>
        <v>#N/A</v>
      </c>
      <c r="R384" s="1213">
        <f t="shared" si="228"/>
        <v>0</v>
      </c>
      <c r="S384" s="1213">
        <f t="shared" si="229"/>
        <v>0</v>
      </c>
      <c r="T384" s="136">
        <f>IF(OR(R384=0,A384=0),0,IF(AND(V384=TRUE,換券單檔!$D$13=D384),E384,0))</f>
        <v>0</v>
      </c>
      <c r="U384" s="861">
        <f>IF(OR(R384=0,A384=0),0,IF(AND(V384=TRUE,換券單檔!$D$13=D384),H384,0))</f>
        <v>0</v>
      </c>
      <c r="V384" s="136" t="e">
        <f ca="1">IF(OR(B384=換券單檔!$D$3,L384="無",M384&lt;&gt;"",K384="高資產",IFERROR(MATCH(B384,換券單檔!K:K,0),"N")&lt;&gt;"N"),FALSE,IF($V$1="All",TRUE,IF(K384=$V$1,TRUE,FALSE)))</f>
        <v>#N/A</v>
      </c>
      <c r="W384" s="136" t="e">
        <f ca="1">VLOOKUP(A384,'銀行-TSS'!A:AO,41,FALSE)</f>
        <v>#N/A</v>
      </c>
      <c r="X384" s="136" t="e">
        <f ca="1">VLOOKUP(A384,'銀行-TSS'!A:AP,42,FALSE)</f>
        <v>#N/A</v>
      </c>
      <c r="Y384" s="1220">
        <f t="shared" si="230"/>
        <v>0</v>
      </c>
      <c r="Z384" s="1220">
        <f t="shared" si="231"/>
        <v>0</v>
      </c>
      <c r="AA384" s="136">
        <f>IF(Z384&lt;=0,0,RANK(Z384,Z:Z)+COUNTIF($Z$3:$Z384,Z384)-1)</f>
        <v>0</v>
      </c>
      <c r="AB384" s="1211">
        <f t="shared" ca="1" si="232"/>
        <v>-14896.14</v>
      </c>
      <c r="AC384" s="136">
        <f ca="1">IF(AB384&lt;=0,0,RANK(AB384,AB:AB)+COUNTIF($AB$3:$AB384,AB384)-1)</f>
        <v>0</v>
      </c>
      <c r="AD384" s="1123">
        <f t="shared" si="233"/>
        <v>99999</v>
      </c>
      <c r="AE384" s="1123">
        <f>IF(AD384=99999,0,RANK(AD384,AD:AD,1)+COUNTIF($AD$3:$AD384,AD384)-1)</f>
        <v>0</v>
      </c>
      <c r="AF384" s="86" t="e">
        <f ca="1">IF(OR(M384&lt;&gt;"",L384="無",K384="高資產",IFERROR(MATCH(B384,換券單檔!K:K,0),"N")&lt;&gt;"N"),FALSE,TRUE)</f>
        <v>#N/A</v>
      </c>
      <c r="AI384" s="1212" t="e">
        <f t="shared" ca="1" si="234"/>
        <v>#N/A</v>
      </c>
      <c r="AJ384" s="1213" t="e">
        <f t="shared" ca="1" si="235"/>
        <v>#N/A</v>
      </c>
      <c r="AK384" s="1587">
        <f t="shared" si="236"/>
        <v>0</v>
      </c>
      <c r="AN384" s="1212" t="e">
        <f t="shared" ca="1" si="237"/>
        <v>#N/A</v>
      </c>
      <c r="AO384" s="1213" t="e">
        <f t="shared" ca="1" si="238"/>
        <v>#N/A</v>
      </c>
      <c r="AP384" s="1587">
        <f t="shared" si="239"/>
        <v>0</v>
      </c>
      <c r="AS384" s="1212" t="e">
        <f t="shared" ca="1" si="240"/>
        <v>#N/A</v>
      </c>
      <c r="AT384" s="1213" t="e">
        <f t="shared" ca="1" si="241"/>
        <v>#N/A</v>
      </c>
      <c r="AU384" s="1587">
        <f t="shared" si="242"/>
        <v>0</v>
      </c>
      <c r="AX384" s="1212" t="e">
        <f t="shared" ca="1" si="243"/>
        <v>#N/A</v>
      </c>
      <c r="AY384" s="1213" t="e">
        <f t="shared" ca="1" si="244"/>
        <v>#N/A</v>
      </c>
      <c r="AZ384" s="1587">
        <f t="shared" si="245"/>
        <v>0</v>
      </c>
      <c r="BC384" s="1212" t="e">
        <f t="shared" ca="1" si="246"/>
        <v>#N/A</v>
      </c>
      <c r="BD384" s="1213" t="e">
        <f t="shared" ca="1" si="247"/>
        <v>#N/A</v>
      </c>
      <c r="BE384" s="1587">
        <f t="shared" si="248"/>
        <v>0</v>
      </c>
      <c r="BH384" s="1212" t="e">
        <f t="shared" ca="1" si="249"/>
        <v>#N/A</v>
      </c>
      <c r="BI384" s="1213" t="e">
        <f t="shared" ca="1" si="250"/>
        <v>#N/A</v>
      </c>
      <c r="BJ384" s="1587">
        <f t="shared" si="251"/>
        <v>0</v>
      </c>
      <c r="BM384" s="1212" t="e">
        <f t="shared" ca="1" si="252"/>
        <v>#N/A</v>
      </c>
      <c r="BN384" s="1213" t="e">
        <f t="shared" ca="1" si="253"/>
        <v>#N/A</v>
      </c>
      <c r="BO384" s="1587">
        <f t="shared" si="254"/>
        <v>0</v>
      </c>
      <c r="BR384" s="1212" t="e">
        <f t="shared" ca="1" si="255"/>
        <v>#N/A</v>
      </c>
      <c r="BS384" s="1213" t="e">
        <f t="shared" ca="1" si="256"/>
        <v>#N/A</v>
      </c>
      <c r="BT384" s="1587">
        <f t="shared" si="257"/>
        <v>0</v>
      </c>
      <c r="BW384" s="1212" t="e">
        <f t="shared" ca="1" si="258"/>
        <v>#N/A</v>
      </c>
      <c r="BX384" s="1213" t="e">
        <f t="shared" ca="1" si="259"/>
        <v>#N/A</v>
      </c>
      <c r="BY384" s="1587">
        <f t="shared" si="260"/>
        <v>0</v>
      </c>
      <c r="CB384" s="1212" t="e">
        <f t="shared" ca="1" si="261"/>
        <v>#N/A</v>
      </c>
      <c r="CC384" s="1213" t="e">
        <f t="shared" ca="1" si="262"/>
        <v>#N/A</v>
      </c>
      <c r="CD384" s="1587">
        <f t="shared" si="263"/>
        <v>0</v>
      </c>
      <c r="CG384" s="1212" t="e">
        <f t="shared" ca="1" si="264"/>
        <v>#N/A</v>
      </c>
      <c r="CH384" s="1213" t="e">
        <f t="shared" ca="1" si="265"/>
        <v>#N/A</v>
      </c>
      <c r="CI384" s="1587">
        <f t="shared" si="266"/>
        <v>0</v>
      </c>
      <c r="CL384" s="1212" t="e">
        <f t="shared" ca="1" si="267"/>
        <v>#N/A</v>
      </c>
      <c r="CM384" s="1213" t="e">
        <f t="shared" ca="1" si="268"/>
        <v>#N/A</v>
      </c>
      <c r="CN384" s="1587">
        <f t="shared" si="269"/>
        <v>0</v>
      </c>
    </row>
    <row r="385" spans="1:92">
      <c r="A385" s="141">
        <f>'銀行-TSS'!A385</f>
        <v>0</v>
      </c>
      <c r="B385" s="151">
        <f ca="1">VLOOKUP(A385,'銀行-TSS'!A:B,2,FALSE)</f>
        <v>0</v>
      </c>
      <c r="C385" s="151" t="e">
        <f ca="1">VLOOKUP(B385,bond!B:C,2,FALSE)</f>
        <v>#N/A</v>
      </c>
      <c r="D385" s="95" t="e">
        <f>VLOOKUP(A385,'銀行-TSS'!A:C,3,FALSE)</f>
        <v>#N/A</v>
      </c>
      <c r="E385" s="90" t="e">
        <f ca="1">VLOOKUP(A385,'銀行-TSS'!A:G,7,FALSE)</f>
        <v>#N/A</v>
      </c>
      <c r="F385" s="202" t="e">
        <f ca="1">VLOOKUP(A385,'銀行-TSS'!A:H,8,FALSE)</f>
        <v>#N/A</v>
      </c>
      <c r="G385" s="96" t="e">
        <f ca="1">VLOOKUP(A385,'銀行-TSS'!A:K,11,FALSE)</f>
        <v>#N/A</v>
      </c>
      <c r="H385" s="1209" t="e">
        <f ca="1">VLOOKUP(A385,'銀行-TSS'!A:M,13,FALSE)</f>
        <v>#N/A</v>
      </c>
      <c r="I385" s="1213" t="e">
        <f ca="1">VLOOKUP(A385,'銀行-TSS'!A:N,14,FALSE)</f>
        <v>#N/A</v>
      </c>
      <c r="J385" s="1213" t="e">
        <f ca="1">VLOOKUP(A385,'銀行-TSS'!A:O,15,FALSE)</f>
        <v>#N/A</v>
      </c>
      <c r="K385" s="136" t="e">
        <f ca="1">VLOOKUP(A385,'銀行-TSS'!A:V,22,FALSE)</f>
        <v>#N/A</v>
      </c>
      <c r="L385" s="136" t="e">
        <f ca="1">VLOOKUP(A385,'銀行-TSS'!A:AK,37,FALSE)</f>
        <v>#N/A</v>
      </c>
      <c r="M385" s="136" t="str">
        <f ca="1">VLOOKUP(A385,'銀行-TSS'!A:AN,40,FALSE)</f>
        <v/>
      </c>
      <c r="N385" s="136" t="e">
        <f t="shared" ca="1" si="225"/>
        <v>#N/A</v>
      </c>
      <c r="O385" s="1213" t="e">
        <f t="shared" ca="1" si="226"/>
        <v>#N/A</v>
      </c>
      <c r="P385" s="1213" t="e">
        <f ca="1">IF(AND($O$1&gt;=O385,換券單檔!$D$13=D385),I385+INT(($O$1-O385)/N385)*J385,0)</f>
        <v>#N/A</v>
      </c>
      <c r="Q385" s="1213" t="e">
        <f t="shared" ca="1" si="227"/>
        <v>#N/A</v>
      </c>
      <c r="R385" s="1213">
        <f t="shared" si="228"/>
        <v>0</v>
      </c>
      <c r="S385" s="1213">
        <f t="shared" si="229"/>
        <v>0</v>
      </c>
      <c r="T385" s="136">
        <f>IF(OR(R385=0,A385=0),0,IF(AND(V385=TRUE,換券單檔!$D$13=D385),E385,0))</f>
        <v>0</v>
      </c>
      <c r="U385" s="861">
        <f>IF(OR(R385=0,A385=0),0,IF(AND(V385=TRUE,換券單檔!$D$13=D385),H385,0))</f>
        <v>0</v>
      </c>
      <c r="V385" s="136" t="e">
        <f ca="1">IF(OR(B385=換券單檔!$D$3,L385="無",M385&lt;&gt;"",K385="高資產",IFERROR(MATCH(B385,換券單檔!K:K,0),"N")&lt;&gt;"N"),FALSE,IF($V$1="All",TRUE,IF(K385=$V$1,TRUE,FALSE)))</f>
        <v>#N/A</v>
      </c>
      <c r="W385" s="136" t="e">
        <f ca="1">VLOOKUP(A385,'銀行-TSS'!A:AO,41,FALSE)</f>
        <v>#N/A</v>
      </c>
      <c r="X385" s="136" t="e">
        <f ca="1">VLOOKUP(A385,'銀行-TSS'!A:AP,42,FALSE)</f>
        <v>#N/A</v>
      </c>
      <c r="Y385" s="1220">
        <f t="shared" si="230"/>
        <v>0</v>
      </c>
      <c r="Z385" s="1220">
        <f t="shared" si="231"/>
        <v>0</v>
      </c>
      <c r="AA385" s="136">
        <f>IF(Z385&lt;=0,0,RANK(Z385,Z:Z)+COUNTIF($Z$3:$Z385,Z385)-1)</f>
        <v>0</v>
      </c>
      <c r="AB385" s="1211">
        <f t="shared" ca="1" si="232"/>
        <v>-14896.14</v>
      </c>
      <c r="AC385" s="136">
        <f ca="1">IF(AB385&lt;=0,0,RANK(AB385,AB:AB)+COUNTIF($AB$3:$AB385,AB385)-1)</f>
        <v>0</v>
      </c>
      <c r="AD385" s="1123">
        <f t="shared" si="233"/>
        <v>99999</v>
      </c>
      <c r="AE385" s="1123">
        <f>IF(AD385=99999,0,RANK(AD385,AD:AD,1)+COUNTIF($AD$3:$AD385,AD385)-1)</f>
        <v>0</v>
      </c>
      <c r="AF385" s="86" t="e">
        <f ca="1">IF(OR(M385&lt;&gt;"",L385="無",K385="高資產",IFERROR(MATCH(B385,換券單檔!K:K,0),"N")&lt;&gt;"N"),FALSE,TRUE)</f>
        <v>#N/A</v>
      </c>
      <c r="AI385" s="1212" t="e">
        <f t="shared" ca="1" si="234"/>
        <v>#N/A</v>
      </c>
      <c r="AJ385" s="1213" t="e">
        <f t="shared" ca="1" si="235"/>
        <v>#N/A</v>
      </c>
      <c r="AK385" s="1587">
        <f t="shared" si="236"/>
        <v>0</v>
      </c>
      <c r="AN385" s="1212" t="e">
        <f t="shared" ca="1" si="237"/>
        <v>#N/A</v>
      </c>
      <c r="AO385" s="1213" t="e">
        <f t="shared" ca="1" si="238"/>
        <v>#N/A</v>
      </c>
      <c r="AP385" s="1587">
        <f t="shared" si="239"/>
        <v>0</v>
      </c>
      <c r="AS385" s="1212" t="e">
        <f t="shared" ca="1" si="240"/>
        <v>#N/A</v>
      </c>
      <c r="AT385" s="1213" t="e">
        <f t="shared" ca="1" si="241"/>
        <v>#N/A</v>
      </c>
      <c r="AU385" s="1587">
        <f t="shared" si="242"/>
        <v>0</v>
      </c>
      <c r="AX385" s="1212" t="e">
        <f t="shared" ca="1" si="243"/>
        <v>#N/A</v>
      </c>
      <c r="AY385" s="1213" t="e">
        <f t="shared" ca="1" si="244"/>
        <v>#N/A</v>
      </c>
      <c r="AZ385" s="1587">
        <f t="shared" si="245"/>
        <v>0</v>
      </c>
      <c r="BC385" s="1212" t="e">
        <f t="shared" ca="1" si="246"/>
        <v>#N/A</v>
      </c>
      <c r="BD385" s="1213" t="e">
        <f t="shared" ca="1" si="247"/>
        <v>#N/A</v>
      </c>
      <c r="BE385" s="1587">
        <f t="shared" si="248"/>
        <v>0</v>
      </c>
      <c r="BH385" s="1212" t="e">
        <f t="shared" ca="1" si="249"/>
        <v>#N/A</v>
      </c>
      <c r="BI385" s="1213" t="e">
        <f t="shared" ca="1" si="250"/>
        <v>#N/A</v>
      </c>
      <c r="BJ385" s="1587">
        <f t="shared" si="251"/>
        <v>0</v>
      </c>
      <c r="BM385" s="1212" t="e">
        <f t="shared" ca="1" si="252"/>
        <v>#N/A</v>
      </c>
      <c r="BN385" s="1213" t="e">
        <f t="shared" ca="1" si="253"/>
        <v>#N/A</v>
      </c>
      <c r="BO385" s="1587">
        <f t="shared" si="254"/>
        <v>0</v>
      </c>
      <c r="BR385" s="1212" t="e">
        <f t="shared" ca="1" si="255"/>
        <v>#N/A</v>
      </c>
      <c r="BS385" s="1213" t="e">
        <f t="shared" ca="1" si="256"/>
        <v>#N/A</v>
      </c>
      <c r="BT385" s="1587">
        <f t="shared" si="257"/>
        <v>0</v>
      </c>
      <c r="BW385" s="1212" t="e">
        <f t="shared" ca="1" si="258"/>
        <v>#N/A</v>
      </c>
      <c r="BX385" s="1213" t="e">
        <f t="shared" ca="1" si="259"/>
        <v>#N/A</v>
      </c>
      <c r="BY385" s="1587">
        <f t="shared" si="260"/>
        <v>0</v>
      </c>
      <c r="CB385" s="1212" t="e">
        <f t="shared" ca="1" si="261"/>
        <v>#N/A</v>
      </c>
      <c r="CC385" s="1213" t="e">
        <f t="shared" ca="1" si="262"/>
        <v>#N/A</v>
      </c>
      <c r="CD385" s="1587">
        <f t="shared" si="263"/>
        <v>0</v>
      </c>
      <c r="CG385" s="1212" t="e">
        <f t="shared" ca="1" si="264"/>
        <v>#N/A</v>
      </c>
      <c r="CH385" s="1213" t="e">
        <f t="shared" ca="1" si="265"/>
        <v>#N/A</v>
      </c>
      <c r="CI385" s="1587">
        <f t="shared" si="266"/>
        <v>0</v>
      </c>
      <c r="CL385" s="1212" t="e">
        <f t="shared" ca="1" si="267"/>
        <v>#N/A</v>
      </c>
      <c r="CM385" s="1213" t="e">
        <f t="shared" ca="1" si="268"/>
        <v>#N/A</v>
      </c>
      <c r="CN385" s="1587">
        <f t="shared" si="269"/>
        <v>0</v>
      </c>
    </row>
    <row r="386" spans="1:92">
      <c r="A386" s="141">
        <f>'銀行-TSS'!A386</f>
        <v>0</v>
      </c>
      <c r="B386" s="151">
        <f ca="1">VLOOKUP(A386,'銀行-TSS'!A:B,2,FALSE)</f>
        <v>0</v>
      </c>
      <c r="C386" s="151" t="e">
        <f ca="1">VLOOKUP(B386,bond!B:C,2,FALSE)</f>
        <v>#N/A</v>
      </c>
      <c r="D386" s="95" t="e">
        <f>VLOOKUP(A386,'銀行-TSS'!A:C,3,FALSE)</f>
        <v>#N/A</v>
      </c>
      <c r="E386" s="90" t="e">
        <f ca="1">VLOOKUP(A386,'銀行-TSS'!A:G,7,FALSE)</f>
        <v>#N/A</v>
      </c>
      <c r="F386" s="202" t="e">
        <f ca="1">VLOOKUP(A386,'銀行-TSS'!A:H,8,FALSE)</f>
        <v>#N/A</v>
      </c>
      <c r="G386" s="96" t="e">
        <f ca="1">VLOOKUP(A386,'銀行-TSS'!A:K,11,FALSE)</f>
        <v>#N/A</v>
      </c>
      <c r="H386" s="1209" t="e">
        <f ca="1">VLOOKUP(A386,'銀行-TSS'!A:M,13,FALSE)</f>
        <v>#N/A</v>
      </c>
      <c r="I386" s="1213" t="e">
        <f ca="1">VLOOKUP(A386,'銀行-TSS'!A:N,14,FALSE)</f>
        <v>#N/A</v>
      </c>
      <c r="J386" s="1213" t="e">
        <f ca="1">VLOOKUP(A386,'銀行-TSS'!A:O,15,FALSE)</f>
        <v>#N/A</v>
      </c>
      <c r="K386" s="136" t="e">
        <f ca="1">VLOOKUP(A386,'銀行-TSS'!A:V,22,FALSE)</f>
        <v>#N/A</v>
      </c>
      <c r="L386" s="136" t="e">
        <f ca="1">VLOOKUP(A386,'銀行-TSS'!A:AK,37,FALSE)</f>
        <v>#N/A</v>
      </c>
      <c r="M386" s="136" t="str">
        <f ca="1">VLOOKUP(A386,'銀行-TSS'!A:AN,40,FALSE)</f>
        <v/>
      </c>
      <c r="N386" s="136" t="e">
        <f t="shared" ca="1" si="225"/>
        <v>#N/A</v>
      </c>
      <c r="O386" s="1213" t="e">
        <f t="shared" ca="1" si="226"/>
        <v>#N/A</v>
      </c>
      <c r="P386" s="1213" t="e">
        <f ca="1">IF(AND($O$1&gt;=O386,換券單檔!$D$13=D386),I386+INT(($O$1-O386)/N386)*J386,0)</f>
        <v>#N/A</v>
      </c>
      <c r="Q386" s="1213" t="e">
        <f t="shared" ca="1" si="227"/>
        <v>#N/A</v>
      </c>
      <c r="R386" s="1213">
        <f t="shared" si="228"/>
        <v>0</v>
      </c>
      <c r="S386" s="1213">
        <f t="shared" si="229"/>
        <v>0</v>
      </c>
      <c r="T386" s="136">
        <f>IF(OR(R386=0,A386=0),0,IF(AND(V386=TRUE,換券單檔!$D$13=D386),E386,0))</f>
        <v>0</v>
      </c>
      <c r="U386" s="861">
        <f>IF(OR(R386=0,A386=0),0,IF(AND(V386=TRUE,換券單檔!$D$13=D386),H386,0))</f>
        <v>0</v>
      </c>
      <c r="V386" s="136" t="e">
        <f ca="1">IF(OR(B386=換券單檔!$D$3,L386="無",M386&lt;&gt;"",K386="高資產",IFERROR(MATCH(B386,換券單檔!K:K,0),"N")&lt;&gt;"N"),FALSE,IF($V$1="All",TRUE,IF(K386=$V$1,TRUE,FALSE)))</f>
        <v>#N/A</v>
      </c>
      <c r="W386" s="136" t="e">
        <f ca="1">VLOOKUP(A386,'銀行-TSS'!A:AO,41,FALSE)</f>
        <v>#N/A</v>
      </c>
      <c r="X386" s="136" t="e">
        <f ca="1">VLOOKUP(A386,'銀行-TSS'!A:AP,42,FALSE)</f>
        <v>#N/A</v>
      </c>
      <c r="Y386" s="1220">
        <f t="shared" si="230"/>
        <v>0</v>
      </c>
      <c r="Z386" s="1220">
        <f t="shared" si="231"/>
        <v>0</v>
      </c>
      <c r="AA386" s="136">
        <f>IF(Z386&lt;=0,0,RANK(Z386,Z:Z)+COUNTIF($Z$3:$Z386,Z386)-1)</f>
        <v>0</v>
      </c>
      <c r="AB386" s="1211">
        <f t="shared" ca="1" si="232"/>
        <v>-14896.14</v>
      </c>
      <c r="AC386" s="136">
        <f ca="1">IF(AB386&lt;=0,0,RANK(AB386,AB:AB)+COUNTIF($AB$3:$AB386,AB386)-1)</f>
        <v>0</v>
      </c>
      <c r="AD386" s="1123">
        <f t="shared" si="233"/>
        <v>99999</v>
      </c>
      <c r="AE386" s="1123">
        <f>IF(AD386=99999,0,RANK(AD386,AD:AD,1)+COUNTIF($AD$3:$AD386,AD386)-1)</f>
        <v>0</v>
      </c>
      <c r="AF386" s="86" t="e">
        <f ca="1">IF(OR(M386&lt;&gt;"",L386="無",K386="高資產",IFERROR(MATCH(B386,換券單檔!K:K,0),"N")&lt;&gt;"N"),FALSE,TRUE)</f>
        <v>#N/A</v>
      </c>
      <c r="AI386" s="1212" t="e">
        <f t="shared" ca="1" si="234"/>
        <v>#N/A</v>
      </c>
      <c r="AJ386" s="1213" t="e">
        <f t="shared" ca="1" si="235"/>
        <v>#N/A</v>
      </c>
      <c r="AK386" s="1587">
        <f t="shared" si="236"/>
        <v>0</v>
      </c>
      <c r="AN386" s="1212" t="e">
        <f t="shared" ca="1" si="237"/>
        <v>#N/A</v>
      </c>
      <c r="AO386" s="1213" t="e">
        <f t="shared" ca="1" si="238"/>
        <v>#N/A</v>
      </c>
      <c r="AP386" s="1587">
        <f t="shared" si="239"/>
        <v>0</v>
      </c>
      <c r="AS386" s="1212" t="e">
        <f t="shared" ca="1" si="240"/>
        <v>#N/A</v>
      </c>
      <c r="AT386" s="1213" t="e">
        <f t="shared" ca="1" si="241"/>
        <v>#N/A</v>
      </c>
      <c r="AU386" s="1587">
        <f t="shared" si="242"/>
        <v>0</v>
      </c>
      <c r="AX386" s="1212" t="e">
        <f t="shared" ca="1" si="243"/>
        <v>#N/A</v>
      </c>
      <c r="AY386" s="1213" t="e">
        <f t="shared" ca="1" si="244"/>
        <v>#N/A</v>
      </c>
      <c r="AZ386" s="1587">
        <f t="shared" si="245"/>
        <v>0</v>
      </c>
      <c r="BC386" s="1212" t="e">
        <f t="shared" ca="1" si="246"/>
        <v>#N/A</v>
      </c>
      <c r="BD386" s="1213" t="e">
        <f t="shared" ca="1" si="247"/>
        <v>#N/A</v>
      </c>
      <c r="BE386" s="1587">
        <f t="shared" si="248"/>
        <v>0</v>
      </c>
      <c r="BH386" s="1212" t="e">
        <f t="shared" ca="1" si="249"/>
        <v>#N/A</v>
      </c>
      <c r="BI386" s="1213" t="e">
        <f t="shared" ca="1" si="250"/>
        <v>#N/A</v>
      </c>
      <c r="BJ386" s="1587">
        <f t="shared" si="251"/>
        <v>0</v>
      </c>
      <c r="BM386" s="1212" t="e">
        <f t="shared" ca="1" si="252"/>
        <v>#N/A</v>
      </c>
      <c r="BN386" s="1213" t="e">
        <f t="shared" ca="1" si="253"/>
        <v>#N/A</v>
      </c>
      <c r="BO386" s="1587">
        <f t="shared" si="254"/>
        <v>0</v>
      </c>
      <c r="BR386" s="1212" t="e">
        <f t="shared" ca="1" si="255"/>
        <v>#N/A</v>
      </c>
      <c r="BS386" s="1213" t="e">
        <f t="shared" ca="1" si="256"/>
        <v>#N/A</v>
      </c>
      <c r="BT386" s="1587">
        <f t="shared" si="257"/>
        <v>0</v>
      </c>
      <c r="BW386" s="1212" t="e">
        <f t="shared" ca="1" si="258"/>
        <v>#N/A</v>
      </c>
      <c r="BX386" s="1213" t="e">
        <f t="shared" ca="1" si="259"/>
        <v>#N/A</v>
      </c>
      <c r="BY386" s="1587">
        <f t="shared" si="260"/>
        <v>0</v>
      </c>
      <c r="CB386" s="1212" t="e">
        <f t="shared" ca="1" si="261"/>
        <v>#N/A</v>
      </c>
      <c r="CC386" s="1213" t="e">
        <f t="shared" ca="1" si="262"/>
        <v>#N/A</v>
      </c>
      <c r="CD386" s="1587">
        <f t="shared" si="263"/>
        <v>0</v>
      </c>
      <c r="CG386" s="1212" t="e">
        <f t="shared" ca="1" si="264"/>
        <v>#N/A</v>
      </c>
      <c r="CH386" s="1213" t="e">
        <f t="shared" ca="1" si="265"/>
        <v>#N/A</v>
      </c>
      <c r="CI386" s="1587">
        <f t="shared" si="266"/>
        <v>0</v>
      </c>
      <c r="CL386" s="1212" t="e">
        <f t="shared" ca="1" si="267"/>
        <v>#N/A</v>
      </c>
      <c r="CM386" s="1213" t="e">
        <f t="shared" ca="1" si="268"/>
        <v>#N/A</v>
      </c>
      <c r="CN386" s="1587">
        <f t="shared" si="269"/>
        <v>0</v>
      </c>
    </row>
    <row r="387" spans="1:92">
      <c r="A387" s="141">
        <f>'銀行-TSS'!A387</f>
        <v>0</v>
      </c>
      <c r="B387" s="151">
        <f ca="1">VLOOKUP(A387,'銀行-TSS'!A:B,2,FALSE)</f>
        <v>0</v>
      </c>
      <c r="C387" s="151" t="e">
        <f ca="1">VLOOKUP(B387,bond!B:C,2,FALSE)</f>
        <v>#N/A</v>
      </c>
      <c r="D387" s="95" t="e">
        <f>VLOOKUP(A387,'銀行-TSS'!A:C,3,FALSE)</f>
        <v>#N/A</v>
      </c>
      <c r="E387" s="90" t="e">
        <f ca="1">VLOOKUP(A387,'銀行-TSS'!A:G,7,FALSE)</f>
        <v>#N/A</v>
      </c>
      <c r="F387" s="202" t="e">
        <f ca="1">VLOOKUP(A387,'銀行-TSS'!A:H,8,FALSE)</f>
        <v>#N/A</v>
      </c>
      <c r="G387" s="96" t="e">
        <f ca="1">VLOOKUP(A387,'銀行-TSS'!A:K,11,FALSE)</f>
        <v>#N/A</v>
      </c>
      <c r="H387" s="1209" t="e">
        <f ca="1">VLOOKUP(A387,'銀行-TSS'!A:M,13,FALSE)</f>
        <v>#N/A</v>
      </c>
      <c r="I387" s="1213" t="e">
        <f ca="1">VLOOKUP(A387,'銀行-TSS'!A:N,14,FALSE)</f>
        <v>#N/A</v>
      </c>
      <c r="J387" s="1213" t="e">
        <f ca="1">VLOOKUP(A387,'銀行-TSS'!A:O,15,FALSE)</f>
        <v>#N/A</v>
      </c>
      <c r="K387" s="136" t="e">
        <f ca="1">VLOOKUP(A387,'銀行-TSS'!A:V,22,FALSE)</f>
        <v>#N/A</v>
      </c>
      <c r="L387" s="136" t="e">
        <f ca="1">VLOOKUP(A387,'銀行-TSS'!A:AK,37,FALSE)</f>
        <v>#N/A</v>
      </c>
      <c r="M387" s="136" t="str">
        <f ca="1">VLOOKUP(A387,'銀行-TSS'!A:AN,40,FALSE)</f>
        <v/>
      </c>
      <c r="N387" s="136" t="e">
        <f t="shared" ref="N387:N450" ca="1" si="270">G387*J387/100</f>
        <v>#N/A</v>
      </c>
      <c r="O387" s="1213" t="e">
        <f t="shared" ref="O387:O450" ca="1" si="271">G387*I387/100</f>
        <v>#N/A</v>
      </c>
      <c r="P387" s="1213" t="e">
        <f ca="1">IF(AND($O$1&gt;=O387,換券單檔!$D$13=D387),I387+INT(($O$1-O387)/N387)*J387,0)</f>
        <v>#N/A</v>
      </c>
      <c r="Q387" s="1213" t="e">
        <f t="shared" ref="Q387:Q450" ca="1" si="272">P387*F387</f>
        <v>#N/A</v>
      </c>
      <c r="R387" s="1213">
        <f t="shared" ref="R387:R450" si="273">IF(A387=0,0,IF(V387=FALSE,0,P387))</f>
        <v>0</v>
      </c>
      <c r="S387" s="1213">
        <f t="shared" ref="S387:S450" si="274">IF(A387=0,0,IF(V387=FALSE,0,Q387))</f>
        <v>0</v>
      </c>
      <c r="T387" s="136">
        <f>IF(OR(R387=0,A387=0),0,IF(AND(V387=TRUE,換券單檔!$D$13=D387),E387,0))</f>
        <v>0</v>
      </c>
      <c r="U387" s="861">
        <f>IF(OR(R387=0,A387=0),0,IF(AND(V387=TRUE,換券單檔!$D$13=D387),H387,0))</f>
        <v>0</v>
      </c>
      <c r="V387" s="136" t="e">
        <f ca="1">IF(OR(B387=換券單檔!$D$3,L387="無",M387&lt;&gt;"",K387="高資產",IFERROR(MATCH(B387,換券單檔!K:K,0),"N")&lt;&gt;"N"),FALSE,IF($V$1="All",TRUE,IF(K387=$V$1,TRUE,FALSE)))</f>
        <v>#N/A</v>
      </c>
      <c r="W387" s="136" t="e">
        <f ca="1">VLOOKUP(A387,'銀行-TSS'!A:AO,41,FALSE)</f>
        <v>#N/A</v>
      </c>
      <c r="X387" s="136" t="e">
        <f ca="1">VLOOKUP(A387,'銀行-TSS'!A:AP,42,FALSE)</f>
        <v>#N/A</v>
      </c>
      <c r="Y387" s="1220">
        <f t="shared" ref="Y387:Y450" si="275">IF(A387=0,0,IF(V387=FALSE,0,IFERROR(W387/100*P387*X387*1%,0)))</f>
        <v>0</v>
      </c>
      <c r="Z387" s="1220">
        <f t="shared" ref="Z387:Z450" si="276">IF(A387=0,0,IF(V387=FALSE,0,IF(OR(Q387&lt;$Y$1,E387&lt;5)=FALSE,((Q387-$Q$1)*MIN(3,E387)*(1-MIN(1/(2*E387),1))+IF((P387-$P$1)&lt;0,(P387-$P$1)*2,(P387-$P$1)*MIN(1/(2*E387),1))),0)))</f>
        <v>0</v>
      </c>
      <c r="AA387" s="136">
        <f>IF(Z387&lt;=0,0,RANK(Z387,Z:Z)+COUNTIF($Z$3:$Z387,Z387)-1)</f>
        <v>0</v>
      </c>
      <c r="AB387" s="1211">
        <f t="shared" ref="AB387:AB450" ca="1" si="277">IF(A387=0,0,IF(V387=FALSE,0,Y387+IF((P387-$P$1)&lt;0,(P387-$P$1),0)))-$AC$1</f>
        <v>-14896.14</v>
      </c>
      <c r="AC387" s="136">
        <f ca="1">IF(AB387&lt;=0,0,RANK(AB387,AB:AB)+COUNTIF($AB$3:$AB387,AB387)-1)</f>
        <v>0</v>
      </c>
      <c r="AD387" s="1123">
        <f t="shared" ref="AD387:AD450" si="278">IF(A387=0,99999,IF(OR(V387=FALSE,AA387=0,AC387=0),99999,(AC387+AA387)/2))</f>
        <v>99999</v>
      </c>
      <c r="AE387" s="1123">
        <f>IF(AD387=99999,0,RANK(AD387,AD:AD,1)+COUNTIF($AD$3:$AD387,AD387)-1)</f>
        <v>0</v>
      </c>
      <c r="AF387" s="86" t="e">
        <f ca="1">IF(OR(M387&lt;&gt;"",L387="無",K387="高資產",IFERROR(MATCH(B387,換券單檔!K:K,0),"N")&lt;&gt;"N"),FALSE,TRUE)</f>
        <v>#N/A</v>
      </c>
      <c r="AI387" s="1212" t="e">
        <f t="shared" ref="AI387:AI450" ca="1" si="279">IF($AF387=FALSE,0,IF(AND(AH$2&gt;=$O387,AH$1=$D387),$I387+INT((AH$2-$O387)/$N387)*$J387,0))</f>
        <v>#N/A</v>
      </c>
      <c r="AJ387" s="1213" t="e">
        <f t="shared" ref="AJ387:AJ450" ca="1" si="280">AI387*$F387</f>
        <v>#N/A</v>
      </c>
      <c r="AK387" s="1587">
        <f t="shared" ref="AK387:AK450" si="281">IF($A387=0,0,IF(OR($AF387=FALSE,$B387=AG$1),0,IF(OR(AJ387&lt;(AJ$1*0.9),$E387&lt;5)=FALSE,((AJ387-AJ$1)*MIN(3,$E387)*(1-MIN(1/(2*$E387),1))+IF((AI387-AI$1)&lt;0,(AI387-AI$1)*2,(AI387-AI$1)*MIN(1/(2*$E387),1))),0)))</f>
        <v>0</v>
      </c>
      <c r="AN387" s="1212" t="e">
        <f t="shared" ref="AN387:AN450" ca="1" si="282">IF($AF387=FALSE,0,IF(AND(AM$2&gt;=$O387,AM$1=$D387),$I387+INT((AM$2-$O387)/$N387)*$J387,0))</f>
        <v>#N/A</v>
      </c>
      <c r="AO387" s="1213" t="e">
        <f t="shared" ref="AO387:AO450" ca="1" si="283">AN387*$F387</f>
        <v>#N/A</v>
      </c>
      <c r="AP387" s="1587">
        <f t="shared" ref="AP387:AP450" si="284">IF($A387=0,0,IF(OR($AF387=FALSE,$B387=AL$1),0,IF(OR(AO387&lt;(AO$1*0.9),$E387&lt;5)=FALSE,((AO387-AO$1)*MIN(3,$E387)*(1-MIN(1/(2*$E387),1))+IF((AN387-AN$1)&lt;0,(AN387-AN$1)*2,(AN387-AN$1)*MIN(1/(2*$E387),1))),0)))</f>
        <v>0</v>
      </c>
      <c r="AS387" s="1212" t="e">
        <f t="shared" ref="AS387:AS450" ca="1" si="285">IF($AF387=FALSE,0,IF(AND(AR$2&gt;=$O387,AR$1=$D387),$I387+INT((AR$2-$O387)/$N387)*$J387,0))</f>
        <v>#N/A</v>
      </c>
      <c r="AT387" s="1213" t="e">
        <f t="shared" ref="AT387:AT450" ca="1" si="286">AS387*$F387</f>
        <v>#N/A</v>
      </c>
      <c r="AU387" s="1587">
        <f t="shared" ref="AU387:AU450" si="287">IF($A387=0,0,IF(OR($AF387=FALSE,$B387=AQ$1),0,IF(OR(AT387&lt;(AT$1*0.9),$E387&lt;5)=FALSE,((AT387-AT$1)*MIN(3,$E387)*(1-MIN(1/(2*$E387),1))+IF((AS387-AS$1)&lt;0,(AS387-AS$1)*2,(AS387-AS$1)*MIN(1/(2*$E387),1))),0)))</f>
        <v>0</v>
      </c>
      <c r="AX387" s="1212" t="e">
        <f t="shared" ref="AX387:AX450" ca="1" si="288">IF($AF387=FALSE,0,IF(AND(AW$2&gt;=$O387,AW$1=$D387),$I387+INT((AW$2-$O387)/$N387)*$J387,0))</f>
        <v>#N/A</v>
      </c>
      <c r="AY387" s="1213" t="e">
        <f t="shared" ref="AY387:AY450" ca="1" si="289">AX387*$F387</f>
        <v>#N/A</v>
      </c>
      <c r="AZ387" s="1587">
        <f t="shared" ref="AZ387:AZ450" si="290">IF($A387=0,0,IF(OR($AF387=FALSE,$B387=AV$1),0,IF(OR(AY387&lt;(AY$1*0.9),$E387&lt;5)=FALSE,((AY387-AY$1)*MIN(3,$E387)*(1-MIN(1/(2*$E387),1))+IF((AX387-AX$1)&lt;0,(AX387-AX$1)*2,(AX387-AX$1)*MIN(1/(2*$E387),1))),0)))</f>
        <v>0</v>
      </c>
      <c r="BC387" s="1212" t="e">
        <f t="shared" ref="BC387:BC450" ca="1" si="291">IF($AF387=FALSE,0,IF(AND(BB$2&gt;=$O387,BB$1=$D387),$I387+INT((BB$2-$O387)/$N387)*$J387,0))</f>
        <v>#N/A</v>
      </c>
      <c r="BD387" s="1213" t="e">
        <f t="shared" ref="BD387:BD450" ca="1" si="292">BC387*$F387</f>
        <v>#N/A</v>
      </c>
      <c r="BE387" s="1587">
        <f t="shared" ref="BE387:BE450" si="293">IF($A387=0,0,IF(OR($AF387=FALSE,$B387=BA$1),0,IF(OR(BD387&lt;(BD$1*0.9),$E387&lt;5)=FALSE,((BD387-BD$1)*MIN(3,$E387)*(1-MIN(1/(2*$E387),1))+IF((BC387-BC$1)&lt;0,(BC387-BC$1)*2,(BC387-BC$1)*MIN(1/(2*$E387),1))),0)))</f>
        <v>0</v>
      </c>
      <c r="BH387" s="1212" t="e">
        <f t="shared" ref="BH387:BH450" ca="1" si="294">IF($AF387=FALSE,0,IF(AND(BG$2&gt;=$O387,BG$1=$D387),$I387+INT((BG$2-$O387)/$N387)*$J387,0))</f>
        <v>#N/A</v>
      </c>
      <c r="BI387" s="1213" t="e">
        <f t="shared" ref="BI387:BI450" ca="1" si="295">BH387*$F387</f>
        <v>#N/A</v>
      </c>
      <c r="BJ387" s="1587">
        <f t="shared" ref="BJ387:BJ450" si="296">IF($A387=0,0,IF(OR($AF387=FALSE,$B387=BF$1),0,IF(OR(BI387&lt;(BI$1*0.9),$E387&lt;5)=FALSE,((BI387-BI$1)*MIN(3,$E387)*(1-MIN(1/(2*$E387),1))+IF((BH387-BH$1)&lt;0,(BH387-BH$1)*2,(BH387-BH$1)*MIN(1/(2*$E387),1))),0)))</f>
        <v>0</v>
      </c>
      <c r="BM387" s="1212" t="e">
        <f t="shared" ref="BM387:BM450" ca="1" si="297">IF($AF387=FALSE,0,IF(AND(BL$2&gt;=$O387,BL$1=$D387),$I387+INT((BL$2-$O387)/$N387)*$J387,0))</f>
        <v>#N/A</v>
      </c>
      <c r="BN387" s="1213" t="e">
        <f t="shared" ref="BN387:BN450" ca="1" si="298">BM387*$F387</f>
        <v>#N/A</v>
      </c>
      <c r="BO387" s="1587">
        <f t="shared" ref="BO387:BO450" si="299">IF($A387=0,0,IF(OR($AF387=FALSE,$B387=BK$1),0,IF(OR(BN387&lt;(BN$1*0.9),$E387&lt;5)=FALSE,((BN387-BN$1)*MIN(3,$E387)*(1-MIN(1/(2*$E387),1))+IF((BM387-BM$1)&lt;0,(BM387-BM$1)*2,(BM387-BM$1)*MIN(1/(2*$E387),1))),0)))</f>
        <v>0</v>
      </c>
      <c r="BR387" s="1212" t="e">
        <f t="shared" ref="BR387:BR450" ca="1" si="300">IF($AF387=FALSE,0,IF(AND(BQ$2&gt;=$O387,BQ$1=$D387),$I387+INT((BQ$2-$O387)/$N387)*$J387,0))</f>
        <v>#N/A</v>
      </c>
      <c r="BS387" s="1213" t="e">
        <f t="shared" ref="BS387:BS450" ca="1" si="301">BR387*$F387</f>
        <v>#N/A</v>
      </c>
      <c r="BT387" s="1587">
        <f t="shared" ref="BT387:BT450" si="302">IF($A387=0,0,IF(OR($AF387=FALSE,$B387=BP$1),0,IF(OR(BS387&lt;(BS$1*0.9),$E387&lt;5)=FALSE,((BS387-BS$1)*MIN(3,$E387)*(1-MIN(1/(2*$E387),1))+IF((BR387-BR$1)&lt;0,(BR387-BR$1)*2,(BR387-BR$1)*MIN(1/(2*$E387),1))),0)))</f>
        <v>0</v>
      </c>
      <c r="BW387" s="1212" t="e">
        <f t="shared" ref="BW387:BW450" ca="1" si="303">IF($AF387=FALSE,0,IF(AND(BV$2&gt;=$O387,BV$1=$D387),$I387+INT((BV$2-$O387)/$N387)*$J387,0))</f>
        <v>#N/A</v>
      </c>
      <c r="BX387" s="1213" t="e">
        <f t="shared" ref="BX387:BX450" ca="1" si="304">BW387*$F387</f>
        <v>#N/A</v>
      </c>
      <c r="BY387" s="1587">
        <f t="shared" ref="BY387:BY450" si="305">IF($A387=0,0,IF(OR($AF387=FALSE,$B387=BU$1),0,IF(OR(BX387&lt;(BX$1*0.9),$E387&lt;5)=FALSE,((BX387-BX$1)*MIN(3,$E387)*(1-MIN(1/(2*$E387),1))+IF((BW387-BW$1)&lt;0,(BW387-BW$1)*2,(BW387-BW$1)*MIN(1/(2*$E387),1))),0)))</f>
        <v>0</v>
      </c>
      <c r="CB387" s="1212" t="e">
        <f t="shared" ref="CB387:CB450" ca="1" si="306">IF($AF387=FALSE,0,IF(AND(CA$2&gt;=$O387,CA$1=$D387),$I387+INT((CA$2-$O387)/$N387)*$J387,0))</f>
        <v>#N/A</v>
      </c>
      <c r="CC387" s="1213" t="e">
        <f t="shared" ref="CC387:CC450" ca="1" si="307">CB387*$F387</f>
        <v>#N/A</v>
      </c>
      <c r="CD387" s="1587">
        <f t="shared" ref="CD387:CD450" si="308">IF($A387=0,0,IF(OR($AF387=FALSE,$B387=BZ$1),0,IF(OR(CC387&lt;(CC$1*0.9),$E387&lt;5)=FALSE,((CC387-CC$1)*MIN(3,$E387)*(1-MIN(1/(2*$E387),1))+IF((CB387-CB$1)&lt;0,(CB387-CB$1)*2,(CB387-CB$1)*MIN(1/(2*$E387),1))),0)))</f>
        <v>0</v>
      </c>
      <c r="CG387" s="1212" t="e">
        <f t="shared" ref="CG387:CG450" ca="1" si="309">IF($AF387=FALSE,0,IF(AND(CF$2&gt;=$O387,CF$1=$D387),$I387+INT((CF$2-$O387)/$N387)*$J387,0))</f>
        <v>#N/A</v>
      </c>
      <c r="CH387" s="1213" t="e">
        <f t="shared" ref="CH387:CH450" ca="1" si="310">CG387*$F387</f>
        <v>#N/A</v>
      </c>
      <c r="CI387" s="1587">
        <f t="shared" ref="CI387:CI450" si="311">IF($A387=0,0,IF(OR($AF387=FALSE,$B387=CE$1),0,IF(OR(CH387&lt;(CH$1*0.9),$E387&lt;5)=FALSE,((CH387-CH$1)*MIN(3,$E387)*(1-MIN(1/(2*$E387),1))+IF((CG387-CG$1)&lt;0,(CG387-CG$1)*2,(CG387-CG$1)*MIN(1/(2*$E387),1))),0)))</f>
        <v>0</v>
      </c>
      <c r="CL387" s="1212" t="e">
        <f t="shared" ref="CL387:CL450" ca="1" si="312">IF($AF387=FALSE,0,IF(AND(CK$2&gt;=$O387,CK$1=$D387),$I387+INT((CK$2-$O387)/$N387)*$J387,0))</f>
        <v>#N/A</v>
      </c>
      <c r="CM387" s="1213" t="e">
        <f t="shared" ref="CM387:CM450" ca="1" si="313">CL387*$F387</f>
        <v>#N/A</v>
      </c>
      <c r="CN387" s="1587">
        <f t="shared" ref="CN387:CN450" si="314">IF($A387=0,0,IF(OR($AF387=FALSE,$B387=CJ$1),0,IF(OR(CM387&lt;(CM$1*0.9),$E387&lt;5)=FALSE,((CM387-CM$1)*MIN(3,$E387)*(1-MIN(1/(2*$E387),1))+IF((CL387-CL$1)&lt;0,(CL387-CL$1)*2,(CL387-CL$1)*MIN(1/(2*$E387),1))),0)))</f>
        <v>0</v>
      </c>
    </row>
    <row r="388" spans="1:92">
      <c r="A388" s="141">
        <f>'銀行-TSS'!A388</f>
        <v>0</v>
      </c>
      <c r="B388" s="151">
        <f ca="1">VLOOKUP(A388,'銀行-TSS'!A:B,2,FALSE)</f>
        <v>0</v>
      </c>
      <c r="C388" s="151" t="e">
        <f ca="1">VLOOKUP(B388,bond!B:C,2,FALSE)</f>
        <v>#N/A</v>
      </c>
      <c r="D388" s="95" t="e">
        <f>VLOOKUP(A388,'銀行-TSS'!A:C,3,FALSE)</f>
        <v>#N/A</v>
      </c>
      <c r="E388" s="90" t="e">
        <f ca="1">VLOOKUP(A388,'銀行-TSS'!A:G,7,FALSE)</f>
        <v>#N/A</v>
      </c>
      <c r="F388" s="202" t="e">
        <f ca="1">VLOOKUP(A388,'銀行-TSS'!A:H,8,FALSE)</f>
        <v>#N/A</v>
      </c>
      <c r="G388" s="96" t="e">
        <f ca="1">VLOOKUP(A388,'銀行-TSS'!A:K,11,FALSE)</f>
        <v>#N/A</v>
      </c>
      <c r="H388" s="1209" t="e">
        <f ca="1">VLOOKUP(A388,'銀行-TSS'!A:M,13,FALSE)</f>
        <v>#N/A</v>
      </c>
      <c r="I388" s="1213" t="e">
        <f ca="1">VLOOKUP(A388,'銀行-TSS'!A:N,14,FALSE)</f>
        <v>#N/A</v>
      </c>
      <c r="J388" s="1213" t="e">
        <f ca="1">VLOOKUP(A388,'銀行-TSS'!A:O,15,FALSE)</f>
        <v>#N/A</v>
      </c>
      <c r="K388" s="136" t="e">
        <f ca="1">VLOOKUP(A388,'銀行-TSS'!A:V,22,FALSE)</f>
        <v>#N/A</v>
      </c>
      <c r="L388" s="136" t="e">
        <f ca="1">VLOOKUP(A388,'銀行-TSS'!A:AK,37,FALSE)</f>
        <v>#N/A</v>
      </c>
      <c r="M388" s="136" t="str">
        <f ca="1">VLOOKUP(A388,'銀行-TSS'!A:AN,40,FALSE)</f>
        <v/>
      </c>
      <c r="N388" s="136" t="e">
        <f t="shared" ca="1" si="270"/>
        <v>#N/A</v>
      </c>
      <c r="O388" s="1213" t="e">
        <f t="shared" ca="1" si="271"/>
        <v>#N/A</v>
      </c>
      <c r="P388" s="1213" t="e">
        <f ca="1">IF(AND($O$1&gt;=O388,換券單檔!$D$13=D388),I388+INT(($O$1-O388)/N388)*J388,0)</f>
        <v>#N/A</v>
      </c>
      <c r="Q388" s="1213" t="e">
        <f t="shared" ca="1" si="272"/>
        <v>#N/A</v>
      </c>
      <c r="R388" s="1213">
        <f t="shared" si="273"/>
        <v>0</v>
      </c>
      <c r="S388" s="1213">
        <f t="shared" si="274"/>
        <v>0</v>
      </c>
      <c r="T388" s="136">
        <f>IF(OR(R388=0,A388=0),0,IF(AND(V388=TRUE,換券單檔!$D$13=D388),E388,0))</f>
        <v>0</v>
      </c>
      <c r="U388" s="861">
        <f>IF(OR(R388=0,A388=0),0,IF(AND(V388=TRUE,換券單檔!$D$13=D388),H388,0))</f>
        <v>0</v>
      </c>
      <c r="V388" s="136" t="e">
        <f ca="1">IF(OR(B388=換券單檔!$D$3,L388="無",M388&lt;&gt;"",K388="高資產",IFERROR(MATCH(B388,換券單檔!K:K,0),"N")&lt;&gt;"N"),FALSE,IF($V$1="All",TRUE,IF(K388=$V$1,TRUE,FALSE)))</f>
        <v>#N/A</v>
      </c>
      <c r="W388" s="136" t="e">
        <f ca="1">VLOOKUP(A388,'銀行-TSS'!A:AO,41,FALSE)</f>
        <v>#N/A</v>
      </c>
      <c r="X388" s="136" t="e">
        <f ca="1">VLOOKUP(A388,'銀行-TSS'!A:AP,42,FALSE)</f>
        <v>#N/A</v>
      </c>
      <c r="Y388" s="1220">
        <f t="shared" si="275"/>
        <v>0</v>
      </c>
      <c r="Z388" s="1220">
        <f t="shared" si="276"/>
        <v>0</v>
      </c>
      <c r="AA388" s="136">
        <f>IF(Z388&lt;=0,0,RANK(Z388,Z:Z)+COUNTIF($Z$3:$Z388,Z388)-1)</f>
        <v>0</v>
      </c>
      <c r="AB388" s="1211">
        <f t="shared" ca="1" si="277"/>
        <v>-14896.14</v>
      </c>
      <c r="AC388" s="136">
        <f ca="1">IF(AB388&lt;=0,0,RANK(AB388,AB:AB)+COUNTIF($AB$3:$AB388,AB388)-1)</f>
        <v>0</v>
      </c>
      <c r="AD388" s="1123">
        <f t="shared" si="278"/>
        <v>99999</v>
      </c>
      <c r="AE388" s="1123">
        <f>IF(AD388=99999,0,RANK(AD388,AD:AD,1)+COUNTIF($AD$3:$AD388,AD388)-1)</f>
        <v>0</v>
      </c>
      <c r="AF388" s="86" t="e">
        <f ca="1">IF(OR(M388&lt;&gt;"",L388="無",K388="高資產",IFERROR(MATCH(B388,換券單檔!K:K,0),"N")&lt;&gt;"N"),FALSE,TRUE)</f>
        <v>#N/A</v>
      </c>
      <c r="AI388" s="1212" t="e">
        <f t="shared" ca="1" si="279"/>
        <v>#N/A</v>
      </c>
      <c r="AJ388" s="1213" t="e">
        <f t="shared" ca="1" si="280"/>
        <v>#N/A</v>
      </c>
      <c r="AK388" s="1587">
        <f t="shared" si="281"/>
        <v>0</v>
      </c>
      <c r="AN388" s="1212" t="e">
        <f t="shared" ca="1" si="282"/>
        <v>#N/A</v>
      </c>
      <c r="AO388" s="1213" t="e">
        <f t="shared" ca="1" si="283"/>
        <v>#N/A</v>
      </c>
      <c r="AP388" s="1587">
        <f t="shared" si="284"/>
        <v>0</v>
      </c>
      <c r="AS388" s="1212" t="e">
        <f t="shared" ca="1" si="285"/>
        <v>#N/A</v>
      </c>
      <c r="AT388" s="1213" t="e">
        <f t="shared" ca="1" si="286"/>
        <v>#N/A</v>
      </c>
      <c r="AU388" s="1587">
        <f t="shared" si="287"/>
        <v>0</v>
      </c>
      <c r="AX388" s="1212" t="e">
        <f t="shared" ca="1" si="288"/>
        <v>#N/A</v>
      </c>
      <c r="AY388" s="1213" t="e">
        <f t="shared" ca="1" si="289"/>
        <v>#N/A</v>
      </c>
      <c r="AZ388" s="1587">
        <f t="shared" si="290"/>
        <v>0</v>
      </c>
      <c r="BC388" s="1212" t="e">
        <f t="shared" ca="1" si="291"/>
        <v>#N/A</v>
      </c>
      <c r="BD388" s="1213" t="e">
        <f t="shared" ca="1" si="292"/>
        <v>#N/A</v>
      </c>
      <c r="BE388" s="1587">
        <f t="shared" si="293"/>
        <v>0</v>
      </c>
      <c r="BH388" s="1212" t="e">
        <f t="shared" ca="1" si="294"/>
        <v>#N/A</v>
      </c>
      <c r="BI388" s="1213" t="e">
        <f t="shared" ca="1" si="295"/>
        <v>#N/A</v>
      </c>
      <c r="BJ388" s="1587">
        <f t="shared" si="296"/>
        <v>0</v>
      </c>
      <c r="BM388" s="1212" t="e">
        <f t="shared" ca="1" si="297"/>
        <v>#N/A</v>
      </c>
      <c r="BN388" s="1213" t="e">
        <f t="shared" ca="1" si="298"/>
        <v>#N/A</v>
      </c>
      <c r="BO388" s="1587">
        <f t="shared" si="299"/>
        <v>0</v>
      </c>
      <c r="BR388" s="1212" t="e">
        <f t="shared" ca="1" si="300"/>
        <v>#N/A</v>
      </c>
      <c r="BS388" s="1213" t="e">
        <f t="shared" ca="1" si="301"/>
        <v>#N/A</v>
      </c>
      <c r="BT388" s="1587">
        <f t="shared" si="302"/>
        <v>0</v>
      </c>
      <c r="BW388" s="1212" t="e">
        <f t="shared" ca="1" si="303"/>
        <v>#N/A</v>
      </c>
      <c r="BX388" s="1213" t="e">
        <f t="shared" ca="1" si="304"/>
        <v>#N/A</v>
      </c>
      <c r="BY388" s="1587">
        <f t="shared" si="305"/>
        <v>0</v>
      </c>
      <c r="CB388" s="1212" t="e">
        <f t="shared" ca="1" si="306"/>
        <v>#N/A</v>
      </c>
      <c r="CC388" s="1213" t="e">
        <f t="shared" ca="1" si="307"/>
        <v>#N/A</v>
      </c>
      <c r="CD388" s="1587">
        <f t="shared" si="308"/>
        <v>0</v>
      </c>
      <c r="CG388" s="1212" t="e">
        <f t="shared" ca="1" si="309"/>
        <v>#N/A</v>
      </c>
      <c r="CH388" s="1213" t="e">
        <f t="shared" ca="1" si="310"/>
        <v>#N/A</v>
      </c>
      <c r="CI388" s="1587">
        <f t="shared" si="311"/>
        <v>0</v>
      </c>
      <c r="CL388" s="1212" t="e">
        <f t="shared" ca="1" si="312"/>
        <v>#N/A</v>
      </c>
      <c r="CM388" s="1213" t="e">
        <f t="shared" ca="1" si="313"/>
        <v>#N/A</v>
      </c>
      <c r="CN388" s="1587">
        <f t="shared" si="314"/>
        <v>0</v>
      </c>
    </row>
    <row r="389" spans="1:92">
      <c r="A389" s="141">
        <f>'銀行-TSS'!A389</f>
        <v>0</v>
      </c>
      <c r="B389" s="151">
        <f ca="1">VLOOKUP(A389,'銀行-TSS'!A:B,2,FALSE)</f>
        <v>0</v>
      </c>
      <c r="C389" s="151" t="e">
        <f ca="1">VLOOKUP(B389,bond!B:C,2,FALSE)</f>
        <v>#N/A</v>
      </c>
      <c r="D389" s="95" t="e">
        <f>VLOOKUP(A389,'銀行-TSS'!A:C,3,FALSE)</f>
        <v>#N/A</v>
      </c>
      <c r="E389" s="90" t="e">
        <f ca="1">VLOOKUP(A389,'銀行-TSS'!A:G,7,FALSE)</f>
        <v>#N/A</v>
      </c>
      <c r="F389" s="202" t="e">
        <f ca="1">VLOOKUP(A389,'銀行-TSS'!A:H,8,FALSE)</f>
        <v>#N/A</v>
      </c>
      <c r="G389" s="96" t="e">
        <f ca="1">VLOOKUP(A389,'銀行-TSS'!A:K,11,FALSE)</f>
        <v>#N/A</v>
      </c>
      <c r="H389" s="1209" t="e">
        <f ca="1">VLOOKUP(A389,'銀行-TSS'!A:M,13,FALSE)</f>
        <v>#N/A</v>
      </c>
      <c r="I389" s="1213" t="e">
        <f ca="1">VLOOKUP(A389,'銀行-TSS'!A:N,14,FALSE)</f>
        <v>#N/A</v>
      </c>
      <c r="J389" s="1213" t="e">
        <f ca="1">VLOOKUP(A389,'銀行-TSS'!A:O,15,FALSE)</f>
        <v>#N/A</v>
      </c>
      <c r="K389" s="136" t="e">
        <f ca="1">VLOOKUP(A389,'銀行-TSS'!A:V,22,FALSE)</f>
        <v>#N/A</v>
      </c>
      <c r="L389" s="136" t="e">
        <f ca="1">VLOOKUP(A389,'銀行-TSS'!A:AK,37,FALSE)</f>
        <v>#N/A</v>
      </c>
      <c r="M389" s="136" t="str">
        <f ca="1">VLOOKUP(A389,'銀行-TSS'!A:AN,40,FALSE)</f>
        <v/>
      </c>
      <c r="N389" s="136" t="e">
        <f t="shared" ca="1" si="270"/>
        <v>#N/A</v>
      </c>
      <c r="O389" s="1213" t="e">
        <f t="shared" ca="1" si="271"/>
        <v>#N/A</v>
      </c>
      <c r="P389" s="1213" t="e">
        <f ca="1">IF(AND($O$1&gt;=O389,換券單檔!$D$13=D389),I389+INT(($O$1-O389)/N389)*J389,0)</f>
        <v>#N/A</v>
      </c>
      <c r="Q389" s="1213" t="e">
        <f t="shared" ca="1" si="272"/>
        <v>#N/A</v>
      </c>
      <c r="R389" s="1213">
        <f t="shared" si="273"/>
        <v>0</v>
      </c>
      <c r="S389" s="1213">
        <f t="shared" si="274"/>
        <v>0</v>
      </c>
      <c r="T389" s="136">
        <f>IF(OR(R389=0,A389=0),0,IF(AND(V389=TRUE,換券單檔!$D$13=D389),E389,0))</f>
        <v>0</v>
      </c>
      <c r="U389" s="861">
        <f>IF(OR(R389=0,A389=0),0,IF(AND(V389=TRUE,換券單檔!$D$13=D389),H389,0))</f>
        <v>0</v>
      </c>
      <c r="V389" s="136" t="e">
        <f ca="1">IF(OR(B389=換券單檔!$D$3,L389="無",M389&lt;&gt;"",K389="高資產",IFERROR(MATCH(B389,換券單檔!K:K,0),"N")&lt;&gt;"N"),FALSE,IF($V$1="All",TRUE,IF(K389=$V$1,TRUE,FALSE)))</f>
        <v>#N/A</v>
      </c>
      <c r="W389" s="136" t="e">
        <f ca="1">VLOOKUP(A389,'銀行-TSS'!A:AO,41,FALSE)</f>
        <v>#N/A</v>
      </c>
      <c r="X389" s="136" t="e">
        <f ca="1">VLOOKUP(A389,'銀行-TSS'!A:AP,42,FALSE)</f>
        <v>#N/A</v>
      </c>
      <c r="Y389" s="1220">
        <f t="shared" si="275"/>
        <v>0</v>
      </c>
      <c r="Z389" s="1220">
        <f t="shared" si="276"/>
        <v>0</v>
      </c>
      <c r="AA389" s="136">
        <f>IF(Z389&lt;=0,0,RANK(Z389,Z:Z)+COUNTIF($Z$3:$Z389,Z389)-1)</f>
        <v>0</v>
      </c>
      <c r="AB389" s="1211">
        <f t="shared" ca="1" si="277"/>
        <v>-14896.14</v>
      </c>
      <c r="AC389" s="136">
        <f ca="1">IF(AB389&lt;=0,0,RANK(AB389,AB:AB)+COUNTIF($AB$3:$AB389,AB389)-1)</f>
        <v>0</v>
      </c>
      <c r="AD389" s="1123">
        <f t="shared" si="278"/>
        <v>99999</v>
      </c>
      <c r="AE389" s="1123">
        <f>IF(AD389=99999,0,RANK(AD389,AD:AD,1)+COUNTIF($AD$3:$AD389,AD389)-1)</f>
        <v>0</v>
      </c>
      <c r="AF389" s="86" t="e">
        <f ca="1">IF(OR(M389&lt;&gt;"",L389="無",K389="高資產",IFERROR(MATCH(B389,換券單檔!K:K,0),"N")&lt;&gt;"N"),FALSE,TRUE)</f>
        <v>#N/A</v>
      </c>
      <c r="AI389" s="1212" t="e">
        <f t="shared" ca="1" si="279"/>
        <v>#N/A</v>
      </c>
      <c r="AJ389" s="1213" t="e">
        <f t="shared" ca="1" si="280"/>
        <v>#N/A</v>
      </c>
      <c r="AK389" s="1587">
        <f t="shared" si="281"/>
        <v>0</v>
      </c>
      <c r="AN389" s="1212" t="e">
        <f t="shared" ca="1" si="282"/>
        <v>#N/A</v>
      </c>
      <c r="AO389" s="1213" t="e">
        <f t="shared" ca="1" si="283"/>
        <v>#N/A</v>
      </c>
      <c r="AP389" s="1587">
        <f t="shared" si="284"/>
        <v>0</v>
      </c>
      <c r="AS389" s="1212" t="e">
        <f t="shared" ca="1" si="285"/>
        <v>#N/A</v>
      </c>
      <c r="AT389" s="1213" t="e">
        <f t="shared" ca="1" si="286"/>
        <v>#N/A</v>
      </c>
      <c r="AU389" s="1587">
        <f t="shared" si="287"/>
        <v>0</v>
      </c>
      <c r="AX389" s="1212" t="e">
        <f t="shared" ca="1" si="288"/>
        <v>#N/A</v>
      </c>
      <c r="AY389" s="1213" t="e">
        <f t="shared" ca="1" si="289"/>
        <v>#N/A</v>
      </c>
      <c r="AZ389" s="1587">
        <f t="shared" si="290"/>
        <v>0</v>
      </c>
      <c r="BC389" s="1212" t="e">
        <f t="shared" ca="1" si="291"/>
        <v>#N/A</v>
      </c>
      <c r="BD389" s="1213" t="e">
        <f t="shared" ca="1" si="292"/>
        <v>#N/A</v>
      </c>
      <c r="BE389" s="1587">
        <f t="shared" si="293"/>
        <v>0</v>
      </c>
      <c r="BH389" s="1212" t="e">
        <f t="shared" ca="1" si="294"/>
        <v>#N/A</v>
      </c>
      <c r="BI389" s="1213" t="e">
        <f t="shared" ca="1" si="295"/>
        <v>#N/A</v>
      </c>
      <c r="BJ389" s="1587">
        <f t="shared" si="296"/>
        <v>0</v>
      </c>
      <c r="BM389" s="1212" t="e">
        <f t="shared" ca="1" si="297"/>
        <v>#N/A</v>
      </c>
      <c r="BN389" s="1213" t="e">
        <f t="shared" ca="1" si="298"/>
        <v>#N/A</v>
      </c>
      <c r="BO389" s="1587">
        <f t="shared" si="299"/>
        <v>0</v>
      </c>
      <c r="BR389" s="1212" t="e">
        <f t="shared" ca="1" si="300"/>
        <v>#N/A</v>
      </c>
      <c r="BS389" s="1213" t="e">
        <f t="shared" ca="1" si="301"/>
        <v>#N/A</v>
      </c>
      <c r="BT389" s="1587">
        <f t="shared" si="302"/>
        <v>0</v>
      </c>
      <c r="BW389" s="1212" t="e">
        <f t="shared" ca="1" si="303"/>
        <v>#N/A</v>
      </c>
      <c r="BX389" s="1213" t="e">
        <f t="shared" ca="1" si="304"/>
        <v>#N/A</v>
      </c>
      <c r="BY389" s="1587">
        <f t="shared" si="305"/>
        <v>0</v>
      </c>
      <c r="CB389" s="1212" t="e">
        <f t="shared" ca="1" si="306"/>
        <v>#N/A</v>
      </c>
      <c r="CC389" s="1213" t="e">
        <f t="shared" ca="1" si="307"/>
        <v>#N/A</v>
      </c>
      <c r="CD389" s="1587">
        <f t="shared" si="308"/>
        <v>0</v>
      </c>
      <c r="CG389" s="1212" t="e">
        <f t="shared" ca="1" si="309"/>
        <v>#N/A</v>
      </c>
      <c r="CH389" s="1213" t="e">
        <f t="shared" ca="1" si="310"/>
        <v>#N/A</v>
      </c>
      <c r="CI389" s="1587">
        <f t="shared" si="311"/>
        <v>0</v>
      </c>
      <c r="CL389" s="1212" t="e">
        <f t="shared" ca="1" si="312"/>
        <v>#N/A</v>
      </c>
      <c r="CM389" s="1213" t="e">
        <f t="shared" ca="1" si="313"/>
        <v>#N/A</v>
      </c>
      <c r="CN389" s="1587">
        <f t="shared" si="314"/>
        <v>0</v>
      </c>
    </row>
    <row r="390" spans="1:92">
      <c r="A390" s="141">
        <f>'銀行-TSS'!A390</f>
        <v>0</v>
      </c>
      <c r="B390" s="151">
        <f ca="1">VLOOKUP(A390,'銀行-TSS'!A:B,2,FALSE)</f>
        <v>0</v>
      </c>
      <c r="C390" s="151" t="e">
        <f ca="1">VLOOKUP(B390,bond!B:C,2,FALSE)</f>
        <v>#N/A</v>
      </c>
      <c r="D390" s="95" t="e">
        <f>VLOOKUP(A390,'銀行-TSS'!A:C,3,FALSE)</f>
        <v>#N/A</v>
      </c>
      <c r="E390" s="90" t="e">
        <f ca="1">VLOOKUP(A390,'銀行-TSS'!A:G,7,FALSE)</f>
        <v>#N/A</v>
      </c>
      <c r="F390" s="202" t="e">
        <f ca="1">VLOOKUP(A390,'銀行-TSS'!A:H,8,FALSE)</f>
        <v>#N/A</v>
      </c>
      <c r="G390" s="96" t="e">
        <f ca="1">VLOOKUP(A390,'銀行-TSS'!A:K,11,FALSE)</f>
        <v>#N/A</v>
      </c>
      <c r="H390" s="1209" t="e">
        <f ca="1">VLOOKUP(A390,'銀行-TSS'!A:M,13,FALSE)</f>
        <v>#N/A</v>
      </c>
      <c r="I390" s="1213" t="e">
        <f ca="1">VLOOKUP(A390,'銀行-TSS'!A:N,14,FALSE)</f>
        <v>#N/A</v>
      </c>
      <c r="J390" s="1213" t="e">
        <f ca="1">VLOOKUP(A390,'銀行-TSS'!A:O,15,FALSE)</f>
        <v>#N/A</v>
      </c>
      <c r="K390" s="136" t="e">
        <f ca="1">VLOOKUP(A390,'銀行-TSS'!A:V,22,FALSE)</f>
        <v>#N/A</v>
      </c>
      <c r="L390" s="136" t="e">
        <f ca="1">VLOOKUP(A390,'銀行-TSS'!A:AK,37,FALSE)</f>
        <v>#N/A</v>
      </c>
      <c r="M390" s="136" t="str">
        <f ca="1">VLOOKUP(A390,'銀行-TSS'!A:AN,40,FALSE)</f>
        <v/>
      </c>
      <c r="N390" s="136" t="e">
        <f t="shared" ca="1" si="270"/>
        <v>#N/A</v>
      </c>
      <c r="O390" s="1213" t="e">
        <f t="shared" ca="1" si="271"/>
        <v>#N/A</v>
      </c>
      <c r="P390" s="1213" t="e">
        <f ca="1">IF(AND($O$1&gt;=O390,換券單檔!$D$13=D390),I390+INT(($O$1-O390)/N390)*J390,0)</f>
        <v>#N/A</v>
      </c>
      <c r="Q390" s="1213" t="e">
        <f t="shared" ca="1" si="272"/>
        <v>#N/A</v>
      </c>
      <c r="R390" s="1213">
        <f t="shared" si="273"/>
        <v>0</v>
      </c>
      <c r="S390" s="1213">
        <f t="shared" si="274"/>
        <v>0</v>
      </c>
      <c r="T390" s="136">
        <f>IF(OR(R390=0,A390=0),0,IF(AND(V390=TRUE,換券單檔!$D$13=D390),E390,0))</f>
        <v>0</v>
      </c>
      <c r="U390" s="861">
        <f>IF(OR(R390=0,A390=0),0,IF(AND(V390=TRUE,換券單檔!$D$13=D390),H390,0))</f>
        <v>0</v>
      </c>
      <c r="V390" s="136" t="e">
        <f ca="1">IF(OR(B390=換券單檔!$D$3,L390="無",M390&lt;&gt;"",K390="高資產",IFERROR(MATCH(B390,換券單檔!K:K,0),"N")&lt;&gt;"N"),FALSE,IF($V$1="All",TRUE,IF(K390=$V$1,TRUE,FALSE)))</f>
        <v>#N/A</v>
      </c>
      <c r="W390" s="136" t="e">
        <f ca="1">VLOOKUP(A390,'銀行-TSS'!A:AO,41,FALSE)</f>
        <v>#N/A</v>
      </c>
      <c r="X390" s="136" t="e">
        <f ca="1">VLOOKUP(A390,'銀行-TSS'!A:AP,42,FALSE)</f>
        <v>#N/A</v>
      </c>
      <c r="Y390" s="1220">
        <f t="shared" si="275"/>
        <v>0</v>
      </c>
      <c r="Z390" s="1220">
        <f t="shared" si="276"/>
        <v>0</v>
      </c>
      <c r="AA390" s="136">
        <f>IF(Z390&lt;=0,0,RANK(Z390,Z:Z)+COUNTIF($Z$3:$Z390,Z390)-1)</f>
        <v>0</v>
      </c>
      <c r="AB390" s="1211">
        <f t="shared" ca="1" si="277"/>
        <v>-14896.14</v>
      </c>
      <c r="AC390" s="136">
        <f ca="1">IF(AB390&lt;=0,0,RANK(AB390,AB:AB)+COUNTIF($AB$3:$AB390,AB390)-1)</f>
        <v>0</v>
      </c>
      <c r="AD390" s="1123">
        <f t="shared" si="278"/>
        <v>99999</v>
      </c>
      <c r="AE390" s="1123">
        <f>IF(AD390=99999,0,RANK(AD390,AD:AD,1)+COUNTIF($AD$3:$AD390,AD390)-1)</f>
        <v>0</v>
      </c>
      <c r="AF390" s="86" t="e">
        <f ca="1">IF(OR(M390&lt;&gt;"",L390="無",K390="高資產",IFERROR(MATCH(B390,換券單檔!K:K,0),"N")&lt;&gt;"N"),FALSE,TRUE)</f>
        <v>#N/A</v>
      </c>
      <c r="AI390" s="1212" t="e">
        <f t="shared" ca="1" si="279"/>
        <v>#N/A</v>
      </c>
      <c r="AJ390" s="1213" t="e">
        <f t="shared" ca="1" si="280"/>
        <v>#N/A</v>
      </c>
      <c r="AK390" s="1587">
        <f t="shared" si="281"/>
        <v>0</v>
      </c>
      <c r="AN390" s="1212" t="e">
        <f t="shared" ca="1" si="282"/>
        <v>#N/A</v>
      </c>
      <c r="AO390" s="1213" t="e">
        <f t="shared" ca="1" si="283"/>
        <v>#N/A</v>
      </c>
      <c r="AP390" s="1587">
        <f t="shared" si="284"/>
        <v>0</v>
      </c>
      <c r="AS390" s="1212" t="e">
        <f t="shared" ca="1" si="285"/>
        <v>#N/A</v>
      </c>
      <c r="AT390" s="1213" t="e">
        <f t="shared" ca="1" si="286"/>
        <v>#N/A</v>
      </c>
      <c r="AU390" s="1587">
        <f t="shared" si="287"/>
        <v>0</v>
      </c>
      <c r="AX390" s="1212" t="e">
        <f t="shared" ca="1" si="288"/>
        <v>#N/A</v>
      </c>
      <c r="AY390" s="1213" t="e">
        <f t="shared" ca="1" si="289"/>
        <v>#N/A</v>
      </c>
      <c r="AZ390" s="1587">
        <f t="shared" si="290"/>
        <v>0</v>
      </c>
      <c r="BC390" s="1212" t="e">
        <f t="shared" ca="1" si="291"/>
        <v>#N/A</v>
      </c>
      <c r="BD390" s="1213" t="e">
        <f t="shared" ca="1" si="292"/>
        <v>#N/A</v>
      </c>
      <c r="BE390" s="1587">
        <f t="shared" si="293"/>
        <v>0</v>
      </c>
      <c r="BH390" s="1212" t="e">
        <f t="shared" ca="1" si="294"/>
        <v>#N/A</v>
      </c>
      <c r="BI390" s="1213" t="e">
        <f t="shared" ca="1" si="295"/>
        <v>#N/A</v>
      </c>
      <c r="BJ390" s="1587">
        <f t="shared" si="296"/>
        <v>0</v>
      </c>
      <c r="BM390" s="1212" t="e">
        <f t="shared" ca="1" si="297"/>
        <v>#N/A</v>
      </c>
      <c r="BN390" s="1213" t="e">
        <f t="shared" ca="1" si="298"/>
        <v>#N/A</v>
      </c>
      <c r="BO390" s="1587">
        <f t="shared" si="299"/>
        <v>0</v>
      </c>
      <c r="BR390" s="1212" t="e">
        <f t="shared" ca="1" si="300"/>
        <v>#N/A</v>
      </c>
      <c r="BS390" s="1213" t="e">
        <f t="shared" ca="1" si="301"/>
        <v>#N/A</v>
      </c>
      <c r="BT390" s="1587">
        <f t="shared" si="302"/>
        <v>0</v>
      </c>
      <c r="BW390" s="1212" t="e">
        <f t="shared" ca="1" si="303"/>
        <v>#N/A</v>
      </c>
      <c r="BX390" s="1213" t="e">
        <f t="shared" ca="1" si="304"/>
        <v>#N/A</v>
      </c>
      <c r="BY390" s="1587">
        <f t="shared" si="305"/>
        <v>0</v>
      </c>
      <c r="CB390" s="1212" t="e">
        <f t="shared" ca="1" si="306"/>
        <v>#N/A</v>
      </c>
      <c r="CC390" s="1213" t="e">
        <f t="shared" ca="1" si="307"/>
        <v>#N/A</v>
      </c>
      <c r="CD390" s="1587">
        <f t="shared" si="308"/>
        <v>0</v>
      </c>
      <c r="CG390" s="1212" t="e">
        <f t="shared" ca="1" si="309"/>
        <v>#N/A</v>
      </c>
      <c r="CH390" s="1213" t="e">
        <f t="shared" ca="1" si="310"/>
        <v>#N/A</v>
      </c>
      <c r="CI390" s="1587">
        <f t="shared" si="311"/>
        <v>0</v>
      </c>
      <c r="CL390" s="1212" t="e">
        <f t="shared" ca="1" si="312"/>
        <v>#N/A</v>
      </c>
      <c r="CM390" s="1213" t="e">
        <f t="shared" ca="1" si="313"/>
        <v>#N/A</v>
      </c>
      <c r="CN390" s="1587">
        <f t="shared" si="314"/>
        <v>0</v>
      </c>
    </row>
    <row r="391" spans="1:92">
      <c r="A391" s="141">
        <f>'銀行-TSS'!A391</f>
        <v>0</v>
      </c>
      <c r="B391" s="151">
        <f ca="1">VLOOKUP(A391,'銀行-TSS'!A:B,2,FALSE)</f>
        <v>0</v>
      </c>
      <c r="C391" s="151" t="e">
        <f ca="1">VLOOKUP(B391,bond!B:C,2,FALSE)</f>
        <v>#N/A</v>
      </c>
      <c r="D391" s="95" t="e">
        <f>VLOOKUP(A391,'銀行-TSS'!A:C,3,FALSE)</f>
        <v>#N/A</v>
      </c>
      <c r="E391" s="90" t="e">
        <f ca="1">VLOOKUP(A391,'銀行-TSS'!A:G,7,FALSE)</f>
        <v>#N/A</v>
      </c>
      <c r="F391" s="202" t="e">
        <f ca="1">VLOOKUP(A391,'銀行-TSS'!A:H,8,FALSE)</f>
        <v>#N/A</v>
      </c>
      <c r="G391" s="96" t="e">
        <f ca="1">VLOOKUP(A391,'銀行-TSS'!A:K,11,FALSE)</f>
        <v>#N/A</v>
      </c>
      <c r="H391" s="1209" t="e">
        <f ca="1">VLOOKUP(A391,'銀行-TSS'!A:M,13,FALSE)</f>
        <v>#N/A</v>
      </c>
      <c r="I391" s="1213" t="e">
        <f ca="1">VLOOKUP(A391,'銀行-TSS'!A:N,14,FALSE)</f>
        <v>#N/A</v>
      </c>
      <c r="J391" s="1213" t="e">
        <f ca="1">VLOOKUP(A391,'銀行-TSS'!A:O,15,FALSE)</f>
        <v>#N/A</v>
      </c>
      <c r="K391" s="136" t="e">
        <f ca="1">VLOOKUP(A391,'銀行-TSS'!A:V,22,FALSE)</f>
        <v>#N/A</v>
      </c>
      <c r="L391" s="136" t="e">
        <f ca="1">VLOOKUP(A391,'銀行-TSS'!A:AK,37,FALSE)</f>
        <v>#N/A</v>
      </c>
      <c r="M391" s="136" t="str">
        <f ca="1">VLOOKUP(A391,'銀行-TSS'!A:AN,40,FALSE)</f>
        <v/>
      </c>
      <c r="N391" s="136" t="e">
        <f t="shared" ca="1" si="270"/>
        <v>#N/A</v>
      </c>
      <c r="O391" s="1213" t="e">
        <f t="shared" ca="1" si="271"/>
        <v>#N/A</v>
      </c>
      <c r="P391" s="1213" t="e">
        <f ca="1">IF(AND($O$1&gt;=O391,換券單檔!$D$13=D391),I391+INT(($O$1-O391)/N391)*J391,0)</f>
        <v>#N/A</v>
      </c>
      <c r="Q391" s="1213" t="e">
        <f t="shared" ca="1" si="272"/>
        <v>#N/A</v>
      </c>
      <c r="R391" s="1213">
        <f t="shared" si="273"/>
        <v>0</v>
      </c>
      <c r="S391" s="1213">
        <f t="shared" si="274"/>
        <v>0</v>
      </c>
      <c r="T391" s="136">
        <f>IF(OR(R391=0,A391=0),0,IF(AND(V391=TRUE,換券單檔!$D$13=D391),E391,0))</f>
        <v>0</v>
      </c>
      <c r="U391" s="861">
        <f>IF(OR(R391=0,A391=0),0,IF(AND(V391=TRUE,換券單檔!$D$13=D391),H391,0))</f>
        <v>0</v>
      </c>
      <c r="V391" s="136" t="e">
        <f ca="1">IF(OR(B391=換券單檔!$D$3,L391="無",M391&lt;&gt;"",K391="高資產",IFERROR(MATCH(B391,換券單檔!K:K,0),"N")&lt;&gt;"N"),FALSE,IF($V$1="All",TRUE,IF(K391=$V$1,TRUE,FALSE)))</f>
        <v>#N/A</v>
      </c>
      <c r="W391" s="136" t="e">
        <f ca="1">VLOOKUP(A391,'銀行-TSS'!A:AO,41,FALSE)</f>
        <v>#N/A</v>
      </c>
      <c r="X391" s="136" t="e">
        <f ca="1">VLOOKUP(A391,'銀行-TSS'!A:AP,42,FALSE)</f>
        <v>#N/A</v>
      </c>
      <c r="Y391" s="1220">
        <f t="shared" si="275"/>
        <v>0</v>
      </c>
      <c r="Z391" s="1220">
        <f t="shared" si="276"/>
        <v>0</v>
      </c>
      <c r="AA391" s="136">
        <f>IF(Z391&lt;=0,0,RANK(Z391,Z:Z)+COUNTIF($Z$3:$Z391,Z391)-1)</f>
        <v>0</v>
      </c>
      <c r="AB391" s="1211">
        <f t="shared" ca="1" si="277"/>
        <v>-14896.14</v>
      </c>
      <c r="AC391" s="136">
        <f ca="1">IF(AB391&lt;=0,0,RANK(AB391,AB:AB)+COUNTIF($AB$3:$AB391,AB391)-1)</f>
        <v>0</v>
      </c>
      <c r="AD391" s="1123">
        <f t="shared" si="278"/>
        <v>99999</v>
      </c>
      <c r="AE391" s="1123">
        <f>IF(AD391=99999,0,RANK(AD391,AD:AD,1)+COUNTIF($AD$3:$AD391,AD391)-1)</f>
        <v>0</v>
      </c>
      <c r="AF391" s="86" t="e">
        <f ca="1">IF(OR(M391&lt;&gt;"",L391="無",K391="高資產",IFERROR(MATCH(B391,換券單檔!K:K,0),"N")&lt;&gt;"N"),FALSE,TRUE)</f>
        <v>#N/A</v>
      </c>
      <c r="AI391" s="1212" t="e">
        <f t="shared" ca="1" si="279"/>
        <v>#N/A</v>
      </c>
      <c r="AJ391" s="1213" t="e">
        <f t="shared" ca="1" si="280"/>
        <v>#N/A</v>
      </c>
      <c r="AK391" s="1587">
        <f t="shared" si="281"/>
        <v>0</v>
      </c>
      <c r="AN391" s="1212" t="e">
        <f t="shared" ca="1" si="282"/>
        <v>#N/A</v>
      </c>
      <c r="AO391" s="1213" t="e">
        <f t="shared" ca="1" si="283"/>
        <v>#N/A</v>
      </c>
      <c r="AP391" s="1587">
        <f t="shared" si="284"/>
        <v>0</v>
      </c>
      <c r="AS391" s="1212" t="e">
        <f t="shared" ca="1" si="285"/>
        <v>#N/A</v>
      </c>
      <c r="AT391" s="1213" t="e">
        <f t="shared" ca="1" si="286"/>
        <v>#N/A</v>
      </c>
      <c r="AU391" s="1587">
        <f t="shared" si="287"/>
        <v>0</v>
      </c>
      <c r="AX391" s="1212" t="e">
        <f t="shared" ca="1" si="288"/>
        <v>#N/A</v>
      </c>
      <c r="AY391" s="1213" t="e">
        <f t="shared" ca="1" si="289"/>
        <v>#N/A</v>
      </c>
      <c r="AZ391" s="1587">
        <f t="shared" si="290"/>
        <v>0</v>
      </c>
      <c r="BC391" s="1212" t="e">
        <f t="shared" ca="1" si="291"/>
        <v>#N/A</v>
      </c>
      <c r="BD391" s="1213" t="e">
        <f t="shared" ca="1" si="292"/>
        <v>#N/A</v>
      </c>
      <c r="BE391" s="1587">
        <f t="shared" si="293"/>
        <v>0</v>
      </c>
      <c r="BH391" s="1212" t="e">
        <f t="shared" ca="1" si="294"/>
        <v>#N/A</v>
      </c>
      <c r="BI391" s="1213" t="e">
        <f t="shared" ca="1" si="295"/>
        <v>#N/A</v>
      </c>
      <c r="BJ391" s="1587">
        <f t="shared" si="296"/>
        <v>0</v>
      </c>
      <c r="BM391" s="1212" t="e">
        <f t="shared" ca="1" si="297"/>
        <v>#N/A</v>
      </c>
      <c r="BN391" s="1213" t="e">
        <f t="shared" ca="1" si="298"/>
        <v>#N/A</v>
      </c>
      <c r="BO391" s="1587">
        <f t="shared" si="299"/>
        <v>0</v>
      </c>
      <c r="BR391" s="1212" t="e">
        <f t="shared" ca="1" si="300"/>
        <v>#N/A</v>
      </c>
      <c r="BS391" s="1213" t="e">
        <f t="shared" ca="1" si="301"/>
        <v>#N/A</v>
      </c>
      <c r="BT391" s="1587">
        <f t="shared" si="302"/>
        <v>0</v>
      </c>
      <c r="BW391" s="1212" t="e">
        <f t="shared" ca="1" si="303"/>
        <v>#N/A</v>
      </c>
      <c r="BX391" s="1213" t="e">
        <f t="shared" ca="1" si="304"/>
        <v>#N/A</v>
      </c>
      <c r="BY391" s="1587">
        <f t="shared" si="305"/>
        <v>0</v>
      </c>
      <c r="CB391" s="1212" t="e">
        <f t="shared" ca="1" si="306"/>
        <v>#N/A</v>
      </c>
      <c r="CC391" s="1213" t="e">
        <f t="shared" ca="1" si="307"/>
        <v>#N/A</v>
      </c>
      <c r="CD391" s="1587">
        <f t="shared" si="308"/>
        <v>0</v>
      </c>
      <c r="CG391" s="1212" t="e">
        <f t="shared" ca="1" si="309"/>
        <v>#N/A</v>
      </c>
      <c r="CH391" s="1213" t="e">
        <f t="shared" ca="1" si="310"/>
        <v>#N/A</v>
      </c>
      <c r="CI391" s="1587">
        <f t="shared" si="311"/>
        <v>0</v>
      </c>
      <c r="CL391" s="1212" t="e">
        <f t="shared" ca="1" si="312"/>
        <v>#N/A</v>
      </c>
      <c r="CM391" s="1213" t="e">
        <f t="shared" ca="1" si="313"/>
        <v>#N/A</v>
      </c>
      <c r="CN391" s="1587">
        <f t="shared" si="314"/>
        <v>0</v>
      </c>
    </row>
    <row r="392" spans="1:92">
      <c r="A392" s="141">
        <f>'銀行-TSS'!A392</f>
        <v>0</v>
      </c>
      <c r="B392" s="151">
        <f ca="1">VLOOKUP(A392,'銀行-TSS'!A:B,2,FALSE)</f>
        <v>0</v>
      </c>
      <c r="C392" s="151" t="e">
        <f ca="1">VLOOKUP(B392,bond!B:C,2,FALSE)</f>
        <v>#N/A</v>
      </c>
      <c r="D392" s="95" t="e">
        <f>VLOOKUP(A392,'銀行-TSS'!A:C,3,FALSE)</f>
        <v>#N/A</v>
      </c>
      <c r="E392" s="90" t="e">
        <f ca="1">VLOOKUP(A392,'銀行-TSS'!A:G,7,FALSE)</f>
        <v>#N/A</v>
      </c>
      <c r="F392" s="202" t="e">
        <f ca="1">VLOOKUP(A392,'銀行-TSS'!A:H,8,FALSE)</f>
        <v>#N/A</v>
      </c>
      <c r="G392" s="96" t="e">
        <f ca="1">VLOOKUP(A392,'銀行-TSS'!A:K,11,FALSE)</f>
        <v>#N/A</v>
      </c>
      <c r="H392" s="1209" t="e">
        <f ca="1">VLOOKUP(A392,'銀行-TSS'!A:M,13,FALSE)</f>
        <v>#N/A</v>
      </c>
      <c r="I392" s="1213" t="e">
        <f ca="1">VLOOKUP(A392,'銀行-TSS'!A:N,14,FALSE)</f>
        <v>#N/A</v>
      </c>
      <c r="J392" s="1213" t="e">
        <f ca="1">VLOOKUP(A392,'銀行-TSS'!A:O,15,FALSE)</f>
        <v>#N/A</v>
      </c>
      <c r="K392" s="136" t="e">
        <f ca="1">VLOOKUP(A392,'銀行-TSS'!A:V,22,FALSE)</f>
        <v>#N/A</v>
      </c>
      <c r="L392" s="136" t="e">
        <f ca="1">VLOOKUP(A392,'銀行-TSS'!A:AK,37,FALSE)</f>
        <v>#N/A</v>
      </c>
      <c r="M392" s="136" t="str">
        <f ca="1">VLOOKUP(A392,'銀行-TSS'!A:AN,40,FALSE)</f>
        <v/>
      </c>
      <c r="N392" s="136" t="e">
        <f t="shared" ca="1" si="270"/>
        <v>#N/A</v>
      </c>
      <c r="O392" s="1213" t="e">
        <f t="shared" ca="1" si="271"/>
        <v>#N/A</v>
      </c>
      <c r="P392" s="1213" t="e">
        <f ca="1">IF(AND($O$1&gt;=O392,換券單檔!$D$13=D392),I392+INT(($O$1-O392)/N392)*J392,0)</f>
        <v>#N/A</v>
      </c>
      <c r="Q392" s="1213" t="e">
        <f t="shared" ca="1" si="272"/>
        <v>#N/A</v>
      </c>
      <c r="R392" s="1213">
        <f t="shared" si="273"/>
        <v>0</v>
      </c>
      <c r="S392" s="1213">
        <f t="shared" si="274"/>
        <v>0</v>
      </c>
      <c r="T392" s="136">
        <f>IF(OR(R392=0,A392=0),0,IF(AND(V392=TRUE,換券單檔!$D$13=D392),E392,0))</f>
        <v>0</v>
      </c>
      <c r="U392" s="861">
        <f>IF(OR(R392=0,A392=0),0,IF(AND(V392=TRUE,換券單檔!$D$13=D392),H392,0))</f>
        <v>0</v>
      </c>
      <c r="V392" s="136" t="e">
        <f ca="1">IF(OR(B392=換券單檔!$D$3,L392="無",M392&lt;&gt;"",K392="高資產",IFERROR(MATCH(B392,換券單檔!K:K,0),"N")&lt;&gt;"N"),FALSE,IF($V$1="All",TRUE,IF(K392=$V$1,TRUE,FALSE)))</f>
        <v>#N/A</v>
      </c>
      <c r="W392" s="136" t="e">
        <f ca="1">VLOOKUP(A392,'銀行-TSS'!A:AO,41,FALSE)</f>
        <v>#N/A</v>
      </c>
      <c r="X392" s="136" t="e">
        <f ca="1">VLOOKUP(A392,'銀行-TSS'!A:AP,42,FALSE)</f>
        <v>#N/A</v>
      </c>
      <c r="Y392" s="1220">
        <f t="shared" si="275"/>
        <v>0</v>
      </c>
      <c r="Z392" s="1220">
        <f t="shared" si="276"/>
        <v>0</v>
      </c>
      <c r="AA392" s="136">
        <f>IF(Z392&lt;=0,0,RANK(Z392,Z:Z)+COUNTIF($Z$3:$Z392,Z392)-1)</f>
        <v>0</v>
      </c>
      <c r="AB392" s="1211">
        <f t="shared" ca="1" si="277"/>
        <v>-14896.14</v>
      </c>
      <c r="AC392" s="136">
        <f ca="1">IF(AB392&lt;=0,0,RANK(AB392,AB:AB)+COUNTIF($AB$3:$AB392,AB392)-1)</f>
        <v>0</v>
      </c>
      <c r="AD392" s="1123">
        <f t="shared" si="278"/>
        <v>99999</v>
      </c>
      <c r="AE392" s="1123">
        <f>IF(AD392=99999,0,RANK(AD392,AD:AD,1)+COUNTIF($AD$3:$AD392,AD392)-1)</f>
        <v>0</v>
      </c>
      <c r="AF392" s="86" t="e">
        <f ca="1">IF(OR(M392&lt;&gt;"",L392="無",K392="高資產",IFERROR(MATCH(B392,換券單檔!K:K,0),"N")&lt;&gt;"N"),FALSE,TRUE)</f>
        <v>#N/A</v>
      </c>
      <c r="AI392" s="1212" t="e">
        <f t="shared" ca="1" si="279"/>
        <v>#N/A</v>
      </c>
      <c r="AJ392" s="1213" t="e">
        <f t="shared" ca="1" si="280"/>
        <v>#N/A</v>
      </c>
      <c r="AK392" s="1587">
        <f t="shared" si="281"/>
        <v>0</v>
      </c>
      <c r="AN392" s="1212" t="e">
        <f t="shared" ca="1" si="282"/>
        <v>#N/A</v>
      </c>
      <c r="AO392" s="1213" t="e">
        <f t="shared" ca="1" si="283"/>
        <v>#N/A</v>
      </c>
      <c r="AP392" s="1587">
        <f t="shared" si="284"/>
        <v>0</v>
      </c>
      <c r="AS392" s="1212" t="e">
        <f t="shared" ca="1" si="285"/>
        <v>#N/A</v>
      </c>
      <c r="AT392" s="1213" t="e">
        <f t="shared" ca="1" si="286"/>
        <v>#N/A</v>
      </c>
      <c r="AU392" s="1587">
        <f t="shared" si="287"/>
        <v>0</v>
      </c>
      <c r="AX392" s="1212" t="e">
        <f t="shared" ca="1" si="288"/>
        <v>#N/A</v>
      </c>
      <c r="AY392" s="1213" t="e">
        <f t="shared" ca="1" si="289"/>
        <v>#N/A</v>
      </c>
      <c r="AZ392" s="1587">
        <f t="shared" si="290"/>
        <v>0</v>
      </c>
      <c r="BC392" s="1212" t="e">
        <f t="shared" ca="1" si="291"/>
        <v>#N/A</v>
      </c>
      <c r="BD392" s="1213" t="e">
        <f t="shared" ca="1" si="292"/>
        <v>#N/A</v>
      </c>
      <c r="BE392" s="1587">
        <f t="shared" si="293"/>
        <v>0</v>
      </c>
      <c r="BH392" s="1212" t="e">
        <f t="shared" ca="1" si="294"/>
        <v>#N/A</v>
      </c>
      <c r="BI392" s="1213" t="e">
        <f t="shared" ca="1" si="295"/>
        <v>#N/A</v>
      </c>
      <c r="BJ392" s="1587">
        <f t="shared" si="296"/>
        <v>0</v>
      </c>
      <c r="BM392" s="1212" t="e">
        <f t="shared" ca="1" si="297"/>
        <v>#N/A</v>
      </c>
      <c r="BN392" s="1213" t="e">
        <f t="shared" ca="1" si="298"/>
        <v>#N/A</v>
      </c>
      <c r="BO392" s="1587">
        <f t="shared" si="299"/>
        <v>0</v>
      </c>
      <c r="BR392" s="1212" t="e">
        <f t="shared" ca="1" si="300"/>
        <v>#N/A</v>
      </c>
      <c r="BS392" s="1213" t="e">
        <f t="shared" ca="1" si="301"/>
        <v>#N/A</v>
      </c>
      <c r="BT392" s="1587">
        <f t="shared" si="302"/>
        <v>0</v>
      </c>
      <c r="BW392" s="1212" t="e">
        <f t="shared" ca="1" si="303"/>
        <v>#N/A</v>
      </c>
      <c r="BX392" s="1213" t="e">
        <f t="shared" ca="1" si="304"/>
        <v>#N/A</v>
      </c>
      <c r="BY392" s="1587">
        <f t="shared" si="305"/>
        <v>0</v>
      </c>
      <c r="CB392" s="1212" t="e">
        <f t="shared" ca="1" si="306"/>
        <v>#N/A</v>
      </c>
      <c r="CC392" s="1213" t="e">
        <f t="shared" ca="1" si="307"/>
        <v>#N/A</v>
      </c>
      <c r="CD392" s="1587">
        <f t="shared" si="308"/>
        <v>0</v>
      </c>
      <c r="CG392" s="1212" t="e">
        <f t="shared" ca="1" si="309"/>
        <v>#N/A</v>
      </c>
      <c r="CH392" s="1213" t="e">
        <f t="shared" ca="1" si="310"/>
        <v>#N/A</v>
      </c>
      <c r="CI392" s="1587">
        <f t="shared" si="311"/>
        <v>0</v>
      </c>
      <c r="CL392" s="1212" t="e">
        <f t="shared" ca="1" si="312"/>
        <v>#N/A</v>
      </c>
      <c r="CM392" s="1213" t="e">
        <f t="shared" ca="1" si="313"/>
        <v>#N/A</v>
      </c>
      <c r="CN392" s="1587">
        <f t="shared" si="314"/>
        <v>0</v>
      </c>
    </row>
    <row r="393" spans="1:92">
      <c r="A393" s="141">
        <f>'銀行-TSS'!A393</f>
        <v>0</v>
      </c>
      <c r="B393" s="151">
        <f ca="1">VLOOKUP(A393,'銀行-TSS'!A:B,2,FALSE)</f>
        <v>0</v>
      </c>
      <c r="C393" s="151" t="e">
        <f ca="1">VLOOKUP(B393,bond!B:C,2,FALSE)</f>
        <v>#N/A</v>
      </c>
      <c r="D393" s="95" t="e">
        <f>VLOOKUP(A393,'銀行-TSS'!A:C,3,FALSE)</f>
        <v>#N/A</v>
      </c>
      <c r="E393" s="90" t="e">
        <f ca="1">VLOOKUP(A393,'銀行-TSS'!A:G,7,FALSE)</f>
        <v>#N/A</v>
      </c>
      <c r="F393" s="202" t="e">
        <f ca="1">VLOOKUP(A393,'銀行-TSS'!A:H,8,FALSE)</f>
        <v>#N/A</v>
      </c>
      <c r="G393" s="96" t="e">
        <f ca="1">VLOOKUP(A393,'銀行-TSS'!A:K,11,FALSE)</f>
        <v>#N/A</v>
      </c>
      <c r="H393" s="1209" t="e">
        <f ca="1">VLOOKUP(A393,'銀行-TSS'!A:M,13,FALSE)</f>
        <v>#N/A</v>
      </c>
      <c r="I393" s="1213" t="e">
        <f ca="1">VLOOKUP(A393,'銀行-TSS'!A:N,14,FALSE)</f>
        <v>#N/A</v>
      </c>
      <c r="J393" s="1213" t="e">
        <f ca="1">VLOOKUP(A393,'銀行-TSS'!A:O,15,FALSE)</f>
        <v>#N/A</v>
      </c>
      <c r="K393" s="136" t="e">
        <f ca="1">VLOOKUP(A393,'銀行-TSS'!A:V,22,FALSE)</f>
        <v>#N/A</v>
      </c>
      <c r="L393" s="136" t="e">
        <f ca="1">VLOOKUP(A393,'銀行-TSS'!A:AK,37,FALSE)</f>
        <v>#N/A</v>
      </c>
      <c r="M393" s="136" t="str">
        <f ca="1">VLOOKUP(A393,'銀行-TSS'!A:AN,40,FALSE)</f>
        <v/>
      </c>
      <c r="N393" s="136" t="e">
        <f t="shared" ca="1" si="270"/>
        <v>#N/A</v>
      </c>
      <c r="O393" s="1213" t="e">
        <f t="shared" ca="1" si="271"/>
        <v>#N/A</v>
      </c>
      <c r="P393" s="1213" t="e">
        <f ca="1">IF(AND($O$1&gt;=O393,換券單檔!$D$13=D393),I393+INT(($O$1-O393)/N393)*J393,0)</f>
        <v>#N/A</v>
      </c>
      <c r="Q393" s="1213" t="e">
        <f t="shared" ca="1" si="272"/>
        <v>#N/A</v>
      </c>
      <c r="R393" s="1213">
        <f t="shared" si="273"/>
        <v>0</v>
      </c>
      <c r="S393" s="1213">
        <f t="shared" si="274"/>
        <v>0</v>
      </c>
      <c r="T393" s="136">
        <f>IF(OR(R393=0,A393=0),0,IF(AND(V393=TRUE,換券單檔!$D$13=D393),E393,0))</f>
        <v>0</v>
      </c>
      <c r="U393" s="861">
        <f>IF(OR(R393=0,A393=0),0,IF(AND(V393=TRUE,換券單檔!$D$13=D393),H393,0))</f>
        <v>0</v>
      </c>
      <c r="V393" s="136" t="e">
        <f ca="1">IF(OR(B393=換券單檔!$D$3,L393="無",M393&lt;&gt;"",K393="高資產",IFERROR(MATCH(B393,換券單檔!K:K,0),"N")&lt;&gt;"N"),FALSE,IF($V$1="All",TRUE,IF(K393=$V$1,TRUE,FALSE)))</f>
        <v>#N/A</v>
      </c>
      <c r="W393" s="136" t="e">
        <f ca="1">VLOOKUP(A393,'銀行-TSS'!A:AO,41,FALSE)</f>
        <v>#N/A</v>
      </c>
      <c r="X393" s="136" t="e">
        <f ca="1">VLOOKUP(A393,'銀行-TSS'!A:AP,42,FALSE)</f>
        <v>#N/A</v>
      </c>
      <c r="Y393" s="1220">
        <f t="shared" si="275"/>
        <v>0</v>
      </c>
      <c r="Z393" s="1220">
        <f t="shared" si="276"/>
        <v>0</v>
      </c>
      <c r="AA393" s="136">
        <f>IF(Z393&lt;=0,0,RANK(Z393,Z:Z)+COUNTIF($Z$3:$Z393,Z393)-1)</f>
        <v>0</v>
      </c>
      <c r="AB393" s="1211">
        <f t="shared" ca="1" si="277"/>
        <v>-14896.14</v>
      </c>
      <c r="AC393" s="136">
        <f ca="1">IF(AB393&lt;=0,0,RANK(AB393,AB:AB)+COUNTIF($AB$3:$AB393,AB393)-1)</f>
        <v>0</v>
      </c>
      <c r="AD393" s="1123">
        <f t="shared" si="278"/>
        <v>99999</v>
      </c>
      <c r="AE393" s="1123">
        <f>IF(AD393=99999,0,RANK(AD393,AD:AD,1)+COUNTIF($AD$3:$AD393,AD393)-1)</f>
        <v>0</v>
      </c>
      <c r="AF393" s="86" t="e">
        <f ca="1">IF(OR(M393&lt;&gt;"",L393="無",K393="高資產",IFERROR(MATCH(B393,換券單檔!K:K,0),"N")&lt;&gt;"N"),FALSE,TRUE)</f>
        <v>#N/A</v>
      </c>
      <c r="AI393" s="1212" t="e">
        <f t="shared" ca="1" si="279"/>
        <v>#N/A</v>
      </c>
      <c r="AJ393" s="1213" t="e">
        <f t="shared" ca="1" si="280"/>
        <v>#N/A</v>
      </c>
      <c r="AK393" s="1587">
        <f t="shared" si="281"/>
        <v>0</v>
      </c>
      <c r="AN393" s="1212" t="e">
        <f t="shared" ca="1" si="282"/>
        <v>#N/A</v>
      </c>
      <c r="AO393" s="1213" t="e">
        <f t="shared" ca="1" si="283"/>
        <v>#N/A</v>
      </c>
      <c r="AP393" s="1587">
        <f t="shared" si="284"/>
        <v>0</v>
      </c>
      <c r="AS393" s="1212" t="e">
        <f t="shared" ca="1" si="285"/>
        <v>#N/A</v>
      </c>
      <c r="AT393" s="1213" t="e">
        <f t="shared" ca="1" si="286"/>
        <v>#N/A</v>
      </c>
      <c r="AU393" s="1587">
        <f t="shared" si="287"/>
        <v>0</v>
      </c>
      <c r="AX393" s="1212" t="e">
        <f t="shared" ca="1" si="288"/>
        <v>#N/A</v>
      </c>
      <c r="AY393" s="1213" t="e">
        <f t="shared" ca="1" si="289"/>
        <v>#N/A</v>
      </c>
      <c r="AZ393" s="1587">
        <f t="shared" si="290"/>
        <v>0</v>
      </c>
      <c r="BC393" s="1212" t="e">
        <f t="shared" ca="1" si="291"/>
        <v>#N/A</v>
      </c>
      <c r="BD393" s="1213" t="e">
        <f t="shared" ca="1" si="292"/>
        <v>#N/A</v>
      </c>
      <c r="BE393" s="1587">
        <f t="shared" si="293"/>
        <v>0</v>
      </c>
      <c r="BH393" s="1212" t="e">
        <f t="shared" ca="1" si="294"/>
        <v>#N/A</v>
      </c>
      <c r="BI393" s="1213" t="e">
        <f t="shared" ca="1" si="295"/>
        <v>#N/A</v>
      </c>
      <c r="BJ393" s="1587">
        <f t="shared" si="296"/>
        <v>0</v>
      </c>
      <c r="BM393" s="1212" t="e">
        <f t="shared" ca="1" si="297"/>
        <v>#N/A</v>
      </c>
      <c r="BN393" s="1213" t="e">
        <f t="shared" ca="1" si="298"/>
        <v>#N/A</v>
      </c>
      <c r="BO393" s="1587">
        <f t="shared" si="299"/>
        <v>0</v>
      </c>
      <c r="BR393" s="1212" t="e">
        <f t="shared" ca="1" si="300"/>
        <v>#N/A</v>
      </c>
      <c r="BS393" s="1213" t="e">
        <f t="shared" ca="1" si="301"/>
        <v>#N/A</v>
      </c>
      <c r="BT393" s="1587">
        <f t="shared" si="302"/>
        <v>0</v>
      </c>
      <c r="BW393" s="1212" t="e">
        <f t="shared" ca="1" si="303"/>
        <v>#N/A</v>
      </c>
      <c r="BX393" s="1213" t="e">
        <f t="shared" ca="1" si="304"/>
        <v>#N/A</v>
      </c>
      <c r="BY393" s="1587">
        <f t="shared" si="305"/>
        <v>0</v>
      </c>
      <c r="CB393" s="1212" t="e">
        <f t="shared" ca="1" si="306"/>
        <v>#N/A</v>
      </c>
      <c r="CC393" s="1213" t="e">
        <f t="shared" ca="1" si="307"/>
        <v>#N/A</v>
      </c>
      <c r="CD393" s="1587">
        <f t="shared" si="308"/>
        <v>0</v>
      </c>
      <c r="CG393" s="1212" t="e">
        <f t="shared" ca="1" si="309"/>
        <v>#N/A</v>
      </c>
      <c r="CH393" s="1213" t="e">
        <f t="shared" ca="1" si="310"/>
        <v>#N/A</v>
      </c>
      <c r="CI393" s="1587">
        <f t="shared" si="311"/>
        <v>0</v>
      </c>
      <c r="CL393" s="1212" t="e">
        <f t="shared" ca="1" si="312"/>
        <v>#N/A</v>
      </c>
      <c r="CM393" s="1213" t="e">
        <f t="shared" ca="1" si="313"/>
        <v>#N/A</v>
      </c>
      <c r="CN393" s="1587">
        <f t="shared" si="314"/>
        <v>0</v>
      </c>
    </row>
    <row r="394" spans="1:92">
      <c r="A394" s="141">
        <f>'銀行-TSS'!A394</f>
        <v>0</v>
      </c>
      <c r="B394" s="151">
        <f ca="1">VLOOKUP(A394,'銀行-TSS'!A:B,2,FALSE)</f>
        <v>0</v>
      </c>
      <c r="C394" s="151" t="e">
        <f ca="1">VLOOKUP(B394,bond!B:C,2,FALSE)</f>
        <v>#N/A</v>
      </c>
      <c r="D394" s="95" t="e">
        <f>VLOOKUP(A394,'銀行-TSS'!A:C,3,FALSE)</f>
        <v>#N/A</v>
      </c>
      <c r="E394" s="90" t="e">
        <f ca="1">VLOOKUP(A394,'銀行-TSS'!A:G,7,FALSE)</f>
        <v>#N/A</v>
      </c>
      <c r="F394" s="202" t="e">
        <f ca="1">VLOOKUP(A394,'銀行-TSS'!A:H,8,FALSE)</f>
        <v>#N/A</v>
      </c>
      <c r="G394" s="96" t="e">
        <f ca="1">VLOOKUP(A394,'銀行-TSS'!A:K,11,FALSE)</f>
        <v>#N/A</v>
      </c>
      <c r="H394" s="1209" t="e">
        <f ca="1">VLOOKUP(A394,'銀行-TSS'!A:M,13,FALSE)</f>
        <v>#N/A</v>
      </c>
      <c r="I394" s="1213" t="e">
        <f ca="1">VLOOKUP(A394,'銀行-TSS'!A:N,14,FALSE)</f>
        <v>#N/A</v>
      </c>
      <c r="J394" s="1213" t="e">
        <f ca="1">VLOOKUP(A394,'銀行-TSS'!A:O,15,FALSE)</f>
        <v>#N/A</v>
      </c>
      <c r="K394" s="136" t="e">
        <f ca="1">VLOOKUP(A394,'銀行-TSS'!A:V,22,FALSE)</f>
        <v>#N/A</v>
      </c>
      <c r="L394" s="136" t="e">
        <f ca="1">VLOOKUP(A394,'銀行-TSS'!A:AK,37,FALSE)</f>
        <v>#N/A</v>
      </c>
      <c r="M394" s="136" t="str">
        <f ca="1">VLOOKUP(A394,'銀行-TSS'!A:AN,40,FALSE)</f>
        <v/>
      </c>
      <c r="N394" s="136" t="e">
        <f t="shared" ca="1" si="270"/>
        <v>#N/A</v>
      </c>
      <c r="O394" s="1213" t="e">
        <f t="shared" ca="1" si="271"/>
        <v>#N/A</v>
      </c>
      <c r="P394" s="1213" t="e">
        <f ca="1">IF(AND($O$1&gt;=O394,換券單檔!$D$13=D394),I394+INT(($O$1-O394)/N394)*J394,0)</f>
        <v>#N/A</v>
      </c>
      <c r="Q394" s="1213" t="e">
        <f t="shared" ca="1" si="272"/>
        <v>#N/A</v>
      </c>
      <c r="R394" s="1213">
        <f t="shared" si="273"/>
        <v>0</v>
      </c>
      <c r="S394" s="1213">
        <f t="shared" si="274"/>
        <v>0</v>
      </c>
      <c r="T394" s="136">
        <f>IF(OR(R394=0,A394=0),0,IF(AND(V394=TRUE,換券單檔!$D$13=D394),E394,0))</f>
        <v>0</v>
      </c>
      <c r="U394" s="861">
        <f>IF(OR(R394=0,A394=0),0,IF(AND(V394=TRUE,換券單檔!$D$13=D394),H394,0))</f>
        <v>0</v>
      </c>
      <c r="V394" s="136" t="e">
        <f ca="1">IF(OR(B394=換券單檔!$D$3,L394="無",M394&lt;&gt;"",K394="高資產",IFERROR(MATCH(B394,換券單檔!K:K,0),"N")&lt;&gt;"N"),FALSE,IF($V$1="All",TRUE,IF(K394=$V$1,TRUE,FALSE)))</f>
        <v>#N/A</v>
      </c>
      <c r="W394" s="136" t="e">
        <f ca="1">VLOOKUP(A394,'銀行-TSS'!A:AO,41,FALSE)</f>
        <v>#N/A</v>
      </c>
      <c r="X394" s="136" t="e">
        <f ca="1">VLOOKUP(A394,'銀行-TSS'!A:AP,42,FALSE)</f>
        <v>#N/A</v>
      </c>
      <c r="Y394" s="1220">
        <f t="shared" si="275"/>
        <v>0</v>
      </c>
      <c r="Z394" s="1220">
        <f t="shared" si="276"/>
        <v>0</v>
      </c>
      <c r="AA394" s="136">
        <f>IF(Z394&lt;=0,0,RANK(Z394,Z:Z)+COUNTIF($Z$3:$Z394,Z394)-1)</f>
        <v>0</v>
      </c>
      <c r="AB394" s="1211">
        <f t="shared" ca="1" si="277"/>
        <v>-14896.14</v>
      </c>
      <c r="AC394" s="136">
        <f ca="1">IF(AB394&lt;=0,0,RANK(AB394,AB:AB)+COUNTIF($AB$3:$AB394,AB394)-1)</f>
        <v>0</v>
      </c>
      <c r="AD394" s="1123">
        <f t="shared" si="278"/>
        <v>99999</v>
      </c>
      <c r="AE394" s="1123">
        <f>IF(AD394=99999,0,RANK(AD394,AD:AD,1)+COUNTIF($AD$3:$AD394,AD394)-1)</f>
        <v>0</v>
      </c>
      <c r="AF394" s="86" t="e">
        <f ca="1">IF(OR(M394&lt;&gt;"",L394="無",K394="高資產",IFERROR(MATCH(B394,換券單檔!K:K,0),"N")&lt;&gt;"N"),FALSE,TRUE)</f>
        <v>#N/A</v>
      </c>
      <c r="AI394" s="1212" t="e">
        <f t="shared" ca="1" si="279"/>
        <v>#N/A</v>
      </c>
      <c r="AJ394" s="1213" t="e">
        <f t="shared" ca="1" si="280"/>
        <v>#N/A</v>
      </c>
      <c r="AK394" s="1587">
        <f t="shared" si="281"/>
        <v>0</v>
      </c>
      <c r="AN394" s="1212" t="e">
        <f t="shared" ca="1" si="282"/>
        <v>#N/A</v>
      </c>
      <c r="AO394" s="1213" t="e">
        <f t="shared" ca="1" si="283"/>
        <v>#N/A</v>
      </c>
      <c r="AP394" s="1587">
        <f t="shared" si="284"/>
        <v>0</v>
      </c>
      <c r="AS394" s="1212" t="e">
        <f t="shared" ca="1" si="285"/>
        <v>#N/A</v>
      </c>
      <c r="AT394" s="1213" t="e">
        <f t="shared" ca="1" si="286"/>
        <v>#N/A</v>
      </c>
      <c r="AU394" s="1587">
        <f t="shared" si="287"/>
        <v>0</v>
      </c>
      <c r="AX394" s="1212" t="e">
        <f t="shared" ca="1" si="288"/>
        <v>#N/A</v>
      </c>
      <c r="AY394" s="1213" t="e">
        <f t="shared" ca="1" si="289"/>
        <v>#N/A</v>
      </c>
      <c r="AZ394" s="1587">
        <f t="shared" si="290"/>
        <v>0</v>
      </c>
      <c r="BC394" s="1212" t="e">
        <f t="shared" ca="1" si="291"/>
        <v>#N/A</v>
      </c>
      <c r="BD394" s="1213" t="e">
        <f t="shared" ca="1" si="292"/>
        <v>#N/A</v>
      </c>
      <c r="BE394" s="1587">
        <f t="shared" si="293"/>
        <v>0</v>
      </c>
      <c r="BH394" s="1212" t="e">
        <f t="shared" ca="1" si="294"/>
        <v>#N/A</v>
      </c>
      <c r="BI394" s="1213" t="e">
        <f t="shared" ca="1" si="295"/>
        <v>#N/A</v>
      </c>
      <c r="BJ394" s="1587">
        <f t="shared" si="296"/>
        <v>0</v>
      </c>
      <c r="BM394" s="1212" t="e">
        <f t="shared" ca="1" si="297"/>
        <v>#N/A</v>
      </c>
      <c r="BN394" s="1213" t="e">
        <f t="shared" ca="1" si="298"/>
        <v>#N/A</v>
      </c>
      <c r="BO394" s="1587">
        <f t="shared" si="299"/>
        <v>0</v>
      </c>
      <c r="BR394" s="1212" t="e">
        <f t="shared" ca="1" si="300"/>
        <v>#N/A</v>
      </c>
      <c r="BS394" s="1213" t="e">
        <f t="shared" ca="1" si="301"/>
        <v>#N/A</v>
      </c>
      <c r="BT394" s="1587">
        <f t="shared" si="302"/>
        <v>0</v>
      </c>
      <c r="BW394" s="1212" t="e">
        <f t="shared" ca="1" si="303"/>
        <v>#N/A</v>
      </c>
      <c r="BX394" s="1213" t="e">
        <f t="shared" ca="1" si="304"/>
        <v>#N/A</v>
      </c>
      <c r="BY394" s="1587">
        <f t="shared" si="305"/>
        <v>0</v>
      </c>
      <c r="CB394" s="1212" t="e">
        <f t="shared" ca="1" si="306"/>
        <v>#N/A</v>
      </c>
      <c r="CC394" s="1213" t="e">
        <f t="shared" ca="1" si="307"/>
        <v>#N/A</v>
      </c>
      <c r="CD394" s="1587">
        <f t="shared" si="308"/>
        <v>0</v>
      </c>
      <c r="CG394" s="1212" t="e">
        <f t="shared" ca="1" si="309"/>
        <v>#N/A</v>
      </c>
      <c r="CH394" s="1213" t="e">
        <f t="shared" ca="1" si="310"/>
        <v>#N/A</v>
      </c>
      <c r="CI394" s="1587">
        <f t="shared" si="311"/>
        <v>0</v>
      </c>
      <c r="CL394" s="1212" t="e">
        <f t="shared" ca="1" si="312"/>
        <v>#N/A</v>
      </c>
      <c r="CM394" s="1213" t="e">
        <f t="shared" ca="1" si="313"/>
        <v>#N/A</v>
      </c>
      <c r="CN394" s="1587">
        <f t="shared" si="314"/>
        <v>0</v>
      </c>
    </row>
    <row r="395" spans="1:92">
      <c r="A395" s="141">
        <f>'銀行-TSS'!A395</f>
        <v>0</v>
      </c>
      <c r="B395" s="151">
        <f ca="1">VLOOKUP(A395,'銀行-TSS'!A:B,2,FALSE)</f>
        <v>0</v>
      </c>
      <c r="C395" s="151" t="e">
        <f ca="1">VLOOKUP(B395,bond!B:C,2,FALSE)</f>
        <v>#N/A</v>
      </c>
      <c r="D395" s="95" t="e">
        <f>VLOOKUP(A395,'銀行-TSS'!A:C,3,FALSE)</f>
        <v>#N/A</v>
      </c>
      <c r="E395" s="90" t="e">
        <f ca="1">VLOOKUP(A395,'銀行-TSS'!A:G,7,FALSE)</f>
        <v>#N/A</v>
      </c>
      <c r="F395" s="202" t="e">
        <f ca="1">VLOOKUP(A395,'銀行-TSS'!A:H,8,FALSE)</f>
        <v>#N/A</v>
      </c>
      <c r="G395" s="96" t="e">
        <f ca="1">VLOOKUP(A395,'銀行-TSS'!A:K,11,FALSE)</f>
        <v>#N/A</v>
      </c>
      <c r="H395" s="1209" t="e">
        <f ca="1">VLOOKUP(A395,'銀行-TSS'!A:M,13,FALSE)</f>
        <v>#N/A</v>
      </c>
      <c r="I395" s="1213" t="e">
        <f ca="1">VLOOKUP(A395,'銀行-TSS'!A:N,14,FALSE)</f>
        <v>#N/A</v>
      </c>
      <c r="J395" s="1213" t="e">
        <f ca="1">VLOOKUP(A395,'銀行-TSS'!A:O,15,FALSE)</f>
        <v>#N/A</v>
      </c>
      <c r="K395" s="136" t="e">
        <f ca="1">VLOOKUP(A395,'銀行-TSS'!A:V,22,FALSE)</f>
        <v>#N/A</v>
      </c>
      <c r="L395" s="136" t="e">
        <f ca="1">VLOOKUP(A395,'銀行-TSS'!A:AK,37,FALSE)</f>
        <v>#N/A</v>
      </c>
      <c r="M395" s="136" t="str">
        <f ca="1">VLOOKUP(A395,'銀行-TSS'!A:AN,40,FALSE)</f>
        <v/>
      </c>
      <c r="N395" s="136" t="e">
        <f t="shared" ca="1" si="270"/>
        <v>#N/A</v>
      </c>
      <c r="O395" s="1213" t="e">
        <f t="shared" ca="1" si="271"/>
        <v>#N/A</v>
      </c>
      <c r="P395" s="1213" t="e">
        <f ca="1">IF(AND($O$1&gt;=O395,換券單檔!$D$13=D395),I395+INT(($O$1-O395)/N395)*J395,0)</f>
        <v>#N/A</v>
      </c>
      <c r="Q395" s="1213" t="e">
        <f t="shared" ca="1" si="272"/>
        <v>#N/A</v>
      </c>
      <c r="R395" s="1213">
        <f t="shared" si="273"/>
        <v>0</v>
      </c>
      <c r="S395" s="1213">
        <f t="shared" si="274"/>
        <v>0</v>
      </c>
      <c r="T395" s="136">
        <f>IF(OR(R395=0,A395=0),0,IF(AND(V395=TRUE,換券單檔!$D$13=D395),E395,0))</f>
        <v>0</v>
      </c>
      <c r="U395" s="861">
        <f>IF(OR(R395=0,A395=0),0,IF(AND(V395=TRUE,換券單檔!$D$13=D395),H395,0))</f>
        <v>0</v>
      </c>
      <c r="V395" s="136" t="e">
        <f ca="1">IF(OR(B395=換券單檔!$D$3,L395="無",M395&lt;&gt;"",K395="高資產",IFERROR(MATCH(B395,換券單檔!K:K,0),"N")&lt;&gt;"N"),FALSE,IF($V$1="All",TRUE,IF(K395=$V$1,TRUE,FALSE)))</f>
        <v>#N/A</v>
      </c>
      <c r="W395" s="136" t="e">
        <f ca="1">VLOOKUP(A395,'銀行-TSS'!A:AO,41,FALSE)</f>
        <v>#N/A</v>
      </c>
      <c r="X395" s="136" t="e">
        <f ca="1">VLOOKUP(A395,'銀行-TSS'!A:AP,42,FALSE)</f>
        <v>#N/A</v>
      </c>
      <c r="Y395" s="1220">
        <f t="shared" si="275"/>
        <v>0</v>
      </c>
      <c r="Z395" s="1220">
        <f t="shared" si="276"/>
        <v>0</v>
      </c>
      <c r="AA395" s="136">
        <f>IF(Z395&lt;=0,0,RANK(Z395,Z:Z)+COUNTIF($Z$3:$Z395,Z395)-1)</f>
        <v>0</v>
      </c>
      <c r="AB395" s="1211">
        <f t="shared" ca="1" si="277"/>
        <v>-14896.14</v>
      </c>
      <c r="AC395" s="136">
        <f ca="1">IF(AB395&lt;=0,0,RANK(AB395,AB:AB)+COUNTIF($AB$3:$AB395,AB395)-1)</f>
        <v>0</v>
      </c>
      <c r="AD395" s="1123">
        <f t="shared" si="278"/>
        <v>99999</v>
      </c>
      <c r="AE395" s="1123">
        <f>IF(AD395=99999,0,RANK(AD395,AD:AD,1)+COUNTIF($AD$3:$AD395,AD395)-1)</f>
        <v>0</v>
      </c>
      <c r="AF395" s="86" t="e">
        <f ca="1">IF(OR(M395&lt;&gt;"",L395="無",K395="高資產",IFERROR(MATCH(B395,換券單檔!K:K,0),"N")&lt;&gt;"N"),FALSE,TRUE)</f>
        <v>#N/A</v>
      </c>
      <c r="AI395" s="1212" t="e">
        <f t="shared" ca="1" si="279"/>
        <v>#N/A</v>
      </c>
      <c r="AJ395" s="1213" t="e">
        <f t="shared" ca="1" si="280"/>
        <v>#N/A</v>
      </c>
      <c r="AK395" s="1587">
        <f t="shared" si="281"/>
        <v>0</v>
      </c>
      <c r="AN395" s="1212" t="e">
        <f t="shared" ca="1" si="282"/>
        <v>#N/A</v>
      </c>
      <c r="AO395" s="1213" t="e">
        <f t="shared" ca="1" si="283"/>
        <v>#N/A</v>
      </c>
      <c r="AP395" s="1587">
        <f t="shared" si="284"/>
        <v>0</v>
      </c>
      <c r="AS395" s="1212" t="e">
        <f t="shared" ca="1" si="285"/>
        <v>#N/A</v>
      </c>
      <c r="AT395" s="1213" t="e">
        <f t="shared" ca="1" si="286"/>
        <v>#N/A</v>
      </c>
      <c r="AU395" s="1587">
        <f t="shared" si="287"/>
        <v>0</v>
      </c>
      <c r="AX395" s="1212" t="e">
        <f t="shared" ca="1" si="288"/>
        <v>#N/A</v>
      </c>
      <c r="AY395" s="1213" t="e">
        <f t="shared" ca="1" si="289"/>
        <v>#N/A</v>
      </c>
      <c r="AZ395" s="1587">
        <f t="shared" si="290"/>
        <v>0</v>
      </c>
      <c r="BC395" s="1212" t="e">
        <f t="shared" ca="1" si="291"/>
        <v>#N/A</v>
      </c>
      <c r="BD395" s="1213" t="e">
        <f t="shared" ca="1" si="292"/>
        <v>#N/A</v>
      </c>
      <c r="BE395" s="1587">
        <f t="shared" si="293"/>
        <v>0</v>
      </c>
      <c r="BH395" s="1212" t="e">
        <f t="shared" ca="1" si="294"/>
        <v>#N/A</v>
      </c>
      <c r="BI395" s="1213" t="e">
        <f t="shared" ca="1" si="295"/>
        <v>#N/A</v>
      </c>
      <c r="BJ395" s="1587">
        <f t="shared" si="296"/>
        <v>0</v>
      </c>
      <c r="BM395" s="1212" t="e">
        <f t="shared" ca="1" si="297"/>
        <v>#N/A</v>
      </c>
      <c r="BN395" s="1213" t="e">
        <f t="shared" ca="1" si="298"/>
        <v>#N/A</v>
      </c>
      <c r="BO395" s="1587">
        <f t="shared" si="299"/>
        <v>0</v>
      </c>
      <c r="BR395" s="1212" t="e">
        <f t="shared" ca="1" si="300"/>
        <v>#N/A</v>
      </c>
      <c r="BS395" s="1213" t="e">
        <f t="shared" ca="1" si="301"/>
        <v>#N/A</v>
      </c>
      <c r="BT395" s="1587">
        <f t="shared" si="302"/>
        <v>0</v>
      </c>
      <c r="BW395" s="1212" t="e">
        <f t="shared" ca="1" si="303"/>
        <v>#N/A</v>
      </c>
      <c r="BX395" s="1213" t="e">
        <f t="shared" ca="1" si="304"/>
        <v>#N/A</v>
      </c>
      <c r="BY395" s="1587">
        <f t="shared" si="305"/>
        <v>0</v>
      </c>
      <c r="CB395" s="1212" t="e">
        <f t="shared" ca="1" si="306"/>
        <v>#N/A</v>
      </c>
      <c r="CC395" s="1213" t="e">
        <f t="shared" ca="1" si="307"/>
        <v>#N/A</v>
      </c>
      <c r="CD395" s="1587">
        <f t="shared" si="308"/>
        <v>0</v>
      </c>
      <c r="CG395" s="1212" t="e">
        <f t="shared" ca="1" si="309"/>
        <v>#N/A</v>
      </c>
      <c r="CH395" s="1213" t="e">
        <f t="shared" ca="1" si="310"/>
        <v>#N/A</v>
      </c>
      <c r="CI395" s="1587">
        <f t="shared" si="311"/>
        <v>0</v>
      </c>
      <c r="CL395" s="1212" t="e">
        <f t="shared" ca="1" si="312"/>
        <v>#N/A</v>
      </c>
      <c r="CM395" s="1213" t="e">
        <f t="shared" ca="1" si="313"/>
        <v>#N/A</v>
      </c>
      <c r="CN395" s="1587">
        <f t="shared" si="314"/>
        <v>0</v>
      </c>
    </row>
    <row r="396" spans="1:92">
      <c r="A396" s="141">
        <f>'銀行-TSS'!A396</f>
        <v>0</v>
      </c>
      <c r="B396" s="151">
        <f ca="1">VLOOKUP(A396,'銀行-TSS'!A:B,2,FALSE)</f>
        <v>0</v>
      </c>
      <c r="C396" s="151" t="e">
        <f ca="1">VLOOKUP(B396,bond!B:C,2,FALSE)</f>
        <v>#N/A</v>
      </c>
      <c r="D396" s="95" t="e">
        <f>VLOOKUP(A396,'銀行-TSS'!A:C,3,FALSE)</f>
        <v>#N/A</v>
      </c>
      <c r="E396" s="90" t="e">
        <f ca="1">VLOOKUP(A396,'銀行-TSS'!A:G,7,FALSE)</f>
        <v>#N/A</v>
      </c>
      <c r="F396" s="202" t="e">
        <f ca="1">VLOOKUP(A396,'銀行-TSS'!A:H,8,FALSE)</f>
        <v>#N/A</v>
      </c>
      <c r="G396" s="96" t="e">
        <f ca="1">VLOOKUP(A396,'銀行-TSS'!A:K,11,FALSE)</f>
        <v>#N/A</v>
      </c>
      <c r="H396" s="1209" t="e">
        <f ca="1">VLOOKUP(A396,'銀行-TSS'!A:M,13,FALSE)</f>
        <v>#N/A</v>
      </c>
      <c r="I396" s="1213" t="e">
        <f ca="1">VLOOKUP(A396,'銀行-TSS'!A:N,14,FALSE)</f>
        <v>#N/A</v>
      </c>
      <c r="J396" s="1213" t="e">
        <f ca="1">VLOOKUP(A396,'銀行-TSS'!A:O,15,FALSE)</f>
        <v>#N/A</v>
      </c>
      <c r="K396" s="136" t="e">
        <f ca="1">VLOOKUP(A396,'銀行-TSS'!A:V,22,FALSE)</f>
        <v>#N/A</v>
      </c>
      <c r="L396" s="136" t="e">
        <f ca="1">VLOOKUP(A396,'銀行-TSS'!A:AK,37,FALSE)</f>
        <v>#N/A</v>
      </c>
      <c r="M396" s="136" t="str">
        <f ca="1">VLOOKUP(A396,'銀行-TSS'!A:AN,40,FALSE)</f>
        <v/>
      </c>
      <c r="N396" s="136" t="e">
        <f t="shared" ca="1" si="270"/>
        <v>#N/A</v>
      </c>
      <c r="O396" s="1213" t="e">
        <f t="shared" ca="1" si="271"/>
        <v>#N/A</v>
      </c>
      <c r="P396" s="1213" t="e">
        <f ca="1">IF(AND($O$1&gt;=O396,換券單檔!$D$13=D396),I396+INT(($O$1-O396)/N396)*J396,0)</f>
        <v>#N/A</v>
      </c>
      <c r="Q396" s="1213" t="e">
        <f t="shared" ca="1" si="272"/>
        <v>#N/A</v>
      </c>
      <c r="R396" s="1213">
        <f t="shared" si="273"/>
        <v>0</v>
      </c>
      <c r="S396" s="1213">
        <f t="shared" si="274"/>
        <v>0</v>
      </c>
      <c r="T396" s="136">
        <f>IF(OR(R396=0,A396=0),0,IF(AND(V396=TRUE,換券單檔!$D$13=D396),E396,0))</f>
        <v>0</v>
      </c>
      <c r="U396" s="861">
        <f>IF(OR(R396=0,A396=0),0,IF(AND(V396=TRUE,換券單檔!$D$13=D396),H396,0))</f>
        <v>0</v>
      </c>
      <c r="V396" s="136" t="e">
        <f ca="1">IF(OR(B396=換券單檔!$D$3,L396="無",M396&lt;&gt;"",K396="高資產",IFERROR(MATCH(B396,換券單檔!K:K,0),"N")&lt;&gt;"N"),FALSE,IF($V$1="All",TRUE,IF(K396=$V$1,TRUE,FALSE)))</f>
        <v>#N/A</v>
      </c>
      <c r="W396" s="136" t="e">
        <f ca="1">VLOOKUP(A396,'銀行-TSS'!A:AO,41,FALSE)</f>
        <v>#N/A</v>
      </c>
      <c r="X396" s="136" t="e">
        <f ca="1">VLOOKUP(A396,'銀行-TSS'!A:AP,42,FALSE)</f>
        <v>#N/A</v>
      </c>
      <c r="Y396" s="1220">
        <f t="shared" si="275"/>
        <v>0</v>
      </c>
      <c r="Z396" s="1220">
        <f t="shared" si="276"/>
        <v>0</v>
      </c>
      <c r="AA396" s="136">
        <f>IF(Z396&lt;=0,0,RANK(Z396,Z:Z)+COUNTIF($Z$3:$Z396,Z396)-1)</f>
        <v>0</v>
      </c>
      <c r="AB396" s="1211">
        <f t="shared" ca="1" si="277"/>
        <v>-14896.14</v>
      </c>
      <c r="AC396" s="136">
        <f ca="1">IF(AB396&lt;=0,0,RANK(AB396,AB:AB)+COUNTIF($AB$3:$AB396,AB396)-1)</f>
        <v>0</v>
      </c>
      <c r="AD396" s="1123">
        <f t="shared" si="278"/>
        <v>99999</v>
      </c>
      <c r="AE396" s="1123">
        <f>IF(AD396=99999,0,RANK(AD396,AD:AD,1)+COUNTIF($AD$3:$AD396,AD396)-1)</f>
        <v>0</v>
      </c>
      <c r="AF396" s="86" t="e">
        <f ca="1">IF(OR(M396&lt;&gt;"",L396="無",K396="高資產",IFERROR(MATCH(B396,換券單檔!K:K,0),"N")&lt;&gt;"N"),FALSE,TRUE)</f>
        <v>#N/A</v>
      </c>
      <c r="AI396" s="1212" t="e">
        <f t="shared" ca="1" si="279"/>
        <v>#N/A</v>
      </c>
      <c r="AJ396" s="1213" t="e">
        <f t="shared" ca="1" si="280"/>
        <v>#N/A</v>
      </c>
      <c r="AK396" s="1587">
        <f t="shared" si="281"/>
        <v>0</v>
      </c>
      <c r="AN396" s="1212" t="e">
        <f t="shared" ca="1" si="282"/>
        <v>#N/A</v>
      </c>
      <c r="AO396" s="1213" t="e">
        <f t="shared" ca="1" si="283"/>
        <v>#N/A</v>
      </c>
      <c r="AP396" s="1587">
        <f t="shared" si="284"/>
        <v>0</v>
      </c>
      <c r="AS396" s="1212" t="e">
        <f t="shared" ca="1" si="285"/>
        <v>#N/A</v>
      </c>
      <c r="AT396" s="1213" t="e">
        <f t="shared" ca="1" si="286"/>
        <v>#N/A</v>
      </c>
      <c r="AU396" s="1587">
        <f t="shared" si="287"/>
        <v>0</v>
      </c>
      <c r="AX396" s="1212" t="e">
        <f t="shared" ca="1" si="288"/>
        <v>#N/A</v>
      </c>
      <c r="AY396" s="1213" t="e">
        <f t="shared" ca="1" si="289"/>
        <v>#N/A</v>
      </c>
      <c r="AZ396" s="1587">
        <f t="shared" si="290"/>
        <v>0</v>
      </c>
      <c r="BC396" s="1212" t="e">
        <f t="shared" ca="1" si="291"/>
        <v>#N/A</v>
      </c>
      <c r="BD396" s="1213" t="e">
        <f t="shared" ca="1" si="292"/>
        <v>#N/A</v>
      </c>
      <c r="BE396" s="1587">
        <f t="shared" si="293"/>
        <v>0</v>
      </c>
      <c r="BH396" s="1212" t="e">
        <f t="shared" ca="1" si="294"/>
        <v>#N/A</v>
      </c>
      <c r="BI396" s="1213" t="e">
        <f t="shared" ca="1" si="295"/>
        <v>#N/A</v>
      </c>
      <c r="BJ396" s="1587">
        <f t="shared" si="296"/>
        <v>0</v>
      </c>
      <c r="BM396" s="1212" t="e">
        <f t="shared" ca="1" si="297"/>
        <v>#N/A</v>
      </c>
      <c r="BN396" s="1213" t="e">
        <f t="shared" ca="1" si="298"/>
        <v>#N/A</v>
      </c>
      <c r="BO396" s="1587">
        <f t="shared" si="299"/>
        <v>0</v>
      </c>
      <c r="BR396" s="1212" t="e">
        <f t="shared" ca="1" si="300"/>
        <v>#N/A</v>
      </c>
      <c r="BS396" s="1213" t="e">
        <f t="shared" ca="1" si="301"/>
        <v>#N/A</v>
      </c>
      <c r="BT396" s="1587">
        <f t="shared" si="302"/>
        <v>0</v>
      </c>
      <c r="BW396" s="1212" t="e">
        <f t="shared" ca="1" si="303"/>
        <v>#N/A</v>
      </c>
      <c r="BX396" s="1213" t="e">
        <f t="shared" ca="1" si="304"/>
        <v>#N/A</v>
      </c>
      <c r="BY396" s="1587">
        <f t="shared" si="305"/>
        <v>0</v>
      </c>
      <c r="CB396" s="1212" t="e">
        <f t="shared" ca="1" si="306"/>
        <v>#N/A</v>
      </c>
      <c r="CC396" s="1213" t="e">
        <f t="shared" ca="1" si="307"/>
        <v>#N/A</v>
      </c>
      <c r="CD396" s="1587">
        <f t="shared" si="308"/>
        <v>0</v>
      </c>
      <c r="CG396" s="1212" t="e">
        <f t="shared" ca="1" si="309"/>
        <v>#N/A</v>
      </c>
      <c r="CH396" s="1213" t="e">
        <f t="shared" ca="1" si="310"/>
        <v>#N/A</v>
      </c>
      <c r="CI396" s="1587">
        <f t="shared" si="311"/>
        <v>0</v>
      </c>
      <c r="CL396" s="1212" t="e">
        <f t="shared" ca="1" si="312"/>
        <v>#N/A</v>
      </c>
      <c r="CM396" s="1213" t="e">
        <f t="shared" ca="1" si="313"/>
        <v>#N/A</v>
      </c>
      <c r="CN396" s="1587">
        <f t="shared" si="314"/>
        <v>0</v>
      </c>
    </row>
    <row r="397" spans="1:92">
      <c r="A397" s="141">
        <f>'銀行-TSS'!A397</f>
        <v>0</v>
      </c>
      <c r="B397" s="151">
        <f ca="1">VLOOKUP(A397,'銀行-TSS'!A:B,2,FALSE)</f>
        <v>0</v>
      </c>
      <c r="C397" s="151" t="e">
        <f ca="1">VLOOKUP(B397,bond!B:C,2,FALSE)</f>
        <v>#N/A</v>
      </c>
      <c r="D397" s="95" t="e">
        <f>VLOOKUP(A397,'銀行-TSS'!A:C,3,FALSE)</f>
        <v>#N/A</v>
      </c>
      <c r="E397" s="90" t="e">
        <f ca="1">VLOOKUP(A397,'銀行-TSS'!A:G,7,FALSE)</f>
        <v>#N/A</v>
      </c>
      <c r="F397" s="202" t="e">
        <f ca="1">VLOOKUP(A397,'銀行-TSS'!A:H,8,FALSE)</f>
        <v>#N/A</v>
      </c>
      <c r="G397" s="96" t="e">
        <f ca="1">VLOOKUP(A397,'銀行-TSS'!A:K,11,FALSE)</f>
        <v>#N/A</v>
      </c>
      <c r="H397" s="1209" t="e">
        <f ca="1">VLOOKUP(A397,'銀行-TSS'!A:M,13,FALSE)</f>
        <v>#N/A</v>
      </c>
      <c r="I397" s="1213" t="e">
        <f ca="1">VLOOKUP(A397,'銀行-TSS'!A:N,14,FALSE)</f>
        <v>#N/A</v>
      </c>
      <c r="J397" s="1213" t="e">
        <f ca="1">VLOOKUP(A397,'銀行-TSS'!A:O,15,FALSE)</f>
        <v>#N/A</v>
      </c>
      <c r="K397" s="136" t="e">
        <f ca="1">VLOOKUP(A397,'銀行-TSS'!A:V,22,FALSE)</f>
        <v>#N/A</v>
      </c>
      <c r="L397" s="136" t="e">
        <f ca="1">VLOOKUP(A397,'銀行-TSS'!A:AK,37,FALSE)</f>
        <v>#N/A</v>
      </c>
      <c r="M397" s="136" t="str">
        <f ca="1">VLOOKUP(A397,'銀行-TSS'!A:AN,40,FALSE)</f>
        <v/>
      </c>
      <c r="N397" s="136" t="e">
        <f t="shared" ca="1" si="270"/>
        <v>#N/A</v>
      </c>
      <c r="O397" s="1213" t="e">
        <f t="shared" ca="1" si="271"/>
        <v>#N/A</v>
      </c>
      <c r="P397" s="1213" t="e">
        <f ca="1">IF(AND($O$1&gt;=O397,換券單檔!$D$13=D397),I397+INT(($O$1-O397)/N397)*J397,0)</f>
        <v>#N/A</v>
      </c>
      <c r="Q397" s="1213" t="e">
        <f t="shared" ca="1" si="272"/>
        <v>#N/A</v>
      </c>
      <c r="R397" s="1213">
        <f t="shared" si="273"/>
        <v>0</v>
      </c>
      <c r="S397" s="1213">
        <f t="shared" si="274"/>
        <v>0</v>
      </c>
      <c r="T397" s="136">
        <f>IF(OR(R397=0,A397=0),0,IF(AND(V397=TRUE,換券單檔!$D$13=D397),E397,0))</f>
        <v>0</v>
      </c>
      <c r="U397" s="861">
        <f>IF(OR(R397=0,A397=0),0,IF(AND(V397=TRUE,換券單檔!$D$13=D397),H397,0))</f>
        <v>0</v>
      </c>
      <c r="V397" s="136" t="e">
        <f ca="1">IF(OR(B397=換券單檔!$D$3,L397="無",M397&lt;&gt;"",K397="高資產",IFERROR(MATCH(B397,換券單檔!K:K,0),"N")&lt;&gt;"N"),FALSE,IF($V$1="All",TRUE,IF(K397=$V$1,TRUE,FALSE)))</f>
        <v>#N/A</v>
      </c>
      <c r="W397" s="136" t="e">
        <f ca="1">VLOOKUP(A397,'銀行-TSS'!A:AO,41,FALSE)</f>
        <v>#N/A</v>
      </c>
      <c r="X397" s="136" t="e">
        <f ca="1">VLOOKUP(A397,'銀行-TSS'!A:AP,42,FALSE)</f>
        <v>#N/A</v>
      </c>
      <c r="Y397" s="1220">
        <f t="shared" si="275"/>
        <v>0</v>
      </c>
      <c r="Z397" s="1220">
        <f t="shared" si="276"/>
        <v>0</v>
      </c>
      <c r="AA397" s="136">
        <f>IF(Z397&lt;=0,0,RANK(Z397,Z:Z)+COUNTIF($Z$3:$Z397,Z397)-1)</f>
        <v>0</v>
      </c>
      <c r="AB397" s="1211">
        <f t="shared" ca="1" si="277"/>
        <v>-14896.14</v>
      </c>
      <c r="AC397" s="136">
        <f ca="1">IF(AB397&lt;=0,0,RANK(AB397,AB:AB)+COUNTIF($AB$3:$AB397,AB397)-1)</f>
        <v>0</v>
      </c>
      <c r="AD397" s="1123">
        <f t="shared" si="278"/>
        <v>99999</v>
      </c>
      <c r="AE397" s="1123">
        <f>IF(AD397=99999,0,RANK(AD397,AD:AD,1)+COUNTIF($AD$3:$AD397,AD397)-1)</f>
        <v>0</v>
      </c>
      <c r="AF397" s="86" t="e">
        <f ca="1">IF(OR(M397&lt;&gt;"",L397="無",K397="高資產",IFERROR(MATCH(B397,換券單檔!K:K,0),"N")&lt;&gt;"N"),FALSE,TRUE)</f>
        <v>#N/A</v>
      </c>
      <c r="AI397" s="1212" t="e">
        <f t="shared" ca="1" si="279"/>
        <v>#N/A</v>
      </c>
      <c r="AJ397" s="1213" t="e">
        <f t="shared" ca="1" si="280"/>
        <v>#N/A</v>
      </c>
      <c r="AK397" s="1587">
        <f t="shared" si="281"/>
        <v>0</v>
      </c>
      <c r="AN397" s="1212" t="e">
        <f t="shared" ca="1" si="282"/>
        <v>#N/A</v>
      </c>
      <c r="AO397" s="1213" t="e">
        <f t="shared" ca="1" si="283"/>
        <v>#N/A</v>
      </c>
      <c r="AP397" s="1587">
        <f t="shared" si="284"/>
        <v>0</v>
      </c>
      <c r="AS397" s="1212" t="e">
        <f t="shared" ca="1" si="285"/>
        <v>#N/A</v>
      </c>
      <c r="AT397" s="1213" t="e">
        <f t="shared" ca="1" si="286"/>
        <v>#N/A</v>
      </c>
      <c r="AU397" s="1587">
        <f t="shared" si="287"/>
        <v>0</v>
      </c>
      <c r="AX397" s="1212" t="e">
        <f t="shared" ca="1" si="288"/>
        <v>#N/A</v>
      </c>
      <c r="AY397" s="1213" t="e">
        <f t="shared" ca="1" si="289"/>
        <v>#N/A</v>
      </c>
      <c r="AZ397" s="1587">
        <f t="shared" si="290"/>
        <v>0</v>
      </c>
      <c r="BC397" s="1212" t="e">
        <f t="shared" ca="1" si="291"/>
        <v>#N/A</v>
      </c>
      <c r="BD397" s="1213" t="e">
        <f t="shared" ca="1" si="292"/>
        <v>#N/A</v>
      </c>
      <c r="BE397" s="1587">
        <f t="shared" si="293"/>
        <v>0</v>
      </c>
      <c r="BH397" s="1212" t="e">
        <f t="shared" ca="1" si="294"/>
        <v>#N/A</v>
      </c>
      <c r="BI397" s="1213" t="e">
        <f t="shared" ca="1" si="295"/>
        <v>#N/A</v>
      </c>
      <c r="BJ397" s="1587">
        <f t="shared" si="296"/>
        <v>0</v>
      </c>
      <c r="BM397" s="1212" t="e">
        <f t="shared" ca="1" si="297"/>
        <v>#N/A</v>
      </c>
      <c r="BN397" s="1213" t="e">
        <f t="shared" ca="1" si="298"/>
        <v>#N/A</v>
      </c>
      <c r="BO397" s="1587">
        <f t="shared" si="299"/>
        <v>0</v>
      </c>
      <c r="BR397" s="1212" t="e">
        <f t="shared" ca="1" si="300"/>
        <v>#N/A</v>
      </c>
      <c r="BS397" s="1213" t="e">
        <f t="shared" ca="1" si="301"/>
        <v>#N/A</v>
      </c>
      <c r="BT397" s="1587">
        <f t="shared" si="302"/>
        <v>0</v>
      </c>
      <c r="BW397" s="1212" t="e">
        <f t="shared" ca="1" si="303"/>
        <v>#N/A</v>
      </c>
      <c r="BX397" s="1213" t="e">
        <f t="shared" ca="1" si="304"/>
        <v>#N/A</v>
      </c>
      <c r="BY397" s="1587">
        <f t="shared" si="305"/>
        <v>0</v>
      </c>
      <c r="CB397" s="1212" t="e">
        <f t="shared" ca="1" si="306"/>
        <v>#N/A</v>
      </c>
      <c r="CC397" s="1213" t="e">
        <f t="shared" ca="1" si="307"/>
        <v>#N/A</v>
      </c>
      <c r="CD397" s="1587">
        <f t="shared" si="308"/>
        <v>0</v>
      </c>
      <c r="CG397" s="1212" t="e">
        <f t="shared" ca="1" si="309"/>
        <v>#N/A</v>
      </c>
      <c r="CH397" s="1213" t="e">
        <f t="shared" ca="1" si="310"/>
        <v>#N/A</v>
      </c>
      <c r="CI397" s="1587">
        <f t="shared" si="311"/>
        <v>0</v>
      </c>
      <c r="CL397" s="1212" t="e">
        <f t="shared" ca="1" si="312"/>
        <v>#N/A</v>
      </c>
      <c r="CM397" s="1213" t="e">
        <f t="shared" ca="1" si="313"/>
        <v>#N/A</v>
      </c>
      <c r="CN397" s="1587">
        <f t="shared" si="314"/>
        <v>0</v>
      </c>
    </row>
    <row r="398" spans="1:92">
      <c r="A398" s="141">
        <f>'銀行-TSS'!A398</f>
        <v>0</v>
      </c>
      <c r="B398" s="151">
        <f ca="1">VLOOKUP(A398,'銀行-TSS'!A:B,2,FALSE)</f>
        <v>0</v>
      </c>
      <c r="C398" s="151" t="e">
        <f ca="1">VLOOKUP(B398,bond!B:C,2,FALSE)</f>
        <v>#N/A</v>
      </c>
      <c r="D398" s="95" t="e">
        <f>VLOOKUP(A398,'銀行-TSS'!A:C,3,FALSE)</f>
        <v>#N/A</v>
      </c>
      <c r="E398" s="90" t="e">
        <f ca="1">VLOOKUP(A398,'銀行-TSS'!A:G,7,FALSE)</f>
        <v>#N/A</v>
      </c>
      <c r="F398" s="202" t="e">
        <f ca="1">VLOOKUP(A398,'銀行-TSS'!A:H,8,FALSE)</f>
        <v>#N/A</v>
      </c>
      <c r="G398" s="96" t="e">
        <f ca="1">VLOOKUP(A398,'銀行-TSS'!A:K,11,FALSE)</f>
        <v>#N/A</v>
      </c>
      <c r="H398" s="1209" t="e">
        <f ca="1">VLOOKUP(A398,'銀行-TSS'!A:M,13,FALSE)</f>
        <v>#N/A</v>
      </c>
      <c r="I398" s="1213" t="e">
        <f ca="1">VLOOKUP(A398,'銀行-TSS'!A:N,14,FALSE)</f>
        <v>#N/A</v>
      </c>
      <c r="J398" s="1213" t="e">
        <f ca="1">VLOOKUP(A398,'銀行-TSS'!A:O,15,FALSE)</f>
        <v>#N/A</v>
      </c>
      <c r="K398" s="136" t="e">
        <f ca="1">VLOOKUP(A398,'銀行-TSS'!A:V,22,FALSE)</f>
        <v>#N/A</v>
      </c>
      <c r="L398" s="136" t="e">
        <f ca="1">VLOOKUP(A398,'銀行-TSS'!A:AK,37,FALSE)</f>
        <v>#N/A</v>
      </c>
      <c r="M398" s="136" t="str">
        <f ca="1">VLOOKUP(A398,'銀行-TSS'!A:AN,40,FALSE)</f>
        <v/>
      </c>
      <c r="N398" s="136" t="e">
        <f t="shared" ca="1" si="270"/>
        <v>#N/A</v>
      </c>
      <c r="O398" s="1213" t="e">
        <f t="shared" ca="1" si="271"/>
        <v>#N/A</v>
      </c>
      <c r="P398" s="1213" t="e">
        <f ca="1">IF(AND($O$1&gt;=O398,換券單檔!$D$13=D398),I398+INT(($O$1-O398)/N398)*J398,0)</f>
        <v>#N/A</v>
      </c>
      <c r="Q398" s="1213" t="e">
        <f t="shared" ca="1" si="272"/>
        <v>#N/A</v>
      </c>
      <c r="R398" s="1213">
        <f t="shared" si="273"/>
        <v>0</v>
      </c>
      <c r="S398" s="1213">
        <f t="shared" si="274"/>
        <v>0</v>
      </c>
      <c r="T398" s="136">
        <f>IF(OR(R398=0,A398=0),0,IF(AND(V398=TRUE,換券單檔!$D$13=D398),E398,0))</f>
        <v>0</v>
      </c>
      <c r="U398" s="861">
        <f>IF(OR(R398=0,A398=0),0,IF(AND(V398=TRUE,換券單檔!$D$13=D398),H398,0))</f>
        <v>0</v>
      </c>
      <c r="V398" s="136" t="e">
        <f ca="1">IF(OR(B398=換券單檔!$D$3,L398="無",M398&lt;&gt;"",K398="高資產",IFERROR(MATCH(B398,換券單檔!K:K,0),"N")&lt;&gt;"N"),FALSE,IF($V$1="All",TRUE,IF(K398=$V$1,TRUE,FALSE)))</f>
        <v>#N/A</v>
      </c>
      <c r="W398" s="136" t="e">
        <f ca="1">VLOOKUP(A398,'銀行-TSS'!A:AO,41,FALSE)</f>
        <v>#N/A</v>
      </c>
      <c r="X398" s="136" t="e">
        <f ca="1">VLOOKUP(A398,'銀行-TSS'!A:AP,42,FALSE)</f>
        <v>#N/A</v>
      </c>
      <c r="Y398" s="1220">
        <f t="shared" si="275"/>
        <v>0</v>
      </c>
      <c r="Z398" s="1220">
        <f t="shared" si="276"/>
        <v>0</v>
      </c>
      <c r="AA398" s="136">
        <f>IF(Z398&lt;=0,0,RANK(Z398,Z:Z)+COUNTIF($Z$3:$Z398,Z398)-1)</f>
        <v>0</v>
      </c>
      <c r="AB398" s="1211">
        <f t="shared" ca="1" si="277"/>
        <v>-14896.14</v>
      </c>
      <c r="AC398" s="136">
        <f ca="1">IF(AB398&lt;=0,0,RANK(AB398,AB:AB)+COUNTIF($AB$3:$AB398,AB398)-1)</f>
        <v>0</v>
      </c>
      <c r="AD398" s="1123">
        <f t="shared" si="278"/>
        <v>99999</v>
      </c>
      <c r="AE398" s="1123">
        <f>IF(AD398=99999,0,RANK(AD398,AD:AD,1)+COUNTIF($AD$3:$AD398,AD398)-1)</f>
        <v>0</v>
      </c>
      <c r="AF398" s="86" t="e">
        <f ca="1">IF(OR(M398&lt;&gt;"",L398="無",K398="高資產",IFERROR(MATCH(B398,換券單檔!K:K,0),"N")&lt;&gt;"N"),FALSE,TRUE)</f>
        <v>#N/A</v>
      </c>
      <c r="AI398" s="1212" t="e">
        <f t="shared" ca="1" si="279"/>
        <v>#N/A</v>
      </c>
      <c r="AJ398" s="1213" t="e">
        <f t="shared" ca="1" si="280"/>
        <v>#N/A</v>
      </c>
      <c r="AK398" s="1587">
        <f t="shared" si="281"/>
        <v>0</v>
      </c>
      <c r="AN398" s="1212" t="e">
        <f t="shared" ca="1" si="282"/>
        <v>#N/A</v>
      </c>
      <c r="AO398" s="1213" t="e">
        <f t="shared" ca="1" si="283"/>
        <v>#N/A</v>
      </c>
      <c r="AP398" s="1587">
        <f t="shared" si="284"/>
        <v>0</v>
      </c>
      <c r="AS398" s="1212" t="e">
        <f t="shared" ca="1" si="285"/>
        <v>#N/A</v>
      </c>
      <c r="AT398" s="1213" t="e">
        <f t="shared" ca="1" si="286"/>
        <v>#N/A</v>
      </c>
      <c r="AU398" s="1587">
        <f t="shared" si="287"/>
        <v>0</v>
      </c>
      <c r="AX398" s="1212" t="e">
        <f t="shared" ca="1" si="288"/>
        <v>#N/A</v>
      </c>
      <c r="AY398" s="1213" t="e">
        <f t="shared" ca="1" si="289"/>
        <v>#N/A</v>
      </c>
      <c r="AZ398" s="1587">
        <f t="shared" si="290"/>
        <v>0</v>
      </c>
      <c r="BC398" s="1212" t="e">
        <f t="shared" ca="1" si="291"/>
        <v>#N/A</v>
      </c>
      <c r="BD398" s="1213" t="e">
        <f t="shared" ca="1" si="292"/>
        <v>#N/A</v>
      </c>
      <c r="BE398" s="1587">
        <f t="shared" si="293"/>
        <v>0</v>
      </c>
      <c r="BH398" s="1212" t="e">
        <f t="shared" ca="1" si="294"/>
        <v>#N/A</v>
      </c>
      <c r="BI398" s="1213" t="e">
        <f t="shared" ca="1" si="295"/>
        <v>#N/A</v>
      </c>
      <c r="BJ398" s="1587">
        <f t="shared" si="296"/>
        <v>0</v>
      </c>
      <c r="BM398" s="1212" t="e">
        <f t="shared" ca="1" si="297"/>
        <v>#N/A</v>
      </c>
      <c r="BN398" s="1213" t="e">
        <f t="shared" ca="1" si="298"/>
        <v>#N/A</v>
      </c>
      <c r="BO398" s="1587">
        <f t="shared" si="299"/>
        <v>0</v>
      </c>
      <c r="BR398" s="1212" t="e">
        <f t="shared" ca="1" si="300"/>
        <v>#N/A</v>
      </c>
      <c r="BS398" s="1213" t="e">
        <f t="shared" ca="1" si="301"/>
        <v>#N/A</v>
      </c>
      <c r="BT398" s="1587">
        <f t="shared" si="302"/>
        <v>0</v>
      </c>
      <c r="BW398" s="1212" t="e">
        <f t="shared" ca="1" si="303"/>
        <v>#N/A</v>
      </c>
      <c r="BX398" s="1213" t="e">
        <f t="shared" ca="1" si="304"/>
        <v>#N/A</v>
      </c>
      <c r="BY398" s="1587">
        <f t="shared" si="305"/>
        <v>0</v>
      </c>
      <c r="CB398" s="1212" t="e">
        <f t="shared" ca="1" si="306"/>
        <v>#N/A</v>
      </c>
      <c r="CC398" s="1213" t="e">
        <f t="shared" ca="1" si="307"/>
        <v>#N/A</v>
      </c>
      <c r="CD398" s="1587">
        <f t="shared" si="308"/>
        <v>0</v>
      </c>
      <c r="CG398" s="1212" t="e">
        <f t="shared" ca="1" si="309"/>
        <v>#N/A</v>
      </c>
      <c r="CH398" s="1213" t="e">
        <f t="shared" ca="1" si="310"/>
        <v>#N/A</v>
      </c>
      <c r="CI398" s="1587">
        <f t="shared" si="311"/>
        <v>0</v>
      </c>
      <c r="CL398" s="1212" t="e">
        <f t="shared" ca="1" si="312"/>
        <v>#N/A</v>
      </c>
      <c r="CM398" s="1213" t="e">
        <f t="shared" ca="1" si="313"/>
        <v>#N/A</v>
      </c>
      <c r="CN398" s="1587">
        <f t="shared" si="314"/>
        <v>0</v>
      </c>
    </row>
    <row r="399" spans="1:92">
      <c r="A399" s="141">
        <f>'銀行-TSS'!A399</f>
        <v>0</v>
      </c>
      <c r="B399" s="151">
        <f ca="1">VLOOKUP(A399,'銀行-TSS'!A:B,2,FALSE)</f>
        <v>0</v>
      </c>
      <c r="C399" s="151" t="e">
        <f ca="1">VLOOKUP(B399,bond!B:C,2,FALSE)</f>
        <v>#N/A</v>
      </c>
      <c r="D399" s="95" t="e">
        <f>VLOOKUP(A399,'銀行-TSS'!A:C,3,FALSE)</f>
        <v>#N/A</v>
      </c>
      <c r="E399" s="90" t="e">
        <f ca="1">VLOOKUP(A399,'銀行-TSS'!A:G,7,FALSE)</f>
        <v>#N/A</v>
      </c>
      <c r="F399" s="202" t="e">
        <f ca="1">VLOOKUP(A399,'銀行-TSS'!A:H,8,FALSE)</f>
        <v>#N/A</v>
      </c>
      <c r="G399" s="96" t="e">
        <f ca="1">VLOOKUP(A399,'銀行-TSS'!A:K,11,FALSE)</f>
        <v>#N/A</v>
      </c>
      <c r="H399" s="1209" t="e">
        <f ca="1">VLOOKUP(A399,'銀行-TSS'!A:M,13,FALSE)</f>
        <v>#N/A</v>
      </c>
      <c r="I399" s="1213" t="e">
        <f ca="1">VLOOKUP(A399,'銀行-TSS'!A:N,14,FALSE)</f>
        <v>#N/A</v>
      </c>
      <c r="J399" s="1213" t="e">
        <f ca="1">VLOOKUP(A399,'銀行-TSS'!A:O,15,FALSE)</f>
        <v>#N/A</v>
      </c>
      <c r="K399" s="136" t="e">
        <f ca="1">VLOOKUP(A399,'銀行-TSS'!A:V,22,FALSE)</f>
        <v>#N/A</v>
      </c>
      <c r="L399" s="136" t="e">
        <f ca="1">VLOOKUP(A399,'銀行-TSS'!A:AK,37,FALSE)</f>
        <v>#N/A</v>
      </c>
      <c r="M399" s="136" t="str">
        <f ca="1">VLOOKUP(A399,'銀行-TSS'!A:AN,40,FALSE)</f>
        <v/>
      </c>
      <c r="N399" s="136" t="e">
        <f t="shared" ca="1" si="270"/>
        <v>#N/A</v>
      </c>
      <c r="O399" s="1213" t="e">
        <f t="shared" ca="1" si="271"/>
        <v>#N/A</v>
      </c>
      <c r="P399" s="1213" t="e">
        <f ca="1">IF(AND($O$1&gt;=O399,換券單檔!$D$13=D399),I399+INT(($O$1-O399)/N399)*J399,0)</f>
        <v>#N/A</v>
      </c>
      <c r="Q399" s="1213" t="e">
        <f t="shared" ca="1" si="272"/>
        <v>#N/A</v>
      </c>
      <c r="R399" s="1213">
        <f t="shared" si="273"/>
        <v>0</v>
      </c>
      <c r="S399" s="1213">
        <f t="shared" si="274"/>
        <v>0</v>
      </c>
      <c r="T399" s="136">
        <f>IF(OR(R399=0,A399=0),0,IF(AND(V399=TRUE,換券單檔!$D$13=D399),E399,0))</f>
        <v>0</v>
      </c>
      <c r="U399" s="861">
        <f>IF(OR(R399=0,A399=0),0,IF(AND(V399=TRUE,換券單檔!$D$13=D399),H399,0))</f>
        <v>0</v>
      </c>
      <c r="V399" s="136" t="e">
        <f ca="1">IF(OR(B399=換券單檔!$D$3,L399="無",M399&lt;&gt;"",K399="高資產",IFERROR(MATCH(B399,換券單檔!K:K,0),"N")&lt;&gt;"N"),FALSE,IF($V$1="All",TRUE,IF(K399=$V$1,TRUE,FALSE)))</f>
        <v>#N/A</v>
      </c>
      <c r="W399" s="136" t="e">
        <f ca="1">VLOOKUP(A399,'銀行-TSS'!A:AO,41,FALSE)</f>
        <v>#N/A</v>
      </c>
      <c r="X399" s="136" t="e">
        <f ca="1">VLOOKUP(A399,'銀行-TSS'!A:AP,42,FALSE)</f>
        <v>#N/A</v>
      </c>
      <c r="Y399" s="1220">
        <f t="shared" si="275"/>
        <v>0</v>
      </c>
      <c r="Z399" s="1220">
        <f t="shared" si="276"/>
        <v>0</v>
      </c>
      <c r="AA399" s="136">
        <f>IF(Z399&lt;=0,0,RANK(Z399,Z:Z)+COUNTIF($Z$3:$Z399,Z399)-1)</f>
        <v>0</v>
      </c>
      <c r="AB399" s="1211">
        <f t="shared" ca="1" si="277"/>
        <v>-14896.14</v>
      </c>
      <c r="AC399" s="136">
        <f ca="1">IF(AB399&lt;=0,0,RANK(AB399,AB:AB)+COUNTIF($AB$3:$AB399,AB399)-1)</f>
        <v>0</v>
      </c>
      <c r="AD399" s="1123">
        <f t="shared" si="278"/>
        <v>99999</v>
      </c>
      <c r="AE399" s="1123">
        <f>IF(AD399=99999,0,RANK(AD399,AD:AD,1)+COUNTIF($AD$3:$AD399,AD399)-1)</f>
        <v>0</v>
      </c>
      <c r="AF399" s="86" t="e">
        <f ca="1">IF(OR(M399&lt;&gt;"",L399="無",K399="高資產",IFERROR(MATCH(B399,換券單檔!K:K,0),"N")&lt;&gt;"N"),FALSE,TRUE)</f>
        <v>#N/A</v>
      </c>
      <c r="AI399" s="1212" t="e">
        <f t="shared" ca="1" si="279"/>
        <v>#N/A</v>
      </c>
      <c r="AJ399" s="1213" t="e">
        <f t="shared" ca="1" si="280"/>
        <v>#N/A</v>
      </c>
      <c r="AK399" s="1587">
        <f t="shared" si="281"/>
        <v>0</v>
      </c>
      <c r="AN399" s="1212" t="e">
        <f t="shared" ca="1" si="282"/>
        <v>#N/A</v>
      </c>
      <c r="AO399" s="1213" t="e">
        <f t="shared" ca="1" si="283"/>
        <v>#N/A</v>
      </c>
      <c r="AP399" s="1587">
        <f t="shared" si="284"/>
        <v>0</v>
      </c>
      <c r="AS399" s="1212" t="e">
        <f t="shared" ca="1" si="285"/>
        <v>#N/A</v>
      </c>
      <c r="AT399" s="1213" t="e">
        <f t="shared" ca="1" si="286"/>
        <v>#N/A</v>
      </c>
      <c r="AU399" s="1587">
        <f t="shared" si="287"/>
        <v>0</v>
      </c>
      <c r="AX399" s="1212" t="e">
        <f t="shared" ca="1" si="288"/>
        <v>#N/A</v>
      </c>
      <c r="AY399" s="1213" t="e">
        <f t="shared" ca="1" si="289"/>
        <v>#N/A</v>
      </c>
      <c r="AZ399" s="1587">
        <f t="shared" si="290"/>
        <v>0</v>
      </c>
      <c r="BC399" s="1212" t="e">
        <f t="shared" ca="1" si="291"/>
        <v>#N/A</v>
      </c>
      <c r="BD399" s="1213" t="e">
        <f t="shared" ca="1" si="292"/>
        <v>#N/A</v>
      </c>
      <c r="BE399" s="1587">
        <f t="shared" si="293"/>
        <v>0</v>
      </c>
      <c r="BH399" s="1212" t="e">
        <f t="shared" ca="1" si="294"/>
        <v>#N/A</v>
      </c>
      <c r="BI399" s="1213" t="e">
        <f t="shared" ca="1" si="295"/>
        <v>#N/A</v>
      </c>
      <c r="BJ399" s="1587">
        <f t="shared" si="296"/>
        <v>0</v>
      </c>
      <c r="BM399" s="1212" t="e">
        <f t="shared" ca="1" si="297"/>
        <v>#N/A</v>
      </c>
      <c r="BN399" s="1213" t="e">
        <f t="shared" ca="1" si="298"/>
        <v>#N/A</v>
      </c>
      <c r="BO399" s="1587">
        <f t="shared" si="299"/>
        <v>0</v>
      </c>
      <c r="BR399" s="1212" t="e">
        <f t="shared" ca="1" si="300"/>
        <v>#N/A</v>
      </c>
      <c r="BS399" s="1213" t="e">
        <f t="shared" ca="1" si="301"/>
        <v>#N/A</v>
      </c>
      <c r="BT399" s="1587">
        <f t="shared" si="302"/>
        <v>0</v>
      </c>
      <c r="BW399" s="1212" t="e">
        <f t="shared" ca="1" si="303"/>
        <v>#N/A</v>
      </c>
      <c r="BX399" s="1213" t="e">
        <f t="shared" ca="1" si="304"/>
        <v>#N/A</v>
      </c>
      <c r="BY399" s="1587">
        <f t="shared" si="305"/>
        <v>0</v>
      </c>
      <c r="CB399" s="1212" t="e">
        <f t="shared" ca="1" si="306"/>
        <v>#N/A</v>
      </c>
      <c r="CC399" s="1213" t="e">
        <f t="shared" ca="1" si="307"/>
        <v>#N/A</v>
      </c>
      <c r="CD399" s="1587">
        <f t="shared" si="308"/>
        <v>0</v>
      </c>
      <c r="CG399" s="1212" t="e">
        <f t="shared" ca="1" si="309"/>
        <v>#N/A</v>
      </c>
      <c r="CH399" s="1213" t="e">
        <f t="shared" ca="1" si="310"/>
        <v>#N/A</v>
      </c>
      <c r="CI399" s="1587">
        <f t="shared" si="311"/>
        <v>0</v>
      </c>
      <c r="CL399" s="1212" t="e">
        <f t="shared" ca="1" si="312"/>
        <v>#N/A</v>
      </c>
      <c r="CM399" s="1213" t="e">
        <f t="shared" ca="1" si="313"/>
        <v>#N/A</v>
      </c>
      <c r="CN399" s="1587">
        <f t="shared" si="314"/>
        <v>0</v>
      </c>
    </row>
    <row r="400" spans="1:92">
      <c r="A400" s="141">
        <f>'銀行-TSS'!A400</f>
        <v>0</v>
      </c>
      <c r="B400" s="151">
        <f ca="1">VLOOKUP(A400,'銀行-TSS'!A:B,2,FALSE)</f>
        <v>0</v>
      </c>
      <c r="C400" s="151" t="e">
        <f ca="1">VLOOKUP(B400,bond!B:C,2,FALSE)</f>
        <v>#N/A</v>
      </c>
      <c r="D400" s="95" t="e">
        <f>VLOOKUP(A400,'銀行-TSS'!A:C,3,FALSE)</f>
        <v>#N/A</v>
      </c>
      <c r="E400" s="90" t="e">
        <f ca="1">VLOOKUP(A400,'銀行-TSS'!A:G,7,FALSE)</f>
        <v>#N/A</v>
      </c>
      <c r="F400" s="202" t="e">
        <f ca="1">VLOOKUP(A400,'銀行-TSS'!A:H,8,FALSE)</f>
        <v>#N/A</v>
      </c>
      <c r="G400" s="96" t="e">
        <f ca="1">VLOOKUP(A400,'銀行-TSS'!A:K,11,FALSE)</f>
        <v>#N/A</v>
      </c>
      <c r="H400" s="1209" t="e">
        <f ca="1">VLOOKUP(A400,'銀行-TSS'!A:M,13,FALSE)</f>
        <v>#N/A</v>
      </c>
      <c r="I400" s="1213" t="e">
        <f ca="1">VLOOKUP(A400,'銀行-TSS'!A:N,14,FALSE)</f>
        <v>#N/A</v>
      </c>
      <c r="J400" s="1213" t="e">
        <f ca="1">VLOOKUP(A400,'銀行-TSS'!A:O,15,FALSE)</f>
        <v>#N/A</v>
      </c>
      <c r="K400" s="136" t="e">
        <f ca="1">VLOOKUP(A400,'銀行-TSS'!A:V,22,FALSE)</f>
        <v>#N/A</v>
      </c>
      <c r="L400" s="136" t="e">
        <f ca="1">VLOOKUP(A400,'銀行-TSS'!A:AK,37,FALSE)</f>
        <v>#N/A</v>
      </c>
      <c r="M400" s="136" t="str">
        <f ca="1">VLOOKUP(A400,'銀行-TSS'!A:AN,40,FALSE)</f>
        <v/>
      </c>
      <c r="N400" s="136" t="e">
        <f t="shared" ca="1" si="270"/>
        <v>#N/A</v>
      </c>
      <c r="O400" s="1213" t="e">
        <f t="shared" ca="1" si="271"/>
        <v>#N/A</v>
      </c>
      <c r="P400" s="1213" t="e">
        <f ca="1">IF(AND($O$1&gt;=O400,換券單檔!$D$13=D400),I400+INT(($O$1-O400)/N400)*J400,0)</f>
        <v>#N/A</v>
      </c>
      <c r="Q400" s="1213" t="e">
        <f t="shared" ca="1" si="272"/>
        <v>#N/A</v>
      </c>
      <c r="R400" s="1213">
        <f t="shared" si="273"/>
        <v>0</v>
      </c>
      <c r="S400" s="1213">
        <f t="shared" si="274"/>
        <v>0</v>
      </c>
      <c r="T400" s="136">
        <f>IF(OR(R400=0,A400=0),0,IF(AND(V400=TRUE,換券單檔!$D$13=D400),E400,0))</f>
        <v>0</v>
      </c>
      <c r="U400" s="861">
        <f>IF(OR(R400=0,A400=0),0,IF(AND(V400=TRUE,換券單檔!$D$13=D400),H400,0))</f>
        <v>0</v>
      </c>
      <c r="V400" s="136" t="e">
        <f ca="1">IF(OR(B400=換券單檔!$D$3,L400="無",M400&lt;&gt;"",K400="高資產",IFERROR(MATCH(B400,換券單檔!K:K,0),"N")&lt;&gt;"N"),FALSE,IF($V$1="All",TRUE,IF(K400=$V$1,TRUE,FALSE)))</f>
        <v>#N/A</v>
      </c>
      <c r="W400" s="136" t="e">
        <f ca="1">VLOOKUP(A400,'銀行-TSS'!A:AO,41,FALSE)</f>
        <v>#N/A</v>
      </c>
      <c r="X400" s="136" t="e">
        <f ca="1">VLOOKUP(A400,'銀行-TSS'!A:AP,42,FALSE)</f>
        <v>#N/A</v>
      </c>
      <c r="Y400" s="1220">
        <f t="shared" si="275"/>
        <v>0</v>
      </c>
      <c r="Z400" s="1220">
        <f t="shared" si="276"/>
        <v>0</v>
      </c>
      <c r="AA400" s="136">
        <f>IF(Z400&lt;=0,0,RANK(Z400,Z:Z)+COUNTIF($Z$3:$Z400,Z400)-1)</f>
        <v>0</v>
      </c>
      <c r="AB400" s="1211">
        <f t="shared" ca="1" si="277"/>
        <v>-14896.14</v>
      </c>
      <c r="AC400" s="136">
        <f ca="1">IF(AB400&lt;=0,0,RANK(AB400,AB:AB)+COUNTIF($AB$3:$AB400,AB400)-1)</f>
        <v>0</v>
      </c>
      <c r="AD400" s="1123">
        <f t="shared" si="278"/>
        <v>99999</v>
      </c>
      <c r="AE400" s="1123">
        <f>IF(AD400=99999,0,RANK(AD400,AD:AD,1)+COUNTIF($AD$3:$AD400,AD400)-1)</f>
        <v>0</v>
      </c>
      <c r="AF400" s="86" t="e">
        <f ca="1">IF(OR(M400&lt;&gt;"",L400="無",K400="高資產",IFERROR(MATCH(B400,換券單檔!K:K,0),"N")&lt;&gt;"N"),FALSE,TRUE)</f>
        <v>#N/A</v>
      </c>
      <c r="AI400" s="1212" t="e">
        <f t="shared" ca="1" si="279"/>
        <v>#N/A</v>
      </c>
      <c r="AJ400" s="1213" t="e">
        <f t="shared" ca="1" si="280"/>
        <v>#N/A</v>
      </c>
      <c r="AK400" s="1587">
        <f t="shared" si="281"/>
        <v>0</v>
      </c>
      <c r="AN400" s="1212" t="e">
        <f t="shared" ca="1" si="282"/>
        <v>#N/A</v>
      </c>
      <c r="AO400" s="1213" t="e">
        <f t="shared" ca="1" si="283"/>
        <v>#N/A</v>
      </c>
      <c r="AP400" s="1587">
        <f t="shared" si="284"/>
        <v>0</v>
      </c>
      <c r="AS400" s="1212" t="e">
        <f t="shared" ca="1" si="285"/>
        <v>#N/A</v>
      </c>
      <c r="AT400" s="1213" t="e">
        <f t="shared" ca="1" si="286"/>
        <v>#N/A</v>
      </c>
      <c r="AU400" s="1587">
        <f t="shared" si="287"/>
        <v>0</v>
      </c>
      <c r="AX400" s="1212" t="e">
        <f t="shared" ca="1" si="288"/>
        <v>#N/A</v>
      </c>
      <c r="AY400" s="1213" t="e">
        <f t="shared" ca="1" si="289"/>
        <v>#N/A</v>
      </c>
      <c r="AZ400" s="1587">
        <f t="shared" si="290"/>
        <v>0</v>
      </c>
      <c r="BC400" s="1212" t="e">
        <f t="shared" ca="1" si="291"/>
        <v>#N/A</v>
      </c>
      <c r="BD400" s="1213" t="e">
        <f t="shared" ca="1" si="292"/>
        <v>#N/A</v>
      </c>
      <c r="BE400" s="1587">
        <f t="shared" si="293"/>
        <v>0</v>
      </c>
      <c r="BH400" s="1212" t="e">
        <f t="shared" ca="1" si="294"/>
        <v>#N/A</v>
      </c>
      <c r="BI400" s="1213" t="e">
        <f t="shared" ca="1" si="295"/>
        <v>#N/A</v>
      </c>
      <c r="BJ400" s="1587">
        <f t="shared" si="296"/>
        <v>0</v>
      </c>
      <c r="BM400" s="1212" t="e">
        <f t="shared" ca="1" si="297"/>
        <v>#N/A</v>
      </c>
      <c r="BN400" s="1213" t="e">
        <f t="shared" ca="1" si="298"/>
        <v>#N/A</v>
      </c>
      <c r="BO400" s="1587">
        <f t="shared" si="299"/>
        <v>0</v>
      </c>
      <c r="BR400" s="1212" t="e">
        <f t="shared" ca="1" si="300"/>
        <v>#N/A</v>
      </c>
      <c r="BS400" s="1213" t="e">
        <f t="shared" ca="1" si="301"/>
        <v>#N/A</v>
      </c>
      <c r="BT400" s="1587">
        <f t="shared" si="302"/>
        <v>0</v>
      </c>
      <c r="BW400" s="1212" t="e">
        <f t="shared" ca="1" si="303"/>
        <v>#N/A</v>
      </c>
      <c r="BX400" s="1213" t="e">
        <f t="shared" ca="1" si="304"/>
        <v>#N/A</v>
      </c>
      <c r="BY400" s="1587">
        <f t="shared" si="305"/>
        <v>0</v>
      </c>
      <c r="CB400" s="1212" t="e">
        <f t="shared" ca="1" si="306"/>
        <v>#N/A</v>
      </c>
      <c r="CC400" s="1213" t="e">
        <f t="shared" ca="1" si="307"/>
        <v>#N/A</v>
      </c>
      <c r="CD400" s="1587">
        <f t="shared" si="308"/>
        <v>0</v>
      </c>
      <c r="CG400" s="1212" t="e">
        <f t="shared" ca="1" si="309"/>
        <v>#N/A</v>
      </c>
      <c r="CH400" s="1213" t="e">
        <f t="shared" ca="1" si="310"/>
        <v>#N/A</v>
      </c>
      <c r="CI400" s="1587">
        <f t="shared" si="311"/>
        <v>0</v>
      </c>
      <c r="CL400" s="1212" t="e">
        <f t="shared" ca="1" si="312"/>
        <v>#N/A</v>
      </c>
      <c r="CM400" s="1213" t="e">
        <f t="shared" ca="1" si="313"/>
        <v>#N/A</v>
      </c>
      <c r="CN400" s="1587">
        <f t="shared" si="314"/>
        <v>0</v>
      </c>
    </row>
    <row r="401" spans="1:92">
      <c r="A401" s="141">
        <f>'銀行-TSS'!A401</f>
        <v>0</v>
      </c>
      <c r="B401" s="151">
        <f ca="1">VLOOKUP(A401,'銀行-TSS'!A:B,2,FALSE)</f>
        <v>0</v>
      </c>
      <c r="C401" s="151" t="e">
        <f ca="1">VLOOKUP(B401,bond!B:C,2,FALSE)</f>
        <v>#N/A</v>
      </c>
      <c r="D401" s="95" t="e">
        <f>VLOOKUP(A401,'銀行-TSS'!A:C,3,FALSE)</f>
        <v>#N/A</v>
      </c>
      <c r="E401" s="90" t="e">
        <f ca="1">VLOOKUP(A401,'銀行-TSS'!A:G,7,FALSE)</f>
        <v>#N/A</v>
      </c>
      <c r="F401" s="202" t="e">
        <f ca="1">VLOOKUP(A401,'銀行-TSS'!A:H,8,FALSE)</f>
        <v>#N/A</v>
      </c>
      <c r="G401" s="96" t="e">
        <f ca="1">VLOOKUP(A401,'銀行-TSS'!A:K,11,FALSE)</f>
        <v>#N/A</v>
      </c>
      <c r="H401" s="1209" t="e">
        <f ca="1">VLOOKUP(A401,'銀行-TSS'!A:M,13,FALSE)</f>
        <v>#N/A</v>
      </c>
      <c r="I401" s="1213" t="e">
        <f ca="1">VLOOKUP(A401,'銀行-TSS'!A:N,14,FALSE)</f>
        <v>#N/A</v>
      </c>
      <c r="J401" s="1213" t="e">
        <f ca="1">VLOOKUP(A401,'銀行-TSS'!A:O,15,FALSE)</f>
        <v>#N/A</v>
      </c>
      <c r="K401" s="136" t="e">
        <f ca="1">VLOOKUP(A401,'銀行-TSS'!A:V,22,FALSE)</f>
        <v>#N/A</v>
      </c>
      <c r="L401" s="136" t="e">
        <f ca="1">VLOOKUP(A401,'銀行-TSS'!A:AK,37,FALSE)</f>
        <v>#N/A</v>
      </c>
      <c r="M401" s="136" t="str">
        <f ca="1">VLOOKUP(A401,'銀行-TSS'!A:AN,40,FALSE)</f>
        <v/>
      </c>
      <c r="N401" s="136" t="e">
        <f t="shared" ca="1" si="270"/>
        <v>#N/A</v>
      </c>
      <c r="O401" s="1213" t="e">
        <f t="shared" ca="1" si="271"/>
        <v>#N/A</v>
      </c>
      <c r="P401" s="1213" t="e">
        <f ca="1">IF(AND($O$1&gt;=O401,換券單檔!$D$13=D401),I401+INT(($O$1-O401)/N401)*J401,0)</f>
        <v>#N/A</v>
      </c>
      <c r="Q401" s="1213" t="e">
        <f t="shared" ca="1" si="272"/>
        <v>#N/A</v>
      </c>
      <c r="R401" s="1213">
        <f t="shared" si="273"/>
        <v>0</v>
      </c>
      <c r="S401" s="1213">
        <f t="shared" si="274"/>
        <v>0</v>
      </c>
      <c r="T401" s="136">
        <f>IF(OR(R401=0,A401=0),0,IF(AND(V401=TRUE,換券單檔!$D$13=D401),E401,0))</f>
        <v>0</v>
      </c>
      <c r="U401" s="861">
        <f>IF(OR(R401=0,A401=0),0,IF(AND(V401=TRUE,換券單檔!$D$13=D401),H401,0))</f>
        <v>0</v>
      </c>
      <c r="V401" s="136" t="e">
        <f ca="1">IF(OR(B401=換券單檔!$D$3,L401="無",M401&lt;&gt;"",K401="高資產",IFERROR(MATCH(B401,換券單檔!K:K,0),"N")&lt;&gt;"N"),FALSE,IF($V$1="All",TRUE,IF(K401=$V$1,TRUE,FALSE)))</f>
        <v>#N/A</v>
      </c>
      <c r="W401" s="136" t="e">
        <f ca="1">VLOOKUP(A401,'銀行-TSS'!A:AO,41,FALSE)</f>
        <v>#N/A</v>
      </c>
      <c r="X401" s="136" t="e">
        <f ca="1">VLOOKUP(A401,'銀行-TSS'!A:AP,42,FALSE)</f>
        <v>#N/A</v>
      </c>
      <c r="Y401" s="1220">
        <f t="shared" si="275"/>
        <v>0</v>
      </c>
      <c r="Z401" s="1220">
        <f t="shared" si="276"/>
        <v>0</v>
      </c>
      <c r="AA401" s="136">
        <f>IF(Z401&lt;=0,0,RANK(Z401,Z:Z)+COUNTIF($Z$3:$Z401,Z401)-1)</f>
        <v>0</v>
      </c>
      <c r="AB401" s="1211">
        <f t="shared" ca="1" si="277"/>
        <v>-14896.14</v>
      </c>
      <c r="AC401" s="136">
        <f ca="1">IF(AB401&lt;=0,0,RANK(AB401,AB:AB)+COUNTIF($AB$3:$AB401,AB401)-1)</f>
        <v>0</v>
      </c>
      <c r="AD401" s="1123">
        <f t="shared" si="278"/>
        <v>99999</v>
      </c>
      <c r="AE401" s="1123">
        <f>IF(AD401=99999,0,RANK(AD401,AD:AD,1)+COUNTIF($AD$3:$AD401,AD401)-1)</f>
        <v>0</v>
      </c>
      <c r="AF401" s="86" t="e">
        <f ca="1">IF(OR(M401&lt;&gt;"",L401="無",K401="高資產",IFERROR(MATCH(B401,換券單檔!K:K,0),"N")&lt;&gt;"N"),FALSE,TRUE)</f>
        <v>#N/A</v>
      </c>
      <c r="AI401" s="1212" t="e">
        <f t="shared" ca="1" si="279"/>
        <v>#N/A</v>
      </c>
      <c r="AJ401" s="1213" t="e">
        <f t="shared" ca="1" si="280"/>
        <v>#N/A</v>
      </c>
      <c r="AK401" s="1587">
        <f t="shared" si="281"/>
        <v>0</v>
      </c>
      <c r="AN401" s="1212" t="e">
        <f t="shared" ca="1" si="282"/>
        <v>#N/A</v>
      </c>
      <c r="AO401" s="1213" t="e">
        <f t="shared" ca="1" si="283"/>
        <v>#N/A</v>
      </c>
      <c r="AP401" s="1587">
        <f t="shared" si="284"/>
        <v>0</v>
      </c>
      <c r="AS401" s="1212" t="e">
        <f t="shared" ca="1" si="285"/>
        <v>#N/A</v>
      </c>
      <c r="AT401" s="1213" t="e">
        <f t="shared" ca="1" si="286"/>
        <v>#N/A</v>
      </c>
      <c r="AU401" s="1587">
        <f t="shared" si="287"/>
        <v>0</v>
      </c>
      <c r="AX401" s="1212" t="e">
        <f t="shared" ca="1" si="288"/>
        <v>#N/A</v>
      </c>
      <c r="AY401" s="1213" t="e">
        <f t="shared" ca="1" si="289"/>
        <v>#N/A</v>
      </c>
      <c r="AZ401" s="1587">
        <f t="shared" si="290"/>
        <v>0</v>
      </c>
      <c r="BC401" s="1212" t="e">
        <f t="shared" ca="1" si="291"/>
        <v>#N/A</v>
      </c>
      <c r="BD401" s="1213" t="e">
        <f t="shared" ca="1" si="292"/>
        <v>#N/A</v>
      </c>
      <c r="BE401" s="1587">
        <f t="shared" si="293"/>
        <v>0</v>
      </c>
      <c r="BH401" s="1212" t="e">
        <f t="shared" ca="1" si="294"/>
        <v>#N/A</v>
      </c>
      <c r="BI401" s="1213" t="e">
        <f t="shared" ca="1" si="295"/>
        <v>#N/A</v>
      </c>
      <c r="BJ401" s="1587">
        <f t="shared" si="296"/>
        <v>0</v>
      </c>
      <c r="BM401" s="1212" t="e">
        <f t="shared" ca="1" si="297"/>
        <v>#N/A</v>
      </c>
      <c r="BN401" s="1213" t="e">
        <f t="shared" ca="1" si="298"/>
        <v>#N/A</v>
      </c>
      <c r="BO401" s="1587">
        <f t="shared" si="299"/>
        <v>0</v>
      </c>
      <c r="BR401" s="1212" t="e">
        <f t="shared" ca="1" si="300"/>
        <v>#N/A</v>
      </c>
      <c r="BS401" s="1213" t="e">
        <f t="shared" ca="1" si="301"/>
        <v>#N/A</v>
      </c>
      <c r="BT401" s="1587">
        <f t="shared" si="302"/>
        <v>0</v>
      </c>
      <c r="BW401" s="1212" t="e">
        <f t="shared" ca="1" si="303"/>
        <v>#N/A</v>
      </c>
      <c r="BX401" s="1213" t="e">
        <f t="shared" ca="1" si="304"/>
        <v>#N/A</v>
      </c>
      <c r="BY401" s="1587">
        <f t="shared" si="305"/>
        <v>0</v>
      </c>
      <c r="CB401" s="1212" t="e">
        <f t="shared" ca="1" si="306"/>
        <v>#N/A</v>
      </c>
      <c r="CC401" s="1213" t="e">
        <f t="shared" ca="1" si="307"/>
        <v>#N/A</v>
      </c>
      <c r="CD401" s="1587">
        <f t="shared" si="308"/>
        <v>0</v>
      </c>
      <c r="CG401" s="1212" t="e">
        <f t="shared" ca="1" si="309"/>
        <v>#N/A</v>
      </c>
      <c r="CH401" s="1213" t="e">
        <f t="shared" ca="1" si="310"/>
        <v>#N/A</v>
      </c>
      <c r="CI401" s="1587">
        <f t="shared" si="311"/>
        <v>0</v>
      </c>
      <c r="CL401" s="1212" t="e">
        <f t="shared" ca="1" si="312"/>
        <v>#N/A</v>
      </c>
      <c r="CM401" s="1213" t="e">
        <f t="shared" ca="1" si="313"/>
        <v>#N/A</v>
      </c>
      <c r="CN401" s="1587">
        <f t="shared" si="314"/>
        <v>0</v>
      </c>
    </row>
    <row r="402" spans="1:92">
      <c r="A402" s="141">
        <f>'銀行-TSS'!A402</f>
        <v>0</v>
      </c>
      <c r="B402" s="151">
        <f ca="1">VLOOKUP(A402,'銀行-TSS'!A:B,2,FALSE)</f>
        <v>0</v>
      </c>
      <c r="C402" s="151" t="e">
        <f ca="1">VLOOKUP(B402,bond!B:C,2,FALSE)</f>
        <v>#N/A</v>
      </c>
      <c r="D402" s="95" t="e">
        <f>VLOOKUP(A402,'銀行-TSS'!A:C,3,FALSE)</f>
        <v>#N/A</v>
      </c>
      <c r="E402" s="90" t="e">
        <f ca="1">VLOOKUP(A402,'銀行-TSS'!A:G,7,FALSE)</f>
        <v>#N/A</v>
      </c>
      <c r="F402" s="202" t="e">
        <f ca="1">VLOOKUP(A402,'銀行-TSS'!A:H,8,FALSE)</f>
        <v>#N/A</v>
      </c>
      <c r="G402" s="96" t="e">
        <f ca="1">VLOOKUP(A402,'銀行-TSS'!A:K,11,FALSE)</f>
        <v>#N/A</v>
      </c>
      <c r="H402" s="1209" t="e">
        <f ca="1">VLOOKUP(A402,'銀行-TSS'!A:M,13,FALSE)</f>
        <v>#N/A</v>
      </c>
      <c r="I402" s="1213" t="e">
        <f ca="1">VLOOKUP(A402,'銀行-TSS'!A:N,14,FALSE)</f>
        <v>#N/A</v>
      </c>
      <c r="J402" s="1213" t="e">
        <f ca="1">VLOOKUP(A402,'銀行-TSS'!A:O,15,FALSE)</f>
        <v>#N/A</v>
      </c>
      <c r="K402" s="136" t="e">
        <f ca="1">VLOOKUP(A402,'銀行-TSS'!A:V,22,FALSE)</f>
        <v>#N/A</v>
      </c>
      <c r="L402" s="136" t="e">
        <f ca="1">VLOOKUP(A402,'銀行-TSS'!A:AK,37,FALSE)</f>
        <v>#N/A</v>
      </c>
      <c r="M402" s="136" t="str">
        <f ca="1">VLOOKUP(A402,'銀行-TSS'!A:AN,40,FALSE)</f>
        <v/>
      </c>
      <c r="N402" s="136" t="e">
        <f t="shared" ca="1" si="270"/>
        <v>#N/A</v>
      </c>
      <c r="O402" s="1213" t="e">
        <f t="shared" ca="1" si="271"/>
        <v>#N/A</v>
      </c>
      <c r="P402" s="1213" t="e">
        <f ca="1">IF(AND($O$1&gt;=O402,換券單檔!$D$13=D402),I402+INT(($O$1-O402)/N402)*J402,0)</f>
        <v>#N/A</v>
      </c>
      <c r="Q402" s="1213" t="e">
        <f t="shared" ca="1" si="272"/>
        <v>#N/A</v>
      </c>
      <c r="R402" s="1213">
        <f t="shared" si="273"/>
        <v>0</v>
      </c>
      <c r="S402" s="1213">
        <f t="shared" si="274"/>
        <v>0</v>
      </c>
      <c r="T402" s="136">
        <f>IF(OR(R402=0,A402=0),0,IF(AND(V402=TRUE,換券單檔!$D$13=D402),E402,0))</f>
        <v>0</v>
      </c>
      <c r="U402" s="861">
        <f>IF(OR(R402=0,A402=0),0,IF(AND(V402=TRUE,換券單檔!$D$13=D402),H402,0))</f>
        <v>0</v>
      </c>
      <c r="V402" s="136" t="e">
        <f ca="1">IF(OR(B402=換券單檔!$D$3,L402="無",M402&lt;&gt;"",K402="高資產",IFERROR(MATCH(B402,換券單檔!K:K,0),"N")&lt;&gt;"N"),FALSE,IF($V$1="All",TRUE,IF(K402=$V$1,TRUE,FALSE)))</f>
        <v>#N/A</v>
      </c>
      <c r="W402" s="136" t="e">
        <f ca="1">VLOOKUP(A402,'銀行-TSS'!A:AO,41,FALSE)</f>
        <v>#N/A</v>
      </c>
      <c r="X402" s="136" t="e">
        <f ca="1">VLOOKUP(A402,'銀行-TSS'!A:AP,42,FALSE)</f>
        <v>#N/A</v>
      </c>
      <c r="Y402" s="1220">
        <f t="shared" si="275"/>
        <v>0</v>
      </c>
      <c r="Z402" s="1220">
        <f t="shared" si="276"/>
        <v>0</v>
      </c>
      <c r="AA402" s="136">
        <f>IF(Z402&lt;=0,0,RANK(Z402,Z:Z)+COUNTIF($Z$3:$Z402,Z402)-1)</f>
        <v>0</v>
      </c>
      <c r="AB402" s="1211">
        <f t="shared" ca="1" si="277"/>
        <v>-14896.14</v>
      </c>
      <c r="AC402" s="136">
        <f ca="1">IF(AB402&lt;=0,0,RANK(AB402,AB:AB)+COUNTIF($AB$3:$AB402,AB402)-1)</f>
        <v>0</v>
      </c>
      <c r="AD402" s="1123">
        <f t="shared" si="278"/>
        <v>99999</v>
      </c>
      <c r="AE402" s="1123">
        <f>IF(AD402=99999,0,RANK(AD402,AD:AD,1)+COUNTIF($AD$3:$AD402,AD402)-1)</f>
        <v>0</v>
      </c>
      <c r="AF402" s="86" t="e">
        <f ca="1">IF(OR(M402&lt;&gt;"",L402="無",K402="高資產",IFERROR(MATCH(B402,換券單檔!K:K,0),"N")&lt;&gt;"N"),FALSE,TRUE)</f>
        <v>#N/A</v>
      </c>
      <c r="AI402" s="1212" t="e">
        <f t="shared" ca="1" si="279"/>
        <v>#N/A</v>
      </c>
      <c r="AJ402" s="1213" t="e">
        <f t="shared" ca="1" si="280"/>
        <v>#N/A</v>
      </c>
      <c r="AK402" s="1587">
        <f t="shared" si="281"/>
        <v>0</v>
      </c>
      <c r="AN402" s="1212" t="e">
        <f t="shared" ca="1" si="282"/>
        <v>#N/A</v>
      </c>
      <c r="AO402" s="1213" t="e">
        <f t="shared" ca="1" si="283"/>
        <v>#N/A</v>
      </c>
      <c r="AP402" s="1587">
        <f t="shared" si="284"/>
        <v>0</v>
      </c>
      <c r="AS402" s="1212" t="e">
        <f t="shared" ca="1" si="285"/>
        <v>#N/A</v>
      </c>
      <c r="AT402" s="1213" t="e">
        <f t="shared" ca="1" si="286"/>
        <v>#N/A</v>
      </c>
      <c r="AU402" s="1587">
        <f t="shared" si="287"/>
        <v>0</v>
      </c>
      <c r="AX402" s="1212" t="e">
        <f t="shared" ca="1" si="288"/>
        <v>#N/A</v>
      </c>
      <c r="AY402" s="1213" t="e">
        <f t="shared" ca="1" si="289"/>
        <v>#N/A</v>
      </c>
      <c r="AZ402" s="1587">
        <f t="shared" si="290"/>
        <v>0</v>
      </c>
      <c r="BC402" s="1212" t="e">
        <f t="shared" ca="1" si="291"/>
        <v>#N/A</v>
      </c>
      <c r="BD402" s="1213" t="e">
        <f t="shared" ca="1" si="292"/>
        <v>#N/A</v>
      </c>
      <c r="BE402" s="1587">
        <f t="shared" si="293"/>
        <v>0</v>
      </c>
      <c r="BH402" s="1212" t="e">
        <f t="shared" ca="1" si="294"/>
        <v>#N/A</v>
      </c>
      <c r="BI402" s="1213" t="e">
        <f t="shared" ca="1" si="295"/>
        <v>#N/A</v>
      </c>
      <c r="BJ402" s="1587">
        <f t="shared" si="296"/>
        <v>0</v>
      </c>
      <c r="BM402" s="1212" t="e">
        <f t="shared" ca="1" si="297"/>
        <v>#N/A</v>
      </c>
      <c r="BN402" s="1213" t="e">
        <f t="shared" ca="1" si="298"/>
        <v>#N/A</v>
      </c>
      <c r="BO402" s="1587">
        <f t="shared" si="299"/>
        <v>0</v>
      </c>
      <c r="BR402" s="1212" t="e">
        <f t="shared" ca="1" si="300"/>
        <v>#N/A</v>
      </c>
      <c r="BS402" s="1213" t="e">
        <f t="shared" ca="1" si="301"/>
        <v>#N/A</v>
      </c>
      <c r="BT402" s="1587">
        <f t="shared" si="302"/>
        <v>0</v>
      </c>
      <c r="BW402" s="1212" t="e">
        <f t="shared" ca="1" si="303"/>
        <v>#N/A</v>
      </c>
      <c r="BX402" s="1213" t="e">
        <f t="shared" ca="1" si="304"/>
        <v>#N/A</v>
      </c>
      <c r="BY402" s="1587">
        <f t="shared" si="305"/>
        <v>0</v>
      </c>
      <c r="CB402" s="1212" t="e">
        <f t="shared" ca="1" si="306"/>
        <v>#N/A</v>
      </c>
      <c r="CC402" s="1213" t="e">
        <f t="shared" ca="1" si="307"/>
        <v>#N/A</v>
      </c>
      <c r="CD402" s="1587">
        <f t="shared" si="308"/>
        <v>0</v>
      </c>
      <c r="CG402" s="1212" t="e">
        <f t="shared" ca="1" si="309"/>
        <v>#N/A</v>
      </c>
      <c r="CH402" s="1213" t="e">
        <f t="shared" ca="1" si="310"/>
        <v>#N/A</v>
      </c>
      <c r="CI402" s="1587">
        <f t="shared" si="311"/>
        <v>0</v>
      </c>
      <c r="CL402" s="1212" t="e">
        <f t="shared" ca="1" si="312"/>
        <v>#N/A</v>
      </c>
      <c r="CM402" s="1213" t="e">
        <f t="shared" ca="1" si="313"/>
        <v>#N/A</v>
      </c>
      <c r="CN402" s="1587">
        <f t="shared" si="314"/>
        <v>0</v>
      </c>
    </row>
    <row r="403" spans="1:92">
      <c r="A403" s="141">
        <f>'銀行-TSS'!A403</f>
        <v>0</v>
      </c>
      <c r="B403" s="151">
        <f ca="1">VLOOKUP(A403,'銀行-TSS'!A:B,2,FALSE)</f>
        <v>0</v>
      </c>
      <c r="C403" s="151" t="e">
        <f ca="1">VLOOKUP(B403,bond!B:C,2,FALSE)</f>
        <v>#N/A</v>
      </c>
      <c r="D403" s="95" t="e">
        <f>VLOOKUP(A403,'銀行-TSS'!A:C,3,FALSE)</f>
        <v>#N/A</v>
      </c>
      <c r="E403" s="90" t="e">
        <f ca="1">VLOOKUP(A403,'銀行-TSS'!A:G,7,FALSE)</f>
        <v>#N/A</v>
      </c>
      <c r="F403" s="202" t="e">
        <f ca="1">VLOOKUP(A403,'銀行-TSS'!A:H,8,FALSE)</f>
        <v>#N/A</v>
      </c>
      <c r="G403" s="96" t="e">
        <f ca="1">VLOOKUP(A403,'銀行-TSS'!A:K,11,FALSE)</f>
        <v>#N/A</v>
      </c>
      <c r="H403" s="1209" t="e">
        <f ca="1">VLOOKUP(A403,'銀行-TSS'!A:M,13,FALSE)</f>
        <v>#N/A</v>
      </c>
      <c r="I403" s="1213" t="e">
        <f ca="1">VLOOKUP(A403,'銀行-TSS'!A:N,14,FALSE)</f>
        <v>#N/A</v>
      </c>
      <c r="J403" s="1213" t="e">
        <f ca="1">VLOOKUP(A403,'銀行-TSS'!A:O,15,FALSE)</f>
        <v>#N/A</v>
      </c>
      <c r="K403" s="136" t="e">
        <f ca="1">VLOOKUP(A403,'銀行-TSS'!A:V,22,FALSE)</f>
        <v>#N/A</v>
      </c>
      <c r="L403" s="136" t="e">
        <f ca="1">VLOOKUP(A403,'銀行-TSS'!A:AK,37,FALSE)</f>
        <v>#N/A</v>
      </c>
      <c r="M403" s="136" t="str">
        <f ca="1">VLOOKUP(A403,'銀行-TSS'!A:AN,40,FALSE)</f>
        <v/>
      </c>
      <c r="N403" s="136" t="e">
        <f t="shared" ca="1" si="270"/>
        <v>#N/A</v>
      </c>
      <c r="O403" s="1213" t="e">
        <f t="shared" ca="1" si="271"/>
        <v>#N/A</v>
      </c>
      <c r="P403" s="1213" t="e">
        <f ca="1">IF(AND($O$1&gt;=O403,換券單檔!$D$13=D403),I403+INT(($O$1-O403)/N403)*J403,0)</f>
        <v>#N/A</v>
      </c>
      <c r="Q403" s="1213" t="e">
        <f t="shared" ca="1" si="272"/>
        <v>#N/A</v>
      </c>
      <c r="R403" s="1213">
        <f t="shared" si="273"/>
        <v>0</v>
      </c>
      <c r="S403" s="1213">
        <f t="shared" si="274"/>
        <v>0</v>
      </c>
      <c r="T403" s="136">
        <f>IF(OR(R403=0,A403=0),0,IF(AND(V403=TRUE,換券單檔!$D$13=D403),E403,0))</f>
        <v>0</v>
      </c>
      <c r="U403" s="861">
        <f>IF(OR(R403=0,A403=0),0,IF(AND(V403=TRUE,換券單檔!$D$13=D403),H403,0))</f>
        <v>0</v>
      </c>
      <c r="V403" s="136" t="e">
        <f ca="1">IF(OR(B403=換券單檔!$D$3,L403="無",M403&lt;&gt;"",K403="高資產",IFERROR(MATCH(B403,換券單檔!K:K,0),"N")&lt;&gt;"N"),FALSE,IF($V$1="All",TRUE,IF(K403=$V$1,TRUE,FALSE)))</f>
        <v>#N/A</v>
      </c>
      <c r="W403" s="136" t="e">
        <f ca="1">VLOOKUP(A403,'銀行-TSS'!A:AO,41,FALSE)</f>
        <v>#N/A</v>
      </c>
      <c r="X403" s="136" t="e">
        <f ca="1">VLOOKUP(A403,'銀行-TSS'!A:AP,42,FALSE)</f>
        <v>#N/A</v>
      </c>
      <c r="Y403" s="1220">
        <f t="shared" si="275"/>
        <v>0</v>
      </c>
      <c r="Z403" s="1220">
        <f t="shared" si="276"/>
        <v>0</v>
      </c>
      <c r="AA403" s="136">
        <f>IF(Z403&lt;=0,0,RANK(Z403,Z:Z)+COUNTIF($Z$3:$Z403,Z403)-1)</f>
        <v>0</v>
      </c>
      <c r="AB403" s="1211">
        <f t="shared" ca="1" si="277"/>
        <v>-14896.14</v>
      </c>
      <c r="AC403" s="136">
        <f ca="1">IF(AB403&lt;=0,0,RANK(AB403,AB:AB)+COUNTIF($AB$3:$AB403,AB403)-1)</f>
        <v>0</v>
      </c>
      <c r="AD403" s="1123">
        <f t="shared" si="278"/>
        <v>99999</v>
      </c>
      <c r="AE403" s="1123">
        <f>IF(AD403=99999,0,RANK(AD403,AD:AD,1)+COUNTIF($AD$3:$AD403,AD403)-1)</f>
        <v>0</v>
      </c>
      <c r="AF403" s="86" t="e">
        <f ca="1">IF(OR(M403&lt;&gt;"",L403="無",K403="高資產",IFERROR(MATCH(B403,換券單檔!K:K,0),"N")&lt;&gt;"N"),FALSE,TRUE)</f>
        <v>#N/A</v>
      </c>
      <c r="AI403" s="1212" t="e">
        <f t="shared" ca="1" si="279"/>
        <v>#N/A</v>
      </c>
      <c r="AJ403" s="1213" t="e">
        <f t="shared" ca="1" si="280"/>
        <v>#N/A</v>
      </c>
      <c r="AK403" s="1587">
        <f t="shared" si="281"/>
        <v>0</v>
      </c>
      <c r="AN403" s="1212" t="e">
        <f t="shared" ca="1" si="282"/>
        <v>#N/A</v>
      </c>
      <c r="AO403" s="1213" t="e">
        <f t="shared" ca="1" si="283"/>
        <v>#N/A</v>
      </c>
      <c r="AP403" s="1587">
        <f t="shared" si="284"/>
        <v>0</v>
      </c>
      <c r="AS403" s="1212" t="e">
        <f t="shared" ca="1" si="285"/>
        <v>#N/A</v>
      </c>
      <c r="AT403" s="1213" t="e">
        <f t="shared" ca="1" si="286"/>
        <v>#N/A</v>
      </c>
      <c r="AU403" s="1587">
        <f t="shared" si="287"/>
        <v>0</v>
      </c>
      <c r="AX403" s="1212" t="e">
        <f t="shared" ca="1" si="288"/>
        <v>#N/A</v>
      </c>
      <c r="AY403" s="1213" t="e">
        <f t="shared" ca="1" si="289"/>
        <v>#N/A</v>
      </c>
      <c r="AZ403" s="1587">
        <f t="shared" si="290"/>
        <v>0</v>
      </c>
      <c r="BC403" s="1212" t="e">
        <f t="shared" ca="1" si="291"/>
        <v>#N/A</v>
      </c>
      <c r="BD403" s="1213" t="e">
        <f t="shared" ca="1" si="292"/>
        <v>#N/A</v>
      </c>
      <c r="BE403" s="1587">
        <f t="shared" si="293"/>
        <v>0</v>
      </c>
      <c r="BH403" s="1212" t="e">
        <f t="shared" ca="1" si="294"/>
        <v>#N/A</v>
      </c>
      <c r="BI403" s="1213" t="e">
        <f t="shared" ca="1" si="295"/>
        <v>#N/A</v>
      </c>
      <c r="BJ403" s="1587">
        <f t="shared" si="296"/>
        <v>0</v>
      </c>
      <c r="BM403" s="1212" t="e">
        <f t="shared" ca="1" si="297"/>
        <v>#N/A</v>
      </c>
      <c r="BN403" s="1213" t="e">
        <f t="shared" ca="1" si="298"/>
        <v>#N/A</v>
      </c>
      <c r="BO403" s="1587">
        <f t="shared" si="299"/>
        <v>0</v>
      </c>
      <c r="BR403" s="1212" t="e">
        <f t="shared" ca="1" si="300"/>
        <v>#N/A</v>
      </c>
      <c r="BS403" s="1213" t="e">
        <f t="shared" ca="1" si="301"/>
        <v>#N/A</v>
      </c>
      <c r="BT403" s="1587">
        <f t="shared" si="302"/>
        <v>0</v>
      </c>
      <c r="BW403" s="1212" t="e">
        <f t="shared" ca="1" si="303"/>
        <v>#N/A</v>
      </c>
      <c r="BX403" s="1213" t="e">
        <f t="shared" ca="1" si="304"/>
        <v>#N/A</v>
      </c>
      <c r="BY403" s="1587">
        <f t="shared" si="305"/>
        <v>0</v>
      </c>
      <c r="CB403" s="1212" t="e">
        <f t="shared" ca="1" si="306"/>
        <v>#N/A</v>
      </c>
      <c r="CC403" s="1213" t="e">
        <f t="shared" ca="1" si="307"/>
        <v>#N/A</v>
      </c>
      <c r="CD403" s="1587">
        <f t="shared" si="308"/>
        <v>0</v>
      </c>
      <c r="CG403" s="1212" t="e">
        <f t="shared" ca="1" si="309"/>
        <v>#N/A</v>
      </c>
      <c r="CH403" s="1213" t="e">
        <f t="shared" ca="1" si="310"/>
        <v>#N/A</v>
      </c>
      <c r="CI403" s="1587">
        <f t="shared" si="311"/>
        <v>0</v>
      </c>
      <c r="CL403" s="1212" t="e">
        <f t="shared" ca="1" si="312"/>
        <v>#N/A</v>
      </c>
      <c r="CM403" s="1213" t="e">
        <f t="shared" ca="1" si="313"/>
        <v>#N/A</v>
      </c>
      <c r="CN403" s="1587">
        <f t="shared" si="314"/>
        <v>0</v>
      </c>
    </row>
    <row r="404" spans="1:92">
      <c r="A404" s="141">
        <f>'銀行-TSS'!A404</f>
        <v>0</v>
      </c>
      <c r="B404" s="151">
        <f ca="1">VLOOKUP(A404,'銀行-TSS'!A:B,2,FALSE)</f>
        <v>0</v>
      </c>
      <c r="C404" s="151" t="e">
        <f ca="1">VLOOKUP(B404,bond!B:C,2,FALSE)</f>
        <v>#N/A</v>
      </c>
      <c r="D404" s="95" t="e">
        <f>VLOOKUP(A404,'銀行-TSS'!A:C,3,FALSE)</f>
        <v>#N/A</v>
      </c>
      <c r="E404" s="90" t="e">
        <f ca="1">VLOOKUP(A404,'銀行-TSS'!A:G,7,FALSE)</f>
        <v>#N/A</v>
      </c>
      <c r="F404" s="202" t="e">
        <f ca="1">VLOOKUP(A404,'銀行-TSS'!A:H,8,FALSE)</f>
        <v>#N/A</v>
      </c>
      <c r="G404" s="96" t="e">
        <f ca="1">VLOOKUP(A404,'銀行-TSS'!A:K,11,FALSE)</f>
        <v>#N/A</v>
      </c>
      <c r="H404" s="1209" t="e">
        <f ca="1">VLOOKUP(A404,'銀行-TSS'!A:M,13,FALSE)</f>
        <v>#N/A</v>
      </c>
      <c r="I404" s="1213" t="e">
        <f ca="1">VLOOKUP(A404,'銀行-TSS'!A:N,14,FALSE)</f>
        <v>#N/A</v>
      </c>
      <c r="J404" s="1213" t="e">
        <f ca="1">VLOOKUP(A404,'銀行-TSS'!A:O,15,FALSE)</f>
        <v>#N/A</v>
      </c>
      <c r="K404" s="136" t="e">
        <f ca="1">VLOOKUP(A404,'銀行-TSS'!A:V,22,FALSE)</f>
        <v>#N/A</v>
      </c>
      <c r="L404" s="136" t="e">
        <f ca="1">VLOOKUP(A404,'銀行-TSS'!A:AK,37,FALSE)</f>
        <v>#N/A</v>
      </c>
      <c r="M404" s="136" t="str">
        <f ca="1">VLOOKUP(A404,'銀行-TSS'!A:AN,40,FALSE)</f>
        <v/>
      </c>
      <c r="N404" s="136" t="e">
        <f t="shared" ca="1" si="270"/>
        <v>#N/A</v>
      </c>
      <c r="O404" s="1213" t="e">
        <f t="shared" ca="1" si="271"/>
        <v>#N/A</v>
      </c>
      <c r="P404" s="1213" t="e">
        <f ca="1">IF(AND($O$1&gt;=O404,換券單檔!$D$13=D404),I404+INT(($O$1-O404)/N404)*J404,0)</f>
        <v>#N/A</v>
      </c>
      <c r="Q404" s="1213" t="e">
        <f t="shared" ca="1" si="272"/>
        <v>#N/A</v>
      </c>
      <c r="R404" s="1213">
        <f t="shared" si="273"/>
        <v>0</v>
      </c>
      <c r="S404" s="1213">
        <f t="shared" si="274"/>
        <v>0</v>
      </c>
      <c r="T404" s="136">
        <f>IF(OR(R404=0,A404=0),0,IF(AND(V404=TRUE,換券單檔!$D$13=D404),E404,0))</f>
        <v>0</v>
      </c>
      <c r="U404" s="861">
        <f>IF(OR(R404=0,A404=0),0,IF(AND(V404=TRUE,換券單檔!$D$13=D404),H404,0))</f>
        <v>0</v>
      </c>
      <c r="V404" s="136" t="e">
        <f ca="1">IF(OR(B404=換券單檔!$D$3,L404="無",M404&lt;&gt;"",K404="高資產",IFERROR(MATCH(B404,換券單檔!K:K,0),"N")&lt;&gt;"N"),FALSE,IF($V$1="All",TRUE,IF(K404=$V$1,TRUE,FALSE)))</f>
        <v>#N/A</v>
      </c>
      <c r="W404" s="136" t="e">
        <f ca="1">VLOOKUP(A404,'銀行-TSS'!A:AO,41,FALSE)</f>
        <v>#N/A</v>
      </c>
      <c r="X404" s="136" t="e">
        <f ca="1">VLOOKUP(A404,'銀行-TSS'!A:AP,42,FALSE)</f>
        <v>#N/A</v>
      </c>
      <c r="Y404" s="1220">
        <f t="shared" si="275"/>
        <v>0</v>
      </c>
      <c r="Z404" s="1220">
        <f t="shared" si="276"/>
        <v>0</v>
      </c>
      <c r="AA404" s="136">
        <f>IF(Z404&lt;=0,0,RANK(Z404,Z:Z)+COUNTIF($Z$3:$Z404,Z404)-1)</f>
        <v>0</v>
      </c>
      <c r="AB404" s="1211">
        <f t="shared" ca="1" si="277"/>
        <v>-14896.14</v>
      </c>
      <c r="AC404" s="136">
        <f ca="1">IF(AB404&lt;=0,0,RANK(AB404,AB:AB)+COUNTIF($AB$3:$AB404,AB404)-1)</f>
        <v>0</v>
      </c>
      <c r="AD404" s="1123">
        <f t="shared" si="278"/>
        <v>99999</v>
      </c>
      <c r="AE404" s="1123">
        <f>IF(AD404=99999,0,RANK(AD404,AD:AD,1)+COUNTIF($AD$3:$AD404,AD404)-1)</f>
        <v>0</v>
      </c>
      <c r="AF404" s="86" t="e">
        <f ca="1">IF(OR(M404&lt;&gt;"",L404="無",K404="高資產",IFERROR(MATCH(B404,換券單檔!K:K,0),"N")&lt;&gt;"N"),FALSE,TRUE)</f>
        <v>#N/A</v>
      </c>
      <c r="AI404" s="1212" t="e">
        <f t="shared" ca="1" si="279"/>
        <v>#N/A</v>
      </c>
      <c r="AJ404" s="1213" t="e">
        <f t="shared" ca="1" si="280"/>
        <v>#N/A</v>
      </c>
      <c r="AK404" s="1587">
        <f t="shared" si="281"/>
        <v>0</v>
      </c>
      <c r="AN404" s="1212" t="e">
        <f t="shared" ca="1" si="282"/>
        <v>#N/A</v>
      </c>
      <c r="AO404" s="1213" t="e">
        <f t="shared" ca="1" si="283"/>
        <v>#N/A</v>
      </c>
      <c r="AP404" s="1587">
        <f t="shared" si="284"/>
        <v>0</v>
      </c>
      <c r="AS404" s="1212" t="e">
        <f t="shared" ca="1" si="285"/>
        <v>#N/A</v>
      </c>
      <c r="AT404" s="1213" t="e">
        <f t="shared" ca="1" si="286"/>
        <v>#N/A</v>
      </c>
      <c r="AU404" s="1587">
        <f t="shared" si="287"/>
        <v>0</v>
      </c>
      <c r="AX404" s="1212" t="e">
        <f t="shared" ca="1" si="288"/>
        <v>#N/A</v>
      </c>
      <c r="AY404" s="1213" t="e">
        <f t="shared" ca="1" si="289"/>
        <v>#N/A</v>
      </c>
      <c r="AZ404" s="1587">
        <f t="shared" si="290"/>
        <v>0</v>
      </c>
      <c r="BC404" s="1212" t="e">
        <f t="shared" ca="1" si="291"/>
        <v>#N/A</v>
      </c>
      <c r="BD404" s="1213" t="e">
        <f t="shared" ca="1" si="292"/>
        <v>#N/A</v>
      </c>
      <c r="BE404" s="1587">
        <f t="shared" si="293"/>
        <v>0</v>
      </c>
      <c r="BH404" s="1212" t="e">
        <f t="shared" ca="1" si="294"/>
        <v>#N/A</v>
      </c>
      <c r="BI404" s="1213" t="e">
        <f t="shared" ca="1" si="295"/>
        <v>#N/A</v>
      </c>
      <c r="BJ404" s="1587">
        <f t="shared" si="296"/>
        <v>0</v>
      </c>
      <c r="BM404" s="1212" t="e">
        <f t="shared" ca="1" si="297"/>
        <v>#N/A</v>
      </c>
      <c r="BN404" s="1213" t="e">
        <f t="shared" ca="1" si="298"/>
        <v>#N/A</v>
      </c>
      <c r="BO404" s="1587">
        <f t="shared" si="299"/>
        <v>0</v>
      </c>
      <c r="BR404" s="1212" t="e">
        <f t="shared" ca="1" si="300"/>
        <v>#N/A</v>
      </c>
      <c r="BS404" s="1213" t="e">
        <f t="shared" ca="1" si="301"/>
        <v>#N/A</v>
      </c>
      <c r="BT404" s="1587">
        <f t="shared" si="302"/>
        <v>0</v>
      </c>
      <c r="BW404" s="1212" t="e">
        <f t="shared" ca="1" si="303"/>
        <v>#N/A</v>
      </c>
      <c r="BX404" s="1213" t="e">
        <f t="shared" ca="1" si="304"/>
        <v>#N/A</v>
      </c>
      <c r="BY404" s="1587">
        <f t="shared" si="305"/>
        <v>0</v>
      </c>
      <c r="CB404" s="1212" t="e">
        <f t="shared" ca="1" si="306"/>
        <v>#N/A</v>
      </c>
      <c r="CC404" s="1213" t="e">
        <f t="shared" ca="1" si="307"/>
        <v>#N/A</v>
      </c>
      <c r="CD404" s="1587">
        <f t="shared" si="308"/>
        <v>0</v>
      </c>
      <c r="CG404" s="1212" t="e">
        <f t="shared" ca="1" si="309"/>
        <v>#N/A</v>
      </c>
      <c r="CH404" s="1213" t="e">
        <f t="shared" ca="1" si="310"/>
        <v>#N/A</v>
      </c>
      <c r="CI404" s="1587">
        <f t="shared" si="311"/>
        <v>0</v>
      </c>
      <c r="CL404" s="1212" t="e">
        <f t="shared" ca="1" si="312"/>
        <v>#N/A</v>
      </c>
      <c r="CM404" s="1213" t="e">
        <f t="shared" ca="1" si="313"/>
        <v>#N/A</v>
      </c>
      <c r="CN404" s="1587">
        <f t="shared" si="314"/>
        <v>0</v>
      </c>
    </row>
    <row r="405" spans="1:92">
      <c r="A405" s="141">
        <f>'銀行-TSS'!A405</f>
        <v>0</v>
      </c>
      <c r="B405" s="151">
        <f ca="1">VLOOKUP(A405,'銀行-TSS'!A:B,2,FALSE)</f>
        <v>0</v>
      </c>
      <c r="C405" s="151" t="e">
        <f ca="1">VLOOKUP(B405,bond!B:C,2,FALSE)</f>
        <v>#N/A</v>
      </c>
      <c r="D405" s="95" t="e">
        <f>VLOOKUP(A405,'銀行-TSS'!A:C,3,FALSE)</f>
        <v>#N/A</v>
      </c>
      <c r="E405" s="90" t="e">
        <f ca="1">VLOOKUP(A405,'銀行-TSS'!A:G,7,FALSE)</f>
        <v>#N/A</v>
      </c>
      <c r="F405" s="202" t="e">
        <f ca="1">VLOOKUP(A405,'銀行-TSS'!A:H,8,FALSE)</f>
        <v>#N/A</v>
      </c>
      <c r="G405" s="96" t="e">
        <f ca="1">VLOOKUP(A405,'銀行-TSS'!A:K,11,FALSE)</f>
        <v>#N/A</v>
      </c>
      <c r="H405" s="1209" t="e">
        <f ca="1">VLOOKUP(A405,'銀行-TSS'!A:M,13,FALSE)</f>
        <v>#N/A</v>
      </c>
      <c r="I405" s="1213" t="e">
        <f ca="1">VLOOKUP(A405,'銀行-TSS'!A:N,14,FALSE)</f>
        <v>#N/A</v>
      </c>
      <c r="J405" s="1213" t="e">
        <f ca="1">VLOOKUP(A405,'銀行-TSS'!A:O,15,FALSE)</f>
        <v>#N/A</v>
      </c>
      <c r="K405" s="136" t="e">
        <f ca="1">VLOOKUP(A405,'銀行-TSS'!A:V,22,FALSE)</f>
        <v>#N/A</v>
      </c>
      <c r="L405" s="136" t="e">
        <f ca="1">VLOOKUP(A405,'銀行-TSS'!A:AK,37,FALSE)</f>
        <v>#N/A</v>
      </c>
      <c r="M405" s="136" t="str">
        <f ca="1">VLOOKUP(A405,'銀行-TSS'!A:AN,40,FALSE)</f>
        <v/>
      </c>
      <c r="N405" s="136" t="e">
        <f t="shared" ca="1" si="270"/>
        <v>#N/A</v>
      </c>
      <c r="O405" s="1213" t="e">
        <f t="shared" ca="1" si="271"/>
        <v>#N/A</v>
      </c>
      <c r="P405" s="1213" t="e">
        <f ca="1">IF(AND($O$1&gt;=O405,換券單檔!$D$13=D405),I405+INT(($O$1-O405)/N405)*J405,0)</f>
        <v>#N/A</v>
      </c>
      <c r="Q405" s="1213" t="e">
        <f t="shared" ca="1" si="272"/>
        <v>#N/A</v>
      </c>
      <c r="R405" s="1213">
        <f t="shared" si="273"/>
        <v>0</v>
      </c>
      <c r="S405" s="1213">
        <f t="shared" si="274"/>
        <v>0</v>
      </c>
      <c r="T405" s="136">
        <f>IF(OR(R405=0,A405=0),0,IF(AND(V405=TRUE,換券單檔!$D$13=D405),E405,0))</f>
        <v>0</v>
      </c>
      <c r="U405" s="861">
        <f>IF(OR(R405=0,A405=0),0,IF(AND(V405=TRUE,換券單檔!$D$13=D405),H405,0))</f>
        <v>0</v>
      </c>
      <c r="V405" s="136" t="e">
        <f ca="1">IF(OR(B405=換券單檔!$D$3,L405="無",M405&lt;&gt;"",K405="高資產",IFERROR(MATCH(B405,換券單檔!K:K,0),"N")&lt;&gt;"N"),FALSE,IF($V$1="All",TRUE,IF(K405=$V$1,TRUE,FALSE)))</f>
        <v>#N/A</v>
      </c>
      <c r="W405" s="136" t="e">
        <f ca="1">VLOOKUP(A405,'銀行-TSS'!A:AO,41,FALSE)</f>
        <v>#N/A</v>
      </c>
      <c r="X405" s="136" t="e">
        <f ca="1">VLOOKUP(A405,'銀行-TSS'!A:AP,42,FALSE)</f>
        <v>#N/A</v>
      </c>
      <c r="Y405" s="1220">
        <f t="shared" si="275"/>
        <v>0</v>
      </c>
      <c r="Z405" s="1220">
        <f t="shared" si="276"/>
        <v>0</v>
      </c>
      <c r="AA405" s="136">
        <f>IF(Z405&lt;=0,0,RANK(Z405,Z:Z)+COUNTIF($Z$3:$Z405,Z405)-1)</f>
        <v>0</v>
      </c>
      <c r="AB405" s="1211">
        <f t="shared" ca="1" si="277"/>
        <v>-14896.14</v>
      </c>
      <c r="AC405" s="136">
        <f ca="1">IF(AB405&lt;=0,0,RANK(AB405,AB:AB)+COUNTIF($AB$3:$AB405,AB405)-1)</f>
        <v>0</v>
      </c>
      <c r="AD405" s="1123">
        <f t="shared" si="278"/>
        <v>99999</v>
      </c>
      <c r="AE405" s="1123">
        <f>IF(AD405=99999,0,RANK(AD405,AD:AD,1)+COUNTIF($AD$3:$AD405,AD405)-1)</f>
        <v>0</v>
      </c>
      <c r="AF405" s="86" t="e">
        <f ca="1">IF(OR(M405&lt;&gt;"",L405="無",K405="高資產",IFERROR(MATCH(B405,換券單檔!K:K,0),"N")&lt;&gt;"N"),FALSE,TRUE)</f>
        <v>#N/A</v>
      </c>
      <c r="AI405" s="1212" t="e">
        <f t="shared" ca="1" si="279"/>
        <v>#N/A</v>
      </c>
      <c r="AJ405" s="1213" t="e">
        <f t="shared" ca="1" si="280"/>
        <v>#N/A</v>
      </c>
      <c r="AK405" s="1587">
        <f t="shared" si="281"/>
        <v>0</v>
      </c>
      <c r="AN405" s="1212" t="e">
        <f t="shared" ca="1" si="282"/>
        <v>#N/A</v>
      </c>
      <c r="AO405" s="1213" t="e">
        <f t="shared" ca="1" si="283"/>
        <v>#N/A</v>
      </c>
      <c r="AP405" s="1587">
        <f t="shared" si="284"/>
        <v>0</v>
      </c>
      <c r="AS405" s="1212" t="e">
        <f t="shared" ca="1" si="285"/>
        <v>#N/A</v>
      </c>
      <c r="AT405" s="1213" t="e">
        <f t="shared" ca="1" si="286"/>
        <v>#N/A</v>
      </c>
      <c r="AU405" s="1587">
        <f t="shared" si="287"/>
        <v>0</v>
      </c>
      <c r="AX405" s="1212" t="e">
        <f t="shared" ca="1" si="288"/>
        <v>#N/A</v>
      </c>
      <c r="AY405" s="1213" t="e">
        <f t="shared" ca="1" si="289"/>
        <v>#N/A</v>
      </c>
      <c r="AZ405" s="1587">
        <f t="shared" si="290"/>
        <v>0</v>
      </c>
      <c r="BC405" s="1212" t="e">
        <f t="shared" ca="1" si="291"/>
        <v>#N/A</v>
      </c>
      <c r="BD405" s="1213" t="e">
        <f t="shared" ca="1" si="292"/>
        <v>#N/A</v>
      </c>
      <c r="BE405" s="1587">
        <f t="shared" si="293"/>
        <v>0</v>
      </c>
      <c r="BH405" s="1212" t="e">
        <f t="shared" ca="1" si="294"/>
        <v>#N/A</v>
      </c>
      <c r="BI405" s="1213" t="e">
        <f t="shared" ca="1" si="295"/>
        <v>#N/A</v>
      </c>
      <c r="BJ405" s="1587">
        <f t="shared" si="296"/>
        <v>0</v>
      </c>
      <c r="BM405" s="1212" t="e">
        <f t="shared" ca="1" si="297"/>
        <v>#N/A</v>
      </c>
      <c r="BN405" s="1213" t="e">
        <f t="shared" ca="1" si="298"/>
        <v>#N/A</v>
      </c>
      <c r="BO405" s="1587">
        <f t="shared" si="299"/>
        <v>0</v>
      </c>
      <c r="BR405" s="1212" t="e">
        <f t="shared" ca="1" si="300"/>
        <v>#N/A</v>
      </c>
      <c r="BS405" s="1213" t="e">
        <f t="shared" ca="1" si="301"/>
        <v>#N/A</v>
      </c>
      <c r="BT405" s="1587">
        <f t="shared" si="302"/>
        <v>0</v>
      </c>
      <c r="BW405" s="1212" t="e">
        <f t="shared" ca="1" si="303"/>
        <v>#N/A</v>
      </c>
      <c r="BX405" s="1213" t="e">
        <f t="shared" ca="1" si="304"/>
        <v>#N/A</v>
      </c>
      <c r="BY405" s="1587">
        <f t="shared" si="305"/>
        <v>0</v>
      </c>
      <c r="CB405" s="1212" t="e">
        <f t="shared" ca="1" si="306"/>
        <v>#N/A</v>
      </c>
      <c r="CC405" s="1213" t="e">
        <f t="shared" ca="1" si="307"/>
        <v>#N/A</v>
      </c>
      <c r="CD405" s="1587">
        <f t="shared" si="308"/>
        <v>0</v>
      </c>
      <c r="CG405" s="1212" t="e">
        <f t="shared" ca="1" si="309"/>
        <v>#N/A</v>
      </c>
      <c r="CH405" s="1213" t="e">
        <f t="shared" ca="1" si="310"/>
        <v>#N/A</v>
      </c>
      <c r="CI405" s="1587">
        <f t="shared" si="311"/>
        <v>0</v>
      </c>
      <c r="CL405" s="1212" t="e">
        <f t="shared" ca="1" si="312"/>
        <v>#N/A</v>
      </c>
      <c r="CM405" s="1213" t="e">
        <f t="shared" ca="1" si="313"/>
        <v>#N/A</v>
      </c>
      <c r="CN405" s="1587">
        <f t="shared" si="314"/>
        <v>0</v>
      </c>
    </row>
    <row r="406" spans="1:92">
      <c r="A406" s="141">
        <f>'銀行-TSS'!A406</f>
        <v>0</v>
      </c>
      <c r="B406" s="151">
        <f ca="1">VLOOKUP(A406,'銀行-TSS'!A:B,2,FALSE)</f>
        <v>0</v>
      </c>
      <c r="C406" s="151" t="e">
        <f ca="1">VLOOKUP(B406,bond!B:C,2,FALSE)</f>
        <v>#N/A</v>
      </c>
      <c r="D406" s="95" t="e">
        <f>VLOOKUP(A406,'銀行-TSS'!A:C,3,FALSE)</f>
        <v>#N/A</v>
      </c>
      <c r="E406" s="90" t="e">
        <f ca="1">VLOOKUP(A406,'銀行-TSS'!A:G,7,FALSE)</f>
        <v>#N/A</v>
      </c>
      <c r="F406" s="202" t="e">
        <f ca="1">VLOOKUP(A406,'銀行-TSS'!A:H,8,FALSE)</f>
        <v>#N/A</v>
      </c>
      <c r="G406" s="96" t="e">
        <f ca="1">VLOOKUP(A406,'銀行-TSS'!A:K,11,FALSE)</f>
        <v>#N/A</v>
      </c>
      <c r="H406" s="1209" t="e">
        <f ca="1">VLOOKUP(A406,'銀行-TSS'!A:M,13,FALSE)</f>
        <v>#N/A</v>
      </c>
      <c r="I406" s="1213" t="e">
        <f ca="1">VLOOKUP(A406,'銀行-TSS'!A:N,14,FALSE)</f>
        <v>#N/A</v>
      </c>
      <c r="J406" s="1213" t="e">
        <f ca="1">VLOOKUP(A406,'銀行-TSS'!A:O,15,FALSE)</f>
        <v>#N/A</v>
      </c>
      <c r="K406" s="136" t="e">
        <f ca="1">VLOOKUP(A406,'銀行-TSS'!A:V,22,FALSE)</f>
        <v>#N/A</v>
      </c>
      <c r="L406" s="136" t="e">
        <f ca="1">VLOOKUP(A406,'銀行-TSS'!A:AK,37,FALSE)</f>
        <v>#N/A</v>
      </c>
      <c r="M406" s="136" t="str">
        <f ca="1">VLOOKUP(A406,'銀行-TSS'!A:AN,40,FALSE)</f>
        <v/>
      </c>
      <c r="N406" s="136" t="e">
        <f t="shared" ca="1" si="270"/>
        <v>#N/A</v>
      </c>
      <c r="O406" s="1213" t="e">
        <f t="shared" ca="1" si="271"/>
        <v>#N/A</v>
      </c>
      <c r="P406" s="1213" t="e">
        <f ca="1">IF(AND($O$1&gt;=O406,換券單檔!$D$13=D406),I406+INT(($O$1-O406)/N406)*J406,0)</f>
        <v>#N/A</v>
      </c>
      <c r="Q406" s="1213" t="e">
        <f t="shared" ca="1" si="272"/>
        <v>#N/A</v>
      </c>
      <c r="R406" s="1213">
        <f t="shared" si="273"/>
        <v>0</v>
      </c>
      <c r="S406" s="1213">
        <f t="shared" si="274"/>
        <v>0</v>
      </c>
      <c r="T406" s="136">
        <f>IF(OR(R406=0,A406=0),0,IF(AND(V406=TRUE,換券單檔!$D$13=D406),E406,0))</f>
        <v>0</v>
      </c>
      <c r="U406" s="861">
        <f>IF(OR(R406=0,A406=0),0,IF(AND(V406=TRUE,換券單檔!$D$13=D406),H406,0))</f>
        <v>0</v>
      </c>
      <c r="V406" s="136" t="e">
        <f ca="1">IF(OR(B406=換券單檔!$D$3,L406="無",M406&lt;&gt;"",K406="高資產",IFERROR(MATCH(B406,換券單檔!K:K,0),"N")&lt;&gt;"N"),FALSE,IF($V$1="All",TRUE,IF(K406=$V$1,TRUE,FALSE)))</f>
        <v>#N/A</v>
      </c>
      <c r="W406" s="136" t="e">
        <f ca="1">VLOOKUP(A406,'銀行-TSS'!A:AO,41,FALSE)</f>
        <v>#N/A</v>
      </c>
      <c r="X406" s="136" t="e">
        <f ca="1">VLOOKUP(A406,'銀行-TSS'!A:AP,42,FALSE)</f>
        <v>#N/A</v>
      </c>
      <c r="Y406" s="1220">
        <f t="shared" si="275"/>
        <v>0</v>
      </c>
      <c r="Z406" s="1220">
        <f t="shared" si="276"/>
        <v>0</v>
      </c>
      <c r="AA406" s="136">
        <f>IF(Z406&lt;=0,0,RANK(Z406,Z:Z)+COUNTIF($Z$3:$Z406,Z406)-1)</f>
        <v>0</v>
      </c>
      <c r="AB406" s="1211">
        <f t="shared" ca="1" si="277"/>
        <v>-14896.14</v>
      </c>
      <c r="AC406" s="136">
        <f ca="1">IF(AB406&lt;=0,0,RANK(AB406,AB:AB)+COUNTIF($AB$3:$AB406,AB406)-1)</f>
        <v>0</v>
      </c>
      <c r="AD406" s="1123">
        <f t="shared" si="278"/>
        <v>99999</v>
      </c>
      <c r="AE406" s="1123">
        <f>IF(AD406=99999,0,RANK(AD406,AD:AD,1)+COUNTIF($AD$3:$AD406,AD406)-1)</f>
        <v>0</v>
      </c>
      <c r="AF406" s="86" t="e">
        <f ca="1">IF(OR(M406&lt;&gt;"",L406="無",K406="高資產",IFERROR(MATCH(B406,換券單檔!K:K,0),"N")&lt;&gt;"N"),FALSE,TRUE)</f>
        <v>#N/A</v>
      </c>
      <c r="AI406" s="1212" t="e">
        <f t="shared" ca="1" si="279"/>
        <v>#N/A</v>
      </c>
      <c r="AJ406" s="1213" t="e">
        <f t="shared" ca="1" si="280"/>
        <v>#N/A</v>
      </c>
      <c r="AK406" s="1587">
        <f t="shared" si="281"/>
        <v>0</v>
      </c>
      <c r="AN406" s="1212" t="e">
        <f t="shared" ca="1" si="282"/>
        <v>#N/A</v>
      </c>
      <c r="AO406" s="1213" t="e">
        <f t="shared" ca="1" si="283"/>
        <v>#N/A</v>
      </c>
      <c r="AP406" s="1587">
        <f t="shared" si="284"/>
        <v>0</v>
      </c>
      <c r="AS406" s="1212" t="e">
        <f t="shared" ca="1" si="285"/>
        <v>#N/A</v>
      </c>
      <c r="AT406" s="1213" t="e">
        <f t="shared" ca="1" si="286"/>
        <v>#N/A</v>
      </c>
      <c r="AU406" s="1587">
        <f t="shared" si="287"/>
        <v>0</v>
      </c>
      <c r="AX406" s="1212" t="e">
        <f t="shared" ca="1" si="288"/>
        <v>#N/A</v>
      </c>
      <c r="AY406" s="1213" t="e">
        <f t="shared" ca="1" si="289"/>
        <v>#N/A</v>
      </c>
      <c r="AZ406" s="1587">
        <f t="shared" si="290"/>
        <v>0</v>
      </c>
      <c r="BC406" s="1212" t="e">
        <f t="shared" ca="1" si="291"/>
        <v>#N/A</v>
      </c>
      <c r="BD406" s="1213" t="e">
        <f t="shared" ca="1" si="292"/>
        <v>#N/A</v>
      </c>
      <c r="BE406" s="1587">
        <f t="shared" si="293"/>
        <v>0</v>
      </c>
      <c r="BH406" s="1212" t="e">
        <f t="shared" ca="1" si="294"/>
        <v>#N/A</v>
      </c>
      <c r="BI406" s="1213" t="e">
        <f t="shared" ca="1" si="295"/>
        <v>#N/A</v>
      </c>
      <c r="BJ406" s="1587">
        <f t="shared" si="296"/>
        <v>0</v>
      </c>
      <c r="BM406" s="1212" t="e">
        <f t="shared" ca="1" si="297"/>
        <v>#N/A</v>
      </c>
      <c r="BN406" s="1213" t="e">
        <f t="shared" ca="1" si="298"/>
        <v>#N/A</v>
      </c>
      <c r="BO406" s="1587">
        <f t="shared" si="299"/>
        <v>0</v>
      </c>
      <c r="BR406" s="1212" t="e">
        <f t="shared" ca="1" si="300"/>
        <v>#N/A</v>
      </c>
      <c r="BS406" s="1213" t="e">
        <f t="shared" ca="1" si="301"/>
        <v>#N/A</v>
      </c>
      <c r="BT406" s="1587">
        <f t="shared" si="302"/>
        <v>0</v>
      </c>
      <c r="BW406" s="1212" t="e">
        <f t="shared" ca="1" si="303"/>
        <v>#N/A</v>
      </c>
      <c r="BX406" s="1213" t="e">
        <f t="shared" ca="1" si="304"/>
        <v>#N/A</v>
      </c>
      <c r="BY406" s="1587">
        <f t="shared" si="305"/>
        <v>0</v>
      </c>
      <c r="CB406" s="1212" t="e">
        <f t="shared" ca="1" si="306"/>
        <v>#N/A</v>
      </c>
      <c r="CC406" s="1213" t="e">
        <f t="shared" ca="1" si="307"/>
        <v>#N/A</v>
      </c>
      <c r="CD406" s="1587">
        <f t="shared" si="308"/>
        <v>0</v>
      </c>
      <c r="CG406" s="1212" t="e">
        <f t="shared" ca="1" si="309"/>
        <v>#N/A</v>
      </c>
      <c r="CH406" s="1213" t="e">
        <f t="shared" ca="1" si="310"/>
        <v>#N/A</v>
      </c>
      <c r="CI406" s="1587">
        <f t="shared" si="311"/>
        <v>0</v>
      </c>
      <c r="CL406" s="1212" t="e">
        <f t="shared" ca="1" si="312"/>
        <v>#N/A</v>
      </c>
      <c r="CM406" s="1213" t="e">
        <f t="shared" ca="1" si="313"/>
        <v>#N/A</v>
      </c>
      <c r="CN406" s="1587">
        <f t="shared" si="314"/>
        <v>0</v>
      </c>
    </row>
    <row r="407" spans="1:92">
      <c r="A407" s="141">
        <f>'銀行-TSS'!A407</f>
        <v>0</v>
      </c>
      <c r="B407" s="151">
        <f ca="1">VLOOKUP(A407,'銀行-TSS'!A:B,2,FALSE)</f>
        <v>0</v>
      </c>
      <c r="C407" s="151" t="e">
        <f ca="1">VLOOKUP(B407,bond!B:C,2,FALSE)</f>
        <v>#N/A</v>
      </c>
      <c r="D407" s="95" t="e">
        <f>VLOOKUP(A407,'銀行-TSS'!A:C,3,FALSE)</f>
        <v>#N/A</v>
      </c>
      <c r="E407" s="90" t="e">
        <f ca="1">VLOOKUP(A407,'銀行-TSS'!A:G,7,FALSE)</f>
        <v>#N/A</v>
      </c>
      <c r="F407" s="202" t="e">
        <f ca="1">VLOOKUP(A407,'銀行-TSS'!A:H,8,FALSE)</f>
        <v>#N/A</v>
      </c>
      <c r="G407" s="96" t="e">
        <f ca="1">VLOOKUP(A407,'銀行-TSS'!A:K,11,FALSE)</f>
        <v>#N/A</v>
      </c>
      <c r="H407" s="1209" t="e">
        <f ca="1">VLOOKUP(A407,'銀行-TSS'!A:M,13,FALSE)</f>
        <v>#N/A</v>
      </c>
      <c r="I407" s="1213" t="e">
        <f ca="1">VLOOKUP(A407,'銀行-TSS'!A:N,14,FALSE)</f>
        <v>#N/A</v>
      </c>
      <c r="J407" s="1213" t="e">
        <f ca="1">VLOOKUP(A407,'銀行-TSS'!A:O,15,FALSE)</f>
        <v>#N/A</v>
      </c>
      <c r="K407" s="136" t="e">
        <f ca="1">VLOOKUP(A407,'銀行-TSS'!A:V,22,FALSE)</f>
        <v>#N/A</v>
      </c>
      <c r="L407" s="136" t="e">
        <f ca="1">VLOOKUP(A407,'銀行-TSS'!A:AK,37,FALSE)</f>
        <v>#N/A</v>
      </c>
      <c r="M407" s="136" t="str">
        <f ca="1">VLOOKUP(A407,'銀行-TSS'!A:AN,40,FALSE)</f>
        <v/>
      </c>
      <c r="N407" s="136" t="e">
        <f t="shared" ca="1" si="270"/>
        <v>#N/A</v>
      </c>
      <c r="O407" s="1213" t="e">
        <f t="shared" ca="1" si="271"/>
        <v>#N/A</v>
      </c>
      <c r="P407" s="1213" t="e">
        <f ca="1">IF(AND($O$1&gt;=O407,換券單檔!$D$13=D407),I407+INT(($O$1-O407)/N407)*J407,0)</f>
        <v>#N/A</v>
      </c>
      <c r="Q407" s="1213" t="e">
        <f t="shared" ca="1" si="272"/>
        <v>#N/A</v>
      </c>
      <c r="R407" s="1213">
        <f t="shared" si="273"/>
        <v>0</v>
      </c>
      <c r="S407" s="1213">
        <f t="shared" si="274"/>
        <v>0</v>
      </c>
      <c r="T407" s="136">
        <f>IF(OR(R407=0,A407=0),0,IF(AND(V407=TRUE,換券單檔!$D$13=D407),E407,0))</f>
        <v>0</v>
      </c>
      <c r="U407" s="861">
        <f>IF(OR(R407=0,A407=0),0,IF(AND(V407=TRUE,換券單檔!$D$13=D407),H407,0))</f>
        <v>0</v>
      </c>
      <c r="V407" s="136" t="e">
        <f ca="1">IF(OR(B407=換券單檔!$D$3,L407="無",M407&lt;&gt;"",K407="高資產",IFERROR(MATCH(B407,換券單檔!K:K,0),"N")&lt;&gt;"N"),FALSE,IF($V$1="All",TRUE,IF(K407=$V$1,TRUE,FALSE)))</f>
        <v>#N/A</v>
      </c>
      <c r="W407" s="136" t="e">
        <f ca="1">VLOOKUP(A407,'銀行-TSS'!A:AO,41,FALSE)</f>
        <v>#N/A</v>
      </c>
      <c r="X407" s="136" t="e">
        <f ca="1">VLOOKUP(A407,'銀行-TSS'!A:AP,42,FALSE)</f>
        <v>#N/A</v>
      </c>
      <c r="Y407" s="1220">
        <f t="shared" si="275"/>
        <v>0</v>
      </c>
      <c r="Z407" s="1220">
        <f t="shared" si="276"/>
        <v>0</v>
      </c>
      <c r="AA407" s="136">
        <f>IF(Z407&lt;=0,0,RANK(Z407,Z:Z)+COUNTIF($Z$3:$Z407,Z407)-1)</f>
        <v>0</v>
      </c>
      <c r="AB407" s="1211">
        <f t="shared" ca="1" si="277"/>
        <v>-14896.14</v>
      </c>
      <c r="AC407" s="136">
        <f ca="1">IF(AB407&lt;=0,0,RANK(AB407,AB:AB)+COUNTIF($AB$3:$AB407,AB407)-1)</f>
        <v>0</v>
      </c>
      <c r="AD407" s="1123">
        <f t="shared" si="278"/>
        <v>99999</v>
      </c>
      <c r="AE407" s="1123">
        <f>IF(AD407=99999,0,RANK(AD407,AD:AD,1)+COUNTIF($AD$3:$AD407,AD407)-1)</f>
        <v>0</v>
      </c>
      <c r="AF407" s="86" t="e">
        <f ca="1">IF(OR(M407&lt;&gt;"",L407="無",K407="高資產",IFERROR(MATCH(B407,換券單檔!K:K,0),"N")&lt;&gt;"N"),FALSE,TRUE)</f>
        <v>#N/A</v>
      </c>
      <c r="AI407" s="1212" t="e">
        <f t="shared" ca="1" si="279"/>
        <v>#N/A</v>
      </c>
      <c r="AJ407" s="1213" t="e">
        <f t="shared" ca="1" si="280"/>
        <v>#N/A</v>
      </c>
      <c r="AK407" s="1587">
        <f t="shared" si="281"/>
        <v>0</v>
      </c>
      <c r="AN407" s="1212" t="e">
        <f t="shared" ca="1" si="282"/>
        <v>#N/A</v>
      </c>
      <c r="AO407" s="1213" t="e">
        <f t="shared" ca="1" si="283"/>
        <v>#N/A</v>
      </c>
      <c r="AP407" s="1587">
        <f t="shared" si="284"/>
        <v>0</v>
      </c>
      <c r="AS407" s="1212" t="e">
        <f t="shared" ca="1" si="285"/>
        <v>#N/A</v>
      </c>
      <c r="AT407" s="1213" t="e">
        <f t="shared" ca="1" si="286"/>
        <v>#N/A</v>
      </c>
      <c r="AU407" s="1587">
        <f t="shared" si="287"/>
        <v>0</v>
      </c>
      <c r="AX407" s="1212" t="e">
        <f t="shared" ca="1" si="288"/>
        <v>#N/A</v>
      </c>
      <c r="AY407" s="1213" t="e">
        <f t="shared" ca="1" si="289"/>
        <v>#N/A</v>
      </c>
      <c r="AZ407" s="1587">
        <f t="shared" si="290"/>
        <v>0</v>
      </c>
      <c r="BC407" s="1212" t="e">
        <f t="shared" ca="1" si="291"/>
        <v>#N/A</v>
      </c>
      <c r="BD407" s="1213" t="e">
        <f t="shared" ca="1" si="292"/>
        <v>#N/A</v>
      </c>
      <c r="BE407" s="1587">
        <f t="shared" si="293"/>
        <v>0</v>
      </c>
      <c r="BH407" s="1212" t="e">
        <f t="shared" ca="1" si="294"/>
        <v>#N/A</v>
      </c>
      <c r="BI407" s="1213" t="e">
        <f t="shared" ca="1" si="295"/>
        <v>#N/A</v>
      </c>
      <c r="BJ407" s="1587">
        <f t="shared" si="296"/>
        <v>0</v>
      </c>
      <c r="BM407" s="1212" t="e">
        <f t="shared" ca="1" si="297"/>
        <v>#N/A</v>
      </c>
      <c r="BN407" s="1213" t="e">
        <f t="shared" ca="1" si="298"/>
        <v>#N/A</v>
      </c>
      <c r="BO407" s="1587">
        <f t="shared" si="299"/>
        <v>0</v>
      </c>
      <c r="BR407" s="1212" t="e">
        <f t="shared" ca="1" si="300"/>
        <v>#N/A</v>
      </c>
      <c r="BS407" s="1213" t="e">
        <f t="shared" ca="1" si="301"/>
        <v>#N/A</v>
      </c>
      <c r="BT407" s="1587">
        <f t="shared" si="302"/>
        <v>0</v>
      </c>
      <c r="BW407" s="1212" t="e">
        <f t="shared" ca="1" si="303"/>
        <v>#N/A</v>
      </c>
      <c r="BX407" s="1213" t="e">
        <f t="shared" ca="1" si="304"/>
        <v>#N/A</v>
      </c>
      <c r="BY407" s="1587">
        <f t="shared" si="305"/>
        <v>0</v>
      </c>
      <c r="CB407" s="1212" t="e">
        <f t="shared" ca="1" si="306"/>
        <v>#N/A</v>
      </c>
      <c r="CC407" s="1213" t="e">
        <f t="shared" ca="1" si="307"/>
        <v>#N/A</v>
      </c>
      <c r="CD407" s="1587">
        <f t="shared" si="308"/>
        <v>0</v>
      </c>
      <c r="CG407" s="1212" t="e">
        <f t="shared" ca="1" si="309"/>
        <v>#N/A</v>
      </c>
      <c r="CH407" s="1213" t="e">
        <f t="shared" ca="1" si="310"/>
        <v>#N/A</v>
      </c>
      <c r="CI407" s="1587">
        <f t="shared" si="311"/>
        <v>0</v>
      </c>
      <c r="CL407" s="1212" t="e">
        <f t="shared" ca="1" si="312"/>
        <v>#N/A</v>
      </c>
      <c r="CM407" s="1213" t="e">
        <f t="shared" ca="1" si="313"/>
        <v>#N/A</v>
      </c>
      <c r="CN407" s="1587">
        <f t="shared" si="314"/>
        <v>0</v>
      </c>
    </row>
    <row r="408" spans="1:92">
      <c r="A408" s="141">
        <f>'銀行-TSS'!A408</f>
        <v>0</v>
      </c>
      <c r="B408" s="151">
        <f ca="1">VLOOKUP(A408,'銀行-TSS'!A:B,2,FALSE)</f>
        <v>0</v>
      </c>
      <c r="C408" s="151" t="e">
        <f ca="1">VLOOKUP(B408,bond!B:C,2,FALSE)</f>
        <v>#N/A</v>
      </c>
      <c r="D408" s="95" t="e">
        <f>VLOOKUP(A408,'銀行-TSS'!A:C,3,FALSE)</f>
        <v>#N/A</v>
      </c>
      <c r="E408" s="90" t="e">
        <f ca="1">VLOOKUP(A408,'銀行-TSS'!A:G,7,FALSE)</f>
        <v>#N/A</v>
      </c>
      <c r="F408" s="202" t="e">
        <f ca="1">VLOOKUP(A408,'銀行-TSS'!A:H,8,FALSE)</f>
        <v>#N/A</v>
      </c>
      <c r="G408" s="96" t="e">
        <f ca="1">VLOOKUP(A408,'銀行-TSS'!A:K,11,FALSE)</f>
        <v>#N/A</v>
      </c>
      <c r="H408" s="1209" t="e">
        <f ca="1">VLOOKUP(A408,'銀行-TSS'!A:M,13,FALSE)</f>
        <v>#N/A</v>
      </c>
      <c r="I408" s="1213" t="e">
        <f ca="1">VLOOKUP(A408,'銀行-TSS'!A:N,14,FALSE)</f>
        <v>#N/A</v>
      </c>
      <c r="J408" s="1213" t="e">
        <f ca="1">VLOOKUP(A408,'銀行-TSS'!A:O,15,FALSE)</f>
        <v>#N/A</v>
      </c>
      <c r="K408" s="136" t="e">
        <f ca="1">VLOOKUP(A408,'銀行-TSS'!A:V,22,FALSE)</f>
        <v>#N/A</v>
      </c>
      <c r="L408" s="136" t="e">
        <f ca="1">VLOOKUP(A408,'銀行-TSS'!A:AK,37,FALSE)</f>
        <v>#N/A</v>
      </c>
      <c r="M408" s="136" t="str">
        <f ca="1">VLOOKUP(A408,'銀行-TSS'!A:AN,40,FALSE)</f>
        <v/>
      </c>
      <c r="N408" s="136" t="e">
        <f t="shared" ca="1" si="270"/>
        <v>#N/A</v>
      </c>
      <c r="O408" s="1213" t="e">
        <f t="shared" ca="1" si="271"/>
        <v>#N/A</v>
      </c>
      <c r="P408" s="1213" t="e">
        <f ca="1">IF(AND($O$1&gt;=O408,換券單檔!$D$13=D408),I408+INT(($O$1-O408)/N408)*J408,0)</f>
        <v>#N/A</v>
      </c>
      <c r="Q408" s="1213" t="e">
        <f t="shared" ca="1" si="272"/>
        <v>#N/A</v>
      </c>
      <c r="R408" s="1213">
        <f t="shared" si="273"/>
        <v>0</v>
      </c>
      <c r="S408" s="1213">
        <f t="shared" si="274"/>
        <v>0</v>
      </c>
      <c r="T408" s="136">
        <f>IF(OR(R408=0,A408=0),0,IF(AND(V408=TRUE,換券單檔!$D$13=D408),E408,0))</f>
        <v>0</v>
      </c>
      <c r="U408" s="861">
        <f>IF(OR(R408=0,A408=0),0,IF(AND(V408=TRUE,換券單檔!$D$13=D408),H408,0))</f>
        <v>0</v>
      </c>
      <c r="V408" s="136" t="e">
        <f ca="1">IF(OR(B408=換券單檔!$D$3,L408="無",M408&lt;&gt;"",K408="高資產",IFERROR(MATCH(B408,換券單檔!K:K,0),"N")&lt;&gt;"N"),FALSE,IF($V$1="All",TRUE,IF(K408=$V$1,TRUE,FALSE)))</f>
        <v>#N/A</v>
      </c>
      <c r="W408" s="136" t="e">
        <f ca="1">VLOOKUP(A408,'銀行-TSS'!A:AO,41,FALSE)</f>
        <v>#N/A</v>
      </c>
      <c r="X408" s="136" t="e">
        <f ca="1">VLOOKUP(A408,'銀行-TSS'!A:AP,42,FALSE)</f>
        <v>#N/A</v>
      </c>
      <c r="Y408" s="1220">
        <f t="shared" si="275"/>
        <v>0</v>
      </c>
      <c r="Z408" s="1220">
        <f t="shared" si="276"/>
        <v>0</v>
      </c>
      <c r="AA408" s="136">
        <f>IF(Z408&lt;=0,0,RANK(Z408,Z:Z)+COUNTIF($Z$3:$Z408,Z408)-1)</f>
        <v>0</v>
      </c>
      <c r="AB408" s="1211">
        <f t="shared" ca="1" si="277"/>
        <v>-14896.14</v>
      </c>
      <c r="AC408" s="136">
        <f ca="1">IF(AB408&lt;=0,0,RANK(AB408,AB:AB)+COUNTIF($AB$3:$AB408,AB408)-1)</f>
        <v>0</v>
      </c>
      <c r="AD408" s="1123">
        <f t="shared" si="278"/>
        <v>99999</v>
      </c>
      <c r="AE408" s="1123">
        <f>IF(AD408=99999,0,RANK(AD408,AD:AD,1)+COUNTIF($AD$3:$AD408,AD408)-1)</f>
        <v>0</v>
      </c>
      <c r="AF408" s="86" t="e">
        <f ca="1">IF(OR(M408&lt;&gt;"",L408="無",K408="高資產",IFERROR(MATCH(B408,換券單檔!K:K,0),"N")&lt;&gt;"N"),FALSE,TRUE)</f>
        <v>#N/A</v>
      </c>
      <c r="AI408" s="1212" t="e">
        <f t="shared" ca="1" si="279"/>
        <v>#N/A</v>
      </c>
      <c r="AJ408" s="1213" t="e">
        <f t="shared" ca="1" si="280"/>
        <v>#N/A</v>
      </c>
      <c r="AK408" s="1587">
        <f t="shared" si="281"/>
        <v>0</v>
      </c>
      <c r="AN408" s="1212" t="e">
        <f t="shared" ca="1" si="282"/>
        <v>#N/A</v>
      </c>
      <c r="AO408" s="1213" t="e">
        <f t="shared" ca="1" si="283"/>
        <v>#N/A</v>
      </c>
      <c r="AP408" s="1587">
        <f t="shared" si="284"/>
        <v>0</v>
      </c>
      <c r="AS408" s="1212" t="e">
        <f t="shared" ca="1" si="285"/>
        <v>#N/A</v>
      </c>
      <c r="AT408" s="1213" t="e">
        <f t="shared" ca="1" si="286"/>
        <v>#N/A</v>
      </c>
      <c r="AU408" s="1587">
        <f t="shared" si="287"/>
        <v>0</v>
      </c>
      <c r="AX408" s="1212" t="e">
        <f t="shared" ca="1" si="288"/>
        <v>#N/A</v>
      </c>
      <c r="AY408" s="1213" t="e">
        <f t="shared" ca="1" si="289"/>
        <v>#N/A</v>
      </c>
      <c r="AZ408" s="1587">
        <f t="shared" si="290"/>
        <v>0</v>
      </c>
      <c r="BC408" s="1212" t="e">
        <f t="shared" ca="1" si="291"/>
        <v>#N/A</v>
      </c>
      <c r="BD408" s="1213" t="e">
        <f t="shared" ca="1" si="292"/>
        <v>#N/A</v>
      </c>
      <c r="BE408" s="1587">
        <f t="shared" si="293"/>
        <v>0</v>
      </c>
      <c r="BH408" s="1212" t="e">
        <f t="shared" ca="1" si="294"/>
        <v>#N/A</v>
      </c>
      <c r="BI408" s="1213" t="e">
        <f t="shared" ca="1" si="295"/>
        <v>#N/A</v>
      </c>
      <c r="BJ408" s="1587">
        <f t="shared" si="296"/>
        <v>0</v>
      </c>
      <c r="BM408" s="1212" t="e">
        <f t="shared" ca="1" si="297"/>
        <v>#N/A</v>
      </c>
      <c r="BN408" s="1213" t="e">
        <f t="shared" ca="1" si="298"/>
        <v>#N/A</v>
      </c>
      <c r="BO408" s="1587">
        <f t="shared" si="299"/>
        <v>0</v>
      </c>
      <c r="BR408" s="1212" t="e">
        <f t="shared" ca="1" si="300"/>
        <v>#N/A</v>
      </c>
      <c r="BS408" s="1213" t="e">
        <f t="shared" ca="1" si="301"/>
        <v>#N/A</v>
      </c>
      <c r="BT408" s="1587">
        <f t="shared" si="302"/>
        <v>0</v>
      </c>
      <c r="BW408" s="1212" t="e">
        <f t="shared" ca="1" si="303"/>
        <v>#N/A</v>
      </c>
      <c r="BX408" s="1213" t="e">
        <f t="shared" ca="1" si="304"/>
        <v>#N/A</v>
      </c>
      <c r="BY408" s="1587">
        <f t="shared" si="305"/>
        <v>0</v>
      </c>
      <c r="CB408" s="1212" t="e">
        <f t="shared" ca="1" si="306"/>
        <v>#N/A</v>
      </c>
      <c r="CC408" s="1213" t="e">
        <f t="shared" ca="1" si="307"/>
        <v>#N/A</v>
      </c>
      <c r="CD408" s="1587">
        <f t="shared" si="308"/>
        <v>0</v>
      </c>
      <c r="CG408" s="1212" t="e">
        <f t="shared" ca="1" si="309"/>
        <v>#N/A</v>
      </c>
      <c r="CH408" s="1213" t="e">
        <f t="shared" ca="1" si="310"/>
        <v>#N/A</v>
      </c>
      <c r="CI408" s="1587">
        <f t="shared" si="311"/>
        <v>0</v>
      </c>
      <c r="CL408" s="1212" t="e">
        <f t="shared" ca="1" si="312"/>
        <v>#N/A</v>
      </c>
      <c r="CM408" s="1213" t="e">
        <f t="shared" ca="1" si="313"/>
        <v>#N/A</v>
      </c>
      <c r="CN408" s="1587">
        <f t="shared" si="314"/>
        <v>0</v>
      </c>
    </row>
    <row r="409" spans="1:92">
      <c r="A409" s="141">
        <f>'銀行-TSS'!A409</f>
        <v>0</v>
      </c>
      <c r="B409" s="151">
        <f ca="1">VLOOKUP(A409,'銀行-TSS'!A:B,2,FALSE)</f>
        <v>0</v>
      </c>
      <c r="C409" s="151" t="e">
        <f ca="1">VLOOKUP(B409,bond!B:C,2,FALSE)</f>
        <v>#N/A</v>
      </c>
      <c r="D409" s="95" t="e">
        <f>VLOOKUP(A409,'銀行-TSS'!A:C,3,FALSE)</f>
        <v>#N/A</v>
      </c>
      <c r="E409" s="90" t="e">
        <f ca="1">VLOOKUP(A409,'銀行-TSS'!A:G,7,FALSE)</f>
        <v>#N/A</v>
      </c>
      <c r="F409" s="202" t="e">
        <f ca="1">VLOOKUP(A409,'銀行-TSS'!A:H,8,FALSE)</f>
        <v>#N/A</v>
      </c>
      <c r="G409" s="96" t="e">
        <f ca="1">VLOOKUP(A409,'銀行-TSS'!A:K,11,FALSE)</f>
        <v>#N/A</v>
      </c>
      <c r="H409" s="1209" t="e">
        <f ca="1">VLOOKUP(A409,'銀行-TSS'!A:M,13,FALSE)</f>
        <v>#N/A</v>
      </c>
      <c r="I409" s="1213" t="e">
        <f ca="1">VLOOKUP(A409,'銀行-TSS'!A:N,14,FALSE)</f>
        <v>#N/A</v>
      </c>
      <c r="J409" s="1213" t="e">
        <f ca="1">VLOOKUP(A409,'銀行-TSS'!A:O,15,FALSE)</f>
        <v>#N/A</v>
      </c>
      <c r="K409" s="136" t="e">
        <f ca="1">VLOOKUP(A409,'銀行-TSS'!A:V,22,FALSE)</f>
        <v>#N/A</v>
      </c>
      <c r="L409" s="136" t="e">
        <f ca="1">VLOOKUP(A409,'銀行-TSS'!A:AK,37,FALSE)</f>
        <v>#N/A</v>
      </c>
      <c r="M409" s="136" t="str">
        <f ca="1">VLOOKUP(A409,'銀行-TSS'!A:AN,40,FALSE)</f>
        <v/>
      </c>
      <c r="N409" s="136" t="e">
        <f t="shared" ca="1" si="270"/>
        <v>#N/A</v>
      </c>
      <c r="O409" s="1213" t="e">
        <f t="shared" ca="1" si="271"/>
        <v>#N/A</v>
      </c>
      <c r="P409" s="1213" t="e">
        <f ca="1">IF(AND($O$1&gt;=O409,換券單檔!$D$13=D409),I409+INT(($O$1-O409)/N409)*J409,0)</f>
        <v>#N/A</v>
      </c>
      <c r="Q409" s="1213" t="e">
        <f t="shared" ca="1" si="272"/>
        <v>#N/A</v>
      </c>
      <c r="R409" s="1213">
        <f t="shared" si="273"/>
        <v>0</v>
      </c>
      <c r="S409" s="1213">
        <f t="shared" si="274"/>
        <v>0</v>
      </c>
      <c r="T409" s="136">
        <f>IF(OR(R409=0,A409=0),0,IF(AND(V409=TRUE,換券單檔!$D$13=D409),E409,0))</f>
        <v>0</v>
      </c>
      <c r="U409" s="861">
        <f>IF(OR(R409=0,A409=0),0,IF(AND(V409=TRUE,換券單檔!$D$13=D409),H409,0))</f>
        <v>0</v>
      </c>
      <c r="V409" s="136" t="e">
        <f ca="1">IF(OR(B409=換券單檔!$D$3,L409="無",M409&lt;&gt;"",K409="高資產",IFERROR(MATCH(B409,換券單檔!K:K,0),"N")&lt;&gt;"N"),FALSE,IF($V$1="All",TRUE,IF(K409=$V$1,TRUE,FALSE)))</f>
        <v>#N/A</v>
      </c>
      <c r="W409" s="136" t="e">
        <f ca="1">VLOOKUP(A409,'銀行-TSS'!A:AO,41,FALSE)</f>
        <v>#N/A</v>
      </c>
      <c r="X409" s="136" t="e">
        <f ca="1">VLOOKUP(A409,'銀行-TSS'!A:AP,42,FALSE)</f>
        <v>#N/A</v>
      </c>
      <c r="Y409" s="1220">
        <f t="shared" si="275"/>
        <v>0</v>
      </c>
      <c r="Z409" s="1220">
        <f t="shared" si="276"/>
        <v>0</v>
      </c>
      <c r="AA409" s="136">
        <f>IF(Z409&lt;=0,0,RANK(Z409,Z:Z)+COUNTIF($Z$3:$Z409,Z409)-1)</f>
        <v>0</v>
      </c>
      <c r="AB409" s="1211">
        <f t="shared" ca="1" si="277"/>
        <v>-14896.14</v>
      </c>
      <c r="AC409" s="136">
        <f ca="1">IF(AB409&lt;=0,0,RANK(AB409,AB:AB)+COUNTIF($AB$3:$AB409,AB409)-1)</f>
        <v>0</v>
      </c>
      <c r="AD409" s="1123">
        <f t="shared" si="278"/>
        <v>99999</v>
      </c>
      <c r="AE409" s="1123">
        <f>IF(AD409=99999,0,RANK(AD409,AD:AD,1)+COUNTIF($AD$3:$AD409,AD409)-1)</f>
        <v>0</v>
      </c>
      <c r="AF409" s="86" t="e">
        <f ca="1">IF(OR(M409&lt;&gt;"",L409="無",K409="高資產",IFERROR(MATCH(B409,換券單檔!K:K,0),"N")&lt;&gt;"N"),FALSE,TRUE)</f>
        <v>#N/A</v>
      </c>
      <c r="AI409" s="1212" t="e">
        <f t="shared" ca="1" si="279"/>
        <v>#N/A</v>
      </c>
      <c r="AJ409" s="1213" t="e">
        <f t="shared" ca="1" si="280"/>
        <v>#N/A</v>
      </c>
      <c r="AK409" s="1587">
        <f t="shared" si="281"/>
        <v>0</v>
      </c>
      <c r="AN409" s="1212" t="e">
        <f t="shared" ca="1" si="282"/>
        <v>#N/A</v>
      </c>
      <c r="AO409" s="1213" t="e">
        <f t="shared" ca="1" si="283"/>
        <v>#N/A</v>
      </c>
      <c r="AP409" s="1587">
        <f t="shared" si="284"/>
        <v>0</v>
      </c>
      <c r="AS409" s="1212" t="e">
        <f t="shared" ca="1" si="285"/>
        <v>#N/A</v>
      </c>
      <c r="AT409" s="1213" t="e">
        <f t="shared" ca="1" si="286"/>
        <v>#N/A</v>
      </c>
      <c r="AU409" s="1587">
        <f t="shared" si="287"/>
        <v>0</v>
      </c>
      <c r="AX409" s="1212" t="e">
        <f t="shared" ca="1" si="288"/>
        <v>#N/A</v>
      </c>
      <c r="AY409" s="1213" t="e">
        <f t="shared" ca="1" si="289"/>
        <v>#N/A</v>
      </c>
      <c r="AZ409" s="1587">
        <f t="shared" si="290"/>
        <v>0</v>
      </c>
      <c r="BC409" s="1212" t="e">
        <f t="shared" ca="1" si="291"/>
        <v>#N/A</v>
      </c>
      <c r="BD409" s="1213" t="e">
        <f t="shared" ca="1" si="292"/>
        <v>#N/A</v>
      </c>
      <c r="BE409" s="1587">
        <f t="shared" si="293"/>
        <v>0</v>
      </c>
      <c r="BH409" s="1212" t="e">
        <f t="shared" ca="1" si="294"/>
        <v>#N/A</v>
      </c>
      <c r="BI409" s="1213" t="e">
        <f t="shared" ca="1" si="295"/>
        <v>#N/A</v>
      </c>
      <c r="BJ409" s="1587">
        <f t="shared" si="296"/>
        <v>0</v>
      </c>
      <c r="BM409" s="1212" t="e">
        <f t="shared" ca="1" si="297"/>
        <v>#N/A</v>
      </c>
      <c r="BN409" s="1213" t="e">
        <f t="shared" ca="1" si="298"/>
        <v>#N/A</v>
      </c>
      <c r="BO409" s="1587">
        <f t="shared" si="299"/>
        <v>0</v>
      </c>
      <c r="BR409" s="1212" t="e">
        <f t="shared" ca="1" si="300"/>
        <v>#N/A</v>
      </c>
      <c r="BS409" s="1213" t="e">
        <f t="shared" ca="1" si="301"/>
        <v>#N/A</v>
      </c>
      <c r="BT409" s="1587">
        <f t="shared" si="302"/>
        <v>0</v>
      </c>
      <c r="BW409" s="1212" t="e">
        <f t="shared" ca="1" si="303"/>
        <v>#N/A</v>
      </c>
      <c r="BX409" s="1213" t="e">
        <f t="shared" ca="1" si="304"/>
        <v>#N/A</v>
      </c>
      <c r="BY409" s="1587">
        <f t="shared" si="305"/>
        <v>0</v>
      </c>
      <c r="CB409" s="1212" t="e">
        <f t="shared" ca="1" si="306"/>
        <v>#N/A</v>
      </c>
      <c r="CC409" s="1213" t="e">
        <f t="shared" ca="1" si="307"/>
        <v>#N/A</v>
      </c>
      <c r="CD409" s="1587">
        <f t="shared" si="308"/>
        <v>0</v>
      </c>
      <c r="CG409" s="1212" t="e">
        <f t="shared" ca="1" si="309"/>
        <v>#N/A</v>
      </c>
      <c r="CH409" s="1213" t="e">
        <f t="shared" ca="1" si="310"/>
        <v>#N/A</v>
      </c>
      <c r="CI409" s="1587">
        <f t="shared" si="311"/>
        <v>0</v>
      </c>
      <c r="CL409" s="1212" t="e">
        <f t="shared" ca="1" si="312"/>
        <v>#N/A</v>
      </c>
      <c r="CM409" s="1213" t="e">
        <f t="shared" ca="1" si="313"/>
        <v>#N/A</v>
      </c>
      <c r="CN409" s="1587">
        <f t="shared" si="314"/>
        <v>0</v>
      </c>
    </row>
    <row r="410" spans="1:92">
      <c r="A410" s="141">
        <f>'銀行-TSS'!A410</f>
        <v>0</v>
      </c>
      <c r="B410" s="151">
        <f ca="1">VLOOKUP(A410,'銀行-TSS'!A:B,2,FALSE)</f>
        <v>0</v>
      </c>
      <c r="C410" s="151" t="e">
        <f ca="1">VLOOKUP(B410,bond!B:C,2,FALSE)</f>
        <v>#N/A</v>
      </c>
      <c r="D410" s="95" t="e">
        <f>VLOOKUP(A410,'銀行-TSS'!A:C,3,FALSE)</f>
        <v>#N/A</v>
      </c>
      <c r="E410" s="90" t="e">
        <f ca="1">VLOOKUP(A410,'銀行-TSS'!A:G,7,FALSE)</f>
        <v>#N/A</v>
      </c>
      <c r="F410" s="202" t="e">
        <f ca="1">VLOOKUP(A410,'銀行-TSS'!A:H,8,FALSE)</f>
        <v>#N/A</v>
      </c>
      <c r="G410" s="96" t="e">
        <f ca="1">VLOOKUP(A410,'銀行-TSS'!A:K,11,FALSE)</f>
        <v>#N/A</v>
      </c>
      <c r="H410" s="1209" t="e">
        <f ca="1">VLOOKUP(A410,'銀行-TSS'!A:M,13,FALSE)</f>
        <v>#N/A</v>
      </c>
      <c r="I410" s="1213" t="e">
        <f ca="1">VLOOKUP(A410,'銀行-TSS'!A:N,14,FALSE)</f>
        <v>#N/A</v>
      </c>
      <c r="J410" s="1213" t="e">
        <f ca="1">VLOOKUP(A410,'銀行-TSS'!A:O,15,FALSE)</f>
        <v>#N/A</v>
      </c>
      <c r="K410" s="136" t="e">
        <f ca="1">VLOOKUP(A410,'銀行-TSS'!A:V,22,FALSE)</f>
        <v>#N/A</v>
      </c>
      <c r="L410" s="136" t="e">
        <f ca="1">VLOOKUP(A410,'銀行-TSS'!A:AK,37,FALSE)</f>
        <v>#N/A</v>
      </c>
      <c r="M410" s="136" t="str">
        <f ca="1">VLOOKUP(A410,'銀行-TSS'!A:AN,40,FALSE)</f>
        <v/>
      </c>
      <c r="N410" s="136" t="e">
        <f t="shared" ca="1" si="270"/>
        <v>#N/A</v>
      </c>
      <c r="O410" s="1213" t="e">
        <f t="shared" ca="1" si="271"/>
        <v>#N/A</v>
      </c>
      <c r="P410" s="1213" t="e">
        <f ca="1">IF(AND($O$1&gt;=O410,換券單檔!$D$13=D410),I410+INT(($O$1-O410)/N410)*J410,0)</f>
        <v>#N/A</v>
      </c>
      <c r="Q410" s="1213" t="e">
        <f t="shared" ca="1" si="272"/>
        <v>#N/A</v>
      </c>
      <c r="R410" s="1213">
        <f t="shared" si="273"/>
        <v>0</v>
      </c>
      <c r="S410" s="1213">
        <f t="shared" si="274"/>
        <v>0</v>
      </c>
      <c r="T410" s="136">
        <f>IF(OR(R410=0,A410=0),0,IF(AND(V410=TRUE,換券單檔!$D$13=D410),E410,0))</f>
        <v>0</v>
      </c>
      <c r="U410" s="861">
        <f>IF(OR(R410=0,A410=0),0,IF(AND(V410=TRUE,換券單檔!$D$13=D410),H410,0))</f>
        <v>0</v>
      </c>
      <c r="V410" s="136" t="e">
        <f ca="1">IF(OR(B410=換券單檔!$D$3,L410="無",M410&lt;&gt;"",K410="高資產",IFERROR(MATCH(B410,換券單檔!K:K,0),"N")&lt;&gt;"N"),FALSE,IF($V$1="All",TRUE,IF(K410=$V$1,TRUE,FALSE)))</f>
        <v>#N/A</v>
      </c>
      <c r="W410" s="136" t="e">
        <f ca="1">VLOOKUP(A410,'銀行-TSS'!A:AO,41,FALSE)</f>
        <v>#N/A</v>
      </c>
      <c r="X410" s="136" t="e">
        <f ca="1">VLOOKUP(A410,'銀行-TSS'!A:AP,42,FALSE)</f>
        <v>#N/A</v>
      </c>
      <c r="Y410" s="1220">
        <f t="shared" si="275"/>
        <v>0</v>
      </c>
      <c r="Z410" s="1220">
        <f t="shared" si="276"/>
        <v>0</v>
      </c>
      <c r="AA410" s="136">
        <f>IF(Z410&lt;=0,0,RANK(Z410,Z:Z)+COUNTIF($Z$3:$Z410,Z410)-1)</f>
        <v>0</v>
      </c>
      <c r="AB410" s="1211">
        <f t="shared" ca="1" si="277"/>
        <v>-14896.14</v>
      </c>
      <c r="AC410" s="136">
        <f ca="1">IF(AB410&lt;=0,0,RANK(AB410,AB:AB)+COUNTIF($AB$3:$AB410,AB410)-1)</f>
        <v>0</v>
      </c>
      <c r="AD410" s="1123">
        <f t="shared" si="278"/>
        <v>99999</v>
      </c>
      <c r="AE410" s="1123">
        <f>IF(AD410=99999,0,RANK(AD410,AD:AD,1)+COUNTIF($AD$3:$AD410,AD410)-1)</f>
        <v>0</v>
      </c>
      <c r="AF410" s="86" t="e">
        <f ca="1">IF(OR(M410&lt;&gt;"",L410="無",K410="高資產",IFERROR(MATCH(B410,換券單檔!K:K,0),"N")&lt;&gt;"N"),FALSE,TRUE)</f>
        <v>#N/A</v>
      </c>
      <c r="AI410" s="1212" t="e">
        <f t="shared" ca="1" si="279"/>
        <v>#N/A</v>
      </c>
      <c r="AJ410" s="1213" t="e">
        <f t="shared" ca="1" si="280"/>
        <v>#N/A</v>
      </c>
      <c r="AK410" s="1587">
        <f t="shared" si="281"/>
        <v>0</v>
      </c>
      <c r="AN410" s="1212" t="e">
        <f t="shared" ca="1" si="282"/>
        <v>#N/A</v>
      </c>
      <c r="AO410" s="1213" t="e">
        <f t="shared" ca="1" si="283"/>
        <v>#N/A</v>
      </c>
      <c r="AP410" s="1587">
        <f t="shared" si="284"/>
        <v>0</v>
      </c>
      <c r="AS410" s="1212" t="e">
        <f t="shared" ca="1" si="285"/>
        <v>#N/A</v>
      </c>
      <c r="AT410" s="1213" t="e">
        <f t="shared" ca="1" si="286"/>
        <v>#N/A</v>
      </c>
      <c r="AU410" s="1587">
        <f t="shared" si="287"/>
        <v>0</v>
      </c>
      <c r="AX410" s="1212" t="e">
        <f t="shared" ca="1" si="288"/>
        <v>#N/A</v>
      </c>
      <c r="AY410" s="1213" t="e">
        <f t="shared" ca="1" si="289"/>
        <v>#N/A</v>
      </c>
      <c r="AZ410" s="1587">
        <f t="shared" si="290"/>
        <v>0</v>
      </c>
      <c r="BC410" s="1212" t="e">
        <f t="shared" ca="1" si="291"/>
        <v>#N/A</v>
      </c>
      <c r="BD410" s="1213" t="e">
        <f t="shared" ca="1" si="292"/>
        <v>#N/A</v>
      </c>
      <c r="BE410" s="1587">
        <f t="shared" si="293"/>
        <v>0</v>
      </c>
      <c r="BH410" s="1212" t="e">
        <f t="shared" ca="1" si="294"/>
        <v>#N/A</v>
      </c>
      <c r="BI410" s="1213" t="e">
        <f t="shared" ca="1" si="295"/>
        <v>#N/A</v>
      </c>
      <c r="BJ410" s="1587">
        <f t="shared" si="296"/>
        <v>0</v>
      </c>
      <c r="BM410" s="1212" t="e">
        <f t="shared" ca="1" si="297"/>
        <v>#N/A</v>
      </c>
      <c r="BN410" s="1213" t="e">
        <f t="shared" ca="1" si="298"/>
        <v>#N/A</v>
      </c>
      <c r="BO410" s="1587">
        <f t="shared" si="299"/>
        <v>0</v>
      </c>
      <c r="BR410" s="1212" t="e">
        <f t="shared" ca="1" si="300"/>
        <v>#N/A</v>
      </c>
      <c r="BS410" s="1213" t="e">
        <f t="shared" ca="1" si="301"/>
        <v>#N/A</v>
      </c>
      <c r="BT410" s="1587">
        <f t="shared" si="302"/>
        <v>0</v>
      </c>
      <c r="BW410" s="1212" t="e">
        <f t="shared" ca="1" si="303"/>
        <v>#N/A</v>
      </c>
      <c r="BX410" s="1213" t="e">
        <f t="shared" ca="1" si="304"/>
        <v>#N/A</v>
      </c>
      <c r="BY410" s="1587">
        <f t="shared" si="305"/>
        <v>0</v>
      </c>
      <c r="CB410" s="1212" t="e">
        <f t="shared" ca="1" si="306"/>
        <v>#N/A</v>
      </c>
      <c r="CC410" s="1213" t="e">
        <f t="shared" ca="1" si="307"/>
        <v>#N/A</v>
      </c>
      <c r="CD410" s="1587">
        <f t="shared" si="308"/>
        <v>0</v>
      </c>
      <c r="CG410" s="1212" t="e">
        <f t="shared" ca="1" si="309"/>
        <v>#N/A</v>
      </c>
      <c r="CH410" s="1213" t="e">
        <f t="shared" ca="1" si="310"/>
        <v>#N/A</v>
      </c>
      <c r="CI410" s="1587">
        <f t="shared" si="311"/>
        <v>0</v>
      </c>
      <c r="CL410" s="1212" t="e">
        <f t="shared" ca="1" si="312"/>
        <v>#N/A</v>
      </c>
      <c r="CM410" s="1213" t="e">
        <f t="shared" ca="1" si="313"/>
        <v>#N/A</v>
      </c>
      <c r="CN410" s="1587">
        <f t="shared" si="314"/>
        <v>0</v>
      </c>
    </row>
    <row r="411" spans="1:92">
      <c r="A411" s="141">
        <f>'銀行-TSS'!A411</f>
        <v>0</v>
      </c>
      <c r="B411" s="151">
        <f ca="1">VLOOKUP(A411,'銀行-TSS'!A:B,2,FALSE)</f>
        <v>0</v>
      </c>
      <c r="C411" s="151" t="e">
        <f ca="1">VLOOKUP(B411,bond!B:C,2,FALSE)</f>
        <v>#N/A</v>
      </c>
      <c r="D411" s="95" t="e">
        <f>VLOOKUP(A411,'銀行-TSS'!A:C,3,FALSE)</f>
        <v>#N/A</v>
      </c>
      <c r="E411" s="90" t="e">
        <f ca="1">VLOOKUP(A411,'銀行-TSS'!A:G,7,FALSE)</f>
        <v>#N/A</v>
      </c>
      <c r="F411" s="202" t="e">
        <f ca="1">VLOOKUP(A411,'銀行-TSS'!A:H,8,FALSE)</f>
        <v>#N/A</v>
      </c>
      <c r="G411" s="96" t="e">
        <f ca="1">VLOOKUP(A411,'銀行-TSS'!A:K,11,FALSE)</f>
        <v>#N/A</v>
      </c>
      <c r="H411" s="1209" t="e">
        <f ca="1">VLOOKUP(A411,'銀行-TSS'!A:M,13,FALSE)</f>
        <v>#N/A</v>
      </c>
      <c r="I411" s="1213" t="e">
        <f ca="1">VLOOKUP(A411,'銀行-TSS'!A:N,14,FALSE)</f>
        <v>#N/A</v>
      </c>
      <c r="J411" s="1213" t="e">
        <f ca="1">VLOOKUP(A411,'銀行-TSS'!A:O,15,FALSE)</f>
        <v>#N/A</v>
      </c>
      <c r="K411" s="136" t="e">
        <f ca="1">VLOOKUP(A411,'銀行-TSS'!A:V,22,FALSE)</f>
        <v>#N/A</v>
      </c>
      <c r="L411" s="136" t="e">
        <f ca="1">VLOOKUP(A411,'銀行-TSS'!A:AK,37,FALSE)</f>
        <v>#N/A</v>
      </c>
      <c r="M411" s="136" t="str">
        <f ca="1">VLOOKUP(A411,'銀行-TSS'!A:AN,40,FALSE)</f>
        <v/>
      </c>
      <c r="N411" s="136" t="e">
        <f t="shared" ca="1" si="270"/>
        <v>#N/A</v>
      </c>
      <c r="O411" s="1213" t="e">
        <f t="shared" ca="1" si="271"/>
        <v>#N/A</v>
      </c>
      <c r="P411" s="1213" t="e">
        <f ca="1">IF(AND($O$1&gt;=O411,換券單檔!$D$13=D411),I411+INT(($O$1-O411)/N411)*J411,0)</f>
        <v>#N/A</v>
      </c>
      <c r="Q411" s="1213" t="e">
        <f t="shared" ca="1" si="272"/>
        <v>#N/A</v>
      </c>
      <c r="R411" s="1213">
        <f t="shared" si="273"/>
        <v>0</v>
      </c>
      <c r="S411" s="1213">
        <f t="shared" si="274"/>
        <v>0</v>
      </c>
      <c r="T411" s="136">
        <f>IF(OR(R411=0,A411=0),0,IF(AND(V411=TRUE,換券單檔!$D$13=D411),E411,0))</f>
        <v>0</v>
      </c>
      <c r="U411" s="861">
        <f>IF(OR(R411=0,A411=0),0,IF(AND(V411=TRUE,換券單檔!$D$13=D411),H411,0))</f>
        <v>0</v>
      </c>
      <c r="V411" s="136" t="e">
        <f ca="1">IF(OR(B411=換券單檔!$D$3,L411="無",M411&lt;&gt;"",K411="高資產",IFERROR(MATCH(B411,換券單檔!K:K,0),"N")&lt;&gt;"N"),FALSE,IF($V$1="All",TRUE,IF(K411=$V$1,TRUE,FALSE)))</f>
        <v>#N/A</v>
      </c>
      <c r="W411" s="136" t="e">
        <f ca="1">VLOOKUP(A411,'銀行-TSS'!A:AO,41,FALSE)</f>
        <v>#N/A</v>
      </c>
      <c r="X411" s="136" t="e">
        <f ca="1">VLOOKUP(A411,'銀行-TSS'!A:AP,42,FALSE)</f>
        <v>#N/A</v>
      </c>
      <c r="Y411" s="1220">
        <f t="shared" si="275"/>
        <v>0</v>
      </c>
      <c r="Z411" s="1220">
        <f t="shared" si="276"/>
        <v>0</v>
      </c>
      <c r="AA411" s="136">
        <f>IF(Z411&lt;=0,0,RANK(Z411,Z:Z)+COUNTIF($Z$3:$Z411,Z411)-1)</f>
        <v>0</v>
      </c>
      <c r="AB411" s="1211">
        <f t="shared" ca="1" si="277"/>
        <v>-14896.14</v>
      </c>
      <c r="AC411" s="136">
        <f ca="1">IF(AB411&lt;=0,0,RANK(AB411,AB:AB)+COUNTIF($AB$3:$AB411,AB411)-1)</f>
        <v>0</v>
      </c>
      <c r="AD411" s="1123">
        <f t="shared" si="278"/>
        <v>99999</v>
      </c>
      <c r="AE411" s="1123">
        <f>IF(AD411=99999,0,RANK(AD411,AD:AD,1)+COUNTIF($AD$3:$AD411,AD411)-1)</f>
        <v>0</v>
      </c>
      <c r="AF411" s="86" t="e">
        <f ca="1">IF(OR(M411&lt;&gt;"",L411="無",K411="高資產",IFERROR(MATCH(B411,換券單檔!K:K,0),"N")&lt;&gt;"N"),FALSE,TRUE)</f>
        <v>#N/A</v>
      </c>
      <c r="AI411" s="1212" t="e">
        <f t="shared" ca="1" si="279"/>
        <v>#N/A</v>
      </c>
      <c r="AJ411" s="1213" t="e">
        <f t="shared" ca="1" si="280"/>
        <v>#N/A</v>
      </c>
      <c r="AK411" s="1587">
        <f t="shared" si="281"/>
        <v>0</v>
      </c>
      <c r="AN411" s="1212" t="e">
        <f t="shared" ca="1" si="282"/>
        <v>#N/A</v>
      </c>
      <c r="AO411" s="1213" t="e">
        <f t="shared" ca="1" si="283"/>
        <v>#N/A</v>
      </c>
      <c r="AP411" s="1587">
        <f t="shared" si="284"/>
        <v>0</v>
      </c>
      <c r="AS411" s="1212" t="e">
        <f t="shared" ca="1" si="285"/>
        <v>#N/A</v>
      </c>
      <c r="AT411" s="1213" t="e">
        <f t="shared" ca="1" si="286"/>
        <v>#N/A</v>
      </c>
      <c r="AU411" s="1587">
        <f t="shared" si="287"/>
        <v>0</v>
      </c>
      <c r="AX411" s="1212" t="e">
        <f t="shared" ca="1" si="288"/>
        <v>#N/A</v>
      </c>
      <c r="AY411" s="1213" t="e">
        <f t="shared" ca="1" si="289"/>
        <v>#N/A</v>
      </c>
      <c r="AZ411" s="1587">
        <f t="shared" si="290"/>
        <v>0</v>
      </c>
      <c r="BC411" s="1212" t="e">
        <f t="shared" ca="1" si="291"/>
        <v>#N/A</v>
      </c>
      <c r="BD411" s="1213" t="e">
        <f t="shared" ca="1" si="292"/>
        <v>#N/A</v>
      </c>
      <c r="BE411" s="1587">
        <f t="shared" si="293"/>
        <v>0</v>
      </c>
      <c r="BH411" s="1212" t="e">
        <f t="shared" ca="1" si="294"/>
        <v>#N/A</v>
      </c>
      <c r="BI411" s="1213" t="e">
        <f t="shared" ca="1" si="295"/>
        <v>#N/A</v>
      </c>
      <c r="BJ411" s="1587">
        <f t="shared" si="296"/>
        <v>0</v>
      </c>
      <c r="BM411" s="1212" t="e">
        <f t="shared" ca="1" si="297"/>
        <v>#N/A</v>
      </c>
      <c r="BN411" s="1213" t="e">
        <f t="shared" ca="1" si="298"/>
        <v>#N/A</v>
      </c>
      <c r="BO411" s="1587">
        <f t="shared" si="299"/>
        <v>0</v>
      </c>
      <c r="BR411" s="1212" t="e">
        <f t="shared" ca="1" si="300"/>
        <v>#N/A</v>
      </c>
      <c r="BS411" s="1213" t="e">
        <f t="shared" ca="1" si="301"/>
        <v>#N/A</v>
      </c>
      <c r="BT411" s="1587">
        <f t="shared" si="302"/>
        <v>0</v>
      </c>
      <c r="BW411" s="1212" t="e">
        <f t="shared" ca="1" si="303"/>
        <v>#N/A</v>
      </c>
      <c r="BX411" s="1213" t="e">
        <f t="shared" ca="1" si="304"/>
        <v>#N/A</v>
      </c>
      <c r="BY411" s="1587">
        <f t="shared" si="305"/>
        <v>0</v>
      </c>
      <c r="CB411" s="1212" t="e">
        <f t="shared" ca="1" si="306"/>
        <v>#N/A</v>
      </c>
      <c r="CC411" s="1213" t="e">
        <f t="shared" ca="1" si="307"/>
        <v>#N/A</v>
      </c>
      <c r="CD411" s="1587">
        <f t="shared" si="308"/>
        <v>0</v>
      </c>
      <c r="CG411" s="1212" t="e">
        <f t="shared" ca="1" si="309"/>
        <v>#N/A</v>
      </c>
      <c r="CH411" s="1213" t="e">
        <f t="shared" ca="1" si="310"/>
        <v>#N/A</v>
      </c>
      <c r="CI411" s="1587">
        <f t="shared" si="311"/>
        <v>0</v>
      </c>
      <c r="CL411" s="1212" t="e">
        <f t="shared" ca="1" si="312"/>
        <v>#N/A</v>
      </c>
      <c r="CM411" s="1213" t="e">
        <f t="shared" ca="1" si="313"/>
        <v>#N/A</v>
      </c>
      <c r="CN411" s="1587">
        <f t="shared" si="314"/>
        <v>0</v>
      </c>
    </row>
    <row r="412" spans="1:92">
      <c r="A412" s="141">
        <f>'銀行-TSS'!A412</f>
        <v>0</v>
      </c>
      <c r="B412" s="151">
        <f ca="1">VLOOKUP(A412,'銀行-TSS'!A:B,2,FALSE)</f>
        <v>0</v>
      </c>
      <c r="C412" s="151" t="e">
        <f ca="1">VLOOKUP(B412,bond!B:C,2,FALSE)</f>
        <v>#N/A</v>
      </c>
      <c r="D412" s="95" t="e">
        <f>VLOOKUP(A412,'銀行-TSS'!A:C,3,FALSE)</f>
        <v>#N/A</v>
      </c>
      <c r="E412" s="90" t="e">
        <f ca="1">VLOOKUP(A412,'銀行-TSS'!A:G,7,FALSE)</f>
        <v>#N/A</v>
      </c>
      <c r="F412" s="202" t="e">
        <f ca="1">VLOOKUP(A412,'銀行-TSS'!A:H,8,FALSE)</f>
        <v>#N/A</v>
      </c>
      <c r="G412" s="96" t="e">
        <f ca="1">VLOOKUP(A412,'銀行-TSS'!A:K,11,FALSE)</f>
        <v>#N/A</v>
      </c>
      <c r="H412" s="1209" t="e">
        <f ca="1">VLOOKUP(A412,'銀行-TSS'!A:M,13,FALSE)</f>
        <v>#N/A</v>
      </c>
      <c r="I412" s="1213" t="e">
        <f ca="1">VLOOKUP(A412,'銀行-TSS'!A:N,14,FALSE)</f>
        <v>#N/A</v>
      </c>
      <c r="J412" s="1213" t="e">
        <f ca="1">VLOOKUP(A412,'銀行-TSS'!A:O,15,FALSE)</f>
        <v>#N/A</v>
      </c>
      <c r="K412" s="136" t="e">
        <f ca="1">VLOOKUP(A412,'銀行-TSS'!A:V,22,FALSE)</f>
        <v>#N/A</v>
      </c>
      <c r="L412" s="136" t="e">
        <f ca="1">VLOOKUP(A412,'銀行-TSS'!A:AK,37,FALSE)</f>
        <v>#N/A</v>
      </c>
      <c r="M412" s="136" t="str">
        <f ca="1">VLOOKUP(A412,'銀行-TSS'!A:AN,40,FALSE)</f>
        <v/>
      </c>
      <c r="N412" s="136" t="e">
        <f t="shared" ca="1" si="270"/>
        <v>#N/A</v>
      </c>
      <c r="O412" s="1213" t="e">
        <f t="shared" ca="1" si="271"/>
        <v>#N/A</v>
      </c>
      <c r="P412" s="1213" t="e">
        <f ca="1">IF(AND($O$1&gt;=O412,換券單檔!$D$13=D412),I412+INT(($O$1-O412)/N412)*J412,0)</f>
        <v>#N/A</v>
      </c>
      <c r="Q412" s="1213" t="e">
        <f t="shared" ca="1" si="272"/>
        <v>#N/A</v>
      </c>
      <c r="R412" s="1213">
        <f t="shared" si="273"/>
        <v>0</v>
      </c>
      <c r="S412" s="1213">
        <f t="shared" si="274"/>
        <v>0</v>
      </c>
      <c r="T412" s="136">
        <f>IF(OR(R412=0,A412=0),0,IF(AND(V412=TRUE,換券單檔!$D$13=D412),E412,0))</f>
        <v>0</v>
      </c>
      <c r="U412" s="861">
        <f>IF(OR(R412=0,A412=0),0,IF(AND(V412=TRUE,換券單檔!$D$13=D412),H412,0))</f>
        <v>0</v>
      </c>
      <c r="V412" s="136" t="e">
        <f ca="1">IF(OR(B412=換券單檔!$D$3,L412="無",M412&lt;&gt;"",K412="高資產",IFERROR(MATCH(B412,換券單檔!K:K,0),"N")&lt;&gt;"N"),FALSE,IF($V$1="All",TRUE,IF(K412=$V$1,TRUE,FALSE)))</f>
        <v>#N/A</v>
      </c>
      <c r="W412" s="136" t="e">
        <f ca="1">VLOOKUP(A412,'銀行-TSS'!A:AO,41,FALSE)</f>
        <v>#N/A</v>
      </c>
      <c r="X412" s="136" t="e">
        <f ca="1">VLOOKUP(A412,'銀行-TSS'!A:AP,42,FALSE)</f>
        <v>#N/A</v>
      </c>
      <c r="Y412" s="1220">
        <f t="shared" si="275"/>
        <v>0</v>
      </c>
      <c r="Z412" s="1220">
        <f t="shared" si="276"/>
        <v>0</v>
      </c>
      <c r="AA412" s="136">
        <f>IF(Z412&lt;=0,0,RANK(Z412,Z:Z)+COUNTIF($Z$3:$Z412,Z412)-1)</f>
        <v>0</v>
      </c>
      <c r="AB412" s="1211">
        <f t="shared" ca="1" si="277"/>
        <v>-14896.14</v>
      </c>
      <c r="AC412" s="136">
        <f ca="1">IF(AB412&lt;=0,0,RANK(AB412,AB:AB)+COUNTIF($AB$3:$AB412,AB412)-1)</f>
        <v>0</v>
      </c>
      <c r="AD412" s="1123">
        <f t="shared" si="278"/>
        <v>99999</v>
      </c>
      <c r="AE412" s="1123">
        <f>IF(AD412=99999,0,RANK(AD412,AD:AD,1)+COUNTIF($AD$3:$AD412,AD412)-1)</f>
        <v>0</v>
      </c>
      <c r="AF412" s="86" t="e">
        <f ca="1">IF(OR(M412&lt;&gt;"",L412="無",K412="高資產",IFERROR(MATCH(B412,換券單檔!K:K,0),"N")&lt;&gt;"N"),FALSE,TRUE)</f>
        <v>#N/A</v>
      </c>
      <c r="AI412" s="1212" t="e">
        <f t="shared" ca="1" si="279"/>
        <v>#N/A</v>
      </c>
      <c r="AJ412" s="1213" t="e">
        <f t="shared" ca="1" si="280"/>
        <v>#N/A</v>
      </c>
      <c r="AK412" s="1587">
        <f t="shared" si="281"/>
        <v>0</v>
      </c>
      <c r="AN412" s="1212" t="e">
        <f t="shared" ca="1" si="282"/>
        <v>#N/A</v>
      </c>
      <c r="AO412" s="1213" t="e">
        <f t="shared" ca="1" si="283"/>
        <v>#N/A</v>
      </c>
      <c r="AP412" s="1587">
        <f t="shared" si="284"/>
        <v>0</v>
      </c>
      <c r="AS412" s="1212" t="e">
        <f t="shared" ca="1" si="285"/>
        <v>#N/A</v>
      </c>
      <c r="AT412" s="1213" t="e">
        <f t="shared" ca="1" si="286"/>
        <v>#N/A</v>
      </c>
      <c r="AU412" s="1587">
        <f t="shared" si="287"/>
        <v>0</v>
      </c>
      <c r="AX412" s="1212" t="e">
        <f t="shared" ca="1" si="288"/>
        <v>#N/A</v>
      </c>
      <c r="AY412" s="1213" t="e">
        <f t="shared" ca="1" si="289"/>
        <v>#N/A</v>
      </c>
      <c r="AZ412" s="1587">
        <f t="shared" si="290"/>
        <v>0</v>
      </c>
      <c r="BC412" s="1212" t="e">
        <f t="shared" ca="1" si="291"/>
        <v>#N/A</v>
      </c>
      <c r="BD412" s="1213" t="e">
        <f t="shared" ca="1" si="292"/>
        <v>#N/A</v>
      </c>
      <c r="BE412" s="1587">
        <f t="shared" si="293"/>
        <v>0</v>
      </c>
      <c r="BH412" s="1212" t="e">
        <f t="shared" ca="1" si="294"/>
        <v>#N/A</v>
      </c>
      <c r="BI412" s="1213" t="e">
        <f t="shared" ca="1" si="295"/>
        <v>#N/A</v>
      </c>
      <c r="BJ412" s="1587">
        <f t="shared" si="296"/>
        <v>0</v>
      </c>
      <c r="BM412" s="1212" t="e">
        <f t="shared" ca="1" si="297"/>
        <v>#N/A</v>
      </c>
      <c r="BN412" s="1213" t="e">
        <f t="shared" ca="1" si="298"/>
        <v>#N/A</v>
      </c>
      <c r="BO412" s="1587">
        <f t="shared" si="299"/>
        <v>0</v>
      </c>
      <c r="BR412" s="1212" t="e">
        <f t="shared" ca="1" si="300"/>
        <v>#N/A</v>
      </c>
      <c r="BS412" s="1213" t="e">
        <f t="shared" ca="1" si="301"/>
        <v>#N/A</v>
      </c>
      <c r="BT412" s="1587">
        <f t="shared" si="302"/>
        <v>0</v>
      </c>
      <c r="BW412" s="1212" t="e">
        <f t="shared" ca="1" si="303"/>
        <v>#N/A</v>
      </c>
      <c r="BX412" s="1213" t="e">
        <f t="shared" ca="1" si="304"/>
        <v>#N/A</v>
      </c>
      <c r="BY412" s="1587">
        <f t="shared" si="305"/>
        <v>0</v>
      </c>
      <c r="CB412" s="1212" t="e">
        <f t="shared" ca="1" si="306"/>
        <v>#N/A</v>
      </c>
      <c r="CC412" s="1213" t="e">
        <f t="shared" ca="1" si="307"/>
        <v>#N/A</v>
      </c>
      <c r="CD412" s="1587">
        <f t="shared" si="308"/>
        <v>0</v>
      </c>
      <c r="CG412" s="1212" t="e">
        <f t="shared" ca="1" si="309"/>
        <v>#N/A</v>
      </c>
      <c r="CH412" s="1213" t="e">
        <f t="shared" ca="1" si="310"/>
        <v>#N/A</v>
      </c>
      <c r="CI412" s="1587">
        <f t="shared" si="311"/>
        <v>0</v>
      </c>
      <c r="CL412" s="1212" t="e">
        <f t="shared" ca="1" si="312"/>
        <v>#N/A</v>
      </c>
      <c r="CM412" s="1213" t="e">
        <f t="shared" ca="1" si="313"/>
        <v>#N/A</v>
      </c>
      <c r="CN412" s="1587">
        <f t="shared" si="314"/>
        <v>0</v>
      </c>
    </row>
    <row r="413" spans="1:92">
      <c r="A413" s="141">
        <f>'銀行-TSS'!A413</f>
        <v>0</v>
      </c>
      <c r="B413" s="151">
        <f ca="1">VLOOKUP(A413,'銀行-TSS'!A:B,2,FALSE)</f>
        <v>0</v>
      </c>
      <c r="C413" s="151" t="e">
        <f ca="1">VLOOKUP(B413,bond!B:C,2,FALSE)</f>
        <v>#N/A</v>
      </c>
      <c r="D413" s="95" t="e">
        <f>VLOOKUP(A413,'銀行-TSS'!A:C,3,FALSE)</f>
        <v>#N/A</v>
      </c>
      <c r="E413" s="90" t="e">
        <f ca="1">VLOOKUP(A413,'銀行-TSS'!A:G,7,FALSE)</f>
        <v>#N/A</v>
      </c>
      <c r="F413" s="202" t="e">
        <f ca="1">VLOOKUP(A413,'銀行-TSS'!A:H,8,FALSE)</f>
        <v>#N/A</v>
      </c>
      <c r="G413" s="96" t="e">
        <f ca="1">VLOOKUP(A413,'銀行-TSS'!A:K,11,FALSE)</f>
        <v>#N/A</v>
      </c>
      <c r="H413" s="1209" t="e">
        <f ca="1">VLOOKUP(A413,'銀行-TSS'!A:M,13,FALSE)</f>
        <v>#N/A</v>
      </c>
      <c r="I413" s="1213" t="e">
        <f ca="1">VLOOKUP(A413,'銀行-TSS'!A:N,14,FALSE)</f>
        <v>#N/A</v>
      </c>
      <c r="J413" s="1213" t="e">
        <f ca="1">VLOOKUP(A413,'銀行-TSS'!A:O,15,FALSE)</f>
        <v>#N/A</v>
      </c>
      <c r="K413" s="136" t="e">
        <f ca="1">VLOOKUP(A413,'銀行-TSS'!A:V,22,FALSE)</f>
        <v>#N/A</v>
      </c>
      <c r="L413" s="136" t="e">
        <f ca="1">VLOOKUP(A413,'銀行-TSS'!A:AK,37,FALSE)</f>
        <v>#N/A</v>
      </c>
      <c r="M413" s="136" t="str">
        <f ca="1">VLOOKUP(A413,'銀行-TSS'!A:AN,40,FALSE)</f>
        <v/>
      </c>
      <c r="N413" s="136" t="e">
        <f t="shared" ca="1" si="270"/>
        <v>#N/A</v>
      </c>
      <c r="O413" s="1213" t="e">
        <f t="shared" ca="1" si="271"/>
        <v>#N/A</v>
      </c>
      <c r="P413" s="1213" t="e">
        <f ca="1">IF(AND($O$1&gt;=O413,換券單檔!$D$13=D413),I413+INT(($O$1-O413)/N413)*J413,0)</f>
        <v>#N/A</v>
      </c>
      <c r="Q413" s="1213" t="e">
        <f t="shared" ca="1" si="272"/>
        <v>#N/A</v>
      </c>
      <c r="R413" s="1213">
        <f t="shared" si="273"/>
        <v>0</v>
      </c>
      <c r="S413" s="1213">
        <f t="shared" si="274"/>
        <v>0</v>
      </c>
      <c r="T413" s="136">
        <f>IF(OR(R413=0,A413=0),0,IF(AND(V413=TRUE,換券單檔!$D$13=D413),E413,0))</f>
        <v>0</v>
      </c>
      <c r="U413" s="861">
        <f>IF(OR(R413=0,A413=0),0,IF(AND(V413=TRUE,換券單檔!$D$13=D413),H413,0))</f>
        <v>0</v>
      </c>
      <c r="V413" s="136" t="e">
        <f ca="1">IF(OR(B413=換券單檔!$D$3,L413="無",M413&lt;&gt;"",K413="高資產",IFERROR(MATCH(B413,換券單檔!K:K,0),"N")&lt;&gt;"N"),FALSE,IF($V$1="All",TRUE,IF(K413=$V$1,TRUE,FALSE)))</f>
        <v>#N/A</v>
      </c>
      <c r="W413" s="136" t="e">
        <f ca="1">VLOOKUP(A413,'銀行-TSS'!A:AO,41,FALSE)</f>
        <v>#N/A</v>
      </c>
      <c r="X413" s="136" t="e">
        <f ca="1">VLOOKUP(A413,'銀行-TSS'!A:AP,42,FALSE)</f>
        <v>#N/A</v>
      </c>
      <c r="Y413" s="1220">
        <f t="shared" si="275"/>
        <v>0</v>
      </c>
      <c r="Z413" s="1220">
        <f t="shared" si="276"/>
        <v>0</v>
      </c>
      <c r="AA413" s="136">
        <f>IF(Z413&lt;=0,0,RANK(Z413,Z:Z)+COUNTIF($Z$3:$Z413,Z413)-1)</f>
        <v>0</v>
      </c>
      <c r="AB413" s="1211">
        <f t="shared" ca="1" si="277"/>
        <v>-14896.14</v>
      </c>
      <c r="AC413" s="136">
        <f ca="1">IF(AB413&lt;=0,0,RANK(AB413,AB:AB)+COUNTIF($AB$3:$AB413,AB413)-1)</f>
        <v>0</v>
      </c>
      <c r="AD413" s="1123">
        <f t="shared" si="278"/>
        <v>99999</v>
      </c>
      <c r="AE413" s="1123">
        <f>IF(AD413=99999,0,RANK(AD413,AD:AD,1)+COUNTIF($AD$3:$AD413,AD413)-1)</f>
        <v>0</v>
      </c>
      <c r="AF413" s="86" t="e">
        <f ca="1">IF(OR(M413&lt;&gt;"",L413="無",K413="高資產",IFERROR(MATCH(B413,換券單檔!K:K,0),"N")&lt;&gt;"N"),FALSE,TRUE)</f>
        <v>#N/A</v>
      </c>
      <c r="AI413" s="1212" t="e">
        <f t="shared" ca="1" si="279"/>
        <v>#N/A</v>
      </c>
      <c r="AJ413" s="1213" t="e">
        <f t="shared" ca="1" si="280"/>
        <v>#N/A</v>
      </c>
      <c r="AK413" s="1587">
        <f t="shared" si="281"/>
        <v>0</v>
      </c>
      <c r="AN413" s="1212" t="e">
        <f t="shared" ca="1" si="282"/>
        <v>#N/A</v>
      </c>
      <c r="AO413" s="1213" t="e">
        <f t="shared" ca="1" si="283"/>
        <v>#N/A</v>
      </c>
      <c r="AP413" s="1587">
        <f t="shared" si="284"/>
        <v>0</v>
      </c>
      <c r="AS413" s="1212" t="e">
        <f t="shared" ca="1" si="285"/>
        <v>#N/A</v>
      </c>
      <c r="AT413" s="1213" t="e">
        <f t="shared" ca="1" si="286"/>
        <v>#N/A</v>
      </c>
      <c r="AU413" s="1587">
        <f t="shared" si="287"/>
        <v>0</v>
      </c>
      <c r="AX413" s="1212" t="e">
        <f t="shared" ca="1" si="288"/>
        <v>#N/A</v>
      </c>
      <c r="AY413" s="1213" t="e">
        <f t="shared" ca="1" si="289"/>
        <v>#N/A</v>
      </c>
      <c r="AZ413" s="1587">
        <f t="shared" si="290"/>
        <v>0</v>
      </c>
      <c r="BC413" s="1212" t="e">
        <f t="shared" ca="1" si="291"/>
        <v>#N/A</v>
      </c>
      <c r="BD413" s="1213" t="e">
        <f t="shared" ca="1" si="292"/>
        <v>#N/A</v>
      </c>
      <c r="BE413" s="1587">
        <f t="shared" si="293"/>
        <v>0</v>
      </c>
      <c r="BH413" s="1212" t="e">
        <f t="shared" ca="1" si="294"/>
        <v>#N/A</v>
      </c>
      <c r="BI413" s="1213" t="e">
        <f t="shared" ca="1" si="295"/>
        <v>#N/A</v>
      </c>
      <c r="BJ413" s="1587">
        <f t="shared" si="296"/>
        <v>0</v>
      </c>
      <c r="BM413" s="1212" t="e">
        <f t="shared" ca="1" si="297"/>
        <v>#N/A</v>
      </c>
      <c r="BN413" s="1213" t="e">
        <f t="shared" ca="1" si="298"/>
        <v>#N/A</v>
      </c>
      <c r="BO413" s="1587">
        <f t="shared" si="299"/>
        <v>0</v>
      </c>
      <c r="BR413" s="1212" t="e">
        <f t="shared" ca="1" si="300"/>
        <v>#N/A</v>
      </c>
      <c r="BS413" s="1213" t="e">
        <f t="shared" ca="1" si="301"/>
        <v>#N/A</v>
      </c>
      <c r="BT413" s="1587">
        <f t="shared" si="302"/>
        <v>0</v>
      </c>
      <c r="BW413" s="1212" t="e">
        <f t="shared" ca="1" si="303"/>
        <v>#N/A</v>
      </c>
      <c r="BX413" s="1213" t="e">
        <f t="shared" ca="1" si="304"/>
        <v>#N/A</v>
      </c>
      <c r="BY413" s="1587">
        <f t="shared" si="305"/>
        <v>0</v>
      </c>
      <c r="CB413" s="1212" t="e">
        <f t="shared" ca="1" si="306"/>
        <v>#N/A</v>
      </c>
      <c r="CC413" s="1213" t="e">
        <f t="shared" ca="1" si="307"/>
        <v>#N/A</v>
      </c>
      <c r="CD413" s="1587">
        <f t="shared" si="308"/>
        <v>0</v>
      </c>
      <c r="CG413" s="1212" t="e">
        <f t="shared" ca="1" si="309"/>
        <v>#N/A</v>
      </c>
      <c r="CH413" s="1213" t="e">
        <f t="shared" ca="1" si="310"/>
        <v>#N/A</v>
      </c>
      <c r="CI413" s="1587">
        <f t="shared" si="311"/>
        <v>0</v>
      </c>
      <c r="CL413" s="1212" t="e">
        <f t="shared" ca="1" si="312"/>
        <v>#N/A</v>
      </c>
      <c r="CM413" s="1213" t="e">
        <f t="shared" ca="1" si="313"/>
        <v>#N/A</v>
      </c>
      <c r="CN413" s="1587">
        <f t="shared" si="314"/>
        <v>0</v>
      </c>
    </row>
    <row r="414" spans="1:92">
      <c r="A414" s="141">
        <f>'銀行-TSS'!A414</f>
        <v>0</v>
      </c>
      <c r="B414" s="151">
        <f ca="1">VLOOKUP(A414,'銀行-TSS'!A:B,2,FALSE)</f>
        <v>0</v>
      </c>
      <c r="C414" s="151" t="e">
        <f ca="1">VLOOKUP(B414,bond!B:C,2,FALSE)</f>
        <v>#N/A</v>
      </c>
      <c r="D414" s="95" t="e">
        <f>VLOOKUP(A414,'銀行-TSS'!A:C,3,FALSE)</f>
        <v>#N/A</v>
      </c>
      <c r="E414" s="90" t="e">
        <f ca="1">VLOOKUP(A414,'銀行-TSS'!A:G,7,FALSE)</f>
        <v>#N/A</v>
      </c>
      <c r="F414" s="202" t="e">
        <f ca="1">VLOOKUP(A414,'銀行-TSS'!A:H,8,FALSE)</f>
        <v>#N/A</v>
      </c>
      <c r="G414" s="96" t="e">
        <f ca="1">VLOOKUP(A414,'銀行-TSS'!A:K,11,FALSE)</f>
        <v>#N/A</v>
      </c>
      <c r="H414" s="1209" t="e">
        <f ca="1">VLOOKUP(A414,'銀行-TSS'!A:M,13,FALSE)</f>
        <v>#N/A</v>
      </c>
      <c r="I414" s="1213" t="e">
        <f ca="1">VLOOKUP(A414,'銀行-TSS'!A:N,14,FALSE)</f>
        <v>#N/A</v>
      </c>
      <c r="J414" s="1213" t="e">
        <f ca="1">VLOOKUP(A414,'銀行-TSS'!A:O,15,FALSE)</f>
        <v>#N/A</v>
      </c>
      <c r="K414" s="136" t="e">
        <f ca="1">VLOOKUP(A414,'銀行-TSS'!A:V,22,FALSE)</f>
        <v>#N/A</v>
      </c>
      <c r="L414" s="136" t="e">
        <f ca="1">VLOOKUP(A414,'銀行-TSS'!A:AK,37,FALSE)</f>
        <v>#N/A</v>
      </c>
      <c r="M414" s="136" t="str">
        <f ca="1">VLOOKUP(A414,'銀行-TSS'!A:AN,40,FALSE)</f>
        <v/>
      </c>
      <c r="N414" s="136" t="e">
        <f t="shared" ca="1" si="270"/>
        <v>#N/A</v>
      </c>
      <c r="O414" s="1213" t="e">
        <f t="shared" ca="1" si="271"/>
        <v>#N/A</v>
      </c>
      <c r="P414" s="1213" t="e">
        <f ca="1">IF(AND($O$1&gt;=O414,換券單檔!$D$13=D414),I414+INT(($O$1-O414)/N414)*J414,0)</f>
        <v>#N/A</v>
      </c>
      <c r="Q414" s="1213" t="e">
        <f t="shared" ca="1" si="272"/>
        <v>#N/A</v>
      </c>
      <c r="R414" s="1213">
        <f t="shared" si="273"/>
        <v>0</v>
      </c>
      <c r="S414" s="1213">
        <f t="shared" si="274"/>
        <v>0</v>
      </c>
      <c r="T414" s="136">
        <f>IF(OR(R414=0,A414=0),0,IF(AND(V414=TRUE,換券單檔!$D$13=D414),E414,0))</f>
        <v>0</v>
      </c>
      <c r="U414" s="861">
        <f>IF(OR(R414=0,A414=0),0,IF(AND(V414=TRUE,換券單檔!$D$13=D414),H414,0))</f>
        <v>0</v>
      </c>
      <c r="V414" s="136" t="e">
        <f ca="1">IF(OR(B414=換券單檔!$D$3,L414="無",M414&lt;&gt;"",K414="高資產",IFERROR(MATCH(B414,換券單檔!K:K,0),"N")&lt;&gt;"N"),FALSE,IF($V$1="All",TRUE,IF(K414=$V$1,TRUE,FALSE)))</f>
        <v>#N/A</v>
      </c>
      <c r="W414" s="136" t="e">
        <f ca="1">VLOOKUP(A414,'銀行-TSS'!A:AO,41,FALSE)</f>
        <v>#N/A</v>
      </c>
      <c r="X414" s="136" t="e">
        <f ca="1">VLOOKUP(A414,'銀行-TSS'!A:AP,42,FALSE)</f>
        <v>#N/A</v>
      </c>
      <c r="Y414" s="1220">
        <f t="shared" si="275"/>
        <v>0</v>
      </c>
      <c r="Z414" s="1220">
        <f t="shared" si="276"/>
        <v>0</v>
      </c>
      <c r="AA414" s="136">
        <f>IF(Z414&lt;=0,0,RANK(Z414,Z:Z)+COUNTIF($Z$3:$Z414,Z414)-1)</f>
        <v>0</v>
      </c>
      <c r="AB414" s="1211">
        <f t="shared" ca="1" si="277"/>
        <v>-14896.14</v>
      </c>
      <c r="AC414" s="136">
        <f ca="1">IF(AB414&lt;=0,0,RANK(AB414,AB:AB)+COUNTIF($AB$3:$AB414,AB414)-1)</f>
        <v>0</v>
      </c>
      <c r="AD414" s="1123">
        <f t="shared" si="278"/>
        <v>99999</v>
      </c>
      <c r="AE414" s="1123">
        <f>IF(AD414=99999,0,RANK(AD414,AD:AD,1)+COUNTIF($AD$3:$AD414,AD414)-1)</f>
        <v>0</v>
      </c>
      <c r="AF414" s="86" t="e">
        <f ca="1">IF(OR(M414&lt;&gt;"",L414="無",K414="高資產",IFERROR(MATCH(B414,換券單檔!K:K,0),"N")&lt;&gt;"N"),FALSE,TRUE)</f>
        <v>#N/A</v>
      </c>
      <c r="AI414" s="1212" t="e">
        <f t="shared" ca="1" si="279"/>
        <v>#N/A</v>
      </c>
      <c r="AJ414" s="1213" t="e">
        <f t="shared" ca="1" si="280"/>
        <v>#N/A</v>
      </c>
      <c r="AK414" s="1587">
        <f t="shared" si="281"/>
        <v>0</v>
      </c>
      <c r="AN414" s="1212" t="e">
        <f t="shared" ca="1" si="282"/>
        <v>#N/A</v>
      </c>
      <c r="AO414" s="1213" t="e">
        <f t="shared" ca="1" si="283"/>
        <v>#N/A</v>
      </c>
      <c r="AP414" s="1587">
        <f t="shared" si="284"/>
        <v>0</v>
      </c>
      <c r="AS414" s="1212" t="e">
        <f t="shared" ca="1" si="285"/>
        <v>#N/A</v>
      </c>
      <c r="AT414" s="1213" t="e">
        <f t="shared" ca="1" si="286"/>
        <v>#N/A</v>
      </c>
      <c r="AU414" s="1587">
        <f t="shared" si="287"/>
        <v>0</v>
      </c>
      <c r="AX414" s="1212" t="e">
        <f t="shared" ca="1" si="288"/>
        <v>#N/A</v>
      </c>
      <c r="AY414" s="1213" t="e">
        <f t="shared" ca="1" si="289"/>
        <v>#N/A</v>
      </c>
      <c r="AZ414" s="1587">
        <f t="shared" si="290"/>
        <v>0</v>
      </c>
      <c r="BC414" s="1212" t="e">
        <f t="shared" ca="1" si="291"/>
        <v>#N/A</v>
      </c>
      <c r="BD414" s="1213" t="e">
        <f t="shared" ca="1" si="292"/>
        <v>#N/A</v>
      </c>
      <c r="BE414" s="1587">
        <f t="shared" si="293"/>
        <v>0</v>
      </c>
      <c r="BH414" s="1212" t="e">
        <f t="shared" ca="1" si="294"/>
        <v>#N/A</v>
      </c>
      <c r="BI414" s="1213" t="e">
        <f t="shared" ca="1" si="295"/>
        <v>#N/A</v>
      </c>
      <c r="BJ414" s="1587">
        <f t="shared" si="296"/>
        <v>0</v>
      </c>
      <c r="BM414" s="1212" t="e">
        <f t="shared" ca="1" si="297"/>
        <v>#N/A</v>
      </c>
      <c r="BN414" s="1213" t="e">
        <f t="shared" ca="1" si="298"/>
        <v>#N/A</v>
      </c>
      <c r="BO414" s="1587">
        <f t="shared" si="299"/>
        <v>0</v>
      </c>
      <c r="BR414" s="1212" t="e">
        <f t="shared" ca="1" si="300"/>
        <v>#N/A</v>
      </c>
      <c r="BS414" s="1213" t="e">
        <f t="shared" ca="1" si="301"/>
        <v>#N/A</v>
      </c>
      <c r="BT414" s="1587">
        <f t="shared" si="302"/>
        <v>0</v>
      </c>
      <c r="BW414" s="1212" t="e">
        <f t="shared" ca="1" si="303"/>
        <v>#N/A</v>
      </c>
      <c r="BX414" s="1213" t="e">
        <f t="shared" ca="1" si="304"/>
        <v>#N/A</v>
      </c>
      <c r="BY414" s="1587">
        <f t="shared" si="305"/>
        <v>0</v>
      </c>
      <c r="CB414" s="1212" t="e">
        <f t="shared" ca="1" si="306"/>
        <v>#N/A</v>
      </c>
      <c r="CC414" s="1213" t="e">
        <f t="shared" ca="1" si="307"/>
        <v>#N/A</v>
      </c>
      <c r="CD414" s="1587">
        <f t="shared" si="308"/>
        <v>0</v>
      </c>
      <c r="CG414" s="1212" t="e">
        <f t="shared" ca="1" si="309"/>
        <v>#N/A</v>
      </c>
      <c r="CH414" s="1213" t="e">
        <f t="shared" ca="1" si="310"/>
        <v>#N/A</v>
      </c>
      <c r="CI414" s="1587">
        <f t="shared" si="311"/>
        <v>0</v>
      </c>
      <c r="CL414" s="1212" t="e">
        <f t="shared" ca="1" si="312"/>
        <v>#N/A</v>
      </c>
      <c r="CM414" s="1213" t="e">
        <f t="shared" ca="1" si="313"/>
        <v>#N/A</v>
      </c>
      <c r="CN414" s="1587">
        <f t="shared" si="314"/>
        <v>0</v>
      </c>
    </row>
    <row r="415" spans="1:92">
      <c r="A415" s="141">
        <f>'銀行-TSS'!A415</f>
        <v>0</v>
      </c>
      <c r="B415" s="151">
        <f ca="1">VLOOKUP(A415,'銀行-TSS'!A:B,2,FALSE)</f>
        <v>0</v>
      </c>
      <c r="C415" s="151" t="e">
        <f ca="1">VLOOKUP(B415,bond!B:C,2,FALSE)</f>
        <v>#N/A</v>
      </c>
      <c r="D415" s="95" t="e">
        <f>VLOOKUP(A415,'銀行-TSS'!A:C,3,FALSE)</f>
        <v>#N/A</v>
      </c>
      <c r="E415" s="90" t="e">
        <f ca="1">VLOOKUP(A415,'銀行-TSS'!A:G,7,FALSE)</f>
        <v>#N/A</v>
      </c>
      <c r="F415" s="202" t="e">
        <f ca="1">VLOOKUP(A415,'銀行-TSS'!A:H,8,FALSE)</f>
        <v>#N/A</v>
      </c>
      <c r="G415" s="96" t="e">
        <f ca="1">VLOOKUP(A415,'銀行-TSS'!A:K,11,FALSE)</f>
        <v>#N/A</v>
      </c>
      <c r="H415" s="1209" t="e">
        <f ca="1">VLOOKUP(A415,'銀行-TSS'!A:M,13,FALSE)</f>
        <v>#N/A</v>
      </c>
      <c r="I415" s="1213" t="e">
        <f ca="1">VLOOKUP(A415,'銀行-TSS'!A:N,14,FALSE)</f>
        <v>#N/A</v>
      </c>
      <c r="J415" s="1213" t="e">
        <f ca="1">VLOOKUP(A415,'銀行-TSS'!A:O,15,FALSE)</f>
        <v>#N/A</v>
      </c>
      <c r="K415" s="136" t="e">
        <f ca="1">VLOOKUP(A415,'銀行-TSS'!A:V,22,FALSE)</f>
        <v>#N/A</v>
      </c>
      <c r="L415" s="136" t="e">
        <f ca="1">VLOOKUP(A415,'銀行-TSS'!A:AK,37,FALSE)</f>
        <v>#N/A</v>
      </c>
      <c r="M415" s="136" t="str">
        <f ca="1">VLOOKUP(A415,'銀行-TSS'!A:AN,40,FALSE)</f>
        <v/>
      </c>
      <c r="N415" s="136" t="e">
        <f t="shared" ca="1" si="270"/>
        <v>#N/A</v>
      </c>
      <c r="O415" s="1213" t="e">
        <f t="shared" ca="1" si="271"/>
        <v>#N/A</v>
      </c>
      <c r="P415" s="1213" t="e">
        <f ca="1">IF(AND($O$1&gt;=O415,換券單檔!$D$13=D415),I415+INT(($O$1-O415)/N415)*J415,0)</f>
        <v>#N/A</v>
      </c>
      <c r="Q415" s="1213" t="e">
        <f t="shared" ca="1" si="272"/>
        <v>#N/A</v>
      </c>
      <c r="R415" s="1213">
        <f t="shared" si="273"/>
        <v>0</v>
      </c>
      <c r="S415" s="1213">
        <f t="shared" si="274"/>
        <v>0</v>
      </c>
      <c r="T415" s="136">
        <f>IF(OR(R415=0,A415=0),0,IF(AND(V415=TRUE,換券單檔!$D$13=D415),E415,0))</f>
        <v>0</v>
      </c>
      <c r="U415" s="861">
        <f>IF(OR(R415=0,A415=0),0,IF(AND(V415=TRUE,換券單檔!$D$13=D415),H415,0))</f>
        <v>0</v>
      </c>
      <c r="V415" s="136" t="e">
        <f ca="1">IF(OR(B415=換券單檔!$D$3,L415="無",M415&lt;&gt;"",K415="高資產",IFERROR(MATCH(B415,換券單檔!K:K,0),"N")&lt;&gt;"N"),FALSE,IF($V$1="All",TRUE,IF(K415=$V$1,TRUE,FALSE)))</f>
        <v>#N/A</v>
      </c>
      <c r="W415" s="136" t="e">
        <f ca="1">VLOOKUP(A415,'銀行-TSS'!A:AO,41,FALSE)</f>
        <v>#N/A</v>
      </c>
      <c r="X415" s="136" t="e">
        <f ca="1">VLOOKUP(A415,'銀行-TSS'!A:AP,42,FALSE)</f>
        <v>#N/A</v>
      </c>
      <c r="Y415" s="1220">
        <f t="shared" si="275"/>
        <v>0</v>
      </c>
      <c r="Z415" s="1220">
        <f t="shared" si="276"/>
        <v>0</v>
      </c>
      <c r="AA415" s="136">
        <f>IF(Z415&lt;=0,0,RANK(Z415,Z:Z)+COUNTIF($Z$3:$Z415,Z415)-1)</f>
        <v>0</v>
      </c>
      <c r="AB415" s="1211">
        <f t="shared" ca="1" si="277"/>
        <v>-14896.14</v>
      </c>
      <c r="AC415" s="136">
        <f ca="1">IF(AB415&lt;=0,0,RANK(AB415,AB:AB)+COUNTIF($AB$3:$AB415,AB415)-1)</f>
        <v>0</v>
      </c>
      <c r="AD415" s="1123">
        <f t="shared" si="278"/>
        <v>99999</v>
      </c>
      <c r="AE415" s="1123">
        <f>IF(AD415=99999,0,RANK(AD415,AD:AD,1)+COUNTIF($AD$3:$AD415,AD415)-1)</f>
        <v>0</v>
      </c>
      <c r="AF415" s="86" t="e">
        <f ca="1">IF(OR(M415&lt;&gt;"",L415="無",K415="高資產",IFERROR(MATCH(B415,換券單檔!K:K,0),"N")&lt;&gt;"N"),FALSE,TRUE)</f>
        <v>#N/A</v>
      </c>
      <c r="AI415" s="1212" t="e">
        <f t="shared" ca="1" si="279"/>
        <v>#N/A</v>
      </c>
      <c r="AJ415" s="1213" t="e">
        <f t="shared" ca="1" si="280"/>
        <v>#N/A</v>
      </c>
      <c r="AK415" s="1587">
        <f t="shared" si="281"/>
        <v>0</v>
      </c>
      <c r="AN415" s="1212" t="e">
        <f t="shared" ca="1" si="282"/>
        <v>#N/A</v>
      </c>
      <c r="AO415" s="1213" t="e">
        <f t="shared" ca="1" si="283"/>
        <v>#N/A</v>
      </c>
      <c r="AP415" s="1587">
        <f t="shared" si="284"/>
        <v>0</v>
      </c>
      <c r="AS415" s="1212" t="e">
        <f t="shared" ca="1" si="285"/>
        <v>#N/A</v>
      </c>
      <c r="AT415" s="1213" t="e">
        <f t="shared" ca="1" si="286"/>
        <v>#N/A</v>
      </c>
      <c r="AU415" s="1587">
        <f t="shared" si="287"/>
        <v>0</v>
      </c>
      <c r="AX415" s="1212" t="e">
        <f t="shared" ca="1" si="288"/>
        <v>#N/A</v>
      </c>
      <c r="AY415" s="1213" t="e">
        <f t="shared" ca="1" si="289"/>
        <v>#N/A</v>
      </c>
      <c r="AZ415" s="1587">
        <f t="shared" si="290"/>
        <v>0</v>
      </c>
      <c r="BC415" s="1212" t="e">
        <f t="shared" ca="1" si="291"/>
        <v>#N/A</v>
      </c>
      <c r="BD415" s="1213" t="e">
        <f t="shared" ca="1" si="292"/>
        <v>#N/A</v>
      </c>
      <c r="BE415" s="1587">
        <f t="shared" si="293"/>
        <v>0</v>
      </c>
      <c r="BH415" s="1212" t="e">
        <f t="shared" ca="1" si="294"/>
        <v>#N/A</v>
      </c>
      <c r="BI415" s="1213" t="e">
        <f t="shared" ca="1" si="295"/>
        <v>#N/A</v>
      </c>
      <c r="BJ415" s="1587">
        <f t="shared" si="296"/>
        <v>0</v>
      </c>
      <c r="BM415" s="1212" t="e">
        <f t="shared" ca="1" si="297"/>
        <v>#N/A</v>
      </c>
      <c r="BN415" s="1213" t="e">
        <f t="shared" ca="1" si="298"/>
        <v>#N/A</v>
      </c>
      <c r="BO415" s="1587">
        <f t="shared" si="299"/>
        <v>0</v>
      </c>
      <c r="BR415" s="1212" t="e">
        <f t="shared" ca="1" si="300"/>
        <v>#N/A</v>
      </c>
      <c r="BS415" s="1213" t="e">
        <f t="shared" ca="1" si="301"/>
        <v>#N/A</v>
      </c>
      <c r="BT415" s="1587">
        <f t="shared" si="302"/>
        <v>0</v>
      </c>
      <c r="BW415" s="1212" t="e">
        <f t="shared" ca="1" si="303"/>
        <v>#N/A</v>
      </c>
      <c r="BX415" s="1213" t="e">
        <f t="shared" ca="1" si="304"/>
        <v>#N/A</v>
      </c>
      <c r="BY415" s="1587">
        <f t="shared" si="305"/>
        <v>0</v>
      </c>
      <c r="CB415" s="1212" t="e">
        <f t="shared" ca="1" si="306"/>
        <v>#N/A</v>
      </c>
      <c r="CC415" s="1213" t="e">
        <f t="shared" ca="1" si="307"/>
        <v>#N/A</v>
      </c>
      <c r="CD415" s="1587">
        <f t="shared" si="308"/>
        <v>0</v>
      </c>
      <c r="CG415" s="1212" t="e">
        <f t="shared" ca="1" si="309"/>
        <v>#N/A</v>
      </c>
      <c r="CH415" s="1213" t="e">
        <f t="shared" ca="1" si="310"/>
        <v>#N/A</v>
      </c>
      <c r="CI415" s="1587">
        <f t="shared" si="311"/>
        <v>0</v>
      </c>
      <c r="CL415" s="1212" t="e">
        <f t="shared" ca="1" si="312"/>
        <v>#N/A</v>
      </c>
      <c r="CM415" s="1213" t="e">
        <f t="shared" ca="1" si="313"/>
        <v>#N/A</v>
      </c>
      <c r="CN415" s="1587">
        <f t="shared" si="314"/>
        <v>0</v>
      </c>
    </row>
    <row r="416" spans="1:92">
      <c r="A416" s="141">
        <f>'銀行-TSS'!A416</f>
        <v>0</v>
      </c>
      <c r="B416" s="151">
        <f ca="1">VLOOKUP(A416,'銀行-TSS'!A:B,2,FALSE)</f>
        <v>0</v>
      </c>
      <c r="C416" s="151" t="e">
        <f ca="1">VLOOKUP(B416,bond!B:C,2,FALSE)</f>
        <v>#N/A</v>
      </c>
      <c r="D416" s="95" t="e">
        <f>VLOOKUP(A416,'銀行-TSS'!A:C,3,FALSE)</f>
        <v>#N/A</v>
      </c>
      <c r="E416" s="90" t="e">
        <f ca="1">VLOOKUP(A416,'銀行-TSS'!A:G,7,FALSE)</f>
        <v>#N/A</v>
      </c>
      <c r="F416" s="202" t="e">
        <f ca="1">VLOOKUP(A416,'銀行-TSS'!A:H,8,FALSE)</f>
        <v>#N/A</v>
      </c>
      <c r="G416" s="96" t="e">
        <f ca="1">VLOOKUP(A416,'銀行-TSS'!A:K,11,FALSE)</f>
        <v>#N/A</v>
      </c>
      <c r="H416" s="1209" t="e">
        <f ca="1">VLOOKUP(A416,'銀行-TSS'!A:M,13,FALSE)</f>
        <v>#N/A</v>
      </c>
      <c r="I416" s="1213" t="e">
        <f ca="1">VLOOKUP(A416,'銀行-TSS'!A:N,14,FALSE)</f>
        <v>#N/A</v>
      </c>
      <c r="J416" s="1213" t="e">
        <f ca="1">VLOOKUP(A416,'銀行-TSS'!A:O,15,FALSE)</f>
        <v>#N/A</v>
      </c>
      <c r="K416" s="136" t="e">
        <f ca="1">VLOOKUP(A416,'銀行-TSS'!A:V,22,FALSE)</f>
        <v>#N/A</v>
      </c>
      <c r="L416" s="136" t="e">
        <f ca="1">VLOOKUP(A416,'銀行-TSS'!A:AK,37,FALSE)</f>
        <v>#N/A</v>
      </c>
      <c r="M416" s="136" t="str">
        <f ca="1">VLOOKUP(A416,'銀行-TSS'!A:AN,40,FALSE)</f>
        <v/>
      </c>
      <c r="N416" s="136" t="e">
        <f t="shared" ca="1" si="270"/>
        <v>#N/A</v>
      </c>
      <c r="O416" s="1213" t="e">
        <f t="shared" ca="1" si="271"/>
        <v>#N/A</v>
      </c>
      <c r="P416" s="1213" t="e">
        <f ca="1">IF(AND($O$1&gt;=O416,換券單檔!$D$13=D416),I416+INT(($O$1-O416)/N416)*J416,0)</f>
        <v>#N/A</v>
      </c>
      <c r="Q416" s="1213" t="e">
        <f t="shared" ca="1" si="272"/>
        <v>#N/A</v>
      </c>
      <c r="R416" s="1213">
        <f t="shared" si="273"/>
        <v>0</v>
      </c>
      <c r="S416" s="1213">
        <f t="shared" si="274"/>
        <v>0</v>
      </c>
      <c r="T416" s="136">
        <f>IF(OR(R416=0,A416=0),0,IF(AND(V416=TRUE,換券單檔!$D$13=D416),E416,0))</f>
        <v>0</v>
      </c>
      <c r="U416" s="861">
        <f>IF(OR(R416=0,A416=0),0,IF(AND(V416=TRUE,換券單檔!$D$13=D416),H416,0))</f>
        <v>0</v>
      </c>
      <c r="V416" s="136" t="e">
        <f ca="1">IF(OR(B416=換券單檔!$D$3,L416="無",M416&lt;&gt;"",K416="高資產",IFERROR(MATCH(B416,換券單檔!K:K,0),"N")&lt;&gt;"N"),FALSE,IF($V$1="All",TRUE,IF(K416=$V$1,TRUE,FALSE)))</f>
        <v>#N/A</v>
      </c>
      <c r="W416" s="136" t="e">
        <f ca="1">VLOOKUP(A416,'銀行-TSS'!A:AO,41,FALSE)</f>
        <v>#N/A</v>
      </c>
      <c r="X416" s="136" t="e">
        <f ca="1">VLOOKUP(A416,'銀行-TSS'!A:AP,42,FALSE)</f>
        <v>#N/A</v>
      </c>
      <c r="Y416" s="1220">
        <f t="shared" si="275"/>
        <v>0</v>
      </c>
      <c r="Z416" s="1220">
        <f t="shared" si="276"/>
        <v>0</v>
      </c>
      <c r="AA416" s="136">
        <f>IF(Z416&lt;=0,0,RANK(Z416,Z:Z)+COUNTIF($Z$3:$Z416,Z416)-1)</f>
        <v>0</v>
      </c>
      <c r="AB416" s="1211">
        <f t="shared" ca="1" si="277"/>
        <v>-14896.14</v>
      </c>
      <c r="AC416" s="136">
        <f ca="1">IF(AB416&lt;=0,0,RANK(AB416,AB:AB)+COUNTIF($AB$3:$AB416,AB416)-1)</f>
        <v>0</v>
      </c>
      <c r="AD416" s="1123">
        <f t="shared" si="278"/>
        <v>99999</v>
      </c>
      <c r="AE416" s="1123">
        <f>IF(AD416=99999,0,RANK(AD416,AD:AD,1)+COUNTIF($AD$3:$AD416,AD416)-1)</f>
        <v>0</v>
      </c>
      <c r="AF416" s="86" t="e">
        <f ca="1">IF(OR(M416&lt;&gt;"",L416="無",K416="高資產",IFERROR(MATCH(B416,換券單檔!K:K,0),"N")&lt;&gt;"N"),FALSE,TRUE)</f>
        <v>#N/A</v>
      </c>
      <c r="AI416" s="1212" t="e">
        <f t="shared" ca="1" si="279"/>
        <v>#N/A</v>
      </c>
      <c r="AJ416" s="1213" t="e">
        <f t="shared" ca="1" si="280"/>
        <v>#N/A</v>
      </c>
      <c r="AK416" s="1587">
        <f t="shared" si="281"/>
        <v>0</v>
      </c>
      <c r="AN416" s="1212" t="e">
        <f t="shared" ca="1" si="282"/>
        <v>#N/A</v>
      </c>
      <c r="AO416" s="1213" t="e">
        <f t="shared" ca="1" si="283"/>
        <v>#N/A</v>
      </c>
      <c r="AP416" s="1587">
        <f t="shared" si="284"/>
        <v>0</v>
      </c>
      <c r="AS416" s="1212" t="e">
        <f t="shared" ca="1" si="285"/>
        <v>#N/A</v>
      </c>
      <c r="AT416" s="1213" t="e">
        <f t="shared" ca="1" si="286"/>
        <v>#N/A</v>
      </c>
      <c r="AU416" s="1587">
        <f t="shared" si="287"/>
        <v>0</v>
      </c>
      <c r="AX416" s="1212" t="e">
        <f t="shared" ca="1" si="288"/>
        <v>#N/A</v>
      </c>
      <c r="AY416" s="1213" t="e">
        <f t="shared" ca="1" si="289"/>
        <v>#N/A</v>
      </c>
      <c r="AZ416" s="1587">
        <f t="shared" si="290"/>
        <v>0</v>
      </c>
      <c r="BC416" s="1212" t="e">
        <f t="shared" ca="1" si="291"/>
        <v>#N/A</v>
      </c>
      <c r="BD416" s="1213" t="e">
        <f t="shared" ca="1" si="292"/>
        <v>#N/A</v>
      </c>
      <c r="BE416" s="1587">
        <f t="shared" si="293"/>
        <v>0</v>
      </c>
      <c r="BH416" s="1212" t="e">
        <f t="shared" ca="1" si="294"/>
        <v>#N/A</v>
      </c>
      <c r="BI416" s="1213" t="e">
        <f t="shared" ca="1" si="295"/>
        <v>#N/A</v>
      </c>
      <c r="BJ416" s="1587">
        <f t="shared" si="296"/>
        <v>0</v>
      </c>
      <c r="BM416" s="1212" t="e">
        <f t="shared" ca="1" si="297"/>
        <v>#N/A</v>
      </c>
      <c r="BN416" s="1213" t="e">
        <f t="shared" ca="1" si="298"/>
        <v>#N/A</v>
      </c>
      <c r="BO416" s="1587">
        <f t="shared" si="299"/>
        <v>0</v>
      </c>
      <c r="BR416" s="1212" t="e">
        <f t="shared" ca="1" si="300"/>
        <v>#N/A</v>
      </c>
      <c r="BS416" s="1213" t="e">
        <f t="shared" ca="1" si="301"/>
        <v>#N/A</v>
      </c>
      <c r="BT416" s="1587">
        <f t="shared" si="302"/>
        <v>0</v>
      </c>
      <c r="BW416" s="1212" t="e">
        <f t="shared" ca="1" si="303"/>
        <v>#N/A</v>
      </c>
      <c r="BX416" s="1213" t="e">
        <f t="shared" ca="1" si="304"/>
        <v>#N/A</v>
      </c>
      <c r="BY416" s="1587">
        <f t="shared" si="305"/>
        <v>0</v>
      </c>
      <c r="CB416" s="1212" t="e">
        <f t="shared" ca="1" si="306"/>
        <v>#N/A</v>
      </c>
      <c r="CC416" s="1213" t="e">
        <f t="shared" ca="1" si="307"/>
        <v>#N/A</v>
      </c>
      <c r="CD416" s="1587">
        <f t="shared" si="308"/>
        <v>0</v>
      </c>
      <c r="CG416" s="1212" t="e">
        <f t="shared" ca="1" si="309"/>
        <v>#N/A</v>
      </c>
      <c r="CH416" s="1213" t="e">
        <f t="shared" ca="1" si="310"/>
        <v>#N/A</v>
      </c>
      <c r="CI416" s="1587">
        <f t="shared" si="311"/>
        <v>0</v>
      </c>
      <c r="CL416" s="1212" t="e">
        <f t="shared" ca="1" si="312"/>
        <v>#N/A</v>
      </c>
      <c r="CM416" s="1213" t="e">
        <f t="shared" ca="1" si="313"/>
        <v>#N/A</v>
      </c>
      <c r="CN416" s="1587">
        <f t="shared" si="314"/>
        <v>0</v>
      </c>
    </row>
    <row r="417" spans="1:92">
      <c r="A417" s="141">
        <f>'銀行-TSS'!A417</f>
        <v>0</v>
      </c>
      <c r="B417" s="151">
        <f ca="1">VLOOKUP(A417,'銀行-TSS'!A:B,2,FALSE)</f>
        <v>0</v>
      </c>
      <c r="C417" s="151" t="e">
        <f ca="1">VLOOKUP(B417,bond!B:C,2,FALSE)</f>
        <v>#N/A</v>
      </c>
      <c r="D417" s="95" t="e">
        <f>VLOOKUP(A417,'銀行-TSS'!A:C,3,FALSE)</f>
        <v>#N/A</v>
      </c>
      <c r="E417" s="90" t="e">
        <f ca="1">VLOOKUP(A417,'銀行-TSS'!A:G,7,FALSE)</f>
        <v>#N/A</v>
      </c>
      <c r="F417" s="202" t="e">
        <f ca="1">VLOOKUP(A417,'銀行-TSS'!A:H,8,FALSE)</f>
        <v>#N/A</v>
      </c>
      <c r="G417" s="96" t="e">
        <f ca="1">VLOOKUP(A417,'銀行-TSS'!A:K,11,FALSE)</f>
        <v>#N/A</v>
      </c>
      <c r="H417" s="1209" t="e">
        <f ca="1">VLOOKUP(A417,'銀行-TSS'!A:M,13,FALSE)</f>
        <v>#N/A</v>
      </c>
      <c r="I417" s="1213" t="e">
        <f ca="1">VLOOKUP(A417,'銀行-TSS'!A:N,14,FALSE)</f>
        <v>#N/A</v>
      </c>
      <c r="J417" s="1213" t="e">
        <f ca="1">VLOOKUP(A417,'銀行-TSS'!A:O,15,FALSE)</f>
        <v>#N/A</v>
      </c>
      <c r="K417" s="136" t="e">
        <f ca="1">VLOOKUP(A417,'銀行-TSS'!A:V,22,FALSE)</f>
        <v>#N/A</v>
      </c>
      <c r="L417" s="136" t="e">
        <f ca="1">VLOOKUP(A417,'銀行-TSS'!A:AK,37,FALSE)</f>
        <v>#N/A</v>
      </c>
      <c r="M417" s="136" t="str">
        <f ca="1">VLOOKUP(A417,'銀行-TSS'!A:AN,40,FALSE)</f>
        <v/>
      </c>
      <c r="N417" s="136" t="e">
        <f t="shared" ca="1" si="270"/>
        <v>#N/A</v>
      </c>
      <c r="O417" s="1213" t="e">
        <f t="shared" ca="1" si="271"/>
        <v>#N/A</v>
      </c>
      <c r="P417" s="1213" t="e">
        <f ca="1">IF(AND($O$1&gt;=O417,換券單檔!$D$13=D417),I417+INT(($O$1-O417)/N417)*J417,0)</f>
        <v>#N/A</v>
      </c>
      <c r="Q417" s="1213" t="e">
        <f t="shared" ca="1" si="272"/>
        <v>#N/A</v>
      </c>
      <c r="R417" s="1213">
        <f t="shared" si="273"/>
        <v>0</v>
      </c>
      <c r="S417" s="1213">
        <f t="shared" si="274"/>
        <v>0</v>
      </c>
      <c r="T417" s="136">
        <f>IF(OR(R417=0,A417=0),0,IF(AND(V417=TRUE,換券單檔!$D$13=D417),E417,0))</f>
        <v>0</v>
      </c>
      <c r="U417" s="861">
        <f>IF(OR(R417=0,A417=0),0,IF(AND(V417=TRUE,換券單檔!$D$13=D417),H417,0))</f>
        <v>0</v>
      </c>
      <c r="V417" s="136" t="e">
        <f ca="1">IF(OR(B417=換券單檔!$D$3,L417="無",M417&lt;&gt;"",K417="高資產",IFERROR(MATCH(B417,換券單檔!K:K,0),"N")&lt;&gt;"N"),FALSE,IF($V$1="All",TRUE,IF(K417=$V$1,TRUE,FALSE)))</f>
        <v>#N/A</v>
      </c>
      <c r="W417" s="136" t="e">
        <f ca="1">VLOOKUP(A417,'銀行-TSS'!A:AO,41,FALSE)</f>
        <v>#N/A</v>
      </c>
      <c r="X417" s="136" t="e">
        <f ca="1">VLOOKUP(A417,'銀行-TSS'!A:AP,42,FALSE)</f>
        <v>#N/A</v>
      </c>
      <c r="Y417" s="1220">
        <f t="shared" si="275"/>
        <v>0</v>
      </c>
      <c r="Z417" s="1220">
        <f t="shared" si="276"/>
        <v>0</v>
      </c>
      <c r="AA417" s="136">
        <f>IF(Z417&lt;=0,0,RANK(Z417,Z:Z)+COUNTIF($Z$3:$Z417,Z417)-1)</f>
        <v>0</v>
      </c>
      <c r="AB417" s="1211">
        <f t="shared" ca="1" si="277"/>
        <v>-14896.14</v>
      </c>
      <c r="AC417" s="136">
        <f ca="1">IF(AB417&lt;=0,0,RANK(AB417,AB:AB)+COUNTIF($AB$3:$AB417,AB417)-1)</f>
        <v>0</v>
      </c>
      <c r="AD417" s="1123">
        <f t="shared" si="278"/>
        <v>99999</v>
      </c>
      <c r="AE417" s="1123">
        <f>IF(AD417=99999,0,RANK(AD417,AD:AD,1)+COUNTIF($AD$3:$AD417,AD417)-1)</f>
        <v>0</v>
      </c>
      <c r="AF417" s="86" t="e">
        <f ca="1">IF(OR(M417&lt;&gt;"",L417="無",K417="高資產",IFERROR(MATCH(B417,換券單檔!K:K,0),"N")&lt;&gt;"N"),FALSE,TRUE)</f>
        <v>#N/A</v>
      </c>
      <c r="AI417" s="1212" t="e">
        <f t="shared" ca="1" si="279"/>
        <v>#N/A</v>
      </c>
      <c r="AJ417" s="1213" t="e">
        <f t="shared" ca="1" si="280"/>
        <v>#N/A</v>
      </c>
      <c r="AK417" s="1587">
        <f t="shared" si="281"/>
        <v>0</v>
      </c>
      <c r="AN417" s="1212" t="e">
        <f t="shared" ca="1" si="282"/>
        <v>#N/A</v>
      </c>
      <c r="AO417" s="1213" t="e">
        <f t="shared" ca="1" si="283"/>
        <v>#N/A</v>
      </c>
      <c r="AP417" s="1587">
        <f t="shared" si="284"/>
        <v>0</v>
      </c>
      <c r="AS417" s="1212" t="e">
        <f t="shared" ca="1" si="285"/>
        <v>#N/A</v>
      </c>
      <c r="AT417" s="1213" t="e">
        <f t="shared" ca="1" si="286"/>
        <v>#N/A</v>
      </c>
      <c r="AU417" s="1587">
        <f t="shared" si="287"/>
        <v>0</v>
      </c>
      <c r="AX417" s="1212" t="e">
        <f t="shared" ca="1" si="288"/>
        <v>#N/A</v>
      </c>
      <c r="AY417" s="1213" t="e">
        <f t="shared" ca="1" si="289"/>
        <v>#N/A</v>
      </c>
      <c r="AZ417" s="1587">
        <f t="shared" si="290"/>
        <v>0</v>
      </c>
      <c r="BC417" s="1212" t="e">
        <f t="shared" ca="1" si="291"/>
        <v>#N/A</v>
      </c>
      <c r="BD417" s="1213" t="e">
        <f t="shared" ca="1" si="292"/>
        <v>#N/A</v>
      </c>
      <c r="BE417" s="1587">
        <f t="shared" si="293"/>
        <v>0</v>
      </c>
      <c r="BH417" s="1212" t="e">
        <f t="shared" ca="1" si="294"/>
        <v>#N/A</v>
      </c>
      <c r="BI417" s="1213" t="e">
        <f t="shared" ca="1" si="295"/>
        <v>#N/A</v>
      </c>
      <c r="BJ417" s="1587">
        <f t="shared" si="296"/>
        <v>0</v>
      </c>
      <c r="BM417" s="1212" t="e">
        <f t="shared" ca="1" si="297"/>
        <v>#N/A</v>
      </c>
      <c r="BN417" s="1213" t="e">
        <f t="shared" ca="1" si="298"/>
        <v>#N/A</v>
      </c>
      <c r="BO417" s="1587">
        <f t="shared" si="299"/>
        <v>0</v>
      </c>
      <c r="BR417" s="1212" t="e">
        <f t="shared" ca="1" si="300"/>
        <v>#N/A</v>
      </c>
      <c r="BS417" s="1213" t="e">
        <f t="shared" ca="1" si="301"/>
        <v>#N/A</v>
      </c>
      <c r="BT417" s="1587">
        <f t="shared" si="302"/>
        <v>0</v>
      </c>
      <c r="BW417" s="1212" t="e">
        <f t="shared" ca="1" si="303"/>
        <v>#N/A</v>
      </c>
      <c r="BX417" s="1213" t="e">
        <f t="shared" ca="1" si="304"/>
        <v>#N/A</v>
      </c>
      <c r="BY417" s="1587">
        <f t="shared" si="305"/>
        <v>0</v>
      </c>
      <c r="CB417" s="1212" t="e">
        <f t="shared" ca="1" si="306"/>
        <v>#N/A</v>
      </c>
      <c r="CC417" s="1213" t="e">
        <f t="shared" ca="1" si="307"/>
        <v>#N/A</v>
      </c>
      <c r="CD417" s="1587">
        <f t="shared" si="308"/>
        <v>0</v>
      </c>
      <c r="CG417" s="1212" t="e">
        <f t="shared" ca="1" si="309"/>
        <v>#N/A</v>
      </c>
      <c r="CH417" s="1213" t="e">
        <f t="shared" ca="1" si="310"/>
        <v>#N/A</v>
      </c>
      <c r="CI417" s="1587">
        <f t="shared" si="311"/>
        <v>0</v>
      </c>
      <c r="CL417" s="1212" t="e">
        <f t="shared" ca="1" si="312"/>
        <v>#N/A</v>
      </c>
      <c r="CM417" s="1213" t="e">
        <f t="shared" ca="1" si="313"/>
        <v>#N/A</v>
      </c>
      <c r="CN417" s="1587">
        <f t="shared" si="314"/>
        <v>0</v>
      </c>
    </row>
    <row r="418" spans="1:92">
      <c r="A418" s="141">
        <f>'銀行-TSS'!A418</f>
        <v>0</v>
      </c>
      <c r="B418" s="151">
        <f ca="1">VLOOKUP(A418,'銀行-TSS'!A:B,2,FALSE)</f>
        <v>0</v>
      </c>
      <c r="C418" s="151" t="e">
        <f ca="1">VLOOKUP(B418,bond!B:C,2,FALSE)</f>
        <v>#N/A</v>
      </c>
      <c r="D418" s="95" t="e">
        <f>VLOOKUP(A418,'銀行-TSS'!A:C,3,FALSE)</f>
        <v>#N/A</v>
      </c>
      <c r="E418" s="90" t="e">
        <f ca="1">VLOOKUP(A418,'銀行-TSS'!A:G,7,FALSE)</f>
        <v>#N/A</v>
      </c>
      <c r="F418" s="202" t="e">
        <f ca="1">VLOOKUP(A418,'銀行-TSS'!A:H,8,FALSE)</f>
        <v>#N/A</v>
      </c>
      <c r="G418" s="96" t="e">
        <f ca="1">VLOOKUP(A418,'銀行-TSS'!A:K,11,FALSE)</f>
        <v>#N/A</v>
      </c>
      <c r="H418" s="1209" t="e">
        <f ca="1">VLOOKUP(A418,'銀行-TSS'!A:M,13,FALSE)</f>
        <v>#N/A</v>
      </c>
      <c r="I418" s="1213" t="e">
        <f ca="1">VLOOKUP(A418,'銀行-TSS'!A:N,14,FALSE)</f>
        <v>#N/A</v>
      </c>
      <c r="J418" s="1213" t="e">
        <f ca="1">VLOOKUP(A418,'銀行-TSS'!A:O,15,FALSE)</f>
        <v>#N/A</v>
      </c>
      <c r="K418" s="136" t="e">
        <f ca="1">VLOOKUP(A418,'銀行-TSS'!A:V,22,FALSE)</f>
        <v>#N/A</v>
      </c>
      <c r="L418" s="136" t="e">
        <f ca="1">VLOOKUP(A418,'銀行-TSS'!A:AK,37,FALSE)</f>
        <v>#N/A</v>
      </c>
      <c r="M418" s="136" t="str">
        <f ca="1">VLOOKUP(A418,'銀行-TSS'!A:AN,40,FALSE)</f>
        <v/>
      </c>
      <c r="N418" s="136" t="e">
        <f t="shared" ca="1" si="270"/>
        <v>#N/A</v>
      </c>
      <c r="O418" s="1213" t="e">
        <f t="shared" ca="1" si="271"/>
        <v>#N/A</v>
      </c>
      <c r="P418" s="1213" t="e">
        <f ca="1">IF(AND($O$1&gt;=O418,換券單檔!$D$13=D418),I418+INT(($O$1-O418)/N418)*J418,0)</f>
        <v>#N/A</v>
      </c>
      <c r="Q418" s="1213" t="e">
        <f t="shared" ca="1" si="272"/>
        <v>#N/A</v>
      </c>
      <c r="R418" s="1213">
        <f t="shared" si="273"/>
        <v>0</v>
      </c>
      <c r="S418" s="1213">
        <f t="shared" si="274"/>
        <v>0</v>
      </c>
      <c r="T418" s="136">
        <f>IF(OR(R418=0,A418=0),0,IF(AND(V418=TRUE,換券單檔!$D$13=D418),E418,0))</f>
        <v>0</v>
      </c>
      <c r="U418" s="861">
        <f>IF(OR(R418=0,A418=0),0,IF(AND(V418=TRUE,換券單檔!$D$13=D418),H418,0))</f>
        <v>0</v>
      </c>
      <c r="V418" s="136" t="e">
        <f ca="1">IF(OR(B418=換券單檔!$D$3,L418="無",M418&lt;&gt;"",K418="高資產",IFERROR(MATCH(B418,換券單檔!K:K,0),"N")&lt;&gt;"N"),FALSE,IF($V$1="All",TRUE,IF(K418=$V$1,TRUE,FALSE)))</f>
        <v>#N/A</v>
      </c>
      <c r="W418" s="136" t="e">
        <f ca="1">VLOOKUP(A418,'銀行-TSS'!A:AO,41,FALSE)</f>
        <v>#N/A</v>
      </c>
      <c r="X418" s="136" t="e">
        <f ca="1">VLOOKUP(A418,'銀行-TSS'!A:AP,42,FALSE)</f>
        <v>#N/A</v>
      </c>
      <c r="Y418" s="1220">
        <f t="shared" si="275"/>
        <v>0</v>
      </c>
      <c r="Z418" s="1220">
        <f t="shared" si="276"/>
        <v>0</v>
      </c>
      <c r="AA418" s="136">
        <f>IF(Z418&lt;=0,0,RANK(Z418,Z:Z)+COUNTIF($Z$3:$Z418,Z418)-1)</f>
        <v>0</v>
      </c>
      <c r="AB418" s="1211">
        <f t="shared" ca="1" si="277"/>
        <v>-14896.14</v>
      </c>
      <c r="AC418" s="136">
        <f ca="1">IF(AB418&lt;=0,0,RANK(AB418,AB:AB)+COUNTIF($AB$3:$AB418,AB418)-1)</f>
        <v>0</v>
      </c>
      <c r="AD418" s="1123">
        <f t="shared" si="278"/>
        <v>99999</v>
      </c>
      <c r="AE418" s="1123">
        <f>IF(AD418=99999,0,RANK(AD418,AD:AD,1)+COUNTIF($AD$3:$AD418,AD418)-1)</f>
        <v>0</v>
      </c>
      <c r="AF418" s="86" t="e">
        <f ca="1">IF(OR(M418&lt;&gt;"",L418="無",K418="高資產",IFERROR(MATCH(B418,換券單檔!K:K,0),"N")&lt;&gt;"N"),FALSE,TRUE)</f>
        <v>#N/A</v>
      </c>
      <c r="AI418" s="1212" t="e">
        <f t="shared" ca="1" si="279"/>
        <v>#N/A</v>
      </c>
      <c r="AJ418" s="1213" t="e">
        <f t="shared" ca="1" si="280"/>
        <v>#N/A</v>
      </c>
      <c r="AK418" s="1587">
        <f t="shared" si="281"/>
        <v>0</v>
      </c>
      <c r="AN418" s="1212" t="e">
        <f t="shared" ca="1" si="282"/>
        <v>#N/A</v>
      </c>
      <c r="AO418" s="1213" t="e">
        <f t="shared" ca="1" si="283"/>
        <v>#N/A</v>
      </c>
      <c r="AP418" s="1587">
        <f t="shared" si="284"/>
        <v>0</v>
      </c>
      <c r="AS418" s="1212" t="e">
        <f t="shared" ca="1" si="285"/>
        <v>#N/A</v>
      </c>
      <c r="AT418" s="1213" t="e">
        <f t="shared" ca="1" si="286"/>
        <v>#N/A</v>
      </c>
      <c r="AU418" s="1587">
        <f t="shared" si="287"/>
        <v>0</v>
      </c>
      <c r="AX418" s="1212" t="e">
        <f t="shared" ca="1" si="288"/>
        <v>#N/A</v>
      </c>
      <c r="AY418" s="1213" t="e">
        <f t="shared" ca="1" si="289"/>
        <v>#N/A</v>
      </c>
      <c r="AZ418" s="1587">
        <f t="shared" si="290"/>
        <v>0</v>
      </c>
      <c r="BC418" s="1212" t="e">
        <f t="shared" ca="1" si="291"/>
        <v>#N/A</v>
      </c>
      <c r="BD418" s="1213" t="e">
        <f t="shared" ca="1" si="292"/>
        <v>#N/A</v>
      </c>
      <c r="BE418" s="1587">
        <f t="shared" si="293"/>
        <v>0</v>
      </c>
      <c r="BH418" s="1212" t="e">
        <f t="shared" ca="1" si="294"/>
        <v>#N/A</v>
      </c>
      <c r="BI418" s="1213" t="e">
        <f t="shared" ca="1" si="295"/>
        <v>#N/A</v>
      </c>
      <c r="BJ418" s="1587">
        <f t="shared" si="296"/>
        <v>0</v>
      </c>
      <c r="BM418" s="1212" t="e">
        <f t="shared" ca="1" si="297"/>
        <v>#N/A</v>
      </c>
      <c r="BN418" s="1213" t="e">
        <f t="shared" ca="1" si="298"/>
        <v>#N/A</v>
      </c>
      <c r="BO418" s="1587">
        <f t="shared" si="299"/>
        <v>0</v>
      </c>
      <c r="BR418" s="1212" t="e">
        <f t="shared" ca="1" si="300"/>
        <v>#N/A</v>
      </c>
      <c r="BS418" s="1213" t="e">
        <f t="shared" ca="1" si="301"/>
        <v>#N/A</v>
      </c>
      <c r="BT418" s="1587">
        <f t="shared" si="302"/>
        <v>0</v>
      </c>
      <c r="BW418" s="1212" t="e">
        <f t="shared" ca="1" si="303"/>
        <v>#N/A</v>
      </c>
      <c r="BX418" s="1213" t="e">
        <f t="shared" ca="1" si="304"/>
        <v>#N/A</v>
      </c>
      <c r="BY418" s="1587">
        <f t="shared" si="305"/>
        <v>0</v>
      </c>
      <c r="CB418" s="1212" t="e">
        <f t="shared" ca="1" si="306"/>
        <v>#N/A</v>
      </c>
      <c r="CC418" s="1213" t="e">
        <f t="shared" ca="1" si="307"/>
        <v>#N/A</v>
      </c>
      <c r="CD418" s="1587">
        <f t="shared" si="308"/>
        <v>0</v>
      </c>
      <c r="CG418" s="1212" t="e">
        <f t="shared" ca="1" si="309"/>
        <v>#N/A</v>
      </c>
      <c r="CH418" s="1213" t="e">
        <f t="shared" ca="1" si="310"/>
        <v>#N/A</v>
      </c>
      <c r="CI418" s="1587">
        <f t="shared" si="311"/>
        <v>0</v>
      </c>
      <c r="CL418" s="1212" t="e">
        <f t="shared" ca="1" si="312"/>
        <v>#N/A</v>
      </c>
      <c r="CM418" s="1213" t="e">
        <f t="shared" ca="1" si="313"/>
        <v>#N/A</v>
      </c>
      <c r="CN418" s="1587">
        <f t="shared" si="314"/>
        <v>0</v>
      </c>
    </row>
    <row r="419" spans="1:92">
      <c r="A419" s="141">
        <f>'銀行-TSS'!A419</f>
        <v>0</v>
      </c>
      <c r="B419" s="151">
        <f ca="1">VLOOKUP(A419,'銀行-TSS'!A:B,2,FALSE)</f>
        <v>0</v>
      </c>
      <c r="C419" s="151" t="e">
        <f ca="1">VLOOKUP(B419,bond!B:C,2,FALSE)</f>
        <v>#N/A</v>
      </c>
      <c r="D419" s="95" t="e">
        <f>VLOOKUP(A419,'銀行-TSS'!A:C,3,FALSE)</f>
        <v>#N/A</v>
      </c>
      <c r="E419" s="90" t="e">
        <f ca="1">VLOOKUP(A419,'銀行-TSS'!A:G,7,FALSE)</f>
        <v>#N/A</v>
      </c>
      <c r="F419" s="202" t="e">
        <f ca="1">VLOOKUP(A419,'銀行-TSS'!A:H,8,FALSE)</f>
        <v>#N/A</v>
      </c>
      <c r="G419" s="96" t="e">
        <f ca="1">VLOOKUP(A419,'銀行-TSS'!A:K,11,FALSE)</f>
        <v>#N/A</v>
      </c>
      <c r="H419" s="1209" t="e">
        <f ca="1">VLOOKUP(A419,'銀行-TSS'!A:M,13,FALSE)</f>
        <v>#N/A</v>
      </c>
      <c r="I419" s="1213" t="e">
        <f ca="1">VLOOKUP(A419,'銀行-TSS'!A:N,14,FALSE)</f>
        <v>#N/A</v>
      </c>
      <c r="J419" s="1213" t="e">
        <f ca="1">VLOOKUP(A419,'銀行-TSS'!A:O,15,FALSE)</f>
        <v>#N/A</v>
      </c>
      <c r="K419" s="136" t="e">
        <f ca="1">VLOOKUP(A419,'銀行-TSS'!A:V,22,FALSE)</f>
        <v>#N/A</v>
      </c>
      <c r="L419" s="136" t="e">
        <f ca="1">VLOOKUP(A419,'銀行-TSS'!A:AK,37,FALSE)</f>
        <v>#N/A</v>
      </c>
      <c r="M419" s="136" t="str">
        <f ca="1">VLOOKUP(A419,'銀行-TSS'!A:AN,40,FALSE)</f>
        <v/>
      </c>
      <c r="N419" s="136" t="e">
        <f t="shared" ca="1" si="270"/>
        <v>#N/A</v>
      </c>
      <c r="O419" s="1213" t="e">
        <f t="shared" ca="1" si="271"/>
        <v>#N/A</v>
      </c>
      <c r="P419" s="1213" t="e">
        <f ca="1">IF(AND($O$1&gt;=O419,換券單檔!$D$13=D419),I419+INT(($O$1-O419)/N419)*J419,0)</f>
        <v>#N/A</v>
      </c>
      <c r="Q419" s="1213" t="e">
        <f t="shared" ca="1" si="272"/>
        <v>#N/A</v>
      </c>
      <c r="R419" s="1213">
        <f t="shared" si="273"/>
        <v>0</v>
      </c>
      <c r="S419" s="1213">
        <f t="shared" si="274"/>
        <v>0</v>
      </c>
      <c r="T419" s="136">
        <f>IF(OR(R419=0,A419=0),0,IF(AND(V419=TRUE,換券單檔!$D$13=D419),E419,0))</f>
        <v>0</v>
      </c>
      <c r="U419" s="861">
        <f>IF(OR(R419=0,A419=0),0,IF(AND(V419=TRUE,換券單檔!$D$13=D419),H419,0))</f>
        <v>0</v>
      </c>
      <c r="V419" s="136" t="e">
        <f ca="1">IF(OR(B419=換券單檔!$D$3,L419="無",M419&lt;&gt;"",K419="高資產",IFERROR(MATCH(B419,換券單檔!K:K,0),"N")&lt;&gt;"N"),FALSE,IF($V$1="All",TRUE,IF(K419=$V$1,TRUE,FALSE)))</f>
        <v>#N/A</v>
      </c>
      <c r="W419" s="136" t="e">
        <f ca="1">VLOOKUP(A419,'銀行-TSS'!A:AO,41,FALSE)</f>
        <v>#N/A</v>
      </c>
      <c r="X419" s="136" t="e">
        <f ca="1">VLOOKUP(A419,'銀行-TSS'!A:AP,42,FALSE)</f>
        <v>#N/A</v>
      </c>
      <c r="Y419" s="1220">
        <f t="shared" si="275"/>
        <v>0</v>
      </c>
      <c r="Z419" s="1220">
        <f t="shared" si="276"/>
        <v>0</v>
      </c>
      <c r="AA419" s="136">
        <f>IF(Z419&lt;=0,0,RANK(Z419,Z:Z)+COUNTIF($Z$3:$Z419,Z419)-1)</f>
        <v>0</v>
      </c>
      <c r="AB419" s="1211">
        <f t="shared" ca="1" si="277"/>
        <v>-14896.14</v>
      </c>
      <c r="AC419" s="136">
        <f ca="1">IF(AB419&lt;=0,0,RANK(AB419,AB:AB)+COUNTIF($AB$3:$AB419,AB419)-1)</f>
        <v>0</v>
      </c>
      <c r="AD419" s="1123">
        <f t="shared" si="278"/>
        <v>99999</v>
      </c>
      <c r="AE419" s="1123">
        <f>IF(AD419=99999,0,RANK(AD419,AD:AD,1)+COUNTIF($AD$3:$AD419,AD419)-1)</f>
        <v>0</v>
      </c>
      <c r="AF419" s="86" t="e">
        <f ca="1">IF(OR(M419&lt;&gt;"",L419="無",K419="高資產",IFERROR(MATCH(B419,換券單檔!K:K,0),"N")&lt;&gt;"N"),FALSE,TRUE)</f>
        <v>#N/A</v>
      </c>
      <c r="AI419" s="1212" t="e">
        <f t="shared" ca="1" si="279"/>
        <v>#N/A</v>
      </c>
      <c r="AJ419" s="1213" t="e">
        <f t="shared" ca="1" si="280"/>
        <v>#N/A</v>
      </c>
      <c r="AK419" s="1587">
        <f t="shared" si="281"/>
        <v>0</v>
      </c>
      <c r="AN419" s="1212" t="e">
        <f t="shared" ca="1" si="282"/>
        <v>#N/A</v>
      </c>
      <c r="AO419" s="1213" t="e">
        <f t="shared" ca="1" si="283"/>
        <v>#N/A</v>
      </c>
      <c r="AP419" s="1587">
        <f t="shared" si="284"/>
        <v>0</v>
      </c>
      <c r="AS419" s="1212" t="e">
        <f t="shared" ca="1" si="285"/>
        <v>#N/A</v>
      </c>
      <c r="AT419" s="1213" t="e">
        <f t="shared" ca="1" si="286"/>
        <v>#N/A</v>
      </c>
      <c r="AU419" s="1587">
        <f t="shared" si="287"/>
        <v>0</v>
      </c>
      <c r="AX419" s="1212" t="e">
        <f t="shared" ca="1" si="288"/>
        <v>#N/A</v>
      </c>
      <c r="AY419" s="1213" t="e">
        <f t="shared" ca="1" si="289"/>
        <v>#N/A</v>
      </c>
      <c r="AZ419" s="1587">
        <f t="shared" si="290"/>
        <v>0</v>
      </c>
      <c r="BC419" s="1212" t="e">
        <f t="shared" ca="1" si="291"/>
        <v>#N/A</v>
      </c>
      <c r="BD419" s="1213" t="e">
        <f t="shared" ca="1" si="292"/>
        <v>#N/A</v>
      </c>
      <c r="BE419" s="1587">
        <f t="shared" si="293"/>
        <v>0</v>
      </c>
      <c r="BH419" s="1212" t="e">
        <f t="shared" ca="1" si="294"/>
        <v>#N/A</v>
      </c>
      <c r="BI419" s="1213" t="e">
        <f t="shared" ca="1" si="295"/>
        <v>#N/A</v>
      </c>
      <c r="BJ419" s="1587">
        <f t="shared" si="296"/>
        <v>0</v>
      </c>
      <c r="BM419" s="1212" t="e">
        <f t="shared" ca="1" si="297"/>
        <v>#N/A</v>
      </c>
      <c r="BN419" s="1213" t="e">
        <f t="shared" ca="1" si="298"/>
        <v>#N/A</v>
      </c>
      <c r="BO419" s="1587">
        <f t="shared" si="299"/>
        <v>0</v>
      </c>
      <c r="BR419" s="1212" t="e">
        <f t="shared" ca="1" si="300"/>
        <v>#N/A</v>
      </c>
      <c r="BS419" s="1213" t="e">
        <f t="shared" ca="1" si="301"/>
        <v>#N/A</v>
      </c>
      <c r="BT419" s="1587">
        <f t="shared" si="302"/>
        <v>0</v>
      </c>
      <c r="BW419" s="1212" t="e">
        <f t="shared" ca="1" si="303"/>
        <v>#N/A</v>
      </c>
      <c r="BX419" s="1213" t="e">
        <f t="shared" ca="1" si="304"/>
        <v>#N/A</v>
      </c>
      <c r="BY419" s="1587">
        <f t="shared" si="305"/>
        <v>0</v>
      </c>
      <c r="CB419" s="1212" t="e">
        <f t="shared" ca="1" si="306"/>
        <v>#N/A</v>
      </c>
      <c r="CC419" s="1213" t="e">
        <f t="shared" ca="1" si="307"/>
        <v>#N/A</v>
      </c>
      <c r="CD419" s="1587">
        <f t="shared" si="308"/>
        <v>0</v>
      </c>
      <c r="CG419" s="1212" t="e">
        <f t="shared" ca="1" si="309"/>
        <v>#N/A</v>
      </c>
      <c r="CH419" s="1213" t="e">
        <f t="shared" ca="1" si="310"/>
        <v>#N/A</v>
      </c>
      <c r="CI419" s="1587">
        <f t="shared" si="311"/>
        <v>0</v>
      </c>
      <c r="CL419" s="1212" t="e">
        <f t="shared" ca="1" si="312"/>
        <v>#N/A</v>
      </c>
      <c r="CM419" s="1213" t="e">
        <f t="shared" ca="1" si="313"/>
        <v>#N/A</v>
      </c>
      <c r="CN419" s="1587">
        <f t="shared" si="314"/>
        <v>0</v>
      </c>
    </row>
    <row r="420" spans="1:92">
      <c r="A420" s="141">
        <f>'銀行-TSS'!A420</f>
        <v>0</v>
      </c>
      <c r="B420" s="151">
        <f ca="1">VLOOKUP(A420,'銀行-TSS'!A:B,2,FALSE)</f>
        <v>0</v>
      </c>
      <c r="C420" s="151" t="e">
        <f ca="1">VLOOKUP(B420,bond!B:C,2,FALSE)</f>
        <v>#N/A</v>
      </c>
      <c r="D420" s="95" t="e">
        <f>VLOOKUP(A420,'銀行-TSS'!A:C,3,FALSE)</f>
        <v>#N/A</v>
      </c>
      <c r="E420" s="90" t="e">
        <f ca="1">VLOOKUP(A420,'銀行-TSS'!A:G,7,FALSE)</f>
        <v>#N/A</v>
      </c>
      <c r="F420" s="202" t="e">
        <f ca="1">VLOOKUP(A420,'銀行-TSS'!A:H,8,FALSE)</f>
        <v>#N/A</v>
      </c>
      <c r="G420" s="96" t="e">
        <f ca="1">VLOOKUP(A420,'銀行-TSS'!A:K,11,FALSE)</f>
        <v>#N/A</v>
      </c>
      <c r="H420" s="1209" t="e">
        <f ca="1">VLOOKUP(A420,'銀行-TSS'!A:M,13,FALSE)</f>
        <v>#N/A</v>
      </c>
      <c r="I420" s="1213" t="e">
        <f ca="1">VLOOKUP(A420,'銀行-TSS'!A:N,14,FALSE)</f>
        <v>#N/A</v>
      </c>
      <c r="J420" s="1213" t="e">
        <f ca="1">VLOOKUP(A420,'銀行-TSS'!A:O,15,FALSE)</f>
        <v>#N/A</v>
      </c>
      <c r="K420" s="136" t="e">
        <f ca="1">VLOOKUP(A420,'銀行-TSS'!A:V,22,FALSE)</f>
        <v>#N/A</v>
      </c>
      <c r="L420" s="136" t="e">
        <f ca="1">VLOOKUP(A420,'銀行-TSS'!A:AK,37,FALSE)</f>
        <v>#N/A</v>
      </c>
      <c r="M420" s="136" t="str">
        <f ca="1">VLOOKUP(A420,'銀行-TSS'!A:AN,40,FALSE)</f>
        <v/>
      </c>
      <c r="N420" s="136" t="e">
        <f t="shared" ca="1" si="270"/>
        <v>#N/A</v>
      </c>
      <c r="O420" s="1213" t="e">
        <f t="shared" ca="1" si="271"/>
        <v>#N/A</v>
      </c>
      <c r="P420" s="1213" t="e">
        <f ca="1">IF(AND($O$1&gt;=O420,換券單檔!$D$13=D420),I420+INT(($O$1-O420)/N420)*J420,0)</f>
        <v>#N/A</v>
      </c>
      <c r="Q420" s="1213" t="e">
        <f t="shared" ca="1" si="272"/>
        <v>#N/A</v>
      </c>
      <c r="R420" s="1213">
        <f t="shared" si="273"/>
        <v>0</v>
      </c>
      <c r="S420" s="1213">
        <f t="shared" si="274"/>
        <v>0</v>
      </c>
      <c r="T420" s="136">
        <f>IF(OR(R420=0,A420=0),0,IF(AND(V420=TRUE,換券單檔!$D$13=D420),E420,0))</f>
        <v>0</v>
      </c>
      <c r="U420" s="861">
        <f>IF(OR(R420=0,A420=0),0,IF(AND(V420=TRUE,換券單檔!$D$13=D420),H420,0))</f>
        <v>0</v>
      </c>
      <c r="V420" s="136" t="e">
        <f ca="1">IF(OR(B420=換券單檔!$D$3,L420="無",M420&lt;&gt;"",K420="高資產",IFERROR(MATCH(B420,換券單檔!K:K,0),"N")&lt;&gt;"N"),FALSE,IF($V$1="All",TRUE,IF(K420=$V$1,TRUE,FALSE)))</f>
        <v>#N/A</v>
      </c>
      <c r="W420" s="136" t="e">
        <f ca="1">VLOOKUP(A420,'銀行-TSS'!A:AO,41,FALSE)</f>
        <v>#N/A</v>
      </c>
      <c r="X420" s="136" t="e">
        <f ca="1">VLOOKUP(A420,'銀行-TSS'!A:AP,42,FALSE)</f>
        <v>#N/A</v>
      </c>
      <c r="Y420" s="1220">
        <f t="shared" si="275"/>
        <v>0</v>
      </c>
      <c r="Z420" s="1220">
        <f t="shared" si="276"/>
        <v>0</v>
      </c>
      <c r="AA420" s="136">
        <f>IF(Z420&lt;=0,0,RANK(Z420,Z:Z)+COUNTIF($Z$3:$Z420,Z420)-1)</f>
        <v>0</v>
      </c>
      <c r="AB420" s="1211">
        <f t="shared" ca="1" si="277"/>
        <v>-14896.14</v>
      </c>
      <c r="AC420" s="136">
        <f ca="1">IF(AB420&lt;=0,0,RANK(AB420,AB:AB)+COUNTIF($AB$3:$AB420,AB420)-1)</f>
        <v>0</v>
      </c>
      <c r="AD420" s="1123">
        <f t="shared" si="278"/>
        <v>99999</v>
      </c>
      <c r="AE420" s="1123">
        <f>IF(AD420=99999,0,RANK(AD420,AD:AD,1)+COUNTIF($AD$3:$AD420,AD420)-1)</f>
        <v>0</v>
      </c>
      <c r="AF420" s="86" t="e">
        <f ca="1">IF(OR(M420&lt;&gt;"",L420="無",K420="高資產",IFERROR(MATCH(B420,換券單檔!K:K,0),"N")&lt;&gt;"N"),FALSE,TRUE)</f>
        <v>#N/A</v>
      </c>
      <c r="AI420" s="1212" t="e">
        <f t="shared" ca="1" si="279"/>
        <v>#N/A</v>
      </c>
      <c r="AJ420" s="1213" t="e">
        <f t="shared" ca="1" si="280"/>
        <v>#N/A</v>
      </c>
      <c r="AK420" s="1587">
        <f t="shared" si="281"/>
        <v>0</v>
      </c>
      <c r="AN420" s="1212" t="e">
        <f t="shared" ca="1" si="282"/>
        <v>#N/A</v>
      </c>
      <c r="AO420" s="1213" t="e">
        <f t="shared" ca="1" si="283"/>
        <v>#N/A</v>
      </c>
      <c r="AP420" s="1587">
        <f t="shared" si="284"/>
        <v>0</v>
      </c>
      <c r="AS420" s="1212" t="e">
        <f t="shared" ca="1" si="285"/>
        <v>#N/A</v>
      </c>
      <c r="AT420" s="1213" t="e">
        <f t="shared" ca="1" si="286"/>
        <v>#N/A</v>
      </c>
      <c r="AU420" s="1587">
        <f t="shared" si="287"/>
        <v>0</v>
      </c>
      <c r="AX420" s="1212" t="e">
        <f t="shared" ca="1" si="288"/>
        <v>#N/A</v>
      </c>
      <c r="AY420" s="1213" t="e">
        <f t="shared" ca="1" si="289"/>
        <v>#N/A</v>
      </c>
      <c r="AZ420" s="1587">
        <f t="shared" si="290"/>
        <v>0</v>
      </c>
      <c r="BC420" s="1212" t="e">
        <f t="shared" ca="1" si="291"/>
        <v>#N/A</v>
      </c>
      <c r="BD420" s="1213" t="e">
        <f t="shared" ca="1" si="292"/>
        <v>#N/A</v>
      </c>
      <c r="BE420" s="1587">
        <f t="shared" si="293"/>
        <v>0</v>
      </c>
      <c r="BH420" s="1212" t="e">
        <f t="shared" ca="1" si="294"/>
        <v>#N/A</v>
      </c>
      <c r="BI420" s="1213" t="e">
        <f t="shared" ca="1" si="295"/>
        <v>#N/A</v>
      </c>
      <c r="BJ420" s="1587">
        <f t="shared" si="296"/>
        <v>0</v>
      </c>
      <c r="BM420" s="1212" t="e">
        <f t="shared" ca="1" si="297"/>
        <v>#N/A</v>
      </c>
      <c r="BN420" s="1213" t="e">
        <f t="shared" ca="1" si="298"/>
        <v>#N/A</v>
      </c>
      <c r="BO420" s="1587">
        <f t="shared" si="299"/>
        <v>0</v>
      </c>
      <c r="BR420" s="1212" t="e">
        <f t="shared" ca="1" si="300"/>
        <v>#N/A</v>
      </c>
      <c r="BS420" s="1213" t="e">
        <f t="shared" ca="1" si="301"/>
        <v>#N/A</v>
      </c>
      <c r="BT420" s="1587">
        <f t="shared" si="302"/>
        <v>0</v>
      </c>
      <c r="BW420" s="1212" t="e">
        <f t="shared" ca="1" si="303"/>
        <v>#N/A</v>
      </c>
      <c r="BX420" s="1213" t="e">
        <f t="shared" ca="1" si="304"/>
        <v>#N/A</v>
      </c>
      <c r="BY420" s="1587">
        <f t="shared" si="305"/>
        <v>0</v>
      </c>
      <c r="CB420" s="1212" t="e">
        <f t="shared" ca="1" si="306"/>
        <v>#N/A</v>
      </c>
      <c r="CC420" s="1213" t="e">
        <f t="shared" ca="1" si="307"/>
        <v>#N/A</v>
      </c>
      <c r="CD420" s="1587">
        <f t="shared" si="308"/>
        <v>0</v>
      </c>
      <c r="CG420" s="1212" t="e">
        <f t="shared" ca="1" si="309"/>
        <v>#N/A</v>
      </c>
      <c r="CH420" s="1213" t="e">
        <f t="shared" ca="1" si="310"/>
        <v>#N/A</v>
      </c>
      <c r="CI420" s="1587">
        <f t="shared" si="311"/>
        <v>0</v>
      </c>
      <c r="CL420" s="1212" t="e">
        <f t="shared" ca="1" si="312"/>
        <v>#N/A</v>
      </c>
      <c r="CM420" s="1213" t="e">
        <f t="shared" ca="1" si="313"/>
        <v>#N/A</v>
      </c>
      <c r="CN420" s="1587">
        <f t="shared" si="314"/>
        <v>0</v>
      </c>
    </row>
    <row r="421" spans="1:92">
      <c r="A421" s="141">
        <f>'銀行-TSS'!A421</f>
        <v>0</v>
      </c>
      <c r="B421" s="151">
        <f ca="1">VLOOKUP(A421,'銀行-TSS'!A:B,2,FALSE)</f>
        <v>0</v>
      </c>
      <c r="C421" s="151" t="e">
        <f ca="1">VLOOKUP(B421,bond!B:C,2,FALSE)</f>
        <v>#N/A</v>
      </c>
      <c r="D421" s="95" t="e">
        <f>VLOOKUP(A421,'銀行-TSS'!A:C,3,FALSE)</f>
        <v>#N/A</v>
      </c>
      <c r="E421" s="90" t="e">
        <f ca="1">VLOOKUP(A421,'銀行-TSS'!A:G,7,FALSE)</f>
        <v>#N/A</v>
      </c>
      <c r="F421" s="202" t="e">
        <f ca="1">VLOOKUP(A421,'銀行-TSS'!A:H,8,FALSE)</f>
        <v>#N/A</v>
      </c>
      <c r="G421" s="96" t="e">
        <f ca="1">VLOOKUP(A421,'銀行-TSS'!A:K,11,FALSE)</f>
        <v>#N/A</v>
      </c>
      <c r="H421" s="1209" t="e">
        <f ca="1">VLOOKUP(A421,'銀行-TSS'!A:M,13,FALSE)</f>
        <v>#N/A</v>
      </c>
      <c r="I421" s="1213" t="e">
        <f ca="1">VLOOKUP(A421,'銀行-TSS'!A:N,14,FALSE)</f>
        <v>#N/A</v>
      </c>
      <c r="J421" s="1213" t="e">
        <f ca="1">VLOOKUP(A421,'銀行-TSS'!A:O,15,FALSE)</f>
        <v>#N/A</v>
      </c>
      <c r="K421" s="136" t="e">
        <f ca="1">VLOOKUP(A421,'銀行-TSS'!A:V,22,FALSE)</f>
        <v>#N/A</v>
      </c>
      <c r="L421" s="136" t="e">
        <f ca="1">VLOOKUP(A421,'銀行-TSS'!A:AK,37,FALSE)</f>
        <v>#N/A</v>
      </c>
      <c r="M421" s="136" t="str">
        <f ca="1">VLOOKUP(A421,'銀行-TSS'!A:AN,40,FALSE)</f>
        <v/>
      </c>
      <c r="N421" s="136" t="e">
        <f t="shared" ca="1" si="270"/>
        <v>#N/A</v>
      </c>
      <c r="O421" s="1213" t="e">
        <f t="shared" ca="1" si="271"/>
        <v>#N/A</v>
      </c>
      <c r="P421" s="1213" t="e">
        <f ca="1">IF(AND($O$1&gt;=O421,換券單檔!$D$13=D421),I421+INT(($O$1-O421)/N421)*J421,0)</f>
        <v>#N/A</v>
      </c>
      <c r="Q421" s="1213" t="e">
        <f t="shared" ca="1" si="272"/>
        <v>#N/A</v>
      </c>
      <c r="R421" s="1213">
        <f t="shared" si="273"/>
        <v>0</v>
      </c>
      <c r="S421" s="1213">
        <f t="shared" si="274"/>
        <v>0</v>
      </c>
      <c r="T421" s="136">
        <f>IF(OR(R421=0,A421=0),0,IF(AND(V421=TRUE,換券單檔!$D$13=D421),E421,0))</f>
        <v>0</v>
      </c>
      <c r="U421" s="861">
        <f>IF(OR(R421=0,A421=0),0,IF(AND(V421=TRUE,換券單檔!$D$13=D421),H421,0))</f>
        <v>0</v>
      </c>
      <c r="V421" s="136" t="e">
        <f ca="1">IF(OR(B421=換券單檔!$D$3,L421="無",M421&lt;&gt;"",K421="高資產",IFERROR(MATCH(B421,換券單檔!K:K,0),"N")&lt;&gt;"N"),FALSE,IF($V$1="All",TRUE,IF(K421=$V$1,TRUE,FALSE)))</f>
        <v>#N/A</v>
      </c>
      <c r="W421" s="136" t="e">
        <f ca="1">VLOOKUP(A421,'銀行-TSS'!A:AO,41,FALSE)</f>
        <v>#N/A</v>
      </c>
      <c r="X421" s="136" t="e">
        <f ca="1">VLOOKUP(A421,'銀行-TSS'!A:AP,42,FALSE)</f>
        <v>#N/A</v>
      </c>
      <c r="Y421" s="1220">
        <f t="shared" si="275"/>
        <v>0</v>
      </c>
      <c r="Z421" s="1220">
        <f t="shared" si="276"/>
        <v>0</v>
      </c>
      <c r="AA421" s="136">
        <f>IF(Z421&lt;=0,0,RANK(Z421,Z:Z)+COUNTIF($Z$3:$Z421,Z421)-1)</f>
        <v>0</v>
      </c>
      <c r="AB421" s="1211">
        <f t="shared" ca="1" si="277"/>
        <v>-14896.14</v>
      </c>
      <c r="AC421" s="136">
        <f ca="1">IF(AB421&lt;=0,0,RANK(AB421,AB:AB)+COUNTIF($AB$3:$AB421,AB421)-1)</f>
        <v>0</v>
      </c>
      <c r="AD421" s="1123">
        <f t="shared" si="278"/>
        <v>99999</v>
      </c>
      <c r="AE421" s="1123">
        <f>IF(AD421=99999,0,RANK(AD421,AD:AD,1)+COUNTIF($AD$3:$AD421,AD421)-1)</f>
        <v>0</v>
      </c>
      <c r="AF421" s="86" t="e">
        <f ca="1">IF(OR(M421&lt;&gt;"",L421="無",K421="高資產",IFERROR(MATCH(B421,換券單檔!K:K,0),"N")&lt;&gt;"N"),FALSE,TRUE)</f>
        <v>#N/A</v>
      </c>
      <c r="AI421" s="1212" t="e">
        <f t="shared" ca="1" si="279"/>
        <v>#N/A</v>
      </c>
      <c r="AJ421" s="1213" t="e">
        <f t="shared" ca="1" si="280"/>
        <v>#N/A</v>
      </c>
      <c r="AK421" s="1587">
        <f t="shared" si="281"/>
        <v>0</v>
      </c>
      <c r="AN421" s="1212" t="e">
        <f t="shared" ca="1" si="282"/>
        <v>#N/A</v>
      </c>
      <c r="AO421" s="1213" t="e">
        <f t="shared" ca="1" si="283"/>
        <v>#N/A</v>
      </c>
      <c r="AP421" s="1587">
        <f t="shared" si="284"/>
        <v>0</v>
      </c>
      <c r="AS421" s="1212" t="e">
        <f t="shared" ca="1" si="285"/>
        <v>#N/A</v>
      </c>
      <c r="AT421" s="1213" t="e">
        <f t="shared" ca="1" si="286"/>
        <v>#N/A</v>
      </c>
      <c r="AU421" s="1587">
        <f t="shared" si="287"/>
        <v>0</v>
      </c>
      <c r="AX421" s="1212" t="e">
        <f t="shared" ca="1" si="288"/>
        <v>#N/A</v>
      </c>
      <c r="AY421" s="1213" t="e">
        <f t="shared" ca="1" si="289"/>
        <v>#N/A</v>
      </c>
      <c r="AZ421" s="1587">
        <f t="shared" si="290"/>
        <v>0</v>
      </c>
      <c r="BC421" s="1212" t="e">
        <f t="shared" ca="1" si="291"/>
        <v>#N/A</v>
      </c>
      <c r="BD421" s="1213" t="e">
        <f t="shared" ca="1" si="292"/>
        <v>#N/A</v>
      </c>
      <c r="BE421" s="1587">
        <f t="shared" si="293"/>
        <v>0</v>
      </c>
      <c r="BH421" s="1212" t="e">
        <f t="shared" ca="1" si="294"/>
        <v>#N/A</v>
      </c>
      <c r="BI421" s="1213" t="e">
        <f t="shared" ca="1" si="295"/>
        <v>#N/A</v>
      </c>
      <c r="BJ421" s="1587">
        <f t="shared" si="296"/>
        <v>0</v>
      </c>
      <c r="BM421" s="1212" t="e">
        <f t="shared" ca="1" si="297"/>
        <v>#N/A</v>
      </c>
      <c r="BN421" s="1213" t="e">
        <f t="shared" ca="1" si="298"/>
        <v>#N/A</v>
      </c>
      <c r="BO421" s="1587">
        <f t="shared" si="299"/>
        <v>0</v>
      </c>
      <c r="BR421" s="1212" t="e">
        <f t="shared" ca="1" si="300"/>
        <v>#N/A</v>
      </c>
      <c r="BS421" s="1213" t="e">
        <f t="shared" ca="1" si="301"/>
        <v>#N/A</v>
      </c>
      <c r="BT421" s="1587">
        <f t="shared" si="302"/>
        <v>0</v>
      </c>
      <c r="BW421" s="1212" t="e">
        <f t="shared" ca="1" si="303"/>
        <v>#N/A</v>
      </c>
      <c r="BX421" s="1213" t="e">
        <f t="shared" ca="1" si="304"/>
        <v>#N/A</v>
      </c>
      <c r="BY421" s="1587">
        <f t="shared" si="305"/>
        <v>0</v>
      </c>
      <c r="CB421" s="1212" t="e">
        <f t="shared" ca="1" si="306"/>
        <v>#N/A</v>
      </c>
      <c r="CC421" s="1213" t="e">
        <f t="shared" ca="1" si="307"/>
        <v>#N/A</v>
      </c>
      <c r="CD421" s="1587">
        <f t="shared" si="308"/>
        <v>0</v>
      </c>
      <c r="CG421" s="1212" t="e">
        <f t="shared" ca="1" si="309"/>
        <v>#N/A</v>
      </c>
      <c r="CH421" s="1213" t="e">
        <f t="shared" ca="1" si="310"/>
        <v>#N/A</v>
      </c>
      <c r="CI421" s="1587">
        <f t="shared" si="311"/>
        <v>0</v>
      </c>
      <c r="CL421" s="1212" t="e">
        <f t="shared" ca="1" si="312"/>
        <v>#N/A</v>
      </c>
      <c r="CM421" s="1213" t="e">
        <f t="shared" ca="1" si="313"/>
        <v>#N/A</v>
      </c>
      <c r="CN421" s="1587">
        <f t="shared" si="314"/>
        <v>0</v>
      </c>
    </row>
    <row r="422" spans="1:92">
      <c r="A422" s="141">
        <f>'銀行-TSS'!A422</f>
        <v>0</v>
      </c>
      <c r="B422" s="151">
        <f ca="1">VLOOKUP(A422,'銀行-TSS'!A:B,2,FALSE)</f>
        <v>0</v>
      </c>
      <c r="C422" s="151" t="e">
        <f ca="1">VLOOKUP(B422,bond!B:C,2,FALSE)</f>
        <v>#N/A</v>
      </c>
      <c r="D422" s="95" t="e">
        <f>VLOOKUP(A422,'銀行-TSS'!A:C,3,FALSE)</f>
        <v>#N/A</v>
      </c>
      <c r="E422" s="90" t="e">
        <f ca="1">VLOOKUP(A422,'銀行-TSS'!A:G,7,FALSE)</f>
        <v>#N/A</v>
      </c>
      <c r="F422" s="202" t="e">
        <f ca="1">VLOOKUP(A422,'銀行-TSS'!A:H,8,FALSE)</f>
        <v>#N/A</v>
      </c>
      <c r="G422" s="96" t="e">
        <f ca="1">VLOOKUP(A422,'銀行-TSS'!A:K,11,FALSE)</f>
        <v>#N/A</v>
      </c>
      <c r="H422" s="1209" t="e">
        <f ca="1">VLOOKUP(A422,'銀行-TSS'!A:M,13,FALSE)</f>
        <v>#N/A</v>
      </c>
      <c r="I422" s="1213" t="e">
        <f ca="1">VLOOKUP(A422,'銀行-TSS'!A:N,14,FALSE)</f>
        <v>#N/A</v>
      </c>
      <c r="J422" s="1213" t="e">
        <f ca="1">VLOOKUP(A422,'銀行-TSS'!A:O,15,FALSE)</f>
        <v>#N/A</v>
      </c>
      <c r="K422" s="136" t="e">
        <f ca="1">VLOOKUP(A422,'銀行-TSS'!A:V,22,FALSE)</f>
        <v>#N/A</v>
      </c>
      <c r="L422" s="136" t="e">
        <f ca="1">VLOOKUP(A422,'銀行-TSS'!A:AK,37,FALSE)</f>
        <v>#N/A</v>
      </c>
      <c r="M422" s="136" t="str">
        <f ca="1">VLOOKUP(A422,'銀行-TSS'!A:AN,40,FALSE)</f>
        <v/>
      </c>
      <c r="N422" s="136" t="e">
        <f t="shared" ca="1" si="270"/>
        <v>#N/A</v>
      </c>
      <c r="O422" s="1213" t="e">
        <f t="shared" ca="1" si="271"/>
        <v>#N/A</v>
      </c>
      <c r="P422" s="1213" t="e">
        <f ca="1">IF(AND($O$1&gt;=O422,換券單檔!$D$13=D422),I422+INT(($O$1-O422)/N422)*J422,0)</f>
        <v>#N/A</v>
      </c>
      <c r="Q422" s="1213" t="e">
        <f t="shared" ca="1" si="272"/>
        <v>#N/A</v>
      </c>
      <c r="R422" s="1213">
        <f t="shared" si="273"/>
        <v>0</v>
      </c>
      <c r="S422" s="1213">
        <f t="shared" si="274"/>
        <v>0</v>
      </c>
      <c r="T422" s="136">
        <f>IF(OR(R422=0,A422=0),0,IF(AND(V422=TRUE,換券單檔!$D$13=D422),E422,0))</f>
        <v>0</v>
      </c>
      <c r="U422" s="861">
        <f>IF(OR(R422=0,A422=0),0,IF(AND(V422=TRUE,換券單檔!$D$13=D422),H422,0))</f>
        <v>0</v>
      </c>
      <c r="V422" s="136" t="e">
        <f ca="1">IF(OR(B422=換券單檔!$D$3,L422="無",M422&lt;&gt;"",K422="高資產",IFERROR(MATCH(B422,換券單檔!K:K,0),"N")&lt;&gt;"N"),FALSE,IF($V$1="All",TRUE,IF(K422=$V$1,TRUE,FALSE)))</f>
        <v>#N/A</v>
      </c>
      <c r="W422" s="136" t="e">
        <f ca="1">VLOOKUP(A422,'銀行-TSS'!A:AO,41,FALSE)</f>
        <v>#N/A</v>
      </c>
      <c r="X422" s="136" t="e">
        <f ca="1">VLOOKUP(A422,'銀行-TSS'!A:AP,42,FALSE)</f>
        <v>#N/A</v>
      </c>
      <c r="Y422" s="1220">
        <f t="shared" si="275"/>
        <v>0</v>
      </c>
      <c r="Z422" s="1220">
        <f t="shared" si="276"/>
        <v>0</v>
      </c>
      <c r="AA422" s="136">
        <f>IF(Z422&lt;=0,0,RANK(Z422,Z:Z)+COUNTIF($Z$3:$Z422,Z422)-1)</f>
        <v>0</v>
      </c>
      <c r="AB422" s="1211">
        <f t="shared" ca="1" si="277"/>
        <v>-14896.14</v>
      </c>
      <c r="AC422" s="136">
        <f ca="1">IF(AB422&lt;=0,0,RANK(AB422,AB:AB)+COUNTIF($AB$3:$AB422,AB422)-1)</f>
        <v>0</v>
      </c>
      <c r="AD422" s="1123">
        <f t="shared" si="278"/>
        <v>99999</v>
      </c>
      <c r="AE422" s="1123">
        <f>IF(AD422=99999,0,RANK(AD422,AD:AD,1)+COUNTIF($AD$3:$AD422,AD422)-1)</f>
        <v>0</v>
      </c>
      <c r="AF422" s="86" t="e">
        <f ca="1">IF(OR(M422&lt;&gt;"",L422="無",K422="高資產",IFERROR(MATCH(B422,換券單檔!K:K,0),"N")&lt;&gt;"N"),FALSE,TRUE)</f>
        <v>#N/A</v>
      </c>
      <c r="AI422" s="1212" t="e">
        <f t="shared" ca="1" si="279"/>
        <v>#N/A</v>
      </c>
      <c r="AJ422" s="1213" t="e">
        <f t="shared" ca="1" si="280"/>
        <v>#N/A</v>
      </c>
      <c r="AK422" s="1587">
        <f t="shared" si="281"/>
        <v>0</v>
      </c>
      <c r="AN422" s="1212" t="e">
        <f t="shared" ca="1" si="282"/>
        <v>#N/A</v>
      </c>
      <c r="AO422" s="1213" t="e">
        <f t="shared" ca="1" si="283"/>
        <v>#N/A</v>
      </c>
      <c r="AP422" s="1587">
        <f t="shared" si="284"/>
        <v>0</v>
      </c>
      <c r="AS422" s="1212" t="e">
        <f t="shared" ca="1" si="285"/>
        <v>#N/A</v>
      </c>
      <c r="AT422" s="1213" t="e">
        <f t="shared" ca="1" si="286"/>
        <v>#N/A</v>
      </c>
      <c r="AU422" s="1587">
        <f t="shared" si="287"/>
        <v>0</v>
      </c>
      <c r="AX422" s="1212" t="e">
        <f t="shared" ca="1" si="288"/>
        <v>#N/A</v>
      </c>
      <c r="AY422" s="1213" t="e">
        <f t="shared" ca="1" si="289"/>
        <v>#N/A</v>
      </c>
      <c r="AZ422" s="1587">
        <f t="shared" si="290"/>
        <v>0</v>
      </c>
      <c r="BC422" s="1212" t="e">
        <f t="shared" ca="1" si="291"/>
        <v>#N/A</v>
      </c>
      <c r="BD422" s="1213" t="e">
        <f t="shared" ca="1" si="292"/>
        <v>#N/A</v>
      </c>
      <c r="BE422" s="1587">
        <f t="shared" si="293"/>
        <v>0</v>
      </c>
      <c r="BH422" s="1212" t="e">
        <f t="shared" ca="1" si="294"/>
        <v>#N/A</v>
      </c>
      <c r="BI422" s="1213" t="e">
        <f t="shared" ca="1" si="295"/>
        <v>#N/A</v>
      </c>
      <c r="BJ422" s="1587">
        <f t="shared" si="296"/>
        <v>0</v>
      </c>
      <c r="BM422" s="1212" t="e">
        <f t="shared" ca="1" si="297"/>
        <v>#N/A</v>
      </c>
      <c r="BN422" s="1213" t="e">
        <f t="shared" ca="1" si="298"/>
        <v>#N/A</v>
      </c>
      <c r="BO422" s="1587">
        <f t="shared" si="299"/>
        <v>0</v>
      </c>
      <c r="BR422" s="1212" t="e">
        <f t="shared" ca="1" si="300"/>
        <v>#N/A</v>
      </c>
      <c r="BS422" s="1213" t="e">
        <f t="shared" ca="1" si="301"/>
        <v>#N/A</v>
      </c>
      <c r="BT422" s="1587">
        <f t="shared" si="302"/>
        <v>0</v>
      </c>
      <c r="BW422" s="1212" t="e">
        <f t="shared" ca="1" si="303"/>
        <v>#N/A</v>
      </c>
      <c r="BX422" s="1213" t="e">
        <f t="shared" ca="1" si="304"/>
        <v>#N/A</v>
      </c>
      <c r="BY422" s="1587">
        <f t="shared" si="305"/>
        <v>0</v>
      </c>
      <c r="CB422" s="1212" t="e">
        <f t="shared" ca="1" si="306"/>
        <v>#N/A</v>
      </c>
      <c r="CC422" s="1213" t="e">
        <f t="shared" ca="1" si="307"/>
        <v>#N/A</v>
      </c>
      <c r="CD422" s="1587">
        <f t="shared" si="308"/>
        <v>0</v>
      </c>
      <c r="CG422" s="1212" t="e">
        <f t="shared" ca="1" si="309"/>
        <v>#N/A</v>
      </c>
      <c r="CH422" s="1213" t="e">
        <f t="shared" ca="1" si="310"/>
        <v>#N/A</v>
      </c>
      <c r="CI422" s="1587">
        <f t="shared" si="311"/>
        <v>0</v>
      </c>
      <c r="CL422" s="1212" t="e">
        <f t="shared" ca="1" si="312"/>
        <v>#N/A</v>
      </c>
      <c r="CM422" s="1213" t="e">
        <f t="shared" ca="1" si="313"/>
        <v>#N/A</v>
      </c>
      <c r="CN422" s="1587">
        <f t="shared" si="314"/>
        <v>0</v>
      </c>
    </row>
    <row r="423" spans="1:92">
      <c r="A423" s="141">
        <f>'銀行-TSS'!A423</f>
        <v>0</v>
      </c>
      <c r="B423" s="151">
        <f ca="1">VLOOKUP(A423,'銀行-TSS'!A:B,2,FALSE)</f>
        <v>0</v>
      </c>
      <c r="C423" s="151" t="e">
        <f ca="1">VLOOKUP(B423,bond!B:C,2,FALSE)</f>
        <v>#N/A</v>
      </c>
      <c r="D423" s="95" t="e">
        <f>VLOOKUP(A423,'銀行-TSS'!A:C,3,FALSE)</f>
        <v>#N/A</v>
      </c>
      <c r="E423" s="90" t="e">
        <f ca="1">VLOOKUP(A423,'銀行-TSS'!A:G,7,FALSE)</f>
        <v>#N/A</v>
      </c>
      <c r="F423" s="202" t="e">
        <f ca="1">VLOOKUP(A423,'銀行-TSS'!A:H,8,FALSE)</f>
        <v>#N/A</v>
      </c>
      <c r="G423" s="96" t="e">
        <f ca="1">VLOOKUP(A423,'銀行-TSS'!A:K,11,FALSE)</f>
        <v>#N/A</v>
      </c>
      <c r="H423" s="1209" t="e">
        <f ca="1">VLOOKUP(A423,'銀行-TSS'!A:M,13,FALSE)</f>
        <v>#N/A</v>
      </c>
      <c r="I423" s="1213" t="e">
        <f ca="1">VLOOKUP(A423,'銀行-TSS'!A:N,14,FALSE)</f>
        <v>#N/A</v>
      </c>
      <c r="J423" s="1213" t="e">
        <f ca="1">VLOOKUP(A423,'銀行-TSS'!A:O,15,FALSE)</f>
        <v>#N/A</v>
      </c>
      <c r="K423" s="136" t="e">
        <f ca="1">VLOOKUP(A423,'銀行-TSS'!A:V,22,FALSE)</f>
        <v>#N/A</v>
      </c>
      <c r="L423" s="136" t="e">
        <f ca="1">VLOOKUP(A423,'銀行-TSS'!A:AK,37,FALSE)</f>
        <v>#N/A</v>
      </c>
      <c r="M423" s="136" t="str">
        <f ca="1">VLOOKUP(A423,'銀行-TSS'!A:AN,40,FALSE)</f>
        <v/>
      </c>
      <c r="N423" s="136" t="e">
        <f t="shared" ca="1" si="270"/>
        <v>#N/A</v>
      </c>
      <c r="O423" s="1213" t="e">
        <f t="shared" ca="1" si="271"/>
        <v>#N/A</v>
      </c>
      <c r="P423" s="1213" t="e">
        <f ca="1">IF(AND($O$1&gt;=O423,換券單檔!$D$13=D423),I423+INT(($O$1-O423)/N423)*J423,0)</f>
        <v>#N/A</v>
      </c>
      <c r="Q423" s="1213" t="e">
        <f t="shared" ca="1" si="272"/>
        <v>#N/A</v>
      </c>
      <c r="R423" s="1213">
        <f t="shared" si="273"/>
        <v>0</v>
      </c>
      <c r="S423" s="1213">
        <f t="shared" si="274"/>
        <v>0</v>
      </c>
      <c r="T423" s="136">
        <f>IF(OR(R423=0,A423=0),0,IF(AND(V423=TRUE,換券單檔!$D$13=D423),E423,0))</f>
        <v>0</v>
      </c>
      <c r="U423" s="861">
        <f>IF(OR(R423=0,A423=0),0,IF(AND(V423=TRUE,換券單檔!$D$13=D423),H423,0))</f>
        <v>0</v>
      </c>
      <c r="V423" s="136" t="e">
        <f ca="1">IF(OR(B423=換券單檔!$D$3,L423="無",M423&lt;&gt;"",K423="高資產",IFERROR(MATCH(B423,換券單檔!K:K,0),"N")&lt;&gt;"N"),FALSE,IF($V$1="All",TRUE,IF(K423=$V$1,TRUE,FALSE)))</f>
        <v>#N/A</v>
      </c>
      <c r="W423" s="136" t="e">
        <f ca="1">VLOOKUP(A423,'銀行-TSS'!A:AO,41,FALSE)</f>
        <v>#N/A</v>
      </c>
      <c r="X423" s="136" t="e">
        <f ca="1">VLOOKUP(A423,'銀行-TSS'!A:AP,42,FALSE)</f>
        <v>#N/A</v>
      </c>
      <c r="Y423" s="1220">
        <f t="shared" si="275"/>
        <v>0</v>
      </c>
      <c r="Z423" s="1220">
        <f t="shared" si="276"/>
        <v>0</v>
      </c>
      <c r="AA423" s="136">
        <f>IF(Z423&lt;=0,0,RANK(Z423,Z:Z)+COUNTIF($Z$3:$Z423,Z423)-1)</f>
        <v>0</v>
      </c>
      <c r="AB423" s="1211">
        <f t="shared" ca="1" si="277"/>
        <v>-14896.14</v>
      </c>
      <c r="AC423" s="136">
        <f ca="1">IF(AB423&lt;=0,0,RANK(AB423,AB:AB)+COUNTIF($AB$3:$AB423,AB423)-1)</f>
        <v>0</v>
      </c>
      <c r="AD423" s="1123">
        <f t="shared" si="278"/>
        <v>99999</v>
      </c>
      <c r="AE423" s="1123">
        <f>IF(AD423=99999,0,RANK(AD423,AD:AD,1)+COUNTIF($AD$3:$AD423,AD423)-1)</f>
        <v>0</v>
      </c>
      <c r="AF423" s="86" t="e">
        <f ca="1">IF(OR(M423&lt;&gt;"",L423="無",K423="高資產",IFERROR(MATCH(B423,換券單檔!K:K,0),"N")&lt;&gt;"N"),FALSE,TRUE)</f>
        <v>#N/A</v>
      </c>
      <c r="AI423" s="1212" t="e">
        <f t="shared" ca="1" si="279"/>
        <v>#N/A</v>
      </c>
      <c r="AJ423" s="1213" t="e">
        <f t="shared" ca="1" si="280"/>
        <v>#N/A</v>
      </c>
      <c r="AK423" s="1587">
        <f t="shared" si="281"/>
        <v>0</v>
      </c>
      <c r="AN423" s="1212" t="e">
        <f t="shared" ca="1" si="282"/>
        <v>#N/A</v>
      </c>
      <c r="AO423" s="1213" t="e">
        <f t="shared" ca="1" si="283"/>
        <v>#N/A</v>
      </c>
      <c r="AP423" s="1587">
        <f t="shared" si="284"/>
        <v>0</v>
      </c>
      <c r="AS423" s="1212" t="e">
        <f t="shared" ca="1" si="285"/>
        <v>#N/A</v>
      </c>
      <c r="AT423" s="1213" t="e">
        <f t="shared" ca="1" si="286"/>
        <v>#N/A</v>
      </c>
      <c r="AU423" s="1587">
        <f t="shared" si="287"/>
        <v>0</v>
      </c>
      <c r="AX423" s="1212" t="e">
        <f t="shared" ca="1" si="288"/>
        <v>#N/A</v>
      </c>
      <c r="AY423" s="1213" t="e">
        <f t="shared" ca="1" si="289"/>
        <v>#N/A</v>
      </c>
      <c r="AZ423" s="1587">
        <f t="shared" si="290"/>
        <v>0</v>
      </c>
      <c r="BC423" s="1212" t="e">
        <f t="shared" ca="1" si="291"/>
        <v>#N/A</v>
      </c>
      <c r="BD423" s="1213" t="e">
        <f t="shared" ca="1" si="292"/>
        <v>#N/A</v>
      </c>
      <c r="BE423" s="1587">
        <f t="shared" si="293"/>
        <v>0</v>
      </c>
      <c r="BH423" s="1212" t="e">
        <f t="shared" ca="1" si="294"/>
        <v>#N/A</v>
      </c>
      <c r="BI423" s="1213" t="e">
        <f t="shared" ca="1" si="295"/>
        <v>#N/A</v>
      </c>
      <c r="BJ423" s="1587">
        <f t="shared" si="296"/>
        <v>0</v>
      </c>
      <c r="BM423" s="1212" t="e">
        <f t="shared" ca="1" si="297"/>
        <v>#N/A</v>
      </c>
      <c r="BN423" s="1213" t="e">
        <f t="shared" ca="1" si="298"/>
        <v>#N/A</v>
      </c>
      <c r="BO423" s="1587">
        <f t="shared" si="299"/>
        <v>0</v>
      </c>
      <c r="BR423" s="1212" t="e">
        <f t="shared" ca="1" si="300"/>
        <v>#N/A</v>
      </c>
      <c r="BS423" s="1213" t="e">
        <f t="shared" ca="1" si="301"/>
        <v>#N/A</v>
      </c>
      <c r="BT423" s="1587">
        <f t="shared" si="302"/>
        <v>0</v>
      </c>
      <c r="BW423" s="1212" t="e">
        <f t="shared" ca="1" si="303"/>
        <v>#N/A</v>
      </c>
      <c r="BX423" s="1213" t="e">
        <f t="shared" ca="1" si="304"/>
        <v>#N/A</v>
      </c>
      <c r="BY423" s="1587">
        <f t="shared" si="305"/>
        <v>0</v>
      </c>
      <c r="CB423" s="1212" t="e">
        <f t="shared" ca="1" si="306"/>
        <v>#N/A</v>
      </c>
      <c r="CC423" s="1213" t="e">
        <f t="shared" ca="1" si="307"/>
        <v>#N/A</v>
      </c>
      <c r="CD423" s="1587">
        <f t="shared" si="308"/>
        <v>0</v>
      </c>
      <c r="CG423" s="1212" t="e">
        <f t="shared" ca="1" si="309"/>
        <v>#N/A</v>
      </c>
      <c r="CH423" s="1213" t="e">
        <f t="shared" ca="1" si="310"/>
        <v>#N/A</v>
      </c>
      <c r="CI423" s="1587">
        <f t="shared" si="311"/>
        <v>0</v>
      </c>
      <c r="CL423" s="1212" t="e">
        <f t="shared" ca="1" si="312"/>
        <v>#N/A</v>
      </c>
      <c r="CM423" s="1213" t="e">
        <f t="shared" ca="1" si="313"/>
        <v>#N/A</v>
      </c>
      <c r="CN423" s="1587">
        <f t="shared" si="314"/>
        <v>0</v>
      </c>
    </row>
    <row r="424" spans="1:92">
      <c r="A424" s="141">
        <f>'銀行-TSS'!A424</f>
        <v>0</v>
      </c>
      <c r="B424" s="151">
        <f ca="1">VLOOKUP(A424,'銀行-TSS'!A:B,2,FALSE)</f>
        <v>0</v>
      </c>
      <c r="C424" s="151" t="e">
        <f ca="1">VLOOKUP(B424,bond!B:C,2,FALSE)</f>
        <v>#N/A</v>
      </c>
      <c r="D424" s="95" t="e">
        <f>VLOOKUP(A424,'銀行-TSS'!A:C,3,FALSE)</f>
        <v>#N/A</v>
      </c>
      <c r="E424" s="90" t="e">
        <f ca="1">VLOOKUP(A424,'銀行-TSS'!A:G,7,FALSE)</f>
        <v>#N/A</v>
      </c>
      <c r="F424" s="202" t="e">
        <f ca="1">VLOOKUP(A424,'銀行-TSS'!A:H,8,FALSE)</f>
        <v>#N/A</v>
      </c>
      <c r="G424" s="96" t="e">
        <f ca="1">VLOOKUP(A424,'銀行-TSS'!A:K,11,FALSE)</f>
        <v>#N/A</v>
      </c>
      <c r="H424" s="1209" t="e">
        <f ca="1">VLOOKUP(A424,'銀行-TSS'!A:M,13,FALSE)</f>
        <v>#N/A</v>
      </c>
      <c r="I424" s="1213" t="e">
        <f ca="1">VLOOKUP(A424,'銀行-TSS'!A:N,14,FALSE)</f>
        <v>#N/A</v>
      </c>
      <c r="J424" s="1213" t="e">
        <f ca="1">VLOOKUP(A424,'銀行-TSS'!A:O,15,FALSE)</f>
        <v>#N/A</v>
      </c>
      <c r="K424" s="136" t="e">
        <f ca="1">VLOOKUP(A424,'銀行-TSS'!A:V,22,FALSE)</f>
        <v>#N/A</v>
      </c>
      <c r="L424" s="136" t="e">
        <f ca="1">VLOOKUP(A424,'銀行-TSS'!A:AK,37,FALSE)</f>
        <v>#N/A</v>
      </c>
      <c r="M424" s="136" t="str">
        <f ca="1">VLOOKUP(A424,'銀行-TSS'!A:AN,40,FALSE)</f>
        <v/>
      </c>
      <c r="N424" s="136" t="e">
        <f t="shared" ca="1" si="270"/>
        <v>#N/A</v>
      </c>
      <c r="O424" s="1213" t="e">
        <f t="shared" ca="1" si="271"/>
        <v>#N/A</v>
      </c>
      <c r="P424" s="1213" t="e">
        <f ca="1">IF(AND($O$1&gt;=O424,換券單檔!$D$13=D424),I424+INT(($O$1-O424)/N424)*J424,0)</f>
        <v>#N/A</v>
      </c>
      <c r="Q424" s="1213" t="e">
        <f t="shared" ca="1" si="272"/>
        <v>#N/A</v>
      </c>
      <c r="R424" s="1213">
        <f t="shared" si="273"/>
        <v>0</v>
      </c>
      <c r="S424" s="1213">
        <f t="shared" si="274"/>
        <v>0</v>
      </c>
      <c r="T424" s="136">
        <f>IF(OR(R424=0,A424=0),0,IF(AND(V424=TRUE,換券單檔!$D$13=D424),E424,0))</f>
        <v>0</v>
      </c>
      <c r="U424" s="861">
        <f>IF(OR(R424=0,A424=0),0,IF(AND(V424=TRUE,換券單檔!$D$13=D424),H424,0))</f>
        <v>0</v>
      </c>
      <c r="V424" s="136" t="e">
        <f ca="1">IF(OR(B424=換券單檔!$D$3,L424="無",M424&lt;&gt;"",K424="高資產",IFERROR(MATCH(B424,換券單檔!K:K,0),"N")&lt;&gt;"N"),FALSE,IF($V$1="All",TRUE,IF(K424=$V$1,TRUE,FALSE)))</f>
        <v>#N/A</v>
      </c>
      <c r="W424" s="136" t="e">
        <f ca="1">VLOOKUP(A424,'銀行-TSS'!A:AO,41,FALSE)</f>
        <v>#N/A</v>
      </c>
      <c r="X424" s="136" t="e">
        <f ca="1">VLOOKUP(A424,'銀行-TSS'!A:AP,42,FALSE)</f>
        <v>#N/A</v>
      </c>
      <c r="Y424" s="1220">
        <f t="shared" si="275"/>
        <v>0</v>
      </c>
      <c r="Z424" s="1220">
        <f t="shared" si="276"/>
        <v>0</v>
      </c>
      <c r="AA424" s="136">
        <f>IF(Z424&lt;=0,0,RANK(Z424,Z:Z)+COUNTIF($Z$3:$Z424,Z424)-1)</f>
        <v>0</v>
      </c>
      <c r="AB424" s="1211">
        <f t="shared" ca="1" si="277"/>
        <v>-14896.14</v>
      </c>
      <c r="AC424" s="136">
        <f ca="1">IF(AB424&lt;=0,0,RANK(AB424,AB:AB)+COUNTIF($AB$3:$AB424,AB424)-1)</f>
        <v>0</v>
      </c>
      <c r="AD424" s="1123">
        <f t="shared" si="278"/>
        <v>99999</v>
      </c>
      <c r="AE424" s="1123">
        <f>IF(AD424=99999,0,RANK(AD424,AD:AD,1)+COUNTIF($AD$3:$AD424,AD424)-1)</f>
        <v>0</v>
      </c>
      <c r="AF424" s="86" t="e">
        <f ca="1">IF(OR(M424&lt;&gt;"",L424="無",K424="高資產",IFERROR(MATCH(B424,換券單檔!K:K,0),"N")&lt;&gt;"N"),FALSE,TRUE)</f>
        <v>#N/A</v>
      </c>
      <c r="AI424" s="1212" t="e">
        <f t="shared" ca="1" si="279"/>
        <v>#N/A</v>
      </c>
      <c r="AJ424" s="1213" t="e">
        <f t="shared" ca="1" si="280"/>
        <v>#N/A</v>
      </c>
      <c r="AK424" s="1587">
        <f t="shared" si="281"/>
        <v>0</v>
      </c>
      <c r="AN424" s="1212" t="e">
        <f t="shared" ca="1" si="282"/>
        <v>#N/A</v>
      </c>
      <c r="AO424" s="1213" t="e">
        <f t="shared" ca="1" si="283"/>
        <v>#N/A</v>
      </c>
      <c r="AP424" s="1587">
        <f t="shared" si="284"/>
        <v>0</v>
      </c>
      <c r="AS424" s="1212" t="e">
        <f t="shared" ca="1" si="285"/>
        <v>#N/A</v>
      </c>
      <c r="AT424" s="1213" t="e">
        <f t="shared" ca="1" si="286"/>
        <v>#N/A</v>
      </c>
      <c r="AU424" s="1587">
        <f t="shared" si="287"/>
        <v>0</v>
      </c>
      <c r="AX424" s="1212" t="e">
        <f t="shared" ca="1" si="288"/>
        <v>#N/A</v>
      </c>
      <c r="AY424" s="1213" t="e">
        <f t="shared" ca="1" si="289"/>
        <v>#N/A</v>
      </c>
      <c r="AZ424" s="1587">
        <f t="shared" si="290"/>
        <v>0</v>
      </c>
      <c r="BC424" s="1212" t="e">
        <f t="shared" ca="1" si="291"/>
        <v>#N/A</v>
      </c>
      <c r="BD424" s="1213" t="e">
        <f t="shared" ca="1" si="292"/>
        <v>#N/A</v>
      </c>
      <c r="BE424" s="1587">
        <f t="shared" si="293"/>
        <v>0</v>
      </c>
      <c r="BH424" s="1212" t="e">
        <f t="shared" ca="1" si="294"/>
        <v>#N/A</v>
      </c>
      <c r="BI424" s="1213" t="e">
        <f t="shared" ca="1" si="295"/>
        <v>#N/A</v>
      </c>
      <c r="BJ424" s="1587">
        <f t="shared" si="296"/>
        <v>0</v>
      </c>
      <c r="BM424" s="1212" t="e">
        <f t="shared" ca="1" si="297"/>
        <v>#N/A</v>
      </c>
      <c r="BN424" s="1213" t="e">
        <f t="shared" ca="1" si="298"/>
        <v>#N/A</v>
      </c>
      <c r="BO424" s="1587">
        <f t="shared" si="299"/>
        <v>0</v>
      </c>
      <c r="BR424" s="1212" t="e">
        <f t="shared" ca="1" si="300"/>
        <v>#N/A</v>
      </c>
      <c r="BS424" s="1213" t="e">
        <f t="shared" ca="1" si="301"/>
        <v>#N/A</v>
      </c>
      <c r="BT424" s="1587">
        <f t="shared" si="302"/>
        <v>0</v>
      </c>
      <c r="BW424" s="1212" t="e">
        <f t="shared" ca="1" si="303"/>
        <v>#N/A</v>
      </c>
      <c r="BX424" s="1213" t="e">
        <f t="shared" ca="1" si="304"/>
        <v>#N/A</v>
      </c>
      <c r="BY424" s="1587">
        <f t="shared" si="305"/>
        <v>0</v>
      </c>
      <c r="CB424" s="1212" t="e">
        <f t="shared" ca="1" si="306"/>
        <v>#N/A</v>
      </c>
      <c r="CC424" s="1213" t="e">
        <f t="shared" ca="1" si="307"/>
        <v>#N/A</v>
      </c>
      <c r="CD424" s="1587">
        <f t="shared" si="308"/>
        <v>0</v>
      </c>
      <c r="CG424" s="1212" t="e">
        <f t="shared" ca="1" si="309"/>
        <v>#N/A</v>
      </c>
      <c r="CH424" s="1213" t="e">
        <f t="shared" ca="1" si="310"/>
        <v>#N/A</v>
      </c>
      <c r="CI424" s="1587">
        <f t="shared" si="311"/>
        <v>0</v>
      </c>
      <c r="CL424" s="1212" t="e">
        <f t="shared" ca="1" si="312"/>
        <v>#N/A</v>
      </c>
      <c r="CM424" s="1213" t="e">
        <f t="shared" ca="1" si="313"/>
        <v>#N/A</v>
      </c>
      <c r="CN424" s="1587">
        <f t="shared" si="314"/>
        <v>0</v>
      </c>
    </row>
    <row r="425" spans="1:92">
      <c r="A425" s="141">
        <f>'銀行-TSS'!A425</f>
        <v>0</v>
      </c>
      <c r="B425" s="151">
        <f ca="1">VLOOKUP(A425,'銀行-TSS'!A:B,2,FALSE)</f>
        <v>0</v>
      </c>
      <c r="C425" s="151" t="e">
        <f ca="1">VLOOKUP(B425,bond!B:C,2,FALSE)</f>
        <v>#N/A</v>
      </c>
      <c r="D425" s="95" t="e">
        <f>VLOOKUP(A425,'銀行-TSS'!A:C,3,FALSE)</f>
        <v>#N/A</v>
      </c>
      <c r="E425" s="90" t="e">
        <f ca="1">VLOOKUP(A425,'銀行-TSS'!A:G,7,FALSE)</f>
        <v>#N/A</v>
      </c>
      <c r="F425" s="202" t="e">
        <f ca="1">VLOOKUP(A425,'銀行-TSS'!A:H,8,FALSE)</f>
        <v>#N/A</v>
      </c>
      <c r="G425" s="96" t="e">
        <f ca="1">VLOOKUP(A425,'銀行-TSS'!A:K,11,FALSE)</f>
        <v>#N/A</v>
      </c>
      <c r="H425" s="1209" t="e">
        <f ca="1">VLOOKUP(A425,'銀行-TSS'!A:M,13,FALSE)</f>
        <v>#N/A</v>
      </c>
      <c r="I425" s="1213" t="e">
        <f ca="1">VLOOKUP(A425,'銀行-TSS'!A:N,14,FALSE)</f>
        <v>#N/A</v>
      </c>
      <c r="J425" s="1213" t="e">
        <f ca="1">VLOOKUP(A425,'銀行-TSS'!A:O,15,FALSE)</f>
        <v>#N/A</v>
      </c>
      <c r="K425" s="136" t="e">
        <f ca="1">VLOOKUP(A425,'銀行-TSS'!A:V,22,FALSE)</f>
        <v>#N/A</v>
      </c>
      <c r="L425" s="136" t="e">
        <f ca="1">VLOOKUP(A425,'銀行-TSS'!A:AK,37,FALSE)</f>
        <v>#N/A</v>
      </c>
      <c r="M425" s="136" t="str">
        <f ca="1">VLOOKUP(A425,'銀行-TSS'!A:AN,40,FALSE)</f>
        <v/>
      </c>
      <c r="N425" s="136" t="e">
        <f t="shared" ca="1" si="270"/>
        <v>#N/A</v>
      </c>
      <c r="O425" s="1213" t="e">
        <f t="shared" ca="1" si="271"/>
        <v>#N/A</v>
      </c>
      <c r="P425" s="1213" t="e">
        <f ca="1">IF(AND($O$1&gt;=O425,換券單檔!$D$13=D425),I425+INT(($O$1-O425)/N425)*J425,0)</f>
        <v>#N/A</v>
      </c>
      <c r="Q425" s="1213" t="e">
        <f t="shared" ca="1" si="272"/>
        <v>#N/A</v>
      </c>
      <c r="R425" s="1213">
        <f t="shared" si="273"/>
        <v>0</v>
      </c>
      <c r="S425" s="1213">
        <f t="shared" si="274"/>
        <v>0</v>
      </c>
      <c r="T425" s="136">
        <f>IF(OR(R425=0,A425=0),0,IF(AND(V425=TRUE,換券單檔!$D$13=D425),E425,0))</f>
        <v>0</v>
      </c>
      <c r="U425" s="861">
        <f>IF(OR(R425=0,A425=0),0,IF(AND(V425=TRUE,換券單檔!$D$13=D425),H425,0))</f>
        <v>0</v>
      </c>
      <c r="V425" s="136" t="e">
        <f ca="1">IF(OR(B425=換券單檔!$D$3,L425="無",M425&lt;&gt;"",K425="高資產",IFERROR(MATCH(B425,換券單檔!K:K,0),"N")&lt;&gt;"N"),FALSE,IF($V$1="All",TRUE,IF(K425=$V$1,TRUE,FALSE)))</f>
        <v>#N/A</v>
      </c>
      <c r="W425" s="136" t="e">
        <f ca="1">VLOOKUP(A425,'銀行-TSS'!A:AO,41,FALSE)</f>
        <v>#N/A</v>
      </c>
      <c r="X425" s="136" t="e">
        <f ca="1">VLOOKUP(A425,'銀行-TSS'!A:AP,42,FALSE)</f>
        <v>#N/A</v>
      </c>
      <c r="Y425" s="1220">
        <f t="shared" si="275"/>
        <v>0</v>
      </c>
      <c r="Z425" s="1220">
        <f t="shared" si="276"/>
        <v>0</v>
      </c>
      <c r="AA425" s="136">
        <f>IF(Z425&lt;=0,0,RANK(Z425,Z:Z)+COUNTIF($Z$3:$Z425,Z425)-1)</f>
        <v>0</v>
      </c>
      <c r="AB425" s="1211">
        <f t="shared" ca="1" si="277"/>
        <v>-14896.14</v>
      </c>
      <c r="AC425" s="136">
        <f ca="1">IF(AB425&lt;=0,0,RANK(AB425,AB:AB)+COUNTIF($AB$3:$AB425,AB425)-1)</f>
        <v>0</v>
      </c>
      <c r="AD425" s="1123">
        <f t="shared" si="278"/>
        <v>99999</v>
      </c>
      <c r="AE425" s="1123">
        <f>IF(AD425=99999,0,RANK(AD425,AD:AD,1)+COUNTIF($AD$3:$AD425,AD425)-1)</f>
        <v>0</v>
      </c>
      <c r="AF425" s="86" t="e">
        <f ca="1">IF(OR(M425&lt;&gt;"",L425="無",K425="高資產",IFERROR(MATCH(B425,換券單檔!K:K,0),"N")&lt;&gt;"N"),FALSE,TRUE)</f>
        <v>#N/A</v>
      </c>
      <c r="AI425" s="1212" t="e">
        <f t="shared" ca="1" si="279"/>
        <v>#N/A</v>
      </c>
      <c r="AJ425" s="1213" t="e">
        <f t="shared" ca="1" si="280"/>
        <v>#N/A</v>
      </c>
      <c r="AK425" s="1587">
        <f t="shared" si="281"/>
        <v>0</v>
      </c>
      <c r="AN425" s="1212" t="e">
        <f t="shared" ca="1" si="282"/>
        <v>#N/A</v>
      </c>
      <c r="AO425" s="1213" t="e">
        <f t="shared" ca="1" si="283"/>
        <v>#N/A</v>
      </c>
      <c r="AP425" s="1587">
        <f t="shared" si="284"/>
        <v>0</v>
      </c>
      <c r="AS425" s="1212" t="e">
        <f t="shared" ca="1" si="285"/>
        <v>#N/A</v>
      </c>
      <c r="AT425" s="1213" t="e">
        <f t="shared" ca="1" si="286"/>
        <v>#N/A</v>
      </c>
      <c r="AU425" s="1587">
        <f t="shared" si="287"/>
        <v>0</v>
      </c>
      <c r="AX425" s="1212" t="e">
        <f t="shared" ca="1" si="288"/>
        <v>#N/A</v>
      </c>
      <c r="AY425" s="1213" t="e">
        <f t="shared" ca="1" si="289"/>
        <v>#N/A</v>
      </c>
      <c r="AZ425" s="1587">
        <f t="shared" si="290"/>
        <v>0</v>
      </c>
      <c r="BC425" s="1212" t="e">
        <f t="shared" ca="1" si="291"/>
        <v>#N/A</v>
      </c>
      <c r="BD425" s="1213" t="e">
        <f t="shared" ca="1" si="292"/>
        <v>#N/A</v>
      </c>
      <c r="BE425" s="1587">
        <f t="shared" si="293"/>
        <v>0</v>
      </c>
      <c r="BH425" s="1212" t="e">
        <f t="shared" ca="1" si="294"/>
        <v>#N/A</v>
      </c>
      <c r="BI425" s="1213" t="e">
        <f t="shared" ca="1" si="295"/>
        <v>#N/A</v>
      </c>
      <c r="BJ425" s="1587">
        <f t="shared" si="296"/>
        <v>0</v>
      </c>
      <c r="BM425" s="1212" t="e">
        <f t="shared" ca="1" si="297"/>
        <v>#N/A</v>
      </c>
      <c r="BN425" s="1213" t="e">
        <f t="shared" ca="1" si="298"/>
        <v>#N/A</v>
      </c>
      <c r="BO425" s="1587">
        <f t="shared" si="299"/>
        <v>0</v>
      </c>
      <c r="BR425" s="1212" t="e">
        <f t="shared" ca="1" si="300"/>
        <v>#N/A</v>
      </c>
      <c r="BS425" s="1213" t="e">
        <f t="shared" ca="1" si="301"/>
        <v>#N/A</v>
      </c>
      <c r="BT425" s="1587">
        <f t="shared" si="302"/>
        <v>0</v>
      </c>
      <c r="BW425" s="1212" t="e">
        <f t="shared" ca="1" si="303"/>
        <v>#N/A</v>
      </c>
      <c r="BX425" s="1213" t="e">
        <f t="shared" ca="1" si="304"/>
        <v>#N/A</v>
      </c>
      <c r="BY425" s="1587">
        <f t="shared" si="305"/>
        <v>0</v>
      </c>
      <c r="CB425" s="1212" t="e">
        <f t="shared" ca="1" si="306"/>
        <v>#N/A</v>
      </c>
      <c r="CC425" s="1213" t="e">
        <f t="shared" ca="1" si="307"/>
        <v>#N/A</v>
      </c>
      <c r="CD425" s="1587">
        <f t="shared" si="308"/>
        <v>0</v>
      </c>
      <c r="CG425" s="1212" t="e">
        <f t="shared" ca="1" si="309"/>
        <v>#N/A</v>
      </c>
      <c r="CH425" s="1213" t="e">
        <f t="shared" ca="1" si="310"/>
        <v>#N/A</v>
      </c>
      <c r="CI425" s="1587">
        <f t="shared" si="311"/>
        <v>0</v>
      </c>
      <c r="CL425" s="1212" t="e">
        <f t="shared" ca="1" si="312"/>
        <v>#N/A</v>
      </c>
      <c r="CM425" s="1213" t="e">
        <f t="shared" ca="1" si="313"/>
        <v>#N/A</v>
      </c>
      <c r="CN425" s="1587">
        <f t="shared" si="314"/>
        <v>0</v>
      </c>
    </row>
    <row r="426" spans="1:92">
      <c r="A426" s="141">
        <f>'銀行-TSS'!A426</f>
        <v>0</v>
      </c>
      <c r="B426" s="151">
        <f ca="1">VLOOKUP(A426,'銀行-TSS'!A:B,2,FALSE)</f>
        <v>0</v>
      </c>
      <c r="C426" s="151" t="e">
        <f ca="1">VLOOKUP(B426,bond!B:C,2,FALSE)</f>
        <v>#N/A</v>
      </c>
      <c r="D426" s="95" t="e">
        <f>VLOOKUP(A426,'銀行-TSS'!A:C,3,FALSE)</f>
        <v>#N/A</v>
      </c>
      <c r="E426" s="90" t="e">
        <f ca="1">VLOOKUP(A426,'銀行-TSS'!A:G,7,FALSE)</f>
        <v>#N/A</v>
      </c>
      <c r="F426" s="202" t="e">
        <f ca="1">VLOOKUP(A426,'銀行-TSS'!A:H,8,FALSE)</f>
        <v>#N/A</v>
      </c>
      <c r="G426" s="96" t="e">
        <f ca="1">VLOOKUP(A426,'銀行-TSS'!A:K,11,FALSE)</f>
        <v>#N/A</v>
      </c>
      <c r="H426" s="1209" t="e">
        <f ca="1">VLOOKUP(A426,'銀行-TSS'!A:M,13,FALSE)</f>
        <v>#N/A</v>
      </c>
      <c r="I426" s="1213" t="e">
        <f ca="1">VLOOKUP(A426,'銀行-TSS'!A:N,14,FALSE)</f>
        <v>#N/A</v>
      </c>
      <c r="J426" s="1213" t="e">
        <f ca="1">VLOOKUP(A426,'銀行-TSS'!A:O,15,FALSE)</f>
        <v>#N/A</v>
      </c>
      <c r="K426" s="136" t="e">
        <f ca="1">VLOOKUP(A426,'銀行-TSS'!A:V,22,FALSE)</f>
        <v>#N/A</v>
      </c>
      <c r="L426" s="136" t="e">
        <f ca="1">VLOOKUP(A426,'銀行-TSS'!A:AK,37,FALSE)</f>
        <v>#N/A</v>
      </c>
      <c r="M426" s="136" t="str">
        <f ca="1">VLOOKUP(A426,'銀行-TSS'!A:AN,40,FALSE)</f>
        <v/>
      </c>
      <c r="N426" s="136" t="e">
        <f t="shared" ca="1" si="270"/>
        <v>#N/A</v>
      </c>
      <c r="O426" s="1213" t="e">
        <f t="shared" ca="1" si="271"/>
        <v>#N/A</v>
      </c>
      <c r="P426" s="1213" t="e">
        <f ca="1">IF(AND($O$1&gt;=O426,換券單檔!$D$13=D426),I426+INT(($O$1-O426)/N426)*J426,0)</f>
        <v>#N/A</v>
      </c>
      <c r="Q426" s="1213" t="e">
        <f t="shared" ca="1" si="272"/>
        <v>#N/A</v>
      </c>
      <c r="R426" s="1213">
        <f t="shared" si="273"/>
        <v>0</v>
      </c>
      <c r="S426" s="1213">
        <f t="shared" si="274"/>
        <v>0</v>
      </c>
      <c r="T426" s="136">
        <f>IF(OR(R426=0,A426=0),0,IF(AND(V426=TRUE,換券單檔!$D$13=D426),E426,0))</f>
        <v>0</v>
      </c>
      <c r="U426" s="861">
        <f>IF(OR(R426=0,A426=0),0,IF(AND(V426=TRUE,換券單檔!$D$13=D426),H426,0))</f>
        <v>0</v>
      </c>
      <c r="V426" s="136" t="e">
        <f ca="1">IF(OR(B426=換券單檔!$D$3,L426="無",M426&lt;&gt;"",K426="高資產",IFERROR(MATCH(B426,換券單檔!K:K,0),"N")&lt;&gt;"N"),FALSE,IF($V$1="All",TRUE,IF(K426=$V$1,TRUE,FALSE)))</f>
        <v>#N/A</v>
      </c>
      <c r="W426" s="136" t="e">
        <f ca="1">VLOOKUP(A426,'銀行-TSS'!A:AO,41,FALSE)</f>
        <v>#N/A</v>
      </c>
      <c r="X426" s="136" t="e">
        <f ca="1">VLOOKUP(A426,'銀行-TSS'!A:AP,42,FALSE)</f>
        <v>#N/A</v>
      </c>
      <c r="Y426" s="1220">
        <f t="shared" si="275"/>
        <v>0</v>
      </c>
      <c r="Z426" s="1220">
        <f t="shared" si="276"/>
        <v>0</v>
      </c>
      <c r="AA426" s="136">
        <f>IF(Z426&lt;=0,0,RANK(Z426,Z:Z)+COUNTIF($Z$3:$Z426,Z426)-1)</f>
        <v>0</v>
      </c>
      <c r="AB426" s="1211">
        <f t="shared" ca="1" si="277"/>
        <v>-14896.14</v>
      </c>
      <c r="AC426" s="136">
        <f ca="1">IF(AB426&lt;=0,0,RANK(AB426,AB:AB)+COUNTIF($AB$3:$AB426,AB426)-1)</f>
        <v>0</v>
      </c>
      <c r="AD426" s="1123">
        <f t="shared" si="278"/>
        <v>99999</v>
      </c>
      <c r="AE426" s="1123">
        <f>IF(AD426=99999,0,RANK(AD426,AD:AD,1)+COUNTIF($AD$3:$AD426,AD426)-1)</f>
        <v>0</v>
      </c>
      <c r="AF426" s="86" t="e">
        <f ca="1">IF(OR(M426&lt;&gt;"",L426="無",K426="高資產",IFERROR(MATCH(B426,換券單檔!K:K,0),"N")&lt;&gt;"N"),FALSE,TRUE)</f>
        <v>#N/A</v>
      </c>
      <c r="AI426" s="1212" t="e">
        <f t="shared" ca="1" si="279"/>
        <v>#N/A</v>
      </c>
      <c r="AJ426" s="1213" t="e">
        <f t="shared" ca="1" si="280"/>
        <v>#N/A</v>
      </c>
      <c r="AK426" s="1587">
        <f t="shared" si="281"/>
        <v>0</v>
      </c>
      <c r="AN426" s="1212" t="e">
        <f t="shared" ca="1" si="282"/>
        <v>#N/A</v>
      </c>
      <c r="AO426" s="1213" t="e">
        <f t="shared" ca="1" si="283"/>
        <v>#N/A</v>
      </c>
      <c r="AP426" s="1587">
        <f t="shared" si="284"/>
        <v>0</v>
      </c>
      <c r="AS426" s="1212" t="e">
        <f t="shared" ca="1" si="285"/>
        <v>#N/A</v>
      </c>
      <c r="AT426" s="1213" t="e">
        <f t="shared" ca="1" si="286"/>
        <v>#N/A</v>
      </c>
      <c r="AU426" s="1587">
        <f t="shared" si="287"/>
        <v>0</v>
      </c>
      <c r="AX426" s="1212" t="e">
        <f t="shared" ca="1" si="288"/>
        <v>#N/A</v>
      </c>
      <c r="AY426" s="1213" t="e">
        <f t="shared" ca="1" si="289"/>
        <v>#N/A</v>
      </c>
      <c r="AZ426" s="1587">
        <f t="shared" si="290"/>
        <v>0</v>
      </c>
      <c r="BC426" s="1212" t="e">
        <f t="shared" ca="1" si="291"/>
        <v>#N/A</v>
      </c>
      <c r="BD426" s="1213" t="e">
        <f t="shared" ca="1" si="292"/>
        <v>#N/A</v>
      </c>
      <c r="BE426" s="1587">
        <f t="shared" si="293"/>
        <v>0</v>
      </c>
      <c r="BH426" s="1212" t="e">
        <f t="shared" ca="1" si="294"/>
        <v>#N/A</v>
      </c>
      <c r="BI426" s="1213" t="e">
        <f t="shared" ca="1" si="295"/>
        <v>#N/A</v>
      </c>
      <c r="BJ426" s="1587">
        <f t="shared" si="296"/>
        <v>0</v>
      </c>
      <c r="BM426" s="1212" t="e">
        <f t="shared" ca="1" si="297"/>
        <v>#N/A</v>
      </c>
      <c r="BN426" s="1213" t="e">
        <f t="shared" ca="1" si="298"/>
        <v>#N/A</v>
      </c>
      <c r="BO426" s="1587">
        <f t="shared" si="299"/>
        <v>0</v>
      </c>
      <c r="BR426" s="1212" t="e">
        <f t="shared" ca="1" si="300"/>
        <v>#N/A</v>
      </c>
      <c r="BS426" s="1213" t="e">
        <f t="shared" ca="1" si="301"/>
        <v>#N/A</v>
      </c>
      <c r="BT426" s="1587">
        <f t="shared" si="302"/>
        <v>0</v>
      </c>
      <c r="BW426" s="1212" t="e">
        <f t="shared" ca="1" si="303"/>
        <v>#N/A</v>
      </c>
      <c r="BX426" s="1213" t="e">
        <f t="shared" ca="1" si="304"/>
        <v>#N/A</v>
      </c>
      <c r="BY426" s="1587">
        <f t="shared" si="305"/>
        <v>0</v>
      </c>
      <c r="CB426" s="1212" t="e">
        <f t="shared" ca="1" si="306"/>
        <v>#N/A</v>
      </c>
      <c r="CC426" s="1213" t="e">
        <f t="shared" ca="1" si="307"/>
        <v>#N/A</v>
      </c>
      <c r="CD426" s="1587">
        <f t="shared" si="308"/>
        <v>0</v>
      </c>
      <c r="CG426" s="1212" t="e">
        <f t="shared" ca="1" si="309"/>
        <v>#N/A</v>
      </c>
      <c r="CH426" s="1213" t="e">
        <f t="shared" ca="1" si="310"/>
        <v>#N/A</v>
      </c>
      <c r="CI426" s="1587">
        <f t="shared" si="311"/>
        <v>0</v>
      </c>
      <c r="CL426" s="1212" t="e">
        <f t="shared" ca="1" si="312"/>
        <v>#N/A</v>
      </c>
      <c r="CM426" s="1213" t="e">
        <f t="shared" ca="1" si="313"/>
        <v>#N/A</v>
      </c>
      <c r="CN426" s="1587">
        <f t="shared" si="314"/>
        <v>0</v>
      </c>
    </row>
    <row r="427" spans="1:92">
      <c r="A427" s="141">
        <f>'銀行-TSS'!A427</f>
        <v>0</v>
      </c>
      <c r="B427" s="151">
        <f ca="1">VLOOKUP(A427,'銀行-TSS'!A:B,2,FALSE)</f>
        <v>0</v>
      </c>
      <c r="C427" s="151" t="e">
        <f ca="1">VLOOKUP(B427,bond!B:C,2,FALSE)</f>
        <v>#N/A</v>
      </c>
      <c r="D427" s="95" t="e">
        <f>VLOOKUP(A427,'銀行-TSS'!A:C,3,FALSE)</f>
        <v>#N/A</v>
      </c>
      <c r="E427" s="90" t="e">
        <f ca="1">VLOOKUP(A427,'銀行-TSS'!A:G,7,FALSE)</f>
        <v>#N/A</v>
      </c>
      <c r="F427" s="202" t="e">
        <f ca="1">VLOOKUP(A427,'銀行-TSS'!A:H,8,FALSE)</f>
        <v>#N/A</v>
      </c>
      <c r="G427" s="96" t="e">
        <f ca="1">VLOOKUP(A427,'銀行-TSS'!A:K,11,FALSE)</f>
        <v>#N/A</v>
      </c>
      <c r="H427" s="1209" t="e">
        <f ca="1">VLOOKUP(A427,'銀行-TSS'!A:M,13,FALSE)</f>
        <v>#N/A</v>
      </c>
      <c r="I427" s="1213" t="e">
        <f ca="1">VLOOKUP(A427,'銀行-TSS'!A:N,14,FALSE)</f>
        <v>#N/A</v>
      </c>
      <c r="J427" s="1213" t="e">
        <f ca="1">VLOOKUP(A427,'銀行-TSS'!A:O,15,FALSE)</f>
        <v>#N/A</v>
      </c>
      <c r="K427" s="136" t="e">
        <f ca="1">VLOOKUP(A427,'銀行-TSS'!A:V,22,FALSE)</f>
        <v>#N/A</v>
      </c>
      <c r="L427" s="136" t="e">
        <f ca="1">VLOOKUP(A427,'銀行-TSS'!A:AK,37,FALSE)</f>
        <v>#N/A</v>
      </c>
      <c r="M427" s="136" t="str">
        <f ca="1">VLOOKUP(A427,'銀行-TSS'!A:AN,40,FALSE)</f>
        <v/>
      </c>
      <c r="N427" s="136" t="e">
        <f t="shared" ca="1" si="270"/>
        <v>#N/A</v>
      </c>
      <c r="O427" s="1213" t="e">
        <f t="shared" ca="1" si="271"/>
        <v>#N/A</v>
      </c>
      <c r="P427" s="1213" t="e">
        <f ca="1">IF(AND($O$1&gt;=O427,換券單檔!$D$13=D427),I427+INT(($O$1-O427)/N427)*J427,0)</f>
        <v>#N/A</v>
      </c>
      <c r="Q427" s="1213" t="e">
        <f t="shared" ca="1" si="272"/>
        <v>#N/A</v>
      </c>
      <c r="R427" s="1213">
        <f t="shared" si="273"/>
        <v>0</v>
      </c>
      <c r="S427" s="1213">
        <f t="shared" si="274"/>
        <v>0</v>
      </c>
      <c r="T427" s="136">
        <f>IF(OR(R427=0,A427=0),0,IF(AND(V427=TRUE,換券單檔!$D$13=D427),E427,0))</f>
        <v>0</v>
      </c>
      <c r="U427" s="861">
        <f>IF(OR(R427=0,A427=0),0,IF(AND(V427=TRUE,換券單檔!$D$13=D427),H427,0))</f>
        <v>0</v>
      </c>
      <c r="V427" s="136" t="e">
        <f ca="1">IF(OR(B427=換券單檔!$D$3,L427="無",M427&lt;&gt;"",K427="高資產",IFERROR(MATCH(B427,換券單檔!K:K,0),"N")&lt;&gt;"N"),FALSE,IF($V$1="All",TRUE,IF(K427=$V$1,TRUE,FALSE)))</f>
        <v>#N/A</v>
      </c>
      <c r="W427" s="136" t="e">
        <f ca="1">VLOOKUP(A427,'銀行-TSS'!A:AO,41,FALSE)</f>
        <v>#N/A</v>
      </c>
      <c r="X427" s="136" t="e">
        <f ca="1">VLOOKUP(A427,'銀行-TSS'!A:AP,42,FALSE)</f>
        <v>#N/A</v>
      </c>
      <c r="Y427" s="1220">
        <f t="shared" si="275"/>
        <v>0</v>
      </c>
      <c r="Z427" s="1220">
        <f t="shared" si="276"/>
        <v>0</v>
      </c>
      <c r="AA427" s="136">
        <f>IF(Z427&lt;=0,0,RANK(Z427,Z:Z)+COUNTIF($Z$3:$Z427,Z427)-1)</f>
        <v>0</v>
      </c>
      <c r="AB427" s="1211">
        <f t="shared" ca="1" si="277"/>
        <v>-14896.14</v>
      </c>
      <c r="AC427" s="136">
        <f ca="1">IF(AB427&lt;=0,0,RANK(AB427,AB:AB)+COUNTIF($AB$3:$AB427,AB427)-1)</f>
        <v>0</v>
      </c>
      <c r="AD427" s="1123">
        <f t="shared" si="278"/>
        <v>99999</v>
      </c>
      <c r="AE427" s="1123">
        <f>IF(AD427=99999,0,RANK(AD427,AD:AD,1)+COUNTIF($AD$3:$AD427,AD427)-1)</f>
        <v>0</v>
      </c>
      <c r="AF427" s="86" t="e">
        <f ca="1">IF(OR(M427&lt;&gt;"",L427="無",K427="高資產",IFERROR(MATCH(B427,換券單檔!K:K,0),"N")&lt;&gt;"N"),FALSE,TRUE)</f>
        <v>#N/A</v>
      </c>
      <c r="AI427" s="1212" t="e">
        <f t="shared" ca="1" si="279"/>
        <v>#N/A</v>
      </c>
      <c r="AJ427" s="1213" t="e">
        <f t="shared" ca="1" si="280"/>
        <v>#N/A</v>
      </c>
      <c r="AK427" s="1587">
        <f t="shared" si="281"/>
        <v>0</v>
      </c>
      <c r="AN427" s="1212" t="e">
        <f t="shared" ca="1" si="282"/>
        <v>#N/A</v>
      </c>
      <c r="AO427" s="1213" t="e">
        <f t="shared" ca="1" si="283"/>
        <v>#N/A</v>
      </c>
      <c r="AP427" s="1587">
        <f t="shared" si="284"/>
        <v>0</v>
      </c>
      <c r="AS427" s="1212" t="e">
        <f t="shared" ca="1" si="285"/>
        <v>#N/A</v>
      </c>
      <c r="AT427" s="1213" t="e">
        <f t="shared" ca="1" si="286"/>
        <v>#N/A</v>
      </c>
      <c r="AU427" s="1587">
        <f t="shared" si="287"/>
        <v>0</v>
      </c>
      <c r="AX427" s="1212" t="e">
        <f t="shared" ca="1" si="288"/>
        <v>#N/A</v>
      </c>
      <c r="AY427" s="1213" t="e">
        <f t="shared" ca="1" si="289"/>
        <v>#N/A</v>
      </c>
      <c r="AZ427" s="1587">
        <f t="shared" si="290"/>
        <v>0</v>
      </c>
      <c r="BC427" s="1212" t="e">
        <f t="shared" ca="1" si="291"/>
        <v>#N/A</v>
      </c>
      <c r="BD427" s="1213" t="e">
        <f t="shared" ca="1" si="292"/>
        <v>#N/A</v>
      </c>
      <c r="BE427" s="1587">
        <f t="shared" si="293"/>
        <v>0</v>
      </c>
      <c r="BH427" s="1212" t="e">
        <f t="shared" ca="1" si="294"/>
        <v>#N/A</v>
      </c>
      <c r="BI427" s="1213" t="e">
        <f t="shared" ca="1" si="295"/>
        <v>#N/A</v>
      </c>
      <c r="BJ427" s="1587">
        <f t="shared" si="296"/>
        <v>0</v>
      </c>
      <c r="BM427" s="1212" t="e">
        <f t="shared" ca="1" si="297"/>
        <v>#N/A</v>
      </c>
      <c r="BN427" s="1213" t="e">
        <f t="shared" ca="1" si="298"/>
        <v>#N/A</v>
      </c>
      <c r="BO427" s="1587">
        <f t="shared" si="299"/>
        <v>0</v>
      </c>
      <c r="BR427" s="1212" t="e">
        <f t="shared" ca="1" si="300"/>
        <v>#N/A</v>
      </c>
      <c r="BS427" s="1213" t="e">
        <f t="shared" ca="1" si="301"/>
        <v>#N/A</v>
      </c>
      <c r="BT427" s="1587">
        <f t="shared" si="302"/>
        <v>0</v>
      </c>
      <c r="BW427" s="1212" t="e">
        <f t="shared" ca="1" si="303"/>
        <v>#N/A</v>
      </c>
      <c r="BX427" s="1213" t="e">
        <f t="shared" ca="1" si="304"/>
        <v>#N/A</v>
      </c>
      <c r="BY427" s="1587">
        <f t="shared" si="305"/>
        <v>0</v>
      </c>
      <c r="CB427" s="1212" t="e">
        <f t="shared" ca="1" si="306"/>
        <v>#N/A</v>
      </c>
      <c r="CC427" s="1213" t="e">
        <f t="shared" ca="1" si="307"/>
        <v>#N/A</v>
      </c>
      <c r="CD427" s="1587">
        <f t="shared" si="308"/>
        <v>0</v>
      </c>
      <c r="CG427" s="1212" t="e">
        <f t="shared" ca="1" si="309"/>
        <v>#N/A</v>
      </c>
      <c r="CH427" s="1213" t="e">
        <f t="shared" ca="1" si="310"/>
        <v>#N/A</v>
      </c>
      <c r="CI427" s="1587">
        <f t="shared" si="311"/>
        <v>0</v>
      </c>
      <c r="CL427" s="1212" t="e">
        <f t="shared" ca="1" si="312"/>
        <v>#N/A</v>
      </c>
      <c r="CM427" s="1213" t="e">
        <f t="shared" ca="1" si="313"/>
        <v>#N/A</v>
      </c>
      <c r="CN427" s="1587">
        <f t="shared" si="314"/>
        <v>0</v>
      </c>
    </row>
    <row r="428" spans="1:92">
      <c r="A428" s="141">
        <f>'銀行-TSS'!A428</f>
        <v>0</v>
      </c>
      <c r="B428" s="151">
        <f ca="1">VLOOKUP(A428,'銀行-TSS'!A:B,2,FALSE)</f>
        <v>0</v>
      </c>
      <c r="C428" s="151" t="e">
        <f ca="1">VLOOKUP(B428,bond!B:C,2,FALSE)</f>
        <v>#N/A</v>
      </c>
      <c r="D428" s="95" t="e">
        <f>VLOOKUP(A428,'銀行-TSS'!A:C,3,FALSE)</f>
        <v>#N/A</v>
      </c>
      <c r="E428" s="90" t="e">
        <f ca="1">VLOOKUP(A428,'銀行-TSS'!A:G,7,FALSE)</f>
        <v>#N/A</v>
      </c>
      <c r="F428" s="202" t="e">
        <f ca="1">VLOOKUP(A428,'銀行-TSS'!A:H,8,FALSE)</f>
        <v>#N/A</v>
      </c>
      <c r="G428" s="96" t="e">
        <f ca="1">VLOOKUP(A428,'銀行-TSS'!A:K,11,FALSE)</f>
        <v>#N/A</v>
      </c>
      <c r="H428" s="1209" t="e">
        <f ca="1">VLOOKUP(A428,'銀行-TSS'!A:M,13,FALSE)</f>
        <v>#N/A</v>
      </c>
      <c r="I428" s="1213" t="e">
        <f ca="1">VLOOKUP(A428,'銀行-TSS'!A:N,14,FALSE)</f>
        <v>#N/A</v>
      </c>
      <c r="J428" s="1213" t="e">
        <f ca="1">VLOOKUP(A428,'銀行-TSS'!A:O,15,FALSE)</f>
        <v>#N/A</v>
      </c>
      <c r="K428" s="136" t="e">
        <f ca="1">VLOOKUP(A428,'銀行-TSS'!A:V,22,FALSE)</f>
        <v>#N/A</v>
      </c>
      <c r="L428" s="136" t="e">
        <f ca="1">VLOOKUP(A428,'銀行-TSS'!A:AK,37,FALSE)</f>
        <v>#N/A</v>
      </c>
      <c r="M428" s="136" t="str">
        <f ca="1">VLOOKUP(A428,'銀行-TSS'!A:AN,40,FALSE)</f>
        <v/>
      </c>
      <c r="N428" s="136" t="e">
        <f t="shared" ca="1" si="270"/>
        <v>#N/A</v>
      </c>
      <c r="O428" s="1213" t="e">
        <f t="shared" ca="1" si="271"/>
        <v>#N/A</v>
      </c>
      <c r="P428" s="1213" t="e">
        <f ca="1">IF(AND($O$1&gt;=O428,換券單檔!$D$13=D428),I428+INT(($O$1-O428)/N428)*J428,0)</f>
        <v>#N/A</v>
      </c>
      <c r="Q428" s="1213" t="e">
        <f t="shared" ca="1" si="272"/>
        <v>#N/A</v>
      </c>
      <c r="R428" s="1213">
        <f t="shared" si="273"/>
        <v>0</v>
      </c>
      <c r="S428" s="1213">
        <f t="shared" si="274"/>
        <v>0</v>
      </c>
      <c r="T428" s="136">
        <f>IF(OR(R428=0,A428=0),0,IF(AND(V428=TRUE,換券單檔!$D$13=D428),E428,0))</f>
        <v>0</v>
      </c>
      <c r="U428" s="861">
        <f>IF(OR(R428=0,A428=0),0,IF(AND(V428=TRUE,換券單檔!$D$13=D428),H428,0))</f>
        <v>0</v>
      </c>
      <c r="V428" s="136" t="e">
        <f ca="1">IF(OR(B428=換券單檔!$D$3,L428="無",M428&lt;&gt;"",K428="高資產",IFERROR(MATCH(B428,換券單檔!K:K,0),"N")&lt;&gt;"N"),FALSE,IF($V$1="All",TRUE,IF(K428=$V$1,TRUE,FALSE)))</f>
        <v>#N/A</v>
      </c>
      <c r="W428" s="136" t="e">
        <f ca="1">VLOOKUP(A428,'銀行-TSS'!A:AO,41,FALSE)</f>
        <v>#N/A</v>
      </c>
      <c r="X428" s="136" t="e">
        <f ca="1">VLOOKUP(A428,'銀行-TSS'!A:AP,42,FALSE)</f>
        <v>#N/A</v>
      </c>
      <c r="Y428" s="1220">
        <f t="shared" si="275"/>
        <v>0</v>
      </c>
      <c r="Z428" s="1220">
        <f t="shared" si="276"/>
        <v>0</v>
      </c>
      <c r="AA428" s="136">
        <f>IF(Z428&lt;=0,0,RANK(Z428,Z:Z)+COUNTIF($Z$3:$Z428,Z428)-1)</f>
        <v>0</v>
      </c>
      <c r="AB428" s="1211">
        <f t="shared" ca="1" si="277"/>
        <v>-14896.14</v>
      </c>
      <c r="AC428" s="136">
        <f ca="1">IF(AB428&lt;=0,0,RANK(AB428,AB:AB)+COUNTIF($AB$3:$AB428,AB428)-1)</f>
        <v>0</v>
      </c>
      <c r="AD428" s="1123">
        <f t="shared" si="278"/>
        <v>99999</v>
      </c>
      <c r="AE428" s="1123">
        <f>IF(AD428=99999,0,RANK(AD428,AD:AD,1)+COUNTIF($AD$3:$AD428,AD428)-1)</f>
        <v>0</v>
      </c>
      <c r="AF428" s="86" t="e">
        <f ca="1">IF(OR(M428&lt;&gt;"",L428="無",K428="高資產",IFERROR(MATCH(B428,換券單檔!K:K,0),"N")&lt;&gt;"N"),FALSE,TRUE)</f>
        <v>#N/A</v>
      </c>
      <c r="AI428" s="1212" t="e">
        <f t="shared" ca="1" si="279"/>
        <v>#N/A</v>
      </c>
      <c r="AJ428" s="1213" t="e">
        <f t="shared" ca="1" si="280"/>
        <v>#N/A</v>
      </c>
      <c r="AK428" s="1587">
        <f t="shared" si="281"/>
        <v>0</v>
      </c>
      <c r="AN428" s="1212" t="e">
        <f t="shared" ca="1" si="282"/>
        <v>#N/A</v>
      </c>
      <c r="AO428" s="1213" t="e">
        <f t="shared" ca="1" si="283"/>
        <v>#N/A</v>
      </c>
      <c r="AP428" s="1587">
        <f t="shared" si="284"/>
        <v>0</v>
      </c>
      <c r="AS428" s="1212" t="e">
        <f t="shared" ca="1" si="285"/>
        <v>#N/A</v>
      </c>
      <c r="AT428" s="1213" t="e">
        <f t="shared" ca="1" si="286"/>
        <v>#N/A</v>
      </c>
      <c r="AU428" s="1587">
        <f t="shared" si="287"/>
        <v>0</v>
      </c>
      <c r="AX428" s="1212" t="e">
        <f t="shared" ca="1" si="288"/>
        <v>#N/A</v>
      </c>
      <c r="AY428" s="1213" t="e">
        <f t="shared" ca="1" si="289"/>
        <v>#N/A</v>
      </c>
      <c r="AZ428" s="1587">
        <f t="shared" si="290"/>
        <v>0</v>
      </c>
      <c r="BC428" s="1212" t="e">
        <f t="shared" ca="1" si="291"/>
        <v>#N/A</v>
      </c>
      <c r="BD428" s="1213" t="e">
        <f t="shared" ca="1" si="292"/>
        <v>#N/A</v>
      </c>
      <c r="BE428" s="1587">
        <f t="shared" si="293"/>
        <v>0</v>
      </c>
      <c r="BH428" s="1212" t="e">
        <f t="shared" ca="1" si="294"/>
        <v>#N/A</v>
      </c>
      <c r="BI428" s="1213" t="e">
        <f t="shared" ca="1" si="295"/>
        <v>#N/A</v>
      </c>
      <c r="BJ428" s="1587">
        <f t="shared" si="296"/>
        <v>0</v>
      </c>
      <c r="BM428" s="1212" t="e">
        <f t="shared" ca="1" si="297"/>
        <v>#N/A</v>
      </c>
      <c r="BN428" s="1213" t="e">
        <f t="shared" ca="1" si="298"/>
        <v>#N/A</v>
      </c>
      <c r="BO428" s="1587">
        <f t="shared" si="299"/>
        <v>0</v>
      </c>
      <c r="BR428" s="1212" t="e">
        <f t="shared" ca="1" si="300"/>
        <v>#N/A</v>
      </c>
      <c r="BS428" s="1213" t="e">
        <f t="shared" ca="1" si="301"/>
        <v>#N/A</v>
      </c>
      <c r="BT428" s="1587">
        <f t="shared" si="302"/>
        <v>0</v>
      </c>
      <c r="BW428" s="1212" t="e">
        <f t="shared" ca="1" si="303"/>
        <v>#N/A</v>
      </c>
      <c r="BX428" s="1213" t="e">
        <f t="shared" ca="1" si="304"/>
        <v>#N/A</v>
      </c>
      <c r="BY428" s="1587">
        <f t="shared" si="305"/>
        <v>0</v>
      </c>
      <c r="CB428" s="1212" t="e">
        <f t="shared" ca="1" si="306"/>
        <v>#N/A</v>
      </c>
      <c r="CC428" s="1213" t="e">
        <f t="shared" ca="1" si="307"/>
        <v>#N/A</v>
      </c>
      <c r="CD428" s="1587">
        <f t="shared" si="308"/>
        <v>0</v>
      </c>
      <c r="CG428" s="1212" t="e">
        <f t="shared" ca="1" si="309"/>
        <v>#N/A</v>
      </c>
      <c r="CH428" s="1213" t="e">
        <f t="shared" ca="1" si="310"/>
        <v>#N/A</v>
      </c>
      <c r="CI428" s="1587">
        <f t="shared" si="311"/>
        <v>0</v>
      </c>
      <c r="CL428" s="1212" t="e">
        <f t="shared" ca="1" si="312"/>
        <v>#N/A</v>
      </c>
      <c r="CM428" s="1213" t="e">
        <f t="shared" ca="1" si="313"/>
        <v>#N/A</v>
      </c>
      <c r="CN428" s="1587">
        <f t="shared" si="314"/>
        <v>0</v>
      </c>
    </row>
    <row r="429" spans="1:92">
      <c r="A429" s="141">
        <f>'銀行-TSS'!A429</f>
        <v>0</v>
      </c>
      <c r="B429" s="151">
        <f ca="1">VLOOKUP(A429,'銀行-TSS'!A:B,2,FALSE)</f>
        <v>0</v>
      </c>
      <c r="C429" s="151" t="e">
        <f ca="1">VLOOKUP(B429,bond!B:C,2,FALSE)</f>
        <v>#N/A</v>
      </c>
      <c r="D429" s="95" t="e">
        <f>VLOOKUP(A429,'銀行-TSS'!A:C,3,FALSE)</f>
        <v>#N/A</v>
      </c>
      <c r="E429" s="90" t="e">
        <f ca="1">VLOOKUP(A429,'銀行-TSS'!A:G,7,FALSE)</f>
        <v>#N/A</v>
      </c>
      <c r="F429" s="202" t="e">
        <f ca="1">VLOOKUP(A429,'銀行-TSS'!A:H,8,FALSE)</f>
        <v>#N/A</v>
      </c>
      <c r="G429" s="96" t="e">
        <f ca="1">VLOOKUP(A429,'銀行-TSS'!A:K,11,FALSE)</f>
        <v>#N/A</v>
      </c>
      <c r="H429" s="1209" t="e">
        <f ca="1">VLOOKUP(A429,'銀行-TSS'!A:M,13,FALSE)</f>
        <v>#N/A</v>
      </c>
      <c r="I429" s="1213" t="e">
        <f ca="1">VLOOKUP(A429,'銀行-TSS'!A:N,14,FALSE)</f>
        <v>#N/A</v>
      </c>
      <c r="J429" s="1213" t="e">
        <f ca="1">VLOOKUP(A429,'銀行-TSS'!A:O,15,FALSE)</f>
        <v>#N/A</v>
      </c>
      <c r="K429" s="136" t="e">
        <f ca="1">VLOOKUP(A429,'銀行-TSS'!A:V,22,FALSE)</f>
        <v>#N/A</v>
      </c>
      <c r="L429" s="136" t="e">
        <f ca="1">VLOOKUP(A429,'銀行-TSS'!A:AK,37,FALSE)</f>
        <v>#N/A</v>
      </c>
      <c r="M429" s="136" t="str">
        <f ca="1">VLOOKUP(A429,'銀行-TSS'!A:AN,40,FALSE)</f>
        <v/>
      </c>
      <c r="N429" s="136" t="e">
        <f t="shared" ca="1" si="270"/>
        <v>#N/A</v>
      </c>
      <c r="O429" s="1213" t="e">
        <f t="shared" ca="1" si="271"/>
        <v>#N/A</v>
      </c>
      <c r="P429" s="1213" t="e">
        <f ca="1">IF(AND($O$1&gt;=O429,換券單檔!$D$13=D429),I429+INT(($O$1-O429)/N429)*J429,0)</f>
        <v>#N/A</v>
      </c>
      <c r="Q429" s="1213" t="e">
        <f t="shared" ca="1" si="272"/>
        <v>#N/A</v>
      </c>
      <c r="R429" s="1213">
        <f t="shared" si="273"/>
        <v>0</v>
      </c>
      <c r="S429" s="1213">
        <f t="shared" si="274"/>
        <v>0</v>
      </c>
      <c r="T429" s="136">
        <f>IF(OR(R429=0,A429=0),0,IF(AND(V429=TRUE,換券單檔!$D$13=D429),E429,0))</f>
        <v>0</v>
      </c>
      <c r="U429" s="861">
        <f>IF(OR(R429=0,A429=0),0,IF(AND(V429=TRUE,換券單檔!$D$13=D429),H429,0))</f>
        <v>0</v>
      </c>
      <c r="V429" s="136" t="e">
        <f ca="1">IF(OR(B429=換券單檔!$D$3,L429="無",M429&lt;&gt;"",K429="高資產",IFERROR(MATCH(B429,換券單檔!K:K,0),"N")&lt;&gt;"N"),FALSE,IF($V$1="All",TRUE,IF(K429=$V$1,TRUE,FALSE)))</f>
        <v>#N/A</v>
      </c>
      <c r="W429" s="136" t="e">
        <f ca="1">VLOOKUP(A429,'銀行-TSS'!A:AO,41,FALSE)</f>
        <v>#N/A</v>
      </c>
      <c r="X429" s="136" t="e">
        <f ca="1">VLOOKUP(A429,'銀行-TSS'!A:AP,42,FALSE)</f>
        <v>#N/A</v>
      </c>
      <c r="Y429" s="1220">
        <f t="shared" si="275"/>
        <v>0</v>
      </c>
      <c r="Z429" s="1220">
        <f t="shared" si="276"/>
        <v>0</v>
      </c>
      <c r="AA429" s="136">
        <f>IF(Z429&lt;=0,0,RANK(Z429,Z:Z)+COUNTIF($Z$3:$Z429,Z429)-1)</f>
        <v>0</v>
      </c>
      <c r="AB429" s="1211">
        <f t="shared" ca="1" si="277"/>
        <v>-14896.14</v>
      </c>
      <c r="AC429" s="136">
        <f ca="1">IF(AB429&lt;=0,0,RANK(AB429,AB:AB)+COUNTIF($AB$3:$AB429,AB429)-1)</f>
        <v>0</v>
      </c>
      <c r="AD429" s="1123">
        <f t="shared" si="278"/>
        <v>99999</v>
      </c>
      <c r="AE429" s="1123">
        <f>IF(AD429=99999,0,RANK(AD429,AD:AD,1)+COUNTIF($AD$3:$AD429,AD429)-1)</f>
        <v>0</v>
      </c>
      <c r="AF429" s="86" t="e">
        <f ca="1">IF(OR(M429&lt;&gt;"",L429="無",K429="高資產",IFERROR(MATCH(B429,換券單檔!K:K,0),"N")&lt;&gt;"N"),FALSE,TRUE)</f>
        <v>#N/A</v>
      </c>
      <c r="AI429" s="1212" t="e">
        <f t="shared" ca="1" si="279"/>
        <v>#N/A</v>
      </c>
      <c r="AJ429" s="1213" t="e">
        <f t="shared" ca="1" si="280"/>
        <v>#N/A</v>
      </c>
      <c r="AK429" s="1587">
        <f t="shared" si="281"/>
        <v>0</v>
      </c>
      <c r="AN429" s="1212" t="e">
        <f t="shared" ca="1" si="282"/>
        <v>#N/A</v>
      </c>
      <c r="AO429" s="1213" t="e">
        <f t="shared" ca="1" si="283"/>
        <v>#N/A</v>
      </c>
      <c r="AP429" s="1587">
        <f t="shared" si="284"/>
        <v>0</v>
      </c>
      <c r="AS429" s="1212" t="e">
        <f t="shared" ca="1" si="285"/>
        <v>#N/A</v>
      </c>
      <c r="AT429" s="1213" t="e">
        <f t="shared" ca="1" si="286"/>
        <v>#N/A</v>
      </c>
      <c r="AU429" s="1587">
        <f t="shared" si="287"/>
        <v>0</v>
      </c>
      <c r="AX429" s="1212" t="e">
        <f t="shared" ca="1" si="288"/>
        <v>#N/A</v>
      </c>
      <c r="AY429" s="1213" t="e">
        <f t="shared" ca="1" si="289"/>
        <v>#N/A</v>
      </c>
      <c r="AZ429" s="1587">
        <f t="shared" si="290"/>
        <v>0</v>
      </c>
      <c r="BC429" s="1212" t="e">
        <f t="shared" ca="1" si="291"/>
        <v>#N/A</v>
      </c>
      <c r="BD429" s="1213" t="e">
        <f t="shared" ca="1" si="292"/>
        <v>#N/A</v>
      </c>
      <c r="BE429" s="1587">
        <f t="shared" si="293"/>
        <v>0</v>
      </c>
      <c r="BH429" s="1212" t="e">
        <f t="shared" ca="1" si="294"/>
        <v>#N/A</v>
      </c>
      <c r="BI429" s="1213" t="e">
        <f t="shared" ca="1" si="295"/>
        <v>#N/A</v>
      </c>
      <c r="BJ429" s="1587">
        <f t="shared" si="296"/>
        <v>0</v>
      </c>
      <c r="BM429" s="1212" t="e">
        <f t="shared" ca="1" si="297"/>
        <v>#N/A</v>
      </c>
      <c r="BN429" s="1213" t="e">
        <f t="shared" ca="1" si="298"/>
        <v>#N/A</v>
      </c>
      <c r="BO429" s="1587">
        <f t="shared" si="299"/>
        <v>0</v>
      </c>
      <c r="BR429" s="1212" t="e">
        <f t="shared" ca="1" si="300"/>
        <v>#N/A</v>
      </c>
      <c r="BS429" s="1213" t="e">
        <f t="shared" ca="1" si="301"/>
        <v>#N/A</v>
      </c>
      <c r="BT429" s="1587">
        <f t="shared" si="302"/>
        <v>0</v>
      </c>
      <c r="BW429" s="1212" t="e">
        <f t="shared" ca="1" si="303"/>
        <v>#N/A</v>
      </c>
      <c r="BX429" s="1213" t="e">
        <f t="shared" ca="1" si="304"/>
        <v>#N/A</v>
      </c>
      <c r="BY429" s="1587">
        <f t="shared" si="305"/>
        <v>0</v>
      </c>
      <c r="CB429" s="1212" t="e">
        <f t="shared" ca="1" si="306"/>
        <v>#N/A</v>
      </c>
      <c r="CC429" s="1213" t="e">
        <f t="shared" ca="1" si="307"/>
        <v>#N/A</v>
      </c>
      <c r="CD429" s="1587">
        <f t="shared" si="308"/>
        <v>0</v>
      </c>
      <c r="CG429" s="1212" t="e">
        <f t="shared" ca="1" si="309"/>
        <v>#N/A</v>
      </c>
      <c r="CH429" s="1213" t="e">
        <f t="shared" ca="1" si="310"/>
        <v>#N/A</v>
      </c>
      <c r="CI429" s="1587">
        <f t="shared" si="311"/>
        <v>0</v>
      </c>
      <c r="CL429" s="1212" t="e">
        <f t="shared" ca="1" si="312"/>
        <v>#N/A</v>
      </c>
      <c r="CM429" s="1213" t="e">
        <f t="shared" ca="1" si="313"/>
        <v>#N/A</v>
      </c>
      <c r="CN429" s="1587">
        <f t="shared" si="314"/>
        <v>0</v>
      </c>
    </row>
    <row r="430" spans="1:92">
      <c r="A430" s="141">
        <f>'銀行-TSS'!A430</f>
        <v>0</v>
      </c>
      <c r="B430" s="151">
        <f ca="1">VLOOKUP(A430,'銀行-TSS'!A:B,2,FALSE)</f>
        <v>0</v>
      </c>
      <c r="C430" s="151" t="e">
        <f ca="1">VLOOKUP(B430,bond!B:C,2,FALSE)</f>
        <v>#N/A</v>
      </c>
      <c r="D430" s="95" t="e">
        <f>VLOOKUP(A430,'銀行-TSS'!A:C,3,FALSE)</f>
        <v>#N/A</v>
      </c>
      <c r="E430" s="90" t="e">
        <f ca="1">VLOOKUP(A430,'銀行-TSS'!A:G,7,FALSE)</f>
        <v>#N/A</v>
      </c>
      <c r="F430" s="202" t="e">
        <f ca="1">VLOOKUP(A430,'銀行-TSS'!A:H,8,FALSE)</f>
        <v>#N/A</v>
      </c>
      <c r="G430" s="96" t="e">
        <f ca="1">VLOOKUP(A430,'銀行-TSS'!A:K,11,FALSE)</f>
        <v>#N/A</v>
      </c>
      <c r="H430" s="1209" t="e">
        <f ca="1">VLOOKUP(A430,'銀行-TSS'!A:M,13,FALSE)</f>
        <v>#N/A</v>
      </c>
      <c r="I430" s="1213" t="e">
        <f ca="1">VLOOKUP(A430,'銀行-TSS'!A:N,14,FALSE)</f>
        <v>#N/A</v>
      </c>
      <c r="J430" s="1213" t="e">
        <f ca="1">VLOOKUP(A430,'銀行-TSS'!A:O,15,FALSE)</f>
        <v>#N/A</v>
      </c>
      <c r="K430" s="136" t="e">
        <f ca="1">VLOOKUP(A430,'銀行-TSS'!A:V,22,FALSE)</f>
        <v>#N/A</v>
      </c>
      <c r="L430" s="136" t="e">
        <f ca="1">VLOOKUP(A430,'銀行-TSS'!A:AK,37,FALSE)</f>
        <v>#N/A</v>
      </c>
      <c r="M430" s="136" t="str">
        <f ca="1">VLOOKUP(A430,'銀行-TSS'!A:AN,40,FALSE)</f>
        <v/>
      </c>
      <c r="N430" s="136" t="e">
        <f t="shared" ca="1" si="270"/>
        <v>#N/A</v>
      </c>
      <c r="O430" s="1213" t="e">
        <f t="shared" ca="1" si="271"/>
        <v>#N/A</v>
      </c>
      <c r="P430" s="1213" t="e">
        <f ca="1">IF(AND($O$1&gt;=O430,換券單檔!$D$13=D430),I430+INT(($O$1-O430)/N430)*J430,0)</f>
        <v>#N/A</v>
      </c>
      <c r="Q430" s="1213" t="e">
        <f t="shared" ca="1" si="272"/>
        <v>#N/A</v>
      </c>
      <c r="R430" s="1213">
        <f t="shared" si="273"/>
        <v>0</v>
      </c>
      <c r="S430" s="1213">
        <f t="shared" si="274"/>
        <v>0</v>
      </c>
      <c r="T430" s="136">
        <f>IF(OR(R430=0,A430=0),0,IF(AND(V430=TRUE,換券單檔!$D$13=D430),E430,0))</f>
        <v>0</v>
      </c>
      <c r="U430" s="861">
        <f>IF(OR(R430=0,A430=0),0,IF(AND(V430=TRUE,換券單檔!$D$13=D430),H430,0))</f>
        <v>0</v>
      </c>
      <c r="V430" s="136" t="e">
        <f ca="1">IF(OR(B430=換券單檔!$D$3,L430="無",M430&lt;&gt;"",K430="高資產",IFERROR(MATCH(B430,換券單檔!K:K,0),"N")&lt;&gt;"N"),FALSE,IF($V$1="All",TRUE,IF(K430=$V$1,TRUE,FALSE)))</f>
        <v>#N/A</v>
      </c>
      <c r="W430" s="136" t="e">
        <f ca="1">VLOOKUP(A430,'銀行-TSS'!A:AO,41,FALSE)</f>
        <v>#N/A</v>
      </c>
      <c r="X430" s="136" t="e">
        <f ca="1">VLOOKUP(A430,'銀行-TSS'!A:AP,42,FALSE)</f>
        <v>#N/A</v>
      </c>
      <c r="Y430" s="1220">
        <f t="shared" si="275"/>
        <v>0</v>
      </c>
      <c r="Z430" s="1220">
        <f t="shared" si="276"/>
        <v>0</v>
      </c>
      <c r="AA430" s="136">
        <f>IF(Z430&lt;=0,0,RANK(Z430,Z:Z)+COUNTIF($Z$3:$Z430,Z430)-1)</f>
        <v>0</v>
      </c>
      <c r="AB430" s="1211">
        <f t="shared" ca="1" si="277"/>
        <v>-14896.14</v>
      </c>
      <c r="AC430" s="136">
        <f ca="1">IF(AB430&lt;=0,0,RANK(AB430,AB:AB)+COUNTIF($AB$3:$AB430,AB430)-1)</f>
        <v>0</v>
      </c>
      <c r="AD430" s="1123">
        <f t="shared" si="278"/>
        <v>99999</v>
      </c>
      <c r="AE430" s="1123">
        <f>IF(AD430=99999,0,RANK(AD430,AD:AD,1)+COUNTIF($AD$3:$AD430,AD430)-1)</f>
        <v>0</v>
      </c>
      <c r="AF430" s="86" t="e">
        <f ca="1">IF(OR(M430&lt;&gt;"",L430="無",K430="高資產",IFERROR(MATCH(B430,換券單檔!K:K,0),"N")&lt;&gt;"N"),FALSE,TRUE)</f>
        <v>#N/A</v>
      </c>
      <c r="AI430" s="1212" t="e">
        <f t="shared" ca="1" si="279"/>
        <v>#N/A</v>
      </c>
      <c r="AJ430" s="1213" t="e">
        <f t="shared" ca="1" si="280"/>
        <v>#N/A</v>
      </c>
      <c r="AK430" s="1587">
        <f t="shared" si="281"/>
        <v>0</v>
      </c>
      <c r="AN430" s="1212" t="e">
        <f t="shared" ca="1" si="282"/>
        <v>#N/A</v>
      </c>
      <c r="AO430" s="1213" t="e">
        <f t="shared" ca="1" si="283"/>
        <v>#N/A</v>
      </c>
      <c r="AP430" s="1587">
        <f t="shared" si="284"/>
        <v>0</v>
      </c>
      <c r="AS430" s="1212" t="e">
        <f t="shared" ca="1" si="285"/>
        <v>#N/A</v>
      </c>
      <c r="AT430" s="1213" t="e">
        <f t="shared" ca="1" si="286"/>
        <v>#N/A</v>
      </c>
      <c r="AU430" s="1587">
        <f t="shared" si="287"/>
        <v>0</v>
      </c>
      <c r="AX430" s="1212" t="e">
        <f t="shared" ca="1" si="288"/>
        <v>#N/A</v>
      </c>
      <c r="AY430" s="1213" t="e">
        <f t="shared" ca="1" si="289"/>
        <v>#N/A</v>
      </c>
      <c r="AZ430" s="1587">
        <f t="shared" si="290"/>
        <v>0</v>
      </c>
      <c r="BC430" s="1212" t="e">
        <f t="shared" ca="1" si="291"/>
        <v>#N/A</v>
      </c>
      <c r="BD430" s="1213" t="e">
        <f t="shared" ca="1" si="292"/>
        <v>#N/A</v>
      </c>
      <c r="BE430" s="1587">
        <f t="shared" si="293"/>
        <v>0</v>
      </c>
      <c r="BH430" s="1212" t="e">
        <f t="shared" ca="1" si="294"/>
        <v>#N/A</v>
      </c>
      <c r="BI430" s="1213" t="e">
        <f t="shared" ca="1" si="295"/>
        <v>#N/A</v>
      </c>
      <c r="BJ430" s="1587">
        <f t="shared" si="296"/>
        <v>0</v>
      </c>
      <c r="BM430" s="1212" t="e">
        <f t="shared" ca="1" si="297"/>
        <v>#N/A</v>
      </c>
      <c r="BN430" s="1213" t="e">
        <f t="shared" ca="1" si="298"/>
        <v>#N/A</v>
      </c>
      <c r="BO430" s="1587">
        <f t="shared" si="299"/>
        <v>0</v>
      </c>
      <c r="BR430" s="1212" t="e">
        <f t="shared" ca="1" si="300"/>
        <v>#N/A</v>
      </c>
      <c r="BS430" s="1213" t="e">
        <f t="shared" ca="1" si="301"/>
        <v>#N/A</v>
      </c>
      <c r="BT430" s="1587">
        <f t="shared" si="302"/>
        <v>0</v>
      </c>
      <c r="BW430" s="1212" t="e">
        <f t="shared" ca="1" si="303"/>
        <v>#N/A</v>
      </c>
      <c r="BX430" s="1213" t="e">
        <f t="shared" ca="1" si="304"/>
        <v>#N/A</v>
      </c>
      <c r="BY430" s="1587">
        <f t="shared" si="305"/>
        <v>0</v>
      </c>
      <c r="CB430" s="1212" t="e">
        <f t="shared" ca="1" si="306"/>
        <v>#N/A</v>
      </c>
      <c r="CC430" s="1213" t="e">
        <f t="shared" ca="1" si="307"/>
        <v>#N/A</v>
      </c>
      <c r="CD430" s="1587">
        <f t="shared" si="308"/>
        <v>0</v>
      </c>
      <c r="CG430" s="1212" t="e">
        <f t="shared" ca="1" si="309"/>
        <v>#N/A</v>
      </c>
      <c r="CH430" s="1213" t="e">
        <f t="shared" ca="1" si="310"/>
        <v>#N/A</v>
      </c>
      <c r="CI430" s="1587">
        <f t="shared" si="311"/>
        <v>0</v>
      </c>
      <c r="CL430" s="1212" t="e">
        <f t="shared" ca="1" si="312"/>
        <v>#N/A</v>
      </c>
      <c r="CM430" s="1213" t="e">
        <f t="shared" ca="1" si="313"/>
        <v>#N/A</v>
      </c>
      <c r="CN430" s="1587">
        <f t="shared" si="314"/>
        <v>0</v>
      </c>
    </row>
    <row r="431" spans="1:92">
      <c r="A431" s="141">
        <f>'銀行-TSS'!A431</f>
        <v>0</v>
      </c>
      <c r="B431" s="151">
        <f ca="1">VLOOKUP(A431,'銀行-TSS'!A:B,2,FALSE)</f>
        <v>0</v>
      </c>
      <c r="C431" s="151" t="e">
        <f ca="1">VLOOKUP(B431,bond!B:C,2,FALSE)</f>
        <v>#N/A</v>
      </c>
      <c r="D431" s="95" t="e">
        <f>VLOOKUP(A431,'銀行-TSS'!A:C,3,FALSE)</f>
        <v>#N/A</v>
      </c>
      <c r="E431" s="90" t="e">
        <f ca="1">VLOOKUP(A431,'銀行-TSS'!A:G,7,FALSE)</f>
        <v>#N/A</v>
      </c>
      <c r="F431" s="202" t="e">
        <f ca="1">VLOOKUP(A431,'銀行-TSS'!A:H,8,FALSE)</f>
        <v>#N/A</v>
      </c>
      <c r="G431" s="96" t="e">
        <f ca="1">VLOOKUP(A431,'銀行-TSS'!A:K,11,FALSE)</f>
        <v>#N/A</v>
      </c>
      <c r="H431" s="1209" t="e">
        <f ca="1">VLOOKUP(A431,'銀行-TSS'!A:M,13,FALSE)</f>
        <v>#N/A</v>
      </c>
      <c r="I431" s="1213" t="e">
        <f ca="1">VLOOKUP(A431,'銀行-TSS'!A:N,14,FALSE)</f>
        <v>#N/A</v>
      </c>
      <c r="J431" s="1213" t="e">
        <f ca="1">VLOOKUP(A431,'銀行-TSS'!A:O,15,FALSE)</f>
        <v>#N/A</v>
      </c>
      <c r="K431" s="136" t="e">
        <f ca="1">VLOOKUP(A431,'銀行-TSS'!A:V,22,FALSE)</f>
        <v>#N/A</v>
      </c>
      <c r="L431" s="136" t="e">
        <f ca="1">VLOOKUP(A431,'銀行-TSS'!A:AK,37,FALSE)</f>
        <v>#N/A</v>
      </c>
      <c r="M431" s="136" t="str">
        <f ca="1">VLOOKUP(A431,'銀行-TSS'!A:AN,40,FALSE)</f>
        <v/>
      </c>
      <c r="N431" s="136" t="e">
        <f t="shared" ca="1" si="270"/>
        <v>#N/A</v>
      </c>
      <c r="O431" s="1213" t="e">
        <f t="shared" ca="1" si="271"/>
        <v>#N/A</v>
      </c>
      <c r="P431" s="1213" t="e">
        <f ca="1">IF(AND($O$1&gt;=O431,換券單檔!$D$13=D431),I431+INT(($O$1-O431)/N431)*J431,0)</f>
        <v>#N/A</v>
      </c>
      <c r="Q431" s="1213" t="e">
        <f t="shared" ca="1" si="272"/>
        <v>#N/A</v>
      </c>
      <c r="R431" s="1213">
        <f t="shared" si="273"/>
        <v>0</v>
      </c>
      <c r="S431" s="1213">
        <f t="shared" si="274"/>
        <v>0</v>
      </c>
      <c r="T431" s="136">
        <f>IF(OR(R431=0,A431=0),0,IF(AND(V431=TRUE,換券單檔!$D$13=D431),E431,0))</f>
        <v>0</v>
      </c>
      <c r="U431" s="861">
        <f>IF(OR(R431=0,A431=0),0,IF(AND(V431=TRUE,換券單檔!$D$13=D431),H431,0))</f>
        <v>0</v>
      </c>
      <c r="V431" s="136" t="e">
        <f ca="1">IF(OR(B431=換券單檔!$D$3,L431="無",M431&lt;&gt;"",K431="高資產",IFERROR(MATCH(B431,換券單檔!K:K,0),"N")&lt;&gt;"N"),FALSE,IF($V$1="All",TRUE,IF(K431=$V$1,TRUE,FALSE)))</f>
        <v>#N/A</v>
      </c>
      <c r="W431" s="136" t="e">
        <f ca="1">VLOOKUP(A431,'銀行-TSS'!A:AO,41,FALSE)</f>
        <v>#N/A</v>
      </c>
      <c r="X431" s="136" t="e">
        <f ca="1">VLOOKUP(A431,'銀行-TSS'!A:AP,42,FALSE)</f>
        <v>#N/A</v>
      </c>
      <c r="Y431" s="1220">
        <f t="shared" si="275"/>
        <v>0</v>
      </c>
      <c r="Z431" s="1220">
        <f t="shared" si="276"/>
        <v>0</v>
      </c>
      <c r="AA431" s="136">
        <f>IF(Z431&lt;=0,0,RANK(Z431,Z:Z)+COUNTIF($Z$3:$Z431,Z431)-1)</f>
        <v>0</v>
      </c>
      <c r="AB431" s="1211">
        <f t="shared" ca="1" si="277"/>
        <v>-14896.14</v>
      </c>
      <c r="AC431" s="136">
        <f ca="1">IF(AB431&lt;=0,0,RANK(AB431,AB:AB)+COUNTIF($AB$3:$AB431,AB431)-1)</f>
        <v>0</v>
      </c>
      <c r="AD431" s="1123">
        <f t="shared" si="278"/>
        <v>99999</v>
      </c>
      <c r="AE431" s="1123">
        <f>IF(AD431=99999,0,RANK(AD431,AD:AD,1)+COUNTIF($AD$3:$AD431,AD431)-1)</f>
        <v>0</v>
      </c>
      <c r="AF431" s="86" t="e">
        <f ca="1">IF(OR(M431&lt;&gt;"",L431="無",K431="高資產",IFERROR(MATCH(B431,換券單檔!K:K,0),"N")&lt;&gt;"N"),FALSE,TRUE)</f>
        <v>#N/A</v>
      </c>
      <c r="AI431" s="1212" t="e">
        <f t="shared" ca="1" si="279"/>
        <v>#N/A</v>
      </c>
      <c r="AJ431" s="1213" t="e">
        <f t="shared" ca="1" si="280"/>
        <v>#N/A</v>
      </c>
      <c r="AK431" s="1587">
        <f t="shared" si="281"/>
        <v>0</v>
      </c>
      <c r="AN431" s="1212" t="e">
        <f t="shared" ca="1" si="282"/>
        <v>#N/A</v>
      </c>
      <c r="AO431" s="1213" t="e">
        <f t="shared" ca="1" si="283"/>
        <v>#N/A</v>
      </c>
      <c r="AP431" s="1587">
        <f t="shared" si="284"/>
        <v>0</v>
      </c>
      <c r="AS431" s="1212" t="e">
        <f t="shared" ca="1" si="285"/>
        <v>#N/A</v>
      </c>
      <c r="AT431" s="1213" t="e">
        <f t="shared" ca="1" si="286"/>
        <v>#N/A</v>
      </c>
      <c r="AU431" s="1587">
        <f t="shared" si="287"/>
        <v>0</v>
      </c>
      <c r="AX431" s="1212" t="e">
        <f t="shared" ca="1" si="288"/>
        <v>#N/A</v>
      </c>
      <c r="AY431" s="1213" t="e">
        <f t="shared" ca="1" si="289"/>
        <v>#N/A</v>
      </c>
      <c r="AZ431" s="1587">
        <f t="shared" si="290"/>
        <v>0</v>
      </c>
      <c r="BC431" s="1212" t="e">
        <f t="shared" ca="1" si="291"/>
        <v>#N/A</v>
      </c>
      <c r="BD431" s="1213" t="e">
        <f t="shared" ca="1" si="292"/>
        <v>#N/A</v>
      </c>
      <c r="BE431" s="1587">
        <f t="shared" si="293"/>
        <v>0</v>
      </c>
      <c r="BH431" s="1212" t="e">
        <f t="shared" ca="1" si="294"/>
        <v>#N/A</v>
      </c>
      <c r="BI431" s="1213" t="e">
        <f t="shared" ca="1" si="295"/>
        <v>#N/A</v>
      </c>
      <c r="BJ431" s="1587">
        <f t="shared" si="296"/>
        <v>0</v>
      </c>
      <c r="BM431" s="1212" t="e">
        <f t="shared" ca="1" si="297"/>
        <v>#N/A</v>
      </c>
      <c r="BN431" s="1213" t="e">
        <f t="shared" ca="1" si="298"/>
        <v>#N/A</v>
      </c>
      <c r="BO431" s="1587">
        <f t="shared" si="299"/>
        <v>0</v>
      </c>
      <c r="BR431" s="1212" t="e">
        <f t="shared" ca="1" si="300"/>
        <v>#N/A</v>
      </c>
      <c r="BS431" s="1213" t="e">
        <f t="shared" ca="1" si="301"/>
        <v>#N/A</v>
      </c>
      <c r="BT431" s="1587">
        <f t="shared" si="302"/>
        <v>0</v>
      </c>
      <c r="BW431" s="1212" t="e">
        <f t="shared" ca="1" si="303"/>
        <v>#N/A</v>
      </c>
      <c r="BX431" s="1213" t="e">
        <f t="shared" ca="1" si="304"/>
        <v>#N/A</v>
      </c>
      <c r="BY431" s="1587">
        <f t="shared" si="305"/>
        <v>0</v>
      </c>
      <c r="CB431" s="1212" t="e">
        <f t="shared" ca="1" si="306"/>
        <v>#N/A</v>
      </c>
      <c r="CC431" s="1213" t="e">
        <f t="shared" ca="1" si="307"/>
        <v>#N/A</v>
      </c>
      <c r="CD431" s="1587">
        <f t="shared" si="308"/>
        <v>0</v>
      </c>
      <c r="CG431" s="1212" t="e">
        <f t="shared" ca="1" si="309"/>
        <v>#N/A</v>
      </c>
      <c r="CH431" s="1213" t="e">
        <f t="shared" ca="1" si="310"/>
        <v>#N/A</v>
      </c>
      <c r="CI431" s="1587">
        <f t="shared" si="311"/>
        <v>0</v>
      </c>
      <c r="CL431" s="1212" t="e">
        <f t="shared" ca="1" si="312"/>
        <v>#N/A</v>
      </c>
      <c r="CM431" s="1213" t="e">
        <f t="shared" ca="1" si="313"/>
        <v>#N/A</v>
      </c>
      <c r="CN431" s="1587">
        <f t="shared" si="314"/>
        <v>0</v>
      </c>
    </row>
    <row r="432" spans="1:92">
      <c r="A432" s="141">
        <f>'銀行-TSS'!A432</f>
        <v>0</v>
      </c>
      <c r="B432" s="151">
        <f ca="1">VLOOKUP(A432,'銀行-TSS'!A:B,2,FALSE)</f>
        <v>0</v>
      </c>
      <c r="C432" s="151" t="e">
        <f ca="1">VLOOKUP(B432,bond!B:C,2,FALSE)</f>
        <v>#N/A</v>
      </c>
      <c r="D432" s="95" t="e">
        <f>VLOOKUP(A432,'銀行-TSS'!A:C,3,FALSE)</f>
        <v>#N/A</v>
      </c>
      <c r="E432" s="90" t="e">
        <f ca="1">VLOOKUP(A432,'銀行-TSS'!A:G,7,FALSE)</f>
        <v>#N/A</v>
      </c>
      <c r="F432" s="202" t="e">
        <f ca="1">VLOOKUP(A432,'銀行-TSS'!A:H,8,FALSE)</f>
        <v>#N/A</v>
      </c>
      <c r="G432" s="96" t="e">
        <f ca="1">VLOOKUP(A432,'銀行-TSS'!A:K,11,FALSE)</f>
        <v>#N/A</v>
      </c>
      <c r="H432" s="1209" t="e">
        <f ca="1">VLOOKUP(A432,'銀行-TSS'!A:M,13,FALSE)</f>
        <v>#N/A</v>
      </c>
      <c r="I432" s="1213" t="e">
        <f ca="1">VLOOKUP(A432,'銀行-TSS'!A:N,14,FALSE)</f>
        <v>#N/A</v>
      </c>
      <c r="J432" s="1213" t="e">
        <f ca="1">VLOOKUP(A432,'銀行-TSS'!A:O,15,FALSE)</f>
        <v>#N/A</v>
      </c>
      <c r="K432" s="136" t="e">
        <f ca="1">VLOOKUP(A432,'銀行-TSS'!A:V,22,FALSE)</f>
        <v>#N/A</v>
      </c>
      <c r="L432" s="136" t="e">
        <f ca="1">VLOOKUP(A432,'銀行-TSS'!A:AK,37,FALSE)</f>
        <v>#N/A</v>
      </c>
      <c r="M432" s="136" t="str">
        <f ca="1">VLOOKUP(A432,'銀行-TSS'!A:AN,40,FALSE)</f>
        <v/>
      </c>
      <c r="N432" s="136" t="e">
        <f t="shared" ca="1" si="270"/>
        <v>#N/A</v>
      </c>
      <c r="O432" s="1213" t="e">
        <f t="shared" ca="1" si="271"/>
        <v>#N/A</v>
      </c>
      <c r="P432" s="1213" t="e">
        <f ca="1">IF(AND($O$1&gt;=O432,換券單檔!$D$13=D432),I432+INT(($O$1-O432)/N432)*J432,0)</f>
        <v>#N/A</v>
      </c>
      <c r="Q432" s="1213" t="e">
        <f t="shared" ca="1" si="272"/>
        <v>#N/A</v>
      </c>
      <c r="R432" s="1213">
        <f t="shared" si="273"/>
        <v>0</v>
      </c>
      <c r="S432" s="1213">
        <f t="shared" si="274"/>
        <v>0</v>
      </c>
      <c r="T432" s="136">
        <f>IF(OR(R432=0,A432=0),0,IF(AND(V432=TRUE,換券單檔!$D$13=D432),E432,0))</f>
        <v>0</v>
      </c>
      <c r="U432" s="861">
        <f>IF(OR(R432=0,A432=0),0,IF(AND(V432=TRUE,換券單檔!$D$13=D432),H432,0))</f>
        <v>0</v>
      </c>
      <c r="V432" s="136" t="e">
        <f ca="1">IF(OR(B432=換券單檔!$D$3,L432="無",M432&lt;&gt;"",K432="高資產",IFERROR(MATCH(B432,換券單檔!K:K,0),"N")&lt;&gt;"N"),FALSE,IF($V$1="All",TRUE,IF(K432=$V$1,TRUE,FALSE)))</f>
        <v>#N/A</v>
      </c>
      <c r="W432" s="136" t="e">
        <f ca="1">VLOOKUP(A432,'銀行-TSS'!A:AO,41,FALSE)</f>
        <v>#N/A</v>
      </c>
      <c r="X432" s="136" t="e">
        <f ca="1">VLOOKUP(A432,'銀行-TSS'!A:AP,42,FALSE)</f>
        <v>#N/A</v>
      </c>
      <c r="Y432" s="1220">
        <f t="shared" si="275"/>
        <v>0</v>
      </c>
      <c r="Z432" s="1220">
        <f t="shared" si="276"/>
        <v>0</v>
      </c>
      <c r="AA432" s="136">
        <f>IF(Z432&lt;=0,0,RANK(Z432,Z:Z)+COUNTIF($Z$3:$Z432,Z432)-1)</f>
        <v>0</v>
      </c>
      <c r="AB432" s="1211">
        <f t="shared" ca="1" si="277"/>
        <v>-14896.14</v>
      </c>
      <c r="AC432" s="136">
        <f ca="1">IF(AB432&lt;=0,0,RANK(AB432,AB:AB)+COUNTIF($AB$3:$AB432,AB432)-1)</f>
        <v>0</v>
      </c>
      <c r="AD432" s="1123">
        <f t="shared" si="278"/>
        <v>99999</v>
      </c>
      <c r="AE432" s="1123">
        <f>IF(AD432=99999,0,RANK(AD432,AD:AD,1)+COUNTIF($AD$3:$AD432,AD432)-1)</f>
        <v>0</v>
      </c>
      <c r="AF432" s="86" t="e">
        <f ca="1">IF(OR(M432&lt;&gt;"",L432="無",K432="高資產",IFERROR(MATCH(B432,換券單檔!K:K,0),"N")&lt;&gt;"N"),FALSE,TRUE)</f>
        <v>#N/A</v>
      </c>
      <c r="AI432" s="1212" t="e">
        <f t="shared" ca="1" si="279"/>
        <v>#N/A</v>
      </c>
      <c r="AJ432" s="1213" t="e">
        <f t="shared" ca="1" si="280"/>
        <v>#N/A</v>
      </c>
      <c r="AK432" s="1587">
        <f t="shared" si="281"/>
        <v>0</v>
      </c>
      <c r="AN432" s="1212" t="e">
        <f t="shared" ca="1" si="282"/>
        <v>#N/A</v>
      </c>
      <c r="AO432" s="1213" t="e">
        <f t="shared" ca="1" si="283"/>
        <v>#N/A</v>
      </c>
      <c r="AP432" s="1587">
        <f t="shared" si="284"/>
        <v>0</v>
      </c>
      <c r="AS432" s="1212" t="e">
        <f t="shared" ca="1" si="285"/>
        <v>#N/A</v>
      </c>
      <c r="AT432" s="1213" t="e">
        <f t="shared" ca="1" si="286"/>
        <v>#N/A</v>
      </c>
      <c r="AU432" s="1587">
        <f t="shared" si="287"/>
        <v>0</v>
      </c>
      <c r="AX432" s="1212" t="e">
        <f t="shared" ca="1" si="288"/>
        <v>#N/A</v>
      </c>
      <c r="AY432" s="1213" t="e">
        <f t="shared" ca="1" si="289"/>
        <v>#N/A</v>
      </c>
      <c r="AZ432" s="1587">
        <f t="shared" si="290"/>
        <v>0</v>
      </c>
      <c r="BC432" s="1212" t="e">
        <f t="shared" ca="1" si="291"/>
        <v>#N/A</v>
      </c>
      <c r="BD432" s="1213" t="e">
        <f t="shared" ca="1" si="292"/>
        <v>#N/A</v>
      </c>
      <c r="BE432" s="1587">
        <f t="shared" si="293"/>
        <v>0</v>
      </c>
      <c r="BH432" s="1212" t="e">
        <f t="shared" ca="1" si="294"/>
        <v>#N/A</v>
      </c>
      <c r="BI432" s="1213" t="e">
        <f t="shared" ca="1" si="295"/>
        <v>#N/A</v>
      </c>
      <c r="BJ432" s="1587">
        <f t="shared" si="296"/>
        <v>0</v>
      </c>
      <c r="BM432" s="1212" t="e">
        <f t="shared" ca="1" si="297"/>
        <v>#N/A</v>
      </c>
      <c r="BN432" s="1213" t="e">
        <f t="shared" ca="1" si="298"/>
        <v>#N/A</v>
      </c>
      <c r="BO432" s="1587">
        <f t="shared" si="299"/>
        <v>0</v>
      </c>
      <c r="BR432" s="1212" t="e">
        <f t="shared" ca="1" si="300"/>
        <v>#N/A</v>
      </c>
      <c r="BS432" s="1213" t="e">
        <f t="shared" ca="1" si="301"/>
        <v>#N/A</v>
      </c>
      <c r="BT432" s="1587">
        <f t="shared" si="302"/>
        <v>0</v>
      </c>
      <c r="BW432" s="1212" t="e">
        <f t="shared" ca="1" si="303"/>
        <v>#N/A</v>
      </c>
      <c r="BX432" s="1213" t="e">
        <f t="shared" ca="1" si="304"/>
        <v>#N/A</v>
      </c>
      <c r="BY432" s="1587">
        <f t="shared" si="305"/>
        <v>0</v>
      </c>
      <c r="CB432" s="1212" t="e">
        <f t="shared" ca="1" si="306"/>
        <v>#N/A</v>
      </c>
      <c r="CC432" s="1213" t="e">
        <f t="shared" ca="1" si="307"/>
        <v>#N/A</v>
      </c>
      <c r="CD432" s="1587">
        <f t="shared" si="308"/>
        <v>0</v>
      </c>
      <c r="CG432" s="1212" t="e">
        <f t="shared" ca="1" si="309"/>
        <v>#N/A</v>
      </c>
      <c r="CH432" s="1213" t="e">
        <f t="shared" ca="1" si="310"/>
        <v>#N/A</v>
      </c>
      <c r="CI432" s="1587">
        <f t="shared" si="311"/>
        <v>0</v>
      </c>
      <c r="CL432" s="1212" t="e">
        <f t="shared" ca="1" si="312"/>
        <v>#N/A</v>
      </c>
      <c r="CM432" s="1213" t="e">
        <f t="shared" ca="1" si="313"/>
        <v>#N/A</v>
      </c>
      <c r="CN432" s="1587">
        <f t="shared" si="314"/>
        <v>0</v>
      </c>
    </row>
    <row r="433" spans="1:92">
      <c r="A433" s="141">
        <f>'銀行-TSS'!A433</f>
        <v>0</v>
      </c>
      <c r="B433" s="151">
        <f ca="1">VLOOKUP(A433,'銀行-TSS'!A:B,2,FALSE)</f>
        <v>0</v>
      </c>
      <c r="C433" s="151" t="e">
        <f ca="1">VLOOKUP(B433,bond!B:C,2,FALSE)</f>
        <v>#N/A</v>
      </c>
      <c r="D433" s="95" t="e">
        <f>VLOOKUP(A433,'銀行-TSS'!A:C,3,FALSE)</f>
        <v>#N/A</v>
      </c>
      <c r="E433" s="90" t="e">
        <f ca="1">VLOOKUP(A433,'銀行-TSS'!A:G,7,FALSE)</f>
        <v>#N/A</v>
      </c>
      <c r="F433" s="202" t="e">
        <f ca="1">VLOOKUP(A433,'銀行-TSS'!A:H,8,FALSE)</f>
        <v>#N/A</v>
      </c>
      <c r="G433" s="96" t="e">
        <f ca="1">VLOOKUP(A433,'銀行-TSS'!A:K,11,FALSE)</f>
        <v>#N/A</v>
      </c>
      <c r="H433" s="1209" t="e">
        <f ca="1">VLOOKUP(A433,'銀行-TSS'!A:M,13,FALSE)</f>
        <v>#N/A</v>
      </c>
      <c r="I433" s="1213" t="e">
        <f ca="1">VLOOKUP(A433,'銀行-TSS'!A:N,14,FALSE)</f>
        <v>#N/A</v>
      </c>
      <c r="J433" s="1213" t="e">
        <f ca="1">VLOOKUP(A433,'銀行-TSS'!A:O,15,FALSE)</f>
        <v>#N/A</v>
      </c>
      <c r="K433" s="136" t="e">
        <f ca="1">VLOOKUP(A433,'銀行-TSS'!A:V,22,FALSE)</f>
        <v>#N/A</v>
      </c>
      <c r="L433" s="136" t="e">
        <f ca="1">VLOOKUP(A433,'銀行-TSS'!A:AK,37,FALSE)</f>
        <v>#N/A</v>
      </c>
      <c r="M433" s="136" t="str">
        <f ca="1">VLOOKUP(A433,'銀行-TSS'!A:AN,40,FALSE)</f>
        <v/>
      </c>
      <c r="N433" s="136" t="e">
        <f t="shared" ca="1" si="270"/>
        <v>#N/A</v>
      </c>
      <c r="O433" s="1213" t="e">
        <f t="shared" ca="1" si="271"/>
        <v>#N/A</v>
      </c>
      <c r="P433" s="1213" t="e">
        <f ca="1">IF(AND($O$1&gt;=O433,換券單檔!$D$13=D433),I433+INT(($O$1-O433)/N433)*J433,0)</f>
        <v>#N/A</v>
      </c>
      <c r="Q433" s="1213" t="e">
        <f t="shared" ca="1" si="272"/>
        <v>#N/A</v>
      </c>
      <c r="R433" s="1213">
        <f t="shared" si="273"/>
        <v>0</v>
      </c>
      <c r="S433" s="1213">
        <f t="shared" si="274"/>
        <v>0</v>
      </c>
      <c r="T433" s="136">
        <f>IF(OR(R433=0,A433=0),0,IF(AND(V433=TRUE,換券單檔!$D$13=D433),E433,0))</f>
        <v>0</v>
      </c>
      <c r="U433" s="861">
        <f>IF(OR(R433=0,A433=0),0,IF(AND(V433=TRUE,換券單檔!$D$13=D433),H433,0))</f>
        <v>0</v>
      </c>
      <c r="V433" s="136" t="e">
        <f ca="1">IF(OR(B433=換券單檔!$D$3,L433="無",M433&lt;&gt;"",K433="高資產",IFERROR(MATCH(B433,換券單檔!K:K,0),"N")&lt;&gt;"N"),FALSE,IF($V$1="All",TRUE,IF(K433=$V$1,TRUE,FALSE)))</f>
        <v>#N/A</v>
      </c>
      <c r="W433" s="136" t="e">
        <f ca="1">VLOOKUP(A433,'銀行-TSS'!A:AO,41,FALSE)</f>
        <v>#N/A</v>
      </c>
      <c r="X433" s="136" t="e">
        <f ca="1">VLOOKUP(A433,'銀行-TSS'!A:AP,42,FALSE)</f>
        <v>#N/A</v>
      </c>
      <c r="Y433" s="1220">
        <f t="shared" si="275"/>
        <v>0</v>
      </c>
      <c r="Z433" s="1220">
        <f t="shared" si="276"/>
        <v>0</v>
      </c>
      <c r="AA433" s="136">
        <f>IF(Z433&lt;=0,0,RANK(Z433,Z:Z)+COUNTIF($Z$3:$Z433,Z433)-1)</f>
        <v>0</v>
      </c>
      <c r="AB433" s="1211">
        <f t="shared" ca="1" si="277"/>
        <v>-14896.14</v>
      </c>
      <c r="AC433" s="136">
        <f ca="1">IF(AB433&lt;=0,0,RANK(AB433,AB:AB)+COUNTIF($AB$3:$AB433,AB433)-1)</f>
        <v>0</v>
      </c>
      <c r="AD433" s="1123">
        <f t="shared" si="278"/>
        <v>99999</v>
      </c>
      <c r="AE433" s="1123">
        <f>IF(AD433=99999,0,RANK(AD433,AD:AD,1)+COUNTIF($AD$3:$AD433,AD433)-1)</f>
        <v>0</v>
      </c>
      <c r="AF433" s="86" t="e">
        <f ca="1">IF(OR(M433&lt;&gt;"",L433="無",K433="高資產",IFERROR(MATCH(B433,換券單檔!K:K,0),"N")&lt;&gt;"N"),FALSE,TRUE)</f>
        <v>#N/A</v>
      </c>
      <c r="AI433" s="1212" t="e">
        <f t="shared" ca="1" si="279"/>
        <v>#N/A</v>
      </c>
      <c r="AJ433" s="1213" t="e">
        <f t="shared" ca="1" si="280"/>
        <v>#N/A</v>
      </c>
      <c r="AK433" s="1587">
        <f t="shared" si="281"/>
        <v>0</v>
      </c>
      <c r="AN433" s="1212" t="e">
        <f t="shared" ca="1" si="282"/>
        <v>#N/A</v>
      </c>
      <c r="AO433" s="1213" t="e">
        <f t="shared" ca="1" si="283"/>
        <v>#N/A</v>
      </c>
      <c r="AP433" s="1587">
        <f t="shared" si="284"/>
        <v>0</v>
      </c>
      <c r="AS433" s="1212" t="e">
        <f t="shared" ca="1" si="285"/>
        <v>#N/A</v>
      </c>
      <c r="AT433" s="1213" t="e">
        <f t="shared" ca="1" si="286"/>
        <v>#N/A</v>
      </c>
      <c r="AU433" s="1587">
        <f t="shared" si="287"/>
        <v>0</v>
      </c>
      <c r="AX433" s="1212" t="e">
        <f t="shared" ca="1" si="288"/>
        <v>#N/A</v>
      </c>
      <c r="AY433" s="1213" t="e">
        <f t="shared" ca="1" si="289"/>
        <v>#N/A</v>
      </c>
      <c r="AZ433" s="1587">
        <f t="shared" si="290"/>
        <v>0</v>
      </c>
      <c r="BC433" s="1212" t="e">
        <f t="shared" ca="1" si="291"/>
        <v>#N/A</v>
      </c>
      <c r="BD433" s="1213" t="e">
        <f t="shared" ca="1" si="292"/>
        <v>#N/A</v>
      </c>
      <c r="BE433" s="1587">
        <f t="shared" si="293"/>
        <v>0</v>
      </c>
      <c r="BH433" s="1212" t="e">
        <f t="shared" ca="1" si="294"/>
        <v>#N/A</v>
      </c>
      <c r="BI433" s="1213" t="e">
        <f t="shared" ca="1" si="295"/>
        <v>#N/A</v>
      </c>
      <c r="BJ433" s="1587">
        <f t="shared" si="296"/>
        <v>0</v>
      </c>
      <c r="BM433" s="1212" t="e">
        <f t="shared" ca="1" si="297"/>
        <v>#N/A</v>
      </c>
      <c r="BN433" s="1213" t="e">
        <f t="shared" ca="1" si="298"/>
        <v>#N/A</v>
      </c>
      <c r="BO433" s="1587">
        <f t="shared" si="299"/>
        <v>0</v>
      </c>
      <c r="BR433" s="1212" t="e">
        <f t="shared" ca="1" si="300"/>
        <v>#N/A</v>
      </c>
      <c r="BS433" s="1213" t="e">
        <f t="shared" ca="1" si="301"/>
        <v>#N/A</v>
      </c>
      <c r="BT433" s="1587">
        <f t="shared" si="302"/>
        <v>0</v>
      </c>
      <c r="BW433" s="1212" t="e">
        <f t="shared" ca="1" si="303"/>
        <v>#N/A</v>
      </c>
      <c r="BX433" s="1213" t="e">
        <f t="shared" ca="1" si="304"/>
        <v>#N/A</v>
      </c>
      <c r="BY433" s="1587">
        <f t="shared" si="305"/>
        <v>0</v>
      </c>
      <c r="CB433" s="1212" t="e">
        <f t="shared" ca="1" si="306"/>
        <v>#N/A</v>
      </c>
      <c r="CC433" s="1213" t="e">
        <f t="shared" ca="1" si="307"/>
        <v>#N/A</v>
      </c>
      <c r="CD433" s="1587">
        <f t="shared" si="308"/>
        <v>0</v>
      </c>
      <c r="CG433" s="1212" t="e">
        <f t="shared" ca="1" si="309"/>
        <v>#N/A</v>
      </c>
      <c r="CH433" s="1213" t="e">
        <f t="shared" ca="1" si="310"/>
        <v>#N/A</v>
      </c>
      <c r="CI433" s="1587">
        <f t="shared" si="311"/>
        <v>0</v>
      </c>
      <c r="CL433" s="1212" t="e">
        <f t="shared" ca="1" si="312"/>
        <v>#N/A</v>
      </c>
      <c r="CM433" s="1213" t="e">
        <f t="shared" ca="1" si="313"/>
        <v>#N/A</v>
      </c>
      <c r="CN433" s="1587">
        <f t="shared" si="314"/>
        <v>0</v>
      </c>
    </row>
    <row r="434" spans="1:92">
      <c r="A434" s="141">
        <f>'銀行-TSS'!A434</f>
        <v>0</v>
      </c>
      <c r="B434" s="151">
        <f ca="1">VLOOKUP(A434,'銀行-TSS'!A:B,2,FALSE)</f>
        <v>0</v>
      </c>
      <c r="C434" s="151" t="e">
        <f ca="1">VLOOKUP(B434,bond!B:C,2,FALSE)</f>
        <v>#N/A</v>
      </c>
      <c r="D434" s="95" t="e">
        <f>VLOOKUP(A434,'銀行-TSS'!A:C,3,FALSE)</f>
        <v>#N/A</v>
      </c>
      <c r="E434" s="90" t="e">
        <f ca="1">VLOOKUP(A434,'銀行-TSS'!A:G,7,FALSE)</f>
        <v>#N/A</v>
      </c>
      <c r="F434" s="202" t="e">
        <f ca="1">VLOOKUP(A434,'銀行-TSS'!A:H,8,FALSE)</f>
        <v>#N/A</v>
      </c>
      <c r="G434" s="96" t="e">
        <f ca="1">VLOOKUP(A434,'銀行-TSS'!A:K,11,FALSE)</f>
        <v>#N/A</v>
      </c>
      <c r="H434" s="1209" t="e">
        <f ca="1">VLOOKUP(A434,'銀行-TSS'!A:M,13,FALSE)</f>
        <v>#N/A</v>
      </c>
      <c r="I434" s="1213" t="e">
        <f ca="1">VLOOKUP(A434,'銀行-TSS'!A:N,14,FALSE)</f>
        <v>#N/A</v>
      </c>
      <c r="J434" s="1213" t="e">
        <f ca="1">VLOOKUP(A434,'銀行-TSS'!A:O,15,FALSE)</f>
        <v>#N/A</v>
      </c>
      <c r="K434" s="136" t="e">
        <f ca="1">VLOOKUP(A434,'銀行-TSS'!A:V,22,FALSE)</f>
        <v>#N/A</v>
      </c>
      <c r="L434" s="136" t="e">
        <f ca="1">VLOOKUP(A434,'銀行-TSS'!A:AK,37,FALSE)</f>
        <v>#N/A</v>
      </c>
      <c r="M434" s="136" t="str">
        <f ca="1">VLOOKUP(A434,'銀行-TSS'!A:AN,40,FALSE)</f>
        <v/>
      </c>
      <c r="N434" s="136" t="e">
        <f t="shared" ca="1" si="270"/>
        <v>#N/A</v>
      </c>
      <c r="O434" s="1213" t="e">
        <f t="shared" ca="1" si="271"/>
        <v>#N/A</v>
      </c>
      <c r="P434" s="1213" t="e">
        <f ca="1">IF(AND($O$1&gt;=O434,換券單檔!$D$13=D434),I434+INT(($O$1-O434)/N434)*J434,0)</f>
        <v>#N/A</v>
      </c>
      <c r="Q434" s="1213" t="e">
        <f t="shared" ca="1" si="272"/>
        <v>#N/A</v>
      </c>
      <c r="R434" s="1213">
        <f t="shared" si="273"/>
        <v>0</v>
      </c>
      <c r="S434" s="1213">
        <f t="shared" si="274"/>
        <v>0</v>
      </c>
      <c r="T434" s="136">
        <f>IF(OR(R434=0,A434=0),0,IF(AND(V434=TRUE,換券單檔!$D$13=D434),E434,0))</f>
        <v>0</v>
      </c>
      <c r="U434" s="861">
        <f>IF(OR(R434=0,A434=0),0,IF(AND(V434=TRUE,換券單檔!$D$13=D434),H434,0))</f>
        <v>0</v>
      </c>
      <c r="V434" s="136" t="e">
        <f ca="1">IF(OR(B434=換券單檔!$D$3,L434="無",M434&lt;&gt;"",K434="高資產",IFERROR(MATCH(B434,換券單檔!K:K,0),"N")&lt;&gt;"N"),FALSE,IF($V$1="All",TRUE,IF(K434=$V$1,TRUE,FALSE)))</f>
        <v>#N/A</v>
      </c>
      <c r="W434" s="136" t="e">
        <f ca="1">VLOOKUP(A434,'銀行-TSS'!A:AO,41,FALSE)</f>
        <v>#N/A</v>
      </c>
      <c r="X434" s="136" t="e">
        <f ca="1">VLOOKUP(A434,'銀行-TSS'!A:AP,42,FALSE)</f>
        <v>#N/A</v>
      </c>
      <c r="Y434" s="1220">
        <f t="shared" si="275"/>
        <v>0</v>
      </c>
      <c r="Z434" s="1220">
        <f t="shared" si="276"/>
        <v>0</v>
      </c>
      <c r="AA434" s="136">
        <f>IF(Z434&lt;=0,0,RANK(Z434,Z:Z)+COUNTIF($Z$3:$Z434,Z434)-1)</f>
        <v>0</v>
      </c>
      <c r="AB434" s="1211">
        <f t="shared" ca="1" si="277"/>
        <v>-14896.14</v>
      </c>
      <c r="AC434" s="136">
        <f ca="1">IF(AB434&lt;=0,0,RANK(AB434,AB:AB)+COUNTIF($AB$3:$AB434,AB434)-1)</f>
        <v>0</v>
      </c>
      <c r="AD434" s="1123">
        <f t="shared" si="278"/>
        <v>99999</v>
      </c>
      <c r="AE434" s="1123">
        <f>IF(AD434=99999,0,RANK(AD434,AD:AD,1)+COUNTIF($AD$3:$AD434,AD434)-1)</f>
        <v>0</v>
      </c>
      <c r="AF434" s="86" t="e">
        <f ca="1">IF(OR(M434&lt;&gt;"",L434="無",K434="高資產",IFERROR(MATCH(B434,換券單檔!K:K,0),"N")&lt;&gt;"N"),FALSE,TRUE)</f>
        <v>#N/A</v>
      </c>
      <c r="AI434" s="1212" t="e">
        <f t="shared" ca="1" si="279"/>
        <v>#N/A</v>
      </c>
      <c r="AJ434" s="1213" t="e">
        <f t="shared" ca="1" si="280"/>
        <v>#N/A</v>
      </c>
      <c r="AK434" s="1587">
        <f t="shared" si="281"/>
        <v>0</v>
      </c>
      <c r="AN434" s="1212" t="e">
        <f t="shared" ca="1" si="282"/>
        <v>#N/A</v>
      </c>
      <c r="AO434" s="1213" t="e">
        <f t="shared" ca="1" si="283"/>
        <v>#N/A</v>
      </c>
      <c r="AP434" s="1587">
        <f t="shared" si="284"/>
        <v>0</v>
      </c>
      <c r="AS434" s="1212" t="e">
        <f t="shared" ca="1" si="285"/>
        <v>#N/A</v>
      </c>
      <c r="AT434" s="1213" t="e">
        <f t="shared" ca="1" si="286"/>
        <v>#N/A</v>
      </c>
      <c r="AU434" s="1587">
        <f t="shared" si="287"/>
        <v>0</v>
      </c>
      <c r="AX434" s="1212" t="e">
        <f t="shared" ca="1" si="288"/>
        <v>#N/A</v>
      </c>
      <c r="AY434" s="1213" t="e">
        <f t="shared" ca="1" si="289"/>
        <v>#N/A</v>
      </c>
      <c r="AZ434" s="1587">
        <f t="shared" si="290"/>
        <v>0</v>
      </c>
      <c r="BC434" s="1212" t="e">
        <f t="shared" ca="1" si="291"/>
        <v>#N/A</v>
      </c>
      <c r="BD434" s="1213" t="e">
        <f t="shared" ca="1" si="292"/>
        <v>#N/A</v>
      </c>
      <c r="BE434" s="1587">
        <f t="shared" si="293"/>
        <v>0</v>
      </c>
      <c r="BH434" s="1212" t="e">
        <f t="shared" ca="1" si="294"/>
        <v>#N/A</v>
      </c>
      <c r="BI434" s="1213" t="e">
        <f t="shared" ca="1" si="295"/>
        <v>#N/A</v>
      </c>
      <c r="BJ434" s="1587">
        <f t="shared" si="296"/>
        <v>0</v>
      </c>
      <c r="BM434" s="1212" t="e">
        <f t="shared" ca="1" si="297"/>
        <v>#N/A</v>
      </c>
      <c r="BN434" s="1213" t="e">
        <f t="shared" ca="1" si="298"/>
        <v>#N/A</v>
      </c>
      <c r="BO434" s="1587">
        <f t="shared" si="299"/>
        <v>0</v>
      </c>
      <c r="BR434" s="1212" t="e">
        <f t="shared" ca="1" si="300"/>
        <v>#N/A</v>
      </c>
      <c r="BS434" s="1213" t="e">
        <f t="shared" ca="1" si="301"/>
        <v>#N/A</v>
      </c>
      <c r="BT434" s="1587">
        <f t="shared" si="302"/>
        <v>0</v>
      </c>
      <c r="BW434" s="1212" t="e">
        <f t="shared" ca="1" si="303"/>
        <v>#N/A</v>
      </c>
      <c r="BX434" s="1213" t="e">
        <f t="shared" ca="1" si="304"/>
        <v>#N/A</v>
      </c>
      <c r="BY434" s="1587">
        <f t="shared" si="305"/>
        <v>0</v>
      </c>
      <c r="CB434" s="1212" t="e">
        <f t="shared" ca="1" si="306"/>
        <v>#N/A</v>
      </c>
      <c r="CC434" s="1213" t="e">
        <f t="shared" ca="1" si="307"/>
        <v>#N/A</v>
      </c>
      <c r="CD434" s="1587">
        <f t="shared" si="308"/>
        <v>0</v>
      </c>
      <c r="CG434" s="1212" t="e">
        <f t="shared" ca="1" si="309"/>
        <v>#N/A</v>
      </c>
      <c r="CH434" s="1213" t="e">
        <f t="shared" ca="1" si="310"/>
        <v>#N/A</v>
      </c>
      <c r="CI434" s="1587">
        <f t="shared" si="311"/>
        <v>0</v>
      </c>
      <c r="CL434" s="1212" t="e">
        <f t="shared" ca="1" si="312"/>
        <v>#N/A</v>
      </c>
      <c r="CM434" s="1213" t="e">
        <f t="shared" ca="1" si="313"/>
        <v>#N/A</v>
      </c>
      <c r="CN434" s="1587">
        <f t="shared" si="314"/>
        <v>0</v>
      </c>
    </row>
    <row r="435" spans="1:92">
      <c r="A435" s="141">
        <f>'銀行-TSS'!A435</f>
        <v>0</v>
      </c>
      <c r="B435" s="151">
        <f ca="1">VLOOKUP(A435,'銀行-TSS'!A:B,2,FALSE)</f>
        <v>0</v>
      </c>
      <c r="C435" s="151" t="e">
        <f ca="1">VLOOKUP(B435,bond!B:C,2,FALSE)</f>
        <v>#N/A</v>
      </c>
      <c r="D435" s="95" t="e">
        <f>VLOOKUP(A435,'銀行-TSS'!A:C,3,FALSE)</f>
        <v>#N/A</v>
      </c>
      <c r="E435" s="90" t="e">
        <f ca="1">VLOOKUP(A435,'銀行-TSS'!A:G,7,FALSE)</f>
        <v>#N/A</v>
      </c>
      <c r="F435" s="202" t="e">
        <f ca="1">VLOOKUP(A435,'銀行-TSS'!A:H,8,FALSE)</f>
        <v>#N/A</v>
      </c>
      <c r="G435" s="96" t="e">
        <f ca="1">VLOOKUP(A435,'銀行-TSS'!A:K,11,FALSE)</f>
        <v>#N/A</v>
      </c>
      <c r="H435" s="1209" t="e">
        <f ca="1">VLOOKUP(A435,'銀行-TSS'!A:M,13,FALSE)</f>
        <v>#N/A</v>
      </c>
      <c r="I435" s="1213" t="e">
        <f ca="1">VLOOKUP(A435,'銀行-TSS'!A:N,14,FALSE)</f>
        <v>#N/A</v>
      </c>
      <c r="J435" s="1213" t="e">
        <f ca="1">VLOOKUP(A435,'銀行-TSS'!A:O,15,FALSE)</f>
        <v>#N/A</v>
      </c>
      <c r="K435" s="136" t="e">
        <f ca="1">VLOOKUP(A435,'銀行-TSS'!A:V,22,FALSE)</f>
        <v>#N/A</v>
      </c>
      <c r="L435" s="136" t="e">
        <f ca="1">VLOOKUP(A435,'銀行-TSS'!A:AK,37,FALSE)</f>
        <v>#N/A</v>
      </c>
      <c r="M435" s="136" t="str">
        <f ca="1">VLOOKUP(A435,'銀行-TSS'!A:AN,40,FALSE)</f>
        <v/>
      </c>
      <c r="N435" s="136" t="e">
        <f t="shared" ca="1" si="270"/>
        <v>#N/A</v>
      </c>
      <c r="O435" s="1213" t="e">
        <f t="shared" ca="1" si="271"/>
        <v>#N/A</v>
      </c>
      <c r="P435" s="1213" t="e">
        <f ca="1">IF(AND($O$1&gt;=O435,換券單檔!$D$13=D435),I435+INT(($O$1-O435)/N435)*J435,0)</f>
        <v>#N/A</v>
      </c>
      <c r="Q435" s="1213" t="e">
        <f t="shared" ca="1" si="272"/>
        <v>#N/A</v>
      </c>
      <c r="R435" s="1213">
        <f t="shared" si="273"/>
        <v>0</v>
      </c>
      <c r="S435" s="1213">
        <f t="shared" si="274"/>
        <v>0</v>
      </c>
      <c r="T435" s="136">
        <f>IF(OR(R435=0,A435=0),0,IF(AND(V435=TRUE,換券單檔!$D$13=D435),E435,0))</f>
        <v>0</v>
      </c>
      <c r="U435" s="861">
        <f>IF(OR(R435=0,A435=0),0,IF(AND(V435=TRUE,換券單檔!$D$13=D435),H435,0))</f>
        <v>0</v>
      </c>
      <c r="V435" s="136" t="e">
        <f ca="1">IF(OR(B435=換券單檔!$D$3,L435="無",M435&lt;&gt;"",K435="高資產",IFERROR(MATCH(B435,換券單檔!K:K,0),"N")&lt;&gt;"N"),FALSE,IF($V$1="All",TRUE,IF(K435=$V$1,TRUE,FALSE)))</f>
        <v>#N/A</v>
      </c>
      <c r="W435" s="136" t="e">
        <f ca="1">VLOOKUP(A435,'銀行-TSS'!A:AO,41,FALSE)</f>
        <v>#N/A</v>
      </c>
      <c r="X435" s="136" t="e">
        <f ca="1">VLOOKUP(A435,'銀行-TSS'!A:AP,42,FALSE)</f>
        <v>#N/A</v>
      </c>
      <c r="Y435" s="1220">
        <f t="shared" si="275"/>
        <v>0</v>
      </c>
      <c r="Z435" s="1220">
        <f t="shared" si="276"/>
        <v>0</v>
      </c>
      <c r="AA435" s="136">
        <f>IF(Z435&lt;=0,0,RANK(Z435,Z:Z)+COUNTIF($Z$3:$Z435,Z435)-1)</f>
        <v>0</v>
      </c>
      <c r="AB435" s="1211">
        <f t="shared" ca="1" si="277"/>
        <v>-14896.14</v>
      </c>
      <c r="AC435" s="136">
        <f ca="1">IF(AB435&lt;=0,0,RANK(AB435,AB:AB)+COUNTIF($AB$3:$AB435,AB435)-1)</f>
        <v>0</v>
      </c>
      <c r="AD435" s="1123">
        <f t="shared" si="278"/>
        <v>99999</v>
      </c>
      <c r="AE435" s="1123">
        <f>IF(AD435=99999,0,RANK(AD435,AD:AD,1)+COUNTIF($AD$3:$AD435,AD435)-1)</f>
        <v>0</v>
      </c>
      <c r="AF435" s="86" t="e">
        <f ca="1">IF(OR(M435&lt;&gt;"",L435="無",K435="高資產",IFERROR(MATCH(B435,換券單檔!K:K,0),"N")&lt;&gt;"N"),FALSE,TRUE)</f>
        <v>#N/A</v>
      </c>
      <c r="AI435" s="1212" t="e">
        <f t="shared" ca="1" si="279"/>
        <v>#N/A</v>
      </c>
      <c r="AJ435" s="1213" t="e">
        <f t="shared" ca="1" si="280"/>
        <v>#N/A</v>
      </c>
      <c r="AK435" s="1587">
        <f t="shared" si="281"/>
        <v>0</v>
      </c>
      <c r="AN435" s="1212" t="e">
        <f t="shared" ca="1" si="282"/>
        <v>#N/A</v>
      </c>
      <c r="AO435" s="1213" t="e">
        <f t="shared" ca="1" si="283"/>
        <v>#N/A</v>
      </c>
      <c r="AP435" s="1587">
        <f t="shared" si="284"/>
        <v>0</v>
      </c>
      <c r="AS435" s="1212" t="e">
        <f t="shared" ca="1" si="285"/>
        <v>#N/A</v>
      </c>
      <c r="AT435" s="1213" t="e">
        <f t="shared" ca="1" si="286"/>
        <v>#N/A</v>
      </c>
      <c r="AU435" s="1587">
        <f t="shared" si="287"/>
        <v>0</v>
      </c>
      <c r="AX435" s="1212" t="e">
        <f t="shared" ca="1" si="288"/>
        <v>#N/A</v>
      </c>
      <c r="AY435" s="1213" t="e">
        <f t="shared" ca="1" si="289"/>
        <v>#N/A</v>
      </c>
      <c r="AZ435" s="1587">
        <f t="shared" si="290"/>
        <v>0</v>
      </c>
      <c r="BC435" s="1212" t="e">
        <f t="shared" ca="1" si="291"/>
        <v>#N/A</v>
      </c>
      <c r="BD435" s="1213" t="e">
        <f t="shared" ca="1" si="292"/>
        <v>#N/A</v>
      </c>
      <c r="BE435" s="1587">
        <f t="shared" si="293"/>
        <v>0</v>
      </c>
      <c r="BH435" s="1212" t="e">
        <f t="shared" ca="1" si="294"/>
        <v>#N/A</v>
      </c>
      <c r="BI435" s="1213" t="e">
        <f t="shared" ca="1" si="295"/>
        <v>#N/A</v>
      </c>
      <c r="BJ435" s="1587">
        <f t="shared" si="296"/>
        <v>0</v>
      </c>
      <c r="BM435" s="1212" t="e">
        <f t="shared" ca="1" si="297"/>
        <v>#N/A</v>
      </c>
      <c r="BN435" s="1213" t="e">
        <f t="shared" ca="1" si="298"/>
        <v>#N/A</v>
      </c>
      <c r="BO435" s="1587">
        <f t="shared" si="299"/>
        <v>0</v>
      </c>
      <c r="BR435" s="1212" t="e">
        <f t="shared" ca="1" si="300"/>
        <v>#N/A</v>
      </c>
      <c r="BS435" s="1213" t="e">
        <f t="shared" ca="1" si="301"/>
        <v>#N/A</v>
      </c>
      <c r="BT435" s="1587">
        <f t="shared" si="302"/>
        <v>0</v>
      </c>
      <c r="BW435" s="1212" t="e">
        <f t="shared" ca="1" si="303"/>
        <v>#N/A</v>
      </c>
      <c r="BX435" s="1213" t="e">
        <f t="shared" ca="1" si="304"/>
        <v>#N/A</v>
      </c>
      <c r="BY435" s="1587">
        <f t="shared" si="305"/>
        <v>0</v>
      </c>
      <c r="CB435" s="1212" t="e">
        <f t="shared" ca="1" si="306"/>
        <v>#N/A</v>
      </c>
      <c r="CC435" s="1213" t="e">
        <f t="shared" ca="1" si="307"/>
        <v>#N/A</v>
      </c>
      <c r="CD435" s="1587">
        <f t="shared" si="308"/>
        <v>0</v>
      </c>
      <c r="CG435" s="1212" t="e">
        <f t="shared" ca="1" si="309"/>
        <v>#N/A</v>
      </c>
      <c r="CH435" s="1213" t="e">
        <f t="shared" ca="1" si="310"/>
        <v>#N/A</v>
      </c>
      <c r="CI435" s="1587">
        <f t="shared" si="311"/>
        <v>0</v>
      </c>
      <c r="CL435" s="1212" t="e">
        <f t="shared" ca="1" si="312"/>
        <v>#N/A</v>
      </c>
      <c r="CM435" s="1213" t="e">
        <f t="shared" ca="1" si="313"/>
        <v>#N/A</v>
      </c>
      <c r="CN435" s="1587">
        <f t="shared" si="314"/>
        <v>0</v>
      </c>
    </row>
    <row r="436" spans="1:92">
      <c r="A436" s="141">
        <f>'銀行-TSS'!A436</f>
        <v>0</v>
      </c>
      <c r="B436" s="151">
        <f ca="1">VLOOKUP(A436,'銀行-TSS'!A:B,2,FALSE)</f>
        <v>0</v>
      </c>
      <c r="C436" s="151" t="e">
        <f ca="1">VLOOKUP(B436,bond!B:C,2,FALSE)</f>
        <v>#N/A</v>
      </c>
      <c r="D436" s="95" t="e">
        <f>VLOOKUP(A436,'銀行-TSS'!A:C,3,FALSE)</f>
        <v>#N/A</v>
      </c>
      <c r="E436" s="90" t="e">
        <f ca="1">VLOOKUP(A436,'銀行-TSS'!A:G,7,FALSE)</f>
        <v>#N/A</v>
      </c>
      <c r="F436" s="202" t="e">
        <f ca="1">VLOOKUP(A436,'銀行-TSS'!A:H,8,FALSE)</f>
        <v>#N/A</v>
      </c>
      <c r="G436" s="96" t="e">
        <f ca="1">VLOOKUP(A436,'銀行-TSS'!A:K,11,FALSE)</f>
        <v>#N/A</v>
      </c>
      <c r="H436" s="1209" t="e">
        <f ca="1">VLOOKUP(A436,'銀行-TSS'!A:M,13,FALSE)</f>
        <v>#N/A</v>
      </c>
      <c r="I436" s="1213" t="e">
        <f ca="1">VLOOKUP(A436,'銀行-TSS'!A:N,14,FALSE)</f>
        <v>#N/A</v>
      </c>
      <c r="J436" s="1213" t="e">
        <f ca="1">VLOOKUP(A436,'銀行-TSS'!A:O,15,FALSE)</f>
        <v>#N/A</v>
      </c>
      <c r="K436" s="136" t="e">
        <f ca="1">VLOOKUP(A436,'銀行-TSS'!A:V,22,FALSE)</f>
        <v>#N/A</v>
      </c>
      <c r="L436" s="136" t="e">
        <f ca="1">VLOOKUP(A436,'銀行-TSS'!A:AK,37,FALSE)</f>
        <v>#N/A</v>
      </c>
      <c r="M436" s="136" t="str">
        <f ca="1">VLOOKUP(A436,'銀行-TSS'!A:AN,40,FALSE)</f>
        <v/>
      </c>
      <c r="N436" s="136" t="e">
        <f t="shared" ca="1" si="270"/>
        <v>#N/A</v>
      </c>
      <c r="O436" s="1213" t="e">
        <f t="shared" ca="1" si="271"/>
        <v>#N/A</v>
      </c>
      <c r="P436" s="1213" t="e">
        <f ca="1">IF(AND($O$1&gt;=O436,換券單檔!$D$13=D436),I436+INT(($O$1-O436)/N436)*J436,0)</f>
        <v>#N/A</v>
      </c>
      <c r="Q436" s="1213" t="e">
        <f t="shared" ca="1" si="272"/>
        <v>#N/A</v>
      </c>
      <c r="R436" s="1213">
        <f t="shared" si="273"/>
        <v>0</v>
      </c>
      <c r="S436" s="1213">
        <f t="shared" si="274"/>
        <v>0</v>
      </c>
      <c r="T436" s="136">
        <f>IF(OR(R436=0,A436=0),0,IF(AND(V436=TRUE,換券單檔!$D$13=D436),E436,0))</f>
        <v>0</v>
      </c>
      <c r="U436" s="861">
        <f>IF(OR(R436=0,A436=0),0,IF(AND(V436=TRUE,換券單檔!$D$13=D436),H436,0))</f>
        <v>0</v>
      </c>
      <c r="V436" s="136" t="e">
        <f ca="1">IF(OR(B436=換券單檔!$D$3,L436="無",M436&lt;&gt;"",K436="高資產",IFERROR(MATCH(B436,換券單檔!K:K,0),"N")&lt;&gt;"N"),FALSE,IF($V$1="All",TRUE,IF(K436=$V$1,TRUE,FALSE)))</f>
        <v>#N/A</v>
      </c>
      <c r="W436" s="136" t="e">
        <f ca="1">VLOOKUP(A436,'銀行-TSS'!A:AO,41,FALSE)</f>
        <v>#N/A</v>
      </c>
      <c r="X436" s="136" t="e">
        <f ca="1">VLOOKUP(A436,'銀行-TSS'!A:AP,42,FALSE)</f>
        <v>#N/A</v>
      </c>
      <c r="Y436" s="1220">
        <f t="shared" si="275"/>
        <v>0</v>
      </c>
      <c r="Z436" s="1220">
        <f t="shared" si="276"/>
        <v>0</v>
      </c>
      <c r="AA436" s="136">
        <f>IF(Z436&lt;=0,0,RANK(Z436,Z:Z)+COUNTIF($Z$3:$Z436,Z436)-1)</f>
        <v>0</v>
      </c>
      <c r="AB436" s="1211">
        <f t="shared" ca="1" si="277"/>
        <v>-14896.14</v>
      </c>
      <c r="AC436" s="136">
        <f ca="1">IF(AB436&lt;=0,0,RANK(AB436,AB:AB)+COUNTIF($AB$3:$AB436,AB436)-1)</f>
        <v>0</v>
      </c>
      <c r="AD436" s="1123">
        <f t="shared" si="278"/>
        <v>99999</v>
      </c>
      <c r="AE436" s="1123">
        <f>IF(AD436=99999,0,RANK(AD436,AD:AD,1)+COUNTIF($AD$3:$AD436,AD436)-1)</f>
        <v>0</v>
      </c>
      <c r="AF436" s="86" t="e">
        <f ca="1">IF(OR(M436&lt;&gt;"",L436="無",K436="高資產",IFERROR(MATCH(B436,換券單檔!K:K,0),"N")&lt;&gt;"N"),FALSE,TRUE)</f>
        <v>#N/A</v>
      </c>
      <c r="AI436" s="1212" t="e">
        <f t="shared" ca="1" si="279"/>
        <v>#N/A</v>
      </c>
      <c r="AJ436" s="1213" t="e">
        <f t="shared" ca="1" si="280"/>
        <v>#N/A</v>
      </c>
      <c r="AK436" s="1587">
        <f t="shared" si="281"/>
        <v>0</v>
      </c>
      <c r="AN436" s="1212" t="e">
        <f t="shared" ca="1" si="282"/>
        <v>#N/A</v>
      </c>
      <c r="AO436" s="1213" t="e">
        <f t="shared" ca="1" si="283"/>
        <v>#N/A</v>
      </c>
      <c r="AP436" s="1587">
        <f t="shared" si="284"/>
        <v>0</v>
      </c>
      <c r="AS436" s="1212" t="e">
        <f t="shared" ca="1" si="285"/>
        <v>#N/A</v>
      </c>
      <c r="AT436" s="1213" t="e">
        <f t="shared" ca="1" si="286"/>
        <v>#N/A</v>
      </c>
      <c r="AU436" s="1587">
        <f t="shared" si="287"/>
        <v>0</v>
      </c>
      <c r="AX436" s="1212" t="e">
        <f t="shared" ca="1" si="288"/>
        <v>#N/A</v>
      </c>
      <c r="AY436" s="1213" t="e">
        <f t="shared" ca="1" si="289"/>
        <v>#N/A</v>
      </c>
      <c r="AZ436" s="1587">
        <f t="shared" si="290"/>
        <v>0</v>
      </c>
      <c r="BC436" s="1212" t="e">
        <f t="shared" ca="1" si="291"/>
        <v>#N/A</v>
      </c>
      <c r="BD436" s="1213" t="e">
        <f t="shared" ca="1" si="292"/>
        <v>#N/A</v>
      </c>
      <c r="BE436" s="1587">
        <f t="shared" si="293"/>
        <v>0</v>
      </c>
      <c r="BH436" s="1212" t="e">
        <f t="shared" ca="1" si="294"/>
        <v>#N/A</v>
      </c>
      <c r="BI436" s="1213" t="e">
        <f t="shared" ca="1" si="295"/>
        <v>#N/A</v>
      </c>
      <c r="BJ436" s="1587">
        <f t="shared" si="296"/>
        <v>0</v>
      </c>
      <c r="BM436" s="1212" t="e">
        <f t="shared" ca="1" si="297"/>
        <v>#N/A</v>
      </c>
      <c r="BN436" s="1213" t="e">
        <f t="shared" ca="1" si="298"/>
        <v>#N/A</v>
      </c>
      <c r="BO436" s="1587">
        <f t="shared" si="299"/>
        <v>0</v>
      </c>
      <c r="BR436" s="1212" t="e">
        <f t="shared" ca="1" si="300"/>
        <v>#N/A</v>
      </c>
      <c r="BS436" s="1213" t="e">
        <f t="shared" ca="1" si="301"/>
        <v>#N/A</v>
      </c>
      <c r="BT436" s="1587">
        <f t="shared" si="302"/>
        <v>0</v>
      </c>
      <c r="BW436" s="1212" t="e">
        <f t="shared" ca="1" si="303"/>
        <v>#N/A</v>
      </c>
      <c r="BX436" s="1213" t="e">
        <f t="shared" ca="1" si="304"/>
        <v>#N/A</v>
      </c>
      <c r="BY436" s="1587">
        <f t="shared" si="305"/>
        <v>0</v>
      </c>
      <c r="CB436" s="1212" t="e">
        <f t="shared" ca="1" si="306"/>
        <v>#N/A</v>
      </c>
      <c r="CC436" s="1213" t="e">
        <f t="shared" ca="1" si="307"/>
        <v>#N/A</v>
      </c>
      <c r="CD436" s="1587">
        <f t="shared" si="308"/>
        <v>0</v>
      </c>
      <c r="CG436" s="1212" t="e">
        <f t="shared" ca="1" si="309"/>
        <v>#N/A</v>
      </c>
      <c r="CH436" s="1213" t="e">
        <f t="shared" ca="1" si="310"/>
        <v>#N/A</v>
      </c>
      <c r="CI436" s="1587">
        <f t="shared" si="311"/>
        <v>0</v>
      </c>
      <c r="CL436" s="1212" t="e">
        <f t="shared" ca="1" si="312"/>
        <v>#N/A</v>
      </c>
      <c r="CM436" s="1213" t="e">
        <f t="shared" ca="1" si="313"/>
        <v>#N/A</v>
      </c>
      <c r="CN436" s="1587">
        <f t="shared" si="314"/>
        <v>0</v>
      </c>
    </row>
    <row r="437" spans="1:92">
      <c r="A437" s="141">
        <f>'銀行-TSS'!A437</f>
        <v>0</v>
      </c>
      <c r="B437" s="151">
        <f ca="1">VLOOKUP(A437,'銀行-TSS'!A:B,2,FALSE)</f>
        <v>0</v>
      </c>
      <c r="C437" s="151" t="e">
        <f ca="1">VLOOKUP(B437,bond!B:C,2,FALSE)</f>
        <v>#N/A</v>
      </c>
      <c r="D437" s="95" t="e">
        <f>VLOOKUP(A437,'銀行-TSS'!A:C,3,FALSE)</f>
        <v>#N/A</v>
      </c>
      <c r="E437" s="90" t="e">
        <f ca="1">VLOOKUP(A437,'銀行-TSS'!A:G,7,FALSE)</f>
        <v>#N/A</v>
      </c>
      <c r="F437" s="202" t="e">
        <f ca="1">VLOOKUP(A437,'銀行-TSS'!A:H,8,FALSE)</f>
        <v>#N/A</v>
      </c>
      <c r="G437" s="96" t="e">
        <f ca="1">VLOOKUP(A437,'銀行-TSS'!A:K,11,FALSE)</f>
        <v>#N/A</v>
      </c>
      <c r="H437" s="1209" t="e">
        <f ca="1">VLOOKUP(A437,'銀行-TSS'!A:M,13,FALSE)</f>
        <v>#N/A</v>
      </c>
      <c r="I437" s="1213" t="e">
        <f ca="1">VLOOKUP(A437,'銀行-TSS'!A:N,14,FALSE)</f>
        <v>#N/A</v>
      </c>
      <c r="J437" s="1213" t="e">
        <f ca="1">VLOOKUP(A437,'銀行-TSS'!A:O,15,FALSE)</f>
        <v>#N/A</v>
      </c>
      <c r="K437" s="136" t="e">
        <f ca="1">VLOOKUP(A437,'銀行-TSS'!A:V,22,FALSE)</f>
        <v>#N/A</v>
      </c>
      <c r="L437" s="136" t="e">
        <f ca="1">VLOOKUP(A437,'銀行-TSS'!A:AK,37,FALSE)</f>
        <v>#N/A</v>
      </c>
      <c r="M437" s="136" t="str">
        <f ca="1">VLOOKUP(A437,'銀行-TSS'!A:AN,40,FALSE)</f>
        <v/>
      </c>
      <c r="N437" s="136" t="e">
        <f t="shared" ca="1" si="270"/>
        <v>#N/A</v>
      </c>
      <c r="O437" s="1213" t="e">
        <f t="shared" ca="1" si="271"/>
        <v>#N/A</v>
      </c>
      <c r="P437" s="1213" t="e">
        <f ca="1">IF(AND($O$1&gt;=O437,換券單檔!$D$13=D437),I437+INT(($O$1-O437)/N437)*J437,0)</f>
        <v>#N/A</v>
      </c>
      <c r="Q437" s="1213" t="e">
        <f t="shared" ca="1" si="272"/>
        <v>#N/A</v>
      </c>
      <c r="R437" s="1213">
        <f t="shared" si="273"/>
        <v>0</v>
      </c>
      <c r="S437" s="1213">
        <f t="shared" si="274"/>
        <v>0</v>
      </c>
      <c r="T437" s="136">
        <f>IF(OR(R437=0,A437=0),0,IF(AND(V437=TRUE,換券單檔!$D$13=D437),E437,0))</f>
        <v>0</v>
      </c>
      <c r="U437" s="861">
        <f>IF(OR(R437=0,A437=0),0,IF(AND(V437=TRUE,換券單檔!$D$13=D437),H437,0))</f>
        <v>0</v>
      </c>
      <c r="V437" s="136" t="e">
        <f ca="1">IF(OR(B437=換券單檔!$D$3,L437="無",M437&lt;&gt;"",K437="高資產",IFERROR(MATCH(B437,換券單檔!K:K,0),"N")&lt;&gt;"N"),FALSE,IF($V$1="All",TRUE,IF(K437=$V$1,TRUE,FALSE)))</f>
        <v>#N/A</v>
      </c>
      <c r="W437" s="136" t="e">
        <f ca="1">VLOOKUP(A437,'銀行-TSS'!A:AO,41,FALSE)</f>
        <v>#N/A</v>
      </c>
      <c r="X437" s="136" t="e">
        <f ca="1">VLOOKUP(A437,'銀行-TSS'!A:AP,42,FALSE)</f>
        <v>#N/A</v>
      </c>
      <c r="Y437" s="1220">
        <f t="shared" si="275"/>
        <v>0</v>
      </c>
      <c r="Z437" s="1220">
        <f t="shared" si="276"/>
        <v>0</v>
      </c>
      <c r="AA437" s="136">
        <f>IF(Z437&lt;=0,0,RANK(Z437,Z:Z)+COUNTIF($Z$3:$Z437,Z437)-1)</f>
        <v>0</v>
      </c>
      <c r="AB437" s="1211">
        <f t="shared" ca="1" si="277"/>
        <v>-14896.14</v>
      </c>
      <c r="AC437" s="136">
        <f ca="1">IF(AB437&lt;=0,0,RANK(AB437,AB:AB)+COUNTIF($AB$3:$AB437,AB437)-1)</f>
        <v>0</v>
      </c>
      <c r="AD437" s="1123">
        <f t="shared" si="278"/>
        <v>99999</v>
      </c>
      <c r="AE437" s="1123">
        <f>IF(AD437=99999,0,RANK(AD437,AD:AD,1)+COUNTIF($AD$3:$AD437,AD437)-1)</f>
        <v>0</v>
      </c>
      <c r="AF437" s="86" t="e">
        <f ca="1">IF(OR(M437&lt;&gt;"",L437="無",K437="高資產",IFERROR(MATCH(B437,換券單檔!K:K,0),"N")&lt;&gt;"N"),FALSE,TRUE)</f>
        <v>#N/A</v>
      </c>
      <c r="AI437" s="1212" t="e">
        <f t="shared" ca="1" si="279"/>
        <v>#N/A</v>
      </c>
      <c r="AJ437" s="1213" t="e">
        <f t="shared" ca="1" si="280"/>
        <v>#N/A</v>
      </c>
      <c r="AK437" s="1587">
        <f t="shared" si="281"/>
        <v>0</v>
      </c>
      <c r="AN437" s="1212" t="e">
        <f t="shared" ca="1" si="282"/>
        <v>#N/A</v>
      </c>
      <c r="AO437" s="1213" t="e">
        <f t="shared" ca="1" si="283"/>
        <v>#N/A</v>
      </c>
      <c r="AP437" s="1587">
        <f t="shared" si="284"/>
        <v>0</v>
      </c>
      <c r="AS437" s="1212" t="e">
        <f t="shared" ca="1" si="285"/>
        <v>#N/A</v>
      </c>
      <c r="AT437" s="1213" t="e">
        <f t="shared" ca="1" si="286"/>
        <v>#N/A</v>
      </c>
      <c r="AU437" s="1587">
        <f t="shared" si="287"/>
        <v>0</v>
      </c>
      <c r="AX437" s="1212" t="e">
        <f t="shared" ca="1" si="288"/>
        <v>#N/A</v>
      </c>
      <c r="AY437" s="1213" t="e">
        <f t="shared" ca="1" si="289"/>
        <v>#N/A</v>
      </c>
      <c r="AZ437" s="1587">
        <f t="shared" si="290"/>
        <v>0</v>
      </c>
      <c r="BC437" s="1212" t="e">
        <f t="shared" ca="1" si="291"/>
        <v>#N/A</v>
      </c>
      <c r="BD437" s="1213" t="e">
        <f t="shared" ca="1" si="292"/>
        <v>#N/A</v>
      </c>
      <c r="BE437" s="1587">
        <f t="shared" si="293"/>
        <v>0</v>
      </c>
      <c r="BH437" s="1212" t="e">
        <f t="shared" ca="1" si="294"/>
        <v>#N/A</v>
      </c>
      <c r="BI437" s="1213" t="e">
        <f t="shared" ca="1" si="295"/>
        <v>#N/A</v>
      </c>
      <c r="BJ437" s="1587">
        <f t="shared" si="296"/>
        <v>0</v>
      </c>
      <c r="BM437" s="1212" t="e">
        <f t="shared" ca="1" si="297"/>
        <v>#N/A</v>
      </c>
      <c r="BN437" s="1213" t="e">
        <f t="shared" ca="1" si="298"/>
        <v>#N/A</v>
      </c>
      <c r="BO437" s="1587">
        <f t="shared" si="299"/>
        <v>0</v>
      </c>
      <c r="BR437" s="1212" t="e">
        <f t="shared" ca="1" si="300"/>
        <v>#N/A</v>
      </c>
      <c r="BS437" s="1213" t="e">
        <f t="shared" ca="1" si="301"/>
        <v>#N/A</v>
      </c>
      <c r="BT437" s="1587">
        <f t="shared" si="302"/>
        <v>0</v>
      </c>
      <c r="BW437" s="1212" t="e">
        <f t="shared" ca="1" si="303"/>
        <v>#N/A</v>
      </c>
      <c r="BX437" s="1213" t="e">
        <f t="shared" ca="1" si="304"/>
        <v>#N/A</v>
      </c>
      <c r="BY437" s="1587">
        <f t="shared" si="305"/>
        <v>0</v>
      </c>
      <c r="CB437" s="1212" t="e">
        <f t="shared" ca="1" si="306"/>
        <v>#N/A</v>
      </c>
      <c r="CC437" s="1213" t="e">
        <f t="shared" ca="1" si="307"/>
        <v>#N/A</v>
      </c>
      <c r="CD437" s="1587">
        <f t="shared" si="308"/>
        <v>0</v>
      </c>
      <c r="CG437" s="1212" t="e">
        <f t="shared" ca="1" si="309"/>
        <v>#N/A</v>
      </c>
      <c r="CH437" s="1213" t="e">
        <f t="shared" ca="1" si="310"/>
        <v>#N/A</v>
      </c>
      <c r="CI437" s="1587">
        <f t="shared" si="311"/>
        <v>0</v>
      </c>
      <c r="CL437" s="1212" t="e">
        <f t="shared" ca="1" si="312"/>
        <v>#N/A</v>
      </c>
      <c r="CM437" s="1213" t="e">
        <f t="shared" ca="1" si="313"/>
        <v>#N/A</v>
      </c>
      <c r="CN437" s="1587">
        <f t="shared" si="314"/>
        <v>0</v>
      </c>
    </row>
    <row r="438" spans="1:92">
      <c r="A438" s="141">
        <f>'銀行-TSS'!A438</f>
        <v>0</v>
      </c>
      <c r="B438" s="151">
        <f ca="1">VLOOKUP(A438,'銀行-TSS'!A:B,2,FALSE)</f>
        <v>0</v>
      </c>
      <c r="C438" s="151" t="e">
        <f ca="1">VLOOKUP(B438,bond!B:C,2,FALSE)</f>
        <v>#N/A</v>
      </c>
      <c r="D438" s="95" t="e">
        <f>VLOOKUP(A438,'銀行-TSS'!A:C,3,FALSE)</f>
        <v>#N/A</v>
      </c>
      <c r="E438" s="90" t="e">
        <f ca="1">VLOOKUP(A438,'銀行-TSS'!A:G,7,FALSE)</f>
        <v>#N/A</v>
      </c>
      <c r="F438" s="202" t="e">
        <f ca="1">VLOOKUP(A438,'銀行-TSS'!A:H,8,FALSE)</f>
        <v>#N/A</v>
      </c>
      <c r="G438" s="96" t="e">
        <f ca="1">VLOOKUP(A438,'銀行-TSS'!A:K,11,FALSE)</f>
        <v>#N/A</v>
      </c>
      <c r="H438" s="1209" t="e">
        <f ca="1">VLOOKUP(A438,'銀行-TSS'!A:M,13,FALSE)</f>
        <v>#N/A</v>
      </c>
      <c r="I438" s="1213" t="e">
        <f ca="1">VLOOKUP(A438,'銀行-TSS'!A:N,14,FALSE)</f>
        <v>#N/A</v>
      </c>
      <c r="J438" s="1213" t="e">
        <f ca="1">VLOOKUP(A438,'銀行-TSS'!A:O,15,FALSE)</f>
        <v>#N/A</v>
      </c>
      <c r="K438" s="136" t="e">
        <f ca="1">VLOOKUP(A438,'銀行-TSS'!A:V,22,FALSE)</f>
        <v>#N/A</v>
      </c>
      <c r="L438" s="136" t="e">
        <f ca="1">VLOOKUP(A438,'銀行-TSS'!A:AK,37,FALSE)</f>
        <v>#N/A</v>
      </c>
      <c r="M438" s="136" t="str">
        <f ca="1">VLOOKUP(A438,'銀行-TSS'!A:AN,40,FALSE)</f>
        <v/>
      </c>
      <c r="N438" s="136" t="e">
        <f t="shared" ca="1" si="270"/>
        <v>#N/A</v>
      </c>
      <c r="O438" s="1213" t="e">
        <f t="shared" ca="1" si="271"/>
        <v>#N/A</v>
      </c>
      <c r="P438" s="1213" t="e">
        <f ca="1">IF(AND($O$1&gt;=O438,換券單檔!$D$13=D438),I438+INT(($O$1-O438)/N438)*J438,0)</f>
        <v>#N/A</v>
      </c>
      <c r="Q438" s="1213" t="e">
        <f t="shared" ca="1" si="272"/>
        <v>#N/A</v>
      </c>
      <c r="R438" s="1213">
        <f t="shared" si="273"/>
        <v>0</v>
      </c>
      <c r="S438" s="1213">
        <f t="shared" si="274"/>
        <v>0</v>
      </c>
      <c r="T438" s="136">
        <f>IF(OR(R438=0,A438=0),0,IF(AND(V438=TRUE,換券單檔!$D$13=D438),E438,0))</f>
        <v>0</v>
      </c>
      <c r="U438" s="861">
        <f>IF(OR(R438=0,A438=0),0,IF(AND(V438=TRUE,換券單檔!$D$13=D438),H438,0))</f>
        <v>0</v>
      </c>
      <c r="V438" s="136" t="e">
        <f ca="1">IF(OR(B438=換券單檔!$D$3,L438="無",M438&lt;&gt;"",K438="高資產",IFERROR(MATCH(B438,換券單檔!K:K,0),"N")&lt;&gt;"N"),FALSE,IF($V$1="All",TRUE,IF(K438=$V$1,TRUE,FALSE)))</f>
        <v>#N/A</v>
      </c>
      <c r="W438" s="136" t="e">
        <f ca="1">VLOOKUP(A438,'銀行-TSS'!A:AO,41,FALSE)</f>
        <v>#N/A</v>
      </c>
      <c r="X438" s="136" t="e">
        <f ca="1">VLOOKUP(A438,'銀行-TSS'!A:AP,42,FALSE)</f>
        <v>#N/A</v>
      </c>
      <c r="Y438" s="1220">
        <f t="shared" si="275"/>
        <v>0</v>
      </c>
      <c r="Z438" s="1220">
        <f t="shared" si="276"/>
        <v>0</v>
      </c>
      <c r="AA438" s="136">
        <f>IF(Z438&lt;=0,0,RANK(Z438,Z:Z)+COUNTIF($Z$3:$Z438,Z438)-1)</f>
        <v>0</v>
      </c>
      <c r="AB438" s="1211">
        <f t="shared" ca="1" si="277"/>
        <v>-14896.14</v>
      </c>
      <c r="AC438" s="136">
        <f ca="1">IF(AB438&lt;=0,0,RANK(AB438,AB:AB)+COUNTIF($AB$3:$AB438,AB438)-1)</f>
        <v>0</v>
      </c>
      <c r="AD438" s="1123">
        <f t="shared" si="278"/>
        <v>99999</v>
      </c>
      <c r="AE438" s="1123">
        <f>IF(AD438=99999,0,RANK(AD438,AD:AD,1)+COUNTIF($AD$3:$AD438,AD438)-1)</f>
        <v>0</v>
      </c>
      <c r="AF438" s="86" t="e">
        <f ca="1">IF(OR(M438&lt;&gt;"",L438="無",K438="高資產",IFERROR(MATCH(B438,換券單檔!K:K,0),"N")&lt;&gt;"N"),FALSE,TRUE)</f>
        <v>#N/A</v>
      </c>
      <c r="AI438" s="1212" t="e">
        <f t="shared" ca="1" si="279"/>
        <v>#N/A</v>
      </c>
      <c r="AJ438" s="1213" t="e">
        <f t="shared" ca="1" si="280"/>
        <v>#N/A</v>
      </c>
      <c r="AK438" s="1587">
        <f t="shared" si="281"/>
        <v>0</v>
      </c>
      <c r="AN438" s="1212" t="e">
        <f t="shared" ca="1" si="282"/>
        <v>#N/A</v>
      </c>
      <c r="AO438" s="1213" t="e">
        <f t="shared" ca="1" si="283"/>
        <v>#N/A</v>
      </c>
      <c r="AP438" s="1587">
        <f t="shared" si="284"/>
        <v>0</v>
      </c>
      <c r="AS438" s="1212" t="e">
        <f t="shared" ca="1" si="285"/>
        <v>#N/A</v>
      </c>
      <c r="AT438" s="1213" t="e">
        <f t="shared" ca="1" si="286"/>
        <v>#N/A</v>
      </c>
      <c r="AU438" s="1587">
        <f t="shared" si="287"/>
        <v>0</v>
      </c>
      <c r="AX438" s="1212" t="e">
        <f t="shared" ca="1" si="288"/>
        <v>#N/A</v>
      </c>
      <c r="AY438" s="1213" t="e">
        <f t="shared" ca="1" si="289"/>
        <v>#N/A</v>
      </c>
      <c r="AZ438" s="1587">
        <f t="shared" si="290"/>
        <v>0</v>
      </c>
      <c r="BC438" s="1212" t="e">
        <f t="shared" ca="1" si="291"/>
        <v>#N/A</v>
      </c>
      <c r="BD438" s="1213" t="e">
        <f t="shared" ca="1" si="292"/>
        <v>#N/A</v>
      </c>
      <c r="BE438" s="1587">
        <f t="shared" si="293"/>
        <v>0</v>
      </c>
      <c r="BH438" s="1212" t="e">
        <f t="shared" ca="1" si="294"/>
        <v>#N/A</v>
      </c>
      <c r="BI438" s="1213" t="e">
        <f t="shared" ca="1" si="295"/>
        <v>#N/A</v>
      </c>
      <c r="BJ438" s="1587">
        <f t="shared" si="296"/>
        <v>0</v>
      </c>
      <c r="BM438" s="1212" t="e">
        <f t="shared" ca="1" si="297"/>
        <v>#N/A</v>
      </c>
      <c r="BN438" s="1213" t="e">
        <f t="shared" ca="1" si="298"/>
        <v>#N/A</v>
      </c>
      <c r="BO438" s="1587">
        <f t="shared" si="299"/>
        <v>0</v>
      </c>
      <c r="BR438" s="1212" t="e">
        <f t="shared" ca="1" si="300"/>
        <v>#N/A</v>
      </c>
      <c r="BS438" s="1213" t="e">
        <f t="shared" ca="1" si="301"/>
        <v>#N/A</v>
      </c>
      <c r="BT438" s="1587">
        <f t="shared" si="302"/>
        <v>0</v>
      </c>
      <c r="BW438" s="1212" t="e">
        <f t="shared" ca="1" si="303"/>
        <v>#N/A</v>
      </c>
      <c r="BX438" s="1213" t="e">
        <f t="shared" ca="1" si="304"/>
        <v>#N/A</v>
      </c>
      <c r="BY438" s="1587">
        <f t="shared" si="305"/>
        <v>0</v>
      </c>
      <c r="CB438" s="1212" t="e">
        <f t="shared" ca="1" si="306"/>
        <v>#N/A</v>
      </c>
      <c r="CC438" s="1213" t="e">
        <f t="shared" ca="1" si="307"/>
        <v>#N/A</v>
      </c>
      <c r="CD438" s="1587">
        <f t="shared" si="308"/>
        <v>0</v>
      </c>
      <c r="CG438" s="1212" t="e">
        <f t="shared" ca="1" si="309"/>
        <v>#N/A</v>
      </c>
      <c r="CH438" s="1213" t="e">
        <f t="shared" ca="1" si="310"/>
        <v>#N/A</v>
      </c>
      <c r="CI438" s="1587">
        <f t="shared" si="311"/>
        <v>0</v>
      </c>
      <c r="CL438" s="1212" t="e">
        <f t="shared" ca="1" si="312"/>
        <v>#N/A</v>
      </c>
      <c r="CM438" s="1213" t="e">
        <f t="shared" ca="1" si="313"/>
        <v>#N/A</v>
      </c>
      <c r="CN438" s="1587">
        <f t="shared" si="314"/>
        <v>0</v>
      </c>
    </row>
    <row r="439" spans="1:92">
      <c r="A439" s="141">
        <f>'銀行-TSS'!A439</f>
        <v>0</v>
      </c>
      <c r="B439" s="151">
        <f ca="1">VLOOKUP(A439,'銀行-TSS'!A:B,2,FALSE)</f>
        <v>0</v>
      </c>
      <c r="C439" s="151" t="e">
        <f ca="1">VLOOKUP(B439,bond!B:C,2,FALSE)</f>
        <v>#N/A</v>
      </c>
      <c r="D439" s="95" t="e">
        <f>VLOOKUP(A439,'銀行-TSS'!A:C,3,FALSE)</f>
        <v>#N/A</v>
      </c>
      <c r="E439" s="90" t="e">
        <f ca="1">VLOOKUP(A439,'銀行-TSS'!A:G,7,FALSE)</f>
        <v>#N/A</v>
      </c>
      <c r="F439" s="202" t="e">
        <f ca="1">VLOOKUP(A439,'銀行-TSS'!A:H,8,FALSE)</f>
        <v>#N/A</v>
      </c>
      <c r="G439" s="96" t="e">
        <f ca="1">VLOOKUP(A439,'銀行-TSS'!A:K,11,FALSE)</f>
        <v>#N/A</v>
      </c>
      <c r="H439" s="1209" t="e">
        <f ca="1">VLOOKUP(A439,'銀行-TSS'!A:M,13,FALSE)</f>
        <v>#N/A</v>
      </c>
      <c r="I439" s="1213" t="e">
        <f ca="1">VLOOKUP(A439,'銀行-TSS'!A:N,14,FALSE)</f>
        <v>#N/A</v>
      </c>
      <c r="J439" s="1213" t="e">
        <f ca="1">VLOOKUP(A439,'銀行-TSS'!A:O,15,FALSE)</f>
        <v>#N/A</v>
      </c>
      <c r="K439" s="136" t="e">
        <f ca="1">VLOOKUP(A439,'銀行-TSS'!A:V,22,FALSE)</f>
        <v>#N/A</v>
      </c>
      <c r="L439" s="136" t="e">
        <f ca="1">VLOOKUP(A439,'銀行-TSS'!A:AK,37,FALSE)</f>
        <v>#N/A</v>
      </c>
      <c r="M439" s="136" t="str">
        <f ca="1">VLOOKUP(A439,'銀行-TSS'!A:AN,40,FALSE)</f>
        <v/>
      </c>
      <c r="N439" s="136" t="e">
        <f t="shared" ca="1" si="270"/>
        <v>#N/A</v>
      </c>
      <c r="O439" s="1213" t="e">
        <f t="shared" ca="1" si="271"/>
        <v>#N/A</v>
      </c>
      <c r="P439" s="1213" t="e">
        <f ca="1">IF(AND($O$1&gt;=O439,換券單檔!$D$13=D439),I439+INT(($O$1-O439)/N439)*J439,0)</f>
        <v>#N/A</v>
      </c>
      <c r="Q439" s="1213" t="e">
        <f t="shared" ca="1" si="272"/>
        <v>#N/A</v>
      </c>
      <c r="R439" s="1213">
        <f t="shared" si="273"/>
        <v>0</v>
      </c>
      <c r="S439" s="1213">
        <f t="shared" si="274"/>
        <v>0</v>
      </c>
      <c r="T439" s="136">
        <f>IF(OR(R439=0,A439=0),0,IF(AND(V439=TRUE,換券單檔!$D$13=D439),E439,0))</f>
        <v>0</v>
      </c>
      <c r="U439" s="861">
        <f>IF(OR(R439=0,A439=0),0,IF(AND(V439=TRUE,換券單檔!$D$13=D439),H439,0))</f>
        <v>0</v>
      </c>
      <c r="V439" s="136" t="e">
        <f ca="1">IF(OR(B439=換券單檔!$D$3,L439="無",M439&lt;&gt;"",K439="高資產",IFERROR(MATCH(B439,換券單檔!K:K,0),"N")&lt;&gt;"N"),FALSE,IF($V$1="All",TRUE,IF(K439=$V$1,TRUE,FALSE)))</f>
        <v>#N/A</v>
      </c>
      <c r="W439" s="136" t="e">
        <f ca="1">VLOOKUP(A439,'銀行-TSS'!A:AO,41,FALSE)</f>
        <v>#N/A</v>
      </c>
      <c r="X439" s="136" t="e">
        <f ca="1">VLOOKUP(A439,'銀行-TSS'!A:AP,42,FALSE)</f>
        <v>#N/A</v>
      </c>
      <c r="Y439" s="1220">
        <f t="shared" si="275"/>
        <v>0</v>
      </c>
      <c r="Z439" s="1220">
        <f t="shared" si="276"/>
        <v>0</v>
      </c>
      <c r="AA439" s="136">
        <f>IF(Z439&lt;=0,0,RANK(Z439,Z:Z)+COUNTIF($Z$3:$Z439,Z439)-1)</f>
        <v>0</v>
      </c>
      <c r="AB439" s="1211">
        <f t="shared" ca="1" si="277"/>
        <v>-14896.14</v>
      </c>
      <c r="AC439" s="136">
        <f ca="1">IF(AB439&lt;=0,0,RANK(AB439,AB:AB)+COUNTIF($AB$3:$AB439,AB439)-1)</f>
        <v>0</v>
      </c>
      <c r="AD439" s="1123">
        <f t="shared" si="278"/>
        <v>99999</v>
      </c>
      <c r="AE439" s="1123">
        <f>IF(AD439=99999,0,RANK(AD439,AD:AD,1)+COUNTIF($AD$3:$AD439,AD439)-1)</f>
        <v>0</v>
      </c>
      <c r="AF439" s="86" t="e">
        <f ca="1">IF(OR(M439&lt;&gt;"",L439="無",K439="高資產",IFERROR(MATCH(B439,換券單檔!K:K,0),"N")&lt;&gt;"N"),FALSE,TRUE)</f>
        <v>#N/A</v>
      </c>
      <c r="AI439" s="1212" t="e">
        <f t="shared" ca="1" si="279"/>
        <v>#N/A</v>
      </c>
      <c r="AJ439" s="1213" t="e">
        <f t="shared" ca="1" si="280"/>
        <v>#N/A</v>
      </c>
      <c r="AK439" s="1587">
        <f t="shared" si="281"/>
        <v>0</v>
      </c>
      <c r="AN439" s="1212" t="e">
        <f t="shared" ca="1" si="282"/>
        <v>#N/A</v>
      </c>
      <c r="AO439" s="1213" t="e">
        <f t="shared" ca="1" si="283"/>
        <v>#N/A</v>
      </c>
      <c r="AP439" s="1587">
        <f t="shared" si="284"/>
        <v>0</v>
      </c>
      <c r="AS439" s="1212" t="e">
        <f t="shared" ca="1" si="285"/>
        <v>#N/A</v>
      </c>
      <c r="AT439" s="1213" t="e">
        <f t="shared" ca="1" si="286"/>
        <v>#N/A</v>
      </c>
      <c r="AU439" s="1587">
        <f t="shared" si="287"/>
        <v>0</v>
      </c>
      <c r="AX439" s="1212" t="e">
        <f t="shared" ca="1" si="288"/>
        <v>#N/A</v>
      </c>
      <c r="AY439" s="1213" t="e">
        <f t="shared" ca="1" si="289"/>
        <v>#N/A</v>
      </c>
      <c r="AZ439" s="1587">
        <f t="shared" si="290"/>
        <v>0</v>
      </c>
      <c r="BC439" s="1212" t="e">
        <f t="shared" ca="1" si="291"/>
        <v>#N/A</v>
      </c>
      <c r="BD439" s="1213" t="e">
        <f t="shared" ca="1" si="292"/>
        <v>#N/A</v>
      </c>
      <c r="BE439" s="1587">
        <f t="shared" si="293"/>
        <v>0</v>
      </c>
      <c r="BH439" s="1212" t="e">
        <f t="shared" ca="1" si="294"/>
        <v>#N/A</v>
      </c>
      <c r="BI439" s="1213" t="e">
        <f t="shared" ca="1" si="295"/>
        <v>#N/A</v>
      </c>
      <c r="BJ439" s="1587">
        <f t="shared" si="296"/>
        <v>0</v>
      </c>
      <c r="BM439" s="1212" t="e">
        <f t="shared" ca="1" si="297"/>
        <v>#N/A</v>
      </c>
      <c r="BN439" s="1213" t="e">
        <f t="shared" ca="1" si="298"/>
        <v>#N/A</v>
      </c>
      <c r="BO439" s="1587">
        <f t="shared" si="299"/>
        <v>0</v>
      </c>
      <c r="BR439" s="1212" t="e">
        <f t="shared" ca="1" si="300"/>
        <v>#N/A</v>
      </c>
      <c r="BS439" s="1213" t="e">
        <f t="shared" ca="1" si="301"/>
        <v>#N/A</v>
      </c>
      <c r="BT439" s="1587">
        <f t="shared" si="302"/>
        <v>0</v>
      </c>
      <c r="BW439" s="1212" t="e">
        <f t="shared" ca="1" si="303"/>
        <v>#N/A</v>
      </c>
      <c r="BX439" s="1213" t="e">
        <f t="shared" ca="1" si="304"/>
        <v>#N/A</v>
      </c>
      <c r="BY439" s="1587">
        <f t="shared" si="305"/>
        <v>0</v>
      </c>
      <c r="CB439" s="1212" t="e">
        <f t="shared" ca="1" si="306"/>
        <v>#N/A</v>
      </c>
      <c r="CC439" s="1213" t="e">
        <f t="shared" ca="1" si="307"/>
        <v>#N/A</v>
      </c>
      <c r="CD439" s="1587">
        <f t="shared" si="308"/>
        <v>0</v>
      </c>
      <c r="CG439" s="1212" t="e">
        <f t="shared" ca="1" si="309"/>
        <v>#N/A</v>
      </c>
      <c r="CH439" s="1213" t="e">
        <f t="shared" ca="1" si="310"/>
        <v>#N/A</v>
      </c>
      <c r="CI439" s="1587">
        <f t="shared" si="311"/>
        <v>0</v>
      </c>
      <c r="CL439" s="1212" t="e">
        <f t="shared" ca="1" si="312"/>
        <v>#N/A</v>
      </c>
      <c r="CM439" s="1213" t="e">
        <f t="shared" ca="1" si="313"/>
        <v>#N/A</v>
      </c>
      <c r="CN439" s="1587">
        <f t="shared" si="314"/>
        <v>0</v>
      </c>
    </row>
    <row r="440" spans="1:92">
      <c r="A440" s="141">
        <f>'銀行-TSS'!A440</f>
        <v>0</v>
      </c>
      <c r="B440" s="151">
        <f ca="1">VLOOKUP(A440,'銀行-TSS'!A:B,2,FALSE)</f>
        <v>0</v>
      </c>
      <c r="C440" s="151" t="e">
        <f ca="1">VLOOKUP(B440,bond!B:C,2,FALSE)</f>
        <v>#N/A</v>
      </c>
      <c r="D440" s="95" t="e">
        <f>VLOOKUP(A440,'銀行-TSS'!A:C,3,FALSE)</f>
        <v>#N/A</v>
      </c>
      <c r="E440" s="90" t="e">
        <f ca="1">VLOOKUP(A440,'銀行-TSS'!A:G,7,FALSE)</f>
        <v>#N/A</v>
      </c>
      <c r="F440" s="202" t="e">
        <f ca="1">VLOOKUP(A440,'銀行-TSS'!A:H,8,FALSE)</f>
        <v>#N/A</v>
      </c>
      <c r="G440" s="96" t="e">
        <f ca="1">VLOOKUP(A440,'銀行-TSS'!A:K,11,FALSE)</f>
        <v>#N/A</v>
      </c>
      <c r="H440" s="1209" t="e">
        <f ca="1">VLOOKUP(A440,'銀行-TSS'!A:M,13,FALSE)</f>
        <v>#N/A</v>
      </c>
      <c r="I440" s="1213" t="e">
        <f ca="1">VLOOKUP(A440,'銀行-TSS'!A:N,14,FALSE)</f>
        <v>#N/A</v>
      </c>
      <c r="J440" s="1213" t="e">
        <f ca="1">VLOOKUP(A440,'銀行-TSS'!A:O,15,FALSE)</f>
        <v>#N/A</v>
      </c>
      <c r="K440" s="136" t="e">
        <f ca="1">VLOOKUP(A440,'銀行-TSS'!A:V,22,FALSE)</f>
        <v>#N/A</v>
      </c>
      <c r="L440" s="136" t="e">
        <f ca="1">VLOOKUP(A440,'銀行-TSS'!A:AK,37,FALSE)</f>
        <v>#N/A</v>
      </c>
      <c r="M440" s="136" t="str">
        <f ca="1">VLOOKUP(A440,'銀行-TSS'!A:AN,40,FALSE)</f>
        <v/>
      </c>
      <c r="N440" s="136" t="e">
        <f t="shared" ca="1" si="270"/>
        <v>#N/A</v>
      </c>
      <c r="O440" s="1213" t="e">
        <f t="shared" ca="1" si="271"/>
        <v>#N/A</v>
      </c>
      <c r="P440" s="1213" t="e">
        <f ca="1">IF(AND($O$1&gt;=O440,換券單檔!$D$13=D440),I440+INT(($O$1-O440)/N440)*J440,0)</f>
        <v>#N/A</v>
      </c>
      <c r="Q440" s="1213" t="e">
        <f t="shared" ca="1" si="272"/>
        <v>#N/A</v>
      </c>
      <c r="R440" s="1213">
        <f t="shared" si="273"/>
        <v>0</v>
      </c>
      <c r="S440" s="1213">
        <f t="shared" si="274"/>
        <v>0</v>
      </c>
      <c r="T440" s="136">
        <f>IF(OR(R440=0,A440=0),0,IF(AND(V440=TRUE,換券單檔!$D$13=D440),E440,0))</f>
        <v>0</v>
      </c>
      <c r="U440" s="861">
        <f>IF(OR(R440=0,A440=0),0,IF(AND(V440=TRUE,換券單檔!$D$13=D440),H440,0))</f>
        <v>0</v>
      </c>
      <c r="V440" s="136" t="e">
        <f ca="1">IF(OR(B440=換券單檔!$D$3,L440="無",M440&lt;&gt;"",K440="高資產",IFERROR(MATCH(B440,換券單檔!K:K,0),"N")&lt;&gt;"N"),FALSE,IF($V$1="All",TRUE,IF(K440=$V$1,TRUE,FALSE)))</f>
        <v>#N/A</v>
      </c>
      <c r="W440" s="136" t="e">
        <f ca="1">VLOOKUP(A440,'銀行-TSS'!A:AO,41,FALSE)</f>
        <v>#N/A</v>
      </c>
      <c r="X440" s="136" t="e">
        <f ca="1">VLOOKUP(A440,'銀行-TSS'!A:AP,42,FALSE)</f>
        <v>#N/A</v>
      </c>
      <c r="Y440" s="1220">
        <f t="shared" si="275"/>
        <v>0</v>
      </c>
      <c r="Z440" s="1220">
        <f t="shared" si="276"/>
        <v>0</v>
      </c>
      <c r="AA440" s="136">
        <f>IF(Z440&lt;=0,0,RANK(Z440,Z:Z)+COUNTIF($Z$3:$Z440,Z440)-1)</f>
        <v>0</v>
      </c>
      <c r="AB440" s="1211">
        <f t="shared" ca="1" si="277"/>
        <v>-14896.14</v>
      </c>
      <c r="AC440" s="136">
        <f ca="1">IF(AB440&lt;=0,0,RANK(AB440,AB:AB)+COUNTIF($AB$3:$AB440,AB440)-1)</f>
        <v>0</v>
      </c>
      <c r="AD440" s="1123">
        <f t="shared" si="278"/>
        <v>99999</v>
      </c>
      <c r="AE440" s="1123">
        <f>IF(AD440=99999,0,RANK(AD440,AD:AD,1)+COUNTIF($AD$3:$AD440,AD440)-1)</f>
        <v>0</v>
      </c>
      <c r="AF440" s="86" t="e">
        <f ca="1">IF(OR(M440&lt;&gt;"",L440="無",K440="高資產",IFERROR(MATCH(B440,換券單檔!K:K,0),"N")&lt;&gt;"N"),FALSE,TRUE)</f>
        <v>#N/A</v>
      </c>
      <c r="AI440" s="1212" t="e">
        <f t="shared" ca="1" si="279"/>
        <v>#N/A</v>
      </c>
      <c r="AJ440" s="1213" t="e">
        <f t="shared" ca="1" si="280"/>
        <v>#N/A</v>
      </c>
      <c r="AK440" s="1587">
        <f t="shared" si="281"/>
        <v>0</v>
      </c>
      <c r="AN440" s="1212" t="e">
        <f t="shared" ca="1" si="282"/>
        <v>#N/A</v>
      </c>
      <c r="AO440" s="1213" t="e">
        <f t="shared" ca="1" si="283"/>
        <v>#N/A</v>
      </c>
      <c r="AP440" s="1587">
        <f t="shared" si="284"/>
        <v>0</v>
      </c>
      <c r="AS440" s="1212" t="e">
        <f t="shared" ca="1" si="285"/>
        <v>#N/A</v>
      </c>
      <c r="AT440" s="1213" t="e">
        <f t="shared" ca="1" si="286"/>
        <v>#N/A</v>
      </c>
      <c r="AU440" s="1587">
        <f t="shared" si="287"/>
        <v>0</v>
      </c>
      <c r="AX440" s="1212" t="e">
        <f t="shared" ca="1" si="288"/>
        <v>#N/A</v>
      </c>
      <c r="AY440" s="1213" t="e">
        <f t="shared" ca="1" si="289"/>
        <v>#N/A</v>
      </c>
      <c r="AZ440" s="1587">
        <f t="shared" si="290"/>
        <v>0</v>
      </c>
      <c r="BC440" s="1212" t="e">
        <f t="shared" ca="1" si="291"/>
        <v>#N/A</v>
      </c>
      <c r="BD440" s="1213" t="e">
        <f t="shared" ca="1" si="292"/>
        <v>#N/A</v>
      </c>
      <c r="BE440" s="1587">
        <f t="shared" si="293"/>
        <v>0</v>
      </c>
      <c r="BH440" s="1212" t="e">
        <f t="shared" ca="1" si="294"/>
        <v>#N/A</v>
      </c>
      <c r="BI440" s="1213" t="e">
        <f t="shared" ca="1" si="295"/>
        <v>#N/A</v>
      </c>
      <c r="BJ440" s="1587">
        <f t="shared" si="296"/>
        <v>0</v>
      </c>
      <c r="BM440" s="1212" t="e">
        <f t="shared" ca="1" si="297"/>
        <v>#N/A</v>
      </c>
      <c r="BN440" s="1213" t="e">
        <f t="shared" ca="1" si="298"/>
        <v>#N/A</v>
      </c>
      <c r="BO440" s="1587">
        <f t="shared" si="299"/>
        <v>0</v>
      </c>
      <c r="BR440" s="1212" t="e">
        <f t="shared" ca="1" si="300"/>
        <v>#N/A</v>
      </c>
      <c r="BS440" s="1213" t="e">
        <f t="shared" ca="1" si="301"/>
        <v>#N/A</v>
      </c>
      <c r="BT440" s="1587">
        <f t="shared" si="302"/>
        <v>0</v>
      </c>
      <c r="BW440" s="1212" t="e">
        <f t="shared" ca="1" si="303"/>
        <v>#N/A</v>
      </c>
      <c r="BX440" s="1213" t="e">
        <f t="shared" ca="1" si="304"/>
        <v>#N/A</v>
      </c>
      <c r="BY440" s="1587">
        <f t="shared" si="305"/>
        <v>0</v>
      </c>
      <c r="CB440" s="1212" t="e">
        <f t="shared" ca="1" si="306"/>
        <v>#N/A</v>
      </c>
      <c r="CC440" s="1213" t="e">
        <f t="shared" ca="1" si="307"/>
        <v>#N/A</v>
      </c>
      <c r="CD440" s="1587">
        <f t="shared" si="308"/>
        <v>0</v>
      </c>
      <c r="CG440" s="1212" t="e">
        <f t="shared" ca="1" si="309"/>
        <v>#N/A</v>
      </c>
      <c r="CH440" s="1213" t="e">
        <f t="shared" ca="1" si="310"/>
        <v>#N/A</v>
      </c>
      <c r="CI440" s="1587">
        <f t="shared" si="311"/>
        <v>0</v>
      </c>
      <c r="CL440" s="1212" t="e">
        <f t="shared" ca="1" si="312"/>
        <v>#N/A</v>
      </c>
      <c r="CM440" s="1213" t="e">
        <f t="shared" ca="1" si="313"/>
        <v>#N/A</v>
      </c>
      <c r="CN440" s="1587">
        <f t="shared" si="314"/>
        <v>0</v>
      </c>
    </row>
    <row r="441" spans="1:92">
      <c r="A441" s="141">
        <f>'銀行-TSS'!A441</f>
        <v>0</v>
      </c>
      <c r="B441" s="151">
        <f ca="1">VLOOKUP(A441,'銀行-TSS'!A:B,2,FALSE)</f>
        <v>0</v>
      </c>
      <c r="C441" s="151" t="e">
        <f ca="1">VLOOKUP(B441,bond!B:C,2,FALSE)</f>
        <v>#N/A</v>
      </c>
      <c r="D441" s="95" t="e">
        <f>VLOOKUP(A441,'銀行-TSS'!A:C,3,FALSE)</f>
        <v>#N/A</v>
      </c>
      <c r="E441" s="90" t="e">
        <f ca="1">VLOOKUP(A441,'銀行-TSS'!A:G,7,FALSE)</f>
        <v>#N/A</v>
      </c>
      <c r="F441" s="202" t="e">
        <f ca="1">VLOOKUP(A441,'銀行-TSS'!A:H,8,FALSE)</f>
        <v>#N/A</v>
      </c>
      <c r="G441" s="96" t="e">
        <f ca="1">VLOOKUP(A441,'銀行-TSS'!A:K,11,FALSE)</f>
        <v>#N/A</v>
      </c>
      <c r="H441" s="1209" t="e">
        <f ca="1">VLOOKUP(A441,'銀行-TSS'!A:M,13,FALSE)</f>
        <v>#N/A</v>
      </c>
      <c r="I441" s="1213" t="e">
        <f ca="1">VLOOKUP(A441,'銀行-TSS'!A:N,14,FALSE)</f>
        <v>#N/A</v>
      </c>
      <c r="J441" s="1213" t="e">
        <f ca="1">VLOOKUP(A441,'銀行-TSS'!A:O,15,FALSE)</f>
        <v>#N/A</v>
      </c>
      <c r="K441" s="136" t="e">
        <f ca="1">VLOOKUP(A441,'銀行-TSS'!A:V,22,FALSE)</f>
        <v>#N/A</v>
      </c>
      <c r="L441" s="136" t="e">
        <f ca="1">VLOOKUP(A441,'銀行-TSS'!A:AK,37,FALSE)</f>
        <v>#N/A</v>
      </c>
      <c r="M441" s="136" t="str">
        <f ca="1">VLOOKUP(A441,'銀行-TSS'!A:AN,40,FALSE)</f>
        <v/>
      </c>
      <c r="N441" s="136" t="e">
        <f t="shared" ca="1" si="270"/>
        <v>#N/A</v>
      </c>
      <c r="O441" s="1213" t="e">
        <f t="shared" ca="1" si="271"/>
        <v>#N/A</v>
      </c>
      <c r="P441" s="1213" t="e">
        <f ca="1">IF(AND($O$1&gt;=O441,換券單檔!$D$13=D441),I441+INT(($O$1-O441)/N441)*J441,0)</f>
        <v>#N/A</v>
      </c>
      <c r="Q441" s="1213" t="e">
        <f t="shared" ca="1" si="272"/>
        <v>#N/A</v>
      </c>
      <c r="R441" s="1213">
        <f t="shared" si="273"/>
        <v>0</v>
      </c>
      <c r="S441" s="1213">
        <f t="shared" si="274"/>
        <v>0</v>
      </c>
      <c r="T441" s="136">
        <f>IF(OR(R441=0,A441=0),0,IF(AND(V441=TRUE,換券單檔!$D$13=D441),E441,0))</f>
        <v>0</v>
      </c>
      <c r="U441" s="861">
        <f>IF(OR(R441=0,A441=0),0,IF(AND(V441=TRUE,換券單檔!$D$13=D441),H441,0))</f>
        <v>0</v>
      </c>
      <c r="V441" s="136" t="e">
        <f ca="1">IF(OR(B441=換券單檔!$D$3,L441="無",M441&lt;&gt;"",K441="高資產",IFERROR(MATCH(B441,換券單檔!K:K,0),"N")&lt;&gt;"N"),FALSE,IF($V$1="All",TRUE,IF(K441=$V$1,TRUE,FALSE)))</f>
        <v>#N/A</v>
      </c>
      <c r="W441" s="136" t="e">
        <f ca="1">VLOOKUP(A441,'銀行-TSS'!A:AO,41,FALSE)</f>
        <v>#N/A</v>
      </c>
      <c r="X441" s="136" t="e">
        <f ca="1">VLOOKUP(A441,'銀行-TSS'!A:AP,42,FALSE)</f>
        <v>#N/A</v>
      </c>
      <c r="Y441" s="1220">
        <f t="shared" si="275"/>
        <v>0</v>
      </c>
      <c r="Z441" s="1220">
        <f t="shared" si="276"/>
        <v>0</v>
      </c>
      <c r="AA441" s="136">
        <f>IF(Z441&lt;=0,0,RANK(Z441,Z:Z)+COUNTIF($Z$3:$Z441,Z441)-1)</f>
        <v>0</v>
      </c>
      <c r="AB441" s="1211">
        <f t="shared" ca="1" si="277"/>
        <v>-14896.14</v>
      </c>
      <c r="AC441" s="136">
        <f ca="1">IF(AB441&lt;=0,0,RANK(AB441,AB:AB)+COUNTIF($AB$3:$AB441,AB441)-1)</f>
        <v>0</v>
      </c>
      <c r="AD441" s="1123">
        <f t="shared" si="278"/>
        <v>99999</v>
      </c>
      <c r="AE441" s="1123">
        <f>IF(AD441=99999,0,RANK(AD441,AD:AD,1)+COUNTIF($AD$3:$AD441,AD441)-1)</f>
        <v>0</v>
      </c>
      <c r="AF441" s="86" t="e">
        <f ca="1">IF(OR(M441&lt;&gt;"",L441="無",K441="高資產",IFERROR(MATCH(B441,換券單檔!K:K,0),"N")&lt;&gt;"N"),FALSE,TRUE)</f>
        <v>#N/A</v>
      </c>
      <c r="AI441" s="1212" t="e">
        <f t="shared" ca="1" si="279"/>
        <v>#N/A</v>
      </c>
      <c r="AJ441" s="1213" t="e">
        <f t="shared" ca="1" si="280"/>
        <v>#N/A</v>
      </c>
      <c r="AK441" s="1587">
        <f t="shared" si="281"/>
        <v>0</v>
      </c>
      <c r="AN441" s="1212" t="e">
        <f t="shared" ca="1" si="282"/>
        <v>#N/A</v>
      </c>
      <c r="AO441" s="1213" t="e">
        <f t="shared" ca="1" si="283"/>
        <v>#N/A</v>
      </c>
      <c r="AP441" s="1587">
        <f t="shared" si="284"/>
        <v>0</v>
      </c>
      <c r="AS441" s="1212" t="e">
        <f t="shared" ca="1" si="285"/>
        <v>#N/A</v>
      </c>
      <c r="AT441" s="1213" t="e">
        <f t="shared" ca="1" si="286"/>
        <v>#N/A</v>
      </c>
      <c r="AU441" s="1587">
        <f t="shared" si="287"/>
        <v>0</v>
      </c>
      <c r="AX441" s="1212" t="e">
        <f t="shared" ca="1" si="288"/>
        <v>#N/A</v>
      </c>
      <c r="AY441" s="1213" t="e">
        <f t="shared" ca="1" si="289"/>
        <v>#N/A</v>
      </c>
      <c r="AZ441" s="1587">
        <f t="shared" si="290"/>
        <v>0</v>
      </c>
      <c r="BC441" s="1212" t="e">
        <f t="shared" ca="1" si="291"/>
        <v>#N/A</v>
      </c>
      <c r="BD441" s="1213" t="e">
        <f t="shared" ca="1" si="292"/>
        <v>#N/A</v>
      </c>
      <c r="BE441" s="1587">
        <f t="shared" si="293"/>
        <v>0</v>
      </c>
      <c r="BH441" s="1212" t="e">
        <f t="shared" ca="1" si="294"/>
        <v>#N/A</v>
      </c>
      <c r="BI441" s="1213" t="e">
        <f t="shared" ca="1" si="295"/>
        <v>#N/A</v>
      </c>
      <c r="BJ441" s="1587">
        <f t="shared" si="296"/>
        <v>0</v>
      </c>
      <c r="BM441" s="1212" t="e">
        <f t="shared" ca="1" si="297"/>
        <v>#N/A</v>
      </c>
      <c r="BN441" s="1213" t="e">
        <f t="shared" ca="1" si="298"/>
        <v>#N/A</v>
      </c>
      <c r="BO441" s="1587">
        <f t="shared" si="299"/>
        <v>0</v>
      </c>
      <c r="BR441" s="1212" t="e">
        <f t="shared" ca="1" si="300"/>
        <v>#N/A</v>
      </c>
      <c r="BS441" s="1213" t="e">
        <f t="shared" ca="1" si="301"/>
        <v>#N/A</v>
      </c>
      <c r="BT441" s="1587">
        <f t="shared" si="302"/>
        <v>0</v>
      </c>
      <c r="BW441" s="1212" t="e">
        <f t="shared" ca="1" si="303"/>
        <v>#N/A</v>
      </c>
      <c r="BX441" s="1213" t="e">
        <f t="shared" ca="1" si="304"/>
        <v>#N/A</v>
      </c>
      <c r="BY441" s="1587">
        <f t="shared" si="305"/>
        <v>0</v>
      </c>
      <c r="CB441" s="1212" t="e">
        <f t="shared" ca="1" si="306"/>
        <v>#N/A</v>
      </c>
      <c r="CC441" s="1213" t="e">
        <f t="shared" ca="1" si="307"/>
        <v>#N/A</v>
      </c>
      <c r="CD441" s="1587">
        <f t="shared" si="308"/>
        <v>0</v>
      </c>
      <c r="CG441" s="1212" t="e">
        <f t="shared" ca="1" si="309"/>
        <v>#N/A</v>
      </c>
      <c r="CH441" s="1213" t="e">
        <f t="shared" ca="1" si="310"/>
        <v>#N/A</v>
      </c>
      <c r="CI441" s="1587">
        <f t="shared" si="311"/>
        <v>0</v>
      </c>
      <c r="CL441" s="1212" t="e">
        <f t="shared" ca="1" si="312"/>
        <v>#N/A</v>
      </c>
      <c r="CM441" s="1213" t="e">
        <f t="shared" ca="1" si="313"/>
        <v>#N/A</v>
      </c>
      <c r="CN441" s="1587">
        <f t="shared" si="314"/>
        <v>0</v>
      </c>
    </row>
    <row r="442" spans="1:92">
      <c r="A442" s="141">
        <f>'銀行-TSS'!A442</f>
        <v>0</v>
      </c>
      <c r="B442" s="151">
        <f ca="1">VLOOKUP(A442,'銀行-TSS'!A:B,2,FALSE)</f>
        <v>0</v>
      </c>
      <c r="C442" s="151" t="e">
        <f ca="1">VLOOKUP(B442,bond!B:C,2,FALSE)</f>
        <v>#N/A</v>
      </c>
      <c r="D442" s="95" t="e">
        <f>VLOOKUP(A442,'銀行-TSS'!A:C,3,FALSE)</f>
        <v>#N/A</v>
      </c>
      <c r="E442" s="90" t="e">
        <f ca="1">VLOOKUP(A442,'銀行-TSS'!A:G,7,FALSE)</f>
        <v>#N/A</v>
      </c>
      <c r="F442" s="202" t="e">
        <f ca="1">VLOOKUP(A442,'銀行-TSS'!A:H,8,FALSE)</f>
        <v>#N/A</v>
      </c>
      <c r="G442" s="96" t="e">
        <f ca="1">VLOOKUP(A442,'銀行-TSS'!A:K,11,FALSE)</f>
        <v>#N/A</v>
      </c>
      <c r="H442" s="1209" t="e">
        <f ca="1">VLOOKUP(A442,'銀行-TSS'!A:M,13,FALSE)</f>
        <v>#N/A</v>
      </c>
      <c r="I442" s="1213" t="e">
        <f ca="1">VLOOKUP(A442,'銀行-TSS'!A:N,14,FALSE)</f>
        <v>#N/A</v>
      </c>
      <c r="J442" s="1213" t="e">
        <f ca="1">VLOOKUP(A442,'銀行-TSS'!A:O,15,FALSE)</f>
        <v>#N/A</v>
      </c>
      <c r="K442" s="136" t="e">
        <f ca="1">VLOOKUP(A442,'銀行-TSS'!A:V,22,FALSE)</f>
        <v>#N/A</v>
      </c>
      <c r="L442" s="136" t="e">
        <f ca="1">VLOOKUP(A442,'銀行-TSS'!A:AK,37,FALSE)</f>
        <v>#N/A</v>
      </c>
      <c r="M442" s="136" t="str">
        <f ca="1">VLOOKUP(A442,'銀行-TSS'!A:AN,40,FALSE)</f>
        <v/>
      </c>
      <c r="N442" s="136" t="e">
        <f t="shared" ca="1" si="270"/>
        <v>#N/A</v>
      </c>
      <c r="O442" s="1213" t="e">
        <f t="shared" ca="1" si="271"/>
        <v>#N/A</v>
      </c>
      <c r="P442" s="1213" t="e">
        <f ca="1">IF(AND($O$1&gt;=O442,換券單檔!$D$13=D442),I442+INT(($O$1-O442)/N442)*J442,0)</f>
        <v>#N/A</v>
      </c>
      <c r="Q442" s="1213" t="e">
        <f t="shared" ca="1" si="272"/>
        <v>#N/A</v>
      </c>
      <c r="R442" s="1213">
        <f t="shared" si="273"/>
        <v>0</v>
      </c>
      <c r="S442" s="1213">
        <f t="shared" si="274"/>
        <v>0</v>
      </c>
      <c r="T442" s="136">
        <f>IF(OR(R442=0,A442=0),0,IF(AND(V442=TRUE,換券單檔!$D$13=D442),E442,0))</f>
        <v>0</v>
      </c>
      <c r="U442" s="861">
        <f>IF(OR(R442=0,A442=0),0,IF(AND(V442=TRUE,換券單檔!$D$13=D442),H442,0))</f>
        <v>0</v>
      </c>
      <c r="V442" s="136" t="e">
        <f ca="1">IF(OR(B442=換券單檔!$D$3,L442="無",M442&lt;&gt;"",K442="高資產",IFERROR(MATCH(B442,換券單檔!K:K,0),"N")&lt;&gt;"N"),FALSE,IF($V$1="All",TRUE,IF(K442=$V$1,TRUE,FALSE)))</f>
        <v>#N/A</v>
      </c>
      <c r="W442" s="136" t="e">
        <f ca="1">VLOOKUP(A442,'銀行-TSS'!A:AO,41,FALSE)</f>
        <v>#N/A</v>
      </c>
      <c r="X442" s="136" t="e">
        <f ca="1">VLOOKUP(A442,'銀行-TSS'!A:AP,42,FALSE)</f>
        <v>#N/A</v>
      </c>
      <c r="Y442" s="1220">
        <f t="shared" si="275"/>
        <v>0</v>
      </c>
      <c r="Z442" s="1220">
        <f t="shared" si="276"/>
        <v>0</v>
      </c>
      <c r="AA442" s="136">
        <f>IF(Z442&lt;=0,0,RANK(Z442,Z:Z)+COUNTIF($Z$3:$Z442,Z442)-1)</f>
        <v>0</v>
      </c>
      <c r="AB442" s="1211">
        <f t="shared" ca="1" si="277"/>
        <v>-14896.14</v>
      </c>
      <c r="AC442" s="136">
        <f ca="1">IF(AB442&lt;=0,0,RANK(AB442,AB:AB)+COUNTIF($AB$3:$AB442,AB442)-1)</f>
        <v>0</v>
      </c>
      <c r="AD442" s="1123">
        <f t="shared" si="278"/>
        <v>99999</v>
      </c>
      <c r="AE442" s="1123">
        <f>IF(AD442=99999,0,RANK(AD442,AD:AD,1)+COUNTIF($AD$3:$AD442,AD442)-1)</f>
        <v>0</v>
      </c>
      <c r="AF442" s="86" t="e">
        <f ca="1">IF(OR(M442&lt;&gt;"",L442="無",K442="高資產",IFERROR(MATCH(B442,換券單檔!K:K,0),"N")&lt;&gt;"N"),FALSE,TRUE)</f>
        <v>#N/A</v>
      </c>
      <c r="AI442" s="1212" t="e">
        <f t="shared" ca="1" si="279"/>
        <v>#N/A</v>
      </c>
      <c r="AJ442" s="1213" t="e">
        <f t="shared" ca="1" si="280"/>
        <v>#N/A</v>
      </c>
      <c r="AK442" s="1587">
        <f t="shared" si="281"/>
        <v>0</v>
      </c>
      <c r="AN442" s="1212" t="e">
        <f t="shared" ca="1" si="282"/>
        <v>#N/A</v>
      </c>
      <c r="AO442" s="1213" t="e">
        <f t="shared" ca="1" si="283"/>
        <v>#N/A</v>
      </c>
      <c r="AP442" s="1587">
        <f t="shared" si="284"/>
        <v>0</v>
      </c>
      <c r="AS442" s="1212" t="e">
        <f t="shared" ca="1" si="285"/>
        <v>#N/A</v>
      </c>
      <c r="AT442" s="1213" t="e">
        <f t="shared" ca="1" si="286"/>
        <v>#N/A</v>
      </c>
      <c r="AU442" s="1587">
        <f t="shared" si="287"/>
        <v>0</v>
      </c>
      <c r="AX442" s="1212" t="e">
        <f t="shared" ca="1" si="288"/>
        <v>#N/A</v>
      </c>
      <c r="AY442" s="1213" t="e">
        <f t="shared" ca="1" si="289"/>
        <v>#N/A</v>
      </c>
      <c r="AZ442" s="1587">
        <f t="shared" si="290"/>
        <v>0</v>
      </c>
      <c r="BC442" s="1212" t="e">
        <f t="shared" ca="1" si="291"/>
        <v>#N/A</v>
      </c>
      <c r="BD442" s="1213" t="e">
        <f t="shared" ca="1" si="292"/>
        <v>#N/A</v>
      </c>
      <c r="BE442" s="1587">
        <f t="shared" si="293"/>
        <v>0</v>
      </c>
      <c r="BH442" s="1212" t="e">
        <f t="shared" ca="1" si="294"/>
        <v>#N/A</v>
      </c>
      <c r="BI442" s="1213" t="e">
        <f t="shared" ca="1" si="295"/>
        <v>#N/A</v>
      </c>
      <c r="BJ442" s="1587">
        <f t="shared" si="296"/>
        <v>0</v>
      </c>
      <c r="BM442" s="1212" t="e">
        <f t="shared" ca="1" si="297"/>
        <v>#N/A</v>
      </c>
      <c r="BN442" s="1213" t="e">
        <f t="shared" ca="1" si="298"/>
        <v>#N/A</v>
      </c>
      <c r="BO442" s="1587">
        <f t="shared" si="299"/>
        <v>0</v>
      </c>
      <c r="BR442" s="1212" t="e">
        <f t="shared" ca="1" si="300"/>
        <v>#N/A</v>
      </c>
      <c r="BS442" s="1213" t="e">
        <f t="shared" ca="1" si="301"/>
        <v>#N/A</v>
      </c>
      <c r="BT442" s="1587">
        <f t="shared" si="302"/>
        <v>0</v>
      </c>
      <c r="BW442" s="1212" t="e">
        <f t="shared" ca="1" si="303"/>
        <v>#N/A</v>
      </c>
      <c r="BX442" s="1213" t="e">
        <f t="shared" ca="1" si="304"/>
        <v>#N/A</v>
      </c>
      <c r="BY442" s="1587">
        <f t="shared" si="305"/>
        <v>0</v>
      </c>
      <c r="CB442" s="1212" t="e">
        <f t="shared" ca="1" si="306"/>
        <v>#N/A</v>
      </c>
      <c r="CC442" s="1213" t="e">
        <f t="shared" ca="1" si="307"/>
        <v>#N/A</v>
      </c>
      <c r="CD442" s="1587">
        <f t="shared" si="308"/>
        <v>0</v>
      </c>
      <c r="CG442" s="1212" t="e">
        <f t="shared" ca="1" si="309"/>
        <v>#N/A</v>
      </c>
      <c r="CH442" s="1213" t="e">
        <f t="shared" ca="1" si="310"/>
        <v>#N/A</v>
      </c>
      <c r="CI442" s="1587">
        <f t="shared" si="311"/>
        <v>0</v>
      </c>
      <c r="CL442" s="1212" t="e">
        <f t="shared" ca="1" si="312"/>
        <v>#N/A</v>
      </c>
      <c r="CM442" s="1213" t="e">
        <f t="shared" ca="1" si="313"/>
        <v>#N/A</v>
      </c>
      <c r="CN442" s="1587">
        <f t="shared" si="314"/>
        <v>0</v>
      </c>
    </row>
    <row r="443" spans="1:92">
      <c r="A443" s="141">
        <f>'銀行-TSS'!A443</f>
        <v>0</v>
      </c>
      <c r="B443" s="151">
        <f ca="1">VLOOKUP(A443,'銀行-TSS'!A:B,2,FALSE)</f>
        <v>0</v>
      </c>
      <c r="C443" s="151" t="e">
        <f ca="1">VLOOKUP(B443,bond!B:C,2,FALSE)</f>
        <v>#N/A</v>
      </c>
      <c r="D443" s="95" t="e">
        <f>VLOOKUP(A443,'銀行-TSS'!A:C,3,FALSE)</f>
        <v>#N/A</v>
      </c>
      <c r="E443" s="90" t="e">
        <f ca="1">VLOOKUP(A443,'銀行-TSS'!A:G,7,FALSE)</f>
        <v>#N/A</v>
      </c>
      <c r="F443" s="202" t="e">
        <f ca="1">VLOOKUP(A443,'銀行-TSS'!A:H,8,FALSE)</f>
        <v>#N/A</v>
      </c>
      <c r="G443" s="96" t="e">
        <f ca="1">VLOOKUP(A443,'銀行-TSS'!A:K,11,FALSE)</f>
        <v>#N/A</v>
      </c>
      <c r="H443" s="1209" t="e">
        <f ca="1">VLOOKUP(A443,'銀行-TSS'!A:M,13,FALSE)</f>
        <v>#N/A</v>
      </c>
      <c r="I443" s="1213" t="e">
        <f ca="1">VLOOKUP(A443,'銀行-TSS'!A:N,14,FALSE)</f>
        <v>#N/A</v>
      </c>
      <c r="J443" s="1213" t="e">
        <f ca="1">VLOOKUP(A443,'銀行-TSS'!A:O,15,FALSE)</f>
        <v>#N/A</v>
      </c>
      <c r="K443" s="136" t="e">
        <f ca="1">VLOOKUP(A443,'銀行-TSS'!A:V,22,FALSE)</f>
        <v>#N/A</v>
      </c>
      <c r="L443" s="136" t="e">
        <f ca="1">VLOOKUP(A443,'銀行-TSS'!A:AK,37,FALSE)</f>
        <v>#N/A</v>
      </c>
      <c r="M443" s="136" t="str">
        <f ca="1">VLOOKUP(A443,'銀行-TSS'!A:AN,40,FALSE)</f>
        <v/>
      </c>
      <c r="N443" s="136" t="e">
        <f t="shared" ca="1" si="270"/>
        <v>#N/A</v>
      </c>
      <c r="O443" s="1213" t="e">
        <f t="shared" ca="1" si="271"/>
        <v>#N/A</v>
      </c>
      <c r="P443" s="1213" t="e">
        <f ca="1">IF(AND($O$1&gt;=O443,換券單檔!$D$13=D443),I443+INT(($O$1-O443)/N443)*J443,0)</f>
        <v>#N/A</v>
      </c>
      <c r="Q443" s="1213" t="e">
        <f t="shared" ca="1" si="272"/>
        <v>#N/A</v>
      </c>
      <c r="R443" s="1213">
        <f t="shared" si="273"/>
        <v>0</v>
      </c>
      <c r="S443" s="1213">
        <f t="shared" si="274"/>
        <v>0</v>
      </c>
      <c r="T443" s="136">
        <f>IF(OR(R443=0,A443=0),0,IF(AND(V443=TRUE,換券單檔!$D$13=D443),E443,0))</f>
        <v>0</v>
      </c>
      <c r="U443" s="861">
        <f>IF(OR(R443=0,A443=0),0,IF(AND(V443=TRUE,換券單檔!$D$13=D443),H443,0))</f>
        <v>0</v>
      </c>
      <c r="V443" s="136" t="e">
        <f ca="1">IF(OR(B443=換券單檔!$D$3,L443="無",M443&lt;&gt;"",K443="高資產",IFERROR(MATCH(B443,換券單檔!K:K,0),"N")&lt;&gt;"N"),FALSE,IF($V$1="All",TRUE,IF(K443=$V$1,TRUE,FALSE)))</f>
        <v>#N/A</v>
      </c>
      <c r="W443" s="136" t="e">
        <f ca="1">VLOOKUP(A443,'銀行-TSS'!A:AO,41,FALSE)</f>
        <v>#N/A</v>
      </c>
      <c r="X443" s="136" t="e">
        <f ca="1">VLOOKUP(A443,'銀行-TSS'!A:AP,42,FALSE)</f>
        <v>#N/A</v>
      </c>
      <c r="Y443" s="1220">
        <f t="shared" si="275"/>
        <v>0</v>
      </c>
      <c r="Z443" s="1220">
        <f t="shared" si="276"/>
        <v>0</v>
      </c>
      <c r="AA443" s="136">
        <f>IF(Z443&lt;=0,0,RANK(Z443,Z:Z)+COUNTIF($Z$3:$Z443,Z443)-1)</f>
        <v>0</v>
      </c>
      <c r="AB443" s="1211">
        <f t="shared" ca="1" si="277"/>
        <v>-14896.14</v>
      </c>
      <c r="AC443" s="136">
        <f ca="1">IF(AB443&lt;=0,0,RANK(AB443,AB:AB)+COUNTIF($AB$3:$AB443,AB443)-1)</f>
        <v>0</v>
      </c>
      <c r="AD443" s="1123">
        <f t="shared" si="278"/>
        <v>99999</v>
      </c>
      <c r="AE443" s="1123">
        <f>IF(AD443=99999,0,RANK(AD443,AD:AD,1)+COUNTIF($AD$3:$AD443,AD443)-1)</f>
        <v>0</v>
      </c>
      <c r="AF443" s="86" t="e">
        <f ca="1">IF(OR(M443&lt;&gt;"",L443="無",K443="高資產",IFERROR(MATCH(B443,換券單檔!K:K,0),"N")&lt;&gt;"N"),FALSE,TRUE)</f>
        <v>#N/A</v>
      </c>
      <c r="AI443" s="1212" t="e">
        <f t="shared" ca="1" si="279"/>
        <v>#N/A</v>
      </c>
      <c r="AJ443" s="1213" t="e">
        <f t="shared" ca="1" si="280"/>
        <v>#N/A</v>
      </c>
      <c r="AK443" s="1587">
        <f t="shared" si="281"/>
        <v>0</v>
      </c>
      <c r="AN443" s="1212" t="e">
        <f t="shared" ca="1" si="282"/>
        <v>#N/A</v>
      </c>
      <c r="AO443" s="1213" t="e">
        <f t="shared" ca="1" si="283"/>
        <v>#N/A</v>
      </c>
      <c r="AP443" s="1587">
        <f t="shared" si="284"/>
        <v>0</v>
      </c>
      <c r="AS443" s="1212" t="e">
        <f t="shared" ca="1" si="285"/>
        <v>#N/A</v>
      </c>
      <c r="AT443" s="1213" t="e">
        <f t="shared" ca="1" si="286"/>
        <v>#N/A</v>
      </c>
      <c r="AU443" s="1587">
        <f t="shared" si="287"/>
        <v>0</v>
      </c>
      <c r="AX443" s="1212" t="e">
        <f t="shared" ca="1" si="288"/>
        <v>#N/A</v>
      </c>
      <c r="AY443" s="1213" t="e">
        <f t="shared" ca="1" si="289"/>
        <v>#N/A</v>
      </c>
      <c r="AZ443" s="1587">
        <f t="shared" si="290"/>
        <v>0</v>
      </c>
      <c r="BC443" s="1212" t="e">
        <f t="shared" ca="1" si="291"/>
        <v>#N/A</v>
      </c>
      <c r="BD443" s="1213" t="e">
        <f t="shared" ca="1" si="292"/>
        <v>#N/A</v>
      </c>
      <c r="BE443" s="1587">
        <f t="shared" si="293"/>
        <v>0</v>
      </c>
      <c r="BH443" s="1212" t="e">
        <f t="shared" ca="1" si="294"/>
        <v>#N/A</v>
      </c>
      <c r="BI443" s="1213" t="e">
        <f t="shared" ca="1" si="295"/>
        <v>#N/A</v>
      </c>
      <c r="BJ443" s="1587">
        <f t="shared" si="296"/>
        <v>0</v>
      </c>
      <c r="BM443" s="1212" t="e">
        <f t="shared" ca="1" si="297"/>
        <v>#N/A</v>
      </c>
      <c r="BN443" s="1213" t="e">
        <f t="shared" ca="1" si="298"/>
        <v>#N/A</v>
      </c>
      <c r="BO443" s="1587">
        <f t="shared" si="299"/>
        <v>0</v>
      </c>
      <c r="BR443" s="1212" t="e">
        <f t="shared" ca="1" si="300"/>
        <v>#N/A</v>
      </c>
      <c r="BS443" s="1213" t="e">
        <f t="shared" ca="1" si="301"/>
        <v>#N/A</v>
      </c>
      <c r="BT443" s="1587">
        <f t="shared" si="302"/>
        <v>0</v>
      </c>
      <c r="BW443" s="1212" t="e">
        <f t="shared" ca="1" si="303"/>
        <v>#N/A</v>
      </c>
      <c r="BX443" s="1213" t="e">
        <f t="shared" ca="1" si="304"/>
        <v>#N/A</v>
      </c>
      <c r="BY443" s="1587">
        <f t="shared" si="305"/>
        <v>0</v>
      </c>
      <c r="CB443" s="1212" t="e">
        <f t="shared" ca="1" si="306"/>
        <v>#N/A</v>
      </c>
      <c r="CC443" s="1213" t="e">
        <f t="shared" ca="1" si="307"/>
        <v>#N/A</v>
      </c>
      <c r="CD443" s="1587">
        <f t="shared" si="308"/>
        <v>0</v>
      </c>
      <c r="CG443" s="1212" t="e">
        <f t="shared" ca="1" si="309"/>
        <v>#N/A</v>
      </c>
      <c r="CH443" s="1213" t="e">
        <f t="shared" ca="1" si="310"/>
        <v>#N/A</v>
      </c>
      <c r="CI443" s="1587">
        <f t="shared" si="311"/>
        <v>0</v>
      </c>
      <c r="CL443" s="1212" t="e">
        <f t="shared" ca="1" si="312"/>
        <v>#N/A</v>
      </c>
      <c r="CM443" s="1213" t="e">
        <f t="shared" ca="1" si="313"/>
        <v>#N/A</v>
      </c>
      <c r="CN443" s="1587">
        <f t="shared" si="314"/>
        <v>0</v>
      </c>
    </row>
    <row r="444" spans="1:92">
      <c r="A444" s="141">
        <f>'銀行-TSS'!A444</f>
        <v>0</v>
      </c>
      <c r="B444" s="151">
        <f ca="1">VLOOKUP(A444,'銀行-TSS'!A:B,2,FALSE)</f>
        <v>0</v>
      </c>
      <c r="C444" s="151" t="e">
        <f ca="1">VLOOKUP(B444,bond!B:C,2,FALSE)</f>
        <v>#N/A</v>
      </c>
      <c r="D444" s="95" t="e">
        <f>VLOOKUP(A444,'銀行-TSS'!A:C,3,FALSE)</f>
        <v>#N/A</v>
      </c>
      <c r="E444" s="90" t="e">
        <f ca="1">VLOOKUP(A444,'銀行-TSS'!A:G,7,FALSE)</f>
        <v>#N/A</v>
      </c>
      <c r="F444" s="202" t="e">
        <f ca="1">VLOOKUP(A444,'銀行-TSS'!A:H,8,FALSE)</f>
        <v>#N/A</v>
      </c>
      <c r="G444" s="96" t="e">
        <f ca="1">VLOOKUP(A444,'銀行-TSS'!A:K,11,FALSE)</f>
        <v>#N/A</v>
      </c>
      <c r="H444" s="1209" t="e">
        <f ca="1">VLOOKUP(A444,'銀行-TSS'!A:M,13,FALSE)</f>
        <v>#N/A</v>
      </c>
      <c r="I444" s="1213" t="e">
        <f ca="1">VLOOKUP(A444,'銀行-TSS'!A:N,14,FALSE)</f>
        <v>#N/A</v>
      </c>
      <c r="J444" s="1213" t="e">
        <f ca="1">VLOOKUP(A444,'銀行-TSS'!A:O,15,FALSE)</f>
        <v>#N/A</v>
      </c>
      <c r="K444" s="136" t="e">
        <f ca="1">VLOOKUP(A444,'銀行-TSS'!A:V,22,FALSE)</f>
        <v>#N/A</v>
      </c>
      <c r="L444" s="136" t="e">
        <f ca="1">VLOOKUP(A444,'銀行-TSS'!A:AK,37,FALSE)</f>
        <v>#N/A</v>
      </c>
      <c r="M444" s="136" t="str">
        <f ca="1">VLOOKUP(A444,'銀行-TSS'!A:AN,40,FALSE)</f>
        <v/>
      </c>
      <c r="N444" s="136" t="e">
        <f t="shared" ca="1" si="270"/>
        <v>#N/A</v>
      </c>
      <c r="O444" s="1213" t="e">
        <f t="shared" ca="1" si="271"/>
        <v>#N/A</v>
      </c>
      <c r="P444" s="1213" t="e">
        <f ca="1">IF(AND($O$1&gt;=O444,換券單檔!$D$13=D444),I444+INT(($O$1-O444)/N444)*J444,0)</f>
        <v>#N/A</v>
      </c>
      <c r="Q444" s="1213" t="e">
        <f t="shared" ca="1" si="272"/>
        <v>#N/A</v>
      </c>
      <c r="R444" s="1213">
        <f t="shared" si="273"/>
        <v>0</v>
      </c>
      <c r="S444" s="1213">
        <f t="shared" si="274"/>
        <v>0</v>
      </c>
      <c r="T444" s="136">
        <f>IF(OR(R444=0,A444=0),0,IF(AND(V444=TRUE,換券單檔!$D$13=D444),E444,0))</f>
        <v>0</v>
      </c>
      <c r="U444" s="861">
        <f>IF(OR(R444=0,A444=0),0,IF(AND(V444=TRUE,換券單檔!$D$13=D444),H444,0))</f>
        <v>0</v>
      </c>
      <c r="V444" s="136" t="e">
        <f ca="1">IF(OR(B444=換券單檔!$D$3,L444="無",M444&lt;&gt;"",K444="高資產",IFERROR(MATCH(B444,換券單檔!K:K,0),"N")&lt;&gt;"N"),FALSE,IF($V$1="All",TRUE,IF(K444=$V$1,TRUE,FALSE)))</f>
        <v>#N/A</v>
      </c>
      <c r="W444" s="136" t="e">
        <f ca="1">VLOOKUP(A444,'銀行-TSS'!A:AO,41,FALSE)</f>
        <v>#N/A</v>
      </c>
      <c r="X444" s="136" t="e">
        <f ca="1">VLOOKUP(A444,'銀行-TSS'!A:AP,42,FALSE)</f>
        <v>#N/A</v>
      </c>
      <c r="Y444" s="1220">
        <f t="shared" si="275"/>
        <v>0</v>
      </c>
      <c r="Z444" s="1220">
        <f t="shared" si="276"/>
        <v>0</v>
      </c>
      <c r="AA444" s="136">
        <f>IF(Z444&lt;=0,0,RANK(Z444,Z:Z)+COUNTIF($Z$3:$Z444,Z444)-1)</f>
        <v>0</v>
      </c>
      <c r="AB444" s="1211">
        <f t="shared" ca="1" si="277"/>
        <v>-14896.14</v>
      </c>
      <c r="AC444" s="136">
        <f ca="1">IF(AB444&lt;=0,0,RANK(AB444,AB:AB)+COUNTIF($AB$3:$AB444,AB444)-1)</f>
        <v>0</v>
      </c>
      <c r="AD444" s="1123">
        <f t="shared" si="278"/>
        <v>99999</v>
      </c>
      <c r="AE444" s="1123">
        <f>IF(AD444=99999,0,RANK(AD444,AD:AD,1)+COUNTIF($AD$3:$AD444,AD444)-1)</f>
        <v>0</v>
      </c>
      <c r="AF444" s="86" t="e">
        <f ca="1">IF(OR(M444&lt;&gt;"",L444="無",K444="高資產",IFERROR(MATCH(B444,換券單檔!K:K,0),"N")&lt;&gt;"N"),FALSE,TRUE)</f>
        <v>#N/A</v>
      </c>
      <c r="AI444" s="1212" t="e">
        <f t="shared" ca="1" si="279"/>
        <v>#N/A</v>
      </c>
      <c r="AJ444" s="1213" t="e">
        <f t="shared" ca="1" si="280"/>
        <v>#N/A</v>
      </c>
      <c r="AK444" s="1587">
        <f t="shared" si="281"/>
        <v>0</v>
      </c>
      <c r="AN444" s="1212" t="e">
        <f t="shared" ca="1" si="282"/>
        <v>#N/A</v>
      </c>
      <c r="AO444" s="1213" t="e">
        <f t="shared" ca="1" si="283"/>
        <v>#N/A</v>
      </c>
      <c r="AP444" s="1587">
        <f t="shared" si="284"/>
        <v>0</v>
      </c>
      <c r="AS444" s="1212" t="e">
        <f t="shared" ca="1" si="285"/>
        <v>#N/A</v>
      </c>
      <c r="AT444" s="1213" t="e">
        <f t="shared" ca="1" si="286"/>
        <v>#N/A</v>
      </c>
      <c r="AU444" s="1587">
        <f t="shared" si="287"/>
        <v>0</v>
      </c>
      <c r="AX444" s="1212" t="e">
        <f t="shared" ca="1" si="288"/>
        <v>#N/A</v>
      </c>
      <c r="AY444" s="1213" t="e">
        <f t="shared" ca="1" si="289"/>
        <v>#N/A</v>
      </c>
      <c r="AZ444" s="1587">
        <f t="shared" si="290"/>
        <v>0</v>
      </c>
      <c r="BC444" s="1212" t="e">
        <f t="shared" ca="1" si="291"/>
        <v>#N/A</v>
      </c>
      <c r="BD444" s="1213" t="e">
        <f t="shared" ca="1" si="292"/>
        <v>#N/A</v>
      </c>
      <c r="BE444" s="1587">
        <f t="shared" si="293"/>
        <v>0</v>
      </c>
      <c r="BH444" s="1212" t="e">
        <f t="shared" ca="1" si="294"/>
        <v>#N/A</v>
      </c>
      <c r="BI444" s="1213" t="e">
        <f t="shared" ca="1" si="295"/>
        <v>#N/A</v>
      </c>
      <c r="BJ444" s="1587">
        <f t="shared" si="296"/>
        <v>0</v>
      </c>
      <c r="BM444" s="1212" t="e">
        <f t="shared" ca="1" si="297"/>
        <v>#N/A</v>
      </c>
      <c r="BN444" s="1213" t="e">
        <f t="shared" ca="1" si="298"/>
        <v>#N/A</v>
      </c>
      <c r="BO444" s="1587">
        <f t="shared" si="299"/>
        <v>0</v>
      </c>
      <c r="BR444" s="1212" t="e">
        <f t="shared" ca="1" si="300"/>
        <v>#N/A</v>
      </c>
      <c r="BS444" s="1213" t="e">
        <f t="shared" ca="1" si="301"/>
        <v>#N/A</v>
      </c>
      <c r="BT444" s="1587">
        <f t="shared" si="302"/>
        <v>0</v>
      </c>
      <c r="BW444" s="1212" t="e">
        <f t="shared" ca="1" si="303"/>
        <v>#N/A</v>
      </c>
      <c r="BX444" s="1213" t="e">
        <f t="shared" ca="1" si="304"/>
        <v>#N/A</v>
      </c>
      <c r="BY444" s="1587">
        <f t="shared" si="305"/>
        <v>0</v>
      </c>
      <c r="CB444" s="1212" t="e">
        <f t="shared" ca="1" si="306"/>
        <v>#N/A</v>
      </c>
      <c r="CC444" s="1213" t="e">
        <f t="shared" ca="1" si="307"/>
        <v>#N/A</v>
      </c>
      <c r="CD444" s="1587">
        <f t="shared" si="308"/>
        <v>0</v>
      </c>
      <c r="CG444" s="1212" t="e">
        <f t="shared" ca="1" si="309"/>
        <v>#N/A</v>
      </c>
      <c r="CH444" s="1213" t="e">
        <f t="shared" ca="1" si="310"/>
        <v>#N/A</v>
      </c>
      <c r="CI444" s="1587">
        <f t="shared" si="311"/>
        <v>0</v>
      </c>
      <c r="CL444" s="1212" t="e">
        <f t="shared" ca="1" si="312"/>
        <v>#N/A</v>
      </c>
      <c r="CM444" s="1213" t="e">
        <f t="shared" ca="1" si="313"/>
        <v>#N/A</v>
      </c>
      <c r="CN444" s="1587">
        <f t="shared" si="314"/>
        <v>0</v>
      </c>
    </row>
    <row r="445" spans="1:92">
      <c r="A445" s="141">
        <f>'銀行-TSS'!A445</f>
        <v>0</v>
      </c>
      <c r="B445" s="151">
        <f ca="1">VLOOKUP(A445,'銀行-TSS'!A:B,2,FALSE)</f>
        <v>0</v>
      </c>
      <c r="C445" s="151" t="e">
        <f ca="1">VLOOKUP(B445,bond!B:C,2,FALSE)</f>
        <v>#N/A</v>
      </c>
      <c r="D445" s="95" t="e">
        <f>VLOOKUP(A445,'銀行-TSS'!A:C,3,FALSE)</f>
        <v>#N/A</v>
      </c>
      <c r="E445" s="90" t="e">
        <f ca="1">VLOOKUP(A445,'銀行-TSS'!A:G,7,FALSE)</f>
        <v>#N/A</v>
      </c>
      <c r="F445" s="202" t="e">
        <f ca="1">VLOOKUP(A445,'銀行-TSS'!A:H,8,FALSE)</f>
        <v>#N/A</v>
      </c>
      <c r="G445" s="96" t="e">
        <f ca="1">VLOOKUP(A445,'銀行-TSS'!A:K,11,FALSE)</f>
        <v>#N/A</v>
      </c>
      <c r="H445" s="1209" t="e">
        <f ca="1">VLOOKUP(A445,'銀行-TSS'!A:M,13,FALSE)</f>
        <v>#N/A</v>
      </c>
      <c r="I445" s="1213" t="e">
        <f ca="1">VLOOKUP(A445,'銀行-TSS'!A:N,14,FALSE)</f>
        <v>#N/A</v>
      </c>
      <c r="J445" s="1213" t="e">
        <f ca="1">VLOOKUP(A445,'銀行-TSS'!A:O,15,FALSE)</f>
        <v>#N/A</v>
      </c>
      <c r="K445" s="136" t="e">
        <f ca="1">VLOOKUP(A445,'銀行-TSS'!A:V,22,FALSE)</f>
        <v>#N/A</v>
      </c>
      <c r="L445" s="136" t="e">
        <f ca="1">VLOOKUP(A445,'銀行-TSS'!A:AK,37,FALSE)</f>
        <v>#N/A</v>
      </c>
      <c r="M445" s="136" t="str">
        <f ca="1">VLOOKUP(A445,'銀行-TSS'!A:AN,40,FALSE)</f>
        <v/>
      </c>
      <c r="N445" s="136" t="e">
        <f t="shared" ca="1" si="270"/>
        <v>#N/A</v>
      </c>
      <c r="O445" s="1213" t="e">
        <f t="shared" ca="1" si="271"/>
        <v>#N/A</v>
      </c>
      <c r="P445" s="1213" t="e">
        <f ca="1">IF(AND($O$1&gt;=O445,換券單檔!$D$13=D445),I445+INT(($O$1-O445)/N445)*J445,0)</f>
        <v>#N/A</v>
      </c>
      <c r="Q445" s="1213" t="e">
        <f t="shared" ca="1" si="272"/>
        <v>#N/A</v>
      </c>
      <c r="R445" s="1213">
        <f t="shared" si="273"/>
        <v>0</v>
      </c>
      <c r="S445" s="1213">
        <f t="shared" si="274"/>
        <v>0</v>
      </c>
      <c r="T445" s="136">
        <f>IF(OR(R445=0,A445=0),0,IF(AND(V445=TRUE,換券單檔!$D$13=D445),E445,0))</f>
        <v>0</v>
      </c>
      <c r="U445" s="861">
        <f>IF(OR(R445=0,A445=0),0,IF(AND(V445=TRUE,換券單檔!$D$13=D445),H445,0))</f>
        <v>0</v>
      </c>
      <c r="V445" s="136" t="e">
        <f ca="1">IF(OR(B445=換券單檔!$D$3,L445="無",M445&lt;&gt;"",K445="高資產",IFERROR(MATCH(B445,換券單檔!K:K,0),"N")&lt;&gt;"N"),FALSE,IF($V$1="All",TRUE,IF(K445=$V$1,TRUE,FALSE)))</f>
        <v>#N/A</v>
      </c>
      <c r="W445" s="136" t="e">
        <f ca="1">VLOOKUP(A445,'銀行-TSS'!A:AO,41,FALSE)</f>
        <v>#N/A</v>
      </c>
      <c r="X445" s="136" t="e">
        <f ca="1">VLOOKUP(A445,'銀行-TSS'!A:AP,42,FALSE)</f>
        <v>#N/A</v>
      </c>
      <c r="Y445" s="1220">
        <f t="shared" si="275"/>
        <v>0</v>
      </c>
      <c r="Z445" s="1220">
        <f t="shared" si="276"/>
        <v>0</v>
      </c>
      <c r="AA445" s="136">
        <f>IF(Z445&lt;=0,0,RANK(Z445,Z:Z)+COUNTIF($Z$3:$Z445,Z445)-1)</f>
        <v>0</v>
      </c>
      <c r="AB445" s="1211">
        <f t="shared" ca="1" si="277"/>
        <v>-14896.14</v>
      </c>
      <c r="AC445" s="136">
        <f ca="1">IF(AB445&lt;=0,0,RANK(AB445,AB:AB)+COUNTIF($AB$3:$AB445,AB445)-1)</f>
        <v>0</v>
      </c>
      <c r="AD445" s="1123">
        <f t="shared" si="278"/>
        <v>99999</v>
      </c>
      <c r="AE445" s="1123">
        <f>IF(AD445=99999,0,RANK(AD445,AD:AD,1)+COUNTIF($AD$3:$AD445,AD445)-1)</f>
        <v>0</v>
      </c>
      <c r="AF445" s="86" t="e">
        <f ca="1">IF(OR(M445&lt;&gt;"",L445="無",K445="高資產",IFERROR(MATCH(B445,換券單檔!K:K,0),"N")&lt;&gt;"N"),FALSE,TRUE)</f>
        <v>#N/A</v>
      </c>
      <c r="AI445" s="1212" t="e">
        <f t="shared" ca="1" si="279"/>
        <v>#N/A</v>
      </c>
      <c r="AJ445" s="1213" t="e">
        <f t="shared" ca="1" si="280"/>
        <v>#N/A</v>
      </c>
      <c r="AK445" s="1587">
        <f t="shared" si="281"/>
        <v>0</v>
      </c>
      <c r="AN445" s="1212" t="e">
        <f t="shared" ca="1" si="282"/>
        <v>#N/A</v>
      </c>
      <c r="AO445" s="1213" t="e">
        <f t="shared" ca="1" si="283"/>
        <v>#N/A</v>
      </c>
      <c r="AP445" s="1587">
        <f t="shared" si="284"/>
        <v>0</v>
      </c>
      <c r="AS445" s="1212" t="e">
        <f t="shared" ca="1" si="285"/>
        <v>#N/A</v>
      </c>
      <c r="AT445" s="1213" t="e">
        <f t="shared" ca="1" si="286"/>
        <v>#N/A</v>
      </c>
      <c r="AU445" s="1587">
        <f t="shared" si="287"/>
        <v>0</v>
      </c>
      <c r="AX445" s="1212" t="e">
        <f t="shared" ca="1" si="288"/>
        <v>#N/A</v>
      </c>
      <c r="AY445" s="1213" t="e">
        <f t="shared" ca="1" si="289"/>
        <v>#N/A</v>
      </c>
      <c r="AZ445" s="1587">
        <f t="shared" si="290"/>
        <v>0</v>
      </c>
      <c r="BC445" s="1212" t="e">
        <f t="shared" ca="1" si="291"/>
        <v>#N/A</v>
      </c>
      <c r="BD445" s="1213" t="e">
        <f t="shared" ca="1" si="292"/>
        <v>#N/A</v>
      </c>
      <c r="BE445" s="1587">
        <f t="shared" si="293"/>
        <v>0</v>
      </c>
      <c r="BH445" s="1212" t="e">
        <f t="shared" ca="1" si="294"/>
        <v>#N/A</v>
      </c>
      <c r="BI445" s="1213" t="e">
        <f t="shared" ca="1" si="295"/>
        <v>#N/A</v>
      </c>
      <c r="BJ445" s="1587">
        <f t="shared" si="296"/>
        <v>0</v>
      </c>
      <c r="BM445" s="1212" t="e">
        <f t="shared" ca="1" si="297"/>
        <v>#N/A</v>
      </c>
      <c r="BN445" s="1213" t="e">
        <f t="shared" ca="1" si="298"/>
        <v>#N/A</v>
      </c>
      <c r="BO445" s="1587">
        <f t="shared" si="299"/>
        <v>0</v>
      </c>
      <c r="BR445" s="1212" t="e">
        <f t="shared" ca="1" si="300"/>
        <v>#N/A</v>
      </c>
      <c r="BS445" s="1213" t="e">
        <f t="shared" ca="1" si="301"/>
        <v>#N/A</v>
      </c>
      <c r="BT445" s="1587">
        <f t="shared" si="302"/>
        <v>0</v>
      </c>
      <c r="BW445" s="1212" t="e">
        <f t="shared" ca="1" si="303"/>
        <v>#N/A</v>
      </c>
      <c r="BX445" s="1213" t="e">
        <f t="shared" ca="1" si="304"/>
        <v>#N/A</v>
      </c>
      <c r="BY445" s="1587">
        <f t="shared" si="305"/>
        <v>0</v>
      </c>
      <c r="CB445" s="1212" t="e">
        <f t="shared" ca="1" si="306"/>
        <v>#N/A</v>
      </c>
      <c r="CC445" s="1213" t="e">
        <f t="shared" ca="1" si="307"/>
        <v>#N/A</v>
      </c>
      <c r="CD445" s="1587">
        <f t="shared" si="308"/>
        <v>0</v>
      </c>
      <c r="CG445" s="1212" t="e">
        <f t="shared" ca="1" si="309"/>
        <v>#N/A</v>
      </c>
      <c r="CH445" s="1213" t="e">
        <f t="shared" ca="1" si="310"/>
        <v>#N/A</v>
      </c>
      <c r="CI445" s="1587">
        <f t="shared" si="311"/>
        <v>0</v>
      </c>
      <c r="CL445" s="1212" t="e">
        <f t="shared" ca="1" si="312"/>
        <v>#N/A</v>
      </c>
      <c r="CM445" s="1213" t="e">
        <f t="shared" ca="1" si="313"/>
        <v>#N/A</v>
      </c>
      <c r="CN445" s="1587">
        <f t="shared" si="314"/>
        <v>0</v>
      </c>
    </row>
    <row r="446" spans="1:92">
      <c r="A446" s="141">
        <f>'銀行-TSS'!A446</f>
        <v>0</v>
      </c>
      <c r="B446" s="151">
        <f ca="1">VLOOKUP(A446,'銀行-TSS'!A:B,2,FALSE)</f>
        <v>0</v>
      </c>
      <c r="C446" s="151" t="e">
        <f ca="1">VLOOKUP(B446,bond!B:C,2,FALSE)</f>
        <v>#N/A</v>
      </c>
      <c r="D446" s="95" t="e">
        <f>VLOOKUP(A446,'銀行-TSS'!A:C,3,FALSE)</f>
        <v>#N/A</v>
      </c>
      <c r="E446" s="90" t="e">
        <f ca="1">VLOOKUP(A446,'銀行-TSS'!A:G,7,FALSE)</f>
        <v>#N/A</v>
      </c>
      <c r="F446" s="202" t="e">
        <f ca="1">VLOOKUP(A446,'銀行-TSS'!A:H,8,FALSE)</f>
        <v>#N/A</v>
      </c>
      <c r="G446" s="96" t="e">
        <f ca="1">VLOOKUP(A446,'銀行-TSS'!A:K,11,FALSE)</f>
        <v>#N/A</v>
      </c>
      <c r="H446" s="1209" t="e">
        <f ca="1">VLOOKUP(A446,'銀行-TSS'!A:M,13,FALSE)</f>
        <v>#N/A</v>
      </c>
      <c r="I446" s="1213" t="e">
        <f ca="1">VLOOKUP(A446,'銀行-TSS'!A:N,14,FALSE)</f>
        <v>#N/A</v>
      </c>
      <c r="J446" s="1213" t="e">
        <f ca="1">VLOOKUP(A446,'銀行-TSS'!A:O,15,FALSE)</f>
        <v>#N/A</v>
      </c>
      <c r="K446" s="136" t="e">
        <f ca="1">VLOOKUP(A446,'銀行-TSS'!A:V,22,FALSE)</f>
        <v>#N/A</v>
      </c>
      <c r="L446" s="136" t="e">
        <f ca="1">VLOOKUP(A446,'銀行-TSS'!A:AK,37,FALSE)</f>
        <v>#N/A</v>
      </c>
      <c r="M446" s="136" t="str">
        <f ca="1">VLOOKUP(A446,'銀行-TSS'!A:AN,40,FALSE)</f>
        <v/>
      </c>
      <c r="N446" s="136" t="e">
        <f t="shared" ca="1" si="270"/>
        <v>#N/A</v>
      </c>
      <c r="O446" s="1213" t="e">
        <f t="shared" ca="1" si="271"/>
        <v>#N/A</v>
      </c>
      <c r="P446" s="1213" t="e">
        <f ca="1">IF(AND($O$1&gt;=O446,換券單檔!$D$13=D446),I446+INT(($O$1-O446)/N446)*J446,0)</f>
        <v>#N/A</v>
      </c>
      <c r="Q446" s="1213" t="e">
        <f t="shared" ca="1" si="272"/>
        <v>#N/A</v>
      </c>
      <c r="R446" s="1213">
        <f t="shared" si="273"/>
        <v>0</v>
      </c>
      <c r="S446" s="1213">
        <f t="shared" si="274"/>
        <v>0</v>
      </c>
      <c r="T446" s="136">
        <f>IF(OR(R446=0,A446=0),0,IF(AND(V446=TRUE,換券單檔!$D$13=D446),E446,0))</f>
        <v>0</v>
      </c>
      <c r="U446" s="861">
        <f>IF(OR(R446=0,A446=0),0,IF(AND(V446=TRUE,換券單檔!$D$13=D446),H446,0))</f>
        <v>0</v>
      </c>
      <c r="V446" s="136" t="e">
        <f ca="1">IF(OR(B446=換券單檔!$D$3,L446="無",M446&lt;&gt;"",K446="高資產",IFERROR(MATCH(B446,換券單檔!K:K,0),"N")&lt;&gt;"N"),FALSE,IF($V$1="All",TRUE,IF(K446=$V$1,TRUE,FALSE)))</f>
        <v>#N/A</v>
      </c>
      <c r="W446" s="136" t="e">
        <f ca="1">VLOOKUP(A446,'銀行-TSS'!A:AO,41,FALSE)</f>
        <v>#N/A</v>
      </c>
      <c r="X446" s="136" t="e">
        <f ca="1">VLOOKUP(A446,'銀行-TSS'!A:AP,42,FALSE)</f>
        <v>#N/A</v>
      </c>
      <c r="Y446" s="1220">
        <f t="shared" si="275"/>
        <v>0</v>
      </c>
      <c r="Z446" s="1220">
        <f t="shared" si="276"/>
        <v>0</v>
      </c>
      <c r="AA446" s="136">
        <f>IF(Z446&lt;=0,0,RANK(Z446,Z:Z)+COUNTIF($Z$3:$Z446,Z446)-1)</f>
        <v>0</v>
      </c>
      <c r="AB446" s="1211">
        <f t="shared" ca="1" si="277"/>
        <v>-14896.14</v>
      </c>
      <c r="AC446" s="136">
        <f ca="1">IF(AB446&lt;=0,0,RANK(AB446,AB:AB)+COUNTIF($AB$3:$AB446,AB446)-1)</f>
        <v>0</v>
      </c>
      <c r="AD446" s="1123">
        <f t="shared" si="278"/>
        <v>99999</v>
      </c>
      <c r="AE446" s="1123">
        <f>IF(AD446=99999,0,RANK(AD446,AD:AD,1)+COUNTIF($AD$3:$AD446,AD446)-1)</f>
        <v>0</v>
      </c>
      <c r="AF446" s="86" t="e">
        <f ca="1">IF(OR(M446&lt;&gt;"",L446="無",K446="高資產",IFERROR(MATCH(B446,換券單檔!K:K,0),"N")&lt;&gt;"N"),FALSE,TRUE)</f>
        <v>#N/A</v>
      </c>
      <c r="AI446" s="1212" t="e">
        <f t="shared" ca="1" si="279"/>
        <v>#N/A</v>
      </c>
      <c r="AJ446" s="1213" t="e">
        <f t="shared" ca="1" si="280"/>
        <v>#N/A</v>
      </c>
      <c r="AK446" s="1587">
        <f t="shared" si="281"/>
        <v>0</v>
      </c>
      <c r="AN446" s="1212" t="e">
        <f t="shared" ca="1" si="282"/>
        <v>#N/A</v>
      </c>
      <c r="AO446" s="1213" t="e">
        <f t="shared" ca="1" si="283"/>
        <v>#N/A</v>
      </c>
      <c r="AP446" s="1587">
        <f t="shared" si="284"/>
        <v>0</v>
      </c>
      <c r="AS446" s="1212" t="e">
        <f t="shared" ca="1" si="285"/>
        <v>#N/A</v>
      </c>
      <c r="AT446" s="1213" t="e">
        <f t="shared" ca="1" si="286"/>
        <v>#N/A</v>
      </c>
      <c r="AU446" s="1587">
        <f t="shared" si="287"/>
        <v>0</v>
      </c>
      <c r="AX446" s="1212" t="e">
        <f t="shared" ca="1" si="288"/>
        <v>#N/A</v>
      </c>
      <c r="AY446" s="1213" t="e">
        <f t="shared" ca="1" si="289"/>
        <v>#N/A</v>
      </c>
      <c r="AZ446" s="1587">
        <f t="shared" si="290"/>
        <v>0</v>
      </c>
      <c r="BC446" s="1212" t="e">
        <f t="shared" ca="1" si="291"/>
        <v>#N/A</v>
      </c>
      <c r="BD446" s="1213" t="e">
        <f t="shared" ca="1" si="292"/>
        <v>#N/A</v>
      </c>
      <c r="BE446" s="1587">
        <f t="shared" si="293"/>
        <v>0</v>
      </c>
      <c r="BH446" s="1212" t="e">
        <f t="shared" ca="1" si="294"/>
        <v>#N/A</v>
      </c>
      <c r="BI446" s="1213" t="e">
        <f t="shared" ca="1" si="295"/>
        <v>#N/A</v>
      </c>
      <c r="BJ446" s="1587">
        <f t="shared" si="296"/>
        <v>0</v>
      </c>
      <c r="BM446" s="1212" t="e">
        <f t="shared" ca="1" si="297"/>
        <v>#N/A</v>
      </c>
      <c r="BN446" s="1213" t="e">
        <f t="shared" ca="1" si="298"/>
        <v>#N/A</v>
      </c>
      <c r="BO446" s="1587">
        <f t="shared" si="299"/>
        <v>0</v>
      </c>
      <c r="BR446" s="1212" t="e">
        <f t="shared" ca="1" si="300"/>
        <v>#N/A</v>
      </c>
      <c r="BS446" s="1213" t="e">
        <f t="shared" ca="1" si="301"/>
        <v>#N/A</v>
      </c>
      <c r="BT446" s="1587">
        <f t="shared" si="302"/>
        <v>0</v>
      </c>
      <c r="BW446" s="1212" t="e">
        <f t="shared" ca="1" si="303"/>
        <v>#N/A</v>
      </c>
      <c r="BX446" s="1213" t="e">
        <f t="shared" ca="1" si="304"/>
        <v>#N/A</v>
      </c>
      <c r="BY446" s="1587">
        <f t="shared" si="305"/>
        <v>0</v>
      </c>
      <c r="CB446" s="1212" t="e">
        <f t="shared" ca="1" si="306"/>
        <v>#N/A</v>
      </c>
      <c r="CC446" s="1213" t="e">
        <f t="shared" ca="1" si="307"/>
        <v>#N/A</v>
      </c>
      <c r="CD446" s="1587">
        <f t="shared" si="308"/>
        <v>0</v>
      </c>
      <c r="CG446" s="1212" t="e">
        <f t="shared" ca="1" si="309"/>
        <v>#N/A</v>
      </c>
      <c r="CH446" s="1213" t="e">
        <f t="shared" ca="1" si="310"/>
        <v>#N/A</v>
      </c>
      <c r="CI446" s="1587">
        <f t="shared" si="311"/>
        <v>0</v>
      </c>
      <c r="CL446" s="1212" t="e">
        <f t="shared" ca="1" si="312"/>
        <v>#N/A</v>
      </c>
      <c r="CM446" s="1213" t="e">
        <f t="shared" ca="1" si="313"/>
        <v>#N/A</v>
      </c>
      <c r="CN446" s="1587">
        <f t="shared" si="314"/>
        <v>0</v>
      </c>
    </row>
    <row r="447" spans="1:92">
      <c r="A447" s="141">
        <f>'銀行-TSS'!A447</f>
        <v>0</v>
      </c>
      <c r="B447" s="151">
        <f ca="1">VLOOKUP(A447,'銀行-TSS'!A:B,2,FALSE)</f>
        <v>0</v>
      </c>
      <c r="C447" s="151" t="e">
        <f ca="1">VLOOKUP(B447,bond!B:C,2,FALSE)</f>
        <v>#N/A</v>
      </c>
      <c r="D447" s="95" t="e">
        <f>VLOOKUP(A447,'銀行-TSS'!A:C,3,FALSE)</f>
        <v>#N/A</v>
      </c>
      <c r="E447" s="90" t="e">
        <f ca="1">VLOOKUP(A447,'銀行-TSS'!A:G,7,FALSE)</f>
        <v>#N/A</v>
      </c>
      <c r="F447" s="202" t="e">
        <f ca="1">VLOOKUP(A447,'銀行-TSS'!A:H,8,FALSE)</f>
        <v>#N/A</v>
      </c>
      <c r="G447" s="96" t="e">
        <f ca="1">VLOOKUP(A447,'銀行-TSS'!A:K,11,FALSE)</f>
        <v>#N/A</v>
      </c>
      <c r="H447" s="1209" t="e">
        <f ca="1">VLOOKUP(A447,'銀行-TSS'!A:M,13,FALSE)</f>
        <v>#N/A</v>
      </c>
      <c r="I447" s="1213" t="e">
        <f ca="1">VLOOKUP(A447,'銀行-TSS'!A:N,14,FALSE)</f>
        <v>#N/A</v>
      </c>
      <c r="J447" s="1213" t="e">
        <f ca="1">VLOOKUP(A447,'銀行-TSS'!A:O,15,FALSE)</f>
        <v>#N/A</v>
      </c>
      <c r="K447" s="136" t="e">
        <f ca="1">VLOOKUP(A447,'銀行-TSS'!A:V,22,FALSE)</f>
        <v>#N/A</v>
      </c>
      <c r="L447" s="136" t="e">
        <f ca="1">VLOOKUP(A447,'銀行-TSS'!A:AK,37,FALSE)</f>
        <v>#N/A</v>
      </c>
      <c r="M447" s="136" t="str">
        <f ca="1">VLOOKUP(A447,'銀行-TSS'!A:AN,40,FALSE)</f>
        <v/>
      </c>
      <c r="N447" s="136" t="e">
        <f t="shared" ca="1" si="270"/>
        <v>#N/A</v>
      </c>
      <c r="O447" s="1213" t="e">
        <f t="shared" ca="1" si="271"/>
        <v>#N/A</v>
      </c>
      <c r="P447" s="1213" t="e">
        <f ca="1">IF(AND($O$1&gt;=O447,換券單檔!$D$13=D447),I447+INT(($O$1-O447)/N447)*J447,0)</f>
        <v>#N/A</v>
      </c>
      <c r="Q447" s="1213" t="e">
        <f t="shared" ca="1" si="272"/>
        <v>#N/A</v>
      </c>
      <c r="R447" s="1213">
        <f t="shared" si="273"/>
        <v>0</v>
      </c>
      <c r="S447" s="1213">
        <f t="shared" si="274"/>
        <v>0</v>
      </c>
      <c r="T447" s="136">
        <f>IF(OR(R447=0,A447=0),0,IF(AND(V447=TRUE,換券單檔!$D$13=D447),E447,0))</f>
        <v>0</v>
      </c>
      <c r="U447" s="861">
        <f>IF(OR(R447=0,A447=0),0,IF(AND(V447=TRUE,換券單檔!$D$13=D447),H447,0))</f>
        <v>0</v>
      </c>
      <c r="V447" s="136" t="e">
        <f ca="1">IF(OR(B447=換券單檔!$D$3,L447="無",M447&lt;&gt;"",K447="高資產",IFERROR(MATCH(B447,換券單檔!K:K,0),"N")&lt;&gt;"N"),FALSE,IF($V$1="All",TRUE,IF(K447=$V$1,TRUE,FALSE)))</f>
        <v>#N/A</v>
      </c>
      <c r="W447" s="136" t="e">
        <f ca="1">VLOOKUP(A447,'銀行-TSS'!A:AO,41,FALSE)</f>
        <v>#N/A</v>
      </c>
      <c r="X447" s="136" t="e">
        <f ca="1">VLOOKUP(A447,'銀行-TSS'!A:AP,42,FALSE)</f>
        <v>#N/A</v>
      </c>
      <c r="Y447" s="1220">
        <f t="shared" si="275"/>
        <v>0</v>
      </c>
      <c r="Z447" s="1220">
        <f t="shared" si="276"/>
        <v>0</v>
      </c>
      <c r="AA447" s="136">
        <f>IF(Z447&lt;=0,0,RANK(Z447,Z:Z)+COUNTIF($Z$3:$Z447,Z447)-1)</f>
        <v>0</v>
      </c>
      <c r="AB447" s="1211">
        <f t="shared" ca="1" si="277"/>
        <v>-14896.14</v>
      </c>
      <c r="AC447" s="136">
        <f ca="1">IF(AB447&lt;=0,0,RANK(AB447,AB:AB)+COUNTIF($AB$3:$AB447,AB447)-1)</f>
        <v>0</v>
      </c>
      <c r="AD447" s="1123">
        <f t="shared" si="278"/>
        <v>99999</v>
      </c>
      <c r="AE447" s="1123">
        <f>IF(AD447=99999,0,RANK(AD447,AD:AD,1)+COUNTIF($AD$3:$AD447,AD447)-1)</f>
        <v>0</v>
      </c>
      <c r="AF447" s="86" t="e">
        <f ca="1">IF(OR(M447&lt;&gt;"",L447="無",K447="高資產",IFERROR(MATCH(B447,換券單檔!K:K,0),"N")&lt;&gt;"N"),FALSE,TRUE)</f>
        <v>#N/A</v>
      </c>
      <c r="AI447" s="1212" t="e">
        <f t="shared" ca="1" si="279"/>
        <v>#N/A</v>
      </c>
      <c r="AJ447" s="1213" t="e">
        <f t="shared" ca="1" si="280"/>
        <v>#N/A</v>
      </c>
      <c r="AK447" s="1587">
        <f t="shared" si="281"/>
        <v>0</v>
      </c>
      <c r="AN447" s="1212" t="e">
        <f t="shared" ca="1" si="282"/>
        <v>#N/A</v>
      </c>
      <c r="AO447" s="1213" t="e">
        <f t="shared" ca="1" si="283"/>
        <v>#N/A</v>
      </c>
      <c r="AP447" s="1587">
        <f t="shared" si="284"/>
        <v>0</v>
      </c>
      <c r="AS447" s="1212" t="e">
        <f t="shared" ca="1" si="285"/>
        <v>#N/A</v>
      </c>
      <c r="AT447" s="1213" t="e">
        <f t="shared" ca="1" si="286"/>
        <v>#N/A</v>
      </c>
      <c r="AU447" s="1587">
        <f t="shared" si="287"/>
        <v>0</v>
      </c>
      <c r="AX447" s="1212" t="e">
        <f t="shared" ca="1" si="288"/>
        <v>#N/A</v>
      </c>
      <c r="AY447" s="1213" t="e">
        <f t="shared" ca="1" si="289"/>
        <v>#N/A</v>
      </c>
      <c r="AZ447" s="1587">
        <f t="shared" si="290"/>
        <v>0</v>
      </c>
      <c r="BC447" s="1212" t="e">
        <f t="shared" ca="1" si="291"/>
        <v>#N/A</v>
      </c>
      <c r="BD447" s="1213" t="e">
        <f t="shared" ca="1" si="292"/>
        <v>#N/A</v>
      </c>
      <c r="BE447" s="1587">
        <f t="shared" si="293"/>
        <v>0</v>
      </c>
      <c r="BH447" s="1212" t="e">
        <f t="shared" ca="1" si="294"/>
        <v>#N/A</v>
      </c>
      <c r="BI447" s="1213" t="e">
        <f t="shared" ca="1" si="295"/>
        <v>#N/A</v>
      </c>
      <c r="BJ447" s="1587">
        <f t="shared" si="296"/>
        <v>0</v>
      </c>
      <c r="BM447" s="1212" t="e">
        <f t="shared" ca="1" si="297"/>
        <v>#N/A</v>
      </c>
      <c r="BN447" s="1213" t="e">
        <f t="shared" ca="1" si="298"/>
        <v>#N/A</v>
      </c>
      <c r="BO447" s="1587">
        <f t="shared" si="299"/>
        <v>0</v>
      </c>
      <c r="BR447" s="1212" t="e">
        <f t="shared" ca="1" si="300"/>
        <v>#N/A</v>
      </c>
      <c r="BS447" s="1213" t="e">
        <f t="shared" ca="1" si="301"/>
        <v>#N/A</v>
      </c>
      <c r="BT447" s="1587">
        <f t="shared" si="302"/>
        <v>0</v>
      </c>
      <c r="BW447" s="1212" t="e">
        <f t="shared" ca="1" si="303"/>
        <v>#N/A</v>
      </c>
      <c r="BX447" s="1213" t="e">
        <f t="shared" ca="1" si="304"/>
        <v>#N/A</v>
      </c>
      <c r="BY447" s="1587">
        <f t="shared" si="305"/>
        <v>0</v>
      </c>
      <c r="CB447" s="1212" t="e">
        <f t="shared" ca="1" si="306"/>
        <v>#N/A</v>
      </c>
      <c r="CC447" s="1213" t="e">
        <f t="shared" ca="1" si="307"/>
        <v>#N/A</v>
      </c>
      <c r="CD447" s="1587">
        <f t="shared" si="308"/>
        <v>0</v>
      </c>
      <c r="CG447" s="1212" t="e">
        <f t="shared" ca="1" si="309"/>
        <v>#N/A</v>
      </c>
      <c r="CH447" s="1213" t="e">
        <f t="shared" ca="1" si="310"/>
        <v>#N/A</v>
      </c>
      <c r="CI447" s="1587">
        <f t="shared" si="311"/>
        <v>0</v>
      </c>
      <c r="CL447" s="1212" t="e">
        <f t="shared" ca="1" si="312"/>
        <v>#N/A</v>
      </c>
      <c r="CM447" s="1213" t="e">
        <f t="shared" ca="1" si="313"/>
        <v>#N/A</v>
      </c>
      <c r="CN447" s="1587">
        <f t="shared" si="314"/>
        <v>0</v>
      </c>
    </row>
    <row r="448" spans="1:92">
      <c r="A448" s="141">
        <f>'銀行-TSS'!A448</f>
        <v>0</v>
      </c>
      <c r="B448" s="151">
        <f ca="1">VLOOKUP(A448,'銀行-TSS'!A:B,2,FALSE)</f>
        <v>0</v>
      </c>
      <c r="C448" s="151" t="e">
        <f ca="1">VLOOKUP(B448,bond!B:C,2,FALSE)</f>
        <v>#N/A</v>
      </c>
      <c r="D448" s="95" t="e">
        <f>VLOOKUP(A448,'銀行-TSS'!A:C,3,FALSE)</f>
        <v>#N/A</v>
      </c>
      <c r="E448" s="90" t="e">
        <f ca="1">VLOOKUP(A448,'銀行-TSS'!A:G,7,FALSE)</f>
        <v>#N/A</v>
      </c>
      <c r="F448" s="202" t="e">
        <f ca="1">VLOOKUP(A448,'銀行-TSS'!A:H,8,FALSE)</f>
        <v>#N/A</v>
      </c>
      <c r="G448" s="96" t="e">
        <f ca="1">VLOOKUP(A448,'銀行-TSS'!A:K,11,FALSE)</f>
        <v>#N/A</v>
      </c>
      <c r="H448" s="1209" t="e">
        <f ca="1">VLOOKUP(A448,'銀行-TSS'!A:M,13,FALSE)</f>
        <v>#N/A</v>
      </c>
      <c r="I448" s="1213" t="e">
        <f ca="1">VLOOKUP(A448,'銀行-TSS'!A:N,14,FALSE)</f>
        <v>#N/A</v>
      </c>
      <c r="J448" s="1213" t="e">
        <f ca="1">VLOOKUP(A448,'銀行-TSS'!A:O,15,FALSE)</f>
        <v>#N/A</v>
      </c>
      <c r="K448" s="136" t="e">
        <f ca="1">VLOOKUP(A448,'銀行-TSS'!A:V,22,FALSE)</f>
        <v>#N/A</v>
      </c>
      <c r="L448" s="136" t="e">
        <f ca="1">VLOOKUP(A448,'銀行-TSS'!A:AK,37,FALSE)</f>
        <v>#N/A</v>
      </c>
      <c r="M448" s="136" t="str">
        <f ca="1">VLOOKUP(A448,'銀行-TSS'!A:AN,40,FALSE)</f>
        <v/>
      </c>
      <c r="N448" s="136" t="e">
        <f t="shared" ca="1" si="270"/>
        <v>#N/A</v>
      </c>
      <c r="O448" s="1213" t="e">
        <f t="shared" ca="1" si="271"/>
        <v>#N/A</v>
      </c>
      <c r="P448" s="1213" t="e">
        <f ca="1">IF(AND($O$1&gt;=O448,換券單檔!$D$13=D448),I448+INT(($O$1-O448)/N448)*J448,0)</f>
        <v>#N/A</v>
      </c>
      <c r="Q448" s="1213" t="e">
        <f t="shared" ca="1" si="272"/>
        <v>#N/A</v>
      </c>
      <c r="R448" s="1213">
        <f t="shared" si="273"/>
        <v>0</v>
      </c>
      <c r="S448" s="1213">
        <f t="shared" si="274"/>
        <v>0</v>
      </c>
      <c r="T448" s="136">
        <f>IF(OR(R448=0,A448=0),0,IF(AND(V448=TRUE,換券單檔!$D$13=D448),E448,0))</f>
        <v>0</v>
      </c>
      <c r="U448" s="861">
        <f>IF(OR(R448=0,A448=0),0,IF(AND(V448=TRUE,換券單檔!$D$13=D448),H448,0))</f>
        <v>0</v>
      </c>
      <c r="V448" s="136" t="e">
        <f ca="1">IF(OR(B448=換券單檔!$D$3,L448="無",M448&lt;&gt;"",K448="高資產",IFERROR(MATCH(B448,換券單檔!K:K,0),"N")&lt;&gt;"N"),FALSE,IF($V$1="All",TRUE,IF(K448=$V$1,TRUE,FALSE)))</f>
        <v>#N/A</v>
      </c>
      <c r="W448" s="136" t="e">
        <f ca="1">VLOOKUP(A448,'銀行-TSS'!A:AO,41,FALSE)</f>
        <v>#N/A</v>
      </c>
      <c r="X448" s="136" t="e">
        <f ca="1">VLOOKUP(A448,'銀行-TSS'!A:AP,42,FALSE)</f>
        <v>#N/A</v>
      </c>
      <c r="Y448" s="1220">
        <f t="shared" si="275"/>
        <v>0</v>
      </c>
      <c r="Z448" s="1220">
        <f t="shared" si="276"/>
        <v>0</v>
      </c>
      <c r="AA448" s="136">
        <f>IF(Z448&lt;=0,0,RANK(Z448,Z:Z)+COUNTIF($Z$3:$Z448,Z448)-1)</f>
        <v>0</v>
      </c>
      <c r="AB448" s="1211">
        <f t="shared" ca="1" si="277"/>
        <v>-14896.14</v>
      </c>
      <c r="AC448" s="136">
        <f ca="1">IF(AB448&lt;=0,0,RANK(AB448,AB:AB)+COUNTIF($AB$3:$AB448,AB448)-1)</f>
        <v>0</v>
      </c>
      <c r="AD448" s="1123">
        <f t="shared" si="278"/>
        <v>99999</v>
      </c>
      <c r="AE448" s="1123">
        <f>IF(AD448=99999,0,RANK(AD448,AD:AD,1)+COUNTIF($AD$3:$AD448,AD448)-1)</f>
        <v>0</v>
      </c>
      <c r="AF448" s="86" t="e">
        <f ca="1">IF(OR(M448&lt;&gt;"",L448="無",K448="高資產",IFERROR(MATCH(B448,換券單檔!K:K,0),"N")&lt;&gt;"N"),FALSE,TRUE)</f>
        <v>#N/A</v>
      </c>
      <c r="AI448" s="1212" t="e">
        <f t="shared" ca="1" si="279"/>
        <v>#N/A</v>
      </c>
      <c r="AJ448" s="1213" t="e">
        <f t="shared" ca="1" si="280"/>
        <v>#N/A</v>
      </c>
      <c r="AK448" s="1587">
        <f t="shared" si="281"/>
        <v>0</v>
      </c>
      <c r="AN448" s="1212" t="e">
        <f t="shared" ca="1" si="282"/>
        <v>#N/A</v>
      </c>
      <c r="AO448" s="1213" t="e">
        <f t="shared" ca="1" si="283"/>
        <v>#N/A</v>
      </c>
      <c r="AP448" s="1587">
        <f t="shared" si="284"/>
        <v>0</v>
      </c>
      <c r="AS448" s="1212" t="e">
        <f t="shared" ca="1" si="285"/>
        <v>#N/A</v>
      </c>
      <c r="AT448" s="1213" t="e">
        <f t="shared" ca="1" si="286"/>
        <v>#N/A</v>
      </c>
      <c r="AU448" s="1587">
        <f t="shared" si="287"/>
        <v>0</v>
      </c>
      <c r="AX448" s="1212" t="e">
        <f t="shared" ca="1" si="288"/>
        <v>#N/A</v>
      </c>
      <c r="AY448" s="1213" t="e">
        <f t="shared" ca="1" si="289"/>
        <v>#N/A</v>
      </c>
      <c r="AZ448" s="1587">
        <f t="shared" si="290"/>
        <v>0</v>
      </c>
      <c r="BC448" s="1212" t="e">
        <f t="shared" ca="1" si="291"/>
        <v>#N/A</v>
      </c>
      <c r="BD448" s="1213" t="e">
        <f t="shared" ca="1" si="292"/>
        <v>#N/A</v>
      </c>
      <c r="BE448" s="1587">
        <f t="shared" si="293"/>
        <v>0</v>
      </c>
      <c r="BH448" s="1212" t="e">
        <f t="shared" ca="1" si="294"/>
        <v>#N/A</v>
      </c>
      <c r="BI448" s="1213" t="e">
        <f t="shared" ca="1" si="295"/>
        <v>#N/A</v>
      </c>
      <c r="BJ448" s="1587">
        <f t="shared" si="296"/>
        <v>0</v>
      </c>
      <c r="BM448" s="1212" t="e">
        <f t="shared" ca="1" si="297"/>
        <v>#N/A</v>
      </c>
      <c r="BN448" s="1213" t="e">
        <f t="shared" ca="1" si="298"/>
        <v>#N/A</v>
      </c>
      <c r="BO448" s="1587">
        <f t="shared" si="299"/>
        <v>0</v>
      </c>
      <c r="BR448" s="1212" t="e">
        <f t="shared" ca="1" si="300"/>
        <v>#N/A</v>
      </c>
      <c r="BS448" s="1213" t="e">
        <f t="shared" ca="1" si="301"/>
        <v>#N/A</v>
      </c>
      <c r="BT448" s="1587">
        <f t="shared" si="302"/>
        <v>0</v>
      </c>
      <c r="BW448" s="1212" t="e">
        <f t="shared" ca="1" si="303"/>
        <v>#N/A</v>
      </c>
      <c r="BX448" s="1213" t="e">
        <f t="shared" ca="1" si="304"/>
        <v>#N/A</v>
      </c>
      <c r="BY448" s="1587">
        <f t="shared" si="305"/>
        <v>0</v>
      </c>
      <c r="CB448" s="1212" t="e">
        <f t="shared" ca="1" si="306"/>
        <v>#N/A</v>
      </c>
      <c r="CC448" s="1213" t="e">
        <f t="shared" ca="1" si="307"/>
        <v>#N/A</v>
      </c>
      <c r="CD448" s="1587">
        <f t="shared" si="308"/>
        <v>0</v>
      </c>
      <c r="CG448" s="1212" t="e">
        <f t="shared" ca="1" si="309"/>
        <v>#N/A</v>
      </c>
      <c r="CH448" s="1213" t="e">
        <f t="shared" ca="1" si="310"/>
        <v>#N/A</v>
      </c>
      <c r="CI448" s="1587">
        <f t="shared" si="311"/>
        <v>0</v>
      </c>
      <c r="CL448" s="1212" t="e">
        <f t="shared" ca="1" si="312"/>
        <v>#N/A</v>
      </c>
      <c r="CM448" s="1213" t="e">
        <f t="shared" ca="1" si="313"/>
        <v>#N/A</v>
      </c>
      <c r="CN448" s="1587">
        <f t="shared" si="314"/>
        <v>0</v>
      </c>
    </row>
    <row r="449" spans="1:92">
      <c r="A449" s="141">
        <f>'銀行-TSS'!A449</f>
        <v>0</v>
      </c>
      <c r="B449" s="151">
        <f ca="1">VLOOKUP(A449,'銀行-TSS'!A:B,2,FALSE)</f>
        <v>0</v>
      </c>
      <c r="C449" s="151" t="e">
        <f ca="1">VLOOKUP(B449,bond!B:C,2,FALSE)</f>
        <v>#N/A</v>
      </c>
      <c r="D449" s="95" t="e">
        <f>VLOOKUP(A449,'銀行-TSS'!A:C,3,FALSE)</f>
        <v>#N/A</v>
      </c>
      <c r="E449" s="90" t="e">
        <f ca="1">VLOOKUP(A449,'銀行-TSS'!A:G,7,FALSE)</f>
        <v>#N/A</v>
      </c>
      <c r="F449" s="202" t="e">
        <f ca="1">VLOOKUP(A449,'銀行-TSS'!A:H,8,FALSE)</f>
        <v>#N/A</v>
      </c>
      <c r="G449" s="96" t="e">
        <f ca="1">VLOOKUP(A449,'銀行-TSS'!A:K,11,FALSE)</f>
        <v>#N/A</v>
      </c>
      <c r="H449" s="1209" t="e">
        <f ca="1">VLOOKUP(A449,'銀行-TSS'!A:M,13,FALSE)</f>
        <v>#N/A</v>
      </c>
      <c r="I449" s="1213" t="e">
        <f ca="1">VLOOKUP(A449,'銀行-TSS'!A:N,14,FALSE)</f>
        <v>#N/A</v>
      </c>
      <c r="J449" s="1213" t="e">
        <f ca="1">VLOOKUP(A449,'銀行-TSS'!A:O,15,FALSE)</f>
        <v>#N/A</v>
      </c>
      <c r="K449" s="136" t="e">
        <f ca="1">VLOOKUP(A449,'銀行-TSS'!A:V,22,FALSE)</f>
        <v>#N/A</v>
      </c>
      <c r="L449" s="136" t="e">
        <f ca="1">VLOOKUP(A449,'銀行-TSS'!A:AK,37,FALSE)</f>
        <v>#N/A</v>
      </c>
      <c r="M449" s="136" t="str">
        <f ca="1">VLOOKUP(A449,'銀行-TSS'!A:AN,40,FALSE)</f>
        <v/>
      </c>
      <c r="N449" s="136" t="e">
        <f t="shared" ca="1" si="270"/>
        <v>#N/A</v>
      </c>
      <c r="O449" s="1213" t="e">
        <f t="shared" ca="1" si="271"/>
        <v>#N/A</v>
      </c>
      <c r="P449" s="1213" t="e">
        <f ca="1">IF(AND($O$1&gt;=O449,換券單檔!$D$13=D449),I449+INT(($O$1-O449)/N449)*J449,0)</f>
        <v>#N/A</v>
      </c>
      <c r="Q449" s="1213" t="e">
        <f t="shared" ca="1" si="272"/>
        <v>#N/A</v>
      </c>
      <c r="R449" s="1213">
        <f t="shared" si="273"/>
        <v>0</v>
      </c>
      <c r="S449" s="1213">
        <f t="shared" si="274"/>
        <v>0</v>
      </c>
      <c r="T449" s="136">
        <f>IF(OR(R449=0,A449=0),0,IF(AND(V449=TRUE,換券單檔!$D$13=D449),E449,0))</f>
        <v>0</v>
      </c>
      <c r="U449" s="861">
        <f>IF(OR(R449=0,A449=0),0,IF(AND(V449=TRUE,換券單檔!$D$13=D449),H449,0))</f>
        <v>0</v>
      </c>
      <c r="V449" s="136" t="e">
        <f ca="1">IF(OR(B449=換券單檔!$D$3,L449="無",M449&lt;&gt;"",K449="高資產",IFERROR(MATCH(B449,換券單檔!K:K,0),"N")&lt;&gt;"N"),FALSE,IF($V$1="All",TRUE,IF(K449=$V$1,TRUE,FALSE)))</f>
        <v>#N/A</v>
      </c>
      <c r="W449" s="136" t="e">
        <f ca="1">VLOOKUP(A449,'銀行-TSS'!A:AO,41,FALSE)</f>
        <v>#N/A</v>
      </c>
      <c r="X449" s="136" t="e">
        <f ca="1">VLOOKUP(A449,'銀行-TSS'!A:AP,42,FALSE)</f>
        <v>#N/A</v>
      </c>
      <c r="Y449" s="1220">
        <f t="shared" si="275"/>
        <v>0</v>
      </c>
      <c r="Z449" s="1220">
        <f t="shared" si="276"/>
        <v>0</v>
      </c>
      <c r="AA449" s="136">
        <f>IF(Z449&lt;=0,0,RANK(Z449,Z:Z)+COUNTIF($Z$3:$Z449,Z449)-1)</f>
        <v>0</v>
      </c>
      <c r="AB449" s="1211">
        <f t="shared" ca="1" si="277"/>
        <v>-14896.14</v>
      </c>
      <c r="AC449" s="136">
        <f ca="1">IF(AB449&lt;=0,0,RANK(AB449,AB:AB)+COUNTIF($AB$3:$AB449,AB449)-1)</f>
        <v>0</v>
      </c>
      <c r="AD449" s="1123">
        <f t="shared" si="278"/>
        <v>99999</v>
      </c>
      <c r="AE449" s="1123">
        <f>IF(AD449=99999,0,RANK(AD449,AD:AD,1)+COUNTIF($AD$3:$AD449,AD449)-1)</f>
        <v>0</v>
      </c>
      <c r="AF449" s="86" t="e">
        <f ca="1">IF(OR(M449&lt;&gt;"",L449="無",K449="高資產",IFERROR(MATCH(B449,換券單檔!K:K,0),"N")&lt;&gt;"N"),FALSE,TRUE)</f>
        <v>#N/A</v>
      </c>
      <c r="AI449" s="1212" t="e">
        <f t="shared" ca="1" si="279"/>
        <v>#N/A</v>
      </c>
      <c r="AJ449" s="1213" t="e">
        <f t="shared" ca="1" si="280"/>
        <v>#N/A</v>
      </c>
      <c r="AK449" s="1587">
        <f t="shared" si="281"/>
        <v>0</v>
      </c>
      <c r="AN449" s="1212" t="e">
        <f t="shared" ca="1" si="282"/>
        <v>#N/A</v>
      </c>
      <c r="AO449" s="1213" t="e">
        <f t="shared" ca="1" si="283"/>
        <v>#N/A</v>
      </c>
      <c r="AP449" s="1587">
        <f t="shared" si="284"/>
        <v>0</v>
      </c>
      <c r="AS449" s="1212" t="e">
        <f t="shared" ca="1" si="285"/>
        <v>#N/A</v>
      </c>
      <c r="AT449" s="1213" t="e">
        <f t="shared" ca="1" si="286"/>
        <v>#N/A</v>
      </c>
      <c r="AU449" s="1587">
        <f t="shared" si="287"/>
        <v>0</v>
      </c>
      <c r="AX449" s="1212" t="e">
        <f t="shared" ca="1" si="288"/>
        <v>#N/A</v>
      </c>
      <c r="AY449" s="1213" t="e">
        <f t="shared" ca="1" si="289"/>
        <v>#N/A</v>
      </c>
      <c r="AZ449" s="1587">
        <f t="shared" si="290"/>
        <v>0</v>
      </c>
      <c r="BC449" s="1212" t="e">
        <f t="shared" ca="1" si="291"/>
        <v>#N/A</v>
      </c>
      <c r="BD449" s="1213" t="e">
        <f t="shared" ca="1" si="292"/>
        <v>#N/A</v>
      </c>
      <c r="BE449" s="1587">
        <f t="shared" si="293"/>
        <v>0</v>
      </c>
      <c r="BH449" s="1212" t="e">
        <f t="shared" ca="1" si="294"/>
        <v>#N/A</v>
      </c>
      <c r="BI449" s="1213" t="e">
        <f t="shared" ca="1" si="295"/>
        <v>#N/A</v>
      </c>
      <c r="BJ449" s="1587">
        <f t="shared" si="296"/>
        <v>0</v>
      </c>
      <c r="BM449" s="1212" t="e">
        <f t="shared" ca="1" si="297"/>
        <v>#N/A</v>
      </c>
      <c r="BN449" s="1213" t="e">
        <f t="shared" ca="1" si="298"/>
        <v>#N/A</v>
      </c>
      <c r="BO449" s="1587">
        <f t="shared" si="299"/>
        <v>0</v>
      </c>
      <c r="BR449" s="1212" t="e">
        <f t="shared" ca="1" si="300"/>
        <v>#N/A</v>
      </c>
      <c r="BS449" s="1213" t="e">
        <f t="shared" ca="1" si="301"/>
        <v>#N/A</v>
      </c>
      <c r="BT449" s="1587">
        <f t="shared" si="302"/>
        <v>0</v>
      </c>
      <c r="BW449" s="1212" t="e">
        <f t="shared" ca="1" si="303"/>
        <v>#N/A</v>
      </c>
      <c r="BX449" s="1213" t="e">
        <f t="shared" ca="1" si="304"/>
        <v>#N/A</v>
      </c>
      <c r="BY449" s="1587">
        <f t="shared" si="305"/>
        <v>0</v>
      </c>
      <c r="CB449" s="1212" t="e">
        <f t="shared" ca="1" si="306"/>
        <v>#N/A</v>
      </c>
      <c r="CC449" s="1213" t="e">
        <f t="shared" ca="1" si="307"/>
        <v>#N/A</v>
      </c>
      <c r="CD449" s="1587">
        <f t="shared" si="308"/>
        <v>0</v>
      </c>
      <c r="CG449" s="1212" t="e">
        <f t="shared" ca="1" si="309"/>
        <v>#N/A</v>
      </c>
      <c r="CH449" s="1213" t="e">
        <f t="shared" ca="1" si="310"/>
        <v>#N/A</v>
      </c>
      <c r="CI449" s="1587">
        <f t="shared" si="311"/>
        <v>0</v>
      </c>
      <c r="CL449" s="1212" t="e">
        <f t="shared" ca="1" si="312"/>
        <v>#N/A</v>
      </c>
      <c r="CM449" s="1213" t="e">
        <f t="shared" ca="1" si="313"/>
        <v>#N/A</v>
      </c>
      <c r="CN449" s="1587">
        <f t="shared" si="314"/>
        <v>0</v>
      </c>
    </row>
    <row r="450" spans="1:92">
      <c r="A450" s="141">
        <f>'銀行-TSS'!A450</f>
        <v>0</v>
      </c>
      <c r="B450" s="151">
        <f ca="1">VLOOKUP(A450,'銀行-TSS'!A:B,2,FALSE)</f>
        <v>0</v>
      </c>
      <c r="C450" s="151" t="e">
        <f ca="1">VLOOKUP(B450,bond!B:C,2,FALSE)</f>
        <v>#N/A</v>
      </c>
      <c r="D450" s="95" t="e">
        <f>VLOOKUP(A450,'銀行-TSS'!A:C,3,FALSE)</f>
        <v>#N/A</v>
      </c>
      <c r="E450" s="90" t="e">
        <f ca="1">VLOOKUP(A450,'銀行-TSS'!A:G,7,FALSE)</f>
        <v>#N/A</v>
      </c>
      <c r="F450" s="202" t="e">
        <f ca="1">VLOOKUP(A450,'銀行-TSS'!A:H,8,FALSE)</f>
        <v>#N/A</v>
      </c>
      <c r="G450" s="96" t="e">
        <f ca="1">VLOOKUP(A450,'銀行-TSS'!A:K,11,FALSE)</f>
        <v>#N/A</v>
      </c>
      <c r="H450" s="1209" t="e">
        <f ca="1">VLOOKUP(A450,'銀行-TSS'!A:M,13,FALSE)</f>
        <v>#N/A</v>
      </c>
      <c r="I450" s="1213" t="e">
        <f ca="1">VLOOKUP(A450,'銀行-TSS'!A:N,14,FALSE)</f>
        <v>#N/A</v>
      </c>
      <c r="J450" s="1213" t="e">
        <f ca="1">VLOOKUP(A450,'銀行-TSS'!A:O,15,FALSE)</f>
        <v>#N/A</v>
      </c>
      <c r="K450" s="136" t="e">
        <f ca="1">VLOOKUP(A450,'銀行-TSS'!A:V,22,FALSE)</f>
        <v>#N/A</v>
      </c>
      <c r="L450" s="136" t="e">
        <f ca="1">VLOOKUP(A450,'銀行-TSS'!A:AK,37,FALSE)</f>
        <v>#N/A</v>
      </c>
      <c r="M450" s="136" t="str">
        <f ca="1">VLOOKUP(A450,'銀行-TSS'!A:AN,40,FALSE)</f>
        <v/>
      </c>
      <c r="N450" s="136" t="e">
        <f t="shared" ca="1" si="270"/>
        <v>#N/A</v>
      </c>
      <c r="O450" s="1213" t="e">
        <f t="shared" ca="1" si="271"/>
        <v>#N/A</v>
      </c>
      <c r="P450" s="1213" t="e">
        <f ca="1">IF(AND($O$1&gt;=O450,換券單檔!$D$13=D450),I450+INT(($O$1-O450)/N450)*J450,0)</f>
        <v>#N/A</v>
      </c>
      <c r="Q450" s="1213" t="e">
        <f t="shared" ca="1" si="272"/>
        <v>#N/A</v>
      </c>
      <c r="R450" s="1213">
        <f t="shared" si="273"/>
        <v>0</v>
      </c>
      <c r="S450" s="1213">
        <f t="shared" si="274"/>
        <v>0</v>
      </c>
      <c r="T450" s="136">
        <f>IF(OR(R450=0,A450=0),0,IF(AND(V450=TRUE,換券單檔!$D$13=D450),E450,0))</f>
        <v>0</v>
      </c>
      <c r="U450" s="861">
        <f>IF(OR(R450=0,A450=0),0,IF(AND(V450=TRUE,換券單檔!$D$13=D450),H450,0))</f>
        <v>0</v>
      </c>
      <c r="V450" s="136" t="e">
        <f ca="1">IF(OR(B450=換券單檔!$D$3,L450="無",M450&lt;&gt;"",K450="高資產",IFERROR(MATCH(B450,換券單檔!K:K,0),"N")&lt;&gt;"N"),FALSE,IF($V$1="All",TRUE,IF(K450=$V$1,TRUE,FALSE)))</f>
        <v>#N/A</v>
      </c>
      <c r="W450" s="136" t="e">
        <f ca="1">VLOOKUP(A450,'銀行-TSS'!A:AO,41,FALSE)</f>
        <v>#N/A</v>
      </c>
      <c r="X450" s="136" t="e">
        <f ca="1">VLOOKUP(A450,'銀行-TSS'!A:AP,42,FALSE)</f>
        <v>#N/A</v>
      </c>
      <c r="Y450" s="1220">
        <f t="shared" si="275"/>
        <v>0</v>
      </c>
      <c r="Z450" s="1220">
        <f t="shared" si="276"/>
        <v>0</v>
      </c>
      <c r="AA450" s="136">
        <f>IF(Z450&lt;=0,0,RANK(Z450,Z:Z)+COUNTIF($Z$3:$Z450,Z450)-1)</f>
        <v>0</v>
      </c>
      <c r="AB450" s="1211">
        <f t="shared" ca="1" si="277"/>
        <v>-14896.14</v>
      </c>
      <c r="AC450" s="136">
        <f ca="1">IF(AB450&lt;=0,0,RANK(AB450,AB:AB)+COUNTIF($AB$3:$AB450,AB450)-1)</f>
        <v>0</v>
      </c>
      <c r="AD450" s="1123">
        <f t="shared" si="278"/>
        <v>99999</v>
      </c>
      <c r="AE450" s="1123">
        <f>IF(AD450=99999,0,RANK(AD450,AD:AD,1)+COUNTIF($AD$3:$AD450,AD450)-1)</f>
        <v>0</v>
      </c>
      <c r="AF450" s="86" t="e">
        <f ca="1">IF(OR(M450&lt;&gt;"",L450="無",K450="高資產",IFERROR(MATCH(B450,換券單檔!K:K,0),"N")&lt;&gt;"N"),FALSE,TRUE)</f>
        <v>#N/A</v>
      </c>
      <c r="AI450" s="1212" t="e">
        <f t="shared" ca="1" si="279"/>
        <v>#N/A</v>
      </c>
      <c r="AJ450" s="1213" t="e">
        <f t="shared" ca="1" si="280"/>
        <v>#N/A</v>
      </c>
      <c r="AK450" s="1587">
        <f t="shared" si="281"/>
        <v>0</v>
      </c>
      <c r="AN450" s="1212" t="e">
        <f t="shared" ca="1" si="282"/>
        <v>#N/A</v>
      </c>
      <c r="AO450" s="1213" t="e">
        <f t="shared" ca="1" si="283"/>
        <v>#N/A</v>
      </c>
      <c r="AP450" s="1587">
        <f t="shared" si="284"/>
        <v>0</v>
      </c>
      <c r="AS450" s="1212" t="e">
        <f t="shared" ca="1" si="285"/>
        <v>#N/A</v>
      </c>
      <c r="AT450" s="1213" t="e">
        <f t="shared" ca="1" si="286"/>
        <v>#N/A</v>
      </c>
      <c r="AU450" s="1587">
        <f t="shared" si="287"/>
        <v>0</v>
      </c>
      <c r="AX450" s="1212" t="e">
        <f t="shared" ca="1" si="288"/>
        <v>#N/A</v>
      </c>
      <c r="AY450" s="1213" t="e">
        <f t="shared" ca="1" si="289"/>
        <v>#N/A</v>
      </c>
      <c r="AZ450" s="1587">
        <f t="shared" si="290"/>
        <v>0</v>
      </c>
      <c r="BC450" s="1212" t="e">
        <f t="shared" ca="1" si="291"/>
        <v>#N/A</v>
      </c>
      <c r="BD450" s="1213" t="e">
        <f t="shared" ca="1" si="292"/>
        <v>#N/A</v>
      </c>
      <c r="BE450" s="1587">
        <f t="shared" si="293"/>
        <v>0</v>
      </c>
      <c r="BH450" s="1212" t="e">
        <f t="shared" ca="1" si="294"/>
        <v>#N/A</v>
      </c>
      <c r="BI450" s="1213" t="e">
        <f t="shared" ca="1" si="295"/>
        <v>#N/A</v>
      </c>
      <c r="BJ450" s="1587">
        <f t="shared" si="296"/>
        <v>0</v>
      </c>
      <c r="BM450" s="1212" t="e">
        <f t="shared" ca="1" si="297"/>
        <v>#N/A</v>
      </c>
      <c r="BN450" s="1213" t="e">
        <f t="shared" ca="1" si="298"/>
        <v>#N/A</v>
      </c>
      <c r="BO450" s="1587">
        <f t="shared" si="299"/>
        <v>0</v>
      </c>
      <c r="BR450" s="1212" t="e">
        <f t="shared" ca="1" si="300"/>
        <v>#N/A</v>
      </c>
      <c r="BS450" s="1213" t="e">
        <f t="shared" ca="1" si="301"/>
        <v>#N/A</v>
      </c>
      <c r="BT450" s="1587">
        <f t="shared" si="302"/>
        <v>0</v>
      </c>
      <c r="BW450" s="1212" t="e">
        <f t="shared" ca="1" si="303"/>
        <v>#N/A</v>
      </c>
      <c r="BX450" s="1213" t="e">
        <f t="shared" ca="1" si="304"/>
        <v>#N/A</v>
      </c>
      <c r="BY450" s="1587">
        <f t="shared" si="305"/>
        <v>0</v>
      </c>
      <c r="CB450" s="1212" t="e">
        <f t="shared" ca="1" si="306"/>
        <v>#N/A</v>
      </c>
      <c r="CC450" s="1213" t="e">
        <f t="shared" ca="1" si="307"/>
        <v>#N/A</v>
      </c>
      <c r="CD450" s="1587">
        <f t="shared" si="308"/>
        <v>0</v>
      </c>
      <c r="CG450" s="1212" t="e">
        <f t="shared" ca="1" si="309"/>
        <v>#N/A</v>
      </c>
      <c r="CH450" s="1213" t="e">
        <f t="shared" ca="1" si="310"/>
        <v>#N/A</v>
      </c>
      <c r="CI450" s="1587">
        <f t="shared" si="311"/>
        <v>0</v>
      </c>
      <c r="CL450" s="1212" t="e">
        <f t="shared" ca="1" si="312"/>
        <v>#N/A</v>
      </c>
      <c r="CM450" s="1213" t="e">
        <f t="shared" ca="1" si="313"/>
        <v>#N/A</v>
      </c>
      <c r="CN450" s="1587">
        <f t="shared" si="314"/>
        <v>0</v>
      </c>
    </row>
    <row r="451" spans="1:92">
      <c r="A451" s="141">
        <f>'銀行-TSS'!A451</f>
        <v>0</v>
      </c>
      <c r="B451" s="151">
        <f ca="1">VLOOKUP(A451,'銀行-TSS'!A:B,2,FALSE)</f>
        <v>0</v>
      </c>
      <c r="C451" s="151" t="e">
        <f ca="1">VLOOKUP(B451,bond!B:C,2,FALSE)</f>
        <v>#N/A</v>
      </c>
      <c r="D451" s="95" t="e">
        <f>VLOOKUP(A451,'銀行-TSS'!A:C,3,FALSE)</f>
        <v>#N/A</v>
      </c>
      <c r="E451" s="90" t="e">
        <f ca="1">VLOOKUP(A451,'銀行-TSS'!A:G,7,FALSE)</f>
        <v>#N/A</v>
      </c>
      <c r="F451" s="202" t="e">
        <f ca="1">VLOOKUP(A451,'銀行-TSS'!A:H,8,FALSE)</f>
        <v>#N/A</v>
      </c>
      <c r="G451" s="96" t="e">
        <f ca="1">VLOOKUP(A451,'銀行-TSS'!A:K,11,FALSE)</f>
        <v>#N/A</v>
      </c>
      <c r="H451" s="1209" t="e">
        <f ca="1">VLOOKUP(A451,'銀行-TSS'!A:M,13,FALSE)</f>
        <v>#N/A</v>
      </c>
      <c r="I451" s="1213" t="e">
        <f ca="1">VLOOKUP(A451,'銀行-TSS'!A:N,14,FALSE)</f>
        <v>#N/A</v>
      </c>
      <c r="J451" s="1213" t="e">
        <f ca="1">VLOOKUP(A451,'銀行-TSS'!A:O,15,FALSE)</f>
        <v>#N/A</v>
      </c>
      <c r="K451" s="136" t="e">
        <f ca="1">VLOOKUP(A451,'銀行-TSS'!A:V,22,FALSE)</f>
        <v>#N/A</v>
      </c>
      <c r="L451" s="136" t="e">
        <f ca="1">VLOOKUP(A451,'銀行-TSS'!A:AK,37,FALSE)</f>
        <v>#N/A</v>
      </c>
      <c r="M451" s="136" t="str">
        <f ca="1">VLOOKUP(A451,'銀行-TSS'!A:AN,40,FALSE)</f>
        <v/>
      </c>
      <c r="N451" s="136" t="e">
        <f t="shared" ref="N451:N514" ca="1" si="315">G451*J451/100</f>
        <v>#N/A</v>
      </c>
      <c r="O451" s="1213" t="e">
        <f t="shared" ref="O451:O514" ca="1" si="316">G451*I451/100</f>
        <v>#N/A</v>
      </c>
      <c r="P451" s="1213" t="e">
        <f ca="1">IF(AND($O$1&gt;=O451,換券單檔!$D$13=D451),I451+INT(($O$1-O451)/N451)*J451,0)</f>
        <v>#N/A</v>
      </c>
      <c r="Q451" s="1213" t="e">
        <f t="shared" ref="Q451:Q514" ca="1" si="317">P451*F451</f>
        <v>#N/A</v>
      </c>
      <c r="R451" s="1213">
        <f t="shared" ref="R451:R514" si="318">IF(A451=0,0,IF(V451=FALSE,0,P451))</f>
        <v>0</v>
      </c>
      <c r="S451" s="1213">
        <f t="shared" ref="S451:S514" si="319">IF(A451=0,0,IF(V451=FALSE,0,Q451))</f>
        <v>0</v>
      </c>
      <c r="T451" s="136">
        <f>IF(OR(R451=0,A451=0),0,IF(AND(V451=TRUE,換券單檔!$D$13=D451),E451,0))</f>
        <v>0</v>
      </c>
      <c r="U451" s="861">
        <f>IF(OR(R451=0,A451=0),0,IF(AND(V451=TRUE,換券單檔!$D$13=D451),H451,0))</f>
        <v>0</v>
      </c>
      <c r="V451" s="136" t="e">
        <f ca="1">IF(OR(B451=換券單檔!$D$3,L451="無",M451&lt;&gt;"",K451="高資產",IFERROR(MATCH(B451,換券單檔!K:K,0),"N")&lt;&gt;"N"),FALSE,IF($V$1="All",TRUE,IF(K451=$V$1,TRUE,FALSE)))</f>
        <v>#N/A</v>
      </c>
      <c r="W451" s="136" t="e">
        <f ca="1">VLOOKUP(A451,'銀行-TSS'!A:AO,41,FALSE)</f>
        <v>#N/A</v>
      </c>
      <c r="X451" s="136" t="e">
        <f ca="1">VLOOKUP(A451,'銀行-TSS'!A:AP,42,FALSE)</f>
        <v>#N/A</v>
      </c>
      <c r="Y451" s="1220">
        <f t="shared" ref="Y451:Y514" si="320">IF(A451=0,0,IF(V451=FALSE,0,IFERROR(W451/100*P451*X451*1%,0)))</f>
        <v>0</v>
      </c>
      <c r="Z451" s="1220">
        <f t="shared" ref="Z451:Z514" si="321">IF(A451=0,0,IF(V451=FALSE,0,IF(OR(Q451&lt;$Y$1,E451&lt;5)=FALSE,((Q451-$Q$1)*MIN(3,E451)*(1-MIN(1/(2*E451),1))+IF((P451-$P$1)&lt;0,(P451-$P$1)*2,(P451-$P$1)*MIN(1/(2*E451),1))),0)))</f>
        <v>0</v>
      </c>
      <c r="AA451" s="136">
        <f>IF(Z451&lt;=0,0,RANK(Z451,Z:Z)+COUNTIF($Z$3:$Z451,Z451)-1)</f>
        <v>0</v>
      </c>
      <c r="AB451" s="1211">
        <f t="shared" ref="AB451:AB514" ca="1" si="322">IF(A451=0,0,IF(V451=FALSE,0,Y451+IF((P451-$P$1)&lt;0,(P451-$P$1),0)))-$AC$1</f>
        <v>-14896.14</v>
      </c>
      <c r="AC451" s="136">
        <f ca="1">IF(AB451&lt;=0,0,RANK(AB451,AB:AB)+COUNTIF($AB$3:$AB451,AB451)-1)</f>
        <v>0</v>
      </c>
      <c r="AD451" s="1123">
        <f t="shared" ref="AD451:AD514" si="323">IF(A451=0,99999,IF(OR(V451=FALSE,AA451=0,AC451=0),99999,(AC451+AA451)/2))</f>
        <v>99999</v>
      </c>
      <c r="AE451" s="1123">
        <f>IF(AD451=99999,0,RANK(AD451,AD:AD,1)+COUNTIF($AD$3:$AD451,AD451)-1)</f>
        <v>0</v>
      </c>
      <c r="AF451" s="86" t="e">
        <f ca="1">IF(OR(M451&lt;&gt;"",L451="無",K451="高資產",IFERROR(MATCH(B451,換券單檔!K:K,0),"N")&lt;&gt;"N"),FALSE,TRUE)</f>
        <v>#N/A</v>
      </c>
      <c r="AI451" s="1212" t="e">
        <f t="shared" ref="AI451:AI514" ca="1" si="324">IF($AF451=FALSE,0,IF(AND(AH$2&gt;=$O451,AH$1=$D451),$I451+INT((AH$2-$O451)/$N451)*$J451,0))</f>
        <v>#N/A</v>
      </c>
      <c r="AJ451" s="1213" t="e">
        <f t="shared" ref="AJ451:AJ514" ca="1" si="325">AI451*$F451</f>
        <v>#N/A</v>
      </c>
      <c r="AK451" s="1587">
        <f t="shared" ref="AK451:AK514" si="326">IF($A451=0,0,IF(OR($AF451=FALSE,$B451=AG$1),0,IF(OR(AJ451&lt;(AJ$1*0.9),$E451&lt;5)=FALSE,((AJ451-AJ$1)*MIN(3,$E451)*(1-MIN(1/(2*$E451),1))+IF((AI451-AI$1)&lt;0,(AI451-AI$1)*2,(AI451-AI$1)*MIN(1/(2*$E451),1))),0)))</f>
        <v>0</v>
      </c>
      <c r="AN451" s="1212" t="e">
        <f t="shared" ref="AN451:AN514" ca="1" si="327">IF($AF451=FALSE,0,IF(AND(AM$2&gt;=$O451,AM$1=$D451),$I451+INT((AM$2-$O451)/$N451)*$J451,0))</f>
        <v>#N/A</v>
      </c>
      <c r="AO451" s="1213" t="e">
        <f t="shared" ref="AO451:AO514" ca="1" si="328">AN451*$F451</f>
        <v>#N/A</v>
      </c>
      <c r="AP451" s="1587">
        <f t="shared" ref="AP451:AP514" si="329">IF($A451=0,0,IF(OR($AF451=FALSE,$B451=AL$1),0,IF(OR(AO451&lt;(AO$1*0.9),$E451&lt;5)=FALSE,((AO451-AO$1)*MIN(3,$E451)*(1-MIN(1/(2*$E451),1))+IF((AN451-AN$1)&lt;0,(AN451-AN$1)*2,(AN451-AN$1)*MIN(1/(2*$E451),1))),0)))</f>
        <v>0</v>
      </c>
      <c r="AS451" s="1212" t="e">
        <f t="shared" ref="AS451:AS514" ca="1" si="330">IF($AF451=FALSE,0,IF(AND(AR$2&gt;=$O451,AR$1=$D451),$I451+INT((AR$2-$O451)/$N451)*$J451,0))</f>
        <v>#N/A</v>
      </c>
      <c r="AT451" s="1213" t="e">
        <f t="shared" ref="AT451:AT514" ca="1" si="331">AS451*$F451</f>
        <v>#N/A</v>
      </c>
      <c r="AU451" s="1587">
        <f t="shared" ref="AU451:AU514" si="332">IF($A451=0,0,IF(OR($AF451=FALSE,$B451=AQ$1),0,IF(OR(AT451&lt;(AT$1*0.9),$E451&lt;5)=FALSE,((AT451-AT$1)*MIN(3,$E451)*(1-MIN(1/(2*$E451),1))+IF((AS451-AS$1)&lt;0,(AS451-AS$1)*2,(AS451-AS$1)*MIN(1/(2*$E451),1))),0)))</f>
        <v>0</v>
      </c>
      <c r="AX451" s="1212" t="e">
        <f t="shared" ref="AX451:AX514" ca="1" si="333">IF($AF451=FALSE,0,IF(AND(AW$2&gt;=$O451,AW$1=$D451),$I451+INT((AW$2-$O451)/$N451)*$J451,0))</f>
        <v>#N/A</v>
      </c>
      <c r="AY451" s="1213" t="e">
        <f t="shared" ref="AY451:AY514" ca="1" si="334">AX451*$F451</f>
        <v>#N/A</v>
      </c>
      <c r="AZ451" s="1587">
        <f t="shared" ref="AZ451:AZ514" si="335">IF($A451=0,0,IF(OR($AF451=FALSE,$B451=AV$1),0,IF(OR(AY451&lt;(AY$1*0.9),$E451&lt;5)=FALSE,((AY451-AY$1)*MIN(3,$E451)*(1-MIN(1/(2*$E451),1))+IF((AX451-AX$1)&lt;0,(AX451-AX$1)*2,(AX451-AX$1)*MIN(1/(2*$E451),1))),0)))</f>
        <v>0</v>
      </c>
      <c r="BC451" s="1212" t="e">
        <f t="shared" ref="BC451:BC514" ca="1" si="336">IF($AF451=FALSE,0,IF(AND(BB$2&gt;=$O451,BB$1=$D451),$I451+INT((BB$2-$O451)/$N451)*$J451,0))</f>
        <v>#N/A</v>
      </c>
      <c r="BD451" s="1213" t="e">
        <f t="shared" ref="BD451:BD514" ca="1" si="337">BC451*$F451</f>
        <v>#N/A</v>
      </c>
      <c r="BE451" s="1587">
        <f t="shared" ref="BE451:BE514" si="338">IF($A451=0,0,IF(OR($AF451=FALSE,$B451=BA$1),0,IF(OR(BD451&lt;(BD$1*0.9),$E451&lt;5)=FALSE,((BD451-BD$1)*MIN(3,$E451)*(1-MIN(1/(2*$E451),1))+IF((BC451-BC$1)&lt;0,(BC451-BC$1)*2,(BC451-BC$1)*MIN(1/(2*$E451),1))),0)))</f>
        <v>0</v>
      </c>
      <c r="BH451" s="1212" t="e">
        <f t="shared" ref="BH451:BH514" ca="1" si="339">IF($AF451=FALSE,0,IF(AND(BG$2&gt;=$O451,BG$1=$D451),$I451+INT((BG$2-$O451)/$N451)*$J451,0))</f>
        <v>#N/A</v>
      </c>
      <c r="BI451" s="1213" t="e">
        <f t="shared" ref="BI451:BI514" ca="1" si="340">BH451*$F451</f>
        <v>#N/A</v>
      </c>
      <c r="BJ451" s="1587">
        <f t="shared" ref="BJ451:BJ514" si="341">IF($A451=0,0,IF(OR($AF451=FALSE,$B451=BF$1),0,IF(OR(BI451&lt;(BI$1*0.9),$E451&lt;5)=FALSE,((BI451-BI$1)*MIN(3,$E451)*(1-MIN(1/(2*$E451),1))+IF((BH451-BH$1)&lt;0,(BH451-BH$1)*2,(BH451-BH$1)*MIN(1/(2*$E451),1))),0)))</f>
        <v>0</v>
      </c>
      <c r="BM451" s="1212" t="e">
        <f t="shared" ref="BM451:BM514" ca="1" si="342">IF($AF451=FALSE,0,IF(AND(BL$2&gt;=$O451,BL$1=$D451),$I451+INT((BL$2-$O451)/$N451)*$J451,0))</f>
        <v>#N/A</v>
      </c>
      <c r="BN451" s="1213" t="e">
        <f t="shared" ref="BN451:BN514" ca="1" si="343">BM451*$F451</f>
        <v>#N/A</v>
      </c>
      <c r="BO451" s="1587">
        <f t="shared" ref="BO451:BO514" si="344">IF($A451=0,0,IF(OR($AF451=FALSE,$B451=BK$1),0,IF(OR(BN451&lt;(BN$1*0.9),$E451&lt;5)=FALSE,((BN451-BN$1)*MIN(3,$E451)*(1-MIN(1/(2*$E451),1))+IF((BM451-BM$1)&lt;0,(BM451-BM$1)*2,(BM451-BM$1)*MIN(1/(2*$E451),1))),0)))</f>
        <v>0</v>
      </c>
      <c r="BR451" s="1212" t="e">
        <f t="shared" ref="BR451:BR514" ca="1" si="345">IF($AF451=FALSE,0,IF(AND(BQ$2&gt;=$O451,BQ$1=$D451),$I451+INT((BQ$2-$O451)/$N451)*$J451,0))</f>
        <v>#N/A</v>
      </c>
      <c r="BS451" s="1213" t="e">
        <f t="shared" ref="BS451:BS514" ca="1" si="346">BR451*$F451</f>
        <v>#N/A</v>
      </c>
      <c r="BT451" s="1587">
        <f t="shared" ref="BT451:BT514" si="347">IF($A451=0,0,IF(OR($AF451=FALSE,$B451=BP$1),0,IF(OR(BS451&lt;(BS$1*0.9),$E451&lt;5)=FALSE,((BS451-BS$1)*MIN(3,$E451)*(1-MIN(1/(2*$E451),1))+IF((BR451-BR$1)&lt;0,(BR451-BR$1)*2,(BR451-BR$1)*MIN(1/(2*$E451),1))),0)))</f>
        <v>0</v>
      </c>
      <c r="BW451" s="1212" t="e">
        <f t="shared" ref="BW451:BW514" ca="1" si="348">IF($AF451=FALSE,0,IF(AND(BV$2&gt;=$O451,BV$1=$D451),$I451+INT((BV$2-$O451)/$N451)*$J451,0))</f>
        <v>#N/A</v>
      </c>
      <c r="BX451" s="1213" t="e">
        <f t="shared" ref="BX451:BX514" ca="1" si="349">BW451*$F451</f>
        <v>#N/A</v>
      </c>
      <c r="BY451" s="1587">
        <f t="shared" ref="BY451:BY514" si="350">IF($A451=0,0,IF(OR($AF451=FALSE,$B451=BU$1),0,IF(OR(BX451&lt;(BX$1*0.9),$E451&lt;5)=FALSE,((BX451-BX$1)*MIN(3,$E451)*(1-MIN(1/(2*$E451),1))+IF((BW451-BW$1)&lt;0,(BW451-BW$1)*2,(BW451-BW$1)*MIN(1/(2*$E451),1))),0)))</f>
        <v>0</v>
      </c>
      <c r="CB451" s="1212" t="e">
        <f t="shared" ref="CB451:CB514" ca="1" si="351">IF($AF451=FALSE,0,IF(AND(CA$2&gt;=$O451,CA$1=$D451),$I451+INT((CA$2-$O451)/$N451)*$J451,0))</f>
        <v>#N/A</v>
      </c>
      <c r="CC451" s="1213" t="e">
        <f t="shared" ref="CC451:CC514" ca="1" si="352">CB451*$F451</f>
        <v>#N/A</v>
      </c>
      <c r="CD451" s="1587">
        <f t="shared" ref="CD451:CD514" si="353">IF($A451=0,0,IF(OR($AF451=FALSE,$B451=BZ$1),0,IF(OR(CC451&lt;(CC$1*0.9),$E451&lt;5)=FALSE,((CC451-CC$1)*MIN(3,$E451)*(1-MIN(1/(2*$E451),1))+IF((CB451-CB$1)&lt;0,(CB451-CB$1)*2,(CB451-CB$1)*MIN(1/(2*$E451),1))),0)))</f>
        <v>0</v>
      </c>
      <c r="CG451" s="1212" t="e">
        <f t="shared" ref="CG451:CG514" ca="1" si="354">IF($AF451=FALSE,0,IF(AND(CF$2&gt;=$O451,CF$1=$D451),$I451+INT((CF$2-$O451)/$N451)*$J451,0))</f>
        <v>#N/A</v>
      </c>
      <c r="CH451" s="1213" t="e">
        <f t="shared" ref="CH451:CH514" ca="1" si="355">CG451*$F451</f>
        <v>#N/A</v>
      </c>
      <c r="CI451" s="1587">
        <f t="shared" ref="CI451:CI514" si="356">IF($A451=0,0,IF(OR($AF451=FALSE,$B451=CE$1),0,IF(OR(CH451&lt;(CH$1*0.9),$E451&lt;5)=FALSE,((CH451-CH$1)*MIN(3,$E451)*(1-MIN(1/(2*$E451),1))+IF((CG451-CG$1)&lt;0,(CG451-CG$1)*2,(CG451-CG$1)*MIN(1/(2*$E451),1))),0)))</f>
        <v>0</v>
      </c>
      <c r="CL451" s="1212" t="e">
        <f t="shared" ref="CL451:CL514" ca="1" si="357">IF($AF451=FALSE,0,IF(AND(CK$2&gt;=$O451,CK$1=$D451),$I451+INT((CK$2-$O451)/$N451)*$J451,0))</f>
        <v>#N/A</v>
      </c>
      <c r="CM451" s="1213" t="e">
        <f t="shared" ref="CM451:CM514" ca="1" si="358">CL451*$F451</f>
        <v>#N/A</v>
      </c>
      <c r="CN451" s="1587">
        <f t="shared" ref="CN451:CN514" si="359">IF($A451=0,0,IF(OR($AF451=FALSE,$B451=CJ$1),0,IF(OR(CM451&lt;(CM$1*0.9),$E451&lt;5)=FALSE,((CM451-CM$1)*MIN(3,$E451)*(1-MIN(1/(2*$E451),1))+IF((CL451-CL$1)&lt;0,(CL451-CL$1)*2,(CL451-CL$1)*MIN(1/(2*$E451),1))),0)))</f>
        <v>0</v>
      </c>
    </row>
    <row r="452" spans="1:92">
      <c r="A452" s="141">
        <f>'銀行-TSS'!A452</f>
        <v>0</v>
      </c>
      <c r="B452" s="151">
        <f ca="1">VLOOKUP(A452,'銀行-TSS'!A:B,2,FALSE)</f>
        <v>0</v>
      </c>
      <c r="C452" s="151" t="e">
        <f ca="1">VLOOKUP(B452,bond!B:C,2,FALSE)</f>
        <v>#N/A</v>
      </c>
      <c r="D452" s="95" t="e">
        <f>VLOOKUP(A452,'銀行-TSS'!A:C,3,FALSE)</f>
        <v>#N/A</v>
      </c>
      <c r="E452" s="90" t="e">
        <f ca="1">VLOOKUP(A452,'銀行-TSS'!A:G,7,FALSE)</f>
        <v>#N/A</v>
      </c>
      <c r="F452" s="202" t="e">
        <f ca="1">VLOOKUP(A452,'銀行-TSS'!A:H,8,FALSE)</f>
        <v>#N/A</v>
      </c>
      <c r="G452" s="96" t="e">
        <f ca="1">VLOOKUP(A452,'銀行-TSS'!A:K,11,FALSE)</f>
        <v>#N/A</v>
      </c>
      <c r="H452" s="1209" t="e">
        <f ca="1">VLOOKUP(A452,'銀行-TSS'!A:M,13,FALSE)</f>
        <v>#N/A</v>
      </c>
      <c r="I452" s="1213" t="e">
        <f ca="1">VLOOKUP(A452,'銀行-TSS'!A:N,14,FALSE)</f>
        <v>#N/A</v>
      </c>
      <c r="J452" s="1213" t="e">
        <f ca="1">VLOOKUP(A452,'銀行-TSS'!A:O,15,FALSE)</f>
        <v>#N/A</v>
      </c>
      <c r="K452" s="136" t="e">
        <f ca="1">VLOOKUP(A452,'銀行-TSS'!A:V,22,FALSE)</f>
        <v>#N/A</v>
      </c>
      <c r="L452" s="136" t="e">
        <f ca="1">VLOOKUP(A452,'銀行-TSS'!A:AK,37,FALSE)</f>
        <v>#N/A</v>
      </c>
      <c r="M452" s="136" t="str">
        <f ca="1">VLOOKUP(A452,'銀行-TSS'!A:AN,40,FALSE)</f>
        <v/>
      </c>
      <c r="N452" s="136" t="e">
        <f t="shared" ca="1" si="315"/>
        <v>#N/A</v>
      </c>
      <c r="O452" s="1213" t="e">
        <f t="shared" ca="1" si="316"/>
        <v>#N/A</v>
      </c>
      <c r="P452" s="1213" t="e">
        <f ca="1">IF(AND($O$1&gt;=O452,換券單檔!$D$13=D452),I452+INT(($O$1-O452)/N452)*J452,0)</f>
        <v>#N/A</v>
      </c>
      <c r="Q452" s="1213" t="e">
        <f t="shared" ca="1" si="317"/>
        <v>#N/A</v>
      </c>
      <c r="R452" s="1213">
        <f t="shared" si="318"/>
        <v>0</v>
      </c>
      <c r="S452" s="1213">
        <f t="shared" si="319"/>
        <v>0</v>
      </c>
      <c r="T452" s="136">
        <f>IF(OR(R452=0,A452=0),0,IF(AND(V452=TRUE,換券單檔!$D$13=D452),E452,0))</f>
        <v>0</v>
      </c>
      <c r="U452" s="861">
        <f>IF(OR(R452=0,A452=0),0,IF(AND(V452=TRUE,換券單檔!$D$13=D452),H452,0))</f>
        <v>0</v>
      </c>
      <c r="V452" s="136" t="e">
        <f ca="1">IF(OR(B452=換券單檔!$D$3,L452="無",M452&lt;&gt;"",K452="高資產",IFERROR(MATCH(B452,換券單檔!K:K,0),"N")&lt;&gt;"N"),FALSE,IF($V$1="All",TRUE,IF(K452=$V$1,TRUE,FALSE)))</f>
        <v>#N/A</v>
      </c>
      <c r="W452" s="136" t="e">
        <f ca="1">VLOOKUP(A452,'銀行-TSS'!A:AO,41,FALSE)</f>
        <v>#N/A</v>
      </c>
      <c r="X452" s="136" t="e">
        <f ca="1">VLOOKUP(A452,'銀行-TSS'!A:AP,42,FALSE)</f>
        <v>#N/A</v>
      </c>
      <c r="Y452" s="1220">
        <f t="shared" si="320"/>
        <v>0</v>
      </c>
      <c r="Z452" s="1220">
        <f t="shared" si="321"/>
        <v>0</v>
      </c>
      <c r="AA452" s="136">
        <f>IF(Z452&lt;=0,0,RANK(Z452,Z:Z)+COUNTIF($Z$3:$Z452,Z452)-1)</f>
        <v>0</v>
      </c>
      <c r="AB452" s="1211">
        <f t="shared" ca="1" si="322"/>
        <v>-14896.14</v>
      </c>
      <c r="AC452" s="136">
        <f ca="1">IF(AB452&lt;=0,0,RANK(AB452,AB:AB)+COUNTIF($AB$3:$AB452,AB452)-1)</f>
        <v>0</v>
      </c>
      <c r="AD452" s="1123">
        <f t="shared" si="323"/>
        <v>99999</v>
      </c>
      <c r="AE452" s="1123">
        <f>IF(AD452=99999,0,RANK(AD452,AD:AD,1)+COUNTIF($AD$3:$AD452,AD452)-1)</f>
        <v>0</v>
      </c>
      <c r="AF452" s="86" t="e">
        <f ca="1">IF(OR(M452&lt;&gt;"",L452="無",K452="高資產",IFERROR(MATCH(B452,換券單檔!K:K,0),"N")&lt;&gt;"N"),FALSE,TRUE)</f>
        <v>#N/A</v>
      </c>
      <c r="AI452" s="1212" t="e">
        <f t="shared" ca="1" si="324"/>
        <v>#N/A</v>
      </c>
      <c r="AJ452" s="1213" t="e">
        <f t="shared" ca="1" si="325"/>
        <v>#N/A</v>
      </c>
      <c r="AK452" s="1587">
        <f t="shared" si="326"/>
        <v>0</v>
      </c>
      <c r="AN452" s="1212" t="e">
        <f t="shared" ca="1" si="327"/>
        <v>#N/A</v>
      </c>
      <c r="AO452" s="1213" t="e">
        <f t="shared" ca="1" si="328"/>
        <v>#N/A</v>
      </c>
      <c r="AP452" s="1587">
        <f t="shared" si="329"/>
        <v>0</v>
      </c>
      <c r="AS452" s="1212" t="e">
        <f t="shared" ca="1" si="330"/>
        <v>#N/A</v>
      </c>
      <c r="AT452" s="1213" t="e">
        <f t="shared" ca="1" si="331"/>
        <v>#N/A</v>
      </c>
      <c r="AU452" s="1587">
        <f t="shared" si="332"/>
        <v>0</v>
      </c>
      <c r="AX452" s="1212" t="e">
        <f t="shared" ca="1" si="333"/>
        <v>#N/A</v>
      </c>
      <c r="AY452" s="1213" t="e">
        <f t="shared" ca="1" si="334"/>
        <v>#N/A</v>
      </c>
      <c r="AZ452" s="1587">
        <f t="shared" si="335"/>
        <v>0</v>
      </c>
      <c r="BC452" s="1212" t="e">
        <f t="shared" ca="1" si="336"/>
        <v>#N/A</v>
      </c>
      <c r="BD452" s="1213" t="e">
        <f t="shared" ca="1" si="337"/>
        <v>#N/A</v>
      </c>
      <c r="BE452" s="1587">
        <f t="shared" si="338"/>
        <v>0</v>
      </c>
      <c r="BH452" s="1212" t="e">
        <f t="shared" ca="1" si="339"/>
        <v>#N/A</v>
      </c>
      <c r="BI452" s="1213" t="e">
        <f t="shared" ca="1" si="340"/>
        <v>#N/A</v>
      </c>
      <c r="BJ452" s="1587">
        <f t="shared" si="341"/>
        <v>0</v>
      </c>
      <c r="BM452" s="1212" t="e">
        <f t="shared" ca="1" si="342"/>
        <v>#N/A</v>
      </c>
      <c r="BN452" s="1213" t="e">
        <f t="shared" ca="1" si="343"/>
        <v>#N/A</v>
      </c>
      <c r="BO452" s="1587">
        <f t="shared" si="344"/>
        <v>0</v>
      </c>
      <c r="BR452" s="1212" t="e">
        <f t="shared" ca="1" si="345"/>
        <v>#N/A</v>
      </c>
      <c r="BS452" s="1213" t="e">
        <f t="shared" ca="1" si="346"/>
        <v>#N/A</v>
      </c>
      <c r="BT452" s="1587">
        <f t="shared" si="347"/>
        <v>0</v>
      </c>
      <c r="BW452" s="1212" t="e">
        <f t="shared" ca="1" si="348"/>
        <v>#N/A</v>
      </c>
      <c r="BX452" s="1213" t="e">
        <f t="shared" ca="1" si="349"/>
        <v>#N/A</v>
      </c>
      <c r="BY452" s="1587">
        <f t="shared" si="350"/>
        <v>0</v>
      </c>
      <c r="CB452" s="1212" t="e">
        <f t="shared" ca="1" si="351"/>
        <v>#N/A</v>
      </c>
      <c r="CC452" s="1213" t="e">
        <f t="shared" ca="1" si="352"/>
        <v>#N/A</v>
      </c>
      <c r="CD452" s="1587">
        <f t="shared" si="353"/>
        <v>0</v>
      </c>
      <c r="CG452" s="1212" t="e">
        <f t="shared" ca="1" si="354"/>
        <v>#N/A</v>
      </c>
      <c r="CH452" s="1213" t="e">
        <f t="shared" ca="1" si="355"/>
        <v>#N/A</v>
      </c>
      <c r="CI452" s="1587">
        <f t="shared" si="356"/>
        <v>0</v>
      </c>
      <c r="CL452" s="1212" t="e">
        <f t="shared" ca="1" si="357"/>
        <v>#N/A</v>
      </c>
      <c r="CM452" s="1213" t="e">
        <f t="shared" ca="1" si="358"/>
        <v>#N/A</v>
      </c>
      <c r="CN452" s="1587">
        <f t="shared" si="359"/>
        <v>0</v>
      </c>
    </row>
    <row r="453" spans="1:92">
      <c r="A453" s="141">
        <f>'銀行-TSS'!A453</f>
        <v>0</v>
      </c>
      <c r="B453" s="151">
        <f ca="1">VLOOKUP(A453,'銀行-TSS'!A:B,2,FALSE)</f>
        <v>0</v>
      </c>
      <c r="C453" s="151" t="e">
        <f ca="1">VLOOKUP(B453,bond!B:C,2,FALSE)</f>
        <v>#N/A</v>
      </c>
      <c r="D453" s="95" t="e">
        <f>VLOOKUP(A453,'銀行-TSS'!A:C,3,FALSE)</f>
        <v>#N/A</v>
      </c>
      <c r="E453" s="90" t="e">
        <f ca="1">VLOOKUP(A453,'銀行-TSS'!A:G,7,FALSE)</f>
        <v>#N/A</v>
      </c>
      <c r="F453" s="202" t="e">
        <f ca="1">VLOOKUP(A453,'銀行-TSS'!A:H,8,FALSE)</f>
        <v>#N/A</v>
      </c>
      <c r="G453" s="96" t="e">
        <f ca="1">VLOOKUP(A453,'銀行-TSS'!A:K,11,FALSE)</f>
        <v>#N/A</v>
      </c>
      <c r="H453" s="1209" t="e">
        <f ca="1">VLOOKUP(A453,'銀行-TSS'!A:M,13,FALSE)</f>
        <v>#N/A</v>
      </c>
      <c r="I453" s="1213" t="e">
        <f ca="1">VLOOKUP(A453,'銀行-TSS'!A:N,14,FALSE)</f>
        <v>#N/A</v>
      </c>
      <c r="J453" s="1213" t="e">
        <f ca="1">VLOOKUP(A453,'銀行-TSS'!A:O,15,FALSE)</f>
        <v>#N/A</v>
      </c>
      <c r="K453" s="136" t="e">
        <f ca="1">VLOOKUP(A453,'銀行-TSS'!A:V,22,FALSE)</f>
        <v>#N/A</v>
      </c>
      <c r="L453" s="136" t="e">
        <f ca="1">VLOOKUP(A453,'銀行-TSS'!A:AK,37,FALSE)</f>
        <v>#N/A</v>
      </c>
      <c r="M453" s="136" t="str">
        <f ca="1">VLOOKUP(A453,'銀行-TSS'!A:AN,40,FALSE)</f>
        <v/>
      </c>
      <c r="N453" s="136" t="e">
        <f t="shared" ca="1" si="315"/>
        <v>#N/A</v>
      </c>
      <c r="O453" s="1213" t="e">
        <f t="shared" ca="1" si="316"/>
        <v>#N/A</v>
      </c>
      <c r="P453" s="1213" t="e">
        <f ca="1">IF(AND($O$1&gt;=O453,換券單檔!$D$13=D453),I453+INT(($O$1-O453)/N453)*J453,0)</f>
        <v>#N/A</v>
      </c>
      <c r="Q453" s="1213" t="e">
        <f t="shared" ca="1" si="317"/>
        <v>#N/A</v>
      </c>
      <c r="R453" s="1213">
        <f t="shared" si="318"/>
        <v>0</v>
      </c>
      <c r="S453" s="1213">
        <f t="shared" si="319"/>
        <v>0</v>
      </c>
      <c r="T453" s="136">
        <f>IF(OR(R453=0,A453=0),0,IF(AND(V453=TRUE,換券單檔!$D$13=D453),E453,0))</f>
        <v>0</v>
      </c>
      <c r="U453" s="861">
        <f>IF(OR(R453=0,A453=0),0,IF(AND(V453=TRUE,換券單檔!$D$13=D453),H453,0))</f>
        <v>0</v>
      </c>
      <c r="V453" s="136" t="e">
        <f ca="1">IF(OR(B453=換券單檔!$D$3,L453="無",M453&lt;&gt;"",K453="高資產",IFERROR(MATCH(B453,換券單檔!K:K,0),"N")&lt;&gt;"N"),FALSE,IF($V$1="All",TRUE,IF(K453=$V$1,TRUE,FALSE)))</f>
        <v>#N/A</v>
      </c>
      <c r="W453" s="136" t="e">
        <f ca="1">VLOOKUP(A453,'銀行-TSS'!A:AO,41,FALSE)</f>
        <v>#N/A</v>
      </c>
      <c r="X453" s="136" t="e">
        <f ca="1">VLOOKUP(A453,'銀行-TSS'!A:AP,42,FALSE)</f>
        <v>#N/A</v>
      </c>
      <c r="Y453" s="1220">
        <f t="shared" si="320"/>
        <v>0</v>
      </c>
      <c r="Z453" s="1220">
        <f t="shared" si="321"/>
        <v>0</v>
      </c>
      <c r="AA453" s="136">
        <f>IF(Z453&lt;=0,0,RANK(Z453,Z:Z)+COUNTIF($Z$3:$Z453,Z453)-1)</f>
        <v>0</v>
      </c>
      <c r="AB453" s="1211">
        <f t="shared" ca="1" si="322"/>
        <v>-14896.14</v>
      </c>
      <c r="AC453" s="136">
        <f ca="1">IF(AB453&lt;=0,0,RANK(AB453,AB:AB)+COUNTIF($AB$3:$AB453,AB453)-1)</f>
        <v>0</v>
      </c>
      <c r="AD453" s="1123">
        <f t="shared" si="323"/>
        <v>99999</v>
      </c>
      <c r="AE453" s="1123">
        <f>IF(AD453=99999,0,RANK(AD453,AD:AD,1)+COUNTIF($AD$3:$AD453,AD453)-1)</f>
        <v>0</v>
      </c>
      <c r="AF453" s="86" t="e">
        <f ca="1">IF(OR(M453&lt;&gt;"",L453="無",K453="高資產",IFERROR(MATCH(B453,換券單檔!K:K,0),"N")&lt;&gt;"N"),FALSE,TRUE)</f>
        <v>#N/A</v>
      </c>
      <c r="AI453" s="1212" t="e">
        <f t="shared" ca="1" si="324"/>
        <v>#N/A</v>
      </c>
      <c r="AJ453" s="1213" t="e">
        <f t="shared" ca="1" si="325"/>
        <v>#N/A</v>
      </c>
      <c r="AK453" s="1587">
        <f t="shared" si="326"/>
        <v>0</v>
      </c>
      <c r="AN453" s="1212" t="e">
        <f t="shared" ca="1" si="327"/>
        <v>#N/A</v>
      </c>
      <c r="AO453" s="1213" t="e">
        <f t="shared" ca="1" si="328"/>
        <v>#N/A</v>
      </c>
      <c r="AP453" s="1587">
        <f t="shared" si="329"/>
        <v>0</v>
      </c>
      <c r="AS453" s="1212" t="e">
        <f t="shared" ca="1" si="330"/>
        <v>#N/A</v>
      </c>
      <c r="AT453" s="1213" t="e">
        <f t="shared" ca="1" si="331"/>
        <v>#N/A</v>
      </c>
      <c r="AU453" s="1587">
        <f t="shared" si="332"/>
        <v>0</v>
      </c>
      <c r="AX453" s="1212" t="e">
        <f t="shared" ca="1" si="333"/>
        <v>#N/A</v>
      </c>
      <c r="AY453" s="1213" t="e">
        <f t="shared" ca="1" si="334"/>
        <v>#N/A</v>
      </c>
      <c r="AZ453" s="1587">
        <f t="shared" si="335"/>
        <v>0</v>
      </c>
      <c r="BC453" s="1212" t="e">
        <f t="shared" ca="1" si="336"/>
        <v>#N/A</v>
      </c>
      <c r="BD453" s="1213" t="e">
        <f t="shared" ca="1" si="337"/>
        <v>#N/A</v>
      </c>
      <c r="BE453" s="1587">
        <f t="shared" si="338"/>
        <v>0</v>
      </c>
      <c r="BH453" s="1212" t="e">
        <f t="shared" ca="1" si="339"/>
        <v>#N/A</v>
      </c>
      <c r="BI453" s="1213" t="e">
        <f t="shared" ca="1" si="340"/>
        <v>#N/A</v>
      </c>
      <c r="BJ453" s="1587">
        <f t="shared" si="341"/>
        <v>0</v>
      </c>
      <c r="BM453" s="1212" t="e">
        <f t="shared" ca="1" si="342"/>
        <v>#N/A</v>
      </c>
      <c r="BN453" s="1213" t="e">
        <f t="shared" ca="1" si="343"/>
        <v>#N/A</v>
      </c>
      <c r="BO453" s="1587">
        <f t="shared" si="344"/>
        <v>0</v>
      </c>
      <c r="BR453" s="1212" t="e">
        <f t="shared" ca="1" si="345"/>
        <v>#N/A</v>
      </c>
      <c r="BS453" s="1213" t="e">
        <f t="shared" ca="1" si="346"/>
        <v>#N/A</v>
      </c>
      <c r="BT453" s="1587">
        <f t="shared" si="347"/>
        <v>0</v>
      </c>
      <c r="BW453" s="1212" t="e">
        <f t="shared" ca="1" si="348"/>
        <v>#N/A</v>
      </c>
      <c r="BX453" s="1213" t="e">
        <f t="shared" ca="1" si="349"/>
        <v>#N/A</v>
      </c>
      <c r="BY453" s="1587">
        <f t="shared" si="350"/>
        <v>0</v>
      </c>
      <c r="CB453" s="1212" t="e">
        <f t="shared" ca="1" si="351"/>
        <v>#N/A</v>
      </c>
      <c r="CC453" s="1213" t="e">
        <f t="shared" ca="1" si="352"/>
        <v>#N/A</v>
      </c>
      <c r="CD453" s="1587">
        <f t="shared" si="353"/>
        <v>0</v>
      </c>
      <c r="CG453" s="1212" t="e">
        <f t="shared" ca="1" si="354"/>
        <v>#N/A</v>
      </c>
      <c r="CH453" s="1213" t="e">
        <f t="shared" ca="1" si="355"/>
        <v>#N/A</v>
      </c>
      <c r="CI453" s="1587">
        <f t="shared" si="356"/>
        <v>0</v>
      </c>
      <c r="CL453" s="1212" t="e">
        <f t="shared" ca="1" si="357"/>
        <v>#N/A</v>
      </c>
      <c r="CM453" s="1213" t="e">
        <f t="shared" ca="1" si="358"/>
        <v>#N/A</v>
      </c>
      <c r="CN453" s="1587">
        <f t="shared" si="359"/>
        <v>0</v>
      </c>
    </row>
    <row r="454" spans="1:92">
      <c r="A454" s="141">
        <f>'銀行-TSS'!A454</f>
        <v>0</v>
      </c>
      <c r="B454" s="151">
        <f ca="1">VLOOKUP(A454,'銀行-TSS'!A:B,2,FALSE)</f>
        <v>0</v>
      </c>
      <c r="C454" s="151" t="e">
        <f ca="1">VLOOKUP(B454,bond!B:C,2,FALSE)</f>
        <v>#N/A</v>
      </c>
      <c r="D454" s="95" t="e">
        <f>VLOOKUP(A454,'銀行-TSS'!A:C,3,FALSE)</f>
        <v>#N/A</v>
      </c>
      <c r="E454" s="90" t="e">
        <f ca="1">VLOOKUP(A454,'銀行-TSS'!A:G,7,FALSE)</f>
        <v>#N/A</v>
      </c>
      <c r="F454" s="202" t="e">
        <f ca="1">VLOOKUP(A454,'銀行-TSS'!A:H,8,FALSE)</f>
        <v>#N/A</v>
      </c>
      <c r="G454" s="96" t="e">
        <f ca="1">VLOOKUP(A454,'銀行-TSS'!A:K,11,FALSE)</f>
        <v>#N/A</v>
      </c>
      <c r="H454" s="1209" t="e">
        <f ca="1">VLOOKUP(A454,'銀行-TSS'!A:M,13,FALSE)</f>
        <v>#N/A</v>
      </c>
      <c r="I454" s="1213" t="e">
        <f ca="1">VLOOKUP(A454,'銀行-TSS'!A:N,14,FALSE)</f>
        <v>#N/A</v>
      </c>
      <c r="J454" s="1213" t="e">
        <f ca="1">VLOOKUP(A454,'銀行-TSS'!A:O,15,FALSE)</f>
        <v>#N/A</v>
      </c>
      <c r="K454" s="136" t="e">
        <f ca="1">VLOOKUP(A454,'銀行-TSS'!A:V,22,FALSE)</f>
        <v>#N/A</v>
      </c>
      <c r="L454" s="136" t="e">
        <f ca="1">VLOOKUP(A454,'銀行-TSS'!A:AK,37,FALSE)</f>
        <v>#N/A</v>
      </c>
      <c r="M454" s="136" t="str">
        <f ca="1">VLOOKUP(A454,'銀行-TSS'!A:AN,40,FALSE)</f>
        <v/>
      </c>
      <c r="N454" s="136" t="e">
        <f t="shared" ca="1" si="315"/>
        <v>#N/A</v>
      </c>
      <c r="O454" s="1213" t="e">
        <f t="shared" ca="1" si="316"/>
        <v>#N/A</v>
      </c>
      <c r="P454" s="1213" t="e">
        <f ca="1">IF(AND($O$1&gt;=O454,換券單檔!$D$13=D454),I454+INT(($O$1-O454)/N454)*J454,0)</f>
        <v>#N/A</v>
      </c>
      <c r="Q454" s="1213" t="e">
        <f t="shared" ca="1" si="317"/>
        <v>#N/A</v>
      </c>
      <c r="R454" s="1213">
        <f t="shared" si="318"/>
        <v>0</v>
      </c>
      <c r="S454" s="1213">
        <f t="shared" si="319"/>
        <v>0</v>
      </c>
      <c r="T454" s="136">
        <f>IF(OR(R454=0,A454=0),0,IF(AND(V454=TRUE,換券單檔!$D$13=D454),E454,0))</f>
        <v>0</v>
      </c>
      <c r="U454" s="861">
        <f>IF(OR(R454=0,A454=0),0,IF(AND(V454=TRUE,換券單檔!$D$13=D454),H454,0))</f>
        <v>0</v>
      </c>
      <c r="V454" s="136" t="e">
        <f ca="1">IF(OR(B454=換券單檔!$D$3,L454="無",M454&lt;&gt;"",K454="高資產",IFERROR(MATCH(B454,換券單檔!K:K,0),"N")&lt;&gt;"N"),FALSE,IF($V$1="All",TRUE,IF(K454=$V$1,TRUE,FALSE)))</f>
        <v>#N/A</v>
      </c>
      <c r="W454" s="136" t="e">
        <f ca="1">VLOOKUP(A454,'銀行-TSS'!A:AO,41,FALSE)</f>
        <v>#N/A</v>
      </c>
      <c r="X454" s="136" t="e">
        <f ca="1">VLOOKUP(A454,'銀行-TSS'!A:AP,42,FALSE)</f>
        <v>#N/A</v>
      </c>
      <c r="Y454" s="1220">
        <f t="shared" si="320"/>
        <v>0</v>
      </c>
      <c r="Z454" s="1220">
        <f t="shared" si="321"/>
        <v>0</v>
      </c>
      <c r="AA454" s="136">
        <f>IF(Z454&lt;=0,0,RANK(Z454,Z:Z)+COUNTIF($Z$3:$Z454,Z454)-1)</f>
        <v>0</v>
      </c>
      <c r="AB454" s="1211">
        <f t="shared" ca="1" si="322"/>
        <v>-14896.14</v>
      </c>
      <c r="AC454" s="136">
        <f ca="1">IF(AB454&lt;=0,0,RANK(AB454,AB:AB)+COUNTIF($AB$3:$AB454,AB454)-1)</f>
        <v>0</v>
      </c>
      <c r="AD454" s="1123">
        <f t="shared" si="323"/>
        <v>99999</v>
      </c>
      <c r="AE454" s="1123">
        <f>IF(AD454=99999,0,RANK(AD454,AD:AD,1)+COUNTIF($AD$3:$AD454,AD454)-1)</f>
        <v>0</v>
      </c>
      <c r="AF454" s="86" t="e">
        <f ca="1">IF(OR(M454&lt;&gt;"",L454="無",K454="高資產",IFERROR(MATCH(B454,換券單檔!K:K,0),"N")&lt;&gt;"N"),FALSE,TRUE)</f>
        <v>#N/A</v>
      </c>
      <c r="AI454" s="1212" t="e">
        <f t="shared" ca="1" si="324"/>
        <v>#N/A</v>
      </c>
      <c r="AJ454" s="1213" t="e">
        <f t="shared" ca="1" si="325"/>
        <v>#N/A</v>
      </c>
      <c r="AK454" s="1587">
        <f t="shared" si="326"/>
        <v>0</v>
      </c>
      <c r="AN454" s="1212" t="e">
        <f t="shared" ca="1" si="327"/>
        <v>#N/A</v>
      </c>
      <c r="AO454" s="1213" t="e">
        <f t="shared" ca="1" si="328"/>
        <v>#N/A</v>
      </c>
      <c r="AP454" s="1587">
        <f t="shared" si="329"/>
        <v>0</v>
      </c>
      <c r="AS454" s="1212" t="e">
        <f t="shared" ca="1" si="330"/>
        <v>#N/A</v>
      </c>
      <c r="AT454" s="1213" t="e">
        <f t="shared" ca="1" si="331"/>
        <v>#N/A</v>
      </c>
      <c r="AU454" s="1587">
        <f t="shared" si="332"/>
        <v>0</v>
      </c>
      <c r="AX454" s="1212" t="e">
        <f t="shared" ca="1" si="333"/>
        <v>#N/A</v>
      </c>
      <c r="AY454" s="1213" t="e">
        <f t="shared" ca="1" si="334"/>
        <v>#N/A</v>
      </c>
      <c r="AZ454" s="1587">
        <f t="shared" si="335"/>
        <v>0</v>
      </c>
      <c r="BC454" s="1212" t="e">
        <f t="shared" ca="1" si="336"/>
        <v>#N/A</v>
      </c>
      <c r="BD454" s="1213" t="e">
        <f t="shared" ca="1" si="337"/>
        <v>#N/A</v>
      </c>
      <c r="BE454" s="1587">
        <f t="shared" si="338"/>
        <v>0</v>
      </c>
      <c r="BH454" s="1212" t="e">
        <f t="shared" ca="1" si="339"/>
        <v>#N/A</v>
      </c>
      <c r="BI454" s="1213" t="e">
        <f t="shared" ca="1" si="340"/>
        <v>#N/A</v>
      </c>
      <c r="BJ454" s="1587">
        <f t="shared" si="341"/>
        <v>0</v>
      </c>
      <c r="BM454" s="1212" t="e">
        <f t="shared" ca="1" si="342"/>
        <v>#N/A</v>
      </c>
      <c r="BN454" s="1213" t="e">
        <f t="shared" ca="1" si="343"/>
        <v>#N/A</v>
      </c>
      <c r="BO454" s="1587">
        <f t="shared" si="344"/>
        <v>0</v>
      </c>
      <c r="BR454" s="1212" t="e">
        <f t="shared" ca="1" si="345"/>
        <v>#N/A</v>
      </c>
      <c r="BS454" s="1213" t="e">
        <f t="shared" ca="1" si="346"/>
        <v>#N/A</v>
      </c>
      <c r="BT454" s="1587">
        <f t="shared" si="347"/>
        <v>0</v>
      </c>
      <c r="BW454" s="1212" t="e">
        <f t="shared" ca="1" si="348"/>
        <v>#N/A</v>
      </c>
      <c r="BX454" s="1213" t="e">
        <f t="shared" ca="1" si="349"/>
        <v>#N/A</v>
      </c>
      <c r="BY454" s="1587">
        <f t="shared" si="350"/>
        <v>0</v>
      </c>
      <c r="CB454" s="1212" t="e">
        <f t="shared" ca="1" si="351"/>
        <v>#N/A</v>
      </c>
      <c r="CC454" s="1213" t="e">
        <f t="shared" ca="1" si="352"/>
        <v>#N/A</v>
      </c>
      <c r="CD454" s="1587">
        <f t="shared" si="353"/>
        <v>0</v>
      </c>
      <c r="CG454" s="1212" t="e">
        <f t="shared" ca="1" si="354"/>
        <v>#N/A</v>
      </c>
      <c r="CH454" s="1213" t="e">
        <f t="shared" ca="1" si="355"/>
        <v>#N/A</v>
      </c>
      <c r="CI454" s="1587">
        <f t="shared" si="356"/>
        <v>0</v>
      </c>
      <c r="CL454" s="1212" t="e">
        <f t="shared" ca="1" si="357"/>
        <v>#N/A</v>
      </c>
      <c r="CM454" s="1213" t="e">
        <f t="shared" ca="1" si="358"/>
        <v>#N/A</v>
      </c>
      <c r="CN454" s="1587">
        <f t="shared" si="359"/>
        <v>0</v>
      </c>
    </row>
    <row r="455" spans="1:92">
      <c r="A455" s="141">
        <f>'銀行-TSS'!A455</f>
        <v>0</v>
      </c>
      <c r="B455" s="151">
        <f ca="1">VLOOKUP(A455,'銀行-TSS'!A:B,2,FALSE)</f>
        <v>0</v>
      </c>
      <c r="C455" s="151" t="e">
        <f ca="1">VLOOKUP(B455,bond!B:C,2,FALSE)</f>
        <v>#N/A</v>
      </c>
      <c r="D455" s="95" t="e">
        <f>VLOOKUP(A455,'銀行-TSS'!A:C,3,FALSE)</f>
        <v>#N/A</v>
      </c>
      <c r="E455" s="90" t="e">
        <f ca="1">VLOOKUP(A455,'銀行-TSS'!A:G,7,FALSE)</f>
        <v>#N/A</v>
      </c>
      <c r="F455" s="202" t="e">
        <f ca="1">VLOOKUP(A455,'銀行-TSS'!A:H,8,FALSE)</f>
        <v>#N/A</v>
      </c>
      <c r="G455" s="96" t="e">
        <f ca="1">VLOOKUP(A455,'銀行-TSS'!A:K,11,FALSE)</f>
        <v>#N/A</v>
      </c>
      <c r="H455" s="1209" t="e">
        <f ca="1">VLOOKUP(A455,'銀行-TSS'!A:M,13,FALSE)</f>
        <v>#N/A</v>
      </c>
      <c r="I455" s="1213" t="e">
        <f ca="1">VLOOKUP(A455,'銀行-TSS'!A:N,14,FALSE)</f>
        <v>#N/A</v>
      </c>
      <c r="J455" s="1213" t="e">
        <f ca="1">VLOOKUP(A455,'銀行-TSS'!A:O,15,FALSE)</f>
        <v>#N/A</v>
      </c>
      <c r="K455" s="136" t="e">
        <f ca="1">VLOOKUP(A455,'銀行-TSS'!A:V,22,FALSE)</f>
        <v>#N/A</v>
      </c>
      <c r="L455" s="136" t="e">
        <f ca="1">VLOOKUP(A455,'銀行-TSS'!A:AK,37,FALSE)</f>
        <v>#N/A</v>
      </c>
      <c r="M455" s="136" t="str">
        <f ca="1">VLOOKUP(A455,'銀行-TSS'!A:AN,40,FALSE)</f>
        <v/>
      </c>
      <c r="N455" s="136" t="e">
        <f t="shared" ca="1" si="315"/>
        <v>#N/A</v>
      </c>
      <c r="O455" s="1213" t="e">
        <f t="shared" ca="1" si="316"/>
        <v>#N/A</v>
      </c>
      <c r="P455" s="1213" t="e">
        <f ca="1">IF(AND($O$1&gt;=O455,換券單檔!$D$13=D455),I455+INT(($O$1-O455)/N455)*J455,0)</f>
        <v>#N/A</v>
      </c>
      <c r="Q455" s="1213" t="e">
        <f t="shared" ca="1" si="317"/>
        <v>#N/A</v>
      </c>
      <c r="R455" s="1213">
        <f t="shared" si="318"/>
        <v>0</v>
      </c>
      <c r="S455" s="1213">
        <f t="shared" si="319"/>
        <v>0</v>
      </c>
      <c r="T455" s="136">
        <f>IF(OR(R455=0,A455=0),0,IF(AND(V455=TRUE,換券單檔!$D$13=D455),E455,0))</f>
        <v>0</v>
      </c>
      <c r="U455" s="861">
        <f>IF(OR(R455=0,A455=0),0,IF(AND(V455=TRUE,換券單檔!$D$13=D455),H455,0))</f>
        <v>0</v>
      </c>
      <c r="V455" s="136" t="e">
        <f ca="1">IF(OR(B455=換券單檔!$D$3,L455="無",M455&lt;&gt;"",K455="高資產",IFERROR(MATCH(B455,換券單檔!K:K,0),"N")&lt;&gt;"N"),FALSE,IF($V$1="All",TRUE,IF(K455=$V$1,TRUE,FALSE)))</f>
        <v>#N/A</v>
      </c>
      <c r="W455" s="136" t="e">
        <f ca="1">VLOOKUP(A455,'銀行-TSS'!A:AO,41,FALSE)</f>
        <v>#N/A</v>
      </c>
      <c r="X455" s="136" t="e">
        <f ca="1">VLOOKUP(A455,'銀行-TSS'!A:AP,42,FALSE)</f>
        <v>#N/A</v>
      </c>
      <c r="Y455" s="1220">
        <f t="shared" si="320"/>
        <v>0</v>
      </c>
      <c r="Z455" s="1220">
        <f t="shared" si="321"/>
        <v>0</v>
      </c>
      <c r="AA455" s="136">
        <f>IF(Z455&lt;=0,0,RANK(Z455,Z:Z)+COUNTIF($Z$3:$Z455,Z455)-1)</f>
        <v>0</v>
      </c>
      <c r="AB455" s="1211">
        <f t="shared" ca="1" si="322"/>
        <v>-14896.14</v>
      </c>
      <c r="AC455" s="136">
        <f ca="1">IF(AB455&lt;=0,0,RANK(AB455,AB:AB)+COUNTIF($AB$3:$AB455,AB455)-1)</f>
        <v>0</v>
      </c>
      <c r="AD455" s="1123">
        <f t="shared" si="323"/>
        <v>99999</v>
      </c>
      <c r="AE455" s="1123">
        <f>IF(AD455=99999,0,RANK(AD455,AD:AD,1)+COUNTIF($AD$3:$AD455,AD455)-1)</f>
        <v>0</v>
      </c>
      <c r="AF455" s="86" t="e">
        <f ca="1">IF(OR(M455&lt;&gt;"",L455="無",K455="高資產",IFERROR(MATCH(B455,換券單檔!K:K,0),"N")&lt;&gt;"N"),FALSE,TRUE)</f>
        <v>#N/A</v>
      </c>
      <c r="AI455" s="1212" t="e">
        <f t="shared" ca="1" si="324"/>
        <v>#N/A</v>
      </c>
      <c r="AJ455" s="1213" t="e">
        <f t="shared" ca="1" si="325"/>
        <v>#N/A</v>
      </c>
      <c r="AK455" s="1587">
        <f t="shared" si="326"/>
        <v>0</v>
      </c>
      <c r="AN455" s="1212" t="e">
        <f t="shared" ca="1" si="327"/>
        <v>#N/A</v>
      </c>
      <c r="AO455" s="1213" t="e">
        <f t="shared" ca="1" si="328"/>
        <v>#N/A</v>
      </c>
      <c r="AP455" s="1587">
        <f t="shared" si="329"/>
        <v>0</v>
      </c>
      <c r="AS455" s="1212" t="e">
        <f t="shared" ca="1" si="330"/>
        <v>#N/A</v>
      </c>
      <c r="AT455" s="1213" t="e">
        <f t="shared" ca="1" si="331"/>
        <v>#N/A</v>
      </c>
      <c r="AU455" s="1587">
        <f t="shared" si="332"/>
        <v>0</v>
      </c>
      <c r="AX455" s="1212" t="e">
        <f t="shared" ca="1" si="333"/>
        <v>#N/A</v>
      </c>
      <c r="AY455" s="1213" t="e">
        <f t="shared" ca="1" si="334"/>
        <v>#N/A</v>
      </c>
      <c r="AZ455" s="1587">
        <f t="shared" si="335"/>
        <v>0</v>
      </c>
      <c r="BC455" s="1212" t="e">
        <f t="shared" ca="1" si="336"/>
        <v>#N/A</v>
      </c>
      <c r="BD455" s="1213" t="e">
        <f t="shared" ca="1" si="337"/>
        <v>#N/A</v>
      </c>
      <c r="BE455" s="1587">
        <f t="shared" si="338"/>
        <v>0</v>
      </c>
      <c r="BH455" s="1212" t="e">
        <f t="shared" ca="1" si="339"/>
        <v>#N/A</v>
      </c>
      <c r="BI455" s="1213" t="e">
        <f t="shared" ca="1" si="340"/>
        <v>#N/A</v>
      </c>
      <c r="BJ455" s="1587">
        <f t="shared" si="341"/>
        <v>0</v>
      </c>
      <c r="BM455" s="1212" t="e">
        <f t="shared" ca="1" si="342"/>
        <v>#N/A</v>
      </c>
      <c r="BN455" s="1213" t="e">
        <f t="shared" ca="1" si="343"/>
        <v>#N/A</v>
      </c>
      <c r="BO455" s="1587">
        <f t="shared" si="344"/>
        <v>0</v>
      </c>
      <c r="BR455" s="1212" t="e">
        <f t="shared" ca="1" si="345"/>
        <v>#N/A</v>
      </c>
      <c r="BS455" s="1213" t="e">
        <f t="shared" ca="1" si="346"/>
        <v>#N/A</v>
      </c>
      <c r="BT455" s="1587">
        <f t="shared" si="347"/>
        <v>0</v>
      </c>
      <c r="BW455" s="1212" t="e">
        <f t="shared" ca="1" si="348"/>
        <v>#N/A</v>
      </c>
      <c r="BX455" s="1213" t="e">
        <f t="shared" ca="1" si="349"/>
        <v>#N/A</v>
      </c>
      <c r="BY455" s="1587">
        <f t="shared" si="350"/>
        <v>0</v>
      </c>
      <c r="CB455" s="1212" t="e">
        <f t="shared" ca="1" si="351"/>
        <v>#N/A</v>
      </c>
      <c r="CC455" s="1213" t="e">
        <f t="shared" ca="1" si="352"/>
        <v>#N/A</v>
      </c>
      <c r="CD455" s="1587">
        <f t="shared" si="353"/>
        <v>0</v>
      </c>
      <c r="CG455" s="1212" t="e">
        <f t="shared" ca="1" si="354"/>
        <v>#N/A</v>
      </c>
      <c r="CH455" s="1213" t="e">
        <f t="shared" ca="1" si="355"/>
        <v>#N/A</v>
      </c>
      <c r="CI455" s="1587">
        <f t="shared" si="356"/>
        <v>0</v>
      </c>
      <c r="CL455" s="1212" t="e">
        <f t="shared" ca="1" si="357"/>
        <v>#N/A</v>
      </c>
      <c r="CM455" s="1213" t="e">
        <f t="shared" ca="1" si="358"/>
        <v>#N/A</v>
      </c>
      <c r="CN455" s="1587">
        <f t="shared" si="359"/>
        <v>0</v>
      </c>
    </row>
    <row r="456" spans="1:92">
      <c r="A456" s="141">
        <f>'銀行-TSS'!A456</f>
        <v>0</v>
      </c>
      <c r="B456" s="151">
        <f ca="1">VLOOKUP(A456,'銀行-TSS'!A:B,2,FALSE)</f>
        <v>0</v>
      </c>
      <c r="C456" s="151" t="e">
        <f ca="1">VLOOKUP(B456,bond!B:C,2,FALSE)</f>
        <v>#N/A</v>
      </c>
      <c r="D456" s="95" t="e">
        <f>VLOOKUP(A456,'銀行-TSS'!A:C,3,FALSE)</f>
        <v>#N/A</v>
      </c>
      <c r="E456" s="90" t="e">
        <f ca="1">VLOOKUP(A456,'銀行-TSS'!A:G,7,FALSE)</f>
        <v>#N/A</v>
      </c>
      <c r="F456" s="202" t="e">
        <f ca="1">VLOOKUP(A456,'銀行-TSS'!A:H,8,FALSE)</f>
        <v>#N/A</v>
      </c>
      <c r="G456" s="96" t="e">
        <f ca="1">VLOOKUP(A456,'銀行-TSS'!A:K,11,FALSE)</f>
        <v>#N/A</v>
      </c>
      <c r="H456" s="1209" t="e">
        <f ca="1">VLOOKUP(A456,'銀行-TSS'!A:M,13,FALSE)</f>
        <v>#N/A</v>
      </c>
      <c r="I456" s="1213" t="e">
        <f ca="1">VLOOKUP(A456,'銀行-TSS'!A:N,14,FALSE)</f>
        <v>#N/A</v>
      </c>
      <c r="J456" s="1213" t="e">
        <f ca="1">VLOOKUP(A456,'銀行-TSS'!A:O,15,FALSE)</f>
        <v>#N/A</v>
      </c>
      <c r="K456" s="136" t="e">
        <f ca="1">VLOOKUP(A456,'銀行-TSS'!A:V,22,FALSE)</f>
        <v>#N/A</v>
      </c>
      <c r="L456" s="136" t="e">
        <f ca="1">VLOOKUP(A456,'銀行-TSS'!A:AK,37,FALSE)</f>
        <v>#N/A</v>
      </c>
      <c r="M456" s="136" t="str">
        <f ca="1">VLOOKUP(A456,'銀行-TSS'!A:AN,40,FALSE)</f>
        <v/>
      </c>
      <c r="N456" s="136" t="e">
        <f t="shared" ca="1" si="315"/>
        <v>#N/A</v>
      </c>
      <c r="O456" s="1213" t="e">
        <f t="shared" ca="1" si="316"/>
        <v>#N/A</v>
      </c>
      <c r="P456" s="1213" t="e">
        <f ca="1">IF(AND($O$1&gt;=O456,換券單檔!$D$13=D456),I456+INT(($O$1-O456)/N456)*J456,0)</f>
        <v>#N/A</v>
      </c>
      <c r="Q456" s="1213" t="e">
        <f t="shared" ca="1" si="317"/>
        <v>#N/A</v>
      </c>
      <c r="R456" s="1213">
        <f t="shared" si="318"/>
        <v>0</v>
      </c>
      <c r="S456" s="1213">
        <f t="shared" si="319"/>
        <v>0</v>
      </c>
      <c r="T456" s="136">
        <f>IF(OR(R456=0,A456=0),0,IF(AND(V456=TRUE,換券單檔!$D$13=D456),E456,0))</f>
        <v>0</v>
      </c>
      <c r="U456" s="861">
        <f>IF(OR(R456=0,A456=0),0,IF(AND(V456=TRUE,換券單檔!$D$13=D456),H456,0))</f>
        <v>0</v>
      </c>
      <c r="V456" s="136" t="e">
        <f ca="1">IF(OR(B456=換券單檔!$D$3,L456="無",M456&lt;&gt;"",K456="高資產",IFERROR(MATCH(B456,換券單檔!K:K,0),"N")&lt;&gt;"N"),FALSE,IF($V$1="All",TRUE,IF(K456=$V$1,TRUE,FALSE)))</f>
        <v>#N/A</v>
      </c>
      <c r="W456" s="136" t="e">
        <f ca="1">VLOOKUP(A456,'銀行-TSS'!A:AO,41,FALSE)</f>
        <v>#N/A</v>
      </c>
      <c r="X456" s="136" t="e">
        <f ca="1">VLOOKUP(A456,'銀行-TSS'!A:AP,42,FALSE)</f>
        <v>#N/A</v>
      </c>
      <c r="Y456" s="1220">
        <f t="shared" si="320"/>
        <v>0</v>
      </c>
      <c r="Z456" s="1220">
        <f t="shared" si="321"/>
        <v>0</v>
      </c>
      <c r="AA456" s="136">
        <f>IF(Z456&lt;=0,0,RANK(Z456,Z:Z)+COUNTIF($Z$3:$Z456,Z456)-1)</f>
        <v>0</v>
      </c>
      <c r="AB456" s="1211">
        <f t="shared" ca="1" si="322"/>
        <v>-14896.14</v>
      </c>
      <c r="AC456" s="136">
        <f ca="1">IF(AB456&lt;=0,0,RANK(AB456,AB:AB)+COUNTIF($AB$3:$AB456,AB456)-1)</f>
        <v>0</v>
      </c>
      <c r="AD456" s="1123">
        <f t="shared" si="323"/>
        <v>99999</v>
      </c>
      <c r="AE456" s="1123">
        <f>IF(AD456=99999,0,RANK(AD456,AD:AD,1)+COUNTIF($AD$3:$AD456,AD456)-1)</f>
        <v>0</v>
      </c>
      <c r="AF456" s="86" t="e">
        <f ca="1">IF(OR(M456&lt;&gt;"",L456="無",K456="高資產",IFERROR(MATCH(B456,換券單檔!K:K,0),"N")&lt;&gt;"N"),FALSE,TRUE)</f>
        <v>#N/A</v>
      </c>
      <c r="AI456" s="1212" t="e">
        <f t="shared" ca="1" si="324"/>
        <v>#N/A</v>
      </c>
      <c r="AJ456" s="1213" t="e">
        <f t="shared" ca="1" si="325"/>
        <v>#N/A</v>
      </c>
      <c r="AK456" s="1587">
        <f t="shared" si="326"/>
        <v>0</v>
      </c>
      <c r="AN456" s="1212" t="e">
        <f t="shared" ca="1" si="327"/>
        <v>#N/A</v>
      </c>
      <c r="AO456" s="1213" t="e">
        <f t="shared" ca="1" si="328"/>
        <v>#N/A</v>
      </c>
      <c r="AP456" s="1587">
        <f t="shared" si="329"/>
        <v>0</v>
      </c>
      <c r="AS456" s="1212" t="e">
        <f t="shared" ca="1" si="330"/>
        <v>#N/A</v>
      </c>
      <c r="AT456" s="1213" t="e">
        <f t="shared" ca="1" si="331"/>
        <v>#N/A</v>
      </c>
      <c r="AU456" s="1587">
        <f t="shared" si="332"/>
        <v>0</v>
      </c>
      <c r="AX456" s="1212" t="e">
        <f t="shared" ca="1" si="333"/>
        <v>#N/A</v>
      </c>
      <c r="AY456" s="1213" t="e">
        <f t="shared" ca="1" si="334"/>
        <v>#N/A</v>
      </c>
      <c r="AZ456" s="1587">
        <f t="shared" si="335"/>
        <v>0</v>
      </c>
      <c r="BC456" s="1212" t="e">
        <f t="shared" ca="1" si="336"/>
        <v>#N/A</v>
      </c>
      <c r="BD456" s="1213" t="e">
        <f t="shared" ca="1" si="337"/>
        <v>#N/A</v>
      </c>
      <c r="BE456" s="1587">
        <f t="shared" si="338"/>
        <v>0</v>
      </c>
      <c r="BH456" s="1212" t="e">
        <f t="shared" ca="1" si="339"/>
        <v>#N/A</v>
      </c>
      <c r="BI456" s="1213" t="e">
        <f t="shared" ca="1" si="340"/>
        <v>#N/A</v>
      </c>
      <c r="BJ456" s="1587">
        <f t="shared" si="341"/>
        <v>0</v>
      </c>
      <c r="BM456" s="1212" t="e">
        <f t="shared" ca="1" si="342"/>
        <v>#N/A</v>
      </c>
      <c r="BN456" s="1213" t="e">
        <f t="shared" ca="1" si="343"/>
        <v>#N/A</v>
      </c>
      <c r="BO456" s="1587">
        <f t="shared" si="344"/>
        <v>0</v>
      </c>
      <c r="BR456" s="1212" t="e">
        <f t="shared" ca="1" si="345"/>
        <v>#N/A</v>
      </c>
      <c r="BS456" s="1213" t="e">
        <f t="shared" ca="1" si="346"/>
        <v>#N/A</v>
      </c>
      <c r="BT456" s="1587">
        <f t="shared" si="347"/>
        <v>0</v>
      </c>
      <c r="BW456" s="1212" t="e">
        <f t="shared" ca="1" si="348"/>
        <v>#N/A</v>
      </c>
      <c r="BX456" s="1213" t="e">
        <f t="shared" ca="1" si="349"/>
        <v>#N/A</v>
      </c>
      <c r="BY456" s="1587">
        <f t="shared" si="350"/>
        <v>0</v>
      </c>
      <c r="CB456" s="1212" t="e">
        <f t="shared" ca="1" si="351"/>
        <v>#N/A</v>
      </c>
      <c r="CC456" s="1213" t="e">
        <f t="shared" ca="1" si="352"/>
        <v>#N/A</v>
      </c>
      <c r="CD456" s="1587">
        <f t="shared" si="353"/>
        <v>0</v>
      </c>
      <c r="CG456" s="1212" t="e">
        <f t="shared" ca="1" si="354"/>
        <v>#N/A</v>
      </c>
      <c r="CH456" s="1213" t="e">
        <f t="shared" ca="1" si="355"/>
        <v>#N/A</v>
      </c>
      <c r="CI456" s="1587">
        <f t="shared" si="356"/>
        <v>0</v>
      </c>
      <c r="CL456" s="1212" t="e">
        <f t="shared" ca="1" si="357"/>
        <v>#N/A</v>
      </c>
      <c r="CM456" s="1213" t="e">
        <f t="shared" ca="1" si="358"/>
        <v>#N/A</v>
      </c>
      <c r="CN456" s="1587">
        <f t="shared" si="359"/>
        <v>0</v>
      </c>
    </row>
    <row r="457" spans="1:92">
      <c r="A457" s="141">
        <f>'銀行-TSS'!A457</f>
        <v>0</v>
      </c>
      <c r="B457" s="151">
        <f ca="1">VLOOKUP(A457,'銀行-TSS'!A:B,2,FALSE)</f>
        <v>0</v>
      </c>
      <c r="C457" s="151" t="e">
        <f ca="1">VLOOKUP(B457,bond!B:C,2,FALSE)</f>
        <v>#N/A</v>
      </c>
      <c r="D457" s="95" t="e">
        <f>VLOOKUP(A457,'銀行-TSS'!A:C,3,FALSE)</f>
        <v>#N/A</v>
      </c>
      <c r="E457" s="90" t="e">
        <f ca="1">VLOOKUP(A457,'銀行-TSS'!A:G,7,FALSE)</f>
        <v>#N/A</v>
      </c>
      <c r="F457" s="202" t="e">
        <f ca="1">VLOOKUP(A457,'銀行-TSS'!A:H,8,FALSE)</f>
        <v>#N/A</v>
      </c>
      <c r="G457" s="96" t="e">
        <f ca="1">VLOOKUP(A457,'銀行-TSS'!A:K,11,FALSE)</f>
        <v>#N/A</v>
      </c>
      <c r="H457" s="1209" t="e">
        <f ca="1">VLOOKUP(A457,'銀行-TSS'!A:M,13,FALSE)</f>
        <v>#N/A</v>
      </c>
      <c r="I457" s="1213" t="e">
        <f ca="1">VLOOKUP(A457,'銀行-TSS'!A:N,14,FALSE)</f>
        <v>#N/A</v>
      </c>
      <c r="J457" s="1213" t="e">
        <f ca="1">VLOOKUP(A457,'銀行-TSS'!A:O,15,FALSE)</f>
        <v>#N/A</v>
      </c>
      <c r="K457" s="136" t="e">
        <f ca="1">VLOOKUP(A457,'銀行-TSS'!A:V,22,FALSE)</f>
        <v>#N/A</v>
      </c>
      <c r="L457" s="136" t="e">
        <f ca="1">VLOOKUP(A457,'銀行-TSS'!A:AK,37,FALSE)</f>
        <v>#N/A</v>
      </c>
      <c r="M457" s="136" t="str">
        <f ca="1">VLOOKUP(A457,'銀行-TSS'!A:AN,40,FALSE)</f>
        <v/>
      </c>
      <c r="N457" s="136" t="e">
        <f t="shared" ca="1" si="315"/>
        <v>#N/A</v>
      </c>
      <c r="O457" s="1213" t="e">
        <f t="shared" ca="1" si="316"/>
        <v>#N/A</v>
      </c>
      <c r="P457" s="1213" t="e">
        <f ca="1">IF(AND($O$1&gt;=O457,換券單檔!$D$13=D457),I457+INT(($O$1-O457)/N457)*J457,0)</f>
        <v>#N/A</v>
      </c>
      <c r="Q457" s="1213" t="e">
        <f t="shared" ca="1" si="317"/>
        <v>#N/A</v>
      </c>
      <c r="R457" s="1213">
        <f t="shared" si="318"/>
        <v>0</v>
      </c>
      <c r="S457" s="1213">
        <f t="shared" si="319"/>
        <v>0</v>
      </c>
      <c r="T457" s="136">
        <f>IF(OR(R457=0,A457=0),0,IF(AND(V457=TRUE,換券單檔!$D$13=D457),E457,0))</f>
        <v>0</v>
      </c>
      <c r="U457" s="861">
        <f>IF(OR(R457=0,A457=0),0,IF(AND(V457=TRUE,換券單檔!$D$13=D457),H457,0))</f>
        <v>0</v>
      </c>
      <c r="V457" s="136" t="e">
        <f ca="1">IF(OR(B457=換券單檔!$D$3,L457="無",M457&lt;&gt;"",K457="高資產",IFERROR(MATCH(B457,換券單檔!K:K,0),"N")&lt;&gt;"N"),FALSE,IF($V$1="All",TRUE,IF(K457=$V$1,TRUE,FALSE)))</f>
        <v>#N/A</v>
      </c>
      <c r="W457" s="136" t="e">
        <f ca="1">VLOOKUP(A457,'銀行-TSS'!A:AO,41,FALSE)</f>
        <v>#N/A</v>
      </c>
      <c r="X457" s="136" t="e">
        <f ca="1">VLOOKUP(A457,'銀行-TSS'!A:AP,42,FALSE)</f>
        <v>#N/A</v>
      </c>
      <c r="Y457" s="1220">
        <f t="shared" si="320"/>
        <v>0</v>
      </c>
      <c r="Z457" s="1220">
        <f t="shared" si="321"/>
        <v>0</v>
      </c>
      <c r="AA457" s="136">
        <f>IF(Z457&lt;=0,0,RANK(Z457,Z:Z)+COUNTIF($Z$3:$Z457,Z457)-1)</f>
        <v>0</v>
      </c>
      <c r="AB457" s="1211">
        <f t="shared" ca="1" si="322"/>
        <v>-14896.14</v>
      </c>
      <c r="AC457" s="136">
        <f ca="1">IF(AB457&lt;=0,0,RANK(AB457,AB:AB)+COUNTIF($AB$3:$AB457,AB457)-1)</f>
        <v>0</v>
      </c>
      <c r="AD457" s="1123">
        <f t="shared" si="323"/>
        <v>99999</v>
      </c>
      <c r="AE457" s="1123">
        <f>IF(AD457=99999,0,RANK(AD457,AD:AD,1)+COUNTIF($AD$3:$AD457,AD457)-1)</f>
        <v>0</v>
      </c>
      <c r="AF457" s="86" t="e">
        <f ca="1">IF(OR(M457&lt;&gt;"",L457="無",K457="高資產",IFERROR(MATCH(B457,換券單檔!K:K,0),"N")&lt;&gt;"N"),FALSE,TRUE)</f>
        <v>#N/A</v>
      </c>
      <c r="AI457" s="1212" t="e">
        <f t="shared" ca="1" si="324"/>
        <v>#N/A</v>
      </c>
      <c r="AJ457" s="1213" t="e">
        <f t="shared" ca="1" si="325"/>
        <v>#N/A</v>
      </c>
      <c r="AK457" s="1587">
        <f t="shared" si="326"/>
        <v>0</v>
      </c>
      <c r="AN457" s="1212" t="e">
        <f t="shared" ca="1" si="327"/>
        <v>#N/A</v>
      </c>
      <c r="AO457" s="1213" t="e">
        <f t="shared" ca="1" si="328"/>
        <v>#N/A</v>
      </c>
      <c r="AP457" s="1587">
        <f t="shared" si="329"/>
        <v>0</v>
      </c>
      <c r="AS457" s="1212" t="e">
        <f t="shared" ca="1" si="330"/>
        <v>#N/A</v>
      </c>
      <c r="AT457" s="1213" t="e">
        <f t="shared" ca="1" si="331"/>
        <v>#N/A</v>
      </c>
      <c r="AU457" s="1587">
        <f t="shared" si="332"/>
        <v>0</v>
      </c>
      <c r="AX457" s="1212" t="e">
        <f t="shared" ca="1" si="333"/>
        <v>#N/A</v>
      </c>
      <c r="AY457" s="1213" t="e">
        <f t="shared" ca="1" si="334"/>
        <v>#N/A</v>
      </c>
      <c r="AZ457" s="1587">
        <f t="shared" si="335"/>
        <v>0</v>
      </c>
      <c r="BC457" s="1212" t="e">
        <f t="shared" ca="1" si="336"/>
        <v>#N/A</v>
      </c>
      <c r="BD457" s="1213" t="e">
        <f t="shared" ca="1" si="337"/>
        <v>#N/A</v>
      </c>
      <c r="BE457" s="1587">
        <f t="shared" si="338"/>
        <v>0</v>
      </c>
      <c r="BH457" s="1212" t="e">
        <f t="shared" ca="1" si="339"/>
        <v>#N/A</v>
      </c>
      <c r="BI457" s="1213" t="e">
        <f t="shared" ca="1" si="340"/>
        <v>#N/A</v>
      </c>
      <c r="BJ457" s="1587">
        <f t="shared" si="341"/>
        <v>0</v>
      </c>
      <c r="BM457" s="1212" t="e">
        <f t="shared" ca="1" si="342"/>
        <v>#N/A</v>
      </c>
      <c r="BN457" s="1213" t="e">
        <f t="shared" ca="1" si="343"/>
        <v>#N/A</v>
      </c>
      <c r="BO457" s="1587">
        <f t="shared" si="344"/>
        <v>0</v>
      </c>
      <c r="BR457" s="1212" t="e">
        <f t="shared" ca="1" si="345"/>
        <v>#N/A</v>
      </c>
      <c r="BS457" s="1213" t="e">
        <f t="shared" ca="1" si="346"/>
        <v>#N/A</v>
      </c>
      <c r="BT457" s="1587">
        <f t="shared" si="347"/>
        <v>0</v>
      </c>
      <c r="BW457" s="1212" t="e">
        <f t="shared" ca="1" si="348"/>
        <v>#N/A</v>
      </c>
      <c r="BX457" s="1213" t="e">
        <f t="shared" ca="1" si="349"/>
        <v>#N/A</v>
      </c>
      <c r="BY457" s="1587">
        <f t="shared" si="350"/>
        <v>0</v>
      </c>
      <c r="CB457" s="1212" t="e">
        <f t="shared" ca="1" si="351"/>
        <v>#N/A</v>
      </c>
      <c r="CC457" s="1213" t="e">
        <f t="shared" ca="1" si="352"/>
        <v>#N/A</v>
      </c>
      <c r="CD457" s="1587">
        <f t="shared" si="353"/>
        <v>0</v>
      </c>
      <c r="CG457" s="1212" t="e">
        <f t="shared" ca="1" si="354"/>
        <v>#N/A</v>
      </c>
      <c r="CH457" s="1213" t="e">
        <f t="shared" ca="1" si="355"/>
        <v>#N/A</v>
      </c>
      <c r="CI457" s="1587">
        <f t="shared" si="356"/>
        <v>0</v>
      </c>
      <c r="CL457" s="1212" t="e">
        <f t="shared" ca="1" si="357"/>
        <v>#N/A</v>
      </c>
      <c r="CM457" s="1213" t="e">
        <f t="shared" ca="1" si="358"/>
        <v>#N/A</v>
      </c>
      <c r="CN457" s="1587">
        <f t="shared" si="359"/>
        <v>0</v>
      </c>
    </row>
    <row r="458" spans="1:92">
      <c r="A458" s="141">
        <f>'銀行-TSS'!A458</f>
        <v>0</v>
      </c>
      <c r="B458" s="151">
        <f ca="1">VLOOKUP(A458,'銀行-TSS'!A:B,2,FALSE)</f>
        <v>0</v>
      </c>
      <c r="C458" s="151" t="e">
        <f ca="1">VLOOKUP(B458,bond!B:C,2,FALSE)</f>
        <v>#N/A</v>
      </c>
      <c r="D458" s="95" t="e">
        <f>VLOOKUP(A458,'銀行-TSS'!A:C,3,FALSE)</f>
        <v>#N/A</v>
      </c>
      <c r="E458" s="90" t="e">
        <f ca="1">VLOOKUP(A458,'銀行-TSS'!A:G,7,FALSE)</f>
        <v>#N/A</v>
      </c>
      <c r="F458" s="202" t="e">
        <f ca="1">VLOOKUP(A458,'銀行-TSS'!A:H,8,FALSE)</f>
        <v>#N/A</v>
      </c>
      <c r="G458" s="96" t="e">
        <f ca="1">VLOOKUP(A458,'銀行-TSS'!A:K,11,FALSE)</f>
        <v>#N/A</v>
      </c>
      <c r="H458" s="1209" t="e">
        <f ca="1">VLOOKUP(A458,'銀行-TSS'!A:M,13,FALSE)</f>
        <v>#N/A</v>
      </c>
      <c r="I458" s="1213" t="e">
        <f ca="1">VLOOKUP(A458,'銀行-TSS'!A:N,14,FALSE)</f>
        <v>#N/A</v>
      </c>
      <c r="J458" s="1213" t="e">
        <f ca="1">VLOOKUP(A458,'銀行-TSS'!A:O,15,FALSE)</f>
        <v>#N/A</v>
      </c>
      <c r="K458" s="136" t="e">
        <f ca="1">VLOOKUP(A458,'銀行-TSS'!A:V,22,FALSE)</f>
        <v>#N/A</v>
      </c>
      <c r="L458" s="136" t="e">
        <f ca="1">VLOOKUP(A458,'銀行-TSS'!A:AK,37,FALSE)</f>
        <v>#N/A</v>
      </c>
      <c r="M458" s="136" t="str">
        <f ca="1">VLOOKUP(A458,'銀行-TSS'!A:AN,40,FALSE)</f>
        <v/>
      </c>
      <c r="N458" s="136" t="e">
        <f t="shared" ca="1" si="315"/>
        <v>#N/A</v>
      </c>
      <c r="O458" s="1213" t="e">
        <f t="shared" ca="1" si="316"/>
        <v>#N/A</v>
      </c>
      <c r="P458" s="1213" t="e">
        <f ca="1">IF(AND($O$1&gt;=O458,換券單檔!$D$13=D458),I458+INT(($O$1-O458)/N458)*J458,0)</f>
        <v>#N/A</v>
      </c>
      <c r="Q458" s="1213" t="e">
        <f t="shared" ca="1" si="317"/>
        <v>#N/A</v>
      </c>
      <c r="R458" s="1213">
        <f t="shared" si="318"/>
        <v>0</v>
      </c>
      <c r="S458" s="1213">
        <f t="shared" si="319"/>
        <v>0</v>
      </c>
      <c r="T458" s="136">
        <f>IF(OR(R458=0,A458=0),0,IF(AND(V458=TRUE,換券單檔!$D$13=D458),E458,0))</f>
        <v>0</v>
      </c>
      <c r="U458" s="861">
        <f>IF(OR(R458=0,A458=0),0,IF(AND(V458=TRUE,換券單檔!$D$13=D458),H458,0))</f>
        <v>0</v>
      </c>
      <c r="V458" s="136" t="e">
        <f ca="1">IF(OR(B458=換券單檔!$D$3,L458="無",M458&lt;&gt;"",K458="高資產",IFERROR(MATCH(B458,換券單檔!K:K,0),"N")&lt;&gt;"N"),FALSE,IF($V$1="All",TRUE,IF(K458=$V$1,TRUE,FALSE)))</f>
        <v>#N/A</v>
      </c>
      <c r="W458" s="136" t="e">
        <f ca="1">VLOOKUP(A458,'銀行-TSS'!A:AO,41,FALSE)</f>
        <v>#N/A</v>
      </c>
      <c r="X458" s="136" t="e">
        <f ca="1">VLOOKUP(A458,'銀行-TSS'!A:AP,42,FALSE)</f>
        <v>#N/A</v>
      </c>
      <c r="Y458" s="1220">
        <f t="shared" si="320"/>
        <v>0</v>
      </c>
      <c r="Z458" s="1220">
        <f t="shared" si="321"/>
        <v>0</v>
      </c>
      <c r="AA458" s="136">
        <f>IF(Z458&lt;=0,0,RANK(Z458,Z:Z)+COUNTIF($Z$3:$Z458,Z458)-1)</f>
        <v>0</v>
      </c>
      <c r="AB458" s="1211">
        <f t="shared" ca="1" si="322"/>
        <v>-14896.14</v>
      </c>
      <c r="AC458" s="136">
        <f ca="1">IF(AB458&lt;=0,0,RANK(AB458,AB:AB)+COUNTIF($AB$3:$AB458,AB458)-1)</f>
        <v>0</v>
      </c>
      <c r="AD458" s="1123">
        <f t="shared" si="323"/>
        <v>99999</v>
      </c>
      <c r="AE458" s="1123">
        <f>IF(AD458=99999,0,RANK(AD458,AD:AD,1)+COUNTIF($AD$3:$AD458,AD458)-1)</f>
        <v>0</v>
      </c>
      <c r="AF458" s="86" t="e">
        <f ca="1">IF(OR(M458&lt;&gt;"",L458="無",K458="高資產",IFERROR(MATCH(B458,換券單檔!K:K,0),"N")&lt;&gt;"N"),FALSE,TRUE)</f>
        <v>#N/A</v>
      </c>
      <c r="AI458" s="1212" t="e">
        <f t="shared" ca="1" si="324"/>
        <v>#N/A</v>
      </c>
      <c r="AJ458" s="1213" t="e">
        <f t="shared" ca="1" si="325"/>
        <v>#N/A</v>
      </c>
      <c r="AK458" s="1587">
        <f t="shared" si="326"/>
        <v>0</v>
      </c>
      <c r="AN458" s="1212" t="e">
        <f t="shared" ca="1" si="327"/>
        <v>#N/A</v>
      </c>
      <c r="AO458" s="1213" t="e">
        <f t="shared" ca="1" si="328"/>
        <v>#N/A</v>
      </c>
      <c r="AP458" s="1587">
        <f t="shared" si="329"/>
        <v>0</v>
      </c>
      <c r="AS458" s="1212" t="e">
        <f t="shared" ca="1" si="330"/>
        <v>#N/A</v>
      </c>
      <c r="AT458" s="1213" t="e">
        <f t="shared" ca="1" si="331"/>
        <v>#N/A</v>
      </c>
      <c r="AU458" s="1587">
        <f t="shared" si="332"/>
        <v>0</v>
      </c>
      <c r="AX458" s="1212" t="e">
        <f t="shared" ca="1" si="333"/>
        <v>#N/A</v>
      </c>
      <c r="AY458" s="1213" t="e">
        <f t="shared" ca="1" si="334"/>
        <v>#N/A</v>
      </c>
      <c r="AZ458" s="1587">
        <f t="shared" si="335"/>
        <v>0</v>
      </c>
      <c r="BC458" s="1212" t="e">
        <f t="shared" ca="1" si="336"/>
        <v>#N/A</v>
      </c>
      <c r="BD458" s="1213" t="e">
        <f t="shared" ca="1" si="337"/>
        <v>#N/A</v>
      </c>
      <c r="BE458" s="1587">
        <f t="shared" si="338"/>
        <v>0</v>
      </c>
      <c r="BH458" s="1212" t="e">
        <f t="shared" ca="1" si="339"/>
        <v>#N/A</v>
      </c>
      <c r="BI458" s="1213" t="e">
        <f t="shared" ca="1" si="340"/>
        <v>#N/A</v>
      </c>
      <c r="BJ458" s="1587">
        <f t="shared" si="341"/>
        <v>0</v>
      </c>
      <c r="BM458" s="1212" t="e">
        <f t="shared" ca="1" si="342"/>
        <v>#N/A</v>
      </c>
      <c r="BN458" s="1213" t="e">
        <f t="shared" ca="1" si="343"/>
        <v>#N/A</v>
      </c>
      <c r="BO458" s="1587">
        <f t="shared" si="344"/>
        <v>0</v>
      </c>
      <c r="BR458" s="1212" t="e">
        <f t="shared" ca="1" si="345"/>
        <v>#N/A</v>
      </c>
      <c r="BS458" s="1213" t="e">
        <f t="shared" ca="1" si="346"/>
        <v>#N/A</v>
      </c>
      <c r="BT458" s="1587">
        <f t="shared" si="347"/>
        <v>0</v>
      </c>
      <c r="BW458" s="1212" t="e">
        <f t="shared" ca="1" si="348"/>
        <v>#N/A</v>
      </c>
      <c r="BX458" s="1213" t="e">
        <f t="shared" ca="1" si="349"/>
        <v>#N/A</v>
      </c>
      <c r="BY458" s="1587">
        <f t="shared" si="350"/>
        <v>0</v>
      </c>
      <c r="CB458" s="1212" t="e">
        <f t="shared" ca="1" si="351"/>
        <v>#N/A</v>
      </c>
      <c r="CC458" s="1213" t="e">
        <f t="shared" ca="1" si="352"/>
        <v>#N/A</v>
      </c>
      <c r="CD458" s="1587">
        <f t="shared" si="353"/>
        <v>0</v>
      </c>
      <c r="CG458" s="1212" t="e">
        <f t="shared" ca="1" si="354"/>
        <v>#N/A</v>
      </c>
      <c r="CH458" s="1213" t="e">
        <f t="shared" ca="1" si="355"/>
        <v>#N/A</v>
      </c>
      <c r="CI458" s="1587">
        <f t="shared" si="356"/>
        <v>0</v>
      </c>
      <c r="CL458" s="1212" t="e">
        <f t="shared" ca="1" si="357"/>
        <v>#N/A</v>
      </c>
      <c r="CM458" s="1213" t="e">
        <f t="shared" ca="1" si="358"/>
        <v>#N/A</v>
      </c>
      <c r="CN458" s="1587">
        <f t="shared" si="359"/>
        <v>0</v>
      </c>
    </row>
    <row r="459" spans="1:92">
      <c r="A459" s="141">
        <f>'銀行-TSS'!A459</f>
        <v>0</v>
      </c>
      <c r="B459" s="151">
        <f ca="1">VLOOKUP(A459,'銀行-TSS'!A:B,2,FALSE)</f>
        <v>0</v>
      </c>
      <c r="C459" s="151" t="e">
        <f ca="1">VLOOKUP(B459,bond!B:C,2,FALSE)</f>
        <v>#N/A</v>
      </c>
      <c r="D459" s="95" t="e">
        <f>VLOOKUP(A459,'銀行-TSS'!A:C,3,FALSE)</f>
        <v>#N/A</v>
      </c>
      <c r="E459" s="90" t="e">
        <f ca="1">VLOOKUP(A459,'銀行-TSS'!A:G,7,FALSE)</f>
        <v>#N/A</v>
      </c>
      <c r="F459" s="202" t="e">
        <f ca="1">VLOOKUP(A459,'銀行-TSS'!A:H,8,FALSE)</f>
        <v>#N/A</v>
      </c>
      <c r="G459" s="96" t="e">
        <f ca="1">VLOOKUP(A459,'銀行-TSS'!A:K,11,FALSE)</f>
        <v>#N/A</v>
      </c>
      <c r="H459" s="1209" t="e">
        <f ca="1">VLOOKUP(A459,'銀行-TSS'!A:M,13,FALSE)</f>
        <v>#N/A</v>
      </c>
      <c r="I459" s="1213" t="e">
        <f ca="1">VLOOKUP(A459,'銀行-TSS'!A:N,14,FALSE)</f>
        <v>#N/A</v>
      </c>
      <c r="J459" s="1213" t="e">
        <f ca="1">VLOOKUP(A459,'銀行-TSS'!A:O,15,FALSE)</f>
        <v>#N/A</v>
      </c>
      <c r="K459" s="136" t="e">
        <f ca="1">VLOOKUP(A459,'銀行-TSS'!A:V,22,FALSE)</f>
        <v>#N/A</v>
      </c>
      <c r="L459" s="136" t="e">
        <f ca="1">VLOOKUP(A459,'銀行-TSS'!A:AK,37,FALSE)</f>
        <v>#N/A</v>
      </c>
      <c r="M459" s="136" t="str">
        <f ca="1">VLOOKUP(A459,'銀行-TSS'!A:AN,40,FALSE)</f>
        <v/>
      </c>
      <c r="N459" s="136" t="e">
        <f t="shared" ca="1" si="315"/>
        <v>#N/A</v>
      </c>
      <c r="O459" s="1213" t="e">
        <f t="shared" ca="1" si="316"/>
        <v>#N/A</v>
      </c>
      <c r="P459" s="1213" t="e">
        <f ca="1">IF(AND($O$1&gt;=O459,換券單檔!$D$13=D459),I459+INT(($O$1-O459)/N459)*J459,0)</f>
        <v>#N/A</v>
      </c>
      <c r="Q459" s="1213" t="e">
        <f t="shared" ca="1" si="317"/>
        <v>#N/A</v>
      </c>
      <c r="R459" s="1213">
        <f t="shared" si="318"/>
        <v>0</v>
      </c>
      <c r="S459" s="1213">
        <f t="shared" si="319"/>
        <v>0</v>
      </c>
      <c r="T459" s="136">
        <f>IF(OR(R459=0,A459=0),0,IF(AND(V459=TRUE,換券單檔!$D$13=D459),E459,0))</f>
        <v>0</v>
      </c>
      <c r="U459" s="861">
        <f>IF(OR(R459=0,A459=0),0,IF(AND(V459=TRUE,換券單檔!$D$13=D459),H459,0))</f>
        <v>0</v>
      </c>
      <c r="V459" s="136" t="e">
        <f ca="1">IF(OR(B459=換券單檔!$D$3,L459="無",M459&lt;&gt;"",K459="高資產",IFERROR(MATCH(B459,換券單檔!K:K,0),"N")&lt;&gt;"N"),FALSE,IF($V$1="All",TRUE,IF(K459=$V$1,TRUE,FALSE)))</f>
        <v>#N/A</v>
      </c>
      <c r="W459" s="136" t="e">
        <f ca="1">VLOOKUP(A459,'銀行-TSS'!A:AO,41,FALSE)</f>
        <v>#N/A</v>
      </c>
      <c r="X459" s="136" t="e">
        <f ca="1">VLOOKUP(A459,'銀行-TSS'!A:AP,42,FALSE)</f>
        <v>#N/A</v>
      </c>
      <c r="Y459" s="1220">
        <f t="shared" si="320"/>
        <v>0</v>
      </c>
      <c r="Z459" s="1220">
        <f t="shared" si="321"/>
        <v>0</v>
      </c>
      <c r="AA459" s="136">
        <f>IF(Z459&lt;=0,0,RANK(Z459,Z:Z)+COUNTIF($Z$3:$Z459,Z459)-1)</f>
        <v>0</v>
      </c>
      <c r="AB459" s="1211">
        <f t="shared" ca="1" si="322"/>
        <v>-14896.14</v>
      </c>
      <c r="AC459" s="136">
        <f ca="1">IF(AB459&lt;=0,0,RANK(AB459,AB:AB)+COUNTIF($AB$3:$AB459,AB459)-1)</f>
        <v>0</v>
      </c>
      <c r="AD459" s="1123">
        <f t="shared" si="323"/>
        <v>99999</v>
      </c>
      <c r="AE459" s="1123">
        <f>IF(AD459=99999,0,RANK(AD459,AD:AD,1)+COUNTIF($AD$3:$AD459,AD459)-1)</f>
        <v>0</v>
      </c>
      <c r="AF459" s="86" t="e">
        <f ca="1">IF(OR(M459&lt;&gt;"",L459="無",K459="高資產",IFERROR(MATCH(B459,換券單檔!K:K,0),"N")&lt;&gt;"N"),FALSE,TRUE)</f>
        <v>#N/A</v>
      </c>
      <c r="AI459" s="1212" t="e">
        <f t="shared" ca="1" si="324"/>
        <v>#N/A</v>
      </c>
      <c r="AJ459" s="1213" t="e">
        <f t="shared" ca="1" si="325"/>
        <v>#N/A</v>
      </c>
      <c r="AK459" s="1587">
        <f t="shared" si="326"/>
        <v>0</v>
      </c>
      <c r="AN459" s="1212" t="e">
        <f t="shared" ca="1" si="327"/>
        <v>#N/A</v>
      </c>
      <c r="AO459" s="1213" t="e">
        <f t="shared" ca="1" si="328"/>
        <v>#N/A</v>
      </c>
      <c r="AP459" s="1587">
        <f t="shared" si="329"/>
        <v>0</v>
      </c>
      <c r="AS459" s="1212" t="e">
        <f t="shared" ca="1" si="330"/>
        <v>#N/A</v>
      </c>
      <c r="AT459" s="1213" t="e">
        <f t="shared" ca="1" si="331"/>
        <v>#N/A</v>
      </c>
      <c r="AU459" s="1587">
        <f t="shared" si="332"/>
        <v>0</v>
      </c>
      <c r="AX459" s="1212" t="e">
        <f t="shared" ca="1" si="333"/>
        <v>#N/A</v>
      </c>
      <c r="AY459" s="1213" t="e">
        <f t="shared" ca="1" si="334"/>
        <v>#N/A</v>
      </c>
      <c r="AZ459" s="1587">
        <f t="shared" si="335"/>
        <v>0</v>
      </c>
      <c r="BC459" s="1212" t="e">
        <f t="shared" ca="1" si="336"/>
        <v>#N/A</v>
      </c>
      <c r="BD459" s="1213" t="e">
        <f t="shared" ca="1" si="337"/>
        <v>#N/A</v>
      </c>
      <c r="BE459" s="1587">
        <f t="shared" si="338"/>
        <v>0</v>
      </c>
      <c r="BH459" s="1212" t="e">
        <f t="shared" ca="1" si="339"/>
        <v>#N/A</v>
      </c>
      <c r="BI459" s="1213" t="e">
        <f t="shared" ca="1" si="340"/>
        <v>#N/A</v>
      </c>
      <c r="BJ459" s="1587">
        <f t="shared" si="341"/>
        <v>0</v>
      </c>
      <c r="BM459" s="1212" t="e">
        <f t="shared" ca="1" si="342"/>
        <v>#N/A</v>
      </c>
      <c r="BN459" s="1213" t="e">
        <f t="shared" ca="1" si="343"/>
        <v>#N/A</v>
      </c>
      <c r="BO459" s="1587">
        <f t="shared" si="344"/>
        <v>0</v>
      </c>
      <c r="BR459" s="1212" t="e">
        <f t="shared" ca="1" si="345"/>
        <v>#N/A</v>
      </c>
      <c r="BS459" s="1213" t="e">
        <f t="shared" ca="1" si="346"/>
        <v>#N/A</v>
      </c>
      <c r="BT459" s="1587">
        <f t="shared" si="347"/>
        <v>0</v>
      </c>
      <c r="BW459" s="1212" t="e">
        <f t="shared" ca="1" si="348"/>
        <v>#N/A</v>
      </c>
      <c r="BX459" s="1213" t="e">
        <f t="shared" ca="1" si="349"/>
        <v>#N/A</v>
      </c>
      <c r="BY459" s="1587">
        <f t="shared" si="350"/>
        <v>0</v>
      </c>
      <c r="CB459" s="1212" t="e">
        <f t="shared" ca="1" si="351"/>
        <v>#N/A</v>
      </c>
      <c r="CC459" s="1213" t="e">
        <f t="shared" ca="1" si="352"/>
        <v>#N/A</v>
      </c>
      <c r="CD459" s="1587">
        <f t="shared" si="353"/>
        <v>0</v>
      </c>
      <c r="CG459" s="1212" t="e">
        <f t="shared" ca="1" si="354"/>
        <v>#N/A</v>
      </c>
      <c r="CH459" s="1213" t="e">
        <f t="shared" ca="1" si="355"/>
        <v>#N/A</v>
      </c>
      <c r="CI459" s="1587">
        <f t="shared" si="356"/>
        <v>0</v>
      </c>
      <c r="CL459" s="1212" t="e">
        <f t="shared" ca="1" si="357"/>
        <v>#N/A</v>
      </c>
      <c r="CM459" s="1213" t="e">
        <f t="shared" ca="1" si="358"/>
        <v>#N/A</v>
      </c>
      <c r="CN459" s="1587">
        <f t="shared" si="359"/>
        <v>0</v>
      </c>
    </row>
    <row r="460" spans="1:92">
      <c r="A460" s="141">
        <f>'銀行-TSS'!A460</f>
        <v>0</v>
      </c>
      <c r="B460" s="151">
        <f ca="1">VLOOKUP(A460,'銀行-TSS'!A:B,2,FALSE)</f>
        <v>0</v>
      </c>
      <c r="C460" s="151" t="e">
        <f ca="1">VLOOKUP(B460,bond!B:C,2,FALSE)</f>
        <v>#N/A</v>
      </c>
      <c r="D460" s="95" t="e">
        <f>VLOOKUP(A460,'銀行-TSS'!A:C,3,FALSE)</f>
        <v>#N/A</v>
      </c>
      <c r="E460" s="90" t="e">
        <f ca="1">VLOOKUP(A460,'銀行-TSS'!A:G,7,FALSE)</f>
        <v>#N/A</v>
      </c>
      <c r="F460" s="202" t="e">
        <f ca="1">VLOOKUP(A460,'銀行-TSS'!A:H,8,FALSE)</f>
        <v>#N/A</v>
      </c>
      <c r="G460" s="96" t="e">
        <f ca="1">VLOOKUP(A460,'銀行-TSS'!A:K,11,FALSE)</f>
        <v>#N/A</v>
      </c>
      <c r="H460" s="1209" t="e">
        <f ca="1">VLOOKUP(A460,'銀行-TSS'!A:M,13,FALSE)</f>
        <v>#N/A</v>
      </c>
      <c r="I460" s="1213" t="e">
        <f ca="1">VLOOKUP(A460,'銀行-TSS'!A:N,14,FALSE)</f>
        <v>#N/A</v>
      </c>
      <c r="J460" s="1213" t="e">
        <f ca="1">VLOOKUP(A460,'銀行-TSS'!A:O,15,FALSE)</f>
        <v>#N/A</v>
      </c>
      <c r="K460" s="136" t="e">
        <f ca="1">VLOOKUP(A460,'銀行-TSS'!A:V,22,FALSE)</f>
        <v>#N/A</v>
      </c>
      <c r="L460" s="136" t="e">
        <f ca="1">VLOOKUP(A460,'銀行-TSS'!A:AK,37,FALSE)</f>
        <v>#N/A</v>
      </c>
      <c r="M460" s="136" t="str">
        <f ca="1">VLOOKUP(A460,'銀行-TSS'!A:AN,40,FALSE)</f>
        <v/>
      </c>
      <c r="N460" s="136" t="e">
        <f t="shared" ca="1" si="315"/>
        <v>#N/A</v>
      </c>
      <c r="O460" s="1213" t="e">
        <f t="shared" ca="1" si="316"/>
        <v>#N/A</v>
      </c>
      <c r="P460" s="1213" t="e">
        <f ca="1">IF(AND($O$1&gt;=O460,換券單檔!$D$13=D460),I460+INT(($O$1-O460)/N460)*J460,0)</f>
        <v>#N/A</v>
      </c>
      <c r="Q460" s="1213" t="e">
        <f t="shared" ca="1" si="317"/>
        <v>#N/A</v>
      </c>
      <c r="R460" s="1213">
        <f t="shared" si="318"/>
        <v>0</v>
      </c>
      <c r="S460" s="1213">
        <f t="shared" si="319"/>
        <v>0</v>
      </c>
      <c r="T460" s="136">
        <f>IF(OR(R460=0,A460=0),0,IF(AND(V460=TRUE,換券單檔!$D$13=D460),E460,0))</f>
        <v>0</v>
      </c>
      <c r="U460" s="861">
        <f>IF(OR(R460=0,A460=0),0,IF(AND(V460=TRUE,換券單檔!$D$13=D460),H460,0))</f>
        <v>0</v>
      </c>
      <c r="V460" s="136" t="e">
        <f ca="1">IF(OR(B460=換券單檔!$D$3,L460="無",M460&lt;&gt;"",K460="高資產",IFERROR(MATCH(B460,換券單檔!K:K,0),"N")&lt;&gt;"N"),FALSE,IF($V$1="All",TRUE,IF(K460=$V$1,TRUE,FALSE)))</f>
        <v>#N/A</v>
      </c>
      <c r="W460" s="136" t="e">
        <f ca="1">VLOOKUP(A460,'銀行-TSS'!A:AO,41,FALSE)</f>
        <v>#N/A</v>
      </c>
      <c r="X460" s="136" t="e">
        <f ca="1">VLOOKUP(A460,'銀行-TSS'!A:AP,42,FALSE)</f>
        <v>#N/A</v>
      </c>
      <c r="Y460" s="1220">
        <f t="shared" si="320"/>
        <v>0</v>
      </c>
      <c r="Z460" s="1220">
        <f t="shared" si="321"/>
        <v>0</v>
      </c>
      <c r="AA460" s="136">
        <f>IF(Z460&lt;=0,0,RANK(Z460,Z:Z)+COUNTIF($Z$3:$Z460,Z460)-1)</f>
        <v>0</v>
      </c>
      <c r="AB460" s="1211">
        <f t="shared" ca="1" si="322"/>
        <v>-14896.14</v>
      </c>
      <c r="AC460" s="136">
        <f ca="1">IF(AB460&lt;=0,0,RANK(AB460,AB:AB)+COUNTIF($AB$3:$AB460,AB460)-1)</f>
        <v>0</v>
      </c>
      <c r="AD460" s="1123">
        <f t="shared" si="323"/>
        <v>99999</v>
      </c>
      <c r="AE460" s="1123">
        <f>IF(AD460=99999,0,RANK(AD460,AD:AD,1)+COUNTIF($AD$3:$AD460,AD460)-1)</f>
        <v>0</v>
      </c>
      <c r="AF460" s="86" t="e">
        <f ca="1">IF(OR(M460&lt;&gt;"",L460="無",K460="高資產",IFERROR(MATCH(B460,換券單檔!K:K,0),"N")&lt;&gt;"N"),FALSE,TRUE)</f>
        <v>#N/A</v>
      </c>
      <c r="AI460" s="1212" t="e">
        <f t="shared" ca="1" si="324"/>
        <v>#N/A</v>
      </c>
      <c r="AJ460" s="1213" t="e">
        <f t="shared" ca="1" si="325"/>
        <v>#N/A</v>
      </c>
      <c r="AK460" s="1587">
        <f t="shared" si="326"/>
        <v>0</v>
      </c>
      <c r="AN460" s="1212" t="e">
        <f t="shared" ca="1" si="327"/>
        <v>#N/A</v>
      </c>
      <c r="AO460" s="1213" t="e">
        <f t="shared" ca="1" si="328"/>
        <v>#N/A</v>
      </c>
      <c r="AP460" s="1587">
        <f t="shared" si="329"/>
        <v>0</v>
      </c>
      <c r="AS460" s="1212" t="e">
        <f t="shared" ca="1" si="330"/>
        <v>#N/A</v>
      </c>
      <c r="AT460" s="1213" t="e">
        <f t="shared" ca="1" si="331"/>
        <v>#N/A</v>
      </c>
      <c r="AU460" s="1587">
        <f t="shared" si="332"/>
        <v>0</v>
      </c>
      <c r="AX460" s="1212" t="e">
        <f t="shared" ca="1" si="333"/>
        <v>#N/A</v>
      </c>
      <c r="AY460" s="1213" t="e">
        <f t="shared" ca="1" si="334"/>
        <v>#N/A</v>
      </c>
      <c r="AZ460" s="1587">
        <f t="shared" si="335"/>
        <v>0</v>
      </c>
      <c r="BC460" s="1212" t="e">
        <f t="shared" ca="1" si="336"/>
        <v>#N/A</v>
      </c>
      <c r="BD460" s="1213" t="e">
        <f t="shared" ca="1" si="337"/>
        <v>#N/A</v>
      </c>
      <c r="BE460" s="1587">
        <f t="shared" si="338"/>
        <v>0</v>
      </c>
      <c r="BH460" s="1212" t="e">
        <f t="shared" ca="1" si="339"/>
        <v>#N/A</v>
      </c>
      <c r="BI460" s="1213" t="e">
        <f t="shared" ca="1" si="340"/>
        <v>#N/A</v>
      </c>
      <c r="BJ460" s="1587">
        <f t="shared" si="341"/>
        <v>0</v>
      </c>
      <c r="BM460" s="1212" t="e">
        <f t="shared" ca="1" si="342"/>
        <v>#N/A</v>
      </c>
      <c r="BN460" s="1213" t="e">
        <f t="shared" ca="1" si="343"/>
        <v>#N/A</v>
      </c>
      <c r="BO460" s="1587">
        <f t="shared" si="344"/>
        <v>0</v>
      </c>
      <c r="BR460" s="1212" t="e">
        <f t="shared" ca="1" si="345"/>
        <v>#N/A</v>
      </c>
      <c r="BS460" s="1213" t="e">
        <f t="shared" ca="1" si="346"/>
        <v>#N/A</v>
      </c>
      <c r="BT460" s="1587">
        <f t="shared" si="347"/>
        <v>0</v>
      </c>
      <c r="BW460" s="1212" t="e">
        <f t="shared" ca="1" si="348"/>
        <v>#N/A</v>
      </c>
      <c r="BX460" s="1213" t="e">
        <f t="shared" ca="1" si="349"/>
        <v>#N/A</v>
      </c>
      <c r="BY460" s="1587">
        <f t="shared" si="350"/>
        <v>0</v>
      </c>
      <c r="CB460" s="1212" t="e">
        <f t="shared" ca="1" si="351"/>
        <v>#N/A</v>
      </c>
      <c r="CC460" s="1213" t="e">
        <f t="shared" ca="1" si="352"/>
        <v>#N/A</v>
      </c>
      <c r="CD460" s="1587">
        <f t="shared" si="353"/>
        <v>0</v>
      </c>
      <c r="CG460" s="1212" t="e">
        <f t="shared" ca="1" si="354"/>
        <v>#N/A</v>
      </c>
      <c r="CH460" s="1213" t="e">
        <f t="shared" ca="1" si="355"/>
        <v>#N/A</v>
      </c>
      <c r="CI460" s="1587">
        <f t="shared" si="356"/>
        <v>0</v>
      </c>
      <c r="CL460" s="1212" t="e">
        <f t="shared" ca="1" si="357"/>
        <v>#N/A</v>
      </c>
      <c r="CM460" s="1213" t="e">
        <f t="shared" ca="1" si="358"/>
        <v>#N/A</v>
      </c>
      <c r="CN460" s="1587">
        <f t="shared" si="359"/>
        <v>0</v>
      </c>
    </row>
    <row r="461" spans="1:92">
      <c r="A461" s="141">
        <f>'銀行-TSS'!A461</f>
        <v>0</v>
      </c>
      <c r="B461" s="151">
        <f ca="1">VLOOKUP(A461,'銀行-TSS'!A:B,2,FALSE)</f>
        <v>0</v>
      </c>
      <c r="C461" s="151" t="e">
        <f ca="1">VLOOKUP(B461,bond!B:C,2,FALSE)</f>
        <v>#N/A</v>
      </c>
      <c r="D461" s="95" t="e">
        <f>VLOOKUP(A461,'銀行-TSS'!A:C,3,FALSE)</f>
        <v>#N/A</v>
      </c>
      <c r="E461" s="90" t="e">
        <f ca="1">VLOOKUP(A461,'銀行-TSS'!A:G,7,FALSE)</f>
        <v>#N/A</v>
      </c>
      <c r="F461" s="202" t="e">
        <f ca="1">VLOOKUP(A461,'銀行-TSS'!A:H,8,FALSE)</f>
        <v>#N/A</v>
      </c>
      <c r="G461" s="96" t="e">
        <f ca="1">VLOOKUP(A461,'銀行-TSS'!A:K,11,FALSE)</f>
        <v>#N/A</v>
      </c>
      <c r="H461" s="1209" t="e">
        <f ca="1">VLOOKUP(A461,'銀行-TSS'!A:M,13,FALSE)</f>
        <v>#N/A</v>
      </c>
      <c r="I461" s="1213" t="e">
        <f ca="1">VLOOKUP(A461,'銀行-TSS'!A:N,14,FALSE)</f>
        <v>#N/A</v>
      </c>
      <c r="J461" s="1213" t="e">
        <f ca="1">VLOOKUP(A461,'銀行-TSS'!A:O,15,FALSE)</f>
        <v>#N/A</v>
      </c>
      <c r="K461" s="136" t="e">
        <f ca="1">VLOOKUP(A461,'銀行-TSS'!A:V,22,FALSE)</f>
        <v>#N/A</v>
      </c>
      <c r="L461" s="136" t="e">
        <f ca="1">VLOOKUP(A461,'銀行-TSS'!A:AK,37,FALSE)</f>
        <v>#N/A</v>
      </c>
      <c r="M461" s="136" t="str">
        <f ca="1">VLOOKUP(A461,'銀行-TSS'!A:AN,40,FALSE)</f>
        <v/>
      </c>
      <c r="N461" s="136" t="e">
        <f t="shared" ca="1" si="315"/>
        <v>#N/A</v>
      </c>
      <c r="O461" s="1213" t="e">
        <f t="shared" ca="1" si="316"/>
        <v>#N/A</v>
      </c>
      <c r="P461" s="1213" t="e">
        <f ca="1">IF(AND($O$1&gt;=O461,換券單檔!$D$13=D461),I461+INT(($O$1-O461)/N461)*J461,0)</f>
        <v>#N/A</v>
      </c>
      <c r="Q461" s="1213" t="e">
        <f t="shared" ca="1" si="317"/>
        <v>#N/A</v>
      </c>
      <c r="R461" s="1213">
        <f t="shared" si="318"/>
        <v>0</v>
      </c>
      <c r="S461" s="1213">
        <f t="shared" si="319"/>
        <v>0</v>
      </c>
      <c r="T461" s="136">
        <f>IF(OR(R461=0,A461=0),0,IF(AND(V461=TRUE,換券單檔!$D$13=D461),E461,0))</f>
        <v>0</v>
      </c>
      <c r="U461" s="861">
        <f>IF(OR(R461=0,A461=0),0,IF(AND(V461=TRUE,換券單檔!$D$13=D461),H461,0))</f>
        <v>0</v>
      </c>
      <c r="V461" s="136" t="e">
        <f ca="1">IF(OR(B461=換券單檔!$D$3,L461="無",M461&lt;&gt;"",K461="高資產",IFERROR(MATCH(B461,換券單檔!K:K,0),"N")&lt;&gt;"N"),FALSE,IF($V$1="All",TRUE,IF(K461=$V$1,TRUE,FALSE)))</f>
        <v>#N/A</v>
      </c>
      <c r="W461" s="136" t="e">
        <f ca="1">VLOOKUP(A461,'銀行-TSS'!A:AO,41,FALSE)</f>
        <v>#N/A</v>
      </c>
      <c r="X461" s="136" t="e">
        <f ca="1">VLOOKUP(A461,'銀行-TSS'!A:AP,42,FALSE)</f>
        <v>#N/A</v>
      </c>
      <c r="Y461" s="1220">
        <f t="shared" si="320"/>
        <v>0</v>
      </c>
      <c r="Z461" s="1220">
        <f t="shared" si="321"/>
        <v>0</v>
      </c>
      <c r="AA461" s="136">
        <f>IF(Z461&lt;=0,0,RANK(Z461,Z:Z)+COUNTIF($Z$3:$Z461,Z461)-1)</f>
        <v>0</v>
      </c>
      <c r="AB461" s="1211">
        <f t="shared" ca="1" si="322"/>
        <v>-14896.14</v>
      </c>
      <c r="AC461" s="136">
        <f ca="1">IF(AB461&lt;=0,0,RANK(AB461,AB:AB)+COUNTIF($AB$3:$AB461,AB461)-1)</f>
        <v>0</v>
      </c>
      <c r="AD461" s="1123">
        <f t="shared" si="323"/>
        <v>99999</v>
      </c>
      <c r="AE461" s="1123">
        <f>IF(AD461=99999,0,RANK(AD461,AD:AD,1)+COUNTIF($AD$3:$AD461,AD461)-1)</f>
        <v>0</v>
      </c>
      <c r="AF461" s="86" t="e">
        <f ca="1">IF(OR(M461&lt;&gt;"",L461="無",K461="高資產",IFERROR(MATCH(B461,換券單檔!K:K,0),"N")&lt;&gt;"N"),FALSE,TRUE)</f>
        <v>#N/A</v>
      </c>
      <c r="AI461" s="1212" t="e">
        <f t="shared" ca="1" si="324"/>
        <v>#N/A</v>
      </c>
      <c r="AJ461" s="1213" t="e">
        <f t="shared" ca="1" si="325"/>
        <v>#N/A</v>
      </c>
      <c r="AK461" s="1587">
        <f t="shared" si="326"/>
        <v>0</v>
      </c>
      <c r="AN461" s="1212" t="e">
        <f t="shared" ca="1" si="327"/>
        <v>#N/A</v>
      </c>
      <c r="AO461" s="1213" t="e">
        <f t="shared" ca="1" si="328"/>
        <v>#N/A</v>
      </c>
      <c r="AP461" s="1587">
        <f t="shared" si="329"/>
        <v>0</v>
      </c>
      <c r="AS461" s="1212" t="e">
        <f t="shared" ca="1" si="330"/>
        <v>#N/A</v>
      </c>
      <c r="AT461" s="1213" t="e">
        <f t="shared" ca="1" si="331"/>
        <v>#N/A</v>
      </c>
      <c r="AU461" s="1587">
        <f t="shared" si="332"/>
        <v>0</v>
      </c>
      <c r="AX461" s="1212" t="e">
        <f t="shared" ca="1" si="333"/>
        <v>#N/A</v>
      </c>
      <c r="AY461" s="1213" t="e">
        <f t="shared" ca="1" si="334"/>
        <v>#N/A</v>
      </c>
      <c r="AZ461" s="1587">
        <f t="shared" si="335"/>
        <v>0</v>
      </c>
      <c r="BC461" s="1212" t="e">
        <f t="shared" ca="1" si="336"/>
        <v>#N/A</v>
      </c>
      <c r="BD461" s="1213" t="e">
        <f t="shared" ca="1" si="337"/>
        <v>#N/A</v>
      </c>
      <c r="BE461" s="1587">
        <f t="shared" si="338"/>
        <v>0</v>
      </c>
      <c r="BH461" s="1212" t="e">
        <f t="shared" ca="1" si="339"/>
        <v>#N/A</v>
      </c>
      <c r="BI461" s="1213" t="e">
        <f t="shared" ca="1" si="340"/>
        <v>#N/A</v>
      </c>
      <c r="BJ461" s="1587">
        <f t="shared" si="341"/>
        <v>0</v>
      </c>
      <c r="BM461" s="1212" t="e">
        <f t="shared" ca="1" si="342"/>
        <v>#N/A</v>
      </c>
      <c r="BN461" s="1213" t="e">
        <f t="shared" ca="1" si="343"/>
        <v>#N/A</v>
      </c>
      <c r="BO461" s="1587">
        <f t="shared" si="344"/>
        <v>0</v>
      </c>
      <c r="BR461" s="1212" t="e">
        <f t="shared" ca="1" si="345"/>
        <v>#N/A</v>
      </c>
      <c r="BS461" s="1213" t="e">
        <f t="shared" ca="1" si="346"/>
        <v>#N/A</v>
      </c>
      <c r="BT461" s="1587">
        <f t="shared" si="347"/>
        <v>0</v>
      </c>
      <c r="BW461" s="1212" t="e">
        <f t="shared" ca="1" si="348"/>
        <v>#N/A</v>
      </c>
      <c r="BX461" s="1213" t="e">
        <f t="shared" ca="1" si="349"/>
        <v>#N/A</v>
      </c>
      <c r="BY461" s="1587">
        <f t="shared" si="350"/>
        <v>0</v>
      </c>
      <c r="CB461" s="1212" t="e">
        <f t="shared" ca="1" si="351"/>
        <v>#N/A</v>
      </c>
      <c r="CC461" s="1213" t="e">
        <f t="shared" ca="1" si="352"/>
        <v>#N/A</v>
      </c>
      <c r="CD461" s="1587">
        <f t="shared" si="353"/>
        <v>0</v>
      </c>
      <c r="CG461" s="1212" t="e">
        <f t="shared" ca="1" si="354"/>
        <v>#N/A</v>
      </c>
      <c r="CH461" s="1213" t="e">
        <f t="shared" ca="1" si="355"/>
        <v>#N/A</v>
      </c>
      <c r="CI461" s="1587">
        <f t="shared" si="356"/>
        <v>0</v>
      </c>
      <c r="CL461" s="1212" t="e">
        <f t="shared" ca="1" si="357"/>
        <v>#N/A</v>
      </c>
      <c r="CM461" s="1213" t="e">
        <f t="shared" ca="1" si="358"/>
        <v>#N/A</v>
      </c>
      <c r="CN461" s="1587">
        <f t="shared" si="359"/>
        <v>0</v>
      </c>
    </row>
    <row r="462" spans="1:92">
      <c r="A462" s="141">
        <f>'銀行-TSS'!A462</f>
        <v>0</v>
      </c>
      <c r="B462" s="151">
        <f ca="1">VLOOKUP(A462,'銀行-TSS'!A:B,2,FALSE)</f>
        <v>0</v>
      </c>
      <c r="C462" s="151" t="e">
        <f ca="1">VLOOKUP(B462,bond!B:C,2,FALSE)</f>
        <v>#N/A</v>
      </c>
      <c r="D462" s="95" t="e">
        <f>VLOOKUP(A462,'銀行-TSS'!A:C,3,FALSE)</f>
        <v>#N/A</v>
      </c>
      <c r="E462" s="90" t="e">
        <f ca="1">VLOOKUP(A462,'銀行-TSS'!A:G,7,FALSE)</f>
        <v>#N/A</v>
      </c>
      <c r="F462" s="202" t="e">
        <f ca="1">VLOOKUP(A462,'銀行-TSS'!A:H,8,FALSE)</f>
        <v>#N/A</v>
      </c>
      <c r="G462" s="96" t="e">
        <f ca="1">VLOOKUP(A462,'銀行-TSS'!A:K,11,FALSE)</f>
        <v>#N/A</v>
      </c>
      <c r="H462" s="1209" t="e">
        <f ca="1">VLOOKUP(A462,'銀行-TSS'!A:M,13,FALSE)</f>
        <v>#N/A</v>
      </c>
      <c r="I462" s="1213" t="e">
        <f ca="1">VLOOKUP(A462,'銀行-TSS'!A:N,14,FALSE)</f>
        <v>#N/A</v>
      </c>
      <c r="J462" s="1213" t="e">
        <f ca="1">VLOOKUP(A462,'銀行-TSS'!A:O,15,FALSE)</f>
        <v>#N/A</v>
      </c>
      <c r="K462" s="136" t="e">
        <f ca="1">VLOOKUP(A462,'銀行-TSS'!A:V,22,FALSE)</f>
        <v>#N/A</v>
      </c>
      <c r="L462" s="136" t="e">
        <f ca="1">VLOOKUP(A462,'銀行-TSS'!A:AK,37,FALSE)</f>
        <v>#N/A</v>
      </c>
      <c r="M462" s="136" t="str">
        <f ca="1">VLOOKUP(A462,'銀行-TSS'!A:AN,40,FALSE)</f>
        <v/>
      </c>
      <c r="N462" s="136" t="e">
        <f t="shared" ca="1" si="315"/>
        <v>#N/A</v>
      </c>
      <c r="O462" s="1213" t="e">
        <f t="shared" ca="1" si="316"/>
        <v>#N/A</v>
      </c>
      <c r="P462" s="1213" t="e">
        <f ca="1">IF(AND($O$1&gt;=O462,換券單檔!$D$13=D462),I462+INT(($O$1-O462)/N462)*J462,0)</f>
        <v>#N/A</v>
      </c>
      <c r="Q462" s="1213" t="e">
        <f t="shared" ca="1" si="317"/>
        <v>#N/A</v>
      </c>
      <c r="R462" s="1213">
        <f t="shared" si="318"/>
        <v>0</v>
      </c>
      <c r="S462" s="1213">
        <f t="shared" si="319"/>
        <v>0</v>
      </c>
      <c r="T462" s="136">
        <f>IF(OR(R462=0,A462=0),0,IF(AND(V462=TRUE,換券單檔!$D$13=D462),E462,0))</f>
        <v>0</v>
      </c>
      <c r="U462" s="861">
        <f>IF(OR(R462=0,A462=0),0,IF(AND(V462=TRUE,換券單檔!$D$13=D462),H462,0))</f>
        <v>0</v>
      </c>
      <c r="V462" s="136" t="e">
        <f ca="1">IF(OR(B462=換券單檔!$D$3,L462="無",M462&lt;&gt;"",K462="高資產",IFERROR(MATCH(B462,換券單檔!K:K,0),"N")&lt;&gt;"N"),FALSE,IF($V$1="All",TRUE,IF(K462=$V$1,TRUE,FALSE)))</f>
        <v>#N/A</v>
      </c>
      <c r="W462" s="136" t="e">
        <f ca="1">VLOOKUP(A462,'銀行-TSS'!A:AO,41,FALSE)</f>
        <v>#N/A</v>
      </c>
      <c r="X462" s="136" t="e">
        <f ca="1">VLOOKUP(A462,'銀行-TSS'!A:AP,42,FALSE)</f>
        <v>#N/A</v>
      </c>
      <c r="Y462" s="1220">
        <f t="shared" si="320"/>
        <v>0</v>
      </c>
      <c r="Z462" s="1220">
        <f t="shared" si="321"/>
        <v>0</v>
      </c>
      <c r="AA462" s="136">
        <f>IF(Z462&lt;=0,0,RANK(Z462,Z:Z)+COUNTIF($Z$3:$Z462,Z462)-1)</f>
        <v>0</v>
      </c>
      <c r="AB462" s="1211">
        <f t="shared" ca="1" si="322"/>
        <v>-14896.14</v>
      </c>
      <c r="AC462" s="136">
        <f ca="1">IF(AB462&lt;=0,0,RANK(AB462,AB:AB)+COUNTIF($AB$3:$AB462,AB462)-1)</f>
        <v>0</v>
      </c>
      <c r="AD462" s="1123">
        <f t="shared" si="323"/>
        <v>99999</v>
      </c>
      <c r="AE462" s="1123">
        <f>IF(AD462=99999,0,RANK(AD462,AD:AD,1)+COUNTIF($AD$3:$AD462,AD462)-1)</f>
        <v>0</v>
      </c>
      <c r="AF462" s="86" t="e">
        <f ca="1">IF(OR(M462&lt;&gt;"",L462="無",K462="高資產",IFERROR(MATCH(B462,換券單檔!K:K,0),"N")&lt;&gt;"N"),FALSE,TRUE)</f>
        <v>#N/A</v>
      </c>
      <c r="AI462" s="1212" t="e">
        <f t="shared" ca="1" si="324"/>
        <v>#N/A</v>
      </c>
      <c r="AJ462" s="1213" t="e">
        <f t="shared" ca="1" si="325"/>
        <v>#N/A</v>
      </c>
      <c r="AK462" s="1587">
        <f t="shared" si="326"/>
        <v>0</v>
      </c>
      <c r="AN462" s="1212" t="e">
        <f t="shared" ca="1" si="327"/>
        <v>#N/A</v>
      </c>
      <c r="AO462" s="1213" t="e">
        <f t="shared" ca="1" si="328"/>
        <v>#N/A</v>
      </c>
      <c r="AP462" s="1587">
        <f t="shared" si="329"/>
        <v>0</v>
      </c>
      <c r="AS462" s="1212" t="e">
        <f t="shared" ca="1" si="330"/>
        <v>#N/A</v>
      </c>
      <c r="AT462" s="1213" t="e">
        <f t="shared" ca="1" si="331"/>
        <v>#N/A</v>
      </c>
      <c r="AU462" s="1587">
        <f t="shared" si="332"/>
        <v>0</v>
      </c>
      <c r="AX462" s="1212" t="e">
        <f t="shared" ca="1" si="333"/>
        <v>#N/A</v>
      </c>
      <c r="AY462" s="1213" t="e">
        <f t="shared" ca="1" si="334"/>
        <v>#N/A</v>
      </c>
      <c r="AZ462" s="1587">
        <f t="shared" si="335"/>
        <v>0</v>
      </c>
      <c r="BC462" s="1212" t="e">
        <f t="shared" ca="1" si="336"/>
        <v>#N/A</v>
      </c>
      <c r="BD462" s="1213" t="e">
        <f t="shared" ca="1" si="337"/>
        <v>#N/A</v>
      </c>
      <c r="BE462" s="1587">
        <f t="shared" si="338"/>
        <v>0</v>
      </c>
      <c r="BH462" s="1212" t="e">
        <f t="shared" ca="1" si="339"/>
        <v>#N/A</v>
      </c>
      <c r="BI462" s="1213" t="e">
        <f t="shared" ca="1" si="340"/>
        <v>#N/A</v>
      </c>
      <c r="BJ462" s="1587">
        <f t="shared" si="341"/>
        <v>0</v>
      </c>
      <c r="BM462" s="1212" t="e">
        <f t="shared" ca="1" si="342"/>
        <v>#N/A</v>
      </c>
      <c r="BN462" s="1213" t="e">
        <f t="shared" ca="1" si="343"/>
        <v>#N/A</v>
      </c>
      <c r="BO462" s="1587">
        <f t="shared" si="344"/>
        <v>0</v>
      </c>
      <c r="BR462" s="1212" t="e">
        <f t="shared" ca="1" si="345"/>
        <v>#N/A</v>
      </c>
      <c r="BS462" s="1213" t="e">
        <f t="shared" ca="1" si="346"/>
        <v>#N/A</v>
      </c>
      <c r="BT462" s="1587">
        <f t="shared" si="347"/>
        <v>0</v>
      </c>
      <c r="BW462" s="1212" t="e">
        <f t="shared" ca="1" si="348"/>
        <v>#N/A</v>
      </c>
      <c r="BX462" s="1213" t="e">
        <f t="shared" ca="1" si="349"/>
        <v>#N/A</v>
      </c>
      <c r="BY462" s="1587">
        <f t="shared" si="350"/>
        <v>0</v>
      </c>
      <c r="CB462" s="1212" t="e">
        <f t="shared" ca="1" si="351"/>
        <v>#N/A</v>
      </c>
      <c r="CC462" s="1213" t="e">
        <f t="shared" ca="1" si="352"/>
        <v>#N/A</v>
      </c>
      <c r="CD462" s="1587">
        <f t="shared" si="353"/>
        <v>0</v>
      </c>
      <c r="CG462" s="1212" t="e">
        <f t="shared" ca="1" si="354"/>
        <v>#N/A</v>
      </c>
      <c r="CH462" s="1213" t="e">
        <f t="shared" ca="1" si="355"/>
        <v>#N/A</v>
      </c>
      <c r="CI462" s="1587">
        <f t="shared" si="356"/>
        <v>0</v>
      </c>
      <c r="CL462" s="1212" t="e">
        <f t="shared" ca="1" si="357"/>
        <v>#N/A</v>
      </c>
      <c r="CM462" s="1213" t="e">
        <f t="shared" ca="1" si="358"/>
        <v>#N/A</v>
      </c>
      <c r="CN462" s="1587">
        <f t="shared" si="359"/>
        <v>0</v>
      </c>
    </row>
    <row r="463" spans="1:92">
      <c r="A463" s="141">
        <f>'銀行-TSS'!A463</f>
        <v>0</v>
      </c>
      <c r="B463" s="151">
        <f ca="1">VLOOKUP(A463,'銀行-TSS'!A:B,2,FALSE)</f>
        <v>0</v>
      </c>
      <c r="C463" s="151" t="e">
        <f ca="1">VLOOKUP(B463,bond!B:C,2,FALSE)</f>
        <v>#N/A</v>
      </c>
      <c r="D463" s="95" t="e">
        <f>VLOOKUP(A463,'銀行-TSS'!A:C,3,FALSE)</f>
        <v>#N/A</v>
      </c>
      <c r="E463" s="90" t="e">
        <f ca="1">VLOOKUP(A463,'銀行-TSS'!A:G,7,FALSE)</f>
        <v>#N/A</v>
      </c>
      <c r="F463" s="202" t="e">
        <f ca="1">VLOOKUP(A463,'銀行-TSS'!A:H,8,FALSE)</f>
        <v>#N/A</v>
      </c>
      <c r="G463" s="96" t="e">
        <f ca="1">VLOOKUP(A463,'銀行-TSS'!A:K,11,FALSE)</f>
        <v>#N/A</v>
      </c>
      <c r="H463" s="1209" t="e">
        <f ca="1">VLOOKUP(A463,'銀行-TSS'!A:M,13,FALSE)</f>
        <v>#N/A</v>
      </c>
      <c r="I463" s="1213" t="e">
        <f ca="1">VLOOKUP(A463,'銀行-TSS'!A:N,14,FALSE)</f>
        <v>#N/A</v>
      </c>
      <c r="J463" s="1213" t="e">
        <f ca="1">VLOOKUP(A463,'銀行-TSS'!A:O,15,FALSE)</f>
        <v>#N/A</v>
      </c>
      <c r="K463" s="136" t="e">
        <f ca="1">VLOOKUP(A463,'銀行-TSS'!A:V,22,FALSE)</f>
        <v>#N/A</v>
      </c>
      <c r="L463" s="136" t="e">
        <f ca="1">VLOOKUP(A463,'銀行-TSS'!A:AK,37,FALSE)</f>
        <v>#N/A</v>
      </c>
      <c r="M463" s="136" t="str">
        <f ca="1">VLOOKUP(A463,'銀行-TSS'!A:AN,40,FALSE)</f>
        <v/>
      </c>
      <c r="N463" s="136" t="e">
        <f t="shared" ca="1" si="315"/>
        <v>#N/A</v>
      </c>
      <c r="O463" s="1213" t="e">
        <f t="shared" ca="1" si="316"/>
        <v>#N/A</v>
      </c>
      <c r="P463" s="1213" t="e">
        <f ca="1">IF(AND($O$1&gt;=O463,換券單檔!$D$13=D463),I463+INT(($O$1-O463)/N463)*J463,0)</f>
        <v>#N/A</v>
      </c>
      <c r="Q463" s="1213" t="e">
        <f t="shared" ca="1" si="317"/>
        <v>#N/A</v>
      </c>
      <c r="R463" s="1213">
        <f t="shared" si="318"/>
        <v>0</v>
      </c>
      <c r="S463" s="1213">
        <f t="shared" si="319"/>
        <v>0</v>
      </c>
      <c r="T463" s="136">
        <f>IF(OR(R463=0,A463=0),0,IF(AND(V463=TRUE,換券單檔!$D$13=D463),E463,0))</f>
        <v>0</v>
      </c>
      <c r="U463" s="861">
        <f>IF(OR(R463=0,A463=0),0,IF(AND(V463=TRUE,換券單檔!$D$13=D463),H463,0))</f>
        <v>0</v>
      </c>
      <c r="V463" s="136" t="e">
        <f ca="1">IF(OR(B463=換券單檔!$D$3,L463="無",M463&lt;&gt;"",K463="高資產",IFERROR(MATCH(B463,換券單檔!K:K,0),"N")&lt;&gt;"N"),FALSE,IF($V$1="All",TRUE,IF(K463=$V$1,TRUE,FALSE)))</f>
        <v>#N/A</v>
      </c>
      <c r="W463" s="136" t="e">
        <f ca="1">VLOOKUP(A463,'銀行-TSS'!A:AO,41,FALSE)</f>
        <v>#N/A</v>
      </c>
      <c r="X463" s="136" t="e">
        <f ca="1">VLOOKUP(A463,'銀行-TSS'!A:AP,42,FALSE)</f>
        <v>#N/A</v>
      </c>
      <c r="Y463" s="1220">
        <f t="shared" si="320"/>
        <v>0</v>
      </c>
      <c r="Z463" s="1220">
        <f t="shared" si="321"/>
        <v>0</v>
      </c>
      <c r="AA463" s="136">
        <f>IF(Z463&lt;=0,0,RANK(Z463,Z:Z)+COUNTIF($Z$3:$Z463,Z463)-1)</f>
        <v>0</v>
      </c>
      <c r="AB463" s="1211">
        <f t="shared" ca="1" si="322"/>
        <v>-14896.14</v>
      </c>
      <c r="AC463" s="136">
        <f ca="1">IF(AB463&lt;=0,0,RANK(AB463,AB:AB)+COUNTIF($AB$3:$AB463,AB463)-1)</f>
        <v>0</v>
      </c>
      <c r="AD463" s="1123">
        <f t="shared" si="323"/>
        <v>99999</v>
      </c>
      <c r="AE463" s="1123">
        <f>IF(AD463=99999,0,RANK(AD463,AD:AD,1)+COUNTIF($AD$3:$AD463,AD463)-1)</f>
        <v>0</v>
      </c>
      <c r="AF463" s="86" t="e">
        <f ca="1">IF(OR(M463&lt;&gt;"",L463="無",K463="高資產",IFERROR(MATCH(B463,換券單檔!K:K,0),"N")&lt;&gt;"N"),FALSE,TRUE)</f>
        <v>#N/A</v>
      </c>
      <c r="AI463" s="1212" t="e">
        <f t="shared" ca="1" si="324"/>
        <v>#N/A</v>
      </c>
      <c r="AJ463" s="1213" t="e">
        <f t="shared" ca="1" si="325"/>
        <v>#N/A</v>
      </c>
      <c r="AK463" s="1587">
        <f t="shared" si="326"/>
        <v>0</v>
      </c>
      <c r="AN463" s="1212" t="e">
        <f t="shared" ca="1" si="327"/>
        <v>#N/A</v>
      </c>
      <c r="AO463" s="1213" t="e">
        <f t="shared" ca="1" si="328"/>
        <v>#N/A</v>
      </c>
      <c r="AP463" s="1587">
        <f t="shared" si="329"/>
        <v>0</v>
      </c>
      <c r="AS463" s="1212" t="e">
        <f t="shared" ca="1" si="330"/>
        <v>#N/A</v>
      </c>
      <c r="AT463" s="1213" t="e">
        <f t="shared" ca="1" si="331"/>
        <v>#N/A</v>
      </c>
      <c r="AU463" s="1587">
        <f t="shared" si="332"/>
        <v>0</v>
      </c>
      <c r="AX463" s="1212" t="e">
        <f t="shared" ca="1" si="333"/>
        <v>#N/A</v>
      </c>
      <c r="AY463" s="1213" t="e">
        <f t="shared" ca="1" si="334"/>
        <v>#N/A</v>
      </c>
      <c r="AZ463" s="1587">
        <f t="shared" si="335"/>
        <v>0</v>
      </c>
      <c r="BC463" s="1212" t="e">
        <f t="shared" ca="1" si="336"/>
        <v>#N/A</v>
      </c>
      <c r="BD463" s="1213" t="e">
        <f t="shared" ca="1" si="337"/>
        <v>#N/A</v>
      </c>
      <c r="BE463" s="1587">
        <f t="shared" si="338"/>
        <v>0</v>
      </c>
      <c r="BH463" s="1212" t="e">
        <f t="shared" ca="1" si="339"/>
        <v>#N/A</v>
      </c>
      <c r="BI463" s="1213" t="e">
        <f t="shared" ca="1" si="340"/>
        <v>#N/A</v>
      </c>
      <c r="BJ463" s="1587">
        <f t="shared" si="341"/>
        <v>0</v>
      </c>
      <c r="BM463" s="1212" t="e">
        <f t="shared" ca="1" si="342"/>
        <v>#N/A</v>
      </c>
      <c r="BN463" s="1213" t="e">
        <f t="shared" ca="1" si="343"/>
        <v>#N/A</v>
      </c>
      <c r="BO463" s="1587">
        <f t="shared" si="344"/>
        <v>0</v>
      </c>
      <c r="BR463" s="1212" t="e">
        <f t="shared" ca="1" si="345"/>
        <v>#N/A</v>
      </c>
      <c r="BS463" s="1213" t="e">
        <f t="shared" ca="1" si="346"/>
        <v>#N/A</v>
      </c>
      <c r="BT463" s="1587">
        <f t="shared" si="347"/>
        <v>0</v>
      </c>
      <c r="BW463" s="1212" t="e">
        <f t="shared" ca="1" si="348"/>
        <v>#N/A</v>
      </c>
      <c r="BX463" s="1213" t="e">
        <f t="shared" ca="1" si="349"/>
        <v>#N/A</v>
      </c>
      <c r="BY463" s="1587">
        <f t="shared" si="350"/>
        <v>0</v>
      </c>
      <c r="CB463" s="1212" t="e">
        <f t="shared" ca="1" si="351"/>
        <v>#N/A</v>
      </c>
      <c r="CC463" s="1213" t="e">
        <f t="shared" ca="1" si="352"/>
        <v>#N/A</v>
      </c>
      <c r="CD463" s="1587">
        <f t="shared" si="353"/>
        <v>0</v>
      </c>
      <c r="CG463" s="1212" t="e">
        <f t="shared" ca="1" si="354"/>
        <v>#N/A</v>
      </c>
      <c r="CH463" s="1213" t="e">
        <f t="shared" ca="1" si="355"/>
        <v>#N/A</v>
      </c>
      <c r="CI463" s="1587">
        <f t="shared" si="356"/>
        <v>0</v>
      </c>
      <c r="CL463" s="1212" t="e">
        <f t="shared" ca="1" si="357"/>
        <v>#N/A</v>
      </c>
      <c r="CM463" s="1213" t="e">
        <f t="shared" ca="1" si="358"/>
        <v>#N/A</v>
      </c>
      <c r="CN463" s="1587">
        <f t="shared" si="359"/>
        <v>0</v>
      </c>
    </row>
    <row r="464" spans="1:92">
      <c r="A464" s="141">
        <f>'銀行-TSS'!A464</f>
        <v>0</v>
      </c>
      <c r="B464" s="151">
        <f ca="1">VLOOKUP(A464,'銀行-TSS'!A:B,2,FALSE)</f>
        <v>0</v>
      </c>
      <c r="C464" s="151" t="e">
        <f ca="1">VLOOKUP(B464,bond!B:C,2,FALSE)</f>
        <v>#N/A</v>
      </c>
      <c r="D464" s="95" t="e">
        <f>VLOOKUP(A464,'銀行-TSS'!A:C,3,FALSE)</f>
        <v>#N/A</v>
      </c>
      <c r="E464" s="90" t="e">
        <f ca="1">VLOOKUP(A464,'銀行-TSS'!A:G,7,FALSE)</f>
        <v>#N/A</v>
      </c>
      <c r="F464" s="202" t="e">
        <f ca="1">VLOOKUP(A464,'銀行-TSS'!A:H,8,FALSE)</f>
        <v>#N/A</v>
      </c>
      <c r="G464" s="96" t="e">
        <f ca="1">VLOOKUP(A464,'銀行-TSS'!A:K,11,FALSE)</f>
        <v>#N/A</v>
      </c>
      <c r="H464" s="1209" t="e">
        <f ca="1">VLOOKUP(A464,'銀行-TSS'!A:M,13,FALSE)</f>
        <v>#N/A</v>
      </c>
      <c r="I464" s="1213" t="e">
        <f ca="1">VLOOKUP(A464,'銀行-TSS'!A:N,14,FALSE)</f>
        <v>#N/A</v>
      </c>
      <c r="J464" s="1213" t="e">
        <f ca="1">VLOOKUP(A464,'銀行-TSS'!A:O,15,FALSE)</f>
        <v>#N/A</v>
      </c>
      <c r="K464" s="136" t="e">
        <f ca="1">VLOOKUP(A464,'銀行-TSS'!A:V,22,FALSE)</f>
        <v>#N/A</v>
      </c>
      <c r="L464" s="136" t="e">
        <f ca="1">VLOOKUP(A464,'銀行-TSS'!A:AK,37,FALSE)</f>
        <v>#N/A</v>
      </c>
      <c r="M464" s="136" t="str">
        <f ca="1">VLOOKUP(A464,'銀行-TSS'!A:AN,40,FALSE)</f>
        <v/>
      </c>
      <c r="N464" s="136" t="e">
        <f t="shared" ca="1" si="315"/>
        <v>#N/A</v>
      </c>
      <c r="O464" s="1213" t="e">
        <f t="shared" ca="1" si="316"/>
        <v>#N/A</v>
      </c>
      <c r="P464" s="1213" t="e">
        <f ca="1">IF(AND($O$1&gt;=O464,換券單檔!$D$13=D464),I464+INT(($O$1-O464)/N464)*J464,0)</f>
        <v>#N/A</v>
      </c>
      <c r="Q464" s="1213" t="e">
        <f t="shared" ca="1" si="317"/>
        <v>#N/A</v>
      </c>
      <c r="R464" s="1213">
        <f t="shared" si="318"/>
        <v>0</v>
      </c>
      <c r="S464" s="1213">
        <f t="shared" si="319"/>
        <v>0</v>
      </c>
      <c r="T464" s="136">
        <f>IF(OR(R464=0,A464=0),0,IF(AND(V464=TRUE,換券單檔!$D$13=D464),E464,0))</f>
        <v>0</v>
      </c>
      <c r="U464" s="861">
        <f>IF(OR(R464=0,A464=0),0,IF(AND(V464=TRUE,換券單檔!$D$13=D464),H464,0))</f>
        <v>0</v>
      </c>
      <c r="V464" s="136" t="e">
        <f ca="1">IF(OR(B464=換券單檔!$D$3,L464="無",M464&lt;&gt;"",K464="高資產",IFERROR(MATCH(B464,換券單檔!K:K,0),"N")&lt;&gt;"N"),FALSE,IF($V$1="All",TRUE,IF(K464=$V$1,TRUE,FALSE)))</f>
        <v>#N/A</v>
      </c>
      <c r="W464" s="136" t="e">
        <f ca="1">VLOOKUP(A464,'銀行-TSS'!A:AO,41,FALSE)</f>
        <v>#N/A</v>
      </c>
      <c r="X464" s="136" t="e">
        <f ca="1">VLOOKUP(A464,'銀行-TSS'!A:AP,42,FALSE)</f>
        <v>#N/A</v>
      </c>
      <c r="Y464" s="1220">
        <f t="shared" si="320"/>
        <v>0</v>
      </c>
      <c r="Z464" s="1220">
        <f t="shared" si="321"/>
        <v>0</v>
      </c>
      <c r="AA464" s="136">
        <f>IF(Z464&lt;=0,0,RANK(Z464,Z:Z)+COUNTIF($Z$3:$Z464,Z464)-1)</f>
        <v>0</v>
      </c>
      <c r="AB464" s="1211">
        <f t="shared" ca="1" si="322"/>
        <v>-14896.14</v>
      </c>
      <c r="AC464" s="136">
        <f ca="1">IF(AB464&lt;=0,0,RANK(AB464,AB:AB)+COUNTIF($AB$3:$AB464,AB464)-1)</f>
        <v>0</v>
      </c>
      <c r="AD464" s="1123">
        <f t="shared" si="323"/>
        <v>99999</v>
      </c>
      <c r="AE464" s="1123">
        <f>IF(AD464=99999,0,RANK(AD464,AD:AD,1)+COUNTIF($AD$3:$AD464,AD464)-1)</f>
        <v>0</v>
      </c>
      <c r="AF464" s="86" t="e">
        <f ca="1">IF(OR(M464&lt;&gt;"",L464="無",K464="高資產",IFERROR(MATCH(B464,換券單檔!K:K,0),"N")&lt;&gt;"N"),FALSE,TRUE)</f>
        <v>#N/A</v>
      </c>
      <c r="AI464" s="1212" t="e">
        <f t="shared" ca="1" si="324"/>
        <v>#N/A</v>
      </c>
      <c r="AJ464" s="1213" t="e">
        <f t="shared" ca="1" si="325"/>
        <v>#N/A</v>
      </c>
      <c r="AK464" s="1587">
        <f t="shared" si="326"/>
        <v>0</v>
      </c>
      <c r="AN464" s="1212" t="e">
        <f t="shared" ca="1" si="327"/>
        <v>#N/A</v>
      </c>
      <c r="AO464" s="1213" t="e">
        <f t="shared" ca="1" si="328"/>
        <v>#N/A</v>
      </c>
      <c r="AP464" s="1587">
        <f t="shared" si="329"/>
        <v>0</v>
      </c>
      <c r="AS464" s="1212" t="e">
        <f t="shared" ca="1" si="330"/>
        <v>#N/A</v>
      </c>
      <c r="AT464" s="1213" t="e">
        <f t="shared" ca="1" si="331"/>
        <v>#N/A</v>
      </c>
      <c r="AU464" s="1587">
        <f t="shared" si="332"/>
        <v>0</v>
      </c>
      <c r="AX464" s="1212" t="e">
        <f t="shared" ca="1" si="333"/>
        <v>#N/A</v>
      </c>
      <c r="AY464" s="1213" t="e">
        <f t="shared" ca="1" si="334"/>
        <v>#N/A</v>
      </c>
      <c r="AZ464" s="1587">
        <f t="shared" si="335"/>
        <v>0</v>
      </c>
      <c r="BC464" s="1212" t="e">
        <f t="shared" ca="1" si="336"/>
        <v>#N/A</v>
      </c>
      <c r="BD464" s="1213" t="e">
        <f t="shared" ca="1" si="337"/>
        <v>#N/A</v>
      </c>
      <c r="BE464" s="1587">
        <f t="shared" si="338"/>
        <v>0</v>
      </c>
      <c r="BH464" s="1212" t="e">
        <f t="shared" ca="1" si="339"/>
        <v>#N/A</v>
      </c>
      <c r="BI464" s="1213" t="e">
        <f t="shared" ca="1" si="340"/>
        <v>#N/A</v>
      </c>
      <c r="BJ464" s="1587">
        <f t="shared" si="341"/>
        <v>0</v>
      </c>
      <c r="BM464" s="1212" t="e">
        <f t="shared" ca="1" si="342"/>
        <v>#N/A</v>
      </c>
      <c r="BN464" s="1213" t="e">
        <f t="shared" ca="1" si="343"/>
        <v>#N/A</v>
      </c>
      <c r="BO464" s="1587">
        <f t="shared" si="344"/>
        <v>0</v>
      </c>
      <c r="BR464" s="1212" t="e">
        <f t="shared" ca="1" si="345"/>
        <v>#N/A</v>
      </c>
      <c r="BS464" s="1213" t="e">
        <f t="shared" ca="1" si="346"/>
        <v>#N/A</v>
      </c>
      <c r="BT464" s="1587">
        <f t="shared" si="347"/>
        <v>0</v>
      </c>
      <c r="BW464" s="1212" t="e">
        <f t="shared" ca="1" si="348"/>
        <v>#N/A</v>
      </c>
      <c r="BX464" s="1213" t="e">
        <f t="shared" ca="1" si="349"/>
        <v>#N/A</v>
      </c>
      <c r="BY464" s="1587">
        <f t="shared" si="350"/>
        <v>0</v>
      </c>
      <c r="CB464" s="1212" t="e">
        <f t="shared" ca="1" si="351"/>
        <v>#N/A</v>
      </c>
      <c r="CC464" s="1213" t="e">
        <f t="shared" ca="1" si="352"/>
        <v>#N/A</v>
      </c>
      <c r="CD464" s="1587">
        <f t="shared" si="353"/>
        <v>0</v>
      </c>
      <c r="CG464" s="1212" t="e">
        <f t="shared" ca="1" si="354"/>
        <v>#N/A</v>
      </c>
      <c r="CH464" s="1213" t="e">
        <f t="shared" ca="1" si="355"/>
        <v>#N/A</v>
      </c>
      <c r="CI464" s="1587">
        <f t="shared" si="356"/>
        <v>0</v>
      </c>
      <c r="CL464" s="1212" t="e">
        <f t="shared" ca="1" si="357"/>
        <v>#N/A</v>
      </c>
      <c r="CM464" s="1213" t="e">
        <f t="shared" ca="1" si="358"/>
        <v>#N/A</v>
      </c>
      <c r="CN464" s="1587">
        <f t="shared" si="359"/>
        <v>0</v>
      </c>
    </row>
    <row r="465" spans="1:92">
      <c r="A465" s="141">
        <f>'銀行-TSS'!A465</f>
        <v>0</v>
      </c>
      <c r="B465" s="151">
        <f ca="1">VLOOKUP(A465,'銀行-TSS'!A:B,2,FALSE)</f>
        <v>0</v>
      </c>
      <c r="C465" s="151" t="e">
        <f ca="1">VLOOKUP(B465,bond!B:C,2,FALSE)</f>
        <v>#N/A</v>
      </c>
      <c r="D465" s="95" t="e">
        <f>VLOOKUP(A465,'銀行-TSS'!A:C,3,FALSE)</f>
        <v>#N/A</v>
      </c>
      <c r="E465" s="90" t="e">
        <f ca="1">VLOOKUP(A465,'銀行-TSS'!A:G,7,FALSE)</f>
        <v>#N/A</v>
      </c>
      <c r="F465" s="202" t="e">
        <f ca="1">VLOOKUP(A465,'銀行-TSS'!A:H,8,FALSE)</f>
        <v>#N/A</v>
      </c>
      <c r="G465" s="96" t="e">
        <f ca="1">VLOOKUP(A465,'銀行-TSS'!A:K,11,FALSE)</f>
        <v>#N/A</v>
      </c>
      <c r="H465" s="1209" t="e">
        <f ca="1">VLOOKUP(A465,'銀行-TSS'!A:M,13,FALSE)</f>
        <v>#N/A</v>
      </c>
      <c r="I465" s="1213" t="e">
        <f ca="1">VLOOKUP(A465,'銀行-TSS'!A:N,14,FALSE)</f>
        <v>#N/A</v>
      </c>
      <c r="J465" s="1213" t="e">
        <f ca="1">VLOOKUP(A465,'銀行-TSS'!A:O,15,FALSE)</f>
        <v>#N/A</v>
      </c>
      <c r="K465" s="136" t="e">
        <f ca="1">VLOOKUP(A465,'銀行-TSS'!A:V,22,FALSE)</f>
        <v>#N/A</v>
      </c>
      <c r="L465" s="136" t="e">
        <f ca="1">VLOOKUP(A465,'銀行-TSS'!A:AK,37,FALSE)</f>
        <v>#N/A</v>
      </c>
      <c r="M465" s="136" t="str">
        <f ca="1">VLOOKUP(A465,'銀行-TSS'!A:AN,40,FALSE)</f>
        <v/>
      </c>
      <c r="N465" s="136" t="e">
        <f t="shared" ca="1" si="315"/>
        <v>#N/A</v>
      </c>
      <c r="O465" s="1213" t="e">
        <f t="shared" ca="1" si="316"/>
        <v>#N/A</v>
      </c>
      <c r="P465" s="1213" t="e">
        <f ca="1">IF(AND($O$1&gt;=O465,換券單檔!$D$13=D465),I465+INT(($O$1-O465)/N465)*J465,0)</f>
        <v>#N/A</v>
      </c>
      <c r="Q465" s="1213" t="e">
        <f t="shared" ca="1" si="317"/>
        <v>#N/A</v>
      </c>
      <c r="R465" s="1213">
        <f t="shared" si="318"/>
        <v>0</v>
      </c>
      <c r="S465" s="1213">
        <f t="shared" si="319"/>
        <v>0</v>
      </c>
      <c r="T465" s="136">
        <f>IF(OR(R465=0,A465=0),0,IF(AND(V465=TRUE,換券單檔!$D$13=D465),E465,0))</f>
        <v>0</v>
      </c>
      <c r="U465" s="861">
        <f>IF(OR(R465=0,A465=0),0,IF(AND(V465=TRUE,換券單檔!$D$13=D465),H465,0))</f>
        <v>0</v>
      </c>
      <c r="V465" s="136" t="e">
        <f ca="1">IF(OR(B465=換券單檔!$D$3,L465="無",M465&lt;&gt;"",K465="高資產",IFERROR(MATCH(B465,換券單檔!K:K,0),"N")&lt;&gt;"N"),FALSE,IF($V$1="All",TRUE,IF(K465=$V$1,TRUE,FALSE)))</f>
        <v>#N/A</v>
      </c>
      <c r="W465" s="136" t="e">
        <f ca="1">VLOOKUP(A465,'銀行-TSS'!A:AO,41,FALSE)</f>
        <v>#N/A</v>
      </c>
      <c r="X465" s="136" t="e">
        <f ca="1">VLOOKUP(A465,'銀行-TSS'!A:AP,42,FALSE)</f>
        <v>#N/A</v>
      </c>
      <c r="Y465" s="1220">
        <f t="shared" si="320"/>
        <v>0</v>
      </c>
      <c r="Z465" s="1220">
        <f t="shared" si="321"/>
        <v>0</v>
      </c>
      <c r="AA465" s="136">
        <f>IF(Z465&lt;=0,0,RANK(Z465,Z:Z)+COUNTIF($Z$3:$Z465,Z465)-1)</f>
        <v>0</v>
      </c>
      <c r="AB465" s="1211">
        <f t="shared" ca="1" si="322"/>
        <v>-14896.14</v>
      </c>
      <c r="AC465" s="136">
        <f ca="1">IF(AB465&lt;=0,0,RANK(AB465,AB:AB)+COUNTIF($AB$3:$AB465,AB465)-1)</f>
        <v>0</v>
      </c>
      <c r="AD465" s="1123">
        <f t="shared" si="323"/>
        <v>99999</v>
      </c>
      <c r="AE465" s="1123">
        <f>IF(AD465=99999,0,RANK(AD465,AD:AD,1)+COUNTIF($AD$3:$AD465,AD465)-1)</f>
        <v>0</v>
      </c>
      <c r="AF465" s="86" t="e">
        <f ca="1">IF(OR(M465&lt;&gt;"",L465="無",K465="高資產",IFERROR(MATCH(B465,換券單檔!K:K,0),"N")&lt;&gt;"N"),FALSE,TRUE)</f>
        <v>#N/A</v>
      </c>
      <c r="AI465" s="1212" t="e">
        <f t="shared" ca="1" si="324"/>
        <v>#N/A</v>
      </c>
      <c r="AJ465" s="1213" t="e">
        <f t="shared" ca="1" si="325"/>
        <v>#N/A</v>
      </c>
      <c r="AK465" s="1587">
        <f t="shared" si="326"/>
        <v>0</v>
      </c>
      <c r="AN465" s="1212" t="e">
        <f t="shared" ca="1" si="327"/>
        <v>#N/A</v>
      </c>
      <c r="AO465" s="1213" t="e">
        <f t="shared" ca="1" si="328"/>
        <v>#N/A</v>
      </c>
      <c r="AP465" s="1587">
        <f t="shared" si="329"/>
        <v>0</v>
      </c>
      <c r="AS465" s="1212" t="e">
        <f t="shared" ca="1" si="330"/>
        <v>#N/A</v>
      </c>
      <c r="AT465" s="1213" t="e">
        <f t="shared" ca="1" si="331"/>
        <v>#N/A</v>
      </c>
      <c r="AU465" s="1587">
        <f t="shared" si="332"/>
        <v>0</v>
      </c>
      <c r="AX465" s="1212" t="e">
        <f t="shared" ca="1" si="333"/>
        <v>#N/A</v>
      </c>
      <c r="AY465" s="1213" t="e">
        <f t="shared" ca="1" si="334"/>
        <v>#N/A</v>
      </c>
      <c r="AZ465" s="1587">
        <f t="shared" si="335"/>
        <v>0</v>
      </c>
      <c r="BC465" s="1212" t="e">
        <f t="shared" ca="1" si="336"/>
        <v>#N/A</v>
      </c>
      <c r="BD465" s="1213" t="e">
        <f t="shared" ca="1" si="337"/>
        <v>#N/A</v>
      </c>
      <c r="BE465" s="1587">
        <f t="shared" si="338"/>
        <v>0</v>
      </c>
      <c r="BH465" s="1212" t="e">
        <f t="shared" ca="1" si="339"/>
        <v>#N/A</v>
      </c>
      <c r="BI465" s="1213" t="e">
        <f t="shared" ca="1" si="340"/>
        <v>#N/A</v>
      </c>
      <c r="BJ465" s="1587">
        <f t="shared" si="341"/>
        <v>0</v>
      </c>
      <c r="BM465" s="1212" t="e">
        <f t="shared" ca="1" si="342"/>
        <v>#N/A</v>
      </c>
      <c r="BN465" s="1213" t="e">
        <f t="shared" ca="1" si="343"/>
        <v>#N/A</v>
      </c>
      <c r="BO465" s="1587">
        <f t="shared" si="344"/>
        <v>0</v>
      </c>
      <c r="BR465" s="1212" t="e">
        <f t="shared" ca="1" si="345"/>
        <v>#N/A</v>
      </c>
      <c r="BS465" s="1213" t="e">
        <f t="shared" ca="1" si="346"/>
        <v>#N/A</v>
      </c>
      <c r="BT465" s="1587">
        <f t="shared" si="347"/>
        <v>0</v>
      </c>
      <c r="BW465" s="1212" t="e">
        <f t="shared" ca="1" si="348"/>
        <v>#N/A</v>
      </c>
      <c r="BX465" s="1213" t="e">
        <f t="shared" ca="1" si="349"/>
        <v>#N/A</v>
      </c>
      <c r="BY465" s="1587">
        <f t="shared" si="350"/>
        <v>0</v>
      </c>
      <c r="CB465" s="1212" t="e">
        <f t="shared" ca="1" si="351"/>
        <v>#N/A</v>
      </c>
      <c r="CC465" s="1213" t="e">
        <f t="shared" ca="1" si="352"/>
        <v>#N/A</v>
      </c>
      <c r="CD465" s="1587">
        <f t="shared" si="353"/>
        <v>0</v>
      </c>
      <c r="CG465" s="1212" t="e">
        <f t="shared" ca="1" si="354"/>
        <v>#N/A</v>
      </c>
      <c r="CH465" s="1213" t="e">
        <f t="shared" ca="1" si="355"/>
        <v>#N/A</v>
      </c>
      <c r="CI465" s="1587">
        <f t="shared" si="356"/>
        <v>0</v>
      </c>
      <c r="CL465" s="1212" t="e">
        <f t="shared" ca="1" si="357"/>
        <v>#N/A</v>
      </c>
      <c r="CM465" s="1213" t="e">
        <f t="shared" ca="1" si="358"/>
        <v>#N/A</v>
      </c>
      <c r="CN465" s="1587">
        <f t="shared" si="359"/>
        <v>0</v>
      </c>
    </row>
    <row r="466" spans="1:92">
      <c r="A466" s="141">
        <f>'銀行-TSS'!A466</f>
        <v>0</v>
      </c>
      <c r="B466" s="151">
        <f ca="1">VLOOKUP(A466,'銀行-TSS'!A:B,2,FALSE)</f>
        <v>0</v>
      </c>
      <c r="C466" s="151" t="e">
        <f ca="1">VLOOKUP(B466,bond!B:C,2,FALSE)</f>
        <v>#N/A</v>
      </c>
      <c r="D466" s="95" t="e">
        <f>VLOOKUP(A466,'銀行-TSS'!A:C,3,FALSE)</f>
        <v>#N/A</v>
      </c>
      <c r="E466" s="90" t="e">
        <f ca="1">VLOOKUP(A466,'銀行-TSS'!A:G,7,FALSE)</f>
        <v>#N/A</v>
      </c>
      <c r="F466" s="202" t="e">
        <f ca="1">VLOOKUP(A466,'銀行-TSS'!A:H,8,FALSE)</f>
        <v>#N/A</v>
      </c>
      <c r="G466" s="96" t="e">
        <f ca="1">VLOOKUP(A466,'銀行-TSS'!A:K,11,FALSE)</f>
        <v>#N/A</v>
      </c>
      <c r="H466" s="1209" t="e">
        <f ca="1">VLOOKUP(A466,'銀行-TSS'!A:M,13,FALSE)</f>
        <v>#N/A</v>
      </c>
      <c r="I466" s="1213" t="e">
        <f ca="1">VLOOKUP(A466,'銀行-TSS'!A:N,14,FALSE)</f>
        <v>#N/A</v>
      </c>
      <c r="J466" s="1213" t="e">
        <f ca="1">VLOOKUP(A466,'銀行-TSS'!A:O,15,FALSE)</f>
        <v>#N/A</v>
      </c>
      <c r="K466" s="136" t="e">
        <f ca="1">VLOOKUP(A466,'銀行-TSS'!A:V,22,FALSE)</f>
        <v>#N/A</v>
      </c>
      <c r="L466" s="136" t="e">
        <f ca="1">VLOOKUP(A466,'銀行-TSS'!A:AK,37,FALSE)</f>
        <v>#N/A</v>
      </c>
      <c r="M466" s="136" t="str">
        <f ca="1">VLOOKUP(A466,'銀行-TSS'!A:AN,40,FALSE)</f>
        <v/>
      </c>
      <c r="N466" s="136" t="e">
        <f t="shared" ca="1" si="315"/>
        <v>#N/A</v>
      </c>
      <c r="O466" s="1213" t="e">
        <f t="shared" ca="1" si="316"/>
        <v>#N/A</v>
      </c>
      <c r="P466" s="1213" t="e">
        <f ca="1">IF(AND($O$1&gt;=O466,換券單檔!$D$13=D466),I466+INT(($O$1-O466)/N466)*J466,0)</f>
        <v>#N/A</v>
      </c>
      <c r="Q466" s="1213" t="e">
        <f t="shared" ca="1" si="317"/>
        <v>#N/A</v>
      </c>
      <c r="R466" s="1213">
        <f t="shared" si="318"/>
        <v>0</v>
      </c>
      <c r="S466" s="1213">
        <f t="shared" si="319"/>
        <v>0</v>
      </c>
      <c r="T466" s="136">
        <f>IF(OR(R466=0,A466=0),0,IF(AND(V466=TRUE,換券單檔!$D$13=D466),E466,0))</f>
        <v>0</v>
      </c>
      <c r="U466" s="861">
        <f>IF(OR(R466=0,A466=0),0,IF(AND(V466=TRUE,換券單檔!$D$13=D466),H466,0))</f>
        <v>0</v>
      </c>
      <c r="V466" s="136" t="e">
        <f ca="1">IF(OR(B466=換券單檔!$D$3,L466="無",M466&lt;&gt;"",K466="高資產",IFERROR(MATCH(B466,換券單檔!K:K,0),"N")&lt;&gt;"N"),FALSE,IF($V$1="All",TRUE,IF(K466=$V$1,TRUE,FALSE)))</f>
        <v>#N/A</v>
      </c>
      <c r="W466" s="136" t="e">
        <f ca="1">VLOOKUP(A466,'銀行-TSS'!A:AO,41,FALSE)</f>
        <v>#N/A</v>
      </c>
      <c r="X466" s="136" t="e">
        <f ca="1">VLOOKUP(A466,'銀行-TSS'!A:AP,42,FALSE)</f>
        <v>#N/A</v>
      </c>
      <c r="Y466" s="1220">
        <f t="shared" si="320"/>
        <v>0</v>
      </c>
      <c r="Z466" s="1220">
        <f t="shared" si="321"/>
        <v>0</v>
      </c>
      <c r="AA466" s="136">
        <f>IF(Z466&lt;=0,0,RANK(Z466,Z:Z)+COUNTIF($Z$3:$Z466,Z466)-1)</f>
        <v>0</v>
      </c>
      <c r="AB466" s="1211">
        <f t="shared" ca="1" si="322"/>
        <v>-14896.14</v>
      </c>
      <c r="AC466" s="136">
        <f ca="1">IF(AB466&lt;=0,0,RANK(AB466,AB:AB)+COUNTIF($AB$3:$AB466,AB466)-1)</f>
        <v>0</v>
      </c>
      <c r="AD466" s="1123">
        <f t="shared" si="323"/>
        <v>99999</v>
      </c>
      <c r="AE466" s="1123">
        <f>IF(AD466=99999,0,RANK(AD466,AD:AD,1)+COUNTIF($AD$3:$AD466,AD466)-1)</f>
        <v>0</v>
      </c>
      <c r="AF466" s="86" t="e">
        <f ca="1">IF(OR(M466&lt;&gt;"",L466="無",K466="高資產",IFERROR(MATCH(B466,換券單檔!K:K,0),"N")&lt;&gt;"N"),FALSE,TRUE)</f>
        <v>#N/A</v>
      </c>
      <c r="AI466" s="1212" t="e">
        <f t="shared" ca="1" si="324"/>
        <v>#N/A</v>
      </c>
      <c r="AJ466" s="1213" t="e">
        <f t="shared" ca="1" si="325"/>
        <v>#N/A</v>
      </c>
      <c r="AK466" s="1587">
        <f t="shared" si="326"/>
        <v>0</v>
      </c>
      <c r="AN466" s="1212" t="e">
        <f t="shared" ca="1" si="327"/>
        <v>#N/A</v>
      </c>
      <c r="AO466" s="1213" t="e">
        <f t="shared" ca="1" si="328"/>
        <v>#N/A</v>
      </c>
      <c r="AP466" s="1587">
        <f t="shared" si="329"/>
        <v>0</v>
      </c>
      <c r="AS466" s="1212" t="e">
        <f t="shared" ca="1" si="330"/>
        <v>#N/A</v>
      </c>
      <c r="AT466" s="1213" t="e">
        <f t="shared" ca="1" si="331"/>
        <v>#N/A</v>
      </c>
      <c r="AU466" s="1587">
        <f t="shared" si="332"/>
        <v>0</v>
      </c>
      <c r="AX466" s="1212" t="e">
        <f t="shared" ca="1" si="333"/>
        <v>#N/A</v>
      </c>
      <c r="AY466" s="1213" t="e">
        <f t="shared" ca="1" si="334"/>
        <v>#N/A</v>
      </c>
      <c r="AZ466" s="1587">
        <f t="shared" si="335"/>
        <v>0</v>
      </c>
      <c r="BC466" s="1212" t="e">
        <f t="shared" ca="1" si="336"/>
        <v>#N/A</v>
      </c>
      <c r="BD466" s="1213" t="e">
        <f t="shared" ca="1" si="337"/>
        <v>#N/A</v>
      </c>
      <c r="BE466" s="1587">
        <f t="shared" si="338"/>
        <v>0</v>
      </c>
      <c r="BH466" s="1212" t="e">
        <f t="shared" ca="1" si="339"/>
        <v>#N/A</v>
      </c>
      <c r="BI466" s="1213" t="e">
        <f t="shared" ca="1" si="340"/>
        <v>#N/A</v>
      </c>
      <c r="BJ466" s="1587">
        <f t="shared" si="341"/>
        <v>0</v>
      </c>
      <c r="BM466" s="1212" t="e">
        <f t="shared" ca="1" si="342"/>
        <v>#N/A</v>
      </c>
      <c r="BN466" s="1213" t="e">
        <f t="shared" ca="1" si="343"/>
        <v>#N/A</v>
      </c>
      <c r="BO466" s="1587">
        <f t="shared" si="344"/>
        <v>0</v>
      </c>
      <c r="BR466" s="1212" t="e">
        <f t="shared" ca="1" si="345"/>
        <v>#N/A</v>
      </c>
      <c r="BS466" s="1213" t="e">
        <f t="shared" ca="1" si="346"/>
        <v>#N/A</v>
      </c>
      <c r="BT466" s="1587">
        <f t="shared" si="347"/>
        <v>0</v>
      </c>
      <c r="BW466" s="1212" t="e">
        <f t="shared" ca="1" si="348"/>
        <v>#N/A</v>
      </c>
      <c r="BX466" s="1213" t="e">
        <f t="shared" ca="1" si="349"/>
        <v>#N/A</v>
      </c>
      <c r="BY466" s="1587">
        <f t="shared" si="350"/>
        <v>0</v>
      </c>
      <c r="CB466" s="1212" t="e">
        <f t="shared" ca="1" si="351"/>
        <v>#N/A</v>
      </c>
      <c r="CC466" s="1213" t="e">
        <f t="shared" ca="1" si="352"/>
        <v>#N/A</v>
      </c>
      <c r="CD466" s="1587">
        <f t="shared" si="353"/>
        <v>0</v>
      </c>
      <c r="CG466" s="1212" t="e">
        <f t="shared" ca="1" si="354"/>
        <v>#N/A</v>
      </c>
      <c r="CH466" s="1213" t="e">
        <f t="shared" ca="1" si="355"/>
        <v>#N/A</v>
      </c>
      <c r="CI466" s="1587">
        <f t="shared" si="356"/>
        <v>0</v>
      </c>
      <c r="CL466" s="1212" t="e">
        <f t="shared" ca="1" si="357"/>
        <v>#N/A</v>
      </c>
      <c r="CM466" s="1213" t="e">
        <f t="shared" ca="1" si="358"/>
        <v>#N/A</v>
      </c>
      <c r="CN466" s="1587">
        <f t="shared" si="359"/>
        <v>0</v>
      </c>
    </row>
    <row r="467" spans="1:92">
      <c r="A467" s="141">
        <f>'銀行-TSS'!A467</f>
        <v>0</v>
      </c>
      <c r="B467" s="151">
        <f ca="1">VLOOKUP(A467,'銀行-TSS'!A:B,2,FALSE)</f>
        <v>0</v>
      </c>
      <c r="C467" s="151" t="e">
        <f ca="1">VLOOKUP(B467,bond!B:C,2,FALSE)</f>
        <v>#N/A</v>
      </c>
      <c r="D467" s="95" t="e">
        <f>VLOOKUP(A467,'銀行-TSS'!A:C,3,FALSE)</f>
        <v>#N/A</v>
      </c>
      <c r="E467" s="90" t="e">
        <f ca="1">VLOOKUP(A467,'銀行-TSS'!A:G,7,FALSE)</f>
        <v>#N/A</v>
      </c>
      <c r="F467" s="202" t="e">
        <f ca="1">VLOOKUP(A467,'銀行-TSS'!A:H,8,FALSE)</f>
        <v>#N/A</v>
      </c>
      <c r="G467" s="96" t="e">
        <f ca="1">VLOOKUP(A467,'銀行-TSS'!A:K,11,FALSE)</f>
        <v>#N/A</v>
      </c>
      <c r="H467" s="1209" t="e">
        <f ca="1">VLOOKUP(A467,'銀行-TSS'!A:M,13,FALSE)</f>
        <v>#N/A</v>
      </c>
      <c r="I467" s="1213" t="e">
        <f ca="1">VLOOKUP(A467,'銀行-TSS'!A:N,14,FALSE)</f>
        <v>#N/A</v>
      </c>
      <c r="J467" s="1213" t="e">
        <f ca="1">VLOOKUP(A467,'銀行-TSS'!A:O,15,FALSE)</f>
        <v>#N/A</v>
      </c>
      <c r="K467" s="136" t="e">
        <f ca="1">VLOOKUP(A467,'銀行-TSS'!A:V,22,FALSE)</f>
        <v>#N/A</v>
      </c>
      <c r="L467" s="136" t="e">
        <f ca="1">VLOOKUP(A467,'銀行-TSS'!A:AK,37,FALSE)</f>
        <v>#N/A</v>
      </c>
      <c r="M467" s="136" t="str">
        <f ca="1">VLOOKUP(A467,'銀行-TSS'!A:AN,40,FALSE)</f>
        <v/>
      </c>
      <c r="N467" s="136" t="e">
        <f t="shared" ca="1" si="315"/>
        <v>#N/A</v>
      </c>
      <c r="O467" s="1213" t="e">
        <f t="shared" ca="1" si="316"/>
        <v>#N/A</v>
      </c>
      <c r="P467" s="1213" t="e">
        <f ca="1">IF(AND($O$1&gt;=O467,換券單檔!$D$13=D467),I467+INT(($O$1-O467)/N467)*J467,0)</f>
        <v>#N/A</v>
      </c>
      <c r="Q467" s="1213" t="e">
        <f t="shared" ca="1" si="317"/>
        <v>#N/A</v>
      </c>
      <c r="R467" s="1213">
        <f t="shared" si="318"/>
        <v>0</v>
      </c>
      <c r="S467" s="1213">
        <f t="shared" si="319"/>
        <v>0</v>
      </c>
      <c r="T467" s="136">
        <f>IF(OR(R467=0,A467=0),0,IF(AND(V467=TRUE,換券單檔!$D$13=D467),E467,0))</f>
        <v>0</v>
      </c>
      <c r="U467" s="861">
        <f>IF(OR(R467=0,A467=0),0,IF(AND(V467=TRUE,換券單檔!$D$13=D467),H467,0))</f>
        <v>0</v>
      </c>
      <c r="V467" s="136" t="e">
        <f ca="1">IF(OR(B467=換券單檔!$D$3,L467="無",M467&lt;&gt;"",K467="高資產",IFERROR(MATCH(B467,換券單檔!K:K,0),"N")&lt;&gt;"N"),FALSE,IF($V$1="All",TRUE,IF(K467=$V$1,TRUE,FALSE)))</f>
        <v>#N/A</v>
      </c>
      <c r="W467" s="136" t="e">
        <f ca="1">VLOOKUP(A467,'銀行-TSS'!A:AO,41,FALSE)</f>
        <v>#N/A</v>
      </c>
      <c r="X467" s="136" t="e">
        <f ca="1">VLOOKUP(A467,'銀行-TSS'!A:AP,42,FALSE)</f>
        <v>#N/A</v>
      </c>
      <c r="Y467" s="1220">
        <f t="shared" si="320"/>
        <v>0</v>
      </c>
      <c r="Z467" s="1220">
        <f t="shared" si="321"/>
        <v>0</v>
      </c>
      <c r="AA467" s="136">
        <f>IF(Z467&lt;=0,0,RANK(Z467,Z:Z)+COUNTIF($Z$3:$Z467,Z467)-1)</f>
        <v>0</v>
      </c>
      <c r="AB467" s="1211">
        <f t="shared" ca="1" si="322"/>
        <v>-14896.14</v>
      </c>
      <c r="AC467" s="136">
        <f ca="1">IF(AB467&lt;=0,0,RANK(AB467,AB:AB)+COUNTIF($AB$3:$AB467,AB467)-1)</f>
        <v>0</v>
      </c>
      <c r="AD467" s="1123">
        <f t="shared" si="323"/>
        <v>99999</v>
      </c>
      <c r="AE467" s="1123">
        <f>IF(AD467=99999,0,RANK(AD467,AD:AD,1)+COUNTIF($AD$3:$AD467,AD467)-1)</f>
        <v>0</v>
      </c>
      <c r="AF467" s="86" t="e">
        <f ca="1">IF(OR(M467&lt;&gt;"",L467="無",K467="高資產",IFERROR(MATCH(B467,換券單檔!K:K,0),"N")&lt;&gt;"N"),FALSE,TRUE)</f>
        <v>#N/A</v>
      </c>
      <c r="AI467" s="1212" t="e">
        <f t="shared" ca="1" si="324"/>
        <v>#N/A</v>
      </c>
      <c r="AJ467" s="1213" t="e">
        <f t="shared" ca="1" si="325"/>
        <v>#N/A</v>
      </c>
      <c r="AK467" s="1587">
        <f t="shared" si="326"/>
        <v>0</v>
      </c>
      <c r="AN467" s="1212" t="e">
        <f t="shared" ca="1" si="327"/>
        <v>#N/A</v>
      </c>
      <c r="AO467" s="1213" t="e">
        <f t="shared" ca="1" si="328"/>
        <v>#N/A</v>
      </c>
      <c r="AP467" s="1587">
        <f t="shared" si="329"/>
        <v>0</v>
      </c>
      <c r="AS467" s="1212" t="e">
        <f t="shared" ca="1" si="330"/>
        <v>#N/A</v>
      </c>
      <c r="AT467" s="1213" t="e">
        <f t="shared" ca="1" si="331"/>
        <v>#N/A</v>
      </c>
      <c r="AU467" s="1587">
        <f t="shared" si="332"/>
        <v>0</v>
      </c>
      <c r="AX467" s="1212" t="e">
        <f t="shared" ca="1" si="333"/>
        <v>#N/A</v>
      </c>
      <c r="AY467" s="1213" t="e">
        <f t="shared" ca="1" si="334"/>
        <v>#N/A</v>
      </c>
      <c r="AZ467" s="1587">
        <f t="shared" si="335"/>
        <v>0</v>
      </c>
      <c r="BC467" s="1212" t="e">
        <f t="shared" ca="1" si="336"/>
        <v>#N/A</v>
      </c>
      <c r="BD467" s="1213" t="e">
        <f t="shared" ca="1" si="337"/>
        <v>#N/A</v>
      </c>
      <c r="BE467" s="1587">
        <f t="shared" si="338"/>
        <v>0</v>
      </c>
      <c r="BH467" s="1212" t="e">
        <f t="shared" ca="1" si="339"/>
        <v>#N/A</v>
      </c>
      <c r="BI467" s="1213" t="e">
        <f t="shared" ca="1" si="340"/>
        <v>#N/A</v>
      </c>
      <c r="BJ467" s="1587">
        <f t="shared" si="341"/>
        <v>0</v>
      </c>
      <c r="BM467" s="1212" t="e">
        <f t="shared" ca="1" si="342"/>
        <v>#N/A</v>
      </c>
      <c r="BN467" s="1213" t="e">
        <f t="shared" ca="1" si="343"/>
        <v>#N/A</v>
      </c>
      <c r="BO467" s="1587">
        <f t="shared" si="344"/>
        <v>0</v>
      </c>
      <c r="BR467" s="1212" t="e">
        <f t="shared" ca="1" si="345"/>
        <v>#N/A</v>
      </c>
      <c r="BS467" s="1213" t="e">
        <f t="shared" ca="1" si="346"/>
        <v>#N/A</v>
      </c>
      <c r="BT467" s="1587">
        <f t="shared" si="347"/>
        <v>0</v>
      </c>
      <c r="BW467" s="1212" t="e">
        <f t="shared" ca="1" si="348"/>
        <v>#N/A</v>
      </c>
      <c r="BX467" s="1213" t="e">
        <f t="shared" ca="1" si="349"/>
        <v>#N/A</v>
      </c>
      <c r="BY467" s="1587">
        <f t="shared" si="350"/>
        <v>0</v>
      </c>
      <c r="CB467" s="1212" t="e">
        <f t="shared" ca="1" si="351"/>
        <v>#N/A</v>
      </c>
      <c r="CC467" s="1213" t="e">
        <f t="shared" ca="1" si="352"/>
        <v>#N/A</v>
      </c>
      <c r="CD467" s="1587">
        <f t="shared" si="353"/>
        <v>0</v>
      </c>
      <c r="CG467" s="1212" t="e">
        <f t="shared" ca="1" si="354"/>
        <v>#N/A</v>
      </c>
      <c r="CH467" s="1213" t="e">
        <f t="shared" ca="1" si="355"/>
        <v>#N/A</v>
      </c>
      <c r="CI467" s="1587">
        <f t="shared" si="356"/>
        <v>0</v>
      </c>
      <c r="CL467" s="1212" t="e">
        <f t="shared" ca="1" si="357"/>
        <v>#N/A</v>
      </c>
      <c r="CM467" s="1213" t="e">
        <f t="shared" ca="1" si="358"/>
        <v>#N/A</v>
      </c>
      <c r="CN467" s="1587">
        <f t="shared" si="359"/>
        <v>0</v>
      </c>
    </row>
    <row r="468" spans="1:92">
      <c r="A468" s="141">
        <f>'銀行-TSS'!A468</f>
        <v>0</v>
      </c>
      <c r="B468" s="151">
        <f ca="1">VLOOKUP(A468,'銀行-TSS'!A:B,2,FALSE)</f>
        <v>0</v>
      </c>
      <c r="C468" s="151" t="e">
        <f ca="1">VLOOKUP(B468,bond!B:C,2,FALSE)</f>
        <v>#N/A</v>
      </c>
      <c r="D468" s="95" t="e">
        <f>VLOOKUP(A468,'銀行-TSS'!A:C,3,FALSE)</f>
        <v>#N/A</v>
      </c>
      <c r="E468" s="90" t="e">
        <f ca="1">VLOOKUP(A468,'銀行-TSS'!A:G,7,FALSE)</f>
        <v>#N/A</v>
      </c>
      <c r="F468" s="202" t="e">
        <f ca="1">VLOOKUP(A468,'銀行-TSS'!A:H,8,FALSE)</f>
        <v>#N/A</v>
      </c>
      <c r="G468" s="96" t="e">
        <f ca="1">VLOOKUP(A468,'銀行-TSS'!A:K,11,FALSE)</f>
        <v>#N/A</v>
      </c>
      <c r="H468" s="1209" t="e">
        <f ca="1">VLOOKUP(A468,'銀行-TSS'!A:M,13,FALSE)</f>
        <v>#N/A</v>
      </c>
      <c r="I468" s="1213" t="e">
        <f ca="1">VLOOKUP(A468,'銀行-TSS'!A:N,14,FALSE)</f>
        <v>#N/A</v>
      </c>
      <c r="J468" s="1213" t="e">
        <f ca="1">VLOOKUP(A468,'銀行-TSS'!A:O,15,FALSE)</f>
        <v>#N/A</v>
      </c>
      <c r="K468" s="136" t="e">
        <f ca="1">VLOOKUP(A468,'銀行-TSS'!A:V,22,FALSE)</f>
        <v>#N/A</v>
      </c>
      <c r="L468" s="136" t="e">
        <f ca="1">VLOOKUP(A468,'銀行-TSS'!A:AK,37,FALSE)</f>
        <v>#N/A</v>
      </c>
      <c r="M468" s="136" t="str">
        <f ca="1">VLOOKUP(A468,'銀行-TSS'!A:AN,40,FALSE)</f>
        <v/>
      </c>
      <c r="N468" s="136" t="e">
        <f t="shared" ca="1" si="315"/>
        <v>#N/A</v>
      </c>
      <c r="O468" s="1213" t="e">
        <f t="shared" ca="1" si="316"/>
        <v>#N/A</v>
      </c>
      <c r="P468" s="1213" t="e">
        <f ca="1">IF(AND($O$1&gt;=O468,換券單檔!$D$13=D468),I468+INT(($O$1-O468)/N468)*J468,0)</f>
        <v>#N/A</v>
      </c>
      <c r="Q468" s="1213" t="e">
        <f t="shared" ca="1" si="317"/>
        <v>#N/A</v>
      </c>
      <c r="R468" s="1213">
        <f t="shared" si="318"/>
        <v>0</v>
      </c>
      <c r="S468" s="1213">
        <f t="shared" si="319"/>
        <v>0</v>
      </c>
      <c r="T468" s="136">
        <f>IF(OR(R468=0,A468=0),0,IF(AND(V468=TRUE,換券單檔!$D$13=D468),E468,0))</f>
        <v>0</v>
      </c>
      <c r="U468" s="861">
        <f>IF(OR(R468=0,A468=0),0,IF(AND(V468=TRUE,換券單檔!$D$13=D468),H468,0))</f>
        <v>0</v>
      </c>
      <c r="V468" s="136" t="e">
        <f ca="1">IF(OR(B468=換券單檔!$D$3,L468="無",M468&lt;&gt;"",K468="高資產",IFERROR(MATCH(B468,換券單檔!K:K,0),"N")&lt;&gt;"N"),FALSE,IF($V$1="All",TRUE,IF(K468=$V$1,TRUE,FALSE)))</f>
        <v>#N/A</v>
      </c>
      <c r="W468" s="136" t="e">
        <f ca="1">VLOOKUP(A468,'銀行-TSS'!A:AO,41,FALSE)</f>
        <v>#N/A</v>
      </c>
      <c r="X468" s="136" t="e">
        <f ca="1">VLOOKUP(A468,'銀行-TSS'!A:AP,42,FALSE)</f>
        <v>#N/A</v>
      </c>
      <c r="Y468" s="1220">
        <f t="shared" si="320"/>
        <v>0</v>
      </c>
      <c r="Z468" s="1220">
        <f t="shared" si="321"/>
        <v>0</v>
      </c>
      <c r="AA468" s="136">
        <f>IF(Z468&lt;=0,0,RANK(Z468,Z:Z)+COUNTIF($Z$3:$Z468,Z468)-1)</f>
        <v>0</v>
      </c>
      <c r="AB468" s="1211">
        <f t="shared" ca="1" si="322"/>
        <v>-14896.14</v>
      </c>
      <c r="AC468" s="136">
        <f ca="1">IF(AB468&lt;=0,0,RANK(AB468,AB:AB)+COUNTIF($AB$3:$AB468,AB468)-1)</f>
        <v>0</v>
      </c>
      <c r="AD468" s="1123">
        <f t="shared" si="323"/>
        <v>99999</v>
      </c>
      <c r="AE468" s="1123">
        <f>IF(AD468=99999,0,RANK(AD468,AD:AD,1)+COUNTIF($AD$3:$AD468,AD468)-1)</f>
        <v>0</v>
      </c>
      <c r="AF468" s="86" t="e">
        <f ca="1">IF(OR(M468&lt;&gt;"",L468="無",K468="高資產",IFERROR(MATCH(B468,換券單檔!K:K,0),"N")&lt;&gt;"N"),FALSE,TRUE)</f>
        <v>#N/A</v>
      </c>
      <c r="AI468" s="1212" t="e">
        <f t="shared" ca="1" si="324"/>
        <v>#N/A</v>
      </c>
      <c r="AJ468" s="1213" t="e">
        <f t="shared" ca="1" si="325"/>
        <v>#N/A</v>
      </c>
      <c r="AK468" s="1587">
        <f t="shared" si="326"/>
        <v>0</v>
      </c>
      <c r="AN468" s="1212" t="e">
        <f t="shared" ca="1" si="327"/>
        <v>#N/A</v>
      </c>
      <c r="AO468" s="1213" t="e">
        <f t="shared" ca="1" si="328"/>
        <v>#N/A</v>
      </c>
      <c r="AP468" s="1587">
        <f t="shared" si="329"/>
        <v>0</v>
      </c>
      <c r="AS468" s="1212" t="e">
        <f t="shared" ca="1" si="330"/>
        <v>#N/A</v>
      </c>
      <c r="AT468" s="1213" t="e">
        <f t="shared" ca="1" si="331"/>
        <v>#N/A</v>
      </c>
      <c r="AU468" s="1587">
        <f t="shared" si="332"/>
        <v>0</v>
      </c>
      <c r="AX468" s="1212" t="e">
        <f t="shared" ca="1" si="333"/>
        <v>#N/A</v>
      </c>
      <c r="AY468" s="1213" t="e">
        <f t="shared" ca="1" si="334"/>
        <v>#N/A</v>
      </c>
      <c r="AZ468" s="1587">
        <f t="shared" si="335"/>
        <v>0</v>
      </c>
      <c r="BC468" s="1212" t="e">
        <f t="shared" ca="1" si="336"/>
        <v>#N/A</v>
      </c>
      <c r="BD468" s="1213" t="e">
        <f t="shared" ca="1" si="337"/>
        <v>#N/A</v>
      </c>
      <c r="BE468" s="1587">
        <f t="shared" si="338"/>
        <v>0</v>
      </c>
      <c r="BH468" s="1212" t="e">
        <f t="shared" ca="1" si="339"/>
        <v>#N/A</v>
      </c>
      <c r="BI468" s="1213" t="e">
        <f t="shared" ca="1" si="340"/>
        <v>#N/A</v>
      </c>
      <c r="BJ468" s="1587">
        <f t="shared" si="341"/>
        <v>0</v>
      </c>
      <c r="BM468" s="1212" t="e">
        <f t="shared" ca="1" si="342"/>
        <v>#N/A</v>
      </c>
      <c r="BN468" s="1213" t="e">
        <f t="shared" ca="1" si="343"/>
        <v>#N/A</v>
      </c>
      <c r="BO468" s="1587">
        <f t="shared" si="344"/>
        <v>0</v>
      </c>
      <c r="BR468" s="1212" t="e">
        <f t="shared" ca="1" si="345"/>
        <v>#N/A</v>
      </c>
      <c r="BS468" s="1213" t="e">
        <f t="shared" ca="1" si="346"/>
        <v>#N/A</v>
      </c>
      <c r="BT468" s="1587">
        <f t="shared" si="347"/>
        <v>0</v>
      </c>
      <c r="BW468" s="1212" t="e">
        <f t="shared" ca="1" si="348"/>
        <v>#N/A</v>
      </c>
      <c r="BX468" s="1213" t="e">
        <f t="shared" ca="1" si="349"/>
        <v>#N/A</v>
      </c>
      <c r="BY468" s="1587">
        <f t="shared" si="350"/>
        <v>0</v>
      </c>
      <c r="CB468" s="1212" t="e">
        <f t="shared" ca="1" si="351"/>
        <v>#N/A</v>
      </c>
      <c r="CC468" s="1213" t="e">
        <f t="shared" ca="1" si="352"/>
        <v>#N/A</v>
      </c>
      <c r="CD468" s="1587">
        <f t="shared" si="353"/>
        <v>0</v>
      </c>
      <c r="CG468" s="1212" t="e">
        <f t="shared" ca="1" si="354"/>
        <v>#N/A</v>
      </c>
      <c r="CH468" s="1213" t="e">
        <f t="shared" ca="1" si="355"/>
        <v>#N/A</v>
      </c>
      <c r="CI468" s="1587">
        <f t="shared" si="356"/>
        <v>0</v>
      </c>
      <c r="CL468" s="1212" t="e">
        <f t="shared" ca="1" si="357"/>
        <v>#N/A</v>
      </c>
      <c r="CM468" s="1213" t="e">
        <f t="shared" ca="1" si="358"/>
        <v>#N/A</v>
      </c>
      <c r="CN468" s="1587">
        <f t="shared" si="359"/>
        <v>0</v>
      </c>
    </row>
    <row r="469" spans="1:92">
      <c r="A469" s="141">
        <f>'銀行-TSS'!A469</f>
        <v>0</v>
      </c>
      <c r="B469" s="151">
        <f ca="1">VLOOKUP(A469,'銀行-TSS'!A:B,2,FALSE)</f>
        <v>0</v>
      </c>
      <c r="C469" s="151" t="e">
        <f ca="1">VLOOKUP(B469,bond!B:C,2,FALSE)</f>
        <v>#N/A</v>
      </c>
      <c r="D469" s="95" t="e">
        <f>VLOOKUP(A469,'銀行-TSS'!A:C,3,FALSE)</f>
        <v>#N/A</v>
      </c>
      <c r="E469" s="90" t="e">
        <f ca="1">VLOOKUP(A469,'銀行-TSS'!A:G,7,FALSE)</f>
        <v>#N/A</v>
      </c>
      <c r="F469" s="202" t="e">
        <f ca="1">VLOOKUP(A469,'銀行-TSS'!A:H,8,FALSE)</f>
        <v>#N/A</v>
      </c>
      <c r="G469" s="96" t="e">
        <f ca="1">VLOOKUP(A469,'銀行-TSS'!A:K,11,FALSE)</f>
        <v>#N/A</v>
      </c>
      <c r="H469" s="1209" t="e">
        <f ca="1">VLOOKUP(A469,'銀行-TSS'!A:M,13,FALSE)</f>
        <v>#N/A</v>
      </c>
      <c r="I469" s="1213" t="e">
        <f ca="1">VLOOKUP(A469,'銀行-TSS'!A:N,14,FALSE)</f>
        <v>#N/A</v>
      </c>
      <c r="J469" s="1213" t="e">
        <f ca="1">VLOOKUP(A469,'銀行-TSS'!A:O,15,FALSE)</f>
        <v>#N/A</v>
      </c>
      <c r="K469" s="136" t="e">
        <f ca="1">VLOOKUP(A469,'銀行-TSS'!A:V,22,FALSE)</f>
        <v>#N/A</v>
      </c>
      <c r="L469" s="136" t="e">
        <f ca="1">VLOOKUP(A469,'銀行-TSS'!A:AK,37,FALSE)</f>
        <v>#N/A</v>
      </c>
      <c r="M469" s="136" t="str">
        <f ca="1">VLOOKUP(A469,'銀行-TSS'!A:AN,40,FALSE)</f>
        <v/>
      </c>
      <c r="N469" s="136" t="e">
        <f t="shared" ca="1" si="315"/>
        <v>#N/A</v>
      </c>
      <c r="O469" s="1213" t="e">
        <f t="shared" ca="1" si="316"/>
        <v>#N/A</v>
      </c>
      <c r="P469" s="1213" t="e">
        <f ca="1">IF(AND($O$1&gt;=O469,換券單檔!$D$13=D469),I469+INT(($O$1-O469)/N469)*J469,0)</f>
        <v>#N/A</v>
      </c>
      <c r="Q469" s="1213" t="e">
        <f t="shared" ca="1" si="317"/>
        <v>#N/A</v>
      </c>
      <c r="R469" s="1213">
        <f t="shared" si="318"/>
        <v>0</v>
      </c>
      <c r="S469" s="1213">
        <f t="shared" si="319"/>
        <v>0</v>
      </c>
      <c r="T469" s="136">
        <f>IF(OR(R469=0,A469=0),0,IF(AND(V469=TRUE,換券單檔!$D$13=D469),E469,0))</f>
        <v>0</v>
      </c>
      <c r="U469" s="861">
        <f>IF(OR(R469=0,A469=0),0,IF(AND(V469=TRUE,換券單檔!$D$13=D469),H469,0))</f>
        <v>0</v>
      </c>
      <c r="V469" s="136" t="e">
        <f ca="1">IF(OR(B469=換券單檔!$D$3,L469="無",M469&lt;&gt;"",K469="高資產",IFERROR(MATCH(B469,換券單檔!K:K,0),"N")&lt;&gt;"N"),FALSE,IF($V$1="All",TRUE,IF(K469=$V$1,TRUE,FALSE)))</f>
        <v>#N/A</v>
      </c>
      <c r="W469" s="136" t="e">
        <f ca="1">VLOOKUP(A469,'銀行-TSS'!A:AO,41,FALSE)</f>
        <v>#N/A</v>
      </c>
      <c r="X469" s="136" t="e">
        <f ca="1">VLOOKUP(A469,'銀行-TSS'!A:AP,42,FALSE)</f>
        <v>#N/A</v>
      </c>
      <c r="Y469" s="1220">
        <f t="shared" si="320"/>
        <v>0</v>
      </c>
      <c r="Z469" s="1220">
        <f t="shared" si="321"/>
        <v>0</v>
      </c>
      <c r="AA469" s="136">
        <f>IF(Z469&lt;=0,0,RANK(Z469,Z:Z)+COUNTIF($Z$3:$Z469,Z469)-1)</f>
        <v>0</v>
      </c>
      <c r="AB469" s="1211">
        <f t="shared" ca="1" si="322"/>
        <v>-14896.14</v>
      </c>
      <c r="AC469" s="136">
        <f ca="1">IF(AB469&lt;=0,0,RANK(AB469,AB:AB)+COUNTIF($AB$3:$AB469,AB469)-1)</f>
        <v>0</v>
      </c>
      <c r="AD469" s="1123">
        <f t="shared" si="323"/>
        <v>99999</v>
      </c>
      <c r="AE469" s="1123">
        <f>IF(AD469=99999,0,RANK(AD469,AD:AD,1)+COUNTIF($AD$3:$AD469,AD469)-1)</f>
        <v>0</v>
      </c>
      <c r="AF469" s="86" t="e">
        <f ca="1">IF(OR(M469&lt;&gt;"",L469="無",K469="高資產",IFERROR(MATCH(B469,換券單檔!K:K,0),"N")&lt;&gt;"N"),FALSE,TRUE)</f>
        <v>#N/A</v>
      </c>
      <c r="AI469" s="1212" t="e">
        <f t="shared" ca="1" si="324"/>
        <v>#N/A</v>
      </c>
      <c r="AJ469" s="1213" t="e">
        <f t="shared" ca="1" si="325"/>
        <v>#N/A</v>
      </c>
      <c r="AK469" s="1587">
        <f t="shared" si="326"/>
        <v>0</v>
      </c>
      <c r="AN469" s="1212" t="e">
        <f t="shared" ca="1" si="327"/>
        <v>#N/A</v>
      </c>
      <c r="AO469" s="1213" t="e">
        <f t="shared" ca="1" si="328"/>
        <v>#N/A</v>
      </c>
      <c r="AP469" s="1587">
        <f t="shared" si="329"/>
        <v>0</v>
      </c>
      <c r="AS469" s="1212" t="e">
        <f t="shared" ca="1" si="330"/>
        <v>#N/A</v>
      </c>
      <c r="AT469" s="1213" t="e">
        <f t="shared" ca="1" si="331"/>
        <v>#N/A</v>
      </c>
      <c r="AU469" s="1587">
        <f t="shared" si="332"/>
        <v>0</v>
      </c>
      <c r="AX469" s="1212" t="e">
        <f t="shared" ca="1" si="333"/>
        <v>#N/A</v>
      </c>
      <c r="AY469" s="1213" t="e">
        <f t="shared" ca="1" si="334"/>
        <v>#N/A</v>
      </c>
      <c r="AZ469" s="1587">
        <f t="shared" si="335"/>
        <v>0</v>
      </c>
      <c r="BC469" s="1212" t="e">
        <f t="shared" ca="1" si="336"/>
        <v>#N/A</v>
      </c>
      <c r="BD469" s="1213" t="e">
        <f t="shared" ca="1" si="337"/>
        <v>#N/A</v>
      </c>
      <c r="BE469" s="1587">
        <f t="shared" si="338"/>
        <v>0</v>
      </c>
      <c r="BH469" s="1212" t="e">
        <f t="shared" ca="1" si="339"/>
        <v>#N/A</v>
      </c>
      <c r="BI469" s="1213" t="e">
        <f t="shared" ca="1" si="340"/>
        <v>#N/A</v>
      </c>
      <c r="BJ469" s="1587">
        <f t="shared" si="341"/>
        <v>0</v>
      </c>
      <c r="BM469" s="1212" t="e">
        <f t="shared" ca="1" si="342"/>
        <v>#N/A</v>
      </c>
      <c r="BN469" s="1213" t="e">
        <f t="shared" ca="1" si="343"/>
        <v>#N/A</v>
      </c>
      <c r="BO469" s="1587">
        <f t="shared" si="344"/>
        <v>0</v>
      </c>
      <c r="BR469" s="1212" t="e">
        <f t="shared" ca="1" si="345"/>
        <v>#N/A</v>
      </c>
      <c r="BS469" s="1213" t="e">
        <f t="shared" ca="1" si="346"/>
        <v>#N/A</v>
      </c>
      <c r="BT469" s="1587">
        <f t="shared" si="347"/>
        <v>0</v>
      </c>
      <c r="BW469" s="1212" t="e">
        <f t="shared" ca="1" si="348"/>
        <v>#N/A</v>
      </c>
      <c r="BX469" s="1213" t="e">
        <f t="shared" ca="1" si="349"/>
        <v>#N/A</v>
      </c>
      <c r="BY469" s="1587">
        <f t="shared" si="350"/>
        <v>0</v>
      </c>
      <c r="CB469" s="1212" t="e">
        <f t="shared" ca="1" si="351"/>
        <v>#N/A</v>
      </c>
      <c r="CC469" s="1213" t="e">
        <f t="shared" ca="1" si="352"/>
        <v>#N/A</v>
      </c>
      <c r="CD469" s="1587">
        <f t="shared" si="353"/>
        <v>0</v>
      </c>
      <c r="CG469" s="1212" t="e">
        <f t="shared" ca="1" si="354"/>
        <v>#N/A</v>
      </c>
      <c r="CH469" s="1213" t="e">
        <f t="shared" ca="1" si="355"/>
        <v>#N/A</v>
      </c>
      <c r="CI469" s="1587">
        <f t="shared" si="356"/>
        <v>0</v>
      </c>
      <c r="CL469" s="1212" t="e">
        <f t="shared" ca="1" si="357"/>
        <v>#N/A</v>
      </c>
      <c r="CM469" s="1213" t="e">
        <f t="shared" ca="1" si="358"/>
        <v>#N/A</v>
      </c>
      <c r="CN469" s="1587">
        <f t="shared" si="359"/>
        <v>0</v>
      </c>
    </row>
    <row r="470" spans="1:92">
      <c r="A470" s="141">
        <f>'銀行-TSS'!A470</f>
        <v>0</v>
      </c>
      <c r="B470" s="151">
        <f ca="1">VLOOKUP(A470,'銀行-TSS'!A:B,2,FALSE)</f>
        <v>0</v>
      </c>
      <c r="C470" s="151" t="e">
        <f ca="1">VLOOKUP(B470,bond!B:C,2,FALSE)</f>
        <v>#N/A</v>
      </c>
      <c r="D470" s="95" t="e">
        <f>VLOOKUP(A470,'銀行-TSS'!A:C,3,FALSE)</f>
        <v>#N/A</v>
      </c>
      <c r="E470" s="90" t="e">
        <f ca="1">VLOOKUP(A470,'銀行-TSS'!A:G,7,FALSE)</f>
        <v>#N/A</v>
      </c>
      <c r="F470" s="202" t="e">
        <f ca="1">VLOOKUP(A470,'銀行-TSS'!A:H,8,FALSE)</f>
        <v>#N/A</v>
      </c>
      <c r="G470" s="96" t="e">
        <f ca="1">VLOOKUP(A470,'銀行-TSS'!A:K,11,FALSE)</f>
        <v>#N/A</v>
      </c>
      <c r="H470" s="1209" t="e">
        <f ca="1">VLOOKUP(A470,'銀行-TSS'!A:M,13,FALSE)</f>
        <v>#N/A</v>
      </c>
      <c r="I470" s="1213" t="e">
        <f ca="1">VLOOKUP(A470,'銀行-TSS'!A:N,14,FALSE)</f>
        <v>#N/A</v>
      </c>
      <c r="J470" s="1213" t="e">
        <f ca="1">VLOOKUP(A470,'銀行-TSS'!A:O,15,FALSE)</f>
        <v>#N/A</v>
      </c>
      <c r="K470" s="136" t="e">
        <f ca="1">VLOOKUP(A470,'銀行-TSS'!A:V,22,FALSE)</f>
        <v>#N/A</v>
      </c>
      <c r="L470" s="136" t="e">
        <f ca="1">VLOOKUP(A470,'銀行-TSS'!A:AK,37,FALSE)</f>
        <v>#N/A</v>
      </c>
      <c r="M470" s="136" t="str">
        <f ca="1">VLOOKUP(A470,'銀行-TSS'!A:AN,40,FALSE)</f>
        <v/>
      </c>
      <c r="N470" s="136" t="e">
        <f t="shared" ca="1" si="315"/>
        <v>#N/A</v>
      </c>
      <c r="O470" s="1213" t="e">
        <f t="shared" ca="1" si="316"/>
        <v>#N/A</v>
      </c>
      <c r="P470" s="1213" t="e">
        <f ca="1">IF(AND($O$1&gt;=O470,換券單檔!$D$13=D470),I470+INT(($O$1-O470)/N470)*J470,0)</f>
        <v>#N/A</v>
      </c>
      <c r="Q470" s="1213" t="e">
        <f t="shared" ca="1" si="317"/>
        <v>#N/A</v>
      </c>
      <c r="R470" s="1213">
        <f t="shared" si="318"/>
        <v>0</v>
      </c>
      <c r="S470" s="1213">
        <f t="shared" si="319"/>
        <v>0</v>
      </c>
      <c r="T470" s="136">
        <f>IF(OR(R470=0,A470=0),0,IF(AND(V470=TRUE,換券單檔!$D$13=D470),E470,0))</f>
        <v>0</v>
      </c>
      <c r="U470" s="861">
        <f>IF(OR(R470=0,A470=0),0,IF(AND(V470=TRUE,換券單檔!$D$13=D470),H470,0))</f>
        <v>0</v>
      </c>
      <c r="V470" s="136" t="e">
        <f ca="1">IF(OR(B470=換券單檔!$D$3,L470="無",M470&lt;&gt;"",K470="高資產",IFERROR(MATCH(B470,換券單檔!K:K,0),"N")&lt;&gt;"N"),FALSE,IF($V$1="All",TRUE,IF(K470=$V$1,TRUE,FALSE)))</f>
        <v>#N/A</v>
      </c>
      <c r="W470" s="136" t="e">
        <f ca="1">VLOOKUP(A470,'銀行-TSS'!A:AO,41,FALSE)</f>
        <v>#N/A</v>
      </c>
      <c r="X470" s="136" t="e">
        <f ca="1">VLOOKUP(A470,'銀行-TSS'!A:AP,42,FALSE)</f>
        <v>#N/A</v>
      </c>
      <c r="Y470" s="1220">
        <f t="shared" si="320"/>
        <v>0</v>
      </c>
      <c r="Z470" s="1220">
        <f t="shared" si="321"/>
        <v>0</v>
      </c>
      <c r="AA470" s="136">
        <f>IF(Z470&lt;=0,0,RANK(Z470,Z:Z)+COUNTIF($Z$3:$Z470,Z470)-1)</f>
        <v>0</v>
      </c>
      <c r="AB470" s="1211">
        <f t="shared" ca="1" si="322"/>
        <v>-14896.14</v>
      </c>
      <c r="AC470" s="136">
        <f ca="1">IF(AB470&lt;=0,0,RANK(AB470,AB:AB)+COUNTIF($AB$3:$AB470,AB470)-1)</f>
        <v>0</v>
      </c>
      <c r="AD470" s="1123">
        <f t="shared" si="323"/>
        <v>99999</v>
      </c>
      <c r="AE470" s="1123">
        <f>IF(AD470=99999,0,RANK(AD470,AD:AD,1)+COUNTIF($AD$3:$AD470,AD470)-1)</f>
        <v>0</v>
      </c>
      <c r="AF470" s="86" t="e">
        <f ca="1">IF(OR(M470&lt;&gt;"",L470="無",K470="高資產",IFERROR(MATCH(B470,換券單檔!K:K,0),"N")&lt;&gt;"N"),FALSE,TRUE)</f>
        <v>#N/A</v>
      </c>
      <c r="AI470" s="1212" t="e">
        <f t="shared" ca="1" si="324"/>
        <v>#N/A</v>
      </c>
      <c r="AJ470" s="1213" t="e">
        <f t="shared" ca="1" si="325"/>
        <v>#N/A</v>
      </c>
      <c r="AK470" s="1587">
        <f t="shared" si="326"/>
        <v>0</v>
      </c>
      <c r="AN470" s="1212" t="e">
        <f t="shared" ca="1" si="327"/>
        <v>#N/A</v>
      </c>
      <c r="AO470" s="1213" t="e">
        <f t="shared" ca="1" si="328"/>
        <v>#N/A</v>
      </c>
      <c r="AP470" s="1587">
        <f t="shared" si="329"/>
        <v>0</v>
      </c>
      <c r="AS470" s="1212" t="e">
        <f t="shared" ca="1" si="330"/>
        <v>#N/A</v>
      </c>
      <c r="AT470" s="1213" t="e">
        <f t="shared" ca="1" si="331"/>
        <v>#N/A</v>
      </c>
      <c r="AU470" s="1587">
        <f t="shared" si="332"/>
        <v>0</v>
      </c>
      <c r="AX470" s="1212" t="e">
        <f t="shared" ca="1" si="333"/>
        <v>#N/A</v>
      </c>
      <c r="AY470" s="1213" t="e">
        <f t="shared" ca="1" si="334"/>
        <v>#N/A</v>
      </c>
      <c r="AZ470" s="1587">
        <f t="shared" si="335"/>
        <v>0</v>
      </c>
      <c r="BC470" s="1212" t="e">
        <f t="shared" ca="1" si="336"/>
        <v>#N/A</v>
      </c>
      <c r="BD470" s="1213" t="e">
        <f t="shared" ca="1" si="337"/>
        <v>#N/A</v>
      </c>
      <c r="BE470" s="1587">
        <f t="shared" si="338"/>
        <v>0</v>
      </c>
      <c r="BH470" s="1212" t="e">
        <f t="shared" ca="1" si="339"/>
        <v>#N/A</v>
      </c>
      <c r="BI470" s="1213" t="e">
        <f t="shared" ca="1" si="340"/>
        <v>#N/A</v>
      </c>
      <c r="BJ470" s="1587">
        <f t="shared" si="341"/>
        <v>0</v>
      </c>
      <c r="BM470" s="1212" t="e">
        <f t="shared" ca="1" si="342"/>
        <v>#N/A</v>
      </c>
      <c r="BN470" s="1213" t="e">
        <f t="shared" ca="1" si="343"/>
        <v>#N/A</v>
      </c>
      <c r="BO470" s="1587">
        <f t="shared" si="344"/>
        <v>0</v>
      </c>
      <c r="BR470" s="1212" t="e">
        <f t="shared" ca="1" si="345"/>
        <v>#N/A</v>
      </c>
      <c r="BS470" s="1213" t="e">
        <f t="shared" ca="1" si="346"/>
        <v>#N/A</v>
      </c>
      <c r="BT470" s="1587">
        <f t="shared" si="347"/>
        <v>0</v>
      </c>
      <c r="BW470" s="1212" t="e">
        <f t="shared" ca="1" si="348"/>
        <v>#N/A</v>
      </c>
      <c r="BX470" s="1213" t="e">
        <f t="shared" ca="1" si="349"/>
        <v>#N/A</v>
      </c>
      <c r="BY470" s="1587">
        <f t="shared" si="350"/>
        <v>0</v>
      </c>
      <c r="CB470" s="1212" t="e">
        <f t="shared" ca="1" si="351"/>
        <v>#N/A</v>
      </c>
      <c r="CC470" s="1213" t="e">
        <f t="shared" ca="1" si="352"/>
        <v>#N/A</v>
      </c>
      <c r="CD470" s="1587">
        <f t="shared" si="353"/>
        <v>0</v>
      </c>
      <c r="CG470" s="1212" t="e">
        <f t="shared" ca="1" si="354"/>
        <v>#N/A</v>
      </c>
      <c r="CH470" s="1213" t="e">
        <f t="shared" ca="1" si="355"/>
        <v>#N/A</v>
      </c>
      <c r="CI470" s="1587">
        <f t="shared" si="356"/>
        <v>0</v>
      </c>
      <c r="CL470" s="1212" t="e">
        <f t="shared" ca="1" si="357"/>
        <v>#N/A</v>
      </c>
      <c r="CM470" s="1213" t="e">
        <f t="shared" ca="1" si="358"/>
        <v>#N/A</v>
      </c>
      <c r="CN470" s="1587">
        <f t="shared" si="359"/>
        <v>0</v>
      </c>
    </row>
    <row r="471" spans="1:92">
      <c r="A471" s="141">
        <f>'銀行-TSS'!A471</f>
        <v>0</v>
      </c>
      <c r="B471" s="151">
        <f ca="1">VLOOKUP(A471,'銀行-TSS'!A:B,2,FALSE)</f>
        <v>0</v>
      </c>
      <c r="C471" s="151" t="e">
        <f ca="1">VLOOKUP(B471,bond!B:C,2,FALSE)</f>
        <v>#N/A</v>
      </c>
      <c r="D471" s="95" t="e">
        <f>VLOOKUP(A471,'銀行-TSS'!A:C,3,FALSE)</f>
        <v>#N/A</v>
      </c>
      <c r="E471" s="90" t="e">
        <f ca="1">VLOOKUP(A471,'銀行-TSS'!A:G,7,FALSE)</f>
        <v>#N/A</v>
      </c>
      <c r="F471" s="202" t="e">
        <f ca="1">VLOOKUP(A471,'銀行-TSS'!A:H,8,FALSE)</f>
        <v>#N/A</v>
      </c>
      <c r="G471" s="96" t="e">
        <f ca="1">VLOOKUP(A471,'銀行-TSS'!A:K,11,FALSE)</f>
        <v>#N/A</v>
      </c>
      <c r="H471" s="1209" t="e">
        <f ca="1">VLOOKUP(A471,'銀行-TSS'!A:M,13,FALSE)</f>
        <v>#N/A</v>
      </c>
      <c r="I471" s="1213" t="e">
        <f ca="1">VLOOKUP(A471,'銀行-TSS'!A:N,14,FALSE)</f>
        <v>#N/A</v>
      </c>
      <c r="J471" s="1213" t="e">
        <f ca="1">VLOOKUP(A471,'銀行-TSS'!A:O,15,FALSE)</f>
        <v>#N/A</v>
      </c>
      <c r="K471" s="136" t="e">
        <f ca="1">VLOOKUP(A471,'銀行-TSS'!A:V,22,FALSE)</f>
        <v>#N/A</v>
      </c>
      <c r="L471" s="136" t="e">
        <f ca="1">VLOOKUP(A471,'銀行-TSS'!A:AK,37,FALSE)</f>
        <v>#N/A</v>
      </c>
      <c r="M471" s="136" t="str">
        <f ca="1">VLOOKUP(A471,'銀行-TSS'!A:AN,40,FALSE)</f>
        <v/>
      </c>
      <c r="N471" s="136" t="e">
        <f t="shared" ca="1" si="315"/>
        <v>#N/A</v>
      </c>
      <c r="O471" s="1213" t="e">
        <f t="shared" ca="1" si="316"/>
        <v>#N/A</v>
      </c>
      <c r="P471" s="1213" t="e">
        <f ca="1">IF(AND($O$1&gt;=O471,換券單檔!$D$13=D471),I471+INT(($O$1-O471)/N471)*J471,0)</f>
        <v>#N/A</v>
      </c>
      <c r="Q471" s="1213" t="e">
        <f t="shared" ca="1" si="317"/>
        <v>#N/A</v>
      </c>
      <c r="R471" s="1213">
        <f t="shared" si="318"/>
        <v>0</v>
      </c>
      <c r="S471" s="1213">
        <f t="shared" si="319"/>
        <v>0</v>
      </c>
      <c r="T471" s="136">
        <f>IF(OR(R471=0,A471=0),0,IF(AND(V471=TRUE,換券單檔!$D$13=D471),E471,0))</f>
        <v>0</v>
      </c>
      <c r="U471" s="861">
        <f>IF(OR(R471=0,A471=0),0,IF(AND(V471=TRUE,換券單檔!$D$13=D471),H471,0))</f>
        <v>0</v>
      </c>
      <c r="V471" s="136" t="e">
        <f ca="1">IF(OR(B471=換券單檔!$D$3,L471="無",M471&lt;&gt;"",K471="高資產",IFERROR(MATCH(B471,換券單檔!K:K,0),"N")&lt;&gt;"N"),FALSE,IF($V$1="All",TRUE,IF(K471=$V$1,TRUE,FALSE)))</f>
        <v>#N/A</v>
      </c>
      <c r="W471" s="136" t="e">
        <f ca="1">VLOOKUP(A471,'銀行-TSS'!A:AO,41,FALSE)</f>
        <v>#N/A</v>
      </c>
      <c r="X471" s="136" t="e">
        <f ca="1">VLOOKUP(A471,'銀行-TSS'!A:AP,42,FALSE)</f>
        <v>#N/A</v>
      </c>
      <c r="Y471" s="1220">
        <f t="shared" si="320"/>
        <v>0</v>
      </c>
      <c r="Z471" s="1220">
        <f t="shared" si="321"/>
        <v>0</v>
      </c>
      <c r="AA471" s="136">
        <f>IF(Z471&lt;=0,0,RANK(Z471,Z:Z)+COUNTIF($Z$3:$Z471,Z471)-1)</f>
        <v>0</v>
      </c>
      <c r="AB471" s="1211">
        <f t="shared" ca="1" si="322"/>
        <v>-14896.14</v>
      </c>
      <c r="AC471" s="136">
        <f ca="1">IF(AB471&lt;=0,0,RANK(AB471,AB:AB)+COUNTIF($AB$3:$AB471,AB471)-1)</f>
        <v>0</v>
      </c>
      <c r="AD471" s="1123">
        <f t="shared" si="323"/>
        <v>99999</v>
      </c>
      <c r="AE471" s="1123">
        <f>IF(AD471=99999,0,RANK(AD471,AD:AD,1)+COUNTIF($AD$3:$AD471,AD471)-1)</f>
        <v>0</v>
      </c>
      <c r="AF471" s="86" t="e">
        <f ca="1">IF(OR(M471&lt;&gt;"",L471="無",K471="高資產",IFERROR(MATCH(B471,換券單檔!K:K,0),"N")&lt;&gt;"N"),FALSE,TRUE)</f>
        <v>#N/A</v>
      </c>
      <c r="AI471" s="1212" t="e">
        <f t="shared" ca="1" si="324"/>
        <v>#N/A</v>
      </c>
      <c r="AJ471" s="1213" t="e">
        <f t="shared" ca="1" si="325"/>
        <v>#N/A</v>
      </c>
      <c r="AK471" s="1587">
        <f t="shared" si="326"/>
        <v>0</v>
      </c>
      <c r="AN471" s="1212" t="e">
        <f t="shared" ca="1" si="327"/>
        <v>#N/A</v>
      </c>
      <c r="AO471" s="1213" t="e">
        <f t="shared" ca="1" si="328"/>
        <v>#N/A</v>
      </c>
      <c r="AP471" s="1587">
        <f t="shared" si="329"/>
        <v>0</v>
      </c>
      <c r="AS471" s="1212" t="e">
        <f t="shared" ca="1" si="330"/>
        <v>#N/A</v>
      </c>
      <c r="AT471" s="1213" t="e">
        <f t="shared" ca="1" si="331"/>
        <v>#N/A</v>
      </c>
      <c r="AU471" s="1587">
        <f t="shared" si="332"/>
        <v>0</v>
      </c>
      <c r="AX471" s="1212" t="e">
        <f t="shared" ca="1" si="333"/>
        <v>#N/A</v>
      </c>
      <c r="AY471" s="1213" t="e">
        <f t="shared" ca="1" si="334"/>
        <v>#N/A</v>
      </c>
      <c r="AZ471" s="1587">
        <f t="shared" si="335"/>
        <v>0</v>
      </c>
      <c r="BC471" s="1212" t="e">
        <f t="shared" ca="1" si="336"/>
        <v>#N/A</v>
      </c>
      <c r="BD471" s="1213" t="e">
        <f t="shared" ca="1" si="337"/>
        <v>#N/A</v>
      </c>
      <c r="BE471" s="1587">
        <f t="shared" si="338"/>
        <v>0</v>
      </c>
      <c r="BH471" s="1212" t="e">
        <f t="shared" ca="1" si="339"/>
        <v>#N/A</v>
      </c>
      <c r="BI471" s="1213" t="e">
        <f t="shared" ca="1" si="340"/>
        <v>#N/A</v>
      </c>
      <c r="BJ471" s="1587">
        <f t="shared" si="341"/>
        <v>0</v>
      </c>
      <c r="BM471" s="1212" t="e">
        <f t="shared" ca="1" si="342"/>
        <v>#N/A</v>
      </c>
      <c r="BN471" s="1213" t="e">
        <f t="shared" ca="1" si="343"/>
        <v>#N/A</v>
      </c>
      <c r="BO471" s="1587">
        <f t="shared" si="344"/>
        <v>0</v>
      </c>
      <c r="BR471" s="1212" t="e">
        <f t="shared" ca="1" si="345"/>
        <v>#N/A</v>
      </c>
      <c r="BS471" s="1213" t="e">
        <f t="shared" ca="1" si="346"/>
        <v>#N/A</v>
      </c>
      <c r="BT471" s="1587">
        <f t="shared" si="347"/>
        <v>0</v>
      </c>
      <c r="BW471" s="1212" t="e">
        <f t="shared" ca="1" si="348"/>
        <v>#N/A</v>
      </c>
      <c r="BX471" s="1213" t="e">
        <f t="shared" ca="1" si="349"/>
        <v>#N/A</v>
      </c>
      <c r="BY471" s="1587">
        <f t="shared" si="350"/>
        <v>0</v>
      </c>
      <c r="CB471" s="1212" t="e">
        <f t="shared" ca="1" si="351"/>
        <v>#N/A</v>
      </c>
      <c r="CC471" s="1213" t="e">
        <f t="shared" ca="1" si="352"/>
        <v>#N/A</v>
      </c>
      <c r="CD471" s="1587">
        <f t="shared" si="353"/>
        <v>0</v>
      </c>
      <c r="CG471" s="1212" t="e">
        <f t="shared" ca="1" si="354"/>
        <v>#N/A</v>
      </c>
      <c r="CH471" s="1213" t="e">
        <f t="shared" ca="1" si="355"/>
        <v>#N/A</v>
      </c>
      <c r="CI471" s="1587">
        <f t="shared" si="356"/>
        <v>0</v>
      </c>
      <c r="CL471" s="1212" t="e">
        <f t="shared" ca="1" si="357"/>
        <v>#N/A</v>
      </c>
      <c r="CM471" s="1213" t="e">
        <f t="shared" ca="1" si="358"/>
        <v>#N/A</v>
      </c>
      <c r="CN471" s="1587">
        <f t="shared" si="359"/>
        <v>0</v>
      </c>
    </row>
    <row r="472" spans="1:92">
      <c r="A472" s="141">
        <f>'銀行-TSS'!A472</f>
        <v>0</v>
      </c>
      <c r="B472" s="151">
        <f ca="1">VLOOKUP(A472,'銀行-TSS'!A:B,2,FALSE)</f>
        <v>0</v>
      </c>
      <c r="C472" s="151" t="e">
        <f ca="1">VLOOKUP(B472,bond!B:C,2,FALSE)</f>
        <v>#N/A</v>
      </c>
      <c r="D472" s="95" t="e">
        <f>VLOOKUP(A472,'銀行-TSS'!A:C,3,FALSE)</f>
        <v>#N/A</v>
      </c>
      <c r="E472" s="90" t="e">
        <f ca="1">VLOOKUP(A472,'銀行-TSS'!A:G,7,FALSE)</f>
        <v>#N/A</v>
      </c>
      <c r="F472" s="202" t="e">
        <f ca="1">VLOOKUP(A472,'銀行-TSS'!A:H,8,FALSE)</f>
        <v>#N/A</v>
      </c>
      <c r="G472" s="96" t="e">
        <f ca="1">VLOOKUP(A472,'銀行-TSS'!A:K,11,FALSE)</f>
        <v>#N/A</v>
      </c>
      <c r="H472" s="1209" t="e">
        <f ca="1">VLOOKUP(A472,'銀行-TSS'!A:M,13,FALSE)</f>
        <v>#N/A</v>
      </c>
      <c r="I472" s="1213" t="e">
        <f ca="1">VLOOKUP(A472,'銀行-TSS'!A:N,14,FALSE)</f>
        <v>#N/A</v>
      </c>
      <c r="J472" s="1213" t="e">
        <f ca="1">VLOOKUP(A472,'銀行-TSS'!A:O,15,FALSE)</f>
        <v>#N/A</v>
      </c>
      <c r="K472" s="136" t="e">
        <f ca="1">VLOOKUP(A472,'銀行-TSS'!A:V,22,FALSE)</f>
        <v>#N/A</v>
      </c>
      <c r="L472" s="136" t="e">
        <f ca="1">VLOOKUP(A472,'銀行-TSS'!A:AK,37,FALSE)</f>
        <v>#N/A</v>
      </c>
      <c r="M472" s="136" t="str">
        <f ca="1">VLOOKUP(A472,'銀行-TSS'!A:AN,40,FALSE)</f>
        <v/>
      </c>
      <c r="N472" s="136" t="e">
        <f t="shared" ca="1" si="315"/>
        <v>#N/A</v>
      </c>
      <c r="O472" s="1213" t="e">
        <f t="shared" ca="1" si="316"/>
        <v>#N/A</v>
      </c>
      <c r="P472" s="1213" t="e">
        <f ca="1">IF(AND($O$1&gt;=O472,換券單檔!$D$13=D472),I472+INT(($O$1-O472)/N472)*J472,0)</f>
        <v>#N/A</v>
      </c>
      <c r="Q472" s="1213" t="e">
        <f t="shared" ca="1" si="317"/>
        <v>#N/A</v>
      </c>
      <c r="R472" s="1213">
        <f t="shared" si="318"/>
        <v>0</v>
      </c>
      <c r="S472" s="1213">
        <f t="shared" si="319"/>
        <v>0</v>
      </c>
      <c r="T472" s="136">
        <f>IF(OR(R472=0,A472=0),0,IF(AND(V472=TRUE,換券單檔!$D$13=D472),E472,0))</f>
        <v>0</v>
      </c>
      <c r="U472" s="861">
        <f>IF(OR(R472=0,A472=0),0,IF(AND(V472=TRUE,換券單檔!$D$13=D472),H472,0))</f>
        <v>0</v>
      </c>
      <c r="V472" s="136" t="e">
        <f ca="1">IF(OR(B472=換券單檔!$D$3,L472="無",M472&lt;&gt;"",K472="高資產",IFERROR(MATCH(B472,換券單檔!K:K,0),"N")&lt;&gt;"N"),FALSE,IF($V$1="All",TRUE,IF(K472=$V$1,TRUE,FALSE)))</f>
        <v>#N/A</v>
      </c>
      <c r="W472" s="136" t="e">
        <f ca="1">VLOOKUP(A472,'銀行-TSS'!A:AO,41,FALSE)</f>
        <v>#N/A</v>
      </c>
      <c r="X472" s="136" t="e">
        <f ca="1">VLOOKUP(A472,'銀行-TSS'!A:AP,42,FALSE)</f>
        <v>#N/A</v>
      </c>
      <c r="Y472" s="1220">
        <f t="shared" si="320"/>
        <v>0</v>
      </c>
      <c r="Z472" s="1220">
        <f t="shared" si="321"/>
        <v>0</v>
      </c>
      <c r="AA472" s="136">
        <f>IF(Z472&lt;=0,0,RANK(Z472,Z:Z)+COUNTIF($Z$3:$Z472,Z472)-1)</f>
        <v>0</v>
      </c>
      <c r="AB472" s="1211">
        <f t="shared" ca="1" si="322"/>
        <v>-14896.14</v>
      </c>
      <c r="AC472" s="136">
        <f ca="1">IF(AB472&lt;=0,0,RANK(AB472,AB:AB)+COUNTIF($AB$3:$AB472,AB472)-1)</f>
        <v>0</v>
      </c>
      <c r="AD472" s="1123">
        <f t="shared" si="323"/>
        <v>99999</v>
      </c>
      <c r="AE472" s="1123">
        <f>IF(AD472=99999,0,RANK(AD472,AD:AD,1)+COUNTIF($AD$3:$AD472,AD472)-1)</f>
        <v>0</v>
      </c>
      <c r="AF472" s="86" t="e">
        <f ca="1">IF(OR(M472&lt;&gt;"",L472="無",K472="高資產",IFERROR(MATCH(B472,換券單檔!K:K,0),"N")&lt;&gt;"N"),FALSE,TRUE)</f>
        <v>#N/A</v>
      </c>
      <c r="AI472" s="1212" t="e">
        <f t="shared" ca="1" si="324"/>
        <v>#N/A</v>
      </c>
      <c r="AJ472" s="1213" t="e">
        <f t="shared" ca="1" si="325"/>
        <v>#N/A</v>
      </c>
      <c r="AK472" s="1587">
        <f t="shared" si="326"/>
        <v>0</v>
      </c>
      <c r="AN472" s="1212" t="e">
        <f t="shared" ca="1" si="327"/>
        <v>#N/A</v>
      </c>
      <c r="AO472" s="1213" t="e">
        <f t="shared" ca="1" si="328"/>
        <v>#N/A</v>
      </c>
      <c r="AP472" s="1587">
        <f t="shared" si="329"/>
        <v>0</v>
      </c>
      <c r="AS472" s="1212" t="e">
        <f t="shared" ca="1" si="330"/>
        <v>#N/A</v>
      </c>
      <c r="AT472" s="1213" t="e">
        <f t="shared" ca="1" si="331"/>
        <v>#N/A</v>
      </c>
      <c r="AU472" s="1587">
        <f t="shared" si="332"/>
        <v>0</v>
      </c>
      <c r="AX472" s="1212" t="e">
        <f t="shared" ca="1" si="333"/>
        <v>#N/A</v>
      </c>
      <c r="AY472" s="1213" t="e">
        <f t="shared" ca="1" si="334"/>
        <v>#N/A</v>
      </c>
      <c r="AZ472" s="1587">
        <f t="shared" si="335"/>
        <v>0</v>
      </c>
      <c r="BC472" s="1212" t="e">
        <f t="shared" ca="1" si="336"/>
        <v>#N/A</v>
      </c>
      <c r="BD472" s="1213" t="e">
        <f t="shared" ca="1" si="337"/>
        <v>#N/A</v>
      </c>
      <c r="BE472" s="1587">
        <f t="shared" si="338"/>
        <v>0</v>
      </c>
      <c r="BH472" s="1212" t="e">
        <f t="shared" ca="1" si="339"/>
        <v>#N/A</v>
      </c>
      <c r="BI472" s="1213" t="e">
        <f t="shared" ca="1" si="340"/>
        <v>#N/A</v>
      </c>
      <c r="BJ472" s="1587">
        <f t="shared" si="341"/>
        <v>0</v>
      </c>
      <c r="BM472" s="1212" t="e">
        <f t="shared" ca="1" si="342"/>
        <v>#N/A</v>
      </c>
      <c r="BN472" s="1213" t="e">
        <f t="shared" ca="1" si="343"/>
        <v>#N/A</v>
      </c>
      <c r="BO472" s="1587">
        <f t="shared" si="344"/>
        <v>0</v>
      </c>
      <c r="BR472" s="1212" t="e">
        <f t="shared" ca="1" si="345"/>
        <v>#N/A</v>
      </c>
      <c r="BS472" s="1213" t="e">
        <f t="shared" ca="1" si="346"/>
        <v>#N/A</v>
      </c>
      <c r="BT472" s="1587">
        <f t="shared" si="347"/>
        <v>0</v>
      </c>
      <c r="BW472" s="1212" t="e">
        <f t="shared" ca="1" si="348"/>
        <v>#N/A</v>
      </c>
      <c r="BX472" s="1213" t="e">
        <f t="shared" ca="1" si="349"/>
        <v>#N/A</v>
      </c>
      <c r="BY472" s="1587">
        <f t="shared" si="350"/>
        <v>0</v>
      </c>
      <c r="CB472" s="1212" t="e">
        <f t="shared" ca="1" si="351"/>
        <v>#N/A</v>
      </c>
      <c r="CC472" s="1213" t="e">
        <f t="shared" ca="1" si="352"/>
        <v>#N/A</v>
      </c>
      <c r="CD472" s="1587">
        <f t="shared" si="353"/>
        <v>0</v>
      </c>
      <c r="CG472" s="1212" t="e">
        <f t="shared" ca="1" si="354"/>
        <v>#N/A</v>
      </c>
      <c r="CH472" s="1213" t="e">
        <f t="shared" ca="1" si="355"/>
        <v>#N/A</v>
      </c>
      <c r="CI472" s="1587">
        <f t="shared" si="356"/>
        <v>0</v>
      </c>
      <c r="CL472" s="1212" t="e">
        <f t="shared" ca="1" si="357"/>
        <v>#N/A</v>
      </c>
      <c r="CM472" s="1213" t="e">
        <f t="shared" ca="1" si="358"/>
        <v>#N/A</v>
      </c>
      <c r="CN472" s="1587">
        <f t="shared" si="359"/>
        <v>0</v>
      </c>
    </row>
    <row r="473" spans="1:92">
      <c r="A473" s="141">
        <f>'銀行-TSS'!A473</f>
        <v>0</v>
      </c>
      <c r="B473" s="151">
        <f ca="1">VLOOKUP(A473,'銀行-TSS'!A:B,2,FALSE)</f>
        <v>0</v>
      </c>
      <c r="C473" s="151" t="e">
        <f ca="1">VLOOKUP(B473,bond!B:C,2,FALSE)</f>
        <v>#N/A</v>
      </c>
      <c r="D473" s="95" t="e">
        <f>VLOOKUP(A473,'銀行-TSS'!A:C,3,FALSE)</f>
        <v>#N/A</v>
      </c>
      <c r="E473" s="90" t="e">
        <f ca="1">VLOOKUP(A473,'銀行-TSS'!A:G,7,FALSE)</f>
        <v>#N/A</v>
      </c>
      <c r="F473" s="202" t="e">
        <f ca="1">VLOOKUP(A473,'銀行-TSS'!A:H,8,FALSE)</f>
        <v>#N/A</v>
      </c>
      <c r="G473" s="96" t="e">
        <f ca="1">VLOOKUP(A473,'銀行-TSS'!A:K,11,FALSE)</f>
        <v>#N/A</v>
      </c>
      <c r="H473" s="1209" t="e">
        <f ca="1">VLOOKUP(A473,'銀行-TSS'!A:M,13,FALSE)</f>
        <v>#N/A</v>
      </c>
      <c r="I473" s="1213" t="e">
        <f ca="1">VLOOKUP(A473,'銀行-TSS'!A:N,14,FALSE)</f>
        <v>#N/A</v>
      </c>
      <c r="J473" s="1213" t="e">
        <f ca="1">VLOOKUP(A473,'銀行-TSS'!A:O,15,FALSE)</f>
        <v>#N/A</v>
      </c>
      <c r="K473" s="136" t="e">
        <f ca="1">VLOOKUP(A473,'銀行-TSS'!A:V,22,FALSE)</f>
        <v>#N/A</v>
      </c>
      <c r="L473" s="136" t="e">
        <f ca="1">VLOOKUP(A473,'銀行-TSS'!A:AK,37,FALSE)</f>
        <v>#N/A</v>
      </c>
      <c r="M473" s="136" t="str">
        <f ca="1">VLOOKUP(A473,'銀行-TSS'!A:AN,40,FALSE)</f>
        <v/>
      </c>
      <c r="N473" s="136" t="e">
        <f t="shared" ca="1" si="315"/>
        <v>#N/A</v>
      </c>
      <c r="O473" s="1213" t="e">
        <f t="shared" ca="1" si="316"/>
        <v>#N/A</v>
      </c>
      <c r="P473" s="1213" t="e">
        <f ca="1">IF(AND($O$1&gt;=O473,換券單檔!$D$13=D473),I473+INT(($O$1-O473)/N473)*J473,0)</f>
        <v>#N/A</v>
      </c>
      <c r="Q473" s="1213" t="e">
        <f t="shared" ca="1" si="317"/>
        <v>#N/A</v>
      </c>
      <c r="R473" s="1213">
        <f t="shared" si="318"/>
        <v>0</v>
      </c>
      <c r="S473" s="1213">
        <f t="shared" si="319"/>
        <v>0</v>
      </c>
      <c r="T473" s="136">
        <f>IF(OR(R473=0,A473=0),0,IF(AND(V473=TRUE,換券單檔!$D$13=D473),E473,0))</f>
        <v>0</v>
      </c>
      <c r="U473" s="861">
        <f>IF(OR(R473=0,A473=0),0,IF(AND(V473=TRUE,換券單檔!$D$13=D473),H473,0))</f>
        <v>0</v>
      </c>
      <c r="V473" s="136" t="e">
        <f ca="1">IF(OR(B473=換券單檔!$D$3,L473="無",M473&lt;&gt;"",K473="高資產",IFERROR(MATCH(B473,換券單檔!K:K,0),"N")&lt;&gt;"N"),FALSE,IF($V$1="All",TRUE,IF(K473=$V$1,TRUE,FALSE)))</f>
        <v>#N/A</v>
      </c>
      <c r="W473" s="136" t="e">
        <f ca="1">VLOOKUP(A473,'銀行-TSS'!A:AO,41,FALSE)</f>
        <v>#N/A</v>
      </c>
      <c r="X473" s="136" t="e">
        <f ca="1">VLOOKUP(A473,'銀行-TSS'!A:AP,42,FALSE)</f>
        <v>#N/A</v>
      </c>
      <c r="Y473" s="1220">
        <f t="shared" si="320"/>
        <v>0</v>
      </c>
      <c r="Z473" s="1220">
        <f t="shared" si="321"/>
        <v>0</v>
      </c>
      <c r="AA473" s="136">
        <f>IF(Z473&lt;=0,0,RANK(Z473,Z:Z)+COUNTIF($Z$3:$Z473,Z473)-1)</f>
        <v>0</v>
      </c>
      <c r="AB473" s="1211">
        <f t="shared" ca="1" si="322"/>
        <v>-14896.14</v>
      </c>
      <c r="AC473" s="136">
        <f ca="1">IF(AB473&lt;=0,0,RANK(AB473,AB:AB)+COUNTIF($AB$3:$AB473,AB473)-1)</f>
        <v>0</v>
      </c>
      <c r="AD473" s="1123">
        <f t="shared" si="323"/>
        <v>99999</v>
      </c>
      <c r="AE473" s="1123">
        <f>IF(AD473=99999,0,RANK(AD473,AD:AD,1)+COUNTIF($AD$3:$AD473,AD473)-1)</f>
        <v>0</v>
      </c>
      <c r="AF473" s="86" t="e">
        <f ca="1">IF(OR(M473&lt;&gt;"",L473="無",K473="高資產",IFERROR(MATCH(B473,換券單檔!K:K,0),"N")&lt;&gt;"N"),FALSE,TRUE)</f>
        <v>#N/A</v>
      </c>
      <c r="AI473" s="1212" t="e">
        <f t="shared" ca="1" si="324"/>
        <v>#N/A</v>
      </c>
      <c r="AJ473" s="1213" t="e">
        <f t="shared" ca="1" si="325"/>
        <v>#N/A</v>
      </c>
      <c r="AK473" s="1587">
        <f t="shared" si="326"/>
        <v>0</v>
      </c>
      <c r="AN473" s="1212" t="e">
        <f t="shared" ca="1" si="327"/>
        <v>#N/A</v>
      </c>
      <c r="AO473" s="1213" t="e">
        <f t="shared" ca="1" si="328"/>
        <v>#N/A</v>
      </c>
      <c r="AP473" s="1587">
        <f t="shared" si="329"/>
        <v>0</v>
      </c>
      <c r="AS473" s="1212" t="e">
        <f t="shared" ca="1" si="330"/>
        <v>#N/A</v>
      </c>
      <c r="AT473" s="1213" t="e">
        <f t="shared" ca="1" si="331"/>
        <v>#N/A</v>
      </c>
      <c r="AU473" s="1587">
        <f t="shared" si="332"/>
        <v>0</v>
      </c>
      <c r="AX473" s="1212" t="e">
        <f t="shared" ca="1" si="333"/>
        <v>#N/A</v>
      </c>
      <c r="AY473" s="1213" t="e">
        <f t="shared" ca="1" si="334"/>
        <v>#N/A</v>
      </c>
      <c r="AZ473" s="1587">
        <f t="shared" si="335"/>
        <v>0</v>
      </c>
      <c r="BC473" s="1212" t="e">
        <f t="shared" ca="1" si="336"/>
        <v>#N/A</v>
      </c>
      <c r="BD473" s="1213" t="e">
        <f t="shared" ca="1" si="337"/>
        <v>#N/A</v>
      </c>
      <c r="BE473" s="1587">
        <f t="shared" si="338"/>
        <v>0</v>
      </c>
      <c r="BH473" s="1212" t="e">
        <f t="shared" ca="1" si="339"/>
        <v>#N/A</v>
      </c>
      <c r="BI473" s="1213" t="e">
        <f t="shared" ca="1" si="340"/>
        <v>#N/A</v>
      </c>
      <c r="BJ473" s="1587">
        <f t="shared" si="341"/>
        <v>0</v>
      </c>
      <c r="BM473" s="1212" t="e">
        <f t="shared" ca="1" si="342"/>
        <v>#N/A</v>
      </c>
      <c r="BN473" s="1213" t="e">
        <f t="shared" ca="1" si="343"/>
        <v>#N/A</v>
      </c>
      <c r="BO473" s="1587">
        <f t="shared" si="344"/>
        <v>0</v>
      </c>
      <c r="BR473" s="1212" t="e">
        <f t="shared" ca="1" si="345"/>
        <v>#N/A</v>
      </c>
      <c r="BS473" s="1213" t="e">
        <f t="shared" ca="1" si="346"/>
        <v>#N/A</v>
      </c>
      <c r="BT473" s="1587">
        <f t="shared" si="347"/>
        <v>0</v>
      </c>
      <c r="BW473" s="1212" t="e">
        <f t="shared" ca="1" si="348"/>
        <v>#N/A</v>
      </c>
      <c r="BX473" s="1213" t="e">
        <f t="shared" ca="1" si="349"/>
        <v>#N/A</v>
      </c>
      <c r="BY473" s="1587">
        <f t="shared" si="350"/>
        <v>0</v>
      </c>
      <c r="CB473" s="1212" t="e">
        <f t="shared" ca="1" si="351"/>
        <v>#N/A</v>
      </c>
      <c r="CC473" s="1213" t="e">
        <f t="shared" ca="1" si="352"/>
        <v>#N/A</v>
      </c>
      <c r="CD473" s="1587">
        <f t="shared" si="353"/>
        <v>0</v>
      </c>
      <c r="CG473" s="1212" t="e">
        <f t="shared" ca="1" si="354"/>
        <v>#N/A</v>
      </c>
      <c r="CH473" s="1213" t="e">
        <f t="shared" ca="1" si="355"/>
        <v>#N/A</v>
      </c>
      <c r="CI473" s="1587">
        <f t="shared" si="356"/>
        <v>0</v>
      </c>
      <c r="CL473" s="1212" t="e">
        <f t="shared" ca="1" si="357"/>
        <v>#N/A</v>
      </c>
      <c r="CM473" s="1213" t="e">
        <f t="shared" ca="1" si="358"/>
        <v>#N/A</v>
      </c>
      <c r="CN473" s="1587">
        <f t="shared" si="359"/>
        <v>0</v>
      </c>
    </row>
    <row r="474" spans="1:92">
      <c r="A474" s="141">
        <f>'銀行-TSS'!A474</f>
        <v>0</v>
      </c>
      <c r="B474" s="151">
        <f ca="1">VLOOKUP(A474,'銀行-TSS'!A:B,2,FALSE)</f>
        <v>0</v>
      </c>
      <c r="C474" s="151" t="e">
        <f ca="1">VLOOKUP(B474,bond!B:C,2,FALSE)</f>
        <v>#N/A</v>
      </c>
      <c r="D474" s="95" t="e">
        <f>VLOOKUP(A474,'銀行-TSS'!A:C,3,FALSE)</f>
        <v>#N/A</v>
      </c>
      <c r="E474" s="90" t="e">
        <f ca="1">VLOOKUP(A474,'銀行-TSS'!A:G,7,FALSE)</f>
        <v>#N/A</v>
      </c>
      <c r="F474" s="202" t="e">
        <f ca="1">VLOOKUP(A474,'銀行-TSS'!A:H,8,FALSE)</f>
        <v>#N/A</v>
      </c>
      <c r="G474" s="96" t="e">
        <f ca="1">VLOOKUP(A474,'銀行-TSS'!A:K,11,FALSE)</f>
        <v>#N/A</v>
      </c>
      <c r="H474" s="1209" t="e">
        <f ca="1">VLOOKUP(A474,'銀行-TSS'!A:M,13,FALSE)</f>
        <v>#N/A</v>
      </c>
      <c r="I474" s="1213" t="e">
        <f ca="1">VLOOKUP(A474,'銀行-TSS'!A:N,14,FALSE)</f>
        <v>#N/A</v>
      </c>
      <c r="J474" s="1213" t="e">
        <f ca="1">VLOOKUP(A474,'銀行-TSS'!A:O,15,FALSE)</f>
        <v>#N/A</v>
      </c>
      <c r="K474" s="136" t="e">
        <f ca="1">VLOOKUP(A474,'銀行-TSS'!A:V,22,FALSE)</f>
        <v>#N/A</v>
      </c>
      <c r="L474" s="136" t="e">
        <f ca="1">VLOOKUP(A474,'銀行-TSS'!A:AK,37,FALSE)</f>
        <v>#N/A</v>
      </c>
      <c r="M474" s="136" t="str">
        <f ca="1">VLOOKUP(A474,'銀行-TSS'!A:AN,40,FALSE)</f>
        <v/>
      </c>
      <c r="N474" s="136" t="e">
        <f t="shared" ca="1" si="315"/>
        <v>#N/A</v>
      </c>
      <c r="O474" s="1213" t="e">
        <f t="shared" ca="1" si="316"/>
        <v>#N/A</v>
      </c>
      <c r="P474" s="1213" t="e">
        <f ca="1">IF(AND($O$1&gt;=O474,換券單檔!$D$13=D474),I474+INT(($O$1-O474)/N474)*J474,0)</f>
        <v>#N/A</v>
      </c>
      <c r="Q474" s="1213" t="e">
        <f t="shared" ca="1" si="317"/>
        <v>#N/A</v>
      </c>
      <c r="R474" s="1213">
        <f t="shared" si="318"/>
        <v>0</v>
      </c>
      <c r="S474" s="1213">
        <f t="shared" si="319"/>
        <v>0</v>
      </c>
      <c r="T474" s="136">
        <f>IF(OR(R474=0,A474=0),0,IF(AND(V474=TRUE,換券單檔!$D$13=D474),E474,0))</f>
        <v>0</v>
      </c>
      <c r="U474" s="861">
        <f>IF(OR(R474=0,A474=0),0,IF(AND(V474=TRUE,換券單檔!$D$13=D474),H474,0))</f>
        <v>0</v>
      </c>
      <c r="V474" s="136" t="e">
        <f ca="1">IF(OR(B474=換券單檔!$D$3,L474="無",M474&lt;&gt;"",K474="高資產",IFERROR(MATCH(B474,換券單檔!K:K,0),"N")&lt;&gt;"N"),FALSE,IF($V$1="All",TRUE,IF(K474=$V$1,TRUE,FALSE)))</f>
        <v>#N/A</v>
      </c>
      <c r="W474" s="136" t="e">
        <f ca="1">VLOOKUP(A474,'銀行-TSS'!A:AO,41,FALSE)</f>
        <v>#N/A</v>
      </c>
      <c r="X474" s="136" t="e">
        <f ca="1">VLOOKUP(A474,'銀行-TSS'!A:AP,42,FALSE)</f>
        <v>#N/A</v>
      </c>
      <c r="Y474" s="1220">
        <f t="shared" si="320"/>
        <v>0</v>
      </c>
      <c r="Z474" s="1220">
        <f t="shared" si="321"/>
        <v>0</v>
      </c>
      <c r="AA474" s="136">
        <f>IF(Z474&lt;=0,0,RANK(Z474,Z:Z)+COUNTIF($Z$3:$Z474,Z474)-1)</f>
        <v>0</v>
      </c>
      <c r="AB474" s="1211">
        <f t="shared" ca="1" si="322"/>
        <v>-14896.14</v>
      </c>
      <c r="AC474" s="136">
        <f ca="1">IF(AB474&lt;=0,0,RANK(AB474,AB:AB)+COUNTIF($AB$3:$AB474,AB474)-1)</f>
        <v>0</v>
      </c>
      <c r="AD474" s="1123">
        <f t="shared" si="323"/>
        <v>99999</v>
      </c>
      <c r="AE474" s="1123">
        <f>IF(AD474=99999,0,RANK(AD474,AD:AD,1)+COUNTIF($AD$3:$AD474,AD474)-1)</f>
        <v>0</v>
      </c>
      <c r="AF474" s="86" t="e">
        <f ca="1">IF(OR(M474&lt;&gt;"",L474="無",K474="高資產",IFERROR(MATCH(B474,換券單檔!K:K,0),"N")&lt;&gt;"N"),FALSE,TRUE)</f>
        <v>#N/A</v>
      </c>
      <c r="AI474" s="1212" t="e">
        <f t="shared" ca="1" si="324"/>
        <v>#N/A</v>
      </c>
      <c r="AJ474" s="1213" t="e">
        <f t="shared" ca="1" si="325"/>
        <v>#N/A</v>
      </c>
      <c r="AK474" s="1587">
        <f t="shared" si="326"/>
        <v>0</v>
      </c>
      <c r="AN474" s="1212" t="e">
        <f t="shared" ca="1" si="327"/>
        <v>#N/A</v>
      </c>
      <c r="AO474" s="1213" t="e">
        <f t="shared" ca="1" si="328"/>
        <v>#N/A</v>
      </c>
      <c r="AP474" s="1587">
        <f t="shared" si="329"/>
        <v>0</v>
      </c>
      <c r="AS474" s="1212" t="e">
        <f t="shared" ca="1" si="330"/>
        <v>#N/A</v>
      </c>
      <c r="AT474" s="1213" t="e">
        <f t="shared" ca="1" si="331"/>
        <v>#N/A</v>
      </c>
      <c r="AU474" s="1587">
        <f t="shared" si="332"/>
        <v>0</v>
      </c>
      <c r="AX474" s="1212" t="e">
        <f t="shared" ca="1" si="333"/>
        <v>#N/A</v>
      </c>
      <c r="AY474" s="1213" t="e">
        <f t="shared" ca="1" si="334"/>
        <v>#N/A</v>
      </c>
      <c r="AZ474" s="1587">
        <f t="shared" si="335"/>
        <v>0</v>
      </c>
      <c r="BC474" s="1212" t="e">
        <f t="shared" ca="1" si="336"/>
        <v>#N/A</v>
      </c>
      <c r="BD474" s="1213" t="e">
        <f t="shared" ca="1" si="337"/>
        <v>#N/A</v>
      </c>
      <c r="BE474" s="1587">
        <f t="shared" si="338"/>
        <v>0</v>
      </c>
      <c r="BH474" s="1212" t="e">
        <f t="shared" ca="1" si="339"/>
        <v>#N/A</v>
      </c>
      <c r="BI474" s="1213" t="e">
        <f t="shared" ca="1" si="340"/>
        <v>#N/A</v>
      </c>
      <c r="BJ474" s="1587">
        <f t="shared" si="341"/>
        <v>0</v>
      </c>
      <c r="BM474" s="1212" t="e">
        <f t="shared" ca="1" si="342"/>
        <v>#N/A</v>
      </c>
      <c r="BN474" s="1213" t="e">
        <f t="shared" ca="1" si="343"/>
        <v>#N/A</v>
      </c>
      <c r="BO474" s="1587">
        <f t="shared" si="344"/>
        <v>0</v>
      </c>
      <c r="BR474" s="1212" t="e">
        <f t="shared" ca="1" si="345"/>
        <v>#N/A</v>
      </c>
      <c r="BS474" s="1213" t="e">
        <f t="shared" ca="1" si="346"/>
        <v>#N/A</v>
      </c>
      <c r="BT474" s="1587">
        <f t="shared" si="347"/>
        <v>0</v>
      </c>
      <c r="BW474" s="1212" t="e">
        <f t="shared" ca="1" si="348"/>
        <v>#N/A</v>
      </c>
      <c r="BX474" s="1213" t="e">
        <f t="shared" ca="1" si="349"/>
        <v>#N/A</v>
      </c>
      <c r="BY474" s="1587">
        <f t="shared" si="350"/>
        <v>0</v>
      </c>
      <c r="CB474" s="1212" t="e">
        <f t="shared" ca="1" si="351"/>
        <v>#N/A</v>
      </c>
      <c r="CC474" s="1213" t="e">
        <f t="shared" ca="1" si="352"/>
        <v>#N/A</v>
      </c>
      <c r="CD474" s="1587">
        <f t="shared" si="353"/>
        <v>0</v>
      </c>
      <c r="CG474" s="1212" t="e">
        <f t="shared" ca="1" si="354"/>
        <v>#N/A</v>
      </c>
      <c r="CH474" s="1213" t="e">
        <f t="shared" ca="1" si="355"/>
        <v>#N/A</v>
      </c>
      <c r="CI474" s="1587">
        <f t="shared" si="356"/>
        <v>0</v>
      </c>
      <c r="CL474" s="1212" t="e">
        <f t="shared" ca="1" si="357"/>
        <v>#N/A</v>
      </c>
      <c r="CM474" s="1213" t="e">
        <f t="shared" ca="1" si="358"/>
        <v>#N/A</v>
      </c>
      <c r="CN474" s="1587">
        <f t="shared" si="359"/>
        <v>0</v>
      </c>
    </row>
    <row r="475" spans="1:92">
      <c r="A475" s="141">
        <f>'銀行-TSS'!A475</f>
        <v>0</v>
      </c>
      <c r="B475" s="151">
        <f ca="1">VLOOKUP(A475,'銀行-TSS'!A:B,2,FALSE)</f>
        <v>0</v>
      </c>
      <c r="C475" s="151" t="e">
        <f ca="1">VLOOKUP(B475,bond!B:C,2,FALSE)</f>
        <v>#N/A</v>
      </c>
      <c r="D475" s="95" t="e">
        <f>VLOOKUP(A475,'銀行-TSS'!A:C,3,FALSE)</f>
        <v>#N/A</v>
      </c>
      <c r="E475" s="90" t="e">
        <f ca="1">VLOOKUP(A475,'銀行-TSS'!A:G,7,FALSE)</f>
        <v>#N/A</v>
      </c>
      <c r="F475" s="202" t="e">
        <f ca="1">VLOOKUP(A475,'銀行-TSS'!A:H,8,FALSE)</f>
        <v>#N/A</v>
      </c>
      <c r="G475" s="96" t="e">
        <f ca="1">VLOOKUP(A475,'銀行-TSS'!A:K,11,FALSE)</f>
        <v>#N/A</v>
      </c>
      <c r="H475" s="1209" t="e">
        <f ca="1">VLOOKUP(A475,'銀行-TSS'!A:M,13,FALSE)</f>
        <v>#N/A</v>
      </c>
      <c r="I475" s="1213" t="e">
        <f ca="1">VLOOKUP(A475,'銀行-TSS'!A:N,14,FALSE)</f>
        <v>#N/A</v>
      </c>
      <c r="J475" s="1213" t="e">
        <f ca="1">VLOOKUP(A475,'銀行-TSS'!A:O,15,FALSE)</f>
        <v>#N/A</v>
      </c>
      <c r="K475" s="136" t="e">
        <f ca="1">VLOOKUP(A475,'銀行-TSS'!A:V,22,FALSE)</f>
        <v>#N/A</v>
      </c>
      <c r="L475" s="136" t="e">
        <f ca="1">VLOOKUP(A475,'銀行-TSS'!A:AK,37,FALSE)</f>
        <v>#N/A</v>
      </c>
      <c r="M475" s="136" t="str">
        <f ca="1">VLOOKUP(A475,'銀行-TSS'!A:AN,40,FALSE)</f>
        <v/>
      </c>
      <c r="N475" s="136" t="e">
        <f t="shared" ca="1" si="315"/>
        <v>#N/A</v>
      </c>
      <c r="O475" s="1213" t="e">
        <f t="shared" ca="1" si="316"/>
        <v>#N/A</v>
      </c>
      <c r="P475" s="1213" t="e">
        <f ca="1">IF(AND($O$1&gt;=O475,換券單檔!$D$13=D475),I475+INT(($O$1-O475)/N475)*J475,0)</f>
        <v>#N/A</v>
      </c>
      <c r="Q475" s="1213" t="e">
        <f t="shared" ca="1" si="317"/>
        <v>#N/A</v>
      </c>
      <c r="R475" s="1213">
        <f t="shared" si="318"/>
        <v>0</v>
      </c>
      <c r="S475" s="1213">
        <f t="shared" si="319"/>
        <v>0</v>
      </c>
      <c r="T475" s="136">
        <f>IF(OR(R475=0,A475=0),0,IF(AND(V475=TRUE,換券單檔!$D$13=D475),E475,0))</f>
        <v>0</v>
      </c>
      <c r="U475" s="861">
        <f>IF(OR(R475=0,A475=0),0,IF(AND(V475=TRUE,換券單檔!$D$13=D475),H475,0))</f>
        <v>0</v>
      </c>
      <c r="V475" s="136" t="e">
        <f ca="1">IF(OR(B475=換券單檔!$D$3,L475="無",M475&lt;&gt;"",K475="高資產",IFERROR(MATCH(B475,換券單檔!K:K,0),"N")&lt;&gt;"N"),FALSE,IF($V$1="All",TRUE,IF(K475=$V$1,TRUE,FALSE)))</f>
        <v>#N/A</v>
      </c>
      <c r="W475" s="136" t="e">
        <f ca="1">VLOOKUP(A475,'銀行-TSS'!A:AO,41,FALSE)</f>
        <v>#N/A</v>
      </c>
      <c r="X475" s="136" t="e">
        <f ca="1">VLOOKUP(A475,'銀行-TSS'!A:AP,42,FALSE)</f>
        <v>#N/A</v>
      </c>
      <c r="Y475" s="1220">
        <f t="shared" si="320"/>
        <v>0</v>
      </c>
      <c r="Z475" s="1220">
        <f t="shared" si="321"/>
        <v>0</v>
      </c>
      <c r="AA475" s="136">
        <f>IF(Z475&lt;=0,0,RANK(Z475,Z:Z)+COUNTIF($Z$3:$Z475,Z475)-1)</f>
        <v>0</v>
      </c>
      <c r="AB475" s="1211">
        <f t="shared" ca="1" si="322"/>
        <v>-14896.14</v>
      </c>
      <c r="AC475" s="136">
        <f ca="1">IF(AB475&lt;=0,0,RANK(AB475,AB:AB)+COUNTIF($AB$3:$AB475,AB475)-1)</f>
        <v>0</v>
      </c>
      <c r="AD475" s="1123">
        <f t="shared" si="323"/>
        <v>99999</v>
      </c>
      <c r="AE475" s="1123">
        <f>IF(AD475=99999,0,RANK(AD475,AD:AD,1)+COUNTIF($AD$3:$AD475,AD475)-1)</f>
        <v>0</v>
      </c>
      <c r="AF475" s="86" t="e">
        <f ca="1">IF(OR(M475&lt;&gt;"",L475="無",K475="高資產",IFERROR(MATCH(B475,換券單檔!K:K,0),"N")&lt;&gt;"N"),FALSE,TRUE)</f>
        <v>#N/A</v>
      </c>
      <c r="AI475" s="1212" t="e">
        <f t="shared" ca="1" si="324"/>
        <v>#N/A</v>
      </c>
      <c r="AJ475" s="1213" t="e">
        <f t="shared" ca="1" si="325"/>
        <v>#N/A</v>
      </c>
      <c r="AK475" s="1587">
        <f t="shared" si="326"/>
        <v>0</v>
      </c>
      <c r="AN475" s="1212" t="e">
        <f t="shared" ca="1" si="327"/>
        <v>#N/A</v>
      </c>
      <c r="AO475" s="1213" t="e">
        <f t="shared" ca="1" si="328"/>
        <v>#N/A</v>
      </c>
      <c r="AP475" s="1587">
        <f t="shared" si="329"/>
        <v>0</v>
      </c>
      <c r="AS475" s="1212" t="e">
        <f t="shared" ca="1" si="330"/>
        <v>#N/A</v>
      </c>
      <c r="AT475" s="1213" t="e">
        <f t="shared" ca="1" si="331"/>
        <v>#N/A</v>
      </c>
      <c r="AU475" s="1587">
        <f t="shared" si="332"/>
        <v>0</v>
      </c>
      <c r="AX475" s="1212" t="e">
        <f t="shared" ca="1" si="333"/>
        <v>#N/A</v>
      </c>
      <c r="AY475" s="1213" t="e">
        <f t="shared" ca="1" si="334"/>
        <v>#N/A</v>
      </c>
      <c r="AZ475" s="1587">
        <f t="shared" si="335"/>
        <v>0</v>
      </c>
      <c r="BC475" s="1212" t="e">
        <f t="shared" ca="1" si="336"/>
        <v>#N/A</v>
      </c>
      <c r="BD475" s="1213" t="e">
        <f t="shared" ca="1" si="337"/>
        <v>#N/A</v>
      </c>
      <c r="BE475" s="1587">
        <f t="shared" si="338"/>
        <v>0</v>
      </c>
      <c r="BH475" s="1212" t="e">
        <f t="shared" ca="1" si="339"/>
        <v>#N/A</v>
      </c>
      <c r="BI475" s="1213" t="e">
        <f t="shared" ca="1" si="340"/>
        <v>#N/A</v>
      </c>
      <c r="BJ475" s="1587">
        <f t="shared" si="341"/>
        <v>0</v>
      </c>
      <c r="BM475" s="1212" t="e">
        <f t="shared" ca="1" si="342"/>
        <v>#N/A</v>
      </c>
      <c r="BN475" s="1213" t="e">
        <f t="shared" ca="1" si="343"/>
        <v>#N/A</v>
      </c>
      <c r="BO475" s="1587">
        <f t="shared" si="344"/>
        <v>0</v>
      </c>
      <c r="BR475" s="1212" t="e">
        <f t="shared" ca="1" si="345"/>
        <v>#N/A</v>
      </c>
      <c r="BS475" s="1213" t="e">
        <f t="shared" ca="1" si="346"/>
        <v>#N/A</v>
      </c>
      <c r="BT475" s="1587">
        <f t="shared" si="347"/>
        <v>0</v>
      </c>
      <c r="BW475" s="1212" t="e">
        <f t="shared" ca="1" si="348"/>
        <v>#N/A</v>
      </c>
      <c r="BX475" s="1213" t="e">
        <f t="shared" ca="1" si="349"/>
        <v>#N/A</v>
      </c>
      <c r="BY475" s="1587">
        <f t="shared" si="350"/>
        <v>0</v>
      </c>
      <c r="CB475" s="1212" t="e">
        <f t="shared" ca="1" si="351"/>
        <v>#N/A</v>
      </c>
      <c r="CC475" s="1213" t="e">
        <f t="shared" ca="1" si="352"/>
        <v>#N/A</v>
      </c>
      <c r="CD475" s="1587">
        <f t="shared" si="353"/>
        <v>0</v>
      </c>
      <c r="CG475" s="1212" t="e">
        <f t="shared" ca="1" si="354"/>
        <v>#N/A</v>
      </c>
      <c r="CH475" s="1213" t="e">
        <f t="shared" ca="1" si="355"/>
        <v>#N/A</v>
      </c>
      <c r="CI475" s="1587">
        <f t="shared" si="356"/>
        <v>0</v>
      </c>
      <c r="CL475" s="1212" t="e">
        <f t="shared" ca="1" si="357"/>
        <v>#N/A</v>
      </c>
      <c r="CM475" s="1213" t="e">
        <f t="shared" ca="1" si="358"/>
        <v>#N/A</v>
      </c>
      <c r="CN475" s="1587">
        <f t="shared" si="359"/>
        <v>0</v>
      </c>
    </row>
    <row r="476" spans="1:92">
      <c r="A476" s="141">
        <f>'銀行-TSS'!A476</f>
        <v>0</v>
      </c>
      <c r="B476" s="151">
        <f ca="1">VLOOKUP(A476,'銀行-TSS'!A:B,2,FALSE)</f>
        <v>0</v>
      </c>
      <c r="C476" s="151" t="e">
        <f ca="1">VLOOKUP(B476,bond!B:C,2,FALSE)</f>
        <v>#N/A</v>
      </c>
      <c r="D476" s="95" t="e">
        <f>VLOOKUP(A476,'銀行-TSS'!A:C,3,FALSE)</f>
        <v>#N/A</v>
      </c>
      <c r="E476" s="90" t="e">
        <f ca="1">VLOOKUP(A476,'銀行-TSS'!A:G,7,FALSE)</f>
        <v>#N/A</v>
      </c>
      <c r="F476" s="202" t="e">
        <f ca="1">VLOOKUP(A476,'銀行-TSS'!A:H,8,FALSE)</f>
        <v>#N/A</v>
      </c>
      <c r="G476" s="96" t="e">
        <f ca="1">VLOOKUP(A476,'銀行-TSS'!A:K,11,FALSE)</f>
        <v>#N/A</v>
      </c>
      <c r="H476" s="1209" t="e">
        <f ca="1">VLOOKUP(A476,'銀行-TSS'!A:M,13,FALSE)</f>
        <v>#N/A</v>
      </c>
      <c r="I476" s="1213" t="e">
        <f ca="1">VLOOKUP(A476,'銀行-TSS'!A:N,14,FALSE)</f>
        <v>#N/A</v>
      </c>
      <c r="J476" s="1213" t="e">
        <f ca="1">VLOOKUP(A476,'銀行-TSS'!A:O,15,FALSE)</f>
        <v>#N/A</v>
      </c>
      <c r="K476" s="136" t="e">
        <f ca="1">VLOOKUP(A476,'銀行-TSS'!A:V,22,FALSE)</f>
        <v>#N/A</v>
      </c>
      <c r="L476" s="136" t="e">
        <f ca="1">VLOOKUP(A476,'銀行-TSS'!A:AK,37,FALSE)</f>
        <v>#N/A</v>
      </c>
      <c r="M476" s="136" t="str">
        <f ca="1">VLOOKUP(A476,'銀行-TSS'!A:AN,40,FALSE)</f>
        <v/>
      </c>
      <c r="N476" s="136" t="e">
        <f t="shared" ca="1" si="315"/>
        <v>#N/A</v>
      </c>
      <c r="O476" s="1213" t="e">
        <f t="shared" ca="1" si="316"/>
        <v>#N/A</v>
      </c>
      <c r="P476" s="1213" t="e">
        <f ca="1">IF(AND($O$1&gt;=O476,換券單檔!$D$13=D476),I476+INT(($O$1-O476)/N476)*J476,0)</f>
        <v>#N/A</v>
      </c>
      <c r="Q476" s="1213" t="e">
        <f t="shared" ca="1" si="317"/>
        <v>#N/A</v>
      </c>
      <c r="R476" s="1213">
        <f t="shared" si="318"/>
        <v>0</v>
      </c>
      <c r="S476" s="1213">
        <f t="shared" si="319"/>
        <v>0</v>
      </c>
      <c r="T476" s="136">
        <f>IF(OR(R476=0,A476=0),0,IF(AND(V476=TRUE,換券單檔!$D$13=D476),E476,0))</f>
        <v>0</v>
      </c>
      <c r="U476" s="861">
        <f>IF(OR(R476=0,A476=0),0,IF(AND(V476=TRUE,換券單檔!$D$13=D476),H476,0))</f>
        <v>0</v>
      </c>
      <c r="V476" s="136" t="e">
        <f ca="1">IF(OR(B476=換券單檔!$D$3,L476="無",M476&lt;&gt;"",K476="高資產",IFERROR(MATCH(B476,換券單檔!K:K,0),"N")&lt;&gt;"N"),FALSE,IF($V$1="All",TRUE,IF(K476=$V$1,TRUE,FALSE)))</f>
        <v>#N/A</v>
      </c>
      <c r="W476" s="136" t="e">
        <f ca="1">VLOOKUP(A476,'銀行-TSS'!A:AO,41,FALSE)</f>
        <v>#N/A</v>
      </c>
      <c r="X476" s="136" t="e">
        <f ca="1">VLOOKUP(A476,'銀行-TSS'!A:AP,42,FALSE)</f>
        <v>#N/A</v>
      </c>
      <c r="Y476" s="1220">
        <f t="shared" si="320"/>
        <v>0</v>
      </c>
      <c r="Z476" s="1220">
        <f t="shared" si="321"/>
        <v>0</v>
      </c>
      <c r="AA476" s="136">
        <f>IF(Z476&lt;=0,0,RANK(Z476,Z:Z)+COUNTIF($Z$3:$Z476,Z476)-1)</f>
        <v>0</v>
      </c>
      <c r="AB476" s="1211">
        <f t="shared" ca="1" si="322"/>
        <v>-14896.14</v>
      </c>
      <c r="AC476" s="136">
        <f ca="1">IF(AB476&lt;=0,0,RANK(AB476,AB:AB)+COUNTIF($AB$3:$AB476,AB476)-1)</f>
        <v>0</v>
      </c>
      <c r="AD476" s="1123">
        <f t="shared" si="323"/>
        <v>99999</v>
      </c>
      <c r="AE476" s="1123">
        <f>IF(AD476=99999,0,RANK(AD476,AD:AD,1)+COUNTIF($AD$3:$AD476,AD476)-1)</f>
        <v>0</v>
      </c>
      <c r="AF476" s="86" t="e">
        <f ca="1">IF(OR(M476&lt;&gt;"",L476="無",K476="高資產",IFERROR(MATCH(B476,換券單檔!K:K,0),"N")&lt;&gt;"N"),FALSE,TRUE)</f>
        <v>#N/A</v>
      </c>
      <c r="AI476" s="1212" t="e">
        <f t="shared" ca="1" si="324"/>
        <v>#N/A</v>
      </c>
      <c r="AJ476" s="1213" t="e">
        <f t="shared" ca="1" si="325"/>
        <v>#N/A</v>
      </c>
      <c r="AK476" s="1587">
        <f t="shared" si="326"/>
        <v>0</v>
      </c>
      <c r="AN476" s="1212" t="e">
        <f t="shared" ca="1" si="327"/>
        <v>#N/A</v>
      </c>
      <c r="AO476" s="1213" t="e">
        <f t="shared" ca="1" si="328"/>
        <v>#N/A</v>
      </c>
      <c r="AP476" s="1587">
        <f t="shared" si="329"/>
        <v>0</v>
      </c>
      <c r="AS476" s="1212" t="e">
        <f t="shared" ca="1" si="330"/>
        <v>#N/A</v>
      </c>
      <c r="AT476" s="1213" t="e">
        <f t="shared" ca="1" si="331"/>
        <v>#N/A</v>
      </c>
      <c r="AU476" s="1587">
        <f t="shared" si="332"/>
        <v>0</v>
      </c>
      <c r="AX476" s="1212" t="e">
        <f t="shared" ca="1" si="333"/>
        <v>#N/A</v>
      </c>
      <c r="AY476" s="1213" t="e">
        <f t="shared" ca="1" si="334"/>
        <v>#N/A</v>
      </c>
      <c r="AZ476" s="1587">
        <f t="shared" si="335"/>
        <v>0</v>
      </c>
      <c r="BC476" s="1212" t="e">
        <f t="shared" ca="1" si="336"/>
        <v>#N/A</v>
      </c>
      <c r="BD476" s="1213" t="e">
        <f t="shared" ca="1" si="337"/>
        <v>#N/A</v>
      </c>
      <c r="BE476" s="1587">
        <f t="shared" si="338"/>
        <v>0</v>
      </c>
      <c r="BH476" s="1212" t="e">
        <f t="shared" ca="1" si="339"/>
        <v>#N/A</v>
      </c>
      <c r="BI476" s="1213" t="e">
        <f t="shared" ca="1" si="340"/>
        <v>#N/A</v>
      </c>
      <c r="BJ476" s="1587">
        <f t="shared" si="341"/>
        <v>0</v>
      </c>
      <c r="BM476" s="1212" t="e">
        <f t="shared" ca="1" si="342"/>
        <v>#N/A</v>
      </c>
      <c r="BN476" s="1213" t="e">
        <f t="shared" ca="1" si="343"/>
        <v>#N/A</v>
      </c>
      <c r="BO476" s="1587">
        <f t="shared" si="344"/>
        <v>0</v>
      </c>
      <c r="BR476" s="1212" t="e">
        <f t="shared" ca="1" si="345"/>
        <v>#N/A</v>
      </c>
      <c r="BS476" s="1213" t="e">
        <f t="shared" ca="1" si="346"/>
        <v>#N/A</v>
      </c>
      <c r="BT476" s="1587">
        <f t="shared" si="347"/>
        <v>0</v>
      </c>
      <c r="BW476" s="1212" t="e">
        <f t="shared" ca="1" si="348"/>
        <v>#N/A</v>
      </c>
      <c r="BX476" s="1213" t="e">
        <f t="shared" ca="1" si="349"/>
        <v>#N/A</v>
      </c>
      <c r="BY476" s="1587">
        <f t="shared" si="350"/>
        <v>0</v>
      </c>
      <c r="CB476" s="1212" t="e">
        <f t="shared" ca="1" si="351"/>
        <v>#N/A</v>
      </c>
      <c r="CC476" s="1213" t="e">
        <f t="shared" ca="1" si="352"/>
        <v>#N/A</v>
      </c>
      <c r="CD476" s="1587">
        <f t="shared" si="353"/>
        <v>0</v>
      </c>
      <c r="CG476" s="1212" t="e">
        <f t="shared" ca="1" si="354"/>
        <v>#N/A</v>
      </c>
      <c r="CH476" s="1213" t="e">
        <f t="shared" ca="1" si="355"/>
        <v>#N/A</v>
      </c>
      <c r="CI476" s="1587">
        <f t="shared" si="356"/>
        <v>0</v>
      </c>
      <c r="CL476" s="1212" t="e">
        <f t="shared" ca="1" si="357"/>
        <v>#N/A</v>
      </c>
      <c r="CM476" s="1213" t="e">
        <f t="shared" ca="1" si="358"/>
        <v>#N/A</v>
      </c>
      <c r="CN476" s="1587">
        <f t="shared" si="359"/>
        <v>0</v>
      </c>
    </row>
    <row r="477" spans="1:92">
      <c r="A477" s="141">
        <f>'銀行-TSS'!A477</f>
        <v>0</v>
      </c>
      <c r="B477" s="151">
        <f ca="1">VLOOKUP(A477,'銀行-TSS'!A:B,2,FALSE)</f>
        <v>0</v>
      </c>
      <c r="C477" s="151" t="e">
        <f ca="1">VLOOKUP(B477,bond!B:C,2,FALSE)</f>
        <v>#N/A</v>
      </c>
      <c r="D477" s="95" t="e">
        <f>VLOOKUP(A477,'銀行-TSS'!A:C,3,FALSE)</f>
        <v>#N/A</v>
      </c>
      <c r="E477" s="90" t="e">
        <f ca="1">VLOOKUP(A477,'銀行-TSS'!A:G,7,FALSE)</f>
        <v>#N/A</v>
      </c>
      <c r="F477" s="202" t="e">
        <f ca="1">VLOOKUP(A477,'銀行-TSS'!A:H,8,FALSE)</f>
        <v>#N/A</v>
      </c>
      <c r="G477" s="96" t="e">
        <f ca="1">VLOOKUP(A477,'銀行-TSS'!A:K,11,FALSE)</f>
        <v>#N/A</v>
      </c>
      <c r="H477" s="1209" t="e">
        <f ca="1">VLOOKUP(A477,'銀行-TSS'!A:M,13,FALSE)</f>
        <v>#N/A</v>
      </c>
      <c r="I477" s="1213" t="e">
        <f ca="1">VLOOKUP(A477,'銀行-TSS'!A:N,14,FALSE)</f>
        <v>#N/A</v>
      </c>
      <c r="J477" s="1213" t="e">
        <f ca="1">VLOOKUP(A477,'銀行-TSS'!A:O,15,FALSE)</f>
        <v>#N/A</v>
      </c>
      <c r="K477" s="136" t="e">
        <f ca="1">VLOOKUP(A477,'銀行-TSS'!A:V,22,FALSE)</f>
        <v>#N/A</v>
      </c>
      <c r="L477" s="136" t="e">
        <f ca="1">VLOOKUP(A477,'銀行-TSS'!A:AK,37,FALSE)</f>
        <v>#N/A</v>
      </c>
      <c r="M477" s="136" t="str">
        <f ca="1">VLOOKUP(A477,'銀行-TSS'!A:AN,40,FALSE)</f>
        <v/>
      </c>
      <c r="N477" s="136" t="e">
        <f t="shared" ca="1" si="315"/>
        <v>#N/A</v>
      </c>
      <c r="O477" s="1213" t="e">
        <f t="shared" ca="1" si="316"/>
        <v>#N/A</v>
      </c>
      <c r="P477" s="1213" t="e">
        <f ca="1">IF(AND($O$1&gt;=O477,換券單檔!$D$13=D477),I477+INT(($O$1-O477)/N477)*J477,0)</f>
        <v>#N/A</v>
      </c>
      <c r="Q477" s="1213" t="e">
        <f t="shared" ca="1" si="317"/>
        <v>#N/A</v>
      </c>
      <c r="R477" s="1213">
        <f t="shared" si="318"/>
        <v>0</v>
      </c>
      <c r="S477" s="1213">
        <f t="shared" si="319"/>
        <v>0</v>
      </c>
      <c r="T477" s="136">
        <f>IF(OR(R477=0,A477=0),0,IF(AND(V477=TRUE,換券單檔!$D$13=D477),E477,0))</f>
        <v>0</v>
      </c>
      <c r="U477" s="861">
        <f>IF(OR(R477=0,A477=0),0,IF(AND(V477=TRUE,換券單檔!$D$13=D477),H477,0))</f>
        <v>0</v>
      </c>
      <c r="V477" s="136" t="e">
        <f ca="1">IF(OR(B477=換券單檔!$D$3,L477="無",M477&lt;&gt;"",K477="高資產",IFERROR(MATCH(B477,換券單檔!K:K,0),"N")&lt;&gt;"N"),FALSE,IF($V$1="All",TRUE,IF(K477=$V$1,TRUE,FALSE)))</f>
        <v>#N/A</v>
      </c>
      <c r="W477" s="136" t="e">
        <f ca="1">VLOOKUP(A477,'銀行-TSS'!A:AO,41,FALSE)</f>
        <v>#N/A</v>
      </c>
      <c r="X477" s="136" t="e">
        <f ca="1">VLOOKUP(A477,'銀行-TSS'!A:AP,42,FALSE)</f>
        <v>#N/A</v>
      </c>
      <c r="Y477" s="1220">
        <f t="shared" si="320"/>
        <v>0</v>
      </c>
      <c r="Z477" s="1220">
        <f t="shared" si="321"/>
        <v>0</v>
      </c>
      <c r="AA477" s="136">
        <f>IF(Z477&lt;=0,0,RANK(Z477,Z:Z)+COUNTIF($Z$3:$Z477,Z477)-1)</f>
        <v>0</v>
      </c>
      <c r="AB477" s="1211">
        <f t="shared" ca="1" si="322"/>
        <v>-14896.14</v>
      </c>
      <c r="AC477" s="136">
        <f ca="1">IF(AB477&lt;=0,0,RANK(AB477,AB:AB)+COUNTIF($AB$3:$AB477,AB477)-1)</f>
        <v>0</v>
      </c>
      <c r="AD477" s="1123">
        <f t="shared" si="323"/>
        <v>99999</v>
      </c>
      <c r="AE477" s="1123">
        <f>IF(AD477=99999,0,RANK(AD477,AD:AD,1)+COUNTIF($AD$3:$AD477,AD477)-1)</f>
        <v>0</v>
      </c>
      <c r="AF477" s="86" t="e">
        <f ca="1">IF(OR(M477&lt;&gt;"",L477="無",K477="高資產",IFERROR(MATCH(B477,換券單檔!K:K,0),"N")&lt;&gt;"N"),FALSE,TRUE)</f>
        <v>#N/A</v>
      </c>
      <c r="AI477" s="1212" t="e">
        <f t="shared" ca="1" si="324"/>
        <v>#N/A</v>
      </c>
      <c r="AJ477" s="1213" t="e">
        <f t="shared" ca="1" si="325"/>
        <v>#N/A</v>
      </c>
      <c r="AK477" s="1587">
        <f t="shared" si="326"/>
        <v>0</v>
      </c>
      <c r="AN477" s="1212" t="e">
        <f t="shared" ca="1" si="327"/>
        <v>#N/A</v>
      </c>
      <c r="AO477" s="1213" t="e">
        <f t="shared" ca="1" si="328"/>
        <v>#N/A</v>
      </c>
      <c r="AP477" s="1587">
        <f t="shared" si="329"/>
        <v>0</v>
      </c>
      <c r="AS477" s="1212" t="e">
        <f t="shared" ca="1" si="330"/>
        <v>#N/A</v>
      </c>
      <c r="AT477" s="1213" t="e">
        <f t="shared" ca="1" si="331"/>
        <v>#N/A</v>
      </c>
      <c r="AU477" s="1587">
        <f t="shared" si="332"/>
        <v>0</v>
      </c>
      <c r="AX477" s="1212" t="e">
        <f t="shared" ca="1" si="333"/>
        <v>#N/A</v>
      </c>
      <c r="AY477" s="1213" t="e">
        <f t="shared" ca="1" si="334"/>
        <v>#N/A</v>
      </c>
      <c r="AZ477" s="1587">
        <f t="shared" si="335"/>
        <v>0</v>
      </c>
      <c r="BC477" s="1212" t="e">
        <f t="shared" ca="1" si="336"/>
        <v>#N/A</v>
      </c>
      <c r="BD477" s="1213" t="e">
        <f t="shared" ca="1" si="337"/>
        <v>#N/A</v>
      </c>
      <c r="BE477" s="1587">
        <f t="shared" si="338"/>
        <v>0</v>
      </c>
      <c r="BH477" s="1212" t="e">
        <f t="shared" ca="1" si="339"/>
        <v>#N/A</v>
      </c>
      <c r="BI477" s="1213" t="e">
        <f t="shared" ca="1" si="340"/>
        <v>#N/A</v>
      </c>
      <c r="BJ477" s="1587">
        <f t="shared" si="341"/>
        <v>0</v>
      </c>
      <c r="BM477" s="1212" t="e">
        <f t="shared" ca="1" si="342"/>
        <v>#N/A</v>
      </c>
      <c r="BN477" s="1213" t="e">
        <f t="shared" ca="1" si="343"/>
        <v>#N/A</v>
      </c>
      <c r="BO477" s="1587">
        <f t="shared" si="344"/>
        <v>0</v>
      </c>
      <c r="BR477" s="1212" t="e">
        <f t="shared" ca="1" si="345"/>
        <v>#N/A</v>
      </c>
      <c r="BS477" s="1213" t="e">
        <f t="shared" ca="1" si="346"/>
        <v>#N/A</v>
      </c>
      <c r="BT477" s="1587">
        <f t="shared" si="347"/>
        <v>0</v>
      </c>
      <c r="BW477" s="1212" t="e">
        <f t="shared" ca="1" si="348"/>
        <v>#N/A</v>
      </c>
      <c r="BX477" s="1213" t="e">
        <f t="shared" ca="1" si="349"/>
        <v>#N/A</v>
      </c>
      <c r="BY477" s="1587">
        <f t="shared" si="350"/>
        <v>0</v>
      </c>
      <c r="CB477" s="1212" t="e">
        <f t="shared" ca="1" si="351"/>
        <v>#N/A</v>
      </c>
      <c r="CC477" s="1213" t="e">
        <f t="shared" ca="1" si="352"/>
        <v>#N/A</v>
      </c>
      <c r="CD477" s="1587">
        <f t="shared" si="353"/>
        <v>0</v>
      </c>
      <c r="CG477" s="1212" t="e">
        <f t="shared" ca="1" si="354"/>
        <v>#N/A</v>
      </c>
      <c r="CH477" s="1213" t="e">
        <f t="shared" ca="1" si="355"/>
        <v>#N/A</v>
      </c>
      <c r="CI477" s="1587">
        <f t="shared" si="356"/>
        <v>0</v>
      </c>
      <c r="CL477" s="1212" t="e">
        <f t="shared" ca="1" si="357"/>
        <v>#N/A</v>
      </c>
      <c r="CM477" s="1213" t="e">
        <f t="shared" ca="1" si="358"/>
        <v>#N/A</v>
      </c>
      <c r="CN477" s="1587">
        <f t="shared" si="359"/>
        <v>0</v>
      </c>
    </row>
    <row r="478" spans="1:92">
      <c r="A478" s="141">
        <f>'銀行-TSS'!A478</f>
        <v>0</v>
      </c>
      <c r="B478" s="151">
        <f ca="1">VLOOKUP(A478,'銀行-TSS'!A:B,2,FALSE)</f>
        <v>0</v>
      </c>
      <c r="C478" s="151" t="e">
        <f ca="1">VLOOKUP(B478,bond!B:C,2,FALSE)</f>
        <v>#N/A</v>
      </c>
      <c r="D478" s="95" t="e">
        <f>VLOOKUP(A478,'銀行-TSS'!A:C,3,FALSE)</f>
        <v>#N/A</v>
      </c>
      <c r="E478" s="90" t="e">
        <f ca="1">VLOOKUP(A478,'銀行-TSS'!A:G,7,FALSE)</f>
        <v>#N/A</v>
      </c>
      <c r="F478" s="202" t="e">
        <f ca="1">VLOOKUP(A478,'銀行-TSS'!A:H,8,FALSE)</f>
        <v>#N/A</v>
      </c>
      <c r="G478" s="96" t="e">
        <f ca="1">VLOOKUP(A478,'銀行-TSS'!A:K,11,FALSE)</f>
        <v>#N/A</v>
      </c>
      <c r="H478" s="1209" t="e">
        <f ca="1">VLOOKUP(A478,'銀行-TSS'!A:M,13,FALSE)</f>
        <v>#N/A</v>
      </c>
      <c r="I478" s="1213" t="e">
        <f ca="1">VLOOKUP(A478,'銀行-TSS'!A:N,14,FALSE)</f>
        <v>#N/A</v>
      </c>
      <c r="J478" s="1213" t="e">
        <f ca="1">VLOOKUP(A478,'銀行-TSS'!A:O,15,FALSE)</f>
        <v>#N/A</v>
      </c>
      <c r="K478" s="136" t="e">
        <f ca="1">VLOOKUP(A478,'銀行-TSS'!A:V,22,FALSE)</f>
        <v>#N/A</v>
      </c>
      <c r="L478" s="136" t="e">
        <f ca="1">VLOOKUP(A478,'銀行-TSS'!A:AK,37,FALSE)</f>
        <v>#N/A</v>
      </c>
      <c r="M478" s="136" t="str">
        <f ca="1">VLOOKUP(A478,'銀行-TSS'!A:AN,40,FALSE)</f>
        <v/>
      </c>
      <c r="N478" s="136" t="e">
        <f t="shared" ca="1" si="315"/>
        <v>#N/A</v>
      </c>
      <c r="O478" s="1213" t="e">
        <f t="shared" ca="1" si="316"/>
        <v>#N/A</v>
      </c>
      <c r="P478" s="1213" t="e">
        <f ca="1">IF(AND($O$1&gt;=O478,換券單檔!$D$13=D478),I478+INT(($O$1-O478)/N478)*J478,0)</f>
        <v>#N/A</v>
      </c>
      <c r="Q478" s="1213" t="e">
        <f t="shared" ca="1" si="317"/>
        <v>#N/A</v>
      </c>
      <c r="R478" s="1213">
        <f t="shared" si="318"/>
        <v>0</v>
      </c>
      <c r="S478" s="1213">
        <f t="shared" si="319"/>
        <v>0</v>
      </c>
      <c r="T478" s="136">
        <f>IF(OR(R478=0,A478=0),0,IF(AND(V478=TRUE,換券單檔!$D$13=D478),E478,0))</f>
        <v>0</v>
      </c>
      <c r="U478" s="861">
        <f>IF(OR(R478=0,A478=0),0,IF(AND(V478=TRUE,換券單檔!$D$13=D478),H478,0))</f>
        <v>0</v>
      </c>
      <c r="V478" s="136" t="e">
        <f ca="1">IF(OR(B478=換券單檔!$D$3,L478="無",M478&lt;&gt;"",K478="高資產",IFERROR(MATCH(B478,換券單檔!K:K,0),"N")&lt;&gt;"N"),FALSE,IF($V$1="All",TRUE,IF(K478=$V$1,TRUE,FALSE)))</f>
        <v>#N/A</v>
      </c>
      <c r="W478" s="136" t="e">
        <f ca="1">VLOOKUP(A478,'銀行-TSS'!A:AO,41,FALSE)</f>
        <v>#N/A</v>
      </c>
      <c r="X478" s="136" t="e">
        <f ca="1">VLOOKUP(A478,'銀行-TSS'!A:AP,42,FALSE)</f>
        <v>#N/A</v>
      </c>
      <c r="Y478" s="1220">
        <f t="shared" si="320"/>
        <v>0</v>
      </c>
      <c r="Z478" s="1220">
        <f t="shared" si="321"/>
        <v>0</v>
      </c>
      <c r="AA478" s="136">
        <f>IF(Z478&lt;=0,0,RANK(Z478,Z:Z)+COUNTIF($Z$3:$Z478,Z478)-1)</f>
        <v>0</v>
      </c>
      <c r="AB478" s="1211">
        <f t="shared" ca="1" si="322"/>
        <v>-14896.14</v>
      </c>
      <c r="AC478" s="136">
        <f ca="1">IF(AB478&lt;=0,0,RANK(AB478,AB:AB)+COUNTIF($AB$3:$AB478,AB478)-1)</f>
        <v>0</v>
      </c>
      <c r="AD478" s="1123">
        <f t="shared" si="323"/>
        <v>99999</v>
      </c>
      <c r="AE478" s="1123">
        <f>IF(AD478=99999,0,RANK(AD478,AD:AD,1)+COUNTIF($AD$3:$AD478,AD478)-1)</f>
        <v>0</v>
      </c>
      <c r="AF478" s="86" t="e">
        <f ca="1">IF(OR(M478&lt;&gt;"",L478="無",K478="高資產",IFERROR(MATCH(B478,換券單檔!K:K,0),"N")&lt;&gt;"N"),FALSE,TRUE)</f>
        <v>#N/A</v>
      </c>
      <c r="AI478" s="1212" t="e">
        <f t="shared" ca="1" si="324"/>
        <v>#N/A</v>
      </c>
      <c r="AJ478" s="1213" t="e">
        <f t="shared" ca="1" si="325"/>
        <v>#N/A</v>
      </c>
      <c r="AK478" s="1587">
        <f t="shared" si="326"/>
        <v>0</v>
      </c>
      <c r="AN478" s="1212" t="e">
        <f t="shared" ca="1" si="327"/>
        <v>#N/A</v>
      </c>
      <c r="AO478" s="1213" t="e">
        <f t="shared" ca="1" si="328"/>
        <v>#N/A</v>
      </c>
      <c r="AP478" s="1587">
        <f t="shared" si="329"/>
        <v>0</v>
      </c>
      <c r="AS478" s="1212" t="e">
        <f t="shared" ca="1" si="330"/>
        <v>#N/A</v>
      </c>
      <c r="AT478" s="1213" t="e">
        <f t="shared" ca="1" si="331"/>
        <v>#N/A</v>
      </c>
      <c r="AU478" s="1587">
        <f t="shared" si="332"/>
        <v>0</v>
      </c>
      <c r="AX478" s="1212" t="e">
        <f t="shared" ca="1" si="333"/>
        <v>#N/A</v>
      </c>
      <c r="AY478" s="1213" t="e">
        <f t="shared" ca="1" si="334"/>
        <v>#N/A</v>
      </c>
      <c r="AZ478" s="1587">
        <f t="shared" si="335"/>
        <v>0</v>
      </c>
      <c r="BC478" s="1212" t="e">
        <f t="shared" ca="1" si="336"/>
        <v>#N/A</v>
      </c>
      <c r="BD478" s="1213" t="e">
        <f t="shared" ca="1" si="337"/>
        <v>#N/A</v>
      </c>
      <c r="BE478" s="1587">
        <f t="shared" si="338"/>
        <v>0</v>
      </c>
      <c r="BH478" s="1212" t="e">
        <f t="shared" ca="1" si="339"/>
        <v>#N/A</v>
      </c>
      <c r="BI478" s="1213" t="e">
        <f t="shared" ca="1" si="340"/>
        <v>#N/A</v>
      </c>
      <c r="BJ478" s="1587">
        <f t="shared" si="341"/>
        <v>0</v>
      </c>
      <c r="BM478" s="1212" t="e">
        <f t="shared" ca="1" si="342"/>
        <v>#N/A</v>
      </c>
      <c r="BN478" s="1213" t="e">
        <f t="shared" ca="1" si="343"/>
        <v>#N/A</v>
      </c>
      <c r="BO478" s="1587">
        <f t="shared" si="344"/>
        <v>0</v>
      </c>
      <c r="BR478" s="1212" t="e">
        <f t="shared" ca="1" si="345"/>
        <v>#N/A</v>
      </c>
      <c r="BS478" s="1213" t="e">
        <f t="shared" ca="1" si="346"/>
        <v>#N/A</v>
      </c>
      <c r="BT478" s="1587">
        <f t="shared" si="347"/>
        <v>0</v>
      </c>
      <c r="BW478" s="1212" t="e">
        <f t="shared" ca="1" si="348"/>
        <v>#N/A</v>
      </c>
      <c r="BX478" s="1213" t="e">
        <f t="shared" ca="1" si="349"/>
        <v>#N/A</v>
      </c>
      <c r="BY478" s="1587">
        <f t="shared" si="350"/>
        <v>0</v>
      </c>
      <c r="CB478" s="1212" t="e">
        <f t="shared" ca="1" si="351"/>
        <v>#N/A</v>
      </c>
      <c r="CC478" s="1213" t="e">
        <f t="shared" ca="1" si="352"/>
        <v>#N/A</v>
      </c>
      <c r="CD478" s="1587">
        <f t="shared" si="353"/>
        <v>0</v>
      </c>
      <c r="CG478" s="1212" t="e">
        <f t="shared" ca="1" si="354"/>
        <v>#N/A</v>
      </c>
      <c r="CH478" s="1213" t="e">
        <f t="shared" ca="1" si="355"/>
        <v>#N/A</v>
      </c>
      <c r="CI478" s="1587">
        <f t="shared" si="356"/>
        <v>0</v>
      </c>
      <c r="CL478" s="1212" t="e">
        <f t="shared" ca="1" si="357"/>
        <v>#N/A</v>
      </c>
      <c r="CM478" s="1213" t="e">
        <f t="shared" ca="1" si="358"/>
        <v>#N/A</v>
      </c>
      <c r="CN478" s="1587">
        <f t="shared" si="359"/>
        <v>0</v>
      </c>
    </row>
    <row r="479" spans="1:92">
      <c r="A479" s="141">
        <f>'銀行-TSS'!A479</f>
        <v>0</v>
      </c>
      <c r="B479" s="151">
        <f ca="1">VLOOKUP(A479,'銀行-TSS'!A:B,2,FALSE)</f>
        <v>0</v>
      </c>
      <c r="C479" s="151" t="e">
        <f ca="1">VLOOKUP(B479,bond!B:C,2,FALSE)</f>
        <v>#N/A</v>
      </c>
      <c r="D479" s="95" t="e">
        <f>VLOOKUP(A479,'銀行-TSS'!A:C,3,FALSE)</f>
        <v>#N/A</v>
      </c>
      <c r="E479" s="90" t="e">
        <f ca="1">VLOOKUP(A479,'銀行-TSS'!A:G,7,FALSE)</f>
        <v>#N/A</v>
      </c>
      <c r="F479" s="202" t="e">
        <f ca="1">VLOOKUP(A479,'銀行-TSS'!A:H,8,FALSE)</f>
        <v>#N/A</v>
      </c>
      <c r="G479" s="96" t="e">
        <f ca="1">VLOOKUP(A479,'銀行-TSS'!A:K,11,FALSE)</f>
        <v>#N/A</v>
      </c>
      <c r="H479" s="1209" t="e">
        <f ca="1">VLOOKUP(A479,'銀行-TSS'!A:M,13,FALSE)</f>
        <v>#N/A</v>
      </c>
      <c r="I479" s="1213" t="e">
        <f ca="1">VLOOKUP(A479,'銀行-TSS'!A:N,14,FALSE)</f>
        <v>#N/A</v>
      </c>
      <c r="J479" s="1213" t="e">
        <f ca="1">VLOOKUP(A479,'銀行-TSS'!A:O,15,FALSE)</f>
        <v>#N/A</v>
      </c>
      <c r="K479" s="136" t="e">
        <f ca="1">VLOOKUP(A479,'銀行-TSS'!A:V,22,FALSE)</f>
        <v>#N/A</v>
      </c>
      <c r="L479" s="136" t="e">
        <f ca="1">VLOOKUP(A479,'銀行-TSS'!A:AK,37,FALSE)</f>
        <v>#N/A</v>
      </c>
      <c r="M479" s="136" t="str">
        <f ca="1">VLOOKUP(A479,'銀行-TSS'!A:AN,40,FALSE)</f>
        <v/>
      </c>
      <c r="N479" s="136" t="e">
        <f t="shared" ca="1" si="315"/>
        <v>#N/A</v>
      </c>
      <c r="O479" s="1213" t="e">
        <f t="shared" ca="1" si="316"/>
        <v>#N/A</v>
      </c>
      <c r="P479" s="1213" t="e">
        <f ca="1">IF(AND($O$1&gt;=O479,換券單檔!$D$13=D479),I479+INT(($O$1-O479)/N479)*J479,0)</f>
        <v>#N/A</v>
      </c>
      <c r="Q479" s="1213" t="e">
        <f t="shared" ca="1" si="317"/>
        <v>#N/A</v>
      </c>
      <c r="R479" s="1213">
        <f t="shared" si="318"/>
        <v>0</v>
      </c>
      <c r="S479" s="1213">
        <f t="shared" si="319"/>
        <v>0</v>
      </c>
      <c r="T479" s="136">
        <f>IF(OR(R479=0,A479=0),0,IF(AND(V479=TRUE,換券單檔!$D$13=D479),E479,0))</f>
        <v>0</v>
      </c>
      <c r="U479" s="861">
        <f>IF(OR(R479=0,A479=0),0,IF(AND(V479=TRUE,換券單檔!$D$13=D479),H479,0))</f>
        <v>0</v>
      </c>
      <c r="V479" s="136" t="e">
        <f ca="1">IF(OR(B479=換券單檔!$D$3,L479="無",M479&lt;&gt;"",K479="高資產",IFERROR(MATCH(B479,換券單檔!K:K,0),"N")&lt;&gt;"N"),FALSE,IF($V$1="All",TRUE,IF(K479=$V$1,TRUE,FALSE)))</f>
        <v>#N/A</v>
      </c>
      <c r="W479" s="136" t="e">
        <f ca="1">VLOOKUP(A479,'銀行-TSS'!A:AO,41,FALSE)</f>
        <v>#N/A</v>
      </c>
      <c r="X479" s="136" t="e">
        <f ca="1">VLOOKUP(A479,'銀行-TSS'!A:AP,42,FALSE)</f>
        <v>#N/A</v>
      </c>
      <c r="Y479" s="1220">
        <f t="shared" si="320"/>
        <v>0</v>
      </c>
      <c r="Z479" s="1220">
        <f t="shared" si="321"/>
        <v>0</v>
      </c>
      <c r="AA479" s="136">
        <f>IF(Z479&lt;=0,0,RANK(Z479,Z:Z)+COUNTIF($Z$3:$Z479,Z479)-1)</f>
        <v>0</v>
      </c>
      <c r="AB479" s="1211">
        <f t="shared" ca="1" si="322"/>
        <v>-14896.14</v>
      </c>
      <c r="AC479" s="136">
        <f ca="1">IF(AB479&lt;=0,0,RANK(AB479,AB:AB)+COUNTIF($AB$3:$AB479,AB479)-1)</f>
        <v>0</v>
      </c>
      <c r="AD479" s="1123">
        <f t="shared" si="323"/>
        <v>99999</v>
      </c>
      <c r="AE479" s="1123">
        <f>IF(AD479=99999,0,RANK(AD479,AD:AD,1)+COUNTIF($AD$3:$AD479,AD479)-1)</f>
        <v>0</v>
      </c>
      <c r="AF479" s="86" t="e">
        <f ca="1">IF(OR(M479&lt;&gt;"",L479="無",K479="高資產",IFERROR(MATCH(B479,換券單檔!K:K,0),"N")&lt;&gt;"N"),FALSE,TRUE)</f>
        <v>#N/A</v>
      </c>
      <c r="AI479" s="1212" t="e">
        <f t="shared" ca="1" si="324"/>
        <v>#N/A</v>
      </c>
      <c r="AJ479" s="1213" t="e">
        <f t="shared" ca="1" si="325"/>
        <v>#N/A</v>
      </c>
      <c r="AK479" s="1587">
        <f t="shared" si="326"/>
        <v>0</v>
      </c>
      <c r="AN479" s="1212" t="e">
        <f t="shared" ca="1" si="327"/>
        <v>#N/A</v>
      </c>
      <c r="AO479" s="1213" t="e">
        <f t="shared" ca="1" si="328"/>
        <v>#N/A</v>
      </c>
      <c r="AP479" s="1587">
        <f t="shared" si="329"/>
        <v>0</v>
      </c>
      <c r="AS479" s="1212" t="e">
        <f t="shared" ca="1" si="330"/>
        <v>#N/A</v>
      </c>
      <c r="AT479" s="1213" t="e">
        <f t="shared" ca="1" si="331"/>
        <v>#N/A</v>
      </c>
      <c r="AU479" s="1587">
        <f t="shared" si="332"/>
        <v>0</v>
      </c>
      <c r="AX479" s="1212" t="e">
        <f t="shared" ca="1" si="333"/>
        <v>#N/A</v>
      </c>
      <c r="AY479" s="1213" t="e">
        <f t="shared" ca="1" si="334"/>
        <v>#N/A</v>
      </c>
      <c r="AZ479" s="1587">
        <f t="shared" si="335"/>
        <v>0</v>
      </c>
      <c r="BC479" s="1212" t="e">
        <f t="shared" ca="1" si="336"/>
        <v>#N/A</v>
      </c>
      <c r="BD479" s="1213" t="e">
        <f t="shared" ca="1" si="337"/>
        <v>#N/A</v>
      </c>
      <c r="BE479" s="1587">
        <f t="shared" si="338"/>
        <v>0</v>
      </c>
      <c r="BH479" s="1212" t="e">
        <f t="shared" ca="1" si="339"/>
        <v>#N/A</v>
      </c>
      <c r="BI479" s="1213" t="e">
        <f t="shared" ca="1" si="340"/>
        <v>#N/A</v>
      </c>
      <c r="BJ479" s="1587">
        <f t="shared" si="341"/>
        <v>0</v>
      </c>
      <c r="BM479" s="1212" t="e">
        <f t="shared" ca="1" si="342"/>
        <v>#N/A</v>
      </c>
      <c r="BN479" s="1213" t="e">
        <f t="shared" ca="1" si="343"/>
        <v>#N/A</v>
      </c>
      <c r="BO479" s="1587">
        <f t="shared" si="344"/>
        <v>0</v>
      </c>
      <c r="BR479" s="1212" t="e">
        <f t="shared" ca="1" si="345"/>
        <v>#N/A</v>
      </c>
      <c r="BS479" s="1213" t="e">
        <f t="shared" ca="1" si="346"/>
        <v>#N/A</v>
      </c>
      <c r="BT479" s="1587">
        <f t="shared" si="347"/>
        <v>0</v>
      </c>
      <c r="BW479" s="1212" t="e">
        <f t="shared" ca="1" si="348"/>
        <v>#N/A</v>
      </c>
      <c r="BX479" s="1213" t="e">
        <f t="shared" ca="1" si="349"/>
        <v>#N/A</v>
      </c>
      <c r="BY479" s="1587">
        <f t="shared" si="350"/>
        <v>0</v>
      </c>
      <c r="CB479" s="1212" t="e">
        <f t="shared" ca="1" si="351"/>
        <v>#N/A</v>
      </c>
      <c r="CC479" s="1213" t="e">
        <f t="shared" ca="1" si="352"/>
        <v>#N/A</v>
      </c>
      <c r="CD479" s="1587">
        <f t="shared" si="353"/>
        <v>0</v>
      </c>
      <c r="CG479" s="1212" t="e">
        <f t="shared" ca="1" si="354"/>
        <v>#N/A</v>
      </c>
      <c r="CH479" s="1213" t="e">
        <f t="shared" ca="1" si="355"/>
        <v>#N/A</v>
      </c>
      <c r="CI479" s="1587">
        <f t="shared" si="356"/>
        <v>0</v>
      </c>
      <c r="CL479" s="1212" t="e">
        <f t="shared" ca="1" si="357"/>
        <v>#N/A</v>
      </c>
      <c r="CM479" s="1213" t="e">
        <f t="shared" ca="1" si="358"/>
        <v>#N/A</v>
      </c>
      <c r="CN479" s="1587">
        <f t="shared" si="359"/>
        <v>0</v>
      </c>
    </row>
    <row r="480" spans="1:92">
      <c r="A480" s="141">
        <f>'銀行-TSS'!A480</f>
        <v>0</v>
      </c>
      <c r="B480" s="151">
        <f ca="1">VLOOKUP(A480,'銀行-TSS'!A:B,2,FALSE)</f>
        <v>0</v>
      </c>
      <c r="C480" s="151" t="e">
        <f ca="1">VLOOKUP(B480,bond!B:C,2,FALSE)</f>
        <v>#N/A</v>
      </c>
      <c r="D480" s="95" t="e">
        <f>VLOOKUP(A480,'銀行-TSS'!A:C,3,FALSE)</f>
        <v>#N/A</v>
      </c>
      <c r="E480" s="90" t="e">
        <f ca="1">VLOOKUP(A480,'銀行-TSS'!A:G,7,FALSE)</f>
        <v>#N/A</v>
      </c>
      <c r="F480" s="202" t="e">
        <f ca="1">VLOOKUP(A480,'銀行-TSS'!A:H,8,FALSE)</f>
        <v>#N/A</v>
      </c>
      <c r="G480" s="96" t="e">
        <f ca="1">VLOOKUP(A480,'銀行-TSS'!A:K,11,FALSE)</f>
        <v>#N/A</v>
      </c>
      <c r="H480" s="1209" t="e">
        <f ca="1">VLOOKUP(A480,'銀行-TSS'!A:M,13,FALSE)</f>
        <v>#N/A</v>
      </c>
      <c r="I480" s="1213" t="e">
        <f ca="1">VLOOKUP(A480,'銀行-TSS'!A:N,14,FALSE)</f>
        <v>#N/A</v>
      </c>
      <c r="J480" s="1213" t="e">
        <f ca="1">VLOOKUP(A480,'銀行-TSS'!A:O,15,FALSE)</f>
        <v>#N/A</v>
      </c>
      <c r="K480" s="136" t="e">
        <f ca="1">VLOOKUP(A480,'銀行-TSS'!A:V,22,FALSE)</f>
        <v>#N/A</v>
      </c>
      <c r="L480" s="136" t="e">
        <f ca="1">VLOOKUP(A480,'銀行-TSS'!A:AK,37,FALSE)</f>
        <v>#N/A</v>
      </c>
      <c r="M480" s="136" t="str">
        <f ca="1">VLOOKUP(A480,'銀行-TSS'!A:AN,40,FALSE)</f>
        <v/>
      </c>
      <c r="N480" s="136" t="e">
        <f t="shared" ca="1" si="315"/>
        <v>#N/A</v>
      </c>
      <c r="O480" s="1213" t="e">
        <f t="shared" ca="1" si="316"/>
        <v>#N/A</v>
      </c>
      <c r="P480" s="1213" t="e">
        <f ca="1">IF(AND($O$1&gt;=O480,換券單檔!$D$13=D480),I480+INT(($O$1-O480)/N480)*J480,0)</f>
        <v>#N/A</v>
      </c>
      <c r="Q480" s="1213" t="e">
        <f t="shared" ca="1" si="317"/>
        <v>#N/A</v>
      </c>
      <c r="R480" s="1213">
        <f t="shared" si="318"/>
        <v>0</v>
      </c>
      <c r="S480" s="1213">
        <f t="shared" si="319"/>
        <v>0</v>
      </c>
      <c r="T480" s="136">
        <f>IF(OR(R480=0,A480=0),0,IF(AND(V480=TRUE,換券單檔!$D$13=D480),E480,0))</f>
        <v>0</v>
      </c>
      <c r="U480" s="861">
        <f>IF(OR(R480=0,A480=0),0,IF(AND(V480=TRUE,換券單檔!$D$13=D480),H480,0))</f>
        <v>0</v>
      </c>
      <c r="V480" s="136" t="e">
        <f ca="1">IF(OR(B480=換券單檔!$D$3,L480="無",M480&lt;&gt;"",K480="高資產",IFERROR(MATCH(B480,換券單檔!K:K,0),"N")&lt;&gt;"N"),FALSE,IF($V$1="All",TRUE,IF(K480=$V$1,TRUE,FALSE)))</f>
        <v>#N/A</v>
      </c>
      <c r="W480" s="136" t="e">
        <f ca="1">VLOOKUP(A480,'銀行-TSS'!A:AO,41,FALSE)</f>
        <v>#N/A</v>
      </c>
      <c r="X480" s="136" t="e">
        <f ca="1">VLOOKUP(A480,'銀行-TSS'!A:AP,42,FALSE)</f>
        <v>#N/A</v>
      </c>
      <c r="Y480" s="1220">
        <f t="shared" si="320"/>
        <v>0</v>
      </c>
      <c r="Z480" s="1220">
        <f t="shared" si="321"/>
        <v>0</v>
      </c>
      <c r="AA480" s="136">
        <f>IF(Z480&lt;=0,0,RANK(Z480,Z:Z)+COUNTIF($Z$3:$Z480,Z480)-1)</f>
        <v>0</v>
      </c>
      <c r="AB480" s="1211">
        <f t="shared" ca="1" si="322"/>
        <v>-14896.14</v>
      </c>
      <c r="AC480" s="136">
        <f ca="1">IF(AB480&lt;=0,0,RANK(AB480,AB:AB)+COUNTIF($AB$3:$AB480,AB480)-1)</f>
        <v>0</v>
      </c>
      <c r="AD480" s="1123">
        <f t="shared" si="323"/>
        <v>99999</v>
      </c>
      <c r="AE480" s="1123">
        <f>IF(AD480=99999,0,RANK(AD480,AD:AD,1)+COUNTIF($AD$3:$AD480,AD480)-1)</f>
        <v>0</v>
      </c>
      <c r="AF480" s="86" t="e">
        <f ca="1">IF(OR(M480&lt;&gt;"",L480="無",K480="高資產",IFERROR(MATCH(B480,換券單檔!K:K,0),"N")&lt;&gt;"N"),FALSE,TRUE)</f>
        <v>#N/A</v>
      </c>
      <c r="AI480" s="1212" t="e">
        <f t="shared" ca="1" si="324"/>
        <v>#N/A</v>
      </c>
      <c r="AJ480" s="1213" t="e">
        <f t="shared" ca="1" si="325"/>
        <v>#N/A</v>
      </c>
      <c r="AK480" s="1587">
        <f t="shared" si="326"/>
        <v>0</v>
      </c>
      <c r="AN480" s="1212" t="e">
        <f t="shared" ca="1" si="327"/>
        <v>#N/A</v>
      </c>
      <c r="AO480" s="1213" t="e">
        <f t="shared" ca="1" si="328"/>
        <v>#N/A</v>
      </c>
      <c r="AP480" s="1587">
        <f t="shared" si="329"/>
        <v>0</v>
      </c>
      <c r="AS480" s="1212" t="e">
        <f t="shared" ca="1" si="330"/>
        <v>#N/A</v>
      </c>
      <c r="AT480" s="1213" t="e">
        <f t="shared" ca="1" si="331"/>
        <v>#N/A</v>
      </c>
      <c r="AU480" s="1587">
        <f t="shared" si="332"/>
        <v>0</v>
      </c>
      <c r="AX480" s="1212" t="e">
        <f t="shared" ca="1" si="333"/>
        <v>#N/A</v>
      </c>
      <c r="AY480" s="1213" t="e">
        <f t="shared" ca="1" si="334"/>
        <v>#N/A</v>
      </c>
      <c r="AZ480" s="1587">
        <f t="shared" si="335"/>
        <v>0</v>
      </c>
      <c r="BC480" s="1212" t="e">
        <f t="shared" ca="1" si="336"/>
        <v>#N/A</v>
      </c>
      <c r="BD480" s="1213" t="e">
        <f t="shared" ca="1" si="337"/>
        <v>#N/A</v>
      </c>
      <c r="BE480" s="1587">
        <f t="shared" si="338"/>
        <v>0</v>
      </c>
      <c r="BH480" s="1212" t="e">
        <f t="shared" ca="1" si="339"/>
        <v>#N/A</v>
      </c>
      <c r="BI480" s="1213" t="e">
        <f t="shared" ca="1" si="340"/>
        <v>#N/A</v>
      </c>
      <c r="BJ480" s="1587">
        <f t="shared" si="341"/>
        <v>0</v>
      </c>
      <c r="BM480" s="1212" t="e">
        <f t="shared" ca="1" si="342"/>
        <v>#N/A</v>
      </c>
      <c r="BN480" s="1213" t="e">
        <f t="shared" ca="1" si="343"/>
        <v>#N/A</v>
      </c>
      <c r="BO480" s="1587">
        <f t="shared" si="344"/>
        <v>0</v>
      </c>
      <c r="BR480" s="1212" t="e">
        <f t="shared" ca="1" si="345"/>
        <v>#N/A</v>
      </c>
      <c r="BS480" s="1213" t="e">
        <f t="shared" ca="1" si="346"/>
        <v>#N/A</v>
      </c>
      <c r="BT480" s="1587">
        <f t="shared" si="347"/>
        <v>0</v>
      </c>
      <c r="BW480" s="1212" t="e">
        <f t="shared" ca="1" si="348"/>
        <v>#N/A</v>
      </c>
      <c r="BX480" s="1213" t="e">
        <f t="shared" ca="1" si="349"/>
        <v>#N/A</v>
      </c>
      <c r="BY480" s="1587">
        <f t="shared" si="350"/>
        <v>0</v>
      </c>
      <c r="CB480" s="1212" t="e">
        <f t="shared" ca="1" si="351"/>
        <v>#N/A</v>
      </c>
      <c r="CC480" s="1213" t="e">
        <f t="shared" ca="1" si="352"/>
        <v>#N/A</v>
      </c>
      <c r="CD480" s="1587">
        <f t="shared" si="353"/>
        <v>0</v>
      </c>
      <c r="CG480" s="1212" t="e">
        <f t="shared" ca="1" si="354"/>
        <v>#N/A</v>
      </c>
      <c r="CH480" s="1213" t="e">
        <f t="shared" ca="1" si="355"/>
        <v>#N/A</v>
      </c>
      <c r="CI480" s="1587">
        <f t="shared" si="356"/>
        <v>0</v>
      </c>
      <c r="CL480" s="1212" t="e">
        <f t="shared" ca="1" si="357"/>
        <v>#N/A</v>
      </c>
      <c r="CM480" s="1213" t="e">
        <f t="shared" ca="1" si="358"/>
        <v>#N/A</v>
      </c>
      <c r="CN480" s="1587">
        <f t="shared" si="359"/>
        <v>0</v>
      </c>
    </row>
    <row r="481" spans="1:92">
      <c r="A481" s="141">
        <f>'銀行-TSS'!A481</f>
        <v>0</v>
      </c>
      <c r="B481" s="151">
        <f ca="1">VLOOKUP(A481,'銀行-TSS'!A:B,2,FALSE)</f>
        <v>0</v>
      </c>
      <c r="C481" s="151" t="e">
        <f ca="1">VLOOKUP(B481,bond!B:C,2,FALSE)</f>
        <v>#N/A</v>
      </c>
      <c r="D481" s="95" t="e">
        <f>VLOOKUP(A481,'銀行-TSS'!A:C,3,FALSE)</f>
        <v>#N/A</v>
      </c>
      <c r="E481" s="90" t="e">
        <f ca="1">VLOOKUP(A481,'銀行-TSS'!A:G,7,FALSE)</f>
        <v>#N/A</v>
      </c>
      <c r="F481" s="202" t="e">
        <f ca="1">VLOOKUP(A481,'銀行-TSS'!A:H,8,FALSE)</f>
        <v>#N/A</v>
      </c>
      <c r="G481" s="96" t="e">
        <f ca="1">VLOOKUP(A481,'銀行-TSS'!A:K,11,FALSE)</f>
        <v>#N/A</v>
      </c>
      <c r="H481" s="1209" t="e">
        <f ca="1">VLOOKUP(A481,'銀行-TSS'!A:M,13,FALSE)</f>
        <v>#N/A</v>
      </c>
      <c r="I481" s="1213" t="e">
        <f ca="1">VLOOKUP(A481,'銀行-TSS'!A:N,14,FALSE)</f>
        <v>#N/A</v>
      </c>
      <c r="J481" s="1213" t="e">
        <f ca="1">VLOOKUP(A481,'銀行-TSS'!A:O,15,FALSE)</f>
        <v>#N/A</v>
      </c>
      <c r="K481" s="136" t="e">
        <f ca="1">VLOOKUP(A481,'銀行-TSS'!A:V,22,FALSE)</f>
        <v>#N/A</v>
      </c>
      <c r="L481" s="136" t="e">
        <f ca="1">VLOOKUP(A481,'銀行-TSS'!A:AK,37,FALSE)</f>
        <v>#N/A</v>
      </c>
      <c r="M481" s="136" t="str">
        <f ca="1">VLOOKUP(A481,'銀行-TSS'!A:AN,40,FALSE)</f>
        <v/>
      </c>
      <c r="N481" s="136" t="e">
        <f t="shared" ca="1" si="315"/>
        <v>#N/A</v>
      </c>
      <c r="O481" s="1213" t="e">
        <f t="shared" ca="1" si="316"/>
        <v>#N/A</v>
      </c>
      <c r="P481" s="1213" t="e">
        <f ca="1">IF(AND($O$1&gt;=O481,換券單檔!$D$13=D481),I481+INT(($O$1-O481)/N481)*J481,0)</f>
        <v>#N/A</v>
      </c>
      <c r="Q481" s="1213" t="e">
        <f t="shared" ca="1" si="317"/>
        <v>#N/A</v>
      </c>
      <c r="R481" s="1213">
        <f t="shared" si="318"/>
        <v>0</v>
      </c>
      <c r="S481" s="1213">
        <f t="shared" si="319"/>
        <v>0</v>
      </c>
      <c r="T481" s="136">
        <f>IF(OR(R481=0,A481=0),0,IF(AND(V481=TRUE,換券單檔!$D$13=D481),E481,0))</f>
        <v>0</v>
      </c>
      <c r="U481" s="861">
        <f>IF(OR(R481=0,A481=0),0,IF(AND(V481=TRUE,換券單檔!$D$13=D481),H481,0))</f>
        <v>0</v>
      </c>
      <c r="V481" s="136" t="e">
        <f ca="1">IF(OR(B481=換券單檔!$D$3,L481="無",M481&lt;&gt;"",K481="高資產",IFERROR(MATCH(B481,換券單檔!K:K,0),"N")&lt;&gt;"N"),FALSE,IF($V$1="All",TRUE,IF(K481=$V$1,TRUE,FALSE)))</f>
        <v>#N/A</v>
      </c>
      <c r="W481" s="136" t="e">
        <f ca="1">VLOOKUP(A481,'銀行-TSS'!A:AO,41,FALSE)</f>
        <v>#N/A</v>
      </c>
      <c r="X481" s="136" t="e">
        <f ca="1">VLOOKUP(A481,'銀行-TSS'!A:AP,42,FALSE)</f>
        <v>#N/A</v>
      </c>
      <c r="Y481" s="1220">
        <f t="shared" si="320"/>
        <v>0</v>
      </c>
      <c r="Z481" s="1220">
        <f t="shared" si="321"/>
        <v>0</v>
      </c>
      <c r="AA481" s="136">
        <f>IF(Z481&lt;=0,0,RANK(Z481,Z:Z)+COUNTIF($Z$3:$Z481,Z481)-1)</f>
        <v>0</v>
      </c>
      <c r="AB481" s="1211">
        <f t="shared" ca="1" si="322"/>
        <v>-14896.14</v>
      </c>
      <c r="AC481" s="136">
        <f ca="1">IF(AB481&lt;=0,0,RANK(AB481,AB:AB)+COUNTIF($AB$3:$AB481,AB481)-1)</f>
        <v>0</v>
      </c>
      <c r="AD481" s="1123">
        <f t="shared" si="323"/>
        <v>99999</v>
      </c>
      <c r="AE481" s="1123">
        <f>IF(AD481=99999,0,RANK(AD481,AD:AD,1)+COUNTIF($AD$3:$AD481,AD481)-1)</f>
        <v>0</v>
      </c>
      <c r="AF481" s="86" t="e">
        <f ca="1">IF(OR(M481&lt;&gt;"",L481="無",K481="高資產",IFERROR(MATCH(B481,換券單檔!K:K,0),"N")&lt;&gt;"N"),FALSE,TRUE)</f>
        <v>#N/A</v>
      </c>
      <c r="AI481" s="1212" t="e">
        <f t="shared" ca="1" si="324"/>
        <v>#N/A</v>
      </c>
      <c r="AJ481" s="1213" t="e">
        <f t="shared" ca="1" si="325"/>
        <v>#N/A</v>
      </c>
      <c r="AK481" s="1587">
        <f t="shared" si="326"/>
        <v>0</v>
      </c>
      <c r="AN481" s="1212" t="e">
        <f t="shared" ca="1" si="327"/>
        <v>#N/A</v>
      </c>
      <c r="AO481" s="1213" t="e">
        <f t="shared" ca="1" si="328"/>
        <v>#N/A</v>
      </c>
      <c r="AP481" s="1587">
        <f t="shared" si="329"/>
        <v>0</v>
      </c>
      <c r="AS481" s="1212" t="e">
        <f t="shared" ca="1" si="330"/>
        <v>#N/A</v>
      </c>
      <c r="AT481" s="1213" t="e">
        <f t="shared" ca="1" si="331"/>
        <v>#N/A</v>
      </c>
      <c r="AU481" s="1587">
        <f t="shared" si="332"/>
        <v>0</v>
      </c>
      <c r="AX481" s="1212" t="e">
        <f t="shared" ca="1" si="333"/>
        <v>#N/A</v>
      </c>
      <c r="AY481" s="1213" t="e">
        <f t="shared" ca="1" si="334"/>
        <v>#N/A</v>
      </c>
      <c r="AZ481" s="1587">
        <f t="shared" si="335"/>
        <v>0</v>
      </c>
      <c r="BC481" s="1212" t="e">
        <f t="shared" ca="1" si="336"/>
        <v>#N/A</v>
      </c>
      <c r="BD481" s="1213" t="e">
        <f t="shared" ca="1" si="337"/>
        <v>#N/A</v>
      </c>
      <c r="BE481" s="1587">
        <f t="shared" si="338"/>
        <v>0</v>
      </c>
      <c r="BH481" s="1212" t="e">
        <f t="shared" ca="1" si="339"/>
        <v>#N/A</v>
      </c>
      <c r="BI481" s="1213" t="e">
        <f t="shared" ca="1" si="340"/>
        <v>#N/A</v>
      </c>
      <c r="BJ481" s="1587">
        <f t="shared" si="341"/>
        <v>0</v>
      </c>
      <c r="BM481" s="1212" t="e">
        <f t="shared" ca="1" si="342"/>
        <v>#N/A</v>
      </c>
      <c r="BN481" s="1213" t="e">
        <f t="shared" ca="1" si="343"/>
        <v>#N/A</v>
      </c>
      <c r="BO481" s="1587">
        <f t="shared" si="344"/>
        <v>0</v>
      </c>
      <c r="BR481" s="1212" t="e">
        <f t="shared" ca="1" si="345"/>
        <v>#N/A</v>
      </c>
      <c r="BS481" s="1213" t="e">
        <f t="shared" ca="1" si="346"/>
        <v>#N/A</v>
      </c>
      <c r="BT481" s="1587">
        <f t="shared" si="347"/>
        <v>0</v>
      </c>
      <c r="BW481" s="1212" t="e">
        <f t="shared" ca="1" si="348"/>
        <v>#N/A</v>
      </c>
      <c r="BX481" s="1213" t="e">
        <f t="shared" ca="1" si="349"/>
        <v>#N/A</v>
      </c>
      <c r="BY481" s="1587">
        <f t="shared" si="350"/>
        <v>0</v>
      </c>
      <c r="CB481" s="1212" t="e">
        <f t="shared" ca="1" si="351"/>
        <v>#N/A</v>
      </c>
      <c r="CC481" s="1213" t="e">
        <f t="shared" ca="1" si="352"/>
        <v>#N/A</v>
      </c>
      <c r="CD481" s="1587">
        <f t="shared" si="353"/>
        <v>0</v>
      </c>
      <c r="CG481" s="1212" t="e">
        <f t="shared" ca="1" si="354"/>
        <v>#N/A</v>
      </c>
      <c r="CH481" s="1213" t="e">
        <f t="shared" ca="1" si="355"/>
        <v>#N/A</v>
      </c>
      <c r="CI481" s="1587">
        <f t="shared" si="356"/>
        <v>0</v>
      </c>
      <c r="CL481" s="1212" t="e">
        <f t="shared" ca="1" si="357"/>
        <v>#N/A</v>
      </c>
      <c r="CM481" s="1213" t="e">
        <f t="shared" ca="1" si="358"/>
        <v>#N/A</v>
      </c>
      <c r="CN481" s="1587">
        <f t="shared" si="359"/>
        <v>0</v>
      </c>
    </row>
    <row r="482" spans="1:92">
      <c r="A482" s="141">
        <f>'銀行-TSS'!A482</f>
        <v>0</v>
      </c>
      <c r="B482" s="151">
        <f ca="1">VLOOKUP(A482,'銀行-TSS'!A:B,2,FALSE)</f>
        <v>0</v>
      </c>
      <c r="C482" s="151" t="e">
        <f ca="1">VLOOKUP(B482,bond!B:C,2,FALSE)</f>
        <v>#N/A</v>
      </c>
      <c r="D482" s="95" t="e">
        <f>VLOOKUP(A482,'銀行-TSS'!A:C,3,FALSE)</f>
        <v>#N/A</v>
      </c>
      <c r="E482" s="90" t="e">
        <f ca="1">VLOOKUP(A482,'銀行-TSS'!A:G,7,FALSE)</f>
        <v>#N/A</v>
      </c>
      <c r="F482" s="202" t="e">
        <f ca="1">VLOOKUP(A482,'銀行-TSS'!A:H,8,FALSE)</f>
        <v>#N/A</v>
      </c>
      <c r="G482" s="96" t="e">
        <f ca="1">VLOOKUP(A482,'銀行-TSS'!A:K,11,FALSE)</f>
        <v>#N/A</v>
      </c>
      <c r="H482" s="1209" t="e">
        <f ca="1">VLOOKUP(A482,'銀行-TSS'!A:M,13,FALSE)</f>
        <v>#N/A</v>
      </c>
      <c r="I482" s="1213" t="e">
        <f ca="1">VLOOKUP(A482,'銀行-TSS'!A:N,14,FALSE)</f>
        <v>#N/A</v>
      </c>
      <c r="J482" s="1213" t="e">
        <f ca="1">VLOOKUP(A482,'銀行-TSS'!A:O,15,FALSE)</f>
        <v>#N/A</v>
      </c>
      <c r="K482" s="136" t="e">
        <f ca="1">VLOOKUP(A482,'銀行-TSS'!A:V,22,FALSE)</f>
        <v>#N/A</v>
      </c>
      <c r="L482" s="136" t="e">
        <f ca="1">VLOOKUP(A482,'銀行-TSS'!A:AK,37,FALSE)</f>
        <v>#N/A</v>
      </c>
      <c r="M482" s="136" t="str">
        <f ca="1">VLOOKUP(A482,'銀行-TSS'!A:AN,40,FALSE)</f>
        <v/>
      </c>
      <c r="N482" s="136" t="e">
        <f t="shared" ca="1" si="315"/>
        <v>#N/A</v>
      </c>
      <c r="O482" s="1213" t="e">
        <f t="shared" ca="1" si="316"/>
        <v>#N/A</v>
      </c>
      <c r="P482" s="1213" t="e">
        <f ca="1">IF(AND($O$1&gt;=O482,換券單檔!$D$13=D482),I482+INT(($O$1-O482)/N482)*J482,0)</f>
        <v>#N/A</v>
      </c>
      <c r="Q482" s="1213" t="e">
        <f t="shared" ca="1" si="317"/>
        <v>#N/A</v>
      </c>
      <c r="R482" s="1213">
        <f t="shared" si="318"/>
        <v>0</v>
      </c>
      <c r="S482" s="1213">
        <f t="shared" si="319"/>
        <v>0</v>
      </c>
      <c r="T482" s="136">
        <f>IF(OR(R482=0,A482=0),0,IF(AND(V482=TRUE,換券單檔!$D$13=D482),E482,0))</f>
        <v>0</v>
      </c>
      <c r="U482" s="861">
        <f>IF(OR(R482=0,A482=0),0,IF(AND(V482=TRUE,換券單檔!$D$13=D482),H482,0))</f>
        <v>0</v>
      </c>
      <c r="V482" s="136" t="e">
        <f ca="1">IF(OR(B482=換券單檔!$D$3,L482="無",M482&lt;&gt;"",K482="高資產",IFERROR(MATCH(B482,換券單檔!K:K,0),"N")&lt;&gt;"N"),FALSE,IF($V$1="All",TRUE,IF(K482=$V$1,TRUE,FALSE)))</f>
        <v>#N/A</v>
      </c>
      <c r="W482" s="136" t="e">
        <f ca="1">VLOOKUP(A482,'銀行-TSS'!A:AO,41,FALSE)</f>
        <v>#N/A</v>
      </c>
      <c r="X482" s="136" t="e">
        <f ca="1">VLOOKUP(A482,'銀行-TSS'!A:AP,42,FALSE)</f>
        <v>#N/A</v>
      </c>
      <c r="Y482" s="1220">
        <f t="shared" si="320"/>
        <v>0</v>
      </c>
      <c r="Z482" s="1220">
        <f t="shared" si="321"/>
        <v>0</v>
      </c>
      <c r="AA482" s="136">
        <f>IF(Z482&lt;=0,0,RANK(Z482,Z:Z)+COUNTIF($Z$3:$Z482,Z482)-1)</f>
        <v>0</v>
      </c>
      <c r="AB482" s="1211">
        <f t="shared" ca="1" si="322"/>
        <v>-14896.14</v>
      </c>
      <c r="AC482" s="136">
        <f ca="1">IF(AB482&lt;=0,0,RANK(AB482,AB:AB)+COUNTIF($AB$3:$AB482,AB482)-1)</f>
        <v>0</v>
      </c>
      <c r="AD482" s="1123">
        <f t="shared" si="323"/>
        <v>99999</v>
      </c>
      <c r="AE482" s="1123">
        <f>IF(AD482=99999,0,RANK(AD482,AD:AD,1)+COUNTIF($AD$3:$AD482,AD482)-1)</f>
        <v>0</v>
      </c>
      <c r="AF482" s="86" t="e">
        <f ca="1">IF(OR(M482&lt;&gt;"",L482="無",K482="高資產",IFERROR(MATCH(B482,換券單檔!K:K,0),"N")&lt;&gt;"N"),FALSE,TRUE)</f>
        <v>#N/A</v>
      </c>
      <c r="AI482" s="1212" t="e">
        <f t="shared" ca="1" si="324"/>
        <v>#N/A</v>
      </c>
      <c r="AJ482" s="1213" t="e">
        <f t="shared" ca="1" si="325"/>
        <v>#N/A</v>
      </c>
      <c r="AK482" s="1587">
        <f t="shared" si="326"/>
        <v>0</v>
      </c>
      <c r="AN482" s="1212" t="e">
        <f t="shared" ca="1" si="327"/>
        <v>#N/A</v>
      </c>
      <c r="AO482" s="1213" t="e">
        <f t="shared" ca="1" si="328"/>
        <v>#N/A</v>
      </c>
      <c r="AP482" s="1587">
        <f t="shared" si="329"/>
        <v>0</v>
      </c>
      <c r="AS482" s="1212" t="e">
        <f t="shared" ca="1" si="330"/>
        <v>#N/A</v>
      </c>
      <c r="AT482" s="1213" t="e">
        <f t="shared" ca="1" si="331"/>
        <v>#N/A</v>
      </c>
      <c r="AU482" s="1587">
        <f t="shared" si="332"/>
        <v>0</v>
      </c>
      <c r="AX482" s="1212" t="e">
        <f t="shared" ca="1" si="333"/>
        <v>#N/A</v>
      </c>
      <c r="AY482" s="1213" t="e">
        <f t="shared" ca="1" si="334"/>
        <v>#N/A</v>
      </c>
      <c r="AZ482" s="1587">
        <f t="shared" si="335"/>
        <v>0</v>
      </c>
      <c r="BC482" s="1212" t="e">
        <f t="shared" ca="1" si="336"/>
        <v>#N/A</v>
      </c>
      <c r="BD482" s="1213" t="e">
        <f t="shared" ca="1" si="337"/>
        <v>#N/A</v>
      </c>
      <c r="BE482" s="1587">
        <f t="shared" si="338"/>
        <v>0</v>
      </c>
      <c r="BH482" s="1212" t="e">
        <f t="shared" ca="1" si="339"/>
        <v>#N/A</v>
      </c>
      <c r="BI482" s="1213" t="e">
        <f t="shared" ca="1" si="340"/>
        <v>#N/A</v>
      </c>
      <c r="BJ482" s="1587">
        <f t="shared" si="341"/>
        <v>0</v>
      </c>
      <c r="BM482" s="1212" t="e">
        <f t="shared" ca="1" si="342"/>
        <v>#N/A</v>
      </c>
      <c r="BN482" s="1213" t="e">
        <f t="shared" ca="1" si="343"/>
        <v>#N/A</v>
      </c>
      <c r="BO482" s="1587">
        <f t="shared" si="344"/>
        <v>0</v>
      </c>
      <c r="BR482" s="1212" t="e">
        <f t="shared" ca="1" si="345"/>
        <v>#N/A</v>
      </c>
      <c r="BS482" s="1213" t="e">
        <f t="shared" ca="1" si="346"/>
        <v>#N/A</v>
      </c>
      <c r="BT482" s="1587">
        <f t="shared" si="347"/>
        <v>0</v>
      </c>
      <c r="BW482" s="1212" t="e">
        <f t="shared" ca="1" si="348"/>
        <v>#N/A</v>
      </c>
      <c r="BX482" s="1213" t="e">
        <f t="shared" ca="1" si="349"/>
        <v>#N/A</v>
      </c>
      <c r="BY482" s="1587">
        <f t="shared" si="350"/>
        <v>0</v>
      </c>
      <c r="CB482" s="1212" t="e">
        <f t="shared" ca="1" si="351"/>
        <v>#N/A</v>
      </c>
      <c r="CC482" s="1213" t="e">
        <f t="shared" ca="1" si="352"/>
        <v>#N/A</v>
      </c>
      <c r="CD482" s="1587">
        <f t="shared" si="353"/>
        <v>0</v>
      </c>
      <c r="CG482" s="1212" t="e">
        <f t="shared" ca="1" si="354"/>
        <v>#N/A</v>
      </c>
      <c r="CH482" s="1213" t="e">
        <f t="shared" ca="1" si="355"/>
        <v>#N/A</v>
      </c>
      <c r="CI482" s="1587">
        <f t="shared" si="356"/>
        <v>0</v>
      </c>
      <c r="CL482" s="1212" t="e">
        <f t="shared" ca="1" si="357"/>
        <v>#N/A</v>
      </c>
      <c r="CM482" s="1213" t="e">
        <f t="shared" ca="1" si="358"/>
        <v>#N/A</v>
      </c>
      <c r="CN482" s="1587">
        <f t="shared" si="359"/>
        <v>0</v>
      </c>
    </row>
    <row r="483" spans="1:92">
      <c r="A483" s="141">
        <f>'銀行-TSS'!A483</f>
        <v>0</v>
      </c>
      <c r="B483" s="151">
        <f ca="1">VLOOKUP(A483,'銀行-TSS'!A:B,2,FALSE)</f>
        <v>0</v>
      </c>
      <c r="C483" s="151" t="e">
        <f ca="1">VLOOKUP(B483,bond!B:C,2,FALSE)</f>
        <v>#N/A</v>
      </c>
      <c r="D483" s="95" t="e">
        <f>VLOOKUP(A483,'銀行-TSS'!A:C,3,FALSE)</f>
        <v>#N/A</v>
      </c>
      <c r="E483" s="90" t="e">
        <f ca="1">VLOOKUP(A483,'銀行-TSS'!A:G,7,FALSE)</f>
        <v>#N/A</v>
      </c>
      <c r="F483" s="202" t="e">
        <f ca="1">VLOOKUP(A483,'銀行-TSS'!A:H,8,FALSE)</f>
        <v>#N/A</v>
      </c>
      <c r="G483" s="96" t="e">
        <f ca="1">VLOOKUP(A483,'銀行-TSS'!A:K,11,FALSE)</f>
        <v>#N/A</v>
      </c>
      <c r="H483" s="1209" t="e">
        <f ca="1">VLOOKUP(A483,'銀行-TSS'!A:M,13,FALSE)</f>
        <v>#N/A</v>
      </c>
      <c r="I483" s="1213" t="e">
        <f ca="1">VLOOKUP(A483,'銀行-TSS'!A:N,14,FALSE)</f>
        <v>#N/A</v>
      </c>
      <c r="J483" s="1213" t="e">
        <f ca="1">VLOOKUP(A483,'銀行-TSS'!A:O,15,FALSE)</f>
        <v>#N/A</v>
      </c>
      <c r="K483" s="136" t="e">
        <f ca="1">VLOOKUP(A483,'銀行-TSS'!A:V,22,FALSE)</f>
        <v>#N/A</v>
      </c>
      <c r="L483" s="136" t="e">
        <f ca="1">VLOOKUP(A483,'銀行-TSS'!A:AK,37,FALSE)</f>
        <v>#N/A</v>
      </c>
      <c r="M483" s="136" t="str">
        <f ca="1">VLOOKUP(A483,'銀行-TSS'!A:AN,40,FALSE)</f>
        <v/>
      </c>
      <c r="N483" s="136" t="e">
        <f t="shared" ca="1" si="315"/>
        <v>#N/A</v>
      </c>
      <c r="O483" s="1213" t="e">
        <f t="shared" ca="1" si="316"/>
        <v>#N/A</v>
      </c>
      <c r="P483" s="1213" t="e">
        <f ca="1">IF(AND($O$1&gt;=O483,換券單檔!$D$13=D483),I483+INT(($O$1-O483)/N483)*J483,0)</f>
        <v>#N/A</v>
      </c>
      <c r="Q483" s="1213" t="e">
        <f t="shared" ca="1" si="317"/>
        <v>#N/A</v>
      </c>
      <c r="R483" s="1213">
        <f t="shared" si="318"/>
        <v>0</v>
      </c>
      <c r="S483" s="1213">
        <f t="shared" si="319"/>
        <v>0</v>
      </c>
      <c r="T483" s="136">
        <f>IF(OR(R483=0,A483=0),0,IF(AND(V483=TRUE,換券單檔!$D$13=D483),E483,0))</f>
        <v>0</v>
      </c>
      <c r="U483" s="861">
        <f>IF(OR(R483=0,A483=0),0,IF(AND(V483=TRUE,換券單檔!$D$13=D483),H483,0))</f>
        <v>0</v>
      </c>
      <c r="V483" s="136" t="e">
        <f ca="1">IF(OR(B483=換券單檔!$D$3,L483="無",M483&lt;&gt;"",K483="高資產",IFERROR(MATCH(B483,換券單檔!K:K,0),"N")&lt;&gt;"N"),FALSE,IF($V$1="All",TRUE,IF(K483=$V$1,TRUE,FALSE)))</f>
        <v>#N/A</v>
      </c>
      <c r="W483" s="136" t="e">
        <f ca="1">VLOOKUP(A483,'銀行-TSS'!A:AO,41,FALSE)</f>
        <v>#N/A</v>
      </c>
      <c r="X483" s="136" t="e">
        <f ca="1">VLOOKUP(A483,'銀行-TSS'!A:AP,42,FALSE)</f>
        <v>#N/A</v>
      </c>
      <c r="Y483" s="1220">
        <f t="shared" si="320"/>
        <v>0</v>
      </c>
      <c r="Z483" s="1220">
        <f t="shared" si="321"/>
        <v>0</v>
      </c>
      <c r="AA483" s="136">
        <f>IF(Z483&lt;=0,0,RANK(Z483,Z:Z)+COUNTIF($Z$3:$Z483,Z483)-1)</f>
        <v>0</v>
      </c>
      <c r="AB483" s="1211">
        <f t="shared" ca="1" si="322"/>
        <v>-14896.14</v>
      </c>
      <c r="AC483" s="136">
        <f ca="1">IF(AB483&lt;=0,0,RANK(AB483,AB:AB)+COUNTIF($AB$3:$AB483,AB483)-1)</f>
        <v>0</v>
      </c>
      <c r="AD483" s="1123">
        <f t="shared" si="323"/>
        <v>99999</v>
      </c>
      <c r="AE483" s="1123">
        <f>IF(AD483=99999,0,RANK(AD483,AD:AD,1)+COUNTIF($AD$3:$AD483,AD483)-1)</f>
        <v>0</v>
      </c>
      <c r="AF483" s="86" t="e">
        <f ca="1">IF(OR(M483&lt;&gt;"",L483="無",K483="高資產",IFERROR(MATCH(B483,換券單檔!K:K,0),"N")&lt;&gt;"N"),FALSE,TRUE)</f>
        <v>#N/A</v>
      </c>
      <c r="AI483" s="1212" t="e">
        <f t="shared" ca="1" si="324"/>
        <v>#N/A</v>
      </c>
      <c r="AJ483" s="1213" t="e">
        <f t="shared" ca="1" si="325"/>
        <v>#N/A</v>
      </c>
      <c r="AK483" s="1587">
        <f t="shared" si="326"/>
        <v>0</v>
      </c>
      <c r="AN483" s="1212" t="e">
        <f t="shared" ca="1" si="327"/>
        <v>#N/A</v>
      </c>
      <c r="AO483" s="1213" t="e">
        <f t="shared" ca="1" si="328"/>
        <v>#N/A</v>
      </c>
      <c r="AP483" s="1587">
        <f t="shared" si="329"/>
        <v>0</v>
      </c>
      <c r="AS483" s="1212" t="e">
        <f t="shared" ca="1" si="330"/>
        <v>#N/A</v>
      </c>
      <c r="AT483" s="1213" t="e">
        <f t="shared" ca="1" si="331"/>
        <v>#N/A</v>
      </c>
      <c r="AU483" s="1587">
        <f t="shared" si="332"/>
        <v>0</v>
      </c>
      <c r="AX483" s="1212" t="e">
        <f t="shared" ca="1" si="333"/>
        <v>#N/A</v>
      </c>
      <c r="AY483" s="1213" t="e">
        <f t="shared" ca="1" si="334"/>
        <v>#N/A</v>
      </c>
      <c r="AZ483" s="1587">
        <f t="shared" si="335"/>
        <v>0</v>
      </c>
      <c r="BC483" s="1212" t="e">
        <f t="shared" ca="1" si="336"/>
        <v>#N/A</v>
      </c>
      <c r="BD483" s="1213" t="e">
        <f t="shared" ca="1" si="337"/>
        <v>#N/A</v>
      </c>
      <c r="BE483" s="1587">
        <f t="shared" si="338"/>
        <v>0</v>
      </c>
      <c r="BH483" s="1212" t="e">
        <f t="shared" ca="1" si="339"/>
        <v>#N/A</v>
      </c>
      <c r="BI483" s="1213" t="e">
        <f t="shared" ca="1" si="340"/>
        <v>#N/A</v>
      </c>
      <c r="BJ483" s="1587">
        <f t="shared" si="341"/>
        <v>0</v>
      </c>
      <c r="BM483" s="1212" t="e">
        <f t="shared" ca="1" si="342"/>
        <v>#N/A</v>
      </c>
      <c r="BN483" s="1213" t="e">
        <f t="shared" ca="1" si="343"/>
        <v>#N/A</v>
      </c>
      <c r="BO483" s="1587">
        <f t="shared" si="344"/>
        <v>0</v>
      </c>
      <c r="BR483" s="1212" t="e">
        <f t="shared" ca="1" si="345"/>
        <v>#N/A</v>
      </c>
      <c r="BS483" s="1213" t="e">
        <f t="shared" ca="1" si="346"/>
        <v>#N/A</v>
      </c>
      <c r="BT483" s="1587">
        <f t="shared" si="347"/>
        <v>0</v>
      </c>
      <c r="BW483" s="1212" t="e">
        <f t="shared" ca="1" si="348"/>
        <v>#N/A</v>
      </c>
      <c r="BX483" s="1213" t="e">
        <f t="shared" ca="1" si="349"/>
        <v>#N/A</v>
      </c>
      <c r="BY483" s="1587">
        <f t="shared" si="350"/>
        <v>0</v>
      </c>
      <c r="CB483" s="1212" t="e">
        <f t="shared" ca="1" si="351"/>
        <v>#N/A</v>
      </c>
      <c r="CC483" s="1213" t="e">
        <f t="shared" ca="1" si="352"/>
        <v>#N/A</v>
      </c>
      <c r="CD483" s="1587">
        <f t="shared" si="353"/>
        <v>0</v>
      </c>
      <c r="CG483" s="1212" t="e">
        <f t="shared" ca="1" si="354"/>
        <v>#N/A</v>
      </c>
      <c r="CH483" s="1213" t="e">
        <f t="shared" ca="1" si="355"/>
        <v>#N/A</v>
      </c>
      <c r="CI483" s="1587">
        <f t="shared" si="356"/>
        <v>0</v>
      </c>
      <c r="CL483" s="1212" t="e">
        <f t="shared" ca="1" si="357"/>
        <v>#N/A</v>
      </c>
      <c r="CM483" s="1213" t="e">
        <f t="shared" ca="1" si="358"/>
        <v>#N/A</v>
      </c>
      <c r="CN483" s="1587">
        <f t="shared" si="359"/>
        <v>0</v>
      </c>
    </row>
    <row r="484" spans="1:92">
      <c r="A484" s="141">
        <f>'銀行-TSS'!A484</f>
        <v>0</v>
      </c>
      <c r="B484" s="151">
        <f ca="1">VLOOKUP(A484,'銀行-TSS'!A:B,2,FALSE)</f>
        <v>0</v>
      </c>
      <c r="C484" s="151" t="e">
        <f ca="1">VLOOKUP(B484,bond!B:C,2,FALSE)</f>
        <v>#N/A</v>
      </c>
      <c r="D484" s="95" t="e">
        <f>VLOOKUP(A484,'銀行-TSS'!A:C,3,FALSE)</f>
        <v>#N/A</v>
      </c>
      <c r="E484" s="90" t="e">
        <f ca="1">VLOOKUP(A484,'銀行-TSS'!A:G,7,FALSE)</f>
        <v>#N/A</v>
      </c>
      <c r="F484" s="202" t="e">
        <f ca="1">VLOOKUP(A484,'銀行-TSS'!A:H,8,FALSE)</f>
        <v>#N/A</v>
      </c>
      <c r="G484" s="96" t="e">
        <f ca="1">VLOOKUP(A484,'銀行-TSS'!A:K,11,FALSE)</f>
        <v>#N/A</v>
      </c>
      <c r="H484" s="1209" t="e">
        <f ca="1">VLOOKUP(A484,'銀行-TSS'!A:M,13,FALSE)</f>
        <v>#N/A</v>
      </c>
      <c r="I484" s="1213" t="e">
        <f ca="1">VLOOKUP(A484,'銀行-TSS'!A:N,14,FALSE)</f>
        <v>#N/A</v>
      </c>
      <c r="J484" s="1213" t="e">
        <f ca="1">VLOOKUP(A484,'銀行-TSS'!A:O,15,FALSE)</f>
        <v>#N/A</v>
      </c>
      <c r="K484" s="136" t="e">
        <f ca="1">VLOOKUP(A484,'銀行-TSS'!A:V,22,FALSE)</f>
        <v>#N/A</v>
      </c>
      <c r="L484" s="136" t="e">
        <f ca="1">VLOOKUP(A484,'銀行-TSS'!A:AK,37,FALSE)</f>
        <v>#N/A</v>
      </c>
      <c r="M484" s="136" t="str">
        <f ca="1">VLOOKUP(A484,'銀行-TSS'!A:AN,40,FALSE)</f>
        <v/>
      </c>
      <c r="N484" s="136" t="e">
        <f t="shared" ca="1" si="315"/>
        <v>#N/A</v>
      </c>
      <c r="O484" s="1213" t="e">
        <f t="shared" ca="1" si="316"/>
        <v>#N/A</v>
      </c>
      <c r="P484" s="1213" t="e">
        <f ca="1">IF(AND($O$1&gt;=O484,換券單檔!$D$13=D484),I484+INT(($O$1-O484)/N484)*J484,0)</f>
        <v>#N/A</v>
      </c>
      <c r="Q484" s="1213" t="e">
        <f t="shared" ca="1" si="317"/>
        <v>#N/A</v>
      </c>
      <c r="R484" s="1213">
        <f t="shared" si="318"/>
        <v>0</v>
      </c>
      <c r="S484" s="1213">
        <f t="shared" si="319"/>
        <v>0</v>
      </c>
      <c r="T484" s="136">
        <f>IF(OR(R484=0,A484=0),0,IF(AND(V484=TRUE,換券單檔!$D$13=D484),E484,0))</f>
        <v>0</v>
      </c>
      <c r="U484" s="861">
        <f>IF(OR(R484=0,A484=0),0,IF(AND(V484=TRUE,換券單檔!$D$13=D484),H484,0))</f>
        <v>0</v>
      </c>
      <c r="V484" s="136" t="e">
        <f ca="1">IF(OR(B484=換券單檔!$D$3,L484="無",M484&lt;&gt;"",K484="高資產",IFERROR(MATCH(B484,換券單檔!K:K,0),"N")&lt;&gt;"N"),FALSE,IF($V$1="All",TRUE,IF(K484=$V$1,TRUE,FALSE)))</f>
        <v>#N/A</v>
      </c>
      <c r="W484" s="136" t="e">
        <f ca="1">VLOOKUP(A484,'銀行-TSS'!A:AO,41,FALSE)</f>
        <v>#N/A</v>
      </c>
      <c r="X484" s="136" t="e">
        <f ca="1">VLOOKUP(A484,'銀行-TSS'!A:AP,42,FALSE)</f>
        <v>#N/A</v>
      </c>
      <c r="Y484" s="1220">
        <f t="shared" si="320"/>
        <v>0</v>
      </c>
      <c r="Z484" s="1220">
        <f t="shared" si="321"/>
        <v>0</v>
      </c>
      <c r="AA484" s="136">
        <f>IF(Z484&lt;=0,0,RANK(Z484,Z:Z)+COUNTIF($Z$3:$Z484,Z484)-1)</f>
        <v>0</v>
      </c>
      <c r="AB484" s="1211">
        <f t="shared" ca="1" si="322"/>
        <v>-14896.14</v>
      </c>
      <c r="AC484" s="136">
        <f ca="1">IF(AB484&lt;=0,0,RANK(AB484,AB:AB)+COUNTIF($AB$3:$AB484,AB484)-1)</f>
        <v>0</v>
      </c>
      <c r="AD484" s="1123">
        <f t="shared" si="323"/>
        <v>99999</v>
      </c>
      <c r="AE484" s="1123">
        <f>IF(AD484=99999,0,RANK(AD484,AD:AD,1)+COUNTIF($AD$3:$AD484,AD484)-1)</f>
        <v>0</v>
      </c>
      <c r="AF484" s="86" t="e">
        <f ca="1">IF(OR(M484&lt;&gt;"",L484="無",K484="高資產",IFERROR(MATCH(B484,換券單檔!K:K,0),"N")&lt;&gt;"N"),FALSE,TRUE)</f>
        <v>#N/A</v>
      </c>
      <c r="AI484" s="1212" t="e">
        <f t="shared" ca="1" si="324"/>
        <v>#N/A</v>
      </c>
      <c r="AJ484" s="1213" t="e">
        <f t="shared" ca="1" si="325"/>
        <v>#N/A</v>
      </c>
      <c r="AK484" s="1587">
        <f t="shared" si="326"/>
        <v>0</v>
      </c>
      <c r="AN484" s="1212" t="e">
        <f t="shared" ca="1" si="327"/>
        <v>#N/A</v>
      </c>
      <c r="AO484" s="1213" t="e">
        <f t="shared" ca="1" si="328"/>
        <v>#N/A</v>
      </c>
      <c r="AP484" s="1587">
        <f t="shared" si="329"/>
        <v>0</v>
      </c>
      <c r="AS484" s="1212" t="e">
        <f t="shared" ca="1" si="330"/>
        <v>#N/A</v>
      </c>
      <c r="AT484" s="1213" t="e">
        <f t="shared" ca="1" si="331"/>
        <v>#N/A</v>
      </c>
      <c r="AU484" s="1587">
        <f t="shared" si="332"/>
        <v>0</v>
      </c>
      <c r="AX484" s="1212" t="e">
        <f t="shared" ca="1" si="333"/>
        <v>#N/A</v>
      </c>
      <c r="AY484" s="1213" t="e">
        <f t="shared" ca="1" si="334"/>
        <v>#N/A</v>
      </c>
      <c r="AZ484" s="1587">
        <f t="shared" si="335"/>
        <v>0</v>
      </c>
      <c r="BC484" s="1212" t="e">
        <f t="shared" ca="1" si="336"/>
        <v>#N/A</v>
      </c>
      <c r="BD484" s="1213" t="e">
        <f t="shared" ca="1" si="337"/>
        <v>#N/A</v>
      </c>
      <c r="BE484" s="1587">
        <f t="shared" si="338"/>
        <v>0</v>
      </c>
      <c r="BH484" s="1212" t="e">
        <f t="shared" ca="1" si="339"/>
        <v>#N/A</v>
      </c>
      <c r="BI484" s="1213" t="e">
        <f t="shared" ca="1" si="340"/>
        <v>#N/A</v>
      </c>
      <c r="BJ484" s="1587">
        <f t="shared" si="341"/>
        <v>0</v>
      </c>
      <c r="BM484" s="1212" t="e">
        <f t="shared" ca="1" si="342"/>
        <v>#N/A</v>
      </c>
      <c r="BN484" s="1213" t="e">
        <f t="shared" ca="1" si="343"/>
        <v>#N/A</v>
      </c>
      <c r="BO484" s="1587">
        <f t="shared" si="344"/>
        <v>0</v>
      </c>
      <c r="BR484" s="1212" t="e">
        <f t="shared" ca="1" si="345"/>
        <v>#N/A</v>
      </c>
      <c r="BS484" s="1213" t="e">
        <f t="shared" ca="1" si="346"/>
        <v>#N/A</v>
      </c>
      <c r="BT484" s="1587">
        <f t="shared" si="347"/>
        <v>0</v>
      </c>
      <c r="BW484" s="1212" t="e">
        <f t="shared" ca="1" si="348"/>
        <v>#N/A</v>
      </c>
      <c r="BX484" s="1213" t="e">
        <f t="shared" ca="1" si="349"/>
        <v>#N/A</v>
      </c>
      <c r="BY484" s="1587">
        <f t="shared" si="350"/>
        <v>0</v>
      </c>
      <c r="CB484" s="1212" t="e">
        <f t="shared" ca="1" si="351"/>
        <v>#N/A</v>
      </c>
      <c r="CC484" s="1213" t="e">
        <f t="shared" ca="1" si="352"/>
        <v>#N/A</v>
      </c>
      <c r="CD484" s="1587">
        <f t="shared" si="353"/>
        <v>0</v>
      </c>
      <c r="CG484" s="1212" t="e">
        <f t="shared" ca="1" si="354"/>
        <v>#N/A</v>
      </c>
      <c r="CH484" s="1213" t="e">
        <f t="shared" ca="1" si="355"/>
        <v>#N/A</v>
      </c>
      <c r="CI484" s="1587">
        <f t="shared" si="356"/>
        <v>0</v>
      </c>
      <c r="CL484" s="1212" t="e">
        <f t="shared" ca="1" si="357"/>
        <v>#N/A</v>
      </c>
      <c r="CM484" s="1213" t="e">
        <f t="shared" ca="1" si="358"/>
        <v>#N/A</v>
      </c>
      <c r="CN484" s="1587">
        <f t="shared" si="359"/>
        <v>0</v>
      </c>
    </row>
    <row r="485" spans="1:92">
      <c r="A485" s="141">
        <f>'銀行-TSS'!A485</f>
        <v>0</v>
      </c>
      <c r="B485" s="151">
        <f ca="1">VLOOKUP(A485,'銀行-TSS'!A:B,2,FALSE)</f>
        <v>0</v>
      </c>
      <c r="C485" s="151" t="e">
        <f ca="1">VLOOKUP(B485,bond!B:C,2,FALSE)</f>
        <v>#N/A</v>
      </c>
      <c r="D485" s="95" t="e">
        <f>VLOOKUP(A485,'銀行-TSS'!A:C,3,FALSE)</f>
        <v>#N/A</v>
      </c>
      <c r="E485" s="90" t="e">
        <f ca="1">VLOOKUP(A485,'銀行-TSS'!A:G,7,FALSE)</f>
        <v>#N/A</v>
      </c>
      <c r="F485" s="202" t="e">
        <f ca="1">VLOOKUP(A485,'銀行-TSS'!A:H,8,FALSE)</f>
        <v>#N/A</v>
      </c>
      <c r="G485" s="96" t="e">
        <f ca="1">VLOOKUP(A485,'銀行-TSS'!A:K,11,FALSE)</f>
        <v>#N/A</v>
      </c>
      <c r="H485" s="1209" t="e">
        <f ca="1">VLOOKUP(A485,'銀行-TSS'!A:M,13,FALSE)</f>
        <v>#N/A</v>
      </c>
      <c r="I485" s="1213" t="e">
        <f ca="1">VLOOKUP(A485,'銀行-TSS'!A:N,14,FALSE)</f>
        <v>#N/A</v>
      </c>
      <c r="J485" s="1213" t="e">
        <f ca="1">VLOOKUP(A485,'銀行-TSS'!A:O,15,FALSE)</f>
        <v>#N/A</v>
      </c>
      <c r="K485" s="136" t="e">
        <f ca="1">VLOOKUP(A485,'銀行-TSS'!A:V,22,FALSE)</f>
        <v>#N/A</v>
      </c>
      <c r="L485" s="136" t="e">
        <f ca="1">VLOOKUP(A485,'銀行-TSS'!A:AK,37,FALSE)</f>
        <v>#N/A</v>
      </c>
      <c r="M485" s="136" t="str">
        <f ca="1">VLOOKUP(A485,'銀行-TSS'!A:AN,40,FALSE)</f>
        <v/>
      </c>
      <c r="N485" s="136" t="e">
        <f t="shared" ca="1" si="315"/>
        <v>#N/A</v>
      </c>
      <c r="O485" s="1213" t="e">
        <f t="shared" ca="1" si="316"/>
        <v>#N/A</v>
      </c>
      <c r="P485" s="1213" t="e">
        <f ca="1">IF(AND($O$1&gt;=O485,換券單檔!$D$13=D485),I485+INT(($O$1-O485)/N485)*J485,0)</f>
        <v>#N/A</v>
      </c>
      <c r="Q485" s="1213" t="e">
        <f t="shared" ca="1" si="317"/>
        <v>#N/A</v>
      </c>
      <c r="R485" s="1213">
        <f t="shared" si="318"/>
        <v>0</v>
      </c>
      <c r="S485" s="1213">
        <f t="shared" si="319"/>
        <v>0</v>
      </c>
      <c r="T485" s="136">
        <f>IF(OR(R485=0,A485=0),0,IF(AND(V485=TRUE,換券單檔!$D$13=D485),E485,0))</f>
        <v>0</v>
      </c>
      <c r="U485" s="861">
        <f>IF(OR(R485=0,A485=0),0,IF(AND(V485=TRUE,換券單檔!$D$13=D485),H485,0))</f>
        <v>0</v>
      </c>
      <c r="V485" s="136" t="e">
        <f ca="1">IF(OR(B485=換券單檔!$D$3,L485="無",M485&lt;&gt;"",K485="高資產",IFERROR(MATCH(B485,換券單檔!K:K,0),"N")&lt;&gt;"N"),FALSE,IF($V$1="All",TRUE,IF(K485=$V$1,TRUE,FALSE)))</f>
        <v>#N/A</v>
      </c>
      <c r="W485" s="136" t="e">
        <f ca="1">VLOOKUP(A485,'銀行-TSS'!A:AO,41,FALSE)</f>
        <v>#N/A</v>
      </c>
      <c r="X485" s="136" t="e">
        <f ca="1">VLOOKUP(A485,'銀行-TSS'!A:AP,42,FALSE)</f>
        <v>#N/A</v>
      </c>
      <c r="Y485" s="1220">
        <f t="shared" si="320"/>
        <v>0</v>
      </c>
      <c r="Z485" s="1220">
        <f t="shared" si="321"/>
        <v>0</v>
      </c>
      <c r="AA485" s="136">
        <f>IF(Z485&lt;=0,0,RANK(Z485,Z:Z)+COUNTIF($Z$3:$Z485,Z485)-1)</f>
        <v>0</v>
      </c>
      <c r="AB485" s="1211">
        <f t="shared" ca="1" si="322"/>
        <v>-14896.14</v>
      </c>
      <c r="AC485" s="136">
        <f ca="1">IF(AB485&lt;=0,0,RANK(AB485,AB:AB)+COUNTIF($AB$3:$AB485,AB485)-1)</f>
        <v>0</v>
      </c>
      <c r="AD485" s="1123">
        <f t="shared" si="323"/>
        <v>99999</v>
      </c>
      <c r="AE485" s="1123">
        <f>IF(AD485=99999,0,RANK(AD485,AD:AD,1)+COUNTIF($AD$3:$AD485,AD485)-1)</f>
        <v>0</v>
      </c>
      <c r="AF485" s="86" t="e">
        <f ca="1">IF(OR(M485&lt;&gt;"",L485="無",K485="高資產",IFERROR(MATCH(B485,換券單檔!K:K,0),"N")&lt;&gt;"N"),FALSE,TRUE)</f>
        <v>#N/A</v>
      </c>
      <c r="AI485" s="1212" t="e">
        <f t="shared" ca="1" si="324"/>
        <v>#N/A</v>
      </c>
      <c r="AJ485" s="1213" t="e">
        <f t="shared" ca="1" si="325"/>
        <v>#N/A</v>
      </c>
      <c r="AK485" s="1587">
        <f t="shared" si="326"/>
        <v>0</v>
      </c>
      <c r="AN485" s="1212" t="e">
        <f t="shared" ca="1" si="327"/>
        <v>#N/A</v>
      </c>
      <c r="AO485" s="1213" t="e">
        <f t="shared" ca="1" si="328"/>
        <v>#N/A</v>
      </c>
      <c r="AP485" s="1587">
        <f t="shared" si="329"/>
        <v>0</v>
      </c>
      <c r="AS485" s="1212" t="e">
        <f t="shared" ca="1" si="330"/>
        <v>#N/A</v>
      </c>
      <c r="AT485" s="1213" t="e">
        <f t="shared" ca="1" si="331"/>
        <v>#N/A</v>
      </c>
      <c r="AU485" s="1587">
        <f t="shared" si="332"/>
        <v>0</v>
      </c>
      <c r="AX485" s="1212" t="e">
        <f t="shared" ca="1" si="333"/>
        <v>#N/A</v>
      </c>
      <c r="AY485" s="1213" t="e">
        <f t="shared" ca="1" si="334"/>
        <v>#N/A</v>
      </c>
      <c r="AZ485" s="1587">
        <f t="shared" si="335"/>
        <v>0</v>
      </c>
      <c r="BC485" s="1212" t="e">
        <f t="shared" ca="1" si="336"/>
        <v>#N/A</v>
      </c>
      <c r="BD485" s="1213" t="e">
        <f t="shared" ca="1" si="337"/>
        <v>#N/A</v>
      </c>
      <c r="BE485" s="1587">
        <f t="shared" si="338"/>
        <v>0</v>
      </c>
      <c r="BH485" s="1212" t="e">
        <f t="shared" ca="1" si="339"/>
        <v>#N/A</v>
      </c>
      <c r="BI485" s="1213" t="e">
        <f t="shared" ca="1" si="340"/>
        <v>#N/A</v>
      </c>
      <c r="BJ485" s="1587">
        <f t="shared" si="341"/>
        <v>0</v>
      </c>
      <c r="BM485" s="1212" t="e">
        <f t="shared" ca="1" si="342"/>
        <v>#N/A</v>
      </c>
      <c r="BN485" s="1213" t="e">
        <f t="shared" ca="1" si="343"/>
        <v>#N/A</v>
      </c>
      <c r="BO485" s="1587">
        <f t="shared" si="344"/>
        <v>0</v>
      </c>
      <c r="BR485" s="1212" t="e">
        <f t="shared" ca="1" si="345"/>
        <v>#N/A</v>
      </c>
      <c r="BS485" s="1213" t="e">
        <f t="shared" ca="1" si="346"/>
        <v>#N/A</v>
      </c>
      <c r="BT485" s="1587">
        <f t="shared" si="347"/>
        <v>0</v>
      </c>
      <c r="BW485" s="1212" t="e">
        <f t="shared" ca="1" si="348"/>
        <v>#N/A</v>
      </c>
      <c r="BX485" s="1213" t="e">
        <f t="shared" ca="1" si="349"/>
        <v>#N/A</v>
      </c>
      <c r="BY485" s="1587">
        <f t="shared" si="350"/>
        <v>0</v>
      </c>
      <c r="CB485" s="1212" t="e">
        <f t="shared" ca="1" si="351"/>
        <v>#N/A</v>
      </c>
      <c r="CC485" s="1213" t="e">
        <f t="shared" ca="1" si="352"/>
        <v>#N/A</v>
      </c>
      <c r="CD485" s="1587">
        <f t="shared" si="353"/>
        <v>0</v>
      </c>
      <c r="CG485" s="1212" t="e">
        <f t="shared" ca="1" si="354"/>
        <v>#N/A</v>
      </c>
      <c r="CH485" s="1213" t="e">
        <f t="shared" ca="1" si="355"/>
        <v>#N/A</v>
      </c>
      <c r="CI485" s="1587">
        <f t="shared" si="356"/>
        <v>0</v>
      </c>
      <c r="CL485" s="1212" t="e">
        <f t="shared" ca="1" si="357"/>
        <v>#N/A</v>
      </c>
      <c r="CM485" s="1213" t="e">
        <f t="shared" ca="1" si="358"/>
        <v>#N/A</v>
      </c>
      <c r="CN485" s="1587">
        <f t="shared" si="359"/>
        <v>0</v>
      </c>
    </row>
    <row r="486" spans="1:92">
      <c r="A486" s="141">
        <f>'銀行-TSS'!A486</f>
        <v>0</v>
      </c>
      <c r="B486" s="151">
        <f ca="1">VLOOKUP(A486,'銀行-TSS'!A:B,2,FALSE)</f>
        <v>0</v>
      </c>
      <c r="C486" s="151" t="e">
        <f ca="1">VLOOKUP(B486,bond!B:C,2,FALSE)</f>
        <v>#N/A</v>
      </c>
      <c r="D486" s="95" t="e">
        <f>VLOOKUP(A486,'銀行-TSS'!A:C,3,FALSE)</f>
        <v>#N/A</v>
      </c>
      <c r="E486" s="90" t="e">
        <f ca="1">VLOOKUP(A486,'銀行-TSS'!A:G,7,FALSE)</f>
        <v>#N/A</v>
      </c>
      <c r="F486" s="202" t="e">
        <f ca="1">VLOOKUP(A486,'銀行-TSS'!A:H,8,FALSE)</f>
        <v>#N/A</v>
      </c>
      <c r="G486" s="96" t="e">
        <f ca="1">VLOOKUP(A486,'銀行-TSS'!A:K,11,FALSE)</f>
        <v>#N/A</v>
      </c>
      <c r="H486" s="1209" t="e">
        <f ca="1">VLOOKUP(A486,'銀行-TSS'!A:M,13,FALSE)</f>
        <v>#N/A</v>
      </c>
      <c r="I486" s="1213" t="e">
        <f ca="1">VLOOKUP(A486,'銀行-TSS'!A:N,14,FALSE)</f>
        <v>#N/A</v>
      </c>
      <c r="J486" s="1213" t="e">
        <f ca="1">VLOOKUP(A486,'銀行-TSS'!A:O,15,FALSE)</f>
        <v>#N/A</v>
      </c>
      <c r="K486" s="136" t="e">
        <f ca="1">VLOOKUP(A486,'銀行-TSS'!A:V,22,FALSE)</f>
        <v>#N/A</v>
      </c>
      <c r="L486" s="136" t="e">
        <f ca="1">VLOOKUP(A486,'銀行-TSS'!A:AK,37,FALSE)</f>
        <v>#N/A</v>
      </c>
      <c r="M486" s="136" t="str">
        <f ca="1">VLOOKUP(A486,'銀行-TSS'!A:AN,40,FALSE)</f>
        <v/>
      </c>
      <c r="N486" s="136" t="e">
        <f t="shared" ca="1" si="315"/>
        <v>#N/A</v>
      </c>
      <c r="O486" s="1213" t="e">
        <f t="shared" ca="1" si="316"/>
        <v>#N/A</v>
      </c>
      <c r="P486" s="1213" t="e">
        <f ca="1">IF(AND($O$1&gt;=O486,換券單檔!$D$13=D486),I486+INT(($O$1-O486)/N486)*J486,0)</f>
        <v>#N/A</v>
      </c>
      <c r="Q486" s="1213" t="e">
        <f t="shared" ca="1" si="317"/>
        <v>#N/A</v>
      </c>
      <c r="R486" s="1213">
        <f t="shared" si="318"/>
        <v>0</v>
      </c>
      <c r="S486" s="1213">
        <f t="shared" si="319"/>
        <v>0</v>
      </c>
      <c r="T486" s="136">
        <f>IF(OR(R486=0,A486=0),0,IF(AND(V486=TRUE,換券單檔!$D$13=D486),E486,0))</f>
        <v>0</v>
      </c>
      <c r="U486" s="861">
        <f>IF(OR(R486=0,A486=0),0,IF(AND(V486=TRUE,換券單檔!$D$13=D486),H486,0))</f>
        <v>0</v>
      </c>
      <c r="V486" s="136" t="e">
        <f ca="1">IF(OR(B486=換券單檔!$D$3,L486="無",M486&lt;&gt;"",K486="高資產",IFERROR(MATCH(B486,換券單檔!K:K,0),"N")&lt;&gt;"N"),FALSE,IF($V$1="All",TRUE,IF(K486=$V$1,TRUE,FALSE)))</f>
        <v>#N/A</v>
      </c>
      <c r="W486" s="136" t="e">
        <f ca="1">VLOOKUP(A486,'銀行-TSS'!A:AO,41,FALSE)</f>
        <v>#N/A</v>
      </c>
      <c r="X486" s="136" t="e">
        <f ca="1">VLOOKUP(A486,'銀行-TSS'!A:AP,42,FALSE)</f>
        <v>#N/A</v>
      </c>
      <c r="Y486" s="1220">
        <f t="shared" si="320"/>
        <v>0</v>
      </c>
      <c r="Z486" s="1220">
        <f t="shared" si="321"/>
        <v>0</v>
      </c>
      <c r="AA486" s="136">
        <f>IF(Z486&lt;=0,0,RANK(Z486,Z:Z)+COUNTIF($Z$3:$Z486,Z486)-1)</f>
        <v>0</v>
      </c>
      <c r="AB486" s="1211">
        <f t="shared" ca="1" si="322"/>
        <v>-14896.14</v>
      </c>
      <c r="AC486" s="136">
        <f ca="1">IF(AB486&lt;=0,0,RANK(AB486,AB:AB)+COUNTIF($AB$3:$AB486,AB486)-1)</f>
        <v>0</v>
      </c>
      <c r="AD486" s="1123">
        <f t="shared" si="323"/>
        <v>99999</v>
      </c>
      <c r="AE486" s="1123">
        <f>IF(AD486=99999,0,RANK(AD486,AD:AD,1)+COUNTIF($AD$3:$AD486,AD486)-1)</f>
        <v>0</v>
      </c>
      <c r="AF486" s="86" t="e">
        <f ca="1">IF(OR(M486&lt;&gt;"",L486="無",K486="高資產",IFERROR(MATCH(B486,換券單檔!K:K,0),"N")&lt;&gt;"N"),FALSE,TRUE)</f>
        <v>#N/A</v>
      </c>
      <c r="AI486" s="1212" t="e">
        <f t="shared" ca="1" si="324"/>
        <v>#N/A</v>
      </c>
      <c r="AJ486" s="1213" t="e">
        <f t="shared" ca="1" si="325"/>
        <v>#N/A</v>
      </c>
      <c r="AK486" s="1587">
        <f t="shared" si="326"/>
        <v>0</v>
      </c>
      <c r="AN486" s="1212" t="e">
        <f t="shared" ca="1" si="327"/>
        <v>#N/A</v>
      </c>
      <c r="AO486" s="1213" t="e">
        <f t="shared" ca="1" si="328"/>
        <v>#N/A</v>
      </c>
      <c r="AP486" s="1587">
        <f t="shared" si="329"/>
        <v>0</v>
      </c>
      <c r="AS486" s="1212" t="e">
        <f t="shared" ca="1" si="330"/>
        <v>#N/A</v>
      </c>
      <c r="AT486" s="1213" t="e">
        <f t="shared" ca="1" si="331"/>
        <v>#N/A</v>
      </c>
      <c r="AU486" s="1587">
        <f t="shared" si="332"/>
        <v>0</v>
      </c>
      <c r="AX486" s="1212" t="e">
        <f t="shared" ca="1" si="333"/>
        <v>#N/A</v>
      </c>
      <c r="AY486" s="1213" t="e">
        <f t="shared" ca="1" si="334"/>
        <v>#N/A</v>
      </c>
      <c r="AZ486" s="1587">
        <f t="shared" si="335"/>
        <v>0</v>
      </c>
      <c r="BC486" s="1212" t="e">
        <f t="shared" ca="1" si="336"/>
        <v>#N/A</v>
      </c>
      <c r="BD486" s="1213" t="e">
        <f t="shared" ca="1" si="337"/>
        <v>#N/A</v>
      </c>
      <c r="BE486" s="1587">
        <f t="shared" si="338"/>
        <v>0</v>
      </c>
      <c r="BH486" s="1212" t="e">
        <f t="shared" ca="1" si="339"/>
        <v>#N/A</v>
      </c>
      <c r="BI486" s="1213" t="e">
        <f t="shared" ca="1" si="340"/>
        <v>#N/A</v>
      </c>
      <c r="BJ486" s="1587">
        <f t="shared" si="341"/>
        <v>0</v>
      </c>
      <c r="BM486" s="1212" t="e">
        <f t="shared" ca="1" si="342"/>
        <v>#N/A</v>
      </c>
      <c r="BN486" s="1213" t="e">
        <f t="shared" ca="1" si="343"/>
        <v>#N/A</v>
      </c>
      <c r="BO486" s="1587">
        <f t="shared" si="344"/>
        <v>0</v>
      </c>
      <c r="BR486" s="1212" t="e">
        <f t="shared" ca="1" si="345"/>
        <v>#N/A</v>
      </c>
      <c r="BS486" s="1213" t="e">
        <f t="shared" ca="1" si="346"/>
        <v>#N/A</v>
      </c>
      <c r="BT486" s="1587">
        <f t="shared" si="347"/>
        <v>0</v>
      </c>
      <c r="BW486" s="1212" t="e">
        <f t="shared" ca="1" si="348"/>
        <v>#N/A</v>
      </c>
      <c r="BX486" s="1213" t="e">
        <f t="shared" ca="1" si="349"/>
        <v>#N/A</v>
      </c>
      <c r="BY486" s="1587">
        <f t="shared" si="350"/>
        <v>0</v>
      </c>
      <c r="CB486" s="1212" t="e">
        <f t="shared" ca="1" si="351"/>
        <v>#N/A</v>
      </c>
      <c r="CC486" s="1213" t="e">
        <f t="shared" ca="1" si="352"/>
        <v>#N/A</v>
      </c>
      <c r="CD486" s="1587">
        <f t="shared" si="353"/>
        <v>0</v>
      </c>
      <c r="CG486" s="1212" t="e">
        <f t="shared" ca="1" si="354"/>
        <v>#N/A</v>
      </c>
      <c r="CH486" s="1213" t="e">
        <f t="shared" ca="1" si="355"/>
        <v>#N/A</v>
      </c>
      <c r="CI486" s="1587">
        <f t="shared" si="356"/>
        <v>0</v>
      </c>
      <c r="CL486" s="1212" t="e">
        <f t="shared" ca="1" si="357"/>
        <v>#N/A</v>
      </c>
      <c r="CM486" s="1213" t="e">
        <f t="shared" ca="1" si="358"/>
        <v>#N/A</v>
      </c>
      <c r="CN486" s="1587">
        <f t="shared" si="359"/>
        <v>0</v>
      </c>
    </row>
    <row r="487" spans="1:92">
      <c r="A487" s="141">
        <f>'銀行-TSS'!A487</f>
        <v>0</v>
      </c>
      <c r="B487" s="151">
        <f ca="1">VLOOKUP(A487,'銀行-TSS'!A:B,2,FALSE)</f>
        <v>0</v>
      </c>
      <c r="C487" s="151" t="e">
        <f ca="1">VLOOKUP(B487,bond!B:C,2,FALSE)</f>
        <v>#N/A</v>
      </c>
      <c r="D487" s="95" t="e">
        <f>VLOOKUP(A487,'銀行-TSS'!A:C,3,FALSE)</f>
        <v>#N/A</v>
      </c>
      <c r="E487" s="90" t="e">
        <f ca="1">VLOOKUP(A487,'銀行-TSS'!A:G,7,FALSE)</f>
        <v>#N/A</v>
      </c>
      <c r="F487" s="202" t="e">
        <f ca="1">VLOOKUP(A487,'銀行-TSS'!A:H,8,FALSE)</f>
        <v>#N/A</v>
      </c>
      <c r="G487" s="96" t="e">
        <f ca="1">VLOOKUP(A487,'銀行-TSS'!A:K,11,FALSE)</f>
        <v>#N/A</v>
      </c>
      <c r="H487" s="1209" t="e">
        <f ca="1">VLOOKUP(A487,'銀行-TSS'!A:M,13,FALSE)</f>
        <v>#N/A</v>
      </c>
      <c r="I487" s="1213" t="e">
        <f ca="1">VLOOKUP(A487,'銀行-TSS'!A:N,14,FALSE)</f>
        <v>#N/A</v>
      </c>
      <c r="J487" s="1213" t="e">
        <f ca="1">VLOOKUP(A487,'銀行-TSS'!A:O,15,FALSE)</f>
        <v>#N/A</v>
      </c>
      <c r="K487" s="136" t="e">
        <f ca="1">VLOOKUP(A487,'銀行-TSS'!A:V,22,FALSE)</f>
        <v>#N/A</v>
      </c>
      <c r="L487" s="136" t="e">
        <f ca="1">VLOOKUP(A487,'銀行-TSS'!A:AK,37,FALSE)</f>
        <v>#N/A</v>
      </c>
      <c r="M487" s="136" t="str">
        <f ca="1">VLOOKUP(A487,'銀行-TSS'!A:AN,40,FALSE)</f>
        <v/>
      </c>
      <c r="N487" s="136" t="e">
        <f t="shared" ca="1" si="315"/>
        <v>#N/A</v>
      </c>
      <c r="O487" s="1213" t="e">
        <f t="shared" ca="1" si="316"/>
        <v>#N/A</v>
      </c>
      <c r="P487" s="1213" t="e">
        <f ca="1">IF(AND($O$1&gt;=O487,換券單檔!$D$13=D487),I487+INT(($O$1-O487)/N487)*J487,0)</f>
        <v>#N/A</v>
      </c>
      <c r="Q487" s="1213" t="e">
        <f t="shared" ca="1" si="317"/>
        <v>#N/A</v>
      </c>
      <c r="R487" s="1213">
        <f t="shared" si="318"/>
        <v>0</v>
      </c>
      <c r="S487" s="1213">
        <f t="shared" si="319"/>
        <v>0</v>
      </c>
      <c r="T487" s="136">
        <f>IF(OR(R487=0,A487=0),0,IF(AND(V487=TRUE,換券單檔!$D$13=D487),E487,0))</f>
        <v>0</v>
      </c>
      <c r="U487" s="861">
        <f>IF(OR(R487=0,A487=0),0,IF(AND(V487=TRUE,換券單檔!$D$13=D487),H487,0))</f>
        <v>0</v>
      </c>
      <c r="V487" s="136" t="e">
        <f ca="1">IF(OR(B487=換券單檔!$D$3,L487="無",M487&lt;&gt;"",K487="高資產",IFERROR(MATCH(B487,換券單檔!K:K,0),"N")&lt;&gt;"N"),FALSE,IF($V$1="All",TRUE,IF(K487=$V$1,TRUE,FALSE)))</f>
        <v>#N/A</v>
      </c>
      <c r="W487" s="136" t="e">
        <f ca="1">VLOOKUP(A487,'銀行-TSS'!A:AO,41,FALSE)</f>
        <v>#N/A</v>
      </c>
      <c r="X487" s="136" t="e">
        <f ca="1">VLOOKUP(A487,'銀行-TSS'!A:AP,42,FALSE)</f>
        <v>#N/A</v>
      </c>
      <c r="Y487" s="1220">
        <f t="shared" si="320"/>
        <v>0</v>
      </c>
      <c r="Z487" s="1220">
        <f t="shared" si="321"/>
        <v>0</v>
      </c>
      <c r="AA487" s="136">
        <f>IF(Z487&lt;=0,0,RANK(Z487,Z:Z)+COUNTIF($Z$3:$Z487,Z487)-1)</f>
        <v>0</v>
      </c>
      <c r="AB487" s="1211">
        <f t="shared" ca="1" si="322"/>
        <v>-14896.14</v>
      </c>
      <c r="AC487" s="136">
        <f ca="1">IF(AB487&lt;=0,0,RANK(AB487,AB:AB)+COUNTIF($AB$3:$AB487,AB487)-1)</f>
        <v>0</v>
      </c>
      <c r="AD487" s="1123">
        <f t="shared" si="323"/>
        <v>99999</v>
      </c>
      <c r="AE487" s="1123">
        <f>IF(AD487=99999,0,RANK(AD487,AD:AD,1)+COUNTIF($AD$3:$AD487,AD487)-1)</f>
        <v>0</v>
      </c>
      <c r="AF487" s="86" t="e">
        <f ca="1">IF(OR(M487&lt;&gt;"",L487="無",K487="高資產",IFERROR(MATCH(B487,換券單檔!K:K,0),"N")&lt;&gt;"N"),FALSE,TRUE)</f>
        <v>#N/A</v>
      </c>
      <c r="AI487" s="1212" t="e">
        <f t="shared" ca="1" si="324"/>
        <v>#N/A</v>
      </c>
      <c r="AJ487" s="1213" t="e">
        <f t="shared" ca="1" si="325"/>
        <v>#N/A</v>
      </c>
      <c r="AK487" s="1587">
        <f t="shared" si="326"/>
        <v>0</v>
      </c>
      <c r="AN487" s="1212" t="e">
        <f t="shared" ca="1" si="327"/>
        <v>#N/A</v>
      </c>
      <c r="AO487" s="1213" t="e">
        <f t="shared" ca="1" si="328"/>
        <v>#N/A</v>
      </c>
      <c r="AP487" s="1587">
        <f t="shared" si="329"/>
        <v>0</v>
      </c>
      <c r="AS487" s="1212" t="e">
        <f t="shared" ca="1" si="330"/>
        <v>#N/A</v>
      </c>
      <c r="AT487" s="1213" t="e">
        <f t="shared" ca="1" si="331"/>
        <v>#N/A</v>
      </c>
      <c r="AU487" s="1587">
        <f t="shared" si="332"/>
        <v>0</v>
      </c>
      <c r="AX487" s="1212" t="e">
        <f t="shared" ca="1" si="333"/>
        <v>#N/A</v>
      </c>
      <c r="AY487" s="1213" t="e">
        <f t="shared" ca="1" si="334"/>
        <v>#N/A</v>
      </c>
      <c r="AZ487" s="1587">
        <f t="shared" si="335"/>
        <v>0</v>
      </c>
      <c r="BC487" s="1212" t="e">
        <f t="shared" ca="1" si="336"/>
        <v>#N/A</v>
      </c>
      <c r="BD487" s="1213" t="e">
        <f t="shared" ca="1" si="337"/>
        <v>#N/A</v>
      </c>
      <c r="BE487" s="1587">
        <f t="shared" si="338"/>
        <v>0</v>
      </c>
      <c r="BH487" s="1212" t="e">
        <f t="shared" ca="1" si="339"/>
        <v>#N/A</v>
      </c>
      <c r="BI487" s="1213" t="e">
        <f t="shared" ca="1" si="340"/>
        <v>#N/A</v>
      </c>
      <c r="BJ487" s="1587">
        <f t="shared" si="341"/>
        <v>0</v>
      </c>
      <c r="BM487" s="1212" t="e">
        <f t="shared" ca="1" si="342"/>
        <v>#N/A</v>
      </c>
      <c r="BN487" s="1213" t="e">
        <f t="shared" ca="1" si="343"/>
        <v>#N/A</v>
      </c>
      <c r="BO487" s="1587">
        <f t="shared" si="344"/>
        <v>0</v>
      </c>
      <c r="BR487" s="1212" t="e">
        <f t="shared" ca="1" si="345"/>
        <v>#N/A</v>
      </c>
      <c r="BS487" s="1213" t="e">
        <f t="shared" ca="1" si="346"/>
        <v>#N/A</v>
      </c>
      <c r="BT487" s="1587">
        <f t="shared" si="347"/>
        <v>0</v>
      </c>
      <c r="BW487" s="1212" t="e">
        <f t="shared" ca="1" si="348"/>
        <v>#N/A</v>
      </c>
      <c r="BX487" s="1213" t="e">
        <f t="shared" ca="1" si="349"/>
        <v>#N/A</v>
      </c>
      <c r="BY487" s="1587">
        <f t="shared" si="350"/>
        <v>0</v>
      </c>
      <c r="CB487" s="1212" t="e">
        <f t="shared" ca="1" si="351"/>
        <v>#N/A</v>
      </c>
      <c r="CC487" s="1213" t="e">
        <f t="shared" ca="1" si="352"/>
        <v>#N/A</v>
      </c>
      <c r="CD487" s="1587">
        <f t="shared" si="353"/>
        <v>0</v>
      </c>
      <c r="CG487" s="1212" t="e">
        <f t="shared" ca="1" si="354"/>
        <v>#N/A</v>
      </c>
      <c r="CH487" s="1213" t="e">
        <f t="shared" ca="1" si="355"/>
        <v>#N/A</v>
      </c>
      <c r="CI487" s="1587">
        <f t="shared" si="356"/>
        <v>0</v>
      </c>
      <c r="CL487" s="1212" t="e">
        <f t="shared" ca="1" si="357"/>
        <v>#N/A</v>
      </c>
      <c r="CM487" s="1213" t="e">
        <f t="shared" ca="1" si="358"/>
        <v>#N/A</v>
      </c>
      <c r="CN487" s="1587">
        <f t="shared" si="359"/>
        <v>0</v>
      </c>
    </row>
    <row r="488" spans="1:92">
      <c r="A488" s="141">
        <f>'銀行-TSS'!A488</f>
        <v>0</v>
      </c>
      <c r="B488" s="151">
        <f ca="1">VLOOKUP(A488,'銀行-TSS'!A:B,2,FALSE)</f>
        <v>0</v>
      </c>
      <c r="C488" s="151" t="e">
        <f ca="1">VLOOKUP(B488,bond!B:C,2,FALSE)</f>
        <v>#N/A</v>
      </c>
      <c r="D488" s="95" t="e">
        <f>VLOOKUP(A488,'銀行-TSS'!A:C,3,FALSE)</f>
        <v>#N/A</v>
      </c>
      <c r="E488" s="90" t="e">
        <f ca="1">VLOOKUP(A488,'銀行-TSS'!A:G,7,FALSE)</f>
        <v>#N/A</v>
      </c>
      <c r="F488" s="202" t="e">
        <f ca="1">VLOOKUP(A488,'銀行-TSS'!A:H,8,FALSE)</f>
        <v>#N/A</v>
      </c>
      <c r="G488" s="96" t="e">
        <f ca="1">VLOOKUP(A488,'銀行-TSS'!A:K,11,FALSE)</f>
        <v>#N/A</v>
      </c>
      <c r="H488" s="1209" t="e">
        <f ca="1">VLOOKUP(A488,'銀行-TSS'!A:M,13,FALSE)</f>
        <v>#N/A</v>
      </c>
      <c r="I488" s="1213" t="e">
        <f ca="1">VLOOKUP(A488,'銀行-TSS'!A:N,14,FALSE)</f>
        <v>#N/A</v>
      </c>
      <c r="J488" s="1213" t="e">
        <f ca="1">VLOOKUP(A488,'銀行-TSS'!A:O,15,FALSE)</f>
        <v>#N/A</v>
      </c>
      <c r="K488" s="136" t="e">
        <f ca="1">VLOOKUP(A488,'銀行-TSS'!A:V,22,FALSE)</f>
        <v>#N/A</v>
      </c>
      <c r="L488" s="136" t="e">
        <f ca="1">VLOOKUP(A488,'銀行-TSS'!A:AK,37,FALSE)</f>
        <v>#N/A</v>
      </c>
      <c r="M488" s="136" t="str">
        <f ca="1">VLOOKUP(A488,'銀行-TSS'!A:AN,40,FALSE)</f>
        <v/>
      </c>
      <c r="N488" s="136" t="e">
        <f t="shared" ca="1" si="315"/>
        <v>#N/A</v>
      </c>
      <c r="O488" s="1213" t="e">
        <f t="shared" ca="1" si="316"/>
        <v>#N/A</v>
      </c>
      <c r="P488" s="1213" t="e">
        <f ca="1">IF(AND($O$1&gt;=O488,換券單檔!$D$13=D488),I488+INT(($O$1-O488)/N488)*J488,0)</f>
        <v>#N/A</v>
      </c>
      <c r="Q488" s="1213" t="e">
        <f t="shared" ca="1" si="317"/>
        <v>#N/A</v>
      </c>
      <c r="R488" s="1213">
        <f t="shared" si="318"/>
        <v>0</v>
      </c>
      <c r="S488" s="1213">
        <f t="shared" si="319"/>
        <v>0</v>
      </c>
      <c r="T488" s="136">
        <f>IF(OR(R488=0,A488=0),0,IF(AND(V488=TRUE,換券單檔!$D$13=D488),E488,0))</f>
        <v>0</v>
      </c>
      <c r="U488" s="861">
        <f>IF(OR(R488=0,A488=0),0,IF(AND(V488=TRUE,換券單檔!$D$13=D488),H488,0))</f>
        <v>0</v>
      </c>
      <c r="V488" s="136" t="e">
        <f ca="1">IF(OR(B488=換券單檔!$D$3,L488="無",M488&lt;&gt;"",K488="高資產",IFERROR(MATCH(B488,換券單檔!K:K,0),"N")&lt;&gt;"N"),FALSE,IF($V$1="All",TRUE,IF(K488=$V$1,TRUE,FALSE)))</f>
        <v>#N/A</v>
      </c>
      <c r="W488" s="136" t="e">
        <f ca="1">VLOOKUP(A488,'銀行-TSS'!A:AO,41,FALSE)</f>
        <v>#N/A</v>
      </c>
      <c r="X488" s="136" t="e">
        <f ca="1">VLOOKUP(A488,'銀行-TSS'!A:AP,42,FALSE)</f>
        <v>#N/A</v>
      </c>
      <c r="Y488" s="1220">
        <f t="shared" si="320"/>
        <v>0</v>
      </c>
      <c r="Z488" s="1220">
        <f t="shared" si="321"/>
        <v>0</v>
      </c>
      <c r="AA488" s="136">
        <f>IF(Z488&lt;=0,0,RANK(Z488,Z:Z)+COUNTIF($Z$3:$Z488,Z488)-1)</f>
        <v>0</v>
      </c>
      <c r="AB488" s="1211">
        <f t="shared" ca="1" si="322"/>
        <v>-14896.14</v>
      </c>
      <c r="AC488" s="136">
        <f ca="1">IF(AB488&lt;=0,0,RANK(AB488,AB:AB)+COUNTIF($AB$3:$AB488,AB488)-1)</f>
        <v>0</v>
      </c>
      <c r="AD488" s="1123">
        <f t="shared" si="323"/>
        <v>99999</v>
      </c>
      <c r="AE488" s="1123">
        <f>IF(AD488=99999,0,RANK(AD488,AD:AD,1)+COUNTIF($AD$3:$AD488,AD488)-1)</f>
        <v>0</v>
      </c>
      <c r="AF488" s="86" t="e">
        <f ca="1">IF(OR(M488&lt;&gt;"",L488="無",K488="高資產",IFERROR(MATCH(B488,換券單檔!K:K,0),"N")&lt;&gt;"N"),FALSE,TRUE)</f>
        <v>#N/A</v>
      </c>
      <c r="AI488" s="1212" t="e">
        <f t="shared" ca="1" si="324"/>
        <v>#N/A</v>
      </c>
      <c r="AJ488" s="1213" t="e">
        <f t="shared" ca="1" si="325"/>
        <v>#N/A</v>
      </c>
      <c r="AK488" s="1587">
        <f t="shared" si="326"/>
        <v>0</v>
      </c>
      <c r="AN488" s="1212" t="e">
        <f t="shared" ca="1" si="327"/>
        <v>#N/A</v>
      </c>
      <c r="AO488" s="1213" t="e">
        <f t="shared" ca="1" si="328"/>
        <v>#N/A</v>
      </c>
      <c r="AP488" s="1587">
        <f t="shared" si="329"/>
        <v>0</v>
      </c>
      <c r="AS488" s="1212" t="e">
        <f t="shared" ca="1" si="330"/>
        <v>#N/A</v>
      </c>
      <c r="AT488" s="1213" t="e">
        <f t="shared" ca="1" si="331"/>
        <v>#N/A</v>
      </c>
      <c r="AU488" s="1587">
        <f t="shared" si="332"/>
        <v>0</v>
      </c>
      <c r="AX488" s="1212" t="e">
        <f t="shared" ca="1" si="333"/>
        <v>#N/A</v>
      </c>
      <c r="AY488" s="1213" t="e">
        <f t="shared" ca="1" si="334"/>
        <v>#N/A</v>
      </c>
      <c r="AZ488" s="1587">
        <f t="shared" si="335"/>
        <v>0</v>
      </c>
      <c r="BC488" s="1212" t="e">
        <f t="shared" ca="1" si="336"/>
        <v>#N/A</v>
      </c>
      <c r="BD488" s="1213" t="e">
        <f t="shared" ca="1" si="337"/>
        <v>#N/A</v>
      </c>
      <c r="BE488" s="1587">
        <f t="shared" si="338"/>
        <v>0</v>
      </c>
      <c r="BH488" s="1212" t="e">
        <f t="shared" ca="1" si="339"/>
        <v>#N/A</v>
      </c>
      <c r="BI488" s="1213" t="e">
        <f t="shared" ca="1" si="340"/>
        <v>#N/A</v>
      </c>
      <c r="BJ488" s="1587">
        <f t="shared" si="341"/>
        <v>0</v>
      </c>
      <c r="BM488" s="1212" t="e">
        <f t="shared" ca="1" si="342"/>
        <v>#N/A</v>
      </c>
      <c r="BN488" s="1213" t="e">
        <f t="shared" ca="1" si="343"/>
        <v>#N/A</v>
      </c>
      <c r="BO488" s="1587">
        <f t="shared" si="344"/>
        <v>0</v>
      </c>
      <c r="BR488" s="1212" t="e">
        <f t="shared" ca="1" si="345"/>
        <v>#N/A</v>
      </c>
      <c r="BS488" s="1213" t="e">
        <f t="shared" ca="1" si="346"/>
        <v>#N/A</v>
      </c>
      <c r="BT488" s="1587">
        <f t="shared" si="347"/>
        <v>0</v>
      </c>
      <c r="BW488" s="1212" t="e">
        <f t="shared" ca="1" si="348"/>
        <v>#N/A</v>
      </c>
      <c r="BX488" s="1213" t="e">
        <f t="shared" ca="1" si="349"/>
        <v>#N/A</v>
      </c>
      <c r="BY488" s="1587">
        <f t="shared" si="350"/>
        <v>0</v>
      </c>
      <c r="CB488" s="1212" t="e">
        <f t="shared" ca="1" si="351"/>
        <v>#N/A</v>
      </c>
      <c r="CC488" s="1213" t="e">
        <f t="shared" ca="1" si="352"/>
        <v>#N/A</v>
      </c>
      <c r="CD488" s="1587">
        <f t="shared" si="353"/>
        <v>0</v>
      </c>
      <c r="CG488" s="1212" t="e">
        <f t="shared" ca="1" si="354"/>
        <v>#N/A</v>
      </c>
      <c r="CH488" s="1213" t="e">
        <f t="shared" ca="1" si="355"/>
        <v>#N/A</v>
      </c>
      <c r="CI488" s="1587">
        <f t="shared" si="356"/>
        <v>0</v>
      </c>
      <c r="CL488" s="1212" t="e">
        <f t="shared" ca="1" si="357"/>
        <v>#N/A</v>
      </c>
      <c r="CM488" s="1213" t="e">
        <f t="shared" ca="1" si="358"/>
        <v>#N/A</v>
      </c>
      <c r="CN488" s="1587">
        <f t="shared" si="359"/>
        <v>0</v>
      </c>
    </row>
    <row r="489" spans="1:92">
      <c r="A489" s="141">
        <f>'銀行-TSS'!A489</f>
        <v>0</v>
      </c>
      <c r="B489" s="151">
        <f ca="1">VLOOKUP(A489,'銀行-TSS'!A:B,2,FALSE)</f>
        <v>0</v>
      </c>
      <c r="C489" s="151" t="e">
        <f ca="1">VLOOKUP(B489,bond!B:C,2,FALSE)</f>
        <v>#N/A</v>
      </c>
      <c r="D489" s="95" t="e">
        <f>VLOOKUP(A489,'銀行-TSS'!A:C,3,FALSE)</f>
        <v>#N/A</v>
      </c>
      <c r="E489" s="90" t="e">
        <f ca="1">VLOOKUP(A489,'銀行-TSS'!A:G,7,FALSE)</f>
        <v>#N/A</v>
      </c>
      <c r="F489" s="202" t="e">
        <f ca="1">VLOOKUP(A489,'銀行-TSS'!A:H,8,FALSE)</f>
        <v>#N/A</v>
      </c>
      <c r="G489" s="96" t="e">
        <f ca="1">VLOOKUP(A489,'銀行-TSS'!A:K,11,FALSE)</f>
        <v>#N/A</v>
      </c>
      <c r="H489" s="1209" t="e">
        <f ca="1">VLOOKUP(A489,'銀行-TSS'!A:M,13,FALSE)</f>
        <v>#N/A</v>
      </c>
      <c r="I489" s="1213" t="e">
        <f ca="1">VLOOKUP(A489,'銀行-TSS'!A:N,14,FALSE)</f>
        <v>#N/A</v>
      </c>
      <c r="J489" s="1213" t="e">
        <f ca="1">VLOOKUP(A489,'銀行-TSS'!A:O,15,FALSE)</f>
        <v>#N/A</v>
      </c>
      <c r="K489" s="136" t="e">
        <f ca="1">VLOOKUP(A489,'銀行-TSS'!A:V,22,FALSE)</f>
        <v>#N/A</v>
      </c>
      <c r="L489" s="136" t="e">
        <f ca="1">VLOOKUP(A489,'銀行-TSS'!A:AK,37,FALSE)</f>
        <v>#N/A</v>
      </c>
      <c r="M489" s="136" t="str">
        <f ca="1">VLOOKUP(A489,'銀行-TSS'!A:AN,40,FALSE)</f>
        <v/>
      </c>
      <c r="N489" s="136" t="e">
        <f t="shared" ca="1" si="315"/>
        <v>#N/A</v>
      </c>
      <c r="O489" s="1213" t="e">
        <f t="shared" ca="1" si="316"/>
        <v>#N/A</v>
      </c>
      <c r="P489" s="1213" t="e">
        <f ca="1">IF(AND($O$1&gt;=O489,換券單檔!$D$13=D489),I489+INT(($O$1-O489)/N489)*J489,0)</f>
        <v>#N/A</v>
      </c>
      <c r="Q489" s="1213" t="e">
        <f t="shared" ca="1" si="317"/>
        <v>#N/A</v>
      </c>
      <c r="R489" s="1213">
        <f t="shared" si="318"/>
        <v>0</v>
      </c>
      <c r="S489" s="1213">
        <f t="shared" si="319"/>
        <v>0</v>
      </c>
      <c r="T489" s="136">
        <f>IF(OR(R489=0,A489=0),0,IF(AND(V489=TRUE,換券單檔!$D$13=D489),E489,0))</f>
        <v>0</v>
      </c>
      <c r="U489" s="861">
        <f>IF(OR(R489=0,A489=0),0,IF(AND(V489=TRUE,換券單檔!$D$13=D489),H489,0))</f>
        <v>0</v>
      </c>
      <c r="V489" s="136" t="e">
        <f ca="1">IF(OR(B489=換券單檔!$D$3,L489="無",M489&lt;&gt;"",K489="高資產",IFERROR(MATCH(B489,換券單檔!K:K,0),"N")&lt;&gt;"N"),FALSE,IF($V$1="All",TRUE,IF(K489=$V$1,TRUE,FALSE)))</f>
        <v>#N/A</v>
      </c>
      <c r="W489" s="136" t="e">
        <f ca="1">VLOOKUP(A489,'銀行-TSS'!A:AO,41,FALSE)</f>
        <v>#N/A</v>
      </c>
      <c r="X489" s="136" t="e">
        <f ca="1">VLOOKUP(A489,'銀行-TSS'!A:AP,42,FALSE)</f>
        <v>#N/A</v>
      </c>
      <c r="Y489" s="1220">
        <f t="shared" si="320"/>
        <v>0</v>
      </c>
      <c r="Z489" s="1220">
        <f t="shared" si="321"/>
        <v>0</v>
      </c>
      <c r="AA489" s="136">
        <f>IF(Z489&lt;=0,0,RANK(Z489,Z:Z)+COUNTIF($Z$3:$Z489,Z489)-1)</f>
        <v>0</v>
      </c>
      <c r="AB489" s="1211">
        <f t="shared" ca="1" si="322"/>
        <v>-14896.14</v>
      </c>
      <c r="AC489" s="136">
        <f ca="1">IF(AB489&lt;=0,0,RANK(AB489,AB:AB)+COUNTIF($AB$3:$AB489,AB489)-1)</f>
        <v>0</v>
      </c>
      <c r="AD489" s="1123">
        <f t="shared" si="323"/>
        <v>99999</v>
      </c>
      <c r="AE489" s="1123">
        <f>IF(AD489=99999,0,RANK(AD489,AD:AD,1)+COUNTIF($AD$3:$AD489,AD489)-1)</f>
        <v>0</v>
      </c>
      <c r="AF489" s="86" t="e">
        <f ca="1">IF(OR(M489&lt;&gt;"",L489="無",K489="高資產",IFERROR(MATCH(B489,換券單檔!K:K,0),"N")&lt;&gt;"N"),FALSE,TRUE)</f>
        <v>#N/A</v>
      </c>
      <c r="AI489" s="1212" t="e">
        <f t="shared" ca="1" si="324"/>
        <v>#N/A</v>
      </c>
      <c r="AJ489" s="1213" t="e">
        <f t="shared" ca="1" si="325"/>
        <v>#N/A</v>
      </c>
      <c r="AK489" s="1587">
        <f t="shared" si="326"/>
        <v>0</v>
      </c>
      <c r="AN489" s="1212" t="e">
        <f t="shared" ca="1" si="327"/>
        <v>#N/A</v>
      </c>
      <c r="AO489" s="1213" t="e">
        <f t="shared" ca="1" si="328"/>
        <v>#N/A</v>
      </c>
      <c r="AP489" s="1587">
        <f t="shared" si="329"/>
        <v>0</v>
      </c>
      <c r="AS489" s="1212" t="e">
        <f t="shared" ca="1" si="330"/>
        <v>#N/A</v>
      </c>
      <c r="AT489" s="1213" t="e">
        <f t="shared" ca="1" si="331"/>
        <v>#N/A</v>
      </c>
      <c r="AU489" s="1587">
        <f t="shared" si="332"/>
        <v>0</v>
      </c>
      <c r="AX489" s="1212" t="e">
        <f t="shared" ca="1" si="333"/>
        <v>#N/A</v>
      </c>
      <c r="AY489" s="1213" t="e">
        <f t="shared" ca="1" si="334"/>
        <v>#N/A</v>
      </c>
      <c r="AZ489" s="1587">
        <f t="shared" si="335"/>
        <v>0</v>
      </c>
      <c r="BC489" s="1212" t="e">
        <f t="shared" ca="1" si="336"/>
        <v>#N/A</v>
      </c>
      <c r="BD489" s="1213" t="e">
        <f t="shared" ca="1" si="337"/>
        <v>#N/A</v>
      </c>
      <c r="BE489" s="1587">
        <f t="shared" si="338"/>
        <v>0</v>
      </c>
      <c r="BH489" s="1212" t="e">
        <f t="shared" ca="1" si="339"/>
        <v>#N/A</v>
      </c>
      <c r="BI489" s="1213" t="e">
        <f t="shared" ca="1" si="340"/>
        <v>#N/A</v>
      </c>
      <c r="BJ489" s="1587">
        <f t="shared" si="341"/>
        <v>0</v>
      </c>
      <c r="BM489" s="1212" t="e">
        <f t="shared" ca="1" si="342"/>
        <v>#N/A</v>
      </c>
      <c r="BN489" s="1213" t="e">
        <f t="shared" ca="1" si="343"/>
        <v>#N/A</v>
      </c>
      <c r="BO489" s="1587">
        <f t="shared" si="344"/>
        <v>0</v>
      </c>
      <c r="BR489" s="1212" t="e">
        <f t="shared" ca="1" si="345"/>
        <v>#N/A</v>
      </c>
      <c r="BS489" s="1213" t="e">
        <f t="shared" ca="1" si="346"/>
        <v>#N/A</v>
      </c>
      <c r="BT489" s="1587">
        <f t="shared" si="347"/>
        <v>0</v>
      </c>
      <c r="BW489" s="1212" t="e">
        <f t="shared" ca="1" si="348"/>
        <v>#N/A</v>
      </c>
      <c r="BX489" s="1213" t="e">
        <f t="shared" ca="1" si="349"/>
        <v>#N/A</v>
      </c>
      <c r="BY489" s="1587">
        <f t="shared" si="350"/>
        <v>0</v>
      </c>
      <c r="CB489" s="1212" t="e">
        <f t="shared" ca="1" si="351"/>
        <v>#N/A</v>
      </c>
      <c r="CC489" s="1213" t="e">
        <f t="shared" ca="1" si="352"/>
        <v>#N/A</v>
      </c>
      <c r="CD489" s="1587">
        <f t="shared" si="353"/>
        <v>0</v>
      </c>
      <c r="CG489" s="1212" t="e">
        <f t="shared" ca="1" si="354"/>
        <v>#N/A</v>
      </c>
      <c r="CH489" s="1213" t="e">
        <f t="shared" ca="1" si="355"/>
        <v>#N/A</v>
      </c>
      <c r="CI489" s="1587">
        <f t="shared" si="356"/>
        <v>0</v>
      </c>
      <c r="CL489" s="1212" t="e">
        <f t="shared" ca="1" si="357"/>
        <v>#N/A</v>
      </c>
      <c r="CM489" s="1213" t="e">
        <f t="shared" ca="1" si="358"/>
        <v>#N/A</v>
      </c>
      <c r="CN489" s="1587">
        <f t="shared" si="359"/>
        <v>0</v>
      </c>
    </row>
    <row r="490" spans="1:92">
      <c r="A490" s="141">
        <f>'銀行-TSS'!A490</f>
        <v>0</v>
      </c>
      <c r="B490" s="151">
        <f ca="1">VLOOKUP(A490,'銀行-TSS'!A:B,2,FALSE)</f>
        <v>0</v>
      </c>
      <c r="C490" s="151" t="e">
        <f ca="1">VLOOKUP(B490,bond!B:C,2,FALSE)</f>
        <v>#N/A</v>
      </c>
      <c r="D490" s="95" t="e">
        <f>VLOOKUP(A490,'銀行-TSS'!A:C,3,FALSE)</f>
        <v>#N/A</v>
      </c>
      <c r="E490" s="90" t="e">
        <f ca="1">VLOOKUP(A490,'銀行-TSS'!A:G,7,FALSE)</f>
        <v>#N/A</v>
      </c>
      <c r="F490" s="202" t="e">
        <f ca="1">VLOOKUP(A490,'銀行-TSS'!A:H,8,FALSE)</f>
        <v>#N/A</v>
      </c>
      <c r="G490" s="96" t="e">
        <f ca="1">VLOOKUP(A490,'銀行-TSS'!A:K,11,FALSE)</f>
        <v>#N/A</v>
      </c>
      <c r="H490" s="1209" t="e">
        <f ca="1">VLOOKUP(A490,'銀行-TSS'!A:M,13,FALSE)</f>
        <v>#N/A</v>
      </c>
      <c r="I490" s="1213" t="e">
        <f ca="1">VLOOKUP(A490,'銀行-TSS'!A:N,14,FALSE)</f>
        <v>#N/A</v>
      </c>
      <c r="J490" s="1213" t="e">
        <f ca="1">VLOOKUP(A490,'銀行-TSS'!A:O,15,FALSE)</f>
        <v>#N/A</v>
      </c>
      <c r="K490" s="136" t="e">
        <f ca="1">VLOOKUP(A490,'銀行-TSS'!A:V,22,FALSE)</f>
        <v>#N/A</v>
      </c>
      <c r="L490" s="136" t="e">
        <f ca="1">VLOOKUP(A490,'銀行-TSS'!A:AK,37,FALSE)</f>
        <v>#N/A</v>
      </c>
      <c r="M490" s="136" t="str">
        <f ca="1">VLOOKUP(A490,'銀行-TSS'!A:AN,40,FALSE)</f>
        <v/>
      </c>
      <c r="N490" s="136" t="e">
        <f t="shared" ca="1" si="315"/>
        <v>#N/A</v>
      </c>
      <c r="O490" s="1213" t="e">
        <f t="shared" ca="1" si="316"/>
        <v>#N/A</v>
      </c>
      <c r="P490" s="1213" t="e">
        <f ca="1">IF(AND($O$1&gt;=O490,換券單檔!$D$13=D490),I490+INT(($O$1-O490)/N490)*J490,0)</f>
        <v>#N/A</v>
      </c>
      <c r="Q490" s="1213" t="e">
        <f t="shared" ca="1" si="317"/>
        <v>#N/A</v>
      </c>
      <c r="R490" s="1213">
        <f t="shared" si="318"/>
        <v>0</v>
      </c>
      <c r="S490" s="1213">
        <f t="shared" si="319"/>
        <v>0</v>
      </c>
      <c r="T490" s="136">
        <f>IF(OR(R490=0,A490=0),0,IF(AND(V490=TRUE,換券單檔!$D$13=D490),E490,0))</f>
        <v>0</v>
      </c>
      <c r="U490" s="861">
        <f>IF(OR(R490=0,A490=0),0,IF(AND(V490=TRUE,換券單檔!$D$13=D490),H490,0))</f>
        <v>0</v>
      </c>
      <c r="V490" s="136" t="e">
        <f ca="1">IF(OR(B490=換券單檔!$D$3,L490="無",M490&lt;&gt;"",K490="高資產",IFERROR(MATCH(B490,換券單檔!K:K,0),"N")&lt;&gt;"N"),FALSE,IF($V$1="All",TRUE,IF(K490=$V$1,TRUE,FALSE)))</f>
        <v>#N/A</v>
      </c>
      <c r="W490" s="136" t="e">
        <f ca="1">VLOOKUP(A490,'銀行-TSS'!A:AO,41,FALSE)</f>
        <v>#N/A</v>
      </c>
      <c r="X490" s="136" t="e">
        <f ca="1">VLOOKUP(A490,'銀行-TSS'!A:AP,42,FALSE)</f>
        <v>#N/A</v>
      </c>
      <c r="Y490" s="1220">
        <f t="shared" si="320"/>
        <v>0</v>
      </c>
      <c r="Z490" s="1220">
        <f t="shared" si="321"/>
        <v>0</v>
      </c>
      <c r="AA490" s="136">
        <f>IF(Z490&lt;=0,0,RANK(Z490,Z:Z)+COUNTIF($Z$3:$Z490,Z490)-1)</f>
        <v>0</v>
      </c>
      <c r="AB490" s="1211">
        <f t="shared" ca="1" si="322"/>
        <v>-14896.14</v>
      </c>
      <c r="AC490" s="136">
        <f ca="1">IF(AB490&lt;=0,0,RANK(AB490,AB:AB)+COUNTIF($AB$3:$AB490,AB490)-1)</f>
        <v>0</v>
      </c>
      <c r="AD490" s="1123">
        <f t="shared" si="323"/>
        <v>99999</v>
      </c>
      <c r="AE490" s="1123">
        <f>IF(AD490=99999,0,RANK(AD490,AD:AD,1)+COUNTIF($AD$3:$AD490,AD490)-1)</f>
        <v>0</v>
      </c>
      <c r="AF490" s="86" t="e">
        <f ca="1">IF(OR(M490&lt;&gt;"",L490="無",K490="高資產",IFERROR(MATCH(B490,換券單檔!K:K,0),"N")&lt;&gt;"N"),FALSE,TRUE)</f>
        <v>#N/A</v>
      </c>
      <c r="AI490" s="1212" t="e">
        <f t="shared" ca="1" si="324"/>
        <v>#N/A</v>
      </c>
      <c r="AJ490" s="1213" t="e">
        <f t="shared" ca="1" si="325"/>
        <v>#N/A</v>
      </c>
      <c r="AK490" s="1587">
        <f t="shared" si="326"/>
        <v>0</v>
      </c>
      <c r="AN490" s="1212" t="e">
        <f t="shared" ca="1" si="327"/>
        <v>#N/A</v>
      </c>
      <c r="AO490" s="1213" t="e">
        <f t="shared" ca="1" si="328"/>
        <v>#N/A</v>
      </c>
      <c r="AP490" s="1587">
        <f t="shared" si="329"/>
        <v>0</v>
      </c>
      <c r="AS490" s="1212" t="e">
        <f t="shared" ca="1" si="330"/>
        <v>#N/A</v>
      </c>
      <c r="AT490" s="1213" t="e">
        <f t="shared" ca="1" si="331"/>
        <v>#N/A</v>
      </c>
      <c r="AU490" s="1587">
        <f t="shared" si="332"/>
        <v>0</v>
      </c>
      <c r="AX490" s="1212" t="e">
        <f t="shared" ca="1" si="333"/>
        <v>#N/A</v>
      </c>
      <c r="AY490" s="1213" t="e">
        <f t="shared" ca="1" si="334"/>
        <v>#N/A</v>
      </c>
      <c r="AZ490" s="1587">
        <f t="shared" si="335"/>
        <v>0</v>
      </c>
      <c r="BC490" s="1212" t="e">
        <f t="shared" ca="1" si="336"/>
        <v>#N/A</v>
      </c>
      <c r="BD490" s="1213" t="e">
        <f t="shared" ca="1" si="337"/>
        <v>#N/A</v>
      </c>
      <c r="BE490" s="1587">
        <f t="shared" si="338"/>
        <v>0</v>
      </c>
      <c r="BH490" s="1212" t="e">
        <f t="shared" ca="1" si="339"/>
        <v>#N/A</v>
      </c>
      <c r="BI490" s="1213" t="e">
        <f t="shared" ca="1" si="340"/>
        <v>#N/A</v>
      </c>
      <c r="BJ490" s="1587">
        <f t="shared" si="341"/>
        <v>0</v>
      </c>
      <c r="BM490" s="1212" t="e">
        <f t="shared" ca="1" si="342"/>
        <v>#N/A</v>
      </c>
      <c r="BN490" s="1213" t="e">
        <f t="shared" ca="1" si="343"/>
        <v>#N/A</v>
      </c>
      <c r="BO490" s="1587">
        <f t="shared" si="344"/>
        <v>0</v>
      </c>
      <c r="BR490" s="1212" t="e">
        <f t="shared" ca="1" si="345"/>
        <v>#N/A</v>
      </c>
      <c r="BS490" s="1213" t="e">
        <f t="shared" ca="1" si="346"/>
        <v>#N/A</v>
      </c>
      <c r="BT490" s="1587">
        <f t="shared" si="347"/>
        <v>0</v>
      </c>
      <c r="BW490" s="1212" t="e">
        <f t="shared" ca="1" si="348"/>
        <v>#N/A</v>
      </c>
      <c r="BX490" s="1213" t="e">
        <f t="shared" ca="1" si="349"/>
        <v>#N/A</v>
      </c>
      <c r="BY490" s="1587">
        <f t="shared" si="350"/>
        <v>0</v>
      </c>
      <c r="CB490" s="1212" t="e">
        <f t="shared" ca="1" si="351"/>
        <v>#N/A</v>
      </c>
      <c r="CC490" s="1213" t="e">
        <f t="shared" ca="1" si="352"/>
        <v>#N/A</v>
      </c>
      <c r="CD490" s="1587">
        <f t="shared" si="353"/>
        <v>0</v>
      </c>
      <c r="CG490" s="1212" t="e">
        <f t="shared" ca="1" si="354"/>
        <v>#N/A</v>
      </c>
      <c r="CH490" s="1213" t="e">
        <f t="shared" ca="1" si="355"/>
        <v>#N/A</v>
      </c>
      <c r="CI490" s="1587">
        <f t="shared" si="356"/>
        <v>0</v>
      </c>
      <c r="CL490" s="1212" t="e">
        <f t="shared" ca="1" si="357"/>
        <v>#N/A</v>
      </c>
      <c r="CM490" s="1213" t="e">
        <f t="shared" ca="1" si="358"/>
        <v>#N/A</v>
      </c>
      <c r="CN490" s="1587">
        <f t="shared" si="359"/>
        <v>0</v>
      </c>
    </row>
    <row r="491" spans="1:92">
      <c r="A491" s="141">
        <f>'銀行-TSS'!A491</f>
        <v>0</v>
      </c>
      <c r="B491" s="151">
        <f ca="1">VLOOKUP(A491,'銀行-TSS'!A:B,2,FALSE)</f>
        <v>0</v>
      </c>
      <c r="C491" s="151" t="e">
        <f ca="1">VLOOKUP(B491,bond!B:C,2,FALSE)</f>
        <v>#N/A</v>
      </c>
      <c r="D491" s="95" t="e">
        <f>VLOOKUP(A491,'銀行-TSS'!A:C,3,FALSE)</f>
        <v>#N/A</v>
      </c>
      <c r="E491" s="90" t="e">
        <f ca="1">VLOOKUP(A491,'銀行-TSS'!A:G,7,FALSE)</f>
        <v>#N/A</v>
      </c>
      <c r="F491" s="202" t="e">
        <f ca="1">VLOOKUP(A491,'銀行-TSS'!A:H,8,FALSE)</f>
        <v>#N/A</v>
      </c>
      <c r="G491" s="96" t="e">
        <f ca="1">VLOOKUP(A491,'銀行-TSS'!A:K,11,FALSE)</f>
        <v>#N/A</v>
      </c>
      <c r="H491" s="1209" t="e">
        <f ca="1">VLOOKUP(A491,'銀行-TSS'!A:M,13,FALSE)</f>
        <v>#N/A</v>
      </c>
      <c r="I491" s="1213" t="e">
        <f ca="1">VLOOKUP(A491,'銀行-TSS'!A:N,14,FALSE)</f>
        <v>#N/A</v>
      </c>
      <c r="J491" s="1213" t="e">
        <f ca="1">VLOOKUP(A491,'銀行-TSS'!A:O,15,FALSE)</f>
        <v>#N/A</v>
      </c>
      <c r="K491" s="136" t="e">
        <f ca="1">VLOOKUP(A491,'銀行-TSS'!A:V,22,FALSE)</f>
        <v>#N/A</v>
      </c>
      <c r="L491" s="136" t="e">
        <f ca="1">VLOOKUP(A491,'銀行-TSS'!A:AK,37,FALSE)</f>
        <v>#N/A</v>
      </c>
      <c r="M491" s="136" t="str">
        <f ca="1">VLOOKUP(A491,'銀行-TSS'!A:AN,40,FALSE)</f>
        <v/>
      </c>
      <c r="N491" s="136" t="e">
        <f t="shared" ca="1" si="315"/>
        <v>#N/A</v>
      </c>
      <c r="O491" s="1213" t="e">
        <f t="shared" ca="1" si="316"/>
        <v>#N/A</v>
      </c>
      <c r="P491" s="1213" t="e">
        <f ca="1">IF(AND($O$1&gt;=O491,換券單檔!$D$13=D491),I491+INT(($O$1-O491)/N491)*J491,0)</f>
        <v>#N/A</v>
      </c>
      <c r="Q491" s="1213" t="e">
        <f t="shared" ca="1" si="317"/>
        <v>#N/A</v>
      </c>
      <c r="R491" s="1213">
        <f t="shared" si="318"/>
        <v>0</v>
      </c>
      <c r="S491" s="1213">
        <f t="shared" si="319"/>
        <v>0</v>
      </c>
      <c r="T491" s="136">
        <f>IF(OR(R491=0,A491=0),0,IF(AND(V491=TRUE,換券單檔!$D$13=D491),E491,0))</f>
        <v>0</v>
      </c>
      <c r="U491" s="861">
        <f>IF(OR(R491=0,A491=0),0,IF(AND(V491=TRUE,換券單檔!$D$13=D491),H491,0))</f>
        <v>0</v>
      </c>
      <c r="V491" s="136" t="e">
        <f ca="1">IF(OR(B491=換券單檔!$D$3,L491="無",M491&lt;&gt;"",K491="高資產",IFERROR(MATCH(B491,換券單檔!K:K,0),"N")&lt;&gt;"N"),FALSE,IF($V$1="All",TRUE,IF(K491=$V$1,TRUE,FALSE)))</f>
        <v>#N/A</v>
      </c>
      <c r="W491" s="136" t="e">
        <f ca="1">VLOOKUP(A491,'銀行-TSS'!A:AO,41,FALSE)</f>
        <v>#N/A</v>
      </c>
      <c r="X491" s="136" t="e">
        <f ca="1">VLOOKUP(A491,'銀行-TSS'!A:AP,42,FALSE)</f>
        <v>#N/A</v>
      </c>
      <c r="Y491" s="1220">
        <f t="shared" si="320"/>
        <v>0</v>
      </c>
      <c r="Z491" s="1220">
        <f t="shared" si="321"/>
        <v>0</v>
      </c>
      <c r="AA491" s="136">
        <f>IF(Z491&lt;=0,0,RANK(Z491,Z:Z)+COUNTIF($Z$3:$Z491,Z491)-1)</f>
        <v>0</v>
      </c>
      <c r="AB491" s="1211">
        <f t="shared" ca="1" si="322"/>
        <v>-14896.14</v>
      </c>
      <c r="AC491" s="136">
        <f ca="1">IF(AB491&lt;=0,0,RANK(AB491,AB:AB)+COUNTIF($AB$3:$AB491,AB491)-1)</f>
        <v>0</v>
      </c>
      <c r="AD491" s="1123">
        <f t="shared" si="323"/>
        <v>99999</v>
      </c>
      <c r="AE491" s="1123">
        <f>IF(AD491=99999,0,RANK(AD491,AD:AD,1)+COUNTIF($AD$3:$AD491,AD491)-1)</f>
        <v>0</v>
      </c>
      <c r="AF491" s="86" t="e">
        <f ca="1">IF(OR(M491&lt;&gt;"",L491="無",K491="高資產",IFERROR(MATCH(B491,換券單檔!K:K,0),"N")&lt;&gt;"N"),FALSE,TRUE)</f>
        <v>#N/A</v>
      </c>
      <c r="AI491" s="1212" t="e">
        <f t="shared" ca="1" si="324"/>
        <v>#N/A</v>
      </c>
      <c r="AJ491" s="1213" t="e">
        <f t="shared" ca="1" si="325"/>
        <v>#N/A</v>
      </c>
      <c r="AK491" s="1587">
        <f t="shared" si="326"/>
        <v>0</v>
      </c>
      <c r="AN491" s="1212" t="e">
        <f t="shared" ca="1" si="327"/>
        <v>#N/A</v>
      </c>
      <c r="AO491" s="1213" t="e">
        <f t="shared" ca="1" si="328"/>
        <v>#N/A</v>
      </c>
      <c r="AP491" s="1587">
        <f t="shared" si="329"/>
        <v>0</v>
      </c>
      <c r="AS491" s="1212" t="e">
        <f t="shared" ca="1" si="330"/>
        <v>#N/A</v>
      </c>
      <c r="AT491" s="1213" t="e">
        <f t="shared" ca="1" si="331"/>
        <v>#N/A</v>
      </c>
      <c r="AU491" s="1587">
        <f t="shared" si="332"/>
        <v>0</v>
      </c>
      <c r="AX491" s="1212" t="e">
        <f t="shared" ca="1" si="333"/>
        <v>#N/A</v>
      </c>
      <c r="AY491" s="1213" t="e">
        <f t="shared" ca="1" si="334"/>
        <v>#N/A</v>
      </c>
      <c r="AZ491" s="1587">
        <f t="shared" si="335"/>
        <v>0</v>
      </c>
      <c r="BC491" s="1212" t="e">
        <f t="shared" ca="1" si="336"/>
        <v>#N/A</v>
      </c>
      <c r="BD491" s="1213" t="e">
        <f t="shared" ca="1" si="337"/>
        <v>#N/A</v>
      </c>
      <c r="BE491" s="1587">
        <f t="shared" si="338"/>
        <v>0</v>
      </c>
      <c r="BH491" s="1212" t="e">
        <f t="shared" ca="1" si="339"/>
        <v>#N/A</v>
      </c>
      <c r="BI491" s="1213" t="e">
        <f t="shared" ca="1" si="340"/>
        <v>#N/A</v>
      </c>
      <c r="BJ491" s="1587">
        <f t="shared" si="341"/>
        <v>0</v>
      </c>
      <c r="BM491" s="1212" t="e">
        <f t="shared" ca="1" si="342"/>
        <v>#N/A</v>
      </c>
      <c r="BN491" s="1213" t="e">
        <f t="shared" ca="1" si="343"/>
        <v>#N/A</v>
      </c>
      <c r="BO491" s="1587">
        <f t="shared" si="344"/>
        <v>0</v>
      </c>
      <c r="BR491" s="1212" t="e">
        <f t="shared" ca="1" si="345"/>
        <v>#N/A</v>
      </c>
      <c r="BS491" s="1213" t="e">
        <f t="shared" ca="1" si="346"/>
        <v>#N/A</v>
      </c>
      <c r="BT491" s="1587">
        <f t="shared" si="347"/>
        <v>0</v>
      </c>
      <c r="BW491" s="1212" t="e">
        <f t="shared" ca="1" si="348"/>
        <v>#N/A</v>
      </c>
      <c r="BX491" s="1213" t="e">
        <f t="shared" ca="1" si="349"/>
        <v>#N/A</v>
      </c>
      <c r="BY491" s="1587">
        <f t="shared" si="350"/>
        <v>0</v>
      </c>
      <c r="CB491" s="1212" t="e">
        <f t="shared" ca="1" si="351"/>
        <v>#N/A</v>
      </c>
      <c r="CC491" s="1213" t="e">
        <f t="shared" ca="1" si="352"/>
        <v>#N/A</v>
      </c>
      <c r="CD491" s="1587">
        <f t="shared" si="353"/>
        <v>0</v>
      </c>
      <c r="CG491" s="1212" t="e">
        <f t="shared" ca="1" si="354"/>
        <v>#N/A</v>
      </c>
      <c r="CH491" s="1213" t="e">
        <f t="shared" ca="1" si="355"/>
        <v>#N/A</v>
      </c>
      <c r="CI491" s="1587">
        <f t="shared" si="356"/>
        <v>0</v>
      </c>
      <c r="CL491" s="1212" t="e">
        <f t="shared" ca="1" si="357"/>
        <v>#N/A</v>
      </c>
      <c r="CM491" s="1213" t="e">
        <f t="shared" ca="1" si="358"/>
        <v>#N/A</v>
      </c>
      <c r="CN491" s="1587">
        <f t="shared" si="359"/>
        <v>0</v>
      </c>
    </row>
    <row r="492" spans="1:92">
      <c r="A492" s="141">
        <f>'銀行-TSS'!A492</f>
        <v>0</v>
      </c>
      <c r="B492" s="151">
        <f ca="1">VLOOKUP(A492,'銀行-TSS'!A:B,2,FALSE)</f>
        <v>0</v>
      </c>
      <c r="C492" s="151" t="e">
        <f ca="1">VLOOKUP(B492,bond!B:C,2,FALSE)</f>
        <v>#N/A</v>
      </c>
      <c r="D492" s="95" t="e">
        <f>VLOOKUP(A492,'銀行-TSS'!A:C,3,FALSE)</f>
        <v>#N/A</v>
      </c>
      <c r="E492" s="90" t="e">
        <f ca="1">VLOOKUP(A492,'銀行-TSS'!A:G,7,FALSE)</f>
        <v>#N/A</v>
      </c>
      <c r="F492" s="202" t="e">
        <f ca="1">VLOOKUP(A492,'銀行-TSS'!A:H,8,FALSE)</f>
        <v>#N/A</v>
      </c>
      <c r="G492" s="96" t="e">
        <f ca="1">VLOOKUP(A492,'銀行-TSS'!A:K,11,FALSE)</f>
        <v>#N/A</v>
      </c>
      <c r="H492" s="1209" t="e">
        <f ca="1">VLOOKUP(A492,'銀行-TSS'!A:M,13,FALSE)</f>
        <v>#N/A</v>
      </c>
      <c r="I492" s="1213" t="e">
        <f ca="1">VLOOKUP(A492,'銀行-TSS'!A:N,14,FALSE)</f>
        <v>#N/A</v>
      </c>
      <c r="J492" s="1213" t="e">
        <f ca="1">VLOOKUP(A492,'銀行-TSS'!A:O,15,FALSE)</f>
        <v>#N/A</v>
      </c>
      <c r="K492" s="136" t="e">
        <f ca="1">VLOOKUP(A492,'銀行-TSS'!A:V,22,FALSE)</f>
        <v>#N/A</v>
      </c>
      <c r="L492" s="136" t="e">
        <f ca="1">VLOOKUP(A492,'銀行-TSS'!A:AK,37,FALSE)</f>
        <v>#N/A</v>
      </c>
      <c r="M492" s="136" t="str">
        <f ca="1">VLOOKUP(A492,'銀行-TSS'!A:AN,40,FALSE)</f>
        <v/>
      </c>
      <c r="N492" s="136" t="e">
        <f t="shared" ca="1" si="315"/>
        <v>#N/A</v>
      </c>
      <c r="O492" s="1213" t="e">
        <f t="shared" ca="1" si="316"/>
        <v>#N/A</v>
      </c>
      <c r="P492" s="1213" t="e">
        <f ca="1">IF(AND($O$1&gt;=O492,換券單檔!$D$13=D492),I492+INT(($O$1-O492)/N492)*J492,0)</f>
        <v>#N/A</v>
      </c>
      <c r="Q492" s="1213" t="e">
        <f t="shared" ca="1" si="317"/>
        <v>#N/A</v>
      </c>
      <c r="R492" s="1213">
        <f t="shared" si="318"/>
        <v>0</v>
      </c>
      <c r="S492" s="1213">
        <f t="shared" si="319"/>
        <v>0</v>
      </c>
      <c r="T492" s="136">
        <f>IF(OR(R492=0,A492=0),0,IF(AND(V492=TRUE,換券單檔!$D$13=D492),E492,0))</f>
        <v>0</v>
      </c>
      <c r="U492" s="861">
        <f>IF(OR(R492=0,A492=0),0,IF(AND(V492=TRUE,換券單檔!$D$13=D492),H492,0))</f>
        <v>0</v>
      </c>
      <c r="V492" s="136" t="e">
        <f ca="1">IF(OR(B492=換券單檔!$D$3,L492="無",M492&lt;&gt;"",K492="高資產",IFERROR(MATCH(B492,換券單檔!K:K,0),"N")&lt;&gt;"N"),FALSE,IF($V$1="All",TRUE,IF(K492=$V$1,TRUE,FALSE)))</f>
        <v>#N/A</v>
      </c>
      <c r="W492" s="136" t="e">
        <f ca="1">VLOOKUP(A492,'銀行-TSS'!A:AO,41,FALSE)</f>
        <v>#N/A</v>
      </c>
      <c r="X492" s="136" t="e">
        <f ca="1">VLOOKUP(A492,'銀行-TSS'!A:AP,42,FALSE)</f>
        <v>#N/A</v>
      </c>
      <c r="Y492" s="1220">
        <f t="shared" si="320"/>
        <v>0</v>
      </c>
      <c r="Z492" s="1220">
        <f t="shared" si="321"/>
        <v>0</v>
      </c>
      <c r="AA492" s="136">
        <f>IF(Z492&lt;=0,0,RANK(Z492,Z:Z)+COUNTIF($Z$3:$Z492,Z492)-1)</f>
        <v>0</v>
      </c>
      <c r="AB492" s="1211">
        <f t="shared" ca="1" si="322"/>
        <v>-14896.14</v>
      </c>
      <c r="AC492" s="136">
        <f ca="1">IF(AB492&lt;=0,0,RANK(AB492,AB:AB)+COUNTIF($AB$3:$AB492,AB492)-1)</f>
        <v>0</v>
      </c>
      <c r="AD492" s="1123">
        <f t="shared" si="323"/>
        <v>99999</v>
      </c>
      <c r="AE492" s="1123">
        <f>IF(AD492=99999,0,RANK(AD492,AD:AD,1)+COUNTIF($AD$3:$AD492,AD492)-1)</f>
        <v>0</v>
      </c>
      <c r="AF492" s="86" t="e">
        <f ca="1">IF(OR(M492&lt;&gt;"",L492="無",K492="高資產",IFERROR(MATCH(B492,換券單檔!K:K,0),"N")&lt;&gt;"N"),FALSE,TRUE)</f>
        <v>#N/A</v>
      </c>
      <c r="AI492" s="1212" t="e">
        <f t="shared" ca="1" si="324"/>
        <v>#N/A</v>
      </c>
      <c r="AJ492" s="1213" t="e">
        <f t="shared" ca="1" si="325"/>
        <v>#N/A</v>
      </c>
      <c r="AK492" s="1587">
        <f t="shared" si="326"/>
        <v>0</v>
      </c>
      <c r="AN492" s="1212" t="e">
        <f t="shared" ca="1" si="327"/>
        <v>#N/A</v>
      </c>
      <c r="AO492" s="1213" t="e">
        <f t="shared" ca="1" si="328"/>
        <v>#N/A</v>
      </c>
      <c r="AP492" s="1587">
        <f t="shared" si="329"/>
        <v>0</v>
      </c>
      <c r="AS492" s="1212" t="e">
        <f t="shared" ca="1" si="330"/>
        <v>#N/A</v>
      </c>
      <c r="AT492" s="1213" t="e">
        <f t="shared" ca="1" si="331"/>
        <v>#N/A</v>
      </c>
      <c r="AU492" s="1587">
        <f t="shared" si="332"/>
        <v>0</v>
      </c>
      <c r="AX492" s="1212" t="e">
        <f t="shared" ca="1" si="333"/>
        <v>#N/A</v>
      </c>
      <c r="AY492" s="1213" t="e">
        <f t="shared" ca="1" si="334"/>
        <v>#N/A</v>
      </c>
      <c r="AZ492" s="1587">
        <f t="shared" si="335"/>
        <v>0</v>
      </c>
      <c r="BC492" s="1212" t="e">
        <f t="shared" ca="1" si="336"/>
        <v>#N/A</v>
      </c>
      <c r="BD492" s="1213" t="e">
        <f t="shared" ca="1" si="337"/>
        <v>#N/A</v>
      </c>
      <c r="BE492" s="1587">
        <f t="shared" si="338"/>
        <v>0</v>
      </c>
      <c r="BH492" s="1212" t="e">
        <f t="shared" ca="1" si="339"/>
        <v>#N/A</v>
      </c>
      <c r="BI492" s="1213" t="e">
        <f t="shared" ca="1" si="340"/>
        <v>#N/A</v>
      </c>
      <c r="BJ492" s="1587">
        <f t="shared" si="341"/>
        <v>0</v>
      </c>
      <c r="BM492" s="1212" t="e">
        <f t="shared" ca="1" si="342"/>
        <v>#N/A</v>
      </c>
      <c r="BN492" s="1213" t="e">
        <f t="shared" ca="1" si="343"/>
        <v>#N/A</v>
      </c>
      <c r="BO492" s="1587">
        <f t="shared" si="344"/>
        <v>0</v>
      </c>
      <c r="BR492" s="1212" t="e">
        <f t="shared" ca="1" si="345"/>
        <v>#N/A</v>
      </c>
      <c r="BS492" s="1213" t="e">
        <f t="shared" ca="1" si="346"/>
        <v>#N/A</v>
      </c>
      <c r="BT492" s="1587">
        <f t="shared" si="347"/>
        <v>0</v>
      </c>
      <c r="BW492" s="1212" t="e">
        <f t="shared" ca="1" si="348"/>
        <v>#N/A</v>
      </c>
      <c r="BX492" s="1213" t="e">
        <f t="shared" ca="1" si="349"/>
        <v>#N/A</v>
      </c>
      <c r="BY492" s="1587">
        <f t="shared" si="350"/>
        <v>0</v>
      </c>
      <c r="CB492" s="1212" t="e">
        <f t="shared" ca="1" si="351"/>
        <v>#N/A</v>
      </c>
      <c r="CC492" s="1213" t="e">
        <f t="shared" ca="1" si="352"/>
        <v>#N/A</v>
      </c>
      <c r="CD492" s="1587">
        <f t="shared" si="353"/>
        <v>0</v>
      </c>
      <c r="CG492" s="1212" t="e">
        <f t="shared" ca="1" si="354"/>
        <v>#N/A</v>
      </c>
      <c r="CH492" s="1213" t="e">
        <f t="shared" ca="1" si="355"/>
        <v>#N/A</v>
      </c>
      <c r="CI492" s="1587">
        <f t="shared" si="356"/>
        <v>0</v>
      </c>
      <c r="CL492" s="1212" t="e">
        <f t="shared" ca="1" si="357"/>
        <v>#N/A</v>
      </c>
      <c r="CM492" s="1213" t="e">
        <f t="shared" ca="1" si="358"/>
        <v>#N/A</v>
      </c>
      <c r="CN492" s="1587">
        <f t="shared" si="359"/>
        <v>0</v>
      </c>
    </row>
    <row r="493" spans="1:92">
      <c r="A493" s="141">
        <f>'銀行-TSS'!A493</f>
        <v>0</v>
      </c>
      <c r="B493" s="151">
        <f ca="1">VLOOKUP(A493,'銀行-TSS'!A:B,2,FALSE)</f>
        <v>0</v>
      </c>
      <c r="C493" s="151" t="e">
        <f ca="1">VLOOKUP(B493,bond!B:C,2,FALSE)</f>
        <v>#N/A</v>
      </c>
      <c r="D493" s="95" t="e">
        <f>VLOOKUP(A493,'銀行-TSS'!A:C,3,FALSE)</f>
        <v>#N/A</v>
      </c>
      <c r="E493" s="90" t="e">
        <f ca="1">VLOOKUP(A493,'銀行-TSS'!A:G,7,FALSE)</f>
        <v>#N/A</v>
      </c>
      <c r="F493" s="202" t="e">
        <f ca="1">VLOOKUP(A493,'銀行-TSS'!A:H,8,FALSE)</f>
        <v>#N/A</v>
      </c>
      <c r="G493" s="96" t="e">
        <f ca="1">VLOOKUP(A493,'銀行-TSS'!A:K,11,FALSE)</f>
        <v>#N/A</v>
      </c>
      <c r="H493" s="1209" t="e">
        <f ca="1">VLOOKUP(A493,'銀行-TSS'!A:M,13,FALSE)</f>
        <v>#N/A</v>
      </c>
      <c r="I493" s="1213" t="e">
        <f ca="1">VLOOKUP(A493,'銀行-TSS'!A:N,14,FALSE)</f>
        <v>#N/A</v>
      </c>
      <c r="J493" s="1213" t="e">
        <f ca="1">VLOOKUP(A493,'銀行-TSS'!A:O,15,FALSE)</f>
        <v>#N/A</v>
      </c>
      <c r="K493" s="136" t="e">
        <f ca="1">VLOOKUP(A493,'銀行-TSS'!A:V,22,FALSE)</f>
        <v>#N/A</v>
      </c>
      <c r="L493" s="136" t="e">
        <f ca="1">VLOOKUP(A493,'銀行-TSS'!A:AK,37,FALSE)</f>
        <v>#N/A</v>
      </c>
      <c r="M493" s="136" t="str">
        <f ca="1">VLOOKUP(A493,'銀行-TSS'!A:AN,40,FALSE)</f>
        <v/>
      </c>
      <c r="N493" s="136" t="e">
        <f t="shared" ca="1" si="315"/>
        <v>#N/A</v>
      </c>
      <c r="O493" s="1213" t="e">
        <f t="shared" ca="1" si="316"/>
        <v>#N/A</v>
      </c>
      <c r="P493" s="1213" t="e">
        <f ca="1">IF(AND($O$1&gt;=O493,換券單檔!$D$13=D493),I493+INT(($O$1-O493)/N493)*J493,0)</f>
        <v>#N/A</v>
      </c>
      <c r="Q493" s="1213" t="e">
        <f t="shared" ca="1" si="317"/>
        <v>#N/A</v>
      </c>
      <c r="R493" s="1213">
        <f t="shared" si="318"/>
        <v>0</v>
      </c>
      <c r="S493" s="1213">
        <f t="shared" si="319"/>
        <v>0</v>
      </c>
      <c r="T493" s="136">
        <f>IF(OR(R493=0,A493=0),0,IF(AND(V493=TRUE,換券單檔!$D$13=D493),E493,0))</f>
        <v>0</v>
      </c>
      <c r="U493" s="861">
        <f>IF(OR(R493=0,A493=0),0,IF(AND(V493=TRUE,換券單檔!$D$13=D493),H493,0))</f>
        <v>0</v>
      </c>
      <c r="V493" s="136" t="e">
        <f ca="1">IF(OR(B493=換券單檔!$D$3,L493="無",M493&lt;&gt;"",K493="高資產",IFERROR(MATCH(B493,換券單檔!K:K,0),"N")&lt;&gt;"N"),FALSE,IF($V$1="All",TRUE,IF(K493=$V$1,TRUE,FALSE)))</f>
        <v>#N/A</v>
      </c>
      <c r="W493" s="136" t="e">
        <f ca="1">VLOOKUP(A493,'銀行-TSS'!A:AO,41,FALSE)</f>
        <v>#N/A</v>
      </c>
      <c r="X493" s="136" t="e">
        <f ca="1">VLOOKUP(A493,'銀行-TSS'!A:AP,42,FALSE)</f>
        <v>#N/A</v>
      </c>
      <c r="Y493" s="1220">
        <f t="shared" si="320"/>
        <v>0</v>
      </c>
      <c r="Z493" s="1220">
        <f t="shared" si="321"/>
        <v>0</v>
      </c>
      <c r="AA493" s="136">
        <f>IF(Z493&lt;=0,0,RANK(Z493,Z:Z)+COUNTIF($Z$3:$Z493,Z493)-1)</f>
        <v>0</v>
      </c>
      <c r="AB493" s="1211">
        <f t="shared" ca="1" si="322"/>
        <v>-14896.14</v>
      </c>
      <c r="AC493" s="136">
        <f ca="1">IF(AB493&lt;=0,0,RANK(AB493,AB:AB)+COUNTIF($AB$3:$AB493,AB493)-1)</f>
        <v>0</v>
      </c>
      <c r="AD493" s="1123">
        <f t="shared" si="323"/>
        <v>99999</v>
      </c>
      <c r="AE493" s="1123">
        <f>IF(AD493=99999,0,RANK(AD493,AD:AD,1)+COUNTIF($AD$3:$AD493,AD493)-1)</f>
        <v>0</v>
      </c>
      <c r="AF493" s="86" t="e">
        <f ca="1">IF(OR(M493&lt;&gt;"",L493="無",K493="高資產",IFERROR(MATCH(B493,換券單檔!K:K,0),"N")&lt;&gt;"N"),FALSE,TRUE)</f>
        <v>#N/A</v>
      </c>
      <c r="AI493" s="1212" t="e">
        <f t="shared" ca="1" si="324"/>
        <v>#N/A</v>
      </c>
      <c r="AJ493" s="1213" t="e">
        <f t="shared" ca="1" si="325"/>
        <v>#N/A</v>
      </c>
      <c r="AK493" s="1587">
        <f t="shared" si="326"/>
        <v>0</v>
      </c>
      <c r="AN493" s="1212" t="e">
        <f t="shared" ca="1" si="327"/>
        <v>#N/A</v>
      </c>
      <c r="AO493" s="1213" t="e">
        <f t="shared" ca="1" si="328"/>
        <v>#N/A</v>
      </c>
      <c r="AP493" s="1587">
        <f t="shared" si="329"/>
        <v>0</v>
      </c>
      <c r="AS493" s="1212" t="e">
        <f t="shared" ca="1" si="330"/>
        <v>#N/A</v>
      </c>
      <c r="AT493" s="1213" t="e">
        <f t="shared" ca="1" si="331"/>
        <v>#N/A</v>
      </c>
      <c r="AU493" s="1587">
        <f t="shared" si="332"/>
        <v>0</v>
      </c>
      <c r="AX493" s="1212" t="e">
        <f t="shared" ca="1" si="333"/>
        <v>#N/A</v>
      </c>
      <c r="AY493" s="1213" t="e">
        <f t="shared" ca="1" si="334"/>
        <v>#N/A</v>
      </c>
      <c r="AZ493" s="1587">
        <f t="shared" si="335"/>
        <v>0</v>
      </c>
      <c r="BC493" s="1212" t="e">
        <f t="shared" ca="1" si="336"/>
        <v>#N/A</v>
      </c>
      <c r="BD493" s="1213" t="e">
        <f t="shared" ca="1" si="337"/>
        <v>#N/A</v>
      </c>
      <c r="BE493" s="1587">
        <f t="shared" si="338"/>
        <v>0</v>
      </c>
      <c r="BH493" s="1212" t="e">
        <f t="shared" ca="1" si="339"/>
        <v>#N/A</v>
      </c>
      <c r="BI493" s="1213" t="e">
        <f t="shared" ca="1" si="340"/>
        <v>#N/A</v>
      </c>
      <c r="BJ493" s="1587">
        <f t="shared" si="341"/>
        <v>0</v>
      </c>
      <c r="BM493" s="1212" t="e">
        <f t="shared" ca="1" si="342"/>
        <v>#N/A</v>
      </c>
      <c r="BN493" s="1213" t="e">
        <f t="shared" ca="1" si="343"/>
        <v>#N/A</v>
      </c>
      <c r="BO493" s="1587">
        <f t="shared" si="344"/>
        <v>0</v>
      </c>
      <c r="BR493" s="1212" t="e">
        <f t="shared" ca="1" si="345"/>
        <v>#N/A</v>
      </c>
      <c r="BS493" s="1213" t="e">
        <f t="shared" ca="1" si="346"/>
        <v>#N/A</v>
      </c>
      <c r="BT493" s="1587">
        <f t="shared" si="347"/>
        <v>0</v>
      </c>
      <c r="BW493" s="1212" t="e">
        <f t="shared" ca="1" si="348"/>
        <v>#N/A</v>
      </c>
      <c r="BX493" s="1213" t="e">
        <f t="shared" ca="1" si="349"/>
        <v>#N/A</v>
      </c>
      <c r="BY493" s="1587">
        <f t="shared" si="350"/>
        <v>0</v>
      </c>
      <c r="CB493" s="1212" t="e">
        <f t="shared" ca="1" si="351"/>
        <v>#N/A</v>
      </c>
      <c r="CC493" s="1213" t="e">
        <f t="shared" ca="1" si="352"/>
        <v>#N/A</v>
      </c>
      <c r="CD493" s="1587">
        <f t="shared" si="353"/>
        <v>0</v>
      </c>
      <c r="CG493" s="1212" t="e">
        <f t="shared" ca="1" si="354"/>
        <v>#N/A</v>
      </c>
      <c r="CH493" s="1213" t="e">
        <f t="shared" ca="1" si="355"/>
        <v>#N/A</v>
      </c>
      <c r="CI493" s="1587">
        <f t="shared" si="356"/>
        <v>0</v>
      </c>
      <c r="CL493" s="1212" t="e">
        <f t="shared" ca="1" si="357"/>
        <v>#N/A</v>
      </c>
      <c r="CM493" s="1213" t="e">
        <f t="shared" ca="1" si="358"/>
        <v>#N/A</v>
      </c>
      <c r="CN493" s="1587">
        <f t="shared" si="359"/>
        <v>0</v>
      </c>
    </row>
    <row r="494" spans="1:92">
      <c r="A494" s="141">
        <f>'銀行-TSS'!A494</f>
        <v>0</v>
      </c>
      <c r="B494" s="151">
        <f ca="1">VLOOKUP(A494,'銀行-TSS'!A:B,2,FALSE)</f>
        <v>0</v>
      </c>
      <c r="C494" s="151" t="e">
        <f ca="1">VLOOKUP(B494,bond!B:C,2,FALSE)</f>
        <v>#N/A</v>
      </c>
      <c r="D494" s="95" t="e">
        <f>VLOOKUP(A494,'銀行-TSS'!A:C,3,FALSE)</f>
        <v>#N/A</v>
      </c>
      <c r="E494" s="90" t="e">
        <f ca="1">VLOOKUP(A494,'銀行-TSS'!A:G,7,FALSE)</f>
        <v>#N/A</v>
      </c>
      <c r="F494" s="202" t="e">
        <f ca="1">VLOOKUP(A494,'銀行-TSS'!A:H,8,FALSE)</f>
        <v>#N/A</v>
      </c>
      <c r="G494" s="96" t="e">
        <f ca="1">VLOOKUP(A494,'銀行-TSS'!A:K,11,FALSE)</f>
        <v>#N/A</v>
      </c>
      <c r="H494" s="1209" t="e">
        <f ca="1">VLOOKUP(A494,'銀行-TSS'!A:M,13,FALSE)</f>
        <v>#N/A</v>
      </c>
      <c r="I494" s="1213" t="e">
        <f ca="1">VLOOKUP(A494,'銀行-TSS'!A:N,14,FALSE)</f>
        <v>#N/A</v>
      </c>
      <c r="J494" s="1213" t="e">
        <f ca="1">VLOOKUP(A494,'銀行-TSS'!A:O,15,FALSE)</f>
        <v>#N/A</v>
      </c>
      <c r="K494" s="136" t="e">
        <f ca="1">VLOOKUP(A494,'銀行-TSS'!A:V,22,FALSE)</f>
        <v>#N/A</v>
      </c>
      <c r="L494" s="136" t="e">
        <f ca="1">VLOOKUP(A494,'銀行-TSS'!A:AK,37,FALSE)</f>
        <v>#N/A</v>
      </c>
      <c r="M494" s="136" t="str">
        <f ca="1">VLOOKUP(A494,'銀行-TSS'!A:AN,40,FALSE)</f>
        <v/>
      </c>
      <c r="N494" s="136" t="e">
        <f t="shared" ca="1" si="315"/>
        <v>#N/A</v>
      </c>
      <c r="O494" s="1213" t="e">
        <f t="shared" ca="1" si="316"/>
        <v>#N/A</v>
      </c>
      <c r="P494" s="1213" t="e">
        <f ca="1">IF(AND($O$1&gt;=O494,換券單檔!$D$13=D494),I494+INT(($O$1-O494)/N494)*J494,0)</f>
        <v>#N/A</v>
      </c>
      <c r="Q494" s="1213" t="e">
        <f t="shared" ca="1" si="317"/>
        <v>#N/A</v>
      </c>
      <c r="R494" s="1213">
        <f t="shared" si="318"/>
        <v>0</v>
      </c>
      <c r="S494" s="1213">
        <f t="shared" si="319"/>
        <v>0</v>
      </c>
      <c r="T494" s="136">
        <f>IF(OR(R494=0,A494=0),0,IF(AND(V494=TRUE,換券單檔!$D$13=D494),E494,0))</f>
        <v>0</v>
      </c>
      <c r="U494" s="861">
        <f>IF(OR(R494=0,A494=0),0,IF(AND(V494=TRUE,換券單檔!$D$13=D494),H494,0))</f>
        <v>0</v>
      </c>
      <c r="V494" s="136" t="e">
        <f ca="1">IF(OR(B494=換券單檔!$D$3,L494="無",M494&lt;&gt;"",K494="高資產",IFERROR(MATCH(B494,換券單檔!K:K,0),"N")&lt;&gt;"N"),FALSE,IF($V$1="All",TRUE,IF(K494=$V$1,TRUE,FALSE)))</f>
        <v>#N/A</v>
      </c>
      <c r="W494" s="136" t="e">
        <f ca="1">VLOOKUP(A494,'銀行-TSS'!A:AO,41,FALSE)</f>
        <v>#N/A</v>
      </c>
      <c r="X494" s="136" t="e">
        <f ca="1">VLOOKUP(A494,'銀行-TSS'!A:AP,42,FALSE)</f>
        <v>#N/A</v>
      </c>
      <c r="Y494" s="1220">
        <f t="shared" si="320"/>
        <v>0</v>
      </c>
      <c r="Z494" s="1220">
        <f t="shared" si="321"/>
        <v>0</v>
      </c>
      <c r="AA494" s="136">
        <f>IF(Z494&lt;=0,0,RANK(Z494,Z:Z)+COUNTIF($Z$3:$Z494,Z494)-1)</f>
        <v>0</v>
      </c>
      <c r="AB494" s="1211">
        <f t="shared" ca="1" si="322"/>
        <v>-14896.14</v>
      </c>
      <c r="AC494" s="136">
        <f ca="1">IF(AB494&lt;=0,0,RANK(AB494,AB:AB)+COUNTIF($AB$3:$AB494,AB494)-1)</f>
        <v>0</v>
      </c>
      <c r="AD494" s="1123">
        <f t="shared" si="323"/>
        <v>99999</v>
      </c>
      <c r="AE494" s="1123">
        <f>IF(AD494=99999,0,RANK(AD494,AD:AD,1)+COUNTIF($AD$3:$AD494,AD494)-1)</f>
        <v>0</v>
      </c>
      <c r="AF494" s="86" t="e">
        <f ca="1">IF(OR(M494&lt;&gt;"",L494="無",K494="高資產",IFERROR(MATCH(B494,換券單檔!K:K,0),"N")&lt;&gt;"N"),FALSE,TRUE)</f>
        <v>#N/A</v>
      </c>
      <c r="AI494" s="1212" t="e">
        <f t="shared" ca="1" si="324"/>
        <v>#N/A</v>
      </c>
      <c r="AJ494" s="1213" t="e">
        <f t="shared" ca="1" si="325"/>
        <v>#N/A</v>
      </c>
      <c r="AK494" s="1587">
        <f t="shared" si="326"/>
        <v>0</v>
      </c>
      <c r="AN494" s="1212" t="e">
        <f t="shared" ca="1" si="327"/>
        <v>#N/A</v>
      </c>
      <c r="AO494" s="1213" t="e">
        <f t="shared" ca="1" si="328"/>
        <v>#N/A</v>
      </c>
      <c r="AP494" s="1587">
        <f t="shared" si="329"/>
        <v>0</v>
      </c>
      <c r="AS494" s="1212" t="e">
        <f t="shared" ca="1" si="330"/>
        <v>#N/A</v>
      </c>
      <c r="AT494" s="1213" t="e">
        <f t="shared" ca="1" si="331"/>
        <v>#N/A</v>
      </c>
      <c r="AU494" s="1587">
        <f t="shared" si="332"/>
        <v>0</v>
      </c>
      <c r="AX494" s="1212" t="e">
        <f t="shared" ca="1" si="333"/>
        <v>#N/A</v>
      </c>
      <c r="AY494" s="1213" t="e">
        <f t="shared" ca="1" si="334"/>
        <v>#N/A</v>
      </c>
      <c r="AZ494" s="1587">
        <f t="shared" si="335"/>
        <v>0</v>
      </c>
      <c r="BC494" s="1212" t="e">
        <f t="shared" ca="1" si="336"/>
        <v>#N/A</v>
      </c>
      <c r="BD494" s="1213" t="e">
        <f t="shared" ca="1" si="337"/>
        <v>#N/A</v>
      </c>
      <c r="BE494" s="1587">
        <f t="shared" si="338"/>
        <v>0</v>
      </c>
      <c r="BH494" s="1212" t="e">
        <f t="shared" ca="1" si="339"/>
        <v>#N/A</v>
      </c>
      <c r="BI494" s="1213" t="e">
        <f t="shared" ca="1" si="340"/>
        <v>#N/A</v>
      </c>
      <c r="BJ494" s="1587">
        <f t="shared" si="341"/>
        <v>0</v>
      </c>
      <c r="BM494" s="1212" t="e">
        <f t="shared" ca="1" si="342"/>
        <v>#N/A</v>
      </c>
      <c r="BN494" s="1213" t="e">
        <f t="shared" ca="1" si="343"/>
        <v>#N/A</v>
      </c>
      <c r="BO494" s="1587">
        <f t="shared" si="344"/>
        <v>0</v>
      </c>
      <c r="BR494" s="1212" t="e">
        <f t="shared" ca="1" si="345"/>
        <v>#N/A</v>
      </c>
      <c r="BS494" s="1213" t="e">
        <f t="shared" ca="1" si="346"/>
        <v>#N/A</v>
      </c>
      <c r="BT494" s="1587">
        <f t="shared" si="347"/>
        <v>0</v>
      </c>
      <c r="BW494" s="1212" t="e">
        <f t="shared" ca="1" si="348"/>
        <v>#N/A</v>
      </c>
      <c r="BX494" s="1213" t="e">
        <f t="shared" ca="1" si="349"/>
        <v>#N/A</v>
      </c>
      <c r="BY494" s="1587">
        <f t="shared" si="350"/>
        <v>0</v>
      </c>
      <c r="CB494" s="1212" t="e">
        <f t="shared" ca="1" si="351"/>
        <v>#N/A</v>
      </c>
      <c r="CC494" s="1213" t="e">
        <f t="shared" ca="1" si="352"/>
        <v>#N/A</v>
      </c>
      <c r="CD494" s="1587">
        <f t="shared" si="353"/>
        <v>0</v>
      </c>
      <c r="CG494" s="1212" t="e">
        <f t="shared" ca="1" si="354"/>
        <v>#N/A</v>
      </c>
      <c r="CH494" s="1213" t="e">
        <f t="shared" ca="1" si="355"/>
        <v>#N/A</v>
      </c>
      <c r="CI494" s="1587">
        <f t="shared" si="356"/>
        <v>0</v>
      </c>
      <c r="CL494" s="1212" t="e">
        <f t="shared" ca="1" si="357"/>
        <v>#N/A</v>
      </c>
      <c r="CM494" s="1213" t="e">
        <f t="shared" ca="1" si="358"/>
        <v>#N/A</v>
      </c>
      <c r="CN494" s="1587">
        <f t="shared" si="359"/>
        <v>0</v>
      </c>
    </row>
    <row r="495" spans="1:92">
      <c r="A495" s="141">
        <f>'銀行-TSS'!A495</f>
        <v>0</v>
      </c>
      <c r="B495" s="151">
        <f ca="1">VLOOKUP(A495,'銀行-TSS'!A:B,2,FALSE)</f>
        <v>0</v>
      </c>
      <c r="C495" s="151" t="e">
        <f ca="1">VLOOKUP(B495,bond!B:C,2,FALSE)</f>
        <v>#N/A</v>
      </c>
      <c r="D495" s="95" t="e">
        <f>VLOOKUP(A495,'銀行-TSS'!A:C,3,FALSE)</f>
        <v>#N/A</v>
      </c>
      <c r="E495" s="90" t="e">
        <f ca="1">VLOOKUP(A495,'銀行-TSS'!A:G,7,FALSE)</f>
        <v>#N/A</v>
      </c>
      <c r="F495" s="202" t="e">
        <f ca="1">VLOOKUP(A495,'銀行-TSS'!A:H,8,FALSE)</f>
        <v>#N/A</v>
      </c>
      <c r="G495" s="96" t="e">
        <f ca="1">VLOOKUP(A495,'銀行-TSS'!A:K,11,FALSE)</f>
        <v>#N/A</v>
      </c>
      <c r="H495" s="1209" t="e">
        <f ca="1">VLOOKUP(A495,'銀行-TSS'!A:M,13,FALSE)</f>
        <v>#N/A</v>
      </c>
      <c r="I495" s="1213" t="e">
        <f ca="1">VLOOKUP(A495,'銀行-TSS'!A:N,14,FALSE)</f>
        <v>#N/A</v>
      </c>
      <c r="J495" s="1213" t="e">
        <f ca="1">VLOOKUP(A495,'銀行-TSS'!A:O,15,FALSE)</f>
        <v>#N/A</v>
      </c>
      <c r="K495" s="136" t="e">
        <f ca="1">VLOOKUP(A495,'銀行-TSS'!A:V,22,FALSE)</f>
        <v>#N/A</v>
      </c>
      <c r="L495" s="136" t="e">
        <f ca="1">VLOOKUP(A495,'銀行-TSS'!A:AK,37,FALSE)</f>
        <v>#N/A</v>
      </c>
      <c r="M495" s="136" t="str">
        <f ca="1">VLOOKUP(A495,'銀行-TSS'!A:AN,40,FALSE)</f>
        <v/>
      </c>
      <c r="N495" s="136" t="e">
        <f t="shared" ca="1" si="315"/>
        <v>#N/A</v>
      </c>
      <c r="O495" s="1213" t="e">
        <f t="shared" ca="1" si="316"/>
        <v>#N/A</v>
      </c>
      <c r="P495" s="1213" t="e">
        <f ca="1">IF(AND($O$1&gt;=O495,換券單檔!$D$13=D495),I495+INT(($O$1-O495)/N495)*J495,0)</f>
        <v>#N/A</v>
      </c>
      <c r="Q495" s="1213" t="e">
        <f t="shared" ca="1" si="317"/>
        <v>#N/A</v>
      </c>
      <c r="R495" s="1213">
        <f t="shared" si="318"/>
        <v>0</v>
      </c>
      <c r="S495" s="1213">
        <f t="shared" si="319"/>
        <v>0</v>
      </c>
      <c r="T495" s="136">
        <f>IF(OR(R495=0,A495=0),0,IF(AND(V495=TRUE,換券單檔!$D$13=D495),E495,0))</f>
        <v>0</v>
      </c>
      <c r="U495" s="861">
        <f>IF(OR(R495=0,A495=0),0,IF(AND(V495=TRUE,換券單檔!$D$13=D495),H495,0))</f>
        <v>0</v>
      </c>
      <c r="V495" s="136" t="e">
        <f ca="1">IF(OR(B495=換券單檔!$D$3,L495="無",M495&lt;&gt;"",K495="高資產",IFERROR(MATCH(B495,換券單檔!K:K,0),"N")&lt;&gt;"N"),FALSE,IF($V$1="All",TRUE,IF(K495=$V$1,TRUE,FALSE)))</f>
        <v>#N/A</v>
      </c>
      <c r="W495" s="136" t="e">
        <f ca="1">VLOOKUP(A495,'銀行-TSS'!A:AO,41,FALSE)</f>
        <v>#N/A</v>
      </c>
      <c r="X495" s="136" t="e">
        <f ca="1">VLOOKUP(A495,'銀行-TSS'!A:AP,42,FALSE)</f>
        <v>#N/A</v>
      </c>
      <c r="Y495" s="1220">
        <f t="shared" si="320"/>
        <v>0</v>
      </c>
      <c r="Z495" s="1220">
        <f t="shared" si="321"/>
        <v>0</v>
      </c>
      <c r="AA495" s="136">
        <f>IF(Z495&lt;=0,0,RANK(Z495,Z:Z)+COUNTIF($Z$3:$Z495,Z495)-1)</f>
        <v>0</v>
      </c>
      <c r="AB495" s="1211">
        <f t="shared" ca="1" si="322"/>
        <v>-14896.14</v>
      </c>
      <c r="AC495" s="136">
        <f ca="1">IF(AB495&lt;=0,0,RANK(AB495,AB:AB)+COUNTIF($AB$3:$AB495,AB495)-1)</f>
        <v>0</v>
      </c>
      <c r="AD495" s="1123">
        <f t="shared" si="323"/>
        <v>99999</v>
      </c>
      <c r="AE495" s="1123">
        <f>IF(AD495=99999,0,RANK(AD495,AD:AD,1)+COUNTIF($AD$3:$AD495,AD495)-1)</f>
        <v>0</v>
      </c>
      <c r="AF495" s="86" t="e">
        <f ca="1">IF(OR(M495&lt;&gt;"",L495="無",K495="高資產",IFERROR(MATCH(B495,換券單檔!K:K,0),"N")&lt;&gt;"N"),FALSE,TRUE)</f>
        <v>#N/A</v>
      </c>
      <c r="AI495" s="1212" t="e">
        <f t="shared" ca="1" si="324"/>
        <v>#N/A</v>
      </c>
      <c r="AJ495" s="1213" t="e">
        <f t="shared" ca="1" si="325"/>
        <v>#N/A</v>
      </c>
      <c r="AK495" s="1587">
        <f t="shared" si="326"/>
        <v>0</v>
      </c>
      <c r="AN495" s="1212" t="e">
        <f t="shared" ca="1" si="327"/>
        <v>#N/A</v>
      </c>
      <c r="AO495" s="1213" t="e">
        <f t="shared" ca="1" si="328"/>
        <v>#N/A</v>
      </c>
      <c r="AP495" s="1587">
        <f t="shared" si="329"/>
        <v>0</v>
      </c>
      <c r="AS495" s="1212" t="e">
        <f t="shared" ca="1" si="330"/>
        <v>#N/A</v>
      </c>
      <c r="AT495" s="1213" t="e">
        <f t="shared" ca="1" si="331"/>
        <v>#N/A</v>
      </c>
      <c r="AU495" s="1587">
        <f t="shared" si="332"/>
        <v>0</v>
      </c>
      <c r="AX495" s="1212" t="e">
        <f t="shared" ca="1" si="333"/>
        <v>#N/A</v>
      </c>
      <c r="AY495" s="1213" t="e">
        <f t="shared" ca="1" si="334"/>
        <v>#N/A</v>
      </c>
      <c r="AZ495" s="1587">
        <f t="shared" si="335"/>
        <v>0</v>
      </c>
      <c r="BC495" s="1212" t="e">
        <f t="shared" ca="1" si="336"/>
        <v>#N/A</v>
      </c>
      <c r="BD495" s="1213" t="e">
        <f t="shared" ca="1" si="337"/>
        <v>#N/A</v>
      </c>
      <c r="BE495" s="1587">
        <f t="shared" si="338"/>
        <v>0</v>
      </c>
      <c r="BH495" s="1212" t="e">
        <f t="shared" ca="1" si="339"/>
        <v>#N/A</v>
      </c>
      <c r="BI495" s="1213" t="e">
        <f t="shared" ca="1" si="340"/>
        <v>#N/A</v>
      </c>
      <c r="BJ495" s="1587">
        <f t="shared" si="341"/>
        <v>0</v>
      </c>
      <c r="BM495" s="1212" t="e">
        <f t="shared" ca="1" si="342"/>
        <v>#N/A</v>
      </c>
      <c r="BN495" s="1213" t="e">
        <f t="shared" ca="1" si="343"/>
        <v>#N/A</v>
      </c>
      <c r="BO495" s="1587">
        <f t="shared" si="344"/>
        <v>0</v>
      </c>
      <c r="BR495" s="1212" t="e">
        <f t="shared" ca="1" si="345"/>
        <v>#N/A</v>
      </c>
      <c r="BS495" s="1213" t="e">
        <f t="shared" ca="1" si="346"/>
        <v>#N/A</v>
      </c>
      <c r="BT495" s="1587">
        <f t="shared" si="347"/>
        <v>0</v>
      </c>
      <c r="BW495" s="1212" t="e">
        <f t="shared" ca="1" si="348"/>
        <v>#N/A</v>
      </c>
      <c r="BX495" s="1213" t="e">
        <f t="shared" ca="1" si="349"/>
        <v>#N/A</v>
      </c>
      <c r="BY495" s="1587">
        <f t="shared" si="350"/>
        <v>0</v>
      </c>
      <c r="CB495" s="1212" t="e">
        <f t="shared" ca="1" si="351"/>
        <v>#N/A</v>
      </c>
      <c r="CC495" s="1213" t="e">
        <f t="shared" ca="1" si="352"/>
        <v>#N/A</v>
      </c>
      <c r="CD495" s="1587">
        <f t="shared" si="353"/>
        <v>0</v>
      </c>
      <c r="CG495" s="1212" t="e">
        <f t="shared" ca="1" si="354"/>
        <v>#N/A</v>
      </c>
      <c r="CH495" s="1213" t="e">
        <f t="shared" ca="1" si="355"/>
        <v>#N/A</v>
      </c>
      <c r="CI495" s="1587">
        <f t="shared" si="356"/>
        <v>0</v>
      </c>
      <c r="CL495" s="1212" t="e">
        <f t="shared" ca="1" si="357"/>
        <v>#N/A</v>
      </c>
      <c r="CM495" s="1213" t="e">
        <f t="shared" ca="1" si="358"/>
        <v>#N/A</v>
      </c>
      <c r="CN495" s="1587">
        <f t="shared" si="359"/>
        <v>0</v>
      </c>
    </row>
    <row r="496" spans="1:92">
      <c r="A496" s="141">
        <f>'銀行-TSS'!A496</f>
        <v>0</v>
      </c>
      <c r="B496" s="151">
        <f ca="1">VLOOKUP(A496,'銀行-TSS'!A:B,2,FALSE)</f>
        <v>0</v>
      </c>
      <c r="C496" s="151" t="e">
        <f ca="1">VLOOKUP(B496,bond!B:C,2,FALSE)</f>
        <v>#N/A</v>
      </c>
      <c r="D496" s="95" t="e">
        <f>VLOOKUP(A496,'銀行-TSS'!A:C,3,FALSE)</f>
        <v>#N/A</v>
      </c>
      <c r="E496" s="90" t="e">
        <f ca="1">VLOOKUP(A496,'銀行-TSS'!A:G,7,FALSE)</f>
        <v>#N/A</v>
      </c>
      <c r="F496" s="202" t="e">
        <f ca="1">VLOOKUP(A496,'銀行-TSS'!A:H,8,FALSE)</f>
        <v>#N/A</v>
      </c>
      <c r="G496" s="96" t="e">
        <f ca="1">VLOOKUP(A496,'銀行-TSS'!A:K,11,FALSE)</f>
        <v>#N/A</v>
      </c>
      <c r="H496" s="1209" t="e">
        <f ca="1">VLOOKUP(A496,'銀行-TSS'!A:M,13,FALSE)</f>
        <v>#N/A</v>
      </c>
      <c r="I496" s="1213" t="e">
        <f ca="1">VLOOKUP(A496,'銀行-TSS'!A:N,14,FALSE)</f>
        <v>#N/A</v>
      </c>
      <c r="J496" s="1213" t="e">
        <f ca="1">VLOOKUP(A496,'銀行-TSS'!A:O,15,FALSE)</f>
        <v>#N/A</v>
      </c>
      <c r="K496" s="136" t="e">
        <f ca="1">VLOOKUP(A496,'銀行-TSS'!A:V,22,FALSE)</f>
        <v>#N/A</v>
      </c>
      <c r="L496" s="136" t="e">
        <f ca="1">VLOOKUP(A496,'銀行-TSS'!A:AK,37,FALSE)</f>
        <v>#N/A</v>
      </c>
      <c r="M496" s="136" t="str">
        <f ca="1">VLOOKUP(A496,'銀行-TSS'!A:AN,40,FALSE)</f>
        <v/>
      </c>
      <c r="N496" s="136" t="e">
        <f t="shared" ca="1" si="315"/>
        <v>#N/A</v>
      </c>
      <c r="O496" s="1213" t="e">
        <f t="shared" ca="1" si="316"/>
        <v>#N/A</v>
      </c>
      <c r="P496" s="1213" t="e">
        <f ca="1">IF(AND($O$1&gt;=O496,換券單檔!$D$13=D496),I496+INT(($O$1-O496)/N496)*J496,0)</f>
        <v>#N/A</v>
      </c>
      <c r="Q496" s="1213" t="e">
        <f t="shared" ca="1" si="317"/>
        <v>#N/A</v>
      </c>
      <c r="R496" s="1213">
        <f t="shared" si="318"/>
        <v>0</v>
      </c>
      <c r="S496" s="1213">
        <f t="shared" si="319"/>
        <v>0</v>
      </c>
      <c r="T496" s="136">
        <f>IF(OR(R496=0,A496=0),0,IF(AND(V496=TRUE,換券單檔!$D$13=D496),E496,0))</f>
        <v>0</v>
      </c>
      <c r="U496" s="861">
        <f>IF(OR(R496=0,A496=0),0,IF(AND(V496=TRUE,換券單檔!$D$13=D496),H496,0))</f>
        <v>0</v>
      </c>
      <c r="V496" s="136" t="e">
        <f ca="1">IF(OR(B496=換券單檔!$D$3,L496="無",M496&lt;&gt;"",K496="高資產",IFERROR(MATCH(B496,換券單檔!K:K,0),"N")&lt;&gt;"N"),FALSE,IF($V$1="All",TRUE,IF(K496=$V$1,TRUE,FALSE)))</f>
        <v>#N/A</v>
      </c>
      <c r="W496" s="136" t="e">
        <f ca="1">VLOOKUP(A496,'銀行-TSS'!A:AO,41,FALSE)</f>
        <v>#N/A</v>
      </c>
      <c r="X496" s="136" t="e">
        <f ca="1">VLOOKUP(A496,'銀行-TSS'!A:AP,42,FALSE)</f>
        <v>#N/A</v>
      </c>
      <c r="Y496" s="1220">
        <f t="shared" si="320"/>
        <v>0</v>
      </c>
      <c r="Z496" s="1220">
        <f t="shared" si="321"/>
        <v>0</v>
      </c>
      <c r="AA496" s="136">
        <f>IF(Z496&lt;=0,0,RANK(Z496,Z:Z)+COUNTIF($Z$3:$Z496,Z496)-1)</f>
        <v>0</v>
      </c>
      <c r="AB496" s="1211">
        <f t="shared" ca="1" si="322"/>
        <v>-14896.14</v>
      </c>
      <c r="AC496" s="136">
        <f ca="1">IF(AB496&lt;=0,0,RANK(AB496,AB:AB)+COUNTIF($AB$3:$AB496,AB496)-1)</f>
        <v>0</v>
      </c>
      <c r="AD496" s="1123">
        <f t="shared" si="323"/>
        <v>99999</v>
      </c>
      <c r="AE496" s="1123">
        <f>IF(AD496=99999,0,RANK(AD496,AD:AD,1)+COUNTIF($AD$3:$AD496,AD496)-1)</f>
        <v>0</v>
      </c>
      <c r="AF496" s="86" t="e">
        <f ca="1">IF(OR(M496&lt;&gt;"",L496="無",K496="高資產",IFERROR(MATCH(B496,換券單檔!K:K,0),"N")&lt;&gt;"N"),FALSE,TRUE)</f>
        <v>#N/A</v>
      </c>
      <c r="AI496" s="1212" t="e">
        <f t="shared" ca="1" si="324"/>
        <v>#N/A</v>
      </c>
      <c r="AJ496" s="1213" t="e">
        <f t="shared" ca="1" si="325"/>
        <v>#N/A</v>
      </c>
      <c r="AK496" s="1587">
        <f t="shared" si="326"/>
        <v>0</v>
      </c>
      <c r="AN496" s="1212" t="e">
        <f t="shared" ca="1" si="327"/>
        <v>#N/A</v>
      </c>
      <c r="AO496" s="1213" t="e">
        <f t="shared" ca="1" si="328"/>
        <v>#N/A</v>
      </c>
      <c r="AP496" s="1587">
        <f t="shared" si="329"/>
        <v>0</v>
      </c>
      <c r="AS496" s="1212" t="e">
        <f t="shared" ca="1" si="330"/>
        <v>#N/A</v>
      </c>
      <c r="AT496" s="1213" t="e">
        <f t="shared" ca="1" si="331"/>
        <v>#N/A</v>
      </c>
      <c r="AU496" s="1587">
        <f t="shared" si="332"/>
        <v>0</v>
      </c>
      <c r="AX496" s="1212" t="e">
        <f t="shared" ca="1" si="333"/>
        <v>#N/A</v>
      </c>
      <c r="AY496" s="1213" t="e">
        <f t="shared" ca="1" si="334"/>
        <v>#N/A</v>
      </c>
      <c r="AZ496" s="1587">
        <f t="shared" si="335"/>
        <v>0</v>
      </c>
      <c r="BC496" s="1212" t="e">
        <f t="shared" ca="1" si="336"/>
        <v>#N/A</v>
      </c>
      <c r="BD496" s="1213" t="e">
        <f t="shared" ca="1" si="337"/>
        <v>#N/A</v>
      </c>
      <c r="BE496" s="1587">
        <f t="shared" si="338"/>
        <v>0</v>
      </c>
      <c r="BH496" s="1212" t="e">
        <f t="shared" ca="1" si="339"/>
        <v>#N/A</v>
      </c>
      <c r="BI496" s="1213" t="e">
        <f t="shared" ca="1" si="340"/>
        <v>#N/A</v>
      </c>
      <c r="BJ496" s="1587">
        <f t="shared" si="341"/>
        <v>0</v>
      </c>
      <c r="BM496" s="1212" t="e">
        <f t="shared" ca="1" si="342"/>
        <v>#N/A</v>
      </c>
      <c r="BN496" s="1213" t="e">
        <f t="shared" ca="1" si="343"/>
        <v>#N/A</v>
      </c>
      <c r="BO496" s="1587">
        <f t="shared" si="344"/>
        <v>0</v>
      </c>
      <c r="BR496" s="1212" t="e">
        <f t="shared" ca="1" si="345"/>
        <v>#N/A</v>
      </c>
      <c r="BS496" s="1213" t="e">
        <f t="shared" ca="1" si="346"/>
        <v>#N/A</v>
      </c>
      <c r="BT496" s="1587">
        <f t="shared" si="347"/>
        <v>0</v>
      </c>
      <c r="BW496" s="1212" t="e">
        <f t="shared" ca="1" si="348"/>
        <v>#N/A</v>
      </c>
      <c r="BX496" s="1213" t="e">
        <f t="shared" ca="1" si="349"/>
        <v>#N/A</v>
      </c>
      <c r="BY496" s="1587">
        <f t="shared" si="350"/>
        <v>0</v>
      </c>
      <c r="CB496" s="1212" t="e">
        <f t="shared" ca="1" si="351"/>
        <v>#N/A</v>
      </c>
      <c r="CC496" s="1213" t="e">
        <f t="shared" ca="1" si="352"/>
        <v>#N/A</v>
      </c>
      <c r="CD496" s="1587">
        <f t="shared" si="353"/>
        <v>0</v>
      </c>
      <c r="CG496" s="1212" t="e">
        <f t="shared" ca="1" si="354"/>
        <v>#N/A</v>
      </c>
      <c r="CH496" s="1213" t="e">
        <f t="shared" ca="1" si="355"/>
        <v>#N/A</v>
      </c>
      <c r="CI496" s="1587">
        <f t="shared" si="356"/>
        <v>0</v>
      </c>
      <c r="CL496" s="1212" t="e">
        <f t="shared" ca="1" si="357"/>
        <v>#N/A</v>
      </c>
      <c r="CM496" s="1213" t="e">
        <f t="shared" ca="1" si="358"/>
        <v>#N/A</v>
      </c>
      <c r="CN496" s="1587">
        <f t="shared" si="359"/>
        <v>0</v>
      </c>
    </row>
    <row r="497" spans="1:92">
      <c r="A497" s="141">
        <f>'銀行-TSS'!A497</f>
        <v>0</v>
      </c>
      <c r="B497" s="151">
        <f ca="1">VLOOKUP(A497,'銀行-TSS'!A:B,2,FALSE)</f>
        <v>0</v>
      </c>
      <c r="C497" s="151" t="e">
        <f ca="1">VLOOKUP(B497,bond!B:C,2,FALSE)</f>
        <v>#N/A</v>
      </c>
      <c r="D497" s="95" t="e">
        <f>VLOOKUP(A497,'銀行-TSS'!A:C,3,FALSE)</f>
        <v>#N/A</v>
      </c>
      <c r="E497" s="90" t="e">
        <f ca="1">VLOOKUP(A497,'銀行-TSS'!A:G,7,FALSE)</f>
        <v>#N/A</v>
      </c>
      <c r="F497" s="202" t="e">
        <f ca="1">VLOOKUP(A497,'銀行-TSS'!A:H,8,FALSE)</f>
        <v>#N/A</v>
      </c>
      <c r="G497" s="96" t="e">
        <f ca="1">VLOOKUP(A497,'銀行-TSS'!A:K,11,FALSE)</f>
        <v>#N/A</v>
      </c>
      <c r="H497" s="1209" t="e">
        <f ca="1">VLOOKUP(A497,'銀行-TSS'!A:M,13,FALSE)</f>
        <v>#N/A</v>
      </c>
      <c r="I497" s="1213" t="e">
        <f ca="1">VLOOKUP(A497,'銀行-TSS'!A:N,14,FALSE)</f>
        <v>#N/A</v>
      </c>
      <c r="J497" s="1213" t="e">
        <f ca="1">VLOOKUP(A497,'銀行-TSS'!A:O,15,FALSE)</f>
        <v>#N/A</v>
      </c>
      <c r="K497" s="136" t="e">
        <f ca="1">VLOOKUP(A497,'銀行-TSS'!A:V,22,FALSE)</f>
        <v>#N/A</v>
      </c>
      <c r="L497" s="136" t="e">
        <f ca="1">VLOOKUP(A497,'銀行-TSS'!A:AK,37,FALSE)</f>
        <v>#N/A</v>
      </c>
      <c r="M497" s="136" t="str">
        <f ca="1">VLOOKUP(A497,'銀行-TSS'!A:AN,40,FALSE)</f>
        <v/>
      </c>
      <c r="N497" s="136" t="e">
        <f t="shared" ca="1" si="315"/>
        <v>#N/A</v>
      </c>
      <c r="O497" s="1213" t="e">
        <f t="shared" ca="1" si="316"/>
        <v>#N/A</v>
      </c>
      <c r="P497" s="1213" t="e">
        <f ca="1">IF(AND($O$1&gt;=O497,換券單檔!$D$13=D497),I497+INT(($O$1-O497)/N497)*J497,0)</f>
        <v>#N/A</v>
      </c>
      <c r="Q497" s="1213" t="e">
        <f t="shared" ca="1" si="317"/>
        <v>#N/A</v>
      </c>
      <c r="R497" s="1213">
        <f t="shared" si="318"/>
        <v>0</v>
      </c>
      <c r="S497" s="1213">
        <f t="shared" si="319"/>
        <v>0</v>
      </c>
      <c r="T497" s="136">
        <f>IF(OR(R497=0,A497=0),0,IF(AND(V497=TRUE,換券單檔!$D$13=D497),E497,0))</f>
        <v>0</v>
      </c>
      <c r="U497" s="861">
        <f>IF(OR(R497=0,A497=0),0,IF(AND(V497=TRUE,換券單檔!$D$13=D497),H497,0))</f>
        <v>0</v>
      </c>
      <c r="V497" s="136" t="e">
        <f ca="1">IF(OR(B497=換券單檔!$D$3,L497="無",M497&lt;&gt;"",K497="高資產",IFERROR(MATCH(B497,換券單檔!K:K,0),"N")&lt;&gt;"N"),FALSE,IF($V$1="All",TRUE,IF(K497=$V$1,TRUE,FALSE)))</f>
        <v>#N/A</v>
      </c>
      <c r="W497" s="136" t="e">
        <f ca="1">VLOOKUP(A497,'銀行-TSS'!A:AO,41,FALSE)</f>
        <v>#N/A</v>
      </c>
      <c r="X497" s="136" t="e">
        <f ca="1">VLOOKUP(A497,'銀行-TSS'!A:AP,42,FALSE)</f>
        <v>#N/A</v>
      </c>
      <c r="Y497" s="1220">
        <f t="shared" si="320"/>
        <v>0</v>
      </c>
      <c r="Z497" s="1220">
        <f t="shared" si="321"/>
        <v>0</v>
      </c>
      <c r="AA497" s="136">
        <f>IF(Z497&lt;=0,0,RANK(Z497,Z:Z)+COUNTIF($Z$3:$Z497,Z497)-1)</f>
        <v>0</v>
      </c>
      <c r="AB497" s="1211">
        <f t="shared" ca="1" si="322"/>
        <v>-14896.14</v>
      </c>
      <c r="AC497" s="136">
        <f ca="1">IF(AB497&lt;=0,0,RANK(AB497,AB:AB)+COUNTIF($AB$3:$AB497,AB497)-1)</f>
        <v>0</v>
      </c>
      <c r="AD497" s="1123">
        <f t="shared" si="323"/>
        <v>99999</v>
      </c>
      <c r="AE497" s="1123">
        <f>IF(AD497=99999,0,RANK(AD497,AD:AD,1)+COUNTIF($AD$3:$AD497,AD497)-1)</f>
        <v>0</v>
      </c>
      <c r="AF497" s="86" t="e">
        <f ca="1">IF(OR(M497&lt;&gt;"",L497="無",K497="高資產",IFERROR(MATCH(B497,換券單檔!K:K,0),"N")&lt;&gt;"N"),FALSE,TRUE)</f>
        <v>#N/A</v>
      </c>
      <c r="AI497" s="1212" t="e">
        <f t="shared" ca="1" si="324"/>
        <v>#N/A</v>
      </c>
      <c r="AJ497" s="1213" t="e">
        <f t="shared" ca="1" si="325"/>
        <v>#N/A</v>
      </c>
      <c r="AK497" s="1587">
        <f t="shared" si="326"/>
        <v>0</v>
      </c>
      <c r="AN497" s="1212" t="e">
        <f t="shared" ca="1" si="327"/>
        <v>#N/A</v>
      </c>
      <c r="AO497" s="1213" t="e">
        <f t="shared" ca="1" si="328"/>
        <v>#N/A</v>
      </c>
      <c r="AP497" s="1587">
        <f t="shared" si="329"/>
        <v>0</v>
      </c>
      <c r="AS497" s="1212" t="e">
        <f t="shared" ca="1" si="330"/>
        <v>#N/A</v>
      </c>
      <c r="AT497" s="1213" t="e">
        <f t="shared" ca="1" si="331"/>
        <v>#N/A</v>
      </c>
      <c r="AU497" s="1587">
        <f t="shared" si="332"/>
        <v>0</v>
      </c>
      <c r="AX497" s="1212" t="e">
        <f t="shared" ca="1" si="333"/>
        <v>#N/A</v>
      </c>
      <c r="AY497" s="1213" t="e">
        <f t="shared" ca="1" si="334"/>
        <v>#N/A</v>
      </c>
      <c r="AZ497" s="1587">
        <f t="shared" si="335"/>
        <v>0</v>
      </c>
      <c r="BC497" s="1212" t="e">
        <f t="shared" ca="1" si="336"/>
        <v>#N/A</v>
      </c>
      <c r="BD497" s="1213" t="e">
        <f t="shared" ca="1" si="337"/>
        <v>#N/A</v>
      </c>
      <c r="BE497" s="1587">
        <f t="shared" si="338"/>
        <v>0</v>
      </c>
      <c r="BH497" s="1212" t="e">
        <f t="shared" ca="1" si="339"/>
        <v>#N/A</v>
      </c>
      <c r="BI497" s="1213" t="e">
        <f t="shared" ca="1" si="340"/>
        <v>#N/A</v>
      </c>
      <c r="BJ497" s="1587">
        <f t="shared" si="341"/>
        <v>0</v>
      </c>
      <c r="BM497" s="1212" t="e">
        <f t="shared" ca="1" si="342"/>
        <v>#N/A</v>
      </c>
      <c r="BN497" s="1213" t="e">
        <f t="shared" ca="1" si="343"/>
        <v>#N/A</v>
      </c>
      <c r="BO497" s="1587">
        <f t="shared" si="344"/>
        <v>0</v>
      </c>
      <c r="BR497" s="1212" t="e">
        <f t="shared" ca="1" si="345"/>
        <v>#N/A</v>
      </c>
      <c r="BS497" s="1213" t="e">
        <f t="shared" ca="1" si="346"/>
        <v>#N/A</v>
      </c>
      <c r="BT497" s="1587">
        <f t="shared" si="347"/>
        <v>0</v>
      </c>
      <c r="BW497" s="1212" t="e">
        <f t="shared" ca="1" si="348"/>
        <v>#N/A</v>
      </c>
      <c r="BX497" s="1213" t="e">
        <f t="shared" ca="1" si="349"/>
        <v>#N/A</v>
      </c>
      <c r="BY497" s="1587">
        <f t="shared" si="350"/>
        <v>0</v>
      </c>
      <c r="CB497" s="1212" t="e">
        <f t="shared" ca="1" si="351"/>
        <v>#N/A</v>
      </c>
      <c r="CC497" s="1213" t="e">
        <f t="shared" ca="1" si="352"/>
        <v>#N/A</v>
      </c>
      <c r="CD497" s="1587">
        <f t="shared" si="353"/>
        <v>0</v>
      </c>
      <c r="CG497" s="1212" t="e">
        <f t="shared" ca="1" si="354"/>
        <v>#N/A</v>
      </c>
      <c r="CH497" s="1213" t="e">
        <f t="shared" ca="1" si="355"/>
        <v>#N/A</v>
      </c>
      <c r="CI497" s="1587">
        <f t="shared" si="356"/>
        <v>0</v>
      </c>
      <c r="CL497" s="1212" t="e">
        <f t="shared" ca="1" si="357"/>
        <v>#N/A</v>
      </c>
      <c r="CM497" s="1213" t="e">
        <f t="shared" ca="1" si="358"/>
        <v>#N/A</v>
      </c>
      <c r="CN497" s="1587">
        <f t="shared" si="359"/>
        <v>0</v>
      </c>
    </row>
    <row r="498" spans="1:92">
      <c r="A498" s="141">
        <f>'銀行-TSS'!A498</f>
        <v>0</v>
      </c>
      <c r="B498" s="151">
        <f ca="1">VLOOKUP(A498,'銀行-TSS'!A:B,2,FALSE)</f>
        <v>0</v>
      </c>
      <c r="C498" s="151" t="e">
        <f ca="1">VLOOKUP(B498,bond!B:C,2,FALSE)</f>
        <v>#N/A</v>
      </c>
      <c r="D498" s="95" t="e">
        <f>VLOOKUP(A498,'銀行-TSS'!A:C,3,FALSE)</f>
        <v>#N/A</v>
      </c>
      <c r="E498" s="90" t="e">
        <f ca="1">VLOOKUP(A498,'銀行-TSS'!A:G,7,FALSE)</f>
        <v>#N/A</v>
      </c>
      <c r="F498" s="202" t="e">
        <f ca="1">VLOOKUP(A498,'銀行-TSS'!A:H,8,FALSE)</f>
        <v>#N/A</v>
      </c>
      <c r="G498" s="96" t="e">
        <f ca="1">VLOOKUP(A498,'銀行-TSS'!A:K,11,FALSE)</f>
        <v>#N/A</v>
      </c>
      <c r="H498" s="1209" t="e">
        <f ca="1">VLOOKUP(A498,'銀行-TSS'!A:M,13,FALSE)</f>
        <v>#N/A</v>
      </c>
      <c r="I498" s="1213" t="e">
        <f ca="1">VLOOKUP(A498,'銀行-TSS'!A:N,14,FALSE)</f>
        <v>#N/A</v>
      </c>
      <c r="J498" s="1213" t="e">
        <f ca="1">VLOOKUP(A498,'銀行-TSS'!A:O,15,FALSE)</f>
        <v>#N/A</v>
      </c>
      <c r="K498" s="136" t="e">
        <f ca="1">VLOOKUP(A498,'銀行-TSS'!A:V,22,FALSE)</f>
        <v>#N/A</v>
      </c>
      <c r="L498" s="136" t="e">
        <f ca="1">VLOOKUP(A498,'銀行-TSS'!A:AK,37,FALSE)</f>
        <v>#N/A</v>
      </c>
      <c r="M498" s="136" t="str">
        <f ca="1">VLOOKUP(A498,'銀行-TSS'!A:AN,40,FALSE)</f>
        <v/>
      </c>
      <c r="N498" s="136" t="e">
        <f t="shared" ca="1" si="315"/>
        <v>#N/A</v>
      </c>
      <c r="O498" s="1213" t="e">
        <f t="shared" ca="1" si="316"/>
        <v>#N/A</v>
      </c>
      <c r="P498" s="1213" t="e">
        <f ca="1">IF(AND($O$1&gt;=O498,換券單檔!$D$13=D498),I498+INT(($O$1-O498)/N498)*J498,0)</f>
        <v>#N/A</v>
      </c>
      <c r="Q498" s="1213" t="e">
        <f t="shared" ca="1" si="317"/>
        <v>#N/A</v>
      </c>
      <c r="R498" s="1213">
        <f t="shared" si="318"/>
        <v>0</v>
      </c>
      <c r="S498" s="1213">
        <f t="shared" si="319"/>
        <v>0</v>
      </c>
      <c r="T498" s="136">
        <f>IF(OR(R498=0,A498=0),0,IF(AND(V498=TRUE,換券單檔!$D$13=D498),E498,0))</f>
        <v>0</v>
      </c>
      <c r="U498" s="861">
        <f>IF(OR(R498=0,A498=0),0,IF(AND(V498=TRUE,換券單檔!$D$13=D498),H498,0))</f>
        <v>0</v>
      </c>
      <c r="V498" s="136" t="e">
        <f ca="1">IF(OR(B498=換券單檔!$D$3,L498="無",M498&lt;&gt;"",K498="高資產",IFERROR(MATCH(B498,換券單檔!K:K,0),"N")&lt;&gt;"N"),FALSE,IF($V$1="All",TRUE,IF(K498=$V$1,TRUE,FALSE)))</f>
        <v>#N/A</v>
      </c>
      <c r="W498" s="136" t="e">
        <f ca="1">VLOOKUP(A498,'銀行-TSS'!A:AO,41,FALSE)</f>
        <v>#N/A</v>
      </c>
      <c r="X498" s="136" t="e">
        <f ca="1">VLOOKUP(A498,'銀行-TSS'!A:AP,42,FALSE)</f>
        <v>#N/A</v>
      </c>
      <c r="Y498" s="1220">
        <f t="shared" si="320"/>
        <v>0</v>
      </c>
      <c r="Z498" s="1220">
        <f t="shared" si="321"/>
        <v>0</v>
      </c>
      <c r="AA498" s="136">
        <f>IF(Z498&lt;=0,0,RANK(Z498,Z:Z)+COUNTIF($Z$3:$Z498,Z498)-1)</f>
        <v>0</v>
      </c>
      <c r="AB498" s="1211">
        <f t="shared" ca="1" si="322"/>
        <v>-14896.14</v>
      </c>
      <c r="AC498" s="136">
        <f ca="1">IF(AB498&lt;=0,0,RANK(AB498,AB:AB)+COUNTIF($AB$3:$AB498,AB498)-1)</f>
        <v>0</v>
      </c>
      <c r="AD498" s="1123">
        <f t="shared" si="323"/>
        <v>99999</v>
      </c>
      <c r="AE498" s="1123">
        <f>IF(AD498=99999,0,RANK(AD498,AD:AD,1)+COUNTIF($AD$3:$AD498,AD498)-1)</f>
        <v>0</v>
      </c>
      <c r="AF498" s="86" t="e">
        <f ca="1">IF(OR(M498&lt;&gt;"",L498="無",K498="高資產",IFERROR(MATCH(B498,換券單檔!K:K,0),"N")&lt;&gt;"N"),FALSE,TRUE)</f>
        <v>#N/A</v>
      </c>
      <c r="AI498" s="1212" t="e">
        <f t="shared" ca="1" si="324"/>
        <v>#N/A</v>
      </c>
      <c r="AJ498" s="1213" t="e">
        <f t="shared" ca="1" si="325"/>
        <v>#N/A</v>
      </c>
      <c r="AK498" s="1587">
        <f t="shared" si="326"/>
        <v>0</v>
      </c>
      <c r="AN498" s="1212" t="e">
        <f t="shared" ca="1" si="327"/>
        <v>#N/A</v>
      </c>
      <c r="AO498" s="1213" t="e">
        <f t="shared" ca="1" si="328"/>
        <v>#N/A</v>
      </c>
      <c r="AP498" s="1587">
        <f t="shared" si="329"/>
        <v>0</v>
      </c>
      <c r="AS498" s="1212" t="e">
        <f t="shared" ca="1" si="330"/>
        <v>#N/A</v>
      </c>
      <c r="AT498" s="1213" t="e">
        <f t="shared" ca="1" si="331"/>
        <v>#N/A</v>
      </c>
      <c r="AU498" s="1587">
        <f t="shared" si="332"/>
        <v>0</v>
      </c>
      <c r="AX498" s="1212" t="e">
        <f t="shared" ca="1" si="333"/>
        <v>#N/A</v>
      </c>
      <c r="AY498" s="1213" t="e">
        <f t="shared" ca="1" si="334"/>
        <v>#N/A</v>
      </c>
      <c r="AZ498" s="1587">
        <f t="shared" si="335"/>
        <v>0</v>
      </c>
      <c r="BC498" s="1212" t="e">
        <f t="shared" ca="1" si="336"/>
        <v>#N/A</v>
      </c>
      <c r="BD498" s="1213" t="e">
        <f t="shared" ca="1" si="337"/>
        <v>#N/A</v>
      </c>
      <c r="BE498" s="1587">
        <f t="shared" si="338"/>
        <v>0</v>
      </c>
      <c r="BH498" s="1212" t="e">
        <f t="shared" ca="1" si="339"/>
        <v>#N/A</v>
      </c>
      <c r="BI498" s="1213" t="e">
        <f t="shared" ca="1" si="340"/>
        <v>#N/A</v>
      </c>
      <c r="BJ498" s="1587">
        <f t="shared" si="341"/>
        <v>0</v>
      </c>
      <c r="BM498" s="1212" t="e">
        <f t="shared" ca="1" si="342"/>
        <v>#N/A</v>
      </c>
      <c r="BN498" s="1213" t="e">
        <f t="shared" ca="1" si="343"/>
        <v>#N/A</v>
      </c>
      <c r="BO498" s="1587">
        <f t="shared" si="344"/>
        <v>0</v>
      </c>
      <c r="BR498" s="1212" t="e">
        <f t="shared" ca="1" si="345"/>
        <v>#N/A</v>
      </c>
      <c r="BS498" s="1213" t="e">
        <f t="shared" ca="1" si="346"/>
        <v>#N/A</v>
      </c>
      <c r="BT498" s="1587">
        <f t="shared" si="347"/>
        <v>0</v>
      </c>
      <c r="BW498" s="1212" t="e">
        <f t="shared" ca="1" si="348"/>
        <v>#N/A</v>
      </c>
      <c r="BX498" s="1213" t="e">
        <f t="shared" ca="1" si="349"/>
        <v>#N/A</v>
      </c>
      <c r="BY498" s="1587">
        <f t="shared" si="350"/>
        <v>0</v>
      </c>
      <c r="CB498" s="1212" t="e">
        <f t="shared" ca="1" si="351"/>
        <v>#N/A</v>
      </c>
      <c r="CC498" s="1213" t="e">
        <f t="shared" ca="1" si="352"/>
        <v>#N/A</v>
      </c>
      <c r="CD498" s="1587">
        <f t="shared" si="353"/>
        <v>0</v>
      </c>
      <c r="CG498" s="1212" t="e">
        <f t="shared" ca="1" si="354"/>
        <v>#N/A</v>
      </c>
      <c r="CH498" s="1213" t="e">
        <f t="shared" ca="1" si="355"/>
        <v>#N/A</v>
      </c>
      <c r="CI498" s="1587">
        <f t="shared" si="356"/>
        <v>0</v>
      </c>
      <c r="CL498" s="1212" t="e">
        <f t="shared" ca="1" si="357"/>
        <v>#N/A</v>
      </c>
      <c r="CM498" s="1213" t="e">
        <f t="shared" ca="1" si="358"/>
        <v>#N/A</v>
      </c>
      <c r="CN498" s="1587">
        <f t="shared" si="359"/>
        <v>0</v>
      </c>
    </row>
    <row r="499" spans="1:92">
      <c r="A499" s="141">
        <f>'銀行-TSS'!A499</f>
        <v>0</v>
      </c>
      <c r="B499" s="151">
        <f ca="1">VLOOKUP(A499,'銀行-TSS'!A:B,2,FALSE)</f>
        <v>0</v>
      </c>
      <c r="C499" s="151" t="e">
        <f ca="1">VLOOKUP(B499,bond!B:C,2,FALSE)</f>
        <v>#N/A</v>
      </c>
      <c r="D499" s="95" t="e">
        <f>VLOOKUP(A499,'銀行-TSS'!A:C,3,FALSE)</f>
        <v>#N/A</v>
      </c>
      <c r="E499" s="90" t="e">
        <f ca="1">VLOOKUP(A499,'銀行-TSS'!A:G,7,FALSE)</f>
        <v>#N/A</v>
      </c>
      <c r="F499" s="202" t="e">
        <f ca="1">VLOOKUP(A499,'銀行-TSS'!A:H,8,FALSE)</f>
        <v>#N/A</v>
      </c>
      <c r="G499" s="96" t="e">
        <f ca="1">VLOOKUP(A499,'銀行-TSS'!A:K,11,FALSE)</f>
        <v>#N/A</v>
      </c>
      <c r="H499" s="1209" t="e">
        <f ca="1">VLOOKUP(A499,'銀行-TSS'!A:M,13,FALSE)</f>
        <v>#N/A</v>
      </c>
      <c r="I499" s="1213" t="e">
        <f ca="1">VLOOKUP(A499,'銀行-TSS'!A:N,14,FALSE)</f>
        <v>#N/A</v>
      </c>
      <c r="J499" s="1213" t="e">
        <f ca="1">VLOOKUP(A499,'銀行-TSS'!A:O,15,FALSE)</f>
        <v>#N/A</v>
      </c>
      <c r="K499" s="136" t="e">
        <f ca="1">VLOOKUP(A499,'銀行-TSS'!A:V,22,FALSE)</f>
        <v>#N/A</v>
      </c>
      <c r="L499" s="136" t="e">
        <f ca="1">VLOOKUP(A499,'銀行-TSS'!A:AK,37,FALSE)</f>
        <v>#N/A</v>
      </c>
      <c r="M499" s="136" t="str">
        <f ca="1">VLOOKUP(A499,'銀行-TSS'!A:AN,40,FALSE)</f>
        <v/>
      </c>
      <c r="N499" s="136" t="e">
        <f t="shared" ca="1" si="315"/>
        <v>#N/A</v>
      </c>
      <c r="O499" s="1213" t="e">
        <f t="shared" ca="1" si="316"/>
        <v>#N/A</v>
      </c>
      <c r="P499" s="1213" t="e">
        <f ca="1">IF(AND($O$1&gt;=O499,換券單檔!$D$13=D499),I499+INT(($O$1-O499)/N499)*J499,0)</f>
        <v>#N/A</v>
      </c>
      <c r="Q499" s="1213" t="e">
        <f t="shared" ca="1" si="317"/>
        <v>#N/A</v>
      </c>
      <c r="R499" s="1213">
        <f t="shared" si="318"/>
        <v>0</v>
      </c>
      <c r="S499" s="1213">
        <f t="shared" si="319"/>
        <v>0</v>
      </c>
      <c r="T499" s="136">
        <f>IF(OR(R499=0,A499=0),0,IF(AND(V499=TRUE,換券單檔!$D$13=D499),E499,0))</f>
        <v>0</v>
      </c>
      <c r="U499" s="861">
        <f>IF(OR(R499=0,A499=0),0,IF(AND(V499=TRUE,換券單檔!$D$13=D499),H499,0))</f>
        <v>0</v>
      </c>
      <c r="V499" s="136" t="e">
        <f ca="1">IF(OR(B499=換券單檔!$D$3,L499="無",M499&lt;&gt;"",K499="高資產",IFERROR(MATCH(B499,換券單檔!K:K,0),"N")&lt;&gt;"N"),FALSE,IF($V$1="All",TRUE,IF(K499=$V$1,TRUE,FALSE)))</f>
        <v>#N/A</v>
      </c>
      <c r="W499" s="136" t="e">
        <f ca="1">VLOOKUP(A499,'銀行-TSS'!A:AO,41,FALSE)</f>
        <v>#N/A</v>
      </c>
      <c r="X499" s="136" t="e">
        <f ca="1">VLOOKUP(A499,'銀行-TSS'!A:AP,42,FALSE)</f>
        <v>#N/A</v>
      </c>
      <c r="Y499" s="1220">
        <f t="shared" si="320"/>
        <v>0</v>
      </c>
      <c r="Z499" s="1220">
        <f t="shared" si="321"/>
        <v>0</v>
      </c>
      <c r="AA499" s="136">
        <f>IF(Z499&lt;=0,0,RANK(Z499,Z:Z)+COUNTIF($Z$3:$Z499,Z499)-1)</f>
        <v>0</v>
      </c>
      <c r="AB499" s="1211">
        <f t="shared" ca="1" si="322"/>
        <v>-14896.14</v>
      </c>
      <c r="AC499" s="136">
        <f ca="1">IF(AB499&lt;=0,0,RANK(AB499,AB:AB)+COUNTIF($AB$3:$AB499,AB499)-1)</f>
        <v>0</v>
      </c>
      <c r="AD499" s="1123">
        <f t="shared" si="323"/>
        <v>99999</v>
      </c>
      <c r="AE499" s="1123">
        <f>IF(AD499=99999,0,RANK(AD499,AD:AD,1)+COUNTIF($AD$3:$AD499,AD499)-1)</f>
        <v>0</v>
      </c>
      <c r="AF499" s="86" t="e">
        <f ca="1">IF(OR(M499&lt;&gt;"",L499="無",K499="高資產",IFERROR(MATCH(B499,換券單檔!K:K,0),"N")&lt;&gt;"N"),FALSE,TRUE)</f>
        <v>#N/A</v>
      </c>
      <c r="AI499" s="1212" t="e">
        <f t="shared" ca="1" si="324"/>
        <v>#N/A</v>
      </c>
      <c r="AJ499" s="1213" t="e">
        <f t="shared" ca="1" si="325"/>
        <v>#N/A</v>
      </c>
      <c r="AK499" s="1587">
        <f t="shared" si="326"/>
        <v>0</v>
      </c>
      <c r="AN499" s="1212" t="e">
        <f t="shared" ca="1" si="327"/>
        <v>#N/A</v>
      </c>
      <c r="AO499" s="1213" t="e">
        <f t="shared" ca="1" si="328"/>
        <v>#N/A</v>
      </c>
      <c r="AP499" s="1587">
        <f t="shared" si="329"/>
        <v>0</v>
      </c>
      <c r="AS499" s="1212" t="e">
        <f t="shared" ca="1" si="330"/>
        <v>#N/A</v>
      </c>
      <c r="AT499" s="1213" t="e">
        <f t="shared" ca="1" si="331"/>
        <v>#N/A</v>
      </c>
      <c r="AU499" s="1587">
        <f t="shared" si="332"/>
        <v>0</v>
      </c>
      <c r="AX499" s="1212" t="e">
        <f t="shared" ca="1" si="333"/>
        <v>#N/A</v>
      </c>
      <c r="AY499" s="1213" t="e">
        <f t="shared" ca="1" si="334"/>
        <v>#N/A</v>
      </c>
      <c r="AZ499" s="1587">
        <f t="shared" si="335"/>
        <v>0</v>
      </c>
      <c r="BC499" s="1212" t="e">
        <f t="shared" ca="1" si="336"/>
        <v>#N/A</v>
      </c>
      <c r="BD499" s="1213" t="e">
        <f t="shared" ca="1" si="337"/>
        <v>#N/A</v>
      </c>
      <c r="BE499" s="1587">
        <f t="shared" si="338"/>
        <v>0</v>
      </c>
      <c r="BH499" s="1212" t="e">
        <f t="shared" ca="1" si="339"/>
        <v>#N/A</v>
      </c>
      <c r="BI499" s="1213" t="e">
        <f t="shared" ca="1" si="340"/>
        <v>#N/A</v>
      </c>
      <c r="BJ499" s="1587">
        <f t="shared" si="341"/>
        <v>0</v>
      </c>
      <c r="BM499" s="1212" t="e">
        <f t="shared" ca="1" si="342"/>
        <v>#N/A</v>
      </c>
      <c r="BN499" s="1213" t="e">
        <f t="shared" ca="1" si="343"/>
        <v>#N/A</v>
      </c>
      <c r="BO499" s="1587">
        <f t="shared" si="344"/>
        <v>0</v>
      </c>
      <c r="BR499" s="1212" t="e">
        <f t="shared" ca="1" si="345"/>
        <v>#N/A</v>
      </c>
      <c r="BS499" s="1213" t="e">
        <f t="shared" ca="1" si="346"/>
        <v>#N/A</v>
      </c>
      <c r="BT499" s="1587">
        <f t="shared" si="347"/>
        <v>0</v>
      </c>
      <c r="BW499" s="1212" t="e">
        <f t="shared" ca="1" si="348"/>
        <v>#N/A</v>
      </c>
      <c r="BX499" s="1213" t="e">
        <f t="shared" ca="1" si="349"/>
        <v>#N/A</v>
      </c>
      <c r="BY499" s="1587">
        <f t="shared" si="350"/>
        <v>0</v>
      </c>
      <c r="CB499" s="1212" t="e">
        <f t="shared" ca="1" si="351"/>
        <v>#N/A</v>
      </c>
      <c r="CC499" s="1213" t="e">
        <f t="shared" ca="1" si="352"/>
        <v>#N/A</v>
      </c>
      <c r="CD499" s="1587">
        <f t="shared" si="353"/>
        <v>0</v>
      </c>
      <c r="CG499" s="1212" t="e">
        <f t="shared" ca="1" si="354"/>
        <v>#N/A</v>
      </c>
      <c r="CH499" s="1213" t="e">
        <f t="shared" ca="1" si="355"/>
        <v>#N/A</v>
      </c>
      <c r="CI499" s="1587">
        <f t="shared" si="356"/>
        <v>0</v>
      </c>
      <c r="CL499" s="1212" t="e">
        <f t="shared" ca="1" si="357"/>
        <v>#N/A</v>
      </c>
      <c r="CM499" s="1213" t="e">
        <f t="shared" ca="1" si="358"/>
        <v>#N/A</v>
      </c>
      <c r="CN499" s="1587">
        <f t="shared" si="359"/>
        <v>0</v>
      </c>
    </row>
    <row r="500" spans="1:92">
      <c r="A500" s="141">
        <f>'銀行-TSS'!A500</f>
        <v>0</v>
      </c>
      <c r="B500" s="151">
        <f ca="1">VLOOKUP(A500,'銀行-TSS'!A:B,2,FALSE)</f>
        <v>0</v>
      </c>
      <c r="C500" s="151" t="e">
        <f ca="1">VLOOKUP(B500,bond!B:C,2,FALSE)</f>
        <v>#N/A</v>
      </c>
      <c r="D500" s="95" t="e">
        <f>VLOOKUP(A500,'銀行-TSS'!A:C,3,FALSE)</f>
        <v>#N/A</v>
      </c>
      <c r="E500" s="90" t="e">
        <f ca="1">VLOOKUP(A500,'銀行-TSS'!A:G,7,FALSE)</f>
        <v>#N/A</v>
      </c>
      <c r="F500" s="202" t="e">
        <f ca="1">VLOOKUP(A500,'銀行-TSS'!A:H,8,FALSE)</f>
        <v>#N/A</v>
      </c>
      <c r="G500" s="96" t="e">
        <f ca="1">VLOOKUP(A500,'銀行-TSS'!A:K,11,FALSE)</f>
        <v>#N/A</v>
      </c>
      <c r="H500" s="1209" t="e">
        <f ca="1">VLOOKUP(A500,'銀行-TSS'!A:M,13,FALSE)</f>
        <v>#N/A</v>
      </c>
      <c r="I500" s="1213" t="e">
        <f ca="1">VLOOKUP(A500,'銀行-TSS'!A:N,14,FALSE)</f>
        <v>#N/A</v>
      </c>
      <c r="J500" s="1213" t="e">
        <f ca="1">VLOOKUP(A500,'銀行-TSS'!A:O,15,FALSE)</f>
        <v>#N/A</v>
      </c>
      <c r="K500" s="136" t="e">
        <f ca="1">VLOOKUP(A500,'銀行-TSS'!A:V,22,FALSE)</f>
        <v>#N/A</v>
      </c>
      <c r="L500" s="136" t="e">
        <f ca="1">VLOOKUP(A500,'銀行-TSS'!A:AK,37,FALSE)</f>
        <v>#N/A</v>
      </c>
      <c r="M500" s="136" t="str">
        <f ca="1">VLOOKUP(A500,'銀行-TSS'!A:AN,40,FALSE)</f>
        <v/>
      </c>
      <c r="N500" s="136" t="e">
        <f t="shared" ca="1" si="315"/>
        <v>#N/A</v>
      </c>
      <c r="O500" s="1213" t="e">
        <f t="shared" ca="1" si="316"/>
        <v>#N/A</v>
      </c>
      <c r="P500" s="1213" t="e">
        <f ca="1">IF(AND($O$1&gt;=O500,換券單檔!$D$13=D500),I500+INT(($O$1-O500)/N500)*J500,0)</f>
        <v>#N/A</v>
      </c>
      <c r="Q500" s="1213" t="e">
        <f t="shared" ca="1" si="317"/>
        <v>#N/A</v>
      </c>
      <c r="R500" s="1213">
        <f t="shared" si="318"/>
        <v>0</v>
      </c>
      <c r="S500" s="1213">
        <f t="shared" si="319"/>
        <v>0</v>
      </c>
      <c r="T500" s="136">
        <f>IF(OR(R500=0,A500=0),0,IF(AND(V500=TRUE,換券單檔!$D$13=D500),E500,0))</f>
        <v>0</v>
      </c>
      <c r="U500" s="861">
        <f>IF(OR(R500=0,A500=0),0,IF(AND(V500=TRUE,換券單檔!$D$13=D500),H500,0))</f>
        <v>0</v>
      </c>
      <c r="V500" s="136" t="e">
        <f ca="1">IF(OR(B500=換券單檔!$D$3,L500="無",M500&lt;&gt;"",K500="高資產",IFERROR(MATCH(B500,換券單檔!K:K,0),"N")&lt;&gt;"N"),FALSE,IF($V$1="All",TRUE,IF(K500=$V$1,TRUE,FALSE)))</f>
        <v>#N/A</v>
      </c>
      <c r="W500" s="136" t="e">
        <f ca="1">VLOOKUP(A500,'銀行-TSS'!A:AO,41,FALSE)</f>
        <v>#N/A</v>
      </c>
      <c r="X500" s="136" t="e">
        <f ca="1">VLOOKUP(A500,'銀行-TSS'!A:AP,42,FALSE)</f>
        <v>#N/A</v>
      </c>
      <c r="Y500" s="1220">
        <f t="shared" si="320"/>
        <v>0</v>
      </c>
      <c r="Z500" s="1220">
        <f t="shared" si="321"/>
        <v>0</v>
      </c>
      <c r="AA500" s="136">
        <f>IF(Z500&lt;=0,0,RANK(Z500,Z:Z)+COUNTIF($Z$3:$Z500,Z500)-1)</f>
        <v>0</v>
      </c>
      <c r="AB500" s="1211">
        <f t="shared" ca="1" si="322"/>
        <v>-14896.14</v>
      </c>
      <c r="AC500" s="136">
        <f ca="1">IF(AB500&lt;=0,0,RANK(AB500,AB:AB)+COUNTIF($AB$3:$AB500,AB500)-1)</f>
        <v>0</v>
      </c>
      <c r="AD500" s="1123">
        <f t="shared" si="323"/>
        <v>99999</v>
      </c>
      <c r="AE500" s="1123">
        <f>IF(AD500=99999,0,RANK(AD500,AD:AD,1)+COUNTIF($AD$3:$AD500,AD500)-1)</f>
        <v>0</v>
      </c>
      <c r="AF500" s="86" t="e">
        <f ca="1">IF(OR(M500&lt;&gt;"",L500="無",K500="高資產",IFERROR(MATCH(B500,換券單檔!K:K,0),"N")&lt;&gt;"N"),FALSE,TRUE)</f>
        <v>#N/A</v>
      </c>
      <c r="AI500" s="1212" t="e">
        <f t="shared" ca="1" si="324"/>
        <v>#N/A</v>
      </c>
      <c r="AJ500" s="1213" t="e">
        <f t="shared" ca="1" si="325"/>
        <v>#N/A</v>
      </c>
      <c r="AK500" s="1587">
        <f t="shared" si="326"/>
        <v>0</v>
      </c>
      <c r="AN500" s="1212" t="e">
        <f t="shared" ca="1" si="327"/>
        <v>#N/A</v>
      </c>
      <c r="AO500" s="1213" t="e">
        <f t="shared" ca="1" si="328"/>
        <v>#N/A</v>
      </c>
      <c r="AP500" s="1587">
        <f t="shared" si="329"/>
        <v>0</v>
      </c>
      <c r="AS500" s="1212" t="e">
        <f t="shared" ca="1" si="330"/>
        <v>#N/A</v>
      </c>
      <c r="AT500" s="1213" t="e">
        <f t="shared" ca="1" si="331"/>
        <v>#N/A</v>
      </c>
      <c r="AU500" s="1587">
        <f t="shared" si="332"/>
        <v>0</v>
      </c>
      <c r="AX500" s="1212" t="e">
        <f t="shared" ca="1" si="333"/>
        <v>#N/A</v>
      </c>
      <c r="AY500" s="1213" t="e">
        <f t="shared" ca="1" si="334"/>
        <v>#N/A</v>
      </c>
      <c r="AZ500" s="1587">
        <f t="shared" si="335"/>
        <v>0</v>
      </c>
      <c r="BC500" s="1212" t="e">
        <f t="shared" ca="1" si="336"/>
        <v>#N/A</v>
      </c>
      <c r="BD500" s="1213" t="e">
        <f t="shared" ca="1" si="337"/>
        <v>#N/A</v>
      </c>
      <c r="BE500" s="1587">
        <f t="shared" si="338"/>
        <v>0</v>
      </c>
      <c r="BH500" s="1212" t="e">
        <f t="shared" ca="1" si="339"/>
        <v>#N/A</v>
      </c>
      <c r="BI500" s="1213" t="e">
        <f t="shared" ca="1" si="340"/>
        <v>#N/A</v>
      </c>
      <c r="BJ500" s="1587">
        <f t="shared" si="341"/>
        <v>0</v>
      </c>
      <c r="BM500" s="1212" t="e">
        <f t="shared" ca="1" si="342"/>
        <v>#N/A</v>
      </c>
      <c r="BN500" s="1213" t="e">
        <f t="shared" ca="1" si="343"/>
        <v>#N/A</v>
      </c>
      <c r="BO500" s="1587">
        <f t="shared" si="344"/>
        <v>0</v>
      </c>
      <c r="BR500" s="1212" t="e">
        <f t="shared" ca="1" si="345"/>
        <v>#N/A</v>
      </c>
      <c r="BS500" s="1213" t="e">
        <f t="shared" ca="1" si="346"/>
        <v>#N/A</v>
      </c>
      <c r="BT500" s="1587">
        <f t="shared" si="347"/>
        <v>0</v>
      </c>
      <c r="BW500" s="1212" t="e">
        <f t="shared" ca="1" si="348"/>
        <v>#N/A</v>
      </c>
      <c r="BX500" s="1213" t="e">
        <f t="shared" ca="1" si="349"/>
        <v>#N/A</v>
      </c>
      <c r="BY500" s="1587">
        <f t="shared" si="350"/>
        <v>0</v>
      </c>
      <c r="CB500" s="1212" t="e">
        <f t="shared" ca="1" si="351"/>
        <v>#N/A</v>
      </c>
      <c r="CC500" s="1213" t="e">
        <f t="shared" ca="1" si="352"/>
        <v>#N/A</v>
      </c>
      <c r="CD500" s="1587">
        <f t="shared" si="353"/>
        <v>0</v>
      </c>
      <c r="CG500" s="1212" t="e">
        <f t="shared" ca="1" si="354"/>
        <v>#N/A</v>
      </c>
      <c r="CH500" s="1213" t="e">
        <f t="shared" ca="1" si="355"/>
        <v>#N/A</v>
      </c>
      <c r="CI500" s="1587">
        <f t="shared" si="356"/>
        <v>0</v>
      </c>
      <c r="CL500" s="1212" t="e">
        <f t="shared" ca="1" si="357"/>
        <v>#N/A</v>
      </c>
      <c r="CM500" s="1213" t="e">
        <f t="shared" ca="1" si="358"/>
        <v>#N/A</v>
      </c>
      <c r="CN500" s="1587">
        <f t="shared" si="359"/>
        <v>0</v>
      </c>
    </row>
    <row r="501" spans="1:92">
      <c r="A501" s="141">
        <f>'銀行-TSS'!A501</f>
        <v>0</v>
      </c>
      <c r="B501" s="151">
        <f ca="1">VLOOKUP(A501,'銀行-TSS'!A:B,2,FALSE)</f>
        <v>0</v>
      </c>
      <c r="C501" s="151" t="e">
        <f ca="1">VLOOKUP(B501,bond!B:C,2,FALSE)</f>
        <v>#N/A</v>
      </c>
      <c r="D501" s="95" t="e">
        <f>VLOOKUP(A501,'銀行-TSS'!A:C,3,FALSE)</f>
        <v>#N/A</v>
      </c>
      <c r="E501" s="90" t="e">
        <f ca="1">VLOOKUP(A501,'銀行-TSS'!A:G,7,FALSE)</f>
        <v>#N/A</v>
      </c>
      <c r="F501" s="202" t="e">
        <f ca="1">VLOOKUP(A501,'銀行-TSS'!A:H,8,FALSE)</f>
        <v>#N/A</v>
      </c>
      <c r="G501" s="96" t="e">
        <f ca="1">VLOOKUP(A501,'銀行-TSS'!A:K,11,FALSE)</f>
        <v>#N/A</v>
      </c>
      <c r="H501" s="1209" t="e">
        <f ca="1">VLOOKUP(A501,'銀行-TSS'!A:M,13,FALSE)</f>
        <v>#N/A</v>
      </c>
      <c r="I501" s="1213" t="e">
        <f ca="1">VLOOKUP(A501,'銀行-TSS'!A:N,14,FALSE)</f>
        <v>#N/A</v>
      </c>
      <c r="J501" s="1213" t="e">
        <f ca="1">VLOOKUP(A501,'銀行-TSS'!A:O,15,FALSE)</f>
        <v>#N/A</v>
      </c>
      <c r="K501" s="136" t="e">
        <f ca="1">VLOOKUP(A501,'銀行-TSS'!A:V,22,FALSE)</f>
        <v>#N/A</v>
      </c>
      <c r="L501" s="136" t="e">
        <f ca="1">VLOOKUP(A501,'銀行-TSS'!A:AK,37,FALSE)</f>
        <v>#N/A</v>
      </c>
      <c r="M501" s="136" t="str">
        <f ca="1">VLOOKUP(A501,'銀行-TSS'!A:AN,40,FALSE)</f>
        <v/>
      </c>
      <c r="N501" s="136" t="e">
        <f t="shared" ca="1" si="315"/>
        <v>#N/A</v>
      </c>
      <c r="O501" s="1213" t="e">
        <f t="shared" ca="1" si="316"/>
        <v>#N/A</v>
      </c>
      <c r="P501" s="1213" t="e">
        <f ca="1">IF(AND($O$1&gt;=O501,換券單檔!$D$13=D501),I501+INT(($O$1-O501)/N501)*J501,0)</f>
        <v>#N/A</v>
      </c>
      <c r="Q501" s="1213" t="e">
        <f t="shared" ca="1" si="317"/>
        <v>#N/A</v>
      </c>
      <c r="R501" s="1213">
        <f t="shared" si="318"/>
        <v>0</v>
      </c>
      <c r="S501" s="1213">
        <f t="shared" si="319"/>
        <v>0</v>
      </c>
      <c r="T501" s="136">
        <f>IF(OR(R501=0,A501=0),0,IF(AND(V501=TRUE,換券單檔!$D$13=D501),E501,0))</f>
        <v>0</v>
      </c>
      <c r="U501" s="861">
        <f>IF(OR(R501=0,A501=0),0,IF(AND(V501=TRUE,換券單檔!$D$13=D501),H501,0))</f>
        <v>0</v>
      </c>
      <c r="V501" s="136" t="e">
        <f ca="1">IF(OR(B501=換券單檔!$D$3,L501="無",M501&lt;&gt;"",K501="高資產",IFERROR(MATCH(B501,換券單檔!K:K,0),"N")&lt;&gt;"N"),FALSE,IF($V$1="All",TRUE,IF(K501=$V$1,TRUE,FALSE)))</f>
        <v>#N/A</v>
      </c>
      <c r="W501" s="136" t="e">
        <f ca="1">VLOOKUP(A501,'銀行-TSS'!A:AO,41,FALSE)</f>
        <v>#N/A</v>
      </c>
      <c r="X501" s="136" t="e">
        <f ca="1">VLOOKUP(A501,'銀行-TSS'!A:AP,42,FALSE)</f>
        <v>#N/A</v>
      </c>
      <c r="Y501" s="1220">
        <f t="shared" si="320"/>
        <v>0</v>
      </c>
      <c r="Z501" s="1220">
        <f t="shared" si="321"/>
        <v>0</v>
      </c>
      <c r="AA501" s="136">
        <f>IF(Z501&lt;=0,0,RANK(Z501,Z:Z)+COUNTIF($Z$3:$Z501,Z501)-1)</f>
        <v>0</v>
      </c>
      <c r="AB501" s="1211">
        <f t="shared" ca="1" si="322"/>
        <v>-14896.14</v>
      </c>
      <c r="AC501" s="136">
        <f ca="1">IF(AB501&lt;=0,0,RANK(AB501,AB:AB)+COUNTIF($AB$3:$AB501,AB501)-1)</f>
        <v>0</v>
      </c>
      <c r="AD501" s="1123">
        <f t="shared" si="323"/>
        <v>99999</v>
      </c>
      <c r="AE501" s="1123">
        <f>IF(AD501=99999,0,RANK(AD501,AD:AD,1)+COUNTIF($AD$3:$AD501,AD501)-1)</f>
        <v>0</v>
      </c>
      <c r="AF501" s="86" t="e">
        <f ca="1">IF(OR(M501&lt;&gt;"",L501="無",K501="高資產",IFERROR(MATCH(B501,換券單檔!K:K,0),"N")&lt;&gt;"N"),FALSE,TRUE)</f>
        <v>#N/A</v>
      </c>
      <c r="AI501" s="1212" t="e">
        <f t="shared" ca="1" si="324"/>
        <v>#N/A</v>
      </c>
      <c r="AJ501" s="1213" t="e">
        <f t="shared" ca="1" si="325"/>
        <v>#N/A</v>
      </c>
      <c r="AK501" s="1587">
        <f t="shared" si="326"/>
        <v>0</v>
      </c>
      <c r="AN501" s="1212" t="e">
        <f t="shared" ca="1" si="327"/>
        <v>#N/A</v>
      </c>
      <c r="AO501" s="1213" t="e">
        <f t="shared" ca="1" si="328"/>
        <v>#N/A</v>
      </c>
      <c r="AP501" s="1587">
        <f t="shared" si="329"/>
        <v>0</v>
      </c>
      <c r="AS501" s="1212" t="e">
        <f t="shared" ca="1" si="330"/>
        <v>#N/A</v>
      </c>
      <c r="AT501" s="1213" t="e">
        <f t="shared" ca="1" si="331"/>
        <v>#N/A</v>
      </c>
      <c r="AU501" s="1587">
        <f t="shared" si="332"/>
        <v>0</v>
      </c>
      <c r="AX501" s="1212" t="e">
        <f t="shared" ca="1" si="333"/>
        <v>#N/A</v>
      </c>
      <c r="AY501" s="1213" t="e">
        <f t="shared" ca="1" si="334"/>
        <v>#N/A</v>
      </c>
      <c r="AZ501" s="1587">
        <f t="shared" si="335"/>
        <v>0</v>
      </c>
      <c r="BC501" s="1212" t="e">
        <f t="shared" ca="1" si="336"/>
        <v>#N/A</v>
      </c>
      <c r="BD501" s="1213" t="e">
        <f t="shared" ca="1" si="337"/>
        <v>#N/A</v>
      </c>
      <c r="BE501" s="1587">
        <f t="shared" si="338"/>
        <v>0</v>
      </c>
      <c r="BH501" s="1212" t="e">
        <f t="shared" ca="1" si="339"/>
        <v>#N/A</v>
      </c>
      <c r="BI501" s="1213" t="e">
        <f t="shared" ca="1" si="340"/>
        <v>#N/A</v>
      </c>
      <c r="BJ501" s="1587">
        <f t="shared" si="341"/>
        <v>0</v>
      </c>
      <c r="BM501" s="1212" t="e">
        <f t="shared" ca="1" si="342"/>
        <v>#N/A</v>
      </c>
      <c r="BN501" s="1213" t="e">
        <f t="shared" ca="1" si="343"/>
        <v>#N/A</v>
      </c>
      <c r="BO501" s="1587">
        <f t="shared" si="344"/>
        <v>0</v>
      </c>
      <c r="BR501" s="1212" t="e">
        <f t="shared" ca="1" si="345"/>
        <v>#N/A</v>
      </c>
      <c r="BS501" s="1213" t="e">
        <f t="shared" ca="1" si="346"/>
        <v>#N/A</v>
      </c>
      <c r="BT501" s="1587">
        <f t="shared" si="347"/>
        <v>0</v>
      </c>
      <c r="BW501" s="1212" t="e">
        <f t="shared" ca="1" si="348"/>
        <v>#N/A</v>
      </c>
      <c r="BX501" s="1213" t="e">
        <f t="shared" ca="1" si="349"/>
        <v>#N/A</v>
      </c>
      <c r="BY501" s="1587">
        <f t="shared" si="350"/>
        <v>0</v>
      </c>
      <c r="CB501" s="1212" t="e">
        <f t="shared" ca="1" si="351"/>
        <v>#N/A</v>
      </c>
      <c r="CC501" s="1213" t="e">
        <f t="shared" ca="1" si="352"/>
        <v>#N/A</v>
      </c>
      <c r="CD501" s="1587">
        <f t="shared" si="353"/>
        <v>0</v>
      </c>
      <c r="CG501" s="1212" t="e">
        <f t="shared" ca="1" si="354"/>
        <v>#N/A</v>
      </c>
      <c r="CH501" s="1213" t="e">
        <f t="shared" ca="1" si="355"/>
        <v>#N/A</v>
      </c>
      <c r="CI501" s="1587">
        <f t="shared" si="356"/>
        <v>0</v>
      </c>
      <c r="CL501" s="1212" t="e">
        <f t="shared" ca="1" si="357"/>
        <v>#N/A</v>
      </c>
      <c r="CM501" s="1213" t="e">
        <f t="shared" ca="1" si="358"/>
        <v>#N/A</v>
      </c>
      <c r="CN501" s="1587">
        <f t="shared" si="359"/>
        <v>0</v>
      </c>
    </row>
    <row r="502" spans="1:92">
      <c r="A502" s="141">
        <f>'銀行-TSS'!A502</f>
        <v>0</v>
      </c>
      <c r="B502" s="151">
        <f ca="1">VLOOKUP(A502,'銀行-TSS'!A:B,2,FALSE)</f>
        <v>0</v>
      </c>
      <c r="C502" s="151" t="e">
        <f ca="1">VLOOKUP(B502,bond!B:C,2,FALSE)</f>
        <v>#N/A</v>
      </c>
      <c r="D502" s="95" t="e">
        <f>VLOOKUP(A502,'銀行-TSS'!A:C,3,FALSE)</f>
        <v>#N/A</v>
      </c>
      <c r="E502" s="90" t="e">
        <f ca="1">VLOOKUP(A502,'銀行-TSS'!A:G,7,FALSE)</f>
        <v>#N/A</v>
      </c>
      <c r="F502" s="202" t="e">
        <f ca="1">VLOOKUP(A502,'銀行-TSS'!A:H,8,FALSE)</f>
        <v>#N/A</v>
      </c>
      <c r="G502" s="96" t="e">
        <f ca="1">VLOOKUP(A502,'銀行-TSS'!A:K,11,FALSE)</f>
        <v>#N/A</v>
      </c>
      <c r="H502" s="1209" t="e">
        <f ca="1">VLOOKUP(A502,'銀行-TSS'!A:M,13,FALSE)</f>
        <v>#N/A</v>
      </c>
      <c r="I502" s="1213" t="e">
        <f ca="1">VLOOKUP(A502,'銀行-TSS'!A:N,14,FALSE)</f>
        <v>#N/A</v>
      </c>
      <c r="J502" s="1213" t="e">
        <f ca="1">VLOOKUP(A502,'銀行-TSS'!A:O,15,FALSE)</f>
        <v>#N/A</v>
      </c>
      <c r="K502" s="136" t="e">
        <f ca="1">VLOOKUP(A502,'銀行-TSS'!A:V,22,FALSE)</f>
        <v>#N/A</v>
      </c>
      <c r="L502" s="136" t="e">
        <f ca="1">VLOOKUP(A502,'銀行-TSS'!A:AK,37,FALSE)</f>
        <v>#N/A</v>
      </c>
      <c r="M502" s="136" t="str">
        <f ca="1">VLOOKUP(A502,'銀行-TSS'!A:AN,40,FALSE)</f>
        <v/>
      </c>
      <c r="N502" s="136" t="e">
        <f t="shared" ca="1" si="315"/>
        <v>#N/A</v>
      </c>
      <c r="O502" s="1213" t="e">
        <f t="shared" ca="1" si="316"/>
        <v>#N/A</v>
      </c>
      <c r="P502" s="1213" t="e">
        <f ca="1">IF(AND($O$1&gt;=O502,換券單檔!$D$13=D502),I502+INT(($O$1-O502)/N502)*J502,0)</f>
        <v>#N/A</v>
      </c>
      <c r="Q502" s="1213" t="e">
        <f t="shared" ca="1" si="317"/>
        <v>#N/A</v>
      </c>
      <c r="R502" s="1213">
        <f t="shared" si="318"/>
        <v>0</v>
      </c>
      <c r="S502" s="1213">
        <f t="shared" si="319"/>
        <v>0</v>
      </c>
      <c r="T502" s="136">
        <f>IF(OR(R502=0,A502=0),0,IF(AND(V502=TRUE,換券單檔!$D$13=D502),E502,0))</f>
        <v>0</v>
      </c>
      <c r="U502" s="861">
        <f>IF(OR(R502=0,A502=0),0,IF(AND(V502=TRUE,換券單檔!$D$13=D502),H502,0))</f>
        <v>0</v>
      </c>
      <c r="V502" s="136" t="e">
        <f ca="1">IF(OR(B502=換券單檔!$D$3,L502="無",M502&lt;&gt;"",K502="高資產",IFERROR(MATCH(B502,換券單檔!K:K,0),"N")&lt;&gt;"N"),FALSE,IF($V$1="All",TRUE,IF(K502=$V$1,TRUE,FALSE)))</f>
        <v>#N/A</v>
      </c>
      <c r="W502" s="136" t="e">
        <f ca="1">VLOOKUP(A502,'銀行-TSS'!A:AO,41,FALSE)</f>
        <v>#N/A</v>
      </c>
      <c r="X502" s="136" t="e">
        <f ca="1">VLOOKUP(A502,'銀行-TSS'!A:AP,42,FALSE)</f>
        <v>#N/A</v>
      </c>
      <c r="Y502" s="1220">
        <f t="shared" si="320"/>
        <v>0</v>
      </c>
      <c r="Z502" s="1220">
        <f t="shared" si="321"/>
        <v>0</v>
      </c>
      <c r="AA502" s="136">
        <f>IF(Z502&lt;=0,0,RANK(Z502,Z:Z)+COUNTIF($Z$3:$Z502,Z502)-1)</f>
        <v>0</v>
      </c>
      <c r="AB502" s="1211">
        <f t="shared" ca="1" si="322"/>
        <v>-14896.14</v>
      </c>
      <c r="AC502" s="136">
        <f ca="1">IF(AB502&lt;=0,0,RANK(AB502,AB:AB)+COUNTIF($AB$3:$AB502,AB502)-1)</f>
        <v>0</v>
      </c>
      <c r="AD502" s="1123">
        <f t="shared" si="323"/>
        <v>99999</v>
      </c>
      <c r="AE502" s="1123">
        <f>IF(AD502=99999,0,RANK(AD502,AD:AD,1)+COUNTIF($AD$3:$AD502,AD502)-1)</f>
        <v>0</v>
      </c>
      <c r="AF502" s="86" t="e">
        <f ca="1">IF(OR(M502&lt;&gt;"",L502="無",K502="高資產",IFERROR(MATCH(B502,換券單檔!K:K,0),"N")&lt;&gt;"N"),FALSE,TRUE)</f>
        <v>#N/A</v>
      </c>
      <c r="AI502" s="1212" t="e">
        <f t="shared" ca="1" si="324"/>
        <v>#N/A</v>
      </c>
      <c r="AJ502" s="1213" t="e">
        <f t="shared" ca="1" si="325"/>
        <v>#N/A</v>
      </c>
      <c r="AK502" s="1587">
        <f t="shared" si="326"/>
        <v>0</v>
      </c>
      <c r="AN502" s="1212" t="e">
        <f t="shared" ca="1" si="327"/>
        <v>#N/A</v>
      </c>
      <c r="AO502" s="1213" t="e">
        <f t="shared" ca="1" si="328"/>
        <v>#N/A</v>
      </c>
      <c r="AP502" s="1587">
        <f t="shared" si="329"/>
        <v>0</v>
      </c>
      <c r="AS502" s="1212" t="e">
        <f t="shared" ca="1" si="330"/>
        <v>#N/A</v>
      </c>
      <c r="AT502" s="1213" t="e">
        <f t="shared" ca="1" si="331"/>
        <v>#N/A</v>
      </c>
      <c r="AU502" s="1587">
        <f t="shared" si="332"/>
        <v>0</v>
      </c>
      <c r="AX502" s="1212" t="e">
        <f t="shared" ca="1" si="333"/>
        <v>#N/A</v>
      </c>
      <c r="AY502" s="1213" t="e">
        <f t="shared" ca="1" si="334"/>
        <v>#N/A</v>
      </c>
      <c r="AZ502" s="1587">
        <f t="shared" si="335"/>
        <v>0</v>
      </c>
      <c r="BC502" s="1212" t="e">
        <f t="shared" ca="1" si="336"/>
        <v>#N/A</v>
      </c>
      <c r="BD502" s="1213" t="e">
        <f t="shared" ca="1" si="337"/>
        <v>#N/A</v>
      </c>
      <c r="BE502" s="1587">
        <f t="shared" si="338"/>
        <v>0</v>
      </c>
      <c r="BH502" s="1212" t="e">
        <f t="shared" ca="1" si="339"/>
        <v>#N/A</v>
      </c>
      <c r="BI502" s="1213" t="e">
        <f t="shared" ca="1" si="340"/>
        <v>#N/A</v>
      </c>
      <c r="BJ502" s="1587">
        <f t="shared" si="341"/>
        <v>0</v>
      </c>
      <c r="BM502" s="1212" t="e">
        <f t="shared" ca="1" si="342"/>
        <v>#N/A</v>
      </c>
      <c r="BN502" s="1213" t="e">
        <f t="shared" ca="1" si="343"/>
        <v>#N/A</v>
      </c>
      <c r="BO502" s="1587">
        <f t="shared" si="344"/>
        <v>0</v>
      </c>
      <c r="BR502" s="1212" t="e">
        <f t="shared" ca="1" si="345"/>
        <v>#N/A</v>
      </c>
      <c r="BS502" s="1213" t="e">
        <f t="shared" ca="1" si="346"/>
        <v>#N/A</v>
      </c>
      <c r="BT502" s="1587">
        <f t="shared" si="347"/>
        <v>0</v>
      </c>
      <c r="BW502" s="1212" t="e">
        <f t="shared" ca="1" si="348"/>
        <v>#N/A</v>
      </c>
      <c r="BX502" s="1213" t="e">
        <f t="shared" ca="1" si="349"/>
        <v>#N/A</v>
      </c>
      <c r="BY502" s="1587">
        <f t="shared" si="350"/>
        <v>0</v>
      </c>
      <c r="CB502" s="1212" t="e">
        <f t="shared" ca="1" si="351"/>
        <v>#N/A</v>
      </c>
      <c r="CC502" s="1213" t="e">
        <f t="shared" ca="1" si="352"/>
        <v>#N/A</v>
      </c>
      <c r="CD502" s="1587">
        <f t="shared" si="353"/>
        <v>0</v>
      </c>
      <c r="CG502" s="1212" t="e">
        <f t="shared" ca="1" si="354"/>
        <v>#N/A</v>
      </c>
      <c r="CH502" s="1213" t="e">
        <f t="shared" ca="1" si="355"/>
        <v>#N/A</v>
      </c>
      <c r="CI502" s="1587">
        <f t="shared" si="356"/>
        <v>0</v>
      </c>
      <c r="CL502" s="1212" t="e">
        <f t="shared" ca="1" si="357"/>
        <v>#N/A</v>
      </c>
      <c r="CM502" s="1213" t="e">
        <f t="shared" ca="1" si="358"/>
        <v>#N/A</v>
      </c>
      <c r="CN502" s="1587">
        <f t="shared" si="359"/>
        <v>0</v>
      </c>
    </row>
    <row r="503" spans="1:92">
      <c r="A503" s="141">
        <f>'銀行-TSS'!A503</f>
        <v>0</v>
      </c>
      <c r="B503" s="151">
        <f ca="1">VLOOKUP(A503,'銀行-TSS'!A:B,2,FALSE)</f>
        <v>0</v>
      </c>
      <c r="C503" s="151" t="e">
        <f ca="1">VLOOKUP(B503,bond!B:C,2,FALSE)</f>
        <v>#N/A</v>
      </c>
      <c r="D503" s="95" t="e">
        <f>VLOOKUP(A503,'銀行-TSS'!A:C,3,FALSE)</f>
        <v>#N/A</v>
      </c>
      <c r="E503" s="90" t="e">
        <f ca="1">VLOOKUP(A503,'銀行-TSS'!A:G,7,FALSE)</f>
        <v>#N/A</v>
      </c>
      <c r="F503" s="202" t="e">
        <f ca="1">VLOOKUP(A503,'銀行-TSS'!A:H,8,FALSE)</f>
        <v>#N/A</v>
      </c>
      <c r="G503" s="96" t="e">
        <f ca="1">VLOOKUP(A503,'銀行-TSS'!A:K,11,FALSE)</f>
        <v>#N/A</v>
      </c>
      <c r="H503" s="1209" t="e">
        <f ca="1">VLOOKUP(A503,'銀行-TSS'!A:M,13,FALSE)</f>
        <v>#N/A</v>
      </c>
      <c r="I503" s="1213" t="e">
        <f ca="1">VLOOKUP(A503,'銀行-TSS'!A:N,14,FALSE)</f>
        <v>#N/A</v>
      </c>
      <c r="J503" s="1213" t="e">
        <f ca="1">VLOOKUP(A503,'銀行-TSS'!A:O,15,FALSE)</f>
        <v>#N/A</v>
      </c>
      <c r="K503" s="136" t="e">
        <f ca="1">VLOOKUP(A503,'銀行-TSS'!A:V,22,FALSE)</f>
        <v>#N/A</v>
      </c>
      <c r="L503" s="136" t="e">
        <f ca="1">VLOOKUP(A503,'銀行-TSS'!A:AK,37,FALSE)</f>
        <v>#N/A</v>
      </c>
      <c r="M503" s="136" t="str">
        <f ca="1">VLOOKUP(A503,'銀行-TSS'!A:AN,40,FALSE)</f>
        <v/>
      </c>
      <c r="N503" s="136" t="e">
        <f t="shared" ca="1" si="315"/>
        <v>#N/A</v>
      </c>
      <c r="O503" s="1213" t="e">
        <f t="shared" ca="1" si="316"/>
        <v>#N/A</v>
      </c>
      <c r="P503" s="1213" t="e">
        <f ca="1">IF(AND($O$1&gt;=O503,換券單檔!$D$13=D503),I503+INT(($O$1-O503)/N503)*J503,0)</f>
        <v>#N/A</v>
      </c>
      <c r="Q503" s="1213" t="e">
        <f t="shared" ca="1" si="317"/>
        <v>#N/A</v>
      </c>
      <c r="R503" s="1213">
        <f t="shared" si="318"/>
        <v>0</v>
      </c>
      <c r="S503" s="1213">
        <f t="shared" si="319"/>
        <v>0</v>
      </c>
      <c r="T503" s="136">
        <f>IF(OR(R503=0,A503=0),0,IF(AND(V503=TRUE,換券單檔!$D$13=D503),E503,0))</f>
        <v>0</v>
      </c>
      <c r="U503" s="861">
        <f>IF(OR(R503=0,A503=0),0,IF(AND(V503=TRUE,換券單檔!$D$13=D503),H503,0))</f>
        <v>0</v>
      </c>
      <c r="V503" s="136" t="e">
        <f ca="1">IF(OR(B503=換券單檔!$D$3,L503="無",M503&lt;&gt;"",K503="高資產",IFERROR(MATCH(B503,換券單檔!K:K,0),"N")&lt;&gt;"N"),FALSE,IF($V$1="All",TRUE,IF(K503=$V$1,TRUE,FALSE)))</f>
        <v>#N/A</v>
      </c>
      <c r="W503" s="136" t="e">
        <f ca="1">VLOOKUP(A503,'銀行-TSS'!A:AO,41,FALSE)</f>
        <v>#N/A</v>
      </c>
      <c r="X503" s="136" t="e">
        <f ca="1">VLOOKUP(A503,'銀行-TSS'!A:AP,42,FALSE)</f>
        <v>#N/A</v>
      </c>
      <c r="Y503" s="1220">
        <f t="shared" si="320"/>
        <v>0</v>
      </c>
      <c r="Z503" s="1220">
        <f t="shared" si="321"/>
        <v>0</v>
      </c>
      <c r="AA503" s="136">
        <f>IF(Z503&lt;=0,0,RANK(Z503,Z:Z)+COUNTIF($Z$3:$Z503,Z503)-1)</f>
        <v>0</v>
      </c>
      <c r="AB503" s="1211">
        <f t="shared" ca="1" si="322"/>
        <v>-14896.14</v>
      </c>
      <c r="AC503" s="136">
        <f ca="1">IF(AB503&lt;=0,0,RANK(AB503,AB:AB)+COUNTIF($AB$3:$AB503,AB503)-1)</f>
        <v>0</v>
      </c>
      <c r="AD503" s="1123">
        <f t="shared" si="323"/>
        <v>99999</v>
      </c>
      <c r="AE503" s="1123">
        <f>IF(AD503=99999,0,RANK(AD503,AD:AD,1)+COUNTIF($AD$3:$AD503,AD503)-1)</f>
        <v>0</v>
      </c>
      <c r="AF503" s="86" t="e">
        <f ca="1">IF(OR(M503&lt;&gt;"",L503="無",K503="高資產",IFERROR(MATCH(B503,換券單檔!K:K,0),"N")&lt;&gt;"N"),FALSE,TRUE)</f>
        <v>#N/A</v>
      </c>
      <c r="AI503" s="1212" t="e">
        <f t="shared" ca="1" si="324"/>
        <v>#N/A</v>
      </c>
      <c r="AJ503" s="1213" t="e">
        <f t="shared" ca="1" si="325"/>
        <v>#N/A</v>
      </c>
      <c r="AK503" s="1587">
        <f t="shared" si="326"/>
        <v>0</v>
      </c>
      <c r="AN503" s="1212" t="e">
        <f t="shared" ca="1" si="327"/>
        <v>#N/A</v>
      </c>
      <c r="AO503" s="1213" t="e">
        <f t="shared" ca="1" si="328"/>
        <v>#N/A</v>
      </c>
      <c r="AP503" s="1587">
        <f t="shared" si="329"/>
        <v>0</v>
      </c>
      <c r="AS503" s="1212" t="e">
        <f t="shared" ca="1" si="330"/>
        <v>#N/A</v>
      </c>
      <c r="AT503" s="1213" t="e">
        <f t="shared" ca="1" si="331"/>
        <v>#N/A</v>
      </c>
      <c r="AU503" s="1587">
        <f t="shared" si="332"/>
        <v>0</v>
      </c>
      <c r="AX503" s="1212" t="e">
        <f t="shared" ca="1" si="333"/>
        <v>#N/A</v>
      </c>
      <c r="AY503" s="1213" t="e">
        <f t="shared" ca="1" si="334"/>
        <v>#N/A</v>
      </c>
      <c r="AZ503" s="1587">
        <f t="shared" si="335"/>
        <v>0</v>
      </c>
      <c r="BC503" s="1212" t="e">
        <f t="shared" ca="1" si="336"/>
        <v>#N/A</v>
      </c>
      <c r="BD503" s="1213" t="e">
        <f t="shared" ca="1" si="337"/>
        <v>#N/A</v>
      </c>
      <c r="BE503" s="1587">
        <f t="shared" si="338"/>
        <v>0</v>
      </c>
      <c r="BH503" s="1212" t="e">
        <f t="shared" ca="1" si="339"/>
        <v>#N/A</v>
      </c>
      <c r="BI503" s="1213" t="e">
        <f t="shared" ca="1" si="340"/>
        <v>#N/A</v>
      </c>
      <c r="BJ503" s="1587">
        <f t="shared" si="341"/>
        <v>0</v>
      </c>
      <c r="BM503" s="1212" t="e">
        <f t="shared" ca="1" si="342"/>
        <v>#N/A</v>
      </c>
      <c r="BN503" s="1213" t="e">
        <f t="shared" ca="1" si="343"/>
        <v>#N/A</v>
      </c>
      <c r="BO503" s="1587">
        <f t="shared" si="344"/>
        <v>0</v>
      </c>
      <c r="BR503" s="1212" t="e">
        <f t="shared" ca="1" si="345"/>
        <v>#N/A</v>
      </c>
      <c r="BS503" s="1213" t="e">
        <f t="shared" ca="1" si="346"/>
        <v>#N/A</v>
      </c>
      <c r="BT503" s="1587">
        <f t="shared" si="347"/>
        <v>0</v>
      </c>
      <c r="BW503" s="1212" t="e">
        <f t="shared" ca="1" si="348"/>
        <v>#N/A</v>
      </c>
      <c r="BX503" s="1213" t="e">
        <f t="shared" ca="1" si="349"/>
        <v>#N/A</v>
      </c>
      <c r="BY503" s="1587">
        <f t="shared" si="350"/>
        <v>0</v>
      </c>
      <c r="CB503" s="1212" t="e">
        <f t="shared" ca="1" si="351"/>
        <v>#N/A</v>
      </c>
      <c r="CC503" s="1213" t="e">
        <f t="shared" ca="1" si="352"/>
        <v>#N/A</v>
      </c>
      <c r="CD503" s="1587">
        <f t="shared" si="353"/>
        <v>0</v>
      </c>
      <c r="CG503" s="1212" t="e">
        <f t="shared" ca="1" si="354"/>
        <v>#N/A</v>
      </c>
      <c r="CH503" s="1213" t="e">
        <f t="shared" ca="1" si="355"/>
        <v>#N/A</v>
      </c>
      <c r="CI503" s="1587">
        <f t="shared" si="356"/>
        <v>0</v>
      </c>
      <c r="CL503" s="1212" t="e">
        <f t="shared" ca="1" si="357"/>
        <v>#N/A</v>
      </c>
      <c r="CM503" s="1213" t="e">
        <f t="shared" ca="1" si="358"/>
        <v>#N/A</v>
      </c>
      <c r="CN503" s="1587">
        <f t="shared" si="359"/>
        <v>0</v>
      </c>
    </row>
    <row r="504" spans="1:92">
      <c r="A504" s="141">
        <f>'銀行-TSS'!A504</f>
        <v>0</v>
      </c>
      <c r="B504" s="151">
        <f ca="1">VLOOKUP(A504,'銀行-TSS'!A:B,2,FALSE)</f>
        <v>0</v>
      </c>
      <c r="C504" s="151" t="e">
        <f ca="1">VLOOKUP(B504,bond!B:C,2,FALSE)</f>
        <v>#N/A</v>
      </c>
      <c r="D504" s="95" t="e">
        <f>VLOOKUP(A504,'銀行-TSS'!A:C,3,FALSE)</f>
        <v>#N/A</v>
      </c>
      <c r="E504" s="90" t="e">
        <f ca="1">VLOOKUP(A504,'銀行-TSS'!A:G,7,FALSE)</f>
        <v>#N/A</v>
      </c>
      <c r="F504" s="202" t="e">
        <f ca="1">VLOOKUP(A504,'銀行-TSS'!A:H,8,FALSE)</f>
        <v>#N/A</v>
      </c>
      <c r="G504" s="96" t="e">
        <f ca="1">VLOOKUP(A504,'銀行-TSS'!A:K,11,FALSE)</f>
        <v>#N/A</v>
      </c>
      <c r="H504" s="1209" t="e">
        <f ca="1">VLOOKUP(A504,'銀行-TSS'!A:M,13,FALSE)</f>
        <v>#N/A</v>
      </c>
      <c r="I504" s="1213" t="e">
        <f ca="1">VLOOKUP(A504,'銀行-TSS'!A:N,14,FALSE)</f>
        <v>#N/A</v>
      </c>
      <c r="J504" s="1213" t="e">
        <f ca="1">VLOOKUP(A504,'銀行-TSS'!A:O,15,FALSE)</f>
        <v>#N/A</v>
      </c>
      <c r="K504" s="136" t="e">
        <f ca="1">VLOOKUP(A504,'銀行-TSS'!A:V,22,FALSE)</f>
        <v>#N/A</v>
      </c>
      <c r="L504" s="136" t="e">
        <f ca="1">VLOOKUP(A504,'銀行-TSS'!A:AK,37,FALSE)</f>
        <v>#N/A</v>
      </c>
      <c r="M504" s="136" t="str">
        <f ca="1">VLOOKUP(A504,'銀行-TSS'!A:AN,40,FALSE)</f>
        <v/>
      </c>
      <c r="N504" s="136" t="e">
        <f t="shared" ca="1" si="315"/>
        <v>#N/A</v>
      </c>
      <c r="O504" s="1213" t="e">
        <f t="shared" ca="1" si="316"/>
        <v>#N/A</v>
      </c>
      <c r="P504" s="1213" t="e">
        <f ca="1">IF(AND($O$1&gt;=O504,換券單檔!$D$13=D504),I504+INT(($O$1-O504)/N504)*J504,0)</f>
        <v>#N/A</v>
      </c>
      <c r="Q504" s="1213" t="e">
        <f t="shared" ca="1" si="317"/>
        <v>#N/A</v>
      </c>
      <c r="R504" s="1213">
        <f t="shared" si="318"/>
        <v>0</v>
      </c>
      <c r="S504" s="1213">
        <f t="shared" si="319"/>
        <v>0</v>
      </c>
      <c r="T504" s="136">
        <f>IF(OR(R504=0,A504=0),0,IF(AND(V504=TRUE,換券單檔!$D$13=D504),E504,0))</f>
        <v>0</v>
      </c>
      <c r="U504" s="861">
        <f>IF(OR(R504=0,A504=0),0,IF(AND(V504=TRUE,換券單檔!$D$13=D504),H504,0))</f>
        <v>0</v>
      </c>
      <c r="V504" s="136" t="e">
        <f ca="1">IF(OR(B504=換券單檔!$D$3,L504="無",M504&lt;&gt;"",K504="高資產",IFERROR(MATCH(B504,換券單檔!K:K,0),"N")&lt;&gt;"N"),FALSE,IF($V$1="All",TRUE,IF(K504=$V$1,TRUE,FALSE)))</f>
        <v>#N/A</v>
      </c>
      <c r="W504" s="136" t="e">
        <f ca="1">VLOOKUP(A504,'銀行-TSS'!A:AO,41,FALSE)</f>
        <v>#N/A</v>
      </c>
      <c r="X504" s="136" t="e">
        <f ca="1">VLOOKUP(A504,'銀行-TSS'!A:AP,42,FALSE)</f>
        <v>#N/A</v>
      </c>
      <c r="Y504" s="1220">
        <f t="shared" si="320"/>
        <v>0</v>
      </c>
      <c r="Z504" s="1220">
        <f t="shared" si="321"/>
        <v>0</v>
      </c>
      <c r="AA504" s="136">
        <f>IF(Z504&lt;=0,0,RANK(Z504,Z:Z)+COUNTIF($Z$3:$Z504,Z504)-1)</f>
        <v>0</v>
      </c>
      <c r="AB504" s="1211">
        <f t="shared" ca="1" si="322"/>
        <v>-14896.14</v>
      </c>
      <c r="AC504" s="136">
        <f ca="1">IF(AB504&lt;=0,0,RANK(AB504,AB:AB)+COUNTIF($AB$3:$AB504,AB504)-1)</f>
        <v>0</v>
      </c>
      <c r="AD504" s="1123">
        <f t="shared" si="323"/>
        <v>99999</v>
      </c>
      <c r="AE504" s="1123">
        <f>IF(AD504=99999,0,RANK(AD504,AD:AD,1)+COUNTIF($AD$3:$AD504,AD504)-1)</f>
        <v>0</v>
      </c>
      <c r="AF504" s="86" t="e">
        <f ca="1">IF(OR(M504&lt;&gt;"",L504="無",K504="高資產",IFERROR(MATCH(B504,換券單檔!K:K,0),"N")&lt;&gt;"N"),FALSE,TRUE)</f>
        <v>#N/A</v>
      </c>
      <c r="AI504" s="1212" t="e">
        <f t="shared" ca="1" si="324"/>
        <v>#N/A</v>
      </c>
      <c r="AJ504" s="1213" t="e">
        <f t="shared" ca="1" si="325"/>
        <v>#N/A</v>
      </c>
      <c r="AK504" s="1587">
        <f t="shared" si="326"/>
        <v>0</v>
      </c>
      <c r="AN504" s="1212" t="e">
        <f t="shared" ca="1" si="327"/>
        <v>#N/A</v>
      </c>
      <c r="AO504" s="1213" t="e">
        <f t="shared" ca="1" si="328"/>
        <v>#N/A</v>
      </c>
      <c r="AP504" s="1587">
        <f t="shared" si="329"/>
        <v>0</v>
      </c>
      <c r="AS504" s="1212" t="e">
        <f t="shared" ca="1" si="330"/>
        <v>#N/A</v>
      </c>
      <c r="AT504" s="1213" t="e">
        <f t="shared" ca="1" si="331"/>
        <v>#N/A</v>
      </c>
      <c r="AU504" s="1587">
        <f t="shared" si="332"/>
        <v>0</v>
      </c>
      <c r="AX504" s="1212" t="e">
        <f t="shared" ca="1" si="333"/>
        <v>#N/A</v>
      </c>
      <c r="AY504" s="1213" t="e">
        <f t="shared" ca="1" si="334"/>
        <v>#N/A</v>
      </c>
      <c r="AZ504" s="1587">
        <f t="shared" si="335"/>
        <v>0</v>
      </c>
      <c r="BC504" s="1212" t="e">
        <f t="shared" ca="1" si="336"/>
        <v>#N/A</v>
      </c>
      <c r="BD504" s="1213" t="e">
        <f t="shared" ca="1" si="337"/>
        <v>#N/A</v>
      </c>
      <c r="BE504" s="1587">
        <f t="shared" si="338"/>
        <v>0</v>
      </c>
      <c r="BH504" s="1212" t="e">
        <f t="shared" ca="1" si="339"/>
        <v>#N/A</v>
      </c>
      <c r="BI504" s="1213" t="e">
        <f t="shared" ca="1" si="340"/>
        <v>#N/A</v>
      </c>
      <c r="BJ504" s="1587">
        <f t="shared" si="341"/>
        <v>0</v>
      </c>
      <c r="BM504" s="1212" t="e">
        <f t="shared" ca="1" si="342"/>
        <v>#N/A</v>
      </c>
      <c r="BN504" s="1213" t="e">
        <f t="shared" ca="1" si="343"/>
        <v>#N/A</v>
      </c>
      <c r="BO504" s="1587">
        <f t="shared" si="344"/>
        <v>0</v>
      </c>
      <c r="BR504" s="1212" t="e">
        <f t="shared" ca="1" si="345"/>
        <v>#N/A</v>
      </c>
      <c r="BS504" s="1213" t="e">
        <f t="shared" ca="1" si="346"/>
        <v>#N/A</v>
      </c>
      <c r="BT504" s="1587">
        <f t="shared" si="347"/>
        <v>0</v>
      </c>
      <c r="BW504" s="1212" t="e">
        <f t="shared" ca="1" si="348"/>
        <v>#N/A</v>
      </c>
      <c r="BX504" s="1213" t="e">
        <f t="shared" ca="1" si="349"/>
        <v>#N/A</v>
      </c>
      <c r="BY504" s="1587">
        <f t="shared" si="350"/>
        <v>0</v>
      </c>
      <c r="CB504" s="1212" t="e">
        <f t="shared" ca="1" si="351"/>
        <v>#N/A</v>
      </c>
      <c r="CC504" s="1213" t="e">
        <f t="shared" ca="1" si="352"/>
        <v>#N/A</v>
      </c>
      <c r="CD504" s="1587">
        <f t="shared" si="353"/>
        <v>0</v>
      </c>
      <c r="CG504" s="1212" t="e">
        <f t="shared" ca="1" si="354"/>
        <v>#N/A</v>
      </c>
      <c r="CH504" s="1213" t="e">
        <f t="shared" ca="1" si="355"/>
        <v>#N/A</v>
      </c>
      <c r="CI504" s="1587">
        <f t="shared" si="356"/>
        <v>0</v>
      </c>
      <c r="CL504" s="1212" t="e">
        <f t="shared" ca="1" si="357"/>
        <v>#N/A</v>
      </c>
      <c r="CM504" s="1213" t="e">
        <f t="shared" ca="1" si="358"/>
        <v>#N/A</v>
      </c>
      <c r="CN504" s="1587">
        <f t="shared" si="359"/>
        <v>0</v>
      </c>
    </row>
    <row r="505" spans="1:92">
      <c r="A505" s="141">
        <f>'銀行-TSS'!A505</f>
        <v>0</v>
      </c>
      <c r="B505" s="151">
        <f ca="1">VLOOKUP(A505,'銀行-TSS'!A:B,2,FALSE)</f>
        <v>0</v>
      </c>
      <c r="C505" s="151" t="e">
        <f ca="1">VLOOKUP(B505,bond!B:C,2,FALSE)</f>
        <v>#N/A</v>
      </c>
      <c r="D505" s="95" t="e">
        <f>VLOOKUP(A505,'銀行-TSS'!A:C,3,FALSE)</f>
        <v>#N/A</v>
      </c>
      <c r="E505" s="90" t="e">
        <f ca="1">VLOOKUP(A505,'銀行-TSS'!A:G,7,FALSE)</f>
        <v>#N/A</v>
      </c>
      <c r="F505" s="202" t="e">
        <f ca="1">VLOOKUP(A505,'銀行-TSS'!A:H,8,FALSE)</f>
        <v>#N/A</v>
      </c>
      <c r="G505" s="96" t="e">
        <f ca="1">VLOOKUP(A505,'銀行-TSS'!A:K,11,FALSE)</f>
        <v>#N/A</v>
      </c>
      <c r="H505" s="1209" t="e">
        <f ca="1">VLOOKUP(A505,'銀行-TSS'!A:M,13,FALSE)</f>
        <v>#N/A</v>
      </c>
      <c r="I505" s="1213" t="e">
        <f ca="1">VLOOKUP(A505,'銀行-TSS'!A:N,14,FALSE)</f>
        <v>#N/A</v>
      </c>
      <c r="J505" s="1213" t="e">
        <f ca="1">VLOOKUP(A505,'銀行-TSS'!A:O,15,FALSE)</f>
        <v>#N/A</v>
      </c>
      <c r="K505" s="136" t="e">
        <f ca="1">VLOOKUP(A505,'銀行-TSS'!A:V,22,FALSE)</f>
        <v>#N/A</v>
      </c>
      <c r="L505" s="136" t="e">
        <f ca="1">VLOOKUP(A505,'銀行-TSS'!A:AK,37,FALSE)</f>
        <v>#N/A</v>
      </c>
      <c r="M505" s="136" t="str">
        <f ca="1">VLOOKUP(A505,'銀行-TSS'!A:AN,40,FALSE)</f>
        <v/>
      </c>
      <c r="N505" s="136" t="e">
        <f t="shared" ca="1" si="315"/>
        <v>#N/A</v>
      </c>
      <c r="O505" s="1213" t="e">
        <f t="shared" ca="1" si="316"/>
        <v>#N/A</v>
      </c>
      <c r="P505" s="1213" t="e">
        <f ca="1">IF(AND($O$1&gt;=O505,換券單檔!$D$13=D505),I505+INT(($O$1-O505)/N505)*J505,0)</f>
        <v>#N/A</v>
      </c>
      <c r="Q505" s="1213" t="e">
        <f t="shared" ca="1" si="317"/>
        <v>#N/A</v>
      </c>
      <c r="R505" s="1213">
        <f t="shared" si="318"/>
        <v>0</v>
      </c>
      <c r="S505" s="1213">
        <f t="shared" si="319"/>
        <v>0</v>
      </c>
      <c r="T505" s="136">
        <f>IF(OR(R505=0,A505=0),0,IF(AND(V505=TRUE,換券單檔!$D$13=D505),E505,0))</f>
        <v>0</v>
      </c>
      <c r="U505" s="861">
        <f>IF(OR(R505=0,A505=0),0,IF(AND(V505=TRUE,換券單檔!$D$13=D505),H505,0))</f>
        <v>0</v>
      </c>
      <c r="V505" s="136" t="e">
        <f ca="1">IF(OR(B505=換券單檔!$D$3,L505="無",M505&lt;&gt;"",K505="高資產",IFERROR(MATCH(B505,換券單檔!K:K,0),"N")&lt;&gt;"N"),FALSE,IF($V$1="All",TRUE,IF(K505=$V$1,TRUE,FALSE)))</f>
        <v>#N/A</v>
      </c>
      <c r="W505" s="136" t="e">
        <f ca="1">VLOOKUP(A505,'銀行-TSS'!A:AO,41,FALSE)</f>
        <v>#N/A</v>
      </c>
      <c r="X505" s="136" t="e">
        <f ca="1">VLOOKUP(A505,'銀行-TSS'!A:AP,42,FALSE)</f>
        <v>#N/A</v>
      </c>
      <c r="Y505" s="1220">
        <f t="shared" si="320"/>
        <v>0</v>
      </c>
      <c r="Z505" s="1220">
        <f t="shared" si="321"/>
        <v>0</v>
      </c>
      <c r="AA505" s="136">
        <f>IF(Z505&lt;=0,0,RANK(Z505,Z:Z)+COUNTIF($Z$3:$Z505,Z505)-1)</f>
        <v>0</v>
      </c>
      <c r="AB505" s="1211">
        <f t="shared" ca="1" si="322"/>
        <v>-14896.14</v>
      </c>
      <c r="AC505" s="136">
        <f ca="1">IF(AB505&lt;=0,0,RANK(AB505,AB:AB)+COUNTIF($AB$3:$AB505,AB505)-1)</f>
        <v>0</v>
      </c>
      <c r="AD505" s="1123">
        <f t="shared" si="323"/>
        <v>99999</v>
      </c>
      <c r="AE505" s="1123">
        <f>IF(AD505=99999,0,RANK(AD505,AD:AD,1)+COUNTIF($AD$3:$AD505,AD505)-1)</f>
        <v>0</v>
      </c>
      <c r="AF505" s="86" t="e">
        <f ca="1">IF(OR(M505&lt;&gt;"",L505="無",K505="高資產",IFERROR(MATCH(B505,換券單檔!K:K,0),"N")&lt;&gt;"N"),FALSE,TRUE)</f>
        <v>#N/A</v>
      </c>
      <c r="AI505" s="1212" t="e">
        <f t="shared" ca="1" si="324"/>
        <v>#N/A</v>
      </c>
      <c r="AJ505" s="1213" t="e">
        <f t="shared" ca="1" si="325"/>
        <v>#N/A</v>
      </c>
      <c r="AK505" s="1587">
        <f t="shared" si="326"/>
        <v>0</v>
      </c>
      <c r="AN505" s="1212" t="e">
        <f t="shared" ca="1" si="327"/>
        <v>#N/A</v>
      </c>
      <c r="AO505" s="1213" t="e">
        <f t="shared" ca="1" si="328"/>
        <v>#N/A</v>
      </c>
      <c r="AP505" s="1587">
        <f t="shared" si="329"/>
        <v>0</v>
      </c>
      <c r="AS505" s="1212" t="e">
        <f t="shared" ca="1" si="330"/>
        <v>#N/A</v>
      </c>
      <c r="AT505" s="1213" t="e">
        <f t="shared" ca="1" si="331"/>
        <v>#N/A</v>
      </c>
      <c r="AU505" s="1587">
        <f t="shared" si="332"/>
        <v>0</v>
      </c>
      <c r="AX505" s="1212" t="e">
        <f t="shared" ca="1" si="333"/>
        <v>#N/A</v>
      </c>
      <c r="AY505" s="1213" t="e">
        <f t="shared" ca="1" si="334"/>
        <v>#N/A</v>
      </c>
      <c r="AZ505" s="1587">
        <f t="shared" si="335"/>
        <v>0</v>
      </c>
      <c r="BC505" s="1212" t="e">
        <f t="shared" ca="1" si="336"/>
        <v>#N/A</v>
      </c>
      <c r="BD505" s="1213" t="e">
        <f t="shared" ca="1" si="337"/>
        <v>#N/A</v>
      </c>
      <c r="BE505" s="1587">
        <f t="shared" si="338"/>
        <v>0</v>
      </c>
      <c r="BH505" s="1212" t="e">
        <f t="shared" ca="1" si="339"/>
        <v>#N/A</v>
      </c>
      <c r="BI505" s="1213" t="e">
        <f t="shared" ca="1" si="340"/>
        <v>#N/A</v>
      </c>
      <c r="BJ505" s="1587">
        <f t="shared" si="341"/>
        <v>0</v>
      </c>
      <c r="BM505" s="1212" t="e">
        <f t="shared" ca="1" si="342"/>
        <v>#N/A</v>
      </c>
      <c r="BN505" s="1213" t="e">
        <f t="shared" ca="1" si="343"/>
        <v>#N/A</v>
      </c>
      <c r="BO505" s="1587">
        <f t="shared" si="344"/>
        <v>0</v>
      </c>
      <c r="BR505" s="1212" t="e">
        <f t="shared" ca="1" si="345"/>
        <v>#N/A</v>
      </c>
      <c r="BS505" s="1213" t="e">
        <f t="shared" ca="1" si="346"/>
        <v>#N/A</v>
      </c>
      <c r="BT505" s="1587">
        <f t="shared" si="347"/>
        <v>0</v>
      </c>
      <c r="BW505" s="1212" t="e">
        <f t="shared" ca="1" si="348"/>
        <v>#N/A</v>
      </c>
      <c r="BX505" s="1213" t="e">
        <f t="shared" ca="1" si="349"/>
        <v>#N/A</v>
      </c>
      <c r="BY505" s="1587">
        <f t="shared" si="350"/>
        <v>0</v>
      </c>
      <c r="CB505" s="1212" t="e">
        <f t="shared" ca="1" si="351"/>
        <v>#N/A</v>
      </c>
      <c r="CC505" s="1213" t="e">
        <f t="shared" ca="1" si="352"/>
        <v>#N/A</v>
      </c>
      <c r="CD505" s="1587">
        <f t="shared" si="353"/>
        <v>0</v>
      </c>
      <c r="CG505" s="1212" t="e">
        <f t="shared" ca="1" si="354"/>
        <v>#N/A</v>
      </c>
      <c r="CH505" s="1213" t="e">
        <f t="shared" ca="1" si="355"/>
        <v>#N/A</v>
      </c>
      <c r="CI505" s="1587">
        <f t="shared" si="356"/>
        <v>0</v>
      </c>
      <c r="CL505" s="1212" t="e">
        <f t="shared" ca="1" si="357"/>
        <v>#N/A</v>
      </c>
      <c r="CM505" s="1213" t="e">
        <f t="shared" ca="1" si="358"/>
        <v>#N/A</v>
      </c>
      <c r="CN505" s="1587">
        <f t="shared" si="359"/>
        <v>0</v>
      </c>
    </row>
    <row r="506" spans="1:92">
      <c r="A506" s="141">
        <f>'銀行-TSS'!A506</f>
        <v>0</v>
      </c>
      <c r="B506" s="151">
        <f ca="1">VLOOKUP(A506,'銀行-TSS'!A:B,2,FALSE)</f>
        <v>0</v>
      </c>
      <c r="C506" s="151" t="e">
        <f ca="1">VLOOKUP(B506,bond!B:C,2,FALSE)</f>
        <v>#N/A</v>
      </c>
      <c r="D506" s="95" t="e">
        <f>VLOOKUP(A506,'銀行-TSS'!A:C,3,FALSE)</f>
        <v>#N/A</v>
      </c>
      <c r="E506" s="90" t="e">
        <f ca="1">VLOOKUP(A506,'銀行-TSS'!A:G,7,FALSE)</f>
        <v>#N/A</v>
      </c>
      <c r="F506" s="202" t="e">
        <f ca="1">VLOOKUP(A506,'銀行-TSS'!A:H,8,FALSE)</f>
        <v>#N/A</v>
      </c>
      <c r="G506" s="96" t="e">
        <f ca="1">VLOOKUP(A506,'銀行-TSS'!A:K,11,FALSE)</f>
        <v>#N/A</v>
      </c>
      <c r="H506" s="1209" t="e">
        <f ca="1">VLOOKUP(A506,'銀行-TSS'!A:M,13,FALSE)</f>
        <v>#N/A</v>
      </c>
      <c r="I506" s="1213" t="e">
        <f ca="1">VLOOKUP(A506,'銀行-TSS'!A:N,14,FALSE)</f>
        <v>#N/A</v>
      </c>
      <c r="J506" s="1213" t="e">
        <f ca="1">VLOOKUP(A506,'銀行-TSS'!A:O,15,FALSE)</f>
        <v>#N/A</v>
      </c>
      <c r="K506" s="136" t="e">
        <f ca="1">VLOOKUP(A506,'銀行-TSS'!A:V,22,FALSE)</f>
        <v>#N/A</v>
      </c>
      <c r="L506" s="136" t="e">
        <f ca="1">VLOOKUP(A506,'銀行-TSS'!A:AK,37,FALSE)</f>
        <v>#N/A</v>
      </c>
      <c r="M506" s="136" t="str">
        <f ca="1">VLOOKUP(A506,'銀行-TSS'!A:AN,40,FALSE)</f>
        <v/>
      </c>
      <c r="N506" s="136" t="e">
        <f t="shared" ca="1" si="315"/>
        <v>#N/A</v>
      </c>
      <c r="O506" s="1213" t="e">
        <f t="shared" ca="1" si="316"/>
        <v>#N/A</v>
      </c>
      <c r="P506" s="1213" t="e">
        <f ca="1">IF(AND($O$1&gt;=O506,換券單檔!$D$13=D506),I506+INT(($O$1-O506)/N506)*J506,0)</f>
        <v>#N/A</v>
      </c>
      <c r="Q506" s="1213" t="e">
        <f t="shared" ca="1" si="317"/>
        <v>#N/A</v>
      </c>
      <c r="R506" s="1213">
        <f t="shared" si="318"/>
        <v>0</v>
      </c>
      <c r="S506" s="1213">
        <f t="shared" si="319"/>
        <v>0</v>
      </c>
      <c r="T506" s="136">
        <f>IF(OR(R506=0,A506=0),0,IF(AND(V506=TRUE,換券單檔!$D$13=D506),E506,0))</f>
        <v>0</v>
      </c>
      <c r="U506" s="861">
        <f>IF(OR(R506=0,A506=0),0,IF(AND(V506=TRUE,換券單檔!$D$13=D506),H506,0))</f>
        <v>0</v>
      </c>
      <c r="V506" s="136" t="e">
        <f ca="1">IF(OR(B506=換券單檔!$D$3,L506="無",M506&lt;&gt;"",K506="高資產",IFERROR(MATCH(B506,換券單檔!K:K,0),"N")&lt;&gt;"N"),FALSE,IF($V$1="All",TRUE,IF(K506=$V$1,TRUE,FALSE)))</f>
        <v>#N/A</v>
      </c>
      <c r="W506" s="136" t="e">
        <f ca="1">VLOOKUP(A506,'銀行-TSS'!A:AO,41,FALSE)</f>
        <v>#N/A</v>
      </c>
      <c r="X506" s="136" t="e">
        <f ca="1">VLOOKUP(A506,'銀行-TSS'!A:AP,42,FALSE)</f>
        <v>#N/A</v>
      </c>
      <c r="Y506" s="1220">
        <f t="shared" si="320"/>
        <v>0</v>
      </c>
      <c r="Z506" s="1220">
        <f t="shared" si="321"/>
        <v>0</v>
      </c>
      <c r="AA506" s="136">
        <f>IF(Z506&lt;=0,0,RANK(Z506,Z:Z)+COUNTIF($Z$3:$Z506,Z506)-1)</f>
        <v>0</v>
      </c>
      <c r="AB506" s="1211">
        <f t="shared" ca="1" si="322"/>
        <v>-14896.14</v>
      </c>
      <c r="AC506" s="136">
        <f ca="1">IF(AB506&lt;=0,0,RANK(AB506,AB:AB)+COUNTIF($AB$3:$AB506,AB506)-1)</f>
        <v>0</v>
      </c>
      <c r="AD506" s="1123">
        <f t="shared" si="323"/>
        <v>99999</v>
      </c>
      <c r="AE506" s="1123">
        <f>IF(AD506=99999,0,RANK(AD506,AD:AD,1)+COUNTIF($AD$3:$AD506,AD506)-1)</f>
        <v>0</v>
      </c>
      <c r="AF506" s="86" t="e">
        <f ca="1">IF(OR(M506&lt;&gt;"",L506="無",K506="高資產",IFERROR(MATCH(B506,換券單檔!K:K,0),"N")&lt;&gt;"N"),FALSE,TRUE)</f>
        <v>#N/A</v>
      </c>
      <c r="AI506" s="1212" t="e">
        <f t="shared" ca="1" si="324"/>
        <v>#N/A</v>
      </c>
      <c r="AJ506" s="1213" t="e">
        <f t="shared" ca="1" si="325"/>
        <v>#N/A</v>
      </c>
      <c r="AK506" s="1587">
        <f t="shared" si="326"/>
        <v>0</v>
      </c>
      <c r="AN506" s="1212" t="e">
        <f t="shared" ca="1" si="327"/>
        <v>#N/A</v>
      </c>
      <c r="AO506" s="1213" t="e">
        <f t="shared" ca="1" si="328"/>
        <v>#N/A</v>
      </c>
      <c r="AP506" s="1587">
        <f t="shared" si="329"/>
        <v>0</v>
      </c>
      <c r="AS506" s="1212" t="e">
        <f t="shared" ca="1" si="330"/>
        <v>#N/A</v>
      </c>
      <c r="AT506" s="1213" t="e">
        <f t="shared" ca="1" si="331"/>
        <v>#N/A</v>
      </c>
      <c r="AU506" s="1587">
        <f t="shared" si="332"/>
        <v>0</v>
      </c>
      <c r="AX506" s="1212" t="e">
        <f t="shared" ca="1" si="333"/>
        <v>#N/A</v>
      </c>
      <c r="AY506" s="1213" t="e">
        <f t="shared" ca="1" si="334"/>
        <v>#N/A</v>
      </c>
      <c r="AZ506" s="1587">
        <f t="shared" si="335"/>
        <v>0</v>
      </c>
      <c r="BC506" s="1212" t="e">
        <f t="shared" ca="1" si="336"/>
        <v>#N/A</v>
      </c>
      <c r="BD506" s="1213" t="e">
        <f t="shared" ca="1" si="337"/>
        <v>#N/A</v>
      </c>
      <c r="BE506" s="1587">
        <f t="shared" si="338"/>
        <v>0</v>
      </c>
      <c r="BH506" s="1212" t="e">
        <f t="shared" ca="1" si="339"/>
        <v>#N/A</v>
      </c>
      <c r="BI506" s="1213" t="e">
        <f t="shared" ca="1" si="340"/>
        <v>#N/A</v>
      </c>
      <c r="BJ506" s="1587">
        <f t="shared" si="341"/>
        <v>0</v>
      </c>
      <c r="BM506" s="1212" t="e">
        <f t="shared" ca="1" si="342"/>
        <v>#N/A</v>
      </c>
      <c r="BN506" s="1213" t="e">
        <f t="shared" ca="1" si="343"/>
        <v>#N/A</v>
      </c>
      <c r="BO506" s="1587">
        <f t="shared" si="344"/>
        <v>0</v>
      </c>
      <c r="BR506" s="1212" t="e">
        <f t="shared" ca="1" si="345"/>
        <v>#N/A</v>
      </c>
      <c r="BS506" s="1213" t="e">
        <f t="shared" ca="1" si="346"/>
        <v>#N/A</v>
      </c>
      <c r="BT506" s="1587">
        <f t="shared" si="347"/>
        <v>0</v>
      </c>
      <c r="BW506" s="1212" t="e">
        <f t="shared" ca="1" si="348"/>
        <v>#N/A</v>
      </c>
      <c r="BX506" s="1213" t="e">
        <f t="shared" ca="1" si="349"/>
        <v>#N/A</v>
      </c>
      <c r="BY506" s="1587">
        <f t="shared" si="350"/>
        <v>0</v>
      </c>
      <c r="CB506" s="1212" t="e">
        <f t="shared" ca="1" si="351"/>
        <v>#N/A</v>
      </c>
      <c r="CC506" s="1213" t="e">
        <f t="shared" ca="1" si="352"/>
        <v>#N/A</v>
      </c>
      <c r="CD506" s="1587">
        <f t="shared" si="353"/>
        <v>0</v>
      </c>
      <c r="CG506" s="1212" t="e">
        <f t="shared" ca="1" si="354"/>
        <v>#N/A</v>
      </c>
      <c r="CH506" s="1213" t="e">
        <f t="shared" ca="1" si="355"/>
        <v>#N/A</v>
      </c>
      <c r="CI506" s="1587">
        <f t="shared" si="356"/>
        <v>0</v>
      </c>
      <c r="CL506" s="1212" t="e">
        <f t="shared" ca="1" si="357"/>
        <v>#N/A</v>
      </c>
      <c r="CM506" s="1213" t="e">
        <f t="shared" ca="1" si="358"/>
        <v>#N/A</v>
      </c>
      <c r="CN506" s="1587">
        <f t="shared" si="359"/>
        <v>0</v>
      </c>
    </row>
    <row r="507" spans="1:92">
      <c r="A507" s="141">
        <f>'銀行-TSS'!A507</f>
        <v>0</v>
      </c>
      <c r="B507" s="151">
        <f ca="1">VLOOKUP(A507,'銀行-TSS'!A:B,2,FALSE)</f>
        <v>0</v>
      </c>
      <c r="C507" s="151" t="e">
        <f ca="1">VLOOKUP(B507,bond!B:C,2,FALSE)</f>
        <v>#N/A</v>
      </c>
      <c r="D507" s="95" t="e">
        <f>VLOOKUP(A507,'銀行-TSS'!A:C,3,FALSE)</f>
        <v>#N/A</v>
      </c>
      <c r="E507" s="90" t="e">
        <f ca="1">VLOOKUP(A507,'銀行-TSS'!A:G,7,FALSE)</f>
        <v>#N/A</v>
      </c>
      <c r="F507" s="202" t="e">
        <f ca="1">VLOOKUP(A507,'銀行-TSS'!A:H,8,FALSE)</f>
        <v>#N/A</v>
      </c>
      <c r="G507" s="96" t="e">
        <f ca="1">VLOOKUP(A507,'銀行-TSS'!A:K,11,FALSE)</f>
        <v>#N/A</v>
      </c>
      <c r="H507" s="1209" t="e">
        <f ca="1">VLOOKUP(A507,'銀行-TSS'!A:M,13,FALSE)</f>
        <v>#N/A</v>
      </c>
      <c r="I507" s="1213" t="e">
        <f ca="1">VLOOKUP(A507,'銀行-TSS'!A:N,14,FALSE)</f>
        <v>#N/A</v>
      </c>
      <c r="J507" s="1213" t="e">
        <f ca="1">VLOOKUP(A507,'銀行-TSS'!A:O,15,FALSE)</f>
        <v>#N/A</v>
      </c>
      <c r="K507" s="136" t="e">
        <f ca="1">VLOOKUP(A507,'銀行-TSS'!A:V,22,FALSE)</f>
        <v>#N/A</v>
      </c>
      <c r="L507" s="136" t="e">
        <f ca="1">VLOOKUP(A507,'銀行-TSS'!A:AK,37,FALSE)</f>
        <v>#N/A</v>
      </c>
      <c r="M507" s="136" t="str">
        <f ca="1">VLOOKUP(A507,'銀行-TSS'!A:AN,40,FALSE)</f>
        <v/>
      </c>
      <c r="N507" s="136" t="e">
        <f t="shared" ca="1" si="315"/>
        <v>#N/A</v>
      </c>
      <c r="O507" s="1213" t="e">
        <f t="shared" ca="1" si="316"/>
        <v>#N/A</v>
      </c>
      <c r="P507" s="1213" t="e">
        <f ca="1">IF(AND($O$1&gt;=O507,換券單檔!$D$13=D507),I507+INT(($O$1-O507)/N507)*J507,0)</f>
        <v>#N/A</v>
      </c>
      <c r="Q507" s="1213" t="e">
        <f t="shared" ca="1" si="317"/>
        <v>#N/A</v>
      </c>
      <c r="R507" s="1213">
        <f t="shared" si="318"/>
        <v>0</v>
      </c>
      <c r="S507" s="1213">
        <f t="shared" si="319"/>
        <v>0</v>
      </c>
      <c r="T507" s="136">
        <f>IF(OR(R507=0,A507=0),0,IF(AND(V507=TRUE,換券單檔!$D$13=D507),E507,0))</f>
        <v>0</v>
      </c>
      <c r="U507" s="861">
        <f>IF(OR(R507=0,A507=0),0,IF(AND(V507=TRUE,換券單檔!$D$13=D507),H507,0))</f>
        <v>0</v>
      </c>
      <c r="V507" s="136" t="e">
        <f ca="1">IF(OR(B507=換券單檔!$D$3,L507="無",M507&lt;&gt;"",K507="高資產",IFERROR(MATCH(B507,換券單檔!K:K,0),"N")&lt;&gt;"N"),FALSE,IF($V$1="All",TRUE,IF(K507=$V$1,TRUE,FALSE)))</f>
        <v>#N/A</v>
      </c>
      <c r="W507" s="136" t="e">
        <f ca="1">VLOOKUP(A507,'銀行-TSS'!A:AO,41,FALSE)</f>
        <v>#N/A</v>
      </c>
      <c r="X507" s="136" t="e">
        <f ca="1">VLOOKUP(A507,'銀行-TSS'!A:AP,42,FALSE)</f>
        <v>#N/A</v>
      </c>
      <c r="Y507" s="1220">
        <f t="shared" si="320"/>
        <v>0</v>
      </c>
      <c r="Z507" s="1220">
        <f t="shared" si="321"/>
        <v>0</v>
      </c>
      <c r="AA507" s="136">
        <f>IF(Z507&lt;=0,0,RANK(Z507,Z:Z)+COUNTIF($Z$3:$Z507,Z507)-1)</f>
        <v>0</v>
      </c>
      <c r="AB507" s="1211">
        <f t="shared" ca="1" si="322"/>
        <v>-14896.14</v>
      </c>
      <c r="AC507" s="136">
        <f ca="1">IF(AB507&lt;=0,0,RANK(AB507,AB:AB)+COUNTIF($AB$3:$AB507,AB507)-1)</f>
        <v>0</v>
      </c>
      <c r="AD507" s="1123">
        <f t="shared" si="323"/>
        <v>99999</v>
      </c>
      <c r="AE507" s="1123">
        <f>IF(AD507=99999,0,RANK(AD507,AD:AD,1)+COUNTIF($AD$3:$AD507,AD507)-1)</f>
        <v>0</v>
      </c>
      <c r="AF507" s="86" t="e">
        <f ca="1">IF(OR(M507&lt;&gt;"",L507="無",K507="高資產",IFERROR(MATCH(B507,換券單檔!K:K,0),"N")&lt;&gt;"N"),FALSE,TRUE)</f>
        <v>#N/A</v>
      </c>
      <c r="AI507" s="1212" t="e">
        <f t="shared" ca="1" si="324"/>
        <v>#N/A</v>
      </c>
      <c r="AJ507" s="1213" t="e">
        <f t="shared" ca="1" si="325"/>
        <v>#N/A</v>
      </c>
      <c r="AK507" s="1587">
        <f t="shared" si="326"/>
        <v>0</v>
      </c>
      <c r="AN507" s="1212" t="e">
        <f t="shared" ca="1" si="327"/>
        <v>#N/A</v>
      </c>
      <c r="AO507" s="1213" t="e">
        <f t="shared" ca="1" si="328"/>
        <v>#N/A</v>
      </c>
      <c r="AP507" s="1587">
        <f t="shared" si="329"/>
        <v>0</v>
      </c>
      <c r="AS507" s="1212" t="e">
        <f t="shared" ca="1" si="330"/>
        <v>#N/A</v>
      </c>
      <c r="AT507" s="1213" t="e">
        <f t="shared" ca="1" si="331"/>
        <v>#N/A</v>
      </c>
      <c r="AU507" s="1587">
        <f t="shared" si="332"/>
        <v>0</v>
      </c>
      <c r="AX507" s="1212" t="e">
        <f t="shared" ca="1" si="333"/>
        <v>#N/A</v>
      </c>
      <c r="AY507" s="1213" t="e">
        <f t="shared" ca="1" si="334"/>
        <v>#N/A</v>
      </c>
      <c r="AZ507" s="1587">
        <f t="shared" si="335"/>
        <v>0</v>
      </c>
      <c r="BC507" s="1212" t="e">
        <f t="shared" ca="1" si="336"/>
        <v>#N/A</v>
      </c>
      <c r="BD507" s="1213" t="e">
        <f t="shared" ca="1" si="337"/>
        <v>#N/A</v>
      </c>
      <c r="BE507" s="1587">
        <f t="shared" si="338"/>
        <v>0</v>
      </c>
      <c r="BH507" s="1212" t="e">
        <f t="shared" ca="1" si="339"/>
        <v>#N/A</v>
      </c>
      <c r="BI507" s="1213" t="e">
        <f t="shared" ca="1" si="340"/>
        <v>#N/A</v>
      </c>
      <c r="BJ507" s="1587">
        <f t="shared" si="341"/>
        <v>0</v>
      </c>
      <c r="BM507" s="1212" t="e">
        <f t="shared" ca="1" si="342"/>
        <v>#N/A</v>
      </c>
      <c r="BN507" s="1213" t="e">
        <f t="shared" ca="1" si="343"/>
        <v>#N/A</v>
      </c>
      <c r="BO507" s="1587">
        <f t="shared" si="344"/>
        <v>0</v>
      </c>
      <c r="BR507" s="1212" t="e">
        <f t="shared" ca="1" si="345"/>
        <v>#N/A</v>
      </c>
      <c r="BS507" s="1213" t="e">
        <f t="shared" ca="1" si="346"/>
        <v>#N/A</v>
      </c>
      <c r="BT507" s="1587">
        <f t="shared" si="347"/>
        <v>0</v>
      </c>
      <c r="BW507" s="1212" t="e">
        <f t="shared" ca="1" si="348"/>
        <v>#N/A</v>
      </c>
      <c r="BX507" s="1213" t="e">
        <f t="shared" ca="1" si="349"/>
        <v>#N/A</v>
      </c>
      <c r="BY507" s="1587">
        <f t="shared" si="350"/>
        <v>0</v>
      </c>
      <c r="CB507" s="1212" t="e">
        <f t="shared" ca="1" si="351"/>
        <v>#N/A</v>
      </c>
      <c r="CC507" s="1213" t="e">
        <f t="shared" ca="1" si="352"/>
        <v>#N/A</v>
      </c>
      <c r="CD507" s="1587">
        <f t="shared" si="353"/>
        <v>0</v>
      </c>
      <c r="CG507" s="1212" t="e">
        <f t="shared" ca="1" si="354"/>
        <v>#N/A</v>
      </c>
      <c r="CH507" s="1213" t="e">
        <f t="shared" ca="1" si="355"/>
        <v>#N/A</v>
      </c>
      <c r="CI507" s="1587">
        <f t="shared" si="356"/>
        <v>0</v>
      </c>
      <c r="CL507" s="1212" t="e">
        <f t="shared" ca="1" si="357"/>
        <v>#N/A</v>
      </c>
      <c r="CM507" s="1213" t="e">
        <f t="shared" ca="1" si="358"/>
        <v>#N/A</v>
      </c>
      <c r="CN507" s="1587">
        <f t="shared" si="359"/>
        <v>0</v>
      </c>
    </row>
    <row r="508" spans="1:92">
      <c r="A508" s="141">
        <f>'銀行-TSS'!A508</f>
        <v>0</v>
      </c>
      <c r="B508" s="151">
        <f ca="1">VLOOKUP(A508,'銀行-TSS'!A:B,2,FALSE)</f>
        <v>0</v>
      </c>
      <c r="C508" s="151" t="e">
        <f ca="1">VLOOKUP(B508,bond!B:C,2,FALSE)</f>
        <v>#N/A</v>
      </c>
      <c r="D508" s="95" t="e">
        <f>VLOOKUP(A508,'銀行-TSS'!A:C,3,FALSE)</f>
        <v>#N/A</v>
      </c>
      <c r="E508" s="90" t="e">
        <f ca="1">VLOOKUP(A508,'銀行-TSS'!A:G,7,FALSE)</f>
        <v>#N/A</v>
      </c>
      <c r="F508" s="202" t="e">
        <f ca="1">VLOOKUP(A508,'銀行-TSS'!A:H,8,FALSE)</f>
        <v>#N/A</v>
      </c>
      <c r="G508" s="96" t="e">
        <f ca="1">VLOOKUP(A508,'銀行-TSS'!A:K,11,FALSE)</f>
        <v>#N/A</v>
      </c>
      <c r="H508" s="1209" t="e">
        <f ca="1">VLOOKUP(A508,'銀行-TSS'!A:M,13,FALSE)</f>
        <v>#N/A</v>
      </c>
      <c r="I508" s="1213" t="e">
        <f ca="1">VLOOKUP(A508,'銀行-TSS'!A:N,14,FALSE)</f>
        <v>#N/A</v>
      </c>
      <c r="J508" s="1213" t="e">
        <f ca="1">VLOOKUP(A508,'銀行-TSS'!A:O,15,FALSE)</f>
        <v>#N/A</v>
      </c>
      <c r="K508" s="136" t="e">
        <f ca="1">VLOOKUP(A508,'銀行-TSS'!A:V,22,FALSE)</f>
        <v>#N/A</v>
      </c>
      <c r="L508" s="136" t="e">
        <f ca="1">VLOOKUP(A508,'銀行-TSS'!A:AK,37,FALSE)</f>
        <v>#N/A</v>
      </c>
      <c r="M508" s="136" t="str">
        <f ca="1">VLOOKUP(A508,'銀行-TSS'!A:AN,40,FALSE)</f>
        <v/>
      </c>
      <c r="N508" s="136" t="e">
        <f t="shared" ca="1" si="315"/>
        <v>#N/A</v>
      </c>
      <c r="O508" s="1213" t="e">
        <f t="shared" ca="1" si="316"/>
        <v>#N/A</v>
      </c>
      <c r="P508" s="1213" t="e">
        <f ca="1">IF(AND($O$1&gt;=O508,換券單檔!$D$13=D508),I508+INT(($O$1-O508)/N508)*J508,0)</f>
        <v>#N/A</v>
      </c>
      <c r="Q508" s="1213" t="e">
        <f t="shared" ca="1" si="317"/>
        <v>#N/A</v>
      </c>
      <c r="R508" s="1213">
        <f t="shared" si="318"/>
        <v>0</v>
      </c>
      <c r="S508" s="1213">
        <f t="shared" si="319"/>
        <v>0</v>
      </c>
      <c r="T508" s="136">
        <f>IF(OR(R508=0,A508=0),0,IF(AND(V508=TRUE,換券單檔!$D$13=D508),E508,0))</f>
        <v>0</v>
      </c>
      <c r="U508" s="861">
        <f>IF(OR(R508=0,A508=0),0,IF(AND(V508=TRUE,換券單檔!$D$13=D508),H508,0))</f>
        <v>0</v>
      </c>
      <c r="V508" s="136" t="e">
        <f ca="1">IF(OR(B508=換券單檔!$D$3,L508="無",M508&lt;&gt;"",K508="高資產",IFERROR(MATCH(B508,換券單檔!K:K,0),"N")&lt;&gt;"N"),FALSE,IF($V$1="All",TRUE,IF(K508=$V$1,TRUE,FALSE)))</f>
        <v>#N/A</v>
      </c>
      <c r="W508" s="136" t="e">
        <f ca="1">VLOOKUP(A508,'銀行-TSS'!A:AO,41,FALSE)</f>
        <v>#N/A</v>
      </c>
      <c r="X508" s="136" t="e">
        <f ca="1">VLOOKUP(A508,'銀行-TSS'!A:AP,42,FALSE)</f>
        <v>#N/A</v>
      </c>
      <c r="Y508" s="1220">
        <f t="shared" si="320"/>
        <v>0</v>
      </c>
      <c r="Z508" s="1220">
        <f t="shared" si="321"/>
        <v>0</v>
      </c>
      <c r="AA508" s="136">
        <f>IF(Z508&lt;=0,0,RANK(Z508,Z:Z)+COUNTIF($Z$3:$Z508,Z508)-1)</f>
        <v>0</v>
      </c>
      <c r="AB508" s="1211">
        <f t="shared" ca="1" si="322"/>
        <v>-14896.14</v>
      </c>
      <c r="AC508" s="136">
        <f ca="1">IF(AB508&lt;=0,0,RANK(AB508,AB:AB)+COUNTIF($AB$3:$AB508,AB508)-1)</f>
        <v>0</v>
      </c>
      <c r="AD508" s="1123">
        <f t="shared" si="323"/>
        <v>99999</v>
      </c>
      <c r="AE508" s="1123">
        <f>IF(AD508=99999,0,RANK(AD508,AD:AD,1)+COUNTIF($AD$3:$AD508,AD508)-1)</f>
        <v>0</v>
      </c>
      <c r="AF508" s="86" t="e">
        <f ca="1">IF(OR(M508&lt;&gt;"",L508="無",K508="高資產",IFERROR(MATCH(B508,換券單檔!K:K,0),"N")&lt;&gt;"N"),FALSE,TRUE)</f>
        <v>#N/A</v>
      </c>
      <c r="AI508" s="1212" t="e">
        <f t="shared" ca="1" si="324"/>
        <v>#N/A</v>
      </c>
      <c r="AJ508" s="1213" t="e">
        <f t="shared" ca="1" si="325"/>
        <v>#N/A</v>
      </c>
      <c r="AK508" s="1587">
        <f t="shared" si="326"/>
        <v>0</v>
      </c>
      <c r="AN508" s="1212" t="e">
        <f t="shared" ca="1" si="327"/>
        <v>#N/A</v>
      </c>
      <c r="AO508" s="1213" t="e">
        <f t="shared" ca="1" si="328"/>
        <v>#N/A</v>
      </c>
      <c r="AP508" s="1587">
        <f t="shared" si="329"/>
        <v>0</v>
      </c>
      <c r="AS508" s="1212" t="e">
        <f t="shared" ca="1" si="330"/>
        <v>#N/A</v>
      </c>
      <c r="AT508" s="1213" t="e">
        <f t="shared" ca="1" si="331"/>
        <v>#N/A</v>
      </c>
      <c r="AU508" s="1587">
        <f t="shared" si="332"/>
        <v>0</v>
      </c>
      <c r="AX508" s="1212" t="e">
        <f t="shared" ca="1" si="333"/>
        <v>#N/A</v>
      </c>
      <c r="AY508" s="1213" t="e">
        <f t="shared" ca="1" si="334"/>
        <v>#N/A</v>
      </c>
      <c r="AZ508" s="1587">
        <f t="shared" si="335"/>
        <v>0</v>
      </c>
      <c r="BC508" s="1212" t="e">
        <f t="shared" ca="1" si="336"/>
        <v>#N/A</v>
      </c>
      <c r="BD508" s="1213" t="e">
        <f t="shared" ca="1" si="337"/>
        <v>#N/A</v>
      </c>
      <c r="BE508" s="1587">
        <f t="shared" si="338"/>
        <v>0</v>
      </c>
      <c r="BH508" s="1212" t="e">
        <f t="shared" ca="1" si="339"/>
        <v>#N/A</v>
      </c>
      <c r="BI508" s="1213" t="e">
        <f t="shared" ca="1" si="340"/>
        <v>#N/A</v>
      </c>
      <c r="BJ508" s="1587">
        <f t="shared" si="341"/>
        <v>0</v>
      </c>
      <c r="BM508" s="1212" t="e">
        <f t="shared" ca="1" si="342"/>
        <v>#N/A</v>
      </c>
      <c r="BN508" s="1213" t="e">
        <f t="shared" ca="1" si="343"/>
        <v>#N/A</v>
      </c>
      <c r="BO508" s="1587">
        <f t="shared" si="344"/>
        <v>0</v>
      </c>
      <c r="BR508" s="1212" t="e">
        <f t="shared" ca="1" si="345"/>
        <v>#N/A</v>
      </c>
      <c r="BS508" s="1213" t="e">
        <f t="shared" ca="1" si="346"/>
        <v>#N/A</v>
      </c>
      <c r="BT508" s="1587">
        <f t="shared" si="347"/>
        <v>0</v>
      </c>
      <c r="BW508" s="1212" t="e">
        <f t="shared" ca="1" si="348"/>
        <v>#N/A</v>
      </c>
      <c r="BX508" s="1213" t="e">
        <f t="shared" ca="1" si="349"/>
        <v>#N/A</v>
      </c>
      <c r="BY508" s="1587">
        <f t="shared" si="350"/>
        <v>0</v>
      </c>
      <c r="CB508" s="1212" t="e">
        <f t="shared" ca="1" si="351"/>
        <v>#N/A</v>
      </c>
      <c r="CC508" s="1213" t="e">
        <f t="shared" ca="1" si="352"/>
        <v>#N/A</v>
      </c>
      <c r="CD508" s="1587">
        <f t="shared" si="353"/>
        <v>0</v>
      </c>
      <c r="CG508" s="1212" t="e">
        <f t="shared" ca="1" si="354"/>
        <v>#N/A</v>
      </c>
      <c r="CH508" s="1213" t="e">
        <f t="shared" ca="1" si="355"/>
        <v>#N/A</v>
      </c>
      <c r="CI508" s="1587">
        <f t="shared" si="356"/>
        <v>0</v>
      </c>
      <c r="CL508" s="1212" t="e">
        <f t="shared" ca="1" si="357"/>
        <v>#N/A</v>
      </c>
      <c r="CM508" s="1213" t="e">
        <f t="shared" ca="1" si="358"/>
        <v>#N/A</v>
      </c>
      <c r="CN508" s="1587">
        <f t="shared" si="359"/>
        <v>0</v>
      </c>
    </row>
    <row r="509" spans="1:92">
      <c r="A509" s="141">
        <f>'銀行-TSS'!A509</f>
        <v>0</v>
      </c>
      <c r="B509" s="151">
        <f ca="1">VLOOKUP(A509,'銀行-TSS'!A:B,2,FALSE)</f>
        <v>0</v>
      </c>
      <c r="C509" s="151" t="e">
        <f ca="1">VLOOKUP(B509,bond!B:C,2,FALSE)</f>
        <v>#N/A</v>
      </c>
      <c r="D509" s="95" t="e">
        <f>VLOOKUP(A509,'銀行-TSS'!A:C,3,FALSE)</f>
        <v>#N/A</v>
      </c>
      <c r="E509" s="90" t="e">
        <f ca="1">VLOOKUP(A509,'銀行-TSS'!A:G,7,FALSE)</f>
        <v>#N/A</v>
      </c>
      <c r="F509" s="202" t="e">
        <f ca="1">VLOOKUP(A509,'銀行-TSS'!A:H,8,FALSE)</f>
        <v>#N/A</v>
      </c>
      <c r="G509" s="96" t="e">
        <f ca="1">VLOOKUP(A509,'銀行-TSS'!A:K,11,FALSE)</f>
        <v>#N/A</v>
      </c>
      <c r="H509" s="1209" t="e">
        <f ca="1">VLOOKUP(A509,'銀行-TSS'!A:M,13,FALSE)</f>
        <v>#N/A</v>
      </c>
      <c r="I509" s="1213" t="e">
        <f ca="1">VLOOKUP(A509,'銀行-TSS'!A:N,14,FALSE)</f>
        <v>#N/A</v>
      </c>
      <c r="J509" s="1213" t="e">
        <f ca="1">VLOOKUP(A509,'銀行-TSS'!A:O,15,FALSE)</f>
        <v>#N/A</v>
      </c>
      <c r="K509" s="136" t="e">
        <f ca="1">VLOOKUP(A509,'銀行-TSS'!A:V,22,FALSE)</f>
        <v>#N/A</v>
      </c>
      <c r="L509" s="136" t="e">
        <f ca="1">VLOOKUP(A509,'銀行-TSS'!A:AK,37,FALSE)</f>
        <v>#N/A</v>
      </c>
      <c r="M509" s="136" t="str">
        <f ca="1">VLOOKUP(A509,'銀行-TSS'!A:AN,40,FALSE)</f>
        <v/>
      </c>
      <c r="N509" s="136" t="e">
        <f t="shared" ca="1" si="315"/>
        <v>#N/A</v>
      </c>
      <c r="O509" s="1213" t="e">
        <f t="shared" ca="1" si="316"/>
        <v>#N/A</v>
      </c>
      <c r="P509" s="1213" t="e">
        <f ca="1">IF(AND($O$1&gt;=O509,換券單檔!$D$13=D509),I509+INT(($O$1-O509)/N509)*J509,0)</f>
        <v>#N/A</v>
      </c>
      <c r="Q509" s="1213" t="e">
        <f t="shared" ca="1" si="317"/>
        <v>#N/A</v>
      </c>
      <c r="R509" s="1213">
        <f t="shared" si="318"/>
        <v>0</v>
      </c>
      <c r="S509" s="1213">
        <f t="shared" si="319"/>
        <v>0</v>
      </c>
      <c r="T509" s="136">
        <f>IF(OR(R509=0,A509=0),0,IF(AND(V509=TRUE,換券單檔!$D$13=D509),E509,0))</f>
        <v>0</v>
      </c>
      <c r="U509" s="861">
        <f>IF(OR(R509=0,A509=0),0,IF(AND(V509=TRUE,換券單檔!$D$13=D509),H509,0))</f>
        <v>0</v>
      </c>
      <c r="V509" s="136" t="e">
        <f ca="1">IF(OR(B509=換券單檔!$D$3,L509="無",M509&lt;&gt;"",K509="高資產",IFERROR(MATCH(B509,換券單檔!K:K,0),"N")&lt;&gt;"N"),FALSE,IF($V$1="All",TRUE,IF(K509=$V$1,TRUE,FALSE)))</f>
        <v>#N/A</v>
      </c>
      <c r="W509" s="136" t="e">
        <f ca="1">VLOOKUP(A509,'銀行-TSS'!A:AO,41,FALSE)</f>
        <v>#N/A</v>
      </c>
      <c r="X509" s="136" t="e">
        <f ca="1">VLOOKUP(A509,'銀行-TSS'!A:AP,42,FALSE)</f>
        <v>#N/A</v>
      </c>
      <c r="Y509" s="1220">
        <f t="shared" si="320"/>
        <v>0</v>
      </c>
      <c r="Z509" s="1220">
        <f t="shared" si="321"/>
        <v>0</v>
      </c>
      <c r="AA509" s="136">
        <f>IF(Z509&lt;=0,0,RANK(Z509,Z:Z)+COUNTIF($Z$3:$Z509,Z509)-1)</f>
        <v>0</v>
      </c>
      <c r="AB509" s="1211">
        <f t="shared" ca="1" si="322"/>
        <v>-14896.14</v>
      </c>
      <c r="AC509" s="136">
        <f ca="1">IF(AB509&lt;=0,0,RANK(AB509,AB:AB)+COUNTIF($AB$3:$AB509,AB509)-1)</f>
        <v>0</v>
      </c>
      <c r="AD509" s="1123">
        <f t="shared" si="323"/>
        <v>99999</v>
      </c>
      <c r="AE509" s="1123">
        <f>IF(AD509=99999,0,RANK(AD509,AD:AD,1)+COUNTIF($AD$3:$AD509,AD509)-1)</f>
        <v>0</v>
      </c>
      <c r="AF509" s="86" t="e">
        <f ca="1">IF(OR(M509&lt;&gt;"",L509="無",K509="高資產",IFERROR(MATCH(B509,換券單檔!K:K,0),"N")&lt;&gt;"N"),FALSE,TRUE)</f>
        <v>#N/A</v>
      </c>
      <c r="AI509" s="1212" t="e">
        <f t="shared" ca="1" si="324"/>
        <v>#N/A</v>
      </c>
      <c r="AJ509" s="1213" t="e">
        <f t="shared" ca="1" si="325"/>
        <v>#N/A</v>
      </c>
      <c r="AK509" s="1587">
        <f t="shared" si="326"/>
        <v>0</v>
      </c>
      <c r="AN509" s="1212" t="e">
        <f t="shared" ca="1" si="327"/>
        <v>#N/A</v>
      </c>
      <c r="AO509" s="1213" t="e">
        <f t="shared" ca="1" si="328"/>
        <v>#N/A</v>
      </c>
      <c r="AP509" s="1587">
        <f t="shared" si="329"/>
        <v>0</v>
      </c>
      <c r="AS509" s="1212" t="e">
        <f t="shared" ca="1" si="330"/>
        <v>#N/A</v>
      </c>
      <c r="AT509" s="1213" t="e">
        <f t="shared" ca="1" si="331"/>
        <v>#N/A</v>
      </c>
      <c r="AU509" s="1587">
        <f t="shared" si="332"/>
        <v>0</v>
      </c>
      <c r="AX509" s="1212" t="e">
        <f t="shared" ca="1" si="333"/>
        <v>#N/A</v>
      </c>
      <c r="AY509" s="1213" t="e">
        <f t="shared" ca="1" si="334"/>
        <v>#N/A</v>
      </c>
      <c r="AZ509" s="1587">
        <f t="shared" si="335"/>
        <v>0</v>
      </c>
      <c r="BC509" s="1212" t="e">
        <f t="shared" ca="1" si="336"/>
        <v>#N/A</v>
      </c>
      <c r="BD509" s="1213" t="e">
        <f t="shared" ca="1" si="337"/>
        <v>#N/A</v>
      </c>
      <c r="BE509" s="1587">
        <f t="shared" si="338"/>
        <v>0</v>
      </c>
      <c r="BH509" s="1212" t="e">
        <f t="shared" ca="1" si="339"/>
        <v>#N/A</v>
      </c>
      <c r="BI509" s="1213" t="e">
        <f t="shared" ca="1" si="340"/>
        <v>#N/A</v>
      </c>
      <c r="BJ509" s="1587">
        <f t="shared" si="341"/>
        <v>0</v>
      </c>
      <c r="BM509" s="1212" t="e">
        <f t="shared" ca="1" si="342"/>
        <v>#N/A</v>
      </c>
      <c r="BN509" s="1213" t="e">
        <f t="shared" ca="1" si="343"/>
        <v>#N/A</v>
      </c>
      <c r="BO509" s="1587">
        <f t="shared" si="344"/>
        <v>0</v>
      </c>
      <c r="BR509" s="1212" t="e">
        <f t="shared" ca="1" si="345"/>
        <v>#N/A</v>
      </c>
      <c r="BS509" s="1213" t="e">
        <f t="shared" ca="1" si="346"/>
        <v>#N/A</v>
      </c>
      <c r="BT509" s="1587">
        <f t="shared" si="347"/>
        <v>0</v>
      </c>
      <c r="BW509" s="1212" t="e">
        <f t="shared" ca="1" si="348"/>
        <v>#N/A</v>
      </c>
      <c r="BX509" s="1213" t="e">
        <f t="shared" ca="1" si="349"/>
        <v>#N/A</v>
      </c>
      <c r="BY509" s="1587">
        <f t="shared" si="350"/>
        <v>0</v>
      </c>
      <c r="CB509" s="1212" t="e">
        <f t="shared" ca="1" si="351"/>
        <v>#N/A</v>
      </c>
      <c r="CC509" s="1213" t="e">
        <f t="shared" ca="1" si="352"/>
        <v>#N/A</v>
      </c>
      <c r="CD509" s="1587">
        <f t="shared" si="353"/>
        <v>0</v>
      </c>
      <c r="CG509" s="1212" t="e">
        <f t="shared" ca="1" si="354"/>
        <v>#N/A</v>
      </c>
      <c r="CH509" s="1213" t="e">
        <f t="shared" ca="1" si="355"/>
        <v>#N/A</v>
      </c>
      <c r="CI509" s="1587">
        <f t="shared" si="356"/>
        <v>0</v>
      </c>
      <c r="CL509" s="1212" t="e">
        <f t="shared" ca="1" si="357"/>
        <v>#N/A</v>
      </c>
      <c r="CM509" s="1213" t="e">
        <f t="shared" ca="1" si="358"/>
        <v>#N/A</v>
      </c>
      <c r="CN509" s="1587">
        <f t="shared" si="359"/>
        <v>0</v>
      </c>
    </row>
    <row r="510" spans="1:92">
      <c r="A510" s="141">
        <f>'銀行-TSS'!A510</f>
        <v>0</v>
      </c>
      <c r="B510" s="151">
        <f ca="1">VLOOKUP(A510,'銀行-TSS'!A:B,2,FALSE)</f>
        <v>0</v>
      </c>
      <c r="C510" s="151" t="e">
        <f ca="1">VLOOKUP(B510,bond!B:C,2,FALSE)</f>
        <v>#N/A</v>
      </c>
      <c r="D510" s="95" t="e">
        <f>VLOOKUP(A510,'銀行-TSS'!A:C,3,FALSE)</f>
        <v>#N/A</v>
      </c>
      <c r="E510" s="90" t="e">
        <f ca="1">VLOOKUP(A510,'銀行-TSS'!A:G,7,FALSE)</f>
        <v>#N/A</v>
      </c>
      <c r="F510" s="202" t="e">
        <f ca="1">VLOOKUP(A510,'銀行-TSS'!A:H,8,FALSE)</f>
        <v>#N/A</v>
      </c>
      <c r="G510" s="96" t="e">
        <f ca="1">VLOOKUP(A510,'銀行-TSS'!A:K,11,FALSE)</f>
        <v>#N/A</v>
      </c>
      <c r="H510" s="1209" t="e">
        <f ca="1">VLOOKUP(A510,'銀行-TSS'!A:M,13,FALSE)</f>
        <v>#N/A</v>
      </c>
      <c r="I510" s="1213" t="e">
        <f ca="1">VLOOKUP(A510,'銀行-TSS'!A:N,14,FALSE)</f>
        <v>#N/A</v>
      </c>
      <c r="J510" s="1213" t="e">
        <f ca="1">VLOOKUP(A510,'銀行-TSS'!A:O,15,FALSE)</f>
        <v>#N/A</v>
      </c>
      <c r="K510" s="136" t="e">
        <f ca="1">VLOOKUP(A510,'銀行-TSS'!A:V,22,FALSE)</f>
        <v>#N/A</v>
      </c>
      <c r="L510" s="136" t="e">
        <f ca="1">VLOOKUP(A510,'銀行-TSS'!A:AK,37,FALSE)</f>
        <v>#N/A</v>
      </c>
      <c r="M510" s="136" t="str">
        <f ca="1">VLOOKUP(A510,'銀行-TSS'!A:AN,40,FALSE)</f>
        <v/>
      </c>
      <c r="N510" s="136" t="e">
        <f t="shared" ca="1" si="315"/>
        <v>#N/A</v>
      </c>
      <c r="O510" s="1213" t="e">
        <f t="shared" ca="1" si="316"/>
        <v>#N/A</v>
      </c>
      <c r="P510" s="1213" t="e">
        <f ca="1">IF(AND($O$1&gt;=O510,換券單檔!$D$13=D510),I510+INT(($O$1-O510)/N510)*J510,0)</f>
        <v>#N/A</v>
      </c>
      <c r="Q510" s="1213" t="e">
        <f t="shared" ca="1" si="317"/>
        <v>#N/A</v>
      </c>
      <c r="R510" s="1213">
        <f t="shared" si="318"/>
        <v>0</v>
      </c>
      <c r="S510" s="1213">
        <f t="shared" si="319"/>
        <v>0</v>
      </c>
      <c r="T510" s="136">
        <f>IF(OR(R510=0,A510=0),0,IF(AND(V510=TRUE,換券單檔!$D$13=D510),E510,0))</f>
        <v>0</v>
      </c>
      <c r="U510" s="861">
        <f>IF(OR(R510=0,A510=0),0,IF(AND(V510=TRUE,換券單檔!$D$13=D510),H510,0))</f>
        <v>0</v>
      </c>
      <c r="V510" s="136" t="e">
        <f ca="1">IF(OR(B510=換券單檔!$D$3,L510="無",M510&lt;&gt;"",K510="高資產",IFERROR(MATCH(B510,換券單檔!K:K,0),"N")&lt;&gt;"N"),FALSE,IF($V$1="All",TRUE,IF(K510=$V$1,TRUE,FALSE)))</f>
        <v>#N/A</v>
      </c>
      <c r="W510" s="136" t="e">
        <f ca="1">VLOOKUP(A510,'銀行-TSS'!A:AO,41,FALSE)</f>
        <v>#N/A</v>
      </c>
      <c r="X510" s="136" t="e">
        <f ca="1">VLOOKUP(A510,'銀行-TSS'!A:AP,42,FALSE)</f>
        <v>#N/A</v>
      </c>
      <c r="Y510" s="1220">
        <f t="shared" si="320"/>
        <v>0</v>
      </c>
      <c r="Z510" s="1220">
        <f t="shared" si="321"/>
        <v>0</v>
      </c>
      <c r="AA510" s="136">
        <f>IF(Z510&lt;=0,0,RANK(Z510,Z:Z)+COUNTIF($Z$3:$Z510,Z510)-1)</f>
        <v>0</v>
      </c>
      <c r="AB510" s="1211">
        <f t="shared" ca="1" si="322"/>
        <v>-14896.14</v>
      </c>
      <c r="AC510" s="136">
        <f ca="1">IF(AB510&lt;=0,0,RANK(AB510,AB:AB)+COUNTIF($AB$3:$AB510,AB510)-1)</f>
        <v>0</v>
      </c>
      <c r="AD510" s="1123">
        <f t="shared" si="323"/>
        <v>99999</v>
      </c>
      <c r="AE510" s="1123">
        <f>IF(AD510=99999,0,RANK(AD510,AD:AD,1)+COUNTIF($AD$3:$AD510,AD510)-1)</f>
        <v>0</v>
      </c>
      <c r="AF510" s="86" t="e">
        <f ca="1">IF(OR(M510&lt;&gt;"",L510="無",K510="高資產",IFERROR(MATCH(B510,換券單檔!K:K,0),"N")&lt;&gt;"N"),FALSE,TRUE)</f>
        <v>#N/A</v>
      </c>
      <c r="AI510" s="1212" t="e">
        <f t="shared" ca="1" si="324"/>
        <v>#N/A</v>
      </c>
      <c r="AJ510" s="1213" t="e">
        <f t="shared" ca="1" si="325"/>
        <v>#N/A</v>
      </c>
      <c r="AK510" s="1587">
        <f t="shared" si="326"/>
        <v>0</v>
      </c>
      <c r="AN510" s="1212" t="e">
        <f t="shared" ca="1" si="327"/>
        <v>#N/A</v>
      </c>
      <c r="AO510" s="1213" t="e">
        <f t="shared" ca="1" si="328"/>
        <v>#N/A</v>
      </c>
      <c r="AP510" s="1587">
        <f t="shared" si="329"/>
        <v>0</v>
      </c>
      <c r="AS510" s="1212" t="e">
        <f t="shared" ca="1" si="330"/>
        <v>#N/A</v>
      </c>
      <c r="AT510" s="1213" t="e">
        <f t="shared" ca="1" si="331"/>
        <v>#N/A</v>
      </c>
      <c r="AU510" s="1587">
        <f t="shared" si="332"/>
        <v>0</v>
      </c>
      <c r="AX510" s="1212" t="e">
        <f t="shared" ca="1" si="333"/>
        <v>#N/A</v>
      </c>
      <c r="AY510" s="1213" t="e">
        <f t="shared" ca="1" si="334"/>
        <v>#N/A</v>
      </c>
      <c r="AZ510" s="1587">
        <f t="shared" si="335"/>
        <v>0</v>
      </c>
      <c r="BC510" s="1212" t="e">
        <f t="shared" ca="1" si="336"/>
        <v>#N/A</v>
      </c>
      <c r="BD510" s="1213" t="e">
        <f t="shared" ca="1" si="337"/>
        <v>#N/A</v>
      </c>
      <c r="BE510" s="1587">
        <f t="shared" si="338"/>
        <v>0</v>
      </c>
      <c r="BH510" s="1212" t="e">
        <f t="shared" ca="1" si="339"/>
        <v>#N/A</v>
      </c>
      <c r="BI510" s="1213" t="e">
        <f t="shared" ca="1" si="340"/>
        <v>#N/A</v>
      </c>
      <c r="BJ510" s="1587">
        <f t="shared" si="341"/>
        <v>0</v>
      </c>
      <c r="BM510" s="1212" t="e">
        <f t="shared" ca="1" si="342"/>
        <v>#N/A</v>
      </c>
      <c r="BN510" s="1213" t="e">
        <f t="shared" ca="1" si="343"/>
        <v>#N/A</v>
      </c>
      <c r="BO510" s="1587">
        <f t="shared" si="344"/>
        <v>0</v>
      </c>
      <c r="BR510" s="1212" t="e">
        <f t="shared" ca="1" si="345"/>
        <v>#N/A</v>
      </c>
      <c r="BS510" s="1213" t="e">
        <f t="shared" ca="1" si="346"/>
        <v>#N/A</v>
      </c>
      <c r="BT510" s="1587">
        <f t="shared" si="347"/>
        <v>0</v>
      </c>
      <c r="BW510" s="1212" t="e">
        <f t="shared" ca="1" si="348"/>
        <v>#N/A</v>
      </c>
      <c r="BX510" s="1213" t="e">
        <f t="shared" ca="1" si="349"/>
        <v>#N/A</v>
      </c>
      <c r="BY510" s="1587">
        <f t="shared" si="350"/>
        <v>0</v>
      </c>
      <c r="CB510" s="1212" t="e">
        <f t="shared" ca="1" si="351"/>
        <v>#N/A</v>
      </c>
      <c r="CC510" s="1213" t="e">
        <f t="shared" ca="1" si="352"/>
        <v>#N/A</v>
      </c>
      <c r="CD510" s="1587">
        <f t="shared" si="353"/>
        <v>0</v>
      </c>
      <c r="CG510" s="1212" t="e">
        <f t="shared" ca="1" si="354"/>
        <v>#N/A</v>
      </c>
      <c r="CH510" s="1213" t="e">
        <f t="shared" ca="1" si="355"/>
        <v>#N/A</v>
      </c>
      <c r="CI510" s="1587">
        <f t="shared" si="356"/>
        <v>0</v>
      </c>
      <c r="CL510" s="1212" t="e">
        <f t="shared" ca="1" si="357"/>
        <v>#N/A</v>
      </c>
      <c r="CM510" s="1213" t="e">
        <f t="shared" ca="1" si="358"/>
        <v>#N/A</v>
      </c>
      <c r="CN510" s="1587">
        <f t="shared" si="359"/>
        <v>0</v>
      </c>
    </row>
    <row r="511" spans="1:92">
      <c r="A511" s="141">
        <f>'銀行-TSS'!A511</f>
        <v>0</v>
      </c>
      <c r="B511" s="151">
        <f ca="1">VLOOKUP(A511,'銀行-TSS'!A:B,2,FALSE)</f>
        <v>0</v>
      </c>
      <c r="C511" s="151" t="e">
        <f ca="1">VLOOKUP(B511,bond!B:C,2,FALSE)</f>
        <v>#N/A</v>
      </c>
      <c r="D511" s="95" t="e">
        <f>VLOOKUP(A511,'銀行-TSS'!A:C,3,FALSE)</f>
        <v>#N/A</v>
      </c>
      <c r="E511" s="90" t="e">
        <f ca="1">VLOOKUP(A511,'銀行-TSS'!A:G,7,FALSE)</f>
        <v>#N/A</v>
      </c>
      <c r="F511" s="202" t="e">
        <f ca="1">VLOOKUP(A511,'銀行-TSS'!A:H,8,FALSE)</f>
        <v>#N/A</v>
      </c>
      <c r="G511" s="96" t="e">
        <f ca="1">VLOOKUP(A511,'銀行-TSS'!A:K,11,FALSE)</f>
        <v>#N/A</v>
      </c>
      <c r="H511" s="1209" t="e">
        <f ca="1">VLOOKUP(A511,'銀行-TSS'!A:M,13,FALSE)</f>
        <v>#N/A</v>
      </c>
      <c r="I511" s="1213" t="e">
        <f ca="1">VLOOKUP(A511,'銀行-TSS'!A:N,14,FALSE)</f>
        <v>#N/A</v>
      </c>
      <c r="J511" s="1213" t="e">
        <f ca="1">VLOOKUP(A511,'銀行-TSS'!A:O,15,FALSE)</f>
        <v>#N/A</v>
      </c>
      <c r="K511" s="136" t="e">
        <f ca="1">VLOOKUP(A511,'銀行-TSS'!A:V,22,FALSE)</f>
        <v>#N/A</v>
      </c>
      <c r="L511" s="136" t="e">
        <f ca="1">VLOOKUP(A511,'銀行-TSS'!A:AK,37,FALSE)</f>
        <v>#N/A</v>
      </c>
      <c r="M511" s="136" t="str">
        <f ca="1">VLOOKUP(A511,'銀行-TSS'!A:AN,40,FALSE)</f>
        <v/>
      </c>
      <c r="N511" s="136" t="e">
        <f t="shared" ca="1" si="315"/>
        <v>#N/A</v>
      </c>
      <c r="O511" s="1213" t="e">
        <f t="shared" ca="1" si="316"/>
        <v>#N/A</v>
      </c>
      <c r="P511" s="1213" t="e">
        <f ca="1">IF(AND($O$1&gt;=O511,換券單檔!$D$13=D511),I511+INT(($O$1-O511)/N511)*J511,0)</f>
        <v>#N/A</v>
      </c>
      <c r="Q511" s="1213" t="e">
        <f t="shared" ca="1" si="317"/>
        <v>#N/A</v>
      </c>
      <c r="R511" s="1213">
        <f t="shared" si="318"/>
        <v>0</v>
      </c>
      <c r="S511" s="1213">
        <f t="shared" si="319"/>
        <v>0</v>
      </c>
      <c r="T511" s="136">
        <f>IF(OR(R511=0,A511=0),0,IF(AND(V511=TRUE,換券單檔!$D$13=D511),E511,0))</f>
        <v>0</v>
      </c>
      <c r="U511" s="861">
        <f>IF(OR(R511=0,A511=0),0,IF(AND(V511=TRUE,換券單檔!$D$13=D511),H511,0))</f>
        <v>0</v>
      </c>
      <c r="V511" s="136" t="e">
        <f ca="1">IF(OR(B511=換券單檔!$D$3,L511="無",M511&lt;&gt;"",K511="高資產",IFERROR(MATCH(B511,換券單檔!K:K,0),"N")&lt;&gt;"N"),FALSE,IF($V$1="All",TRUE,IF(K511=$V$1,TRUE,FALSE)))</f>
        <v>#N/A</v>
      </c>
      <c r="W511" s="136" t="e">
        <f ca="1">VLOOKUP(A511,'銀行-TSS'!A:AO,41,FALSE)</f>
        <v>#N/A</v>
      </c>
      <c r="X511" s="136" t="e">
        <f ca="1">VLOOKUP(A511,'銀行-TSS'!A:AP,42,FALSE)</f>
        <v>#N/A</v>
      </c>
      <c r="Y511" s="1220">
        <f t="shared" si="320"/>
        <v>0</v>
      </c>
      <c r="Z511" s="1220">
        <f t="shared" si="321"/>
        <v>0</v>
      </c>
      <c r="AA511" s="136">
        <f>IF(Z511&lt;=0,0,RANK(Z511,Z:Z)+COUNTIF($Z$3:$Z511,Z511)-1)</f>
        <v>0</v>
      </c>
      <c r="AB511" s="1211">
        <f t="shared" ca="1" si="322"/>
        <v>-14896.14</v>
      </c>
      <c r="AC511" s="136">
        <f ca="1">IF(AB511&lt;=0,0,RANK(AB511,AB:AB)+COUNTIF($AB$3:$AB511,AB511)-1)</f>
        <v>0</v>
      </c>
      <c r="AD511" s="1123">
        <f t="shared" si="323"/>
        <v>99999</v>
      </c>
      <c r="AE511" s="1123">
        <f>IF(AD511=99999,0,RANK(AD511,AD:AD,1)+COUNTIF($AD$3:$AD511,AD511)-1)</f>
        <v>0</v>
      </c>
      <c r="AF511" s="86" t="e">
        <f ca="1">IF(OR(M511&lt;&gt;"",L511="無",K511="高資產",IFERROR(MATCH(B511,換券單檔!K:K,0),"N")&lt;&gt;"N"),FALSE,TRUE)</f>
        <v>#N/A</v>
      </c>
      <c r="AI511" s="1212" t="e">
        <f t="shared" ca="1" si="324"/>
        <v>#N/A</v>
      </c>
      <c r="AJ511" s="1213" t="e">
        <f t="shared" ca="1" si="325"/>
        <v>#N/A</v>
      </c>
      <c r="AK511" s="1587">
        <f t="shared" si="326"/>
        <v>0</v>
      </c>
      <c r="AN511" s="1212" t="e">
        <f t="shared" ca="1" si="327"/>
        <v>#N/A</v>
      </c>
      <c r="AO511" s="1213" t="e">
        <f t="shared" ca="1" si="328"/>
        <v>#N/A</v>
      </c>
      <c r="AP511" s="1587">
        <f t="shared" si="329"/>
        <v>0</v>
      </c>
      <c r="AS511" s="1212" t="e">
        <f t="shared" ca="1" si="330"/>
        <v>#N/A</v>
      </c>
      <c r="AT511" s="1213" t="e">
        <f t="shared" ca="1" si="331"/>
        <v>#N/A</v>
      </c>
      <c r="AU511" s="1587">
        <f t="shared" si="332"/>
        <v>0</v>
      </c>
      <c r="AX511" s="1212" t="e">
        <f t="shared" ca="1" si="333"/>
        <v>#N/A</v>
      </c>
      <c r="AY511" s="1213" t="e">
        <f t="shared" ca="1" si="334"/>
        <v>#N/A</v>
      </c>
      <c r="AZ511" s="1587">
        <f t="shared" si="335"/>
        <v>0</v>
      </c>
      <c r="BC511" s="1212" t="e">
        <f t="shared" ca="1" si="336"/>
        <v>#N/A</v>
      </c>
      <c r="BD511" s="1213" t="e">
        <f t="shared" ca="1" si="337"/>
        <v>#N/A</v>
      </c>
      <c r="BE511" s="1587">
        <f t="shared" si="338"/>
        <v>0</v>
      </c>
      <c r="BH511" s="1212" t="e">
        <f t="shared" ca="1" si="339"/>
        <v>#N/A</v>
      </c>
      <c r="BI511" s="1213" t="e">
        <f t="shared" ca="1" si="340"/>
        <v>#N/A</v>
      </c>
      <c r="BJ511" s="1587">
        <f t="shared" si="341"/>
        <v>0</v>
      </c>
      <c r="BM511" s="1212" t="e">
        <f t="shared" ca="1" si="342"/>
        <v>#N/A</v>
      </c>
      <c r="BN511" s="1213" t="e">
        <f t="shared" ca="1" si="343"/>
        <v>#N/A</v>
      </c>
      <c r="BO511" s="1587">
        <f t="shared" si="344"/>
        <v>0</v>
      </c>
      <c r="BR511" s="1212" t="e">
        <f t="shared" ca="1" si="345"/>
        <v>#N/A</v>
      </c>
      <c r="BS511" s="1213" t="e">
        <f t="shared" ca="1" si="346"/>
        <v>#N/A</v>
      </c>
      <c r="BT511" s="1587">
        <f t="shared" si="347"/>
        <v>0</v>
      </c>
      <c r="BW511" s="1212" t="e">
        <f t="shared" ca="1" si="348"/>
        <v>#N/A</v>
      </c>
      <c r="BX511" s="1213" t="e">
        <f t="shared" ca="1" si="349"/>
        <v>#N/A</v>
      </c>
      <c r="BY511" s="1587">
        <f t="shared" si="350"/>
        <v>0</v>
      </c>
      <c r="CB511" s="1212" t="e">
        <f t="shared" ca="1" si="351"/>
        <v>#N/A</v>
      </c>
      <c r="CC511" s="1213" t="e">
        <f t="shared" ca="1" si="352"/>
        <v>#N/A</v>
      </c>
      <c r="CD511" s="1587">
        <f t="shared" si="353"/>
        <v>0</v>
      </c>
      <c r="CG511" s="1212" t="e">
        <f t="shared" ca="1" si="354"/>
        <v>#N/A</v>
      </c>
      <c r="CH511" s="1213" t="e">
        <f t="shared" ca="1" si="355"/>
        <v>#N/A</v>
      </c>
      <c r="CI511" s="1587">
        <f t="shared" si="356"/>
        <v>0</v>
      </c>
      <c r="CL511" s="1212" t="e">
        <f t="shared" ca="1" si="357"/>
        <v>#N/A</v>
      </c>
      <c r="CM511" s="1213" t="e">
        <f t="shared" ca="1" si="358"/>
        <v>#N/A</v>
      </c>
      <c r="CN511" s="1587">
        <f t="shared" si="359"/>
        <v>0</v>
      </c>
    </row>
    <row r="512" spans="1:92">
      <c r="A512" s="141">
        <f>'銀行-TSS'!A512</f>
        <v>0</v>
      </c>
      <c r="B512" s="151">
        <f ca="1">VLOOKUP(A512,'銀行-TSS'!A:B,2,FALSE)</f>
        <v>0</v>
      </c>
      <c r="C512" s="151" t="e">
        <f ca="1">VLOOKUP(B512,bond!B:C,2,FALSE)</f>
        <v>#N/A</v>
      </c>
      <c r="D512" s="95" t="e">
        <f>VLOOKUP(A512,'銀行-TSS'!A:C,3,FALSE)</f>
        <v>#N/A</v>
      </c>
      <c r="E512" s="90" t="e">
        <f ca="1">VLOOKUP(A512,'銀行-TSS'!A:G,7,FALSE)</f>
        <v>#N/A</v>
      </c>
      <c r="F512" s="202" t="e">
        <f ca="1">VLOOKUP(A512,'銀行-TSS'!A:H,8,FALSE)</f>
        <v>#N/A</v>
      </c>
      <c r="G512" s="96" t="e">
        <f ca="1">VLOOKUP(A512,'銀行-TSS'!A:K,11,FALSE)</f>
        <v>#N/A</v>
      </c>
      <c r="H512" s="1209" t="e">
        <f ca="1">VLOOKUP(A512,'銀行-TSS'!A:M,13,FALSE)</f>
        <v>#N/A</v>
      </c>
      <c r="I512" s="1213" t="e">
        <f ca="1">VLOOKUP(A512,'銀行-TSS'!A:N,14,FALSE)</f>
        <v>#N/A</v>
      </c>
      <c r="J512" s="1213" t="e">
        <f ca="1">VLOOKUP(A512,'銀行-TSS'!A:O,15,FALSE)</f>
        <v>#N/A</v>
      </c>
      <c r="K512" s="136" t="e">
        <f ca="1">VLOOKUP(A512,'銀行-TSS'!A:V,22,FALSE)</f>
        <v>#N/A</v>
      </c>
      <c r="L512" s="136" t="e">
        <f ca="1">VLOOKUP(A512,'銀行-TSS'!A:AK,37,FALSE)</f>
        <v>#N/A</v>
      </c>
      <c r="M512" s="136" t="str">
        <f ca="1">VLOOKUP(A512,'銀行-TSS'!A:AN,40,FALSE)</f>
        <v/>
      </c>
      <c r="N512" s="136" t="e">
        <f t="shared" ca="1" si="315"/>
        <v>#N/A</v>
      </c>
      <c r="O512" s="1213" t="e">
        <f t="shared" ca="1" si="316"/>
        <v>#N/A</v>
      </c>
      <c r="P512" s="1213" t="e">
        <f ca="1">IF(AND($O$1&gt;=O512,換券單檔!$D$13=D512),I512+INT(($O$1-O512)/N512)*J512,0)</f>
        <v>#N/A</v>
      </c>
      <c r="Q512" s="1213" t="e">
        <f t="shared" ca="1" si="317"/>
        <v>#N/A</v>
      </c>
      <c r="R512" s="1213">
        <f t="shared" si="318"/>
        <v>0</v>
      </c>
      <c r="S512" s="1213">
        <f t="shared" si="319"/>
        <v>0</v>
      </c>
      <c r="T512" s="136">
        <f>IF(OR(R512=0,A512=0),0,IF(AND(V512=TRUE,換券單檔!$D$13=D512),E512,0))</f>
        <v>0</v>
      </c>
      <c r="U512" s="861">
        <f>IF(OR(R512=0,A512=0),0,IF(AND(V512=TRUE,換券單檔!$D$13=D512),H512,0))</f>
        <v>0</v>
      </c>
      <c r="V512" s="136" t="e">
        <f ca="1">IF(OR(B512=換券單檔!$D$3,L512="無",M512&lt;&gt;"",K512="高資產",IFERROR(MATCH(B512,換券單檔!K:K,0),"N")&lt;&gt;"N"),FALSE,IF($V$1="All",TRUE,IF(K512=$V$1,TRUE,FALSE)))</f>
        <v>#N/A</v>
      </c>
      <c r="W512" s="136" t="e">
        <f ca="1">VLOOKUP(A512,'銀行-TSS'!A:AO,41,FALSE)</f>
        <v>#N/A</v>
      </c>
      <c r="X512" s="136" t="e">
        <f ca="1">VLOOKUP(A512,'銀行-TSS'!A:AP,42,FALSE)</f>
        <v>#N/A</v>
      </c>
      <c r="Y512" s="1220">
        <f t="shared" si="320"/>
        <v>0</v>
      </c>
      <c r="Z512" s="1220">
        <f t="shared" si="321"/>
        <v>0</v>
      </c>
      <c r="AA512" s="136">
        <f>IF(Z512&lt;=0,0,RANK(Z512,Z:Z)+COUNTIF($Z$3:$Z512,Z512)-1)</f>
        <v>0</v>
      </c>
      <c r="AB512" s="1211">
        <f t="shared" ca="1" si="322"/>
        <v>-14896.14</v>
      </c>
      <c r="AC512" s="136">
        <f ca="1">IF(AB512&lt;=0,0,RANK(AB512,AB:AB)+COUNTIF($AB$3:$AB512,AB512)-1)</f>
        <v>0</v>
      </c>
      <c r="AD512" s="1123">
        <f t="shared" si="323"/>
        <v>99999</v>
      </c>
      <c r="AE512" s="1123">
        <f>IF(AD512=99999,0,RANK(AD512,AD:AD,1)+COUNTIF($AD$3:$AD512,AD512)-1)</f>
        <v>0</v>
      </c>
      <c r="AF512" s="86" t="e">
        <f ca="1">IF(OR(M512&lt;&gt;"",L512="無",K512="高資產",IFERROR(MATCH(B512,換券單檔!K:K,0),"N")&lt;&gt;"N"),FALSE,TRUE)</f>
        <v>#N/A</v>
      </c>
      <c r="AI512" s="1212" t="e">
        <f t="shared" ca="1" si="324"/>
        <v>#N/A</v>
      </c>
      <c r="AJ512" s="1213" t="e">
        <f t="shared" ca="1" si="325"/>
        <v>#N/A</v>
      </c>
      <c r="AK512" s="1587">
        <f t="shared" si="326"/>
        <v>0</v>
      </c>
      <c r="AN512" s="1212" t="e">
        <f t="shared" ca="1" si="327"/>
        <v>#N/A</v>
      </c>
      <c r="AO512" s="1213" t="e">
        <f t="shared" ca="1" si="328"/>
        <v>#N/A</v>
      </c>
      <c r="AP512" s="1587">
        <f t="shared" si="329"/>
        <v>0</v>
      </c>
      <c r="AS512" s="1212" t="e">
        <f t="shared" ca="1" si="330"/>
        <v>#N/A</v>
      </c>
      <c r="AT512" s="1213" t="e">
        <f t="shared" ca="1" si="331"/>
        <v>#N/A</v>
      </c>
      <c r="AU512" s="1587">
        <f t="shared" si="332"/>
        <v>0</v>
      </c>
      <c r="AX512" s="1212" t="e">
        <f t="shared" ca="1" si="333"/>
        <v>#N/A</v>
      </c>
      <c r="AY512" s="1213" t="e">
        <f t="shared" ca="1" si="334"/>
        <v>#N/A</v>
      </c>
      <c r="AZ512" s="1587">
        <f t="shared" si="335"/>
        <v>0</v>
      </c>
      <c r="BC512" s="1212" t="e">
        <f t="shared" ca="1" si="336"/>
        <v>#N/A</v>
      </c>
      <c r="BD512" s="1213" t="e">
        <f t="shared" ca="1" si="337"/>
        <v>#N/A</v>
      </c>
      <c r="BE512" s="1587">
        <f t="shared" si="338"/>
        <v>0</v>
      </c>
      <c r="BH512" s="1212" t="e">
        <f t="shared" ca="1" si="339"/>
        <v>#N/A</v>
      </c>
      <c r="BI512" s="1213" t="e">
        <f t="shared" ca="1" si="340"/>
        <v>#N/A</v>
      </c>
      <c r="BJ512" s="1587">
        <f t="shared" si="341"/>
        <v>0</v>
      </c>
      <c r="BM512" s="1212" t="e">
        <f t="shared" ca="1" si="342"/>
        <v>#N/A</v>
      </c>
      <c r="BN512" s="1213" t="e">
        <f t="shared" ca="1" si="343"/>
        <v>#N/A</v>
      </c>
      <c r="BO512" s="1587">
        <f t="shared" si="344"/>
        <v>0</v>
      </c>
      <c r="BR512" s="1212" t="e">
        <f t="shared" ca="1" si="345"/>
        <v>#N/A</v>
      </c>
      <c r="BS512" s="1213" t="e">
        <f t="shared" ca="1" si="346"/>
        <v>#N/A</v>
      </c>
      <c r="BT512" s="1587">
        <f t="shared" si="347"/>
        <v>0</v>
      </c>
      <c r="BW512" s="1212" t="e">
        <f t="shared" ca="1" si="348"/>
        <v>#N/A</v>
      </c>
      <c r="BX512" s="1213" t="e">
        <f t="shared" ca="1" si="349"/>
        <v>#N/A</v>
      </c>
      <c r="BY512" s="1587">
        <f t="shared" si="350"/>
        <v>0</v>
      </c>
      <c r="CB512" s="1212" t="e">
        <f t="shared" ca="1" si="351"/>
        <v>#N/A</v>
      </c>
      <c r="CC512" s="1213" t="e">
        <f t="shared" ca="1" si="352"/>
        <v>#N/A</v>
      </c>
      <c r="CD512" s="1587">
        <f t="shared" si="353"/>
        <v>0</v>
      </c>
      <c r="CG512" s="1212" t="e">
        <f t="shared" ca="1" si="354"/>
        <v>#N/A</v>
      </c>
      <c r="CH512" s="1213" t="e">
        <f t="shared" ca="1" si="355"/>
        <v>#N/A</v>
      </c>
      <c r="CI512" s="1587">
        <f t="shared" si="356"/>
        <v>0</v>
      </c>
      <c r="CL512" s="1212" t="e">
        <f t="shared" ca="1" si="357"/>
        <v>#N/A</v>
      </c>
      <c r="CM512" s="1213" t="e">
        <f t="shared" ca="1" si="358"/>
        <v>#N/A</v>
      </c>
      <c r="CN512" s="1587">
        <f t="shared" si="359"/>
        <v>0</v>
      </c>
    </row>
    <row r="513" spans="1:92">
      <c r="A513" s="141">
        <f>'銀行-TSS'!A513</f>
        <v>0</v>
      </c>
      <c r="B513" s="151">
        <f ca="1">VLOOKUP(A513,'銀行-TSS'!A:B,2,FALSE)</f>
        <v>0</v>
      </c>
      <c r="C513" s="151" t="e">
        <f ca="1">VLOOKUP(B513,bond!B:C,2,FALSE)</f>
        <v>#N/A</v>
      </c>
      <c r="D513" s="95" t="e">
        <f>VLOOKUP(A513,'銀行-TSS'!A:C,3,FALSE)</f>
        <v>#N/A</v>
      </c>
      <c r="E513" s="90" t="e">
        <f ca="1">VLOOKUP(A513,'銀行-TSS'!A:G,7,FALSE)</f>
        <v>#N/A</v>
      </c>
      <c r="F513" s="202" t="e">
        <f ca="1">VLOOKUP(A513,'銀行-TSS'!A:H,8,FALSE)</f>
        <v>#N/A</v>
      </c>
      <c r="G513" s="96" t="e">
        <f ca="1">VLOOKUP(A513,'銀行-TSS'!A:K,11,FALSE)</f>
        <v>#N/A</v>
      </c>
      <c r="H513" s="1209" t="e">
        <f ca="1">VLOOKUP(A513,'銀行-TSS'!A:M,13,FALSE)</f>
        <v>#N/A</v>
      </c>
      <c r="I513" s="1213" t="e">
        <f ca="1">VLOOKUP(A513,'銀行-TSS'!A:N,14,FALSE)</f>
        <v>#N/A</v>
      </c>
      <c r="J513" s="1213" t="e">
        <f ca="1">VLOOKUP(A513,'銀行-TSS'!A:O,15,FALSE)</f>
        <v>#N/A</v>
      </c>
      <c r="K513" s="136" t="e">
        <f ca="1">VLOOKUP(A513,'銀行-TSS'!A:V,22,FALSE)</f>
        <v>#N/A</v>
      </c>
      <c r="L513" s="136" t="e">
        <f ca="1">VLOOKUP(A513,'銀行-TSS'!A:AK,37,FALSE)</f>
        <v>#N/A</v>
      </c>
      <c r="M513" s="136" t="str">
        <f ca="1">VLOOKUP(A513,'銀行-TSS'!A:AN,40,FALSE)</f>
        <v/>
      </c>
      <c r="N513" s="136" t="e">
        <f t="shared" ca="1" si="315"/>
        <v>#N/A</v>
      </c>
      <c r="O513" s="1213" t="e">
        <f t="shared" ca="1" si="316"/>
        <v>#N/A</v>
      </c>
      <c r="P513" s="1213" t="e">
        <f ca="1">IF(AND($O$1&gt;=O513,換券單檔!$D$13=D513),I513+INT(($O$1-O513)/N513)*J513,0)</f>
        <v>#N/A</v>
      </c>
      <c r="Q513" s="1213" t="e">
        <f t="shared" ca="1" si="317"/>
        <v>#N/A</v>
      </c>
      <c r="R513" s="1213">
        <f t="shared" si="318"/>
        <v>0</v>
      </c>
      <c r="S513" s="1213">
        <f t="shared" si="319"/>
        <v>0</v>
      </c>
      <c r="T513" s="136">
        <f>IF(OR(R513=0,A513=0),0,IF(AND(V513=TRUE,換券單檔!$D$13=D513),E513,0))</f>
        <v>0</v>
      </c>
      <c r="U513" s="861">
        <f>IF(OR(R513=0,A513=0),0,IF(AND(V513=TRUE,換券單檔!$D$13=D513),H513,0))</f>
        <v>0</v>
      </c>
      <c r="V513" s="136" t="e">
        <f ca="1">IF(OR(B513=換券單檔!$D$3,L513="無",M513&lt;&gt;"",K513="高資產",IFERROR(MATCH(B513,換券單檔!K:K,0),"N")&lt;&gt;"N"),FALSE,IF($V$1="All",TRUE,IF(K513=$V$1,TRUE,FALSE)))</f>
        <v>#N/A</v>
      </c>
      <c r="W513" s="136" t="e">
        <f ca="1">VLOOKUP(A513,'銀行-TSS'!A:AO,41,FALSE)</f>
        <v>#N/A</v>
      </c>
      <c r="X513" s="136" t="e">
        <f ca="1">VLOOKUP(A513,'銀行-TSS'!A:AP,42,FALSE)</f>
        <v>#N/A</v>
      </c>
      <c r="Y513" s="1220">
        <f t="shared" si="320"/>
        <v>0</v>
      </c>
      <c r="Z513" s="1220">
        <f t="shared" si="321"/>
        <v>0</v>
      </c>
      <c r="AA513" s="136">
        <f>IF(Z513&lt;=0,0,RANK(Z513,Z:Z)+COUNTIF($Z$3:$Z513,Z513)-1)</f>
        <v>0</v>
      </c>
      <c r="AB513" s="1211">
        <f t="shared" ca="1" si="322"/>
        <v>-14896.14</v>
      </c>
      <c r="AC513" s="136">
        <f ca="1">IF(AB513&lt;=0,0,RANK(AB513,AB:AB)+COUNTIF($AB$3:$AB513,AB513)-1)</f>
        <v>0</v>
      </c>
      <c r="AD513" s="1123">
        <f t="shared" si="323"/>
        <v>99999</v>
      </c>
      <c r="AE513" s="1123">
        <f>IF(AD513=99999,0,RANK(AD513,AD:AD,1)+COUNTIF($AD$3:$AD513,AD513)-1)</f>
        <v>0</v>
      </c>
      <c r="AF513" s="86" t="e">
        <f ca="1">IF(OR(M513&lt;&gt;"",L513="無",K513="高資產",IFERROR(MATCH(B513,換券單檔!K:K,0),"N")&lt;&gt;"N"),FALSE,TRUE)</f>
        <v>#N/A</v>
      </c>
      <c r="AI513" s="1212" t="e">
        <f t="shared" ca="1" si="324"/>
        <v>#N/A</v>
      </c>
      <c r="AJ513" s="1213" t="e">
        <f t="shared" ca="1" si="325"/>
        <v>#N/A</v>
      </c>
      <c r="AK513" s="1587">
        <f t="shared" si="326"/>
        <v>0</v>
      </c>
      <c r="AN513" s="1212" t="e">
        <f t="shared" ca="1" si="327"/>
        <v>#N/A</v>
      </c>
      <c r="AO513" s="1213" t="e">
        <f t="shared" ca="1" si="328"/>
        <v>#N/A</v>
      </c>
      <c r="AP513" s="1587">
        <f t="shared" si="329"/>
        <v>0</v>
      </c>
      <c r="AS513" s="1212" t="e">
        <f t="shared" ca="1" si="330"/>
        <v>#N/A</v>
      </c>
      <c r="AT513" s="1213" t="e">
        <f t="shared" ca="1" si="331"/>
        <v>#N/A</v>
      </c>
      <c r="AU513" s="1587">
        <f t="shared" si="332"/>
        <v>0</v>
      </c>
      <c r="AX513" s="1212" t="e">
        <f t="shared" ca="1" si="333"/>
        <v>#N/A</v>
      </c>
      <c r="AY513" s="1213" t="e">
        <f t="shared" ca="1" si="334"/>
        <v>#N/A</v>
      </c>
      <c r="AZ513" s="1587">
        <f t="shared" si="335"/>
        <v>0</v>
      </c>
      <c r="BC513" s="1212" t="e">
        <f t="shared" ca="1" si="336"/>
        <v>#N/A</v>
      </c>
      <c r="BD513" s="1213" t="e">
        <f t="shared" ca="1" si="337"/>
        <v>#N/A</v>
      </c>
      <c r="BE513" s="1587">
        <f t="shared" si="338"/>
        <v>0</v>
      </c>
      <c r="BH513" s="1212" t="e">
        <f t="shared" ca="1" si="339"/>
        <v>#N/A</v>
      </c>
      <c r="BI513" s="1213" t="e">
        <f t="shared" ca="1" si="340"/>
        <v>#N/A</v>
      </c>
      <c r="BJ513" s="1587">
        <f t="shared" si="341"/>
        <v>0</v>
      </c>
      <c r="BM513" s="1212" t="e">
        <f t="shared" ca="1" si="342"/>
        <v>#N/A</v>
      </c>
      <c r="BN513" s="1213" t="e">
        <f t="shared" ca="1" si="343"/>
        <v>#N/A</v>
      </c>
      <c r="BO513" s="1587">
        <f t="shared" si="344"/>
        <v>0</v>
      </c>
      <c r="BR513" s="1212" t="e">
        <f t="shared" ca="1" si="345"/>
        <v>#N/A</v>
      </c>
      <c r="BS513" s="1213" t="e">
        <f t="shared" ca="1" si="346"/>
        <v>#N/A</v>
      </c>
      <c r="BT513" s="1587">
        <f t="shared" si="347"/>
        <v>0</v>
      </c>
      <c r="BW513" s="1212" t="e">
        <f t="shared" ca="1" si="348"/>
        <v>#N/A</v>
      </c>
      <c r="BX513" s="1213" t="e">
        <f t="shared" ca="1" si="349"/>
        <v>#N/A</v>
      </c>
      <c r="BY513" s="1587">
        <f t="shared" si="350"/>
        <v>0</v>
      </c>
      <c r="CB513" s="1212" t="e">
        <f t="shared" ca="1" si="351"/>
        <v>#N/A</v>
      </c>
      <c r="CC513" s="1213" t="e">
        <f t="shared" ca="1" si="352"/>
        <v>#N/A</v>
      </c>
      <c r="CD513" s="1587">
        <f t="shared" si="353"/>
        <v>0</v>
      </c>
      <c r="CG513" s="1212" t="e">
        <f t="shared" ca="1" si="354"/>
        <v>#N/A</v>
      </c>
      <c r="CH513" s="1213" t="e">
        <f t="shared" ca="1" si="355"/>
        <v>#N/A</v>
      </c>
      <c r="CI513" s="1587">
        <f t="shared" si="356"/>
        <v>0</v>
      </c>
      <c r="CL513" s="1212" t="e">
        <f t="shared" ca="1" si="357"/>
        <v>#N/A</v>
      </c>
      <c r="CM513" s="1213" t="e">
        <f t="shared" ca="1" si="358"/>
        <v>#N/A</v>
      </c>
      <c r="CN513" s="1587">
        <f t="shared" si="359"/>
        <v>0</v>
      </c>
    </row>
    <row r="514" spans="1:92">
      <c r="A514" s="141">
        <f>'銀行-TSS'!A514</f>
        <v>0</v>
      </c>
      <c r="B514" s="151">
        <f ca="1">VLOOKUP(A514,'銀行-TSS'!A:B,2,FALSE)</f>
        <v>0</v>
      </c>
      <c r="C514" s="151" t="e">
        <f ca="1">VLOOKUP(B514,bond!B:C,2,FALSE)</f>
        <v>#N/A</v>
      </c>
      <c r="D514" s="95" t="e">
        <f>VLOOKUP(A514,'銀行-TSS'!A:C,3,FALSE)</f>
        <v>#N/A</v>
      </c>
      <c r="E514" s="90" t="e">
        <f ca="1">VLOOKUP(A514,'銀行-TSS'!A:G,7,FALSE)</f>
        <v>#N/A</v>
      </c>
      <c r="F514" s="202" t="e">
        <f ca="1">VLOOKUP(A514,'銀行-TSS'!A:H,8,FALSE)</f>
        <v>#N/A</v>
      </c>
      <c r="G514" s="96" t="e">
        <f ca="1">VLOOKUP(A514,'銀行-TSS'!A:K,11,FALSE)</f>
        <v>#N/A</v>
      </c>
      <c r="H514" s="1209" t="e">
        <f ca="1">VLOOKUP(A514,'銀行-TSS'!A:M,13,FALSE)</f>
        <v>#N/A</v>
      </c>
      <c r="I514" s="1213" t="e">
        <f ca="1">VLOOKUP(A514,'銀行-TSS'!A:N,14,FALSE)</f>
        <v>#N/A</v>
      </c>
      <c r="J514" s="1213" t="e">
        <f ca="1">VLOOKUP(A514,'銀行-TSS'!A:O,15,FALSE)</f>
        <v>#N/A</v>
      </c>
      <c r="K514" s="136" t="e">
        <f ca="1">VLOOKUP(A514,'銀行-TSS'!A:V,22,FALSE)</f>
        <v>#N/A</v>
      </c>
      <c r="L514" s="136" t="e">
        <f ca="1">VLOOKUP(A514,'銀行-TSS'!A:AK,37,FALSE)</f>
        <v>#N/A</v>
      </c>
      <c r="M514" s="136" t="str">
        <f ca="1">VLOOKUP(A514,'銀行-TSS'!A:AN,40,FALSE)</f>
        <v/>
      </c>
      <c r="N514" s="136" t="e">
        <f t="shared" ca="1" si="315"/>
        <v>#N/A</v>
      </c>
      <c r="O514" s="1213" t="e">
        <f t="shared" ca="1" si="316"/>
        <v>#N/A</v>
      </c>
      <c r="P514" s="1213" t="e">
        <f ca="1">IF(AND($O$1&gt;=O514,換券單檔!$D$13=D514),I514+INT(($O$1-O514)/N514)*J514,0)</f>
        <v>#N/A</v>
      </c>
      <c r="Q514" s="1213" t="e">
        <f t="shared" ca="1" si="317"/>
        <v>#N/A</v>
      </c>
      <c r="R514" s="1213">
        <f t="shared" si="318"/>
        <v>0</v>
      </c>
      <c r="S514" s="1213">
        <f t="shared" si="319"/>
        <v>0</v>
      </c>
      <c r="T514" s="136">
        <f>IF(OR(R514=0,A514=0),0,IF(AND(V514=TRUE,換券單檔!$D$13=D514),E514,0))</f>
        <v>0</v>
      </c>
      <c r="U514" s="861">
        <f>IF(OR(R514=0,A514=0),0,IF(AND(V514=TRUE,換券單檔!$D$13=D514),H514,0))</f>
        <v>0</v>
      </c>
      <c r="V514" s="136" t="e">
        <f ca="1">IF(OR(B514=換券單檔!$D$3,L514="無",M514&lt;&gt;"",K514="高資產",IFERROR(MATCH(B514,換券單檔!K:K,0),"N")&lt;&gt;"N"),FALSE,IF($V$1="All",TRUE,IF(K514=$V$1,TRUE,FALSE)))</f>
        <v>#N/A</v>
      </c>
      <c r="W514" s="136" t="e">
        <f ca="1">VLOOKUP(A514,'銀行-TSS'!A:AO,41,FALSE)</f>
        <v>#N/A</v>
      </c>
      <c r="X514" s="136" t="e">
        <f ca="1">VLOOKUP(A514,'銀行-TSS'!A:AP,42,FALSE)</f>
        <v>#N/A</v>
      </c>
      <c r="Y514" s="1220">
        <f t="shared" si="320"/>
        <v>0</v>
      </c>
      <c r="Z514" s="1220">
        <f t="shared" si="321"/>
        <v>0</v>
      </c>
      <c r="AA514" s="136">
        <f>IF(Z514&lt;=0,0,RANK(Z514,Z:Z)+COUNTIF($Z$3:$Z514,Z514)-1)</f>
        <v>0</v>
      </c>
      <c r="AB514" s="1211">
        <f t="shared" ca="1" si="322"/>
        <v>-14896.14</v>
      </c>
      <c r="AC514" s="136">
        <f ca="1">IF(AB514&lt;=0,0,RANK(AB514,AB:AB)+COUNTIF($AB$3:$AB514,AB514)-1)</f>
        <v>0</v>
      </c>
      <c r="AD514" s="1123">
        <f t="shared" si="323"/>
        <v>99999</v>
      </c>
      <c r="AE514" s="1123">
        <f>IF(AD514=99999,0,RANK(AD514,AD:AD,1)+COUNTIF($AD$3:$AD514,AD514)-1)</f>
        <v>0</v>
      </c>
      <c r="AF514" s="86" t="e">
        <f ca="1">IF(OR(M514&lt;&gt;"",L514="無",K514="高資產",IFERROR(MATCH(B514,換券單檔!K:K,0),"N")&lt;&gt;"N"),FALSE,TRUE)</f>
        <v>#N/A</v>
      </c>
      <c r="AI514" s="1212" t="e">
        <f t="shared" ca="1" si="324"/>
        <v>#N/A</v>
      </c>
      <c r="AJ514" s="1213" t="e">
        <f t="shared" ca="1" si="325"/>
        <v>#N/A</v>
      </c>
      <c r="AK514" s="1587">
        <f t="shared" si="326"/>
        <v>0</v>
      </c>
      <c r="AN514" s="1212" t="e">
        <f t="shared" ca="1" si="327"/>
        <v>#N/A</v>
      </c>
      <c r="AO514" s="1213" t="e">
        <f t="shared" ca="1" si="328"/>
        <v>#N/A</v>
      </c>
      <c r="AP514" s="1587">
        <f t="shared" si="329"/>
        <v>0</v>
      </c>
      <c r="AS514" s="1212" t="e">
        <f t="shared" ca="1" si="330"/>
        <v>#N/A</v>
      </c>
      <c r="AT514" s="1213" t="e">
        <f t="shared" ca="1" si="331"/>
        <v>#N/A</v>
      </c>
      <c r="AU514" s="1587">
        <f t="shared" si="332"/>
        <v>0</v>
      </c>
      <c r="AX514" s="1212" t="e">
        <f t="shared" ca="1" si="333"/>
        <v>#N/A</v>
      </c>
      <c r="AY514" s="1213" t="e">
        <f t="shared" ca="1" si="334"/>
        <v>#N/A</v>
      </c>
      <c r="AZ514" s="1587">
        <f t="shared" si="335"/>
        <v>0</v>
      </c>
      <c r="BC514" s="1212" t="e">
        <f t="shared" ca="1" si="336"/>
        <v>#N/A</v>
      </c>
      <c r="BD514" s="1213" t="e">
        <f t="shared" ca="1" si="337"/>
        <v>#N/A</v>
      </c>
      <c r="BE514" s="1587">
        <f t="shared" si="338"/>
        <v>0</v>
      </c>
      <c r="BH514" s="1212" t="e">
        <f t="shared" ca="1" si="339"/>
        <v>#N/A</v>
      </c>
      <c r="BI514" s="1213" t="e">
        <f t="shared" ca="1" si="340"/>
        <v>#N/A</v>
      </c>
      <c r="BJ514" s="1587">
        <f t="shared" si="341"/>
        <v>0</v>
      </c>
      <c r="BM514" s="1212" t="e">
        <f t="shared" ca="1" si="342"/>
        <v>#N/A</v>
      </c>
      <c r="BN514" s="1213" t="e">
        <f t="shared" ca="1" si="343"/>
        <v>#N/A</v>
      </c>
      <c r="BO514" s="1587">
        <f t="shared" si="344"/>
        <v>0</v>
      </c>
      <c r="BR514" s="1212" t="e">
        <f t="shared" ca="1" si="345"/>
        <v>#N/A</v>
      </c>
      <c r="BS514" s="1213" t="e">
        <f t="shared" ca="1" si="346"/>
        <v>#N/A</v>
      </c>
      <c r="BT514" s="1587">
        <f t="shared" si="347"/>
        <v>0</v>
      </c>
      <c r="BW514" s="1212" t="e">
        <f t="shared" ca="1" si="348"/>
        <v>#N/A</v>
      </c>
      <c r="BX514" s="1213" t="e">
        <f t="shared" ca="1" si="349"/>
        <v>#N/A</v>
      </c>
      <c r="BY514" s="1587">
        <f t="shared" si="350"/>
        <v>0</v>
      </c>
      <c r="CB514" s="1212" t="e">
        <f t="shared" ca="1" si="351"/>
        <v>#N/A</v>
      </c>
      <c r="CC514" s="1213" t="e">
        <f t="shared" ca="1" si="352"/>
        <v>#N/A</v>
      </c>
      <c r="CD514" s="1587">
        <f t="shared" si="353"/>
        <v>0</v>
      </c>
      <c r="CG514" s="1212" t="e">
        <f t="shared" ca="1" si="354"/>
        <v>#N/A</v>
      </c>
      <c r="CH514" s="1213" t="e">
        <f t="shared" ca="1" si="355"/>
        <v>#N/A</v>
      </c>
      <c r="CI514" s="1587">
        <f t="shared" si="356"/>
        <v>0</v>
      </c>
      <c r="CL514" s="1212" t="e">
        <f t="shared" ca="1" si="357"/>
        <v>#N/A</v>
      </c>
      <c r="CM514" s="1213" t="e">
        <f t="shared" ca="1" si="358"/>
        <v>#N/A</v>
      </c>
      <c r="CN514" s="1587">
        <f t="shared" si="359"/>
        <v>0</v>
      </c>
    </row>
    <row r="515" spans="1:92">
      <c r="A515" s="141">
        <f>'銀行-TSS'!A515</f>
        <v>0</v>
      </c>
      <c r="B515" s="151">
        <f ca="1">VLOOKUP(A515,'銀行-TSS'!A:B,2,FALSE)</f>
        <v>0</v>
      </c>
      <c r="C515" s="151" t="e">
        <f ca="1">VLOOKUP(B515,bond!B:C,2,FALSE)</f>
        <v>#N/A</v>
      </c>
      <c r="D515" s="95" t="e">
        <f>VLOOKUP(A515,'銀行-TSS'!A:C,3,FALSE)</f>
        <v>#N/A</v>
      </c>
      <c r="E515" s="90" t="e">
        <f ca="1">VLOOKUP(A515,'銀行-TSS'!A:G,7,FALSE)</f>
        <v>#N/A</v>
      </c>
      <c r="F515" s="202" t="e">
        <f ca="1">VLOOKUP(A515,'銀行-TSS'!A:H,8,FALSE)</f>
        <v>#N/A</v>
      </c>
      <c r="G515" s="96" t="e">
        <f ca="1">VLOOKUP(A515,'銀行-TSS'!A:K,11,FALSE)</f>
        <v>#N/A</v>
      </c>
      <c r="H515" s="1209" t="e">
        <f ca="1">VLOOKUP(A515,'銀行-TSS'!A:M,13,FALSE)</f>
        <v>#N/A</v>
      </c>
      <c r="I515" s="1213" t="e">
        <f ca="1">VLOOKUP(A515,'銀行-TSS'!A:N,14,FALSE)</f>
        <v>#N/A</v>
      </c>
      <c r="J515" s="1213" t="e">
        <f ca="1">VLOOKUP(A515,'銀行-TSS'!A:O,15,FALSE)</f>
        <v>#N/A</v>
      </c>
      <c r="K515" s="136" t="e">
        <f ca="1">VLOOKUP(A515,'銀行-TSS'!A:V,22,FALSE)</f>
        <v>#N/A</v>
      </c>
      <c r="L515" s="136" t="e">
        <f ca="1">VLOOKUP(A515,'銀行-TSS'!A:AK,37,FALSE)</f>
        <v>#N/A</v>
      </c>
      <c r="M515" s="136" t="str">
        <f ca="1">VLOOKUP(A515,'銀行-TSS'!A:AN,40,FALSE)</f>
        <v/>
      </c>
      <c r="N515" s="136" t="e">
        <f t="shared" ref="N515:N578" ca="1" si="360">G515*J515/100</f>
        <v>#N/A</v>
      </c>
      <c r="O515" s="1213" t="e">
        <f t="shared" ref="O515:O578" ca="1" si="361">G515*I515/100</f>
        <v>#N/A</v>
      </c>
      <c r="P515" s="1213" t="e">
        <f ca="1">IF(AND($O$1&gt;=O515,換券單檔!$D$13=D515),I515+INT(($O$1-O515)/N515)*J515,0)</f>
        <v>#N/A</v>
      </c>
      <c r="Q515" s="1213" t="e">
        <f t="shared" ref="Q515:Q578" ca="1" si="362">P515*F515</f>
        <v>#N/A</v>
      </c>
      <c r="R515" s="1213">
        <f t="shared" ref="R515:R578" si="363">IF(A515=0,0,IF(V515=FALSE,0,P515))</f>
        <v>0</v>
      </c>
      <c r="S515" s="1213">
        <f t="shared" ref="S515:S578" si="364">IF(A515=0,0,IF(V515=FALSE,0,Q515))</f>
        <v>0</v>
      </c>
      <c r="T515" s="136">
        <f>IF(OR(R515=0,A515=0),0,IF(AND(V515=TRUE,換券單檔!$D$13=D515),E515,0))</f>
        <v>0</v>
      </c>
      <c r="U515" s="861">
        <f>IF(OR(R515=0,A515=0),0,IF(AND(V515=TRUE,換券單檔!$D$13=D515),H515,0))</f>
        <v>0</v>
      </c>
      <c r="V515" s="136" t="e">
        <f ca="1">IF(OR(B515=換券單檔!$D$3,L515="無",M515&lt;&gt;"",K515="高資產",IFERROR(MATCH(B515,換券單檔!K:K,0),"N")&lt;&gt;"N"),FALSE,IF($V$1="All",TRUE,IF(K515=$V$1,TRUE,FALSE)))</f>
        <v>#N/A</v>
      </c>
      <c r="W515" s="136" t="e">
        <f ca="1">VLOOKUP(A515,'銀行-TSS'!A:AO,41,FALSE)</f>
        <v>#N/A</v>
      </c>
      <c r="X515" s="136" t="e">
        <f ca="1">VLOOKUP(A515,'銀行-TSS'!A:AP,42,FALSE)</f>
        <v>#N/A</v>
      </c>
      <c r="Y515" s="1220">
        <f t="shared" ref="Y515:Y578" si="365">IF(A515=0,0,IF(V515=FALSE,0,IFERROR(W515/100*P515*X515*1%,0)))</f>
        <v>0</v>
      </c>
      <c r="Z515" s="1220">
        <f t="shared" ref="Z515:Z578" si="366">IF(A515=0,0,IF(V515=FALSE,0,IF(OR(Q515&lt;$Y$1,E515&lt;5)=FALSE,((Q515-$Q$1)*MIN(3,E515)*(1-MIN(1/(2*E515),1))+IF((P515-$P$1)&lt;0,(P515-$P$1)*2,(P515-$P$1)*MIN(1/(2*E515),1))),0)))</f>
        <v>0</v>
      </c>
      <c r="AA515" s="136">
        <f>IF(Z515&lt;=0,0,RANK(Z515,Z:Z)+COUNTIF($Z$3:$Z515,Z515)-1)</f>
        <v>0</v>
      </c>
      <c r="AB515" s="1211">
        <f t="shared" ref="AB515:AB578" ca="1" si="367">IF(A515=0,0,IF(V515=FALSE,0,Y515+IF((P515-$P$1)&lt;0,(P515-$P$1),0)))-$AC$1</f>
        <v>-14896.14</v>
      </c>
      <c r="AC515" s="136">
        <f ca="1">IF(AB515&lt;=0,0,RANK(AB515,AB:AB)+COUNTIF($AB$3:$AB515,AB515)-1)</f>
        <v>0</v>
      </c>
      <c r="AD515" s="1123">
        <f t="shared" ref="AD515:AD578" si="368">IF(A515=0,99999,IF(OR(V515=FALSE,AA515=0,AC515=0),99999,(AC515+AA515)/2))</f>
        <v>99999</v>
      </c>
      <c r="AE515" s="1123">
        <f>IF(AD515=99999,0,RANK(AD515,AD:AD,1)+COUNTIF($AD$3:$AD515,AD515)-1)</f>
        <v>0</v>
      </c>
      <c r="AF515" s="86" t="e">
        <f ca="1">IF(OR(M515&lt;&gt;"",L515="無",K515="高資產",IFERROR(MATCH(B515,換券單檔!K:K,0),"N")&lt;&gt;"N"),FALSE,TRUE)</f>
        <v>#N/A</v>
      </c>
      <c r="AI515" s="1212" t="e">
        <f t="shared" ref="AI515:AI578" ca="1" si="369">IF($AF515=FALSE,0,IF(AND(AH$2&gt;=$O515,AH$1=$D515),$I515+INT((AH$2-$O515)/$N515)*$J515,0))</f>
        <v>#N/A</v>
      </c>
      <c r="AJ515" s="1213" t="e">
        <f t="shared" ref="AJ515:AJ578" ca="1" si="370">AI515*$F515</f>
        <v>#N/A</v>
      </c>
      <c r="AK515" s="1587">
        <f t="shared" ref="AK515:AK578" si="371">IF($A515=0,0,IF(OR($AF515=FALSE,$B515=AG$1),0,IF(OR(AJ515&lt;(AJ$1*0.9),$E515&lt;5)=FALSE,((AJ515-AJ$1)*MIN(3,$E515)*(1-MIN(1/(2*$E515),1))+IF((AI515-AI$1)&lt;0,(AI515-AI$1)*2,(AI515-AI$1)*MIN(1/(2*$E515),1))),0)))</f>
        <v>0</v>
      </c>
      <c r="AN515" s="1212" t="e">
        <f t="shared" ref="AN515:AN578" ca="1" si="372">IF($AF515=FALSE,0,IF(AND(AM$2&gt;=$O515,AM$1=$D515),$I515+INT((AM$2-$O515)/$N515)*$J515,0))</f>
        <v>#N/A</v>
      </c>
      <c r="AO515" s="1213" t="e">
        <f t="shared" ref="AO515:AO578" ca="1" si="373">AN515*$F515</f>
        <v>#N/A</v>
      </c>
      <c r="AP515" s="1587">
        <f t="shared" ref="AP515:AP578" si="374">IF($A515=0,0,IF(OR($AF515=FALSE,$B515=AL$1),0,IF(OR(AO515&lt;(AO$1*0.9),$E515&lt;5)=FALSE,((AO515-AO$1)*MIN(3,$E515)*(1-MIN(1/(2*$E515),1))+IF((AN515-AN$1)&lt;0,(AN515-AN$1)*2,(AN515-AN$1)*MIN(1/(2*$E515),1))),0)))</f>
        <v>0</v>
      </c>
      <c r="AS515" s="1212" t="e">
        <f t="shared" ref="AS515:AS578" ca="1" si="375">IF($AF515=FALSE,0,IF(AND(AR$2&gt;=$O515,AR$1=$D515),$I515+INT((AR$2-$O515)/$N515)*$J515,0))</f>
        <v>#N/A</v>
      </c>
      <c r="AT515" s="1213" t="e">
        <f t="shared" ref="AT515:AT578" ca="1" si="376">AS515*$F515</f>
        <v>#N/A</v>
      </c>
      <c r="AU515" s="1587">
        <f t="shared" ref="AU515:AU578" si="377">IF($A515=0,0,IF(OR($AF515=FALSE,$B515=AQ$1),0,IF(OR(AT515&lt;(AT$1*0.9),$E515&lt;5)=FALSE,((AT515-AT$1)*MIN(3,$E515)*(1-MIN(1/(2*$E515),1))+IF((AS515-AS$1)&lt;0,(AS515-AS$1)*2,(AS515-AS$1)*MIN(1/(2*$E515),1))),0)))</f>
        <v>0</v>
      </c>
      <c r="AX515" s="1212" t="e">
        <f t="shared" ref="AX515:AX578" ca="1" si="378">IF($AF515=FALSE,0,IF(AND(AW$2&gt;=$O515,AW$1=$D515),$I515+INT((AW$2-$O515)/$N515)*$J515,0))</f>
        <v>#N/A</v>
      </c>
      <c r="AY515" s="1213" t="e">
        <f t="shared" ref="AY515:AY578" ca="1" si="379">AX515*$F515</f>
        <v>#N/A</v>
      </c>
      <c r="AZ515" s="1587">
        <f t="shared" ref="AZ515:AZ578" si="380">IF($A515=0,0,IF(OR($AF515=FALSE,$B515=AV$1),0,IF(OR(AY515&lt;(AY$1*0.9),$E515&lt;5)=FALSE,((AY515-AY$1)*MIN(3,$E515)*(1-MIN(1/(2*$E515),1))+IF((AX515-AX$1)&lt;0,(AX515-AX$1)*2,(AX515-AX$1)*MIN(1/(2*$E515),1))),0)))</f>
        <v>0</v>
      </c>
      <c r="BC515" s="1212" t="e">
        <f t="shared" ref="BC515:BC578" ca="1" si="381">IF($AF515=FALSE,0,IF(AND(BB$2&gt;=$O515,BB$1=$D515),$I515+INT((BB$2-$O515)/$N515)*$J515,0))</f>
        <v>#N/A</v>
      </c>
      <c r="BD515" s="1213" t="e">
        <f t="shared" ref="BD515:BD578" ca="1" si="382">BC515*$F515</f>
        <v>#N/A</v>
      </c>
      <c r="BE515" s="1587">
        <f t="shared" ref="BE515:BE578" si="383">IF($A515=0,0,IF(OR($AF515=FALSE,$B515=BA$1),0,IF(OR(BD515&lt;(BD$1*0.9),$E515&lt;5)=FALSE,((BD515-BD$1)*MIN(3,$E515)*(1-MIN(1/(2*$E515),1))+IF((BC515-BC$1)&lt;0,(BC515-BC$1)*2,(BC515-BC$1)*MIN(1/(2*$E515),1))),0)))</f>
        <v>0</v>
      </c>
      <c r="BH515" s="1212" t="e">
        <f t="shared" ref="BH515:BH578" ca="1" si="384">IF($AF515=FALSE,0,IF(AND(BG$2&gt;=$O515,BG$1=$D515),$I515+INT((BG$2-$O515)/$N515)*$J515,0))</f>
        <v>#N/A</v>
      </c>
      <c r="BI515" s="1213" t="e">
        <f t="shared" ref="BI515:BI578" ca="1" si="385">BH515*$F515</f>
        <v>#N/A</v>
      </c>
      <c r="BJ515" s="1587">
        <f t="shared" ref="BJ515:BJ578" si="386">IF($A515=0,0,IF(OR($AF515=FALSE,$B515=BF$1),0,IF(OR(BI515&lt;(BI$1*0.9),$E515&lt;5)=FALSE,((BI515-BI$1)*MIN(3,$E515)*(1-MIN(1/(2*$E515),1))+IF((BH515-BH$1)&lt;0,(BH515-BH$1)*2,(BH515-BH$1)*MIN(1/(2*$E515),1))),0)))</f>
        <v>0</v>
      </c>
      <c r="BM515" s="1212" t="e">
        <f t="shared" ref="BM515:BM578" ca="1" si="387">IF($AF515=FALSE,0,IF(AND(BL$2&gt;=$O515,BL$1=$D515),$I515+INT((BL$2-$O515)/$N515)*$J515,0))</f>
        <v>#N/A</v>
      </c>
      <c r="BN515" s="1213" t="e">
        <f t="shared" ref="BN515:BN578" ca="1" si="388">BM515*$F515</f>
        <v>#N/A</v>
      </c>
      <c r="BO515" s="1587">
        <f t="shared" ref="BO515:BO578" si="389">IF($A515=0,0,IF(OR($AF515=FALSE,$B515=BK$1),0,IF(OR(BN515&lt;(BN$1*0.9),$E515&lt;5)=FALSE,((BN515-BN$1)*MIN(3,$E515)*(1-MIN(1/(2*$E515),1))+IF((BM515-BM$1)&lt;0,(BM515-BM$1)*2,(BM515-BM$1)*MIN(1/(2*$E515),1))),0)))</f>
        <v>0</v>
      </c>
      <c r="BR515" s="1212" t="e">
        <f t="shared" ref="BR515:BR578" ca="1" si="390">IF($AF515=FALSE,0,IF(AND(BQ$2&gt;=$O515,BQ$1=$D515),$I515+INT((BQ$2-$O515)/$N515)*$J515,0))</f>
        <v>#N/A</v>
      </c>
      <c r="BS515" s="1213" t="e">
        <f t="shared" ref="BS515:BS578" ca="1" si="391">BR515*$F515</f>
        <v>#N/A</v>
      </c>
      <c r="BT515" s="1587">
        <f t="shared" ref="BT515:BT578" si="392">IF($A515=0,0,IF(OR($AF515=FALSE,$B515=BP$1),0,IF(OR(BS515&lt;(BS$1*0.9),$E515&lt;5)=FALSE,((BS515-BS$1)*MIN(3,$E515)*(1-MIN(1/(2*$E515),1))+IF((BR515-BR$1)&lt;0,(BR515-BR$1)*2,(BR515-BR$1)*MIN(1/(2*$E515),1))),0)))</f>
        <v>0</v>
      </c>
      <c r="BW515" s="1212" t="e">
        <f t="shared" ref="BW515:BW578" ca="1" si="393">IF($AF515=FALSE,0,IF(AND(BV$2&gt;=$O515,BV$1=$D515),$I515+INT((BV$2-$O515)/$N515)*$J515,0))</f>
        <v>#N/A</v>
      </c>
      <c r="BX515" s="1213" t="e">
        <f t="shared" ref="BX515:BX578" ca="1" si="394">BW515*$F515</f>
        <v>#N/A</v>
      </c>
      <c r="BY515" s="1587">
        <f t="shared" ref="BY515:BY578" si="395">IF($A515=0,0,IF(OR($AF515=FALSE,$B515=BU$1),0,IF(OR(BX515&lt;(BX$1*0.9),$E515&lt;5)=FALSE,((BX515-BX$1)*MIN(3,$E515)*(1-MIN(1/(2*$E515),1))+IF((BW515-BW$1)&lt;0,(BW515-BW$1)*2,(BW515-BW$1)*MIN(1/(2*$E515),1))),0)))</f>
        <v>0</v>
      </c>
      <c r="CB515" s="1212" t="e">
        <f t="shared" ref="CB515:CB578" ca="1" si="396">IF($AF515=FALSE,0,IF(AND(CA$2&gt;=$O515,CA$1=$D515),$I515+INT((CA$2-$O515)/$N515)*$J515,0))</f>
        <v>#N/A</v>
      </c>
      <c r="CC515" s="1213" t="e">
        <f t="shared" ref="CC515:CC578" ca="1" si="397">CB515*$F515</f>
        <v>#N/A</v>
      </c>
      <c r="CD515" s="1587">
        <f t="shared" ref="CD515:CD578" si="398">IF($A515=0,0,IF(OR($AF515=FALSE,$B515=BZ$1),0,IF(OR(CC515&lt;(CC$1*0.9),$E515&lt;5)=FALSE,((CC515-CC$1)*MIN(3,$E515)*(1-MIN(1/(2*$E515),1))+IF((CB515-CB$1)&lt;0,(CB515-CB$1)*2,(CB515-CB$1)*MIN(1/(2*$E515),1))),0)))</f>
        <v>0</v>
      </c>
      <c r="CG515" s="1212" t="e">
        <f t="shared" ref="CG515:CG578" ca="1" si="399">IF($AF515=FALSE,0,IF(AND(CF$2&gt;=$O515,CF$1=$D515),$I515+INT((CF$2-$O515)/$N515)*$J515,0))</f>
        <v>#N/A</v>
      </c>
      <c r="CH515" s="1213" t="e">
        <f t="shared" ref="CH515:CH578" ca="1" si="400">CG515*$F515</f>
        <v>#N/A</v>
      </c>
      <c r="CI515" s="1587">
        <f t="shared" ref="CI515:CI578" si="401">IF($A515=0,0,IF(OR($AF515=FALSE,$B515=CE$1),0,IF(OR(CH515&lt;(CH$1*0.9),$E515&lt;5)=FALSE,((CH515-CH$1)*MIN(3,$E515)*(1-MIN(1/(2*$E515),1))+IF((CG515-CG$1)&lt;0,(CG515-CG$1)*2,(CG515-CG$1)*MIN(1/(2*$E515),1))),0)))</f>
        <v>0</v>
      </c>
      <c r="CL515" s="1212" t="e">
        <f t="shared" ref="CL515:CL578" ca="1" si="402">IF($AF515=FALSE,0,IF(AND(CK$2&gt;=$O515,CK$1=$D515),$I515+INT((CK$2-$O515)/$N515)*$J515,0))</f>
        <v>#N/A</v>
      </c>
      <c r="CM515" s="1213" t="e">
        <f t="shared" ref="CM515:CM578" ca="1" si="403">CL515*$F515</f>
        <v>#N/A</v>
      </c>
      <c r="CN515" s="1587">
        <f t="shared" ref="CN515:CN578" si="404">IF($A515=0,0,IF(OR($AF515=FALSE,$B515=CJ$1),0,IF(OR(CM515&lt;(CM$1*0.9),$E515&lt;5)=FALSE,((CM515-CM$1)*MIN(3,$E515)*(1-MIN(1/(2*$E515),1))+IF((CL515-CL$1)&lt;0,(CL515-CL$1)*2,(CL515-CL$1)*MIN(1/(2*$E515),1))),0)))</f>
        <v>0</v>
      </c>
    </row>
    <row r="516" spans="1:92">
      <c r="A516" s="141">
        <f>'銀行-TSS'!A516</f>
        <v>0</v>
      </c>
      <c r="B516" s="151">
        <f ca="1">VLOOKUP(A516,'銀行-TSS'!A:B,2,FALSE)</f>
        <v>0</v>
      </c>
      <c r="C516" s="151" t="e">
        <f ca="1">VLOOKUP(B516,bond!B:C,2,FALSE)</f>
        <v>#N/A</v>
      </c>
      <c r="D516" s="95" t="e">
        <f>VLOOKUP(A516,'銀行-TSS'!A:C,3,FALSE)</f>
        <v>#N/A</v>
      </c>
      <c r="E516" s="90" t="e">
        <f ca="1">VLOOKUP(A516,'銀行-TSS'!A:G,7,FALSE)</f>
        <v>#N/A</v>
      </c>
      <c r="F516" s="202" t="e">
        <f ca="1">VLOOKUP(A516,'銀行-TSS'!A:H,8,FALSE)</f>
        <v>#N/A</v>
      </c>
      <c r="G516" s="96" t="e">
        <f ca="1">VLOOKUP(A516,'銀行-TSS'!A:K,11,FALSE)</f>
        <v>#N/A</v>
      </c>
      <c r="H516" s="1209" t="e">
        <f ca="1">VLOOKUP(A516,'銀行-TSS'!A:M,13,FALSE)</f>
        <v>#N/A</v>
      </c>
      <c r="I516" s="1213" t="e">
        <f ca="1">VLOOKUP(A516,'銀行-TSS'!A:N,14,FALSE)</f>
        <v>#N/A</v>
      </c>
      <c r="J516" s="1213" t="e">
        <f ca="1">VLOOKUP(A516,'銀行-TSS'!A:O,15,FALSE)</f>
        <v>#N/A</v>
      </c>
      <c r="K516" s="136" t="e">
        <f ca="1">VLOOKUP(A516,'銀行-TSS'!A:V,22,FALSE)</f>
        <v>#N/A</v>
      </c>
      <c r="L516" s="136" t="e">
        <f ca="1">VLOOKUP(A516,'銀行-TSS'!A:AK,37,FALSE)</f>
        <v>#N/A</v>
      </c>
      <c r="M516" s="136" t="str">
        <f ca="1">VLOOKUP(A516,'銀行-TSS'!A:AN,40,FALSE)</f>
        <v/>
      </c>
      <c r="N516" s="136" t="e">
        <f t="shared" ca="1" si="360"/>
        <v>#N/A</v>
      </c>
      <c r="O516" s="1213" t="e">
        <f t="shared" ca="1" si="361"/>
        <v>#N/A</v>
      </c>
      <c r="P516" s="1213" t="e">
        <f ca="1">IF(AND($O$1&gt;=O516,換券單檔!$D$13=D516),I516+INT(($O$1-O516)/N516)*J516,0)</f>
        <v>#N/A</v>
      </c>
      <c r="Q516" s="1213" t="e">
        <f t="shared" ca="1" si="362"/>
        <v>#N/A</v>
      </c>
      <c r="R516" s="1213">
        <f t="shared" si="363"/>
        <v>0</v>
      </c>
      <c r="S516" s="1213">
        <f t="shared" si="364"/>
        <v>0</v>
      </c>
      <c r="T516" s="136">
        <f>IF(OR(R516=0,A516=0),0,IF(AND(V516=TRUE,換券單檔!$D$13=D516),E516,0))</f>
        <v>0</v>
      </c>
      <c r="U516" s="861">
        <f>IF(OR(R516=0,A516=0),0,IF(AND(V516=TRUE,換券單檔!$D$13=D516),H516,0))</f>
        <v>0</v>
      </c>
      <c r="V516" s="136" t="e">
        <f ca="1">IF(OR(B516=換券單檔!$D$3,L516="無",M516&lt;&gt;"",K516="高資產",IFERROR(MATCH(B516,換券單檔!K:K,0),"N")&lt;&gt;"N"),FALSE,IF($V$1="All",TRUE,IF(K516=$V$1,TRUE,FALSE)))</f>
        <v>#N/A</v>
      </c>
      <c r="W516" s="136" t="e">
        <f ca="1">VLOOKUP(A516,'銀行-TSS'!A:AO,41,FALSE)</f>
        <v>#N/A</v>
      </c>
      <c r="X516" s="136" t="e">
        <f ca="1">VLOOKUP(A516,'銀行-TSS'!A:AP,42,FALSE)</f>
        <v>#N/A</v>
      </c>
      <c r="Y516" s="1220">
        <f t="shared" si="365"/>
        <v>0</v>
      </c>
      <c r="Z516" s="1220">
        <f t="shared" si="366"/>
        <v>0</v>
      </c>
      <c r="AA516" s="136">
        <f>IF(Z516&lt;=0,0,RANK(Z516,Z:Z)+COUNTIF($Z$3:$Z516,Z516)-1)</f>
        <v>0</v>
      </c>
      <c r="AB516" s="1211">
        <f t="shared" ca="1" si="367"/>
        <v>-14896.14</v>
      </c>
      <c r="AC516" s="136">
        <f ca="1">IF(AB516&lt;=0,0,RANK(AB516,AB:AB)+COUNTIF($AB$3:$AB516,AB516)-1)</f>
        <v>0</v>
      </c>
      <c r="AD516" s="1123">
        <f t="shared" si="368"/>
        <v>99999</v>
      </c>
      <c r="AE516" s="1123">
        <f>IF(AD516=99999,0,RANK(AD516,AD:AD,1)+COUNTIF($AD$3:$AD516,AD516)-1)</f>
        <v>0</v>
      </c>
      <c r="AF516" s="86" t="e">
        <f ca="1">IF(OR(M516&lt;&gt;"",L516="無",K516="高資產",IFERROR(MATCH(B516,換券單檔!K:K,0),"N")&lt;&gt;"N"),FALSE,TRUE)</f>
        <v>#N/A</v>
      </c>
      <c r="AI516" s="1212" t="e">
        <f t="shared" ca="1" si="369"/>
        <v>#N/A</v>
      </c>
      <c r="AJ516" s="1213" t="e">
        <f t="shared" ca="1" si="370"/>
        <v>#N/A</v>
      </c>
      <c r="AK516" s="1587">
        <f t="shared" si="371"/>
        <v>0</v>
      </c>
      <c r="AN516" s="1212" t="e">
        <f t="shared" ca="1" si="372"/>
        <v>#N/A</v>
      </c>
      <c r="AO516" s="1213" t="e">
        <f t="shared" ca="1" si="373"/>
        <v>#N/A</v>
      </c>
      <c r="AP516" s="1587">
        <f t="shared" si="374"/>
        <v>0</v>
      </c>
      <c r="AS516" s="1212" t="e">
        <f t="shared" ca="1" si="375"/>
        <v>#N/A</v>
      </c>
      <c r="AT516" s="1213" t="e">
        <f t="shared" ca="1" si="376"/>
        <v>#N/A</v>
      </c>
      <c r="AU516" s="1587">
        <f t="shared" si="377"/>
        <v>0</v>
      </c>
      <c r="AX516" s="1212" t="e">
        <f t="shared" ca="1" si="378"/>
        <v>#N/A</v>
      </c>
      <c r="AY516" s="1213" t="e">
        <f t="shared" ca="1" si="379"/>
        <v>#N/A</v>
      </c>
      <c r="AZ516" s="1587">
        <f t="shared" si="380"/>
        <v>0</v>
      </c>
      <c r="BC516" s="1212" t="e">
        <f t="shared" ca="1" si="381"/>
        <v>#N/A</v>
      </c>
      <c r="BD516" s="1213" t="e">
        <f t="shared" ca="1" si="382"/>
        <v>#N/A</v>
      </c>
      <c r="BE516" s="1587">
        <f t="shared" si="383"/>
        <v>0</v>
      </c>
      <c r="BH516" s="1212" t="e">
        <f t="shared" ca="1" si="384"/>
        <v>#N/A</v>
      </c>
      <c r="BI516" s="1213" t="e">
        <f t="shared" ca="1" si="385"/>
        <v>#N/A</v>
      </c>
      <c r="BJ516" s="1587">
        <f t="shared" si="386"/>
        <v>0</v>
      </c>
      <c r="BM516" s="1212" t="e">
        <f t="shared" ca="1" si="387"/>
        <v>#N/A</v>
      </c>
      <c r="BN516" s="1213" t="e">
        <f t="shared" ca="1" si="388"/>
        <v>#N/A</v>
      </c>
      <c r="BO516" s="1587">
        <f t="shared" si="389"/>
        <v>0</v>
      </c>
      <c r="BR516" s="1212" t="e">
        <f t="shared" ca="1" si="390"/>
        <v>#N/A</v>
      </c>
      <c r="BS516" s="1213" t="e">
        <f t="shared" ca="1" si="391"/>
        <v>#N/A</v>
      </c>
      <c r="BT516" s="1587">
        <f t="shared" si="392"/>
        <v>0</v>
      </c>
      <c r="BW516" s="1212" t="e">
        <f t="shared" ca="1" si="393"/>
        <v>#N/A</v>
      </c>
      <c r="BX516" s="1213" t="e">
        <f t="shared" ca="1" si="394"/>
        <v>#N/A</v>
      </c>
      <c r="BY516" s="1587">
        <f t="shared" si="395"/>
        <v>0</v>
      </c>
      <c r="CB516" s="1212" t="e">
        <f t="shared" ca="1" si="396"/>
        <v>#N/A</v>
      </c>
      <c r="CC516" s="1213" t="e">
        <f t="shared" ca="1" si="397"/>
        <v>#N/A</v>
      </c>
      <c r="CD516" s="1587">
        <f t="shared" si="398"/>
        <v>0</v>
      </c>
      <c r="CG516" s="1212" t="e">
        <f t="shared" ca="1" si="399"/>
        <v>#N/A</v>
      </c>
      <c r="CH516" s="1213" t="e">
        <f t="shared" ca="1" si="400"/>
        <v>#N/A</v>
      </c>
      <c r="CI516" s="1587">
        <f t="shared" si="401"/>
        <v>0</v>
      </c>
      <c r="CL516" s="1212" t="e">
        <f t="shared" ca="1" si="402"/>
        <v>#N/A</v>
      </c>
      <c r="CM516" s="1213" t="e">
        <f t="shared" ca="1" si="403"/>
        <v>#N/A</v>
      </c>
      <c r="CN516" s="1587">
        <f t="shared" si="404"/>
        <v>0</v>
      </c>
    </row>
    <row r="517" spans="1:92">
      <c r="A517" s="141">
        <f>'銀行-TSS'!A517</f>
        <v>0</v>
      </c>
      <c r="B517" s="151">
        <f ca="1">VLOOKUP(A517,'銀行-TSS'!A:B,2,FALSE)</f>
        <v>0</v>
      </c>
      <c r="C517" s="151" t="e">
        <f ca="1">VLOOKUP(B517,bond!B:C,2,FALSE)</f>
        <v>#N/A</v>
      </c>
      <c r="D517" s="95" t="e">
        <f>VLOOKUP(A517,'銀行-TSS'!A:C,3,FALSE)</f>
        <v>#N/A</v>
      </c>
      <c r="E517" s="90" t="e">
        <f ca="1">VLOOKUP(A517,'銀行-TSS'!A:G,7,FALSE)</f>
        <v>#N/A</v>
      </c>
      <c r="F517" s="202" t="e">
        <f ca="1">VLOOKUP(A517,'銀行-TSS'!A:H,8,FALSE)</f>
        <v>#N/A</v>
      </c>
      <c r="G517" s="96" t="e">
        <f ca="1">VLOOKUP(A517,'銀行-TSS'!A:K,11,FALSE)</f>
        <v>#N/A</v>
      </c>
      <c r="H517" s="1209" t="e">
        <f ca="1">VLOOKUP(A517,'銀行-TSS'!A:M,13,FALSE)</f>
        <v>#N/A</v>
      </c>
      <c r="I517" s="1213" t="e">
        <f ca="1">VLOOKUP(A517,'銀行-TSS'!A:N,14,FALSE)</f>
        <v>#N/A</v>
      </c>
      <c r="J517" s="1213" t="e">
        <f ca="1">VLOOKUP(A517,'銀行-TSS'!A:O,15,FALSE)</f>
        <v>#N/A</v>
      </c>
      <c r="K517" s="136" t="e">
        <f ca="1">VLOOKUP(A517,'銀行-TSS'!A:V,22,FALSE)</f>
        <v>#N/A</v>
      </c>
      <c r="L517" s="136" t="e">
        <f ca="1">VLOOKUP(A517,'銀行-TSS'!A:AK,37,FALSE)</f>
        <v>#N/A</v>
      </c>
      <c r="M517" s="136" t="str">
        <f ca="1">VLOOKUP(A517,'銀行-TSS'!A:AN,40,FALSE)</f>
        <v/>
      </c>
      <c r="N517" s="136" t="e">
        <f t="shared" ca="1" si="360"/>
        <v>#N/A</v>
      </c>
      <c r="O517" s="1213" t="e">
        <f t="shared" ca="1" si="361"/>
        <v>#N/A</v>
      </c>
      <c r="P517" s="1213" t="e">
        <f ca="1">IF(AND($O$1&gt;=O517,換券單檔!$D$13=D517),I517+INT(($O$1-O517)/N517)*J517,0)</f>
        <v>#N/A</v>
      </c>
      <c r="Q517" s="1213" t="e">
        <f t="shared" ca="1" si="362"/>
        <v>#N/A</v>
      </c>
      <c r="R517" s="1213">
        <f t="shared" si="363"/>
        <v>0</v>
      </c>
      <c r="S517" s="1213">
        <f t="shared" si="364"/>
        <v>0</v>
      </c>
      <c r="T517" s="136">
        <f>IF(OR(R517=0,A517=0),0,IF(AND(V517=TRUE,換券單檔!$D$13=D517),E517,0))</f>
        <v>0</v>
      </c>
      <c r="U517" s="861">
        <f>IF(OR(R517=0,A517=0),0,IF(AND(V517=TRUE,換券單檔!$D$13=D517),H517,0))</f>
        <v>0</v>
      </c>
      <c r="V517" s="136" t="e">
        <f ca="1">IF(OR(B517=換券單檔!$D$3,L517="無",M517&lt;&gt;"",K517="高資產",IFERROR(MATCH(B517,換券單檔!K:K,0),"N")&lt;&gt;"N"),FALSE,IF($V$1="All",TRUE,IF(K517=$V$1,TRUE,FALSE)))</f>
        <v>#N/A</v>
      </c>
      <c r="W517" s="136" t="e">
        <f ca="1">VLOOKUP(A517,'銀行-TSS'!A:AO,41,FALSE)</f>
        <v>#N/A</v>
      </c>
      <c r="X517" s="136" t="e">
        <f ca="1">VLOOKUP(A517,'銀行-TSS'!A:AP,42,FALSE)</f>
        <v>#N/A</v>
      </c>
      <c r="Y517" s="1220">
        <f t="shared" si="365"/>
        <v>0</v>
      </c>
      <c r="Z517" s="1220">
        <f t="shared" si="366"/>
        <v>0</v>
      </c>
      <c r="AA517" s="136">
        <f>IF(Z517&lt;=0,0,RANK(Z517,Z:Z)+COUNTIF($Z$3:$Z517,Z517)-1)</f>
        <v>0</v>
      </c>
      <c r="AB517" s="1211">
        <f t="shared" ca="1" si="367"/>
        <v>-14896.14</v>
      </c>
      <c r="AC517" s="136">
        <f ca="1">IF(AB517&lt;=0,0,RANK(AB517,AB:AB)+COUNTIF($AB$3:$AB517,AB517)-1)</f>
        <v>0</v>
      </c>
      <c r="AD517" s="1123">
        <f t="shared" si="368"/>
        <v>99999</v>
      </c>
      <c r="AE517" s="1123">
        <f>IF(AD517=99999,0,RANK(AD517,AD:AD,1)+COUNTIF($AD$3:$AD517,AD517)-1)</f>
        <v>0</v>
      </c>
      <c r="AF517" s="86" t="e">
        <f ca="1">IF(OR(M517&lt;&gt;"",L517="無",K517="高資產",IFERROR(MATCH(B517,換券單檔!K:K,0),"N")&lt;&gt;"N"),FALSE,TRUE)</f>
        <v>#N/A</v>
      </c>
      <c r="AI517" s="1212" t="e">
        <f t="shared" ca="1" si="369"/>
        <v>#N/A</v>
      </c>
      <c r="AJ517" s="1213" t="e">
        <f t="shared" ca="1" si="370"/>
        <v>#N/A</v>
      </c>
      <c r="AK517" s="1587">
        <f t="shared" si="371"/>
        <v>0</v>
      </c>
      <c r="AN517" s="1212" t="e">
        <f t="shared" ca="1" si="372"/>
        <v>#N/A</v>
      </c>
      <c r="AO517" s="1213" t="e">
        <f t="shared" ca="1" si="373"/>
        <v>#N/A</v>
      </c>
      <c r="AP517" s="1587">
        <f t="shared" si="374"/>
        <v>0</v>
      </c>
      <c r="AS517" s="1212" t="e">
        <f t="shared" ca="1" si="375"/>
        <v>#N/A</v>
      </c>
      <c r="AT517" s="1213" t="e">
        <f t="shared" ca="1" si="376"/>
        <v>#N/A</v>
      </c>
      <c r="AU517" s="1587">
        <f t="shared" si="377"/>
        <v>0</v>
      </c>
      <c r="AX517" s="1212" t="e">
        <f t="shared" ca="1" si="378"/>
        <v>#N/A</v>
      </c>
      <c r="AY517" s="1213" t="e">
        <f t="shared" ca="1" si="379"/>
        <v>#N/A</v>
      </c>
      <c r="AZ517" s="1587">
        <f t="shared" si="380"/>
        <v>0</v>
      </c>
      <c r="BC517" s="1212" t="e">
        <f t="shared" ca="1" si="381"/>
        <v>#N/A</v>
      </c>
      <c r="BD517" s="1213" t="e">
        <f t="shared" ca="1" si="382"/>
        <v>#N/A</v>
      </c>
      <c r="BE517" s="1587">
        <f t="shared" si="383"/>
        <v>0</v>
      </c>
      <c r="BH517" s="1212" t="e">
        <f t="shared" ca="1" si="384"/>
        <v>#N/A</v>
      </c>
      <c r="BI517" s="1213" t="e">
        <f t="shared" ca="1" si="385"/>
        <v>#N/A</v>
      </c>
      <c r="BJ517" s="1587">
        <f t="shared" si="386"/>
        <v>0</v>
      </c>
      <c r="BM517" s="1212" t="e">
        <f t="shared" ca="1" si="387"/>
        <v>#N/A</v>
      </c>
      <c r="BN517" s="1213" t="e">
        <f t="shared" ca="1" si="388"/>
        <v>#N/A</v>
      </c>
      <c r="BO517" s="1587">
        <f t="shared" si="389"/>
        <v>0</v>
      </c>
      <c r="BR517" s="1212" t="e">
        <f t="shared" ca="1" si="390"/>
        <v>#N/A</v>
      </c>
      <c r="BS517" s="1213" t="e">
        <f t="shared" ca="1" si="391"/>
        <v>#N/A</v>
      </c>
      <c r="BT517" s="1587">
        <f t="shared" si="392"/>
        <v>0</v>
      </c>
      <c r="BW517" s="1212" t="e">
        <f t="shared" ca="1" si="393"/>
        <v>#N/A</v>
      </c>
      <c r="BX517" s="1213" t="e">
        <f t="shared" ca="1" si="394"/>
        <v>#N/A</v>
      </c>
      <c r="BY517" s="1587">
        <f t="shared" si="395"/>
        <v>0</v>
      </c>
      <c r="CB517" s="1212" t="e">
        <f t="shared" ca="1" si="396"/>
        <v>#N/A</v>
      </c>
      <c r="CC517" s="1213" t="e">
        <f t="shared" ca="1" si="397"/>
        <v>#N/A</v>
      </c>
      <c r="CD517" s="1587">
        <f t="shared" si="398"/>
        <v>0</v>
      </c>
      <c r="CG517" s="1212" t="e">
        <f t="shared" ca="1" si="399"/>
        <v>#N/A</v>
      </c>
      <c r="CH517" s="1213" t="e">
        <f t="shared" ca="1" si="400"/>
        <v>#N/A</v>
      </c>
      <c r="CI517" s="1587">
        <f t="shared" si="401"/>
        <v>0</v>
      </c>
      <c r="CL517" s="1212" t="e">
        <f t="shared" ca="1" si="402"/>
        <v>#N/A</v>
      </c>
      <c r="CM517" s="1213" t="e">
        <f t="shared" ca="1" si="403"/>
        <v>#N/A</v>
      </c>
      <c r="CN517" s="1587">
        <f t="shared" si="404"/>
        <v>0</v>
      </c>
    </row>
    <row r="518" spans="1:92">
      <c r="A518" s="141">
        <f>'銀行-TSS'!A518</f>
        <v>0</v>
      </c>
      <c r="B518" s="151">
        <f ca="1">VLOOKUP(A518,'銀行-TSS'!A:B,2,FALSE)</f>
        <v>0</v>
      </c>
      <c r="C518" s="151" t="e">
        <f ca="1">VLOOKUP(B518,bond!B:C,2,FALSE)</f>
        <v>#N/A</v>
      </c>
      <c r="D518" s="95" t="e">
        <f>VLOOKUP(A518,'銀行-TSS'!A:C,3,FALSE)</f>
        <v>#N/A</v>
      </c>
      <c r="E518" s="90" t="e">
        <f ca="1">VLOOKUP(A518,'銀行-TSS'!A:G,7,FALSE)</f>
        <v>#N/A</v>
      </c>
      <c r="F518" s="202" t="e">
        <f ca="1">VLOOKUP(A518,'銀行-TSS'!A:H,8,FALSE)</f>
        <v>#N/A</v>
      </c>
      <c r="G518" s="96" t="e">
        <f ca="1">VLOOKUP(A518,'銀行-TSS'!A:K,11,FALSE)</f>
        <v>#N/A</v>
      </c>
      <c r="H518" s="1209" t="e">
        <f ca="1">VLOOKUP(A518,'銀行-TSS'!A:M,13,FALSE)</f>
        <v>#N/A</v>
      </c>
      <c r="I518" s="1213" t="e">
        <f ca="1">VLOOKUP(A518,'銀行-TSS'!A:N,14,FALSE)</f>
        <v>#N/A</v>
      </c>
      <c r="J518" s="1213" t="e">
        <f ca="1">VLOOKUP(A518,'銀行-TSS'!A:O,15,FALSE)</f>
        <v>#N/A</v>
      </c>
      <c r="K518" s="136" t="e">
        <f ca="1">VLOOKUP(A518,'銀行-TSS'!A:V,22,FALSE)</f>
        <v>#N/A</v>
      </c>
      <c r="L518" s="136" t="e">
        <f ca="1">VLOOKUP(A518,'銀行-TSS'!A:AK,37,FALSE)</f>
        <v>#N/A</v>
      </c>
      <c r="M518" s="136" t="str">
        <f ca="1">VLOOKUP(A518,'銀行-TSS'!A:AN,40,FALSE)</f>
        <v/>
      </c>
      <c r="N518" s="136" t="e">
        <f t="shared" ca="1" si="360"/>
        <v>#N/A</v>
      </c>
      <c r="O518" s="1213" t="e">
        <f t="shared" ca="1" si="361"/>
        <v>#N/A</v>
      </c>
      <c r="P518" s="1213" t="e">
        <f ca="1">IF(AND($O$1&gt;=O518,換券單檔!$D$13=D518),I518+INT(($O$1-O518)/N518)*J518,0)</f>
        <v>#N/A</v>
      </c>
      <c r="Q518" s="1213" t="e">
        <f t="shared" ca="1" si="362"/>
        <v>#N/A</v>
      </c>
      <c r="R518" s="1213">
        <f t="shared" si="363"/>
        <v>0</v>
      </c>
      <c r="S518" s="1213">
        <f t="shared" si="364"/>
        <v>0</v>
      </c>
      <c r="T518" s="136">
        <f>IF(OR(R518=0,A518=0),0,IF(AND(V518=TRUE,換券單檔!$D$13=D518),E518,0))</f>
        <v>0</v>
      </c>
      <c r="U518" s="861">
        <f>IF(OR(R518=0,A518=0),0,IF(AND(V518=TRUE,換券單檔!$D$13=D518),H518,0))</f>
        <v>0</v>
      </c>
      <c r="V518" s="136" t="e">
        <f ca="1">IF(OR(B518=換券單檔!$D$3,L518="無",M518&lt;&gt;"",K518="高資產",IFERROR(MATCH(B518,換券單檔!K:K,0),"N")&lt;&gt;"N"),FALSE,IF($V$1="All",TRUE,IF(K518=$V$1,TRUE,FALSE)))</f>
        <v>#N/A</v>
      </c>
      <c r="W518" s="136" t="e">
        <f ca="1">VLOOKUP(A518,'銀行-TSS'!A:AO,41,FALSE)</f>
        <v>#N/A</v>
      </c>
      <c r="X518" s="136" t="e">
        <f ca="1">VLOOKUP(A518,'銀行-TSS'!A:AP,42,FALSE)</f>
        <v>#N/A</v>
      </c>
      <c r="Y518" s="1220">
        <f t="shared" si="365"/>
        <v>0</v>
      </c>
      <c r="Z518" s="1220">
        <f t="shared" si="366"/>
        <v>0</v>
      </c>
      <c r="AA518" s="136">
        <f>IF(Z518&lt;=0,0,RANK(Z518,Z:Z)+COUNTIF($Z$3:$Z518,Z518)-1)</f>
        <v>0</v>
      </c>
      <c r="AB518" s="1211">
        <f t="shared" ca="1" si="367"/>
        <v>-14896.14</v>
      </c>
      <c r="AC518" s="136">
        <f ca="1">IF(AB518&lt;=0,0,RANK(AB518,AB:AB)+COUNTIF($AB$3:$AB518,AB518)-1)</f>
        <v>0</v>
      </c>
      <c r="AD518" s="1123">
        <f t="shared" si="368"/>
        <v>99999</v>
      </c>
      <c r="AE518" s="1123">
        <f>IF(AD518=99999,0,RANK(AD518,AD:AD,1)+COUNTIF($AD$3:$AD518,AD518)-1)</f>
        <v>0</v>
      </c>
      <c r="AF518" s="86" t="e">
        <f ca="1">IF(OR(M518&lt;&gt;"",L518="無",K518="高資產",IFERROR(MATCH(B518,換券單檔!K:K,0),"N")&lt;&gt;"N"),FALSE,TRUE)</f>
        <v>#N/A</v>
      </c>
      <c r="AI518" s="1212" t="e">
        <f t="shared" ca="1" si="369"/>
        <v>#N/A</v>
      </c>
      <c r="AJ518" s="1213" t="e">
        <f t="shared" ca="1" si="370"/>
        <v>#N/A</v>
      </c>
      <c r="AK518" s="1587">
        <f t="shared" si="371"/>
        <v>0</v>
      </c>
      <c r="AN518" s="1212" t="e">
        <f t="shared" ca="1" si="372"/>
        <v>#N/A</v>
      </c>
      <c r="AO518" s="1213" t="e">
        <f t="shared" ca="1" si="373"/>
        <v>#N/A</v>
      </c>
      <c r="AP518" s="1587">
        <f t="shared" si="374"/>
        <v>0</v>
      </c>
      <c r="AS518" s="1212" t="e">
        <f t="shared" ca="1" si="375"/>
        <v>#N/A</v>
      </c>
      <c r="AT518" s="1213" t="e">
        <f t="shared" ca="1" si="376"/>
        <v>#N/A</v>
      </c>
      <c r="AU518" s="1587">
        <f t="shared" si="377"/>
        <v>0</v>
      </c>
      <c r="AX518" s="1212" t="e">
        <f t="shared" ca="1" si="378"/>
        <v>#N/A</v>
      </c>
      <c r="AY518" s="1213" t="e">
        <f t="shared" ca="1" si="379"/>
        <v>#N/A</v>
      </c>
      <c r="AZ518" s="1587">
        <f t="shared" si="380"/>
        <v>0</v>
      </c>
      <c r="BC518" s="1212" t="e">
        <f t="shared" ca="1" si="381"/>
        <v>#N/A</v>
      </c>
      <c r="BD518" s="1213" t="e">
        <f t="shared" ca="1" si="382"/>
        <v>#N/A</v>
      </c>
      <c r="BE518" s="1587">
        <f t="shared" si="383"/>
        <v>0</v>
      </c>
      <c r="BH518" s="1212" t="e">
        <f t="shared" ca="1" si="384"/>
        <v>#N/A</v>
      </c>
      <c r="BI518" s="1213" t="e">
        <f t="shared" ca="1" si="385"/>
        <v>#N/A</v>
      </c>
      <c r="BJ518" s="1587">
        <f t="shared" si="386"/>
        <v>0</v>
      </c>
      <c r="BM518" s="1212" t="e">
        <f t="shared" ca="1" si="387"/>
        <v>#N/A</v>
      </c>
      <c r="BN518" s="1213" t="e">
        <f t="shared" ca="1" si="388"/>
        <v>#N/A</v>
      </c>
      <c r="BO518" s="1587">
        <f t="shared" si="389"/>
        <v>0</v>
      </c>
      <c r="BR518" s="1212" t="e">
        <f t="shared" ca="1" si="390"/>
        <v>#N/A</v>
      </c>
      <c r="BS518" s="1213" t="e">
        <f t="shared" ca="1" si="391"/>
        <v>#N/A</v>
      </c>
      <c r="BT518" s="1587">
        <f t="shared" si="392"/>
        <v>0</v>
      </c>
      <c r="BW518" s="1212" t="e">
        <f t="shared" ca="1" si="393"/>
        <v>#N/A</v>
      </c>
      <c r="BX518" s="1213" t="e">
        <f t="shared" ca="1" si="394"/>
        <v>#N/A</v>
      </c>
      <c r="BY518" s="1587">
        <f t="shared" si="395"/>
        <v>0</v>
      </c>
      <c r="CB518" s="1212" t="e">
        <f t="shared" ca="1" si="396"/>
        <v>#N/A</v>
      </c>
      <c r="CC518" s="1213" t="e">
        <f t="shared" ca="1" si="397"/>
        <v>#N/A</v>
      </c>
      <c r="CD518" s="1587">
        <f t="shared" si="398"/>
        <v>0</v>
      </c>
      <c r="CG518" s="1212" t="e">
        <f t="shared" ca="1" si="399"/>
        <v>#N/A</v>
      </c>
      <c r="CH518" s="1213" t="e">
        <f t="shared" ca="1" si="400"/>
        <v>#N/A</v>
      </c>
      <c r="CI518" s="1587">
        <f t="shared" si="401"/>
        <v>0</v>
      </c>
      <c r="CL518" s="1212" t="e">
        <f t="shared" ca="1" si="402"/>
        <v>#N/A</v>
      </c>
      <c r="CM518" s="1213" t="e">
        <f t="shared" ca="1" si="403"/>
        <v>#N/A</v>
      </c>
      <c r="CN518" s="1587">
        <f t="shared" si="404"/>
        <v>0</v>
      </c>
    </row>
    <row r="519" spans="1:92">
      <c r="A519" s="141">
        <f>'銀行-TSS'!A519</f>
        <v>0</v>
      </c>
      <c r="B519" s="151">
        <f ca="1">VLOOKUP(A519,'銀行-TSS'!A:B,2,FALSE)</f>
        <v>0</v>
      </c>
      <c r="C519" s="151" t="e">
        <f ca="1">VLOOKUP(B519,bond!B:C,2,FALSE)</f>
        <v>#N/A</v>
      </c>
      <c r="D519" s="95" t="e">
        <f>VLOOKUP(A519,'銀行-TSS'!A:C,3,FALSE)</f>
        <v>#N/A</v>
      </c>
      <c r="E519" s="90" t="e">
        <f ca="1">VLOOKUP(A519,'銀行-TSS'!A:G,7,FALSE)</f>
        <v>#N/A</v>
      </c>
      <c r="F519" s="202" t="e">
        <f ca="1">VLOOKUP(A519,'銀行-TSS'!A:H,8,FALSE)</f>
        <v>#N/A</v>
      </c>
      <c r="G519" s="96" t="e">
        <f ca="1">VLOOKUP(A519,'銀行-TSS'!A:K,11,FALSE)</f>
        <v>#N/A</v>
      </c>
      <c r="H519" s="1209" t="e">
        <f ca="1">VLOOKUP(A519,'銀行-TSS'!A:M,13,FALSE)</f>
        <v>#N/A</v>
      </c>
      <c r="I519" s="1213" t="e">
        <f ca="1">VLOOKUP(A519,'銀行-TSS'!A:N,14,FALSE)</f>
        <v>#N/A</v>
      </c>
      <c r="J519" s="1213" t="e">
        <f ca="1">VLOOKUP(A519,'銀行-TSS'!A:O,15,FALSE)</f>
        <v>#N/A</v>
      </c>
      <c r="K519" s="136" t="e">
        <f ca="1">VLOOKUP(A519,'銀行-TSS'!A:V,22,FALSE)</f>
        <v>#N/A</v>
      </c>
      <c r="L519" s="136" t="e">
        <f ca="1">VLOOKUP(A519,'銀行-TSS'!A:AK,37,FALSE)</f>
        <v>#N/A</v>
      </c>
      <c r="M519" s="136" t="str">
        <f ca="1">VLOOKUP(A519,'銀行-TSS'!A:AN,40,FALSE)</f>
        <v/>
      </c>
      <c r="N519" s="136" t="e">
        <f t="shared" ca="1" si="360"/>
        <v>#N/A</v>
      </c>
      <c r="O519" s="1213" t="e">
        <f t="shared" ca="1" si="361"/>
        <v>#N/A</v>
      </c>
      <c r="P519" s="1213" t="e">
        <f ca="1">IF(AND($O$1&gt;=O519,換券單檔!$D$13=D519),I519+INT(($O$1-O519)/N519)*J519,0)</f>
        <v>#N/A</v>
      </c>
      <c r="Q519" s="1213" t="e">
        <f t="shared" ca="1" si="362"/>
        <v>#N/A</v>
      </c>
      <c r="R519" s="1213">
        <f t="shared" si="363"/>
        <v>0</v>
      </c>
      <c r="S519" s="1213">
        <f t="shared" si="364"/>
        <v>0</v>
      </c>
      <c r="T519" s="136">
        <f>IF(OR(R519=0,A519=0),0,IF(AND(V519=TRUE,換券單檔!$D$13=D519),E519,0))</f>
        <v>0</v>
      </c>
      <c r="U519" s="861">
        <f>IF(OR(R519=0,A519=0),0,IF(AND(V519=TRUE,換券單檔!$D$13=D519),H519,0))</f>
        <v>0</v>
      </c>
      <c r="V519" s="136" t="e">
        <f ca="1">IF(OR(B519=換券單檔!$D$3,L519="無",M519&lt;&gt;"",K519="高資產",IFERROR(MATCH(B519,換券單檔!K:K,0),"N")&lt;&gt;"N"),FALSE,IF($V$1="All",TRUE,IF(K519=$V$1,TRUE,FALSE)))</f>
        <v>#N/A</v>
      </c>
      <c r="W519" s="136" t="e">
        <f ca="1">VLOOKUP(A519,'銀行-TSS'!A:AO,41,FALSE)</f>
        <v>#N/A</v>
      </c>
      <c r="X519" s="136" t="e">
        <f ca="1">VLOOKUP(A519,'銀行-TSS'!A:AP,42,FALSE)</f>
        <v>#N/A</v>
      </c>
      <c r="Y519" s="1220">
        <f t="shared" si="365"/>
        <v>0</v>
      </c>
      <c r="Z519" s="1220">
        <f t="shared" si="366"/>
        <v>0</v>
      </c>
      <c r="AA519" s="136">
        <f>IF(Z519&lt;=0,0,RANK(Z519,Z:Z)+COUNTIF($Z$3:$Z519,Z519)-1)</f>
        <v>0</v>
      </c>
      <c r="AB519" s="1211">
        <f t="shared" ca="1" si="367"/>
        <v>-14896.14</v>
      </c>
      <c r="AC519" s="136">
        <f ca="1">IF(AB519&lt;=0,0,RANK(AB519,AB:AB)+COUNTIF($AB$3:$AB519,AB519)-1)</f>
        <v>0</v>
      </c>
      <c r="AD519" s="1123">
        <f t="shared" si="368"/>
        <v>99999</v>
      </c>
      <c r="AE519" s="1123">
        <f>IF(AD519=99999,0,RANK(AD519,AD:AD,1)+COUNTIF($AD$3:$AD519,AD519)-1)</f>
        <v>0</v>
      </c>
      <c r="AF519" s="86" t="e">
        <f ca="1">IF(OR(M519&lt;&gt;"",L519="無",K519="高資產",IFERROR(MATCH(B519,換券單檔!K:K,0),"N")&lt;&gt;"N"),FALSE,TRUE)</f>
        <v>#N/A</v>
      </c>
      <c r="AI519" s="1212" t="e">
        <f t="shared" ca="1" si="369"/>
        <v>#N/A</v>
      </c>
      <c r="AJ519" s="1213" t="e">
        <f t="shared" ca="1" si="370"/>
        <v>#N/A</v>
      </c>
      <c r="AK519" s="1587">
        <f t="shared" si="371"/>
        <v>0</v>
      </c>
      <c r="AN519" s="1212" t="e">
        <f t="shared" ca="1" si="372"/>
        <v>#N/A</v>
      </c>
      <c r="AO519" s="1213" t="e">
        <f t="shared" ca="1" si="373"/>
        <v>#N/A</v>
      </c>
      <c r="AP519" s="1587">
        <f t="shared" si="374"/>
        <v>0</v>
      </c>
      <c r="AS519" s="1212" t="e">
        <f t="shared" ca="1" si="375"/>
        <v>#N/A</v>
      </c>
      <c r="AT519" s="1213" t="e">
        <f t="shared" ca="1" si="376"/>
        <v>#N/A</v>
      </c>
      <c r="AU519" s="1587">
        <f t="shared" si="377"/>
        <v>0</v>
      </c>
      <c r="AX519" s="1212" t="e">
        <f t="shared" ca="1" si="378"/>
        <v>#N/A</v>
      </c>
      <c r="AY519" s="1213" t="e">
        <f t="shared" ca="1" si="379"/>
        <v>#N/A</v>
      </c>
      <c r="AZ519" s="1587">
        <f t="shared" si="380"/>
        <v>0</v>
      </c>
      <c r="BC519" s="1212" t="e">
        <f t="shared" ca="1" si="381"/>
        <v>#N/A</v>
      </c>
      <c r="BD519" s="1213" t="e">
        <f t="shared" ca="1" si="382"/>
        <v>#N/A</v>
      </c>
      <c r="BE519" s="1587">
        <f t="shared" si="383"/>
        <v>0</v>
      </c>
      <c r="BH519" s="1212" t="e">
        <f t="shared" ca="1" si="384"/>
        <v>#N/A</v>
      </c>
      <c r="BI519" s="1213" t="e">
        <f t="shared" ca="1" si="385"/>
        <v>#N/A</v>
      </c>
      <c r="BJ519" s="1587">
        <f t="shared" si="386"/>
        <v>0</v>
      </c>
      <c r="BM519" s="1212" t="e">
        <f t="shared" ca="1" si="387"/>
        <v>#N/A</v>
      </c>
      <c r="BN519" s="1213" t="e">
        <f t="shared" ca="1" si="388"/>
        <v>#N/A</v>
      </c>
      <c r="BO519" s="1587">
        <f t="shared" si="389"/>
        <v>0</v>
      </c>
      <c r="BR519" s="1212" t="e">
        <f t="shared" ca="1" si="390"/>
        <v>#N/A</v>
      </c>
      <c r="BS519" s="1213" t="e">
        <f t="shared" ca="1" si="391"/>
        <v>#N/A</v>
      </c>
      <c r="BT519" s="1587">
        <f t="shared" si="392"/>
        <v>0</v>
      </c>
      <c r="BW519" s="1212" t="e">
        <f t="shared" ca="1" si="393"/>
        <v>#N/A</v>
      </c>
      <c r="BX519" s="1213" t="e">
        <f t="shared" ca="1" si="394"/>
        <v>#N/A</v>
      </c>
      <c r="BY519" s="1587">
        <f t="shared" si="395"/>
        <v>0</v>
      </c>
      <c r="CB519" s="1212" t="e">
        <f t="shared" ca="1" si="396"/>
        <v>#N/A</v>
      </c>
      <c r="CC519" s="1213" t="e">
        <f t="shared" ca="1" si="397"/>
        <v>#N/A</v>
      </c>
      <c r="CD519" s="1587">
        <f t="shared" si="398"/>
        <v>0</v>
      </c>
      <c r="CG519" s="1212" t="e">
        <f t="shared" ca="1" si="399"/>
        <v>#N/A</v>
      </c>
      <c r="CH519" s="1213" t="e">
        <f t="shared" ca="1" si="400"/>
        <v>#N/A</v>
      </c>
      <c r="CI519" s="1587">
        <f t="shared" si="401"/>
        <v>0</v>
      </c>
      <c r="CL519" s="1212" t="e">
        <f t="shared" ca="1" si="402"/>
        <v>#N/A</v>
      </c>
      <c r="CM519" s="1213" t="e">
        <f t="shared" ca="1" si="403"/>
        <v>#N/A</v>
      </c>
      <c r="CN519" s="1587">
        <f t="shared" si="404"/>
        <v>0</v>
      </c>
    </row>
    <row r="520" spans="1:92">
      <c r="A520" s="141">
        <f>'銀行-TSS'!A520</f>
        <v>0</v>
      </c>
      <c r="B520" s="151">
        <f ca="1">VLOOKUP(A520,'銀行-TSS'!A:B,2,FALSE)</f>
        <v>0</v>
      </c>
      <c r="C520" s="151" t="e">
        <f ca="1">VLOOKUP(B520,bond!B:C,2,FALSE)</f>
        <v>#N/A</v>
      </c>
      <c r="D520" s="95" t="e">
        <f>VLOOKUP(A520,'銀行-TSS'!A:C,3,FALSE)</f>
        <v>#N/A</v>
      </c>
      <c r="E520" s="90" t="e">
        <f ca="1">VLOOKUP(A520,'銀行-TSS'!A:G,7,FALSE)</f>
        <v>#N/A</v>
      </c>
      <c r="F520" s="202" t="e">
        <f ca="1">VLOOKUP(A520,'銀行-TSS'!A:H,8,FALSE)</f>
        <v>#N/A</v>
      </c>
      <c r="G520" s="96" t="e">
        <f ca="1">VLOOKUP(A520,'銀行-TSS'!A:K,11,FALSE)</f>
        <v>#N/A</v>
      </c>
      <c r="H520" s="1209" t="e">
        <f ca="1">VLOOKUP(A520,'銀行-TSS'!A:M,13,FALSE)</f>
        <v>#N/A</v>
      </c>
      <c r="I520" s="1213" t="e">
        <f ca="1">VLOOKUP(A520,'銀行-TSS'!A:N,14,FALSE)</f>
        <v>#N/A</v>
      </c>
      <c r="J520" s="1213" t="e">
        <f ca="1">VLOOKUP(A520,'銀行-TSS'!A:O,15,FALSE)</f>
        <v>#N/A</v>
      </c>
      <c r="K520" s="136" t="e">
        <f ca="1">VLOOKUP(A520,'銀行-TSS'!A:V,22,FALSE)</f>
        <v>#N/A</v>
      </c>
      <c r="L520" s="136" t="e">
        <f ca="1">VLOOKUP(A520,'銀行-TSS'!A:AK,37,FALSE)</f>
        <v>#N/A</v>
      </c>
      <c r="M520" s="136" t="str">
        <f ca="1">VLOOKUP(A520,'銀行-TSS'!A:AN,40,FALSE)</f>
        <v/>
      </c>
      <c r="N520" s="136" t="e">
        <f t="shared" ca="1" si="360"/>
        <v>#N/A</v>
      </c>
      <c r="O520" s="1213" t="e">
        <f t="shared" ca="1" si="361"/>
        <v>#N/A</v>
      </c>
      <c r="P520" s="1213" t="e">
        <f ca="1">IF(AND($O$1&gt;=O520,換券單檔!$D$13=D520),I520+INT(($O$1-O520)/N520)*J520,0)</f>
        <v>#N/A</v>
      </c>
      <c r="Q520" s="1213" t="e">
        <f t="shared" ca="1" si="362"/>
        <v>#N/A</v>
      </c>
      <c r="R520" s="1213">
        <f t="shared" si="363"/>
        <v>0</v>
      </c>
      <c r="S520" s="1213">
        <f t="shared" si="364"/>
        <v>0</v>
      </c>
      <c r="T520" s="136">
        <f>IF(OR(R520=0,A520=0),0,IF(AND(V520=TRUE,換券單檔!$D$13=D520),E520,0))</f>
        <v>0</v>
      </c>
      <c r="U520" s="861">
        <f>IF(OR(R520=0,A520=0),0,IF(AND(V520=TRUE,換券單檔!$D$13=D520),H520,0))</f>
        <v>0</v>
      </c>
      <c r="V520" s="136" t="e">
        <f ca="1">IF(OR(B520=換券單檔!$D$3,L520="無",M520&lt;&gt;"",K520="高資產",IFERROR(MATCH(B520,換券單檔!K:K,0),"N")&lt;&gt;"N"),FALSE,IF($V$1="All",TRUE,IF(K520=$V$1,TRUE,FALSE)))</f>
        <v>#N/A</v>
      </c>
      <c r="W520" s="136" t="e">
        <f ca="1">VLOOKUP(A520,'銀行-TSS'!A:AO,41,FALSE)</f>
        <v>#N/A</v>
      </c>
      <c r="X520" s="136" t="e">
        <f ca="1">VLOOKUP(A520,'銀行-TSS'!A:AP,42,FALSE)</f>
        <v>#N/A</v>
      </c>
      <c r="Y520" s="1220">
        <f t="shared" si="365"/>
        <v>0</v>
      </c>
      <c r="Z520" s="1220">
        <f t="shared" si="366"/>
        <v>0</v>
      </c>
      <c r="AA520" s="136">
        <f>IF(Z520&lt;=0,0,RANK(Z520,Z:Z)+COUNTIF($Z$3:$Z520,Z520)-1)</f>
        <v>0</v>
      </c>
      <c r="AB520" s="1211">
        <f t="shared" ca="1" si="367"/>
        <v>-14896.14</v>
      </c>
      <c r="AC520" s="136">
        <f ca="1">IF(AB520&lt;=0,0,RANK(AB520,AB:AB)+COUNTIF($AB$3:$AB520,AB520)-1)</f>
        <v>0</v>
      </c>
      <c r="AD520" s="1123">
        <f t="shared" si="368"/>
        <v>99999</v>
      </c>
      <c r="AE520" s="1123">
        <f>IF(AD520=99999,0,RANK(AD520,AD:AD,1)+COUNTIF($AD$3:$AD520,AD520)-1)</f>
        <v>0</v>
      </c>
      <c r="AF520" s="86" t="e">
        <f ca="1">IF(OR(M520&lt;&gt;"",L520="無",K520="高資產",IFERROR(MATCH(B520,換券單檔!K:K,0),"N")&lt;&gt;"N"),FALSE,TRUE)</f>
        <v>#N/A</v>
      </c>
      <c r="AI520" s="1212" t="e">
        <f t="shared" ca="1" si="369"/>
        <v>#N/A</v>
      </c>
      <c r="AJ520" s="1213" t="e">
        <f t="shared" ca="1" si="370"/>
        <v>#N/A</v>
      </c>
      <c r="AK520" s="1587">
        <f t="shared" si="371"/>
        <v>0</v>
      </c>
      <c r="AN520" s="1212" t="e">
        <f t="shared" ca="1" si="372"/>
        <v>#N/A</v>
      </c>
      <c r="AO520" s="1213" t="e">
        <f t="shared" ca="1" si="373"/>
        <v>#N/A</v>
      </c>
      <c r="AP520" s="1587">
        <f t="shared" si="374"/>
        <v>0</v>
      </c>
      <c r="AS520" s="1212" t="e">
        <f t="shared" ca="1" si="375"/>
        <v>#N/A</v>
      </c>
      <c r="AT520" s="1213" t="e">
        <f t="shared" ca="1" si="376"/>
        <v>#N/A</v>
      </c>
      <c r="AU520" s="1587">
        <f t="shared" si="377"/>
        <v>0</v>
      </c>
      <c r="AX520" s="1212" t="e">
        <f t="shared" ca="1" si="378"/>
        <v>#N/A</v>
      </c>
      <c r="AY520" s="1213" t="e">
        <f t="shared" ca="1" si="379"/>
        <v>#N/A</v>
      </c>
      <c r="AZ520" s="1587">
        <f t="shared" si="380"/>
        <v>0</v>
      </c>
      <c r="BC520" s="1212" t="e">
        <f t="shared" ca="1" si="381"/>
        <v>#N/A</v>
      </c>
      <c r="BD520" s="1213" t="e">
        <f t="shared" ca="1" si="382"/>
        <v>#N/A</v>
      </c>
      <c r="BE520" s="1587">
        <f t="shared" si="383"/>
        <v>0</v>
      </c>
      <c r="BH520" s="1212" t="e">
        <f t="shared" ca="1" si="384"/>
        <v>#N/A</v>
      </c>
      <c r="BI520" s="1213" t="e">
        <f t="shared" ca="1" si="385"/>
        <v>#N/A</v>
      </c>
      <c r="BJ520" s="1587">
        <f t="shared" si="386"/>
        <v>0</v>
      </c>
      <c r="BM520" s="1212" t="e">
        <f t="shared" ca="1" si="387"/>
        <v>#N/A</v>
      </c>
      <c r="BN520" s="1213" t="e">
        <f t="shared" ca="1" si="388"/>
        <v>#N/A</v>
      </c>
      <c r="BO520" s="1587">
        <f t="shared" si="389"/>
        <v>0</v>
      </c>
      <c r="BR520" s="1212" t="e">
        <f t="shared" ca="1" si="390"/>
        <v>#N/A</v>
      </c>
      <c r="BS520" s="1213" t="e">
        <f t="shared" ca="1" si="391"/>
        <v>#N/A</v>
      </c>
      <c r="BT520" s="1587">
        <f t="shared" si="392"/>
        <v>0</v>
      </c>
      <c r="BW520" s="1212" t="e">
        <f t="shared" ca="1" si="393"/>
        <v>#N/A</v>
      </c>
      <c r="BX520" s="1213" t="e">
        <f t="shared" ca="1" si="394"/>
        <v>#N/A</v>
      </c>
      <c r="BY520" s="1587">
        <f t="shared" si="395"/>
        <v>0</v>
      </c>
      <c r="CB520" s="1212" t="e">
        <f t="shared" ca="1" si="396"/>
        <v>#N/A</v>
      </c>
      <c r="CC520" s="1213" t="e">
        <f t="shared" ca="1" si="397"/>
        <v>#N/A</v>
      </c>
      <c r="CD520" s="1587">
        <f t="shared" si="398"/>
        <v>0</v>
      </c>
      <c r="CG520" s="1212" t="e">
        <f t="shared" ca="1" si="399"/>
        <v>#N/A</v>
      </c>
      <c r="CH520" s="1213" t="e">
        <f t="shared" ca="1" si="400"/>
        <v>#N/A</v>
      </c>
      <c r="CI520" s="1587">
        <f t="shared" si="401"/>
        <v>0</v>
      </c>
      <c r="CL520" s="1212" t="e">
        <f t="shared" ca="1" si="402"/>
        <v>#N/A</v>
      </c>
      <c r="CM520" s="1213" t="e">
        <f t="shared" ca="1" si="403"/>
        <v>#N/A</v>
      </c>
      <c r="CN520" s="1587">
        <f t="shared" si="404"/>
        <v>0</v>
      </c>
    </row>
    <row r="521" spans="1:92">
      <c r="A521" s="141">
        <f>'銀行-TSS'!A521</f>
        <v>0</v>
      </c>
      <c r="B521" s="151">
        <f ca="1">VLOOKUP(A521,'銀行-TSS'!A:B,2,FALSE)</f>
        <v>0</v>
      </c>
      <c r="C521" s="151" t="e">
        <f ca="1">VLOOKUP(B521,bond!B:C,2,FALSE)</f>
        <v>#N/A</v>
      </c>
      <c r="D521" s="95" t="e">
        <f>VLOOKUP(A521,'銀行-TSS'!A:C,3,FALSE)</f>
        <v>#N/A</v>
      </c>
      <c r="E521" s="90" t="e">
        <f ca="1">VLOOKUP(A521,'銀行-TSS'!A:G,7,FALSE)</f>
        <v>#N/A</v>
      </c>
      <c r="F521" s="202" t="e">
        <f ca="1">VLOOKUP(A521,'銀行-TSS'!A:H,8,FALSE)</f>
        <v>#N/A</v>
      </c>
      <c r="G521" s="96" t="e">
        <f ca="1">VLOOKUP(A521,'銀行-TSS'!A:K,11,FALSE)</f>
        <v>#N/A</v>
      </c>
      <c r="H521" s="1209" t="e">
        <f ca="1">VLOOKUP(A521,'銀行-TSS'!A:M,13,FALSE)</f>
        <v>#N/A</v>
      </c>
      <c r="I521" s="1213" t="e">
        <f ca="1">VLOOKUP(A521,'銀行-TSS'!A:N,14,FALSE)</f>
        <v>#N/A</v>
      </c>
      <c r="J521" s="1213" t="e">
        <f ca="1">VLOOKUP(A521,'銀行-TSS'!A:O,15,FALSE)</f>
        <v>#N/A</v>
      </c>
      <c r="K521" s="136" t="e">
        <f ca="1">VLOOKUP(A521,'銀行-TSS'!A:V,22,FALSE)</f>
        <v>#N/A</v>
      </c>
      <c r="L521" s="136" t="e">
        <f ca="1">VLOOKUP(A521,'銀行-TSS'!A:AK,37,FALSE)</f>
        <v>#N/A</v>
      </c>
      <c r="M521" s="136" t="str">
        <f ca="1">VLOOKUP(A521,'銀行-TSS'!A:AN,40,FALSE)</f>
        <v/>
      </c>
      <c r="N521" s="136" t="e">
        <f t="shared" ca="1" si="360"/>
        <v>#N/A</v>
      </c>
      <c r="O521" s="1213" t="e">
        <f t="shared" ca="1" si="361"/>
        <v>#N/A</v>
      </c>
      <c r="P521" s="1213" t="e">
        <f ca="1">IF(AND($O$1&gt;=O521,換券單檔!$D$13=D521),I521+INT(($O$1-O521)/N521)*J521,0)</f>
        <v>#N/A</v>
      </c>
      <c r="Q521" s="1213" t="e">
        <f t="shared" ca="1" si="362"/>
        <v>#N/A</v>
      </c>
      <c r="R521" s="1213">
        <f t="shared" si="363"/>
        <v>0</v>
      </c>
      <c r="S521" s="1213">
        <f t="shared" si="364"/>
        <v>0</v>
      </c>
      <c r="T521" s="136">
        <f>IF(OR(R521=0,A521=0),0,IF(AND(V521=TRUE,換券單檔!$D$13=D521),E521,0))</f>
        <v>0</v>
      </c>
      <c r="U521" s="861">
        <f>IF(OR(R521=0,A521=0),0,IF(AND(V521=TRUE,換券單檔!$D$13=D521),H521,0))</f>
        <v>0</v>
      </c>
      <c r="V521" s="136" t="e">
        <f ca="1">IF(OR(B521=換券單檔!$D$3,L521="無",M521&lt;&gt;"",K521="高資產",IFERROR(MATCH(B521,換券單檔!K:K,0),"N")&lt;&gt;"N"),FALSE,IF($V$1="All",TRUE,IF(K521=$V$1,TRUE,FALSE)))</f>
        <v>#N/A</v>
      </c>
      <c r="W521" s="136" t="e">
        <f ca="1">VLOOKUP(A521,'銀行-TSS'!A:AO,41,FALSE)</f>
        <v>#N/A</v>
      </c>
      <c r="X521" s="136" t="e">
        <f ca="1">VLOOKUP(A521,'銀行-TSS'!A:AP,42,FALSE)</f>
        <v>#N/A</v>
      </c>
      <c r="Y521" s="1220">
        <f t="shared" si="365"/>
        <v>0</v>
      </c>
      <c r="Z521" s="1220">
        <f t="shared" si="366"/>
        <v>0</v>
      </c>
      <c r="AA521" s="136">
        <f>IF(Z521&lt;=0,0,RANK(Z521,Z:Z)+COUNTIF($Z$3:$Z521,Z521)-1)</f>
        <v>0</v>
      </c>
      <c r="AB521" s="1211">
        <f t="shared" ca="1" si="367"/>
        <v>-14896.14</v>
      </c>
      <c r="AC521" s="136">
        <f ca="1">IF(AB521&lt;=0,0,RANK(AB521,AB:AB)+COUNTIF($AB$3:$AB521,AB521)-1)</f>
        <v>0</v>
      </c>
      <c r="AD521" s="1123">
        <f t="shared" si="368"/>
        <v>99999</v>
      </c>
      <c r="AE521" s="1123">
        <f>IF(AD521=99999,0,RANK(AD521,AD:AD,1)+COUNTIF($AD$3:$AD521,AD521)-1)</f>
        <v>0</v>
      </c>
      <c r="AF521" s="86" t="e">
        <f ca="1">IF(OR(M521&lt;&gt;"",L521="無",K521="高資產",IFERROR(MATCH(B521,換券單檔!K:K,0),"N")&lt;&gt;"N"),FALSE,TRUE)</f>
        <v>#N/A</v>
      </c>
      <c r="AI521" s="1212" t="e">
        <f t="shared" ca="1" si="369"/>
        <v>#N/A</v>
      </c>
      <c r="AJ521" s="1213" t="e">
        <f t="shared" ca="1" si="370"/>
        <v>#N/A</v>
      </c>
      <c r="AK521" s="1587">
        <f t="shared" si="371"/>
        <v>0</v>
      </c>
      <c r="AN521" s="1212" t="e">
        <f t="shared" ca="1" si="372"/>
        <v>#N/A</v>
      </c>
      <c r="AO521" s="1213" t="e">
        <f t="shared" ca="1" si="373"/>
        <v>#N/A</v>
      </c>
      <c r="AP521" s="1587">
        <f t="shared" si="374"/>
        <v>0</v>
      </c>
      <c r="AS521" s="1212" t="e">
        <f t="shared" ca="1" si="375"/>
        <v>#N/A</v>
      </c>
      <c r="AT521" s="1213" t="e">
        <f t="shared" ca="1" si="376"/>
        <v>#N/A</v>
      </c>
      <c r="AU521" s="1587">
        <f t="shared" si="377"/>
        <v>0</v>
      </c>
      <c r="AX521" s="1212" t="e">
        <f t="shared" ca="1" si="378"/>
        <v>#N/A</v>
      </c>
      <c r="AY521" s="1213" t="e">
        <f t="shared" ca="1" si="379"/>
        <v>#N/A</v>
      </c>
      <c r="AZ521" s="1587">
        <f t="shared" si="380"/>
        <v>0</v>
      </c>
      <c r="BC521" s="1212" t="e">
        <f t="shared" ca="1" si="381"/>
        <v>#N/A</v>
      </c>
      <c r="BD521" s="1213" t="e">
        <f t="shared" ca="1" si="382"/>
        <v>#N/A</v>
      </c>
      <c r="BE521" s="1587">
        <f t="shared" si="383"/>
        <v>0</v>
      </c>
      <c r="BH521" s="1212" t="e">
        <f t="shared" ca="1" si="384"/>
        <v>#N/A</v>
      </c>
      <c r="BI521" s="1213" t="e">
        <f t="shared" ca="1" si="385"/>
        <v>#N/A</v>
      </c>
      <c r="BJ521" s="1587">
        <f t="shared" si="386"/>
        <v>0</v>
      </c>
      <c r="BM521" s="1212" t="e">
        <f t="shared" ca="1" si="387"/>
        <v>#N/A</v>
      </c>
      <c r="BN521" s="1213" t="e">
        <f t="shared" ca="1" si="388"/>
        <v>#N/A</v>
      </c>
      <c r="BO521" s="1587">
        <f t="shared" si="389"/>
        <v>0</v>
      </c>
      <c r="BR521" s="1212" t="e">
        <f t="shared" ca="1" si="390"/>
        <v>#N/A</v>
      </c>
      <c r="BS521" s="1213" t="e">
        <f t="shared" ca="1" si="391"/>
        <v>#N/A</v>
      </c>
      <c r="BT521" s="1587">
        <f t="shared" si="392"/>
        <v>0</v>
      </c>
      <c r="BW521" s="1212" t="e">
        <f t="shared" ca="1" si="393"/>
        <v>#N/A</v>
      </c>
      <c r="BX521" s="1213" t="e">
        <f t="shared" ca="1" si="394"/>
        <v>#N/A</v>
      </c>
      <c r="BY521" s="1587">
        <f t="shared" si="395"/>
        <v>0</v>
      </c>
      <c r="CB521" s="1212" t="e">
        <f t="shared" ca="1" si="396"/>
        <v>#N/A</v>
      </c>
      <c r="CC521" s="1213" t="e">
        <f t="shared" ca="1" si="397"/>
        <v>#N/A</v>
      </c>
      <c r="CD521" s="1587">
        <f t="shared" si="398"/>
        <v>0</v>
      </c>
      <c r="CG521" s="1212" t="e">
        <f t="shared" ca="1" si="399"/>
        <v>#N/A</v>
      </c>
      <c r="CH521" s="1213" t="e">
        <f t="shared" ca="1" si="400"/>
        <v>#N/A</v>
      </c>
      <c r="CI521" s="1587">
        <f t="shared" si="401"/>
        <v>0</v>
      </c>
      <c r="CL521" s="1212" t="e">
        <f t="shared" ca="1" si="402"/>
        <v>#N/A</v>
      </c>
      <c r="CM521" s="1213" t="e">
        <f t="shared" ca="1" si="403"/>
        <v>#N/A</v>
      </c>
      <c r="CN521" s="1587">
        <f t="shared" si="404"/>
        <v>0</v>
      </c>
    </row>
    <row r="522" spans="1:92">
      <c r="A522" s="141">
        <f>'銀行-TSS'!A522</f>
        <v>0</v>
      </c>
      <c r="B522" s="151">
        <f ca="1">VLOOKUP(A522,'銀行-TSS'!A:B,2,FALSE)</f>
        <v>0</v>
      </c>
      <c r="C522" s="151" t="e">
        <f ca="1">VLOOKUP(B522,bond!B:C,2,FALSE)</f>
        <v>#N/A</v>
      </c>
      <c r="D522" s="95" t="e">
        <f>VLOOKUP(A522,'銀行-TSS'!A:C,3,FALSE)</f>
        <v>#N/A</v>
      </c>
      <c r="E522" s="90" t="e">
        <f ca="1">VLOOKUP(A522,'銀行-TSS'!A:G,7,FALSE)</f>
        <v>#N/A</v>
      </c>
      <c r="F522" s="202" t="e">
        <f ca="1">VLOOKUP(A522,'銀行-TSS'!A:H,8,FALSE)</f>
        <v>#N/A</v>
      </c>
      <c r="G522" s="96" t="e">
        <f ca="1">VLOOKUP(A522,'銀行-TSS'!A:K,11,FALSE)</f>
        <v>#N/A</v>
      </c>
      <c r="H522" s="1209" t="e">
        <f ca="1">VLOOKUP(A522,'銀行-TSS'!A:M,13,FALSE)</f>
        <v>#N/A</v>
      </c>
      <c r="I522" s="1213" t="e">
        <f ca="1">VLOOKUP(A522,'銀行-TSS'!A:N,14,FALSE)</f>
        <v>#N/A</v>
      </c>
      <c r="J522" s="1213" t="e">
        <f ca="1">VLOOKUP(A522,'銀行-TSS'!A:O,15,FALSE)</f>
        <v>#N/A</v>
      </c>
      <c r="K522" s="136" t="e">
        <f ca="1">VLOOKUP(A522,'銀行-TSS'!A:V,22,FALSE)</f>
        <v>#N/A</v>
      </c>
      <c r="L522" s="136" t="e">
        <f ca="1">VLOOKUP(A522,'銀行-TSS'!A:AK,37,FALSE)</f>
        <v>#N/A</v>
      </c>
      <c r="M522" s="136" t="str">
        <f ca="1">VLOOKUP(A522,'銀行-TSS'!A:AN,40,FALSE)</f>
        <v/>
      </c>
      <c r="N522" s="136" t="e">
        <f t="shared" ca="1" si="360"/>
        <v>#N/A</v>
      </c>
      <c r="O522" s="1213" t="e">
        <f t="shared" ca="1" si="361"/>
        <v>#N/A</v>
      </c>
      <c r="P522" s="1213" t="e">
        <f ca="1">IF(AND($O$1&gt;=O522,換券單檔!$D$13=D522),I522+INT(($O$1-O522)/N522)*J522,0)</f>
        <v>#N/A</v>
      </c>
      <c r="Q522" s="1213" t="e">
        <f t="shared" ca="1" si="362"/>
        <v>#N/A</v>
      </c>
      <c r="R522" s="1213">
        <f t="shared" si="363"/>
        <v>0</v>
      </c>
      <c r="S522" s="1213">
        <f t="shared" si="364"/>
        <v>0</v>
      </c>
      <c r="T522" s="136">
        <f>IF(OR(R522=0,A522=0),0,IF(AND(V522=TRUE,換券單檔!$D$13=D522),E522,0))</f>
        <v>0</v>
      </c>
      <c r="U522" s="861">
        <f>IF(OR(R522=0,A522=0),0,IF(AND(V522=TRUE,換券單檔!$D$13=D522),H522,0))</f>
        <v>0</v>
      </c>
      <c r="V522" s="136" t="e">
        <f ca="1">IF(OR(B522=換券單檔!$D$3,L522="無",M522&lt;&gt;"",K522="高資產",IFERROR(MATCH(B522,換券單檔!K:K,0),"N")&lt;&gt;"N"),FALSE,IF($V$1="All",TRUE,IF(K522=$V$1,TRUE,FALSE)))</f>
        <v>#N/A</v>
      </c>
      <c r="W522" s="136" t="e">
        <f ca="1">VLOOKUP(A522,'銀行-TSS'!A:AO,41,FALSE)</f>
        <v>#N/A</v>
      </c>
      <c r="X522" s="136" t="e">
        <f ca="1">VLOOKUP(A522,'銀行-TSS'!A:AP,42,FALSE)</f>
        <v>#N/A</v>
      </c>
      <c r="Y522" s="1220">
        <f t="shared" si="365"/>
        <v>0</v>
      </c>
      <c r="Z522" s="1220">
        <f t="shared" si="366"/>
        <v>0</v>
      </c>
      <c r="AA522" s="136">
        <f>IF(Z522&lt;=0,0,RANK(Z522,Z:Z)+COUNTIF($Z$3:$Z522,Z522)-1)</f>
        <v>0</v>
      </c>
      <c r="AB522" s="1211">
        <f t="shared" ca="1" si="367"/>
        <v>-14896.14</v>
      </c>
      <c r="AC522" s="136">
        <f ca="1">IF(AB522&lt;=0,0,RANK(AB522,AB:AB)+COUNTIF($AB$3:$AB522,AB522)-1)</f>
        <v>0</v>
      </c>
      <c r="AD522" s="1123">
        <f t="shared" si="368"/>
        <v>99999</v>
      </c>
      <c r="AE522" s="1123">
        <f>IF(AD522=99999,0,RANK(AD522,AD:AD,1)+COUNTIF($AD$3:$AD522,AD522)-1)</f>
        <v>0</v>
      </c>
      <c r="AF522" s="86" t="e">
        <f ca="1">IF(OR(M522&lt;&gt;"",L522="無",K522="高資產",IFERROR(MATCH(B522,換券單檔!K:K,0),"N")&lt;&gt;"N"),FALSE,TRUE)</f>
        <v>#N/A</v>
      </c>
      <c r="AI522" s="1212" t="e">
        <f t="shared" ca="1" si="369"/>
        <v>#N/A</v>
      </c>
      <c r="AJ522" s="1213" t="e">
        <f t="shared" ca="1" si="370"/>
        <v>#N/A</v>
      </c>
      <c r="AK522" s="1587">
        <f t="shared" si="371"/>
        <v>0</v>
      </c>
      <c r="AN522" s="1212" t="e">
        <f t="shared" ca="1" si="372"/>
        <v>#N/A</v>
      </c>
      <c r="AO522" s="1213" t="e">
        <f t="shared" ca="1" si="373"/>
        <v>#N/A</v>
      </c>
      <c r="AP522" s="1587">
        <f t="shared" si="374"/>
        <v>0</v>
      </c>
      <c r="AS522" s="1212" t="e">
        <f t="shared" ca="1" si="375"/>
        <v>#N/A</v>
      </c>
      <c r="AT522" s="1213" t="e">
        <f t="shared" ca="1" si="376"/>
        <v>#N/A</v>
      </c>
      <c r="AU522" s="1587">
        <f t="shared" si="377"/>
        <v>0</v>
      </c>
      <c r="AX522" s="1212" t="e">
        <f t="shared" ca="1" si="378"/>
        <v>#N/A</v>
      </c>
      <c r="AY522" s="1213" t="e">
        <f t="shared" ca="1" si="379"/>
        <v>#N/A</v>
      </c>
      <c r="AZ522" s="1587">
        <f t="shared" si="380"/>
        <v>0</v>
      </c>
      <c r="BC522" s="1212" t="e">
        <f t="shared" ca="1" si="381"/>
        <v>#N/A</v>
      </c>
      <c r="BD522" s="1213" t="e">
        <f t="shared" ca="1" si="382"/>
        <v>#N/A</v>
      </c>
      <c r="BE522" s="1587">
        <f t="shared" si="383"/>
        <v>0</v>
      </c>
      <c r="BH522" s="1212" t="e">
        <f t="shared" ca="1" si="384"/>
        <v>#N/A</v>
      </c>
      <c r="BI522" s="1213" t="e">
        <f t="shared" ca="1" si="385"/>
        <v>#N/A</v>
      </c>
      <c r="BJ522" s="1587">
        <f t="shared" si="386"/>
        <v>0</v>
      </c>
      <c r="BM522" s="1212" t="e">
        <f t="shared" ca="1" si="387"/>
        <v>#N/A</v>
      </c>
      <c r="BN522" s="1213" t="e">
        <f t="shared" ca="1" si="388"/>
        <v>#N/A</v>
      </c>
      <c r="BO522" s="1587">
        <f t="shared" si="389"/>
        <v>0</v>
      </c>
      <c r="BR522" s="1212" t="e">
        <f t="shared" ca="1" si="390"/>
        <v>#N/A</v>
      </c>
      <c r="BS522" s="1213" t="e">
        <f t="shared" ca="1" si="391"/>
        <v>#N/A</v>
      </c>
      <c r="BT522" s="1587">
        <f t="shared" si="392"/>
        <v>0</v>
      </c>
      <c r="BW522" s="1212" t="e">
        <f t="shared" ca="1" si="393"/>
        <v>#N/A</v>
      </c>
      <c r="BX522" s="1213" t="e">
        <f t="shared" ca="1" si="394"/>
        <v>#N/A</v>
      </c>
      <c r="BY522" s="1587">
        <f t="shared" si="395"/>
        <v>0</v>
      </c>
      <c r="CB522" s="1212" t="e">
        <f t="shared" ca="1" si="396"/>
        <v>#N/A</v>
      </c>
      <c r="CC522" s="1213" t="e">
        <f t="shared" ca="1" si="397"/>
        <v>#N/A</v>
      </c>
      <c r="CD522" s="1587">
        <f t="shared" si="398"/>
        <v>0</v>
      </c>
      <c r="CG522" s="1212" t="e">
        <f t="shared" ca="1" si="399"/>
        <v>#N/A</v>
      </c>
      <c r="CH522" s="1213" t="e">
        <f t="shared" ca="1" si="400"/>
        <v>#N/A</v>
      </c>
      <c r="CI522" s="1587">
        <f t="shared" si="401"/>
        <v>0</v>
      </c>
      <c r="CL522" s="1212" t="e">
        <f t="shared" ca="1" si="402"/>
        <v>#N/A</v>
      </c>
      <c r="CM522" s="1213" t="e">
        <f t="shared" ca="1" si="403"/>
        <v>#N/A</v>
      </c>
      <c r="CN522" s="1587">
        <f t="shared" si="404"/>
        <v>0</v>
      </c>
    </row>
    <row r="523" spans="1:92">
      <c r="A523" s="141">
        <f>'銀行-TSS'!A523</f>
        <v>0</v>
      </c>
      <c r="B523" s="151">
        <f ca="1">VLOOKUP(A523,'銀行-TSS'!A:B,2,FALSE)</f>
        <v>0</v>
      </c>
      <c r="C523" s="151" t="e">
        <f ca="1">VLOOKUP(B523,bond!B:C,2,FALSE)</f>
        <v>#N/A</v>
      </c>
      <c r="D523" s="95" t="e">
        <f>VLOOKUP(A523,'銀行-TSS'!A:C,3,FALSE)</f>
        <v>#N/A</v>
      </c>
      <c r="E523" s="90" t="e">
        <f ca="1">VLOOKUP(A523,'銀行-TSS'!A:G,7,FALSE)</f>
        <v>#N/A</v>
      </c>
      <c r="F523" s="202" t="e">
        <f ca="1">VLOOKUP(A523,'銀行-TSS'!A:H,8,FALSE)</f>
        <v>#N/A</v>
      </c>
      <c r="G523" s="96" t="e">
        <f ca="1">VLOOKUP(A523,'銀行-TSS'!A:K,11,FALSE)</f>
        <v>#N/A</v>
      </c>
      <c r="H523" s="1209" t="e">
        <f ca="1">VLOOKUP(A523,'銀行-TSS'!A:M,13,FALSE)</f>
        <v>#N/A</v>
      </c>
      <c r="I523" s="1213" t="e">
        <f ca="1">VLOOKUP(A523,'銀行-TSS'!A:N,14,FALSE)</f>
        <v>#N/A</v>
      </c>
      <c r="J523" s="1213" t="e">
        <f ca="1">VLOOKUP(A523,'銀行-TSS'!A:O,15,FALSE)</f>
        <v>#N/A</v>
      </c>
      <c r="K523" s="136" t="e">
        <f ca="1">VLOOKUP(A523,'銀行-TSS'!A:V,22,FALSE)</f>
        <v>#N/A</v>
      </c>
      <c r="L523" s="136" t="e">
        <f ca="1">VLOOKUP(A523,'銀行-TSS'!A:AK,37,FALSE)</f>
        <v>#N/A</v>
      </c>
      <c r="M523" s="136" t="str">
        <f ca="1">VLOOKUP(A523,'銀行-TSS'!A:AN,40,FALSE)</f>
        <v/>
      </c>
      <c r="N523" s="136" t="e">
        <f t="shared" ca="1" si="360"/>
        <v>#N/A</v>
      </c>
      <c r="O523" s="1213" t="e">
        <f t="shared" ca="1" si="361"/>
        <v>#N/A</v>
      </c>
      <c r="P523" s="1213" t="e">
        <f ca="1">IF(AND($O$1&gt;=O523,換券單檔!$D$13=D523),I523+INT(($O$1-O523)/N523)*J523,0)</f>
        <v>#N/A</v>
      </c>
      <c r="Q523" s="1213" t="e">
        <f t="shared" ca="1" si="362"/>
        <v>#N/A</v>
      </c>
      <c r="R523" s="1213">
        <f t="shared" si="363"/>
        <v>0</v>
      </c>
      <c r="S523" s="1213">
        <f t="shared" si="364"/>
        <v>0</v>
      </c>
      <c r="T523" s="136">
        <f>IF(OR(R523=0,A523=0),0,IF(AND(V523=TRUE,換券單檔!$D$13=D523),E523,0))</f>
        <v>0</v>
      </c>
      <c r="U523" s="861">
        <f>IF(OR(R523=0,A523=0),0,IF(AND(V523=TRUE,換券單檔!$D$13=D523),H523,0))</f>
        <v>0</v>
      </c>
      <c r="V523" s="136" t="e">
        <f ca="1">IF(OR(B523=換券單檔!$D$3,L523="無",M523&lt;&gt;"",K523="高資產",IFERROR(MATCH(B523,換券單檔!K:K,0),"N")&lt;&gt;"N"),FALSE,IF($V$1="All",TRUE,IF(K523=$V$1,TRUE,FALSE)))</f>
        <v>#N/A</v>
      </c>
      <c r="W523" s="136" t="e">
        <f ca="1">VLOOKUP(A523,'銀行-TSS'!A:AO,41,FALSE)</f>
        <v>#N/A</v>
      </c>
      <c r="X523" s="136" t="e">
        <f ca="1">VLOOKUP(A523,'銀行-TSS'!A:AP,42,FALSE)</f>
        <v>#N/A</v>
      </c>
      <c r="Y523" s="1220">
        <f t="shared" si="365"/>
        <v>0</v>
      </c>
      <c r="Z523" s="1220">
        <f t="shared" si="366"/>
        <v>0</v>
      </c>
      <c r="AA523" s="136">
        <f>IF(Z523&lt;=0,0,RANK(Z523,Z:Z)+COUNTIF($Z$3:$Z523,Z523)-1)</f>
        <v>0</v>
      </c>
      <c r="AB523" s="1211">
        <f t="shared" ca="1" si="367"/>
        <v>-14896.14</v>
      </c>
      <c r="AC523" s="136">
        <f ca="1">IF(AB523&lt;=0,0,RANK(AB523,AB:AB)+COUNTIF($AB$3:$AB523,AB523)-1)</f>
        <v>0</v>
      </c>
      <c r="AD523" s="1123">
        <f t="shared" si="368"/>
        <v>99999</v>
      </c>
      <c r="AE523" s="1123">
        <f>IF(AD523=99999,0,RANK(AD523,AD:AD,1)+COUNTIF($AD$3:$AD523,AD523)-1)</f>
        <v>0</v>
      </c>
      <c r="AF523" s="86" t="e">
        <f ca="1">IF(OR(M523&lt;&gt;"",L523="無",K523="高資產",IFERROR(MATCH(B523,換券單檔!K:K,0),"N")&lt;&gt;"N"),FALSE,TRUE)</f>
        <v>#N/A</v>
      </c>
      <c r="AI523" s="1212" t="e">
        <f t="shared" ca="1" si="369"/>
        <v>#N/A</v>
      </c>
      <c r="AJ523" s="1213" t="e">
        <f t="shared" ca="1" si="370"/>
        <v>#N/A</v>
      </c>
      <c r="AK523" s="1587">
        <f t="shared" si="371"/>
        <v>0</v>
      </c>
      <c r="AN523" s="1212" t="e">
        <f t="shared" ca="1" si="372"/>
        <v>#N/A</v>
      </c>
      <c r="AO523" s="1213" t="e">
        <f t="shared" ca="1" si="373"/>
        <v>#N/A</v>
      </c>
      <c r="AP523" s="1587">
        <f t="shared" si="374"/>
        <v>0</v>
      </c>
      <c r="AS523" s="1212" t="e">
        <f t="shared" ca="1" si="375"/>
        <v>#N/A</v>
      </c>
      <c r="AT523" s="1213" t="e">
        <f t="shared" ca="1" si="376"/>
        <v>#N/A</v>
      </c>
      <c r="AU523" s="1587">
        <f t="shared" si="377"/>
        <v>0</v>
      </c>
      <c r="AX523" s="1212" t="e">
        <f t="shared" ca="1" si="378"/>
        <v>#N/A</v>
      </c>
      <c r="AY523" s="1213" t="e">
        <f t="shared" ca="1" si="379"/>
        <v>#N/A</v>
      </c>
      <c r="AZ523" s="1587">
        <f t="shared" si="380"/>
        <v>0</v>
      </c>
      <c r="BC523" s="1212" t="e">
        <f t="shared" ca="1" si="381"/>
        <v>#N/A</v>
      </c>
      <c r="BD523" s="1213" t="e">
        <f t="shared" ca="1" si="382"/>
        <v>#N/A</v>
      </c>
      <c r="BE523" s="1587">
        <f t="shared" si="383"/>
        <v>0</v>
      </c>
      <c r="BH523" s="1212" t="e">
        <f t="shared" ca="1" si="384"/>
        <v>#N/A</v>
      </c>
      <c r="BI523" s="1213" t="e">
        <f t="shared" ca="1" si="385"/>
        <v>#N/A</v>
      </c>
      <c r="BJ523" s="1587">
        <f t="shared" si="386"/>
        <v>0</v>
      </c>
      <c r="BM523" s="1212" t="e">
        <f t="shared" ca="1" si="387"/>
        <v>#N/A</v>
      </c>
      <c r="BN523" s="1213" t="e">
        <f t="shared" ca="1" si="388"/>
        <v>#N/A</v>
      </c>
      <c r="BO523" s="1587">
        <f t="shared" si="389"/>
        <v>0</v>
      </c>
      <c r="BR523" s="1212" t="e">
        <f t="shared" ca="1" si="390"/>
        <v>#N/A</v>
      </c>
      <c r="BS523" s="1213" t="e">
        <f t="shared" ca="1" si="391"/>
        <v>#N/A</v>
      </c>
      <c r="BT523" s="1587">
        <f t="shared" si="392"/>
        <v>0</v>
      </c>
      <c r="BW523" s="1212" t="e">
        <f t="shared" ca="1" si="393"/>
        <v>#N/A</v>
      </c>
      <c r="BX523" s="1213" t="e">
        <f t="shared" ca="1" si="394"/>
        <v>#N/A</v>
      </c>
      <c r="BY523" s="1587">
        <f t="shared" si="395"/>
        <v>0</v>
      </c>
      <c r="CB523" s="1212" t="e">
        <f t="shared" ca="1" si="396"/>
        <v>#N/A</v>
      </c>
      <c r="CC523" s="1213" t="e">
        <f t="shared" ca="1" si="397"/>
        <v>#N/A</v>
      </c>
      <c r="CD523" s="1587">
        <f t="shared" si="398"/>
        <v>0</v>
      </c>
      <c r="CG523" s="1212" t="e">
        <f t="shared" ca="1" si="399"/>
        <v>#N/A</v>
      </c>
      <c r="CH523" s="1213" t="e">
        <f t="shared" ca="1" si="400"/>
        <v>#N/A</v>
      </c>
      <c r="CI523" s="1587">
        <f t="shared" si="401"/>
        <v>0</v>
      </c>
      <c r="CL523" s="1212" t="e">
        <f t="shared" ca="1" si="402"/>
        <v>#N/A</v>
      </c>
      <c r="CM523" s="1213" t="e">
        <f t="shared" ca="1" si="403"/>
        <v>#N/A</v>
      </c>
      <c r="CN523" s="1587">
        <f t="shared" si="404"/>
        <v>0</v>
      </c>
    </row>
    <row r="524" spans="1:92">
      <c r="A524" s="141">
        <f>'銀行-TSS'!A524</f>
        <v>0</v>
      </c>
      <c r="B524" s="151">
        <f ca="1">VLOOKUP(A524,'銀行-TSS'!A:B,2,FALSE)</f>
        <v>0</v>
      </c>
      <c r="C524" s="151" t="e">
        <f ca="1">VLOOKUP(B524,bond!B:C,2,FALSE)</f>
        <v>#N/A</v>
      </c>
      <c r="D524" s="95" t="e">
        <f>VLOOKUP(A524,'銀行-TSS'!A:C,3,FALSE)</f>
        <v>#N/A</v>
      </c>
      <c r="E524" s="90" t="e">
        <f ca="1">VLOOKUP(A524,'銀行-TSS'!A:G,7,FALSE)</f>
        <v>#N/A</v>
      </c>
      <c r="F524" s="202" t="e">
        <f ca="1">VLOOKUP(A524,'銀行-TSS'!A:H,8,FALSE)</f>
        <v>#N/A</v>
      </c>
      <c r="G524" s="96" t="e">
        <f ca="1">VLOOKUP(A524,'銀行-TSS'!A:K,11,FALSE)</f>
        <v>#N/A</v>
      </c>
      <c r="H524" s="1209" t="e">
        <f ca="1">VLOOKUP(A524,'銀行-TSS'!A:M,13,FALSE)</f>
        <v>#N/A</v>
      </c>
      <c r="I524" s="1213" t="e">
        <f ca="1">VLOOKUP(A524,'銀行-TSS'!A:N,14,FALSE)</f>
        <v>#N/A</v>
      </c>
      <c r="J524" s="1213" t="e">
        <f ca="1">VLOOKUP(A524,'銀行-TSS'!A:O,15,FALSE)</f>
        <v>#N/A</v>
      </c>
      <c r="K524" s="136" t="e">
        <f ca="1">VLOOKUP(A524,'銀行-TSS'!A:V,22,FALSE)</f>
        <v>#N/A</v>
      </c>
      <c r="L524" s="136" t="e">
        <f ca="1">VLOOKUP(A524,'銀行-TSS'!A:AK,37,FALSE)</f>
        <v>#N/A</v>
      </c>
      <c r="M524" s="136" t="str">
        <f ca="1">VLOOKUP(A524,'銀行-TSS'!A:AN,40,FALSE)</f>
        <v/>
      </c>
      <c r="N524" s="136" t="e">
        <f t="shared" ca="1" si="360"/>
        <v>#N/A</v>
      </c>
      <c r="O524" s="1213" t="e">
        <f t="shared" ca="1" si="361"/>
        <v>#N/A</v>
      </c>
      <c r="P524" s="1213" t="e">
        <f ca="1">IF(AND($O$1&gt;=O524,換券單檔!$D$13=D524),I524+INT(($O$1-O524)/N524)*J524,0)</f>
        <v>#N/A</v>
      </c>
      <c r="Q524" s="1213" t="e">
        <f t="shared" ca="1" si="362"/>
        <v>#N/A</v>
      </c>
      <c r="R524" s="1213">
        <f t="shared" si="363"/>
        <v>0</v>
      </c>
      <c r="S524" s="1213">
        <f t="shared" si="364"/>
        <v>0</v>
      </c>
      <c r="T524" s="136">
        <f>IF(OR(R524=0,A524=0),0,IF(AND(V524=TRUE,換券單檔!$D$13=D524),E524,0))</f>
        <v>0</v>
      </c>
      <c r="U524" s="861">
        <f>IF(OR(R524=0,A524=0),0,IF(AND(V524=TRUE,換券單檔!$D$13=D524),H524,0))</f>
        <v>0</v>
      </c>
      <c r="V524" s="136" t="e">
        <f ca="1">IF(OR(B524=換券單檔!$D$3,L524="無",M524&lt;&gt;"",K524="高資產",IFERROR(MATCH(B524,換券單檔!K:K,0),"N")&lt;&gt;"N"),FALSE,IF($V$1="All",TRUE,IF(K524=$V$1,TRUE,FALSE)))</f>
        <v>#N/A</v>
      </c>
      <c r="W524" s="136" t="e">
        <f ca="1">VLOOKUP(A524,'銀行-TSS'!A:AO,41,FALSE)</f>
        <v>#N/A</v>
      </c>
      <c r="X524" s="136" t="e">
        <f ca="1">VLOOKUP(A524,'銀行-TSS'!A:AP,42,FALSE)</f>
        <v>#N/A</v>
      </c>
      <c r="Y524" s="1220">
        <f t="shared" si="365"/>
        <v>0</v>
      </c>
      <c r="Z524" s="1220">
        <f t="shared" si="366"/>
        <v>0</v>
      </c>
      <c r="AA524" s="136">
        <f>IF(Z524&lt;=0,0,RANK(Z524,Z:Z)+COUNTIF($Z$3:$Z524,Z524)-1)</f>
        <v>0</v>
      </c>
      <c r="AB524" s="1211">
        <f t="shared" ca="1" si="367"/>
        <v>-14896.14</v>
      </c>
      <c r="AC524" s="136">
        <f ca="1">IF(AB524&lt;=0,0,RANK(AB524,AB:AB)+COUNTIF($AB$3:$AB524,AB524)-1)</f>
        <v>0</v>
      </c>
      <c r="AD524" s="1123">
        <f t="shared" si="368"/>
        <v>99999</v>
      </c>
      <c r="AE524" s="1123">
        <f>IF(AD524=99999,0,RANK(AD524,AD:AD,1)+COUNTIF($AD$3:$AD524,AD524)-1)</f>
        <v>0</v>
      </c>
      <c r="AF524" s="86" t="e">
        <f ca="1">IF(OR(M524&lt;&gt;"",L524="無",K524="高資產",IFERROR(MATCH(B524,換券單檔!K:K,0),"N")&lt;&gt;"N"),FALSE,TRUE)</f>
        <v>#N/A</v>
      </c>
      <c r="AI524" s="1212" t="e">
        <f t="shared" ca="1" si="369"/>
        <v>#N/A</v>
      </c>
      <c r="AJ524" s="1213" t="e">
        <f t="shared" ca="1" si="370"/>
        <v>#N/A</v>
      </c>
      <c r="AK524" s="1587">
        <f t="shared" si="371"/>
        <v>0</v>
      </c>
      <c r="AN524" s="1212" t="e">
        <f t="shared" ca="1" si="372"/>
        <v>#N/A</v>
      </c>
      <c r="AO524" s="1213" t="e">
        <f t="shared" ca="1" si="373"/>
        <v>#N/A</v>
      </c>
      <c r="AP524" s="1587">
        <f t="shared" si="374"/>
        <v>0</v>
      </c>
      <c r="AS524" s="1212" t="e">
        <f t="shared" ca="1" si="375"/>
        <v>#N/A</v>
      </c>
      <c r="AT524" s="1213" t="e">
        <f t="shared" ca="1" si="376"/>
        <v>#N/A</v>
      </c>
      <c r="AU524" s="1587">
        <f t="shared" si="377"/>
        <v>0</v>
      </c>
      <c r="AX524" s="1212" t="e">
        <f t="shared" ca="1" si="378"/>
        <v>#N/A</v>
      </c>
      <c r="AY524" s="1213" t="e">
        <f t="shared" ca="1" si="379"/>
        <v>#N/A</v>
      </c>
      <c r="AZ524" s="1587">
        <f t="shared" si="380"/>
        <v>0</v>
      </c>
      <c r="BC524" s="1212" t="e">
        <f t="shared" ca="1" si="381"/>
        <v>#N/A</v>
      </c>
      <c r="BD524" s="1213" t="e">
        <f t="shared" ca="1" si="382"/>
        <v>#N/A</v>
      </c>
      <c r="BE524" s="1587">
        <f t="shared" si="383"/>
        <v>0</v>
      </c>
      <c r="BH524" s="1212" t="e">
        <f t="shared" ca="1" si="384"/>
        <v>#N/A</v>
      </c>
      <c r="BI524" s="1213" t="e">
        <f t="shared" ca="1" si="385"/>
        <v>#N/A</v>
      </c>
      <c r="BJ524" s="1587">
        <f t="shared" si="386"/>
        <v>0</v>
      </c>
      <c r="BM524" s="1212" t="e">
        <f t="shared" ca="1" si="387"/>
        <v>#N/A</v>
      </c>
      <c r="BN524" s="1213" t="e">
        <f t="shared" ca="1" si="388"/>
        <v>#N/A</v>
      </c>
      <c r="BO524" s="1587">
        <f t="shared" si="389"/>
        <v>0</v>
      </c>
      <c r="BR524" s="1212" t="e">
        <f t="shared" ca="1" si="390"/>
        <v>#N/A</v>
      </c>
      <c r="BS524" s="1213" t="e">
        <f t="shared" ca="1" si="391"/>
        <v>#N/A</v>
      </c>
      <c r="BT524" s="1587">
        <f t="shared" si="392"/>
        <v>0</v>
      </c>
      <c r="BW524" s="1212" t="e">
        <f t="shared" ca="1" si="393"/>
        <v>#N/A</v>
      </c>
      <c r="BX524" s="1213" t="e">
        <f t="shared" ca="1" si="394"/>
        <v>#N/A</v>
      </c>
      <c r="BY524" s="1587">
        <f t="shared" si="395"/>
        <v>0</v>
      </c>
      <c r="CB524" s="1212" t="e">
        <f t="shared" ca="1" si="396"/>
        <v>#N/A</v>
      </c>
      <c r="CC524" s="1213" t="e">
        <f t="shared" ca="1" si="397"/>
        <v>#N/A</v>
      </c>
      <c r="CD524" s="1587">
        <f t="shared" si="398"/>
        <v>0</v>
      </c>
      <c r="CG524" s="1212" t="e">
        <f t="shared" ca="1" si="399"/>
        <v>#N/A</v>
      </c>
      <c r="CH524" s="1213" t="e">
        <f t="shared" ca="1" si="400"/>
        <v>#N/A</v>
      </c>
      <c r="CI524" s="1587">
        <f t="shared" si="401"/>
        <v>0</v>
      </c>
      <c r="CL524" s="1212" t="e">
        <f t="shared" ca="1" si="402"/>
        <v>#N/A</v>
      </c>
      <c r="CM524" s="1213" t="e">
        <f t="shared" ca="1" si="403"/>
        <v>#N/A</v>
      </c>
      <c r="CN524" s="1587">
        <f t="shared" si="404"/>
        <v>0</v>
      </c>
    </row>
    <row r="525" spans="1:92">
      <c r="A525" s="141">
        <f>'銀行-TSS'!A525</f>
        <v>0</v>
      </c>
      <c r="B525" s="151">
        <f ca="1">VLOOKUP(A525,'銀行-TSS'!A:B,2,FALSE)</f>
        <v>0</v>
      </c>
      <c r="C525" s="151" t="e">
        <f ca="1">VLOOKUP(B525,bond!B:C,2,FALSE)</f>
        <v>#N/A</v>
      </c>
      <c r="D525" s="95" t="e">
        <f>VLOOKUP(A525,'銀行-TSS'!A:C,3,FALSE)</f>
        <v>#N/A</v>
      </c>
      <c r="E525" s="90" t="e">
        <f ca="1">VLOOKUP(A525,'銀行-TSS'!A:G,7,FALSE)</f>
        <v>#N/A</v>
      </c>
      <c r="F525" s="202" t="e">
        <f ca="1">VLOOKUP(A525,'銀行-TSS'!A:H,8,FALSE)</f>
        <v>#N/A</v>
      </c>
      <c r="G525" s="96" t="e">
        <f ca="1">VLOOKUP(A525,'銀行-TSS'!A:K,11,FALSE)</f>
        <v>#N/A</v>
      </c>
      <c r="H525" s="1209" t="e">
        <f ca="1">VLOOKUP(A525,'銀行-TSS'!A:M,13,FALSE)</f>
        <v>#N/A</v>
      </c>
      <c r="I525" s="1213" t="e">
        <f ca="1">VLOOKUP(A525,'銀行-TSS'!A:N,14,FALSE)</f>
        <v>#N/A</v>
      </c>
      <c r="J525" s="1213" t="e">
        <f ca="1">VLOOKUP(A525,'銀行-TSS'!A:O,15,FALSE)</f>
        <v>#N/A</v>
      </c>
      <c r="K525" s="136" t="e">
        <f ca="1">VLOOKUP(A525,'銀行-TSS'!A:V,22,FALSE)</f>
        <v>#N/A</v>
      </c>
      <c r="L525" s="136" t="e">
        <f ca="1">VLOOKUP(A525,'銀行-TSS'!A:AK,37,FALSE)</f>
        <v>#N/A</v>
      </c>
      <c r="M525" s="136" t="str">
        <f ca="1">VLOOKUP(A525,'銀行-TSS'!A:AN,40,FALSE)</f>
        <v/>
      </c>
      <c r="N525" s="136" t="e">
        <f t="shared" ca="1" si="360"/>
        <v>#N/A</v>
      </c>
      <c r="O525" s="1213" t="e">
        <f t="shared" ca="1" si="361"/>
        <v>#N/A</v>
      </c>
      <c r="P525" s="1213" t="e">
        <f ca="1">IF(AND($O$1&gt;=O525,換券單檔!$D$13=D525),I525+INT(($O$1-O525)/N525)*J525,0)</f>
        <v>#N/A</v>
      </c>
      <c r="Q525" s="1213" t="e">
        <f t="shared" ca="1" si="362"/>
        <v>#N/A</v>
      </c>
      <c r="R525" s="1213">
        <f t="shared" si="363"/>
        <v>0</v>
      </c>
      <c r="S525" s="1213">
        <f t="shared" si="364"/>
        <v>0</v>
      </c>
      <c r="T525" s="136">
        <f>IF(OR(R525=0,A525=0),0,IF(AND(V525=TRUE,換券單檔!$D$13=D525),E525,0))</f>
        <v>0</v>
      </c>
      <c r="U525" s="861">
        <f>IF(OR(R525=0,A525=0),0,IF(AND(V525=TRUE,換券單檔!$D$13=D525),H525,0))</f>
        <v>0</v>
      </c>
      <c r="V525" s="136" t="e">
        <f ca="1">IF(OR(B525=換券單檔!$D$3,L525="無",M525&lt;&gt;"",K525="高資產",IFERROR(MATCH(B525,換券單檔!K:K,0),"N")&lt;&gt;"N"),FALSE,IF($V$1="All",TRUE,IF(K525=$V$1,TRUE,FALSE)))</f>
        <v>#N/A</v>
      </c>
      <c r="W525" s="136" t="e">
        <f ca="1">VLOOKUP(A525,'銀行-TSS'!A:AO,41,FALSE)</f>
        <v>#N/A</v>
      </c>
      <c r="X525" s="136" t="e">
        <f ca="1">VLOOKUP(A525,'銀行-TSS'!A:AP,42,FALSE)</f>
        <v>#N/A</v>
      </c>
      <c r="Y525" s="1220">
        <f t="shared" si="365"/>
        <v>0</v>
      </c>
      <c r="Z525" s="1220">
        <f t="shared" si="366"/>
        <v>0</v>
      </c>
      <c r="AA525" s="136">
        <f>IF(Z525&lt;=0,0,RANK(Z525,Z:Z)+COUNTIF($Z$3:$Z525,Z525)-1)</f>
        <v>0</v>
      </c>
      <c r="AB525" s="1211">
        <f t="shared" ca="1" si="367"/>
        <v>-14896.14</v>
      </c>
      <c r="AC525" s="136">
        <f ca="1">IF(AB525&lt;=0,0,RANK(AB525,AB:AB)+COUNTIF($AB$3:$AB525,AB525)-1)</f>
        <v>0</v>
      </c>
      <c r="AD525" s="1123">
        <f t="shared" si="368"/>
        <v>99999</v>
      </c>
      <c r="AE525" s="1123">
        <f>IF(AD525=99999,0,RANK(AD525,AD:AD,1)+COUNTIF($AD$3:$AD525,AD525)-1)</f>
        <v>0</v>
      </c>
      <c r="AF525" s="86" t="e">
        <f ca="1">IF(OR(M525&lt;&gt;"",L525="無",K525="高資產",IFERROR(MATCH(B525,換券單檔!K:K,0),"N")&lt;&gt;"N"),FALSE,TRUE)</f>
        <v>#N/A</v>
      </c>
      <c r="AI525" s="1212" t="e">
        <f t="shared" ca="1" si="369"/>
        <v>#N/A</v>
      </c>
      <c r="AJ525" s="1213" t="e">
        <f t="shared" ca="1" si="370"/>
        <v>#N/A</v>
      </c>
      <c r="AK525" s="1587">
        <f t="shared" si="371"/>
        <v>0</v>
      </c>
      <c r="AN525" s="1212" t="e">
        <f t="shared" ca="1" si="372"/>
        <v>#N/A</v>
      </c>
      <c r="AO525" s="1213" t="e">
        <f t="shared" ca="1" si="373"/>
        <v>#N/A</v>
      </c>
      <c r="AP525" s="1587">
        <f t="shared" si="374"/>
        <v>0</v>
      </c>
      <c r="AS525" s="1212" t="e">
        <f t="shared" ca="1" si="375"/>
        <v>#N/A</v>
      </c>
      <c r="AT525" s="1213" t="e">
        <f t="shared" ca="1" si="376"/>
        <v>#N/A</v>
      </c>
      <c r="AU525" s="1587">
        <f t="shared" si="377"/>
        <v>0</v>
      </c>
      <c r="AX525" s="1212" t="e">
        <f t="shared" ca="1" si="378"/>
        <v>#N/A</v>
      </c>
      <c r="AY525" s="1213" t="e">
        <f t="shared" ca="1" si="379"/>
        <v>#N/A</v>
      </c>
      <c r="AZ525" s="1587">
        <f t="shared" si="380"/>
        <v>0</v>
      </c>
      <c r="BC525" s="1212" t="e">
        <f t="shared" ca="1" si="381"/>
        <v>#N/A</v>
      </c>
      <c r="BD525" s="1213" t="e">
        <f t="shared" ca="1" si="382"/>
        <v>#N/A</v>
      </c>
      <c r="BE525" s="1587">
        <f t="shared" si="383"/>
        <v>0</v>
      </c>
      <c r="BH525" s="1212" t="e">
        <f t="shared" ca="1" si="384"/>
        <v>#N/A</v>
      </c>
      <c r="BI525" s="1213" t="e">
        <f t="shared" ca="1" si="385"/>
        <v>#N/A</v>
      </c>
      <c r="BJ525" s="1587">
        <f t="shared" si="386"/>
        <v>0</v>
      </c>
      <c r="BM525" s="1212" t="e">
        <f t="shared" ca="1" si="387"/>
        <v>#N/A</v>
      </c>
      <c r="BN525" s="1213" t="e">
        <f t="shared" ca="1" si="388"/>
        <v>#N/A</v>
      </c>
      <c r="BO525" s="1587">
        <f t="shared" si="389"/>
        <v>0</v>
      </c>
      <c r="BR525" s="1212" t="e">
        <f t="shared" ca="1" si="390"/>
        <v>#N/A</v>
      </c>
      <c r="BS525" s="1213" t="e">
        <f t="shared" ca="1" si="391"/>
        <v>#N/A</v>
      </c>
      <c r="BT525" s="1587">
        <f t="shared" si="392"/>
        <v>0</v>
      </c>
      <c r="BW525" s="1212" t="e">
        <f t="shared" ca="1" si="393"/>
        <v>#N/A</v>
      </c>
      <c r="BX525" s="1213" t="e">
        <f t="shared" ca="1" si="394"/>
        <v>#N/A</v>
      </c>
      <c r="BY525" s="1587">
        <f t="shared" si="395"/>
        <v>0</v>
      </c>
      <c r="CB525" s="1212" t="e">
        <f t="shared" ca="1" si="396"/>
        <v>#N/A</v>
      </c>
      <c r="CC525" s="1213" t="e">
        <f t="shared" ca="1" si="397"/>
        <v>#N/A</v>
      </c>
      <c r="CD525" s="1587">
        <f t="shared" si="398"/>
        <v>0</v>
      </c>
      <c r="CG525" s="1212" t="e">
        <f t="shared" ca="1" si="399"/>
        <v>#N/A</v>
      </c>
      <c r="CH525" s="1213" t="e">
        <f t="shared" ca="1" si="400"/>
        <v>#N/A</v>
      </c>
      <c r="CI525" s="1587">
        <f t="shared" si="401"/>
        <v>0</v>
      </c>
      <c r="CL525" s="1212" t="e">
        <f t="shared" ca="1" si="402"/>
        <v>#N/A</v>
      </c>
      <c r="CM525" s="1213" t="e">
        <f t="shared" ca="1" si="403"/>
        <v>#N/A</v>
      </c>
      <c r="CN525" s="1587">
        <f t="shared" si="404"/>
        <v>0</v>
      </c>
    </row>
    <row r="526" spans="1:92">
      <c r="A526" s="141">
        <f>'銀行-TSS'!A526</f>
        <v>0</v>
      </c>
      <c r="B526" s="151">
        <f ca="1">VLOOKUP(A526,'銀行-TSS'!A:B,2,FALSE)</f>
        <v>0</v>
      </c>
      <c r="C526" s="151" t="e">
        <f ca="1">VLOOKUP(B526,bond!B:C,2,FALSE)</f>
        <v>#N/A</v>
      </c>
      <c r="D526" s="95" t="e">
        <f>VLOOKUP(A526,'銀行-TSS'!A:C,3,FALSE)</f>
        <v>#N/A</v>
      </c>
      <c r="E526" s="90" t="e">
        <f ca="1">VLOOKUP(A526,'銀行-TSS'!A:G,7,FALSE)</f>
        <v>#N/A</v>
      </c>
      <c r="F526" s="202" t="e">
        <f ca="1">VLOOKUP(A526,'銀行-TSS'!A:H,8,FALSE)</f>
        <v>#N/A</v>
      </c>
      <c r="G526" s="96" t="e">
        <f ca="1">VLOOKUP(A526,'銀行-TSS'!A:K,11,FALSE)</f>
        <v>#N/A</v>
      </c>
      <c r="H526" s="1209" t="e">
        <f ca="1">VLOOKUP(A526,'銀行-TSS'!A:M,13,FALSE)</f>
        <v>#N/A</v>
      </c>
      <c r="I526" s="1213" t="e">
        <f ca="1">VLOOKUP(A526,'銀行-TSS'!A:N,14,FALSE)</f>
        <v>#N/A</v>
      </c>
      <c r="J526" s="1213" t="e">
        <f ca="1">VLOOKUP(A526,'銀行-TSS'!A:O,15,FALSE)</f>
        <v>#N/A</v>
      </c>
      <c r="K526" s="136" t="e">
        <f ca="1">VLOOKUP(A526,'銀行-TSS'!A:V,22,FALSE)</f>
        <v>#N/A</v>
      </c>
      <c r="L526" s="136" t="e">
        <f ca="1">VLOOKUP(A526,'銀行-TSS'!A:AK,37,FALSE)</f>
        <v>#N/A</v>
      </c>
      <c r="M526" s="136" t="str">
        <f ca="1">VLOOKUP(A526,'銀行-TSS'!A:AN,40,FALSE)</f>
        <v/>
      </c>
      <c r="N526" s="136" t="e">
        <f t="shared" ca="1" si="360"/>
        <v>#N/A</v>
      </c>
      <c r="O526" s="1213" t="e">
        <f t="shared" ca="1" si="361"/>
        <v>#N/A</v>
      </c>
      <c r="P526" s="1213" t="e">
        <f ca="1">IF(AND($O$1&gt;=O526,換券單檔!$D$13=D526),I526+INT(($O$1-O526)/N526)*J526,0)</f>
        <v>#N/A</v>
      </c>
      <c r="Q526" s="1213" t="e">
        <f t="shared" ca="1" si="362"/>
        <v>#N/A</v>
      </c>
      <c r="R526" s="1213">
        <f t="shared" si="363"/>
        <v>0</v>
      </c>
      <c r="S526" s="1213">
        <f t="shared" si="364"/>
        <v>0</v>
      </c>
      <c r="T526" s="136">
        <f>IF(OR(R526=0,A526=0),0,IF(AND(V526=TRUE,換券單檔!$D$13=D526),E526,0))</f>
        <v>0</v>
      </c>
      <c r="U526" s="861">
        <f>IF(OR(R526=0,A526=0),0,IF(AND(V526=TRUE,換券單檔!$D$13=D526),H526,0))</f>
        <v>0</v>
      </c>
      <c r="V526" s="136" t="e">
        <f ca="1">IF(OR(B526=換券單檔!$D$3,L526="無",M526&lt;&gt;"",K526="高資產",IFERROR(MATCH(B526,換券單檔!K:K,0),"N")&lt;&gt;"N"),FALSE,IF($V$1="All",TRUE,IF(K526=$V$1,TRUE,FALSE)))</f>
        <v>#N/A</v>
      </c>
      <c r="W526" s="136" t="e">
        <f ca="1">VLOOKUP(A526,'銀行-TSS'!A:AO,41,FALSE)</f>
        <v>#N/A</v>
      </c>
      <c r="X526" s="136" t="e">
        <f ca="1">VLOOKUP(A526,'銀行-TSS'!A:AP,42,FALSE)</f>
        <v>#N/A</v>
      </c>
      <c r="Y526" s="1220">
        <f t="shared" si="365"/>
        <v>0</v>
      </c>
      <c r="Z526" s="1220">
        <f t="shared" si="366"/>
        <v>0</v>
      </c>
      <c r="AA526" s="136">
        <f>IF(Z526&lt;=0,0,RANK(Z526,Z:Z)+COUNTIF($Z$3:$Z526,Z526)-1)</f>
        <v>0</v>
      </c>
      <c r="AB526" s="1211">
        <f t="shared" ca="1" si="367"/>
        <v>-14896.14</v>
      </c>
      <c r="AC526" s="136">
        <f ca="1">IF(AB526&lt;=0,0,RANK(AB526,AB:AB)+COUNTIF($AB$3:$AB526,AB526)-1)</f>
        <v>0</v>
      </c>
      <c r="AD526" s="1123">
        <f t="shared" si="368"/>
        <v>99999</v>
      </c>
      <c r="AE526" s="1123">
        <f>IF(AD526=99999,0,RANK(AD526,AD:AD,1)+COUNTIF($AD$3:$AD526,AD526)-1)</f>
        <v>0</v>
      </c>
      <c r="AF526" s="86" t="e">
        <f ca="1">IF(OR(M526&lt;&gt;"",L526="無",K526="高資產",IFERROR(MATCH(B526,換券單檔!K:K,0),"N")&lt;&gt;"N"),FALSE,TRUE)</f>
        <v>#N/A</v>
      </c>
      <c r="AI526" s="1212" t="e">
        <f t="shared" ca="1" si="369"/>
        <v>#N/A</v>
      </c>
      <c r="AJ526" s="1213" t="e">
        <f t="shared" ca="1" si="370"/>
        <v>#N/A</v>
      </c>
      <c r="AK526" s="1587">
        <f t="shared" si="371"/>
        <v>0</v>
      </c>
      <c r="AN526" s="1212" t="e">
        <f t="shared" ca="1" si="372"/>
        <v>#N/A</v>
      </c>
      <c r="AO526" s="1213" t="e">
        <f t="shared" ca="1" si="373"/>
        <v>#N/A</v>
      </c>
      <c r="AP526" s="1587">
        <f t="shared" si="374"/>
        <v>0</v>
      </c>
      <c r="AS526" s="1212" t="e">
        <f t="shared" ca="1" si="375"/>
        <v>#N/A</v>
      </c>
      <c r="AT526" s="1213" t="e">
        <f t="shared" ca="1" si="376"/>
        <v>#N/A</v>
      </c>
      <c r="AU526" s="1587">
        <f t="shared" si="377"/>
        <v>0</v>
      </c>
      <c r="AX526" s="1212" t="e">
        <f t="shared" ca="1" si="378"/>
        <v>#N/A</v>
      </c>
      <c r="AY526" s="1213" t="e">
        <f t="shared" ca="1" si="379"/>
        <v>#N/A</v>
      </c>
      <c r="AZ526" s="1587">
        <f t="shared" si="380"/>
        <v>0</v>
      </c>
      <c r="BC526" s="1212" t="e">
        <f t="shared" ca="1" si="381"/>
        <v>#N/A</v>
      </c>
      <c r="BD526" s="1213" t="e">
        <f t="shared" ca="1" si="382"/>
        <v>#N/A</v>
      </c>
      <c r="BE526" s="1587">
        <f t="shared" si="383"/>
        <v>0</v>
      </c>
      <c r="BH526" s="1212" t="e">
        <f t="shared" ca="1" si="384"/>
        <v>#N/A</v>
      </c>
      <c r="BI526" s="1213" t="e">
        <f t="shared" ca="1" si="385"/>
        <v>#N/A</v>
      </c>
      <c r="BJ526" s="1587">
        <f t="shared" si="386"/>
        <v>0</v>
      </c>
      <c r="BM526" s="1212" t="e">
        <f t="shared" ca="1" si="387"/>
        <v>#N/A</v>
      </c>
      <c r="BN526" s="1213" t="e">
        <f t="shared" ca="1" si="388"/>
        <v>#N/A</v>
      </c>
      <c r="BO526" s="1587">
        <f t="shared" si="389"/>
        <v>0</v>
      </c>
      <c r="BR526" s="1212" t="e">
        <f t="shared" ca="1" si="390"/>
        <v>#N/A</v>
      </c>
      <c r="BS526" s="1213" t="e">
        <f t="shared" ca="1" si="391"/>
        <v>#N/A</v>
      </c>
      <c r="BT526" s="1587">
        <f t="shared" si="392"/>
        <v>0</v>
      </c>
      <c r="BW526" s="1212" t="e">
        <f t="shared" ca="1" si="393"/>
        <v>#N/A</v>
      </c>
      <c r="BX526" s="1213" t="e">
        <f t="shared" ca="1" si="394"/>
        <v>#N/A</v>
      </c>
      <c r="BY526" s="1587">
        <f t="shared" si="395"/>
        <v>0</v>
      </c>
      <c r="CB526" s="1212" t="e">
        <f t="shared" ca="1" si="396"/>
        <v>#N/A</v>
      </c>
      <c r="CC526" s="1213" t="e">
        <f t="shared" ca="1" si="397"/>
        <v>#N/A</v>
      </c>
      <c r="CD526" s="1587">
        <f t="shared" si="398"/>
        <v>0</v>
      </c>
      <c r="CG526" s="1212" t="e">
        <f t="shared" ca="1" si="399"/>
        <v>#N/A</v>
      </c>
      <c r="CH526" s="1213" t="e">
        <f t="shared" ca="1" si="400"/>
        <v>#N/A</v>
      </c>
      <c r="CI526" s="1587">
        <f t="shared" si="401"/>
        <v>0</v>
      </c>
      <c r="CL526" s="1212" t="e">
        <f t="shared" ca="1" si="402"/>
        <v>#N/A</v>
      </c>
      <c r="CM526" s="1213" t="e">
        <f t="shared" ca="1" si="403"/>
        <v>#N/A</v>
      </c>
      <c r="CN526" s="1587">
        <f t="shared" si="404"/>
        <v>0</v>
      </c>
    </row>
    <row r="527" spans="1:92">
      <c r="A527" s="141">
        <f>'銀行-TSS'!A527</f>
        <v>0</v>
      </c>
      <c r="B527" s="151">
        <f ca="1">VLOOKUP(A527,'銀行-TSS'!A:B,2,FALSE)</f>
        <v>0</v>
      </c>
      <c r="C527" s="151" t="e">
        <f ca="1">VLOOKUP(B527,bond!B:C,2,FALSE)</f>
        <v>#N/A</v>
      </c>
      <c r="D527" s="95" t="e">
        <f>VLOOKUP(A527,'銀行-TSS'!A:C,3,FALSE)</f>
        <v>#N/A</v>
      </c>
      <c r="E527" s="90" t="e">
        <f ca="1">VLOOKUP(A527,'銀行-TSS'!A:G,7,FALSE)</f>
        <v>#N/A</v>
      </c>
      <c r="F527" s="202" t="e">
        <f ca="1">VLOOKUP(A527,'銀行-TSS'!A:H,8,FALSE)</f>
        <v>#N/A</v>
      </c>
      <c r="G527" s="96" t="e">
        <f ca="1">VLOOKUP(A527,'銀行-TSS'!A:K,11,FALSE)</f>
        <v>#N/A</v>
      </c>
      <c r="H527" s="1209" t="e">
        <f ca="1">VLOOKUP(A527,'銀行-TSS'!A:M,13,FALSE)</f>
        <v>#N/A</v>
      </c>
      <c r="I527" s="1213" t="e">
        <f ca="1">VLOOKUP(A527,'銀行-TSS'!A:N,14,FALSE)</f>
        <v>#N/A</v>
      </c>
      <c r="J527" s="1213" t="e">
        <f ca="1">VLOOKUP(A527,'銀行-TSS'!A:O,15,FALSE)</f>
        <v>#N/A</v>
      </c>
      <c r="K527" s="136" t="e">
        <f ca="1">VLOOKUP(A527,'銀行-TSS'!A:V,22,FALSE)</f>
        <v>#N/A</v>
      </c>
      <c r="L527" s="136" t="e">
        <f ca="1">VLOOKUP(A527,'銀行-TSS'!A:AK,37,FALSE)</f>
        <v>#N/A</v>
      </c>
      <c r="M527" s="136" t="str">
        <f ca="1">VLOOKUP(A527,'銀行-TSS'!A:AN,40,FALSE)</f>
        <v/>
      </c>
      <c r="N527" s="136" t="e">
        <f t="shared" ca="1" si="360"/>
        <v>#N/A</v>
      </c>
      <c r="O527" s="1213" t="e">
        <f t="shared" ca="1" si="361"/>
        <v>#N/A</v>
      </c>
      <c r="P527" s="1213" t="e">
        <f ca="1">IF(AND($O$1&gt;=O527,換券單檔!$D$13=D527),I527+INT(($O$1-O527)/N527)*J527,0)</f>
        <v>#N/A</v>
      </c>
      <c r="Q527" s="1213" t="e">
        <f t="shared" ca="1" si="362"/>
        <v>#N/A</v>
      </c>
      <c r="R527" s="1213">
        <f t="shared" si="363"/>
        <v>0</v>
      </c>
      <c r="S527" s="1213">
        <f t="shared" si="364"/>
        <v>0</v>
      </c>
      <c r="T527" s="136">
        <f>IF(OR(R527=0,A527=0),0,IF(AND(V527=TRUE,換券單檔!$D$13=D527),E527,0))</f>
        <v>0</v>
      </c>
      <c r="U527" s="861">
        <f>IF(OR(R527=0,A527=0),0,IF(AND(V527=TRUE,換券單檔!$D$13=D527),H527,0))</f>
        <v>0</v>
      </c>
      <c r="V527" s="136" t="e">
        <f ca="1">IF(OR(B527=換券單檔!$D$3,L527="無",M527&lt;&gt;"",K527="高資產",IFERROR(MATCH(B527,換券單檔!K:K,0),"N")&lt;&gt;"N"),FALSE,IF($V$1="All",TRUE,IF(K527=$V$1,TRUE,FALSE)))</f>
        <v>#N/A</v>
      </c>
      <c r="W527" s="136" t="e">
        <f ca="1">VLOOKUP(A527,'銀行-TSS'!A:AO,41,FALSE)</f>
        <v>#N/A</v>
      </c>
      <c r="X527" s="136" t="e">
        <f ca="1">VLOOKUP(A527,'銀行-TSS'!A:AP,42,FALSE)</f>
        <v>#N/A</v>
      </c>
      <c r="Y527" s="1220">
        <f t="shared" si="365"/>
        <v>0</v>
      </c>
      <c r="Z527" s="1220">
        <f t="shared" si="366"/>
        <v>0</v>
      </c>
      <c r="AA527" s="136">
        <f>IF(Z527&lt;=0,0,RANK(Z527,Z:Z)+COUNTIF($Z$3:$Z527,Z527)-1)</f>
        <v>0</v>
      </c>
      <c r="AB527" s="1211">
        <f t="shared" ca="1" si="367"/>
        <v>-14896.14</v>
      </c>
      <c r="AC527" s="136">
        <f ca="1">IF(AB527&lt;=0,0,RANK(AB527,AB:AB)+COUNTIF($AB$3:$AB527,AB527)-1)</f>
        <v>0</v>
      </c>
      <c r="AD527" s="1123">
        <f t="shared" si="368"/>
        <v>99999</v>
      </c>
      <c r="AE527" s="1123">
        <f>IF(AD527=99999,0,RANK(AD527,AD:AD,1)+COUNTIF($AD$3:$AD527,AD527)-1)</f>
        <v>0</v>
      </c>
      <c r="AF527" s="86" t="e">
        <f ca="1">IF(OR(M527&lt;&gt;"",L527="無",K527="高資產",IFERROR(MATCH(B527,換券單檔!K:K,0),"N")&lt;&gt;"N"),FALSE,TRUE)</f>
        <v>#N/A</v>
      </c>
      <c r="AI527" s="1212" t="e">
        <f t="shared" ca="1" si="369"/>
        <v>#N/A</v>
      </c>
      <c r="AJ527" s="1213" t="e">
        <f t="shared" ca="1" si="370"/>
        <v>#N/A</v>
      </c>
      <c r="AK527" s="1587">
        <f t="shared" si="371"/>
        <v>0</v>
      </c>
      <c r="AN527" s="1212" t="e">
        <f t="shared" ca="1" si="372"/>
        <v>#N/A</v>
      </c>
      <c r="AO527" s="1213" t="e">
        <f t="shared" ca="1" si="373"/>
        <v>#N/A</v>
      </c>
      <c r="AP527" s="1587">
        <f t="shared" si="374"/>
        <v>0</v>
      </c>
      <c r="AS527" s="1212" t="e">
        <f t="shared" ca="1" si="375"/>
        <v>#N/A</v>
      </c>
      <c r="AT527" s="1213" t="e">
        <f t="shared" ca="1" si="376"/>
        <v>#N/A</v>
      </c>
      <c r="AU527" s="1587">
        <f t="shared" si="377"/>
        <v>0</v>
      </c>
      <c r="AX527" s="1212" t="e">
        <f t="shared" ca="1" si="378"/>
        <v>#N/A</v>
      </c>
      <c r="AY527" s="1213" t="e">
        <f t="shared" ca="1" si="379"/>
        <v>#N/A</v>
      </c>
      <c r="AZ527" s="1587">
        <f t="shared" si="380"/>
        <v>0</v>
      </c>
      <c r="BC527" s="1212" t="e">
        <f t="shared" ca="1" si="381"/>
        <v>#N/A</v>
      </c>
      <c r="BD527" s="1213" t="e">
        <f t="shared" ca="1" si="382"/>
        <v>#N/A</v>
      </c>
      <c r="BE527" s="1587">
        <f t="shared" si="383"/>
        <v>0</v>
      </c>
      <c r="BH527" s="1212" t="e">
        <f t="shared" ca="1" si="384"/>
        <v>#N/A</v>
      </c>
      <c r="BI527" s="1213" t="e">
        <f t="shared" ca="1" si="385"/>
        <v>#N/A</v>
      </c>
      <c r="BJ527" s="1587">
        <f t="shared" si="386"/>
        <v>0</v>
      </c>
      <c r="BM527" s="1212" t="e">
        <f t="shared" ca="1" si="387"/>
        <v>#N/A</v>
      </c>
      <c r="BN527" s="1213" t="e">
        <f t="shared" ca="1" si="388"/>
        <v>#N/A</v>
      </c>
      <c r="BO527" s="1587">
        <f t="shared" si="389"/>
        <v>0</v>
      </c>
      <c r="BR527" s="1212" t="e">
        <f t="shared" ca="1" si="390"/>
        <v>#N/A</v>
      </c>
      <c r="BS527" s="1213" t="e">
        <f t="shared" ca="1" si="391"/>
        <v>#N/A</v>
      </c>
      <c r="BT527" s="1587">
        <f t="shared" si="392"/>
        <v>0</v>
      </c>
      <c r="BW527" s="1212" t="e">
        <f t="shared" ca="1" si="393"/>
        <v>#N/A</v>
      </c>
      <c r="BX527" s="1213" t="e">
        <f t="shared" ca="1" si="394"/>
        <v>#N/A</v>
      </c>
      <c r="BY527" s="1587">
        <f t="shared" si="395"/>
        <v>0</v>
      </c>
      <c r="CB527" s="1212" t="e">
        <f t="shared" ca="1" si="396"/>
        <v>#N/A</v>
      </c>
      <c r="CC527" s="1213" t="e">
        <f t="shared" ca="1" si="397"/>
        <v>#N/A</v>
      </c>
      <c r="CD527" s="1587">
        <f t="shared" si="398"/>
        <v>0</v>
      </c>
      <c r="CG527" s="1212" t="e">
        <f t="shared" ca="1" si="399"/>
        <v>#N/A</v>
      </c>
      <c r="CH527" s="1213" t="e">
        <f t="shared" ca="1" si="400"/>
        <v>#N/A</v>
      </c>
      <c r="CI527" s="1587">
        <f t="shared" si="401"/>
        <v>0</v>
      </c>
      <c r="CL527" s="1212" t="e">
        <f t="shared" ca="1" si="402"/>
        <v>#N/A</v>
      </c>
      <c r="CM527" s="1213" t="e">
        <f t="shared" ca="1" si="403"/>
        <v>#N/A</v>
      </c>
      <c r="CN527" s="1587">
        <f t="shared" si="404"/>
        <v>0</v>
      </c>
    </row>
    <row r="528" spans="1:92">
      <c r="A528" s="141">
        <f>'銀行-TSS'!A528</f>
        <v>0</v>
      </c>
      <c r="B528" s="151">
        <f ca="1">VLOOKUP(A528,'銀行-TSS'!A:B,2,FALSE)</f>
        <v>0</v>
      </c>
      <c r="C528" s="151" t="e">
        <f ca="1">VLOOKUP(B528,bond!B:C,2,FALSE)</f>
        <v>#N/A</v>
      </c>
      <c r="D528" s="95" t="e">
        <f>VLOOKUP(A528,'銀行-TSS'!A:C,3,FALSE)</f>
        <v>#N/A</v>
      </c>
      <c r="E528" s="90" t="e">
        <f ca="1">VLOOKUP(A528,'銀行-TSS'!A:G,7,FALSE)</f>
        <v>#N/A</v>
      </c>
      <c r="F528" s="202" t="e">
        <f ca="1">VLOOKUP(A528,'銀行-TSS'!A:H,8,FALSE)</f>
        <v>#N/A</v>
      </c>
      <c r="G528" s="96" t="e">
        <f ca="1">VLOOKUP(A528,'銀行-TSS'!A:K,11,FALSE)</f>
        <v>#N/A</v>
      </c>
      <c r="H528" s="1209" t="e">
        <f ca="1">VLOOKUP(A528,'銀行-TSS'!A:M,13,FALSE)</f>
        <v>#N/A</v>
      </c>
      <c r="I528" s="1213" t="e">
        <f ca="1">VLOOKUP(A528,'銀行-TSS'!A:N,14,FALSE)</f>
        <v>#N/A</v>
      </c>
      <c r="J528" s="1213" t="e">
        <f ca="1">VLOOKUP(A528,'銀行-TSS'!A:O,15,FALSE)</f>
        <v>#N/A</v>
      </c>
      <c r="K528" s="136" t="e">
        <f ca="1">VLOOKUP(A528,'銀行-TSS'!A:V,22,FALSE)</f>
        <v>#N/A</v>
      </c>
      <c r="L528" s="136" t="e">
        <f ca="1">VLOOKUP(A528,'銀行-TSS'!A:AK,37,FALSE)</f>
        <v>#N/A</v>
      </c>
      <c r="M528" s="136" t="str">
        <f ca="1">VLOOKUP(A528,'銀行-TSS'!A:AN,40,FALSE)</f>
        <v/>
      </c>
      <c r="N528" s="136" t="e">
        <f t="shared" ca="1" si="360"/>
        <v>#N/A</v>
      </c>
      <c r="O528" s="1213" t="e">
        <f t="shared" ca="1" si="361"/>
        <v>#N/A</v>
      </c>
      <c r="P528" s="1213" t="e">
        <f ca="1">IF(AND($O$1&gt;=O528,換券單檔!$D$13=D528),I528+INT(($O$1-O528)/N528)*J528,0)</f>
        <v>#N/A</v>
      </c>
      <c r="Q528" s="1213" t="e">
        <f t="shared" ca="1" si="362"/>
        <v>#N/A</v>
      </c>
      <c r="R528" s="1213">
        <f t="shared" si="363"/>
        <v>0</v>
      </c>
      <c r="S528" s="1213">
        <f t="shared" si="364"/>
        <v>0</v>
      </c>
      <c r="T528" s="136">
        <f>IF(OR(R528=0,A528=0),0,IF(AND(V528=TRUE,換券單檔!$D$13=D528),E528,0))</f>
        <v>0</v>
      </c>
      <c r="U528" s="861">
        <f>IF(OR(R528=0,A528=0),0,IF(AND(V528=TRUE,換券單檔!$D$13=D528),H528,0))</f>
        <v>0</v>
      </c>
      <c r="V528" s="136" t="e">
        <f ca="1">IF(OR(B528=換券單檔!$D$3,L528="無",M528&lt;&gt;"",K528="高資產",IFERROR(MATCH(B528,換券單檔!K:K,0),"N")&lt;&gt;"N"),FALSE,IF($V$1="All",TRUE,IF(K528=$V$1,TRUE,FALSE)))</f>
        <v>#N/A</v>
      </c>
      <c r="W528" s="136" t="e">
        <f ca="1">VLOOKUP(A528,'銀行-TSS'!A:AO,41,FALSE)</f>
        <v>#N/A</v>
      </c>
      <c r="X528" s="136" t="e">
        <f ca="1">VLOOKUP(A528,'銀行-TSS'!A:AP,42,FALSE)</f>
        <v>#N/A</v>
      </c>
      <c r="Y528" s="1220">
        <f t="shared" si="365"/>
        <v>0</v>
      </c>
      <c r="Z528" s="1220">
        <f t="shared" si="366"/>
        <v>0</v>
      </c>
      <c r="AA528" s="136">
        <f>IF(Z528&lt;=0,0,RANK(Z528,Z:Z)+COUNTIF($Z$3:$Z528,Z528)-1)</f>
        <v>0</v>
      </c>
      <c r="AB528" s="1211">
        <f t="shared" ca="1" si="367"/>
        <v>-14896.14</v>
      </c>
      <c r="AC528" s="136">
        <f ca="1">IF(AB528&lt;=0,0,RANK(AB528,AB:AB)+COUNTIF($AB$3:$AB528,AB528)-1)</f>
        <v>0</v>
      </c>
      <c r="AD528" s="1123">
        <f t="shared" si="368"/>
        <v>99999</v>
      </c>
      <c r="AE528" s="1123">
        <f>IF(AD528=99999,0,RANK(AD528,AD:AD,1)+COUNTIF($AD$3:$AD528,AD528)-1)</f>
        <v>0</v>
      </c>
      <c r="AF528" s="86" t="e">
        <f ca="1">IF(OR(M528&lt;&gt;"",L528="無",K528="高資產",IFERROR(MATCH(B528,換券單檔!K:K,0),"N")&lt;&gt;"N"),FALSE,TRUE)</f>
        <v>#N/A</v>
      </c>
      <c r="AI528" s="1212" t="e">
        <f t="shared" ca="1" si="369"/>
        <v>#N/A</v>
      </c>
      <c r="AJ528" s="1213" t="e">
        <f t="shared" ca="1" si="370"/>
        <v>#N/A</v>
      </c>
      <c r="AK528" s="1587">
        <f t="shared" si="371"/>
        <v>0</v>
      </c>
      <c r="AN528" s="1212" t="e">
        <f t="shared" ca="1" si="372"/>
        <v>#N/A</v>
      </c>
      <c r="AO528" s="1213" t="e">
        <f t="shared" ca="1" si="373"/>
        <v>#N/A</v>
      </c>
      <c r="AP528" s="1587">
        <f t="shared" si="374"/>
        <v>0</v>
      </c>
      <c r="AS528" s="1212" t="e">
        <f t="shared" ca="1" si="375"/>
        <v>#N/A</v>
      </c>
      <c r="AT528" s="1213" t="e">
        <f t="shared" ca="1" si="376"/>
        <v>#N/A</v>
      </c>
      <c r="AU528" s="1587">
        <f t="shared" si="377"/>
        <v>0</v>
      </c>
      <c r="AX528" s="1212" t="e">
        <f t="shared" ca="1" si="378"/>
        <v>#N/A</v>
      </c>
      <c r="AY528" s="1213" t="e">
        <f t="shared" ca="1" si="379"/>
        <v>#N/A</v>
      </c>
      <c r="AZ528" s="1587">
        <f t="shared" si="380"/>
        <v>0</v>
      </c>
      <c r="BC528" s="1212" t="e">
        <f t="shared" ca="1" si="381"/>
        <v>#N/A</v>
      </c>
      <c r="BD528" s="1213" t="e">
        <f t="shared" ca="1" si="382"/>
        <v>#N/A</v>
      </c>
      <c r="BE528" s="1587">
        <f t="shared" si="383"/>
        <v>0</v>
      </c>
      <c r="BH528" s="1212" t="e">
        <f t="shared" ca="1" si="384"/>
        <v>#N/A</v>
      </c>
      <c r="BI528" s="1213" t="e">
        <f t="shared" ca="1" si="385"/>
        <v>#N/A</v>
      </c>
      <c r="BJ528" s="1587">
        <f t="shared" si="386"/>
        <v>0</v>
      </c>
      <c r="BM528" s="1212" t="e">
        <f t="shared" ca="1" si="387"/>
        <v>#N/A</v>
      </c>
      <c r="BN528" s="1213" t="e">
        <f t="shared" ca="1" si="388"/>
        <v>#N/A</v>
      </c>
      <c r="BO528" s="1587">
        <f t="shared" si="389"/>
        <v>0</v>
      </c>
      <c r="BR528" s="1212" t="e">
        <f t="shared" ca="1" si="390"/>
        <v>#N/A</v>
      </c>
      <c r="BS528" s="1213" t="e">
        <f t="shared" ca="1" si="391"/>
        <v>#N/A</v>
      </c>
      <c r="BT528" s="1587">
        <f t="shared" si="392"/>
        <v>0</v>
      </c>
      <c r="BW528" s="1212" t="e">
        <f t="shared" ca="1" si="393"/>
        <v>#N/A</v>
      </c>
      <c r="BX528" s="1213" t="e">
        <f t="shared" ca="1" si="394"/>
        <v>#N/A</v>
      </c>
      <c r="BY528" s="1587">
        <f t="shared" si="395"/>
        <v>0</v>
      </c>
      <c r="CB528" s="1212" t="e">
        <f t="shared" ca="1" si="396"/>
        <v>#N/A</v>
      </c>
      <c r="CC528" s="1213" t="e">
        <f t="shared" ca="1" si="397"/>
        <v>#N/A</v>
      </c>
      <c r="CD528" s="1587">
        <f t="shared" si="398"/>
        <v>0</v>
      </c>
      <c r="CG528" s="1212" t="e">
        <f t="shared" ca="1" si="399"/>
        <v>#N/A</v>
      </c>
      <c r="CH528" s="1213" t="e">
        <f t="shared" ca="1" si="400"/>
        <v>#N/A</v>
      </c>
      <c r="CI528" s="1587">
        <f t="shared" si="401"/>
        <v>0</v>
      </c>
      <c r="CL528" s="1212" t="e">
        <f t="shared" ca="1" si="402"/>
        <v>#N/A</v>
      </c>
      <c r="CM528" s="1213" t="e">
        <f t="shared" ca="1" si="403"/>
        <v>#N/A</v>
      </c>
      <c r="CN528" s="1587">
        <f t="shared" si="404"/>
        <v>0</v>
      </c>
    </row>
    <row r="529" spans="1:92">
      <c r="A529" s="141">
        <f>'銀行-TSS'!A529</f>
        <v>0</v>
      </c>
      <c r="B529" s="151">
        <f ca="1">VLOOKUP(A529,'銀行-TSS'!A:B,2,FALSE)</f>
        <v>0</v>
      </c>
      <c r="C529" s="151" t="e">
        <f ca="1">VLOOKUP(B529,bond!B:C,2,FALSE)</f>
        <v>#N/A</v>
      </c>
      <c r="D529" s="95" t="e">
        <f>VLOOKUP(A529,'銀行-TSS'!A:C,3,FALSE)</f>
        <v>#N/A</v>
      </c>
      <c r="E529" s="90" t="e">
        <f ca="1">VLOOKUP(A529,'銀行-TSS'!A:G,7,FALSE)</f>
        <v>#N/A</v>
      </c>
      <c r="F529" s="202" t="e">
        <f ca="1">VLOOKUP(A529,'銀行-TSS'!A:H,8,FALSE)</f>
        <v>#N/A</v>
      </c>
      <c r="G529" s="96" t="e">
        <f ca="1">VLOOKUP(A529,'銀行-TSS'!A:K,11,FALSE)</f>
        <v>#N/A</v>
      </c>
      <c r="H529" s="1209" t="e">
        <f ca="1">VLOOKUP(A529,'銀行-TSS'!A:M,13,FALSE)</f>
        <v>#N/A</v>
      </c>
      <c r="I529" s="1213" t="e">
        <f ca="1">VLOOKUP(A529,'銀行-TSS'!A:N,14,FALSE)</f>
        <v>#N/A</v>
      </c>
      <c r="J529" s="1213" t="e">
        <f ca="1">VLOOKUP(A529,'銀行-TSS'!A:O,15,FALSE)</f>
        <v>#N/A</v>
      </c>
      <c r="K529" s="136" t="e">
        <f ca="1">VLOOKUP(A529,'銀行-TSS'!A:V,22,FALSE)</f>
        <v>#N/A</v>
      </c>
      <c r="L529" s="136" t="e">
        <f ca="1">VLOOKUP(A529,'銀行-TSS'!A:AK,37,FALSE)</f>
        <v>#N/A</v>
      </c>
      <c r="M529" s="136" t="str">
        <f ca="1">VLOOKUP(A529,'銀行-TSS'!A:AN,40,FALSE)</f>
        <v/>
      </c>
      <c r="N529" s="136" t="e">
        <f t="shared" ca="1" si="360"/>
        <v>#N/A</v>
      </c>
      <c r="O529" s="1213" t="e">
        <f t="shared" ca="1" si="361"/>
        <v>#N/A</v>
      </c>
      <c r="P529" s="1213" t="e">
        <f ca="1">IF(AND($O$1&gt;=O529,換券單檔!$D$13=D529),I529+INT(($O$1-O529)/N529)*J529,0)</f>
        <v>#N/A</v>
      </c>
      <c r="Q529" s="1213" t="e">
        <f t="shared" ca="1" si="362"/>
        <v>#N/A</v>
      </c>
      <c r="R529" s="1213">
        <f t="shared" si="363"/>
        <v>0</v>
      </c>
      <c r="S529" s="1213">
        <f t="shared" si="364"/>
        <v>0</v>
      </c>
      <c r="T529" s="136">
        <f>IF(OR(R529=0,A529=0),0,IF(AND(V529=TRUE,換券單檔!$D$13=D529),E529,0))</f>
        <v>0</v>
      </c>
      <c r="U529" s="861">
        <f>IF(OR(R529=0,A529=0),0,IF(AND(V529=TRUE,換券單檔!$D$13=D529),H529,0))</f>
        <v>0</v>
      </c>
      <c r="V529" s="136" t="e">
        <f ca="1">IF(OR(B529=換券單檔!$D$3,L529="無",M529&lt;&gt;"",K529="高資產",IFERROR(MATCH(B529,換券單檔!K:K,0),"N")&lt;&gt;"N"),FALSE,IF($V$1="All",TRUE,IF(K529=$V$1,TRUE,FALSE)))</f>
        <v>#N/A</v>
      </c>
      <c r="W529" s="136" t="e">
        <f ca="1">VLOOKUP(A529,'銀行-TSS'!A:AO,41,FALSE)</f>
        <v>#N/A</v>
      </c>
      <c r="X529" s="136" t="e">
        <f ca="1">VLOOKUP(A529,'銀行-TSS'!A:AP,42,FALSE)</f>
        <v>#N/A</v>
      </c>
      <c r="Y529" s="1220">
        <f t="shared" si="365"/>
        <v>0</v>
      </c>
      <c r="Z529" s="1220">
        <f t="shared" si="366"/>
        <v>0</v>
      </c>
      <c r="AA529" s="136">
        <f>IF(Z529&lt;=0,0,RANK(Z529,Z:Z)+COUNTIF($Z$3:$Z529,Z529)-1)</f>
        <v>0</v>
      </c>
      <c r="AB529" s="1211">
        <f t="shared" ca="1" si="367"/>
        <v>-14896.14</v>
      </c>
      <c r="AC529" s="136">
        <f ca="1">IF(AB529&lt;=0,0,RANK(AB529,AB:AB)+COUNTIF($AB$3:$AB529,AB529)-1)</f>
        <v>0</v>
      </c>
      <c r="AD529" s="1123">
        <f t="shared" si="368"/>
        <v>99999</v>
      </c>
      <c r="AE529" s="1123">
        <f>IF(AD529=99999,0,RANK(AD529,AD:AD,1)+COUNTIF($AD$3:$AD529,AD529)-1)</f>
        <v>0</v>
      </c>
      <c r="AF529" s="86" t="e">
        <f ca="1">IF(OR(M529&lt;&gt;"",L529="無",K529="高資產",IFERROR(MATCH(B529,換券單檔!K:K,0),"N")&lt;&gt;"N"),FALSE,TRUE)</f>
        <v>#N/A</v>
      </c>
      <c r="AI529" s="1212" t="e">
        <f t="shared" ca="1" si="369"/>
        <v>#N/A</v>
      </c>
      <c r="AJ529" s="1213" t="e">
        <f t="shared" ca="1" si="370"/>
        <v>#N/A</v>
      </c>
      <c r="AK529" s="1587">
        <f t="shared" si="371"/>
        <v>0</v>
      </c>
      <c r="AN529" s="1212" t="e">
        <f t="shared" ca="1" si="372"/>
        <v>#N/A</v>
      </c>
      <c r="AO529" s="1213" t="e">
        <f t="shared" ca="1" si="373"/>
        <v>#N/A</v>
      </c>
      <c r="AP529" s="1587">
        <f t="shared" si="374"/>
        <v>0</v>
      </c>
      <c r="AS529" s="1212" t="e">
        <f t="shared" ca="1" si="375"/>
        <v>#N/A</v>
      </c>
      <c r="AT529" s="1213" t="e">
        <f t="shared" ca="1" si="376"/>
        <v>#N/A</v>
      </c>
      <c r="AU529" s="1587">
        <f t="shared" si="377"/>
        <v>0</v>
      </c>
      <c r="AX529" s="1212" t="e">
        <f t="shared" ca="1" si="378"/>
        <v>#N/A</v>
      </c>
      <c r="AY529" s="1213" t="e">
        <f t="shared" ca="1" si="379"/>
        <v>#N/A</v>
      </c>
      <c r="AZ529" s="1587">
        <f t="shared" si="380"/>
        <v>0</v>
      </c>
      <c r="BC529" s="1212" t="e">
        <f t="shared" ca="1" si="381"/>
        <v>#N/A</v>
      </c>
      <c r="BD529" s="1213" t="e">
        <f t="shared" ca="1" si="382"/>
        <v>#N/A</v>
      </c>
      <c r="BE529" s="1587">
        <f t="shared" si="383"/>
        <v>0</v>
      </c>
      <c r="BH529" s="1212" t="e">
        <f t="shared" ca="1" si="384"/>
        <v>#N/A</v>
      </c>
      <c r="BI529" s="1213" t="e">
        <f t="shared" ca="1" si="385"/>
        <v>#N/A</v>
      </c>
      <c r="BJ529" s="1587">
        <f t="shared" si="386"/>
        <v>0</v>
      </c>
      <c r="BM529" s="1212" t="e">
        <f t="shared" ca="1" si="387"/>
        <v>#N/A</v>
      </c>
      <c r="BN529" s="1213" t="e">
        <f t="shared" ca="1" si="388"/>
        <v>#N/A</v>
      </c>
      <c r="BO529" s="1587">
        <f t="shared" si="389"/>
        <v>0</v>
      </c>
      <c r="BR529" s="1212" t="e">
        <f t="shared" ca="1" si="390"/>
        <v>#N/A</v>
      </c>
      <c r="BS529" s="1213" t="e">
        <f t="shared" ca="1" si="391"/>
        <v>#N/A</v>
      </c>
      <c r="BT529" s="1587">
        <f t="shared" si="392"/>
        <v>0</v>
      </c>
      <c r="BW529" s="1212" t="e">
        <f t="shared" ca="1" si="393"/>
        <v>#N/A</v>
      </c>
      <c r="BX529" s="1213" t="e">
        <f t="shared" ca="1" si="394"/>
        <v>#N/A</v>
      </c>
      <c r="BY529" s="1587">
        <f t="shared" si="395"/>
        <v>0</v>
      </c>
      <c r="CB529" s="1212" t="e">
        <f t="shared" ca="1" si="396"/>
        <v>#N/A</v>
      </c>
      <c r="CC529" s="1213" t="e">
        <f t="shared" ca="1" si="397"/>
        <v>#N/A</v>
      </c>
      <c r="CD529" s="1587">
        <f t="shared" si="398"/>
        <v>0</v>
      </c>
      <c r="CG529" s="1212" t="e">
        <f t="shared" ca="1" si="399"/>
        <v>#N/A</v>
      </c>
      <c r="CH529" s="1213" t="e">
        <f t="shared" ca="1" si="400"/>
        <v>#N/A</v>
      </c>
      <c r="CI529" s="1587">
        <f t="shared" si="401"/>
        <v>0</v>
      </c>
      <c r="CL529" s="1212" t="e">
        <f t="shared" ca="1" si="402"/>
        <v>#N/A</v>
      </c>
      <c r="CM529" s="1213" t="e">
        <f t="shared" ca="1" si="403"/>
        <v>#N/A</v>
      </c>
      <c r="CN529" s="1587">
        <f t="shared" si="404"/>
        <v>0</v>
      </c>
    </row>
    <row r="530" spans="1:92">
      <c r="A530" s="141">
        <f>'銀行-TSS'!A530</f>
        <v>0</v>
      </c>
      <c r="B530" s="151">
        <f ca="1">VLOOKUP(A530,'銀行-TSS'!A:B,2,FALSE)</f>
        <v>0</v>
      </c>
      <c r="C530" s="151" t="e">
        <f ca="1">VLOOKUP(B530,bond!B:C,2,FALSE)</f>
        <v>#N/A</v>
      </c>
      <c r="D530" s="95" t="e">
        <f>VLOOKUP(A530,'銀行-TSS'!A:C,3,FALSE)</f>
        <v>#N/A</v>
      </c>
      <c r="E530" s="90" t="e">
        <f ca="1">VLOOKUP(A530,'銀行-TSS'!A:G,7,FALSE)</f>
        <v>#N/A</v>
      </c>
      <c r="F530" s="202" t="e">
        <f ca="1">VLOOKUP(A530,'銀行-TSS'!A:H,8,FALSE)</f>
        <v>#N/A</v>
      </c>
      <c r="G530" s="96" t="e">
        <f ca="1">VLOOKUP(A530,'銀行-TSS'!A:K,11,FALSE)</f>
        <v>#N/A</v>
      </c>
      <c r="H530" s="1209" t="e">
        <f ca="1">VLOOKUP(A530,'銀行-TSS'!A:M,13,FALSE)</f>
        <v>#N/A</v>
      </c>
      <c r="I530" s="1213" t="e">
        <f ca="1">VLOOKUP(A530,'銀行-TSS'!A:N,14,FALSE)</f>
        <v>#N/A</v>
      </c>
      <c r="J530" s="1213" t="e">
        <f ca="1">VLOOKUP(A530,'銀行-TSS'!A:O,15,FALSE)</f>
        <v>#N/A</v>
      </c>
      <c r="K530" s="136" t="e">
        <f ca="1">VLOOKUP(A530,'銀行-TSS'!A:V,22,FALSE)</f>
        <v>#N/A</v>
      </c>
      <c r="L530" s="136" t="e">
        <f ca="1">VLOOKUP(A530,'銀行-TSS'!A:AK,37,FALSE)</f>
        <v>#N/A</v>
      </c>
      <c r="M530" s="136" t="str">
        <f ca="1">VLOOKUP(A530,'銀行-TSS'!A:AN,40,FALSE)</f>
        <v/>
      </c>
      <c r="N530" s="136" t="e">
        <f t="shared" ca="1" si="360"/>
        <v>#N/A</v>
      </c>
      <c r="O530" s="1213" t="e">
        <f t="shared" ca="1" si="361"/>
        <v>#N/A</v>
      </c>
      <c r="P530" s="1213" t="e">
        <f ca="1">IF(AND($O$1&gt;=O530,換券單檔!$D$13=D530),I530+INT(($O$1-O530)/N530)*J530,0)</f>
        <v>#N/A</v>
      </c>
      <c r="Q530" s="1213" t="e">
        <f t="shared" ca="1" si="362"/>
        <v>#N/A</v>
      </c>
      <c r="R530" s="1213">
        <f t="shared" si="363"/>
        <v>0</v>
      </c>
      <c r="S530" s="1213">
        <f t="shared" si="364"/>
        <v>0</v>
      </c>
      <c r="T530" s="136">
        <f>IF(OR(R530=0,A530=0),0,IF(AND(V530=TRUE,換券單檔!$D$13=D530),E530,0))</f>
        <v>0</v>
      </c>
      <c r="U530" s="861">
        <f>IF(OR(R530=0,A530=0),0,IF(AND(V530=TRUE,換券單檔!$D$13=D530),H530,0))</f>
        <v>0</v>
      </c>
      <c r="V530" s="136" t="e">
        <f ca="1">IF(OR(B530=換券單檔!$D$3,L530="無",M530&lt;&gt;"",K530="高資產",IFERROR(MATCH(B530,換券單檔!K:K,0),"N")&lt;&gt;"N"),FALSE,IF($V$1="All",TRUE,IF(K530=$V$1,TRUE,FALSE)))</f>
        <v>#N/A</v>
      </c>
      <c r="W530" s="136" t="e">
        <f ca="1">VLOOKUP(A530,'銀行-TSS'!A:AO,41,FALSE)</f>
        <v>#N/A</v>
      </c>
      <c r="X530" s="136" t="e">
        <f ca="1">VLOOKUP(A530,'銀行-TSS'!A:AP,42,FALSE)</f>
        <v>#N/A</v>
      </c>
      <c r="Y530" s="1220">
        <f t="shared" si="365"/>
        <v>0</v>
      </c>
      <c r="Z530" s="1220">
        <f t="shared" si="366"/>
        <v>0</v>
      </c>
      <c r="AA530" s="136">
        <f>IF(Z530&lt;=0,0,RANK(Z530,Z:Z)+COUNTIF($Z$3:$Z530,Z530)-1)</f>
        <v>0</v>
      </c>
      <c r="AB530" s="1211">
        <f t="shared" ca="1" si="367"/>
        <v>-14896.14</v>
      </c>
      <c r="AC530" s="136">
        <f ca="1">IF(AB530&lt;=0,0,RANK(AB530,AB:AB)+COUNTIF($AB$3:$AB530,AB530)-1)</f>
        <v>0</v>
      </c>
      <c r="AD530" s="1123">
        <f t="shared" si="368"/>
        <v>99999</v>
      </c>
      <c r="AE530" s="1123">
        <f>IF(AD530=99999,0,RANK(AD530,AD:AD,1)+COUNTIF($AD$3:$AD530,AD530)-1)</f>
        <v>0</v>
      </c>
      <c r="AF530" s="86" t="e">
        <f ca="1">IF(OR(M530&lt;&gt;"",L530="無",K530="高資產",IFERROR(MATCH(B530,換券單檔!K:K,0),"N")&lt;&gt;"N"),FALSE,TRUE)</f>
        <v>#N/A</v>
      </c>
      <c r="AI530" s="1212" t="e">
        <f t="shared" ca="1" si="369"/>
        <v>#N/A</v>
      </c>
      <c r="AJ530" s="1213" t="e">
        <f t="shared" ca="1" si="370"/>
        <v>#N/A</v>
      </c>
      <c r="AK530" s="1587">
        <f t="shared" si="371"/>
        <v>0</v>
      </c>
      <c r="AN530" s="1212" t="e">
        <f t="shared" ca="1" si="372"/>
        <v>#N/A</v>
      </c>
      <c r="AO530" s="1213" t="e">
        <f t="shared" ca="1" si="373"/>
        <v>#N/A</v>
      </c>
      <c r="AP530" s="1587">
        <f t="shared" si="374"/>
        <v>0</v>
      </c>
      <c r="AS530" s="1212" t="e">
        <f t="shared" ca="1" si="375"/>
        <v>#N/A</v>
      </c>
      <c r="AT530" s="1213" t="e">
        <f t="shared" ca="1" si="376"/>
        <v>#N/A</v>
      </c>
      <c r="AU530" s="1587">
        <f t="shared" si="377"/>
        <v>0</v>
      </c>
      <c r="AX530" s="1212" t="e">
        <f t="shared" ca="1" si="378"/>
        <v>#N/A</v>
      </c>
      <c r="AY530" s="1213" t="e">
        <f t="shared" ca="1" si="379"/>
        <v>#N/A</v>
      </c>
      <c r="AZ530" s="1587">
        <f t="shared" si="380"/>
        <v>0</v>
      </c>
      <c r="BC530" s="1212" t="e">
        <f t="shared" ca="1" si="381"/>
        <v>#N/A</v>
      </c>
      <c r="BD530" s="1213" t="e">
        <f t="shared" ca="1" si="382"/>
        <v>#N/A</v>
      </c>
      <c r="BE530" s="1587">
        <f t="shared" si="383"/>
        <v>0</v>
      </c>
      <c r="BH530" s="1212" t="e">
        <f t="shared" ca="1" si="384"/>
        <v>#N/A</v>
      </c>
      <c r="BI530" s="1213" t="e">
        <f t="shared" ca="1" si="385"/>
        <v>#N/A</v>
      </c>
      <c r="BJ530" s="1587">
        <f t="shared" si="386"/>
        <v>0</v>
      </c>
      <c r="BM530" s="1212" t="e">
        <f t="shared" ca="1" si="387"/>
        <v>#N/A</v>
      </c>
      <c r="BN530" s="1213" t="e">
        <f t="shared" ca="1" si="388"/>
        <v>#N/A</v>
      </c>
      <c r="BO530" s="1587">
        <f t="shared" si="389"/>
        <v>0</v>
      </c>
      <c r="BR530" s="1212" t="e">
        <f t="shared" ca="1" si="390"/>
        <v>#N/A</v>
      </c>
      <c r="BS530" s="1213" t="e">
        <f t="shared" ca="1" si="391"/>
        <v>#N/A</v>
      </c>
      <c r="BT530" s="1587">
        <f t="shared" si="392"/>
        <v>0</v>
      </c>
      <c r="BW530" s="1212" t="e">
        <f t="shared" ca="1" si="393"/>
        <v>#N/A</v>
      </c>
      <c r="BX530" s="1213" t="e">
        <f t="shared" ca="1" si="394"/>
        <v>#N/A</v>
      </c>
      <c r="BY530" s="1587">
        <f t="shared" si="395"/>
        <v>0</v>
      </c>
      <c r="CB530" s="1212" t="e">
        <f t="shared" ca="1" si="396"/>
        <v>#N/A</v>
      </c>
      <c r="CC530" s="1213" t="e">
        <f t="shared" ca="1" si="397"/>
        <v>#N/A</v>
      </c>
      <c r="CD530" s="1587">
        <f t="shared" si="398"/>
        <v>0</v>
      </c>
      <c r="CG530" s="1212" t="e">
        <f t="shared" ca="1" si="399"/>
        <v>#N/A</v>
      </c>
      <c r="CH530" s="1213" t="e">
        <f t="shared" ca="1" si="400"/>
        <v>#N/A</v>
      </c>
      <c r="CI530" s="1587">
        <f t="shared" si="401"/>
        <v>0</v>
      </c>
      <c r="CL530" s="1212" t="e">
        <f t="shared" ca="1" si="402"/>
        <v>#N/A</v>
      </c>
      <c r="CM530" s="1213" t="e">
        <f t="shared" ca="1" si="403"/>
        <v>#N/A</v>
      </c>
      <c r="CN530" s="1587">
        <f t="shared" si="404"/>
        <v>0</v>
      </c>
    </row>
    <row r="531" spans="1:92">
      <c r="A531" s="141">
        <f>'銀行-TSS'!A531</f>
        <v>0</v>
      </c>
      <c r="B531" s="151">
        <f ca="1">VLOOKUP(A531,'銀行-TSS'!A:B,2,FALSE)</f>
        <v>0</v>
      </c>
      <c r="C531" s="151" t="e">
        <f ca="1">VLOOKUP(B531,bond!B:C,2,FALSE)</f>
        <v>#N/A</v>
      </c>
      <c r="D531" s="95" t="e">
        <f>VLOOKUP(A531,'銀行-TSS'!A:C,3,FALSE)</f>
        <v>#N/A</v>
      </c>
      <c r="E531" s="90" t="e">
        <f ca="1">VLOOKUP(A531,'銀行-TSS'!A:G,7,FALSE)</f>
        <v>#N/A</v>
      </c>
      <c r="F531" s="202" t="e">
        <f ca="1">VLOOKUP(A531,'銀行-TSS'!A:H,8,FALSE)</f>
        <v>#N/A</v>
      </c>
      <c r="G531" s="96" t="e">
        <f ca="1">VLOOKUP(A531,'銀行-TSS'!A:K,11,FALSE)</f>
        <v>#N/A</v>
      </c>
      <c r="H531" s="1209" t="e">
        <f ca="1">VLOOKUP(A531,'銀行-TSS'!A:M,13,FALSE)</f>
        <v>#N/A</v>
      </c>
      <c r="I531" s="1213" t="e">
        <f ca="1">VLOOKUP(A531,'銀行-TSS'!A:N,14,FALSE)</f>
        <v>#N/A</v>
      </c>
      <c r="J531" s="1213" t="e">
        <f ca="1">VLOOKUP(A531,'銀行-TSS'!A:O,15,FALSE)</f>
        <v>#N/A</v>
      </c>
      <c r="K531" s="136" t="e">
        <f ca="1">VLOOKUP(A531,'銀行-TSS'!A:V,22,FALSE)</f>
        <v>#N/A</v>
      </c>
      <c r="L531" s="136" t="e">
        <f ca="1">VLOOKUP(A531,'銀行-TSS'!A:AK,37,FALSE)</f>
        <v>#N/A</v>
      </c>
      <c r="M531" s="136" t="str">
        <f ca="1">VLOOKUP(A531,'銀行-TSS'!A:AN,40,FALSE)</f>
        <v/>
      </c>
      <c r="N531" s="136" t="e">
        <f t="shared" ca="1" si="360"/>
        <v>#N/A</v>
      </c>
      <c r="O531" s="1213" t="e">
        <f t="shared" ca="1" si="361"/>
        <v>#N/A</v>
      </c>
      <c r="P531" s="1213" t="e">
        <f ca="1">IF(AND($O$1&gt;=O531,換券單檔!$D$13=D531),I531+INT(($O$1-O531)/N531)*J531,0)</f>
        <v>#N/A</v>
      </c>
      <c r="Q531" s="1213" t="e">
        <f t="shared" ca="1" si="362"/>
        <v>#N/A</v>
      </c>
      <c r="R531" s="1213">
        <f t="shared" si="363"/>
        <v>0</v>
      </c>
      <c r="S531" s="1213">
        <f t="shared" si="364"/>
        <v>0</v>
      </c>
      <c r="T531" s="136">
        <f>IF(OR(R531=0,A531=0),0,IF(AND(V531=TRUE,換券單檔!$D$13=D531),E531,0))</f>
        <v>0</v>
      </c>
      <c r="U531" s="861">
        <f>IF(OR(R531=0,A531=0),0,IF(AND(V531=TRUE,換券單檔!$D$13=D531),H531,0))</f>
        <v>0</v>
      </c>
      <c r="V531" s="136" t="e">
        <f ca="1">IF(OR(B531=換券單檔!$D$3,L531="無",M531&lt;&gt;"",K531="高資產",IFERROR(MATCH(B531,換券單檔!K:K,0),"N")&lt;&gt;"N"),FALSE,IF($V$1="All",TRUE,IF(K531=$V$1,TRUE,FALSE)))</f>
        <v>#N/A</v>
      </c>
      <c r="W531" s="136" t="e">
        <f ca="1">VLOOKUP(A531,'銀行-TSS'!A:AO,41,FALSE)</f>
        <v>#N/A</v>
      </c>
      <c r="X531" s="136" t="e">
        <f ca="1">VLOOKUP(A531,'銀行-TSS'!A:AP,42,FALSE)</f>
        <v>#N/A</v>
      </c>
      <c r="Y531" s="1220">
        <f t="shared" si="365"/>
        <v>0</v>
      </c>
      <c r="Z531" s="1220">
        <f t="shared" si="366"/>
        <v>0</v>
      </c>
      <c r="AA531" s="136">
        <f>IF(Z531&lt;=0,0,RANK(Z531,Z:Z)+COUNTIF($Z$3:$Z531,Z531)-1)</f>
        <v>0</v>
      </c>
      <c r="AB531" s="1211">
        <f t="shared" ca="1" si="367"/>
        <v>-14896.14</v>
      </c>
      <c r="AC531" s="136">
        <f ca="1">IF(AB531&lt;=0,0,RANK(AB531,AB:AB)+COUNTIF($AB$3:$AB531,AB531)-1)</f>
        <v>0</v>
      </c>
      <c r="AD531" s="1123">
        <f t="shared" si="368"/>
        <v>99999</v>
      </c>
      <c r="AE531" s="1123">
        <f>IF(AD531=99999,0,RANK(AD531,AD:AD,1)+COUNTIF($AD$3:$AD531,AD531)-1)</f>
        <v>0</v>
      </c>
      <c r="AF531" s="86" t="e">
        <f ca="1">IF(OR(M531&lt;&gt;"",L531="無",K531="高資產",IFERROR(MATCH(B531,換券單檔!K:K,0),"N")&lt;&gt;"N"),FALSE,TRUE)</f>
        <v>#N/A</v>
      </c>
      <c r="AI531" s="1212" t="e">
        <f t="shared" ca="1" si="369"/>
        <v>#N/A</v>
      </c>
      <c r="AJ531" s="1213" t="e">
        <f t="shared" ca="1" si="370"/>
        <v>#N/A</v>
      </c>
      <c r="AK531" s="1587">
        <f t="shared" si="371"/>
        <v>0</v>
      </c>
      <c r="AN531" s="1212" t="e">
        <f t="shared" ca="1" si="372"/>
        <v>#N/A</v>
      </c>
      <c r="AO531" s="1213" t="e">
        <f t="shared" ca="1" si="373"/>
        <v>#N/A</v>
      </c>
      <c r="AP531" s="1587">
        <f t="shared" si="374"/>
        <v>0</v>
      </c>
      <c r="AS531" s="1212" t="e">
        <f t="shared" ca="1" si="375"/>
        <v>#N/A</v>
      </c>
      <c r="AT531" s="1213" t="e">
        <f t="shared" ca="1" si="376"/>
        <v>#N/A</v>
      </c>
      <c r="AU531" s="1587">
        <f t="shared" si="377"/>
        <v>0</v>
      </c>
      <c r="AX531" s="1212" t="e">
        <f t="shared" ca="1" si="378"/>
        <v>#N/A</v>
      </c>
      <c r="AY531" s="1213" t="e">
        <f t="shared" ca="1" si="379"/>
        <v>#N/A</v>
      </c>
      <c r="AZ531" s="1587">
        <f t="shared" si="380"/>
        <v>0</v>
      </c>
      <c r="BC531" s="1212" t="e">
        <f t="shared" ca="1" si="381"/>
        <v>#N/A</v>
      </c>
      <c r="BD531" s="1213" t="e">
        <f t="shared" ca="1" si="382"/>
        <v>#N/A</v>
      </c>
      <c r="BE531" s="1587">
        <f t="shared" si="383"/>
        <v>0</v>
      </c>
      <c r="BH531" s="1212" t="e">
        <f t="shared" ca="1" si="384"/>
        <v>#N/A</v>
      </c>
      <c r="BI531" s="1213" t="e">
        <f t="shared" ca="1" si="385"/>
        <v>#N/A</v>
      </c>
      <c r="BJ531" s="1587">
        <f t="shared" si="386"/>
        <v>0</v>
      </c>
      <c r="BM531" s="1212" t="e">
        <f t="shared" ca="1" si="387"/>
        <v>#N/A</v>
      </c>
      <c r="BN531" s="1213" t="e">
        <f t="shared" ca="1" si="388"/>
        <v>#N/A</v>
      </c>
      <c r="BO531" s="1587">
        <f t="shared" si="389"/>
        <v>0</v>
      </c>
      <c r="BR531" s="1212" t="e">
        <f t="shared" ca="1" si="390"/>
        <v>#N/A</v>
      </c>
      <c r="BS531" s="1213" t="e">
        <f t="shared" ca="1" si="391"/>
        <v>#N/A</v>
      </c>
      <c r="BT531" s="1587">
        <f t="shared" si="392"/>
        <v>0</v>
      </c>
      <c r="BW531" s="1212" t="e">
        <f t="shared" ca="1" si="393"/>
        <v>#N/A</v>
      </c>
      <c r="BX531" s="1213" t="e">
        <f t="shared" ca="1" si="394"/>
        <v>#N/A</v>
      </c>
      <c r="BY531" s="1587">
        <f t="shared" si="395"/>
        <v>0</v>
      </c>
      <c r="CB531" s="1212" t="e">
        <f t="shared" ca="1" si="396"/>
        <v>#N/A</v>
      </c>
      <c r="CC531" s="1213" t="e">
        <f t="shared" ca="1" si="397"/>
        <v>#N/A</v>
      </c>
      <c r="CD531" s="1587">
        <f t="shared" si="398"/>
        <v>0</v>
      </c>
      <c r="CG531" s="1212" t="e">
        <f t="shared" ca="1" si="399"/>
        <v>#N/A</v>
      </c>
      <c r="CH531" s="1213" t="e">
        <f t="shared" ca="1" si="400"/>
        <v>#N/A</v>
      </c>
      <c r="CI531" s="1587">
        <f t="shared" si="401"/>
        <v>0</v>
      </c>
      <c r="CL531" s="1212" t="e">
        <f t="shared" ca="1" si="402"/>
        <v>#N/A</v>
      </c>
      <c r="CM531" s="1213" t="e">
        <f t="shared" ca="1" si="403"/>
        <v>#N/A</v>
      </c>
      <c r="CN531" s="1587">
        <f t="shared" si="404"/>
        <v>0</v>
      </c>
    </row>
    <row r="532" spans="1:92">
      <c r="A532" s="141">
        <f>'銀行-TSS'!A532</f>
        <v>0</v>
      </c>
      <c r="B532" s="151">
        <f ca="1">VLOOKUP(A532,'銀行-TSS'!A:B,2,FALSE)</f>
        <v>0</v>
      </c>
      <c r="C532" s="151" t="e">
        <f ca="1">VLOOKUP(B532,bond!B:C,2,FALSE)</f>
        <v>#N/A</v>
      </c>
      <c r="D532" s="95" t="e">
        <f>VLOOKUP(A532,'銀行-TSS'!A:C,3,FALSE)</f>
        <v>#N/A</v>
      </c>
      <c r="E532" s="90" t="e">
        <f ca="1">VLOOKUP(A532,'銀行-TSS'!A:G,7,FALSE)</f>
        <v>#N/A</v>
      </c>
      <c r="F532" s="202" t="e">
        <f ca="1">VLOOKUP(A532,'銀行-TSS'!A:H,8,FALSE)</f>
        <v>#N/A</v>
      </c>
      <c r="G532" s="96" t="e">
        <f ca="1">VLOOKUP(A532,'銀行-TSS'!A:K,11,FALSE)</f>
        <v>#N/A</v>
      </c>
      <c r="H532" s="1209" t="e">
        <f ca="1">VLOOKUP(A532,'銀行-TSS'!A:M,13,FALSE)</f>
        <v>#N/A</v>
      </c>
      <c r="I532" s="1213" t="e">
        <f ca="1">VLOOKUP(A532,'銀行-TSS'!A:N,14,FALSE)</f>
        <v>#N/A</v>
      </c>
      <c r="J532" s="1213" t="e">
        <f ca="1">VLOOKUP(A532,'銀行-TSS'!A:O,15,FALSE)</f>
        <v>#N/A</v>
      </c>
      <c r="K532" s="136" t="e">
        <f ca="1">VLOOKUP(A532,'銀行-TSS'!A:V,22,FALSE)</f>
        <v>#N/A</v>
      </c>
      <c r="L532" s="136" t="e">
        <f ca="1">VLOOKUP(A532,'銀行-TSS'!A:AK,37,FALSE)</f>
        <v>#N/A</v>
      </c>
      <c r="M532" s="136" t="str">
        <f ca="1">VLOOKUP(A532,'銀行-TSS'!A:AN,40,FALSE)</f>
        <v/>
      </c>
      <c r="N532" s="136" t="e">
        <f t="shared" ca="1" si="360"/>
        <v>#N/A</v>
      </c>
      <c r="O532" s="1213" t="e">
        <f t="shared" ca="1" si="361"/>
        <v>#N/A</v>
      </c>
      <c r="P532" s="1213" t="e">
        <f ca="1">IF(AND($O$1&gt;=O532,換券單檔!$D$13=D532),I532+INT(($O$1-O532)/N532)*J532,0)</f>
        <v>#N/A</v>
      </c>
      <c r="Q532" s="1213" t="e">
        <f t="shared" ca="1" si="362"/>
        <v>#N/A</v>
      </c>
      <c r="R532" s="1213">
        <f t="shared" si="363"/>
        <v>0</v>
      </c>
      <c r="S532" s="1213">
        <f t="shared" si="364"/>
        <v>0</v>
      </c>
      <c r="T532" s="136">
        <f>IF(OR(R532=0,A532=0),0,IF(AND(V532=TRUE,換券單檔!$D$13=D532),E532,0))</f>
        <v>0</v>
      </c>
      <c r="U532" s="861">
        <f>IF(OR(R532=0,A532=0),0,IF(AND(V532=TRUE,換券單檔!$D$13=D532),H532,0))</f>
        <v>0</v>
      </c>
      <c r="V532" s="136" t="e">
        <f ca="1">IF(OR(B532=換券單檔!$D$3,L532="無",M532&lt;&gt;"",K532="高資產",IFERROR(MATCH(B532,換券單檔!K:K,0),"N")&lt;&gt;"N"),FALSE,IF($V$1="All",TRUE,IF(K532=$V$1,TRUE,FALSE)))</f>
        <v>#N/A</v>
      </c>
      <c r="W532" s="136" t="e">
        <f ca="1">VLOOKUP(A532,'銀行-TSS'!A:AO,41,FALSE)</f>
        <v>#N/A</v>
      </c>
      <c r="X532" s="136" t="e">
        <f ca="1">VLOOKUP(A532,'銀行-TSS'!A:AP,42,FALSE)</f>
        <v>#N/A</v>
      </c>
      <c r="Y532" s="1220">
        <f t="shared" si="365"/>
        <v>0</v>
      </c>
      <c r="Z532" s="1220">
        <f t="shared" si="366"/>
        <v>0</v>
      </c>
      <c r="AA532" s="136">
        <f>IF(Z532&lt;=0,0,RANK(Z532,Z:Z)+COUNTIF($Z$3:$Z532,Z532)-1)</f>
        <v>0</v>
      </c>
      <c r="AB532" s="1211">
        <f t="shared" ca="1" si="367"/>
        <v>-14896.14</v>
      </c>
      <c r="AC532" s="136">
        <f ca="1">IF(AB532&lt;=0,0,RANK(AB532,AB:AB)+COUNTIF($AB$3:$AB532,AB532)-1)</f>
        <v>0</v>
      </c>
      <c r="AD532" s="1123">
        <f t="shared" si="368"/>
        <v>99999</v>
      </c>
      <c r="AE532" s="1123">
        <f>IF(AD532=99999,0,RANK(AD532,AD:AD,1)+COUNTIF($AD$3:$AD532,AD532)-1)</f>
        <v>0</v>
      </c>
      <c r="AF532" s="86" t="e">
        <f ca="1">IF(OR(M532&lt;&gt;"",L532="無",K532="高資產",IFERROR(MATCH(B532,換券單檔!K:K,0),"N")&lt;&gt;"N"),FALSE,TRUE)</f>
        <v>#N/A</v>
      </c>
      <c r="AI532" s="1212" t="e">
        <f t="shared" ca="1" si="369"/>
        <v>#N/A</v>
      </c>
      <c r="AJ532" s="1213" t="e">
        <f t="shared" ca="1" si="370"/>
        <v>#N/A</v>
      </c>
      <c r="AK532" s="1587">
        <f t="shared" si="371"/>
        <v>0</v>
      </c>
      <c r="AN532" s="1212" t="e">
        <f t="shared" ca="1" si="372"/>
        <v>#N/A</v>
      </c>
      <c r="AO532" s="1213" t="e">
        <f t="shared" ca="1" si="373"/>
        <v>#N/A</v>
      </c>
      <c r="AP532" s="1587">
        <f t="shared" si="374"/>
        <v>0</v>
      </c>
      <c r="AS532" s="1212" t="e">
        <f t="shared" ca="1" si="375"/>
        <v>#N/A</v>
      </c>
      <c r="AT532" s="1213" t="e">
        <f t="shared" ca="1" si="376"/>
        <v>#N/A</v>
      </c>
      <c r="AU532" s="1587">
        <f t="shared" si="377"/>
        <v>0</v>
      </c>
      <c r="AX532" s="1212" t="e">
        <f t="shared" ca="1" si="378"/>
        <v>#N/A</v>
      </c>
      <c r="AY532" s="1213" t="e">
        <f t="shared" ca="1" si="379"/>
        <v>#N/A</v>
      </c>
      <c r="AZ532" s="1587">
        <f t="shared" si="380"/>
        <v>0</v>
      </c>
      <c r="BC532" s="1212" t="e">
        <f t="shared" ca="1" si="381"/>
        <v>#N/A</v>
      </c>
      <c r="BD532" s="1213" t="e">
        <f t="shared" ca="1" si="382"/>
        <v>#N/A</v>
      </c>
      <c r="BE532" s="1587">
        <f t="shared" si="383"/>
        <v>0</v>
      </c>
      <c r="BH532" s="1212" t="e">
        <f t="shared" ca="1" si="384"/>
        <v>#N/A</v>
      </c>
      <c r="BI532" s="1213" t="e">
        <f t="shared" ca="1" si="385"/>
        <v>#N/A</v>
      </c>
      <c r="BJ532" s="1587">
        <f t="shared" si="386"/>
        <v>0</v>
      </c>
      <c r="BM532" s="1212" t="e">
        <f t="shared" ca="1" si="387"/>
        <v>#N/A</v>
      </c>
      <c r="BN532" s="1213" t="e">
        <f t="shared" ca="1" si="388"/>
        <v>#N/A</v>
      </c>
      <c r="BO532" s="1587">
        <f t="shared" si="389"/>
        <v>0</v>
      </c>
      <c r="BR532" s="1212" t="e">
        <f t="shared" ca="1" si="390"/>
        <v>#N/A</v>
      </c>
      <c r="BS532" s="1213" t="e">
        <f t="shared" ca="1" si="391"/>
        <v>#N/A</v>
      </c>
      <c r="BT532" s="1587">
        <f t="shared" si="392"/>
        <v>0</v>
      </c>
      <c r="BW532" s="1212" t="e">
        <f t="shared" ca="1" si="393"/>
        <v>#N/A</v>
      </c>
      <c r="BX532" s="1213" t="e">
        <f t="shared" ca="1" si="394"/>
        <v>#N/A</v>
      </c>
      <c r="BY532" s="1587">
        <f t="shared" si="395"/>
        <v>0</v>
      </c>
      <c r="CB532" s="1212" t="e">
        <f t="shared" ca="1" si="396"/>
        <v>#N/A</v>
      </c>
      <c r="CC532" s="1213" t="e">
        <f t="shared" ca="1" si="397"/>
        <v>#N/A</v>
      </c>
      <c r="CD532" s="1587">
        <f t="shared" si="398"/>
        <v>0</v>
      </c>
      <c r="CG532" s="1212" t="e">
        <f t="shared" ca="1" si="399"/>
        <v>#N/A</v>
      </c>
      <c r="CH532" s="1213" t="e">
        <f t="shared" ca="1" si="400"/>
        <v>#N/A</v>
      </c>
      <c r="CI532" s="1587">
        <f t="shared" si="401"/>
        <v>0</v>
      </c>
      <c r="CL532" s="1212" t="e">
        <f t="shared" ca="1" si="402"/>
        <v>#N/A</v>
      </c>
      <c r="CM532" s="1213" t="e">
        <f t="shared" ca="1" si="403"/>
        <v>#N/A</v>
      </c>
      <c r="CN532" s="1587">
        <f t="shared" si="404"/>
        <v>0</v>
      </c>
    </row>
    <row r="533" spans="1:92">
      <c r="A533" s="141">
        <f>'銀行-TSS'!A533</f>
        <v>0</v>
      </c>
      <c r="B533" s="151">
        <f ca="1">VLOOKUP(A533,'銀行-TSS'!A:B,2,FALSE)</f>
        <v>0</v>
      </c>
      <c r="C533" s="151" t="e">
        <f ca="1">VLOOKUP(B533,bond!B:C,2,FALSE)</f>
        <v>#N/A</v>
      </c>
      <c r="D533" s="95" t="e">
        <f>VLOOKUP(A533,'銀行-TSS'!A:C,3,FALSE)</f>
        <v>#N/A</v>
      </c>
      <c r="E533" s="90" t="e">
        <f ca="1">VLOOKUP(A533,'銀行-TSS'!A:G,7,FALSE)</f>
        <v>#N/A</v>
      </c>
      <c r="F533" s="202" t="e">
        <f ca="1">VLOOKUP(A533,'銀行-TSS'!A:H,8,FALSE)</f>
        <v>#N/A</v>
      </c>
      <c r="G533" s="96" t="e">
        <f ca="1">VLOOKUP(A533,'銀行-TSS'!A:K,11,FALSE)</f>
        <v>#N/A</v>
      </c>
      <c r="H533" s="1209" t="e">
        <f ca="1">VLOOKUP(A533,'銀行-TSS'!A:M,13,FALSE)</f>
        <v>#N/A</v>
      </c>
      <c r="I533" s="1213" t="e">
        <f ca="1">VLOOKUP(A533,'銀行-TSS'!A:N,14,FALSE)</f>
        <v>#N/A</v>
      </c>
      <c r="J533" s="1213" t="e">
        <f ca="1">VLOOKUP(A533,'銀行-TSS'!A:O,15,FALSE)</f>
        <v>#N/A</v>
      </c>
      <c r="K533" s="136" t="e">
        <f ca="1">VLOOKUP(A533,'銀行-TSS'!A:V,22,FALSE)</f>
        <v>#N/A</v>
      </c>
      <c r="L533" s="136" t="e">
        <f ca="1">VLOOKUP(A533,'銀行-TSS'!A:AK,37,FALSE)</f>
        <v>#N/A</v>
      </c>
      <c r="M533" s="136" t="str">
        <f ca="1">VLOOKUP(A533,'銀行-TSS'!A:AN,40,FALSE)</f>
        <v/>
      </c>
      <c r="N533" s="136" t="e">
        <f t="shared" ca="1" si="360"/>
        <v>#N/A</v>
      </c>
      <c r="O533" s="1213" t="e">
        <f t="shared" ca="1" si="361"/>
        <v>#N/A</v>
      </c>
      <c r="P533" s="1213" t="e">
        <f ca="1">IF(AND($O$1&gt;=O533,換券單檔!$D$13=D533),I533+INT(($O$1-O533)/N533)*J533,0)</f>
        <v>#N/A</v>
      </c>
      <c r="Q533" s="1213" t="e">
        <f t="shared" ca="1" si="362"/>
        <v>#N/A</v>
      </c>
      <c r="R533" s="1213">
        <f t="shared" si="363"/>
        <v>0</v>
      </c>
      <c r="S533" s="1213">
        <f t="shared" si="364"/>
        <v>0</v>
      </c>
      <c r="T533" s="136">
        <f>IF(OR(R533=0,A533=0),0,IF(AND(V533=TRUE,換券單檔!$D$13=D533),E533,0))</f>
        <v>0</v>
      </c>
      <c r="U533" s="861">
        <f>IF(OR(R533=0,A533=0),0,IF(AND(V533=TRUE,換券單檔!$D$13=D533),H533,0))</f>
        <v>0</v>
      </c>
      <c r="V533" s="136" t="e">
        <f ca="1">IF(OR(B533=換券單檔!$D$3,L533="無",M533&lt;&gt;"",K533="高資產",IFERROR(MATCH(B533,換券單檔!K:K,0),"N")&lt;&gt;"N"),FALSE,IF($V$1="All",TRUE,IF(K533=$V$1,TRUE,FALSE)))</f>
        <v>#N/A</v>
      </c>
      <c r="W533" s="136" t="e">
        <f ca="1">VLOOKUP(A533,'銀行-TSS'!A:AO,41,FALSE)</f>
        <v>#N/A</v>
      </c>
      <c r="X533" s="136" t="e">
        <f ca="1">VLOOKUP(A533,'銀行-TSS'!A:AP,42,FALSE)</f>
        <v>#N/A</v>
      </c>
      <c r="Y533" s="1220">
        <f t="shared" si="365"/>
        <v>0</v>
      </c>
      <c r="Z533" s="1220">
        <f t="shared" si="366"/>
        <v>0</v>
      </c>
      <c r="AA533" s="136">
        <f>IF(Z533&lt;=0,0,RANK(Z533,Z:Z)+COUNTIF($Z$3:$Z533,Z533)-1)</f>
        <v>0</v>
      </c>
      <c r="AB533" s="1211">
        <f t="shared" ca="1" si="367"/>
        <v>-14896.14</v>
      </c>
      <c r="AC533" s="136">
        <f ca="1">IF(AB533&lt;=0,0,RANK(AB533,AB:AB)+COUNTIF($AB$3:$AB533,AB533)-1)</f>
        <v>0</v>
      </c>
      <c r="AD533" s="1123">
        <f t="shared" si="368"/>
        <v>99999</v>
      </c>
      <c r="AE533" s="1123">
        <f>IF(AD533=99999,0,RANK(AD533,AD:AD,1)+COUNTIF($AD$3:$AD533,AD533)-1)</f>
        <v>0</v>
      </c>
      <c r="AF533" s="86" t="e">
        <f ca="1">IF(OR(M533&lt;&gt;"",L533="無",K533="高資產",IFERROR(MATCH(B533,換券單檔!K:K,0),"N")&lt;&gt;"N"),FALSE,TRUE)</f>
        <v>#N/A</v>
      </c>
      <c r="AI533" s="1212" t="e">
        <f t="shared" ca="1" si="369"/>
        <v>#N/A</v>
      </c>
      <c r="AJ533" s="1213" t="e">
        <f t="shared" ca="1" si="370"/>
        <v>#N/A</v>
      </c>
      <c r="AK533" s="1587">
        <f t="shared" si="371"/>
        <v>0</v>
      </c>
      <c r="AN533" s="1212" t="e">
        <f t="shared" ca="1" si="372"/>
        <v>#N/A</v>
      </c>
      <c r="AO533" s="1213" t="e">
        <f t="shared" ca="1" si="373"/>
        <v>#N/A</v>
      </c>
      <c r="AP533" s="1587">
        <f t="shared" si="374"/>
        <v>0</v>
      </c>
      <c r="AS533" s="1212" t="e">
        <f t="shared" ca="1" si="375"/>
        <v>#N/A</v>
      </c>
      <c r="AT533" s="1213" t="e">
        <f t="shared" ca="1" si="376"/>
        <v>#N/A</v>
      </c>
      <c r="AU533" s="1587">
        <f t="shared" si="377"/>
        <v>0</v>
      </c>
      <c r="AX533" s="1212" t="e">
        <f t="shared" ca="1" si="378"/>
        <v>#N/A</v>
      </c>
      <c r="AY533" s="1213" t="e">
        <f t="shared" ca="1" si="379"/>
        <v>#N/A</v>
      </c>
      <c r="AZ533" s="1587">
        <f t="shared" si="380"/>
        <v>0</v>
      </c>
      <c r="BC533" s="1212" t="e">
        <f t="shared" ca="1" si="381"/>
        <v>#N/A</v>
      </c>
      <c r="BD533" s="1213" t="e">
        <f t="shared" ca="1" si="382"/>
        <v>#N/A</v>
      </c>
      <c r="BE533" s="1587">
        <f t="shared" si="383"/>
        <v>0</v>
      </c>
      <c r="BH533" s="1212" t="e">
        <f t="shared" ca="1" si="384"/>
        <v>#N/A</v>
      </c>
      <c r="BI533" s="1213" t="e">
        <f t="shared" ca="1" si="385"/>
        <v>#N/A</v>
      </c>
      <c r="BJ533" s="1587">
        <f t="shared" si="386"/>
        <v>0</v>
      </c>
      <c r="BM533" s="1212" t="e">
        <f t="shared" ca="1" si="387"/>
        <v>#N/A</v>
      </c>
      <c r="BN533" s="1213" t="e">
        <f t="shared" ca="1" si="388"/>
        <v>#N/A</v>
      </c>
      <c r="BO533" s="1587">
        <f t="shared" si="389"/>
        <v>0</v>
      </c>
      <c r="BR533" s="1212" t="e">
        <f t="shared" ca="1" si="390"/>
        <v>#N/A</v>
      </c>
      <c r="BS533" s="1213" t="e">
        <f t="shared" ca="1" si="391"/>
        <v>#N/A</v>
      </c>
      <c r="BT533" s="1587">
        <f t="shared" si="392"/>
        <v>0</v>
      </c>
      <c r="BW533" s="1212" t="e">
        <f t="shared" ca="1" si="393"/>
        <v>#N/A</v>
      </c>
      <c r="BX533" s="1213" t="e">
        <f t="shared" ca="1" si="394"/>
        <v>#N/A</v>
      </c>
      <c r="BY533" s="1587">
        <f t="shared" si="395"/>
        <v>0</v>
      </c>
      <c r="CB533" s="1212" t="e">
        <f t="shared" ca="1" si="396"/>
        <v>#N/A</v>
      </c>
      <c r="CC533" s="1213" t="e">
        <f t="shared" ca="1" si="397"/>
        <v>#N/A</v>
      </c>
      <c r="CD533" s="1587">
        <f t="shared" si="398"/>
        <v>0</v>
      </c>
      <c r="CG533" s="1212" t="e">
        <f t="shared" ca="1" si="399"/>
        <v>#N/A</v>
      </c>
      <c r="CH533" s="1213" t="e">
        <f t="shared" ca="1" si="400"/>
        <v>#N/A</v>
      </c>
      <c r="CI533" s="1587">
        <f t="shared" si="401"/>
        <v>0</v>
      </c>
      <c r="CL533" s="1212" t="e">
        <f t="shared" ca="1" si="402"/>
        <v>#N/A</v>
      </c>
      <c r="CM533" s="1213" t="e">
        <f t="shared" ca="1" si="403"/>
        <v>#N/A</v>
      </c>
      <c r="CN533" s="1587">
        <f t="shared" si="404"/>
        <v>0</v>
      </c>
    </row>
    <row r="534" spans="1:92">
      <c r="A534" s="141">
        <f>'銀行-TSS'!A534</f>
        <v>0</v>
      </c>
      <c r="B534" s="151">
        <f ca="1">VLOOKUP(A534,'銀行-TSS'!A:B,2,FALSE)</f>
        <v>0</v>
      </c>
      <c r="C534" s="151" t="e">
        <f ca="1">VLOOKUP(B534,bond!B:C,2,FALSE)</f>
        <v>#N/A</v>
      </c>
      <c r="D534" s="95" t="e">
        <f>VLOOKUP(A534,'銀行-TSS'!A:C,3,FALSE)</f>
        <v>#N/A</v>
      </c>
      <c r="E534" s="90" t="e">
        <f ca="1">VLOOKUP(A534,'銀行-TSS'!A:G,7,FALSE)</f>
        <v>#N/A</v>
      </c>
      <c r="F534" s="202" t="e">
        <f ca="1">VLOOKUP(A534,'銀行-TSS'!A:H,8,FALSE)</f>
        <v>#N/A</v>
      </c>
      <c r="G534" s="96" t="e">
        <f ca="1">VLOOKUP(A534,'銀行-TSS'!A:K,11,FALSE)</f>
        <v>#N/A</v>
      </c>
      <c r="H534" s="1209" t="e">
        <f ca="1">VLOOKUP(A534,'銀行-TSS'!A:M,13,FALSE)</f>
        <v>#N/A</v>
      </c>
      <c r="I534" s="1213" t="e">
        <f ca="1">VLOOKUP(A534,'銀行-TSS'!A:N,14,FALSE)</f>
        <v>#N/A</v>
      </c>
      <c r="J534" s="1213" t="e">
        <f ca="1">VLOOKUP(A534,'銀行-TSS'!A:O,15,FALSE)</f>
        <v>#N/A</v>
      </c>
      <c r="K534" s="136" t="e">
        <f ca="1">VLOOKUP(A534,'銀行-TSS'!A:V,22,FALSE)</f>
        <v>#N/A</v>
      </c>
      <c r="L534" s="136" t="e">
        <f ca="1">VLOOKUP(A534,'銀行-TSS'!A:AK,37,FALSE)</f>
        <v>#N/A</v>
      </c>
      <c r="M534" s="136" t="str">
        <f ca="1">VLOOKUP(A534,'銀行-TSS'!A:AN,40,FALSE)</f>
        <v/>
      </c>
      <c r="N534" s="136" t="e">
        <f t="shared" ca="1" si="360"/>
        <v>#N/A</v>
      </c>
      <c r="O534" s="1213" t="e">
        <f t="shared" ca="1" si="361"/>
        <v>#N/A</v>
      </c>
      <c r="P534" s="1213" t="e">
        <f ca="1">IF(AND($O$1&gt;=O534,換券單檔!$D$13=D534),I534+INT(($O$1-O534)/N534)*J534,0)</f>
        <v>#N/A</v>
      </c>
      <c r="Q534" s="1213" t="e">
        <f t="shared" ca="1" si="362"/>
        <v>#N/A</v>
      </c>
      <c r="R534" s="1213">
        <f t="shared" si="363"/>
        <v>0</v>
      </c>
      <c r="S534" s="1213">
        <f t="shared" si="364"/>
        <v>0</v>
      </c>
      <c r="T534" s="136">
        <f>IF(OR(R534=0,A534=0),0,IF(AND(V534=TRUE,換券單檔!$D$13=D534),E534,0))</f>
        <v>0</v>
      </c>
      <c r="U534" s="861">
        <f>IF(OR(R534=0,A534=0),0,IF(AND(V534=TRUE,換券單檔!$D$13=D534),H534,0))</f>
        <v>0</v>
      </c>
      <c r="V534" s="136" t="e">
        <f ca="1">IF(OR(B534=換券單檔!$D$3,L534="無",M534&lt;&gt;"",K534="高資產",IFERROR(MATCH(B534,換券單檔!K:K,0),"N")&lt;&gt;"N"),FALSE,IF($V$1="All",TRUE,IF(K534=$V$1,TRUE,FALSE)))</f>
        <v>#N/A</v>
      </c>
      <c r="W534" s="136" t="e">
        <f ca="1">VLOOKUP(A534,'銀行-TSS'!A:AO,41,FALSE)</f>
        <v>#N/A</v>
      </c>
      <c r="X534" s="136" t="e">
        <f ca="1">VLOOKUP(A534,'銀行-TSS'!A:AP,42,FALSE)</f>
        <v>#N/A</v>
      </c>
      <c r="Y534" s="1220">
        <f t="shared" si="365"/>
        <v>0</v>
      </c>
      <c r="Z534" s="1220">
        <f t="shared" si="366"/>
        <v>0</v>
      </c>
      <c r="AA534" s="136">
        <f>IF(Z534&lt;=0,0,RANK(Z534,Z:Z)+COUNTIF($Z$3:$Z534,Z534)-1)</f>
        <v>0</v>
      </c>
      <c r="AB534" s="1211">
        <f t="shared" ca="1" si="367"/>
        <v>-14896.14</v>
      </c>
      <c r="AC534" s="136">
        <f ca="1">IF(AB534&lt;=0,0,RANK(AB534,AB:AB)+COUNTIF($AB$3:$AB534,AB534)-1)</f>
        <v>0</v>
      </c>
      <c r="AD534" s="1123">
        <f t="shared" si="368"/>
        <v>99999</v>
      </c>
      <c r="AE534" s="1123">
        <f>IF(AD534=99999,0,RANK(AD534,AD:AD,1)+COUNTIF($AD$3:$AD534,AD534)-1)</f>
        <v>0</v>
      </c>
      <c r="AF534" s="86" t="e">
        <f ca="1">IF(OR(M534&lt;&gt;"",L534="無",K534="高資產",IFERROR(MATCH(B534,換券單檔!K:K,0),"N")&lt;&gt;"N"),FALSE,TRUE)</f>
        <v>#N/A</v>
      </c>
      <c r="AI534" s="1212" t="e">
        <f t="shared" ca="1" si="369"/>
        <v>#N/A</v>
      </c>
      <c r="AJ534" s="1213" t="e">
        <f t="shared" ca="1" si="370"/>
        <v>#N/A</v>
      </c>
      <c r="AK534" s="1587">
        <f t="shared" si="371"/>
        <v>0</v>
      </c>
      <c r="AN534" s="1212" t="e">
        <f t="shared" ca="1" si="372"/>
        <v>#N/A</v>
      </c>
      <c r="AO534" s="1213" t="e">
        <f t="shared" ca="1" si="373"/>
        <v>#N/A</v>
      </c>
      <c r="AP534" s="1587">
        <f t="shared" si="374"/>
        <v>0</v>
      </c>
      <c r="AS534" s="1212" t="e">
        <f t="shared" ca="1" si="375"/>
        <v>#N/A</v>
      </c>
      <c r="AT534" s="1213" t="e">
        <f t="shared" ca="1" si="376"/>
        <v>#N/A</v>
      </c>
      <c r="AU534" s="1587">
        <f t="shared" si="377"/>
        <v>0</v>
      </c>
      <c r="AX534" s="1212" t="e">
        <f t="shared" ca="1" si="378"/>
        <v>#N/A</v>
      </c>
      <c r="AY534" s="1213" t="e">
        <f t="shared" ca="1" si="379"/>
        <v>#N/A</v>
      </c>
      <c r="AZ534" s="1587">
        <f t="shared" si="380"/>
        <v>0</v>
      </c>
      <c r="BC534" s="1212" t="e">
        <f t="shared" ca="1" si="381"/>
        <v>#N/A</v>
      </c>
      <c r="BD534" s="1213" t="e">
        <f t="shared" ca="1" si="382"/>
        <v>#N/A</v>
      </c>
      <c r="BE534" s="1587">
        <f t="shared" si="383"/>
        <v>0</v>
      </c>
      <c r="BH534" s="1212" t="e">
        <f t="shared" ca="1" si="384"/>
        <v>#N/A</v>
      </c>
      <c r="BI534" s="1213" t="e">
        <f t="shared" ca="1" si="385"/>
        <v>#N/A</v>
      </c>
      <c r="BJ534" s="1587">
        <f t="shared" si="386"/>
        <v>0</v>
      </c>
      <c r="BM534" s="1212" t="e">
        <f t="shared" ca="1" si="387"/>
        <v>#N/A</v>
      </c>
      <c r="BN534" s="1213" t="e">
        <f t="shared" ca="1" si="388"/>
        <v>#N/A</v>
      </c>
      <c r="BO534" s="1587">
        <f t="shared" si="389"/>
        <v>0</v>
      </c>
      <c r="BR534" s="1212" t="e">
        <f t="shared" ca="1" si="390"/>
        <v>#N/A</v>
      </c>
      <c r="BS534" s="1213" t="e">
        <f t="shared" ca="1" si="391"/>
        <v>#N/A</v>
      </c>
      <c r="BT534" s="1587">
        <f t="shared" si="392"/>
        <v>0</v>
      </c>
      <c r="BW534" s="1212" t="e">
        <f t="shared" ca="1" si="393"/>
        <v>#N/A</v>
      </c>
      <c r="BX534" s="1213" t="e">
        <f t="shared" ca="1" si="394"/>
        <v>#N/A</v>
      </c>
      <c r="BY534" s="1587">
        <f t="shared" si="395"/>
        <v>0</v>
      </c>
      <c r="CB534" s="1212" t="e">
        <f t="shared" ca="1" si="396"/>
        <v>#N/A</v>
      </c>
      <c r="CC534" s="1213" t="e">
        <f t="shared" ca="1" si="397"/>
        <v>#N/A</v>
      </c>
      <c r="CD534" s="1587">
        <f t="shared" si="398"/>
        <v>0</v>
      </c>
      <c r="CG534" s="1212" t="e">
        <f t="shared" ca="1" si="399"/>
        <v>#N/A</v>
      </c>
      <c r="CH534" s="1213" t="e">
        <f t="shared" ca="1" si="400"/>
        <v>#N/A</v>
      </c>
      <c r="CI534" s="1587">
        <f t="shared" si="401"/>
        <v>0</v>
      </c>
      <c r="CL534" s="1212" t="e">
        <f t="shared" ca="1" si="402"/>
        <v>#N/A</v>
      </c>
      <c r="CM534" s="1213" t="e">
        <f t="shared" ca="1" si="403"/>
        <v>#N/A</v>
      </c>
      <c r="CN534" s="1587">
        <f t="shared" si="404"/>
        <v>0</v>
      </c>
    </row>
    <row r="535" spans="1:92">
      <c r="A535" s="141">
        <f>'銀行-TSS'!A535</f>
        <v>0</v>
      </c>
      <c r="B535" s="151">
        <f ca="1">VLOOKUP(A535,'銀行-TSS'!A:B,2,FALSE)</f>
        <v>0</v>
      </c>
      <c r="C535" s="151" t="e">
        <f ca="1">VLOOKUP(B535,bond!B:C,2,FALSE)</f>
        <v>#N/A</v>
      </c>
      <c r="D535" s="95" t="e">
        <f>VLOOKUP(A535,'銀行-TSS'!A:C,3,FALSE)</f>
        <v>#N/A</v>
      </c>
      <c r="E535" s="90" t="e">
        <f ca="1">VLOOKUP(A535,'銀行-TSS'!A:G,7,FALSE)</f>
        <v>#N/A</v>
      </c>
      <c r="F535" s="202" t="e">
        <f ca="1">VLOOKUP(A535,'銀行-TSS'!A:H,8,FALSE)</f>
        <v>#N/A</v>
      </c>
      <c r="G535" s="96" t="e">
        <f ca="1">VLOOKUP(A535,'銀行-TSS'!A:K,11,FALSE)</f>
        <v>#N/A</v>
      </c>
      <c r="H535" s="1209" t="e">
        <f ca="1">VLOOKUP(A535,'銀行-TSS'!A:M,13,FALSE)</f>
        <v>#N/A</v>
      </c>
      <c r="I535" s="1213" t="e">
        <f ca="1">VLOOKUP(A535,'銀行-TSS'!A:N,14,FALSE)</f>
        <v>#N/A</v>
      </c>
      <c r="J535" s="1213" t="e">
        <f ca="1">VLOOKUP(A535,'銀行-TSS'!A:O,15,FALSE)</f>
        <v>#N/A</v>
      </c>
      <c r="K535" s="136" t="e">
        <f ca="1">VLOOKUP(A535,'銀行-TSS'!A:V,22,FALSE)</f>
        <v>#N/A</v>
      </c>
      <c r="L535" s="136" t="e">
        <f ca="1">VLOOKUP(A535,'銀行-TSS'!A:AK,37,FALSE)</f>
        <v>#N/A</v>
      </c>
      <c r="M535" s="136" t="str">
        <f ca="1">VLOOKUP(A535,'銀行-TSS'!A:AN,40,FALSE)</f>
        <v/>
      </c>
      <c r="N535" s="136" t="e">
        <f t="shared" ca="1" si="360"/>
        <v>#N/A</v>
      </c>
      <c r="O535" s="1213" t="e">
        <f t="shared" ca="1" si="361"/>
        <v>#N/A</v>
      </c>
      <c r="P535" s="1213" t="e">
        <f ca="1">IF(AND($O$1&gt;=O535,換券單檔!$D$13=D535),I535+INT(($O$1-O535)/N535)*J535,0)</f>
        <v>#N/A</v>
      </c>
      <c r="Q535" s="1213" t="e">
        <f t="shared" ca="1" si="362"/>
        <v>#N/A</v>
      </c>
      <c r="R535" s="1213">
        <f t="shared" si="363"/>
        <v>0</v>
      </c>
      <c r="S535" s="1213">
        <f t="shared" si="364"/>
        <v>0</v>
      </c>
      <c r="T535" s="136">
        <f>IF(OR(R535=0,A535=0),0,IF(AND(V535=TRUE,換券單檔!$D$13=D535),E535,0))</f>
        <v>0</v>
      </c>
      <c r="U535" s="861">
        <f>IF(OR(R535=0,A535=0),0,IF(AND(V535=TRUE,換券單檔!$D$13=D535),H535,0))</f>
        <v>0</v>
      </c>
      <c r="V535" s="136" t="e">
        <f ca="1">IF(OR(B535=換券單檔!$D$3,L535="無",M535&lt;&gt;"",K535="高資產",IFERROR(MATCH(B535,換券單檔!K:K,0),"N")&lt;&gt;"N"),FALSE,IF($V$1="All",TRUE,IF(K535=$V$1,TRUE,FALSE)))</f>
        <v>#N/A</v>
      </c>
      <c r="W535" s="136" t="e">
        <f ca="1">VLOOKUP(A535,'銀行-TSS'!A:AO,41,FALSE)</f>
        <v>#N/A</v>
      </c>
      <c r="X535" s="136" t="e">
        <f ca="1">VLOOKUP(A535,'銀行-TSS'!A:AP,42,FALSE)</f>
        <v>#N/A</v>
      </c>
      <c r="Y535" s="1220">
        <f t="shared" si="365"/>
        <v>0</v>
      </c>
      <c r="Z535" s="1220">
        <f t="shared" si="366"/>
        <v>0</v>
      </c>
      <c r="AA535" s="136">
        <f>IF(Z535&lt;=0,0,RANK(Z535,Z:Z)+COUNTIF($Z$3:$Z535,Z535)-1)</f>
        <v>0</v>
      </c>
      <c r="AB535" s="1211">
        <f t="shared" ca="1" si="367"/>
        <v>-14896.14</v>
      </c>
      <c r="AC535" s="136">
        <f ca="1">IF(AB535&lt;=0,0,RANK(AB535,AB:AB)+COUNTIF($AB$3:$AB535,AB535)-1)</f>
        <v>0</v>
      </c>
      <c r="AD535" s="1123">
        <f t="shared" si="368"/>
        <v>99999</v>
      </c>
      <c r="AE535" s="1123">
        <f>IF(AD535=99999,0,RANK(AD535,AD:AD,1)+COUNTIF($AD$3:$AD535,AD535)-1)</f>
        <v>0</v>
      </c>
      <c r="AF535" s="86" t="e">
        <f ca="1">IF(OR(M535&lt;&gt;"",L535="無",K535="高資產",IFERROR(MATCH(B535,換券單檔!K:K,0),"N")&lt;&gt;"N"),FALSE,TRUE)</f>
        <v>#N/A</v>
      </c>
      <c r="AI535" s="1212" t="e">
        <f t="shared" ca="1" si="369"/>
        <v>#N/A</v>
      </c>
      <c r="AJ535" s="1213" t="e">
        <f t="shared" ca="1" si="370"/>
        <v>#N/A</v>
      </c>
      <c r="AK535" s="1587">
        <f t="shared" si="371"/>
        <v>0</v>
      </c>
      <c r="AN535" s="1212" t="e">
        <f t="shared" ca="1" si="372"/>
        <v>#N/A</v>
      </c>
      <c r="AO535" s="1213" t="e">
        <f t="shared" ca="1" si="373"/>
        <v>#N/A</v>
      </c>
      <c r="AP535" s="1587">
        <f t="shared" si="374"/>
        <v>0</v>
      </c>
      <c r="AS535" s="1212" t="e">
        <f t="shared" ca="1" si="375"/>
        <v>#N/A</v>
      </c>
      <c r="AT535" s="1213" t="e">
        <f t="shared" ca="1" si="376"/>
        <v>#N/A</v>
      </c>
      <c r="AU535" s="1587">
        <f t="shared" si="377"/>
        <v>0</v>
      </c>
      <c r="AX535" s="1212" t="e">
        <f t="shared" ca="1" si="378"/>
        <v>#N/A</v>
      </c>
      <c r="AY535" s="1213" t="e">
        <f t="shared" ca="1" si="379"/>
        <v>#N/A</v>
      </c>
      <c r="AZ535" s="1587">
        <f t="shared" si="380"/>
        <v>0</v>
      </c>
      <c r="BC535" s="1212" t="e">
        <f t="shared" ca="1" si="381"/>
        <v>#N/A</v>
      </c>
      <c r="BD535" s="1213" t="e">
        <f t="shared" ca="1" si="382"/>
        <v>#N/A</v>
      </c>
      <c r="BE535" s="1587">
        <f t="shared" si="383"/>
        <v>0</v>
      </c>
      <c r="BH535" s="1212" t="e">
        <f t="shared" ca="1" si="384"/>
        <v>#N/A</v>
      </c>
      <c r="BI535" s="1213" t="e">
        <f t="shared" ca="1" si="385"/>
        <v>#N/A</v>
      </c>
      <c r="BJ535" s="1587">
        <f t="shared" si="386"/>
        <v>0</v>
      </c>
      <c r="BM535" s="1212" t="e">
        <f t="shared" ca="1" si="387"/>
        <v>#N/A</v>
      </c>
      <c r="BN535" s="1213" t="e">
        <f t="shared" ca="1" si="388"/>
        <v>#N/A</v>
      </c>
      <c r="BO535" s="1587">
        <f t="shared" si="389"/>
        <v>0</v>
      </c>
      <c r="BR535" s="1212" t="e">
        <f t="shared" ca="1" si="390"/>
        <v>#N/A</v>
      </c>
      <c r="BS535" s="1213" t="e">
        <f t="shared" ca="1" si="391"/>
        <v>#N/A</v>
      </c>
      <c r="BT535" s="1587">
        <f t="shared" si="392"/>
        <v>0</v>
      </c>
      <c r="BW535" s="1212" t="e">
        <f t="shared" ca="1" si="393"/>
        <v>#N/A</v>
      </c>
      <c r="BX535" s="1213" t="e">
        <f t="shared" ca="1" si="394"/>
        <v>#N/A</v>
      </c>
      <c r="BY535" s="1587">
        <f t="shared" si="395"/>
        <v>0</v>
      </c>
      <c r="CB535" s="1212" t="e">
        <f t="shared" ca="1" si="396"/>
        <v>#N/A</v>
      </c>
      <c r="CC535" s="1213" t="e">
        <f t="shared" ca="1" si="397"/>
        <v>#N/A</v>
      </c>
      <c r="CD535" s="1587">
        <f t="shared" si="398"/>
        <v>0</v>
      </c>
      <c r="CG535" s="1212" t="e">
        <f t="shared" ca="1" si="399"/>
        <v>#N/A</v>
      </c>
      <c r="CH535" s="1213" t="e">
        <f t="shared" ca="1" si="400"/>
        <v>#N/A</v>
      </c>
      <c r="CI535" s="1587">
        <f t="shared" si="401"/>
        <v>0</v>
      </c>
      <c r="CL535" s="1212" t="e">
        <f t="shared" ca="1" si="402"/>
        <v>#N/A</v>
      </c>
      <c r="CM535" s="1213" t="e">
        <f t="shared" ca="1" si="403"/>
        <v>#N/A</v>
      </c>
      <c r="CN535" s="1587">
        <f t="shared" si="404"/>
        <v>0</v>
      </c>
    </row>
    <row r="536" spans="1:92">
      <c r="A536" s="141">
        <f>'銀行-TSS'!A536</f>
        <v>0</v>
      </c>
      <c r="B536" s="151">
        <f ca="1">VLOOKUP(A536,'銀行-TSS'!A:B,2,FALSE)</f>
        <v>0</v>
      </c>
      <c r="C536" s="151" t="e">
        <f ca="1">VLOOKUP(B536,bond!B:C,2,FALSE)</f>
        <v>#N/A</v>
      </c>
      <c r="D536" s="95" t="e">
        <f>VLOOKUP(A536,'銀行-TSS'!A:C,3,FALSE)</f>
        <v>#N/A</v>
      </c>
      <c r="E536" s="90" t="e">
        <f ca="1">VLOOKUP(A536,'銀行-TSS'!A:G,7,FALSE)</f>
        <v>#N/A</v>
      </c>
      <c r="F536" s="202" t="e">
        <f ca="1">VLOOKUP(A536,'銀行-TSS'!A:H,8,FALSE)</f>
        <v>#N/A</v>
      </c>
      <c r="G536" s="96" t="e">
        <f ca="1">VLOOKUP(A536,'銀行-TSS'!A:K,11,FALSE)</f>
        <v>#N/A</v>
      </c>
      <c r="H536" s="1209" t="e">
        <f ca="1">VLOOKUP(A536,'銀行-TSS'!A:M,13,FALSE)</f>
        <v>#N/A</v>
      </c>
      <c r="I536" s="1213" t="e">
        <f ca="1">VLOOKUP(A536,'銀行-TSS'!A:N,14,FALSE)</f>
        <v>#N/A</v>
      </c>
      <c r="J536" s="1213" t="e">
        <f ca="1">VLOOKUP(A536,'銀行-TSS'!A:O,15,FALSE)</f>
        <v>#N/A</v>
      </c>
      <c r="K536" s="136" t="e">
        <f ca="1">VLOOKUP(A536,'銀行-TSS'!A:V,22,FALSE)</f>
        <v>#N/A</v>
      </c>
      <c r="L536" s="136" t="e">
        <f ca="1">VLOOKUP(A536,'銀行-TSS'!A:AK,37,FALSE)</f>
        <v>#N/A</v>
      </c>
      <c r="M536" s="136" t="str">
        <f ca="1">VLOOKUP(A536,'銀行-TSS'!A:AN,40,FALSE)</f>
        <v/>
      </c>
      <c r="N536" s="136" t="e">
        <f t="shared" ca="1" si="360"/>
        <v>#N/A</v>
      </c>
      <c r="O536" s="1213" t="e">
        <f t="shared" ca="1" si="361"/>
        <v>#N/A</v>
      </c>
      <c r="P536" s="1213" t="e">
        <f ca="1">IF(AND($O$1&gt;=O536,換券單檔!$D$13=D536),I536+INT(($O$1-O536)/N536)*J536,0)</f>
        <v>#N/A</v>
      </c>
      <c r="Q536" s="1213" t="e">
        <f t="shared" ca="1" si="362"/>
        <v>#N/A</v>
      </c>
      <c r="R536" s="1213">
        <f t="shared" si="363"/>
        <v>0</v>
      </c>
      <c r="S536" s="1213">
        <f t="shared" si="364"/>
        <v>0</v>
      </c>
      <c r="T536" s="136">
        <f>IF(OR(R536=0,A536=0),0,IF(AND(V536=TRUE,換券單檔!$D$13=D536),E536,0))</f>
        <v>0</v>
      </c>
      <c r="U536" s="861">
        <f>IF(OR(R536=0,A536=0),0,IF(AND(V536=TRUE,換券單檔!$D$13=D536),H536,0))</f>
        <v>0</v>
      </c>
      <c r="V536" s="136" t="e">
        <f ca="1">IF(OR(B536=換券單檔!$D$3,L536="無",M536&lt;&gt;"",K536="高資產",IFERROR(MATCH(B536,換券單檔!K:K,0),"N")&lt;&gt;"N"),FALSE,IF($V$1="All",TRUE,IF(K536=$V$1,TRUE,FALSE)))</f>
        <v>#N/A</v>
      </c>
      <c r="W536" s="136" t="e">
        <f ca="1">VLOOKUP(A536,'銀行-TSS'!A:AO,41,FALSE)</f>
        <v>#N/A</v>
      </c>
      <c r="X536" s="136" t="e">
        <f ca="1">VLOOKUP(A536,'銀行-TSS'!A:AP,42,FALSE)</f>
        <v>#N/A</v>
      </c>
      <c r="Y536" s="1220">
        <f t="shared" si="365"/>
        <v>0</v>
      </c>
      <c r="Z536" s="1220">
        <f t="shared" si="366"/>
        <v>0</v>
      </c>
      <c r="AA536" s="136">
        <f>IF(Z536&lt;=0,0,RANK(Z536,Z:Z)+COUNTIF($Z$3:$Z536,Z536)-1)</f>
        <v>0</v>
      </c>
      <c r="AB536" s="1211">
        <f t="shared" ca="1" si="367"/>
        <v>-14896.14</v>
      </c>
      <c r="AC536" s="136">
        <f ca="1">IF(AB536&lt;=0,0,RANK(AB536,AB:AB)+COUNTIF($AB$3:$AB536,AB536)-1)</f>
        <v>0</v>
      </c>
      <c r="AD536" s="1123">
        <f t="shared" si="368"/>
        <v>99999</v>
      </c>
      <c r="AE536" s="1123">
        <f>IF(AD536=99999,0,RANK(AD536,AD:AD,1)+COUNTIF($AD$3:$AD536,AD536)-1)</f>
        <v>0</v>
      </c>
      <c r="AF536" s="86" t="e">
        <f ca="1">IF(OR(M536&lt;&gt;"",L536="無",K536="高資產",IFERROR(MATCH(B536,換券單檔!K:K,0),"N")&lt;&gt;"N"),FALSE,TRUE)</f>
        <v>#N/A</v>
      </c>
      <c r="AI536" s="1212" t="e">
        <f t="shared" ca="1" si="369"/>
        <v>#N/A</v>
      </c>
      <c r="AJ536" s="1213" t="e">
        <f t="shared" ca="1" si="370"/>
        <v>#N/A</v>
      </c>
      <c r="AK536" s="1587">
        <f t="shared" si="371"/>
        <v>0</v>
      </c>
      <c r="AN536" s="1212" t="e">
        <f t="shared" ca="1" si="372"/>
        <v>#N/A</v>
      </c>
      <c r="AO536" s="1213" t="e">
        <f t="shared" ca="1" si="373"/>
        <v>#N/A</v>
      </c>
      <c r="AP536" s="1587">
        <f t="shared" si="374"/>
        <v>0</v>
      </c>
      <c r="AS536" s="1212" t="e">
        <f t="shared" ca="1" si="375"/>
        <v>#N/A</v>
      </c>
      <c r="AT536" s="1213" t="e">
        <f t="shared" ca="1" si="376"/>
        <v>#N/A</v>
      </c>
      <c r="AU536" s="1587">
        <f t="shared" si="377"/>
        <v>0</v>
      </c>
      <c r="AX536" s="1212" t="e">
        <f t="shared" ca="1" si="378"/>
        <v>#N/A</v>
      </c>
      <c r="AY536" s="1213" t="e">
        <f t="shared" ca="1" si="379"/>
        <v>#N/A</v>
      </c>
      <c r="AZ536" s="1587">
        <f t="shared" si="380"/>
        <v>0</v>
      </c>
      <c r="BC536" s="1212" t="e">
        <f t="shared" ca="1" si="381"/>
        <v>#N/A</v>
      </c>
      <c r="BD536" s="1213" t="e">
        <f t="shared" ca="1" si="382"/>
        <v>#N/A</v>
      </c>
      <c r="BE536" s="1587">
        <f t="shared" si="383"/>
        <v>0</v>
      </c>
      <c r="BH536" s="1212" t="e">
        <f t="shared" ca="1" si="384"/>
        <v>#N/A</v>
      </c>
      <c r="BI536" s="1213" t="e">
        <f t="shared" ca="1" si="385"/>
        <v>#N/A</v>
      </c>
      <c r="BJ536" s="1587">
        <f t="shared" si="386"/>
        <v>0</v>
      </c>
      <c r="BM536" s="1212" t="e">
        <f t="shared" ca="1" si="387"/>
        <v>#N/A</v>
      </c>
      <c r="BN536" s="1213" t="e">
        <f t="shared" ca="1" si="388"/>
        <v>#N/A</v>
      </c>
      <c r="BO536" s="1587">
        <f t="shared" si="389"/>
        <v>0</v>
      </c>
      <c r="BR536" s="1212" t="e">
        <f t="shared" ca="1" si="390"/>
        <v>#N/A</v>
      </c>
      <c r="BS536" s="1213" t="e">
        <f t="shared" ca="1" si="391"/>
        <v>#N/A</v>
      </c>
      <c r="BT536" s="1587">
        <f t="shared" si="392"/>
        <v>0</v>
      </c>
      <c r="BW536" s="1212" t="e">
        <f t="shared" ca="1" si="393"/>
        <v>#N/A</v>
      </c>
      <c r="BX536" s="1213" t="e">
        <f t="shared" ca="1" si="394"/>
        <v>#N/A</v>
      </c>
      <c r="BY536" s="1587">
        <f t="shared" si="395"/>
        <v>0</v>
      </c>
      <c r="CB536" s="1212" t="e">
        <f t="shared" ca="1" si="396"/>
        <v>#N/A</v>
      </c>
      <c r="CC536" s="1213" t="e">
        <f t="shared" ca="1" si="397"/>
        <v>#N/A</v>
      </c>
      <c r="CD536" s="1587">
        <f t="shared" si="398"/>
        <v>0</v>
      </c>
      <c r="CG536" s="1212" t="e">
        <f t="shared" ca="1" si="399"/>
        <v>#N/A</v>
      </c>
      <c r="CH536" s="1213" t="e">
        <f t="shared" ca="1" si="400"/>
        <v>#N/A</v>
      </c>
      <c r="CI536" s="1587">
        <f t="shared" si="401"/>
        <v>0</v>
      </c>
      <c r="CL536" s="1212" t="e">
        <f t="shared" ca="1" si="402"/>
        <v>#N/A</v>
      </c>
      <c r="CM536" s="1213" t="e">
        <f t="shared" ca="1" si="403"/>
        <v>#N/A</v>
      </c>
      <c r="CN536" s="1587">
        <f t="shared" si="404"/>
        <v>0</v>
      </c>
    </row>
    <row r="537" spans="1:92">
      <c r="A537" s="141">
        <f>'銀行-TSS'!A537</f>
        <v>0</v>
      </c>
      <c r="B537" s="151">
        <f ca="1">VLOOKUP(A537,'銀行-TSS'!A:B,2,FALSE)</f>
        <v>0</v>
      </c>
      <c r="C537" s="151" t="e">
        <f ca="1">VLOOKUP(B537,bond!B:C,2,FALSE)</f>
        <v>#N/A</v>
      </c>
      <c r="D537" s="95" t="e">
        <f>VLOOKUP(A537,'銀行-TSS'!A:C,3,FALSE)</f>
        <v>#N/A</v>
      </c>
      <c r="E537" s="90" t="e">
        <f ca="1">VLOOKUP(A537,'銀行-TSS'!A:G,7,FALSE)</f>
        <v>#N/A</v>
      </c>
      <c r="F537" s="202" t="e">
        <f ca="1">VLOOKUP(A537,'銀行-TSS'!A:H,8,FALSE)</f>
        <v>#N/A</v>
      </c>
      <c r="G537" s="96" t="e">
        <f ca="1">VLOOKUP(A537,'銀行-TSS'!A:K,11,FALSE)</f>
        <v>#N/A</v>
      </c>
      <c r="H537" s="1209" t="e">
        <f ca="1">VLOOKUP(A537,'銀行-TSS'!A:M,13,FALSE)</f>
        <v>#N/A</v>
      </c>
      <c r="I537" s="1213" t="e">
        <f ca="1">VLOOKUP(A537,'銀行-TSS'!A:N,14,FALSE)</f>
        <v>#N/A</v>
      </c>
      <c r="J537" s="1213" t="e">
        <f ca="1">VLOOKUP(A537,'銀行-TSS'!A:O,15,FALSE)</f>
        <v>#N/A</v>
      </c>
      <c r="K537" s="136" t="e">
        <f ca="1">VLOOKUP(A537,'銀行-TSS'!A:V,22,FALSE)</f>
        <v>#N/A</v>
      </c>
      <c r="L537" s="136" t="e">
        <f ca="1">VLOOKUP(A537,'銀行-TSS'!A:AK,37,FALSE)</f>
        <v>#N/A</v>
      </c>
      <c r="M537" s="136" t="str">
        <f ca="1">VLOOKUP(A537,'銀行-TSS'!A:AN,40,FALSE)</f>
        <v/>
      </c>
      <c r="N537" s="136" t="e">
        <f t="shared" ca="1" si="360"/>
        <v>#N/A</v>
      </c>
      <c r="O537" s="1213" t="e">
        <f t="shared" ca="1" si="361"/>
        <v>#N/A</v>
      </c>
      <c r="P537" s="1213" t="e">
        <f ca="1">IF(AND($O$1&gt;=O537,換券單檔!$D$13=D537),I537+INT(($O$1-O537)/N537)*J537,0)</f>
        <v>#N/A</v>
      </c>
      <c r="Q537" s="1213" t="e">
        <f t="shared" ca="1" si="362"/>
        <v>#N/A</v>
      </c>
      <c r="R537" s="1213">
        <f t="shared" si="363"/>
        <v>0</v>
      </c>
      <c r="S537" s="1213">
        <f t="shared" si="364"/>
        <v>0</v>
      </c>
      <c r="T537" s="136">
        <f>IF(OR(R537=0,A537=0),0,IF(AND(V537=TRUE,換券單檔!$D$13=D537),E537,0))</f>
        <v>0</v>
      </c>
      <c r="U537" s="861">
        <f>IF(OR(R537=0,A537=0),0,IF(AND(V537=TRUE,換券單檔!$D$13=D537),H537,0))</f>
        <v>0</v>
      </c>
      <c r="V537" s="136" t="e">
        <f ca="1">IF(OR(B537=換券單檔!$D$3,L537="無",M537&lt;&gt;"",K537="高資產",IFERROR(MATCH(B537,換券單檔!K:K,0),"N")&lt;&gt;"N"),FALSE,IF($V$1="All",TRUE,IF(K537=$V$1,TRUE,FALSE)))</f>
        <v>#N/A</v>
      </c>
      <c r="W537" s="136" t="e">
        <f ca="1">VLOOKUP(A537,'銀行-TSS'!A:AO,41,FALSE)</f>
        <v>#N/A</v>
      </c>
      <c r="X537" s="136" t="e">
        <f ca="1">VLOOKUP(A537,'銀行-TSS'!A:AP,42,FALSE)</f>
        <v>#N/A</v>
      </c>
      <c r="Y537" s="1220">
        <f t="shared" si="365"/>
        <v>0</v>
      </c>
      <c r="Z537" s="1220">
        <f t="shared" si="366"/>
        <v>0</v>
      </c>
      <c r="AA537" s="136">
        <f>IF(Z537&lt;=0,0,RANK(Z537,Z:Z)+COUNTIF($Z$3:$Z537,Z537)-1)</f>
        <v>0</v>
      </c>
      <c r="AB537" s="1211">
        <f t="shared" ca="1" si="367"/>
        <v>-14896.14</v>
      </c>
      <c r="AC537" s="136">
        <f ca="1">IF(AB537&lt;=0,0,RANK(AB537,AB:AB)+COUNTIF($AB$3:$AB537,AB537)-1)</f>
        <v>0</v>
      </c>
      <c r="AD537" s="1123">
        <f t="shared" si="368"/>
        <v>99999</v>
      </c>
      <c r="AE537" s="1123">
        <f>IF(AD537=99999,0,RANK(AD537,AD:AD,1)+COUNTIF($AD$3:$AD537,AD537)-1)</f>
        <v>0</v>
      </c>
      <c r="AF537" s="86" t="e">
        <f ca="1">IF(OR(M537&lt;&gt;"",L537="無",K537="高資產",IFERROR(MATCH(B537,換券單檔!K:K,0),"N")&lt;&gt;"N"),FALSE,TRUE)</f>
        <v>#N/A</v>
      </c>
      <c r="AI537" s="1212" t="e">
        <f t="shared" ca="1" si="369"/>
        <v>#N/A</v>
      </c>
      <c r="AJ537" s="1213" t="e">
        <f t="shared" ca="1" si="370"/>
        <v>#N/A</v>
      </c>
      <c r="AK537" s="1587">
        <f t="shared" si="371"/>
        <v>0</v>
      </c>
      <c r="AN537" s="1212" t="e">
        <f t="shared" ca="1" si="372"/>
        <v>#N/A</v>
      </c>
      <c r="AO537" s="1213" t="e">
        <f t="shared" ca="1" si="373"/>
        <v>#N/A</v>
      </c>
      <c r="AP537" s="1587">
        <f t="shared" si="374"/>
        <v>0</v>
      </c>
      <c r="AS537" s="1212" t="e">
        <f t="shared" ca="1" si="375"/>
        <v>#N/A</v>
      </c>
      <c r="AT537" s="1213" t="e">
        <f t="shared" ca="1" si="376"/>
        <v>#N/A</v>
      </c>
      <c r="AU537" s="1587">
        <f t="shared" si="377"/>
        <v>0</v>
      </c>
      <c r="AX537" s="1212" t="e">
        <f t="shared" ca="1" si="378"/>
        <v>#N/A</v>
      </c>
      <c r="AY537" s="1213" t="e">
        <f t="shared" ca="1" si="379"/>
        <v>#N/A</v>
      </c>
      <c r="AZ537" s="1587">
        <f t="shared" si="380"/>
        <v>0</v>
      </c>
      <c r="BC537" s="1212" t="e">
        <f t="shared" ca="1" si="381"/>
        <v>#N/A</v>
      </c>
      <c r="BD537" s="1213" t="e">
        <f t="shared" ca="1" si="382"/>
        <v>#N/A</v>
      </c>
      <c r="BE537" s="1587">
        <f t="shared" si="383"/>
        <v>0</v>
      </c>
      <c r="BH537" s="1212" t="e">
        <f t="shared" ca="1" si="384"/>
        <v>#N/A</v>
      </c>
      <c r="BI537" s="1213" t="e">
        <f t="shared" ca="1" si="385"/>
        <v>#N/A</v>
      </c>
      <c r="BJ537" s="1587">
        <f t="shared" si="386"/>
        <v>0</v>
      </c>
      <c r="BM537" s="1212" t="e">
        <f t="shared" ca="1" si="387"/>
        <v>#N/A</v>
      </c>
      <c r="BN537" s="1213" t="e">
        <f t="shared" ca="1" si="388"/>
        <v>#N/A</v>
      </c>
      <c r="BO537" s="1587">
        <f t="shared" si="389"/>
        <v>0</v>
      </c>
      <c r="BR537" s="1212" t="e">
        <f t="shared" ca="1" si="390"/>
        <v>#N/A</v>
      </c>
      <c r="BS537" s="1213" t="e">
        <f t="shared" ca="1" si="391"/>
        <v>#N/A</v>
      </c>
      <c r="BT537" s="1587">
        <f t="shared" si="392"/>
        <v>0</v>
      </c>
      <c r="BW537" s="1212" t="e">
        <f t="shared" ca="1" si="393"/>
        <v>#N/A</v>
      </c>
      <c r="BX537" s="1213" t="e">
        <f t="shared" ca="1" si="394"/>
        <v>#N/A</v>
      </c>
      <c r="BY537" s="1587">
        <f t="shared" si="395"/>
        <v>0</v>
      </c>
      <c r="CB537" s="1212" t="e">
        <f t="shared" ca="1" si="396"/>
        <v>#N/A</v>
      </c>
      <c r="CC537" s="1213" t="e">
        <f t="shared" ca="1" si="397"/>
        <v>#N/A</v>
      </c>
      <c r="CD537" s="1587">
        <f t="shared" si="398"/>
        <v>0</v>
      </c>
      <c r="CG537" s="1212" t="e">
        <f t="shared" ca="1" si="399"/>
        <v>#N/A</v>
      </c>
      <c r="CH537" s="1213" t="e">
        <f t="shared" ca="1" si="400"/>
        <v>#N/A</v>
      </c>
      <c r="CI537" s="1587">
        <f t="shared" si="401"/>
        <v>0</v>
      </c>
      <c r="CL537" s="1212" t="e">
        <f t="shared" ca="1" si="402"/>
        <v>#N/A</v>
      </c>
      <c r="CM537" s="1213" t="e">
        <f t="shared" ca="1" si="403"/>
        <v>#N/A</v>
      </c>
      <c r="CN537" s="1587">
        <f t="shared" si="404"/>
        <v>0</v>
      </c>
    </row>
    <row r="538" spans="1:92">
      <c r="A538" s="141">
        <f>'銀行-TSS'!A538</f>
        <v>0</v>
      </c>
      <c r="B538" s="151">
        <f ca="1">VLOOKUP(A538,'銀行-TSS'!A:B,2,FALSE)</f>
        <v>0</v>
      </c>
      <c r="C538" s="151" t="e">
        <f ca="1">VLOOKUP(B538,bond!B:C,2,FALSE)</f>
        <v>#N/A</v>
      </c>
      <c r="D538" s="95" t="e">
        <f>VLOOKUP(A538,'銀行-TSS'!A:C,3,FALSE)</f>
        <v>#N/A</v>
      </c>
      <c r="E538" s="90" t="e">
        <f ca="1">VLOOKUP(A538,'銀行-TSS'!A:G,7,FALSE)</f>
        <v>#N/A</v>
      </c>
      <c r="F538" s="202" t="e">
        <f ca="1">VLOOKUP(A538,'銀行-TSS'!A:H,8,FALSE)</f>
        <v>#N/A</v>
      </c>
      <c r="G538" s="96" t="e">
        <f ca="1">VLOOKUP(A538,'銀行-TSS'!A:K,11,FALSE)</f>
        <v>#N/A</v>
      </c>
      <c r="H538" s="1209" t="e">
        <f ca="1">VLOOKUP(A538,'銀行-TSS'!A:M,13,FALSE)</f>
        <v>#N/A</v>
      </c>
      <c r="I538" s="1213" t="e">
        <f ca="1">VLOOKUP(A538,'銀行-TSS'!A:N,14,FALSE)</f>
        <v>#N/A</v>
      </c>
      <c r="J538" s="1213" t="e">
        <f ca="1">VLOOKUP(A538,'銀行-TSS'!A:O,15,FALSE)</f>
        <v>#N/A</v>
      </c>
      <c r="K538" s="136" t="e">
        <f ca="1">VLOOKUP(A538,'銀行-TSS'!A:V,22,FALSE)</f>
        <v>#N/A</v>
      </c>
      <c r="L538" s="136" t="e">
        <f ca="1">VLOOKUP(A538,'銀行-TSS'!A:AK,37,FALSE)</f>
        <v>#N/A</v>
      </c>
      <c r="M538" s="136" t="str">
        <f ca="1">VLOOKUP(A538,'銀行-TSS'!A:AN,40,FALSE)</f>
        <v/>
      </c>
      <c r="N538" s="136" t="e">
        <f t="shared" ca="1" si="360"/>
        <v>#N/A</v>
      </c>
      <c r="O538" s="1213" t="e">
        <f t="shared" ca="1" si="361"/>
        <v>#N/A</v>
      </c>
      <c r="P538" s="1213" t="e">
        <f ca="1">IF(AND($O$1&gt;=O538,換券單檔!$D$13=D538),I538+INT(($O$1-O538)/N538)*J538,0)</f>
        <v>#N/A</v>
      </c>
      <c r="Q538" s="1213" t="e">
        <f t="shared" ca="1" si="362"/>
        <v>#N/A</v>
      </c>
      <c r="R538" s="1213">
        <f t="shared" si="363"/>
        <v>0</v>
      </c>
      <c r="S538" s="1213">
        <f t="shared" si="364"/>
        <v>0</v>
      </c>
      <c r="T538" s="136">
        <f>IF(OR(R538=0,A538=0),0,IF(AND(V538=TRUE,換券單檔!$D$13=D538),E538,0))</f>
        <v>0</v>
      </c>
      <c r="U538" s="861">
        <f>IF(OR(R538=0,A538=0),0,IF(AND(V538=TRUE,換券單檔!$D$13=D538),H538,0))</f>
        <v>0</v>
      </c>
      <c r="V538" s="136" t="e">
        <f ca="1">IF(OR(B538=換券單檔!$D$3,L538="無",M538&lt;&gt;"",K538="高資產",IFERROR(MATCH(B538,換券單檔!K:K,0),"N")&lt;&gt;"N"),FALSE,IF($V$1="All",TRUE,IF(K538=$V$1,TRUE,FALSE)))</f>
        <v>#N/A</v>
      </c>
      <c r="W538" s="136" t="e">
        <f ca="1">VLOOKUP(A538,'銀行-TSS'!A:AO,41,FALSE)</f>
        <v>#N/A</v>
      </c>
      <c r="X538" s="136" t="e">
        <f ca="1">VLOOKUP(A538,'銀行-TSS'!A:AP,42,FALSE)</f>
        <v>#N/A</v>
      </c>
      <c r="Y538" s="1220">
        <f t="shared" si="365"/>
        <v>0</v>
      </c>
      <c r="Z538" s="1220">
        <f t="shared" si="366"/>
        <v>0</v>
      </c>
      <c r="AA538" s="136">
        <f>IF(Z538&lt;=0,0,RANK(Z538,Z:Z)+COUNTIF($Z$3:$Z538,Z538)-1)</f>
        <v>0</v>
      </c>
      <c r="AB538" s="1211">
        <f t="shared" ca="1" si="367"/>
        <v>-14896.14</v>
      </c>
      <c r="AC538" s="136">
        <f ca="1">IF(AB538&lt;=0,0,RANK(AB538,AB:AB)+COUNTIF($AB$3:$AB538,AB538)-1)</f>
        <v>0</v>
      </c>
      <c r="AD538" s="1123">
        <f t="shared" si="368"/>
        <v>99999</v>
      </c>
      <c r="AE538" s="1123">
        <f>IF(AD538=99999,0,RANK(AD538,AD:AD,1)+COUNTIF($AD$3:$AD538,AD538)-1)</f>
        <v>0</v>
      </c>
      <c r="AF538" s="86" t="e">
        <f ca="1">IF(OR(M538&lt;&gt;"",L538="無",K538="高資產",IFERROR(MATCH(B538,換券單檔!K:K,0),"N")&lt;&gt;"N"),FALSE,TRUE)</f>
        <v>#N/A</v>
      </c>
      <c r="AI538" s="1212" t="e">
        <f t="shared" ca="1" si="369"/>
        <v>#N/A</v>
      </c>
      <c r="AJ538" s="1213" t="e">
        <f t="shared" ca="1" si="370"/>
        <v>#N/A</v>
      </c>
      <c r="AK538" s="1587">
        <f t="shared" si="371"/>
        <v>0</v>
      </c>
      <c r="AN538" s="1212" t="e">
        <f t="shared" ca="1" si="372"/>
        <v>#N/A</v>
      </c>
      <c r="AO538" s="1213" t="e">
        <f t="shared" ca="1" si="373"/>
        <v>#N/A</v>
      </c>
      <c r="AP538" s="1587">
        <f t="shared" si="374"/>
        <v>0</v>
      </c>
      <c r="AS538" s="1212" t="e">
        <f t="shared" ca="1" si="375"/>
        <v>#N/A</v>
      </c>
      <c r="AT538" s="1213" t="e">
        <f t="shared" ca="1" si="376"/>
        <v>#N/A</v>
      </c>
      <c r="AU538" s="1587">
        <f t="shared" si="377"/>
        <v>0</v>
      </c>
      <c r="AX538" s="1212" t="e">
        <f t="shared" ca="1" si="378"/>
        <v>#N/A</v>
      </c>
      <c r="AY538" s="1213" t="e">
        <f t="shared" ca="1" si="379"/>
        <v>#N/A</v>
      </c>
      <c r="AZ538" s="1587">
        <f t="shared" si="380"/>
        <v>0</v>
      </c>
      <c r="BC538" s="1212" t="e">
        <f t="shared" ca="1" si="381"/>
        <v>#N/A</v>
      </c>
      <c r="BD538" s="1213" t="e">
        <f t="shared" ca="1" si="382"/>
        <v>#N/A</v>
      </c>
      <c r="BE538" s="1587">
        <f t="shared" si="383"/>
        <v>0</v>
      </c>
      <c r="BH538" s="1212" t="e">
        <f t="shared" ca="1" si="384"/>
        <v>#N/A</v>
      </c>
      <c r="BI538" s="1213" t="e">
        <f t="shared" ca="1" si="385"/>
        <v>#N/A</v>
      </c>
      <c r="BJ538" s="1587">
        <f t="shared" si="386"/>
        <v>0</v>
      </c>
      <c r="BM538" s="1212" t="e">
        <f t="shared" ca="1" si="387"/>
        <v>#N/A</v>
      </c>
      <c r="BN538" s="1213" t="e">
        <f t="shared" ca="1" si="388"/>
        <v>#N/A</v>
      </c>
      <c r="BO538" s="1587">
        <f t="shared" si="389"/>
        <v>0</v>
      </c>
      <c r="BR538" s="1212" t="e">
        <f t="shared" ca="1" si="390"/>
        <v>#N/A</v>
      </c>
      <c r="BS538" s="1213" t="e">
        <f t="shared" ca="1" si="391"/>
        <v>#N/A</v>
      </c>
      <c r="BT538" s="1587">
        <f t="shared" si="392"/>
        <v>0</v>
      </c>
      <c r="BW538" s="1212" t="e">
        <f t="shared" ca="1" si="393"/>
        <v>#N/A</v>
      </c>
      <c r="BX538" s="1213" t="e">
        <f t="shared" ca="1" si="394"/>
        <v>#N/A</v>
      </c>
      <c r="BY538" s="1587">
        <f t="shared" si="395"/>
        <v>0</v>
      </c>
      <c r="CB538" s="1212" t="e">
        <f t="shared" ca="1" si="396"/>
        <v>#N/A</v>
      </c>
      <c r="CC538" s="1213" t="e">
        <f t="shared" ca="1" si="397"/>
        <v>#N/A</v>
      </c>
      <c r="CD538" s="1587">
        <f t="shared" si="398"/>
        <v>0</v>
      </c>
      <c r="CG538" s="1212" t="e">
        <f t="shared" ca="1" si="399"/>
        <v>#N/A</v>
      </c>
      <c r="CH538" s="1213" t="e">
        <f t="shared" ca="1" si="400"/>
        <v>#N/A</v>
      </c>
      <c r="CI538" s="1587">
        <f t="shared" si="401"/>
        <v>0</v>
      </c>
      <c r="CL538" s="1212" t="e">
        <f t="shared" ca="1" si="402"/>
        <v>#N/A</v>
      </c>
      <c r="CM538" s="1213" t="e">
        <f t="shared" ca="1" si="403"/>
        <v>#N/A</v>
      </c>
      <c r="CN538" s="1587">
        <f t="shared" si="404"/>
        <v>0</v>
      </c>
    </row>
    <row r="539" spans="1:92">
      <c r="A539" s="141">
        <f>'銀行-TSS'!A539</f>
        <v>0</v>
      </c>
      <c r="B539" s="151">
        <f ca="1">VLOOKUP(A539,'銀行-TSS'!A:B,2,FALSE)</f>
        <v>0</v>
      </c>
      <c r="C539" s="151" t="e">
        <f ca="1">VLOOKUP(B539,bond!B:C,2,FALSE)</f>
        <v>#N/A</v>
      </c>
      <c r="D539" s="95" t="e">
        <f>VLOOKUP(A539,'銀行-TSS'!A:C,3,FALSE)</f>
        <v>#N/A</v>
      </c>
      <c r="E539" s="90" t="e">
        <f ca="1">VLOOKUP(A539,'銀行-TSS'!A:G,7,FALSE)</f>
        <v>#N/A</v>
      </c>
      <c r="F539" s="202" t="e">
        <f ca="1">VLOOKUP(A539,'銀行-TSS'!A:H,8,FALSE)</f>
        <v>#N/A</v>
      </c>
      <c r="G539" s="96" t="e">
        <f ca="1">VLOOKUP(A539,'銀行-TSS'!A:K,11,FALSE)</f>
        <v>#N/A</v>
      </c>
      <c r="H539" s="1209" t="e">
        <f ca="1">VLOOKUP(A539,'銀行-TSS'!A:M,13,FALSE)</f>
        <v>#N/A</v>
      </c>
      <c r="I539" s="1213" t="e">
        <f ca="1">VLOOKUP(A539,'銀行-TSS'!A:N,14,FALSE)</f>
        <v>#N/A</v>
      </c>
      <c r="J539" s="1213" t="e">
        <f ca="1">VLOOKUP(A539,'銀行-TSS'!A:O,15,FALSE)</f>
        <v>#N/A</v>
      </c>
      <c r="K539" s="136" t="e">
        <f ca="1">VLOOKUP(A539,'銀行-TSS'!A:V,22,FALSE)</f>
        <v>#N/A</v>
      </c>
      <c r="L539" s="136" t="e">
        <f ca="1">VLOOKUP(A539,'銀行-TSS'!A:AK,37,FALSE)</f>
        <v>#N/A</v>
      </c>
      <c r="M539" s="136" t="str">
        <f ca="1">VLOOKUP(A539,'銀行-TSS'!A:AN,40,FALSE)</f>
        <v/>
      </c>
      <c r="N539" s="136" t="e">
        <f t="shared" ca="1" si="360"/>
        <v>#N/A</v>
      </c>
      <c r="O539" s="1213" t="e">
        <f t="shared" ca="1" si="361"/>
        <v>#N/A</v>
      </c>
      <c r="P539" s="1213" t="e">
        <f ca="1">IF(AND($O$1&gt;=O539,換券單檔!$D$13=D539),I539+INT(($O$1-O539)/N539)*J539,0)</f>
        <v>#N/A</v>
      </c>
      <c r="Q539" s="1213" t="e">
        <f t="shared" ca="1" si="362"/>
        <v>#N/A</v>
      </c>
      <c r="R539" s="1213">
        <f t="shared" si="363"/>
        <v>0</v>
      </c>
      <c r="S539" s="1213">
        <f t="shared" si="364"/>
        <v>0</v>
      </c>
      <c r="T539" s="136">
        <f>IF(OR(R539=0,A539=0),0,IF(AND(V539=TRUE,換券單檔!$D$13=D539),E539,0))</f>
        <v>0</v>
      </c>
      <c r="U539" s="861">
        <f>IF(OR(R539=0,A539=0),0,IF(AND(V539=TRUE,換券單檔!$D$13=D539),H539,0))</f>
        <v>0</v>
      </c>
      <c r="V539" s="136" t="e">
        <f ca="1">IF(OR(B539=換券單檔!$D$3,L539="無",M539&lt;&gt;"",K539="高資產",IFERROR(MATCH(B539,換券單檔!K:K,0),"N")&lt;&gt;"N"),FALSE,IF($V$1="All",TRUE,IF(K539=$V$1,TRUE,FALSE)))</f>
        <v>#N/A</v>
      </c>
      <c r="W539" s="136" t="e">
        <f ca="1">VLOOKUP(A539,'銀行-TSS'!A:AO,41,FALSE)</f>
        <v>#N/A</v>
      </c>
      <c r="X539" s="136" t="e">
        <f ca="1">VLOOKUP(A539,'銀行-TSS'!A:AP,42,FALSE)</f>
        <v>#N/A</v>
      </c>
      <c r="Y539" s="1220">
        <f t="shared" si="365"/>
        <v>0</v>
      </c>
      <c r="Z539" s="1220">
        <f t="shared" si="366"/>
        <v>0</v>
      </c>
      <c r="AA539" s="136">
        <f>IF(Z539&lt;=0,0,RANK(Z539,Z:Z)+COUNTIF($Z$3:$Z539,Z539)-1)</f>
        <v>0</v>
      </c>
      <c r="AB539" s="1211">
        <f t="shared" ca="1" si="367"/>
        <v>-14896.14</v>
      </c>
      <c r="AC539" s="136">
        <f ca="1">IF(AB539&lt;=0,0,RANK(AB539,AB:AB)+COUNTIF($AB$3:$AB539,AB539)-1)</f>
        <v>0</v>
      </c>
      <c r="AD539" s="1123">
        <f t="shared" si="368"/>
        <v>99999</v>
      </c>
      <c r="AE539" s="1123">
        <f>IF(AD539=99999,0,RANK(AD539,AD:AD,1)+COUNTIF($AD$3:$AD539,AD539)-1)</f>
        <v>0</v>
      </c>
      <c r="AF539" s="86" t="e">
        <f ca="1">IF(OR(M539&lt;&gt;"",L539="無",K539="高資產",IFERROR(MATCH(B539,換券單檔!K:K,0),"N")&lt;&gt;"N"),FALSE,TRUE)</f>
        <v>#N/A</v>
      </c>
      <c r="AI539" s="1212" t="e">
        <f t="shared" ca="1" si="369"/>
        <v>#N/A</v>
      </c>
      <c r="AJ539" s="1213" t="e">
        <f t="shared" ca="1" si="370"/>
        <v>#N/A</v>
      </c>
      <c r="AK539" s="1587">
        <f t="shared" si="371"/>
        <v>0</v>
      </c>
      <c r="AN539" s="1212" t="e">
        <f t="shared" ca="1" si="372"/>
        <v>#N/A</v>
      </c>
      <c r="AO539" s="1213" t="e">
        <f t="shared" ca="1" si="373"/>
        <v>#N/A</v>
      </c>
      <c r="AP539" s="1587">
        <f t="shared" si="374"/>
        <v>0</v>
      </c>
      <c r="AS539" s="1212" t="e">
        <f t="shared" ca="1" si="375"/>
        <v>#N/A</v>
      </c>
      <c r="AT539" s="1213" t="e">
        <f t="shared" ca="1" si="376"/>
        <v>#N/A</v>
      </c>
      <c r="AU539" s="1587">
        <f t="shared" si="377"/>
        <v>0</v>
      </c>
      <c r="AX539" s="1212" t="e">
        <f t="shared" ca="1" si="378"/>
        <v>#N/A</v>
      </c>
      <c r="AY539" s="1213" t="e">
        <f t="shared" ca="1" si="379"/>
        <v>#N/A</v>
      </c>
      <c r="AZ539" s="1587">
        <f t="shared" si="380"/>
        <v>0</v>
      </c>
      <c r="BC539" s="1212" t="e">
        <f t="shared" ca="1" si="381"/>
        <v>#N/A</v>
      </c>
      <c r="BD539" s="1213" t="e">
        <f t="shared" ca="1" si="382"/>
        <v>#N/A</v>
      </c>
      <c r="BE539" s="1587">
        <f t="shared" si="383"/>
        <v>0</v>
      </c>
      <c r="BH539" s="1212" t="e">
        <f t="shared" ca="1" si="384"/>
        <v>#N/A</v>
      </c>
      <c r="BI539" s="1213" t="e">
        <f t="shared" ca="1" si="385"/>
        <v>#N/A</v>
      </c>
      <c r="BJ539" s="1587">
        <f t="shared" si="386"/>
        <v>0</v>
      </c>
      <c r="BM539" s="1212" t="e">
        <f t="shared" ca="1" si="387"/>
        <v>#N/A</v>
      </c>
      <c r="BN539" s="1213" t="e">
        <f t="shared" ca="1" si="388"/>
        <v>#N/A</v>
      </c>
      <c r="BO539" s="1587">
        <f t="shared" si="389"/>
        <v>0</v>
      </c>
      <c r="BR539" s="1212" t="e">
        <f t="shared" ca="1" si="390"/>
        <v>#N/A</v>
      </c>
      <c r="BS539" s="1213" t="e">
        <f t="shared" ca="1" si="391"/>
        <v>#N/A</v>
      </c>
      <c r="BT539" s="1587">
        <f t="shared" si="392"/>
        <v>0</v>
      </c>
      <c r="BW539" s="1212" t="e">
        <f t="shared" ca="1" si="393"/>
        <v>#N/A</v>
      </c>
      <c r="BX539" s="1213" t="e">
        <f t="shared" ca="1" si="394"/>
        <v>#N/A</v>
      </c>
      <c r="BY539" s="1587">
        <f t="shared" si="395"/>
        <v>0</v>
      </c>
      <c r="CB539" s="1212" t="e">
        <f t="shared" ca="1" si="396"/>
        <v>#N/A</v>
      </c>
      <c r="CC539" s="1213" t="e">
        <f t="shared" ca="1" si="397"/>
        <v>#N/A</v>
      </c>
      <c r="CD539" s="1587">
        <f t="shared" si="398"/>
        <v>0</v>
      </c>
      <c r="CG539" s="1212" t="e">
        <f t="shared" ca="1" si="399"/>
        <v>#N/A</v>
      </c>
      <c r="CH539" s="1213" t="e">
        <f t="shared" ca="1" si="400"/>
        <v>#N/A</v>
      </c>
      <c r="CI539" s="1587">
        <f t="shared" si="401"/>
        <v>0</v>
      </c>
      <c r="CL539" s="1212" t="e">
        <f t="shared" ca="1" si="402"/>
        <v>#N/A</v>
      </c>
      <c r="CM539" s="1213" t="e">
        <f t="shared" ca="1" si="403"/>
        <v>#N/A</v>
      </c>
      <c r="CN539" s="1587">
        <f t="shared" si="404"/>
        <v>0</v>
      </c>
    </row>
    <row r="540" spans="1:92">
      <c r="A540" s="141">
        <f>'銀行-TSS'!A540</f>
        <v>0</v>
      </c>
      <c r="B540" s="151">
        <f ca="1">VLOOKUP(A540,'銀行-TSS'!A:B,2,FALSE)</f>
        <v>0</v>
      </c>
      <c r="C540" s="151" t="e">
        <f ca="1">VLOOKUP(B540,bond!B:C,2,FALSE)</f>
        <v>#N/A</v>
      </c>
      <c r="D540" s="95" t="e">
        <f>VLOOKUP(A540,'銀行-TSS'!A:C,3,FALSE)</f>
        <v>#N/A</v>
      </c>
      <c r="E540" s="90" t="e">
        <f ca="1">VLOOKUP(A540,'銀行-TSS'!A:G,7,FALSE)</f>
        <v>#N/A</v>
      </c>
      <c r="F540" s="202" t="e">
        <f ca="1">VLOOKUP(A540,'銀行-TSS'!A:H,8,FALSE)</f>
        <v>#N/A</v>
      </c>
      <c r="G540" s="96" t="e">
        <f ca="1">VLOOKUP(A540,'銀行-TSS'!A:K,11,FALSE)</f>
        <v>#N/A</v>
      </c>
      <c r="H540" s="1209" t="e">
        <f ca="1">VLOOKUP(A540,'銀行-TSS'!A:M,13,FALSE)</f>
        <v>#N/A</v>
      </c>
      <c r="I540" s="1213" t="e">
        <f ca="1">VLOOKUP(A540,'銀行-TSS'!A:N,14,FALSE)</f>
        <v>#N/A</v>
      </c>
      <c r="J540" s="1213" t="e">
        <f ca="1">VLOOKUP(A540,'銀行-TSS'!A:O,15,FALSE)</f>
        <v>#N/A</v>
      </c>
      <c r="K540" s="136" t="e">
        <f ca="1">VLOOKUP(A540,'銀行-TSS'!A:V,22,FALSE)</f>
        <v>#N/A</v>
      </c>
      <c r="L540" s="136" t="e">
        <f ca="1">VLOOKUP(A540,'銀行-TSS'!A:AK,37,FALSE)</f>
        <v>#N/A</v>
      </c>
      <c r="M540" s="136" t="str">
        <f ca="1">VLOOKUP(A540,'銀行-TSS'!A:AN,40,FALSE)</f>
        <v/>
      </c>
      <c r="N540" s="136" t="e">
        <f t="shared" ca="1" si="360"/>
        <v>#N/A</v>
      </c>
      <c r="O540" s="1213" t="e">
        <f t="shared" ca="1" si="361"/>
        <v>#N/A</v>
      </c>
      <c r="P540" s="1213" t="e">
        <f ca="1">IF(AND($O$1&gt;=O540,換券單檔!$D$13=D540),I540+INT(($O$1-O540)/N540)*J540,0)</f>
        <v>#N/A</v>
      </c>
      <c r="Q540" s="1213" t="e">
        <f t="shared" ca="1" si="362"/>
        <v>#N/A</v>
      </c>
      <c r="R540" s="1213">
        <f t="shared" si="363"/>
        <v>0</v>
      </c>
      <c r="S540" s="1213">
        <f t="shared" si="364"/>
        <v>0</v>
      </c>
      <c r="T540" s="136">
        <f>IF(OR(R540=0,A540=0),0,IF(AND(V540=TRUE,換券單檔!$D$13=D540),E540,0))</f>
        <v>0</v>
      </c>
      <c r="U540" s="861">
        <f>IF(OR(R540=0,A540=0),0,IF(AND(V540=TRUE,換券單檔!$D$13=D540),H540,0))</f>
        <v>0</v>
      </c>
      <c r="V540" s="136" t="e">
        <f ca="1">IF(OR(B540=換券單檔!$D$3,L540="無",M540&lt;&gt;"",K540="高資產",IFERROR(MATCH(B540,換券單檔!K:K,0),"N")&lt;&gt;"N"),FALSE,IF($V$1="All",TRUE,IF(K540=$V$1,TRUE,FALSE)))</f>
        <v>#N/A</v>
      </c>
      <c r="W540" s="136" t="e">
        <f ca="1">VLOOKUP(A540,'銀行-TSS'!A:AO,41,FALSE)</f>
        <v>#N/A</v>
      </c>
      <c r="X540" s="136" t="e">
        <f ca="1">VLOOKUP(A540,'銀行-TSS'!A:AP,42,FALSE)</f>
        <v>#N/A</v>
      </c>
      <c r="Y540" s="1220">
        <f t="shared" si="365"/>
        <v>0</v>
      </c>
      <c r="Z540" s="1220">
        <f t="shared" si="366"/>
        <v>0</v>
      </c>
      <c r="AA540" s="136">
        <f>IF(Z540&lt;=0,0,RANK(Z540,Z:Z)+COUNTIF($Z$3:$Z540,Z540)-1)</f>
        <v>0</v>
      </c>
      <c r="AB540" s="1211">
        <f t="shared" ca="1" si="367"/>
        <v>-14896.14</v>
      </c>
      <c r="AC540" s="136">
        <f ca="1">IF(AB540&lt;=0,0,RANK(AB540,AB:AB)+COUNTIF($AB$3:$AB540,AB540)-1)</f>
        <v>0</v>
      </c>
      <c r="AD540" s="1123">
        <f t="shared" si="368"/>
        <v>99999</v>
      </c>
      <c r="AE540" s="1123">
        <f>IF(AD540=99999,0,RANK(AD540,AD:AD,1)+COUNTIF($AD$3:$AD540,AD540)-1)</f>
        <v>0</v>
      </c>
      <c r="AF540" s="86" t="e">
        <f ca="1">IF(OR(M540&lt;&gt;"",L540="無",K540="高資產",IFERROR(MATCH(B540,換券單檔!K:K,0),"N")&lt;&gt;"N"),FALSE,TRUE)</f>
        <v>#N/A</v>
      </c>
      <c r="AI540" s="1212" t="e">
        <f t="shared" ca="1" si="369"/>
        <v>#N/A</v>
      </c>
      <c r="AJ540" s="1213" t="e">
        <f t="shared" ca="1" si="370"/>
        <v>#N/A</v>
      </c>
      <c r="AK540" s="1587">
        <f t="shared" si="371"/>
        <v>0</v>
      </c>
      <c r="AN540" s="1212" t="e">
        <f t="shared" ca="1" si="372"/>
        <v>#N/A</v>
      </c>
      <c r="AO540" s="1213" t="e">
        <f t="shared" ca="1" si="373"/>
        <v>#N/A</v>
      </c>
      <c r="AP540" s="1587">
        <f t="shared" si="374"/>
        <v>0</v>
      </c>
      <c r="AS540" s="1212" t="e">
        <f t="shared" ca="1" si="375"/>
        <v>#N/A</v>
      </c>
      <c r="AT540" s="1213" t="e">
        <f t="shared" ca="1" si="376"/>
        <v>#N/A</v>
      </c>
      <c r="AU540" s="1587">
        <f t="shared" si="377"/>
        <v>0</v>
      </c>
      <c r="AX540" s="1212" t="e">
        <f t="shared" ca="1" si="378"/>
        <v>#N/A</v>
      </c>
      <c r="AY540" s="1213" t="e">
        <f t="shared" ca="1" si="379"/>
        <v>#N/A</v>
      </c>
      <c r="AZ540" s="1587">
        <f t="shared" si="380"/>
        <v>0</v>
      </c>
      <c r="BC540" s="1212" t="e">
        <f t="shared" ca="1" si="381"/>
        <v>#N/A</v>
      </c>
      <c r="BD540" s="1213" t="e">
        <f t="shared" ca="1" si="382"/>
        <v>#N/A</v>
      </c>
      <c r="BE540" s="1587">
        <f t="shared" si="383"/>
        <v>0</v>
      </c>
      <c r="BH540" s="1212" t="e">
        <f t="shared" ca="1" si="384"/>
        <v>#N/A</v>
      </c>
      <c r="BI540" s="1213" t="e">
        <f t="shared" ca="1" si="385"/>
        <v>#N/A</v>
      </c>
      <c r="BJ540" s="1587">
        <f t="shared" si="386"/>
        <v>0</v>
      </c>
      <c r="BM540" s="1212" t="e">
        <f t="shared" ca="1" si="387"/>
        <v>#N/A</v>
      </c>
      <c r="BN540" s="1213" t="e">
        <f t="shared" ca="1" si="388"/>
        <v>#N/A</v>
      </c>
      <c r="BO540" s="1587">
        <f t="shared" si="389"/>
        <v>0</v>
      </c>
      <c r="BR540" s="1212" t="e">
        <f t="shared" ca="1" si="390"/>
        <v>#N/A</v>
      </c>
      <c r="BS540" s="1213" t="e">
        <f t="shared" ca="1" si="391"/>
        <v>#N/A</v>
      </c>
      <c r="BT540" s="1587">
        <f t="shared" si="392"/>
        <v>0</v>
      </c>
      <c r="BW540" s="1212" t="e">
        <f t="shared" ca="1" si="393"/>
        <v>#N/A</v>
      </c>
      <c r="BX540" s="1213" t="e">
        <f t="shared" ca="1" si="394"/>
        <v>#N/A</v>
      </c>
      <c r="BY540" s="1587">
        <f t="shared" si="395"/>
        <v>0</v>
      </c>
      <c r="CB540" s="1212" t="e">
        <f t="shared" ca="1" si="396"/>
        <v>#N/A</v>
      </c>
      <c r="CC540" s="1213" t="e">
        <f t="shared" ca="1" si="397"/>
        <v>#N/A</v>
      </c>
      <c r="CD540" s="1587">
        <f t="shared" si="398"/>
        <v>0</v>
      </c>
      <c r="CG540" s="1212" t="e">
        <f t="shared" ca="1" si="399"/>
        <v>#N/A</v>
      </c>
      <c r="CH540" s="1213" t="e">
        <f t="shared" ca="1" si="400"/>
        <v>#N/A</v>
      </c>
      <c r="CI540" s="1587">
        <f t="shared" si="401"/>
        <v>0</v>
      </c>
      <c r="CL540" s="1212" t="e">
        <f t="shared" ca="1" si="402"/>
        <v>#N/A</v>
      </c>
      <c r="CM540" s="1213" t="e">
        <f t="shared" ca="1" si="403"/>
        <v>#N/A</v>
      </c>
      <c r="CN540" s="1587">
        <f t="shared" si="404"/>
        <v>0</v>
      </c>
    </row>
    <row r="541" spans="1:92">
      <c r="A541" s="141">
        <f>'銀行-TSS'!A541</f>
        <v>0</v>
      </c>
      <c r="B541" s="151">
        <f ca="1">VLOOKUP(A541,'銀行-TSS'!A:B,2,FALSE)</f>
        <v>0</v>
      </c>
      <c r="C541" s="151" t="e">
        <f ca="1">VLOOKUP(B541,bond!B:C,2,FALSE)</f>
        <v>#N/A</v>
      </c>
      <c r="D541" s="95" t="e">
        <f>VLOOKUP(A541,'銀行-TSS'!A:C,3,FALSE)</f>
        <v>#N/A</v>
      </c>
      <c r="E541" s="90" t="e">
        <f ca="1">VLOOKUP(A541,'銀行-TSS'!A:G,7,FALSE)</f>
        <v>#N/A</v>
      </c>
      <c r="F541" s="202" t="e">
        <f ca="1">VLOOKUP(A541,'銀行-TSS'!A:H,8,FALSE)</f>
        <v>#N/A</v>
      </c>
      <c r="G541" s="96" t="e">
        <f ca="1">VLOOKUP(A541,'銀行-TSS'!A:K,11,FALSE)</f>
        <v>#N/A</v>
      </c>
      <c r="H541" s="1209" t="e">
        <f ca="1">VLOOKUP(A541,'銀行-TSS'!A:M,13,FALSE)</f>
        <v>#N/A</v>
      </c>
      <c r="I541" s="1213" t="e">
        <f ca="1">VLOOKUP(A541,'銀行-TSS'!A:N,14,FALSE)</f>
        <v>#N/A</v>
      </c>
      <c r="J541" s="1213" t="e">
        <f ca="1">VLOOKUP(A541,'銀行-TSS'!A:O,15,FALSE)</f>
        <v>#N/A</v>
      </c>
      <c r="K541" s="136" t="e">
        <f ca="1">VLOOKUP(A541,'銀行-TSS'!A:V,22,FALSE)</f>
        <v>#N/A</v>
      </c>
      <c r="L541" s="136" t="e">
        <f ca="1">VLOOKUP(A541,'銀行-TSS'!A:AK,37,FALSE)</f>
        <v>#N/A</v>
      </c>
      <c r="M541" s="136" t="str">
        <f ca="1">VLOOKUP(A541,'銀行-TSS'!A:AN,40,FALSE)</f>
        <v/>
      </c>
      <c r="N541" s="136" t="e">
        <f t="shared" ca="1" si="360"/>
        <v>#N/A</v>
      </c>
      <c r="O541" s="1213" t="e">
        <f t="shared" ca="1" si="361"/>
        <v>#N/A</v>
      </c>
      <c r="P541" s="1213" t="e">
        <f ca="1">IF(AND($O$1&gt;=O541,換券單檔!$D$13=D541),I541+INT(($O$1-O541)/N541)*J541,0)</f>
        <v>#N/A</v>
      </c>
      <c r="Q541" s="1213" t="e">
        <f t="shared" ca="1" si="362"/>
        <v>#N/A</v>
      </c>
      <c r="R541" s="1213">
        <f t="shared" si="363"/>
        <v>0</v>
      </c>
      <c r="S541" s="1213">
        <f t="shared" si="364"/>
        <v>0</v>
      </c>
      <c r="T541" s="136">
        <f>IF(OR(R541=0,A541=0),0,IF(AND(V541=TRUE,換券單檔!$D$13=D541),E541,0))</f>
        <v>0</v>
      </c>
      <c r="U541" s="861">
        <f>IF(OR(R541=0,A541=0),0,IF(AND(V541=TRUE,換券單檔!$D$13=D541),H541,0))</f>
        <v>0</v>
      </c>
      <c r="V541" s="136" t="e">
        <f ca="1">IF(OR(B541=換券單檔!$D$3,L541="無",M541&lt;&gt;"",K541="高資產",IFERROR(MATCH(B541,換券單檔!K:K,0),"N")&lt;&gt;"N"),FALSE,IF($V$1="All",TRUE,IF(K541=$V$1,TRUE,FALSE)))</f>
        <v>#N/A</v>
      </c>
      <c r="W541" s="136" t="e">
        <f ca="1">VLOOKUP(A541,'銀行-TSS'!A:AO,41,FALSE)</f>
        <v>#N/A</v>
      </c>
      <c r="X541" s="136" t="e">
        <f ca="1">VLOOKUP(A541,'銀行-TSS'!A:AP,42,FALSE)</f>
        <v>#N/A</v>
      </c>
      <c r="Y541" s="1220">
        <f t="shared" si="365"/>
        <v>0</v>
      </c>
      <c r="Z541" s="1220">
        <f t="shared" si="366"/>
        <v>0</v>
      </c>
      <c r="AA541" s="136">
        <f>IF(Z541&lt;=0,0,RANK(Z541,Z:Z)+COUNTIF($Z$3:$Z541,Z541)-1)</f>
        <v>0</v>
      </c>
      <c r="AB541" s="1211">
        <f t="shared" ca="1" si="367"/>
        <v>-14896.14</v>
      </c>
      <c r="AC541" s="136">
        <f ca="1">IF(AB541&lt;=0,0,RANK(AB541,AB:AB)+COUNTIF($AB$3:$AB541,AB541)-1)</f>
        <v>0</v>
      </c>
      <c r="AD541" s="1123">
        <f t="shared" si="368"/>
        <v>99999</v>
      </c>
      <c r="AE541" s="1123">
        <f>IF(AD541=99999,0,RANK(AD541,AD:AD,1)+COUNTIF($AD$3:$AD541,AD541)-1)</f>
        <v>0</v>
      </c>
      <c r="AF541" s="86" t="e">
        <f ca="1">IF(OR(M541&lt;&gt;"",L541="無",K541="高資產",IFERROR(MATCH(B541,換券單檔!K:K,0),"N")&lt;&gt;"N"),FALSE,TRUE)</f>
        <v>#N/A</v>
      </c>
      <c r="AI541" s="1212" t="e">
        <f t="shared" ca="1" si="369"/>
        <v>#N/A</v>
      </c>
      <c r="AJ541" s="1213" t="e">
        <f t="shared" ca="1" si="370"/>
        <v>#N/A</v>
      </c>
      <c r="AK541" s="1587">
        <f t="shared" si="371"/>
        <v>0</v>
      </c>
      <c r="AN541" s="1212" t="e">
        <f t="shared" ca="1" si="372"/>
        <v>#N/A</v>
      </c>
      <c r="AO541" s="1213" t="e">
        <f t="shared" ca="1" si="373"/>
        <v>#N/A</v>
      </c>
      <c r="AP541" s="1587">
        <f t="shared" si="374"/>
        <v>0</v>
      </c>
      <c r="AS541" s="1212" t="e">
        <f t="shared" ca="1" si="375"/>
        <v>#N/A</v>
      </c>
      <c r="AT541" s="1213" t="e">
        <f t="shared" ca="1" si="376"/>
        <v>#N/A</v>
      </c>
      <c r="AU541" s="1587">
        <f t="shared" si="377"/>
        <v>0</v>
      </c>
      <c r="AX541" s="1212" t="e">
        <f t="shared" ca="1" si="378"/>
        <v>#N/A</v>
      </c>
      <c r="AY541" s="1213" t="e">
        <f t="shared" ca="1" si="379"/>
        <v>#N/A</v>
      </c>
      <c r="AZ541" s="1587">
        <f t="shared" si="380"/>
        <v>0</v>
      </c>
      <c r="BC541" s="1212" t="e">
        <f t="shared" ca="1" si="381"/>
        <v>#N/A</v>
      </c>
      <c r="BD541" s="1213" t="e">
        <f t="shared" ca="1" si="382"/>
        <v>#N/A</v>
      </c>
      <c r="BE541" s="1587">
        <f t="shared" si="383"/>
        <v>0</v>
      </c>
      <c r="BH541" s="1212" t="e">
        <f t="shared" ca="1" si="384"/>
        <v>#N/A</v>
      </c>
      <c r="BI541" s="1213" t="e">
        <f t="shared" ca="1" si="385"/>
        <v>#N/A</v>
      </c>
      <c r="BJ541" s="1587">
        <f t="shared" si="386"/>
        <v>0</v>
      </c>
      <c r="BM541" s="1212" t="e">
        <f t="shared" ca="1" si="387"/>
        <v>#N/A</v>
      </c>
      <c r="BN541" s="1213" t="e">
        <f t="shared" ca="1" si="388"/>
        <v>#N/A</v>
      </c>
      <c r="BO541" s="1587">
        <f t="shared" si="389"/>
        <v>0</v>
      </c>
      <c r="BR541" s="1212" t="e">
        <f t="shared" ca="1" si="390"/>
        <v>#N/A</v>
      </c>
      <c r="BS541" s="1213" t="e">
        <f t="shared" ca="1" si="391"/>
        <v>#N/A</v>
      </c>
      <c r="BT541" s="1587">
        <f t="shared" si="392"/>
        <v>0</v>
      </c>
      <c r="BW541" s="1212" t="e">
        <f t="shared" ca="1" si="393"/>
        <v>#N/A</v>
      </c>
      <c r="BX541" s="1213" t="e">
        <f t="shared" ca="1" si="394"/>
        <v>#N/A</v>
      </c>
      <c r="BY541" s="1587">
        <f t="shared" si="395"/>
        <v>0</v>
      </c>
      <c r="CB541" s="1212" t="e">
        <f t="shared" ca="1" si="396"/>
        <v>#N/A</v>
      </c>
      <c r="CC541" s="1213" t="e">
        <f t="shared" ca="1" si="397"/>
        <v>#N/A</v>
      </c>
      <c r="CD541" s="1587">
        <f t="shared" si="398"/>
        <v>0</v>
      </c>
      <c r="CG541" s="1212" t="e">
        <f t="shared" ca="1" si="399"/>
        <v>#N/A</v>
      </c>
      <c r="CH541" s="1213" t="e">
        <f t="shared" ca="1" si="400"/>
        <v>#N/A</v>
      </c>
      <c r="CI541" s="1587">
        <f t="shared" si="401"/>
        <v>0</v>
      </c>
      <c r="CL541" s="1212" t="e">
        <f t="shared" ca="1" si="402"/>
        <v>#N/A</v>
      </c>
      <c r="CM541" s="1213" t="e">
        <f t="shared" ca="1" si="403"/>
        <v>#N/A</v>
      </c>
      <c r="CN541" s="1587">
        <f t="shared" si="404"/>
        <v>0</v>
      </c>
    </row>
    <row r="542" spans="1:92">
      <c r="A542" s="141">
        <f>'銀行-TSS'!A542</f>
        <v>0</v>
      </c>
      <c r="B542" s="151">
        <f ca="1">VLOOKUP(A542,'銀行-TSS'!A:B,2,FALSE)</f>
        <v>0</v>
      </c>
      <c r="C542" s="151" t="e">
        <f ca="1">VLOOKUP(B542,bond!B:C,2,FALSE)</f>
        <v>#N/A</v>
      </c>
      <c r="D542" s="95" t="e">
        <f>VLOOKUP(A542,'銀行-TSS'!A:C,3,FALSE)</f>
        <v>#N/A</v>
      </c>
      <c r="E542" s="90" t="e">
        <f ca="1">VLOOKUP(A542,'銀行-TSS'!A:G,7,FALSE)</f>
        <v>#N/A</v>
      </c>
      <c r="F542" s="202" t="e">
        <f ca="1">VLOOKUP(A542,'銀行-TSS'!A:H,8,FALSE)</f>
        <v>#N/A</v>
      </c>
      <c r="G542" s="96" t="e">
        <f ca="1">VLOOKUP(A542,'銀行-TSS'!A:K,11,FALSE)</f>
        <v>#N/A</v>
      </c>
      <c r="H542" s="1209" t="e">
        <f ca="1">VLOOKUP(A542,'銀行-TSS'!A:M,13,FALSE)</f>
        <v>#N/A</v>
      </c>
      <c r="I542" s="1213" t="e">
        <f ca="1">VLOOKUP(A542,'銀行-TSS'!A:N,14,FALSE)</f>
        <v>#N/A</v>
      </c>
      <c r="J542" s="1213" t="e">
        <f ca="1">VLOOKUP(A542,'銀行-TSS'!A:O,15,FALSE)</f>
        <v>#N/A</v>
      </c>
      <c r="K542" s="136" t="e">
        <f ca="1">VLOOKUP(A542,'銀行-TSS'!A:V,22,FALSE)</f>
        <v>#N/A</v>
      </c>
      <c r="L542" s="136" t="e">
        <f ca="1">VLOOKUP(A542,'銀行-TSS'!A:AK,37,FALSE)</f>
        <v>#N/A</v>
      </c>
      <c r="M542" s="136" t="str">
        <f ca="1">VLOOKUP(A542,'銀行-TSS'!A:AN,40,FALSE)</f>
        <v/>
      </c>
      <c r="N542" s="136" t="e">
        <f t="shared" ca="1" si="360"/>
        <v>#N/A</v>
      </c>
      <c r="O542" s="1213" t="e">
        <f t="shared" ca="1" si="361"/>
        <v>#N/A</v>
      </c>
      <c r="P542" s="1213" t="e">
        <f ca="1">IF(AND($O$1&gt;=O542,換券單檔!$D$13=D542),I542+INT(($O$1-O542)/N542)*J542,0)</f>
        <v>#N/A</v>
      </c>
      <c r="Q542" s="1213" t="e">
        <f t="shared" ca="1" si="362"/>
        <v>#N/A</v>
      </c>
      <c r="R542" s="1213">
        <f t="shared" si="363"/>
        <v>0</v>
      </c>
      <c r="S542" s="1213">
        <f t="shared" si="364"/>
        <v>0</v>
      </c>
      <c r="T542" s="136">
        <f>IF(OR(R542=0,A542=0),0,IF(AND(V542=TRUE,換券單檔!$D$13=D542),E542,0))</f>
        <v>0</v>
      </c>
      <c r="U542" s="861">
        <f>IF(OR(R542=0,A542=0),0,IF(AND(V542=TRUE,換券單檔!$D$13=D542),H542,0))</f>
        <v>0</v>
      </c>
      <c r="V542" s="136" t="e">
        <f ca="1">IF(OR(B542=換券單檔!$D$3,L542="無",M542&lt;&gt;"",K542="高資產",IFERROR(MATCH(B542,換券單檔!K:K,0),"N")&lt;&gt;"N"),FALSE,IF($V$1="All",TRUE,IF(K542=$V$1,TRUE,FALSE)))</f>
        <v>#N/A</v>
      </c>
      <c r="W542" s="136" t="e">
        <f ca="1">VLOOKUP(A542,'銀行-TSS'!A:AO,41,FALSE)</f>
        <v>#N/A</v>
      </c>
      <c r="X542" s="136" t="e">
        <f ca="1">VLOOKUP(A542,'銀行-TSS'!A:AP,42,FALSE)</f>
        <v>#N/A</v>
      </c>
      <c r="Y542" s="1220">
        <f t="shared" si="365"/>
        <v>0</v>
      </c>
      <c r="Z542" s="1220">
        <f t="shared" si="366"/>
        <v>0</v>
      </c>
      <c r="AA542" s="136">
        <f>IF(Z542&lt;=0,0,RANK(Z542,Z:Z)+COUNTIF($Z$3:$Z542,Z542)-1)</f>
        <v>0</v>
      </c>
      <c r="AB542" s="1211">
        <f t="shared" ca="1" si="367"/>
        <v>-14896.14</v>
      </c>
      <c r="AC542" s="136">
        <f ca="1">IF(AB542&lt;=0,0,RANK(AB542,AB:AB)+COUNTIF($AB$3:$AB542,AB542)-1)</f>
        <v>0</v>
      </c>
      <c r="AD542" s="1123">
        <f t="shared" si="368"/>
        <v>99999</v>
      </c>
      <c r="AE542" s="1123">
        <f>IF(AD542=99999,0,RANK(AD542,AD:AD,1)+COUNTIF($AD$3:$AD542,AD542)-1)</f>
        <v>0</v>
      </c>
      <c r="AF542" s="86" t="e">
        <f ca="1">IF(OR(M542&lt;&gt;"",L542="無",K542="高資產",IFERROR(MATCH(B542,換券單檔!K:K,0),"N")&lt;&gt;"N"),FALSE,TRUE)</f>
        <v>#N/A</v>
      </c>
      <c r="AI542" s="1212" t="e">
        <f t="shared" ca="1" si="369"/>
        <v>#N/A</v>
      </c>
      <c r="AJ542" s="1213" t="e">
        <f t="shared" ca="1" si="370"/>
        <v>#N/A</v>
      </c>
      <c r="AK542" s="1587">
        <f t="shared" si="371"/>
        <v>0</v>
      </c>
      <c r="AN542" s="1212" t="e">
        <f t="shared" ca="1" si="372"/>
        <v>#N/A</v>
      </c>
      <c r="AO542" s="1213" t="e">
        <f t="shared" ca="1" si="373"/>
        <v>#N/A</v>
      </c>
      <c r="AP542" s="1587">
        <f t="shared" si="374"/>
        <v>0</v>
      </c>
      <c r="AS542" s="1212" t="e">
        <f t="shared" ca="1" si="375"/>
        <v>#N/A</v>
      </c>
      <c r="AT542" s="1213" t="e">
        <f t="shared" ca="1" si="376"/>
        <v>#N/A</v>
      </c>
      <c r="AU542" s="1587">
        <f t="shared" si="377"/>
        <v>0</v>
      </c>
      <c r="AX542" s="1212" t="e">
        <f t="shared" ca="1" si="378"/>
        <v>#N/A</v>
      </c>
      <c r="AY542" s="1213" t="e">
        <f t="shared" ca="1" si="379"/>
        <v>#N/A</v>
      </c>
      <c r="AZ542" s="1587">
        <f t="shared" si="380"/>
        <v>0</v>
      </c>
      <c r="BC542" s="1212" t="e">
        <f t="shared" ca="1" si="381"/>
        <v>#N/A</v>
      </c>
      <c r="BD542" s="1213" t="e">
        <f t="shared" ca="1" si="382"/>
        <v>#N/A</v>
      </c>
      <c r="BE542" s="1587">
        <f t="shared" si="383"/>
        <v>0</v>
      </c>
      <c r="BH542" s="1212" t="e">
        <f t="shared" ca="1" si="384"/>
        <v>#N/A</v>
      </c>
      <c r="BI542" s="1213" t="e">
        <f t="shared" ca="1" si="385"/>
        <v>#N/A</v>
      </c>
      <c r="BJ542" s="1587">
        <f t="shared" si="386"/>
        <v>0</v>
      </c>
      <c r="BM542" s="1212" t="e">
        <f t="shared" ca="1" si="387"/>
        <v>#N/A</v>
      </c>
      <c r="BN542" s="1213" t="e">
        <f t="shared" ca="1" si="388"/>
        <v>#N/A</v>
      </c>
      <c r="BO542" s="1587">
        <f t="shared" si="389"/>
        <v>0</v>
      </c>
      <c r="BR542" s="1212" t="e">
        <f t="shared" ca="1" si="390"/>
        <v>#N/A</v>
      </c>
      <c r="BS542" s="1213" t="e">
        <f t="shared" ca="1" si="391"/>
        <v>#N/A</v>
      </c>
      <c r="BT542" s="1587">
        <f t="shared" si="392"/>
        <v>0</v>
      </c>
      <c r="BW542" s="1212" t="e">
        <f t="shared" ca="1" si="393"/>
        <v>#N/A</v>
      </c>
      <c r="BX542" s="1213" t="e">
        <f t="shared" ca="1" si="394"/>
        <v>#N/A</v>
      </c>
      <c r="BY542" s="1587">
        <f t="shared" si="395"/>
        <v>0</v>
      </c>
      <c r="CB542" s="1212" t="e">
        <f t="shared" ca="1" si="396"/>
        <v>#N/A</v>
      </c>
      <c r="CC542" s="1213" t="e">
        <f t="shared" ca="1" si="397"/>
        <v>#N/A</v>
      </c>
      <c r="CD542" s="1587">
        <f t="shared" si="398"/>
        <v>0</v>
      </c>
      <c r="CG542" s="1212" t="e">
        <f t="shared" ca="1" si="399"/>
        <v>#N/A</v>
      </c>
      <c r="CH542" s="1213" t="e">
        <f t="shared" ca="1" si="400"/>
        <v>#N/A</v>
      </c>
      <c r="CI542" s="1587">
        <f t="shared" si="401"/>
        <v>0</v>
      </c>
      <c r="CL542" s="1212" t="e">
        <f t="shared" ca="1" si="402"/>
        <v>#N/A</v>
      </c>
      <c r="CM542" s="1213" t="e">
        <f t="shared" ca="1" si="403"/>
        <v>#N/A</v>
      </c>
      <c r="CN542" s="1587">
        <f t="shared" si="404"/>
        <v>0</v>
      </c>
    </row>
    <row r="543" spans="1:92">
      <c r="A543" s="141">
        <f>'銀行-TSS'!A543</f>
        <v>0</v>
      </c>
      <c r="B543" s="151">
        <f ca="1">VLOOKUP(A543,'銀行-TSS'!A:B,2,FALSE)</f>
        <v>0</v>
      </c>
      <c r="C543" s="151" t="e">
        <f ca="1">VLOOKUP(B543,bond!B:C,2,FALSE)</f>
        <v>#N/A</v>
      </c>
      <c r="D543" s="95" t="e">
        <f>VLOOKUP(A543,'銀行-TSS'!A:C,3,FALSE)</f>
        <v>#N/A</v>
      </c>
      <c r="E543" s="90" t="e">
        <f ca="1">VLOOKUP(A543,'銀行-TSS'!A:G,7,FALSE)</f>
        <v>#N/A</v>
      </c>
      <c r="F543" s="202" t="e">
        <f ca="1">VLOOKUP(A543,'銀行-TSS'!A:H,8,FALSE)</f>
        <v>#N/A</v>
      </c>
      <c r="G543" s="96" t="e">
        <f ca="1">VLOOKUP(A543,'銀行-TSS'!A:K,11,FALSE)</f>
        <v>#N/A</v>
      </c>
      <c r="H543" s="1209" t="e">
        <f ca="1">VLOOKUP(A543,'銀行-TSS'!A:M,13,FALSE)</f>
        <v>#N/A</v>
      </c>
      <c r="I543" s="1213" t="e">
        <f ca="1">VLOOKUP(A543,'銀行-TSS'!A:N,14,FALSE)</f>
        <v>#N/A</v>
      </c>
      <c r="J543" s="1213" t="e">
        <f ca="1">VLOOKUP(A543,'銀行-TSS'!A:O,15,FALSE)</f>
        <v>#N/A</v>
      </c>
      <c r="K543" s="136" t="e">
        <f ca="1">VLOOKUP(A543,'銀行-TSS'!A:V,22,FALSE)</f>
        <v>#N/A</v>
      </c>
      <c r="L543" s="136" t="e">
        <f ca="1">VLOOKUP(A543,'銀行-TSS'!A:AK,37,FALSE)</f>
        <v>#N/A</v>
      </c>
      <c r="M543" s="136" t="str">
        <f ca="1">VLOOKUP(A543,'銀行-TSS'!A:AN,40,FALSE)</f>
        <v/>
      </c>
      <c r="N543" s="136" t="e">
        <f t="shared" ca="1" si="360"/>
        <v>#N/A</v>
      </c>
      <c r="O543" s="1213" t="e">
        <f t="shared" ca="1" si="361"/>
        <v>#N/A</v>
      </c>
      <c r="P543" s="1213" t="e">
        <f ca="1">IF(AND($O$1&gt;=O543,換券單檔!$D$13=D543),I543+INT(($O$1-O543)/N543)*J543,0)</f>
        <v>#N/A</v>
      </c>
      <c r="Q543" s="1213" t="e">
        <f t="shared" ca="1" si="362"/>
        <v>#N/A</v>
      </c>
      <c r="R543" s="1213">
        <f t="shared" si="363"/>
        <v>0</v>
      </c>
      <c r="S543" s="1213">
        <f t="shared" si="364"/>
        <v>0</v>
      </c>
      <c r="T543" s="136">
        <f>IF(OR(R543=0,A543=0),0,IF(AND(V543=TRUE,換券單檔!$D$13=D543),E543,0))</f>
        <v>0</v>
      </c>
      <c r="U543" s="861">
        <f>IF(OR(R543=0,A543=0),0,IF(AND(V543=TRUE,換券單檔!$D$13=D543),H543,0))</f>
        <v>0</v>
      </c>
      <c r="V543" s="136" t="e">
        <f ca="1">IF(OR(B543=換券單檔!$D$3,L543="無",M543&lt;&gt;"",K543="高資產",IFERROR(MATCH(B543,換券單檔!K:K,0),"N")&lt;&gt;"N"),FALSE,IF($V$1="All",TRUE,IF(K543=$V$1,TRUE,FALSE)))</f>
        <v>#N/A</v>
      </c>
      <c r="W543" s="136" t="e">
        <f ca="1">VLOOKUP(A543,'銀行-TSS'!A:AO,41,FALSE)</f>
        <v>#N/A</v>
      </c>
      <c r="X543" s="136" t="e">
        <f ca="1">VLOOKUP(A543,'銀行-TSS'!A:AP,42,FALSE)</f>
        <v>#N/A</v>
      </c>
      <c r="Y543" s="1220">
        <f t="shared" si="365"/>
        <v>0</v>
      </c>
      <c r="Z543" s="1220">
        <f t="shared" si="366"/>
        <v>0</v>
      </c>
      <c r="AA543" s="136">
        <f>IF(Z543&lt;=0,0,RANK(Z543,Z:Z)+COUNTIF($Z$3:$Z543,Z543)-1)</f>
        <v>0</v>
      </c>
      <c r="AB543" s="1211">
        <f t="shared" ca="1" si="367"/>
        <v>-14896.14</v>
      </c>
      <c r="AC543" s="136">
        <f ca="1">IF(AB543&lt;=0,0,RANK(AB543,AB:AB)+COUNTIF($AB$3:$AB543,AB543)-1)</f>
        <v>0</v>
      </c>
      <c r="AD543" s="1123">
        <f t="shared" si="368"/>
        <v>99999</v>
      </c>
      <c r="AE543" s="1123">
        <f>IF(AD543=99999,0,RANK(AD543,AD:AD,1)+COUNTIF($AD$3:$AD543,AD543)-1)</f>
        <v>0</v>
      </c>
      <c r="AF543" s="86" t="e">
        <f ca="1">IF(OR(M543&lt;&gt;"",L543="無",K543="高資產",IFERROR(MATCH(B543,換券單檔!K:K,0),"N")&lt;&gt;"N"),FALSE,TRUE)</f>
        <v>#N/A</v>
      </c>
      <c r="AI543" s="1212" t="e">
        <f t="shared" ca="1" si="369"/>
        <v>#N/A</v>
      </c>
      <c r="AJ543" s="1213" t="e">
        <f t="shared" ca="1" si="370"/>
        <v>#N/A</v>
      </c>
      <c r="AK543" s="1587">
        <f t="shared" si="371"/>
        <v>0</v>
      </c>
      <c r="AN543" s="1212" t="e">
        <f t="shared" ca="1" si="372"/>
        <v>#N/A</v>
      </c>
      <c r="AO543" s="1213" t="e">
        <f t="shared" ca="1" si="373"/>
        <v>#N/A</v>
      </c>
      <c r="AP543" s="1587">
        <f t="shared" si="374"/>
        <v>0</v>
      </c>
      <c r="AS543" s="1212" t="e">
        <f t="shared" ca="1" si="375"/>
        <v>#N/A</v>
      </c>
      <c r="AT543" s="1213" t="e">
        <f t="shared" ca="1" si="376"/>
        <v>#N/A</v>
      </c>
      <c r="AU543" s="1587">
        <f t="shared" si="377"/>
        <v>0</v>
      </c>
      <c r="AX543" s="1212" t="e">
        <f t="shared" ca="1" si="378"/>
        <v>#N/A</v>
      </c>
      <c r="AY543" s="1213" t="e">
        <f t="shared" ca="1" si="379"/>
        <v>#N/A</v>
      </c>
      <c r="AZ543" s="1587">
        <f t="shared" si="380"/>
        <v>0</v>
      </c>
      <c r="BC543" s="1212" t="e">
        <f t="shared" ca="1" si="381"/>
        <v>#N/A</v>
      </c>
      <c r="BD543" s="1213" t="e">
        <f t="shared" ca="1" si="382"/>
        <v>#N/A</v>
      </c>
      <c r="BE543" s="1587">
        <f t="shared" si="383"/>
        <v>0</v>
      </c>
      <c r="BH543" s="1212" t="e">
        <f t="shared" ca="1" si="384"/>
        <v>#N/A</v>
      </c>
      <c r="BI543" s="1213" t="e">
        <f t="shared" ca="1" si="385"/>
        <v>#N/A</v>
      </c>
      <c r="BJ543" s="1587">
        <f t="shared" si="386"/>
        <v>0</v>
      </c>
      <c r="BM543" s="1212" t="e">
        <f t="shared" ca="1" si="387"/>
        <v>#N/A</v>
      </c>
      <c r="BN543" s="1213" t="e">
        <f t="shared" ca="1" si="388"/>
        <v>#N/A</v>
      </c>
      <c r="BO543" s="1587">
        <f t="shared" si="389"/>
        <v>0</v>
      </c>
      <c r="BR543" s="1212" t="e">
        <f t="shared" ca="1" si="390"/>
        <v>#N/A</v>
      </c>
      <c r="BS543" s="1213" t="e">
        <f t="shared" ca="1" si="391"/>
        <v>#N/A</v>
      </c>
      <c r="BT543" s="1587">
        <f t="shared" si="392"/>
        <v>0</v>
      </c>
      <c r="BW543" s="1212" t="e">
        <f t="shared" ca="1" si="393"/>
        <v>#N/A</v>
      </c>
      <c r="BX543" s="1213" t="e">
        <f t="shared" ca="1" si="394"/>
        <v>#N/A</v>
      </c>
      <c r="BY543" s="1587">
        <f t="shared" si="395"/>
        <v>0</v>
      </c>
      <c r="CB543" s="1212" t="e">
        <f t="shared" ca="1" si="396"/>
        <v>#N/A</v>
      </c>
      <c r="CC543" s="1213" t="e">
        <f t="shared" ca="1" si="397"/>
        <v>#N/A</v>
      </c>
      <c r="CD543" s="1587">
        <f t="shared" si="398"/>
        <v>0</v>
      </c>
      <c r="CG543" s="1212" t="e">
        <f t="shared" ca="1" si="399"/>
        <v>#N/A</v>
      </c>
      <c r="CH543" s="1213" t="e">
        <f t="shared" ca="1" si="400"/>
        <v>#N/A</v>
      </c>
      <c r="CI543" s="1587">
        <f t="shared" si="401"/>
        <v>0</v>
      </c>
      <c r="CL543" s="1212" t="e">
        <f t="shared" ca="1" si="402"/>
        <v>#N/A</v>
      </c>
      <c r="CM543" s="1213" t="e">
        <f t="shared" ca="1" si="403"/>
        <v>#N/A</v>
      </c>
      <c r="CN543" s="1587">
        <f t="shared" si="404"/>
        <v>0</v>
      </c>
    </row>
    <row r="544" spans="1:92">
      <c r="A544" s="141">
        <f>'銀行-TSS'!A544</f>
        <v>0</v>
      </c>
      <c r="B544" s="151">
        <f ca="1">VLOOKUP(A544,'銀行-TSS'!A:B,2,FALSE)</f>
        <v>0</v>
      </c>
      <c r="C544" s="151" t="e">
        <f ca="1">VLOOKUP(B544,bond!B:C,2,FALSE)</f>
        <v>#N/A</v>
      </c>
      <c r="D544" s="95" t="e">
        <f>VLOOKUP(A544,'銀行-TSS'!A:C,3,FALSE)</f>
        <v>#N/A</v>
      </c>
      <c r="E544" s="90" t="e">
        <f ca="1">VLOOKUP(A544,'銀行-TSS'!A:G,7,FALSE)</f>
        <v>#N/A</v>
      </c>
      <c r="F544" s="202" t="e">
        <f ca="1">VLOOKUP(A544,'銀行-TSS'!A:H,8,FALSE)</f>
        <v>#N/A</v>
      </c>
      <c r="G544" s="96" t="e">
        <f ca="1">VLOOKUP(A544,'銀行-TSS'!A:K,11,FALSE)</f>
        <v>#N/A</v>
      </c>
      <c r="H544" s="1209" t="e">
        <f ca="1">VLOOKUP(A544,'銀行-TSS'!A:M,13,FALSE)</f>
        <v>#N/A</v>
      </c>
      <c r="I544" s="1213" t="e">
        <f ca="1">VLOOKUP(A544,'銀行-TSS'!A:N,14,FALSE)</f>
        <v>#N/A</v>
      </c>
      <c r="J544" s="1213" t="e">
        <f ca="1">VLOOKUP(A544,'銀行-TSS'!A:O,15,FALSE)</f>
        <v>#N/A</v>
      </c>
      <c r="K544" s="136" t="e">
        <f ca="1">VLOOKUP(A544,'銀行-TSS'!A:V,22,FALSE)</f>
        <v>#N/A</v>
      </c>
      <c r="L544" s="136" t="e">
        <f ca="1">VLOOKUP(A544,'銀行-TSS'!A:AK,37,FALSE)</f>
        <v>#N/A</v>
      </c>
      <c r="M544" s="136" t="str">
        <f ca="1">VLOOKUP(A544,'銀行-TSS'!A:AN,40,FALSE)</f>
        <v/>
      </c>
      <c r="N544" s="136" t="e">
        <f t="shared" ca="1" si="360"/>
        <v>#N/A</v>
      </c>
      <c r="O544" s="1213" t="e">
        <f t="shared" ca="1" si="361"/>
        <v>#N/A</v>
      </c>
      <c r="P544" s="1213" t="e">
        <f ca="1">IF(AND($O$1&gt;=O544,換券單檔!$D$13=D544),I544+INT(($O$1-O544)/N544)*J544,0)</f>
        <v>#N/A</v>
      </c>
      <c r="Q544" s="1213" t="e">
        <f t="shared" ca="1" si="362"/>
        <v>#N/A</v>
      </c>
      <c r="R544" s="1213">
        <f t="shared" si="363"/>
        <v>0</v>
      </c>
      <c r="S544" s="1213">
        <f t="shared" si="364"/>
        <v>0</v>
      </c>
      <c r="T544" s="136">
        <f>IF(OR(R544=0,A544=0),0,IF(AND(V544=TRUE,換券單檔!$D$13=D544),E544,0))</f>
        <v>0</v>
      </c>
      <c r="U544" s="861">
        <f>IF(OR(R544=0,A544=0),0,IF(AND(V544=TRUE,換券單檔!$D$13=D544),H544,0))</f>
        <v>0</v>
      </c>
      <c r="V544" s="136" t="e">
        <f ca="1">IF(OR(B544=換券單檔!$D$3,L544="無",M544&lt;&gt;"",K544="高資產",IFERROR(MATCH(B544,換券單檔!K:K,0),"N")&lt;&gt;"N"),FALSE,IF($V$1="All",TRUE,IF(K544=$V$1,TRUE,FALSE)))</f>
        <v>#N/A</v>
      </c>
      <c r="W544" s="136" t="e">
        <f ca="1">VLOOKUP(A544,'銀行-TSS'!A:AO,41,FALSE)</f>
        <v>#N/A</v>
      </c>
      <c r="X544" s="136" t="e">
        <f ca="1">VLOOKUP(A544,'銀行-TSS'!A:AP,42,FALSE)</f>
        <v>#N/A</v>
      </c>
      <c r="Y544" s="1220">
        <f t="shared" si="365"/>
        <v>0</v>
      </c>
      <c r="Z544" s="1220">
        <f t="shared" si="366"/>
        <v>0</v>
      </c>
      <c r="AA544" s="136">
        <f>IF(Z544&lt;=0,0,RANK(Z544,Z:Z)+COUNTIF($Z$3:$Z544,Z544)-1)</f>
        <v>0</v>
      </c>
      <c r="AB544" s="1211">
        <f t="shared" ca="1" si="367"/>
        <v>-14896.14</v>
      </c>
      <c r="AC544" s="136">
        <f ca="1">IF(AB544&lt;=0,0,RANK(AB544,AB:AB)+COUNTIF($AB$3:$AB544,AB544)-1)</f>
        <v>0</v>
      </c>
      <c r="AD544" s="1123">
        <f t="shared" si="368"/>
        <v>99999</v>
      </c>
      <c r="AE544" s="1123">
        <f>IF(AD544=99999,0,RANK(AD544,AD:AD,1)+COUNTIF($AD$3:$AD544,AD544)-1)</f>
        <v>0</v>
      </c>
      <c r="AF544" s="86" t="e">
        <f ca="1">IF(OR(M544&lt;&gt;"",L544="無",K544="高資產",IFERROR(MATCH(B544,換券單檔!K:K,0),"N")&lt;&gt;"N"),FALSE,TRUE)</f>
        <v>#N/A</v>
      </c>
      <c r="AI544" s="1212" t="e">
        <f t="shared" ca="1" si="369"/>
        <v>#N/A</v>
      </c>
      <c r="AJ544" s="1213" t="e">
        <f t="shared" ca="1" si="370"/>
        <v>#N/A</v>
      </c>
      <c r="AK544" s="1587">
        <f t="shared" si="371"/>
        <v>0</v>
      </c>
      <c r="AN544" s="1212" t="e">
        <f t="shared" ca="1" si="372"/>
        <v>#N/A</v>
      </c>
      <c r="AO544" s="1213" t="e">
        <f t="shared" ca="1" si="373"/>
        <v>#N/A</v>
      </c>
      <c r="AP544" s="1587">
        <f t="shared" si="374"/>
        <v>0</v>
      </c>
      <c r="AS544" s="1212" t="e">
        <f t="shared" ca="1" si="375"/>
        <v>#N/A</v>
      </c>
      <c r="AT544" s="1213" t="e">
        <f t="shared" ca="1" si="376"/>
        <v>#N/A</v>
      </c>
      <c r="AU544" s="1587">
        <f t="shared" si="377"/>
        <v>0</v>
      </c>
      <c r="AX544" s="1212" t="e">
        <f t="shared" ca="1" si="378"/>
        <v>#N/A</v>
      </c>
      <c r="AY544" s="1213" t="e">
        <f t="shared" ca="1" si="379"/>
        <v>#N/A</v>
      </c>
      <c r="AZ544" s="1587">
        <f t="shared" si="380"/>
        <v>0</v>
      </c>
      <c r="BC544" s="1212" t="e">
        <f t="shared" ca="1" si="381"/>
        <v>#N/A</v>
      </c>
      <c r="BD544" s="1213" t="e">
        <f t="shared" ca="1" si="382"/>
        <v>#N/A</v>
      </c>
      <c r="BE544" s="1587">
        <f t="shared" si="383"/>
        <v>0</v>
      </c>
      <c r="BH544" s="1212" t="e">
        <f t="shared" ca="1" si="384"/>
        <v>#N/A</v>
      </c>
      <c r="BI544" s="1213" t="e">
        <f t="shared" ca="1" si="385"/>
        <v>#N/A</v>
      </c>
      <c r="BJ544" s="1587">
        <f t="shared" si="386"/>
        <v>0</v>
      </c>
      <c r="BM544" s="1212" t="e">
        <f t="shared" ca="1" si="387"/>
        <v>#N/A</v>
      </c>
      <c r="BN544" s="1213" t="e">
        <f t="shared" ca="1" si="388"/>
        <v>#N/A</v>
      </c>
      <c r="BO544" s="1587">
        <f t="shared" si="389"/>
        <v>0</v>
      </c>
      <c r="BR544" s="1212" t="e">
        <f t="shared" ca="1" si="390"/>
        <v>#N/A</v>
      </c>
      <c r="BS544" s="1213" t="e">
        <f t="shared" ca="1" si="391"/>
        <v>#N/A</v>
      </c>
      <c r="BT544" s="1587">
        <f t="shared" si="392"/>
        <v>0</v>
      </c>
      <c r="BW544" s="1212" t="e">
        <f t="shared" ca="1" si="393"/>
        <v>#N/A</v>
      </c>
      <c r="BX544" s="1213" t="e">
        <f t="shared" ca="1" si="394"/>
        <v>#N/A</v>
      </c>
      <c r="BY544" s="1587">
        <f t="shared" si="395"/>
        <v>0</v>
      </c>
      <c r="CB544" s="1212" t="e">
        <f t="shared" ca="1" si="396"/>
        <v>#N/A</v>
      </c>
      <c r="CC544" s="1213" t="e">
        <f t="shared" ca="1" si="397"/>
        <v>#N/A</v>
      </c>
      <c r="CD544" s="1587">
        <f t="shared" si="398"/>
        <v>0</v>
      </c>
      <c r="CG544" s="1212" t="e">
        <f t="shared" ca="1" si="399"/>
        <v>#N/A</v>
      </c>
      <c r="CH544" s="1213" t="e">
        <f t="shared" ca="1" si="400"/>
        <v>#N/A</v>
      </c>
      <c r="CI544" s="1587">
        <f t="shared" si="401"/>
        <v>0</v>
      </c>
      <c r="CL544" s="1212" t="e">
        <f t="shared" ca="1" si="402"/>
        <v>#N/A</v>
      </c>
      <c r="CM544" s="1213" t="e">
        <f t="shared" ca="1" si="403"/>
        <v>#N/A</v>
      </c>
      <c r="CN544" s="1587">
        <f t="shared" si="404"/>
        <v>0</v>
      </c>
    </row>
    <row r="545" spans="1:92">
      <c r="A545" s="141">
        <f>'銀行-TSS'!A545</f>
        <v>0</v>
      </c>
      <c r="B545" s="151">
        <f ca="1">VLOOKUP(A545,'銀行-TSS'!A:B,2,FALSE)</f>
        <v>0</v>
      </c>
      <c r="C545" s="151" t="e">
        <f ca="1">VLOOKUP(B545,bond!B:C,2,FALSE)</f>
        <v>#N/A</v>
      </c>
      <c r="D545" s="95" t="e">
        <f>VLOOKUP(A545,'銀行-TSS'!A:C,3,FALSE)</f>
        <v>#N/A</v>
      </c>
      <c r="E545" s="90" t="e">
        <f ca="1">VLOOKUP(A545,'銀行-TSS'!A:G,7,FALSE)</f>
        <v>#N/A</v>
      </c>
      <c r="F545" s="202" t="e">
        <f ca="1">VLOOKUP(A545,'銀行-TSS'!A:H,8,FALSE)</f>
        <v>#N/A</v>
      </c>
      <c r="G545" s="96" t="e">
        <f ca="1">VLOOKUP(A545,'銀行-TSS'!A:K,11,FALSE)</f>
        <v>#N/A</v>
      </c>
      <c r="H545" s="1209" t="e">
        <f ca="1">VLOOKUP(A545,'銀行-TSS'!A:M,13,FALSE)</f>
        <v>#N/A</v>
      </c>
      <c r="I545" s="1213" t="e">
        <f ca="1">VLOOKUP(A545,'銀行-TSS'!A:N,14,FALSE)</f>
        <v>#N/A</v>
      </c>
      <c r="J545" s="1213" t="e">
        <f ca="1">VLOOKUP(A545,'銀行-TSS'!A:O,15,FALSE)</f>
        <v>#N/A</v>
      </c>
      <c r="K545" s="136" t="e">
        <f ca="1">VLOOKUP(A545,'銀行-TSS'!A:V,22,FALSE)</f>
        <v>#N/A</v>
      </c>
      <c r="L545" s="136" t="e">
        <f ca="1">VLOOKUP(A545,'銀行-TSS'!A:AK,37,FALSE)</f>
        <v>#N/A</v>
      </c>
      <c r="M545" s="136" t="str">
        <f ca="1">VLOOKUP(A545,'銀行-TSS'!A:AN,40,FALSE)</f>
        <v/>
      </c>
      <c r="N545" s="136" t="e">
        <f t="shared" ca="1" si="360"/>
        <v>#N/A</v>
      </c>
      <c r="O545" s="1213" t="e">
        <f t="shared" ca="1" si="361"/>
        <v>#N/A</v>
      </c>
      <c r="P545" s="1213" t="e">
        <f ca="1">IF(AND($O$1&gt;=O545,換券單檔!$D$13=D545),I545+INT(($O$1-O545)/N545)*J545,0)</f>
        <v>#N/A</v>
      </c>
      <c r="Q545" s="1213" t="e">
        <f t="shared" ca="1" si="362"/>
        <v>#N/A</v>
      </c>
      <c r="R545" s="1213">
        <f t="shared" si="363"/>
        <v>0</v>
      </c>
      <c r="S545" s="1213">
        <f t="shared" si="364"/>
        <v>0</v>
      </c>
      <c r="T545" s="136">
        <f>IF(OR(R545=0,A545=0),0,IF(AND(V545=TRUE,換券單檔!$D$13=D545),E545,0))</f>
        <v>0</v>
      </c>
      <c r="U545" s="861">
        <f>IF(OR(R545=0,A545=0),0,IF(AND(V545=TRUE,換券單檔!$D$13=D545),H545,0))</f>
        <v>0</v>
      </c>
      <c r="V545" s="136" t="e">
        <f ca="1">IF(OR(B545=換券單檔!$D$3,L545="無",M545&lt;&gt;"",K545="高資產",IFERROR(MATCH(B545,換券單檔!K:K,0),"N")&lt;&gt;"N"),FALSE,IF($V$1="All",TRUE,IF(K545=$V$1,TRUE,FALSE)))</f>
        <v>#N/A</v>
      </c>
      <c r="W545" s="136" t="e">
        <f ca="1">VLOOKUP(A545,'銀行-TSS'!A:AO,41,FALSE)</f>
        <v>#N/A</v>
      </c>
      <c r="X545" s="136" t="e">
        <f ca="1">VLOOKUP(A545,'銀行-TSS'!A:AP,42,FALSE)</f>
        <v>#N/A</v>
      </c>
      <c r="Y545" s="1220">
        <f t="shared" si="365"/>
        <v>0</v>
      </c>
      <c r="Z545" s="1220">
        <f t="shared" si="366"/>
        <v>0</v>
      </c>
      <c r="AA545" s="136">
        <f>IF(Z545&lt;=0,0,RANK(Z545,Z:Z)+COUNTIF($Z$3:$Z545,Z545)-1)</f>
        <v>0</v>
      </c>
      <c r="AB545" s="1211">
        <f t="shared" ca="1" si="367"/>
        <v>-14896.14</v>
      </c>
      <c r="AC545" s="136">
        <f ca="1">IF(AB545&lt;=0,0,RANK(AB545,AB:AB)+COUNTIF($AB$3:$AB545,AB545)-1)</f>
        <v>0</v>
      </c>
      <c r="AD545" s="1123">
        <f t="shared" si="368"/>
        <v>99999</v>
      </c>
      <c r="AE545" s="1123">
        <f>IF(AD545=99999,0,RANK(AD545,AD:AD,1)+COUNTIF($AD$3:$AD545,AD545)-1)</f>
        <v>0</v>
      </c>
      <c r="AF545" s="86" t="e">
        <f ca="1">IF(OR(M545&lt;&gt;"",L545="無",K545="高資產",IFERROR(MATCH(B545,換券單檔!K:K,0),"N")&lt;&gt;"N"),FALSE,TRUE)</f>
        <v>#N/A</v>
      </c>
      <c r="AI545" s="1212" t="e">
        <f t="shared" ca="1" si="369"/>
        <v>#N/A</v>
      </c>
      <c r="AJ545" s="1213" t="e">
        <f t="shared" ca="1" si="370"/>
        <v>#N/A</v>
      </c>
      <c r="AK545" s="1587">
        <f t="shared" si="371"/>
        <v>0</v>
      </c>
      <c r="AN545" s="1212" t="e">
        <f t="shared" ca="1" si="372"/>
        <v>#N/A</v>
      </c>
      <c r="AO545" s="1213" t="e">
        <f t="shared" ca="1" si="373"/>
        <v>#N/A</v>
      </c>
      <c r="AP545" s="1587">
        <f t="shared" si="374"/>
        <v>0</v>
      </c>
      <c r="AS545" s="1212" t="e">
        <f t="shared" ca="1" si="375"/>
        <v>#N/A</v>
      </c>
      <c r="AT545" s="1213" t="e">
        <f t="shared" ca="1" si="376"/>
        <v>#N/A</v>
      </c>
      <c r="AU545" s="1587">
        <f t="shared" si="377"/>
        <v>0</v>
      </c>
      <c r="AX545" s="1212" t="e">
        <f t="shared" ca="1" si="378"/>
        <v>#N/A</v>
      </c>
      <c r="AY545" s="1213" t="e">
        <f t="shared" ca="1" si="379"/>
        <v>#N/A</v>
      </c>
      <c r="AZ545" s="1587">
        <f t="shared" si="380"/>
        <v>0</v>
      </c>
      <c r="BC545" s="1212" t="e">
        <f t="shared" ca="1" si="381"/>
        <v>#N/A</v>
      </c>
      <c r="BD545" s="1213" t="e">
        <f t="shared" ca="1" si="382"/>
        <v>#N/A</v>
      </c>
      <c r="BE545" s="1587">
        <f t="shared" si="383"/>
        <v>0</v>
      </c>
      <c r="BH545" s="1212" t="e">
        <f t="shared" ca="1" si="384"/>
        <v>#N/A</v>
      </c>
      <c r="BI545" s="1213" t="e">
        <f t="shared" ca="1" si="385"/>
        <v>#N/A</v>
      </c>
      <c r="BJ545" s="1587">
        <f t="shared" si="386"/>
        <v>0</v>
      </c>
      <c r="BM545" s="1212" t="e">
        <f t="shared" ca="1" si="387"/>
        <v>#N/A</v>
      </c>
      <c r="BN545" s="1213" t="e">
        <f t="shared" ca="1" si="388"/>
        <v>#N/A</v>
      </c>
      <c r="BO545" s="1587">
        <f t="shared" si="389"/>
        <v>0</v>
      </c>
      <c r="BR545" s="1212" t="e">
        <f t="shared" ca="1" si="390"/>
        <v>#N/A</v>
      </c>
      <c r="BS545" s="1213" t="e">
        <f t="shared" ca="1" si="391"/>
        <v>#N/A</v>
      </c>
      <c r="BT545" s="1587">
        <f t="shared" si="392"/>
        <v>0</v>
      </c>
      <c r="BW545" s="1212" t="e">
        <f t="shared" ca="1" si="393"/>
        <v>#N/A</v>
      </c>
      <c r="BX545" s="1213" t="e">
        <f t="shared" ca="1" si="394"/>
        <v>#N/A</v>
      </c>
      <c r="BY545" s="1587">
        <f t="shared" si="395"/>
        <v>0</v>
      </c>
      <c r="CB545" s="1212" t="e">
        <f t="shared" ca="1" si="396"/>
        <v>#N/A</v>
      </c>
      <c r="CC545" s="1213" t="e">
        <f t="shared" ca="1" si="397"/>
        <v>#N/A</v>
      </c>
      <c r="CD545" s="1587">
        <f t="shared" si="398"/>
        <v>0</v>
      </c>
      <c r="CG545" s="1212" t="e">
        <f t="shared" ca="1" si="399"/>
        <v>#N/A</v>
      </c>
      <c r="CH545" s="1213" t="e">
        <f t="shared" ca="1" si="400"/>
        <v>#N/A</v>
      </c>
      <c r="CI545" s="1587">
        <f t="shared" si="401"/>
        <v>0</v>
      </c>
      <c r="CL545" s="1212" t="e">
        <f t="shared" ca="1" si="402"/>
        <v>#N/A</v>
      </c>
      <c r="CM545" s="1213" t="e">
        <f t="shared" ca="1" si="403"/>
        <v>#N/A</v>
      </c>
      <c r="CN545" s="1587">
        <f t="shared" si="404"/>
        <v>0</v>
      </c>
    </row>
    <row r="546" spans="1:92">
      <c r="A546" s="141">
        <f>'銀行-TSS'!A546</f>
        <v>0</v>
      </c>
      <c r="B546" s="151">
        <f ca="1">VLOOKUP(A546,'銀行-TSS'!A:B,2,FALSE)</f>
        <v>0</v>
      </c>
      <c r="C546" s="151" t="e">
        <f ca="1">VLOOKUP(B546,bond!B:C,2,FALSE)</f>
        <v>#N/A</v>
      </c>
      <c r="D546" s="95" t="e">
        <f>VLOOKUP(A546,'銀行-TSS'!A:C,3,FALSE)</f>
        <v>#N/A</v>
      </c>
      <c r="E546" s="90" t="e">
        <f ca="1">VLOOKUP(A546,'銀行-TSS'!A:G,7,FALSE)</f>
        <v>#N/A</v>
      </c>
      <c r="F546" s="202" t="e">
        <f ca="1">VLOOKUP(A546,'銀行-TSS'!A:H,8,FALSE)</f>
        <v>#N/A</v>
      </c>
      <c r="G546" s="96" t="e">
        <f ca="1">VLOOKUP(A546,'銀行-TSS'!A:K,11,FALSE)</f>
        <v>#N/A</v>
      </c>
      <c r="H546" s="1209" t="e">
        <f ca="1">VLOOKUP(A546,'銀行-TSS'!A:M,13,FALSE)</f>
        <v>#N/A</v>
      </c>
      <c r="I546" s="1213" t="e">
        <f ca="1">VLOOKUP(A546,'銀行-TSS'!A:N,14,FALSE)</f>
        <v>#N/A</v>
      </c>
      <c r="J546" s="1213" t="e">
        <f ca="1">VLOOKUP(A546,'銀行-TSS'!A:O,15,FALSE)</f>
        <v>#N/A</v>
      </c>
      <c r="K546" s="136" t="e">
        <f ca="1">VLOOKUP(A546,'銀行-TSS'!A:V,22,FALSE)</f>
        <v>#N/A</v>
      </c>
      <c r="L546" s="136" t="e">
        <f ca="1">VLOOKUP(A546,'銀行-TSS'!A:AK,37,FALSE)</f>
        <v>#N/A</v>
      </c>
      <c r="M546" s="136" t="str">
        <f ca="1">VLOOKUP(A546,'銀行-TSS'!A:AN,40,FALSE)</f>
        <v/>
      </c>
      <c r="N546" s="136" t="e">
        <f t="shared" ca="1" si="360"/>
        <v>#N/A</v>
      </c>
      <c r="O546" s="1213" t="e">
        <f t="shared" ca="1" si="361"/>
        <v>#N/A</v>
      </c>
      <c r="P546" s="1213" t="e">
        <f ca="1">IF(AND($O$1&gt;=O546,換券單檔!$D$13=D546),I546+INT(($O$1-O546)/N546)*J546,0)</f>
        <v>#N/A</v>
      </c>
      <c r="Q546" s="1213" t="e">
        <f t="shared" ca="1" si="362"/>
        <v>#N/A</v>
      </c>
      <c r="R546" s="1213">
        <f t="shared" si="363"/>
        <v>0</v>
      </c>
      <c r="S546" s="1213">
        <f t="shared" si="364"/>
        <v>0</v>
      </c>
      <c r="T546" s="136">
        <f>IF(OR(R546=0,A546=0),0,IF(AND(V546=TRUE,換券單檔!$D$13=D546),E546,0))</f>
        <v>0</v>
      </c>
      <c r="U546" s="861">
        <f>IF(OR(R546=0,A546=0),0,IF(AND(V546=TRUE,換券單檔!$D$13=D546),H546,0))</f>
        <v>0</v>
      </c>
      <c r="V546" s="136" t="e">
        <f ca="1">IF(OR(B546=換券單檔!$D$3,L546="無",M546&lt;&gt;"",K546="高資產",IFERROR(MATCH(B546,換券單檔!K:K,0),"N")&lt;&gt;"N"),FALSE,IF($V$1="All",TRUE,IF(K546=$V$1,TRUE,FALSE)))</f>
        <v>#N/A</v>
      </c>
      <c r="W546" s="136" t="e">
        <f ca="1">VLOOKUP(A546,'銀行-TSS'!A:AO,41,FALSE)</f>
        <v>#N/A</v>
      </c>
      <c r="X546" s="136" t="e">
        <f ca="1">VLOOKUP(A546,'銀行-TSS'!A:AP,42,FALSE)</f>
        <v>#N/A</v>
      </c>
      <c r="Y546" s="1220">
        <f t="shared" si="365"/>
        <v>0</v>
      </c>
      <c r="Z546" s="1220">
        <f t="shared" si="366"/>
        <v>0</v>
      </c>
      <c r="AA546" s="136">
        <f>IF(Z546&lt;=0,0,RANK(Z546,Z:Z)+COUNTIF($Z$3:$Z546,Z546)-1)</f>
        <v>0</v>
      </c>
      <c r="AB546" s="1211">
        <f t="shared" ca="1" si="367"/>
        <v>-14896.14</v>
      </c>
      <c r="AC546" s="136">
        <f ca="1">IF(AB546&lt;=0,0,RANK(AB546,AB:AB)+COUNTIF($AB$3:$AB546,AB546)-1)</f>
        <v>0</v>
      </c>
      <c r="AD546" s="1123">
        <f t="shared" si="368"/>
        <v>99999</v>
      </c>
      <c r="AE546" s="1123">
        <f>IF(AD546=99999,0,RANK(AD546,AD:AD,1)+COUNTIF($AD$3:$AD546,AD546)-1)</f>
        <v>0</v>
      </c>
      <c r="AF546" s="86" t="e">
        <f ca="1">IF(OR(M546&lt;&gt;"",L546="無",K546="高資產",IFERROR(MATCH(B546,換券單檔!K:K,0),"N")&lt;&gt;"N"),FALSE,TRUE)</f>
        <v>#N/A</v>
      </c>
      <c r="AI546" s="1212" t="e">
        <f t="shared" ca="1" si="369"/>
        <v>#N/A</v>
      </c>
      <c r="AJ546" s="1213" t="e">
        <f t="shared" ca="1" si="370"/>
        <v>#N/A</v>
      </c>
      <c r="AK546" s="1587">
        <f t="shared" si="371"/>
        <v>0</v>
      </c>
      <c r="AN546" s="1212" t="e">
        <f t="shared" ca="1" si="372"/>
        <v>#N/A</v>
      </c>
      <c r="AO546" s="1213" t="e">
        <f t="shared" ca="1" si="373"/>
        <v>#N/A</v>
      </c>
      <c r="AP546" s="1587">
        <f t="shared" si="374"/>
        <v>0</v>
      </c>
      <c r="AS546" s="1212" t="e">
        <f t="shared" ca="1" si="375"/>
        <v>#N/A</v>
      </c>
      <c r="AT546" s="1213" t="e">
        <f t="shared" ca="1" si="376"/>
        <v>#N/A</v>
      </c>
      <c r="AU546" s="1587">
        <f t="shared" si="377"/>
        <v>0</v>
      </c>
      <c r="AX546" s="1212" t="e">
        <f t="shared" ca="1" si="378"/>
        <v>#N/A</v>
      </c>
      <c r="AY546" s="1213" t="e">
        <f t="shared" ca="1" si="379"/>
        <v>#N/A</v>
      </c>
      <c r="AZ546" s="1587">
        <f t="shared" si="380"/>
        <v>0</v>
      </c>
      <c r="BC546" s="1212" t="e">
        <f t="shared" ca="1" si="381"/>
        <v>#N/A</v>
      </c>
      <c r="BD546" s="1213" t="e">
        <f t="shared" ca="1" si="382"/>
        <v>#N/A</v>
      </c>
      <c r="BE546" s="1587">
        <f t="shared" si="383"/>
        <v>0</v>
      </c>
      <c r="BH546" s="1212" t="e">
        <f t="shared" ca="1" si="384"/>
        <v>#N/A</v>
      </c>
      <c r="BI546" s="1213" t="e">
        <f t="shared" ca="1" si="385"/>
        <v>#N/A</v>
      </c>
      <c r="BJ546" s="1587">
        <f t="shared" si="386"/>
        <v>0</v>
      </c>
      <c r="BM546" s="1212" t="e">
        <f t="shared" ca="1" si="387"/>
        <v>#N/A</v>
      </c>
      <c r="BN546" s="1213" t="e">
        <f t="shared" ca="1" si="388"/>
        <v>#N/A</v>
      </c>
      <c r="BO546" s="1587">
        <f t="shared" si="389"/>
        <v>0</v>
      </c>
      <c r="BR546" s="1212" t="e">
        <f t="shared" ca="1" si="390"/>
        <v>#N/A</v>
      </c>
      <c r="BS546" s="1213" t="e">
        <f t="shared" ca="1" si="391"/>
        <v>#N/A</v>
      </c>
      <c r="BT546" s="1587">
        <f t="shared" si="392"/>
        <v>0</v>
      </c>
      <c r="BW546" s="1212" t="e">
        <f t="shared" ca="1" si="393"/>
        <v>#N/A</v>
      </c>
      <c r="BX546" s="1213" t="e">
        <f t="shared" ca="1" si="394"/>
        <v>#N/A</v>
      </c>
      <c r="BY546" s="1587">
        <f t="shared" si="395"/>
        <v>0</v>
      </c>
      <c r="CB546" s="1212" t="e">
        <f t="shared" ca="1" si="396"/>
        <v>#N/A</v>
      </c>
      <c r="CC546" s="1213" t="e">
        <f t="shared" ca="1" si="397"/>
        <v>#N/A</v>
      </c>
      <c r="CD546" s="1587">
        <f t="shared" si="398"/>
        <v>0</v>
      </c>
      <c r="CG546" s="1212" t="e">
        <f t="shared" ca="1" si="399"/>
        <v>#N/A</v>
      </c>
      <c r="CH546" s="1213" t="e">
        <f t="shared" ca="1" si="400"/>
        <v>#N/A</v>
      </c>
      <c r="CI546" s="1587">
        <f t="shared" si="401"/>
        <v>0</v>
      </c>
      <c r="CL546" s="1212" t="e">
        <f t="shared" ca="1" si="402"/>
        <v>#N/A</v>
      </c>
      <c r="CM546" s="1213" t="e">
        <f t="shared" ca="1" si="403"/>
        <v>#N/A</v>
      </c>
      <c r="CN546" s="1587">
        <f t="shared" si="404"/>
        <v>0</v>
      </c>
    </row>
    <row r="547" spans="1:92">
      <c r="A547" s="141">
        <f>'銀行-TSS'!A547</f>
        <v>0</v>
      </c>
      <c r="B547" s="151">
        <f ca="1">VLOOKUP(A547,'銀行-TSS'!A:B,2,FALSE)</f>
        <v>0</v>
      </c>
      <c r="C547" s="151" t="e">
        <f ca="1">VLOOKUP(B547,bond!B:C,2,FALSE)</f>
        <v>#N/A</v>
      </c>
      <c r="D547" s="95" t="e">
        <f>VLOOKUP(A547,'銀行-TSS'!A:C,3,FALSE)</f>
        <v>#N/A</v>
      </c>
      <c r="E547" s="90" t="e">
        <f ca="1">VLOOKUP(A547,'銀行-TSS'!A:G,7,FALSE)</f>
        <v>#N/A</v>
      </c>
      <c r="F547" s="202" t="e">
        <f ca="1">VLOOKUP(A547,'銀行-TSS'!A:H,8,FALSE)</f>
        <v>#N/A</v>
      </c>
      <c r="G547" s="96" t="e">
        <f ca="1">VLOOKUP(A547,'銀行-TSS'!A:K,11,FALSE)</f>
        <v>#N/A</v>
      </c>
      <c r="H547" s="1209" t="e">
        <f ca="1">VLOOKUP(A547,'銀行-TSS'!A:M,13,FALSE)</f>
        <v>#N/A</v>
      </c>
      <c r="I547" s="1213" t="e">
        <f ca="1">VLOOKUP(A547,'銀行-TSS'!A:N,14,FALSE)</f>
        <v>#N/A</v>
      </c>
      <c r="J547" s="1213" t="e">
        <f ca="1">VLOOKUP(A547,'銀行-TSS'!A:O,15,FALSE)</f>
        <v>#N/A</v>
      </c>
      <c r="K547" s="136" t="e">
        <f ca="1">VLOOKUP(A547,'銀行-TSS'!A:V,22,FALSE)</f>
        <v>#N/A</v>
      </c>
      <c r="L547" s="136" t="e">
        <f ca="1">VLOOKUP(A547,'銀行-TSS'!A:AK,37,FALSE)</f>
        <v>#N/A</v>
      </c>
      <c r="M547" s="136" t="str">
        <f ca="1">VLOOKUP(A547,'銀行-TSS'!A:AN,40,FALSE)</f>
        <v/>
      </c>
      <c r="N547" s="136" t="e">
        <f t="shared" ca="1" si="360"/>
        <v>#N/A</v>
      </c>
      <c r="O547" s="1213" t="e">
        <f t="shared" ca="1" si="361"/>
        <v>#N/A</v>
      </c>
      <c r="P547" s="1213" t="e">
        <f ca="1">IF(AND($O$1&gt;=O547,換券單檔!$D$13=D547),I547+INT(($O$1-O547)/N547)*J547,0)</f>
        <v>#N/A</v>
      </c>
      <c r="Q547" s="1213" t="e">
        <f t="shared" ca="1" si="362"/>
        <v>#N/A</v>
      </c>
      <c r="R547" s="1213">
        <f t="shared" si="363"/>
        <v>0</v>
      </c>
      <c r="S547" s="1213">
        <f t="shared" si="364"/>
        <v>0</v>
      </c>
      <c r="T547" s="136">
        <f>IF(OR(R547=0,A547=0),0,IF(AND(V547=TRUE,換券單檔!$D$13=D547),E547,0))</f>
        <v>0</v>
      </c>
      <c r="U547" s="861">
        <f>IF(OR(R547=0,A547=0),0,IF(AND(V547=TRUE,換券單檔!$D$13=D547),H547,0))</f>
        <v>0</v>
      </c>
      <c r="V547" s="136" t="e">
        <f ca="1">IF(OR(B547=換券單檔!$D$3,L547="無",M547&lt;&gt;"",K547="高資產",IFERROR(MATCH(B547,換券單檔!K:K,0),"N")&lt;&gt;"N"),FALSE,IF($V$1="All",TRUE,IF(K547=$V$1,TRUE,FALSE)))</f>
        <v>#N/A</v>
      </c>
      <c r="W547" s="136" t="e">
        <f ca="1">VLOOKUP(A547,'銀行-TSS'!A:AO,41,FALSE)</f>
        <v>#N/A</v>
      </c>
      <c r="X547" s="136" t="e">
        <f ca="1">VLOOKUP(A547,'銀行-TSS'!A:AP,42,FALSE)</f>
        <v>#N/A</v>
      </c>
      <c r="Y547" s="1220">
        <f t="shared" si="365"/>
        <v>0</v>
      </c>
      <c r="Z547" s="1220">
        <f t="shared" si="366"/>
        <v>0</v>
      </c>
      <c r="AA547" s="136">
        <f>IF(Z547&lt;=0,0,RANK(Z547,Z:Z)+COUNTIF($Z$3:$Z547,Z547)-1)</f>
        <v>0</v>
      </c>
      <c r="AB547" s="1211">
        <f t="shared" ca="1" si="367"/>
        <v>-14896.14</v>
      </c>
      <c r="AC547" s="136">
        <f ca="1">IF(AB547&lt;=0,0,RANK(AB547,AB:AB)+COUNTIF($AB$3:$AB547,AB547)-1)</f>
        <v>0</v>
      </c>
      <c r="AD547" s="1123">
        <f t="shared" si="368"/>
        <v>99999</v>
      </c>
      <c r="AE547" s="1123">
        <f>IF(AD547=99999,0,RANK(AD547,AD:AD,1)+COUNTIF($AD$3:$AD547,AD547)-1)</f>
        <v>0</v>
      </c>
      <c r="AF547" s="86" t="e">
        <f ca="1">IF(OR(M547&lt;&gt;"",L547="無",K547="高資產",IFERROR(MATCH(B547,換券單檔!K:K,0),"N")&lt;&gt;"N"),FALSE,TRUE)</f>
        <v>#N/A</v>
      </c>
      <c r="AI547" s="1212" t="e">
        <f t="shared" ca="1" si="369"/>
        <v>#N/A</v>
      </c>
      <c r="AJ547" s="1213" t="e">
        <f t="shared" ca="1" si="370"/>
        <v>#N/A</v>
      </c>
      <c r="AK547" s="1587">
        <f t="shared" si="371"/>
        <v>0</v>
      </c>
      <c r="AN547" s="1212" t="e">
        <f t="shared" ca="1" si="372"/>
        <v>#N/A</v>
      </c>
      <c r="AO547" s="1213" t="e">
        <f t="shared" ca="1" si="373"/>
        <v>#N/A</v>
      </c>
      <c r="AP547" s="1587">
        <f t="shared" si="374"/>
        <v>0</v>
      </c>
      <c r="AS547" s="1212" t="e">
        <f t="shared" ca="1" si="375"/>
        <v>#N/A</v>
      </c>
      <c r="AT547" s="1213" t="e">
        <f t="shared" ca="1" si="376"/>
        <v>#N/A</v>
      </c>
      <c r="AU547" s="1587">
        <f t="shared" si="377"/>
        <v>0</v>
      </c>
      <c r="AX547" s="1212" t="e">
        <f t="shared" ca="1" si="378"/>
        <v>#N/A</v>
      </c>
      <c r="AY547" s="1213" t="e">
        <f t="shared" ca="1" si="379"/>
        <v>#N/A</v>
      </c>
      <c r="AZ547" s="1587">
        <f t="shared" si="380"/>
        <v>0</v>
      </c>
      <c r="BC547" s="1212" t="e">
        <f t="shared" ca="1" si="381"/>
        <v>#N/A</v>
      </c>
      <c r="BD547" s="1213" t="e">
        <f t="shared" ca="1" si="382"/>
        <v>#N/A</v>
      </c>
      <c r="BE547" s="1587">
        <f t="shared" si="383"/>
        <v>0</v>
      </c>
      <c r="BH547" s="1212" t="e">
        <f t="shared" ca="1" si="384"/>
        <v>#N/A</v>
      </c>
      <c r="BI547" s="1213" t="e">
        <f t="shared" ca="1" si="385"/>
        <v>#N/A</v>
      </c>
      <c r="BJ547" s="1587">
        <f t="shared" si="386"/>
        <v>0</v>
      </c>
      <c r="BM547" s="1212" t="e">
        <f t="shared" ca="1" si="387"/>
        <v>#N/A</v>
      </c>
      <c r="BN547" s="1213" t="e">
        <f t="shared" ca="1" si="388"/>
        <v>#N/A</v>
      </c>
      <c r="BO547" s="1587">
        <f t="shared" si="389"/>
        <v>0</v>
      </c>
      <c r="BR547" s="1212" t="e">
        <f t="shared" ca="1" si="390"/>
        <v>#N/A</v>
      </c>
      <c r="BS547" s="1213" t="e">
        <f t="shared" ca="1" si="391"/>
        <v>#N/A</v>
      </c>
      <c r="BT547" s="1587">
        <f t="shared" si="392"/>
        <v>0</v>
      </c>
      <c r="BW547" s="1212" t="e">
        <f t="shared" ca="1" si="393"/>
        <v>#N/A</v>
      </c>
      <c r="BX547" s="1213" t="e">
        <f t="shared" ca="1" si="394"/>
        <v>#N/A</v>
      </c>
      <c r="BY547" s="1587">
        <f t="shared" si="395"/>
        <v>0</v>
      </c>
      <c r="CB547" s="1212" t="e">
        <f t="shared" ca="1" si="396"/>
        <v>#N/A</v>
      </c>
      <c r="CC547" s="1213" t="e">
        <f t="shared" ca="1" si="397"/>
        <v>#N/A</v>
      </c>
      <c r="CD547" s="1587">
        <f t="shared" si="398"/>
        <v>0</v>
      </c>
      <c r="CG547" s="1212" t="e">
        <f t="shared" ca="1" si="399"/>
        <v>#N/A</v>
      </c>
      <c r="CH547" s="1213" t="e">
        <f t="shared" ca="1" si="400"/>
        <v>#N/A</v>
      </c>
      <c r="CI547" s="1587">
        <f t="shared" si="401"/>
        <v>0</v>
      </c>
      <c r="CL547" s="1212" t="e">
        <f t="shared" ca="1" si="402"/>
        <v>#N/A</v>
      </c>
      <c r="CM547" s="1213" t="e">
        <f t="shared" ca="1" si="403"/>
        <v>#N/A</v>
      </c>
      <c r="CN547" s="1587">
        <f t="shared" si="404"/>
        <v>0</v>
      </c>
    </row>
    <row r="548" spans="1:92">
      <c r="A548" s="141">
        <f>'銀行-TSS'!A548</f>
        <v>0</v>
      </c>
      <c r="B548" s="151">
        <f ca="1">VLOOKUP(A548,'銀行-TSS'!A:B,2,FALSE)</f>
        <v>0</v>
      </c>
      <c r="C548" s="151" t="e">
        <f ca="1">VLOOKUP(B548,bond!B:C,2,FALSE)</f>
        <v>#N/A</v>
      </c>
      <c r="D548" s="95" t="e">
        <f>VLOOKUP(A548,'銀行-TSS'!A:C,3,FALSE)</f>
        <v>#N/A</v>
      </c>
      <c r="E548" s="90" t="e">
        <f ca="1">VLOOKUP(A548,'銀行-TSS'!A:G,7,FALSE)</f>
        <v>#N/A</v>
      </c>
      <c r="F548" s="202" t="e">
        <f ca="1">VLOOKUP(A548,'銀行-TSS'!A:H,8,FALSE)</f>
        <v>#N/A</v>
      </c>
      <c r="G548" s="96" t="e">
        <f ca="1">VLOOKUP(A548,'銀行-TSS'!A:K,11,FALSE)</f>
        <v>#N/A</v>
      </c>
      <c r="H548" s="1209" t="e">
        <f ca="1">VLOOKUP(A548,'銀行-TSS'!A:M,13,FALSE)</f>
        <v>#N/A</v>
      </c>
      <c r="I548" s="1213" t="e">
        <f ca="1">VLOOKUP(A548,'銀行-TSS'!A:N,14,FALSE)</f>
        <v>#N/A</v>
      </c>
      <c r="J548" s="1213" t="e">
        <f ca="1">VLOOKUP(A548,'銀行-TSS'!A:O,15,FALSE)</f>
        <v>#N/A</v>
      </c>
      <c r="K548" s="136" t="e">
        <f ca="1">VLOOKUP(A548,'銀行-TSS'!A:V,22,FALSE)</f>
        <v>#N/A</v>
      </c>
      <c r="L548" s="136" t="e">
        <f ca="1">VLOOKUP(A548,'銀行-TSS'!A:AK,37,FALSE)</f>
        <v>#N/A</v>
      </c>
      <c r="M548" s="136" t="str">
        <f ca="1">VLOOKUP(A548,'銀行-TSS'!A:AN,40,FALSE)</f>
        <v/>
      </c>
      <c r="N548" s="136" t="e">
        <f t="shared" ca="1" si="360"/>
        <v>#N/A</v>
      </c>
      <c r="O548" s="1213" t="e">
        <f t="shared" ca="1" si="361"/>
        <v>#N/A</v>
      </c>
      <c r="P548" s="1213" t="e">
        <f ca="1">IF(AND($O$1&gt;=O548,換券單檔!$D$13=D548),I548+INT(($O$1-O548)/N548)*J548,0)</f>
        <v>#N/A</v>
      </c>
      <c r="Q548" s="1213" t="e">
        <f t="shared" ca="1" si="362"/>
        <v>#N/A</v>
      </c>
      <c r="R548" s="1213">
        <f t="shared" si="363"/>
        <v>0</v>
      </c>
      <c r="S548" s="1213">
        <f t="shared" si="364"/>
        <v>0</v>
      </c>
      <c r="T548" s="136">
        <f>IF(OR(R548=0,A548=0),0,IF(AND(V548=TRUE,換券單檔!$D$13=D548),E548,0))</f>
        <v>0</v>
      </c>
      <c r="U548" s="861">
        <f>IF(OR(R548=0,A548=0),0,IF(AND(V548=TRUE,換券單檔!$D$13=D548),H548,0))</f>
        <v>0</v>
      </c>
      <c r="V548" s="136" t="e">
        <f ca="1">IF(OR(B548=換券單檔!$D$3,L548="無",M548&lt;&gt;"",K548="高資產",IFERROR(MATCH(B548,換券單檔!K:K,0),"N")&lt;&gt;"N"),FALSE,IF($V$1="All",TRUE,IF(K548=$V$1,TRUE,FALSE)))</f>
        <v>#N/A</v>
      </c>
      <c r="W548" s="136" t="e">
        <f ca="1">VLOOKUP(A548,'銀行-TSS'!A:AO,41,FALSE)</f>
        <v>#N/A</v>
      </c>
      <c r="X548" s="136" t="e">
        <f ca="1">VLOOKUP(A548,'銀行-TSS'!A:AP,42,FALSE)</f>
        <v>#N/A</v>
      </c>
      <c r="Y548" s="1220">
        <f t="shared" si="365"/>
        <v>0</v>
      </c>
      <c r="Z548" s="1220">
        <f t="shared" si="366"/>
        <v>0</v>
      </c>
      <c r="AA548" s="136">
        <f>IF(Z548&lt;=0,0,RANK(Z548,Z:Z)+COUNTIF($Z$3:$Z548,Z548)-1)</f>
        <v>0</v>
      </c>
      <c r="AB548" s="1211">
        <f t="shared" ca="1" si="367"/>
        <v>-14896.14</v>
      </c>
      <c r="AC548" s="136">
        <f ca="1">IF(AB548&lt;=0,0,RANK(AB548,AB:AB)+COUNTIF($AB$3:$AB548,AB548)-1)</f>
        <v>0</v>
      </c>
      <c r="AD548" s="1123">
        <f t="shared" si="368"/>
        <v>99999</v>
      </c>
      <c r="AE548" s="1123">
        <f>IF(AD548=99999,0,RANK(AD548,AD:AD,1)+COUNTIF($AD$3:$AD548,AD548)-1)</f>
        <v>0</v>
      </c>
      <c r="AF548" s="86" t="e">
        <f ca="1">IF(OR(M548&lt;&gt;"",L548="無",K548="高資產",IFERROR(MATCH(B548,換券單檔!K:K,0),"N")&lt;&gt;"N"),FALSE,TRUE)</f>
        <v>#N/A</v>
      </c>
      <c r="AI548" s="1212" t="e">
        <f t="shared" ca="1" si="369"/>
        <v>#N/A</v>
      </c>
      <c r="AJ548" s="1213" t="e">
        <f t="shared" ca="1" si="370"/>
        <v>#N/A</v>
      </c>
      <c r="AK548" s="1587">
        <f t="shared" si="371"/>
        <v>0</v>
      </c>
      <c r="AN548" s="1212" t="e">
        <f t="shared" ca="1" si="372"/>
        <v>#N/A</v>
      </c>
      <c r="AO548" s="1213" t="e">
        <f t="shared" ca="1" si="373"/>
        <v>#N/A</v>
      </c>
      <c r="AP548" s="1587">
        <f t="shared" si="374"/>
        <v>0</v>
      </c>
      <c r="AS548" s="1212" t="e">
        <f t="shared" ca="1" si="375"/>
        <v>#N/A</v>
      </c>
      <c r="AT548" s="1213" t="e">
        <f t="shared" ca="1" si="376"/>
        <v>#N/A</v>
      </c>
      <c r="AU548" s="1587">
        <f t="shared" si="377"/>
        <v>0</v>
      </c>
      <c r="AX548" s="1212" t="e">
        <f t="shared" ca="1" si="378"/>
        <v>#N/A</v>
      </c>
      <c r="AY548" s="1213" t="e">
        <f t="shared" ca="1" si="379"/>
        <v>#N/A</v>
      </c>
      <c r="AZ548" s="1587">
        <f t="shared" si="380"/>
        <v>0</v>
      </c>
      <c r="BC548" s="1212" t="e">
        <f t="shared" ca="1" si="381"/>
        <v>#N/A</v>
      </c>
      <c r="BD548" s="1213" t="e">
        <f t="shared" ca="1" si="382"/>
        <v>#N/A</v>
      </c>
      <c r="BE548" s="1587">
        <f t="shared" si="383"/>
        <v>0</v>
      </c>
      <c r="BH548" s="1212" t="e">
        <f t="shared" ca="1" si="384"/>
        <v>#N/A</v>
      </c>
      <c r="BI548" s="1213" t="e">
        <f t="shared" ca="1" si="385"/>
        <v>#N/A</v>
      </c>
      <c r="BJ548" s="1587">
        <f t="shared" si="386"/>
        <v>0</v>
      </c>
      <c r="BM548" s="1212" t="e">
        <f t="shared" ca="1" si="387"/>
        <v>#N/A</v>
      </c>
      <c r="BN548" s="1213" t="e">
        <f t="shared" ca="1" si="388"/>
        <v>#N/A</v>
      </c>
      <c r="BO548" s="1587">
        <f t="shared" si="389"/>
        <v>0</v>
      </c>
      <c r="BR548" s="1212" t="e">
        <f t="shared" ca="1" si="390"/>
        <v>#N/A</v>
      </c>
      <c r="BS548" s="1213" t="e">
        <f t="shared" ca="1" si="391"/>
        <v>#N/A</v>
      </c>
      <c r="BT548" s="1587">
        <f t="shared" si="392"/>
        <v>0</v>
      </c>
      <c r="BW548" s="1212" t="e">
        <f t="shared" ca="1" si="393"/>
        <v>#N/A</v>
      </c>
      <c r="BX548" s="1213" t="e">
        <f t="shared" ca="1" si="394"/>
        <v>#N/A</v>
      </c>
      <c r="BY548" s="1587">
        <f t="shared" si="395"/>
        <v>0</v>
      </c>
      <c r="CB548" s="1212" t="e">
        <f t="shared" ca="1" si="396"/>
        <v>#N/A</v>
      </c>
      <c r="CC548" s="1213" t="e">
        <f t="shared" ca="1" si="397"/>
        <v>#N/A</v>
      </c>
      <c r="CD548" s="1587">
        <f t="shared" si="398"/>
        <v>0</v>
      </c>
      <c r="CG548" s="1212" t="e">
        <f t="shared" ca="1" si="399"/>
        <v>#N/A</v>
      </c>
      <c r="CH548" s="1213" t="e">
        <f t="shared" ca="1" si="400"/>
        <v>#N/A</v>
      </c>
      <c r="CI548" s="1587">
        <f t="shared" si="401"/>
        <v>0</v>
      </c>
      <c r="CL548" s="1212" t="e">
        <f t="shared" ca="1" si="402"/>
        <v>#N/A</v>
      </c>
      <c r="CM548" s="1213" t="e">
        <f t="shared" ca="1" si="403"/>
        <v>#N/A</v>
      </c>
      <c r="CN548" s="1587">
        <f t="shared" si="404"/>
        <v>0</v>
      </c>
    </row>
    <row r="549" spans="1:92">
      <c r="A549" s="141">
        <f>'銀行-TSS'!A549</f>
        <v>0</v>
      </c>
      <c r="B549" s="151">
        <f ca="1">VLOOKUP(A549,'銀行-TSS'!A:B,2,FALSE)</f>
        <v>0</v>
      </c>
      <c r="C549" s="151" t="e">
        <f ca="1">VLOOKUP(B549,bond!B:C,2,FALSE)</f>
        <v>#N/A</v>
      </c>
      <c r="D549" s="95" t="e">
        <f>VLOOKUP(A549,'銀行-TSS'!A:C,3,FALSE)</f>
        <v>#N/A</v>
      </c>
      <c r="E549" s="90" t="e">
        <f ca="1">VLOOKUP(A549,'銀行-TSS'!A:G,7,FALSE)</f>
        <v>#N/A</v>
      </c>
      <c r="F549" s="202" t="e">
        <f ca="1">VLOOKUP(A549,'銀行-TSS'!A:H,8,FALSE)</f>
        <v>#N/A</v>
      </c>
      <c r="G549" s="96" t="e">
        <f ca="1">VLOOKUP(A549,'銀行-TSS'!A:K,11,FALSE)</f>
        <v>#N/A</v>
      </c>
      <c r="H549" s="1209" t="e">
        <f ca="1">VLOOKUP(A549,'銀行-TSS'!A:M,13,FALSE)</f>
        <v>#N/A</v>
      </c>
      <c r="I549" s="1213" t="e">
        <f ca="1">VLOOKUP(A549,'銀行-TSS'!A:N,14,FALSE)</f>
        <v>#N/A</v>
      </c>
      <c r="J549" s="1213" t="e">
        <f ca="1">VLOOKUP(A549,'銀行-TSS'!A:O,15,FALSE)</f>
        <v>#N/A</v>
      </c>
      <c r="K549" s="136" t="e">
        <f ca="1">VLOOKUP(A549,'銀行-TSS'!A:V,22,FALSE)</f>
        <v>#N/A</v>
      </c>
      <c r="L549" s="136" t="e">
        <f ca="1">VLOOKUP(A549,'銀行-TSS'!A:AK,37,FALSE)</f>
        <v>#N/A</v>
      </c>
      <c r="M549" s="136" t="str">
        <f ca="1">VLOOKUP(A549,'銀行-TSS'!A:AN,40,FALSE)</f>
        <v/>
      </c>
      <c r="N549" s="136" t="e">
        <f t="shared" ca="1" si="360"/>
        <v>#N/A</v>
      </c>
      <c r="O549" s="1213" t="e">
        <f t="shared" ca="1" si="361"/>
        <v>#N/A</v>
      </c>
      <c r="P549" s="1213" t="e">
        <f ca="1">IF(AND($O$1&gt;=O549,換券單檔!$D$13=D549),I549+INT(($O$1-O549)/N549)*J549,0)</f>
        <v>#N/A</v>
      </c>
      <c r="Q549" s="1213" t="e">
        <f t="shared" ca="1" si="362"/>
        <v>#N/A</v>
      </c>
      <c r="R549" s="1213">
        <f t="shared" si="363"/>
        <v>0</v>
      </c>
      <c r="S549" s="1213">
        <f t="shared" si="364"/>
        <v>0</v>
      </c>
      <c r="T549" s="136">
        <f>IF(OR(R549=0,A549=0),0,IF(AND(V549=TRUE,換券單檔!$D$13=D549),E549,0))</f>
        <v>0</v>
      </c>
      <c r="U549" s="861">
        <f>IF(OR(R549=0,A549=0),0,IF(AND(V549=TRUE,換券單檔!$D$13=D549),H549,0))</f>
        <v>0</v>
      </c>
      <c r="V549" s="136" t="e">
        <f ca="1">IF(OR(B549=換券單檔!$D$3,L549="無",M549&lt;&gt;"",K549="高資產",IFERROR(MATCH(B549,換券單檔!K:K,0),"N")&lt;&gt;"N"),FALSE,IF($V$1="All",TRUE,IF(K549=$V$1,TRUE,FALSE)))</f>
        <v>#N/A</v>
      </c>
      <c r="W549" s="136" t="e">
        <f ca="1">VLOOKUP(A549,'銀行-TSS'!A:AO,41,FALSE)</f>
        <v>#N/A</v>
      </c>
      <c r="X549" s="136" t="e">
        <f ca="1">VLOOKUP(A549,'銀行-TSS'!A:AP,42,FALSE)</f>
        <v>#N/A</v>
      </c>
      <c r="Y549" s="1220">
        <f t="shared" si="365"/>
        <v>0</v>
      </c>
      <c r="Z549" s="1220">
        <f t="shared" si="366"/>
        <v>0</v>
      </c>
      <c r="AA549" s="136">
        <f>IF(Z549&lt;=0,0,RANK(Z549,Z:Z)+COUNTIF($Z$3:$Z549,Z549)-1)</f>
        <v>0</v>
      </c>
      <c r="AB549" s="1211">
        <f t="shared" ca="1" si="367"/>
        <v>-14896.14</v>
      </c>
      <c r="AC549" s="136">
        <f ca="1">IF(AB549&lt;=0,0,RANK(AB549,AB:AB)+COUNTIF($AB$3:$AB549,AB549)-1)</f>
        <v>0</v>
      </c>
      <c r="AD549" s="1123">
        <f t="shared" si="368"/>
        <v>99999</v>
      </c>
      <c r="AE549" s="1123">
        <f>IF(AD549=99999,0,RANK(AD549,AD:AD,1)+COUNTIF($AD$3:$AD549,AD549)-1)</f>
        <v>0</v>
      </c>
      <c r="AF549" s="86" t="e">
        <f ca="1">IF(OR(M549&lt;&gt;"",L549="無",K549="高資產",IFERROR(MATCH(B549,換券單檔!K:K,0),"N")&lt;&gt;"N"),FALSE,TRUE)</f>
        <v>#N/A</v>
      </c>
      <c r="AI549" s="1212" t="e">
        <f t="shared" ca="1" si="369"/>
        <v>#N/A</v>
      </c>
      <c r="AJ549" s="1213" t="e">
        <f t="shared" ca="1" si="370"/>
        <v>#N/A</v>
      </c>
      <c r="AK549" s="1587">
        <f t="shared" si="371"/>
        <v>0</v>
      </c>
      <c r="AN549" s="1212" t="e">
        <f t="shared" ca="1" si="372"/>
        <v>#N/A</v>
      </c>
      <c r="AO549" s="1213" t="e">
        <f t="shared" ca="1" si="373"/>
        <v>#N/A</v>
      </c>
      <c r="AP549" s="1587">
        <f t="shared" si="374"/>
        <v>0</v>
      </c>
      <c r="AS549" s="1212" t="e">
        <f t="shared" ca="1" si="375"/>
        <v>#N/A</v>
      </c>
      <c r="AT549" s="1213" t="e">
        <f t="shared" ca="1" si="376"/>
        <v>#N/A</v>
      </c>
      <c r="AU549" s="1587">
        <f t="shared" si="377"/>
        <v>0</v>
      </c>
      <c r="AX549" s="1212" t="e">
        <f t="shared" ca="1" si="378"/>
        <v>#N/A</v>
      </c>
      <c r="AY549" s="1213" t="e">
        <f t="shared" ca="1" si="379"/>
        <v>#N/A</v>
      </c>
      <c r="AZ549" s="1587">
        <f t="shared" si="380"/>
        <v>0</v>
      </c>
      <c r="BC549" s="1212" t="e">
        <f t="shared" ca="1" si="381"/>
        <v>#N/A</v>
      </c>
      <c r="BD549" s="1213" t="e">
        <f t="shared" ca="1" si="382"/>
        <v>#N/A</v>
      </c>
      <c r="BE549" s="1587">
        <f t="shared" si="383"/>
        <v>0</v>
      </c>
      <c r="BH549" s="1212" t="e">
        <f t="shared" ca="1" si="384"/>
        <v>#N/A</v>
      </c>
      <c r="BI549" s="1213" t="e">
        <f t="shared" ca="1" si="385"/>
        <v>#N/A</v>
      </c>
      <c r="BJ549" s="1587">
        <f t="shared" si="386"/>
        <v>0</v>
      </c>
      <c r="BM549" s="1212" t="e">
        <f t="shared" ca="1" si="387"/>
        <v>#N/A</v>
      </c>
      <c r="BN549" s="1213" t="e">
        <f t="shared" ca="1" si="388"/>
        <v>#N/A</v>
      </c>
      <c r="BO549" s="1587">
        <f t="shared" si="389"/>
        <v>0</v>
      </c>
      <c r="BR549" s="1212" t="e">
        <f t="shared" ca="1" si="390"/>
        <v>#N/A</v>
      </c>
      <c r="BS549" s="1213" t="e">
        <f t="shared" ca="1" si="391"/>
        <v>#N/A</v>
      </c>
      <c r="BT549" s="1587">
        <f t="shared" si="392"/>
        <v>0</v>
      </c>
      <c r="BW549" s="1212" t="e">
        <f t="shared" ca="1" si="393"/>
        <v>#N/A</v>
      </c>
      <c r="BX549" s="1213" t="e">
        <f t="shared" ca="1" si="394"/>
        <v>#N/A</v>
      </c>
      <c r="BY549" s="1587">
        <f t="shared" si="395"/>
        <v>0</v>
      </c>
      <c r="CB549" s="1212" t="e">
        <f t="shared" ca="1" si="396"/>
        <v>#N/A</v>
      </c>
      <c r="CC549" s="1213" t="e">
        <f t="shared" ca="1" si="397"/>
        <v>#N/A</v>
      </c>
      <c r="CD549" s="1587">
        <f t="shared" si="398"/>
        <v>0</v>
      </c>
      <c r="CG549" s="1212" t="e">
        <f t="shared" ca="1" si="399"/>
        <v>#N/A</v>
      </c>
      <c r="CH549" s="1213" t="e">
        <f t="shared" ca="1" si="400"/>
        <v>#N/A</v>
      </c>
      <c r="CI549" s="1587">
        <f t="shared" si="401"/>
        <v>0</v>
      </c>
      <c r="CL549" s="1212" t="e">
        <f t="shared" ca="1" si="402"/>
        <v>#N/A</v>
      </c>
      <c r="CM549" s="1213" t="e">
        <f t="shared" ca="1" si="403"/>
        <v>#N/A</v>
      </c>
      <c r="CN549" s="1587">
        <f t="shared" si="404"/>
        <v>0</v>
      </c>
    </row>
    <row r="550" spans="1:92">
      <c r="A550" s="141">
        <f>'銀行-TSS'!A550</f>
        <v>0</v>
      </c>
      <c r="B550" s="151">
        <f ca="1">VLOOKUP(A550,'銀行-TSS'!A:B,2,FALSE)</f>
        <v>0</v>
      </c>
      <c r="C550" s="151" t="e">
        <f ca="1">VLOOKUP(B550,bond!B:C,2,FALSE)</f>
        <v>#N/A</v>
      </c>
      <c r="D550" s="95" t="e">
        <f>VLOOKUP(A550,'銀行-TSS'!A:C,3,FALSE)</f>
        <v>#N/A</v>
      </c>
      <c r="E550" s="90" t="e">
        <f ca="1">VLOOKUP(A550,'銀行-TSS'!A:G,7,FALSE)</f>
        <v>#N/A</v>
      </c>
      <c r="F550" s="202" t="e">
        <f ca="1">VLOOKUP(A550,'銀行-TSS'!A:H,8,FALSE)</f>
        <v>#N/A</v>
      </c>
      <c r="G550" s="96" t="e">
        <f ca="1">VLOOKUP(A550,'銀行-TSS'!A:K,11,FALSE)</f>
        <v>#N/A</v>
      </c>
      <c r="H550" s="1209" t="e">
        <f ca="1">VLOOKUP(A550,'銀行-TSS'!A:M,13,FALSE)</f>
        <v>#N/A</v>
      </c>
      <c r="I550" s="1213" t="e">
        <f ca="1">VLOOKUP(A550,'銀行-TSS'!A:N,14,FALSE)</f>
        <v>#N/A</v>
      </c>
      <c r="J550" s="1213" t="e">
        <f ca="1">VLOOKUP(A550,'銀行-TSS'!A:O,15,FALSE)</f>
        <v>#N/A</v>
      </c>
      <c r="K550" s="136" t="e">
        <f ca="1">VLOOKUP(A550,'銀行-TSS'!A:V,22,FALSE)</f>
        <v>#N/A</v>
      </c>
      <c r="L550" s="136" t="e">
        <f ca="1">VLOOKUP(A550,'銀行-TSS'!A:AK,37,FALSE)</f>
        <v>#N/A</v>
      </c>
      <c r="M550" s="136" t="str">
        <f ca="1">VLOOKUP(A550,'銀行-TSS'!A:AN,40,FALSE)</f>
        <v/>
      </c>
      <c r="N550" s="136" t="e">
        <f t="shared" ca="1" si="360"/>
        <v>#N/A</v>
      </c>
      <c r="O550" s="1213" t="e">
        <f t="shared" ca="1" si="361"/>
        <v>#N/A</v>
      </c>
      <c r="P550" s="1213" t="e">
        <f ca="1">IF(AND($O$1&gt;=O550,換券單檔!$D$13=D550),I550+INT(($O$1-O550)/N550)*J550,0)</f>
        <v>#N/A</v>
      </c>
      <c r="Q550" s="1213" t="e">
        <f t="shared" ca="1" si="362"/>
        <v>#N/A</v>
      </c>
      <c r="R550" s="1213">
        <f t="shared" si="363"/>
        <v>0</v>
      </c>
      <c r="S550" s="1213">
        <f t="shared" si="364"/>
        <v>0</v>
      </c>
      <c r="T550" s="136">
        <f>IF(OR(R550=0,A550=0),0,IF(AND(V550=TRUE,換券單檔!$D$13=D550),E550,0))</f>
        <v>0</v>
      </c>
      <c r="U550" s="861">
        <f>IF(OR(R550=0,A550=0),0,IF(AND(V550=TRUE,換券單檔!$D$13=D550),H550,0))</f>
        <v>0</v>
      </c>
      <c r="V550" s="136" t="e">
        <f ca="1">IF(OR(B550=換券單檔!$D$3,L550="無",M550&lt;&gt;"",K550="高資產",IFERROR(MATCH(B550,換券單檔!K:K,0),"N")&lt;&gt;"N"),FALSE,IF($V$1="All",TRUE,IF(K550=$V$1,TRUE,FALSE)))</f>
        <v>#N/A</v>
      </c>
      <c r="W550" s="136" t="e">
        <f ca="1">VLOOKUP(A550,'銀行-TSS'!A:AO,41,FALSE)</f>
        <v>#N/A</v>
      </c>
      <c r="X550" s="136" t="e">
        <f ca="1">VLOOKUP(A550,'銀行-TSS'!A:AP,42,FALSE)</f>
        <v>#N/A</v>
      </c>
      <c r="Y550" s="1220">
        <f t="shared" si="365"/>
        <v>0</v>
      </c>
      <c r="Z550" s="1220">
        <f t="shared" si="366"/>
        <v>0</v>
      </c>
      <c r="AA550" s="136">
        <f>IF(Z550&lt;=0,0,RANK(Z550,Z:Z)+COUNTIF($Z$3:$Z550,Z550)-1)</f>
        <v>0</v>
      </c>
      <c r="AB550" s="1211">
        <f t="shared" ca="1" si="367"/>
        <v>-14896.14</v>
      </c>
      <c r="AC550" s="136">
        <f ca="1">IF(AB550&lt;=0,0,RANK(AB550,AB:AB)+COUNTIF($AB$3:$AB550,AB550)-1)</f>
        <v>0</v>
      </c>
      <c r="AD550" s="1123">
        <f t="shared" si="368"/>
        <v>99999</v>
      </c>
      <c r="AE550" s="1123">
        <f>IF(AD550=99999,0,RANK(AD550,AD:AD,1)+COUNTIF($AD$3:$AD550,AD550)-1)</f>
        <v>0</v>
      </c>
      <c r="AF550" s="86" t="e">
        <f ca="1">IF(OR(M550&lt;&gt;"",L550="無",K550="高資產",IFERROR(MATCH(B550,換券單檔!K:K,0),"N")&lt;&gt;"N"),FALSE,TRUE)</f>
        <v>#N/A</v>
      </c>
      <c r="AI550" s="1212" t="e">
        <f t="shared" ca="1" si="369"/>
        <v>#N/A</v>
      </c>
      <c r="AJ550" s="1213" t="e">
        <f t="shared" ca="1" si="370"/>
        <v>#N/A</v>
      </c>
      <c r="AK550" s="1587">
        <f t="shared" si="371"/>
        <v>0</v>
      </c>
      <c r="AN550" s="1212" t="e">
        <f t="shared" ca="1" si="372"/>
        <v>#N/A</v>
      </c>
      <c r="AO550" s="1213" t="e">
        <f t="shared" ca="1" si="373"/>
        <v>#N/A</v>
      </c>
      <c r="AP550" s="1587">
        <f t="shared" si="374"/>
        <v>0</v>
      </c>
      <c r="AS550" s="1212" t="e">
        <f t="shared" ca="1" si="375"/>
        <v>#N/A</v>
      </c>
      <c r="AT550" s="1213" t="e">
        <f t="shared" ca="1" si="376"/>
        <v>#N/A</v>
      </c>
      <c r="AU550" s="1587">
        <f t="shared" si="377"/>
        <v>0</v>
      </c>
      <c r="AX550" s="1212" t="e">
        <f t="shared" ca="1" si="378"/>
        <v>#N/A</v>
      </c>
      <c r="AY550" s="1213" t="e">
        <f t="shared" ca="1" si="379"/>
        <v>#N/A</v>
      </c>
      <c r="AZ550" s="1587">
        <f t="shared" si="380"/>
        <v>0</v>
      </c>
      <c r="BC550" s="1212" t="e">
        <f t="shared" ca="1" si="381"/>
        <v>#N/A</v>
      </c>
      <c r="BD550" s="1213" t="e">
        <f t="shared" ca="1" si="382"/>
        <v>#N/A</v>
      </c>
      <c r="BE550" s="1587">
        <f t="shared" si="383"/>
        <v>0</v>
      </c>
      <c r="BH550" s="1212" t="e">
        <f t="shared" ca="1" si="384"/>
        <v>#N/A</v>
      </c>
      <c r="BI550" s="1213" t="e">
        <f t="shared" ca="1" si="385"/>
        <v>#N/A</v>
      </c>
      <c r="BJ550" s="1587">
        <f t="shared" si="386"/>
        <v>0</v>
      </c>
      <c r="BM550" s="1212" t="e">
        <f t="shared" ca="1" si="387"/>
        <v>#N/A</v>
      </c>
      <c r="BN550" s="1213" t="e">
        <f t="shared" ca="1" si="388"/>
        <v>#N/A</v>
      </c>
      <c r="BO550" s="1587">
        <f t="shared" si="389"/>
        <v>0</v>
      </c>
      <c r="BR550" s="1212" t="e">
        <f t="shared" ca="1" si="390"/>
        <v>#N/A</v>
      </c>
      <c r="BS550" s="1213" t="e">
        <f t="shared" ca="1" si="391"/>
        <v>#N/A</v>
      </c>
      <c r="BT550" s="1587">
        <f t="shared" si="392"/>
        <v>0</v>
      </c>
      <c r="BW550" s="1212" t="e">
        <f t="shared" ca="1" si="393"/>
        <v>#N/A</v>
      </c>
      <c r="BX550" s="1213" t="e">
        <f t="shared" ca="1" si="394"/>
        <v>#N/A</v>
      </c>
      <c r="BY550" s="1587">
        <f t="shared" si="395"/>
        <v>0</v>
      </c>
      <c r="CB550" s="1212" t="e">
        <f t="shared" ca="1" si="396"/>
        <v>#N/A</v>
      </c>
      <c r="CC550" s="1213" t="e">
        <f t="shared" ca="1" si="397"/>
        <v>#N/A</v>
      </c>
      <c r="CD550" s="1587">
        <f t="shared" si="398"/>
        <v>0</v>
      </c>
      <c r="CG550" s="1212" t="e">
        <f t="shared" ca="1" si="399"/>
        <v>#N/A</v>
      </c>
      <c r="CH550" s="1213" t="e">
        <f t="shared" ca="1" si="400"/>
        <v>#N/A</v>
      </c>
      <c r="CI550" s="1587">
        <f t="shared" si="401"/>
        <v>0</v>
      </c>
      <c r="CL550" s="1212" t="e">
        <f t="shared" ca="1" si="402"/>
        <v>#N/A</v>
      </c>
      <c r="CM550" s="1213" t="e">
        <f t="shared" ca="1" si="403"/>
        <v>#N/A</v>
      </c>
      <c r="CN550" s="1587">
        <f t="shared" si="404"/>
        <v>0</v>
      </c>
    </row>
    <row r="551" spans="1:92">
      <c r="A551" s="141">
        <f>'銀行-TSS'!A551</f>
        <v>0</v>
      </c>
      <c r="B551" s="151">
        <f ca="1">VLOOKUP(A551,'銀行-TSS'!A:B,2,FALSE)</f>
        <v>0</v>
      </c>
      <c r="C551" s="151" t="e">
        <f ca="1">VLOOKUP(B551,bond!B:C,2,FALSE)</f>
        <v>#N/A</v>
      </c>
      <c r="D551" s="95" t="e">
        <f>VLOOKUP(A551,'銀行-TSS'!A:C,3,FALSE)</f>
        <v>#N/A</v>
      </c>
      <c r="E551" s="90" t="e">
        <f ca="1">VLOOKUP(A551,'銀行-TSS'!A:G,7,FALSE)</f>
        <v>#N/A</v>
      </c>
      <c r="F551" s="202" t="e">
        <f ca="1">VLOOKUP(A551,'銀行-TSS'!A:H,8,FALSE)</f>
        <v>#N/A</v>
      </c>
      <c r="G551" s="96" t="e">
        <f ca="1">VLOOKUP(A551,'銀行-TSS'!A:K,11,FALSE)</f>
        <v>#N/A</v>
      </c>
      <c r="H551" s="1209" t="e">
        <f ca="1">VLOOKUP(A551,'銀行-TSS'!A:M,13,FALSE)</f>
        <v>#N/A</v>
      </c>
      <c r="I551" s="1213" t="e">
        <f ca="1">VLOOKUP(A551,'銀行-TSS'!A:N,14,FALSE)</f>
        <v>#N/A</v>
      </c>
      <c r="J551" s="1213" t="e">
        <f ca="1">VLOOKUP(A551,'銀行-TSS'!A:O,15,FALSE)</f>
        <v>#N/A</v>
      </c>
      <c r="K551" s="136" t="e">
        <f ca="1">VLOOKUP(A551,'銀行-TSS'!A:V,22,FALSE)</f>
        <v>#N/A</v>
      </c>
      <c r="L551" s="136" t="e">
        <f ca="1">VLOOKUP(A551,'銀行-TSS'!A:AK,37,FALSE)</f>
        <v>#N/A</v>
      </c>
      <c r="M551" s="136" t="str">
        <f ca="1">VLOOKUP(A551,'銀行-TSS'!A:AN,40,FALSE)</f>
        <v/>
      </c>
      <c r="N551" s="136" t="e">
        <f t="shared" ca="1" si="360"/>
        <v>#N/A</v>
      </c>
      <c r="O551" s="1213" t="e">
        <f t="shared" ca="1" si="361"/>
        <v>#N/A</v>
      </c>
      <c r="P551" s="1213" t="e">
        <f ca="1">IF(AND($O$1&gt;=O551,換券單檔!$D$13=D551),I551+INT(($O$1-O551)/N551)*J551,0)</f>
        <v>#N/A</v>
      </c>
      <c r="Q551" s="1213" t="e">
        <f t="shared" ca="1" si="362"/>
        <v>#N/A</v>
      </c>
      <c r="R551" s="1213">
        <f t="shared" si="363"/>
        <v>0</v>
      </c>
      <c r="S551" s="1213">
        <f t="shared" si="364"/>
        <v>0</v>
      </c>
      <c r="T551" s="136">
        <f>IF(OR(R551=0,A551=0),0,IF(AND(V551=TRUE,換券單檔!$D$13=D551),E551,0))</f>
        <v>0</v>
      </c>
      <c r="U551" s="861">
        <f>IF(OR(R551=0,A551=0),0,IF(AND(V551=TRUE,換券單檔!$D$13=D551),H551,0))</f>
        <v>0</v>
      </c>
      <c r="V551" s="136" t="e">
        <f ca="1">IF(OR(B551=換券單檔!$D$3,L551="無",M551&lt;&gt;"",K551="高資產",IFERROR(MATCH(B551,換券單檔!K:K,0),"N")&lt;&gt;"N"),FALSE,IF($V$1="All",TRUE,IF(K551=$V$1,TRUE,FALSE)))</f>
        <v>#N/A</v>
      </c>
      <c r="W551" s="136" t="e">
        <f ca="1">VLOOKUP(A551,'銀行-TSS'!A:AO,41,FALSE)</f>
        <v>#N/A</v>
      </c>
      <c r="X551" s="136" t="e">
        <f ca="1">VLOOKUP(A551,'銀行-TSS'!A:AP,42,FALSE)</f>
        <v>#N/A</v>
      </c>
      <c r="Y551" s="1220">
        <f t="shared" si="365"/>
        <v>0</v>
      </c>
      <c r="Z551" s="1220">
        <f t="shared" si="366"/>
        <v>0</v>
      </c>
      <c r="AA551" s="136">
        <f>IF(Z551&lt;=0,0,RANK(Z551,Z:Z)+COUNTIF($Z$3:$Z551,Z551)-1)</f>
        <v>0</v>
      </c>
      <c r="AB551" s="1211">
        <f t="shared" ca="1" si="367"/>
        <v>-14896.14</v>
      </c>
      <c r="AC551" s="136">
        <f ca="1">IF(AB551&lt;=0,0,RANK(AB551,AB:AB)+COUNTIF($AB$3:$AB551,AB551)-1)</f>
        <v>0</v>
      </c>
      <c r="AD551" s="1123">
        <f t="shared" si="368"/>
        <v>99999</v>
      </c>
      <c r="AE551" s="1123">
        <f>IF(AD551=99999,0,RANK(AD551,AD:AD,1)+COUNTIF($AD$3:$AD551,AD551)-1)</f>
        <v>0</v>
      </c>
      <c r="AF551" s="86" t="e">
        <f ca="1">IF(OR(M551&lt;&gt;"",L551="無",K551="高資產",IFERROR(MATCH(B551,換券單檔!K:K,0),"N")&lt;&gt;"N"),FALSE,TRUE)</f>
        <v>#N/A</v>
      </c>
      <c r="AI551" s="1212" t="e">
        <f t="shared" ca="1" si="369"/>
        <v>#N/A</v>
      </c>
      <c r="AJ551" s="1213" t="e">
        <f t="shared" ca="1" si="370"/>
        <v>#N/A</v>
      </c>
      <c r="AK551" s="1587">
        <f t="shared" si="371"/>
        <v>0</v>
      </c>
      <c r="AN551" s="1212" t="e">
        <f t="shared" ca="1" si="372"/>
        <v>#N/A</v>
      </c>
      <c r="AO551" s="1213" t="e">
        <f t="shared" ca="1" si="373"/>
        <v>#N/A</v>
      </c>
      <c r="AP551" s="1587">
        <f t="shared" si="374"/>
        <v>0</v>
      </c>
      <c r="AS551" s="1212" t="e">
        <f t="shared" ca="1" si="375"/>
        <v>#N/A</v>
      </c>
      <c r="AT551" s="1213" t="e">
        <f t="shared" ca="1" si="376"/>
        <v>#N/A</v>
      </c>
      <c r="AU551" s="1587">
        <f t="shared" si="377"/>
        <v>0</v>
      </c>
      <c r="AX551" s="1212" t="e">
        <f t="shared" ca="1" si="378"/>
        <v>#N/A</v>
      </c>
      <c r="AY551" s="1213" t="e">
        <f t="shared" ca="1" si="379"/>
        <v>#N/A</v>
      </c>
      <c r="AZ551" s="1587">
        <f t="shared" si="380"/>
        <v>0</v>
      </c>
      <c r="BC551" s="1212" t="e">
        <f t="shared" ca="1" si="381"/>
        <v>#N/A</v>
      </c>
      <c r="BD551" s="1213" t="e">
        <f t="shared" ca="1" si="382"/>
        <v>#N/A</v>
      </c>
      <c r="BE551" s="1587">
        <f t="shared" si="383"/>
        <v>0</v>
      </c>
      <c r="BH551" s="1212" t="e">
        <f t="shared" ca="1" si="384"/>
        <v>#N/A</v>
      </c>
      <c r="BI551" s="1213" t="e">
        <f t="shared" ca="1" si="385"/>
        <v>#N/A</v>
      </c>
      <c r="BJ551" s="1587">
        <f t="shared" si="386"/>
        <v>0</v>
      </c>
      <c r="BM551" s="1212" t="e">
        <f t="shared" ca="1" si="387"/>
        <v>#N/A</v>
      </c>
      <c r="BN551" s="1213" t="e">
        <f t="shared" ca="1" si="388"/>
        <v>#N/A</v>
      </c>
      <c r="BO551" s="1587">
        <f t="shared" si="389"/>
        <v>0</v>
      </c>
      <c r="BR551" s="1212" t="e">
        <f t="shared" ca="1" si="390"/>
        <v>#N/A</v>
      </c>
      <c r="BS551" s="1213" t="e">
        <f t="shared" ca="1" si="391"/>
        <v>#N/A</v>
      </c>
      <c r="BT551" s="1587">
        <f t="shared" si="392"/>
        <v>0</v>
      </c>
      <c r="BW551" s="1212" t="e">
        <f t="shared" ca="1" si="393"/>
        <v>#N/A</v>
      </c>
      <c r="BX551" s="1213" t="e">
        <f t="shared" ca="1" si="394"/>
        <v>#N/A</v>
      </c>
      <c r="BY551" s="1587">
        <f t="shared" si="395"/>
        <v>0</v>
      </c>
      <c r="CB551" s="1212" t="e">
        <f t="shared" ca="1" si="396"/>
        <v>#N/A</v>
      </c>
      <c r="CC551" s="1213" t="e">
        <f t="shared" ca="1" si="397"/>
        <v>#N/A</v>
      </c>
      <c r="CD551" s="1587">
        <f t="shared" si="398"/>
        <v>0</v>
      </c>
      <c r="CG551" s="1212" t="e">
        <f t="shared" ca="1" si="399"/>
        <v>#N/A</v>
      </c>
      <c r="CH551" s="1213" t="e">
        <f t="shared" ca="1" si="400"/>
        <v>#N/A</v>
      </c>
      <c r="CI551" s="1587">
        <f t="shared" si="401"/>
        <v>0</v>
      </c>
      <c r="CL551" s="1212" t="e">
        <f t="shared" ca="1" si="402"/>
        <v>#N/A</v>
      </c>
      <c r="CM551" s="1213" t="e">
        <f t="shared" ca="1" si="403"/>
        <v>#N/A</v>
      </c>
      <c r="CN551" s="1587">
        <f t="shared" si="404"/>
        <v>0</v>
      </c>
    </row>
    <row r="552" spans="1:92">
      <c r="A552" s="141">
        <f>'銀行-TSS'!A552</f>
        <v>0</v>
      </c>
      <c r="B552" s="151">
        <f ca="1">VLOOKUP(A552,'銀行-TSS'!A:B,2,FALSE)</f>
        <v>0</v>
      </c>
      <c r="C552" s="151" t="e">
        <f ca="1">VLOOKUP(B552,bond!B:C,2,FALSE)</f>
        <v>#N/A</v>
      </c>
      <c r="D552" s="95" t="e">
        <f>VLOOKUP(A552,'銀行-TSS'!A:C,3,FALSE)</f>
        <v>#N/A</v>
      </c>
      <c r="E552" s="90" t="e">
        <f ca="1">VLOOKUP(A552,'銀行-TSS'!A:G,7,FALSE)</f>
        <v>#N/A</v>
      </c>
      <c r="F552" s="202" t="e">
        <f ca="1">VLOOKUP(A552,'銀行-TSS'!A:H,8,FALSE)</f>
        <v>#N/A</v>
      </c>
      <c r="G552" s="96" t="e">
        <f ca="1">VLOOKUP(A552,'銀行-TSS'!A:K,11,FALSE)</f>
        <v>#N/A</v>
      </c>
      <c r="H552" s="1209" t="e">
        <f ca="1">VLOOKUP(A552,'銀行-TSS'!A:M,13,FALSE)</f>
        <v>#N/A</v>
      </c>
      <c r="I552" s="1213" t="e">
        <f ca="1">VLOOKUP(A552,'銀行-TSS'!A:N,14,FALSE)</f>
        <v>#N/A</v>
      </c>
      <c r="J552" s="1213" t="e">
        <f ca="1">VLOOKUP(A552,'銀行-TSS'!A:O,15,FALSE)</f>
        <v>#N/A</v>
      </c>
      <c r="K552" s="136" t="e">
        <f ca="1">VLOOKUP(A552,'銀行-TSS'!A:V,22,FALSE)</f>
        <v>#N/A</v>
      </c>
      <c r="L552" s="136" t="e">
        <f ca="1">VLOOKUP(A552,'銀行-TSS'!A:AK,37,FALSE)</f>
        <v>#N/A</v>
      </c>
      <c r="M552" s="136" t="str">
        <f ca="1">VLOOKUP(A552,'銀行-TSS'!A:AN,40,FALSE)</f>
        <v/>
      </c>
      <c r="N552" s="136" t="e">
        <f t="shared" ca="1" si="360"/>
        <v>#N/A</v>
      </c>
      <c r="O552" s="1213" t="e">
        <f t="shared" ca="1" si="361"/>
        <v>#N/A</v>
      </c>
      <c r="P552" s="1213" t="e">
        <f ca="1">IF(AND($O$1&gt;=O552,換券單檔!$D$13=D552),I552+INT(($O$1-O552)/N552)*J552,0)</f>
        <v>#N/A</v>
      </c>
      <c r="Q552" s="1213" t="e">
        <f t="shared" ca="1" si="362"/>
        <v>#N/A</v>
      </c>
      <c r="R552" s="1213">
        <f t="shared" si="363"/>
        <v>0</v>
      </c>
      <c r="S552" s="1213">
        <f t="shared" si="364"/>
        <v>0</v>
      </c>
      <c r="T552" s="136">
        <f>IF(OR(R552=0,A552=0),0,IF(AND(V552=TRUE,換券單檔!$D$13=D552),E552,0))</f>
        <v>0</v>
      </c>
      <c r="U552" s="861">
        <f>IF(OR(R552=0,A552=0),0,IF(AND(V552=TRUE,換券單檔!$D$13=D552),H552,0))</f>
        <v>0</v>
      </c>
      <c r="V552" s="136" t="e">
        <f ca="1">IF(OR(B552=換券單檔!$D$3,L552="無",M552&lt;&gt;"",K552="高資產",IFERROR(MATCH(B552,換券單檔!K:K,0),"N")&lt;&gt;"N"),FALSE,IF($V$1="All",TRUE,IF(K552=$V$1,TRUE,FALSE)))</f>
        <v>#N/A</v>
      </c>
      <c r="W552" s="136" t="e">
        <f ca="1">VLOOKUP(A552,'銀行-TSS'!A:AO,41,FALSE)</f>
        <v>#N/A</v>
      </c>
      <c r="X552" s="136" t="e">
        <f ca="1">VLOOKUP(A552,'銀行-TSS'!A:AP,42,FALSE)</f>
        <v>#N/A</v>
      </c>
      <c r="Y552" s="1220">
        <f t="shared" si="365"/>
        <v>0</v>
      </c>
      <c r="Z552" s="1220">
        <f t="shared" si="366"/>
        <v>0</v>
      </c>
      <c r="AA552" s="136">
        <f>IF(Z552&lt;=0,0,RANK(Z552,Z:Z)+COUNTIF($Z$3:$Z552,Z552)-1)</f>
        <v>0</v>
      </c>
      <c r="AB552" s="1211">
        <f t="shared" ca="1" si="367"/>
        <v>-14896.14</v>
      </c>
      <c r="AC552" s="136">
        <f ca="1">IF(AB552&lt;=0,0,RANK(AB552,AB:AB)+COUNTIF($AB$3:$AB552,AB552)-1)</f>
        <v>0</v>
      </c>
      <c r="AD552" s="1123">
        <f t="shared" si="368"/>
        <v>99999</v>
      </c>
      <c r="AE552" s="1123">
        <f>IF(AD552=99999,0,RANK(AD552,AD:AD,1)+COUNTIF($AD$3:$AD552,AD552)-1)</f>
        <v>0</v>
      </c>
      <c r="AF552" s="86" t="e">
        <f ca="1">IF(OR(M552&lt;&gt;"",L552="無",K552="高資產",IFERROR(MATCH(B552,換券單檔!K:K,0),"N")&lt;&gt;"N"),FALSE,TRUE)</f>
        <v>#N/A</v>
      </c>
      <c r="AI552" s="1212" t="e">
        <f t="shared" ca="1" si="369"/>
        <v>#N/A</v>
      </c>
      <c r="AJ552" s="1213" t="e">
        <f t="shared" ca="1" si="370"/>
        <v>#N/A</v>
      </c>
      <c r="AK552" s="1587">
        <f t="shared" si="371"/>
        <v>0</v>
      </c>
      <c r="AN552" s="1212" t="e">
        <f t="shared" ca="1" si="372"/>
        <v>#N/A</v>
      </c>
      <c r="AO552" s="1213" t="e">
        <f t="shared" ca="1" si="373"/>
        <v>#N/A</v>
      </c>
      <c r="AP552" s="1587">
        <f t="shared" si="374"/>
        <v>0</v>
      </c>
      <c r="AS552" s="1212" t="e">
        <f t="shared" ca="1" si="375"/>
        <v>#N/A</v>
      </c>
      <c r="AT552" s="1213" t="e">
        <f t="shared" ca="1" si="376"/>
        <v>#N/A</v>
      </c>
      <c r="AU552" s="1587">
        <f t="shared" si="377"/>
        <v>0</v>
      </c>
      <c r="AX552" s="1212" t="e">
        <f t="shared" ca="1" si="378"/>
        <v>#N/A</v>
      </c>
      <c r="AY552" s="1213" t="e">
        <f t="shared" ca="1" si="379"/>
        <v>#N/A</v>
      </c>
      <c r="AZ552" s="1587">
        <f t="shared" si="380"/>
        <v>0</v>
      </c>
      <c r="BC552" s="1212" t="e">
        <f t="shared" ca="1" si="381"/>
        <v>#N/A</v>
      </c>
      <c r="BD552" s="1213" t="e">
        <f t="shared" ca="1" si="382"/>
        <v>#N/A</v>
      </c>
      <c r="BE552" s="1587">
        <f t="shared" si="383"/>
        <v>0</v>
      </c>
      <c r="BH552" s="1212" t="e">
        <f t="shared" ca="1" si="384"/>
        <v>#N/A</v>
      </c>
      <c r="BI552" s="1213" t="e">
        <f t="shared" ca="1" si="385"/>
        <v>#N/A</v>
      </c>
      <c r="BJ552" s="1587">
        <f t="shared" si="386"/>
        <v>0</v>
      </c>
      <c r="BM552" s="1212" t="e">
        <f t="shared" ca="1" si="387"/>
        <v>#N/A</v>
      </c>
      <c r="BN552" s="1213" t="e">
        <f t="shared" ca="1" si="388"/>
        <v>#N/A</v>
      </c>
      <c r="BO552" s="1587">
        <f t="shared" si="389"/>
        <v>0</v>
      </c>
      <c r="BR552" s="1212" t="e">
        <f t="shared" ca="1" si="390"/>
        <v>#N/A</v>
      </c>
      <c r="BS552" s="1213" t="e">
        <f t="shared" ca="1" si="391"/>
        <v>#N/A</v>
      </c>
      <c r="BT552" s="1587">
        <f t="shared" si="392"/>
        <v>0</v>
      </c>
      <c r="BW552" s="1212" t="e">
        <f t="shared" ca="1" si="393"/>
        <v>#N/A</v>
      </c>
      <c r="BX552" s="1213" t="e">
        <f t="shared" ca="1" si="394"/>
        <v>#N/A</v>
      </c>
      <c r="BY552" s="1587">
        <f t="shared" si="395"/>
        <v>0</v>
      </c>
      <c r="CB552" s="1212" t="e">
        <f t="shared" ca="1" si="396"/>
        <v>#N/A</v>
      </c>
      <c r="CC552" s="1213" t="e">
        <f t="shared" ca="1" si="397"/>
        <v>#N/A</v>
      </c>
      <c r="CD552" s="1587">
        <f t="shared" si="398"/>
        <v>0</v>
      </c>
      <c r="CG552" s="1212" t="e">
        <f t="shared" ca="1" si="399"/>
        <v>#N/A</v>
      </c>
      <c r="CH552" s="1213" t="e">
        <f t="shared" ca="1" si="400"/>
        <v>#N/A</v>
      </c>
      <c r="CI552" s="1587">
        <f t="shared" si="401"/>
        <v>0</v>
      </c>
      <c r="CL552" s="1212" t="e">
        <f t="shared" ca="1" si="402"/>
        <v>#N/A</v>
      </c>
      <c r="CM552" s="1213" t="e">
        <f t="shared" ca="1" si="403"/>
        <v>#N/A</v>
      </c>
      <c r="CN552" s="1587">
        <f t="shared" si="404"/>
        <v>0</v>
      </c>
    </row>
    <row r="553" spans="1:92">
      <c r="A553" s="141">
        <f>'銀行-TSS'!A553</f>
        <v>0</v>
      </c>
      <c r="B553" s="151">
        <f ca="1">VLOOKUP(A553,'銀行-TSS'!A:B,2,FALSE)</f>
        <v>0</v>
      </c>
      <c r="C553" s="151" t="e">
        <f ca="1">VLOOKUP(B553,bond!B:C,2,FALSE)</f>
        <v>#N/A</v>
      </c>
      <c r="D553" s="95" t="e">
        <f>VLOOKUP(A553,'銀行-TSS'!A:C,3,FALSE)</f>
        <v>#N/A</v>
      </c>
      <c r="E553" s="90" t="e">
        <f ca="1">VLOOKUP(A553,'銀行-TSS'!A:G,7,FALSE)</f>
        <v>#N/A</v>
      </c>
      <c r="F553" s="202" t="e">
        <f ca="1">VLOOKUP(A553,'銀行-TSS'!A:H,8,FALSE)</f>
        <v>#N/A</v>
      </c>
      <c r="G553" s="96" t="e">
        <f ca="1">VLOOKUP(A553,'銀行-TSS'!A:K,11,FALSE)</f>
        <v>#N/A</v>
      </c>
      <c r="H553" s="1209" t="e">
        <f ca="1">VLOOKUP(A553,'銀行-TSS'!A:M,13,FALSE)</f>
        <v>#N/A</v>
      </c>
      <c r="I553" s="1213" t="e">
        <f ca="1">VLOOKUP(A553,'銀行-TSS'!A:N,14,FALSE)</f>
        <v>#N/A</v>
      </c>
      <c r="J553" s="1213" t="e">
        <f ca="1">VLOOKUP(A553,'銀行-TSS'!A:O,15,FALSE)</f>
        <v>#N/A</v>
      </c>
      <c r="K553" s="136" t="e">
        <f ca="1">VLOOKUP(A553,'銀行-TSS'!A:V,22,FALSE)</f>
        <v>#N/A</v>
      </c>
      <c r="L553" s="136" t="e">
        <f ca="1">VLOOKUP(A553,'銀行-TSS'!A:AK,37,FALSE)</f>
        <v>#N/A</v>
      </c>
      <c r="M553" s="136" t="str">
        <f ca="1">VLOOKUP(A553,'銀行-TSS'!A:AN,40,FALSE)</f>
        <v/>
      </c>
      <c r="N553" s="136" t="e">
        <f t="shared" ca="1" si="360"/>
        <v>#N/A</v>
      </c>
      <c r="O553" s="1213" t="e">
        <f t="shared" ca="1" si="361"/>
        <v>#N/A</v>
      </c>
      <c r="P553" s="1213" t="e">
        <f ca="1">IF(AND($O$1&gt;=O553,換券單檔!$D$13=D553),I553+INT(($O$1-O553)/N553)*J553,0)</f>
        <v>#N/A</v>
      </c>
      <c r="Q553" s="1213" t="e">
        <f t="shared" ca="1" si="362"/>
        <v>#N/A</v>
      </c>
      <c r="R553" s="1213">
        <f t="shared" si="363"/>
        <v>0</v>
      </c>
      <c r="S553" s="1213">
        <f t="shared" si="364"/>
        <v>0</v>
      </c>
      <c r="T553" s="136">
        <f>IF(OR(R553=0,A553=0),0,IF(AND(V553=TRUE,換券單檔!$D$13=D553),E553,0))</f>
        <v>0</v>
      </c>
      <c r="U553" s="861">
        <f>IF(OR(R553=0,A553=0),0,IF(AND(V553=TRUE,換券單檔!$D$13=D553),H553,0))</f>
        <v>0</v>
      </c>
      <c r="V553" s="136" t="e">
        <f ca="1">IF(OR(B553=換券單檔!$D$3,L553="無",M553&lt;&gt;"",K553="高資產",IFERROR(MATCH(B553,換券單檔!K:K,0),"N")&lt;&gt;"N"),FALSE,IF($V$1="All",TRUE,IF(K553=$V$1,TRUE,FALSE)))</f>
        <v>#N/A</v>
      </c>
      <c r="W553" s="136" t="e">
        <f ca="1">VLOOKUP(A553,'銀行-TSS'!A:AO,41,FALSE)</f>
        <v>#N/A</v>
      </c>
      <c r="X553" s="136" t="e">
        <f ca="1">VLOOKUP(A553,'銀行-TSS'!A:AP,42,FALSE)</f>
        <v>#N/A</v>
      </c>
      <c r="Y553" s="1220">
        <f t="shared" si="365"/>
        <v>0</v>
      </c>
      <c r="Z553" s="1220">
        <f t="shared" si="366"/>
        <v>0</v>
      </c>
      <c r="AA553" s="136">
        <f>IF(Z553&lt;=0,0,RANK(Z553,Z:Z)+COUNTIF($Z$3:$Z553,Z553)-1)</f>
        <v>0</v>
      </c>
      <c r="AB553" s="1211">
        <f t="shared" ca="1" si="367"/>
        <v>-14896.14</v>
      </c>
      <c r="AC553" s="136">
        <f ca="1">IF(AB553&lt;=0,0,RANK(AB553,AB:AB)+COUNTIF($AB$3:$AB553,AB553)-1)</f>
        <v>0</v>
      </c>
      <c r="AD553" s="1123">
        <f t="shared" si="368"/>
        <v>99999</v>
      </c>
      <c r="AE553" s="1123">
        <f>IF(AD553=99999,0,RANK(AD553,AD:AD,1)+COUNTIF($AD$3:$AD553,AD553)-1)</f>
        <v>0</v>
      </c>
      <c r="AF553" s="86" t="e">
        <f ca="1">IF(OR(M553&lt;&gt;"",L553="無",K553="高資產",IFERROR(MATCH(B553,換券單檔!K:K,0),"N")&lt;&gt;"N"),FALSE,TRUE)</f>
        <v>#N/A</v>
      </c>
      <c r="AI553" s="1212" t="e">
        <f t="shared" ca="1" si="369"/>
        <v>#N/A</v>
      </c>
      <c r="AJ553" s="1213" t="e">
        <f t="shared" ca="1" si="370"/>
        <v>#N/A</v>
      </c>
      <c r="AK553" s="1587">
        <f t="shared" si="371"/>
        <v>0</v>
      </c>
      <c r="AN553" s="1212" t="e">
        <f t="shared" ca="1" si="372"/>
        <v>#N/A</v>
      </c>
      <c r="AO553" s="1213" t="e">
        <f t="shared" ca="1" si="373"/>
        <v>#N/A</v>
      </c>
      <c r="AP553" s="1587">
        <f t="shared" si="374"/>
        <v>0</v>
      </c>
      <c r="AS553" s="1212" t="e">
        <f t="shared" ca="1" si="375"/>
        <v>#N/A</v>
      </c>
      <c r="AT553" s="1213" t="e">
        <f t="shared" ca="1" si="376"/>
        <v>#N/A</v>
      </c>
      <c r="AU553" s="1587">
        <f t="shared" si="377"/>
        <v>0</v>
      </c>
      <c r="AX553" s="1212" t="e">
        <f t="shared" ca="1" si="378"/>
        <v>#N/A</v>
      </c>
      <c r="AY553" s="1213" t="e">
        <f t="shared" ca="1" si="379"/>
        <v>#N/A</v>
      </c>
      <c r="AZ553" s="1587">
        <f t="shared" si="380"/>
        <v>0</v>
      </c>
      <c r="BC553" s="1212" t="e">
        <f t="shared" ca="1" si="381"/>
        <v>#N/A</v>
      </c>
      <c r="BD553" s="1213" t="e">
        <f t="shared" ca="1" si="382"/>
        <v>#N/A</v>
      </c>
      <c r="BE553" s="1587">
        <f t="shared" si="383"/>
        <v>0</v>
      </c>
      <c r="BH553" s="1212" t="e">
        <f t="shared" ca="1" si="384"/>
        <v>#N/A</v>
      </c>
      <c r="BI553" s="1213" t="e">
        <f t="shared" ca="1" si="385"/>
        <v>#N/A</v>
      </c>
      <c r="BJ553" s="1587">
        <f t="shared" si="386"/>
        <v>0</v>
      </c>
      <c r="BM553" s="1212" t="e">
        <f t="shared" ca="1" si="387"/>
        <v>#N/A</v>
      </c>
      <c r="BN553" s="1213" t="e">
        <f t="shared" ca="1" si="388"/>
        <v>#N/A</v>
      </c>
      <c r="BO553" s="1587">
        <f t="shared" si="389"/>
        <v>0</v>
      </c>
      <c r="BR553" s="1212" t="e">
        <f t="shared" ca="1" si="390"/>
        <v>#N/A</v>
      </c>
      <c r="BS553" s="1213" t="e">
        <f t="shared" ca="1" si="391"/>
        <v>#N/A</v>
      </c>
      <c r="BT553" s="1587">
        <f t="shared" si="392"/>
        <v>0</v>
      </c>
      <c r="BW553" s="1212" t="e">
        <f t="shared" ca="1" si="393"/>
        <v>#N/A</v>
      </c>
      <c r="BX553" s="1213" t="e">
        <f t="shared" ca="1" si="394"/>
        <v>#N/A</v>
      </c>
      <c r="BY553" s="1587">
        <f t="shared" si="395"/>
        <v>0</v>
      </c>
      <c r="CB553" s="1212" t="e">
        <f t="shared" ca="1" si="396"/>
        <v>#N/A</v>
      </c>
      <c r="CC553" s="1213" t="e">
        <f t="shared" ca="1" si="397"/>
        <v>#N/A</v>
      </c>
      <c r="CD553" s="1587">
        <f t="shared" si="398"/>
        <v>0</v>
      </c>
      <c r="CG553" s="1212" t="e">
        <f t="shared" ca="1" si="399"/>
        <v>#N/A</v>
      </c>
      <c r="CH553" s="1213" t="e">
        <f t="shared" ca="1" si="400"/>
        <v>#N/A</v>
      </c>
      <c r="CI553" s="1587">
        <f t="shared" si="401"/>
        <v>0</v>
      </c>
      <c r="CL553" s="1212" t="e">
        <f t="shared" ca="1" si="402"/>
        <v>#N/A</v>
      </c>
      <c r="CM553" s="1213" t="e">
        <f t="shared" ca="1" si="403"/>
        <v>#N/A</v>
      </c>
      <c r="CN553" s="1587">
        <f t="shared" si="404"/>
        <v>0</v>
      </c>
    </row>
    <row r="554" spans="1:92">
      <c r="A554" s="141">
        <f>'銀行-TSS'!A554</f>
        <v>0</v>
      </c>
      <c r="B554" s="151">
        <f ca="1">VLOOKUP(A554,'銀行-TSS'!A:B,2,FALSE)</f>
        <v>0</v>
      </c>
      <c r="C554" s="151" t="e">
        <f ca="1">VLOOKUP(B554,bond!B:C,2,FALSE)</f>
        <v>#N/A</v>
      </c>
      <c r="D554" s="95" t="e">
        <f>VLOOKUP(A554,'銀行-TSS'!A:C,3,FALSE)</f>
        <v>#N/A</v>
      </c>
      <c r="E554" s="90" t="e">
        <f ca="1">VLOOKUP(A554,'銀行-TSS'!A:G,7,FALSE)</f>
        <v>#N/A</v>
      </c>
      <c r="F554" s="202" t="e">
        <f ca="1">VLOOKUP(A554,'銀行-TSS'!A:H,8,FALSE)</f>
        <v>#N/A</v>
      </c>
      <c r="G554" s="96" t="e">
        <f ca="1">VLOOKUP(A554,'銀行-TSS'!A:K,11,FALSE)</f>
        <v>#N/A</v>
      </c>
      <c r="H554" s="1209" t="e">
        <f ca="1">VLOOKUP(A554,'銀行-TSS'!A:M,13,FALSE)</f>
        <v>#N/A</v>
      </c>
      <c r="I554" s="1213" t="e">
        <f ca="1">VLOOKUP(A554,'銀行-TSS'!A:N,14,FALSE)</f>
        <v>#N/A</v>
      </c>
      <c r="J554" s="1213" t="e">
        <f ca="1">VLOOKUP(A554,'銀行-TSS'!A:O,15,FALSE)</f>
        <v>#N/A</v>
      </c>
      <c r="K554" s="136" t="e">
        <f ca="1">VLOOKUP(A554,'銀行-TSS'!A:V,22,FALSE)</f>
        <v>#N/A</v>
      </c>
      <c r="L554" s="136" t="e">
        <f ca="1">VLOOKUP(A554,'銀行-TSS'!A:AK,37,FALSE)</f>
        <v>#N/A</v>
      </c>
      <c r="M554" s="136" t="str">
        <f ca="1">VLOOKUP(A554,'銀行-TSS'!A:AN,40,FALSE)</f>
        <v/>
      </c>
      <c r="N554" s="136" t="e">
        <f t="shared" ca="1" si="360"/>
        <v>#N/A</v>
      </c>
      <c r="O554" s="1213" t="e">
        <f t="shared" ca="1" si="361"/>
        <v>#N/A</v>
      </c>
      <c r="P554" s="1213" t="e">
        <f ca="1">IF(AND($O$1&gt;=O554,換券單檔!$D$13=D554),I554+INT(($O$1-O554)/N554)*J554,0)</f>
        <v>#N/A</v>
      </c>
      <c r="Q554" s="1213" t="e">
        <f t="shared" ca="1" si="362"/>
        <v>#N/A</v>
      </c>
      <c r="R554" s="1213">
        <f t="shared" si="363"/>
        <v>0</v>
      </c>
      <c r="S554" s="1213">
        <f t="shared" si="364"/>
        <v>0</v>
      </c>
      <c r="T554" s="136">
        <f>IF(OR(R554=0,A554=0),0,IF(AND(V554=TRUE,換券單檔!$D$13=D554),E554,0))</f>
        <v>0</v>
      </c>
      <c r="U554" s="861">
        <f>IF(OR(R554=0,A554=0),0,IF(AND(V554=TRUE,換券單檔!$D$13=D554),H554,0))</f>
        <v>0</v>
      </c>
      <c r="V554" s="136" t="e">
        <f ca="1">IF(OR(B554=換券單檔!$D$3,L554="無",M554&lt;&gt;"",K554="高資產",IFERROR(MATCH(B554,換券單檔!K:K,0),"N")&lt;&gt;"N"),FALSE,IF($V$1="All",TRUE,IF(K554=$V$1,TRUE,FALSE)))</f>
        <v>#N/A</v>
      </c>
      <c r="W554" s="136" t="e">
        <f ca="1">VLOOKUP(A554,'銀行-TSS'!A:AO,41,FALSE)</f>
        <v>#N/A</v>
      </c>
      <c r="X554" s="136" t="e">
        <f ca="1">VLOOKUP(A554,'銀行-TSS'!A:AP,42,FALSE)</f>
        <v>#N/A</v>
      </c>
      <c r="Y554" s="1220">
        <f t="shared" si="365"/>
        <v>0</v>
      </c>
      <c r="Z554" s="1220">
        <f t="shared" si="366"/>
        <v>0</v>
      </c>
      <c r="AA554" s="136">
        <f>IF(Z554&lt;=0,0,RANK(Z554,Z:Z)+COUNTIF($Z$3:$Z554,Z554)-1)</f>
        <v>0</v>
      </c>
      <c r="AB554" s="1211">
        <f t="shared" ca="1" si="367"/>
        <v>-14896.14</v>
      </c>
      <c r="AC554" s="136">
        <f ca="1">IF(AB554&lt;=0,0,RANK(AB554,AB:AB)+COUNTIF($AB$3:$AB554,AB554)-1)</f>
        <v>0</v>
      </c>
      <c r="AD554" s="1123">
        <f t="shared" si="368"/>
        <v>99999</v>
      </c>
      <c r="AE554" s="1123">
        <f>IF(AD554=99999,0,RANK(AD554,AD:AD,1)+COUNTIF($AD$3:$AD554,AD554)-1)</f>
        <v>0</v>
      </c>
      <c r="AF554" s="86" t="e">
        <f ca="1">IF(OR(M554&lt;&gt;"",L554="無",K554="高資產",IFERROR(MATCH(B554,換券單檔!K:K,0),"N")&lt;&gt;"N"),FALSE,TRUE)</f>
        <v>#N/A</v>
      </c>
      <c r="AI554" s="1212" t="e">
        <f t="shared" ca="1" si="369"/>
        <v>#N/A</v>
      </c>
      <c r="AJ554" s="1213" t="e">
        <f t="shared" ca="1" si="370"/>
        <v>#N/A</v>
      </c>
      <c r="AK554" s="1587">
        <f t="shared" si="371"/>
        <v>0</v>
      </c>
      <c r="AN554" s="1212" t="e">
        <f t="shared" ca="1" si="372"/>
        <v>#N/A</v>
      </c>
      <c r="AO554" s="1213" t="e">
        <f t="shared" ca="1" si="373"/>
        <v>#N/A</v>
      </c>
      <c r="AP554" s="1587">
        <f t="shared" si="374"/>
        <v>0</v>
      </c>
      <c r="AS554" s="1212" t="e">
        <f t="shared" ca="1" si="375"/>
        <v>#N/A</v>
      </c>
      <c r="AT554" s="1213" t="e">
        <f t="shared" ca="1" si="376"/>
        <v>#N/A</v>
      </c>
      <c r="AU554" s="1587">
        <f t="shared" si="377"/>
        <v>0</v>
      </c>
      <c r="AX554" s="1212" t="e">
        <f t="shared" ca="1" si="378"/>
        <v>#N/A</v>
      </c>
      <c r="AY554" s="1213" t="e">
        <f t="shared" ca="1" si="379"/>
        <v>#N/A</v>
      </c>
      <c r="AZ554" s="1587">
        <f t="shared" si="380"/>
        <v>0</v>
      </c>
      <c r="BC554" s="1212" t="e">
        <f t="shared" ca="1" si="381"/>
        <v>#N/A</v>
      </c>
      <c r="BD554" s="1213" t="e">
        <f t="shared" ca="1" si="382"/>
        <v>#N/A</v>
      </c>
      <c r="BE554" s="1587">
        <f t="shared" si="383"/>
        <v>0</v>
      </c>
      <c r="BH554" s="1212" t="e">
        <f t="shared" ca="1" si="384"/>
        <v>#N/A</v>
      </c>
      <c r="BI554" s="1213" t="e">
        <f t="shared" ca="1" si="385"/>
        <v>#N/A</v>
      </c>
      <c r="BJ554" s="1587">
        <f t="shared" si="386"/>
        <v>0</v>
      </c>
      <c r="BM554" s="1212" t="e">
        <f t="shared" ca="1" si="387"/>
        <v>#N/A</v>
      </c>
      <c r="BN554" s="1213" t="e">
        <f t="shared" ca="1" si="388"/>
        <v>#N/A</v>
      </c>
      <c r="BO554" s="1587">
        <f t="shared" si="389"/>
        <v>0</v>
      </c>
      <c r="BR554" s="1212" t="e">
        <f t="shared" ca="1" si="390"/>
        <v>#N/A</v>
      </c>
      <c r="BS554" s="1213" t="e">
        <f t="shared" ca="1" si="391"/>
        <v>#N/A</v>
      </c>
      <c r="BT554" s="1587">
        <f t="shared" si="392"/>
        <v>0</v>
      </c>
      <c r="BW554" s="1212" t="e">
        <f t="shared" ca="1" si="393"/>
        <v>#N/A</v>
      </c>
      <c r="BX554" s="1213" t="e">
        <f t="shared" ca="1" si="394"/>
        <v>#N/A</v>
      </c>
      <c r="BY554" s="1587">
        <f t="shared" si="395"/>
        <v>0</v>
      </c>
      <c r="CB554" s="1212" t="e">
        <f t="shared" ca="1" si="396"/>
        <v>#N/A</v>
      </c>
      <c r="CC554" s="1213" t="e">
        <f t="shared" ca="1" si="397"/>
        <v>#N/A</v>
      </c>
      <c r="CD554" s="1587">
        <f t="shared" si="398"/>
        <v>0</v>
      </c>
      <c r="CG554" s="1212" t="e">
        <f t="shared" ca="1" si="399"/>
        <v>#N/A</v>
      </c>
      <c r="CH554" s="1213" t="e">
        <f t="shared" ca="1" si="400"/>
        <v>#N/A</v>
      </c>
      <c r="CI554" s="1587">
        <f t="shared" si="401"/>
        <v>0</v>
      </c>
      <c r="CL554" s="1212" t="e">
        <f t="shared" ca="1" si="402"/>
        <v>#N/A</v>
      </c>
      <c r="CM554" s="1213" t="e">
        <f t="shared" ca="1" si="403"/>
        <v>#N/A</v>
      </c>
      <c r="CN554" s="1587">
        <f t="shared" si="404"/>
        <v>0</v>
      </c>
    </row>
    <row r="555" spans="1:92">
      <c r="A555" s="141">
        <f>'銀行-TSS'!A555</f>
        <v>0</v>
      </c>
      <c r="B555" s="151">
        <f ca="1">VLOOKUP(A555,'銀行-TSS'!A:B,2,FALSE)</f>
        <v>0</v>
      </c>
      <c r="C555" s="151" t="e">
        <f ca="1">VLOOKUP(B555,bond!B:C,2,FALSE)</f>
        <v>#N/A</v>
      </c>
      <c r="D555" s="95" t="e">
        <f>VLOOKUP(A555,'銀行-TSS'!A:C,3,FALSE)</f>
        <v>#N/A</v>
      </c>
      <c r="E555" s="90" t="e">
        <f ca="1">VLOOKUP(A555,'銀行-TSS'!A:G,7,FALSE)</f>
        <v>#N/A</v>
      </c>
      <c r="F555" s="202" t="e">
        <f ca="1">VLOOKUP(A555,'銀行-TSS'!A:H,8,FALSE)</f>
        <v>#N/A</v>
      </c>
      <c r="G555" s="96" t="e">
        <f ca="1">VLOOKUP(A555,'銀行-TSS'!A:K,11,FALSE)</f>
        <v>#N/A</v>
      </c>
      <c r="H555" s="1209" t="e">
        <f ca="1">VLOOKUP(A555,'銀行-TSS'!A:M,13,FALSE)</f>
        <v>#N/A</v>
      </c>
      <c r="I555" s="1213" t="e">
        <f ca="1">VLOOKUP(A555,'銀行-TSS'!A:N,14,FALSE)</f>
        <v>#N/A</v>
      </c>
      <c r="J555" s="1213" t="e">
        <f ca="1">VLOOKUP(A555,'銀行-TSS'!A:O,15,FALSE)</f>
        <v>#N/A</v>
      </c>
      <c r="K555" s="136" t="e">
        <f ca="1">VLOOKUP(A555,'銀行-TSS'!A:V,22,FALSE)</f>
        <v>#N/A</v>
      </c>
      <c r="L555" s="136" t="e">
        <f ca="1">VLOOKUP(A555,'銀行-TSS'!A:AK,37,FALSE)</f>
        <v>#N/A</v>
      </c>
      <c r="M555" s="136" t="str">
        <f ca="1">VLOOKUP(A555,'銀行-TSS'!A:AN,40,FALSE)</f>
        <v/>
      </c>
      <c r="N555" s="136" t="e">
        <f t="shared" ca="1" si="360"/>
        <v>#N/A</v>
      </c>
      <c r="O555" s="1213" t="e">
        <f t="shared" ca="1" si="361"/>
        <v>#N/A</v>
      </c>
      <c r="P555" s="1213" t="e">
        <f ca="1">IF(AND($O$1&gt;=O555,換券單檔!$D$13=D555),I555+INT(($O$1-O555)/N555)*J555,0)</f>
        <v>#N/A</v>
      </c>
      <c r="Q555" s="1213" t="e">
        <f t="shared" ca="1" si="362"/>
        <v>#N/A</v>
      </c>
      <c r="R555" s="1213">
        <f t="shared" si="363"/>
        <v>0</v>
      </c>
      <c r="S555" s="1213">
        <f t="shared" si="364"/>
        <v>0</v>
      </c>
      <c r="T555" s="136">
        <f>IF(OR(R555=0,A555=0),0,IF(AND(V555=TRUE,換券單檔!$D$13=D555),E555,0))</f>
        <v>0</v>
      </c>
      <c r="U555" s="861">
        <f>IF(OR(R555=0,A555=0),0,IF(AND(V555=TRUE,換券單檔!$D$13=D555),H555,0))</f>
        <v>0</v>
      </c>
      <c r="V555" s="136" t="e">
        <f ca="1">IF(OR(B555=換券單檔!$D$3,L555="無",M555&lt;&gt;"",K555="高資產",IFERROR(MATCH(B555,換券單檔!K:K,0),"N")&lt;&gt;"N"),FALSE,IF($V$1="All",TRUE,IF(K555=$V$1,TRUE,FALSE)))</f>
        <v>#N/A</v>
      </c>
      <c r="W555" s="136" t="e">
        <f ca="1">VLOOKUP(A555,'銀行-TSS'!A:AO,41,FALSE)</f>
        <v>#N/A</v>
      </c>
      <c r="X555" s="136" t="e">
        <f ca="1">VLOOKUP(A555,'銀行-TSS'!A:AP,42,FALSE)</f>
        <v>#N/A</v>
      </c>
      <c r="Y555" s="1220">
        <f t="shared" si="365"/>
        <v>0</v>
      </c>
      <c r="Z555" s="1220">
        <f t="shared" si="366"/>
        <v>0</v>
      </c>
      <c r="AA555" s="136">
        <f>IF(Z555&lt;=0,0,RANK(Z555,Z:Z)+COUNTIF($Z$3:$Z555,Z555)-1)</f>
        <v>0</v>
      </c>
      <c r="AB555" s="1211">
        <f t="shared" ca="1" si="367"/>
        <v>-14896.14</v>
      </c>
      <c r="AC555" s="136">
        <f ca="1">IF(AB555&lt;=0,0,RANK(AB555,AB:AB)+COUNTIF($AB$3:$AB555,AB555)-1)</f>
        <v>0</v>
      </c>
      <c r="AD555" s="1123">
        <f t="shared" si="368"/>
        <v>99999</v>
      </c>
      <c r="AE555" s="1123">
        <f>IF(AD555=99999,0,RANK(AD555,AD:AD,1)+COUNTIF($AD$3:$AD555,AD555)-1)</f>
        <v>0</v>
      </c>
      <c r="AF555" s="86" t="e">
        <f ca="1">IF(OR(M555&lt;&gt;"",L555="無",K555="高資產",IFERROR(MATCH(B555,換券單檔!K:K,0),"N")&lt;&gt;"N"),FALSE,TRUE)</f>
        <v>#N/A</v>
      </c>
      <c r="AI555" s="1212" t="e">
        <f t="shared" ca="1" si="369"/>
        <v>#N/A</v>
      </c>
      <c r="AJ555" s="1213" t="e">
        <f t="shared" ca="1" si="370"/>
        <v>#N/A</v>
      </c>
      <c r="AK555" s="1587">
        <f t="shared" si="371"/>
        <v>0</v>
      </c>
      <c r="AN555" s="1212" t="e">
        <f t="shared" ca="1" si="372"/>
        <v>#N/A</v>
      </c>
      <c r="AO555" s="1213" t="e">
        <f t="shared" ca="1" si="373"/>
        <v>#N/A</v>
      </c>
      <c r="AP555" s="1587">
        <f t="shared" si="374"/>
        <v>0</v>
      </c>
      <c r="AS555" s="1212" t="e">
        <f t="shared" ca="1" si="375"/>
        <v>#N/A</v>
      </c>
      <c r="AT555" s="1213" t="e">
        <f t="shared" ca="1" si="376"/>
        <v>#N/A</v>
      </c>
      <c r="AU555" s="1587">
        <f t="shared" si="377"/>
        <v>0</v>
      </c>
      <c r="AX555" s="1212" t="e">
        <f t="shared" ca="1" si="378"/>
        <v>#N/A</v>
      </c>
      <c r="AY555" s="1213" t="e">
        <f t="shared" ca="1" si="379"/>
        <v>#N/A</v>
      </c>
      <c r="AZ555" s="1587">
        <f t="shared" si="380"/>
        <v>0</v>
      </c>
      <c r="BC555" s="1212" t="e">
        <f t="shared" ca="1" si="381"/>
        <v>#N/A</v>
      </c>
      <c r="BD555" s="1213" t="e">
        <f t="shared" ca="1" si="382"/>
        <v>#N/A</v>
      </c>
      <c r="BE555" s="1587">
        <f t="shared" si="383"/>
        <v>0</v>
      </c>
      <c r="BH555" s="1212" t="e">
        <f t="shared" ca="1" si="384"/>
        <v>#N/A</v>
      </c>
      <c r="BI555" s="1213" t="e">
        <f t="shared" ca="1" si="385"/>
        <v>#N/A</v>
      </c>
      <c r="BJ555" s="1587">
        <f t="shared" si="386"/>
        <v>0</v>
      </c>
      <c r="BM555" s="1212" t="e">
        <f t="shared" ca="1" si="387"/>
        <v>#N/A</v>
      </c>
      <c r="BN555" s="1213" t="e">
        <f t="shared" ca="1" si="388"/>
        <v>#N/A</v>
      </c>
      <c r="BO555" s="1587">
        <f t="shared" si="389"/>
        <v>0</v>
      </c>
      <c r="BR555" s="1212" t="e">
        <f t="shared" ca="1" si="390"/>
        <v>#N/A</v>
      </c>
      <c r="BS555" s="1213" t="e">
        <f t="shared" ca="1" si="391"/>
        <v>#N/A</v>
      </c>
      <c r="BT555" s="1587">
        <f t="shared" si="392"/>
        <v>0</v>
      </c>
      <c r="BW555" s="1212" t="e">
        <f t="shared" ca="1" si="393"/>
        <v>#N/A</v>
      </c>
      <c r="BX555" s="1213" t="e">
        <f t="shared" ca="1" si="394"/>
        <v>#N/A</v>
      </c>
      <c r="BY555" s="1587">
        <f t="shared" si="395"/>
        <v>0</v>
      </c>
      <c r="CB555" s="1212" t="e">
        <f t="shared" ca="1" si="396"/>
        <v>#N/A</v>
      </c>
      <c r="CC555" s="1213" t="e">
        <f t="shared" ca="1" si="397"/>
        <v>#N/A</v>
      </c>
      <c r="CD555" s="1587">
        <f t="shared" si="398"/>
        <v>0</v>
      </c>
      <c r="CG555" s="1212" t="e">
        <f t="shared" ca="1" si="399"/>
        <v>#N/A</v>
      </c>
      <c r="CH555" s="1213" t="e">
        <f t="shared" ca="1" si="400"/>
        <v>#N/A</v>
      </c>
      <c r="CI555" s="1587">
        <f t="shared" si="401"/>
        <v>0</v>
      </c>
      <c r="CL555" s="1212" t="e">
        <f t="shared" ca="1" si="402"/>
        <v>#N/A</v>
      </c>
      <c r="CM555" s="1213" t="e">
        <f t="shared" ca="1" si="403"/>
        <v>#N/A</v>
      </c>
      <c r="CN555" s="1587">
        <f t="shared" si="404"/>
        <v>0</v>
      </c>
    </row>
    <row r="556" spans="1:92">
      <c r="A556" s="141">
        <f>'銀行-TSS'!A556</f>
        <v>0</v>
      </c>
      <c r="B556" s="151">
        <f ca="1">VLOOKUP(A556,'銀行-TSS'!A:B,2,FALSE)</f>
        <v>0</v>
      </c>
      <c r="C556" s="151" t="e">
        <f ca="1">VLOOKUP(B556,bond!B:C,2,FALSE)</f>
        <v>#N/A</v>
      </c>
      <c r="D556" s="95" t="e">
        <f>VLOOKUP(A556,'銀行-TSS'!A:C,3,FALSE)</f>
        <v>#N/A</v>
      </c>
      <c r="E556" s="90" t="e">
        <f ca="1">VLOOKUP(A556,'銀行-TSS'!A:G,7,FALSE)</f>
        <v>#N/A</v>
      </c>
      <c r="F556" s="202" t="e">
        <f ca="1">VLOOKUP(A556,'銀行-TSS'!A:H,8,FALSE)</f>
        <v>#N/A</v>
      </c>
      <c r="G556" s="96" t="e">
        <f ca="1">VLOOKUP(A556,'銀行-TSS'!A:K,11,FALSE)</f>
        <v>#N/A</v>
      </c>
      <c r="H556" s="1209" t="e">
        <f ca="1">VLOOKUP(A556,'銀行-TSS'!A:M,13,FALSE)</f>
        <v>#N/A</v>
      </c>
      <c r="I556" s="1213" t="e">
        <f ca="1">VLOOKUP(A556,'銀行-TSS'!A:N,14,FALSE)</f>
        <v>#N/A</v>
      </c>
      <c r="J556" s="1213" t="e">
        <f ca="1">VLOOKUP(A556,'銀行-TSS'!A:O,15,FALSE)</f>
        <v>#N/A</v>
      </c>
      <c r="K556" s="136" t="e">
        <f ca="1">VLOOKUP(A556,'銀行-TSS'!A:V,22,FALSE)</f>
        <v>#N/A</v>
      </c>
      <c r="L556" s="136" t="e">
        <f ca="1">VLOOKUP(A556,'銀行-TSS'!A:AK,37,FALSE)</f>
        <v>#N/A</v>
      </c>
      <c r="M556" s="136" t="str">
        <f ca="1">VLOOKUP(A556,'銀行-TSS'!A:AN,40,FALSE)</f>
        <v/>
      </c>
      <c r="N556" s="136" t="e">
        <f t="shared" ca="1" si="360"/>
        <v>#N/A</v>
      </c>
      <c r="O556" s="1213" t="e">
        <f t="shared" ca="1" si="361"/>
        <v>#N/A</v>
      </c>
      <c r="P556" s="1213" t="e">
        <f ca="1">IF(AND($O$1&gt;=O556,換券單檔!$D$13=D556),I556+INT(($O$1-O556)/N556)*J556,0)</f>
        <v>#N/A</v>
      </c>
      <c r="Q556" s="1213" t="e">
        <f t="shared" ca="1" si="362"/>
        <v>#N/A</v>
      </c>
      <c r="R556" s="1213">
        <f t="shared" si="363"/>
        <v>0</v>
      </c>
      <c r="S556" s="1213">
        <f t="shared" si="364"/>
        <v>0</v>
      </c>
      <c r="T556" s="136">
        <f>IF(OR(R556=0,A556=0),0,IF(AND(V556=TRUE,換券單檔!$D$13=D556),E556,0))</f>
        <v>0</v>
      </c>
      <c r="U556" s="861">
        <f>IF(OR(R556=0,A556=0),0,IF(AND(V556=TRUE,換券單檔!$D$13=D556),H556,0))</f>
        <v>0</v>
      </c>
      <c r="V556" s="136" t="e">
        <f ca="1">IF(OR(B556=換券單檔!$D$3,L556="無",M556&lt;&gt;"",K556="高資產",IFERROR(MATCH(B556,換券單檔!K:K,0),"N")&lt;&gt;"N"),FALSE,IF($V$1="All",TRUE,IF(K556=$V$1,TRUE,FALSE)))</f>
        <v>#N/A</v>
      </c>
      <c r="W556" s="136" t="e">
        <f ca="1">VLOOKUP(A556,'銀行-TSS'!A:AO,41,FALSE)</f>
        <v>#N/A</v>
      </c>
      <c r="X556" s="136" t="e">
        <f ca="1">VLOOKUP(A556,'銀行-TSS'!A:AP,42,FALSE)</f>
        <v>#N/A</v>
      </c>
      <c r="Y556" s="1220">
        <f t="shared" si="365"/>
        <v>0</v>
      </c>
      <c r="Z556" s="1220">
        <f t="shared" si="366"/>
        <v>0</v>
      </c>
      <c r="AA556" s="136">
        <f>IF(Z556&lt;=0,0,RANK(Z556,Z:Z)+COUNTIF($Z$3:$Z556,Z556)-1)</f>
        <v>0</v>
      </c>
      <c r="AB556" s="1211">
        <f t="shared" ca="1" si="367"/>
        <v>-14896.14</v>
      </c>
      <c r="AC556" s="136">
        <f ca="1">IF(AB556&lt;=0,0,RANK(AB556,AB:AB)+COUNTIF($AB$3:$AB556,AB556)-1)</f>
        <v>0</v>
      </c>
      <c r="AD556" s="1123">
        <f t="shared" si="368"/>
        <v>99999</v>
      </c>
      <c r="AE556" s="1123">
        <f>IF(AD556=99999,0,RANK(AD556,AD:AD,1)+COUNTIF($AD$3:$AD556,AD556)-1)</f>
        <v>0</v>
      </c>
      <c r="AF556" s="86" t="e">
        <f ca="1">IF(OR(M556&lt;&gt;"",L556="無",K556="高資產",IFERROR(MATCH(B556,換券單檔!K:K,0),"N")&lt;&gt;"N"),FALSE,TRUE)</f>
        <v>#N/A</v>
      </c>
      <c r="AI556" s="1212" t="e">
        <f t="shared" ca="1" si="369"/>
        <v>#N/A</v>
      </c>
      <c r="AJ556" s="1213" t="e">
        <f t="shared" ca="1" si="370"/>
        <v>#N/A</v>
      </c>
      <c r="AK556" s="1587">
        <f t="shared" si="371"/>
        <v>0</v>
      </c>
      <c r="AN556" s="1212" t="e">
        <f t="shared" ca="1" si="372"/>
        <v>#N/A</v>
      </c>
      <c r="AO556" s="1213" t="e">
        <f t="shared" ca="1" si="373"/>
        <v>#N/A</v>
      </c>
      <c r="AP556" s="1587">
        <f t="shared" si="374"/>
        <v>0</v>
      </c>
      <c r="AS556" s="1212" t="e">
        <f t="shared" ca="1" si="375"/>
        <v>#N/A</v>
      </c>
      <c r="AT556" s="1213" t="e">
        <f t="shared" ca="1" si="376"/>
        <v>#N/A</v>
      </c>
      <c r="AU556" s="1587">
        <f t="shared" si="377"/>
        <v>0</v>
      </c>
      <c r="AX556" s="1212" t="e">
        <f t="shared" ca="1" si="378"/>
        <v>#N/A</v>
      </c>
      <c r="AY556" s="1213" t="e">
        <f t="shared" ca="1" si="379"/>
        <v>#N/A</v>
      </c>
      <c r="AZ556" s="1587">
        <f t="shared" si="380"/>
        <v>0</v>
      </c>
      <c r="BC556" s="1212" t="e">
        <f t="shared" ca="1" si="381"/>
        <v>#N/A</v>
      </c>
      <c r="BD556" s="1213" t="e">
        <f t="shared" ca="1" si="382"/>
        <v>#N/A</v>
      </c>
      <c r="BE556" s="1587">
        <f t="shared" si="383"/>
        <v>0</v>
      </c>
      <c r="BH556" s="1212" t="e">
        <f t="shared" ca="1" si="384"/>
        <v>#N/A</v>
      </c>
      <c r="BI556" s="1213" t="e">
        <f t="shared" ca="1" si="385"/>
        <v>#N/A</v>
      </c>
      <c r="BJ556" s="1587">
        <f t="shared" si="386"/>
        <v>0</v>
      </c>
      <c r="BM556" s="1212" t="e">
        <f t="shared" ca="1" si="387"/>
        <v>#N/A</v>
      </c>
      <c r="BN556" s="1213" t="e">
        <f t="shared" ca="1" si="388"/>
        <v>#N/A</v>
      </c>
      <c r="BO556" s="1587">
        <f t="shared" si="389"/>
        <v>0</v>
      </c>
      <c r="BR556" s="1212" t="e">
        <f t="shared" ca="1" si="390"/>
        <v>#N/A</v>
      </c>
      <c r="BS556" s="1213" t="e">
        <f t="shared" ca="1" si="391"/>
        <v>#N/A</v>
      </c>
      <c r="BT556" s="1587">
        <f t="shared" si="392"/>
        <v>0</v>
      </c>
      <c r="BW556" s="1212" t="e">
        <f t="shared" ca="1" si="393"/>
        <v>#N/A</v>
      </c>
      <c r="BX556" s="1213" t="e">
        <f t="shared" ca="1" si="394"/>
        <v>#N/A</v>
      </c>
      <c r="BY556" s="1587">
        <f t="shared" si="395"/>
        <v>0</v>
      </c>
      <c r="CB556" s="1212" t="e">
        <f t="shared" ca="1" si="396"/>
        <v>#N/A</v>
      </c>
      <c r="CC556" s="1213" t="e">
        <f t="shared" ca="1" si="397"/>
        <v>#N/A</v>
      </c>
      <c r="CD556" s="1587">
        <f t="shared" si="398"/>
        <v>0</v>
      </c>
      <c r="CG556" s="1212" t="e">
        <f t="shared" ca="1" si="399"/>
        <v>#N/A</v>
      </c>
      <c r="CH556" s="1213" t="e">
        <f t="shared" ca="1" si="400"/>
        <v>#N/A</v>
      </c>
      <c r="CI556" s="1587">
        <f t="shared" si="401"/>
        <v>0</v>
      </c>
      <c r="CL556" s="1212" t="e">
        <f t="shared" ca="1" si="402"/>
        <v>#N/A</v>
      </c>
      <c r="CM556" s="1213" t="e">
        <f t="shared" ca="1" si="403"/>
        <v>#N/A</v>
      </c>
      <c r="CN556" s="1587">
        <f t="shared" si="404"/>
        <v>0</v>
      </c>
    </row>
    <row r="557" spans="1:92">
      <c r="A557" s="141">
        <f>'銀行-TSS'!A557</f>
        <v>0</v>
      </c>
      <c r="B557" s="151">
        <f ca="1">VLOOKUP(A557,'銀行-TSS'!A:B,2,FALSE)</f>
        <v>0</v>
      </c>
      <c r="C557" s="151" t="e">
        <f ca="1">VLOOKUP(B557,bond!B:C,2,FALSE)</f>
        <v>#N/A</v>
      </c>
      <c r="D557" s="95" t="e">
        <f>VLOOKUP(A557,'銀行-TSS'!A:C,3,FALSE)</f>
        <v>#N/A</v>
      </c>
      <c r="E557" s="90" t="e">
        <f ca="1">VLOOKUP(A557,'銀行-TSS'!A:G,7,FALSE)</f>
        <v>#N/A</v>
      </c>
      <c r="F557" s="202" t="e">
        <f ca="1">VLOOKUP(A557,'銀行-TSS'!A:H,8,FALSE)</f>
        <v>#N/A</v>
      </c>
      <c r="G557" s="96" t="e">
        <f ca="1">VLOOKUP(A557,'銀行-TSS'!A:K,11,FALSE)</f>
        <v>#N/A</v>
      </c>
      <c r="H557" s="1209" t="e">
        <f ca="1">VLOOKUP(A557,'銀行-TSS'!A:M,13,FALSE)</f>
        <v>#N/A</v>
      </c>
      <c r="I557" s="1213" t="e">
        <f ca="1">VLOOKUP(A557,'銀行-TSS'!A:N,14,FALSE)</f>
        <v>#N/A</v>
      </c>
      <c r="J557" s="1213" t="e">
        <f ca="1">VLOOKUP(A557,'銀行-TSS'!A:O,15,FALSE)</f>
        <v>#N/A</v>
      </c>
      <c r="K557" s="136" t="e">
        <f ca="1">VLOOKUP(A557,'銀行-TSS'!A:V,22,FALSE)</f>
        <v>#N/A</v>
      </c>
      <c r="L557" s="136" t="e">
        <f ca="1">VLOOKUP(A557,'銀行-TSS'!A:AK,37,FALSE)</f>
        <v>#N/A</v>
      </c>
      <c r="M557" s="136" t="str">
        <f ca="1">VLOOKUP(A557,'銀行-TSS'!A:AN,40,FALSE)</f>
        <v/>
      </c>
      <c r="N557" s="136" t="e">
        <f t="shared" ca="1" si="360"/>
        <v>#N/A</v>
      </c>
      <c r="O557" s="1213" t="e">
        <f t="shared" ca="1" si="361"/>
        <v>#N/A</v>
      </c>
      <c r="P557" s="1213" t="e">
        <f ca="1">IF(AND($O$1&gt;=O557,換券單檔!$D$13=D557),I557+INT(($O$1-O557)/N557)*J557,0)</f>
        <v>#N/A</v>
      </c>
      <c r="Q557" s="1213" t="e">
        <f t="shared" ca="1" si="362"/>
        <v>#N/A</v>
      </c>
      <c r="R557" s="1213">
        <f t="shared" si="363"/>
        <v>0</v>
      </c>
      <c r="S557" s="1213">
        <f t="shared" si="364"/>
        <v>0</v>
      </c>
      <c r="T557" s="136">
        <f>IF(OR(R557=0,A557=0),0,IF(AND(V557=TRUE,換券單檔!$D$13=D557),E557,0))</f>
        <v>0</v>
      </c>
      <c r="U557" s="861">
        <f>IF(OR(R557=0,A557=0),0,IF(AND(V557=TRUE,換券單檔!$D$13=D557),H557,0))</f>
        <v>0</v>
      </c>
      <c r="V557" s="136" t="e">
        <f ca="1">IF(OR(B557=換券單檔!$D$3,L557="無",M557&lt;&gt;"",K557="高資產",IFERROR(MATCH(B557,換券單檔!K:K,0),"N")&lt;&gt;"N"),FALSE,IF($V$1="All",TRUE,IF(K557=$V$1,TRUE,FALSE)))</f>
        <v>#N/A</v>
      </c>
      <c r="W557" s="136" t="e">
        <f ca="1">VLOOKUP(A557,'銀行-TSS'!A:AO,41,FALSE)</f>
        <v>#N/A</v>
      </c>
      <c r="X557" s="136" t="e">
        <f ca="1">VLOOKUP(A557,'銀行-TSS'!A:AP,42,FALSE)</f>
        <v>#N/A</v>
      </c>
      <c r="Y557" s="1220">
        <f t="shared" si="365"/>
        <v>0</v>
      </c>
      <c r="Z557" s="1220">
        <f t="shared" si="366"/>
        <v>0</v>
      </c>
      <c r="AA557" s="136">
        <f>IF(Z557&lt;=0,0,RANK(Z557,Z:Z)+COUNTIF($Z$3:$Z557,Z557)-1)</f>
        <v>0</v>
      </c>
      <c r="AB557" s="1211">
        <f t="shared" ca="1" si="367"/>
        <v>-14896.14</v>
      </c>
      <c r="AC557" s="136">
        <f ca="1">IF(AB557&lt;=0,0,RANK(AB557,AB:AB)+COUNTIF($AB$3:$AB557,AB557)-1)</f>
        <v>0</v>
      </c>
      <c r="AD557" s="1123">
        <f t="shared" si="368"/>
        <v>99999</v>
      </c>
      <c r="AE557" s="1123">
        <f>IF(AD557=99999,0,RANK(AD557,AD:AD,1)+COUNTIF($AD$3:$AD557,AD557)-1)</f>
        <v>0</v>
      </c>
      <c r="AF557" s="86" t="e">
        <f ca="1">IF(OR(M557&lt;&gt;"",L557="無",K557="高資產",IFERROR(MATCH(B557,換券單檔!K:K,0),"N")&lt;&gt;"N"),FALSE,TRUE)</f>
        <v>#N/A</v>
      </c>
      <c r="AI557" s="1212" t="e">
        <f t="shared" ca="1" si="369"/>
        <v>#N/A</v>
      </c>
      <c r="AJ557" s="1213" t="e">
        <f t="shared" ca="1" si="370"/>
        <v>#N/A</v>
      </c>
      <c r="AK557" s="1587">
        <f t="shared" si="371"/>
        <v>0</v>
      </c>
      <c r="AN557" s="1212" t="e">
        <f t="shared" ca="1" si="372"/>
        <v>#N/A</v>
      </c>
      <c r="AO557" s="1213" t="e">
        <f t="shared" ca="1" si="373"/>
        <v>#N/A</v>
      </c>
      <c r="AP557" s="1587">
        <f t="shared" si="374"/>
        <v>0</v>
      </c>
      <c r="AS557" s="1212" t="e">
        <f t="shared" ca="1" si="375"/>
        <v>#N/A</v>
      </c>
      <c r="AT557" s="1213" t="e">
        <f t="shared" ca="1" si="376"/>
        <v>#N/A</v>
      </c>
      <c r="AU557" s="1587">
        <f t="shared" si="377"/>
        <v>0</v>
      </c>
      <c r="AX557" s="1212" t="e">
        <f t="shared" ca="1" si="378"/>
        <v>#N/A</v>
      </c>
      <c r="AY557" s="1213" t="e">
        <f t="shared" ca="1" si="379"/>
        <v>#N/A</v>
      </c>
      <c r="AZ557" s="1587">
        <f t="shared" si="380"/>
        <v>0</v>
      </c>
      <c r="BC557" s="1212" t="e">
        <f t="shared" ca="1" si="381"/>
        <v>#N/A</v>
      </c>
      <c r="BD557" s="1213" t="e">
        <f t="shared" ca="1" si="382"/>
        <v>#N/A</v>
      </c>
      <c r="BE557" s="1587">
        <f t="shared" si="383"/>
        <v>0</v>
      </c>
      <c r="BH557" s="1212" t="e">
        <f t="shared" ca="1" si="384"/>
        <v>#N/A</v>
      </c>
      <c r="BI557" s="1213" t="e">
        <f t="shared" ca="1" si="385"/>
        <v>#N/A</v>
      </c>
      <c r="BJ557" s="1587">
        <f t="shared" si="386"/>
        <v>0</v>
      </c>
      <c r="BM557" s="1212" t="e">
        <f t="shared" ca="1" si="387"/>
        <v>#N/A</v>
      </c>
      <c r="BN557" s="1213" t="e">
        <f t="shared" ca="1" si="388"/>
        <v>#N/A</v>
      </c>
      <c r="BO557" s="1587">
        <f t="shared" si="389"/>
        <v>0</v>
      </c>
      <c r="BR557" s="1212" t="e">
        <f t="shared" ca="1" si="390"/>
        <v>#N/A</v>
      </c>
      <c r="BS557" s="1213" t="e">
        <f t="shared" ca="1" si="391"/>
        <v>#N/A</v>
      </c>
      <c r="BT557" s="1587">
        <f t="shared" si="392"/>
        <v>0</v>
      </c>
      <c r="BW557" s="1212" t="e">
        <f t="shared" ca="1" si="393"/>
        <v>#N/A</v>
      </c>
      <c r="BX557" s="1213" t="e">
        <f t="shared" ca="1" si="394"/>
        <v>#N/A</v>
      </c>
      <c r="BY557" s="1587">
        <f t="shared" si="395"/>
        <v>0</v>
      </c>
      <c r="CB557" s="1212" t="e">
        <f t="shared" ca="1" si="396"/>
        <v>#N/A</v>
      </c>
      <c r="CC557" s="1213" t="e">
        <f t="shared" ca="1" si="397"/>
        <v>#N/A</v>
      </c>
      <c r="CD557" s="1587">
        <f t="shared" si="398"/>
        <v>0</v>
      </c>
      <c r="CG557" s="1212" t="e">
        <f t="shared" ca="1" si="399"/>
        <v>#N/A</v>
      </c>
      <c r="CH557" s="1213" t="e">
        <f t="shared" ca="1" si="400"/>
        <v>#N/A</v>
      </c>
      <c r="CI557" s="1587">
        <f t="shared" si="401"/>
        <v>0</v>
      </c>
      <c r="CL557" s="1212" t="e">
        <f t="shared" ca="1" si="402"/>
        <v>#N/A</v>
      </c>
      <c r="CM557" s="1213" t="e">
        <f t="shared" ca="1" si="403"/>
        <v>#N/A</v>
      </c>
      <c r="CN557" s="1587">
        <f t="shared" si="404"/>
        <v>0</v>
      </c>
    </row>
    <row r="558" spans="1:92">
      <c r="A558" s="141">
        <f>'銀行-TSS'!A558</f>
        <v>0</v>
      </c>
      <c r="B558" s="151">
        <f ca="1">VLOOKUP(A558,'銀行-TSS'!A:B,2,FALSE)</f>
        <v>0</v>
      </c>
      <c r="C558" s="151" t="e">
        <f ca="1">VLOOKUP(B558,bond!B:C,2,FALSE)</f>
        <v>#N/A</v>
      </c>
      <c r="D558" s="95" t="e">
        <f>VLOOKUP(A558,'銀行-TSS'!A:C,3,FALSE)</f>
        <v>#N/A</v>
      </c>
      <c r="E558" s="90" t="e">
        <f ca="1">VLOOKUP(A558,'銀行-TSS'!A:G,7,FALSE)</f>
        <v>#N/A</v>
      </c>
      <c r="F558" s="202" t="e">
        <f ca="1">VLOOKUP(A558,'銀行-TSS'!A:H,8,FALSE)</f>
        <v>#N/A</v>
      </c>
      <c r="G558" s="96" t="e">
        <f ca="1">VLOOKUP(A558,'銀行-TSS'!A:K,11,FALSE)</f>
        <v>#N/A</v>
      </c>
      <c r="H558" s="1209" t="e">
        <f ca="1">VLOOKUP(A558,'銀行-TSS'!A:M,13,FALSE)</f>
        <v>#N/A</v>
      </c>
      <c r="I558" s="1213" t="e">
        <f ca="1">VLOOKUP(A558,'銀行-TSS'!A:N,14,FALSE)</f>
        <v>#N/A</v>
      </c>
      <c r="J558" s="1213" t="e">
        <f ca="1">VLOOKUP(A558,'銀行-TSS'!A:O,15,FALSE)</f>
        <v>#N/A</v>
      </c>
      <c r="K558" s="136" t="e">
        <f ca="1">VLOOKUP(A558,'銀行-TSS'!A:V,22,FALSE)</f>
        <v>#N/A</v>
      </c>
      <c r="L558" s="136" t="e">
        <f ca="1">VLOOKUP(A558,'銀行-TSS'!A:AK,37,FALSE)</f>
        <v>#N/A</v>
      </c>
      <c r="M558" s="136" t="str">
        <f ca="1">VLOOKUP(A558,'銀行-TSS'!A:AN,40,FALSE)</f>
        <v/>
      </c>
      <c r="N558" s="136" t="e">
        <f t="shared" ca="1" si="360"/>
        <v>#N/A</v>
      </c>
      <c r="O558" s="1213" t="e">
        <f t="shared" ca="1" si="361"/>
        <v>#N/A</v>
      </c>
      <c r="P558" s="1213" t="e">
        <f ca="1">IF(AND($O$1&gt;=O558,換券單檔!$D$13=D558),I558+INT(($O$1-O558)/N558)*J558,0)</f>
        <v>#N/A</v>
      </c>
      <c r="Q558" s="1213" t="e">
        <f t="shared" ca="1" si="362"/>
        <v>#N/A</v>
      </c>
      <c r="R558" s="1213">
        <f t="shared" si="363"/>
        <v>0</v>
      </c>
      <c r="S558" s="1213">
        <f t="shared" si="364"/>
        <v>0</v>
      </c>
      <c r="T558" s="136">
        <f>IF(OR(R558=0,A558=0),0,IF(AND(V558=TRUE,換券單檔!$D$13=D558),E558,0))</f>
        <v>0</v>
      </c>
      <c r="U558" s="861">
        <f>IF(OR(R558=0,A558=0),0,IF(AND(V558=TRUE,換券單檔!$D$13=D558),H558,0))</f>
        <v>0</v>
      </c>
      <c r="V558" s="136" t="e">
        <f ca="1">IF(OR(B558=換券單檔!$D$3,L558="無",M558&lt;&gt;"",K558="高資產",IFERROR(MATCH(B558,換券單檔!K:K,0),"N")&lt;&gt;"N"),FALSE,IF($V$1="All",TRUE,IF(K558=$V$1,TRUE,FALSE)))</f>
        <v>#N/A</v>
      </c>
      <c r="W558" s="136" t="e">
        <f ca="1">VLOOKUP(A558,'銀行-TSS'!A:AO,41,FALSE)</f>
        <v>#N/A</v>
      </c>
      <c r="X558" s="136" t="e">
        <f ca="1">VLOOKUP(A558,'銀行-TSS'!A:AP,42,FALSE)</f>
        <v>#N/A</v>
      </c>
      <c r="Y558" s="1220">
        <f t="shared" si="365"/>
        <v>0</v>
      </c>
      <c r="Z558" s="1220">
        <f t="shared" si="366"/>
        <v>0</v>
      </c>
      <c r="AA558" s="136">
        <f>IF(Z558&lt;=0,0,RANK(Z558,Z:Z)+COUNTIF($Z$3:$Z558,Z558)-1)</f>
        <v>0</v>
      </c>
      <c r="AB558" s="1211">
        <f t="shared" ca="1" si="367"/>
        <v>-14896.14</v>
      </c>
      <c r="AC558" s="136">
        <f ca="1">IF(AB558&lt;=0,0,RANK(AB558,AB:AB)+COUNTIF($AB$3:$AB558,AB558)-1)</f>
        <v>0</v>
      </c>
      <c r="AD558" s="1123">
        <f t="shared" si="368"/>
        <v>99999</v>
      </c>
      <c r="AE558" s="1123">
        <f>IF(AD558=99999,0,RANK(AD558,AD:AD,1)+COUNTIF($AD$3:$AD558,AD558)-1)</f>
        <v>0</v>
      </c>
      <c r="AF558" s="86" t="e">
        <f ca="1">IF(OR(M558&lt;&gt;"",L558="無",K558="高資產",IFERROR(MATCH(B558,換券單檔!K:K,0),"N")&lt;&gt;"N"),FALSE,TRUE)</f>
        <v>#N/A</v>
      </c>
      <c r="AI558" s="1212" t="e">
        <f t="shared" ca="1" si="369"/>
        <v>#N/A</v>
      </c>
      <c r="AJ558" s="1213" t="e">
        <f t="shared" ca="1" si="370"/>
        <v>#N/A</v>
      </c>
      <c r="AK558" s="1587">
        <f t="shared" si="371"/>
        <v>0</v>
      </c>
      <c r="AN558" s="1212" t="e">
        <f t="shared" ca="1" si="372"/>
        <v>#N/A</v>
      </c>
      <c r="AO558" s="1213" t="e">
        <f t="shared" ca="1" si="373"/>
        <v>#N/A</v>
      </c>
      <c r="AP558" s="1587">
        <f t="shared" si="374"/>
        <v>0</v>
      </c>
      <c r="AS558" s="1212" t="e">
        <f t="shared" ca="1" si="375"/>
        <v>#N/A</v>
      </c>
      <c r="AT558" s="1213" t="e">
        <f t="shared" ca="1" si="376"/>
        <v>#N/A</v>
      </c>
      <c r="AU558" s="1587">
        <f t="shared" si="377"/>
        <v>0</v>
      </c>
      <c r="AX558" s="1212" t="e">
        <f t="shared" ca="1" si="378"/>
        <v>#N/A</v>
      </c>
      <c r="AY558" s="1213" t="e">
        <f t="shared" ca="1" si="379"/>
        <v>#N/A</v>
      </c>
      <c r="AZ558" s="1587">
        <f t="shared" si="380"/>
        <v>0</v>
      </c>
      <c r="BC558" s="1212" t="e">
        <f t="shared" ca="1" si="381"/>
        <v>#N/A</v>
      </c>
      <c r="BD558" s="1213" t="e">
        <f t="shared" ca="1" si="382"/>
        <v>#N/A</v>
      </c>
      <c r="BE558" s="1587">
        <f t="shared" si="383"/>
        <v>0</v>
      </c>
      <c r="BH558" s="1212" t="e">
        <f t="shared" ca="1" si="384"/>
        <v>#N/A</v>
      </c>
      <c r="BI558" s="1213" t="e">
        <f t="shared" ca="1" si="385"/>
        <v>#N/A</v>
      </c>
      <c r="BJ558" s="1587">
        <f t="shared" si="386"/>
        <v>0</v>
      </c>
      <c r="BM558" s="1212" t="e">
        <f t="shared" ca="1" si="387"/>
        <v>#N/A</v>
      </c>
      <c r="BN558" s="1213" t="e">
        <f t="shared" ca="1" si="388"/>
        <v>#N/A</v>
      </c>
      <c r="BO558" s="1587">
        <f t="shared" si="389"/>
        <v>0</v>
      </c>
      <c r="BR558" s="1212" t="e">
        <f t="shared" ca="1" si="390"/>
        <v>#N/A</v>
      </c>
      <c r="BS558" s="1213" t="e">
        <f t="shared" ca="1" si="391"/>
        <v>#N/A</v>
      </c>
      <c r="BT558" s="1587">
        <f t="shared" si="392"/>
        <v>0</v>
      </c>
      <c r="BW558" s="1212" t="e">
        <f t="shared" ca="1" si="393"/>
        <v>#N/A</v>
      </c>
      <c r="BX558" s="1213" t="e">
        <f t="shared" ca="1" si="394"/>
        <v>#N/A</v>
      </c>
      <c r="BY558" s="1587">
        <f t="shared" si="395"/>
        <v>0</v>
      </c>
      <c r="CB558" s="1212" t="e">
        <f t="shared" ca="1" si="396"/>
        <v>#N/A</v>
      </c>
      <c r="CC558" s="1213" t="e">
        <f t="shared" ca="1" si="397"/>
        <v>#N/A</v>
      </c>
      <c r="CD558" s="1587">
        <f t="shared" si="398"/>
        <v>0</v>
      </c>
      <c r="CG558" s="1212" t="e">
        <f t="shared" ca="1" si="399"/>
        <v>#N/A</v>
      </c>
      <c r="CH558" s="1213" t="e">
        <f t="shared" ca="1" si="400"/>
        <v>#N/A</v>
      </c>
      <c r="CI558" s="1587">
        <f t="shared" si="401"/>
        <v>0</v>
      </c>
      <c r="CL558" s="1212" t="e">
        <f t="shared" ca="1" si="402"/>
        <v>#N/A</v>
      </c>
      <c r="CM558" s="1213" t="e">
        <f t="shared" ca="1" si="403"/>
        <v>#N/A</v>
      </c>
      <c r="CN558" s="1587">
        <f t="shared" si="404"/>
        <v>0</v>
      </c>
    </row>
    <row r="559" spans="1:92">
      <c r="A559" s="141">
        <f>'銀行-TSS'!A559</f>
        <v>0</v>
      </c>
      <c r="B559" s="151">
        <f ca="1">VLOOKUP(A559,'銀行-TSS'!A:B,2,FALSE)</f>
        <v>0</v>
      </c>
      <c r="C559" s="151" t="e">
        <f ca="1">VLOOKUP(B559,bond!B:C,2,FALSE)</f>
        <v>#N/A</v>
      </c>
      <c r="D559" s="95" t="e">
        <f>VLOOKUP(A559,'銀行-TSS'!A:C,3,FALSE)</f>
        <v>#N/A</v>
      </c>
      <c r="E559" s="90" t="e">
        <f ca="1">VLOOKUP(A559,'銀行-TSS'!A:G,7,FALSE)</f>
        <v>#N/A</v>
      </c>
      <c r="F559" s="202" t="e">
        <f ca="1">VLOOKUP(A559,'銀行-TSS'!A:H,8,FALSE)</f>
        <v>#N/A</v>
      </c>
      <c r="G559" s="96" t="e">
        <f ca="1">VLOOKUP(A559,'銀行-TSS'!A:K,11,FALSE)</f>
        <v>#N/A</v>
      </c>
      <c r="H559" s="1209" t="e">
        <f ca="1">VLOOKUP(A559,'銀行-TSS'!A:M,13,FALSE)</f>
        <v>#N/A</v>
      </c>
      <c r="I559" s="1213" t="e">
        <f ca="1">VLOOKUP(A559,'銀行-TSS'!A:N,14,FALSE)</f>
        <v>#N/A</v>
      </c>
      <c r="J559" s="1213" t="e">
        <f ca="1">VLOOKUP(A559,'銀行-TSS'!A:O,15,FALSE)</f>
        <v>#N/A</v>
      </c>
      <c r="K559" s="136" t="e">
        <f ca="1">VLOOKUP(A559,'銀行-TSS'!A:V,22,FALSE)</f>
        <v>#N/A</v>
      </c>
      <c r="L559" s="136" t="e">
        <f ca="1">VLOOKUP(A559,'銀行-TSS'!A:AK,37,FALSE)</f>
        <v>#N/A</v>
      </c>
      <c r="M559" s="136" t="str">
        <f ca="1">VLOOKUP(A559,'銀行-TSS'!A:AN,40,FALSE)</f>
        <v/>
      </c>
      <c r="N559" s="136" t="e">
        <f t="shared" ca="1" si="360"/>
        <v>#N/A</v>
      </c>
      <c r="O559" s="1213" t="e">
        <f t="shared" ca="1" si="361"/>
        <v>#N/A</v>
      </c>
      <c r="P559" s="1213" t="e">
        <f ca="1">IF(AND($O$1&gt;=O559,換券單檔!$D$13=D559),I559+INT(($O$1-O559)/N559)*J559,0)</f>
        <v>#N/A</v>
      </c>
      <c r="Q559" s="1213" t="e">
        <f t="shared" ca="1" si="362"/>
        <v>#N/A</v>
      </c>
      <c r="R559" s="1213">
        <f t="shared" si="363"/>
        <v>0</v>
      </c>
      <c r="S559" s="1213">
        <f t="shared" si="364"/>
        <v>0</v>
      </c>
      <c r="T559" s="136">
        <f>IF(OR(R559=0,A559=0),0,IF(AND(V559=TRUE,換券單檔!$D$13=D559),E559,0))</f>
        <v>0</v>
      </c>
      <c r="U559" s="861">
        <f>IF(OR(R559=0,A559=0),0,IF(AND(V559=TRUE,換券單檔!$D$13=D559),H559,0))</f>
        <v>0</v>
      </c>
      <c r="V559" s="136" t="e">
        <f ca="1">IF(OR(B559=換券單檔!$D$3,L559="無",M559&lt;&gt;"",K559="高資產",IFERROR(MATCH(B559,換券單檔!K:K,0),"N")&lt;&gt;"N"),FALSE,IF($V$1="All",TRUE,IF(K559=$V$1,TRUE,FALSE)))</f>
        <v>#N/A</v>
      </c>
      <c r="W559" s="136" t="e">
        <f ca="1">VLOOKUP(A559,'銀行-TSS'!A:AO,41,FALSE)</f>
        <v>#N/A</v>
      </c>
      <c r="X559" s="136" t="e">
        <f ca="1">VLOOKUP(A559,'銀行-TSS'!A:AP,42,FALSE)</f>
        <v>#N/A</v>
      </c>
      <c r="Y559" s="1220">
        <f t="shared" si="365"/>
        <v>0</v>
      </c>
      <c r="Z559" s="1220">
        <f t="shared" si="366"/>
        <v>0</v>
      </c>
      <c r="AA559" s="136">
        <f>IF(Z559&lt;=0,0,RANK(Z559,Z:Z)+COUNTIF($Z$3:$Z559,Z559)-1)</f>
        <v>0</v>
      </c>
      <c r="AB559" s="1211">
        <f t="shared" ca="1" si="367"/>
        <v>-14896.14</v>
      </c>
      <c r="AC559" s="136">
        <f ca="1">IF(AB559&lt;=0,0,RANK(AB559,AB:AB)+COUNTIF($AB$3:$AB559,AB559)-1)</f>
        <v>0</v>
      </c>
      <c r="AD559" s="1123">
        <f t="shared" si="368"/>
        <v>99999</v>
      </c>
      <c r="AE559" s="1123">
        <f>IF(AD559=99999,0,RANK(AD559,AD:AD,1)+COUNTIF($AD$3:$AD559,AD559)-1)</f>
        <v>0</v>
      </c>
      <c r="AF559" s="86" t="e">
        <f ca="1">IF(OR(M559&lt;&gt;"",L559="無",K559="高資產",IFERROR(MATCH(B559,換券單檔!K:K,0),"N")&lt;&gt;"N"),FALSE,TRUE)</f>
        <v>#N/A</v>
      </c>
      <c r="AI559" s="1212" t="e">
        <f t="shared" ca="1" si="369"/>
        <v>#N/A</v>
      </c>
      <c r="AJ559" s="1213" t="e">
        <f t="shared" ca="1" si="370"/>
        <v>#N/A</v>
      </c>
      <c r="AK559" s="1587">
        <f t="shared" si="371"/>
        <v>0</v>
      </c>
      <c r="AN559" s="1212" t="e">
        <f t="shared" ca="1" si="372"/>
        <v>#N/A</v>
      </c>
      <c r="AO559" s="1213" t="e">
        <f t="shared" ca="1" si="373"/>
        <v>#N/A</v>
      </c>
      <c r="AP559" s="1587">
        <f t="shared" si="374"/>
        <v>0</v>
      </c>
      <c r="AS559" s="1212" t="e">
        <f t="shared" ca="1" si="375"/>
        <v>#N/A</v>
      </c>
      <c r="AT559" s="1213" t="e">
        <f t="shared" ca="1" si="376"/>
        <v>#N/A</v>
      </c>
      <c r="AU559" s="1587">
        <f t="shared" si="377"/>
        <v>0</v>
      </c>
      <c r="AX559" s="1212" t="e">
        <f t="shared" ca="1" si="378"/>
        <v>#N/A</v>
      </c>
      <c r="AY559" s="1213" t="e">
        <f t="shared" ca="1" si="379"/>
        <v>#N/A</v>
      </c>
      <c r="AZ559" s="1587">
        <f t="shared" si="380"/>
        <v>0</v>
      </c>
      <c r="BC559" s="1212" t="e">
        <f t="shared" ca="1" si="381"/>
        <v>#N/A</v>
      </c>
      <c r="BD559" s="1213" t="e">
        <f t="shared" ca="1" si="382"/>
        <v>#N/A</v>
      </c>
      <c r="BE559" s="1587">
        <f t="shared" si="383"/>
        <v>0</v>
      </c>
      <c r="BH559" s="1212" t="e">
        <f t="shared" ca="1" si="384"/>
        <v>#N/A</v>
      </c>
      <c r="BI559" s="1213" t="e">
        <f t="shared" ca="1" si="385"/>
        <v>#N/A</v>
      </c>
      <c r="BJ559" s="1587">
        <f t="shared" si="386"/>
        <v>0</v>
      </c>
      <c r="BM559" s="1212" t="e">
        <f t="shared" ca="1" si="387"/>
        <v>#N/A</v>
      </c>
      <c r="BN559" s="1213" t="e">
        <f t="shared" ca="1" si="388"/>
        <v>#N/A</v>
      </c>
      <c r="BO559" s="1587">
        <f t="shared" si="389"/>
        <v>0</v>
      </c>
      <c r="BR559" s="1212" t="e">
        <f t="shared" ca="1" si="390"/>
        <v>#N/A</v>
      </c>
      <c r="BS559" s="1213" t="e">
        <f t="shared" ca="1" si="391"/>
        <v>#N/A</v>
      </c>
      <c r="BT559" s="1587">
        <f t="shared" si="392"/>
        <v>0</v>
      </c>
      <c r="BW559" s="1212" t="e">
        <f t="shared" ca="1" si="393"/>
        <v>#N/A</v>
      </c>
      <c r="BX559" s="1213" t="e">
        <f t="shared" ca="1" si="394"/>
        <v>#N/A</v>
      </c>
      <c r="BY559" s="1587">
        <f t="shared" si="395"/>
        <v>0</v>
      </c>
      <c r="CB559" s="1212" t="e">
        <f t="shared" ca="1" si="396"/>
        <v>#N/A</v>
      </c>
      <c r="CC559" s="1213" t="e">
        <f t="shared" ca="1" si="397"/>
        <v>#N/A</v>
      </c>
      <c r="CD559" s="1587">
        <f t="shared" si="398"/>
        <v>0</v>
      </c>
      <c r="CG559" s="1212" t="e">
        <f t="shared" ca="1" si="399"/>
        <v>#N/A</v>
      </c>
      <c r="CH559" s="1213" t="e">
        <f t="shared" ca="1" si="400"/>
        <v>#N/A</v>
      </c>
      <c r="CI559" s="1587">
        <f t="shared" si="401"/>
        <v>0</v>
      </c>
      <c r="CL559" s="1212" t="e">
        <f t="shared" ca="1" si="402"/>
        <v>#N/A</v>
      </c>
      <c r="CM559" s="1213" t="e">
        <f t="shared" ca="1" si="403"/>
        <v>#N/A</v>
      </c>
      <c r="CN559" s="1587">
        <f t="shared" si="404"/>
        <v>0</v>
      </c>
    </row>
    <row r="560" spans="1:92">
      <c r="A560" s="141">
        <f>'銀行-TSS'!A560</f>
        <v>0</v>
      </c>
      <c r="B560" s="151">
        <f ca="1">VLOOKUP(A560,'銀行-TSS'!A:B,2,FALSE)</f>
        <v>0</v>
      </c>
      <c r="C560" s="151" t="e">
        <f ca="1">VLOOKUP(B560,bond!B:C,2,FALSE)</f>
        <v>#N/A</v>
      </c>
      <c r="D560" s="95" t="e">
        <f>VLOOKUP(A560,'銀行-TSS'!A:C,3,FALSE)</f>
        <v>#N/A</v>
      </c>
      <c r="E560" s="90" t="e">
        <f ca="1">VLOOKUP(A560,'銀行-TSS'!A:G,7,FALSE)</f>
        <v>#N/A</v>
      </c>
      <c r="F560" s="202" t="e">
        <f ca="1">VLOOKUP(A560,'銀行-TSS'!A:H,8,FALSE)</f>
        <v>#N/A</v>
      </c>
      <c r="G560" s="96" t="e">
        <f ca="1">VLOOKUP(A560,'銀行-TSS'!A:K,11,FALSE)</f>
        <v>#N/A</v>
      </c>
      <c r="H560" s="1209" t="e">
        <f ca="1">VLOOKUP(A560,'銀行-TSS'!A:M,13,FALSE)</f>
        <v>#N/A</v>
      </c>
      <c r="I560" s="1213" t="e">
        <f ca="1">VLOOKUP(A560,'銀行-TSS'!A:N,14,FALSE)</f>
        <v>#N/A</v>
      </c>
      <c r="J560" s="1213" t="e">
        <f ca="1">VLOOKUP(A560,'銀行-TSS'!A:O,15,FALSE)</f>
        <v>#N/A</v>
      </c>
      <c r="K560" s="136" t="e">
        <f ca="1">VLOOKUP(A560,'銀行-TSS'!A:V,22,FALSE)</f>
        <v>#N/A</v>
      </c>
      <c r="L560" s="136" t="e">
        <f ca="1">VLOOKUP(A560,'銀行-TSS'!A:AK,37,FALSE)</f>
        <v>#N/A</v>
      </c>
      <c r="M560" s="136" t="str">
        <f ca="1">VLOOKUP(A560,'銀行-TSS'!A:AN,40,FALSE)</f>
        <v/>
      </c>
      <c r="N560" s="136" t="e">
        <f t="shared" ca="1" si="360"/>
        <v>#N/A</v>
      </c>
      <c r="O560" s="1213" t="e">
        <f t="shared" ca="1" si="361"/>
        <v>#N/A</v>
      </c>
      <c r="P560" s="1213" t="e">
        <f ca="1">IF(AND($O$1&gt;=O560,換券單檔!$D$13=D560),I560+INT(($O$1-O560)/N560)*J560,0)</f>
        <v>#N/A</v>
      </c>
      <c r="Q560" s="1213" t="e">
        <f t="shared" ca="1" si="362"/>
        <v>#N/A</v>
      </c>
      <c r="R560" s="1213">
        <f t="shared" si="363"/>
        <v>0</v>
      </c>
      <c r="S560" s="1213">
        <f t="shared" si="364"/>
        <v>0</v>
      </c>
      <c r="T560" s="136">
        <f>IF(OR(R560=0,A560=0),0,IF(AND(V560=TRUE,換券單檔!$D$13=D560),E560,0))</f>
        <v>0</v>
      </c>
      <c r="U560" s="861">
        <f>IF(OR(R560=0,A560=0),0,IF(AND(V560=TRUE,換券單檔!$D$13=D560),H560,0))</f>
        <v>0</v>
      </c>
      <c r="V560" s="136" t="e">
        <f ca="1">IF(OR(B560=換券單檔!$D$3,L560="無",M560&lt;&gt;"",K560="高資產",IFERROR(MATCH(B560,換券單檔!K:K,0),"N")&lt;&gt;"N"),FALSE,IF($V$1="All",TRUE,IF(K560=$V$1,TRUE,FALSE)))</f>
        <v>#N/A</v>
      </c>
      <c r="W560" s="136" t="e">
        <f ca="1">VLOOKUP(A560,'銀行-TSS'!A:AO,41,FALSE)</f>
        <v>#N/A</v>
      </c>
      <c r="X560" s="136" t="e">
        <f ca="1">VLOOKUP(A560,'銀行-TSS'!A:AP,42,FALSE)</f>
        <v>#N/A</v>
      </c>
      <c r="Y560" s="1220">
        <f t="shared" si="365"/>
        <v>0</v>
      </c>
      <c r="Z560" s="1220">
        <f t="shared" si="366"/>
        <v>0</v>
      </c>
      <c r="AA560" s="136">
        <f>IF(Z560&lt;=0,0,RANK(Z560,Z:Z)+COUNTIF($Z$3:$Z560,Z560)-1)</f>
        <v>0</v>
      </c>
      <c r="AB560" s="1211">
        <f t="shared" ca="1" si="367"/>
        <v>-14896.14</v>
      </c>
      <c r="AC560" s="136">
        <f ca="1">IF(AB560&lt;=0,0,RANK(AB560,AB:AB)+COUNTIF($AB$3:$AB560,AB560)-1)</f>
        <v>0</v>
      </c>
      <c r="AD560" s="1123">
        <f t="shared" si="368"/>
        <v>99999</v>
      </c>
      <c r="AE560" s="1123">
        <f>IF(AD560=99999,0,RANK(AD560,AD:AD,1)+COUNTIF($AD$3:$AD560,AD560)-1)</f>
        <v>0</v>
      </c>
      <c r="AF560" s="86" t="e">
        <f ca="1">IF(OR(M560&lt;&gt;"",L560="無",K560="高資產",IFERROR(MATCH(B560,換券單檔!K:K,0),"N")&lt;&gt;"N"),FALSE,TRUE)</f>
        <v>#N/A</v>
      </c>
      <c r="AI560" s="1212" t="e">
        <f t="shared" ca="1" si="369"/>
        <v>#N/A</v>
      </c>
      <c r="AJ560" s="1213" t="e">
        <f t="shared" ca="1" si="370"/>
        <v>#N/A</v>
      </c>
      <c r="AK560" s="1587">
        <f t="shared" si="371"/>
        <v>0</v>
      </c>
      <c r="AN560" s="1212" t="e">
        <f t="shared" ca="1" si="372"/>
        <v>#N/A</v>
      </c>
      <c r="AO560" s="1213" t="e">
        <f t="shared" ca="1" si="373"/>
        <v>#N/A</v>
      </c>
      <c r="AP560" s="1587">
        <f t="shared" si="374"/>
        <v>0</v>
      </c>
      <c r="AS560" s="1212" t="e">
        <f t="shared" ca="1" si="375"/>
        <v>#N/A</v>
      </c>
      <c r="AT560" s="1213" t="e">
        <f t="shared" ca="1" si="376"/>
        <v>#N/A</v>
      </c>
      <c r="AU560" s="1587">
        <f t="shared" si="377"/>
        <v>0</v>
      </c>
      <c r="AX560" s="1212" t="e">
        <f t="shared" ca="1" si="378"/>
        <v>#N/A</v>
      </c>
      <c r="AY560" s="1213" t="e">
        <f t="shared" ca="1" si="379"/>
        <v>#N/A</v>
      </c>
      <c r="AZ560" s="1587">
        <f t="shared" si="380"/>
        <v>0</v>
      </c>
      <c r="BC560" s="1212" t="e">
        <f t="shared" ca="1" si="381"/>
        <v>#N/A</v>
      </c>
      <c r="BD560" s="1213" t="e">
        <f t="shared" ca="1" si="382"/>
        <v>#N/A</v>
      </c>
      <c r="BE560" s="1587">
        <f t="shared" si="383"/>
        <v>0</v>
      </c>
      <c r="BH560" s="1212" t="e">
        <f t="shared" ca="1" si="384"/>
        <v>#N/A</v>
      </c>
      <c r="BI560" s="1213" t="e">
        <f t="shared" ca="1" si="385"/>
        <v>#N/A</v>
      </c>
      <c r="BJ560" s="1587">
        <f t="shared" si="386"/>
        <v>0</v>
      </c>
      <c r="BM560" s="1212" t="e">
        <f t="shared" ca="1" si="387"/>
        <v>#N/A</v>
      </c>
      <c r="BN560" s="1213" t="e">
        <f t="shared" ca="1" si="388"/>
        <v>#N/A</v>
      </c>
      <c r="BO560" s="1587">
        <f t="shared" si="389"/>
        <v>0</v>
      </c>
      <c r="BR560" s="1212" t="e">
        <f t="shared" ca="1" si="390"/>
        <v>#N/A</v>
      </c>
      <c r="BS560" s="1213" t="e">
        <f t="shared" ca="1" si="391"/>
        <v>#N/A</v>
      </c>
      <c r="BT560" s="1587">
        <f t="shared" si="392"/>
        <v>0</v>
      </c>
      <c r="BW560" s="1212" t="e">
        <f t="shared" ca="1" si="393"/>
        <v>#N/A</v>
      </c>
      <c r="BX560" s="1213" t="e">
        <f t="shared" ca="1" si="394"/>
        <v>#N/A</v>
      </c>
      <c r="BY560" s="1587">
        <f t="shared" si="395"/>
        <v>0</v>
      </c>
      <c r="CB560" s="1212" t="e">
        <f t="shared" ca="1" si="396"/>
        <v>#N/A</v>
      </c>
      <c r="CC560" s="1213" t="e">
        <f t="shared" ca="1" si="397"/>
        <v>#N/A</v>
      </c>
      <c r="CD560" s="1587">
        <f t="shared" si="398"/>
        <v>0</v>
      </c>
      <c r="CG560" s="1212" t="e">
        <f t="shared" ca="1" si="399"/>
        <v>#N/A</v>
      </c>
      <c r="CH560" s="1213" t="e">
        <f t="shared" ca="1" si="400"/>
        <v>#N/A</v>
      </c>
      <c r="CI560" s="1587">
        <f t="shared" si="401"/>
        <v>0</v>
      </c>
      <c r="CL560" s="1212" t="e">
        <f t="shared" ca="1" si="402"/>
        <v>#N/A</v>
      </c>
      <c r="CM560" s="1213" t="e">
        <f t="shared" ca="1" si="403"/>
        <v>#N/A</v>
      </c>
      <c r="CN560" s="1587">
        <f t="shared" si="404"/>
        <v>0</v>
      </c>
    </row>
    <row r="561" spans="1:92">
      <c r="A561" s="141">
        <f>'銀行-TSS'!A561</f>
        <v>0</v>
      </c>
      <c r="B561" s="151">
        <f ca="1">VLOOKUP(A561,'銀行-TSS'!A:B,2,FALSE)</f>
        <v>0</v>
      </c>
      <c r="C561" s="151" t="e">
        <f ca="1">VLOOKUP(B561,bond!B:C,2,FALSE)</f>
        <v>#N/A</v>
      </c>
      <c r="D561" s="95" t="e">
        <f>VLOOKUP(A561,'銀行-TSS'!A:C,3,FALSE)</f>
        <v>#N/A</v>
      </c>
      <c r="E561" s="90" t="e">
        <f ca="1">VLOOKUP(A561,'銀行-TSS'!A:G,7,FALSE)</f>
        <v>#N/A</v>
      </c>
      <c r="F561" s="202" t="e">
        <f ca="1">VLOOKUP(A561,'銀行-TSS'!A:H,8,FALSE)</f>
        <v>#N/A</v>
      </c>
      <c r="G561" s="96" t="e">
        <f ca="1">VLOOKUP(A561,'銀行-TSS'!A:K,11,FALSE)</f>
        <v>#N/A</v>
      </c>
      <c r="H561" s="1209" t="e">
        <f ca="1">VLOOKUP(A561,'銀行-TSS'!A:M,13,FALSE)</f>
        <v>#N/A</v>
      </c>
      <c r="I561" s="1213" t="e">
        <f ca="1">VLOOKUP(A561,'銀行-TSS'!A:N,14,FALSE)</f>
        <v>#N/A</v>
      </c>
      <c r="J561" s="1213" t="e">
        <f ca="1">VLOOKUP(A561,'銀行-TSS'!A:O,15,FALSE)</f>
        <v>#N/A</v>
      </c>
      <c r="K561" s="136" t="e">
        <f ca="1">VLOOKUP(A561,'銀行-TSS'!A:V,22,FALSE)</f>
        <v>#N/A</v>
      </c>
      <c r="L561" s="136" t="e">
        <f ca="1">VLOOKUP(A561,'銀行-TSS'!A:AK,37,FALSE)</f>
        <v>#N/A</v>
      </c>
      <c r="M561" s="136" t="str">
        <f ca="1">VLOOKUP(A561,'銀行-TSS'!A:AN,40,FALSE)</f>
        <v/>
      </c>
      <c r="N561" s="136" t="e">
        <f t="shared" ca="1" si="360"/>
        <v>#N/A</v>
      </c>
      <c r="O561" s="1213" t="e">
        <f t="shared" ca="1" si="361"/>
        <v>#N/A</v>
      </c>
      <c r="P561" s="1213" t="e">
        <f ca="1">IF(AND($O$1&gt;=O561,換券單檔!$D$13=D561),I561+INT(($O$1-O561)/N561)*J561,0)</f>
        <v>#N/A</v>
      </c>
      <c r="Q561" s="1213" t="e">
        <f t="shared" ca="1" si="362"/>
        <v>#N/A</v>
      </c>
      <c r="R561" s="1213">
        <f t="shared" si="363"/>
        <v>0</v>
      </c>
      <c r="S561" s="1213">
        <f t="shared" si="364"/>
        <v>0</v>
      </c>
      <c r="T561" s="136">
        <f>IF(OR(R561=0,A561=0),0,IF(AND(V561=TRUE,換券單檔!$D$13=D561),E561,0))</f>
        <v>0</v>
      </c>
      <c r="U561" s="861">
        <f>IF(OR(R561=0,A561=0),0,IF(AND(V561=TRUE,換券單檔!$D$13=D561),H561,0))</f>
        <v>0</v>
      </c>
      <c r="V561" s="136" t="e">
        <f ca="1">IF(OR(B561=換券單檔!$D$3,L561="無",M561&lt;&gt;"",K561="高資產",IFERROR(MATCH(B561,換券單檔!K:K,0),"N")&lt;&gt;"N"),FALSE,IF($V$1="All",TRUE,IF(K561=$V$1,TRUE,FALSE)))</f>
        <v>#N/A</v>
      </c>
      <c r="W561" s="136" t="e">
        <f ca="1">VLOOKUP(A561,'銀行-TSS'!A:AO,41,FALSE)</f>
        <v>#N/A</v>
      </c>
      <c r="X561" s="136" t="e">
        <f ca="1">VLOOKUP(A561,'銀行-TSS'!A:AP,42,FALSE)</f>
        <v>#N/A</v>
      </c>
      <c r="Y561" s="1220">
        <f t="shared" si="365"/>
        <v>0</v>
      </c>
      <c r="Z561" s="1220">
        <f t="shared" si="366"/>
        <v>0</v>
      </c>
      <c r="AA561" s="136">
        <f>IF(Z561&lt;=0,0,RANK(Z561,Z:Z)+COUNTIF($Z$3:$Z561,Z561)-1)</f>
        <v>0</v>
      </c>
      <c r="AB561" s="1211">
        <f t="shared" ca="1" si="367"/>
        <v>-14896.14</v>
      </c>
      <c r="AC561" s="136">
        <f ca="1">IF(AB561&lt;=0,0,RANK(AB561,AB:AB)+COUNTIF($AB$3:$AB561,AB561)-1)</f>
        <v>0</v>
      </c>
      <c r="AD561" s="1123">
        <f t="shared" si="368"/>
        <v>99999</v>
      </c>
      <c r="AE561" s="1123">
        <f>IF(AD561=99999,0,RANK(AD561,AD:AD,1)+COUNTIF($AD$3:$AD561,AD561)-1)</f>
        <v>0</v>
      </c>
      <c r="AF561" s="86" t="e">
        <f ca="1">IF(OR(M561&lt;&gt;"",L561="無",K561="高資產",IFERROR(MATCH(B561,換券單檔!K:K,0),"N")&lt;&gt;"N"),FALSE,TRUE)</f>
        <v>#N/A</v>
      </c>
      <c r="AI561" s="1212" t="e">
        <f t="shared" ca="1" si="369"/>
        <v>#N/A</v>
      </c>
      <c r="AJ561" s="1213" t="e">
        <f t="shared" ca="1" si="370"/>
        <v>#N/A</v>
      </c>
      <c r="AK561" s="1587">
        <f t="shared" si="371"/>
        <v>0</v>
      </c>
      <c r="AN561" s="1212" t="e">
        <f t="shared" ca="1" si="372"/>
        <v>#N/A</v>
      </c>
      <c r="AO561" s="1213" t="e">
        <f t="shared" ca="1" si="373"/>
        <v>#N/A</v>
      </c>
      <c r="AP561" s="1587">
        <f t="shared" si="374"/>
        <v>0</v>
      </c>
      <c r="AS561" s="1212" t="e">
        <f t="shared" ca="1" si="375"/>
        <v>#N/A</v>
      </c>
      <c r="AT561" s="1213" t="e">
        <f t="shared" ca="1" si="376"/>
        <v>#N/A</v>
      </c>
      <c r="AU561" s="1587">
        <f t="shared" si="377"/>
        <v>0</v>
      </c>
      <c r="AX561" s="1212" t="e">
        <f t="shared" ca="1" si="378"/>
        <v>#N/A</v>
      </c>
      <c r="AY561" s="1213" t="e">
        <f t="shared" ca="1" si="379"/>
        <v>#N/A</v>
      </c>
      <c r="AZ561" s="1587">
        <f t="shared" si="380"/>
        <v>0</v>
      </c>
      <c r="BC561" s="1212" t="e">
        <f t="shared" ca="1" si="381"/>
        <v>#N/A</v>
      </c>
      <c r="BD561" s="1213" t="e">
        <f t="shared" ca="1" si="382"/>
        <v>#N/A</v>
      </c>
      <c r="BE561" s="1587">
        <f t="shared" si="383"/>
        <v>0</v>
      </c>
      <c r="BH561" s="1212" t="e">
        <f t="shared" ca="1" si="384"/>
        <v>#N/A</v>
      </c>
      <c r="BI561" s="1213" t="e">
        <f t="shared" ca="1" si="385"/>
        <v>#N/A</v>
      </c>
      <c r="BJ561" s="1587">
        <f t="shared" si="386"/>
        <v>0</v>
      </c>
      <c r="BM561" s="1212" t="e">
        <f t="shared" ca="1" si="387"/>
        <v>#N/A</v>
      </c>
      <c r="BN561" s="1213" t="e">
        <f t="shared" ca="1" si="388"/>
        <v>#N/A</v>
      </c>
      <c r="BO561" s="1587">
        <f t="shared" si="389"/>
        <v>0</v>
      </c>
      <c r="BR561" s="1212" t="e">
        <f t="shared" ca="1" si="390"/>
        <v>#N/A</v>
      </c>
      <c r="BS561" s="1213" t="e">
        <f t="shared" ca="1" si="391"/>
        <v>#N/A</v>
      </c>
      <c r="BT561" s="1587">
        <f t="shared" si="392"/>
        <v>0</v>
      </c>
      <c r="BW561" s="1212" t="e">
        <f t="shared" ca="1" si="393"/>
        <v>#N/A</v>
      </c>
      <c r="BX561" s="1213" t="e">
        <f t="shared" ca="1" si="394"/>
        <v>#N/A</v>
      </c>
      <c r="BY561" s="1587">
        <f t="shared" si="395"/>
        <v>0</v>
      </c>
      <c r="CB561" s="1212" t="e">
        <f t="shared" ca="1" si="396"/>
        <v>#N/A</v>
      </c>
      <c r="CC561" s="1213" t="e">
        <f t="shared" ca="1" si="397"/>
        <v>#N/A</v>
      </c>
      <c r="CD561" s="1587">
        <f t="shared" si="398"/>
        <v>0</v>
      </c>
      <c r="CG561" s="1212" t="e">
        <f t="shared" ca="1" si="399"/>
        <v>#N/A</v>
      </c>
      <c r="CH561" s="1213" t="e">
        <f t="shared" ca="1" si="400"/>
        <v>#N/A</v>
      </c>
      <c r="CI561" s="1587">
        <f t="shared" si="401"/>
        <v>0</v>
      </c>
      <c r="CL561" s="1212" t="e">
        <f t="shared" ca="1" si="402"/>
        <v>#N/A</v>
      </c>
      <c r="CM561" s="1213" t="e">
        <f t="shared" ca="1" si="403"/>
        <v>#N/A</v>
      </c>
      <c r="CN561" s="1587">
        <f t="shared" si="404"/>
        <v>0</v>
      </c>
    </row>
    <row r="562" spans="1:92">
      <c r="A562" s="141">
        <f>'銀行-TSS'!A562</f>
        <v>0</v>
      </c>
      <c r="B562" s="151">
        <f ca="1">VLOOKUP(A562,'銀行-TSS'!A:B,2,FALSE)</f>
        <v>0</v>
      </c>
      <c r="C562" s="151" t="e">
        <f ca="1">VLOOKUP(B562,bond!B:C,2,FALSE)</f>
        <v>#N/A</v>
      </c>
      <c r="D562" s="95" t="e">
        <f>VLOOKUP(A562,'銀行-TSS'!A:C,3,FALSE)</f>
        <v>#N/A</v>
      </c>
      <c r="E562" s="90" t="e">
        <f ca="1">VLOOKUP(A562,'銀行-TSS'!A:G,7,FALSE)</f>
        <v>#N/A</v>
      </c>
      <c r="F562" s="202" t="e">
        <f ca="1">VLOOKUP(A562,'銀行-TSS'!A:H,8,FALSE)</f>
        <v>#N/A</v>
      </c>
      <c r="G562" s="96" t="e">
        <f ca="1">VLOOKUP(A562,'銀行-TSS'!A:K,11,FALSE)</f>
        <v>#N/A</v>
      </c>
      <c r="H562" s="1209" t="e">
        <f ca="1">VLOOKUP(A562,'銀行-TSS'!A:M,13,FALSE)</f>
        <v>#N/A</v>
      </c>
      <c r="I562" s="1213" t="e">
        <f ca="1">VLOOKUP(A562,'銀行-TSS'!A:N,14,FALSE)</f>
        <v>#N/A</v>
      </c>
      <c r="J562" s="1213" t="e">
        <f ca="1">VLOOKUP(A562,'銀行-TSS'!A:O,15,FALSE)</f>
        <v>#N/A</v>
      </c>
      <c r="K562" s="136" t="e">
        <f ca="1">VLOOKUP(A562,'銀行-TSS'!A:V,22,FALSE)</f>
        <v>#N/A</v>
      </c>
      <c r="L562" s="136" t="e">
        <f ca="1">VLOOKUP(A562,'銀行-TSS'!A:AK,37,FALSE)</f>
        <v>#N/A</v>
      </c>
      <c r="M562" s="136" t="str">
        <f ca="1">VLOOKUP(A562,'銀行-TSS'!A:AN,40,FALSE)</f>
        <v/>
      </c>
      <c r="N562" s="136" t="e">
        <f t="shared" ca="1" si="360"/>
        <v>#N/A</v>
      </c>
      <c r="O562" s="1213" t="e">
        <f t="shared" ca="1" si="361"/>
        <v>#N/A</v>
      </c>
      <c r="P562" s="1213" t="e">
        <f ca="1">IF(AND($O$1&gt;=O562,換券單檔!$D$13=D562),I562+INT(($O$1-O562)/N562)*J562,0)</f>
        <v>#N/A</v>
      </c>
      <c r="Q562" s="1213" t="e">
        <f t="shared" ca="1" si="362"/>
        <v>#N/A</v>
      </c>
      <c r="R562" s="1213">
        <f t="shared" si="363"/>
        <v>0</v>
      </c>
      <c r="S562" s="1213">
        <f t="shared" si="364"/>
        <v>0</v>
      </c>
      <c r="T562" s="136">
        <f>IF(OR(R562=0,A562=0),0,IF(AND(V562=TRUE,換券單檔!$D$13=D562),E562,0))</f>
        <v>0</v>
      </c>
      <c r="U562" s="861">
        <f>IF(OR(R562=0,A562=0),0,IF(AND(V562=TRUE,換券單檔!$D$13=D562),H562,0))</f>
        <v>0</v>
      </c>
      <c r="V562" s="136" t="e">
        <f ca="1">IF(OR(B562=換券單檔!$D$3,L562="無",M562&lt;&gt;"",K562="高資產",IFERROR(MATCH(B562,換券單檔!K:K,0),"N")&lt;&gt;"N"),FALSE,IF($V$1="All",TRUE,IF(K562=$V$1,TRUE,FALSE)))</f>
        <v>#N/A</v>
      </c>
      <c r="W562" s="136" t="e">
        <f ca="1">VLOOKUP(A562,'銀行-TSS'!A:AO,41,FALSE)</f>
        <v>#N/A</v>
      </c>
      <c r="X562" s="136" t="e">
        <f ca="1">VLOOKUP(A562,'銀行-TSS'!A:AP,42,FALSE)</f>
        <v>#N/A</v>
      </c>
      <c r="Y562" s="1220">
        <f t="shared" si="365"/>
        <v>0</v>
      </c>
      <c r="Z562" s="1220">
        <f t="shared" si="366"/>
        <v>0</v>
      </c>
      <c r="AA562" s="136">
        <f>IF(Z562&lt;=0,0,RANK(Z562,Z:Z)+COUNTIF($Z$3:$Z562,Z562)-1)</f>
        <v>0</v>
      </c>
      <c r="AB562" s="1211">
        <f t="shared" ca="1" si="367"/>
        <v>-14896.14</v>
      </c>
      <c r="AC562" s="136">
        <f ca="1">IF(AB562&lt;=0,0,RANK(AB562,AB:AB)+COUNTIF($AB$3:$AB562,AB562)-1)</f>
        <v>0</v>
      </c>
      <c r="AD562" s="1123">
        <f t="shared" si="368"/>
        <v>99999</v>
      </c>
      <c r="AE562" s="1123">
        <f>IF(AD562=99999,0,RANK(AD562,AD:AD,1)+COUNTIF($AD$3:$AD562,AD562)-1)</f>
        <v>0</v>
      </c>
      <c r="AF562" s="86" t="e">
        <f ca="1">IF(OR(M562&lt;&gt;"",L562="無",K562="高資產",IFERROR(MATCH(B562,換券單檔!K:K,0),"N")&lt;&gt;"N"),FALSE,TRUE)</f>
        <v>#N/A</v>
      </c>
      <c r="AI562" s="1212" t="e">
        <f t="shared" ca="1" si="369"/>
        <v>#N/A</v>
      </c>
      <c r="AJ562" s="1213" t="e">
        <f t="shared" ca="1" si="370"/>
        <v>#N/A</v>
      </c>
      <c r="AK562" s="1587">
        <f t="shared" si="371"/>
        <v>0</v>
      </c>
      <c r="AN562" s="1212" t="e">
        <f t="shared" ca="1" si="372"/>
        <v>#N/A</v>
      </c>
      <c r="AO562" s="1213" t="e">
        <f t="shared" ca="1" si="373"/>
        <v>#N/A</v>
      </c>
      <c r="AP562" s="1587">
        <f t="shared" si="374"/>
        <v>0</v>
      </c>
      <c r="AS562" s="1212" t="e">
        <f t="shared" ca="1" si="375"/>
        <v>#N/A</v>
      </c>
      <c r="AT562" s="1213" t="e">
        <f t="shared" ca="1" si="376"/>
        <v>#N/A</v>
      </c>
      <c r="AU562" s="1587">
        <f t="shared" si="377"/>
        <v>0</v>
      </c>
      <c r="AX562" s="1212" t="e">
        <f t="shared" ca="1" si="378"/>
        <v>#N/A</v>
      </c>
      <c r="AY562" s="1213" t="e">
        <f t="shared" ca="1" si="379"/>
        <v>#N/A</v>
      </c>
      <c r="AZ562" s="1587">
        <f t="shared" si="380"/>
        <v>0</v>
      </c>
      <c r="BC562" s="1212" t="e">
        <f t="shared" ca="1" si="381"/>
        <v>#N/A</v>
      </c>
      <c r="BD562" s="1213" t="e">
        <f t="shared" ca="1" si="382"/>
        <v>#N/A</v>
      </c>
      <c r="BE562" s="1587">
        <f t="shared" si="383"/>
        <v>0</v>
      </c>
      <c r="BH562" s="1212" t="e">
        <f t="shared" ca="1" si="384"/>
        <v>#N/A</v>
      </c>
      <c r="BI562" s="1213" t="e">
        <f t="shared" ca="1" si="385"/>
        <v>#N/A</v>
      </c>
      <c r="BJ562" s="1587">
        <f t="shared" si="386"/>
        <v>0</v>
      </c>
      <c r="BM562" s="1212" t="e">
        <f t="shared" ca="1" si="387"/>
        <v>#N/A</v>
      </c>
      <c r="BN562" s="1213" t="e">
        <f t="shared" ca="1" si="388"/>
        <v>#N/A</v>
      </c>
      <c r="BO562" s="1587">
        <f t="shared" si="389"/>
        <v>0</v>
      </c>
      <c r="BR562" s="1212" t="e">
        <f t="shared" ca="1" si="390"/>
        <v>#N/A</v>
      </c>
      <c r="BS562" s="1213" t="e">
        <f t="shared" ca="1" si="391"/>
        <v>#N/A</v>
      </c>
      <c r="BT562" s="1587">
        <f t="shared" si="392"/>
        <v>0</v>
      </c>
      <c r="BW562" s="1212" t="e">
        <f t="shared" ca="1" si="393"/>
        <v>#N/A</v>
      </c>
      <c r="BX562" s="1213" t="e">
        <f t="shared" ca="1" si="394"/>
        <v>#N/A</v>
      </c>
      <c r="BY562" s="1587">
        <f t="shared" si="395"/>
        <v>0</v>
      </c>
      <c r="CB562" s="1212" t="e">
        <f t="shared" ca="1" si="396"/>
        <v>#N/A</v>
      </c>
      <c r="CC562" s="1213" t="e">
        <f t="shared" ca="1" si="397"/>
        <v>#N/A</v>
      </c>
      <c r="CD562" s="1587">
        <f t="shared" si="398"/>
        <v>0</v>
      </c>
      <c r="CG562" s="1212" t="e">
        <f t="shared" ca="1" si="399"/>
        <v>#N/A</v>
      </c>
      <c r="CH562" s="1213" t="e">
        <f t="shared" ca="1" si="400"/>
        <v>#N/A</v>
      </c>
      <c r="CI562" s="1587">
        <f t="shared" si="401"/>
        <v>0</v>
      </c>
      <c r="CL562" s="1212" t="e">
        <f t="shared" ca="1" si="402"/>
        <v>#N/A</v>
      </c>
      <c r="CM562" s="1213" t="e">
        <f t="shared" ca="1" si="403"/>
        <v>#N/A</v>
      </c>
      <c r="CN562" s="1587">
        <f t="shared" si="404"/>
        <v>0</v>
      </c>
    </row>
    <row r="563" spans="1:92">
      <c r="A563" s="141">
        <f>'銀行-TSS'!A563</f>
        <v>0</v>
      </c>
      <c r="B563" s="151">
        <f ca="1">VLOOKUP(A563,'銀行-TSS'!A:B,2,FALSE)</f>
        <v>0</v>
      </c>
      <c r="C563" s="151" t="e">
        <f ca="1">VLOOKUP(B563,bond!B:C,2,FALSE)</f>
        <v>#N/A</v>
      </c>
      <c r="D563" s="95" t="e">
        <f>VLOOKUP(A563,'銀行-TSS'!A:C,3,FALSE)</f>
        <v>#N/A</v>
      </c>
      <c r="E563" s="90" t="e">
        <f ca="1">VLOOKUP(A563,'銀行-TSS'!A:G,7,FALSE)</f>
        <v>#N/A</v>
      </c>
      <c r="F563" s="202" t="e">
        <f ca="1">VLOOKUP(A563,'銀行-TSS'!A:H,8,FALSE)</f>
        <v>#N/A</v>
      </c>
      <c r="G563" s="96" t="e">
        <f ca="1">VLOOKUP(A563,'銀行-TSS'!A:K,11,FALSE)</f>
        <v>#N/A</v>
      </c>
      <c r="H563" s="1209" t="e">
        <f ca="1">VLOOKUP(A563,'銀行-TSS'!A:M,13,FALSE)</f>
        <v>#N/A</v>
      </c>
      <c r="I563" s="1213" t="e">
        <f ca="1">VLOOKUP(A563,'銀行-TSS'!A:N,14,FALSE)</f>
        <v>#N/A</v>
      </c>
      <c r="J563" s="1213" t="e">
        <f ca="1">VLOOKUP(A563,'銀行-TSS'!A:O,15,FALSE)</f>
        <v>#N/A</v>
      </c>
      <c r="K563" s="136" t="e">
        <f ca="1">VLOOKUP(A563,'銀行-TSS'!A:V,22,FALSE)</f>
        <v>#N/A</v>
      </c>
      <c r="L563" s="136" t="e">
        <f ca="1">VLOOKUP(A563,'銀行-TSS'!A:AK,37,FALSE)</f>
        <v>#N/A</v>
      </c>
      <c r="M563" s="136" t="str">
        <f ca="1">VLOOKUP(A563,'銀行-TSS'!A:AN,40,FALSE)</f>
        <v/>
      </c>
      <c r="N563" s="136" t="e">
        <f t="shared" ca="1" si="360"/>
        <v>#N/A</v>
      </c>
      <c r="O563" s="1213" t="e">
        <f t="shared" ca="1" si="361"/>
        <v>#N/A</v>
      </c>
      <c r="P563" s="1213" t="e">
        <f ca="1">IF(AND($O$1&gt;=O563,換券單檔!$D$13=D563),I563+INT(($O$1-O563)/N563)*J563,0)</f>
        <v>#N/A</v>
      </c>
      <c r="Q563" s="1213" t="e">
        <f t="shared" ca="1" si="362"/>
        <v>#N/A</v>
      </c>
      <c r="R563" s="1213">
        <f t="shared" si="363"/>
        <v>0</v>
      </c>
      <c r="S563" s="1213">
        <f t="shared" si="364"/>
        <v>0</v>
      </c>
      <c r="T563" s="136">
        <f>IF(OR(R563=0,A563=0),0,IF(AND(V563=TRUE,換券單檔!$D$13=D563),E563,0))</f>
        <v>0</v>
      </c>
      <c r="U563" s="861">
        <f>IF(OR(R563=0,A563=0),0,IF(AND(V563=TRUE,換券單檔!$D$13=D563),H563,0))</f>
        <v>0</v>
      </c>
      <c r="V563" s="136" t="e">
        <f ca="1">IF(OR(B563=換券單檔!$D$3,L563="無",M563&lt;&gt;"",K563="高資產",IFERROR(MATCH(B563,換券單檔!K:K,0),"N")&lt;&gt;"N"),FALSE,IF($V$1="All",TRUE,IF(K563=$V$1,TRUE,FALSE)))</f>
        <v>#N/A</v>
      </c>
      <c r="W563" s="136" t="e">
        <f ca="1">VLOOKUP(A563,'銀行-TSS'!A:AO,41,FALSE)</f>
        <v>#N/A</v>
      </c>
      <c r="X563" s="136" t="e">
        <f ca="1">VLOOKUP(A563,'銀行-TSS'!A:AP,42,FALSE)</f>
        <v>#N/A</v>
      </c>
      <c r="Y563" s="1220">
        <f t="shared" si="365"/>
        <v>0</v>
      </c>
      <c r="Z563" s="1220">
        <f t="shared" si="366"/>
        <v>0</v>
      </c>
      <c r="AA563" s="136">
        <f>IF(Z563&lt;=0,0,RANK(Z563,Z:Z)+COUNTIF($Z$3:$Z563,Z563)-1)</f>
        <v>0</v>
      </c>
      <c r="AB563" s="1211">
        <f t="shared" ca="1" si="367"/>
        <v>-14896.14</v>
      </c>
      <c r="AC563" s="136">
        <f ca="1">IF(AB563&lt;=0,0,RANK(AB563,AB:AB)+COUNTIF($AB$3:$AB563,AB563)-1)</f>
        <v>0</v>
      </c>
      <c r="AD563" s="1123">
        <f t="shared" si="368"/>
        <v>99999</v>
      </c>
      <c r="AE563" s="1123">
        <f>IF(AD563=99999,0,RANK(AD563,AD:AD,1)+COUNTIF($AD$3:$AD563,AD563)-1)</f>
        <v>0</v>
      </c>
      <c r="AF563" s="86" t="e">
        <f ca="1">IF(OR(M563&lt;&gt;"",L563="無",K563="高資產",IFERROR(MATCH(B563,換券單檔!K:K,0),"N")&lt;&gt;"N"),FALSE,TRUE)</f>
        <v>#N/A</v>
      </c>
      <c r="AI563" s="1212" t="e">
        <f t="shared" ca="1" si="369"/>
        <v>#N/A</v>
      </c>
      <c r="AJ563" s="1213" t="e">
        <f t="shared" ca="1" si="370"/>
        <v>#N/A</v>
      </c>
      <c r="AK563" s="1587">
        <f t="shared" si="371"/>
        <v>0</v>
      </c>
      <c r="AN563" s="1212" t="e">
        <f t="shared" ca="1" si="372"/>
        <v>#N/A</v>
      </c>
      <c r="AO563" s="1213" t="e">
        <f t="shared" ca="1" si="373"/>
        <v>#N/A</v>
      </c>
      <c r="AP563" s="1587">
        <f t="shared" si="374"/>
        <v>0</v>
      </c>
      <c r="AS563" s="1212" t="e">
        <f t="shared" ca="1" si="375"/>
        <v>#N/A</v>
      </c>
      <c r="AT563" s="1213" t="e">
        <f t="shared" ca="1" si="376"/>
        <v>#N/A</v>
      </c>
      <c r="AU563" s="1587">
        <f t="shared" si="377"/>
        <v>0</v>
      </c>
      <c r="AX563" s="1212" t="e">
        <f t="shared" ca="1" si="378"/>
        <v>#N/A</v>
      </c>
      <c r="AY563" s="1213" t="e">
        <f t="shared" ca="1" si="379"/>
        <v>#N/A</v>
      </c>
      <c r="AZ563" s="1587">
        <f t="shared" si="380"/>
        <v>0</v>
      </c>
      <c r="BC563" s="1212" t="e">
        <f t="shared" ca="1" si="381"/>
        <v>#N/A</v>
      </c>
      <c r="BD563" s="1213" t="e">
        <f t="shared" ca="1" si="382"/>
        <v>#N/A</v>
      </c>
      <c r="BE563" s="1587">
        <f t="shared" si="383"/>
        <v>0</v>
      </c>
      <c r="BH563" s="1212" t="e">
        <f t="shared" ca="1" si="384"/>
        <v>#N/A</v>
      </c>
      <c r="BI563" s="1213" t="e">
        <f t="shared" ca="1" si="385"/>
        <v>#N/A</v>
      </c>
      <c r="BJ563" s="1587">
        <f t="shared" si="386"/>
        <v>0</v>
      </c>
      <c r="BM563" s="1212" t="e">
        <f t="shared" ca="1" si="387"/>
        <v>#N/A</v>
      </c>
      <c r="BN563" s="1213" t="e">
        <f t="shared" ca="1" si="388"/>
        <v>#N/A</v>
      </c>
      <c r="BO563" s="1587">
        <f t="shared" si="389"/>
        <v>0</v>
      </c>
      <c r="BR563" s="1212" t="e">
        <f t="shared" ca="1" si="390"/>
        <v>#N/A</v>
      </c>
      <c r="BS563" s="1213" t="e">
        <f t="shared" ca="1" si="391"/>
        <v>#N/A</v>
      </c>
      <c r="BT563" s="1587">
        <f t="shared" si="392"/>
        <v>0</v>
      </c>
      <c r="BW563" s="1212" t="e">
        <f t="shared" ca="1" si="393"/>
        <v>#N/A</v>
      </c>
      <c r="BX563" s="1213" t="e">
        <f t="shared" ca="1" si="394"/>
        <v>#N/A</v>
      </c>
      <c r="BY563" s="1587">
        <f t="shared" si="395"/>
        <v>0</v>
      </c>
      <c r="CB563" s="1212" t="e">
        <f t="shared" ca="1" si="396"/>
        <v>#N/A</v>
      </c>
      <c r="CC563" s="1213" t="e">
        <f t="shared" ca="1" si="397"/>
        <v>#N/A</v>
      </c>
      <c r="CD563" s="1587">
        <f t="shared" si="398"/>
        <v>0</v>
      </c>
      <c r="CG563" s="1212" t="e">
        <f t="shared" ca="1" si="399"/>
        <v>#N/A</v>
      </c>
      <c r="CH563" s="1213" t="e">
        <f t="shared" ca="1" si="400"/>
        <v>#N/A</v>
      </c>
      <c r="CI563" s="1587">
        <f t="shared" si="401"/>
        <v>0</v>
      </c>
      <c r="CL563" s="1212" t="e">
        <f t="shared" ca="1" si="402"/>
        <v>#N/A</v>
      </c>
      <c r="CM563" s="1213" t="e">
        <f t="shared" ca="1" si="403"/>
        <v>#N/A</v>
      </c>
      <c r="CN563" s="1587">
        <f t="shared" si="404"/>
        <v>0</v>
      </c>
    </row>
    <row r="564" spans="1:92">
      <c r="A564" s="141">
        <f>'銀行-TSS'!A564</f>
        <v>0</v>
      </c>
      <c r="B564" s="151">
        <f ca="1">VLOOKUP(A564,'銀行-TSS'!A:B,2,FALSE)</f>
        <v>0</v>
      </c>
      <c r="C564" s="151" t="e">
        <f ca="1">VLOOKUP(B564,bond!B:C,2,FALSE)</f>
        <v>#N/A</v>
      </c>
      <c r="D564" s="95" t="e">
        <f>VLOOKUP(A564,'銀行-TSS'!A:C,3,FALSE)</f>
        <v>#N/A</v>
      </c>
      <c r="E564" s="90" t="e">
        <f ca="1">VLOOKUP(A564,'銀行-TSS'!A:G,7,FALSE)</f>
        <v>#N/A</v>
      </c>
      <c r="F564" s="202" t="e">
        <f ca="1">VLOOKUP(A564,'銀行-TSS'!A:H,8,FALSE)</f>
        <v>#N/A</v>
      </c>
      <c r="G564" s="96" t="e">
        <f ca="1">VLOOKUP(A564,'銀行-TSS'!A:K,11,FALSE)</f>
        <v>#N/A</v>
      </c>
      <c r="H564" s="1209" t="e">
        <f ca="1">VLOOKUP(A564,'銀行-TSS'!A:M,13,FALSE)</f>
        <v>#N/A</v>
      </c>
      <c r="I564" s="1213" t="e">
        <f ca="1">VLOOKUP(A564,'銀行-TSS'!A:N,14,FALSE)</f>
        <v>#N/A</v>
      </c>
      <c r="J564" s="1213" t="e">
        <f ca="1">VLOOKUP(A564,'銀行-TSS'!A:O,15,FALSE)</f>
        <v>#N/A</v>
      </c>
      <c r="K564" s="136" t="e">
        <f ca="1">VLOOKUP(A564,'銀行-TSS'!A:V,22,FALSE)</f>
        <v>#N/A</v>
      </c>
      <c r="L564" s="136" t="e">
        <f ca="1">VLOOKUP(A564,'銀行-TSS'!A:AK,37,FALSE)</f>
        <v>#N/A</v>
      </c>
      <c r="M564" s="136" t="str">
        <f ca="1">VLOOKUP(A564,'銀行-TSS'!A:AN,40,FALSE)</f>
        <v/>
      </c>
      <c r="N564" s="136" t="e">
        <f t="shared" ca="1" si="360"/>
        <v>#N/A</v>
      </c>
      <c r="O564" s="1213" t="e">
        <f t="shared" ca="1" si="361"/>
        <v>#N/A</v>
      </c>
      <c r="P564" s="1213" t="e">
        <f ca="1">IF(AND($O$1&gt;=O564,換券單檔!$D$13=D564),I564+INT(($O$1-O564)/N564)*J564,0)</f>
        <v>#N/A</v>
      </c>
      <c r="Q564" s="1213" t="e">
        <f t="shared" ca="1" si="362"/>
        <v>#N/A</v>
      </c>
      <c r="R564" s="1213">
        <f t="shared" si="363"/>
        <v>0</v>
      </c>
      <c r="S564" s="1213">
        <f t="shared" si="364"/>
        <v>0</v>
      </c>
      <c r="T564" s="136">
        <f>IF(OR(R564=0,A564=0),0,IF(AND(V564=TRUE,換券單檔!$D$13=D564),E564,0))</f>
        <v>0</v>
      </c>
      <c r="U564" s="861">
        <f>IF(OR(R564=0,A564=0),0,IF(AND(V564=TRUE,換券單檔!$D$13=D564),H564,0))</f>
        <v>0</v>
      </c>
      <c r="V564" s="136" t="e">
        <f ca="1">IF(OR(B564=換券單檔!$D$3,L564="無",M564&lt;&gt;"",K564="高資產",IFERROR(MATCH(B564,換券單檔!K:K,0),"N")&lt;&gt;"N"),FALSE,IF($V$1="All",TRUE,IF(K564=$V$1,TRUE,FALSE)))</f>
        <v>#N/A</v>
      </c>
      <c r="W564" s="136" t="e">
        <f ca="1">VLOOKUP(A564,'銀行-TSS'!A:AO,41,FALSE)</f>
        <v>#N/A</v>
      </c>
      <c r="X564" s="136" t="e">
        <f ca="1">VLOOKUP(A564,'銀行-TSS'!A:AP,42,FALSE)</f>
        <v>#N/A</v>
      </c>
      <c r="Y564" s="1220">
        <f t="shared" si="365"/>
        <v>0</v>
      </c>
      <c r="Z564" s="1220">
        <f t="shared" si="366"/>
        <v>0</v>
      </c>
      <c r="AA564" s="136">
        <f>IF(Z564&lt;=0,0,RANK(Z564,Z:Z)+COUNTIF($Z$3:$Z564,Z564)-1)</f>
        <v>0</v>
      </c>
      <c r="AB564" s="1211">
        <f t="shared" ca="1" si="367"/>
        <v>-14896.14</v>
      </c>
      <c r="AC564" s="136">
        <f ca="1">IF(AB564&lt;=0,0,RANK(AB564,AB:AB)+COUNTIF($AB$3:$AB564,AB564)-1)</f>
        <v>0</v>
      </c>
      <c r="AD564" s="1123">
        <f t="shared" si="368"/>
        <v>99999</v>
      </c>
      <c r="AE564" s="1123">
        <f>IF(AD564=99999,0,RANK(AD564,AD:AD,1)+COUNTIF($AD$3:$AD564,AD564)-1)</f>
        <v>0</v>
      </c>
      <c r="AF564" s="86" t="e">
        <f ca="1">IF(OR(M564&lt;&gt;"",L564="無",K564="高資產",IFERROR(MATCH(B564,換券單檔!K:K,0),"N")&lt;&gt;"N"),FALSE,TRUE)</f>
        <v>#N/A</v>
      </c>
      <c r="AI564" s="1212" t="e">
        <f t="shared" ca="1" si="369"/>
        <v>#N/A</v>
      </c>
      <c r="AJ564" s="1213" t="e">
        <f t="shared" ca="1" si="370"/>
        <v>#N/A</v>
      </c>
      <c r="AK564" s="1587">
        <f t="shared" si="371"/>
        <v>0</v>
      </c>
      <c r="AN564" s="1212" t="e">
        <f t="shared" ca="1" si="372"/>
        <v>#N/A</v>
      </c>
      <c r="AO564" s="1213" t="e">
        <f t="shared" ca="1" si="373"/>
        <v>#N/A</v>
      </c>
      <c r="AP564" s="1587">
        <f t="shared" si="374"/>
        <v>0</v>
      </c>
      <c r="AS564" s="1212" t="e">
        <f t="shared" ca="1" si="375"/>
        <v>#N/A</v>
      </c>
      <c r="AT564" s="1213" t="e">
        <f t="shared" ca="1" si="376"/>
        <v>#N/A</v>
      </c>
      <c r="AU564" s="1587">
        <f t="shared" si="377"/>
        <v>0</v>
      </c>
      <c r="AX564" s="1212" t="e">
        <f t="shared" ca="1" si="378"/>
        <v>#N/A</v>
      </c>
      <c r="AY564" s="1213" t="e">
        <f t="shared" ca="1" si="379"/>
        <v>#N/A</v>
      </c>
      <c r="AZ564" s="1587">
        <f t="shared" si="380"/>
        <v>0</v>
      </c>
      <c r="BC564" s="1212" t="e">
        <f t="shared" ca="1" si="381"/>
        <v>#N/A</v>
      </c>
      <c r="BD564" s="1213" t="e">
        <f t="shared" ca="1" si="382"/>
        <v>#N/A</v>
      </c>
      <c r="BE564" s="1587">
        <f t="shared" si="383"/>
        <v>0</v>
      </c>
      <c r="BH564" s="1212" t="e">
        <f t="shared" ca="1" si="384"/>
        <v>#N/A</v>
      </c>
      <c r="BI564" s="1213" t="e">
        <f t="shared" ca="1" si="385"/>
        <v>#N/A</v>
      </c>
      <c r="BJ564" s="1587">
        <f t="shared" si="386"/>
        <v>0</v>
      </c>
      <c r="BM564" s="1212" t="e">
        <f t="shared" ca="1" si="387"/>
        <v>#N/A</v>
      </c>
      <c r="BN564" s="1213" t="e">
        <f t="shared" ca="1" si="388"/>
        <v>#N/A</v>
      </c>
      <c r="BO564" s="1587">
        <f t="shared" si="389"/>
        <v>0</v>
      </c>
      <c r="BR564" s="1212" t="e">
        <f t="shared" ca="1" si="390"/>
        <v>#N/A</v>
      </c>
      <c r="BS564" s="1213" t="e">
        <f t="shared" ca="1" si="391"/>
        <v>#N/A</v>
      </c>
      <c r="BT564" s="1587">
        <f t="shared" si="392"/>
        <v>0</v>
      </c>
      <c r="BW564" s="1212" t="e">
        <f t="shared" ca="1" si="393"/>
        <v>#N/A</v>
      </c>
      <c r="BX564" s="1213" t="e">
        <f t="shared" ca="1" si="394"/>
        <v>#N/A</v>
      </c>
      <c r="BY564" s="1587">
        <f t="shared" si="395"/>
        <v>0</v>
      </c>
      <c r="CB564" s="1212" t="e">
        <f t="shared" ca="1" si="396"/>
        <v>#N/A</v>
      </c>
      <c r="CC564" s="1213" t="e">
        <f t="shared" ca="1" si="397"/>
        <v>#N/A</v>
      </c>
      <c r="CD564" s="1587">
        <f t="shared" si="398"/>
        <v>0</v>
      </c>
      <c r="CG564" s="1212" t="e">
        <f t="shared" ca="1" si="399"/>
        <v>#N/A</v>
      </c>
      <c r="CH564" s="1213" t="e">
        <f t="shared" ca="1" si="400"/>
        <v>#N/A</v>
      </c>
      <c r="CI564" s="1587">
        <f t="shared" si="401"/>
        <v>0</v>
      </c>
      <c r="CL564" s="1212" t="e">
        <f t="shared" ca="1" si="402"/>
        <v>#N/A</v>
      </c>
      <c r="CM564" s="1213" t="e">
        <f t="shared" ca="1" si="403"/>
        <v>#N/A</v>
      </c>
      <c r="CN564" s="1587">
        <f t="shared" si="404"/>
        <v>0</v>
      </c>
    </row>
    <row r="565" spans="1:92">
      <c r="A565" s="141">
        <f>'銀行-TSS'!A565</f>
        <v>0</v>
      </c>
      <c r="B565" s="151">
        <f ca="1">VLOOKUP(A565,'銀行-TSS'!A:B,2,FALSE)</f>
        <v>0</v>
      </c>
      <c r="C565" s="151" t="e">
        <f ca="1">VLOOKUP(B565,bond!B:C,2,FALSE)</f>
        <v>#N/A</v>
      </c>
      <c r="D565" s="95" t="e">
        <f>VLOOKUP(A565,'銀行-TSS'!A:C,3,FALSE)</f>
        <v>#N/A</v>
      </c>
      <c r="E565" s="90" t="e">
        <f ca="1">VLOOKUP(A565,'銀行-TSS'!A:G,7,FALSE)</f>
        <v>#N/A</v>
      </c>
      <c r="F565" s="202" t="e">
        <f ca="1">VLOOKUP(A565,'銀行-TSS'!A:H,8,FALSE)</f>
        <v>#N/A</v>
      </c>
      <c r="G565" s="96" t="e">
        <f ca="1">VLOOKUP(A565,'銀行-TSS'!A:K,11,FALSE)</f>
        <v>#N/A</v>
      </c>
      <c r="H565" s="1209" t="e">
        <f ca="1">VLOOKUP(A565,'銀行-TSS'!A:M,13,FALSE)</f>
        <v>#N/A</v>
      </c>
      <c r="I565" s="1213" t="e">
        <f ca="1">VLOOKUP(A565,'銀行-TSS'!A:N,14,FALSE)</f>
        <v>#N/A</v>
      </c>
      <c r="J565" s="1213" t="e">
        <f ca="1">VLOOKUP(A565,'銀行-TSS'!A:O,15,FALSE)</f>
        <v>#N/A</v>
      </c>
      <c r="K565" s="136" t="e">
        <f ca="1">VLOOKUP(A565,'銀行-TSS'!A:V,22,FALSE)</f>
        <v>#N/A</v>
      </c>
      <c r="L565" s="136" t="e">
        <f ca="1">VLOOKUP(A565,'銀行-TSS'!A:AK,37,FALSE)</f>
        <v>#N/A</v>
      </c>
      <c r="M565" s="136" t="str">
        <f ca="1">VLOOKUP(A565,'銀行-TSS'!A:AN,40,FALSE)</f>
        <v/>
      </c>
      <c r="N565" s="136" t="e">
        <f t="shared" ca="1" si="360"/>
        <v>#N/A</v>
      </c>
      <c r="O565" s="1213" t="e">
        <f t="shared" ca="1" si="361"/>
        <v>#N/A</v>
      </c>
      <c r="P565" s="1213" t="e">
        <f ca="1">IF(AND($O$1&gt;=O565,換券單檔!$D$13=D565),I565+INT(($O$1-O565)/N565)*J565,0)</f>
        <v>#N/A</v>
      </c>
      <c r="Q565" s="1213" t="e">
        <f t="shared" ca="1" si="362"/>
        <v>#N/A</v>
      </c>
      <c r="R565" s="1213">
        <f t="shared" si="363"/>
        <v>0</v>
      </c>
      <c r="S565" s="1213">
        <f t="shared" si="364"/>
        <v>0</v>
      </c>
      <c r="T565" s="136">
        <f>IF(OR(R565=0,A565=0),0,IF(AND(V565=TRUE,換券單檔!$D$13=D565),E565,0))</f>
        <v>0</v>
      </c>
      <c r="U565" s="861">
        <f>IF(OR(R565=0,A565=0),0,IF(AND(V565=TRUE,換券單檔!$D$13=D565),H565,0))</f>
        <v>0</v>
      </c>
      <c r="V565" s="136" t="e">
        <f ca="1">IF(OR(B565=換券單檔!$D$3,L565="無",M565&lt;&gt;"",K565="高資產",IFERROR(MATCH(B565,換券單檔!K:K,0),"N")&lt;&gt;"N"),FALSE,IF($V$1="All",TRUE,IF(K565=$V$1,TRUE,FALSE)))</f>
        <v>#N/A</v>
      </c>
      <c r="W565" s="136" t="e">
        <f ca="1">VLOOKUP(A565,'銀行-TSS'!A:AO,41,FALSE)</f>
        <v>#N/A</v>
      </c>
      <c r="X565" s="136" t="e">
        <f ca="1">VLOOKUP(A565,'銀行-TSS'!A:AP,42,FALSE)</f>
        <v>#N/A</v>
      </c>
      <c r="Y565" s="1220">
        <f t="shared" si="365"/>
        <v>0</v>
      </c>
      <c r="Z565" s="1220">
        <f t="shared" si="366"/>
        <v>0</v>
      </c>
      <c r="AA565" s="136">
        <f>IF(Z565&lt;=0,0,RANK(Z565,Z:Z)+COUNTIF($Z$3:$Z565,Z565)-1)</f>
        <v>0</v>
      </c>
      <c r="AB565" s="1211">
        <f t="shared" ca="1" si="367"/>
        <v>-14896.14</v>
      </c>
      <c r="AC565" s="136">
        <f ca="1">IF(AB565&lt;=0,0,RANK(AB565,AB:AB)+COUNTIF($AB$3:$AB565,AB565)-1)</f>
        <v>0</v>
      </c>
      <c r="AD565" s="1123">
        <f t="shared" si="368"/>
        <v>99999</v>
      </c>
      <c r="AE565" s="1123">
        <f>IF(AD565=99999,0,RANK(AD565,AD:AD,1)+COUNTIF($AD$3:$AD565,AD565)-1)</f>
        <v>0</v>
      </c>
      <c r="AF565" s="86" t="e">
        <f ca="1">IF(OR(M565&lt;&gt;"",L565="無",K565="高資產",IFERROR(MATCH(B565,換券單檔!K:K,0),"N")&lt;&gt;"N"),FALSE,TRUE)</f>
        <v>#N/A</v>
      </c>
      <c r="AI565" s="1212" t="e">
        <f t="shared" ca="1" si="369"/>
        <v>#N/A</v>
      </c>
      <c r="AJ565" s="1213" t="e">
        <f t="shared" ca="1" si="370"/>
        <v>#N/A</v>
      </c>
      <c r="AK565" s="1587">
        <f t="shared" si="371"/>
        <v>0</v>
      </c>
      <c r="AN565" s="1212" t="e">
        <f t="shared" ca="1" si="372"/>
        <v>#N/A</v>
      </c>
      <c r="AO565" s="1213" t="e">
        <f t="shared" ca="1" si="373"/>
        <v>#N/A</v>
      </c>
      <c r="AP565" s="1587">
        <f t="shared" si="374"/>
        <v>0</v>
      </c>
      <c r="AS565" s="1212" t="e">
        <f t="shared" ca="1" si="375"/>
        <v>#N/A</v>
      </c>
      <c r="AT565" s="1213" t="e">
        <f t="shared" ca="1" si="376"/>
        <v>#N/A</v>
      </c>
      <c r="AU565" s="1587">
        <f t="shared" si="377"/>
        <v>0</v>
      </c>
      <c r="AX565" s="1212" t="e">
        <f t="shared" ca="1" si="378"/>
        <v>#N/A</v>
      </c>
      <c r="AY565" s="1213" t="e">
        <f t="shared" ca="1" si="379"/>
        <v>#N/A</v>
      </c>
      <c r="AZ565" s="1587">
        <f t="shared" si="380"/>
        <v>0</v>
      </c>
      <c r="BC565" s="1212" t="e">
        <f t="shared" ca="1" si="381"/>
        <v>#N/A</v>
      </c>
      <c r="BD565" s="1213" t="e">
        <f t="shared" ca="1" si="382"/>
        <v>#N/A</v>
      </c>
      <c r="BE565" s="1587">
        <f t="shared" si="383"/>
        <v>0</v>
      </c>
      <c r="BH565" s="1212" t="e">
        <f t="shared" ca="1" si="384"/>
        <v>#N/A</v>
      </c>
      <c r="BI565" s="1213" t="e">
        <f t="shared" ca="1" si="385"/>
        <v>#N/A</v>
      </c>
      <c r="BJ565" s="1587">
        <f t="shared" si="386"/>
        <v>0</v>
      </c>
      <c r="BM565" s="1212" t="e">
        <f t="shared" ca="1" si="387"/>
        <v>#N/A</v>
      </c>
      <c r="BN565" s="1213" t="e">
        <f t="shared" ca="1" si="388"/>
        <v>#N/A</v>
      </c>
      <c r="BO565" s="1587">
        <f t="shared" si="389"/>
        <v>0</v>
      </c>
      <c r="BR565" s="1212" t="e">
        <f t="shared" ca="1" si="390"/>
        <v>#N/A</v>
      </c>
      <c r="BS565" s="1213" t="e">
        <f t="shared" ca="1" si="391"/>
        <v>#N/A</v>
      </c>
      <c r="BT565" s="1587">
        <f t="shared" si="392"/>
        <v>0</v>
      </c>
      <c r="BW565" s="1212" t="e">
        <f t="shared" ca="1" si="393"/>
        <v>#N/A</v>
      </c>
      <c r="BX565" s="1213" t="e">
        <f t="shared" ca="1" si="394"/>
        <v>#N/A</v>
      </c>
      <c r="BY565" s="1587">
        <f t="shared" si="395"/>
        <v>0</v>
      </c>
      <c r="CB565" s="1212" t="e">
        <f t="shared" ca="1" si="396"/>
        <v>#N/A</v>
      </c>
      <c r="CC565" s="1213" t="e">
        <f t="shared" ca="1" si="397"/>
        <v>#N/A</v>
      </c>
      <c r="CD565" s="1587">
        <f t="shared" si="398"/>
        <v>0</v>
      </c>
      <c r="CG565" s="1212" t="e">
        <f t="shared" ca="1" si="399"/>
        <v>#N/A</v>
      </c>
      <c r="CH565" s="1213" t="e">
        <f t="shared" ca="1" si="400"/>
        <v>#N/A</v>
      </c>
      <c r="CI565" s="1587">
        <f t="shared" si="401"/>
        <v>0</v>
      </c>
      <c r="CL565" s="1212" t="e">
        <f t="shared" ca="1" si="402"/>
        <v>#N/A</v>
      </c>
      <c r="CM565" s="1213" t="e">
        <f t="shared" ca="1" si="403"/>
        <v>#N/A</v>
      </c>
      <c r="CN565" s="1587">
        <f t="shared" si="404"/>
        <v>0</v>
      </c>
    </row>
    <row r="566" spans="1:92">
      <c r="A566" s="141">
        <f>'銀行-TSS'!A566</f>
        <v>0</v>
      </c>
      <c r="B566" s="151">
        <f ca="1">VLOOKUP(A566,'銀行-TSS'!A:B,2,FALSE)</f>
        <v>0</v>
      </c>
      <c r="C566" s="151" t="e">
        <f ca="1">VLOOKUP(B566,bond!B:C,2,FALSE)</f>
        <v>#N/A</v>
      </c>
      <c r="D566" s="95" t="e">
        <f>VLOOKUP(A566,'銀行-TSS'!A:C,3,FALSE)</f>
        <v>#N/A</v>
      </c>
      <c r="E566" s="90" t="e">
        <f ca="1">VLOOKUP(A566,'銀行-TSS'!A:G,7,FALSE)</f>
        <v>#N/A</v>
      </c>
      <c r="F566" s="202" t="e">
        <f ca="1">VLOOKUP(A566,'銀行-TSS'!A:H,8,FALSE)</f>
        <v>#N/A</v>
      </c>
      <c r="G566" s="96" t="e">
        <f ca="1">VLOOKUP(A566,'銀行-TSS'!A:K,11,FALSE)</f>
        <v>#N/A</v>
      </c>
      <c r="H566" s="1209" t="e">
        <f ca="1">VLOOKUP(A566,'銀行-TSS'!A:M,13,FALSE)</f>
        <v>#N/A</v>
      </c>
      <c r="I566" s="1213" t="e">
        <f ca="1">VLOOKUP(A566,'銀行-TSS'!A:N,14,FALSE)</f>
        <v>#N/A</v>
      </c>
      <c r="J566" s="1213" t="e">
        <f ca="1">VLOOKUP(A566,'銀行-TSS'!A:O,15,FALSE)</f>
        <v>#N/A</v>
      </c>
      <c r="K566" s="136" t="e">
        <f ca="1">VLOOKUP(A566,'銀行-TSS'!A:V,22,FALSE)</f>
        <v>#N/A</v>
      </c>
      <c r="L566" s="136" t="e">
        <f ca="1">VLOOKUP(A566,'銀行-TSS'!A:AK,37,FALSE)</f>
        <v>#N/A</v>
      </c>
      <c r="M566" s="136" t="str">
        <f ca="1">VLOOKUP(A566,'銀行-TSS'!A:AN,40,FALSE)</f>
        <v/>
      </c>
      <c r="N566" s="136" t="e">
        <f t="shared" ca="1" si="360"/>
        <v>#N/A</v>
      </c>
      <c r="O566" s="1213" t="e">
        <f t="shared" ca="1" si="361"/>
        <v>#N/A</v>
      </c>
      <c r="P566" s="1213" t="e">
        <f ca="1">IF(AND($O$1&gt;=O566,換券單檔!$D$13=D566),I566+INT(($O$1-O566)/N566)*J566,0)</f>
        <v>#N/A</v>
      </c>
      <c r="Q566" s="1213" t="e">
        <f t="shared" ca="1" si="362"/>
        <v>#N/A</v>
      </c>
      <c r="R566" s="1213">
        <f t="shared" si="363"/>
        <v>0</v>
      </c>
      <c r="S566" s="1213">
        <f t="shared" si="364"/>
        <v>0</v>
      </c>
      <c r="T566" s="136">
        <f>IF(OR(R566=0,A566=0),0,IF(AND(V566=TRUE,換券單檔!$D$13=D566),E566,0))</f>
        <v>0</v>
      </c>
      <c r="U566" s="861">
        <f>IF(OR(R566=0,A566=0),0,IF(AND(V566=TRUE,換券單檔!$D$13=D566),H566,0))</f>
        <v>0</v>
      </c>
      <c r="V566" s="136" t="e">
        <f ca="1">IF(OR(B566=換券單檔!$D$3,L566="無",M566&lt;&gt;"",K566="高資產",IFERROR(MATCH(B566,換券單檔!K:K,0),"N")&lt;&gt;"N"),FALSE,IF($V$1="All",TRUE,IF(K566=$V$1,TRUE,FALSE)))</f>
        <v>#N/A</v>
      </c>
      <c r="W566" s="136" t="e">
        <f ca="1">VLOOKUP(A566,'銀行-TSS'!A:AO,41,FALSE)</f>
        <v>#N/A</v>
      </c>
      <c r="X566" s="136" t="e">
        <f ca="1">VLOOKUP(A566,'銀行-TSS'!A:AP,42,FALSE)</f>
        <v>#N/A</v>
      </c>
      <c r="Y566" s="1220">
        <f t="shared" si="365"/>
        <v>0</v>
      </c>
      <c r="Z566" s="1220">
        <f t="shared" si="366"/>
        <v>0</v>
      </c>
      <c r="AA566" s="136">
        <f>IF(Z566&lt;=0,0,RANK(Z566,Z:Z)+COUNTIF($Z$3:$Z566,Z566)-1)</f>
        <v>0</v>
      </c>
      <c r="AB566" s="1211">
        <f t="shared" ca="1" si="367"/>
        <v>-14896.14</v>
      </c>
      <c r="AC566" s="136">
        <f ca="1">IF(AB566&lt;=0,0,RANK(AB566,AB:AB)+COUNTIF($AB$3:$AB566,AB566)-1)</f>
        <v>0</v>
      </c>
      <c r="AD566" s="1123">
        <f t="shared" si="368"/>
        <v>99999</v>
      </c>
      <c r="AE566" s="1123">
        <f>IF(AD566=99999,0,RANK(AD566,AD:AD,1)+COUNTIF($AD$3:$AD566,AD566)-1)</f>
        <v>0</v>
      </c>
      <c r="AF566" s="86" t="e">
        <f ca="1">IF(OR(M566&lt;&gt;"",L566="無",K566="高資產",IFERROR(MATCH(B566,換券單檔!K:K,0),"N")&lt;&gt;"N"),FALSE,TRUE)</f>
        <v>#N/A</v>
      </c>
      <c r="AI566" s="1212" t="e">
        <f t="shared" ca="1" si="369"/>
        <v>#N/A</v>
      </c>
      <c r="AJ566" s="1213" t="e">
        <f t="shared" ca="1" si="370"/>
        <v>#N/A</v>
      </c>
      <c r="AK566" s="1587">
        <f t="shared" si="371"/>
        <v>0</v>
      </c>
      <c r="AN566" s="1212" t="e">
        <f t="shared" ca="1" si="372"/>
        <v>#N/A</v>
      </c>
      <c r="AO566" s="1213" t="e">
        <f t="shared" ca="1" si="373"/>
        <v>#N/A</v>
      </c>
      <c r="AP566" s="1587">
        <f t="shared" si="374"/>
        <v>0</v>
      </c>
      <c r="AS566" s="1212" t="e">
        <f t="shared" ca="1" si="375"/>
        <v>#N/A</v>
      </c>
      <c r="AT566" s="1213" t="e">
        <f t="shared" ca="1" si="376"/>
        <v>#N/A</v>
      </c>
      <c r="AU566" s="1587">
        <f t="shared" si="377"/>
        <v>0</v>
      </c>
      <c r="AX566" s="1212" t="e">
        <f t="shared" ca="1" si="378"/>
        <v>#N/A</v>
      </c>
      <c r="AY566" s="1213" t="e">
        <f t="shared" ca="1" si="379"/>
        <v>#N/A</v>
      </c>
      <c r="AZ566" s="1587">
        <f t="shared" si="380"/>
        <v>0</v>
      </c>
      <c r="BC566" s="1212" t="e">
        <f t="shared" ca="1" si="381"/>
        <v>#N/A</v>
      </c>
      <c r="BD566" s="1213" t="e">
        <f t="shared" ca="1" si="382"/>
        <v>#N/A</v>
      </c>
      <c r="BE566" s="1587">
        <f t="shared" si="383"/>
        <v>0</v>
      </c>
      <c r="BH566" s="1212" t="e">
        <f t="shared" ca="1" si="384"/>
        <v>#N/A</v>
      </c>
      <c r="BI566" s="1213" t="e">
        <f t="shared" ca="1" si="385"/>
        <v>#N/A</v>
      </c>
      <c r="BJ566" s="1587">
        <f t="shared" si="386"/>
        <v>0</v>
      </c>
      <c r="BM566" s="1212" t="e">
        <f t="shared" ca="1" si="387"/>
        <v>#N/A</v>
      </c>
      <c r="BN566" s="1213" t="e">
        <f t="shared" ca="1" si="388"/>
        <v>#N/A</v>
      </c>
      <c r="BO566" s="1587">
        <f t="shared" si="389"/>
        <v>0</v>
      </c>
      <c r="BR566" s="1212" t="e">
        <f t="shared" ca="1" si="390"/>
        <v>#N/A</v>
      </c>
      <c r="BS566" s="1213" t="e">
        <f t="shared" ca="1" si="391"/>
        <v>#N/A</v>
      </c>
      <c r="BT566" s="1587">
        <f t="shared" si="392"/>
        <v>0</v>
      </c>
      <c r="BW566" s="1212" t="e">
        <f t="shared" ca="1" si="393"/>
        <v>#N/A</v>
      </c>
      <c r="BX566" s="1213" t="e">
        <f t="shared" ca="1" si="394"/>
        <v>#N/A</v>
      </c>
      <c r="BY566" s="1587">
        <f t="shared" si="395"/>
        <v>0</v>
      </c>
      <c r="CB566" s="1212" t="e">
        <f t="shared" ca="1" si="396"/>
        <v>#N/A</v>
      </c>
      <c r="CC566" s="1213" t="e">
        <f t="shared" ca="1" si="397"/>
        <v>#N/A</v>
      </c>
      <c r="CD566" s="1587">
        <f t="shared" si="398"/>
        <v>0</v>
      </c>
      <c r="CG566" s="1212" t="e">
        <f t="shared" ca="1" si="399"/>
        <v>#N/A</v>
      </c>
      <c r="CH566" s="1213" t="e">
        <f t="shared" ca="1" si="400"/>
        <v>#N/A</v>
      </c>
      <c r="CI566" s="1587">
        <f t="shared" si="401"/>
        <v>0</v>
      </c>
      <c r="CL566" s="1212" t="e">
        <f t="shared" ca="1" si="402"/>
        <v>#N/A</v>
      </c>
      <c r="CM566" s="1213" t="e">
        <f t="shared" ca="1" si="403"/>
        <v>#N/A</v>
      </c>
      <c r="CN566" s="1587">
        <f t="shared" si="404"/>
        <v>0</v>
      </c>
    </row>
    <row r="567" spans="1:92">
      <c r="A567" s="141">
        <f>'銀行-TSS'!A567</f>
        <v>0</v>
      </c>
      <c r="B567" s="151">
        <f ca="1">VLOOKUP(A567,'銀行-TSS'!A:B,2,FALSE)</f>
        <v>0</v>
      </c>
      <c r="C567" s="151" t="e">
        <f ca="1">VLOOKUP(B567,bond!B:C,2,FALSE)</f>
        <v>#N/A</v>
      </c>
      <c r="D567" s="95" t="e">
        <f>VLOOKUP(A567,'銀行-TSS'!A:C,3,FALSE)</f>
        <v>#N/A</v>
      </c>
      <c r="E567" s="90" t="e">
        <f ca="1">VLOOKUP(A567,'銀行-TSS'!A:G,7,FALSE)</f>
        <v>#N/A</v>
      </c>
      <c r="F567" s="202" t="e">
        <f ca="1">VLOOKUP(A567,'銀行-TSS'!A:H,8,FALSE)</f>
        <v>#N/A</v>
      </c>
      <c r="G567" s="96" t="e">
        <f ca="1">VLOOKUP(A567,'銀行-TSS'!A:K,11,FALSE)</f>
        <v>#N/A</v>
      </c>
      <c r="H567" s="1209" t="e">
        <f ca="1">VLOOKUP(A567,'銀行-TSS'!A:M,13,FALSE)</f>
        <v>#N/A</v>
      </c>
      <c r="I567" s="1213" t="e">
        <f ca="1">VLOOKUP(A567,'銀行-TSS'!A:N,14,FALSE)</f>
        <v>#N/A</v>
      </c>
      <c r="J567" s="1213" t="e">
        <f ca="1">VLOOKUP(A567,'銀行-TSS'!A:O,15,FALSE)</f>
        <v>#N/A</v>
      </c>
      <c r="K567" s="136" t="e">
        <f ca="1">VLOOKUP(A567,'銀行-TSS'!A:V,22,FALSE)</f>
        <v>#N/A</v>
      </c>
      <c r="L567" s="136" t="e">
        <f ca="1">VLOOKUP(A567,'銀行-TSS'!A:AK,37,FALSE)</f>
        <v>#N/A</v>
      </c>
      <c r="M567" s="136" t="str">
        <f ca="1">VLOOKUP(A567,'銀行-TSS'!A:AN,40,FALSE)</f>
        <v/>
      </c>
      <c r="N567" s="136" t="e">
        <f t="shared" ca="1" si="360"/>
        <v>#N/A</v>
      </c>
      <c r="O567" s="1213" t="e">
        <f t="shared" ca="1" si="361"/>
        <v>#N/A</v>
      </c>
      <c r="P567" s="1213" t="e">
        <f ca="1">IF(AND($O$1&gt;=O567,換券單檔!$D$13=D567),I567+INT(($O$1-O567)/N567)*J567,0)</f>
        <v>#N/A</v>
      </c>
      <c r="Q567" s="1213" t="e">
        <f t="shared" ca="1" si="362"/>
        <v>#N/A</v>
      </c>
      <c r="R567" s="1213">
        <f t="shared" si="363"/>
        <v>0</v>
      </c>
      <c r="S567" s="1213">
        <f t="shared" si="364"/>
        <v>0</v>
      </c>
      <c r="T567" s="136">
        <f>IF(OR(R567=0,A567=0),0,IF(AND(V567=TRUE,換券單檔!$D$13=D567),E567,0))</f>
        <v>0</v>
      </c>
      <c r="U567" s="861">
        <f>IF(OR(R567=0,A567=0),0,IF(AND(V567=TRUE,換券單檔!$D$13=D567),H567,0))</f>
        <v>0</v>
      </c>
      <c r="V567" s="136" t="e">
        <f ca="1">IF(OR(B567=換券單檔!$D$3,L567="無",M567&lt;&gt;"",K567="高資產",IFERROR(MATCH(B567,換券單檔!K:K,0),"N")&lt;&gt;"N"),FALSE,IF($V$1="All",TRUE,IF(K567=$V$1,TRUE,FALSE)))</f>
        <v>#N/A</v>
      </c>
      <c r="W567" s="136" t="e">
        <f ca="1">VLOOKUP(A567,'銀行-TSS'!A:AO,41,FALSE)</f>
        <v>#N/A</v>
      </c>
      <c r="X567" s="136" t="e">
        <f ca="1">VLOOKUP(A567,'銀行-TSS'!A:AP,42,FALSE)</f>
        <v>#N/A</v>
      </c>
      <c r="Y567" s="1220">
        <f t="shared" si="365"/>
        <v>0</v>
      </c>
      <c r="Z567" s="1220">
        <f t="shared" si="366"/>
        <v>0</v>
      </c>
      <c r="AA567" s="136">
        <f>IF(Z567&lt;=0,0,RANK(Z567,Z:Z)+COUNTIF($Z$3:$Z567,Z567)-1)</f>
        <v>0</v>
      </c>
      <c r="AB567" s="1211">
        <f t="shared" ca="1" si="367"/>
        <v>-14896.14</v>
      </c>
      <c r="AC567" s="136">
        <f ca="1">IF(AB567&lt;=0,0,RANK(AB567,AB:AB)+COUNTIF($AB$3:$AB567,AB567)-1)</f>
        <v>0</v>
      </c>
      <c r="AD567" s="1123">
        <f t="shared" si="368"/>
        <v>99999</v>
      </c>
      <c r="AE567" s="1123">
        <f>IF(AD567=99999,0,RANK(AD567,AD:AD,1)+COUNTIF($AD$3:$AD567,AD567)-1)</f>
        <v>0</v>
      </c>
      <c r="AF567" s="86" t="e">
        <f ca="1">IF(OR(M567&lt;&gt;"",L567="無",K567="高資產",IFERROR(MATCH(B567,換券單檔!K:K,0),"N")&lt;&gt;"N"),FALSE,TRUE)</f>
        <v>#N/A</v>
      </c>
      <c r="AI567" s="1212" t="e">
        <f t="shared" ca="1" si="369"/>
        <v>#N/A</v>
      </c>
      <c r="AJ567" s="1213" t="e">
        <f t="shared" ca="1" si="370"/>
        <v>#N/A</v>
      </c>
      <c r="AK567" s="1587">
        <f t="shared" si="371"/>
        <v>0</v>
      </c>
      <c r="AN567" s="1212" t="e">
        <f t="shared" ca="1" si="372"/>
        <v>#N/A</v>
      </c>
      <c r="AO567" s="1213" t="e">
        <f t="shared" ca="1" si="373"/>
        <v>#N/A</v>
      </c>
      <c r="AP567" s="1587">
        <f t="shared" si="374"/>
        <v>0</v>
      </c>
      <c r="AS567" s="1212" t="e">
        <f t="shared" ca="1" si="375"/>
        <v>#N/A</v>
      </c>
      <c r="AT567" s="1213" t="e">
        <f t="shared" ca="1" si="376"/>
        <v>#N/A</v>
      </c>
      <c r="AU567" s="1587">
        <f t="shared" si="377"/>
        <v>0</v>
      </c>
      <c r="AX567" s="1212" t="e">
        <f t="shared" ca="1" si="378"/>
        <v>#N/A</v>
      </c>
      <c r="AY567" s="1213" t="e">
        <f t="shared" ca="1" si="379"/>
        <v>#N/A</v>
      </c>
      <c r="AZ567" s="1587">
        <f t="shared" si="380"/>
        <v>0</v>
      </c>
      <c r="BC567" s="1212" t="e">
        <f t="shared" ca="1" si="381"/>
        <v>#N/A</v>
      </c>
      <c r="BD567" s="1213" t="e">
        <f t="shared" ca="1" si="382"/>
        <v>#N/A</v>
      </c>
      <c r="BE567" s="1587">
        <f t="shared" si="383"/>
        <v>0</v>
      </c>
      <c r="BH567" s="1212" t="e">
        <f t="shared" ca="1" si="384"/>
        <v>#N/A</v>
      </c>
      <c r="BI567" s="1213" t="e">
        <f t="shared" ca="1" si="385"/>
        <v>#N/A</v>
      </c>
      <c r="BJ567" s="1587">
        <f t="shared" si="386"/>
        <v>0</v>
      </c>
      <c r="BM567" s="1212" t="e">
        <f t="shared" ca="1" si="387"/>
        <v>#N/A</v>
      </c>
      <c r="BN567" s="1213" t="e">
        <f t="shared" ca="1" si="388"/>
        <v>#N/A</v>
      </c>
      <c r="BO567" s="1587">
        <f t="shared" si="389"/>
        <v>0</v>
      </c>
      <c r="BR567" s="1212" t="e">
        <f t="shared" ca="1" si="390"/>
        <v>#N/A</v>
      </c>
      <c r="BS567" s="1213" t="e">
        <f t="shared" ca="1" si="391"/>
        <v>#N/A</v>
      </c>
      <c r="BT567" s="1587">
        <f t="shared" si="392"/>
        <v>0</v>
      </c>
      <c r="BW567" s="1212" t="e">
        <f t="shared" ca="1" si="393"/>
        <v>#N/A</v>
      </c>
      <c r="BX567" s="1213" t="e">
        <f t="shared" ca="1" si="394"/>
        <v>#N/A</v>
      </c>
      <c r="BY567" s="1587">
        <f t="shared" si="395"/>
        <v>0</v>
      </c>
      <c r="CB567" s="1212" t="e">
        <f t="shared" ca="1" si="396"/>
        <v>#N/A</v>
      </c>
      <c r="CC567" s="1213" t="e">
        <f t="shared" ca="1" si="397"/>
        <v>#N/A</v>
      </c>
      <c r="CD567" s="1587">
        <f t="shared" si="398"/>
        <v>0</v>
      </c>
      <c r="CG567" s="1212" t="e">
        <f t="shared" ca="1" si="399"/>
        <v>#N/A</v>
      </c>
      <c r="CH567" s="1213" t="e">
        <f t="shared" ca="1" si="400"/>
        <v>#N/A</v>
      </c>
      <c r="CI567" s="1587">
        <f t="shared" si="401"/>
        <v>0</v>
      </c>
      <c r="CL567" s="1212" t="e">
        <f t="shared" ca="1" si="402"/>
        <v>#N/A</v>
      </c>
      <c r="CM567" s="1213" t="e">
        <f t="shared" ca="1" si="403"/>
        <v>#N/A</v>
      </c>
      <c r="CN567" s="1587">
        <f t="shared" si="404"/>
        <v>0</v>
      </c>
    </row>
    <row r="568" spans="1:92">
      <c r="A568" s="141">
        <f>'銀行-TSS'!A568</f>
        <v>0</v>
      </c>
      <c r="B568" s="151">
        <f ca="1">VLOOKUP(A568,'銀行-TSS'!A:B,2,FALSE)</f>
        <v>0</v>
      </c>
      <c r="C568" s="151" t="e">
        <f ca="1">VLOOKUP(B568,bond!B:C,2,FALSE)</f>
        <v>#N/A</v>
      </c>
      <c r="D568" s="95" t="e">
        <f>VLOOKUP(A568,'銀行-TSS'!A:C,3,FALSE)</f>
        <v>#N/A</v>
      </c>
      <c r="E568" s="90" t="e">
        <f ca="1">VLOOKUP(A568,'銀行-TSS'!A:G,7,FALSE)</f>
        <v>#N/A</v>
      </c>
      <c r="F568" s="202" t="e">
        <f ca="1">VLOOKUP(A568,'銀行-TSS'!A:H,8,FALSE)</f>
        <v>#N/A</v>
      </c>
      <c r="G568" s="96" t="e">
        <f ca="1">VLOOKUP(A568,'銀行-TSS'!A:K,11,FALSE)</f>
        <v>#N/A</v>
      </c>
      <c r="H568" s="1209" t="e">
        <f ca="1">VLOOKUP(A568,'銀行-TSS'!A:M,13,FALSE)</f>
        <v>#N/A</v>
      </c>
      <c r="I568" s="1213" t="e">
        <f ca="1">VLOOKUP(A568,'銀行-TSS'!A:N,14,FALSE)</f>
        <v>#N/A</v>
      </c>
      <c r="J568" s="1213" t="e">
        <f ca="1">VLOOKUP(A568,'銀行-TSS'!A:O,15,FALSE)</f>
        <v>#N/A</v>
      </c>
      <c r="K568" s="136" t="e">
        <f ca="1">VLOOKUP(A568,'銀行-TSS'!A:V,22,FALSE)</f>
        <v>#N/A</v>
      </c>
      <c r="L568" s="136" t="e">
        <f ca="1">VLOOKUP(A568,'銀行-TSS'!A:AK,37,FALSE)</f>
        <v>#N/A</v>
      </c>
      <c r="M568" s="136" t="str">
        <f ca="1">VLOOKUP(A568,'銀行-TSS'!A:AN,40,FALSE)</f>
        <v/>
      </c>
      <c r="N568" s="136" t="e">
        <f t="shared" ca="1" si="360"/>
        <v>#N/A</v>
      </c>
      <c r="O568" s="1213" t="e">
        <f t="shared" ca="1" si="361"/>
        <v>#N/A</v>
      </c>
      <c r="P568" s="1213" t="e">
        <f ca="1">IF(AND($O$1&gt;=O568,換券單檔!$D$13=D568),I568+INT(($O$1-O568)/N568)*J568,0)</f>
        <v>#N/A</v>
      </c>
      <c r="Q568" s="1213" t="e">
        <f t="shared" ca="1" si="362"/>
        <v>#N/A</v>
      </c>
      <c r="R568" s="1213">
        <f t="shared" si="363"/>
        <v>0</v>
      </c>
      <c r="S568" s="1213">
        <f t="shared" si="364"/>
        <v>0</v>
      </c>
      <c r="T568" s="136">
        <f>IF(OR(R568=0,A568=0),0,IF(AND(V568=TRUE,換券單檔!$D$13=D568),E568,0))</f>
        <v>0</v>
      </c>
      <c r="U568" s="861">
        <f>IF(OR(R568=0,A568=0),0,IF(AND(V568=TRUE,換券單檔!$D$13=D568),H568,0))</f>
        <v>0</v>
      </c>
      <c r="V568" s="136" t="e">
        <f ca="1">IF(OR(B568=換券單檔!$D$3,L568="無",M568&lt;&gt;"",K568="高資產",IFERROR(MATCH(B568,換券單檔!K:K,0),"N")&lt;&gt;"N"),FALSE,IF($V$1="All",TRUE,IF(K568=$V$1,TRUE,FALSE)))</f>
        <v>#N/A</v>
      </c>
      <c r="W568" s="136" t="e">
        <f ca="1">VLOOKUP(A568,'銀行-TSS'!A:AO,41,FALSE)</f>
        <v>#N/A</v>
      </c>
      <c r="X568" s="136" t="e">
        <f ca="1">VLOOKUP(A568,'銀行-TSS'!A:AP,42,FALSE)</f>
        <v>#N/A</v>
      </c>
      <c r="Y568" s="1220">
        <f t="shared" si="365"/>
        <v>0</v>
      </c>
      <c r="Z568" s="1220">
        <f t="shared" si="366"/>
        <v>0</v>
      </c>
      <c r="AA568" s="136">
        <f>IF(Z568&lt;=0,0,RANK(Z568,Z:Z)+COUNTIF($Z$3:$Z568,Z568)-1)</f>
        <v>0</v>
      </c>
      <c r="AB568" s="1211">
        <f t="shared" ca="1" si="367"/>
        <v>-14896.14</v>
      </c>
      <c r="AC568" s="136">
        <f ca="1">IF(AB568&lt;=0,0,RANK(AB568,AB:AB)+COUNTIF($AB$3:$AB568,AB568)-1)</f>
        <v>0</v>
      </c>
      <c r="AD568" s="1123">
        <f t="shared" si="368"/>
        <v>99999</v>
      </c>
      <c r="AE568" s="1123">
        <f>IF(AD568=99999,0,RANK(AD568,AD:AD,1)+COUNTIF($AD$3:$AD568,AD568)-1)</f>
        <v>0</v>
      </c>
      <c r="AF568" s="86" t="e">
        <f ca="1">IF(OR(M568&lt;&gt;"",L568="無",K568="高資產",IFERROR(MATCH(B568,換券單檔!K:K,0),"N")&lt;&gt;"N"),FALSE,TRUE)</f>
        <v>#N/A</v>
      </c>
      <c r="AI568" s="1212" t="e">
        <f t="shared" ca="1" si="369"/>
        <v>#N/A</v>
      </c>
      <c r="AJ568" s="1213" t="e">
        <f t="shared" ca="1" si="370"/>
        <v>#N/A</v>
      </c>
      <c r="AK568" s="1587">
        <f t="shared" si="371"/>
        <v>0</v>
      </c>
      <c r="AN568" s="1212" t="e">
        <f t="shared" ca="1" si="372"/>
        <v>#N/A</v>
      </c>
      <c r="AO568" s="1213" t="e">
        <f t="shared" ca="1" si="373"/>
        <v>#N/A</v>
      </c>
      <c r="AP568" s="1587">
        <f t="shared" si="374"/>
        <v>0</v>
      </c>
      <c r="AS568" s="1212" t="e">
        <f t="shared" ca="1" si="375"/>
        <v>#N/A</v>
      </c>
      <c r="AT568" s="1213" t="e">
        <f t="shared" ca="1" si="376"/>
        <v>#N/A</v>
      </c>
      <c r="AU568" s="1587">
        <f t="shared" si="377"/>
        <v>0</v>
      </c>
      <c r="AX568" s="1212" t="e">
        <f t="shared" ca="1" si="378"/>
        <v>#N/A</v>
      </c>
      <c r="AY568" s="1213" t="e">
        <f t="shared" ca="1" si="379"/>
        <v>#N/A</v>
      </c>
      <c r="AZ568" s="1587">
        <f t="shared" si="380"/>
        <v>0</v>
      </c>
      <c r="BC568" s="1212" t="e">
        <f t="shared" ca="1" si="381"/>
        <v>#N/A</v>
      </c>
      <c r="BD568" s="1213" t="e">
        <f t="shared" ca="1" si="382"/>
        <v>#N/A</v>
      </c>
      <c r="BE568" s="1587">
        <f t="shared" si="383"/>
        <v>0</v>
      </c>
      <c r="BH568" s="1212" t="e">
        <f t="shared" ca="1" si="384"/>
        <v>#N/A</v>
      </c>
      <c r="BI568" s="1213" t="e">
        <f t="shared" ca="1" si="385"/>
        <v>#N/A</v>
      </c>
      <c r="BJ568" s="1587">
        <f t="shared" si="386"/>
        <v>0</v>
      </c>
      <c r="BM568" s="1212" t="e">
        <f t="shared" ca="1" si="387"/>
        <v>#N/A</v>
      </c>
      <c r="BN568" s="1213" t="e">
        <f t="shared" ca="1" si="388"/>
        <v>#N/A</v>
      </c>
      <c r="BO568" s="1587">
        <f t="shared" si="389"/>
        <v>0</v>
      </c>
      <c r="BR568" s="1212" t="e">
        <f t="shared" ca="1" si="390"/>
        <v>#N/A</v>
      </c>
      <c r="BS568" s="1213" t="e">
        <f t="shared" ca="1" si="391"/>
        <v>#N/A</v>
      </c>
      <c r="BT568" s="1587">
        <f t="shared" si="392"/>
        <v>0</v>
      </c>
      <c r="BW568" s="1212" t="e">
        <f t="shared" ca="1" si="393"/>
        <v>#N/A</v>
      </c>
      <c r="BX568" s="1213" t="e">
        <f t="shared" ca="1" si="394"/>
        <v>#N/A</v>
      </c>
      <c r="BY568" s="1587">
        <f t="shared" si="395"/>
        <v>0</v>
      </c>
      <c r="CB568" s="1212" t="e">
        <f t="shared" ca="1" si="396"/>
        <v>#N/A</v>
      </c>
      <c r="CC568" s="1213" t="e">
        <f t="shared" ca="1" si="397"/>
        <v>#N/A</v>
      </c>
      <c r="CD568" s="1587">
        <f t="shared" si="398"/>
        <v>0</v>
      </c>
      <c r="CG568" s="1212" t="e">
        <f t="shared" ca="1" si="399"/>
        <v>#N/A</v>
      </c>
      <c r="CH568" s="1213" t="e">
        <f t="shared" ca="1" si="400"/>
        <v>#N/A</v>
      </c>
      <c r="CI568" s="1587">
        <f t="shared" si="401"/>
        <v>0</v>
      </c>
      <c r="CL568" s="1212" t="e">
        <f t="shared" ca="1" si="402"/>
        <v>#N/A</v>
      </c>
      <c r="CM568" s="1213" t="e">
        <f t="shared" ca="1" si="403"/>
        <v>#N/A</v>
      </c>
      <c r="CN568" s="1587">
        <f t="shared" si="404"/>
        <v>0</v>
      </c>
    </row>
    <row r="569" spans="1:92">
      <c r="A569" s="141">
        <f>'銀行-TSS'!A569</f>
        <v>0</v>
      </c>
      <c r="B569" s="151">
        <f ca="1">VLOOKUP(A569,'銀行-TSS'!A:B,2,FALSE)</f>
        <v>0</v>
      </c>
      <c r="C569" s="151" t="e">
        <f ca="1">VLOOKUP(B569,bond!B:C,2,FALSE)</f>
        <v>#N/A</v>
      </c>
      <c r="D569" s="95" t="e">
        <f>VLOOKUP(A569,'銀行-TSS'!A:C,3,FALSE)</f>
        <v>#N/A</v>
      </c>
      <c r="E569" s="90" t="e">
        <f ca="1">VLOOKUP(A569,'銀行-TSS'!A:G,7,FALSE)</f>
        <v>#N/A</v>
      </c>
      <c r="F569" s="202" t="e">
        <f ca="1">VLOOKUP(A569,'銀行-TSS'!A:H,8,FALSE)</f>
        <v>#N/A</v>
      </c>
      <c r="G569" s="96" t="e">
        <f ca="1">VLOOKUP(A569,'銀行-TSS'!A:K,11,FALSE)</f>
        <v>#N/A</v>
      </c>
      <c r="H569" s="1209" t="e">
        <f ca="1">VLOOKUP(A569,'銀行-TSS'!A:M,13,FALSE)</f>
        <v>#N/A</v>
      </c>
      <c r="I569" s="1213" t="e">
        <f ca="1">VLOOKUP(A569,'銀行-TSS'!A:N,14,FALSE)</f>
        <v>#N/A</v>
      </c>
      <c r="J569" s="1213" t="e">
        <f ca="1">VLOOKUP(A569,'銀行-TSS'!A:O,15,FALSE)</f>
        <v>#N/A</v>
      </c>
      <c r="K569" s="136" t="e">
        <f ca="1">VLOOKUP(A569,'銀行-TSS'!A:V,22,FALSE)</f>
        <v>#N/A</v>
      </c>
      <c r="L569" s="136" t="e">
        <f ca="1">VLOOKUP(A569,'銀行-TSS'!A:AK,37,FALSE)</f>
        <v>#N/A</v>
      </c>
      <c r="M569" s="136" t="str">
        <f ca="1">VLOOKUP(A569,'銀行-TSS'!A:AN,40,FALSE)</f>
        <v/>
      </c>
      <c r="N569" s="136" t="e">
        <f t="shared" ca="1" si="360"/>
        <v>#N/A</v>
      </c>
      <c r="O569" s="1213" t="e">
        <f t="shared" ca="1" si="361"/>
        <v>#N/A</v>
      </c>
      <c r="P569" s="1213" t="e">
        <f ca="1">IF(AND($O$1&gt;=O569,換券單檔!$D$13=D569),I569+INT(($O$1-O569)/N569)*J569,0)</f>
        <v>#N/A</v>
      </c>
      <c r="Q569" s="1213" t="e">
        <f t="shared" ca="1" si="362"/>
        <v>#N/A</v>
      </c>
      <c r="R569" s="1213">
        <f t="shared" si="363"/>
        <v>0</v>
      </c>
      <c r="S569" s="1213">
        <f t="shared" si="364"/>
        <v>0</v>
      </c>
      <c r="T569" s="136">
        <f>IF(OR(R569=0,A569=0),0,IF(AND(V569=TRUE,換券單檔!$D$13=D569),E569,0))</f>
        <v>0</v>
      </c>
      <c r="U569" s="861">
        <f>IF(OR(R569=0,A569=0),0,IF(AND(V569=TRUE,換券單檔!$D$13=D569),H569,0))</f>
        <v>0</v>
      </c>
      <c r="V569" s="136" t="e">
        <f ca="1">IF(OR(B569=換券單檔!$D$3,L569="無",M569&lt;&gt;"",K569="高資產",IFERROR(MATCH(B569,換券單檔!K:K,0),"N")&lt;&gt;"N"),FALSE,IF($V$1="All",TRUE,IF(K569=$V$1,TRUE,FALSE)))</f>
        <v>#N/A</v>
      </c>
      <c r="W569" s="136" t="e">
        <f ca="1">VLOOKUP(A569,'銀行-TSS'!A:AO,41,FALSE)</f>
        <v>#N/A</v>
      </c>
      <c r="X569" s="136" t="e">
        <f ca="1">VLOOKUP(A569,'銀行-TSS'!A:AP,42,FALSE)</f>
        <v>#N/A</v>
      </c>
      <c r="Y569" s="1220">
        <f t="shared" si="365"/>
        <v>0</v>
      </c>
      <c r="Z569" s="1220">
        <f t="shared" si="366"/>
        <v>0</v>
      </c>
      <c r="AA569" s="136">
        <f>IF(Z569&lt;=0,0,RANK(Z569,Z:Z)+COUNTIF($Z$3:$Z569,Z569)-1)</f>
        <v>0</v>
      </c>
      <c r="AB569" s="1211">
        <f t="shared" ca="1" si="367"/>
        <v>-14896.14</v>
      </c>
      <c r="AC569" s="136">
        <f ca="1">IF(AB569&lt;=0,0,RANK(AB569,AB:AB)+COUNTIF($AB$3:$AB569,AB569)-1)</f>
        <v>0</v>
      </c>
      <c r="AD569" s="1123">
        <f t="shared" si="368"/>
        <v>99999</v>
      </c>
      <c r="AE569" s="1123">
        <f>IF(AD569=99999,0,RANK(AD569,AD:AD,1)+COUNTIF($AD$3:$AD569,AD569)-1)</f>
        <v>0</v>
      </c>
      <c r="AF569" s="86" t="e">
        <f ca="1">IF(OR(M569&lt;&gt;"",L569="無",K569="高資產",IFERROR(MATCH(B569,換券單檔!K:K,0),"N")&lt;&gt;"N"),FALSE,TRUE)</f>
        <v>#N/A</v>
      </c>
      <c r="AI569" s="1212" t="e">
        <f t="shared" ca="1" si="369"/>
        <v>#N/A</v>
      </c>
      <c r="AJ569" s="1213" t="e">
        <f t="shared" ca="1" si="370"/>
        <v>#N/A</v>
      </c>
      <c r="AK569" s="1587">
        <f t="shared" si="371"/>
        <v>0</v>
      </c>
      <c r="AN569" s="1212" t="e">
        <f t="shared" ca="1" si="372"/>
        <v>#N/A</v>
      </c>
      <c r="AO569" s="1213" t="e">
        <f t="shared" ca="1" si="373"/>
        <v>#N/A</v>
      </c>
      <c r="AP569" s="1587">
        <f t="shared" si="374"/>
        <v>0</v>
      </c>
      <c r="AS569" s="1212" t="e">
        <f t="shared" ca="1" si="375"/>
        <v>#N/A</v>
      </c>
      <c r="AT569" s="1213" t="e">
        <f t="shared" ca="1" si="376"/>
        <v>#N/A</v>
      </c>
      <c r="AU569" s="1587">
        <f t="shared" si="377"/>
        <v>0</v>
      </c>
      <c r="AX569" s="1212" t="e">
        <f t="shared" ca="1" si="378"/>
        <v>#N/A</v>
      </c>
      <c r="AY569" s="1213" t="e">
        <f t="shared" ca="1" si="379"/>
        <v>#N/A</v>
      </c>
      <c r="AZ569" s="1587">
        <f t="shared" si="380"/>
        <v>0</v>
      </c>
      <c r="BC569" s="1212" t="e">
        <f t="shared" ca="1" si="381"/>
        <v>#N/A</v>
      </c>
      <c r="BD569" s="1213" t="e">
        <f t="shared" ca="1" si="382"/>
        <v>#N/A</v>
      </c>
      <c r="BE569" s="1587">
        <f t="shared" si="383"/>
        <v>0</v>
      </c>
      <c r="BH569" s="1212" t="e">
        <f t="shared" ca="1" si="384"/>
        <v>#N/A</v>
      </c>
      <c r="BI569" s="1213" t="e">
        <f t="shared" ca="1" si="385"/>
        <v>#N/A</v>
      </c>
      <c r="BJ569" s="1587">
        <f t="shared" si="386"/>
        <v>0</v>
      </c>
      <c r="BM569" s="1212" t="e">
        <f t="shared" ca="1" si="387"/>
        <v>#N/A</v>
      </c>
      <c r="BN569" s="1213" t="e">
        <f t="shared" ca="1" si="388"/>
        <v>#N/A</v>
      </c>
      <c r="BO569" s="1587">
        <f t="shared" si="389"/>
        <v>0</v>
      </c>
      <c r="BR569" s="1212" t="e">
        <f t="shared" ca="1" si="390"/>
        <v>#N/A</v>
      </c>
      <c r="BS569" s="1213" t="e">
        <f t="shared" ca="1" si="391"/>
        <v>#N/A</v>
      </c>
      <c r="BT569" s="1587">
        <f t="shared" si="392"/>
        <v>0</v>
      </c>
      <c r="BW569" s="1212" t="e">
        <f t="shared" ca="1" si="393"/>
        <v>#N/A</v>
      </c>
      <c r="BX569" s="1213" t="e">
        <f t="shared" ca="1" si="394"/>
        <v>#N/A</v>
      </c>
      <c r="BY569" s="1587">
        <f t="shared" si="395"/>
        <v>0</v>
      </c>
      <c r="CB569" s="1212" t="e">
        <f t="shared" ca="1" si="396"/>
        <v>#N/A</v>
      </c>
      <c r="CC569" s="1213" t="e">
        <f t="shared" ca="1" si="397"/>
        <v>#N/A</v>
      </c>
      <c r="CD569" s="1587">
        <f t="shared" si="398"/>
        <v>0</v>
      </c>
      <c r="CG569" s="1212" t="e">
        <f t="shared" ca="1" si="399"/>
        <v>#N/A</v>
      </c>
      <c r="CH569" s="1213" t="e">
        <f t="shared" ca="1" si="400"/>
        <v>#N/A</v>
      </c>
      <c r="CI569" s="1587">
        <f t="shared" si="401"/>
        <v>0</v>
      </c>
      <c r="CL569" s="1212" t="e">
        <f t="shared" ca="1" si="402"/>
        <v>#N/A</v>
      </c>
      <c r="CM569" s="1213" t="e">
        <f t="shared" ca="1" si="403"/>
        <v>#N/A</v>
      </c>
      <c r="CN569" s="1587">
        <f t="shared" si="404"/>
        <v>0</v>
      </c>
    </row>
    <row r="570" spans="1:92">
      <c r="A570" s="141">
        <f>'銀行-TSS'!A570</f>
        <v>0</v>
      </c>
      <c r="B570" s="151">
        <f ca="1">VLOOKUP(A570,'銀行-TSS'!A:B,2,FALSE)</f>
        <v>0</v>
      </c>
      <c r="C570" s="151" t="e">
        <f ca="1">VLOOKUP(B570,bond!B:C,2,FALSE)</f>
        <v>#N/A</v>
      </c>
      <c r="D570" s="95" t="e">
        <f>VLOOKUP(A570,'銀行-TSS'!A:C,3,FALSE)</f>
        <v>#N/A</v>
      </c>
      <c r="E570" s="90" t="e">
        <f ca="1">VLOOKUP(A570,'銀行-TSS'!A:G,7,FALSE)</f>
        <v>#N/A</v>
      </c>
      <c r="F570" s="202" t="e">
        <f ca="1">VLOOKUP(A570,'銀行-TSS'!A:H,8,FALSE)</f>
        <v>#N/A</v>
      </c>
      <c r="G570" s="96" t="e">
        <f ca="1">VLOOKUP(A570,'銀行-TSS'!A:K,11,FALSE)</f>
        <v>#N/A</v>
      </c>
      <c r="H570" s="1209" t="e">
        <f ca="1">VLOOKUP(A570,'銀行-TSS'!A:M,13,FALSE)</f>
        <v>#N/A</v>
      </c>
      <c r="I570" s="1213" t="e">
        <f ca="1">VLOOKUP(A570,'銀行-TSS'!A:N,14,FALSE)</f>
        <v>#N/A</v>
      </c>
      <c r="J570" s="1213" t="e">
        <f ca="1">VLOOKUP(A570,'銀行-TSS'!A:O,15,FALSE)</f>
        <v>#N/A</v>
      </c>
      <c r="K570" s="136" t="e">
        <f ca="1">VLOOKUP(A570,'銀行-TSS'!A:V,22,FALSE)</f>
        <v>#N/A</v>
      </c>
      <c r="L570" s="136" t="e">
        <f ca="1">VLOOKUP(A570,'銀行-TSS'!A:AK,37,FALSE)</f>
        <v>#N/A</v>
      </c>
      <c r="M570" s="136" t="str">
        <f ca="1">VLOOKUP(A570,'銀行-TSS'!A:AN,40,FALSE)</f>
        <v/>
      </c>
      <c r="N570" s="136" t="e">
        <f t="shared" ca="1" si="360"/>
        <v>#N/A</v>
      </c>
      <c r="O570" s="1213" t="e">
        <f t="shared" ca="1" si="361"/>
        <v>#N/A</v>
      </c>
      <c r="P570" s="1213" t="e">
        <f ca="1">IF(AND($O$1&gt;=O570,換券單檔!$D$13=D570),I570+INT(($O$1-O570)/N570)*J570,0)</f>
        <v>#N/A</v>
      </c>
      <c r="Q570" s="1213" t="e">
        <f t="shared" ca="1" si="362"/>
        <v>#N/A</v>
      </c>
      <c r="R570" s="1213">
        <f t="shared" si="363"/>
        <v>0</v>
      </c>
      <c r="S570" s="1213">
        <f t="shared" si="364"/>
        <v>0</v>
      </c>
      <c r="T570" s="136">
        <f>IF(OR(R570=0,A570=0),0,IF(AND(V570=TRUE,換券單檔!$D$13=D570),E570,0))</f>
        <v>0</v>
      </c>
      <c r="U570" s="861">
        <f>IF(OR(R570=0,A570=0),0,IF(AND(V570=TRUE,換券單檔!$D$13=D570),H570,0))</f>
        <v>0</v>
      </c>
      <c r="V570" s="136" t="e">
        <f ca="1">IF(OR(B570=換券單檔!$D$3,L570="無",M570&lt;&gt;"",K570="高資產",IFERROR(MATCH(B570,換券單檔!K:K,0),"N")&lt;&gt;"N"),FALSE,IF($V$1="All",TRUE,IF(K570=$V$1,TRUE,FALSE)))</f>
        <v>#N/A</v>
      </c>
      <c r="W570" s="136" t="e">
        <f ca="1">VLOOKUP(A570,'銀行-TSS'!A:AO,41,FALSE)</f>
        <v>#N/A</v>
      </c>
      <c r="X570" s="136" t="e">
        <f ca="1">VLOOKUP(A570,'銀行-TSS'!A:AP,42,FALSE)</f>
        <v>#N/A</v>
      </c>
      <c r="Y570" s="1220">
        <f t="shared" si="365"/>
        <v>0</v>
      </c>
      <c r="Z570" s="1220">
        <f t="shared" si="366"/>
        <v>0</v>
      </c>
      <c r="AA570" s="136">
        <f>IF(Z570&lt;=0,0,RANK(Z570,Z:Z)+COUNTIF($Z$3:$Z570,Z570)-1)</f>
        <v>0</v>
      </c>
      <c r="AB570" s="1211">
        <f t="shared" ca="1" si="367"/>
        <v>-14896.14</v>
      </c>
      <c r="AC570" s="136">
        <f ca="1">IF(AB570&lt;=0,0,RANK(AB570,AB:AB)+COUNTIF($AB$3:$AB570,AB570)-1)</f>
        <v>0</v>
      </c>
      <c r="AD570" s="1123">
        <f t="shared" si="368"/>
        <v>99999</v>
      </c>
      <c r="AE570" s="1123">
        <f>IF(AD570=99999,0,RANK(AD570,AD:AD,1)+COUNTIF($AD$3:$AD570,AD570)-1)</f>
        <v>0</v>
      </c>
      <c r="AF570" s="86" t="e">
        <f ca="1">IF(OR(M570&lt;&gt;"",L570="無",K570="高資產",IFERROR(MATCH(B570,換券單檔!K:K,0),"N")&lt;&gt;"N"),FALSE,TRUE)</f>
        <v>#N/A</v>
      </c>
      <c r="AI570" s="1212" t="e">
        <f t="shared" ca="1" si="369"/>
        <v>#N/A</v>
      </c>
      <c r="AJ570" s="1213" t="e">
        <f t="shared" ca="1" si="370"/>
        <v>#N/A</v>
      </c>
      <c r="AK570" s="1587">
        <f t="shared" si="371"/>
        <v>0</v>
      </c>
      <c r="AN570" s="1212" t="e">
        <f t="shared" ca="1" si="372"/>
        <v>#N/A</v>
      </c>
      <c r="AO570" s="1213" t="e">
        <f t="shared" ca="1" si="373"/>
        <v>#N/A</v>
      </c>
      <c r="AP570" s="1587">
        <f t="shared" si="374"/>
        <v>0</v>
      </c>
      <c r="AS570" s="1212" t="e">
        <f t="shared" ca="1" si="375"/>
        <v>#N/A</v>
      </c>
      <c r="AT570" s="1213" t="e">
        <f t="shared" ca="1" si="376"/>
        <v>#N/A</v>
      </c>
      <c r="AU570" s="1587">
        <f t="shared" si="377"/>
        <v>0</v>
      </c>
      <c r="AX570" s="1212" t="e">
        <f t="shared" ca="1" si="378"/>
        <v>#N/A</v>
      </c>
      <c r="AY570" s="1213" t="e">
        <f t="shared" ca="1" si="379"/>
        <v>#N/A</v>
      </c>
      <c r="AZ570" s="1587">
        <f t="shared" si="380"/>
        <v>0</v>
      </c>
      <c r="BC570" s="1212" t="e">
        <f t="shared" ca="1" si="381"/>
        <v>#N/A</v>
      </c>
      <c r="BD570" s="1213" t="e">
        <f t="shared" ca="1" si="382"/>
        <v>#N/A</v>
      </c>
      <c r="BE570" s="1587">
        <f t="shared" si="383"/>
        <v>0</v>
      </c>
      <c r="BH570" s="1212" t="e">
        <f t="shared" ca="1" si="384"/>
        <v>#N/A</v>
      </c>
      <c r="BI570" s="1213" t="e">
        <f t="shared" ca="1" si="385"/>
        <v>#N/A</v>
      </c>
      <c r="BJ570" s="1587">
        <f t="shared" si="386"/>
        <v>0</v>
      </c>
      <c r="BM570" s="1212" t="e">
        <f t="shared" ca="1" si="387"/>
        <v>#N/A</v>
      </c>
      <c r="BN570" s="1213" t="e">
        <f t="shared" ca="1" si="388"/>
        <v>#N/A</v>
      </c>
      <c r="BO570" s="1587">
        <f t="shared" si="389"/>
        <v>0</v>
      </c>
      <c r="BR570" s="1212" t="e">
        <f t="shared" ca="1" si="390"/>
        <v>#N/A</v>
      </c>
      <c r="BS570" s="1213" t="e">
        <f t="shared" ca="1" si="391"/>
        <v>#N/A</v>
      </c>
      <c r="BT570" s="1587">
        <f t="shared" si="392"/>
        <v>0</v>
      </c>
      <c r="BW570" s="1212" t="e">
        <f t="shared" ca="1" si="393"/>
        <v>#N/A</v>
      </c>
      <c r="BX570" s="1213" t="e">
        <f t="shared" ca="1" si="394"/>
        <v>#N/A</v>
      </c>
      <c r="BY570" s="1587">
        <f t="shared" si="395"/>
        <v>0</v>
      </c>
      <c r="CB570" s="1212" t="e">
        <f t="shared" ca="1" si="396"/>
        <v>#N/A</v>
      </c>
      <c r="CC570" s="1213" t="e">
        <f t="shared" ca="1" si="397"/>
        <v>#N/A</v>
      </c>
      <c r="CD570" s="1587">
        <f t="shared" si="398"/>
        <v>0</v>
      </c>
      <c r="CG570" s="1212" t="e">
        <f t="shared" ca="1" si="399"/>
        <v>#N/A</v>
      </c>
      <c r="CH570" s="1213" t="e">
        <f t="shared" ca="1" si="400"/>
        <v>#N/A</v>
      </c>
      <c r="CI570" s="1587">
        <f t="shared" si="401"/>
        <v>0</v>
      </c>
      <c r="CL570" s="1212" t="e">
        <f t="shared" ca="1" si="402"/>
        <v>#N/A</v>
      </c>
      <c r="CM570" s="1213" t="e">
        <f t="shared" ca="1" si="403"/>
        <v>#N/A</v>
      </c>
      <c r="CN570" s="1587">
        <f t="shared" si="404"/>
        <v>0</v>
      </c>
    </row>
    <row r="571" spans="1:92">
      <c r="A571" s="141">
        <f>'銀行-TSS'!A571</f>
        <v>0</v>
      </c>
      <c r="B571" s="151">
        <f ca="1">VLOOKUP(A571,'銀行-TSS'!A:B,2,FALSE)</f>
        <v>0</v>
      </c>
      <c r="C571" s="151" t="e">
        <f ca="1">VLOOKUP(B571,bond!B:C,2,FALSE)</f>
        <v>#N/A</v>
      </c>
      <c r="D571" s="95" t="e">
        <f>VLOOKUP(A571,'銀行-TSS'!A:C,3,FALSE)</f>
        <v>#N/A</v>
      </c>
      <c r="E571" s="90" t="e">
        <f ca="1">VLOOKUP(A571,'銀行-TSS'!A:G,7,FALSE)</f>
        <v>#N/A</v>
      </c>
      <c r="F571" s="202" t="e">
        <f ca="1">VLOOKUP(A571,'銀行-TSS'!A:H,8,FALSE)</f>
        <v>#N/A</v>
      </c>
      <c r="G571" s="96" t="e">
        <f ca="1">VLOOKUP(A571,'銀行-TSS'!A:K,11,FALSE)</f>
        <v>#N/A</v>
      </c>
      <c r="H571" s="1209" t="e">
        <f ca="1">VLOOKUP(A571,'銀行-TSS'!A:M,13,FALSE)</f>
        <v>#N/A</v>
      </c>
      <c r="I571" s="1213" t="e">
        <f ca="1">VLOOKUP(A571,'銀行-TSS'!A:N,14,FALSE)</f>
        <v>#N/A</v>
      </c>
      <c r="J571" s="1213" t="e">
        <f ca="1">VLOOKUP(A571,'銀行-TSS'!A:O,15,FALSE)</f>
        <v>#N/A</v>
      </c>
      <c r="K571" s="136" t="e">
        <f ca="1">VLOOKUP(A571,'銀行-TSS'!A:V,22,FALSE)</f>
        <v>#N/A</v>
      </c>
      <c r="L571" s="136" t="e">
        <f ca="1">VLOOKUP(A571,'銀行-TSS'!A:AK,37,FALSE)</f>
        <v>#N/A</v>
      </c>
      <c r="M571" s="136" t="str">
        <f ca="1">VLOOKUP(A571,'銀行-TSS'!A:AN,40,FALSE)</f>
        <v/>
      </c>
      <c r="N571" s="136" t="e">
        <f t="shared" ca="1" si="360"/>
        <v>#N/A</v>
      </c>
      <c r="O571" s="1213" t="e">
        <f t="shared" ca="1" si="361"/>
        <v>#N/A</v>
      </c>
      <c r="P571" s="1213" t="e">
        <f ca="1">IF(AND($O$1&gt;=O571,換券單檔!$D$13=D571),I571+INT(($O$1-O571)/N571)*J571,0)</f>
        <v>#N/A</v>
      </c>
      <c r="Q571" s="1213" t="e">
        <f t="shared" ca="1" si="362"/>
        <v>#N/A</v>
      </c>
      <c r="R571" s="1213">
        <f t="shared" si="363"/>
        <v>0</v>
      </c>
      <c r="S571" s="1213">
        <f t="shared" si="364"/>
        <v>0</v>
      </c>
      <c r="T571" s="136">
        <f>IF(OR(R571=0,A571=0),0,IF(AND(V571=TRUE,換券單檔!$D$13=D571),E571,0))</f>
        <v>0</v>
      </c>
      <c r="U571" s="861">
        <f>IF(OR(R571=0,A571=0),0,IF(AND(V571=TRUE,換券單檔!$D$13=D571),H571,0))</f>
        <v>0</v>
      </c>
      <c r="V571" s="136" t="e">
        <f ca="1">IF(OR(B571=換券單檔!$D$3,L571="無",M571&lt;&gt;"",K571="高資產",IFERROR(MATCH(B571,換券單檔!K:K,0),"N")&lt;&gt;"N"),FALSE,IF($V$1="All",TRUE,IF(K571=$V$1,TRUE,FALSE)))</f>
        <v>#N/A</v>
      </c>
      <c r="W571" s="136" t="e">
        <f ca="1">VLOOKUP(A571,'銀行-TSS'!A:AO,41,FALSE)</f>
        <v>#N/A</v>
      </c>
      <c r="X571" s="136" t="e">
        <f ca="1">VLOOKUP(A571,'銀行-TSS'!A:AP,42,FALSE)</f>
        <v>#N/A</v>
      </c>
      <c r="Y571" s="1220">
        <f t="shared" si="365"/>
        <v>0</v>
      </c>
      <c r="Z571" s="1220">
        <f t="shared" si="366"/>
        <v>0</v>
      </c>
      <c r="AA571" s="136">
        <f>IF(Z571&lt;=0,0,RANK(Z571,Z:Z)+COUNTIF($Z$3:$Z571,Z571)-1)</f>
        <v>0</v>
      </c>
      <c r="AB571" s="1211">
        <f t="shared" ca="1" si="367"/>
        <v>-14896.14</v>
      </c>
      <c r="AC571" s="136">
        <f ca="1">IF(AB571&lt;=0,0,RANK(AB571,AB:AB)+COUNTIF($AB$3:$AB571,AB571)-1)</f>
        <v>0</v>
      </c>
      <c r="AD571" s="1123">
        <f t="shared" si="368"/>
        <v>99999</v>
      </c>
      <c r="AE571" s="1123">
        <f>IF(AD571=99999,0,RANK(AD571,AD:AD,1)+COUNTIF($AD$3:$AD571,AD571)-1)</f>
        <v>0</v>
      </c>
      <c r="AF571" s="86" t="e">
        <f ca="1">IF(OR(M571&lt;&gt;"",L571="無",K571="高資產",IFERROR(MATCH(B571,換券單檔!K:K,0),"N")&lt;&gt;"N"),FALSE,TRUE)</f>
        <v>#N/A</v>
      </c>
      <c r="AI571" s="1212" t="e">
        <f t="shared" ca="1" si="369"/>
        <v>#N/A</v>
      </c>
      <c r="AJ571" s="1213" t="e">
        <f t="shared" ca="1" si="370"/>
        <v>#N/A</v>
      </c>
      <c r="AK571" s="1587">
        <f t="shared" si="371"/>
        <v>0</v>
      </c>
      <c r="AN571" s="1212" t="e">
        <f t="shared" ca="1" si="372"/>
        <v>#N/A</v>
      </c>
      <c r="AO571" s="1213" t="e">
        <f t="shared" ca="1" si="373"/>
        <v>#N/A</v>
      </c>
      <c r="AP571" s="1587">
        <f t="shared" si="374"/>
        <v>0</v>
      </c>
      <c r="AS571" s="1212" t="e">
        <f t="shared" ca="1" si="375"/>
        <v>#N/A</v>
      </c>
      <c r="AT571" s="1213" t="e">
        <f t="shared" ca="1" si="376"/>
        <v>#N/A</v>
      </c>
      <c r="AU571" s="1587">
        <f t="shared" si="377"/>
        <v>0</v>
      </c>
      <c r="AX571" s="1212" t="e">
        <f t="shared" ca="1" si="378"/>
        <v>#N/A</v>
      </c>
      <c r="AY571" s="1213" t="e">
        <f t="shared" ca="1" si="379"/>
        <v>#N/A</v>
      </c>
      <c r="AZ571" s="1587">
        <f t="shared" si="380"/>
        <v>0</v>
      </c>
      <c r="BC571" s="1212" t="e">
        <f t="shared" ca="1" si="381"/>
        <v>#N/A</v>
      </c>
      <c r="BD571" s="1213" t="e">
        <f t="shared" ca="1" si="382"/>
        <v>#N/A</v>
      </c>
      <c r="BE571" s="1587">
        <f t="shared" si="383"/>
        <v>0</v>
      </c>
      <c r="BH571" s="1212" t="e">
        <f t="shared" ca="1" si="384"/>
        <v>#N/A</v>
      </c>
      <c r="BI571" s="1213" t="e">
        <f t="shared" ca="1" si="385"/>
        <v>#N/A</v>
      </c>
      <c r="BJ571" s="1587">
        <f t="shared" si="386"/>
        <v>0</v>
      </c>
      <c r="BM571" s="1212" t="e">
        <f t="shared" ca="1" si="387"/>
        <v>#N/A</v>
      </c>
      <c r="BN571" s="1213" t="e">
        <f t="shared" ca="1" si="388"/>
        <v>#N/A</v>
      </c>
      <c r="BO571" s="1587">
        <f t="shared" si="389"/>
        <v>0</v>
      </c>
      <c r="BR571" s="1212" t="e">
        <f t="shared" ca="1" si="390"/>
        <v>#N/A</v>
      </c>
      <c r="BS571" s="1213" t="e">
        <f t="shared" ca="1" si="391"/>
        <v>#N/A</v>
      </c>
      <c r="BT571" s="1587">
        <f t="shared" si="392"/>
        <v>0</v>
      </c>
      <c r="BW571" s="1212" t="e">
        <f t="shared" ca="1" si="393"/>
        <v>#N/A</v>
      </c>
      <c r="BX571" s="1213" t="e">
        <f t="shared" ca="1" si="394"/>
        <v>#N/A</v>
      </c>
      <c r="BY571" s="1587">
        <f t="shared" si="395"/>
        <v>0</v>
      </c>
      <c r="CB571" s="1212" t="e">
        <f t="shared" ca="1" si="396"/>
        <v>#N/A</v>
      </c>
      <c r="CC571" s="1213" t="e">
        <f t="shared" ca="1" si="397"/>
        <v>#N/A</v>
      </c>
      <c r="CD571" s="1587">
        <f t="shared" si="398"/>
        <v>0</v>
      </c>
      <c r="CG571" s="1212" t="e">
        <f t="shared" ca="1" si="399"/>
        <v>#N/A</v>
      </c>
      <c r="CH571" s="1213" t="e">
        <f t="shared" ca="1" si="400"/>
        <v>#N/A</v>
      </c>
      <c r="CI571" s="1587">
        <f t="shared" si="401"/>
        <v>0</v>
      </c>
      <c r="CL571" s="1212" t="e">
        <f t="shared" ca="1" si="402"/>
        <v>#N/A</v>
      </c>
      <c r="CM571" s="1213" t="e">
        <f t="shared" ca="1" si="403"/>
        <v>#N/A</v>
      </c>
      <c r="CN571" s="1587">
        <f t="shared" si="404"/>
        <v>0</v>
      </c>
    </row>
    <row r="572" spans="1:92">
      <c r="A572" s="141">
        <f>'銀行-TSS'!A572</f>
        <v>0</v>
      </c>
      <c r="B572" s="151">
        <f ca="1">VLOOKUP(A572,'銀行-TSS'!A:B,2,FALSE)</f>
        <v>0</v>
      </c>
      <c r="C572" s="151" t="e">
        <f ca="1">VLOOKUP(B572,bond!B:C,2,FALSE)</f>
        <v>#N/A</v>
      </c>
      <c r="D572" s="95" t="e">
        <f>VLOOKUP(A572,'銀行-TSS'!A:C,3,FALSE)</f>
        <v>#N/A</v>
      </c>
      <c r="E572" s="90" t="e">
        <f ca="1">VLOOKUP(A572,'銀行-TSS'!A:G,7,FALSE)</f>
        <v>#N/A</v>
      </c>
      <c r="F572" s="202" t="e">
        <f ca="1">VLOOKUP(A572,'銀行-TSS'!A:H,8,FALSE)</f>
        <v>#N/A</v>
      </c>
      <c r="G572" s="96" t="e">
        <f ca="1">VLOOKUP(A572,'銀行-TSS'!A:K,11,FALSE)</f>
        <v>#N/A</v>
      </c>
      <c r="H572" s="1209" t="e">
        <f ca="1">VLOOKUP(A572,'銀行-TSS'!A:M,13,FALSE)</f>
        <v>#N/A</v>
      </c>
      <c r="I572" s="1213" t="e">
        <f ca="1">VLOOKUP(A572,'銀行-TSS'!A:N,14,FALSE)</f>
        <v>#N/A</v>
      </c>
      <c r="J572" s="1213" t="e">
        <f ca="1">VLOOKUP(A572,'銀行-TSS'!A:O,15,FALSE)</f>
        <v>#N/A</v>
      </c>
      <c r="K572" s="136" t="e">
        <f ca="1">VLOOKUP(A572,'銀行-TSS'!A:V,22,FALSE)</f>
        <v>#N/A</v>
      </c>
      <c r="L572" s="136" t="e">
        <f ca="1">VLOOKUP(A572,'銀行-TSS'!A:AK,37,FALSE)</f>
        <v>#N/A</v>
      </c>
      <c r="M572" s="136" t="str">
        <f ca="1">VLOOKUP(A572,'銀行-TSS'!A:AN,40,FALSE)</f>
        <v/>
      </c>
      <c r="N572" s="136" t="e">
        <f t="shared" ca="1" si="360"/>
        <v>#N/A</v>
      </c>
      <c r="O572" s="1213" t="e">
        <f t="shared" ca="1" si="361"/>
        <v>#N/A</v>
      </c>
      <c r="P572" s="1213" t="e">
        <f ca="1">IF(AND($O$1&gt;=O572,換券單檔!$D$13=D572),I572+INT(($O$1-O572)/N572)*J572,0)</f>
        <v>#N/A</v>
      </c>
      <c r="Q572" s="1213" t="e">
        <f t="shared" ca="1" si="362"/>
        <v>#N/A</v>
      </c>
      <c r="R572" s="1213">
        <f t="shared" si="363"/>
        <v>0</v>
      </c>
      <c r="S572" s="1213">
        <f t="shared" si="364"/>
        <v>0</v>
      </c>
      <c r="T572" s="136">
        <f>IF(OR(R572=0,A572=0),0,IF(AND(V572=TRUE,換券單檔!$D$13=D572),E572,0))</f>
        <v>0</v>
      </c>
      <c r="U572" s="861">
        <f>IF(OR(R572=0,A572=0),0,IF(AND(V572=TRUE,換券單檔!$D$13=D572),H572,0))</f>
        <v>0</v>
      </c>
      <c r="V572" s="136" t="e">
        <f ca="1">IF(OR(B572=換券單檔!$D$3,L572="無",M572&lt;&gt;"",K572="高資產",IFERROR(MATCH(B572,換券單檔!K:K,0),"N")&lt;&gt;"N"),FALSE,IF($V$1="All",TRUE,IF(K572=$V$1,TRUE,FALSE)))</f>
        <v>#N/A</v>
      </c>
      <c r="W572" s="136" t="e">
        <f ca="1">VLOOKUP(A572,'銀行-TSS'!A:AO,41,FALSE)</f>
        <v>#N/A</v>
      </c>
      <c r="X572" s="136" t="e">
        <f ca="1">VLOOKUP(A572,'銀行-TSS'!A:AP,42,FALSE)</f>
        <v>#N/A</v>
      </c>
      <c r="Y572" s="1220">
        <f t="shared" si="365"/>
        <v>0</v>
      </c>
      <c r="Z572" s="1220">
        <f t="shared" si="366"/>
        <v>0</v>
      </c>
      <c r="AA572" s="136">
        <f>IF(Z572&lt;=0,0,RANK(Z572,Z:Z)+COUNTIF($Z$3:$Z572,Z572)-1)</f>
        <v>0</v>
      </c>
      <c r="AB572" s="1211">
        <f t="shared" ca="1" si="367"/>
        <v>-14896.14</v>
      </c>
      <c r="AC572" s="136">
        <f ca="1">IF(AB572&lt;=0,0,RANK(AB572,AB:AB)+COUNTIF($AB$3:$AB572,AB572)-1)</f>
        <v>0</v>
      </c>
      <c r="AD572" s="1123">
        <f t="shared" si="368"/>
        <v>99999</v>
      </c>
      <c r="AE572" s="1123">
        <f>IF(AD572=99999,0,RANK(AD572,AD:AD,1)+COUNTIF($AD$3:$AD572,AD572)-1)</f>
        <v>0</v>
      </c>
      <c r="AF572" s="86" t="e">
        <f ca="1">IF(OR(M572&lt;&gt;"",L572="無",K572="高資產",IFERROR(MATCH(B572,換券單檔!K:K,0),"N")&lt;&gt;"N"),FALSE,TRUE)</f>
        <v>#N/A</v>
      </c>
      <c r="AI572" s="1212" t="e">
        <f t="shared" ca="1" si="369"/>
        <v>#N/A</v>
      </c>
      <c r="AJ572" s="1213" t="e">
        <f t="shared" ca="1" si="370"/>
        <v>#N/A</v>
      </c>
      <c r="AK572" s="1587">
        <f t="shared" si="371"/>
        <v>0</v>
      </c>
      <c r="AN572" s="1212" t="e">
        <f t="shared" ca="1" si="372"/>
        <v>#N/A</v>
      </c>
      <c r="AO572" s="1213" t="e">
        <f t="shared" ca="1" si="373"/>
        <v>#N/A</v>
      </c>
      <c r="AP572" s="1587">
        <f t="shared" si="374"/>
        <v>0</v>
      </c>
      <c r="AS572" s="1212" t="e">
        <f t="shared" ca="1" si="375"/>
        <v>#N/A</v>
      </c>
      <c r="AT572" s="1213" t="e">
        <f t="shared" ca="1" si="376"/>
        <v>#N/A</v>
      </c>
      <c r="AU572" s="1587">
        <f t="shared" si="377"/>
        <v>0</v>
      </c>
      <c r="AX572" s="1212" t="e">
        <f t="shared" ca="1" si="378"/>
        <v>#N/A</v>
      </c>
      <c r="AY572" s="1213" t="e">
        <f t="shared" ca="1" si="379"/>
        <v>#N/A</v>
      </c>
      <c r="AZ572" s="1587">
        <f t="shared" si="380"/>
        <v>0</v>
      </c>
      <c r="BC572" s="1212" t="e">
        <f t="shared" ca="1" si="381"/>
        <v>#N/A</v>
      </c>
      <c r="BD572" s="1213" t="e">
        <f t="shared" ca="1" si="382"/>
        <v>#N/A</v>
      </c>
      <c r="BE572" s="1587">
        <f t="shared" si="383"/>
        <v>0</v>
      </c>
      <c r="BH572" s="1212" t="e">
        <f t="shared" ca="1" si="384"/>
        <v>#N/A</v>
      </c>
      <c r="BI572" s="1213" t="e">
        <f t="shared" ca="1" si="385"/>
        <v>#N/A</v>
      </c>
      <c r="BJ572" s="1587">
        <f t="shared" si="386"/>
        <v>0</v>
      </c>
      <c r="BM572" s="1212" t="e">
        <f t="shared" ca="1" si="387"/>
        <v>#N/A</v>
      </c>
      <c r="BN572" s="1213" t="e">
        <f t="shared" ca="1" si="388"/>
        <v>#N/A</v>
      </c>
      <c r="BO572" s="1587">
        <f t="shared" si="389"/>
        <v>0</v>
      </c>
      <c r="BR572" s="1212" t="e">
        <f t="shared" ca="1" si="390"/>
        <v>#N/A</v>
      </c>
      <c r="BS572" s="1213" t="e">
        <f t="shared" ca="1" si="391"/>
        <v>#N/A</v>
      </c>
      <c r="BT572" s="1587">
        <f t="shared" si="392"/>
        <v>0</v>
      </c>
      <c r="BW572" s="1212" t="e">
        <f t="shared" ca="1" si="393"/>
        <v>#N/A</v>
      </c>
      <c r="BX572" s="1213" t="e">
        <f t="shared" ca="1" si="394"/>
        <v>#N/A</v>
      </c>
      <c r="BY572" s="1587">
        <f t="shared" si="395"/>
        <v>0</v>
      </c>
      <c r="CB572" s="1212" t="e">
        <f t="shared" ca="1" si="396"/>
        <v>#N/A</v>
      </c>
      <c r="CC572" s="1213" t="e">
        <f t="shared" ca="1" si="397"/>
        <v>#N/A</v>
      </c>
      <c r="CD572" s="1587">
        <f t="shared" si="398"/>
        <v>0</v>
      </c>
      <c r="CG572" s="1212" t="e">
        <f t="shared" ca="1" si="399"/>
        <v>#N/A</v>
      </c>
      <c r="CH572" s="1213" t="e">
        <f t="shared" ca="1" si="400"/>
        <v>#N/A</v>
      </c>
      <c r="CI572" s="1587">
        <f t="shared" si="401"/>
        <v>0</v>
      </c>
      <c r="CL572" s="1212" t="e">
        <f t="shared" ca="1" si="402"/>
        <v>#N/A</v>
      </c>
      <c r="CM572" s="1213" t="e">
        <f t="shared" ca="1" si="403"/>
        <v>#N/A</v>
      </c>
      <c r="CN572" s="1587">
        <f t="shared" si="404"/>
        <v>0</v>
      </c>
    </row>
    <row r="573" spans="1:92">
      <c r="A573" s="141">
        <f>'銀行-TSS'!A573</f>
        <v>0</v>
      </c>
      <c r="B573" s="151">
        <f ca="1">VLOOKUP(A573,'銀行-TSS'!A:B,2,FALSE)</f>
        <v>0</v>
      </c>
      <c r="C573" s="151" t="e">
        <f ca="1">VLOOKUP(B573,bond!B:C,2,FALSE)</f>
        <v>#N/A</v>
      </c>
      <c r="D573" s="95" t="e">
        <f>VLOOKUP(A573,'銀行-TSS'!A:C,3,FALSE)</f>
        <v>#N/A</v>
      </c>
      <c r="E573" s="90" t="e">
        <f ca="1">VLOOKUP(A573,'銀行-TSS'!A:G,7,FALSE)</f>
        <v>#N/A</v>
      </c>
      <c r="F573" s="202" t="e">
        <f ca="1">VLOOKUP(A573,'銀行-TSS'!A:H,8,FALSE)</f>
        <v>#N/A</v>
      </c>
      <c r="G573" s="96" t="e">
        <f ca="1">VLOOKUP(A573,'銀行-TSS'!A:K,11,FALSE)</f>
        <v>#N/A</v>
      </c>
      <c r="H573" s="1209" t="e">
        <f ca="1">VLOOKUP(A573,'銀行-TSS'!A:M,13,FALSE)</f>
        <v>#N/A</v>
      </c>
      <c r="I573" s="1213" t="e">
        <f ca="1">VLOOKUP(A573,'銀行-TSS'!A:N,14,FALSE)</f>
        <v>#N/A</v>
      </c>
      <c r="J573" s="1213" t="e">
        <f ca="1">VLOOKUP(A573,'銀行-TSS'!A:O,15,FALSE)</f>
        <v>#N/A</v>
      </c>
      <c r="K573" s="136" t="e">
        <f ca="1">VLOOKUP(A573,'銀行-TSS'!A:V,22,FALSE)</f>
        <v>#N/A</v>
      </c>
      <c r="L573" s="136" t="e">
        <f ca="1">VLOOKUP(A573,'銀行-TSS'!A:AK,37,FALSE)</f>
        <v>#N/A</v>
      </c>
      <c r="M573" s="136" t="str">
        <f ca="1">VLOOKUP(A573,'銀行-TSS'!A:AN,40,FALSE)</f>
        <v/>
      </c>
      <c r="N573" s="136" t="e">
        <f t="shared" ca="1" si="360"/>
        <v>#N/A</v>
      </c>
      <c r="O573" s="1213" t="e">
        <f t="shared" ca="1" si="361"/>
        <v>#N/A</v>
      </c>
      <c r="P573" s="1213" t="e">
        <f ca="1">IF(AND($O$1&gt;=O573,換券單檔!$D$13=D573),I573+INT(($O$1-O573)/N573)*J573,0)</f>
        <v>#N/A</v>
      </c>
      <c r="Q573" s="1213" t="e">
        <f t="shared" ca="1" si="362"/>
        <v>#N/A</v>
      </c>
      <c r="R573" s="1213">
        <f t="shared" si="363"/>
        <v>0</v>
      </c>
      <c r="S573" s="1213">
        <f t="shared" si="364"/>
        <v>0</v>
      </c>
      <c r="T573" s="136">
        <f>IF(OR(R573=0,A573=0),0,IF(AND(V573=TRUE,換券單檔!$D$13=D573),E573,0))</f>
        <v>0</v>
      </c>
      <c r="U573" s="861">
        <f>IF(OR(R573=0,A573=0),0,IF(AND(V573=TRUE,換券單檔!$D$13=D573),H573,0))</f>
        <v>0</v>
      </c>
      <c r="V573" s="136" t="e">
        <f ca="1">IF(OR(B573=換券單檔!$D$3,L573="無",M573&lt;&gt;"",K573="高資產",IFERROR(MATCH(B573,換券單檔!K:K,0),"N")&lt;&gt;"N"),FALSE,IF($V$1="All",TRUE,IF(K573=$V$1,TRUE,FALSE)))</f>
        <v>#N/A</v>
      </c>
      <c r="W573" s="136" t="e">
        <f ca="1">VLOOKUP(A573,'銀行-TSS'!A:AO,41,FALSE)</f>
        <v>#N/A</v>
      </c>
      <c r="X573" s="136" t="e">
        <f ca="1">VLOOKUP(A573,'銀行-TSS'!A:AP,42,FALSE)</f>
        <v>#N/A</v>
      </c>
      <c r="Y573" s="1220">
        <f t="shared" si="365"/>
        <v>0</v>
      </c>
      <c r="Z573" s="1220">
        <f t="shared" si="366"/>
        <v>0</v>
      </c>
      <c r="AA573" s="136">
        <f>IF(Z573&lt;=0,0,RANK(Z573,Z:Z)+COUNTIF($Z$3:$Z573,Z573)-1)</f>
        <v>0</v>
      </c>
      <c r="AB573" s="1211">
        <f t="shared" ca="1" si="367"/>
        <v>-14896.14</v>
      </c>
      <c r="AC573" s="136">
        <f ca="1">IF(AB573&lt;=0,0,RANK(AB573,AB:AB)+COUNTIF($AB$3:$AB573,AB573)-1)</f>
        <v>0</v>
      </c>
      <c r="AD573" s="1123">
        <f t="shared" si="368"/>
        <v>99999</v>
      </c>
      <c r="AE573" s="1123">
        <f>IF(AD573=99999,0,RANK(AD573,AD:AD,1)+COUNTIF($AD$3:$AD573,AD573)-1)</f>
        <v>0</v>
      </c>
      <c r="AF573" s="86" t="e">
        <f ca="1">IF(OR(M573&lt;&gt;"",L573="無",K573="高資產",IFERROR(MATCH(B573,換券單檔!K:K,0),"N")&lt;&gt;"N"),FALSE,TRUE)</f>
        <v>#N/A</v>
      </c>
      <c r="AI573" s="1212" t="e">
        <f t="shared" ca="1" si="369"/>
        <v>#N/A</v>
      </c>
      <c r="AJ573" s="1213" t="e">
        <f t="shared" ca="1" si="370"/>
        <v>#N/A</v>
      </c>
      <c r="AK573" s="1587">
        <f t="shared" si="371"/>
        <v>0</v>
      </c>
      <c r="AN573" s="1212" t="e">
        <f t="shared" ca="1" si="372"/>
        <v>#N/A</v>
      </c>
      <c r="AO573" s="1213" t="e">
        <f t="shared" ca="1" si="373"/>
        <v>#N/A</v>
      </c>
      <c r="AP573" s="1587">
        <f t="shared" si="374"/>
        <v>0</v>
      </c>
      <c r="AS573" s="1212" t="e">
        <f t="shared" ca="1" si="375"/>
        <v>#N/A</v>
      </c>
      <c r="AT573" s="1213" t="e">
        <f t="shared" ca="1" si="376"/>
        <v>#N/A</v>
      </c>
      <c r="AU573" s="1587">
        <f t="shared" si="377"/>
        <v>0</v>
      </c>
      <c r="AX573" s="1212" t="e">
        <f t="shared" ca="1" si="378"/>
        <v>#N/A</v>
      </c>
      <c r="AY573" s="1213" t="e">
        <f t="shared" ca="1" si="379"/>
        <v>#N/A</v>
      </c>
      <c r="AZ573" s="1587">
        <f t="shared" si="380"/>
        <v>0</v>
      </c>
      <c r="BC573" s="1212" t="e">
        <f t="shared" ca="1" si="381"/>
        <v>#N/A</v>
      </c>
      <c r="BD573" s="1213" t="e">
        <f t="shared" ca="1" si="382"/>
        <v>#N/A</v>
      </c>
      <c r="BE573" s="1587">
        <f t="shared" si="383"/>
        <v>0</v>
      </c>
      <c r="BH573" s="1212" t="e">
        <f t="shared" ca="1" si="384"/>
        <v>#N/A</v>
      </c>
      <c r="BI573" s="1213" t="e">
        <f t="shared" ca="1" si="385"/>
        <v>#N/A</v>
      </c>
      <c r="BJ573" s="1587">
        <f t="shared" si="386"/>
        <v>0</v>
      </c>
      <c r="BM573" s="1212" t="e">
        <f t="shared" ca="1" si="387"/>
        <v>#N/A</v>
      </c>
      <c r="BN573" s="1213" t="e">
        <f t="shared" ca="1" si="388"/>
        <v>#N/A</v>
      </c>
      <c r="BO573" s="1587">
        <f t="shared" si="389"/>
        <v>0</v>
      </c>
      <c r="BR573" s="1212" t="e">
        <f t="shared" ca="1" si="390"/>
        <v>#N/A</v>
      </c>
      <c r="BS573" s="1213" t="e">
        <f t="shared" ca="1" si="391"/>
        <v>#N/A</v>
      </c>
      <c r="BT573" s="1587">
        <f t="shared" si="392"/>
        <v>0</v>
      </c>
      <c r="BW573" s="1212" t="e">
        <f t="shared" ca="1" si="393"/>
        <v>#N/A</v>
      </c>
      <c r="BX573" s="1213" t="e">
        <f t="shared" ca="1" si="394"/>
        <v>#N/A</v>
      </c>
      <c r="BY573" s="1587">
        <f t="shared" si="395"/>
        <v>0</v>
      </c>
      <c r="CB573" s="1212" t="e">
        <f t="shared" ca="1" si="396"/>
        <v>#N/A</v>
      </c>
      <c r="CC573" s="1213" t="e">
        <f t="shared" ca="1" si="397"/>
        <v>#N/A</v>
      </c>
      <c r="CD573" s="1587">
        <f t="shared" si="398"/>
        <v>0</v>
      </c>
      <c r="CG573" s="1212" t="e">
        <f t="shared" ca="1" si="399"/>
        <v>#N/A</v>
      </c>
      <c r="CH573" s="1213" t="e">
        <f t="shared" ca="1" si="400"/>
        <v>#N/A</v>
      </c>
      <c r="CI573" s="1587">
        <f t="shared" si="401"/>
        <v>0</v>
      </c>
      <c r="CL573" s="1212" t="e">
        <f t="shared" ca="1" si="402"/>
        <v>#N/A</v>
      </c>
      <c r="CM573" s="1213" t="e">
        <f t="shared" ca="1" si="403"/>
        <v>#N/A</v>
      </c>
      <c r="CN573" s="1587">
        <f t="shared" si="404"/>
        <v>0</v>
      </c>
    </row>
    <row r="574" spans="1:92">
      <c r="A574" s="141">
        <f>'銀行-TSS'!A574</f>
        <v>0</v>
      </c>
      <c r="B574" s="151">
        <f ca="1">VLOOKUP(A574,'銀行-TSS'!A:B,2,FALSE)</f>
        <v>0</v>
      </c>
      <c r="C574" s="151" t="e">
        <f ca="1">VLOOKUP(B574,bond!B:C,2,FALSE)</f>
        <v>#N/A</v>
      </c>
      <c r="D574" s="95" t="e">
        <f>VLOOKUP(A574,'銀行-TSS'!A:C,3,FALSE)</f>
        <v>#N/A</v>
      </c>
      <c r="E574" s="90" t="e">
        <f ca="1">VLOOKUP(A574,'銀行-TSS'!A:G,7,FALSE)</f>
        <v>#N/A</v>
      </c>
      <c r="F574" s="202" t="e">
        <f ca="1">VLOOKUP(A574,'銀行-TSS'!A:H,8,FALSE)</f>
        <v>#N/A</v>
      </c>
      <c r="G574" s="96" t="e">
        <f ca="1">VLOOKUP(A574,'銀行-TSS'!A:K,11,FALSE)</f>
        <v>#N/A</v>
      </c>
      <c r="H574" s="1209" t="e">
        <f ca="1">VLOOKUP(A574,'銀行-TSS'!A:M,13,FALSE)</f>
        <v>#N/A</v>
      </c>
      <c r="I574" s="1213" t="e">
        <f ca="1">VLOOKUP(A574,'銀行-TSS'!A:N,14,FALSE)</f>
        <v>#N/A</v>
      </c>
      <c r="J574" s="1213" t="e">
        <f ca="1">VLOOKUP(A574,'銀行-TSS'!A:O,15,FALSE)</f>
        <v>#N/A</v>
      </c>
      <c r="K574" s="136" t="e">
        <f ca="1">VLOOKUP(A574,'銀行-TSS'!A:V,22,FALSE)</f>
        <v>#N/A</v>
      </c>
      <c r="L574" s="136" t="e">
        <f ca="1">VLOOKUP(A574,'銀行-TSS'!A:AK,37,FALSE)</f>
        <v>#N/A</v>
      </c>
      <c r="M574" s="136" t="str">
        <f ca="1">VLOOKUP(A574,'銀行-TSS'!A:AN,40,FALSE)</f>
        <v/>
      </c>
      <c r="N574" s="136" t="e">
        <f t="shared" ca="1" si="360"/>
        <v>#N/A</v>
      </c>
      <c r="O574" s="1213" t="e">
        <f t="shared" ca="1" si="361"/>
        <v>#N/A</v>
      </c>
      <c r="P574" s="1213" t="e">
        <f ca="1">IF(AND($O$1&gt;=O574,換券單檔!$D$13=D574),I574+INT(($O$1-O574)/N574)*J574,0)</f>
        <v>#N/A</v>
      </c>
      <c r="Q574" s="1213" t="e">
        <f t="shared" ca="1" si="362"/>
        <v>#N/A</v>
      </c>
      <c r="R574" s="1213">
        <f t="shared" si="363"/>
        <v>0</v>
      </c>
      <c r="S574" s="1213">
        <f t="shared" si="364"/>
        <v>0</v>
      </c>
      <c r="T574" s="136">
        <f>IF(OR(R574=0,A574=0),0,IF(AND(V574=TRUE,換券單檔!$D$13=D574),E574,0))</f>
        <v>0</v>
      </c>
      <c r="U574" s="861">
        <f>IF(OR(R574=0,A574=0),0,IF(AND(V574=TRUE,換券單檔!$D$13=D574),H574,0))</f>
        <v>0</v>
      </c>
      <c r="V574" s="136" t="e">
        <f ca="1">IF(OR(B574=換券單檔!$D$3,L574="無",M574&lt;&gt;"",K574="高資產",IFERROR(MATCH(B574,換券單檔!K:K,0),"N")&lt;&gt;"N"),FALSE,IF($V$1="All",TRUE,IF(K574=$V$1,TRUE,FALSE)))</f>
        <v>#N/A</v>
      </c>
      <c r="W574" s="136" t="e">
        <f ca="1">VLOOKUP(A574,'銀行-TSS'!A:AO,41,FALSE)</f>
        <v>#N/A</v>
      </c>
      <c r="X574" s="136" t="e">
        <f ca="1">VLOOKUP(A574,'銀行-TSS'!A:AP,42,FALSE)</f>
        <v>#N/A</v>
      </c>
      <c r="Y574" s="1220">
        <f t="shared" si="365"/>
        <v>0</v>
      </c>
      <c r="Z574" s="1220">
        <f t="shared" si="366"/>
        <v>0</v>
      </c>
      <c r="AA574" s="136">
        <f>IF(Z574&lt;=0,0,RANK(Z574,Z:Z)+COUNTIF($Z$3:$Z574,Z574)-1)</f>
        <v>0</v>
      </c>
      <c r="AB574" s="1211">
        <f t="shared" ca="1" si="367"/>
        <v>-14896.14</v>
      </c>
      <c r="AC574" s="136">
        <f ca="1">IF(AB574&lt;=0,0,RANK(AB574,AB:AB)+COUNTIF($AB$3:$AB574,AB574)-1)</f>
        <v>0</v>
      </c>
      <c r="AD574" s="1123">
        <f t="shared" si="368"/>
        <v>99999</v>
      </c>
      <c r="AE574" s="1123">
        <f>IF(AD574=99999,0,RANK(AD574,AD:AD,1)+COUNTIF($AD$3:$AD574,AD574)-1)</f>
        <v>0</v>
      </c>
      <c r="AF574" s="86" t="e">
        <f ca="1">IF(OR(M574&lt;&gt;"",L574="無",K574="高資產",IFERROR(MATCH(B574,換券單檔!K:K,0),"N")&lt;&gt;"N"),FALSE,TRUE)</f>
        <v>#N/A</v>
      </c>
      <c r="AI574" s="1212" t="e">
        <f t="shared" ca="1" si="369"/>
        <v>#N/A</v>
      </c>
      <c r="AJ574" s="1213" t="e">
        <f t="shared" ca="1" si="370"/>
        <v>#N/A</v>
      </c>
      <c r="AK574" s="1587">
        <f t="shared" si="371"/>
        <v>0</v>
      </c>
      <c r="AN574" s="1212" t="e">
        <f t="shared" ca="1" si="372"/>
        <v>#N/A</v>
      </c>
      <c r="AO574" s="1213" t="e">
        <f t="shared" ca="1" si="373"/>
        <v>#N/A</v>
      </c>
      <c r="AP574" s="1587">
        <f t="shared" si="374"/>
        <v>0</v>
      </c>
      <c r="AS574" s="1212" t="e">
        <f t="shared" ca="1" si="375"/>
        <v>#N/A</v>
      </c>
      <c r="AT574" s="1213" t="e">
        <f t="shared" ca="1" si="376"/>
        <v>#N/A</v>
      </c>
      <c r="AU574" s="1587">
        <f t="shared" si="377"/>
        <v>0</v>
      </c>
      <c r="AX574" s="1212" t="e">
        <f t="shared" ca="1" si="378"/>
        <v>#N/A</v>
      </c>
      <c r="AY574" s="1213" t="e">
        <f t="shared" ca="1" si="379"/>
        <v>#N/A</v>
      </c>
      <c r="AZ574" s="1587">
        <f t="shared" si="380"/>
        <v>0</v>
      </c>
      <c r="BC574" s="1212" t="e">
        <f t="shared" ca="1" si="381"/>
        <v>#N/A</v>
      </c>
      <c r="BD574" s="1213" t="e">
        <f t="shared" ca="1" si="382"/>
        <v>#N/A</v>
      </c>
      <c r="BE574" s="1587">
        <f t="shared" si="383"/>
        <v>0</v>
      </c>
      <c r="BH574" s="1212" t="e">
        <f t="shared" ca="1" si="384"/>
        <v>#N/A</v>
      </c>
      <c r="BI574" s="1213" t="e">
        <f t="shared" ca="1" si="385"/>
        <v>#N/A</v>
      </c>
      <c r="BJ574" s="1587">
        <f t="shared" si="386"/>
        <v>0</v>
      </c>
      <c r="BM574" s="1212" t="e">
        <f t="shared" ca="1" si="387"/>
        <v>#N/A</v>
      </c>
      <c r="BN574" s="1213" t="e">
        <f t="shared" ca="1" si="388"/>
        <v>#N/A</v>
      </c>
      <c r="BO574" s="1587">
        <f t="shared" si="389"/>
        <v>0</v>
      </c>
      <c r="BR574" s="1212" t="e">
        <f t="shared" ca="1" si="390"/>
        <v>#N/A</v>
      </c>
      <c r="BS574" s="1213" t="e">
        <f t="shared" ca="1" si="391"/>
        <v>#N/A</v>
      </c>
      <c r="BT574" s="1587">
        <f t="shared" si="392"/>
        <v>0</v>
      </c>
      <c r="BW574" s="1212" t="e">
        <f t="shared" ca="1" si="393"/>
        <v>#N/A</v>
      </c>
      <c r="BX574" s="1213" t="e">
        <f t="shared" ca="1" si="394"/>
        <v>#N/A</v>
      </c>
      <c r="BY574" s="1587">
        <f t="shared" si="395"/>
        <v>0</v>
      </c>
      <c r="CB574" s="1212" t="e">
        <f t="shared" ca="1" si="396"/>
        <v>#N/A</v>
      </c>
      <c r="CC574" s="1213" t="e">
        <f t="shared" ca="1" si="397"/>
        <v>#N/A</v>
      </c>
      <c r="CD574" s="1587">
        <f t="shared" si="398"/>
        <v>0</v>
      </c>
      <c r="CG574" s="1212" t="e">
        <f t="shared" ca="1" si="399"/>
        <v>#N/A</v>
      </c>
      <c r="CH574" s="1213" t="e">
        <f t="shared" ca="1" si="400"/>
        <v>#N/A</v>
      </c>
      <c r="CI574" s="1587">
        <f t="shared" si="401"/>
        <v>0</v>
      </c>
      <c r="CL574" s="1212" t="e">
        <f t="shared" ca="1" si="402"/>
        <v>#N/A</v>
      </c>
      <c r="CM574" s="1213" t="e">
        <f t="shared" ca="1" si="403"/>
        <v>#N/A</v>
      </c>
      <c r="CN574" s="1587">
        <f t="shared" si="404"/>
        <v>0</v>
      </c>
    </row>
    <row r="575" spans="1:92">
      <c r="A575" s="141">
        <f>'銀行-TSS'!A575</f>
        <v>0</v>
      </c>
      <c r="B575" s="151">
        <f ca="1">VLOOKUP(A575,'銀行-TSS'!A:B,2,FALSE)</f>
        <v>0</v>
      </c>
      <c r="C575" s="151" t="e">
        <f ca="1">VLOOKUP(B575,bond!B:C,2,FALSE)</f>
        <v>#N/A</v>
      </c>
      <c r="D575" s="95" t="e">
        <f>VLOOKUP(A575,'銀行-TSS'!A:C,3,FALSE)</f>
        <v>#N/A</v>
      </c>
      <c r="E575" s="90" t="e">
        <f ca="1">VLOOKUP(A575,'銀行-TSS'!A:G,7,FALSE)</f>
        <v>#N/A</v>
      </c>
      <c r="F575" s="202" t="e">
        <f ca="1">VLOOKUP(A575,'銀行-TSS'!A:H,8,FALSE)</f>
        <v>#N/A</v>
      </c>
      <c r="G575" s="96" t="e">
        <f ca="1">VLOOKUP(A575,'銀行-TSS'!A:K,11,FALSE)</f>
        <v>#N/A</v>
      </c>
      <c r="H575" s="1209" t="e">
        <f ca="1">VLOOKUP(A575,'銀行-TSS'!A:M,13,FALSE)</f>
        <v>#N/A</v>
      </c>
      <c r="I575" s="1213" t="e">
        <f ca="1">VLOOKUP(A575,'銀行-TSS'!A:N,14,FALSE)</f>
        <v>#N/A</v>
      </c>
      <c r="J575" s="1213" t="e">
        <f ca="1">VLOOKUP(A575,'銀行-TSS'!A:O,15,FALSE)</f>
        <v>#N/A</v>
      </c>
      <c r="K575" s="136" t="e">
        <f ca="1">VLOOKUP(A575,'銀行-TSS'!A:V,22,FALSE)</f>
        <v>#N/A</v>
      </c>
      <c r="L575" s="136" t="e">
        <f ca="1">VLOOKUP(A575,'銀行-TSS'!A:AK,37,FALSE)</f>
        <v>#N/A</v>
      </c>
      <c r="M575" s="136" t="str">
        <f ca="1">VLOOKUP(A575,'銀行-TSS'!A:AN,40,FALSE)</f>
        <v/>
      </c>
      <c r="N575" s="136" t="e">
        <f t="shared" ca="1" si="360"/>
        <v>#N/A</v>
      </c>
      <c r="O575" s="1213" t="e">
        <f t="shared" ca="1" si="361"/>
        <v>#N/A</v>
      </c>
      <c r="P575" s="1213" t="e">
        <f ca="1">IF(AND($O$1&gt;=O575,換券單檔!$D$13=D575),I575+INT(($O$1-O575)/N575)*J575,0)</f>
        <v>#N/A</v>
      </c>
      <c r="Q575" s="1213" t="e">
        <f t="shared" ca="1" si="362"/>
        <v>#N/A</v>
      </c>
      <c r="R575" s="1213">
        <f t="shared" si="363"/>
        <v>0</v>
      </c>
      <c r="S575" s="1213">
        <f t="shared" si="364"/>
        <v>0</v>
      </c>
      <c r="T575" s="136">
        <f>IF(OR(R575=0,A575=0),0,IF(AND(V575=TRUE,換券單檔!$D$13=D575),E575,0))</f>
        <v>0</v>
      </c>
      <c r="U575" s="861">
        <f>IF(OR(R575=0,A575=0),0,IF(AND(V575=TRUE,換券單檔!$D$13=D575),H575,0))</f>
        <v>0</v>
      </c>
      <c r="V575" s="136" t="e">
        <f ca="1">IF(OR(B575=換券單檔!$D$3,L575="無",M575&lt;&gt;"",K575="高資產",IFERROR(MATCH(B575,換券單檔!K:K,0),"N")&lt;&gt;"N"),FALSE,IF($V$1="All",TRUE,IF(K575=$V$1,TRUE,FALSE)))</f>
        <v>#N/A</v>
      </c>
      <c r="W575" s="136" t="e">
        <f ca="1">VLOOKUP(A575,'銀行-TSS'!A:AO,41,FALSE)</f>
        <v>#N/A</v>
      </c>
      <c r="X575" s="136" t="e">
        <f ca="1">VLOOKUP(A575,'銀行-TSS'!A:AP,42,FALSE)</f>
        <v>#N/A</v>
      </c>
      <c r="Y575" s="1220">
        <f t="shared" si="365"/>
        <v>0</v>
      </c>
      <c r="Z575" s="1220">
        <f t="shared" si="366"/>
        <v>0</v>
      </c>
      <c r="AA575" s="136">
        <f>IF(Z575&lt;=0,0,RANK(Z575,Z:Z)+COUNTIF($Z$3:$Z575,Z575)-1)</f>
        <v>0</v>
      </c>
      <c r="AB575" s="1211">
        <f t="shared" ca="1" si="367"/>
        <v>-14896.14</v>
      </c>
      <c r="AC575" s="136">
        <f ca="1">IF(AB575&lt;=0,0,RANK(AB575,AB:AB)+COUNTIF($AB$3:$AB575,AB575)-1)</f>
        <v>0</v>
      </c>
      <c r="AD575" s="1123">
        <f t="shared" si="368"/>
        <v>99999</v>
      </c>
      <c r="AE575" s="1123">
        <f>IF(AD575=99999,0,RANK(AD575,AD:AD,1)+COUNTIF($AD$3:$AD575,AD575)-1)</f>
        <v>0</v>
      </c>
      <c r="AF575" s="86" t="e">
        <f ca="1">IF(OR(M575&lt;&gt;"",L575="無",K575="高資產",IFERROR(MATCH(B575,換券單檔!K:K,0),"N")&lt;&gt;"N"),FALSE,TRUE)</f>
        <v>#N/A</v>
      </c>
      <c r="AI575" s="1212" t="e">
        <f t="shared" ca="1" si="369"/>
        <v>#N/A</v>
      </c>
      <c r="AJ575" s="1213" t="e">
        <f t="shared" ca="1" si="370"/>
        <v>#N/A</v>
      </c>
      <c r="AK575" s="1587">
        <f t="shared" si="371"/>
        <v>0</v>
      </c>
      <c r="AN575" s="1212" t="e">
        <f t="shared" ca="1" si="372"/>
        <v>#N/A</v>
      </c>
      <c r="AO575" s="1213" t="e">
        <f t="shared" ca="1" si="373"/>
        <v>#N/A</v>
      </c>
      <c r="AP575" s="1587">
        <f t="shared" si="374"/>
        <v>0</v>
      </c>
      <c r="AS575" s="1212" t="e">
        <f t="shared" ca="1" si="375"/>
        <v>#N/A</v>
      </c>
      <c r="AT575" s="1213" t="e">
        <f t="shared" ca="1" si="376"/>
        <v>#N/A</v>
      </c>
      <c r="AU575" s="1587">
        <f t="shared" si="377"/>
        <v>0</v>
      </c>
      <c r="AX575" s="1212" t="e">
        <f t="shared" ca="1" si="378"/>
        <v>#N/A</v>
      </c>
      <c r="AY575" s="1213" t="e">
        <f t="shared" ca="1" si="379"/>
        <v>#N/A</v>
      </c>
      <c r="AZ575" s="1587">
        <f t="shared" si="380"/>
        <v>0</v>
      </c>
      <c r="BC575" s="1212" t="e">
        <f t="shared" ca="1" si="381"/>
        <v>#N/A</v>
      </c>
      <c r="BD575" s="1213" t="e">
        <f t="shared" ca="1" si="382"/>
        <v>#N/A</v>
      </c>
      <c r="BE575" s="1587">
        <f t="shared" si="383"/>
        <v>0</v>
      </c>
      <c r="BH575" s="1212" t="e">
        <f t="shared" ca="1" si="384"/>
        <v>#N/A</v>
      </c>
      <c r="BI575" s="1213" t="e">
        <f t="shared" ca="1" si="385"/>
        <v>#N/A</v>
      </c>
      <c r="BJ575" s="1587">
        <f t="shared" si="386"/>
        <v>0</v>
      </c>
      <c r="BM575" s="1212" t="e">
        <f t="shared" ca="1" si="387"/>
        <v>#N/A</v>
      </c>
      <c r="BN575" s="1213" t="e">
        <f t="shared" ca="1" si="388"/>
        <v>#N/A</v>
      </c>
      <c r="BO575" s="1587">
        <f t="shared" si="389"/>
        <v>0</v>
      </c>
      <c r="BR575" s="1212" t="e">
        <f t="shared" ca="1" si="390"/>
        <v>#N/A</v>
      </c>
      <c r="BS575" s="1213" t="e">
        <f t="shared" ca="1" si="391"/>
        <v>#N/A</v>
      </c>
      <c r="BT575" s="1587">
        <f t="shared" si="392"/>
        <v>0</v>
      </c>
      <c r="BW575" s="1212" t="e">
        <f t="shared" ca="1" si="393"/>
        <v>#N/A</v>
      </c>
      <c r="BX575" s="1213" t="e">
        <f t="shared" ca="1" si="394"/>
        <v>#N/A</v>
      </c>
      <c r="BY575" s="1587">
        <f t="shared" si="395"/>
        <v>0</v>
      </c>
      <c r="CB575" s="1212" t="e">
        <f t="shared" ca="1" si="396"/>
        <v>#N/A</v>
      </c>
      <c r="CC575" s="1213" t="e">
        <f t="shared" ca="1" si="397"/>
        <v>#N/A</v>
      </c>
      <c r="CD575" s="1587">
        <f t="shared" si="398"/>
        <v>0</v>
      </c>
      <c r="CG575" s="1212" t="e">
        <f t="shared" ca="1" si="399"/>
        <v>#N/A</v>
      </c>
      <c r="CH575" s="1213" t="e">
        <f t="shared" ca="1" si="400"/>
        <v>#N/A</v>
      </c>
      <c r="CI575" s="1587">
        <f t="shared" si="401"/>
        <v>0</v>
      </c>
      <c r="CL575" s="1212" t="e">
        <f t="shared" ca="1" si="402"/>
        <v>#N/A</v>
      </c>
      <c r="CM575" s="1213" t="e">
        <f t="shared" ca="1" si="403"/>
        <v>#N/A</v>
      </c>
      <c r="CN575" s="1587">
        <f t="shared" si="404"/>
        <v>0</v>
      </c>
    </row>
    <row r="576" spans="1:92">
      <c r="A576" s="141">
        <f>'銀行-TSS'!A576</f>
        <v>0</v>
      </c>
      <c r="B576" s="151">
        <f ca="1">VLOOKUP(A576,'銀行-TSS'!A:B,2,FALSE)</f>
        <v>0</v>
      </c>
      <c r="C576" s="151" t="e">
        <f ca="1">VLOOKUP(B576,bond!B:C,2,FALSE)</f>
        <v>#N/A</v>
      </c>
      <c r="D576" s="95" t="e">
        <f>VLOOKUP(A576,'銀行-TSS'!A:C,3,FALSE)</f>
        <v>#N/A</v>
      </c>
      <c r="E576" s="90" t="e">
        <f ca="1">VLOOKUP(A576,'銀行-TSS'!A:G,7,FALSE)</f>
        <v>#N/A</v>
      </c>
      <c r="F576" s="202" t="e">
        <f ca="1">VLOOKUP(A576,'銀行-TSS'!A:H,8,FALSE)</f>
        <v>#N/A</v>
      </c>
      <c r="G576" s="96" t="e">
        <f ca="1">VLOOKUP(A576,'銀行-TSS'!A:K,11,FALSE)</f>
        <v>#N/A</v>
      </c>
      <c r="H576" s="1209" t="e">
        <f ca="1">VLOOKUP(A576,'銀行-TSS'!A:M,13,FALSE)</f>
        <v>#N/A</v>
      </c>
      <c r="I576" s="1213" t="e">
        <f ca="1">VLOOKUP(A576,'銀行-TSS'!A:N,14,FALSE)</f>
        <v>#N/A</v>
      </c>
      <c r="J576" s="1213" t="e">
        <f ca="1">VLOOKUP(A576,'銀行-TSS'!A:O,15,FALSE)</f>
        <v>#N/A</v>
      </c>
      <c r="K576" s="136" t="e">
        <f ca="1">VLOOKUP(A576,'銀行-TSS'!A:V,22,FALSE)</f>
        <v>#N/A</v>
      </c>
      <c r="L576" s="136" t="e">
        <f ca="1">VLOOKUP(A576,'銀行-TSS'!A:AK,37,FALSE)</f>
        <v>#N/A</v>
      </c>
      <c r="M576" s="136" t="str">
        <f ca="1">VLOOKUP(A576,'銀行-TSS'!A:AN,40,FALSE)</f>
        <v/>
      </c>
      <c r="N576" s="136" t="e">
        <f t="shared" ca="1" si="360"/>
        <v>#N/A</v>
      </c>
      <c r="O576" s="1213" t="e">
        <f t="shared" ca="1" si="361"/>
        <v>#N/A</v>
      </c>
      <c r="P576" s="1213" t="e">
        <f ca="1">IF(AND($O$1&gt;=O576,換券單檔!$D$13=D576),I576+INT(($O$1-O576)/N576)*J576,0)</f>
        <v>#N/A</v>
      </c>
      <c r="Q576" s="1213" t="e">
        <f t="shared" ca="1" si="362"/>
        <v>#N/A</v>
      </c>
      <c r="R576" s="1213">
        <f t="shared" si="363"/>
        <v>0</v>
      </c>
      <c r="S576" s="1213">
        <f t="shared" si="364"/>
        <v>0</v>
      </c>
      <c r="T576" s="136">
        <f>IF(OR(R576=0,A576=0),0,IF(AND(V576=TRUE,換券單檔!$D$13=D576),E576,0))</f>
        <v>0</v>
      </c>
      <c r="U576" s="861">
        <f>IF(OR(R576=0,A576=0),0,IF(AND(V576=TRUE,換券單檔!$D$13=D576),H576,0))</f>
        <v>0</v>
      </c>
      <c r="V576" s="136" t="e">
        <f ca="1">IF(OR(B576=換券單檔!$D$3,L576="無",M576&lt;&gt;"",K576="高資產",IFERROR(MATCH(B576,換券單檔!K:K,0),"N")&lt;&gt;"N"),FALSE,IF($V$1="All",TRUE,IF(K576=$V$1,TRUE,FALSE)))</f>
        <v>#N/A</v>
      </c>
      <c r="W576" s="136" t="e">
        <f ca="1">VLOOKUP(A576,'銀行-TSS'!A:AO,41,FALSE)</f>
        <v>#N/A</v>
      </c>
      <c r="X576" s="136" t="e">
        <f ca="1">VLOOKUP(A576,'銀行-TSS'!A:AP,42,FALSE)</f>
        <v>#N/A</v>
      </c>
      <c r="Y576" s="1220">
        <f t="shared" si="365"/>
        <v>0</v>
      </c>
      <c r="Z576" s="1220">
        <f t="shared" si="366"/>
        <v>0</v>
      </c>
      <c r="AA576" s="136">
        <f>IF(Z576&lt;=0,0,RANK(Z576,Z:Z)+COUNTIF($Z$3:$Z576,Z576)-1)</f>
        <v>0</v>
      </c>
      <c r="AB576" s="1211">
        <f t="shared" ca="1" si="367"/>
        <v>-14896.14</v>
      </c>
      <c r="AC576" s="136">
        <f ca="1">IF(AB576&lt;=0,0,RANK(AB576,AB:AB)+COUNTIF($AB$3:$AB576,AB576)-1)</f>
        <v>0</v>
      </c>
      <c r="AD576" s="1123">
        <f t="shared" si="368"/>
        <v>99999</v>
      </c>
      <c r="AE576" s="1123">
        <f>IF(AD576=99999,0,RANK(AD576,AD:AD,1)+COUNTIF($AD$3:$AD576,AD576)-1)</f>
        <v>0</v>
      </c>
      <c r="AF576" s="86" t="e">
        <f ca="1">IF(OR(M576&lt;&gt;"",L576="無",K576="高資產",IFERROR(MATCH(B576,換券單檔!K:K,0),"N")&lt;&gt;"N"),FALSE,TRUE)</f>
        <v>#N/A</v>
      </c>
      <c r="AI576" s="1212" t="e">
        <f t="shared" ca="1" si="369"/>
        <v>#N/A</v>
      </c>
      <c r="AJ576" s="1213" t="e">
        <f t="shared" ca="1" si="370"/>
        <v>#N/A</v>
      </c>
      <c r="AK576" s="1587">
        <f t="shared" si="371"/>
        <v>0</v>
      </c>
      <c r="AN576" s="1212" t="e">
        <f t="shared" ca="1" si="372"/>
        <v>#N/A</v>
      </c>
      <c r="AO576" s="1213" t="e">
        <f t="shared" ca="1" si="373"/>
        <v>#N/A</v>
      </c>
      <c r="AP576" s="1587">
        <f t="shared" si="374"/>
        <v>0</v>
      </c>
      <c r="AS576" s="1212" t="e">
        <f t="shared" ca="1" si="375"/>
        <v>#N/A</v>
      </c>
      <c r="AT576" s="1213" t="e">
        <f t="shared" ca="1" si="376"/>
        <v>#N/A</v>
      </c>
      <c r="AU576" s="1587">
        <f t="shared" si="377"/>
        <v>0</v>
      </c>
      <c r="AX576" s="1212" t="e">
        <f t="shared" ca="1" si="378"/>
        <v>#N/A</v>
      </c>
      <c r="AY576" s="1213" t="e">
        <f t="shared" ca="1" si="379"/>
        <v>#N/A</v>
      </c>
      <c r="AZ576" s="1587">
        <f t="shared" si="380"/>
        <v>0</v>
      </c>
      <c r="BC576" s="1212" t="e">
        <f t="shared" ca="1" si="381"/>
        <v>#N/A</v>
      </c>
      <c r="BD576" s="1213" t="e">
        <f t="shared" ca="1" si="382"/>
        <v>#N/A</v>
      </c>
      <c r="BE576" s="1587">
        <f t="shared" si="383"/>
        <v>0</v>
      </c>
      <c r="BH576" s="1212" t="e">
        <f t="shared" ca="1" si="384"/>
        <v>#N/A</v>
      </c>
      <c r="BI576" s="1213" t="e">
        <f t="shared" ca="1" si="385"/>
        <v>#N/A</v>
      </c>
      <c r="BJ576" s="1587">
        <f t="shared" si="386"/>
        <v>0</v>
      </c>
      <c r="BM576" s="1212" t="e">
        <f t="shared" ca="1" si="387"/>
        <v>#N/A</v>
      </c>
      <c r="BN576" s="1213" t="e">
        <f t="shared" ca="1" si="388"/>
        <v>#N/A</v>
      </c>
      <c r="BO576" s="1587">
        <f t="shared" si="389"/>
        <v>0</v>
      </c>
      <c r="BR576" s="1212" t="e">
        <f t="shared" ca="1" si="390"/>
        <v>#N/A</v>
      </c>
      <c r="BS576" s="1213" t="e">
        <f t="shared" ca="1" si="391"/>
        <v>#N/A</v>
      </c>
      <c r="BT576" s="1587">
        <f t="shared" si="392"/>
        <v>0</v>
      </c>
      <c r="BW576" s="1212" t="e">
        <f t="shared" ca="1" si="393"/>
        <v>#N/A</v>
      </c>
      <c r="BX576" s="1213" t="e">
        <f t="shared" ca="1" si="394"/>
        <v>#N/A</v>
      </c>
      <c r="BY576" s="1587">
        <f t="shared" si="395"/>
        <v>0</v>
      </c>
      <c r="CB576" s="1212" t="e">
        <f t="shared" ca="1" si="396"/>
        <v>#N/A</v>
      </c>
      <c r="CC576" s="1213" t="e">
        <f t="shared" ca="1" si="397"/>
        <v>#N/A</v>
      </c>
      <c r="CD576" s="1587">
        <f t="shared" si="398"/>
        <v>0</v>
      </c>
      <c r="CG576" s="1212" t="e">
        <f t="shared" ca="1" si="399"/>
        <v>#N/A</v>
      </c>
      <c r="CH576" s="1213" t="e">
        <f t="shared" ca="1" si="400"/>
        <v>#N/A</v>
      </c>
      <c r="CI576" s="1587">
        <f t="shared" si="401"/>
        <v>0</v>
      </c>
      <c r="CL576" s="1212" t="e">
        <f t="shared" ca="1" si="402"/>
        <v>#N/A</v>
      </c>
      <c r="CM576" s="1213" t="e">
        <f t="shared" ca="1" si="403"/>
        <v>#N/A</v>
      </c>
      <c r="CN576" s="1587">
        <f t="shared" si="404"/>
        <v>0</v>
      </c>
    </row>
    <row r="577" spans="1:92">
      <c r="A577" s="141">
        <f>'銀行-TSS'!A577</f>
        <v>0</v>
      </c>
      <c r="B577" s="151">
        <f ca="1">VLOOKUP(A577,'銀行-TSS'!A:B,2,FALSE)</f>
        <v>0</v>
      </c>
      <c r="C577" s="151" t="e">
        <f ca="1">VLOOKUP(B577,bond!B:C,2,FALSE)</f>
        <v>#N/A</v>
      </c>
      <c r="D577" s="95" t="e">
        <f>VLOOKUP(A577,'銀行-TSS'!A:C,3,FALSE)</f>
        <v>#N/A</v>
      </c>
      <c r="E577" s="90" t="e">
        <f ca="1">VLOOKUP(A577,'銀行-TSS'!A:G,7,FALSE)</f>
        <v>#N/A</v>
      </c>
      <c r="F577" s="202" t="e">
        <f ca="1">VLOOKUP(A577,'銀行-TSS'!A:H,8,FALSE)</f>
        <v>#N/A</v>
      </c>
      <c r="G577" s="96" t="e">
        <f ca="1">VLOOKUP(A577,'銀行-TSS'!A:K,11,FALSE)</f>
        <v>#N/A</v>
      </c>
      <c r="H577" s="1209" t="e">
        <f ca="1">VLOOKUP(A577,'銀行-TSS'!A:M,13,FALSE)</f>
        <v>#N/A</v>
      </c>
      <c r="I577" s="1213" t="e">
        <f ca="1">VLOOKUP(A577,'銀行-TSS'!A:N,14,FALSE)</f>
        <v>#N/A</v>
      </c>
      <c r="J577" s="1213" t="e">
        <f ca="1">VLOOKUP(A577,'銀行-TSS'!A:O,15,FALSE)</f>
        <v>#N/A</v>
      </c>
      <c r="K577" s="136" t="e">
        <f ca="1">VLOOKUP(A577,'銀行-TSS'!A:V,22,FALSE)</f>
        <v>#N/A</v>
      </c>
      <c r="L577" s="136" t="e">
        <f ca="1">VLOOKUP(A577,'銀行-TSS'!A:AK,37,FALSE)</f>
        <v>#N/A</v>
      </c>
      <c r="M577" s="136" t="str">
        <f ca="1">VLOOKUP(A577,'銀行-TSS'!A:AN,40,FALSE)</f>
        <v/>
      </c>
      <c r="N577" s="136" t="e">
        <f t="shared" ca="1" si="360"/>
        <v>#N/A</v>
      </c>
      <c r="O577" s="1213" t="e">
        <f t="shared" ca="1" si="361"/>
        <v>#N/A</v>
      </c>
      <c r="P577" s="1213" t="e">
        <f ca="1">IF(AND($O$1&gt;=O577,換券單檔!$D$13=D577),I577+INT(($O$1-O577)/N577)*J577,0)</f>
        <v>#N/A</v>
      </c>
      <c r="Q577" s="1213" t="e">
        <f t="shared" ca="1" si="362"/>
        <v>#N/A</v>
      </c>
      <c r="R577" s="1213">
        <f t="shared" si="363"/>
        <v>0</v>
      </c>
      <c r="S577" s="1213">
        <f t="shared" si="364"/>
        <v>0</v>
      </c>
      <c r="T577" s="136">
        <f>IF(OR(R577=0,A577=0),0,IF(AND(V577=TRUE,換券單檔!$D$13=D577),E577,0))</f>
        <v>0</v>
      </c>
      <c r="U577" s="861">
        <f>IF(OR(R577=0,A577=0),0,IF(AND(V577=TRUE,換券單檔!$D$13=D577),H577,0))</f>
        <v>0</v>
      </c>
      <c r="V577" s="136" t="e">
        <f ca="1">IF(OR(B577=換券單檔!$D$3,L577="無",M577&lt;&gt;"",K577="高資產",IFERROR(MATCH(B577,換券單檔!K:K,0),"N")&lt;&gt;"N"),FALSE,IF($V$1="All",TRUE,IF(K577=$V$1,TRUE,FALSE)))</f>
        <v>#N/A</v>
      </c>
      <c r="W577" s="136" t="e">
        <f ca="1">VLOOKUP(A577,'銀行-TSS'!A:AO,41,FALSE)</f>
        <v>#N/A</v>
      </c>
      <c r="X577" s="136" t="e">
        <f ca="1">VLOOKUP(A577,'銀行-TSS'!A:AP,42,FALSE)</f>
        <v>#N/A</v>
      </c>
      <c r="Y577" s="1220">
        <f t="shared" si="365"/>
        <v>0</v>
      </c>
      <c r="Z577" s="1220">
        <f t="shared" si="366"/>
        <v>0</v>
      </c>
      <c r="AA577" s="136">
        <f>IF(Z577&lt;=0,0,RANK(Z577,Z:Z)+COUNTIF($Z$3:$Z577,Z577)-1)</f>
        <v>0</v>
      </c>
      <c r="AB577" s="1211">
        <f t="shared" ca="1" si="367"/>
        <v>-14896.14</v>
      </c>
      <c r="AC577" s="136">
        <f ca="1">IF(AB577&lt;=0,0,RANK(AB577,AB:AB)+COUNTIF($AB$3:$AB577,AB577)-1)</f>
        <v>0</v>
      </c>
      <c r="AD577" s="1123">
        <f t="shared" si="368"/>
        <v>99999</v>
      </c>
      <c r="AE577" s="1123">
        <f>IF(AD577=99999,0,RANK(AD577,AD:AD,1)+COUNTIF($AD$3:$AD577,AD577)-1)</f>
        <v>0</v>
      </c>
      <c r="AF577" s="86" t="e">
        <f ca="1">IF(OR(M577&lt;&gt;"",L577="無",K577="高資產",IFERROR(MATCH(B577,換券單檔!K:K,0),"N")&lt;&gt;"N"),FALSE,TRUE)</f>
        <v>#N/A</v>
      </c>
      <c r="AI577" s="1212" t="e">
        <f t="shared" ca="1" si="369"/>
        <v>#N/A</v>
      </c>
      <c r="AJ577" s="1213" t="e">
        <f t="shared" ca="1" si="370"/>
        <v>#N/A</v>
      </c>
      <c r="AK577" s="1587">
        <f t="shared" si="371"/>
        <v>0</v>
      </c>
      <c r="AN577" s="1212" t="e">
        <f t="shared" ca="1" si="372"/>
        <v>#N/A</v>
      </c>
      <c r="AO577" s="1213" t="e">
        <f t="shared" ca="1" si="373"/>
        <v>#N/A</v>
      </c>
      <c r="AP577" s="1587">
        <f t="shared" si="374"/>
        <v>0</v>
      </c>
      <c r="AS577" s="1212" t="e">
        <f t="shared" ca="1" si="375"/>
        <v>#N/A</v>
      </c>
      <c r="AT577" s="1213" t="e">
        <f t="shared" ca="1" si="376"/>
        <v>#N/A</v>
      </c>
      <c r="AU577" s="1587">
        <f t="shared" si="377"/>
        <v>0</v>
      </c>
      <c r="AX577" s="1212" t="e">
        <f t="shared" ca="1" si="378"/>
        <v>#N/A</v>
      </c>
      <c r="AY577" s="1213" t="e">
        <f t="shared" ca="1" si="379"/>
        <v>#N/A</v>
      </c>
      <c r="AZ577" s="1587">
        <f t="shared" si="380"/>
        <v>0</v>
      </c>
      <c r="BC577" s="1212" t="e">
        <f t="shared" ca="1" si="381"/>
        <v>#N/A</v>
      </c>
      <c r="BD577" s="1213" t="e">
        <f t="shared" ca="1" si="382"/>
        <v>#N/A</v>
      </c>
      <c r="BE577" s="1587">
        <f t="shared" si="383"/>
        <v>0</v>
      </c>
      <c r="BH577" s="1212" t="e">
        <f t="shared" ca="1" si="384"/>
        <v>#N/A</v>
      </c>
      <c r="BI577" s="1213" t="e">
        <f t="shared" ca="1" si="385"/>
        <v>#N/A</v>
      </c>
      <c r="BJ577" s="1587">
        <f t="shared" si="386"/>
        <v>0</v>
      </c>
      <c r="BM577" s="1212" t="e">
        <f t="shared" ca="1" si="387"/>
        <v>#N/A</v>
      </c>
      <c r="BN577" s="1213" t="e">
        <f t="shared" ca="1" si="388"/>
        <v>#N/A</v>
      </c>
      <c r="BO577" s="1587">
        <f t="shared" si="389"/>
        <v>0</v>
      </c>
      <c r="BR577" s="1212" t="e">
        <f t="shared" ca="1" si="390"/>
        <v>#N/A</v>
      </c>
      <c r="BS577" s="1213" t="e">
        <f t="shared" ca="1" si="391"/>
        <v>#N/A</v>
      </c>
      <c r="BT577" s="1587">
        <f t="shared" si="392"/>
        <v>0</v>
      </c>
      <c r="BW577" s="1212" t="e">
        <f t="shared" ca="1" si="393"/>
        <v>#N/A</v>
      </c>
      <c r="BX577" s="1213" t="e">
        <f t="shared" ca="1" si="394"/>
        <v>#N/A</v>
      </c>
      <c r="BY577" s="1587">
        <f t="shared" si="395"/>
        <v>0</v>
      </c>
      <c r="CB577" s="1212" t="e">
        <f t="shared" ca="1" si="396"/>
        <v>#N/A</v>
      </c>
      <c r="CC577" s="1213" t="e">
        <f t="shared" ca="1" si="397"/>
        <v>#N/A</v>
      </c>
      <c r="CD577" s="1587">
        <f t="shared" si="398"/>
        <v>0</v>
      </c>
      <c r="CG577" s="1212" t="e">
        <f t="shared" ca="1" si="399"/>
        <v>#N/A</v>
      </c>
      <c r="CH577" s="1213" t="e">
        <f t="shared" ca="1" si="400"/>
        <v>#N/A</v>
      </c>
      <c r="CI577" s="1587">
        <f t="shared" si="401"/>
        <v>0</v>
      </c>
      <c r="CL577" s="1212" t="e">
        <f t="shared" ca="1" si="402"/>
        <v>#N/A</v>
      </c>
      <c r="CM577" s="1213" t="e">
        <f t="shared" ca="1" si="403"/>
        <v>#N/A</v>
      </c>
      <c r="CN577" s="1587">
        <f t="shared" si="404"/>
        <v>0</v>
      </c>
    </row>
    <row r="578" spans="1:92">
      <c r="A578" s="141">
        <f>'銀行-TSS'!A578</f>
        <v>0</v>
      </c>
      <c r="B578" s="151">
        <f ca="1">VLOOKUP(A578,'銀行-TSS'!A:B,2,FALSE)</f>
        <v>0</v>
      </c>
      <c r="C578" s="151" t="e">
        <f ca="1">VLOOKUP(B578,bond!B:C,2,FALSE)</f>
        <v>#N/A</v>
      </c>
      <c r="D578" s="95" t="e">
        <f>VLOOKUP(A578,'銀行-TSS'!A:C,3,FALSE)</f>
        <v>#N/A</v>
      </c>
      <c r="E578" s="90" t="e">
        <f ca="1">VLOOKUP(A578,'銀行-TSS'!A:G,7,FALSE)</f>
        <v>#N/A</v>
      </c>
      <c r="F578" s="202" t="e">
        <f ca="1">VLOOKUP(A578,'銀行-TSS'!A:H,8,FALSE)</f>
        <v>#N/A</v>
      </c>
      <c r="G578" s="96" t="e">
        <f ca="1">VLOOKUP(A578,'銀行-TSS'!A:K,11,FALSE)</f>
        <v>#N/A</v>
      </c>
      <c r="H578" s="1209" t="e">
        <f ca="1">VLOOKUP(A578,'銀行-TSS'!A:M,13,FALSE)</f>
        <v>#N/A</v>
      </c>
      <c r="I578" s="1213" t="e">
        <f ca="1">VLOOKUP(A578,'銀行-TSS'!A:N,14,FALSE)</f>
        <v>#N/A</v>
      </c>
      <c r="J578" s="1213" t="e">
        <f ca="1">VLOOKUP(A578,'銀行-TSS'!A:O,15,FALSE)</f>
        <v>#N/A</v>
      </c>
      <c r="K578" s="136" t="e">
        <f ca="1">VLOOKUP(A578,'銀行-TSS'!A:V,22,FALSE)</f>
        <v>#N/A</v>
      </c>
      <c r="L578" s="136" t="e">
        <f ca="1">VLOOKUP(A578,'銀行-TSS'!A:AK,37,FALSE)</f>
        <v>#N/A</v>
      </c>
      <c r="M578" s="136" t="str">
        <f ca="1">VLOOKUP(A578,'銀行-TSS'!A:AN,40,FALSE)</f>
        <v/>
      </c>
      <c r="N578" s="136" t="e">
        <f t="shared" ca="1" si="360"/>
        <v>#N/A</v>
      </c>
      <c r="O578" s="1213" t="e">
        <f t="shared" ca="1" si="361"/>
        <v>#N/A</v>
      </c>
      <c r="P578" s="1213" t="e">
        <f ca="1">IF(AND($O$1&gt;=O578,換券單檔!$D$13=D578),I578+INT(($O$1-O578)/N578)*J578,0)</f>
        <v>#N/A</v>
      </c>
      <c r="Q578" s="1213" t="e">
        <f t="shared" ca="1" si="362"/>
        <v>#N/A</v>
      </c>
      <c r="R578" s="1213">
        <f t="shared" si="363"/>
        <v>0</v>
      </c>
      <c r="S578" s="1213">
        <f t="shared" si="364"/>
        <v>0</v>
      </c>
      <c r="T578" s="136">
        <f>IF(OR(R578=0,A578=0),0,IF(AND(V578=TRUE,換券單檔!$D$13=D578),E578,0))</f>
        <v>0</v>
      </c>
      <c r="U578" s="861">
        <f>IF(OR(R578=0,A578=0),0,IF(AND(V578=TRUE,換券單檔!$D$13=D578),H578,0))</f>
        <v>0</v>
      </c>
      <c r="V578" s="136" t="e">
        <f ca="1">IF(OR(B578=換券單檔!$D$3,L578="無",M578&lt;&gt;"",K578="高資產",IFERROR(MATCH(B578,換券單檔!K:K,0),"N")&lt;&gt;"N"),FALSE,IF($V$1="All",TRUE,IF(K578=$V$1,TRUE,FALSE)))</f>
        <v>#N/A</v>
      </c>
      <c r="W578" s="136" t="e">
        <f ca="1">VLOOKUP(A578,'銀行-TSS'!A:AO,41,FALSE)</f>
        <v>#N/A</v>
      </c>
      <c r="X578" s="136" t="e">
        <f ca="1">VLOOKUP(A578,'銀行-TSS'!A:AP,42,FALSE)</f>
        <v>#N/A</v>
      </c>
      <c r="Y578" s="1220">
        <f t="shared" si="365"/>
        <v>0</v>
      </c>
      <c r="Z578" s="1220">
        <f t="shared" si="366"/>
        <v>0</v>
      </c>
      <c r="AA578" s="136">
        <f>IF(Z578&lt;=0,0,RANK(Z578,Z:Z)+COUNTIF($Z$3:$Z578,Z578)-1)</f>
        <v>0</v>
      </c>
      <c r="AB578" s="1211">
        <f t="shared" ca="1" si="367"/>
        <v>-14896.14</v>
      </c>
      <c r="AC578" s="136">
        <f ca="1">IF(AB578&lt;=0,0,RANK(AB578,AB:AB)+COUNTIF($AB$3:$AB578,AB578)-1)</f>
        <v>0</v>
      </c>
      <c r="AD578" s="1123">
        <f t="shared" si="368"/>
        <v>99999</v>
      </c>
      <c r="AE578" s="1123">
        <f>IF(AD578=99999,0,RANK(AD578,AD:AD,1)+COUNTIF($AD$3:$AD578,AD578)-1)</f>
        <v>0</v>
      </c>
      <c r="AF578" s="86" t="e">
        <f ca="1">IF(OR(M578&lt;&gt;"",L578="無",K578="高資產",IFERROR(MATCH(B578,換券單檔!K:K,0),"N")&lt;&gt;"N"),FALSE,TRUE)</f>
        <v>#N/A</v>
      </c>
      <c r="AI578" s="1212" t="e">
        <f t="shared" ca="1" si="369"/>
        <v>#N/A</v>
      </c>
      <c r="AJ578" s="1213" t="e">
        <f t="shared" ca="1" si="370"/>
        <v>#N/A</v>
      </c>
      <c r="AK578" s="1587">
        <f t="shared" si="371"/>
        <v>0</v>
      </c>
      <c r="AN578" s="1212" t="e">
        <f t="shared" ca="1" si="372"/>
        <v>#N/A</v>
      </c>
      <c r="AO578" s="1213" t="e">
        <f t="shared" ca="1" si="373"/>
        <v>#N/A</v>
      </c>
      <c r="AP578" s="1587">
        <f t="shared" si="374"/>
        <v>0</v>
      </c>
      <c r="AS578" s="1212" t="e">
        <f t="shared" ca="1" si="375"/>
        <v>#N/A</v>
      </c>
      <c r="AT578" s="1213" t="e">
        <f t="shared" ca="1" si="376"/>
        <v>#N/A</v>
      </c>
      <c r="AU578" s="1587">
        <f t="shared" si="377"/>
        <v>0</v>
      </c>
      <c r="AX578" s="1212" t="e">
        <f t="shared" ca="1" si="378"/>
        <v>#N/A</v>
      </c>
      <c r="AY578" s="1213" t="e">
        <f t="shared" ca="1" si="379"/>
        <v>#N/A</v>
      </c>
      <c r="AZ578" s="1587">
        <f t="shared" si="380"/>
        <v>0</v>
      </c>
      <c r="BC578" s="1212" t="e">
        <f t="shared" ca="1" si="381"/>
        <v>#N/A</v>
      </c>
      <c r="BD578" s="1213" t="e">
        <f t="shared" ca="1" si="382"/>
        <v>#N/A</v>
      </c>
      <c r="BE578" s="1587">
        <f t="shared" si="383"/>
        <v>0</v>
      </c>
      <c r="BH578" s="1212" t="e">
        <f t="shared" ca="1" si="384"/>
        <v>#N/A</v>
      </c>
      <c r="BI578" s="1213" t="e">
        <f t="shared" ca="1" si="385"/>
        <v>#N/A</v>
      </c>
      <c r="BJ578" s="1587">
        <f t="shared" si="386"/>
        <v>0</v>
      </c>
      <c r="BM578" s="1212" t="e">
        <f t="shared" ca="1" si="387"/>
        <v>#N/A</v>
      </c>
      <c r="BN578" s="1213" t="e">
        <f t="shared" ca="1" si="388"/>
        <v>#N/A</v>
      </c>
      <c r="BO578" s="1587">
        <f t="shared" si="389"/>
        <v>0</v>
      </c>
      <c r="BR578" s="1212" t="e">
        <f t="shared" ca="1" si="390"/>
        <v>#N/A</v>
      </c>
      <c r="BS578" s="1213" t="e">
        <f t="shared" ca="1" si="391"/>
        <v>#N/A</v>
      </c>
      <c r="BT578" s="1587">
        <f t="shared" si="392"/>
        <v>0</v>
      </c>
      <c r="BW578" s="1212" t="e">
        <f t="shared" ca="1" si="393"/>
        <v>#N/A</v>
      </c>
      <c r="BX578" s="1213" t="e">
        <f t="shared" ca="1" si="394"/>
        <v>#N/A</v>
      </c>
      <c r="BY578" s="1587">
        <f t="shared" si="395"/>
        <v>0</v>
      </c>
      <c r="CB578" s="1212" t="e">
        <f t="shared" ca="1" si="396"/>
        <v>#N/A</v>
      </c>
      <c r="CC578" s="1213" t="e">
        <f t="shared" ca="1" si="397"/>
        <v>#N/A</v>
      </c>
      <c r="CD578" s="1587">
        <f t="shared" si="398"/>
        <v>0</v>
      </c>
      <c r="CG578" s="1212" t="e">
        <f t="shared" ca="1" si="399"/>
        <v>#N/A</v>
      </c>
      <c r="CH578" s="1213" t="e">
        <f t="shared" ca="1" si="400"/>
        <v>#N/A</v>
      </c>
      <c r="CI578" s="1587">
        <f t="shared" si="401"/>
        <v>0</v>
      </c>
      <c r="CL578" s="1212" t="e">
        <f t="shared" ca="1" si="402"/>
        <v>#N/A</v>
      </c>
      <c r="CM578" s="1213" t="e">
        <f t="shared" ca="1" si="403"/>
        <v>#N/A</v>
      </c>
      <c r="CN578" s="1587">
        <f t="shared" si="404"/>
        <v>0</v>
      </c>
    </row>
    <row r="579" spans="1:92">
      <c r="A579" s="141">
        <f>'銀行-TSS'!A579</f>
        <v>0</v>
      </c>
      <c r="B579" s="151">
        <f ca="1">VLOOKUP(A579,'銀行-TSS'!A:B,2,FALSE)</f>
        <v>0</v>
      </c>
      <c r="C579" s="151" t="e">
        <f ca="1">VLOOKUP(B579,bond!B:C,2,FALSE)</f>
        <v>#N/A</v>
      </c>
      <c r="D579" s="95" t="e">
        <f>VLOOKUP(A579,'銀行-TSS'!A:C,3,FALSE)</f>
        <v>#N/A</v>
      </c>
      <c r="E579" s="90" t="e">
        <f ca="1">VLOOKUP(A579,'銀行-TSS'!A:G,7,FALSE)</f>
        <v>#N/A</v>
      </c>
      <c r="F579" s="202" t="e">
        <f ca="1">VLOOKUP(A579,'銀行-TSS'!A:H,8,FALSE)</f>
        <v>#N/A</v>
      </c>
      <c r="G579" s="96" t="e">
        <f ca="1">VLOOKUP(A579,'銀行-TSS'!A:K,11,FALSE)</f>
        <v>#N/A</v>
      </c>
      <c r="H579" s="1209" t="e">
        <f ca="1">VLOOKUP(A579,'銀行-TSS'!A:M,13,FALSE)</f>
        <v>#N/A</v>
      </c>
      <c r="I579" s="1213" t="e">
        <f ca="1">VLOOKUP(A579,'銀行-TSS'!A:N,14,FALSE)</f>
        <v>#N/A</v>
      </c>
      <c r="J579" s="1213" t="e">
        <f ca="1">VLOOKUP(A579,'銀行-TSS'!A:O,15,FALSE)</f>
        <v>#N/A</v>
      </c>
      <c r="K579" s="136" t="e">
        <f ca="1">VLOOKUP(A579,'銀行-TSS'!A:V,22,FALSE)</f>
        <v>#N/A</v>
      </c>
      <c r="L579" s="136" t="e">
        <f ca="1">VLOOKUP(A579,'銀行-TSS'!A:AK,37,FALSE)</f>
        <v>#N/A</v>
      </c>
      <c r="M579" s="136" t="str">
        <f ca="1">VLOOKUP(A579,'銀行-TSS'!A:AN,40,FALSE)</f>
        <v/>
      </c>
      <c r="N579" s="136" t="e">
        <f t="shared" ref="N579:N588" ca="1" si="405">G579*J579/100</f>
        <v>#N/A</v>
      </c>
      <c r="O579" s="1213" t="e">
        <f t="shared" ref="O579:O588" ca="1" si="406">G579*I579/100</f>
        <v>#N/A</v>
      </c>
      <c r="P579" s="1213" t="e">
        <f ca="1">IF(AND($O$1&gt;=O579,換券單檔!$D$13=D579),I579+INT(($O$1-O579)/N579)*J579,0)</f>
        <v>#N/A</v>
      </c>
      <c r="Q579" s="1213" t="e">
        <f t="shared" ref="Q579:Q588" ca="1" si="407">P579*F579</f>
        <v>#N/A</v>
      </c>
      <c r="R579" s="1213">
        <f t="shared" ref="R579:R588" si="408">IF(A579=0,0,IF(V579=FALSE,0,P579))</f>
        <v>0</v>
      </c>
      <c r="S579" s="1213">
        <f t="shared" ref="S579:S588" si="409">IF(A579=0,0,IF(V579=FALSE,0,Q579))</f>
        <v>0</v>
      </c>
      <c r="T579" s="136">
        <f>IF(OR(R579=0,A579=0),0,IF(AND(V579=TRUE,換券單檔!$D$13=D579),E579,0))</f>
        <v>0</v>
      </c>
      <c r="U579" s="861">
        <f>IF(OR(R579=0,A579=0),0,IF(AND(V579=TRUE,換券單檔!$D$13=D579),H579,0))</f>
        <v>0</v>
      </c>
      <c r="V579" s="136" t="e">
        <f ca="1">IF(OR(B579=換券單檔!$D$3,L579="無",M579&lt;&gt;"",K579="高資產",IFERROR(MATCH(B579,換券單檔!K:K,0),"N")&lt;&gt;"N"),FALSE,IF($V$1="All",TRUE,IF(K579=$V$1,TRUE,FALSE)))</f>
        <v>#N/A</v>
      </c>
      <c r="W579" s="136" t="e">
        <f ca="1">VLOOKUP(A579,'銀行-TSS'!A:AO,41,FALSE)</f>
        <v>#N/A</v>
      </c>
      <c r="X579" s="136" t="e">
        <f ca="1">VLOOKUP(A579,'銀行-TSS'!A:AP,42,FALSE)</f>
        <v>#N/A</v>
      </c>
      <c r="Y579" s="1220">
        <f t="shared" ref="Y579:Y588" si="410">IF(A579=0,0,IF(V579=FALSE,0,IFERROR(W579/100*P579*X579*1%,0)))</f>
        <v>0</v>
      </c>
      <c r="Z579" s="1220">
        <f t="shared" ref="Z579:Z588" si="411">IF(A579=0,0,IF(V579=FALSE,0,IF(OR(Q579&lt;$Y$1,E579&lt;5)=FALSE,((Q579-$Q$1)*MIN(3,E579)*(1-MIN(1/(2*E579),1))+IF((P579-$P$1)&lt;0,(P579-$P$1)*2,(P579-$P$1)*MIN(1/(2*E579),1))),0)))</f>
        <v>0</v>
      </c>
      <c r="AA579" s="136">
        <f>IF(Z579&lt;=0,0,RANK(Z579,Z:Z)+COUNTIF($Z$3:$Z579,Z579)-1)</f>
        <v>0</v>
      </c>
      <c r="AB579" s="1211">
        <f t="shared" ref="AB579:AB588" ca="1" si="412">IF(A579=0,0,IF(V579=FALSE,0,Y579+IF((P579-$P$1)&lt;0,(P579-$P$1),0)))-$AC$1</f>
        <v>-14896.14</v>
      </c>
      <c r="AC579" s="136">
        <f ca="1">IF(AB579&lt;=0,0,RANK(AB579,AB:AB)+COUNTIF($AB$3:$AB579,AB579)-1)</f>
        <v>0</v>
      </c>
      <c r="AD579" s="1123">
        <f t="shared" ref="AD579:AD588" si="413">IF(A579=0,99999,IF(OR(V579=FALSE,AA579=0,AC579=0),99999,(AC579+AA579)/2))</f>
        <v>99999</v>
      </c>
      <c r="AE579" s="1123">
        <f>IF(AD579=99999,0,RANK(AD579,AD:AD,1)+COUNTIF($AD$3:$AD579,AD579)-1)</f>
        <v>0</v>
      </c>
      <c r="AF579" s="86" t="e">
        <f ca="1">IF(OR(M579&lt;&gt;"",L579="無",K579="高資產",IFERROR(MATCH(B579,換券單檔!K:K,0),"N")&lt;&gt;"N"),FALSE,TRUE)</f>
        <v>#N/A</v>
      </c>
      <c r="AI579" s="1212" t="e">
        <f t="shared" ref="AI579:AI588" ca="1" si="414">IF($AF579=FALSE,0,IF(AND(AH$2&gt;=$O579,AH$1=$D579),$I579+INT((AH$2-$O579)/$N579)*$J579,0))</f>
        <v>#N/A</v>
      </c>
      <c r="AJ579" s="1213" t="e">
        <f t="shared" ref="AJ579:AJ588" ca="1" si="415">AI579*$F579</f>
        <v>#N/A</v>
      </c>
      <c r="AK579" s="1587">
        <f t="shared" ref="AK579:AK588" si="416">IF($A579=0,0,IF(OR($AF579=FALSE,$B579=AG$1),0,IF(OR(AJ579&lt;(AJ$1*0.9),$E579&lt;5)=FALSE,((AJ579-AJ$1)*MIN(3,$E579)*(1-MIN(1/(2*$E579),1))+IF((AI579-AI$1)&lt;0,(AI579-AI$1)*2,(AI579-AI$1)*MIN(1/(2*$E579),1))),0)))</f>
        <v>0</v>
      </c>
      <c r="AN579" s="1212" t="e">
        <f t="shared" ref="AN579:AN588" ca="1" si="417">IF($AF579=FALSE,0,IF(AND(AM$2&gt;=$O579,AM$1=$D579),$I579+INT((AM$2-$O579)/$N579)*$J579,0))</f>
        <v>#N/A</v>
      </c>
      <c r="AO579" s="1213" t="e">
        <f t="shared" ref="AO579:AO588" ca="1" si="418">AN579*$F579</f>
        <v>#N/A</v>
      </c>
      <c r="AP579" s="1587">
        <f t="shared" ref="AP579:AP588" si="419">IF($A579=0,0,IF(OR($AF579=FALSE,$B579=AL$1),0,IF(OR(AO579&lt;(AO$1*0.9),$E579&lt;5)=FALSE,((AO579-AO$1)*MIN(3,$E579)*(1-MIN(1/(2*$E579),1))+IF((AN579-AN$1)&lt;0,(AN579-AN$1)*2,(AN579-AN$1)*MIN(1/(2*$E579),1))),0)))</f>
        <v>0</v>
      </c>
      <c r="AS579" s="1212" t="e">
        <f t="shared" ref="AS579:AS588" ca="1" si="420">IF($AF579=FALSE,0,IF(AND(AR$2&gt;=$O579,AR$1=$D579),$I579+INT((AR$2-$O579)/$N579)*$J579,0))</f>
        <v>#N/A</v>
      </c>
      <c r="AT579" s="1213" t="e">
        <f t="shared" ref="AT579:AT588" ca="1" si="421">AS579*$F579</f>
        <v>#N/A</v>
      </c>
      <c r="AU579" s="1587">
        <f t="shared" ref="AU579:AU588" si="422">IF($A579=0,0,IF(OR($AF579=FALSE,$B579=AQ$1),0,IF(OR(AT579&lt;(AT$1*0.9),$E579&lt;5)=FALSE,((AT579-AT$1)*MIN(3,$E579)*(1-MIN(1/(2*$E579),1))+IF((AS579-AS$1)&lt;0,(AS579-AS$1)*2,(AS579-AS$1)*MIN(1/(2*$E579),1))),0)))</f>
        <v>0</v>
      </c>
      <c r="AX579" s="1212" t="e">
        <f t="shared" ref="AX579:AX588" ca="1" si="423">IF($AF579=FALSE,0,IF(AND(AW$2&gt;=$O579,AW$1=$D579),$I579+INT((AW$2-$O579)/$N579)*$J579,0))</f>
        <v>#N/A</v>
      </c>
      <c r="AY579" s="1213" t="e">
        <f t="shared" ref="AY579:AY588" ca="1" si="424">AX579*$F579</f>
        <v>#N/A</v>
      </c>
      <c r="AZ579" s="1587">
        <f t="shared" ref="AZ579:AZ588" si="425">IF($A579=0,0,IF(OR($AF579=FALSE,$B579=AV$1),0,IF(OR(AY579&lt;(AY$1*0.9),$E579&lt;5)=FALSE,((AY579-AY$1)*MIN(3,$E579)*(1-MIN(1/(2*$E579),1))+IF((AX579-AX$1)&lt;0,(AX579-AX$1)*2,(AX579-AX$1)*MIN(1/(2*$E579),1))),0)))</f>
        <v>0</v>
      </c>
      <c r="BC579" s="1212" t="e">
        <f t="shared" ref="BC579:BC588" ca="1" si="426">IF($AF579=FALSE,0,IF(AND(BB$2&gt;=$O579,BB$1=$D579),$I579+INT((BB$2-$O579)/$N579)*$J579,0))</f>
        <v>#N/A</v>
      </c>
      <c r="BD579" s="1213" t="e">
        <f t="shared" ref="BD579:BD588" ca="1" si="427">BC579*$F579</f>
        <v>#N/A</v>
      </c>
      <c r="BE579" s="1587">
        <f t="shared" ref="BE579:BE588" si="428">IF($A579=0,0,IF(OR($AF579=FALSE,$B579=BA$1),0,IF(OR(BD579&lt;(BD$1*0.9),$E579&lt;5)=FALSE,((BD579-BD$1)*MIN(3,$E579)*(1-MIN(1/(2*$E579),1))+IF((BC579-BC$1)&lt;0,(BC579-BC$1)*2,(BC579-BC$1)*MIN(1/(2*$E579),1))),0)))</f>
        <v>0</v>
      </c>
      <c r="BH579" s="1212" t="e">
        <f t="shared" ref="BH579:BH588" ca="1" si="429">IF($AF579=FALSE,0,IF(AND(BG$2&gt;=$O579,BG$1=$D579),$I579+INT((BG$2-$O579)/$N579)*$J579,0))</f>
        <v>#N/A</v>
      </c>
      <c r="BI579" s="1213" t="e">
        <f t="shared" ref="BI579:BI588" ca="1" si="430">BH579*$F579</f>
        <v>#N/A</v>
      </c>
      <c r="BJ579" s="1587">
        <f t="shared" ref="BJ579:BJ588" si="431">IF($A579=0,0,IF(OR($AF579=FALSE,$B579=BF$1),0,IF(OR(BI579&lt;(BI$1*0.9),$E579&lt;5)=FALSE,((BI579-BI$1)*MIN(3,$E579)*(1-MIN(1/(2*$E579),1))+IF((BH579-BH$1)&lt;0,(BH579-BH$1)*2,(BH579-BH$1)*MIN(1/(2*$E579),1))),0)))</f>
        <v>0</v>
      </c>
      <c r="BM579" s="1212" t="e">
        <f t="shared" ref="BM579:BM588" ca="1" si="432">IF($AF579=FALSE,0,IF(AND(BL$2&gt;=$O579,BL$1=$D579),$I579+INT((BL$2-$O579)/$N579)*$J579,0))</f>
        <v>#N/A</v>
      </c>
      <c r="BN579" s="1213" t="e">
        <f t="shared" ref="BN579:BN588" ca="1" si="433">BM579*$F579</f>
        <v>#N/A</v>
      </c>
      <c r="BO579" s="1587">
        <f t="shared" ref="BO579:BO588" si="434">IF($A579=0,0,IF(OR($AF579=FALSE,$B579=BK$1),0,IF(OR(BN579&lt;(BN$1*0.9),$E579&lt;5)=FALSE,((BN579-BN$1)*MIN(3,$E579)*(1-MIN(1/(2*$E579),1))+IF((BM579-BM$1)&lt;0,(BM579-BM$1)*2,(BM579-BM$1)*MIN(1/(2*$E579),1))),0)))</f>
        <v>0</v>
      </c>
      <c r="BR579" s="1212" t="e">
        <f t="shared" ref="BR579:BR588" ca="1" si="435">IF($AF579=FALSE,0,IF(AND(BQ$2&gt;=$O579,BQ$1=$D579),$I579+INT((BQ$2-$O579)/$N579)*$J579,0))</f>
        <v>#N/A</v>
      </c>
      <c r="BS579" s="1213" t="e">
        <f t="shared" ref="BS579:BS588" ca="1" si="436">BR579*$F579</f>
        <v>#N/A</v>
      </c>
      <c r="BT579" s="1587">
        <f t="shared" ref="BT579:BT588" si="437">IF($A579=0,0,IF(OR($AF579=FALSE,$B579=BP$1),0,IF(OR(BS579&lt;(BS$1*0.9),$E579&lt;5)=FALSE,((BS579-BS$1)*MIN(3,$E579)*(1-MIN(1/(2*$E579),1))+IF((BR579-BR$1)&lt;0,(BR579-BR$1)*2,(BR579-BR$1)*MIN(1/(2*$E579),1))),0)))</f>
        <v>0</v>
      </c>
      <c r="BW579" s="1212" t="e">
        <f t="shared" ref="BW579:BW588" ca="1" si="438">IF($AF579=FALSE,0,IF(AND(BV$2&gt;=$O579,BV$1=$D579),$I579+INT((BV$2-$O579)/$N579)*$J579,0))</f>
        <v>#N/A</v>
      </c>
      <c r="BX579" s="1213" t="e">
        <f t="shared" ref="BX579:BX588" ca="1" si="439">BW579*$F579</f>
        <v>#N/A</v>
      </c>
      <c r="BY579" s="1587">
        <f t="shared" ref="BY579:BY588" si="440">IF($A579=0,0,IF(OR($AF579=FALSE,$B579=BU$1),0,IF(OR(BX579&lt;(BX$1*0.9),$E579&lt;5)=FALSE,((BX579-BX$1)*MIN(3,$E579)*(1-MIN(1/(2*$E579),1))+IF((BW579-BW$1)&lt;0,(BW579-BW$1)*2,(BW579-BW$1)*MIN(1/(2*$E579),1))),0)))</f>
        <v>0</v>
      </c>
      <c r="CB579" s="1212" t="e">
        <f t="shared" ref="CB579:CB588" ca="1" si="441">IF($AF579=FALSE,0,IF(AND(CA$2&gt;=$O579,CA$1=$D579),$I579+INT((CA$2-$O579)/$N579)*$J579,0))</f>
        <v>#N/A</v>
      </c>
      <c r="CC579" s="1213" t="e">
        <f t="shared" ref="CC579:CC588" ca="1" si="442">CB579*$F579</f>
        <v>#N/A</v>
      </c>
      <c r="CD579" s="1587">
        <f t="shared" ref="CD579:CD588" si="443">IF($A579=0,0,IF(OR($AF579=FALSE,$B579=BZ$1),0,IF(OR(CC579&lt;(CC$1*0.9),$E579&lt;5)=FALSE,((CC579-CC$1)*MIN(3,$E579)*(1-MIN(1/(2*$E579),1))+IF((CB579-CB$1)&lt;0,(CB579-CB$1)*2,(CB579-CB$1)*MIN(1/(2*$E579),1))),0)))</f>
        <v>0</v>
      </c>
      <c r="CG579" s="1212" t="e">
        <f t="shared" ref="CG579:CG588" ca="1" si="444">IF($AF579=FALSE,0,IF(AND(CF$2&gt;=$O579,CF$1=$D579),$I579+INT((CF$2-$O579)/$N579)*$J579,0))</f>
        <v>#N/A</v>
      </c>
      <c r="CH579" s="1213" t="e">
        <f t="shared" ref="CH579:CH588" ca="1" si="445">CG579*$F579</f>
        <v>#N/A</v>
      </c>
      <c r="CI579" s="1587">
        <f t="shared" ref="CI579:CI588" si="446">IF($A579=0,0,IF(OR($AF579=FALSE,$B579=CE$1),0,IF(OR(CH579&lt;(CH$1*0.9),$E579&lt;5)=FALSE,((CH579-CH$1)*MIN(3,$E579)*(1-MIN(1/(2*$E579),1))+IF((CG579-CG$1)&lt;0,(CG579-CG$1)*2,(CG579-CG$1)*MIN(1/(2*$E579),1))),0)))</f>
        <v>0</v>
      </c>
      <c r="CL579" s="1212" t="e">
        <f t="shared" ref="CL579:CL588" ca="1" si="447">IF($AF579=FALSE,0,IF(AND(CK$2&gt;=$O579,CK$1=$D579),$I579+INT((CK$2-$O579)/$N579)*$J579,0))</f>
        <v>#N/A</v>
      </c>
      <c r="CM579" s="1213" t="e">
        <f t="shared" ref="CM579:CM588" ca="1" si="448">CL579*$F579</f>
        <v>#N/A</v>
      </c>
      <c r="CN579" s="1587">
        <f t="shared" ref="CN579:CN588" si="449">IF($A579=0,0,IF(OR($AF579=FALSE,$B579=CJ$1),0,IF(OR(CM579&lt;(CM$1*0.9),$E579&lt;5)=FALSE,((CM579-CM$1)*MIN(3,$E579)*(1-MIN(1/(2*$E579),1))+IF((CL579-CL$1)&lt;0,(CL579-CL$1)*2,(CL579-CL$1)*MIN(1/(2*$E579),1))),0)))</f>
        <v>0</v>
      </c>
    </row>
    <row r="580" spans="1:92">
      <c r="A580" s="141">
        <f>'銀行-TSS'!A580</f>
        <v>0</v>
      </c>
      <c r="B580" s="151">
        <f ca="1">VLOOKUP(A580,'銀行-TSS'!A:B,2,FALSE)</f>
        <v>0</v>
      </c>
      <c r="C580" s="151" t="e">
        <f ca="1">VLOOKUP(B580,bond!B:C,2,FALSE)</f>
        <v>#N/A</v>
      </c>
      <c r="D580" s="95" t="e">
        <f>VLOOKUP(A580,'銀行-TSS'!A:C,3,FALSE)</f>
        <v>#N/A</v>
      </c>
      <c r="E580" s="90" t="e">
        <f ca="1">VLOOKUP(A580,'銀行-TSS'!A:G,7,FALSE)</f>
        <v>#N/A</v>
      </c>
      <c r="F580" s="202" t="e">
        <f ca="1">VLOOKUP(A580,'銀行-TSS'!A:H,8,FALSE)</f>
        <v>#N/A</v>
      </c>
      <c r="G580" s="96" t="e">
        <f ca="1">VLOOKUP(A580,'銀行-TSS'!A:K,11,FALSE)</f>
        <v>#N/A</v>
      </c>
      <c r="H580" s="1209" t="e">
        <f ca="1">VLOOKUP(A580,'銀行-TSS'!A:M,13,FALSE)</f>
        <v>#N/A</v>
      </c>
      <c r="I580" s="1213" t="e">
        <f ca="1">VLOOKUP(A580,'銀行-TSS'!A:N,14,FALSE)</f>
        <v>#N/A</v>
      </c>
      <c r="J580" s="1213" t="e">
        <f ca="1">VLOOKUP(A580,'銀行-TSS'!A:O,15,FALSE)</f>
        <v>#N/A</v>
      </c>
      <c r="K580" s="136" t="e">
        <f ca="1">VLOOKUP(A580,'銀行-TSS'!A:V,22,FALSE)</f>
        <v>#N/A</v>
      </c>
      <c r="L580" s="136" t="e">
        <f ca="1">VLOOKUP(A580,'銀行-TSS'!A:AK,37,FALSE)</f>
        <v>#N/A</v>
      </c>
      <c r="M580" s="136" t="str">
        <f ca="1">VLOOKUP(A580,'銀行-TSS'!A:AN,40,FALSE)</f>
        <v/>
      </c>
      <c r="N580" s="136" t="e">
        <f t="shared" ca="1" si="405"/>
        <v>#N/A</v>
      </c>
      <c r="O580" s="1213" t="e">
        <f t="shared" ca="1" si="406"/>
        <v>#N/A</v>
      </c>
      <c r="P580" s="1213" t="e">
        <f ca="1">IF(AND($O$1&gt;=O580,換券單檔!$D$13=D580),I580+INT(($O$1-O580)/N580)*J580,0)</f>
        <v>#N/A</v>
      </c>
      <c r="Q580" s="1213" t="e">
        <f t="shared" ca="1" si="407"/>
        <v>#N/A</v>
      </c>
      <c r="R580" s="1213">
        <f t="shared" si="408"/>
        <v>0</v>
      </c>
      <c r="S580" s="1213">
        <f t="shared" si="409"/>
        <v>0</v>
      </c>
      <c r="T580" s="136">
        <f>IF(OR(R580=0,A580=0),0,IF(AND(V580=TRUE,換券單檔!$D$13=D580),E580,0))</f>
        <v>0</v>
      </c>
      <c r="U580" s="861">
        <f>IF(OR(R580=0,A580=0),0,IF(AND(V580=TRUE,換券單檔!$D$13=D580),H580,0))</f>
        <v>0</v>
      </c>
      <c r="V580" s="136" t="e">
        <f ca="1">IF(OR(B580=換券單檔!$D$3,L580="無",M580&lt;&gt;"",K580="高資產",IFERROR(MATCH(B580,換券單檔!K:K,0),"N")&lt;&gt;"N"),FALSE,IF($V$1="All",TRUE,IF(K580=$V$1,TRUE,FALSE)))</f>
        <v>#N/A</v>
      </c>
      <c r="W580" s="136" t="e">
        <f ca="1">VLOOKUP(A580,'銀行-TSS'!A:AO,41,FALSE)</f>
        <v>#N/A</v>
      </c>
      <c r="X580" s="136" t="e">
        <f ca="1">VLOOKUP(A580,'銀行-TSS'!A:AP,42,FALSE)</f>
        <v>#N/A</v>
      </c>
      <c r="Y580" s="1220">
        <f t="shared" si="410"/>
        <v>0</v>
      </c>
      <c r="Z580" s="1220">
        <f t="shared" si="411"/>
        <v>0</v>
      </c>
      <c r="AA580" s="136">
        <f>IF(Z580&lt;=0,0,RANK(Z580,Z:Z)+COUNTIF($Z$3:$Z580,Z580)-1)</f>
        <v>0</v>
      </c>
      <c r="AB580" s="1211">
        <f t="shared" ca="1" si="412"/>
        <v>-14896.14</v>
      </c>
      <c r="AC580" s="136">
        <f ca="1">IF(AB580&lt;=0,0,RANK(AB580,AB:AB)+COUNTIF($AB$3:$AB580,AB580)-1)</f>
        <v>0</v>
      </c>
      <c r="AD580" s="1123">
        <f t="shared" si="413"/>
        <v>99999</v>
      </c>
      <c r="AE580" s="1123">
        <f>IF(AD580=99999,0,RANK(AD580,AD:AD,1)+COUNTIF($AD$3:$AD580,AD580)-1)</f>
        <v>0</v>
      </c>
      <c r="AF580" s="86" t="e">
        <f ca="1">IF(OR(M580&lt;&gt;"",L580="無",K580="高資產",IFERROR(MATCH(B580,換券單檔!K:K,0),"N")&lt;&gt;"N"),FALSE,TRUE)</f>
        <v>#N/A</v>
      </c>
      <c r="AI580" s="1212" t="e">
        <f t="shared" ca="1" si="414"/>
        <v>#N/A</v>
      </c>
      <c r="AJ580" s="1213" t="e">
        <f t="shared" ca="1" si="415"/>
        <v>#N/A</v>
      </c>
      <c r="AK580" s="1587">
        <f t="shared" si="416"/>
        <v>0</v>
      </c>
      <c r="AN580" s="1212" t="e">
        <f t="shared" ca="1" si="417"/>
        <v>#N/A</v>
      </c>
      <c r="AO580" s="1213" t="e">
        <f t="shared" ca="1" si="418"/>
        <v>#N/A</v>
      </c>
      <c r="AP580" s="1587">
        <f t="shared" si="419"/>
        <v>0</v>
      </c>
      <c r="AS580" s="1212" t="e">
        <f t="shared" ca="1" si="420"/>
        <v>#N/A</v>
      </c>
      <c r="AT580" s="1213" t="e">
        <f t="shared" ca="1" si="421"/>
        <v>#N/A</v>
      </c>
      <c r="AU580" s="1587">
        <f t="shared" si="422"/>
        <v>0</v>
      </c>
      <c r="AX580" s="1212" t="e">
        <f t="shared" ca="1" si="423"/>
        <v>#N/A</v>
      </c>
      <c r="AY580" s="1213" t="e">
        <f t="shared" ca="1" si="424"/>
        <v>#N/A</v>
      </c>
      <c r="AZ580" s="1587">
        <f t="shared" si="425"/>
        <v>0</v>
      </c>
      <c r="BC580" s="1212" t="e">
        <f t="shared" ca="1" si="426"/>
        <v>#N/A</v>
      </c>
      <c r="BD580" s="1213" t="e">
        <f t="shared" ca="1" si="427"/>
        <v>#N/A</v>
      </c>
      <c r="BE580" s="1587">
        <f t="shared" si="428"/>
        <v>0</v>
      </c>
      <c r="BH580" s="1212" t="e">
        <f t="shared" ca="1" si="429"/>
        <v>#N/A</v>
      </c>
      <c r="BI580" s="1213" t="e">
        <f t="shared" ca="1" si="430"/>
        <v>#N/A</v>
      </c>
      <c r="BJ580" s="1587">
        <f t="shared" si="431"/>
        <v>0</v>
      </c>
      <c r="BM580" s="1212" t="e">
        <f t="shared" ca="1" si="432"/>
        <v>#N/A</v>
      </c>
      <c r="BN580" s="1213" t="e">
        <f t="shared" ca="1" si="433"/>
        <v>#N/A</v>
      </c>
      <c r="BO580" s="1587">
        <f t="shared" si="434"/>
        <v>0</v>
      </c>
      <c r="BR580" s="1212" t="e">
        <f t="shared" ca="1" si="435"/>
        <v>#N/A</v>
      </c>
      <c r="BS580" s="1213" t="e">
        <f t="shared" ca="1" si="436"/>
        <v>#N/A</v>
      </c>
      <c r="BT580" s="1587">
        <f t="shared" si="437"/>
        <v>0</v>
      </c>
      <c r="BW580" s="1212" t="e">
        <f t="shared" ca="1" si="438"/>
        <v>#N/A</v>
      </c>
      <c r="BX580" s="1213" t="e">
        <f t="shared" ca="1" si="439"/>
        <v>#N/A</v>
      </c>
      <c r="BY580" s="1587">
        <f t="shared" si="440"/>
        <v>0</v>
      </c>
      <c r="CB580" s="1212" t="e">
        <f t="shared" ca="1" si="441"/>
        <v>#N/A</v>
      </c>
      <c r="CC580" s="1213" t="e">
        <f t="shared" ca="1" si="442"/>
        <v>#N/A</v>
      </c>
      <c r="CD580" s="1587">
        <f t="shared" si="443"/>
        <v>0</v>
      </c>
      <c r="CG580" s="1212" t="e">
        <f t="shared" ca="1" si="444"/>
        <v>#N/A</v>
      </c>
      <c r="CH580" s="1213" t="e">
        <f t="shared" ca="1" si="445"/>
        <v>#N/A</v>
      </c>
      <c r="CI580" s="1587">
        <f t="shared" si="446"/>
        <v>0</v>
      </c>
      <c r="CL580" s="1212" t="e">
        <f t="shared" ca="1" si="447"/>
        <v>#N/A</v>
      </c>
      <c r="CM580" s="1213" t="e">
        <f t="shared" ca="1" si="448"/>
        <v>#N/A</v>
      </c>
      <c r="CN580" s="1587">
        <f t="shared" si="449"/>
        <v>0</v>
      </c>
    </row>
    <row r="581" spans="1:92">
      <c r="A581" s="141">
        <f>'銀行-TSS'!A581</f>
        <v>0</v>
      </c>
      <c r="B581" s="151">
        <f ca="1">VLOOKUP(A581,'銀行-TSS'!A:B,2,FALSE)</f>
        <v>0</v>
      </c>
      <c r="C581" s="151" t="e">
        <f ca="1">VLOOKUP(B581,bond!B:C,2,FALSE)</f>
        <v>#N/A</v>
      </c>
      <c r="D581" s="95" t="e">
        <f>VLOOKUP(A581,'銀行-TSS'!A:C,3,FALSE)</f>
        <v>#N/A</v>
      </c>
      <c r="E581" s="90" t="e">
        <f ca="1">VLOOKUP(A581,'銀行-TSS'!A:G,7,FALSE)</f>
        <v>#N/A</v>
      </c>
      <c r="F581" s="202" t="e">
        <f ca="1">VLOOKUP(A581,'銀行-TSS'!A:H,8,FALSE)</f>
        <v>#N/A</v>
      </c>
      <c r="G581" s="96" t="e">
        <f ca="1">VLOOKUP(A581,'銀行-TSS'!A:K,11,FALSE)</f>
        <v>#N/A</v>
      </c>
      <c r="H581" s="1209" t="e">
        <f ca="1">VLOOKUP(A581,'銀行-TSS'!A:M,13,FALSE)</f>
        <v>#N/A</v>
      </c>
      <c r="I581" s="1213" t="e">
        <f ca="1">VLOOKUP(A581,'銀行-TSS'!A:N,14,FALSE)</f>
        <v>#N/A</v>
      </c>
      <c r="J581" s="1213" t="e">
        <f ca="1">VLOOKUP(A581,'銀行-TSS'!A:O,15,FALSE)</f>
        <v>#N/A</v>
      </c>
      <c r="K581" s="136" t="e">
        <f ca="1">VLOOKUP(A581,'銀行-TSS'!A:V,22,FALSE)</f>
        <v>#N/A</v>
      </c>
      <c r="L581" s="136" t="e">
        <f ca="1">VLOOKUP(A581,'銀行-TSS'!A:AK,37,FALSE)</f>
        <v>#N/A</v>
      </c>
      <c r="M581" s="136" t="str">
        <f ca="1">VLOOKUP(A581,'銀行-TSS'!A:AN,40,FALSE)</f>
        <v/>
      </c>
      <c r="N581" s="136" t="e">
        <f t="shared" ca="1" si="405"/>
        <v>#N/A</v>
      </c>
      <c r="O581" s="1213" t="e">
        <f t="shared" ca="1" si="406"/>
        <v>#N/A</v>
      </c>
      <c r="P581" s="1213" t="e">
        <f ca="1">IF(AND($O$1&gt;=O581,換券單檔!$D$13=D581),I581+INT(($O$1-O581)/N581)*J581,0)</f>
        <v>#N/A</v>
      </c>
      <c r="Q581" s="1213" t="e">
        <f t="shared" ca="1" si="407"/>
        <v>#N/A</v>
      </c>
      <c r="R581" s="1213">
        <f t="shared" si="408"/>
        <v>0</v>
      </c>
      <c r="S581" s="1213">
        <f t="shared" si="409"/>
        <v>0</v>
      </c>
      <c r="T581" s="136">
        <f>IF(OR(R581=0,A581=0),0,IF(AND(V581=TRUE,換券單檔!$D$13=D581),E581,0))</f>
        <v>0</v>
      </c>
      <c r="U581" s="861">
        <f>IF(OR(R581=0,A581=0),0,IF(AND(V581=TRUE,換券單檔!$D$13=D581),H581,0))</f>
        <v>0</v>
      </c>
      <c r="V581" s="136" t="e">
        <f ca="1">IF(OR(B581=換券單檔!$D$3,L581="無",M581&lt;&gt;"",K581="高資產",IFERROR(MATCH(B581,換券單檔!K:K,0),"N")&lt;&gt;"N"),FALSE,IF($V$1="All",TRUE,IF(K581=$V$1,TRUE,FALSE)))</f>
        <v>#N/A</v>
      </c>
      <c r="W581" s="136" t="e">
        <f ca="1">VLOOKUP(A581,'銀行-TSS'!A:AO,41,FALSE)</f>
        <v>#N/A</v>
      </c>
      <c r="X581" s="136" t="e">
        <f ca="1">VLOOKUP(A581,'銀行-TSS'!A:AP,42,FALSE)</f>
        <v>#N/A</v>
      </c>
      <c r="Y581" s="1220">
        <f t="shared" si="410"/>
        <v>0</v>
      </c>
      <c r="Z581" s="1220">
        <f t="shared" si="411"/>
        <v>0</v>
      </c>
      <c r="AA581" s="136">
        <f>IF(Z581&lt;=0,0,RANK(Z581,Z:Z)+COUNTIF($Z$3:$Z581,Z581)-1)</f>
        <v>0</v>
      </c>
      <c r="AB581" s="1211">
        <f t="shared" ca="1" si="412"/>
        <v>-14896.14</v>
      </c>
      <c r="AC581" s="136">
        <f ca="1">IF(AB581&lt;=0,0,RANK(AB581,AB:AB)+COUNTIF($AB$3:$AB581,AB581)-1)</f>
        <v>0</v>
      </c>
      <c r="AD581" s="1123">
        <f t="shared" si="413"/>
        <v>99999</v>
      </c>
      <c r="AE581" s="1123">
        <f>IF(AD581=99999,0,RANK(AD581,AD:AD,1)+COUNTIF($AD$3:$AD581,AD581)-1)</f>
        <v>0</v>
      </c>
      <c r="AF581" s="86" t="e">
        <f ca="1">IF(OR(M581&lt;&gt;"",L581="無",K581="高資產",IFERROR(MATCH(B581,換券單檔!K:K,0),"N")&lt;&gt;"N"),FALSE,TRUE)</f>
        <v>#N/A</v>
      </c>
      <c r="AI581" s="1212" t="e">
        <f t="shared" ca="1" si="414"/>
        <v>#N/A</v>
      </c>
      <c r="AJ581" s="1213" t="e">
        <f t="shared" ca="1" si="415"/>
        <v>#N/A</v>
      </c>
      <c r="AK581" s="1587">
        <f t="shared" si="416"/>
        <v>0</v>
      </c>
      <c r="AN581" s="1212" t="e">
        <f t="shared" ca="1" si="417"/>
        <v>#N/A</v>
      </c>
      <c r="AO581" s="1213" t="e">
        <f t="shared" ca="1" si="418"/>
        <v>#N/A</v>
      </c>
      <c r="AP581" s="1587">
        <f t="shared" si="419"/>
        <v>0</v>
      </c>
      <c r="AS581" s="1212" t="e">
        <f t="shared" ca="1" si="420"/>
        <v>#N/A</v>
      </c>
      <c r="AT581" s="1213" t="e">
        <f t="shared" ca="1" si="421"/>
        <v>#N/A</v>
      </c>
      <c r="AU581" s="1587">
        <f t="shared" si="422"/>
        <v>0</v>
      </c>
      <c r="AX581" s="1212" t="e">
        <f t="shared" ca="1" si="423"/>
        <v>#N/A</v>
      </c>
      <c r="AY581" s="1213" t="e">
        <f t="shared" ca="1" si="424"/>
        <v>#N/A</v>
      </c>
      <c r="AZ581" s="1587">
        <f t="shared" si="425"/>
        <v>0</v>
      </c>
      <c r="BC581" s="1212" t="e">
        <f t="shared" ca="1" si="426"/>
        <v>#N/A</v>
      </c>
      <c r="BD581" s="1213" t="e">
        <f t="shared" ca="1" si="427"/>
        <v>#N/A</v>
      </c>
      <c r="BE581" s="1587">
        <f t="shared" si="428"/>
        <v>0</v>
      </c>
      <c r="BH581" s="1212" t="e">
        <f t="shared" ca="1" si="429"/>
        <v>#N/A</v>
      </c>
      <c r="BI581" s="1213" t="e">
        <f t="shared" ca="1" si="430"/>
        <v>#N/A</v>
      </c>
      <c r="BJ581" s="1587">
        <f t="shared" si="431"/>
        <v>0</v>
      </c>
      <c r="BM581" s="1212" t="e">
        <f t="shared" ca="1" si="432"/>
        <v>#N/A</v>
      </c>
      <c r="BN581" s="1213" t="e">
        <f t="shared" ca="1" si="433"/>
        <v>#N/A</v>
      </c>
      <c r="BO581" s="1587">
        <f t="shared" si="434"/>
        <v>0</v>
      </c>
      <c r="BR581" s="1212" t="e">
        <f t="shared" ca="1" si="435"/>
        <v>#N/A</v>
      </c>
      <c r="BS581" s="1213" t="e">
        <f t="shared" ca="1" si="436"/>
        <v>#N/A</v>
      </c>
      <c r="BT581" s="1587">
        <f t="shared" si="437"/>
        <v>0</v>
      </c>
      <c r="BW581" s="1212" t="e">
        <f t="shared" ca="1" si="438"/>
        <v>#N/A</v>
      </c>
      <c r="BX581" s="1213" t="e">
        <f t="shared" ca="1" si="439"/>
        <v>#N/A</v>
      </c>
      <c r="BY581" s="1587">
        <f t="shared" si="440"/>
        <v>0</v>
      </c>
      <c r="CB581" s="1212" t="e">
        <f t="shared" ca="1" si="441"/>
        <v>#N/A</v>
      </c>
      <c r="CC581" s="1213" t="e">
        <f t="shared" ca="1" si="442"/>
        <v>#N/A</v>
      </c>
      <c r="CD581" s="1587">
        <f t="shared" si="443"/>
        <v>0</v>
      </c>
      <c r="CG581" s="1212" t="e">
        <f t="shared" ca="1" si="444"/>
        <v>#N/A</v>
      </c>
      <c r="CH581" s="1213" t="e">
        <f t="shared" ca="1" si="445"/>
        <v>#N/A</v>
      </c>
      <c r="CI581" s="1587">
        <f t="shared" si="446"/>
        <v>0</v>
      </c>
      <c r="CL581" s="1212" t="e">
        <f t="shared" ca="1" si="447"/>
        <v>#N/A</v>
      </c>
      <c r="CM581" s="1213" t="e">
        <f t="shared" ca="1" si="448"/>
        <v>#N/A</v>
      </c>
      <c r="CN581" s="1587">
        <f t="shared" si="449"/>
        <v>0</v>
      </c>
    </row>
    <row r="582" spans="1:92">
      <c r="A582" s="141">
        <f>'銀行-TSS'!A582</f>
        <v>0</v>
      </c>
      <c r="B582" s="151">
        <f ca="1">VLOOKUP(A582,'銀行-TSS'!A:B,2,FALSE)</f>
        <v>0</v>
      </c>
      <c r="C582" s="151" t="e">
        <f ca="1">VLOOKUP(B582,bond!B:C,2,FALSE)</f>
        <v>#N/A</v>
      </c>
      <c r="D582" s="95" t="e">
        <f>VLOOKUP(A582,'銀行-TSS'!A:C,3,FALSE)</f>
        <v>#N/A</v>
      </c>
      <c r="E582" s="90" t="e">
        <f ca="1">VLOOKUP(A582,'銀行-TSS'!A:G,7,FALSE)</f>
        <v>#N/A</v>
      </c>
      <c r="F582" s="202" t="e">
        <f ca="1">VLOOKUP(A582,'銀行-TSS'!A:H,8,FALSE)</f>
        <v>#N/A</v>
      </c>
      <c r="G582" s="96" t="e">
        <f ca="1">VLOOKUP(A582,'銀行-TSS'!A:K,11,FALSE)</f>
        <v>#N/A</v>
      </c>
      <c r="H582" s="1209" t="e">
        <f ca="1">VLOOKUP(A582,'銀行-TSS'!A:M,13,FALSE)</f>
        <v>#N/A</v>
      </c>
      <c r="I582" s="1213" t="e">
        <f ca="1">VLOOKUP(A582,'銀行-TSS'!A:N,14,FALSE)</f>
        <v>#N/A</v>
      </c>
      <c r="J582" s="1213" t="e">
        <f ca="1">VLOOKUP(A582,'銀行-TSS'!A:O,15,FALSE)</f>
        <v>#N/A</v>
      </c>
      <c r="K582" s="136" t="e">
        <f ca="1">VLOOKUP(A582,'銀行-TSS'!A:V,22,FALSE)</f>
        <v>#N/A</v>
      </c>
      <c r="L582" s="136" t="e">
        <f ca="1">VLOOKUP(A582,'銀行-TSS'!A:AK,37,FALSE)</f>
        <v>#N/A</v>
      </c>
      <c r="M582" s="136" t="str">
        <f ca="1">VLOOKUP(A582,'銀行-TSS'!A:AN,40,FALSE)</f>
        <v/>
      </c>
      <c r="N582" s="136" t="e">
        <f t="shared" ca="1" si="405"/>
        <v>#N/A</v>
      </c>
      <c r="O582" s="1213" t="e">
        <f t="shared" ca="1" si="406"/>
        <v>#N/A</v>
      </c>
      <c r="P582" s="1213" t="e">
        <f ca="1">IF(AND($O$1&gt;=O582,換券單檔!$D$13=D582),I582+INT(($O$1-O582)/N582)*J582,0)</f>
        <v>#N/A</v>
      </c>
      <c r="Q582" s="1213" t="e">
        <f t="shared" ca="1" si="407"/>
        <v>#N/A</v>
      </c>
      <c r="R582" s="1213">
        <f t="shared" si="408"/>
        <v>0</v>
      </c>
      <c r="S582" s="1213">
        <f t="shared" si="409"/>
        <v>0</v>
      </c>
      <c r="T582" s="136">
        <f>IF(OR(R582=0,A582=0),0,IF(AND(V582=TRUE,換券單檔!$D$13=D582),E582,0))</f>
        <v>0</v>
      </c>
      <c r="U582" s="861">
        <f>IF(OR(R582=0,A582=0),0,IF(AND(V582=TRUE,換券單檔!$D$13=D582),H582,0))</f>
        <v>0</v>
      </c>
      <c r="V582" s="136" t="e">
        <f ca="1">IF(OR(B582=換券單檔!$D$3,L582="無",M582&lt;&gt;"",K582="高資產",IFERROR(MATCH(B582,換券單檔!K:K,0),"N")&lt;&gt;"N"),FALSE,IF($V$1="All",TRUE,IF(K582=$V$1,TRUE,FALSE)))</f>
        <v>#N/A</v>
      </c>
      <c r="W582" s="136" t="e">
        <f ca="1">VLOOKUP(A582,'銀行-TSS'!A:AO,41,FALSE)</f>
        <v>#N/A</v>
      </c>
      <c r="X582" s="136" t="e">
        <f ca="1">VLOOKUP(A582,'銀行-TSS'!A:AP,42,FALSE)</f>
        <v>#N/A</v>
      </c>
      <c r="Y582" s="1220">
        <f t="shared" si="410"/>
        <v>0</v>
      </c>
      <c r="Z582" s="1220">
        <f t="shared" si="411"/>
        <v>0</v>
      </c>
      <c r="AA582" s="136">
        <f>IF(Z582&lt;=0,0,RANK(Z582,Z:Z)+COUNTIF($Z$3:$Z582,Z582)-1)</f>
        <v>0</v>
      </c>
      <c r="AB582" s="1211">
        <f t="shared" ca="1" si="412"/>
        <v>-14896.14</v>
      </c>
      <c r="AC582" s="136">
        <f ca="1">IF(AB582&lt;=0,0,RANK(AB582,AB:AB)+COUNTIF($AB$3:$AB582,AB582)-1)</f>
        <v>0</v>
      </c>
      <c r="AD582" s="1123">
        <f t="shared" si="413"/>
        <v>99999</v>
      </c>
      <c r="AE582" s="1123">
        <f>IF(AD582=99999,0,RANK(AD582,AD:AD,1)+COUNTIF($AD$3:$AD582,AD582)-1)</f>
        <v>0</v>
      </c>
      <c r="AF582" s="86" t="e">
        <f ca="1">IF(OR(M582&lt;&gt;"",L582="無",K582="高資產",IFERROR(MATCH(B582,換券單檔!K:K,0),"N")&lt;&gt;"N"),FALSE,TRUE)</f>
        <v>#N/A</v>
      </c>
      <c r="AI582" s="1212" t="e">
        <f t="shared" ca="1" si="414"/>
        <v>#N/A</v>
      </c>
      <c r="AJ582" s="1213" t="e">
        <f t="shared" ca="1" si="415"/>
        <v>#N/A</v>
      </c>
      <c r="AK582" s="1587">
        <f t="shared" si="416"/>
        <v>0</v>
      </c>
      <c r="AN582" s="1212" t="e">
        <f t="shared" ca="1" si="417"/>
        <v>#N/A</v>
      </c>
      <c r="AO582" s="1213" t="e">
        <f t="shared" ca="1" si="418"/>
        <v>#N/A</v>
      </c>
      <c r="AP582" s="1587">
        <f t="shared" si="419"/>
        <v>0</v>
      </c>
      <c r="AS582" s="1212" t="e">
        <f t="shared" ca="1" si="420"/>
        <v>#N/A</v>
      </c>
      <c r="AT582" s="1213" t="e">
        <f t="shared" ca="1" si="421"/>
        <v>#N/A</v>
      </c>
      <c r="AU582" s="1587">
        <f t="shared" si="422"/>
        <v>0</v>
      </c>
      <c r="AX582" s="1212" t="e">
        <f t="shared" ca="1" si="423"/>
        <v>#N/A</v>
      </c>
      <c r="AY582" s="1213" t="e">
        <f t="shared" ca="1" si="424"/>
        <v>#N/A</v>
      </c>
      <c r="AZ582" s="1587">
        <f t="shared" si="425"/>
        <v>0</v>
      </c>
      <c r="BC582" s="1212" t="e">
        <f t="shared" ca="1" si="426"/>
        <v>#N/A</v>
      </c>
      <c r="BD582" s="1213" t="e">
        <f t="shared" ca="1" si="427"/>
        <v>#N/A</v>
      </c>
      <c r="BE582" s="1587">
        <f t="shared" si="428"/>
        <v>0</v>
      </c>
      <c r="BH582" s="1212" t="e">
        <f t="shared" ca="1" si="429"/>
        <v>#N/A</v>
      </c>
      <c r="BI582" s="1213" t="e">
        <f t="shared" ca="1" si="430"/>
        <v>#N/A</v>
      </c>
      <c r="BJ582" s="1587">
        <f t="shared" si="431"/>
        <v>0</v>
      </c>
      <c r="BM582" s="1212" t="e">
        <f t="shared" ca="1" si="432"/>
        <v>#N/A</v>
      </c>
      <c r="BN582" s="1213" t="e">
        <f t="shared" ca="1" si="433"/>
        <v>#N/A</v>
      </c>
      <c r="BO582" s="1587">
        <f t="shared" si="434"/>
        <v>0</v>
      </c>
      <c r="BR582" s="1212" t="e">
        <f t="shared" ca="1" si="435"/>
        <v>#N/A</v>
      </c>
      <c r="BS582" s="1213" t="e">
        <f t="shared" ca="1" si="436"/>
        <v>#N/A</v>
      </c>
      <c r="BT582" s="1587">
        <f t="shared" si="437"/>
        <v>0</v>
      </c>
      <c r="BW582" s="1212" t="e">
        <f t="shared" ca="1" si="438"/>
        <v>#N/A</v>
      </c>
      <c r="BX582" s="1213" t="e">
        <f t="shared" ca="1" si="439"/>
        <v>#N/A</v>
      </c>
      <c r="BY582" s="1587">
        <f t="shared" si="440"/>
        <v>0</v>
      </c>
      <c r="CB582" s="1212" t="e">
        <f t="shared" ca="1" si="441"/>
        <v>#N/A</v>
      </c>
      <c r="CC582" s="1213" t="e">
        <f t="shared" ca="1" si="442"/>
        <v>#N/A</v>
      </c>
      <c r="CD582" s="1587">
        <f t="shared" si="443"/>
        <v>0</v>
      </c>
      <c r="CG582" s="1212" t="e">
        <f t="shared" ca="1" si="444"/>
        <v>#N/A</v>
      </c>
      <c r="CH582" s="1213" t="e">
        <f t="shared" ca="1" si="445"/>
        <v>#N/A</v>
      </c>
      <c r="CI582" s="1587">
        <f t="shared" si="446"/>
        <v>0</v>
      </c>
      <c r="CL582" s="1212" t="e">
        <f t="shared" ca="1" si="447"/>
        <v>#N/A</v>
      </c>
      <c r="CM582" s="1213" t="e">
        <f t="shared" ca="1" si="448"/>
        <v>#N/A</v>
      </c>
      <c r="CN582" s="1587">
        <f t="shared" si="449"/>
        <v>0</v>
      </c>
    </row>
    <row r="583" spans="1:92">
      <c r="A583" s="141">
        <f>'銀行-TSS'!A583</f>
        <v>0</v>
      </c>
      <c r="B583" s="151">
        <f ca="1">VLOOKUP(A583,'銀行-TSS'!A:B,2,FALSE)</f>
        <v>0</v>
      </c>
      <c r="C583" s="151" t="e">
        <f ca="1">VLOOKUP(B583,bond!B:C,2,FALSE)</f>
        <v>#N/A</v>
      </c>
      <c r="D583" s="95" t="e">
        <f>VLOOKUP(A583,'銀行-TSS'!A:C,3,FALSE)</f>
        <v>#N/A</v>
      </c>
      <c r="E583" s="90" t="e">
        <f ca="1">VLOOKUP(A583,'銀行-TSS'!A:G,7,FALSE)</f>
        <v>#N/A</v>
      </c>
      <c r="F583" s="202" t="e">
        <f ca="1">VLOOKUP(A583,'銀行-TSS'!A:H,8,FALSE)</f>
        <v>#N/A</v>
      </c>
      <c r="G583" s="96" t="e">
        <f ca="1">VLOOKUP(A583,'銀行-TSS'!A:K,11,FALSE)</f>
        <v>#N/A</v>
      </c>
      <c r="H583" s="1209" t="e">
        <f ca="1">VLOOKUP(A583,'銀行-TSS'!A:M,13,FALSE)</f>
        <v>#N/A</v>
      </c>
      <c r="I583" s="1213" t="e">
        <f ca="1">VLOOKUP(A583,'銀行-TSS'!A:N,14,FALSE)</f>
        <v>#N/A</v>
      </c>
      <c r="J583" s="1213" t="e">
        <f ca="1">VLOOKUP(A583,'銀行-TSS'!A:O,15,FALSE)</f>
        <v>#N/A</v>
      </c>
      <c r="K583" s="136" t="e">
        <f ca="1">VLOOKUP(A583,'銀行-TSS'!A:V,22,FALSE)</f>
        <v>#N/A</v>
      </c>
      <c r="L583" s="136" t="e">
        <f ca="1">VLOOKUP(A583,'銀行-TSS'!A:AK,37,FALSE)</f>
        <v>#N/A</v>
      </c>
      <c r="M583" s="136" t="str">
        <f ca="1">VLOOKUP(A583,'銀行-TSS'!A:AN,40,FALSE)</f>
        <v/>
      </c>
      <c r="N583" s="136" t="e">
        <f t="shared" ca="1" si="405"/>
        <v>#N/A</v>
      </c>
      <c r="O583" s="1213" t="e">
        <f t="shared" ca="1" si="406"/>
        <v>#N/A</v>
      </c>
      <c r="P583" s="1213" t="e">
        <f ca="1">IF(AND($O$1&gt;=O583,換券單檔!$D$13=D583),I583+INT(($O$1-O583)/N583)*J583,0)</f>
        <v>#N/A</v>
      </c>
      <c r="Q583" s="1213" t="e">
        <f t="shared" ca="1" si="407"/>
        <v>#N/A</v>
      </c>
      <c r="R583" s="1213">
        <f t="shared" si="408"/>
        <v>0</v>
      </c>
      <c r="S583" s="1213">
        <f t="shared" si="409"/>
        <v>0</v>
      </c>
      <c r="T583" s="136">
        <f>IF(OR(R583=0,A583=0),0,IF(AND(V583=TRUE,換券單檔!$D$13=D583),E583,0))</f>
        <v>0</v>
      </c>
      <c r="U583" s="861">
        <f>IF(OR(R583=0,A583=0),0,IF(AND(V583=TRUE,換券單檔!$D$13=D583),H583,0))</f>
        <v>0</v>
      </c>
      <c r="V583" s="136" t="e">
        <f ca="1">IF(OR(B583=換券單檔!$D$3,L583="無",M583&lt;&gt;"",K583="高資產",IFERROR(MATCH(B583,換券單檔!K:K,0),"N")&lt;&gt;"N"),FALSE,IF($V$1="All",TRUE,IF(K583=$V$1,TRUE,FALSE)))</f>
        <v>#N/A</v>
      </c>
      <c r="W583" s="136" t="e">
        <f ca="1">VLOOKUP(A583,'銀行-TSS'!A:AO,41,FALSE)</f>
        <v>#N/A</v>
      </c>
      <c r="X583" s="136" t="e">
        <f ca="1">VLOOKUP(A583,'銀行-TSS'!A:AP,42,FALSE)</f>
        <v>#N/A</v>
      </c>
      <c r="Y583" s="1220">
        <f t="shared" si="410"/>
        <v>0</v>
      </c>
      <c r="Z583" s="1220">
        <f t="shared" si="411"/>
        <v>0</v>
      </c>
      <c r="AA583" s="136">
        <f>IF(Z583&lt;=0,0,RANK(Z583,Z:Z)+COUNTIF($Z$3:$Z583,Z583)-1)</f>
        <v>0</v>
      </c>
      <c r="AB583" s="1211">
        <f t="shared" ca="1" si="412"/>
        <v>-14896.14</v>
      </c>
      <c r="AC583" s="136">
        <f ca="1">IF(AB583&lt;=0,0,RANK(AB583,AB:AB)+COUNTIF($AB$3:$AB583,AB583)-1)</f>
        <v>0</v>
      </c>
      <c r="AD583" s="1123">
        <f t="shared" si="413"/>
        <v>99999</v>
      </c>
      <c r="AE583" s="1123">
        <f>IF(AD583=99999,0,RANK(AD583,AD:AD,1)+COUNTIF($AD$3:$AD583,AD583)-1)</f>
        <v>0</v>
      </c>
      <c r="AF583" s="86" t="e">
        <f ca="1">IF(OR(M583&lt;&gt;"",L583="無",K583="高資產",IFERROR(MATCH(B583,換券單檔!K:K,0),"N")&lt;&gt;"N"),FALSE,TRUE)</f>
        <v>#N/A</v>
      </c>
      <c r="AI583" s="1212" t="e">
        <f t="shared" ca="1" si="414"/>
        <v>#N/A</v>
      </c>
      <c r="AJ583" s="1213" t="e">
        <f t="shared" ca="1" si="415"/>
        <v>#N/A</v>
      </c>
      <c r="AK583" s="1587">
        <f t="shared" si="416"/>
        <v>0</v>
      </c>
      <c r="AN583" s="1212" t="e">
        <f t="shared" ca="1" si="417"/>
        <v>#N/A</v>
      </c>
      <c r="AO583" s="1213" t="e">
        <f t="shared" ca="1" si="418"/>
        <v>#N/A</v>
      </c>
      <c r="AP583" s="1587">
        <f t="shared" si="419"/>
        <v>0</v>
      </c>
      <c r="AS583" s="1212" t="e">
        <f t="shared" ca="1" si="420"/>
        <v>#N/A</v>
      </c>
      <c r="AT583" s="1213" t="e">
        <f t="shared" ca="1" si="421"/>
        <v>#N/A</v>
      </c>
      <c r="AU583" s="1587">
        <f t="shared" si="422"/>
        <v>0</v>
      </c>
      <c r="AX583" s="1212" t="e">
        <f t="shared" ca="1" si="423"/>
        <v>#N/A</v>
      </c>
      <c r="AY583" s="1213" t="e">
        <f t="shared" ca="1" si="424"/>
        <v>#N/A</v>
      </c>
      <c r="AZ583" s="1587">
        <f t="shared" si="425"/>
        <v>0</v>
      </c>
      <c r="BC583" s="1212" t="e">
        <f t="shared" ca="1" si="426"/>
        <v>#N/A</v>
      </c>
      <c r="BD583" s="1213" t="e">
        <f t="shared" ca="1" si="427"/>
        <v>#N/A</v>
      </c>
      <c r="BE583" s="1587">
        <f t="shared" si="428"/>
        <v>0</v>
      </c>
      <c r="BH583" s="1212" t="e">
        <f t="shared" ca="1" si="429"/>
        <v>#N/A</v>
      </c>
      <c r="BI583" s="1213" t="e">
        <f t="shared" ca="1" si="430"/>
        <v>#N/A</v>
      </c>
      <c r="BJ583" s="1587">
        <f t="shared" si="431"/>
        <v>0</v>
      </c>
      <c r="BM583" s="1212" t="e">
        <f t="shared" ca="1" si="432"/>
        <v>#N/A</v>
      </c>
      <c r="BN583" s="1213" t="e">
        <f t="shared" ca="1" si="433"/>
        <v>#N/A</v>
      </c>
      <c r="BO583" s="1587">
        <f t="shared" si="434"/>
        <v>0</v>
      </c>
      <c r="BR583" s="1212" t="e">
        <f t="shared" ca="1" si="435"/>
        <v>#N/A</v>
      </c>
      <c r="BS583" s="1213" t="e">
        <f t="shared" ca="1" si="436"/>
        <v>#N/A</v>
      </c>
      <c r="BT583" s="1587">
        <f t="shared" si="437"/>
        <v>0</v>
      </c>
      <c r="BW583" s="1212" t="e">
        <f t="shared" ca="1" si="438"/>
        <v>#N/A</v>
      </c>
      <c r="BX583" s="1213" t="e">
        <f t="shared" ca="1" si="439"/>
        <v>#N/A</v>
      </c>
      <c r="BY583" s="1587">
        <f t="shared" si="440"/>
        <v>0</v>
      </c>
      <c r="CB583" s="1212" t="e">
        <f t="shared" ca="1" si="441"/>
        <v>#N/A</v>
      </c>
      <c r="CC583" s="1213" t="e">
        <f t="shared" ca="1" si="442"/>
        <v>#N/A</v>
      </c>
      <c r="CD583" s="1587">
        <f t="shared" si="443"/>
        <v>0</v>
      </c>
      <c r="CG583" s="1212" t="e">
        <f t="shared" ca="1" si="444"/>
        <v>#N/A</v>
      </c>
      <c r="CH583" s="1213" t="e">
        <f t="shared" ca="1" si="445"/>
        <v>#N/A</v>
      </c>
      <c r="CI583" s="1587">
        <f t="shared" si="446"/>
        <v>0</v>
      </c>
      <c r="CL583" s="1212" t="e">
        <f t="shared" ca="1" si="447"/>
        <v>#N/A</v>
      </c>
      <c r="CM583" s="1213" t="e">
        <f t="shared" ca="1" si="448"/>
        <v>#N/A</v>
      </c>
      <c r="CN583" s="1587">
        <f t="shared" si="449"/>
        <v>0</v>
      </c>
    </row>
    <row r="584" spans="1:92">
      <c r="A584" s="141">
        <f>'銀行-TSS'!A584</f>
        <v>0</v>
      </c>
      <c r="B584" s="151">
        <f ca="1">VLOOKUP(A584,'銀行-TSS'!A:B,2,FALSE)</f>
        <v>0</v>
      </c>
      <c r="C584" s="151" t="e">
        <f ca="1">VLOOKUP(B584,bond!B:C,2,FALSE)</f>
        <v>#N/A</v>
      </c>
      <c r="D584" s="95" t="e">
        <f>VLOOKUP(A584,'銀行-TSS'!A:C,3,FALSE)</f>
        <v>#N/A</v>
      </c>
      <c r="E584" s="90" t="e">
        <f ca="1">VLOOKUP(A584,'銀行-TSS'!A:G,7,FALSE)</f>
        <v>#N/A</v>
      </c>
      <c r="F584" s="202" t="e">
        <f ca="1">VLOOKUP(A584,'銀行-TSS'!A:H,8,FALSE)</f>
        <v>#N/A</v>
      </c>
      <c r="G584" s="96" t="e">
        <f ca="1">VLOOKUP(A584,'銀行-TSS'!A:K,11,FALSE)</f>
        <v>#N/A</v>
      </c>
      <c r="H584" s="1209" t="e">
        <f ca="1">VLOOKUP(A584,'銀行-TSS'!A:M,13,FALSE)</f>
        <v>#N/A</v>
      </c>
      <c r="I584" s="1213" t="e">
        <f ca="1">VLOOKUP(A584,'銀行-TSS'!A:N,14,FALSE)</f>
        <v>#N/A</v>
      </c>
      <c r="J584" s="1213" t="e">
        <f ca="1">VLOOKUP(A584,'銀行-TSS'!A:O,15,FALSE)</f>
        <v>#N/A</v>
      </c>
      <c r="K584" s="136" t="e">
        <f ca="1">VLOOKUP(A584,'銀行-TSS'!A:V,22,FALSE)</f>
        <v>#N/A</v>
      </c>
      <c r="L584" s="136" t="e">
        <f ca="1">VLOOKUP(A584,'銀行-TSS'!A:AK,37,FALSE)</f>
        <v>#N/A</v>
      </c>
      <c r="M584" s="136" t="str">
        <f ca="1">VLOOKUP(A584,'銀行-TSS'!A:AN,40,FALSE)</f>
        <v/>
      </c>
      <c r="N584" s="136" t="e">
        <f t="shared" ca="1" si="405"/>
        <v>#N/A</v>
      </c>
      <c r="O584" s="1213" t="e">
        <f t="shared" ca="1" si="406"/>
        <v>#N/A</v>
      </c>
      <c r="P584" s="1213" t="e">
        <f ca="1">IF(AND($O$1&gt;=O584,換券單檔!$D$13=D584),I584+INT(($O$1-O584)/N584)*J584,0)</f>
        <v>#N/A</v>
      </c>
      <c r="Q584" s="1213" t="e">
        <f t="shared" ca="1" si="407"/>
        <v>#N/A</v>
      </c>
      <c r="R584" s="1213">
        <f t="shared" si="408"/>
        <v>0</v>
      </c>
      <c r="S584" s="1213">
        <f t="shared" si="409"/>
        <v>0</v>
      </c>
      <c r="T584" s="136">
        <f>IF(OR(R584=0,A584=0),0,IF(AND(V584=TRUE,換券單檔!$D$13=D584),E584,0))</f>
        <v>0</v>
      </c>
      <c r="U584" s="861">
        <f>IF(OR(R584=0,A584=0),0,IF(AND(V584=TRUE,換券單檔!$D$13=D584),H584,0))</f>
        <v>0</v>
      </c>
      <c r="V584" s="136" t="e">
        <f ca="1">IF(OR(B584=換券單檔!$D$3,L584="無",M584&lt;&gt;"",K584="高資產",IFERROR(MATCH(B584,換券單檔!K:K,0),"N")&lt;&gt;"N"),FALSE,IF($V$1="All",TRUE,IF(K584=$V$1,TRUE,FALSE)))</f>
        <v>#N/A</v>
      </c>
      <c r="W584" s="136" t="e">
        <f ca="1">VLOOKUP(A584,'銀行-TSS'!A:AO,41,FALSE)</f>
        <v>#N/A</v>
      </c>
      <c r="X584" s="136" t="e">
        <f ca="1">VLOOKUP(A584,'銀行-TSS'!A:AP,42,FALSE)</f>
        <v>#N/A</v>
      </c>
      <c r="Y584" s="1220">
        <f t="shared" si="410"/>
        <v>0</v>
      </c>
      <c r="Z584" s="1220">
        <f t="shared" si="411"/>
        <v>0</v>
      </c>
      <c r="AA584" s="136">
        <f>IF(Z584&lt;=0,0,RANK(Z584,Z:Z)+COUNTIF($Z$3:$Z584,Z584)-1)</f>
        <v>0</v>
      </c>
      <c r="AB584" s="1211">
        <f t="shared" ca="1" si="412"/>
        <v>-14896.14</v>
      </c>
      <c r="AC584" s="136">
        <f ca="1">IF(AB584&lt;=0,0,RANK(AB584,AB:AB)+COUNTIF($AB$3:$AB584,AB584)-1)</f>
        <v>0</v>
      </c>
      <c r="AD584" s="1123">
        <f t="shared" si="413"/>
        <v>99999</v>
      </c>
      <c r="AE584" s="1123">
        <f>IF(AD584=99999,0,RANK(AD584,AD:AD,1)+COUNTIF($AD$3:$AD584,AD584)-1)</f>
        <v>0</v>
      </c>
      <c r="AF584" s="86" t="e">
        <f ca="1">IF(OR(M584&lt;&gt;"",L584="無",K584="高資產",IFERROR(MATCH(B584,換券單檔!K:K,0),"N")&lt;&gt;"N"),FALSE,TRUE)</f>
        <v>#N/A</v>
      </c>
      <c r="AI584" s="1212" t="e">
        <f t="shared" ca="1" si="414"/>
        <v>#N/A</v>
      </c>
      <c r="AJ584" s="1213" t="e">
        <f t="shared" ca="1" si="415"/>
        <v>#N/A</v>
      </c>
      <c r="AK584" s="1587">
        <f t="shared" si="416"/>
        <v>0</v>
      </c>
      <c r="AN584" s="1212" t="e">
        <f t="shared" ca="1" si="417"/>
        <v>#N/A</v>
      </c>
      <c r="AO584" s="1213" t="e">
        <f t="shared" ca="1" si="418"/>
        <v>#N/A</v>
      </c>
      <c r="AP584" s="1587">
        <f t="shared" si="419"/>
        <v>0</v>
      </c>
      <c r="AS584" s="1212" t="e">
        <f t="shared" ca="1" si="420"/>
        <v>#N/A</v>
      </c>
      <c r="AT584" s="1213" t="e">
        <f t="shared" ca="1" si="421"/>
        <v>#N/A</v>
      </c>
      <c r="AU584" s="1587">
        <f t="shared" si="422"/>
        <v>0</v>
      </c>
      <c r="AX584" s="1212" t="e">
        <f t="shared" ca="1" si="423"/>
        <v>#N/A</v>
      </c>
      <c r="AY584" s="1213" t="e">
        <f t="shared" ca="1" si="424"/>
        <v>#N/A</v>
      </c>
      <c r="AZ584" s="1587">
        <f t="shared" si="425"/>
        <v>0</v>
      </c>
      <c r="BC584" s="1212" t="e">
        <f t="shared" ca="1" si="426"/>
        <v>#N/A</v>
      </c>
      <c r="BD584" s="1213" t="e">
        <f t="shared" ca="1" si="427"/>
        <v>#N/A</v>
      </c>
      <c r="BE584" s="1587">
        <f t="shared" si="428"/>
        <v>0</v>
      </c>
      <c r="BH584" s="1212" t="e">
        <f t="shared" ca="1" si="429"/>
        <v>#N/A</v>
      </c>
      <c r="BI584" s="1213" t="e">
        <f t="shared" ca="1" si="430"/>
        <v>#N/A</v>
      </c>
      <c r="BJ584" s="1587">
        <f t="shared" si="431"/>
        <v>0</v>
      </c>
      <c r="BM584" s="1212" t="e">
        <f t="shared" ca="1" si="432"/>
        <v>#N/A</v>
      </c>
      <c r="BN584" s="1213" t="e">
        <f t="shared" ca="1" si="433"/>
        <v>#N/A</v>
      </c>
      <c r="BO584" s="1587">
        <f t="shared" si="434"/>
        <v>0</v>
      </c>
      <c r="BR584" s="1212" t="e">
        <f t="shared" ca="1" si="435"/>
        <v>#N/A</v>
      </c>
      <c r="BS584" s="1213" t="e">
        <f t="shared" ca="1" si="436"/>
        <v>#N/A</v>
      </c>
      <c r="BT584" s="1587">
        <f t="shared" si="437"/>
        <v>0</v>
      </c>
      <c r="BW584" s="1212" t="e">
        <f t="shared" ca="1" si="438"/>
        <v>#N/A</v>
      </c>
      <c r="BX584" s="1213" t="e">
        <f t="shared" ca="1" si="439"/>
        <v>#N/A</v>
      </c>
      <c r="BY584" s="1587">
        <f t="shared" si="440"/>
        <v>0</v>
      </c>
      <c r="CB584" s="1212" t="e">
        <f t="shared" ca="1" si="441"/>
        <v>#N/A</v>
      </c>
      <c r="CC584" s="1213" t="e">
        <f t="shared" ca="1" si="442"/>
        <v>#N/A</v>
      </c>
      <c r="CD584" s="1587">
        <f t="shared" si="443"/>
        <v>0</v>
      </c>
      <c r="CG584" s="1212" t="e">
        <f t="shared" ca="1" si="444"/>
        <v>#N/A</v>
      </c>
      <c r="CH584" s="1213" t="e">
        <f t="shared" ca="1" si="445"/>
        <v>#N/A</v>
      </c>
      <c r="CI584" s="1587">
        <f t="shared" si="446"/>
        <v>0</v>
      </c>
      <c r="CL584" s="1212" t="e">
        <f t="shared" ca="1" si="447"/>
        <v>#N/A</v>
      </c>
      <c r="CM584" s="1213" t="e">
        <f t="shared" ca="1" si="448"/>
        <v>#N/A</v>
      </c>
      <c r="CN584" s="1587">
        <f t="shared" si="449"/>
        <v>0</v>
      </c>
    </row>
    <row r="585" spans="1:92">
      <c r="A585" s="141">
        <f>'銀行-TSS'!A585</f>
        <v>0</v>
      </c>
      <c r="B585" s="151">
        <f ca="1">VLOOKUP(A585,'銀行-TSS'!A:B,2,FALSE)</f>
        <v>0</v>
      </c>
      <c r="C585" s="151" t="e">
        <f ca="1">VLOOKUP(B585,bond!B:C,2,FALSE)</f>
        <v>#N/A</v>
      </c>
      <c r="D585" s="95" t="e">
        <f>VLOOKUP(A585,'銀行-TSS'!A:C,3,FALSE)</f>
        <v>#N/A</v>
      </c>
      <c r="E585" s="90" t="e">
        <f ca="1">VLOOKUP(A585,'銀行-TSS'!A:G,7,FALSE)</f>
        <v>#N/A</v>
      </c>
      <c r="F585" s="202" t="e">
        <f ca="1">VLOOKUP(A585,'銀行-TSS'!A:H,8,FALSE)</f>
        <v>#N/A</v>
      </c>
      <c r="G585" s="96" t="e">
        <f ca="1">VLOOKUP(A585,'銀行-TSS'!A:K,11,FALSE)</f>
        <v>#N/A</v>
      </c>
      <c r="H585" s="1209" t="e">
        <f ca="1">VLOOKUP(A585,'銀行-TSS'!A:M,13,FALSE)</f>
        <v>#N/A</v>
      </c>
      <c r="I585" s="1213" t="e">
        <f ca="1">VLOOKUP(A585,'銀行-TSS'!A:N,14,FALSE)</f>
        <v>#N/A</v>
      </c>
      <c r="J585" s="1213" t="e">
        <f ca="1">VLOOKUP(A585,'銀行-TSS'!A:O,15,FALSE)</f>
        <v>#N/A</v>
      </c>
      <c r="K585" s="136" t="e">
        <f ca="1">VLOOKUP(A585,'銀行-TSS'!A:V,22,FALSE)</f>
        <v>#N/A</v>
      </c>
      <c r="L585" s="136" t="e">
        <f ca="1">VLOOKUP(A585,'銀行-TSS'!A:AK,37,FALSE)</f>
        <v>#N/A</v>
      </c>
      <c r="M585" s="136" t="str">
        <f ca="1">VLOOKUP(A585,'銀行-TSS'!A:AN,40,FALSE)</f>
        <v/>
      </c>
      <c r="N585" s="136" t="e">
        <f t="shared" ca="1" si="405"/>
        <v>#N/A</v>
      </c>
      <c r="O585" s="1213" t="e">
        <f t="shared" ca="1" si="406"/>
        <v>#N/A</v>
      </c>
      <c r="P585" s="1213" t="e">
        <f ca="1">IF(AND($O$1&gt;=O585,換券單檔!$D$13=D585),I585+INT(($O$1-O585)/N585)*J585,0)</f>
        <v>#N/A</v>
      </c>
      <c r="Q585" s="1213" t="e">
        <f t="shared" ca="1" si="407"/>
        <v>#N/A</v>
      </c>
      <c r="R585" s="1213">
        <f t="shared" si="408"/>
        <v>0</v>
      </c>
      <c r="S585" s="1213">
        <f t="shared" si="409"/>
        <v>0</v>
      </c>
      <c r="T585" s="136">
        <f>IF(OR(R585=0,A585=0),0,IF(AND(V585=TRUE,換券單檔!$D$13=D585),E585,0))</f>
        <v>0</v>
      </c>
      <c r="U585" s="861">
        <f>IF(OR(R585=0,A585=0),0,IF(AND(V585=TRUE,換券單檔!$D$13=D585),H585,0))</f>
        <v>0</v>
      </c>
      <c r="V585" s="136" t="e">
        <f ca="1">IF(OR(B585=換券單檔!$D$3,L585="無",M585&lt;&gt;"",K585="高資產",IFERROR(MATCH(B585,換券單檔!K:K,0),"N")&lt;&gt;"N"),FALSE,IF($V$1="All",TRUE,IF(K585=$V$1,TRUE,FALSE)))</f>
        <v>#N/A</v>
      </c>
      <c r="W585" s="136" t="e">
        <f ca="1">VLOOKUP(A585,'銀行-TSS'!A:AO,41,FALSE)</f>
        <v>#N/A</v>
      </c>
      <c r="X585" s="136" t="e">
        <f ca="1">VLOOKUP(A585,'銀行-TSS'!A:AP,42,FALSE)</f>
        <v>#N/A</v>
      </c>
      <c r="Y585" s="1220">
        <f t="shared" si="410"/>
        <v>0</v>
      </c>
      <c r="Z585" s="1220">
        <f t="shared" si="411"/>
        <v>0</v>
      </c>
      <c r="AA585" s="136">
        <f>IF(Z585&lt;=0,0,RANK(Z585,Z:Z)+COUNTIF($Z$3:$Z585,Z585)-1)</f>
        <v>0</v>
      </c>
      <c r="AB585" s="1211">
        <f t="shared" ca="1" si="412"/>
        <v>-14896.14</v>
      </c>
      <c r="AC585" s="136">
        <f ca="1">IF(AB585&lt;=0,0,RANK(AB585,AB:AB)+COUNTIF($AB$3:$AB585,AB585)-1)</f>
        <v>0</v>
      </c>
      <c r="AD585" s="1123">
        <f t="shared" si="413"/>
        <v>99999</v>
      </c>
      <c r="AE585" s="1123">
        <f>IF(AD585=99999,0,RANK(AD585,AD:AD,1)+COUNTIF($AD$3:$AD585,AD585)-1)</f>
        <v>0</v>
      </c>
      <c r="AF585" s="86" t="e">
        <f ca="1">IF(OR(M585&lt;&gt;"",L585="無",K585="高資產",IFERROR(MATCH(B585,換券單檔!K:K,0),"N")&lt;&gt;"N"),FALSE,TRUE)</f>
        <v>#N/A</v>
      </c>
      <c r="AI585" s="1212" t="e">
        <f t="shared" ca="1" si="414"/>
        <v>#N/A</v>
      </c>
      <c r="AJ585" s="1213" t="e">
        <f t="shared" ca="1" si="415"/>
        <v>#N/A</v>
      </c>
      <c r="AK585" s="1587">
        <f t="shared" si="416"/>
        <v>0</v>
      </c>
      <c r="AN585" s="1212" t="e">
        <f t="shared" ca="1" si="417"/>
        <v>#N/A</v>
      </c>
      <c r="AO585" s="1213" t="e">
        <f t="shared" ca="1" si="418"/>
        <v>#N/A</v>
      </c>
      <c r="AP585" s="1587">
        <f t="shared" si="419"/>
        <v>0</v>
      </c>
      <c r="AS585" s="1212" t="e">
        <f t="shared" ca="1" si="420"/>
        <v>#N/A</v>
      </c>
      <c r="AT585" s="1213" t="e">
        <f t="shared" ca="1" si="421"/>
        <v>#N/A</v>
      </c>
      <c r="AU585" s="1587">
        <f t="shared" si="422"/>
        <v>0</v>
      </c>
      <c r="AX585" s="1212" t="e">
        <f t="shared" ca="1" si="423"/>
        <v>#N/A</v>
      </c>
      <c r="AY585" s="1213" t="e">
        <f t="shared" ca="1" si="424"/>
        <v>#N/A</v>
      </c>
      <c r="AZ585" s="1587">
        <f t="shared" si="425"/>
        <v>0</v>
      </c>
      <c r="BC585" s="1212" t="e">
        <f t="shared" ca="1" si="426"/>
        <v>#N/A</v>
      </c>
      <c r="BD585" s="1213" t="e">
        <f t="shared" ca="1" si="427"/>
        <v>#N/A</v>
      </c>
      <c r="BE585" s="1587">
        <f t="shared" si="428"/>
        <v>0</v>
      </c>
      <c r="BH585" s="1212" t="e">
        <f t="shared" ca="1" si="429"/>
        <v>#N/A</v>
      </c>
      <c r="BI585" s="1213" t="e">
        <f t="shared" ca="1" si="430"/>
        <v>#N/A</v>
      </c>
      <c r="BJ585" s="1587">
        <f t="shared" si="431"/>
        <v>0</v>
      </c>
      <c r="BM585" s="1212" t="e">
        <f t="shared" ca="1" si="432"/>
        <v>#N/A</v>
      </c>
      <c r="BN585" s="1213" t="e">
        <f t="shared" ca="1" si="433"/>
        <v>#N/A</v>
      </c>
      <c r="BO585" s="1587">
        <f t="shared" si="434"/>
        <v>0</v>
      </c>
      <c r="BR585" s="1212" t="e">
        <f t="shared" ca="1" si="435"/>
        <v>#N/A</v>
      </c>
      <c r="BS585" s="1213" t="e">
        <f t="shared" ca="1" si="436"/>
        <v>#N/A</v>
      </c>
      <c r="BT585" s="1587">
        <f t="shared" si="437"/>
        <v>0</v>
      </c>
      <c r="BW585" s="1212" t="e">
        <f t="shared" ca="1" si="438"/>
        <v>#N/A</v>
      </c>
      <c r="BX585" s="1213" t="e">
        <f t="shared" ca="1" si="439"/>
        <v>#N/A</v>
      </c>
      <c r="BY585" s="1587">
        <f t="shared" si="440"/>
        <v>0</v>
      </c>
      <c r="CB585" s="1212" t="e">
        <f t="shared" ca="1" si="441"/>
        <v>#N/A</v>
      </c>
      <c r="CC585" s="1213" t="e">
        <f t="shared" ca="1" si="442"/>
        <v>#N/A</v>
      </c>
      <c r="CD585" s="1587">
        <f t="shared" si="443"/>
        <v>0</v>
      </c>
      <c r="CG585" s="1212" t="e">
        <f t="shared" ca="1" si="444"/>
        <v>#N/A</v>
      </c>
      <c r="CH585" s="1213" t="e">
        <f t="shared" ca="1" si="445"/>
        <v>#N/A</v>
      </c>
      <c r="CI585" s="1587">
        <f t="shared" si="446"/>
        <v>0</v>
      </c>
      <c r="CL585" s="1212" t="e">
        <f t="shared" ca="1" si="447"/>
        <v>#N/A</v>
      </c>
      <c r="CM585" s="1213" t="e">
        <f t="shared" ca="1" si="448"/>
        <v>#N/A</v>
      </c>
      <c r="CN585" s="1587">
        <f t="shared" si="449"/>
        <v>0</v>
      </c>
    </row>
    <row r="586" spans="1:92">
      <c r="A586" s="141">
        <f>'銀行-TSS'!A586</f>
        <v>0</v>
      </c>
      <c r="B586" s="151">
        <f ca="1">VLOOKUP(A586,'銀行-TSS'!A:B,2,FALSE)</f>
        <v>0</v>
      </c>
      <c r="C586" s="151" t="e">
        <f ca="1">VLOOKUP(B586,bond!B:C,2,FALSE)</f>
        <v>#N/A</v>
      </c>
      <c r="D586" s="95" t="e">
        <f>VLOOKUP(A586,'銀行-TSS'!A:C,3,FALSE)</f>
        <v>#N/A</v>
      </c>
      <c r="E586" s="90" t="e">
        <f ca="1">VLOOKUP(A586,'銀行-TSS'!A:G,7,FALSE)</f>
        <v>#N/A</v>
      </c>
      <c r="F586" s="202" t="e">
        <f ca="1">VLOOKUP(A586,'銀行-TSS'!A:H,8,FALSE)</f>
        <v>#N/A</v>
      </c>
      <c r="G586" s="96" t="e">
        <f ca="1">VLOOKUP(A586,'銀行-TSS'!A:K,11,FALSE)</f>
        <v>#N/A</v>
      </c>
      <c r="H586" s="1209" t="e">
        <f ca="1">VLOOKUP(A586,'銀行-TSS'!A:M,13,FALSE)</f>
        <v>#N/A</v>
      </c>
      <c r="I586" s="1213" t="e">
        <f ca="1">VLOOKUP(A586,'銀行-TSS'!A:N,14,FALSE)</f>
        <v>#N/A</v>
      </c>
      <c r="J586" s="1213" t="e">
        <f ca="1">VLOOKUP(A586,'銀行-TSS'!A:O,15,FALSE)</f>
        <v>#N/A</v>
      </c>
      <c r="K586" s="136" t="e">
        <f ca="1">VLOOKUP(A586,'銀行-TSS'!A:V,22,FALSE)</f>
        <v>#N/A</v>
      </c>
      <c r="L586" s="136" t="e">
        <f ca="1">VLOOKUP(A586,'銀行-TSS'!A:AK,37,FALSE)</f>
        <v>#N/A</v>
      </c>
      <c r="M586" s="136" t="str">
        <f ca="1">VLOOKUP(A586,'銀行-TSS'!A:AN,40,FALSE)</f>
        <v/>
      </c>
      <c r="N586" s="136" t="e">
        <f t="shared" ca="1" si="405"/>
        <v>#N/A</v>
      </c>
      <c r="O586" s="1213" t="e">
        <f t="shared" ca="1" si="406"/>
        <v>#N/A</v>
      </c>
      <c r="P586" s="1213" t="e">
        <f ca="1">IF(AND($O$1&gt;=O586,換券單檔!$D$13=D586),I586+INT(($O$1-O586)/N586)*J586,0)</f>
        <v>#N/A</v>
      </c>
      <c r="Q586" s="1213" t="e">
        <f t="shared" ca="1" si="407"/>
        <v>#N/A</v>
      </c>
      <c r="R586" s="1213">
        <f t="shared" si="408"/>
        <v>0</v>
      </c>
      <c r="S586" s="1213">
        <f t="shared" si="409"/>
        <v>0</v>
      </c>
      <c r="T586" s="136">
        <f>IF(OR(R586=0,A586=0),0,IF(AND(V586=TRUE,換券單檔!$D$13=D586),E586,0))</f>
        <v>0</v>
      </c>
      <c r="U586" s="861">
        <f>IF(OR(R586=0,A586=0),0,IF(AND(V586=TRUE,換券單檔!$D$13=D586),H586,0))</f>
        <v>0</v>
      </c>
      <c r="V586" s="136" t="e">
        <f ca="1">IF(OR(B586=換券單檔!$D$3,L586="無",M586&lt;&gt;"",K586="高資產",IFERROR(MATCH(B586,換券單檔!K:K,0),"N")&lt;&gt;"N"),FALSE,IF($V$1="All",TRUE,IF(K586=$V$1,TRUE,FALSE)))</f>
        <v>#N/A</v>
      </c>
      <c r="W586" s="136" t="e">
        <f ca="1">VLOOKUP(A586,'銀行-TSS'!A:AO,41,FALSE)</f>
        <v>#N/A</v>
      </c>
      <c r="X586" s="136" t="e">
        <f ca="1">VLOOKUP(A586,'銀行-TSS'!A:AP,42,FALSE)</f>
        <v>#N/A</v>
      </c>
      <c r="Y586" s="1220">
        <f t="shared" si="410"/>
        <v>0</v>
      </c>
      <c r="Z586" s="1220">
        <f t="shared" si="411"/>
        <v>0</v>
      </c>
      <c r="AA586" s="136">
        <f>IF(Z586&lt;=0,0,RANK(Z586,Z:Z)+COUNTIF($Z$3:$Z586,Z586)-1)</f>
        <v>0</v>
      </c>
      <c r="AB586" s="1211">
        <f t="shared" ca="1" si="412"/>
        <v>-14896.14</v>
      </c>
      <c r="AC586" s="136">
        <f ca="1">IF(AB586&lt;=0,0,RANK(AB586,AB:AB)+COUNTIF($AB$3:$AB586,AB586)-1)</f>
        <v>0</v>
      </c>
      <c r="AD586" s="1123">
        <f t="shared" si="413"/>
        <v>99999</v>
      </c>
      <c r="AE586" s="1123">
        <f>IF(AD586=99999,0,RANK(AD586,AD:AD,1)+COUNTIF($AD$3:$AD586,AD586)-1)</f>
        <v>0</v>
      </c>
      <c r="AF586" s="86" t="e">
        <f ca="1">IF(OR(M586&lt;&gt;"",L586="無",K586="高資產",IFERROR(MATCH(B586,換券單檔!K:K,0),"N")&lt;&gt;"N"),FALSE,TRUE)</f>
        <v>#N/A</v>
      </c>
      <c r="AI586" s="1212" t="e">
        <f t="shared" ca="1" si="414"/>
        <v>#N/A</v>
      </c>
      <c r="AJ586" s="1213" t="e">
        <f t="shared" ca="1" si="415"/>
        <v>#N/A</v>
      </c>
      <c r="AK586" s="1587">
        <f t="shared" si="416"/>
        <v>0</v>
      </c>
      <c r="AN586" s="1212" t="e">
        <f t="shared" ca="1" si="417"/>
        <v>#N/A</v>
      </c>
      <c r="AO586" s="1213" t="e">
        <f t="shared" ca="1" si="418"/>
        <v>#N/A</v>
      </c>
      <c r="AP586" s="1587">
        <f t="shared" si="419"/>
        <v>0</v>
      </c>
      <c r="AS586" s="1212" t="e">
        <f t="shared" ca="1" si="420"/>
        <v>#N/A</v>
      </c>
      <c r="AT586" s="1213" t="e">
        <f t="shared" ca="1" si="421"/>
        <v>#N/A</v>
      </c>
      <c r="AU586" s="1587">
        <f t="shared" si="422"/>
        <v>0</v>
      </c>
      <c r="AX586" s="1212" t="e">
        <f t="shared" ca="1" si="423"/>
        <v>#N/A</v>
      </c>
      <c r="AY586" s="1213" t="e">
        <f t="shared" ca="1" si="424"/>
        <v>#N/A</v>
      </c>
      <c r="AZ586" s="1587">
        <f t="shared" si="425"/>
        <v>0</v>
      </c>
      <c r="BC586" s="1212" t="e">
        <f t="shared" ca="1" si="426"/>
        <v>#N/A</v>
      </c>
      <c r="BD586" s="1213" t="e">
        <f t="shared" ca="1" si="427"/>
        <v>#N/A</v>
      </c>
      <c r="BE586" s="1587">
        <f t="shared" si="428"/>
        <v>0</v>
      </c>
      <c r="BH586" s="1212" t="e">
        <f t="shared" ca="1" si="429"/>
        <v>#N/A</v>
      </c>
      <c r="BI586" s="1213" t="e">
        <f t="shared" ca="1" si="430"/>
        <v>#N/A</v>
      </c>
      <c r="BJ586" s="1587">
        <f t="shared" si="431"/>
        <v>0</v>
      </c>
      <c r="BM586" s="1212" t="e">
        <f t="shared" ca="1" si="432"/>
        <v>#N/A</v>
      </c>
      <c r="BN586" s="1213" t="e">
        <f t="shared" ca="1" si="433"/>
        <v>#N/A</v>
      </c>
      <c r="BO586" s="1587">
        <f t="shared" si="434"/>
        <v>0</v>
      </c>
      <c r="BR586" s="1212" t="e">
        <f t="shared" ca="1" si="435"/>
        <v>#N/A</v>
      </c>
      <c r="BS586" s="1213" t="e">
        <f t="shared" ca="1" si="436"/>
        <v>#N/A</v>
      </c>
      <c r="BT586" s="1587">
        <f t="shared" si="437"/>
        <v>0</v>
      </c>
      <c r="BW586" s="1212" t="e">
        <f t="shared" ca="1" si="438"/>
        <v>#N/A</v>
      </c>
      <c r="BX586" s="1213" t="e">
        <f t="shared" ca="1" si="439"/>
        <v>#N/A</v>
      </c>
      <c r="BY586" s="1587">
        <f t="shared" si="440"/>
        <v>0</v>
      </c>
      <c r="CB586" s="1212" t="e">
        <f t="shared" ca="1" si="441"/>
        <v>#N/A</v>
      </c>
      <c r="CC586" s="1213" t="e">
        <f t="shared" ca="1" si="442"/>
        <v>#N/A</v>
      </c>
      <c r="CD586" s="1587">
        <f t="shared" si="443"/>
        <v>0</v>
      </c>
      <c r="CG586" s="1212" t="e">
        <f t="shared" ca="1" si="444"/>
        <v>#N/A</v>
      </c>
      <c r="CH586" s="1213" t="e">
        <f t="shared" ca="1" si="445"/>
        <v>#N/A</v>
      </c>
      <c r="CI586" s="1587">
        <f t="shared" si="446"/>
        <v>0</v>
      </c>
      <c r="CL586" s="1212" t="e">
        <f t="shared" ca="1" si="447"/>
        <v>#N/A</v>
      </c>
      <c r="CM586" s="1213" t="e">
        <f t="shared" ca="1" si="448"/>
        <v>#N/A</v>
      </c>
      <c r="CN586" s="1587">
        <f t="shared" si="449"/>
        <v>0</v>
      </c>
    </row>
    <row r="587" spans="1:92">
      <c r="A587" s="141">
        <f>'銀行-TSS'!A587</f>
        <v>0</v>
      </c>
      <c r="B587" s="151">
        <f ca="1">VLOOKUP(A587,'銀行-TSS'!A:B,2,FALSE)</f>
        <v>0</v>
      </c>
      <c r="C587" s="151" t="e">
        <f ca="1">VLOOKUP(B587,bond!B:C,2,FALSE)</f>
        <v>#N/A</v>
      </c>
      <c r="D587" s="95" t="e">
        <f>VLOOKUP(A587,'銀行-TSS'!A:C,3,FALSE)</f>
        <v>#N/A</v>
      </c>
      <c r="E587" s="90" t="e">
        <f ca="1">VLOOKUP(A587,'銀行-TSS'!A:G,7,FALSE)</f>
        <v>#N/A</v>
      </c>
      <c r="F587" s="202" t="e">
        <f ca="1">VLOOKUP(A587,'銀行-TSS'!A:H,8,FALSE)</f>
        <v>#N/A</v>
      </c>
      <c r="G587" s="96" t="e">
        <f ca="1">VLOOKUP(A587,'銀行-TSS'!A:K,11,FALSE)</f>
        <v>#N/A</v>
      </c>
      <c r="H587" s="1209" t="e">
        <f ca="1">VLOOKUP(A587,'銀行-TSS'!A:M,13,FALSE)</f>
        <v>#N/A</v>
      </c>
      <c r="I587" s="1213" t="e">
        <f ca="1">VLOOKUP(A587,'銀行-TSS'!A:N,14,FALSE)</f>
        <v>#N/A</v>
      </c>
      <c r="J587" s="1213" t="e">
        <f ca="1">VLOOKUP(A587,'銀行-TSS'!A:O,15,FALSE)</f>
        <v>#N/A</v>
      </c>
      <c r="K587" s="136" t="e">
        <f ca="1">VLOOKUP(A587,'銀行-TSS'!A:V,22,FALSE)</f>
        <v>#N/A</v>
      </c>
      <c r="L587" s="136" t="e">
        <f ca="1">VLOOKUP(A587,'銀行-TSS'!A:AK,37,FALSE)</f>
        <v>#N/A</v>
      </c>
      <c r="M587" s="136" t="str">
        <f ca="1">VLOOKUP(A587,'銀行-TSS'!A:AN,40,FALSE)</f>
        <v/>
      </c>
      <c r="N587" s="136" t="e">
        <f t="shared" ca="1" si="405"/>
        <v>#N/A</v>
      </c>
      <c r="O587" s="1213" t="e">
        <f t="shared" ca="1" si="406"/>
        <v>#N/A</v>
      </c>
      <c r="P587" s="1213" t="e">
        <f ca="1">IF(AND($O$1&gt;=O587,換券單檔!$D$13=D587),I587+INT(($O$1-O587)/N587)*J587,0)</f>
        <v>#N/A</v>
      </c>
      <c r="Q587" s="1213" t="e">
        <f t="shared" ca="1" si="407"/>
        <v>#N/A</v>
      </c>
      <c r="R587" s="1213">
        <f t="shared" si="408"/>
        <v>0</v>
      </c>
      <c r="S587" s="1213">
        <f t="shared" si="409"/>
        <v>0</v>
      </c>
      <c r="T587" s="136">
        <f>IF(OR(R587=0,A587=0),0,IF(AND(V587=TRUE,換券單檔!$D$13=D587),E587,0))</f>
        <v>0</v>
      </c>
      <c r="U587" s="861">
        <f>IF(OR(R587=0,A587=0),0,IF(AND(V587=TRUE,換券單檔!$D$13=D587),H587,0))</f>
        <v>0</v>
      </c>
      <c r="V587" s="136" t="e">
        <f ca="1">IF(OR(B587=換券單檔!$D$3,L587="無",M587&lt;&gt;"",K587="高資產",IFERROR(MATCH(B587,換券單檔!K:K,0),"N")&lt;&gt;"N"),FALSE,IF($V$1="All",TRUE,IF(K587=$V$1,TRUE,FALSE)))</f>
        <v>#N/A</v>
      </c>
      <c r="W587" s="136" t="e">
        <f ca="1">VLOOKUP(A587,'銀行-TSS'!A:AO,41,FALSE)</f>
        <v>#N/A</v>
      </c>
      <c r="X587" s="136" t="e">
        <f ca="1">VLOOKUP(A587,'銀行-TSS'!A:AP,42,FALSE)</f>
        <v>#N/A</v>
      </c>
      <c r="Y587" s="1220">
        <f t="shared" si="410"/>
        <v>0</v>
      </c>
      <c r="Z587" s="1220">
        <f t="shared" si="411"/>
        <v>0</v>
      </c>
      <c r="AA587" s="136">
        <f>IF(Z587&lt;=0,0,RANK(Z587,Z:Z)+COUNTIF($Z$3:$Z587,Z587)-1)</f>
        <v>0</v>
      </c>
      <c r="AB587" s="1211">
        <f t="shared" ca="1" si="412"/>
        <v>-14896.14</v>
      </c>
      <c r="AC587" s="136">
        <f ca="1">IF(AB587&lt;=0,0,RANK(AB587,AB:AB)+COUNTIF($AB$3:$AB587,AB587)-1)</f>
        <v>0</v>
      </c>
      <c r="AD587" s="1123">
        <f t="shared" si="413"/>
        <v>99999</v>
      </c>
      <c r="AE587" s="1123">
        <f>IF(AD587=99999,0,RANK(AD587,AD:AD,1)+COUNTIF($AD$3:$AD587,AD587)-1)</f>
        <v>0</v>
      </c>
      <c r="AF587" s="86" t="e">
        <f ca="1">IF(OR(M587&lt;&gt;"",L587="無",K587="高資產",IFERROR(MATCH(B587,換券單檔!K:K,0),"N")&lt;&gt;"N"),FALSE,TRUE)</f>
        <v>#N/A</v>
      </c>
      <c r="AI587" s="1212" t="e">
        <f t="shared" ca="1" si="414"/>
        <v>#N/A</v>
      </c>
      <c r="AJ587" s="1213" t="e">
        <f t="shared" ca="1" si="415"/>
        <v>#N/A</v>
      </c>
      <c r="AK587" s="1587">
        <f t="shared" si="416"/>
        <v>0</v>
      </c>
      <c r="AN587" s="1212" t="e">
        <f t="shared" ca="1" si="417"/>
        <v>#N/A</v>
      </c>
      <c r="AO587" s="1213" t="e">
        <f t="shared" ca="1" si="418"/>
        <v>#N/A</v>
      </c>
      <c r="AP587" s="1587">
        <f t="shared" si="419"/>
        <v>0</v>
      </c>
      <c r="AS587" s="1212" t="e">
        <f t="shared" ca="1" si="420"/>
        <v>#N/A</v>
      </c>
      <c r="AT587" s="1213" t="e">
        <f t="shared" ca="1" si="421"/>
        <v>#N/A</v>
      </c>
      <c r="AU587" s="1587">
        <f t="shared" si="422"/>
        <v>0</v>
      </c>
      <c r="AX587" s="1212" t="e">
        <f t="shared" ca="1" si="423"/>
        <v>#N/A</v>
      </c>
      <c r="AY587" s="1213" t="e">
        <f t="shared" ca="1" si="424"/>
        <v>#N/A</v>
      </c>
      <c r="AZ587" s="1587">
        <f t="shared" si="425"/>
        <v>0</v>
      </c>
      <c r="BC587" s="1212" t="e">
        <f t="shared" ca="1" si="426"/>
        <v>#N/A</v>
      </c>
      <c r="BD587" s="1213" t="e">
        <f t="shared" ca="1" si="427"/>
        <v>#N/A</v>
      </c>
      <c r="BE587" s="1587">
        <f t="shared" si="428"/>
        <v>0</v>
      </c>
      <c r="BH587" s="1212" t="e">
        <f t="shared" ca="1" si="429"/>
        <v>#N/A</v>
      </c>
      <c r="BI587" s="1213" t="e">
        <f t="shared" ca="1" si="430"/>
        <v>#N/A</v>
      </c>
      <c r="BJ587" s="1587">
        <f t="shared" si="431"/>
        <v>0</v>
      </c>
      <c r="BM587" s="1212" t="e">
        <f t="shared" ca="1" si="432"/>
        <v>#N/A</v>
      </c>
      <c r="BN587" s="1213" t="e">
        <f t="shared" ca="1" si="433"/>
        <v>#N/A</v>
      </c>
      <c r="BO587" s="1587">
        <f t="shared" si="434"/>
        <v>0</v>
      </c>
      <c r="BR587" s="1212" t="e">
        <f t="shared" ca="1" si="435"/>
        <v>#N/A</v>
      </c>
      <c r="BS587" s="1213" t="e">
        <f t="shared" ca="1" si="436"/>
        <v>#N/A</v>
      </c>
      <c r="BT587" s="1587">
        <f t="shared" si="437"/>
        <v>0</v>
      </c>
      <c r="BW587" s="1212" t="e">
        <f t="shared" ca="1" si="438"/>
        <v>#N/A</v>
      </c>
      <c r="BX587" s="1213" t="e">
        <f t="shared" ca="1" si="439"/>
        <v>#N/A</v>
      </c>
      <c r="BY587" s="1587">
        <f t="shared" si="440"/>
        <v>0</v>
      </c>
      <c r="CB587" s="1212" t="e">
        <f t="shared" ca="1" si="441"/>
        <v>#N/A</v>
      </c>
      <c r="CC587" s="1213" t="e">
        <f t="shared" ca="1" si="442"/>
        <v>#N/A</v>
      </c>
      <c r="CD587" s="1587">
        <f t="shared" si="443"/>
        <v>0</v>
      </c>
      <c r="CG587" s="1212" t="e">
        <f t="shared" ca="1" si="444"/>
        <v>#N/A</v>
      </c>
      <c r="CH587" s="1213" t="e">
        <f t="shared" ca="1" si="445"/>
        <v>#N/A</v>
      </c>
      <c r="CI587" s="1587">
        <f t="shared" si="446"/>
        <v>0</v>
      </c>
      <c r="CL587" s="1212" t="e">
        <f t="shared" ca="1" si="447"/>
        <v>#N/A</v>
      </c>
      <c r="CM587" s="1213" t="e">
        <f t="shared" ca="1" si="448"/>
        <v>#N/A</v>
      </c>
      <c r="CN587" s="1587">
        <f t="shared" si="449"/>
        <v>0</v>
      </c>
    </row>
    <row r="588" spans="1:92">
      <c r="A588" s="141">
        <f>'銀行-TSS'!A588</f>
        <v>0</v>
      </c>
      <c r="B588" s="151">
        <f ca="1">VLOOKUP(A588,'銀行-TSS'!A:B,2,FALSE)</f>
        <v>0</v>
      </c>
      <c r="C588" s="151" t="e">
        <f ca="1">VLOOKUP(B588,bond!B:C,2,FALSE)</f>
        <v>#N/A</v>
      </c>
      <c r="D588" s="95" t="e">
        <f>VLOOKUP(A588,'銀行-TSS'!A:C,3,FALSE)</f>
        <v>#N/A</v>
      </c>
      <c r="E588" s="90" t="e">
        <f ca="1">VLOOKUP(A588,'銀行-TSS'!A:G,7,FALSE)</f>
        <v>#N/A</v>
      </c>
      <c r="F588" s="202" t="e">
        <f ca="1">VLOOKUP(A588,'銀行-TSS'!A:H,8,FALSE)</f>
        <v>#N/A</v>
      </c>
      <c r="G588" s="96" t="e">
        <f ca="1">VLOOKUP(A588,'銀行-TSS'!A:K,11,FALSE)</f>
        <v>#N/A</v>
      </c>
      <c r="H588" s="1209" t="e">
        <f ca="1">VLOOKUP(A588,'銀行-TSS'!A:M,13,FALSE)</f>
        <v>#N/A</v>
      </c>
      <c r="I588" s="1213" t="e">
        <f ca="1">VLOOKUP(A588,'銀行-TSS'!A:N,14,FALSE)</f>
        <v>#N/A</v>
      </c>
      <c r="J588" s="1213" t="e">
        <f ca="1">VLOOKUP(A588,'銀行-TSS'!A:O,15,FALSE)</f>
        <v>#N/A</v>
      </c>
      <c r="K588" s="136" t="e">
        <f ca="1">VLOOKUP(A588,'銀行-TSS'!A:V,22,FALSE)</f>
        <v>#N/A</v>
      </c>
      <c r="L588" s="136" t="e">
        <f ca="1">VLOOKUP(A588,'銀行-TSS'!A:AK,37,FALSE)</f>
        <v>#N/A</v>
      </c>
      <c r="M588" s="136" t="str">
        <f ca="1">VLOOKUP(A588,'銀行-TSS'!A:AN,40,FALSE)</f>
        <v/>
      </c>
      <c r="N588" s="136" t="e">
        <f t="shared" ca="1" si="405"/>
        <v>#N/A</v>
      </c>
      <c r="O588" s="1213" t="e">
        <f t="shared" ca="1" si="406"/>
        <v>#N/A</v>
      </c>
      <c r="P588" s="1213" t="e">
        <f ca="1">IF(AND($O$1&gt;=O588,換券單檔!$D$13=D588),I588+INT(($O$1-O588)/N588)*J588,0)</f>
        <v>#N/A</v>
      </c>
      <c r="Q588" s="1213" t="e">
        <f t="shared" ca="1" si="407"/>
        <v>#N/A</v>
      </c>
      <c r="R588" s="1213">
        <f t="shared" si="408"/>
        <v>0</v>
      </c>
      <c r="S588" s="1213">
        <f t="shared" si="409"/>
        <v>0</v>
      </c>
      <c r="T588" s="136">
        <f>IF(OR(R588=0,A588=0),0,IF(AND(V588=TRUE,換券單檔!$D$13=D588),E588,0))</f>
        <v>0</v>
      </c>
      <c r="U588" s="861">
        <f>IF(OR(R588=0,A588=0),0,IF(AND(V588=TRUE,換券單檔!$D$13=D588),H588,0))</f>
        <v>0</v>
      </c>
      <c r="V588" s="136" t="e">
        <f ca="1">IF(OR(B588=換券單檔!$D$3,L588="無",M588&lt;&gt;"",K588="高資產",IFERROR(MATCH(B588,換券單檔!K:K,0),"N")&lt;&gt;"N"),FALSE,IF($V$1="All",TRUE,IF(K588=$V$1,TRUE,FALSE)))</f>
        <v>#N/A</v>
      </c>
      <c r="W588" s="136" t="e">
        <f ca="1">VLOOKUP(A588,'銀行-TSS'!A:AO,41,FALSE)</f>
        <v>#N/A</v>
      </c>
      <c r="X588" s="136" t="e">
        <f ca="1">VLOOKUP(A588,'銀行-TSS'!A:AP,42,FALSE)</f>
        <v>#N/A</v>
      </c>
      <c r="Y588" s="1220">
        <f t="shared" si="410"/>
        <v>0</v>
      </c>
      <c r="Z588" s="1220">
        <f t="shared" si="411"/>
        <v>0</v>
      </c>
      <c r="AA588" s="136">
        <f>IF(Z588&lt;=0,0,RANK(Z588,Z:Z)+COUNTIF($Z$3:$Z588,Z588)-1)</f>
        <v>0</v>
      </c>
      <c r="AB588" s="1211">
        <f t="shared" ca="1" si="412"/>
        <v>-14896.14</v>
      </c>
      <c r="AC588" s="136">
        <f ca="1">IF(AB588&lt;=0,0,RANK(AB588,AB:AB)+COUNTIF($AB$3:$AB588,AB588)-1)</f>
        <v>0</v>
      </c>
      <c r="AD588" s="1123">
        <f t="shared" si="413"/>
        <v>99999</v>
      </c>
      <c r="AE588" s="1123">
        <f>IF(AD588=99999,0,RANK(AD588,AD:AD,1)+COUNTIF($AD$3:$AD588,AD588)-1)</f>
        <v>0</v>
      </c>
      <c r="AF588" s="86" t="e">
        <f ca="1">IF(OR(M588&lt;&gt;"",L588="無",K588="高資產",IFERROR(MATCH(B588,換券單檔!K:K,0),"N")&lt;&gt;"N"),FALSE,TRUE)</f>
        <v>#N/A</v>
      </c>
      <c r="AI588" s="1212" t="e">
        <f t="shared" ca="1" si="414"/>
        <v>#N/A</v>
      </c>
      <c r="AJ588" s="1213" t="e">
        <f t="shared" ca="1" si="415"/>
        <v>#N/A</v>
      </c>
      <c r="AK588" s="1587">
        <f t="shared" si="416"/>
        <v>0</v>
      </c>
      <c r="AN588" s="1212" t="e">
        <f t="shared" ca="1" si="417"/>
        <v>#N/A</v>
      </c>
      <c r="AO588" s="1213" t="e">
        <f t="shared" ca="1" si="418"/>
        <v>#N/A</v>
      </c>
      <c r="AP588" s="1587">
        <f t="shared" si="419"/>
        <v>0</v>
      </c>
      <c r="AS588" s="1212" t="e">
        <f t="shared" ca="1" si="420"/>
        <v>#N/A</v>
      </c>
      <c r="AT588" s="1213" t="e">
        <f t="shared" ca="1" si="421"/>
        <v>#N/A</v>
      </c>
      <c r="AU588" s="1587">
        <f t="shared" si="422"/>
        <v>0</v>
      </c>
      <c r="AX588" s="1212" t="e">
        <f t="shared" ca="1" si="423"/>
        <v>#N/A</v>
      </c>
      <c r="AY588" s="1213" t="e">
        <f t="shared" ca="1" si="424"/>
        <v>#N/A</v>
      </c>
      <c r="AZ588" s="1587">
        <f t="shared" si="425"/>
        <v>0</v>
      </c>
      <c r="BC588" s="1212" t="e">
        <f t="shared" ca="1" si="426"/>
        <v>#N/A</v>
      </c>
      <c r="BD588" s="1213" t="e">
        <f t="shared" ca="1" si="427"/>
        <v>#N/A</v>
      </c>
      <c r="BE588" s="1587">
        <f t="shared" si="428"/>
        <v>0</v>
      </c>
      <c r="BH588" s="1212" t="e">
        <f t="shared" ca="1" si="429"/>
        <v>#N/A</v>
      </c>
      <c r="BI588" s="1213" t="e">
        <f t="shared" ca="1" si="430"/>
        <v>#N/A</v>
      </c>
      <c r="BJ588" s="1587">
        <f t="shared" si="431"/>
        <v>0</v>
      </c>
      <c r="BM588" s="1212" t="e">
        <f t="shared" ca="1" si="432"/>
        <v>#N/A</v>
      </c>
      <c r="BN588" s="1213" t="e">
        <f t="shared" ca="1" si="433"/>
        <v>#N/A</v>
      </c>
      <c r="BO588" s="1587">
        <f t="shared" si="434"/>
        <v>0</v>
      </c>
      <c r="BR588" s="1212" t="e">
        <f t="shared" ca="1" si="435"/>
        <v>#N/A</v>
      </c>
      <c r="BS588" s="1213" t="e">
        <f t="shared" ca="1" si="436"/>
        <v>#N/A</v>
      </c>
      <c r="BT588" s="1587">
        <f t="shared" si="437"/>
        <v>0</v>
      </c>
      <c r="BW588" s="1212" t="e">
        <f t="shared" ca="1" si="438"/>
        <v>#N/A</v>
      </c>
      <c r="BX588" s="1213" t="e">
        <f t="shared" ca="1" si="439"/>
        <v>#N/A</v>
      </c>
      <c r="BY588" s="1587">
        <f t="shared" si="440"/>
        <v>0</v>
      </c>
      <c r="CB588" s="1212" t="e">
        <f t="shared" ca="1" si="441"/>
        <v>#N/A</v>
      </c>
      <c r="CC588" s="1213" t="e">
        <f t="shared" ca="1" si="442"/>
        <v>#N/A</v>
      </c>
      <c r="CD588" s="1587">
        <f t="shared" si="443"/>
        <v>0</v>
      </c>
      <c r="CG588" s="1212" t="e">
        <f t="shared" ca="1" si="444"/>
        <v>#N/A</v>
      </c>
      <c r="CH588" s="1213" t="e">
        <f t="shared" ca="1" si="445"/>
        <v>#N/A</v>
      </c>
      <c r="CI588" s="1587">
        <f t="shared" si="446"/>
        <v>0</v>
      </c>
      <c r="CL588" s="1212" t="e">
        <f t="shared" ca="1" si="447"/>
        <v>#N/A</v>
      </c>
      <c r="CM588" s="1213" t="e">
        <f t="shared" ca="1" si="448"/>
        <v>#N/A</v>
      </c>
      <c r="CN588" s="1587">
        <f t="shared" si="449"/>
        <v>0</v>
      </c>
    </row>
  </sheetData>
  <autoFilter ref="A2:CN588" xr:uid="{00000000-0009-0000-0000-000015000000}"/>
  <sortState xmlns:xlrd2="http://schemas.microsoft.com/office/spreadsheetml/2017/richdata2" ref="A3:CN588">
    <sortCondition descending="1" ref="AB3:AB588"/>
  </sortState>
  <phoneticPr fontId="53" type="noConversion"/>
  <conditionalFormatting sqref="B2 B3:C588">
    <cfRule type="duplicateValues" dxfId="214" priority="10"/>
  </conditionalFormatting>
  <conditionalFormatting sqref="B589:C1048576">
    <cfRule type="duplicateValues" dxfId="213" priority="11"/>
  </conditionalFormatting>
  <conditionalFormatting sqref="E2">
    <cfRule type="duplicateValues" dxfId="212" priority="589"/>
  </conditionalFormatting>
  <conditionalFormatting sqref="G2:H2">
    <cfRule type="duplicateValues" dxfId="211" priority="6"/>
  </conditionalFormatting>
  <conditionalFormatting sqref="I2:J2">
    <cfRule type="duplicateValues" dxfId="210" priority="592"/>
  </conditionalFormatting>
  <conditionalFormatting sqref="K1:M1 F1 B1:C1 I1">
    <cfRule type="duplicateValues" dxfId="209" priority="591"/>
  </conditionalFormatting>
  <conditionalFormatting sqref="C2">
    <cfRule type="duplicateValues" dxfId="208" priority="1"/>
  </conditionalFormatting>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工作表20"/>
  <dimension ref="A1:AQ93"/>
  <sheetViews>
    <sheetView topLeftCell="A35" workbookViewId="0">
      <selection activeCell="L13" sqref="L13"/>
    </sheetView>
  </sheetViews>
  <sheetFormatPr defaultRowHeight="15.5"/>
  <cols>
    <col min="2" max="2" width="10.0703125" bestFit="1" customWidth="1"/>
    <col min="3" max="3" width="10.640625" customWidth="1"/>
    <col min="4" max="4" width="20.2109375" customWidth="1"/>
    <col min="5" max="5" width="18.85546875" customWidth="1"/>
    <col min="6" max="6" width="16" customWidth="1"/>
    <col min="7" max="7" width="20.2109375" customWidth="1"/>
    <col min="8" max="8" width="14.28515625" bestFit="1" customWidth="1"/>
    <col min="9" max="9" width="7.0703125" customWidth="1"/>
    <col min="10" max="10" width="11.640625" bestFit="1" customWidth="1"/>
    <col min="11" max="11" width="10.0703125" style="950" customWidth="1"/>
    <col min="12" max="12" width="5.640625" customWidth="1"/>
    <col min="13" max="13" width="9.640625" bestFit="1" customWidth="1"/>
    <col min="14" max="14" width="8" bestFit="1" customWidth="1"/>
    <col min="15" max="16" width="8.85546875" customWidth="1"/>
    <col min="17" max="17" width="13.0703125" customWidth="1"/>
    <col min="18" max="18" width="14.28515625" bestFit="1" customWidth="1"/>
    <col min="19" max="19" width="8.85546875" customWidth="1"/>
    <col min="20" max="20" width="9.78515625" customWidth="1"/>
    <col min="21" max="21" width="48.85546875" bestFit="1" customWidth="1"/>
    <col min="22" max="22" width="11.28515625" customWidth="1"/>
    <col min="23" max="25" width="10.42578125" customWidth="1"/>
    <col min="26" max="26" width="14.42578125" style="950" customWidth="1"/>
    <col min="28" max="29" width="12.42578125" customWidth="1"/>
    <col min="30" max="30" width="17.42578125" bestFit="1" customWidth="1"/>
    <col min="31" max="31" width="15.42578125" bestFit="1" customWidth="1"/>
    <col min="32" max="32" width="8.640625" bestFit="1" customWidth="1"/>
    <col min="33" max="33" width="8.85546875" style="1266"/>
    <col min="34" max="34" width="14.28515625" customWidth="1"/>
    <col min="35" max="35" width="8.85546875" customWidth="1"/>
    <col min="36" max="36" width="8.85546875" style="1266"/>
    <col min="37" max="37" width="8.85546875" style="596"/>
    <col min="39" max="39" width="8.640625" customWidth="1"/>
    <col min="40" max="40" width="8.85546875" style="596"/>
    <col min="41" max="41" width="11.640625" style="1605" customWidth="1"/>
    <col min="42" max="42" width="2.0703125" customWidth="1"/>
    <col min="43" max="43" width="4.42578125" customWidth="1"/>
  </cols>
  <sheetData>
    <row r="1" spans="2:43" ht="31.5" thickBot="1">
      <c r="B1" s="777">
        <f>bond!AV4</f>
        <v>45474</v>
      </c>
      <c r="C1" s="1117" t="s">
        <v>4061</v>
      </c>
      <c r="D1" s="1116" t="str">
        <f ca="1">庫存管理!V19</f>
        <v>USD</v>
      </c>
      <c r="O1" t="s">
        <v>3739</v>
      </c>
      <c r="P1" s="979">
        <f ca="1">IFERROR(SUM(M20:M31),0)</f>
        <v>12</v>
      </c>
      <c r="Z1" s="1713" t="s">
        <v>4455</v>
      </c>
      <c r="AA1" t="s">
        <v>4479</v>
      </c>
      <c r="AB1" t="s">
        <v>3753</v>
      </c>
      <c r="AC1" t="s">
        <v>3758</v>
      </c>
      <c r="AD1" t="s">
        <v>3755</v>
      </c>
      <c r="AE1" t="s">
        <v>3756</v>
      </c>
      <c r="AF1" t="s">
        <v>211</v>
      </c>
      <c r="AG1" s="1266" t="s">
        <v>3759</v>
      </c>
      <c r="AH1" s="1036" t="s">
        <v>4453</v>
      </c>
      <c r="AI1" s="1036" t="s">
        <v>3760</v>
      </c>
      <c r="AJ1" s="1603">
        <f ca="1">IFERROR(MATCH(D5,AQ:AQ,0)-2,0)</f>
        <v>0</v>
      </c>
      <c r="AK1" s="1601" t="s">
        <v>4383</v>
      </c>
      <c r="AL1" s="1600" t="s">
        <v>4382</v>
      </c>
      <c r="AM1" s="1602" t="s">
        <v>4381</v>
      </c>
      <c r="AN1" s="1601" t="s">
        <v>1815</v>
      </c>
      <c r="AO1" s="1606" t="s">
        <v>2128</v>
      </c>
      <c r="AP1" s="1604"/>
      <c r="AQ1" s="1604" t="s">
        <v>4460</v>
      </c>
    </row>
    <row r="2" spans="2:43" ht="16.5" thickBot="1">
      <c r="K2" s="268" t="s">
        <v>3735</v>
      </c>
      <c r="L2" s="557"/>
      <c r="M2" s="557"/>
      <c r="O2" t="s">
        <v>3740</v>
      </c>
      <c r="P2">
        <f ca="1">IF($O$6=4,1,IF(P1&gt;6,2,1))</f>
        <v>2</v>
      </c>
      <c r="Q2" t="str">
        <f ca="1">CONCATENATE("， 共"&amp;P2&amp;"頁")</f>
        <v>， 共2頁</v>
      </c>
      <c r="Z2" s="1716">
        <v>1</v>
      </c>
      <c r="AA2">
        <f>$Z$6+AJ2</f>
        <v>1</v>
      </c>
      <c r="AB2" s="1598" t="str">
        <f ca="1">OFFSET(庫存管理_中繼頁!P7,換券單檔!$Z$6,0)</f>
        <v>XH430</v>
      </c>
      <c r="AC2" s="1598" t="str">
        <f ca="1">OFFSET(庫存管理_中繼頁!V7,換券單檔!$Z$6,0)</f>
        <v>USD</v>
      </c>
      <c r="AD2" s="1119">
        <f ca="1">IF(AB2="",0,OFFSET(庫存管理_中繼頁!AA7,換券單檔!$Z$6,0))</f>
        <v>96700.6</v>
      </c>
      <c r="AE2" s="1119">
        <f ca="1">IF(AB2="",0,OFFSET(庫存管理_中繼頁!Y7,換券單檔!$Z$6,0))</f>
        <v>100000</v>
      </c>
      <c r="AF2" s="1119">
        <f ca="1">IF(AB2="",0,OFFSET('Tssco-bond portfolio(2)'!AG7,$Z$6,0))</f>
        <v>4849.9999999999991</v>
      </c>
      <c r="AG2" s="1599">
        <f ca="1">TSS_換券單檔!AK1</f>
        <v>25</v>
      </c>
      <c r="AH2" s="1036">
        <f t="shared" ref="AH2:AH13" ca="1" si="0">IF(AND($Z$14=2,AC2&lt;&gt;"USD"),0,IF(AND(AB2&lt;&gt;"",AE2&lt;&gt;0),1,0))</f>
        <v>1</v>
      </c>
      <c r="AI2" s="1036">
        <f ca="1">AH2</f>
        <v>1</v>
      </c>
      <c r="AJ2" s="1597">
        <v>1</v>
      </c>
      <c r="AK2" s="596" t="str">
        <f ca="1">IFERROR(IF(INDEX(AG:AG,MATCH(AJ2,AI:AI,0),1)&gt;0,"★",""),"")</f>
        <v>★</v>
      </c>
      <c r="AL2" t="str">
        <f ca="1">IFERROR(INDEX(AB:AB,MATCH(AJ2,AI:AI,0),1),"")</f>
        <v>XH430</v>
      </c>
      <c r="AM2" t="str">
        <f ca="1">IFERROR(VLOOKUP(AL2,bond!B:C,2,FALSE),"")</f>
        <v>蘋果公司美元配息債券 4.85% 2053/5/10</v>
      </c>
      <c r="AN2" s="596" t="str">
        <f ca="1">IF(AL2="","",VLOOKUP(AL2,AB:AC,2,FALSE))</f>
        <v>USD</v>
      </c>
      <c r="AO2" s="1607">
        <f ca="1">IFERROR(INDEX(AE:AE,MATCH(AJ2,AI:AI,0),1),"")</f>
        <v>100000</v>
      </c>
      <c r="AP2" s="1119"/>
      <c r="AQ2" s="1119" cm="1">
        <f t="array" aca="1" ref="AQ2" ca="1">INDEX(AA:AA,MATCH(AJ2,AI:AI,0),0)</f>
        <v>1</v>
      </c>
    </row>
    <row r="3" spans="2:43">
      <c r="C3" t="s">
        <v>3535</v>
      </c>
      <c r="D3" s="596" t="str">
        <f>庫存管理!$P$44</f>
        <v>XH430</v>
      </c>
      <c r="F3" s="813" t="s">
        <v>3520</v>
      </c>
      <c r="G3" s="814">
        <f>庫存管理!U44</f>
        <v>0</v>
      </c>
      <c r="H3" s="866"/>
      <c r="I3" s="866"/>
      <c r="J3" s="866"/>
      <c r="K3" s="951" t="s">
        <v>726</v>
      </c>
      <c r="L3" s="272"/>
      <c r="M3" s="272"/>
      <c r="O3" t="s">
        <v>3557</v>
      </c>
      <c r="P3" s="864">
        <f ca="1">IF(OR(P2=1,$O$6=4),1,model!A4)</f>
        <v>1</v>
      </c>
      <c r="Q3" t="str">
        <f ca="1">CONCATENATE("第"&amp;P3&amp;"頁")</f>
        <v>第1頁</v>
      </c>
      <c r="Z3" s="1713" t="s">
        <v>4457</v>
      </c>
      <c r="AA3">
        <f t="shared" ref="AA3:AA13" si="1">$Z$6+AJ3</f>
        <v>2</v>
      </c>
      <c r="AB3" s="1598" t="str">
        <f ca="1">OFFSET(庫存管理_中繼頁!P8,換券單檔!$Z$6,0)</f>
        <v>XG300</v>
      </c>
      <c r="AC3" s="1598" t="str">
        <f ca="1">OFFSET(庫存管理_中繼頁!V8,換券單檔!$Z$6,0)</f>
        <v>USD</v>
      </c>
      <c r="AD3" s="1119">
        <f ca="1">IF(AB3="",0,OFFSET(庫存管理_中繼頁!AA8,換券單檔!$Z$6,0))</f>
        <v>55316.3</v>
      </c>
      <c r="AE3" s="1119">
        <f ca="1">IF(AB3="",0,OFFSET(庫存管理_中繼頁!Y8,換券單檔!$Z$6,0))</f>
        <v>100000</v>
      </c>
      <c r="AF3" s="1119">
        <f ca="1">IF(AB3="",0,OFFSET('Tssco-bond portfolio(2)'!AG8,$Z$6,0))</f>
        <v>2250</v>
      </c>
      <c r="AG3" s="1599">
        <f ca="1">TSS_換券單檔!AP1</f>
        <v>0</v>
      </c>
      <c r="AH3" s="1036">
        <f t="shared" ca="1" si="0"/>
        <v>1</v>
      </c>
      <c r="AI3" s="1036">
        <f ca="1">IF(AH3=0,0,SUM(AH$2:AH3))</f>
        <v>2</v>
      </c>
      <c r="AJ3" s="1597">
        <v>2</v>
      </c>
      <c r="AK3" s="596" t="str">
        <f t="shared" ref="AK3:AK13" ca="1" si="2">IFERROR(IF(INDEX(AG:AG,MATCH(AJ3,AI:AI,0),1)&gt;0,"★",""),"")</f>
        <v/>
      </c>
      <c r="AL3" t="str">
        <f t="shared" ref="AL3:AL13" ca="1" si="3">IFERROR(INDEX(AB:AB,MATCH(AJ3,AI:AI,0),1),"")</f>
        <v>XG300</v>
      </c>
      <c r="AM3" t="str">
        <f ca="1">IFERROR(VLOOKUP(AL3,bond!B:C,2,FALSE),"")</f>
        <v>Alphabet公司美元配息債券 2.25% 2060/8/15</v>
      </c>
      <c r="AN3" s="596" t="str">
        <f ca="1">IF(AL3="","",VLOOKUP(AL3,AB:AC,2,FALSE))</f>
        <v>USD</v>
      </c>
      <c r="AO3" s="1607">
        <f t="shared" ref="AO3:AO13" ca="1" si="4">IFERROR(INDEX(AE:AE,MATCH(AJ3,AI:AI,0),1),"")</f>
        <v>100000</v>
      </c>
      <c r="AP3" s="1119"/>
      <c r="AQ3" s="1119" cm="1">
        <f t="array" aca="1" ref="AQ3" ca="1">INDEX(AA:AA,MATCH(AJ3,AI:AI,0),0)</f>
        <v>2</v>
      </c>
    </row>
    <row r="4" spans="2:43" ht="16.5" thickBot="1">
      <c r="C4" t="s">
        <v>3514</v>
      </c>
      <c r="D4" s="596">
        <f ca="1">'Tssco-bond portfolio(2)'!W2</f>
        <v>100000</v>
      </c>
      <c r="K4" s="951" t="s">
        <v>735</v>
      </c>
      <c r="L4" s="272"/>
      <c r="M4" s="272"/>
      <c r="Z4" s="1715">
        <f>'商品代碼-中繼頁'!B16</f>
        <v>1</v>
      </c>
      <c r="AA4">
        <f t="shared" si="1"/>
        <v>3</v>
      </c>
      <c r="AB4" s="1598" t="str">
        <f ca="1">OFFSET(庫存管理_中繼頁!P9,換券單檔!$Z$6,0)</f>
        <v>XH750</v>
      </c>
      <c r="AC4" s="1598" t="str">
        <f ca="1">OFFSET(庫存管理_中繼頁!V9,換券單檔!$Z$6,0)</f>
        <v>USD</v>
      </c>
      <c r="AD4" s="1119">
        <f ca="1">IF(AB4="",0,OFFSET(庫存管理_中繼頁!AA9,換券單檔!$Z$6,0))</f>
        <v>94562.7</v>
      </c>
      <c r="AE4" s="1119">
        <f ca="1">IF(AB4="",0,OFFSET(庫存管理_中繼頁!Y9,換券單檔!$Z$6,0))</f>
        <v>100000</v>
      </c>
      <c r="AF4" s="1119">
        <f ca="1">IF(AB4="",0,OFFSET('Tssco-bond portfolio(2)'!AG9,$Z$6,0))</f>
        <v>4875</v>
      </c>
      <c r="AG4" s="1599">
        <f ca="1">TSS_換券單檔!AU1</f>
        <v>15</v>
      </c>
      <c r="AH4" s="1036">
        <f t="shared" ca="1" si="0"/>
        <v>1</v>
      </c>
      <c r="AI4" s="1037">
        <f ca="1">IF(AH4=0,0,SUM(AH$2:AH4))</f>
        <v>3</v>
      </c>
      <c r="AJ4" s="1597">
        <v>3</v>
      </c>
      <c r="AK4" s="596" t="str">
        <f t="shared" ca="1" si="2"/>
        <v>★</v>
      </c>
      <c r="AL4" t="str">
        <f t="shared" ca="1" si="3"/>
        <v>XH750</v>
      </c>
      <c r="AM4" t="str">
        <f ca="1">IFERROR(VLOOKUP(AL4,bond!B:C,2,FALSE),"")</f>
        <v>禮來公司美元配息債券 4.875% 2053/2/27</v>
      </c>
      <c r="AN4" s="596" t="str">
        <f ca="1">IF(AL4="","",VLOOKUP(AL4,AB:AC,2,FALSE))</f>
        <v>USD</v>
      </c>
      <c r="AO4" s="1607">
        <f t="shared" ca="1" si="4"/>
        <v>100000</v>
      </c>
      <c r="AP4" s="1119"/>
      <c r="AQ4" s="1119" cm="1">
        <f t="array" aca="1" ref="AQ4" ca="1">INDEX(AA:AA,MATCH(AJ4,AI:AI,0),0)</f>
        <v>3</v>
      </c>
    </row>
    <row r="5" spans="2:43" ht="16.5" thickBot="1">
      <c r="C5" s="1723" t="s">
        <v>4467</v>
      </c>
      <c r="D5" s="1724">
        <f>Z10</f>
        <v>1</v>
      </c>
      <c r="Z5" s="1713" t="s">
        <v>4456</v>
      </c>
      <c r="AA5">
        <f t="shared" si="1"/>
        <v>4</v>
      </c>
      <c r="AB5" s="1598" t="str">
        <f ca="1">OFFSET(庫存管理_中繼頁!P10,換券單檔!$Z$6,0)</f>
        <v>XH040</v>
      </c>
      <c r="AC5" s="1598" t="str">
        <f ca="1">OFFSET(庫存管理_中繼頁!V10,換券單檔!$Z$6,0)</f>
        <v>USD</v>
      </c>
      <c r="AD5" s="1119">
        <f ca="1">IF(AB5="",0,OFFSET(庫存管理_中繼頁!AA10,換券單檔!$Z$6,0))</f>
        <v>86903.5</v>
      </c>
      <c r="AE5" s="1119">
        <f ca="1">IF(AB5="",0,OFFSET(庫存管理_中繼頁!Y10,換券單檔!$Z$6,0))</f>
        <v>100000</v>
      </c>
      <c r="AF5" s="1119">
        <f ca="1">IF(AB5="",0,OFFSET('Tssco-bond portfolio(2)'!AG10,$Z$6,0))</f>
        <v>4450.0000000000009</v>
      </c>
      <c r="AG5" s="1599">
        <f ca="1">TSS_換券單檔!AZ1</f>
        <v>8</v>
      </c>
      <c r="AH5" s="1036">
        <f t="shared" ca="1" si="0"/>
        <v>1</v>
      </c>
      <c r="AI5" s="1037">
        <f ca="1">IF(AH5=0,0,SUM(AH$2:AH5))</f>
        <v>4</v>
      </c>
      <c r="AJ5" s="1597">
        <v>4</v>
      </c>
      <c r="AK5" s="596" t="str">
        <f t="shared" ca="1" si="2"/>
        <v>★</v>
      </c>
      <c r="AL5" t="str">
        <f t="shared" ca="1" si="3"/>
        <v>XH040</v>
      </c>
      <c r="AM5" t="str">
        <f ca="1">IFERROR(VLOOKUP(AL5,bond!B:C,2,FALSE),"")</f>
        <v>META平台公司美元配息債券 4.45% 2052/8/15</v>
      </c>
      <c r="AN5" s="596" t="str">
        <f ca="1">IF(AL5="","",VLOOKUP(AL5,AB:AC,2,FALSE))</f>
        <v>USD</v>
      </c>
      <c r="AO5" s="1607">
        <f t="shared" ca="1" si="4"/>
        <v>100000</v>
      </c>
      <c r="AP5" s="1119"/>
      <c r="AQ5" s="1119" cm="1">
        <f t="array" aca="1" ref="AQ5" ca="1">INDEX(AA:AA,MATCH(AJ5,AI:AI,0),0)</f>
        <v>4</v>
      </c>
    </row>
    <row r="6" spans="2:43" ht="16.5" thickBot="1">
      <c r="C6" s="1721" t="str">
        <f>IF(D3=0,"",D3)</f>
        <v>XH430</v>
      </c>
      <c r="D6" s="1722" t="str">
        <f ca="1">LEFT(VLOOKUP($C$6,'銀行-TSS'!B:D,3,FALSE),FIND(" ",VLOOKUP($C$6,'銀行-TSS'!B:D,3,FALSE))-1)</f>
        <v>蘋果公司美元配息債券</v>
      </c>
      <c r="E6" t="str">
        <f ca="1">CONCATENATE(LEFT(換券單檔!D6,SEARCH(換券單檔!E13,換券單檔!D6,1)-1))</f>
        <v>蘋果公司</v>
      </c>
      <c r="F6" s="815">
        <f>G3</f>
        <v>0</v>
      </c>
      <c r="G6" s="816" t="e">
        <f ca="1">LEFT(VLOOKUP($F$6,'銀行-TSS'!B:D,3,FALSE),FIND(" ",VLOOKUP($F$6,'銀行-TSS'!B:D,3,FALSE))-1)</f>
        <v>#N/A</v>
      </c>
      <c r="H6" s="1619" t="e">
        <f ca="1">CONCATENATE(LEFT(換券單檔!G6,SEARCH(換券單檔!H13,換券單檔!G6,1)-1))</f>
        <v>#N/A</v>
      </c>
      <c r="I6" s="867"/>
      <c r="J6" s="867"/>
      <c r="K6" s="952"/>
      <c r="L6" s="867"/>
      <c r="M6" s="867"/>
      <c r="N6" s="1126" t="s">
        <v>4137</v>
      </c>
      <c r="O6" s="1127">
        <f>model!A5</f>
        <v>1</v>
      </c>
      <c r="P6" t="s">
        <v>4385</v>
      </c>
      <c r="R6" s="1621">
        <f>COUNTBLANK(表格13[自訂清單])</f>
        <v>6</v>
      </c>
      <c r="Z6" s="1715">
        <f>12*($Z$2-1)</f>
        <v>0</v>
      </c>
      <c r="AA6">
        <f t="shared" si="1"/>
        <v>5</v>
      </c>
      <c r="AB6" s="1598" t="str">
        <f ca="1">OFFSET(庫存管理_中繼頁!P11,換券單檔!$Z$6,0)</f>
        <v/>
      </c>
      <c r="AC6" s="1598" t="str">
        <f ca="1">OFFSET(庫存管理_中繼頁!V11,換券單檔!$Z$6,0)</f>
        <v/>
      </c>
      <c r="AD6" s="1119">
        <f ca="1">IF(AB6="",0,OFFSET(庫存管理_中繼頁!AA11,換券單檔!$Z$6,0))</f>
        <v>0</v>
      </c>
      <c r="AE6" s="1119">
        <f ca="1">IF(AB6="",0,OFFSET(庫存管理_中繼頁!Y11,換券單檔!$Z$6,0))</f>
        <v>0</v>
      </c>
      <c r="AF6" s="1119">
        <f ca="1">IF(AB6="",0,OFFSET('Tssco-bond portfolio(2)'!AG11,$Z$6,0))</f>
        <v>0</v>
      </c>
      <c r="AG6" s="1599">
        <f ca="1">TSS_換券單檔!BE1</f>
        <v>0</v>
      </c>
      <c r="AH6" s="1036">
        <f t="shared" ca="1" si="0"/>
        <v>0</v>
      </c>
      <c r="AI6" s="1037">
        <f ca="1">IF(AH6=0,0,SUM(AH$2:AH6))</f>
        <v>0</v>
      </c>
      <c r="AJ6" s="1597">
        <v>5</v>
      </c>
      <c r="AK6" s="596" t="str">
        <f t="shared" ca="1" si="2"/>
        <v/>
      </c>
      <c r="AL6" t="str">
        <f t="shared" ca="1" si="3"/>
        <v/>
      </c>
      <c r="AM6" t="str">
        <f ca="1">IFERROR(VLOOKUP(AL6,bond!B:C,2,FALSE),"")</f>
        <v/>
      </c>
      <c r="AN6" s="596" t="str">
        <f ca="1">IF(AL6="","",VLOOKUP(AL6,AB:AC,2,FALSE))</f>
        <v/>
      </c>
      <c r="AO6" s="1607" t="str">
        <f t="shared" ca="1" si="4"/>
        <v/>
      </c>
      <c r="AP6" s="1119"/>
      <c r="AQ6" s="1119" t="e" cm="1">
        <f t="array" aca="1" ref="AQ6" ca="1">INDEX(AA:AA,MATCH(AJ6,AI:AI,0),0)</f>
        <v>#N/A</v>
      </c>
    </row>
    <row r="7" spans="2:43">
      <c r="C7" s="805" t="s">
        <v>208</v>
      </c>
      <c r="D7" s="809">
        <f ca="1">VLOOKUP($C$6,TSS_換券單檔!$B:$F,5,FALSE)</f>
        <v>4.8499999999999995E-2</v>
      </c>
      <c r="F7" s="817" t="s">
        <v>208</v>
      </c>
      <c r="G7" s="821" t="e">
        <f ca="1">VLOOKUP($F$6,TSS_換券單檔!$B:$F,5,FALSE)</f>
        <v>#N/A</v>
      </c>
      <c r="H7" s="868"/>
      <c r="I7" s="868"/>
      <c r="J7" s="868"/>
      <c r="K7" s="953"/>
      <c r="L7" s="868"/>
      <c r="N7" t="s">
        <v>3745</v>
      </c>
      <c r="O7" t="s">
        <v>3744</v>
      </c>
      <c r="P7" t="s">
        <v>4288</v>
      </c>
      <c r="Q7" t="s">
        <v>4411</v>
      </c>
      <c r="R7" s="1622" t="s">
        <v>4133</v>
      </c>
      <c r="S7" s="1026" t="s">
        <v>4412</v>
      </c>
      <c r="T7" s="1623" t="s">
        <v>538</v>
      </c>
      <c r="U7" t="s">
        <v>4390</v>
      </c>
      <c r="V7" s="874" t="s">
        <v>4403</v>
      </c>
      <c r="W7" s="1026" t="s">
        <v>4404</v>
      </c>
      <c r="X7" s="1026" t="s">
        <v>4287</v>
      </c>
      <c r="Y7" s="875" t="s">
        <v>4500</v>
      </c>
      <c r="Z7" s="1794" t="s">
        <v>4459</v>
      </c>
      <c r="AA7">
        <f t="shared" si="1"/>
        <v>6</v>
      </c>
      <c r="AB7" s="1598" t="str">
        <f ca="1">OFFSET(庫存管理_中繼頁!P12,換券單檔!$Z$6,0)</f>
        <v/>
      </c>
      <c r="AC7" s="1598" t="str">
        <f ca="1">OFFSET(庫存管理_中繼頁!V12,換券單檔!$Z$6,0)</f>
        <v/>
      </c>
      <c r="AD7" s="1119">
        <f ca="1">IF(AB7="",0,OFFSET(庫存管理_中繼頁!AA12,換券單檔!$Z$6,0))</f>
        <v>0</v>
      </c>
      <c r="AE7" s="1119">
        <f ca="1">IF(AB7="",0,OFFSET(庫存管理_中繼頁!Y12,換券單檔!$Z$6,0))</f>
        <v>0</v>
      </c>
      <c r="AF7" s="1119">
        <f ca="1">IF(AB7="",0,OFFSET('Tssco-bond portfolio(2)'!AG12,$Z$6,0))</f>
        <v>0</v>
      </c>
      <c r="AG7" s="1599">
        <f ca="1">TSS_換券單檔!BJ1</f>
        <v>0</v>
      </c>
      <c r="AH7" s="1036">
        <f t="shared" ca="1" si="0"/>
        <v>0</v>
      </c>
      <c r="AI7" s="1037">
        <f ca="1">IF(AH7=0,0,SUM(AH$2:AH7))</f>
        <v>0</v>
      </c>
      <c r="AJ7" s="1597">
        <v>6</v>
      </c>
      <c r="AK7" s="596" t="str">
        <f t="shared" ca="1" si="2"/>
        <v/>
      </c>
      <c r="AL7" t="str">
        <f t="shared" ca="1" si="3"/>
        <v/>
      </c>
      <c r="AM7" t="str">
        <f ca="1">IFERROR(VLOOKUP(AL7,bond!B:C,2,FALSE),"")</f>
        <v/>
      </c>
      <c r="AN7" s="596" t="str">
        <f t="shared" ref="AN7:AN13" ca="1" si="5">IF(AL7="","",VLOOKUP(AL7,AB:AC,2,FALSE))</f>
        <v/>
      </c>
      <c r="AO7" s="1607" t="str">
        <f t="shared" ca="1" si="4"/>
        <v/>
      </c>
      <c r="AP7" s="1119"/>
      <c r="AQ7" s="1119" t="e" cm="1">
        <f t="array" aca="1" ref="AQ7" ca="1">INDEX(AA:AA,MATCH(AJ7,AI:AI,0),0)</f>
        <v>#N/A</v>
      </c>
    </row>
    <row r="8" spans="2:43" ht="16" thickBot="1">
      <c r="C8" s="805" t="s">
        <v>3515</v>
      </c>
      <c r="D8" s="1056" t="str">
        <f ca="1">VLOOKUP($C$6,'銀行-TSS'!B:F,5,FALSE)</f>
        <v>2053/5/10</v>
      </c>
      <c r="F8" s="817" t="s">
        <v>3515</v>
      </c>
      <c r="G8" s="822" t="e">
        <f ca="1">VLOOKUP($F$6,'銀行-TSS'!B:F,5,FALSE)</f>
        <v>#N/A</v>
      </c>
      <c r="H8" s="869"/>
      <c r="I8" s="869"/>
      <c r="J8" s="869"/>
      <c r="K8" s="954"/>
      <c r="L8" s="869"/>
      <c r="N8">
        <v>1</v>
      </c>
      <c r="O8" s="179">
        <f ca="1">6*($P$3-1)+1</f>
        <v>1</v>
      </c>
      <c r="P8" t="str">
        <f t="shared" ref="P8:P13" ca="1" si="6">IFERROR(INDEX($O$20:$O$31,O8,1),"")</f>
        <v>XG540</v>
      </c>
      <c r="Q8" t="str">
        <f ca="1">INDEX($U$20:$U$31,表格13[[#This Row],[排序]],1)</f>
        <v>BB+</v>
      </c>
      <c r="R8" s="1608"/>
      <c r="S8" t="e">
        <f ca="1">INDEX($U$35:$U$40,表格13[[#This Row],[序號]],1)</f>
        <v>#N/A</v>
      </c>
      <c r="T8" s="1624" t="str">
        <f>IF(表格13[[#This Row],[自訂清單]]="","",IFERROR(VLOOKUP(表格13[[#This Row],[自訂清單]],'銀行-TSS'!B:D,3,FALSE),""))</f>
        <v/>
      </c>
      <c r="U8" t="str">
        <f ca="1">IF($O$6=4,VLOOKUP(表格13[[#This Row],[自訂清單]],'銀行-TSS'!B:D,3,FALSE),VLOOKUP(表格13[[#This Row],[預設代碼]],'銀行-TSS'!B:D,3,FALSE))</f>
        <v>哥倫比亞國家石油公司美元配息債券 7.375% 2043/9/18</v>
      </c>
      <c r="V8" s="1020" t="s">
        <v>4502</v>
      </c>
      <c r="W8" t="str">
        <f ca="1">IF(表格13[[#This Row],[清單(暫存)]]="","",IFERROR(IF(表格13[[#This Row],[幣別]]&lt;&gt;$E$13,1,VLOOKUP(表格13[[#This Row],[清單(暫存)]],'銀行-TSS'!B:D,3,FALSE)),1))</f>
        <v>Alphabet公司美元配息債券 2.25% 2060/8/15</v>
      </c>
      <c r="X8" t="str">
        <f ca="1">INDEX('2_Check_code'!$L$3:$L$9,MATCH(VLOOKUP(表格13[[#This Row],[清單(暫存)]],'銀行-TSS'!B:C,2,FALSE),'2_Check_code'!$I$3:$I$9,0),0)</f>
        <v>美元</v>
      </c>
      <c r="Y8" s="1624" t="str">
        <f ca="1">IF(表格13[[#This Row],[清單(暫存)]]="","",VLOOKUP(表格13[[#This Row],[清單(暫存)]],'銀行-TSS'!B:V,21,FALSE))</f>
        <v>(NPI)非專投</v>
      </c>
      <c r="Z8" s="1795">
        <f ca="1">MAX(AI2:AI13)</f>
        <v>4</v>
      </c>
      <c r="AA8">
        <f t="shared" si="1"/>
        <v>7</v>
      </c>
      <c r="AB8" s="1598" t="str">
        <f ca="1">OFFSET(庫存管理_中繼頁!P13,換券單檔!$Z$6,0)</f>
        <v/>
      </c>
      <c r="AC8" s="1598" t="str">
        <f ca="1">OFFSET(庫存管理_中繼頁!V13,換券單檔!$Z$6,0)</f>
        <v/>
      </c>
      <c r="AD8" s="1119">
        <f ca="1">IF(AB8="",0,OFFSET(庫存管理_中繼頁!AA13,換券單檔!$Z$6,0))</f>
        <v>0</v>
      </c>
      <c r="AE8" s="1119">
        <f ca="1">IF(AB8="",0,OFFSET(庫存管理_中繼頁!Y13,換券單檔!$Z$6,0))</f>
        <v>0</v>
      </c>
      <c r="AF8" s="1119">
        <f ca="1">IF(AB8="",0,OFFSET('Tssco-bond portfolio(2)'!AG13,$Z$6,0))</f>
        <v>0</v>
      </c>
      <c r="AG8" s="1599">
        <f ca="1">TSS_換券單檔!BO1</f>
        <v>0</v>
      </c>
      <c r="AH8" s="1036">
        <f t="shared" ca="1" si="0"/>
        <v>0</v>
      </c>
      <c r="AI8" s="1037">
        <f ca="1">IF(AH8=0,0,SUM(AH$2:AH8))</f>
        <v>0</v>
      </c>
      <c r="AJ8" s="1597">
        <v>7</v>
      </c>
      <c r="AK8" s="596" t="str">
        <f t="shared" ca="1" si="2"/>
        <v/>
      </c>
      <c r="AL8" t="str">
        <f t="shared" ca="1" si="3"/>
        <v/>
      </c>
      <c r="AM8" t="str">
        <f ca="1">IFERROR(VLOOKUP(AL8,bond!B:C,2,FALSE),"")</f>
        <v/>
      </c>
      <c r="AN8" s="596" t="str">
        <f t="shared" ca="1" si="5"/>
        <v/>
      </c>
      <c r="AO8" s="1607" t="str">
        <f t="shared" ca="1" si="4"/>
        <v/>
      </c>
      <c r="AP8" s="1119"/>
      <c r="AQ8" s="1119" t="e" cm="1">
        <f t="array" aca="1" ref="AQ8" ca="1">INDEX(AA:AA,MATCH(AJ8,AI:AI,0),0)</f>
        <v>#N/A</v>
      </c>
    </row>
    <row r="9" spans="2:43">
      <c r="C9" s="806" t="s">
        <v>3516</v>
      </c>
      <c r="D9" s="856">
        <f ca="1">'Tssco-bond portfolio(2)'!CI2</f>
        <v>5.0274453752479784E-2</v>
      </c>
      <c r="F9" s="818" t="s">
        <v>3521</v>
      </c>
      <c r="G9" s="821" t="e">
        <f ca="1">VLOOKUP($F$6,'銀行-TSS'!B:M,12,FALSE)</f>
        <v>#N/A</v>
      </c>
      <c r="H9" s="868"/>
      <c r="I9" s="868"/>
      <c r="J9" s="868"/>
      <c r="K9" s="953"/>
      <c r="L9" s="868"/>
      <c r="N9">
        <v>2</v>
      </c>
      <c r="O9" s="179">
        <f ca="1">O8+1</f>
        <v>2</v>
      </c>
      <c r="P9" t="str">
        <f t="shared" ca="1" si="6"/>
        <v>XG960</v>
      </c>
      <c r="Q9" t="str">
        <f ca="1">INDEX($U$20:$U$31,表格13[[#This Row],[排序]],1)</f>
        <v>BBB-</v>
      </c>
      <c r="R9" s="1608"/>
      <c r="S9" t="e">
        <f ca="1">INDEX($U$35:$U$40,表格13[[#This Row],[序號]],1)</f>
        <v>#N/A</v>
      </c>
      <c r="T9" s="1624" t="str">
        <f>IF(表格13[[#This Row],[自訂清單]]="","",IFERROR(VLOOKUP(表格13[[#This Row],[自訂清單]],'銀行-TSS'!B:D,3,FALSE),""))</f>
        <v/>
      </c>
      <c r="U9" t="str">
        <f ca="1">IF($O$6=4,VLOOKUP(表格13[[#This Row],[自訂清單]],'銀行-TSS'!B:D,3,FALSE),VLOOKUP(表格13[[#This Row],[預設代碼]],'銀行-TSS'!B:D,3,FALSE))</f>
        <v>派拉蒙全球美元配息債券 4.375% 2043/3/15</v>
      </c>
      <c r="V9" s="1020" t="s">
        <v>4503</v>
      </c>
      <c r="W9" t="str">
        <f ca="1">IF(表格13[[#This Row],[清單(暫存)]]="","",IFERROR(IF(表格13[[#This Row],[幣別]]&lt;&gt;$E$13,1,VLOOKUP(表格13[[#This Row],[清單(暫存)]],'銀行-TSS'!B:D,3,FALSE)),1))</f>
        <v>華特迪士尼公司美元配息債券 3.5% 2040/5/13</v>
      </c>
      <c r="X9" t="str">
        <f ca="1">INDEX('2_Check_code'!$L$3:$L$9,MATCH(VLOOKUP(表格13[[#This Row],[清單(暫存)]],'銀行-TSS'!B:C,2,FALSE),'2_Check_code'!$I$3:$I$9,0),0)</f>
        <v>美元</v>
      </c>
      <c r="Y9" s="1624" t="str">
        <f ca="1">IF(表格13[[#This Row],[清單(暫存)]]="","",VLOOKUP(表格13[[#This Row],[清單(暫存)]],'銀行-TSS'!B:V,21,FALSE))</f>
        <v>(NPI)非專投</v>
      </c>
      <c r="Z9" s="1794" t="s">
        <v>4458</v>
      </c>
      <c r="AA9">
        <f t="shared" si="1"/>
        <v>8</v>
      </c>
      <c r="AB9" s="1598" t="str">
        <f ca="1">OFFSET(庫存管理_中繼頁!P14,換券單檔!$Z$6,0)</f>
        <v/>
      </c>
      <c r="AC9" s="1598" t="str">
        <f ca="1">OFFSET(庫存管理_中繼頁!V14,換券單檔!$Z$6,0)</f>
        <v/>
      </c>
      <c r="AD9" s="1119">
        <f ca="1">IF(AB9="",0,OFFSET(庫存管理_中繼頁!AA14,換券單檔!$Z$6,0))</f>
        <v>0</v>
      </c>
      <c r="AE9" s="1119">
        <f ca="1">IF(AB9="",0,OFFSET(庫存管理_中繼頁!Y14,換券單檔!$Z$6,0))</f>
        <v>0</v>
      </c>
      <c r="AF9" s="1119">
        <f ca="1">IF(AB9="",0,OFFSET('Tssco-bond portfolio(2)'!AG14,$Z$6,0))</f>
        <v>0</v>
      </c>
      <c r="AG9" s="1599">
        <f ca="1">TSS_換券單檔!BT1</f>
        <v>0</v>
      </c>
      <c r="AH9" s="1036">
        <f t="shared" ca="1" si="0"/>
        <v>0</v>
      </c>
      <c r="AI9" s="1037">
        <f ca="1">IF(AH9=0,0,SUM(AH$2:AH9))</f>
        <v>0</v>
      </c>
      <c r="AJ9" s="1597">
        <v>8</v>
      </c>
      <c r="AK9" s="596" t="str">
        <f t="shared" ca="1" si="2"/>
        <v/>
      </c>
      <c r="AL9" t="str">
        <f t="shared" ca="1" si="3"/>
        <v/>
      </c>
      <c r="AM9" t="str">
        <f ca="1">IFERROR(VLOOKUP(AL9,bond!B:C,2,FALSE),"")</f>
        <v/>
      </c>
      <c r="AN9" s="596" t="str">
        <f t="shared" ca="1" si="5"/>
        <v/>
      </c>
      <c r="AO9" s="1607" t="str">
        <f t="shared" ca="1" si="4"/>
        <v/>
      </c>
      <c r="AP9" s="1119"/>
      <c r="AQ9" s="1119" t="e" cm="1">
        <f t="array" aca="1" ref="AQ9" ca="1">INDEX(AA:AA,MATCH(AJ9,AI:AI,0),0)</f>
        <v>#N/A</v>
      </c>
    </row>
    <row r="10" spans="2:43" ht="16.5" thickBot="1">
      <c r="C10" s="805" t="s">
        <v>3517</v>
      </c>
      <c r="D10" s="810">
        <f ca="1">D4</f>
        <v>100000</v>
      </c>
      <c r="F10" s="817" t="s">
        <v>3522</v>
      </c>
      <c r="G10" s="828" t="e">
        <f ca="1">G20+INT((D17-G22)/G23)*G21</f>
        <v>#N/A</v>
      </c>
      <c r="H10" s="870" t="e">
        <f ca="1">G10-G20</f>
        <v>#N/A</v>
      </c>
      <c r="I10" s="870"/>
      <c r="J10" s="870"/>
      <c r="K10" s="955"/>
      <c r="L10" s="870"/>
      <c r="N10">
        <v>3</v>
      </c>
      <c r="O10" s="179">
        <f ca="1">O9+1</f>
        <v>3</v>
      </c>
      <c r="P10" t="str">
        <f t="shared" ca="1" si="6"/>
        <v>XG480</v>
      </c>
      <c r="Q10" t="str">
        <f ca="1">INDEX($U$20:$U$31,表格13[[#This Row],[排序]],1)</f>
        <v>BBB-</v>
      </c>
      <c r="R10" s="1608"/>
      <c r="S10" t="e">
        <f ca="1">INDEX($U$35:$U$40,表格13[[#This Row],[序號]],1)</f>
        <v>#N/A</v>
      </c>
      <c r="T10" s="1624" t="str">
        <f>IF(表格13[[#This Row],[自訂清單]]="","",IFERROR(VLOOKUP(表格13[[#This Row],[自訂清單]],'銀行-TSS'!B:D,3,FALSE),""))</f>
        <v/>
      </c>
      <c r="U10" t="str">
        <f ca="1">IF($O$6=4,VLOOKUP(表格13[[#This Row],[自訂清單]],'銀行-TSS'!B:D,3,FALSE),VLOOKUP(表格13[[#This Row],[預設代碼]],'銀行-TSS'!B:D,3,FALSE))</f>
        <v>Discovery傳播有限責任公司美元配息債券 4.65% 2050/5/15</v>
      </c>
      <c r="V10" s="1020" t="s">
        <v>4504</v>
      </c>
      <c r="W10" t="str">
        <f ca="1">IF(表格13[[#This Row],[清單(暫存)]]="","",IFERROR(IF(表格13[[#This Row],[幣別]]&lt;&gt;$E$13,1,VLOOKUP(表格13[[#This Row],[清單(暫存)]],'銀行-TSS'!B:D,3,FALSE)),1))</f>
        <v>匯豐控股公司美元配息債券  4.95% 2030/3/31</v>
      </c>
      <c r="X10" t="str">
        <f ca="1">INDEX('2_Check_code'!$L$3:$L$9,MATCH(VLOOKUP(表格13[[#This Row],[清單(暫存)]],'銀行-TSS'!B:C,2,FALSE),'2_Check_code'!$I$3:$I$9,0),0)</f>
        <v>美元</v>
      </c>
      <c r="Y10" s="1624" t="str">
        <f ca="1">IF(表格13[[#This Row],[清單(暫存)]]="","",VLOOKUP(表格13[[#This Row],[清單(暫存)]],'銀行-TSS'!B:V,21,FALSE))</f>
        <v>(PI)專投</v>
      </c>
      <c r="Z10" s="1796">
        <v>1</v>
      </c>
      <c r="AA10">
        <f t="shared" si="1"/>
        <v>9</v>
      </c>
      <c r="AB10" s="1598" t="str">
        <f ca="1">OFFSET(庫存管理_中繼頁!P15,換券單檔!$Z$6,0)</f>
        <v/>
      </c>
      <c r="AC10" s="1598" t="str">
        <f ca="1">OFFSET(庫存管理_中繼頁!V15,換券單檔!$Z$6,0)</f>
        <v/>
      </c>
      <c r="AD10" s="1119">
        <f ca="1">IF(AB10="",0,OFFSET(庫存管理_中繼頁!AA15,換券單檔!$Z$6,0))</f>
        <v>0</v>
      </c>
      <c r="AE10" s="1119">
        <f ca="1">IF(AB10="",0,OFFSET(庫存管理_中繼頁!Y15,換券單檔!$Z$6,0))</f>
        <v>0</v>
      </c>
      <c r="AF10" s="1119">
        <f ca="1">IF(AB10="",0,OFFSET('Tssco-bond portfolio(2)'!AG15,$Z$6,0))</f>
        <v>0</v>
      </c>
      <c r="AG10" s="1599">
        <f ca="1">TSS_換券單檔!BY1</f>
        <v>0</v>
      </c>
      <c r="AH10" s="1036">
        <f t="shared" ca="1" si="0"/>
        <v>0</v>
      </c>
      <c r="AI10" s="1037">
        <f ca="1">IF(AH10=0,0,SUM(AH$2:AH10))</f>
        <v>0</v>
      </c>
      <c r="AJ10" s="1597">
        <v>9</v>
      </c>
      <c r="AK10" s="596" t="str">
        <f t="shared" ca="1" si="2"/>
        <v/>
      </c>
      <c r="AL10" t="str">
        <f t="shared" ca="1" si="3"/>
        <v/>
      </c>
      <c r="AM10" t="str">
        <f ca="1">IFERROR(VLOOKUP(AL10,bond!B:C,2,FALSE),"")</f>
        <v/>
      </c>
      <c r="AN10" s="596" t="str">
        <f t="shared" ca="1" si="5"/>
        <v/>
      </c>
      <c r="AO10" s="1607" t="str">
        <f t="shared" ca="1" si="4"/>
        <v/>
      </c>
      <c r="AP10" s="1119"/>
      <c r="AQ10" s="1119" t="e" cm="1">
        <f t="array" aca="1" ref="AQ10" ca="1">INDEX(AA:AA,MATCH(AJ10,AI:AI,0),0)</f>
        <v>#N/A</v>
      </c>
    </row>
    <row r="11" spans="2:43">
      <c r="C11" s="806" t="s">
        <v>3518</v>
      </c>
      <c r="D11" s="855">
        <f>IFERROR(VLOOKUP(C6,bond!B:I,8,FALSE)+VLOOKUP(C6,bond!B:K,10,FALSE),0)</f>
        <v>96.700599999999994</v>
      </c>
      <c r="F11" s="819" t="s">
        <v>3523</v>
      </c>
      <c r="G11" s="854" t="str">
        <f ca="1">IFERROR(VLOOKUP($F$6,TSS_換券單檔!B:G,6,FALSE),"")</f>
        <v/>
      </c>
      <c r="H11" s="871"/>
      <c r="I11" s="871"/>
      <c r="J11" s="871"/>
      <c r="K11" s="956"/>
      <c r="L11" s="871"/>
      <c r="N11">
        <v>4</v>
      </c>
      <c r="O11" s="179">
        <f ca="1">O10+1</f>
        <v>4</v>
      </c>
      <c r="P11" t="str">
        <f t="shared" ca="1" si="6"/>
        <v>XG760</v>
      </c>
      <c r="Q11" t="str">
        <f ca="1">INDEX($U$20:$U$31,表格13[[#This Row],[排序]],1)</f>
        <v>BBB-</v>
      </c>
      <c r="R11" s="1608"/>
      <c r="S11" t="e">
        <f ca="1">INDEX($U$35:$U$40,表格13[[#This Row],[序號]],1)</f>
        <v>#N/A</v>
      </c>
      <c r="T11" s="1624" t="str">
        <f>IF(表格13[[#This Row],[自訂清單]]="","",IFERROR(VLOOKUP(表格13[[#This Row],[自訂清單]],'銀行-TSS'!B:D,3,FALSE),""))</f>
        <v/>
      </c>
      <c r="U11" t="str">
        <f ca="1">IF($O$6=4,VLOOKUP(表格13[[#This Row],[自訂清單]],'銀行-TSS'!B:D,3,FALSE),VLOOKUP(表格13[[#This Row],[預設代碼]],'銀行-TSS'!B:D,3,FALSE))</f>
        <v>波音公司美元配息債券 5.805% 2050/5/1</v>
      </c>
      <c r="V11" s="1020"/>
      <c r="W11" t="str">
        <f>IF(表格13[[#This Row],[清單(暫存)]]="","",IFERROR(IF(表格13[[#This Row],[幣別]]&lt;&gt;$E$13,1,VLOOKUP(表格13[[#This Row],[清單(暫存)]],'銀行-TSS'!B:D,3,FALSE)),1))</f>
        <v/>
      </c>
      <c r="X11" t="e">
        <f ca="1">INDEX('2_Check_code'!$L$3:$L$9,MATCH(VLOOKUP(表格13[[#This Row],[清單(暫存)]],'銀行-TSS'!B:C,2,FALSE),'2_Check_code'!$I$3:$I$9,0),0)</f>
        <v>#N/A</v>
      </c>
      <c r="Y11" s="1624" t="str">
        <f>IF(表格13[[#This Row],[清單(暫存)]]="","",VLOOKUP(表格13[[#This Row],[清單(暫存)]],'銀行-TSS'!B:V,21,FALSE))</f>
        <v/>
      </c>
      <c r="Z11" s="1794" t="s">
        <v>4468</v>
      </c>
      <c r="AA11">
        <f t="shared" si="1"/>
        <v>10</v>
      </c>
      <c r="AB11" s="1598" t="str">
        <f ca="1">OFFSET(庫存管理_中繼頁!P16,換券單檔!$Z$6,0)</f>
        <v/>
      </c>
      <c r="AC11" s="1598" t="str">
        <f ca="1">OFFSET(庫存管理_中繼頁!V16,換券單檔!$Z$6,0)</f>
        <v/>
      </c>
      <c r="AD11" s="1119">
        <f ca="1">IF(AB11="",0,OFFSET(庫存管理_中繼頁!AA16,換券單檔!$Z$6,0))</f>
        <v>0</v>
      </c>
      <c r="AE11" s="1119">
        <f ca="1">IF(AB11="",0,OFFSET(庫存管理_中繼頁!Y16,換券單檔!$Z$6,0))</f>
        <v>0</v>
      </c>
      <c r="AF11" s="1119">
        <f ca="1">IF(AB11="",0,OFFSET('Tssco-bond portfolio(2)'!AG16,$Z$6,0))</f>
        <v>0</v>
      </c>
      <c r="AG11" s="1599">
        <f ca="1">TSS_換券單檔!CD1</f>
        <v>0</v>
      </c>
      <c r="AH11" s="1036">
        <f t="shared" ca="1" si="0"/>
        <v>0</v>
      </c>
      <c r="AI11" s="1037">
        <f ca="1">IF(AH11=0,0,SUM(AH$2:AH11))</f>
        <v>0</v>
      </c>
      <c r="AJ11" s="1597">
        <v>10</v>
      </c>
      <c r="AK11" s="596" t="str">
        <f t="shared" ca="1" si="2"/>
        <v/>
      </c>
      <c r="AL11" t="str">
        <f t="shared" ca="1" si="3"/>
        <v/>
      </c>
      <c r="AM11" t="str">
        <f ca="1">IFERROR(VLOOKUP(AL11,bond!B:C,2,FALSE),"")</f>
        <v/>
      </c>
      <c r="AN11" s="596" t="str">
        <f t="shared" ca="1" si="5"/>
        <v/>
      </c>
      <c r="AO11" s="1607" t="str">
        <f t="shared" ca="1" si="4"/>
        <v/>
      </c>
      <c r="AP11" s="1119"/>
      <c r="AQ11" s="1119" t="e" cm="1">
        <f t="array" aca="1" ref="AQ11" ca="1">INDEX(AA:AA,MATCH(AJ11,AI:AI,0),0)</f>
        <v>#N/A</v>
      </c>
    </row>
    <row r="12" spans="2:43" ht="16" thickBot="1">
      <c r="C12" s="807" t="s">
        <v>3519</v>
      </c>
      <c r="D12" s="811" t="str">
        <f ca="1">VLOOKUP(C6,'銀行-TSS'!B:Q,16,FALSE)</f>
        <v>科技</v>
      </c>
      <c r="F12" s="820" t="s">
        <v>3519</v>
      </c>
      <c r="G12" s="823" t="e">
        <f ca="1">VLOOKUP(F6,'銀行-TSS'!B:Q,16,FALSE)</f>
        <v>#N/A</v>
      </c>
      <c r="H12" s="872"/>
      <c r="I12" s="872"/>
      <c r="J12" s="872"/>
      <c r="K12" s="957"/>
      <c r="L12" s="872"/>
      <c r="N12">
        <v>5</v>
      </c>
      <c r="O12" s="179">
        <f ca="1">O11+1</f>
        <v>5</v>
      </c>
      <c r="P12" t="str">
        <f t="shared" ca="1" si="6"/>
        <v>XFY70</v>
      </c>
      <c r="Q12" t="str">
        <f ca="1">INDEX($U$20:$U$31,表格13[[#This Row],[排序]],1)</f>
        <v>BB+</v>
      </c>
      <c r="R12" s="1608"/>
      <c r="S12" t="e">
        <f ca="1">INDEX($U$35:$U$40,表格13[[#This Row],[序號]],1)</f>
        <v>#N/A</v>
      </c>
      <c r="T12" s="1624" t="str">
        <f>IF(表格13[[#This Row],[自訂清單]]="","",IFERROR(VLOOKUP(表格13[[#This Row],[自訂清單]],'銀行-TSS'!B:D,3,FALSE),""))</f>
        <v/>
      </c>
      <c r="U12" t="str">
        <f ca="1">IF($O$6=4,VLOOKUP(表格13[[#This Row],[自訂清單]],'銀行-TSS'!B:D,3,FALSE),VLOOKUP(表格13[[#This Row],[預設代碼]],'銀行-TSS'!B:D,3,FALSE))</f>
        <v>諾德斯特隆公司美元配息債券 5% 2044/1/15</v>
      </c>
      <c r="V12" s="1020"/>
      <c r="W12" t="str">
        <f>IF(表格13[[#This Row],[清單(暫存)]]="","",IFERROR(IF(表格13[[#This Row],[幣別]]&lt;&gt;$E$13,1,VLOOKUP(表格13[[#This Row],[清單(暫存)]],'銀行-TSS'!B:D,3,FALSE)),1))</f>
        <v/>
      </c>
      <c r="X12" t="e">
        <f ca="1">INDEX('2_Check_code'!$L$3:$L$9,MATCH(VLOOKUP(表格13[[#This Row],[清單(暫存)]],'銀行-TSS'!B:C,2,FALSE),'2_Check_code'!$I$3:$I$9,0),0)</f>
        <v>#N/A</v>
      </c>
      <c r="Y12" s="1624" t="str">
        <f>IF(表格13[[#This Row],[清單(暫存)]]="","",VLOOKUP(表格13[[#This Row],[清單(暫存)]],'銀行-TSS'!B:V,21,FALSE))</f>
        <v/>
      </c>
      <c r="Z12" s="1795">
        <f>'商品代碼-中繼頁'!C16</f>
        <v>4</v>
      </c>
      <c r="AA12">
        <f t="shared" si="1"/>
        <v>11</v>
      </c>
      <c r="AB12" s="1598" t="str">
        <f ca="1">OFFSET(庫存管理_中繼頁!P17,換券單檔!$Z$6,0)</f>
        <v/>
      </c>
      <c r="AC12" s="1598" t="str">
        <f ca="1">OFFSET(庫存管理_中繼頁!V17,換券單檔!$Z$6,0)</f>
        <v/>
      </c>
      <c r="AD12" s="1119">
        <f ca="1">IF(AB12="",0,OFFSET(庫存管理_中繼頁!AA17,換券單檔!$Z$6,0))</f>
        <v>0</v>
      </c>
      <c r="AE12" s="1119">
        <f ca="1">IF(AB12="",0,OFFSET(庫存管理_中繼頁!Y17,換券單檔!$Z$6,0))</f>
        <v>0</v>
      </c>
      <c r="AF12" s="1119">
        <f ca="1">IF(AB12="",0,OFFSET('Tssco-bond portfolio(2)'!AG17,$Z$6,0))</f>
        <v>0</v>
      </c>
      <c r="AG12" s="1599">
        <f ca="1">TSS_換券單檔!CI1</f>
        <v>0</v>
      </c>
      <c r="AH12" s="1036">
        <f t="shared" ca="1" si="0"/>
        <v>0</v>
      </c>
      <c r="AI12" s="1037">
        <f ca="1">IF(AH12=0,0,SUM(AH$2:AH12))</f>
        <v>0</v>
      </c>
      <c r="AJ12" s="1597">
        <v>11</v>
      </c>
      <c r="AK12" s="596" t="str">
        <f t="shared" ca="1" si="2"/>
        <v/>
      </c>
      <c r="AL12" t="str">
        <f t="shared" ca="1" si="3"/>
        <v/>
      </c>
      <c r="AM12" t="str">
        <f ca="1">IFERROR(VLOOKUP(AL12,bond!B:C,2,FALSE),"")</f>
        <v/>
      </c>
      <c r="AN12" s="596" t="str">
        <f t="shared" ca="1" si="5"/>
        <v/>
      </c>
      <c r="AO12" s="1607" t="str">
        <f t="shared" ca="1" si="4"/>
        <v/>
      </c>
      <c r="AP12" s="1119"/>
      <c r="AQ12" s="1119" t="e" cm="1">
        <f t="array" aca="1" ref="AQ12" ca="1">INDEX(AA:AA,MATCH(AJ12,AI:AI,0),0)</f>
        <v>#N/A</v>
      </c>
    </row>
    <row r="13" spans="2:43" ht="16" thickBot="1">
      <c r="C13" s="806" t="s">
        <v>3524</v>
      </c>
      <c r="D13" s="596" t="str">
        <f ca="1">VLOOKUP($C$6,TSS_換券單檔!B:E,3,FALSE)</f>
        <v>USD</v>
      </c>
      <c r="E13" t="str">
        <f ca="1">CHOOSE(VLOOKUP(D13,'2_Check_code'!$I$3:$K$9,3,FALSE),"美元","人民幣","南非幣","澳幣","加幣","紐幣","歐元")</f>
        <v>美元</v>
      </c>
      <c r="F13" s="829" t="s">
        <v>3524</v>
      </c>
      <c r="G13" s="596" t="e">
        <f ca="1">VLOOKUP($F$6,TSS_換券單檔!B:E,3,FALSE)</f>
        <v>#N/A</v>
      </c>
      <c r="H13" s="596" t="e">
        <f ca="1">CHOOSE(VLOOKUP(G13,'2_Check_code'!$I$3:$K$9,3,FALSE),"美元","人民幣","南非幣","澳幣","加幣","紐幣","歐元")</f>
        <v>#N/A</v>
      </c>
      <c r="I13" s="596"/>
      <c r="J13" s="596"/>
      <c r="K13" s="958"/>
      <c r="L13" s="596"/>
      <c r="N13">
        <v>6</v>
      </c>
      <c r="O13" s="179">
        <f ca="1">O12+1</f>
        <v>6</v>
      </c>
      <c r="P13" t="str">
        <f t="shared" ca="1" si="6"/>
        <v>XH250</v>
      </c>
      <c r="Q13" t="str">
        <f ca="1">INDEX($U$20:$U$31,表格13[[#This Row],[排序]],1)</f>
        <v>BBB</v>
      </c>
      <c r="R13" s="1609"/>
      <c r="S13" s="1021" t="e">
        <f ca="1">INDEX($U$35:$U$40,表格13[[#This Row],[序號]],1)</f>
        <v>#N/A</v>
      </c>
      <c r="T13" s="1625" t="str">
        <f>IF(表格13[[#This Row],[自訂清單]]="","",IFERROR(VLOOKUP(表格13[[#This Row],[自訂清單]],'銀行-TSS'!B:D,3,FALSE),""))</f>
        <v/>
      </c>
      <c r="U13" t="str">
        <f ca="1">IF($O$6=4,VLOOKUP(表格13[[#This Row],[自訂清單]],'銀行-TSS'!B:D,3,FALSE),VLOOKUP(表格13[[#This Row],[預設代碼]],'銀行-TSS'!B:D,3,FALSE))</f>
        <v>暉致公司美元配息債券 4% 2050/6/22</v>
      </c>
      <c r="V13" s="1128"/>
      <c r="W13" s="1021" t="str">
        <f>IF(表格13[[#This Row],[清單(暫存)]]="","",IFERROR(IF(表格13[[#This Row],[幣別]]&lt;&gt;$E$13,1,VLOOKUP(表格13[[#This Row],[清單(暫存)]],'銀行-TSS'!B:D,3,FALSE)),1))</f>
        <v/>
      </c>
      <c r="X13" s="1021" t="e">
        <f ca="1">INDEX('2_Check_code'!$L$3:$L$9,MATCH(VLOOKUP(表格13[[#This Row],[清單(暫存)]],'銀行-TSS'!B:C,2,FALSE),'2_Check_code'!$I$3:$I$9,0),0)</f>
        <v>#N/A</v>
      </c>
      <c r="Y13" s="1625" t="str">
        <f>IF(表格13[[#This Row],[清單(暫存)]]="","",VLOOKUP(表格13[[#This Row],[清單(暫存)]],'銀行-TSS'!B:V,21,FALSE))</f>
        <v/>
      </c>
      <c r="Z13" s="1794" t="s">
        <v>4478</v>
      </c>
      <c r="AA13">
        <f t="shared" si="1"/>
        <v>12</v>
      </c>
      <c r="AB13" s="1598" t="str">
        <f ca="1">OFFSET(庫存管理_中繼頁!P18,換券單檔!$Z$6,0)</f>
        <v/>
      </c>
      <c r="AC13" s="1598" t="str">
        <f ca="1">OFFSET(庫存管理_中繼頁!V18,換券單檔!$Z$6,0)</f>
        <v/>
      </c>
      <c r="AD13" s="1119">
        <f ca="1">IF(AB13="",0,OFFSET(庫存管理_中繼頁!AA18,換券單檔!$Z$6,0))</f>
        <v>0</v>
      </c>
      <c r="AE13" s="1119">
        <f ca="1">IF(AB13="",0,OFFSET(庫存管理_中繼頁!Y18,換券單檔!$Z$6,0))</f>
        <v>0</v>
      </c>
      <c r="AF13" s="1119">
        <f ca="1">IF(AB13="",0,OFFSET('Tssco-bond portfolio(2)'!AG18,$Z$6,0))</f>
        <v>0</v>
      </c>
      <c r="AG13" s="1599">
        <f ca="1">TSS_換券單檔!CN1</f>
        <v>0</v>
      </c>
      <c r="AH13" s="1036">
        <f t="shared" ca="1" si="0"/>
        <v>0</v>
      </c>
      <c r="AI13" s="1037">
        <f ca="1">IF(AH13=0,0,SUM(AH$2:AH13))</f>
        <v>0</v>
      </c>
      <c r="AJ13" s="1597">
        <v>12</v>
      </c>
      <c r="AK13" s="596" t="str">
        <f t="shared" ca="1" si="2"/>
        <v/>
      </c>
      <c r="AL13" t="str">
        <f t="shared" ca="1" si="3"/>
        <v/>
      </c>
      <c r="AM13" t="str">
        <f ca="1">IFERROR(VLOOKUP(AL13,bond!B:C,2,FALSE),"")</f>
        <v/>
      </c>
      <c r="AN13" s="596" t="str">
        <f t="shared" ca="1" si="5"/>
        <v/>
      </c>
      <c r="AO13" s="1607" t="str">
        <f t="shared" ca="1" si="4"/>
        <v/>
      </c>
      <c r="AP13" s="1119"/>
      <c r="AQ13" s="1119" t="e" cm="1">
        <f t="array" aca="1" ref="AQ13" ca="1">INDEX(AA:AA,MATCH(AJ13,AI:AI,0),0)</f>
        <v>#N/A</v>
      </c>
    </row>
    <row r="14" spans="2:43" ht="16" thickBot="1">
      <c r="C14" s="824" t="s">
        <v>1317</v>
      </c>
      <c r="D14" s="1165">
        <f ca="1">VLOOKUP($C$6,TSS_換券單檔!B:E,4,FALSE)</f>
        <v>28.85</v>
      </c>
      <c r="F14" s="829" t="s">
        <v>1317</v>
      </c>
      <c r="G14" s="596" t="e">
        <f ca="1">VLOOKUP($F$6,TSS_換券單檔!B:E,4,FALSE)</f>
        <v>#N/A</v>
      </c>
      <c r="H14" s="596"/>
      <c r="I14" s="596"/>
      <c r="J14" s="596"/>
      <c r="K14" s="958"/>
      <c r="L14" s="596"/>
      <c r="M14" s="596"/>
      <c r="O14" s="179"/>
      <c r="Z14" s="1758">
        <v>1</v>
      </c>
    </row>
    <row r="15" spans="2:43">
      <c r="C15" s="824" t="s">
        <v>3537</v>
      </c>
      <c r="D15" s="596">
        <f>VLOOKUP($C$6,bond!B:X,21,FALSE)</f>
        <v>15.2515</v>
      </c>
      <c r="F15" s="829" t="s">
        <v>3536</v>
      </c>
      <c r="G15" s="596" t="e">
        <f>VLOOKUP($F$6,bond!B:X,21,FALSE)</f>
        <v>#N/A</v>
      </c>
      <c r="H15" s="596"/>
      <c r="I15" s="596"/>
      <c r="J15" s="596"/>
      <c r="K15" s="958"/>
      <c r="L15" s="596"/>
      <c r="M15" s="596"/>
      <c r="O15" s="179"/>
    </row>
    <row r="16" spans="2:43">
      <c r="C16" s="824" t="s">
        <v>3720</v>
      </c>
      <c r="D16" s="825">
        <f>IFERROR(VLOOKUP($C$6,bond!B:J,9,FALSE),"")</f>
        <v>97.67</v>
      </c>
      <c r="F16" s="829" t="s">
        <v>3721</v>
      </c>
      <c r="G16" s="596" t="str">
        <f>IFERROR(VLOOKUP($F$6,bond!B:J,9,FALSE),"")</f>
        <v/>
      </c>
      <c r="H16" s="596"/>
      <c r="I16" s="596"/>
      <c r="J16" s="596"/>
      <c r="K16" s="958"/>
      <c r="L16" s="596"/>
      <c r="M16" s="596"/>
      <c r="O16" s="179"/>
    </row>
    <row r="17" spans="3:21">
      <c r="C17" s="824" t="s">
        <v>3529</v>
      </c>
      <c r="D17" s="1545">
        <f ca="1">D10*D11/100</f>
        <v>96700.6</v>
      </c>
      <c r="F17" s="829" t="s">
        <v>3726</v>
      </c>
      <c r="G17" s="596" t="str">
        <f>IFERROR(VLOOKUP($F$6,bond!B:N,13,FALSE),"")</f>
        <v/>
      </c>
      <c r="H17" s="873"/>
      <c r="I17" s="873"/>
      <c r="J17" s="873"/>
      <c r="K17" s="959"/>
      <c r="L17" s="873"/>
      <c r="M17" s="873"/>
      <c r="O17" s="179"/>
    </row>
    <row r="18" spans="3:21" ht="16" thickBot="1">
      <c r="C18" s="824" t="s">
        <v>3730</v>
      </c>
      <c r="D18">
        <f ca="1">IFERROR(VLOOKUP(C6,TSS_換券單檔!B:G,6,FALSE),"")</f>
        <v>101.87</v>
      </c>
      <c r="F18" s="829" t="s">
        <v>3724</v>
      </c>
      <c r="G18" s="825">
        <f ca="1">IFERROR(G10*G11/100,0)</f>
        <v>0</v>
      </c>
      <c r="H18" s="873"/>
      <c r="I18" s="873"/>
      <c r="J18" s="873"/>
      <c r="K18" s="959"/>
      <c r="L18" s="873"/>
      <c r="M18" s="873"/>
      <c r="N18" s="1126" t="s">
        <v>4066</v>
      </c>
      <c r="O18" s="1127">
        <f>model!A5</f>
        <v>1</v>
      </c>
    </row>
    <row r="19" spans="3:21">
      <c r="C19" s="824" t="s">
        <v>3731</v>
      </c>
      <c r="D19" s="1198"/>
      <c r="F19" s="829" t="s">
        <v>3725</v>
      </c>
      <c r="G19" s="825">
        <f ca="1">IFERROR((G16+G17)/100*G10,0)</f>
        <v>0</v>
      </c>
      <c r="H19" s="873"/>
      <c r="I19" s="873"/>
      <c r="J19" s="873"/>
      <c r="K19" s="959"/>
      <c r="L19" s="873"/>
      <c r="M19" s="873" t="s">
        <v>4075</v>
      </c>
      <c r="N19" t="s">
        <v>4054</v>
      </c>
      <c r="O19" t="s">
        <v>4058</v>
      </c>
      <c r="P19" s="179" t="s">
        <v>3752</v>
      </c>
      <c r="Q19" t="s">
        <v>4055</v>
      </c>
      <c r="R19" t="s">
        <v>4056</v>
      </c>
      <c r="S19" t="s">
        <v>1317</v>
      </c>
      <c r="T19" t="s">
        <v>4057</v>
      </c>
      <c r="U19" s="1026" t="s">
        <v>510</v>
      </c>
    </row>
    <row r="20" spans="3:21">
      <c r="F20" s="831" t="s">
        <v>3525</v>
      </c>
      <c r="G20" s="832" t="e">
        <f ca="1">VLOOKUP(F6,TSS_換券單檔!B:I,8,FALSE)</f>
        <v>#N/A</v>
      </c>
      <c r="H20" s="865"/>
      <c r="I20" s="865"/>
      <c r="J20" s="865"/>
      <c r="K20" s="960"/>
      <c r="L20" s="865"/>
      <c r="M20" s="960">
        <f ca="1">IF(LEN(O20)&gt;0,1,0)</f>
        <v>1</v>
      </c>
      <c r="N20">
        <v>1</v>
      </c>
      <c r="O20" t="str">
        <f ca="1">CHOOSE($O$18,IFERROR(INDEX(TSS_換券單檔!B:B,MATCH($N20,TSS_換券單檔!AA:AA,0),1),""),IFERROR(INDEX(TSS_換券單檔!B:B,MATCH($N20,TSS_換券單檔!AC:AC,0),1),""),IFERROR(INDEX(TSS_換券單檔!B:B,MATCH($N20,TSS_換券單檔!AE:AE,0),1),""))</f>
        <v>XG540</v>
      </c>
      <c r="P20" s="1111">
        <f ca="1">IF(M20=0,0,VLOOKUP(O20,TSS_換券單檔!B:Q,16,FALSE))</f>
        <v>7448.75</v>
      </c>
      <c r="Q20" s="826">
        <f ca="1">IF(M20=0,0,VLOOKUP(O20,TSS_換券單檔!B:P,15,FALSE))</f>
        <v>101000</v>
      </c>
      <c r="R20" s="248">
        <f ca="1">IF(M20=0,0,VLOOKUP(O20,TSS_換券單檔!B:H,7,FALSE))</f>
        <v>8.09E-2</v>
      </c>
      <c r="S20">
        <f ca="1">IF(M20=0,0,VLOOKUP(O20,TSS_換券單檔!B:E,4,FALSE))</f>
        <v>19.21</v>
      </c>
      <c r="T20">
        <f ca="1">IF(M20=0,0,VLOOKUP(O20,TSS_換券單檔!B:Y,24,FALSE))</f>
        <v>8615.153913600001</v>
      </c>
      <c r="U20" t="str">
        <f ca="1">VLOOKUP(O20,'銀行-TSS'!B:W,22,FALSE)</f>
        <v>BB+</v>
      </c>
    </row>
    <row r="21" spans="3:21">
      <c r="C21" s="824" t="s">
        <v>3741</v>
      </c>
      <c r="D21" s="979">
        <f ca="1">D17-G18</f>
        <v>96700.6</v>
      </c>
      <c r="F21" s="833" t="s">
        <v>3526</v>
      </c>
      <c r="G21" s="834" t="e">
        <f ca="1">VLOOKUP(F6,TSS_換券單檔!B:J,9,FALSE)</f>
        <v>#N/A</v>
      </c>
      <c r="H21" s="865"/>
      <c r="I21" s="865"/>
      <c r="J21" s="865"/>
      <c r="K21" s="960"/>
      <c r="L21" s="865"/>
      <c r="M21" s="960">
        <f t="shared" ref="M21:M31" ca="1" si="7">IF(LEN(O21)&gt;0,1,0)</f>
        <v>1</v>
      </c>
      <c r="N21">
        <v>2</v>
      </c>
      <c r="O21" t="str">
        <f ca="1">CHOOSE($O$18,IFERROR(INDEX(TSS_換券單檔!B:B,MATCH($N21,TSS_換券單檔!AA:AA,0),1),""),IFERROR(INDEX(TSS_換券單檔!B:B,MATCH($N21,TSS_換券單檔!AC:AC,0),1),""),IFERROR(INDEX(TSS_換券單檔!B:B,MATCH($N21,TSS_換券單檔!AE:AE,0),1),""))</f>
        <v>XG960</v>
      </c>
      <c r="P21" s="1111">
        <f ca="1">IF(M21=0,0,VLOOKUP(O21,TSS_換券單檔!B:Q,16,FALSE))</f>
        <v>5950</v>
      </c>
      <c r="Q21" s="826">
        <f ca="1">IF(M21=0,0,VLOOKUP(O21,TSS_換券單檔!B:P,15,FALSE))</f>
        <v>136000</v>
      </c>
      <c r="R21" s="248">
        <f ca="1">IF(M21=0,0,VLOOKUP(O21,TSS_換券單檔!B:H,7,FALSE))</f>
        <v>7.3999999999999996E-2</v>
      </c>
      <c r="S21">
        <f ca="1">IF(M21=0,0,VLOOKUP(O21,TSS_換券單檔!B:E,4,FALSE))</f>
        <v>18.7</v>
      </c>
      <c r="T21">
        <f ca="1">IF(M21=0,0,VLOOKUP(O21,TSS_換券單檔!B:Y,24,FALSE))</f>
        <v>9968.9714824000021</v>
      </c>
      <c r="U21" t="str">
        <f ca="1">VLOOKUP(O21,'銀行-TSS'!B:W,22,FALSE)</f>
        <v>BBB-</v>
      </c>
    </row>
    <row r="22" spans="3:21">
      <c r="F22" s="833" t="s">
        <v>3527</v>
      </c>
      <c r="G22" s="834" t="e">
        <f ca="1">G11*G20/100</f>
        <v>#VALUE!</v>
      </c>
      <c r="H22" s="865"/>
      <c r="I22" s="865"/>
      <c r="J22" s="865"/>
      <c r="K22" s="960"/>
      <c r="L22" s="865"/>
      <c r="M22" s="960">
        <f t="shared" ca="1" si="7"/>
        <v>1</v>
      </c>
      <c r="N22">
        <v>3</v>
      </c>
      <c r="O22" t="str">
        <f ca="1">CHOOSE($O$18,IFERROR(INDEX(TSS_換券單檔!B:B,MATCH($N22,TSS_換券單檔!AA:AA,0),1),""),IFERROR(INDEX(TSS_換券單檔!B:B,MATCH($N22,TSS_換券單檔!AC:AC,0),1),""),IFERROR(INDEX(TSS_換券單檔!B:B,MATCH($N22,TSS_換券單檔!AE:AE,0),1),""))</f>
        <v>XG480</v>
      </c>
      <c r="P22" s="1111">
        <f ca="1">IF(M22=0,0,VLOOKUP(O22,TSS_換券單檔!B:Q,16,FALSE))</f>
        <v>5766.0000000000009</v>
      </c>
      <c r="Q22" s="826">
        <f ca="1">IF(M22=0,0,VLOOKUP(O22,TSS_換券單檔!B:P,15,FALSE))</f>
        <v>124000</v>
      </c>
      <c r="R22" s="248">
        <f ca="1">IF(M22=0,0,VLOOKUP(O22,TSS_換券單檔!B:H,7,FALSE))</f>
        <v>6.4600000000000005E-2</v>
      </c>
      <c r="S22">
        <f ca="1">IF(M22=0,0,VLOOKUP(O22,TSS_換券單檔!B:E,4,FALSE))</f>
        <v>25.87</v>
      </c>
      <c r="T22">
        <f ca="1">IF(M22=0,0,VLOOKUP(O22,TSS_換券單檔!B:Y,24,FALSE))</f>
        <v>11979.187251200001</v>
      </c>
      <c r="U22" t="str">
        <f ca="1">VLOOKUP(O22,'銀行-TSS'!B:W,22,FALSE)</f>
        <v>BBB-</v>
      </c>
    </row>
    <row r="23" spans="3:21">
      <c r="C23" s="824" t="s">
        <v>3742</v>
      </c>
      <c r="D23">
        <f ca="1">VLOOKUP(D13,'1_重設數據'!F1:G8,2,FALSE)</f>
        <v>32.481000000000002</v>
      </c>
      <c r="F23" s="835" t="s">
        <v>3528</v>
      </c>
      <c r="G23" s="836" t="e">
        <f ca="1">G21*G11/100</f>
        <v>#N/A</v>
      </c>
      <c r="H23" s="865"/>
      <c r="I23" s="865"/>
      <c r="J23" s="865"/>
      <c r="K23" s="960"/>
      <c r="L23" s="865"/>
      <c r="M23" s="960">
        <f t="shared" ca="1" si="7"/>
        <v>1</v>
      </c>
      <c r="N23">
        <v>4</v>
      </c>
      <c r="O23" t="str">
        <f ca="1">CHOOSE($O$18,IFERROR(INDEX(TSS_換券單檔!B:B,MATCH($N23,TSS_換券單檔!AA:AA,0),1),""),IFERROR(INDEX(TSS_換券單檔!B:B,MATCH($N23,TSS_換券單檔!AC:AC,0),1),""),IFERROR(INDEX(TSS_換券單檔!B:B,MATCH($N23,TSS_換券單檔!AE:AE,0),1),""))</f>
        <v>XG760</v>
      </c>
      <c r="P23" s="1111">
        <f ca="1">IF(M23=0,0,VLOOKUP(O23,TSS_換券單檔!B:Q,16,FALSE))</f>
        <v>5863.05</v>
      </c>
      <c r="Q23" s="826">
        <f ca="1">IF(M23=0,0,VLOOKUP(O23,TSS_換券單檔!B:P,15,FALSE))</f>
        <v>101000</v>
      </c>
      <c r="R23" s="248">
        <f ca="1">IF(M23=0,0,VLOOKUP(O23,TSS_換券單檔!B:H,7,FALSE))</f>
        <v>6.2300000000000001E-2</v>
      </c>
      <c r="S23">
        <f ca="1">IF(M23=0,0,VLOOKUP(O23,TSS_換券單檔!B:E,4,FALSE))</f>
        <v>25.83</v>
      </c>
      <c r="T23">
        <f ca="1">IF(M23=0,0,VLOOKUP(O23,TSS_換券單檔!B:Y,24,FALSE))</f>
        <v>11660.721164800001</v>
      </c>
      <c r="U23" t="str">
        <f ca="1">VLOOKUP(O23,'銀行-TSS'!B:W,22,FALSE)</f>
        <v>BBB-</v>
      </c>
    </row>
    <row r="24" spans="3:21">
      <c r="F24" s="939" t="s">
        <v>3767</v>
      </c>
      <c r="G24" t="str">
        <f ca="1">IFERROR(VLOOKUP(G3,TSS_換券單檔!B:L,11,FALSE),"")</f>
        <v/>
      </c>
      <c r="M24" s="960">
        <f t="shared" ca="1" si="7"/>
        <v>1</v>
      </c>
      <c r="N24">
        <v>5</v>
      </c>
      <c r="O24" t="str">
        <f ca="1">CHOOSE($O$18,IFERROR(INDEX(TSS_換券單檔!B:B,MATCH($N24,TSS_換券單檔!AA:AA,0),1),""),IFERROR(INDEX(TSS_換券單檔!B:B,MATCH($N24,TSS_換券單檔!AC:AC,0),1),""),IFERROR(INDEX(TSS_換券單檔!B:B,MATCH($N24,TSS_換券單檔!AE:AE,0),1),""))</f>
        <v>XFY70</v>
      </c>
      <c r="P24" s="1111">
        <f ca="1">IF(M24=0,0,VLOOKUP(O24,TSS_換券單檔!B:Q,16,FALSE))</f>
        <v>5550</v>
      </c>
      <c r="Q24" s="826">
        <f ca="1">IF(M24=0,0,VLOOKUP(O24,TSS_換券單檔!B:P,15,FALSE))</f>
        <v>111000</v>
      </c>
      <c r="R24" s="248">
        <f ca="1">IF(M24=0,0,VLOOKUP(O24,TSS_換券單檔!B:H,7,FALSE))</f>
        <v>6.3799999999999996E-2</v>
      </c>
      <c r="S24">
        <f ca="1">IF(M24=0,0,VLOOKUP(O24,TSS_換券單檔!B:E,4,FALSE))</f>
        <v>19.54</v>
      </c>
      <c r="T24">
        <f ca="1">IF(M24=0,0,VLOOKUP(O24,TSS_換券單檔!B:Y,24,FALSE))</f>
        <v>10184.4661392</v>
      </c>
      <c r="U24" t="str">
        <f ca="1">VLOOKUP(O24,'銀行-TSS'!B:W,22,FALSE)</f>
        <v>BB+</v>
      </c>
    </row>
    <row r="25" spans="3:21">
      <c r="M25" s="960">
        <f t="shared" ca="1" si="7"/>
        <v>1</v>
      </c>
      <c r="N25">
        <v>6</v>
      </c>
      <c r="O25" t="str">
        <f ca="1">CHOOSE($O$18,IFERROR(INDEX(TSS_換券單檔!B:B,MATCH($N25,TSS_換券單檔!AA:AA,0),1),""),IFERROR(INDEX(TSS_換券單檔!B:B,MATCH($N25,TSS_換券單檔!AC:AC,0),1),""),IFERROR(INDEX(TSS_換券單檔!B:B,MATCH($N25,TSS_換券單檔!AE:AE,0),1),""))</f>
        <v>XH250</v>
      </c>
      <c r="P25" s="1111">
        <f ca="1">IF(M25=0,0,VLOOKUP(O25,TSS_換券單檔!B:Q,16,FALSE))</f>
        <v>5400</v>
      </c>
      <c r="Q25" s="826">
        <f ca="1">IF(M25=0,0,VLOOKUP(O25,TSS_換券單檔!B:P,15,FALSE))</f>
        <v>135000</v>
      </c>
      <c r="R25" s="248">
        <f ca="1">IF(M25=0,0,VLOOKUP(O25,TSS_換券單檔!B:H,7,FALSE))</f>
        <v>6.2300000000000001E-2</v>
      </c>
      <c r="S25">
        <f ca="1">IF(M25=0,0,VLOOKUP(O25,TSS_換券單檔!B:E,4,FALSE))</f>
        <v>25.97</v>
      </c>
      <c r="T25">
        <f ca="1">IF(M25=0,0,VLOOKUP(O25,TSS_換券單檔!B:Y,24,FALSE))</f>
        <v>12698.847656999998</v>
      </c>
      <c r="U25" t="str">
        <f ca="1">VLOOKUP(O25,'銀行-TSS'!B:W,22,FALSE)</f>
        <v>BBB</v>
      </c>
    </row>
    <row r="26" spans="3:21">
      <c r="F26" s="939"/>
      <c r="M26" s="960">
        <f t="shared" ca="1" si="7"/>
        <v>1</v>
      </c>
      <c r="N26">
        <v>7</v>
      </c>
      <c r="O26" t="str">
        <f ca="1">CHOOSE($O$18,IFERROR(INDEX(TSS_換券單檔!B:B,MATCH($N26,TSS_換券單檔!AA:AA,0),1),""),IFERROR(INDEX(TSS_換券單檔!B:B,MATCH($N26,TSS_換券單檔!AC:AC,0),1),""),IFERROR(INDEX(TSS_換券單檔!B:B,MATCH($N26,TSS_換券單檔!AE:AE,0),1),""))</f>
        <v>XG230</v>
      </c>
      <c r="P26" s="1111">
        <f ca="1">IF(M26=0,0,VLOOKUP(O26,TSS_換券單檔!B:Q,16,FALSE))</f>
        <v>5329.9999999999991</v>
      </c>
      <c r="Q26" s="826">
        <f ca="1">IF(M26=0,0,VLOOKUP(O26,TSS_換券單檔!B:P,15,FALSE))</f>
        <v>130000</v>
      </c>
      <c r="R26" s="248">
        <f ca="1">IF(M26=0,0,VLOOKUP(O26,TSS_換券單檔!B:H,7,FALSE))</f>
        <v>6.1899999999999997E-2</v>
      </c>
      <c r="S26">
        <f ca="1">IF(M26=0,0,VLOOKUP(O26,TSS_換券單檔!B:E,4,FALSE))</f>
        <v>25.79</v>
      </c>
      <c r="T26">
        <f ca="1">IF(M26=0,0,VLOOKUP(O26,TSS_換券單檔!B:Y,24,FALSE))</f>
        <v>12301.654794000002</v>
      </c>
      <c r="U26" t="str">
        <f ca="1">VLOOKUP(O26,'銀行-TSS'!B:W,22,FALSE)</f>
        <v>BBB-</v>
      </c>
    </row>
    <row r="27" spans="3:21" ht="16" thickBot="1">
      <c r="C27" t="s">
        <v>3530</v>
      </c>
      <c r="F27" s="1652" t="s">
        <v>4422</v>
      </c>
      <c r="G27" t="s">
        <v>4423</v>
      </c>
      <c r="J27" s="939" t="s">
        <v>4422</v>
      </c>
      <c r="M27" s="960">
        <f t="shared" ca="1" si="7"/>
        <v>1</v>
      </c>
      <c r="N27">
        <v>8</v>
      </c>
      <c r="O27" t="str">
        <f ca="1">CHOOSE($O$18,IFERROR(INDEX(TSS_換券單檔!B:B,MATCH($N27,TSS_換券單檔!AA:AA,0),1),""),IFERROR(INDEX(TSS_換券單檔!B:B,MATCH($N27,TSS_換券單檔!AC:AC,0),1),""),IFERROR(INDEX(TSS_換券單檔!B:B,MATCH($N27,TSS_換券單檔!AE:AE,0),1),""))</f>
        <v>XH930</v>
      </c>
      <c r="P27" s="1111">
        <f ca="1">IF(M27=0,0,VLOOKUP(O27,TSS_換券單檔!B:Q,16,FALSE))</f>
        <v>5226</v>
      </c>
      <c r="Q27" s="826">
        <f ca="1">IF(M27=0,0,VLOOKUP(O27,TSS_換券單檔!B:P,15,FALSE))</f>
        <v>134000</v>
      </c>
      <c r="R27" s="248">
        <f ca="1">IF(M27=0,0,VLOOKUP(O27,TSS_換券單檔!B:H,7,FALSE))</f>
        <v>6.1499999999999999E-2</v>
      </c>
      <c r="S27">
        <f ca="1">IF(M27=0,0,VLOOKUP(O27,TSS_換券單檔!B:E,4,FALSE))</f>
        <v>24.83</v>
      </c>
      <c r="T27">
        <f ca="1">IF(M27=0,0,VLOOKUP(O27,TSS_換券單檔!B:Y,24,FALSE))</f>
        <v>12425.669919999998</v>
      </c>
      <c r="U27" t="str">
        <f ca="1">VLOOKUP(O27,'銀行-TSS'!B:W,22,FALSE)</f>
        <v>BBB-</v>
      </c>
    </row>
    <row r="28" spans="3:21">
      <c r="D28" t="str">
        <f>C6</f>
        <v>XH430</v>
      </c>
      <c r="E28">
        <f>G3</f>
        <v>0</v>
      </c>
      <c r="F28" s="1632" t="s">
        <v>3718</v>
      </c>
      <c r="G28" s="1028" t="s">
        <v>4053</v>
      </c>
      <c r="H28" t="s">
        <v>4060</v>
      </c>
      <c r="I28" t="s">
        <v>4431</v>
      </c>
      <c r="J28" s="596" t="s">
        <v>3718</v>
      </c>
      <c r="M28" s="960">
        <f t="shared" ca="1" si="7"/>
        <v>1</v>
      </c>
      <c r="N28">
        <v>9</v>
      </c>
      <c r="O28" t="str">
        <f ca="1">CHOOSE($O$18,IFERROR(INDEX(TSS_換券單檔!B:B,MATCH($N28,TSS_換券單檔!AA:AA,0),1),""),IFERROR(INDEX(TSS_換券單檔!B:B,MATCH($N28,TSS_換券單檔!AC:AC,0),1),""),IFERROR(INDEX(TSS_換券單檔!B:B,MATCH($N28,TSS_換券單檔!AE:AE,0),1),""))</f>
        <v>XFX80</v>
      </c>
      <c r="P28" s="1111">
        <f ca="1">IF(M28=0,0,VLOOKUP(O28,TSS_換券單檔!B:Q,16,FALSE))</f>
        <v>5406</v>
      </c>
      <c r="Q28" s="826">
        <f ca="1">IF(M28=0,0,VLOOKUP(O28,TSS_換券單檔!B:P,15,FALSE))</f>
        <v>106000</v>
      </c>
      <c r="R28" s="248">
        <f ca="1">IF(M28=0,0,VLOOKUP(O28,TSS_換券單檔!B:H,7,FALSE))</f>
        <v>5.9900000000000002E-2</v>
      </c>
      <c r="S28">
        <f ca="1">IF(M28=0,0,VLOOKUP(O28,TSS_換券單檔!B:E,4,FALSE))</f>
        <v>19.87</v>
      </c>
      <c r="T28">
        <f ca="1">IF(M28=0,0,VLOOKUP(O28,TSS_換券單檔!B:Y,24,FALSE))</f>
        <v>10784.197270600002</v>
      </c>
      <c r="U28" t="str">
        <f ca="1">VLOOKUP(O28,'銀行-TSS'!B:W,22,FALSE)</f>
        <v>BBB</v>
      </c>
    </row>
    <row r="29" spans="3:21">
      <c r="C29" t="s">
        <v>3531</v>
      </c>
      <c r="D29" s="827">
        <f ca="1">IFERROR(IF(OR($D$3=0,$D$4=0),0,D7*D10),0)</f>
        <v>4849.9999999999991</v>
      </c>
      <c r="E29" s="827">
        <f ca="1">IFERROR(IF($D$4=0,0,G7*G10),0)</f>
        <v>0</v>
      </c>
      <c r="F29" s="1112">
        <f ca="1">MAX(1,G29)</f>
        <v>7448.75</v>
      </c>
      <c r="G29" s="1113">
        <f ca="1">MAX(D29,E29,MAX(P58:P93))</f>
        <v>7448.75</v>
      </c>
      <c r="H29" s="1112" t="str">
        <f ca="1">IF($D$1="TWD",TEXT(G29*$D$23,"#,##0"),TEXT(G29,"#,##0.00"))</f>
        <v>7,448.75</v>
      </c>
      <c r="I29" t="str">
        <f ca="1">IF($D$4=0,"-",IFERROR(INDEX(TSS_換券單檔!B:B,MATCH(G29,TSS_換券單檔!S:S,0),0),IF(D29&gt;E29,$D$28,$E$28)))</f>
        <v>XG540</v>
      </c>
      <c r="J29" s="825">
        <f ca="1">IFERROR(IF($D$4=0,1,MAX(1,MAX(單換_年領利息))),1)</f>
        <v>7448.75</v>
      </c>
      <c r="M29" s="960">
        <f t="shared" ca="1" si="7"/>
        <v>1</v>
      </c>
      <c r="N29">
        <v>10</v>
      </c>
      <c r="O29" t="str">
        <f ca="1">CHOOSE($O$18,IFERROR(INDEX(TSS_換券單檔!B:B,MATCH($N29,TSS_換券單檔!AA:AA,0),1),""),IFERROR(INDEX(TSS_換券單檔!B:B,MATCH($N29,TSS_換券單檔!AC:AC,0),1),""),IFERROR(INDEX(TSS_換券單檔!B:B,MATCH($N29,TSS_換券單檔!AE:AE,0),1),""))</f>
        <v>XG520</v>
      </c>
      <c r="P29" s="1111">
        <f ca="1">IF(M29=0,0,VLOOKUP(O29,TSS_換券單檔!B:Q,16,FALSE))</f>
        <v>5272.5</v>
      </c>
      <c r="Q29" s="826">
        <f ca="1">IF(M29=0,0,VLOOKUP(O29,TSS_換券單檔!B:P,15,FALSE))</f>
        <v>111000</v>
      </c>
      <c r="R29" s="248">
        <f ca="1">IF(M29=0,0,VLOOKUP(O29,TSS_換券單檔!B:H,7,FALSE))</f>
        <v>6.1499999999999999E-2</v>
      </c>
      <c r="S29">
        <f ca="1">IF(M29=0,0,VLOOKUP(O29,TSS_換券單檔!B:E,4,FALSE))</f>
        <v>18.54</v>
      </c>
      <c r="T29">
        <f ca="1">IF(M29=0,0,VLOOKUP(O29,TSS_換券單檔!B:Y,24,FALSE))</f>
        <v>10129.114079999999</v>
      </c>
      <c r="U29" t="str">
        <f ca="1">VLOOKUP(O29,'銀行-TSS'!B:W,22,FALSE)</f>
        <v>BBB-</v>
      </c>
    </row>
    <row r="30" spans="3:21">
      <c r="C30" t="s">
        <v>3532</v>
      </c>
      <c r="D30" s="830">
        <f ca="1">IFERROR(IF(OR($D$3=0,$D$4=0),0,D10),0)</f>
        <v>100000</v>
      </c>
      <c r="E30" s="830">
        <f ca="1">IFERROR(IF($D$4=0,0,G10),0)</f>
        <v>0</v>
      </c>
      <c r="F30" s="826">
        <f ca="1">MAX(1,G30)</f>
        <v>168300</v>
      </c>
      <c r="G30" s="1509">
        <f ca="1">MAX(D30,E30,MAX(Q58:Q93))</f>
        <v>168300</v>
      </c>
      <c r="H30" s="1119">
        <f ca="1">G30</f>
        <v>168300</v>
      </c>
      <c r="I30" t="str">
        <f ca="1">IF($D$4=0,"-",IFERROR(INDEX(TSS_換券單檔!$B:$B,MATCH(G30,TSS_換券單檔!R:R,0),0),IF(D30&gt;E30,$D$28,$E$28)))</f>
        <v>XG340</v>
      </c>
      <c r="J30" s="826">
        <f ca="1">IFERROR(IF($D$4=0,1,MAX(D30,MAX(單換_可申購面額))),1)</f>
        <v>168300</v>
      </c>
      <c r="M30" s="960">
        <f t="shared" ca="1" si="7"/>
        <v>1</v>
      </c>
      <c r="N30">
        <v>11</v>
      </c>
      <c r="O30" t="str">
        <f ca="1">CHOOSE($O$18,IFERROR(INDEX(TSS_換券單檔!B:B,MATCH($N30,TSS_換券單檔!AA:AA,0),1),""),IFERROR(INDEX(TSS_換券單檔!B:B,MATCH($N30,TSS_換券單檔!AC:AC,0),1),""),IFERROR(INDEX(TSS_換券單檔!B:B,MATCH($N30,TSS_換券單檔!AE:AE,0),1),""))</f>
        <v>XFW10</v>
      </c>
      <c r="P30" s="1111">
        <f ca="1">IF(M30=0,0,VLOOKUP(O30,TSS_換券單檔!B:Q,16,FALSE))</f>
        <v>5302.5</v>
      </c>
      <c r="Q30" s="826">
        <f ca="1">IF(M30=0,0,VLOOKUP(O30,TSS_換券單檔!B:P,15,FALSE))</f>
        <v>105000</v>
      </c>
      <c r="R30" s="248">
        <f ca="1">IF(M30=0,0,VLOOKUP(O30,TSS_換券單檔!B:H,7,FALSE))</f>
        <v>5.8099999999999999E-2</v>
      </c>
      <c r="S30">
        <f ca="1">IF(M30=0,0,VLOOKUP(O30,TSS_換券單檔!B:E,4,FALSE))</f>
        <v>23.73</v>
      </c>
      <c r="T30">
        <f ca="1">IF(M30=0,0,VLOOKUP(O30,TSS_換券單檔!B:Y,24,FALSE))</f>
        <v>11702.303613000002</v>
      </c>
      <c r="U30" t="str">
        <f ca="1">VLOOKUP(O30,'銀行-TSS'!B:W,22,FALSE)</f>
        <v>BBB</v>
      </c>
    </row>
    <row r="31" spans="3:21">
      <c r="C31" t="s">
        <v>3533</v>
      </c>
      <c r="D31" s="838">
        <f ca="1">IFERROR(IF(OR($D$3=0,$D$4=0),0,D9),0)</f>
        <v>5.0274453752479784E-2</v>
      </c>
      <c r="E31" s="838">
        <f ca="1">IFERROR(IF($D$4=0,0,G9),0)</f>
        <v>0</v>
      </c>
      <c r="F31" s="248">
        <f ca="1">MAX(0.001,G31)</f>
        <v>8.09E-2</v>
      </c>
      <c r="G31" s="1114">
        <f ca="1">MAX(D31,E31,MAX(R58:R93))</f>
        <v>8.09E-2</v>
      </c>
      <c r="H31" s="1118">
        <f ca="1">G31</f>
        <v>8.09E-2</v>
      </c>
      <c r="I31" t="str">
        <f ca="1">IF(D4=0,"-",IFERROR(INDEX(TSS_換券單檔!$B:$B,MATCH(G31,TSS_換券單檔!U:U,0),0),IF(D31&gt;E31,$D$28,$E$28)))</f>
        <v>XG540</v>
      </c>
      <c r="J31" s="248">
        <f ca="1">IFERROR(IF($D$4=0,0.001,MAX(D31,MAX(單換_殖利率))),0.001)</f>
        <v>8.09E-2</v>
      </c>
      <c r="M31" s="960">
        <f t="shared" ca="1" si="7"/>
        <v>1</v>
      </c>
      <c r="N31">
        <v>12</v>
      </c>
      <c r="O31" t="str">
        <f ca="1">CHOOSE($O$18,IFERROR(INDEX(TSS_換券單檔!B:B,MATCH($N31,TSS_換券單檔!AA:AA,0),1),""),IFERROR(INDEX(TSS_換券單檔!B:B,MATCH($N31,TSS_換券單檔!AC:AC,0),1),""),IFERROR(INDEX(TSS_換券單檔!B:B,MATCH($N31,TSS_換券單檔!AE:AE,0),1),""))</f>
        <v>XG500</v>
      </c>
      <c r="P31" s="1111">
        <f ca="1">IF(M31=0,0,VLOOKUP(O31,TSS_換券單檔!B:Q,16,FALSE))</f>
        <v>5115</v>
      </c>
      <c r="Q31" s="826">
        <f ca="1">IF(M31=0,0,VLOOKUP(O31,TSS_換券單檔!B:P,15,FALSE))</f>
        <v>124000</v>
      </c>
      <c r="R31" s="248">
        <f ca="1">IF(M31=0,0,VLOOKUP(O31,TSS_換券單檔!B:H,7,FALSE))</f>
        <v>5.7599999999999998E-2</v>
      </c>
      <c r="S31">
        <f ca="1">IF(M31=0,0,VLOOKUP(O31,TSS_換券單檔!B:E,4,FALSE))</f>
        <v>26.95</v>
      </c>
      <c r="T31">
        <f ca="1">IF(M31=0,0,VLOOKUP(O31,TSS_換券單檔!B:Y,24,FALSE))</f>
        <v>13211.2782336</v>
      </c>
      <c r="U31" t="str">
        <f ca="1">VLOOKUP(O31,'銀行-TSS'!B:W,22,FALSE)</f>
        <v>BBB</v>
      </c>
    </row>
    <row r="32" spans="3:21">
      <c r="C32" t="s">
        <v>207</v>
      </c>
      <c r="D32">
        <f ca="1">IFERROR(IF(OR($D$3=0,$D$4=0),0,D14),0)</f>
        <v>28.85</v>
      </c>
      <c r="E32">
        <f ca="1">IFERROR(IF($D$4=0,0,G14),0)</f>
        <v>0</v>
      </c>
      <c r="F32" s="1112">
        <f ca="1">MAX(1,G32)</f>
        <v>36.119999999999997</v>
      </c>
      <c r="G32" s="1029">
        <f ca="1">MAX(D32,E32,MAX(S58:S93))</f>
        <v>36.119999999999997</v>
      </c>
      <c r="H32" s="1112" t="str">
        <f ca="1">CONCATENATE(G32,"年")</f>
        <v>36.12年</v>
      </c>
      <c r="I32" t="str">
        <f ca="1">IF(D4=0,"-",IFERROR(INDEX(TSS_換券單檔!$B:$B,MATCH(G32,TSS_換券單檔!T:T,0),0),IF(D32&gt;E32,$D$28,$E$28)))</f>
        <v>XG300</v>
      </c>
      <c r="J32">
        <f ca="1">IFERROR(IF($D$4=0,1,MAX(D32,MAX(單換_剩餘年期))),1)</f>
        <v>36.119999999999997</v>
      </c>
      <c r="O32" s="179"/>
    </row>
    <row r="33" spans="3:21" ht="27" thickBot="1">
      <c r="C33" s="837" t="s">
        <v>3534</v>
      </c>
      <c r="D33" s="839">
        <f ca="1">IFERROR(IF(OR($D$3=0,$D$4=0),0,ROUND(D15*1%*(D10*D16/100),2)),0)</f>
        <v>14896.14</v>
      </c>
      <c r="E33" s="825">
        <f ca="1">IFERROR(IF($D$4=0,0,ROUND(G15*1%*(G10*G16/100),2)),0)</f>
        <v>0</v>
      </c>
      <c r="F33" s="1112">
        <f ca="1">MAX(1,G33)</f>
        <v>17897.530112</v>
      </c>
      <c r="G33" s="1544">
        <f ca="1">MAX(D33,E33,MAX(T58:T93))</f>
        <v>17897.530112</v>
      </c>
      <c r="H33" s="1112" t="str">
        <f ca="1">IF($D$1="TWD",TEXT(G33*$D$23,"#,##0"),TEXT(G33,"#,##0.00"))</f>
        <v>17,897.53</v>
      </c>
      <c r="I33" t="str">
        <f ca="1">IF(D4=0,"-",IFERROR(INDEX(TSS_換券單檔!$B:$B,MATCH(G33,TSS_換券單檔!Y:Y,0),0),IF(D33&gt;E33,$D$28,$E$28)))</f>
        <v>XG300</v>
      </c>
      <c r="J33" s="1112">
        <f ca="1">IFERROR(IF(D4=0,1,MAX(D33,MAX(單換_增值潛力))),1)</f>
        <v>17897.530112</v>
      </c>
      <c r="O33" s="179"/>
    </row>
    <row r="34" spans="3:21">
      <c r="C34" t="s">
        <v>3538</v>
      </c>
      <c r="N34" t="s">
        <v>4133</v>
      </c>
      <c r="O34" t="s">
        <v>3554</v>
      </c>
      <c r="P34" s="179" t="s">
        <v>3752</v>
      </c>
      <c r="Q34" t="s">
        <v>4055</v>
      </c>
      <c r="R34" t="s">
        <v>4056</v>
      </c>
      <c r="S34" t="s">
        <v>1317</v>
      </c>
      <c r="T34" t="s">
        <v>3729</v>
      </c>
      <c r="U34" s="1026" t="s">
        <v>510</v>
      </c>
    </row>
    <row r="35" spans="3:21">
      <c r="C35" t="s">
        <v>3540</v>
      </c>
      <c r="D35" s="1115">
        <f ca="1">IF(OR($D$3=0,$D$4=0),0,'Tssco-bond portfolio(2)'!AF1)</f>
        <v>3</v>
      </c>
      <c r="E35" s="1115">
        <f ca="1">IF(OR($D$4=0,E28=0),0,Change單!AA1)</f>
        <v>0</v>
      </c>
      <c r="F35">
        <f ca="1">IFERROR(IF($D$4=0,1,MIN(11,MAX(D36,E36))),1)</f>
        <v>4</v>
      </c>
      <c r="H35" t="str">
        <f ca="1">INDEX(TSS_換券單檔!$B:$B,MATCH(G31,TSS_換券單檔!U:U,0),0)</f>
        <v>XG540</v>
      </c>
      <c r="N35">
        <v>1</v>
      </c>
      <c r="O35">
        <f t="shared" ref="O35:O40" si="8">R8</f>
        <v>0</v>
      </c>
      <c r="P35" s="1111" t="e">
        <f ca="1">VLOOKUP(O35,TSS_換券單檔!B:Q,16,FALSE)</f>
        <v>#N/A</v>
      </c>
      <c r="Q35" s="826" t="e">
        <f ca="1">VLOOKUP(O35,TSS_換券單檔!B:P,15,FALSE)</f>
        <v>#N/A</v>
      </c>
      <c r="R35" s="248" t="e">
        <f ca="1">VLOOKUP(O35,TSS_換券單檔!B:H,7,FALSE)</f>
        <v>#N/A</v>
      </c>
      <c r="S35">
        <f ca="1">VLOOKUP(O20,TSS_換券單檔!B:E,4,FALSE)</f>
        <v>19.21</v>
      </c>
      <c r="T35">
        <f ca="1">IFERROR(VLOOKUP(O35,TSS_換券單檔!B:W,22,FALSE)/100*VLOOKUP(O35,TSS_換券單檔!B:P,15,FALSE)*VLOOKUP(O35,TSS_換券單檔!B:X,23,FALSE)*1%,0)</f>
        <v>0</v>
      </c>
      <c r="U35" t="e">
        <f ca="1">VLOOKUP(O35,'銀行-TSS'!B:W,22,FALSE)</f>
        <v>#N/A</v>
      </c>
    </row>
    <row r="36" spans="3:21">
      <c r="C36" t="s">
        <v>3541</v>
      </c>
      <c r="D36">
        <f ca="1">IF(OR($D$3=0,$D$4=0),0,'Tssco-bond portfolio(2)'!AE1)</f>
        <v>4</v>
      </c>
      <c r="E36">
        <f ca="1">IF(OR($D$4=0,E28=0),0,Change單!Z1)</f>
        <v>0</v>
      </c>
      <c r="N36">
        <v>2</v>
      </c>
      <c r="O36">
        <f t="shared" si="8"/>
        <v>0</v>
      </c>
      <c r="P36" s="1111" t="e">
        <f ca="1">VLOOKUP(O36,TSS_換券單檔!B:Q,16,FALSE)</f>
        <v>#N/A</v>
      </c>
      <c r="Q36" s="826" t="e">
        <f ca="1">VLOOKUP(O36,TSS_換券單檔!B:P,15,FALSE)</f>
        <v>#N/A</v>
      </c>
      <c r="R36" s="248" t="e">
        <f ca="1">VLOOKUP(O36,TSS_換券單檔!B:H,7,FALSE)</f>
        <v>#N/A</v>
      </c>
      <c r="S36">
        <f ca="1">VLOOKUP(O21,TSS_換券單檔!B:E,4,FALSE)</f>
        <v>18.7</v>
      </c>
      <c r="T36">
        <f ca="1">IFERROR(VLOOKUP(O36,TSS_換券單檔!B:W,22,FALSE)/100*VLOOKUP(O36,TSS_換券單檔!B:P,15,FALSE)*VLOOKUP(O36,TSS_換券單檔!B:X,23,FALSE)*1%,0)</f>
        <v>0</v>
      </c>
      <c r="U36" t="e">
        <f ca="1">VLOOKUP(O36,'銀行-TSS'!B:W,22,FALSE)</f>
        <v>#N/A</v>
      </c>
    </row>
    <row r="37" spans="3:21" ht="16.5" customHeight="1">
      <c r="D37" s="1100" t="str">
        <f ca="1">CONCATENATE(TEXT(D35,"#0"),"種產業")</f>
        <v>3種產業</v>
      </c>
      <c r="E37" s="947" t="str">
        <f ca="1">IF(OR($D$4=0,E28=0),"-",CONCATENATE(TEXT(E35,"#0"),"種產業"))</f>
        <v>-</v>
      </c>
      <c r="N37">
        <v>3</v>
      </c>
      <c r="O37">
        <f t="shared" si="8"/>
        <v>0</v>
      </c>
      <c r="P37" s="1111" t="e">
        <f ca="1">VLOOKUP(O37,TSS_換券單檔!B:Q,16,FALSE)</f>
        <v>#N/A</v>
      </c>
      <c r="Q37" s="826" t="e">
        <f ca="1">VLOOKUP(O37,TSS_換券單檔!B:P,15,FALSE)</f>
        <v>#N/A</v>
      </c>
      <c r="R37" s="248" t="e">
        <f ca="1">VLOOKUP(O37,TSS_換券單檔!B:H,7,FALSE)</f>
        <v>#N/A</v>
      </c>
      <c r="S37">
        <f ca="1">VLOOKUP(O22,TSS_換券單檔!B:E,4,FALSE)</f>
        <v>25.87</v>
      </c>
      <c r="T37">
        <f ca="1">IFERROR(VLOOKUP(O37,TSS_換券單檔!B:W,22,FALSE)/100*VLOOKUP(O37,TSS_換券單檔!B:P,15,FALSE)*VLOOKUP(O37,TSS_換券單檔!B:X,23,FALSE)*1%,0)</f>
        <v>0</v>
      </c>
      <c r="U37" t="e">
        <f ca="1">VLOOKUP(O37,'銀行-TSS'!B:W,22,FALSE)</f>
        <v>#N/A</v>
      </c>
    </row>
    <row r="38" spans="3:21" ht="16.5" customHeight="1">
      <c r="D38" s="1103"/>
      <c r="E38" s="947"/>
      <c r="N38">
        <v>4</v>
      </c>
      <c r="O38">
        <f t="shared" si="8"/>
        <v>0</v>
      </c>
      <c r="P38" s="1111" t="e">
        <f ca="1">VLOOKUP(O38,TSS_換券單檔!B:Q,16,FALSE)</f>
        <v>#N/A</v>
      </c>
      <c r="Q38" s="826" t="e">
        <f ca="1">VLOOKUP(O38,TSS_換券單檔!B:P,15,FALSE)</f>
        <v>#N/A</v>
      </c>
      <c r="R38" s="248" t="e">
        <f ca="1">VLOOKUP(O38,TSS_換券單檔!B:H,7,FALSE)</f>
        <v>#N/A</v>
      </c>
      <c r="S38">
        <f ca="1">VLOOKUP(O23,TSS_換券單檔!B:E,4,FALSE)</f>
        <v>25.83</v>
      </c>
      <c r="T38">
        <f ca="1">IFERROR(VLOOKUP(O38,TSS_換券單檔!B:W,22,FALSE)/100*VLOOKUP(O38,TSS_換券單檔!B:P,15,FALSE)*VLOOKUP(O38,TSS_換券單檔!B:X,23,FALSE)*1%,0)</f>
        <v>0</v>
      </c>
      <c r="U38" t="e">
        <f ca="1">VLOOKUP(O38,'銀行-TSS'!B:W,22,FALSE)</f>
        <v>#N/A</v>
      </c>
    </row>
    <row r="39" spans="3:21" ht="16.5" customHeight="1">
      <c r="C39" t="s">
        <v>4059</v>
      </c>
      <c r="D39" s="1103"/>
      <c r="E39" s="947"/>
      <c r="N39">
        <v>5</v>
      </c>
      <c r="O39">
        <f t="shared" si="8"/>
        <v>0</v>
      </c>
      <c r="P39" s="1111" t="e">
        <f ca="1">VLOOKUP(O39,TSS_換券單檔!B:Q,16,FALSE)</f>
        <v>#N/A</v>
      </c>
      <c r="Q39" s="826" t="e">
        <f ca="1">VLOOKUP(O39,TSS_換券單檔!B:P,15,FALSE)</f>
        <v>#N/A</v>
      </c>
      <c r="R39" s="248" t="e">
        <f ca="1">VLOOKUP(O39,TSS_換券單檔!B:H,7,FALSE)</f>
        <v>#N/A</v>
      </c>
      <c r="S39">
        <f ca="1">VLOOKUP(O24,TSS_換券單檔!B:E,4,FALSE)</f>
        <v>19.54</v>
      </c>
      <c r="T39">
        <f ca="1">IFERROR(VLOOKUP(O39,TSS_換券單檔!B:W,22,FALSE)/100*VLOOKUP(O39,TSS_換券單檔!B:P,15,FALSE)*VLOOKUP(O39,TSS_換券單檔!B:X,23,FALSE)*1%,0)</f>
        <v>0</v>
      </c>
      <c r="U39" t="e">
        <f ca="1">VLOOKUP(O39,'銀行-TSS'!B:W,22,FALSE)</f>
        <v>#N/A</v>
      </c>
    </row>
    <row r="40" spans="3:21" ht="16.5" customHeight="1">
      <c r="C40" s="503">
        <v>5</v>
      </c>
      <c r="D40" s="1487" t="str">
        <f>C6</f>
        <v>XH430</v>
      </c>
      <c r="E40" s="1488" t="str">
        <f>IF(G3=0,"",G3)</f>
        <v/>
      </c>
      <c r="N40">
        <v>6</v>
      </c>
      <c r="O40">
        <f t="shared" si="8"/>
        <v>0</v>
      </c>
      <c r="P40" s="1111" t="e">
        <f ca="1">VLOOKUP(O40,TSS_換券單檔!B:Q,16,FALSE)</f>
        <v>#N/A</v>
      </c>
      <c r="Q40" s="826" t="e">
        <f ca="1">VLOOKUP(O40,TSS_換券單檔!B:P,15,FALSE)</f>
        <v>#N/A</v>
      </c>
      <c r="R40" s="248" t="e">
        <f ca="1">VLOOKUP(O40,TSS_換券單檔!B:H,7,FALSE)</f>
        <v>#N/A</v>
      </c>
      <c r="S40">
        <f ca="1">VLOOKUP(O25,TSS_換券單檔!B:E,4,FALSE)</f>
        <v>25.97</v>
      </c>
      <c r="T40">
        <f ca="1">IFERROR(VLOOKUP(O40,TSS_換券單檔!B:W,22,FALSE)/100*VLOOKUP(O40,TSS_換券單檔!B:P,15,FALSE)*VLOOKUP(O40,TSS_換券單檔!B:X,23,FALSE)*1%,0)</f>
        <v>0</v>
      </c>
      <c r="U40" t="e">
        <f ca="1">VLOOKUP(O40,'銀行-TSS'!B:W,22,FALSE)</f>
        <v>#N/A</v>
      </c>
    </row>
    <row r="41" spans="3:21" ht="16.5" customHeight="1">
      <c r="C41" t="str">
        <f ca="1">IFERROR(CONCATENATE("年領利息"&amp;CHAR(10)&amp;"("&amp;I29&amp;")"),"年領利息")</f>
        <v>年領利息
(XG540)</v>
      </c>
      <c r="D41" s="1120">
        <f ca="1">IF(D29&gt;G29,5,(D29-0)/(G29-0)*$C$40)</f>
        <v>3.2555797952676619</v>
      </c>
      <c r="E41" s="1121">
        <f ca="1">IF(E29&gt;G29,5,(E29-0)/(G29-0)*$C$40)</f>
        <v>0</v>
      </c>
    </row>
    <row r="42" spans="3:21" ht="16.5" customHeight="1">
      <c r="C42" t="str">
        <f ca="1">IFERROR(CONCATENATE("面額"&amp;CHAR(10)&amp;"("&amp;I30&amp;")"),"面額")</f>
        <v>面額
(XG340)</v>
      </c>
      <c r="D42" s="1120">
        <f ca="1">IF(D30&gt;G30,5,(D30-0)/(G30-0)*$C$40)</f>
        <v>2.9708853238265003</v>
      </c>
      <c r="E42" s="1121">
        <f ca="1">IF(E30&gt;G30,5,(E30-0)/(G30-0)*$C$40)</f>
        <v>0</v>
      </c>
    </row>
    <row r="43" spans="3:21" ht="16.5" customHeight="1">
      <c r="C43" t="str">
        <f ca="1">IFERROR(CONCATENATE("殖利率"&amp;CHAR(10)&amp;"("&amp; IF(I31=0,D28,I31) &amp;")"),"殖利率")</f>
        <v>殖利率
(XG540)</v>
      </c>
      <c r="D43" s="1120">
        <f ca="1">IF(D31&gt;G31,5,(D31-0)/(G31-0)*$C$40)</f>
        <v>3.1071973889048077</v>
      </c>
      <c r="E43" s="1121">
        <f ca="1">IF(E31&gt;G31,5,(E31-0)/(G31-0)*$C$40)</f>
        <v>0</v>
      </c>
    </row>
    <row r="44" spans="3:21" ht="16.5" customHeight="1">
      <c r="C44" t="str">
        <f ca="1">IFERROR(CONCATENATE("剩餘年期"&amp;CHAR(10)&amp;"("&amp;I32&amp;")"),"剩餘年期")</f>
        <v>剩餘年期
(XG300)</v>
      </c>
      <c r="D44" s="1120">
        <f ca="1">IF(D32&gt;G32,5,(D32-0)/(G32-0)*$C$40)</f>
        <v>3.993632336655593</v>
      </c>
      <c r="E44" s="1121">
        <f ca="1">IF(E32&gt;G32,5,(E32-0)/(G32-0)*$C$40)</f>
        <v>0</v>
      </c>
    </row>
    <row r="45" spans="3:21" ht="16.5" customHeight="1">
      <c r="C45" t="str">
        <f ca="1">IFERROR(CONCATENATE("增值潛力"&amp;CHAR(10)&amp;"("&amp;I33&amp;")"),"增值潛力")</f>
        <v>增值潛力
(XG300)</v>
      </c>
      <c r="D45" s="1120">
        <f ca="1">IF(D33&gt;G33,5,(D33-0)/(G33-0)*$C$40)</f>
        <v>4.1615071763484233</v>
      </c>
      <c r="E45" s="1121">
        <f ca="1">IF(E33&gt;G33,5,(E33-0)/(G33-0)*$C$40)</f>
        <v>0</v>
      </c>
    </row>
    <row r="46" spans="3:21" ht="16.5" customHeight="1">
      <c r="D46" s="1103"/>
      <c r="E46" s="947"/>
    </row>
    <row r="47" spans="3:21" ht="16.5" customHeight="1">
      <c r="D47" s="1103"/>
      <c r="E47" s="947"/>
    </row>
    <row r="48" spans="3:21" ht="16.5" customHeight="1">
      <c r="D48" s="1103"/>
      <c r="E48" s="947"/>
    </row>
    <row r="49" spans="1:20" ht="16.5" customHeight="1">
      <c r="D49" s="1103"/>
      <c r="E49" s="947"/>
    </row>
    <row r="50" spans="1:20" ht="16.5" customHeight="1">
      <c r="D50" s="1103"/>
      <c r="E50" s="947"/>
    </row>
    <row r="51" spans="1:20" ht="16.5" customHeight="1">
      <c r="D51" s="1103"/>
      <c r="E51" s="947"/>
    </row>
    <row r="52" spans="1:20" ht="16.5" customHeight="1">
      <c r="D52" s="1103"/>
      <c r="E52" s="947"/>
    </row>
    <row r="53" spans="1:20" ht="16.5" customHeight="1">
      <c r="D53" s="1103"/>
      <c r="E53" s="947"/>
    </row>
    <row r="54" spans="1:20" ht="16.5" customHeight="1">
      <c r="D54" s="1103"/>
      <c r="E54" s="947"/>
    </row>
    <row r="55" spans="1:20" ht="16.5" customHeight="1"/>
    <row r="56" spans="1:20">
      <c r="A56" s="1309">
        <f ca="1">D31</f>
        <v>5.0274453752479784E-2</v>
      </c>
      <c r="B56" s="1310">
        <f ca="1">E31</f>
        <v>0</v>
      </c>
      <c r="D56" s="1101" t="str">
        <f>C6</f>
        <v>XH430</v>
      </c>
      <c r="E56" s="1102">
        <f>G3</f>
        <v>0</v>
      </c>
      <c r="F56" t="str">
        <f>CONCATENATE(" ",D56,"+年領利息")</f>
        <v xml:space="preserve"> XH430+年領利息</v>
      </c>
      <c r="G56" t="str">
        <f>CONCATENATE(" ",E56,"+年領利息")</f>
        <v xml:space="preserve"> 0+年領利息</v>
      </c>
    </row>
    <row r="57" spans="1:20">
      <c r="A57" s="1099">
        <f t="shared" ref="A57:A62" ca="1" si="9">$A$56+C57</f>
        <v>3.0274453752479783E-2</v>
      </c>
      <c r="B57" s="1099">
        <f t="shared" ref="B57:B62" ca="1" si="10">$B$56+C57</f>
        <v>-0.02</v>
      </c>
      <c r="C57" s="1099">
        <v>-0.02</v>
      </c>
      <c r="D57" s="825">
        <f t="shared" ref="D57:D62" ca="1" si="11">IFERROR(IF(OR($D$3=0,$D$4=0),0,ROUND($D$15*$C57*(-1)*($D$10*$D$16/100),2)),0)</f>
        <v>29792.28</v>
      </c>
      <c r="E57" s="825">
        <f ca="1">IFERROR(IF($D$4=0,0,ROUND($G$15*$C57*(-1)*($G$10*$G$16/100),2)),0)</f>
        <v>0</v>
      </c>
      <c r="F57" s="1104">
        <f t="shared" ref="F57:F62" ca="1" si="12">$D$29+D57</f>
        <v>34642.28</v>
      </c>
      <c r="G57" s="1104">
        <f t="shared" ref="G57:G62" ca="1" si="13">$E$29+E57</f>
        <v>0</v>
      </c>
      <c r="N57" t="s">
        <v>3744</v>
      </c>
      <c r="O57" t="s">
        <v>3554</v>
      </c>
      <c r="P57" s="179" t="s">
        <v>3752</v>
      </c>
      <c r="Q57" t="s">
        <v>4055</v>
      </c>
      <c r="R57" t="s">
        <v>4056</v>
      </c>
      <c r="S57" t="s">
        <v>1317</v>
      </c>
      <c r="T57" t="s">
        <v>3729</v>
      </c>
    </row>
    <row r="58" spans="1:20">
      <c r="A58" s="1099">
        <f t="shared" ca="1" si="9"/>
        <v>3.5274453752479784E-2</v>
      </c>
      <c r="B58" s="1099">
        <f t="shared" ca="1" si="10"/>
        <v>-1.4999999999999999E-2</v>
      </c>
      <c r="C58" s="1099">
        <v>-1.4999999999999999E-2</v>
      </c>
      <c r="D58" s="825">
        <f t="shared" ca="1" si="11"/>
        <v>22344.21</v>
      </c>
      <c r="E58" s="825">
        <f t="shared" ref="E58:E62" ca="1" si="14">IFERROR(IF($D$4=0,0,ROUND($G$15*$C58*(-1)*($G$10*$G$16/100),2)),0)</f>
        <v>0</v>
      </c>
      <c r="F58" s="1104">
        <f t="shared" ca="1" si="12"/>
        <v>27194.21</v>
      </c>
      <c r="G58" s="1104">
        <f t="shared" ca="1" si="13"/>
        <v>0</v>
      </c>
      <c r="M58" s="1850" t="s">
        <v>4299</v>
      </c>
      <c r="N58">
        <v>1</v>
      </c>
      <c r="O58" t="str">
        <f ca="1">IFERROR(INDEX(TSS_換券單檔!B:B,MATCH($N58,TSS_換券單檔!AA:AA,0),1),"")</f>
        <v>XG540</v>
      </c>
      <c r="P58" s="1111">
        <f ca="1">IF(O58="",0,VLOOKUP(O58,TSS_換券單檔!B:Q,16,FALSE))</f>
        <v>7448.75</v>
      </c>
      <c r="Q58" s="826">
        <f ca="1">IF(O58="",0,VLOOKUP(O58,TSS_換券單檔!B:P,15,FALSE))</f>
        <v>101000</v>
      </c>
      <c r="R58" s="248">
        <f ca="1">IF(O58="",0,VLOOKUP(O58,TSS_換券單檔!B:H,7,FALSE))</f>
        <v>8.09E-2</v>
      </c>
      <c r="S58">
        <f ca="1">IF(O58="",0,VLOOKUP(O58,TSS_換券單檔!B:E,4,FALSE))</f>
        <v>19.21</v>
      </c>
      <c r="T58">
        <f ca="1">IF(O58="",0,VLOOKUP(O58,TSS_換券單檔!B:Y,24,FALSE))</f>
        <v>8615.153913600001</v>
      </c>
    </row>
    <row r="59" spans="1:20">
      <c r="A59" s="1099">
        <f t="shared" ca="1" si="9"/>
        <v>4.0274453752479782E-2</v>
      </c>
      <c r="B59" s="1099">
        <f t="shared" ca="1" si="10"/>
        <v>-0.01</v>
      </c>
      <c r="C59" s="1099">
        <v>-0.01</v>
      </c>
      <c r="D59" s="825">
        <f t="shared" ca="1" si="11"/>
        <v>14896.14</v>
      </c>
      <c r="E59" s="825">
        <f t="shared" ca="1" si="14"/>
        <v>0</v>
      </c>
      <c r="F59" s="1104">
        <f t="shared" ca="1" si="12"/>
        <v>19746.14</v>
      </c>
      <c r="G59" s="1104">
        <f t="shared" ca="1" si="13"/>
        <v>0</v>
      </c>
      <c r="M59" s="1850"/>
      <c r="N59">
        <v>2</v>
      </c>
      <c r="O59" t="str">
        <f ca="1">IFERROR(INDEX(TSS_換券單檔!B:B,MATCH($N59,TSS_換券單檔!AA:AA,0),1),"")</f>
        <v>XG960</v>
      </c>
      <c r="P59" s="1111">
        <f ca="1">IF(O59="",0,VLOOKUP(O59,TSS_換券單檔!B:Q,16,FALSE))</f>
        <v>5950</v>
      </c>
      <c r="Q59" s="826">
        <f ca="1">IF(O59="",0,VLOOKUP(O59,TSS_換券單檔!B:P,15,FALSE))</f>
        <v>136000</v>
      </c>
      <c r="R59" s="248">
        <f ca="1">IF(O59="",0,VLOOKUP(O59,TSS_換券單檔!B:H,7,FALSE))</f>
        <v>7.3999999999999996E-2</v>
      </c>
      <c r="S59">
        <f ca="1">IF(O59="",0,VLOOKUP(O59,TSS_換券單檔!B:E,4,FALSE))</f>
        <v>18.7</v>
      </c>
      <c r="T59">
        <f ca="1">IF(O59="",0,VLOOKUP(O59,TSS_換券單檔!B:Y,24,FALSE))</f>
        <v>9968.9714824000021</v>
      </c>
    </row>
    <row r="60" spans="1:20">
      <c r="A60" s="1099">
        <f t="shared" ca="1" si="9"/>
        <v>4.5274453752479786E-2</v>
      </c>
      <c r="B60" s="1099">
        <f t="shared" ca="1" si="10"/>
        <v>-5.0000000000000001E-3</v>
      </c>
      <c r="C60" s="1099">
        <v>-5.0000000000000001E-3</v>
      </c>
      <c r="D60" s="825">
        <f t="shared" ca="1" si="11"/>
        <v>7448.07</v>
      </c>
      <c r="E60" s="825">
        <f t="shared" ca="1" si="14"/>
        <v>0</v>
      </c>
      <c r="F60" s="1104">
        <f t="shared" ca="1" si="12"/>
        <v>12298.07</v>
      </c>
      <c r="G60" s="1104">
        <f t="shared" ca="1" si="13"/>
        <v>0</v>
      </c>
      <c r="M60" s="1850"/>
      <c r="N60">
        <v>3</v>
      </c>
      <c r="O60" t="str">
        <f ca="1">IFERROR(INDEX(TSS_換券單檔!B:B,MATCH($N60,TSS_換券單檔!AA:AA,0),1),"")</f>
        <v>XG480</v>
      </c>
      <c r="P60" s="1111">
        <f ca="1">IF(O60="",0,VLOOKUP(O60,TSS_換券單檔!B:Q,16,FALSE))</f>
        <v>5766.0000000000009</v>
      </c>
      <c r="Q60" s="826">
        <f ca="1">IF(O60="",0,VLOOKUP(O60,TSS_換券單檔!B:P,15,FALSE))</f>
        <v>124000</v>
      </c>
      <c r="R60" s="248">
        <f ca="1">IF(O60="",0,VLOOKUP(O60,TSS_換券單檔!B:H,7,FALSE))</f>
        <v>6.4600000000000005E-2</v>
      </c>
      <c r="S60">
        <f ca="1">IF(O60="",0,VLOOKUP(O60,TSS_換券單檔!B:E,4,FALSE))</f>
        <v>25.87</v>
      </c>
      <c r="T60">
        <f ca="1">IF(O60="",0,VLOOKUP(O60,TSS_換券單檔!B:Y,24,FALSE))</f>
        <v>11979.187251200001</v>
      </c>
    </row>
    <row r="61" spans="1:20">
      <c r="A61" s="1099">
        <f t="shared" ca="1" si="9"/>
        <v>5.5274453752479781E-2</v>
      </c>
      <c r="B61" s="1099">
        <f t="shared" ca="1" si="10"/>
        <v>5.0000000000000001E-3</v>
      </c>
      <c r="C61" s="1099">
        <v>5.0000000000000001E-3</v>
      </c>
      <c r="D61" s="825">
        <f ca="1">IFERROR(IF(OR($D$3=0,$D$4=0),0,ROUND($D$15*$C61*(-1)*($D$10*$D$16/100),2)),0)</f>
        <v>-7448.07</v>
      </c>
      <c r="E61" s="825">
        <f t="shared" ca="1" si="14"/>
        <v>0</v>
      </c>
      <c r="F61" s="1104">
        <f t="shared" ca="1" si="12"/>
        <v>-2598.0700000000006</v>
      </c>
      <c r="G61" s="1104">
        <f t="shared" ca="1" si="13"/>
        <v>0</v>
      </c>
      <c r="M61" s="1850"/>
      <c r="N61">
        <v>4</v>
      </c>
      <c r="O61" t="str">
        <f ca="1">IFERROR(INDEX(TSS_換券單檔!B:B,MATCH($N61,TSS_換券單檔!AA:AA,0),1),"")</f>
        <v>XG760</v>
      </c>
      <c r="P61" s="1111">
        <f ca="1">IF(O61="",0,VLOOKUP(O61,TSS_換券單檔!B:Q,16,FALSE))</f>
        <v>5863.05</v>
      </c>
      <c r="Q61" s="826">
        <f ca="1">IF(O61="",0,VLOOKUP(O61,TSS_換券單檔!B:P,15,FALSE))</f>
        <v>101000</v>
      </c>
      <c r="R61" s="248">
        <f ca="1">IF(O61="",0,VLOOKUP(O61,TSS_換券單檔!B:H,7,FALSE))</f>
        <v>6.2300000000000001E-2</v>
      </c>
      <c r="S61">
        <f ca="1">IF(O61="",0,VLOOKUP(O61,TSS_換券單檔!B:E,4,FALSE))</f>
        <v>25.83</v>
      </c>
      <c r="T61">
        <f ca="1">IF(O61="",0,VLOOKUP(O61,TSS_換券單檔!B:Y,24,FALSE))</f>
        <v>11660.721164800001</v>
      </c>
    </row>
    <row r="62" spans="1:20">
      <c r="A62" s="1099">
        <f t="shared" ca="1" si="9"/>
        <v>6.0274453752479785E-2</v>
      </c>
      <c r="B62" s="1099">
        <f t="shared" ca="1" si="10"/>
        <v>0.01</v>
      </c>
      <c r="C62" s="1099">
        <v>0.01</v>
      </c>
      <c r="D62" s="825">
        <f t="shared" ca="1" si="11"/>
        <v>-14896.14</v>
      </c>
      <c r="E62" s="825">
        <f t="shared" ca="1" si="14"/>
        <v>0</v>
      </c>
      <c r="F62" s="1104">
        <f t="shared" ca="1" si="12"/>
        <v>-10046.14</v>
      </c>
      <c r="G62" s="1104">
        <f t="shared" ca="1" si="13"/>
        <v>0</v>
      </c>
      <c r="M62" s="1850"/>
      <c r="N62">
        <v>5</v>
      </c>
      <c r="O62" t="str">
        <f ca="1">IFERROR(INDEX(TSS_換券單檔!B:B,MATCH($N62,TSS_換券單檔!AA:AA,0),1),"")</f>
        <v>XFY70</v>
      </c>
      <c r="P62" s="1111">
        <f ca="1">IF(O62="",0,VLOOKUP(O62,TSS_換券單檔!B:Q,16,FALSE))</f>
        <v>5550</v>
      </c>
      <c r="Q62" s="826">
        <f ca="1">IF(O62="",0,VLOOKUP(O62,TSS_換券單檔!B:P,15,FALSE))</f>
        <v>111000</v>
      </c>
      <c r="R62" s="248">
        <f ca="1">IF(O62="",0,VLOOKUP(O62,TSS_換券單檔!B:H,7,FALSE))</f>
        <v>6.3799999999999996E-2</v>
      </c>
      <c r="S62">
        <f ca="1">IF(O62="",0,VLOOKUP(O62,TSS_換券單檔!B:E,4,FALSE))</f>
        <v>19.54</v>
      </c>
      <c r="T62">
        <f ca="1">IF(O62="",0,VLOOKUP(O62,TSS_換券單檔!B:Y,24,FALSE))</f>
        <v>10184.4661392</v>
      </c>
    </row>
    <row r="63" spans="1:20">
      <c r="D63" s="2242"/>
      <c r="E63" s="2242"/>
      <c r="F63" s="827"/>
      <c r="M63" s="1850"/>
      <c r="N63">
        <v>6</v>
      </c>
      <c r="O63" t="str">
        <f ca="1">IFERROR(INDEX(TSS_換券單檔!B:B,MATCH($N63,TSS_換券單檔!AA:AA,0),1),"")</f>
        <v>XH250</v>
      </c>
      <c r="P63" s="1111">
        <f ca="1">IF(O63="",0,VLOOKUP(O63,TSS_換券單檔!B:Q,16,FALSE))</f>
        <v>5400</v>
      </c>
      <c r="Q63" s="826">
        <f ca="1">IF(O63="",0,VLOOKUP(O63,TSS_換券單檔!B:P,15,FALSE))</f>
        <v>135000</v>
      </c>
      <c r="R63" s="248">
        <f ca="1">IF(O63="",0,VLOOKUP(O63,TSS_換券單檔!B:H,7,FALSE))</f>
        <v>6.2300000000000001E-2</v>
      </c>
      <c r="S63">
        <f ca="1">IF(O63="",0,VLOOKUP(O63,TSS_換券單檔!B:E,4,FALSE))</f>
        <v>25.97</v>
      </c>
      <c r="T63">
        <f ca="1">IF(O63="",0,VLOOKUP(O63,TSS_換券單檔!B:Y,24,FALSE))</f>
        <v>12698.847656999998</v>
      </c>
    </row>
    <row r="64" spans="1:20">
      <c r="M64" s="1850"/>
      <c r="N64">
        <v>7</v>
      </c>
      <c r="O64" t="str">
        <f ca="1">IFERROR(INDEX(TSS_換券單檔!B:B,MATCH($N64,TSS_換券單檔!AA:AA,0),1),"")</f>
        <v>XG230</v>
      </c>
      <c r="P64" s="1111">
        <f ca="1">IF(O64="",0,VLOOKUP(O64,TSS_換券單檔!B:Q,16,FALSE))</f>
        <v>5329.9999999999991</v>
      </c>
      <c r="Q64" s="826">
        <f ca="1">IF(O64="",0,VLOOKUP(O64,TSS_換券單檔!B:P,15,FALSE))</f>
        <v>130000</v>
      </c>
      <c r="R64" s="248">
        <f ca="1">IF(O64="",0,VLOOKUP(O64,TSS_換券單檔!B:H,7,FALSE))</f>
        <v>6.1899999999999997E-2</v>
      </c>
      <c r="S64">
        <f ca="1">IF(O64="",0,VLOOKUP(O64,TSS_換券單檔!B:E,4,FALSE))</f>
        <v>25.79</v>
      </c>
      <c r="T64">
        <f ca="1">IF(O64="",0,VLOOKUP(O64,TSS_換券單檔!B:Y,24,FALSE))</f>
        <v>12301.654794000002</v>
      </c>
    </row>
    <row r="65" spans="3:20">
      <c r="C65" s="596" t="s">
        <v>4052</v>
      </c>
      <c r="D65" s="1108">
        <f>model!A6</f>
        <v>1</v>
      </c>
      <c r="E65" s="1102"/>
      <c r="M65" s="1850"/>
      <c r="N65">
        <v>8</v>
      </c>
      <c r="O65" t="str">
        <f ca="1">IFERROR(INDEX(TSS_換券單檔!B:B,MATCH($N65,TSS_換券單檔!AA:AA,0),1),"")</f>
        <v>XH930</v>
      </c>
      <c r="P65" s="1111">
        <f ca="1">IF(O65="",0,VLOOKUP(O65,TSS_換券單檔!B:Q,16,FALSE))</f>
        <v>5226</v>
      </c>
      <c r="Q65" s="826">
        <f ca="1">IF(O65="",0,VLOOKUP(O65,TSS_換券單檔!B:P,15,FALSE))</f>
        <v>134000</v>
      </c>
      <c r="R65" s="248">
        <f ca="1">IF(O65="",0,VLOOKUP(O65,TSS_換券單檔!B:H,7,FALSE))</f>
        <v>6.1499999999999999E-2</v>
      </c>
      <c r="S65">
        <f ca="1">IF(O65="",0,VLOOKUP(O65,TSS_換券單檔!B:E,4,FALSE))</f>
        <v>24.83</v>
      </c>
      <c r="T65">
        <f ca="1">IF(O65="",0,VLOOKUP(O65,TSS_換券單檔!B:Y,24,FALSE))</f>
        <v>12425.669919999998</v>
      </c>
    </row>
    <row r="66" spans="3:20">
      <c r="C66" s="1110">
        <f>C57</f>
        <v>-0.02</v>
      </c>
      <c r="D66" s="1109">
        <f t="shared" ref="D66:E71" ca="1" si="15">IF($D$65=1,IF($D$1="USD",D57,D57*$D$23),IF($D$1="USD",F57,(F57*$D$23)))</f>
        <v>29792.28</v>
      </c>
      <c r="E66" s="1109">
        <f t="shared" ca="1" si="15"/>
        <v>0</v>
      </c>
      <c r="M66" s="1850"/>
      <c r="N66">
        <v>9</v>
      </c>
      <c r="O66" t="str">
        <f ca="1">IFERROR(INDEX(TSS_換券單檔!B:B,MATCH($N66,TSS_換券單檔!AA:AA,0),1),"")</f>
        <v>XFX80</v>
      </c>
      <c r="P66" s="1111">
        <f ca="1">IF(O66="",0,VLOOKUP(O66,TSS_換券單檔!B:Q,16,FALSE))</f>
        <v>5406</v>
      </c>
      <c r="Q66" s="826">
        <f ca="1">IF(O66="",0,VLOOKUP(O66,TSS_換券單檔!B:P,15,FALSE))</f>
        <v>106000</v>
      </c>
      <c r="R66" s="248">
        <f ca="1">IF(O66="",0,VLOOKUP(O66,TSS_換券單檔!B:H,7,FALSE))</f>
        <v>5.9900000000000002E-2</v>
      </c>
      <c r="S66">
        <f ca="1">IF(O66="",0,VLOOKUP(O66,TSS_換券單檔!B:E,4,FALSE))</f>
        <v>19.87</v>
      </c>
      <c r="T66">
        <f ca="1">IF(O66="",0,VLOOKUP(O66,TSS_換券單檔!B:Y,24,FALSE))</f>
        <v>10784.197270600002</v>
      </c>
    </row>
    <row r="67" spans="3:20">
      <c r="C67" s="1110">
        <f>C58</f>
        <v>-1.4999999999999999E-2</v>
      </c>
      <c r="D67" s="1109">
        <f t="shared" ca="1" si="15"/>
        <v>22344.21</v>
      </c>
      <c r="E67" s="1109">
        <f t="shared" ca="1" si="15"/>
        <v>0</v>
      </c>
      <c r="M67" s="1850"/>
      <c r="N67">
        <v>10</v>
      </c>
      <c r="O67" t="str">
        <f ca="1">IFERROR(INDEX(TSS_換券單檔!B:B,MATCH($N67,TSS_換券單檔!AA:AA,0),1),"")</f>
        <v>XG520</v>
      </c>
      <c r="P67" s="1111">
        <f ca="1">IF(O67="",0,VLOOKUP(O67,TSS_換券單檔!B:Q,16,FALSE))</f>
        <v>5272.5</v>
      </c>
      <c r="Q67" s="826">
        <f ca="1">IF(O67="",0,VLOOKUP(O67,TSS_換券單檔!B:P,15,FALSE))</f>
        <v>111000</v>
      </c>
      <c r="R67" s="248">
        <f ca="1">IF(O67="",0,VLOOKUP(O67,TSS_換券單檔!B:H,7,FALSE))</f>
        <v>6.1499999999999999E-2</v>
      </c>
      <c r="S67">
        <f ca="1">IF(O67="",0,VLOOKUP(O67,TSS_換券單檔!B:E,4,FALSE))</f>
        <v>18.54</v>
      </c>
      <c r="T67">
        <f ca="1">IF(O67="",0,VLOOKUP(O67,TSS_換券單檔!B:Y,24,FALSE))</f>
        <v>10129.114079999999</v>
      </c>
    </row>
    <row r="68" spans="3:20">
      <c r="C68" s="1110">
        <f>C59</f>
        <v>-0.01</v>
      </c>
      <c r="D68" s="1109">
        <f t="shared" ca="1" si="15"/>
        <v>14896.14</v>
      </c>
      <c r="E68" s="1109">
        <f t="shared" ca="1" si="15"/>
        <v>0</v>
      </c>
      <c r="M68" s="1850"/>
      <c r="N68">
        <v>11</v>
      </c>
      <c r="O68" t="str">
        <f ca="1">IFERROR(INDEX(TSS_換券單檔!B:B,MATCH($N68,TSS_換券單檔!AA:AA,0),1),"")</f>
        <v>XFW10</v>
      </c>
      <c r="P68" s="1111">
        <f ca="1">IF(O68="",0,VLOOKUP(O68,TSS_換券單檔!B:Q,16,FALSE))</f>
        <v>5302.5</v>
      </c>
      <c r="Q68" s="826">
        <f ca="1">IF(O68="",0,VLOOKUP(O68,TSS_換券單檔!B:P,15,FALSE))</f>
        <v>105000</v>
      </c>
      <c r="R68" s="248">
        <f ca="1">IF(O68="",0,VLOOKUP(O68,TSS_換券單檔!B:H,7,FALSE))</f>
        <v>5.8099999999999999E-2</v>
      </c>
      <c r="S68">
        <f ca="1">IF(O68="",0,VLOOKUP(O68,TSS_換券單檔!B:E,4,FALSE))</f>
        <v>23.73</v>
      </c>
      <c r="T68">
        <f ca="1">IF(O68="",0,VLOOKUP(O68,TSS_換券單檔!B:Y,24,FALSE))</f>
        <v>11702.303613000002</v>
      </c>
    </row>
    <row r="69" spans="3:20">
      <c r="C69" s="1110">
        <f>C60</f>
        <v>-5.0000000000000001E-3</v>
      </c>
      <c r="D69" s="1109">
        <f t="shared" ca="1" si="15"/>
        <v>7448.07</v>
      </c>
      <c r="E69" s="1109">
        <f t="shared" ca="1" si="15"/>
        <v>0</v>
      </c>
      <c r="M69" s="1850"/>
      <c r="N69">
        <v>12</v>
      </c>
      <c r="O69" t="str">
        <f ca="1">IFERROR(INDEX(TSS_換券單檔!B:B,MATCH($N69,TSS_換券單檔!AA:AA,0),1),"")</f>
        <v>XG500</v>
      </c>
      <c r="P69" s="1111">
        <f ca="1">IF(O69="",0,VLOOKUP(O69,TSS_換券單檔!B:Q,16,FALSE))</f>
        <v>5115</v>
      </c>
      <c r="Q69" s="826">
        <f ca="1">IF(O69="",0,VLOOKUP(O69,TSS_換券單檔!B:P,15,FALSE))</f>
        <v>124000</v>
      </c>
      <c r="R69" s="248">
        <f ca="1">IF(O69="",0,VLOOKUP(O69,TSS_換券單檔!B:H,7,FALSE))</f>
        <v>5.7599999999999998E-2</v>
      </c>
      <c r="S69">
        <f ca="1">IF(O69="",0,VLOOKUP(O69,TSS_換券單檔!B:E,4,FALSE))</f>
        <v>26.95</v>
      </c>
      <c r="T69">
        <f ca="1">IF(O69="",0,VLOOKUP(O69,TSS_換券單檔!B:Y,24,FALSE))</f>
        <v>13211.2782336</v>
      </c>
    </row>
    <row r="70" spans="3:20">
      <c r="C70" s="1110" t="str">
        <f>TEXT(C61,"+0.00%")</f>
        <v>+0.50%</v>
      </c>
      <c r="D70" s="1109">
        <f t="shared" ca="1" si="15"/>
        <v>-7448.07</v>
      </c>
      <c r="E70" s="1109">
        <f t="shared" ca="1" si="15"/>
        <v>0</v>
      </c>
      <c r="M70" s="2243" t="s">
        <v>4300</v>
      </c>
      <c r="N70" s="1400">
        <v>1</v>
      </c>
      <c r="O70" s="1400" t="str">
        <f ca="1">IFERROR(INDEX(TSS_換券單檔!B:B,MATCH(N70,TSS_換券單檔!AC:AC,0),1),"")</f>
        <v>XG300</v>
      </c>
      <c r="P70" s="1503">
        <f ca="1">IF(O70="",0,VLOOKUP(O70,TSS_換券單檔!B:Q,16,FALSE))</f>
        <v>3600</v>
      </c>
      <c r="Q70" s="1504">
        <f ca="1">IF(O70="",0,VLOOKUP(O70,TSS_換券單檔!B:P,15,FALSE))</f>
        <v>160000</v>
      </c>
      <c r="R70" s="1505">
        <f ca="1">IF(O70="",0,VLOOKUP(O70,TSS_換券單檔!B:H,7,FALSE))</f>
        <v>4.5499999999999999E-2</v>
      </c>
      <c r="S70" s="1400">
        <f ca="1">IF(O70="",0,VLOOKUP(O70,TSS_換券單檔!B:E,4,FALSE))</f>
        <v>36.119999999999997</v>
      </c>
      <c r="T70" s="1400">
        <f ca="1">IF(O70="",0,VLOOKUP(O70,TSS_換券單檔!B:Y,24,FALSE))</f>
        <v>17897.530112</v>
      </c>
    </row>
    <row r="71" spans="3:20">
      <c r="C71" s="1110" t="str">
        <f>TEXT(C62,"+0.00%")</f>
        <v>+1.00%</v>
      </c>
      <c r="D71" s="1109">
        <f t="shared" ca="1" si="15"/>
        <v>-14896.14</v>
      </c>
      <c r="E71" s="1109">
        <f t="shared" ca="1" si="15"/>
        <v>0</v>
      </c>
      <c r="M71" s="1850"/>
      <c r="N71">
        <v>2</v>
      </c>
      <c r="O71" t="str">
        <f ca="1">IFERROR(INDEX(TSS_換券單檔!B:B,MATCH(N71,TSS_換券單檔!AC:AC,0),1),"")</f>
        <v>XG340</v>
      </c>
      <c r="P71" s="1111">
        <f ca="1">IF(O71="",0,VLOOKUP(O71,TSS_換券單檔!B:Q,16,FALSE))</f>
        <v>2734.875</v>
      </c>
      <c r="Q71" s="1119">
        <f ca="1">IF(O71="",0,VLOOKUP(O71,TSS_換券單檔!B:P,15,FALSE))</f>
        <v>168300</v>
      </c>
      <c r="R71" s="1118">
        <f ca="1">IF(O71="",0,VLOOKUP(O71,TSS_換券單檔!B:H,7,FALSE))</f>
        <v>4.3700000000000003E-2</v>
      </c>
      <c r="S71">
        <f ca="1">IF(O71="",0,VLOOKUP(O71,TSS_換券單檔!B:E,4,FALSE))</f>
        <v>26.37</v>
      </c>
      <c r="T71">
        <f ca="1">IF(O71="",0,VLOOKUP(O71,TSS_換券單檔!B:Y,24,FALSE))</f>
        <v>17637.133813199998</v>
      </c>
    </row>
    <row r="72" spans="3:20">
      <c r="M72" s="1850"/>
      <c r="N72">
        <v>3</v>
      </c>
      <c r="O72" t="str">
        <f ca="1">IFERROR(INDEX(TSS_換券單檔!B:B,MATCH(N72,TSS_換券單檔!AC:AC,0),1),"")</f>
        <v>XG460</v>
      </c>
      <c r="P72" s="1111">
        <f ca="1">IF(O72="",0,VLOOKUP(O72,TSS_換券單檔!B:Q,16,FALSE))</f>
        <v>3315.0000000000005</v>
      </c>
      <c r="Q72" s="1119">
        <f ca="1">IF(O72="",0,VLOOKUP(O72,TSS_換券單檔!B:P,15,FALSE))</f>
        <v>156000</v>
      </c>
      <c r="R72" s="1118">
        <f ca="1">IF(O72="",0,VLOOKUP(O72,TSS_換券單檔!B:H,7,FALSE))</f>
        <v>4.7600000000000003E-2</v>
      </c>
      <c r="S72">
        <f ca="1">IF(O72="",0,VLOOKUP(O72,TSS_換券單檔!B:E,4,FALSE))</f>
        <v>26.09</v>
      </c>
      <c r="T72">
        <f ca="1">IF(O72="",0,VLOOKUP(O72,TSS_換券單檔!B:Y,24,FALSE))</f>
        <v>15407.479963199999</v>
      </c>
    </row>
    <row r="73" spans="3:20">
      <c r="M73" s="1850"/>
      <c r="N73">
        <v>4</v>
      </c>
      <c r="O73" t="str">
        <f ca="1">IFERROR(INDEX(TSS_換券單檔!B:B,MATCH(N73,TSS_換券單檔!AC:AC,0),1),"")</f>
        <v>XFZ80</v>
      </c>
      <c r="P73" s="1111">
        <f ca="1">IF(O73="",0,VLOOKUP(O73,TSS_換券單檔!B:Q,16,FALSE))</f>
        <v>3869</v>
      </c>
      <c r="Q73" s="1119">
        <f ca="1">IF(O73="",0,VLOOKUP(O73,TSS_換券單檔!B:P,15,FALSE))</f>
        <v>146000</v>
      </c>
      <c r="R73" s="1118">
        <f ca="1">IF(O73="",0,VLOOKUP(O73,TSS_換券單檔!B:H,7,FALSE))</f>
        <v>5.0599999999999999E-2</v>
      </c>
      <c r="S73">
        <f ca="1">IF(O73="",0,VLOOKUP(O73,TSS_換券單檔!B:E,4,FALSE))</f>
        <v>25.86</v>
      </c>
      <c r="T73">
        <f ca="1">IF(O73="",0,VLOOKUP(O73,TSS_換券單檔!B:Y,24,FALSE))</f>
        <v>15378.9974394</v>
      </c>
    </row>
    <row r="74" spans="3:20">
      <c r="M74" s="1850"/>
      <c r="N74">
        <v>5</v>
      </c>
      <c r="O74" t="str">
        <f ca="1">IFERROR(INDEX(TSS_換券單檔!B:B,MATCH(N74,TSS_換券單檔!AC:AC,0),1),"")</f>
        <v/>
      </c>
      <c r="P74" s="1111">
        <f ca="1">IF(O74="",0,VLOOKUP(O74,TSS_換券單檔!B:Q,16,FALSE))</f>
        <v>0</v>
      </c>
      <c r="Q74" s="1119">
        <f ca="1">IF(O74="",0,VLOOKUP(O74,TSS_換券單檔!B:P,15,FALSE))</f>
        <v>0</v>
      </c>
      <c r="R74" s="1118">
        <f ca="1">IF(O74="",0,VLOOKUP(O74,TSS_換券單檔!B:H,7,FALSE))</f>
        <v>0</v>
      </c>
      <c r="S74">
        <f ca="1">IF(O74="",0,VLOOKUP(O74,TSS_換券單檔!B:E,4,FALSE))</f>
        <v>0</v>
      </c>
      <c r="T74">
        <f ca="1">IF(O74="",0,VLOOKUP(O74,TSS_換券單檔!B:Y,24,FALSE))</f>
        <v>0</v>
      </c>
    </row>
    <row r="75" spans="3:20">
      <c r="M75" s="1850"/>
      <c r="N75">
        <v>6</v>
      </c>
      <c r="O75" t="str">
        <f ca="1">IFERROR(INDEX(TSS_換券單檔!B:B,MATCH(N75,TSS_換券單檔!AC:AC,0),1),"")</f>
        <v/>
      </c>
      <c r="P75" s="1111">
        <f ca="1">IF(O75="",0,VLOOKUP(O75,TSS_換券單檔!B:Q,16,FALSE))</f>
        <v>0</v>
      </c>
      <c r="Q75" s="1119">
        <f ca="1">IF(O75="",0,VLOOKUP(O75,TSS_換券單檔!B:P,15,FALSE))</f>
        <v>0</v>
      </c>
      <c r="R75" s="1118">
        <f ca="1">IF(O75="",0,VLOOKUP(O75,TSS_換券單檔!B:H,7,FALSE))</f>
        <v>0</v>
      </c>
      <c r="S75">
        <f ca="1">IF(O75="",0,VLOOKUP(O75,TSS_換券單檔!B:E,4,FALSE))</f>
        <v>0</v>
      </c>
      <c r="T75">
        <f ca="1">IF(O75="",0,VLOOKUP(O75,TSS_換券單檔!B:Y,24,FALSE))</f>
        <v>0</v>
      </c>
    </row>
    <row r="76" spans="3:20">
      <c r="M76" s="1850"/>
      <c r="N76">
        <v>7</v>
      </c>
      <c r="O76" t="str">
        <f ca="1">IFERROR(INDEX(TSS_換券單檔!B:B,MATCH(N76,TSS_換券單檔!AC:AC,0),1),"")</f>
        <v/>
      </c>
      <c r="P76" s="1111">
        <f ca="1">IF(O76="",0,VLOOKUP(O76,TSS_換券單檔!B:Q,16,FALSE))</f>
        <v>0</v>
      </c>
      <c r="Q76" s="1119">
        <f ca="1">IF(O76="",0,VLOOKUP(O76,TSS_換券單檔!B:P,15,FALSE))</f>
        <v>0</v>
      </c>
      <c r="R76" s="1118">
        <f ca="1">IF(O76="",0,VLOOKUP(O76,TSS_換券單檔!B:H,7,FALSE))</f>
        <v>0</v>
      </c>
      <c r="S76">
        <f ca="1">IF(O76="",0,VLOOKUP(O76,TSS_換券單檔!B:E,4,FALSE))</f>
        <v>0</v>
      </c>
      <c r="T76">
        <f ca="1">IF(O76="",0,VLOOKUP(O76,TSS_換券單檔!B:Y,24,FALSE))</f>
        <v>0</v>
      </c>
    </row>
    <row r="77" spans="3:20">
      <c r="M77" s="1850"/>
      <c r="N77">
        <v>8</v>
      </c>
      <c r="O77" t="str">
        <f ca="1">IFERROR(INDEX(TSS_換券單檔!B:B,MATCH(N77,TSS_換券單檔!AC:AC,0),1),"")</f>
        <v/>
      </c>
      <c r="P77" s="1111">
        <f ca="1">IF(O77="",0,VLOOKUP(O77,TSS_換券單檔!B:Q,16,FALSE))</f>
        <v>0</v>
      </c>
      <c r="Q77" s="1119">
        <f ca="1">IF(O77="",0,VLOOKUP(O77,TSS_換券單檔!B:P,15,FALSE))</f>
        <v>0</v>
      </c>
      <c r="R77" s="1118">
        <f ca="1">IF(O77="",0,VLOOKUP(O77,TSS_換券單檔!B:H,7,FALSE))</f>
        <v>0</v>
      </c>
      <c r="S77">
        <f ca="1">IF(O77="",0,VLOOKUP(O77,TSS_換券單檔!B:E,4,FALSE))</f>
        <v>0</v>
      </c>
      <c r="T77">
        <f ca="1">IF(O77="",0,VLOOKUP(O77,TSS_換券單檔!B:Y,24,FALSE))</f>
        <v>0</v>
      </c>
    </row>
    <row r="78" spans="3:20">
      <c r="M78" s="1850"/>
      <c r="N78">
        <v>9</v>
      </c>
      <c r="O78" t="str">
        <f ca="1">IFERROR(INDEX(TSS_換券單檔!B:B,MATCH(N78,TSS_換券單檔!AC:AC,0),1),"")</f>
        <v/>
      </c>
      <c r="P78" s="1111">
        <f ca="1">IF(O78="",0,VLOOKUP(O78,TSS_換券單檔!B:Q,16,FALSE))</f>
        <v>0</v>
      </c>
      <c r="Q78" s="1119">
        <f ca="1">IF(O78="",0,VLOOKUP(O78,TSS_換券單檔!B:P,15,FALSE))</f>
        <v>0</v>
      </c>
      <c r="R78" s="1118">
        <f ca="1">IF(O78="",0,VLOOKUP(O78,TSS_換券單檔!B:H,7,FALSE))</f>
        <v>0</v>
      </c>
      <c r="S78">
        <f ca="1">IF(O78="",0,VLOOKUP(O78,TSS_換券單檔!B:E,4,FALSE))</f>
        <v>0</v>
      </c>
      <c r="T78">
        <f ca="1">IF(O78="",0,VLOOKUP(O78,TSS_換券單檔!B:Y,24,FALSE))</f>
        <v>0</v>
      </c>
    </row>
    <row r="79" spans="3:20">
      <c r="M79" s="1850"/>
      <c r="N79">
        <v>10</v>
      </c>
      <c r="O79" t="str">
        <f ca="1">IFERROR(INDEX(TSS_換券單檔!B:B,MATCH(N79,TSS_換券單檔!AC:AC,0),1),"")</f>
        <v/>
      </c>
      <c r="P79" s="1111">
        <f ca="1">IF(O79="",0,VLOOKUP(O79,TSS_換券單檔!B:Q,16,FALSE))</f>
        <v>0</v>
      </c>
      <c r="Q79" s="1119">
        <f ca="1">IF(O79="",0,VLOOKUP(O79,TSS_換券單檔!B:P,15,FALSE))</f>
        <v>0</v>
      </c>
      <c r="R79" s="1118">
        <f ca="1">IF(O79="",0,VLOOKUP(O79,TSS_換券單檔!B:H,7,FALSE))</f>
        <v>0</v>
      </c>
      <c r="S79">
        <f ca="1">IF(O79="",0,VLOOKUP(O79,TSS_換券單檔!B:E,4,FALSE))</f>
        <v>0</v>
      </c>
      <c r="T79">
        <f ca="1">IF(O79="",0,VLOOKUP(O79,TSS_換券單檔!B:Y,24,FALSE))</f>
        <v>0</v>
      </c>
    </row>
    <row r="80" spans="3:20">
      <c r="M80" s="1850"/>
      <c r="N80">
        <v>11</v>
      </c>
      <c r="O80" t="str">
        <f ca="1">IFERROR(INDEX(TSS_換券單檔!B:B,MATCH(N80,TSS_換券單檔!AC:AC,0),1),"")</f>
        <v/>
      </c>
      <c r="P80" s="1111">
        <f ca="1">IF(O80="",0,VLOOKUP(O80,TSS_換券單檔!B:Q,16,FALSE))</f>
        <v>0</v>
      </c>
      <c r="Q80" s="1119">
        <f ca="1">IF(O80="",0,VLOOKUP(O80,TSS_換券單檔!B:P,15,FALSE))</f>
        <v>0</v>
      </c>
      <c r="R80" s="1118">
        <f ca="1">IF(O80="",0,VLOOKUP(O80,TSS_換券單檔!B:H,7,FALSE))</f>
        <v>0</v>
      </c>
      <c r="S80">
        <f ca="1">IF(O80="",0,VLOOKUP(O80,TSS_換券單檔!B:E,4,FALSE))</f>
        <v>0</v>
      </c>
      <c r="T80">
        <f ca="1">IF(O80="",0,VLOOKUP(O80,TSS_換券單檔!B:Y,24,FALSE))</f>
        <v>0</v>
      </c>
    </row>
    <row r="81" spans="13:20">
      <c r="M81" s="2244"/>
      <c r="N81" s="1471">
        <v>12</v>
      </c>
      <c r="O81" s="1471" t="str">
        <f ca="1">IFERROR(INDEX(TSS_換券單檔!B:B,MATCH(N81,TSS_換券單檔!AC:AC,0),1),"")</f>
        <v/>
      </c>
      <c r="P81" s="1506">
        <f ca="1">IF(O81="",0,VLOOKUP(O81,TSS_換券單檔!B:Q,16,FALSE))</f>
        <v>0</v>
      </c>
      <c r="Q81" s="1507">
        <f ca="1">IF(O81="",0,VLOOKUP(O81,TSS_換券單檔!B:P,15,FALSE))</f>
        <v>0</v>
      </c>
      <c r="R81" s="1508">
        <f ca="1">IF(O81="",0,VLOOKUP(O81,TSS_換券單檔!B:H,7,FALSE))</f>
        <v>0</v>
      </c>
      <c r="S81" s="1471">
        <f ca="1">IF(O81="",0,VLOOKUP(O81,TSS_換券單檔!B:E,4,FALSE))</f>
        <v>0</v>
      </c>
      <c r="T81" s="1471">
        <f ca="1">IF(O81="",0,VLOOKUP(O81,TSS_換券單檔!B:Y,24,FALSE))</f>
        <v>0</v>
      </c>
    </row>
    <row r="82" spans="13:20">
      <c r="M82" s="1850" t="s">
        <v>4301</v>
      </c>
      <c r="N82">
        <v>1</v>
      </c>
      <c r="O82" t="str">
        <f ca="1">IFERROR(INDEX(TSS_換券單檔!B:B,MATCH(N82,TSS_換券單檔!AE:AE,0),1),"")</f>
        <v/>
      </c>
      <c r="P82" s="1111">
        <f ca="1">IF(O82="",0,VLOOKUP(O82,TSS_換券單檔!B:Q,16,FALSE))</f>
        <v>0</v>
      </c>
      <c r="Q82" s="826">
        <f ca="1">IF(O82="",0,VLOOKUP(O82,TSS_換券單檔!B:P,15,FALSE))</f>
        <v>0</v>
      </c>
      <c r="R82" s="248">
        <f ca="1">IF(O82="",0,VLOOKUP(O82,TSS_換券單檔!B:H,7,FALSE))</f>
        <v>0</v>
      </c>
      <c r="S82">
        <f ca="1">IF(O82="",0,VLOOKUP(O82,TSS_換券單檔!B:E,4,FALSE))</f>
        <v>0</v>
      </c>
      <c r="T82">
        <f ca="1">IF(O82="",0,VLOOKUP(O82,TSS_換券單檔!B:Y,24,FALSE))</f>
        <v>0</v>
      </c>
    </row>
    <row r="83" spans="13:20">
      <c r="M83" s="1850"/>
      <c r="N83">
        <v>2</v>
      </c>
      <c r="O83" t="str">
        <f ca="1">IFERROR(INDEX(TSS_換券單檔!B:B,MATCH(N83,TSS_換券單檔!AE:AE,0),1),"")</f>
        <v/>
      </c>
      <c r="P83" s="1111">
        <f ca="1">IF(O83="",0,VLOOKUP(O83,TSS_換券單檔!B:Q,16,FALSE))</f>
        <v>0</v>
      </c>
      <c r="Q83" s="826">
        <f ca="1">IF(O83="",0,VLOOKUP(O83,TSS_換券單檔!B:P,15,FALSE))</f>
        <v>0</v>
      </c>
      <c r="R83" s="248">
        <f ca="1">IF(O83="",0,VLOOKUP(O83,TSS_換券單檔!B:H,7,FALSE))</f>
        <v>0</v>
      </c>
      <c r="S83">
        <f ca="1">IF(O83="",0,VLOOKUP(O83,TSS_換券單檔!B:E,4,FALSE))</f>
        <v>0</v>
      </c>
      <c r="T83">
        <f ca="1">IF(O83="",0,VLOOKUP(O83,TSS_換券單檔!B:Y,24,FALSE))</f>
        <v>0</v>
      </c>
    </row>
    <row r="84" spans="13:20">
      <c r="M84" s="1850"/>
      <c r="N84">
        <v>3</v>
      </c>
      <c r="O84" t="str">
        <f ca="1">IFERROR(INDEX(TSS_換券單檔!B:B,MATCH(N84,TSS_換券單檔!AE:AE,0),1),"")</f>
        <v/>
      </c>
      <c r="P84" s="1111">
        <f ca="1">IF(O84="",0,VLOOKUP(O84,TSS_換券單檔!B:Q,16,FALSE))</f>
        <v>0</v>
      </c>
      <c r="Q84" s="826">
        <f ca="1">IF(O84="",0,VLOOKUP(O84,TSS_換券單檔!B:P,15,FALSE))</f>
        <v>0</v>
      </c>
      <c r="R84" s="248">
        <f ca="1">IF(O84="",0,VLOOKUP(O84,TSS_換券單檔!B:H,7,FALSE))</f>
        <v>0</v>
      </c>
      <c r="S84">
        <f ca="1">IF(O84="",0,VLOOKUP(O84,TSS_換券單檔!B:E,4,FALSE))</f>
        <v>0</v>
      </c>
      <c r="T84">
        <f ca="1">IF(O84="",0,VLOOKUP(O84,TSS_換券單檔!B:Y,24,FALSE))</f>
        <v>0</v>
      </c>
    </row>
    <row r="85" spans="13:20">
      <c r="M85" s="1850"/>
      <c r="N85">
        <v>4</v>
      </c>
      <c r="O85" t="str">
        <f ca="1">IFERROR(INDEX(TSS_換券單檔!B:B,MATCH(N85,TSS_換券單檔!AE:AE,0),1),"")</f>
        <v/>
      </c>
      <c r="P85" s="1111">
        <f ca="1">IF(O85="",0,VLOOKUP(O85,TSS_換券單檔!B:Q,16,FALSE))</f>
        <v>0</v>
      </c>
      <c r="Q85" s="826">
        <f ca="1">IF(O85="",0,VLOOKUP(O85,TSS_換券單檔!B:P,15,FALSE))</f>
        <v>0</v>
      </c>
      <c r="R85" s="248">
        <f ca="1">IF(O85="",0,VLOOKUP(O85,TSS_換券單檔!B:H,7,FALSE))</f>
        <v>0</v>
      </c>
      <c r="S85">
        <f ca="1">IF(O85="",0,VLOOKUP(O85,TSS_換券單檔!B:E,4,FALSE))</f>
        <v>0</v>
      </c>
      <c r="T85">
        <f ca="1">IF(O85="",0,VLOOKUP(O85,TSS_換券單檔!B:Y,24,FALSE))</f>
        <v>0</v>
      </c>
    </row>
    <row r="86" spans="13:20">
      <c r="M86" s="1850"/>
      <c r="N86">
        <v>5</v>
      </c>
      <c r="O86" t="str">
        <f ca="1">IFERROR(INDEX(TSS_換券單檔!B:B,MATCH(N86,TSS_換券單檔!AE:AE,0),1),"")</f>
        <v/>
      </c>
      <c r="P86" s="1111">
        <f ca="1">IF(O86="",0,VLOOKUP(O86,TSS_換券單檔!B:Q,16,FALSE))</f>
        <v>0</v>
      </c>
      <c r="Q86" s="826">
        <f ca="1">IF(O86="",0,VLOOKUP(O86,TSS_換券單檔!B:P,15,FALSE))</f>
        <v>0</v>
      </c>
      <c r="R86" s="248">
        <f ca="1">IF(O86="",0,VLOOKUP(O86,TSS_換券單檔!B:H,7,FALSE))</f>
        <v>0</v>
      </c>
      <c r="S86">
        <f ca="1">IF(O86="",0,VLOOKUP(O86,TSS_換券單檔!B:E,4,FALSE))</f>
        <v>0</v>
      </c>
      <c r="T86">
        <f ca="1">IF(O86="",0,VLOOKUP(O86,TSS_換券單檔!B:Y,24,FALSE))</f>
        <v>0</v>
      </c>
    </row>
    <row r="87" spans="13:20">
      <c r="M87" s="1850"/>
      <c r="N87">
        <v>6</v>
      </c>
      <c r="O87" t="str">
        <f ca="1">IFERROR(INDEX(TSS_換券單檔!B:B,MATCH(N87,TSS_換券單檔!AE:AE,0),1),"")</f>
        <v/>
      </c>
      <c r="P87" s="1111">
        <f ca="1">IF(O87="",0,VLOOKUP(O87,TSS_換券單檔!B:Q,16,FALSE))</f>
        <v>0</v>
      </c>
      <c r="Q87" s="826">
        <f ca="1">IF(O87="",0,VLOOKUP(O87,TSS_換券單檔!B:P,15,FALSE))</f>
        <v>0</v>
      </c>
      <c r="R87" s="248">
        <f ca="1">IF(O87="",0,VLOOKUP(O87,TSS_換券單檔!B:H,7,FALSE))</f>
        <v>0</v>
      </c>
      <c r="S87">
        <f ca="1">IF(O87="",0,VLOOKUP(O87,TSS_換券單檔!B:E,4,FALSE))</f>
        <v>0</v>
      </c>
      <c r="T87">
        <f ca="1">IF(O87="",0,VLOOKUP(O87,TSS_換券單檔!B:Y,24,FALSE))</f>
        <v>0</v>
      </c>
    </row>
    <row r="88" spans="13:20">
      <c r="M88" s="1850"/>
      <c r="N88">
        <v>7</v>
      </c>
      <c r="O88" t="str">
        <f ca="1">IFERROR(INDEX(TSS_換券單檔!B:B,MATCH(N88,TSS_換券單檔!AE:AE,0),1),"")</f>
        <v/>
      </c>
      <c r="P88" s="1111">
        <f ca="1">IF(O88="",0,VLOOKUP(O88,TSS_換券單檔!B:Q,16,FALSE))</f>
        <v>0</v>
      </c>
      <c r="Q88" s="826">
        <f ca="1">IF(O88="",0,VLOOKUP(O88,TSS_換券單檔!B:P,15,FALSE))</f>
        <v>0</v>
      </c>
      <c r="R88" s="248">
        <f ca="1">IF(O88="",0,VLOOKUP(O88,TSS_換券單檔!B:H,7,FALSE))</f>
        <v>0</v>
      </c>
      <c r="S88">
        <f ca="1">IF(O88="",0,VLOOKUP(O88,TSS_換券單檔!B:E,4,FALSE))</f>
        <v>0</v>
      </c>
      <c r="T88">
        <f ca="1">IF(O88="",0,VLOOKUP(O88,TSS_換券單檔!B:Y,24,FALSE))</f>
        <v>0</v>
      </c>
    </row>
    <row r="89" spans="13:20">
      <c r="M89" s="1850"/>
      <c r="N89">
        <v>8</v>
      </c>
      <c r="O89" t="str">
        <f ca="1">IFERROR(INDEX(TSS_換券單檔!B:B,MATCH(N89,TSS_換券單檔!AE:AE,0),1),"")</f>
        <v/>
      </c>
      <c r="P89" s="1111">
        <f ca="1">IF(O89="",0,VLOOKUP(O89,TSS_換券單檔!B:Q,16,FALSE))</f>
        <v>0</v>
      </c>
      <c r="Q89" s="826">
        <f ca="1">IF(O89="",0,VLOOKUP(O89,TSS_換券單檔!B:P,15,FALSE))</f>
        <v>0</v>
      </c>
      <c r="R89" s="248">
        <f ca="1">IF(O89="",0,VLOOKUP(O89,TSS_換券單檔!B:H,7,FALSE))</f>
        <v>0</v>
      </c>
      <c r="S89">
        <f ca="1">IF(O89="",0,VLOOKUP(O89,TSS_換券單檔!B:E,4,FALSE))</f>
        <v>0</v>
      </c>
      <c r="T89">
        <f ca="1">IF(O89="",0,VLOOKUP(O89,TSS_換券單檔!B:Y,24,FALSE))</f>
        <v>0</v>
      </c>
    </row>
    <row r="90" spans="13:20">
      <c r="M90" s="1850"/>
      <c r="N90">
        <v>9</v>
      </c>
      <c r="O90" t="str">
        <f ca="1">IFERROR(INDEX(TSS_換券單檔!B:B,MATCH(N90,TSS_換券單檔!AE:AE,0),1),"")</f>
        <v/>
      </c>
      <c r="P90" s="1111">
        <f ca="1">IF(O90="",0,VLOOKUP(O90,TSS_換券單檔!B:Q,16,FALSE))</f>
        <v>0</v>
      </c>
      <c r="Q90" s="826">
        <f ca="1">IF(O90="",0,VLOOKUP(O90,TSS_換券單檔!B:P,15,FALSE))</f>
        <v>0</v>
      </c>
      <c r="R90" s="248">
        <f ca="1">IF(O90="",0,VLOOKUP(O90,TSS_換券單檔!B:H,7,FALSE))</f>
        <v>0</v>
      </c>
      <c r="S90">
        <f ca="1">IF(O90="",0,VLOOKUP(O90,TSS_換券單檔!B:E,4,FALSE))</f>
        <v>0</v>
      </c>
      <c r="T90">
        <f ca="1">IF(O90="",0,VLOOKUP(O90,TSS_換券單檔!B:Y,24,FALSE))</f>
        <v>0</v>
      </c>
    </row>
    <row r="91" spans="13:20">
      <c r="M91" s="1850"/>
      <c r="N91">
        <v>10</v>
      </c>
      <c r="O91" t="str">
        <f ca="1">IFERROR(INDEX(TSS_換券單檔!B:B,MATCH(N91,TSS_換券單檔!AE:AE,0),1),"")</f>
        <v/>
      </c>
      <c r="P91" s="1111">
        <f ca="1">IF(O91="",0,VLOOKUP(O91,TSS_換券單檔!B:Q,16,FALSE))</f>
        <v>0</v>
      </c>
      <c r="Q91" s="826">
        <f ca="1">IF(O91="",0,VLOOKUP(O91,TSS_換券單檔!B:P,15,FALSE))</f>
        <v>0</v>
      </c>
      <c r="R91" s="248">
        <f ca="1">IF(O91="",0,VLOOKUP(O91,TSS_換券單檔!B:H,7,FALSE))</f>
        <v>0</v>
      </c>
      <c r="S91">
        <f ca="1">IF(O91="",0,VLOOKUP(O91,TSS_換券單檔!B:E,4,FALSE))</f>
        <v>0</v>
      </c>
      <c r="T91">
        <f ca="1">IF(O91="",0,VLOOKUP(O91,TSS_換券單檔!B:Y,24,FALSE))</f>
        <v>0</v>
      </c>
    </row>
    <row r="92" spans="13:20">
      <c r="M92" s="1850"/>
      <c r="N92">
        <v>11</v>
      </c>
      <c r="O92" t="str">
        <f ca="1">IFERROR(INDEX(TSS_換券單檔!B:B,MATCH(N92,TSS_換券單檔!AE:AE,0),1),"")</f>
        <v/>
      </c>
      <c r="P92" s="1111">
        <f ca="1">IF(O92="",0,VLOOKUP(O92,TSS_換券單檔!B:Q,16,FALSE))</f>
        <v>0</v>
      </c>
      <c r="Q92" s="826">
        <f ca="1">IF(O92="",0,VLOOKUP(O92,TSS_換券單檔!B:P,15,FALSE))</f>
        <v>0</v>
      </c>
      <c r="R92" s="248">
        <f ca="1">IF(O92="",0,VLOOKUP(O92,TSS_換券單檔!B:H,7,FALSE))</f>
        <v>0</v>
      </c>
      <c r="S92">
        <f ca="1">IF(O92="",0,VLOOKUP(O92,TSS_換券單檔!B:E,4,FALSE))</f>
        <v>0</v>
      </c>
      <c r="T92">
        <f ca="1">IF(O92="",0,VLOOKUP(O92,TSS_換券單檔!B:Y,24,FALSE))</f>
        <v>0</v>
      </c>
    </row>
    <row r="93" spans="13:20">
      <c r="M93" s="1850"/>
      <c r="N93">
        <v>12</v>
      </c>
      <c r="O93" t="str">
        <f ca="1">IFERROR(INDEX(TSS_換券單檔!B:B,MATCH(N93,TSS_換券單檔!AE:AE,0),1),"")</f>
        <v/>
      </c>
      <c r="P93" s="1111">
        <f ca="1">IF(O93="",0,VLOOKUP(O93,TSS_換券單檔!B:Q,16,FALSE))</f>
        <v>0</v>
      </c>
      <c r="Q93" s="826">
        <f ca="1">IF(O93="",0,VLOOKUP(O93,TSS_換券單檔!B:P,15,FALSE))</f>
        <v>0</v>
      </c>
      <c r="R93" s="248">
        <f ca="1">IF(O93="",0,VLOOKUP(O93,TSS_換券單檔!B:H,7,FALSE))</f>
        <v>0</v>
      </c>
      <c r="S93">
        <f ca="1">IF(O93="",0,VLOOKUP(O93,TSS_換券單檔!B:E,4,FALSE))</f>
        <v>0</v>
      </c>
      <c r="T93">
        <f ca="1">IF(O93="",0,VLOOKUP(O93,TSS_換券單檔!B:Y,24,FALSE))</f>
        <v>0</v>
      </c>
    </row>
  </sheetData>
  <mergeCells count="4">
    <mergeCell ref="D63:E63"/>
    <mergeCell ref="M58:M69"/>
    <mergeCell ref="M70:M81"/>
    <mergeCell ref="M82:M93"/>
  </mergeCells>
  <phoneticPr fontId="53" type="noConversion"/>
  <conditionalFormatting sqref="F63 D63">
    <cfRule type="dataBar" priority="501">
      <dataBar>
        <cfvo type="min"/>
        <cfvo type="max"/>
        <color rgb="FF297D6B"/>
      </dataBar>
      <extLst>
        <ext xmlns:x14="http://schemas.microsoft.com/office/spreadsheetml/2009/9/main" uri="{B025F937-C7B1-47D3-B67F-A62EFF666E3E}">
          <x14:id>{3A6C1990-F31B-42B0-8C1A-9FC32ADEB172}</x14:id>
        </ext>
      </extLst>
    </cfRule>
    <cfRule type="dataBar" priority="502">
      <dataBar>
        <cfvo type="min"/>
        <cfvo type="max"/>
        <color rgb="FF638EC6"/>
      </dataBar>
      <extLst>
        <ext xmlns:x14="http://schemas.microsoft.com/office/spreadsheetml/2009/9/main" uri="{B025F937-C7B1-47D3-B67F-A62EFF666E3E}">
          <x14:id>{E9DB5686-4FEF-4DB1-A1AD-A15F2602FE5F}</x14:id>
        </ext>
      </extLst>
    </cfRule>
  </conditionalFormatting>
  <conditionalFormatting sqref="I44">
    <cfRule type="expression" priority="1">
      <formula>$D$13&lt;&gt;$D$13</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3A6C1990-F31B-42B0-8C1A-9FC32ADEB172}">
            <x14:dataBar minLength="0" maxLength="100" gradient="0">
              <x14:cfvo type="autoMin"/>
              <x14:cfvo type="autoMax"/>
              <x14:negativeFillColor rgb="FFFF0000"/>
              <x14:axisColor rgb="FF000000"/>
            </x14:dataBar>
          </x14:cfRule>
          <x14:cfRule type="dataBar" id="{E9DB5686-4FEF-4DB1-A1AD-A15F2602FE5F}">
            <x14:dataBar minLength="0" maxLength="100" border="1" negativeBarBorderColorSameAsPositive="0">
              <x14:cfvo type="autoMin"/>
              <x14:cfvo type="autoMax"/>
              <x14:borderColor rgb="FF638EC6"/>
              <x14:negativeFillColor rgb="FFFF0000"/>
              <x14:negativeBorderColor rgb="FFFF0000"/>
              <x14:axisColor rgb="FF000000"/>
            </x14:dataBar>
          </x14:cfRule>
          <xm:sqref>F63 D63</xm:sqref>
        </x14:conditionalFormatting>
      </x14:conditionalFormatting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工作表33">
    <tabColor theme="6"/>
    <pageSetUpPr fitToPage="1"/>
  </sheetPr>
  <dimension ref="D1:BO230"/>
  <sheetViews>
    <sheetView showRowColHeaders="0" topLeftCell="N1" zoomScale="70" zoomScaleNormal="70" workbookViewId="0">
      <selection activeCell="Q1" sqref="Q1"/>
    </sheetView>
  </sheetViews>
  <sheetFormatPr defaultColWidth="8.85546875" defaultRowHeight="15.5"/>
  <cols>
    <col min="1" max="3" width="0" style="55" hidden="1" customWidth="1"/>
    <col min="4" max="4" width="2.0703125" style="55" hidden="1" customWidth="1"/>
    <col min="5" max="5" width="2" style="55" hidden="1" customWidth="1"/>
    <col min="6" max="7" width="20.28515625" style="55" hidden="1" customWidth="1"/>
    <col min="8" max="8" width="16.85546875" style="55" hidden="1" customWidth="1"/>
    <col min="9" max="9" width="2.85546875" style="1681" hidden="1" customWidth="1"/>
    <col min="10" max="10" width="5.85546875" style="55" hidden="1" customWidth="1"/>
    <col min="11" max="12" width="0" style="55" hidden="1" customWidth="1"/>
    <col min="13" max="13" width="4" style="55" hidden="1" customWidth="1"/>
    <col min="14" max="14" width="2.640625" style="55" customWidth="1"/>
    <col min="15" max="15" width="1.2109375" style="55" customWidth="1"/>
    <col min="16" max="16" width="17.0703125" style="55" customWidth="1"/>
    <col min="17" max="17" width="7.0703125" style="55" customWidth="1"/>
    <col min="18" max="18" width="10.0703125" style="55" customWidth="1"/>
    <col min="19" max="19" width="10.2109375" style="55" customWidth="1"/>
    <col min="20" max="20" width="11.0703125" style="55" customWidth="1"/>
    <col min="21" max="21" width="17.0703125" style="55" customWidth="1"/>
    <col min="22" max="22" width="8.42578125" style="55" customWidth="1"/>
    <col min="23" max="23" width="4.0703125" style="55" customWidth="1"/>
    <col min="24" max="24" width="15.85546875" style="55" customWidth="1"/>
    <col min="25" max="25" width="15" style="55" customWidth="1"/>
    <col min="26" max="26" width="18.640625" style="55" customWidth="1"/>
    <col min="27" max="42" width="4.640625" style="55" customWidth="1"/>
    <col min="43" max="46" width="4.640625" style="506" customWidth="1"/>
    <col min="47" max="52" width="4.640625" style="55" customWidth="1"/>
    <col min="53" max="53" width="1.85546875" style="55" customWidth="1"/>
    <col min="54" max="55" width="0" style="169" hidden="1" customWidth="1"/>
    <col min="56" max="59" width="8.85546875" style="169" hidden="1" customWidth="1"/>
    <col min="60" max="60" width="8.85546875" style="55" hidden="1" customWidth="1"/>
    <col min="61" max="61" width="14" style="55" hidden="1" customWidth="1"/>
    <col min="62" max="62" width="14.5" style="55" hidden="1" customWidth="1"/>
    <col min="63" max="63" width="17.42578125" style="55" hidden="1" customWidth="1"/>
    <col min="64" max="64" width="11.85546875" style="55" hidden="1" customWidth="1"/>
    <col min="65" max="66" width="12.2109375" style="505" hidden="1" customWidth="1"/>
    <col min="67" max="67" width="13.28515625" style="55" hidden="1" customWidth="1"/>
    <col min="68" max="72" width="8.85546875" style="55"/>
    <col min="73" max="81" width="0" style="55" hidden="1" customWidth="1"/>
    <col min="82" max="134" width="8.85546875" style="55"/>
    <col min="135" max="135" width="8.85546875" style="55" customWidth="1"/>
    <col min="136" max="16384" width="8.85546875" style="55"/>
  </cols>
  <sheetData>
    <row r="1" spans="4:67" ht="31.75" customHeight="1">
      <c r="D1" s="505"/>
      <c r="E1" s="505"/>
      <c r="F1" s="505" t="s">
        <v>4449</v>
      </c>
      <c r="G1" s="505"/>
      <c r="H1" s="505"/>
      <c r="I1" s="1699"/>
      <c r="J1" s="505"/>
      <c r="P1" s="723"/>
      <c r="Q1" s="723"/>
      <c r="R1" s="723"/>
      <c r="S1" s="723"/>
      <c r="T1" s="723"/>
      <c r="U1" s="723"/>
      <c r="V1" s="723"/>
      <c r="W1" s="723"/>
      <c r="X1" s="723"/>
      <c r="Y1" s="723"/>
      <c r="Z1" s="723"/>
      <c r="AA1" s="723"/>
      <c r="AB1" s="723"/>
      <c r="AC1" s="723"/>
      <c r="AD1" s="723"/>
      <c r="AE1" s="723"/>
      <c r="AF1" s="723"/>
      <c r="AG1" s="723"/>
      <c r="AH1" s="723"/>
      <c r="AI1" s="723"/>
      <c r="AJ1" s="723"/>
      <c r="AK1" s="723"/>
      <c r="AL1" s="723"/>
      <c r="AM1" s="723"/>
      <c r="AN1" s="723"/>
      <c r="AO1" s="723"/>
      <c r="AP1" s="723"/>
      <c r="AQ1" s="723"/>
      <c r="AR1" s="723"/>
      <c r="AS1" s="723"/>
      <c r="AT1" s="723"/>
      <c r="AU1" s="723"/>
      <c r="AV1" s="723"/>
      <c r="AW1" s="723"/>
      <c r="AX1" s="723"/>
      <c r="AY1" s="723"/>
      <c r="AZ1" s="723"/>
      <c r="BO1" s="1786">
        <f ca="1">MAX(MAX(BO7:BO42),BO5+3*BO4)</f>
        <v>1.8500455215351208E-2</v>
      </c>
    </row>
    <row r="2" spans="4:67" ht="31.5" customHeight="1">
      <c r="D2" s="505"/>
      <c r="E2" s="505"/>
      <c r="F2" s="505">
        <f>'商品代碼-中繼頁'!A16</f>
        <v>1</v>
      </c>
      <c r="G2" s="505"/>
      <c r="H2" s="505"/>
      <c r="I2" s="1699"/>
      <c r="J2" s="505"/>
      <c r="O2" s="724"/>
      <c r="P2" s="2098" t="str">
        <f>IF(MF=2,"海 外 債 券 投 資 商 品 庫 存 完 整 清 單 (精 算 版)","海 外 債 券 投 資 商 品 庫 存 完 整 清 單")</f>
        <v>海 外 債 券 投 資 商 品 庫 存 完 整 清 單</v>
      </c>
      <c r="Q2" s="2098"/>
      <c r="R2" s="2098"/>
      <c r="S2" s="2098"/>
      <c r="T2" s="2098"/>
      <c r="U2" s="2098"/>
      <c r="V2" s="2098"/>
      <c r="W2" s="2098"/>
      <c r="X2" s="2098"/>
      <c r="Y2" s="2098"/>
      <c r="Z2" s="2098"/>
      <c r="AA2" s="2098"/>
      <c r="AB2" s="2098"/>
      <c r="AC2" s="2098"/>
      <c r="AD2" s="2098"/>
      <c r="AE2" s="2098"/>
      <c r="AF2" s="2098"/>
      <c r="AG2" s="2098"/>
      <c r="AH2" s="2098"/>
      <c r="AI2" s="2098"/>
      <c r="AJ2" s="2098"/>
      <c r="AK2" s="2098"/>
      <c r="AL2" s="2098"/>
      <c r="AM2" s="2098"/>
      <c r="AN2" s="2098"/>
      <c r="AO2" s="2098"/>
      <c r="AP2" s="2098"/>
      <c r="AQ2" s="2098"/>
      <c r="AR2" s="2098"/>
      <c r="AS2" s="2098"/>
      <c r="AT2" s="2098"/>
      <c r="AU2" s="2098"/>
      <c r="AV2" s="2098"/>
      <c r="AW2" s="2098"/>
      <c r="AX2" s="2098"/>
      <c r="AY2" s="2098"/>
      <c r="AZ2" s="2098"/>
      <c r="BO2" s="1786">
        <f ca="1">MIN(MIN(BO7:BO42),BO5-3*BO4)</f>
        <v>-1.0807701485858402E-2</v>
      </c>
    </row>
    <row r="3" spans="4:67" ht="2.5" customHeight="1">
      <c r="D3" s="505"/>
      <c r="E3" s="505"/>
      <c r="F3" s="505"/>
      <c r="G3" s="505"/>
      <c r="H3" s="505"/>
      <c r="I3" s="1699"/>
      <c r="J3" s="505"/>
      <c r="O3" s="724"/>
      <c r="P3" s="725"/>
      <c r="Q3" s="725"/>
      <c r="R3" s="725"/>
      <c r="S3" s="725"/>
      <c r="T3" s="725"/>
      <c r="U3" s="725"/>
      <c r="V3" s="725"/>
      <c r="W3" s="725"/>
      <c r="X3" s="725"/>
      <c r="Y3" s="725"/>
      <c r="Z3" s="725"/>
      <c r="AA3" s="725"/>
      <c r="AB3" s="725"/>
      <c r="AC3" s="725"/>
      <c r="AD3" s="725"/>
      <c r="AE3" s="725"/>
      <c r="AF3" s="725"/>
      <c r="AG3" s="725"/>
      <c r="AH3" s="725"/>
      <c r="AI3" s="725"/>
      <c r="AJ3" s="725"/>
      <c r="AK3" s="725"/>
      <c r="AL3" s="725"/>
      <c r="AM3" s="725"/>
      <c r="AN3" s="726"/>
      <c r="AO3" s="726"/>
      <c r="AP3" s="726"/>
      <c r="AQ3" s="726"/>
      <c r="AR3" s="726"/>
      <c r="AS3" s="726"/>
      <c r="AT3" s="726"/>
      <c r="BO3" s="505"/>
    </row>
    <row r="4" spans="4:67" ht="24" customHeight="1">
      <c r="D4" s="505"/>
      <c r="E4" s="505"/>
      <c r="F4" s="505"/>
      <c r="G4" s="505"/>
      <c r="H4" s="505"/>
      <c r="I4" s="1699"/>
      <c r="J4" s="505"/>
      <c r="N4" s="2087" t="s">
        <v>3762</v>
      </c>
      <c r="P4" s="2099" t="s">
        <v>2073</v>
      </c>
      <c r="Q4" s="2099"/>
      <c r="R4" s="2099"/>
      <c r="S4" s="2099"/>
      <c r="T4" s="2099"/>
      <c r="U4" s="2099"/>
      <c r="V4" s="2099"/>
      <c r="W4" s="2099"/>
      <c r="X4" s="2099"/>
      <c r="Y4" s="2099"/>
      <c r="Z4" s="2099"/>
      <c r="AA4" s="2099"/>
      <c r="AB4" s="2099"/>
      <c r="AC4" s="2099"/>
      <c r="AD4" s="2099"/>
      <c r="AE4" s="2099"/>
      <c r="AF4" s="2099"/>
      <c r="AG4" s="2099"/>
      <c r="AH4" s="2099"/>
      <c r="AI4" s="2099"/>
      <c r="AJ4" s="2099"/>
      <c r="AK4" s="2099"/>
      <c r="AL4" s="2099"/>
      <c r="AM4" s="2099"/>
      <c r="AN4" s="2099"/>
      <c r="AO4" s="2099"/>
      <c r="AP4" s="2099"/>
      <c r="AQ4" s="2099"/>
      <c r="AR4" s="2099"/>
      <c r="AS4" s="2099"/>
      <c r="AT4" s="2099"/>
      <c r="AU4" s="2100" t="s">
        <v>122</v>
      </c>
      <c r="AV4" s="2100"/>
      <c r="AW4" s="2100"/>
      <c r="AX4" s="2110">
        <f>投資商品現金流試算表!N4</f>
        <v>45474</v>
      </c>
      <c r="AY4" s="2110"/>
      <c r="AZ4" s="2110"/>
      <c r="BO4" s="505">
        <f ca="1">_xlfn.STDEV.P(BO7:BO42)</f>
        <v>3.6025671619528007E-3</v>
      </c>
    </row>
    <row r="5" spans="4:67" ht="20.5" customHeight="1">
      <c r="D5" s="505"/>
      <c r="E5" s="505"/>
      <c r="F5" s="2094"/>
      <c r="G5" s="2094"/>
      <c r="H5" s="2094"/>
      <c r="I5" s="673"/>
      <c r="J5" s="505"/>
      <c r="N5" s="2088"/>
      <c r="P5" s="2101" t="s">
        <v>542</v>
      </c>
      <c r="Q5" s="2094" t="s">
        <v>2261</v>
      </c>
      <c r="R5" s="2094"/>
      <c r="S5" s="2094"/>
      <c r="T5" s="2094"/>
      <c r="U5" s="2094"/>
      <c r="V5" s="2113" t="s">
        <v>2262</v>
      </c>
      <c r="W5" s="2114"/>
      <c r="X5" s="2103" t="s">
        <v>2263</v>
      </c>
      <c r="Y5" s="2105" t="s">
        <v>1939</v>
      </c>
      <c r="Z5" s="2103" t="s">
        <v>2140</v>
      </c>
      <c r="AA5" s="2106" t="s">
        <v>2045</v>
      </c>
      <c r="AB5" s="2106"/>
      <c r="AC5" s="2106"/>
      <c r="AD5" s="2106"/>
      <c r="AE5" s="2105" t="s">
        <v>2225</v>
      </c>
      <c r="AF5" s="2105"/>
      <c r="AG5" s="2105"/>
      <c r="AH5" s="2105"/>
      <c r="AI5" s="2105"/>
      <c r="AJ5" s="2105"/>
      <c r="AK5" s="2105"/>
      <c r="AL5" s="2105"/>
      <c r="AM5" s="2105"/>
      <c r="AN5" s="2105"/>
      <c r="AO5" s="2105"/>
      <c r="AP5" s="2105"/>
      <c r="AQ5" s="2105" t="s">
        <v>2160</v>
      </c>
      <c r="AR5" s="2105"/>
      <c r="AS5" s="2105"/>
      <c r="AT5" s="2103" t="s">
        <v>2259</v>
      </c>
      <c r="AU5" s="2103"/>
      <c r="AV5" s="2103"/>
      <c r="AW5" s="2103"/>
      <c r="AX5" s="2103"/>
      <c r="AY5" s="2103"/>
      <c r="AZ5" s="2112"/>
      <c r="BM5" s="505">
        <f>'商品代碼-中繼頁'!C16+6</f>
        <v>10</v>
      </c>
      <c r="BO5" s="1786">
        <f ca="1">AVERAGE(BO7:BO42)</f>
        <v>-7.7098821154524755E-19</v>
      </c>
    </row>
    <row r="6" spans="4:67" ht="24.65" customHeight="1">
      <c r="D6" s="505"/>
      <c r="E6" s="505"/>
      <c r="F6" s="1694"/>
      <c r="G6" s="1694"/>
      <c r="H6" s="1694"/>
      <c r="I6" s="1700"/>
      <c r="J6" s="505"/>
      <c r="N6" s="2088"/>
      <c r="P6" s="2102"/>
      <c r="Q6" s="2094"/>
      <c r="R6" s="2094"/>
      <c r="S6" s="2094"/>
      <c r="T6" s="2094"/>
      <c r="U6" s="2094"/>
      <c r="V6" s="2113"/>
      <c r="W6" s="2114"/>
      <c r="X6" s="2104"/>
      <c r="Y6" s="2104"/>
      <c r="Z6" s="2104"/>
      <c r="AA6" s="2107" t="s">
        <v>2046</v>
      </c>
      <c r="AB6" s="2107"/>
      <c r="AC6" s="2107"/>
      <c r="AD6" s="2107"/>
      <c r="AE6" s="2111" t="s">
        <v>2156</v>
      </c>
      <c r="AF6" s="2111"/>
      <c r="AG6" s="2111"/>
      <c r="AH6" s="2111"/>
      <c r="AI6" s="2111" t="s">
        <v>2157</v>
      </c>
      <c r="AJ6" s="2111"/>
      <c r="AK6" s="2111"/>
      <c r="AL6" s="2111"/>
      <c r="AM6" s="2111" t="s">
        <v>2112</v>
      </c>
      <c r="AN6" s="2111"/>
      <c r="AO6" s="2111"/>
      <c r="AP6" s="2111"/>
      <c r="AQ6" s="2111"/>
      <c r="AR6" s="2111"/>
      <c r="AS6" s="2111"/>
      <c r="AT6" s="2108" t="s">
        <v>2265</v>
      </c>
      <c r="AU6" s="2108"/>
      <c r="AV6" s="2108" t="s">
        <v>2132</v>
      </c>
      <c r="AW6" s="2108"/>
      <c r="AX6" s="2108"/>
      <c r="AY6" s="2108" t="s">
        <v>2266</v>
      </c>
      <c r="AZ6" s="2109"/>
      <c r="BI6" s="1704" t="s">
        <v>2270</v>
      </c>
      <c r="BJ6" s="1704" t="s">
        <v>2271</v>
      </c>
      <c r="BK6" s="609" t="s">
        <v>2155</v>
      </c>
      <c r="BL6" s="609" t="s">
        <v>2167</v>
      </c>
      <c r="BM6" s="609" t="s">
        <v>4418</v>
      </c>
      <c r="BN6" s="609" t="s">
        <v>4419</v>
      </c>
      <c r="BO6" s="609" t="s">
        <v>4494</v>
      </c>
    </row>
    <row r="7" spans="4:67" ht="28" customHeight="1">
      <c r="D7" s="606"/>
      <c r="E7" s="606"/>
      <c r="F7" s="1425"/>
      <c r="G7" s="1701"/>
      <c r="H7" s="1702"/>
      <c r="I7" s="1695"/>
      <c r="J7" s="505"/>
      <c r="M7" s="55">
        <v>1</v>
      </c>
      <c r="N7" s="1049" t="str">
        <f ca="1">IF(OR(P7="",換券單檔!AG2=0),"","★")</f>
        <v>★</v>
      </c>
      <c r="P7" s="598" t="str">
        <f ca="1">IF(OR(開關=FALSE,庫存管理[[#This Row],[商品代號]]=""),"",庫存管理[[#This Row],[商品代號]])</f>
        <v>XH430</v>
      </c>
      <c r="Q7" s="1990" t="str">
        <f ca="1">IF(開關=TRUE,IFERROR(VLOOKUP(P7,bond!B:C,2,FALSE),""),"")</f>
        <v>蘋果公司美元配息債券 4.85% 2053/5/10</v>
      </c>
      <c r="R7" s="1990"/>
      <c r="S7" s="1990"/>
      <c r="T7" s="1990"/>
      <c r="U7" s="1990"/>
      <c r="V7" s="2092" t="str">
        <f ca="1">IF(P7="","",VLOOKUP(P7,'銀行-TSS'!B:C,2,FALSE))</f>
        <v>USD</v>
      </c>
      <c r="W7" s="2093"/>
      <c r="X7" s="647">
        <f ca="1">IF(P7="","",'商品代碼-中繼頁'!S2)</f>
        <v>20240101</v>
      </c>
      <c r="Y7" s="597">
        <f ca="1">IF(P7="","",庫存管理[[#This Row],[投入面額]])</f>
        <v>100000</v>
      </c>
      <c r="Z7" s="648">
        <f ca="1">IF(P7="","",庫存管理[[#This Row],[持有成本(含前手息)]])</f>
        <v>98000</v>
      </c>
      <c r="AA7" s="2089">
        <f ca="1">IF(OR(P7="",'Tssco-bond portfolio(2)'!S7=FALSE),"",IFERROR(庫存管理[[#This Row],[部位現值(含前手息)]],""))</f>
        <v>96700.6</v>
      </c>
      <c r="AB7" s="2090"/>
      <c r="AC7" s="2090"/>
      <c r="AD7" s="2091"/>
      <c r="AE7" s="2040">
        <f ca="1">IF(OR(P7="",'Tssco-bond portfolio(2)'!S7=FALSE),"",IF(MF=2,IFERROR(庫存管理[[#This Row],[累計配息]],""),IFERROR(庫存管理[[#This Row],[已實現配息(原幣)]],"")))</f>
        <v>2424.9999999999995</v>
      </c>
      <c r="AF7" s="2041"/>
      <c r="AG7" s="2041"/>
      <c r="AH7" s="2042"/>
      <c r="AI7" s="2095">
        <f ca="1">IF(OR(P7="",'Tssco-bond portfolio(2)'!S7=FALSE),"",IFERROR(庫存管理[[#This Row],[資本利損]],""))</f>
        <v>-1299.3999999999942</v>
      </c>
      <c r="AJ7" s="2096"/>
      <c r="AK7" s="2096"/>
      <c r="AL7" s="2097"/>
      <c r="AM7" s="2071">
        <f ca="1">IF(OR(P7="",'Tssco-bond portfolio(2)'!S7=FALSE),"",IFERROR(庫存管理[[#This Row],[合計收益]],""))</f>
        <v>1125.6000000000054</v>
      </c>
      <c r="AN7" s="2041"/>
      <c r="AO7" s="2041"/>
      <c r="AP7" s="2072"/>
      <c r="AQ7" s="2078">
        <f ca="1">IF(AM7="","",庫存管理[[#This Row],[總報酬]])</f>
        <v>1.148571428571434E-2</v>
      </c>
      <c r="AR7" s="2076"/>
      <c r="AS7" s="2079"/>
      <c r="AT7" s="2076">
        <f ca="1">IF(AM7="","",IFERROR(庫存管理[[#This Row],[投入佔比]],0))</f>
        <v>0.29518072289156627</v>
      </c>
      <c r="AU7" s="2076"/>
      <c r="AV7" s="2073">
        <f ca="1">BO7</f>
        <v>-5.2092070936142765E-3</v>
      </c>
      <c r="AW7" s="2073"/>
      <c r="AX7" s="2073"/>
      <c r="AY7" s="2076">
        <f ca="1">IF(AM7="","",IFERROR(庫存管理[[#This Row],[現值佔比]],""))</f>
        <v>0.289971515797952</v>
      </c>
      <c r="AZ7" s="2077"/>
      <c r="BA7" s="601"/>
      <c r="BI7" s="610">
        <f ca="1">DATE(LEFT(X7,4),MID(X7,5,2),RIGHT(X7,2))</f>
        <v>45292</v>
      </c>
      <c r="BJ7" s="610">
        <f ca="1">IFERROR(DATEVALUE(VLOOKUP(P7,'銀行-TSS'!B:AL,37,FALSE)),VLOOKUP(P7,'銀行-TSS'!B:AL,37,FALSE))</f>
        <v>45056</v>
      </c>
      <c r="BK7" s="517">
        <f ca="1">VLOOKUP(P7,'銀行-TSS'!B:N,13,FALSE)</f>
        <v>10000</v>
      </c>
      <c r="BL7" s="621">
        <f ca="1">VLOOKUP(P7,'銀行-TSS'!B:O,14,FALSE)</f>
        <v>1000</v>
      </c>
      <c r="BM7" s="741" t="b">
        <f ca="1">IF(P7="",FALSE,AND(BI7&lt;=BJ7,LEN(X7)=8))</f>
        <v>0</v>
      </c>
      <c r="BN7" s="55" t="b">
        <f ca="1">OR($Y7&lt;$BK7,MOD($Y7,$BL7)&lt;&gt;0)</f>
        <v>0</v>
      </c>
      <c r="BO7" s="1785">
        <f ca="1">IF(AQ7="",0,AY7-AT7)</f>
        <v>-5.2092070936142765E-3</v>
      </c>
    </row>
    <row r="8" spans="4:67" ht="28" customHeight="1">
      <c r="D8" s="606"/>
      <c r="E8" s="606"/>
      <c r="F8" s="1425"/>
      <c r="G8" s="1701"/>
      <c r="H8" s="1702"/>
      <c r="I8" s="1695"/>
      <c r="J8" s="505"/>
      <c r="M8" s="55">
        <v>2</v>
      </c>
      <c r="N8" s="1049" t="str">
        <f ca="1">IF(OR(P8="",換券單檔!AG3=0),"","★")</f>
        <v/>
      </c>
      <c r="P8" s="598" t="str">
        <f ca="1">IF(OR(開關=FALSE,庫存管理[[#This Row],[商品代號]]=""),"",庫存管理[[#This Row],[商品代號]])</f>
        <v>XG300</v>
      </c>
      <c r="Q8" s="1990" t="str">
        <f ca="1">IF(開關=TRUE,IFERROR(VLOOKUP(P8,bond!B:C,2,FALSE),""),"")</f>
        <v>Alphabet公司美元配息債券 2.25% 2060/8/15</v>
      </c>
      <c r="R8" s="1990"/>
      <c r="S8" s="1990"/>
      <c r="T8" s="1990"/>
      <c r="U8" s="1990"/>
      <c r="V8" s="2092" t="str">
        <f ca="1">IF(P8="","",VLOOKUP(P8,'銀行-TSS'!B:C,2,FALSE))</f>
        <v>USD</v>
      </c>
      <c r="W8" s="2093"/>
      <c r="X8" s="647">
        <f ca="1">IF(P8="","",'商品代碼-中繼頁'!S3)</f>
        <v>20240101</v>
      </c>
      <c r="Y8" s="597">
        <f ca="1">IF(P8="","",庫存管理[[#This Row],[投入面額]])</f>
        <v>100000</v>
      </c>
      <c r="Z8" s="648">
        <f ca="1">IF(P8="","",庫存管理[[#This Row],[持有成本(含前手息)]])</f>
        <v>58000</v>
      </c>
      <c r="AA8" s="2089">
        <f ca="1">IF(OR(P8="",'Tssco-bond portfolio(2)'!S8=FALSE),"",IFERROR(庫存管理[[#This Row],[部位現值(含前手息)]],""))</f>
        <v>55316.3</v>
      </c>
      <c r="AB8" s="2090"/>
      <c r="AC8" s="2090"/>
      <c r="AD8" s="2091"/>
      <c r="AE8" s="2040">
        <f ca="1">IF(OR(P8="",'Tssco-bond portfolio(2)'!S8=FALSE),"",IF(MF=2,IFERROR(庫存管理[[#This Row],[累計配息]],""),IFERROR(庫存管理[[#This Row],[已實現配息(原幣)]],"")))</f>
        <v>1125</v>
      </c>
      <c r="AF8" s="2041"/>
      <c r="AG8" s="2041"/>
      <c r="AH8" s="2042"/>
      <c r="AI8" s="2095">
        <f ca="1">IF(OR(P8="",'Tssco-bond portfolio(2)'!S8=FALSE),"",IFERROR(庫存管理[[#This Row],[資本利損]],""))</f>
        <v>-2683.6999999999971</v>
      </c>
      <c r="AJ8" s="2096"/>
      <c r="AK8" s="2096"/>
      <c r="AL8" s="2097"/>
      <c r="AM8" s="2071">
        <f ca="1">IF(OR(P8="",'Tssco-bond portfolio(2)'!S8=FALSE),"",IFERROR(庫存管理[[#This Row],[合計收益]],""))</f>
        <v>-1558.6999999999971</v>
      </c>
      <c r="AN8" s="2041"/>
      <c r="AO8" s="2041"/>
      <c r="AP8" s="2072"/>
      <c r="AQ8" s="2078">
        <f ca="1">IF(AM8="","",庫存管理[[#This Row],[總報酬]])</f>
        <v>-2.6874137931034433E-2</v>
      </c>
      <c r="AR8" s="2076"/>
      <c r="AS8" s="2079"/>
      <c r="AT8" s="2076">
        <f ca="1">IF(AM8="","",IFERROR(庫存管理[[#This Row],[投入佔比]],0))</f>
        <v>0.1746987951807229</v>
      </c>
      <c r="AU8" s="2076"/>
      <c r="AV8" s="2073">
        <f t="shared" ref="AV8:AV42" ca="1" si="0">BO8</f>
        <v>-8.824422536351989E-3</v>
      </c>
      <c r="AW8" s="2073"/>
      <c r="AX8" s="2073"/>
      <c r="AY8" s="2076">
        <f ca="1">IF(AM8="","",IFERROR(庫存管理[[#This Row],[現值佔比]],""))</f>
        <v>0.16587437264437091</v>
      </c>
      <c r="AZ8" s="2077"/>
      <c r="BA8" s="601"/>
      <c r="BI8" s="610">
        <f t="shared" ref="BI8:BI42" ca="1" si="1">DATE(LEFT(X8,4),MID(X8,5,2),RIGHT(X8,2))</f>
        <v>45292</v>
      </c>
      <c r="BJ8" s="610">
        <f ca="1">IFERROR(DATEVALUE(VLOOKUP(P8,'銀行-TSS'!B:AL,37,FALSE)),VLOOKUP(P8,'銀行-TSS'!B:AL,37,FALSE))</f>
        <v>44048</v>
      </c>
      <c r="BK8" s="517">
        <f ca="1">VLOOKUP(P8,'銀行-TSS'!B:N,13,FALSE)</f>
        <v>10000</v>
      </c>
      <c r="BL8" s="621">
        <f ca="1">VLOOKUP(P8,'銀行-TSS'!B:O,14,FALSE)</f>
        <v>1000</v>
      </c>
      <c r="BM8" s="741" t="b">
        <f t="shared" ref="BM8:BM42" ca="1" si="2">IF(P8="",FALSE,AND(BI8&lt;=BJ8,LEN(X8)=8))</f>
        <v>0</v>
      </c>
      <c r="BN8" s="55" t="b">
        <f t="shared" ref="BN8:BN42" ca="1" si="3">OR($Y8&lt;$BK8,MOD($Y8,$BL8)&lt;&gt;0)</f>
        <v>0</v>
      </c>
      <c r="BO8" s="1785">
        <f t="shared" ref="BO8:BO42" ca="1" si="4">IF(AQ8="",0,AY8-AT8)</f>
        <v>-8.824422536351989E-3</v>
      </c>
    </row>
    <row r="9" spans="4:67" ht="28" customHeight="1">
      <c r="D9" s="606"/>
      <c r="E9" s="606"/>
      <c r="F9" s="1425"/>
      <c r="G9" s="1701"/>
      <c r="H9" s="1702"/>
      <c r="I9" s="1696"/>
      <c r="J9" s="505"/>
      <c r="M9" s="55">
        <v>3</v>
      </c>
      <c r="N9" s="1049" t="str">
        <f ca="1">IF(OR(P9="",換券單檔!AG4=0),"","★")</f>
        <v>★</v>
      </c>
      <c r="P9" s="598" t="str">
        <f ca="1">IF(OR(開關=FALSE,庫存管理[[#This Row],[商品代號]]=""),"",庫存管理[[#This Row],[商品代號]])</f>
        <v>XH750</v>
      </c>
      <c r="Q9" s="1990" t="str">
        <f ca="1">IF(開關=TRUE,IFERROR(VLOOKUP(P9,bond!B:C,2,FALSE),""),"")</f>
        <v>禮來公司美元配息債券 4.875% 2053/2/27</v>
      </c>
      <c r="R9" s="1990"/>
      <c r="S9" s="1990"/>
      <c r="T9" s="1990"/>
      <c r="U9" s="1990"/>
      <c r="V9" s="2092" t="str">
        <f ca="1">IF(P9="","",VLOOKUP(P9,'銀行-TSS'!B:C,2,FALSE))</f>
        <v>USD</v>
      </c>
      <c r="W9" s="2093"/>
      <c r="X9" s="647">
        <f ca="1">IF(P9="","",'商品代碼-中繼頁'!S4)</f>
        <v>20240101</v>
      </c>
      <c r="Y9" s="597">
        <f ca="1">IF(P9="","",庫存管理[[#This Row],[投入面額]])</f>
        <v>100000</v>
      </c>
      <c r="Z9" s="648">
        <f ca="1">IF(P9="","",庫存管理[[#This Row],[持有成本(含前手息)]])</f>
        <v>88000</v>
      </c>
      <c r="AA9" s="2089">
        <f ca="1">IF(OR(P9="",'Tssco-bond portfolio(2)'!S9=FALSE),"",IFERROR(庫存管理[[#This Row],[部位現值(含前手息)]],""))</f>
        <v>94562.7</v>
      </c>
      <c r="AB9" s="2090"/>
      <c r="AC9" s="2090"/>
      <c r="AD9" s="2091"/>
      <c r="AE9" s="2040">
        <f ca="1">IF(OR(P9="",'Tssco-bond portfolio(2)'!S9=FALSE),"",IF(MF=2,IFERROR(庫存管理[[#This Row],[累計配息]],""),IFERROR(庫存管理[[#This Row],[已實現配息(原幣)]],"")))</f>
        <v>2437.5</v>
      </c>
      <c r="AF9" s="2041"/>
      <c r="AG9" s="2041"/>
      <c r="AH9" s="2042"/>
      <c r="AI9" s="2095">
        <f ca="1">IF(OR(P9="",'Tssco-bond portfolio(2)'!S9=FALSE),"",IFERROR(庫存管理[[#This Row],[資本利損]],""))</f>
        <v>6562.6999999999971</v>
      </c>
      <c r="AJ9" s="2096"/>
      <c r="AK9" s="2096"/>
      <c r="AL9" s="2097"/>
      <c r="AM9" s="2071">
        <f ca="1">IF(OR(P9="",'Tssco-bond portfolio(2)'!S9=FALSE),"",IFERROR(庫存管理[[#This Row],[合計收益]],""))</f>
        <v>9000.1999999999971</v>
      </c>
      <c r="AN9" s="2041"/>
      <c r="AO9" s="2041"/>
      <c r="AP9" s="2072"/>
      <c r="AQ9" s="2078">
        <f ca="1">IF(AM9="","",庫存管理[[#This Row],[總報酬]])</f>
        <v>0.10227499999999996</v>
      </c>
      <c r="AR9" s="2076"/>
      <c r="AS9" s="2079"/>
      <c r="AT9" s="2076">
        <f ca="1">IF(AM9="","",IFERROR(庫存管理[[#This Row],[投入佔比]],0))</f>
        <v>0.26506024096385544</v>
      </c>
      <c r="AU9" s="2076"/>
      <c r="AV9" s="2073">
        <f t="shared" ca="1" si="0"/>
        <v>1.8500455215351208E-2</v>
      </c>
      <c r="AW9" s="2073"/>
      <c r="AX9" s="2073"/>
      <c r="AY9" s="2076">
        <f ca="1">IF(AM9="","",IFERROR(庫存管理[[#This Row],[現值佔比]],""))</f>
        <v>0.28356069617920665</v>
      </c>
      <c r="AZ9" s="2077"/>
      <c r="BA9" s="601"/>
      <c r="BI9" s="610">
        <f t="shared" ca="1" si="1"/>
        <v>45292</v>
      </c>
      <c r="BJ9" s="610">
        <f ca="1">IFERROR(DATEVALUE(VLOOKUP(P9,'銀行-TSS'!B:AL,37,FALSE)),VLOOKUP(P9,'銀行-TSS'!B:AL,37,FALSE))</f>
        <v>44984</v>
      </c>
      <c r="BK9" s="517">
        <f ca="1">VLOOKUP(P9,'銀行-TSS'!B:N,13,FALSE)</f>
        <v>10000</v>
      </c>
      <c r="BL9" s="621">
        <f ca="1">VLOOKUP(P9,'銀行-TSS'!B:O,14,FALSE)</f>
        <v>1000</v>
      </c>
      <c r="BM9" s="741" t="b">
        <f t="shared" ca="1" si="2"/>
        <v>0</v>
      </c>
      <c r="BN9" s="55" t="b">
        <f t="shared" ca="1" si="3"/>
        <v>0</v>
      </c>
      <c r="BO9" s="1785">
        <f t="shared" ca="1" si="4"/>
        <v>1.8500455215351208E-2</v>
      </c>
    </row>
    <row r="10" spans="4:67" ht="28" customHeight="1" thickBot="1">
      <c r="D10" s="606"/>
      <c r="E10" s="606"/>
      <c r="F10" s="1425"/>
      <c r="G10" s="1701"/>
      <c r="H10" s="1702"/>
      <c r="I10" s="1696"/>
      <c r="J10" s="505"/>
      <c r="M10" s="55">
        <v>4</v>
      </c>
      <c r="N10" s="1049" t="str">
        <f ca="1">IF(OR(P10="",換券單檔!AG5=0),"","★")</f>
        <v>★</v>
      </c>
      <c r="P10" s="598" t="str">
        <f ca="1">IF(OR(開關=FALSE,庫存管理[[#This Row],[商品代號]]=""),"",庫存管理[[#This Row],[商品代號]])</f>
        <v>XH040</v>
      </c>
      <c r="Q10" s="1990" t="str">
        <f ca="1">IF(開關=TRUE,IFERROR(VLOOKUP(P10,bond!B:C,2,FALSE),""),"")</f>
        <v>META平台公司美元配息債券 4.45% 2052/8/15</v>
      </c>
      <c r="R10" s="1990"/>
      <c r="S10" s="1990"/>
      <c r="T10" s="1990"/>
      <c r="U10" s="1990"/>
      <c r="V10" s="2092" t="str">
        <f ca="1">IF(P10="","",VLOOKUP(P10,'銀行-TSS'!B:C,2,FALSE))</f>
        <v>USD</v>
      </c>
      <c r="W10" s="2093"/>
      <c r="X10" s="647">
        <f ca="1">IF(P10="","",'商品代碼-中繼頁'!S5)</f>
        <v>20240101</v>
      </c>
      <c r="Y10" s="597">
        <f ca="1">IF(P10="","",庫存管理[[#This Row],[投入面額]])</f>
        <v>100000</v>
      </c>
      <c r="Z10" s="648">
        <f ca="1">IF(P10="","",庫存管理[[#This Row],[持有成本(含前手息)]])</f>
        <v>88000</v>
      </c>
      <c r="AA10" s="2089">
        <f ca="1">IF(OR(P10="",'Tssco-bond portfolio(2)'!S10=FALSE),"",IFERROR(庫存管理[[#This Row],[部位現值(含前手息)]],""))</f>
        <v>86903.5</v>
      </c>
      <c r="AB10" s="2090"/>
      <c r="AC10" s="2090"/>
      <c r="AD10" s="2091"/>
      <c r="AE10" s="2040">
        <f ca="1">IF(OR(P10="",'Tssco-bond portfolio(2)'!S10=FALSE),"",IF(MF=2,IFERROR(庫存管理[[#This Row],[累計配息]],""),IFERROR(庫存管理[[#This Row],[已實現配息(原幣)]],"")))</f>
        <v>2225.0000000000005</v>
      </c>
      <c r="AF10" s="2041"/>
      <c r="AG10" s="2041"/>
      <c r="AH10" s="2042"/>
      <c r="AI10" s="2095">
        <f ca="1">IF(OR(P10="",'Tssco-bond portfolio(2)'!S10=FALSE),"",IFERROR(庫存管理[[#This Row],[資本利損]],""))</f>
        <v>-1096.5</v>
      </c>
      <c r="AJ10" s="2096"/>
      <c r="AK10" s="2096"/>
      <c r="AL10" s="2097"/>
      <c r="AM10" s="2071">
        <f ca="1">IF(OR(P10="",'Tssco-bond portfolio(2)'!S10=FALSE),"",IFERROR(庫存管理[[#This Row],[合計收益]],""))</f>
        <v>1128.5000000000005</v>
      </c>
      <c r="AN10" s="2041"/>
      <c r="AO10" s="2041"/>
      <c r="AP10" s="2072"/>
      <c r="AQ10" s="2078">
        <f ca="1">IF(AM10="","",庫存管理[[#This Row],[總報酬]])</f>
        <v>1.2823863636363642E-2</v>
      </c>
      <c r="AR10" s="2076"/>
      <c r="AS10" s="2079"/>
      <c r="AT10" s="2076">
        <f ca="1">IF(AM10="","",IFERROR(庫存管理[[#This Row],[投入佔比]],0))</f>
        <v>0.26506024096385544</v>
      </c>
      <c r="AU10" s="2076"/>
      <c r="AV10" s="2073">
        <f t="shared" ca="1" si="0"/>
        <v>-4.4668255853849703E-3</v>
      </c>
      <c r="AW10" s="2073"/>
      <c r="AX10" s="2073"/>
      <c r="AY10" s="2076">
        <f ca="1">IF(AM10="","",IFERROR(庫存管理[[#This Row],[現值佔比]],""))</f>
        <v>0.26059341537847047</v>
      </c>
      <c r="AZ10" s="2077"/>
      <c r="BA10" s="601"/>
      <c r="BI10" s="610">
        <f t="shared" ca="1" si="1"/>
        <v>45292</v>
      </c>
      <c r="BJ10" s="610">
        <f ca="1">IFERROR(DATEVALUE(VLOOKUP(P10,'銀行-TSS'!B:AL,37,FALSE)),VLOOKUP(P10,'銀行-TSS'!B:AL,37,FALSE))</f>
        <v>44782</v>
      </c>
      <c r="BK10" s="517">
        <f ca="1">VLOOKUP(P10,'銀行-TSS'!B:N,13,FALSE)</f>
        <v>10000</v>
      </c>
      <c r="BL10" s="621">
        <f ca="1">VLOOKUP(P10,'銀行-TSS'!B:O,14,FALSE)</f>
        <v>1000</v>
      </c>
      <c r="BM10" s="741" t="b">
        <f t="shared" ca="1" si="2"/>
        <v>0</v>
      </c>
      <c r="BN10" s="55" t="b">
        <f t="shared" ca="1" si="3"/>
        <v>0</v>
      </c>
      <c r="BO10" s="1785">
        <f t="shared" ca="1" si="4"/>
        <v>-4.4668255853849703E-3</v>
      </c>
    </row>
    <row r="11" spans="4:67" ht="28" hidden="1" customHeight="1">
      <c r="D11" s="606"/>
      <c r="E11" s="606"/>
      <c r="F11" s="1425"/>
      <c r="G11" s="1701"/>
      <c r="H11" s="1702"/>
      <c r="I11" s="1696"/>
      <c r="J11" s="505"/>
      <c r="M11" s="55">
        <v>5</v>
      </c>
      <c r="N11" s="1049" t="str">
        <f ca="1">IF(OR(P11="",換券單檔!AG6=0),"","★")</f>
        <v/>
      </c>
      <c r="P11" s="598" t="str">
        <f ca="1">IF(OR(開關=FALSE,庫存管理[[#This Row],[商品代號]]=""),"",庫存管理[[#This Row],[商品代號]])</f>
        <v/>
      </c>
      <c r="Q11" s="1990" t="str">
        <f ca="1">IF(開關=TRUE,IFERROR(VLOOKUP(P11,bond!B:C,2,FALSE),""),"")</f>
        <v/>
      </c>
      <c r="R11" s="1990"/>
      <c r="S11" s="1990"/>
      <c r="T11" s="1990"/>
      <c r="U11" s="1990"/>
      <c r="V11" s="2092" t="str">
        <f ca="1">IF(P11="","",VLOOKUP(P11,'銀行-TSS'!B:C,2,FALSE))</f>
        <v/>
      </c>
      <c r="W11" s="2093"/>
      <c r="X11" s="647" t="str">
        <f ca="1">IF(P11="","",'商品代碼-中繼頁'!S6)</f>
        <v/>
      </c>
      <c r="Y11" s="597" t="str">
        <f ca="1">IF(P11="","",庫存管理[[#This Row],[投入面額]])</f>
        <v/>
      </c>
      <c r="Z11" s="648" t="str">
        <f ca="1">IF(P11="","",庫存管理[[#This Row],[持有成本(含前手息)]])</f>
        <v/>
      </c>
      <c r="AA11" s="2089" t="str">
        <f ca="1">IF(OR(P11="",'Tssco-bond portfolio(2)'!S11=FALSE),"",IFERROR(庫存管理[[#This Row],[部位現值(含前手息)]],""))</f>
        <v/>
      </c>
      <c r="AB11" s="2090"/>
      <c r="AC11" s="2090"/>
      <c r="AD11" s="2091"/>
      <c r="AE11" s="2040" t="str">
        <f ca="1">IF(OR(P11="",'Tssco-bond portfolio(2)'!S11=FALSE),"",IF(MF=2,IFERROR(庫存管理[[#This Row],[累計配息]],""),IFERROR(庫存管理[[#This Row],[已實現配息(原幣)]],"")))</f>
        <v/>
      </c>
      <c r="AF11" s="2041"/>
      <c r="AG11" s="2041"/>
      <c r="AH11" s="2042"/>
      <c r="AI11" s="2095" t="str">
        <f ca="1">IF(OR(P11="",'Tssco-bond portfolio(2)'!S11=FALSE),"",IFERROR(庫存管理[[#This Row],[資本利損]],""))</f>
        <v/>
      </c>
      <c r="AJ11" s="2096"/>
      <c r="AK11" s="2096"/>
      <c r="AL11" s="2097"/>
      <c r="AM11" s="2071" t="str">
        <f ca="1">IF(OR(P11="",'Tssco-bond portfolio(2)'!S11=FALSE),"",IFERROR(庫存管理[[#This Row],[合計收益]],""))</f>
        <v/>
      </c>
      <c r="AN11" s="2041"/>
      <c r="AO11" s="2041"/>
      <c r="AP11" s="2072"/>
      <c r="AQ11" s="2078" t="str">
        <f ca="1">IF(AM11="","",庫存管理[[#This Row],[總報酬]])</f>
        <v/>
      </c>
      <c r="AR11" s="2076"/>
      <c r="AS11" s="2079"/>
      <c r="AT11" s="2076" t="str">
        <f ca="1">IF(AM11="","",IFERROR(庫存管理[[#This Row],[投入佔比]],0))</f>
        <v/>
      </c>
      <c r="AU11" s="2076"/>
      <c r="AV11" s="2073">
        <f t="shared" ca="1" si="0"/>
        <v>0</v>
      </c>
      <c r="AW11" s="2073"/>
      <c r="AX11" s="2073"/>
      <c r="AY11" s="2076" t="str">
        <f ca="1">IF(AM11="","",IFERROR(庫存管理[[#This Row],[現值佔比]],""))</f>
        <v/>
      </c>
      <c r="AZ11" s="2077"/>
      <c r="BA11" s="601"/>
      <c r="BI11" s="610" t="e">
        <f t="shared" ca="1" si="1"/>
        <v>#VALUE!</v>
      </c>
      <c r="BJ11" s="610" t="e">
        <f ca="1">IFERROR(DATEVALUE(VLOOKUP(P11,'銀行-TSS'!B:AL,37,FALSE)),VLOOKUP(P11,'銀行-TSS'!B:AL,37,FALSE))</f>
        <v>#N/A</v>
      </c>
      <c r="BK11" s="517" t="e">
        <f ca="1">VLOOKUP(P11,'銀行-TSS'!B:N,13,FALSE)</f>
        <v>#N/A</v>
      </c>
      <c r="BL11" s="621" t="e">
        <f ca="1">VLOOKUP(P11,'銀行-TSS'!B:O,14,FALSE)</f>
        <v>#N/A</v>
      </c>
      <c r="BM11" s="741" t="b">
        <f t="shared" ca="1" si="2"/>
        <v>0</v>
      </c>
      <c r="BN11" s="55" t="e">
        <f ca="1">OR($Y11&lt;$BK11,MOD($Y11,$BL11)&lt;&gt;0)</f>
        <v>#N/A</v>
      </c>
      <c r="BO11" s="1785">
        <f t="shared" ca="1" si="4"/>
        <v>0</v>
      </c>
    </row>
    <row r="12" spans="4:67" ht="28" hidden="1" customHeight="1">
      <c r="D12" s="606"/>
      <c r="E12" s="606"/>
      <c r="F12" s="1425"/>
      <c r="G12" s="1701"/>
      <c r="H12" s="1702"/>
      <c r="I12" s="1696"/>
      <c r="J12" s="505"/>
      <c r="M12" s="55">
        <v>6</v>
      </c>
      <c r="N12" s="1049" t="str">
        <f ca="1">IF(OR(P12="",換券單檔!AG7=0),"","★")</f>
        <v/>
      </c>
      <c r="P12" s="598" t="str">
        <f ca="1">IF(OR(開關=FALSE,庫存管理[[#This Row],[商品代號]]=""),"",庫存管理[[#This Row],[商品代號]])</f>
        <v/>
      </c>
      <c r="Q12" s="1990" t="str">
        <f ca="1">IF(開關=TRUE,IFERROR(VLOOKUP(P12,bond!B:C,2,FALSE),""),"")</f>
        <v/>
      </c>
      <c r="R12" s="1990"/>
      <c r="S12" s="1990"/>
      <c r="T12" s="1990"/>
      <c r="U12" s="1990"/>
      <c r="V12" s="2092" t="str">
        <f ca="1">IF(P12="","",VLOOKUP(P12,'銀行-TSS'!B:C,2,FALSE))</f>
        <v/>
      </c>
      <c r="W12" s="2093"/>
      <c r="X12" s="647" t="str">
        <f ca="1">IF(P12="","",'商品代碼-中繼頁'!S7)</f>
        <v/>
      </c>
      <c r="Y12" s="597" t="str">
        <f ca="1">IF(P12="","",庫存管理[[#This Row],[投入面額]])</f>
        <v/>
      </c>
      <c r="Z12" s="648" t="str">
        <f ca="1">IF(P12="","",庫存管理[[#This Row],[持有成本(含前手息)]])</f>
        <v/>
      </c>
      <c r="AA12" s="2089" t="str">
        <f ca="1">IF(OR(P12="",'Tssco-bond portfolio(2)'!S12=FALSE),"",IFERROR(庫存管理[[#This Row],[部位現值(含前手息)]],""))</f>
        <v/>
      </c>
      <c r="AB12" s="2090"/>
      <c r="AC12" s="2090"/>
      <c r="AD12" s="2091"/>
      <c r="AE12" s="2040" t="str">
        <f ca="1">IF(OR(P12="",'Tssco-bond portfolio(2)'!S12=FALSE),"",IF(MF=2,IFERROR(庫存管理[[#This Row],[累計配息]],""),IFERROR(庫存管理[[#This Row],[已實現配息(原幣)]],"")))</f>
        <v/>
      </c>
      <c r="AF12" s="2041"/>
      <c r="AG12" s="2041"/>
      <c r="AH12" s="2042"/>
      <c r="AI12" s="2095" t="str">
        <f ca="1">IF(OR(P12="",'Tssco-bond portfolio(2)'!S12=FALSE),"",IFERROR(庫存管理[[#This Row],[資本利損]],""))</f>
        <v/>
      </c>
      <c r="AJ12" s="2096"/>
      <c r="AK12" s="2096"/>
      <c r="AL12" s="2097"/>
      <c r="AM12" s="2071" t="str">
        <f ca="1">IF(OR(P12="",'Tssco-bond portfolio(2)'!S12=FALSE),"",IFERROR(庫存管理[[#This Row],[合計收益]],""))</f>
        <v/>
      </c>
      <c r="AN12" s="2041"/>
      <c r="AO12" s="2041"/>
      <c r="AP12" s="2072"/>
      <c r="AQ12" s="2078" t="str">
        <f ca="1">IF(AM12="","",庫存管理[[#This Row],[總報酬]])</f>
        <v/>
      </c>
      <c r="AR12" s="2076"/>
      <c r="AS12" s="2079"/>
      <c r="AT12" s="2076" t="str">
        <f ca="1">IF(AM12="","",IFERROR(庫存管理[[#This Row],[投入佔比]],0))</f>
        <v/>
      </c>
      <c r="AU12" s="2076"/>
      <c r="AV12" s="2073">
        <f t="shared" ca="1" si="0"/>
        <v>0</v>
      </c>
      <c r="AW12" s="2073"/>
      <c r="AX12" s="2073"/>
      <c r="AY12" s="2076" t="str">
        <f ca="1">IF(AM12="","",IFERROR(庫存管理[[#This Row],[現值佔比]],""))</f>
        <v/>
      </c>
      <c r="AZ12" s="2077"/>
      <c r="BA12" s="601"/>
      <c r="BI12" s="610" t="e">
        <f t="shared" ca="1" si="1"/>
        <v>#VALUE!</v>
      </c>
      <c r="BJ12" s="610" t="e">
        <f ca="1">IFERROR(DATEVALUE(VLOOKUP(P12,'銀行-TSS'!B:AL,37,FALSE)),VLOOKUP(P12,'銀行-TSS'!B:AL,37,FALSE))</f>
        <v>#N/A</v>
      </c>
      <c r="BK12" s="517" t="e">
        <f ca="1">VLOOKUP(P12,'銀行-TSS'!B:N,13,FALSE)</f>
        <v>#N/A</v>
      </c>
      <c r="BL12" s="621" t="e">
        <f ca="1">VLOOKUP(P12,'銀行-TSS'!B:O,14,FALSE)</f>
        <v>#N/A</v>
      </c>
      <c r="BM12" s="741" t="b">
        <f t="shared" ca="1" si="2"/>
        <v>0</v>
      </c>
      <c r="BN12" s="55" t="e">
        <f t="shared" ca="1" si="3"/>
        <v>#N/A</v>
      </c>
      <c r="BO12" s="1785">
        <f t="shared" ca="1" si="4"/>
        <v>0</v>
      </c>
    </row>
    <row r="13" spans="4:67" ht="28" hidden="1" customHeight="1">
      <c r="D13" s="606"/>
      <c r="E13" s="606"/>
      <c r="F13" s="1425"/>
      <c r="G13" s="1701"/>
      <c r="H13" s="1702"/>
      <c r="I13" s="1696"/>
      <c r="J13" s="505"/>
      <c r="M13" s="55">
        <v>7</v>
      </c>
      <c r="N13" s="1049" t="str">
        <f ca="1">IF(OR(P13="",換券單檔!AG8=0),"","★")</f>
        <v/>
      </c>
      <c r="P13" s="598" t="str">
        <f ca="1">IF(OR(開關=FALSE,庫存管理[[#This Row],[商品代號]]=""),"",庫存管理[[#This Row],[商品代號]])</f>
        <v/>
      </c>
      <c r="Q13" s="1990" t="str">
        <f ca="1">IF(開關=TRUE,IFERROR(VLOOKUP(P13,bond!B:C,2,FALSE),""),"")</f>
        <v/>
      </c>
      <c r="R13" s="1990"/>
      <c r="S13" s="1990"/>
      <c r="T13" s="1990"/>
      <c r="U13" s="1990"/>
      <c r="V13" s="2092" t="str">
        <f ca="1">IF(P13="","",VLOOKUP(P13,'銀行-TSS'!B:C,2,FALSE))</f>
        <v/>
      </c>
      <c r="W13" s="2093"/>
      <c r="X13" s="647" t="str">
        <f ca="1">IF(P13="","",'商品代碼-中繼頁'!S8)</f>
        <v/>
      </c>
      <c r="Y13" s="597" t="str">
        <f ca="1">IF(P13="","",庫存管理[[#This Row],[投入面額]])</f>
        <v/>
      </c>
      <c r="Z13" s="648" t="str">
        <f ca="1">IF(P13="","",庫存管理[[#This Row],[持有成本(含前手息)]])</f>
        <v/>
      </c>
      <c r="AA13" s="2089" t="str">
        <f ca="1">IF(OR(P13="",'Tssco-bond portfolio(2)'!S13=FALSE),"",IFERROR(庫存管理[[#This Row],[部位現值(含前手息)]],""))</f>
        <v/>
      </c>
      <c r="AB13" s="2090"/>
      <c r="AC13" s="2090"/>
      <c r="AD13" s="2091"/>
      <c r="AE13" s="2040" t="str">
        <f ca="1">IF(OR(P13="",'Tssco-bond portfolio(2)'!S13=FALSE),"",IF(MF=2,IFERROR(庫存管理[[#This Row],[累計配息]],""),IFERROR(庫存管理[[#This Row],[已實現配息(原幣)]],"")))</f>
        <v/>
      </c>
      <c r="AF13" s="2041"/>
      <c r="AG13" s="2041"/>
      <c r="AH13" s="2042"/>
      <c r="AI13" s="2095" t="str">
        <f ca="1">IF(OR(P13="",'Tssco-bond portfolio(2)'!S13=FALSE),"",IFERROR(庫存管理[[#This Row],[資本利損]],""))</f>
        <v/>
      </c>
      <c r="AJ13" s="2096"/>
      <c r="AK13" s="2096"/>
      <c r="AL13" s="2097"/>
      <c r="AM13" s="2071" t="str">
        <f ca="1">IF(OR(P13="",'Tssco-bond portfolio(2)'!S13=FALSE),"",IFERROR(庫存管理[[#This Row],[合計收益]],""))</f>
        <v/>
      </c>
      <c r="AN13" s="2041"/>
      <c r="AO13" s="2041"/>
      <c r="AP13" s="2072"/>
      <c r="AQ13" s="2078" t="str">
        <f ca="1">IF(AM13="","",庫存管理[[#This Row],[總報酬]])</f>
        <v/>
      </c>
      <c r="AR13" s="2076"/>
      <c r="AS13" s="2079"/>
      <c r="AT13" s="2076" t="str">
        <f ca="1">IF(AM13="","",IFERROR(庫存管理[[#This Row],[投入佔比]],0))</f>
        <v/>
      </c>
      <c r="AU13" s="2076"/>
      <c r="AV13" s="2073">
        <f t="shared" ca="1" si="0"/>
        <v>0</v>
      </c>
      <c r="AW13" s="2073"/>
      <c r="AX13" s="2073"/>
      <c r="AY13" s="2076" t="str">
        <f ca="1">IF(AM13="","",IFERROR(庫存管理[[#This Row],[現值佔比]],""))</f>
        <v/>
      </c>
      <c r="AZ13" s="2077"/>
      <c r="BA13" s="601"/>
      <c r="BI13" s="610" t="e">
        <f t="shared" ca="1" si="1"/>
        <v>#VALUE!</v>
      </c>
      <c r="BJ13" s="610" t="e">
        <f ca="1">IFERROR(DATEVALUE(VLOOKUP(P13,'銀行-TSS'!B:AL,37,FALSE)),VLOOKUP(P13,'銀行-TSS'!B:AL,37,FALSE))</f>
        <v>#N/A</v>
      </c>
      <c r="BK13" s="517" t="e">
        <f ca="1">VLOOKUP(P13,'銀行-TSS'!B:N,13,FALSE)</f>
        <v>#N/A</v>
      </c>
      <c r="BL13" s="621" t="e">
        <f ca="1">VLOOKUP(P13,'銀行-TSS'!B:O,14,FALSE)</f>
        <v>#N/A</v>
      </c>
      <c r="BM13" s="741" t="b">
        <f t="shared" ca="1" si="2"/>
        <v>0</v>
      </c>
      <c r="BN13" s="55" t="e">
        <f t="shared" ca="1" si="3"/>
        <v>#N/A</v>
      </c>
      <c r="BO13" s="1785">
        <f t="shared" ca="1" si="4"/>
        <v>0</v>
      </c>
    </row>
    <row r="14" spans="4:67" ht="28" hidden="1" customHeight="1">
      <c r="D14" s="606"/>
      <c r="E14" s="606"/>
      <c r="F14" s="669"/>
      <c r="G14" s="669"/>
      <c r="H14" s="669"/>
      <c r="I14" s="1696"/>
      <c r="J14" s="505"/>
      <c r="M14" s="55">
        <v>8</v>
      </c>
      <c r="N14" s="1049" t="str">
        <f ca="1">IF(OR(P14="",換券單檔!AG9=0),"","★")</f>
        <v/>
      </c>
      <c r="P14" s="598" t="str">
        <f ca="1">IF(OR(開關=FALSE,庫存管理[[#This Row],[商品代號]]=""),"",庫存管理[[#This Row],[商品代號]])</f>
        <v/>
      </c>
      <c r="Q14" s="1990" t="str">
        <f ca="1">IF(開關=TRUE,IFERROR(VLOOKUP(P14,bond!B:C,2,FALSE),""),"")</f>
        <v/>
      </c>
      <c r="R14" s="1990"/>
      <c r="S14" s="1990"/>
      <c r="T14" s="1990"/>
      <c r="U14" s="1990"/>
      <c r="V14" s="2092" t="str">
        <f ca="1">IF(P14="","",VLOOKUP(P14,'銀行-TSS'!B:C,2,FALSE))</f>
        <v/>
      </c>
      <c r="W14" s="2093"/>
      <c r="X14" s="647" t="str">
        <f ca="1">IF(P14="","",'商品代碼-中繼頁'!S9)</f>
        <v/>
      </c>
      <c r="Y14" s="597" t="str">
        <f ca="1">IF(P14="","",庫存管理[[#This Row],[投入面額]])</f>
        <v/>
      </c>
      <c r="Z14" s="648" t="str">
        <f ca="1">IF(P14="","",庫存管理[[#This Row],[持有成本(含前手息)]])</f>
        <v/>
      </c>
      <c r="AA14" s="2089" t="str">
        <f ca="1">IF(OR(P14="",'Tssco-bond portfolio(2)'!S14=FALSE),"",IFERROR(庫存管理[[#This Row],[部位現值(含前手息)]],""))</f>
        <v/>
      </c>
      <c r="AB14" s="2090"/>
      <c r="AC14" s="2090"/>
      <c r="AD14" s="2091"/>
      <c r="AE14" s="2040" t="str">
        <f ca="1">IF(OR(P14="",'Tssco-bond portfolio(2)'!S14=FALSE),"",IF(MF=2,IFERROR(庫存管理[[#This Row],[累計配息]],""),IFERROR(庫存管理[[#This Row],[已實現配息(原幣)]],"")))</f>
        <v/>
      </c>
      <c r="AF14" s="2041"/>
      <c r="AG14" s="2041"/>
      <c r="AH14" s="2042"/>
      <c r="AI14" s="2095" t="str">
        <f ca="1">IF(OR(P14="",'Tssco-bond portfolio(2)'!S14=FALSE),"",IFERROR(庫存管理[[#This Row],[資本利損]],""))</f>
        <v/>
      </c>
      <c r="AJ14" s="2096"/>
      <c r="AK14" s="2096"/>
      <c r="AL14" s="2097"/>
      <c r="AM14" s="2071" t="str">
        <f ca="1">IF(OR(P14="",'Tssco-bond portfolio(2)'!S14=FALSE),"",IFERROR(庫存管理[[#This Row],[合計收益]],""))</f>
        <v/>
      </c>
      <c r="AN14" s="2041"/>
      <c r="AO14" s="2041"/>
      <c r="AP14" s="2072"/>
      <c r="AQ14" s="2078" t="str">
        <f ca="1">IF(AM14="","",庫存管理[[#This Row],[總報酬]])</f>
        <v/>
      </c>
      <c r="AR14" s="2076"/>
      <c r="AS14" s="2079"/>
      <c r="AT14" s="2076" t="str">
        <f ca="1">IF(AM14="","",IFERROR(庫存管理[[#This Row],[投入佔比]],0))</f>
        <v/>
      </c>
      <c r="AU14" s="2076"/>
      <c r="AV14" s="2073">
        <f t="shared" ca="1" si="0"/>
        <v>0</v>
      </c>
      <c r="AW14" s="2073"/>
      <c r="AX14" s="2073"/>
      <c r="AY14" s="2076" t="str">
        <f ca="1">IF(AM14="","",IFERROR(庫存管理[[#This Row],[現值佔比]],""))</f>
        <v/>
      </c>
      <c r="AZ14" s="2077"/>
      <c r="BA14" s="601"/>
      <c r="BI14" s="610" t="e">
        <f t="shared" ca="1" si="1"/>
        <v>#VALUE!</v>
      </c>
      <c r="BJ14" s="610" t="e">
        <f ca="1">IFERROR(DATEVALUE(VLOOKUP(P14,'銀行-TSS'!B:AL,37,FALSE)),VLOOKUP(P14,'銀行-TSS'!B:AL,37,FALSE))</f>
        <v>#N/A</v>
      </c>
      <c r="BK14" s="517" t="e">
        <f ca="1">VLOOKUP(P14,'銀行-TSS'!B:N,13,FALSE)</f>
        <v>#N/A</v>
      </c>
      <c r="BL14" s="621" t="e">
        <f ca="1">VLOOKUP(P14,'銀行-TSS'!B:O,14,FALSE)</f>
        <v>#N/A</v>
      </c>
      <c r="BM14" s="741" t="b">
        <f t="shared" ca="1" si="2"/>
        <v>0</v>
      </c>
      <c r="BN14" s="55" t="e">
        <f t="shared" ca="1" si="3"/>
        <v>#N/A</v>
      </c>
      <c r="BO14" s="1785">
        <f t="shared" ca="1" si="4"/>
        <v>0</v>
      </c>
    </row>
    <row r="15" spans="4:67" ht="28" hidden="1" customHeight="1">
      <c r="D15" s="606"/>
      <c r="E15" s="606"/>
      <c r="F15" s="669"/>
      <c r="G15" s="669"/>
      <c r="H15" s="669"/>
      <c r="I15" s="1699"/>
      <c r="J15" s="505"/>
      <c r="M15" s="55">
        <v>9</v>
      </c>
      <c r="N15" s="1049" t="str">
        <f ca="1">IF(OR(P15="",換券單檔!AG10=0),"","★")</f>
        <v/>
      </c>
      <c r="P15" s="598" t="str">
        <f ca="1">IF(OR(開關=FALSE,庫存管理[[#This Row],[商品代號]]=""),"",庫存管理[[#This Row],[商品代號]])</f>
        <v/>
      </c>
      <c r="Q15" s="1990" t="str">
        <f ca="1">IF(開關=TRUE,IFERROR(VLOOKUP(P15,bond!B:C,2,FALSE),""),"")</f>
        <v/>
      </c>
      <c r="R15" s="1990"/>
      <c r="S15" s="1990"/>
      <c r="T15" s="1990"/>
      <c r="U15" s="1990"/>
      <c r="V15" s="2092" t="str">
        <f ca="1">IF(P15="","",VLOOKUP(P15,'銀行-TSS'!B:C,2,FALSE))</f>
        <v/>
      </c>
      <c r="W15" s="2093"/>
      <c r="X15" s="647" t="str">
        <f ca="1">IF(P15="","",'商品代碼-中繼頁'!S10)</f>
        <v/>
      </c>
      <c r="Y15" s="597" t="str">
        <f ca="1">IF(P15="","",庫存管理[[#This Row],[投入面額]])</f>
        <v/>
      </c>
      <c r="Z15" s="648" t="str">
        <f ca="1">IF(P15="","",庫存管理[[#This Row],[持有成本(含前手息)]])</f>
        <v/>
      </c>
      <c r="AA15" s="2089" t="str">
        <f ca="1">IF(OR(P15="",'Tssco-bond portfolio(2)'!S15=FALSE),"",IFERROR(庫存管理[[#This Row],[部位現值(含前手息)]],""))</f>
        <v/>
      </c>
      <c r="AB15" s="2090"/>
      <c r="AC15" s="2090"/>
      <c r="AD15" s="2091"/>
      <c r="AE15" s="2040" t="str">
        <f ca="1">IF(OR(P15="",'Tssco-bond portfolio(2)'!S15=FALSE),"",IF(MF=2,IFERROR(庫存管理[[#This Row],[累計配息]],""),IFERROR(庫存管理[[#This Row],[已實現配息(原幣)]],"")))</f>
        <v/>
      </c>
      <c r="AF15" s="2041"/>
      <c r="AG15" s="2041"/>
      <c r="AH15" s="2042"/>
      <c r="AI15" s="2095" t="str">
        <f ca="1">IF(OR(P15="",'Tssco-bond portfolio(2)'!S15=FALSE),"",IFERROR(庫存管理[[#This Row],[資本利損]],""))</f>
        <v/>
      </c>
      <c r="AJ15" s="2096"/>
      <c r="AK15" s="2096"/>
      <c r="AL15" s="2097"/>
      <c r="AM15" s="2071" t="str">
        <f ca="1">IF(OR(P15="",'Tssco-bond portfolio(2)'!S15=FALSE),"",IFERROR(庫存管理[[#This Row],[合計收益]],""))</f>
        <v/>
      </c>
      <c r="AN15" s="2041"/>
      <c r="AO15" s="2041"/>
      <c r="AP15" s="2072"/>
      <c r="AQ15" s="2078" t="str">
        <f ca="1">IF(AM15="","",庫存管理[[#This Row],[總報酬]])</f>
        <v/>
      </c>
      <c r="AR15" s="2076"/>
      <c r="AS15" s="2079"/>
      <c r="AT15" s="2076" t="str">
        <f ca="1">IF(AM15="","",IFERROR(庫存管理[[#This Row],[投入佔比]],0))</f>
        <v/>
      </c>
      <c r="AU15" s="2076"/>
      <c r="AV15" s="2073">
        <f t="shared" ca="1" si="0"/>
        <v>0</v>
      </c>
      <c r="AW15" s="2073"/>
      <c r="AX15" s="2073"/>
      <c r="AY15" s="2076" t="str">
        <f ca="1">IF(AM15="","",IFERROR(庫存管理[[#This Row],[現值佔比]],""))</f>
        <v/>
      </c>
      <c r="AZ15" s="2077"/>
      <c r="BA15" s="601"/>
      <c r="BI15" s="610" t="e">
        <f t="shared" ca="1" si="1"/>
        <v>#VALUE!</v>
      </c>
      <c r="BJ15" s="610" t="e">
        <f ca="1">IFERROR(DATEVALUE(VLOOKUP(P15,'銀行-TSS'!B:AL,37,FALSE)),VLOOKUP(P15,'銀行-TSS'!B:AL,37,FALSE))</f>
        <v>#N/A</v>
      </c>
      <c r="BK15" s="517" t="e">
        <f ca="1">VLOOKUP(P15,'銀行-TSS'!B:N,13,FALSE)</f>
        <v>#N/A</v>
      </c>
      <c r="BL15" s="621" t="e">
        <f ca="1">VLOOKUP(P15,'銀行-TSS'!B:O,14,FALSE)</f>
        <v>#N/A</v>
      </c>
      <c r="BM15" s="741" t="b">
        <f t="shared" ca="1" si="2"/>
        <v>0</v>
      </c>
      <c r="BN15" s="55" t="e">
        <f t="shared" ca="1" si="3"/>
        <v>#N/A</v>
      </c>
      <c r="BO15" s="1785">
        <f t="shared" ca="1" si="4"/>
        <v>0</v>
      </c>
    </row>
    <row r="16" spans="4:67" ht="28" hidden="1" customHeight="1">
      <c r="D16" s="606"/>
      <c r="E16" s="606"/>
      <c r="F16" s="669"/>
      <c r="G16" s="669"/>
      <c r="H16" s="669"/>
      <c r="I16" s="1697"/>
      <c r="J16" s="505"/>
      <c r="M16" s="55">
        <v>10</v>
      </c>
      <c r="N16" s="1049" t="str">
        <f ca="1">IF(OR(P16="",換券單檔!AG11=0),"","★")</f>
        <v/>
      </c>
      <c r="P16" s="598" t="str">
        <f ca="1">IF(OR(開關=FALSE,庫存管理[[#This Row],[商品代號]]=""),"",庫存管理[[#This Row],[商品代號]])</f>
        <v/>
      </c>
      <c r="Q16" s="1990" t="str">
        <f ca="1">IF(開關=TRUE,IFERROR(VLOOKUP(P16,bond!B:C,2,FALSE),""),"")</f>
        <v/>
      </c>
      <c r="R16" s="1990"/>
      <c r="S16" s="1990"/>
      <c r="T16" s="1990"/>
      <c r="U16" s="1990"/>
      <c r="V16" s="2092" t="str">
        <f ca="1">IF(P16="","",VLOOKUP(P16,'銀行-TSS'!B:C,2,FALSE))</f>
        <v/>
      </c>
      <c r="W16" s="2093"/>
      <c r="X16" s="647" t="str">
        <f ca="1">IF(P16="","",'商品代碼-中繼頁'!S11)</f>
        <v/>
      </c>
      <c r="Y16" s="597" t="str">
        <f ca="1">IF(P16="","",庫存管理[[#This Row],[投入面額]])</f>
        <v/>
      </c>
      <c r="Z16" s="648" t="str">
        <f ca="1">IF(P16="","",庫存管理[[#This Row],[持有成本(含前手息)]])</f>
        <v/>
      </c>
      <c r="AA16" s="2089" t="str">
        <f ca="1">IF(OR(P16="",'Tssco-bond portfolio(2)'!S16=FALSE),"",IFERROR(庫存管理[[#This Row],[部位現值(含前手息)]],""))</f>
        <v/>
      </c>
      <c r="AB16" s="2090"/>
      <c r="AC16" s="2090"/>
      <c r="AD16" s="2091"/>
      <c r="AE16" s="2040" t="str">
        <f ca="1">IF(OR(P16="",'Tssco-bond portfolio(2)'!S16=FALSE),"",IF(MF=2,IFERROR(庫存管理[[#This Row],[累計配息]],""),IFERROR(庫存管理[[#This Row],[已實現配息(原幣)]],"")))</f>
        <v/>
      </c>
      <c r="AF16" s="2041"/>
      <c r="AG16" s="2041"/>
      <c r="AH16" s="2042"/>
      <c r="AI16" s="2095" t="str">
        <f ca="1">IF(OR(P16="",'Tssco-bond portfolio(2)'!S16=FALSE),"",IFERROR(庫存管理[[#This Row],[資本利損]],""))</f>
        <v/>
      </c>
      <c r="AJ16" s="2096"/>
      <c r="AK16" s="2096"/>
      <c r="AL16" s="2097"/>
      <c r="AM16" s="2071" t="str">
        <f ca="1">IF(OR(P16="",'Tssco-bond portfolio(2)'!S16=FALSE),"",IFERROR(庫存管理[[#This Row],[合計收益]],""))</f>
        <v/>
      </c>
      <c r="AN16" s="2041"/>
      <c r="AO16" s="2041"/>
      <c r="AP16" s="2072"/>
      <c r="AQ16" s="2078" t="str">
        <f ca="1">IF(AM16="","",庫存管理[[#This Row],[總報酬]])</f>
        <v/>
      </c>
      <c r="AR16" s="2076"/>
      <c r="AS16" s="2079"/>
      <c r="AT16" s="2076" t="str">
        <f ca="1">IF(AM16="","",IFERROR(庫存管理[[#This Row],[投入佔比]],0))</f>
        <v/>
      </c>
      <c r="AU16" s="2076"/>
      <c r="AV16" s="2073">
        <f t="shared" ca="1" si="0"/>
        <v>0</v>
      </c>
      <c r="AW16" s="2073"/>
      <c r="AX16" s="2073"/>
      <c r="AY16" s="2076" t="str">
        <f ca="1">IF(AM16="","",IFERROR(庫存管理[[#This Row],[現值佔比]],""))</f>
        <v/>
      </c>
      <c r="AZ16" s="2077"/>
      <c r="BA16" s="601"/>
      <c r="BI16" s="610" t="e">
        <f t="shared" ca="1" si="1"/>
        <v>#VALUE!</v>
      </c>
      <c r="BJ16" s="610" t="e">
        <f ca="1">IFERROR(DATEVALUE(VLOOKUP(P16,'銀行-TSS'!B:AL,37,FALSE)),VLOOKUP(P16,'銀行-TSS'!B:AL,37,FALSE))</f>
        <v>#N/A</v>
      </c>
      <c r="BK16" s="517" t="e">
        <f ca="1">VLOOKUP(P16,'銀行-TSS'!B:N,13,FALSE)</f>
        <v>#N/A</v>
      </c>
      <c r="BL16" s="621" t="e">
        <f ca="1">VLOOKUP(P16,'銀行-TSS'!B:O,14,FALSE)</f>
        <v>#N/A</v>
      </c>
      <c r="BM16" s="741" t="b">
        <f t="shared" ca="1" si="2"/>
        <v>0</v>
      </c>
      <c r="BN16" s="55" t="e">
        <f t="shared" ca="1" si="3"/>
        <v>#N/A</v>
      </c>
      <c r="BO16" s="1785">
        <f t="shared" ca="1" si="4"/>
        <v>0</v>
      </c>
    </row>
    <row r="17" spans="4:67" ht="28" hidden="1" customHeight="1">
      <c r="D17" s="606"/>
      <c r="E17" s="606"/>
      <c r="F17" s="669"/>
      <c r="G17" s="669"/>
      <c r="H17" s="669"/>
      <c r="I17" s="1697"/>
      <c r="J17" s="505"/>
      <c r="M17" s="55">
        <v>11</v>
      </c>
      <c r="N17" s="1049" t="str">
        <f ca="1">IF(OR(P17="",換券單檔!AG12=0),"","★")</f>
        <v/>
      </c>
      <c r="P17" s="598" t="str">
        <f ca="1">IF(OR(開關=FALSE,庫存管理[[#This Row],[商品代號]]=""),"",庫存管理[[#This Row],[商品代號]])</f>
        <v/>
      </c>
      <c r="Q17" s="1990" t="str">
        <f ca="1">IF(開關=TRUE,IFERROR(VLOOKUP(P17,bond!B:C,2,FALSE),""),"")</f>
        <v/>
      </c>
      <c r="R17" s="1990"/>
      <c r="S17" s="1990"/>
      <c r="T17" s="1990"/>
      <c r="U17" s="1990"/>
      <c r="V17" s="2092" t="str">
        <f ca="1">IF(P17="","",VLOOKUP(P17,'銀行-TSS'!B:C,2,FALSE))</f>
        <v/>
      </c>
      <c r="W17" s="2093"/>
      <c r="X17" s="647" t="str">
        <f ca="1">IF(P17="","",'商品代碼-中繼頁'!S12)</f>
        <v/>
      </c>
      <c r="Y17" s="597" t="str">
        <f ca="1">IF(P17="","",庫存管理[[#This Row],[投入面額]])</f>
        <v/>
      </c>
      <c r="Z17" s="648" t="str">
        <f ca="1">IF(P17="","",庫存管理[[#This Row],[持有成本(含前手息)]])</f>
        <v/>
      </c>
      <c r="AA17" s="2089" t="str">
        <f ca="1">IF(OR(P17="",'Tssco-bond portfolio(2)'!S17=FALSE),"",IFERROR(庫存管理[[#This Row],[部位現值(含前手息)]],""))</f>
        <v/>
      </c>
      <c r="AB17" s="2090"/>
      <c r="AC17" s="2090"/>
      <c r="AD17" s="2091"/>
      <c r="AE17" s="2040" t="str">
        <f ca="1">IF(OR(P17="",'Tssco-bond portfolio(2)'!S17=FALSE),"",IF(MF=2,IFERROR(庫存管理[[#This Row],[累計配息]],""),IFERROR(庫存管理[[#This Row],[已實現配息(原幣)]],"")))</f>
        <v/>
      </c>
      <c r="AF17" s="2041"/>
      <c r="AG17" s="2041"/>
      <c r="AH17" s="2042"/>
      <c r="AI17" s="2054" t="str">
        <f ca="1">IF(OR(P17="",'Tssco-bond portfolio(2)'!S17=FALSE),"",IFERROR(庫存管理[[#This Row],[資本利損]],""))</f>
        <v/>
      </c>
      <c r="AJ17" s="2055"/>
      <c r="AK17" s="2055"/>
      <c r="AL17" s="2056"/>
      <c r="AM17" s="2071" t="str">
        <f ca="1">IF(OR(P17="",'Tssco-bond portfolio(2)'!S17=FALSE),"",IFERROR(庫存管理[[#This Row],[合計收益]],""))</f>
        <v/>
      </c>
      <c r="AN17" s="2041"/>
      <c r="AO17" s="2041"/>
      <c r="AP17" s="2072"/>
      <c r="AQ17" s="2078" t="str">
        <f ca="1">IF(AM17="","",庫存管理[[#This Row],[總報酬]])</f>
        <v/>
      </c>
      <c r="AR17" s="2076"/>
      <c r="AS17" s="2079"/>
      <c r="AT17" s="2076" t="str">
        <f ca="1">IF(AM17="","",IFERROR(庫存管理[[#This Row],[投入佔比]],0))</f>
        <v/>
      </c>
      <c r="AU17" s="2076"/>
      <c r="AV17" s="2073">
        <f t="shared" ca="1" si="0"/>
        <v>0</v>
      </c>
      <c r="AW17" s="2073"/>
      <c r="AX17" s="2073"/>
      <c r="AY17" s="2076" t="str">
        <f ca="1">IF(AM17="","",IFERROR(庫存管理[[#This Row],[現值佔比]],""))</f>
        <v/>
      </c>
      <c r="AZ17" s="2077"/>
      <c r="BA17" s="601"/>
      <c r="BI17" s="610" t="e">
        <f t="shared" ca="1" si="1"/>
        <v>#VALUE!</v>
      </c>
      <c r="BJ17" s="610" t="e">
        <f ca="1">IFERROR(DATEVALUE(VLOOKUP(P17,'銀行-TSS'!B:AL,37,FALSE)),VLOOKUP(P17,'銀行-TSS'!B:AL,37,FALSE))</f>
        <v>#N/A</v>
      </c>
      <c r="BK17" s="517" t="e">
        <f ca="1">VLOOKUP(P17,'銀行-TSS'!B:N,13,FALSE)</f>
        <v>#N/A</v>
      </c>
      <c r="BL17" s="621" t="e">
        <f ca="1">VLOOKUP(P17,'銀行-TSS'!B:O,14,FALSE)</f>
        <v>#N/A</v>
      </c>
      <c r="BM17" s="741" t="b">
        <f t="shared" ca="1" si="2"/>
        <v>0</v>
      </c>
      <c r="BN17" s="55" t="e">
        <f t="shared" ca="1" si="3"/>
        <v>#N/A</v>
      </c>
      <c r="BO17" s="1785">
        <f t="shared" ca="1" si="4"/>
        <v>0</v>
      </c>
    </row>
    <row r="18" spans="4:67" ht="28" hidden="1" customHeight="1">
      <c r="D18" s="606"/>
      <c r="E18" s="606"/>
      <c r="F18" s="669"/>
      <c r="G18" s="669"/>
      <c r="H18" s="669"/>
      <c r="I18" s="1697"/>
      <c r="J18" s="505"/>
      <c r="M18" s="55">
        <v>12</v>
      </c>
      <c r="N18" s="1049" t="str">
        <f ca="1">IF(OR(P18="",換券單檔!AG13=0),"","★")</f>
        <v/>
      </c>
      <c r="P18" s="598" t="str">
        <f ca="1">IF(OR(開關=FALSE,庫存管理[[#This Row],[商品代號]]=""),"",庫存管理[[#This Row],[商品代號]])</f>
        <v/>
      </c>
      <c r="Q18" s="1990" t="str">
        <f ca="1">IF(開關=TRUE,IFERROR(VLOOKUP(P18,bond!B:C,2,FALSE),""),"")</f>
        <v/>
      </c>
      <c r="R18" s="1990"/>
      <c r="S18" s="1990"/>
      <c r="T18" s="1990"/>
      <c r="U18" s="1990"/>
      <c r="V18" s="2092" t="str">
        <f ca="1">IF(P18="","",VLOOKUP(P18,'銀行-TSS'!B:C,2,FALSE))</f>
        <v/>
      </c>
      <c r="W18" s="2093"/>
      <c r="X18" s="647" t="str">
        <f ca="1">IF(P18="","",'商品代碼-中繼頁'!S13)</f>
        <v/>
      </c>
      <c r="Y18" s="597" t="str">
        <f ca="1">IF(P18="","",庫存管理[[#This Row],[投入面額]])</f>
        <v/>
      </c>
      <c r="Z18" s="648" t="str">
        <f ca="1">IF(P18="","",庫存管理[[#This Row],[持有成本(含前手息)]])</f>
        <v/>
      </c>
      <c r="AA18" s="2089" t="str">
        <f ca="1">IF(OR(P18="",'Tssco-bond portfolio(2)'!S18=FALSE),"",IFERROR(庫存管理[[#This Row],[部位現值(含前手息)]],""))</f>
        <v/>
      </c>
      <c r="AB18" s="2090"/>
      <c r="AC18" s="2090"/>
      <c r="AD18" s="2091"/>
      <c r="AE18" s="2040" t="str">
        <f ca="1">IF(OR(P18="",'Tssco-bond portfolio(2)'!S18=FALSE),"",IF(MF=2,IFERROR(庫存管理[[#This Row],[累計配息]],""),IFERROR(庫存管理[[#This Row],[已實現配息(原幣)]],"")))</f>
        <v/>
      </c>
      <c r="AF18" s="2041"/>
      <c r="AG18" s="2041"/>
      <c r="AH18" s="2042"/>
      <c r="AI18" s="2054" t="str">
        <f ca="1">IF(OR(P18="",'Tssco-bond portfolio(2)'!S18=FALSE),"",IFERROR(庫存管理[[#This Row],[資本利損]],""))</f>
        <v/>
      </c>
      <c r="AJ18" s="2055"/>
      <c r="AK18" s="2055"/>
      <c r="AL18" s="2056"/>
      <c r="AM18" s="2071" t="str">
        <f ca="1">IF(OR(P18="",'Tssco-bond portfolio(2)'!S18=FALSE),"",IFERROR(庫存管理[[#This Row],[合計收益]],""))</f>
        <v/>
      </c>
      <c r="AN18" s="2041"/>
      <c r="AO18" s="2041"/>
      <c r="AP18" s="2072"/>
      <c r="AQ18" s="2078" t="str">
        <f ca="1">IF(AM18="","",庫存管理[[#This Row],[總報酬]])</f>
        <v/>
      </c>
      <c r="AR18" s="2076"/>
      <c r="AS18" s="2079"/>
      <c r="AT18" s="2076" t="str">
        <f ca="1">IF(AM18="","",IFERROR(庫存管理[[#This Row],[投入佔比]],0))</f>
        <v/>
      </c>
      <c r="AU18" s="2076"/>
      <c r="AV18" s="2073">
        <f t="shared" ca="1" si="0"/>
        <v>0</v>
      </c>
      <c r="AW18" s="2073"/>
      <c r="AX18" s="2073"/>
      <c r="AY18" s="2076" t="str">
        <f ca="1">IF(AM18="","",IFERROR(庫存管理[[#This Row],[現值佔比]],""))</f>
        <v/>
      </c>
      <c r="AZ18" s="2077"/>
      <c r="BA18" s="601"/>
      <c r="BI18" s="610" t="e">
        <f t="shared" ca="1" si="1"/>
        <v>#VALUE!</v>
      </c>
      <c r="BJ18" s="610" t="e">
        <f ca="1">IFERROR(DATEVALUE(VLOOKUP(P18,'銀行-TSS'!B:AL,37,FALSE)),VLOOKUP(P18,'銀行-TSS'!B:AL,37,FALSE))</f>
        <v>#N/A</v>
      </c>
      <c r="BK18" s="517" t="e">
        <f ca="1">VLOOKUP(P18,'銀行-TSS'!B:N,13,FALSE)</f>
        <v>#N/A</v>
      </c>
      <c r="BL18" s="621" t="e">
        <f ca="1">VLOOKUP(P18,'銀行-TSS'!B:O,14,FALSE)</f>
        <v>#N/A</v>
      </c>
      <c r="BM18" s="741" t="b">
        <f t="shared" ca="1" si="2"/>
        <v>0</v>
      </c>
      <c r="BN18" s="55" t="e">
        <f t="shared" ca="1" si="3"/>
        <v>#N/A</v>
      </c>
      <c r="BO18" s="1785">
        <f t="shared" ca="1" si="4"/>
        <v>0</v>
      </c>
    </row>
    <row r="19" spans="4:67" ht="28" hidden="1" customHeight="1">
      <c r="D19" s="606"/>
      <c r="E19" s="606"/>
      <c r="F19" s="669"/>
      <c r="G19" s="669"/>
      <c r="H19" s="669"/>
      <c r="I19" s="1697"/>
      <c r="J19" s="505"/>
      <c r="M19" s="55">
        <v>13</v>
      </c>
      <c r="N19" s="1049"/>
      <c r="P19" s="598" t="str">
        <f ca="1">IF(OR(開關=FALSE,庫存管理[[#This Row],[商品代號]]=""),"",庫存管理[[#This Row],[商品代號]])</f>
        <v/>
      </c>
      <c r="Q19" s="1990" t="str">
        <f ca="1">IF(開關=TRUE,IFERROR(VLOOKUP(P19,bond!B:C,2,FALSE),""),"")</f>
        <v/>
      </c>
      <c r="R19" s="1990"/>
      <c r="S19" s="1990"/>
      <c r="T19" s="1990"/>
      <c r="U19" s="1990"/>
      <c r="V19" s="2092" t="str">
        <f ca="1">IF(P19="","",VLOOKUP(P19,'銀行-TSS'!B:C,2,FALSE))</f>
        <v/>
      </c>
      <c r="W19" s="2093"/>
      <c r="X19" s="647" t="str">
        <f ca="1">IF(P19="","",'商品代碼-中繼頁'!S14)</f>
        <v/>
      </c>
      <c r="Y19" s="597" t="str">
        <f ca="1">IF(P19="","",庫存管理[[#This Row],[投入面額]])</f>
        <v/>
      </c>
      <c r="Z19" s="648" t="str">
        <f ca="1">IF(P19="","",庫存管理[[#This Row],[持有成本(含前手息)]])</f>
        <v/>
      </c>
      <c r="AA19" s="2089" t="str">
        <f ca="1">IF(OR(P19="",'Tssco-bond portfolio(2)'!S19=FALSE),"",IFERROR(庫存管理[[#This Row],[部位現值(含前手息)]],""))</f>
        <v/>
      </c>
      <c r="AB19" s="2090"/>
      <c r="AC19" s="2090"/>
      <c r="AD19" s="2091"/>
      <c r="AE19" s="2040" t="str">
        <f ca="1">IF(OR(P19="",'Tssco-bond portfolio(2)'!S19=FALSE),"",IF(MF=2,IFERROR(庫存管理[[#This Row],[累計配息]],""),IFERROR(庫存管理[[#This Row],[已實現配息(原幣)]],"")))</f>
        <v/>
      </c>
      <c r="AF19" s="2041"/>
      <c r="AG19" s="2041"/>
      <c r="AH19" s="2042"/>
      <c r="AI19" s="2054" t="str">
        <f ca="1">IF(OR(P19="",'Tssco-bond portfolio(2)'!S19=FALSE),"",IFERROR(庫存管理[[#This Row],[資本利損]],""))</f>
        <v/>
      </c>
      <c r="AJ19" s="2055"/>
      <c r="AK19" s="2055"/>
      <c r="AL19" s="2056"/>
      <c r="AM19" s="2071" t="str">
        <f ca="1">IF(OR(P19="",'Tssco-bond portfolio(2)'!S19=FALSE),"",IFERROR(庫存管理[[#This Row],[合計收益]],""))</f>
        <v/>
      </c>
      <c r="AN19" s="2041"/>
      <c r="AO19" s="2041"/>
      <c r="AP19" s="2072"/>
      <c r="AQ19" s="2078" t="str">
        <f ca="1">IF(AM19="","",庫存管理[[#This Row],[總報酬]])</f>
        <v/>
      </c>
      <c r="AR19" s="2076"/>
      <c r="AS19" s="2079"/>
      <c r="AT19" s="2076" t="str">
        <f ca="1">IF(AM19="","",IFERROR(庫存管理[[#This Row],[投入佔比]],0))</f>
        <v/>
      </c>
      <c r="AU19" s="2076"/>
      <c r="AV19" s="2073">
        <f t="shared" ca="1" si="0"/>
        <v>0</v>
      </c>
      <c r="AW19" s="2073"/>
      <c r="AX19" s="2073"/>
      <c r="AY19" s="2076" t="str">
        <f ca="1">IF(AM19="","",IFERROR(庫存管理[[#This Row],[現值佔比]],""))</f>
        <v/>
      </c>
      <c r="AZ19" s="2077"/>
      <c r="BA19" s="601"/>
      <c r="BI19" s="610" t="e">
        <f t="shared" ca="1" si="1"/>
        <v>#VALUE!</v>
      </c>
      <c r="BJ19" s="610" t="e">
        <f ca="1">IFERROR(DATEVALUE(VLOOKUP(P19,'銀行-TSS'!B:AL,37,FALSE)),VLOOKUP(P19,'銀行-TSS'!B:AL,37,FALSE))</f>
        <v>#N/A</v>
      </c>
      <c r="BK19" s="517" t="e">
        <f ca="1">VLOOKUP(P19,'銀行-TSS'!B:N,13,FALSE)</f>
        <v>#N/A</v>
      </c>
      <c r="BL19" s="621" t="e">
        <f ca="1">VLOOKUP(P19,'銀行-TSS'!B:O,14,FALSE)</f>
        <v>#N/A</v>
      </c>
      <c r="BM19" s="741" t="b">
        <f t="shared" ca="1" si="2"/>
        <v>0</v>
      </c>
      <c r="BN19" s="55" t="e">
        <f t="shared" ca="1" si="3"/>
        <v>#N/A</v>
      </c>
      <c r="BO19" s="1785">
        <f t="shared" ca="1" si="4"/>
        <v>0</v>
      </c>
    </row>
    <row r="20" spans="4:67" ht="28" hidden="1" customHeight="1">
      <c r="D20" s="606"/>
      <c r="E20" s="606"/>
      <c r="F20" s="669"/>
      <c r="G20" s="669"/>
      <c r="H20" s="669"/>
      <c r="I20" s="1697"/>
      <c r="J20" s="505"/>
      <c r="M20" s="55">
        <v>14</v>
      </c>
      <c r="N20" s="1049"/>
      <c r="P20" s="598" t="str">
        <f ca="1">IF(OR(開關=FALSE,庫存管理[[#This Row],[商品代號]]=""),"",庫存管理[[#This Row],[商品代號]])</f>
        <v/>
      </c>
      <c r="Q20" s="1990" t="str">
        <f ca="1">IF(開關=TRUE,IFERROR(VLOOKUP(P20,bond!B:C,2,FALSE),""),"")</f>
        <v/>
      </c>
      <c r="R20" s="1990"/>
      <c r="S20" s="1990"/>
      <c r="T20" s="1990"/>
      <c r="U20" s="1990"/>
      <c r="V20" s="2092" t="str">
        <f ca="1">IF(P20="","",VLOOKUP(P20,'銀行-TSS'!B:C,2,FALSE))</f>
        <v/>
      </c>
      <c r="W20" s="2093"/>
      <c r="X20" s="647" t="str">
        <f ca="1">IF(P20="","",'商品代碼-中繼頁'!S15)</f>
        <v/>
      </c>
      <c r="Y20" s="597" t="str">
        <f ca="1">IF(P20="","",庫存管理[[#This Row],[投入面額]])</f>
        <v/>
      </c>
      <c r="Z20" s="648" t="str">
        <f ca="1">IF(P20="","",庫存管理[[#This Row],[持有成本(含前手息)]])</f>
        <v/>
      </c>
      <c r="AA20" s="2089" t="str">
        <f ca="1">IF(OR(P20="",'Tssco-bond portfolio(2)'!S20=FALSE),"",IFERROR(庫存管理[[#This Row],[部位現值(含前手息)]],""))</f>
        <v/>
      </c>
      <c r="AB20" s="2090"/>
      <c r="AC20" s="2090"/>
      <c r="AD20" s="2091"/>
      <c r="AE20" s="2040" t="str">
        <f ca="1">IF(OR(P20="",'Tssco-bond portfolio(2)'!S20=FALSE),"",IF(MF=2,IFERROR(庫存管理[[#This Row],[累計配息]],""),IFERROR(庫存管理[[#This Row],[已實現配息(原幣)]],"")))</f>
        <v/>
      </c>
      <c r="AF20" s="2041"/>
      <c r="AG20" s="2041"/>
      <c r="AH20" s="2042"/>
      <c r="AI20" s="2054" t="str">
        <f ca="1">IF(OR(P20="",'Tssco-bond portfolio(2)'!S20=FALSE),"",IFERROR(庫存管理[[#This Row],[資本利損]],""))</f>
        <v/>
      </c>
      <c r="AJ20" s="2055"/>
      <c r="AK20" s="2055"/>
      <c r="AL20" s="2056"/>
      <c r="AM20" s="2071" t="str">
        <f ca="1">IF(OR(P20="",'Tssco-bond portfolio(2)'!S20=FALSE),"",IFERROR(庫存管理[[#This Row],[合計收益]],""))</f>
        <v/>
      </c>
      <c r="AN20" s="2041"/>
      <c r="AO20" s="2041"/>
      <c r="AP20" s="2072"/>
      <c r="AQ20" s="2078" t="str">
        <f ca="1">IF(AM20="","",庫存管理[[#This Row],[總報酬]])</f>
        <v/>
      </c>
      <c r="AR20" s="2076"/>
      <c r="AS20" s="2079"/>
      <c r="AT20" s="2076" t="str">
        <f ca="1">IF(AM20="","",IFERROR(庫存管理[[#This Row],[投入佔比]],0))</f>
        <v/>
      </c>
      <c r="AU20" s="2076"/>
      <c r="AV20" s="2073">
        <f t="shared" ca="1" si="0"/>
        <v>0</v>
      </c>
      <c r="AW20" s="2073"/>
      <c r="AX20" s="2073"/>
      <c r="AY20" s="2076" t="str">
        <f ca="1">IF(AM20="","",IFERROR(庫存管理[[#This Row],[現值佔比]],""))</f>
        <v/>
      </c>
      <c r="AZ20" s="2077"/>
      <c r="BA20" s="601"/>
      <c r="BI20" s="610" t="e">
        <f t="shared" ca="1" si="1"/>
        <v>#VALUE!</v>
      </c>
      <c r="BJ20" s="610" t="e">
        <f ca="1">IFERROR(DATEVALUE(VLOOKUP(P20,'銀行-TSS'!B:AL,37,FALSE)),VLOOKUP(P20,'銀行-TSS'!B:AL,37,FALSE))</f>
        <v>#N/A</v>
      </c>
      <c r="BK20" s="517" t="e">
        <f ca="1">VLOOKUP(P20,'銀行-TSS'!B:N,13,FALSE)</f>
        <v>#N/A</v>
      </c>
      <c r="BL20" s="621" t="e">
        <f ca="1">VLOOKUP(P20,'銀行-TSS'!B:O,14,FALSE)</f>
        <v>#N/A</v>
      </c>
      <c r="BM20" s="741" t="b">
        <f t="shared" ca="1" si="2"/>
        <v>0</v>
      </c>
      <c r="BN20" s="55" t="e">
        <f t="shared" ca="1" si="3"/>
        <v>#N/A</v>
      </c>
      <c r="BO20" s="1785">
        <f t="shared" ca="1" si="4"/>
        <v>0</v>
      </c>
    </row>
    <row r="21" spans="4:67" ht="28" hidden="1" customHeight="1">
      <c r="D21" s="606"/>
      <c r="E21" s="606"/>
      <c r="F21" s="669"/>
      <c r="G21" s="669"/>
      <c r="H21" s="669"/>
      <c r="I21" s="1697"/>
      <c r="J21" s="505"/>
      <c r="M21" s="55">
        <v>15</v>
      </c>
      <c r="N21" s="1049"/>
      <c r="P21" s="598" t="str">
        <f ca="1">IF(OR(開關=FALSE,庫存管理[[#This Row],[商品代號]]=""),"",庫存管理[[#This Row],[商品代號]])</f>
        <v/>
      </c>
      <c r="Q21" s="1990" t="str">
        <f ca="1">IF(開關=TRUE,IFERROR(VLOOKUP(P21,bond!B:C,2,FALSE),""),"")</f>
        <v/>
      </c>
      <c r="R21" s="1990"/>
      <c r="S21" s="1990"/>
      <c r="T21" s="1990"/>
      <c r="U21" s="1990"/>
      <c r="V21" s="2092" t="str">
        <f ca="1">IF(P21="","",VLOOKUP(P21,'銀行-TSS'!B:C,2,FALSE))</f>
        <v/>
      </c>
      <c r="W21" s="2093"/>
      <c r="X21" s="647" t="str">
        <f ca="1">IF(P21="","",'商品代碼-中繼頁'!S16)</f>
        <v/>
      </c>
      <c r="Y21" s="597" t="str">
        <f ca="1">IF(P21="","",庫存管理[[#This Row],[投入面額]])</f>
        <v/>
      </c>
      <c r="Z21" s="648" t="str">
        <f ca="1">IF(P21="","",庫存管理[[#This Row],[持有成本(含前手息)]])</f>
        <v/>
      </c>
      <c r="AA21" s="2089" t="str">
        <f ca="1">IF(OR(P21="",'Tssco-bond portfolio(2)'!S21=FALSE),"",IFERROR(庫存管理[[#This Row],[部位現值(含前手息)]],""))</f>
        <v/>
      </c>
      <c r="AB21" s="2090"/>
      <c r="AC21" s="2090"/>
      <c r="AD21" s="2091"/>
      <c r="AE21" s="2040" t="str">
        <f ca="1">IF(OR(P21="",'Tssco-bond portfolio(2)'!S21=FALSE),"",IF(MF=2,IFERROR(庫存管理[[#This Row],[累計配息]],""),IFERROR(庫存管理[[#This Row],[已實現配息(原幣)]],"")))</f>
        <v/>
      </c>
      <c r="AF21" s="2041"/>
      <c r="AG21" s="2041"/>
      <c r="AH21" s="2042"/>
      <c r="AI21" s="2054" t="str">
        <f ca="1">IF(OR(P21="",'Tssco-bond portfolio(2)'!S21=FALSE),"",IFERROR(庫存管理[[#This Row],[資本利損]],""))</f>
        <v/>
      </c>
      <c r="AJ21" s="2055"/>
      <c r="AK21" s="2055"/>
      <c r="AL21" s="2056"/>
      <c r="AM21" s="2071" t="str">
        <f ca="1">IF(OR(P21="",'Tssco-bond portfolio(2)'!S21=FALSE),"",IFERROR(庫存管理[[#This Row],[合計收益]],""))</f>
        <v/>
      </c>
      <c r="AN21" s="2041"/>
      <c r="AO21" s="2041"/>
      <c r="AP21" s="2072"/>
      <c r="AQ21" s="2078" t="str">
        <f ca="1">IF(AM21="","",庫存管理[[#This Row],[總報酬]])</f>
        <v/>
      </c>
      <c r="AR21" s="2076"/>
      <c r="AS21" s="2079"/>
      <c r="AT21" s="2076" t="str">
        <f ca="1">IF(AM21="","",IFERROR(庫存管理[[#This Row],[投入佔比]],0))</f>
        <v/>
      </c>
      <c r="AU21" s="2076"/>
      <c r="AV21" s="2073">
        <f t="shared" ca="1" si="0"/>
        <v>0</v>
      </c>
      <c r="AW21" s="2073"/>
      <c r="AX21" s="2073"/>
      <c r="AY21" s="2076" t="str">
        <f ca="1">IF(AM21="","",IFERROR(庫存管理[[#This Row],[現值佔比]],""))</f>
        <v/>
      </c>
      <c r="AZ21" s="2077"/>
      <c r="BA21" s="601"/>
      <c r="BI21" s="610" t="e">
        <f t="shared" ca="1" si="1"/>
        <v>#VALUE!</v>
      </c>
      <c r="BJ21" s="610" t="e">
        <f ca="1">IFERROR(DATEVALUE(VLOOKUP(P21,'銀行-TSS'!B:AL,37,FALSE)),VLOOKUP(P21,'銀行-TSS'!B:AL,37,FALSE))</f>
        <v>#N/A</v>
      </c>
      <c r="BK21" s="517" t="e">
        <f ca="1">VLOOKUP(P21,'銀行-TSS'!B:N,13,FALSE)</f>
        <v>#N/A</v>
      </c>
      <c r="BL21" s="621" t="e">
        <f ca="1">VLOOKUP(P21,'銀行-TSS'!B:O,14,FALSE)</f>
        <v>#N/A</v>
      </c>
      <c r="BM21" s="741" t="b">
        <f t="shared" ca="1" si="2"/>
        <v>0</v>
      </c>
      <c r="BN21" s="55" t="e">
        <f t="shared" ca="1" si="3"/>
        <v>#N/A</v>
      </c>
      <c r="BO21" s="1785">
        <f t="shared" ca="1" si="4"/>
        <v>0</v>
      </c>
    </row>
    <row r="22" spans="4:67" ht="28" hidden="1" customHeight="1">
      <c r="D22" s="606"/>
      <c r="E22" s="606"/>
      <c r="F22" s="669"/>
      <c r="G22" s="669"/>
      <c r="H22" s="669"/>
      <c r="I22" s="1697"/>
      <c r="J22" s="505"/>
      <c r="M22" s="55">
        <v>16</v>
      </c>
      <c r="N22" s="1049"/>
      <c r="P22" s="598" t="str">
        <f ca="1">IF(OR(開關=FALSE,庫存管理[[#This Row],[商品代號]]=""),"",庫存管理[[#This Row],[商品代號]])</f>
        <v/>
      </c>
      <c r="Q22" s="1990" t="str">
        <f ca="1">IF(開關=TRUE,IFERROR(VLOOKUP(P22,bond!B:C,2,FALSE),""),"")</f>
        <v/>
      </c>
      <c r="R22" s="1990"/>
      <c r="S22" s="1990"/>
      <c r="T22" s="1990"/>
      <c r="U22" s="1990"/>
      <c r="V22" s="2092" t="str">
        <f ca="1">IF(P22="","",VLOOKUP(P22,'銀行-TSS'!B:C,2,FALSE))</f>
        <v/>
      </c>
      <c r="W22" s="2093"/>
      <c r="X22" s="647" t="str">
        <f ca="1">IF(P22="","",'商品代碼-中繼頁'!S17)</f>
        <v/>
      </c>
      <c r="Y22" s="597" t="str">
        <f ca="1">IF(P22="","",庫存管理[[#This Row],[投入面額]])</f>
        <v/>
      </c>
      <c r="Z22" s="648" t="str">
        <f ca="1">IF(P22="","",庫存管理[[#This Row],[持有成本(含前手息)]])</f>
        <v/>
      </c>
      <c r="AA22" s="2089" t="str">
        <f ca="1">IF(OR(P22="",'Tssco-bond portfolio(2)'!S22=FALSE),"",IFERROR(庫存管理[[#This Row],[部位現值(含前手息)]],""))</f>
        <v/>
      </c>
      <c r="AB22" s="2090"/>
      <c r="AC22" s="2090"/>
      <c r="AD22" s="2091"/>
      <c r="AE22" s="2040" t="str">
        <f ca="1">IF(OR(P22="",'Tssco-bond portfolio(2)'!S22=FALSE),"",IF(MF=2,IFERROR(庫存管理[[#This Row],[累計配息]],""),IFERROR(庫存管理[[#This Row],[已實現配息(原幣)]],"")))</f>
        <v/>
      </c>
      <c r="AF22" s="2041"/>
      <c r="AG22" s="2041"/>
      <c r="AH22" s="2042"/>
      <c r="AI22" s="2054" t="str">
        <f ca="1">IF(OR(P22="",'Tssco-bond portfolio(2)'!S22=FALSE),"",IFERROR(庫存管理[[#This Row],[資本利損]],""))</f>
        <v/>
      </c>
      <c r="AJ22" s="2055"/>
      <c r="AK22" s="2055"/>
      <c r="AL22" s="2056"/>
      <c r="AM22" s="2071" t="str">
        <f ca="1">IF(OR(P22="",'Tssco-bond portfolio(2)'!S22=FALSE),"",IFERROR(庫存管理[[#This Row],[合計收益]],""))</f>
        <v/>
      </c>
      <c r="AN22" s="2041"/>
      <c r="AO22" s="2041"/>
      <c r="AP22" s="2072"/>
      <c r="AQ22" s="2078" t="str">
        <f ca="1">IF(AM22="","",庫存管理[[#This Row],[總報酬]])</f>
        <v/>
      </c>
      <c r="AR22" s="2076"/>
      <c r="AS22" s="2079"/>
      <c r="AT22" s="2076" t="str">
        <f ca="1">IF(AM22="","",IFERROR(庫存管理[[#This Row],[投入佔比]],0))</f>
        <v/>
      </c>
      <c r="AU22" s="2076"/>
      <c r="AV22" s="2073">
        <f t="shared" ca="1" si="0"/>
        <v>0</v>
      </c>
      <c r="AW22" s="2073"/>
      <c r="AX22" s="2073"/>
      <c r="AY22" s="2076" t="str">
        <f ca="1">IF(AM22="","",IFERROR(庫存管理[[#This Row],[現值佔比]],""))</f>
        <v/>
      </c>
      <c r="AZ22" s="2077"/>
      <c r="BA22" s="601"/>
      <c r="BI22" s="610" t="e">
        <f t="shared" ca="1" si="1"/>
        <v>#VALUE!</v>
      </c>
      <c r="BJ22" s="610" t="e">
        <f ca="1">IFERROR(DATEVALUE(VLOOKUP(P22,'銀行-TSS'!B:AL,37,FALSE)),VLOOKUP(P22,'銀行-TSS'!B:AL,37,FALSE))</f>
        <v>#N/A</v>
      </c>
      <c r="BK22" s="517" t="e">
        <f ca="1">VLOOKUP(P22,'銀行-TSS'!B:N,13,FALSE)</f>
        <v>#N/A</v>
      </c>
      <c r="BL22" s="621" t="e">
        <f ca="1">VLOOKUP(P22,'銀行-TSS'!B:O,14,FALSE)</f>
        <v>#N/A</v>
      </c>
      <c r="BM22" s="741" t="b">
        <f t="shared" ca="1" si="2"/>
        <v>0</v>
      </c>
      <c r="BN22" s="55" t="e">
        <f t="shared" ca="1" si="3"/>
        <v>#N/A</v>
      </c>
      <c r="BO22" s="1785">
        <f t="shared" ca="1" si="4"/>
        <v>0</v>
      </c>
    </row>
    <row r="23" spans="4:67" ht="28" hidden="1" customHeight="1">
      <c r="D23" s="606"/>
      <c r="E23" s="606"/>
      <c r="F23" s="669"/>
      <c r="G23" s="669"/>
      <c r="H23" s="669"/>
      <c r="I23" s="1697"/>
      <c r="J23" s="505"/>
      <c r="M23" s="55">
        <v>17</v>
      </c>
      <c r="N23" s="1049"/>
      <c r="P23" s="598" t="str">
        <f ca="1">IF(OR(開關=FALSE,庫存管理[[#This Row],[商品代號]]=""),"",庫存管理[[#This Row],[商品代號]])</f>
        <v/>
      </c>
      <c r="Q23" s="1990" t="str">
        <f ca="1">IF(開關=TRUE,IFERROR(VLOOKUP(P23,bond!B:C,2,FALSE),""),"")</f>
        <v/>
      </c>
      <c r="R23" s="1990"/>
      <c r="S23" s="1990"/>
      <c r="T23" s="1990"/>
      <c r="U23" s="1990"/>
      <c r="V23" s="2092" t="str">
        <f ca="1">IF(P23="","",VLOOKUP(P23,'銀行-TSS'!B:C,2,FALSE))</f>
        <v/>
      </c>
      <c r="W23" s="2093"/>
      <c r="X23" s="647" t="str">
        <f ca="1">IF(P23="","",'商品代碼-中繼頁'!S18)</f>
        <v/>
      </c>
      <c r="Y23" s="597" t="str">
        <f ca="1">IF(P23="","",庫存管理[[#This Row],[投入面額]])</f>
        <v/>
      </c>
      <c r="Z23" s="648" t="str">
        <f ca="1">IF(P23="","",庫存管理[[#This Row],[持有成本(含前手息)]])</f>
        <v/>
      </c>
      <c r="AA23" s="2089" t="str">
        <f ca="1">IF(OR(P23="",'Tssco-bond portfolio(2)'!S23=FALSE),"",IFERROR(庫存管理[[#This Row],[部位現值(含前手息)]],""))</f>
        <v/>
      </c>
      <c r="AB23" s="2090"/>
      <c r="AC23" s="2090"/>
      <c r="AD23" s="2091"/>
      <c r="AE23" s="2040" t="str">
        <f ca="1">IF(OR(P23="",'Tssco-bond portfolio(2)'!S23=FALSE),"",IF(MF=2,IFERROR(庫存管理[[#This Row],[累計配息]],""),IFERROR(庫存管理[[#This Row],[已實現配息(原幣)]],"")))</f>
        <v/>
      </c>
      <c r="AF23" s="2041"/>
      <c r="AG23" s="2041"/>
      <c r="AH23" s="2042"/>
      <c r="AI23" s="2054" t="str">
        <f ca="1">IF(OR(P23="",'Tssco-bond portfolio(2)'!S23=FALSE),"",IFERROR(庫存管理[[#This Row],[資本利損]],""))</f>
        <v/>
      </c>
      <c r="AJ23" s="2055"/>
      <c r="AK23" s="2055"/>
      <c r="AL23" s="2056"/>
      <c r="AM23" s="2071" t="str">
        <f ca="1">IF(OR(P23="",'Tssco-bond portfolio(2)'!S23=FALSE),"",IFERROR(庫存管理[[#This Row],[合計收益]],""))</f>
        <v/>
      </c>
      <c r="AN23" s="2041"/>
      <c r="AO23" s="2041"/>
      <c r="AP23" s="2072"/>
      <c r="AQ23" s="2078" t="str">
        <f ca="1">IF(AM23="","",庫存管理[[#This Row],[總報酬]])</f>
        <v/>
      </c>
      <c r="AR23" s="2076"/>
      <c r="AS23" s="2079"/>
      <c r="AT23" s="2076" t="str">
        <f ca="1">IF(AM23="","",IFERROR(庫存管理[[#This Row],[投入佔比]],0))</f>
        <v/>
      </c>
      <c r="AU23" s="2076"/>
      <c r="AV23" s="2073">
        <f t="shared" ca="1" si="0"/>
        <v>0</v>
      </c>
      <c r="AW23" s="2073"/>
      <c r="AX23" s="2073"/>
      <c r="AY23" s="2076" t="str">
        <f ca="1">IF(AM23="","",IFERROR(庫存管理[[#This Row],[現值佔比]],""))</f>
        <v/>
      </c>
      <c r="AZ23" s="2077"/>
      <c r="BA23" s="601"/>
      <c r="BI23" s="610" t="e">
        <f t="shared" ca="1" si="1"/>
        <v>#VALUE!</v>
      </c>
      <c r="BJ23" s="610" t="e">
        <f ca="1">IFERROR(DATEVALUE(VLOOKUP(P23,'銀行-TSS'!B:AL,37,FALSE)),VLOOKUP(P23,'銀行-TSS'!B:AL,37,FALSE))</f>
        <v>#N/A</v>
      </c>
      <c r="BK23" s="517" t="e">
        <f ca="1">VLOOKUP(P23,'銀行-TSS'!B:N,13,FALSE)</f>
        <v>#N/A</v>
      </c>
      <c r="BL23" s="621" t="e">
        <f ca="1">VLOOKUP(P23,'銀行-TSS'!B:O,14,FALSE)</f>
        <v>#N/A</v>
      </c>
      <c r="BM23" s="741" t="b">
        <f t="shared" ca="1" si="2"/>
        <v>0</v>
      </c>
      <c r="BN23" s="55" t="e">
        <f t="shared" ca="1" si="3"/>
        <v>#N/A</v>
      </c>
      <c r="BO23" s="1785">
        <f t="shared" ca="1" si="4"/>
        <v>0</v>
      </c>
    </row>
    <row r="24" spans="4:67" ht="28" hidden="1" customHeight="1">
      <c r="D24" s="606"/>
      <c r="E24" s="606"/>
      <c r="F24" s="669"/>
      <c r="G24" s="669"/>
      <c r="H24" s="669"/>
      <c r="I24" s="1697"/>
      <c r="J24" s="505"/>
      <c r="M24" s="55">
        <v>18</v>
      </c>
      <c r="N24" s="1049"/>
      <c r="P24" s="598" t="str">
        <f ca="1">IF(OR(開關=FALSE,庫存管理[[#This Row],[商品代號]]=""),"",庫存管理[[#This Row],[商品代號]])</f>
        <v/>
      </c>
      <c r="Q24" s="1990" t="str">
        <f ca="1">IF(開關=TRUE,IFERROR(VLOOKUP(P24,bond!B:C,2,FALSE),""),"")</f>
        <v/>
      </c>
      <c r="R24" s="1990"/>
      <c r="S24" s="1990"/>
      <c r="T24" s="1990"/>
      <c r="U24" s="1990"/>
      <c r="V24" s="2092" t="str">
        <f ca="1">IF(P24="","",VLOOKUP(P24,'銀行-TSS'!B:C,2,FALSE))</f>
        <v/>
      </c>
      <c r="W24" s="2093"/>
      <c r="X24" s="647" t="str">
        <f ca="1">IF(P24="","",'商品代碼-中繼頁'!S19)</f>
        <v/>
      </c>
      <c r="Y24" s="597" t="str">
        <f ca="1">IF(P24="","",庫存管理[[#This Row],[投入面額]])</f>
        <v/>
      </c>
      <c r="Z24" s="648" t="str">
        <f ca="1">IF(P24="","",庫存管理[[#This Row],[持有成本(含前手息)]])</f>
        <v/>
      </c>
      <c r="AA24" s="2089" t="str">
        <f ca="1">IF(OR(P24="",'Tssco-bond portfolio(2)'!S24=FALSE),"",IFERROR(庫存管理[[#This Row],[部位現值(含前手息)]],""))</f>
        <v/>
      </c>
      <c r="AB24" s="2090"/>
      <c r="AC24" s="2090"/>
      <c r="AD24" s="2091"/>
      <c r="AE24" s="2040" t="str">
        <f ca="1">IF(OR(P24="",'Tssco-bond portfolio(2)'!S24=FALSE),"",IF(MF=2,IFERROR(庫存管理[[#This Row],[累計配息]],""),IFERROR(庫存管理[[#This Row],[已實現配息(原幣)]],"")))</f>
        <v/>
      </c>
      <c r="AF24" s="2041"/>
      <c r="AG24" s="2041"/>
      <c r="AH24" s="2042"/>
      <c r="AI24" s="2054" t="str">
        <f ca="1">IF(OR(P24="",'Tssco-bond portfolio(2)'!S24=FALSE),"",IFERROR(庫存管理[[#This Row],[資本利損]],""))</f>
        <v/>
      </c>
      <c r="AJ24" s="2055"/>
      <c r="AK24" s="2055"/>
      <c r="AL24" s="2056"/>
      <c r="AM24" s="2071" t="str">
        <f ca="1">IF(OR(P24="",'Tssco-bond portfolio(2)'!S24=FALSE),"",IFERROR(庫存管理[[#This Row],[合計收益]],""))</f>
        <v/>
      </c>
      <c r="AN24" s="2041"/>
      <c r="AO24" s="2041"/>
      <c r="AP24" s="2072"/>
      <c r="AQ24" s="2078" t="str">
        <f ca="1">IF(AM24="","",庫存管理[[#This Row],[總報酬]])</f>
        <v/>
      </c>
      <c r="AR24" s="2076"/>
      <c r="AS24" s="2079"/>
      <c r="AT24" s="2076" t="str">
        <f ca="1">IF(AM24="","",IFERROR(庫存管理[[#This Row],[投入佔比]],0))</f>
        <v/>
      </c>
      <c r="AU24" s="2076"/>
      <c r="AV24" s="2073">
        <f t="shared" ca="1" si="0"/>
        <v>0</v>
      </c>
      <c r="AW24" s="2073"/>
      <c r="AX24" s="2073"/>
      <c r="AY24" s="2076" t="str">
        <f ca="1">IF(AM24="","",IFERROR(庫存管理[[#This Row],[現值佔比]],""))</f>
        <v/>
      </c>
      <c r="AZ24" s="2077"/>
      <c r="BA24" s="601"/>
      <c r="BI24" s="610" t="e">
        <f t="shared" ca="1" si="1"/>
        <v>#VALUE!</v>
      </c>
      <c r="BJ24" s="610" t="e">
        <f ca="1">IFERROR(DATEVALUE(VLOOKUP(P24,'銀行-TSS'!B:AL,37,FALSE)),VLOOKUP(P24,'銀行-TSS'!B:AL,37,FALSE))</f>
        <v>#N/A</v>
      </c>
      <c r="BK24" s="517" t="e">
        <f ca="1">VLOOKUP(P24,'銀行-TSS'!B:N,13,FALSE)</f>
        <v>#N/A</v>
      </c>
      <c r="BL24" s="621" t="e">
        <f ca="1">VLOOKUP(P24,'銀行-TSS'!B:O,14,FALSE)</f>
        <v>#N/A</v>
      </c>
      <c r="BM24" s="741" t="b">
        <f t="shared" ca="1" si="2"/>
        <v>0</v>
      </c>
      <c r="BN24" s="55" t="e">
        <f t="shared" ca="1" si="3"/>
        <v>#N/A</v>
      </c>
      <c r="BO24" s="1785">
        <f t="shared" ca="1" si="4"/>
        <v>0</v>
      </c>
    </row>
    <row r="25" spans="4:67" ht="28" hidden="1" customHeight="1">
      <c r="D25" s="606"/>
      <c r="E25" s="606"/>
      <c r="F25" s="669"/>
      <c r="G25" s="669"/>
      <c r="H25" s="669"/>
      <c r="I25" s="1697"/>
      <c r="J25" s="505"/>
      <c r="M25" s="55">
        <v>19</v>
      </c>
      <c r="N25" s="1049"/>
      <c r="P25" s="598" t="str">
        <f ca="1">IF(OR(開關=FALSE,庫存管理[[#This Row],[商品代號]]=""),"",庫存管理[[#This Row],[商品代號]])</f>
        <v/>
      </c>
      <c r="Q25" s="1990" t="str">
        <f ca="1">IF(開關=TRUE,IFERROR(VLOOKUP(P25,bond!B:C,2,FALSE),""),"")</f>
        <v/>
      </c>
      <c r="R25" s="1990"/>
      <c r="S25" s="1990"/>
      <c r="T25" s="1990"/>
      <c r="U25" s="1990"/>
      <c r="V25" s="2092" t="str">
        <f ca="1">IF(P25="","",VLOOKUP(P25,'銀行-TSS'!B:C,2,FALSE))</f>
        <v/>
      </c>
      <c r="W25" s="2093"/>
      <c r="X25" s="647" t="str">
        <f ca="1">IF(P25="","",'商品代碼-中繼頁'!S20)</f>
        <v/>
      </c>
      <c r="Y25" s="597" t="str">
        <f ca="1">IF(P25="","",庫存管理[[#This Row],[投入面額]])</f>
        <v/>
      </c>
      <c r="Z25" s="648" t="str">
        <f ca="1">IF(P25="","",庫存管理[[#This Row],[持有成本(含前手息)]])</f>
        <v/>
      </c>
      <c r="AA25" s="2089" t="str">
        <f ca="1">IF(OR(P25="",'Tssco-bond portfolio(2)'!S25=FALSE),"",IFERROR(庫存管理[[#This Row],[部位現值(含前手息)]],""))</f>
        <v/>
      </c>
      <c r="AB25" s="2090"/>
      <c r="AC25" s="2090"/>
      <c r="AD25" s="2091"/>
      <c r="AE25" s="2040" t="str">
        <f ca="1">IF(OR(P25="",'Tssco-bond portfolio(2)'!S25=FALSE),"",IF(MF=2,IFERROR(庫存管理[[#This Row],[累計配息]],""),IFERROR(庫存管理[[#This Row],[已實現配息(原幣)]],"")))</f>
        <v/>
      </c>
      <c r="AF25" s="2041"/>
      <c r="AG25" s="2041"/>
      <c r="AH25" s="2042"/>
      <c r="AI25" s="2054" t="str">
        <f ca="1">IF(OR(P25="",'Tssco-bond portfolio(2)'!S25=FALSE),"",IFERROR(庫存管理[[#This Row],[資本利損]],""))</f>
        <v/>
      </c>
      <c r="AJ25" s="2055"/>
      <c r="AK25" s="2055"/>
      <c r="AL25" s="2056"/>
      <c r="AM25" s="2071" t="str">
        <f ca="1">IF(OR(P25="",'Tssco-bond portfolio(2)'!S25=FALSE),"",IFERROR(庫存管理[[#This Row],[合計收益]],""))</f>
        <v/>
      </c>
      <c r="AN25" s="2041"/>
      <c r="AO25" s="2041"/>
      <c r="AP25" s="2072"/>
      <c r="AQ25" s="2078" t="str">
        <f ca="1">IF(AM25="","",庫存管理[[#This Row],[總報酬]])</f>
        <v/>
      </c>
      <c r="AR25" s="2076"/>
      <c r="AS25" s="2079"/>
      <c r="AT25" s="2076" t="str">
        <f ca="1">IF(AM25="","",IFERROR(庫存管理[[#This Row],[投入佔比]],0))</f>
        <v/>
      </c>
      <c r="AU25" s="2076"/>
      <c r="AV25" s="2073">
        <f t="shared" ca="1" si="0"/>
        <v>0</v>
      </c>
      <c r="AW25" s="2073"/>
      <c r="AX25" s="2073"/>
      <c r="AY25" s="2076" t="str">
        <f ca="1">IF(AM25="","",IFERROR(庫存管理[[#This Row],[現值佔比]],""))</f>
        <v/>
      </c>
      <c r="AZ25" s="2077"/>
      <c r="BA25" s="601"/>
      <c r="BI25" s="610" t="e">
        <f t="shared" ca="1" si="1"/>
        <v>#VALUE!</v>
      </c>
      <c r="BJ25" s="610" t="e">
        <f ca="1">IFERROR(DATEVALUE(VLOOKUP(P25,'銀行-TSS'!B:AL,37,FALSE)),VLOOKUP(P25,'銀行-TSS'!B:AL,37,FALSE))</f>
        <v>#N/A</v>
      </c>
      <c r="BK25" s="517" t="e">
        <f ca="1">VLOOKUP(P25,'銀行-TSS'!B:N,13,FALSE)</f>
        <v>#N/A</v>
      </c>
      <c r="BL25" s="621" t="e">
        <f ca="1">VLOOKUP(P25,'銀行-TSS'!B:O,14,FALSE)</f>
        <v>#N/A</v>
      </c>
      <c r="BM25" s="741" t="b">
        <f t="shared" ca="1" si="2"/>
        <v>0</v>
      </c>
      <c r="BN25" s="55" t="e">
        <f t="shared" ca="1" si="3"/>
        <v>#N/A</v>
      </c>
      <c r="BO25" s="1785">
        <f t="shared" ca="1" si="4"/>
        <v>0</v>
      </c>
    </row>
    <row r="26" spans="4:67" ht="28" hidden="1" customHeight="1">
      <c r="D26" s="606"/>
      <c r="E26" s="606"/>
      <c r="F26" s="669"/>
      <c r="G26" s="669"/>
      <c r="H26" s="669"/>
      <c r="I26" s="1697"/>
      <c r="J26" s="505"/>
      <c r="M26" s="55">
        <v>20</v>
      </c>
      <c r="N26" s="1049"/>
      <c r="P26" s="598" t="str">
        <f ca="1">IF(OR(開關=FALSE,庫存管理[[#This Row],[商品代號]]=""),"",庫存管理[[#This Row],[商品代號]])</f>
        <v/>
      </c>
      <c r="Q26" s="1990" t="str">
        <f ca="1">IF(開關=TRUE,IFERROR(VLOOKUP(P26,bond!B:C,2,FALSE),""),"")</f>
        <v/>
      </c>
      <c r="R26" s="1990"/>
      <c r="S26" s="1990"/>
      <c r="T26" s="1990"/>
      <c r="U26" s="1990"/>
      <c r="V26" s="2092" t="str">
        <f ca="1">IF(P26="","",VLOOKUP(P26,'銀行-TSS'!B:C,2,FALSE))</f>
        <v/>
      </c>
      <c r="W26" s="2093"/>
      <c r="X26" s="647" t="str">
        <f ca="1">IF(P26="","",'商品代碼-中繼頁'!S21)</f>
        <v/>
      </c>
      <c r="Y26" s="597" t="str">
        <f ca="1">IF(P26="","",庫存管理[[#This Row],[投入面額]])</f>
        <v/>
      </c>
      <c r="Z26" s="648" t="str">
        <f ca="1">IF(P26="","",庫存管理[[#This Row],[持有成本(含前手息)]])</f>
        <v/>
      </c>
      <c r="AA26" s="2089" t="str">
        <f ca="1">IF(OR(P26="",'Tssco-bond portfolio(2)'!S26=FALSE),"",IFERROR(庫存管理[[#This Row],[部位現值(含前手息)]],""))</f>
        <v/>
      </c>
      <c r="AB26" s="2090"/>
      <c r="AC26" s="2090"/>
      <c r="AD26" s="2091"/>
      <c r="AE26" s="2040" t="str">
        <f ca="1">IF(OR(P26="",'Tssco-bond portfolio(2)'!S26=FALSE),"",IF(MF=2,IFERROR(庫存管理[[#This Row],[累計配息]],""),IFERROR(庫存管理[[#This Row],[已實現配息(原幣)]],"")))</f>
        <v/>
      </c>
      <c r="AF26" s="2041"/>
      <c r="AG26" s="2041"/>
      <c r="AH26" s="2042"/>
      <c r="AI26" s="2054" t="str">
        <f ca="1">IF(OR(P26="",'Tssco-bond portfolio(2)'!S26=FALSE),"",IFERROR(庫存管理[[#This Row],[資本利損]],""))</f>
        <v/>
      </c>
      <c r="AJ26" s="2055"/>
      <c r="AK26" s="2055"/>
      <c r="AL26" s="2056"/>
      <c r="AM26" s="2071" t="str">
        <f ca="1">IF(OR(P26="",'Tssco-bond portfolio(2)'!S26=FALSE),"",IFERROR(庫存管理[[#This Row],[合計收益]],""))</f>
        <v/>
      </c>
      <c r="AN26" s="2041"/>
      <c r="AO26" s="2041"/>
      <c r="AP26" s="2072"/>
      <c r="AQ26" s="2078" t="str">
        <f ca="1">IF(AM26="","",庫存管理[[#This Row],[總報酬]])</f>
        <v/>
      </c>
      <c r="AR26" s="2076"/>
      <c r="AS26" s="2079"/>
      <c r="AT26" s="2076" t="str">
        <f ca="1">IF(AM26="","",IFERROR(庫存管理[[#This Row],[投入佔比]],0))</f>
        <v/>
      </c>
      <c r="AU26" s="2076"/>
      <c r="AV26" s="2073">
        <f t="shared" ca="1" si="0"/>
        <v>0</v>
      </c>
      <c r="AW26" s="2073"/>
      <c r="AX26" s="2073"/>
      <c r="AY26" s="2076" t="str">
        <f ca="1">IF(AM26="","",IFERROR(庫存管理[[#This Row],[現值佔比]],""))</f>
        <v/>
      </c>
      <c r="AZ26" s="2077"/>
      <c r="BA26" s="601"/>
      <c r="BI26" s="610" t="e">
        <f t="shared" ca="1" si="1"/>
        <v>#VALUE!</v>
      </c>
      <c r="BJ26" s="610" t="e">
        <f ca="1">IFERROR(DATEVALUE(VLOOKUP(P26,'銀行-TSS'!B:AL,37,FALSE)),VLOOKUP(P26,'銀行-TSS'!B:AL,37,FALSE))</f>
        <v>#N/A</v>
      </c>
      <c r="BK26" s="517" t="e">
        <f ca="1">VLOOKUP(P26,'銀行-TSS'!B:N,13,FALSE)</f>
        <v>#N/A</v>
      </c>
      <c r="BL26" s="621" t="e">
        <f ca="1">VLOOKUP(P26,'銀行-TSS'!B:O,14,FALSE)</f>
        <v>#N/A</v>
      </c>
      <c r="BM26" s="741" t="b">
        <f t="shared" ca="1" si="2"/>
        <v>0</v>
      </c>
      <c r="BN26" s="55" t="e">
        <f t="shared" ca="1" si="3"/>
        <v>#N/A</v>
      </c>
      <c r="BO26" s="1785">
        <f t="shared" ca="1" si="4"/>
        <v>0</v>
      </c>
    </row>
    <row r="27" spans="4:67" ht="28" hidden="1" customHeight="1">
      <c r="D27" s="606"/>
      <c r="E27" s="606"/>
      <c r="F27" s="669"/>
      <c r="G27" s="669"/>
      <c r="H27" s="669"/>
      <c r="I27" s="1697"/>
      <c r="J27" s="505"/>
      <c r="M27" s="55">
        <v>21</v>
      </c>
      <c r="N27" s="1049"/>
      <c r="P27" s="598" t="str">
        <f ca="1">IF(OR(開關=FALSE,庫存管理[[#This Row],[商品代號]]=""),"",庫存管理[[#This Row],[商品代號]])</f>
        <v/>
      </c>
      <c r="Q27" s="1990" t="str">
        <f ca="1">IF(開關=TRUE,IFERROR(VLOOKUP(P27,bond!B:C,2,FALSE),""),"")</f>
        <v/>
      </c>
      <c r="R27" s="1990"/>
      <c r="S27" s="1990"/>
      <c r="T27" s="1990"/>
      <c r="U27" s="1990"/>
      <c r="V27" s="2092" t="str">
        <f ca="1">IF(P27="","",VLOOKUP(P27,'銀行-TSS'!B:C,2,FALSE))</f>
        <v/>
      </c>
      <c r="W27" s="2093"/>
      <c r="X27" s="647" t="str">
        <f ca="1">IF(P27="","",'商品代碼-中繼頁'!S22)</f>
        <v/>
      </c>
      <c r="Y27" s="597" t="str">
        <f ca="1">IF(P27="","",庫存管理[[#This Row],[投入面額]])</f>
        <v/>
      </c>
      <c r="Z27" s="648" t="str">
        <f ca="1">IF(P27="","",庫存管理[[#This Row],[持有成本(含前手息)]])</f>
        <v/>
      </c>
      <c r="AA27" s="2089" t="str">
        <f ca="1">IF(OR(P27="",'Tssco-bond portfolio(2)'!S27=FALSE),"",IFERROR(庫存管理[[#This Row],[部位現值(含前手息)]],""))</f>
        <v/>
      </c>
      <c r="AB27" s="2090"/>
      <c r="AC27" s="2090"/>
      <c r="AD27" s="2091"/>
      <c r="AE27" s="2040" t="str">
        <f ca="1">IF(OR(P27="",'Tssco-bond portfolio(2)'!S27=FALSE),"",IF(MF=2,IFERROR(庫存管理[[#This Row],[累計配息]],""),IFERROR(庫存管理[[#This Row],[已實現配息(原幣)]],"")))</f>
        <v/>
      </c>
      <c r="AF27" s="2041"/>
      <c r="AG27" s="2041"/>
      <c r="AH27" s="2042"/>
      <c r="AI27" s="2054" t="str">
        <f ca="1">IF(OR(P27="",'Tssco-bond portfolio(2)'!S27=FALSE),"",IFERROR(庫存管理[[#This Row],[資本利損]],""))</f>
        <v/>
      </c>
      <c r="AJ27" s="2055"/>
      <c r="AK27" s="2055"/>
      <c r="AL27" s="2056"/>
      <c r="AM27" s="2071" t="str">
        <f ca="1">IF(OR(P27="",'Tssco-bond portfolio(2)'!S27=FALSE),"",IFERROR(庫存管理[[#This Row],[合計收益]],""))</f>
        <v/>
      </c>
      <c r="AN27" s="2041"/>
      <c r="AO27" s="2041"/>
      <c r="AP27" s="2072"/>
      <c r="AQ27" s="2078" t="str">
        <f ca="1">IF(AM27="","",庫存管理[[#This Row],[總報酬]])</f>
        <v/>
      </c>
      <c r="AR27" s="2076"/>
      <c r="AS27" s="2079"/>
      <c r="AT27" s="2076" t="str">
        <f ca="1">IF(AM27="","",IFERROR(庫存管理[[#This Row],[投入佔比]],0))</f>
        <v/>
      </c>
      <c r="AU27" s="2076"/>
      <c r="AV27" s="2073">
        <f t="shared" ca="1" si="0"/>
        <v>0</v>
      </c>
      <c r="AW27" s="2073"/>
      <c r="AX27" s="2073"/>
      <c r="AY27" s="2076" t="str">
        <f ca="1">IF(AM27="","",IFERROR(庫存管理[[#This Row],[現值佔比]],""))</f>
        <v/>
      </c>
      <c r="AZ27" s="2077"/>
      <c r="BA27" s="601"/>
      <c r="BI27" s="610" t="e">
        <f t="shared" ca="1" si="1"/>
        <v>#VALUE!</v>
      </c>
      <c r="BJ27" s="610" t="e">
        <f ca="1">IFERROR(DATEVALUE(VLOOKUP(P27,'銀行-TSS'!B:AL,37,FALSE)),VLOOKUP(P27,'銀行-TSS'!B:AL,37,FALSE))</f>
        <v>#N/A</v>
      </c>
      <c r="BK27" s="517" t="e">
        <f ca="1">VLOOKUP(P27,'銀行-TSS'!B:N,13,FALSE)</f>
        <v>#N/A</v>
      </c>
      <c r="BL27" s="621" t="e">
        <f ca="1">VLOOKUP(P27,'銀行-TSS'!B:O,14,FALSE)</f>
        <v>#N/A</v>
      </c>
      <c r="BM27" s="741" t="b">
        <f t="shared" ca="1" si="2"/>
        <v>0</v>
      </c>
      <c r="BN27" s="55" t="e">
        <f t="shared" ca="1" si="3"/>
        <v>#N/A</v>
      </c>
      <c r="BO27" s="1785">
        <f t="shared" ca="1" si="4"/>
        <v>0</v>
      </c>
    </row>
    <row r="28" spans="4:67" ht="28" hidden="1" customHeight="1">
      <c r="D28" s="606"/>
      <c r="E28" s="606"/>
      <c r="F28" s="669"/>
      <c r="G28" s="669"/>
      <c r="H28" s="669"/>
      <c r="I28" s="1697"/>
      <c r="J28" s="505"/>
      <c r="M28" s="55">
        <v>22</v>
      </c>
      <c r="N28" s="1049"/>
      <c r="P28" s="598" t="str">
        <f ca="1">IF(OR(開關=FALSE,庫存管理[[#This Row],[商品代號]]=""),"",庫存管理[[#This Row],[商品代號]])</f>
        <v/>
      </c>
      <c r="Q28" s="1990" t="str">
        <f ca="1">IF(開關=TRUE,IFERROR(VLOOKUP(P28,bond!B:C,2,FALSE),""),"")</f>
        <v/>
      </c>
      <c r="R28" s="1990"/>
      <c r="S28" s="1990"/>
      <c r="T28" s="1990"/>
      <c r="U28" s="1990"/>
      <c r="V28" s="2092" t="str">
        <f ca="1">IF(P28="","",VLOOKUP(P28,'銀行-TSS'!B:C,2,FALSE))</f>
        <v/>
      </c>
      <c r="W28" s="2093"/>
      <c r="X28" s="647" t="str">
        <f ca="1">IF(P28="","",'商品代碼-中繼頁'!S23)</f>
        <v/>
      </c>
      <c r="Y28" s="597" t="str">
        <f ca="1">IF(P28="","",庫存管理[[#This Row],[投入面額]])</f>
        <v/>
      </c>
      <c r="Z28" s="648" t="str">
        <f ca="1">IF(P28="","",庫存管理[[#This Row],[持有成本(含前手息)]])</f>
        <v/>
      </c>
      <c r="AA28" s="2089" t="str">
        <f ca="1">IF(OR(P28="",'Tssco-bond portfolio(2)'!S28=FALSE),"",IFERROR(庫存管理[[#This Row],[部位現值(含前手息)]],""))</f>
        <v/>
      </c>
      <c r="AB28" s="2090"/>
      <c r="AC28" s="2090"/>
      <c r="AD28" s="2091"/>
      <c r="AE28" s="2040" t="str">
        <f ca="1">IF(OR(P28="",'Tssco-bond portfolio(2)'!S28=FALSE),"",IF(MF=2,IFERROR(庫存管理[[#This Row],[累計配息]],""),IFERROR(庫存管理[[#This Row],[已實現配息(原幣)]],"")))</f>
        <v/>
      </c>
      <c r="AF28" s="2041"/>
      <c r="AG28" s="2041"/>
      <c r="AH28" s="2042"/>
      <c r="AI28" s="2054" t="str">
        <f ca="1">IF(OR(P28="",'Tssco-bond portfolio(2)'!S28=FALSE),"",IFERROR(庫存管理[[#This Row],[資本利損]],""))</f>
        <v/>
      </c>
      <c r="AJ28" s="2055"/>
      <c r="AK28" s="2055"/>
      <c r="AL28" s="2056"/>
      <c r="AM28" s="2071" t="str">
        <f ca="1">IF(OR(P28="",'Tssco-bond portfolio(2)'!S28=FALSE),"",IFERROR(庫存管理[[#This Row],[合計收益]],""))</f>
        <v/>
      </c>
      <c r="AN28" s="2041"/>
      <c r="AO28" s="2041"/>
      <c r="AP28" s="2072"/>
      <c r="AQ28" s="2078" t="str">
        <f ca="1">IF(AM28="","",庫存管理[[#This Row],[總報酬]])</f>
        <v/>
      </c>
      <c r="AR28" s="2076"/>
      <c r="AS28" s="2079"/>
      <c r="AT28" s="2076" t="str">
        <f ca="1">IF(AM28="","",IFERROR(庫存管理[[#This Row],[投入佔比]],0))</f>
        <v/>
      </c>
      <c r="AU28" s="2076"/>
      <c r="AV28" s="2073">
        <f t="shared" ca="1" si="0"/>
        <v>0</v>
      </c>
      <c r="AW28" s="2073"/>
      <c r="AX28" s="2073"/>
      <c r="AY28" s="2076" t="str">
        <f ca="1">IF(AM28="","",IFERROR(庫存管理[[#This Row],[現值佔比]],""))</f>
        <v/>
      </c>
      <c r="AZ28" s="2077"/>
      <c r="BA28" s="601"/>
      <c r="BI28" s="610" t="e">
        <f t="shared" ca="1" si="1"/>
        <v>#VALUE!</v>
      </c>
      <c r="BJ28" s="610" t="e">
        <f ca="1">IFERROR(DATEVALUE(VLOOKUP(P28,'銀行-TSS'!B:AL,37,FALSE)),VLOOKUP(P28,'銀行-TSS'!B:AL,37,FALSE))</f>
        <v>#N/A</v>
      </c>
      <c r="BK28" s="517" t="e">
        <f ca="1">VLOOKUP(P28,'銀行-TSS'!B:N,13,FALSE)</f>
        <v>#N/A</v>
      </c>
      <c r="BL28" s="621" t="e">
        <f ca="1">VLOOKUP(P28,'銀行-TSS'!B:O,14,FALSE)</f>
        <v>#N/A</v>
      </c>
      <c r="BM28" s="741" t="b">
        <f t="shared" ca="1" si="2"/>
        <v>0</v>
      </c>
      <c r="BN28" s="55" t="e">
        <f t="shared" ca="1" si="3"/>
        <v>#N/A</v>
      </c>
      <c r="BO28" s="1785">
        <f t="shared" ca="1" si="4"/>
        <v>0</v>
      </c>
    </row>
    <row r="29" spans="4:67" ht="28" hidden="1" customHeight="1">
      <c r="D29" s="606"/>
      <c r="E29" s="606"/>
      <c r="F29" s="669"/>
      <c r="G29" s="669"/>
      <c r="H29" s="669"/>
      <c r="I29" s="1697"/>
      <c r="J29" s="505"/>
      <c r="M29" s="55">
        <v>23</v>
      </c>
      <c r="N29" s="1049"/>
      <c r="P29" s="598" t="str">
        <f ca="1">IF(OR(開關=FALSE,庫存管理[[#This Row],[商品代號]]=""),"",庫存管理[[#This Row],[商品代號]])</f>
        <v/>
      </c>
      <c r="Q29" s="1990" t="str">
        <f ca="1">IF(開關=TRUE,IFERROR(VLOOKUP(P29,bond!B:C,2,FALSE),""),"")</f>
        <v/>
      </c>
      <c r="R29" s="1990"/>
      <c r="S29" s="1990"/>
      <c r="T29" s="1990"/>
      <c r="U29" s="1990"/>
      <c r="V29" s="2092" t="str">
        <f ca="1">IF(P29="","",VLOOKUP(P29,'銀行-TSS'!B:C,2,FALSE))</f>
        <v/>
      </c>
      <c r="W29" s="2093"/>
      <c r="X29" s="647" t="str">
        <f ca="1">IF(P29="","",'商品代碼-中繼頁'!S24)</f>
        <v/>
      </c>
      <c r="Y29" s="597" t="str">
        <f ca="1">IF(P29="","",庫存管理[[#This Row],[投入面額]])</f>
        <v/>
      </c>
      <c r="Z29" s="648" t="str">
        <f ca="1">IF(P29="","",庫存管理[[#This Row],[持有成本(含前手息)]])</f>
        <v/>
      </c>
      <c r="AA29" s="2089" t="str">
        <f ca="1">IF(OR(P29="",'Tssco-bond portfolio(2)'!S29=FALSE),"",IFERROR(庫存管理[[#This Row],[部位現值(含前手息)]],""))</f>
        <v/>
      </c>
      <c r="AB29" s="2090"/>
      <c r="AC29" s="2090"/>
      <c r="AD29" s="2091"/>
      <c r="AE29" s="2040" t="str">
        <f ca="1">IF(OR(P29="",'Tssco-bond portfolio(2)'!S29=FALSE),"",IF(MF=2,IFERROR(庫存管理[[#This Row],[累計配息]],""),IFERROR(庫存管理[[#This Row],[已實現配息(原幣)]],"")))</f>
        <v/>
      </c>
      <c r="AF29" s="2041"/>
      <c r="AG29" s="2041"/>
      <c r="AH29" s="2042"/>
      <c r="AI29" s="2054" t="str">
        <f ca="1">IF(OR(P29="",'Tssco-bond portfolio(2)'!S29=FALSE),"",IFERROR(庫存管理[[#This Row],[資本利損]],""))</f>
        <v/>
      </c>
      <c r="AJ29" s="2055"/>
      <c r="AK29" s="2055"/>
      <c r="AL29" s="2056"/>
      <c r="AM29" s="2071" t="str">
        <f ca="1">IF(OR(P29="",'Tssco-bond portfolio(2)'!S29=FALSE),"",IFERROR(庫存管理[[#This Row],[合計收益]],""))</f>
        <v/>
      </c>
      <c r="AN29" s="2041"/>
      <c r="AO29" s="2041"/>
      <c r="AP29" s="2072"/>
      <c r="AQ29" s="2078" t="str">
        <f ca="1">IF(AM29="","",庫存管理[[#This Row],[總報酬]])</f>
        <v/>
      </c>
      <c r="AR29" s="2076"/>
      <c r="AS29" s="2079"/>
      <c r="AT29" s="2076" t="str">
        <f ca="1">IF(AM29="","",IFERROR(庫存管理[[#This Row],[投入佔比]],0))</f>
        <v/>
      </c>
      <c r="AU29" s="2076"/>
      <c r="AV29" s="2073">
        <f t="shared" ca="1" si="0"/>
        <v>0</v>
      </c>
      <c r="AW29" s="2073"/>
      <c r="AX29" s="2073"/>
      <c r="AY29" s="2076" t="str">
        <f ca="1">IF(AM29="","",IFERROR(庫存管理[[#This Row],[現值佔比]],""))</f>
        <v/>
      </c>
      <c r="AZ29" s="2077"/>
      <c r="BA29" s="601"/>
      <c r="BI29" s="610" t="e">
        <f t="shared" ca="1" si="1"/>
        <v>#VALUE!</v>
      </c>
      <c r="BJ29" s="610" t="e">
        <f ca="1">IFERROR(DATEVALUE(VLOOKUP(P29,'銀行-TSS'!B:AL,37,FALSE)),VLOOKUP(P29,'銀行-TSS'!B:AL,37,FALSE))</f>
        <v>#N/A</v>
      </c>
      <c r="BK29" s="517" t="e">
        <f ca="1">VLOOKUP(P29,'銀行-TSS'!B:N,13,FALSE)</f>
        <v>#N/A</v>
      </c>
      <c r="BL29" s="621" t="e">
        <f ca="1">VLOOKUP(P29,'銀行-TSS'!B:O,14,FALSE)</f>
        <v>#N/A</v>
      </c>
      <c r="BM29" s="741" t="b">
        <f t="shared" ca="1" si="2"/>
        <v>0</v>
      </c>
      <c r="BN29" s="55" t="e">
        <f t="shared" ca="1" si="3"/>
        <v>#N/A</v>
      </c>
      <c r="BO29" s="1785">
        <f t="shared" ca="1" si="4"/>
        <v>0</v>
      </c>
    </row>
    <row r="30" spans="4:67" ht="28" hidden="1" customHeight="1">
      <c r="D30" s="606"/>
      <c r="E30" s="606"/>
      <c r="F30" s="669"/>
      <c r="G30" s="669"/>
      <c r="H30" s="669"/>
      <c r="I30" s="1697"/>
      <c r="J30" s="505"/>
      <c r="M30" s="55">
        <v>24</v>
      </c>
      <c r="N30" s="1049"/>
      <c r="P30" s="598" t="str">
        <f ca="1">IF(OR(開關=FALSE,庫存管理[[#This Row],[商品代號]]=""),"",庫存管理[[#This Row],[商品代號]])</f>
        <v/>
      </c>
      <c r="Q30" s="1990" t="str">
        <f ca="1">IF(開關=TRUE,IFERROR(VLOOKUP(P30,bond!B:C,2,FALSE),""),"")</f>
        <v/>
      </c>
      <c r="R30" s="1990"/>
      <c r="S30" s="1990"/>
      <c r="T30" s="1990"/>
      <c r="U30" s="1990"/>
      <c r="V30" s="2092" t="str">
        <f ca="1">IF(P30="","",VLOOKUP(P30,'銀行-TSS'!B:C,2,FALSE))</f>
        <v/>
      </c>
      <c r="W30" s="2093"/>
      <c r="X30" s="647" t="str">
        <f ca="1">IF(P30="","",'商品代碼-中繼頁'!S25)</f>
        <v/>
      </c>
      <c r="Y30" s="597" t="str">
        <f ca="1">IF(P30="","",庫存管理[[#This Row],[投入面額]])</f>
        <v/>
      </c>
      <c r="Z30" s="648" t="str">
        <f ca="1">IF(P30="","",庫存管理[[#This Row],[持有成本(含前手息)]])</f>
        <v/>
      </c>
      <c r="AA30" s="2089" t="str">
        <f ca="1">IF(OR(P30="",'Tssco-bond portfolio(2)'!S30=FALSE),"",IFERROR(庫存管理[[#This Row],[部位現值(含前手息)]],""))</f>
        <v/>
      </c>
      <c r="AB30" s="2090"/>
      <c r="AC30" s="2090"/>
      <c r="AD30" s="2091"/>
      <c r="AE30" s="2040" t="str">
        <f ca="1">IF(OR(P30="",'Tssco-bond portfolio(2)'!S30=FALSE),"",IF(MF=2,IFERROR(庫存管理[[#This Row],[累計配息]],""),IFERROR(庫存管理[[#This Row],[已實現配息(原幣)]],"")))</f>
        <v/>
      </c>
      <c r="AF30" s="2041"/>
      <c r="AG30" s="2041"/>
      <c r="AH30" s="2042"/>
      <c r="AI30" s="2054" t="str">
        <f ca="1">IF(OR(P30="",'Tssco-bond portfolio(2)'!S30=FALSE),"",IFERROR(庫存管理[[#This Row],[資本利損]],""))</f>
        <v/>
      </c>
      <c r="AJ30" s="2055"/>
      <c r="AK30" s="2055"/>
      <c r="AL30" s="2056"/>
      <c r="AM30" s="2071" t="str">
        <f ca="1">IF(OR(P30="",'Tssco-bond portfolio(2)'!S30=FALSE),"",IFERROR(庫存管理[[#This Row],[合計收益]],""))</f>
        <v/>
      </c>
      <c r="AN30" s="2041"/>
      <c r="AO30" s="2041"/>
      <c r="AP30" s="2072"/>
      <c r="AQ30" s="2078" t="str">
        <f ca="1">IF(AM30="","",庫存管理[[#This Row],[總報酬]])</f>
        <v/>
      </c>
      <c r="AR30" s="2076"/>
      <c r="AS30" s="2079"/>
      <c r="AT30" s="2076" t="str">
        <f ca="1">IF(AM30="","",IFERROR(庫存管理[[#This Row],[投入佔比]],0))</f>
        <v/>
      </c>
      <c r="AU30" s="2076"/>
      <c r="AV30" s="2073">
        <f t="shared" ca="1" si="0"/>
        <v>0</v>
      </c>
      <c r="AW30" s="2073"/>
      <c r="AX30" s="2073"/>
      <c r="AY30" s="2076" t="str">
        <f ca="1">IF(AM30="","",IFERROR(庫存管理[[#This Row],[現值佔比]],""))</f>
        <v/>
      </c>
      <c r="AZ30" s="2077"/>
      <c r="BA30" s="601"/>
      <c r="BI30" s="610" t="e">
        <f t="shared" ca="1" si="1"/>
        <v>#VALUE!</v>
      </c>
      <c r="BJ30" s="610" t="e">
        <f ca="1">IFERROR(DATEVALUE(VLOOKUP(P30,'銀行-TSS'!B:AL,37,FALSE)),VLOOKUP(P30,'銀行-TSS'!B:AL,37,FALSE))</f>
        <v>#N/A</v>
      </c>
      <c r="BK30" s="517" t="e">
        <f ca="1">VLOOKUP(P30,'銀行-TSS'!B:N,13,FALSE)</f>
        <v>#N/A</v>
      </c>
      <c r="BL30" s="621" t="e">
        <f ca="1">VLOOKUP(P30,'銀行-TSS'!B:O,14,FALSE)</f>
        <v>#N/A</v>
      </c>
      <c r="BM30" s="741" t="b">
        <f t="shared" ca="1" si="2"/>
        <v>0</v>
      </c>
      <c r="BN30" s="55" t="e">
        <f t="shared" ca="1" si="3"/>
        <v>#N/A</v>
      </c>
      <c r="BO30" s="1785">
        <f t="shared" ca="1" si="4"/>
        <v>0</v>
      </c>
    </row>
    <row r="31" spans="4:67" ht="28" hidden="1" customHeight="1">
      <c r="D31" s="606"/>
      <c r="E31" s="606"/>
      <c r="F31" s="669"/>
      <c r="G31" s="669"/>
      <c r="H31" s="669"/>
      <c r="I31" s="1697"/>
      <c r="J31" s="505"/>
      <c r="M31" s="55">
        <v>25</v>
      </c>
      <c r="N31" s="1049"/>
      <c r="P31" s="598" t="str">
        <f ca="1">IF(OR(開關=FALSE,庫存管理[[#This Row],[商品代號]]=""),"",庫存管理[[#This Row],[商品代號]])</f>
        <v/>
      </c>
      <c r="Q31" s="1990" t="str">
        <f ca="1">IF(開關=TRUE,IFERROR(VLOOKUP(P31,bond!B:C,2,FALSE),""),"")</f>
        <v/>
      </c>
      <c r="R31" s="1990"/>
      <c r="S31" s="1990"/>
      <c r="T31" s="1990"/>
      <c r="U31" s="1990"/>
      <c r="V31" s="2092" t="str">
        <f ca="1">IF(P31="","",VLOOKUP(P31,'銀行-TSS'!B:C,2,FALSE))</f>
        <v/>
      </c>
      <c r="W31" s="2093"/>
      <c r="X31" s="647" t="str">
        <f ca="1">IF(P31="","",'商品代碼-中繼頁'!S26)</f>
        <v/>
      </c>
      <c r="Y31" s="597" t="str">
        <f ca="1">IF(P31="","",庫存管理[[#This Row],[投入面額]])</f>
        <v/>
      </c>
      <c r="Z31" s="648" t="str">
        <f ca="1">IF(P31="","",庫存管理[[#This Row],[持有成本(含前手息)]])</f>
        <v/>
      </c>
      <c r="AA31" s="2089" t="str">
        <f ca="1">IF(OR(P31="",'Tssco-bond portfolio(2)'!S31=FALSE),"",IFERROR(庫存管理[[#This Row],[部位現值(含前手息)]],""))</f>
        <v/>
      </c>
      <c r="AB31" s="2090"/>
      <c r="AC31" s="2090"/>
      <c r="AD31" s="2091"/>
      <c r="AE31" s="2040" t="str">
        <f ca="1">IF(OR(P31="",'Tssco-bond portfolio(2)'!S31=FALSE),"",IF(MF=2,IFERROR(庫存管理[[#This Row],[累計配息]],""),IFERROR(庫存管理[[#This Row],[已實現配息(原幣)]],"")))</f>
        <v/>
      </c>
      <c r="AF31" s="2041"/>
      <c r="AG31" s="2041"/>
      <c r="AH31" s="2042"/>
      <c r="AI31" s="2054" t="str">
        <f ca="1">IF(OR(P31="",'Tssco-bond portfolio(2)'!S31=FALSE),"",IFERROR(庫存管理[[#This Row],[資本利損]],""))</f>
        <v/>
      </c>
      <c r="AJ31" s="2055"/>
      <c r="AK31" s="2055"/>
      <c r="AL31" s="2056"/>
      <c r="AM31" s="2071" t="str">
        <f ca="1">IF(OR(P31="",'Tssco-bond portfolio(2)'!S31=FALSE),"",IFERROR(庫存管理[[#This Row],[合計收益]],""))</f>
        <v/>
      </c>
      <c r="AN31" s="2041"/>
      <c r="AO31" s="2041"/>
      <c r="AP31" s="2072"/>
      <c r="AQ31" s="2078" t="str">
        <f ca="1">IF(AM31="","",庫存管理[[#This Row],[總報酬]])</f>
        <v/>
      </c>
      <c r="AR31" s="2076"/>
      <c r="AS31" s="2079"/>
      <c r="AT31" s="2076" t="str">
        <f ca="1">IF(AM31="","",IFERROR(庫存管理[[#This Row],[投入佔比]],0))</f>
        <v/>
      </c>
      <c r="AU31" s="2076"/>
      <c r="AV31" s="2073">
        <f t="shared" ca="1" si="0"/>
        <v>0</v>
      </c>
      <c r="AW31" s="2073"/>
      <c r="AX31" s="2073"/>
      <c r="AY31" s="2076" t="str">
        <f ca="1">IF(AM31="","",IFERROR(庫存管理[[#This Row],[現值佔比]],""))</f>
        <v/>
      </c>
      <c r="AZ31" s="2077"/>
      <c r="BA31" s="601"/>
      <c r="BI31" s="610" t="e">
        <f t="shared" ca="1" si="1"/>
        <v>#VALUE!</v>
      </c>
      <c r="BJ31" s="610" t="e">
        <f ca="1">IFERROR(DATEVALUE(VLOOKUP(P31,'銀行-TSS'!B:AL,37,FALSE)),VLOOKUP(P31,'銀行-TSS'!B:AL,37,FALSE))</f>
        <v>#N/A</v>
      </c>
      <c r="BK31" s="517" t="e">
        <f ca="1">VLOOKUP(P31,'銀行-TSS'!B:N,13,FALSE)</f>
        <v>#N/A</v>
      </c>
      <c r="BL31" s="621" t="e">
        <f ca="1">VLOOKUP(P31,'銀行-TSS'!B:O,14,FALSE)</f>
        <v>#N/A</v>
      </c>
      <c r="BM31" s="741" t="b">
        <f t="shared" ca="1" si="2"/>
        <v>0</v>
      </c>
      <c r="BN31" s="55" t="e">
        <f t="shared" ca="1" si="3"/>
        <v>#N/A</v>
      </c>
      <c r="BO31" s="1785">
        <f t="shared" ca="1" si="4"/>
        <v>0</v>
      </c>
    </row>
    <row r="32" spans="4:67" ht="28" hidden="1" customHeight="1">
      <c r="D32" s="606"/>
      <c r="E32" s="606"/>
      <c r="F32" s="669"/>
      <c r="G32" s="669"/>
      <c r="H32" s="669"/>
      <c r="I32" s="1697"/>
      <c r="J32" s="505"/>
      <c r="M32" s="55">
        <v>26</v>
      </c>
      <c r="N32" s="1049"/>
      <c r="P32" s="598" t="str">
        <f ca="1">IF(OR(開關=FALSE,庫存管理[[#This Row],[商品代號]]=""),"",庫存管理[[#This Row],[商品代號]])</f>
        <v/>
      </c>
      <c r="Q32" s="1990" t="str">
        <f ca="1">IF(開關=TRUE,IFERROR(VLOOKUP(P32,bond!B:C,2,FALSE),""),"")</f>
        <v/>
      </c>
      <c r="R32" s="1990"/>
      <c r="S32" s="1990"/>
      <c r="T32" s="1990"/>
      <c r="U32" s="1990"/>
      <c r="V32" s="2092" t="str">
        <f ca="1">IF(P32="","",VLOOKUP(P32,'銀行-TSS'!B:C,2,FALSE))</f>
        <v/>
      </c>
      <c r="W32" s="2093"/>
      <c r="X32" s="647" t="str">
        <f ca="1">IF(P32="","",'商品代碼-中繼頁'!S27)</f>
        <v/>
      </c>
      <c r="Y32" s="597" t="str">
        <f ca="1">IF(P32="","",庫存管理[[#This Row],[投入面額]])</f>
        <v/>
      </c>
      <c r="Z32" s="648" t="str">
        <f ca="1">IF(P32="","",庫存管理[[#This Row],[持有成本(含前手息)]])</f>
        <v/>
      </c>
      <c r="AA32" s="2089" t="str">
        <f ca="1">IF(OR(P32="",'Tssco-bond portfolio(2)'!S32=FALSE),"",IFERROR(庫存管理[[#This Row],[部位現值(含前手息)]],""))</f>
        <v/>
      </c>
      <c r="AB32" s="2090"/>
      <c r="AC32" s="2090"/>
      <c r="AD32" s="2091"/>
      <c r="AE32" s="2040" t="str">
        <f ca="1">IF(OR(P32="",'Tssco-bond portfolio(2)'!S32=FALSE),"",IF(MF=2,IFERROR(庫存管理[[#This Row],[累計配息]],""),IFERROR(庫存管理[[#This Row],[已實現配息(原幣)]],"")))</f>
        <v/>
      </c>
      <c r="AF32" s="2041"/>
      <c r="AG32" s="2041"/>
      <c r="AH32" s="2042"/>
      <c r="AI32" s="2054" t="str">
        <f ca="1">IF(OR(P32="",'Tssco-bond portfolio(2)'!S32=FALSE),"",IFERROR(庫存管理[[#This Row],[資本利損]],""))</f>
        <v/>
      </c>
      <c r="AJ32" s="2055"/>
      <c r="AK32" s="2055"/>
      <c r="AL32" s="2056"/>
      <c r="AM32" s="2071" t="str">
        <f ca="1">IF(OR(P32="",'Tssco-bond portfolio(2)'!S32=FALSE),"",IFERROR(庫存管理[[#This Row],[合計收益]],""))</f>
        <v/>
      </c>
      <c r="AN32" s="2041"/>
      <c r="AO32" s="2041"/>
      <c r="AP32" s="2072"/>
      <c r="AQ32" s="2078" t="str">
        <f ca="1">IF(AM32="","",庫存管理[[#This Row],[總報酬]])</f>
        <v/>
      </c>
      <c r="AR32" s="2076"/>
      <c r="AS32" s="2079"/>
      <c r="AT32" s="2076" t="str">
        <f ca="1">IF(AM32="","",IFERROR(庫存管理[[#This Row],[投入佔比]],0))</f>
        <v/>
      </c>
      <c r="AU32" s="2076"/>
      <c r="AV32" s="2073">
        <f t="shared" ca="1" si="0"/>
        <v>0</v>
      </c>
      <c r="AW32" s="2073"/>
      <c r="AX32" s="2073"/>
      <c r="AY32" s="2076" t="str">
        <f ca="1">IF(AM32="","",IFERROR(庫存管理[[#This Row],[現值佔比]],""))</f>
        <v/>
      </c>
      <c r="AZ32" s="2077"/>
      <c r="BA32" s="601"/>
      <c r="BI32" s="610" t="e">
        <f t="shared" ca="1" si="1"/>
        <v>#VALUE!</v>
      </c>
      <c r="BJ32" s="610" t="e">
        <f ca="1">IFERROR(DATEVALUE(VLOOKUP(P32,'銀行-TSS'!B:AL,37,FALSE)),VLOOKUP(P32,'銀行-TSS'!B:AL,37,FALSE))</f>
        <v>#N/A</v>
      </c>
      <c r="BK32" s="517" t="e">
        <f ca="1">VLOOKUP(P32,'銀行-TSS'!B:N,13,FALSE)</f>
        <v>#N/A</v>
      </c>
      <c r="BL32" s="621" t="e">
        <f ca="1">VLOOKUP(P32,'銀行-TSS'!B:O,14,FALSE)</f>
        <v>#N/A</v>
      </c>
      <c r="BM32" s="741" t="b">
        <f t="shared" ca="1" si="2"/>
        <v>0</v>
      </c>
      <c r="BN32" s="55" t="e">
        <f t="shared" ca="1" si="3"/>
        <v>#N/A</v>
      </c>
      <c r="BO32" s="1785">
        <f t="shared" ca="1" si="4"/>
        <v>0</v>
      </c>
    </row>
    <row r="33" spans="4:67" ht="28" hidden="1" customHeight="1">
      <c r="D33" s="606"/>
      <c r="E33" s="606"/>
      <c r="F33" s="669"/>
      <c r="G33" s="669"/>
      <c r="H33" s="669"/>
      <c r="I33" s="1697"/>
      <c r="J33" s="505"/>
      <c r="M33" s="55">
        <v>27</v>
      </c>
      <c r="N33" s="1049"/>
      <c r="P33" s="598" t="str">
        <f ca="1">IF(OR(開關=FALSE,庫存管理[[#This Row],[商品代號]]=""),"",庫存管理[[#This Row],[商品代號]])</f>
        <v/>
      </c>
      <c r="Q33" s="1990" t="str">
        <f ca="1">IF(開關=TRUE,IFERROR(VLOOKUP(P33,bond!B:C,2,FALSE),""),"")</f>
        <v/>
      </c>
      <c r="R33" s="1990"/>
      <c r="S33" s="1990"/>
      <c r="T33" s="1990"/>
      <c r="U33" s="1990"/>
      <c r="V33" s="2092" t="str">
        <f ca="1">IF(P33="","",VLOOKUP(P33,'銀行-TSS'!B:C,2,FALSE))</f>
        <v/>
      </c>
      <c r="W33" s="2093"/>
      <c r="X33" s="647" t="str">
        <f ca="1">IF(P33="","",'商品代碼-中繼頁'!S28)</f>
        <v/>
      </c>
      <c r="Y33" s="597" t="str">
        <f ca="1">IF(P33="","",庫存管理[[#This Row],[投入面額]])</f>
        <v/>
      </c>
      <c r="Z33" s="648" t="str">
        <f ca="1">IF(P33="","",庫存管理[[#This Row],[持有成本(含前手息)]])</f>
        <v/>
      </c>
      <c r="AA33" s="2089" t="str">
        <f ca="1">IF(OR(P33="",'Tssco-bond portfolio(2)'!S33=FALSE),"",IFERROR(庫存管理[[#This Row],[部位現值(含前手息)]],""))</f>
        <v/>
      </c>
      <c r="AB33" s="2090"/>
      <c r="AC33" s="2090"/>
      <c r="AD33" s="2091"/>
      <c r="AE33" s="2040" t="str">
        <f ca="1">IF(OR(P33="",'Tssco-bond portfolio(2)'!S33=FALSE),"",IF(MF=2,IFERROR(庫存管理[[#This Row],[累計配息]],""),IFERROR(庫存管理[[#This Row],[已實現配息(原幣)]],"")))</f>
        <v/>
      </c>
      <c r="AF33" s="2041"/>
      <c r="AG33" s="2041"/>
      <c r="AH33" s="2042"/>
      <c r="AI33" s="2054" t="str">
        <f ca="1">IF(OR(P33="",'Tssco-bond portfolio(2)'!S33=FALSE),"",IFERROR(庫存管理[[#This Row],[資本利損]],""))</f>
        <v/>
      </c>
      <c r="AJ33" s="2055"/>
      <c r="AK33" s="2055"/>
      <c r="AL33" s="2056"/>
      <c r="AM33" s="2071" t="str">
        <f ca="1">IF(OR(P33="",'Tssco-bond portfolio(2)'!S33=FALSE),"",IFERROR(庫存管理[[#This Row],[合計收益]],""))</f>
        <v/>
      </c>
      <c r="AN33" s="2041"/>
      <c r="AO33" s="2041"/>
      <c r="AP33" s="2072"/>
      <c r="AQ33" s="2078" t="str">
        <f ca="1">IF(AM33="","",庫存管理[[#This Row],[總報酬]])</f>
        <v/>
      </c>
      <c r="AR33" s="2076"/>
      <c r="AS33" s="2079"/>
      <c r="AT33" s="2076" t="str">
        <f ca="1">IF(AM33="","",IFERROR(庫存管理[[#This Row],[投入佔比]],0))</f>
        <v/>
      </c>
      <c r="AU33" s="2076"/>
      <c r="AV33" s="2073">
        <f t="shared" ca="1" si="0"/>
        <v>0</v>
      </c>
      <c r="AW33" s="2073"/>
      <c r="AX33" s="2073"/>
      <c r="AY33" s="2076" t="str">
        <f ca="1">IF(AM33="","",IFERROR(庫存管理[[#This Row],[現值佔比]],""))</f>
        <v/>
      </c>
      <c r="AZ33" s="2077"/>
      <c r="BA33" s="601"/>
      <c r="BI33" s="610" t="e">
        <f t="shared" ca="1" si="1"/>
        <v>#VALUE!</v>
      </c>
      <c r="BJ33" s="610" t="e">
        <f ca="1">IFERROR(DATEVALUE(VLOOKUP(P33,'銀行-TSS'!B:AL,37,FALSE)),VLOOKUP(P33,'銀行-TSS'!B:AL,37,FALSE))</f>
        <v>#N/A</v>
      </c>
      <c r="BK33" s="517" t="e">
        <f ca="1">VLOOKUP(P33,'銀行-TSS'!B:N,13,FALSE)</f>
        <v>#N/A</v>
      </c>
      <c r="BL33" s="621" t="e">
        <f ca="1">VLOOKUP(P33,'銀行-TSS'!B:O,14,FALSE)</f>
        <v>#N/A</v>
      </c>
      <c r="BM33" s="741" t="b">
        <f t="shared" ca="1" si="2"/>
        <v>0</v>
      </c>
      <c r="BN33" s="55" t="e">
        <f t="shared" ca="1" si="3"/>
        <v>#N/A</v>
      </c>
      <c r="BO33" s="1785">
        <f t="shared" ca="1" si="4"/>
        <v>0</v>
      </c>
    </row>
    <row r="34" spans="4:67" ht="28" hidden="1" customHeight="1">
      <c r="D34" s="606"/>
      <c r="E34" s="606"/>
      <c r="F34" s="669"/>
      <c r="G34" s="669"/>
      <c r="H34" s="669"/>
      <c r="I34" s="1697"/>
      <c r="J34" s="505"/>
      <c r="M34" s="55">
        <v>28</v>
      </c>
      <c r="N34" s="1049"/>
      <c r="P34" s="598" t="str">
        <f ca="1">IF(OR(開關=FALSE,庫存管理[[#This Row],[商品代號]]=""),"",庫存管理[[#This Row],[商品代號]])</f>
        <v/>
      </c>
      <c r="Q34" s="1990" t="str">
        <f ca="1">IF(開關=TRUE,IFERROR(VLOOKUP(P34,bond!B:C,2,FALSE),""),"")</f>
        <v/>
      </c>
      <c r="R34" s="1990"/>
      <c r="S34" s="1990"/>
      <c r="T34" s="1990"/>
      <c r="U34" s="1990"/>
      <c r="V34" s="2092" t="str">
        <f ca="1">IF(P34="","",VLOOKUP(P34,'銀行-TSS'!B:C,2,FALSE))</f>
        <v/>
      </c>
      <c r="W34" s="2093"/>
      <c r="X34" s="647" t="str">
        <f ca="1">IF(P34="","",'商品代碼-中繼頁'!S29)</f>
        <v/>
      </c>
      <c r="Y34" s="597" t="str">
        <f ca="1">IF(P34="","",庫存管理[[#This Row],[投入面額]])</f>
        <v/>
      </c>
      <c r="Z34" s="648" t="str">
        <f ca="1">IF(P34="","",庫存管理[[#This Row],[持有成本(含前手息)]])</f>
        <v/>
      </c>
      <c r="AA34" s="2089" t="str">
        <f ca="1">IF(OR(P34="",'Tssco-bond portfolio(2)'!S34=FALSE),"",IFERROR(庫存管理[[#This Row],[部位現值(含前手息)]],""))</f>
        <v/>
      </c>
      <c r="AB34" s="2090"/>
      <c r="AC34" s="2090"/>
      <c r="AD34" s="2091"/>
      <c r="AE34" s="2040" t="str">
        <f ca="1">IF(OR(P34="",'Tssco-bond portfolio(2)'!S34=FALSE),"",IF(MF=2,IFERROR(庫存管理[[#This Row],[累計配息]],""),IFERROR(庫存管理[[#This Row],[已實現配息(原幣)]],"")))</f>
        <v/>
      </c>
      <c r="AF34" s="2041"/>
      <c r="AG34" s="2041"/>
      <c r="AH34" s="2042"/>
      <c r="AI34" s="2054" t="str">
        <f ca="1">IF(OR(P34="",'Tssco-bond portfolio(2)'!S34=FALSE),"",IFERROR(庫存管理[[#This Row],[資本利損]],""))</f>
        <v/>
      </c>
      <c r="AJ34" s="2055"/>
      <c r="AK34" s="2055"/>
      <c r="AL34" s="2056"/>
      <c r="AM34" s="2071" t="str">
        <f ca="1">IF(OR(P34="",'Tssco-bond portfolio(2)'!S34=FALSE),"",IFERROR(庫存管理[[#This Row],[合計收益]],""))</f>
        <v/>
      </c>
      <c r="AN34" s="2041"/>
      <c r="AO34" s="2041"/>
      <c r="AP34" s="2072"/>
      <c r="AQ34" s="2078" t="str">
        <f ca="1">IF(AM34="","",庫存管理[[#This Row],[總報酬]])</f>
        <v/>
      </c>
      <c r="AR34" s="2076"/>
      <c r="AS34" s="2079"/>
      <c r="AT34" s="2076" t="str">
        <f ca="1">IF(AM34="","",IFERROR(庫存管理[[#This Row],[投入佔比]],0))</f>
        <v/>
      </c>
      <c r="AU34" s="2076"/>
      <c r="AV34" s="2073">
        <f t="shared" ca="1" si="0"/>
        <v>0</v>
      </c>
      <c r="AW34" s="2073"/>
      <c r="AX34" s="2073"/>
      <c r="AY34" s="2076" t="str">
        <f ca="1">IF(AM34="","",IFERROR(庫存管理[[#This Row],[現值佔比]],""))</f>
        <v/>
      </c>
      <c r="AZ34" s="2077"/>
      <c r="BA34" s="601"/>
      <c r="BI34" s="610" t="e">
        <f t="shared" ca="1" si="1"/>
        <v>#VALUE!</v>
      </c>
      <c r="BJ34" s="610" t="e">
        <f ca="1">IFERROR(DATEVALUE(VLOOKUP(P34,'銀行-TSS'!B:AL,37,FALSE)),VLOOKUP(P34,'銀行-TSS'!B:AL,37,FALSE))</f>
        <v>#N/A</v>
      </c>
      <c r="BK34" s="517" t="e">
        <f ca="1">VLOOKUP(P34,'銀行-TSS'!B:N,13,FALSE)</f>
        <v>#N/A</v>
      </c>
      <c r="BL34" s="621" t="e">
        <f ca="1">VLOOKUP(P34,'銀行-TSS'!B:O,14,FALSE)</f>
        <v>#N/A</v>
      </c>
      <c r="BM34" s="741" t="b">
        <f t="shared" ca="1" si="2"/>
        <v>0</v>
      </c>
      <c r="BN34" s="55" t="e">
        <f t="shared" ca="1" si="3"/>
        <v>#N/A</v>
      </c>
      <c r="BO34" s="1785">
        <f t="shared" ca="1" si="4"/>
        <v>0</v>
      </c>
    </row>
    <row r="35" spans="4:67" ht="28" hidden="1" customHeight="1">
      <c r="D35" s="606"/>
      <c r="E35" s="606"/>
      <c r="F35" s="669"/>
      <c r="G35" s="669"/>
      <c r="H35" s="669"/>
      <c r="I35" s="1697"/>
      <c r="J35" s="505"/>
      <c r="M35" s="55">
        <v>29</v>
      </c>
      <c r="N35" s="1049"/>
      <c r="P35" s="598" t="str">
        <f ca="1">IF(OR(開關=FALSE,庫存管理[[#This Row],[商品代號]]=""),"",庫存管理[[#This Row],[商品代號]])</f>
        <v/>
      </c>
      <c r="Q35" s="1990" t="str">
        <f ca="1">IF(開關=TRUE,IFERROR(VLOOKUP(P35,bond!B:C,2,FALSE),""),"")</f>
        <v/>
      </c>
      <c r="R35" s="1990"/>
      <c r="S35" s="1990"/>
      <c r="T35" s="1990"/>
      <c r="U35" s="1990"/>
      <c r="V35" s="2092" t="str">
        <f ca="1">IF(P35="","",VLOOKUP(P35,'銀行-TSS'!B:C,2,FALSE))</f>
        <v/>
      </c>
      <c r="W35" s="2093"/>
      <c r="X35" s="647" t="str">
        <f ca="1">IF(P35="","",'商品代碼-中繼頁'!S30)</f>
        <v/>
      </c>
      <c r="Y35" s="597" t="str">
        <f ca="1">IF(P35="","",庫存管理[[#This Row],[投入面額]])</f>
        <v/>
      </c>
      <c r="Z35" s="648" t="str">
        <f ca="1">IF(P35="","",庫存管理[[#This Row],[持有成本(含前手息)]])</f>
        <v/>
      </c>
      <c r="AA35" s="2089" t="str">
        <f ca="1">IF(OR(P35="",'Tssco-bond portfolio(2)'!S35=FALSE),"",IFERROR(庫存管理[[#This Row],[部位現值(含前手息)]],""))</f>
        <v/>
      </c>
      <c r="AB35" s="2090"/>
      <c r="AC35" s="2090"/>
      <c r="AD35" s="2091"/>
      <c r="AE35" s="2040" t="str">
        <f ca="1">IF(OR(P35="",'Tssco-bond portfolio(2)'!S35=FALSE),"",IF(MF=2,IFERROR(庫存管理[[#This Row],[累計配息]],""),IFERROR(庫存管理[[#This Row],[已實現配息(原幣)]],"")))</f>
        <v/>
      </c>
      <c r="AF35" s="2041"/>
      <c r="AG35" s="2041"/>
      <c r="AH35" s="2042"/>
      <c r="AI35" s="2054" t="str">
        <f ca="1">IF(OR(P35="",'Tssco-bond portfolio(2)'!S35=FALSE),"",IFERROR(庫存管理[[#This Row],[資本利損]],""))</f>
        <v/>
      </c>
      <c r="AJ35" s="2055"/>
      <c r="AK35" s="2055"/>
      <c r="AL35" s="2056"/>
      <c r="AM35" s="2071" t="str">
        <f ca="1">IF(OR(P35="",'Tssco-bond portfolio(2)'!S35=FALSE),"",IFERROR(庫存管理[[#This Row],[合計收益]],""))</f>
        <v/>
      </c>
      <c r="AN35" s="2041"/>
      <c r="AO35" s="2041"/>
      <c r="AP35" s="2072"/>
      <c r="AQ35" s="2078" t="str">
        <f ca="1">IF(AM35="","",庫存管理[[#This Row],[總報酬]])</f>
        <v/>
      </c>
      <c r="AR35" s="2076"/>
      <c r="AS35" s="2079"/>
      <c r="AT35" s="2076" t="str">
        <f ca="1">IF(AM35="","",IFERROR(庫存管理[[#This Row],[投入佔比]],0))</f>
        <v/>
      </c>
      <c r="AU35" s="2076"/>
      <c r="AV35" s="2073">
        <f t="shared" ca="1" si="0"/>
        <v>0</v>
      </c>
      <c r="AW35" s="2073"/>
      <c r="AX35" s="2073"/>
      <c r="AY35" s="2076" t="str">
        <f ca="1">IF(AM35="","",IFERROR(庫存管理[[#This Row],[現值佔比]],""))</f>
        <v/>
      </c>
      <c r="AZ35" s="2077"/>
      <c r="BA35" s="601"/>
      <c r="BI35" s="610" t="e">
        <f t="shared" ca="1" si="1"/>
        <v>#VALUE!</v>
      </c>
      <c r="BJ35" s="610" t="e">
        <f ca="1">IFERROR(DATEVALUE(VLOOKUP(P35,'銀行-TSS'!B:AL,37,FALSE)),VLOOKUP(P35,'銀行-TSS'!B:AL,37,FALSE))</f>
        <v>#N/A</v>
      </c>
      <c r="BK35" s="517" t="e">
        <f ca="1">VLOOKUP(P35,'銀行-TSS'!B:N,13,FALSE)</f>
        <v>#N/A</v>
      </c>
      <c r="BL35" s="621" t="e">
        <f ca="1">VLOOKUP(P35,'銀行-TSS'!B:O,14,FALSE)</f>
        <v>#N/A</v>
      </c>
      <c r="BM35" s="741" t="b">
        <f t="shared" ca="1" si="2"/>
        <v>0</v>
      </c>
      <c r="BN35" s="55" t="e">
        <f t="shared" ca="1" si="3"/>
        <v>#N/A</v>
      </c>
      <c r="BO35" s="1785">
        <f t="shared" ca="1" si="4"/>
        <v>0</v>
      </c>
    </row>
    <row r="36" spans="4:67" ht="28" hidden="1" customHeight="1">
      <c r="D36" s="606"/>
      <c r="E36" s="606"/>
      <c r="F36" s="669"/>
      <c r="G36" s="669"/>
      <c r="H36" s="669"/>
      <c r="I36" s="1697"/>
      <c r="J36" s="505"/>
      <c r="M36" s="55">
        <v>30</v>
      </c>
      <c r="N36" s="1049"/>
      <c r="P36" s="598" t="str">
        <f ca="1">IF(OR(開關=FALSE,庫存管理[[#This Row],[商品代號]]=""),"",庫存管理[[#This Row],[商品代號]])</f>
        <v/>
      </c>
      <c r="Q36" s="1990" t="str">
        <f ca="1">IF(開關=TRUE,IFERROR(VLOOKUP(P36,bond!B:C,2,FALSE),""),"")</f>
        <v/>
      </c>
      <c r="R36" s="1990"/>
      <c r="S36" s="1990"/>
      <c r="T36" s="1990"/>
      <c r="U36" s="1990"/>
      <c r="V36" s="2092" t="str">
        <f ca="1">IF(P36="","",VLOOKUP(P36,'銀行-TSS'!B:C,2,FALSE))</f>
        <v/>
      </c>
      <c r="W36" s="2093"/>
      <c r="X36" s="647" t="str">
        <f ca="1">IF(P36="","",'商品代碼-中繼頁'!S31)</f>
        <v/>
      </c>
      <c r="Y36" s="597" t="str">
        <f ca="1">IF(P36="","",庫存管理[[#This Row],[投入面額]])</f>
        <v/>
      </c>
      <c r="Z36" s="648" t="str">
        <f ca="1">IF(P36="","",庫存管理[[#This Row],[持有成本(含前手息)]])</f>
        <v/>
      </c>
      <c r="AA36" s="2089" t="str">
        <f ca="1">IF(OR(P36="",'Tssco-bond portfolio(2)'!S36=FALSE),"",IFERROR(庫存管理[[#This Row],[部位現值(含前手息)]],""))</f>
        <v/>
      </c>
      <c r="AB36" s="2090"/>
      <c r="AC36" s="2090"/>
      <c r="AD36" s="2091"/>
      <c r="AE36" s="2040" t="str">
        <f ca="1">IF(OR(P36="",'Tssco-bond portfolio(2)'!S36=FALSE),"",IF(MF=2,IFERROR(庫存管理[[#This Row],[累計配息]],""),IFERROR(庫存管理[[#This Row],[已實現配息(原幣)]],"")))</f>
        <v/>
      </c>
      <c r="AF36" s="2041"/>
      <c r="AG36" s="2041"/>
      <c r="AH36" s="2042"/>
      <c r="AI36" s="2054" t="str">
        <f ca="1">IF(OR(P36="",'Tssco-bond portfolio(2)'!S36=FALSE),"",IFERROR(庫存管理[[#This Row],[資本利損]],""))</f>
        <v/>
      </c>
      <c r="AJ36" s="2055"/>
      <c r="AK36" s="2055"/>
      <c r="AL36" s="2056"/>
      <c r="AM36" s="2071" t="str">
        <f ca="1">IF(OR(P36="",'Tssco-bond portfolio(2)'!S36=FALSE),"",IFERROR(庫存管理[[#This Row],[合計收益]],""))</f>
        <v/>
      </c>
      <c r="AN36" s="2041"/>
      <c r="AO36" s="2041"/>
      <c r="AP36" s="2072"/>
      <c r="AQ36" s="2078" t="str">
        <f ca="1">IF(AM36="","",庫存管理[[#This Row],[總報酬]])</f>
        <v/>
      </c>
      <c r="AR36" s="2076"/>
      <c r="AS36" s="2079"/>
      <c r="AT36" s="2076" t="str">
        <f ca="1">IF(AM36="","",IFERROR(庫存管理[[#This Row],[投入佔比]],0))</f>
        <v/>
      </c>
      <c r="AU36" s="2076"/>
      <c r="AV36" s="2073">
        <f t="shared" ca="1" si="0"/>
        <v>0</v>
      </c>
      <c r="AW36" s="2073"/>
      <c r="AX36" s="2073"/>
      <c r="AY36" s="2076" t="str">
        <f ca="1">IF(AM36="","",IFERROR(庫存管理[[#This Row],[現值佔比]],""))</f>
        <v/>
      </c>
      <c r="AZ36" s="2077"/>
      <c r="BA36" s="601"/>
      <c r="BI36" s="610" t="e">
        <f t="shared" ca="1" si="1"/>
        <v>#VALUE!</v>
      </c>
      <c r="BJ36" s="610" t="e">
        <f ca="1">IFERROR(DATEVALUE(VLOOKUP(P36,'銀行-TSS'!B:AL,37,FALSE)),VLOOKUP(P36,'銀行-TSS'!B:AL,37,FALSE))</f>
        <v>#N/A</v>
      </c>
      <c r="BK36" s="517" t="e">
        <f ca="1">VLOOKUP(P36,'銀行-TSS'!B:N,13,FALSE)</f>
        <v>#N/A</v>
      </c>
      <c r="BL36" s="621" t="e">
        <f ca="1">VLOOKUP(P36,'銀行-TSS'!B:O,14,FALSE)</f>
        <v>#N/A</v>
      </c>
      <c r="BM36" s="741" t="b">
        <f t="shared" ca="1" si="2"/>
        <v>0</v>
      </c>
      <c r="BN36" s="55" t="e">
        <f t="shared" ca="1" si="3"/>
        <v>#N/A</v>
      </c>
      <c r="BO36" s="1785">
        <f t="shared" ca="1" si="4"/>
        <v>0</v>
      </c>
    </row>
    <row r="37" spans="4:67" ht="28" hidden="1" customHeight="1">
      <c r="D37" s="606"/>
      <c r="E37" s="606"/>
      <c r="F37" s="669"/>
      <c r="G37" s="669"/>
      <c r="H37" s="669"/>
      <c r="I37" s="1697"/>
      <c r="J37" s="505"/>
      <c r="M37" s="55">
        <v>31</v>
      </c>
      <c r="N37" s="1049"/>
      <c r="P37" s="598" t="str">
        <f ca="1">IF(OR(開關=FALSE,庫存管理[[#This Row],[商品代號]]=""),"",庫存管理[[#This Row],[商品代號]])</f>
        <v/>
      </c>
      <c r="Q37" s="1990" t="str">
        <f ca="1">IF(開關=TRUE,IFERROR(VLOOKUP(P37,bond!B:C,2,FALSE),""),"")</f>
        <v/>
      </c>
      <c r="R37" s="1990"/>
      <c r="S37" s="1990"/>
      <c r="T37" s="1990"/>
      <c r="U37" s="1990"/>
      <c r="V37" s="2092" t="str">
        <f ca="1">IF(P37="","",VLOOKUP(P37,'銀行-TSS'!B:C,2,FALSE))</f>
        <v/>
      </c>
      <c r="W37" s="2093"/>
      <c r="X37" s="647" t="str">
        <f ca="1">IF(P37="","",'商品代碼-中繼頁'!S32)</f>
        <v/>
      </c>
      <c r="Y37" s="597" t="str">
        <f ca="1">IF(P37="","",庫存管理[[#This Row],[投入面額]])</f>
        <v/>
      </c>
      <c r="Z37" s="648" t="str">
        <f ca="1">IF(P37="","",庫存管理[[#This Row],[持有成本(含前手息)]])</f>
        <v/>
      </c>
      <c r="AA37" s="2089" t="str">
        <f ca="1">IF(OR(P37="",'Tssco-bond portfolio(2)'!S37=FALSE),"",IFERROR(庫存管理[[#This Row],[部位現值(含前手息)]],""))</f>
        <v/>
      </c>
      <c r="AB37" s="2090"/>
      <c r="AC37" s="2090"/>
      <c r="AD37" s="2091"/>
      <c r="AE37" s="2040" t="str">
        <f ca="1">IF(OR(P37="",'Tssco-bond portfolio(2)'!S37=FALSE),"",IF(MF=2,IFERROR(庫存管理[[#This Row],[累計配息]],""),IFERROR(庫存管理[[#This Row],[已實現配息(原幣)]],"")))</f>
        <v/>
      </c>
      <c r="AF37" s="2041"/>
      <c r="AG37" s="2041"/>
      <c r="AH37" s="2042"/>
      <c r="AI37" s="2054" t="str">
        <f ca="1">IF(OR(P37="",'Tssco-bond portfolio(2)'!S37=FALSE),"",IFERROR(庫存管理[[#This Row],[資本利損]],""))</f>
        <v/>
      </c>
      <c r="AJ37" s="2055"/>
      <c r="AK37" s="2055"/>
      <c r="AL37" s="2056"/>
      <c r="AM37" s="2071" t="str">
        <f ca="1">IF(OR(P37="",'Tssco-bond portfolio(2)'!S37=FALSE),"",IFERROR(庫存管理[[#This Row],[合計收益]],""))</f>
        <v/>
      </c>
      <c r="AN37" s="2041"/>
      <c r="AO37" s="2041"/>
      <c r="AP37" s="2072"/>
      <c r="AQ37" s="2078" t="str">
        <f ca="1">IF(AM37="","",庫存管理[[#This Row],[總報酬]])</f>
        <v/>
      </c>
      <c r="AR37" s="2076"/>
      <c r="AS37" s="2079"/>
      <c r="AT37" s="2076" t="str">
        <f ca="1">IF(AM37="","",IFERROR(庫存管理[[#This Row],[投入佔比]],0))</f>
        <v/>
      </c>
      <c r="AU37" s="2076"/>
      <c r="AV37" s="2073">
        <f t="shared" ca="1" si="0"/>
        <v>0</v>
      </c>
      <c r="AW37" s="2073"/>
      <c r="AX37" s="2073"/>
      <c r="AY37" s="2076" t="str">
        <f ca="1">IF(AM37="","",IFERROR(庫存管理[[#This Row],[現值佔比]],""))</f>
        <v/>
      </c>
      <c r="AZ37" s="2077"/>
      <c r="BA37" s="601"/>
      <c r="BI37" s="610" t="e">
        <f t="shared" ca="1" si="1"/>
        <v>#VALUE!</v>
      </c>
      <c r="BJ37" s="610" t="e">
        <f ca="1">IFERROR(DATEVALUE(VLOOKUP(P37,'銀行-TSS'!B:AL,37,FALSE)),VLOOKUP(P37,'銀行-TSS'!B:AL,37,FALSE))</f>
        <v>#N/A</v>
      </c>
      <c r="BK37" s="517" t="e">
        <f ca="1">VLOOKUP(P37,'銀行-TSS'!B:N,13,FALSE)</f>
        <v>#N/A</v>
      </c>
      <c r="BL37" s="621" t="e">
        <f ca="1">VLOOKUP(P37,'銀行-TSS'!B:O,14,FALSE)</f>
        <v>#N/A</v>
      </c>
      <c r="BM37" s="741" t="b">
        <f t="shared" ca="1" si="2"/>
        <v>0</v>
      </c>
      <c r="BN37" s="55" t="e">
        <f t="shared" ca="1" si="3"/>
        <v>#N/A</v>
      </c>
      <c r="BO37" s="1785">
        <f t="shared" ca="1" si="4"/>
        <v>0</v>
      </c>
    </row>
    <row r="38" spans="4:67" ht="28" hidden="1" customHeight="1">
      <c r="D38" s="606"/>
      <c r="E38" s="606"/>
      <c r="F38" s="669"/>
      <c r="G38" s="669"/>
      <c r="H38" s="669"/>
      <c r="I38" s="1697"/>
      <c r="J38" s="505"/>
      <c r="M38" s="55">
        <v>32</v>
      </c>
      <c r="N38" s="1049"/>
      <c r="P38" s="598" t="str">
        <f ca="1">IF(OR(開關=FALSE,庫存管理[[#This Row],[商品代號]]=""),"",庫存管理[[#This Row],[商品代號]])</f>
        <v/>
      </c>
      <c r="Q38" s="1990" t="str">
        <f ca="1">IF(開關=TRUE,IFERROR(VLOOKUP(P38,bond!B:C,2,FALSE),""),"")</f>
        <v/>
      </c>
      <c r="R38" s="1990"/>
      <c r="S38" s="1990"/>
      <c r="T38" s="1990"/>
      <c r="U38" s="1990"/>
      <c r="V38" s="2092" t="str">
        <f ca="1">IF(P38="","",VLOOKUP(P38,'銀行-TSS'!B:C,2,FALSE))</f>
        <v/>
      </c>
      <c r="W38" s="2093"/>
      <c r="X38" s="647" t="str">
        <f ca="1">IF(P38="","",'商品代碼-中繼頁'!S33)</f>
        <v/>
      </c>
      <c r="Y38" s="597" t="str">
        <f ca="1">IF(P38="","",庫存管理[[#This Row],[投入面額]])</f>
        <v/>
      </c>
      <c r="Z38" s="648" t="str">
        <f ca="1">IF(P38="","",庫存管理[[#This Row],[持有成本(含前手息)]])</f>
        <v/>
      </c>
      <c r="AA38" s="2089" t="str">
        <f ca="1">IF(OR(P38="",'Tssco-bond portfolio(2)'!S38=FALSE),"",IFERROR(庫存管理[[#This Row],[部位現值(含前手息)]],""))</f>
        <v/>
      </c>
      <c r="AB38" s="2090"/>
      <c r="AC38" s="2090"/>
      <c r="AD38" s="2091"/>
      <c r="AE38" s="2040" t="str">
        <f ca="1">IF(OR(P38="",'Tssco-bond portfolio(2)'!S38=FALSE),"",IF(MF=2,IFERROR(庫存管理[[#This Row],[累計配息]],""),IFERROR(庫存管理[[#This Row],[已實現配息(原幣)]],"")))</f>
        <v/>
      </c>
      <c r="AF38" s="2041"/>
      <c r="AG38" s="2041"/>
      <c r="AH38" s="2042"/>
      <c r="AI38" s="2054" t="str">
        <f ca="1">IF(OR(P38="",'Tssco-bond portfolio(2)'!S38=FALSE),"",IFERROR(庫存管理[[#This Row],[資本利損]],""))</f>
        <v/>
      </c>
      <c r="AJ38" s="2055"/>
      <c r="AK38" s="2055"/>
      <c r="AL38" s="2056"/>
      <c r="AM38" s="2071" t="str">
        <f ca="1">IF(OR(P38="",'Tssco-bond portfolio(2)'!S38=FALSE),"",IFERROR(庫存管理[[#This Row],[合計收益]],""))</f>
        <v/>
      </c>
      <c r="AN38" s="2041"/>
      <c r="AO38" s="2041"/>
      <c r="AP38" s="2072"/>
      <c r="AQ38" s="2078" t="str">
        <f ca="1">IF(AM38="","",庫存管理[[#This Row],[總報酬]])</f>
        <v/>
      </c>
      <c r="AR38" s="2076"/>
      <c r="AS38" s="2079"/>
      <c r="AT38" s="2076" t="str">
        <f ca="1">IF(AM38="","",IFERROR(庫存管理[[#This Row],[投入佔比]],0))</f>
        <v/>
      </c>
      <c r="AU38" s="2076"/>
      <c r="AV38" s="2073">
        <f t="shared" ca="1" si="0"/>
        <v>0</v>
      </c>
      <c r="AW38" s="2073"/>
      <c r="AX38" s="2073"/>
      <c r="AY38" s="2076" t="str">
        <f ca="1">IF(AM38="","",IFERROR(庫存管理[[#This Row],[現值佔比]],""))</f>
        <v/>
      </c>
      <c r="AZ38" s="2077"/>
      <c r="BA38" s="601"/>
      <c r="BI38" s="610" t="e">
        <f t="shared" ca="1" si="1"/>
        <v>#VALUE!</v>
      </c>
      <c r="BJ38" s="610" t="e">
        <f ca="1">IFERROR(DATEVALUE(VLOOKUP(P38,'銀行-TSS'!B:AL,37,FALSE)),VLOOKUP(P38,'銀行-TSS'!B:AL,37,FALSE))</f>
        <v>#N/A</v>
      </c>
      <c r="BK38" s="517" t="e">
        <f ca="1">VLOOKUP(P38,'銀行-TSS'!B:N,13,FALSE)</f>
        <v>#N/A</v>
      </c>
      <c r="BL38" s="621" t="e">
        <f ca="1">VLOOKUP(P38,'銀行-TSS'!B:O,14,FALSE)</f>
        <v>#N/A</v>
      </c>
      <c r="BM38" s="741" t="b">
        <f t="shared" ca="1" si="2"/>
        <v>0</v>
      </c>
      <c r="BN38" s="55" t="e">
        <f t="shared" ca="1" si="3"/>
        <v>#N/A</v>
      </c>
      <c r="BO38" s="1785">
        <f t="shared" ca="1" si="4"/>
        <v>0</v>
      </c>
    </row>
    <row r="39" spans="4:67" ht="28" hidden="1" customHeight="1">
      <c r="D39" s="606"/>
      <c r="E39" s="606"/>
      <c r="F39" s="669"/>
      <c r="G39" s="669"/>
      <c r="H39" s="669"/>
      <c r="I39" s="1697"/>
      <c r="J39" s="505"/>
      <c r="M39" s="55">
        <v>33</v>
      </c>
      <c r="N39" s="1049"/>
      <c r="P39" s="598" t="str">
        <f ca="1">IF(庫存管理[[#This Row],[商品代號]]="","",庫存管理[[#This Row],[商品代號]])</f>
        <v/>
      </c>
      <c r="Q39" s="1990" t="str">
        <f ca="1">IF(開關=TRUE,IFERROR(VLOOKUP(P39,bond!B:C,2,FALSE),""),"")</f>
        <v/>
      </c>
      <c r="R39" s="1990"/>
      <c r="S39" s="1990"/>
      <c r="T39" s="1990"/>
      <c r="U39" s="1990"/>
      <c r="V39" s="2092" t="str">
        <f ca="1">IF(P39="","",庫存管理[[#This Row],[幣別]])</f>
        <v/>
      </c>
      <c r="W39" s="2093"/>
      <c r="X39" s="647" t="str">
        <f ca="1">IF(P39="","",'商品代碼-中繼頁'!S34)</f>
        <v/>
      </c>
      <c r="Y39" s="597" t="str">
        <f ca="1">IF(P39="","",庫存管理[[#This Row],[投入面額]])</f>
        <v/>
      </c>
      <c r="Z39" s="648" t="str">
        <f ca="1">IF(P39="","",庫存管理[[#This Row],[持有成本(含前手息)]])</f>
        <v/>
      </c>
      <c r="AA39" s="2089" t="str">
        <f ca="1">IF(V39="","",IFERROR(庫存管理[[#This Row],[部位現值(含前手息)]],""))</f>
        <v/>
      </c>
      <c r="AB39" s="2090"/>
      <c r="AC39" s="2090"/>
      <c r="AD39" s="2091"/>
      <c r="AE39" s="2040" t="str">
        <f ca="1">IF(OR(P39="",X39="",開關=FALSE),"",IF(MF=2,IFERROR(庫存管理[[#This Row],[累計配息]],""),IFERROR(庫存管理[[#This Row],[已實現配息(原幣)]],"")))</f>
        <v/>
      </c>
      <c r="AF39" s="2041"/>
      <c r="AG39" s="2041"/>
      <c r="AH39" s="2042"/>
      <c r="AI39" s="2054" t="str">
        <f ca="1">IF(V39="","",IFERROR(庫存管理[[#This Row],[資本利損]],""))</f>
        <v/>
      </c>
      <c r="AJ39" s="2055"/>
      <c r="AK39" s="2055"/>
      <c r="AL39" s="2056"/>
      <c r="AM39" s="2071" t="str">
        <f ca="1">IF(OR(P39="",X39=""),"",IFERROR(庫存管理[[#This Row],[合計收益]],""))</f>
        <v/>
      </c>
      <c r="AN39" s="2041"/>
      <c r="AO39" s="2041"/>
      <c r="AP39" s="2072"/>
      <c r="AQ39" s="2078" t="str">
        <f ca="1">IF(AM39="","",庫存管理[[#This Row],[總報酬]])</f>
        <v/>
      </c>
      <c r="AR39" s="2076"/>
      <c r="AS39" s="2079"/>
      <c r="AT39" s="2076" t="str">
        <f ca="1">IF(AM39="","",IFERROR(庫存管理[[#This Row],[投入佔比]],0))</f>
        <v/>
      </c>
      <c r="AU39" s="2076"/>
      <c r="AV39" s="2073">
        <f t="shared" ca="1" si="0"/>
        <v>0</v>
      </c>
      <c r="AW39" s="2073"/>
      <c r="AX39" s="2073"/>
      <c r="AY39" s="2076" t="str">
        <f ca="1">IF(AQ39="","",IFERROR(庫存管理[[#This Row],[現值佔比]],""))</f>
        <v/>
      </c>
      <c r="AZ39" s="2077"/>
      <c r="BA39" s="601"/>
      <c r="BI39" s="610" t="e">
        <f t="shared" ca="1" si="1"/>
        <v>#VALUE!</v>
      </c>
      <c r="BJ39" s="610" t="e">
        <f ca="1">IFERROR(DATEVALUE(VLOOKUP(P39,'銀行-TSS'!B:AL,37,FALSE)),VLOOKUP(P39,'銀行-TSS'!B:AL,37,FALSE))</f>
        <v>#N/A</v>
      </c>
      <c r="BK39" s="517" t="e">
        <f ca="1">VLOOKUP(P39,'銀行-TSS'!B:N,13,FALSE)</f>
        <v>#N/A</v>
      </c>
      <c r="BL39" s="621" t="e">
        <f ca="1">VLOOKUP(P39,'銀行-TSS'!B:O,14,FALSE)</f>
        <v>#N/A</v>
      </c>
      <c r="BM39" s="741" t="b">
        <f t="shared" ca="1" si="2"/>
        <v>0</v>
      </c>
      <c r="BN39" s="55" t="e">
        <f t="shared" ca="1" si="3"/>
        <v>#N/A</v>
      </c>
      <c r="BO39" s="1785">
        <f t="shared" ca="1" si="4"/>
        <v>0</v>
      </c>
    </row>
    <row r="40" spans="4:67" ht="28" hidden="1" customHeight="1">
      <c r="D40" s="606"/>
      <c r="E40" s="606"/>
      <c r="F40" s="669"/>
      <c r="G40" s="669"/>
      <c r="H40" s="669"/>
      <c r="I40" s="1697"/>
      <c r="J40" s="505"/>
      <c r="M40" s="55">
        <v>34</v>
      </c>
      <c r="N40" s="1049"/>
      <c r="P40" s="598" t="str">
        <f ca="1">IF(庫存管理[[#This Row],[商品代號]]="","",庫存管理[[#This Row],[商品代號]])</f>
        <v/>
      </c>
      <c r="Q40" s="1990" t="str">
        <f ca="1">IF(開關=TRUE,IFERROR(VLOOKUP(P40,bond!B:C,2,FALSE),""),"")</f>
        <v/>
      </c>
      <c r="R40" s="1990"/>
      <c r="S40" s="1990"/>
      <c r="T40" s="1990"/>
      <c r="U40" s="1990"/>
      <c r="V40" s="2092" t="str">
        <f ca="1">IF(P40="","",庫存管理[[#This Row],[幣別]])</f>
        <v/>
      </c>
      <c r="W40" s="2093"/>
      <c r="X40" s="647" t="str">
        <f ca="1">IF(P40="","",'商品代碼-中繼頁'!S35)</f>
        <v/>
      </c>
      <c r="Y40" s="597" t="str">
        <f ca="1">IF(P40="","",庫存管理[[#This Row],[投入面額]])</f>
        <v/>
      </c>
      <c r="Z40" s="648" t="str">
        <f ca="1">IF(P40="","",庫存管理[[#This Row],[持有成本(含前手息)]])</f>
        <v/>
      </c>
      <c r="AA40" s="2089" t="str">
        <f ca="1">IF(V40="","",IFERROR(庫存管理[[#This Row],[部位現值(含前手息)]],""))</f>
        <v/>
      </c>
      <c r="AB40" s="2090"/>
      <c r="AC40" s="2090"/>
      <c r="AD40" s="2091"/>
      <c r="AE40" s="2040" t="str">
        <f ca="1">IF(OR(P40="",X40="",開關=FALSE),"",IF(MF=2,IFERROR(庫存管理[[#This Row],[累計配息]],""),IFERROR(庫存管理[[#This Row],[已實現配息(原幣)]],"")))</f>
        <v/>
      </c>
      <c r="AF40" s="2041"/>
      <c r="AG40" s="2041"/>
      <c r="AH40" s="2042"/>
      <c r="AI40" s="2054" t="str">
        <f ca="1">IF(V40="","",IFERROR(庫存管理[[#This Row],[資本利損]],""))</f>
        <v/>
      </c>
      <c r="AJ40" s="2055"/>
      <c r="AK40" s="2055"/>
      <c r="AL40" s="2056"/>
      <c r="AM40" s="2071" t="str">
        <f ca="1">IF(OR(P40="",X40=""),"",IFERROR(庫存管理[[#This Row],[合計收益]],""))</f>
        <v/>
      </c>
      <c r="AN40" s="2041"/>
      <c r="AO40" s="2041"/>
      <c r="AP40" s="2072"/>
      <c r="AQ40" s="2078" t="str">
        <f ca="1">IF(AM40="","",庫存管理[[#This Row],[總報酬]])</f>
        <v/>
      </c>
      <c r="AR40" s="2076"/>
      <c r="AS40" s="2079"/>
      <c r="AT40" s="2076" t="str">
        <f ca="1">IF(AM40="","",IFERROR(庫存管理[[#This Row],[投入佔比]],0))</f>
        <v/>
      </c>
      <c r="AU40" s="2076"/>
      <c r="AV40" s="2073">
        <f t="shared" ca="1" si="0"/>
        <v>0</v>
      </c>
      <c r="AW40" s="2073"/>
      <c r="AX40" s="2073"/>
      <c r="AY40" s="2076" t="str">
        <f ca="1">IF(AQ40="","",IFERROR(庫存管理[[#This Row],[現值佔比]],""))</f>
        <v/>
      </c>
      <c r="AZ40" s="2077"/>
      <c r="BA40" s="601"/>
      <c r="BI40" s="610" t="e">
        <f t="shared" ca="1" si="1"/>
        <v>#VALUE!</v>
      </c>
      <c r="BJ40" s="610" t="e">
        <f ca="1">IFERROR(DATEVALUE(VLOOKUP(P40,'銀行-TSS'!B:AL,37,FALSE)),VLOOKUP(P40,'銀行-TSS'!B:AL,37,FALSE))</f>
        <v>#N/A</v>
      </c>
      <c r="BK40" s="517" t="e">
        <f ca="1">VLOOKUP(P40,'銀行-TSS'!B:N,13,FALSE)</f>
        <v>#N/A</v>
      </c>
      <c r="BL40" s="621" t="e">
        <f ca="1">VLOOKUP(P40,'銀行-TSS'!B:O,14,FALSE)</f>
        <v>#N/A</v>
      </c>
      <c r="BM40" s="741" t="b">
        <f t="shared" ca="1" si="2"/>
        <v>0</v>
      </c>
      <c r="BN40" s="55" t="e">
        <f t="shared" ca="1" si="3"/>
        <v>#N/A</v>
      </c>
      <c r="BO40" s="1785">
        <f t="shared" ca="1" si="4"/>
        <v>0</v>
      </c>
    </row>
    <row r="41" spans="4:67" ht="28" hidden="1" customHeight="1">
      <c r="D41" s="606"/>
      <c r="E41" s="606"/>
      <c r="F41" s="669"/>
      <c r="G41" s="669"/>
      <c r="H41" s="669"/>
      <c r="I41" s="1697"/>
      <c r="J41" s="505"/>
      <c r="M41" s="55">
        <v>35</v>
      </c>
      <c r="N41" s="1049"/>
      <c r="P41" s="598" t="str">
        <f ca="1">IF(庫存管理[[#This Row],[商品代號]]="","",庫存管理[[#This Row],[商品代號]])</f>
        <v/>
      </c>
      <c r="Q41" s="1990" t="str">
        <f ca="1">IF(開關=TRUE,IFERROR(VLOOKUP(P41,bond!B:C,2,FALSE),""),"")</f>
        <v/>
      </c>
      <c r="R41" s="1990"/>
      <c r="S41" s="1990"/>
      <c r="T41" s="1990"/>
      <c r="U41" s="1990"/>
      <c r="V41" s="2092" t="str">
        <f ca="1">IF(P41="","",庫存管理[[#This Row],[幣別]])</f>
        <v/>
      </c>
      <c r="W41" s="2093"/>
      <c r="X41" s="647" t="str">
        <f ca="1">IF(P41="","",'商品代碼-中繼頁'!S36)</f>
        <v/>
      </c>
      <c r="Y41" s="597" t="str">
        <f ca="1">IF(P41="","",庫存管理[[#This Row],[投入面額]])</f>
        <v/>
      </c>
      <c r="Z41" s="648" t="str">
        <f ca="1">IF(P41="","",庫存管理[[#This Row],[持有成本(含前手息)]])</f>
        <v/>
      </c>
      <c r="AA41" s="2089" t="str">
        <f ca="1">IF(V41="","",IFERROR(庫存管理[[#This Row],[部位現值(含前手息)]],""))</f>
        <v/>
      </c>
      <c r="AB41" s="2090"/>
      <c r="AC41" s="2090"/>
      <c r="AD41" s="2091"/>
      <c r="AE41" s="2040" t="str">
        <f ca="1">IF(OR(P41="",X41="",開關=FALSE),"",IF(MF=2,IFERROR(庫存管理[[#This Row],[累計配息]],""),IFERROR(庫存管理[[#This Row],[已實現配息(原幣)]],"")))</f>
        <v/>
      </c>
      <c r="AF41" s="2041"/>
      <c r="AG41" s="2041"/>
      <c r="AH41" s="2042"/>
      <c r="AI41" s="2054" t="str">
        <f ca="1">IF(V41="","",IFERROR(庫存管理[[#This Row],[資本利損]],""))</f>
        <v/>
      </c>
      <c r="AJ41" s="2055"/>
      <c r="AK41" s="2055"/>
      <c r="AL41" s="2056"/>
      <c r="AM41" s="2071" t="str">
        <f ca="1">IF(OR(P41="",X41=""),"",IFERROR(庫存管理[[#This Row],[合計收益]],""))</f>
        <v/>
      </c>
      <c r="AN41" s="2041"/>
      <c r="AO41" s="2041"/>
      <c r="AP41" s="2072"/>
      <c r="AQ41" s="2078" t="str">
        <f ca="1">IF(AM41="","",庫存管理[[#This Row],[總報酬]])</f>
        <v/>
      </c>
      <c r="AR41" s="2076"/>
      <c r="AS41" s="2079"/>
      <c r="AT41" s="2076" t="str">
        <f ca="1">IF(AM41="","",IFERROR(庫存管理[[#This Row],[投入佔比]],0))</f>
        <v/>
      </c>
      <c r="AU41" s="2076"/>
      <c r="AV41" s="2073">
        <f t="shared" ca="1" si="0"/>
        <v>0</v>
      </c>
      <c r="AW41" s="2073"/>
      <c r="AX41" s="2073"/>
      <c r="AY41" s="2076" t="str">
        <f ca="1">IF(AQ41="","",IFERROR(庫存管理[[#This Row],[現值佔比]],""))</f>
        <v/>
      </c>
      <c r="AZ41" s="2077"/>
      <c r="BA41" s="601"/>
      <c r="BI41" s="610" t="e">
        <f t="shared" ca="1" si="1"/>
        <v>#VALUE!</v>
      </c>
      <c r="BJ41" s="610" t="e">
        <f ca="1">IFERROR(DATEVALUE(VLOOKUP(P41,'銀行-TSS'!B:AL,37,FALSE)),VLOOKUP(P41,'銀行-TSS'!B:AL,37,FALSE))</f>
        <v>#N/A</v>
      </c>
      <c r="BK41" s="517" t="e">
        <f ca="1">VLOOKUP(P41,'銀行-TSS'!B:N,13,FALSE)</f>
        <v>#N/A</v>
      </c>
      <c r="BL41" s="621" t="e">
        <f ca="1">VLOOKUP(P41,'銀行-TSS'!B:O,14,FALSE)</f>
        <v>#N/A</v>
      </c>
      <c r="BM41" s="741" t="b">
        <f t="shared" ca="1" si="2"/>
        <v>0</v>
      </c>
      <c r="BN41" s="55" t="e">
        <f t="shared" ca="1" si="3"/>
        <v>#N/A</v>
      </c>
      <c r="BO41" s="1785">
        <f t="shared" ca="1" si="4"/>
        <v>0</v>
      </c>
    </row>
    <row r="42" spans="4:67" ht="28" hidden="1" customHeight="1" thickBot="1">
      <c r="D42" s="606"/>
      <c r="E42" s="606"/>
      <c r="F42" s="669"/>
      <c r="G42" s="669"/>
      <c r="H42" s="669"/>
      <c r="I42" s="1697"/>
      <c r="J42" s="505"/>
      <c r="M42" s="55">
        <v>36</v>
      </c>
      <c r="N42" s="1049"/>
      <c r="P42" s="598" t="str">
        <f ca="1">IF(庫存管理[[#This Row],[商品代號]]="","",庫存管理[[#This Row],[商品代號]])</f>
        <v/>
      </c>
      <c r="Q42" s="1990" t="str">
        <f ca="1">IF(開關=TRUE,IFERROR(VLOOKUP(P42,bond!B:C,2,FALSE),""),"")</f>
        <v/>
      </c>
      <c r="R42" s="1990"/>
      <c r="S42" s="1990"/>
      <c r="T42" s="1990"/>
      <c r="U42" s="1990"/>
      <c r="V42" s="2092" t="str">
        <f ca="1">IF(P42="","",庫存管理[[#This Row],[幣別]])</f>
        <v/>
      </c>
      <c r="W42" s="2093"/>
      <c r="X42" s="647" t="str">
        <f ca="1">IF(P42="","",'商品代碼-中繼頁'!S37)</f>
        <v/>
      </c>
      <c r="Y42" s="597" t="str">
        <f ca="1">IF(P42="","",庫存管理[[#This Row],[投入面額]])</f>
        <v/>
      </c>
      <c r="Z42" s="648" t="str">
        <f ca="1">IF(P42="","",庫存管理[[#This Row],[持有成本(含前手息)]])</f>
        <v/>
      </c>
      <c r="AA42" s="2089" t="str">
        <f ca="1">IF(V42="","",IFERROR(庫存管理[[#This Row],[部位現值(含前手息)]],""))</f>
        <v/>
      </c>
      <c r="AB42" s="2090"/>
      <c r="AC42" s="2090"/>
      <c r="AD42" s="2091"/>
      <c r="AE42" s="2040" t="str">
        <f ca="1">IF(OR(P42="",X42="",開關=FALSE),"",IF(MF=2,IFERROR(庫存管理[[#This Row],[累計配息]],""),IFERROR(庫存管理[[#This Row],[已實現配息(原幣)]],"")))</f>
        <v/>
      </c>
      <c r="AF42" s="2041"/>
      <c r="AG42" s="2041"/>
      <c r="AH42" s="2042"/>
      <c r="AI42" s="2054" t="str">
        <f ca="1">IF(V42="","",IFERROR(庫存管理[[#This Row],[資本利損]],""))</f>
        <v/>
      </c>
      <c r="AJ42" s="2055"/>
      <c r="AK42" s="2055"/>
      <c r="AL42" s="2056"/>
      <c r="AM42" s="2071" t="str">
        <f ca="1">IF(OR(P42="",X42=""),"",IFERROR(庫存管理[[#This Row],[合計收益]],""))</f>
        <v/>
      </c>
      <c r="AN42" s="2041"/>
      <c r="AO42" s="2041"/>
      <c r="AP42" s="2072"/>
      <c r="AQ42" s="2078" t="str">
        <f ca="1">IF(AM42="","",庫存管理[[#This Row],[總報酬]])</f>
        <v/>
      </c>
      <c r="AR42" s="2076"/>
      <c r="AS42" s="2079"/>
      <c r="AT42" s="2076" t="str">
        <f ca="1">IF(AM42="","",IFERROR(庫存管理[[#This Row],[投入佔比]],0))</f>
        <v/>
      </c>
      <c r="AU42" s="2076"/>
      <c r="AV42" s="2073">
        <f t="shared" ca="1" si="0"/>
        <v>0</v>
      </c>
      <c r="AW42" s="2073"/>
      <c r="AX42" s="2073"/>
      <c r="AY42" s="2076" t="str">
        <f ca="1">IF(AQ42="","",IFERROR(庫存管理[[#This Row],[現值佔比]],""))</f>
        <v/>
      </c>
      <c r="AZ42" s="2077"/>
      <c r="BA42" s="601"/>
      <c r="BI42" s="610" t="e">
        <f t="shared" ca="1" si="1"/>
        <v>#VALUE!</v>
      </c>
      <c r="BJ42" s="610" t="e">
        <f ca="1">IFERROR(DATEVALUE(VLOOKUP(P42,'銀行-TSS'!B:AL,37,FALSE)),VLOOKUP(P42,'銀行-TSS'!B:AL,37,FALSE))</f>
        <v>#N/A</v>
      </c>
      <c r="BK42" s="517" t="e">
        <f ca="1">VLOOKUP(P42,'銀行-TSS'!B:N,13,FALSE)</f>
        <v>#N/A</v>
      </c>
      <c r="BL42" s="621" t="e">
        <f ca="1">VLOOKUP(P42,'銀行-TSS'!B:O,14,FALSE)</f>
        <v>#N/A</v>
      </c>
      <c r="BM42" s="741" t="b">
        <f t="shared" ca="1" si="2"/>
        <v>0</v>
      </c>
      <c r="BN42" s="55" t="e">
        <f t="shared" ca="1" si="3"/>
        <v>#N/A</v>
      </c>
      <c r="BO42" s="1785">
        <f t="shared" ca="1" si="4"/>
        <v>0</v>
      </c>
    </row>
    <row r="43" spans="4:67" s="517" customFormat="1" ht="31.5" customHeight="1" thickTop="1">
      <c r="D43" s="607"/>
      <c r="E43" s="607"/>
      <c r="F43" s="670"/>
      <c r="G43" s="670"/>
      <c r="H43" s="670"/>
      <c r="I43" s="1698"/>
      <c r="J43" s="607"/>
      <c r="P43" s="1768"/>
      <c r="Q43" s="2251" t="str">
        <f ca="1">CONCATENATE("投資組合總計(共",'Tssco-bond portfolio(2)'!I1,"筆)")</f>
        <v>投資組合總計(共4筆)</v>
      </c>
      <c r="R43" s="2251"/>
      <c r="S43" s="2251"/>
      <c r="T43" s="2251"/>
      <c r="U43" s="2251"/>
      <c r="V43" s="2255" t="str">
        <f ca="1">IFERROR(IF('Tssco-bond portfolio(2)'!BQ1&gt;1,"TWD",IF(績效圖!A1=1,"TWD",'Tssco-bond portfolio(2)'!BR2)),"")</f>
        <v>USD</v>
      </c>
      <c r="W43" s="2256"/>
      <c r="X43" s="1778"/>
      <c r="Y43" s="1780" t="str">
        <f ca="1">IFERROR(IF(V43&lt;&gt;"TWD",TEXT('Tssco-bond portfolio(2)'!W1,"#,##0"),TEXT('Tssco-bond portfolio(2)'!BU1,"#,##0")),"")</f>
        <v>400,000</v>
      </c>
      <c r="Z43" s="1779" t="str">
        <f ca="1">IFERROR(IF($V$43&lt;&gt;"TWD",TEXT('Tssco-bond portfolio(2)'!X1,"#,##0.00"),TEXT('Tssco-bond portfolio(2)'!BV1,"#,##0")),"")</f>
        <v>332,000.00</v>
      </c>
      <c r="AA43" s="2257" t="str">
        <f ca="1">IFERROR(IF(V43&lt;&gt;"TWD",TEXT('Tssco-bond portfolio(2)'!Z1,"#,##0.00"),TEXT('Tssco-bond portfolio(2)'!BX1,"#,##0")),"")</f>
        <v>333,483.10</v>
      </c>
      <c r="AB43" s="2258"/>
      <c r="AC43" s="2258"/>
      <c r="AD43" s="2259"/>
      <c r="AE43" s="2260" t="str">
        <f ca="1">IFERROR(IF(V43&lt;&gt;"TWD",IF(MF=2,TEXT('Tssco-bond portfolio(2)'!AT1,"#,##0.00"),TEXT('Tssco-bond portfolio(2)'!CO1,"#,##0.00")),TEXT('Tssco-bond portfolio(2)'!BZ1,"#,##0")),"")</f>
        <v>8,212.50</v>
      </c>
      <c r="AF43" s="2261"/>
      <c r="AG43" s="2261"/>
      <c r="AH43" s="2262"/>
      <c r="AI43" s="2263" t="str">
        <f ca="1">IFERROR(IF(V43&lt;&gt;"TWD",TEXT('Tssco-bond portfolio(2)'!AB1,"#,##0.00"),AA43-Z43),"")</f>
        <v>1,483.10</v>
      </c>
      <c r="AJ43" s="2261"/>
      <c r="AK43" s="2261"/>
      <c r="AL43" s="2262"/>
      <c r="AM43" s="2263" t="str">
        <f ca="1">IFERROR(IF(V43&lt;&gt;"TWD",TEXT('Tssco-bond portfolio(2)'!AV1,"#,##0.00"),AE43+AI43),"")</f>
        <v>9,695.60</v>
      </c>
      <c r="AN43" s="2261"/>
      <c r="AO43" s="2261"/>
      <c r="AP43" s="2264"/>
      <c r="AQ43" s="2252">
        <f ca="1">IF(V43&lt;&gt;"TWD",'Tssco-bond portfolio(2)'!AW1,'Tssco-bond portfolio(2)'!CF1)</f>
        <v>2.9203614457831348E-2</v>
      </c>
      <c r="AR43" s="2253"/>
      <c r="AS43" s="2254"/>
      <c r="AT43" s="696"/>
      <c r="AU43" s="696"/>
      <c r="AV43" s="696"/>
      <c r="AW43" s="690"/>
      <c r="AX43" s="690"/>
      <c r="AY43" s="690"/>
      <c r="AZ43" s="690"/>
      <c r="BM43" s="607"/>
      <c r="BN43" s="607"/>
    </row>
    <row r="44" spans="4:67" ht="0.75" customHeight="1">
      <c r="D44" s="505"/>
      <c r="E44" s="505"/>
      <c r="F44" s="505"/>
      <c r="G44" s="505"/>
      <c r="H44" s="505"/>
      <c r="I44" s="1699"/>
      <c r="J44" s="505"/>
      <c r="AJ44" s="508"/>
      <c r="AK44" s="508"/>
      <c r="AL44" s="508"/>
      <c r="AM44" s="508"/>
      <c r="AN44" s="506"/>
      <c r="AO44" s="506"/>
      <c r="AP44" s="506"/>
      <c r="AQ44" s="2068"/>
      <c r="AR44" s="2068"/>
      <c r="AS44" s="2068"/>
      <c r="AT44" s="2068"/>
      <c r="AU44" s="2069"/>
      <c r="AV44" s="2069"/>
      <c r="AW44" s="2069"/>
      <c r="AX44" s="2069"/>
      <c r="AY44" s="2069"/>
      <c r="AZ44" s="2069"/>
      <c r="BH44" s="55" ph="1"/>
      <c r="BI44" s="55" ph="1"/>
      <c r="BJ44" s="55" ph="1"/>
    </row>
    <row r="45" spans="4:67" ht="27.5">
      <c r="BH45" s="55" ph="1"/>
      <c r="BI45" s="55" ph="1"/>
      <c r="BJ45" s="55" ph="1"/>
    </row>
    <row r="65" spans="60:62" ht="27.5">
      <c r="BH65" s="55" ph="1"/>
      <c r="BI65" s="55" ph="1"/>
      <c r="BJ65" s="55" ph="1"/>
    </row>
    <row r="116" spans="60:62" ht="27.5">
      <c r="BH116" s="55" ph="1"/>
      <c r="BI116" s="55" ph="1"/>
      <c r="BJ116" s="55" ph="1"/>
    </row>
    <row r="117" spans="60:62" ht="27.5">
      <c r="BH117" s="55" ph="1"/>
      <c r="BI117" s="55" ph="1"/>
    </row>
    <row r="118" spans="60:62" ht="27.5">
      <c r="BH118" s="55" ph="1"/>
      <c r="BI118" s="55" ph="1"/>
    </row>
    <row r="119" spans="60:62" ht="27.5">
      <c r="BH119" s="55" ph="1"/>
      <c r="BI119" s="55" ph="1"/>
    </row>
    <row r="144" spans="60:62" ht="27.5">
      <c r="BH144" s="55" ph="1"/>
      <c r="BI144" s="55" ph="1"/>
      <c r="BJ144" s="55" ph="1"/>
    </row>
    <row r="169" spans="60:62" ht="27.5">
      <c r="BH169" s="55" ph="1"/>
      <c r="BI169" s="55" ph="1"/>
      <c r="BJ169" s="55" ph="1"/>
    </row>
    <row r="170" spans="60:62" ht="27.5">
      <c r="BH170" s="55" ph="1"/>
      <c r="BI170" s="55" ph="1"/>
    </row>
    <row r="171" spans="60:62" ht="27.5">
      <c r="BH171" s="55" ph="1"/>
      <c r="BI171" s="55" ph="1"/>
    </row>
    <row r="172" spans="60:62" ht="27.5">
      <c r="BH172" s="55" ph="1"/>
      <c r="BI172" s="55" ph="1"/>
    </row>
    <row r="197" spans="60:62" ht="27.5">
      <c r="BH197" s="55" ph="1"/>
      <c r="BI197" s="55" ph="1"/>
      <c r="BJ197" s="55" ph="1"/>
    </row>
    <row r="222" spans="60:62" ht="27.5">
      <c r="BH222" s="55" ph="1"/>
      <c r="BI222" s="55" ph="1"/>
      <c r="BJ222" s="55" ph="1"/>
    </row>
    <row r="230" spans="60:62" ht="27.5">
      <c r="BH230" s="55" ph="1"/>
      <c r="BI230" s="55" ph="1"/>
      <c r="BJ230" s="55" ph="1"/>
    </row>
  </sheetData>
  <sheetProtection formatCells="0"/>
  <dataConsolidate link="1"/>
  <mergeCells count="391">
    <mergeCell ref="Q28:U28"/>
    <mergeCell ref="Q29:U29"/>
    <mergeCell ref="Q30:U30"/>
    <mergeCell ref="Q34:U34"/>
    <mergeCell ref="Q19:U19"/>
    <mergeCell ref="Q20:U20"/>
    <mergeCell ref="Q21:U21"/>
    <mergeCell ref="Q22:U22"/>
    <mergeCell ref="Q23:U23"/>
    <mergeCell ref="Q24:U24"/>
    <mergeCell ref="Q25:U25"/>
    <mergeCell ref="Q26:U26"/>
    <mergeCell ref="Q27:U27"/>
    <mergeCell ref="AQ44:AZ44"/>
    <mergeCell ref="AQ18:AS18"/>
    <mergeCell ref="AT18:AU18"/>
    <mergeCell ref="AV18:AX18"/>
    <mergeCell ref="AY18:AZ18"/>
    <mergeCell ref="V43:W43"/>
    <mergeCell ref="AA43:AD43"/>
    <mergeCell ref="AE43:AH43"/>
    <mergeCell ref="AI43:AL43"/>
    <mergeCell ref="AM43:AP43"/>
    <mergeCell ref="AA37:AD37"/>
    <mergeCell ref="AE36:AH36"/>
    <mergeCell ref="AE38:AH38"/>
    <mergeCell ref="AE39:AH39"/>
    <mergeCell ref="V41:W41"/>
    <mergeCell ref="V42:W42"/>
    <mergeCell ref="AA19:AD19"/>
    <mergeCell ref="AA20:AD20"/>
    <mergeCell ref="AA21:AD21"/>
    <mergeCell ref="AA22:AD22"/>
    <mergeCell ref="AA23:AD23"/>
    <mergeCell ref="AA24:AD24"/>
    <mergeCell ref="AA25:AD25"/>
    <mergeCell ref="AA26:AD26"/>
    <mergeCell ref="AY17:AZ17"/>
    <mergeCell ref="Q18:U18"/>
    <mergeCell ref="V18:W18"/>
    <mergeCell ref="AA18:AD18"/>
    <mergeCell ref="AE18:AH18"/>
    <mergeCell ref="AI18:AL18"/>
    <mergeCell ref="AM18:AP18"/>
    <mergeCell ref="AQ43:AS43"/>
    <mergeCell ref="Q17:U17"/>
    <mergeCell ref="V17:W17"/>
    <mergeCell ref="AA17:AD17"/>
    <mergeCell ref="AE17:AH17"/>
    <mergeCell ref="AI17:AL17"/>
    <mergeCell ref="AM17:AP17"/>
    <mergeCell ref="AQ17:AS17"/>
    <mergeCell ref="AT17:AU17"/>
    <mergeCell ref="AV17:AX17"/>
    <mergeCell ref="V37:W37"/>
    <mergeCell ref="V38:W38"/>
    <mergeCell ref="V39:W39"/>
    <mergeCell ref="Q31:U31"/>
    <mergeCell ref="Q32:U32"/>
    <mergeCell ref="Q33:U33"/>
    <mergeCell ref="Q39:U39"/>
    <mergeCell ref="AY15:AZ15"/>
    <mergeCell ref="Q16:U16"/>
    <mergeCell ref="V16:W16"/>
    <mergeCell ref="AA16:AD16"/>
    <mergeCell ref="AE16:AH16"/>
    <mergeCell ref="AI16:AL16"/>
    <mergeCell ref="AM16:AP16"/>
    <mergeCell ref="AQ16:AS16"/>
    <mergeCell ref="AT16:AU16"/>
    <mergeCell ref="AV16:AX16"/>
    <mergeCell ref="AY16:AZ16"/>
    <mergeCell ref="Q15:U15"/>
    <mergeCell ref="V15:W15"/>
    <mergeCell ref="AA15:AD15"/>
    <mergeCell ref="AE15:AH15"/>
    <mergeCell ref="AI15:AL15"/>
    <mergeCell ref="AM15:AP15"/>
    <mergeCell ref="AQ15:AS15"/>
    <mergeCell ref="AT15:AU15"/>
    <mergeCell ref="AV15:AX15"/>
    <mergeCell ref="AY13:AZ13"/>
    <mergeCell ref="Q14:U14"/>
    <mergeCell ref="V14:W14"/>
    <mergeCell ref="AA14:AD14"/>
    <mergeCell ref="AE14:AH14"/>
    <mergeCell ref="AI14:AL14"/>
    <mergeCell ref="AM14:AP14"/>
    <mergeCell ref="AQ14:AS14"/>
    <mergeCell ref="AT14:AU14"/>
    <mergeCell ref="AV14:AX14"/>
    <mergeCell ref="AY14:AZ14"/>
    <mergeCell ref="Q13:U13"/>
    <mergeCell ref="V13:W13"/>
    <mergeCell ref="AA13:AD13"/>
    <mergeCell ref="AE13:AH13"/>
    <mergeCell ref="AI13:AL13"/>
    <mergeCell ref="AM13:AP13"/>
    <mergeCell ref="AQ13:AS13"/>
    <mergeCell ref="AT13:AU13"/>
    <mergeCell ref="AV13:AX13"/>
    <mergeCell ref="AY11:AZ11"/>
    <mergeCell ref="Q12:U12"/>
    <mergeCell ref="V12:W12"/>
    <mergeCell ref="AA12:AD12"/>
    <mergeCell ref="AE12:AH12"/>
    <mergeCell ref="AI12:AL12"/>
    <mergeCell ref="AM12:AP12"/>
    <mergeCell ref="AQ12:AS12"/>
    <mergeCell ref="AT12:AU12"/>
    <mergeCell ref="AV12:AX12"/>
    <mergeCell ref="AY12:AZ12"/>
    <mergeCell ref="Q11:U11"/>
    <mergeCell ref="V11:W11"/>
    <mergeCell ref="AA11:AD11"/>
    <mergeCell ref="AE11:AH11"/>
    <mergeCell ref="AI11:AL11"/>
    <mergeCell ref="AM11:AP11"/>
    <mergeCell ref="AQ11:AS11"/>
    <mergeCell ref="AT11:AU11"/>
    <mergeCell ref="AV11:AX11"/>
    <mergeCell ref="AY9:AZ9"/>
    <mergeCell ref="Q10:U10"/>
    <mergeCell ref="V10:W10"/>
    <mergeCell ref="AA10:AD10"/>
    <mergeCell ref="AE10:AH10"/>
    <mergeCell ref="AI10:AL10"/>
    <mergeCell ref="AM10:AP10"/>
    <mergeCell ref="AQ10:AS10"/>
    <mergeCell ref="AT10:AU10"/>
    <mergeCell ref="AV10:AX10"/>
    <mergeCell ref="AY10:AZ10"/>
    <mergeCell ref="Q9:U9"/>
    <mergeCell ref="V9:W9"/>
    <mergeCell ref="AA9:AD9"/>
    <mergeCell ref="AE9:AH9"/>
    <mergeCell ref="AI9:AL9"/>
    <mergeCell ref="AM9:AP9"/>
    <mergeCell ref="AQ9:AS9"/>
    <mergeCell ref="AT9:AU9"/>
    <mergeCell ref="AV9:AX9"/>
    <mergeCell ref="V7:W7"/>
    <mergeCell ref="F5:H5"/>
    <mergeCell ref="P5:P6"/>
    <mergeCell ref="Q5:U6"/>
    <mergeCell ref="V5:W6"/>
    <mergeCell ref="X5:X6"/>
    <mergeCell ref="AT6:AU6"/>
    <mergeCell ref="AV6:AX6"/>
    <mergeCell ref="AY6:AZ6"/>
    <mergeCell ref="AT5:AZ5"/>
    <mergeCell ref="Y5:Y6"/>
    <mergeCell ref="Z5:Z6"/>
    <mergeCell ref="AA5:AD5"/>
    <mergeCell ref="AE5:AP5"/>
    <mergeCell ref="AQ5:AS6"/>
    <mergeCell ref="AA6:AD6"/>
    <mergeCell ref="AE6:AH6"/>
    <mergeCell ref="AI6:AL6"/>
    <mergeCell ref="AM6:AP6"/>
    <mergeCell ref="AA7:AD7"/>
    <mergeCell ref="AE7:AH7"/>
    <mergeCell ref="AI7:AL7"/>
    <mergeCell ref="AM7:AP7"/>
    <mergeCell ref="AQ7:AS7"/>
    <mergeCell ref="Q38:U38"/>
    <mergeCell ref="AA38:AD38"/>
    <mergeCell ref="AA39:AD39"/>
    <mergeCell ref="Q40:U40"/>
    <mergeCell ref="P2:AZ2"/>
    <mergeCell ref="N4:N6"/>
    <mergeCell ref="P4:AT4"/>
    <mergeCell ref="AU4:AW4"/>
    <mergeCell ref="AX4:AZ4"/>
    <mergeCell ref="AT7:AU7"/>
    <mergeCell ref="AV7:AX7"/>
    <mergeCell ref="AY7:AZ7"/>
    <mergeCell ref="Q8:U8"/>
    <mergeCell ref="V8:W8"/>
    <mergeCell ref="AA8:AD8"/>
    <mergeCell ref="AE8:AH8"/>
    <mergeCell ref="AI8:AL8"/>
    <mergeCell ref="AM8:AP8"/>
    <mergeCell ref="AQ8:AS8"/>
    <mergeCell ref="AT8:AU8"/>
    <mergeCell ref="AV8:AX8"/>
    <mergeCell ref="AY8:AZ8"/>
    <mergeCell ref="Q7:U7"/>
    <mergeCell ref="AE37:AH37"/>
    <mergeCell ref="Q41:U41"/>
    <mergeCell ref="Q42:U42"/>
    <mergeCell ref="V19:W19"/>
    <mergeCell ref="V20:W20"/>
    <mergeCell ref="V21:W21"/>
    <mergeCell ref="V22:W22"/>
    <mergeCell ref="V23:W23"/>
    <mergeCell ref="V24:W24"/>
    <mergeCell ref="V25:W25"/>
    <mergeCell ref="V26:W26"/>
    <mergeCell ref="V27:W27"/>
    <mergeCell ref="V28:W28"/>
    <mergeCell ref="V29:W29"/>
    <mergeCell ref="V30:W30"/>
    <mergeCell ref="V31:W31"/>
    <mergeCell ref="V32:W32"/>
    <mergeCell ref="V33:W33"/>
    <mergeCell ref="V34:W34"/>
    <mergeCell ref="V35:W35"/>
    <mergeCell ref="V36:W36"/>
    <mergeCell ref="Q35:U35"/>
    <mergeCell ref="Q36:U36"/>
    <mergeCell ref="Q37:U37"/>
    <mergeCell ref="V40:W40"/>
    <mergeCell ref="AA27:AD27"/>
    <mergeCell ref="AA28:AD28"/>
    <mergeCell ref="AA29:AD29"/>
    <mergeCell ref="AA30:AD30"/>
    <mergeCell ref="AA31:AD31"/>
    <mergeCell ref="AA32:AD32"/>
    <mergeCell ref="AA33:AD33"/>
    <mergeCell ref="AA34:AD34"/>
    <mergeCell ref="AA35:AD35"/>
    <mergeCell ref="AA36:AD36"/>
    <mergeCell ref="AI36:AL36"/>
    <mergeCell ref="AI37:AL37"/>
    <mergeCell ref="AI38:AL38"/>
    <mergeCell ref="AI39:AL39"/>
    <mergeCell ref="AA40:AD40"/>
    <mergeCell ref="AA41:AD41"/>
    <mergeCell ref="AA42:AD42"/>
    <mergeCell ref="AE19:AH19"/>
    <mergeCell ref="AE20:AH20"/>
    <mergeCell ref="AE21:AH21"/>
    <mergeCell ref="AE22:AH22"/>
    <mergeCell ref="AE23:AH23"/>
    <mergeCell ref="AE24:AH24"/>
    <mergeCell ref="AE25:AH25"/>
    <mergeCell ref="AE26:AH26"/>
    <mergeCell ref="AE27:AH27"/>
    <mergeCell ref="AE28:AH28"/>
    <mergeCell ref="AE29:AH29"/>
    <mergeCell ref="AE30:AH30"/>
    <mergeCell ref="AE31:AH31"/>
    <mergeCell ref="AE32:AH32"/>
    <mergeCell ref="AE33:AH33"/>
    <mergeCell ref="AE34:AH34"/>
    <mergeCell ref="AE35:AH35"/>
    <mergeCell ref="AM36:AP36"/>
    <mergeCell ref="AM37:AP37"/>
    <mergeCell ref="AM38:AP38"/>
    <mergeCell ref="AM39:AP39"/>
    <mergeCell ref="AE40:AH40"/>
    <mergeCell ref="AE41:AH41"/>
    <mergeCell ref="AE42:AH42"/>
    <mergeCell ref="AI19:AL19"/>
    <mergeCell ref="AI20:AL20"/>
    <mergeCell ref="AI21:AL21"/>
    <mergeCell ref="AI22:AL22"/>
    <mergeCell ref="AI23:AL23"/>
    <mergeCell ref="AI24:AL24"/>
    <mergeCell ref="AI25:AL25"/>
    <mergeCell ref="AI26:AL26"/>
    <mergeCell ref="AI27:AL27"/>
    <mergeCell ref="AI28:AL28"/>
    <mergeCell ref="AI29:AL29"/>
    <mergeCell ref="AI30:AL30"/>
    <mergeCell ref="AI31:AL31"/>
    <mergeCell ref="AI32:AL32"/>
    <mergeCell ref="AI33:AL33"/>
    <mergeCell ref="AI34:AL34"/>
    <mergeCell ref="AI40:AL40"/>
    <mergeCell ref="AI41:AL41"/>
    <mergeCell ref="AI42:AL42"/>
    <mergeCell ref="AM19:AP19"/>
    <mergeCell ref="AM20:AP20"/>
    <mergeCell ref="AM21:AP21"/>
    <mergeCell ref="AM22:AP22"/>
    <mergeCell ref="AM23:AP23"/>
    <mergeCell ref="AM24:AP24"/>
    <mergeCell ref="AM25:AP25"/>
    <mergeCell ref="AM26:AP26"/>
    <mergeCell ref="AM27:AP27"/>
    <mergeCell ref="AM28:AP28"/>
    <mergeCell ref="AM29:AP29"/>
    <mergeCell ref="AM30:AP30"/>
    <mergeCell ref="AM31:AP31"/>
    <mergeCell ref="AM32:AP32"/>
    <mergeCell ref="AM33:AP33"/>
    <mergeCell ref="AM34:AP34"/>
    <mergeCell ref="AM41:AP41"/>
    <mergeCell ref="AM42:AP42"/>
    <mergeCell ref="AM35:AP35"/>
    <mergeCell ref="AY34:AZ34"/>
    <mergeCell ref="AT19:AU19"/>
    <mergeCell ref="AT20:AU20"/>
    <mergeCell ref="AT21:AU21"/>
    <mergeCell ref="AT22:AU22"/>
    <mergeCell ref="AI35:AL35"/>
    <mergeCell ref="AQ36:AS36"/>
    <mergeCell ref="AQ37:AS37"/>
    <mergeCell ref="AQ38:AS38"/>
    <mergeCell ref="AQ19:AS19"/>
    <mergeCell ref="AQ20:AS20"/>
    <mergeCell ref="AQ21:AS21"/>
    <mergeCell ref="AQ22:AS22"/>
    <mergeCell ref="AQ23:AS23"/>
    <mergeCell ref="AQ24:AS24"/>
    <mergeCell ref="AQ25:AS25"/>
    <mergeCell ref="AQ26:AS26"/>
    <mergeCell ref="AQ27:AS27"/>
    <mergeCell ref="AQ28:AS28"/>
    <mergeCell ref="AQ29:AS29"/>
    <mergeCell ref="AQ30:AS30"/>
    <mergeCell ref="AQ31:AS31"/>
    <mergeCell ref="AQ32:AS32"/>
    <mergeCell ref="AQ33:AS33"/>
    <mergeCell ref="AT23:AU23"/>
    <mergeCell ref="AT24:AU24"/>
    <mergeCell ref="AT25:AU25"/>
    <mergeCell ref="AT26:AU26"/>
    <mergeCell ref="AT27:AU27"/>
    <mergeCell ref="AY28:AZ28"/>
    <mergeCell ref="AY29:AZ29"/>
    <mergeCell ref="AY30:AZ30"/>
    <mergeCell ref="AY31:AZ31"/>
    <mergeCell ref="AQ35:AS35"/>
    <mergeCell ref="AY36:AZ36"/>
    <mergeCell ref="AT28:AU28"/>
    <mergeCell ref="AT29:AU29"/>
    <mergeCell ref="AT30:AU30"/>
    <mergeCell ref="AT31:AU31"/>
    <mergeCell ref="AT32:AU32"/>
    <mergeCell ref="AT33:AU33"/>
    <mergeCell ref="AT34:AU34"/>
    <mergeCell ref="AT36:AU36"/>
    <mergeCell ref="AV28:AX28"/>
    <mergeCell ref="AV29:AX29"/>
    <mergeCell ref="AV30:AX30"/>
    <mergeCell ref="AV31:AX31"/>
    <mergeCell ref="AV32:AX32"/>
    <mergeCell ref="AV33:AX33"/>
    <mergeCell ref="AV34:AX34"/>
    <mergeCell ref="AT35:AU35"/>
    <mergeCell ref="AV36:AX36"/>
    <mergeCell ref="AV35:AX35"/>
    <mergeCell ref="AY35:AZ35"/>
    <mergeCell ref="AQ34:AS34"/>
    <mergeCell ref="AY32:AZ32"/>
    <mergeCell ref="AY33:AZ33"/>
    <mergeCell ref="AY19:AZ19"/>
    <mergeCell ref="AY20:AZ20"/>
    <mergeCell ref="AY21:AZ21"/>
    <mergeCell ref="AY22:AZ22"/>
    <mergeCell ref="AY23:AZ23"/>
    <mergeCell ref="AY24:AZ24"/>
    <mergeCell ref="AY25:AZ25"/>
    <mergeCell ref="AY26:AZ26"/>
    <mergeCell ref="AY27:AZ27"/>
    <mergeCell ref="AV19:AX19"/>
    <mergeCell ref="AV20:AX20"/>
    <mergeCell ref="AV21:AX21"/>
    <mergeCell ref="AV22:AX22"/>
    <mergeCell ref="AV23:AX23"/>
    <mergeCell ref="AV24:AX24"/>
    <mergeCell ref="AV25:AX25"/>
    <mergeCell ref="AV26:AX26"/>
    <mergeCell ref="AV27:AX27"/>
    <mergeCell ref="AT37:AU37"/>
    <mergeCell ref="AT38:AU38"/>
    <mergeCell ref="Q43:U43"/>
    <mergeCell ref="AV40:AX40"/>
    <mergeCell ref="AV41:AX41"/>
    <mergeCell ref="AV42:AX42"/>
    <mergeCell ref="AY40:AZ40"/>
    <mergeCell ref="AY41:AZ41"/>
    <mergeCell ref="AY42:AZ42"/>
    <mergeCell ref="AV37:AX37"/>
    <mergeCell ref="AV38:AX38"/>
    <mergeCell ref="AV39:AX39"/>
    <mergeCell ref="AT40:AU40"/>
    <mergeCell ref="AT41:AU41"/>
    <mergeCell ref="AT42:AU42"/>
    <mergeCell ref="AY37:AZ37"/>
    <mergeCell ref="AY38:AZ38"/>
    <mergeCell ref="AY39:AZ39"/>
    <mergeCell ref="AQ40:AS40"/>
    <mergeCell ref="AQ41:AS41"/>
    <mergeCell ref="AQ42:AS42"/>
    <mergeCell ref="AT39:AU39"/>
    <mergeCell ref="AM40:AP40"/>
    <mergeCell ref="AQ39:AS39"/>
  </mergeCells>
  <phoneticPr fontId="53" type="noConversion"/>
  <conditionalFormatting sqref="P7:P42">
    <cfRule type="notContainsBlanks" dxfId="196" priority="179">
      <formula>LEN(TRIM(P7))&gt;0</formula>
    </cfRule>
  </conditionalFormatting>
  <conditionalFormatting sqref="P2:AZ2">
    <cfRule type="expression" dxfId="195" priority="180">
      <formula>MF=2</formula>
    </cfRule>
  </conditionalFormatting>
  <conditionalFormatting sqref="Q7:U7">
    <cfRule type="expression" dxfId="194" priority="178">
      <formula>$N$7&lt;&gt;""</formula>
    </cfRule>
  </conditionalFormatting>
  <conditionalFormatting sqref="Q8:U8">
    <cfRule type="expression" dxfId="193" priority="176">
      <formula>$N$8&lt;&gt;""</formula>
    </cfRule>
  </conditionalFormatting>
  <conditionalFormatting sqref="Q9:U9">
    <cfRule type="expression" dxfId="192" priority="177">
      <formula>$N$9&lt;&gt;""</formula>
    </cfRule>
  </conditionalFormatting>
  <conditionalFormatting sqref="Q10:U10">
    <cfRule type="expression" dxfId="191" priority="175">
      <formula>$N$10&lt;&gt;""</formula>
    </cfRule>
  </conditionalFormatting>
  <conditionalFormatting sqref="Q11:U11">
    <cfRule type="expression" dxfId="190" priority="174">
      <formula>$N$11&lt;&gt;""</formula>
    </cfRule>
  </conditionalFormatting>
  <conditionalFormatting sqref="Q12:U12">
    <cfRule type="expression" dxfId="189" priority="173">
      <formula>$N$12&lt;&gt;""</formula>
    </cfRule>
  </conditionalFormatting>
  <conditionalFormatting sqref="Q13:U13">
    <cfRule type="expression" dxfId="188" priority="172">
      <formula>$N$13&lt;&gt;""</formula>
    </cfRule>
  </conditionalFormatting>
  <conditionalFormatting sqref="Q14:U14">
    <cfRule type="expression" dxfId="187" priority="171">
      <formula>$N$14&lt;&gt;""</formula>
    </cfRule>
  </conditionalFormatting>
  <conditionalFormatting sqref="Q15:U15">
    <cfRule type="expression" dxfId="186" priority="170">
      <formula>$N$15&lt;&gt;""</formula>
    </cfRule>
  </conditionalFormatting>
  <conditionalFormatting sqref="Q16:U16">
    <cfRule type="expression" dxfId="185" priority="169">
      <formula>$N$16&lt;&gt;""</formula>
    </cfRule>
  </conditionalFormatting>
  <conditionalFormatting sqref="Q17:U17">
    <cfRule type="expression" dxfId="184" priority="168">
      <formula>$N$17&lt;&gt;""</formula>
    </cfRule>
  </conditionalFormatting>
  <conditionalFormatting sqref="Q18:U42">
    <cfRule type="expression" dxfId="183" priority="167">
      <formula>$N$18&lt;&gt;""</formula>
    </cfRule>
  </conditionalFormatting>
  <conditionalFormatting sqref="AI43">
    <cfRule type="expression" dxfId="182" priority="184">
      <formula>FIND("-",$AI$43)</formula>
    </cfRule>
  </conditionalFormatting>
  <conditionalFormatting sqref="AM43">
    <cfRule type="expression" dxfId="181" priority="185">
      <formula>FIND("-",$AM$43)</formula>
    </cfRule>
  </conditionalFormatting>
  <conditionalFormatting sqref="AN44:AT44 AQ7:AQ42">
    <cfRule type="cellIs" dxfId="180" priority="183" operator="lessThan">
      <formula>0</formula>
    </cfRule>
  </conditionalFormatting>
  <conditionalFormatting sqref="AZ43">
    <cfRule type="cellIs" dxfId="179" priority="182" operator="lessThan">
      <formula>0</formula>
    </cfRule>
  </conditionalFormatting>
  <conditionalFormatting sqref="Y7">
    <cfRule type="expression" dxfId="178" priority="98">
      <formula>$BN7</formula>
    </cfRule>
  </conditionalFormatting>
  <conditionalFormatting sqref="AV7:AV42">
    <cfRule type="dataBar" priority="886">
      <dataBar showValue="0">
        <cfvo type="formula" val="$BO$2"/>
        <cfvo type="formula" val="$BO$1"/>
        <color rgb="FF297D6B"/>
      </dataBar>
      <extLst>
        <ext xmlns:x14="http://schemas.microsoft.com/office/spreadsheetml/2009/9/main" uri="{B025F937-C7B1-47D3-B67F-A62EFF666E3E}">
          <x14:id>{3C5C897C-7019-4B29-82C8-B8FCFE734186}</x14:id>
        </ext>
      </extLst>
    </cfRule>
  </conditionalFormatting>
  <conditionalFormatting sqref="X7">
    <cfRule type="expression" dxfId="177" priority="74">
      <formula>$BM7</formula>
    </cfRule>
  </conditionalFormatting>
  <conditionalFormatting sqref="X8">
    <cfRule type="expression" dxfId="176" priority="71">
      <formula>$BM8</formula>
    </cfRule>
  </conditionalFormatting>
  <conditionalFormatting sqref="X9">
    <cfRule type="expression" dxfId="175" priority="70">
      <formula>$BM9</formula>
    </cfRule>
  </conditionalFormatting>
  <conditionalFormatting sqref="X10">
    <cfRule type="expression" dxfId="174" priority="69">
      <formula>$BM10</formula>
    </cfRule>
  </conditionalFormatting>
  <conditionalFormatting sqref="X11">
    <cfRule type="expression" dxfId="173" priority="68">
      <formula>$BM11</formula>
    </cfRule>
  </conditionalFormatting>
  <conditionalFormatting sqref="X12">
    <cfRule type="expression" dxfId="172" priority="67">
      <formula>$BM12</formula>
    </cfRule>
  </conditionalFormatting>
  <conditionalFormatting sqref="X13">
    <cfRule type="expression" dxfId="171" priority="66">
      <formula>$BM13</formula>
    </cfRule>
  </conditionalFormatting>
  <conditionalFormatting sqref="X14">
    <cfRule type="expression" dxfId="170" priority="65">
      <formula>$BM14</formula>
    </cfRule>
  </conditionalFormatting>
  <conditionalFormatting sqref="X15">
    <cfRule type="expression" dxfId="169" priority="64">
      <formula>$BM15</formula>
    </cfRule>
  </conditionalFormatting>
  <conditionalFormatting sqref="X16">
    <cfRule type="expression" dxfId="168" priority="63">
      <formula>$BM16</formula>
    </cfRule>
  </conditionalFormatting>
  <conditionalFormatting sqref="X17">
    <cfRule type="expression" dxfId="167" priority="62">
      <formula>$BM17</formula>
    </cfRule>
  </conditionalFormatting>
  <conditionalFormatting sqref="X18">
    <cfRule type="expression" dxfId="166" priority="61">
      <formula>$BM18</formula>
    </cfRule>
  </conditionalFormatting>
  <conditionalFormatting sqref="X19">
    <cfRule type="expression" dxfId="165" priority="60">
      <formula>$BM19</formula>
    </cfRule>
  </conditionalFormatting>
  <conditionalFormatting sqref="X20">
    <cfRule type="expression" dxfId="164" priority="59">
      <formula>$BM20</formula>
    </cfRule>
  </conditionalFormatting>
  <conditionalFormatting sqref="X21">
    <cfRule type="expression" dxfId="163" priority="58">
      <formula>$BM21</formula>
    </cfRule>
  </conditionalFormatting>
  <conditionalFormatting sqref="X22">
    <cfRule type="expression" dxfId="162" priority="57">
      <formula>$BM22</formula>
    </cfRule>
  </conditionalFormatting>
  <conditionalFormatting sqref="X23">
    <cfRule type="expression" dxfId="161" priority="56">
      <formula>$BM23</formula>
    </cfRule>
  </conditionalFormatting>
  <conditionalFormatting sqref="X24">
    <cfRule type="expression" dxfId="160" priority="55">
      <formula>$BM24</formula>
    </cfRule>
  </conditionalFormatting>
  <conditionalFormatting sqref="X25">
    <cfRule type="expression" dxfId="159" priority="54">
      <formula>$BM25</formula>
    </cfRule>
  </conditionalFormatting>
  <conditionalFormatting sqref="X26">
    <cfRule type="expression" dxfId="158" priority="52">
      <formula>$BM26</formula>
    </cfRule>
  </conditionalFormatting>
  <conditionalFormatting sqref="X27">
    <cfRule type="expression" dxfId="157" priority="51">
      <formula>$BM27</formula>
    </cfRule>
  </conditionalFormatting>
  <conditionalFormatting sqref="X28">
    <cfRule type="expression" dxfId="156" priority="50">
      <formula>$BM28</formula>
    </cfRule>
  </conditionalFormatting>
  <conditionalFormatting sqref="X29">
    <cfRule type="expression" dxfId="155" priority="49">
      <formula>$BM29</formula>
    </cfRule>
  </conditionalFormatting>
  <conditionalFormatting sqref="X30">
    <cfRule type="expression" dxfId="154" priority="48">
      <formula>$BM30</formula>
    </cfRule>
  </conditionalFormatting>
  <conditionalFormatting sqref="X31">
    <cfRule type="expression" dxfId="153" priority="47">
      <formula>$BM31</formula>
    </cfRule>
  </conditionalFormatting>
  <conditionalFormatting sqref="X32">
    <cfRule type="expression" dxfId="152" priority="46">
      <formula>$BM32</formula>
    </cfRule>
  </conditionalFormatting>
  <conditionalFormatting sqref="X33">
    <cfRule type="expression" dxfId="151" priority="45">
      <formula>$BM33</formula>
    </cfRule>
  </conditionalFormatting>
  <conditionalFormatting sqref="X34">
    <cfRule type="expression" dxfId="150" priority="44">
      <formula>$BM34</formula>
    </cfRule>
  </conditionalFormatting>
  <conditionalFormatting sqref="X35">
    <cfRule type="expression" dxfId="149" priority="43">
      <formula>$BM35</formula>
    </cfRule>
  </conditionalFormatting>
  <conditionalFormatting sqref="X36">
    <cfRule type="expression" dxfId="148" priority="42">
      <formula>$BM36</formula>
    </cfRule>
  </conditionalFormatting>
  <conditionalFormatting sqref="X37">
    <cfRule type="expression" dxfId="147" priority="41">
      <formula>$BM37</formula>
    </cfRule>
  </conditionalFormatting>
  <conditionalFormatting sqref="X38">
    <cfRule type="expression" dxfId="146" priority="40">
      <formula>$BM38</formula>
    </cfRule>
  </conditionalFormatting>
  <conditionalFormatting sqref="X39">
    <cfRule type="expression" dxfId="145" priority="39">
      <formula>$BM39</formula>
    </cfRule>
  </conditionalFormatting>
  <conditionalFormatting sqref="X40">
    <cfRule type="expression" dxfId="144" priority="38">
      <formula>$BM40</formula>
    </cfRule>
  </conditionalFormatting>
  <conditionalFormatting sqref="X41">
    <cfRule type="expression" dxfId="143" priority="37">
      <formula>$BM41</formula>
    </cfRule>
  </conditionalFormatting>
  <conditionalFormatting sqref="X42">
    <cfRule type="expression" dxfId="142" priority="36">
      <formula>$BM42</formula>
    </cfRule>
  </conditionalFormatting>
  <conditionalFormatting sqref="Y8">
    <cfRule type="expression" dxfId="141" priority="35">
      <formula>$BN8</formula>
    </cfRule>
  </conditionalFormatting>
  <conditionalFormatting sqref="Y9">
    <cfRule type="expression" dxfId="140" priority="34">
      <formula>$BN9</formula>
    </cfRule>
  </conditionalFormatting>
  <conditionalFormatting sqref="Y10">
    <cfRule type="expression" dxfId="139" priority="33">
      <formula>$BN10</formula>
    </cfRule>
  </conditionalFormatting>
  <conditionalFormatting sqref="Y11">
    <cfRule type="expression" dxfId="138" priority="32">
      <formula>$BN11</formula>
    </cfRule>
  </conditionalFormatting>
  <conditionalFormatting sqref="Y12">
    <cfRule type="expression" dxfId="137" priority="31">
      <formula>$BN12</formula>
    </cfRule>
  </conditionalFormatting>
  <conditionalFormatting sqref="Y13">
    <cfRule type="expression" dxfId="136" priority="30">
      <formula>$BN13</formula>
    </cfRule>
  </conditionalFormatting>
  <conditionalFormatting sqref="Y14">
    <cfRule type="expression" dxfId="135" priority="29">
      <formula>$BN14</formula>
    </cfRule>
  </conditionalFormatting>
  <conditionalFormatting sqref="Y15">
    <cfRule type="expression" dxfId="134" priority="28">
      <formula>$BN15</formula>
    </cfRule>
  </conditionalFormatting>
  <conditionalFormatting sqref="Y16">
    <cfRule type="expression" dxfId="133" priority="27">
      <formula>$BN16</formula>
    </cfRule>
  </conditionalFormatting>
  <conditionalFormatting sqref="Y17">
    <cfRule type="expression" dxfId="132" priority="26">
      <formula>$BN17</formula>
    </cfRule>
  </conditionalFormatting>
  <conditionalFormatting sqref="Y18">
    <cfRule type="expression" dxfId="131" priority="25">
      <formula>$BN18</formula>
    </cfRule>
  </conditionalFormatting>
  <conditionalFormatting sqref="Y19">
    <cfRule type="expression" dxfId="130" priority="24">
      <formula>$BN19</formula>
    </cfRule>
  </conditionalFormatting>
  <conditionalFormatting sqref="Y20">
    <cfRule type="expression" dxfId="129" priority="23">
      <formula>$BN20</formula>
    </cfRule>
  </conditionalFormatting>
  <conditionalFormatting sqref="Y21">
    <cfRule type="expression" dxfId="128" priority="22">
      <formula>$BN21</formula>
    </cfRule>
  </conditionalFormatting>
  <conditionalFormatting sqref="Y22">
    <cfRule type="expression" dxfId="127" priority="21">
      <formula>$BN22</formula>
    </cfRule>
  </conditionalFormatting>
  <conditionalFormatting sqref="Y23">
    <cfRule type="expression" dxfId="126" priority="20">
      <formula>$BN23</formula>
    </cfRule>
  </conditionalFormatting>
  <conditionalFormatting sqref="Y24">
    <cfRule type="expression" dxfId="125" priority="19">
      <formula>$BN24</formula>
    </cfRule>
  </conditionalFormatting>
  <conditionalFormatting sqref="Y25">
    <cfRule type="expression" dxfId="124" priority="18">
      <formula>$BN25</formula>
    </cfRule>
  </conditionalFormatting>
  <conditionalFormatting sqref="Y26">
    <cfRule type="expression" dxfId="123" priority="17">
      <formula>$BN26</formula>
    </cfRule>
  </conditionalFormatting>
  <conditionalFormatting sqref="Y27">
    <cfRule type="expression" dxfId="122" priority="16">
      <formula>$BN27</formula>
    </cfRule>
  </conditionalFormatting>
  <conditionalFormatting sqref="Y28">
    <cfRule type="expression" dxfId="121" priority="15">
      <formula>$BN28</formula>
    </cfRule>
  </conditionalFormatting>
  <conditionalFormatting sqref="Y29">
    <cfRule type="expression" dxfId="120" priority="14">
      <formula>$BN29</formula>
    </cfRule>
  </conditionalFormatting>
  <conditionalFormatting sqref="Y30">
    <cfRule type="expression" dxfId="119" priority="13">
      <formula>$BN30</formula>
    </cfRule>
  </conditionalFormatting>
  <conditionalFormatting sqref="Y31">
    <cfRule type="expression" dxfId="118" priority="12">
      <formula>$BN31</formula>
    </cfRule>
  </conditionalFormatting>
  <conditionalFormatting sqref="Y32">
    <cfRule type="expression" dxfId="117" priority="11">
      <formula>$BN32</formula>
    </cfRule>
  </conditionalFormatting>
  <conditionalFormatting sqref="Y33">
    <cfRule type="expression" dxfId="116" priority="10">
      <formula>$BN33</formula>
    </cfRule>
  </conditionalFormatting>
  <conditionalFormatting sqref="Y34">
    <cfRule type="expression" dxfId="115" priority="9">
      <formula>$BN34</formula>
    </cfRule>
  </conditionalFormatting>
  <conditionalFormatting sqref="Y35">
    <cfRule type="expression" dxfId="114" priority="8">
      <formula>$BN35</formula>
    </cfRule>
  </conditionalFormatting>
  <conditionalFormatting sqref="Y36">
    <cfRule type="expression" dxfId="113" priority="7">
      <formula>$BN36</formula>
    </cfRule>
  </conditionalFormatting>
  <conditionalFormatting sqref="Y37">
    <cfRule type="expression" dxfId="112" priority="6">
      <formula>$BN37</formula>
    </cfRule>
  </conditionalFormatting>
  <conditionalFormatting sqref="Y38">
    <cfRule type="expression" dxfId="111" priority="5">
      <formula>$BN38</formula>
    </cfRule>
  </conditionalFormatting>
  <conditionalFormatting sqref="Y39">
    <cfRule type="expression" dxfId="110" priority="4">
      <formula>$BN39</formula>
    </cfRule>
  </conditionalFormatting>
  <conditionalFormatting sqref="Y40">
    <cfRule type="expression" dxfId="109" priority="3">
      <formula>$BN40</formula>
    </cfRule>
  </conditionalFormatting>
  <conditionalFormatting sqref="Y41">
    <cfRule type="expression" dxfId="108" priority="2">
      <formula>$BN41</formula>
    </cfRule>
  </conditionalFormatting>
  <conditionalFormatting sqref="Y42">
    <cfRule type="expression" dxfId="107" priority="1">
      <formula>$BN42</formula>
    </cfRule>
  </conditionalFormatting>
  <dataValidations count="2">
    <dataValidation operator="greaterThanOrEqual" allowBlank="1" showInputMessage="1" showErrorMessage="1" errorTitle="投資面額待確認" error="不符合最低申購面額或最低增額要求，請重新輸入！_x000a_" sqref="Y7:Y42" xr:uid="{00000000-0002-0000-1700-000000000000}"/>
    <dataValidation type="custom" operator="greaterThanOrEqual" allowBlank="1" showInputMessage="1" showErrorMessage="1" errorTitle="確認買進日期" error="請輸入「YYYYMMDD」日期格式，且買進日期應晚於發行日_x000a__x000a_" sqref="X7:X42" xr:uid="{00000000-0002-0000-1700-000001000000}">
      <formula1>AND(BI7&gt;=BJ7,LEN(X7)=8)</formula1>
    </dataValidation>
  </dataValidations>
  <printOptions horizontalCentered="1"/>
  <pageMargins left="3.937007874015748E-2" right="3.937007874015748E-2" top="0.39370078740157483" bottom="0.39370078740157483" header="0.31496062992125984" footer="0.31496062992125984"/>
  <pageSetup paperSize="9" scale="46" fitToHeight="0" orientation="landscape" r:id="rId1"/>
  <ignoredErrors>
    <ignoredError sqref="AW7:AX7" evalError="1"/>
    <ignoredError sqref="P39:P42 X7:Z42 P7:P38" unlockedFormula="1"/>
  </ignoredErrors>
  <drawing r:id="rId2"/>
  <extLst>
    <ext xmlns:x14="http://schemas.microsoft.com/office/spreadsheetml/2009/9/main" uri="{78C0D931-6437-407d-A8EE-F0AAD7539E65}">
      <x14:conditionalFormattings>
        <x14:conditionalFormatting xmlns:xm="http://schemas.microsoft.com/office/excel/2006/main">
          <x14:cfRule type="dataBar" id="{3C5C897C-7019-4B29-82C8-B8FCFE734186}">
            <x14:dataBar minLength="0" maxLength="100" gradient="0">
              <x14:cfvo type="formula">
                <xm:f>$BO$2</xm:f>
              </x14:cfvo>
              <x14:cfvo type="formula">
                <xm:f>$BO$1</xm:f>
              </x14:cfvo>
              <x14:negativeFillColor rgb="FFFF7575"/>
              <x14:axisColor rgb="FF000000"/>
            </x14:dataBar>
          </x14:cfRule>
          <xm:sqref>AV7:AV42</xm:sqref>
        </x14:conditionalFormatting>
      </x14:conditionalFormattings>
    </ext>
    <ext xmlns:x14="http://schemas.microsoft.com/office/spreadsheetml/2009/9/main" uri="{CCE6A557-97BC-4b89-ADB6-D9C93CAAB3DF}">
      <x14:dataValidations xmlns:xm="http://schemas.microsoft.com/office/excel/2006/main" count="1">
        <x14:dataValidation type="custom" allowBlank="1" showInputMessage="1" showErrorMessage="1" errorTitle="商品代碼待確認" error="請填入正確商品代碼(不適用浮動利率及不含息交易債券)" xr:uid="{00000000-0002-0000-1700-000002000000}">
          <x14:formula1>
            <xm:f>'2_Check_code'!C62</xm:f>
          </x14:formula1>
          <xm:sqref>P7:P42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工作表41"/>
  <dimension ref="A1:X93"/>
  <sheetViews>
    <sheetView workbookViewId="0"/>
  </sheetViews>
  <sheetFormatPr defaultColWidth="7.78515625" defaultRowHeight="15.5"/>
  <cols>
    <col min="1" max="1" width="25.2109375" style="1320" customWidth="1"/>
    <col min="2" max="2" width="23.640625" style="1320" bestFit="1" customWidth="1"/>
    <col min="3" max="3" width="21.85546875" style="1320" customWidth="1"/>
    <col min="4" max="4" width="23.640625" style="1320" bestFit="1" customWidth="1"/>
    <col min="5" max="5" width="21.85546875" style="1320" bestFit="1" customWidth="1"/>
    <col min="6" max="6" width="23.85546875" style="1320" bestFit="1" customWidth="1"/>
    <col min="7" max="7" width="17.78515625" style="1320" bestFit="1" customWidth="1"/>
    <col min="8" max="8" width="12.78515625" style="1320" bestFit="1" customWidth="1"/>
    <col min="9" max="9" width="22.42578125" style="1320" bestFit="1" customWidth="1"/>
    <col min="10" max="10" width="14.640625" style="1320" bestFit="1" customWidth="1"/>
    <col min="11" max="11" width="16.28515625" style="1320" bestFit="1" customWidth="1"/>
    <col min="12" max="12" width="17.0703125" style="1320" customWidth="1"/>
    <col min="13" max="13" width="18" style="1320" bestFit="1" customWidth="1"/>
    <col min="14" max="14" width="19" style="1320" customWidth="1"/>
    <col min="15" max="15" width="33" style="1320" bestFit="1" customWidth="1"/>
    <col min="16" max="16" width="17.2109375" style="1320" customWidth="1"/>
    <col min="17" max="17" width="21.28515625" style="1320" customWidth="1"/>
    <col min="18" max="18" width="15.78515625" style="1320" bestFit="1" customWidth="1"/>
    <col min="19" max="19" width="21.0703125" style="1320" customWidth="1"/>
    <col min="20" max="20" width="14.0703125" style="1320" bestFit="1" customWidth="1"/>
    <col min="21" max="21" width="14.0703125" style="1320" customWidth="1"/>
    <col min="22" max="22" width="25.2109375" style="1320" bestFit="1" customWidth="1"/>
    <col min="23" max="23" width="18" style="1320" bestFit="1" customWidth="1"/>
    <col min="24" max="24" width="14.42578125" style="1320" customWidth="1"/>
    <col min="25" max="25" width="33" style="1320" bestFit="1" customWidth="1"/>
    <col min="26" max="26" width="12.640625" style="1320" bestFit="1" customWidth="1"/>
    <col min="27" max="27" width="6.2109375" style="1320" bestFit="1" customWidth="1"/>
    <col min="28" max="16384" width="7.78515625" style="1320"/>
  </cols>
  <sheetData>
    <row r="1" spans="1:14">
      <c r="A1" s="1320" t="s">
        <v>4205</v>
      </c>
      <c r="B1" s="1395">
        <f ca="1">換券投組!D17</f>
        <v>0</v>
      </c>
    </row>
    <row r="2" spans="1:14">
      <c r="B2" s="1321"/>
    </row>
    <row r="3" spans="1:14">
      <c r="B3" s="1321"/>
    </row>
    <row r="5" spans="1:14" ht="16" thickBot="1"/>
    <row r="6" spans="1:14">
      <c r="A6" s="1320" t="s">
        <v>4259</v>
      </c>
      <c r="B6" s="1320" t="s">
        <v>4206</v>
      </c>
      <c r="C6" s="1320" t="s">
        <v>3545</v>
      </c>
      <c r="D6" s="1320" t="s">
        <v>4207</v>
      </c>
      <c r="E6" s="1320" t="s">
        <v>4208</v>
      </c>
      <c r="F6" s="1320" t="s">
        <v>4209</v>
      </c>
      <c r="G6" s="1320" t="s">
        <v>4210</v>
      </c>
      <c r="H6" s="1320" t="s">
        <v>4211</v>
      </c>
      <c r="I6" s="1322" t="s">
        <v>4212</v>
      </c>
      <c r="J6" s="1323" t="s">
        <v>4213</v>
      </c>
      <c r="K6" s="1323" t="s">
        <v>4214</v>
      </c>
      <c r="L6" s="1323" t="s">
        <v>4215</v>
      </c>
      <c r="M6" s="1323" t="s">
        <v>4216</v>
      </c>
      <c r="N6" s="1324" t="s">
        <v>4217</v>
      </c>
    </row>
    <row r="7" spans="1:14">
      <c r="A7" s="1320">
        <f>Change投!K7</f>
        <v>0</v>
      </c>
      <c r="B7" s="1320">
        <v>1</v>
      </c>
      <c r="C7" s="1325">
        <f ca="1">IFERROR(VLOOKUP(A7,'銀行-TSS'!B:M,12,FALSE),0)</f>
        <v>0</v>
      </c>
      <c r="D7" s="1326">
        <f>IFERROR(IF(A7=0,0,投組換券表[[#This Row],[賣價(含息)]]/100),0)</f>
        <v>0</v>
      </c>
      <c r="E7" s="1401">
        <f t="shared" ref="E7:E12" si="0">D7*G7</f>
        <v>0</v>
      </c>
      <c r="F7" s="1320">
        <f t="shared" ref="F7:F12" ca="1" si="1">D7*H7</f>
        <v>0</v>
      </c>
      <c r="G7" s="1401">
        <f>IF(A7&lt;&gt;0,投組換券表[[#This Row],[最小增額]],0)</f>
        <v>0</v>
      </c>
      <c r="H7" s="1401">
        <f ca="1">IFERROR(投組換券表[[#This Row],[最低申購]],0)</f>
        <v>0</v>
      </c>
      <c r="I7" s="1327">
        <f t="array" aca="1" ref="I7" ca="1">IFERROR(INDEX($M$33:$M$49,MATCH(1,($B$33:$B$49=$G7)*($C$33:$C$49=$H7),0)),0)</f>
        <v>0</v>
      </c>
      <c r="J7" s="1328">
        <f t="shared" ref="J7:J12" ca="1" si="2">IFERROR(I7*D7,0)</f>
        <v>0</v>
      </c>
      <c r="K7" s="1320">
        <f t="array" aca="1" ref="K7" ca="1">IFERROR(INDEX($X$59:$X$74,MATCH(1,($G7=$B$59:$B$74)*($H7=$C$59:$C$74),0),1),0)</f>
        <v>0</v>
      </c>
      <c r="L7" s="1328">
        <f t="shared" ref="L7:L12" ca="1" si="3">SUMIF($F$87:$F$92,$B7,$O$87:$O$92)</f>
        <v>0</v>
      </c>
      <c r="M7" s="1329">
        <f t="shared" ref="M7:M12" ca="1" si="4">(I7+(K7+L7)*G7)*IF(D7&gt;0,1,0)</f>
        <v>0</v>
      </c>
      <c r="N7" s="1330">
        <f t="shared" ref="N7:N12" ca="1" si="5">D7*M7</f>
        <v>0</v>
      </c>
    </row>
    <row r="8" spans="1:14">
      <c r="A8" s="1320">
        <f>Change投!K8</f>
        <v>0</v>
      </c>
      <c r="B8" s="1320">
        <v>2</v>
      </c>
      <c r="C8" s="1325">
        <f ca="1">IFERROR(VLOOKUP(A8,'銀行-TSS'!B:M,12,FALSE),0)</f>
        <v>0</v>
      </c>
      <c r="D8" s="1326">
        <f>IFERROR(IF(A8=0,0,投組換券表[[#This Row],[賣價(含息)]]/100),0)</f>
        <v>0</v>
      </c>
      <c r="E8" s="1401">
        <f t="shared" si="0"/>
        <v>0</v>
      </c>
      <c r="F8" s="1320">
        <f t="shared" ca="1" si="1"/>
        <v>0</v>
      </c>
      <c r="G8" s="1401">
        <f>IF(A8&lt;&gt;0,投組換券表[[#This Row],[最小增額]],0)</f>
        <v>0</v>
      </c>
      <c r="H8" s="1401">
        <f ca="1">IFERROR(投組換券表[[#This Row],[最低申購]],0)</f>
        <v>0</v>
      </c>
      <c r="I8" s="1327">
        <f t="array" aca="1" ref="I8" ca="1">IFERROR(INDEX($M$33:$M$49,MATCH(1,($B$33:$B$49=$G8)*($C$33:$C$49=$H8),0)),0)</f>
        <v>0</v>
      </c>
      <c r="J8" s="1328">
        <f t="shared" ca="1" si="2"/>
        <v>0</v>
      </c>
      <c r="K8" s="1320">
        <f t="array" aca="1" ref="K8" ca="1">IFERROR(INDEX($X$59:$X$74,MATCH(1,($G8=$B$59:$B$74)*($H8=$C$59:$C$74),0),1),0)</f>
        <v>0</v>
      </c>
      <c r="L8" s="1328">
        <f t="shared" ca="1" si="3"/>
        <v>0</v>
      </c>
      <c r="M8" s="1329">
        <f t="shared" ca="1" si="4"/>
        <v>0</v>
      </c>
      <c r="N8" s="1330">
        <f t="shared" ca="1" si="5"/>
        <v>0</v>
      </c>
    </row>
    <row r="9" spans="1:14">
      <c r="A9" s="1320">
        <f>Change投!K9</f>
        <v>0</v>
      </c>
      <c r="B9" s="1320">
        <v>3</v>
      </c>
      <c r="C9" s="1325">
        <f ca="1">IFERROR(VLOOKUP(A9,'銀行-TSS'!B:M,12,FALSE),0)</f>
        <v>0</v>
      </c>
      <c r="D9" s="1326">
        <f>IFERROR(IF(A9=0,0,投組換券表[[#This Row],[賣價(含息)]]/100),0)</f>
        <v>0</v>
      </c>
      <c r="E9" s="1401">
        <f t="shared" si="0"/>
        <v>0</v>
      </c>
      <c r="F9" s="1320">
        <f t="shared" ca="1" si="1"/>
        <v>0</v>
      </c>
      <c r="G9" s="1401">
        <f>IF(A9&lt;&gt;0,投組換券表[[#This Row],[最小增額]],0)</f>
        <v>0</v>
      </c>
      <c r="H9" s="1401">
        <f ca="1">IFERROR(投組換券表[[#This Row],[最低申購]],0)</f>
        <v>0</v>
      </c>
      <c r="I9" s="1327">
        <f t="array" aca="1" ref="I9" ca="1">IFERROR(INDEX($M$33:$M$49,MATCH(1,($B$33:$B$49=$G9)*($C$33:$C$49=$H9),0)),0)</f>
        <v>0</v>
      </c>
      <c r="J9" s="1328">
        <f t="shared" ca="1" si="2"/>
        <v>0</v>
      </c>
      <c r="K9" s="1320">
        <f t="array" aca="1" ref="K9" ca="1">IFERROR(INDEX($X$59:$X$74,MATCH(1,($G9=$B$59:$B$74)*($H9=$C$59:$C$74),0),1),0)</f>
        <v>0</v>
      </c>
      <c r="L9" s="1328">
        <f ca="1">SUMIF($F$87:$F$92,$B9,$O$87:$O$92)</f>
        <v>0</v>
      </c>
      <c r="M9" s="1329">
        <f t="shared" ca="1" si="4"/>
        <v>0</v>
      </c>
      <c r="N9" s="1330">
        <f t="shared" ca="1" si="5"/>
        <v>0</v>
      </c>
    </row>
    <row r="10" spans="1:14">
      <c r="A10" s="1320">
        <f>Change投!K10</f>
        <v>0</v>
      </c>
      <c r="B10" s="1320">
        <v>4</v>
      </c>
      <c r="C10" s="1325">
        <f ca="1">IFERROR(VLOOKUP(A10,'銀行-TSS'!B:M,12,FALSE),0)</f>
        <v>0</v>
      </c>
      <c r="D10" s="1326">
        <f>IFERROR(IF(A10=0,0,投組換券表[[#This Row],[賣價(含息)]]/100),0)</f>
        <v>0</v>
      </c>
      <c r="E10" s="1401">
        <f t="shared" si="0"/>
        <v>0</v>
      </c>
      <c r="F10" s="1320">
        <f t="shared" ca="1" si="1"/>
        <v>0</v>
      </c>
      <c r="G10" s="1401">
        <f>IF(A10&lt;&gt;0,投組換券表[[#This Row],[最小增額]],0)</f>
        <v>0</v>
      </c>
      <c r="H10" s="1401">
        <f ca="1">IFERROR(投組換券表[[#This Row],[最低申購]],0)</f>
        <v>0</v>
      </c>
      <c r="I10" s="1327">
        <f t="array" aca="1" ref="I10" ca="1">IFERROR(INDEX($M$33:$M$49,MATCH(1,($B$33:$B$49=$G10)*($C$33:$C$49=$H10),0)),0)</f>
        <v>0</v>
      </c>
      <c r="J10" s="1328">
        <f t="shared" ca="1" si="2"/>
        <v>0</v>
      </c>
      <c r="K10" s="1320">
        <f t="array" aca="1" ref="K10" ca="1">IFERROR(INDEX($X$59:$X$74,MATCH(1,($G10=$B$59:$B$74)*($H10=$C$59:$C$74),0),1),0)</f>
        <v>0</v>
      </c>
      <c r="L10" s="1328">
        <f t="shared" ca="1" si="3"/>
        <v>0</v>
      </c>
      <c r="M10" s="1329">
        <f t="shared" ca="1" si="4"/>
        <v>0</v>
      </c>
      <c r="N10" s="1330">
        <f t="shared" ca="1" si="5"/>
        <v>0</v>
      </c>
    </row>
    <row r="11" spans="1:14">
      <c r="A11" s="1320">
        <f>Change投!K11</f>
        <v>0</v>
      </c>
      <c r="B11" s="1320">
        <v>5</v>
      </c>
      <c r="C11" s="1325">
        <f ca="1">IFERROR(VLOOKUP(A11,'銀行-TSS'!B:M,12,FALSE),0)</f>
        <v>0</v>
      </c>
      <c r="D11" s="1326">
        <f>IFERROR(IF(A11=0,0,投組換券表[[#This Row],[賣價(含息)]]/100),0)</f>
        <v>0</v>
      </c>
      <c r="E11" s="1401">
        <f t="shared" si="0"/>
        <v>0</v>
      </c>
      <c r="F11" s="1320">
        <f t="shared" ca="1" si="1"/>
        <v>0</v>
      </c>
      <c r="G11" s="1401">
        <f>IF(A11&lt;&gt;0,投組換券表[[#This Row],[最小增額]],0)</f>
        <v>0</v>
      </c>
      <c r="H11" s="1401">
        <f ca="1">IFERROR(投組換券表[[#This Row],[最低申購]],0)</f>
        <v>0</v>
      </c>
      <c r="I11" s="1327">
        <f t="array" aca="1" ref="I11" ca="1">IFERROR(INDEX($M$33:$M$49,MATCH(1,($B$33:$B$49=$G11)*($C$33:$C$49=$H11),0)),0)</f>
        <v>0</v>
      </c>
      <c r="J11" s="1328">
        <f t="shared" ca="1" si="2"/>
        <v>0</v>
      </c>
      <c r="K11" s="1320">
        <f t="array" aca="1" ref="K11" ca="1">IFERROR(INDEX($X$59:$X$74,MATCH(1,($G11=$B$59:$B$74)*($H11=$C$59:$C$74),0),1),0)</f>
        <v>0</v>
      </c>
      <c r="L11" s="1328">
        <f t="shared" ca="1" si="3"/>
        <v>0</v>
      </c>
      <c r="M11" s="1329">
        <f t="shared" ca="1" si="4"/>
        <v>0</v>
      </c>
      <c r="N11" s="1330">
        <f t="shared" ca="1" si="5"/>
        <v>0</v>
      </c>
    </row>
    <row r="12" spans="1:14">
      <c r="A12" s="1320">
        <f>Change投!K12</f>
        <v>0</v>
      </c>
      <c r="B12" s="1320">
        <v>6</v>
      </c>
      <c r="C12" s="1325">
        <f ca="1">IFERROR(VLOOKUP(A12,'銀行-TSS'!B:M,12,FALSE),0)</f>
        <v>0</v>
      </c>
      <c r="D12" s="1326">
        <f>IFERROR(IF(A12=0,0,投組換券表[[#This Row],[賣價(含息)]]/100),0)</f>
        <v>0</v>
      </c>
      <c r="E12" s="1401">
        <f t="shared" si="0"/>
        <v>0</v>
      </c>
      <c r="F12" s="1320">
        <f t="shared" ca="1" si="1"/>
        <v>0</v>
      </c>
      <c r="G12" s="1401">
        <f>IF(A12&lt;&gt;0,投組換券表[[#This Row],[最小增額]],0)</f>
        <v>0</v>
      </c>
      <c r="H12" s="1401">
        <f ca="1">IFERROR(投組換券表[[#This Row],[最低申購]],0)</f>
        <v>0</v>
      </c>
      <c r="I12" s="1327">
        <f t="array" aca="1" ref="I12" ca="1">IFERROR(INDEX($M$33:$M$49,MATCH(1,($B$33:$B$49=$G12)*($C$33:$C$49=$H12),0)),0)</f>
        <v>0</v>
      </c>
      <c r="J12" s="1328">
        <f t="shared" ca="1" si="2"/>
        <v>0</v>
      </c>
      <c r="K12" s="1320">
        <f t="array" aca="1" ref="K12" ca="1">IFERROR(INDEX($X$59:$X$74,MATCH(1,($G12=$B$59:$B$74)*($H12=$C$59:$C$74),0),1),0)</f>
        <v>0</v>
      </c>
      <c r="L12" s="1328">
        <f t="shared" ca="1" si="3"/>
        <v>0</v>
      </c>
      <c r="M12" s="1329">
        <f t="shared" ca="1" si="4"/>
        <v>0</v>
      </c>
      <c r="N12" s="1330">
        <f t="shared" ca="1" si="5"/>
        <v>0</v>
      </c>
    </row>
    <row r="13" spans="1:14" ht="16" thickBot="1">
      <c r="B13" s="1320" t="s">
        <v>2131</v>
      </c>
      <c r="E13" s="1328"/>
      <c r="F13" s="1332">
        <f ca="1">ROUNDUP(SUM(F7:F12),0)</f>
        <v>0</v>
      </c>
      <c r="I13" s="1333">
        <f ca="1">SUM(I7:I12)</f>
        <v>0</v>
      </c>
      <c r="J13" s="1334">
        <f ca="1">SUM(J7:J12)</f>
        <v>0</v>
      </c>
      <c r="K13" s="1335"/>
      <c r="L13" s="1335"/>
      <c r="M13" s="1334">
        <f ca="1">SUMIF(H7:H12,"&gt;0",M7:M12)</f>
        <v>0</v>
      </c>
      <c r="N13" s="1336">
        <f ca="1">SUMIF(H7:H12,"&gt;0",N7:N12)</f>
        <v>0</v>
      </c>
    </row>
    <row r="14" spans="1:14">
      <c r="N14" s="1343">
        <f ca="1">B1-N13</f>
        <v>0</v>
      </c>
    </row>
    <row r="16" spans="1:14" ht="16" thickBot="1"/>
    <row r="17" spans="1:17">
      <c r="A17" s="1337"/>
      <c r="B17" s="1338"/>
      <c r="C17" s="1338"/>
      <c r="D17" s="1338"/>
      <c r="E17" s="1338"/>
      <c r="F17" s="1338" t="s">
        <v>4218</v>
      </c>
      <c r="G17" s="1338" t="s">
        <v>4219</v>
      </c>
      <c r="H17" s="1338" t="s">
        <v>4220</v>
      </c>
      <c r="I17" s="1338" t="s">
        <v>4221</v>
      </c>
      <c r="J17" s="1338" t="s">
        <v>4261</v>
      </c>
      <c r="K17" s="1338" t="s">
        <v>4262</v>
      </c>
      <c r="L17" s="1339" t="s">
        <v>4263</v>
      </c>
    </row>
    <row r="18" spans="1:17">
      <c r="A18" s="2267" t="s">
        <v>4222</v>
      </c>
      <c r="B18" s="2269"/>
      <c r="C18" s="1320" t="s">
        <v>4211</v>
      </c>
      <c r="D18" s="1320" t="s">
        <v>4223</v>
      </c>
      <c r="E18" s="1320" t="s">
        <v>4224</v>
      </c>
      <c r="F18" s="1320" t="s">
        <v>4225</v>
      </c>
      <c r="G18" s="1320" t="s">
        <v>4226</v>
      </c>
      <c r="H18" s="1320" t="s">
        <v>4227</v>
      </c>
      <c r="I18" s="1320" t="s">
        <v>4228</v>
      </c>
      <c r="J18" s="1320" t="s">
        <v>4229</v>
      </c>
      <c r="K18" s="1320" t="s">
        <v>4230</v>
      </c>
      <c r="L18" s="1331" t="s">
        <v>4264</v>
      </c>
      <c r="Q18" s="1340"/>
    </row>
    <row r="19" spans="1:17">
      <c r="A19" s="2267"/>
      <c r="B19" s="2269"/>
      <c r="C19">
        <v>1000000</v>
      </c>
      <c r="D19" s="1341">
        <f ca="1">IF(換券投組!$D$17&gt;0,IFERROR(AVERAGEIF($H$7:$H$12,$C19,$D$7:$D$12),0),100%)</f>
        <v>1</v>
      </c>
      <c r="E19" s="1320">
        <f ca="1">IFERROR(COUNTIF($H$7:$H$12,C19),0)</f>
        <v>0</v>
      </c>
      <c r="F19" s="1320">
        <f t="shared" ref="F19:F24" ca="1" si="6">C19*E19*D19</f>
        <v>0</v>
      </c>
      <c r="G19" s="1320">
        <f ca="1">C19*E19*D19</f>
        <v>0</v>
      </c>
      <c r="H19" s="1320">
        <f ca="1">C19*E19*D19</f>
        <v>0</v>
      </c>
      <c r="I19" s="1320">
        <f ca="1">C19*E19*D19</f>
        <v>0</v>
      </c>
      <c r="J19" s="1320">
        <f ca="1">C19*E19*D19</f>
        <v>0</v>
      </c>
      <c r="K19" s="1320">
        <f ca="1">C19*E19*D19</f>
        <v>0</v>
      </c>
      <c r="L19" s="1342">
        <f ca="1">IFERROR(B1/(SUMPRODUCT(D19:D25,E19:E25)),0)</f>
        <v>0</v>
      </c>
      <c r="Q19" s="1340"/>
    </row>
    <row r="20" spans="1:17">
      <c r="A20" s="2267"/>
      <c r="B20" s="2269"/>
      <c r="C20" s="1320">
        <v>250000</v>
      </c>
      <c r="D20" s="1341">
        <f ca="1">IF(換券投組!$D$17&gt;0,IFERROR(AVERAGEIF($H$7:$H$12,$C20,$D$7:$D$12),0),100%)</f>
        <v>1</v>
      </c>
      <c r="E20" s="1320">
        <f t="shared" ref="E20:E25" ca="1" si="7">IFERROR(COUNTIF($H$7:$H$12,C20),0)</f>
        <v>0</v>
      </c>
      <c r="F20" s="1320">
        <f t="shared" ca="1" si="6"/>
        <v>0</v>
      </c>
      <c r="G20" s="1320">
        <f ca="1">C20*E20*D20</f>
        <v>0</v>
      </c>
      <c r="H20" s="1320">
        <f ca="1">C20*E20*D20</f>
        <v>0</v>
      </c>
      <c r="I20" s="1320">
        <f ca="1">C20*E20*D20</f>
        <v>0</v>
      </c>
      <c r="J20" s="1320">
        <f ca="1">C20*E20*D20</f>
        <v>0</v>
      </c>
      <c r="K20" s="1402">
        <f ca="1">IFERROR((B1-K19)/(SUMPRODUCT(D20:D25,E20:E25)),0)</f>
        <v>0</v>
      </c>
      <c r="L20" s="1331"/>
      <c r="Q20" s="1340"/>
    </row>
    <row r="21" spans="1:17">
      <c r="A21" s="2267"/>
      <c r="B21" s="2269"/>
      <c r="C21">
        <v>200000</v>
      </c>
      <c r="D21" s="1341">
        <f ca="1">IF(換券投組!$D$17&gt;0,IFERROR(AVERAGEIF($H$7:$H$12,$C21,$D$7:$D$12),0),100%)</f>
        <v>1</v>
      </c>
      <c r="E21" s="1320">
        <f t="shared" ca="1" si="7"/>
        <v>0</v>
      </c>
      <c r="F21" s="1320">
        <f t="shared" ca="1" si="6"/>
        <v>0</v>
      </c>
      <c r="G21" s="1320">
        <f ca="1">C21*E21*D21</f>
        <v>0</v>
      </c>
      <c r="H21" s="1320">
        <f ca="1">C21*E21*D21</f>
        <v>0</v>
      </c>
      <c r="I21" s="1320">
        <f ca="1">C21*E21*D21</f>
        <v>0</v>
      </c>
      <c r="J21" s="1402">
        <f ca="1">IFERROR((B1-SUM(J19:J20))/(SUMPRODUCT(D21:D25,E21:E25)),0)</f>
        <v>0</v>
      </c>
      <c r="L21" s="1331"/>
      <c r="Q21" s="1340"/>
    </row>
    <row r="22" spans="1:17">
      <c r="A22" s="2267"/>
      <c r="B22" s="2269"/>
      <c r="C22" s="1320">
        <v>150000</v>
      </c>
      <c r="D22" s="1341">
        <f ca="1">IF(換券投組!$D$17&gt;0,IFERROR(AVERAGEIF($H$7:$H$12,$C22,$D$7:$D$12),0),100%)</f>
        <v>1</v>
      </c>
      <c r="E22" s="1320">
        <f t="shared" ca="1" si="7"/>
        <v>0</v>
      </c>
      <c r="F22" s="1320">
        <f t="shared" ca="1" si="6"/>
        <v>0</v>
      </c>
      <c r="G22" s="1320">
        <f ca="1">C22*E22*D22</f>
        <v>0</v>
      </c>
      <c r="H22" s="1320">
        <f ca="1">C22*E22*D22</f>
        <v>0</v>
      </c>
      <c r="I22" s="1402">
        <f ca="1">IFERROR((B1-SUM(I19:I21))/(SUMPRODUCT(D22:D25,E22:E25)),0)</f>
        <v>0</v>
      </c>
      <c r="J22" s="1345"/>
      <c r="L22" s="1331"/>
      <c r="M22" s="1343"/>
      <c r="N22" s="1344"/>
      <c r="O22" s="1343"/>
      <c r="P22" s="1343"/>
    </row>
    <row r="23" spans="1:17">
      <c r="A23" s="2267"/>
      <c r="B23" s="2269"/>
      <c r="C23">
        <v>100000</v>
      </c>
      <c r="D23" s="1341">
        <f ca="1">IF(換券投組!$D$17&gt;0,IFERROR(AVERAGEIF($H$7:$H$12,$C23,$D$7:$D$12),0),100%)</f>
        <v>1</v>
      </c>
      <c r="E23" s="1320">
        <f t="shared" ca="1" si="7"/>
        <v>0</v>
      </c>
      <c r="F23" s="1320">
        <f t="shared" ca="1" si="6"/>
        <v>0</v>
      </c>
      <c r="G23" s="1320">
        <f ca="1">C23*E23*D23</f>
        <v>0</v>
      </c>
      <c r="H23" s="1402">
        <f ca="1">IFERROR((B1-SUM(H19:H22))/(SUMPRODUCT(D23:D25,E23:E25)),0)</f>
        <v>0</v>
      </c>
      <c r="J23" s="1345"/>
      <c r="L23" s="1331"/>
      <c r="M23" s="1343"/>
      <c r="N23" s="1344"/>
      <c r="O23" s="1343"/>
      <c r="P23" s="1343"/>
    </row>
    <row r="24" spans="1:17">
      <c r="A24" s="2267"/>
      <c r="B24" s="2269"/>
      <c r="C24" s="1320">
        <v>10000</v>
      </c>
      <c r="D24" s="1341">
        <f ca="1">IF(換券投組!$D$17&gt;0,IFERROR(AVERAGEIF($H$7:$H$12,$C24,$D$7:$D$12),0),100%)</f>
        <v>1</v>
      </c>
      <c r="E24" s="1320">
        <f t="shared" ca="1" si="7"/>
        <v>0</v>
      </c>
      <c r="F24" s="1320">
        <f t="shared" ca="1" si="6"/>
        <v>0</v>
      </c>
      <c r="G24" s="1402">
        <f ca="1">IFERROR((B1-SUM(G19:G23))/(SUMPRODUCT(D24:D25,E24:E25)),0)</f>
        <v>0</v>
      </c>
      <c r="L24" s="1331"/>
    </row>
    <row r="25" spans="1:17" ht="16" thickBot="1">
      <c r="A25" s="2270"/>
      <c r="B25" s="2271"/>
      <c r="C25" s="1335">
        <v>2000</v>
      </c>
      <c r="D25" s="1346">
        <f ca="1">IF(換券投組!$D$17&gt;0,IFERROR(AVERAGEIF($H$7:$H$12,$C25,$D$7:$D$12),0),100%)</f>
        <v>1</v>
      </c>
      <c r="E25" s="1335">
        <f t="shared" ca="1" si="7"/>
        <v>0</v>
      </c>
      <c r="F25" s="1347">
        <f ca="1">IFERROR((B1-SUM(F19:F24))/(D25*E25),0)</f>
        <v>0</v>
      </c>
      <c r="G25" s="1335"/>
      <c r="H25" s="1335"/>
      <c r="I25" s="1335"/>
      <c r="J25" s="1335"/>
      <c r="K25" s="1335"/>
      <c r="L25" s="1348"/>
    </row>
    <row r="26" spans="1:17">
      <c r="A26" s="1349"/>
      <c r="D26" s="1341"/>
      <c r="F26" s="1345"/>
    </row>
    <row r="28" spans="1:17">
      <c r="D28" s="1350" t="s">
        <v>4231</v>
      </c>
      <c r="E28" s="1403">
        <f ca="1">MAX(F28:K28)</f>
        <v>2000</v>
      </c>
      <c r="F28" s="1404">
        <f ca="1">IF(F25&lt;10000,C25,0)</f>
        <v>2000</v>
      </c>
      <c r="G28" s="1404">
        <f ca="1">IF(G24&gt;=10000,10000,0)</f>
        <v>0</v>
      </c>
      <c r="H28" s="1404">
        <f ca="1">IF(H23&gt;=100000,100000,0)</f>
        <v>0</v>
      </c>
      <c r="I28" s="1404">
        <f ca="1">IF(I22&gt;=150000,150000,0)</f>
        <v>0</v>
      </c>
      <c r="J28" s="1404">
        <f ca="1">IF(J21&gt;=200000,200000,0)</f>
        <v>0</v>
      </c>
      <c r="K28" s="1404">
        <f ca="1">IF(K20&gt;=250000,250000,0)</f>
        <v>0</v>
      </c>
      <c r="L28" s="1404">
        <f ca="1">IF(L19&gt;=1000000,1000000,0)</f>
        <v>0</v>
      </c>
    </row>
    <row r="29" spans="1:17">
      <c r="D29" s="1432"/>
      <c r="E29" s="1433"/>
      <c r="F29" s="1404">
        <f ca="1">IF($E$28=C25,1,0)</f>
        <v>1</v>
      </c>
      <c r="G29" s="1404">
        <f ca="1">IF($E$28=10000,1,0)</f>
        <v>0</v>
      </c>
      <c r="H29" s="1404">
        <f ca="1">IF($E$28=100000,1,0)</f>
        <v>0</v>
      </c>
      <c r="I29" s="1404">
        <f ca="1">IF($E$28=150000,1,0)</f>
        <v>0</v>
      </c>
      <c r="J29" s="1404">
        <f ca="1">IF($E$28=200000,1,0)</f>
        <v>0</v>
      </c>
      <c r="K29" s="1404">
        <f ca="1">IF($E$28=250000,1,0)</f>
        <v>0</v>
      </c>
      <c r="L29" s="1404">
        <f ca="1">IF($E$28=1000000,1,0)</f>
        <v>0</v>
      </c>
    </row>
    <row r="30" spans="1:17">
      <c r="D30" s="1343"/>
      <c r="E30" s="1365"/>
      <c r="F30" s="1365"/>
      <c r="G30" s="1365"/>
      <c r="H30" s="1365"/>
      <c r="I30" s="1365"/>
      <c r="J30" s="1365"/>
      <c r="K30" s="1365"/>
      <c r="L30" s="1365"/>
    </row>
    <row r="31" spans="1:17" ht="16" thickBot="1">
      <c r="P31" s="1434"/>
    </row>
    <row r="32" spans="1:17">
      <c r="A32" s="2265" t="s">
        <v>4232</v>
      </c>
      <c r="B32" s="1338" t="s">
        <v>4210</v>
      </c>
      <c r="C32" s="1338" t="s">
        <v>4211</v>
      </c>
      <c r="D32" s="1338" t="s">
        <v>4223</v>
      </c>
      <c r="E32" s="1338" t="s">
        <v>4224</v>
      </c>
      <c r="F32" s="1338" t="s">
        <v>4233</v>
      </c>
      <c r="G32" s="1338" t="s">
        <v>4226</v>
      </c>
      <c r="H32" s="1338" t="s">
        <v>4227</v>
      </c>
      <c r="I32" s="1338" t="s">
        <v>4228</v>
      </c>
      <c r="J32" s="1338" t="s">
        <v>4229</v>
      </c>
      <c r="K32" s="1338" t="s">
        <v>4230</v>
      </c>
      <c r="L32" s="1362" t="s">
        <v>4264</v>
      </c>
      <c r="M32" s="1338" t="s">
        <v>4234</v>
      </c>
      <c r="N32" s="1339" t="s">
        <v>4213</v>
      </c>
    </row>
    <row r="33" spans="1:14" ht="16">
      <c r="A33" s="2266"/>
      <c r="B33">
        <v>1000000</v>
      </c>
      <c r="C33">
        <v>1000000</v>
      </c>
      <c r="D33" s="1325">
        <f ca="1">IF(換券投組!$D$17&gt;0,IFERROR(AVERAGEIFS($D$7:$D$12,$G$7:$G$12,$B33,$H$7:$H$12,$C33),0),100%)</f>
        <v>1</v>
      </c>
      <c r="E33" s="1320">
        <f ca="1">IFERROR(COUNTIFS($H$7:$H$12,C33,$G$7:$G$12,B33),0)</f>
        <v>0</v>
      </c>
      <c r="F33" s="1329">
        <f t="shared" ref="F33:F43" ca="1" si="8">IF(AND($F$25&gt;0,$F$25&lt;10000),C33,0)</f>
        <v>0</v>
      </c>
      <c r="G33" s="1329">
        <f t="shared" ref="G33:G44" ca="1" si="9">IF(AND($G$24&gt;=10000,$G$24&lt;100000),C33,0)</f>
        <v>0</v>
      </c>
      <c r="H33" s="1442">
        <f t="shared" ref="H33:H41" ca="1" si="10">IF(AND($H$23&gt;=100000,$H$23&lt;150000),C33,0)</f>
        <v>0</v>
      </c>
      <c r="I33" s="1438">
        <f t="shared" ref="I33:I39" ca="1" si="11">IF(AND($I$22&gt;=150000,$I$22&lt;200000),C33,0)</f>
        <v>0</v>
      </c>
      <c r="J33" s="1329">
        <f ca="1">IF(AND($J$21&gt;=200000,$J$21&lt;250000),C33,0)</f>
        <v>0</v>
      </c>
      <c r="K33" s="1438">
        <f ca="1">IF(AND($K$20&lt;1000000,$K$20&gt;=250000),C33,0)</f>
        <v>0</v>
      </c>
      <c r="L33" s="1436">
        <f ca="1">IF($L$19&gt;=1000000,ROUNDDOWN($L$19,-6),0)</f>
        <v>0</v>
      </c>
      <c r="M33" s="1352">
        <f ca="1">IF(E33&gt;0,MAX(F33:L33),0)</f>
        <v>0</v>
      </c>
      <c r="N33" s="1330">
        <f t="shared" ref="N33:N39" ca="1" si="12">M33*D33*E33</f>
        <v>0</v>
      </c>
    </row>
    <row r="34" spans="1:14" ht="16">
      <c r="A34" s="2266"/>
      <c r="B34">
        <v>10000</v>
      </c>
      <c r="C34">
        <v>1000000</v>
      </c>
      <c r="D34" s="1325">
        <f ca="1">IF(換券投組!$D$17&gt;0,IFERROR(AVERAGEIFS($D$7:$D$12,$G$7:$G$12,$B34,$H$7:$H$12,$C34),0),100%)</f>
        <v>1</v>
      </c>
      <c r="E34" s="1320">
        <f t="shared" ref="E34:E49" ca="1" si="13">IFERROR(COUNTIFS($H$7:$H$12,C34,$G$7:$G$12,B34),0)</f>
        <v>0</v>
      </c>
      <c r="F34" s="1329">
        <f t="shared" ca="1" si="8"/>
        <v>0</v>
      </c>
      <c r="G34" s="1329">
        <f t="shared" ca="1" si="9"/>
        <v>0</v>
      </c>
      <c r="H34" s="1442">
        <f t="shared" ca="1" si="10"/>
        <v>0</v>
      </c>
      <c r="I34" s="1438">
        <f t="shared" ca="1" si="11"/>
        <v>0</v>
      </c>
      <c r="J34" s="1329">
        <f ca="1">IF(AND($J$21&gt;=200000,$J$21&lt;250000),C34,0)</f>
        <v>0</v>
      </c>
      <c r="K34" s="1438">
        <f ca="1">IF(AND($K$20&lt;1000000,$K$20&gt;=250000),C34,0)</f>
        <v>0</v>
      </c>
      <c r="L34" s="1439">
        <f ca="1">IF($L$19&gt;=1000000,ROUNDDOWN($L$19,-5),0)</f>
        <v>0</v>
      </c>
      <c r="M34" s="1352">
        <f t="shared" ref="M34:M49" ca="1" si="14">IF(E34&gt;0,MAX(F34:L34),0)</f>
        <v>0</v>
      </c>
      <c r="N34" s="1330">
        <f t="shared" ca="1" si="12"/>
        <v>0</v>
      </c>
    </row>
    <row r="35" spans="1:14" ht="16">
      <c r="A35" s="2267"/>
      <c r="B35" s="1320">
        <v>1000</v>
      </c>
      <c r="C35" s="1320">
        <v>250000</v>
      </c>
      <c r="D35" s="1325">
        <f ca="1">IF(換券投組!$D$17&gt;0,IFERROR(AVERAGEIFS($D$7:$D$12,$G$7:$G$12,$B35,$H$7:$H$12,$C35),0),100%)</f>
        <v>1</v>
      </c>
      <c r="E35" s="1320">
        <f t="shared" ca="1" si="13"/>
        <v>0</v>
      </c>
      <c r="F35" s="1329">
        <f t="shared" ca="1" si="8"/>
        <v>0</v>
      </c>
      <c r="G35" s="1329">
        <f t="shared" ca="1" si="9"/>
        <v>0</v>
      </c>
      <c r="H35" s="1442">
        <f t="shared" ca="1" si="10"/>
        <v>0</v>
      </c>
      <c r="I35" s="1438">
        <f t="shared" ca="1" si="11"/>
        <v>0</v>
      </c>
      <c r="J35" s="1329">
        <f ca="1">IF(AND($J$21&gt;=200000,$J$21&lt;250000),C35,0)</f>
        <v>0</v>
      </c>
      <c r="K35" s="1351">
        <f ca="1">IF(AND($K$20&lt;1000000,$K$20&gt;=250000),ROUNDDOWN($K$20,-4),0)</f>
        <v>0</v>
      </c>
      <c r="L35" s="1439">
        <f ca="1">IF($L$19&gt;=1000000,ROUNDDOWN($L$19,-5),0)</f>
        <v>0</v>
      </c>
      <c r="M35" s="1352">
        <f t="shared" ca="1" si="14"/>
        <v>0</v>
      </c>
      <c r="N35" s="1330">
        <f t="shared" ca="1" si="12"/>
        <v>0</v>
      </c>
    </row>
    <row r="36" spans="1:14" s="1441" customFormat="1" ht="16">
      <c r="A36" s="2267"/>
      <c r="B36" s="1441">
        <v>200000</v>
      </c>
      <c r="C36" s="1441">
        <v>200000</v>
      </c>
      <c r="D36" s="1440">
        <f ca="1">IF(換券投組!$D$17&gt;0,IFERROR(AVERAGEIFS($D$7:$D$12,$G$7:$G$12,$B36,$H$7:$H$12,$C36),0),100%)</f>
        <v>1</v>
      </c>
      <c r="E36" s="1441">
        <f t="shared" ca="1" si="13"/>
        <v>0</v>
      </c>
      <c r="F36" s="1329">
        <f t="shared" ca="1" si="8"/>
        <v>0</v>
      </c>
      <c r="G36" s="1329">
        <f t="shared" ca="1" si="9"/>
        <v>0</v>
      </c>
      <c r="H36" s="1442">
        <f t="shared" ca="1" si="10"/>
        <v>0</v>
      </c>
      <c r="I36" s="1438">
        <f t="shared" ca="1" si="11"/>
        <v>0</v>
      </c>
      <c r="J36" s="1444">
        <f ca="1">IF(AND($J$21&gt;=200000,$J$21&lt;250000),ROUNDDOWN($J$21,-5)-MOD(ROUNDDOWN($J$21,-5),B36),0)</f>
        <v>0</v>
      </c>
      <c r="K36" s="1444">
        <f ca="1">IF(AND($K$20&lt;1000000,$K$20&gt;=250000),ROUNDDOWN($K$20,-5)-MOD(ROUNDDOWN($K$20,-5),B36),0)</f>
        <v>0</v>
      </c>
      <c r="L36" s="1445">
        <f ca="1">IF($L$19&gt;=1000000,ROUNDDOWN($L$19,-5)-MOD(ROUNDDOWN($L$19,-5),B36),0)</f>
        <v>0</v>
      </c>
      <c r="M36" s="1352">
        <f t="shared" ca="1" si="14"/>
        <v>0</v>
      </c>
      <c r="N36" s="1330">
        <f t="shared" ca="1" si="12"/>
        <v>0</v>
      </c>
    </row>
    <row r="37" spans="1:14" ht="16">
      <c r="A37" s="2267"/>
      <c r="B37">
        <v>10000</v>
      </c>
      <c r="C37">
        <v>200000</v>
      </c>
      <c r="D37" s="1325">
        <f ca="1">IF(換券投組!$D$17&gt;0,IFERROR(AVERAGEIFS($D$7:$D$12,$G$7:$G$12,$B37,$H$7:$H$12,$C37),0),100%)</f>
        <v>1</v>
      </c>
      <c r="E37" s="1320">
        <f t="shared" ca="1" si="13"/>
        <v>0</v>
      </c>
      <c r="F37" s="1329">
        <f t="shared" ca="1" si="8"/>
        <v>0</v>
      </c>
      <c r="G37" s="1329">
        <f t="shared" ca="1" si="9"/>
        <v>0</v>
      </c>
      <c r="H37" s="1442">
        <f t="shared" ca="1" si="10"/>
        <v>0</v>
      </c>
      <c r="I37" s="1438">
        <f t="shared" ca="1" si="11"/>
        <v>0</v>
      </c>
      <c r="J37" s="1351">
        <f ca="1">IF(AND($J$21&gt;=200000,$J$21&lt;250000),ROUNDDOWN($J$21,-4),0)</f>
        <v>0</v>
      </c>
      <c r="K37" s="1351">
        <f ca="1">IF(AND($K$20&lt;1000000,$K$20&gt;=250000),ROUNDDOWN($K$20,-4),0)</f>
        <v>0</v>
      </c>
      <c r="L37" s="1439">
        <f t="shared" ref="L37:L49" ca="1" si="15">IF($L$19&gt;=1000000,ROUNDDOWN($L$19,-5),0)</f>
        <v>0</v>
      </c>
      <c r="M37" s="1352">
        <f t="shared" ca="1" si="14"/>
        <v>0</v>
      </c>
      <c r="N37" s="1330">
        <f t="shared" ca="1" si="12"/>
        <v>0</v>
      </c>
    </row>
    <row r="38" spans="1:14" ht="16">
      <c r="A38" s="2267"/>
      <c r="B38">
        <v>2000</v>
      </c>
      <c r="C38">
        <v>200000</v>
      </c>
      <c r="D38" s="1325">
        <f ca="1">IF(換券投組!$D$17&gt;0,IFERROR(AVERAGEIFS($D$7:$D$12,$G$7:$G$12,$B38,$H$7:$H$12,$C38),0),100%)</f>
        <v>1</v>
      </c>
      <c r="E38" s="1320">
        <f t="shared" ca="1" si="13"/>
        <v>0</v>
      </c>
      <c r="F38" s="1329">
        <f t="shared" ca="1" si="8"/>
        <v>0</v>
      </c>
      <c r="G38" s="1329">
        <f t="shared" ca="1" si="9"/>
        <v>0</v>
      </c>
      <c r="H38" s="1442">
        <f t="shared" ca="1" si="10"/>
        <v>0</v>
      </c>
      <c r="I38" s="1438">
        <f t="shared" ca="1" si="11"/>
        <v>0</v>
      </c>
      <c r="J38" s="1351">
        <f t="shared" ref="J38:J49" ca="1" si="16">IF(AND($J$21&gt;=200000,$J$21&lt;250000),ROUNDDOWN($J$21,-4),0)</f>
        <v>0</v>
      </c>
      <c r="K38" s="1351">
        <f ca="1">IF(AND($K$20&lt;1000000,$K$20&gt;=250000),ROUNDDOWN($K$20,-4),0)</f>
        <v>0</v>
      </c>
      <c r="L38" s="1439">
        <f t="shared" ca="1" si="15"/>
        <v>0</v>
      </c>
      <c r="M38" s="1352">
        <f t="shared" ca="1" si="14"/>
        <v>0</v>
      </c>
      <c r="N38" s="1330">
        <f t="shared" ca="1" si="12"/>
        <v>0</v>
      </c>
    </row>
    <row r="39" spans="1:14" ht="16">
      <c r="A39" s="2267"/>
      <c r="B39" s="1320">
        <v>1000</v>
      </c>
      <c r="C39" s="1320">
        <v>200000</v>
      </c>
      <c r="D39" s="1325">
        <f ca="1">IF(換券投組!$D$17&gt;0,IFERROR(AVERAGEIFS($D$7:$D$12,$G$7:$G$12,$B39,$H$7:$H$12,$C39),0),100%)</f>
        <v>1</v>
      </c>
      <c r="E39" s="1320">
        <f t="shared" ca="1" si="13"/>
        <v>0</v>
      </c>
      <c r="F39" s="1329">
        <f t="shared" ca="1" si="8"/>
        <v>0</v>
      </c>
      <c r="G39" s="1329">
        <f t="shared" ca="1" si="9"/>
        <v>0</v>
      </c>
      <c r="H39" s="1442">
        <f t="shared" ca="1" si="10"/>
        <v>0</v>
      </c>
      <c r="I39" s="1438">
        <f t="shared" ca="1" si="11"/>
        <v>0</v>
      </c>
      <c r="J39" s="1351">
        <f t="shared" ca="1" si="16"/>
        <v>0</v>
      </c>
      <c r="K39" s="1351">
        <f ca="1">IF(AND($K$20&lt;1000000,$K$20&gt;=250000),ROUNDDOWN($K$20,-4),0)</f>
        <v>0</v>
      </c>
      <c r="L39" s="1439">
        <f t="shared" ca="1" si="15"/>
        <v>0</v>
      </c>
      <c r="M39" s="1352">
        <f t="shared" ca="1" si="14"/>
        <v>0</v>
      </c>
      <c r="N39" s="1330">
        <f t="shared" ca="1" si="12"/>
        <v>0</v>
      </c>
    </row>
    <row r="40" spans="1:14" ht="16">
      <c r="A40" s="2267"/>
      <c r="B40" s="1320">
        <v>2000</v>
      </c>
      <c r="C40" s="1320">
        <v>150000</v>
      </c>
      <c r="D40" s="1325">
        <f ca="1">IF(換券投組!$D$17&gt;0,IFERROR(AVERAGEIFS($D$7:$D$12,$G$7:$G$12,$B40,$H$7:$H$12,$C40),0),100%)</f>
        <v>1</v>
      </c>
      <c r="E40" s="1320">
        <f t="shared" ca="1" si="13"/>
        <v>0</v>
      </c>
      <c r="F40" s="1329">
        <f t="shared" ca="1" si="8"/>
        <v>0</v>
      </c>
      <c r="G40" s="1329">
        <f t="shared" ca="1" si="9"/>
        <v>0</v>
      </c>
      <c r="H40" s="1442">
        <f t="shared" ca="1" si="10"/>
        <v>0</v>
      </c>
      <c r="I40" s="1351">
        <f ca="1">IF(AND($I$22&gt;=150000,$I$22&lt;200000),ROUNDDOWN($I$22,-4),0)</f>
        <v>0</v>
      </c>
      <c r="J40" s="1351">
        <f t="shared" ca="1" si="16"/>
        <v>0</v>
      </c>
      <c r="K40" s="1351">
        <f ca="1">IF(AND($K$20&lt;1000000,$K$20&gt;=250000),ROUNDDOWN($K$20,-4),0)</f>
        <v>0</v>
      </c>
      <c r="L40" s="1439">
        <f t="shared" ca="1" si="15"/>
        <v>0</v>
      </c>
      <c r="M40" s="1352">
        <f t="shared" ca="1" si="14"/>
        <v>0</v>
      </c>
      <c r="N40" s="1330">
        <f t="shared" ref="N40:N49" ca="1" si="17">M40*D40*E40</f>
        <v>0</v>
      </c>
    </row>
    <row r="41" spans="1:14" ht="16">
      <c r="A41" s="2267"/>
      <c r="B41" s="1320">
        <v>1000</v>
      </c>
      <c r="C41" s="1320">
        <v>150000</v>
      </c>
      <c r="D41" s="1325">
        <f ca="1">IF(換券投組!$D$17&gt;0,IFERROR(AVERAGEIFS($D$7:$D$12,$G$7:$G$12,$B41,$H$7:$H$12,$C41),0),100%)</f>
        <v>1</v>
      </c>
      <c r="E41" s="1320">
        <f t="shared" ca="1" si="13"/>
        <v>0</v>
      </c>
      <c r="F41" s="1329">
        <f t="shared" ca="1" si="8"/>
        <v>0</v>
      </c>
      <c r="G41" s="1329">
        <f t="shared" ca="1" si="9"/>
        <v>0</v>
      </c>
      <c r="H41" s="1442">
        <f t="shared" ca="1" si="10"/>
        <v>0</v>
      </c>
      <c r="I41" s="1351">
        <f t="shared" ref="I41:I49" ca="1" si="18">IF(AND($I$22&gt;=150000,$I$22&lt;200000),ROUNDDOWN($I$22,-4),0)</f>
        <v>0</v>
      </c>
      <c r="J41" s="1351">
        <f t="shared" ca="1" si="16"/>
        <v>0</v>
      </c>
      <c r="K41" s="1351">
        <f ca="1">IF(AND($K$20&lt;1000000,$K$20&gt;=250000),ROUNDDOWN($K$20,-4),0)</f>
        <v>0</v>
      </c>
      <c r="L41" s="1439">
        <f t="shared" ca="1" si="15"/>
        <v>0</v>
      </c>
      <c r="M41" s="1352">
        <f t="shared" ca="1" si="14"/>
        <v>0</v>
      </c>
      <c r="N41" s="1330">
        <f t="shared" ca="1" si="17"/>
        <v>0</v>
      </c>
    </row>
    <row r="42" spans="1:14" s="1441" customFormat="1" ht="16">
      <c r="A42" s="2267"/>
      <c r="B42" s="1446">
        <v>100000</v>
      </c>
      <c r="C42" s="1446">
        <v>100000</v>
      </c>
      <c r="D42" s="1440">
        <f ca="1">IF(換券投組!$D$17&gt;0,IFERROR(AVERAGEIFS($D$7:$D$12,$G$7:$G$12,$B42,$H$7:$H$12,$C42),0),100%)</f>
        <v>1</v>
      </c>
      <c r="E42" s="1441">
        <f t="shared" ca="1" si="13"/>
        <v>0</v>
      </c>
      <c r="F42" s="1329">
        <f t="shared" ca="1" si="8"/>
        <v>0</v>
      </c>
      <c r="G42" s="1329">
        <f t="shared" ca="1" si="9"/>
        <v>0</v>
      </c>
      <c r="H42" s="1444">
        <f ca="1">IF(AND($H$23&gt;=100000,$H$23&lt;150000),ROUNDDOWN($H$23,-5),0)</f>
        <v>0</v>
      </c>
      <c r="I42" s="1437">
        <f ca="1">IF(AND($I$22&gt;=150000,$I$22&lt;200000),ROUNDDOWN($I$22,-5),0)</f>
        <v>0</v>
      </c>
      <c r="J42" s="1444">
        <f ca="1">IF(AND($J$21&gt;=200000,$J$21&lt;250000),ROUNDDOWN($J$21,-5),0)</f>
        <v>0</v>
      </c>
      <c r="K42" s="1444">
        <f ca="1">IF(AND($K$20&lt;1000000,$K$20&gt;=250000),ROUNDDOWN($K$20,-5),0)</f>
        <v>0</v>
      </c>
      <c r="L42" s="1445">
        <f t="shared" ca="1" si="15"/>
        <v>0</v>
      </c>
      <c r="M42" s="1352">
        <f t="shared" ca="1" si="14"/>
        <v>0</v>
      </c>
      <c r="N42" s="1330">
        <f t="shared" ca="1" si="17"/>
        <v>0</v>
      </c>
    </row>
    <row r="43" spans="1:14" s="1441" customFormat="1" ht="16">
      <c r="A43" s="2267"/>
      <c r="B43" s="1446">
        <v>50000</v>
      </c>
      <c r="C43" s="1446">
        <v>100000</v>
      </c>
      <c r="D43" s="1440">
        <f ca="1">IF(換券投組!$D$17&gt;0,IFERROR(AVERAGEIFS($D$7:$D$12,$G$7:$G$12,$B43,$H$7:$H$12,$C43),0),100%)</f>
        <v>1</v>
      </c>
      <c r="E43" s="1441">
        <f t="shared" ca="1" si="13"/>
        <v>0</v>
      </c>
      <c r="F43" s="1329">
        <f t="shared" ca="1" si="8"/>
        <v>0</v>
      </c>
      <c r="G43" s="1329">
        <f t="shared" ca="1" si="9"/>
        <v>0</v>
      </c>
      <c r="H43" s="1444">
        <f ca="1">IF(AND($H$23&gt;=100000,$H$23&lt;150000),ROUNDDOWN($H$23,-4)-MOD(ROUNDDOWN($H$23,-4),B43),0)</f>
        <v>0</v>
      </c>
      <c r="I43" s="1437">
        <f ca="1">IF(AND($I$22&gt;=150000,$I$22&lt;200000),ROUNDDOWN($I$22,-4)-MOD(ROUNDDOWN($I$22,-4),B43),0)</f>
        <v>0</v>
      </c>
      <c r="J43" s="1444">
        <f ca="1">IF(AND($J$21&gt;=200000,$J$21&lt;250000),ROUNDDOWN($J$21,-4)-MOD(ROUNDDOWN($J$21,-4),B43),0)</f>
        <v>0</v>
      </c>
      <c r="K43" s="1444">
        <f ca="1">IF(AND($K$20&lt;1000000,$K$20&gt;=250000),ROUNDDOWN($K$20,-4)-MOD(ROUNDDOWN($K$20,-4),B43),0)</f>
        <v>0</v>
      </c>
      <c r="L43" s="1445">
        <f t="shared" ca="1" si="15"/>
        <v>0</v>
      </c>
      <c r="M43" s="1352">
        <f t="shared" ca="1" si="14"/>
        <v>0</v>
      </c>
      <c r="N43" s="1330">
        <f t="shared" ca="1" si="17"/>
        <v>0</v>
      </c>
    </row>
    <row r="44" spans="1:14" ht="16">
      <c r="A44" s="2267"/>
      <c r="B44" s="1320">
        <v>1000</v>
      </c>
      <c r="C44" s="1320">
        <v>100000</v>
      </c>
      <c r="D44" s="1325">
        <f ca="1">IF(換券投組!$D$17&gt;0,IFERROR(AVERAGEIFS($D$7:$D$12,$G$7:$G$12,$B44,$H$7:$H$12,$C44),0),100%)</f>
        <v>1</v>
      </c>
      <c r="E44" s="1320">
        <f t="shared" ca="1" si="13"/>
        <v>0</v>
      </c>
      <c r="F44" s="1329">
        <f ca="1">IF(AND($F$25&gt;0,$F$25&lt;10000),C44,0)</f>
        <v>0</v>
      </c>
      <c r="G44" s="1329">
        <f t="shared" ca="1" si="9"/>
        <v>0</v>
      </c>
      <c r="H44" s="1443">
        <f t="shared" ref="H44:H49" ca="1" si="19">IF(AND($H$23&gt;=100000,$H$23&lt;150000),ROUNDDOWN($H$23,-4),0)</f>
        <v>0</v>
      </c>
      <c r="I44" s="1351">
        <f t="shared" ca="1" si="18"/>
        <v>0</v>
      </c>
      <c r="J44" s="1351">
        <f t="shared" ca="1" si="16"/>
        <v>0</v>
      </c>
      <c r="K44" s="1351">
        <f t="shared" ref="K44:K49" ca="1" si="20">IF(AND($K$20&lt;1000000,$K$20&gt;=250000),ROUNDDOWN($K$20,-4),0)</f>
        <v>0</v>
      </c>
      <c r="L44" s="1439">
        <f t="shared" ca="1" si="15"/>
        <v>0</v>
      </c>
      <c r="M44" s="1352">
        <f t="shared" ca="1" si="14"/>
        <v>0</v>
      </c>
      <c r="N44" s="1330">
        <f t="shared" ca="1" si="17"/>
        <v>0</v>
      </c>
    </row>
    <row r="45" spans="1:14" ht="16">
      <c r="A45" s="2267"/>
      <c r="B45" s="1320">
        <v>10000</v>
      </c>
      <c r="C45" s="1320">
        <v>10000</v>
      </c>
      <c r="D45" s="1325">
        <f ca="1">IF(換券投組!$D$17&gt;0,IFERROR(AVERAGEIFS($D$7:$D$12,$G$7:$G$12,$B45,$H$7:$H$12,$C45),0),100%)</f>
        <v>1</v>
      </c>
      <c r="E45" s="1320">
        <f t="shared" ca="1" si="13"/>
        <v>0</v>
      </c>
      <c r="F45" s="1329">
        <f ca="1">IF(AND($F$25&gt;0,$F$25&lt;10000),C45,0)</f>
        <v>0</v>
      </c>
      <c r="G45" s="1351">
        <f ca="1">IF(AND($G$24&gt;=10000,$G$24&lt;100000),ROUNDDOWN($G$24,-4),0)</f>
        <v>0</v>
      </c>
      <c r="H45" s="1443">
        <f t="shared" ca="1" si="19"/>
        <v>0</v>
      </c>
      <c r="I45" s="1351">
        <f t="shared" ca="1" si="18"/>
        <v>0</v>
      </c>
      <c r="J45" s="1351">
        <f t="shared" ca="1" si="16"/>
        <v>0</v>
      </c>
      <c r="K45" s="1351">
        <f t="shared" ca="1" si="20"/>
        <v>0</v>
      </c>
      <c r="L45" s="1439">
        <f t="shared" ca="1" si="15"/>
        <v>0</v>
      </c>
      <c r="M45" s="1352">
        <f t="shared" ca="1" si="14"/>
        <v>0</v>
      </c>
      <c r="N45" s="1330">
        <f t="shared" ca="1" si="17"/>
        <v>0</v>
      </c>
    </row>
    <row r="46" spans="1:14" ht="16">
      <c r="A46" s="2267"/>
      <c r="B46" s="1320">
        <v>5000</v>
      </c>
      <c r="C46" s="1320">
        <v>10000</v>
      </c>
      <c r="D46" s="1325">
        <f ca="1">IF(換券投組!$D$17&gt;0,IFERROR(AVERAGEIFS($D$7:$D$12,$G$7:$G$12,$B46,$H$7:$H$12,$C46),0),100%)</f>
        <v>1</v>
      </c>
      <c r="E46" s="1320">
        <f t="shared" ca="1" si="13"/>
        <v>0</v>
      </c>
      <c r="F46" s="1329">
        <f ca="1">IF(AND($F$25&gt;0,$F$25&lt;10000),C46,0)</f>
        <v>0</v>
      </c>
      <c r="G46" s="1351">
        <f ca="1">IF(AND($G$24&gt;=10000,$G$24&lt;100000),ROUNDDOWN($G$24,-4),0)</f>
        <v>0</v>
      </c>
      <c r="H46" s="1443">
        <f t="shared" ca="1" si="19"/>
        <v>0</v>
      </c>
      <c r="I46" s="1351">
        <f ca="1">IF(AND($I$22&gt;=150000,$I$22&lt;200000),ROUNDDOWN($I$22,-4),0)</f>
        <v>0</v>
      </c>
      <c r="J46" s="1351">
        <f ca="1">IF(AND($J$21&gt;=200000,$J$21&lt;250000),ROUNDDOWN($J$21,-4),0)</f>
        <v>0</v>
      </c>
      <c r="K46" s="1351">
        <f t="shared" ca="1" si="20"/>
        <v>0</v>
      </c>
      <c r="L46" s="1439">
        <f t="shared" ca="1" si="15"/>
        <v>0</v>
      </c>
      <c r="M46" s="1352">
        <f t="shared" ca="1" si="14"/>
        <v>0</v>
      </c>
      <c r="N46" s="1330">
        <f t="shared" ca="1" si="17"/>
        <v>0</v>
      </c>
    </row>
    <row r="47" spans="1:14" ht="16">
      <c r="A47" s="2267"/>
      <c r="B47" s="1320">
        <v>1000</v>
      </c>
      <c r="C47" s="1320">
        <v>10000</v>
      </c>
      <c r="D47" s="1325">
        <f ca="1">IF(換券投組!$D$17&gt;0,IFERROR(AVERAGEIFS($D$7:$D$12,$G$7:$G$12,$B47,$H$7:$H$12,$C47),0),100%)</f>
        <v>1</v>
      </c>
      <c r="E47" s="1320">
        <f t="shared" ca="1" si="13"/>
        <v>0</v>
      </c>
      <c r="F47" s="1329">
        <f ca="1">IF(AND($F$25&gt;0,$F$25&lt;10000),C47,0)</f>
        <v>0</v>
      </c>
      <c r="G47" s="1351">
        <f ca="1">IF(AND($G$24&gt;=10000,$G$24&lt;100000),ROUNDDOWN($G$24,-4),0)</f>
        <v>0</v>
      </c>
      <c r="H47" s="1443">
        <f t="shared" ca="1" si="19"/>
        <v>0</v>
      </c>
      <c r="I47" s="1351">
        <f t="shared" ca="1" si="18"/>
        <v>0</v>
      </c>
      <c r="J47" s="1351">
        <f t="shared" ca="1" si="16"/>
        <v>0</v>
      </c>
      <c r="K47" s="1351">
        <f t="shared" ca="1" si="20"/>
        <v>0</v>
      </c>
      <c r="L47" s="1439">
        <f t="shared" ca="1" si="15"/>
        <v>0</v>
      </c>
      <c r="M47" s="1352">
        <f t="shared" ca="1" si="14"/>
        <v>0</v>
      </c>
      <c r="N47" s="1330">
        <f t="shared" ca="1" si="17"/>
        <v>0</v>
      </c>
    </row>
    <row r="48" spans="1:14" ht="16">
      <c r="A48" s="2267"/>
      <c r="B48">
        <v>100</v>
      </c>
      <c r="C48">
        <v>10000</v>
      </c>
      <c r="D48" s="1325">
        <f ca="1">IF(換券投組!$D$17&gt;0,IFERROR(AVERAGEIFS($D$7:$D$12,$G$7:$G$12,$B48,$H$7:$H$12,$C48),0),100%)</f>
        <v>1</v>
      </c>
      <c r="E48" s="1320">
        <f t="shared" ca="1" si="13"/>
        <v>0</v>
      </c>
      <c r="F48" s="1329">
        <f ca="1">IF(AND($F$25&gt;0,$F$25&lt;10000),C48,0)</f>
        <v>0</v>
      </c>
      <c r="G48" s="1351">
        <f ca="1">IF(AND($G$24&gt;=10000,$G$24&lt;100000),ROUNDDOWN($G$24,-4),0)</f>
        <v>0</v>
      </c>
      <c r="H48" s="1443">
        <f t="shared" ca="1" si="19"/>
        <v>0</v>
      </c>
      <c r="I48" s="1351">
        <f t="shared" ca="1" si="18"/>
        <v>0</v>
      </c>
      <c r="J48" s="1351">
        <f t="shared" ca="1" si="16"/>
        <v>0</v>
      </c>
      <c r="K48" s="1351">
        <f t="shared" ca="1" si="20"/>
        <v>0</v>
      </c>
      <c r="L48" s="1439">
        <f t="shared" ca="1" si="15"/>
        <v>0</v>
      </c>
      <c r="M48" s="1352">
        <f t="shared" ca="1" si="14"/>
        <v>0</v>
      </c>
      <c r="N48" s="1330">
        <f t="shared" ca="1" si="17"/>
        <v>0</v>
      </c>
    </row>
    <row r="49" spans="1:24" ht="16">
      <c r="A49" s="2267"/>
      <c r="B49" s="1320">
        <v>1000</v>
      </c>
      <c r="C49" s="1320">
        <v>2000</v>
      </c>
      <c r="D49" s="1325">
        <f ca="1">IF(換券投組!$D$17&gt;0,IFERROR(AVERAGEIFS($D$7:$D$12,$G$7:$G$12,$B49,$H$7:$H$12,$C49),0),100%)</f>
        <v>1</v>
      </c>
      <c r="E49" s="1320">
        <f t="shared" ca="1" si="13"/>
        <v>0</v>
      </c>
      <c r="F49" s="1351">
        <f ca="1">IF(AND($F$25&gt;=C49,$F$25&lt;10000),ROUND(F25,-3),0)</f>
        <v>0</v>
      </c>
      <c r="G49" s="1351">
        <f ca="1">IF(AND($G$24&gt;=10000,$G$24&lt;100000),ROUNDDOWN($G$24,-4),0)</f>
        <v>0</v>
      </c>
      <c r="H49" s="1443">
        <f t="shared" ca="1" si="19"/>
        <v>0</v>
      </c>
      <c r="I49" s="1351">
        <f t="shared" ca="1" si="18"/>
        <v>0</v>
      </c>
      <c r="J49" s="1351">
        <f t="shared" ca="1" si="16"/>
        <v>0</v>
      </c>
      <c r="K49" s="1351">
        <f t="shared" ca="1" si="20"/>
        <v>0</v>
      </c>
      <c r="L49" s="1439">
        <f t="shared" ca="1" si="15"/>
        <v>0</v>
      </c>
      <c r="M49" s="1352">
        <f t="shared" ca="1" si="14"/>
        <v>0</v>
      </c>
      <c r="N49" s="1330">
        <f t="shared" ca="1" si="17"/>
        <v>0</v>
      </c>
    </row>
    <row r="50" spans="1:24" ht="16" thickBot="1">
      <c r="A50" s="1353"/>
      <c r="B50" s="1335" t="s">
        <v>4235</v>
      </c>
      <c r="C50" s="1335"/>
      <c r="D50" s="1335"/>
      <c r="E50" s="1335">
        <f ca="1">SUM(E35:E49)</f>
        <v>0</v>
      </c>
      <c r="F50" s="1335"/>
      <c r="G50" s="1335"/>
      <c r="H50" s="1335"/>
      <c r="I50" s="1335"/>
      <c r="J50" s="1335"/>
      <c r="K50" s="1335"/>
      <c r="L50" s="1435"/>
      <c r="M50" s="1447"/>
      <c r="N50" s="1336">
        <f ca="1">SUM(N33:N49)</f>
        <v>0</v>
      </c>
    </row>
    <row r="51" spans="1:24">
      <c r="E51" s="1434"/>
      <c r="M51" s="1340"/>
      <c r="N51" s="1328"/>
    </row>
    <row r="54" spans="1:24">
      <c r="F54" s="1359" t="s">
        <v>4236</v>
      </c>
      <c r="G54" s="1360"/>
      <c r="H54" s="1360"/>
      <c r="I54" s="1360"/>
      <c r="J54" s="1361"/>
    </row>
    <row r="55" spans="1:24" ht="31">
      <c r="A55" s="1358" t="s">
        <v>4237</v>
      </c>
      <c r="B55" s="1476">
        <f ca="1">B1-N50</f>
        <v>0</v>
      </c>
      <c r="F55" s="1355">
        <f ca="1">SUMIF($B$58:$B$74,F$57,$E$58:$E$74)</f>
        <v>0</v>
      </c>
      <c r="G55" s="1356">
        <f ca="1">SUMIF($B$58:$B$74,G$57,$E$58:$E$74)</f>
        <v>0</v>
      </c>
      <c r="H55" s="1356">
        <f ca="1">SUMIF($B$58:$B$74,H$57,$E$58:$E$74)</f>
        <v>0</v>
      </c>
      <c r="I55" s="1356">
        <f ca="1">SUMIF($B$58:$B$74,I$57,$E$58:$E$74)</f>
        <v>0</v>
      </c>
      <c r="J55" s="1357">
        <f ca="1">SUMIF($B$58:$B$74,J$57,$E$58:$E$74)</f>
        <v>0</v>
      </c>
      <c r="P55" s="1358" t="s">
        <v>4237</v>
      </c>
      <c r="Q55" s="1343">
        <f ca="1">B55-Q75</f>
        <v>0</v>
      </c>
      <c r="V55" s="1358" t="s">
        <v>4237</v>
      </c>
      <c r="W55" s="1343">
        <f ca="1">Q55-W75</f>
        <v>0</v>
      </c>
    </row>
    <row r="56" spans="1:24" ht="16" thickBot="1">
      <c r="F56" s="1364" t="s">
        <v>4238</v>
      </c>
      <c r="J56" s="1367"/>
      <c r="K56" s="1320" t="s">
        <v>4239</v>
      </c>
      <c r="Q56" s="1343"/>
      <c r="R56" s="1320" t="s">
        <v>4239</v>
      </c>
    </row>
    <row r="57" spans="1:24">
      <c r="A57" s="2268" t="s">
        <v>4240</v>
      </c>
      <c r="B57" s="1338" t="s">
        <v>4210</v>
      </c>
      <c r="C57" s="1338" t="s">
        <v>4211</v>
      </c>
      <c r="D57" s="1338" t="s">
        <v>4223</v>
      </c>
      <c r="E57" s="1338" t="s">
        <v>4224</v>
      </c>
      <c r="F57" s="1454">
        <v>10000</v>
      </c>
      <c r="G57" s="1449">
        <v>5000</v>
      </c>
      <c r="H57" s="1449">
        <v>2000</v>
      </c>
      <c r="I57" s="1449">
        <v>1000</v>
      </c>
      <c r="J57" s="1455">
        <v>100</v>
      </c>
      <c r="K57" s="1338">
        <v>10000</v>
      </c>
      <c r="L57" s="1338">
        <v>5000</v>
      </c>
      <c r="M57" s="1338">
        <v>2000</v>
      </c>
      <c r="N57" s="1338">
        <v>1000</v>
      </c>
      <c r="O57" s="1338">
        <v>100</v>
      </c>
      <c r="P57" s="1451" t="s">
        <v>4241</v>
      </c>
      <c r="Q57" s="1375" t="s">
        <v>4242</v>
      </c>
      <c r="R57" s="1338">
        <v>5000</v>
      </c>
      <c r="S57" s="1338">
        <v>2000</v>
      </c>
      <c r="T57" s="1338">
        <v>1000</v>
      </c>
      <c r="U57" s="1338">
        <v>100</v>
      </c>
      <c r="V57" s="1363" t="s">
        <v>4243</v>
      </c>
      <c r="W57" s="1338" t="s">
        <v>4242</v>
      </c>
      <c r="X57" s="1467" t="s">
        <v>4244</v>
      </c>
    </row>
    <row r="58" spans="1:24">
      <c r="A58" s="2266"/>
      <c r="B58" s="1399">
        <v>1000000</v>
      </c>
      <c r="C58" s="1400">
        <v>1000000</v>
      </c>
      <c r="D58" s="1448">
        <f ca="1">D33</f>
        <v>1</v>
      </c>
      <c r="E58" s="1360">
        <f ca="1">E33</f>
        <v>0</v>
      </c>
      <c r="F58" s="1456"/>
      <c r="G58" s="1431"/>
      <c r="H58" s="1431"/>
      <c r="I58" s="1431"/>
      <c r="J58" s="1378"/>
      <c r="K58" s="1379"/>
      <c r="L58" s="1360"/>
      <c r="M58" s="1360"/>
      <c r="N58" s="1360"/>
      <c r="O58" s="1361"/>
      <c r="P58" s="1452"/>
      <c r="Q58" s="1462"/>
      <c r="R58" s="1359"/>
      <c r="S58" s="1360"/>
      <c r="T58" s="1360"/>
      <c r="U58" s="1361"/>
      <c r="V58" s="1398"/>
      <c r="W58" s="1464"/>
      <c r="X58" s="1468"/>
    </row>
    <row r="59" spans="1:24">
      <c r="A59" s="2266"/>
      <c r="B59" s="1266">
        <v>10000</v>
      </c>
      <c r="C59">
        <v>1000000</v>
      </c>
      <c r="D59" s="1325">
        <f t="shared" ref="D59:E74" ca="1" si="21">D34</f>
        <v>1</v>
      </c>
      <c r="E59" s="1320">
        <f t="shared" ca="1" si="21"/>
        <v>0</v>
      </c>
      <c r="F59" s="1457">
        <f t="shared" ref="F59:H73" ca="1" si="22">IF(F$55=0,0,IF(AND($C59&lt;=$E$28,$B59&lt;=F$57),$D59*$E59*F$57,0))</f>
        <v>0</v>
      </c>
      <c r="G59" s="1365">
        <f t="shared" ca="1" si="22"/>
        <v>0</v>
      </c>
      <c r="H59" s="1365">
        <f t="shared" ca="1" si="22"/>
        <v>0</v>
      </c>
      <c r="I59" s="1365">
        <f t="shared" ref="I59:J74" ca="1" si="23">IF(I$55=0,0,IF(AND($C59&lt;=$E$28,$B59&lt;=I$57),$D59*$E59*I$57,0))</f>
        <v>0</v>
      </c>
      <c r="J59" s="1331">
        <f t="shared" ca="1" si="23"/>
        <v>0</v>
      </c>
      <c r="K59" s="1376">
        <f ca="1">IF(F59&gt;0,INT(K$57/$B59)*F$76,0)</f>
        <v>0</v>
      </c>
      <c r="L59" s="1320">
        <f ca="1">IF(AND(G59&gt;0,F$76=0),INT(L$57/$B59)*G$76,0)</f>
        <v>0</v>
      </c>
      <c r="M59" s="1320">
        <f ca="1">IF(AND(H59&gt;0,SUM(F$76:G$76)=0),INT(M$57/$B59)*H$76,0)</f>
        <v>0</v>
      </c>
      <c r="N59" s="1320">
        <f ca="1">IF(AND(I59&gt;0,SUM(F$76:H$76)=0),INT(N$57/$B59)*I$76,0)</f>
        <v>0</v>
      </c>
      <c r="O59" s="1367">
        <f ca="1">IF(AND(J59&gt;0,SUM(F$76:I$76)=0),INT(O$57/$B59)*J$76,0)</f>
        <v>0</v>
      </c>
      <c r="P59" s="1364">
        <f ca="1">SUM(K59:O59)</f>
        <v>0</v>
      </c>
      <c r="Q59" s="1327">
        <f t="shared" ref="Q59:Q64" ca="1" si="24">D59*E59*B59*P59</f>
        <v>0</v>
      </c>
      <c r="R59" s="1364">
        <f ca="1">IF(AND(G59&gt;0,G$77&gt;0),INT(R$57/$B59)*G$77,0)</f>
        <v>0</v>
      </c>
      <c r="S59" s="1320">
        <f ca="1">IF(AND(H59&gt;0,H$77&gt;0,R59=0),INT(S$57/$B59)*H$77,0)</f>
        <v>0</v>
      </c>
      <c r="T59" s="1320">
        <f ca="1">IF(AND(I59&gt;0,I$77&gt;0,SUM(R59:S59)=0),INT(T$57/$B59)*I$77,0)</f>
        <v>0</v>
      </c>
      <c r="U59" s="1367">
        <f ca="1">IF(AND(J59&gt;0,J$77&gt;0,SUM(R59:T59)=0),INT(U$57/$B59)*J$77,0)</f>
        <v>0</v>
      </c>
      <c r="V59" s="1366">
        <f ca="1">SUM(R59:U59)</f>
        <v>0</v>
      </c>
      <c r="W59" s="1465">
        <f ca="1">D59*E59*B59*V59</f>
        <v>0</v>
      </c>
      <c r="X59" s="1377">
        <f ca="1">P59+V59</f>
        <v>0</v>
      </c>
    </row>
    <row r="60" spans="1:24">
      <c r="A60" s="2267"/>
      <c r="B60" s="1266">
        <v>1000</v>
      </c>
      <c r="C60">
        <v>250000</v>
      </c>
      <c r="D60" s="1325">
        <f t="shared" ca="1" si="21"/>
        <v>1</v>
      </c>
      <c r="E60" s="1320">
        <f t="shared" ca="1" si="21"/>
        <v>0</v>
      </c>
      <c r="F60" s="1457">
        <f t="shared" ca="1" si="22"/>
        <v>0</v>
      </c>
      <c r="G60" s="1365">
        <f t="shared" ca="1" si="22"/>
        <v>0</v>
      </c>
      <c r="H60" s="1365">
        <f t="shared" ca="1" si="22"/>
        <v>0</v>
      </c>
      <c r="I60" s="1365">
        <f t="shared" ca="1" si="23"/>
        <v>0</v>
      </c>
      <c r="J60" s="1331">
        <f t="shared" ca="1" si="23"/>
        <v>0</v>
      </c>
      <c r="K60" s="1376">
        <f t="shared" ref="K60:K72" ca="1" si="25">IF(F60&gt;0,INT(K$57/$B60)*F$76,0)</f>
        <v>0</v>
      </c>
      <c r="L60" s="1320">
        <f t="shared" ref="L60:L74" ca="1" si="26">IF(AND(G60&gt;0,F$76=0),INT(L$57/$B60)*G$76,0)</f>
        <v>0</v>
      </c>
      <c r="M60" s="1320">
        <f t="shared" ref="M60:M74" ca="1" si="27">IF(AND(H60&gt;0,SUM(F$76:G$76)=0),INT(M$57/$B60)*H$76,0)</f>
        <v>0</v>
      </c>
      <c r="N60" s="1320">
        <f t="shared" ref="N60:N74" ca="1" si="28">IF(AND(I60&gt;0,SUM(F$76:H$76)=0),INT(N$57/$B60)*I$76,0)</f>
        <v>0</v>
      </c>
      <c r="O60" s="1367">
        <f t="shared" ref="O60:O74" ca="1" si="29">IF(AND(J60&gt;0,SUM(F$76:I$76)=0),INT(O$57/$B60)*J$76,0)</f>
        <v>0</v>
      </c>
      <c r="P60" s="1364">
        <f ca="1">SUM(K60:O60)</f>
        <v>0</v>
      </c>
      <c r="Q60" s="1327">
        <f t="shared" ca="1" si="24"/>
        <v>0</v>
      </c>
      <c r="R60" s="1364">
        <f ca="1">IF(AND(G60&gt;0,G$77&gt;0),INT(R$57/$B60)*G$77,0)</f>
        <v>0</v>
      </c>
      <c r="S60" s="1320">
        <f ca="1">IF(AND(H60&gt;0,H$77&gt;0,R60=0),INT(S$57/$B60)*H$77,0)</f>
        <v>0</v>
      </c>
      <c r="T60" s="1320">
        <f t="shared" ref="T60:T73" ca="1" si="30">IF(AND(I60&gt;0,I$77&gt;0,SUM(R60:S60)=0),INT(T$57/$B60)*I$77,0)</f>
        <v>0</v>
      </c>
      <c r="U60" s="1367">
        <f t="shared" ref="U60:U73" ca="1" si="31">IF(AND(J60&gt;0,J$77&gt;0,SUM(R60:T60)=0),INT(U$57/$B60)*J$77,0)</f>
        <v>0</v>
      </c>
      <c r="V60" s="1366">
        <f ca="1">SUM(R60:U60)</f>
        <v>0</v>
      </c>
      <c r="W60" s="1465">
        <f ca="1">D60*E60*B60*V60</f>
        <v>0</v>
      </c>
      <c r="X60" s="1377">
        <f t="shared" ref="X60:X74" ca="1" si="32">P60+V60</f>
        <v>0</v>
      </c>
    </row>
    <row r="61" spans="1:24">
      <c r="A61" s="2267"/>
      <c r="B61" s="1266">
        <v>200000</v>
      </c>
      <c r="C61">
        <v>200000</v>
      </c>
      <c r="D61" s="1325">
        <f t="shared" ca="1" si="21"/>
        <v>1</v>
      </c>
      <c r="E61" s="1320">
        <f t="shared" ca="1" si="21"/>
        <v>0</v>
      </c>
      <c r="F61" s="1457">
        <f t="shared" ca="1" si="22"/>
        <v>0</v>
      </c>
      <c r="G61" s="1365">
        <f t="shared" ca="1" si="22"/>
        <v>0</v>
      </c>
      <c r="H61" s="1365">
        <f ca="1">IF(H$55=0,0,IF(AND($C61&lt;=$E$28,$B61&lt;=H$57),$D61*$E61*H$57,0))</f>
        <v>0</v>
      </c>
      <c r="I61" s="1365">
        <f t="shared" ca="1" si="23"/>
        <v>0</v>
      </c>
      <c r="J61" s="1331">
        <f t="shared" ca="1" si="23"/>
        <v>0</v>
      </c>
      <c r="K61" s="1376">
        <f t="shared" ca="1" si="25"/>
        <v>0</v>
      </c>
      <c r="L61" s="1320">
        <f t="shared" ca="1" si="26"/>
        <v>0</v>
      </c>
      <c r="M61" s="1320">
        <f t="shared" ca="1" si="27"/>
        <v>0</v>
      </c>
      <c r="N61" s="1320">
        <f t="shared" ca="1" si="28"/>
        <v>0</v>
      </c>
      <c r="O61" s="1367">
        <f t="shared" ca="1" si="29"/>
        <v>0</v>
      </c>
      <c r="P61" s="1364">
        <f t="shared" ref="P61:P74" ca="1" si="33">SUM(K61:O61)</f>
        <v>0</v>
      </c>
      <c r="Q61" s="1327">
        <f t="shared" ca="1" si="24"/>
        <v>0</v>
      </c>
      <c r="R61" s="1364">
        <f t="shared" ref="R61:R74" ca="1" si="34">IF(AND(G61&gt;0,G$77&gt;0),INT(R$57/$B61)*G$77,0)</f>
        <v>0</v>
      </c>
      <c r="S61" s="1320">
        <f t="shared" ref="S61:S74" ca="1" si="35">IF(AND(H61&gt;0,H$77&gt;0,R61=0),INT(S$57/$B61)*H$77,0)</f>
        <v>0</v>
      </c>
      <c r="T61" s="1320">
        <f t="shared" ca="1" si="30"/>
        <v>0</v>
      </c>
      <c r="U61" s="1367">
        <f t="shared" ca="1" si="31"/>
        <v>0</v>
      </c>
      <c r="V61" s="1366">
        <f t="shared" ref="V61:V74" ca="1" si="36">SUM(R61:U61)</f>
        <v>0</v>
      </c>
      <c r="W61" s="1465">
        <f t="shared" ref="W61:W74" ca="1" si="37">D61*E61*B61*V61</f>
        <v>0</v>
      </c>
      <c r="X61" s="1377">
        <f t="shared" ca="1" si="32"/>
        <v>0</v>
      </c>
    </row>
    <row r="62" spans="1:24">
      <c r="A62" s="2267"/>
      <c r="B62" s="1266">
        <v>10000</v>
      </c>
      <c r="C62">
        <v>200000</v>
      </c>
      <c r="D62" s="1325">
        <f t="shared" ca="1" si="21"/>
        <v>1</v>
      </c>
      <c r="E62" s="1320">
        <f t="shared" ca="1" si="21"/>
        <v>0</v>
      </c>
      <c r="F62" s="1457">
        <f t="shared" ca="1" si="22"/>
        <v>0</v>
      </c>
      <c r="G62" s="1365">
        <f t="shared" ca="1" si="22"/>
        <v>0</v>
      </c>
      <c r="H62" s="1365">
        <f t="shared" ca="1" si="22"/>
        <v>0</v>
      </c>
      <c r="I62" s="1365">
        <f t="shared" ca="1" si="23"/>
        <v>0</v>
      </c>
      <c r="J62" s="1331">
        <f t="shared" ca="1" si="23"/>
        <v>0</v>
      </c>
      <c r="K62" s="1376">
        <f t="shared" ca="1" si="25"/>
        <v>0</v>
      </c>
      <c r="L62" s="1320">
        <f t="shared" ca="1" si="26"/>
        <v>0</v>
      </c>
      <c r="M62" s="1320">
        <f t="shared" ca="1" si="27"/>
        <v>0</v>
      </c>
      <c r="N62" s="1320">
        <f t="shared" ca="1" si="28"/>
        <v>0</v>
      </c>
      <c r="O62" s="1367">
        <f t="shared" ca="1" si="29"/>
        <v>0</v>
      </c>
      <c r="P62" s="1364">
        <f t="shared" ca="1" si="33"/>
        <v>0</v>
      </c>
      <c r="Q62" s="1327">
        <f t="shared" ca="1" si="24"/>
        <v>0</v>
      </c>
      <c r="R62" s="1364">
        <f t="shared" ca="1" si="34"/>
        <v>0</v>
      </c>
      <c r="S62" s="1320">
        <f t="shared" ca="1" si="35"/>
        <v>0</v>
      </c>
      <c r="T62" s="1320">
        <f t="shared" ca="1" si="30"/>
        <v>0</v>
      </c>
      <c r="U62" s="1367">
        <f t="shared" ca="1" si="31"/>
        <v>0</v>
      </c>
      <c r="V62" s="1366">
        <f t="shared" ca="1" si="36"/>
        <v>0</v>
      </c>
      <c r="W62" s="1465">
        <f t="shared" ca="1" si="37"/>
        <v>0</v>
      </c>
      <c r="X62" s="1377">
        <f t="shared" ca="1" si="32"/>
        <v>0</v>
      </c>
    </row>
    <row r="63" spans="1:24">
      <c r="A63" s="2267"/>
      <c r="B63" s="1266">
        <v>2000</v>
      </c>
      <c r="C63">
        <v>200000</v>
      </c>
      <c r="D63" s="1325">
        <f t="shared" ca="1" si="21"/>
        <v>1</v>
      </c>
      <c r="E63" s="1320">
        <f t="shared" ca="1" si="21"/>
        <v>0</v>
      </c>
      <c r="F63" s="1457">
        <f t="shared" ca="1" si="22"/>
        <v>0</v>
      </c>
      <c r="G63" s="1368">
        <f ca="1">IF(G$55=0,0,IF(AND($C63&lt;=$E$28,$B63&lt;=G$57),$D63*$E63*4000,0))</f>
        <v>0</v>
      </c>
      <c r="H63" s="1365">
        <f t="shared" ca="1" si="22"/>
        <v>0</v>
      </c>
      <c r="I63" s="1365">
        <f t="shared" ca="1" si="23"/>
        <v>0</v>
      </c>
      <c r="J63" s="1331">
        <f t="shared" ca="1" si="23"/>
        <v>0</v>
      </c>
      <c r="K63" s="1376">
        <f t="shared" ca="1" si="25"/>
        <v>0</v>
      </c>
      <c r="L63" s="1320">
        <f t="shared" ca="1" si="26"/>
        <v>0</v>
      </c>
      <c r="M63" s="1320">
        <f t="shared" ca="1" si="27"/>
        <v>0</v>
      </c>
      <c r="N63" s="1320">
        <f t="shared" ca="1" si="28"/>
        <v>0</v>
      </c>
      <c r="O63" s="1367">
        <f t="shared" ca="1" si="29"/>
        <v>0</v>
      </c>
      <c r="P63" s="1364">
        <f t="shared" ca="1" si="33"/>
        <v>0</v>
      </c>
      <c r="Q63" s="1327">
        <f t="shared" ca="1" si="24"/>
        <v>0</v>
      </c>
      <c r="R63" s="1364">
        <f t="shared" ca="1" si="34"/>
        <v>0</v>
      </c>
      <c r="S63" s="1320">
        <f t="shared" ca="1" si="35"/>
        <v>0</v>
      </c>
      <c r="T63" s="1320">
        <f t="shared" ca="1" si="30"/>
        <v>0</v>
      </c>
      <c r="U63" s="1367">
        <f t="shared" ca="1" si="31"/>
        <v>0</v>
      </c>
      <c r="V63" s="1366">
        <f t="shared" ca="1" si="36"/>
        <v>0</v>
      </c>
      <c r="W63" s="1465">
        <f t="shared" ca="1" si="37"/>
        <v>0</v>
      </c>
      <c r="X63" s="1377">
        <f t="shared" ca="1" si="32"/>
        <v>0</v>
      </c>
    </row>
    <row r="64" spans="1:24">
      <c r="A64" s="2267"/>
      <c r="B64" s="1266">
        <v>1000</v>
      </c>
      <c r="C64">
        <v>200000</v>
      </c>
      <c r="D64" s="1325">
        <f t="shared" ca="1" si="21"/>
        <v>1</v>
      </c>
      <c r="E64" s="1320">
        <f t="shared" ca="1" si="21"/>
        <v>0</v>
      </c>
      <c r="F64" s="1457">
        <f t="shared" ca="1" si="22"/>
        <v>0</v>
      </c>
      <c r="G64" s="1365">
        <f t="shared" ca="1" si="22"/>
        <v>0</v>
      </c>
      <c r="H64" s="1365">
        <f t="shared" ca="1" si="22"/>
        <v>0</v>
      </c>
      <c r="I64" s="1365">
        <f t="shared" ca="1" si="23"/>
        <v>0</v>
      </c>
      <c r="J64" s="1331">
        <f t="shared" ca="1" si="23"/>
        <v>0</v>
      </c>
      <c r="K64" s="1376">
        <f t="shared" ca="1" si="25"/>
        <v>0</v>
      </c>
      <c r="L64" s="1320">
        <f t="shared" ca="1" si="26"/>
        <v>0</v>
      </c>
      <c r="M64" s="1320">
        <f t="shared" ca="1" si="27"/>
        <v>0</v>
      </c>
      <c r="N64" s="1320">
        <f t="shared" ca="1" si="28"/>
        <v>0</v>
      </c>
      <c r="O64" s="1367">
        <f t="shared" ca="1" si="29"/>
        <v>0</v>
      </c>
      <c r="P64" s="1364">
        <f t="shared" ca="1" si="33"/>
        <v>0</v>
      </c>
      <c r="Q64" s="1327">
        <f t="shared" ca="1" si="24"/>
        <v>0</v>
      </c>
      <c r="R64" s="1364">
        <f t="shared" ca="1" si="34"/>
        <v>0</v>
      </c>
      <c r="S64" s="1320">
        <f t="shared" ca="1" si="35"/>
        <v>0</v>
      </c>
      <c r="T64" s="1320">
        <f t="shared" ca="1" si="30"/>
        <v>0</v>
      </c>
      <c r="U64" s="1367">
        <f t="shared" ca="1" si="31"/>
        <v>0</v>
      </c>
      <c r="V64" s="1366">
        <f t="shared" ca="1" si="36"/>
        <v>0</v>
      </c>
      <c r="W64" s="1465">
        <f t="shared" ca="1" si="37"/>
        <v>0</v>
      </c>
      <c r="X64" s="1377">
        <f t="shared" ca="1" si="32"/>
        <v>0</v>
      </c>
    </row>
    <row r="65" spans="1:24">
      <c r="A65" s="2267"/>
      <c r="B65" s="1266">
        <v>2000</v>
      </c>
      <c r="C65">
        <v>150000</v>
      </c>
      <c r="D65" s="1325">
        <f t="shared" ca="1" si="21"/>
        <v>1</v>
      </c>
      <c r="E65" s="1320">
        <f t="shared" ca="1" si="21"/>
        <v>0</v>
      </c>
      <c r="F65" s="1457">
        <f t="shared" ca="1" si="22"/>
        <v>0</v>
      </c>
      <c r="G65" s="1368">
        <f ca="1">IF(G$55=0,0,IF(AND($C65&lt;=$E$28,$B65&lt;=G$57),$D65*$E65*4000,0))</f>
        <v>0</v>
      </c>
      <c r="H65" s="1365">
        <f t="shared" ca="1" si="22"/>
        <v>0</v>
      </c>
      <c r="I65" s="1365">
        <f t="shared" ca="1" si="23"/>
        <v>0</v>
      </c>
      <c r="J65" s="1331">
        <f t="shared" ca="1" si="23"/>
        <v>0</v>
      </c>
      <c r="K65" s="1376">
        <f t="shared" ca="1" si="25"/>
        <v>0</v>
      </c>
      <c r="L65" s="1320">
        <f t="shared" ca="1" si="26"/>
        <v>0</v>
      </c>
      <c r="M65" s="1320">
        <f t="shared" ca="1" si="27"/>
        <v>0</v>
      </c>
      <c r="N65" s="1320">
        <f t="shared" ca="1" si="28"/>
        <v>0</v>
      </c>
      <c r="O65" s="1367">
        <f t="shared" ca="1" si="29"/>
        <v>0</v>
      </c>
      <c r="P65" s="1364">
        <f t="shared" ca="1" si="33"/>
        <v>0</v>
      </c>
      <c r="Q65" s="1327">
        <f t="shared" ref="Q65:Q74" ca="1" si="38">D65*E65*B65*P65</f>
        <v>0</v>
      </c>
      <c r="R65" s="1364">
        <f t="shared" ca="1" si="34"/>
        <v>0</v>
      </c>
      <c r="S65" s="1320">
        <f t="shared" ca="1" si="35"/>
        <v>0</v>
      </c>
      <c r="T65" s="1320">
        <f t="shared" ca="1" si="30"/>
        <v>0</v>
      </c>
      <c r="U65" s="1367">
        <f t="shared" ca="1" si="31"/>
        <v>0</v>
      </c>
      <c r="V65" s="1366">
        <f t="shared" ca="1" si="36"/>
        <v>0</v>
      </c>
      <c r="W65" s="1465">
        <f t="shared" ca="1" si="37"/>
        <v>0</v>
      </c>
      <c r="X65" s="1377">
        <f t="shared" ca="1" si="32"/>
        <v>0</v>
      </c>
    </row>
    <row r="66" spans="1:24">
      <c r="A66" s="2267"/>
      <c r="B66" s="1266">
        <v>1000</v>
      </c>
      <c r="C66">
        <v>150000</v>
      </c>
      <c r="D66" s="1325">
        <f t="shared" ca="1" si="21"/>
        <v>1</v>
      </c>
      <c r="E66" s="1320">
        <f t="shared" ca="1" si="21"/>
        <v>0</v>
      </c>
      <c r="F66" s="1457">
        <f t="shared" ca="1" si="22"/>
        <v>0</v>
      </c>
      <c r="G66" s="1365">
        <f ca="1">IF(G$55=0,0,IF(AND($C66&lt;=$E$28,$B66&lt;=G$57),$D66*$E66*G$57,0))</f>
        <v>0</v>
      </c>
      <c r="H66" s="1365">
        <f t="shared" ca="1" si="22"/>
        <v>0</v>
      </c>
      <c r="I66" s="1365">
        <f t="shared" ca="1" si="23"/>
        <v>0</v>
      </c>
      <c r="J66" s="1331">
        <f t="shared" ca="1" si="23"/>
        <v>0</v>
      </c>
      <c r="K66" s="1376">
        <f t="shared" ca="1" si="25"/>
        <v>0</v>
      </c>
      <c r="L66" s="1320">
        <f t="shared" ca="1" si="26"/>
        <v>0</v>
      </c>
      <c r="M66" s="1320">
        <f t="shared" ca="1" si="27"/>
        <v>0</v>
      </c>
      <c r="N66" s="1320">
        <f t="shared" ca="1" si="28"/>
        <v>0</v>
      </c>
      <c r="O66" s="1367">
        <f t="shared" ca="1" si="29"/>
        <v>0</v>
      </c>
      <c r="P66" s="1364">
        <f t="shared" ca="1" si="33"/>
        <v>0</v>
      </c>
      <c r="Q66" s="1327">
        <f t="shared" ca="1" si="38"/>
        <v>0</v>
      </c>
      <c r="R66" s="1364">
        <f t="shared" ca="1" si="34"/>
        <v>0</v>
      </c>
      <c r="S66" s="1320">
        <f t="shared" ca="1" si="35"/>
        <v>0</v>
      </c>
      <c r="T66" s="1320">
        <f t="shared" ca="1" si="30"/>
        <v>0</v>
      </c>
      <c r="U66" s="1367">
        <f t="shared" ca="1" si="31"/>
        <v>0</v>
      </c>
      <c r="V66" s="1366">
        <f t="shared" ca="1" si="36"/>
        <v>0</v>
      </c>
      <c r="W66" s="1465">
        <f t="shared" ca="1" si="37"/>
        <v>0</v>
      </c>
      <c r="X66" s="1377">
        <f t="shared" ca="1" si="32"/>
        <v>0</v>
      </c>
    </row>
    <row r="67" spans="1:24">
      <c r="A67" s="2267"/>
      <c r="B67" s="1266">
        <v>100000</v>
      </c>
      <c r="C67">
        <v>100000</v>
      </c>
      <c r="D67" s="1325">
        <f t="shared" ca="1" si="21"/>
        <v>1</v>
      </c>
      <c r="E67" s="1320">
        <f t="shared" ca="1" si="21"/>
        <v>0</v>
      </c>
      <c r="F67" s="1457">
        <f t="shared" ref="F67:H74" ca="1" si="39">IF(F$55=0,0,IF(AND($C67&lt;=$E$28,$B67&lt;=F$57),$D67*$E67*F$57,0))</f>
        <v>0</v>
      </c>
      <c r="G67" s="1365">
        <f t="shared" ca="1" si="39"/>
        <v>0</v>
      </c>
      <c r="H67" s="1365">
        <f t="shared" ca="1" si="22"/>
        <v>0</v>
      </c>
      <c r="I67" s="1365">
        <f t="shared" ca="1" si="23"/>
        <v>0</v>
      </c>
      <c r="J67" s="1331">
        <f t="shared" ca="1" si="23"/>
        <v>0</v>
      </c>
      <c r="K67" s="1376">
        <f t="shared" ca="1" si="25"/>
        <v>0</v>
      </c>
      <c r="L67" s="1320">
        <f t="shared" ca="1" si="26"/>
        <v>0</v>
      </c>
      <c r="M67" s="1320">
        <f t="shared" ca="1" si="27"/>
        <v>0</v>
      </c>
      <c r="N67" s="1320">
        <f t="shared" ca="1" si="28"/>
        <v>0</v>
      </c>
      <c r="O67" s="1367">
        <f t="shared" ca="1" si="29"/>
        <v>0</v>
      </c>
      <c r="P67" s="1364">
        <f t="shared" ca="1" si="33"/>
        <v>0</v>
      </c>
      <c r="Q67" s="1327">
        <f t="shared" ca="1" si="38"/>
        <v>0</v>
      </c>
      <c r="R67" s="1364">
        <f t="shared" ca="1" si="34"/>
        <v>0</v>
      </c>
      <c r="S67" s="1320">
        <f t="shared" ca="1" si="35"/>
        <v>0</v>
      </c>
      <c r="T67" s="1320">
        <f t="shared" ca="1" si="30"/>
        <v>0</v>
      </c>
      <c r="U67" s="1367">
        <f t="shared" ca="1" si="31"/>
        <v>0</v>
      </c>
      <c r="V67" s="1366">
        <f t="shared" ca="1" si="36"/>
        <v>0</v>
      </c>
      <c r="W67" s="1465">
        <f t="shared" ca="1" si="37"/>
        <v>0</v>
      </c>
      <c r="X67" s="1377">
        <f t="shared" ca="1" si="32"/>
        <v>0</v>
      </c>
    </row>
    <row r="68" spans="1:24">
      <c r="A68" s="2267"/>
      <c r="B68" s="1266">
        <v>50000</v>
      </c>
      <c r="C68">
        <v>100000</v>
      </c>
      <c r="D68" s="1325">
        <f t="shared" ca="1" si="21"/>
        <v>1</v>
      </c>
      <c r="E68" s="1320">
        <f t="shared" ca="1" si="21"/>
        <v>0</v>
      </c>
      <c r="F68" s="1457">
        <f t="shared" ca="1" si="39"/>
        <v>0</v>
      </c>
      <c r="G68" s="1365">
        <f t="shared" ca="1" si="39"/>
        <v>0</v>
      </c>
      <c r="H68" s="1365">
        <f t="shared" ca="1" si="22"/>
        <v>0</v>
      </c>
      <c r="I68" s="1365">
        <f t="shared" ca="1" si="23"/>
        <v>0</v>
      </c>
      <c r="J68" s="1331">
        <f t="shared" ca="1" si="23"/>
        <v>0</v>
      </c>
      <c r="K68" s="1376">
        <f t="shared" ca="1" si="25"/>
        <v>0</v>
      </c>
      <c r="L68" s="1320">
        <f t="shared" ca="1" si="26"/>
        <v>0</v>
      </c>
      <c r="M68" s="1320">
        <f t="shared" ca="1" si="27"/>
        <v>0</v>
      </c>
      <c r="N68" s="1320">
        <f t="shared" ca="1" si="28"/>
        <v>0</v>
      </c>
      <c r="O68" s="1367">
        <f t="shared" ca="1" si="29"/>
        <v>0</v>
      </c>
      <c r="P68" s="1364">
        <f t="shared" ca="1" si="33"/>
        <v>0</v>
      </c>
      <c r="Q68" s="1327">
        <f t="shared" ca="1" si="38"/>
        <v>0</v>
      </c>
      <c r="R68" s="1364">
        <f t="shared" ca="1" si="34"/>
        <v>0</v>
      </c>
      <c r="S68" s="1320">
        <f t="shared" ca="1" si="35"/>
        <v>0</v>
      </c>
      <c r="T68" s="1320">
        <f t="shared" ca="1" si="30"/>
        <v>0</v>
      </c>
      <c r="U68" s="1367">
        <f t="shared" ca="1" si="31"/>
        <v>0</v>
      </c>
      <c r="V68" s="1366">
        <f t="shared" ca="1" si="36"/>
        <v>0</v>
      </c>
      <c r="W68" s="1465">
        <f t="shared" ca="1" si="37"/>
        <v>0</v>
      </c>
      <c r="X68" s="1377">
        <f t="shared" ca="1" si="32"/>
        <v>0</v>
      </c>
    </row>
    <row r="69" spans="1:24">
      <c r="A69" s="2267"/>
      <c r="B69" s="1266">
        <v>1000</v>
      </c>
      <c r="C69">
        <v>100000</v>
      </c>
      <c r="D69" s="1325">
        <f t="shared" ca="1" si="21"/>
        <v>1</v>
      </c>
      <c r="E69" s="1320">
        <f t="shared" ca="1" si="21"/>
        <v>0</v>
      </c>
      <c r="F69" s="1457">
        <f t="shared" ca="1" si="39"/>
        <v>0</v>
      </c>
      <c r="G69" s="1365">
        <f t="shared" ca="1" si="39"/>
        <v>0</v>
      </c>
      <c r="H69" s="1365">
        <f t="shared" ca="1" si="22"/>
        <v>0</v>
      </c>
      <c r="I69" s="1365">
        <f t="shared" ca="1" si="23"/>
        <v>0</v>
      </c>
      <c r="J69" s="1331">
        <f t="shared" ca="1" si="23"/>
        <v>0</v>
      </c>
      <c r="K69" s="1376">
        <f t="shared" ca="1" si="25"/>
        <v>0</v>
      </c>
      <c r="L69" s="1320">
        <f t="shared" ca="1" si="26"/>
        <v>0</v>
      </c>
      <c r="M69" s="1320">
        <f t="shared" ca="1" si="27"/>
        <v>0</v>
      </c>
      <c r="N69" s="1320">
        <f t="shared" ca="1" si="28"/>
        <v>0</v>
      </c>
      <c r="O69" s="1367">
        <f t="shared" ca="1" si="29"/>
        <v>0</v>
      </c>
      <c r="P69" s="1364">
        <f t="shared" ca="1" si="33"/>
        <v>0</v>
      </c>
      <c r="Q69" s="1327">
        <f t="shared" ca="1" si="38"/>
        <v>0</v>
      </c>
      <c r="R69" s="1364">
        <f t="shared" ca="1" si="34"/>
        <v>0</v>
      </c>
      <c r="S69" s="1320">
        <f t="shared" ca="1" si="35"/>
        <v>0</v>
      </c>
      <c r="T69" s="1320">
        <f t="shared" ca="1" si="30"/>
        <v>0</v>
      </c>
      <c r="U69" s="1367">
        <f t="shared" ca="1" si="31"/>
        <v>0</v>
      </c>
      <c r="V69" s="1366">
        <f t="shared" ca="1" si="36"/>
        <v>0</v>
      </c>
      <c r="W69" s="1465">
        <f t="shared" ca="1" si="37"/>
        <v>0</v>
      </c>
      <c r="X69" s="1377">
        <f t="shared" ca="1" si="32"/>
        <v>0</v>
      </c>
    </row>
    <row r="70" spans="1:24">
      <c r="A70" s="2267"/>
      <c r="B70" s="1266">
        <v>10000</v>
      </c>
      <c r="C70">
        <v>10000</v>
      </c>
      <c r="D70" s="1325">
        <f t="shared" ca="1" si="21"/>
        <v>1</v>
      </c>
      <c r="E70" s="1320">
        <f t="shared" ca="1" si="21"/>
        <v>0</v>
      </c>
      <c r="F70" s="1457">
        <f t="shared" ca="1" si="39"/>
        <v>0</v>
      </c>
      <c r="G70" s="1365">
        <f t="shared" ca="1" si="39"/>
        <v>0</v>
      </c>
      <c r="H70" s="1365">
        <f t="shared" ca="1" si="22"/>
        <v>0</v>
      </c>
      <c r="I70" s="1365">
        <f t="shared" ca="1" si="23"/>
        <v>0</v>
      </c>
      <c r="J70" s="1331">
        <f t="shared" ca="1" si="23"/>
        <v>0</v>
      </c>
      <c r="K70" s="1376">
        <f t="shared" ca="1" si="25"/>
        <v>0</v>
      </c>
      <c r="L70" s="1320">
        <f t="shared" ca="1" si="26"/>
        <v>0</v>
      </c>
      <c r="M70" s="1320">
        <f t="shared" ca="1" si="27"/>
        <v>0</v>
      </c>
      <c r="N70" s="1320">
        <f t="shared" ca="1" si="28"/>
        <v>0</v>
      </c>
      <c r="O70" s="1367">
        <f t="shared" ca="1" si="29"/>
        <v>0</v>
      </c>
      <c r="P70" s="1364">
        <f t="shared" ca="1" si="33"/>
        <v>0</v>
      </c>
      <c r="Q70" s="1327">
        <f t="shared" ca="1" si="38"/>
        <v>0</v>
      </c>
      <c r="R70" s="1364">
        <f t="shared" ca="1" si="34"/>
        <v>0</v>
      </c>
      <c r="S70" s="1320">
        <f t="shared" ca="1" si="35"/>
        <v>0</v>
      </c>
      <c r="T70" s="1320">
        <f t="shared" ca="1" si="30"/>
        <v>0</v>
      </c>
      <c r="U70" s="1367">
        <f t="shared" ca="1" si="31"/>
        <v>0</v>
      </c>
      <c r="V70" s="1366">
        <f t="shared" ca="1" si="36"/>
        <v>0</v>
      </c>
      <c r="W70" s="1465">
        <f t="shared" ca="1" si="37"/>
        <v>0</v>
      </c>
      <c r="X70" s="1377">
        <f t="shared" ca="1" si="32"/>
        <v>0</v>
      </c>
    </row>
    <row r="71" spans="1:24">
      <c r="A71" s="2267"/>
      <c r="B71" s="1266">
        <v>5000</v>
      </c>
      <c r="C71">
        <v>10000</v>
      </c>
      <c r="D71" s="1325">
        <f t="shared" ca="1" si="21"/>
        <v>1</v>
      </c>
      <c r="E71" s="1320">
        <f t="shared" ca="1" si="21"/>
        <v>0</v>
      </c>
      <c r="F71" s="1457">
        <f t="shared" ca="1" si="39"/>
        <v>0</v>
      </c>
      <c r="G71" s="1365">
        <f t="shared" ca="1" si="39"/>
        <v>0</v>
      </c>
      <c r="H71" s="1365">
        <f t="shared" ca="1" si="22"/>
        <v>0</v>
      </c>
      <c r="I71" s="1365">
        <f t="shared" ca="1" si="23"/>
        <v>0</v>
      </c>
      <c r="J71" s="1331">
        <f t="shared" ca="1" si="23"/>
        <v>0</v>
      </c>
      <c r="K71" s="1376">
        <f t="shared" ca="1" si="25"/>
        <v>0</v>
      </c>
      <c r="L71" s="1320">
        <f t="shared" ca="1" si="26"/>
        <v>0</v>
      </c>
      <c r="M71" s="1320">
        <f t="shared" ca="1" si="27"/>
        <v>0</v>
      </c>
      <c r="N71" s="1320">
        <f t="shared" ca="1" si="28"/>
        <v>0</v>
      </c>
      <c r="O71" s="1367">
        <f t="shared" ca="1" si="29"/>
        <v>0</v>
      </c>
      <c r="P71" s="1364">
        <f t="shared" ca="1" si="33"/>
        <v>0</v>
      </c>
      <c r="Q71" s="1327">
        <f t="shared" ca="1" si="38"/>
        <v>0</v>
      </c>
      <c r="R71" s="1364">
        <f t="shared" ca="1" si="34"/>
        <v>0</v>
      </c>
      <c r="S71" s="1320">
        <f t="shared" ca="1" si="35"/>
        <v>0</v>
      </c>
      <c r="T71" s="1320">
        <f t="shared" ca="1" si="30"/>
        <v>0</v>
      </c>
      <c r="U71" s="1367">
        <f t="shared" ca="1" si="31"/>
        <v>0</v>
      </c>
      <c r="V71" s="1366">
        <f t="shared" ca="1" si="36"/>
        <v>0</v>
      </c>
      <c r="W71" s="1465">
        <f t="shared" ca="1" si="37"/>
        <v>0</v>
      </c>
      <c r="X71" s="1377">
        <f t="shared" ca="1" si="32"/>
        <v>0</v>
      </c>
    </row>
    <row r="72" spans="1:24">
      <c r="A72" s="2267"/>
      <c r="B72" s="1266">
        <v>1000</v>
      </c>
      <c r="C72">
        <v>10000</v>
      </c>
      <c r="D72" s="1325">
        <f t="shared" ca="1" si="21"/>
        <v>1</v>
      </c>
      <c r="E72" s="1320">
        <f t="shared" ca="1" si="21"/>
        <v>0</v>
      </c>
      <c r="F72" s="1457">
        <f t="shared" ca="1" si="39"/>
        <v>0</v>
      </c>
      <c r="G72" s="1365">
        <f t="shared" ca="1" si="39"/>
        <v>0</v>
      </c>
      <c r="H72" s="1365">
        <f t="shared" ca="1" si="22"/>
        <v>0</v>
      </c>
      <c r="I72" s="1365">
        <f t="shared" ca="1" si="23"/>
        <v>0</v>
      </c>
      <c r="J72" s="1331">
        <f t="shared" ca="1" si="23"/>
        <v>0</v>
      </c>
      <c r="K72" s="1376">
        <f t="shared" ca="1" si="25"/>
        <v>0</v>
      </c>
      <c r="L72" s="1320">
        <f t="shared" ca="1" si="26"/>
        <v>0</v>
      </c>
      <c r="M72" s="1320">
        <f t="shared" ca="1" si="27"/>
        <v>0</v>
      </c>
      <c r="N72" s="1320">
        <f t="shared" ca="1" si="28"/>
        <v>0</v>
      </c>
      <c r="O72" s="1367">
        <f t="shared" ca="1" si="29"/>
        <v>0</v>
      </c>
      <c r="P72" s="1364">
        <f t="shared" ca="1" si="33"/>
        <v>0</v>
      </c>
      <c r="Q72" s="1327">
        <f t="shared" ca="1" si="38"/>
        <v>0</v>
      </c>
      <c r="R72" s="1364">
        <f t="shared" ca="1" si="34"/>
        <v>0</v>
      </c>
      <c r="S72" s="1320">
        <f t="shared" ca="1" si="35"/>
        <v>0</v>
      </c>
      <c r="T72" s="1320">
        <f t="shared" ca="1" si="30"/>
        <v>0</v>
      </c>
      <c r="U72" s="1367">
        <f t="shared" ca="1" si="31"/>
        <v>0</v>
      </c>
      <c r="V72" s="1366">
        <f t="shared" ca="1" si="36"/>
        <v>0</v>
      </c>
      <c r="W72" s="1465">
        <f t="shared" ca="1" si="37"/>
        <v>0</v>
      </c>
      <c r="X72" s="1377">
        <f t="shared" ca="1" si="32"/>
        <v>0</v>
      </c>
    </row>
    <row r="73" spans="1:24">
      <c r="A73" s="2267"/>
      <c r="B73" s="1266">
        <v>100</v>
      </c>
      <c r="C73">
        <v>10000</v>
      </c>
      <c r="D73" s="1325">
        <f t="shared" ca="1" si="21"/>
        <v>1</v>
      </c>
      <c r="E73" s="1320">
        <f t="shared" ca="1" si="21"/>
        <v>0</v>
      </c>
      <c r="F73" s="1457">
        <f t="shared" ca="1" si="39"/>
        <v>0</v>
      </c>
      <c r="G73" s="1365">
        <f t="shared" ca="1" si="39"/>
        <v>0</v>
      </c>
      <c r="H73" s="1365">
        <f t="shared" ca="1" si="22"/>
        <v>0</v>
      </c>
      <c r="I73" s="1365">
        <f t="shared" ca="1" si="23"/>
        <v>0</v>
      </c>
      <c r="J73" s="1331">
        <f t="shared" ca="1" si="23"/>
        <v>0</v>
      </c>
      <c r="K73" s="1376">
        <f ca="1">IF(F73&gt;0,INT(K$57/$B73)*F$76,0)</f>
        <v>0</v>
      </c>
      <c r="L73" s="1320">
        <f t="shared" ca="1" si="26"/>
        <v>0</v>
      </c>
      <c r="M73" s="1320">
        <f t="shared" ca="1" si="27"/>
        <v>0</v>
      </c>
      <c r="N73" s="1320">
        <f t="shared" ca="1" si="28"/>
        <v>0</v>
      </c>
      <c r="O73" s="1367">
        <f t="shared" ca="1" si="29"/>
        <v>0</v>
      </c>
      <c r="P73" s="1364">
        <f t="shared" ca="1" si="33"/>
        <v>0</v>
      </c>
      <c r="Q73" s="1327">
        <f t="shared" ca="1" si="38"/>
        <v>0</v>
      </c>
      <c r="R73" s="1364">
        <f t="shared" ca="1" si="34"/>
        <v>0</v>
      </c>
      <c r="S73" s="1320">
        <f t="shared" ca="1" si="35"/>
        <v>0</v>
      </c>
      <c r="T73" s="1320">
        <f t="shared" ca="1" si="30"/>
        <v>0</v>
      </c>
      <c r="U73" s="1367">
        <f t="shared" ca="1" si="31"/>
        <v>0</v>
      </c>
      <c r="V73" s="1366">
        <f t="shared" ca="1" si="36"/>
        <v>0</v>
      </c>
      <c r="W73" s="1465">
        <f t="shared" ca="1" si="37"/>
        <v>0</v>
      </c>
      <c r="X73" s="1377">
        <f t="shared" ca="1" si="32"/>
        <v>0</v>
      </c>
    </row>
    <row r="74" spans="1:24">
      <c r="A74" s="2267"/>
      <c r="B74" s="1470">
        <v>1000</v>
      </c>
      <c r="C74" s="1471">
        <v>2000</v>
      </c>
      <c r="D74" s="1472">
        <f t="shared" ca="1" si="21"/>
        <v>1</v>
      </c>
      <c r="E74" s="1459">
        <f t="shared" ca="1" si="21"/>
        <v>0</v>
      </c>
      <c r="F74" s="1458">
        <f t="shared" ca="1" si="39"/>
        <v>0</v>
      </c>
      <c r="G74" s="1371">
        <f t="shared" ca="1" si="39"/>
        <v>0</v>
      </c>
      <c r="H74" s="1371">
        <f t="shared" ca="1" si="39"/>
        <v>0</v>
      </c>
      <c r="I74" s="1371">
        <f t="shared" ca="1" si="23"/>
        <v>0</v>
      </c>
      <c r="J74" s="1459">
        <f t="shared" ca="1" si="23"/>
        <v>0</v>
      </c>
      <c r="K74" s="1588">
        <f ca="1">IF(F74&gt;0,INT(K$57/$B74)*F$76,0)</f>
        <v>0</v>
      </c>
      <c r="L74" s="1370">
        <f t="shared" ca="1" si="26"/>
        <v>0</v>
      </c>
      <c r="M74" s="1370">
        <f t="shared" ca="1" si="27"/>
        <v>0</v>
      </c>
      <c r="N74" s="1370">
        <f t="shared" ca="1" si="28"/>
        <v>0</v>
      </c>
      <c r="O74" s="1373">
        <f t="shared" ca="1" si="29"/>
        <v>0</v>
      </c>
      <c r="P74" s="1369">
        <f t="shared" ca="1" si="33"/>
        <v>0</v>
      </c>
      <c r="Q74" s="1463">
        <f t="shared" ca="1" si="38"/>
        <v>0</v>
      </c>
      <c r="R74" s="1369">
        <f t="shared" ca="1" si="34"/>
        <v>0</v>
      </c>
      <c r="S74" s="1370">
        <f t="shared" ca="1" si="35"/>
        <v>0</v>
      </c>
      <c r="T74" s="1370">
        <f ca="1">IF(AND(I74&gt;0,I$77&gt;0,SUM(R74:S74)=0),INT(T$57/$B74)*I$77,0)</f>
        <v>0</v>
      </c>
      <c r="U74" s="1373">
        <f ca="1">IF(AND(J74&gt;0,J$77&gt;0,SUM(R74:T74)=0),INT(U$57/$B74)*J$77,0)</f>
        <v>0</v>
      </c>
      <c r="V74" s="1372">
        <f t="shared" ca="1" si="36"/>
        <v>0</v>
      </c>
      <c r="W74" s="1466">
        <f t="shared" ca="1" si="37"/>
        <v>0</v>
      </c>
      <c r="X74" s="1377">
        <f t="shared" ca="1" si="32"/>
        <v>0</v>
      </c>
    </row>
    <row r="75" spans="1:24" ht="16" thickBot="1">
      <c r="A75" s="1353"/>
      <c r="B75" s="1335" t="s">
        <v>4235</v>
      </c>
      <c r="C75" s="1335"/>
      <c r="D75" s="1335"/>
      <c r="E75" s="1335">
        <f ca="1">SUM(E60:E74)</f>
        <v>0</v>
      </c>
      <c r="F75" s="1460">
        <f ca="1">SUM(F58:F74)</f>
        <v>0</v>
      </c>
      <c r="G75" s="1450">
        <f ca="1">SUM(G58:G74)</f>
        <v>0</v>
      </c>
      <c r="H75" s="1450">
        <f ca="1">SUM(H58:H74)</f>
        <v>0</v>
      </c>
      <c r="I75" s="1450">
        <f ca="1">SUM(I58:I74)</f>
        <v>0</v>
      </c>
      <c r="J75" s="1461">
        <f ca="1">SUM(J58:J74)</f>
        <v>0</v>
      </c>
      <c r="K75" s="1335"/>
      <c r="L75" s="1335"/>
      <c r="M75" s="1335"/>
      <c r="N75" s="1335"/>
      <c r="O75" s="1335"/>
      <c r="P75" s="1387"/>
      <c r="Q75" s="1453">
        <f ca="1">SUM(Q58:Q74)</f>
        <v>0</v>
      </c>
      <c r="R75" s="1335"/>
      <c r="S75" s="1335"/>
      <c r="T75" s="1335"/>
      <c r="U75" s="1335"/>
      <c r="V75" s="1374"/>
      <c r="W75" s="1354">
        <f ca="1">SUM(W59:W74)</f>
        <v>0</v>
      </c>
      <c r="X75" s="1469"/>
    </row>
    <row r="76" spans="1:24">
      <c r="E76" s="1369" t="s">
        <v>4245</v>
      </c>
      <c r="F76" s="1369">
        <f ca="1">IF(F$55=0,0,INT($B$55/F75))</f>
        <v>0</v>
      </c>
      <c r="G76" s="1370">
        <f ca="1">IF(G$55=0,0,INT($B$55/G75))</f>
        <v>0</v>
      </c>
      <c r="H76" s="1370">
        <f ca="1">IF(H$55=0,0,INT($B$55/H75))</f>
        <v>0</v>
      </c>
      <c r="I76" s="1370">
        <f ca="1">IF(I$55=0,0,INT($B$55/I75))</f>
        <v>0</v>
      </c>
      <c r="J76" s="1373">
        <f ca="1">IF(J$55=0,0,INT($B$55/J75))</f>
        <v>0</v>
      </c>
    </row>
    <row r="77" spans="1:24">
      <c r="E77" s="1355" t="s">
        <v>4246</v>
      </c>
      <c r="F77" s="1355">
        <f ca="1">IF(F55=0,0,INT($Q$55/F75))</f>
        <v>0</v>
      </c>
      <c r="G77" s="1356">
        <f ca="1">IF(G55=0,0,INT($Q$55/G75))</f>
        <v>0</v>
      </c>
      <c r="H77" s="1356">
        <f ca="1">IF(H55=0,0,INT($Q$55/H75))</f>
        <v>0</v>
      </c>
      <c r="I77" s="1356">
        <f ca="1">IF(I55=0,0,INT($Q$55/I75))</f>
        <v>0</v>
      </c>
      <c r="J77" s="1357">
        <f ca="1">IF(J55=0,0,INT($Q$55/J75))</f>
        <v>0</v>
      </c>
    </row>
    <row r="80" spans="1:24" ht="16" thickBot="1">
      <c r="Q80" s="1343"/>
    </row>
    <row r="81" spans="1:15">
      <c r="A81" s="1337" t="s">
        <v>4247</v>
      </c>
      <c r="B81" s="1338"/>
      <c r="C81" s="1338"/>
      <c r="D81" s="1338"/>
      <c r="E81" s="1338"/>
      <c r="F81" s="1338"/>
      <c r="G81" s="1338"/>
      <c r="H81" s="1338"/>
      <c r="I81" s="1337" t="s">
        <v>4260</v>
      </c>
      <c r="J81" s="1338"/>
      <c r="K81" s="1338"/>
      <c r="L81" s="1338"/>
      <c r="M81" s="1338"/>
      <c r="N81" s="1339"/>
      <c r="O81" s="1375"/>
    </row>
    <row r="82" spans="1:15">
      <c r="A82" s="1376"/>
      <c r="I82" s="1376"/>
      <c r="N82" s="1331"/>
      <c r="O82" s="1377"/>
    </row>
    <row r="83" spans="1:15">
      <c r="B83" s="1343"/>
      <c r="I83" s="1376" t="s">
        <v>4248</v>
      </c>
      <c r="J83" s="1473">
        <f ca="1">W55</f>
        <v>0</v>
      </c>
      <c r="M83" s="1340"/>
      <c r="N83" s="1331"/>
      <c r="O83" s="1377"/>
    </row>
    <row r="84" spans="1:15">
      <c r="A84" s="1376"/>
      <c r="B84" s="1343"/>
      <c r="I84" s="1376" t="s">
        <v>4249</v>
      </c>
      <c r="N84" s="1331"/>
      <c r="O84" s="1377"/>
    </row>
    <row r="85" spans="1:15">
      <c r="A85" s="1376"/>
      <c r="I85" s="1376">
        <f t="array" aca="1" ref="I85" ca="1">MAX(MIN(IF(D87:D92&gt;1,D87:D92)),1000)</f>
        <v>1000</v>
      </c>
      <c r="N85" s="1331"/>
      <c r="O85" s="1377"/>
    </row>
    <row r="86" spans="1:15">
      <c r="A86" s="1376" t="s">
        <v>4250</v>
      </c>
      <c r="B86" s="1359" t="s">
        <v>3545</v>
      </c>
      <c r="C86" s="1360" t="s">
        <v>4208</v>
      </c>
      <c r="D86" s="1360" t="s">
        <v>535</v>
      </c>
      <c r="E86" s="1360" t="s">
        <v>4251</v>
      </c>
      <c r="F86" s="1361" t="s">
        <v>4252</v>
      </c>
      <c r="G86" s="1359" t="s">
        <v>4253</v>
      </c>
      <c r="H86" s="1378" t="s">
        <v>4254</v>
      </c>
      <c r="I86" s="1379" t="s">
        <v>4255</v>
      </c>
      <c r="J86" s="1360" t="s">
        <v>4256</v>
      </c>
      <c r="K86" s="1361" t="s">
        <v>4257</v>
      </c>
      <c r="L86" s="1359" t="s">
        <v>4255</v>
      </c>
      <c r="M86" s="1360" t="s">
        <v>4256</v>
      </c>
      <c r="N86" s="1378" t="s">
        <v>4257</v>
      </c>
      <c r="O86" s="1380" t="s">
        <v>4258</v>
      </c>
    </row>
    <row r="87" spans="1:15">
      <c r="A87" s="1376">
        <v>6</v>
      </c>
      <c r="B87" s="1474">
        <f t="shared" ref="B87:B92" ca="1" si="40">SMALL($C$7:$C$12,A87)</f>
        <v>0</v>
      </c>
      <c r="C87" s="1320">
        <f t="shared" ref="C87:C92" ca="1" si="41">INDEX($E$7:$E$12,MATCH(B87,$C$7:$C$12,0))</f>
        <v>0</v>
      </c>
      <c r="D87" s="1320">
        <f t="shared" ref="D87:D92" ca="1" si="42">INDEX($G$7:$G$12,MATCH(B87,$C$7:$C$12,0))</f>
        <v>0</v>
      </c>
      <c r="E87" s="1397">
        <f t="shared" ref="E87:E92" ca="1" si="43">IF($B$1&gt;0,C87,D87)</f>
        <v>0</v>
      </c>
      <c r="F87" s="1367">
        <f t="shared" ref="F87:F92" ca="1" si="44">INDEX($A$7:$D$12,MATCH(B87,$C$7:$C$12,0),2)</f>
        <v>1</v>
      </c>
      <c r="G87" s="1364">
        <f t="shared" ref="G87:G92" ca="1" si="45">IF(B87=0,0,INDEX($G$7:$G$12,MATCH(B87,$C$7:$C$12,0)))</f>
        <v>0</v>
      </c>
      <c r="H87" s="1331">
        <f t="shared" ref="H87:H92" ca="1" si="46">INDEX($H$7:$H$12,MATCH(B87,$C$7:$C$12,0))</f>
        <v>0</v>
      </c>
      <c r="I87" s="1381">
        <f ca="1">IF(AND(G87=$I$85,H87&lt;=$E$28),J83-E87+0.0001,0)</f>
        <v>0</v>
      </c>
      <c r="J87" s="1320">
        <f t="shared" ref="J87:J92" ca="1" si="47">IF(I87&gt;0,1,0)</f>
        <v>0</v>
      </c>
      <c r="K87" s="1382">
        <f ca="1">J83-(E87*J87)+0.0001</f>
        <v>1E-4</v>
      </c>
      <c r="L87" s="1383">
        <f ca="1">IF(AND(G87=$I$85,H87&lt;=$E$28),K92-E87,0)</f>
        <v>0</v>
      </c>
      <c r="M87" s="1343">
        <f t="shared" ref="M87:M92" ca="1" si="48">IF(L87&gt;0,1,0)</f>
        <v>0</v>
      </c>
      <c r="N87" s="1384">
        <f ca="1">K92-(E87*M87)</f>
        <v>1E-4</v>
      </c>
      <c r="O87" s="1385">
        <f t="shared" ref="O87:O92" ca="1" si="49">J87+M87</f>
        <v>0</v>
      </c>
    </row>
    <row r="88" spans="1:15">
      <c r="A88" s="1376">
        <v>5</v>
      </c>
      <c r="B88" s="1474">
        <f t="shared" ca="1" si="40"/>
        <v>0</v>
      </c>
      <c r="C88" s="1320">
        <f t="shared" ca="1" si="41"/>
        <v>0</v>
      </c>
      <c r="D88" s="1320">
        <f t="shared" ca="1" si="42"/>
        <v>0</v>
      </c>
      <c r="E88" s="1397">
        <f t="shared" ca="1" si="43"/>
        <v>0</v>
      </c>
      <c r="F88" s="1367">
        <f t="shared" ca="1" si="44"/>
        <v>1</v>
      </c>
      <c r="G88" s="1364">
        <f t="shared" ca="1" si="45"/>
        <v>0</v>
      </c>
      <c r="H88" s="1331">
        <f t="shared" ca="1" si="46"/>
        <v>0</v>
      </c>
      <c r="I88" s="1381">
        <f ca="1">IF(AND(G88=$I$85,H88&lt;=$E$28),K87-E88,0)</f>
        <v>0</v>
      </c>
      <c r="J88" s="1320">
        <f t="shared" ca="1" si="47"/>
        <v>0</v>
      </c>
      <c r="K88" s="1382">
        <f ca="1">K87-(E88*J88)</f>
        <v>1E-4</v>
      </c>
      <c r="L88" s="1383">
        <f ca="1">IF(AND(G88=$I$85,H88&lt;=$E$28),N87-E88,0)</f>
        <v>0</v>
      </c>
      <c r="M88" s="1343">
        <f t="shared" ca="1" si="48"/>
        <v>0</v>
      </c>
      <c r="N88" s="1384">
        <f ca="1">N87-(E88*M88)</f>
        <v>1E-4</v>
      </c>
      <c r="O88" s="1385">
        <f t="shared" ca="1" si="49"/>
        <v>0</v>
      </c>
    </row>
    <row r="89" spans="1:15">
      <c r="A89" s="1376">
        <v>4</v>
      </c>
      <c r="B89" s="1474">
        <f t="shared" ca="1" si="40"/>
        <v>0</v>
      </c>
      <c r="C89" s="1320">
        <f t="shared" ca="1" si="41"/>
        <v>0</v>
      </c>
      <c r="D89" s="1320">
        <f t="shared" ca="1" si="42"/>
        <v>0</v>
      </c>
      <c r="E89" s="1397">
        <f t="shared" ca="1" si="43"/>
        <v>0</v>
      </c>
      <c r="F89" s="1367">
        <f t="shared" ca="1" si="44"/>
        <v>1</v>
      </c>
      <c r="G89" s="1364">
        <f t="shared" ca="1" si="45"/>
        <v>0</v>
      </c>
      <c r="H89" s="1331">
        <f t="shared" ca="1" si="46"/>
        <v>0</v>
      </c>
      <c r="I89" s="1381">
        <f ca="1">IF(AND(G89=$I$85,H89&lt;=$E$28),K88-E89,0)</f>
        <v>0</v>
      </c>
      <c r="J89" s="1320">
        <f t="shared" ca="1" si="47"/>
        <v>0</v>
      </c>
      <c r="K89" s="1382">
        <f ca="1">K88-(E89*J89)</f>
        <v>1E-4</v>
      </c>
      <c r="L89" s="1383">
        <f ca="1">IF(AND(G89=$I$85,H89&lt;=$E$28),N88-E89,0)</f>
        <v>0</v>
      </c>
      <c r="M89" s="1343">
        <f t="shared" ca="1" si="48"/>
        <v>0</v>
      </c>
      <c r="N89" s="1384">
        <f ca="1">N88-(E89*M89)</f>
        <v>1E-4</v>
      </c>
      <c r="O89" s="1385">
        <f t="shared" ca="1" si="49"/>
        <v>0</v>
      </c>
    </row>
    <row r="90" spans="1:15">
      <c r="A90" s="1376">
        <v>3</v>
      </c>
      <c r="B90" s="1474">
        <f t="shared" ca="1" si="40"/>
        <v>0</v>
      </c>
      <c r="C90" s="1320">
        <f t="shared" ca="1" si="41"/>
        <v>0</v>
      </c>
      <c r="D90" s="1320">
        <f t="shared" ca="1" si="42"/>
        <v>0</v>
      </c>
      <c r="E90" s="1397">
        <f t="shared" ca="1" si="43"/>
        <v>0</v>
      </c>
      <c r="F90" s="1367">
        <f t="shared" ca="1" si="44"/>
        <v>1</v>
      </c>
      <c r="G90" s="1364">
        <f t="shared" ca="1" si="45"/>
        <v>0</v>
      </c>
      <c r="H90" s="1331">
        <f t="shared" ca="1" si="46"/>
        <v>0</v>
      </c>
      <c r="I90" s="1381">
        <f ca="1">IF(AND(G90=$I$85,H90&lt;=$E$28),K89-E90,0)</f>
        <v>0</v>
      </c>
      <c r="J90" s="1320">
        <f t="shared" ca="1" si="47"/>
        <v>0</v>
      </c>
      <c r="K90" s="1382">
        <f ca="1">K89-(E90*J90)</f>
        <v>1E-4</v>
      </c>
      <c r="L90" s="1383">
        <f ca="1">IF(AND(G90=$I$85,H90&lt;=$E$28),N89-E90,0)</f>
        <v>0</v>
      </c>
      <c r="M90" s="1343">
        <f t="shared" ca="1" si="48"/>
        <v>0</v>
      </c>
      <c r="N90" s="1384">
        <f ca="1">N89-(E90*M90)</f>
        <v>1E-4</v>
      </c>
      <c r="O90" s="1385">
        <f t="shared" ca="1" si="49"/>
        <v>0</v>
      </c>
    </row>
    <row r="91" spans="1:15">
      <c r="A91" s="1376">
        <v>2</v>
      </c>
      <c r="B91" s="1474">
        <f t="shared" ca="1" si="40"/>
        <v>0</v>
      </c>
      <c r="C91" s="1320">
        <f t="shared" ca="1" si="41"/>
        <v>0</v>
      </c>
      <c r="D91" s="1320">
        <f t="shared" ca="1" si="42"/>
        <v>0</v>
      </c>
      <c r="E91" s="1397">
        <f t="shared" ca="1" si="43"/>
        <v>0</v>
      </c>
      <c r="F91" s="1367">
        <f t="shared" ca="1" si="44"/>
        <v>1</v>
      </c>
      <c r="G91" s="1364">
        <f t="shared" ca="1" si="45"/>
        <v>0</v>
      </c>
      <c r="H91" s="1331">
        <f t="shared" ca="1" si="46"/>
        <v>0</v>
      </c>
      <c r="I91" s="1381">
        <f ca="1">IF(AND(G91=$I$85,H91&lt;=$E$28),K90-E91,0)</f>
        <v>0</v>
      </c>
      <c r="J91" s="1320">
        <f t="shared" ca="1" si="47"/>
        <v>0</v>
      </c>
      <c r="K91" s="1382">
        <f ca="1">K90-(E91*J91)</f>
        <v>1E-4</v>
      </c>
      <c r="L91" s="1383">
        <f ca="1">IF(AND(G91=$I$85,H91&lt;=$E$28),N90-E91,0)</f>
        <v>0</v>
      </c>
      <c r="M91" s="1343">
        <f t="shared" ca="1" si="48"/>
        <v>0</v>
      </c>
      <c r="N91" s="1384">
        <f ca="1">N90-(E91*M91)</f>
        <v>1E-4</v>
      </c>
      <c r="O91" s="1385">
        <f t="shared" ca="1" si="49"/>
        <v>0</v>
      </c>
    </row>
    <row r="92" spans="1:15" ht="16" thickBot="1">
      <c r="A92" s="1353">
        <v>1</v>
      </c>
      <c r="B92" s="1475">
        <f t="shared" ca="1" si="40"/>
        <v>0</v>
      </c>
      <c r="C92" s="1335">
        <f t="shared" ca="1" si="41"/>
        <v>0</v>
      </c>
      <c r="D92" s="1335">
        <f t="shared" ca="1" si="42"/>
        <v>0</v>
      </c>
      <c r="E92" s="1386">
        <f t="shared" ca="1" si="43"/>
        <v>0</v>
      </c>
      <c r="F92" s="1435">
        <f t="shared" ca="1" si="44"/>
        <v>1</v>
      </c>
      <c r="G92" s="1387">
        <f t="shared" ca="1" si="45"/>
        <v>0</v>
      </c>
      <c r="H92" s="1348">
        <f t="shared" ca="1" si="46"/>
        <v>0</v>
      </c>
      <c r="I92" s="1388">
        <f ca="1">IF(AND(G92=$I$85,H92&lt;=$E$28),K91-E92,0)</f>
        <v>0</v>
      </c>
      <c r="J92" s="1335">
        <f t="shared" ca="1" si="47"/>
        <v>0</v>
      </c>
      <c r="K92" s="1389">
        <f ca="1">K91-(E92*J92)</f>
        <v>1E-4</v>
      </c>
      <c r="L92" s="1390">
        <f ca="1">IF(AND(G92=$I$85,H92&lt;=$E$28),N91-E92,0)</f>
        <v>0</v>
      </c>
      <c r="M92" s="1391">
        <f t="shared" ca="1" si="48"/>
        <v>0</v>
      </c>
      <c r="N92" s="1392">
        <f ca="1">N91-(E92*M92)</f>
        <v>1E-4</v>
      </c>
      <c r="O92" s="1393">
        <f t="shared" ca="1" si="49"/>
        <v>0</v>
      </c>
    </row>
    <row r="93" spans="1:15">
      <c r="H93" s="1394"/>
    </row>
  </sheetData>
  <mergeCells count="3">
    <mergeCell ref="A32:A49"/>
    <mergeCell ref="A57:A74"/>
    <mergeCell ref="A18:B25"/>
  </mergeCells>
  <phoneticPr fontId="53"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工作表15">
    <tabColor theme="6"/>
  </sheetPr>
  <dimension ref="A1:C45"/>
  <sheetViews>
    <sheetView workbookViewId="0"/>
  </sheetViews>
  <sheetFormatPr defaultRowHeight="15.5"/>
  <cols>
    <col min="1" max="1" width="11.0703125" style="555" bestFit="1" customWidth="1"/>
    <col min="2" max="2" width="12.28515625" style="272" customWidth="1"/>
    <col min="3" max="3" width="50.42578125" style="272" bestFit="1" customWidth="1"/>
  </cols>
  <sheetData>
    <row r="1" spans="1:3">
      <c r="A1" s="268" t="s">
        <v>2094</v>
      </c>
      <c r="B1" s="268" t="s">
        <v>2095</v>
      </c>
      <c r="C1" s="268" t="s">
        <v>538</v>
      </c>
    </row>
    <row r="2" spans="1:3">
      <c r="A2" s="555" t="s">
        <v>546</v>
      </c>
      <c r="B2" s="555" t="s">
        <v>2091</v>
      </c>
      <c r="C2" s="272" t="str">
        <f>VLOOKUP(A2,bond!B:C,2,FALSE)</f>
        <v>阿里巴巴集團美元配息債券 3.6% 2024/11/28</v>
      </c>
    </row>
    <row r="3" spans="1:3">
      <c r="A3" s="555" t="s">
        <v>1774</v>
      </c>
      <c r="B3" s="555" t="s">
        <v>2091</v>
      </c>
      <c r="C3" s="272" t="e">
        <f>VLOOKUP(A3,bond!B:C,2,FALSE)</f>
        <v>#N/A</v>
      </c>
    </row>
    <row r="4" spans="1:3">
      <c r="A4" s="555" t="s">
        <v>562</v>
      </c>
      <c r="B4" s="555" t="s">
        <v>2091</v>
      </c>
      <c r="C4" s="272" t="e">
        <f>VLOOKUP(A4,bond!B:C,2,FALSE)</f>
        <v>#N/A</v>
      </c>
    </row>
    <row r="5" spans="1:3">
      <c r="A5" s="555" t="s">
        <v>563</v>
      </c>
      <c r="B5" s="555" t="s">
        <v>2091</v>
      </c>
      <c r="C5" s="272" t="str">
        <f>VLOOKUP(A5,bond!B:C,2,FALSE)</f>
        <v>國家開發銀行人民幣配息債券 4.2% 2027/1/19</v>
      </c>
    </row>
    <row r="6" spans="1:3">
      <c r="A6" s="555" t="s">
        <v>587</v>
      </c>
      <c r="B6" s="555" t="s">
        <v>2091</v>
      </c>
      <c r="C6" s="272" t="str">
        <f>VLOOKUP(A6,bond!B:C,2,FALSE)</f>
        <v>美洲電信公司美元配息債券 6.375% 2035/3/1</v>
      </c>
    </row>
    <row r="7" spans="1:3">
      <c r="A7" s="555" t="s">
        <v>598</v>
      </c>
      <c r="B7" s="555" t="s">
        <v>2091</v>
      </c>
      <c r="C7" s="272" t="str">
        <f>VLOOKUP(A7,bond!B:C,2,FALSE)</f>
        <v>沙烏地電力美元配息債券 5.5% 2044/4/8</v>
      </c>
    </row>
    <row r="8" spans="1:3">
      <c r="A8" s="555" t="s">
        <v>604</v>
      </c>
      <c r="B8" s="555" t="s">
        <v>2091</v>
      </c>
      <c r="C8" s="272" t="str">
        <f>VLOOKUP(A8,bond!B:C,2,FALSE)</f>
        <v>歐洲復興開發銀行南非幣零息債券 0% 2028/12/29</v>
      </c>
    </row>
    <row r="9" spans="1:3">
      <c r="A9" s="555" t="s">
        <v>609</v>
      </c>
      <c r="B9" s="555" t="s">
        <v>2091</v>
      </c>
      <c r="C9" s="272" t="str">
        <f>VLOOKUP(A9,bond!B:C,2,FALSE)</f>
        <v>百度公司美元配息債券 4.125% 2025/6/30</v>
      </c>
    </row>
    <row r="10" spans="1:3">
      <c r="A10" s="555" t="s">
        <v>636</v>
      </c>
      <c r="B10" s="555" t="s">
        <v>2091</v>
      </c>
      <c r="C10" s="272" t="str">
        <f>VLOOKUP(A10,bond!B:C,2,FALSE)</f>
        <v>荷蘭市鎮銀行南非幣零息債券 0% 2025/12/31</v>
      </c>
    </row>
    <row r="11" spans="1:3">
      <c r="A11" s="555" t="s">
        <v>643</v>
      </c>
      <c r="B11" s="555" t="s">
        <v>2091</v>
      </c>
      <c r="C11" s="272" t="str">
        <f>VLOOKUP(A11,bond!B:C,2,FALSE)</f>
        <v>波克夏海瑟威能源公司美元配息債券 6.5% 2037/9/15</v>
      </c>
    </row>
    <row r="12" spans="1:3">
      <c r="A12" s="555" t="s">
        <v>674</v>
      </c>
      <c r="B12" s="555" t="s">
        <v>2091</v>
      </c>
      <c r="C12" s="272" t="str">
        <f>VLOOKUP(A12,bond!B:C,2,FALSE)</f>
        <v>Alphabet公司美元配息債券 1.998% 2026/8/15</v>
      </c>
    </row>
    <row r="13" spans="1:3">
      <c r="A13" s="555" t="s">
        <v>741</v>
      </c>
      <c r="B13" s="555" t="s">
        <v>2091</v>
      </c>
      <c r="C13" s="272" t="str">
        <f>VLOOKUP(A13,bond!B:C,2,FALSE)</f>
        <v>美國運通美元配息債券 3% 2024/10/30</v>
      </c>
    </row>
    <row r="14" spans="1:3">
      <c r="A14" s="555" t="s">
        <v>747</v>
      </c>
      <c r="B14" s="555" t="s">
        <v>2091</v>
      </c>
      <c r="C14" s="272" t="str">
        <f>VLOOKUP(A14,bond!B:C,2,FALSE)</f>
        <v>威瑞森電信公司澳幣配息債券 4.5% 2027/8/17</v>
      </c>
    </row>
    <row r="15" spans="1:3">
      <c r="A15" s="555" t="s">
        <v>833</v>
      </c>
      <c r="B15" s="555" t="s">
        <v>2091</v>
      </c>
      <c r="C15" s="272" t="str">
        <f>VLOOKUP(A15,bond!B:C,2,FALSE)</f>
        <v>快捷藥方控股公司美元配息債券 4.8% 2046/7/15</v>
      </c>
    </row>
    <row r="16" spans="1:3">
      <c r="A16" s="555" t="s">
        <v>918</v>
      </c>
      <c r="B16" s="555" t="s">
        <v>2091</v>
      </c>
      <c r="C16" s="272" t="str">
        <f>VLOOKUP(A16,bond!B:C,2,FALSE)</f>
        <v>阿聯酋杜拜國家銀行澳幣配息債券 3.05% 2030/2/26</v>
      </c>
    </row>
    <row r="17" spans="1:3">
      <c r="A17" s="555" t="s">
        <v>1011</v>
      </c>
      <c r="B17" s="555" t="s">
        <v>2091</v>
      </c>
      <c r="C17" s="272" t="e">
        <f>VLOOKUP(A17,bond!B:C,2,FALSE)</f>
        <v>#N/A</v>
      </c>
    </row>
    <row r="18" spans="1:3">
      <c r="A18" s="555" t="s">
        <v>1014</v>
      </c>
      <c r="B18" s="555" t="s">
        <v>2091</v>
      </c>
      <c r="C18" s="272" t="str">
        <f>VLOOKUP(A18,bond!B:C,2,FALSE)</f>
        <v>花旗環球證券控股公司南非幣配息債券  7% 2030/12/23</v>
      </c>
    </row>
    <row r="19" spans="1:3">
      <c r="A19" s="555" t="s">
        <v>1131</v>
      </c>
      <c r="B19" s="555" t="s">
        <v>2091</v>
      </c>
      <c r="C19" s="272" t="str">
        <f>VLOOKUP(A19,bond!B:C,2,FALSE)</f>
        <v>威瑞森電信公司澳幣配息債券  3.5% 2039/11/4</v>
      </c>
    </row>
    <row r="20" spans="1:3">
      <c r="A20" s="555" t="s">
        <v>1229</v>
      </c>
      <c r="B20" s="555" t="s">
        <v>2091</v>
      </c>
      <c r="C20" s="272" t="str">
        <f>VLOOKUP(A20,bond!B:C,2,FALSE)</f>
        <v>卡達國家銀行金融有限公司人民幣配息債券 4% 2027/3/14</v>
      </c>
    </row>
    <row r="21" spans="1:3">
      <c r="A21" s="555" t="s">
        <v>554</v>
      </c>
      <c r="B21" s="555" t="s">
        <v>2091</v>
      </c>
      <c r="C21" s="272" t="e">
        <f>VLOOKUP(A21,bond!B:C,2,FALSE)</f>
        <v>#N/A</v>
      </c>
    </row>
    <row r="22" spans="1:3">
      <c r="A22" s="555" t="s">
        <v>739</v>
      </c>
      <c r="B22" s="555" t="s">
        <v>2091</v>
      </c>
      <c r="C22" s="272" t="e">
        <f>VLOOKUP(A22,bond!B:C,2,FALSE)</f>
        <v>#N/A</v>
      </c>
    </row>
    <row r="23" spans="1:3">
      <c r="A23" s="555" t="s">
        <v>551</v>
      </c>
      <c r="B23" s="555" t="s">
        <v>2091</v>
      </c>
      <c r="C23" s="272" t="e">
        <f>VLOOKUP(A23,bond!B:C,2,FALSE)</f>
        <v>#N/A</v>
      </c>
    </row>
    <row r="24" spans="1:3">
      <c r="A24" s="555" t="s">
        <v>553</v>
      </c>
      <c r="B24" s="555" t="s">
        <v>2091</v>
      </c>
      <c r="C24" s="272" t="e">
        <f>VLOOKUP(A24,bond!B:C,2,FALSE)</f>
        <v>#N/A</v>
      </c>
    </row>
    <row r="25" spans="1:3">
      <c r="A25" s="555" t="s">
        <v>555</v>
      </c>
      <c r="B25" s="555" t="s">
        <v>2091</v>
      </c>
      <c r="C25" s="272" t="e">
        <f>VLOOKUP(A25,bond!B:C,2,FALSE)</f>
        <v>#N/A</v>
      </c>
    </row>
    <row r="26" spans="1:3">
      <c r="A26" s="555" t="s">
        <v>558</v>
      </c>
      <c r="B26" s="555" t="s">
        <v>2091</v>
      </c>
      <c r="C26" s="272" t="e">
        <f>VLOOKUP(A26,bond!B:C,2,FALSE)</f>
        <v>#N/A</v>
      </c>
    </row>
    <row r="27" spans="1:3">
      <c r="A27" s="555" t="s">
        <v>568</v>
      </c>
      <c r="B27" s="555" t="s">
        <v>2091</v>
      </c>
      <c r="C27" s="272" t="e">
        <f>VLOOKUP(A27,bond!B:C,2,FALSE)</f>
        <v>#N/A</v>
      </c>
    </row>
    <row r="28" spans="1:3">
      <c r="A28" s="555" t="s">
        <v>579</v>
      </c>
      <c r="B28" s="555" t="s">
        <v>2091</v>
      </c>
      <c r="C28" s="272" t="e">
        <f>VLOOKUP(A28,bond!B:C,2,FALSE)</f>
        <v>#N/A</v>
      </c>
    </row>
    <row r="29" spans="1:3">
      <c r="A29" s="555" t="s">
        <v>601</v>
      </c>
      <c r="B29" s="555" t="s">
        <v>2091</v>
      </c>
      <c r="C29" s="272" t="str">
        <f>VLOOKUP(A29,bond!B:C,2,FALSE)</f>
        <v>西班牙國際銀行英國控股公司美元配息債券 5.625% 2045/9/15</v>
      </c>
    </row>
    <row r="30" spans="1:3">
      <c r="A30" s="555" t="s">
        <v>613</v>
      </c>
      <c r="B30" s="555" t="s">
        <v>2091</v>
      </c>
      <c r="C30" s="272" t="str">
        <f>VLOOKUP(A30,bond!B:C,2,FALSE)</f>
        <v>希捷硬碟美元配息債券 4.75% 2025/1/1</v>
      </c>
    </row>
    <row r="31" spans="1:3">
      <c r="A31" s="555" t="s">
        <v>783</v>
      </c>
      <c r="B31" s="555" t="s">
        <v>2091</v>
      </c>
      <c r="C31" s="272" t="e">
        <f>VLOOKUP(A31,bond!B:C,2,FALSE)</f>
        <v>#N/A</v>
      </c>
    </row>
    <row r="32" spans="1:3">
      <c r="A32" s="555" t="s">
        <v>793</v>
      </c>
      <c r="B32" s="555" t="s">
        <v>2091</v>
      </c>
      <c r="C32" s="272" t="e">
        <f>VLOOKUP(A32,bond!B:C,2,FALSE)</f>
        <v>#N/A</v>
      </c>
    </row>
    <row r="33" spans="1:3">
      <c r="A33" s="555" t="s">
        <v>796</v>
      </c>
      <c r="B33" s="555" t="s">
        <v>2091</v>
      </c>
      <c r="C33" s="272" t="str">
        <f>VLOOKUP(A33,bond!B:C,2,FALSE)</f>
        <v>威騰電子公司美元配息債券 4.75% 2026/2/15</v>
      </c>
    </row>
    <row r="34" spans="1:3">
      <c r="A34" s="555" t="s">
        <v>853</v>
      </c>
      <c r="B34" s="555" t="s">
        <v>2091</v>
      </c>
      <c r="C34" s="272" t="str">
        <f>VLOOKUP(A34,bond!B:C,2,FALSE)</f>
        <v>法國電力公司美元配息債券 5.6% 2040/1/27</v>
      </c>
    </row>
    <row r="35" spans="1:3">
      <c r="A35" s="555" t="s">
        <v>886</v>
      </c>
      <c r="B35" s="555" t="s">
        <v>2091</v>
      </c>
      <c r="C35" s="272" t="str">
        <f>VLOOKUP(A35,bond!B:C,2,FALSE)</f>
        <v>Fibria海外金融有限公司美元配息債券 5.5% 2027/1/17</v>
      </c>
    </row>
    <row r="36" spans="1:3">
      <c r="A36" s="555" t="s">
        <v>894</v>
      </c>
      <c r="B36" s="555" t="s">
        <v>2091</v>
      </c>
      <c r="C36" s="272" t="str">
        <f>VLOOKUP(A36,bond!B:C,2,FALSE)</f>
        <v>智遊網集團公司美元配息債券 3.8% 2028/2/15</v>
      </c>
    </row>
    <row r="37" spans="1:3">
      <c r="A37" s="555" t="s">
        <v>1176</v>
      </c>
      <c r="B37" s="555" t="s">
        <v>2091</v>
      </c>
      <c r="C37" s="272" t="str">
        <f>VLOOKUP(A37,bond!B:C,2,FALSE)</f>
        <v>安進公司美元配息債券 3.375% 2050/2/21</v>
      </c>
    </row>
    <row r="38" spans="1:3">
      <c r="A38" s="555" t="s">
        <v>639</v>
      </c>
      <c r="B38" s="555" t="s">
        <v>2091</v>
      </c>
      <c r="C38" s="272" t="str">
        <f>VLOOKUP(A38,bond!B:C,2,FALSE)</f>
        <v>南非開發銀行南非幣零息債券 0% 2027/12/31</v>
      </c>
    </row>
    <row r="39" spans="1:3">
      <c r="A39" s="555" t="s">
        <v>654</v>
      </c>
      <c r="B39" s="555" t="s">
        <v>2091</v>
      </c>
      <c r="C39" s="272" t="str">
        <f>VLOOKUP(A39,bond!B:C,2,FALSE)</f>
        <v>土耳其政府美元配息債券 11.875% 2030/1/15</v>
      </c>
    </row>
    <row r="40" spans="1:3">
      <c r="A40" s="555" t="s">
        <v>682</v>
      </c>
      <c r="B40" s="555" t="s">
        <v>2091</v>
      </c>
      <c r="C40" s="272" t="str">
        <f>VLOOKUP(A40,bond!B:C,2,FALSE)</f>
        <v>音巴克公司美元配息債券 7.995% 2036/6/1</v>
      </c>
    </row>
    <row r="41" spans="1:3">
      <c r="A41" s="555" t="s">
        <v>726</v>
      </c>
      <c r="B41" s="555" t="s">
        <v>2091</v>
      </c>
      <c r="C41" s="272" t="str">
        <f>VLOOKUP(A41,bond!B:C,2,FALSE)</f>
        <v>俄羅斯聯邦政府美元配息債券 4.25% 2027/6/23</v>
      </c>
    </row>
    <row r="42" spans="1:3">
      <c r="A42" s="555" t="s">
        <v>735</v>
      </c>
      <c r="B42" s="555" t="s">
        <v>2091</v>
      </c>
      <c r="C42" s="272" t="str">
        <f>VLOOKUP(A42,bond!B:C,2,FALSE)</f>
        <v>俄羅斯天然氣集團美元配息債券 7.288% 2037/8/16</v>
      </c>
    </row>
    <row r="43" spans="1:3">
      <c r="A43" s="555" t="s">
        <v>777</v>
      </c>
      <c r="B43" s="555" t="s">
        <v>2091</v>
      </c>
      <c r="C43" s="272" t="str">
        <f>VLOOKUP(A43,bond!B:C,2,FALSE)</f>
        <v>固特異輪胎橡膠公司美元配息債券 5% 2026/5/31</v>
      </c>
    </row>
    <row r="44" spans="1:3">
      <c r="A44" s="555" t="s">
        <v>827</v>
      </c>
      <c r="B44" s="555" t="s">
        <v>2091</v>
      </c>
      <c r="C44" s="272" t="str">
        <f>VLOOKUP(A44,bond!B:C,2,FALSE)</f>
        <v>義大利電信資本公司美元配息債券 7.721% 2038/6/4</v>
      </c>
    </row>
    <row r="45" spans="1:3">
      <c r="B45" s="555"/>
    </row>
  </sheetData>
  <autoFilter ref="A1:C45" xr:uid="{00000000-0009-0000-0000-000019000000}"/>
  <phoneticPr fontId="53" type="noConversion"/>
  <conditionalFormatting sqref="B2:B45">
    <cfRule type="cellIs" dxfId="106" priority="1" operator="equal">
      <formula>"高資產客戶"</formula>
    </cfRule>
  </conditionalFormatting>
  <conditionalFormatting sqref="B2:B1048576">
    <cfRule type="cellIs" dxfId="105" priority="2" operator="equal">
      <formula>"已下架"</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工作表1">
    <tabColor theme="6"/>
  </sheetPr>
  <dimension ref="A1:G12"/>
  <sheetViews>
    <sheetView workbookViewId="0"/>
  </sheetViews>
  <sheetFormatPr defaultColWidth="8.85546875" defaultRowHeight="15.5"/>
  <cols>
    <col min="1" max="1" width="7.0703125" style="272" bestFit="1" customWidth="1"/>
    <col min="2" max="2" width="13.42578125" style="272" bestFit="1" customWidth="1"/>
    <col min="3" max="3" width="12.42578125" style="271" bestFit="1" customWidth="1"/>
    <col min="4" max="5" width="8.85546875" style="271"/>
    <col min="6" max="6" width="15.28515625" style="271" bestFit="1" customWidth="1"/>
    <col min="7" max="7" width="18.28515625" style="271" customWidth="1"/>
    <col min="8" max="16384" width="8.85546875" style="271"/>
  </cols>
  <sheetData>
    <row r="1" spans="1:7">
      <c r="A1" s="273" t="s">
        <v>542</v>
      </c>
      <c r="B1" s="274" t="s">
        <v>199</v>
      </c>
      <c r="C1" s="268" t="s">
        <v>1723</v>
      </c>
      <c r="D1" s="268" t="s">
        <v>1720</v>
      </c>
      <c r="E1" s="268" t="s">
        <v>1722</v>
      </c>
      <c r="F1" s="284" t="s">
        <v>1719</v>
      </c>
      <c r="G1" s="284" t="s">
        <v>1740</v>
      </c>
    </row>
    <row r="2" spans="1:7">
      <c r="A2" s="275" t="s">
        <v>739</v>
      </c>
      <c r="B2" s="276" t="s">
        <v>740</v>
      </c>
      <c r="C2" s="278">
        <v>4</v>
      </c>
      <c r="D2" s="277" t="s">
        <v>1721</v>
      </c>
      <c r="E2" s="279">
        <v>1.6E-2</v>
      </c>
      <c r="F2" s="277" t="str">
        <f t="shared" ref="F2:F7" si="0">CONCATENATE(D2,"+",TEXT(E2,"0.000%"))</f>
        <v>US0003M+1.600%</v>
      </c>
      <c r="G2" s="298">
        <f>VLOOKUP(D2,'1_重設數據'!A:B,2,FALSE)/100+E2</f>
        <v>7.1862100000000012E-2</v>
      </c>
    </row>
    <row r="3" spans="1:7">
      <c r="A3" s="275" t="s">
        <v>753</v>
      </c>
      <c r="B3" s="280" t="s">
        <v>755</v>
      </c>
      <c r="C3" s="278">
        <v>4</v>
      </c>
      <c r="D3" s="277" t="s">
        <v>1721</v>
      </c>
      <c r="E3" s="279">
        <v>1.7270000000000001E-2</v>
      </c>
      <c r="F3" s="277" t="str">
        <f t="shared" si="0"/>
        <v>US0003M+1.727%</v>
      </c>
      <c r="G3" s="298">
        <f>VLOOKUP(D3,'1_重設數據'!A:B,2,FALSE)/100+E3</f>
        <v>7.3132100000000005E-2</v>
      </c>
    </row>
    <row r="4" spans="1:7">
      <c r="A4" s="275" t="s">
        <v>767</v>
      </c>
      <c r="B4" s="280" t="s">
        <v>768</v>
      </c>
      <c r="C4" s="278">
        <v>1</v>
      </c>
      <c r="D4" s="277" t="s">
        <v>1724</v>
      </c>
      <c r="E4" s="279">
        <v>2.8799999999999999E-2</v>
      </c>
      <c r="F4" s="277" t="str">
        <f t="shared" si="0"/>
        <v>ADSW5+2.880%</v>
      </c>
      <c r="G4" s="298">
        <f>VLOOKUP(D4,'1_重設數據'!A:B,2,FALSE)/100+E4</f>
        <v>7.2687600000000005E-2</v>
      </c>
    </row>
    <row r="5" spans="1:7">
      <c r="A5" s="275" t="s">
        <v>1750</v>
      </c>
      <c r="B5" s="280" t="s">
        <v>1056</v>
      </c>
      <c r="C5" s="281">
        <v>4</v>
      </c>
      <c r="D5" s="282" t="s">
        <v>1725</v>
      </c>
      <c r="E5" s="283">
        <v>1.46E-2</v>
      </c>
      <c r="F5" s="282" t="str">
        <f t="shared" si="0"/>
        <v>SOFRRATE+1.460%</v>
      </c>
      <c r="G5" s="299">
        <f>VLOOKUP(D5,'1_重設數據'!A:B,2,FALSE)/100+E5</f>
        <v>6.7999999999999991E-2</v>
      </c>
    </row>
    <row r="6" spans="1:7">
      <c r="A6" s="275" t="s">
        <v>1057</v>
      </c>
      <c r="B6" s="276" t="s">
        <v>1058</v>
      </c>
      <c r="C6" s="278">
        <v>4</v>
      </c>
      <c r="D6" s="277" t="s">
        <v>1725</v>
      </c>
      <c r="E6" s="279">
        <v>1.5129999999999999E-2</v>
      </c>
      <c r="F6" s="277" t="str">
        <f t="shared" si="0"/>
        <v>SOFRRATE+1.513%</v>
      </c>
      <c r="G6" s="298">
        <f>VLOOKUP(D6,'1_重設數據'!A:B,2,FALSE)/100+E6</f>
        <v>6.8529999999999994E-2</v>
      </c>
    </row>
    <row r="7" spans="1:7">
      <c r="A7" s="275" t="s">
        <v>1247</v>
      </c>
      <c r="B7" s="280" t="s">
        <v>1250</v>
      </c>
      <c r="C7" s="278">
        <v>2</v>
      </c>
      <c r="D7" s="277" t="s">
        <v>1726</v>
      </c>
      <c r="E7" s="279">
        <v>2.0500000000000001E-2</v>
      </c>
      <c r="F7" s="277" t="str">
        <f t="shared" si="0"/>
        <v>H15T1Y+2.050%</v>
      </c>
      <c r="G7" s="298">
        <f>VLOOKUP(D7,'1_重設數據'!A:B,2,FALSE)/100+E7</f>
        <v>7.1400000000000005E-2</v>
      </c>
    </row>
    <row r="8" spans="1:7">
      <c r="C8"/>
      <c r="D8"/>
      <c r="E8"/>
      <c r="F8"/>
      <c r="G8"/>
    </row>
    <row r="9" spans="1:7">
      <c r="C9"/>
      <c r="D9"/>
      <c r="E9"/>
      <c r="F9"/>
      <c r="G9"/>
    </row>
    <row r="10" spans="1:7">
      <c r="C10"/>
      <c r="D10"/>
      <c r="E10"/>
      <c r="F10"/>
      <c r="G10"/>
    </row>
    <row r="11" spans="1:7">
      <c r="C11"/>
      <c r="D11"/>
      <c r="E11"/>
      <c r="F11"/>
      <c r="G11"/>
    </row>
    <row r="12" spans="1:7">
      <c r="C12"/>
      <c r="D12"/>
      <c r="E12"/>
      <c r="F12"/>
      <c r="G12"/>
    </row>
  </sheetData>
  <phoneticPr fontId="53"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工作表8">
    <tabColor theme="6"/>
  </sheetPr>
  <dimension ref="A1:K291"/>
  <sheetViews>
    <sheetView topLeftCell="A50" workbookViewId="0">
      <selection sqref="A1:XFD1048576"/>
    </sheetView>
  </sheetViews>
  <sheetFormatPr defaultRowHeight="15.5"/>
  <cols>
    <col min="1" max="8" width="11.2109375" style="777" bestFit="1" customWidth="1"/>
  </cols>
  <sheetData>
    <row r="1" spans="1:11">
      <c r="A1" s="772" t="s">
        <v>0</v>
      </c>
      <c r="B1" s="772" t="s">
        <v>529</v>
      </c>
      <c r="C1" s="772" t="s">
        <v>530</v>
      </c>
      <c r="D1" s="772" t="s">
        <v>534</v>
      </c>
      <c r="E1" s="772" t="s">
        <v>533</v>
      </c>
      <c r="F1" s="772" t="s">
        <v>531</v>
      </c>
      <c r="G1" s="772" t="s">
        <v>532</v>
      </c>
      <c r="H1" s="772" t="s">
        <v>2188</v>
      </c>
      <c r="K1" t="s">
        <v>2306</v>
      </c>
    </row>
    <row r="2" spans="1:11" ht="16" thickBot="1">
      <c r="A2" s="773" t="s">
        <v>2147</v>
      </c>
      <c r="B2" s="774" t="s">
        <v>2149</v>
      </c>
      <c r="C2" s="774" t="s">
        <v>2151</v>
      </c>
      <c r="D2" s="773" t="s">
        <v>2146</v>
      </c>
      <c r="E2" s="773" t="s">
        <v>2148</v>
      </c>
      <c r="F2" s="774" t="s">
        <v>2150</v>
      </c>
      <c r="G2" s="774" t="s">
        <v>2152</v>
      </c>
      <c r="H2" s="774" t="s">
        <v>2307</v>
      </c>
    </row>
    <row r="3" spans="1:11" ht="16" thickTop="1">
      <c r="A3" s="775">
        <v>42005</v>
      </c>
      <c r="B3" s="775">
        <v>42005</v>
      </c>
      <c r="C3" s="775">
        <v>42005</v>
      </c>
      <c r="D3" s="775">
        <v>42005</v>
      </c>
      <c r="E3" s="776">
        <v>42005</v>
      </c>
      <c r="F3" s="775">
        <v>42005</v>
      </c>
      <c r="G3" s="775">
        <v>42005</v>
      </c>
      <c r="H3" s="777">
        <v>44927</v>
      </c>
    </row>
    <row r="4" spans="1:11">
      <c r="A4" s="776">
        <v>42023</v>
      </c>
      <c r="B4" s="776">
        <v>42006</v>
      </c>
      <c r="C4" s="776">
        <v>42084</v>
      </c>
      <c r="D4" s="776">
        <v>42030</v>
      </c>
      <c r="E4" s="775">
        <v>42051</v>
      </c>
      <c r="F4" s="776">
        <v>42006</v>
      </c>
      <c r="G4" s="776">
        <v>42092</v>
      </c>
      <c r="H4" s="777">
        <v>44928</v>
      </c>
    </row>
    <row r="5" spans="1:11">
      <c r="A5" s="775">
        <v>42051</v>
      </c>
      <c r="B5" s="775">
        <v>42007</v>
      </c>
      <c r="C5" s="775">
        <v>42097</v>
      </c>
      <c r="D5" s="775">
        <v>42072</v>
      </c>
      <c r="E5" s="776">
        <v>42097</v>
      </c>
      <c r="F5" s="775">
        <v>42041</v>
      </c>
      <c r="G5" s="775">
        <v>42097</v>
      </c>
      <c r="H5" s="777">
        <v>44946</v>
      </c>
    </row>
    <row r="6" spans="1:11">
      <c r="A6" s="776">
        <v>42071</v>
      </c>
      <c r="B6" s="776">
        <v>42053</v>
      </c>
      <c r="C6" s="776">
        <v>42100</v>
      </c>
      <c r="D6" s="776">
        <v>42097</v>
      </c>
      <c r="E6" s="775">
        <v>42142</v>
      </c>
      <c r="F6" s="776">
        <v>42097</v>
      </c>
      <c r="G6" s="776">
        <v>42100</v>
      </c>
      <c r="H6" s="777">
        <v>44947</v>
      </c>
    </row>
    <row r="7" spans="1:11">
      <c r="A7" s="775">
        <v>42097</v>
      </c>
      <c r="B7" s="775">
        <v>42054</v>
      </c>
      <c r="C7" s="775">
        <v>42121</v>
      </c>
      <c r="D7" s="775">
        <v>42100</v>
      </c>
      <c r="E7" s="776">
        <v>42186</v>
      </c>
      <c r="F7" s="775">
        <v>42100</v>
      </c>
      <c r="G7" s="775">
        <v>42125</v>
      </c>
      <c r="H7" s="777">
        <v>44948</v>
      </c>
    </row>
    <row r="8" spans="1:11">
      <c r="A8" s="776">
        <v>42149</v>
      </c>
      <c r="B8" s="776">
        <v>42055</v>
      </c>
      <c r="C8" s="776">
        <v>42125</v>
      </c>
      <c r="D8" s="776">
        <v>42119</v>
      </c>
      <c r="E8" s="775">
        <v>42219</v>
      </c>
      <c r="F8" s="776">
        <v>42119</v>
      </c>
      <c r="G8" s="776">
        <v>42302</v>
      </c>
      <c r="H8" s="777">
        <v>44949</v>
      </c>
    </row>
    <row r="9" spans="1:11">
      <c r="A9" s="775">
        <v>42188</v>
      </c>
      <c r="B9" s="775">
        <v>42056</v>
      </c>
      <c r="C9" s="775">
        <v>42171</v>
      </c>
      <c r="D9" s="775">
        <v>42163</v>
      </c>
      <c r="E9" s="776">
        <v>42254</v>
      </c>
      <c r="F9" s="775">
        <v>42121</v>
      </c>
      <c r="G9" s="775">
        <v>42363</v>
      </c>
      <c r="H9" s="777">
        <v>44950</v>
      </c>
    </row>
    <row r="10" spans="1:11">
      <c r="A10" s="776">
        <v>42189</v>
      </c>
      <c r="B10" s="776">
        <v>42057</v>
      </c>
      <c r="C10" s="776">
        <v>42225</v>
      </c>
      <c r="D10" s="776">
        <v>42282</v>
      </c>
      <c r="E10" s="775">
        <v>42289</v>
      </c>
      <c r="F10" s="776">
        <v>42156</v>
      </c>
      <c r="G10" s="776">
        <v>42364</v>
      </c>
      <c r="H10" s="777">
        <v>44951</v>
      </c>
    </row>
    <row r="11" spans="1:11">
      <c r="A11" s="775">
        <v>42254</v>
      </c>
      <c r="B11" s="775">
        <v>42058</v>
      </c>
      <c r="C11" s="775">
        <v>42226</v>
      </c>
      <c r="D11" s="775">
        <v>42363</v>
      </c>
      <c r="E11" s="776">
        <v>42319</v>
      </c>
      <c r="F11" s="775">
        <v>42303</v>
      </c>
      <c r="G11" s="775">
        <v>42370</v>
      </c>
      <c r="H11" s="777">
        <v>44952</v>
      </c>
    </row>
    <row r="12" spans="1:11">
      <c r="A12" s="776">
        <v>42289</v>
      </c>
      <c r="B12" s="776">
        <v>42059</v>
      </c>
      <c r="C12" s="776">
        <v>42271</v>
      </c>
      <c r="D12" s="776">
        <v>42366</v>
      </c>
      <c r="E12" s="775">
        <v>42363</v>
      </c>
      <c r="F12" s="776">
        <v>42363</v>
      </c>
      <c r="G12" s="776">
        <v>42454</v>
      </c>
      <c r="H12" s="777">
        <v>44953</v>
      </c>
    </row>
    <row r="13" spans="1:11">
      <c r="A13" s="775">
        <v>42309</v>
      </c>
      <c r="B13" s="775">
        <v>42099</v>
      </c>
      <c r="C13" s="775">
        <v>42354</v>
      </c>
      <c r="D13" s="775">
        <v>42370</v>
      </c>
      <c r="E13" s="776">
        <v>42366</v>
      </c>
      <c r="F13" s="775">
        <v>42366</v>
      </c>
      <c r="G13" s="775">
        <v>42456</v>
      </c>
      <c r="H13" s="777">
        <v>44984</v>
      </c>
    </row>
    <row r="14" spans="1:11">
      <c r="A14" s="776">
        <v>42319</v>
      </c>
      <c r="B14" s="776">
        <v>42100</v>
      </c>
      <c r="C14" s="776">
        <v>42363</v>
      </c>
      <c r="D14" s="776">
        <v>42395</v>
      </c>
      <c r="E14" s="775">
        <v>42370</v>
      </c>
      <c r="F14" s="776">
        <v>42370</v>
      </c>
      <c r="G14" s="776">
        <v>42457</v>
      </c>
      <c r="H14" s="777">
        <v>44985</v>
      </c>
    </row>
    <row r="15" spans="1:11">
      <c r="A15" s="775">
        <v>42334</v>
      </c>
      <c r="B15" s="775">
        <v>42125</v>
      </c>
      <c r="C15" s="775">
        <v>42364</v>
      </c>
      <c r="D15" s="775">
        <v>42443</v>
      </c>
      <c r="E15" s="776">
        <v>42415</v>
      </c>
      <c r="F15" s="775">
        <v>42373</v>
      </c>
      <c r="G15" s="775">
        <v>42491</v>
      </c>
      <c r="H15" s="777">
        <v>45019</v>
      </c>
    </row>
    <row r="16" spans="1:11">
      <c r="A16" s="776">
        <v>42363</v>
      </c>
      <c r="B16" s="776">
        <v>42175</v>
      </c>
      <c r="C16" s="776">
        <v>42370</v>
      </c>
      <c r="D16" s="776">
        <v>42454</v>
      </c>
      <c r="E16" s="775">
        <v>42454</v>
      </c>
      <c r="F16" s="776">
        <v>42408</v>
      </c>
      <c r="G16" s="776">
        <v>42673</v>
      </c>
      <c r="H16" s="777">
        <v>45020</v>
      </c>
    </row>
    <row r="17" spans="1:8">
      <c r="A17" s="775">
        <v>42370</v>
      </c>
      <c r="B17" s="775">
        <v>42177</v>
      </c>
      <c r="C17" s="775">
        <v>42450</v>
      </c>
      <c r="D17" s="775">
        <v>42457</v>
      </c>
      <c r="E17" s="776">
        <v>42513</v>
      </c>
      <c r="F17" s="775">
        <v>42454</v>
      </c>
      <c r="G17" s="775">
        <v>42729</v>
      </c>
      <c r="H17" s="777">
        <v>45021</v>
      </c>
    </row>
    <row r="18" spans="1:8">
      <c r="A18" s="776">
        <v>42387</v>
      </c>
      <c r="B18" s="776">
        <v>42250</v>
      </c>
      <c r="C18" s="776">
        <v>42454</v>
      </c>
      <c r="D18" s="776">
        <v>42485</v>
      </c>
      <c r="E18" s="775">
        <v>42552</v>
      </c>
      <c r="F18" s="776">
        <v>42457</v>
      </c>
      <c r="G18" s="776">
        <v>42730</v>
      </c>
      <c r="H18" s="777">
        <v>45047</v>
      </c>
    </row>
    <row r="19" spans="1:8">
      <c r="A19" s="775">
        <v>42415</v>
      </c>
      <c r="B19" s="775">
        <v>42251</v>
      </c>
      <c r="C19" s="775">
        <v>42457</v>
      </c>
      <c r="D19" s="775">
        <v>42534</v>
      </c>
      <c r="E19" s="776">
        <v>42583</v>
      </c>
      <c r="F19" s="775">
        <v>42485</v>
      </c>
      <c r="G19" s="775">
        <v>42736</v>
      </c>
      <c r="H19" s="777">
        <v>45099</v>
      </c>
    </row>
    <row r="20" spans="1:8">
      <c r="A20" s="776">
        <v>42442</v>
      </c>
      <c r="B20" s="776">
        <v>42274</v>
      </c>
      <c r="C20" s="776">
        <v>42487</v>
      </c>
      <c r="D20" s="776">
        <v>42646</v>
      </c>
      <c r="E20" s="775">
        <v>42618</v>
      </c>
      <c r="F20" s="776">
        <v>42527</v>
      </c>
      <c r="G20" s="776">
        <v>42820</v>
      </c>
      <c r="H20" s="777">
        <v>45100</v>
      </c>
    </row>
    <row r="21" spans="1:8">
      <c r="A21" s="775">
        <v>42454</v>
      </c>
      <c r="B21" s="775">
        <v>42278</v>
      </c>
      <c r="C21" s="775">
        <v>42491</v>
      </c>
      <c r="D21" s="775">
        <v>42730</v>
      </c>
      <c r="E21" s="776">
        <v>42653</v>
      </c>
      <c r="F21" s="775">
        <v>42667</v>
      </c>
      <c r="G21" s="775">
        <v>42839</v>
      </c>
      <c r="H21" s="777">
        <v>45141</v>
      </c>
    </row>
    <row r="22" spans="1:8">
      <c r="A22" s="776">
        <v>42520</v>
      </c>
      <c r="B22" s="776">
        <v>42279</v>
      </c>
      <c r="C22" s="776">
        <v>42492</v>
      </c>
      <c r="D22" s="776">
        <v>42731</v>
      </c>
      <c r="E22" s="775">
        <v>42685</v>
      </c>
      <c r="F22" s="776">
        <v>42730</v>
      </c>
      <c r="G22" s="776">
        <v>42842</v>
      </c>
      <c r="H22" s="777">
        <v>45198</v>
      </c>
    </row>
    <row r="23" spans="1:8">
      <c r="A23" s="775">
        <v>42555</v>
      </c>
      <c r="B23" s="775">
        <v>42280</v>
      </c>
      <c r="C23" s="775">
        <v>42537</v>
      </c>
      <c r="D23" s="775">
        <v>42736</v>
      </c>
      <c r="E23" s="776">
        <v>42730</v>
      </c>
      <c r="F23" s="775">
        <v>42731</v>
      </c>
      <c r="G23" s="775">
        <v>42856</v>
      </c>
      <c r="H23" s="777">
        <v>45208</v>
      </c>
    </row>
    <row r="24" spans="1:8">
      <c r="A24" s="776">
        <v>42618</v>
      </c>
      <c r="B24" s="776">
        <v>42281</v>
      </c>
      <c r="C24" s="776">
        <v>42585</v>
      </c>
      <c r="D24" s="776">
        <v>42737</v>
      </c>
      <c r="E24" s="775">
        <v>42731</v>
      </c>
      <c r="F24" s="776">
        <v>42737</v>
      </c>
      <c r="G24" s="776">
        <v>43037</v>
      </c>
      <c r="H24" s="777">
        <v>45209</v>
      </c>
    </row>
    <row r="25" spans="1:8">
      <c r="A25" s="775">
        <v>42653</v>
      </c>
      <c r="B25" s="775">
        <v>42282</v>
      </c>
      <c r="C25" s="775">
        <v>42591</v>
      </c>
      <c r="D25" s="775">
        <v>42761</v>
      </c>
      <c r="E25" s="776">
        <v>42737</v>
      </c>
      <c r="F25" s="775">
        <v>42738</v>
      </c>
      <c r="G25" s="775">
        <v>43094</v>
      </c>
      <c r="H25" s="777">
        <v>45292</v>
      </c>
    </row>
    <row r="26" spans="1:8">
      <c r="A26" s="776">
        <v>42680</v>
      </c>
      <c r="B26" s="776">
        <v>42283</v>
      </c>
      <c r="C26" s="776">
        <v>42637</v>
      </c>
      <c r="D26" s="776">
        <v>42807</v>
      </c>
      <c r="E26" s="775">
        <v>42786</v>
      </c>
      <c r="F26" s="776">
        <v>42772</v>
      </c>
      <c r="G26" s="776">
        <v>43095</v>
      </c>
      <c r="H26" s="777">
        <v>45330</v>
      </c>
    </row>
    <row r="27" spans="1:8">
      <c r="A27" s="775">
        <v>42685</v>
      </c>
      <c r="B27" s="775">
        <v>42284</v>
      </c>
      <c r="C27" s="775">
        <v>42720</v>
      </c>
      <c r="D27" s="775">
        <v>42839</v>
      </c>
      <c r="E27" s="776">
        <v>42839</v>
      </c>
      <c r="F27" s="775">
        <v>42839</v>
      </c>
      <c r="G27" s="775">
        <v>43101</v>
      </c>
      <c r="H27" s="777">
        <v>45331</v>
      </c>
    </row>
    <row r="28" spans="1:8">
      <c r="A28" s="776">
        <v>42698</v>
      </c>
      <c r="B28" s="776">
        <v>42370</v>
      </c>
      <c r="C28" s="776">
        <v>42729</v>
      </c>
      <c r="D28" s="776">
        <v>42842</v>
      </c>
      <c r="E28" s="775">
        <v>42877</v>
      </c>
      <c r="F28" s="776">
        <v>42842</v>
      </c>
      <c r="G28" s="776">
        <v>43184</v>
      </c>
      <c r="H28" s="777">
        <v>45332</v>
      </c>
    </row>
    <row r="29" spans="1:8">
      <c r="A29" s="775">
        <v>42729</v>
      </c>
      <c r="B29" s="775">
        <v>42371</v>
      </c>
      <c r="C29" s="775">
        <v>42730</v>
      </c>
      <c r="D29" s="775">
        <v>42850</v>
      </c>
      <c r="E29" s="776">
        <v>42919</v>
      </c>
      <c r="F29" s="775">
        <v>42850</v>
      </c>
      <c r="G29" s="775">
        <v>43189</v>
      </c>
      <c r="H29" s="777">
        <v>45333</v>
      </c>
    </row>
    <row r="30" spans="1:8">
      <c r="A30" s="776">
        <v>42730</v>
      </c>
      <c r="B30" s="776">
        <v>42372</v>
      </c>
      <c r="C30" s="776">
        <v>42730</v>
      </c>
      <c r="D30" s="776">
        <v>42898</v>
      </c>
      <c r="E30" s="775">
        <v>42954</v>
      </c>
      <c r="F30" s="776">
        <v>42891</v>
      </c>
      <c r="G30" s="776">
        <v>43192</v>
      </c>
      <c r="H30" s="777">
        <v>45334</v>
      </c>
    </row>
    <row r="31" spans="1:8">
      <c r="A31" s="775">
        <v>42736</v>
      </c>
      <c r="B31" s="775">
        <v>42407</v>
      </c>
      <c r="C31" s="775">
        <v>42731</v>
      </c>
      <c r="D31" s="775">
        <v>42898</v>
      </c>
      <c r="E31" s="776">
        <v>42982</v>
      </c>
      <c r="F31" s="775">
        <v>43031</v>
      </c>
      <c r="G31" s="775">
        <v>43221</v>
      </c>
      <c r="H31" s="777">
        <v>45335</v>
      </c>
    </row>
    <row r="32" spans="1:8">
      <c r="A32" s="776">
        <v>42737</v>
      </c>
      <c r="B32" s="776">
        <v>42408</v>
      </c>
      <c r="C32" s="776">
        <v>42736</v>
      </c>
      <c r="D32" s="776">
        <v>43010</v>
      </c>
      <c r="E32" s="775">
        <v>43017</v>
      </c>
      <c r="F32" s="776">
        <v>43094</v>
      </c>
      <c r="G32" s="776">
        <v>43401</v>
      </c>
      <c r="H32" s="777">
        <v>45336</v>
      </c>
    </row>
    <row r="33" spans="1:8">
      <c r="A33" s="775">
        <v>42751</v>
      </c>
      <c r="B33" s="775">
        <v>42409</v>
      </c>
      <c r="C33" s="775">
        <v>42737</v>
      </c>
      <c r="D33" s="775">
        <v>43094</v>
      </c>
      <c r="E33" s="776">
        <v>43052</v>
      </c>
      <c r="F33" s="775">
        <v>43095</v>
      </c>
      <c r="G33" s="775">
        <v>43459</v>
      </c>
      <c r="H33" s="777">
        <v>45350</v>
      </c>
    </row>
    <row r="34" spans="1:8">
      <c r="A34" s="776">
        <v>42786</v>
      </c>
      <c r="B34" s="776">
        <v>42410</v>
      </c>
      <c r="C34" s="776">
        <v>42815</v>
      </c>
      <c r="D34" s="776">
        <v>43095</v>
      </c>
      <c r="E34" s="775">
        <v>43094</v>
      </c>
      <c r="F34" s="776">
        <v>43101</v>
      </c>
      <c r="G34" s="776">
        <v>43460</v>
      </c>
      <c r="H34" s="777">
        <v>45386</v>
      </c>
    </row>
    <row r="35" spans="1:8">
      <c r="A35" s="775">
        <v>42806</v>
      </c>
      <c r="B35" s="775">
        <v>42411</v>
      </c>
      <c r="C35" s="775">
        <v>42839</v>
      </c>
      <c r="D35" s="775">
        <v>43101</v>
      </c>
      <c r="E35" s="776">
        <v>43095</v>
      </c>
      <c r="F35" s="775">
        <v>43102</v>
      </c>
      <c r="G35" s="775">
        <v>43466</v>
      </c>
      <c r="H35" s="777">
        <v>45387</v>
      </c>
    </row>
    <row r="36" spans="1:8">
      <c r="A36" s="776">
        <v>42839</v>
      </c>
      <c r="B36" s="776">
        <v>42412</v>
      </c>
      <c r="C36" s="776">
        <v>42842</v>
      </c>
      <c r="D36" s="776">
        <v>43126</v>
      </c>
      <c r="E36" s="775">
        <v>43101</v>
      </c>
      <c r="F36" s="776">
        <v>43137</v>
      </c>
      <c r="G36" s="776">
        <v>43555</v>
      </c>
      <c r="H36" s="777">
        <v>45413</v>
      </c>
    </row>
    <row r="37" spans="1:8">
      <c r="A37" s="775">
        <v>42884</v>
      </c>
      <c r="B37" s="775">
        <v>42413</v>
      </c>
      <c r="C37" s="775">
        <v>42852</v>
      </c>
      <c r="D37" s="775">
        <v>43171</v>
      </c>
      <c r="E37" s="776">
        <v>43150</v>
      </c>
      <c r="F37" s="775">
        <v>43189</v>
      </c>
      <c r="G37" s="775">
        <v>43574</v>
      </c>
      <c r="H37" s="777">
        <v>45453</v>
      </c>
    </row>
    <row r="38" spans="1:8">
      <c r="A38" s="776">
        <v>42920</v>
      </c>
      <c r="B38" s="776">
        <v>42462</v>
      </c>
      <c r="C38" s="776">
        <v>42856</v>
      </c>
      <c r="D38" s="776">
        <v>43189</v>
      </c>
      <c r="E38" s="775">
        <v>43189</v>
      </c>
      <c r="F38" s="776">
        <v>43192</v>
      </c>
      <c r="G38" s="776">
        <v>43577</v>
      </c>
      <c r="H38" s="777">
        <v>45552</v>
      </c>
    </row>
    <row r="39" spans="1:8">
      <c r="A39" s="775">
        <v>42982</v>
      </c>
      <c r="B39" s="775">
        <v>42463</v>
      </c>
      <c r="C39" s="775">
        <v>42902</v>
      </c>
      <c r="D39" s="775">
        <v>43192</v>
      </c>
      <c r="E39" s="776">
        <v>43241</v>
      </c>
      <c r="F39" s="775">
        <v>43215</v>
      </c>
      <c r="G39" s="775">
        <v>43586</v>
      </c>
      <c r="H39" s="777">
        <v>45575</v>
      </c>
    </row>
    <row r="40" spans="1:8">
      <c r="A40" s="776">
        <v>43017</v>
      </c>
      <c r="B40" s="776">
        <v>42464</v>
      </c>
      <c r="C40" s="776">
        <v>42956</v>
      </c>
      <c r="D40" s="776">
        <v>43215</v>
      </c>
      <c r="E40" s="775">
        <v>43283</v>
      </c>
      <c r="F40" s="776">
        <v>43255</v>
      </c>
      <c r="G40" s="776">
        <v>43771</v>
      </c>
      <c r="H40" s="777">
        <v>45658</v>
      </c>
    </row>
    <row r="41" spans="1:8">
      <c r="A41" s="775">
        <v>43044</v>
      </c>
      <c r="B41" s="775">
        <v>42491</v>
      </c>
      <c r="C41" s="775">
        <v>43002</v>
      </c>
      <c r="D41" s="775">
        <v>43262</v>
      </c>
      <c r="E41" s="776">
        <v>43318</v>
      </c>
      <c r="F41" s="775">
        <v>43395</v>
      </c>
      <c r="G41" s="775">
        <v>43824</v>
      </c>
      <c r="H41" s="777">
        <v>45683</v>
      </c>
    </row>
    <row r="42" spans="1:8">
      <c r="A42" s="776">
        <v>43050</v>
      </c>
      <c r="B42" s="776">
        <v>42492</v>
      </c>
      <c r="C42" s="776">
        <v>43003</v>
      </c>
      <c r="D42" s="776">
        <v>43262</v>
      </c>
      <c r="E42" s="775">
        <v>43346</v>
      </c>
      <c r="F42" s="776">
        <v>43459</v>
      </c>
      <c r="G42" s="776">
        <v>43825</v>
      </c>
      <c r="H42" s="777">
        <v>45685</v>
      </c>
    </row>
    <row r="43" spans="1:8">
      <c r="A43" s="775">
        <v>43062</v>
      </c>
      <c r="B43" s="775">
        <v>42530</v>
      </c>
      <c r="C43" s="775">
        <v>43085</v>
      </c>
      <c r="D43" s="775">
        <v>43374</v>
      </c>
      <c r="E43" s="776">
        <v>43381</v>
      </c>
      <c r="F43" s="775">
        <v>43460</v>
      </c>
      <c r="G43" s="775">
        <v>43831</v>
      </c>
      <c r="H43" s="777">
        <v>45686</v>
      </c>
    </row>
    <row r="44" spans="1:8">
      <c r="A44" s="776">
        <v>43094</v>
      </c>
      <c r="B44" s="776">
        <v>42531</v>
      </c>
      <c r="C44" s="776">
        <v>43094</v>
      </c>
      <c r="D44" s="776">
        <v>43459</v>
      </c>
      <c r="E44" s="775">
        <v>43416</v>
      </c>
      <c r="F44" s="776">
        <v>43466</v>
      </c>
      <c r="G44" s="776">
        <v>43919</v>
      </c>
      <c r="H44" s="777">
        <v>45687</v>
      </c>
    </row>
    <row r="45" spans="1:8">
      <c r="A45" s="775">
        <v>43101</v>
      </c>
      <c r="B45" s="775">
        <v>42532</v>
      </c>
      <c r="C45" s="775">
        <v>43095</v>
      </c>
      <c r="D45" s="775">
        <v>43460</v>
      </c>
      <c r="E45" s="776">
        <v>43459</v>
      </c>
      <c r="F45" s="775">
        <v>43467</v>
      </c>
      <c r="G45" s="775">
        <v>43931</v>
      </c>
      <c r="H45" s="777">
        <v>45688</v>
      </c>
    </row>
    <row r="46" spans="1:8">
      <c r="A46" s="776">
        <v>43115</v>
      </c>
      <c r="B46" s="776">
        <v>42628</v>
      </c>
      <c r="C46" s="776">
        <v>43101</v>
      </c>
      <c r="D46" s="776">
        <v>43466</v>
      </c>
      <c r="E46" s="775">
        <v>43460</v>
      </c>
      <c r="F46" s="776">
        <v>43502</v>
      </c>
      <c r="G46" s="776">
        <v>43934</v>
      </c>
      <c r="H46" s="777">
        <v>45716</v>
      </c>
    </row>
    <row r="47" spans="1:8">
      <c r="A47" s="775">
        <v>43150</v>
      </c>
      <c r="B47" s="775">
        <v>42629</v>
      </c>
      <c r="C47" s="775">
        <v>43180</v>
      </c>
      <c r="D47" s="775">
        <v>43493</v>
      </c>
      <c r="E47" s="776">
        <v>43466</v>
      </c>
      <c r="F47" s="775">
        <v>43562</v>
      </c>
      <c r="G47" s="775">
        <v>43952</v>
      </c>
      <c r="H47" s="777">
        <v>45750</v>
      </c>
    </row>
    <row r="48" spans="1:8">
      <c r="A48" s="776">
        <v>43170</v>
      </c>
      <c r="B48" s="776">
        <v>42630</v>
      </c>
      <c r="C48" s="776">
        <v>43189</v>
      </c>
      <c r="D48" s="776">
        <v>43535</v>
      </c>
      <c r="E48" s="775">
        <v>43514</v>
      </c>
      <c r="F48" s="776">
        <v>43574</v>
      </c>
      <c r="G48" s="776">
        <v>44129</v>
      </c>
      <c r="H48" s="777">
        <v>45751</v>
      </c>
    </row>
    <row r="49" spans="1:8">
      <c r="A49" s="775">
        <v>43189</v>
      </c>
      <c r="B49" s="775">
        <v>42644</v>
      </c>
      <c r="C49" s="775">
        <v>43192</v>
      </c>
      <c r="D49" s="775">
        <v>43574</v>
      </c>
      <c r="E49" s="776">
        <v>43574</v>
      </c>
      <c r="F49" s="775">
        <v>43577</v>
      </c>
      <c r="G49" s="775">
        <v>44190</v>
      </c>
      <c r="H49" s="777">
        <v>45752</v>
      </c>
    </row>
    <row r="50" spans="1:8">
      <c r="A50" s="776">
        <v>43248</v>
      </c>
      <c r="B50" s="776">
        <v>42645</v>
      </c>
      <c r="C50" s="776">
        <v>43217</v>
      </c>
      <c r="D50" s="776">
        <v>43577</v>
      </c>
      <c r="E50" s="775">
        <v>43605</v>
      </c>
      <c r="F50" s="776">
        <v>43580</v>
      </c>
      <c r="G50" s="776">
        <v>44191</v>
      </c>
      <c r="H50" s="777">
        <v>45778</v>
      </c>
    </row>
    <row r="51" spans="1:8">
      <c r="A51" s="775">
        <v>43285</v>
      </c>
      <c r="B51" s="775">
        <v>42646</v>
      </c>
      <c r="C51" s="775">
        <v>43221</v>
      </c>
      <c r="D51" s="775">
        <v>43580</v>
      </c>
      <c r="E51" s="776">
        <v>43647</v>
      </c>
      <c r="F51" s="775">
        <v>43619</v>
      </c>
      <c r="G51" s="775">
        <v>44197</v>
      </c>
      <c r="H51" s="777">
        <v>45807</v>
      </c>
    </row>
    <row r="52" spans="1:8">
      <c r="A52" s="776">
        <v>43346</v>
      </c>
      <c r="B52" s="776">
        <v>42647</v>
      </c>
      <c r="C52" s="776">
        <v>43267</v>
      </c>
      <c r="D52" s="776">
        <v>43626</v>
      </c>
      <c r="E52" s="775">
        <v>43682</v>
      </c>
      <c r="F52" s="776">
        <v>43737</v>
      </c>
      <c r="G52" s="776">
        <v>44283</v>
      </c>
      <c r="H52" s="777">
        <v>45808</v>
      </c>
    </row>
    <row r="53" spans="1:8">
      <c r="A53" s="775">
        <v>43381</v>
      </c>
      <c r="B53" s="775">
        <v>42648</v>
      </c>
      <c r="C53" s="775">
        <v>43321</v>
      </c>
      <c r="D53" s="775">
        <v>43745</v>
      </c>
      <c r="E53" s="776">
        <v>43710</v>
      </c>
      <c r="F53" s="775">
        <v>43766</v>
      </c>
      <c r="G53" s="775">
        <v>44288</v>
      </c>
      <c r="H53" s="777">
        <v>45936</v>
      </c>
    </row>
    <row r="54" spans="1:8">
      <c r="A54" s="776">
        <v>43408</v>
      </c>
      <c r="B54" s="776">
        <v>42649</v>
      </c>
      <c r="C54" s="776">
        <v>43367</v>
      </c>
      <c r="D54" s="776">
        <v>43824</v>
      </c>
      <c r="E54" s="775">
        <v>43752</v>
      </c>
      <c r="F54" s="776">
        <v>43824</v>
      </c>
      <c r="G54" s="776">
        <v>44291</v>
      </c>
      <c r="H54" s="777">
        <v>45940</v>
      </c>
    </row>
    <row r="55" spans="1:8">
      <c r="A55" s="775">
        <v>43416</v>
      </c>
      <c r="B55" s="775">
        <v>42650</v>
      </c>
      <c r="C55" s="775">
        <v>43450</v>
      </c>
      <c r="D55" s="775">
        <v>43825</v>
      </c>
      <c r="E55" s="776">
        <v>43780</v>
      </c>
      <c r="F55" s="775">
        <v>43825</v>
      </c>
      <c r="G55" s="775">
        <v>44317</v>
      </c>
    </row>
    <row r="56" spans="1:8">
      <c r="A56" s="776">
        <v>43426</v>
      </c>
      <c r="B56" s="776">
        <v>42736</v>
      </c>
      <c r="C56" s="776">
        <v>43451</v>
      </c>
      <c r="D56" s="776">
        <v>43831</v>
      </c>
      <c r="E56" s="775">
        <v>43824</v>
      </c>
      <c r="F56" s="776">
        <v>43831</v>
      </c>
      <c r="G56" s="776">
        <v>44500</v>
      </c>
    </row>
    <row r="57" spans="1:8">
      <c r="A57" s="775">
        <v>43459</v>
      </c>
      <c r="B57" s="775">
        <v>42737</v>
      </c>
      <c r="C57" s="775">
        <v>43459</v>
      </c>
      <c r="D57" s="775">
        <v>43857</v>
      </c>
      <c r="E57" s="776">
        <v>43825</v>
      </c>
      <c r="F57" s="775">
        <v>43832</v>
      </c>
      <c r="G57" s="775">
        <v>44555</v>
      </c>
    </row>
    <row r="58" spans="1:8">
      <c r="A58" s="776">
        <v>43466</v>
      </c>
      <c r="B58" s="776">
        <v>42762</v>
      </c>
      <c r="C58" s="776">
        <v>43460</v>
      </c>
      <c r="D58" s="776">
        <v>43899</v>
      </c>
      <c r="E58" s="775">
        <v>43831</v>
      </c>
      <c r="F58" s="776">
        <v>43867</v>
      </c>
      <c r="G58" s="776">
        <v>44556</v>
      </c>
    </row>
    <row r="59" spans="1:8">
      <c r="A59" s="775">
        <v>43486</v>
      </c>
      <c r="B59" s="775">
        <v>42763</v>
      </c>
      <c r="C59" s="775">
        <v>43466</v>
      </c>
      <c r="D59" s="775">
        <v>43931</v>
      </c>
      <c r="E59" s="776">
        <v>43878</v>
      </c>
      <c r="F59" s="775">
        <v>43926</v>
      </c>
      <c r="G59" s="775">
        <v>44562</v>
      </c>
    </row>
    <row r="60" spans="1:8">
      <c r="A60" s="776">
        <v>43514</v>
      </c>
      <c r="B60" s="776">
        <v>42764</v>
      </c>
      <c r="C60" s="776">
        <v>43545</v>
      </c>
      <c r="D60" s="776">
        <v>43934</v>
      </c>
      <c r="E60" s="775">
        <v>43931</v>
      </c>
      <c r="F60" s="776">
        <v>43931</v>
      </c>
      <c r="G60" s="776">
        <v>44647</v>
      </c>
    </row>
    <row r="61" spans="1:8">
      <c r="A61" s="775">
        <v>43534</v>
      </c>
      <c r="B61" s="775">
        <v>42765</v>
      </c>
      <c r="C61" s="775">
        <v>43574</v>
      </c>
      <c r="D61" s="775">
        <v>43948</v>
      </c>
      <c r="E61" s="776">
        <v>43969</v>
      </c>
      <c r="F61" s="775">
        <v>43934</v>
      </c>
      <c r="G61" s="775">
        <v>44666</v>
      </c>
    </row>
    <row r="62" spans="1:8">
      <c r="A62" s="776">
        <v>43574</v>
      </c>
      <c r="B62" s="776">
        <v>42766</v>
      </c>
      <c r="C62" s="776">
        <v>43577</v>
      </c>
      <c r="D62" s="776">
        <v>43990</v>
      </c>
      <c r="E62" s="775">
        <v>44013</v>
      </c>
      <c r="F62" s="776">
        <v>43948</v>
      </c>
      <c r="G62" s="776">
        <v>44669</v>
      </c>
    </row>
    <row r="63" spans="1:8">
      <c r="A63" s="775">
        <v>43612</v>
      </c>
      <c r="B63" s="775">
        <v>42767</v>
      </c>
      <c r="C63" s="775">
        <v>43582</v>
      </c>
      <c r="D63" s="775">
        <v>44109</v>
      </c>
      <c r="E63" s="776">
        <v>44046</v>
      </c>
      <c r="F63" s="775">
        <v>43983</v>
      </c>
      <c r="G63" s="775">
        <v>44682</v>
      </c>
    </row>
    <row r="64" spans="1:8">
      <c r="A64" s="776">
        <v>43650</v>
      </c>
      <c r="B64" s="776">
        <v>42768</v>
      </c>
      <c r="C64" s="776">
        <v>43586</v>
      </c>
      <c r="D64" s="776">
        <v>44190</v>
      </c>
      <c r="E64" s="775">
        <v>44081</v>
      </c>
      <c r="F64" s="776">
        <v>44101</v>
      </c>
      <c r="G64" s="776">
        <v>44864</v>
      </c>
    </row>
    <row r="65" spans="1:7">
      <c r="A65" s="775">
        <v>43710</v>
      </c>
      <c r="B65" s="775">
        <v>42827</v>
      </c>
      <c r="C65" s="775">
        <v>43593</v>
      </c>
      <c r="D65" s="775">
        <v>44193</v>
      </c>
      <c r="E65" s="776">
        <v>44116</v>
      </c>
      <c r="F65" s="775">
        <v>44130</v>
      </c>
      <c r="G65" s="775">
        <v>44920</v>
      </c>
    </row>
    <row r="66" spans="1:7">
      <c r="A66" s="776">
        <v>43752</v>
      </c>
      <c r="B66" s="776">
        <v>42828</v>
      </c>
      <c r="C66" s="776">
        <v>43632</v>
      </c>
      <c r="D66" s="776">
        <v>44197</v>
      </c>
      <c r="E66" s="775">
        <v>44146</v>
      </c>
      <c r="F66" s="776">
        <v>44190</v>
      </c>
      <c r="G66" s="776">
        <v>44921</v>
      </c>
    </row>
    <row r="67" spans="1:7">
      <c r="A67" s="775">
        <v>43772</v>
      </c>
      <c r="B67" s="775">
        <v>42829</v>
      </c>
      <c r="C67" s="775">
        <v>43633</v>
      </c>
      <c r="D67" s="775">
        <v>44222</v>
      </c>
      <c r="E67" s="776">
        <v>44190</v>
      </c>
      <c r="F67" s="775">
        <v>44193</v>
      </c>
      <c r="G67" s="775">
        <v>44927</v>
      </c>
    </row>
    <row r="68" spans="1:7">
      <c r="A68" s="776">
        <v>43780</v>
      </c>
      <c r="B68" s="776">
        <v>42856</v>
      </c>
      <c r="C68" s="776">
        <v>43686</v>
      </c>
      <c r="D68" s="776">
        <v>44263</v>
      </c>
      <c r="E68" s="775">
        <v>44193</v>
      </c>
      <c r="F68" s="776">
        <v>44197</v>
      </c>
      <c r="G68" s="776">
        <v>45011</v>
      </c>
    </row>
    <row r="69" spans="1:7">
      <c r="A69" s="775">
        <v>43797</v>
      </c>
      <c r="B69" s="775">
        <v>42883</v>
      </c>
      <c r="C69" s="775">
        <v>43732</v>
      </c>
      <c r="D69" s="775">
        <v>44288</v>
      </c>
      <c r="E69" s="776">
        <v>44197</v>
      </c>
      <c r="F69" s="775">
        <v>44200</v>
      </c>
      <c r="G69" s="775">
        <v>45023</v>
      </c>
    </row>
    <row r="70" spans="1:7">
      <c r="A70" s="776">
        <v>43824</v>
      </c>
      <c r="B70" s="776">
        <v>42884</v>
      </c>
      <c r="C70" s="776">
        <v>43815</v>
      </c>
      <c r="D70" s="776">
        <v>44291</v>
      </c>
      <c r="E70" s="775">
        <v>44242</v>
      </c>
      <c r="F70" s="776">
        <v>44235</v>
      </c>
      <c r="G70" s="776">
        <v>45026</v>
      </c>
    </row>
    <row r="71" spans="1:7">
      <c r="A71" s="775">
        <v>43831</v>
      </c>
      <c r="B71" s="775">
        <v>42885</v>
      </c>
      <c r="C71" s="775">
        <v>43824</v>
      </c>
      <c r="D71" s="775">
        <v>44312</v>
      </c>
      <c r="E71" s="776">
        <v>44288</v>
      </c>
      <c r="F71" s="775">
        <v>44288</v>
      </c>
      <c r="G71" s="775">
        <v>45047</v>
      </c>
    </row>
    <row r="72" spans="1:7">
      <c r="A72" s="776">
        <v>43850</v>
      </c>
      <c r="B72" s="776">
        <v>43009</v>
      </c>
      <c r="C72" s="776">
        <v>43825</v>
      </c>
      <c r="D72" s="776">
        <v>44361</v>
      </c>
      <c r="E72" s="775">
        <v>44340</v>
      </c>
      <c r="F72" s="776">
        <v>44290</v>
      </c>
      <c r="G72" s="776">
        <v>45228</v>
      </c>
    </row>
    <row r="73" spans="1:7">
      <c r="A73" s="775">
        <v>43878</v>
      </c>
      <c r="B73" s="775">
        <v>43010</v>
      </c>
      <c r="C73" s="775">
        <v>43831</v>
      </c>
      <c r="D73" s="775">
        <v>44473</v>
      </c>
      <c r="E73" s="776">
        <v>44378</v>
      </c>
      <c r="F73" s="775">
        <v>44291</v>
      </c>
      <c r="G73" s="775">
        <v>45285</v>
      </c>
    </row>
    <row r="74" spans="1:7">
      <c r="A74" s="776">
        <v>43898</v>
      </c>
      <c r="B74" s="776">
        <v>43011</v>
      </c>
      <c r="C74" s="776">
        <v>43911</v>
      </c>
      <c r="D74" s="776">
        <v>44557</v>
      </c>
      <c r="E74" s="775">
        <v>44410</v>
      </c>
      <c r="F74" s="776">
        <v>44312</v>
      </c>
      <c r="G74" s="776">
        <v>45286</v>
      </c>
    </row>
    <row r="75" spans="1:7">
      <c r="A75" s="775">
        <v>43931</v>
      </c>
      <c r="B75" s="775">
        <v>43012</v>
      </c>
      <c r="C75" s="775">
        <v>43931</v>
      </c>
      <c r="D75" s="775">
        <v>44558</v>
      </c>
      <c r="E75" s="776">
        <v>44445</v>
      </c>
      <c r="F75" s="775">
        <v>44354</v>
      </c>
      <c r="G75" s="777">
        <v>45292</v>
      </c>
    </row>
    <row r="76" spans="1:7">
      <c r="A76" s="776">
        <v>43976</v>
      </c>
      <c r="B76" s="776">
        <v>43013</v>
      </c>
      <c r="C76" s="776">
        <v>43934</v>
      </c>
      <c r="D76" s="776">
        <v>44564</v>
      </c>
      <c r="E76" s="775">
        <v>44469</v>
      </c>
      <c r="F76" s="776">
        <v>44465</v>
      </c>
      <c r="G76" s="777">
        <v>45380</v>
      </c>
    </row>
    <row r="77" spans="1:7">
      <c r="A77" s="775">
        <v>44015</v>
      </c>
      <c r="B77" s="775">
        <v>43014</v>
      </c>
      <c r="C77" s="775">
        <v>43948</v>
      </c>
      <c r="D77" s="775">
        <v>44587</v>
      </c>
      <c r="E77" s="776">
        <v>44480</v>
      </c>
      <c r="F77" s="775">
        <v>44494</v>
      </c>
      <c r="G77" s="777">
        <v>45382</v>
      </c>
    </row>
    <row r="78" spans="1:7">
      <c r="A78" s="776">
        <v>44016</v>
      </c>
      <c r="B78" s="776">
        <v>43015</v>
      </c>
      <c r="C78" s="776">
        <v>43952</v>
      </c>
      <c r="D78" s="776">
        <v>44634</v>
      </c>
      <c r="E78" s="775">
        <v>44511</v>
      </c>
      <c r="F78" s="776">
        <v>44557</v>
      </c>
      <c r="G78" s="777">
        <v>45383</v>
      </c>
    </row>
    <row r="79" spans="1:7">
      <c r="A79" s="775">
        <v>44081</v>
      </c>
      <c r="B79" s="775">
        <v>43016</v>
      </c>
      <c r="C79" s="775">
        <v>43998</v>
      </c>
      <c r="D79" s="775">
        <v>44666</v>
      </c>
      <c r="E79" s="776">
        <v>44557</v>
      </c>
      <c r="F79" s="775">
        <v>44558</v>
      </c>
      <c r="G79" s="777">
        <v>45413</v>
      </c>
    </row>
    <row r="80" spans="1:7">
      <c r="A80" s="776">
        <v>44116</v>
      </c>
      <c r="B80" s="776">
        <v>43101</v>
      </c>
      <c r="C80" s="776">
        <v>44052</v>
      </c>
      <c r="D80" s="776">
        <v>44669</v>
      </c>
      <c r="E80" s="775">
        <v>44558</v>
      </c>
      <c r="F80" s="776">
        <v>44564</v>
      </c>
      <c r="G80" s="777">
        <v>45599</v>
      </c>
    </row>
    <row r="81" spans="1:7">
      <c r="A81" s="775">
        <v>44136</v>
      </c>
      <c r="B81" s="775">
        <v>43146</v>
      </c>
      <c r="C81" s="775">
        <v>44053</v>
      </c>
      <c r="D81" s="775">
        <v>44676</v>
      </c>
      <c r="E81" s="776">
        <v>44564</v>
      </c>
      <c r="F81" s="775">
        <v>44565</v>
      </c>
      <c r="G81" s="777">
        <v>45651</v>
      </c>
    </row>
    <row r="82" spans="1:7">
      <c r="A82" s="776">
        <v>44146</v>
      </c>
      <c r="B82" s="776">
        <v>43147</v>
      </c>
      <c r="C82" s="776">
        <v>44098</v>
      </c>
      <c r="D82" s="776">
        <v>44725</v>
      </c>
      <c r="E82" s="775">
        <v>44613</v>
      </c>
      <c r="F82" s="776">
        <v>44599</v>
      </c>
      <c r="G82" s="777">
        <v>45652</v>
      </c>
    </row>
    <row r="83" spans="1:7">
      <c r="A83" s="775">
        <v>44161</v>
      </c>
      <c r="B83" s="775">
        <v>43148</v>
      </c>
      <c r="C83" s="775">
        <v>44181</v>
      </c>
      <c r="D83" s="775">
        <v>44826</v>
      </c>
      <c r="E83" s="776">
        <v>44666</v>
      </c>
      <c r="F83" s="775">
        <v>44654</v>
      </c>
      <c r="G83" s="777">
        <v>45658</v>
      </c>
    </row>
    <row r="84" spans="1:7">
      <c r="A84" s="776">
        <v>44190</v>
      </c>
      <c r="B84" s="776">
        <v>43149</v>
      </c>
      <c r="C84" s="776">
        <v>44190</v>
      </c>
      <c r="D84" s="776">
        <v>44837</v>
      </c>
      <c r="E84" s="775">
        <v>44704</v>
      </c>
      <c r="F84" s="776">
        <v>44666</v>
      </c>
      <c r="G84" s="777">
        <v>45746</v>
      </c>
    </row>
    <row r="85" spans="1:7">
      <c r="A85" s="775">
        <v>44197</v>
      </c>
      <c r="B85" s="775">
        <v>43150</v>
      </c>
      <c r="C85" s="775">
        <v>44191</v>
      </c>
      <c r="D85" s="775">
        <v>44921</v>
      </c>
      <c r="E85" s="776">
        <v>44743</v>
      </c>
      <c r="F85" s="775">
        <v>44669</v>
      </c>
      <c r="G85" s="777">
        <v>45765</v>
      </c>
    </row>
    <row r="86" spans="1:7">
      <c r="A86" s="776">
        <v>44214</v>
      </c>
      <c r="B86" s="776">
        <v>43151</v>
      </c>
      <c r="C86" s="776">
        <v>44197</v>
      </c>
      <c r="D86" s="776">
        <v>44922</v>
      </c>
      <c r="E86" s="775">
        <v>44774</v>
      </c>
      <c r="F86" s="776">
        <v>44676</v>
      </c>
      <c r="G86" s="777">
        <v>45768</v>
      </c>
    </row>
    <row r="87" spans="1:7">
      <c r="A87" s="775">
        <v>44242</v>
      </c>
      <c r="B87" s="775">
        <v>43152</v>
      </c>
      <c r="C87" s="775">
        <v>44277</v>
      </c>
      <c r="D87" s="775">
        <v>44928</v>
      </c>
      <c r="E87" s="776">
        <v>44809</v>
      </c>
      <c r="F87" s="775">
        <v>44718</v>
      </c>
      <c r="G87" s="777">
        <v>45778</v>
      </c>
    </row>
    <row r="88" spans="1:7">
      <c r="A88" s="776">
        <v>44269</v>
      </c>
      <c r="B88" s="776">
        <v>43195</v>
      </c>
      <c r="C88" s="776">
        <v>44288</v>
      </c>
      <c r="D88" s="776">
        <v>44952</v>
      </c>
      <c r="E88" s="775">
        <v>44834</v>
      </c>
      <c r="F88" s="776">
        <v>44736</v>
      </c>
      <c r="G88" s="777">
        <v>45963</v>
      </c>
    </row>
    <row r="89" spans="1:7">
      <c r="A89" s="775">
        <v>44288</v>
      </c>
      <c r="B89" s="775">
        <v>43196</v>
      </c>
      <c r="C89" s="775">
        <v>44291</v>
      </c>
      <c r="D89" s="775">
        <v>44998</v>
      </c>
      <c r="E89" s="776">
        <v>44844</v>
      </c>
      <c r="F89" s="775">
        <v>44829</v>
      </c>
      <c r="G89" s="777">
        <v>46016</v>
      </c>
    </row>
    <row r="90" spans="1:7">
      <c r="A90" s="776">
        <v>44347</v>
      </c>
      <c r="B90" s="776">
        <v>43197</v>
      </c>
      <c r="C90" s="776">
        <v>44313</v>
      </c>
      <c r="D90" s="776">
        <v>45023</v>
      </c>
      <c r="E90" s="775">
        <v>44876</v>
      </c>
      <c r="F90" s="776">
        <v>44830</v>
      </c>
      <c r="G90" s="777">
        <v>46017</v>
      </c>
    </row>
    <row r="91" spans="1:7">
      <c r="A91" s="775">
        <v>44366</v>
      </c>
      <c r="B91" s="775">
        <v>43219</v>
      </c>
      <c r="C91" s="775">
        <v>44317</v>
      </c>
      <c r="D91" s="775">
        <v>45026</v>
      </c>
      <c r="E91" s="776">
        <v>44921</v>
      </c>
      <c r="F91" s="775">
        <v>44858</v>
      </c>
    </row>
    <row r="92" spans="1:7">
      <c r="A92" s="776">
        <v>44381</v>
      </c>
      <c r="B92" s="776">
        <v>43220</v>
      </c>
      <c r="C92" s="776">
        <v>44363</v>
      </c>
      <c r="D92" s="776">
        <v>45041</v>
      </c>
      <c r="E92" s="775">
        <v>44922</v>
      </c>
      <c r="F92" s="776">
        <v>44921</v>
      </c>
    </row>
    <row r="93" spans="1:7">
      <c r="A93" s="775">
        <v>44382</v>
      </c>
      <c r="B93" s="775">
        <v>43221</v>
      </c>
      <c r="C93" s="775">
        <v>44417</v>
      </c>
      <c r="D93" s="775">
        <v>45089</v>
      </c>
      <c r="E93" s="776">
        <v>44928</v>
      </c>
      <c r="F93" s="775">
        <v>44922</v>
      </c>
    </row>
    <row r="94" spans="1:7">
      <c r="A94" s="776">
        <v>44445</v>
      </c>
      <c r="B94" s="776">
        <v>43269</v>
      </c>
      <c r="C94" s="776">
        <v>44463</v>
      </c>
      <c r="D94" s="776">
        <v>45201</v>
      </c>
      <c r="E94" s="775">
        <v>44977</v>
      </c>
      <c r="F94" s="776">
        <v>44928</v>
      </c>
    </row>
    <row r="95" spans="1:7">
      <c r="A95" s="775">
        <v>44480</v>
      </c>
      <c r="B95" s="775">
        <v>43367</v>
      </c>
      <c r="C95" s="775">
        <v>44501</v>
      </c>
      <c r="D95" s="775">
        <v>45285</v>
      </c>
      <c r="E95" s="776">
        <v>45023</v>
      </c>
      <c r="F95" s="775">
        <v>44929</v>
      </c>
    </row>
    <row r="96" spans="1:7">
      <c r="A96" s="776">
        <v>44507</v>
      </c>
      <c r="B96" s="776">
        <v>43374</v>
      </c>
      <c r="C96" s="776">
        <v>44546</v>
      </c>
      <c r="D96" s="776">
        <v>45286</v>
      </c>
      <c r="E96" s="775">
        <v>45068</v>
      </c>
      <c r="F96" s="776">
        <v>44963</v>
      </c>
    </row>
    <row r="97" spans="1:6">
      <c r="A97" s="775">
        <v>44511</v>
      </c>
      <c r="B97" s="775">
        <v>43375</v>
      </c>
      <c r="C97" s="775">
        <v>44555</v>
      </c>
      <c r="D97" s="777">
        <v>45292</v>
      </c>
      <c r="E97" s="776">
        <v>45110</v>
      </c>
      <c r="F97" s="775">
        <v>45018</v>
      </c>
    </row>
    <row r="98" spans="1:6">
      <c r="A98" s="776">
        <v>44525</v>
      </c>
      <c r="B98" s="776">
        <v>43376</v>
      </c>
      <c r="C98" s="776">
        <v>44557</v>
      </c>
      <c r="D98" s="777">
        <v>45317</v>
      </c>
      <c r="E98" s="775">
        <v>45145</v>
      </c>
      <c r="F98" s="776">
        <v>45023</v>
      </c>
    </row>
    <row r="99" spans="1:6">
      <c r="A99" s="775">
        <v>44554</v>
      </c>
      <c r="B99" s="775">
        <v>43377</v>
      </c>
      <c r="C99" s="775">
        <v>44562</v>
      </c>
      <c r="D99" s="777">
        <v>45362</v>
      </c>
      <c r="E99" s="776">
        <v>45173</v>
      </c>
      <c r="F99" s="775">
        <v>45026</v>
      </c>
    </row>
    <row r="100" spans="1:6">
      <c r="A100" s="776">
        <v>44555</v>
      </c>
      <c r="B100" s="776">
        <v>43378</v>
      </c>
      <c r="C100" s="776">
        <v>44641</v>
      </c>
      <c r="D100" s="777">
        <v>45380</v>
      </c>
      <c r="E100" s="775">
        <v>45199</v>
      </c>
      <c r="F100" s="776">
        <v>45041</v>
      </c>
    </row>
    <row r="101" spans="1:6">
      <c r="A101" s="775">
        <v>44562</v>
      </c>
      <c r="B101" s="775">
        <v>43379</v>
      </c>
      <c r="C101" s="775">
        <v>44666</v>
      </c>
      <c r="D101" s="777">
        <v>45383</v>
      </c>
      <c r="E101" s="776">
        <v>45201</v>
      </c>
      <c r="F101" s="775">
        <v>45082</v>
      </c>
    </row>
    <row r="102" spans="1:6">
      <c r="A102" s="776">
        <v>44578</v>
      </c>
      <c r="B102" s="776">
        <v>43380</v>
      </c>
      <c r="C102" s="776">
        <v>44669</v>
      </c>
      <c r="D102" s="777">
        <v>45407</v>
      </c>
      <c r="E102" s="775">
        <v>45208</v>
      </c>
      <c r="F102" s="776">
        <v>45121</v>
      </c>
    </row>
    <row r="103" spans="1:6">
      <c r="A103" s="775">
        <v>44613</v>
      </c>
      <c r="B103" s="775">
        <v>43465</v>
      </c>
      <c r="C103" s="775">
        <v>44678</v>
      </c>
      <c r="D103" s="777">
        <v>45453</v>
      </c>
      <c r="E103" s="776">
        <v>45243</v>
      </c>
      <c r="F103" s="775">
        <v>45193</v>
      </c>
    </row>
    <row r="104" spans="1:6">
      <c r="A104" s="776">
        <v>44633</v>
      </c>
      <c r="B104" s="776">
        <v>43466</v>
      </c>
      <c r="C104" s="776">
        <v>44683</v>
      </c>
      <c r="D104" s="777">
        <v>45572</v>
      </c>
      <c r="E104" s="775">
        <v>45285</v>
      </c>
      <c r="F104" s="776">
        <v>45222</v>
      </c>
    </row>
    <row r="105" spans="1:6">
      <c r="A105" s="775">
        <v>44666</v>
      </c>
      <c r="B105" s="775">
        <v>43500</v>
      </c>
      <c r="C105" s="775">
        <v>44728</v>
      </c>
      <c r="D105" s="777">
        <v>45651</v>
      </c>
      <c r="E105" s="776">
        <v>45286</v>
      </c>
      <c r="F105" s="775">
        <v>45285</v>
      </c>
    </row>
    <row r="106" spans="1:6">
      <c r="A106" s="776">
        <v>44711</v>
      </c>
      <c r="B106" s="776">
        <v>43501</v>
      </c>
      <c r="C106" s="776">
        <v>44782</v>
      </c>
      <c r="D106" s="777">
        <v>45652</v>
      </c>
      <c r="E106" s="777">
        <v>45292</v>
      </c>
      <c r="F106" s="776">
        <v>45286</v>
      </c>
    </row>
    <row r="107" spans="1:6">
      <c r="A107" s="775">
        <v>44731</v>
      </c>
      <c r="B107" s="775">
        <v>43502</v>
      </c>
      <c r="C107" s="775">
        <v>44828</v>
      </c>
      <c r="D107" s="777">
        <v>45658</v>
      </c>
      <c r="E107" s="777">
        <v>45341</v>
      </c>
      <c r="F107" s="777">
        <v>45292</v>
      </c>
    </row>
    <row r="108" spans="1:6">
      <c r="A108" s="776">
        <v>44732</v>
      </c>
      <c r="B108" s="776">
        <v>43503</v>
      </c>
      <c r="C108" s="776">
        <v>44911</v>
      </c>
      <c r="D108" s="777">
        <v>45684</v>
      </c>
      <c r="E108" s="777">
        <v>45380</v>
      </c>
      <c r="F108" s="777">
        <v>45293</v>
      </c>
    </row>
    <row r="109" spans="1:6">
      <c r="A109" s="775">
        <v>44746</v>
      </c>
      <c r="B109" s="775">
        <v>43504</v>
      </c>
      <c r="C109" s="775">
        <v>44920</v>
      </c>
      <c r="D109" s="777">
        <v>45726</v>
      </c>
      <c r="E109" s="777">
        <v>45432</v>
      </c>
      <c r="F109" s="777">
        <v>45328</v>
      </c>
    </row>
    <row r="110" spans="1:6">
      <c r="A110" s="776">
        <v>44809</v>
      </c>
      <c r="B110" s="776">
        <v>43505</v>
      </c>
      <c r="C110" s="776">
        <v>44921</v>
      </c>
      <c r="D110" s="777">
        <v>45765</v>
      </c>
      <c r="E110" s="777">
        <v>45474</v>
      </c>
      <c r="F110" s="777">
        <v>45380</v>
      </c>
    </row>
    <row r="111" spans="1:6">
      <c r="A111" s="775">
        <v>44844</v>
      </c>
      <c r="B111" s="775">
        <v>43506</v>
      </c>
      <c r="C111" s="775">
        <v>44922</v>
      </c>
      <c r="D111" s="777">
        <v>45768</v>
      </c>
      <c r="E111" s="777">
        <v>45509</v>
      </c>
      <c r="F111" s="777">
        <v>45383</v>
      </c>
    </row>
    <row r="112" spans="1:6">
      <c r="A112" s="776">
        <v>44871</v>
      </c>
      <c r="B112" s="776">
        <v>43560</v>
      </c>
      <c r="C112" s="776">
        <v>44928</v>
      </c>
      <c r="D112" s="777">
        <v>45772</v>
      </c>
      <c r="E112" s="777">
        <v>45537</v>
      </c>
      <c r="F112" s="777">
        <v>45389</v>
      </c>
    </row>
    <row r="113" spans="1:6">
      <c r="A113" s="775">
        <v>44876</v>
      </c>
      <c r="B113" s="775">
        <v>43586</v>
      </c>
      <c r="C113" s="775">
        <v>45006</v>
      </c>
      <c r="D113" s="777">
        <v>45817</v>
      </c>
      <c r="E113" s="777">
        <v>45565</v>
      </c>
      <c r="F113" s="777">
        <v>45407</v>
      </c>
    </row>
    <row r="114" spans="1:6">
      <c r="A114" s="776">
        <v>44889</v>
      </c>
      <c r="B114" s="776">
        <v>43587</v>
      </c>
      <c r="C114" s="776">
        <v>45023</v>
      </c>
      <c r="D114" s="777">
        <v>45936</v>
      </c>
      <c r="E114" s="777">
        <v>45579</v>
      </c>
      <c r="F114" s="777">
        <v>45446</v>
      </c>
    </row>
    <row r="115" spans="1:6">
      <c r="A115" s="775">
        <v>44920</v>
      </c>
      <c r="B115" s="775">
        <v>43588</v>
      </c>
      <c r="C115" s="775">
        <v>45026</v>
      </c>
      <c r="D115" s="777">
        <v>46016</v>
      </c>
      <c r="E115" s="777">
        <v>45607</v>
      </c>
      <c r="F115" s="777">
        <v>45471</v>
      </c>
    </row>
    <row r="116" spans="1:6">
      <c r="A116" s="776">
        <v>44921</v>
      </c>
      <c r="B116" s="776">
        <v>43589</v>
      </c>
      <c r="C116" s="776">
        <v>45043</v>
      </c>
      <c r="D116" s="777">
        <v>46017</v>
      </c>
      <c r="E116" s="777">
        <v>45651</v>
      </c>
      <c r="F116" s="777">
        <v>45564</v>
      </c>
    </row>
    <row r="117" spans="1:6">
      <c r="A117" s="775">
        <v>44928</v>
      </c>
      <c r="B117" s="775">
        <v>43623</v>
      </c>
      <c r="C117" s="775">
        <v>45047</v>
      </c>
      <c r="E117" s="777">
        <v>45652</v>
      </c>
      <c r="F117" s="777">
        <v>45593</v>
      </c>
    </row>
    <row r="118" spans="1:6">
      <c r="A118" s="776">
        <v>44942</v>
      </c>
      <c r="B118" s="776">
        <v>43721</v>
      </c>
      <c r="C118" s="776">
        <v>45093</v>
      </c>
      <c r="E118" s="777">
        <v>45658</v>
      </c>
      <c r="F118" s="777">
        <v>45651</v>
      </c>
    </row>
    <row r="119" spans="1:6">
      <c r="A119" s="775">
        <v>44977</v>
      </c>
      <c r="B119" s="775">
        <v>43739</v>
      </c>
      <c r="C119" s="775">
        <v>45147</v>
      </c>
      <c r="E119" s="777">
        <v>45705</v>
      </c>
      <c r="F119" s="777">
        <v>45652</v>
      </c>
    </row>
    <row r="120" spans="1:6">
      <c r="A120" s="776">
        <v>44997</v>
      </c>
      <c r="B120" s="776">
        <v>43740</v>
      </c>
      <c r="C120" s="776">
        <v>45194</v>
      </c>
      <c r="E120" s="777">
        <v>45765</v>
      </c>
      <c r="F120" s="777">
        <v>45753</v>
      </c>
    </row>
    <row r="121" spans="1:6">
      <c r="A121" s="775">
        <v>45023</v>
      </c>
      <c r="B121" s="775">
        <v>43741</v>
      </c>
      <c r="C121" s="775">
        <v>45276</v>
      </c>
      <c r="E121" s="777">
        <v>45796</v>
      </c>
      <c r="F121" s="777">
        <v>45928</v>
      </c>
    </row>
    <row r="122" spans="1:6">
      <c r="A122" s="776">
        <v>45075</v>
      </c>
      <c r="B122" s="776">
        <v>43742</v>
      </c>
      <c r="C122" s="776">
        <v>45285</v>
      </c>
      <c r="E122" s="777">
        <v>45839</v>
      </c>
    </row>
    <row r="123" spans="1:6">
      <c r="A123" s="775">
        <v>45096</v>
      </c>
      <c r="B123" s="775">
        <v>43743</v>
      </c>
      <c r="C123" s="775">
        <v>45286</v>
      </c>
      <c r="E123" s="777">
        <v>45873</v>
      </c>
    </row>
    <row r="124" spans="1:6">
      <c r="A124" s="776">
        <v>45111</v>
      </c>
      <c r="B124" s="776">
        <v>43744</v>
      </c>
      <c r="C124" s="777">
        <v>45292</v>
      </c>
      <c r="E124" s="777">
        <v>45901</v>
      </c>
    </row>
    <row r="125" spans="1:6">
      <c r="A125" s="775">
        <v>45173</v>
      </c>
      <c r="B125" s="775">
        <v>43745</v>
      </c>
      <c r="C125" s="777">
        <v>45372</v>
      </c>
      <c r="E125" s="777">
        <v>45930</v>
      </c>
    </row>
    <row r="126" spans="1:6">
      <c r="A126" s="776">
        <v>45208</v>
      </c>
      <c r="B126" s="776">
        <v>43831</v>
      </c>
      <c r="C126" s="777">
        <v>45380</v>
      </c>
      <c r="E126" s="777">
        <v>45943</v>
      </c>
    </row>
    <row r="127" spans="1:6">
      <c r="A127" s="775">
        <v>45235</v>
      </c>
      <c r="B127" s="775">
        <v>43854</v>
      </c>
      <c r="C127" s="777">
        <v>45383</v>
      </c>
      <c r="E127" s="777">
        <v>45972</v>
      </c>
    </row>
    <row r="128" spans="1:6">
      <c r="A128" s="776">
        <v>45241</v>
      </c>
      <c r="B128" s="776">
        <v>43855</v>
      </c>
      <c r="C128" s="777">
        <v>45409</v>
      </c>
      <c r="E128" s="777">
        <v>46016</v>
      </c>
    </row>
    <row r="129" spans="1:5">
      <c r="A129" s="775">
        <v>45253</v>
      </c>
      <c r="B129" s="775">
        <v>43856</v>
      </c>
      <c r="C129" s="777">
        <v>45413</v>
      </c>
      <c r="E129" s="777">
        <v>46017</v>
      </c>
    </row>
    <row r="130" spans="1:5">
      <c r="A130" s="776">
        <v>45285</v>
      </c>
      <c r="B130" s="776">
        <v>43857</v>
      </c>
      <c r="C130" s="777">
        <v>45441</v>
      </c>
    </row>
    <row r="131" spans="1:5">
      <c r="A131" s="777">
        <v>45292</v>
      </c>
      <c r="B131" s="775">
        <v>43858</v>
      </c>
      <c r="C131" s="777">
        <v>45460</v>
      </c>
    </row>
    <row r="132" spans="1:5">
      <c r="A132" s="777">
        <v>45306</v>
      </c>
      <c r="B132" s="776">
        <v>43859</v>
      </c>
      <c r="C132" s="777">
        <v>45513</v>
      </c>
    </row>
    <row r="133" spans="1:5">
      <c r="A133" s="777">
        <v>45341</v>
      </c>
      <c r="B133" s="775">
        <v>43860</v>
      </c>
      <c r="C133" s="777">
        <v>45559</v>
      </c>
    </row>
    <row r="134" spans="1:5">
      <c r="A134" s="777">
        <v>45361</v>
      </c>
      <c r="B134" s="776">
        <v>43861</v>
      </c>
      <c r="C134" s="777">
        <v>45642</v>
      </c>
    </row>
    <row r="135" spans="1:5">
      <c r="A135" s="777">
        <v>45380</v>
      </c>
      <c r="B135" s="775">
        <v>43925</v>
      </c>
      <c r="C135" s="777">
        <v>45651</v>
      </c>
    </row>
    <row r="136" spans="1:5">
      <c r="A136" s="777">
        <v>45439</v>
      </c>
      <c r="B136" s="776">
        <v>43926</v>
      </c>
      <c r="C136" s="777">
        <v>45652</v>
      </c>
    </row>
    <row r="137" spans="1:5">
      <c r="A137" s="777">
        <v>45462</v>
      </c>
      <c r="B137" s="775">
        <v>43927</v>
      </c>
      <c r="C137" s="777">
        <v>45658</v>
      </c>
    </row>
    <row r="138" spans="1:5">
      <c r="A138" s="777">
        <v>45477</v>
      </c>
      <c r="B138" s="776">
        <v>43952</v>
      </c>
      <c r="C138" s="777">
        <v>45737</v>
      </c>
    </row>
    <row r="139" spans="1:5">
      <c r="A139" s="777">
        <v>45537</v>
      </c>
      <c r="B139" s="775">
        <v>43953</v>
      </c>
      <c r="C139" s="777">
        <v>45765</v>
      </c>
    </row>
    <row r="140" spans="1:5">
      <c r="A140" s="777">
        <v>45579</v>
      </c>
      <c r="B140" s="776">
        <v>43954</v>
      </c>
      <c r="C140" s="777">
        <v>45768</v>
      </c>
    </row>
    <row r="141" spans="1:5">
      <c r="A141" s="777">
        <v>45599</v>
      </c>
      <c r="B141" s="775">
        <v>43955</v>
      </c>
      <c r="C141" s="777">
        <v>45775</v>
      </c>
    </row>
    <row r="142" spans="1:5">
      <c r="A142" s="777">
        <v>45607</v>
      </c>
      <c r="B142" s="776">
        <v>43956</v>
      </c>
      <c r="C142" s="777">
        <v>45778</v>
      </c>
    </row>
    <row r="143" spans="1:5">
      <c r="A143" s="777">
        <v>45624</v>
      </c>
      <c r="B143" s="775">
        <v>44007</v>
      </c>
      <c r="C143" s="777">
        <v>45824</v>
      </c>
    </row>
    <row r="144" spans="1:5">
      <c r="A144" s="777">
        <v>45651</v>
      </c>
      <c r="B144" s="776">
        <v>44008</v>
      </c>
      <c r="C144" s="777">
        <v>45878</v>
      </c>
    </row>
    <row r="145" spans="1:3">
      <c r="A145" s="777">
        <v>45658</v>
      </c>
      <c r="B145" s="775">
        <v>44009</v>
      </c>
      <c r="C145" s="777">
        <v>45924</v>
      </c>
    </row>
    <row r="146" spans="1:3">
      <c r="A146" s="777">
        <v>45677</v>
      </c>
      <c r="B146" s="776">
        <v>44105</v>
      </c>
      <c r="C146" s="777">
        <v>46007</v>
      </c>
    </row>
    <row r="147" spans="1:3">
      <c r="A147" s="777">
        <v>45705</v>
      </c>
      <c r="B147" s="775">
        <v>44105</v>
      </c>
      <c r="C147" s="777">
        <v>46016</v>
      </c>
    </row>
    <row r="148" spans="1:3">
      <c r="A148" s="777">
        <v>45765</v>
      </c>
      <c r="B148" s="776">
        <v>44106</v>
      </c>
      <c r="C148" s="777">
        <v>46017</v>
      </c>
    </row>
    <row r="149" spans="1:3">
      <c r="A149" s="777">
        <v>45803</v>
      </c>
      <c r="B149" s="775">
        <v>44107</v>
      </c>
    </row>
    <row r="150" spans="1:3">
      <c r="A150" s="777">
        <v>45827</v>
      </c>
      <c r="B150" s="776">
        <v>44108</v>
      </c>
    </row>
    <row r="151" spans="1:3">
      <c r="A151" s="777">
        <v>45842</v>
      </c>
      <c r="B151" s="775">
        <v>44109</v>
      </c>
    </row>
    <row r="152" spans="1:3">
      <c r="A152" s="777">
        <v>45901</v>
      </c>
      <c r="B152" s="776">
        <v>44110</v>
      </c>
    </row>
    <row r="153" spans="1:3">
      <c r="A153" s="777">
        <v>45943</v>
      </c>
      <c r="B153" s="775">
        <v>44111</v>
      </c>
    </row>
    <row r="154" spans="1:3">
      <c r="A154" s="777">
        <v>45972</v>
      </c>
      <c r="B154" s="776">
        <v>44112</v>
      </c>
    </row>
    <row r="155" spans="1:3">
      <c r="A155" s="777">
        <v>45988</v>
      </c>
      <c r="B155" s="775">
        <v>44197</v>
      </c>
    </row>
    <row r="156" spans="1:3">
      <c r="A156" s="777">
        <v>46016</v>
      </c>
      <c r="B156" s="776">
        <v>44198</v>
      </c>
    </row>
    <row r="157" spans="1:3">
      <c r="B157" s="775">
        <v>44199</v>
      </c>
    </row>
    <row r="158" spans="1:3">
      <c r="B158" s="776">
        <v>44238</v>
      </c>
    </row>
    <row r="159" spans="1:3">
      <c r="B159" s="775">
        <v>44239</v>
      </c>
    </row>
    <row r="160" spans="1:3">
      <c r="B160" s="776">
        <v>44240</v>
      </c>
    </row>
    <row r="161" spans="2:2">
      <c r="B161" s="775">
        <v>44241</v>
      </c>
    </row>
    <row r="162" spans="2:2">
      <c r="B162" s="776">
        <v>44242</v>
      </c>
    </row>
    <row r="163" spans="2:2">
      <c r="B163" s="775">
        <v>44243</v>
      </c>
    </row>
    <row r="164" spans="2:2">
      <c r="B164" s="776">
        <v>44244</v>
      </c>
    </row>
    <row r="165" spans="2:2">
      <c r="B165" s="775">
        <v>44289</v>
      </c>
    </row>
    <row r="166" spans="2:2">
      <c r="B166" s="776">
        <v>44290</v>
      </c>
    </row>
    <row r="167" spans="2:2">
      <c r="B167" s="775">
        <v>44291</v>
      </c>
    </row>
    <row r="168" spans="2:2">
      <c r="B168" s="776">
        <v>44317</v>
      </c>
    </row>
    <row r="169" spans="2:2">
      <c r="B169" s="775">
        <v>44318</v>
      </c>
    </row>
    <row r="170" spans="2:2">
      <c r="B170" s="776">
        <v>44319</v>
      </c>
    </row>
    <row r="171" spans="2:2">
      <c r="B171" s="775">
        <v>44320</v>
      </c>
    </row>
    <row r="172" spans="2:2">
      <c r="B172" s="776">
        <v>44321</v>
      </c>
    </row>
    <row r="173" spans="2:2">
      <c r="B173" s="775">
        <v>44359</v>
      </c>
    </row>
    <row r="174" spans="2:2">
      <c r="B174" s="776">
        <v>44360</v>
      </c>
    </row>
    <row r="175" spans="2:2">
      <c r="B175" s="775">
        <v>44361</v>
      </c>
    </row>
    <row r="176" spans="2:2">
      <c r="B176" s="776">
        <v>44458</v>
      </c>
    </row>
    <row r="177" spans="2:2">
      <c r="B177" s="775">
        <v>44459</v>
      </c>
    </row>
    <row r="178" spans="2:2">
      <c r="B178" s="776">
        <v>44460</v>
      </c>
    </row>
    <row r="179" spans="2:2">
      <c r="B179" s="775">
        <v>44470</v>
      </c>
    </row>
    <row r="180" spans="2:2">
      <c r="B180" s="776">
        <v>44471</v>
      </c>
    </row>
    <row r="181" spans="2:2">
      <c r="B181" s="775">
        <v>44472</v>
      </c>
    </row>
    <row r="182" spans="2:2">
      <c r="B182" s="776">
        <v>44473</v>
      </c>
    </row>
    <row r="183" spans="2:2">
      <c r="B183" s="775">
        <v>44474</v>
      </c>
    </row>
    <row r="184" spans="2:2">
      <c r="B184" s="776">
        <v>44475</v>
      </c>
    </row>
    <row r="185" spans="2:2">
      <c r="B185" s="775">
        <v>44476</v>
      </c>
    </row>
    <row r="186" spans="2:2">
      <c r="B186" s="776">
        <v>44562</v>
      </c>
    </row>
    <row r="187" spans="2:2">
      <c r="B187" s="775">
        <v>44563</v>
      </c>
    </row>
    <row r="188" spans="2:2">
      <c r="B188" s="776">
        <v>44564</v>
      </c>
    </row>
    <row r="189" spans="2:2">
      <c r="B189" s="775">
        <v>44592</v>
      </c>
    </row>
    <row r="190" spans="2:2">
      <c r="B190" s="776">
        <v>44593</v>
      </c>
    </row>
    <row r="191" spans="2:2">
      <c r="B191" s="775">
        <v>44594</v>
      </c>
    </row>
    <row r="192" spans="2:2">
      <c r="B192" s="776">
        <v>44595</v>
      </c>
    </row>
    <row r="193" spans="2:2">
      <c r="B193" s="775">
        <v>44596</v>
      </c>
    </row>
    <row r="194" spans="2:2">
      <c r="B194" s="776">
        <v>44597</v>
      </c>
    </row>
    <row r="195" spans="2:2">
      <c r="B195" s="775">
        <v>44598</v>
      </c>
    </row>
    <row r="196" spans="2:2">
      <c r="B196" s="776">
        <v>44654</v>
      </c>
    </row>
    <row r="197" spans="2:2">
      <c r="B197" s="775">
        <v>44655</v>
      </c>
    </row>
    <row r="198" spans="2:2">
      <c r="B198" s="776">
        <v>44656</v>
      </c>
    </row>
    <row r="199" spans="2:2">
      <c r="B199" s="775">
        <v>44681</v>
      </c>
    </row>
    <row r="200" spans="2:2">
      <c r="B200" s="776">
        <v>44682</v>
      </c>
    </row>
    <row r="201" spans="2:2">
      <c r="B201" s="775">
        <v>44683</v>
      </c>
    </row>
    <row r="202" spans="2:2">
      <c r="B202" s="776">
        <v>44684</v>
      </c>
    </row>
    <row r="203" spans="2:2">
      <c r="B203" s="775">
        <v>44685</v>
      </c>
    </row>
    <row r="204" spans="2:2">
      <c r="B204" s="776">
        <v>44715</v>
      </c>
    </row>
    <row r="205" spans="2:2">
      <c r="B205" s="775">
        <v>44716</v>
      </c>
    </row>
    <row r="206" spans="2:2">
      <c r="B206" s="776">
        <v>44717</v>
      </c>
    </row>
    <row r="207" spans="2:2">
      <c r="B207" s="775">
        <v>44814</v>
      </c>
    </row>
    <row r="208" spans="2:2">
      <c r="B208" s="776">
        <v>44815</v>
      </c>
    </row>
    <row r="209" spans="2:2">
      <c r="B209" s="775">
        <v>44816</v>
      </c>
    </row>
    <row r="210" spans="2:2">
      <c r="B210" s="776">
        <v>44835</v>
      </c>
    </row>
    <row r="211" spans="2:2">
      <c r="B211" s="775">
        <v>44836</v>
      </c>
    </row>
    <row r="212" spans="2:2">
      <c r="B212" s="776">
        <v>44837</v>
      </c>
    </row>
    <row r="213" spans="2:2">
      <c r="B213" s="775">
        <v>44838</v>
      </c>
    </row>
    <row r="214" spans="2:2">
      <c r="B214" s="776">
        <v>44839</v>
      </c>
    </row>
    <row r="215" spans="2:2">
      <c r="B215" s="775">
        <v>44840</v>
      </c>
    </row>
    <row r="216" spans="2:2">
      <c r="B216" s="776">
        <v>44841</v>
      </c>
    </row>
    <row r="217" spans="2:2">
      <c r="B217" s="775">
        <v>44927</v>
      </c>
    </row>
    <row r="218" spans="2:2">
      <c r="B218" s="776">
        <v>44928</v>
      </c>
    </row>
    <row r="219" spans="2:2">
      <c r="B219" s="775">
        <v>44947</v>
      </c>
    </row>
    <row r="220" spans="2:2">
      <c r="B220" s="776">
        <v>44948</v>
      </c>
    </row>
    <row r="221" spans="2:2">
      <c r="B221" s="775">
        <v>44949</v>
      </c>
    </row>
    <row r="222" spans="2:2">
      <c r="B222" s="776">
        <v>44950</v>
      </c>
    </row>
    <row r="223" spans="2:2">
      <c r="B223" s="775">
        <v>44951</v>
      </c>
    </row>
    <row r="224" spans="2:2">
      <c r="B224" s="776">
        <v>44952</v>
      </c>
    </row>
    <row r="225" spans="2:2">
      <c r="B225" s="775">
        <v>44953</v>
      </c>
    </row>
    <row r="226" spans="2:2">
      <c r="B226" s="776">
        <v>45021</v>
      </c>
    </row>
    <row r="227" spans="2:2">
      <c r="B227" s="775">
        <v>45045</v>
      </c>
    </row>
    <row r="228" spans="2:2">
      <c r="B228" s="776">
        <v>45046</v>
      </c>
    </row>
    <row r="229" spans="2:2">
      <c r="B229" s="775">
        <v>45047</v>
      </c>
    </row>
    <row r="230" spans="2:2">
      <c r="B230" s="776">
        <v>45048</v>
      </c>
    </row>
    <row r="231" spans="2:2">
      <c r="B231" s="775">
        <v>45049</v>
      </c>
    </row>
    <row r="232" spans="2:2">
      <c r="B232" s="776">
        <v>45099</v>
      </c>
    </row>
    <row r="233" spans="2:2">
      <c r="B233" s="775">
        <v>45100</v>
      </c>
    </row>
    <row r="234" spans="2:2">
      <c r="B234" s="776">
        <v>45101</v>
      </c>
    </row>
    <row r="235" spans="2:2">
      <c r="B235" s="775">
        <v>45198</v>
      </c>
    </row>
    <row r="236" spans="2:2">
      <c r="B236" s="776">
        <v>45199</v>
      </c>
    </row>
    <row r="237" spans="2:2">
      <c r="B237" s="775">
        <v>45200</v>
      </c>
    </row>
    <row r="238" spans="2:2">
      <c r="B238" s="776">
        <v>45201</v>
      </c>
    </row>
    <row r="239" spans="2:2">
      <c r="B239" s="775">
        <v>45202</v>
      </c>
    </row>
    <row r="240" spans="2:2">
      <c r="B240" s="776">
        <v>45203</v>
      </c>
    </row>
    <row r="241" spans="2:2">
      <c r="B241" s="775">
        <v>45204</v>
      </c>
    </row>
    <row r="242" spans="2:2">
      <c r="B242" s="776">
        <v>45205</v>
      </c>
    </row>
    <row r="243" spans="2:2">
      <c r="B243" s="777">
        <v>45292</v>
      </c>
    </row>
    <row r="244" spans="2:2">
      <c r="B244" s="777">
        <v>45331</v>
      </c>
    </row>
    <row r="245" spans="2:2">
      <c r="B245" s="777">
        <v>45332</v>
      </c>
    </row>
    <row r="246" spans="2:2">
      <c r="B246" s="777">
        <v>45333</v>
      </c>
    </row>
    <row r="247" spans="2:2">
      <c r="B247" s="777">
        <v>45334</v>
      </c>
    </row>
    <row r="248" spans="2:2">
      <c r="B248" s="777">
        <v>45335</v>
      </c>
    </row>
    <row r="249" spans="2:2">
      <c r="B249" s="777">
        <v>45336</v>
      </c>
    </row>
    <row r="250" spans="2:2">
      <c r="B250" s="777">
        <v>45337</v>
      </c>
    </row>
    <row r="251" spans="2:2">
      <c r="B251" s="777">
        <v>45338</v>
      </c>
    </row>
    <row r="252" spans="2:2">
      <c r="B252" s="777">
        <v>45339</v>
      </c>
    </row>
    <row r="253" spans="2:2">
      <c r="B253" s="777">
        <v>45386</v>
      </c>
    </row>
    <row r="254" spans="2:2">
      <c r="B254" s="777">
        <v>45387</v>
      </c>
    </row>
    <row r="255" spans="2:2">
      <c r="B255" s="777">
        <v>45388</v>
      </c>
    </row>
    <row r="256" spans="2:2">
      <c r="B256" s="777">
        <v>45413</v>
      </c>
    </row>
    <row r="257" spans="1:8">
      <c r="B257" s="777">
        <v>45414</v>
      </c>
    </row>
    <row r="258" spans="1:8">
      <c r="B258" s="777">
        <v>45415</v>
      </c>
    </row>
    <row r="259" spans="1:8">
      <c r="A259" s="1797"/>
      <c r="B259" s="1797">
        <v>45416</v>
      </c>
      <c r="C259" s="1797"/>
      <c r="D259" s="1797"/>
      <c r="E259" s="1797"/>
      <c r="F259" s="1797"/>
      <c r="G259" s="1797"/>
      <c r="H259" s="1797"/>
    </row>
    <row r="260" spans="1:8">
      <c r="A260" s="1797"/>
      <c r="B260" s="1797">
        <v>45417</v>
      </c>
      <c r="C260" s="1797"/>
      <c r="D260" s="1797"/>
      <c r="E260" s="1797"/>
      <c r="F260" s="1797"/>
      <c r="G260" s="1797"/>
      <c r="H260" s="1797"/>
    </row>
    <row r="261" spans="1:8">
      <c r="A261" s="1797"/>
      <c r="B261" s="1797">
        <v>45451</v>
      </c>
      <c r="C261" s="1797"/>
      <c r="D261" s="1797"/>
      <c r="E261" s="1797"/>
      <c r="F261" s="1797"/>
      <c r="G261" s="1797"/>
      <c r="H261" s="1797"/>
    </row>
    <row r="262" spans="1:8">
      <c r="A262" s="1797"/>
      <c r="B262" s="1797">
        <v>45452</v>
      </c>
      <c r="C262" s="1797"/>
      <c r="D262" s="1797"/>
      <c r="E262" s="1797"/>
      <c r="F262" s="1797"/>
      <c r="G262" s="1797"/>
      <c r="H262" s="1797"/>
    </row>
    <row r="263" spans="1:8">
      <c r="A263" s="1797"/>
      <c r="B263" s="1797">
        <v>45453</v>
      </c>
      <c r="C263" s="1797"/>
      <c r="D263" s="1797"/>
      <c r="E263" s="1797"/>
      <c r="F263" s="1797"/>
      <c r="G263" s="1797"/>
      <c r="H263" s="1797"/>
    </row>
    <row r="264" spans="1:8">
      <c r="A264" s="1797"/>
      <c r="B264" s="1797">
        <v>45550</v>
      </c>
      <c r="C264" s="1797"/>
      <c r="D264" s="1797"/>
      <c r="E264" s="1797"/>
      <c r="F264" s="1797"/>
      <c r="G264" s="1797"/>
      <c r="H264" s="1797"/>
    </row>
    <row r="265" spans="1:8">
      <c r="A265" s="1797"/>
      <c r="B265" s="1797">
        <v>45551</v>
      </c>
      <c r="C265" s="1797"/>
      <c r="D265" s="1797"/>
      <c r="E265" s="1797"/>
      <c r="F265" s="1797"/>
      <c r="G265" s="1797"/>
      <c r="H265" s="1797"/>
    </row>
    <row r="266" spans="1:8">
      <c r="A266" s="1797"/>
      <c r="B266" s="1797">
        <v>45552</v>
      </c>
      <c r="C266" s="1797"/>
      <c r="D266" s="1797"/>
      <c r="E266" s="1797"/>
      <c r="F266" s="1797"/>
      <c r="G266" s="1797"/>
      <c r="H266" s="1797"/>
    </row>
    <row r="267" spans="1:8">
      <c r="A267" s="1797"/>
      <c r="B267" s="1797">
        <v>45566</v>
      </c>
      <c r="C267" s="1797"/>
      <c r="D267" s="1797"/>
      <c r="E267" s="1797"/>
      <c r="F267" s="1797"/>
      <c r="G267" s="1797"/>
      <c r="H267" s="1797"/>
    </row>
    <row r="268" spans="1:8">
      <c r="A268" s="1797"/>
      <c r="B268" s="1797">
        <v>45567</v>
      </c>
      <c r="C268" s="1797"/>
      <c r="D268" s="1797"/>
      <c r="E268" s="1797"/>
      <c r="F268" s="1797"/>
      <c r="G268" s="1797"/>
      <c r="H268" s="1797"/>
    </row>
    <row r="269" spans="1:8">
      <c r="A269" s="1797"/>
      <c r="B269" s="1797">
        <v>45568</v>
      </c>
      <c r="C269" s="1797"/>
      <c r="D269" s="1797"/>
      <c r="E269" s="1797"/>
      <c r="F269" s="1797"/>
      <c r="G269" s="1797"/>
      <c r="H269" s="1797"/>
    </row>
    <row r="270" spans="1:8">
      <c r="A270" s="1797"/>
      <c r="B270" s="1797">
        <v>45569</v>
      </c>
      <c r="C270" s="1797"/>
      <c r="D270" s="1797"/>
      <c r="E270" s="1797"/>
      <c r="F270" s="1797"/>
      <c r="G270" s="1797"/>
      <c r="H270" s="1797"/>
    </row>
    <row r="271" spans="1:8">
      <c r="A271" s="1797"/>
      <c r="B271" s="1797">
        <v>45570</v>
      </c>
      <c r="C271" s="1797"/>
      <c r="D271" s="1797"/>
      <c r="E271" s="1797"/>
      <c r="F271" s="1797"/>
      <c r="G271" s="1797"/>
      <c r="H271" s="1797"/>
    </row>
    <row r="272" spans="1:8">
      <c r="A272" s="1797"/>
      <c r="B272" s="1797">
        <v>45571</v>
      </c>
      <c r="C272" s="1797"/>
      <c r="D272" s="1797"/>
      <c r="E272" s="1797"/>
      <c r="F272" s="1797"/>
      <c r="G272" s="1797"/>
      <c r="H272" s="1797"/>
    </row>
    <row r="273" spans="1:8">
      <c r="A273" s="1797"/>
      <c r="B273" s="1797">
        <v>45572</v>
      </c>
      <c r="C273" s="1797"/>
      <c r="D273" s="1797"/>
      <c r="E273" s="1797"/>
      <c r="F273" s="1797"/>
      <c r="G273" s="1797"/>
      <c r="H273" s="1797"/>
    </row>
    <row r="274" spans="1:8">
      <c r="A274" s="1797"/>
      <c r="B274" s="1797">
        <v>45658</v>
      </c>
      <c r="C274" s="1797"/>
      <c r="D274" s="1797"/>
      <c r="E274" s="1797"/>
      <c r="F274" s="1797"/>
      <c r="G274" s="1797"/>
      <c r="H274" s="1797"/>
    </row>
    <row r="275" spans="1:8">
      <c r="A275" s="1797"/>
      <c r="B275" s="1797">
        <v>45686</v>
      </c>
      <c r="C275" s="1797"/>
      <c r="D275" s="1797"/>
      <c r="E275" s="1797"/>
      <c r="F275" s="1797"/>
      <c r="G275" s="1797"/>
      <c r="H275" s="1797"/>
    </row>
    <row r="276" spans="1:8">
      <c r="A276" s="1797"/>
      <c r="B276" s="1797">
        <v>45687</v>
      </c>
      <c r="C276" s="1797"/>
      <c r="D276" s="1797"/>
      <c r="E276" s="1797"/>
      <c r="F276" s="1797"/>
      <c r="G276" s="1797"/>
      <c r="H276" s="1797"/>
    </row>
    <row r="277" spans="1:8">
      <c r="A277" s="1797"/>
      <c r="B277" s="1797">
        <v>45688</v>
      </c>
      <c r="C277" s="1797"/>
      <c r="D277" s="1797"/>
      <c r="E277" s="1797"/>
      <c r="F277" s="1797"/>
      <c r="G277" s="1797"/>
      <c r="H277" s="1797"/>
    </row>
    <row r="278" spans="1:8">
      <c r="A278" s="1797"/>
      <c r="B278" s="1797">
        <v>45691</v>
      </c>
      <c r="C278" s="1797"/>
      <c r="D278" s="1797"/>
      <c r="E278" s="1797"/>
      <c r="F278" s="1797"/>
      <c r="G278" s="1797"/>
      <c r="H278" s="1797"/>
    </row>
    <row r="279" spans="1:8">
      <c r="A279" s="1797"/>
      <c r="B279" s="1797">
        <v>45692</v>
      </c>
      <c r="C279" s="1797"/>
      <c r="D279" s="1797"/>
      <c r="E279" s="1797"/>
      <c r="F279" s="1797"/>
      <c r="G279" s="1797"/>
      <c r="H279" s="1797"/>
    </row>
    <row r="280" spans="1:8">
      <c r="A280" s="1797"/>
      <c r="B280" s="1797">
        <v>45751</v>
      </c>
      <c r="C280" s="1797"/>
      <c r="D280" s="1797"/>
      <c r="E280" s="1797"/>
      <c r="F280" s="1797"/>
      <c r="G280" s="1797"/>
      <c r="H280" s="1797"/>
    </row>
    <row r="281" spans="1:8">
      <c r="A281" s="1797"/>
      <c r="B281" s="1797">
        <v>45778</v>
      </c>
      <c r="C281" s="1797"/>
      <c r="D281" s="1797"/>
      <c r="E281" s="1797"/>
      <c r="F281" s="1797"/>
      <c r="G281" s="1797"/>
      <c r="H281" s="1797"/>
    </row>
    <row r="282" spans="1:8">
      <c r="A282" s="1797"/>
      <c r="B282" s="1797">
        <v>45779</v>
      </c>
      <c r="C282" s="1797"/>
      <c r="D282" s="1797"/>
      <c r="E282" s="1797"/>
      <c r="F282" s="1797"/>
      <c r="G282" s="1797"/>
      <c r="H282" s="1797"/>
    </row>
    <row r="283" spans="1:8">
      <c r="A283" s="1797"/>
      <c r="B283" s="1797">
        <v>45782</v>
      </c>
      <c r="C283" s="1797"/>
      <c r="D283" s="1797"/>
      <c r="E283" s="1797"/>
      <c r="F283" s="1797"/>
      <c r="G283" s="1797"/>
      <c r="H283" s="1797"/>
    </row>
    <row r="284" spans="1:8">
      <c r="A284" s="1797"/>
      <c r="B284" s="1797">
        <v>45810</v>
      </c>
      <c r="C284" s="1797"/>
      <c r="D284" s="1797"/>
      <c r="E284" s="1797"/>
      <c r="F284" s="1797"/>
      <c r="G284" s="1797"/>
      <c r="H284" s="1797"/>
    </row>
    <row r="285" spans="1:8">
      <c r="A285" s="1797"/>
      <c r="B285" s="1797">
        <v>45931</v>
      </c>
      <c r="C285" s="1797"/>
      <c r="D285" s="1797"/>
      <c r="E285" s="1797"/>
      <c r="F285" s="1797"/>
      <c r="G285" s="1797"/>
      <c r="H285" s="1797"/>
    </row>
    <row r="286" spans="1:8">
      <c r="A286" s="1797"/>
      <c r="B286" s="1797">
        <v>45932</v>
      </c>
      <c r="C286" s="1797"/>
      <c r="D286" s="1797"/>
      <c r="E286" s="1797"/>
      <c r="F286" s="1797"/>
      <c r="G286" s="1797"/>
      <c r="H286" s="1797"/>
    </row>
    <row r="287" spans="1:8">
      <c r="A287" s="1797"/>
      <c r="B287" s="1797">
        <v>45933</v>
      </c>
      <c r="C287" s="1797"/>
      <c r="D287" s="1797"/>
      <c r="E287" s="1797"/>
      <c r="F287" s="1797"/>
      <c r="G287" s="1797"/>
      <c r="H287" s="1797"/>
    </row>
    <row r="288" spans="1:8">
      <c r="A288" s="1797"/>
      <c r="B288" s="1797">
        <v>45936</v>
      </c>
      <c r="C288" s="1797"/>
      <c r="D288" s="1797"/>
      <c r="E288" s="1797"/>
      <c r="F288" s="1797"/>
      <c r="G288" s="1797"/>
      <c r="H288" s="1797"/>
    </row>
    <row r="289" spans="1:8">
      <c r="A289" s="1797"/>
      <c r="B289" s="1797">
        <v>45936</v>
      </c>
      <c r="C289" s="1797"/>
      <c r="D289" s="1797"/>
      <c r="E289" s="1797"/>
      <c r="F289" s="1797"/>
      <c r="G289" s="1797"/>
      <c r="H289" s="1797"/>
    </row>
    <row r="290" spans="1:8">
      <c r="A290" s="1797"/>
      <c r="B290" s="1797">
        <v>45937</v>
      </c>
      <c r="C290" s="1797"/>
      <c r="D290" s="1797"/>
      <c r="E290" s="1797"/>
      <c r="F290" s="1797"/>
      <c r="G290" s="1797"/>
      <c r="H290" s="1797"/>
    </row>
    <row r="291" spans="1:8">
      <c r="A291" s="1797"/>
      <c r="B291" s="1797">
        <v>45938</v>
      </c>
      <c r="C291" s="1797"/>
      <c r="D291" s="1797"/>
      <c r="E291" s="1797"/>
      <c r="F291" s="1797"/>
      <c r="G291" s="1797"/>
      <c r="H291" s="1797"/>
    </row>
  </sheetData>
  <phoneticPr fontId="53" type="noConversion"/>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工作表22">
    <tabColor theme="6"/>
  </sheetPr>
  <dimension ref="A1:D5"/>
  <sheetViews>
    <sheetView workbookViewId="0"/>
  </sheetViews>
  <sheetFormatPr defaultRowHeight="15.5"/>
  <cols>
    <col min="1" max="1" width="11.640625" bestFit="1" customWidth="1"/>
    <col min="2" max="4" width="22" customWidth="1"/>
  </cols>
  <sheetData>
    <row r="1" spans="1:4">
      <c r="A1" s="1097" t="s">
        <v>199</v>
      </c>
      <c r="B1" s="1097" t="s">
        <v>4027</v>
      </c>
      <c r="C1" s="1097" t="s">
        <v>4201</v>
      </c>
      <c r="D1" s="1097" t="s">
        <v>4202</v>
      </c>
    </row>
    <row r="2" spans="1:4">
      <c r="A2" s="755" t="s">
        <v>276</v>
      </c>
      <c r="B2" s="1098">
        <v>42717</v>
      </c>
      <c r="C2" s="1098">
        <v>42717</v>
      </c>
      <c r="D2" s="1098">
        <v>42807</v>
      </c>
    </row>
    <row r="3" spans="1:4">
      <c r="A3" s="755"/>
      <c r="B3" s="755"/>
      <c r="C3" s="755"/>
      <c r="D3" s="755"/>
    </row>
    <row r="4" spans="1:4">
      <c r="A4" s="755"/>
      <c r="B4" s="755"/>
      <c r="C4" s="755"/>
      <c r="D4" s="755"/>
    </row>
    <row r="5" spans="1:4">
      <c r="A5" s="755"/>
      <c r="B5" s="755"/>
      <c r="C5" s="755"/>
      <c r="D5" s="755"/>
    </row>
  </sheetData>
  <phoneticPr fontId="53"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工作表16"/>
  <dimension ref="A1:V85"/>
  <sheetViews>
    <sheetView workbookViewId="0"/>
  </sheetViews>
  <sheetFormatPr defaultRowHeight="15.5"/>
  <cols>
    <col min="1" max="4" width="8.85546875" style="169"/>
    <col min="11" max="12" width="8.85546875" style="169"/>
    <col min="16" max="22" width="8.85546875" style="169"/>
  </cols>
  <sheetData>
    <row r="1" spans="1:21" ht="16" thickBot="1">
      <c r="A1" s="169" t="s">
        <v>513</v>
      </c>
      <c r="B1" s="169" t="s">
        <v>514</v>
      </c>
      <c r="C1" s="169" t="s">
        <v>515</v>
      </c>
      <c r="D1" s="169" t="s">
        <v>517</v>
      </c>
      <c r="F1" s="153" t="s">
        <v>501</v>
      </c>
      <c r="M1" s="153" t="s">
        <v>333</v>
      </c>
      <c r="N1" s="153" t="s">
        <v>334</v>
      </c>
      <c r="O1" s="153" t="s">
        <v>335</v>
      </c>
      <c r="S1" s="169" t="s">
        <v>513</v>
      </c>
      <c r="T1" s="169" t="s">
        <v>514</v>
      </c>
      <c r="U1" s="169" t="s">
        <v>515</v>
      </c>
    </row>
    <row r="2" spans="1:21">
      <c r="A2" s="169" t="s">
        <v>306</v>
      </c>
      <c r="B2" s="169" t="s">
        <v>307</v>
      </c>
      <c r="C2" s="169">
        <v>21</v>
      </c>
      <c r="D2" s="169" t="s">
        <v>307</v>
      </c>
      <c r="F2" s="166">
        <v>21</v>
      </c>
      <c r="G2" s="154" t="s">
        <v>502</v>
      </c>
      <c r="H2" s="155" t="s">
        <v>468</v>
      </c>
      <c r="M2" t="s">
        <v>306</v>
      </c>
      <c r="N2" s="169" t="s">
        <v>307</v>
      </c>
      <c r="O2" s="169">
        <v>1</v>
      </c>
      <c r="S2" s="169" t="s">
        <v>306</v>
      </c>
      <c r="T2" s="169" t="s">
        <v>307</v>
      </c>
      <c r="U2" s="169">
        <v>21</v>
      </c>
    </row>
    <row r="3" spans="1:21">
      <c r="A3" s="169" t="s">
        <v>340</v>
      </c>
      <c r="B3" s="169" t="s">
        <v>341</v>
      </c>
      <c r="C3" s="169">
        <v>21</v>
      </c>
      <c r="D3" s="169" t="s">
        <v>307</v>
      </c>
      <c r="F3" s="167">
        <v>20</v>
      </c>
      <c r="G3" s="156" t="s">
        <v>503</v>
      </c>
      <c r="H3" s="157" t="s">
        <v>469</v>
      </c>
      <c r="M3" t="s">
        <v>340</v>
      </c>
      <c r="N3" s="169" t="s">
        <v>341</v>
      </c>
      <c r="O3" s="169">
        <v>1</v>
      </c>
      <c r="S3" s="169" t="s">
        <v>340</v>
      </c>
      <c r="T3" s="169" t="s">
        <v>341</v>
      </c>
      <c r="U3" s="169">
        <v>21</v>
      </c>
    </row>
    <row r="4" spans="1:21">
      <c r="A4" s="169" t="s">
        <v>342</v>
      </c>
      <c r="B4" s="169" t="s">
        <v>343</v>
      </c>
      <c r="C4" s="169">
        <v>21</v>
      </c>
      <c r="D4" s="169" t="s">
        <v>307</v>
      </c>
      <c r="F4" s="167">
        <v>19</v>
      </c>
      <c r="G4" s="156" t="s">
        <v>504</v>
      </c>
      <c r="H4" s="157" t="s">
        <v>470</v>
      </c>
      <c r="M4" t="s">
        <v>342</v>
      </c>
      <c r="N4" s="169" t="s">
        <v>343</v>
      </c>
      <c r="O4" s="169">
        <v>1</v>
      </c>
      <c r="S4" s="169" t="s">
        <v>342</v>
      </c>
      <c r="T4" s="169" t="s">
        <v>343</v>
      </c>
      <c r="U4" s="169">
        <v>21</v>
      </c>
    </row>
    <row r="5" spans="1:21">
      <c r="A5" s="169" t="s">
        <v>344</v>
      </c>
      <c r="B5" s="169" t="s">
        <v>316</v>
      </c>
      <c r="C5" s="169">
        <v>21</v>
      </c>
      <c r="D5" s="169" t="s">
        <v>307</v>
      </c>
      <c r="F5" s="167">
        <v>18</v>
      </c>
      <c r="G5" s="156" t="s">
        <v>505</v>
      </c>
      <c r="H5" s="157" t="s">
        <v>471</v>
      </c>
      <c r="M5" t="s">
        <v>344</v>
      </c>
      <c r="N5" s="169" t="s">
        <v>316</v>
      </c>
      <c r="O5" s="169">
        <v>1</v>
      </c>
      <c r="S5" s="169" t="s">
        <v>344</v>
      </c>
      <c r="T5" s="169" t="s">
        <v>316</v>
      </c>
      <c r="U5" s="169">
        <v>21</v>
      </c>
    </row>
    <row r="6" spans="1:21">
      <c r="A6" s="169" t="s">
        <v>345</v>
      </c>
      <c r="B6" s="169" t="s">
        <v>321</v>
      </c>
      <c r="C6" s="169">
        <v>20</v>
      </c>
      <c r="D6" s="169" t="s">
        <v>315</v>
      </c>
      <c r="F6" s="167">
        <v>17</v>
      </c>
      <c r="G6" s="158" t="s">
        <v>472</v>
      </c>
      <c r="H6" s="159" t="s">
        <v>473</v>
      </c>
      <c r="M6" t="s">
        <v>345</v>
      </c>
      <c r="N6" s="169" t="s">
        <v>321</v>
      </c>
      <c r="O6" s="169">
        <v>2</v>
      </c>
      <c r="S6" s="169" t="s">
        <v>345</v>
      </c>
      <c r="T6" s="169" t="s">
        <v>321</v>
      </c>
      <c r="U6" s="169">
        <v>20</v>
      </c>
    </row>
    <row r="7" spans="1:21">
      <c r="A7" s="169" t="s">
        <v>346</v>
      </c>
      <c r="B7" s="169" t="s">
        <v>347</v>
      </c>
      <c r="C7" s="169">
        <v>20</v>
      </c>
      <c r="D7" s="169" t="s">
        <v>315</v>
      </c>
      <c r="F7" s="167">
        <v>16</v>
      </c>
      <c r="G7" s="160" t="s">
        <v>474</v>
      </c>
      <c r="H7" s="161" t="s">
        <v>475</v>
      </c>
      <c r="M7" t="s">
        <v>346</v>
      </c>
      <c r="N7" s="169" t="s">
        <v>347</v>
      </c>
      <c r="O7" s="169">
        <v>2</v>
      </c>
      <c r="S7" s="169" t="s">
        <v>346</v>
      </c>
      <c r="T7" s="169" t="s">
        <v>347</v>
      </c>
      <c r="U7" s="169">
        <v>20</v>
      </c>
    </row>
    <row r="8" spans="1:21">
      <c r="A8" s="169" t="s">
        <v>348</v>
      </c>
      <c r="B8" s="169" t="s">
        <v>349</v>
      </c>
      <c r="C8" s="169">
        <v>20</v>
      </c>
      <c r="D8" s="169" t="s">
        <v>315</v>
      </c>
      <c r="F8" s="167">
        <v>15</v>
      </c>
      <c r="G8" s="158" t="s">
        <v>476</v>
      </c>
      <c r="H8" s="159" t="s">
        <v>477</v>
      </c>
      <c r="M8" t="s">
        <v>348</v>
      </c>
      <c r="N8" s="169" t="s">
        <v>349</v>
      </c>
      <c r="O8" s="169">
        <v>2</v>
      </c>
      <c r="S8" s="169" t="s">
        <v>348</v>
      </c>
      <c r="T8" s="169" t="s">
        <v>349</v>
      </c>
      <c r="U8" s="169">
        <v>20</v>
      </c>
    </row>
    <row r="9" spans="1:21">
      <c r="A9" s="169" t="s">
        <v>350</v>
      </c>
      <c r="B9" s="169" t="s">
        <v>351</v>
      </c>
      <c r="C9" s="169">
        <v>20</v>
      </c>
      <c r="D9" s="169" t="s">
        <v>315</v>
      </c>
      <c r="F9" s="167">
        <v>14</v>
      </c>
      <c r="G9" s="160" t="s">
        <v>478</v>
      </c>
      <c r="H9" s="161" t="s">
        <v>479</v>
      </c>
      <c r="M9" t="s">
        <v>350</v>
      </c>
      <c r="N9" s="169" t="s">
        <v>351</v>
      </c>
      <c r="O9" s="169">
        <v>2</v>
      </c>
      <c r="S9" s="169" t="s">
        <v>350</v>
      </c>
      <c r="T9" s="169" t="s">
        <v>351</v>
      </c>
      <c r="U9" s="169">
        <v>20</v>
      </c>
    </row>
    <row r="10" spans="1:21">
      <c r="A10" s="169" t="s">
        <v>304</v>
      </c>
      <c r="B10" s="169" t="s">
        <v>315</v>
      </c>
      <c r="C10" s="169">
        <v>19</v>
      </c>
      <c r="D10" s="169" t="s">
        <v>315</v>
      </c>
      <c r="F10" s="167">
        <v>13</v>
      </c>
      <c r="G10" s="160" t="s">
        <v>480</v>
      </c>
      <c r="H10" s="161" t="s">
        <v>481</v>
      </c>
      <c r="M10" t="s">
        <v>304</v>
      </c>
      <c r="N10" s="169" t="s">
        <v>315</v>
      </c>
      <c r="O10" s="169">
        <v>3</v>
      </c>
      <c r="S10" s="169" t="s">
        <v>304</v>
      </c>
      <c r="T10" s="169" t="s">
        <v>315</v>
      </c>
      <c r="U10" s="169">
        <v>19</v>
      </c>
    </row>
    <row r="11" spans="1:21">
      <c r="A11" s="169" t="s">
        <v>352</v>
      </c>
      <c r="B11" s="169" t="s">
        <v>353</v>
      </c>
      <c r="C11" s="169">
        <v>19</v>
      </c>
      <c r="D11" s="169" t="s">
        <v>315</v>
      </c>
      <c r="F11" s="167">
        <v>12</v>
      </c>
      <c r="G11" s="160" t="s">
        <v>482</v>
      </c>
      <c r="H11" s="161" t="s">
        <v>483</v>
      </c>
      <c r="M11" t="s">
        <v>352</v>
      </c>
      <c r="N11" s="169" t="s">
        <v>353</v>
      </c>
      <c r="O11" s="169">
        <v>3</v>
      </c>
      <c r="S11" s="169" t="s">
        <v>352</v>
      </c>
      <c r="T11" s="169" t="s">
        <v>353</v>
      </c>
      <c r="U11" s="169">
        <v>19</v>
      </c>
    </row>
    <row r="12" spans="1:21">
      <c r="A12" s="169" t="s">
        <v>354</v>
      </c>
      <c r="B12" s="169" t="s">
        <v>355</v>
      </c>
      <c r="C12" s="169">
        <v>19</v>
      </c>
      <c r="D12" s="169" t="s">
        <v>315</v>
      </c>
      <c r="F12" s="167">
        <v>11</v>
      </c>
      <c r="G12" s="160" t="s">
        <v>484</v>
      </c>
      <c r="H12" s="161" t="s">
        <v>485</v>
      </c>
      <c r="M12" t="s">
        <v>354</v>
      </c>
      <c r="N12" s="169" t="s">
        <v>355</v>
      </c>
      <c r="O12" s="169">
        <v>3</v>
      </c>
      <c r="S12" s="169" t="s">
        <v>354</v>
      </c>
      <c r="T12" s="169" t="s">
        <v>355</v>
      </c>
      <c r="U12" s="169">
        <v>19</v>
      </c>
    </row>
    <row r="13" spans="1:21">
      <c r="A13" s="169" t="s">
        <v>320</v>
      </c>
      <c r="B13" s="169" t="s">
        <v>356</v>
      </c>
      <c r="C13" s="169">
        <v>19</v>
      </c>
      <c r="D13" s="169" t="s">
        <v>315</v>
      </c>
      <c r="F13" s="167">
        <v>10</v>
      </c>
      <c r="G13" s="160" t="s">
        <v>486</v>
      </c>
      <c r="H13" s="161" t="s">
        <v>487</v>
      </c>
      <c r="M13" t="s">
        <v>320</v>
      </c>
      <c r="N13" s="169" t="s">
        <v>356</v>
      </c>
      <c r="O13" s="169">
        <v>3</v>
      </c>
      <c r="S13" s="169" t="s">
        <v>320</v>
      </c>
      <c r="T13" s="169" t="s">
        <v>356</v>
      </c>
      <c r="U13" s="169">
        <v>19</v>
      </c>
    </row>
    <row r="14" spans="1:21">
      <c r="A14" s="169" t="s">
        <v>322</v>
      </c>
      <c r="B14" s="169" t="s">
        <v>296</v>
      </c>
      <c r="C14" s="169">
        <v>18</v>
      </c>
      <c r="D14" s="169" t="s">
        <v>315</v>
      </c>
      <c r="F14" s="167">
        <v>9</v>
      </c>
      <c r="G14" s="160" t="s">
        <v>488</v>
      </c>
      <c r="H14" s="161" t="s">
        <v>489</v>
      </c>
      <c r="M14" t="s">
        <v>322</v>
      </c>
      <c r="N14" s="169" t="s">
        <v>296</v>
      </c>
      <c r="O14" s="169">
        <v>4</v>
      </c>
      <c r="S14" s="169" t="s">
        <v>322</v>
      </c>
      <c r="T14" s="169" t="s">
        <v>296</v>
      </c>
      <c r="U14" s="169">
        <v>18</v>
      </c>
    </row>
    <row r="15" spans="1:21">
      <c r="A15" s="169" t="s">
        <v>357</v>
      </c>
      <c r="B15" s="169" t="s">
        <v>358</v>
      </c>
      <c r="C15" s="169">
        <v>18</v>
      </c>
      <c r="D15" s="169" t="s">
        <v>315</v>
      </c>
      <c r="F15" s="167">
        <v>8</v>
      </c>
      <c r="G15" s="160" t="s">
        <v>490</v>
      </c>
      <c r="H15" s="161" t="s">
        <v>491</v>
      </c>
      <c r="M15" t="s">
        <v>357</v>
      </c>
      <c r="N15" s="169" t="s">
        <v>358</v>
      </c>
      <c r="O15" s="169">
        <v>4</v>
      </c>
      <c r="S15" s="169" t="s">
        <v>357</v>
      </c>
      <c r="T15" s="169" t="s">
        <v>358</v>
      </c>
      <c r="U15" s="169">
        <v>18</v>
      </c>
    </row>
    <row r="16" spans="1:21">
      <c r="A16" s="169" t="s">
        <v>359</v>
      </c>
      <c r="B16" s="169" t="s">
        <v>360</v>
      </c>
      <c r="C16" s="169">
        <v>18</v>
      </c>
      <c r="D16" s="169" t="s">
        <v>315</v>
      </c>
      <c r="F16" s="167">
        <v>7</v>
      </c>
      <c r="G16" s="160" t="s">
        <v>492</v>
      </c>
      <c r="H16" s="161" t="s">
        <v>493</v>
      </c>
      <c r="M16" t="s">
        <v>359</v>
      </c>
      <c r="N16" s="169" t="s">
        <v>360</v>
      </c>
      <c r="O16" s="169">
        <v>4</v>
      </c>
      <c r="S16" s="169" t="s">
        <v>359</v>
      </c>
      <c r="T16" s="169" t="s">
        <v>360</v>
      </c>
      <c r="U16" s="169">
        <v>18</v>
      </c>
    </row>
    <row r="17" spans="1:21">
      <c r="A17" s="169" t="s">
        <v>361</v>
      </c>
      <c r="B17" s="169" t="s">
        <v>329</v>
      </c>
      <c r="C17" s="169">
        <v>18</v>
      </c>
      <c r="D17" s="169" t="s">
        <v>315</v>
      </c>
      <c r="F17" s="167">
        <v>6</v>
      </c>
      <c r="G17" s="160" t="s">
        <v>494</v>
      </c>
      <c r="H17" s="161" t="s">
        <v>495</v>
      </c>
      <c r="M17" t="s">
        <v>361</v>
      </c>
      <c r="N17" s="169" t="s">
        <v>329</v>
      </c>
      <c r="O17" s="169">
        <v>4</v>
      </c>
      <c r="S17" s="169" t="s">
        <v>361</v>
      </c>
      <c r="T17" s="169" t="s">
        <v>329</v>
      </c>
      <c r="U17" s="169">
        <v>18</v>
      </c>
    </row>
    <row r="18" spans="1:21">
      <c r="A18" s="169" t="s">
        <v>295</v>
      </c>
      <c r="B18" s="169" t="s">
        <v>299</v>
      </c>
      <c r="C18" s="169">
        <v>17</v>
      </c>
      <c r="D18" s="169" t="s">
        <v>305</v>
      </c>
      <c r="F18" s="167">
        <v>5</v>
      </c>
      <c r="G18" s="156" t="s">
        <v>506</v>
      </c>
      <c r="H18" s="157" t="s">
        <v>507</v>
      </c>
      <c r="M18" t="s">
        <v>295</v>
      </c>
      <c r="N18" s="169" t="s">
        <v>299</v>
      </c>
      <c r="O18" s="169">
        <v>5</v>
      </c>
      <c r="S18" s="169" t="s">
        <v>295</v>
      </c>
      <c r="T18" s="169" t="s">
        <v>299</v>
      </c>
      <c r="U18" s="169">
        <v>17</v>
      </c>
    </row>
    <row r="19" spans="1:21">
      <c r="A19" s="169" t="s">
        <v>362</v>
      </c>
      <c r="B19" s="169" t="s">
        <v>363</v>
      </c>
      <c r="C19" s="169">
        <v>17</v>
      </c>
      <c r="D19" s="169" t="s">
        <v>305</v>
      </c>
      <c r="F19" s="167">
        <v>4</v>
      </c>
      <c r="G19" s="156" t="s">
        <v>508</v>
      </c>
      <c r="H19" s="157" t="s">
        <v>496</v>
      </c>
      <c r="M19" t="s">
        <v>362</v>
      </c>
      <c r="N19" s="169" t="s">
        <v>363</v>
      </c>
      <c r="O19" s="169">
        <v>5</v>
      </c>
      <c r="S19" s="169" t="s">
        <v>362</v>
      </c>
      <c r="T19" s="169" t="s">
        <v>363</v>
      </c>
      <c r="U19" s="169">
        <v>17</v>
      </c>
    </row>
    <row r="20" spans="1:21">
      <c r="A20" s="169" t="s">
        <v>364</v>
      </c>
      <c r="B20" s="169" t="s">
        <v>303</v>
      </c>
      <c r="C20" s="169">
        <v>17</v>
      </c>
      <c r="D20" s="169" t="s">
        <v>305</v>
      </c>
      <c r="F20" s="167">
        <v>3</v>
      </c>
      <c r="G20" s="156" t="s">
        <v>509</v>
      </c>
      <c r="H20" s="162" t="s">
        <v>497</v>
      </c>
      <c r="M20" t="s">
        <v>364</v>
      </c>
      <c r="N20" s="169" t="s">
        <v>303</v>
      </c>
      <c r="O20" s="169">
        <v>5</v>
      </c>
      <c r="S20" s="169" t="s">
        <v>364</v>
      </c>
      <c r="T20" s="169" t="s">
        <v>303</v>
      </c>
      <c r="U20" s="169">
        <v>17</v>
      </c>
    </row>
    <row r="21" spans="1:21">
      <c r="A21" s="169" t="s">
        <v>365</v>
      </c>
      <c r="B21" s="169" t="s">
        <v>330</v>
      </c>
      <c r="C21" s="169">
        <v>17</v>
      </c>
      <c r="D21" s="169" t="s">
        <v>305</v>
      </c>
      <c r="F21" s="167">
        <v>2</v>
      </c>
      <c r="G21" s="163" t="s">
        <v>336</v>
      </c>
      <c r="H21" s="162" t="s">
        <v>498</v>
      </c>
      <c r="M21" t="s">
        <v>365</v>
      </c>
      <c r="N21" s="169" t="s">
        <v>330</v>
      </c>
      <c r="O21" s="169">
        <v>5</v>
      </c>
      <c r="S21" s="169" t="s">
        <v>365</v>
      </c>
      <c r="T21" s="169" t="s">
        <v>330</v>
      </c>
      <c r="U21" s="169">
        <v>17</v>
      </c>
    </row>
    <row r="22" spans="1:21" ht="16" thickBot="1">
      <c r="A22" s="169" t="s">
        <v>297</v>
      </c>
      <c r="B22" s="169" t="s">
        <v>305</v>
      </c>
      <c r="C22" s="169">
        <v>16</v>
      </c>
      <c r="D22" s="169" t="s">
        <v>305</v>
      </c>
      <c r="F22" s="168">
        <v>1</v>
      </c>
      <c r="G22" s="164" t="s">
        <v>499</v>
      </c>
      <c r="H22" s="165" t="s">
        <v>499</v>
      </c>
      <c r="M22" t="s">
        <v>297</v>
      </c>
      <c r="N22" s="169" t="s">
        <v>305</v>
      </c>
      <c r="O22" s="169">
        <v>6</v>
      </c>
      <c r="S22" s="169" t="s">
        <v>297</v>
      </c>
      <c r="T22" s="169" t="s">
        <v>305</v>
      </c>
      <c r="U22" s="169">
        <v>16</v>
      </c>
    </row>
    <row r="23" spans="1:21">
      <c r="A23" s="169" t="s">
        <v>366</v>
      </c>
      <c r="B23" s="169" t="s">
        <v>367</v>
      </c>
      <c r="C23" s="169">
        <v>16</v>
      </c>
      <c r="D23" s="169" t="s">
        <v>305</v>
      </c>
      <c r="M23" t="s">
        <v>366</v>
      </c>
      <c r="N23" s="169" t="s">
        <v>367</v>
      </c>
      <c r="O23" s="169">
        <v>6</v>
      </c>
      <c r="S23" s="169" t="s">
        <v>366</v>
      </c>
      <c r="T23" s="169" t="s">
        <v>367</v>
      </c>
      <c r="U23" s="169">
        <v>16</v>
      </c>
    </row>
    <row r="24" spans="1:21">
      <c r="A24" s="169" t="s">
        <v>368</v>
      </c>
      <c r="B24" s="169" t="s">
        <v>369</v>
      </c>
      <c r="C24" s="169">
        <v>16</v>
      </c>
      <c r="D24" s="169" t="s">
        <v>305</v>
      </c>
      <c r="M24" t="s">
        <v>368</v>
      </c>
      <c r="N24" s="169" t="s">
        <v>369</v>
      </c>
      <c r="O24" s="169">
        <v>6</v>
      </c>
      <c r="S24" s="169" t="s">
        <v>368</v>
      </c>
      <c r="T24" s="169" t="s">
        <v>369</v>
      </c>
      <c r="U24" s="169">
        <v>16</v>
      </c>
    </row>
    <row r="25" spans="1:21">
      <c r="A25" s="169" t="s">
        <v>370</v>
      </c>
      <c r="B25" s="169" t="s">
        <v>300</v>
      </c>
      <c r="C25" s="169">
        <v>16</v>
      </c>
      <c r="D25" s="169" t="s">
        <v>305</v>
      </c>
      <c r="M25" t="s">
        <v>370</v>
      </c>
      <c r="N25" s="169" t="s">
        <v>300</v>
      </c>
      <c r="O25" s="169">
        <v>6</v>
      </c>
      <c r="S25" s="169" t="s">
        <v>370</v>
      </c>
      <c r="T25" s="169" t="s">
        <v>300</v>
      </c>
      <c r="U25" s="169">
        <v>16</v>
      </c>
    </row>
    <row r="26" spans="1:21">
      <c r="A26" s="169" t="s">
        <v>293</v>
      </c>
      <c r="B26" s="169" t="s">
        <v>294</v>
      </c>
      <c r="C26" s="169">
        <v>15</v>
      </c>
      <c r="D26" s="169" t="s">
        <v>305</v>
      </c>
      <c r="M26" t="s">
        <v>293</v>
      </c>
      <c r="N26" s="169" t="s">
        <v>294</v>
      </c>
      <c r="O26" s="169">
        <v>7</v>
      </c>
      <c r="S26" s="169" t="s">
        <v>293</v>
      </c>
      <c r="T26" s="169" t="s">
        <v>294</v>
      </c>
      <c r="U26" s="169">
        <v>15</v>
      </c>
    </row>
    <row r="27" spans="1:21">
      <c r="A27" s="169" t="s">
        <v>371</v>
      </c>
      <c r="B27" s="169" t="s">
        <v>372</v>
      </c>
      <c r="C27" s="169">
        <v>15</v>
      </c>
      <c r="D27" s="169" t="s">
        <v>305</v>
      </c>
      <c r="M27" t="s">
        <v>371</v>
      </c>
      <c r="N27" s="169" t="s">
        <v>372</v>
      </c>
      <c r="O27" s="169">
        <v>7</v>
      </c>
      <c r="S27" s="169" t="s">
        <v>371</v>
      </c>
      <c r="T27" s="169" t="s">
        <v>372</v>
      </c>
      <c r="U27" s="169">
        <v>15</v>
      </c>
    </row>
    <row r="28" spans="1:21">
      <c r="A28" s="169" t="s">
        <v>373</v>
      </c>
      <c r="B28" s="169" t="s">
        <v>374</v>
      </c>
      <c r="C28" s="169">
        <v>15</v>
      </c>
      <c r="D28" s="169" t="s">
        <v>305</v>
      </c>
      <c r="M28" t="s">
        <v>373</v>
      </c>
      <c r="N28" s="169" t="s">
        <v>374</v>
      </c>
      <c r="O28" s="169">
        <v>7</v>
      </c>
      <c r="S28" s="169" t="s">
        <v>373</v>
      </c>
      <c r="T28" s="169" t="s">
        <v>374</v>
      </c>
      <c r="U28" s="169">
        <v>15</v>
      </c>
    </row>
    <row r="29" spans="1:21">
      <c r="A29" s="169" t="s">
        <v>375</v>
      </c>
      <c r="B29" s="169" t="s">
        <v>376</v>
      </c>
      <c r="C29" s="169">
        <v>15</v>
      </c>
      <c r="D29" s="169" t="s">
        <v>305</v>
      </c>
      <c r="M29" t="s">
        <v>375</v>
      </c>
      <c r="N29" s="169" t="s">
        <v>376</v>
      </c>
      <c r="O29" s="169">
        <v>7</v>
      </c>
      <c r="S29" s="169" t="s">
        <v>375</v>
      </c>
      <c r="T29" s="169" t="s">
        <v>376</v>
      </c>
      <c r="U29" s="169">
        <v>15</v>
      </c>
    </row>
    <row r="30" spans="1:21">
      <c r="A30" s="169" t="s">
        <v>302</v>
      </c>
      <c r="B30" s="169" t="s">
        <v>298</v>
      </c>
      <c r="C30" s="169">
        <v>14</v>
      </c>
      <c r="D30" s="169" t="s">
        <v>301</v>
      </c>
      <c r="M30" t="s">
        <v>302</v>
      </c>
      <c r="N30" s="169" t="s">
        <v>298</v>
      </c>
      <c r="O30" s="169">
        <v>8</v>
      </c>
      <c r="S30" s="169" t="s">
        <v>302</v>
      </c>
      <c r="T30" s="169" t="s">
        <v>298</v>
      </c>
      <c r="U30" s="169">
        <v>14</v>
      </c>
    </row>
    <row r="31" spans="1:21">
      <c r="A31" s="169" t="s">
        <v>377</v>
      </c>
      <c r="B31" s="169" t="s">
        <v>378</v>
      </c>
      <c r="C31" s="169">
        <v>14</v>
      </c>
      <c r="D31" s="169" t="s">
        <v>301</v>
      </c>
      <c r="M31" t="s">
        <v>377</v>
      </c>
      <c r="N31" s="169" t="s">
        <v>378</v>
      </c>
      <c r="O31" s="169">
        <v>8</v>
      </c>
      <c r="S31" s="169" t="s">
        <v>377</v>
      </c>
      <c r="T31" s="169" t="s">
        <v>378</v>
      </c>
      <c r="U31" s="169">
        <v>14</v>
      </c>
    </row>
    <row r="32" spans="1:21">
      <c r="A32" s="169" t="s">
        <v>379</v>
      </c>
      <c r="B32" s="169" t="s">
        <v>328</v>
      </c>
      <c r="C32" s="169">
        <v>14</v>
      </c>
      <c r="D32" s="169" t="s">
        <v>301</v>
      </c>
      <c r="M32" t="s">
        <v>379</v>
      </c>
      <c r="N32" s="169" t="s">
        <v>328</v>
      </c>
      <c r="O32" s="169">
        <v>8</v>
      </c>
      <c r="S32" s="169" t="s">
        <v>379</v>
      </c>
      <c r="T32" s="169" t="s">
        <v>328</v>
      </c>
      <c r="U32" s="169">
        <v>14</v>
      </c>
    </row>
    <row r="33" spans="1:21">
      <c r="A33" s="169" t="s">
        <v>380</v>
      </c>
      <c r="B33" s="169" t="s">
        <v>381</v>
      </c>
      <c r="C33" s="169">
        <v>14</v>
      </c>
      <c r="D33" s="169" t="s">
        <v>301</v>
      </c>
      <c r="M33" t="s">
        <v>380</v>
      </c>
      <c r="N33" s="169" t="s">
        <v>381</v>
      </c>
      <c r="O33" s="169">
        <v>8</v>
      </c>
      <c r="S33" s="169" t="s">
        <v>380</v>
      </c>
      <c r="T33" s="169" t="s">
        <v>381</v>
      </c>
      <c r="U33" s="169">
        <v>14</v>
      </c>
    </row>
    <row r="34" spans="1:21">
      <c r="A34" s="169" t="s">
        <v>312</v>
      </c>
      <c r="B34" s="169" t="s">
        <v>301</v>
      </c>
      <c r="C34" s="169">
        <v>13</v>
      </c>
      <c r="D34" s="169" t="s">
        <v>301</v>
      </c>
      <c r="M34" t="s">
        <v>312</v>
      </c>
      <c r="N34" s="169" t="s">
        <v>301</v>
      </c>
      <c r="O34" s="169">
        <v>9</v>
      </c>
      <c r="S34" s="169" t="s">
        <v>312</v>
      </c>
      <c r="T34" s="169" t="s">
        <v>301</v>
      </c>
      <c r="U34" s="169">
        <v>13</v>
      </c>
    </row>
    <row r="35" spans="1:21">
      <c r="A35" s="169" t="s">
        <v>382</v>
      </c>
      <c r="B35" s="169" t="s">
        <v>383</v>
      </c>
      <c r="C35" s="169">
        <v>13</v>
      </c>
      <c r="D35" s="169" t="s">
        <v>301</v>
      </c>
      <c r="M35" t="s">
        <v>382</v>
      </c>
      <c r="N35" s="169" t="s">
        <v>383</v>
      </c>
      <c r="O35" s="169">
        <v>9</v>
      </c>
      <c r="S35" s="169" t="s">
        <v>382</v>
      </c>
      <c r="T35" s="169" t="s">
        <v>383</v>
      </c>
      <c r="U35" s="169">
        <v>13</v>
      </c>
    </row>
    <row r="36" spans="1:21">
      <c r="A36" s="169" t="s">
        <v>327</v>
      </c>
      <c r="B36" s="169" t="s">
        <v>384</v>
      </c>
      <c r="C36" s="169">
        <v>13</v>
      </c>
      <c r="D36" s="169" t="s">
        <v>301</v>
      </c>
      <c r="M36" t="s">
        <v>327</v>
      </c>
      <c r="N36" s="169" t="s">
        <v>384</v>
      </c>
      <c r="O36" s="169">
        <v>9</v>
      </c>
      <c r="S36" s="169" t="s">
        <v>327</v>
      </c>
      <c r="T36" s="169" t="s">
        <v>384</v>
      </c>
      <c r="U36" s="169">
        <v>13</v>
      </c>
    </row>
    <row r="37" spans="1:21">
      <c r="A37" s="169" t="s">
        <v>385</v>
      </c>
      <c r="B37" s="169" t="s">
        <v>317</v>
      </c>
      <c r="C37" s="169">
        <v>13</v>
      </c>
      <c r="D37" s="169" t="s">
        <v>301</v>
      </c>
      <c r="M37" t="s">
        <v>385</v>
      </c>
      <c r="N37" s="169" t="s">
        <v>317</v>
      </c>
      <c r="O37" s="169">
        <v>9</v>
      </c>
      <c r="S37" s="169" t="s">
        <v>385</v>
      </c>
      <c r="T37" s="169" t="s">
        <v>317</v>
      </c>
      <c r="U37" s="169">
        <v>13</v>
      </c>
    </row>
    <row r="38" spans="1:21">
      <c r="A38" s="169" t="s">
        <v>319</v>
      </c>
      <c r="B38" s="169" t="s">
        <v>318</v>
      </c>
      <c r="C38" s="169">
        <v>12</v>
      </c>
      <c r="D38" s="169" t="s">
        <v>301</v>
      </c>
      <c r="M38" t="s">
        <v>319</v>
      </c>
      <c r="N38" s="169" t="s">
        <v>318</v>
      </c>
      <c r="O38" s="169">
        <v>10</v>
      </c>
      <c r="S38" s="169" t="s">
        <v>319</v>
      </c>
      <c r="T38" s="169" t="s">
        <v>318</v>
      </c>
      <c r="U38" s="169">
        <v>12</v>
      </c>
    </row>
    <row r="39" spans="1:21">
      <c r="A39" s="169" t="s">
        <v>386</v>
      </c>
      <c r="B39" s="169" t="s">
        <v>387</v>
      </c>
      <c r="C39" s="169">
        <v>12</v>
      </c>
      <c r="D39" s="169" t="s">
        <v>301</v>
      </c>
      <c r="M39" t="s">
        <v>386</v>
      </c>
      <c r="N39" s="169" t="s">
        <v>387</v>
      </c>
      <c r="O39" s="169">
        <v>10</v>
      </c>
      <c r="S39" s="169" t="s">
        <v>386</v>
      </c>
      <c r="T39" s="169" t="s">
        <v>387</v>
      </c>
      <c r="U39" s="169">
        <v>12</v>
      </c>
    </row>
    <row r="40" spans="1:21">
      <c r="A40" s="169" t="s">
        <v>388</v>
      </c>
      <c r="B40" s="169" t="s">
        <v>389</v>
      </c>
      <c r="C40" s="169">
        <v>12</v>
      </c>
      <c r="D40" s="169" t="s">
        <v>301</v>
      </c>
      <c r="M40" t="s">
        <v>388</v>
      </c>
      <c r="N40" s="169" t="s">
        <v>389</v>
      </c>
      <c r="O40" s="169">
        <v>10</v>
      </c>
      <c r="S40" s="169" t="s">
        <v>388</v>
      </c>
      <c r="T40" s="169" t="s">
        <v>389</v>
      </c>
      <c r="U40" s="169">
        <v>12</v>
      </c>
    </row>
    <row r="41" spans="1:21">
      <c r="A41" s="169" t="s">
        <v>390</v>
      </c>
      <c r="B41" s="169" t="s">
        <v>323</v>
      </c>
      <c r="C41" s="169">
        <v>12</v>
      </c>
      <c r="D41" s="169" t="s">
        <v>301</v>
      </c>
      <c r="M41" t="s">
        <v>390</v>
      </c>
      <c r="N41" s="169" t="s">
        <v>323</v>
      </c>
      <c r="O41" s="169">
        <v>10</v>
      </c>
      <c r="S41" s="169" t="s">
        <v>390</v>
      </c>
      <c r="T41" s="169" t="s">
        <v>323</v>
      </c>
      <c r="U41" s="169">
        <v>12</v>
      </c>
    </row>
    <row r="42" spans="1:21">
      <c r="A42" s="169" t="s">
        <v>326</v>
      </c>
      <c r="B42" s="169" t="s">
        <v>314</v>
      </c>
      <c r="C42" s="169">
        <v>11</v>
      </c>
      <c r="D42" s="169" t="s">
        <v>397</v>
      </c>
      <c r="M42" t="s">
        <v>326</v>
      </c>
      <c r="N42" s="169" t="s">
        <v>314</v>
      </c>
      <c r="O42" s="169">
        <v>11</v>
      </c>
      <c r="S42" s="169" t="s">
        <v>326</v>
      </c>
      <c r="T42" s="169" t="s">
        <v>314</v>
      </c>
      <c r="U42" s="169">
        <v>11</v>
      </c>
    </row>
    <row r="43" spans="1:21">
      <c r="A43" s="169" t="s">
        <v>391</v>
      </c>
      <c r="B43" s="169" t="s">
        <v>392</v>
      </c>
      <c r="C43" s="169">
        <v>11</v>
      </c>
      <c r="D43" s="169" t="s">
        <v>397</v>
      </c>
      <c r="M43" t="s">
        <v>391</v>
      </c>
      <c r="N43" s="169" t="s">
        <v>392</v>
      </c>
      <c r="O43" s="169">
        <v>11</v>
      </c>
      <c r="S43" s="169" t="s">
        <v>391</v>
      </c>
      <c r="T43" s="169" t="s">
        <v>392</v>
      </c>
      <c r="U43" s="169">
        <v>11</v>
      </c>
    </row>
    <row r="44" spans="1:21">
      <c r="A44" s="169" t="s">
        <v>393</v>
      </c>
      <c r="B44" s="169" t="s">
        <v>394</v>
      </c>
      <c r="C44" s="169">
        <v>11</v>
      </c>
      <c r="D44" s="169" t="s">
        <v>397</v>
      </c>
      <c r="M44" t="s">
        <v>393</v>
      </c>
      <c r="N44" s="169" t="s">
        <v>394</v>
      </c>
      <c r="O44" s="169">
        <v>11</v>
      </c>
      <c r="S44" s="169" t="s">
        <v>393</v>
      </c>
      <c r="T44" s="169" t="s">
        <v>394</v>
      </c>
      <c r="U44" s="169">
        <v>11</v>
      </c>
    </row>
    <row r="45" spans="1:21">
      <c r="A45" s="169" t="s">
        <v>395</v>
      </c>
      <c r="B45" s="169" t="s">
        <v>396</v>
      </c>
      <c r="C45" s="169">
        <v>11</v>
      </c>
      <c r="D45" s="169" t="s">
        <v>397</v>
      </c>
      <c r="M45" t="s">
        <v>395</v>
      </c>
      <c r="N45" s="169" t="s">
        <v>396</v>
      </c>
      <c r="O45" s="169">
        <v>11</v>
      </c>
      <c r="S45" s="169" t="s">
        <v>395</v>
      </c>
      <c r="T45" s="169" t="s">
        <v>396</v>
      </c>
      <c r="U45" s="169">
        <v>11</v>
      </c>
    </row>
    <row r="46" spans="1:21">
      <c r="A46" s="169" t="s">
        <v>313</v>
      </c>
      <c r="B46" s="169" t="s">
        <v>397</v>
      </c>
      <c r="C46" s="169">
        <v>10</v>
      </c>
      <c r="D46" s="169" t="s">
        <v>397</v>
      </c>
      <c r="M46" t="s">
        <v>313</v>
      </c>
      <c r="N46" s="169" t="s">
        <v>397</v>
      </c>
      <c r="O46" s="169">
        <v>12</v>
      </c>
      <c r="S46" s="169" t="s">
        <v>313</v>
      </c>
      <c r="T46" s="169" t="s">
        <v>397</v>
      </c>
      <c r="U46" s="169">
        <v>10</v>
      </c>
    </row>
    <row r="47" spans="1:21">
      <c r="A47" s="169" t="s">
        <v>398</v>
      </c>
      <c r="B47" s="169" t="s">
        <v>399</v>
      </c>
      <c r="C47" s="169">
        <v>10</v>
      </c>
      <c r="D47" s="169" t="s">
        <v>397</v>
      </c>
      <c r="M47" t="s">
        <v>398</v>
      </c>
      <c r="N47" s="169" t="s">
        <v>399</v>
      </c>
      <c r="O47" s="169">
        <v>12</v>
      </c>
      <c r="S47" s="169" t="s">
        <v>398</v>
      </c>
      <c r="T47" s="169" t="s">
        <v>399</v>
      </c>
      <c r="U47" s="169">
        <v>10</v>
      </c>
    </row>
    <row r="48" spans="1:21">
      <c r="A48" s="169" t="s">
        <v>400</v>
      </c>
      <c r="B48" s="169" t="s">
        <v>401</v>
      </c>
      <c r="C48" s="169">
        <v>10</v>
      </c>
      <c r="D48" s="169" t="s">
        <v>397</v>
      </c>
      <c r="M48" t="s">
        <v>400</v>
      </c>
      <c r="N48" s="169" t="s">
        <v>401</v>
      </c>
      <c r="O48" s="169">
        <v>12</v>
      </c>
      <c r="S48" s="169" t="s">
        <v>400</v>
      </c>
      <c r="T48" s="169" t="s">
        <v>401</v>
      </c>
      <c r="U48" s="169">
        <v>10</v>
      </c>
    </row>
    <row r="49" spans="1:21">
      <c r="A49" s="169" t="s">
        <v>402</v>
      </c>
      <c r="B49" s="169" t="s">
        <v>403</v>
      </c>
      <c r="C49" s="169">
        <v>10</v>
      </c>
      <c r="D49" s="169" t="s">
        <v>397</v>
      </c>
      <c r="M49" t="s">
        <v>402</v>
      </c>
      <c r="N49" s="169" t="s">
        <v>403</v>
      </c>
      <c r="O49" s="169">
        <v>12</v>
      </c>
      <c r="S49" s="169" t="s">
        <v>402</v>
      </c>
      <c r="T49" s="169" t="s">
        <v>403</v>
      </c>
      <c r="U49" s="169">
        <v>10</v>
      </c>
    </row>
    <row r="50" spans="1:21">
      <c r="A50" s="169" t="s">
        <v>404</v>
      </c>
      <c r="B50" s="169" t="s">
        <v>405</v>
      </c>
      <c r="C50" s="169">
        <v>9</v>
      </c>
      <c r="D50" s="169" t="s">
        <v>397</v>
      </c>
      <c r="M50" t="s">
        <v>404</v>
      </c>
      <c r="N50" s="169" t="s">
        <v>405</v>
      </c>
      <c r="O50" s="169">
        <v>13</v>
      </c>
      <c r="S50" s="169" t="s">
        <v>404</v>
      </c>
      <c r="T50" s="169" t="s">
        <v>405</v>
      </c>
      <c r="U50" s="169">
        <v>9</v>
      </c>
    </row>
    <row r="51" spans="1:21">
      <c r="A51" s="169" t="s">
        <v>406</v>
      </c>
      <c r="B51" s="169" t="s">
        <v>407</v>
      </c>
      <c r="C51" s="169">
        <v>9</v>
      </c>
      <c r="D51" s="169" t="s">
        <v>397</v>
      </c>
      <c r="M51" t="s">
        <v>406</v>
      </c>
      <c r="N51" s="169" t="s">
        <v>407</v>
      </c>
      <c r="O51" s="169">
        <v>13</v>
      </c>
      <c r="S51" s="169" t="s">
        <v>406</v>
      </c>
      <c r="T51" s="169" t="s">
        <v>407</v>
      </c>
      <c r="U51" s="169">
        <v>9</v>
      </c>
    </row>
    <row r="52" spans="1:21">
      <c r="A52" s="169" t="s">
        <v>408</v>
      </c>
      <c r="B52" s="169" t="s">
        <v>409</v>
      </c>
      <c r="C52" s="169">
        <v>9</v>
      </c>
      <c r="D52" s="169" t="s">
        <v>397</v>
      </c>
      <c r="M52" t="s">
        <v>408</v>
      </c>
      <c r="N52" s="169" t="s">
        <v>409</v>
      </c>
      <c r="O52" s="169">
        <v>13</v>
      </c>
      <c r="S52" s="169" t="s">
        <v>408</v>
      </c>
      <c r="T52" s="169" t="s">
        <v>409</v>
      </c>
      <c r="U52" s="169">
        <v>9</v>
      </c>
    </row>
    <row r="53" spans="1:21">
      <c r="A53" s="169" t="s">
        <v>410</v>
      </c>
      <c r="B53" s="169" t="s">
        <v>325</v>
      </c>
      <c r="C53" s="169">
        <v>9</v>
      </c>
      <c r="D53" s="169" t="s">
        <v>397</v>
      </c>
      <c r="M53" t="s">
        <v>410</v>
      </c>
      <c r="N53" s="169" t="s">
        <v>325</v>
      </c>
      <c r="O53" s="169">
        <v>13</v>
      </c>
      <c r="S53" s="169" t="s">
        <v>410</v>
      </c>
      <c r="T53" s="169" t="s">
        <v>325</v>
      </c>
      <c r="U53" s="169">
        <v>9</v>
      </c>
    </row>
    <row r="54" spans="1:21">
      <c r="A54" s="169" t="s">
        <v>324</v>
      </c>
      <c r="B54" s="169" t="s">
        <v>411</v>
      </c>
      <c r="C54" s="169">
        <v>8</v>
      </c>
      <c r="D54" s="169" t="s">
        <v>419</v>
      </c>
      <c r="M54" t="s">
        <v>324</v>
      </c>
      <c r="N54" s="169" t="s">
        <v>411</v>
      </c>
      <c r="O54" s="169">
        <v>14</v>
      </c>
      <c r="S54" s="169" t="s">
        <v>324</v>
      </c>
      <c r="T54" s="169" t="s">
        <v>411</v>
      </c>
      <c r="U54" s="169">
        <v>8</v>
      </c>
    </row>
    <row r="55" spans="1:21">
      <c r="A55" s="169" t="s">
        <v>412</v>
      </c>
      <c r="B55" s="169" t="s">
        <v>413</v>
      </c>
      <c r="C55" s="169">
        <v>8</v>
      </c>
      <c r="D55" s="169" t="s">
        <v>419</v>
      </c>
      <c r="M55" t="s">
        <v>412</v>
      </c>
      <c r="N55" s="169" t="s">
        <v>413</v>
      </c>
      <c r="O55" s="169">
        <v>14</v>
      </c>
      <c r="S55" s="169" t="s">
        <v>412</v>
      </c>
      <c r="T55" s="169" t="s">
        <v>413</v>
      </c>
      <c r="U55" s="169">
        <v>8</v>
      </c>
    </row>
    <row r="56" spans="1:21">
      <c r="A56" s="169" t="s">
        <v>414</v>
      </c>
      <c r="B56" s="169" t="s">
        <v>415</v>
      </c>
      <c r="C56" s="169">
        <v>8</v>
      </c>
      <c r="D56" s="169" t="s">
        <v>419</v>
      </c>
      <c r="M56" t="s">
        <v>414</v>
      </c>
      <c r="N56" s="169" t="s">
        <v>415</v>
      </c>
      <c r="O56" s="169">
        <v>14</v>
      </c>
      <c r="S56" s="169" t="s">
        <v>414</v>
      </c>
      <c r="T56" s="169" t="s">
        <v>415</v>
      </c>
      <c r="U56" s="169">
        <v>8</v>
      </c>
    </row>
    <row r="57" spans="1:21">
      <c r="A57" s="169" t="s">
        <v>416</v>
      </c>
      <c r="B57" s="169" t="s">
        <v>417</v>
      </c>
      <c r="C57" s="169">
        <v>8</v>
      </c>
      <c r="D57" s="169" t="s">
        <v>419</v>
      </c>
      <c r="M57" t="s">
        <v>416</v>
      </c>
      <c r="N57" s="169" t="s">
        <v>417</v>
      </c>
      <c r="O57" s="169">
        <v>14</v>
      </c>
      <c r="S57" s="169" t="s">
        <v>416</v>
      </c>
      <c r="T57" s="169" t="s">
        <v>417</v>
      </c>
      <c r="U57" s="169">
        <v>8</v>
      </c>
    </row>
    <row r="58" spans="1:21">
      <c r="A58" s="169" t="s">
        <v>418</v>
      </c>
      <c r="B58" s="169" t="s">
        <v>419</v>
      </c>
      <c r="C58" s="169">
        <v>7</v>
      </c>
      <c r="D58" s="169" t="s">
        <v>419</v>
      </c>
      <c r="M58" t="s">
        <v>418</v>
      </c>
      <c r="N58" s="169" t="s">
        <v>419</v>
      </c>
      <c r="O58" s="169">
        <v>15</v>
      </c>
      <c r="S58" s="169" t="s">
        <v>418</v>
      </c>
      <c r="T58" s="169" t="s">
        <v>419</v>
      </c>
      <c r="U58" s="169">
        <v>7</v>
      </c>
    </row>
    <row r="59" spans="1:21">
      <c r="A59" s="169" t="s">
        <v>420</v>
      </c>
      <c r="B59" s="169" t="s">
        <v>421</v>
      </c>
      <c r="C59" s="169">
        <v>7</v>
      </c>
      <c r="D59" s="169" t="s">
        <v>419</v>
      </c>
      <c r="M59" t="s">
        <v>420</v>
      </c>
      <c r="N59" s="169" t="s">
        <v>421</v>
      </c>
      <c r="O59" s="169">
        <v>15</v>
      </c>
      <c r="S59" s="169" t="s">
        <v>420</v>
      </c>
      <c r="T59" s="169" t="s">
        <v>421</v>
      </c>
      <c r="U59" s="169">
        <v>7</v>
      </c>
    </row>
    <row r="60" spans="1:21">
      <c r="A60" s="169" t="s">
        <v>422</v>
      </c>
      <c r="B60" s="169" t="s">
        <v>423</v>
      </c>
      <c r="C60" s="169">
        <v>7</v>
      </c>
      <c r="D60" s="169" t="s">
        <v>419</v>
      </c>
      <c r="M60" t="s">
        <v>422</v>
      </c>
      <c r="N60" s="169" t="s">
        <v>423</v>
      </c>
      <c r="O60" s="169">
        <v>15</v>
      </c>
      <c r="S60" s="169" t="s">
        <v>422</v>
      </c>
      <c r="T60" s="169" t="s">
        <v>423</v>
      </c>
      <c r="U60" s="169">
        <v>7</v>
      </c>
    </row>
    <row r="61" spans="1:21">
      <c r="A61" s="169" t="s">
        <v>424</v>
      </c>
      <c r="B61" s="169" t="s">
        <v>425</v>
      </c>
      <c r="C61" s="169">
        <v>7</v>
      </c>
      <c r="D61" s="169" t="s">
        <v>419</v>
      </c>
      <c r="M61" t="s">
        <v>424</v>
      </c>
      <c r="N61" s="169" t="s">
        <v>425</v>
      </c>
      <c r="O61" s="169">
        <v>15</v>
      </c>
      <c r="S61" s="169" t="s">
        <v>424</v>
      </c>
      <c r="T61" s="169" t="s">
        <v>425</v>
      </c>
      <c r="U61" s="169">
        <v>7</v>
      </c>
    </row>
    <row r="62" spans="1:21">
      <c r="A62" s="169" t="s">
        <v>426</v>
      </c>
      <c r="B62" s="169" t="s">
        <v>427</v>
      </c>
      <c r="C62" s="169">
        <v>6</v>
      </c>
      <c r="D62" s="169" t="s">
        <v>419</v>
      </c>
      <c r="M62" t="s">
        <v>426</v>
      </c>
      <c r="N62" s="169" t="s">
        <v>427</v>
      </c>
      <c r="O62" s="169">
        <v>16</v>
      </c>
      <c r="S62" s="169" t="s">
        <v>426</v>
      </c>
      <c r="T62" s="169" t="s">
        <v>427</v>
      </c>
      <c r="U62" s="169">
        <v>6</v>
      </c>
    </row>
    <row r="63" spans="1:21">
      <c r="A63" s="169" t="s">
        <v>428</v>
      </c>
      <c r="B63" s="169" t="s">
        <v>429</v>
      </c>
      <c r="C63" s="169">
        <v>6</v>
      </c>
      <c r="D63" s="169" t="s">
        <v>419</v>
      </c>
      <c r="M63" t="s">
        <v>428</v>
      </c>
      <c r="N63" s="169" t="s">
        <v>429</v>
      </c>
      <c r="O63" s="169">
        <v>16</v>
      </c>
      <c r="S63" s="169" t="s">
        <v>428</v>
      </c>
      <c r="T63" s="169" t="s">
        <v>429</v>
      </c>
      <c r="U63" s="169">
        <v>6</v>
      </c>
    </row>
    <row r="64" spans="1:21">
      <c r="A64" s="169" t="s">
        <v>430</v>
      </c>
      <c r="B64" s="169" t="s">
        <v>431</v>
      </c>
      <c r="C64" s="169">
        <v>6</v>
      </c>
      <c r="D64" s="169" t="s">
        <v>419</v>
      </c>
      <c r="M64" t="s">
        <v>430</v>
      </c>
      <c r="N64" s="169" t="s">
        <v>431</v>
      </c>
      <c r="O64" s="169">
        <v>16</v>
      </c>
      <c r="S64" s="169" t="s">
        <v>430</v>
      </c>
      <c r="T64" s="169" t="s">
        <v>431</v>
      </c>
      <c r="U64" s="169">
        <v>6</v>
      </c>
    </row>
    <row r="65" spans="1:21">
      <c r="A65" s="169" t="s">
        <v>432</v>
      </c>
      <c r="B65" s="169" t="s">
        <v>433</v>
      </c>
      <c r="C65" s="169">
        <v>6</v>
      </c>
      <c r="D65" s="169" t="s">
        <v>419</v>
      </c>
      <c r="M65" t="s">
        <v>432</v>
      </c>
      <c r="N65" s="169" t="s">
        <v>433</v>
      </c>
      <c r="O65" s="169">
        <v>16</v>
      </c>
      <c r="S65" s="169" t="s">
        <v>432</v>
      </c>
      <c r="T65" s="169" t="s">
        <v>433</v>
      </c>
      <c r="U65" s="169">
        <v>6</v>
      </c>
    </row>
    <row r="66" spans="1:21">
      <c r="A66" s="169" t="s">
        <v>434</v>
      </c>
      <c r="B66" s="169" t="s">
        <v>435</v>
      </c>
      <c r="C66" s="169">
        <v>5</v>
      </c>
      <c r="D66" s="169" t="s">
        <v>443</v>
      </c>
      <c r="M66" t="s">
        <v>434</v>
      </c>
      <c r="N66" s="169" t="s">
        <v>435</v>
      </c>
      <c r="O66" s="169">
        <v>17</v>
      </c>
      <c r="S66" s="169" t="s">
        <v>434</v>
      </c>
      <c r="T66" s="169" t="s">
        <v>435</v>
      </c>
      <c r="U66" s="169">
        <v>5</v>
      </c>
    </row>
    <row r="67" spans="1:21">
      <c r="A67" s="169" t="s">
        <v>436</v>
      </c>
      <c r="B67" s="169" t="s">
        <v>437</v>
      </c>
      <c r="C67" s="169">
        <v>5</v>
      </c>
      <c r="D67" s="169" t="s">
        <v>443</v>
      </c>
      <c r="M67" t="s">
        <v>436</v>
      </c>
      <c r="N67" s="169" t="s">
        <v>437</v>
      </c>
      <c r="O67" s="169">
        <v>17</v>
      </c>
      <c r="S67" s="169" t="s">
        <v>436</v>
      </c>
      <c r="T67" s="169" t="s">
        <v>437</v>
      </c>
      <c r="U67" s="169">
        <v>5</v>
      </c>
    </row>
    <row r="68" spans="1:21">
      <c r="A68" s="169" t="s">
        <v>438</v>
      </c>
      <c r="B68" s="169" t="s">
        <v>439</v>
      </c>
      <c r="C68" s="169">
        <v>5</v>
      </c>
      <c r="D68" s="169" t="s">
        <v>443</v>
      </c>
      <c r="M68" t="s">
        <v>438</v>
      </c>
      <c r="N68" s="169" t="s">
        <v>439</v>
      </c>
      <c r="O68" s="169">
        <v>17</v>
      </c>
      <c r="S68" s="169" t="s">
        <v>438</v>
      </c>
      <c r="T68" s="169" t="s">
        <v>439</v>
      </c>
      <c r="U68" s="169">
        <v>5</v>
      </c>
    </row>
    <row r="69" spans="1:21">
      <c r="A69" s="169" t="s">
        <v>440</v>
      </c>
      <c r="B69" s="169" t="s">
        <v>441</v>
      </c>
      <c r="C69" s="169">
        <v>5</v>
      </c>
      <c r="D69" s="169" t="s">
        <v>443</v>
      </c>
      <c r="M69" t="s">
        <v>440</v>
      </c>
      <c r="N69" s="169" t="s">
        <v>441</v>
      </c>
      <c r="O69" s="169">
        <v>17</v>
      </c>
      <c r="S69" s="169" t="s">
        <v>440</v>
      </c>
      <c r="T69" s="169" t="s">
        <v>441</v>
      </c>
      <c r="U69" s="169">
        <v>5</v>
      </c>
    </row>
    <row r="70" spans="1:21">
      <c r="A70" s="169" t="s">
        <v>442</v>
      </c>
      <c r="B70" s="169" t="s">
        <v>443</v>
      </c>
      <c r="C70" s="169">
        <v>4</v>
      </c>
      <c r="D70" s="169" t="s">
        <v>443</v>
      </c>
      <c r="M70" t="s">
        <v>442</v>
      </c>
      <c r="N70" s="169" t="s">
        <v>443</v>
      </c>
      <c r="O70" s="169">
        <v>18</v>
      </c>
      <c r="S70" s="169" t="s">
        <v>442</v>
      </c>
      <c r="T70" s="169" t="s">
        <v>443</v>
      </c>
      <c r="U70" s="169">
        <v>4</v>
      </c>
    </row>
    <row r="71" spans="1:21">
      <c r="A71" s="169" t="s">
        <v>444</v>
      </c>
      <c r="B71" s="169" t="s">
        <v>445</v>
      </c>
      <c r="C71" s="169">
        <v>4</v>
      </c>
      <c r="D71" s="169" t="s">
        <v>443</v>
      </c>
      <c r="M71" t="s">
        <v>444</v>
      </c>
      <c r="N71" s="169" t="s">
        <v>445</v>
      </c>
      <c r="O71" s="169">
        <v>18</v>
      </c>
      <c r="S71" s="169" t="s">
        <v>444</v>
      </c>
      <c r="T71" s="169" t="s">
        <v>445</v>
      </c>
      <c r="U71" s="169">
        <v>4</v>
      </c>
    </row>
    <row r="72" spans="1:21">
      <c r="A72" s="169" t="s">
        <v>446</v>
      </c>
      <c r="B72" s="169" t="s">
        <v>447</v>
      </c>
      <c r="C72" s="169">
        <v>4</v>
      </c>
      <c r="D72" s="169" t="s">
        <v>443</v>
      </c>
      <c r="M72" t="s">
        <v>446</v>
      </c>
      <c r="N72" s="169" t="s">
        <v>447</v>
      </c>
      <c r="O72" s="169">
        <v>18</v>
      </c>
      <c r="S72" s="169" t="s">
        <v>446</v>
      </c>
      <c r="T72" s="169" t="s">
        <v>447</v>
      </c>
      <c r="U72" s="169">
        <v>4</v>
      </c>
    </row>
    <row r="73" spans="1:21">
      <c r="A73" s="169" t="s">
        <v>448</v>
      </c>
      <c r="B73" s="169" t="s">
        <v>449</v>
      </c>
      <c r="C73" s="169">
        <v>4</v>
      </c>
      <c r="D73" s="169" t="s">
        <v>443</v>
      </c>
      <c r="M73" t="s">
        <v>448</v>
      </c>
      <c r="N73" s="169" t="s">
        <v>449</v>
      </c>
      <c r="O73" s="169">
        <v>18</v>
      </c>
      <c r="S73" s="169" t="s">
        <v>448</v>
      </c>
      <c r="T73" s="169" t="s">
        <v>449</v>
      </c>
      <c r="U73" s="169">
        <v>4</v>
      </c>
    </row>
    <row r="74" spans="1:21">
      <c r="A74" s="169" t="s">
        <v>450</v>
      </c>
      <c r="B74" s="169" t="s">
        <v>451</v>
      </c>
      <c r="C74" s="169">
        <v>3</v>
      </c>
      <c r="D74" s="169" t="s">
        <v>443</v>
      </c>
      <c r="M74" t="s">
        <v>450</v>
      </c>
      <c r="N74" s="169" t="s">
        <v>451</v>
      </c>
      <c r="O74" s="169">
        <v>19</v>
      </c>
      <c r="S74" s="169" t="s">
        <v>450</v>
      </c>
      <c r="T74" s="169" t="s">
        <v>451</v>
      </c>
      <c r="U74" s="169">
        <v>3</v>
      </c>
    </row>
    <row r="75" spans="1:21">
      <c r="A75" s="169" t="s">
        <v>452</v>
      </c>
      <c r="B75" s="169" t="s">
        <v>453</v>
      </c>
      <c r="C75" s="169">
        <v>3</v>
      </c>
      <c r="D75" s="169" t="s">
        <v>443</v>
      </c>
      <c r="M75" t="s">
        <v>452</v>
      </c>
      <c r="N75" s="169" t="s">
        <v>453</v>
      </c>
      <c r="O75" s="169">
        <v>19</v>
      </c>
      <c r="S75" s="169" t="s">
        <v>452</v>
      </c>
      <c r="T75" s="169" t="s">
        <v>453</v>
      </c>
      <c r="U75" s="169">
        <v>3</v>
      </c>
    </row>
    <row r="76" spans="1:21">
      <c r="A76" s="169" t="s">
        <v>454</v>
      </c>
      <c r="B76" s="169" t="s">
        <v>455</v>
      </c>
      <c r="C76" s="169">
        <v>3</v>
      </c>
      <c r="D76" s="169" t="s">
        <v>443</v>
      </c>
      <c r="M76" t="s">
        <v>454</v>
      </c>
      <c r="N76" s="169" t="s">
        <v>455</v>
      </c>
      <c r="O76" s="169">
        <v>19</v>
      </c>
      <c r="S76" s="169" t="s">
        <v>454</v>
      </c>
      <c r="T76" s="169" t="s">
        <v>455</v>
      </c>
      <c r="U76" s="169">
        <v>3</v>
      </c>
    </row>
    <row r="77" spans="1:21">
      <c r="A77" s="169" t="s">
        <v>456</v>
      </c>
      <c r="B77" s="169" t="s">
        <v>457</v>
      </c>
      <c r="C77" s="169">
        <v>3</v>
      </c>
      <c r="D77" s="169" t="s">
        <v>443</v>
      </c>
      <c r="M77" t="s">
        <v>456</v>
      </c>
      <c r="N77" s="169" t="s">
        <v>457</v>
      </c>
      <c r="O77" s="169">
        <v>19</v>
      </c>
      <c r="S77" s="169" t="s">
        <v>456</v>
      </c>
      <c r="T77" s="169" t="s">
        <v>457</v>
      </c>
      <c r="U77" s="169">
        <v>3</v>
      </c>
    </row>
    <row r="78" spans="1:21">
      <c r="A78" s="169" t="s">
        <v>336</v>
      </c>
      <c r="B78" s="169" t="s">
        <v>458</v>
      </c>
      <c r="C78" s="169">
        <v>2</v>
      </c>
      <c r="D78" s="169" t="s">
        <v>458</v>
      </c>
      <c r="M78" t="s">
        <v>336</v>
      </c>
      <c r="N78" s="169" t="s">
        <v>458</v>
      </c>
      <c r="O78" s="169">
        <v>20</v>
      </c>
      <c r="S78" s="169" t="s">
        <v>336</v>
      </c>
      <c r="T78" s="169" t="s">
        <v>458</v>
      </c>
      <c r="U78" s="169">
        <v>2</v>
      </c>
    </row>
    <row r="79" spans="1:21">
      <c r="A79" s="169" t="s">
        <v>459</v>
      </c>
      <c r="B79" s="169" t="s">
        <v>460</v>
      </c>
      <c r="C79" s="169">
        <v>2</v>
      </c>
      <c r="D79" s="169" t="s">
        <v>458</v>
      </c>
      <c r="M79" t="s">
        <v>459</v>
      </c>
      <c r="N79" s="169" t="s">
        <v>460</v>
      </c>
      <c r="O79" s="169">
        <v>20</v>
      </c>
      <c r="S79" s="169" t="s">
        <v>459</v>
      </c>
      <c r="T79" s="169" t="s">
        <v>460</v>
      </c>
      <c r="U79" s="169">
        <v>2</v>
      </c>
    </row>
    <row r="80" spans="1:21">
      <c r="A80" s="169" t="s">
        <v>461</v>
      </c>
      <c r="B80" s="169" t="s">
        <v>462</v>
      </c>
      <c r="C80" s="169">
        <v>2</v>
      </c>
      <c r="D80" s="169" t="s">
        <v>458</v>
      </c>
      <c r="M80" t="s">
        <v>461</v>
      </c>
      <c r="N80" s="169" t="s">
        <v>462</v>
      </c>
      <c r="O80" s="169">
        <v>20</v>
      </c>
      <c r="S80" s="169" t="s">
        <v>461</v>
      </c>
      <c r="T80" s="169" t="s">
        <v>462</v>
      </c>
      <c r="U80" s="169">
        <v>2</v>
      </c>
    </row>
    <row r="81" spans="1:21">
      <c r="A81" s="169" t="s">
        <v>463</v>
      </c>
      <c r="B81" s="169" t="s">
        <v>464</v>
      </c>
      <c r="C81" s="169">
        <v>2</v>
      </c>
      <c r="D81" s="169" t="s">
        <v>458</v>
      </c>
      <c r="M81" t="s">
        <v>463</v>
      </c>
      <c r="N81" s="169" t="s">
        <v>464</v>
      </c>
      <c r="O81" s="169">
        <v>20</v>
      </c>
      <c r="S81" s="169" t="s">
        <v>463</v>
      </c>
      <c r="T81" s="169" t="s">
        <v>464</v>
      </c>
      <c r="U81" s="169">
        <v>2</v>
      </c>
    </row>
    <row r="82" spans="1:21">
      <c r="A82" s="169" t="s">
        <v>72</v>
      </c>
      <c r="B82" s="169" t="s">
        <v>72</v>
      </c>
      <c r="C82" s="169">
        <v>1</v>
      </c>
      <c r="D82" s="169" t="s">
        <v>72</v>
      </c>
      <c r="M82" t="s">
        <v>72</v>
      </c>
      <c r="N82" s="169" t="s">
        <v>72</v>
      </c>
      <c r="O82" s="169">
        <v>21</v>
      </c>
      <c r="S82" s="169" t="s">
        <v>72</v>
      </c>
      <c r="T82" s="169" t="s">
        <v>72</v>
      </c>
      <c r="U82" s="169">
        <v>1</v>
      </c>
    </row>
    <row r="83" spans="1:21">
      <c r="A83" s="169" t="s">
        <v>465</v>
      </c>
      <c r="B83" s="169" t="s">
        <v>465</v>
      </c>
      <c r="C83" s="169">
        <v>1</v>
      </c>
      <c r="D83" s="169" t="s">
        <v>72</v>
      </c>
      <c r="M83" t="s">
        <v>465</v>
      </c>
      <c r="N83" s="169" t="s">
        <v>465</v>
      </c>
      <c r="O83" s="169">
        <v>21</v>
      </c>
      <c r="S83" s="169" t="s">
        <v>465</v>
      </c>
      <c r="T83" s="169" t="s">
        <v>465</v>
      </c>
      <c r="U83" s="169">
        <v>1</v>
      </c>
    </row>
    <row r="84" spans="1:21">
      <c r="A84" s="169" t="s">
        <v>466</v>
      </c>
      <c r="B84" s="169" t="s">
        <v>466</v>
      </c>
      <c r="C84" s="169">
        <v>1</v>
      </c>
      <c r="D84" s="169" t="s">
        <v>72</v>
      </c>
      <c r="M84" t="s">
        <v>466</v>
      </c>
      <c r="N84" s="169" t="s">
        <v>466</v>
      </c>
      <c r="O84" s="169">
        <v>21</v>
      </c>
      <c r="S84" s="169" t="s">
        <v>466</v>
      </c>
      <c r="T84" s="169" t="s">
        <v>466</v>
      </c>
      <c r="U84" s="169">
        <v>1</v>
      </c>
    </row>
    <row r="85" spans="1:21">
      <c r="A85" s="169" t="s">
        <v>467</v>
      </c>
      <c r="B85" s="169" t="s">
        <v>467</v>
      </c>
      <c r="C85" s="169">
        <v>1</v>
      </c>
      <c r="D85" s="169" t="s">
        <v>72</v>
      </c>
      <c r="M85" t="s">
        <v>467</v>
      </c>
      <c r="N85" s="169" t="s">
        <v>467</v>
      </c>
      <c r="O85" s="169">
        <v>21</v>
      </c>
      <c r="S85" s="169" t="s">
        <v>467</v>
      </c>
      <c r="T85" s="169" t="s">
        <v>467</v>
      </c>
      <c r="U85" s="169">
        <v>1</v>
      </c>
    </row>
  </sheetData>
  <phoneticPr fontId="53"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工作表6"/>
  <dimension ref="A1:X1249"/>
  <sheetViews>
    <sheetView workbookViewId="0">
      <selection sqref="A1:XFD1048576"/>
    </sheetView>
  </sheetViews>
  <sheetFormatPr defaultColWidth="8.85546875" defaultRowHeight="15.75" customHeight="1"/>
  <cols>
    <col min="1" max="1" width="8.85546875" style="1799"/>
    <col min="2" max="2" width="30.0703125" style="1814" customWidth="1"/>
    <col min="3" max="3" width="8.85546875" style="1815"/>
    <col min="4" max="4" width="27.640625" style="1814" customWidth="1"/>
    <col min="5" max="6" width="14.5" style="1799" customWidth="1"/>
    <col min="7" max="7" width="8.85546875" style="1799"/>
    <col min="8" max="16384" width="8.85546875" style="1800"/>
  </cols>
  <sheetData>
    <row r="1" spans="1:21" ht="15.75" customHeight="1">
      <c r="A1" s="1798" t="s">
        <v>1521</v>
      </c>
      <c r="B1" s="1798" t="s">
        <v>174</v>
      </c>
      <c r="C1" s="1798" t="s">
        <v>175</v>
      </c>
      <c r="D1" s="1798" t="s">
        <v>176</v>
      </c>
    </row>
    <row r="2" spans="1:21" s="1799" customFormat="1" ht="15.75" customHeight="1">
      <c r="A2" s="1801">
        <f t="shared" ref="A2:A65" si="0">LEN(E2)</f>
        <v>159</v>
      </c>
      <c r="B2" s="1801" t="s">
        <v>1357</v>
      </c>
      <c r="C2" s="1802" t="s">
        <v>49</v>
      </c>
      <c r="D2" s="1801" t="str">
        <f t="shared" ref="D2:D10" si="1">CONCATENATE(B2,"/",C2)</f>
        <v>蘋果公司/AAPL</v>
      </c>
      <c r="E2" s="1801" t="s">
        <v>4529</v>
      </c>
      <c r="F2" s="1801"/>
      <c r="G2" s="1801"/>
      <c r="H2" s="1803"/>
      <c r="I2" s="1803"/>
      <c r="J2" s="1803"/>
      <c r="K2" s="1803"/>
      <c r="L2" s="1803"/>
      <c r="M2" s="1803"/>
      <c r="N2" s="1803"/>
      <c r="O2" s="1803"/>
      <c r="P2" s="1803"/>
      <c r="Q2" s="1803"/>
      <c r="R2" s="1803"/>
      <c r="S2" s="1803"/>
      <c r="T2" s="1803"/>
      <c r="U2" s="1803"/>
    </row>
    <row r="3" spans="1:21" s="1799" customFormat="1" ht="15.75" customHeight="1">
      <c r="A3" s="1801">
        <f t="shared" si="0"/>
        <v>180</v>
      </c>
      <c r="B3" s="1801" t="s">
        <v>1865</v>
      </c>
      <c r="C3" s="1802" t="s">
        <v>83</v>
      </c>
      <c r="D3" s="1801" t="str">
        <f t="shared" si="1"/>
        <v>艾伯維藥品有限公司/ABBV</v>
      </c>
      <c r="E3" s="1801" t="s">
        <v>4530</v>
      </c>
      <c r="F3" s="1801"/>
      <c r="G3" s="1801"/>
      <c r="H3" s="1803"/>
      <c r="I3" s="1803"/>
      <c r="J3" s="1803"/>
      <c r="K3" s="1803"/>
      <c r="L3" s="1803"/>
      <c r="M3" s="1803"/>
      <c r="N3" s="1803"/>
      <c r="O3" s="1803"/>
      <c r="P3" s="1803"/>
      <c r="Q3" s="1803"/>
      <c r="R3" s="1803"/>
      <c r="S3" s="1803"/>
      <c r="T3" s="1803"/>
      <c r="U3" s="1803"/>
    </row>
    <row r="4" spans="1:21" s="1799" customFormat="1" ht="15.75" customHeight="1">
      <c r="A4" s="1801">
        <f t="shared" si="0"/>
        <v>180</v>
      </c>
      <c r="B4" s="1801" t="s">
        <v>1883</v>
      </c>
      <c r="C4" s="1802" t="s">
        <v>83</v>
      </c>
      <c r="D4" s="1801" t="str">
        <f t="shared" si="1"/>
        <v>艾伯維藥品有限公司 /ABBV</v>
      </c>
      <c r="E4" s="1801" t="s">
        <v>4530</v>
      </c>
      <c r="F4" s="1801"/>
      <c r="G4" s="1801"/>
      <c r="H4" s="1803"/>
      <c r="I4" s="1803"/>
      <c r="J4" s="1803"/>
      <c r="K4" s="1803"/>
      <c r="L4" s="1803"/>
      <c r="M4" s="1803"/>
      <c r="N4" s="1803"/>
      <c r="O4" s="1803"/>
      <c r="P4" s="1803"/>
      <c r="Q4" s="1803"/>
      <c r="R4" s="1803"/>
      <c r="S4" s="1803"/>
      <c r="T4" s="1803"/>
      <c r="U4" s="1803"/>
    </row>
    <row r="5" spans="1:21" s="1799" customFormat="1" ht="15.75" customHeight="1">
      <c r="A5" s="1799">
        <f t="shared" si="0"/>
        <v>180</v>
      </c>
      <c r="B5" s="1804" t="s">
        <v>1421</v>
      </c>
      <c r="C5" s="1805" t="s">
        <v>83</v>
      </c>
      <c r="D5" s="1804" t="str">
        <f t="shared" si="1"/>
        <v>艾伯維公司/ABBV</v>
      </c>
      <c r="E5" s="1801" t="s">
        <v>4530</v>
      </c>
      <c r="F5" s="1801"/>
      <c r="G5" s="1801"/>
    </row>
    <row r="6" spans="1:21" s="1799" customFormat="1" ht="15.75" customHeight="1">
      <c r="A6" s="1799">
        <f t="shared" si="0"/>
        <v>167</v>
      </c>
      <c r="B6" s="1804" t="s">
        <v>1422</v>
      </c>
      <c r="C6" s="1805" t="s">
        <v>100</v>
      </c>
      <c r="D6" s="1804" t="str">
        <f t="shared" si="1"/>
        <v>安海斯-布希英博全球公司/ABIBB</v>
      </c>
      <c r="E6" s="1799" t="s">
        <v>4531</v>
      </c>
      <c r="F6" s="1801"/>
      <c r="G6" s="1801"/>
    </row>
    <row r="7" spans="1:21" s="1799" customFormat="1" ht="15.75" customHeight="1">
      <c r="A7" s="1799">
        <f t="shared" si="0"/>
        <v>165</v>
      </c>
      <c r="B7" s="1799" t="s">
        <v>1591</v>
      </c>
      <c r="C7" s="1806" t="s">
        <v>100</v>
      </c>
      <c r="D7" s="1804" t="str">
        <f t="shared" si="1"/>
        <v>安海斯-布希英博金融公司/ABIBB</v>
      </c>
      <c r="E7" s="1799" t="s">
        <v>4532</v>
      </c>
      <c r="F7" s="1801"/>
      <c r="G7" s="1801"/>
    </row>
    <row r="8" spans="1:21" s="1799" customFormat="1" ht="15.75" customHeight="1">
      <c r="A8" s="1799">
        <f t="shared" si="0"/>
        <v>104</v>
      </c>
      <c r="B8" s="1804" t="s">
        <v>1525</v>
      </c>
      <c r="C8" s="1805" t="s">
        <v>1526</v>
      </c>
      <c r="D8" s="1804" t="str">
        <f t="shared" si="1"/>
        <v>荷蘭銀行公眾有限公司/ABNANV</v>
      </c>
      <c r="E8" s="1799" t="s">
        <v>4533</v>
      </c>
      <c r="F8" s="1801"/>
      <c r="G8" s="1801"/>
    </row>
    <row r="9" spans="1:21" s="1799" customFormat="1" ht="15.75" customHeight="1">
      <c r="A9" s="1801">
        <f t="shared" si="0"/>
        <v>173</v>
      </c>
      <c r="B9" s="1801" t="s">
        <v>1889</v>
      </c>
      <c r="C9" s="1802" t="s">
        <v>249</v>
      </c>
      <c r="D9" s="1801" t="str">
        <f t="shared" si="1"/>
        <v>亞培公司/ABT</v>
      </c>
      <c r="E9" s="1801" t="s">
        <v>4534</v>
      </c>
      <c r="F9" s="1801"/>
      <c r="G9" s="1801"/>
    </row>
    <row r="10" spans="1:21" s="1799" customFormat="1" ht="15.75" customHeight="1">
      <c r="A10" s="1799">
        <f t="shared" si="0"/>
        <v>173</v>
      </c>
      <c r="B10" s="1807" t="s">
        <v>1482</v>
      </c>
      <c r="C10" s="1808" t="s">
        <v>249</v>
      </c>
      <c r="D10" s="1804" t="str">
        <f t="shared" si="1"/>
        <v>亞培/ABT</v>
      </c>
      <c r="E10" s="1801" t="s">
        <v>4534</v>
      </c>
      <c r="F10" s="1801"/>
      <c r="G10" s="1801"/>
    </row>
    <row r="11" spans="1:21" ht="15.75" customHeight="1">
      <c r="A11" s="1799">
        <f t="shared" si="0"/>
        <v>128</v>
      </c>
      <c r="B11" s="1799" t="s">
        <v>2315</v>
      </c>
      <c r="C11" s="1806" t="s">
        <v>2316</v>
      </c>
      <c r="D11" s="1804" t="s">
        <v>2317</v>
      </c>
      <c r="E11" s="1801" t="s">
        <v>4535</v>
      </c>
      <c r="F11" s="1801"/>
      <c r="G11" s="1801"/>
    </row>
    <row r="12" spans="1:21" ht="15.75" customHeight="1">
      <c r="A12" s="1801">
        <f t="shared" si="0"/>
        <v>153</v>
      </c>
      <c r="B12" s="1801" t="s">
        <v>1894</v>
      </c>
      <c r="C12" s="1802" t="s">
        <v>81</v>
      </c>
      <c r="D12" s="1801" t="str">
        <f t="shared" ref="D12:D75" si="2">CONCATENATE(B12,"/",C12)</f>
        <v>阿布達比政府國際/ADGB</v>
      </c>
      <c r="E12" s="1801" t="s">
        <v>1904</v>
      </c>
      <c r="F12" s="1801"/>
      <c r="G12" s="1801"/>
    </row>
    <row r="13" spans="1:21" s="1799" customFormat="1" ht="15.75" customHeight="1">
      <c r="A13" s="1799">
        <f t="shared" si="0"/>
        <v>153</v>
      </c>
      <c r="B13" s="1804" t="s">
        <v>1383</v>
      </c>
      <c r="C13" s="1805" t="s">
        <v>81</v>
      </c>
      <c r="D13" s="1804" t="str">
        <f t="shared" si="2"/>
        <v>阿布達比政府國際債券/ADGB</v>
      </c>
      <c r="E13" s="1801" t="s">
        <v>1904</v>
      </c>
      <c r="F13" s="1801"/>
      <c r="G13" s="1801"/>
    </row>
    <row r="14" spans="1:21" s="1799" customFormat="1" ht="15.75" customHeight="1">
      <c r="A14" s="1801">
        <f t="shared" si="0"/>
        <v>150</v>
      </c>
      <c r="B14" s="1801" t="s">
        <v>1897</v>
      </c>
      <c r="C14" s="1802" t="s">
        <v>260</v>
      </c>
      <c r="D14" s="1801" t="str">
        <f t="shared" si="2"/>
        <v>Adani港口及特別經濟區有限公司/ADSEZ</v>
      </c>
      <c r="E14" s="1801" t="s">
        <v>4536</v>
      </c>
      <c r="F14" s="1801"/>
      <c r="G14" s="1801"/>
    </row>
    <row r="15" spans="1:21" s="1799" customFormat="1" ht="15.75" customHeight="1">
      <c r="A15" s="1799">
        <f t="shared" si="0"/>
        <v>150</v>
      </c>
      <c r="B15" s="1807" t="s">
        <v>1500</v>
      </c>
      <c r="C15" s="1808" t="s">
        <v>260</v>
      </c>
      <c r="D15" s="1804" t="str">
        <f t="shared" si="2"/>
        <v>Adani港口及特別經濟區有限公/ADSEZ</v>
      </c>
      <c r="E15" s="1803" t="s">
        <v>1273</v>
      </c>
      <c r="F15" s="1801"/>
      <c r="G15" s="1801"/>
    </row>
    <row r="16" spans="1:21" s="1799" customFormat="1" ht="15.75" customHeight="1">
      <c r="A16" s="1799">
        <f t="shared" si="0"/>
        <v>91</v>
      </c>
      <c r="B16" s="1804" t="s">
        <v>1558</v>
      </c>
      <c r="C16" s="1805" t="s">
        <v>1559</v>
      </c>
      <c r="D16" s="1804" t="str">
        <f t="shared" si="2"/>
        <v>阿達尼電力傳輸有限公司/ADTIN</v>
      </c>
      <c r="E16" s="1799" t="s">
        <v>4537</v>
      </c>
      <c r="F16" s="1801"/>
      <c r="G16" s="1801"/>
    </row>
    <row r="17" spans="1:21" s="1799" customFormat="1" ht="15.75" customHeight="1">
      <c r="A17" s="1799">
        <f t="shared" si="0"/>
        <v>156</v>
      </c>
      <c r="B17" s="1809" t="s">
        <v>1681</v>
      </c>
      <c r="C17" s="1802" t="s">
        <v>1682</v>
      </c>
      <c r="D17" s="1804" t="str">
        <f t="shared" si="2"/>
        <v>Adani Transmission Step-One/ADTIN</v>
      </c>
      <c r="E17" s="1803" t="s">
        <v>4538</v>
      </c>
      <c r="F17" s="1801"/>
      <c r="G17" s="1801"/>
    </row>
    <row r="18" spans="1:21" s="1799" customFormat="1" ht="15.75" customHeight="1">
      <c r="A18" s="1799">
        <f t="shared" si="0"/>
        <v>174</v>
      </c>
      <c r="B18" s="1799" t="s">
        <v>1652</v>
      </c>
      <c r="C18" s="1806" t="s">
        <v>1653</v>
      </c>
      <c r="D18" s="1804" t="str">
        <f t="shared" si="2"/>
        <v>美國電力公司/AEP</v>
      </c>
      <c r="E18" s="1799" t="s">
        <v>1654</v>
      </c>
      <c r="F18" s="1801"/>
      <c r="G18" s="1801"/>
    </row>
    <row r="19" spans="1:21" s="1799" customFormat="1" ht="15.75" customHeight="1">
      <c r="A19" s="1799">
        <f t="shared" si="0"/>
        <v>159</v>
      </c>
      <c r="B19" s="1799" t="s">
        <v>1348</v>
      </c>
      <c r="C19" s="1806" t="s">
        <v>1655</v>
      </c>
      <c r="D19" s="1804" t="str">
        <f t="shared" si="2"/>
        <v>友邦保險/AIA</v>
      </c>
      <c r="E19" s="1801" t="s">
        <v>4539</v>
      </c>
      <c r="F19" s="1801"/>
      <c r="G19" s="1801"/>
      <c r="H19" s="1803"/>
      <c r="I19" s="1803"/>
      <c r="J19" s="1803"/>
      <c r="K19" s="1803"/>
      <c r="L19" s="1803"/>
      <c r="M19" s="1803"/>
      <c r="N19" s="1803"/>
      <c r="O19" s="1803"/>
      <c r="P19" s="1803"/>
      <c r="Q19" s="1803"/>
      <c r="R19" s="1803"/>
      <c r="S19" s="1803"/>
      <c r="T19" s="1803"/>
      <c r="U19" s="1803"/>
    </row>
    <row r="20" spans="1:21" s="1799" customFormat="1" ht="15.75" customHeight="1">
      <c r="A20" s="1801">
        <f t="shared" si="0"/>
        <v>135</v>
      </c>
      <c r="B20" s="1801" t="s">
        <v>1863</v>
      </c>
      <c r="C20" s="1802" t="s">
        <v>195</v>
      </c>
      <c r="D20" s="1801" t="str">
        <f t="shared" si="2"/>
        <v>應用材料公司/AMAT</v>
      </c>
      <c r="E20" s="1799" t="s">
        <v>4540</v>
      </c>
      <c r="F20" s="1801"/>
      <c r="G20" s="1801"/>
    </row>
    <row r="21" spans="1:21" s="1799" customFormat="1" ht="15.75" customHeight="1">
      <c r="A21" s="1799">
        <f t="shared" si="0"/>
        <v>135</v>
      </c>
      <c r="B21" s="1799" t="s">
        <v>1456</v>
      </c>
      <c r="C21" s="1806" t="s">
        <v>195</v>
      </c>
      <c r="D21" s="1804" t="str">
        <f t="shared" si="2"/>
        <v>應用材料/AMAT</v>
      </c>
      <c r="E21" s="1799" t="s">
        <v>4540</v>
      </c>
      <c r="F21" s="1801"/>
      <c r="G21" s="1801"/>
      <c r="H21" s="1801"/>
      <c r="I21" s="1801"/>
      <c r="J21" s="1801"/>
      <c r="K21" s="1801"/>
      <c r="L21" s="1801"/>
      <c r="M21" s="1801"/>
      <c r="N21" s="1801"/>
      <c r="O21" s="1801"/>
      <c r="P21" s="1801"/>
      <c r="Q21" s="1801"/>
      <c r="R21" s="1801"/>
      <c r="S21" s="1801"/>
      <c r="T21" s="1801"/>
      <c r="U21" s="1801"/>
    </row>
    <row r="22" spans="1:21" s="1799" customFormat="1" ht="15.75" customHeight="1">
      <c r="A22" s="1801">
        <f t="shared" si="0"/>
        <v>163</v>
      </c>
      <c r="B22" s="1801" t="s">
        <v>1423</v>
      </c>
      <c r="C22" s="1802" t="s">
        <v>1905</v>
      </c>
      <c r="D22" s="1801" t="str">
        <f t="shared" si="2"/>
        <v>安進公司/AMGN</v>
      </c>
      <c r="E22" s="1801" t="s">
        <v>4541</v>
      </c>
      <c r="F22" s="1801"/>
      <c r="G22" s="1801"/>
      <c r="H22" s="1803"/>
      <c r="I22" s="1803"/>
      <c r="J22" s="1803"/>
      <c r="K22" s="1803"/>
      <c r="L22" s="1803"/>
      <c r="M22" s="1803"/>
      <c r="N22" s="1803"/>
      <c r="O22" s="1803"/>
      <c r="P22" s="1803"/>
      <c r="Q22" s="1803"/>
      <c r="R22" s="1803"/>
      <c r="S22" s="1803"/>
      <c r="T22" s="1803"/>
      <c r="U22" s="1803"/>
    </row>
    <row r="23" spans="1:21" s="1799" customFormat="1" ht="15.75" customHeight="1">
      <c r="A23" s="1801">
        <f t="shared" si="0"/>
        <v>187</v>
      </c>
      <c r="B23" s="1801" t="s">
        <v>1885</v>
      </c>
      <c r="C23" s="1802" t="s">
        <v>245</v>
      </c>
      <c r="D23" s="1801" t="str">
        <f t="shared" si="2"/>
        <v>美國電塔公司/AMT</v>
      </c>
      <c r="E23" s="1801" t="s">
        <v>4542</v>
      </c>
      <c r="F23" s="1801"/>
      <c r="G23" s="1801"/>
    </row>
    <row r="24" spans="1:21" s="1799" customFormat="1" ht="15.75" customHeight="1">
      <c r="A24" s="1799">
        <f t="shared" si="0"/>
        <v>187</v>
      </c>
      <c r="B24" s="1807" t="s">
        <v>1476</v>
      </c>
      <c r="C24" s="1808" t="s">
        <v>245</v>
      </c>
      <c r="D24" s="1804" t="str">
        <f t="shared" si="2"/>
        <v>美國電塔/AMT</v>
      </c>
      <c r="E24" s="1803" t="s">
        <v>4542</v>
      </c>
      <c r="F24" s="1801"/>
      <c r="G24" s="1801"/>
      <c r="H24" s="1803"/>
      <c r="I24" s="1803"/>
      <c r="J24" s="1803"/>
      <c r="K24" s="1803"/>
      <c r="L24" s="1803"/>
      <c r="M24" s="1803"/>
      <c r="N24" s="1803"/>
      <c r="O24" s="1803"/>
      <c r="P24" s="1803"/>
      <c r="Q24" s="1803"/>
      <c r="R24" s="1803"/>
      <c r="S24" s="1803"/>
      <c r="T24" s="1803"/>
      <c r="U24" s="1803"/>
    </row>
    <row r="25" spans="1:21" s="1799" customFormat="1" ht="15.75" customHeight="1">
      <c r="A25" s="1801">
        <f t="shared" si="0"/>
        <v>125</v>
      </c>
      <c r="B25" s="1801" t="s">
        <v>1837</v>
      </c>
      <c r="C25" s="1802" t="s">
        <v>130</v>
      </c>
      <c r="D25" s="1801" t="str">
        <f t="shared" si="2"/>
        <v>美洲電信公司/AMXLMM</v>
      </c>
      <c r="E25" s="1799" t="s">
        <v>4543</v>
      </c>
      <c r="F25" s="1801"/>
      <c r="G25" s="1801"/>
    </row>
    <row r="26" spans="1:21" s="1799" customFormat="1" ht="15.75" customHeight="1">
      <c r="A26" s="1799">
        <f t="shared" si="0"/>
        <v>127</v>
      </c>
      <c r="B26" s="1804" t="s">
        <v>1374</v>
      </c>
      <c r="C26" s="1805" t="s">
        <v>130</v>
      </c>
      <c r="D26" s="1804" t="str">
        <f t="shared" si="2"/>
        <v>美洲移動通訊公司/AMXLMM</v>
      </c>
      <c r="E26" s="1799" t="s">
        <v>4544</v>
      </c>
      <c r="F26" s="1801"/>
      <c r="G26" s="1801"/>
      <c r="H26" s="1803"/>
      <c r="I26" s="1803"/>
      <c r="J26" s="1803"/>
      <c r="K26" s="1803"/>
      <c r="L26" s="1803"/>
      <c r="M26" s="1803"/>
      <c r="N26" s="1803"/>
      <c r="O26" s="1803"/>
      <c r="P26" s="1803"/>
      <c r="Q26" s="1803"/>
      <c r="R26" s="1803"/>
      <c r="S26" s="1803"/>
      <c r="T26" s="1803"/>
      <c r="U26" s="1803"/>
    </row>
    <row r="27" spans="1:21" s="1799" customFormat="1" ht="15.75" customHeight="1">
      <c r="A27" s="1801">
        <f t="shared" si="0"/>
        <v>126</v>
      </c>
      <c r="B27" s="1801" t="s">
        <v>1372</v>
      </c>
      <c r="C27" s="1802" t="s">
        <v>56</v>
      </c>
      <c r="D27" s="1801" t="str">
        <f t="shared" si="2"/>
        <v>亞馬遜公司/AMZN</v>
      </c>
      <c r="E27" s="1801" t="s">
        <v>4545</v>
      </c>
      <c r="F27" s="1801"/>
      <c r="G27" s="1801"/>
    </row>
    <row r="28" spans="1:21" s="1799" customFormat="1" ht="15.75" customHeight="1">
      <c r="A28" s="1799">
        <f t="shared" si="0"/>
        <v>145</v>
      </c>
      <c r="B28" s="1799" t="s">
        <v>1640</v>
      </c>
      <c r="C28" s="1806" t="s">
        <v>1641</v>
      </c>
      <c r="D28" s="1804" t="str">
        <f t="shared" si="2"/>
        <v>澳盛銀行集團股份有限公司/ANZ</v>
      </c>
      <c r="E28" s="1799" t="s">
        <v>4546</v>
      </c>
      <c r="F28" s="1801"/>
      <c r="G28" s="1801"/>
      <c r="H28" s="1803"/>
      <c r="I28" s="1803"/>
      <c r="J28" s="1803"/>
      <c r="K28" s="1803"/>
      <c r="L28" s="1803"/>
      <c r="M28" s="1803"/>
      <c r="N28" s="1803"/>
      <c r="O28" s="1803"/>
      <c r="P28" s="1803"/>
      <c r="Q28" s="1803"/>
      <c r="R28" s="1803"/>
      <c r="S28" s="1803"/>
      <c r="T28" s="1803"/>
      <c r="U28" s="1803"/>
    </row>
    <row r="29" spans="1:21" s="1799" customFormat="1" ht="15.75" customHeight="1">
      <c r="A29" s="1801">
        <f t="shared" si="0"/>
        <v>135</v>
      </c>
      <c r="B29" s="1801" t="s">
        <v>1870</v>
      </c>
      <c r="C29" s="1802" t="s">
        <v>63</v>
      </c>
      <c r="D29" s="1801" t="str">
        <f t="shared" si="2"/>
        <v>沙烏地阿拉伯石油公司/ARAMCO</v>
      </c>
      <c r="E29" s="1801" t="s">
        <v>4547</v>
      </c>
      <c r="F29" s="1801"/>
      <c r="G29" s="1801"/>
      <c r="H29" s="1803"/>
      <c r="I29" s="1803"/>
      <c r="J29" s="1803"/>
      <c r="K29" s="1803"/>
      <c r="L29" s="1803"/>
      <c r="M29" s="1803"/>
      <c r="N29" s="1803"/>
      <c r="O29" s="1803"/>
      <c r="P29" s="1803"/>
      <c r="Q29" s="1803"/>
      <c r="R29" s="1803"/>
      <c r="S29" s="1803"/>
      <c r="T29" s="1803"/>
      <c r="U29" s="1803"/>
    </row>
    <row r="30" spans="1:21" s="1799" customFormat="1" ht="15.75" customHeight="1">
      <c r="A30" s="1801">
        <f t="shared" si="0"/>
        <v>135</v>
      </c>
      <c r="B30" s="1801" t="s">
        <v>1352</v>
      </c>
      <c r="C30" s="1802" t="s">
        <v>63</v>
      </c>
      <c r="D30" s="1801" t="str">
        <f t="shared" si="2"/>
        <v>沙烏地阿拉伯國家石油公司/ARAMCO</v>
      </c>
      <c r="E30" s="1801" t="s">
        <v>4547</v>
      </c>
      <c r="F30" s="1801"/>
      <c r="G30" s="1801"/>
    </row>
    <row r="31" spans="1:21" s="1799" customFormat="1" ht="15.75" customHeight="1">
      <c r="A31" s="1801">
        <f t="shared" si="0"/>
        <v>161</v>
      </c>
      <c r="B31" s="1801" t="s">
        <v>1498</v>
      </c>
      <c r="C31" s="1802" t="s">
        <v>258</v>
      </c>
      <c r="D31" s="1801" t="str">
        <f t="shared" si="2"/>
        <v>動視暴雪公司/ATVI</v>
      </c>
      <c r="E31" s="1801" t="s">
        <v>1272</v>
      </c>
      <c r="F31" s="1801"/>
      <c r="G31" s="1801"/>
      <c r="H31" s="1803"/>
      <c r="I31" s="1803"/>
      <c r="J31" s="1803"/>
      <c r="K31" s="1803"/>
      <c r="L31" s="1803"/>
      <c r="M31" s="1803"/>
      <c r="N31" s="1803"/>
      <c r="O31" s="1803"/>
      <c r="P31" s="1803"/>
      <c r="Q31" s="1803"/>
      <c r="R31" s="1803"/>
      <c r="S31" s="1803"/>
      <c r="T31" s="1803"/>
      <c r="U31" s="1803"/>
    </row>
    <row r="32" spans="1:21" s="1799" customFormat="1" ht="15.75" customHeight="1">
      <c r="A32" s="1801">
        <f t="shared" si="0"/>
        <v>143</v>
      </c>
      <c r="B32" s="1801" t="s">
        <v>1462</v>
      </c>
      <c r="C32" s="1802" t="s">
        <v>109</v>
      </c>
      <c r="D32" s="1801" t="str">
        <f t="shared" si="2"/>
        <v>博通公司/AVGO</v>
      </c>
      <c r="E32" s="1801" t="s">
        <v>4548</v>
      </c>
      <c r="F32" s="1801"/>
      <c r="G32" s="1801"/>
      <c r="H32" s="1803"/>
      <c r="I32" s="1803"/>
      <c r="J32" s="1803"/>
      <c r="K32" s="1803"/>
      <c r="L32" s="1803"/>
      <c r="M32" s="1803"/>
      <c r="N32" s="1803"/>
      <c r="O32" s="1803"/>
      <c r="P32" s="1803"/>
      <c r="Q32" s="1803"/>
      <c r="R32" s="1803"/>
      <c r="S32" s="1803"/>
      <c r="T32" s="1803"/>
      <c r="U32" s="1803"/>
    </row>
    <row r="33" spans="1:24" s="1799" customFormat="1" ht="15.75" customHeight="1">
      <c r="A33" s="1801">
        <f t="shared" si="0"/>
        <v>163</v>
      </c>
      <c r="B33" s="1801" t="s">
        <v>1360</v>
      </c>
      <c r="C33" s="1802" t="s">
        <v>191</v>
      </c>
      <c r="D33" s="1801" t="str">
        <f t="shared" si="2"/>
        <v>美國運通/AXP</v>
      </c>
      <c r="E33" s="1801" t="s">
        <v>4549</v>
      </c>
      <c r="F33" s="1801"/>
      <c r="G33" s="1801"/>
      <c r="H33" s="1801"/>
      <c r="I33" s="1801"/>
      <c r="J33" s="1801"/>
      <c r="K33" s="1801"/>
      <c r="L33" s="1801"/>
      <c r="M33" s="1801"/>
      <c r="N33" s="1801"/>
      <c r="O33" s="1801"/>
      <c r="P33" s="1801"/>
      <c r="Q33" s="1801"/>
      <c r="R33" s="1801"/>
      <c r="S33" s="1801"/>
      <c r="T33" s="1801"/>
      <c r="U33" s="1801"/>
    </row>
    <row r="34" spans="1:24" s="1799" customFormat="1" ht="15.75" customHeight="1">
      <c r="A34" s="1801">
        <f t="shared" si="0"/>
        <v>163</v>
      </c>
      <c r="B34" s="1801" t="s">
        <v>1900</v>
      </c>
      <c r="C34" s="1802" t="s">
        <v>191</v>
      </c>
      <c r="D34" s="1801" t="str">
        <f t="shared" si="2"/>
        <v>美國運通公司/AXP</v>
      </c>
      <c r="E34" s="1801" t="s">
        <v>4549</v>
      </c>
      <c r="F34" s="1801"/>
      <c r="G34" s="1801"/>
    </row>
    <row r="35" spans="1:24" s="1799" customFormat="1" ht="15.75" customHeight="1">
      <c r="A35" s="1801">
        <f t="shared" si="0"/>
        <v>161</v>
      </c>
      <c r="B35" s="1801" t="s">
        <v>1485</v>
      </c>
      <c r="C35" s="1802" t="s">
        <v>139</v>
      </c>
      <c r="D35" s="1801" t="str">
        <f t="shared" si="2"/>
        <v>阿斯特捷利康公開有限公司/AZN</v>
      </c>
      <c r="E35" s="1801" t="s">
        <v>4550</v>
      </c>
      <c r="F35" s="1801"/>
      <c r="G35" s="1801"/>
    </row>
    <row r="36" spans="1:24" s="1799" customFormat="1" ht="15.75" customHeight="1">
      <c r="A36" s="1799">
        <f t="shared" si="0"/>
        <v>171</v>
      </c>
      <c r="B36" s="1807" t="s">
        <v>1703</v>
      </c>
      <c r="C36" s="1808" t="s">
        <v>1704</v>
      </c>
      <c r="D36" s="1804" t="str">
        <f t="shared" si="2"/>
        <v>Astrazeneca Finance LLC/AZN</v>
      </c>
      <c r="E36" s="1801" t="s">
        <v>4551</v>
      </c>
      <c r="F36" s="1801"/>
      <c r="G36" s="1801"/>
      <c r="H36" s="1803"/>
      <c r="I36" s="1803"/>
      <c r="J36" s="1803"/>
      <c r="K36" s="1803"/>
      <c r="L36" s="1803"/>
      <c r="M36" s="1803"/>
      <c r="N36" s="1803"/>
      <c r="O36" s="1803"/>
      <c r="P36" s="1803"/>
      <c r="Q36" s="1803"/>
      <c r="R36" s="1803"/>
      <c r="S36" s="1803"/>
      <c r="T36" s="1803"/>
      <c r="U36" s="1803"/>
    </row>
    <row r="37" spans="1:24" s="1799" customFormat="1" ht="15.75" customHeight="1">
      <c r="A37" s="1801">
        <f t="shared" si="0"/>
        <v>147</v>
      </c>
      <c r="B37" s="1801" t="s">
        <v>1419</v>
      </c>
      <c r="C37" s="1802" t="s">
        <v>69</v>
      </c>
      <c r="D37" s="1801" t="str">
        <f t="shared" si="2"/>
        <v>波音公司/BA</v>
      </c>
      <c r="E37" s="1801" t="s">
        <v>4552</v>
      </c>
      <c r="F37" s="1801"/>
      <c r="G37" s="1801"/>
      <c r="H37" s="1803"/>
      <c r="I37" s="1803"/>
      <c r="J37" s="1803"/>
      <c r="K37" s="1803"/>
      <c r="L37" s="1803"/>
      <c r="M37" s="1803"/>
      <c r="N37" s="1803"/>
      <c r="O37" s="1803"/>
      <c r="P37" s="1803"/>
      <c r="Q37" s="1803"/>
      <c r="R37" s="1803"/>
      <c r="S37" s="1803"/>
      <c r="T37" s="1803"/>
      <c r="U37" s="1803"/>
    </row>
    <row r="38" spans="1:24" s="1799" customFormat="1" ht="15.75" customHeight="1">
      <c r="A38" s="1801">
        <f t="shared" si="0"/>
        <v>128</v>
      </c>
      <c r="B38" s="1801" t="s">
        <v>1827</v>
      </c>
      <c r="C38" s="1802" t="s">
        <v>177</v>
      </c>
      <c r="D38" s="1801" t="str">
        <f t="shared" si="2"/>
        <v>阿里巴巴集團/BABA</v>
      </c>
      <c r="E38" s="1801" t="s">
        <v>4553</v>
      </c>
      <c r="F38" s="1801"/>
      <c r="G38" s="1801"/>
    </row>
    <row r="39" spans="1:24" s="1799" customFormat="1" ht="15.75" customHeight="1">
      <c r="A39" s="1799">
        <f t="shared" si="0"/>
        <v>128</v>
      </c>
      <c r="B39" s="1804" t="s">
        <v>1530</v>
      </c>
      <c r="C39" s="1805" t="s">
        <v>177</v>
      </c>
      <c r="D39" s="1804" t="str">
        <f t="shared" si="2"/>
        <v>阿里巴巴/BABA</v>
      </c>
      <c r="E39" s="1801" t="s">
        <v>4553</v>
      </c>
      <c r="F39" s="1801"/>
      <c r="G39" s="1801"/>
    </row>
    <row r="40" spans="1:24" s="1799" customFormat="1" ht="15.75" customHeight="1">
      <c r="A40" s="1799">
        <f t="shared" si="0"/>
        <v>128</v>
      </c>
      <c r="B40" s="1803" t="s">
        <v>1428</v>
      </c>
      <c r="C40" s="1810" t="s">
        <v>1691</v>
      </c>
      <c r="D40" s="1804" t="str">
        <f t="shared" si="2"/>
        <v>阿里巴巴集團控股有限公司/BABA</v>
      </c>
      <c r="E40" s="1801" t="s">
        <v>4553</v>
      </c>
      <c r="F40" s="1801"/>
      <c r="G40" s="1801"/>
      <c r="H40" s="1801"/>
      <c r="I40" s="1801"/>
      <c r="J40" s="1801"/>
      <c r="K40" s="1801"/>
      <c r="L40" s="1801"/>
      <c r="M40" s="1801"/>
      <c r="N40" s="1801"/>
      <c r="O40" s="1801"/>
      <c r="P40" s="1801"/>
      <c r="Q40" s="1801"/>
      <c r="R40" s="1801"/>
      <c r="S40" s="1801"/>
      <c r="T40" s="1801"/>
      <c r="U40" s="1801"/>
    </row>
    <row r="41" spans="1:24" s="1799" customFormat="1" ht="15.75" customHeight="1">
      <c r="A41" s="1801">
        <f t="shared" si="0"/>
        <v>156</v>
      </c>
      <c r="B41" s="1801" t="s">
        <v>1392</v>
      </c>
      <c r="C41" s="1802" t="s">
        <v>1906</v>
      </c>
      <c r="D41" s="1801" t="str">
        <f t="shared" si="2"/>
        <v>美國銀行/BAC</v>
      </c>
      <c r="E41" s="1801" t="s">
        <v>4554</v>
      </c>
      <c r="F41" s="1801"/>
      <c r="G41" s="1801"/>
      <c r="H41" s="1803"/>
      <c r="I41" s="1803"/>
      <c r="J41" s="1803"/>
      <c r="K41" s="1803"/>
      <c r="L41" s="1803"/>
      <c r="M41" s="1803"/>
      <c r="N41" s="1803"/>
      <c r="O41" s="1803"/>
      <c r="P41" s="1803"/>
      <c r="Q41" s="1803"/>
      <c r="R41" s="1803"/>
      <c r="S41" s="1803"/>
      <c r="T41" s="1803"/>
      <c r="U41" s="1803"/>
    </row>
    <row r="42" spans="1:24" s="1799" customFormat="1" ht="15.75" customHeight="1">
      <c r="A42" s="1799">
        <f t="shared" si="0"/>
        <v>166</v>
      </c>
      <c r="B42" s="1801" t="s">
        <v>2372</v>
      </c>
      <c r="C42" s="1802" t="s">
        <v>79</v>
      </c>
      <c r="D42" s="1801" t="str">
        <f t="shared" si="2"/>
        <v>Merrill Lynch BV/BAC</v>
      </c>
      <c r="E42" s="1811" t="s">
        <v>4555</v>
      </c>
      <c r="F42" s="1801"/>
      <c r="G42" s="1801"/>
      <c r="H42" s="1812"/>
      <c r="I42" s="1812"/>
      <c r="J42" s="1812"/>
      <c r="K42" s="1813"/>
      <c r="L42" s="1813"/>
      <c r="M42" s="1813"/>
      <c r="N42" s="1813"/>
      <c r="O42" s="1813"/>
      <c r="P42" s="1813"/>
      <c r="Q42" s="1813"/>
      <c r="R42" s="1813"/>
      <c r="S42" s="1813"/>
      <c r="T42" s="1813"/>
      <c r="U42" s="1813"/>
      <c r="V42" s="1813"/>
      <c r="W42" s="1813"/>
      <c r="X42" s="1813"/>
    </row>
    <row r="43" spans="1:24" s="1799" customFormat="1" ht="15.75" customHeight="1">
      <c r="A43" s="1801">
        <f t="shared" si="0"/>
        <v>147</v>
      </c>
      <c r="B43" s="1801" t="s">
        <v>1399</v>
      </c>
      <c r="C43" s="1802" t="s">
        <v>42</v>
      </c>
      <c r="D43" s="1801" t="str">
        <f t="shared" si="2"/>
        <v>巴克萊集團/BACR</v>
      </c>
      <c r="E43" s="1799" t="s">
        <v>4556</v>
      </c>
      <c r="F43" s="1801"/>
      <c r="G43" s="1801"/>
    </row>
    <row r="44" spans="1:24" s="1799" customFormat="1" ht="15.75" customHeight="1">
      <c r="A44" s="1799">
        <f t="shared" si="0"/>
        <v>147</v>
      </c>
      <c r="B44" s="1804" t="s">
        <v>1566</v>
      </c>
      <c r="C44" s="1805" t="s">
        <v>42</v>
      </c>
      <c r="D44" s="1804" t="str">
        <f t="shared" si="2"/>
        <v>巴克萊銀行公開有限公司/BACR</v>
      </c>
      <c r="E44" s="1799" t="s">
        <v>4556</v>
      </c>
      <c r="F44" s="1801"/>
      <c r="G44" s="1801"/>
    </row>
    <row r="45" spans="1:24" s="1799" customFormat="1" ht="15.75" customHeight="1">
      <c r="A45" s="1799">
        <f t="shared" si="0"/>
        <v>146</v>
      </c>
      <c r="B45" s="1804" t="s">
        <v>1539</v>
      </c>
      <c r="C45" s="1805" t="s">
        <v>1540</v>
      </c>
      <c r="D45" s="1804" t="str">
        <f t="shared" si="2"/>
        <v>英美菸草資本公司/BATSLN</v>
      </c>
      <c r="E45" s="1799" t="s">
        <v>4557</v>
      </c>
      <c r="F45" s="1801"/>
      <c r="G45" s="1801"/>
      <c r="H45" s="1803"/>
      <c r="I45" s="1803"/>
      <c r="J45" s="1803"/>
      <c r="K45" s="1803"/>
      <c r="L45" s="1803"/>
      <c r="M45" s="1803"/>
      <c r="N45" s="1803"/>
      <c r="O45" s="1803"/>
      <c r="P45" s="1803"/>
      <c r="Q45" s="1803"/>
      <c r="R45" s="1803"/>
      <c r="S45" s="1803"/>
      <c r="T45" s="1803"/>
      <c r="U45" s="1803"/>
    </row>
    <row r="46" spans="1:24" s="1799" customFormat="1" ht="15.75" customHeight="1">
      <c r="A46" s="1801">
        <f t="shared" si="0"/>
        <v>160</v>
      </c>
      <c r="B46" s="1801" t="s">
        <v>1868</v>
      </c>
      <c r="C46" s="1802" t="s">
        <v>150</v>
      </c>
      <c r="D46" s="1801" t="str">
        <f t="shared" si="2"/>
        <v>拜耳金融公司/BAYNGR</v>
      </c>
      <c r="E46" s="1801" t="s">
        <v>4558</v>
      </c>
      <c r="F46" s="1801"/>
      <c r="G46" s="1801"/>
    </row>
    <row r="47" spans="1:24" s="1799" customFormat="1" ht="15.75" customHeight="1">
      <c r="A47" s="1799">
        <f t="shared" si="0"/>
        <v>173</v>
      </c>
      <c r="B47" s="1807" t="s">
        <v>1696</v>
      </c>
      <c r="C47" s="1808" t="s">
        <v>150</v>
      </c>
      <c r="D47" s="1804" t="str">
        <f t="shared" si="2"/>
        <v>拜耳/BAYNGR</v>
      </c>
      <c r="E47" s="1801" t="s">
        <v>4559</v>
      </c>
      <c r="F47" s="1801"/>
      <c r="G47" s="1801"/>
    </row>
    <row r="48" spans="1:24" s="1799" customFormat="1" ht="15.75" customHeight="1">
      <c r="A48" s="1799">
        <f t="shared" si="0"/>
        <v>160</v>
      </c>
      <c r="B48" s="1807" t="s">
        <v>1416</v>
      </c>
      <c r="C48" s="1808" t="s">
        <v>150</v>
      </c>
      <c r="D48" s="1804" t="str">
        <f t="shared" si="2"/>
        <v>拜耳美國金融II有限責任公司/BAYNGR</v>
      </c>
      <c r="E48" s="1801" t="s">
        <v>4558</v>
      </c>
      <c r="F48" s="1801"/>
      <c r="G48" s="1801"/>
    </row>
    <row r="49" spans="1:21" s="1799" customFormat="1" ht="15.75" customHeight="1">
      <c r="A49" s="1799">
        <f t="shared" si="0"/>
        <v>172</v>
      </c>
      <c r="B49" s="1799" t="s">
        <v>1611</v>
      </c>
      <c r="C49" s="1806" t="s">
        <v>1612</v>
      </c>
      <c r="D49" s="1804" t="str">
        <f t="shared" si="2"/>
        <v>中國銀行(香港)有限公司/BCHINA</v>
      </c>
      <c r="E49" s="1799" t="s">
        <v>4560</v>
      </c>
      <c r="F49" s="1801"/>
      <c r="G49" s="1801"/>
    </row>
    <row r="50" spans="1:21" s="1799" customFormat="1" ht="15.75" customHeight="1">
      <c r="A50" s="1799">
        <f t="shared" si="0"/>
        <v>172</v>
      </c>
      <c r="B50" s="1799" t="s">
        <v>1613</v>
      </c>
      <c r="C50" s="1806" t="s">
        <v>1612</v>
      </c>
      <c r="D50" s="1804" t="str">
        <f t="shared" si="2"/>
        <v>中國銀行有限公司(盧森堡)/BCHINA</v>
      </c>
      <c r="E50" s="1799" t="s">
        <v>4561</v>
      </c>
      <c r="F50" s="1801"/>
      <c r="G50" s="1801"/>
    </row>
    <row r="51" spans="1:21" s="1799" customFormat="1" ht="15.75" customHeight="1">
      <c r="A51" s="1799">
        <f t="shared" si="0"/>
        <v>138</v>
      </c>
      <c r="B51" s="1804" t="s">
        <v>1570</v>
      </c>
      <c r="C51" s="1805" t="s">
        <v>1571</v>
      </c>
      <c r="D51" s="1804" t="str">
        <f t="shared" si="2"/>
        <v>Azure Nova國際金融有限公司/BCOMFL</v>
      </c>
      <c r="E51" s="1799" t="s">
        <v>4562</v>
      </c>
      <c r="F51" s="1801"/>
      <c r="G51" s="1801"/>
    </row>
    <row r="52" spans="1:21" s="1799" customFormat="1" ht="15.75" customHeight="1">
      <c r="A52" s="1799">
        <f t="shared" si="0"/>
        <v>164</v>
      </c>
      <c r="B52" s="1807" t="s">
        <v>1707</v>
      </c>
      <c r="C52" s="1808" t="s">
        <v>1708</v>
      </c>
      <c r="D52" s="1804" t="str">
        <f t="shared" si="2"/>
        <v>Blackstone Private Credit Fu/BCRED</v>
      </c>
      <c r="E52" s="1803" t="s">
        <v>4563</v>
      </c>
      <c r="F52" s="1801"/>
      <c r="G52" s="1801"/>
      <c r="H52" s="1803"/>
      <c r="I52" s="1803"/>
      <c r="J52" s="1803"/>
      <c r="K52" s="1803"/>
      <c r="L52" s="1803"/>
      <c r="M52" s="1803"/>
      <c r="N52" s="1803"/>
      <c r="O52" s="1803"/>
      <c r="P52" s="1803"/>
      <c r="Q52" s="1803"/>
      <c r="R52" s="1803"/>
      <c r="S52" s="1803"/>
      <c r="T52" s="1803"/>
      <c r="U52" s="1803"/>
    </row>
    <row r="53" spans="1:21" s="1799" customFormat="1" ht="15.75" customHeight="1">
      <c r="A53" s="1801">
        <f t="shared" si="0"/>
        <v>132</v>
      </c>
      <c r="B53" s="1801" t="s">
        <v>1853</v>
      </c>
      <c r="C53" s="1802" t="s">
        <v>234</v>
      </c>
      <c r="D53" s="1801" t="str">
        <f t="shared" si="2"/>
        <v>印度巴帝電信/BHARTI</v>
      </c>
      <c r="E53" s="1801" t="s">
        <v>4564</v>
      </c>
      <c r="F53" s="1801"/>
      <c r="G53" s="1801"/>
    </row>
    <row r="54" spans="1:21" s="1799" customFormat="1" ht="15.75" customHeight="1">
      <c r="A54" s="1799">
        <f t="shared" si="0"/>
        <v>132</v>
      </c>
      <c r="B54" s="1807" t="s">
        <v>1448</v>
      </c>
      <c r="C54" s="1808" t="s">
        <v>234</v>
      </c>
      <c r="D54" s="1804" t="str">
        <f t="shared" si="2"/>
        <v>巴帝電信有限公司/BHARTI</v>
      </c>
      <c r="E54" s="1801" t="s">
        <v>4564</v>
      </c>
      <c r="F54" s="1801"/>
      <c r="G54" s="1801"/>
      <c r="H54" s="1803"/>
      <c r="I54" s="1803"/>
      <c r="J54" s="1803"/>
      <c r="K54" s="1803"/>
      <c r="L54" s="1803"/>
      <c r="M54" s="1803"/>
      <c r="N54" s="1803"/>
      <c r="O54" s="1803"/>
      <c r="P54" s="1803"/>
      <c r="Q54" s="1803"/>
      <c r="R54" s="1803"/>
      <c r="S54" s="1803"/>
      <c r="T54" s="1803"/>
      <c r="U54" s="1803"/>
    </row>
    <row r="55" spans="1:21" s="1799" customFormat="1" ht="15.75" customHeight="1">
      <c r="A55" s="1801">
        <f t="shared" si="0"/>
        <v>145</v>
      </c>
      <c r="B55" s="1801" t="s">
        <v>1841</v>
      </c>
      <c r="C55" s="1802" t="s">
        <v>196</v>
      </c>
      <c r="D55" s="1801" t="str">
        <f t="shared" si="2"/>
        <v>百度公司/BIDU</v>
      </c>
      <c r="E55" s="1801" t="s">
        <v>4565</v>
      </c>
      <c r="F55" s="1801"/>
      <c r="G55" s="1801"/>
    </row>
    <row r="56" spans="1:21" s="1799" customFormat="1" ht="15.75" customHeight="1">
      <c r="A56" s="1799">
        <f t="shared" si="0"/>
        <v>149</v>
      </c>
      <c r="B56" s="1799" t="s">
        <v>1440</v>
      </c>
      <c r="C56" s="1806" t="s">
        <v>196</v>
      </c>
      <c r="D56" s="1804" t="str">
        <f t="shared" si="2"/>
        <v>百度股份有限公司/BIDU</v>
      </c>
      <c r="E56" s="1801" t="s">
        <v>4566</v>
      </c>
      <c r="F56" s="1801"/>
      <c r="G56" s="1801"/>
    </row>
    <row r="57" spans="1:21" s="1799" customFormat="1" ht="15.75" customHeight="1">
      <c r="A57" s="1801">
        <f t="shared" si="0"/>
        <v>180</v>
      </c>
      <c r="B57" s="1801" t="s">
        <v>1595</v>
      </c>
      <c r="C57" s="1802" t="s">
        <v>114</v>
      </c>
      <c r="D57" s="1801" t="str">
        <f t="shared" si="2"/>
        <v>生物基因公司/BIIB</v>
      </c>
      <c r="E57" s="1801" t="s">
        <v>4567</v>
      </c>
      <c r="F57" s="1801"/>
      <c r="G57" s="1801"/>
    </row>
    <row r="58" spans="1:21" s="1799" customFormat="1" ht="15.75" customHeight="1">
      <c r="A58" s="1799">
        <f t="shared" si="0"/>
        <v>173</v>
      </c>
      <c r="B58" s="1807" t="s">
        <v>1426</v>
      </c>
      <c r="C58" s="1808" t="s">
        <v>114</v>
      </c>
      <c r="D58" s="1804" t="str">
        <f t="shared" si="2"/>
        <v>百健公司/BIIB</v>
      </c>
      <c r="E58" s="1801" t="s">
        <v>4568</v>
      </c>
      <c r="F58" s="1801"/>
      <c r="G58" s="1801"/>
    </row>
    <row r="59" spans="1:21" s="1799" customFormat="1" ht="15.75" customHeight="1">
      <c r="A59" s="1799">
        <f t="shared" si="0"/>
        <v>163</v>
      </c>
      <c r="B59" s="1804" t="s">
        <v>1584</v>
      </c>
      <c r="C59" s="1805" t="s">
        <v>1585</v>
      </c>
      <c r="D59" s="1804" t="str">
        <f t="shared" si="2"/>
        <v>阿魯歐比特IV國際金融有限公司/BKCOML</v>
      </c>
      <c r="E59" s="1799" t="s">
        <v>4569</v>
      </c>
      <c r="F59" s="1801"/>
      <c r="G59" s="1801"/>
      <c r="H59" s="1801"/>
      <c r="I59" s="1801"/>
      <c r="J59" s="1801"/>
      <c r="K59" s="1801"/>
      <c r="L59" s="1801"/>
      <c r="M59" s="1801"/>
      <c r="N59" s="1801"/>
      <c r="O59" s="1801"/>
      <c r="P59" s="1801"/>
      <c r="Q59" s="1801"/>
      <c r="R59" s="1801"/>
      <c r="S59" s="1801"/>
      <c r="T59" s="1801"/>
      <c r="U59" s="1801"/>
    </row>
    <row r="60" spans="1:21" s="1799" customFormat="1" ht="15.75" customHeight="1">
      <c r="A60" s="1801">
        <f t="shared" si="0"/>
        <v>166</v>
      </c>
      <c r="B60" s="1801" t="s">
        <v>1349</v>
      </c>
      <c r="C60" s="1802" t="s">
        <v>135</v>
      </c>
      <c r="D60" s="1801" t="str">
        <f t="shared" si="2"/>
        <v>寶馬美國資本有限責任公司/BMW</v>
      </c>
      <c r="E60" s="1801" t="s">
        <v>4570</v>
      </c>
      <c r="F60" s="1801"/>
      <c r="G60" s="1801"/>
    </row>
    <row r="61" spans="1:21" s="1799" customFormat="1" ht="15.75" customHeight="1">
      <c r="A61" s="1799">
        <f t="shared" si="0"/>
        <v>145</v>
      </c>
      <c r="B61" s="1799" t="s">
        <v>1620</v>
      </c>
      <c r="C61" s="1806" t="s">
        <v>135</v>
      </c>
      <c r="D61" s="1804" t="str">
        <f t="shared" si="2"/>
        <v>BMW金融公眾有限公司/BMW</v>
      </c>
      <c r="E61" s="1799" t="s">
        <v>4571</v>
      </c>
      <c r="F61" s="1801"/>
      <c r="G61" s="1801"/>
    </row>
    <row r="62" spans="1:21" s="1799" customFormat="1" ht="15.75" customHeight="1">
      <c r="A62" s="1799">
        <f t="shared" si="0"/>
        <v>161</v>
      </c>
      <c r="B62" s="1804" t="s">
        <v>1567</v>
      </c>
      <c r="C62" s="1805" t="s">
        <v>1568</v>
      </c>
      <c r="D62" s="1804" t="str">
        <f t="shared" si="2"/>
        <v>國家經濟社會發展銀行/BNDES</v>
      </c>
      <c r="E62" s="1799" t="s">
        <v>4572</v>
      </c>
      <c r="F62" s="1801"/>
      <c r="G62" s="1801"/>
    </row>
    <row r="63" spans="1:21" s="1799" customFormat="1" ht="15.75" customHeight="1">
      <c r="A63" s="1799">
        <f t="shared" si="0"/>
        <v>162</v>
      </c>
      <c r="B63" s="1804" t="s">
        <v>1403</v>
      </c>
      <c r="C63" s="1805" t="s">
        <v>43</v>
      </c>
      <c r="D63" s="1804" t="str">
        <f t="shared" si="2"/>
        <v>法國巴黎銀行/BNP</v>
      </c>
      <c r="E63" s="1799" t="s">
        <v>4573</v>
      </c>
      <c r="F63" s="1801"/>
      <c r="G63" s="1801"/>
    </row>
    <row r="64" spans="1:21" s="1799" customFormat="1" ht="15.75" customHeight="1">
      <c r="A64" s="1799">
        <f t="shared" si="0"/>
        <v>130</v>
      </c>
      <c r="B64" s="1807" t="s">
        <v>1347</v>
      </c>
      <c r="C64" s="1808" t="s">
        <v>332</v>
      </c>
      <c r="D64" s="1804" t="str">
        <f t="shared" si="2"/>
        <v>中銀航空租賃有限公司/BOCAVI</v>
      </c>
      <c r="E64" s="1803" t="s">
        <v>2100</v>
      </c>
      <c r="F64" s="1801"/>
      <c r="G64" s="1801"/>
    </row>
    <row r="65" spans="1:21" s="1799" customFormat="1" ht="15.75" customHeight="1">
      <c r="A65" s="1799">
        <f t="shared" si="0"/>
        <v>90</v>
      </c>
      <c r="B65" s="1804" t="s">
        <v>1533</v>
      </c>
      <c r="C65" s="1805" t="s">
        <v>1534</v>
      </c>
      <c r="D65" s="1804" t="str">
        <f t="shared" si="2"/>
        <v>BPCE有限責任公司/BPCEGP</v>
      </c>
      <c r="E65" s="1799" t="s">
        <v>4574</v>
      </c>
      <c r="F65" s="1801"/>
      <c r="G65" s="1801"/>
      <c r="H65" s="1803"/>
      <c r="I65" s="1803"/>
      <c r="J65" s="1803"/>
      <c r="K65" s="1803"/>
      <c r="L65" s="1803"/>
      <c r="M65" s="1803"/>
      <c r="N65" s="1803"/>
      <c r="O65" s="1803"/>
      <c r="P65" s="1803"/>
      <c r="Q65" s="1803"/>
      <c r="R65" s="1803"/>
      <c r="S65" s="1803"/>
      <c r="T65" s="1803"/>
      <c r="U65" s="1803"/>
    </row>
    <row r="66" spans="1:21" s="1799" customFormat="1" ht="15.75" customHeight="1">
      <c r="A66" s="1801">
        <f t="shared" ref="A66:A130" si="3">LEN(E66)</f>
        <v>179</v>
      </c>
      <c r="B66" s="1801" t="s">
        <v>1384</v>
      </c>
      <c r="C66" s="1802" t="s">
        <v>188</v>
      </c>
      <c r="D66" s="1801" t="str">
        <f t="shared" si="2"/>
        <v>BP資本市場美國公司/BPLN</v>
      </c>
      <c r="E66" s="1801" t="s">
        <v>4575</v>
      </c>
      <c r="F66" s="1801"/>
      <c r="G66" s="1801"/>
    </row>
    <row r="67" spans="1:21" s="1799" customFormat="1" ht="15.75" customHeight="1">
      <c r="A67" s="1799">
        <f t="shared" si="3"/>
        <v>177</v>
      </c>
      <c r="B67" s="1804" t="s">
        <v>2333</v>
      </c>
      <c r="C67" s="1805" t="s">
        <v>188</v>
      </c>
      <c r="D67" s="1801" t="str">
        <f t="shared" si="2"/>
        <v>英國石油資本市場公開有限公司/BPLN</v>
      </c>
      <c r="E67" s="1801" t="s">
        <v>4576</v>
      </c>
      <c r="F67" s="1801"/>
      <c r="G67" s="1801"/>
    </row>
    <row r="68" spans="1:21" s="1799" customFormat="1" ht="15.75" customHeight="1">
      <c r="A68" s="1801">
        <f t="shared" si="3"/>
        <v>147</v>
      </c>
      <c r="B68" s="1801" t="s">
        <v>1893</v>
      </c>
      <c r="C68" s="1802" t="s">
        <v>255</v>
      </c>
      <c r="D68" s="1801" t="str">
        <f t="shared" si="2"/>
        <v>巴西政府公債/BRAZIL</v>
      </c>
      <c r="E68" s="1801" t="s">
        <v>4577</v>
      </c>
      <c r="F68" s="1801"/>
      <c r="G68" s="1801"/>
      <c r="H68" s="1803"/>
      <c r="I68" s="1803"/>
      <c r="J68" s="1803"/>
      <c r="K68" s="1803"/>
      <c r="L68" s="1803"/>
      <c r="M68" s="1803"/>
      <c r="N68" s="1803"/>
      <c r="O68" s="1803"/>
      <c r="P68" s="1803"/>
      <c r="Q68" s="1803"/>
      <c r="R68" s="1803"/>
      <c r="S68" s="1803"/>
      <c r="T68" s="1803"/>
      <c r="U68" s="1803"/>
    </row>
    <row r="69" spans="1:21" s="1799" customFormat="1" ht="15.75" customHeight="1">
      <c r="A69" s="1799">
        <f t="shared" si="3"/>
        <v>147</v>
      </c>
      <c r="B69" s="1807" t="s">
        <v>1494</v>
      </c>
      <c r="C69" s="1808" t="s">
        <v>255</v>
      </c>
      <c r="D69" s="1804" t="str">
        <f t="shared" si="2"/>
        <v>巴西政府國際公債/BRAZIL</v>
      </c>
      <c r="E69" s="1801" t="s">
        <v>4577</v>
      </c>
      <c r="F69" s="1801"/>
      <c r="G69" s="1801"/>
    </row>
    <row r="70" spans="1:21" s="1799" customFormat="1" ht="15.75" customHeight="1">
      <c r="A70" s="1801">
        <f t="shared" si="3"/>
        <v>155</v>
      </c>
      <c r="B70" s="1801" t="s">
        <v>1907</v>
      </c>
      <c r="C70" s="1802" t="s">
        <v>254</v>
      </c>
      <c r="D70" s="1801" t="str">
        <f t="shared" si="2"/>
        <v>巴西食品公司 /BRFSBZ</v>
      </c>
      <c r="E70" s="1801" t="s">
        <v>1271</v>
      </c>
      <c r="F70" s="1801"/>
      <c r="G70" s="1801"/>
      <c r="H70" s="1803"/>
      <c r="I70" s="1803"/>
      <c r="J70" s="1803"/>
      <c r="K70" s="1803"/>
      <c r="L70" s="1803"/>
      <c r="M70" s="1803"/>
      <c r="N70" s="1803"/>
      <c r="O70" s="1803"/>
      <c r="P70" s="1803"/>
      <c r="Q70" s="1803"/>
      <c r="R70" s="1803"/>
      <c r="S70" s="1803"/>
      <c r="T70" s="1803"/>
      <c r="U70" s="1803"/>
    </row>
    <row r="71" spans="1:21" s="1799" customFormat="1" ht="15.75" customHeight="1">
      <c r="A71" s="1799">
        <f t="shared" si="3"/>
        <v>155</v>
      </c>
      <c r="B71" s="1807" t="s">
        <v>1491</v>
      </c>
      <c r="C71" s="1808" t="s">
        <v>1097</v>
      </c>
      <c r="D71" s="1804" t="str">
        <f t="shared" si="2"/>
        <v>BRF SA/BRFSBZ</v>
      </c>
      <c r="E71" s="1803" t="s">
        <v>1271</v>
      </c>
      <c r="F71" s="1801"/>
      <c r="G71" s="1801"/>
      <c r="H71" s="1801"/>
      <c r="I71" s="1801"/>
      <c r="J71" s="1801"/>
      <c r="K71" s="1801"/>
      <c r="L71" s="1801"/>
      <c r="M71" s="1801"/>
      <c r="N71" s="1801"/>
      <c r="O71" s="1801"/>
      <c r="P71" s="1801"/>
      <c r="Q71" s="1801"/>
      <c r="R71" s="1801"/>
      <c r="S71" s="1801"/>
      <c r="T71" s="1801"/>
      <c r="U71" s="1801"/>
    </row>
    <row r="72" spans="1:21" s="1799" customFormat="1" ht="15.75" customHeight="1">
      <c r="A72" s="1801">
        <f t="shared" si="3"/>
        <v>137</v>
      </c>
      <c r="B72" s="1801" t="s">
        <v>1506</v>
      </c>
      <c r="C72" s="1802" t="s">
        <v>1908</v>
      </c>
      <c r="D72" s="1801" t="str">
        <f t="shared" si="2"/>
        <v>波克夏海瑟威公司/BRK</v>
      </c>
      <c r="E72" s="1801" t="s">
        <v>4578</v>
      </c>
      <c r="F72" s="1801"/>
      <c r="G72" s="1801"/>
    </row>
    <row r="73" spans="1:21" s="1799" customFormat="1" ht="15.75" customHeight="1">
      <c r="A73" s="1799">
        <f t="shared" si="3"/>
        <v>161</v>
      </c>
      <c r="B73" s="1799" t="s">
        <v>1367</v>
      </c>
      <c r="C73" s="1806" t="s">
        <v>131</v>
      </c>
      <c r="D73" s="1804" t="str">
        <f t="shared" si="2"/>
        <v>波克夏海瑟威金融公司/BRK</v>
      </c>
      <c r="E73" s="1801" t="s">
        <v>4579</v>
      </c>
      <c r="F73" s="1801"/>
      <c r="G73" s="1801"/>
      <c r="H73" s="1803"/>
      <c r="I73" s="1803"/>
      <c r="J73" s="1803"/>
      <c r="K73" s="1803"/>
      <c r="L73" s="1803"/>
      <c r="M73" s="1803"/>
      <c r="N73" s="1803"/>
      <c r="O73" s="1803"/>
      <c r="P73" s="1803"/>
      <c r="Q73" s="1803"/>
      <c r="R73" s="1803"/>
      <c r="S73" s="1803"/>
      <c r="T73" s="1803"/>
      <c r="U73" s="1803"/>
    </row>
    <row r="74" spans="1:21" s="1799" customFormat="1" ht="15.75" customHeight="1">
      <c r="A74" s="1801">
        <f t="shared" si="3"/>
        <v>181</v>
      </c>
      <c r="B74" s="1801" t="s">
        <v>1846</v>
      </c>
      <c r="C74" s="1802" t="s">
        <v>233</v>
      </c>
      <c r="D74" s="1801" t="str">
        <f t="shared" si="2"/>
        <v>波克夏海瑟威能源公司/BRKHEC</v>
      </c>
      <c r="E74" s="1801" t="s">
        <v>4580</v>
      </c>
      <c r="F74" s="1801"/>
      <c r="G74" s="1801"/>
    </row>
    <row r="75" spans="1:21" s="1799" customFormat="1" ht="15.75" customHeight="1">
      <c r="A75" s="1799">
        <f t="shared" si="3"/>
        <v>180</v>
      </c>
      <c r="B75" s="1807" t="s">
        <v>1388</v>
      </c>
      <c r="C75" s="1808" t="s">
        <v>233</v>
      </c>
      <c r="D75" s="1804" t="str">
        <f t="shared" si="2"/>
        <v>巴郡哈薩威能源公司/BRKHEC</v>
      </c>
      <c r="E75" s="1801" t="s">
        <v>4581</v>
      </c>
      <c r="F75" s="1801"/>
      <c r="G75" s="1801"/>
    </row>
    <row r="76" spans="1:21" s="1799" customFormat="1" ht="15.75" customHeight="1">
      <c r="A76" s="1801">
        <f t="shared" si="3"/>
        <v>93</v>
      </c>
      <c r="B76" s="1814" t="s">
        <v>1393</v>
      </c>
      <c r="C76" s="1815" t="s">
        <v>72</v>
      </c>
      <c r="D76" s="1801" t="str">
        <f t="shared" ref="D76:D81" si="4">CONCATENATE(B76,"/",C76)</f>
        <v>花旗集團/C</v>
      </c>
      <c r="E76" s="1799" t="s">
        <v>4582</v>
      </c>
      <c r="F76" s="1801"/>
      <c r="G76" s="1801"/>
    </row>
    <row r="77" spans="1:21" s="1799" customFormat="1" ht="15.75" customHeight="1">
      <c r="A77" s="1801">
        <f t="shared" si="3"/>
        <v>159</v>
      </c>
      <c r="B77" s="1814" t="s">
        <v>4583</v>
      </c>
      <c r="C77" s="1815" t="s">
        <v>72</v>
      </c>
      <c r="D77" s="1801" t="str">
        <f t="shared" si="4"/>
        <v>花旗環球證券控股公司(美國)/C</v>
      </c>
      <c r="E77" s="780" t="s">
        <v>4584</v>
      </c>
      <c r="F77" s="1801"/>
      <c r="G77" s="1801"/>
    </row>
    <row r="78" spans="1:21" s="1799" customFormat="1" ht="15.75" customHeight="1">
      <c r="A78" s="1799">
        <f t="shared" si="3"/>
        <v>152</v>
      </c>
      <c r="B78" s="1804" t="s">
        <v>1548</v>
      </c>
      <c r="C78" s="1805" t="s">
        <v>1549</v>
      </c>
      <c r="D78" s="1804" t="str">
        <f t="shared" si="4"/>
        <v>澳洲聯邦銀行/CBAAU</v>
      </c>
      <c r="E78" s="1799" t="s">
        <v>4585</v>
      </c>
      <c r="F78" s="1801"/>
      <c r="G78" s="1801"/>
    </row>
    <row r="79" spans="1:21" s="1799" customFormat="1" ht="15.75" customHeight="1">
      <c r="A79" s="1799">
        <f t="shared" si="3"/>
        <v>144</v>
      </c>
      <c r="B79" s="1799" t="s">
        <v>1630</v>
      </c>
      <c r="C79" s="1806" t="s">
        <v>1631</v>
      </c>
      <c r="D79" s="1804" t="str">
        <f t="shared" si="4"/>
        <v>智利國家銅業公司/CDEL</v>
      </c>
      <c r="E79" s="1799" t="s">
        <v>1632</v>
      </c>
      <c r="F79" s="1801"/>
      <c r="G79" s="1801"/>
      <c r="H79" s="1803"/>
      <c r="I79" s="1803"/>
      <c r="J79" s="1803"/>
      <c r="K79" s="1803"/>
      <c r="L79" s="1803"/>
      <c r="M79" s="1803"/>
      <c r="N79" s="1803"/>
      <c r="O79" s="1803"/>
      <c r="P79" s="1803"/>
      <c r="Q79" s="1803"/>
      <c r="R79" s="1803"/>
      <c r="S79" s="1803"/>
      <c r="T79" s="1803"/>
      <c r="U79" s="1803"/>
    </row>
    <row r="80" spans="1:21" s="1799" customFormat="1" ht="15.75" customHeight="1">
      <c r="A80" s="1801">
        <f t="shared" si="3"/>
        <v>147</v>
      </c>
      <c r="B80" s="1801" t="s">
        <v>1851</v>
      </c>
      <c r="C80" s="1802" t="s">
        <v>187</v>
      </c>
      <c r="D80" s="1801" t="str">
        <f t="shared" si="4"/>
        <v>墨西哥國家電力/CFELEC</v>
      </c>
      <c r="E80" s="1801" t="s">
        <v>1826</v>
      </c>
      <c r="F80" s="1801"/>
      <c r="G80" s="1801"/>
    </row>
    <row r="81" spans="1:21" s="1799" customFormat="1" ht="15.75" customHeight="1">
      <c r="A81" s="1799">
        <f t="shared" si="3"/>
        <v>147</v>
      </c>
      <c r="B81" s="1804" t="s">
        <v>1447</v>
      </c>
      <c r="C81" s="1805" t="s">
        <v>187</v>
      </c>
      <c r="D81" s="1804" t="str">
        <f t="shared" si="4"/>
        <v>聯邦電力委員會/CFELEC</v>
      </c>
      <c r="E81" s="1801" t="s">
        <v>1826</v>
      </c>
      <c r="F81" s="1801"/>
      <c r="G81" s="1801"/>
      <c r="H81" s="1803"/>
      <c r="I81" s="1803"/>
      <c r="J81" s="1803"/>
      <c r="K81" s="1803"/>
      <c r="L81" s="1803"/>
      <c r="M81" s="1803"/>
      <c r="N81" s="1803"/>
      <c r="O81" s="1803"/>
      <c r="P81" s="1803"/>
      <c r="Q81" s="1803"/>
      <c r="R81" s="1803"/>
      <c r="S81" s="1803"/>
      <c r="T81" s="1803"/>
      <c r="U81" s="1803"/>
    </row>
    <row r="82" spans="1:21" s="1799" customFormat="1" ht="15.75" customHeight="1">
      <c r="A82" s="1799">
        <f t="shared" si="3"/>
        <v>131</v>
      </c>
      <c r="B82" s="1799" t="s">
        <v>2318</v>
      </c>
      <c r="C82" s="1806" t="s">
        <v>2319</v>
      </c>
      <c r="D82" s="1804" t="s">
        <v>2320</v>
      </c>
      <c r="E82" s="1801" t="s">
        <v>4586</v>
      </c>
      <c r="F82" s="1801"/>
      <c r="G82" s="1801"/>
      <c r="H82" s="1803"/>
      <c r="I82" s="1803"/>
      <c r="J82" s="1803"/>
      <c r="K82" s="1803"/>
      <c r="L82" s="1803"/>
      <c r="M82" s="1803"/>
      <c r="N82" s="1803"/>
      <c r="O82" s="1803"/>
      <c r="P82" s="1803"/>
      <c r="Q82" s="1803"/>
      <c r="R82" s="1803"/>
      <c r="S82" s="1803"/>
      <c r="T82" s="1803"/>
      <c r="U82" s="1803"/>
    </row>
    <row r="83" spans="1:21" s="1799" customFormat="1" ht="15.75" customHeight="1">
      <c r="A83" s="1801">
        <f t="shared" si="3"/>
        <v>131</v>
      </c>
      <c r="B83" s="1801" t="s">
        <v>4587</v>
      </c>
      <c r="C83" s="1802" t="s">
        <v>197</v>
      </c>
      <c r="D83" s="1801" t="str">
        <f t="shared" ref="D83:D97" si="5">CONCATENATE(B83,"/",C83)</f>
        <v>快捷藥方控股公司/CI</v>
      </c>
      <c r="E83" s="1801" t="s">
        <v>4588</v>
      </c>
      <c r="F83" s="1801"/>
      <c r="G83" s="1801"/>
    </row>
    <row r="84" spans="1:21" s="1799" customFormat="1" ht="15.75" customHeight="1">
      <c r="A84" s="1801">
        <f t="shared" si="3"/>
        <v>183</v>
      </c>
      <c r="B84" s="1801" t="s">
        <v>1604</v>
      </c>
      <c r="C84" s="1802" t="s">
        <v>197</v>
      </c>
      <c r="D84" s="1801" t="str">
        <f t="shared" si="5"/>
        <v>信諾公司/CI</v>
      </c>
      <c r="E84" s="1801" t="s">
        <v>4589</v>
      </c>
      <c r="F84" s="1801"/>
      <c r="G84" s="1801"/>
    </row>
    <row r="85" spans="1:21" s="1799" customFormat="1" ht="15.75" customHeight="1">
      <c r="A85" s="1799">
        <f t="shared" si="3"/>
        <v>184</v>
      </c>
      <c r="B85" s="1807" t="s">
        <v>1464</v>
      </c>
      <c r="C85" s="1808" t="s">
        <v>197</v>
      </c>
      <c r="D85" s="1804" t="str">
        <f t="shared" si="5"/>
        <v>Evernorth健康公司/CI</v>
      </c>
      <c r="E85" s="1801" t="s">
        <v>4590</v>
      </c>
      <c r="F85" s="1801"/>
      <c r="G85" s="1801"/>
      <c r="H85" s="1801"/>
      <c r="I85" s="1801"/>
      <c r="J85" s="1801"/>
      <c r="K85" s="1801"/>
      <c r="L85" s="1801"/>
      <c r="M85" s="1801"/>
      <c r="N85" s="1801"/>
      <c r="O85" s="1801"/>
      <c r="P85" s="1801"/>
      <c r="Q85" s="1801"/>
      <c r="R85" s="1801"/>
      <c r="S85" s="1801"/>
      <c r="T85" s="1801"/>
      <c r="U85" s="1801"/>
    </row>
    <row r="86" spans="1:21" s="1799" customFormat="1" ht="15.75" customHeight="1">
      <c r="A86" s="1799">
        <f t="shared" si="3"/>
        <v>183</v>
      </c>
      <c r="B86" s="1807" t="s">
        <v>1385</v>
      </c>
      <c r="C86" s="1808" t="s">
        <v>197</v>
      </c>
      <c r="D86" s="1804" t="str">
        <f t="shared" si="5"/>
        <v>信諾集團/CI</v>
      </c>
      <c r="E86" s="1801" t="s">
        <v>4591</v>
      </c>
      <c r="F86" s="1801"/>
      <c r="G86" s="1801"/>
    </row>
    <row r="87" spans="1:21" s="1799" customFormat="1" ht="15.75" customHeight="1">
      <c r="A87" s="1801">
        <f t="shared" si="3"/>
        <v>169</v>
      </c>
      <c r="B87" s="1801" t="s">
        <v>1508</v>
      </c>
      <c r="C87" s="1802" t="s">
        <v>1909</v>
      </c>
      <c r="D87" s="1801" t="str">
        <f t="shared" si="5"/>
        <v>高露潔-棕欖公司/CL</v>
      </c>
      <c r="E87" s="1801" t="s">
        <v>1275</v>
      </c>
      <c r="F87" s="1801"/>
      <c r="G87" s="1801"/>
      <c r="H87" s="1803"/>
      <c r="I87" s="1803"/>
      <c r="J87" s="1803"/>
      <c r="K87" s="1803"/>
      <c r="L87" s="1803"/>
      <c r="M87" s="1803"/>
      <c r="N87" s="1803"/>
      <c r="O87" s="1803"/>
      <c r="P87" s="1803"/>
      <c r="Q87" s="1803"/>
      <c r="R87" s="1803"/>
      <c r="S87" s="1803"/>
      <c r="T87" s="1803"/>
      <c r="U87" s="1803"/>
    </row>
    <row r="88" spans="1:21" s="1799" customFormat="1" ht="15.75" customHeight="1">
      <c r="A88" s="1799">
        <f t="shared" si="3"/>
        <v>171</v>
      </c>
      <c r="B88" s="1804" t="s">
        <v>1572</v>
      </c>
      <c r="C88" s="1805" t="s">
        <v>1573</v>
      </c>
      <c r="D88" s="1804" t="str">
        <f t="shared" si="5"/>
        <v>CMBLEMTN 1有限公司/CMBLEM</v>
      </c>
      <c r="E88" s="1799" t="s">
        <v>4592</v>
      </c>
      <c r="F88" s="1801"/>
      <c r="G88" s="1801"/>
    </row>
    <row r="89" spans="1:21" s="1799" customFormat="1" ht="15.75" customHeight="1">
      <c r="A89" s="1801">
        <f t="shared" si="3"/>
        <v>156</v>
      </c>
      <c r="B89" s="1801" t="s">
        <v>1363</v>
      </c>
      <c r="C89" s="1802" t="s">
        <v>107</v>
      </c>
      <c r="D89" s="1801" t="str">
        <f t="shared" si="5"/>
        <v>康卡斯特公司/CMCSA</v>
      </c>
      <c r="E89" s="1801" t="s">
        <v>4593</v>
      </c>
      <c r="F89" s="1801"/>
      <c r="G89" s="1801"/>
      <c r="H89" s="1803"/>
      <c r="I89" s="1803"/>
      <c r="J89" s="1803"/>
      <c r="K89" s="1803"/>
      <c r="L89" s="1803"/>
      <c r="M89" s="1803"/>
      <c r="N89" s="1803"/>
      <c r="O89" s="1803"/>
      <c r="P89" s="1803"/>
      <c r="Q89" s="1803"/>
      <c r="R89" s="1803"/>
      <c r="S89" s="1803"/>
      <c r="T89" s="1803"/>
      <c r="U89" s="1803"/>
    </row>
    <row r="90" spans="1:21" s="1799" customFormat="1" ht="15.75" customHeight="1">
      <c r="A90" s="1799">
        <f t="shared" si="3"/>
        <v>154</v>
      </c>
      <c r="B90" s="1799" t="s">
        <v>1593</v>
      </c>
      <c r="C90" s="1806" t="s">
        <v>107</v>
      </c>
      <c r="D90" s="1801" t="str">
        <f t="shared" si="5"/>
        <v>康卡斯特/CMCSA</v>
      </c>
      <c r="E90" s="1801" t="s">
        <v>4594</v>
      </c>
      <c r="F90" s="1801"/>
      <c r="G90" s="1801"/>
      <c r="H90" s="1803"/>
      <c r="I90" s="1803"/>
      <c r="J90" s="1803"/>
      <c r="K90" s="1803"/>
      <c r="L90" s="1803"/>
      <c r="M90" s="1803"/>
      <c r="N90" s="1803"/>
      <c r="O90" s="1803"/>
      <c r="P90" s="1803"/>
      <c r="Q90" s="1803"/>
      <c r="R90" s="1803"/>
      <c r="S90" s="1803"/>
      <c r="T90" s="1803"/>
      <c r="U90" s="1803"/>
    </row>
    <row r="91" spans="1:21" s="1799" customFormat="1" ht="15.75" customHeight="1">
      <c r="A91" s="1801">
        <f t="shared" si="3"/>
        <v>103</v>
      </c>
      <c r="B91" s="1801" t="s">
        <v>1435</v>
      </c>
      <c r="C91" s="1802" t="s">
        <v>46</v>
      </c>
      <c r="D91" s="1801" t="str">
        <f t="shared" si="5"/>
        <v>德國商業銀行/CMZB</v>
      </c>
      <c r="E91" s="1801" t="s">
        <v>4595</v>
      </c>
      <c r="F91" s="1801"/>
      <c r="G91" s="1801"/>
    </row>
    <row r="92" spans="1:21" s="1799" customFormat="1" ht="15.75" customHeight="1">
      <c r="A92" s="1801">
        <f t="shared" si="3"/>
        <v>186</v>
      </c>
      <c r="B92" s="1801" t="s">
        <v>1832</v>
      </c>
      <c r="C92" s="1802" t="s">
        <v>95</v>
      </c>
      <c r="D92" s="1801" t="str">
        <f t="shared" si="5"/>
        <v>中國海洋石油財務(2014)公司/CNOOC</v>
      </c>
      <c r="E92" s="1801" t="s">
        <v>4596</v>
      </c>
      <c r="F92" s="1801"/>
      <c r="G92" s="1801"/>
    </row>
    <row r="93" spans="1:21" s="1799" customFormat="1" ht="15.75" customHeight="1">
      <c r="A93" s="1799">
        <f t="shared" si="3"/>
        <v>177</v>
      </c>
      <c r="B93" s="1804" t="s">
        <v>1586</v>
      </c>
      <c r="C93" s="1805" t="s">
        <v>95</v>
      </c>
      <c r="D93" s="1804" t="str">
        <f t="shared" si="5"/>
        <v>中海油財務(2013)有限公司/CNOOC</v>
      </c>
      <c r="E93" s="1799" t="s">
        <v>4597</v>
      </c>
      <c r="F93" s="1801"/>
      <c r="G93" s="1801"/>
    </row>
    <row r="94" spans="1:21" s="1799" customFormat="1" ht="15.75" customHeight="1">
      <c r="A94" s="1799">
        <f t="shared" si="3"/>
        <v>186</v>
      </c>
      <c r="B94" s="1799" t="s">
        <v>1432</v>
      </c>
      <c r="C94" s="1806" t="s">
        <v>95</v>
      </c>
      <c r="D94" s="1804" t="str">
        <f t="shared" si="5"/>
        <v>中海油尼克森金融(2014)無限公/CNOOC</v>
      </c>
      <c r="E94" s="1799" t="s">
        <v>4596</v>
      </c>
      <c r="F94" s="1801"/>
      <c r="G94" s="1801"/>
    </row>
    <row r="95" spans="1:21" s="1799" customFormat="1" ht="15.75" customHeight="1">
      <c r="A95" s="1799">
        <f t="shared" si="3"/>
        <v>177</v>
      </c>
      <c r="B95" s="1807" t="s">
        <v>1692</v>
      </c>
      <c r="C95" s="1808" t="s">
        <v>95</v>
      </c>
      <c r="D95" s="1804" t="str">
        <f t="shared" si="5"/>
        <v>中國海洋石油北美無限責任公司/CNOOC</v>
      </c>
      <c r="E95" s="1803" t="s">
        <v>4598</v>
      </c>
      <c r="F95" s="1801"/>
      <c r="G95" s="1801"/>
    </row>
    <row r="96" spans="1:21" s="1799" customFormat="1" ht="15.75" customHeight="1">
      <c r="A96" s="1799">
        <f t="shared" si="3"/>
        <v>163</v>
      </c>
      <c r="B96" s="1804" t="s">
        <v>1544</v>
      </c>
      <c r="C96" s="1805" t="s">
        <v>1545</v>
      </c>
      <c r="D96" s="1804" t="str">
        <f t="shared" si="5"/>
        <v>第一資本金融公司/COF</v>
      </c>
      <c r="E96" s="1799" t="s">
        <v>4599</v>
      </c>
      <c r="F96" s="1801"/>
      <c r="G96" s="1801"/>
    </row>
    <row r="97" spans="1:24" s="1799" customFormat="1" ht="15.75" customHeight="1">
      <c r="A97" s="1799">
        <f t="shared" si="3"/>
        <v>153</v>
      </c>
      <c r="B97" s="1816" t="s">
        <v>1675</v>
      </c>
      <c r="C97" s="1817" t="s">
        <v>1676</v>
      </c>
      <c r="D97" s="1804" t="str">
        <f t="shared" si="5"/>
        <v>Coinbase Global公司/COIN</v>
      </c>
      <c r="E97" s="1818" t="s">
        <v>4600</v>
      </c>
      <c r="F97" s="1801"/>
      <c r="G97" s="1801"/>
    </row>
    <row r="98" spans="1:24" s="1799" customFormat="1" ht="15.75" customHeight="1">
      <c r="A98" s="1799">
        <f t="shared" si="3"/>
        <v>186</v>
      </c>
      <c r="B98" s="1801" t="s">
        <v>2373</v>
      </c>
      <c r="C98" s="1802" t="s">
        <v>2374</v>
      </c>
      <c r="D98" s="1811" t="s">
        <v>2375</v>
      </c>
      <c r="E98" s="1819" t="s">
        <v>4601</v>
      </c>
      <c r="F98" s="1801"/>
      <c r="G98" s="1801"/>
      <c r="H98" s="1812"/>
      <c r="I98" s="1812"/>
      <c r="J98" s="1812"/>
      <c r="K98" s="1813"/>
      <c r="L98" s="1813"/>
      <c r="M98" s="1813"/>
      <c r="N98" s="1813"/>
      <c r="O98" s="1813"/>
      <c r="P98" s="1813"/>
      <c r="Q98" s="1813"/>
      <c r="R98" s="1813"/>
      <c r="S98" s="1813"/>
      <c r="T98" s="1813"/>
      <c r="U98" s="1813"/>
      <c r="V98" s="1813"/>
      <c r="W98" s="1813"/>
      <c r="X98" s="1813"/>
    </row>
    <row r="99" spans="1:24" s="1799" customFormat="1" ht="15.75" customHeight="1">
      <c r="A99" s="1799">
        <f t="shared" si="3"/>
        <v>155</v>
      </c>
      <c r="B99" s="1803" t="s">
        <v>1689</v>
      </c>
      <c r="C99" s="1810" t="s">
        <v>1690</v>
      </c>
      <c r="D99" s="1804" t="str">
        <f t="shared" ref="D99:D118" si="6">CONCATENATE(B99,"/",C99)</f>
        <v>康菲石油/COP</v>
      </c>
      <c r="E99" s="1820" t="s">
        <v>4602</v>
      </c>
      <c r="F99" s="1801"/>
      <c r="G99" s="1801"/>
    </row>
    <row r="100" spans="1:24" s="1799" customFormat="1" ht="15.75" customHeight="1">
      <c r="A100" s="1799">
        <f t="shared" si="3"/>
        <v>116</v>
      </c>
      <c r="B100" s="1804" t="s">
        <v>1550</v>
      </c>
      <c r="C100" s="1805" t="s">
        <v>1551</v>
      </c>
      <c r="D100" s="1804" t="str">
        <f t="shared" si="6"/>
        <v>瑞信集團/CS</v>
      </c>
      <c r="E100" s="1801" t="s">
        <v>1910</v>
      </c>
      <c r="F100" s="1801"/>
      <c r="G100" s="1801"/>
    </row>
    <row r="101" spans="1:24" s="1799" customFormat="1" ht="15.75" customHeight="1">
      <c r="A101" s="1799">
        <f t="shared" si="3"/>
        <v>118</v>
      </c>
      <c r="B101" s="1799" t="s">
        <v>1647</v>
      </c>
      <c r="C101" s="1806" t="s">
        <v>1551</v>
      </c>
      <c r="D101" s="1804" t="str">
        <f t="shared" si="6"/>
        <v>瑞士信貸集團/CS</v>
      </c>
      <c r="E101" s="1801" t="s">
        <v>4603</v>
      </c>
      <c r="F101" s="1801"/>
      <c r="G101" s="1801"/>
    </row>
    <row r="102" spans="1:24" s="1799" customFormat="1" ht="15.75" customHeight="1">
      <c r="A102" s="1801">
        <f t="shared" si="3"/>
        <v>147</v>
      </c>
      <c r="B102" s="1814" t="s">
        <v>1507</v>
      </c>
      <c r="C102" s="1815" t="s">
        <v>132</v>
      </c>
      <c r="D102" s="1801" t="str">
        <f t="shared" si="6"/>
        <v>思科系統股份有限公司/CSCO</v>
      </c>
      <c r="E102" s="1801" t="s">
        <v>4604</v>
      </c>
      <c r="F102" s="1801"/>
      <c r="G102" s="1801"/>
      <c r="H102" s="1803"/>
      <c r="I102" s="1803"/>
      <c r="J102" s="1803"/>
      <c r="K102" s="1803"/>
      <c r="L102" s="1803"/>
      <c r="M102" s="1803"/>
      <c r="N102" s="1803"/>
      <c r="O102" s="1803"/>
      <c r="P102" s="1803"/>
      <c r="Q102" s="1803"/>
      <c r="R102" s="1803"/>
      <c r="S102" s="1803"/>
      <c r="T102" s="1803"/>
      <c r="U102" s="1803"/>
    </row>
    <row r="103" spans="1:24" s="1799" customFormat="1" ht="15.75" customHeight="1">
      <c r="A103" s="1799">
        <f t="shared" si="3"/>
        <v>148</v>
      </c>
      <c r="B103" s="1799" t="s">
        <v>1608</v>
      </c>
      <c r="C103" s="1806" t="s">
        <v>132</v>
      </c>
      <c r="D103" s="1804" t="str">
        <f t="shared" si="6"/>
        <v>Cisco Systems Inc/Delaware/CSCO</v>
      </c>
      <c r="E103" s="1799" t="s">
        <v>4605</v>
      </c>
      <c r="F103" s="1801"/>
      <c r="G103" s="1801"/>
    </row>
    <row r="104" spans="1:24" s="1799" customFormat="1" ht="15.75" customHeight="1">
      <c r="A104" s="1801">
        <f t="shared" si="3"/>
        <v>148</v>
      </c>
      <c r="B104" s="1801" t="s">
        <v>1875</v>
      </c>
      <c r="C104" s="1802" t="s">
        <v>67</v>
      </c>
      <c r="D104" s="1801" t="str">
        <f t="shared" si="6"/>
        <v>CVSHEALTH公司/CVS</v>
      </c>
      <c r="E104" s="1801" t="s">
        <v>4606</v>
      </c>
      <c r="F104" s="1801"/>
      <c r="G104" s="1801"/>
    </row>
    <row r="105" spans="1:24" s="1799" customFormat="1" ht="15.75" customHeight="1">
      <c r="A105" s="1799">
        <f t="shared" si="3"/>
        <v>148</v>
      </c>
      <c r="B105" s="1804" t="s">
        <v>1562</v>
      </c>
      <c r="C105" s="1805" t="s">
        <v>67</v>
      </c>
      <c r="D105" s="1804" t="str">
        <f t="shared" si="6"/>
        <v>CVS Health Corp/CVS</v>
      </c>
      <c r="E105" s="1801" t="s">
        <v>4606</v>
      </c>
      <c r="F105" s="1801"/>
      <c r="G105" s="1801"/>
      <c r="H105" s="1803"/>
      <c r="I105" s="1803"/>
      <c r="J105" s="1803"/>
      <c r="K105" s="1803"/>
      <c r="L105" s="1803"/>
      <c r="M105" s="1803"/>
      <c r="N105" s="1803"/>
      <c r="O105" s="1803"/>
      <c r="P105" s="1803"/>
      <c r="Q105" s="1803"/>
      <c r="R105" s="1803"/>
      <c r="S105" s="1803"/>
      <c r="T105" s="1803"/>
      <c r="U105" s="1803"/>
    </row>
    <row r="106" spans="1:24" s="1799" customFormat="1" ht="15.75" customHeight="1">
      <c r="A106" s="1799">
        <f t="shared" si="3"/>
        <v>152</v>
      </c>
      <c r="B106" s="1807" t="s">
        <v>1412</v>
      </c>
      <c r="C106" s="1808" t="s">
        <v>67</v>
      </c>
      <c r="D106" s="1804" t="str">
        <f t="shared" si="6"/>
        <v>CVS保健公司/CVS</v>
      </c>
      <c r="E106" s="1799" t="s">
        <v>4607</v>
      </c>
      <c r="F106" s="1801"/>
      <c r="G106" s="1801"/>
      <c r="H106" s="1803"/>
      <c r="I106" s="1803"/>
      <c r="J106" s="1803"/>
      <c r="K106" s="1803"/>
      <c r="L106" s="1803"/>
      <c r="M106" s="1803"/>
      <c r="N106" s="1803"/>
      <c r="O106" s="1803"/>
      <c r="P106" s="1803"/>
      <c r="Q106" s="1803"/>
      <c r="R106" s="1803"/>
      <c r="S106" s="1803"/>
      <c r="T106" s="1803"/>
      <c r="U106" s="1803"/>
    </row>
    <row r="107" spans="1:24" s="1799" customFormat="1" ht="15.75" customHeight="1">
      <c r="A107" s="1801">
        <f t="shared" si="3"/>
        <v>174</v>
      </c>
      <c r="B107" s="1801" t="s">
        <v>1516</v>
      </c>
      <c r="C107" s="1802" t="s">
        <v>115</v>
      </c>
      <c r="D107" s="1801" t="str">
        <f t="shared" si="6"/>
        <v>戴姆勒金融北美有限責任公司/DAIGR</v>
      </c>
      <c r="E107" s="1801" t="s">
        <v>4608</v>
      </c>
      <c r="F107" s="1801"/>
      <c r="G107" s="1801"/>
      <c r="H107" s="1803"/>
      <c r="I107" s="1803"/>
      <c r="J107" s="1803"/>
      <c r="K107" s="1803"/>
      <c r="L107" s="1803"/>
      <c r="M107" s="1803"/>
      <c r="N107" s="1803"/>
      <c r="O107" s="1803"/>
      <c r="P107" s="1803"/>
      <c r="Q107" s="1803"/>
      <c r="R107" s="1803"/>
      <c r="S107" s="1803"/>
      <c r="T107" s="1803"/>
      <c r="U107" s="1803"/>
    </row>
    <row r="108" spans="1:24" s="1799" customFormat="1" ht="15.75" customHeight="1">
      <c r="A108" s="1801">
        <f t="shared" si="3"/>
        <v>141</v>
      </c>
      <c r="B108" s="1801" t="s">
        <v>1552</v>
      </c>
      <c r="C108" s="1802" t="s">
        <v>145</v>
      </c>
      <c r="D108" s="1801" t="str">
        <f t="shared" si="6"/>
        <v>德意志銀行/DB</v>
      </c>
      <c r="E108" s="1801" t="s">
        <v>4609</v>
      </c>
      <c r="F108" s="1801"/>
      <c r="G108" s="1801"/>
    </row>
    <row r="109" spans="1:24" s="1799" customFormat="1" ht="15.75" customHeight="1">
      <c r="A109" s="1801">
        <f t="shared" si="3"/>
        <v>170</v>
      </c>
      <c r="B109" s="1801" t="s">
        <v>1831</v>
      </c>
      <c r="C109" s="1802" t="s">
        <v>145</v>
      </c>
      <c r="D109" s="1801" t="str">
        <f t="shared" si="6"/>
        <v>德意志銀行(紐約)/DB</v>
      </c>
      <c r="E109" s="1801" t="s">
        <v>4610</v>
      </c>
      <c r="F109" s="1801"/>
      <c r="G109" s="1801"/>
    </row>
    <row r="110" spans="1:24" s="1799" customFormat="1" ht="15.75" customHeight="1">
      <c r="A110" s="1799">
        <f t="shared" si="3"/>
        <v>165</v>
      </c>
      <c r="B110" s="1807" t="s">
        <v>1430</v>
      </c>
      <c r="C110" s="1808" t="s">
        <v>145</v>
      </c>
      <c r="D110" s="1804" t="str">
        <f t="shared" si="6"/>
        <v>德意志銀行公司(倫敦)/DB</v>
      </c>
      <c r="E110" s="1801" t="s">
        <v>4611</v>
      </c>
      <c r="F110" s="1801"/>
      <c r="G110" s="1801"/>
      <c r="H110" s="1803"/>
      <c r="I110" s="1803"/>
      <c r="J110" s="1803"/>
      <c r="K110" s="1803"/>
      <c r="L110" s="1803"/>
      <c r="M110" s="1803"/>
      <c r="N110" s="1803"/>
      <c r="O110" s="1803"/>
      <c r="P110" s="1803"/>
      <c r="Q110" s="1803"/>
      <c r="R110" s="1803"/>
      <c r="S110" s="1803"/>
      <c r="T110" s="1803"/>
      <c r="U110" s="1803"/>
    </row>
    <row r="111" spans="1:24" s="1799" customFormat="1" ht="15.75" customHeight="1">
      <c r="A111" s="1799">
        <f t="shared" si="3"/>
        <v>163</v>
      </c>
      <c r="B111" s="1807" t="s">
        <v>1431</v>
      </c>
      <c r="C111" s="1808" t="s">
        <v>145</v>
      </c>
      <c r="D111" s="1804" t="str">
        <f t="shared" si="6"/>
        <v>德意志銀行股份有限公司/紐約/DB</v>
      </c>
      <c r="E111" s="1801" t="s">
        <v>4612</v>
      </c>
      <c r="F111" s="1801"/>
      <c r="G111" s="1801"/>
    </row>
    <row r="112" spans="1:24" ht="15.75" customHeight="1">
      <c r="A112" s="1801">
        <f t="shared" si="3"/>
        <v>165</v>
      </c>
      <c r="B112" s="1801" t="s">
        <v>1871</v>
      </c>
      <c r="C112" s="1802" t="s">
        <v>236</v>
      </c>
      <c r="D112" s="1801" t="str">
        <f t="shared" si="6"/>
        <v>杜邦公司/DD</v>
      </c>
      <c r="E112" s="1801" t="s">
        <v>4613</v>
      </c>
      <c r="F112" s="1801"/>
      <c r="G112" s="1801"/>
      <c r="H112" s="1803"/>
      <c r="I112" s="1803"/>
      <c r="J112" s="1803"/>
      <c r="K112" s="1803"/>
      <c r="L112" s="1803"/>
      <c r="M112" s="1803"/>
      <c r="N112" s="1803"/>
      <c r="O112" s="1803"/>
      <c r="P112" s="1803"/>
      <c r="Q112" s="1803"/>
      <c r="R112" s="1803"/>
      <c r="S112" s="1803"/>
      <c r="T112" s="1803"/>
      <c r="U112" s="1803"/>
      <c r="V112" s="1799"/>
      <c r="W112" s="1799"/>
      <c r="X112" s="1799"/>
    </row>
    <row r="113" spans="1:24" ht="15.75" customHeight="1">
      <c r="A113" s="1799">
        <f t="shared" si="3"/>
        <v>165</v>
      </c>
      <c r="B113" s="1807" t="s">
        <v>1461</v>
      </c>
      <c r="C113" s="1808" t="s">
        <v>236</v>
      </c>
      <c r="D113" s="1804" t="str">
        <f t="shared" si="6"/>
        <v>新杜邦公司/DD</v>
      </c>
      <c r="E113" s="1803" t="s">
        <v>4613</v>
      </c>
      <c r="F113" s="1801"/>
      <c r="G113" s="1801"/>
      <c r="H113" s="1803"/>
      <c r="I113" s="1803"/>
      <c r="J113" s="1803"/>
      <c r="K113" s="1803"/>
      <c r="L113" s="1803"/>
      <c r="M113" s="1803"/>
      <c r="N113" s="1803"/>
      <c r="O113" s="1803"/>
      <c r="P113" s="1803"/>
      <c r="Q113" s="1803"/>
      <c r="R113" s="1803"/>
      <c r="S113" s="1803"/>
      <c r="T113" s="1803"/>
      <c r="U113" s="1803"/>
      <c r="V113" s="1799"/>
      <c r="W113" s="1799"/>
      <c r="X113" s="1799"/>
    </row>
    <row r="114" spans="1:24" ht="15.75" customHeight="1">
      <c r="A114" s="1801">
        <f t="shared" si="3"/>
        <v>165</v>
      </c>
      <c r="B114" s="1801" t="s">
        <v>1356</v>
      </c>
      <c r="C114" s="1802" t="s">
        <v>98</v>
      </c>
      <c r="D114" s="1801" t="str">
        <f t="shared" si="6"/>
        <v>華特迪士尼公司/DIS</v>
      </c>
      <c r="E114" s="1801" t="s">
        <v>4614</v>
      </c>
      <c r="F114" s="1801"/>
      <c r="G114" s="1801"/>
    </row>
    <row r="115" spans="1:24" ht="15.75" customHeight="1">
      <c r="A115" s="1801">
        <f t="shared" si="3"/>
        <v>172</v>
      </c>
      <c r="B115" s="1801" t="s">
        <v>1381</v>
      </c>
      <c r="C115" s="1802" t="s">
        <v>98</v>
      </c>
      <c r="D115" s="1801" t="str">
        <f t="shared" si="6"/>
        <v>TWDC企業18公司/DIS</v>
      </c>
      <c r="E115" s="1801" t="s">
        <v>4615</v>
      </c>
      <c r="F115" s="1801"/>
      <c r="G115" s="1801"/>
    </row>
    <row r="116" spans="1:24" ht="15.75" customHeight="1">
      <c r="A116" s="1801">
        <f t="shared" si="3"/>
        <v>167</v>
      </c>
      <c r="B116" s="1801" t="s">
        <v>1517</v>
      </c>
      <c r="C116" s="1802" t="s">
        <v>112</v>
      </c>
      <c r="D116" s="1801" t="str">
        <f t="shared" si="6"/>
        <v>Discovery傳播有限責任公司/DISCA</v>
      </c>
      <c r="E116" s="1801" t="s">
        <v>4616</v>
      </c>
      <c r="F116" s="1801"/>
      <c r="G116" s="1801"/>
    </row>
    <row r="117" spans="1:24" ht="15.75" customHeight="1">
      <c r="A117" s="1799">
        <f t="shared" si="3"/>
        <v>173</v>
      </c>
      <c r="B117" s="1799" t="s">
        <v>1486</v>
      </c>
      <c r="C117" s="1806" t="s">
        <v>112</v>
      </c>
      <c r="D117" s="1804" t="str">
        <f t="shared" si="6"/>
        <v>探索傳播有限責任公司/DISCA</v>
      </c>
      <c r="E117" s="1801" t="s">
        <v>4617</v>
      </c>
      <c r="F117" s="1801"/>
      <c r="G117" s="1801"/>
    </row>
    <row r="118" spans="1:24" ht="15.75" customHeight="1">
      <c r="A118" s="1799">
        <f t="shared" si="3"/>
        <v>134</v>
      </c>
      <c r="B118" s="1804" t="s">
        <v>1575</v>
      </c>
      <c r="C118" s="1805" t="s">
        <v>1576</v>
      </c>
      <c r="D118" s="1804" t="str">
        <f t="shared" si="6"/>
        <v>陶氏化學公司/DOW</v>
      </c>
      <c r="E118" s="1801" t="s">
        <v>4618</v>
      </c>
      <c r="F118" s="1801"/>
      <c r="G118" s="1801"/>
    </row>
    <row r="119" spans="1:24" ht="15.75" customHeight="1">
      <c r="A119" s="1799">
        <f t="shared" si="3"/>
        <v>171</v>
      </c>
      <c r="B119" s="1799" t="s">
        <v>2324</v>
      </c>
      <c r="C119" s="1806" t="s">
        <v>2325</v>
      </c>
      <c r="D119" s="1804" t="s">
        <v>2326</v>
      </c>
      <c r="E119" s="1804" t="s">
        <v>4619</v>
      </c>
      <c r="F119" s="1801"/>
      <c r="G119" s="1801"/>
    </row>
    <row r="120" spans="1:24" ht="15.75" customHeight="1">
      <c r="A120" s="1801">
        <f t="shared" si="3"/>
        <v>163</v>
      </c>
      <c r="B120" s="1801" t="s">
        <v>1484</v>
      </c>
      <c r="C120" s="1802" t="s">
        <v>251</v>
      </c>
      <c r="D120" s="1801" t="str">
        <f t="shared" ref="D120:D183" si="7">CONCATENATE(B120,"/",C120)</f>
        <v>美商藝電公司/EA</v>
      </c>
      <c r="E120" s="1801" t="s">
        <v>4620</v>
      </c>
      <c r="F120" s="1801"/>
      <c r="G120" s="1801"/>
    </row>
    <row r="121" spans="1:24" ht="15.75" customHeight="1">
      <c r="A121" s="1801">
        <f t="shared" si="3"/>
        <v>136</v>
      </c>
      <c r="B121" s="1801" t="s">
        <v>1880</v>
      </c>
      <c r="C121" s="1802" t="s">
        <v>193</v>
      </c>
      <c r="D121" s="1801" t="str">
        <f t="shared" si="7"/>
        <v>eBay公司/EBAY</v>
      </c>
      <c r="E121" s="1801" t="s">
        <v>4621</v>
      </c>
      <c r="F121" s="1801"/>
      <c r="G121" s="1801"/>
    </row>
    <row r="122" spans="1:24" ht="15.75" customHeight="1">
      <c r="A122" s="1799">
        <f t="shared" si="3"/>
        <v>139</v>
      </c>
      <c r="B122" s="1799" t="s">
        <v>1473</v>
      </c>
      <c r="C122" s="1806" t="s">
        <v>193</v>
      </c>
      <c r="D122" s="1804" t="str">
        <f t="shared" si="7"/>
        <v>電子灣拍賣網站公司/EBAY</v>
      </c>
      <c r="E122" s="1799" t="s">
        <v>4622</v>
      </c>
      <c r="F122" s="1801"/>
      <c r="G122" s="1801"/>
    </row>
    <row r="123" spans="1:24" ht="15.75" customHeight="1">
      <c r="A123" s="1799">
        <f t="shared" si="3"/>
        <v>124</v>
      </c>
      <c r="B123" s="1799" t="s">
        <v>1365</v>
      </c>
      <c r="C123" s="1806" t="s">
        <v>82</v>
      </c>
      <c r="D123" s="1804" t="str">
        <f t="shared" si="7"/>
        <v>Emirates NBD Bank PJSC/EBIUH</v>
      </c>
      <c r="E123" s="1799" t="s">
        <v>4623</v>
      </c>
      <c r="F123" s="1801"/>
      <c r="G123" s="1801"/>
    </row>
    <row r="124" spans="1:24" ht="15.75" customHeight="1">
      <c r="A124" s="1799">
        <f t="shared" si="3"/>
        <v>175</v>
      </c>
      <c r="B124" s="1799" t="s">
        <v>1439</v>
      </c>
      <c r="C124" s="1806" t="s">
        <v>85</v>
      </c>
      <c r="D124" s="1804" t="str">
        <f t="shared" si="7"/>
        <v>歐洲復興開發銀行/EBRD</v>
      </c>
      <c r="E124" s="1799" t="s">
        <v>4624</v>
      </c>
      <c r="F124" s="1801"/>
      <c r="G124" s="1801"/>
    </row>
    <row r="125" spans="1:24" ht="15.75" customHeight="1">
      <c r="A125" s="1801">
        <f t="shared" si="3"/>
        <v>126</v>
      </c>
      <c r="B125" s="1801" t="s">
        <v>1490</v>
      </c>
      <c r="C125" s="1802" t="s">
        <v>1911</v>
      </c>
      <c r="D125" s="1801" t="str">
        <f t="shared" si="7"/>
        <v>哥倫比亞國家石油公司/ECOPET</v>
      </c>
      <c r="E125" s="1801" t="s">
        <v>4625</v>
      </c>
      <c r="F125" s="1801"/>
      <c r="G125" s="1801"/>
    </row>
    <row r="126" spans="1:24" ht="15.75" customHeight="1">
      <c r="A126" s="1801">
        <f t="shared" si="3"/>
        <v>182</v>
      </c>
      <c r="B126" s="1801" t="s">
        <v>1483</v>
      </c>
      <c r="C126" s="1802" t="s">
        <v>250</v>
      </c>
      <c r="D126" s="1801" t="str">
        <f t="shared" si="7"/>
        <v>紐約聯合愛迪生公司/ED</v>
      </c>
      <c r="E126" s="1801" t="s">
        <v>4626</v>
      </c>
      <c r="F126" s="1801"/>
      <c r="G126" s="1801"/>
    </row>
    <row r="127" spans="1:24" ht="15.75" customHeight="1">
      <c r="A127" s="1801">
        <f t="shared" si="3"/>
        <v>176</v>
      </c>
      <c r="B127" s="1801" t="s">
        <v>1394</v>
      </c>
      <c r="C127" s="1802" t="s">
        <v>66</v>
      </c>
      <c r="D127" s="1801" t="str">
        <f t="shared" si="7"/>
        <v>法國電力公司/EDF</v>
      </c>
      <c r="E127" s="1801" t="s">
        <v>4627</v>
      </c>
      <c r="F127" s="1801"/>
      <c r="G127" s="1801"/>
    </row>
    <row r="128" spans="1:24" ht="15.75" customHeight="1">
      <c r="A128" s="1799">
        <f t="shared" si="3"/>
        <v>167</v>
      </c>
      <c r="B128" s="1816" t="s">
        <v>1677</v>
      </c>
      <c r="C128" s="1817" t="s">
        <v>1678</v>
      </c>
      <c r="D128" s="1804" t="str">
        <f t="shared" si="7"/>
        <v>埃及政府國際債券/EGYPT</v>
      </c>
      <c r="E128" s="1816" t="s">
        <v>4628</v>
      </c>
      <c r="F128" s="1801"/>
      <c r="G128" s="1801"/>
      <c r="H128" s="1812"/>
      <c r="I128" s="1812"/>
      <c r="J128" s="1812"/>
      <c r="K128" s="1813"/>
      <c r="L128" s="1813"/>
      <c r="M128" s="1813"/>
      <c r="N128" s="1813"/>
      <c r="O128" s="1813"/>
      <c r="P128" s="1813"/>
      <c r="Q128" s="1813"/>
      <c r="R128" s="1813"/>
      <c r="S128" s="1813"/>
      <c r="T128" s="1813"/>
      <c r="U128" s="1813"/>
    </row>
    <row r="129" spans="1:7" ht="15.75" customHeight="1">
      <c r="A129" s="1799">
        <f t="shared" si="3"/>
        <v>120</v>
      </c>
      <c r="B129" s="1799" t="s">
        <v>1623</v>
      </c>
      <c r="C129" s="1806" t="s">
        <v>1624</v>
      </c>
      <c r="D129" s="1804" t="str">
        <f t="shared" si="7"/>
        <v>韓國輸出入銀行/EIBKOR</v>
      </c>
      <c r="E129" s="1799" t="s">
        <v>4629</v>
      </c>
      <c r="F129" s="1801"/>
      <c r="G129" s="1801"/>
    </row>
    <row r="130" spans="1:7" ht="15.75" customHeight="1">
      <c r="A130" s="1799">
        <f t="shared" si="3"/>
        <v>134</v>
      </c>
      <c r="B130" s="1803" t="s">
        <v>1687</v>
      </c>
      <c r="C130" s="1810" t="s">
        <v>1688</v>
      </c>
      <c r="D130" s="1804" t="str">
        <f t="shared" si="7"/>
        <v>南加州愛迪生公司/EIX</v>
      </c>
      <c r="E130" s="1803" t="s">
        <v>4630</v>
      </c>
      <c r="F130" s="1801"/>
      <c r="G130" s="1801"/>
    </row>
    <row r="131" spans="1:7" ht="15.75" customHeight="1">
      <c r="A131" s="1799">
        <f t="shared" ref="A131:A194" si="8">LEN(E131)</f>
        <v>160</v>
      </c>
      <c r="B131" s="1819" t="s">
        <v>2223</v>
      </c>
      <c r="C131" s="1802" t="s">
        <v>2310</v>
      </c>
      <c r="D131" s="1801" t="str">
        <f t="shared" si="7"/>
        <v>雅詩蘭黛/EL</v>
      </c>
      <c r="E131" s="1819" t="s">
        <v>4631</v>
      </c>
      <c r="F131" s="1801"/>
      <c r="G131" s="1801"/>
    </row>
    <row r="132" spans="1:7" ht="15.75" customHeight="1">
      <c r="A132" s="1801">
        <f t="shared" si="8"/>
        <v>143</v>
      </c>
      <c r="B132" s="1801" t="s">
        <v>1873</v>
      </c>
      <c r="C132" s="1802" t="s">
        <v>238</v>
      </c>
      <c r="D132" s="1801" t="str">
        <f t="shared" si="7"/>
        <v>義大利國家電力金融公司/ENELIM</v>
      </c>
      <c r="E132" s="1801" t="s">
        <v>4632</v>
      </c>
      <c r="F132" s="1801"/>
      <c r="G132" s="1801"/>
    </row>
    <row r="133" spans="1:7" ht="15.75" customHeight="1">
      <c r="A133" s="1799">
        <f t="shared" si="8"/>
        <v>143</v>
      </c>
      <c r="B133" s="1807" t="s">
        <v>1465</v>
      </c>
      <c r="C133" s="1808" t="s">
        <v>238</v>
      </c>
      <c r="D133" s="1804" t="str">
        <f t="shared" si="7"/>
        <v>義大利國家電力金融國際公眾有/ENELIM</v>
      </c>
      <c r="E133" s="1803" t="s">
        <v>4633</v>
      </c>
      <c r="F133" s="1801"/>
      <c r="G133" s="1801"/>
    </row>
    <row r="134" spans="1:7" ht="15.75" customHeight="1">
      <c r="A134" s="1801">
        <f t="shared" si="8"/>
        <v>138</v>
      </c>
      <c r="B134" s="1801" t="s">
        <v>1377</v>
      </c>
      <c r="C134" s="1802" t="s">
        <v>1912</v>
      </c>
      <c r="D134" s="1801" t="str">
        <f t="shared" si="7"/>
        <v>挪威國家石油公司/EQNR</v>
      </c>
      <c r="E134" s="1801" t="s">
        <v>4634</v>
      </c>
      <c r="F134" s="1801"/>
      <c r="G134" s="1801"/>
    </row>
    <row r="135" spans="1:7" ht="15.75" customHeight="1">
      <c r="A135" s="1801">
        <f t="shared" si="8"/>
        <v>138</v>
      </c>
      <c r="B135" s="1801" t="s">
        <v>1471</v>
      </c>
      <c r="C135" s="1802" t="s">
        <v>182</v>
      </c>
      <c r="D135" s="1801" t="str">
        <f t="shared" si="7"/>
        <v>智遊網集團公司/EXPE</v>
      </c>
      <c r="E135" s="1801" t="s">
        <v>4635</v>
      </c>
      <c r="F135" s="1801"/>
      <c r="G135" s="1801"/>
    </row>
    <row r="136" spans="1:7" ht="15.75" customHeight="1">
      <c r="A136" s="1801">
        <f t="shared" si="8"/>
        <v>146</v>
      </c>
      <c r="B136" s="1801" t="s">
        <v>1453</v>
      </c>
      <c r="C136" s="1802" t="s">
        <v>143</v>
      </c>
      <c r="D136" s="1801" t="str">
        <f t="shared" si="7"/>
        <v>福特汽車公司/F</v>
      </c>
      <c r="E136" s="1801" t="s">
        <v>4636</v>
      </c>
      <c r="F136" s="1801"/>
      <c r="G136" s="1801"/>
    </row>
    <row r="137" spans="1:7" ht="15.75" customHeight="1">
      <c r="A137" s="1801">
        <f t="shared" si="8"/>
        <v>167</v>
      </c>
      <c r="B137" s="1801" t="s">
        <v>1913</v>
      </c>
      <c r="C137" s="1802" t="s">
        <v>143</v>
      </c>
      <c r="D137" s="1801" t="str">
        <f t="shared" si="7"/>
        <v>福特汽車信用有限責任公司 /F</v>
      </c>
      <c r="E137" s="1801" t="s">
        <v>4637</v>
      </c>
      <c r="F137" s="1801"/>
      <c r="G137" s="1801"/>
    </row>
    <row r="138" spans="1:7" ht="15.75" customHeight="1">
      <c r="A138" s="1799">
        <f t="shared" si="8"/>
        <v>167</v>
      </c>
      <c r="B138" s="1807" t="s">
        <v>1493</v>
      </c>
      <c r="C138" s="1808" t="s">
        <v>143</v>
      </c>
      <c r="D138" s="1804" t="str">
        <f t="shared" si="7"/>
        <v>福特汽車信用有限責任公司/F</v>
      </c>
      <c r="E138" s="1801" t="s">
        <v>4637</v>
      </c>
      <c r="F138" s="1801"/>
      <c r="G138" s="1801"/>
    </row>
    <row r="139" spans="1:7" ht="15.75" customHeight="1">
      <c r="A139" s="1799">
        <f t="shared" si="8"/>
        <v>141</v>
      </c>
      <c r="B139" s="1799" t="s">
        <v>1621</v>
      </c>
      <c r="C139" s="1806" t="s">
        <v>1622</v>
      </c>
      <c r="D139" s="1804" t="str">
        <f t="shared" si="7"/>
        <v>第一阿布達比銀行公司/FABUH</v>
      </c>
      <c r="E139" s="1799" t="s">
        <v>4638</v>
      </c>
      <c r="F139" s="1801"/>
      <c r="G139" s="1801"/>
    </row>
    <row r="140" spans="1:7" ht="15.75" customHeight="1">
      <c r="A140" s="1799">
        <f t="shared" si="8"/>
        <v>154</v>
      </c>
      <c r="B140" s="1799" t="s">
        <v>1625</v>
      </c>
      <c r="C140" s="1806" t="s">
        <v>1626</v>
      </c>
      <c r="D140" s="1804" t="str">
        <f t="shared" si="7"/>
        <v>恆天然合作社集團有限公司/FCGNZ</v>
      </c>
      <c r="E140" s="1799" t="s">
        <v>4639</v>
      </c>
      <c r="F140" s="1801"/>
      <c r="G140" s="1801"/>
    </row>
    <row r="141" spans="1:7" ht="15.75" customHeight="1">
      <c r="A141" s="1801">
        <f t="shared" si="8"/>
        <v>138</v>
      </c>
      <c r="B141" s="1801" t="s">
        <v>1488</v>
      </c>
      <c r="C141" s="1802" t="s">
        <v>148</v>
      </c>
      <c r="D141" s="1801" t="str">
        <f t="shared" si="7"/>
        <v>自由港麥克莫蘭銅金公司/FCX</v>
      </c>
      <c r="E141" s="1801" t="s">
        <v>4640</v>
      </c>
      <c r="F141" s="1801"/>
      <c r="G141" s="1801"/>
    </row>
    <row r="142" spans="1:7" ht="15" customHeight="1">
      <c r="A142" s="1801">
        <f t="shared" si="8"/>
        <v>165</v>
      </c>
      <c r="B142" s="1801" t="s">
        <v>1884</v>
      </c>
      <c r="C142" s="1802" t="s">
        <v>70</v>
      </c>
      <c r="D142" s="1801" t="str">
        <f t="shared" si="7"/>
        <v>聯邦快遞/FDX</v>
      </c>
      <c r="E142" s="1801" t="s">
        <v>4641</v>
      </c>
      <c r="F142" s="1801"/>
      <c r="G142" s="1801"/>
    </row>
    <row r="143" spans="1:7" ht="15.75" customHeight="1">
      <c r="A143" s="1799">
        <f t="shared" si="8"/>
        <v>167</v>
      </c>
      <c r="B143" s="1804" t="s">
        <v>1541</v>
      </c>
      <c r="C143" s="1805" t="s">
        <v>70</v>
      </c>
      <c r="D143" s="1804" t="str">
        <f t="shared" si="7"/>
        <v>聯邦快遞公司/FDX</v>
      </c>
      <c r="E143" s="1801" t="s">
        <v>4642</v>
      </c>
      <c r="F143" s="1801"/>
      <c r="G143" s="1801"/>
    </row>
    <row r="144" spans="1:7" ht="15.75" customHeight="1">
      <c r="A144" s="1801">
        <f t="shared" si="8"/>
        <v>138</v>
      </c>
      <c r="B144" s="1801" t="s">
        <v>1469</v>
      </c>
      <c r="C144" s="1802" t="s">
        <v>242</v>
      </c>
      <c r="D144" s="1801" t="str">
        <f t="shared" si="7"/>
        <v>Fibria海外金融有限公司/FIBRBZ</v>
      </c>
      <c r="E144" s="1801" t="s">
        <v>4643</v>
      </c>
      <c r="F144" s="1801"/>
      <c r="G144" s="1801"/>
    </row>
    <row r="145" spans="1:7" ht="15.75" customHeight="1">
      <c r="A145" s="1801">
        <f t="shared" si="8"/>
        <v>142</v>
      </c>
      <c r="B145" s="1801" t="s">
        <v>1834</v>
      </c>
      <c r="C145" s="1802" t="s">
        <v>44</v>
      </c>
      <c r="D145" s="1801" t="str">
        <f t="shared" si="7"/>
        <v>台塑集團投資(開曼)/FORCAY</v>
      </c>
      <c r="E145" s="1801" t="s">
        <v>4644</v>
      </c>
      <c r="F145" s="1801"/>
      <c r="G145" s="1801"/>
    </row>
    <row r="146" spans="1:7" ht="15.75" customHeight="1">
      <c r="A146" s="1799">
        <f t="shared" si="8"/>
        <v>142</v>
      </c>
      <c r="B146" s="1804" t="s">
        <v>1434</v>
      </c>
      <c r="C146" s="1805" t="s">
        <v>44</v>
      </c>
      <c r="D146" s="1804" t="str">
        <f t="shared" si="7"/>
        <v>Formosa Group Cayman Ltd/FORCAY</v>
      </c>
      <c r="E146" s="1801" t="s">
        <v>4644</v>
      </c>
      <c r="F146" s="1801"/>
      <c r="G146" s="1801"/>
    </row>
    <row r="147" spans="1:7" ht="15.75" customHeight="1">
      <c r="A147" s="1799">
        <f t="shared" si="8"/>
        <v>154</v>
      </c>
      <c r="B147" s="1816" t="s">
        <v>1671</v>
      </c>
      <c r="C147" s="1817" t="s">
        <v>1672</v>
      </c>
      <c r="D147" s="1804" t="str">
        <f t="shared" si="7"/>
        <v>遠東宏信/FRESHK</v>
      </c>
      <c r="E147" s="1816" t="s">
        <v>4645</v>
      </c>
      <c r="F147" s="1801"/>
      <c r="G147" s="1801"/>
    </row>
    <row r="148" spans="1:7" ht="15.75" customHeight="1">
      <c r="A148" s="1801">
        <f t="shared" si="8"/>
        <v>78</v>
      </c>
      <c r="B148" s="1801" t="s">
        <v>1857</v>
      </c>
      <c r="C148" s="1802" t="s">
        <v>144</v>
      </c>
      <c r="D148" s="1801" t="str">
        <f t="shared" si="7"/>
        <v>俄羅斯天然氣集團/GAZPRU</v>
      </c>
      <c r="E148" s="1801" t="s">
        <v>4646</v>
      </c>
      <c r="F148" s="1801"/>
      <c r="G148" s="1801"/>
    </row>
    <row r="149" spans="1:7" ht="15.75" customHeight="1">
      <c r="A149" s="1799">
        <f t="shared" si="8"/>
        <v>175</v>
      </c>
      <c r="B149" s="1804" t="s">
        <v>1452</v>
      </c>
      <c r="C149" s="1805" t="s">
        <v>144</v>
      </c>
      <c r="D149" s="1804" t="str">
        <f t="shared" si="7"/>
        <v>俄羅斯天然氣集團透過Gaz資本/GAZPRU</v>
      </c>
      <c r="E149" s="1799" t="s">
        <v>185</v>
      </c>
      <c r="F149" s="1801"/>
      <c r="G149" s="1801"/>
    </row>
    <row r="150" spans="1:7" ht="15.75" customHeight="1">
      <c r="A150" s="1799">
        <f t="shared" si="8"/>
        <v>171</v>
      </c>
      <c r="B150" s="1799" t="s">
        <v>1643</v>
      </c>
      <c r="C150" s="1806" t="s">
        <v>1644</v>
      </c>
      <c r="D150" s="1804" t="str">
        <f t="shared" si="7"/>
        <v>奇異公司/GE</v>
      </c>
      <c r="E150" s="1801" t="s">
        <v>4647</v>
      </c>
      <c r="F150" s="1801"/>
      <c r="G150" s="1801"/>
    </row>
    <row r="151" spans="1:7" ht="15.75" customHeight="1">
      <c r="A151" s="1801">
        <f t="shared" si="8"/>
        <v>135</v>
      </c>
      <c r="B151" s="1801" t="s">
        <v>1378</v>
      </c>
      <c r="C151" s="1802" t="s">
        <v>111</v>
      </c>
      <c r="D151" s="1801" t="str">
        <f t="shared" si="7"/>
        <v>吉利德科學公司/GILD</v>
      </c>
      <c r="E151" s="1801" t="s">
        <v>4648</v>
      </c>
      <c r="F151" s="1801"/>
      <c r="G151" s="1801"/>
    </row>
    <row r="152" spans="1:7" ht="15.75" customHeight="1">
      <c r="A152" s="1801">
        <f t="shared" si="8"/>
        <v>162</v>
      </c>
      <c r="B152" s="1801" t="s">
        <v>1914</v>
      </c>
      <c r="C152" s="1802" t="s">
        <v>71</v>
      </c>
      <c r="D152" s="1801" t="str">
        <f t="shared" si="7"/>
        <v>通用汽車公司 /GM</v>
      </c>
      <c r="E152" s="1799" t="s">
        <v>4649</v>
      </c>
      <c r="F152" s="1801"/>
      <c r="G152" s="1801"/>
    </row>
    <row r="153" spans="1:7" ht="15.75" customHeight="1">
      <c r="A153" s="1799">
        <f t="shared" si="8"/>
        <v>173</v>
      </c>
      <c r="B153" s="1801" t="s">
        <v>1673</v>
      </c>
      <c r="C153" s="1802" t="s">
        <v>71</v>
      </c>
      <c r="D153" s="1804" t="str">
        <f t="shared" si="7"/>
        <v>通用汽車金融(加拿大)有限公司/GM</v>
      </c>
      <c r="E153" s="1799" t="s">
        <v>4650</v>
      </c>
      <c r="F153" s="1801"/>
      <c r="G153" s="1801"/>
    </row>
    <row r="154" spans="1:7" ht="15.75" customHeight="1">
      <c r="A154" s="1801">
        <f t="shared" si="8"/>
        <v>140</v>
      </c>
      <c r="B154" s="1801" t="s">
        <v>1445</v>
      </c>
      <c r="C154" s="1802" t="s">
        <v>186</v>
      </c>
      <c r="D154" s="1801" t="str">
        <f t="shared" si="7"/>
        <v>Alphabet公司/GOOGL</v>
      </c>
      <c r="E154" s="1801" t="s">
        <v>4651</v>
      </c>
      <c r="F154" s="1801"/>
      <c r="G154" s="1801"/>
    </row>
    <row r="155" spans="1:7" ht="15.75" customHeight="1">
      <c r="A155" s="1801">
        <f t="shared" si="8"/>
        <v>129</v>
      </c>
      <c r="B155" s="1801" t="s">
        <v>1396</v>
      </c>
      <c r="C155" s="1802" t="s">
        <v>52</v>
      </c>
      <c r="D155" s="1801" t="str">
        <f t="shared" si="7"/>
        <v>高盛集團/GS</v>
      </c>
      <c r="E155" s="1801" t="s">
        <v>4652</v>
      </c>
      <c r="F155" s="1801"/>
      <c r="G155" s="1801"/>
    </row>
    <row r="156" spans="1:7" ht="15.75" customHeight="1">
      <c r="A156" s="1801">
        <f t="shared" si="8"/>
        <v>135</v>
      </c>
      <c r="B156" s="1801" t="s">
        <v>1862</v>
      </c>
      <c r="C156" s="1802" t="s">
        <v>52</v>
      </c>
      <c r="D156" s="1801" t="str">
        <f t="shared" si="7"/>
        <v>高盛集團股份有限公司/GS</v>
      </c>
      <c r="E156" s="1801" t="s">
        <v>4653</v>
      </c>
      <c r="F156" s="1801"/>
      <c r="G156" s="1801"/>
    </row>
    <row r="157" spans="1:7" ht="15.75" customHeight="1">
      <c r="A157" s="1801">
        <f t="shared" si="8"/>
        <v>129</v>
      </c>
      <c r="B157" s="1814" t="s">
        <v>1915</v>
      </c>
      <c r="C157" s="1815" t="s">
        <v>52</v>
      </c>
      <c r="D157" s="1801" t="str">
        <f t="shared" si="7"/>
        <v>高盛證券/GS</v>
      </c>
      <c r="E157" s="1801" t="s">
        <v>4652</v>
      </c>
      <c r="F157" s="1801"/>
      <c r="G157" s="1801"/>
    </row>
    <row r="158" spans="1:7" ht="15.75" customHeight="1">
      <c r="A158" s="1799">
        <f t="shared" si="8"/>
        <v>166</v>
      </c>
      <c r="B158" s="1799" t="s">
        <v>1656</v>
      </c>
      <c r="C158" s="1806" t="s">
        <v>1657</v>
      </c>
      <c r="D158" s="1804" t="str">
        <f t="shared" si="7"/>
        <v>葛蘭素史克/GSK</v>
      </c>
      <c r="E158" s="1801" t="s">
        <v>4654</v>
      </c>
      <c r="F158" s="1801"/>
      <c r="G158" s="1801"/>
    </row>
    <row r="159" spans="1:7" ht="15.75" customHeight="1">
      <c r="A159" s="1801">
        <f t="shared" si="8"/>
        <v>158</v>
      </c>
      <c r="B159" s="1801" t="s">
        <v>1861</v>
      </c>
      <c r="C159" s="1802" t="s">
        <v>229</v>
      </c>
      <c r="D159" s="1801" t="str">
        <f t="shared" si="7"/>
        <v>固特異輪胎橡膠公司/GT</v>
      </c>
      <c r="E159" s="1801" t="s">
        <v>4655</v>
      </c>
      <c r="F159" s="1801"/>
      <c r="G159" s="1801"/>
    </row>
    <row r="160" spans="1:7" ht="15.75" customHeight="1">
      <c r="A160" s="1801">
        <f t="shared" si="8"/>
        <v>153</v>
      </c>
      <c r="B160" s="1801" t="s">
        <v>1916</v>
      </c>
      <c r="C160" s="1802" t="s">
        <v>229</v>
      </c>
      <c r="D160" s="1801" t="str">
        <f t="shared" si="7"/>
        <v>固特異 /GT</v>
      </c>
      <c r="E160" s="1801" t="s">
        <v>4656</v>
      </c>
      <c r="F160" s="1801"/>
      <c r="G160" s="1801"/>
    </row>
    <row r="161" spans="1:7" ht="15.75" customHeight="1">
      <c r="A161" s="1799">
        <f t="shared" si="8"/>
        <v>156</v>
      </c>
      <c r="B161" s="1809" t="s">
        <v>1455</v>
      </c>
      <c r="C161" s="1802" t="s">
        <v>229</v>
      </c>
      <c r="D161" s="1804" t="str">
        <f t="shared" si="7"/>
        <v>固特異輪胎公司/GT</v>
      </c>
      <c r="E161" s="1801" t="s">
        <v>4657</v>
      </c>
      <c r="F161" s="1801"/>
      <c r="G161" s="1801"/>
    </row>
    <row r="162" spans="1:7" ht="15.75" customHeight="1">
      <c r="A162" s="1801">
        <f t="shared" si="8"/>
        <v>125</v>
      </c>
      <c r="B162" s="1801" t="s">
        <v>1467</v>
      </c>
      <c r="C162" s="1802" t="s">
        <v>240</v>
      </c>
      <c r="D162" s="1801" t="str">
        <f t="shared" si="7"/>
        <v>哈里伯頓公司/HAL</v>
      </c>
      <c r="E162" s="1801" t="s">
        <v>4658</v>
      </c>
      <c r="F162" s="1801"/>
      <c r="G162" s="1801"/>
    </row>
    <row r="163" spans="1:7" ht="15.75" customHeight="1">
      <c r="A163" s="1801">
        <f t="shared" si="8"/>
        <v>166</v>
      </c>
      <c r="B163" s="1801" t="s">
        <v>1470</v>
      </c>
      <c r="C163" s="1802" t="s">
        <v>243</v>
      </c>
      <c r="D163" s="1801" t="str">
        <f t="shared" si="7"/>
        <v>孩之寶公司/HAS</v>
      </c>
      <c r="E163" s="1801" t="s">
        <v>4659</v>
      </c>
      <c r="F163" s="1801"/>
      <c r="G163" s="1801"/>
    </row>
    <row r="164" spans="1:7" ht="15.75" customHeight="1">
      <c r="A164" s="1801">
        <f t="shared" si="8"/>
        <v>178</v>
      </c>
      <c r="B164" s="1801" t="s">
        <v>1460</v>
      </c>
      <c r="C164" s="1802" t="s">
        <v>149</v>
      </c>
      <c r="D164" s="1801" t="str">
        <f t="shared" si="7"/>
        <v>美國醫院公司/HCA</v>
      </c>
      <c r="E164" s="1801" t="s">
        <v>4660</v>
      </c>
      <c r="F164" s="1801"/>
      <c r="G164" s="1801"/>
    </row>
    <row r="165" spans="1:7" ht="15.75" customHeight="1">
      <c r="A165" s="1801">
        <f t="shared" si="8"/>
        <v>171</v>
      </c>
      <c r="B165" s="1801" t="s">
        <v>2376</v>
      </c>
      <c r="C165" s="1802" t="s">
        <v>1917</v>
      </c>
      <c r="D165" s="1801" t="str">
        <f t="shared" si="7"/>
        <v>家得寶公司/HD</v>
      </c>
      <c r="E165" s="1799" t="s">
        <v>4661</v>
      </c>
      <c r="F165" s="1801"/>
      <c r="G165" s="1801"/>
    </row>
    <row r="166" spans="1:7" ht="15.75" customHeight="1">
      <c r="A166" s="1801">
        <f t="shared" si="8"/>
        <v>171</v>
      </c>
      <c r="B166" s="1814" t="s">
        <v>2377</v>
      </c>
      <c r="C166" s="1815" t="s">
        <v>110</v>
      </c>
      <c r="D166" s="1801" t="str">
        <f t="shared" si="7"/>
        <v>家得寶公司 /HD</v>
      </c>
      <c r="E166" s="1799" t="s">
        <v>4661</v>
      </c>
      <c r="F166" s="1801"/>
      <c r="G166" s="1801"/>
    </row>
    <row r="167" spans="1:7" ht="15.75" customHeight="1">
      <c r="A167" s="1799">
        <f t="shared" si="8"/>
        <v>177</v>
      </c>
      <c r="B167" s="1799" t="s">
        <v>1660</v>
      </c>
      <c r="C167" s="1806" t="s">
        <v>1661</v>
      </c>
      <c r="D167" s="1804" t="str">
        <f t="shared" si="7"/>
        <v>哈雷公司/HOG</v>
      </c>
      <c r="E167" s="1799" t="s">
        <v>4662</v>
      </c>
      <c r="F167" s="1801"/>
      <c r="G167" s="1801"/>
    </row>
    <row r="168" spans="1:7" ht="15.75" customHeight="1">
      <c r="A168" s="1799">
        <f t="shared" si="8"/>
        <v>177</v>
      </c>
      <c r="B168" s="1807" t="s">
        <v>1662</v>
      </c>
      <c r="C168" s="1808" t="s">
        <v>1661</v>
      </c>
      <c r="D168" s="1804" t="str">
        <f t="shared" si="7"/>
        <v>哈雷戴維森公司/HOG</v>
      </c>
      <c r="E168" s="1799" t="s">
        <v>4663</v>
      </c>
      <c r="F168" s="1801"/>
      <c r="G168" s="1801"/>
    </row>
    <row r="169" spans="1:7" ht="15.75" customHeight="1">
      <c r="A169" s="1801">
        <f t="shared" si="8"/>
        <v>167</v>
      </c>
      <c r="B169" s="1801" t="s">
        <v>1510</v>
      </c>
      <c r="C169" s="1802" t="s">
        <v>1257</v>
      </c>
      <c r="D169" s="1801" t="str">
        <f t="shared" si="7"/>
        <v>漢威聯合國際公司/HON</v>
      </c>
      <c r="E169" s="1801" t="s">
        <v>4664</v>
      </c>
      <c r="F169" s="1801"/>
      <c r="G169" s="1801"/>
    </row>
    <row r="170" spans="1:7" ht="15.75" customHeight="1">
      <c r="A170" s="1801">
        <f t="shared" si="8"/>
        <v>148</v>
      </c>
      <c r="B170" s="1801" t="s">
        <v>1847</v>
      </c>
      <c r="C170" s="1802" t="s">
        <v>102</v>
      </c>
      <c r="D170" s="1801" t="str">
        <f t="shared" si="7"/>
        <v>富士康/HONHAI</v>
      </c>
      <c r="E170" s="1821" t="s">
        <v>4665</v>
      </c>
      <c r="F170" s="1801"/>
      <c r="G170" s="1801"/>
    </row>
    <row r="171" spans="1:7" ht="15.75" customHeight="1">
      <c r="A171" s="1801">
        <f t="shared" si="8"/>
        <v>178</v>
      </c>
      <c r="B171" s="1801" t="s">
        <v>1867</v>
      </c>
      <c r="C171" s="1802" t="s">
        <v>102</v>
      </c>
      <c r="D171" s="1801" t="str">
        <f t="shared" si="7"/>
        <v>鴻海子公司/HONHAI</v>
      </c>
      <c r="E171" s="1821" t="s">
        <v>4666</v>
      </c>
      <c r="F171" s="1801"/>
      <c r="G171" s="1801"/>
    </row>
    <row r="172" spans="1:7" ht="15.75" customHeight="1">
      <c r="A172" s="1801">
        <f t="shared" si="8"/>
        <v>148</v>
      </c>
      <c r="B172" s="1801" t="s">
        <v>1353</v>
      </c>
      <c r="C172" s="1802" t="s">
        <v>102</v>
      </c>
      <c r="D172" s="1801" t="str">
        <f t="shared" si="7"/>
        <v>富士康遠東有限公司/HONHAI</v>
      </c>
      <c r="E172" s="1801" t="s">
        <v>4667</v>
      </c>
      <c r="F172" s="1801"/>
      <c r="G172" s="1801"/>
    </row>
    <row r="173" spans="1:7" ht="15.75" customHeight="1">
      <c r="A173" s="1799">
        <f t="shared" si="8"/>
        <v>173</v>
      </c>
      <c r="B173" s="1807" t="s">
        <v>1459</v>
      </c>
      <c r="C173" s="1808" t="s">
        <v>102</v>
      </c>
      <c r="D173" s="1804" t="str">
        <f t="shared" si="7"/>
        <v>競賽隊伍科技有限公司/HONHAI</v>
      </c>
      <c r="E173" s="1801" t="s">
        <v>4668</v>
      </c>
      <c r="F173" s="1801"/>
      <c r="G173" s="1801"/>
    </row>
    <row r="174" spans="1:7" ht="15.75" customHeight="1">
      <c r="A174" s="1801">
        <f t="shared" si="8"/>
        <v>141</v>
      </c>
      <c r="B174" s="1801" t="s">
        <v>1844</v>
      </c>
      <c r="C174" s="1802" t="s">
        <v>51</v>
      </c>
      <c r="D174" s="1801" t="str">
        <f t="shared" si="7"/>
        <v>惠普企業公司 /HPE</v>
      </c>
      <c r="E174" s="1821" t="s">
        <v>4669</v>
      </c>
      <c r="F174" s="1801"/>
      <c r="G174" s="1801"/>
    </row>
    <row r="175" spans="1:7" ht="15.75" customHeight="1">
      <c r="A175" s="1799">
        <f t="shared" si="8"/>
        <v>141</v>
      </c>
      <c r="B175" s="1804" t="s">
        <v>1395</v>
      </c>
      <c r="C175" s="1805" t="s">
        <v>51</v>
      </c>
      <c r="D175" s="1804" t="str">
        <f t="shared" si="7"/>
        <v>慧與/HPE</v>
      </c>
      <c r="E175" s="1821" t="s">
        <v>4669</v>
      </c>
      <c r="F175" s="1801"/>
      <c r="G175" s="1801"/>
    </row>
    <row r="176" spans="1:7" ht="15.75" customHeight="1">
      <c r="A176" s="1801">
        <f t="shared" si="8"/>
        <v>151</v>
      </c>
      <c r="B176" s="1801" t="s">
        <v>1417</v>
      </c>
      <c r="C176" s="1802" t="s">
        <v>142</v>
      </c>
      <c r="D176" s="1801" t="str">
        <f t="shared" si="7"/>
        <v>惠普公司/HPQ</v>
      </c>
      <c r="E176" s="1821" t="s">
        <v>4670</v>
      </c>
      <c r="F176" s="1801"/>
      <c r="G176" s="1801"/>
    </row>
    <row r="177" spans="1:7" ht="15.75" customHeight="1">
      <c r="A177" s="1799">
        <f t="shared" si="8"/>
        <v>149</v>
      </c>
      <c r="B177" s="1799" t="s">
        <v>1642</v>
      </c>
      <c r="C177" s="1806" t="s">
        <v>142</v>
      </c>
      <c r="D177" s="1804" t="str">
        <f t="shared" si="7"/>
        <v>惠普/HPQ</v>
      </c>
      <c r="E177" s="1821" t="s">
        <v>4671</v>
      </c>
      <c r="F177" s="1801"/>
      <c r="G177" s="1801"/>
    </row>
    <row r="178" spans="1:7" ht="15.75" customHeight="1">
      <c r="A178" s="1801">
        <f t="shared" si="8"/>
        <v>155</v>
      </c>
      <c r="B178" s="1801" t="s">
        <v>1859</v>
      </c>
      <c r="C178" s="1802" t="s">
        <v>45</v>
      </c>
      <c r="D178" s="1801" t="str">
        <f t="shared" si="7"/>
        <v>匯豐控股有限公司/HSBC</v>
      </c>
      <c r="E178" s="1821" t="s">
        <v>4672</v>
      </c>
      <c r="F178" s="1801"/>
      <c r="G178" s="1801"/>
    </row>
    <row r="179" spans="1:7" ht="15.75" customHeight="1">
      <c r="A179" s="1801">
        <f t="shared" si="8"/>
        <v>153</v>
      </c>
      <c r="B179" s="1801" t="s">
        <v>1918</v>
      </c>
      <c r="C179" s="1802" t="s">
        <v>45</v>
      </c>
      <c r="D179" s="1801" t="str">
        <f t="shared" si="7"/>
        <v>匯豐控股公司 /HSBC</v>
      </c>
      <c r="E179" s="1821" t="s">
        <v>4673</v>
      </c>
      <c r="F179" s="1801"/>
      <c r="G179" s="1801"/>
    </row>
    <row r="180" spans="1:7" ht="15.75" customHeight="1">
      <c r="A180" s="1799">
        <f t="shared" si="8"/>
        <v>155</v>
      </c>
      <c r="B180" s="1804" t="s">
        <v>1407</v>
      </c>
      <c r="C180" s="1805" t="s">
        <v>45</v>
      </c>
      <c r="D180" s="1804" t="str">
        <f t="shared" si="7"/>
        <v>匯豐控股/HSBC</v>
      </c>
      <c r="E180" s="1799" t="s">
        <v>4672</v>
      </c>
      <c r="F180" s="1801"/>
      <c r="G180" s="1801"/>
    </row>
    <row r="181" spans="1:7" ht="15.75" customHeight="1">
      <c r="A181" s="1801">
        <f t="shared" si="8"/>
        <v>166</v>
      </c>
      <c r="B181" s="1801" t="s">
        <v>1899</v>
      </c>
      <c r="C181" s="1802" t="s">
        <v>263</v>
      </c>
      <c r="D181" s="1801" t="str">
        <f t="shared" si="7"/>
        <v>國際商業機器公司/IBM</v>
      </c>
      <c r="E181" s="1801" t="s">
        <v>4674</v>
      </c>
      <c r="F181" s="1801"/>
      <c r="G181" s="1801"/>
    </row>
    <row r="182" spans="1:7" ht="15.75" customHeight="1">
      <c r="A182" s="1799">
        <f t="shared" si="8"/>
        <v>166</v>
      </c>
      <c r="B182" s="1799" t="s">
        <v>1503</v>
      </c>
      <c r="C182" s="1806" t="s">
        <v>154</v>
      </c>
      <c r="D182" s="1804" t="str">
        <f t="shared" si="7"/>
        <v>國際商業機器/IBM</v>
      </c>
      <c r="E182" s="1801" t="s">
        <v>4674</v>
      </c>
      <c r="F182" s="1801"/>
      <c r="G182" s="1801"/>
    </row>
    <row r="183" spans="1:7" ht="15.75" customHeight="1">
      <c r="A183" s="1799">
        <f t="shared" si="8"/>
        <v>159</v>
      </c>
      <c r="B183" s="1799" t="s">
        <v>1443</v>
      </c>
      <c r="C183" s="1806" t="s">
        <v>84</v>
      </c>
      <c r="D183" s="1804" t="str">
        <f t="shared" si="7"/>
        <v>國際復興開發銀行/IBRD</v>
      </c>
      <c r="E183" s="1799" t="s">
        <v>4675</v>
      </c>
      <c r="F183" s="1801"/>
      <c r="G183" s="1801"/>
    </row>
    <row r="184" spans="1:7" ht="15.75" customHeight="1">
      <c r="A184" s="1801">
        <f t="shared" si="8"/>
        <v>162</v>
      </c>
      <c r="B184" s="1801" t="s">
        <v>1499</v>
      </c>
      <c r="C184" s="1802" t="s">
        <v>259</v>
      </c>
      <c r="D184" s="1801" t="str">
        <f t="shared" ref="D184:D215" si="9">CONCATENATE(B184,"/",C184)</f>
        <v>印多福公司/ICBPIJ</v>
      </c>
      <c r="E184" s="1801" t="s">
        <v>4676</v>
      </c>
      <c r="F184" s="1801"/>
      <c r="G184" s="1801"/>
    </row>
    <row r="185" spans="1:7" ht="15.75" customHeight="1">
      <c r="A185" s="1799">
        <f t="shared" si="8"/>
        <v>175</v>
      </c>
      <c r="B185" s="1803" t="s">
        <v>1694</v>
      </c>
      <c r="C185" s="1810" t="s">
        <v>1695</v>
      </c>
      <c r="D185" s="1804" t="str">
        <f t="shared" si="9"/>
        <v>洲際交易所/ICE</v>
      </c>
      <c r="E185" s="1803" t="s">
        <v>4677</v>
      </c>
      <c r="F185" s="1801"/>
      <c r="G185" s="1801"/>
    </row>
    <row r="186" spans="1:7" ht="15.75" customHeight="1">
      <c r="A186" s="1799">
        <f t="shared" si="8"/>
        <v>160</v>
      </c>
      <c r="B186" s="1804" t="s">
        <v>1531</v>
      </c>
      <c r="C186" s="1805" t="s">
        <v>1532</v>
      </c>
      <c r="D186" s="1804" t="str">
        <f t="shared" si="9"/>
        <v>印度工業信貸投資銀行有限公司/ICICI</v>
      </c>
      <c r="E186" s="1822" t="s">
        <v>4678</v>
      </c>
      <c r="F186" s="1801"/>
      <c r="G186" s="1801"/>
    </row>
    <row r="187" spans="1:7" ht="15.75" customHeight="1">
      <c r="A187" s="1799">
        <f t="shared" si="8"/>
        <v>149</v>
      </c>
      <c r="B187" s="1804" t="s">
        <v>1577</v>
      </c>
      <c r="C187" s="1805" t="s">
        <v>1578</v>
      </c>
      <c r="D187" s="1804" t="str">
        <f t="shared" si="9"/>
        <v>印尼Asahan 鋁業(Persero)/IDASAL</v>
      </c>
      <c r="E187" s="1799" t="s">
        <v>4679</v>
      </c>
      <c r="F187" s="1801"/>
      <c r="G187" s="1801"/>
    </row>
    <row r="188" spans="1:7" ht="15.75" customHeight="1">
      <c r="A188" s="1801">
        <f t="shared" si="8"/>
        <v>156</v>
      </c>
      <c r="B188" s="1801" t="s">
        <v>1850</v>
      </c>
      <c r="C188" s="1802" t="s">
        <v>141</v>
      </c>
      <c r="D188" s="1801" t="str">
        <f t="shared" si="9"/>
        <v>印尼政府/INDON</v>
      </c>
      <c r="E188" s="1821" t="s">
        <v>4680</v>
      </c>
      <c r="F188" s="1801"/>
      <c r="G188" s="1801"/>
    </row>
    <row r="189" spans="1:7" ht="15.75" customHeight="1">
      <c r="A189" s="1799">
        <f t="shared" si="8"/>
        <v>156</v>
      </c>
      <c r="B189" s="1804" t="s">
        <v>1398</v>
      </c>
      <c r="C189" s="1805" t="s">
        <v>141</v>
      </c>
      <c r="D189" s="1804" t="str">
        <f t="shared" si="9"/>
        <v>印尼政府國際債券/INDON</v>
      </c>
      <c r="E189" s="1799" t="s">
        <v>4680</v>
      </c>
      <c r="F189" s="1801"/>
      <c r="G189" s="1801"/>
    </row>
    <row r="190" spans="1:7" ht="15.75" customHeight="1">
      <c r="A190" s="1801">
        <f t="shared" si="8"/>
        <v>152</v>
      </c>
      <c r="B190" s="1801" t="s">
        <v>1849</v>
      </c>
      <c r="C190" s="1802" t="s">
        <v>54</v>
      </c>
      <c r="D190" s="1801" t="str">
        <f t="shared" si="9"/>
        <v>英特爾公司/INTC</v>
      </c>
      <c r="E190" s="1821" t="s">
        <v>4681</v>
      </c>
      <c r="F190" s="1801"/>
      <c r="G190" s="1801"/>
    </row>
    <row r="191" spans="1:7" ht="15.75" customHeight="1">
      <c r="A191" s="1799">
        <f t="shared" si="8"/>
        <v>152</v>
      </c>
      <c r="B191" s="1799" t="s">
        <v>1358</v>
      </c>
      <c r="C191" s="1806" t="s">
        <v>54</v>
      </c>
      <c r="D191" s="1804" t="str">
        <f t="shared" si="9"/>
        <v>英特爾/INTC</v>
      </c>
      <c r="E191" s="1821" t="s">
        <v>4681</v>
      </c>
      <c r="F191" s="1801"/>
      <c r="G191" s="1801"/>
    </row>
    <row r="192" spans="1:7" ht="15.75" customHeight="1">
      <c r="A192" s="1801">
        <f t="shared" si="8"/>
        <v>88</v>
      </c>
      <c r="B192" s="1801" t="s">
        <v>1830</v>
      </c>
      <c r="C192" s="1802" t="s">
        <v>231</v>
      </c>
      <c r="D192" s="1801" t="str">
        <f t="shared" si="9"/>
        <v>荷蘭商安智銀行/INTNED</v>
      </c>
      <c r="E192" s="1821" t="s">
        <v>4682</v>
      </c>
      <c r="F192" s="1801"/>
      <c r="G192" s="1801"/>
    </row>
    <row r="193" spans="1:24" ht="15.75" customHeight="1">
      <c r="A193" s="1799">
        <f t="shared" si="8"/>
        <v>88</v>
      </c>
      <c r="B193" s="1807" t="s">
        <v>1429</v>
      </c>
      <c r="C193" s="1808" t="s">
        <v>231</v>
      </c>
      <c r="D193" s="1804" t="str">
        <f t="shared" si="9"/>
        <v>安智銀行公眾有限公司/INTNED</v>
      </c>
      <c r="E193" s="1821" t="s">
        <v>4682</v>
      </c>
      <c r="F193" s="1801"/>
      <c r="G193" s="1801"/>
    </row>
    <row r="194" spans="1:24" ht="15.75" customHeight="1">
      <c r="A194" s="1799">
        <f t="shared" si="8"/>
        <v>135</v>
      </c>
      <c r="B194" s="1799" t="s">
        <v>1638</v>
      </c>
      <c r="C194" s="1806" t="s">
        <v>1639</v>
      </c>
      <c r="D194" s="1804" t="str">
        <f t="shared" si="9"/>
        <v>印度石油公司/IOCLIN</v>
      </c>
      <c r="E194" s="1799" t="s">
        <v>4683</v>
      </c>
      <c r="F194" s="1801"/>
      <c r="G194" s="1801"/>
    </row>
    <row r="195" spans="1:24" ht="15.75" customHeight="1">
      <c r="A195" s="1799">
        <f t="shared" ref="A195:A258" si="10">LEN(E195)</f>
        <v>149</v>
      </c>
      <c r="B195" s="1804" t="s">
        <v>1542</v>
      </c>
      <c r="C195" s="1805" t="s">
        <v>1543</v>
      </c>
      <c r="D195" s="1804" t="str">
        <f t="shared" si="9"/>
        <v>以色列政府國際債券/ISRAEL</v>
      </c>
      <c r="E195" s="1799" t="s">
        <v>4684</v>
      </c>
      <c r="F195" s="1801"/>
      <c r="G195" s="1801"/>
    </row>
    <row r="196" spans="1:24" s="1813" customFormat="1" ht="14.5">
      <c r="A196" s="1801">
        <f t="shared" si="10"/>
        <v>167</v>
      </c>
      <c r="B196" s="1801" t="s">
        <v>1370</v>
      </c>
      <c r="C196" s="1802" t="s">
        <v>96</v>
      </c>
      <c r="D196" s="1801" t="str">
        <f t="shared" si="9"/>
        <v>嬌生公司/JNJ</v>
      </c>
      <c r="E196" s="1801" t="s">
        <v>4685</v>
      </c>
      <c r="F196" s="1801"/>
      <c r="G196" s="1801"/>
      <c r="H196" s="1800"/>
      <c r="I196" s="1800"/>
      <c r="J196" s="1800"/>
      <c r="K196" s="1800"/>
      <c r="L196" s="1800"/>
      <c r="M196" s="1800"/>
      <c r="N196" s="1800"/>
      <c r="O196" s="1800"/>
      <c r="P196" s="1800"/>
      <c r="Q196" s="1800"/>
      <c r="R196" s="1800"/>
      <c r="S196" s="1800"/>
      <c r="T196" s="1800"/>
      <c r="U196" s="1800"/>
      <c r="V196" s="1800"/>
      <c r="W196" s="1800"/>
      <c r="X196" s="1800"/>
    </row>
    <row r="197" spans="1:24" s="1813" customFormat="1" ht="14.5">
      <c r="A197" s="1801">
        <f t="shared" si="10"/>
        <v>124</v>
      </c>
      <c r="B197" s="1801" t="s">
        <v>1408</v>
      </c>
      <c r="C197" s="1802" t="s">
        <v>58</v>
      </c>
      <c r="D197" s="1801" t="str">
        <f t="shared" si="9"/>
        <v>摩根大通銀行/JPM</v>
      </c>
      <c r="E197" s="1801" t="s">
        <v>1919</v>
      </c>
      <c r="F197" s="1801"/>
      <c r="G197" s="1801"/>
      <c r="H197" s="1800"/>
      <c r="I197" s="1800"/>
      <c r="J197" s="1800"/>
      <c r="K197" s="1800"/>
      <c r="L197" s="1800"/>
      <c r="M197" s="1800"/>
      <c r="N197" s="1800"/>
      <c r="O197" s="1800"/>
      <c r="P197" s="1800"/>
      <c r="Q197" s="1800"/>
      <c r="R197" s="1800"/>
      <c r="S197" s="1800"/>
      <c r="T197" s="1800"/>
      <c r="U197" s="1800"/>
      <c r="V197" s="1800"/>
      <c r="W197" s="1800"/>
      <c r="X197" s="1800"/>
    </row>
    <row r="198" spans="1:24" s="1813" customFormat="1" ht="14.5">
      <c r="A198" s="1801">
        <f t="shared" si="10"/>
        <v>124</v>
      </c>
      <c r="B198" s="1801" t="s">
        <v>1890</v>
      </c>
      <c r="C198" s="1802" t="s">
        <v>58</v>
      </c>
      <c r="D198" s="1801" t="str">
        <f t="shared" si="9"/>
        <v>摩根大通銀行 /JPM</v>
      </c>
      <c r="E198" s="1801" t="s">
        <v>76</v>
      </c>
      <c r="F198" s="1801"/>
      <c r="G198" s="1801"/>
      <c r="H198" s="1800"/>
      <c r="I198" s="1800"/>
      <c r="J198" s="1800"/>
      <c r="K198" s="1800"/>
      <c r="L198" s="1800"/>
      <c r="M198" s="1800"/>
      <c r="N198" s="1800"/>
      <c r="O198" s="1800"/>
      <c r="P198" s="1800"/>
      <c r="Q198" s="1800"/>
      <c r="R198" s="1800"/>
      <c r="S198" s="1800"/>
      <c r="T198" s="1800"/>
      <c r="U198" s="1800"/>
    </row>
    <row r="199" spans="1:24" s="1823" customFormat="1" ht="14.5">
      <c r="A199" s="1801">
        <f t="shared" si="10"/>
        <v>139</v>
      </c>
      <c r="B199" s="1801" t="s">
        <v>1879</v>
      </c>
      <c r="C199" s="1802" t="s">
        <v>244</v>
      </c>
      <c r="D199" s="1801" t="str">
        <f t="shared" si="9"/>
        <v>諾德斯特隆公司/JWN</v>
      </c>
      <c r="E199" s="1801" t="s">
        <v>4686</v>
      </c>
      <c r="F199" s="1801"/>
      <c r="G199" s="1801"/>
      <c r="H199" s="1813"/>
      <c r="I199" s="1813"/>
      <c r="J199" s="1813"/>
      <c r="K199" s="1813"/>
      <c r="L199" s="1813"/>
      <c r="M199" s="1813"/>
      <c r="N199" s="1813"/>
      <c r="O199" s="1813"/>
      <c r="P199" s="1813"/>
      <c r="Q199" s="1813"/>
      <c r="R199" s="1813"/>
      <c r="S199" s="1813"/>
      <c r="T199" s="1813"/>
      <c r="U199" s="1813"/>
      <c r="V199" s="1813"/>
      <c r="W199" s="1813"/>
      <c r="X199" s="1813"/>
    </row>
    <row r="200" spans="1:24" s="1813" customFormat="1" ht="14.5">
      <c r="A200" s="1799">
        <f t="shared" si="10"/>
        <v>139</v>
      </c>
      <c r="B200" s="1807" t="s">
        <v>1472</v>
      </c>
      <c r="C200" s="1808" t="s">
        <v>244</v>
      </c>
      <c r="D200" s="1804" t="str">
        <f t="shared" si="9"/>
        <v>諾德斯特龍公司/JWN</v>
      </c>
      <c r="E200" s="1803" t="s">
        <v>4686</v>
      </c>
      <c r="F200" s="1801"/>
      <c r="G200" s="1801"/>
    </row>
    <row r="201" spans="1:24" ht="15" customHeight="1">
      <c r="A201" s="1801">
        <f t="shared" si="10"/>
        <v>166</v>
      </c>
      <c r="B201" s="1801" t="s">
        <v>1405</v>
      </c>
      <c r="C201" s="1802" t="s">
        <v>147</v>
      </c>
      <c r="D201" s="1801" t="str">
        <f t="shared" si="9"/>
        <v>卡夫亨氏食品公司/KHC</v>
      </c>
      <c r="E201" s="1801" t="s">
        <v>2331</v>
      </c>
      <c r="F201" s="1801"/>
      <c r="G201" s="1801"/>
      <c r="H201" s="1813"/>
      <c r="I201" s="1813"/>
      <c r="J201" s="1813"/>
      <c r="K201" s="1813"/>
      <c r="L201" s="1813"/>
      <c r="M201" s="1813"/>
      <c r="N201" s="1813"/>
      <c r="O201" s="1813"/>
      <c r="P201" s="1813"/>
      <c r="Q201" s="1813"/>
      <c r="R201" s="1813"/>
      <c r="S201" s="1813"/>
      <c r="T201" s="1813"/>
      <c r="U201" s="1813"/>
      <c r="V201" s="1813"/>
      <c r="W201" s="1813"/>
      <c r="X201" s="1813"/>
    </row>
    <row r="202" spans="1:24" ht="15.75" customHeight="1">
      <c r="A202" s="1799">
        <f t="shared" si="10"/>
        <v>174</v>
      </c>
      <c r="B202" s="1807" t="s">
        <v>1705</v>
      </c>
      <c r="C202" s="1808" t="s">
        <v>1706</v>
      </c>
      <c r="D202" s="1804" t="str">
        <f t="shared" si="9"/>
        <v>KKR Group Finance Co X LLC/KKR</v>
      </c>
      <c r="E202" s="1803" t="s">
        <v>4687</v>
      </c>
      <c r="F202" s="1801"/>
      <c r="G202" s="1801"/>
      <c r="H202" s="1813"/>
      <c r="I202" s="1813"/>
      <c r="J202" s="1813"/>
      <c r="K202" s="1813"/>
      <c r="L202" s="1813"/>
      <c r="M202" s="1813"/>
      <c r="N202" s="1813"/>
      <c r="O202" s="1813"/>
      <c r="P202" s="1813"/>
      <c r="Q202" s="1813"/>
      <c r="R202" s="1813"/>
      <c r="S202" s="1813"/>
      <c r="T202" s="1813"/>
      <c r="U202" s="1813"/>
    </row>
    <row r="203" spans="1:24" ht="15.75" customHeight="1">
      <c r="A203" s="1799">
        <f t="shared" si="10"/>
        <v>155</v>
      </c>
      <c r="B203" s="1807" t="s">
        <v>1362</v>
      </c>
      <c r="C203" s="1808" t="s">
        <v>1697</v>
      </c>
      <c r="D203" s="1804" t="str">
        <f t="shared" si="9"/>
        <v>金百利克拉克/KMB</v>
      </c>
      <c r="E203" s="1803" t="s">
        <v>4688</v>
      </c>
      <c r="F203" s="1801"/>
      <c r="G203" s="1801"/>
    </row>
    <row r="204" spans="1:24" ht="15.75" customHeight="1">
      <c r="A204" s="1799">
        <f t="shared" si="10"/>
        <v>152</v>
      </c>
      <c r="B204" s="1799" t="s">
        <v>1605</v>
      </c>
      <c r="C204" s="1806" t="s">
        <v>1606</v>
      </c>
      <c r="D204" s="1804" t="str">
        <f t="shared" si="9"/>
        <v>可口可樂/KO</v>
      </c>
      <c r="E204" s="1799" t="s">
        <v>4689</v>
      </c>
      <c r="F204" s="1801"/>
      <c r="G204" s="1801"/>
    </row>
    <row r="205" spans="1:24" ht="15.75" customHeight="1">
      <c r="A205" s="1799">
        <f t="shared" si="10"/>
        <v>152</v>
      </c>
      <c r="B205" s="1799" t="s">
        <v>1607</v>
      </c>
      <c r="C205" s="1806" t="s">
        <v>1606</v>
      </c>
      <c r="D205" s="1804" t="str">
        <f t="shared" si="9"/>
        <v>可口可樂公司/KO</v>
      </c>
      <c r="E205" s="1799" t="s">
        <v>4689</v>
      </c>
      <c r="F205" s="1801"/>
      <c r="G205" s="1801"/>
    </row>
    <row r="206" spans="1:24" ht="15.75" customHeight="1">
      <c r="A206" s="1799">
        <f t="shared" si="10"/>
        <v>110</v>
      </c>
      <c r="B206" s="1807" t="s">
        <v>1701</v>
      </c>
      <c r="C206" s="1808" t="s">
        <v>1702</v>
      </c>
      <c r="D206" s="1804" t="str">
        <f t="shared" si="9"/>
        <v>韓國國際債券/KOREA</v>
      </c>
      <c r="E206" s="1803" t="s">
        <v>4690</v>
      </c>
      <c r="F206" s="1801"/>
      <c r="G206" s="1801"/>
    </row>
    <row r="207" spans="1:24" ht="15.75" customHeight="1">
      <c r="A207" s="1801">
        <f t="shared" si="10"/>
        <v>152</v>
      </c>
      <c r="B207" s="1801" t="s">
        <v>1477</v>
      </c>
      <c r="C207" s="1802" t="s">
        <v>246</v>
      </c>
      <c r="D207" s="1801" t="str">
        <f t="shared" si="9"/>
        <v>克羅格公司/KR</v>
      </c>
      <c r="E207" s="1801" t="s">
        <v>4691</v>
      </c>
      <c r="F207" s="1801"/>
      <c r="G207" s="1801"/>
    </row>
    <row r="208" spans="1:24" ht="15.75" customHeight="1">
      <c r="A208" s="1801">
        <f t="shared" si="10"/>
        <v>161</v>
      </c>
      <c r="B208" s="1801" t="s">
        <v>1854</v>
      </c>
      <c r="C208" s="1802" t="s">
        <v>60</v>
      </c>
      <c r="D208" s="1801" t="str">
        <f t="shared" si="9"/>
        <v>沙烏地阿拉伯政府/KSA</v>
      </c>
      <c r="E208" s="1821" t="s">
        <v>4692</v>
      </c>
      <c r="F208" s="1801"/>
      <c r="G208" s="1801"/>
    </row>
    <row r="209" spans="1:21" ht="15.75" customHeight="1">
      <c r="A209" s="1799">
        <f t="shared" si="10"/>
        <v>161</v>
      </c>
      <c r="B209" s="1804" t="s">
        <v>1355</v>
      </c>
      <c r="C209" s="1805" t="s">
        <v>60</v>
      </c>
      <c r="D209" s="1804" t="str">
        <f t="shared" si="9"/>
        <v>Saudi Government Internation/KSA</v>
      </c>
      <c r="E209" s="1801" t="s">
        <v>4693</v>
      </c>
      <c r="F209" s="1801"/>
      <c r="G209" s="1801"/>
    </row>
    <row r="210" spans="1:21" ht="15.75" customHeight="1">
      <c r="A210" s="1801">
        <f t="shared" si="10"/>
        <v>130</v>
      </c>
      <c r="B210" s="1801" t="s">
        <v>1876</v>
      </c>
      <c r="C210" s="1802" t="s">
        <v>241</v>
      </c>
      <c r="D210" s="1801" t="str">
        <f t="shared" si="9"/>
        <v>LG化學公司/LGCHM</v>
      </c>
      <c r="E210" s="1801" t="s">
        <v>4694</v>
      </c>
      <c r="F210" s="1801"/>
      <c r="G210" s="1801"/>
    </row>
    <row r="211" spans="1:21" ht="15.75" customHeight="1">
      <c r="A211" s="1799">
        <f t="shared" si="10"/>
        <v>130</v>
      </c>
      <c r="B211" s="1807" t="s">
        <v>1468</v>
      </c>
      <c r="C211" s="1808" t="s">
        <v>241</v>
      </c>
      <c r="D211" s="1804" t="str">
        <f t="shared" si="9"/>
        <v>LG化學有限公司/LGCHM</v>
      </c>
      <c r="E211" s="1803" t="s">
        <v>4694</v>
      </c>
      <c r="F211" s="1801"/>
      <c r="G211" s="1801"/>
      <c r="H211" s="1824"/>
    </row>
    <row r="212" spans="1:21" ht="15.75" customHeight="1">
      <c r="A212" s="1799">
        <f t="shared" si="10"/>
        <v>153</v>
      </c>
      <c r="B212" s="1804" t="s">
        <v>2332</v>
      </c>
      <c r="C212" s="1805" t="s">
        <v>61</v>
      </c>
      <c r="D212" s="1804" t="str">
        <f t="shared" si="9"/>
        <v>勞埃德銀行集團/LLOYDS</v>
      </c>
      <c r="E212" s="1801" t="s">
        <v>4695</v>
      </c>
      <c r="F212" s="1801"/>
      <c r="G212" s="1801"/>
    </row>
    <row r="213" spans="1:21" ht="15.75" customHeight="1">
      <c r="A213" s="1799">
        <f t="shared" si="10"/>
        <v>152</v>
      </c>
      <c r="B213" s="1804" t="s">
        <v>1574</v>
      </c>
      <c r="C213" s="1805" t="s">
        <v>61</v>
      </c>
      <c r="D213" s="1804" t="str">
        <f t="shared" si="9"/>
        <v>駿懋銀行公開有限公司/LLOYDS</v>
      </c>
      <c r="E213" s="1801" t="s">
        <v>4696</v>
      </c>
      <c r="F213" s="1801"/>
      <c r="G213" s="1801"/>
    </row>
    <row r="214" spans="1:21" ht="15.75" customHeight="1">
      <c r="A214" s="1801">
        <f t="shared" si="10"/>
        <v>147</v>
      </c>
      <c r="B214" s="1801" t="s">
        <v>1882</v>
      </c>
      <c r="C214" s="1802" t="s">
        <v>223</v>
      </c>
      <c r="D214" s="1801" t="str">
        <f t="shared" si="9"/>
        <v>洛克希德馬丁公司/LMT</v>
      </c>
      <c r="E214" s="1801" t="s">
        <v>4697</v>
      </c>
      <c r="F214" s="1801"/>
      <c r="G214" s="1801"/>
    </row>
    <row r="215" spans="1:21" ht="15.75" customHeight="1">
      <c r="A215" s="1799">
        <f t="shared" si="10"/>
        <v>147</v>
      </c>
      <c r="B215" s="1799" t="s">
        <v>1474</v>
      </c>
      <c r="C215" s="1806" t="s">
        <v>223</v>
      </c>
      <c r="D215" s="1804" t="str">
        <f t="shared" si="9"/>
        <v>洛克希德馬丁/LMT</v>
      </c>
      <c r="E215" s="1801" t="s">
        <v>4697</v>
      </c>
      <c r="F215" s="1801"/>
      <c r="G215" s="1801"/>
      <c r="H215" s="1812"/>
      <c r="I215" s="1812"/>
      <c r="J215" s="1812"/>
      <c r="K215" s="1813"/>
      <c r="L215" s="1813"/>
      <c r="M215" s="1813"/>
      <c r="N215" s="1813"/>
      <c r="O215" s="1813"/>
      <c r="P215" s="1813"/>
      <c r="Q215" s="1813"/>
      <c r="R215" s="1813"/>
      <c r="S215" s="1813"/>
      <c r="T215" s="1813"/>
      <c r="U215" s="1813"/>
    </row>
    <row r="216" spans="1:21" ht="15.75" customHeight="1">
      <c r="A216" s="1799">
        <f t="shared" si="10"/>
        <v>149</v>
      </c>
      <c r="B216" s="1799" t="s">
        <v>2321</v>
      </c>
      <c r="C216" s="1806" t="s">
        <v>2322</v>
      </c>
      <c r="D216" s="1804" t="s">
        <v>2323</v>
      </c>
      <c r="E216" s="1801" t="s">
        <v>4698</v>
      </c>
      <c r="F216" s="1801"/>
      <c r="G216" s="1801"/>
    </row>
    <row r="217" spans="1:21" ht="15.75" customHeight="1">
      <c r="A217" s="1801">
        <f t="shared" si="10"/>
        <v>144</v>
      </c>
      <c r="B217" s="1801" t="s">
        <v>1845</v>
      </c>
      <c r="C217" s="1802" t="s">
        <v>105</v>
      </c>
      <c r="D217" s="1801" t="str">
        <f>CONCATENATE(B217,"/",C217)</f>
        <v>世紀互聯電信公司/LUMN</v>
      </c>
      <c r="E217" s="1801" t="s">
        <v>4699</v>
      </c>
      <c r="F217" s="1801"/>
      <c r="G217" s="1801"/>
    </row>
    <row r="218" spans="1:21" ht="15.75" customHeight="1">
      <c r="A218" s="1801">
        <f t="shared" si="10"/>
        <v>187</v>
      </c>
      <c r="B218" s="1801" t="s">
        <v>1446</v>
      </c>
      <c r="C218" s="1802" t="s">
        <v>105</v>
      </c>
      <c r="D218" s="1801" t="str">
        <f>CONCATENATE(B218,"/",C218)</f>
        <v>音巴克公司/LUMN</v>
      </c>
      <c r="E218" s="1801" t="s">
        <v>4700</v>
      </c>
      <c r="F218" s="1801"/>
      <c r="G218" s="1801"/>
    </row>
    <row r="219" spans="1:21" ht="15.75" customHeight="1">
      <c r="A219" s="1799">
        <f t="shared" si="10"/>
        <v>144</v>
      </c>
      <c r="B219" s="1799" t="s">
        <v>1590</v>
      </c>
      <c r="C219" s="1806" t="s">
        <v>105</v>
      </c>
      <c r="D219" s="1804" t="str">
        <f>CONCATENATE(B219,"/",C219)</f>
        <v>流明科技公司/LUMN</v>
      </c>
      <c r="E219" s="1799" t="s">
        <v>4699</v>
      </c>
      <c r="F219" s="1801"/>
      <c r="G219" s="1801"/>
    </row>
    <row r="220" spans="1:21" ht="15.75" customHeight="1">
      <c r="A220" s="1799">
        <f t="shared" si="10"/>
        <v>162</v>
      </c>
      <c r="B220" s="1799" t="s">
        <v>2327</v>
      </c>
      <c r="C220" s="1806" t="s">
        <v>2328</v>
      </c>
      <c r="D220" s="1804" t="s">
        <v>2329</v>
      </c>
      <c r="E220" s="1804" t="s">
        <v>4701</v>
      </c>
      <c r="F220" s="1801"/>
      <c r="G220" s="1801"/>
    </row>
    <row r="221" spans="1:21" ht="15.75" customHeight="1">
      <c r="A221" s="1799">
        <f t="shared" si="10"/>
        <v>169</v>
      </c>
      <c r="B221" s="1825" t="s">
        <v>2081</v>
      </c>
      <c r="C221" s="1802" t="s">
        <v>2311</v>
      </c>
      <c r="D221" s="1801" t="str">
        <f t="shared" ref="D221:D284" si="11">CONCATENATE(B221,"/",C221)</f>
        <v>萬事達卡/MA</v>
      </c>
      <c r="E221" s="1801" t="s">
        <v>4702</v>
      </c>
      <c r="F221" s="1801"/>
      <c r="G221" s="1801"/>
    </row>
    <row r="222" spans="1:21" ht="15.75" customHeight="1">
      <c r="A222" s="1801">
        <f t="shared" si="10"/>
        <v>184</v>
      </c>
      <c r="B222" s="1801" t="s">
        <v>1903</v>
      </c>
      <c r="C222" s="1802" t="s">
        <v>1278</v>
      </c>
      <c r="D222" s="1801" t="str">
        <f t="shared" si="11"/>
        <v>梅賽德斯-賓士金融北美有限責任公司/MBGGR</v>
      </c>
      <c r="E222" s="1801" t="s">
        <v>4703</v>
      </c>
      <c r="F222" s="1801"/>
      <c r="G222" s="1801"/>
    </row>
    <row r="223" spans="1:21" ht="15.75" customHeight="1">
      <c r="A223" s="1801">
        <f t="shared" si="10"/>
        <v>184</v>
      </c>
      <c r="B223" s="1814" t="s">
        <v>1516</v>
      </c>
      <c r="C223" s="1806" t="s">
        <v>224</v>
      </c>
      <c r="D223" s="1801" t="str">
        <f t="shared" si="11"/>
        <v>戴姆勒金融北美有限責任公司/MBGGR</v>
      </c>
      <c r="E223" s="1801" t="s">
        <v>4704</v>
      </c>
      <c r="F223" s="1801"/>
      <c r="G223" s="1801"/>
    </row>
    <row r="224" spans="1:21" ht="15.75" customHeight="1">
      <c r="A224" s="1799">
        <f t="shared" si="10"/>
        <v>184</v>
      </c>
      <c r="B224" s="1807" t="s">
        <v>1346</v>
      </c>
      <c r="C224" s="1808" t="s">
        <v>224</v>
      </c>
      <c r="D224" s="1804" t="str">
        <f t="shared" si="11"/>
        <v>梅賽德斯-賓士金融北美有限責/MBGGR</v>
      </c>
      <c r="E224" s="1801" t="s">
        <v>4705</v>
      </c>
      <c r="F224" s="1801"/>
      <c r="G224" s="1801"/>
    </row>
    <row r="225" spans="1:24" ht="15.75" customHeight="1">
      <c r="A225" s="1801">
        <f t="shared" si="10"/>
        <v>172</v>
      </c>
      <c r="B225" s="1801" t="s">
        <v>1400</v>
      </c>
      <c r="C225" s="1802" t="s">
        <v>64</v>
      </c>
      <c r="D225" s="1801" t="str">
        <f t="shared" si="11"/>
        <v>麥當勞公司/MCD</v>
      </c>
      <c r="E225" s="1801" t="s">
        <v>4706</v>
      </c>
      <c r="F225" s="1801"/>
      <c r="G225" s="1801"/>
    </row>
    <row r="226" spans="1:24" ht="15.75" customHeight="1">
      <c r="A226" s="1799">
        <f t="shared" si="10"/>
        <v>178</v>
      </c>
      <c r="B226" s="1799" t="s">
        <v>1596</v>
      </c>
      <c r="C226" s="1806" t="s">
        <v>1597</v>
      </c>
      <c r="D226" s="1804" t="str">
        <f t="shared" si="11"/>
        <v>美敦力公司/MDT</v>
      </c>
      <c r="E226" s="1799" t="s">
        <v>4707</v>
      </c>
      <c r="F226" s="1801"/>
      <c r="G226" s="1801"/>
    </row>
    <row r="227" spans="1:24" ht="15.75" customHeight="1">
      <c r="A227" s="1801">
        <f t="shared" si="10"/>
        <v>179</v>
      </c>
      <c r="B227" s="1814" t="s">
        <v>1513</v>
      </c>
      <c r="C227" s="1815" t="s">
        <v>1302</v>
      </c>
      <c r="D227" s="1801" t="str">
        <f t="shared" si="11"/>
        <v>大都會人壽/MET</v>
      </c>
      <c r="E227" s="1799" t="s">
        <v>4708</v>
      </c>
      <c r="F227" s="1801"/>
      <c r="G227" s="1801"/>
    </row>
    <row r="228" spans="1:24" ht="15.75" customHeight="1">
      <c r="A228" s="1801">
        <f t="shared" si="10"/>
        <v>186</v>
      </c>
      <c r="B228" s="1801" t="s">
        <v>1920</v>
      </c>
      <c r="C228" s="1802" t="s">
        <v>1921</v>
      </c>
      <c r="D228" s="1801" t="str">
        <f t="shared" si="11"/>
        <v>META平台公司/META</v>
      </c>
      <c r="E228" s="1801" t="s">
        <v>4709</v>
      </c>
      <c r="F228" s="1801"/>
      <c r="G228" s="1801"/>
    </row>
    <row r="229" spans="1:24" ht="15.75" customHeight="1">
      <c r="A229" s="1801">
        <f t="shared" si="10"/>
        <v>167</v>
      </c>
      <c r="B229" s="1801" t="s">
        <v>1856</v>
      </c>
      <c r="C229" s="1802" t="s">
        <v>189</v>
      </c>
      <c r="D229" s="1801" t="str">
        <f t="shared" si="11"/>
        <v>墨西哥政府/MEX</v>
      </c>
      <c r="E229" s="1801" t="s">
        <v>4710</v>
      </c>
      <c r="F229" s="1801"/>
      <c r="G229" s="1801"/>
    </row>
    <row r="230" spans="1:24" ht="15.75" customHeight="1">
      <c r="A230" s="1799">
        <f t="shared" si="10"/>
        <v>167</v>
      </c>
      <c r="B230" s="1804" t="s">
        <v>1451</v>
      </c>
      <c r="C230" s="1805" t="s">
        <v>189</v>
      </c>
      <c r="D230" s="1804" t="str">
        <f t="shared" si="11"/>
        <v>墨西哥政府國際債券/MEX</v>
      </c>
      <c r="E230" s="1801" t="s">
        <v>4710</v>
      </c>
      <c r="F230" s="1801"/>
      <c r="G230" s="1801"/>
    </row>
    <row r="231" spans="1:24" ht="15.75" customHeight="1">
      <c r="A231" s="1801">
        <f t="shared" si="10"/>
        <v>172</v>
      </c>
      <c r="B231" s="1801" t="s">
        <v>1864</v>
      </c>
      <c r="C231" s="1802" t="s">
        <v>192</v>
      </c>
      <c r="D231" s="1801" t="str">
        <f t="shared" si="11"/>
        <v>瑞穗金融集團2有限公司(開曼)/MIZUHO</v>
      </c>
      <c r="E231" s="1801" t="s">
        <v>4711</v>
      </c>
      <c r="F231" s="1801"/>
      <c r="G231" s="1801"/>
    </row>
    <row r="232" spans="1:24" ht="15.75" customHeight="1">
      <c r="A232" s="1801">
        <f t="shared" si="10"/>
        <v>103</v>
      </c>
      <c r="B232" s="1801" t="s">
        <v>1509</v>
      </c>
      <c r="C232" s="1802" t="s">
        <v>1922</v>
      </c>
      <c r="D232" s="1801" t="str">
        <f t="shared" si="11"/>
        <v>瑞穗金融集團/MIZUHO</v>
      </c>
      <c r="E232" s="1801" t="s">
        <v>4712</v>
      </c>
      <c r="F232" s="1801"/>
      <c r="G232" s="1801"/>
    </row>
    <row r="233" spans="1:24" ht="15.75" customHeight="1">
      <c r="A233" s="1799">
        <f t="shared" si="10"/>
        <v>172</v>
      </c>
      <c r="B233" s="1799" t="s">
        <v>1594</v>
      </c>
      <c r="C233" s="1806" t="s">
        <v>192</v>
      </c>
      <c r="D233" s="1804" t="str">
        <f t="shared" si="11"/>
        <v>瑞穗金融集團(開曼)3有限公司/MIZUHO</v>
      </c>
      <c r="E233" s="1799" t="s">
        <v>4713</v>
      </c>
      <c r="F233" s="1801"/>
      <c r="G233" s="1801"/>
    </row>
    <row r="234" spans="1:24" ht="15.75" customHeight="1">
      <c r="A234" s="1801">
        <f t="shared" si="10"/>
        <v>144</v>
      </c>
      <c r="B234" s="1801" t="s">
        <v>1877</v>
      </c>
      <c r="C234" s="1802" t="s">
        <v>113</v>
      </c>
      <c r="D234" s="1801" t="str">
        <f t="shared" si="11"/>
        <v>3M公司/MMM</v>
      </c>
      <c r="E234" s="1801" t="s">
        <v>4714</v>
      </c>
      <c r="F234" s="1801"/>
      <c r="G234" s="1801"/>
      <c r="H234" s="1826"/>
    </row>
    <row r="235" spans="1:24" ht="15.75" customHeight="1">
      <c r="A235" s="1799">
        <f t="shared" si="10"/>
        <v>144</v>
      </c>
      <c r="B235" s="1799" t="s">
        <v>1364</v>
      </c>
      <c r="C235" s="1806" t="s">
        <v>113</v>
      </c>
      <c r="D235" s="1804" t="str">
        <f t="shared" si="11"/>
        <v>3M/MMM</v>
      </c>
      <c r="E235" s="1799" t="s">
        <v>4714</v>
      </c>
      <c r="F235" s="1801"/>
      <c r="G235" s="1801"/>
    </row>
    <row r="236" spans="1:24" ht="15.75" customHeight="1">
      <c r="A236" s="1799">
        <f t="shared" si="10"/>
        <v>174</v>
      </c>
      <c r="B236" s="1804" t="s">
        <v>1537</v>
      </c>
      <c r="C236" s="1805" t="s">
        <v>1538</v>
      </c>
      <c r="D236" s="1804" t="str">
        <f t="shared" si="11"/>
        <v>高特利集團/MO</v>
      </c>
      <c r="E236" s="1799" t="s">
        <v>4715</v>
      </c>
      <c r="F236" s="1801"/>
      <c r="G236" s="1801"/>
    </row>
    <row r="237" spans="1:24" s="1830" customFormat="1" ht="15.75" customHeight="1">
      <c r="A237" s="1822">
        <f t="shared" si="10"/>
        <v>151</v>
      </c>
      <c r="B237" s="1822" t="s">
        <v>1650</v>
      </c>
      <c r="C237" s="1827" t="s">
        <v>1651</v>
      </c>
      <c r="D237" s="1828" t="str">
        <f t="shared" si="11"/>
        <v>孟山都公司/MON</v>
      </c>
      <c r="E237" s="1822" t="s">
        <v>4716</v>
      </c>
      <c r="F237" s="1829"/>
      <c r="G237" s="1829"/>
    </row>
    <row r="238" spans="1:24" ht="15.75" customHeight="1">
      <c r="A238" s="1799">
        <f t="shared" si="10"/>
        <v>159</v>
      </c>
      <c r="B238" s="1801" t="s">
        <v>2368</v>
      </c>
      <c r="C238" s="1802" t="s">
        <v>2369</v>
      </c>
      <c r="D238" s="1801" t="str">
        <f t="shared" si="11"/>
        <v>馬拉松石油公司/MPC</v>
      </c>
      <c r="E238" s="1819" t="s">
        <v>4717</v>
      </c>
      <c r="F238" s="1801"/>
      <c r="G238" s="1801"/>
      <c r="H238" s="1812"/>
      <c r="I238" s="1812"/>
      <c r="J238" s="1812"/>
      <c r="K238" s="1813"/>
      <c r="L238" s="1813"/>
      <c r="M238" s="1813"/>
      <c r="N238" s="1813"/>
      <c r="O238" s="1813"/>
      <c r="P238" s="1813"/>
      <c r="Q238" s="1813"/>
      <c r="R238" s="1813"/>
      <c r="S238" s="1813"/>
      <c r="T238" s="1813"/>
      <c r="U238" s="1813"/>
      <c r="V238" s="1813"/>
      <c r="W238" s="1813"/>
      <c r="X238" s="1813"/>
    </row>
    <row r="239" spans="1:24" ht="15.75" customHeight="1">
      <c r="A239" s="1801">
        <f t="shared" si="10"/>
        <v>141</v>
      </c>
      <c r="B239" s="1801" t="s">
        <v>1828</v>
      </c>
      <c r="C239" s="1802" t="s">
        <v>190</v>
      </c>
      <c r="D239" s="1801" t="str">
        <f t="shared" si="11"/>
        <v>麥格理銀行/MQGAU</v>
      </c>
      <c r="E239" s="1821" t="s">
        <v>1924</v>
      </c>
      <c r="F239" s="1801"/>
      <c r="G239" s="1801"/>
    </row>
    <row r="240" spans="1:24" ht="15.75" customHeight="1">
      <c r="A240" s="1801">
        <f t="shared" si="10"/>
        <v>141</v>
      </c>
      <c r="B240" s="1801" t="s">
        <v>1923</v>
      </c>
      <c r="C240" s="1802" t="s">
        <v>190</v>
      </c>
      <c r="D240" s="1801" t="str">
        <f t="shared" si="11"/>
        <v>麥格理集團/MQGAU</v>
      </c>
      <c r="E240" s="1801" t="s">
        <v>1924</v>
      </c>
      <c r="F240" s="1801"/>
      <c r="G240" s="1801"/>
    </row>
    <row r="241" spans="1:8" ht="15.75" customHeight="1">
      <c r="A241" s="1799">
        <f t="shared" si="10"/>
        <v>141</v>
      </c>
      <c r="B241" s="1804" t="s">
        <v>1588</v>
      </c>
      <c r="C241" s="1805" t="s">
        <v>190</v>
      </c>
      <c r="D241" s="1804" t="str">
        <f t="shared" si="11"/>
        <v>麥格理集團有限公司/MQGAU</v>
      </c>
      <c r="E241" s="1799" t="s">
        <v>1924</v>
      </c>
      <c r="F241" s="1801"/>
      <c r="G241" s="1801"/>
    </row>
    <row r="242" spans="1:8" ht="15.75" customHeight="1">
      <c r="A242" s="1801">
        <f t="shared" si="10"/>
        <v>158</v>
      </c>
      <c r="B242" s="1801" t="s">
        <v>1888</v>
      </c>
      <c r="C242" s="1802" t="s">
        <v>155</v>
      </c>
      <c r="D242" s="1801" t="str">
        <f t="shared" si="11"/>
        <v>默克公司/MRK</v>
      </c>
      <c r="E242" s="1821" t="s">
        <v>4718</v>
      </c>
      <c r="F242" s="1801"/>
      <c r="G242" s="1801"/>
    </row>
    <row r="243" spans="1:8" ht="15.75" customHeight="1">
      <c r="A243" s="1799">
        <f t="shared" si="10"/>
        <v>158</v>
      </c>
      <c r="B243" s="1799" t="s">
        <v>1481</v>
      </c>
      <c r="C243" s="1806" t="s">
        <v>155</v>
      </c>
      <c r="D243" s="1804" t="str">
        <f t="shared" si="11"/>
        <v>默克藥廠/MRK</v>
      </c>
      <c r="E243" s="1799" t="s">
        <v>4719</v>
      </c>
      <c r="F243" s="1801"/>
      <c r="G243" s="1801"/>
    </row>
    <row r="244" spans="1:8" ht="15.75" customHeight="1">
      <c r="A244" s="1799">
        <f t="shared" si="10"/>
        <v>141</v>
      </c>
      <c r="B244" s="1804" t="s">
        <v>1397</v>
      </c>
      <c r="C244" s="1805" t="s">
        <v>1546</v>
      </c>
      <c r="D244" s="1804" t="str">
        <f t="shared" si="11"/>
        <v>摩根士丹利/MS</v>
      </c>
      <c r="E244" s="1821" t="s">
        <v>4720</v>
      </c>
      <c r="F244" s="1801"/>
      <c r="G244" s="1801"/>
    </row>
    <row r="245" spans="1:8" ht="15.75" customHeight="1">
      <c r="A245" s="1801">
        <f t="shared" si="10"/>
        <v>153</v>
      </c>
      <c r="B245" s="1801" t="s">
        <v>1843</v>
      </c>
      <c r="C245" s="1802" t="s">
        <v>48</v>
      </c>
      <c r="D245" s="1801" t="str">
        <f t="shared" si="11"/>
        <v>微軟/MSFT</v>
      </c>
      <c r="E245" s="1821" t="s">
        <v>4721</v>
      </c>
      <c r="F245" s="1801"/>
      <c r="G245" s="1801"/>
      <c r="H245" s="1826"/>
    </row>
    <row r="246" spans="1:8" ht="15.75" customHeight="1">
      <c r="A246" s="1801">
        <f t="shared" si="10"/>
        <v>153</v>
      </c>
      <c r="B246" s="1801" t="s">
        <v>1373</v>
      </c>
      <c r="C246" s="1802" t="s">
        <v>48</v>
      </c>
      <c r="D246" s="1801" t="str">
        <f t="shared" si="11"/>
        <v>微軟公司/MSFT</v>
      </c>
      <c r="E246" s="1801" t="s">
        <v>4721</v>
      </c>
      <c r="F246" s="1801"/>
      <c r="G246" s="1801"/>
      <c r="H246" s="1826"/>
    </row>
    <row r="247" spans="1:8" ht="15.75" customHeight="1">
      <c r="A247" s="1799">
        <f t="shared" si="10"/>
        <v>145</v>
      </c>
      <c r="B247" s="1804" t="s">
        <v>1563</v>
      </c>
      <c r="C247" s="1805" t="s">
        <v>1564</v>
      </c>
      <c r="D247" s="1804" t="str">
        <f t="shared" si="11"/>
        <v>三井住友海上火災保險有限公司/MSINS</v>
      </c>
      <c r="E247" s="1799" t="s">
        <v>4722</v>
      </c>
      <c r="F247" s="1801"/>
      <c r="G247" s="1801"/>
      <c r="H247" s="1826"/>
    </row>
    <row r="248" spans="1:8" ht="15.75" customHeight="1">
      <c r="A248" s="1799">
        <f t="shared" si="10"/>
        <v>164</v>
      </c>
      <c r="B248" s="1816" t="s">
        <v>1669</v>
      </c>
      <c r="C248" s="1817" t="s">
        <v>1670</v>
      </c>
      <c r="D248" s="1804" t="str">
        <f t="shared" si="11"/>
        <v>三菱UFJ金融集團公司/MUFG</v>
      </c>
      <c r="E248" s="1816" t="s">
        <v>4723</v>
      </c>
      <c r="F248" s="1801"/>
      <c r="G248" s="1801"/>
      <c r="H248" s="1826"/>
    </row>
    <row r="249" spans="1:8" ht="15.75" customHeight="1">
      <c r="A249" s="1801">
        <f t="shared" si="10"/>
        <v>172</v>
      </c>
      <c r="B249" s="1801" t="s">
        <v>1898</v>
      </c>
      <c r="C249" s="1802" t="s">
        <v>261</v>
      </c>
      <c r="D249" s="1801" t="str">
        <f t="shared" si="11"/>
        <v>大自然化妝品公司/NATURA</v>
      </c>
      <c r="E249" s="1801" t="s">
        <v>4724</v>
      </c>
      <c r="F249" s="1801"/>
      <c r="G249" s="1801"/>
      <c r="H249" s="1826"/>
    </row>
    <row r="250" spans="1:8" ht="15.75" customHeight="1">
      <c r="A250" s="1799">
        <f t="shared" si="10"/>
        <v>172</v>
      </c>
      <c r="B250" s="1807" t="s">
        <v>1501</v>
      </c>
      <c r="C250" s="1808" t="s">
        <v>261</v>
      </c>
      <c r="D250" s="1804" t="str">
        <f t="shared" si="11"/>
        <v>Natura Cosmeticos SA/NATURA</v>
      </c>
      <c r="E250" s="1801" t="s">
        <v>4724</v>
      </c>
      <c r="F250" s="1801"/>
      <c r="G250" s="1801"/>
      <c r="H250" s="1826"/>
    </row>
    <row r="251" spans="1:8" ht="15.75" customHeight="1">
      <c r="A251" s="1801">
        <f t="shared" si="10"/>
        <v>149</v>
      </c>
      <c r="B251" s="1801" t="s">
        <v>1480</v>
      </c>
      <c r="C251" s="1802" t="s">
        <v>248</v>
      </c>
      <c r="D251" s="1801" t="str">
        <f t="shared" si="11"/>
        <v>雀巢控股公司/NESNVX</v>
      </c>
      <c r="E251" s="1801" t="s">
        <v>4725</v>
      </c>
      <c r="F251" s="1801"/>
      <c r="G251" s="1801"/>
      <c r="H251" s="1826"/>
    </row>
    <row r="252" spans="1:8" ht="15.75" customHeight="1">
      <c r="A252" s="1799">
        <f t="shared" si="10"/>
        <v>140</v>
      </c>
      <c r="B252" s="1799" t="s">
        <v>1598</v>
      </c>
      <c r="C252" s="1806" t="s">
        <v>1599</v>
      </c>
      <c r="D252" s="1804" t="str">
        <f t="shared" si="11"/>
        <v>網飛公司/NFLX</v>
      </c>
      <c r="E252" s="1799" t="s">
        <v>4726</v>
      </c>
      <c r="F252" s="1801"/>
      <c r="G252" s="1801"/>
      <c r="H252" s="1826"/>
    </row>
    <row r="253" spans="1:8" ht="15.75" customHeight="1">
      <c r="A253" s="1801">
        <f t="shared" si="10"/>
        <v>143</v>
      </c>
      <c r="B253" s="1801" t="s">
        <v>1887</v>
      </c>
      <c r="C253" s="1802" t="s">
        <v>136</v>
      </c>
      <c r="D253" s="1801" t="str">
        <f t="shared" si="11"/>
        <v>NIKE公司/NKE</v>
      </c>
      <c r="E253" s="1799" t="s">
        <v>4727</v>
      </c>
      <c r="F253" s="1801"/>
      <c r="G253" s="1801"/>
      <c r="H253" s="1826"/>
    </row>
    <row r="254" spans="1:8" ht="15.75" customHeight="1">
      <c r="A254" s="1799">
        <f t="shared" si="10"/>
        <v>143</v>
      </c>
      <c r="B254" s="1799" t="s">
        <v>1602</v>
      </c>
      <c r="C254" s="1806" t="s">
        <v>136</v>
      </c>
      <c r="D254" s="1804" t="str">
        <f t="shared" si="11"/>
        <v>耐吉/NKE</v>
      </c>
      <c r="E254" s="1799" t="s">
        <v>4727</v>
      </c>
      <c r="F254" s="1801"/>
      <c r="G254" s="1801"/>
      <c r="H254" s="1826"/>
    </row>
    <row r="255" spans="1:8" ht="15.75" customHeight="1">
      <c r="A255" s="1799">
        <f t="shared" si="10"/>
        <v>143</v>
      </c>
      <c r="B255" s="1799" t="s">
        <v>1603</v>
      </c>
      <c r="C255" s="1806" t="s">
        <v>136</v>
      </c>
      <c r="D255" s="1804" t="str">
        <f t="shared" si="11"/>
        <v>耐吉公司/NKE</v>
      </c>
      <c r="E255" s="1799" t="s">
        <v>4727</v>
      </c>
      <c r="F255" s="1801"/>
      <c r="G255" s="1801"/>
      <c r="H255" s="1826"/>
    </row>
    <row r="256" spans="1:8" ht="15.75" customHeight="1">
      <c r="A256" s="1799">
        <f t="shared" si="10"/>
        <v>145</v>
      </c>
      <c r="B256" s="1799" t="s">
        <v>2218</v>
      </c>
      <c r="C256" s="1802" t="s">
        <v>2219</v>
      </c>
      <c r="D256" s="1801" t="str">
        <f t="shared" si="11"/>
        <v>野村控股/NOMURA</v>
      </c>
      <c r="E256" s="1825" t="s">
        <v>4728</v>
      </c>
      <c r="F256" s="1801"/>
      <c r="G256" s="1801"/>
      <c r="H256" s="1826"/>
    </row>
    <row r="257" spans="1:8" ht="15.75" customHeight="1">
      <c r="A257" s="1801">
        <f t="shared" si="10"/>
        <v>162</v>
      </c>
      <c r="B257" s="1801" t="s">
        <v>1925</v>
      </c>
      <c r="C257" s="1802" t="s">
        <v>156</v>
      </c>
      <c r="D257" s="1801" t="str">
        <f t="shared" si="11"/>
        <v>日產汽車公司 /NSANY</v>
      </c>
      <c r="E257" s="1801" t="s">
        <v>4729</v>
      </c>
      <c r="F257" s="1801"/>
      <c r="G257" s="1801"/>
      <c r="H257" s="1826"/>
    </row>
    <row r="258" spans="1:8" ht="15.75" customHeight="1">
      <c r="A258" s="1799">
        <f t="shared" si="10"/>
        <v>162</v>
      </c>
      <c r="B258" s="1799" t="s">
        <v>1658</v>
      </c>
      <c r="C258" s="1806" t="s">
        <v>156</v>
      </c>
      <c r="D258" s="1804" t="str">
        <f t="shared" si="11"/>
        <v>日產汽車/NSANY</v>
      </c>
      <c r="E258" s="1801" t="s">
        <v>4730</v>
      </c>
      <c r="F258" s="1801"/>
      <c r="G258" s="1801"/>
      <c r="H258" s="1826"/>
    </row>
    <row r="259" spans="1:8" ht="15.75" customHeight="1">
      <c r="A259" s="1799">
        <f t="shared" ref="A259:A322" si="12">LEN(E259)</f>
        <v>162</v>
      </c>
      <c r="B259" s="1799" t="s">
        <v>1659</v>
      </c>
      <c r="C259" s="1806" t="s">
        <v>156</v>
      </c>
      <c r="D259" s="1804" t="str">
        <f t="shared" si="11"/>
        <v>日產汽車有限公司/NSANY</v>
      </c>
      <c r="E259" s="1801" t="s">
        <v>4730</v>
      </c>
      <c r="F259" s="1801"/>
      <c r="G259" s="1801"/>
      <c r="H259" s="1826"/>
    </row>
    <row r="260" spans="1:8" ht="15.75" customHeight="1">
      <c r="A260" s="1799">
        <f t="shared" si="12"/>
        <v>187</v>
      </c>
      <c r="B260" s="1799" t="s">
        <v>1618</v>
      </c>
      <c r="C260" s="1806" t="s">
        <v>1619</v>
      </c>
      <c r="D260" s="1804" t="str">
        <f t="shared" si="11"/>
        <v>微狄亞視訊/NVDA</v>
      </c>
      <c r="E260" s="1799" t="s">
        <v>4731</v>
      </c>
      <c r="F260" s="1801"/>
      <c r="G260" s="1801"/>
      <c r="H260" s="1826"/>
    </row>
    <row r="261" spans="1:8" ht="15.75" customHeight="1">
      <c r="A261" s="1801">
        <f t="shared" si="12"/>
        <v>118</v>
      </c>
      <c r="B261" s="1801" t="s">
        <v>1866</v>
      </c>
      <c r="C261" s="1802" t="s">
        <v>62</v>
      </c>
      <c r="D261" s="1801" t="str">
        <f t="shared" si="11"/>
        <v>蘇格蘭皇家銀行集團公司/NWG</v>
      </c>
      <c r="E261" s="1801" t="s">
        <v>4732</v>
      </c>
      <c r="F261" s="1801"/>
      <c r="G261" s="1801"/>
      <c r="H261" s="1826"/>
    </row>
    <row r="262" spans="1:8" ht="15.75" customHeight="1">
      <c r="A262" s="1799">
        <f t="shared" si="12"/>
        <v>118</v>
      </c>
      <c r="B262" s="1804" t="s">
        <v>1527</v>
      </c>
      <c r="C262" s="1805" t="s">
        <v>62</v>
      </c>
      <c r="D262" s="1804" t="str">
        <f t="shared" si="11"/>
        <v>國民西敏寺銀行集團/NWG</v>
      </c>
      <c r="E262" s="1799" t="s">
        <v>4732</v>
      </c>
      <c r="F262" s="1801"/>
      <c r="G262" s="1801"/>
      <c r="H262" s="1826"/>
    </row>
    <row r="263" spans="1:8" ht="15.75" customHeight="1">
      <c r="A263" s="1799">
        <f t="shared" si="12"/>
        <v>118</v>
      </c>
      <c r="B263" s="1803" t="s">
        <v>1401</v>
      </c>
      <c r="C263" s="1810" t="s">
        <v>62</v>
      </c>
      <c r="D263" s="1804" t="str">
        <f t="shared" si="11"/>
        <v>國民西敏集團公開有限公司/NWG</v>
      </c>
      <c r="E263" s="1803" t="s">
        <v>4732</v>
      </c>
      <c r="F263" s="1801"/>
      <c r="G263" s="1801"/>
      <c r="H263" s="1826"/>
    </row>
    <row r="264" spans="1:8" ht="15.75" customHeight="1">
      <c r="A264" s="1799">
        <f t="shared" si="12"/>
        <v>132</v>
      </c>
      <c r="B264" s="1807" t="s">
        <v>1369</v>
      </c>
      <c r="C264" s="1808" t="s">
        <v>1698</v>
      </c>
      <c r="D264" s="1804" t="str">
        <f t="shared" si="11"/>
        <v>Realty Income Corp/O</v>
      </c>
      <c r="E264" s="1803" t="s">
        <v>4733</v>
      </c>
      <c r="F264" s="1801"/>
      <c r="G264" s="1801"/>
      <c r="H264" s="1826"/>
    </row>
    <row r="265" spans="1:8" ht="15.75" customHeight="1">
      <c r="A265" s="1801">
        <f t="shared" si="12"/>
        <v>136</v>
      </c>
      <c r="B265" s="1801" t="s">
        <v>1896</v>
      </c>
      <c r="C265" s="1802" t="s">
        <v>257</v>
      </c>
      <c r="D265" s="1801" t="str">
        <f t="shared" si="11"/>
        <v>阿曼政府國際公債/OMAN</v>
      </c>
      <c r="E265" s="1799" t="s">
        <v>4734</v>
      </c>
      <c r="F265" s="1801"/>
      <c r="G265" s="1801"/>
      <c r="H265" s="1826"/>
    </row>
    <row r="266" spans="1:8" ht="15.75" customHeight="1">
      <c r="A266" s="1799">
        <f t="shared" si="12"/>
        <v>136</v>
      </c>
      <c r="B266" s="1804" t="s">
        <v>1497</v>
      </c>
      <c r="C266" s="1805" t="s">
        <v>183</v>
      </c>
      <c r="D266" s="1804" t="str">
        <f t="shared" si="11"/>
        <v>阿曼政府國際債券/OMAN</v>
      </c>
      <c r="E266" s="1799" t="s">
        <v>4734</v>
      </c>
      <c r="F266" s="1801"/>
      <c r="G266" s="1801"/>
      <c r="H266" s="1826"/>
    </row>
    <row r="267" spans="1:8" ht="15.75" customHeight="1">
      <c r="A267" s="1801">
        <f t="shared" si="12"/>
        <v>166</v>
      </c>
      <c r="B267" s="1801" t="s">
        <v>1874</v>
      </c>
      <c r="C267" s="1802" t="s">
        <v>239</v>
      </c>
      <c r="D267" s="1801" t="str">
        <f t="shared" si="11"/>
        <v>墨西哥化工公司/ORBIA</v>
      </c>
      <c r="E267" s="1801" t="s">
        <v>4735</v>
      </c>
      <c r="F267" s="1801"/>
      <c r="G267" s="1801"/>
      <c r="H267" s="1826"/>
    </row>
    <row r="268" spans="1:8" ht="15.75" customHeight="1">
      <c r="A268" s="1799">
        <f t="shared" si="12"/>
        <v>166</v>
      </c>
      <c r="B268" s="1807" t="s">
        <v>1466</v>
      </c>
      <c r="C268" s="1808" t="s">
        <v>239</v>
      </c>
      <c r="D268" s="1804" t="str">
        <f t="shared" si="11"/>
        <v>歐比亞先進可變資本有限公司/ORBIA</v>
      </c>
      <c r="E268" s="1803" t="s">
        <v>4735</v>
      </c>
      <c r="F268" s="1801"/>
      <c r="G268" s="1801"/>
      <c r="H268" s="1826"/>
    </row>
    <row r="269" spans="1:8" ht="15.75" customHeight="1">
      <c r="A269" s="1801">
        <f t="shared" si="12"/>
        <v>151</v>
      </c>
      <c r="B269" s="1801" t="s">
        <v>1420</v>
      </c>
      <c r="C269" s="1802" t="s">
        <v>86</v>
      </c>
      <c r="D269" s="1801" t="str">
        <f t="shared" si="11"/>
        <v>甲骨文公司/ORCL</v>
      </c>
      <c r="E269" s="1801" t="s">
        <v>4736</v>
      </c>
      <c r="F269" s="1801"/>
      <c r="G269" s="1801"/>
      <c r="H269" s="1826"/>
    </row>
    <row r="270" spans="1:8" ht="15.75" customHeight="1">
      <c r="A270" s="1801">
        <f t="shared" si="12"/>
        <v>151</v>
      </c>
      <c r="B270" s="1814" t="s">
        <v>1926</v>
      </c>
      <c r="C270" s="1815" t="s">
        <v>86</v>
      </c>
      <c r="D270" s="1801" t="str">
        <f t="shared" si="11"/>
        <v>甲骨文公司 /ORCL</v>
      </c>
      <c r="E270" s="1799" t="s">
        <v>4736</v>
      </c>
      <c r="F270" s="1801"/>
      <c r="G270" s="1801"/>
      <c r="H270" s="1826"/>
    </row>
    <row r="271" spans="1:8" ht="15.75" customHeight="1">
      <c r="A271" s="1801">
        <f t="shared" si="12"/>
        <v>155</v>
      </c>
      <c r="B271" s="1801" t="s">
        <v>1359</v>
      </c>
      <c r="C271" s="1802" t="s">
        <v>520</v>
      </c>
      <c r="D271" s="1801" t="str">
        <f t="shared" si="11"/>
        <v>歐力士公司/ORIX</v>
      </c>
      <c r="E271" s="1801" t="s">
        <v>1276</v>
      </c>
      <c r="F271" s="1801"/>
      <c r="G271" s="1801"/>
      <c r="H271" s="1826"/>
    </row>
    <row r="272" spans="1:8" ht="15.75" customHeight="1">
      <c r="A272" s="1801">
        <f t="shared" si="12"/>
        <v>188</v>
      </c>
      <c r="B272" s="1801" t="s">
        <v>1927</v>
      </c>
      <c r="C272" s="1802" t="s">
        <v>253</v>
      </c>
      <c r="D272" s="1801" t="str">
        <f t="shared" si="11"/>
        <v>西方石油公司 /OXY</v>
      </c>
      <c r="E272" s="1801" t="s">
        <v>4737</v>
      </c>
      <c r="F272" s="1801"/>
      <c r="G272" s="1801"/>
      <c r="H272" s="1826"/>
    </row>
    <row r="273" spans="1:8" ht="15.75" customHeight="1">
      <c r="A273" s="1801">
        <f t="shared" si="12"/>
        <v>188</v>
      </c>
      <c r="B273" s="1814" t="s">
        <v>1891</v>
      </c>
      <c r="C273" s="1815" t="s">
        <v>253</v>
      </c>
      <c r="D273" s="1801" t="str">
        <f t="shared" si="11"/>
        <v>西方石油公司/OXY</v>
      </c>
      <c r="E273" s="1801" t="s">
        <v>4737</v>
      </c>
      <c r="F273" s="1801"/>
      <c r="G273" s="1801"/>
      <c r="H273" s="1826"/>
    </row>
    <row r="274" spans="1:8" ht="15.75" customHeight="1">
      <c r="A274" s="1799">
        <f t="shared" si="12"/>
        <v>188</v>
      </c>
      <c r="B274" s="1807" t="s">
        <v>1489</v>
      </c>
      <c r="C274" s="1808" t="s">
        <v>253</v>
      </c>
      <c r="D274" s="1804" t="str">
        <f t="shared" si="11"/>
        <v>西方石油/OXY</v>
      </c>
      <c r="E274" s="1803" t="s">
        <v>4737</v>
      </c>
      <c r="F274" s="1801"/>
      <c r="G274" s="1801"/>
      <c r="H274" s="1826"/>
    </row>
    <row r="275" spans="1:8" ht="15.75" customHeight="1">
      <c r="A275" s="1801">
        <f t="shared" si="12"/>
        <v>149</v>
      </c>
      <c r="B275" s="1814" t="s">
        <v>1515</v>
      </c>
      <c r="C275" s="1815" t="s">
        <v>225</v>
      </c>
      <c r="D275" s="1801" t="str">
        <f t="shared" si="11"/>
        <v>維康公司/PARA</v>
      </c>
      <c r="E275" s="1803" t="s">
        <v>4738</v>
      </c>
      <c r="F275" s="1801"/>
      <c r="G275" s="1801"/>
      <c r="H275" s="1826"/>
    </row>
    <row r="276" spans="1:8" ht="15.75" customHeight="1">
      <c r="A276" s="1801">
        <f t="shared" si="12"/>
        <v>149</v>
      </c>
      <c r="B276" s="1814" t="s">
        <v>1424</v>
      </c>
      <c r="C276" s="1815" t="s">
        <v>225</v>
      </c>
      <c r="D276" s="1801" t="str">
        <f t="shared" si="11"/>
        <v>派拉蒙全球/PARA</v>
      </c>
      <c r="E276" s="1801" t="s">
        <v>4738</v>
      </c>
      <c r="F276" s="1801"/>
      <c r="G276" s="1801"/>
      <c r="H276" s="1826"/>
    </row>
    <row r="277" spans="1:8" ht="15.75" customHeight="1">
      <c r="A277" s="1801">
        <f t="shared" si="12"/>
        <v>105</v>
      </c>
      <c r="B277" s="1801" t="s">
        <v>1444</v>
      </c>
      <c r="C277" s="1802" t="s">
        <v>55</v>
      </c>
      <c r="D277" s="1801" t="str">
        <f t="shared" si="11"/>
        <v>墨西哥石油公司/PEMEX</v>
      </c>
      <c r="E277" s="1801" t="s">
        <v>4739</v>
      </c>
      <c r="F277" s="1801"/>
      <c r="G277" s="1801"/>
      <c r="H277" s="1826"/>
    </row>
    <row r="278" spans="1:8" ht="15.75" customHeight="1">
      <c r="A278" s="1801">
        <f t="shared" si="12"/>
        <v>140</v>
      </c>
      <c r="B278" s="1801" t="s">
        <v>1878</v>
      </c>
      <c r="C278" s="1802" t="s">
        <v>137</v>
      </c>
      <c r="D278" s="1801" t="str">
        <f t="shared" si="11"/>
        <v>百事公司/PEP</v>
      </c>
      <c r="E278" s="1801" t="s">
        <v>4740</v>
      </c>
      <c r="F278" s="1801"/>
      <c r="G278" s="1801"/>
      <c r="H278" s="1826"/>
    </row>
    <row r="279" spans="1:8" ht="15.75" customHeight="1">
      <c r="A279" s="1799">
        <f t="shared" si="12"/>
        <v>140</v>
      </c>
      <c r="B279" s="1799" t="s">
        <v>1635</v>
      </c>
      <c r="C279" s="1806" t="s">
        <v>137</v>
      </c>
      <c r="D279" s="1804" t="str">
        <f t="shared" si="11"/>
        <v>百事可樂/PEP</v>
      </c>
      <c r="E279" s="1801" t="s">
        <v>2334</v>
      </c>
      <c r="F279" s="1801"/>
      <c r="G279" s="1801"/>
      <c r="H279" s="1826"/>
    </row>
    <row r="280" spans="1:8" ht="15.75" customHeight="1">
      <c r="A280" s="1799">
        <f t="shared" si="12"/>
        <v>140</v>
      </c>
      <c r="B280" s="1799" t="s">
        <v>1636</v>
      </c>
      <c r="C280" s="1806" t="s">
        <v>137</v>
      </c>
      <c r="D280" s="1804" t="str">
        <f t="shared" si="11"/>
        <v>百事可樂公司/PEP</v>
      </c>
      <c r="E280" s="1801" t="s">
        <v>4740</v>
      </c>
      <c r="F280" s="1801"/>
      <c r="G280" s="1801"/>
      <c r="H280" s="1826"/>
    </row>
    <row r="281" spans="1:8" ht="15.75" customHeight="1">
      <c r="A281" s="1801">
        <f t="shared" si="12"/>
        <v>130</v>
      </c>
      <c r="B281" s="1801" t="s">
        <v>1838</v>
      </c>
      <c r="C281" s="1802" t="s">
        <v>140</v>
      </c>
      <c r="D281" s="1801" t="str">
        <f t="shared" si="11"/>
        <v>印尼國家能源公司/PERTIJ</v>
      </c>
      <c r="E281" s="1801" t="s">
        <v>4741</v>
      </c>
      <c r="F281" s="1801"/>
      <c r="G281" s="1801"/>
      <c r="H281" s="1826"/>
    </row>
    <row r="282" spans="1:8" ht="15.75" customHeight="1">
      <c r="A282" s="1801">
        <f t="shared" si="12"/>
        <v>130</v>
      </c>
      <c r="B282" s="1801" t="s">
        <v>1418</v>
      </c>
      <c r="C282" s="1802" t="s">
        <v>140</v>
      </c>
      <c r="D282" s="1801" t="str">
        <f t="shared" si="11"/>
        <v>印尼國家石油有限公司/PERTIJ</v>
      </c>
      <c r="E282" s="1801" t="s">
        <v>4741</v>
      </c>
      <c r="F282" s="1801"/>
      <c r="G282" s="1801"/>
      <c r="H282" s="1826"/>
    </row>
    <row r="283" spans="1:8" ht="15.75" customHeight="1">
      <c r="A283" s="1799">
        <f t="shared" si="12"/>
        <v>102</v>
      </c>
      <c r="B283" s="1799" t="s">
        <v>1600</v>
      </c>
      <c r="C283" s="1806" t="s">
        <v>1601</v>
      </c>
      <c r="D283" s="1804" t="str">
        <f t="shared" si="11"/>
        <v>秘魯政府國際債券/PERU</v>
      </c>
      <c r="E283" s="1799" t="s">
        <v>4742</v>
      </c>
      <c r="F283" s="1801"/>
      <c r="G283" s="1801"/>
      <c r="H283" s="1826"/>
    </row>
    <row r="284" spans="1:8" ht="15.75" customHeight="1">
      <c r="A284" s="1801">
        <f t="shared" si="12"/>
        <v>177</v>
      </c>
      <c r="B284" s="1801" t="s">
        <v>1833</v>
      </c>
      <c r="C284" s="1802" t="s">
        <v>101</v>
      </c>
      <c r="D284" s="1801" t="str">
        <f t="shared" si="11"/>
        <v>巴西石油/PETBRA</v>
      </c>
      <c r="E284" s="1801" t="s">
        <v>4743</v>
      </c>
      <c r="F284" s="1801"/>
      <c r="G284" s="1801"/>
      <c r="H284" s="1826"/>
    </row>
    <row r="285" spans="1:8" ht="15.75" customHeight="1">
      <c r="A285" s="1801">
        <f t="shared" si="12"/>
        <v>177</v>
      </c>
      <c r="B285" s="1801" t="s">
        <v>1433</v>
      </c>
      <c r="C285" s="1802" t="s">
        <v>101</v>
      </c>
      <c r="D285" s="1801" t="str">
        <f t="shared" ref="D285:D348" si="13">CONCATENATE(B285,"/",C285)</f>
        <v>巴西石油全球金融私人有限公司/PETBRA</v>
      </c>
      <c r="E285" s="1801" t="s">
        <v>4743</v>
      </c>
      <c r="F285" s="1801"/>
      <c r="G285" s="1801"/>
      <c r="H285" s="1826"/>
    </row>
    <row r="286" spans="1:8" ht="15.75" customHeight="1">
      <c r="A286" s="1801">
        <f t="shared" si="12"/>
        <v>137</v>
      </c>
      <c r="B286" s="1801" t="s">
        <v>1449</v>
      </c>
      <c r="C286" s="1802" t="s">
        <v>104</v>
      </c>
      <c r="D286" s="1801" t="str">
        <f t="shared" si="13"/>
        <v>馬來西亞國家石油公司/PETMK</v>
      </c>
      <c r="E286" s="1801" t="s">
        <v>4744</v>
      </c>
      <c r="F286" s="1801"/>
      <c r="G286" s="1801"/>
      <c r="H286" s="1826"/>
    </row>
    <row r="287" spans="1:8" ht="15.75" customHeight="1">
      <c r="A287" s="1799">
        <f t="shared" si="12"/>
        <v>137</v>
      </c>
      <c r="B287" s="1799" t="s">
        <v>1589</v>
      </c>
      <c r="C287" s="1806" t="s">
        <v>104</v>
      </c>
      <c r="D287" s="1804" t="str">
        <f t="shared" si="13"/>
        <v>國油資本有限公司/PETMK</v>
      </c>
      <c r="E287" s="1799" t="s">
        <v>4744</v>
      </c>
      <c r="F287" s="1801"/>
      <c r="G287" s="1801"/>
      <c r="H287" s="1826"/>
    </row>
    <row r="288" spans="1:8" ht="15.75" customHeight="1">
      <c r="A288" s="1801">
        <f t="shared" si="12"/>
        <v>161</v>
      </c>
      <c r="B288" s="1801" t="s">
        <v>1852</v>
      </c>
      <c r="C288" s="1802" t="s">
        <v>103</v>
      </c>
      <c r="D288" s="1801" t="str">
        <f t="shared" si="13"/>
        <v>輝瑞大藥廠/PFE</v>
      </c>
      <c r="E288" s="1801" t="s">
        <v>4745</v>
      </c>
      <c r="F288" s="1801"/>
      <c r="G288" s="1801"/>
      <c r="H288" s="1826"/>
    </row>
    <row r="289" spans="1:24" ht="15.75" customHeight="1">
      <c r="A289" s="1799">
        <f t="shared" si="12"/>
        <v>161</v>
      </c>
      <c r="B289" s="1799" t="s">
        <v>1375</v>
      </c>
      <c r="C289" s="1806" t="s">
        <v>103</v>
      </c>
      <c r="D289" s="1804" t="str">
        <f t="shared" si="13"/>
        <v>輝瑞大藥廠股份有限公司/PFE</v>
      </c>
      <c r="E289" s="1801" t="s">
        <v>4745</v>
      </c>
      <c r="F289" s="1801"/>
      <c r="G289" s="1801"/>
      <c r="H289" s="1826"/>
    </row>
    <row r="290" spans="1:24" ht="15.75" customHeight="1">
      <c r="A290" s="1799">
        <f t="shared" si="12"/>
        <v>181</v>
      </c>
      <c r="B290" s="1799" t="s">
        <v>1376</v>
      </c>
      <c r="C290" s="1806" t="s">
        <v>103</v>
      </c>
      <c r="D290" s="1804" t="str">
        <f t="shared" si="13"/>
        <v>惠氏公司/PFE</v>
      </c>
      <c r="E290" s="1799" t="s">
        <v>4746</v>
      </c>
      <c r="F290" s="1801"/>
      <c r="G290" s="1801"/>
      <c r="H290" s="1826"/>
    </row>
    <row r="291" spans="1:24" ht="15.75" customHeight="1">
      <c r="A291" s="1799">
        <f t="shared" si="12"/>
        <v>161</v>
      </c>
      <c r="B291" s="1825" t="s">
        <v>2312</v>
      </c>
      <c r="C291" s="1802" t="s">
        <v>103</v>
      </c>
      <c r="D291" s="1801" t="str">
        <f t="shared" si="13"/>
        <v>Pfizer Investment Enterprise/PFE</v>
      </c>
      <c r="E291" s="1801" t="s">
        <v>4745</v>
      </c>
      <c r="F291" s="1801"/>
      <c r="G291" s="1801"/>
      <c r="H291" s="1826"/>
    </row>
    <row r="292" spans="1:24" ht="15.75" customHeight="1">
      <c r="A292" s="1799">
        <f t="shared" si="12"/>
        <v>161</v>
      </c>
      <c r="B292" s="1825" t="s">
        <v>2312</v>
      </c>
      <c r="C292" s="1802" t="s">
        <v>103</v>
      </c>
      <c r="D292" s="1801" t="str">
        <f t="shared" si="13"/>
        <v>Pfizer Investment Enterprise/PFE</v>
      </c>
      <c r="E292" s="1801" t="s">
        <v>4745</v>
      </c>
      <c r="F292" s="1801"/>
      <c r="G292" s="1801"/>
      <c r="H292" s="1826"/>
    </row>
    <row r="293" spans="1:24" ht="15.75" customHeight="1">
      <c r="A293" s="1799">
        <f t="shared" si="12"/>
        <v>172</v>
      </c>
      <c r="B293" s="1799" t="s">
        <v>1609</v>
      </c>
      <c r="C293" s="1806" t="s">
        <v>1610</v>
      </c>
      <c r="D293" s="1804" t="str">
        <f t="shared" si="13"/>
        <v>寶僑公司/PG</v>
      </c>
      <c r="E293" s="1799" t="s">
        <v>4747</v>
      </c>
      <c r="F293" s="1801"/>
      <c r="G293" s="1801"/>
      <c r="H293" s="1826"/>
    </row>
    <row r="294" spans="1:24" ht="15.75" customHeight="1">
      <c r="A294" s="1799">
        <f t="shared" si="12"/>
        <v>155</v>
      </c>
      <c r="B294" s="1799" t="s">
        <v>1648</v>
      </c>
      <c r="C294" s="1806" t="s">
        <v>1649</v>
      </c>
      <c r="D294" s="1804" t="str">
        <f t="shared" si="13"/>
        <v>菲律賓政府國際債券/PHILIP</v>
      </c>
      <c r="E294" s="1799" t="s">
        <v>4748</v>
      </c>
      <c r="F294" s="1801"/>
      <c r="G294" s="1801"/>
      <c r="H294" s="1826"/>
    </row>
    <row r="295" spans="1:24" ht="15.75" customHeight="1">
      <c r="A295" s="1799">
        <f t="shared" si="12"/>
        <v>136</v>
      </c>
      <c r="B295" s="1807" t="s">
        <v>1699</v>
      </c>
      <c r="C295" s="1808" t="s">
        <v>1700</v>
      </c>
      <c r="D295" s="1804" t="str">
        <f t="shared" si="13"/>
        <v>Gaci First Investment Co/PIFKSA</v>
      </c>
      <c r="E295" s="1803" t="s">
        <v>4749</v>
      </c>
      <c r="F295" s="1801"/>
      <c r="G295" s="1801"/>
      <c r="H295" s="1826"/>
    </row>
    <row r="296" spans="1:24" ht="15.75" customHeight="1">
      <c r="A296" s="1801">
        <f t="shared" si="12"/>
        <v>108</v>
      </c>
      <c r="B296" s="1801" t="s">
        <v>1872</v>
      </c>
      <c r="C296" s="1802" t="s">
        <v>65</v>
      </c>
      <c r="D296" s="1801" t="str">
        <f t="shared" si="13"/>
        <v>印尼國家電力公司/PLNIJ</v>
      </c>
      <c r="E296" s="1801" t="s">
        <v>4750</v>
      </c>
      <c r="F296" s="1801"/>
      <c r="G296" s="1801"/>
      <c r="H296" s="1826"/>
    </row>
    <row r="297" spans="1:24" ht="15.75" customHeight="1">
      <c r="A297" s="1799">
        <f t="shared" si="12"/>
        <v>108</v>
      </c>
      <c r="B297" s="1804" t="s">
        <v>1413</v>
      </c>
      <c r="C297" s="1805" t="s">
        <v>65</v>
      </c>
      <c r="D297" s="1804" t="str">
        <f t="shared" si="13"/>
        <v>國家電力公司/PLNIJ</v>
      </c>
      <c r="E297" s="1799" t="s">
        <v>4750</v>
      </c>
      <c r="F297" s="1801"/>
      <c r="G297" s="1801"/>
      <c r="H297" s="1826"/>
    </row>
    <row r="298" spans="1:24" ht="15.75" customHeight="1">
      <c r="A298" s="1799">
        <f t="shared" si="12"/>
        <v>156</v>
      </c>
      <c r="B298" s="1831" t="s">
        <v>1685</v>
      </c>
      <c r="C298" s="1810" t="s">
        <v>1686</v>
      </c>
      <c r="D298" s="1804" t="str">
        <f t="shared" si="13"/>
        <v>菲利浦莫里斯國際公司/PM</v>
      </c>
      <c r="E298" s="1801" t="s">
        <v>4751</v>
      </c>
      <c r="F298" s="1801"/>
      <c r="G298" s="1801"/>
      <c r="H298" s="1826"/>
      <c r="V298" s="1813"/>
      <c r="W298" s="1813"/>
      <c r="X298" s="1813"/>
    </row>
    <row r="299" spans="1:24" ht="15.75" customHeight="1">
      <c r="A299" s="1799">
        <f t="shared" si="12"/>
        <v>158</v>
      </c>
      <c r="B299" s="1804" t="s">
        <v>1580</v>
      </c>
      <c r="C299" s="1805" t="s">
        <v>1581</v>
      </c>
      <c r="D299" s="1804" t="str">
        <f t="shared" si="13"/>
        <v>Power Finance Corp Ltd/POWFIN</v>
      </c>
      <c r="E299" s="1799" t="s">
        <v>4752</v>
      </c>
      <c r="F299" s="1801"/>
      <c r="G299" s="1801"/>
      <c r="H299" s="1826"/>
      <c r="V299" s="1813"/>
      <c r="W299" s="1813"/>
      <c r="X299" s="1813"/>
    </row>
    <row r="300" spans="1:24" ht="15.75" customHeight="1">
      <c r="A300" s="1801">
        <f t="shared" si="12"/>
        <v>162</v>
      </c>
      <c r="B300" s="1801" t="s">
        <v>1901</v>
      </c>
      <c r="C300" s="1802" t="s">
        <v>152</v>
      </c>
      <c r="D300" s="1801" t="str">
        <f t="shared" si="13"/>
        <v>保德信金融公司/PRU</v>
      </c>
      <c r="E300" s="1821" t="s">
        <v>4753</v>
      </c>
      <c r="F300" s="1801"/>
      <c r="G300" s="1801"/>
      <c r="H300" s="1812"/>
      <c r="I300" s="1812"/>
      <c r="J300" s="1812"/>
      <c r="K300" s="1813"/>
      <c r="L300" s="1813"/>
      <c r="M300" s="1813"/>
      <c r="N300" s="1813"/>
      <c r="O300" s="1813"/>
      <c r="P300" s="1813"/>
      <c r="Q300" s="1813"/>
      <c r="R300" s="1813"/>
      <c r="S300" s="1813"/>
      <c r="T300" s="1813"/>
      <c r="U300" s="1813"/>
      <c r="V300" s="1813"/>
      <c r="W300" s="1813"/>
      <c r="X300" s="1813"/>
    </row>
    <row r="301" spans="1:24" ht="15.75" customHeight="1">
      <c r="A301" s="1799">
        <f t="shared" si="12"/>
        <v>162</v>
      </c>
      <c r="B301" s="1799" t="s">
        <v>1427</v>
      </c>
      <c r="C301" s="1806" t="s">
        <v>152</v>
      </c>
      <c r="D301" s="1804" t="str">
        <f t="shared" si="13"/>
        <v>保德信金融/PRU</v>
      </c>
      <c r="E301" s="1799" t="s">
        <v>4754</v>
      </c>
      <c r="F301" s="1801"/>
      <c r="G301" s="1801"/>
      <c r="H301" s="1812"/>
      <c r="I301" s="1812"/>
      <c r="J301" s="1812"/>
      <c r="K301" s="1813"/>
      <c r="L301" s="1813"/>
      <c r="M301" s="1813"/>
      <c r="N301" s="1813"/>
      <c r="O301" s="1813"/>
      <c r="P301" s="1813"/>
      <c r="Q301" s="1813"/>
      <c r="R301" s="1813"/>
      <c r="S301" s="1813"/>
      <c r="T301" s="1813"/>
      <c r="U301" s="1813"/>
      <c r="V301" s="1813"/>
      <c r="W301" s="1813"/>
      <c r="X301" s="1813"/>
    </row>
    <row r="302" spans="1:24" ht="15.75" customHeight="1">
      <c r="A302" s="1801">
        <f t="shared" si="12"/>
        <v>158</v>
      </c>
      <c r="B302" s="1801" t="s">
        <v>1386</v>
      </c>
      <c r="C302" s="1802" t="s">
        <v>1928</v>
      </c>
      <c r="D302" s="1801" t="str">
        <f t="shared" si="13"/>
        <v>Paypal控股有限公司/PYPL</v>
      </c>
      <c r="E302" s="1801" t="s">
        <v>4755</v>
      </c>
      <c r="F302" s="1801"/>
      <c r="G302" s="1801"/>
      <c r="H302" s="1812"/>
      <c r="I302" s="1812"/>
      <c r="J302" s="1812"/>
      <c r="K302" s="1813"/>
      <c r="L302" s="1813"/>
      <c r="M302" s="1813"/>
      <c r="N302" s="1813"/>
      <c r="O302" s="1813"/>
      <c r="P302" s="1813"/>
      <c r="Q302" s="1813"/>
      <c r="R302" s="1813"/>
      <c r="S302" s="1813"/>
      <c r="T302" s="1813"/>
      <c r="U302" s="1813"/>
      <c r="V302" s="1813"/>
      <c r="W302" s="1813"/>
      <c r="X302" s="1813"/>
    </row>
    <row r="303" spans="1:24" ht="15.75" customHeight="1">
      <c r="A303" s="1799">
        <f t="shared" si="12"/>
        <v>109</v>
      </c>
      <c r="B303" s="1804" t="s">
        <v>1380</v>
      </c>
      <c r="C303" s="1805" t="s">
        <v>1579</v>
      </c>
      <c r="D303" s="1804" t="str">
        <f t="shared" si="13"/>
        <v>卡達政府國際債券/QATAR</v>
      </c>
      <c r="E303" s="1821" t="s">
        <v>4756</v>
      </c>
      <c r="F303" s="1801"/>
      <c r="G303" s="1801"/>
      <c r="H303" s="1812"/>
      <c r="I303" s="1812"/>
      <c r="J303" s="1812"/>
      <c r="K303" s="1813"/>
      <c r="L303" s="1813"/>
      <c r="M303" s="1813"/>
      <c r="N303" s="1813"/>
      <c r="O303" s="1813"/>
      <c r="P303" s="1813"/>
      <c r="Q303" s="1813"/>
      <c r="R303" s="1813"/>
      <c r="S303" s="1813"/>
      <c r="T303" s="1813"/>
      <c r="U303" s="1813"/>
      <c r="V303" s="1813"/>
      <c r="W303" s="1813"/>
      <c r="X303" s="1813"/>
    </row>
    <row r="304" spans="1:24" ht="15.75" customHeight="1">
      <c r="A304" s="1801">
        <f t="shared" si="12"/>
        <v>154</v>
      </c>
      <c r="B304" s="1801" t="s">
        <v>1368</v>
      </c>
      <c r="C304" s="1802" t="s">
        <v>97</v>
      </c>
      <c r="D304" s="1801" t="str">
        <f t="shared" si="13"/>
        <v>高通公司/QCOM</v>
      </c>
      <c r="E304" s="1801" t="s">
        <v>4757</v>
      </c>
      <c r="F304" s="1801"/>
      <c r="G304" s="1801"/>
      <c r="H304" s="1812"/>
      <c r="I304" s="1812"/>
      <c r="J304" s="1812"/>
      <c r="K304" s="1813"/>
      <c r="L304" s="1813"/>
      <c r="M304" s="1813"/>
      <c r="N304" s="1813"/>
      <c r="O304" s="1813"/>
      <c r="P304" s="1813"/>
      <c r="Q304" s="1813"/>
      <c r="R304" s="1813"/>
      <c r="S304" s="1813"/>
      <c r="T304" s="1813"/>
      <c r="U304" s="1813"/>
      <c r="V304" s="1813"/>
      <c r="W304" s="1813"/>
      <c r="X304" s="1813"/>
    </row>
    <row r="305" spans="1:24" ht="15.75" customHeight="1">
      <c r="A305" s="1801">
        <f t="shared" si="12"/>
        <v>154</v>
      </c>
      <c r="B305" s="1801" t="s">
        <v>1929</v>
      </c>
      <c r="C305" s="1802" t="s">
        <v>97</v>
      </c>
      <c r="D305" s="1801" t="str">
        <f t="shared" si="13"/>
        <v>高通公司 /QCOM</v>
      </c>
      <c r="E305" s="1801" t="s">
        <v>4757</v>
      </c>
      <c r="F305" s="1801"/>
      <c r="G305" s="1801"/>
      <c r="H305" s="1812"/>
      <c r="I305" s="1812"/>
      <c r="J305" s="1812"/>
      <c r="K305" s="1813"/>
      <c r="L305" s="1813"/>
      <c r="M305" s="1813"/>
      <c r="N305" s="1813"/>
      <c r="O305" s="1813"/>
      <c r="P305" s="1813"/>
      <c r="Q305" s="1813"/>
      <c r="R305" s="1813"/>
      <c r="S305" s="1813"/>
      <c r="T305" s="1813"/>
      <c r="U305" s="1813"/>
      <c r="V305" s="1813"/>
      <c r="W305" s="1813"/>
      <c r="X305" s="1813"/>
    </row>
    <row r="306" spans="1:24" ht="15.75" customHeight="1">
      <c r="A306" s="1801">
        <f t="shared" si="12"/>
        <v>162</v>
      </c>
      <c r="B306" s="1814" t="s">
        <v>1389</v>
      </c>
      <c r="C306" s="1815" t="s">
        <v>1013</v>
      </c>
      <c r="D306" s="1801" t="str">
        <f t="shared" si="13"/>
        <v>卡達國家銀行金融有限公司/QNBK</v>
      </c>
      <c r="E306" s="1799" t="s">
        <v>4758</v>
      </c>
      <c r="F306" s="1801"/>
      <c r="G306" s="1801"/>
      <c r="H306" s="1812"/>
      <c r="I306" s="1812"/>
      <c r="J306" s="1812"/>
      <c r="K306" s="1813"/>
      <c r="L306" s="1813"/>
      <c r="M306" s="1813"/>
      <c r="N306" s="1813"/>
      <c r="O306" s="1813"/>
      <c r="P306" s="1813"/>
      <c r="Q306" s="1813"/>
      <c r="R306" s="1813"/>
      <c r="S306" s="1813"/>
      <c r="T306" s="1813"/>
      <c r="U306" s="1813"/>
      <c r="V306" s="1813"/>
      <c r="W306" s="1813"/>
      <c r="X306" s="1813"/>
    </row>
    <row r="307" spans="1:24" ht="15.75" customHeight="1">
      <c r="A307" s="1799">
        <f t="shared" si="12"/>
        <v>154</v>
      </c>
      <c r="B307" s="1804" t="s">
        <v>1415</v>
      </c>
      <c r="C307" s="1805" t="s">
        <v>1560</v>
      </c>
      <c r="D307" s="1804" t="str">
        <f t="shared" si="13"/>
        <v>荷蘭合作銀行/RABOBK</v>
      </c>
      <c r="E307" s="1799" t="s">
        <v>4759</v>
      </c>
      <c r="F307" s="1801"/>
      <c r="G307" s="1801"/>
      <c r="H307" s="1812"/>
      <c r="I307" s="1812"/>
      <c r="J307" s="1812"/>
      <c r="K307" s="1813"/>
      <c r="L307" s="1813"/>
      <c r="M307" s="1813"/>
      <c r="N307" s="1813"/>
      <c r="O307" s="1813"/>
      <c r="P307" s="1813"/>
      <c r="Q307" s="1813"/>
      <c r="R307" s="1813"/>
      <c r="S307" s="1813"/>
      <c r="T307" s="1813"/>
      <c r="U307" s="1813"/>
      <c r="V307" s="1813"/>
      <c r="W307" s="1813"/>
      <c r="X307" s="1813"/>
    </row>
    <row r="308" spans="1:24" ht="15.75" customHeight="1">
      <c r="A308" s="1801">
        <f t="shared" si="12"/>
        <v>157</v>
      </c>
      <c r="B308" s="1801" t="s">
        <v>1930</v>
      </c>
      <c r="C308" s="1802" t="s">
        <v>256</v>
      </c>
      <c r="D308" s="1801" t="str">
        <f t="shared" si="13"/>
        <v>皇家加勒比國際郵輪 /RCL</v>
      </c>
      <c r="E308" s="1801" t="s">
        <v>4760</v>
      </c>
      <c r="F308" s="1801"/>
      <c r="G308" s="1801"/>
      <c r="H308" s="1812"/>
      <c r="I308" s="1812"/>
      <c r="J308" s="1812"/>
      <c r="K308" s="1813"/>
      <c r="L308" s="1813"/>
      <c r="M308" s="1813"/>
      <c r="N308" s="1813"/>
      <c r="O308" s="1813"/>
      <c r="P308" s="1813"/>
      <c r="Q308" s="1813"/>
      <c r="R308" s="1813"/>
      <c r="S308" s="1813"/>
      <c r="T308" s="1813"/>
      <c r="U308" s="1813"/>
      <c r="V308" s="1813"/>
      <c r="W308" s="1813"/>
      <c r="X308" s="1813"/>
    </row>
    <row r="309" spans="1:24" ht="15.75" customHeight="1">
      <c r="A309" s="1799">
        <f t="shared" si="12"/>
        <v>157</v>
      </c>
      <c r="B309" s="1807" t="s">
        <v>1495</v>
      </c>
      <c r="C309" s="1808" t="s">
        <v>256</v>
      </c>
      <c r="D309" s="1804" t="str">
        <f t="shared" si="13"/>
        <v>皇家加勒比國際游輪/RCL</v>
      </c>
      <c r="E309" s="1803" t="s">
        <v>4760</v>
      </c>
      <c r="F309" s="1801"/>
      <c r="G309" s="1801"/>
      <c r="H309" s="1812"/>
      <c r="I309" s="1812"/>
      <c r="J309" s="1812"/>
      <c r="K309" s="1813"/>
      <c r="L309" s="1813"/>
      <c r="M309" s="1813"/>
      <c r="N309" s="1813"/>
      <c r="O309" s="1813"/>
      <c r="P309" s="1813"/>
      <c r="Q309" s="1813"/>
      <c r="R309" s="1813"/>
      <c r="S309" s="1813"/>
      <c r="T309" s="1813"/>
      <c r="U309" s="1813"/>
      <c r="V309" s="1813"/>
      <c r="W309" s="1813"/>
      <c r="X309" s="1813"/>
    </row>
    <row r="310" spans="1:24" ht="15.75" customHeight="1">
      <c r="A310" s="1801">
        <f t="shared" si="12"/>
        <v>171</v>
      </c>
      <c r="B310" s="1801" t="s">
        <v>1835</v>
      </c>
      <c r="C310" s="1802" t="s">
        <v>232</v>
      </c>
      <c r="D310" s="1801" t="str">
        <f t="shared" si="13"/>
        <v>殼牌國際金融公司 /RDSALN</v>
      </c>
      <c r="E310" s="1799" t="s">
        <v>4761</v>
      </c>
      <c r="F310" s="1801"/>
      <c r="G310" s="1801"/>
      <c r="H310" s="1812"/>
      <c r="I310" s="1812"/>
      <c r="J310" s="1812"/>
      <c r="K310" s="1813"/>
      <c r="L310" s="1813"/>
      <c r="M310" s="1813"/>
      <c r="N310" s="1813"/>
      <c r="O310" s="1813"/>
      <c r="P310" s="1813"/>
      <c r="Q310" s="1813"/>
      <c r="R310" s="1813"/>
      <c r="S310" s="1813"/>
      <c r="T310" s="1813"/>
      <c r="U310" s="1813"/>
      <c r="V310" s="1813"/>
      <c r="W310" s="1813"/>
      <c r="X310" s="1813"/>
    </row>
    <row r="311" spans="1:24" ht="15.75" customHeight="1">
      <c r="A311" s="1799">
        <f t="shared" si="12"/>
        <v>171</v>
      </c>
      <c r="B311" s="1799" t="s">
        <v>1379</v>
      </c>
      <c r="C311" s="1806" t="s">
        <v>108</v>
      </c>
      <c r="D311" s="1804" t="str">
        <f t="shared" si="13"/>
        <v>殼牌國際金融私人有限公司/RDSALN</v>
      </c>
      <c r="E311" s="1799" t="s">
        <v>4761</v>
      </c>
      <c r="F311" s="1801"/>
      <c r="G311" s="1801"/>
      <c r="H311" s="1812"/>
      <c r="I311" s="1812"/>
      <c r="J311" s="1812"/>
      <c r="K311" s="1813"/>
      <c r="L311" s="1813"/>
      <c r="M311" s="1813"/>
      <c r="N311" s="1813"/>
      <c r="O311" s="1813"/>
      <c r="P311" s="1813"/>
      <c r="Q311" s="1813"/>
      <c r="R311" s="1813"/>
      <c r="S311" s="1813"/>
      <c r="T311" s="1813"/>
      <c r="U311" s="1813"/>
      <c r="V311" s="1813"/>
      <c r="W311" s="1813"/>
      <c r="X311" s="1813"/>
    </row>
    <row r="312" spans="1:24" ht="15.75" customHeight="1">
      <c r="A312" s="1799">
        <f t="shared" si="12"/>
        <v>142</v>
      </c>
      <c r="B312" s="1799" t="s">
        <v>1627</v>
      </c>
      <c r="C312" s="1806" t="s">
        <v>1628</v>
      </c>
      <c r="D312" s="1804" t="str">
        <f t="shared" si="13"/>
        <v>農林金融公庫/RENTEN</v>
      </c>
      <c r="E312" s="1799" t="s">
        <v>1629</v>
      </c>
      <c r="F312" s="1801"/>
      <c r="G312" s="1801"/>
      <c r="H312" s="1812"/>
      <c r="I312" s="1812"/>
      <c r="J312" s="1812"/>
      <c r="K312" s="1813"/>
      <c r="L312" s="1813"/>
      <c r="M312" s="1813"/>
      <c r="N312" s="1813"/>
      <c r="O312" s="1813"/>
      <c r="P312" s="1813"/>
      <c r="Q312" s="1813"/>
      <c r="R312" s="1813"/>
      <c r="S312" s="1813"/>
      <c r="T312" s="1813"/>
      <c r="U312" s="1813"/>
      <c r="V312" s="1813"/>
      <c r="W312" s="1813"/>
      <c r="X312" s="1813"/>
    </row>
    <row r="313" spans="1:24" ht="15.75" customHeight="1">
      <c r="A313" s="1799">
        <f t="shared" si="12"/>
        <v>121</v>
      </c>
      <c r="B313" s="1799" t="s">
        <v>1616</v>
      </c>
      <c r="C313" s="1806" t="s">
        <v>1617</v>
      </c>
      <c r="D313" s="1804" t="str">
        <f t="shared" si="13"/>
        <v>力拓金融公開有限公司/RIOLN</v>
      </c>
      <c r="E313" s="1799" t="s">
        <v>4762</v>
      </c>
      <c r="F313" s="1801"/>
      <c r="G313" s="1801"/>
      <c r="H313" s="1812"/>
      <c r="I313" s="1812"/>
      <c r="J313" s="1812"/>
      <c r="K313" s="1813"/>
      <c r="L313" s="1813"/>
      <c r="M313" s="1813"/>
      <c r="N313" s="1813"/>
      <c r="O313" s="1813"/>
      <c r="P313" s="1813"/>
      <c r="Q313" s="1813"/>
      <c r="R313" s="1813"/>
      <c r="S313" s="1813"/>
      <c r="T313" s="1813"/>
      <c r="U313" s="1813"/>
      <c r="V313" s="1813"/>
      <c r="W313" s="1813"/>
      <c r="X313" s="1813"/>
    </row>
    <row r="314" spans="1:24" ht="15.75" customHeight="1">
      <c r="A314" s="1799">
        <f t="shared" si="12"/>
        <v>129</v>
      </c>
      <c r="B314" s="1799" t="s">
        <v>1366</v>
      </c>
      <c r="C314" s="1806" t="s">
        <v>1668</v>
      </c>
      <c r="D314" s="1804" t="str">
        <f t="shared" si="13"/>
        <v>雷神科技公司/RTX</v>
      </c>
      <c r="E314" s="1799" t="s">
        <v>4763</v>
      </c>
      <c r="F314" s="1801"/>
      <c r="G314" s="1801"/>
      <c r="H314" s="1812"/>
      <c r="I314" s="1812"/>
      <c r="J314" s="1812"/>
      <c r="K314" s="1813"/>
      <c r="L314" s="1813"/>
      <c r="M314" s="1813"/>
      <c r="N314" s="1813"/>
      <c r="O314" s="1813"/>
      <c r="P314" s="1813"/>
      <c r="Q314" s="1813"/>
      <c r="R314" s="1813"/>
      <c r="S314" s="1813"/>
      <c r="T314" s="1813"/>
      <c r="U314" s="1813"/>
      <c r="V314" s="1813"/>
      <c r="W314" s="1813"/>
      <c r="X314" s="1813"/>
    </row>
    <row r="315" spans="1:24" ht="15.75" customHeight="1">
      <c r="A315" s="1801">
        <f t="shared" si="12"/>
        <v>142</v>
      </c>
      <c r="B315" s="1801" t="s">
        <v>1855</v>
      </c>
      <c r="C315" s="1802" t="s">
        <v>235</v>
      </c>
      <c r="D315" s="1801" t="str">
        <f t="shared" si="13"/>
        <v>俄羅斯聯邦政府/RUSSIA</v>
      </c>
      <c r="E315" s="1801" t="s">
        <v>4764</v>
      </c>
      <c r="F315" s="1801"/>
      <c r="G315" s="1801"/>
      <c r="H315" s="1812"/>
      <c r="I315" s="1812"/>
      <c r="J315" s="1812"/>
      <c r="K315" s="1813"/>
      <c r="L315" s="1813"/>
      <c r="M315" s="1813"/>
      <c r="N315" s="1813"/>
      <c r="O315" s="1813"/>
      <c r="P315" s="1813"/>
      <c r="Q315" s="1813"/>
      <c r="R315" s="1813"/>
      <c r="S315" s="1813"/>
      <c r="T315" s="1813"/>
      <c r="U315" s="1813"/>
      <c r="V315" s="1813"/>
      <c r="W315" s="1813"/>
      <c r="X315" s="1813"/>
    </row>
    <row r="316" spans="1:24" ht="15.75" customHeight="1">
      <c r="A316" s="1799">
        <f t="shared" si="12"/>
        <v>142</v>
      </c>
      <c r="B316" s="1807" t="s">
        <v>1450</v>
      </c>
      <c r="C316" s="1808" t="s">
        <v>235</v>
      </c>
      <c r="D316" s="1804" t="str">
        <f t="shared" si="13"/>
        <v>俄羅斯外國債券-歐洲債券/RUSSIA</v>
      </c>
      <c r="E316" s="1803" t="s">
        <v>4764</v>
      </c>
      <c r="F316" s="1801"/>
      <c r="G316" s="1801"/>
      <c r="H316" s="1812"/>
      <c r="I316" s="1812"/>
      <c r="J316" s="1812"/>
      <c r="K316" s="1813"/>
      <c r="L316" s="1813"/>
      <c r="M316" s="1813"/>
      <c r="N316" s="1813"/>
      <c r="O316" s="1813"/>
      <c r="P316" s="1813"/>
      <c r="Q316" s="1813"/>
      <c r="R316" s="1813"/>
      <c r="S316" s="1813"/>
      <c r="T316" s="1813"/>
      <c r="U316" s="1813"/>
      <c r="V316" s="1813"/>
      <c r="W316" s="1813"/>
      <c r="X316" s="1813"/>
    </row>
    <row r="317" spans="1:24" ht="15.75" customHeight="1">
      <c r="A317" s="1799">
        <f t="shared" si="12"/>
        <v>112</v>
      </c>
      <c r="B317" s="1804" t="s">
        <v>1556</v>
      </c>
      <c r="C317" s="1805" t="s">
        <v>1557</v>
      </c>
      <c r="D317" s="1804" t="str">
        <f t="shared" si="13"/>
        <v>南非國營運輸有限公司/SAFTRA</v>
      </c>
      <c r="E317" s="1799" t="s">
        <v>4765</v>
      </c>
      <c r="F317" s="1801"/>
      <c r="G317" s="1801"/>
      <c r="H317" s="1812"/>
      <c r="I317" s="1812"/>
      <c r="J317" s="1812"/>
      <c r="K317" s="1813"/>
      <c r="L317" s="1813"/>
      <c r="M317" s="1813"/>
      <c r="N317" s="1813"/>
      <c r="O317" s="1813"/>
      <c r="P317" s="1813"/>
      <c r="Q317" s="1813"/>
      <c r="R317" s="1813"/>
      <c r="S317" s="1813"/>
      <c r="T317" s="1813"/>
      <c r="U317" s="1813"/>
      <c r="V317" s="1813"/>
      <c r="W317" s="1813"/>
      <c r="X317" s="1813"/>
    </row>
    <row r="318" spans="1:24" ht="15.75" customHeight="1">
      <c r="A318" s="1799">
        <f t="shared" si="12"/>
        <v>125</v>
      </c>
      <c r="B318" s="1809" t="s">
        <v>1679</v>
      </c>
      <c r="C318" s="1802" t="s">
        <v>1680</v>
      </c>
      <c r="D318" s="1804" t="str">
        <f t="shared" si="13"/>
        <v>南非公債/SAGB</v>
      </c>
      <c r="E318" s="1799" t="s">
        <v>4766</v>
      </c>
      <c r="F318" s="1801"/>
      <c r="G318" s="1801"/>
      <c r="H318" s="1812"/>
      <c r="I318" s="1812"/>
      <c r="J318" s="1812"/>
      <c r="K318" s="1813"/>
      <c r="L318" s="1813"/>
      <c r="M318" s="1813"/>
      <c r="N318" s="1813"/>
      <c r="O318" s="1813"/>
      <c r="P318" s="1813"/>
      <c r="Q318" s="1813"/>
      <c r="R318" s="1813"/>
      <c r="S318" s="1813"/>
      <c r="T318" s="1813"/>
      <c r="U318" s="1813"/>
      <c r="V318" s="1813"/>
      <c r="W318" s="1813"/>
      <c r="X318" s="1813"/>
    </row>
    <row r="319" spans="1:24" ht="15.75" customHeight="1">
      <c r="A319" s="1799">
        <f t="shared" si="12"/>
        <v>160</v>
      </c>
      <c r="B319" s="1804" t="s">
        <v>1411</v>
      </c>
      <c r="C319" s="1805" t="s">
        <v>1565</v>
      </c>
      <c r="D319" s="1804" t="str">
        <f t="shared" si="13"/>
        <v>西班牙國際銀行/SANTAN</v>
      </c>
      <c r="E319" s="1799" t="s">
        <v>4767</v>
      </c>
      <c r="F319" s="1801"/>
      <c r="G319" s="1801"/>
      <c r="H319" s="1812"/>
      <c r="I319" s="1812"/>
      <c r="J319" s="1812"/>
      <c r="K319" s="1813"/>
      <c r="L319" s="1813"/>
      <c r="M319" s="1813"/>
      <c r="N319" s="1813"/>
      <c r="O319" s="1813"/>
      <c r="P319" s="1813"/>
      <c r="Q319" s="1813"/>
      <c r="R319" s="1813"/>
      <c r="S319" s="1813"/>
      <c r="T319" s="1813"/>
      <c r="U319" s="1813"/>
      <c r="V319" s="1813"/>
      <c r="W319" s="1813"/>
      <c r="X319" s="1813"/>
    </row>
    <row r="320" spans="1:24" ht="15.75" customHeight="1">
      <c r="A320" s="1801">
        <f t="shared" si="12"/>
        <v>141</v>
      </c>
      <c r="B320" s="1801" t="s">
        <v>1840</v>
      </c>
      <c r="C320" s="1802" t="s">
        <v>178</v>
      </c>
      <c r="D320" s="1801" t="str">
        <f t="shared" si="13"/>
        <v>西班牙國際銀行英國控股公司/SANUK</v>
      </c>
      <c r="E320" s="1801" t="s">
        <v>4768</v>
      </c>
      <c r="F320" s="1801"/>
      <c r="G320" s="1801"/>
      <c r="H320" s="1812"/>
      <c r="I320" s="1812"/>
      <c r="J320" s="1812"/>
      <c r="K320" s="1813"/>
      <c r="L320" s="1813"/>
      <c r="M320" s="1813"/>
      <c r="N320" s="1813"/>
      <c r="O320" s="1813"/>
      <c r="P320" s="1813"/>
      <c r="Q320" s="1813"/>
      <c r="R320" s="1813"/>
      <c r="S320" s="1813"/>
      <c r="T320" s="1813"/>
      <c r="U320" s="1813"/>
      <c r="V320" s="1813"/>
      <c r="W320" s="1813"/>
      <c r="X320" s="1813"/>
    </row>
    <row r="321" spans="1:24" ht="15.75" customHeight="1">
      <c r="A321" s="1801">
        <f t="shared" si="12"/>
        <v>141</v>
      </c>
      <c r="B321" s="1801" t="s">
        <v>1535</v>
      </c>
      <c r="C321" s="1802" t="s">
        <v>178</v>
      </c>
      <c r="D321" s="1801" t="str">
        <f t="shared" si="13"/>
        <v>桑坦德英國公開有限公司/SANUK</v>
      </c>
      <c r="E321" s="1801" t="s">
        <v>4768</v>
      </c>
      <c r="F321" s="1801"/>
      <c r="G321" s="1801"/>
      <c r="H321" s="1812"/>
      <c r="I321" s="1812"/>
      <c r="J321" s="1812"/>
      <c r="K321" s="1813"/>
      <c r="L321" s="1813"/>
      <c r="M321" s="1813"/>
      <c r="N321" s="1813"/>
      <c r="O321" s="1813"/>
      <c r="P321" s="1813"/>
      <c r="Q321" s="1813"/>
      <c r="R321" s="1813"/>
      <c r="S321" s="1813"/>
      <c r="T321" s="1813"/>
      <c r="U321" s="1813"/>
      <c r="V321" s="1813"/>
      <c r="W321" s="1813"/>
      <c r="X321" s="1813"/>
    </row>
    <row r="322" spans="1:24" ht="15.75" customHeight="1">
      <c r="A322" s="1799">
        <f t="shared" si="12"/>
        <v>141</v>
      </c>
      <c r="B322" s="1804" t="s">
        <v>1438</v>
      </c>
      <c r="C322" s="1805" t="s">
        <v>178</v>
      </c>
      <c r="D322" s="1804" t="str">
        <f t="shared" si="13"/>
        <v>桑坦德集團控股(英國)/SANUK</v>
      </c>
      <c r="E322" s="1799" t="s">
        <v>4768</v>
      </c>
      <c r="F322" s="1801"/>
      <c r="G322" s="1801"/>
      <c r="H322" s="1812"/>
      <c r="I322" s="1812"/>
      <c r="J322" s="1812"/>
      <c r="K322" s="1813"/>
      <c r="L322" s="1813"/>
      <c r="M322" s="1813"/>
      <c r="N322" s="1813"/>
      <c r="O322" s="1813"/>
      <c r="P322" s="1813"/>
      <c r="Q322" s="1813"/>
      <c r="R322" s="1813"/>
      <c r="S322" s="1813"/>
      <c r="T322" s="1813"/>
      <c r="U322" s="1813"/>
      <c r="V322" s="1813"/>
      <c r="W322" s="1813"/>
      <c r="X322" s="1813"/>
    </row>
    <row r="323" spans="1:24" ht="15.75" customHeight="1">
      <c r="A323" s="1799">
        <f t="shared" ref="A323:A386" si="14">LEN(E323)</f>
        <v>162</v>
      </c>
      <c r="B323" s="1804" t="s">
        <v>1522</v>
      </c>
      <c r="C323" s="1805" t="s">
        <v>1523</v>
      </c>
      <c r="D323" s="1804" t="str">
        <f t="shared" si="13"/>
        <v>俄羅斯聯邦儲蓄銀行透過SB資本/SBERRU</v>
      </c>
      <c r="E323" s="1799" t="s">
        <v>4769</v>
      </c>
      <c r="F323" s="1801"/>
      <c r="G323" s="1801"/>
      <c r="H323" s="1812"/>
      <c r="I323" s="1812"/>
      <c r="J323" s="1812"/>
      <c r="K323" s="1813"/>
      <c r="L323" s="1813"/>
      <c r="M323" s="1813"/>
      <c r="N323" s="1813"/>
      <c r="O323" s="1813"/>
      <c r="P323" s="1813"/>
      <c r="Q323" s="1813"/>
      <c r="R323" s="1813"/>
      <c r="S323" s="1813"/>
      <c r="T323" s="1813"/>
      <c r="U323" s="1813"/>
      <c r="V323" s="1813"/>
      <c r="W323" s="1813"/>
      <c r="X323" s="1813"/>
    </row>
    <row r="324" spans="1:24" ht="15.75" customHeight="1">
      <c r="A324" s="1801">
        <f t="shared" si="14"/>
        <v>177</v>
      </c>
      <c r="B324" s="1801" t="s">
        <v>1425</v>
      </c>
      <c r="C324" s="1802" t="s">
        <v>106</v>
      </c>
      <c r="D324" s="1801" t="str">
        <f t="shared" si="13"/>
        <v>星巴克公司/SBUX</v>
      </c>
      <c r="E324" s="1801" t="s">
        <v>4770</v>
      </c>
      <c r="F324" s="1801"/>
      <c r="G324" s="1801"/>
      <c r="H324" s="1812"/>
      <c r="I324" s="1812"/>
      <c r="J324" s="1812"/>
      <c r="K324" s="1813"/>
      <c r="L324" s="1813"/>
      <c r="M324" s="1813"/>
      <c r="N324" s="1813"/>
      <c r="O324" s="1813"/>
      <c r="P324" s="1813"/>
      <c r="Q324" s="1813"/>
      <c r="R324" s="1813"/>
      <c r="S324" s="1813"/>
      <c r="T324" s="1813"/>
      <c r="U324" s="1813"/>
      <c r="V324" s="1813"/>
      <c r="W324" s="1813"/>
      <c r="X324" s="1813"/>
    </row>
    <row r="325" spans="1:24" ht="15.75" customHeight="1">
      <c r="A325" s="1799">
        <f t="shared" si="14"/>
        <v>177</v>
      </c>
      <c r="B325" s="1799" t="s">
        <v>1592</v>
      </c>
      <c r="C325" s="1806" t="s">
        <v>106</v>
      </c>
      <c r="D325" s="1804" t="str">
        <f t="shared" si="13"/>
        <v>星巴克/SBUX</v>
      </c>
      <c r="E325" s="1799" t="s">
        <v>4770</v>
      </c>
      <c r="F325" s="1801"/>
      <c r="G325" s="1801"/>
      <c r="H325" s="1812"/>
      <c r="I325" s="1812"/>
      <c r="J325" s="1812"/>
      <c r="K325" s="1813"/>
      <c r="L325" s="1813"/>
      <c r="M325" s="1813"/>
      <c r="N325" s="1813"/>
      <c r="O325" s="1813"/>
      <c r="P325" s="1813"/>
      <c r="Q325" s="1813"/>
      <c r="R325" s="1813"/>
      <c r="S325" s="1813"/>
      <c r="T325" s="1813"/>
      <c r="U325" s="1813"/>
      <c r="V325" s="1813"/>
      <c r="W325" s="1813"/>
      <c r="X325" s="1813"/>
    </row>
    <row r="326" spans="1:24" ht="15.75" customHeight="1">
      <c r="A326" s="1801">
        <f t="shared" si="14"/>
        <v>154</v>
      </c>
      <c r="B326" s="1801" t="s">
        <v>1839</v>
      </c>
      <c r="C326" s="1802" t="s">
        <v>134</v>
      </c>
      <c r="D326" s="1801" t="str">
        <f t="shared" si="13"/>
        <v>沙烏地電力/SECO</v>
      </c>
      <c r="E326" s="1801" t="s">
        <v>4771</v>
      </c>
      <c r="F326" s="1801"/>
      <c r="G326" s="1801"/>
      <c r="H326" s="1812"/>
      <c r="I326" s="1812"/>
      <c r="J326" s="1812"/>
      <c r="K326" s="1813"/>
      <c r="L326" s="1813"/>
      <c r="M326" s="1813"/>
      <c r="N326" s="1813"/>
      <c r="O326" s="1813"/>
      <c r="P326" s="1813"/>
      <c r="Q326" s="1813"/>
      <c r="R326" s="1813"/>
      <c r="S326" s="1813"/>
      <c r="T326" s="1813"/>
      <c r="U326" s="1813"/>
      <c r="V326" s="1813"/>
      <c r="W326" s="1813"/>
      <c r="X326" s="1813"/>
    </row>
    <row r="327" spans="1:24" ht="15.75" customHeight="1">
      <c r="A327" s="1799">
        <f t="shared" si="14"/>
        <v>154</v>
      </c>
      <c r="B327" s="1804" t="s">
        <v>1524</v>
      </c>
      <c r="C327" s="1805" t="s">
        <v>134</v>
      </c>
      <c r="D327" s="1804" t="str">
        <f t="shared" si="13"/>
        <v>Saudi Electricity Global Suk/SECO</v>
      </c>
      <c r="E327" s="1799" t="s">
        <v>4771</v>
      </c>
      <c r="F327" s="1801"/>
      <c r="G327" s="1801"/>
      <c r="H327" s="1812"/>
      <c r="I327" s="1812"/>
      <c r="J327" s="1812"/>
      <c r="K327" s="1813"/>
      <c r="L327" s="1813"/>
      <c r="M327" s="1813"/>
      <c r="N327" s="1813"/>
      <c r="O327" s="1813"/>
      <c r="P327" s="1813"/>
      <c r="Q327" s="1813"/>
      <c r="R327" s="1813"/>
      <c r="S327" s="1813"/>
      <c r="T327" s="1813"/>
      <c r="U327" s="1813"/>
      <c r="V327" s="1813"/>
      <c r="W327" s="1813"/>
      <c r="X327" s="1813"/>
    </row>
    <row r="328" spans="1:24" ht="15.75" customHeight="1">
      <c r="A328" s="1799">
        <f t="shared" si="14"/>
        <v>154</v>
      </c>
      <c r="B328" s="1799" t="s">
        <v>1437</v>
      </c>
      <c r="C328" s="1806" t="s">
        <v>134</v>
      </c>
      <c r="D328" s="1804" t="str">
        <f t="shared" si="13"/>
        <v>沙烏地電力環球伊斯蘭債券公司/SECO</v>
      </c>
      <c r="E328" s="1799" t="s">
        <v>4771</v>
      </c>
      <c r="F328" s="1801"/>
      <c r="G328" s="1801"/>
      <c r="H328" s="1812"/>
      <c r="I328" s="1812"/>
      <c r="J328" s="1812"/>
      <c r="K328" s="1813"/>
      <c r="L328" s="1813"/>
      <c r="M328" s="1813"/>
      <c r="N328" s="1813"/>
      <c r="O328" s="1813"/>
      <c r="P328" s="1813"/>
      <c r="Q328" s="1813"/>
      <c r="R328" s="1813"/>
      <c r="S328" s="1813"/>
      <c r="T328" s="1813"/>
      <c r="U328" s="1813"/>
      <c r="V328" s="1813"/>
      <c r="W328" s="1813"/>
      <c r="X328" s="1813"/>
    </row>
    <row r="329" spans="1:24" ht="15.75" customHeight="1">
      <c r="A329" s="1799">
        <f t="shared" si="14"/>
        <v>93</v>
      </c>
      <c r="B329" s="1825" t="s">
        <v>2313</v>
      </c>
      <c r="C329" s="1802" t="s">
        <v>2314</v>
      </c>
      <c r="D329" s="1801" t="str">
        <f t="shared" si="13"/>
        <v>新加坡航空有限公司/SIASP</v>
      </c>
      <c r="E329" s="1825" t="s">
        <v>4772</v>
      </c>
      <c r="F329" s="1801"/>
      <c r="G329" s="1801"/>
      <c r="H329" s="1812"/>
      <c r="I329" s="1812"/>
      <c r="J329" s="1812"/>
      <c r="K329" s="1813"/>
      <c r="L329" s="1813"/>
      <c r="M329" s="1813"/>
      <c r="N329" s="1813"/>
      <c r="O329" s="1813"/>
      <c r="P329" s="1813"/>
      <c r="Q329" s="1813"/>
      <c r="R329" s="1813"/>
      <c r="S329" s="1813"/>
      <c r="T329" s="1813"/>
      <c r="U329" s="1813"/>
      <c r="V329" s="1813"/>
      <c r="W329" s="1813"/>
      <c r="X329" s="1813"/>
    </row>
    <row r="330" spans="1:24" ht="15.75" customHeight="1">
      <c r="A330" s="1801">
        <f t="shared" si="14"/>
        <v>141</v>
      </c>
      <c r="B330" s="1801" t="s">
        <v>1829</v>
      </c>
      <c r="C330" s="1802" t="s">
        <v>230</v>
      </c>
      <c r="D330" s="1801" t="str">
        <f t="shared" si="13"/>
        <v>中國石化集團海外發展(2013)有限公司/SINOPE</v>
      </c>
      <c r="E330" s="1801" t="s">
        <v>1519</v>
      </c>
      <c r="F330" s="1801"/>
      <c r="G330" s="1801"/>
      <c r="H330" s="1812"/>
      <c r="I330" s="1812"/>
      <c r="J330" s="1812"/>
      <c r="K330" s="1813"/>
      <c r="L330" s="1813"/>
      <c r="M330" s="1813"/>
      <c r="N330" s="1813"/>
      <c r="O330" s="1813"/>
      <c r="P330" s="1813"/>
      <c r="Q330" s="1813"/>
      <c r="R330" s="1813"/>
      <c r="S330" s="1813"/>
      <c r="T330" s="1813"/>
      <c r="U330" s="1813"/>
      <c r="V330" s="1813"/>
      <c r="W330" s="1813"/>
      <c r="X330" s="1813"/>
    </row>
    <row r="331" spans="1:24" ht="15.75" customHeight="1">
      <c r="A331" s="1799">
        <f t="shared" si="14"/>
        <v>141</v>
      </c>
      <c r="B331" s="1807" t="s">
        <v>1514</v>
      </c>
      <c r="C331" s="1808" t="s">
        <v>230</v>
      </c>
      <c r="D331" s="1804" t="str">
        <f t="shared" si="13"/>
        <v>中國石化集團海外發展(2013)/SINOPE</v>
      </c>
      <c r="E331" s="1803" t="s">
        <v>1519</v>
      </c>
      <c r="F331" s="1801"/>
      <c r="G331" s="1801"/>
      <c r="H331" s="1812"/>
      <c r="I331" s="1812"/>
      <c r="J331" s="1812"/>
      <c r="K331" s="1813"/>
      <c r="L331" s="1813"/>
      <c r="M331" s="1813"/>
      <c r="N331" s="1813"/>
      <c r="O331" s="1813"/>
      <c r="P331" s="1813"/>
      <c r="Q331" s="1813"/>
      <c r="R331" s="1813"/>
      <c r="S331" s="1813"/>
      <c r="T331" s="1813"/>
      <c r="U331" s="1813"/>
      <c r="V331" s="1813"/>
      <c r="W331" s="1813"/>
      <c r="X331" s="1813"/>
    </row>
    <row r="332" spans="1:24" ht="15.75" customHeight="1">
      <c r="A332" s="1799">
        <f t="shared" si="14"/>
        <v>116</v>
      </c>
      <c r="B332" s="1804" t="s">
        <v>1554</v>
      </c>
      <c r="C332" s="1805" t="s">
        <v>1555</v>
      </c>
      <c r="D332" s="1804" t="str">
        <f t="shared" si="13"/>
        <v>南非政府國際債券/SOAF</v>
      </c>
      <c r="E332" s="1799" t="s">
        <v>4773</v>
      </c>
      <c r="F332" s="1801"/>
      <c r="G332" s="1801"/>
      <c r="H332" s="1812"/>
      <c r="I332" s="1812"/>
      <c r="J332" s="1812"/>
      <c r="K332" s="1813"/>
      <c r="L332" s="1813"/>
      <c r="M332" s="1813"/>
      <c r="N332" s="1813"/>
      <c r="O332" s="1813"/>
      <c r="P332" s="1813"/>
      <c r="Q332" s="1813"/>
      <c r="R332" s="1813"/>
      <c r="S332" s="1813"/>
      <c r="T332" s="1813"/>
      <c r="U332" s="1813"/>
      <c r="V332" s="1813"/>
      <c r="W332" s="1813"/>
      <c r="X332" s="1813"/>
    </row>
    <row r="333" spans="1:24" ht="15.75" customHeight="1">
      <c r="A333" s="1799">
        <f t="shared" si="14"/>
        <v>162</v>
      </c>
      <c r="B333" s="1801" t="s">
        <v>1409</v>
      </c>
      <c r="C333" s="1802" t="s">
        <v>40</v>
      </c>
      <c r="D333" s="1801" t="str">
        <f t="shared" si="13"/>
        <v>法國興業銀行/SOCGEN</v>
      </c>
      <c r="E333" s="1801" t="s">
        <v>4774</v>
      </c>
      <c r="F333" s="1801"/>
      <c r="G333" s="1801"/>
      <c r="H333" s="1812"/>
      <c r="I333" s="1812"/>
      <c r="J333" s="1812"/>
      <c r="K333" s="1813"/>
      <c r="L333" s="1813"/>
      <c r="M333" s="1813"/>
      <c r="N333" s="1813"/>
      <c r="O333" s="1813"/>
      <c r="P333" s="1813"/>
      <c r="Q333" s="1813"/>
      <c r="R333" s="1813"/>
      <c r="S333" s="1813"/>
      <c r="T333" s="1813"/>
      <c r="U333" s="1813"/>
      <c r="V333" s="1813"/>
      <c r="W333" s="1813"/>
      <c r="X333" s="1813"/>
    </row>
    <row r="334" spans="1:24" ht="15.75" customHeight="1">
      <c r="A334" s="1799">
        <f t="shared" si="14"/>
        <v>144</v>
      </c>
      <c r="B334" s="1801" t="s">
        <v>1836</v>
      </c>
      <c r="C334" s="1802" t="s">
        <v>47</v>
      </c>
      <c r="D334" s="1801" t="str">
        <f t="shared" si="13"/>
        <v>軟銀集團公司/SOFTBK</v>
      </c>
      <c r="E334" s="1801" t="s">
        <v>4775</v>
      </c>
      <c r="F334" s="1801"/>
      <c r="G334" s="1801"/>
      <c r="H334" s="1812"/>
      <c r="I334" s="1812"/>
      <c r="J334" s="1812"/>
      <c r="K334" s="1813"/>
      <c r="L334" s="1813"/>
      <c r="M334" s="1813"/>
      <c r="N334" s="1813"/>
      <c r="O334" s="1813"/>
      <c r="P334" s="1813"/>
      <c r="Q334" s="1813"/>
      <c r="R334" s="1813"/>
      <c r="S334" s="1813"/>
      <c r="T334" s="1813"/>
      <c r="U334" s="1813"/>
      <c r="V334" s="1813"/>
      <c r="W334" s="1813"/>
      <c r="X334" s="1813"/>
    </row>
    <row r="335" spans="1:24" ht="15.75" customHeight="1">
      <c r="A335" s="1799">
        <f t="shared" si="14"/>
        <v>144</v>
      </c>
      <c r="B335" s="1801" t="s">
        <v>1858</v>
      </c>
      <c r="C335" s="1802" t="s">
        <v>47</v>
      </c>
      <c r="D335" s="1801" t="str">
        <f t="shared" si="13"/>
        <v>軟體銀行公司/SOFTBK</v>
      </c>
      <c r="E335" s="1821" t="s">
        <v>4775</v>
      </c>
      <c r="F335" s="1801"/>
      <c r="G335" s="1801"/>
      <c r="H335" s="1812"/>
      <c r="I335" s="1812"/>
      <c r="J335" s="1812"/>
      <c r="K335" s="1813"/>
      <c r="L335" s="1813"/>
      <c r="M335" s="1813"/>
      <c r="N335" s="1813"/>
      <c r="O335" s="1813"/>
      <c r="P335" s="1813"/>
      <c r="Q335" s="1813"/>
      <c r="R335" s="1813"/>
      <c r="S335" s="1813"/>
      <c r="T335" s="1813"/>
      <c r="U335" s="1813"/>
      <c r="V335" s="1813"/>
      <c r="W335" s="1813"/>
      <c r="X335" s="1813"/>
    </row>
    <row r="336" spans="1:24" ht="15.75" customHeight="1">
      <c r="A336" s="1799">
        <f t="shared" si="14"/>
        <v>144</v>
      </c>
      <c r="B336" s="1801" t="s">
        <v>1931</v>
      </c>
      <c r="C336" s="1802" t="s">
        <v>47</v>
      </c>
      <c r="D336" s="1801" t="str">
        <f t="shared" si="13"/>
        <v>軟銀集團公司 /SOFTBK</v>
      </c>
      <c r="E336" s="1801" t="s">
        <v>4775</v>
      </c>
      <c r="F336" s="1801"/>
      <c r="G336" s="1801"/>
      <c r="H336" s="1812"/>
      <c r="I336" s="1812"/>
      <c r="J336" s="1812"/>
      <c r="K336" s="1813"/>
      <c r="L336" s="1813"/>
      <c r="M336" s="1813"/>
      <c r="N336" s="1813"/>
      <c r="O336" s="1813"/>
      <c r="P336" s="1813"/>
      <c r="Q336" s="1813"/>
      <c r="R336" s="1813"/>
      <c r="S336" s="1813"/>
      <c r="T336" s="1813"/>
      <c r="U336" s="1813"/>
      <c r="V336" s="1813"/>
      <c r="W336" s="1813"/>
      <c r="X336" s="1813"/>
    </row>
    <row r="337" spans="1:24" ht="15.75" customHeight="1">
      <c r="A337" s="1799">
        <f t="shared" si="14"/>
        <v>144</v>
      </c>
      <c r="B337" s="1804" t="s">
        <v>1436</v>
      </c>
      <c r="C337" s="1805" t="s">
        <v>1553</v>
      </c>
      <c r="D337" s="1804" t="str">
        <f t="shared" si="13"/>
        <v>軟銀/SOFTBK</v>
      </c>
      <c r="E337" s="1821" t="s">
        <v>4775</v>
      </c>
      <c r="F337" s="1801"/>
      <c r="G337" s="1801"/>
      <c r="H337" s="1812"/>
      <c r="I337" s="1812"/>
      <c r="J337" s="1812"/>
      <c r="K337" s="1813"/>
      <c r="L337" s="1813"/>
      <c r="M337" s="1813"/>
      <c r="N337" s="1813"/>
      <c r="O337" s="1813"/>
      <c r="P337" s="1813"/>
      <c r="Q337" s="1813"/>
      <c r="R337" s="1813"/>
      <c r="S337" s="1813"/>
      <c r="T337" s="1813"/>
      <c r="U337" s="1813"/>
      <c r="V337" s="1813"/>
      <c r="W337" s="1813"/>
      <c r="X337" s="1813"/>
    </row>
    <row r="338" spans="1:24" ht="15.75" customHeight="1">
      <c r="A338" s="1799">
        <f t="shared" si="14"/>
        <v>175</v>
      </c>
      <c r="B338" s="1799" t="s">
        <v>1665</v>
      </c>
      <c r="C338" s="1806" t="s">
        <v>1666</v>
      </c>
      <c r="D338" s="1804" t="str">
        <f t="shared" si="13"/>
        <v>賽門房地產集團有限合夥/SPG</v>
      </c>
      <c r="E338" s="1799" t="s">
        <v>1667</v>
      </c>
      <c r="F338" s="1801"/>
      <c r="G338" s="1801"/>
      <c r="H338" s="1812"/>
      <c r="I338" s="1812"/>
      <c r="J338" s="1812"/>
      <c r="K338" s="1813"/>
      <c r="L338" s="1813"/>
      <c r="M338" s="1813"/>
      <c r="N338" s="1813"/>
      <c r="O338" s="1813"/>
      <c r="P338" s="1813"/>
      <c r="Q338" s="1813"/>
      <c r="R338" s="1813"/>
      <c r="S338" s="1813"/>
      <c r="T338" s="1813"/>
      <c r="U338" s="1813"/>
      <c r="V338" s="1813"/>
      <c r="W338" s="1813"/>
      <c r="X338" s="1813"/>
    </row>
    <row r="339" spans="1:24" ht="15.75" customHeight="1">
      <c r="A339" s="1799">
        <f t="shared" si="14"/>
        <v>147</v>
      </c>
      <c r="B339" s="1801" t="s">
        <v>1391</v>
      </c>
      <c r="C339" s="1802" t="s">
        <v>41</v>
      </c>
      <c r="D339" s="1801" t="str">
        <f t="shared" si="13"/>
        <v>渣打集團/STANLN</v>
      </c>
      <c r="E339" s="1801" t="s">
        <v>4776</v>
      </c>
      <c r="F339" s="1801"/>
      <c r="G339" s="1801"/>
      <c r="H339" s="1812"/>
      <c r="I339" s="1812"/>
      <c r="J339" s="1812"/>
      <c r="K339" s="1813"/>
      <c r="L339" s="1813"/>
      <c r="M339" s="1813"/>
      <c r="N339" s="1813"/>
      <c r="O339" s="1813"/>
      <c r="P339" s="1813"/>
      <c r="Q339" s="1813"/>
      <c r="R339" s="1813"/>
      <c r="S339" s="1813"/>
      <c r="T339" s="1813"/>
      <c r="U339" s="1813"/>
      <c r="V339" s="1813"/>
      <c r="W339" s="1813"/>
      <c r="X339" s="1813"/>
    </row>
    <row r="340" spans="1:24" ht="15.75" customHeight="1">
      <c r="A340" s="1799">
        <f t="shared" si="14"/>
        <v>175</v>
      </c>
      <c r="B340" s="1799" t="s">
        <v>1663</v>
      </c>
      <c r="C340" s="1806" t="s">
        <v>1664</v>
      </c>
      <c r="D340" s="1804" t="str">
        <f t="shared" si="13"/>
        <v>道富銀行/STT</v>
      </c>
      <c r="E340" s="1821" t="s">
        <v>4777</v>
      </c>
      <c r="F340" s="1801"/>
      <c r="G340" s="1801"/>
      <c r="H340" s="1812"/>
      <c r="I340" s="1812"/>
      <c r="J340" s="1812"/>
      <c r="K340" s="1813"/>
      <c r="L340" s="1813"/>
      <c r="M340" s="1813"/>
      <c r="N340" s="1813"/>
      <c r="O340" s="1813"/>
      <c r="P340" s="1813"/>
      <c r="Q340" s="1813"/>
      <c r="R340" s="1813"/>
      <c r="S340" s="1813"/>
      <c r="T340" s="1813"/>
      <c r="U340" s="1813"/>
      <c r="V340" s="1813"/>
      <c r="W340" s="1813"/>
      <c r="X340" s="1813"/>
    </row>
    <row r="341" spans="1:24" ht="15.75" customHeight="1">
      <c r="A341" s="1799">
        <f t="shared" si="14"/>
        <v>134</v>
      </c>
      <c r="B341" s="1801" t="s">
        <v>1842</v>
      </c>
      <c r="C341" s="1802" t="s">
        <v>184</v>
      </c>
      <c r="D341" s="1801" t="str">
        <f t="shared" si="13"/>
        <v>希捷硬碟/STX</v>
      </c>
      <c r="E341" s="1801" t="s">
        <v>4778</v>
      </c>
      <c r="F341" s="1801"/>
      <c r="G341" s="1801"/>
      <c r="H341" s="1812"/>
      <c r="I341" s="1812"/>
      <c r="J341" s="1812"/>
      <c r="K341" s="1813"/>
      <c r="L341" s="1813"/>
      <c r="M341" s="1813"/>
      <c r="N341" s="1813"/>
      <c r="O341" s="1813"/>
      <c r="P341" s="1813"/>
      <c r="Q341" s="1813"/>
      <c r="R341" s="1813"/>
      <c r="S341" s="1813"/>
      <c r="T341" s="1813"/>
      <c r="U341" s="1813"/>
      <c r="V341" s="1813"/>
      <c r="W341" s="1813"/>
      <c r="X341" s="1813"/>
    </row>
    <row r="342" spans="1:24" ht="15.75" customHeight="1">
      <c r="A342" s="1799">
        <f t="shared" si="14"/>
        <v>134</v>
      </c>
      <c r="B342" s="1804" t="s">
        <v>1441</v>
      </c>
      <c r="C342" s="1805" t="s">
        <v>184</v>
      </c>
      <c r="D342" s="1804" t="str">
        <f t="shared" si="13"/>
        <v>希捷HDD開曼群島/STX</v>
      </c>
      <c r="E342" s="1799" t="s">
        <v>4778</v>
      </c>
      <c r="F342" s="1801"/>
      <c r="G342" s="1801"/>
      <c r="H342" s="1812"/>
      <c r="I342" s="1812"/>
      <c r="J342" s="1812"/>
      <c r="K342" s="1813"/>
      <c r="L342" s="1813"/>
      <c r="M342" s="1813"/>
      <c r="N342" s="1813"/>
      <c r="O342" s="1813"/>
      <c r="P342" s="1813"/>
      <c r="Q342" s="1813"/>
      <c r="R342" s="1813"/>
      <c r="S342" s="1813"/>
      <c r="T342" s="1813"/>
      <c r="U342" s="1813"/>
      <c r="V342" s="1813"/>
      <c r="W342" s="1813"/>
      <c r="X342" s="1813"/>
    </row>
    <row r="343" spans="1:24" ht="15.75" customHeight="1">
      <c r="A343" s="1799">
        <f t="shared" si="14"/>
        <v>135</v>
      </c>
      <c r="B343" s="1804" t="s">
        <v>1406</v>
      </c>
      <c r="C343" s="1805" t="s">
        <v>1569</v>
      </c>
      <c r="D343" s="1804" t="str">
        <f t="shared" si="13"/>
        <v>三井住友金融集團公司/SUMIBK</v>
      </c>
      <c r="E343" s="1799" t="s">
        <v>4779</v>
      </c>
      <c r="F343" s="1801"/>
      <c r="G343" s="1801"/>
      <c r="H343" s="1812"/>
      <c r="I343" s="1812"/>
      <c r="J343" s="1812"/>
      <c r="K343" s="1813"/>
      <c r="L343" s="1813"/>
      <c r="M343" s="1813"/>
      <c r="N343" s="1813"/>
      <c r="O343" s="1813"/>
      <c r="P343" s="1813"/>
      <c r="Q343" s="1813"/>
      <c r="R343" s="1813"/>
      <c r="S343" s="1813"/>
      <c r="T343" s="1813"/>
      <c r="U343" s="1813"/>
      <c r="V343" s="1813"/>
      <c r="W343" s="1813"/>
      <c r="X343" s="1813"/>
    </row>
    <row r="344" spans="1:24" ht="15.75" customHeight="1">
      <c r="A344" s="1799">
        <f t="shared" si="14"/>
        <v>187</v>
      </c>
      <c r="B344" s="1816" t="s">
        <v>1674</v>
      </c>
      <c r="C344" s="1817" t="s">
        <v>1569</v>
      </c>
      <c r="D344" s="1804" t="str">
        <f t="shared" si="13"/>
        <v>三井住友銀行公司(雪梨)/SUMIBK</v>
      </c>
      <c r="E344" s="1816" t="s">
        <v>4780</v>
      </c>
      <c r="F344" s="1801"/>
      <c r="G344" s="1801"/>
      <c r="H344" s="1812"/>
      <c r="I344" s="1812"/>
      <c r="J344" s="1812"/>
      <c r="K344" s="1813"/>
      <c r="L344" s="1813"/>
      <c r="M344" s="1813"/>
      <c r="N344" s="1813"/>
      <c r="O344" s="1813"/>
      <c r="P344" s="1813"/>
      <c r="Q344" s="1813"/>
      <c r="R344" s="1813"/>
      <c r="S344" s="1813"/>
      <c r="T344" s="1813"/>
      <c r="U344" s="1813"/>
      <c r="V344" s="1813"/>
      <c r="W344" s="1813"/>
      <c r="X344" s="1813"/>
    </row>
    <row r="345" spans="1:24" ht="15.75" customHeight="1">
      <c r="A345" s="1799">
        <f t="shared" si="14"/>
        <v>192</v>
      </c>
      <c r="B345" s="1814" t="s">
        <v>1469</v>
      </c>
      <c r="C345" s="1815" t="s">
        <v>888</v>
      </c>
      <c r="D345" s="1801" t="str">
        <f t="shared" si="13"/>
        <v>Fibria海外金融有限公司/SUZANO</v>
      </c>
      <c r="E345" s="1801" t="s">
        <v>4781</v>
      </c>
      <c r="F345" s="1801"/>
      <c r="G345" s="1801"/>
      <c r="H345" s="1812"/>
      <c r="I345" s="1812"/>
      <c r="J345" s="1812"/>
      <c r="K345" s="1813"/>
      <c r="L345" s="1813"/>
      <c r="M345" s="1813"/>
      <c r="N345" s="1813"/>
      <c r="O345" s="1813"/>
      <c r="P345" s="1813"/>
      <c r="Q345" s="1813"/>
      <c r="R345" s="1813"/>
      <c r="S345" s="1813"/>
      <c r="T345" s="1813"/>
      <c r="U345" s="1813"/>
      <c r="V345" s="1813"/>
      <c r="W345" s="1813"/>
      <c r="X345" s="1813"/>
    </row>
    <row r="346" spans="1:24" ht="15.75" customHeight="1">
      <c r="A346" s="1799">
        <f t="shared" si="14"/>
        <v>163</v>
      </c>
      <c r="B346" s="1804" t="s">
        <v>1582</v>
      </c>
      <c r="C346" s="1805" t="s">
        <v>1583</v>
      </c>
      <c r="D346" s="1804" t="str">
        <f t="shared" si="13"/>
        <v>7-Eleven Inc/SVELEV</v>
      </c>
      <c r="E346" s="1801" t="s">
        <v>4782</v>
      </c>
      <c r="F346" s="1801"/>
      <c r="G346" s="1801"/>
      <c r="H346" s="1812"/>
      <c r="I346" s="1812"/>
      <c r="J346" s="1812"/>
      <c r="K346" s="1813"/>
      <c r="L346" s="1813"/>
      <c r="M346" s="1813"/>
      <c r="N346" s="1813"/>
      <c r="O346" s="1813"/>
      <c r="P346" s="1813"/>
      <c r="Q346" s="1813"/>
      <c r="R346" s="1813"/>
      <c r="S346" s="1813"/>
      <c r="T346" s="1813"/>
      <c r="U346" s="1813"/>
      <c r="V346" s="1813"/>
      <c r="W346" s="1813"/>
      <c r="X346" s="1813"/>
    </row>
    <row r="347" spans="1:24" ht="15.75" customHeight="1">
      <c r="A347" s="1799">
        <f t="shared" si="14"/>
        <v>160</v>
      </c>
      <c r="B347" s="1801" t="s">
        <v>1410</v>
      </c>
      <c r="C347" s="1802" t="s">
        <v>50</v>
      </c>
      <c r="D347" s="1801" t="str">
        <f t="shared" si="13"/>
        <v>AT&amp;T公司/T</v>
      </c>
      <c r="E347" s="1801" t="s">
        <v>4783</v>
      </c>
      <c r="F347" s="1801"/>
      <c r="G347" s="1801"/>
      <c r="H347" s="1812"/>
      <c r="I347" s="1812"/>
      <c r="J347" s="1812"/>
      <c r="K347" s="1813"/>
      <c r="L347" s="1813"/>
      <c r="M347" s="1813"/>
      <c r="N347" s="1813"/>
      <c r="O347" s="1813"/>
      <c r="P347" s="1813"/>
      <c r="Q347" s="1813"/>
      <c r="R347" s="1813"/>
      <c r="S347" s="1813"/>
      <c r="T347" s="1813"/>
      <c r="U347" s="1813"/>
      <c r="V347" s="1813"/>
      <c r="W347" s="1813"/>
      <c r="X347" s="1813"/>
    </row>
    <row r="348" spans="1:24" ht="15.75" customHeight="1">
      <c r="A348" s="1799">
        <f t="shared" si="14"/>
        <v>158</v>
      </c>
      <c r="B348" s="1801" t="s">
        <v>247</v>
      </c>
      <c r="C348" s="1802" t="s">
        <v>50</v>
      </c>
      <c r="D348" s="1801" t="str">
        <f t="shared" si="13"/>
        <v>美國政府公債/T</v>
      </c>
      <c r="E348" t="s">
        <v>4784</v>
      </c>
      <c r="F348" s="1801"/>
      <c r="G348" s="1801"/>
      <c r="H348" s="1812"/>
      <c r="I348" s="1832"/>
      <c r="J348" s="1832"/>
      <c r="K348" s="1813"/>
      <c r="L348" s="1813"/>
      <c r="M348" s="1813"/>
      <c r="N348" s="1813"/>
      <c r="O348" s="1813"/>
      <c r="P348" s="1813"/>
      <c r="Q348" s="1813"/>
      <c r="R348" s="1813"/>
      <c r="S348" s="1813"/>
      <c r="T348" s="1813"/>
      <c r="U348" s="1813"/>
      <c r="V348" s="1813"/>
      <c r="W348" s="1813"/>
      <c r="X348" s="1813"/>
    </row>
    <row r="349" spans="1:24" s="1841" customFormat="1" ht="15.75" customHeight="1">
      <c r="A349" s="1833">
        <f t="shared" si="14"/>
        <v>158</v>
      </c>
      <c r="B349" s="1834" t="s">
        <v>1345</v>
      </c>
      <c r="C349" s="1835" t="s">
        <v>50</v>
      </c>
      <c r="D349" s="1836" t="str">
        <f t="shared" ref="D349:D412" si="15">CONCATENATE(B349,"/",C349)</f>
        <v>美國國庫債券/T</v>
      </c>
      <c r="E349" s="503" t="s">
        <v>4784</v>
      </c>
      <c r="F349" s="1837"/>
      <c r="G349" s="1837"/>
      <c r="H349" s="1838"/>
      <c r="I349" s="1839"/>
      <c r="J349" s="1839"/>
      <c r="K349" s="1840"/>
      <c r="L349" s="1840"/>
      <c r="M349" s="1840"/>
      <c r="N349" s="1840"/>
      <c r="O349" s="1840"/>
      <c r="P349" s="1840"/>
      <c r="Q349" s="1840"/>
      <c r="R349" s="1840"/>
      <c r="S349" s="1840"/>
      <c r="T349" s="1840"/>
      <c r="U349" s="1840"/>
      <c r="V349" s="1840"/>
      <c r="W349" s="1840"/>
      <c r="X349" s="1840"/>
    </row>
    <row r="350" spans="1:24" ht="15.75" customHeight="1">
      <c r="A350" s="1799">
        <f t="shared" si="14"/>
        <v>131</v>
      </c>
      <c r="B350" s="1801" t="s">
        <v>1457</v>
      </c>
      <c r="C350" s="1802" t="s">
        <v>116</v>
      </c>
      <c r="D350" s="1801" t="str">
        <f t="shared" si="15"/>
        <v>武田藥品有限公司/TACHEM</v>
      </c>
      <c r="E350" s="1801" t="s">
        <v>4785</v>
      </c>
      <c r="F350" s="1801"/>
      <c r="G350" s="1801"/>
      <c r="H350" s="1812"/>
      <c r="I350" s="1832"/>
      <c r="J350" s="1832"/>
      <c r="K350" s="1813"/>
      <c r="L350" s="1813"/>
      <c r="M350" s="1813"/>
      <c r="N350" s="1813"/>
      <c r="O350" s="1813"/>
      <c r="P350" s="1813"/>
      <c r="Q350" s="1813"/>
      <c r="R350" s="1813"/>
      <c r="S350" s="1813"/>
      <c r="T350" s="1813"/>
      <c r="U350" s="1813"/>
      <c r="V350" s="1813"/>
      <c r="W350" s="1813"/>
      <c r="X350" s="1813"/>
    </row>
    <row r="351" spans="1:24" ht="15.75" customHeight="1">
      <c r="A351" s="1799">
        <f t="shared" si="14"/>
        <v>154</v>
      </c>
      <c r="B351" s="1809" t="s">
        <v>1354</v>
      </c>
      <c r="C351" s="1842" t="s">
        <v>1683</v>
      </c>
      <c r="D351" s="1804" t="str">
        <f t="shared" si="15"/>
        <v>TSMC Arizona Corp/TAISEM</v>
      </c>
      <c r="E351" s="1803" t="s">
        <v>4786</v>
      </c>
      <c r="F351" s="1801"/>
      <c r="G351" s="1801"/>
      <c r="H351" s="1832"/>
      <c r="I351" s="1832"/>
      <c r="J351" s="1832"/>
      <c r="K351" s="1813"/>
      <c r="L351" s="1813"/>
      <c r="M351" s="1813"/>
      <c r="N351" s="1813"/>
      <c r="O351" s="1813"/>
      <c r="P351" s="1813"/>
      <c r="Q351" s="1813"/>
      <c r="R351" s="1813"/>
      <c r="S351" s="1813"/>
      <c r="T351" s="1813"/>
      <c r="U351" s="1813"/>
      <c r="V351" s="1813"/>
      <c r="W351" s="1813"/>
      <c r="X351" s="1813"/>
    </row>
    <row r="352" spans="1:24" ht="15.75" customHeight="1">
      <c r="A352" s="1799">
        <f t="shared" si="14"/>
        <v>152</v>
      </c>
      <c r="B352" s="1831" t="s">
        <v>1684</v>
      </c>
      <c r="C352" s="1842" t="s">
        <v>1683</v>
      </c>
      <c r="D352" s="1804" t="str">
        <f t="shared" si="15"/>
        <v>TSMC全球有限公司/TAISEM</v>
      </c>
      <c r="E352" s="1803" t="s">
        <v>4787</v>
      </c>
      <c r="F352" s="1801"/>
      <c r="G352" s="1801"/>
      <c r="H352" s="1812"/>
      <c r="I352" s="1832"/>
      <c r="J352" s="1832"/>
      <c r="K352" s="1813"/>
      <c r="L352" s="1813"/>
      <c r="M352" s="1813"/>
      <c r="N352" s="1813"/>
      <c r="O352" s="1813"/>
      <c r="P352" s="1813"/>
      <c r="Q352" s="1813"/>
      <c r="R352" s="1813"/>
      <c r="S352" s="1813"/>
      <c r="T352" s="1813"/>
      <c r="U352" s="1813"/>
      <c r="V352" s="1813"/>
      <c r="W352" s="1813"/>
      <c r="X352" s="1813"/>
    </row>
    <row r="353" spans="1:24" ht="15.75" customHeight="1">
      <c r="A353" s="1799">
        <f t="shared" si="14"/>
        <v>93</v>
      </c>
      <c r="B353" s="1801" t="s">
        <v>1475</v>
      </c>
      <c r="C353" s="1802" t="s">
        <v>94</v>
      </c>
      <c r="D353" s="1801" t="str">
        <f t="shared" si="15"/>
        <v>阿布達比國家能源公司/TAQAUH</v>
      </c>
      <c r="E353" s="1801" t="s">
        <v>121</v>
      </c>
      <c r="F353" s="1801"/>
      <c r="G353" s="1801"/>
      <c r="H353" s="1812"/>
      <c r="I353" s="1832"/>
      <c r="J353" s="1832"/>
      <c r="K353" s="1813"/>
      <c r="L353" s="1813"/>
      <c r="M353" s="1813"/>
      <c r="N353" s="1813"/>
      <c r="O353" s="1813"/>
      <c r="P353" s="1813"/>
      <c r="Q353" s="1813"/>
      <c r="R353" s="1813"/>
      <c r="S353" s="1813"/>
      <c r="T353" s="1813"/>
      <c r="U353" s="1813"/>
      <c r="V353" s="1813"/>
      <c r="W353" s="1813"/>
      <c r="X353" s="1813"/>
    </row>
    <row r="354" spans="1:24" ht="15.75" customHeight="1">
      <c r="A354" s="1799">
        <f t="shared" si="14"/>
        <v>125</v>
      </c>
      <c r="B354" s="1799" t="s">
        <v>1633</v>
      </c>
      <c r="C354" s="1806" t="s">
        <v>1634</v>
      </c>
      <c r="D354" s="1804" t="str">
        <f t="shared" si="15"/>
        <v>多倫多道明銀行/TD</v>
      </c>
      <c r="E354" s="1821" t="s">
        <v>1932</v>
      </c>
      <c r="F354" s="1801"/>
      <c r="G354" s="1801"/>
      <c r="H354" s="1812"/>
      <c r="I354" s="1832"/>
      <c r="J354" s="1832"/>
      <c r="K354" s="1813"/>
      <c r="L354" s="1813"/>
      <c r="M354" s="1813"/>
      <c r="N354" s="1813"/>
      <c r="O354" s="1813"/>
      <c r="P354" s="1813"/>
      <c r="Q354" s="1813"/>
      <c r="R354" s="1813"/>
      <c r="S354" s="1813"/>
      <c r="T354" s="1813"/>
      <c r="U354" s="1813"/>
      <c r="V354" s="1813"/>
      <c r="W354" s="1813"/>
      <c r="X354" s="1813"/>
    </row>
    <row r="355" spans="1:24" ht="15.75" customHeight="1">
      <c r="A355" s="1799">
        <f t="shared" si="14"/>
        <v>142</v>
      </c>
      <c r="B355" s="1801" t="s">
        <v>1860</v>
      </c>
      <c r="C355" s="1802" t="s">
        <v>180</v>
      </c>
      <c r="D355" s="1801" t="str">
        <f t="shared" si="15"/>
        <v>騰訊控股有限公司/TENCNT</v>
      </c>
      <c r="E355" s="1801" t="s">
        <v>4788</v>
      </c>
      <c r="F355" s="1801"/>
      <c r="G355" s="1801"/>
      <c r="H355" s="1812"/>
      <c r="I355" s="1832"/>
      <c r="J355" s="1832"/>
      <c r="K355" s="1813"/>
      <c r="L355" s="1813"/>
      <c r="M355" s="1813"/>
      <c r="N355" s="1813"/>
      <c r="O355" s="1813"/>
      <c r="P355" s="1813"/>
      <c r="Q355" s="1813"/>
      <c r="R355" s="1813"/>
      <c r="S355" s="1813"/>
      <c r="T355" s="1813"/>
      <c r="U355" s="1813"/>
      <c r="V355" s="1813"/>
      <c r="W355" s="1813"/>
      <c r="X355" s="1813"/>
    </row>
    <row r="356" spans="1:24" ht="15.75" customHeight="1">
      <c r="A356" s="1799">
        <f t="shared" si="14"/>
        <v>142</v>
      </c>
      <c r="B356" s="1801" t="s">
        <v>1454</v>
      </c>
      <c r="C356" s="1802" t="s">
        <v>180</v>
      </c>
      <c r="D356" s="1801" t="str">
        <f t="shared" si="15"/>
        <v>騰訊控股/TENCNT</v>
      </c>
      <c r="E356" s="1801" t="s">
        <v>4788</v>
      </c>
      <c r="F356" s="1801"/>
      <c r="G356" s="1801"/>
      <c r="H356" s="1812"/>
      <c r="I356" s="1832"/>
      <c r="J356" s="1832"/>
      <c r="K356" s="1813"/>
      <c r="L356" s="1813"/>
      <c r="M356" s="1813"/>
      <c r="N356" s="1813"/>
      <c r="O356" s="1813"/>
      <c r="P356" s="1813"/>
      <c r="Q356" s="1813"/>
      <c r="R356" s="1813"/>
      <c r="S356" s="1813"/>
      <c r="T356" s="1813"/>
      <c r="U356" s="1813"/>
      <c r="V356" s="1813"/>
      <c r="W356" s="1813"/>
      <c r="X356" s="1813"/>
    </row>
    <row r="357" spans="1:24" ht="15.75" customHeight="1">
      <c r="A357" s="1799">
        <f t="shared" si="14"/>
        <v>169</v>
      </c>
      <c r="B357" s="1801" t="s">
        <v>1511</v>
      </c>
      <c r="C357" s="1802" t="s">
        <v>1933</v>
      </c>
      <c r="D357" s="1801" t="str">
        <f t="shared" si="15"/>
        <v>目標百貨公司/TGT</v>
      </c>
      <c r="E357" s="1801" t="s">
        <v>1934</v>
      </c>
      <c r="F357" s="1801"/>
      <c r="G357" s="1801"/>
      <c r="H357" s="1812"/>
      <c r="I357" s="1832"/>
      <c r="J357" s="1832"/>
      <c r="K357" s="1813"/>
      <c r="L357" s="1813"/>
      <c r="M357" s="1813"/>
      <c r="N357" s="1813"/>
      <c r="O357" s="1813"/>
      <c r="P357" s="1813"/>
      <c r="Q357" s="1813"/>
      <c r="R357" s="1813"/>
      <c r="S357" s="1813"/>
      <c r="T357" s="1813"/>
      <c r="U357" s="1813"/>
      <c r="V357" s="1813"/>
      <c r="W357" s="1813"/>
      <c r="X357" s="1813"/>
    </row>
    <row r="358" spans="1:24" ht="15.75" customHeight="1">
      <c r="A358" s="1799">
        <f t="shared" si="14"/>
        <v>134</v>
      </c>
      <c r="B358" s="1801" t="s">
        <v>1463</v>
      </c>
      <c r="C358" s="1802" t="s">
        <v>237</v>
      </c>
      <c r="D358" s="1801" t="str">
        <f t="shared" si="15"/>
        <v>義大利電信資本公司/TITIM</v>
      </c>
      <c r="E358" s="1801" t="s">
        <v>4789</v>
      </c>
      <c r="F358" s="1801"/>
      <c r="G358" s="1801"/>
      <c r="H358" s="1812"/>
      <c r="I358" s="1832"/>
      <c r="J358" s="1832"/>
      <c r="K358" s="1813"/>
      <c r="L358" s="1813"/>
      <c r="M358" s="1813"/>
      <c r="N358" s="1813"/>
      <c r="O358" s="1813"/>
      <c r="P358" s="1813"/>
      <c r="Q358" s="1813"/>
      <c r="R358" s="1813"/>
      <c r="S358" s="1813"/>
      <c r="T358" s="1813"/>
      <c r="U358" s="1813"/>
      <c r="V358" s="1813"/>
      <c r="W358" s="1813"/>
      <c r="X358" s="1813"/>
    </row>
    <row r="359" spans="1:24" ht="15.75" customHeight="1">
      <c r="A359" s="1799">
        <f t="shared" si="14"/>
        <v>168</v>
      </c>
      <c r="B359" s="1799" t="s">
        <v>1614</v>
      </c>
      <c r="C359" s="1806" t="s">
        <v>1615</v>
      </c>
      <c r="D359" s="1804" t="str">
        <f t="shared" si="15"/>
        <v>Telstra Corp Ltd/TLSAU</v>
      </c>
      <c r="E359" s="1799" t="s">
        <v>4790</v>
      </c>
      <c r="F359" s="1801"/>
      <c r="G359" s="1801"/>
      <c r="H359" s="1812"/>
      <c r="I359" s="1832"/>
      <c r="J359" s="1832"/>
      <c r="K359" s="1813"/>
      <c r="L359" s="1813"/>
      <c r="M359" s="1813"/>
      <c r="N359" s="1813"/>
      <c r="O359" s="1813"/>
      <c r="P359" s="1813"/>
      <c r="Q359" s="1813"/>
      <c r="R359" s="1813"/>
      <c r="S359" s="1813"/>
      <c r="T359" s="1813"/>
      <c r="U359" s="1813"/>
      <c r="V359" s="1813"/>
      <c r="W359" s="1813"/>
      <c r="X359" s="1813"/>
    </row>
    <row r="360" spans="1:24" ht="15.75" customHeight="1">
      <c r="A360" s="1799">
        <f t="shared" si="14"/>
        <v>171</v>
      </c>
      <c r="B360" s="1801" t="s">
        <v>1895</v>
      </c>
      <c r="C360" s="1802" t="s">
        <v>146</v>
      </c>
      <c r="D360" s="1801" t="str">
        <f t="shared" si="15"/>
        <v>T-Mobile公司/TMUS</v>
      </c>
      <c r="E360" s="1821" t="s">
        <v>4791</v>
      </c>
      <c r="F360" s="1801"/>
      <c r="G360" s="1801"/>
      <c r="H360" s="1812"/>
      <c r="I360" s="1832"/>
      <c r="J360" s="1832"/>
      <c r="K360" s="1813"/>
      <c r="L360" s="1813"/>
      <c r="M360" s="1813"/>
      <c r="N360" s="1813"/>
      <c r="O360" s="1813"/>
      <c r="P360" s="1813"/>
      <c r="Q360" s="1813"/>
      <c r="R360" s="1813"/>
      <c r="S360" s="1813"/>
      <c r="T360" s="1813"/>
      <c r="U360" s="1813"/>
      <c r="V360" s="1813"/>
      <c r="W360" s="1813"/>
      <c r="X360" s="1813"/>
    </row>
    <row r="361" spans="1:24" ht="15.75" customHeight="1">
      <c r="A361" s="1799">
        <f t="shared" si="14"/>
        <v>171</v>
      </c>
      <c r="B361" s="1799" t="s">
        <v>1496</v>
      </c>
      <c r="C361" s="1806" t="s">
        <v>146</v>
      </c>
      <c r="D361" s="1804" t="str">
        <f t="shared" si="15"/>
        <v>T-Mobile美國公司/TMUS</v>
      </c>
      <c r="E361" s="1801" t="s">
        <v>4791</v>
      </c>
      <c r="F361" s="1801"/>
      <c r="G361" s="1801"/>
      <c r="H361" s="1812"/>
      <c r="I361" s="1832"/>
      <c r="J361" s="1832"/>
      <c r="K361" s="1813"/>
      <c r="L361" s="1813"/>
      <c r="M361" s="1813"/>
      <c r="N361" s="1813"/>
      <c r="O361" s="1813"/>
      <c r="P361" s="1813"/>
      <c r="Q361" s="1813"/>
      <c r="R361" s="1813"/>
      <c r="S361" s="1813"/>
      <c r="T361" s="1813"/>
      <c r="U361" s="1813"/>
      <c r="V361" s="1813"/>
      <c r="W361" s="1813"/>
      <c r="X361" s="1813"/>
    </row>
    <row r="362" spans="1:24" ht="15.75" customHeight="1">
      <c r="A362" s="1799">
        <f t="shared" si="14"/>
        <v>163</v>
      </c>
      <c r="B362" s="1807" t="s">
        <v>1709</v>
      </c>
      <c r="C362" s="1808" t="s">
        <v>1710</v>
      </c>
      <c r="D362" s="1804" t="str">
        <f t="shared" si="15"/>
        <v>豐田汽車信貸公司/TOYOTA</v>
      </c>
      <c r="E362" s="1803" t="s">
        <v>4792</v>
      </c>
      <c r="F362" s="1801"/>
      <c r="G362" s="1801"/>
      <c r="H362" s="1812"/>
      <c r="I362" s="1832"/>
      <c r="J362" s="1832"/>
      <c r="K362" s="1813"/>
      <c r="L362" s="1813"/>
      <c r="M362" s="1813"/>
      <c r="N362" s="1813"/>
      <c r="O362" s="1813"/>
      <c r="P362" s="1813"/>
      <c r="Q362" s="1813"/>
      <c r="R362" s="1813"/>
      <c r="S362" s="1813"/>
      <c r="T362" s="1813"/>
      <c r="U362" s="1813"/>
      <c r="V362" s="1813"/>
      <c r="W362" s="1813"/>
      <c r="X362" s="1813"/>
    </row>
    <row r="363" spans="1:24" ht="15.75" customHeight="1">
      <c r="A363" s="1799">
        <f t="shared" si="14"/>
        <v>162</v>
      </c>
      <c r="B363" s="1801" t="s">
        <v>1892</v>
      </c>
      <c r="C363" s="1802" t="s">
        <v>181</v>
      </c>
      <c r="D363" s="1801" t="str">
        <f t="shared" si="15"/>
        <v>Tapestry公司/TPR</v>
      </c>
      <c r="E363" s="1801" t="s">
        <v>4793</v>
      </c>
      <c r="F363" s="1801"/>
      <c r="G363" s="1801"/>
      <c r="H363" s="1812"/>
      <c r="I363" s="1832"/>
      <c r="J363" s="1832"/>
      <c r="K363" s="1813"/>
      <c r="L363" s="1813"/>
      <c r="M363" s="1813"/>
      <c r="N363" s="1813"/>
      <c r="O363" s="1813"/>
      <c r="P363" s="1813"/>
      <c r="Q363" s="1813"/>
      <c r="R363" s="1813"/>
      <c r="S363" s="1813"/>
      <c r="T363" s="1813"/>
      <c r="U363" s="1813"/>
      <c r="V363" s="1813"/>
      <c r="W363" s="1813"/>
      <c r="X363" s="1813"/>
    </row>
    <row r="364" spans="1:24" ht="15.75" customHeight="1">
      <c r="A364" s="1799">
        <f t="shared" si="14"/>
        <v>162</v>
      </c>
      <c r="B364" s="1804" t="s">
        <v>1547</v>
      </c>
      <c r="C364" s="1805" t="s">
        <v>181</v>
      </c>
      <c r="D364" s="1804" t="str">
        <f t="shared" si="15"/>
        <v>TPR-DRS-RS/TPR</v>
      </c>
      <c r="E364" s="1799" t="s">
        <v>4793</v>
      </c>
      <c r="F364" s="1801"/>
      <c r="G364" s="1801"/>
      <c r="H364" s="1812"/>
      <c r="I364" s="1832"/>
      <c r="J364" s="1832"/>
      <c r="K364" s="1813"/>
      <c r="L364" s="1813"/>
      <c r="M364" s="1813"/>
      <c r="N364" s="1813"/>
      <c r="O364" s="1813"/>
      <c r="P364" s="1813"/>
      <c r="Q364" s="1813"/>
      <c r="R364" s="1813"/>
      <c r="S364" s="1813"/>
      <c r="T364" s="1813"/>
      <c r="U364" s="1813"/>
      <c r="V364" s="1813"/>
      <c r="W364" s="1813"/>
      <c r="X364" s="1813"/>
    </row>
    <row r="365" spans="1:24" ht="15.75" customHeight="1">
      <c r="A365" s="1799">
        <f t="shared" si="14"/>
        <v>162</v>
      </c>
      <c r="B365" s="1807" t="s">
        <v>1492</v>
      </c>
      <c r="C365" s="1808" t="s">
        <v>181</v>
      </c>
      <c r="D365" s="1804" t="str">
        <f t="shared" si="15"/>
        <v>掛毯公司/TPR</v>
      </c>
      <c r="E365" s="1803" t="s">
        <v>4793</v>
      </c>
      <c r="F365" s="1801"/>
      <c r="G365" s="1801"/>
      <c r="H365" s="1812"/>
      <c r="I365" s="1832"/>
      <c r="J365" s="1832"/>
      <c r="K365" s="1813"/>
      <c r="L365" s="1813"/>
      <c r="M365" s="1813"/>
      <c r="N365" s="1813"/>
      <c r="O365" s="1813"/>
      <c r="P365" s="1813"/>
      <c r="Q365" s="1813"/>
      <c r="R365" s="1813"/>
      <c r="S365" s="1813"/>
      <c r="T365" s="1813"/>
      <c r="U365" s="1813"/>
      <c r="V365" s="1813"/>
      <c r="W365" s="1813"/>
      <c r="X365" s="1813"/>
    </row>
    <row r="366" spans="1:24" ht="15.75" customHeight="1">
      <c r="A366" s="1799">
        <f t="shared" si="14"/>
        <v>165</v>
      </c>
      <c r="B366" s="1801" t="s">
        <v>1504</v>
      </c>
      <c r="C366" s="1802" t="s">
        <v>264</v>
      </c>
      <c r="D366" s="1801" t="str">
        <f t="shared" si="15"/>
        <v>丹普席伊麗國際公司/TPX</v>
      </c>
      <c r="E366" s="1801" t="s">
        <v>1274</v>
      </c>
      <c r="F366" s="1801"/>
      <c r="G366" s="1801"/>
      <c r="H366" s="1812"/>
      <c r="I366" s="1832"/>
      <c r="J366" s="1832"/>
      <c r="K366" s="1813"/>
      <c r="L366" s="1813"/>
      <c r="M366" s="1813"/>
      <c r="N366" s="1813"/>
      <c r="O366" s="1813"/>
      <c r="P366" s="1813"/>
      <c r="Q366" s="1813"/>
      <c r="R366" s="1813"/>
      <c r="S366" s="1813"/>
      <c r="T366" s="1813"/>
      <c r="U366" s="1813"/>
      <c r="V366" s="1813"/>
      <c r="W366" s="1813"/>
      <c r="X366" s="1813"/>
    </row>
    <row r="367" spans="1:24" ht="15.75" customHeight="1">
      <c r="A367" s="1799">
        <f t="shared" si="14"/>
        <v>150</v>
      </c>
      <c r="B367" s="1803" t="s">
        <v>1371</v>
      </c>
      <c r="C367" s="1810" t="s">
        <v>1693</v>
      </c>
      <c r="D367" s="1804" t="str">
        <f t="shared" si="15"/>
        <v>橫跨加拿大管路有限公司/TRPCN</v>
      </c>
      <c r="E367" s="1803" t="s">
        <v>4794</v>
      </c>
      <c r="F367" s="1801"/>
      <c r="G367" s="1801"/>
      <c r="H367" s="1812"/>
      <c r="I367" s="1832"/>
      <c r="J367" s="1832"/>
      <c r="K367" s="1813"/>
      <c r="L367" s="1813"/>
      <c r="M367" s="1813"/>
      <c r="N367" s="1813"/>
      <c r="O367" s="1813"/>
      <c r="P367" s="1813"/>
      <c r="Q367" s="1813"/>
      <c r="R367" s="1813"/>
      <c r="S367" s="1813"/>
      <c r="T367" s="1813"/>
      <c r="U367" s="1813"/>
      <c r="V367" s="1813"/>
      <c r="W367" s="1813"/>
      <c r="X367" s="1813"/>
    </row>
    <row r="368" spans="1:24" ht="15.75" customHeight="1">
      <c r="A368" s="1799">
        <f t="shared" si="14"/>
        <v>158</v>
      </c>
      <c r="B368" s="1801" t="s">
        <v>1848</v>
      </c>
      <c r="C368" s="1802" t="s">
        <v>228</v>
      </c>
      <c r="D368" s="1801" t="str">
        <f t="shared" si="15"/>
        <v>土耳其政府/TURKEY</v>
      </c>
      <c r="E368" s="1821" t="s">
        <v>4795</v>
      </c>
      <c r="F368" s="1801"/>
      <c r="G368" s="1801"/>
      <c r="H368" s="1812"/>
      <c r="I368" s="1832"/>
      <c r="J368" s="1832"/>
      <c r="K368" s="1813"/>
      <c r="L368" s="1813"/>
      <c r="M368" s="1813"/>
      <c r="N368" s="1813"/>
      <c r="O368" s="1813"/>
      <c r="P368" s="1813"/>
      <c r="Q368" s="1813"/>
      <c r="R368" s="1813"/>
      <c r="S368" s="1813"/>
      <c r="T368" s="1813"/>
      <c r="U368" s="1813"/>
      <c r="V368" s="1813"/>
      <c r="W368" s="1813"/>
      <c r="X368" s="1813"/>
    </row>
    <row r="369" spans="1:24" ht="15.75" customHeight="1">
      <c r="A369" s="1799">
        <f t="shared" si="14"/>
        <v>158</v>
      </c>
      <c r="B369" s="1801" t="s">
        <v>1442</v>
      </c>
      <c r="C369" s="1802" t="s">
        <v>228</v>
      </c>
      <c r="D369" s="1801" t="str">
        <f t="shared" si="15"/>
        <v>土耳其政府國際債券/TURKEY</v>
      </c>
      <c r="E369" s="1801" t="s">
        <v>4795</v>
      </c>
      <c r="F369" s="1801"/>
      <c r="G369" s="1801"/>
      <c r="H369" s="1812"/>
      <c r="I369" s="1832"/>
      <c r="J369" s="1832"/>
      <c r="K369" s="1813"/>
      <c r="L369" s="1813"/>
      <c r="M369" s="1813"/>
      <c r="N369" s="1813"/>
      <c r="O369" s="1813"/>
      <c r="P369" s="1813"/>
      <c r="Q369" s="1813"/>
      <c r="R369" s="1813"/>
      <c r="S369" s="1813"/>
      <c r="T369" s="1813"/>
      <c r="U369" s="1813"/>
      <c r="V369" s="1813"/>
      <c r="W369" s="1813"/>
      <c r="X369" s="1813"/>
    </row>
    <row r="370" spans="1:24" ht="15.75" customHeight="1">
      <c r="A370" s="1799">
        <f t="shared" si="14"/>
        <v>123</v>
      </c>
      <c r="B370" s="1804" t="s">
        <v>1404</v>
      </c>
      <c r="C370" s="1805" t="s">
        <v>1528</v>
      </c>
      <c r="D370" s="1804" t="str">
        <f t="shared" si="15"/>
        <v>瑞銀集團公司/UBS</v>
      </c>
      <c r="E370" s="1799" t="s">
        <v>4796</v>
      </c>
      <c r="F370" s="1801"/>
      <c r="G370" s="1801"/>
      <c r="H370" s="1812"/>
      <c r="I370" s="1812"/>
      <c r="J370" s="1812"/>
      <c r="K370" s="1813"/>
      <c r="L370" s="1813"/>
      <c r="M370" s="1813"/>
      <c r="N370" s="1813"/>
      <c r="O370" s="1813"/>
      <c r="P370" s="1813"/>
      <c r="Q370" s="1813"/>
      <c r="R370" s="1813"/>
      <c r="S370" s="1813"/>
      <c r="T370" s="1813"/>
      <c r="U370" s="1813"/>
      <c r="V370" s="1813"/>
      <c r="W370" s="1813"/>
      <c r="X370" s="1813"/>
    </row>
    <row r="371" spans="1:24" ht="15.75" customHeight="1">
      <c r="A371" s="1799">
        <f t="shared" si="14"/>
        <v>123</v>
      </c>
      <c r="B371" s="1804" t="s">
        <v>1561</v>
      </c>
      <c r="C371" s="1805" t="s">
        <v>1528</v>
      </c>
      <c r="D371" s="1804" t="str">
        <f t="shared" si="15"/>
        <v>瑞士銀行公司/康乃狄克州史丹/UBS</v>
      </c>
      <c r="E371" s="1799" t="s">
        <v>4796</v>
      </c>
      <c r="F371" s="1801"/>
      <c r="G371" s="1801"/>
      <c r="H371" s="1812"/>
      <c r="I371" s="1812"/>
      <c r="J371" s="1812"/>
      <c r="K371" s="1813"/>
      <c r="L371" s="1813"/>
      <c r="M371" s="1813"/>
      <c r="N371" s="1813"/>
      <c r="O371" s="1813"/>
      <c r="P371" s="1813"/>
      <c r="Q371" s="1813"/>
      <c r="R371" s="1813"/>
      <c r="S371" s="1813"/>
      <c r="T371" s="1813"/>
      <c r="U371" s="1813"/>
      <c r="V371" s="1813"/>
      <c r="W371" s="1813"/>
      <c r="X371" s="1813"/>
    </row>
    <row r="372" spans="1:24" ht="15.75" customHeight="1">
      <c r="A372" s="1799">
        <f t="shared" si="14"/>
        <v>187</v>
      </c>
      <c r="B372" s="1799" t="s">
        <v>1518</v>
      </c>
      <c r="C372" s="1806" t="s">
        <v>1332</v>
      </c>
      <c r="D372" s="1801" t="str">
        <f t="shared" si="15"/>
        <v>聯合健康集團/UNH</v>
      </c>
      <c r="E372" s="1799" t="s">
        <v>4797</v>
      </c>
      <c r="F372" s="1801"/>
      <c r="G372" s="1801"/>
      <c r="H372" s="1812"/>
      <c r="I372" s="1812"/>
      <c r="J372" s="1812"/>
      <c r="K372" s="1813"/>
      <c r="L372" s="1813"/>
      <c r="M372" s="1813"/>
      <c r="N372" s="1813"/>
      <c r="O372" s="1813"/>
      <c r="P372" s="1813"/>
      <c r="Q372" s="1813"/>
      <c r="R372" s="1813"/>
      <c r="S372" s="1813"/>
      <c r="T372" s="1813"/>
      <c r="U372" s="1813"/>
      <c r="V372" s="1813"/>
      <c r="W372" s="1813"/>
      <c r="X372" s="1813"/>
    </row>
    <row r="373" spans="1:24" ht="15.75" customHeight="1">
      <c r="A373" s="1799">
        <f t="shared" si="14"/>
        <v>187</v>
      </c>
      <c r="B373" s="1799" t="s">
        <v>1637</v>
      </c>
      <c r="C373" s="1806" t="s">
        <v>1332</v>
      </c>
      <c r="D373" s="1804" t="str">
        <f t="shared" si="15"/>
        <v>聯合健康集團公司/UNH</v>
      </c>
      <c r="E373" s="1799" t="s">
        <v>4797</v>
      </c>
      <c r="F373" s="1801"/>
      <c r="G373" s="1801"/>
      <c r="H373" s="1812"/>
      <c r="I373" s="1812"/>
      <c r="J373" s="1812"/>
      <c r="K373" s="1813"/>
      <c r="L373" s="1813"/>
      <c r="M373" s="1813"/>
      <c r="N373" s="1813"/>
      <c r="O373" s="1813"/>
      <c r="P373" s="1813"/>
      <c r="Q373" s="1813"/>
      <c r="R373" s="1813"/>
      <c r="S373" s="1813"/>
      <c r="T373" s="1813"/>
      <c r="U373" s="1813"/>
      <c r="V373" s="1813"/>
      <c r="W373" s="1813"/>
      <c r="X373" s="1813"/>
    </row>
    <row r="374" spans="1:24" ht="15.75" customHeight="1">
      <c r="A374" s="1799">
        <f t="shared" si="14"/>
        <v>153</v>
      </c>
      <c r="B374" s="1801" t="s">
        <v>1487</v>
      </c>
      <c r="C374" s="1802" t="s">
        <v>252</v>
      </c>
      <c r="D374" s="1801" t="str">
        <f t="shared" si="15"/>
        <v>Unum集團/UNM</v>
      </c>
      <c r="E374" s="1801" t="s">
        <v>4798</v>
      </c>
      <c r="F374" s="1801"/>
      <c r="G374" s="1801"/>
      <c r="H374" s="1812"/>
      <c r="I374" s="1812"/>
      <c r="J374" s="1812"/>
      <c r="K374" s="1813"/>
      <c r="L374" s="1813"/>
      <c r="M374" s="1813"/>
      <c r="N374" s="1813"/>
      <c r="O374" s="1813"/>
      <c r="P374" s="1813"/>
      <c r="Q374" s="1813"/>
      <c r="R374" s="1813"/>
      <c r="S374" s="1813"/>
      <c r="T374" s="1813"/>
      <c r="U374" s="1813"/>
      <c r="V374" s="1813"/>
      <c r="W374" s="1813"/>
      <c r="X374" s="1813"/>
    </row>
    <row r="375" spans="1:24" ht="15.75" customHeight="1">
      <c r="A375" s="1799">
        <f t="shared" si="14"/>
        <v>188</v>
      </c>
      <c r="B375" s="1801" t="s">
        <v>1382</v>
      </c>
      <c r="C375" s="1802" t="s">
        <v>138</v>
      </c>
      <c r="D375" s="1801" t="str">
        <f t="shared" si="15"/>
        <v>聯合包裹服務公司/UPS</v>
      </c>
      <c r="E375" s="1801" t="s">
        <v>4799</v>
      </c>
      <c r="F375" s="1801"/>
      <c r="G375" s="1801"/>
      <c r="H375" s="1812"/>
      <c r="I375" s="1812"/>
      <c r="J375" s="1812"/>
      <c r="K375" s="1813"/>
      <c r="L375" s="1813"/>
      <c r="M375" s="1813"/>
      <c r="N375" s="1813"/>
      <c r="O375" s="1813"/>
      <c r="P375" s="1813"/>
      <c r="Q375" s="1813"/>
      <c r="R375" s="1813"/>
      <c r="S375" s="1813"/>
      <c r="T375" s="1813"/>
      <c r="U375" s="1813"/>
      <c r="V375" s="1813"/>
      <c r="W375" s="1813"/>
      <c r="X375" s="1813"/>
    </row>
    <row r="376" spans="1:24" ht="15.75" customHeight="1">
      <c r="A376" s="1799">
        <f t="shared" si="14"/>
        <v>161</v>
      </c>
      <c r="B376" s="1801" t="s">
        <v>1881</v>
      </c>
      <c r="C376" s="1802" t="s">
        <v>133</v>
      </c>
      <c r="D376" s="1801" t="str">
        <f t="shared" si="15"/>
        <v>威士卡公司/V</v>
      </c>
      <c r="E376" s="1821" t="s">
        <v>4800</v>
      </c>
      <c r="F376" s="1801"/>
      <c r="G376" s="1801"/>
      <c r="H376" s="1812"/>
      <c r="I376" s="1812"/>
      <c r="J376" s="1812"/>
      <c r="K376" s="1813"/>
      <c r="L376" s="1813"/>
      <c r="M376" s="1813"/>
      <c r="N376" s="1813"/>
      <c r="O376" s="1813"/>
      <c r="P376" s="1813"/>
      <c r="Q376" s="1813"/>
      <c r="R376" s="1813"/>
      <c r="S376" s="1813"/>
      <c r="T376" s="1813"/>
      <c r="U376" s="1813"/>
      <c r="V376" s="1813"/>
      <c r="W376" s="1813"/>
      <c r="X376" s="1813"/>
    </row>
    <row r="377" spans="1:24" ht="15.75" customHeight="1">
      <c r="A377" s="1799">
        <f t="shared" si="14"/>
        <v>161</v>
      </c>
      <c r="B377" s="1799" t="s">
        <v>1387</v>
      </c>
      <c r="C377" s="1806" t="s">
        <v>133</v>
      </c>
      <c r="D377" s="1804" t="str">
        <f t="shared" si="15"/>
        <v>威士卡/V</v>
      </c>
      <c r="E377" s="1799" t="s">
        <v>4800</v>
      </c>
      <c r="F377" s="1801"/>
      <c r="G377" s="1801"/>
      <c r="H377" s="1812"/>
      <c r="I377" s="1812"/>
      <c r="J377" s="1812"/>
      <c r="K377" s="1813"/>
      <c r="L377" s="1813"/>
      <c r="M377" s="1813"/>
      <c r="N377" s="1813"/>
      <c r="O377" s="1813"/>
      <c r="P377" s="1813"/>
      <c r="Q377" s="1813"/>
      <c r="R377" s="1813"/>
      <c r="S377" s="1813"/>
      <c r="T377" s="1813"/>
      <c r="U377" s="1813"/>
      <c r="V377" s="1813"/>
      <c r="W377" s="1813"/>
      <c r="X377" s="1813"/>
    </row>
    <row r="378" spans="1:24" ht="15.75" customHeight="1">
      <c r="A378" s="1799">
        <f t="shared" si="14"/>
        <v>157</v>
      </c>
      <c r="B378" s="1801" t="s">
        <v>1935</v>
      </c>
      <c r="C378" s="1802" t="s">
        <v>99</v>
      </c>
      <c r="D378" s="1801" t="str">
        <f t="shared" si="15"/>
        <v>巴西淡水河谷公司 /VALEBZ</v>
      </c>
      <c r="E378" s="1801" t="s">
        <v>4801</v>
      </c>
      <c r="F378" s="1801"/>
      <c r="G378" s="1801"/>
      <c r="H378" s="1812"/>
      <c r="I378" s="1812"/>
      <c r="J378" s="1812"/>
      <c r="K378" s="1813"/>
      <c r="L378" s="1813"/>
      <c r="M378" s="1813"/>
      <c r="N378" s="1813"/>
      <c r="O378" s="1813"/>
      <c r="P378" s="1813"/>
      <c r="Q378" s="1813"/>
      <c r="R378" s="1813"/>
      <c r="S378" s="1813"/>
      <c r="T378" s="1813"/>
      <c r="U378" s="1813"/>
      <c r="V378" s="1813"/>
      <c r="W378" s="1813"/>
      <c r="X378" s="1813"/>
    </row>
    <row r="379" spans="1:24" ht="15.75" customHeight="1">
      <c r="A379" s="1799">
        <f t="shared" si="14"/>
        <v>157</v>
      </c>
      <c r="B379" s="1804" t="s">
        <v>1587</v>
      </c>
      <c r="C379" s="1805" t="s">
        <v>99</v>
      </c>
      <c r="D379" s="1804" t="str">
        <f t="shared" si="15"/>
        <v>淡水河谷海外有限公司/VALEBZ</v>
      </c>
      <c r="E379" s="1801" t="s">
        <v>4802</v>
      </c>
      <c r="F379" s="1801"/>
      <c r="G379" s="1801"/>
      <c r="H379" s="1812"/>
      <c r="I379" s="1812"/>
      <c r="J379" s="1812"/>
      <c r="K379" s="1813"/>
      <c r="L379" s="1813"/>
      <c r="M379" s="1813"/>
      <c r="N379" s="1813"/>
      <c r="O379" s="1813"/>
      <c r="P379" s="1813"/>
      <c r="Q379" s="1813"/>
      <c r="R379" s="1813"/>
      <c r="S379" s="1813"/>
      <c r="T379" s="1813"/>
      <c r="U379" s="1813"/>
      <c r="V379" s="1813"/>
      <c r="W379" s="1813"/>
      <c r="X379" s="1813"/>
    </row>
    <row r="380" spans="1:24" ht="15.75" customHeight="1">
      <c r="A380" s="1799">
        <f t="shared" si="14"/>
        <v>157</v>
      </c>
      <c r="B380" s="1807" t="s">
        <v>1479</v>
      </c>
      <c r="C380" s="1808" t="s">
        <v>99</v>
      </c>
      <c r="D380" s="1804" t="str">
        <f t="shared" si="15"/>
        <v>淡水河谷/VALEBZ</v>
      </c>
      <c r="E380" s="1803" t="s">
        <v>4802</v>
      </c>
      <c r="F380" s="1801"/>
      <c r="G380" s="1801"/>
      <c r="H380" s="1812"/>
      <c r="I380" s="1812"/>
      <c r="J380" s="1812"/>
      <c r="K380" s="1813"/>
      <c r="L380" s="1813"/>
      <c r="M380" s="1813"/>
      <c r="N380" s="1813"/>
      <c r="O380" s="1813"/>
      <c r="P380" s="1813"/>
      <c r="Q380" s="1813"/>
      <c r="R380" s="1813"/>
      <c r="S380" s="1813"/>
      <c r="T380" s="1813"/>
      <c r="U380" s="1813"/>
      <c r="V380" s="1813"/>
      <c r="W380" s="1813"/>
      <c r="X380" s="1813"/>
    </row>
    <row r="381" spans="1:24" ht="15.75" customHeight="1">
      <c r="A381" s="1799">
        <f t="shared" si="14"/>
        <v>164</v>
      </c>
      <c r="B381" s="1801" t="s">
        <v>1515</v>
      </c>
      <c r="C381" s="1802" t="s">
        <v>59</v>
      </c>
      <c r="D381" s="1801" t="str">
        <f t="shared" si="15"/>
        <v>維康公司/VIAC</v>
      </c>
      <c r="E381" s="1803" t="s">
        <v>1520</v>
      </c>
      <c r="F381" s="1801"/>
      <c r="G381" s="1801"/>
      <c r="H381" s="1812"/>
      <c r="I381" s="1812"/>
      <c r="J381" s="1812"/>
      <c r="K381" s="1813"/>
      <c r="L381" s="1813"/>
      <c r="M381" s="1813"/>
      <c r="N381" s="1813"/>
      <c r="O381" s="1813"/>
      <c r="P381" s="1813"/>
      <c r="Q381" s="1813"/>
      <c r="R381" s="1813"/>
      <c r="S381" s="1813"/>
      <c r="T381" s="1813"/>
      <c r="U381" s="1813"/>
      <c r="V381" s="1813"/>
      <c r="W381" s="1813"/>
      <c r="X381" s="1813"/>
    </row>
    <row r="382" spans="1:24" ht="15.75" customHeight="1">
      <c r="A382" s="1799">
        <f t="shared" si="14"/>
        <v>121</v>
      </c>
      <c r="B382" s="1804" t="s">
        <v>1529</v>
      </c>
      <c r="C382" s="1805" t="s">
        <v>59</v>
      </c>
      <c r="D382" s="1804" t="str">
        <f t="shared" si="15"/>
        <v>維亞康姆哥倫比亞廣播公司/VIAC</v>
      </c>
      <c r="E382" s="1821" t="s">
        <v>1936</v>
      </c>
      <c r="F382" s="1801"/>
      <c r="G382" s="1801"/>
      <c r="H382" s="1812"/>
      <c r="I382" s="1812"/>
      <c r="J382" s="1812"/>
      <c r="K382" s="1813"/>
      <c r="L382" s="1813"/>
      <c r="M382" s="1813"/>
      <c r="N382" s="1813"/>
      <c r="O382" s="1813"/>
      <c r="P382" s="1813"/>
      <c r="Q382" s="1813"/>
      <c r="R382" s="1813"/>
      <c r="S382" s="1813"/>
      <c r="T382" s="1813"/>
      <c r="U382" s="1813"/>
      <c r="V382" s="1813"/>
      <c r="W382" s="1813"/>
      <c r="X382" s="1813"/>
    </row>
    <row r="383" spans="1:24" ht="15.75" customHeight="1">
      <c r="A383" s="1799">
        <f t="shared" si="14"/>
        <v>184</v>
      </c>
      <c r="B383" s="1801" t="s">
        <v>1869</v>
      </c>
      <c r="C383" s="1802" t="s">
        <v>151</v>
      </c>
      <c r="D383" s="1801" t="str">
        <f t="shared" si="15"/>
        <v>伏得風集團/VOD</v>
      </c>
      <c r="E383" s="1801" t="s">
        <v>4803</v>
      </c>
      <c r="F383" s="1801"/>
      <c r="G383" s="1801"/>
      <c r="H383" s="1812"/>
      <c r="I383" s="1812"/>
      <c r="J383" s="1812"/>
      <c r="K383" s="1813"/>
      <c r="L383" s="1813"/>
      <c r="M383" s="1813"/>
      <c r="N383" s="1813"/>
      <c r="O383" s="1813"/>
      <c r="P383" s="1813"/>
      <c r="Q383" s="1813"/>
      <c r="R383" s="1813"/>
      <c r="S383" s="1813"/>
      <c r="T383" s="1813"/>
      <c r="U383" s="1813"/>
      <c r="V383" s="1813"/>
      <c r="W383" s="1813"/>
      <c r="X383" s="1813"/>
    </row>
    <row r="384" spans="1:24" ht="15.75" customHeight="1">
      <c r="A384" s="1799">
        <f t="shared" si="14"/>
        <v>184</v>
      </c>
      <c r="B384" s="1799" t="s">
        <v>1414</v>
      </c>
      <c r="C384" s="1806" t="s">
        <v>151</v>
      </c>
      <c r="D384" s="1804" t="str">
        <f t="shared" si="15"/>
        <v>沃達豐集團公開有限公司/VOD</v>
      </c>
      <c r="E384" s="1801" t="s">
        <v>4803</v>
      </c>
      <c r="F384" s="1801"/>
      <c r="G384" s="1801"/>
      <c r="H384" s="1812"/>
      <c r="I384" s="1812"/>
      <c r="J384" s="1812"/>
      <c r="K384" s="1813"/>
      <c r="L384" s="1813"/>
      <c r="M384" s="1813"/>
      <c r="N384" s="1813"/>
      <c r="O384" s="1813"/>
      <c r="P384" s="1813"/>
      <c r="Q384" s="1813"/>
      <c r="R384" s="1813"/>
      <c r="S384" s="1813"/>
      <c r="T384" s="1813"/>
      <c r="U384" s="1813"/>
      <c r="V384" s="1813"/>
      <c r="W384" s="1813"/>
      <c r="X384" s="1813"/>
    </row>
    <row r="385" spans="1:24" ht="15.75" customHeight="1">
      <c r="A385" s="1799">
        <f t="shared" si="14"/>
        <v>184</v>
      </c>
      <c r="B385" s="1801" t="s">
        <v>1937</v>
      </c>
      <c r="C385" s="1802" t="s">
        <v>151</v>
      </c>
      <c r="D385" s="1801" t="str">
        <f t="shared" si="15"/>
        <v>沃達豐集團/VOD</v>
      </c>
      <c r="E385" s="1821" t="s">
        <v>4803</v>
      </c>
      <c r="F385" s="1801"/>
      <c r="G385" s="1801"/>
      <c r="H385" s="1812"/>
      <c r="I385" s="1812"/>
      <c r="J385" s="1812"/>
      <c r="K385" s="1813"/>
      <c r="L385" s="1813"/>
      <c r="M385" s="1813"/>
      <c r="N385" s="1813"/>
      <c r="O385" s="1813"/>
      <c r="P385" s="1813"/>
      <c r="Q385" s="1813"/>
      <c r="R385" s="1813"/>
      <c r="S385" s="1813"/>
      <c r="T385" s="1813"/>
      <c r="U385" s="1813"/>
      <c r="V385" s="1813"/>
      <c r="W385" s="1813"/>
      <c r="X385" s="1813"/>
    </row>
    <row r="386" spans="1:24" ht="15.75" customHeight="1">
      <c r="A386" s="1799">
        <f t="shared" si="14"/>
        <v>176</v>
      </c>
      <c r="B386" s="1814" t="s">
        <v>1512</v>
      </c>
      <c r="C386" s="1815" t="s">
        <v>1295</v>
      </c>
      <c r="D386" s="1801" t="str">
        <f t="shared" si="15"/>
        <v>暉致公司/VTRS</v>
      </c>
      <c r="E386" s="1801" t="s">
        <v>4804</v>
      </c>
      <c r="F386" s="1801"/>
      <c r="G386" s="1801"/>
      <c r="H386" s="1812"/>
      <c r="I386" s="1812"/>
      <c r="J386" s="1812"/>
      <c r="K386" s="1813"/>
      <c r="L386" s="1813"/>
      <c r="M386" s="1813"/>
      <c r="N386" s="1813"/>
      <c r="O386" s="1813"/>
      <c r="P386" s="1813"/>
      <c r="Q386" s="1813"/>
      <c r="R386" s="1813"/>
      <c r="S386" s="1813"/>
      <c r="T386" s="1813"/>
      <c r="U386" s="1813"/>
      <c r="V386" s="1813"/>
      <c r="W386" s="1813"/>
      <c r="X386" s="1813"/>
    </row>
    <row r="387" spans="1:24" ht="15.75" customHeight="1">
      <c r="A387" s="1799">
        <f t="shared" ref="A387:A416" si="16">LEN(E387)</f>
        <v>162</v>
      </c>
      <c r="B387" s="1801" t="s">
        <v>1902</v>
      </c>
      <c r="C387" s="1802" t="s">
        <v>1277</v>
      </c>
      <c r="D387" s="1801" t="str">
        <f t="shared" si="15"/>
        <v>福斯集團(美國)金融有限責任公司/VW</v>
      </c>
      <c r="E387" s="1801" t="s">
        <v>1331</v>
      </c>
      <c r="F387" s="1801"/>
      <c r="G387" s="1801"/>
      <c r="H387" s="1812"/>
      <c r="I387" s="1812"/>
      <c r="J387" s="1812"/>
      <c r="K387" s="1813"/>
      <c r="L387" s="1813"/>
      <c r="M387" s="1813"/>
      <c r="N387" s="1813"/>
      <c r="O387" s="1813"/>
      <c r="P387" s="1813"/>
      <c r="Q387" s="1813"/>
      <c r="R387" s="1813"/>
      <c r="S387" s="1813"/>
      <c r="T387" s="1813"/>
      <c r="U387" s="1813"/>
      <c r="V387" s="1813"/>
      <c r="W387" s="1813"/>
      <c r="X387" s="1813"/>
    </row>
    <row r="388" spans="1:24" ht="15.75" customHeight="1">
      <c r="A388" s="1799">
        <f t="shared" si="16"/>
        <v>162</v>
      </c>
      <c r="B388" s="1809" t="s">
        <v>1350</v>
      </c>
      <c r="C388" s="1842" t="s">
        <v>331</v>
      </c>
      <c r="D388" s="1804" t="str">
        <f t="shared" si="15"/>
        <v>福斯集團(美國)金融/VW</v>
      </c>
      <c r="E388" s="1814" t="s">
        <v>1331</v>
      </c>
      <c r="F388" s="1801"/>
      <c r="G388" s="1801"/>
      <c r="H388" s="1812"/>
      <c r="I388" s="1812"/>
      <c r="J388" s="1812"/>
      <c r="K388" s="1813"/>
      <c r="L388" s="1813"/>
      <c r="M388" s="1813"/>
      <c r="N388" s="1813"/>
      <c r="O388" s="1813"/>
      <c r="P388" s="1813"/>
      <c r="Q388" s="1813"/>
      <c r="R388" s="1813"/>
      <c r="S388" s="1813"/>
      <c r="T388" s="1813"/>
      <c r="U388" s="1813"/>
      <c r="V388" s="1813"/>
      <c r="W388" s="1813"/>
      <c r="X388" s="1813"/>
    </row>
    <row r="389" spans="1:24" ht="15.75" customHeight="1">
      <c r="A389" s="1799">
        <f t="shared" si="16"/>
        <v>162</v>
      </c>
      <c r="B389" s="1801" t="s">
        <v>1390</v>
      </c>
      <c r="C389" s="1806" t="s">
        <v>331</v>
      </c>
      <c r="D389" s="1801" t="str">
        <f t="shared" si="15"/>
        <v>福斯汽車國際金融公眾有限公司/VW</v>
      </c>
      <c r="E389" s="1801" t="s">
        <v>1331</v>
      </c>
      <c r="F389" s="1801"/>
      <c r="G389" s="1801"/>
      <c r="H389" s="1812"/>
      <c r="I389" s="1812"/>
      <c r="J389" s="1812"/>
      <c r="K389" s="1813"/>
      <c r="L389" s="1813"/>
      <c r="M389" s="1813"/>
      <c r="N389" s="1813"/>
      <c r="O389" s="1813"/>
      <c r="P389" s="1813"/>
      <c r="Q389" s="1813"/>
      <c r="R389" s="1813"/>
      <c r="S389" s="1813"/>
      <c r="T389" s="1813"/>
      <c r="U389" s="1813"/>
      <c r="V389" s="1813"/>
      <c r="W389" s="1813"/>
      <c r="X389" s="1813"/>
    </row>
    <row r="390" spans="1:24" ht="15.75" customHeight="1">
      <c r="A390" s="1799">
        <f t="shared" si="16"/>
        <v>167</v>
      </c>
      <c r="B390" s="1801" t="s">
        <v>1361</v>
      </c>
      <c r="C390" s="1802" t="s">
        <v>53</v>
      </c>
      <c r="D390" s="1801" t="str">
        <f t="shared" si="15"/>
        <v>威瑞森電信公司/VZ</v>
      </c>
      <c r="E390" s="1801" t="s">
        <v>4805</v>
      </c>
      <c r="F390" s="1801"/>
      <c r="G390" s="1801"/>
      <c r="H390" s="1812"/>
      <c r="I390" s="1812"/>
      <c r="J390" s="1812"/>
      <c r="K390" s="1813"/>
      <c r="L390" s="1813"/>
      <c r="M390" s="1813"/>
      <c r="N390" s="1813"/>
      <c r="O390" s="1813"/>
      <c r="P390" s="1813"/>
      <c r="Q390" s="1813"/>
      <c r="R390" s="1813"/>
      <c r="S390" s="1813"/>
      <c r="T390" s="1813"/>
      <c r="U390" s="1813"/>
      <c r="V390" s="1813"/>
      <c r="W390" s="1813"/>
      <c r="X390" s="1813"/>
    </row>
    <row r="391" spans="1:24" ht="15.75" customHeight="1">
      <c r="A391" s="1799">
        <f t="shared" si="16"/>
        <v>144</v>
      </c>
      <c r="B391" s="1801" t="s">
        <v>1886</v>
      </c>
      <c r="C391" s="1802" t="s">
        <v>179</v>
      </c>
      <c r="D391" s="1801" t="str">
        <f t="shared" si="15"/>
        <v>沃爾格林博姿聯合公司/WBA</v>
      </c>
      <c r="E391" s="1801" t="s">
        <v>4806</v>
      </c>
      <c r="F391" s="1801"/>
      <c r="G391" s="1801"/>
      <c r="H391" s="1812"/>
      <c r="I391" s="1812"/>
      <c r="J391" s="1812"/>
      <c r="K391" s="1813"/>
      <c r="L391" s="1813"/>
      <c r="M391" s="1813"/>
      <c r="N391" s="1813"/>
      <c r="O391" s="1813"/>
      <c r="P391" s="1813"/>
      <c r="Q391" s="1813"/>
      <c r="R391" s="1813"/>
      <c r="S391" s="1813"/>
      <c r="T391" s="1813"/>
      <c r="U391" s="1813"/>
      <c r="V391" s="1813"/>
      <c r="W391" s="1813"/>
      <c r="X391" s="1813"/>
    </row>
    <row r="392" spans="1:24" ht="15.75" customHeight="1">
      <c r="A392" s="1799">
        <f t="shared" si="16"/>
        <v>144</v>
      </c>
      <c r="B392" s="1804" t="s">
        <v>1536</v>
      </c>
      <c r="C392" s="1805" t="s">
        <v>179</v>
      </c>
      <c r="D392" s="1804" t="str">
        <f t="shared" si="15"/>
        <v>沃爾格林公司/WBA</v>
      </c>
      <c r="E392" s="1801" t="s">
        <v>4806</v>
      </c>
      <c r="F392" s="1801"/>
      <c r="G392" s="1801"/>
      <c r="H392" s="1812"/>
      <c r="I392" s="1812"/>
      <c r="J392" s="1812"/>
      <c r="K392" s="1813"/>
      <c r="L392" s="1813"/>
      <c r="M392" s="1813"/>
      <c r="N392" s="1813"/>
      <c r="O392" s="1813"/>
      <c r="P392" s="1813"/>
      <c r="Q392" s="1813"/>
      <c r="R392" s="1813"/>
      <c r="S392" s="1813"/>
      <c r="T392" s="1813"/>
      <c r="U392" s="1813"/>
      <c r="V392" s="1813"/>
      <c r="W392" s="1813"/>
      <c r="X392" s="1813"/>
    </row>
    <row r="393" spans="1:24" ht="15.75" customHeight="1">
      <c r="A393" s="1799">
        <f t="shared" si="16"/>
        <v>144</v>
      </c>
      <c r="B393" s="1799" t="s">
        <v>1478</v>
      </c>
      <c r="C393" s="1806" t="s">
        <v>179</v>
      </c>
      <c r="D393" s="1804" t="str">
        <f t="shared" si="15"/>
        <v>沃博聯公司/WBA</v>
      </c>
      <c r="E393" s="1801" t="s">
        <v>4806</v>
      </c>
      <c r="F393" s="1801"/>
      <c r="G393" s="1801"/>
      <c r="H393" s="1812"/>
      <c r="I393" s="1812"/>
      <c r="J393" s="1812"/>
      <c r="K393" s="1813"/>
      <c r="L393" s="1813"/>
      <c r="M393" s="1813"/>
      <c r="N393" s="1813"/>
      <c r="O393" s="1813"/>
      <c r="P393" s="1813"/>
      <c r="Q393" s="1813"/>
      <c r="R393" s="1813"/>
      <c r="S393" s="1813"/>
      <c r="T393" s="1813"/>
      <c r="U393" s="1813"/>
      <c r="V393" s="1813"/>
      <c r="W393" s="1813"/>
      <c r="X393" s="1813"/>
    </row>
    <row r="394" spans="1:24" ht="15.75" customHeight="1">
      <c r="A394" s="1799">
        <f t="shared" si="16"/>
        <v>194</v>
      </c>
      <c r="B394" s="1814" t="s">
        <v>1517</v>
      </c>
      <c r="C394" s="1815" t="s">
        <v>227</v>
      </c>
      <c r="D394" s="1801" t="str">
        <f t="shared" si="15"/>
        <v>Discovery傳播有限責任公司/WBD</v>
      </c>
      <c r="E394" s="1801" t="s">
        <v>4807</v>
      </c>
      <c r="F394" s="1801"/>
      <c r="G394" s="1801"/>
      <c r="H394" s="1812"/>
      <c r="I394" s="1812"/>
      <c r="J394" s="1812"/>
      <c r="K394" s="1813"/>
      <c r="L394" s="1813"/>
      <c r="M394" s="1813"/>
      <c r="N394" s="1813"/>
      <c r="O394" s="1813"/>
      <c r="P394" s="1813"/>
      <c r="Q394" s="1813"/>
      <c r="R394" s="1813"/>
      <c r="S394" s="1813"/>
      <c r="T394" s="1813"/>
      <c r="U394" s="1813"/>
      <c r="V394" s="1813"/>
      <c r="W394" s="1813"/>
      <c r="X394" s="1813"/>
    </row>
    <row r="395" spans="1:24" ht="15.75" customHeight="1">
      <c r="A395" s="1799">
        <f t="shared" si="16"/>
        <v>194</v>
      </c>
      <c r="B395" s="1809" t="s">
        <v>1486</v>
      </c>
      <c r="C395" s="1802" t="s">
        <v>227</v>
      </c>
      <c r="D395" s="1804" t="str">
        <f t="shared" si="15"/>
        <v>探索傳播有限責任公司/WBD</v>
      </c>
      <c r="E395" s="1801" t="s">
        <v>4807</v>
      </c>
      <c r="F395" s="1801"/>
      <c r="G395" s="1801"/>
      <c r="H395" s="1812"/>
      <c r="I395" s="1812"/>
      <c r="J395" s="1812"/>
      <c r="K395" s="1813"/>
      <c r="L395" s="1813"/>
      <c r="M395" s="1813"/>
      <c r="N395" s="1813"/>
      <c r="O395" s="1813"/>
      <c r="P395" s="1813"/>
      <c r="Q395" s="1813"/>
      <c r="R395" s="1813"/>
      <c r="S395" s="1813"/>
      <c r="T395" s="1813"/>
      <c r="U395" s="1813"/>
      <c r="V395" s="1813"/>
      <c r="W395" s="1813"/>
      <c r="X395" s="1813"/>
    </row>
    <row r="396" spans="1:24" ht="15.75" customHeight="1">
      <c r="A396" s="1799">
        <f t="shared" si="16"/>
        <v>150</v>
      </c>
      <c r="B396" s="1801" t="s">
        <v>1458</v>
      </c>
      <c r="C396" s="1802" t="s">
        <v>194</v>
      </c>
      <c r="D396" s="1801" t="str">
        <f t="shared" si="15"/>
        <v>威騰電子公司/WDC</v>
      </c>
      <c r="E396" s="1801" t="s">
        <v>4808</v>
      </c>
      <c r="F396" s="1801"/>
      <c r="G396" s="1801"/>
      <c r="H396" s="1812"/>
      <c r="I396" s="1812"/>
      <c r="J396" s="1812"/>
      <c r="K396" s="1813"/>
      <c r="L396" s="1813"/>
      <c r="M396" s="1813"/>
      <c r="N396" s="1813"/>
      <c r="O396" s="1813"/>
      <c r="P396" s="1813"/>
      <c r="Q396" s="1813"/>
      <c r="R396" s="1813"/>
      <c r="S396" s="1813"/>
      <c r="T396" s="1813"/>
      <c r="U396" s="1813"/>
      <c r="V396" s="1813"/>
      <c r="W396" s="1813"/>
      <c r="X396" s="1813"/>
    </row>
    <row r="397" spans="1:24" ht="15.75" customHeight="1">
      <c r="A397" s="1799">
        <f t="shared" si="16"/>
        <v>131</v>
      </c>
      <c r="B397" s="1804" t="s">
        <v>1402</v>
      </c>
      <c r="C397" s="1805" t="s">
        <v>57</v>
      </c>
      <c r="D397" s="1804" t="str">
        <f t="shared" si="15"/>
        <v>富國銀行/WFC</v>
      </c>
      <c r="E397" s="1801" t="s">
        <v>4809</v>
      </c>
      <c r="F397" s="1801"/>
      <c r="G397" s="1801"/>
      <c r="H397" s="1812"/>
      <c r="I397" s="1812"/>
      <c r="J397" s="1812"/>
      <c r="K397" s="1813"/>
      <c r="L397" s="1813"/>
      <c r="M397" s="1813"/>
      <c r="N397" s="1813"/>
      <c r="O397" s="1813"/>
      <c r="P397" s="1813"/>
      <c r="Q397" s="1813"/>
      <c r="R397" s="1813"/>
      <c r="S397" s="1813"/>
      <c r="T397" s="1813"/>
      <c r="U397" s="1813"/>
      <c r="V397" s="1813"/>
      <c r="W397" s="1813"/>
      <c r="X397" s="1813"/>
    </row>
    <row r="398" spans="1:24" ht="15.75" customHeight="1">
      <c r="A398" s="1799">
        <f t="shared" si="16"/>
        <v>133</v>
      </c>
      <c r="B398" s="1801" t="s">
        <v>1351</v>
      </c>
      <c r="C398" s="1802" t="s">
        <v>68</v>
      </c>
      <c r="D398" s="1801" t="str">
        <f t="shared" si="15"/>
        <v>沃爾瑪公司/WMT</v>
      </c>
      <c r="E398" s="1801" t="s">
        <v>4810</v>
      </c>
      <c r="F398" s="1801"/>
      <c r="G398" s="1801"/>
      <c r="H398" s="1812"/>
      <c r="I398" s="1812"/>
      <c r="J398" s="1812"/>
      <c r="K398" s="1813"/>
      <c r="L398" s="1813"/>
      <c r="M398" s="1813"/>
      <c r="N398" s="1813"/>
      <c r="O398" s="1813"/>
      <c r="P398" s="1813"/>
      <c r="Q398" s="1813"/>
      <c r="R398" s="1813"/>
      <c r="S398" s="1813"/>
      <c r="T398" s="1813"/>
      <c r="U398" s="1813"/>
      <c r="V398" s="1813"/>
      <c r="W398" s="1813"/>
      <c r="X398" s="1813"/>
    </row>
    <row r="399" spans="1:24" ht="15.75" customHeight="1">
      <c r="A399" s="1799">
        <f t="shared" si="16"/>
        <v>116</v>
      </c>
      <c r="B399" s="1801" t="s">
        <v>1505</v>
      </c>
      <c r="C399" s="1802" t="s">
        <v>80</v>
      </c>
      <c r="D399" s="1801" t="str">
        <f t="shared" si="15"/>
        <v>西太平洋銀行公司/WSTP</v>
      </c>
      <c r="E399" s="1801" t="s">
        <v>4811</v>
      </c>
      <c r="F399" s="1801"/>
      <c r="G399" s="1801"/>
      <c r="H399" s="1812"/>
      <c r="I399" s="1812"/>
      <c r="J399" s="1812"/>
      <c r="K399" s="1813"/>
      <c r="L399" s="1813"/>
      <c r="M399" s="1813"/>
      <c r="N399" s="1813"/>
      <c r="O399" s="1813"/>
      <c r="P399" s="1813"/>
      <c r="Q399" s="1813"/>
      <c r="R399" s="1813"/>
      <c r="S399" s="1813"/>
      <c r="T399" s="1813"/>
      <c r="U399" s="1813"/>
      <c r="V399" s="1813"/>
      <c r="W399" s="1813"/>
      <c r="X399" s="1813"/>
    </row>
    <row r="400" spans="1:24" ht="15.75" customHeight="1">
      <c r="A400" s="1799">
        <f t="shared" si="16"/>
        <v>157</v>
      </c>
      <c r="B400" s="1799" t="s">
        <v>1645</v>
      </c>
      <c r="C400" s="1806" t="s">
        <v>153</v>
      </c>
      <c r="D400" s="1801" t="str">
        <f t="shared" si="15"/>
        <v>埃克森美孚石油公司/XOM</v>
      </c>
      <c r="E400" s="1801" t="s">
        <v>4812</v>
      </c>
      <c r="F400" s="1801"/>
      <c r="G400" s="1801"/>
      <c r="H400" s="1812"/>
      <c r="I400" s="1812"/>
      <c r="J400" s="1812"/>
      <c r="K400" s="1813"/>
      <c r="L400" s="1813"/>
      <c r="M400" s="1813"/>
      <c r="N400" s="1813"/>
      <c r="O400" s="1813"/>
      <c r="P400" s="1813"/>
      <c r="Q400" s="1813"/>
      <c r="R400" s="1813"/>
      <c r="S400" s="1813"/>
      <c r="T400" s="1813"/>
      <c r="U400" s="1813"/>
      <c r="V400" s="1813"/>
      <c r="W400" s="1813"/>
      <c r="X400" s="1813"/>
    </row>
    <row r="401" spans="1:24" ht="15.75" customHeight="1">
      <c r="A401" s="1799">
        <f t="shared" si="16"/>
        <v>157</v>
      </c>
      <c r="B401" s="1799" t="s">
        <v>1646</v>
      </c>
      <c r="C401" s="1806" t="s">
        <v>153</v>
      </c>
      <c r="D401" s="1801" t="str">
        <f t="shared" si="15"/>
        <v>埃克森美孚公司/XOM</v>
      </c>
      <c r="E401" s="1801" t="s">
        <v>4812</v>
      </c>
      <c r="F401" s="1801"/>
      <c r="G401" s="1801"/>
      <c r="H401" s="1812"/>
      <c r="I401" s="1812"/>
      <c r="J401" s="1812"/>
      <c r="K401" s="1813"/>
      <c r="L401" s="1813"/>
      <c r="M401" s="1813"/>
      <c r="N401" s="1813"/>
      <c r="O401" s="1813"/>
      <c r="P401" s="1813"/>
      <c r="Q401" s="1813"/>
      <c r="R401" s="1813"/>
      <c r="S401" s="1813"/>
      <c r="T401" s="1813"/>
      <c r="U401" s="1813"/>
      <c r="V401" s="1813"/>
      <c r="W401" s="1813"/>
      <c r="X401" s="1813"/>
    </row>
    <row r="402" spans="1:24" ht="15.75" customHeight="1">
      <c r="A402" s="1799">
        <f t="shared" si="16"/>
        <v>147</v>
      </c>
      <c r="B402" s="1801" t="s">
        <v>1502</v>
      </c>
      <c r="C402" s="1802" t="s">
        <v>262</v>
      </c>
      <c r="D402" s="1801" t="str">
        <f t="shared" si="15"/>
        <v>百勝餐飲/YUM</v>
      </c>
      <c r="E402" s="1801" t="s">
        <v>4813</v>
      </c>
      <c r="F402" s="1801"/>
      <c r="G402" s="1801"/>
      <c r="H402" s="1812"/>
      <c r="I402" s="1812"/>
      <c r="J402" s="1812"/>
      <c r="K402" s="1813"/>
      <c r="L402" s="1813"/>
      <c r="M402" s="1813"/>
      <c r="N402" s="1813"/>
      <c r="O402" s="1813"/>
      <c r="P402" s="1813"/>
      <c r="Q402" s="1813"/>
      <c r="R402" s="1813"/>
      <c r="S402" s="1813"/>
      <c r="T402" s="1813"/>
      <c r="U402" s="1813"/>
      <c r="V402" s="1813"/>
      <c r="W402" s="1813"/>
      <c r="X402" s="1813"/>
    </row>
    <row r="403" spans="1:24" ht="15.75" customHeight="1">
      <c r="A403" s="1801">
        <f t="shared" si="16"/>
        <v>129</v>
      </c>
      <c r="B403" s="1801" t="s">
        <v>2379</v>
      </c>
      <c r="C403" s="1802" t="s">
        <v>52</v>
      </c>
      <c r="D403" s="1801" t="str">
        <f t="shared" si="15"/>
        <v>高盛金融公司國際有限公司/GS</v>
      </c>
      <c r="E403" s="1801" t="s">
        <v>4652</v>
      </c>
      <c r="F403" s="1801"/>
      <c r="G403" s="1801"/>
      <c r="H403" s="1812"/>
      <c r="I403" s="1812"/>
      <c r="J403" s="1812"/>
      <c r="K403" s="1813"/>
      <c r="L403" s="1813"/>
      <c r="M403" s="1813"/>
      <c r="N403" s="1813"/>
      <c r="O403" s="1813"/>
      <c r="P403" s="1813"/>
      <c r="Q403" s="1813"/>
      <c r="R403" s="1813"/>
      <c r="S403" s="1813"/>
      <c r="T403" s="1813"/>
      <c r="U403" s="1813"/>
      <c r="V403" s="1813"/>
      <c r="W403" s="1813"/>
      <c r="X403" s="1813"/>
    </row>
    <row r="404" spans="1:24" ht="15.75" customHeight="1">
      <c r="A404" s="1801">
        <f t="shared" si="16"/>
        <v>160</v>
      </c>
      <c r="B404" s="1801" t="s">
        <v>3493</v>
      </c>
      <c r="C404" s="1802" t="s">
        <v>3495</v>
      </c>
      <c r="D404" s="1801" t="str">
        <f t="shared" si="15"/>
        <v>必和必拓金融(美國)有限公司/BHP</v>
      </c>
      <c r="E404" s="1801" t="s">
        <v>4814</v>
      </c>
      <c r="F404" s="1801"/>
      <c r="G404" s="1801"/>
      <c r="H404" s="1812"/>
      <c r="I404" s="1812"/>
      <c r="J404" s="1812"/>
      <c r="K404" s="1813"/>
      <c r="L404" s="1813"/>
      <c r="M404" s="1813"/>
      <c r="N404" s="1813"/>
      <c r="O404" s="1813"/>
      <c r="P404" s="1813"/>
      <c r="Q404" s="1813"/>
      <c r="R404" s="1813"/>
      <c r="S404" s="1813"/>
      <c r="T404" s="1813"/>
      <c r="U404" s="1813"/>
      <c r="V404" s="1813"/>
      <c r="W404" s="1813"/>
      <c r="X404" s="1813"/>
    </row>
    <row r="405" spans="1:24" ht="15.75" customHeight="1">
      <c r="A405" s="1801">
        <f t="shared" si="16"/>
        <v>163</v>
      </c>
      <c r="B405" s="1801" t="s">
        <v>3502</v>
      </c>
      <c r="C405" s="1801" t="s">
        <v>3504</v>
      </c>
      <c r="D405" s="1801" t="str">
        <f t="shared" si="15"/>
        <v>豐田汽車公司/TOYOTA</v>
      </c>
      <c r="E405" s="1801" t="s">
        <v>4792</v>
      </c>
      <c r="F405" s="1801"/>
      <c r="G405" s="1801"/>
      <c r="H405" s="1812"/>
      <c r="I405" s="1812"/>
      <c r="J405" s="1812"/>
      <c r="K405" s="1813"/>
      <c r="L405" s="1813"/>
      <c r="M405" s="1813"/>
      <c r="N405" s="1813"/>
      <c r="O405" s="1813"/>
      <c r="P405" s="1813"/>
      <c r="Q405" s="1813"/>
      <c r="R405" s="1813"/>
      <c r="S405" s="1813"/>
      <c r="T405" s="1813"/>
      <c r="U405" s="1813"/>
      <c r="V405" s="1813"/>
      <c r="W405" s="1813"/>
      <c r="X405" s="1813"/>
    </row>
    <row r="406" spans="1:24" ht="15.75" customHeight="1">
      <c r="A406" s="1801">
        <f t="shared" si="16"/>
        <v>157</v>
      </c>
      <c r="B406" s="1819" t="s">
        <v>3816</v>
      </c>
      <c r="C406" s="1811" t="s">
        <v>3817</v>
      </c>
      <c r="D406" s="1801" t="str">
        <f t="shared" si="15"/>
        <v>本田汽車/HNDA</v>
      </c>
      <c r="E406" s="1819" t="s">
        <v>4815</v>
      </c>
      <c r="F406" s="1801"/>
      <c r="G406" s="1801"/>
      <c r="H406" s="1812"/>
      <c r="I406" s="1812"/>
      <c r="J406" s="1812"/>
      <c r="K406" s="1813"/>
      <c r="L406" s="1813"/>
      <c r="M406" s="1813"/>
      <c r="N406" s="1813"/>
      <c r="O406" s="1813"/>
      <c r="P406" s="1813"/>
      <c r="Q406" s="1813"/>
      <c r="R406" s="1813"/>
      <c r="S406" s="1813"/>
      <c r="T406" s="1813"/>
      <c r="U406" s="1813"/>
      <c r="V406" s="1813"/>
      <c r="W406" s="1813"/>
      <c r="X406" s="1813"/>
    </row>
    <row r="407" spans="1:24" ht="15.75" customHeight="1">
      <c r="A407" s="1801">
        <f t="shared" si="16"/>
        <v>155</v>
      </c>
      <c r="B407" s="1819" t="s">
        <v>3818</v>
      </c>
      <c r="C407" s="1811" t="s">
        <v>3817</v>
      </c>
      <c r="D407" s="1801" t="str">
        <f t="shared" si="15"/>
        <v>美國本田金融公司/HNDA</v>
      </c>
      <c r="E407" s="1819" t="s">
        <v>3819</v>
      </c>
      <c r="F407" s="1801"/>
      <c r="G407" s="1801"/>
      <c r="H407" s="1812"/>
      <c r="I407" s="1812"/>
      <c r="J407" s="1812"/>
      <c r="K407" s="1813"/>
      <c r="L407" s="1813"/>
      <c r="M407" s="1813"/>
      <c r="N407" s="1813"/>
      <c r="O407" s="1813"/>
      <c r="P407" s="1813"/>
      <c r="Q407" s="1813"/>
      <c r="R407" s="1813"/>
      <c r="S407" s="1813"/>
      <c r="T407" s="1813"/>
      <c r="U407" s="1813"/>
      <c r="V407" s="1813"/>
      <c r="W407" s="1813"/>
      <c r="X407" s="1813"/>
    </row>
    <row r="408" spans="1:24" ht="15.75" customHeight="1">
      <c r="A408" s="1801">
        <f t="shared" si="16"/>
        <v>158</v>
      </c>
      <c r="B408" s="1832" t="s">
        <v>4816</v>
      </c>
      <c r="C408" s="1843" t="s">
        <v>4817</v>
      </c>
      <c r="D408" s="1801" t="str">
        <f t="shared" si="15"/>
        <v>美國國庫券分割債票息/S</v>
      </c>
      <c r="E408" s="1821" t="s">
        <v>4818</v>
      </c>
      <c r="F408" s="1801"/>
      <c r="G408" s="1801"/>
      <c r="H408" s="1812"/>
      <c r="I408" s="1812"/>
      <c r="J408" s="1812"/>
    </row>
    <row r="409" spans="1:24" ht="15.75" customHeight="1">
      <c r="A409" s="1801">
        <f t="shared" si="16"/>
        <v>169</v>
      </c>
      <c r="B409" s="1832" t="s">
        <v>2832</v>
      </c>
      <c r="C409" s="1843" t="s">
        <v>66</v>
      </c>
      <c r="D409" s="1801" t="str">
        <f t="shared" si="15"/>
        <v>法國電力有限責任公司/EDF</v>
      </c>
      <c r="E409" s="1801" t="s">
        <v>4819</v>
      </c>
      <c r="F409" s="1801"/>
      <c r="G409" s="1801"/>
      <c r="H409" s="1812"/>
      <c r="I409" s="1812"/>
      <c r="J409" s="1812"/>
    </row>
    <row r="410" spans="1:24" ht="15.75" customHeight="1">
      <c r="A410" s="1801">
        <f t="shared" si="16"/>
        <v>155</v>
      </c>
      <c r="B410" s="1819" t="s">
        <v>4820</v>
      </c>
      <c r="C410" s="1819" t="s">
        <v>4821</v>
      </c>
      <c r="D410" s="1801" t="str">
        <f t="shared" si="15"/>
        <v>加拿大政府公債/CAN</v>
      </c>
      <c r="E410" s="1819" t="s">
        <v>4822</v>
      </c>
      <c r="F410" s="1801"/>
      <c r="G410" s="1801"/>
      <c r="H410" s="1812"/>
      <c r="I410" s="1812"/>
      <c r="J410" s="1812"/>
    </row>
    <row r="411" spans="1:24" ht="15.75" customHeight="1">
      <c r="A411" s="1801">
        <f t="shared" si="16"/>
        <v>151</v>
      </c>
      <c r="B411" s="1819" t="s">
        <v>4823</v>
      </c>
      <c r="C411" s="1819" t="s">
        <v>4824</v>
      </c>
      <c r="D411" s="1801" t="str">
        <f t="shared" si="15"/>
        <v>紐西蘭公債/NZGB</v>
      </c>
      <c r="E411" s="1844" t="s">
        <v>4825</v>
      </c>
      <c r="F411" s="1801"/>
      <c r="G411" s="1801"/>
      <c r="H411" s="1812"/>
      <c r="I411" s="1812"/>
      <c r="J411" s="1812"/>
    </row>
    <row r="412" spans="1:24" ht="15.75" customHeight="1">
      <c r="A412" s="1801">
        <f t="shared" si="16"/>
        <v>143</v>
      </c>
      <c r="B412" s="1811" t="s">
        <v>4826</v>
      </c>
      <c r="C412" s="1811" t="s">
        <v>4827</v>
      </c>
      <c r="D412" s="1801" t="str">
        <f t="shared" si="15"/>
        <v>NBN Co Ltd/NBNAUS</v>
      </c>
      <c r="E412" s="1819" t="s">
        <v>4828</v>
      </c>
      <c r="F412" s="1801"/>
      <c r="G412" s="1801"/>
      <c r="H412" s="1812"/>
      <c r="I412" s="1812"/>
      <c r="J412" s="1812"/>
    </row>
    <row r="413" spans="1:24" ht="16.5" customHeight="1">
      <c r="A413" s="1801">
        <f t="shared" si="16"/>
        <v>150</v>
      </c>
      <c r="B413" s="1811" t="s">
        <v>3923</v>
      </c>
      <c r="C413" s="1811" t="s">
        <v>3927</v>
      </c>
      <c r="D413" s="1801" t="str">
        <f t="shared" ref="D413:D416" si="17">CONCATENATE(B413,"/",C413)</f>
        <v>禮來公司/LLY</v>
      </c>
      <c r="E413" s="1819" t="s">
        <v>4829</v>
      </c>
      <c r="F413" s="1801"/>
      <c r="G413" s="1801"/>
      <c r="H413" s="1812"/>
      <c r="I413" s="1812"/>
      <c r="J413" s="1812"/>
    </row>
    <row r="414" spans="1:24" ht="14.5">
      <c r="A414" s="1801">
        <f t="shared" si="16"/>
        <v>146</v>
      </c>
      <c r="B414" s="1832" t="s">
        <v>4830</v>
      </c>
      <c r="C414" s="1843" t="s">
        <v>4831</v>
      </c>
      <c r="D414" s="1801" t="str">
        <f t="shared" si="17"/>
        <v>Hutchison Whampoa Finance CI/CKHH</v>
      </c>
      <c r="E414" s="1799" t="s">
        <v>4832</v>
      </c>
      <c r="F414" s="1801"/>
      <c r="G414" s="1801"/>
    </row>
    <row r="415" spans="1:24" ht="15.75" customHeight="1">
      <c r="A415" s="1801">
        <f t="shared" si="16"/>
        <v>165</v>
      </c>
      <c r="B415" s="1811" t="s">
        <v>4833</v>
      </c>
      <c r="C415" s="1811" t="s">
        <v>4834</v>
      </c>
      <c r="D415" s="1801" t="str">
        <f t="shared" si="17"/>
        <v>超微半導體公司/AMD</v>
      </c>
      <c r="E415" s="1811" t="s">
        <v>4835</v>
      </c>
      <c r="F415" s="1801"/>
      <c r="G415" s="1801"/>
      <c r="H415" s="1812"/>
      <c r="I415" s="1812"/>
      <c r="J415" s="1812"/>
    </row>
    <row r="416" spans="1:24" ht="15.75" customHeight="1">
      <c r="A416" s="1801">
        <f t="shared" si="16"/>
        <v>143</v>
      </c>
      <c r="B416" s="1819" t="s">
        <v>4836</v>
      </c>
      <c r="C416" s="1819" t="s">
        <v>4837</v>
      </c>
      <c r="D416" s="1801" t="str">
        <f t="shared" si="17"/>
        <v>德州儀器公司/TXN</v>
      </c>
      <c r="E416" s="1819" t="s">
        <v>4838</v>
      </c>
      <c r="F416" s="1801"/>
      <c r="H416" s="1812"/>
      <c r="I416" s="1812"/>
      <c r="J416" s="1812"/>
    </row>
    <row r="417" spans="1:10" ht="15.75" customHeight="1">
      <c r="A417" s="1819"/>
      <c r="B417" s="1819"/>
      <c r="C417" s="1819"/>
      <c r="D417" s="1819"/>
      <c r="E417" s="1819"/>
      <c r="F417" s="1819"/>
      <c r="H417" s="1812"/>
      <c r="I417" s="1812"/>
      <c r="J417" s="1812"/>
    </row>
    <row r="418" spans="1:10" ht="15.75" customHeight="1">
      <c r="A418" s="1819"/>
      <c r="B418" s="1819"/>
      <c r="C418" s="1819"/>
      <c r="D418" s="1819"/>
      <c r="E418" s="1819"/>
      <c r="F418" s="1819"/>
      <c r="H418" s="1812"/>
      <c r="I418" s="1812"/>
      <c r="J418" s="1812"/>
    </row>
    <row r="419" spans="1:10" ht="15.75" customHeight="1">
      <c r="A419" s="1819"/>
      <c r="B419" s="1819"/>
      <c r="C419" s="1819"/>
      <c r="D419" s="1819"/>
      <c r="E419" s="1819"/>
      <c r="F419" s="1819"/>
      <c r="H419" s="1812"/>
      <c r="I419" s="1812"/>
      <c r="J419" s="1812"/>
    </row>
    <row r="420" spans="1:10" ht="15.75" customHeight="1">
      <c r="A420" s="1819"/>
      <c r="B420" s="1819"/>
      <c r="C420" s="1819"/>
      <c r="D420" s="1819"/>
      <c r="E420" s="1819"/>
      <c r="F420" s="1819"/>
      <c r="H420" s="1812"/>
      <c r="I420" s="1812"/>
      <c r="J420" s="1812"/>
    </row>
    <row r="421" spans="1:10" ht="15.75" customHeight="1">
      <c r="A421" s="1819"/>
      <c r="B421" s="1819"/>
      <c r="C421" s="1819"/>
      <c r="D421" s="1819"/>
      <c r="E421" s="1819"/>
      <c r="F421" s="1819"/>
      <c r="H421" s="1812"/>
      <c r="I421" s="1812"/>
      <c r="J421" s="1812"/>
    </row>
    <row r="422" spans="1:10" ht="15.75" customHeight="1">
      <c r="A422" s="1819"/>
      <c r="B422" s="1819"/>
      <c r="C422" s="1819"/>
      <c r="D422" s="1819"/>
      <c r="E422" s="1819"/>
      <c r="F422" s="1819"/>
      <c r="H422" s="1812"/>
      <c r="I422" s="1812"/>
      <c r="J422" s="1812"/>
    </row>
    <row r="423" spans="1:10" ht="15.75" customHeight="1">
      <c r="A423" s="1819"/>
      <c r="B423" s="1819"/>
      <c r="C423" s="1819"/>
      <c r="D423" s="1819"/>
      <c r="E423" s="1819"/>
      <c r="F423" s="1819"/>
      <c r="H423" s="1812"/>
      <c r="I423" s="1812"/>
      <c r="J423" s="1812"/>
    </row>
    <row r="424" spans="1:10" ht="15.75" customHeight="1">
      <c r="A424" s="1819"/>
      <c r="B424" s="1819"/>
      <c r="C424" s="1819"/>
      <c r="D424" s="1819"/>
      <c r="E424" s="1819"/>
      <c r="F424" s="1819"/>
      <c r="H424" s="1812"/>
      <c r="I424" s="1812"/>
      <c r="J424" s="1812"/>
    </row>
    <row r="425" spans="1:10" ht="15.75" customHeight="1">
      <c r="A425" s="1819"/>
      <c r="B425" s="1819"/>
      <c r="C425" s="1819"/>
      <c r="D425" s="1819"/>
      <c r="E425" s="1819"/>
      <c r="F425" s="1819"/>
      <c r="H425" s="1812"/>
      <c r="I425" s="1812"/>
      <c r="J425" s="1812"/>
    </row>
    <row r="426" spans="1:10" ht="15.75" customHeight="1">
      <c r="A426" s="1819"/>
      <c r="B426" s="1819"/>
      <c r="C426" s="1819"/>
      <c r="D426" s="1819"/>
      <c r="E426" s="1819"/>
      <c r="F426" s="1819"/>
      <c r="H426" s="1812"/>
      <c r="I426" s="1812"/>
      <c r="J426" s="1812"/>
    </row>
    <row r="427" spans="1:10" ht="15.75" customHeight="1">
      <c r="A427" s="1819"/>
      <c r="B427" s="1819"/>
      <c r="C427" s="1819"/>
      <c r="D427" s="1819"/>
      <c r="E427" s="1819"/>
      <c r="F427" s="1819"/>
      <c r="H427" s="1812"/>
      <c r="I427" s="1812"/>
      <c r="J427" s="1812"/>
    </row>
    <row r="428" spans="1:10" ht="15.75" customHeight="1">
      <c r="A428" s="1819"/>
      <c r="B428" s="1819"/>
      <c r="C428" s="1819"/>
      <c r="D428" s="1819"/>
      <c r="E428" s="1819"/>
      <c r="F428" s="1819"/>
      <c r="H428" s="1812"/>
      <c r="I428" s="1812"/>
      <c r="J428" s="1812"/>
    </row>
    <row r="429" spans="1:10" ht="15.75" customHeight="1">
      <c r="A429" s="1819"/>
      <c r="B429" s="1819"/>
      <c r="C429" s="1819"/>
      <c r="D429" s="1819"/>
      <c r="E429" s="1819"/>
      <c r="F429" s="1819"/>
      <c r="H429" s="1812"/>
      <c r="I429" s="1812"/>
      <c r="J429" s="1812"/>
    </row>
    <row r="430" spans="1:10" ht="15.75" customHeight="1">
      <c r="A430" s="1819"/>
      <c r="B430" s="1819"/>
      <c r="C430" s="1819"/>
      <c r="D430" s="1819"/>
      <c r="E430" s="1819"/>
      <c r="F430" s="1819"/>
      <c r="H430" s="1812"/>
      <c r="I430" s="1812"/>
      <c r="J430" s="1812"/>
    </row>
    <row r="431" spans="1:10" ht="15.75" customHeight="1">
      <c r="A431" s="1819"/>
      <c r="B431" s="1819"/>
      <c r="C431" s="1819"/>
      <c r="D431" s="1819"/>
      <c r="E431" s="1819"/>
      <c r="F431" s="1819"/>
      <c r="H431" s="1812"/>
      <c r="I431" s="1812"/>
      <c r="J431" s="1812"/>
    </row>
    <row r="432" spans="1:10" ht="15.75" customHeight="1">
      <c r="A432" s="1819"/>
      <c r="B432" s="1819"/>
      <c r="C432" s="1819"/>
      <c r="D432" s="1819"/>
      <c r="E432" s="1819"/>
      <c r="F432" s="1819"/>
      <c r="H432" s="1812"/>
      <c r="I432" s="1812"/>
      <c r="J432" s="1812"/>
    </row>
    <row r="433" spans="1:24" ht="15.75" customHeight="1">
      <c r="A433" s="1819"/>
      <c r="B433" s="1819"/>
      <c r="C433" s="1819"/>
      <c r="D433" s="1819"/>
      <c r="E433" s="1819"/>
      <c r="F433" s="1819"/>
      <c r="H433" s="1812"/>
      <c r="I433" s="1812"/>
      <c r="J433" s="1812"/>
    </row>
    <row r="434" spans="1:24" ht="15.75" customHeight="1">
      <c r="A434" s="1819"/>
      <c r="B434" s="1819"/>
      <c r="C434" s="1819"/>
      <c r="D434" s="1819"/>
      <c r="E434" s="1819"/>
      <c r="F434" s="1819"/>
      <c r="H434" s="1812"/>
      <c r="I434" s="1812"/>
      <c r="J434" s="1812"/>
    </row>
    <row r="435" spans="1:24" ht="15.75" customHeight="1">
      <c r="A435" s="1819"/>
      <c r="B435" s="1819"/>
      <c r="C435" s="1819"/>
      <c r="D435" s="1819"/>
      <c r="E435" s="1819"/>
      <c r="F435" s="1819"/>
      <c r="H435" s="1812"/>
      <c r="I435" s="1812"/>
      <c r="J435" s="1812"/>
    </row>
    <row r="436" spans="1:24" ht="15.75" customHeight="1">
      <c r="A436" s="1819"/>
      <c r="B436" s="1819"/>
      <c r="C436" s="1819"/>
      <c r="D436" s="1819"/>
      <c r="E436" s="1819"/>
      <c r="F436" s="1819"/>
      <c r="H436" s="1812"/>
      <c r="I436" s="1812"/>
      <c r="J436" s="1812"/>
    </row>
    <row r="437" spans="1:24" ht="15.75" customHeight="1">
      <c r="A437" s="1819"/>
      <c r="B437" s="1819"/>
      <c r="C437" s="1819"/>
      <c r="D437" s="1819"/>
      <c r="E437" s="1819"/>
      <c r="F437" s="1819"/>
      <c r="H437" s="1812"/>
      <c r="I437" s="1812"/>
      <c r="J437" s="1812"/>
    </row>
    <row r="438" spans="1:24" ht="15.75" customHeight="1">
      <c r="A438" s="1819"/>
      <c r="B438" s="1819"/>
      <c r="C438" s="1819"/>
      <c r="D438" s="1819"/>
      <c r="E438" s="1819"/>
      <c r="F438" s="1819"/>
      <c r="H438" s="1812"/>
      <c r="I438" s="1812"/>
      <c r="J438" s="1812"/>
    </row>
    <row r="439" spans="1:24" ht="15.75" customHeight="1">
      <c r="A439" s="1819"/>
      <c r="B439" s="1819"/>
      <c r="C439" s="1819"/>
      <c r="D439" s="1819"/>
      <c r="E439" s="1819"/>
      <c r="F439" s="1819"/>
      <c r="H439" s="1812"/>
      <c r="I439" s="1812"/>
      <c r="J439" s="1812"/>
    </row>
    <row r="440" spans="1:24" ht="15.75" customHeight="1">
      <c r="A440" s="1819"/>
      <c r="B440" s="1819"/>
      <c r="C440" s="1819"/>
      <c r="D440" s="1819"/>
      <c r="E440" s="1819"/>
      <c r="F440" s="1819"/>
      <c r="H440" s="1812"/>
      <c r="I440" s="1812"/>
      <c r="J440" s="1812"/>
    </row>
    <row r="441" spans="1:24" ht="15.75" customHeight="1">
      <c r="A441" s="1819"/>
      <c r="B441" s="1819"/>
      <c r="C441" s="1819"/>
      <c r="D441" s="1819"/>
      <c r="E441" s="1819"/>
      <c r="F441" s="1819"/>
      <c r="H441" s="1812"/>
      <c r="I441" s="1812"/>
      <c r="J441" s="1812"/>
    </row>
    <row r="442" spans="1:24" ht="15.75" customHeight="1">
      <c r="A442" s="1819"/>
      <c r="B442" s="1819"/>
      <c r="C442" s="1819"/>
      <c r="D442" s="1819"/>
      <c r="E442" s="1819"/>
      <c r="F442" s="1819"/>
      <c r="H442" s="1812"/>
      <c r="I442" s="1812"/>
      <c r="J442" s="1812"/>
    </row>
    <row r="443" spans="1:24" ht="15.75" customHeight="1">
      <c r="A443" s="1819"/>
      <c r="B443" s="1819"/>
      <c r="C443" s="1819"/>
      <c r="D443" s="1819"/>
      <c r="E443" s="1819"/>
      <c r="F443" s="1819"/>
      <c r="H443" s="1812"/>
      <c r="I443" s="1812"/>
      <c r="J443" s="1812"/>
    </row>
    <row r="444" spans="1:24" ht="15.75" customHeight="1">
      <c r="A444" s="1819"/>
      <c r="B444" s="1819"/>
      <c r="C444" s="1819"/>
      <c r="D444" s="1819"/>
      <c r="E444" s="1819"/>
      <c r="F444" s="1819"/>
      <c r="H444" s="1812"/>
      <c r="I444" s="1812"/>
      <c r="J444" s="1812"/>
    </row>
    <row r="445" spans="1:24" ht="15.75" customHeight="1">
      <c r="A445" s="1819"/>
      <c r="B445" s="1819"/>
      <c r="C445" s="1819"/>
      <c r="D445" s="1819"/>
      <c r="E445" s="1819"/>
      <c r="F445" s="1819"/>
      <c r="H445" s="1812"/>
      <c r="I445" s="1812"/>
      <c r="J445" s="1812"/>
    </row>
    <row r="446" spans="1:24" ht="15.75" customHeight="1">
      <c r="A446" s="1819"/>
      <c r="B446" s="1819"/>
      <c r="C446" s="1819"/>
      <c r="D446" s="1819"/>
      <c r="E446" s="1819"/>
      <c r="F446" s="1819"/>
      <c r="H446" s="1812"/>
      <c r="I446" s="1812"/>
      <c r="J446" s="1832"/>
      <c r="K446" s="1812"/>
      <c r="L446" s="1812"/>
      <c r="M446" s="1812"/>
      <c r="N446" s="1832"/>
      <c r="O446" s="1812"/>
      <c r="P446" s="1812"/>
      <c r="Q446" s="1812"/>
      <c r="R446" s="1832"/>
      <c r="S446" s="1812"/>
      <c r="T446" s="1812"/>
      <c r="U446" s="1812"/>
      <c r="V446" s="1832"/>
      <c r="W446" s="1812"/>
      <c r="X446" s="1812"/>
    </row>
    <row r="447" spans="1:24" ht="15.75" customHeight="1">
      <c r="A447" s="1819"/>
      <c r="B447" s="1819"/>
      <c r="C447" s="1819"/>
      <c r="D447" s="1819"/>
      <c r="E447" s="1819"/>
      <c r="F447" s="1819"/>
      <c r="H447" s="1812"/>
      <c r="I447" s="1812"/>
      <c r="J447" s="1832"/>
      <c r="K447" s="1812"/>
      <c r="L447" s="1812"/>
      <c r="M447" s="1812"/>
      <c r="N447" s="1832"/>
      <c r="O447" s="1812"/>
      <c r="P447" s="1812"/>
      <c r="Q447" s="1812"/>
      <c r="R447" s="1832"/>
      <c r="S447" s="1812"/>
      <c r="T447" s="1812"/>
      <c r="U447" s="1812"/>
      <c r="V447" s="1832"/>
      <c r="W447" s="1812"/>
      <c r="X447" s="1812"/>
    </row>
    <row r="448" spans="1:24" ht="15.75" customHeight="1">
      <c r="A448" s="1819"/>
      <c r="B448" s="1819"/>
      <c r="C448" s="1819"/>
      <c r="D448" s="1819"/>
      <c r="E448" s="1819"/>
      <c r="F448" s="1819"/>
      <c r="H448" s="1812"/>
      <c r="I448" s="1812"/>
      <c r="J448" s="1832"/>
      <c r="K448" s="1812"/>
      <c r="L448" s="1812"/>
      <c r="M448" s="1812"/>
      <c r="N448" s="1832"/>
      <c r="O448" s="1812"/>
      <c r="P448" s="1812"/>
      <c r="Q448" s="1812"/>
      <c r="R448" s="1832"/>
      <c r="S448" s="1812"/>
      <c r="T448" s="1812"/>
      <c r="U448" s="1812"/>
      <c r="V448" s="1832"/>
      <c r="W448" s="1812"/>
      <c r="X448" s="1812"/>
    </row>
    <row r="449" spans="1:24" ht="15.75" customHeight="1">
      <c r="A449" s="1819"/>
      <c r="B449" s="1819"/>
      <c r="C449" s="1819"/>
      <c r="D449" s="1819"/>
      <c r="E449" s="1819"/>
      <c r="F449" s="1819"/>
      <c r="H449" s="1812"/>
      <c r="I449" s="1812"/>
      <c r="J449" s="1832"/>
      <c r="K449" s="1812"/>
      <c r="L449" s="1812"/>
      <c r="M449" s="1812"/>
      <c r="N449" s="1832"/>
      <c r="O449" s="1812"/>
      <c r="P449" s="1812"/>
      <c r="Q449" s="1812"/>
      <c r="R449" s="1832"/>
      <c r="S449" s="1812"/>
      <c r="T449" s="1812"/>
      <c r="U449" s="1812"/>
      <c r="V449" s="1832"/>
      <c r="W449" s="1812"/>
      <c r="X449" s="1812"/>
    </row>
    <row r="450" spans="1:24" ht="15.75" customHeight="1">
      <c r="A450" s="1819"/>
      <c r="B450" s="1819"/>
      <c r="C450" s="1819"/>
      <c r="D450" s="1819"/>
      <c r="E450" s="1819"/>
      <c r="F450" s="1819"/>
      <c r="H450" s="1812"/>
      <c r="I450" s="1812"/>
      <c r="J450" s="1832"/>
      <c r="K450" s="1812"/>
      <c r="L450" s="1812"/>
      <c r="M450" s="1812"/>
      <c r="N450" s="1832"/>
      <c r="O450" s="1812"/>
      <c r="P450" s="1812"/>
      <c r="Q450" s="1812"/>
      <c r="R450" s="1832"/>
      <c r="S450" s="1812"/>
      <c r="T450" s="1812"/>
      <c r="U450" s="1812"/>
      <c r="V450" s="1832"/>
      <c r="W450" s="1812"/>
      <c r="X450" s="1812"/>
    </row>
    <row r="451" spans="1:24" ht="15.75" customHeight="1">
      <c r="A451" s="1819"/>
      <c r="B451" s="1819"/>
      <c r="C451" s="1819"/>
      <c r="D451" s="1819"/>
      <c r="E451" s="1819"/>
      <c r="F451" s="1819"/>
      <c r="H451" s="1812"/>
      <c r="I451" s="1812"/>
      <c r="J451" s="1832"/>
      <c r="K451" s="1812"/>
      <c r="L451" s="1812"/>
      <c r="M451" s="1812"/>
      <c r="N451" s="1832"/>
      <c r="O451" s="1812"/>
      <c r="P451" s="1812"/>
      <c r="Q451" s="1812"/>
      <c r="R451" s="1832"/>
      <c r="S451" s="1812"/>
      <c r="T451" s="1812"/>
      <c r="U451" s="1812"/>
      <c r="V451" s="1832"/>
      <c r="W451" s="1812"/>
      <c r="X451" s="1812"/>
    </row>
    <row r="452" spans="1:24" ht="15.75" customHeight="1">
      <c r="A452" s="1819"/>
      <c r="B452" s="1819"/>
      <c r="C452" s="1819"/>
      <c r="D452" s="1819"/>
      <c r="E452" s="1819"/>
      <c r="F452" s="1819"/>
      <c r="H452" s="1812"/>
      <c r="I452" s="1812"/>
      <c r="J452" s="1832"/>
      <c r="K452" s="1812"/>
      <c r="L452" s="1812"/>
      <c r="M452" s="1812"/>
      <c r="N452" s="1832"/>
      <c r="O452" s="1812"/>
      <c r="P452" s="1812"/>
      <c r="Q452" s="1812"/>
      <c r="R452" s="1832"/>
      <c r="S452" s="1812"/>
      <c r="T452" s="1812"/>
      <c r="U452" s="1812"/>
      <c r="V452" s="1832"/>
      <c r="W452" s="1812"/>
      <c r="X452" s="1812"/>
    </row>
    <row r="453" spans="1:24" ht="15.75" customHeight="1">
      <c r="A453" s="1819"/>
      <c r="B453" s="1819"/>
      <c r="C453" s="1819"/>
      <c r="D453" s="1819"/>
      <c r="E453" s="1819"/>
      <c r="F453" s="1819"/>
      <c r="H453" s="1812"/>
      <c r="I453" s="1812"/>
      <c r="J453" s="1832"/>
      <c r="K453" s="1812"/>
      <c r="L453" s="1812"/>
      <c r="M453" s="1812"/>
      <c r="N453" s="1832"/>
      <c r="O453" s="1812"/>
      <c r="P453" s="1812"/>
      <c r="Q453" s="1812"/>
      <c r="R453" s="1832"/>
      <c r="S453" s="1812"/>
      <c r="T453" s="1812"/>
      <c r="U453" s="1812"/>
      <c r="V453" s="1832"/>
      <c r="W453" s="1812"/>
      <c r="X453" s="1812"/>
    </row>
    <row r="454" spans="1:24" ht="15.75" customHeight="1">
      <c r="A454" s="1819"/>
      <c r="B454" s="1819"/>
      <c r="C454" s="1819"/>
      <c r="D454" s="1819"/>
      <c r="E454" s="1819"/>
      <c r="F454" s="1819"/>
      <c r="H454" s="1812"/>
      <c r="I454" s="1812"/>
      <c r="J454" s="1832"/>
      <c r="K454" s="1812"/>
      <c r="L454" s="1812"/>
      <c r="M454" s="1812"/>
      <c r="N454" s="1832"/>
      <c r="O454" s="1812"/>
      <c r="P454" s="1812"/>
      <c r="Q454" s="1812"/>
      <c r="R454" s="1832"/>
      <c r="S454" s="1812"/>
      <c r="T454" s="1812"/>
      <c r="U454" s="1812"/>
      <c r="V454" s="1832"/>
      <c r="W454" s="1812"/>
      <c r="X454" s="1812"/>
    </row>
    <row r="455" spans="1:24" ht="15.75" customHeight="1">
      <c r="A455" s="1819"/>
      <c r="B455" s="1819"/>
      <c r="C455" s="1819"/>
      <c r="D455" s="1819"/>
      <c r="E455" s="1819"/>
      <c r="F455" s="1819"/>
      <c r="H455" s="1812"/>
      <c r="I455" s="1812"/>
      <c r="J455" s="1812"/>
      <c r="K455" s="1812"/>
      <c r="L455" s="1812"/>
      <c r="M455" s="1812"/>
      <c r="N455" s="1812"/>
      <c r="O455" s="1812"/>
      <c r="P455" s="1812"/>
      <c r="Q455" s="1812"/>
      <c r="R455" s="1812"/>
      <c r="S455" s="1812"/>
      <c r="T455" s="1812"/>
      <c r="U455" s="1812"/>
      <c r="V455" s="1812"/>
      <c r="W455" s="1812"/>
      <c r="X455" s="1812"/>
    </row>
    <row r="456" spans="1:24" ht="15.75" customHeight="1">
      <c r="A456" s="1819"/>
      <c r="B456" s="1819"/>
      <c r="C456" s="1819"/>
      <c r="D456" s="1819"/>
      <c r="E456" s="1819"/>
      <c r="F456" s="1819"/>
      <c r="H456" s="1812"/>
      <c r="I456" s="1812"/>
      <c r="J456" s="1812"/>
      <c r="K456" s="1812"/>
      <c r="L456" s="1812"/>
      <c r="M456" s="1812"/>
      <c r="N456" s="1812"/>
      <c r="O456" s="1812"/>
      <c r="P456" s="1812"/>
      <c r="Q456" s="1812"/>
      <c r="R456" s="1812"/>
      <c r="S456" s="1812"/>
      <c r="T456" s="1812"/>
      <c r="U456" s="1812"/>
      <c r="V456" s="1812"/>
      <c r="W456" s="1812"/>
      <c r="X456" s="1812"/>
    </row>
    <row r="457" spans="1:24" ht="15.75" customHeight="1">
      <c r="A457" s="1819"/>
      <c r="B457" s="1819"/>
      <c r="C457" s="1819"/>
      <c r="D457" s="1819"/>
      <c r="E457" s="1819"/>
      <c r="F457" s="1819"/>
      <c r="H457" s="1812"/>
      <c r="I457" s="1812"/>
      <c r="J457" s="1812"/>
      <c r="K457" s="1812"/>
      <c r="L457" s="1812"/>
      <c r="M457" s="1812"/>
      <c r="N457" s="1812"/>
      <c r="O457" s="1812"/>
      <c r="P457" s="1812"/>
      <c r="Q457" s="1812"/>
      <c r="R457" s="1812"/>
      <c r="S457" s="1812"/>
      <c r="T457" s="1812"/>
      <c r="U457" s="1812"/>
      <c r="V457" s="1812"/>
      <c r="W457" s="1812"/>
      <c r="X457" s="1812"/>
    </row>
    <row r="458" spans="1:24" ht="15.75" customHeight="1">
      <c r="A458" s="1819"/>
      <c r="B458" s="1819"/>
      <c r="C458" s="1819"/>
      <c r="D458" s="1819"/>
      <c r="E458" s="1819"/>
      <c r="F458" s="1819"/>
      <c r="H458" s="1812"/>
      <c r="I458" s="1812"/>
      <c r="J458" s="1812"/>
      <c r="K458" s="1812"/>
      <c r="L458" s="1812"/>
      <c r="M458" s="1812"/>
      <c r="N458" s="1812"/>
      <c r="O458" s="1812"/>
      <c r="P458" s="1812"/>
      <c r="Q458" s="1812"/>
      <c r="R458" s="1812"/>
      <c r="S458" s="1812"/>
      <c r="T458" s="1812"/>
      <c r="U458" s="1812"/>
      <c r="V458" s="1812"/>
      <c r="W458" s="1812"/>
      <c r="X458" s="1812"/>
    </row>
    <row r="459" spans="1:24" ht="15.75" customHeight="1">
      <c r="A459" s="1819"/>
      <c r="B459" s="1819"/>
      <c r="C459" s="1819"/>
      <c r="D459" s="1819"/>
      <c r="E459" s="1819"/>
      <c r="F459" s="1819"/>
    </row>
    <row r="460" spans="1:24" ht="15.75" customHeight="1">
      <c r="A460" s="1819"/>
      <c r="B460" s="1819"/>
      <c r="C460" s="1819"/>
      <c r="D460" s="1819"/>
      <c r="E460" s="1819"/>
      <c r="F460" s="1819"/>
    </row>
    <row r="461" spans="1:24" ht="15.75" customHeight="1">
      <c r="A461" s="1819"/>
      <c r="B461" s="1819"/>
      <c r="C461" s="1819"/>
      <c r="D461" s="1819"/>
      <c r="E461" s="1819"/>
      <c r="F461" s="1819"/>
    </row>
    <row r="462" spans="1:24" ht="15.75" customHeight="1">
      <c r="A462" s="1819"/>
      <c r="B462" s="1819"/>
      <c r="C462" s="1819"/>
      <c r="D462" s="1819"/>
      <c r="E462" s="1819"/>
      <c r="F462" s="1819"/>
    </row>
    <row r="463" spans="1:24" ht="15.75" customHeight="1">
      <c r="A463" s="1819"/>
      <c r="B463" s="1819"/>
      <c r="C463" s="1819"/>
      <c r="D463" s="1819"/>
      <c r="E463" s="1819"/>
      <c r="F463" s="1819"/>
    </row>
    <row r="464" spans="1:24" ht="15.75" customHeight="1">
      <c r="A464" s="1819"/>
      <c r="B464" s="1819"/>
      <c r="C464" s="1819"/>
      <c r="D464" s="1819"/>
      <c r="E464" s="1819"/>
      <c r="F464" s="1819"/>
    </row>
    <row r="465" spans="1:24" ht="15.75" customHeight="1">
      <c r="A465" s="1819"/>
      <c r="B465" s="1819"/>
      <c r="C465" s="1819"/>
      <c r="D465" s="1819"/>
      <c r="E465" s="1819"/>
      <c r="F465" s="1819"/>
    </row>
    <row r="466" spans="1:24" ht="15.75" customHeight="1">
      <c r="A466" s="1819"/>
      <c r="B466" s="1819"/>
      <c r="C466" s="1819"/>
      <c r="D466" s="1819"/>
      <c r="E466" s="1819"/>
      <c r="F466" s="1819"/>
    </row>
    <row r="467" spans="1:24" ht="15.75" customHeight="1">
      <c r="A467" s="1819"/>
      <c r="B467" s="1819"/>
      <c r="C467" s="1819"/>
      <c r="D467" s="1819"/>
      <c r="E467" s="1819"/>
      <c r="F467" s="1819"/>
    </row>
    <row r="468" spans="1:24" ht="15.75" customHeight="1">
      <c r="A468" s="1819"/>
      <c r="B468" s="1819"/>
      <c r="C468" s="1819"/>
      <c r="D468" s="1819"/>
      <c r="E468" s="1819"/>
      <c r="F468" s="1819"/>
    </row>
    <row r="469" spans="1:24" ht="15.75" customHeight="1">
      <c r="A469" s="1819"/>
      <c r="B469" s="1819"/>
      <c r="C469" s="1819"/>
      <c r="D469" s="1819"/>
      <c r="E469" s="1819"/>
      <c r="F469" s="1819"/>
    </row>
    <row r="470" spans="1:24" ht="15.75" customHeight="1">
      <c r="A470" s="1819"/>
      <c r="B470" s="1819"/>
      <c r="C470" s="1819"/>
      <c r="D470" s="1819"/>
      <c r="E470" s="1819"/>
      <c r="F470" s="1819"/>
    </row>
    <row r="471" spans="1:24" ht="15.75" customHeight="1">
      <c r="A471" s="1819"/>
      <c r="B471" s="1819"/>
      <c r="C471" s="1819"/>
      <c r="D471" s="1819"/>
      <c r="E471" s="1819"/>
      <c r="F471" s="1819"/>
    </row>
    <row r="472" spans="1:24" ht="15.75" customHeight="1">
      <c r="A472" s="1819"/>
      <c r="B472" s="1819"/>
      <c r="C472" s="1819"/>
      <c r="D472" s="1819"/>
      <c r="E472" s="1819"/>
      <c r="F472" s="1819"/>
    </row>
    <row r="473" spans="1:24" ht="15.75" customHeight="1">
      <c r="A473" s="1819"/>
      <c r="B473" s="1819"/>
      <c r="C473" s="1819"/>
      <c r="D473" s="1819"/>
      <c r="E473" s="1819"/>
      <c r="F473" s="1819"/>
    </row>
    <row r="474" spans="1:24" ht="15.75" customHeight="1">
      <c r="A474" s="1819"/>
      <c r="B474" s="1819"/>
      <c r="C474" s="1819"/>
      <c r="D474" s="1819"/>
      <c r="E474" s="1819"/>
      <c r="F474" s="1819"/>
    </row>
    <row r="475" spans="1:24" ht="15.75" customHeight="1">
      <c r="A475" s="1819"/>
      <c r="B475" s="1819"/>
      <c r="C475" s="1819"/>
      <c r="D475" s="1819"/>
      <c r="E475" s="1819"/>
      <c r="F475" s="1819"/>
    </row>
    <row r="476" spans="1:24" ht="15.75" customHeight="1">
      <c r="A476" s="1819"/>
      <c r="B476" s="1819"/>
      <c r="C476" s="1819"/>
      <c r="D476" s="1819"/>
      <c r="E476" s="1819"/>
      <c r="F476" s="1819"/>
      <c r="G476" s="1803"/>
    </row>
    <row r="477" spans="1:24" ht="15.75" customHeight="1">
      <c r="A477" s="1819"/>
      <c r="B477" s="1819"/>
      <c r="C477" s="1819"/>
      <c r="D477" s="1819"/>
      <c r="E477" s="1819"/>
      <c r="F477" s="1819"/>
      <c r="G477" s="1803"/>
      <c r="H477" s="1813"/>
      <c r="I477" s="1813"/>
      <c r="J477" s="1813"/>
      <c r="K477" s="1813"/>
      <c r="L477" s="1813"/>
      <c r="M477" s="1813"/>
      <c r="N477" s="1813"/>
      <c r="O477" s="1813"/>
      <c r="P477" s="1813"/>
      <c r="Q477" s="1813"/>
      <c r="R477" s="1813"/>
      <c r="S477" s="1813"/>
      <c r="T477" s="1813"/>
      <c r="U477" s="1813"/>
      <c r="V477" s="1813"/>
      <c r="W477" s="1813"/>
      <c r="X477" s="1813"/>
    </row>
    <row r="478" spans="1:24" ht="15.75" customHeight="1">
      <c r="A478" s="1819"/>
      <c r="B478" s="1819"/>
      <c r="C478" s="1819"/>
      <c r="D478" s="1819"/>
      <c r="E478" s="1819"/>
      <c r="F478" s="1819"/>
      <c r="G478" s="1803"/>
      <c r="H478" s="1813"/>
      <c r="I478" s="1813"/>
      <c r="J478" s="1813"/>
      <c r="K478" s="1813"/>
      <c r="L478" s="1813"/>
      <c r="M478" s="1813"/>
      <c r="N478" s="1813"/>
      <c r="O478" s="1813"/>
      <c r="P478" s="1813"/>
      <c r="Q478" s="1813"/>
      <c r="R478" s="1813"/>
      <c r="S478" s="1813"/>
      <c r="T478" s="1813"/>
      <c r="U478" s="1813"/>
      <c r="V478" s="1813"/>
      <c r="W478" s="1813"/>
      <c r="X478" s="1813"/>
    </row>
    <row r="479" spans="1:24" ht="15.75" customHeight="1">
      <c r="A479" s="1819"/>
      <c r="B479" s="1819"/>
      <c r="C479" s="1819"/>
      <c r="D479" s="1819"/>
      <c r="E479" s="1819"/>
      <c r="F479" s="1819"/>
      <c r="G479" s="1803"/>
      <c r="H479" s="1813"/>
      <c r="I479" s="1813"/>
      <c r="J479" s="1813"/>
      <c r="K479" s="1813"/>
      <c r="L479" s="1813"/>
      <c r="M479" s="1813"/>
      <c r="N479" s="1813"/>
      <c r="O479" s="1813"/>
      <c r="P479" s="1813"/>
      <c r="Q479" s="1813"/>
      <c r="R479" s="1813"/>
      <c r="S479" s="1813"/>
      <c r="T479" s="1813"/>
      <c r="U479" s="1813"/>
      <c r="V479" s="1813"/>
      <c r="W479" s="1813"/>
      <c r="X479" s="1813"/>
    </row>
    <row r="480" spans="1:24" ht="15.75" customHeight="1">
      <c r="A480" s="1819"/>
      <c r="B480" s="1819"/>
      <c r="C480" s="1819"/>
      <c r="D480" s="1819"/>
      <c r="E480" s="1819"/>
      <c r="F480" s="1819"/>
      <c r="G480" s="1803"/>
      <c r="H480" s="1813"/>
      <c r="I480" s="1813"/>
      <c r="J480" s="1813"/>
      <c r="K480" s="1813"/>
      <c r="L480" s="1813"/>
      <c r="M480" s="1813"/>
      <c r="N480" s="1813"/>
      <c r="O480" s="1813"/>
      <c r="P480" s="1813"/>
      <c r="Q480" s="1813"/>
      <c r="R480" s="1813"/>
      <c r="S480" s="1813"/>
      <c r="T480" s="1813"/>
      <c r="U480" s="1813"/>
      <c r="V480" s="1813"/>
      <c r="W480" s="1813"/>
      <c r="X480" s="1813"/>
    </row>
    <row r="481" spans="1:24" ht="15.75" customHeight="1">
      <c r="A481" s="1819"/>
      <c r="B481" s="1819"/>
      <c r="C481" s="1819"/>
      <c r="D481" s="1819"/>
      <c r="E481" s="1819"/>
      <c r="F481" s="1819"/>
      <c r="G481" s="1803"/>
      <c r="H481" s="1813"/>
      <c r="I481" s="1813"/>
      <c r="J481" s="1813"/>
      <c r="K481" s="1813"/>
      <c r="L481" s="1813"/>
      <c r="M481" s="1813"/>
      <c r="N481" s="1813"/>
      <c r="O481" s="1813"/>
      <c r="P481" s="1813"/>
      <c r="Q481" s="1813"/>
      <c r="R481" s="1813"/>
      <c r="S481" s="1813"/>
      <c r="T481" s="1813"/>
      <c r="U481" s="1813"/>
      <c r="V481" s="1813"/>
      <c r="W481" s="1813"/>
      <c r="X481" s="1813"/>
    </row>
    <row r="482" spans="1:24" ht="15.75" customHeight="1">
      <c r="A482" s="1819"/>
      <c r="B482" s="1819"/>
      <c r="C482" s="1819"/>
      <c r="D482" s="1819"/>
      <c r="E482" s="1819"/>
      <c r="F482" s="1819"/>
      <c r="G482" s="1803"/>
      <c r="H482" s="1813"/>
      <c r="I482" s="1813"/>
      <c r="J482" s="1813"/>
      <c r="K482" s="1813"/>
      <c r="L482" s="1813"/>
      <c r="M482" s="1813"/>
      <c r="N482" s="1813"/>
      <c r="O482" s="1813"/>
      <c r="P482" s="1813"/>
      <c r="Q482" s="1813"/>
      <c r="R482" s="1813"/>
      <c r="S482" s="1813"/>
      <c r="T482" s="1813"/>
      <c r="U482" s="1813"/>
      <c r="V482" s="1813"/>
      <c r="W482" s="1813"/>
      <c r="X482" s="1813"/>
    </row>
    <row r="483" spans="1:24" ht="15.75" customHeight="1">
      <c r="A483" s="1819"/>
      <c r="B483" s="1819"/>
      <c r="C483" s="1819"/>
      <c r="D483" s="1819"/>
      <c r="E483" s="1819"/>
      <c r="F483" s="1819"/>
      <c r="G483" s="1803"/>
      <c r="H483" s="1813"/>
      <c r="I483" s="1813"/>
      <c r="J483" s="1813"/>
      <c r="K483" s="1813"/>
      <c r="L483" s="1813"/>
      <c r="M483" s="1813"/>
      <c r="N483" s="1813"/>
      <c r="O483" s="1813"/>
      <c r="P483" s="1813"/>
      <c r="Q483" s="1813"/>
      <c r="R483" s="1813"/>
      <c r="S483" s="1813"/>
      <c r="T483" s="1813"/>
      <c r="U483" s="1813"/>
      <c r="V483" s="1813"/>
      <c r="W483" s="1813"/>
      <c r="X483" s="1813"/>
    </row>
    <row r="484" spans="1:24" ht="15.75" customHeight="1">
      <c r="A484" s="1819"/>
      <c r="B484" s="1819"/>
      <c r="C484" s="1819"/>
      <c r="D484" s="1819"/>
      <c r="E484" s="1819"/>
      <c r="F484" s="1819"/>
      <c r="G484" s="1803"/>
      <c r="H484" s="1813"/>
      <c r="I484" s="1813"/>
      <c r="J484" s="1813"/>
      <c r="K484" s="1813"/>
      <c r="L484" s="1813"/>
      <c r="M484" s="1813"/>
      <c r="N484" s="1813"/>
      <c r="O484" s="1813"/>
      <c r="P484" s="1813"/>
      <c r="Q484" s="1813"/>
      <c r="R484" s="1813"/>
      <c r="S484" s="1813"/>
      <c r="T484" s="1813"/>
      <c r="U484" s="1813"/>
      <c r="V484" s="1813"/>
      <c r="W484" s="1813"/>
      <c r="X484" s="1813"/>
    </row>
    <row r="485" spans="1:24" ht="15.75" customHeight="1">
      <c r="A485" s="1819"/>
      <c r="B485" s="1819"/>
      <c r="C485" s="1819"/>
      <c r="D485" s="1819"/>
      <c r="E485" s="1819"/>
      <c r="F485" s="1819"/>
      <c r="G485" s="1803"/>
      <c r="H485" s="1813"/>
      <c r="I485" s="1813"/>
      <c r="J485" s="1813"/>
      <c r="K485" s="1813"/>
      <c r="L485" s="1813"/>
      <c r="M485" s="1813"/>
      <c r="N485" s="1813"/>
      <c r="O485" s="1813"/>
      <c r="P485" s="1813"/>
      <c r="Q485" s="1813"/>
      <c r="R485" s="1813"/>
      <c r="S485" s="1813"/>
      <c r="T485" s="1813"/>
      <c r="U485" s="1813"/>
      <c r="V485" s="1813"/>
      <c r="W485" s="1813"/>
      <c r="X485" s="1813"/>
    </row>
    <row r="486" spans="1:24" ht="15.75" customHeight="1">
      <c r="A486" s="1819"/>
      <c r="B486" s="1819"/>
      <c r="C486" s="1819"/>
      <c r="D486" s="1819"/>
      <c r="E486" s="1819"/>
      <c r="F486" s="1819"/>
      <c r="G486" s="1803"/>
      <c r="H486" s="1813"/>
      <c r="I486" s="1813"/>
      <c r="J486" s="1813"/>
      <c r="K486" s="1813"/>
      <c r="L486" s="1813"/>
      <c r="M486" s="1813"/>
      <c r="N486" s="1813"/>
      <c r="O486" s="1813"/>
      <c r="P486" s="1813"/>
      <c r="Q486" s="1813"/>
      <c r="R486" s="1813"/>
      <c r="S486" s="1813"/>
      <c r="T486" s="1813"/>
      <c r="U486" s="1813"/>
      <c r="V486" s="1813"/>
      <c r="W486" s="1813"/>
      <c r="X486" s="1813"/>
    </row>
    <row r="487" spans="1:24" ht="15.75" customHeight="1">
      <c r="A487" s="1819"/>
      <c r="B487" s="1819"/>
      <c r="C487" s="1819"/>
      <c r="D487" s="1819"/>
      <c r="E487" s="1819"/>
      <c r="F487" s="1819"/>
      <c r="G487" s="1803"/>
      <c r="H487" s="1813"/>
      <c r="I487" s="1813"/>
      <c r="J487" s="1813"/>
      <c r="K487" s="1813"/>
      <c r="L487" s="1813"/>
      <c r="M487" s="1813"/>
      <c r="N487" s="1813"/>
      <c r="O487" s="1813"/>
      <c r="P487" s="1813"/>
      <c r="Q487" s="1813"/>
      <c r="R487" s="1813"/>
      <c r="S487" s="1813"/>
      <c r="T487" s="1813"/>
      <c r="U487" s="1813"/>
      <c r="V487" s="1813"/>
      <c r="W487" s="1813"/>
      <c r="X487" s="1813"/>
    </row>
    <row r="488" spans="1:24" ht="15.75" customHeight="1">
      <c r="A488" s="1819"/>
      <c r="B488" s="1819"/>
      <c r="C488" s="1819"/>
      <c r="D488" s="1819"/>
      <c r="E488" s="1819"/>
      <c r="F488" s="1819"/>
      <c r="G488" s="1803"/>
      <c r="H488" s="1813"/>
      <c r="I488" s="1813"/>
      <c r="J488" s="1813"/>
      <c r="K488" s="1813"/>
      <c r="L488" s="1813"/>
      <c r="M488" s="1813"/>
      <c r="N488" s="1813"/>
      <c r="O488" s="1813"/>
      <c r="P488" s="1813"/>
      <c r="Q488" s="1813"/>
      <c r="R488" s="1813"/>
      <c r="S488" s="1813"/>
      <c r="T488" s="1813"/>
      <c r="U488" s="1813"/>
      <c r="V488" s="1813"/>
      <c r="W488" s="1813"/>
      <c r="X488" s="1813"/>
    </row>
    <row r="489" spans="1:24" ht="15.75" customHeight="1">
      <c r="A489" s="1819"/>
      <c r="B489" s="1819"/>
      <c r="C489" s="1819"/>
      <c r="D489" s="1819"/>
      <c r="E489" s="1819"/>
      <c r="F489" s="1819"/>
      <c r="G489" s="1803"/>
      <c r="H489" s="1813"/>
      <c r="I489" s="1813"/>
      <c r="J489" s="1813"/>
      <c r="K489" s="1813"/>
      <c r="L489" s="1813"/>
      <c r="M489" s="1813"/>
      <c r="N489" s="1813"/>
      <c r="O489" s="1813"/>
      <c r="P489" s="1813"/>
      <c r="Q489" s="1813"/>
      <c r="R489" s="1813"/>
      <c r="S489" s="1813"/>
      <c r="T489" s="1813"/>
      <c r="U489" s="1813"/>
      <c r="V489" s="1813"/>
      <c r="W489" s="1813"/>
      <c r="X489" s="1813"/>
    </row>
    <row r="490" spans="1:24" ht="15.75" customHeight="1">
      <c r="A490" s="1819"/>
      <c r="B490" s="1819"/>
      <c r="C490" s="1819"/>
      <c r="D490" s="1819"/>
      <c r="E490" s="1819"/>
      <c r="F490" s="1819"/>
      <c r="G490" s="1803"/>
      <c r="H490" s="1813"/>
      <c r="I490" s="1813"/>
      <c r="J490" s="1813"/>
      <c r="K490" s="1813"/>
      <c r="L490" s="1813"/>
      <c r="M490" s="1813"/>
      <c r="N490" s="1813"/>
      <c r="O490" s="1813"/>
      <c r="P490" s="1813"/>
      <c r="Q490" s="1813"/>
      <c r="R490" s="1813"/>
      <c r="S490" s="1813"/>
      <c r="T490" s="1813"/>
      <c r="U490" s="1813"/>
      <c r="V490" s="1813"/>
      <c r="W490" s="1813"/>
      <c r="X490" s="1813"/>
    </row>
    <row r="491" spans="1:24" ht="15.75" customHeight="1">
      <c r="A491" s="1819"/>
      <c r="B491" s="1819"/>
      <c r="C491" s="1819"/>
      <c r="D491" s="1819"/>
      <c r="E491" s="1819"/>
      <c r="F491" s="1819"/>
      <c r="G491" s="1803"/>
      <c r="H491" s="1813"/>
      <c r="I491" s="1813"/>
      <c r="J491" s="1813"/>
      <c r="K491" s="1813"/>
      <c r="L491" s="1813"/>
      <c r="M491" s="1813"/>
      <c r="N491" s="1813"/>
      <c r="O491" s="1813"/>
      <c r="P491" s="1813"/>
      <c r="Q491" s="1813"/>
      <c r="R491" s="1813"/>
      <c r="S491" s="1813"/>
      <c r="T491" s="1813"/>
      <c r="U491" s="1813"/>
      <c r="V491" s="1813"/>
      <c r="W491" s="1813"/>
      <c r="X491" s="1813"/>
    </row>
    <row r="492" spans="1:24" ht="15.75" customHeight="1">
      <c r="A492" s="1819"/>
      <c r="B492" s="1819"/>
      <c r="C492" s="1819"/>
      <c r="D492" s="1819"/>
      <c r="E492" s="1819"/>
      <c r="F492" s="1819"/>
      <c r="G492" s="1803"/>
      <c r="H492" s="1813"/>
      <c r="I492" s="1813"/>
      <c r="J492" s="1813"/>
      <c r="K492" s="1813"/>
      <c r="L492" s="1813"/>
      <c r="M492" s="1813"/>
      <c r="N492" s="1813"/>
      <c r="O492" s="1813"/>
      <c r="P492" s="1813"/>
      <c r="Q492" s="1813"/>
      <c r="R492" s="1813"/>
      <c r="S492" s="1813"/>
      <c r="T492" s="1813"/>
      <c r="U492" s="1813"/>
      <c r="V492" s="1813"/>
      <c r="W492" s="1813"/>
      <c r="X492" s="1813"/>
    </row>
    <row r="493" spans="1:24" ht="15.75" customHeight="1">
      <c r="A493" s="1819"/>
      <c r="B493" s="1819"/>
      <c r="C493" s="1819"/>
      <c r="D493" s="1819"/>
      <c r="E493" s="1819"/>
      <c r="F493" s="1819"/>
      <c r="G493" s="1803"/>
      <c r="H493" s="1813"/>
      <c r="I493" s="1813"/>
      <c r="J493" s="1813"/>
      <c r="K493" s="1813"/>
      <c r="L493" s="1813"/>
      <c r="M493" s="1813"/>
      <c r="N493" s="1813"/>
      <c r="O493" s="1813"/>
      <c r="P493" s="1813"/>
      <c r="Q493" s="1813"/>
      <c r="R493" s="1813"/>
      <c r="S493" s="1813"/>
      <c r="T493" s="1813"/>
      <c r="U493" s="1813"/>
      <c r="V493" s="1813"/>
      <c r="W493" s="1813"/>
      <c r="X493" s="1813"/>
    </row>
    <row r="494" spans="1:24" ht="15.75" customHeight="1">
      <c r="A494" s="1819"/>
      <c r="B494" s="1819"/>
      <c r="C494" s="1819"/>
      <c r="D494" s="1819"/>
      <c r="E494" s="1819"/>
      <c r="F494" s="1819"/>
      <c r="G494" s="1803"/>
      <c r="H494" s="1813"/>
      <c r="I494" s="1813"/>
      <c r="J494" s="1813"/>
      <c r="K494" s="1813"/>
      <c r="L494" s="1813"/>
      <c r="M494" s="1813"/>
      <c r="N494" s="1813"/>
      <c r="O494" s="1813"/>
      <c r="P494" s="1813"/>
      <c r="Q494" s="1813"/>
      <c r="R494" s="1813"/>
      <c r="S494" s="1813"/>
      <c r="T494" s="1813"/>
      <c r="U494" s="1813"/>
      <c r="V494" s="1813"/>
      <c r="W494" s="1813"/>
      <c r="X494" s="1813"/>
    </row>
    <row r="495" spans="1:24" ht="15.75" customHeight="1">
      <c r="A495" s="1819"/>
      <c r="B495" s="1819"/>
      <c r="C495" s="1819"/>
      <c r="D495" s="1819"/>
      <c r="E495" s="1819"/>
      <c r="F495" s="1819"/>
      <c r="G495" s="1803"/>
      <c r="H495" s="1813"/>
      <c r="I495" s="1813"/>
      <c r="J495" s="1813"/>
      <c r="K495" s="1813"/>
      <c r="L495" s="1813"/>
      <c r="M495" s="1813"/>
      <c r="N495" s="1813"/>
      <c r="O495" s="1813"/>
      <c r="P495" s="1813"/>
      <c r="Q495" s="1813"/>
      <c r="R495" s="1813"/>
      <c r="S495" s="1813"/>
      <c r="T495" s="1813"/>
      <c r="U495" s="1813"/>
      <c r="V495" s="1813"/>
      <c r="W495" s="1813"/>
      <c r="X495" s="1813"/>
    </row>
    <row r="496" spans="1:24" ht="15.75" customHeight="1">
      <c r="A496" s="1819"/>
      <c r="B496" s="1819"/>
      <c r="C496" s="1819"/>
      <c r="D496" s="1819"/>
      <c r="E496" s="1819"/>
      <c r="F496" s="1819"/>
      <c r="G496" s="1803"/>
      <c r="H496" s="1813"/>
      <c r="I496" s="1813"/>
      <c r="J496" s="1813"/>
      <c r="K496" s="1813"/>
      <c r="L496" s="1813"/>
      <c r="M496" s="1813"/>
      <c r="N496" s="1813"/>
      <c r="O496" s="1813"/>
      <c r="P496" s="1813"/>
      <c r="Q496" s="1813"/>
      <c r="R496" s="1813"/>
      <c r="S496" s="1813"/>
      <c r="T496" s="1813"/>
      <c r="U496" s="1813"/>
      <c r="V496" s="1813"/>
      <c r="W496" s="1813"/>
      <c r="X496" s="1813"/>
    </row>
    <row r="497" spans="1:24" ht="15.75" customHeight="1">
      <c r="A497" s="1819"/>
      <c r="B497" s="1819"/>
      <c r="C497" s="1819"/>
      <c r="D497" s="1819"/>
      <c r="E497" s="1819"/>
      <c r="F497" s="1819"/>
      <c r="G497" s="1803"/>
      <c r="H497" s="1813"/>
      <c r="I497" s="1813"/>
      <c r="J497" s="1813"/>
      <c r="K497" s="1813"/>
      <c r="L497" s="1813"/>
      <c r="M497" s="1813"/>
      <c r="N497" s="1813"/>
      <c r="O497" s="1813"/>
      <c r="P497" s="1813"/>
      <c r="Q497" s="1813"/>
      <c r="R497" s="1813"/>
      <c r="S497" s="1813"/>
      <c r="T497" s="1813"/>
      <c r="U497" s="1813"/>
      <c r="V497" s="1813"/>
      <c r="W497" s="1813"/>
      <c r="X497" s="1813"/>
    </row>
    <row r="498" spans="1:24" ht="15.75" customHeight="1">
      <c r="A498" s="1819"/>
      <c r="B498" s="1819"/>
      <c r="C498" s="1819"/>
      <c r="D498" s="1819"/>
      <c r="E498" s="1819"/>
      <c r="F498" s="1819"/>
      <c r="G498" s="1803"/>
      <c r="H498" s="1813"/>
      <c r="I498" s="1813"/>
      <c r="J498" s="1813"/>
      <c r="K498" s="1813"/>
      <c r="L498" s="1813"/>
      <c r="M498" s="1813"/>
      <c r="N498" s="1813"/>
      <c r="O498" s="1813"/>
      <c r="P498" s="1813"/>
      <c r="Q498" s="1813"/>
      <c r="R498" s="1813"/>
      <c r="S498" s="1813"/>
      <c r="T498" s="1813"/>
      <c r="U498" s="1813"/>
      <c r="V498" s="1813"/>
      <c r="W498" s="1813"/>
      <c r="X498" s="1813"/>
    </row>
    <row r="499" spans="1:24" ht="15.75" customHeight="1">
      <c r="A499" s="1819"/>
      <c r="B499" s="1819"/>
      <c r="C499" s="1819"/>
      <c r="D499" s="1819"/>
      <c r="E499" s="1819"/>
      <c r="F499" s="1819"/>
      <c r="G499" s="1803"/>
      <c r="H499" s="1813"/>
      <c r="I499" s="1813"/>
      <c r="J499" s="1813"/>
      <c r="K499" s="1813"/>
      <c r="L499" s="1813"/>
      <c r="M499" s="1813"/>
      <c r="N499" s="1813"/>
      <c r="O499" s="1813"/>
      <c r="P499" s="1813"/>
      <c r="Q499" s="1813"/>
      <c r="R499" s="1813"/>
      <c r="S499" s="1813"/>
      <c r="T499" s="1813"/>
      <c r="U499" s="1813"/>
      <c r="V499" s="1813"/>
      <c r="W499" s="1813"/>
      <c r="X499" s="1813"/>
    </row>
    <row r="500" spans="1:24" ht="15.75" customHeight="1">
      <c r="A500" s="1819"/>
      <c r="B500" s="1819"/>
      <c r="C500" s="1819"/>
      <c r="D500" s="1819"/>
      <c r="E500" s="1819"/>
      <c r="F500" s="1819"/>
      <c r="G500" s="1803"/>
      <c r="H500" s="1813"/>
      <c r="I500" s="1813"/>
      <c r="J500" s="1813"/>
      <c r="K500" s="1813"/>
      <c r="L500" s="1813"/>
      <c r="M500" s="1813"/>
      <c r="N500" s="1813"/>
      <c r="O500" s="1813"/>
      <c r="P500" s="1813"/>
      <c r="Q500" s="1813"/>
      <c r="R500" s="1813"/>
      <c r="S500" s="1813"/>
      <c r="T500" s="1813"/>
      <c r="U500" s="1813"/>
      <c r="V500" s="1813"/>
      <c r="W500" s="1813"/>
      <c r="X500" s="1813"/>
    </row>
    <row r="501" spans="1:24" ht="15.75" customHeight="1">
      <c r="A501" s="1819"/>
      <c r="B501" s="1819"/>
      <c r="C501" s="1819"/>
      <c r="D501" s="1819"/>
      <c r="E501" s="1819"/>
      <c r="F501" s="1819"/>
      <c r="G501" s="1803"/>
      <c r="H501" s="1813"/>
      <c r="I501" s="1813"/>
      <c r="J501" s="1813"/>
      <c r="K501" s="1813"/>
      <c r="L501" s="1813"/>
      <c r="M501" s="1813"/>
      <c r="N501" s="1813"/>
      <c r="O501" s="1813"/>
      <c r="P501" s="1813"/>
      <c r="Q501" s="1813"/>
      <c r="R501" s="1813"/>
      <c r="S501" s="1813"/>
      <c r="T501" s="1813"/>
      <c r="U501" s="1813"/>
      <c r="V501" s="1813"/>
      <c r="W501" s="1813"/>
      <c r="X501" s="1813"/>
    </row>
    <row r="502" spans="1:24" ht="15.75" customHeight="1">
      <c r="A502" s="1819"/>
      <c r="B502" s="1819"/>
      <c r="C502" s="1819"/>
      <c r="D502" s="1819"/>
      <c r="E502" s="1819"/>
      <c r="F502" s="1819"/>
      <c r="G502" s="1803"/>
      <c r="H502" s="1813"/>
      <c r="I502" s="1813"/>
      <c r="J502" s="1813"/>
      <c r="K502" s="1813"/>
      <c r="L502" s="1813"/>
      <c r="M502" s="1813"/>
      <c r="N502" s="1813"/>
      <c r="O502" s="1813"/>
      <c r="P502" s="1813"/>
      <c r="Q502" s="1813"/>
      <c r="R502" s="1813"/>
      <c r="S502" s="1813"/>
      <c r="T502" s="1813"/>
      <c r="U502" s="1813"/>
      <c r="V502" s="1813"/>
      <c r="W502" s="1813"/>
      <c r="X502" s="1813"/>
    </row>
    <row r="503" spans="1:24" ht="15.75" customHeight="1">
      <c r="A503" s="1819"/>
      <c r="B503" s="1819"/>
      <c r="C503" s="1819"/>
      <c r="D503" s="1819"/>
      <c r="E503" s="1819"/>
      <c r="F503" s="1819"/>
      <c r="G503" s="1803"/>
      <c r="H503" s="1813"/>
      <c r="I503" s="1813"/>
      <c r="J503" s="1813"/>
      <c r="K503" s="1813"/>
      <c r="L503" s="1813"/>
      <c r="M503" s="1813"/>
      <c r="N503" s="1813"/>
      <c r="O503" s="1813"/>
      <c r="P503" s="1813"/>
      <c r="Q503" s="1813"/>
      <c r="R503" s="1813"/>
      <c r="S503" s="1813"/>
      <c r="T503" s="1813"/>
      <c r="U503" s="1813"/>
      <c r="V503" s="1813"/>
      <c r="W503" s="1813"/>
      <c r="X503" s="1813"/>
    </row>
    <row r="504" spans="1:24" ht="15.75" customHeight="1">
      <c r="A504" s="1819"/>
      <c r="B504" s="1819"/>
      <c r="C504" s="1819"/>
      <c r="D504" s="1819"/>
      <c r="E504" s="1819"/>
      <c r="F504" s="1819"/>
      <c r="G504" s="1803"/>
      <c r="H504" s="1813"/>
      <c r="I504" s="1813"/>
      <c r="J504" s="1813"/>
      <c r="K504" s="1813"/>
      <c r="L504" s="1813"/>
      <c r="M504" s="1813"/>
      <c r="N504" s="1813"/>
      <c r="O504" s="1813"/>
      <c r="P504" s="1813"/>
      <c r="Q504" s="1813"/>
      <c r="R504" s="1813"/>
      <c r="S504" s="1813"/>
      <c r="T504" s="1813"/>
      <c r="U504" s="1813"/>
      <c r="V504" s="1813"/>
      <c r="W504" s="1813"/>
      <c r="X504" s="1813"/>
    </row>
    <row r="505" spans="1:24" ht="15.75" customHeight="1">
      <c r="A505" s="1819"/>
      <c r="B505" s="1819"/>
      <c r="C505" s="1819"/>
      <c r="D505" s="1819"/>
      <c r="E505" s="1819"/>
      <c r="F505" s="1819"/>
      <c r="G505" s="1803"/>
      <c r="H505" s="1813"/>
      <c r="I505" s="1813"/>
      <c r="J505" s="1813"/>
      <c r="K505" s="1813"/>
      <c r="L505" s="1813"/>
      <c r="M505" s="1813"/>
      <c r="N505" s="1813"/>
      <c r="O505" s="1813"/>
      <c r="P505" s="1813"/>
      <c r="Q505" s="1813"/>
      <c r="R505" s="1813"/>
      <c r="S505" s="1813"/>
      <c r="T505" s="1813"/>
      <c r="U505" s="1813"/>
      <c r="V505" s="1813"/>
      <c r="W505" s="1813"/>
      <c r="X505" s="1813"/>
    </row>
    <row r="506" spans="1:24" ht="15.75" customHeight="1">
      <c r="A506" s="1819"/>
      <c r="B506" s="1819"/>
      <c r="C506" s="1819"/>
      <c r="D506" s="1819"/>
      <c r="E506" s="1819"/>
      <c r="F506" s="1819"/>
      <c r="G506" s="1803"/>
      <c r="H506" s="1813"/>
      <c r="I506" s="1813"/>
      <c r="J506" s="1813"/>
      <c r="K506" s="1813"/>
      <c r="L506" s="1813"/>
      <c r="M506" s="1813"/>
      <c r="N506" s="1813"/>
      <c r="O506" s="1813"/>
      <c r="P506" s="1813"/>
      <c r="Q506" s="1813"/>
      <c r="R506" s="1813"/>
      <c r="S506" s="1813"/>
      <c r="T506" s="1813"/>
      <c r="U506" s="1813"/>
      <c r="V506" s="1813"/>
      <c r="W506" s="1813"/>
      <c r="X506" s="1813"/>
    </row>
    <row r="507" spans="1:24" ht="15.75" customHeight="1">
      <c r="A507" s="1819"/>
      <c r="B507" s="1819"/>
      <c r="C507" s="1819"/>
      <c r="D507" s="1819"/>
      <c r="E507" s="1819"/>
      <c r="F507" s="1819"/>
      <c r="G507" s="1803"/>
      <c r="H507" s="1813"/>
      <c r="I507" s="1813"/>
      <c r="J507" s="1813"/>
      <c r="K507" s="1813"/>
      <c r="L507" s="1813"/>
      <c r="M507" s="1813"/>
      <c r="N507" s="1813"/>
      <c r="O507" s="1813"/>
      <c r="P507" s="1813"/>
      <c r="Q507" s="1813"/>
      <c r="R507" s="1813"/>
      <c r="S507" s="1813"/>
      <c r="T507" s="1813"/>
      <c r="U507" s="1813"/>
      <c r="V507" s="1813"/>
      <c r="W507" s="1813"/>
      <c r="X507" s="1813"/>
    </row>
    <row r="508" spans="1:24" ht="15.75" customHeight="1">
      <c r="A508" s="1819"/>
      <c r="B508" s="1819"/>
      <c r="C508" s="1819"/>
      <c r="D508" s="1819"/>
      <c r="E508" s="1819"/>
      <c r="F508" s="1819"/>
      <c r="G508" s="1803"/>
      <c r="H508" s="1813"/>
      <c r="I508" s="1813"/>
      <c r="J508" s="1813"/>
      <c r="K508" s="1813"/>
      <c r="L508" s="1813"/>
      <c r="M508" s="1813"/>
      <c r="N508" s="1813"/>
      <c r="O508" s="1813"/>
      <c r="P508" s="1813"/>
      <c r="Q508" s="1813"/>
      <c r="R508" s="1813"/>
      <c r="S508" s="1813"/>
      <c r="T508" s="1813"/>
      <c r="U508" s="1813"/>
      <c r="V508" s="1813"/>
      <c r="W508" s="1813"/>
      <c r="X508" s="1813"/>
    </row>
    <row r="509" spans="1:24" ht="15.75" customHeight="1">
      <c r="A509" s="1819"/>
      <c r="B509" s="1819"/>
      <c r="C509" s="1819"/>
      <c r="D509" s="1819"/>
      <c r="E509" s="1819"/>
      <c r="F509" s="1819"/>
      <c r="G509" s="1803"/>
      <c r="H509" s="1813"/>
      <c r="I509" s="1813"/>
      <c r="J509" s="1813"/>
      <c r="K509" s="1813"/>
      <c r="L509" s="1813"/>
      <c r="M509" s="1813"/>
      <c r="N509" s="1813"/>
      <c r="O509" s="1813"/>
      <c r="P509" s="1813"/>
      <c r="Q509" s="1813"/>
      <c r="R509" s="1813"/>
      <c r="S509" s="1813"/>
      <c r="T509" s="1813"/>
      <c r="U509" s="1813"/>
      <c r="V509" s="1813"/>
      <c r="W509" s="1813"/>
      <c r="X509" s="1813"/>
    </row>
    <row r="510" spans="1:24" ht="15.75" customHeight="1">
      <c r="A510" s="1819"/>
      <c r="B510" s="1819"/>
      <c r="C510" s="1819"/>
      <c r="D510" s="1819"/>
      <c r="E510" s="1819"/>
      <c r="F510" s="1819"/>
      <c r="G510" s="1803"/>
      <c r="H510" s="1813"/>
      <c r="I510" s="1813"/>
      <c r="J510" s="1813"/>
      <c r="K510" s="1813"/>
      <c r="L510" s="1813"/>
      <c r="M510" s="1813"/>
      <c r="N510" s="1813"/>
      <c r="O510" s="1813"/>
      <c r="P510" s="1813"/>
      <c r="Q510" s="1813"/>
      <c r="R510" s="1813"/>
      <c r="S510" s="1813"/>
      <c r="T510" s="1813"/>
      <c r="U510" s="1813"/>
      <c r="V510" s="1813"/>
      <c r="W510" s="1813"/>
      <c r="X510" s="1813"/>
    </row>
    <row r="511" spans="1:24" ht="15.75" customHeight="1">
      <c r="A511" s="1819"/>
      <c r="B511" s="1819"/>
      <c r="C511" s="1819"/>
      <c r="D511" s="1819"/>
      <c r="E511" s="1819"/>
      <c r="F511" s="1819"/>
      <c r="G511" s="1803"/>
      <c r="H511" s="1813"/>
      <c r="I511" s="1813"/>
      <c r="J511" s="1813"/>
      <c r="K511" s="1813"/>
      <c r="L511" s="1813"/>
      <c r="M511" s="1813"/>
      <c r="N511" s="1813"/>
      <c r="O511" s="1813"/>
      <c r="P511" s="1813"/>
      <c r="Q511" s="1813"/>
      <c r="R511" s="1813"/>
      <c r="S511" s="1813"/>
      <c r="T511" s="1813"/>
      <c r="U511" s="1813"/>
      <c r="V511" s="1813"/>
      <c r="W511" s="1813"/>
      <c r="X511" s="1813"/>
    </row>
    <row r="512" spans="1:24" ht="15.75" customHeight="1">
      <c r="A512" s="1819"/>
      <c r="B512" s="1819"/>
      <c r="C512" s="1819"/>
      <c r="D512" s="1819"/>
      <c r="E512" s="1819"/>
      <c r="F512" s="1819"/>
      <c r="G512" s="1803"/>
      <c r="H512" s="1813"/>
      <c r="I512" s="1813"/>
      <c r="J512" s="1813"/>
      <c r="K512" s="1813"/>
      <c r="L512" s="1813"/>
      <c r="M512" s="1813"/>
      <c r="N512" s="1813"/>
      <c r="O512" s="1813"/>
      <c r="P512" s="1813"/>
      <c r="Q512" s="1813"/>
      <c r="R512" s="1813"/>
      <c r="S512" s="1813"/>
      <c r="T512" s="1813"/>
      <c r="U512" s="1813"/>
      <c r="V512" s="1813"/>
      <c r="W512" s="1813"/>
      <c r="X512" s="1813"/>
    </row>
    <row r="513" spans="1:24" ht="15.75" customHeight="1">
      <c r="A513" s="1819"/>
      <c r="B513" s="1819"/>
      <c r="C513" s="1819"/>
      <c r="D513" s="1819"/>
      <c r="E513" s="1819"/>
      <c r="F513" s="1819"/>
      <c r="G513" s="1803"/>
      <c r="H513" s="1813"/>
      <c r="I513" s="1813"/>
      <c r="J513" s="1813"/>
      <c r="K513" s="1813"/>
      <c r="L513" s="1813"/>
      <c r="M513" s="1813"/>
      <c r="N513" s="1813"/>
      <c r="O513" s="1813"/>
      <c r="P513" s="1813"/>
      <c r="Q513" s="1813"/>
      <c r="R513" s="1813"/>
      <c r="S513" s="1813"/>
      <c r="T513" s="1813"/>
      <c r="U513" s="1813"/>
      <c r="V513" s="1813"/>
      <c r="W513" s="1813"/>
      <c r="X513" s="1813"/>
    </row>
    <row r="514" spans="1:24" ht="15.75" customHeight="1">
      <c r="A514" s="1819"/>
      <c r="B514" s="1819"/>
      <c r="C514" s="1819"/>
      <c r="D514" s="1819"/>
      <c r="E514" s="1819"/>
      <c r="F514" s="1819"/>
      <c r="G514" s="1803"/>
      <c r="H514" s="1813"/>
      <c r="I514" s="1813"/>
      <c r="J514" s="1813"/>
      <c r="K514" s="1813"/>
      <c r="L514" s="1813"/>
      <c r="M514" s="1813"/>
      <c r="N514" s="1813"/>
      <c r="O514" s="1813"/>
      <c r="P514" s="1813"/>
      <c r="Q514" s="1813"/>
      <c r="R514" s="1813"/>
      <c r="S514" s="1813"/>
      <c r="T514" s="1813"/>
      <c r="U514" s="1813"/>
      <c r="V514" s="1813"/>
      <c r="W514" s="1813"/>
      <c r="X514" s="1813"/>
    </row>
    <row r="515" spans="1:24" ht="15.75" customHeight="1">
      <c r="A515" s="1819"/>
      <c r="B515" s="1819"/>
      <c r="C515" s="1819"/>
      <c r="D515" s="1819"/>
      <c r="E515" s="1819"/>
      <c r="F515" s="1819"/>
      <c r="G515" s="1803"/>
      <c r="H515" s="1813"/>
      <c r="I515" s="1813"/>
      <c r="J515" s="1813"/>
      <c r="K515" s="1813"/>
      <c r="L515" s="1813"/>
      <c r="M515" s="1813"/>
      <c r="N515" s="1813"/>
      <c r="O515" s="1813"/>
      <c r="P515" s="1813"/>
      <c r="Q515" s="1813"/>
      <c r="R515" s="1813"/>
      <c r="S515" s="1813"/>
      <c r="T515" s="1813"/>
      <c r="U515" s="1813"/>
      <c r="V515" s="1813"/>
      <c r="W515" s="1813"/>
      <c r="X515" s="1813"/>
    </row>
    <row r="516" spans="1:24" ht="15.75" customHeight="1">
      <c r="A516" s="1819"/>
      <c r="B516" s="1819"/>
      <c r="C516" s="1819"/>
      <c r="D516" s="1819"/>
      <c r="E516" s="1819"/>
      <c r="F516" s="1819"/>
      <c r="G516" s="1803"/>
      <c r="H516" s="1813"/>
      <c r="I516" s="1813"/>
      <c r="J516" s="1813"/>
      <c r="K516" s="1813"/>
      <c r="L516" s="1813"/>
      <c r="M516" s="1813"/>
      <c r="N516" s="1813"/>
      <c r="O516" s="1813"/>
      <c r="P516" s="1813"/>
      <c r="Q516" s="1813"/>
      <c r="R516" s="1813"/>
      <c r="S516" s="1813"/>
      <c r="T516" s="1813"/>
      <c r="U516" s="1813"/>
      <c r="V516" s="1813"/>
      <c r="W516" s="1813"/>
      <c r="X516" s="1813"/>
    </row>
    <row r="517" spans="1:24" ht="15.75" customHeight="1">
      <c r="A517" s="1819"/>
      <c r="B517" s="1819"/>
      <c r="C517" s="1819"/>
      <c r="D517" s="1819"/>
      <c r="E517" s="1819"/>
      <c r="F517" s="1819"/>
      <c r="G517" s="1803"/>
      <c r="H517" s="1813"/>
      <c r="I517" s="1813"/>
      <c r="J517" s="1813"/>
      <c r="K517" s="1813"/>
      <c r="L517" s="1813"/>
      <c r="M517" s="1813"/>
      <c r="N517" s="1813"/>
      <c r="O517" s="1813"/>
      <c r="P517" s="1813"/>
      <c r="Q517" s="1813"/>
      <c r="R517" s="1813"/>
      <c r="S517" s="1813"/>
      <c r="T517" s="1813"/>
      <c r="U517" s="1813"/>
      <c r="V517" s="1813"/>
      <c r="W517" s="1813"/>
      <c r="X517" s="1813"/>
    </row>
    <row r="518" spans="1:24" ht="15.75" customHeight="1">
      <c r="A518" s="1819"/>
      <c r="B518" s="1819"/>
      <c r="C518" s="1819"/>
      <c r="D518" s="1819"/>
      <c r="E518" s="1819"/>
      <c r="F518" s="1819"/>
      <c r="G518" s="1803"/>
      <c r="H518" s="1813"/>
      <c r="I518" s="1813"/>
      <c r="J518" s="1813"/>
      <c r="K518" s="1813"/>
      <c r="L518" s="1813"/>
      <c r="M518" s="1813"/>
      <c r="N518" s="1813"/>
      <c r="O518" s="1813"/>
      <c r="P518" s="1813"/>
      <c r="Q518" s="1813"/>
      <c r="R518" s="1813"/>
      <c r="S518" s="1813"/>
      <c r="T518" s="1813"/>
      <c r="U518" s="1813"/>
      <c r="V518" s="1813"/>
      <c r="W518" s="1813"/>
      <c r="X518" s="1813"/>
    </row>
    <row r="519" spans="1:24" ht="15.75" customHeight="1">
      <c r="A519" s="1819"/>
      <c r="B519" s="1819"/>
      <c r="C519" s="1819"/>
      <c r="D519" s="1819"/>
      <c r="E519" s="1819"/>
      <c r="F519" s="1819"/>
      <c r="G519" s="1803"/>
      <c r="H519" s="1813"/>
      <c r="I519" s="1813"/>
      <c r="J519" s="1813"/>
      <c r="K519" s="1813"/>
      <c r="L519" s="1813"/>
      <c r="M519" s="1813"/>
      <c r="N519" s="1813"/>
      <c r="O519" s="1813"/>
      <c r="P519" s="1813"/>
      <c r="Q519" s="1813"/>
      <c r="R519" s="1813"/>
      <c r="S519" s="1813"/>
      <c r="T519" s="1813"/>
      <c r="U519" s="1813"/>
      <c r="V519" s="1813"/>
      <c r="W519" s="1813"/>
      <c r="X519" s="1813"/>
    </row>
    <row r="520" spans="1:24" ht="15.75" customHeight="1">
      <c r="A520" s="1819"/>
      <c r="B520" s="1819"/>
      <c r="C520" s="1819"/>
      <c r="D520" s="1819"/>
      <c r="E520" s="1819"/>
      <c r="F520" s="1819"/>
      <c r="G520" s="1803"/>
      <c r="H520" s="1813"/>
      <c r="I520" s="1813"/>
      <c r="J520" s="1813"/>
      <c r="K520" s="1813"/>
      <c r="L520" s="1813"/>
      <c r="M520" s="1813"/>
      <c r="N520" s="1813"/>
      <c r="O520" s="1813"/>
      <c r="P520" s="1813"/>
      <c r="Q520" s="1813"/>
      <c r="R520" s="1813"/>
      <c r="S520" s="1813"/>
      <c r="T520" s="1813"/>
      <c r="U520" s="1813"/>
      <c r="V520" s="1813"/>
      <c r="W520" s="1813"/>
      <c r="X520" s="1813"/>
    </row>
    <row r="521" spans="1:24" ht="15.75" customHeight="1">
      <c r="A521" s="1819"/>
      <c r="B521" s="1819"/>
      <c r="C521" s="1819"/>
      <c r="D521" s="1819"/>
      <c r="E521" s="1819"/>
      <c r="F521" s="1819"/>
      <c r="G521" s="1803"/>
      <c r="H521" s="1813"/>
      <c r="I521" s="1813"/>
      <c r="J521" s="1813"/>
      <c r="K521" s="1813"/>
      <c r="L521" s="1813"/>
      <c r="M521" s="1813"/>
      <c r="N521" s="1813"/>
      <c r="O521" s="1813"/>
      <c r="P521" s="1813"/>
      <c r="Q521" s="1813"/>
      <c r="R521" s="1813"/>
      <c r="S521" s="1813"/>
      <c r="T521" s="1813"/>
      <c r="U521" s="1813"/>
      <c r="V521" s="1813"/>
      <c r="W521" s="1813"/>
      <c r="X521" s="1813"/>
    </row>
    <row r="522" spans="1:24" ht="15.75" customHeight="1">
      <c r="A522" s="1819"/>
      <c r="B522" s="1819"/>
      <c r="C522" s="1819"/>
      <c r="D522" s="1819"/>
      <c r="E522" s="1819"/>
      <c r="F522" s="1819"/>
      <c r="G522" s="1803"/>
      <c r="H522" s="1813"/>
      <c r="I522" s="1813"/>
      <c r="J522" s="1813"/>
      <c r="K522" s="1813"/>
      <c r="L522" s="1813"/>
      <c r="M522" s="1813"/>
      <c r="N522" s="1813"/>
      <c r="O522" s="1813"/>
      <c r="P522" s="1813"/>
      <c r="Q522" s="1813"/>
      <c r="R522" s="1813"/>
      <c r="S522" s="1813"/>
      <c r="T522" s="1813"/>
      <c r="U522" s="1813"/>
      <c r="V522" s="1813"/>
      <c r="W522" s="1813"/>
      <c r="X522" s="1813"/>
    </row>
    <row r="523" spans="1:24" ht="15.75" customHeight="1">
      <c r="A523" s="1819"/>
      <c r="B523" s="1819"/>
      <c r="C523" s="1819"/>
      <c r="D523" s="1819"/>
      <c r="E523" s="1819"/>
      <c r="F523" s="1819"/>
      <c r="G523" s="1803"/>
      <c r="H523" s="1813"/>
      <c r="I523" s="1813"/>
      <c r="J523" s="1813"/>
      <c r="K523" s="1813"/>
      <c r="L523" s="1813"/>
      <c r="M523" s="1813"/>
      <c r="N523" s="1813"/>
      <c r="O523" s="1813"/>
      <c r="P523" s="1813"/>
      <c r="Q523" s="1813"/>
      <c r="R523" s="1813"/>
      <c r="S523" s="1813"/>
      <c r="T523" s="1813"/>
      <c r="U523" s="1813"/>
      <c r="V523" s="1813"/>
      <c r="W523" s="1813"/>
      <c r="X523" s="1813"/>
    </row>
    <row r="524" spans="1:24" ht="15.75" customHeight="1">
      <c r="A524" s="1819"/>
      <c r="B524" s="1819"/>
      <c r="C524" s="1819"/>
      <c r="D524" s="1819"/>
      <c r="E524" s="1819"/>
      <c r="F524" s="1819"/>
      <c r="G524" s="1803"/>
      <c r="H524" s="1813"/>
      <c r="I524" s="1813"/>
      <c r="J524" s="1813"/>
      <c r="K524" s="1813"/>
      <c r="L524" s="1813"/>
      <c r="M524" s="1813"/>
      <c r="N524" s="1813"/>
      <c r="O524" s="1813"/>
      <c r="P524" s="1813"/>
      <c r="Q524" s="1813"/>
      <c r="R524" s="1813"/>
      <c r="S524" s="1813"/>
      <c r="T524" s="1813"/>
      <c r="U524" s="1813"/>
      <c r="V524" s="1813"/>
      <c r="W524" s="1813"/>
      <c r="X524" s="1813"/>
    </row>
    <row r="525" spans="1:24" ht="15.75" customHeight="1">
      <c r="A525" s="1819"/>
      <c r="B525" s="1819"/>
      <c r="C525" s="1819"/>
      <c r="D525" s="1819"/>
      <c r="E525" s="1819"/>
      <c r="F525" s="1819"/>
      <c r="G525" s="1803"/>
      <c r="H525" s="1813"/>
      <c r="I525" s="1813"/>
      <c r="J525" s="1813"/>
      <c r="K525" s="1813"/>
      <c r="L525" s="1813"/>
      <c r="M525" s="1813"/>
      <c r="N525" s="1813"/>
      <c r="O525" s="1813"/>
      <c r="P525" s="1813"/>
      <c r="Q525" s="1813"/>
      <c r="R525" s="1813"/>
      <c r="S525" s="1813"/>
      <c r="T525" s="1813"/>
      <c r="U525" s="1813"/>
      <c r="V525" s="1813"/>
      <c r="W525" s="1813"/>
      <c r="X525" s="1813"/>
    </row>
    <row r="526" spans="1:24" ht="15.75" customHeight="1">
      <c r="A526" s="1819"/>
      <c r="B526" s="1819"/>
      <c r="C526" s="1819"/>
      <c r="D526" s="1819"/>
      <c r="E526" s="1819"/>
      <c r="F526" s="1819"/>
      <c r="G526" s="1803"/>
      <c r="H526" s="1813"/>
      <c r="I526" s="1813"/>
      <c r="J526" s="1813"/>
      <c r="K526" s="1813"/>
      <c r="L526" s="1813"/>
      <c r="M526" s="1813"/>
      <c r="N526" s="1813"/>
      <c r="O526" s="1813"/>
      <c r="P526" s="1813"/>
      <c r="Q526" s="1813"/>
      <c r="R526" s="1813"/>
      <c r="S526" s="1813"/>
      <c r="T526" s="1813"/>
      <c r="U526" s="1813"/>
      <c r="V526" s="1813"/>
      <c r="W526" s="1813"/>
      <c r="X526" s="1813"/>
    </row>
    <row r="527" spans="1:24" ht="15.75" customHeight="1">
      <c r="A527" s="1819"/>
      <c r="B527" s="1819"/>
      <c r="C527" s="1819"/>
      <c r="D527" s="1819"/>
      <c r="E527" s="1819"/>
      <c r="F527" s="1819"/>
      <c r="G527" s="1803"/>
      <c r="H527" s="1813"/>
      <c r="I527" s="1813"/>
      <c r="J527" s="1813"/>
      <c r="K527" s="1813"/>
      <c r="L527" s="1813"/>
      <c r="M527" s="1813"/>
      <c r="N527" s="1813"/>
      <c r="O527" s="1813"/>
      <c r="P527" s="1813"/>
      <c r="Q527" s="1813"/>
      <c r="R527" s="1813"/>
      <c r="S527" s="1813"/>
      <c r="T527" s="1813"/>
      <c r="U527" s="1813"/>
      <c r="V527" s="1813"/>
      <c r="W527" s="1813"/>
      <c r="X527" s="1813"/>
    </row>
    <row r="528" spans="1:24" ht="15.75" customHeight="1">
      <c r="A528" s="1819"/>
      <c r="B528" s="1819"/>
      <c r="C528" s="1819"/>
      <c r="D528" s="1819"/>
      <c r="E528" s="1819"/>
      <c r="F528" s="1819"/>
      <c r="G528" s="1803"/>
      <c r="H528" s="1813"/>
      <c r="I528" s="1813"/>
      <c r="J528" s="1813"/>
      <c r="K528" s="1813"/>
      <c r="L528" s="1813"/>
      <c r="M528" s="1813"/>
      <c r="N528" s="1813"/>
      <c r="O528" s="1813"/>
      <c r="P528" s="1813"/>
      <c r="Q528" s="1813"/>
      <c r="R528" s="1813"/>
      <c r="S528" s="1813"/>
      <c r="T528" s="1813"/>
      <c r="U528" s="1813"/>
      <c r="V528" s="1813"/>
      <c r="W528" s="1813"/>
      <c r="X528" s="1813"/>
    </row>
    <row r="529" spans="1:24" ht="15.75" customHeight="1">
      <c r="A529" s="1819"/>
      <c r="B529" s="1819"/>
      <c r="C529" s="1819"/>
      <c r="D529" s="1819"/>
      <c r="E529" s="1819"/>
      <c r="F529" s="1819"/>
      <c r="G529" s="1803"/>
      <c r="H529" s="1813"/>
      <c r="I529" s="1813"/>
      <c r="J529" s="1813"/>
      <c r="K529" s="1813"/>
      <c r="L529" s="1813"/>
      <c r="M529" s="1813"/>
      <c r="N529" s="1813"/>
      <c r="O529" s="1813"/>
      <c r="P529" s="1813"/>
      <c r="Q529" s="1813"/>
      <c r="R529" s="1813"/>
      <c r="S529" s="1813"/>
      <c r="T529" s="1813"/>
      <c r="U529" s="1813"/>
      <c r="V529" s="1813"/>
      <c r="W529" s="1813"/>
      <c r="X529" s="1813"/>
    </row>
    <row r="530" spans="1:24" ht="15.75" customHeight="1">
      <c r="A530" s="1819"/>
      <c r="B530" s="1819"/>
      <c r="C530" s="1819"/>
      <c r="D530" s="1819"/>
      <c r="E530" s="1819"/>
      <c r="F530" s="1819"/>
      <c r="G530" s="1803"/>
      <c r="H530" s="1813"/>
      <c r="I530" s="1813"/>
      <c r="J530" s="1813"/>
      <c r="K530" s="1813"/>
      <c r="L530" s="1813"/>
      <c r="M530" s="1813"/>
      <c r="N530" s="1813"/>
      <c r="O530" s="1813"/>
      <c r="P530" s="1813"/>
      <c r="Q530" s="1813"/>
      <c r="R530" s="1813"/>
      <c r="S530" s="1813"/>
      <c r="T530" s="1813"/>
      <c r="U530" s="1813"/>
      <c r="V530" s="1813"/>
      <c r="W530" s="1813"/>
      <c r="X530" s="1813"/>
    </row>
    <row r="531" spans="1:24" ht="15.75" customHeight="1">
      <c r="A531" s="1819"/>
      <c r="B531" s="1819"/>
      <c r="C531" s="1819"/>
      <c r="D531" s="1819"/>
      <c r="E531" s="1819"/>
      <c r="F531" s="1819"/>
      <c r="G531" s="1803"/>
      <c r="H531" s="1813"/>
      <c r="I531" s="1813"/>
      <c r="J531" s="1813"/>
      <c r="K531" s="1813"/>
      <c r="L531" s="1813"/>
      <c r="M531" s="1813"/>
      <c r="N531" s="1813"/>
      <c r="O531" s="1813"/>
      <c r="P531" s="1813"/>
      <c r="Q531" s="1813"/>
      <c r="R531" s="1813"/>
      <c r="S531" s="1813"/>
      <c r="T531" s="1813"/>
      <c r="U531" s="1813"/>
      <c r="V531" s="1813"/>
      <c r="W531" s="1813"/>
      <c r="X531" s="1813"/>
    </row>
    <row r="532" spans="1:24" ht="15.75" customHeight="1">
      <c r="A532" s="1819"/>
      <c r="B532" s="1819"/>
      <c r="C532" s="1819"/>
      <c r="D532" s="1819"/>
      <c r="E532" s="1819"/>
      <c r="F532" s="1819"/>
      <c r="G532" s="1803"/>
      <c r="H532" s="1813"/>
      <c r="I532" s="1813"/>
      <c r="J532" s="1813"/>
      <c r="K532" s="1813"/>
      <c r="L532" s="1813"/>
      <c r="M532" s="1813"/>
      <c r="N532" s="1813"/>
      <c r="O532" s="1813"/>
      <c r="P532" s="1813"/>
      <c r="Q532" s="1813"/>
      <c r="R532" s="1813"/>
      <c r="S532" s="1813"/>
      <c r="T532" s="1813"/>
      <c r="U532" s="1813"/>
      <c r="V532" s="1813"/>
      <c r="W532" s="1813"/>
      <c r="X532" s="1813"/>
    </row>
    <row r="533" spans="1:24" ht="15.75" customHeight="1">
      <c r="A533" s="1819"/>
      <c r="B533" s="1819"/>
      <c r="C533" s="1819"/>
      <c r="D533" s="1819"/>
      <c r="E533" s="1819"/>
      <c r="F533" s="1819"/>
      <c r="G533" s="1803"/>
      <c r="H533" s="1813"/>
      <c r="I533" s="1813"/>
      <c r="J533" s="1813"/>
      <c r="K533" s="1813"/>
      <c r="L533" s="1813"/>
      <c r="M533" s="1813"/>
      <c r="N533" s="1813"/>
      <c r="O533" s="1813"/>
      <c r="P533" s="1813"/>
      <c r="Q533" s="1813"/>
      <c r="R533" s="1813"/>
      <c r="S533" s="1813"/>
      <c r="T533" s="1813"/>
      <c r="U533" s="1813"/>
      <c r="V533" s="1813"/>
      <c r="W533" s="1813"/>
      <c r="X533" s="1813"/>
    </row>
    <row r="534" spans="1:24" ht="15.75" customHeight="1">
      <c r="A534" s="1819"/>
      <c r="B534" s="1819"/>
      <c r="C534" s="1819"/>
      <c r="D534" s="1819"/>
      <c r="E534" s="1819"/>
      <c r="F534" s="1819"/>
      <c r="G534" s="1803"/>
      <c r="H534" s="1813"/>
      <c r="I534" s="1813"/>
      <c r="J534" s="1813"/>
      <c r="K534" s="1813"/>
      <c r="L534" s="1813"/>
      <c r="M534" s="1813"/>
      <c r="N534" s="1813"/>
      <c r="O534" s="1813"/>
      <c r="P534" s="1813"/>
      <c r="Q534" s="1813"/>
      <c r="R534" s="1813"/>
      <c r="S534" s="1813"/>
      <c r="T534" s="1813"/>
      <c r="U534" s="1813"/>
      <c r="V534" s="1813"/>
      <c r="W534" s="1813"/>
      <c r="X534" s="1813"/>
    </row>
    <row r="535" spans="1:24" ht="15.75" customHeight="1">
      <c r="A535" s="1819"/>
      <c r="B535" s="1819"/>
      <c r="C535" s="1819"/>
      <c r="D535" s="1819"/>
      <c r="E535" s="1819"/>
      <c r="F535" s="1819"/>
      <c r="G535" s="1803"/>
      <c r="H535" s="1813"/>
      <c r="I535" s="1813"/>
      <c r="J535" s="1813"/>
      <c r="K535" s="1813"/>
      <c r="L535" s="1813"/>
      <c r="M535" s="1813"/>
      <c r="N535" s="1813"/>
      <c r="O535" s="1813"/>
      <c r="P535" s="1813"/>
      <c r="Q535" s="1813"/>
      <c r="R535" s="1813"/>
      <c r="S535" s="1813"/>
      <c r="T535" s="1813"/>
      <c r="U535" s="1813"/>
      <c r="V535" s="1813"/>
      <c r="W535" s="1813"/>
      <c r="X535" s="1813"/>
    </row>
    <row r="536" spans="1:24" ht="15.75" customHeight="1">
      <c r="A536" s="1819"/>
      <c r="B536" s="1819"/>
      <c r="C536" s="1819"/>
      <c r="D536" s="1819"/>
      <c r="E536" s="1819"/>
      <c r="F536" s="1819"/>
      <c r="G536" s="1803"/>
      <c r="H536" s="1813"/>
      <c r="I536" s="1813"/>
      <c r="J536" s="1813"/>
      <c r="K536" s="1813"/>
      <c r="L536" s="1813"/>
      <c r="M536" s="1813"/>
      <c r="N536" s="1813"/>
      <c r="O536" s="1813"/>
      <c r="P536" s="1813"/>
      <c r="Q536" s="1813"/>
      <c r="R536" s="1813"/>
      <c r="S536" s="1813"/>
      <c r="T536" s="1813"/>
      <c r="U536" s="1813"/>
      <c r="V536" s="1813"/>
      <c r="W536" s="1813"/>
      <c r="X536" s="1813"/>
    </row>
    <row r="537" spans="1:24" ht="15.75" customHeight="1">
      <c r="A537" s="1819"/>
      <c r="B537" s="1819"/>
      <c r="C537" s="1819"/>
      <c r="D537" s="1819"/>
      <c r="E537" s="1819"/>
      <c r="F537" s="1819"/>
      <c r="G537" s="1803"/>
      <c r="H537" s="1813"/>
      <c r="I537" s="1813"/>
      <c r="J537" s="1813"/>
      <c r="K537" s="1813"/>
      <c r="L537" s="1813"/>
      <c r="M537" s="1813"/>
      <c r="N537" s="1813"/>
      <c r="O537" s="1813"/>
      <c r="P537" s="1813"/>
      <c r="Q537" s="1813"/>
      <c r="R537" s="1813"/>
      <c r="S537" s="1813"/>
      <c r="T537" s="1813"/>
      <c r="U537" s="1813"/>
      <c r="V537" s="1813"/>
      <c r="W537" s="1813"/>
      <c r="X537" s="1813"/>
    </row>
    <row r="538" spans="1:24" ht="15.75" customHeight="1">
      <c r="A538" s="1819"/>
      <c r="B538" s="1819"/>
      <c r="C538" s="1819"/>
      <c r="D538" s="1819"/>
      <c r="E538" s="1819"/>
      <c r="F538" s="1819"/>
      <c r="G538" s="1803"/>
      <c r="H538" s="1813"/>
      <c r="I538" s="1813"/>
      <c r="J538" s="1813"/>
      <c r="K538" s="1813"/>
      <c r="L538" s="1813"/>
      <c r="M538" s="1813"/>
      <c r="N538" s="1813"/>
      <c r="O538" s="1813"/>
      <c r="P538" s="1813"/>
      <c r="Q538" s="1813"/>
      <c r="R538" s="1813"/>
      <c r="S538" s="1813"/>
      <c r="T538" s="1813"/>
      <c r="U538" s="1813"/>
      <c r="V538" s="1813"/>
      <c r="W538" s="1813"/>
      <c r="X538" s="1813"/>
    </row>
    <row r="539" spans="1:24" ht="15.75" customHeight="1">
      <c r="A539" s="1819"/>
      <c r="B539" s="1819"/>
      <c r="C539" s="1819"/>
      <c r="D539" s="1819"/>
      <c r="E539" s="1819"/>
      <c r="F539" s="1819"/>
      <c r="G539" s="1803"/>
      <c r="H539" s="1813"/>
      <c r="I539" s="1813"/>
      <c r="J539" s="1813"/>
      <c r="K539" s="1813"/>
      <c r="L539" s="1813"/>
      <c r="M539" s="1813"/>
      <c r="N539" s="1813"/>
      <c r="O539" s="1813"/>
      <c r="P539" s="1813"/>
      <c r="Q539" s="1813"/>
      <c r="R539" s="1813"/>
      <c r="S539" s="1813"/>
      <c r="T539" s="1813"/>
      <c r="U539" s="1813"/>
      <c r="V539" s="1813"/>
      <c r="W539" s="1813"/>
      <c r="X539" s="1813"/>
    </row>
    <row r="540" spans="1:24" ht="15.75" customHeight="1">
      <c r="A540" s="1819"/>
      <c r="B540" s="1819"/>
      <c r="C540" s="1819"/>
      <c r="D540" s="1819"/>
      <c r="E540" s="1819"/>
      <c r="F540" s="1819"/>
      <c r="G540" s="1803"/>
      <c r="H540" s="1813"/>
      <c r="I540" s="1813"/>
      <c r="J540" s="1813"/>
      <c r="K540" s="1813"/>
      <c r="L540" s="1813"/>
      <c r="M540" s="1813"/>
      <c r="N540" s="1813"/>
      <c r="O540" s="1813"/>
      <c r="P540" s="1813"/>
      <c r="Q540" s="1813"/>
      <c r="R540" s="1813"/>
      <c r="S540" s="1813"/>
      <c r="T540" s="1813"/>
      <c r="U540" s="1813"/>
      <c r="V540" s="1813"/>
      <c r="W540" s="1813"/>
      <c r="X540" s="1813"/>
    </row>
    <row r="541" spans="1:24" ht="15.75" customHeight="1">
      <c r="A541" s="1819"/>
      <c r="B541" s="1819"/>
      <c r="C541" s="1819"/>
      <c r="D541" s="1819"/>
      <c r="E541" s="1819"/>
      <c r="F541" s="1819"/>
      <c r="G541" s="1803"/>
      <c r="H541" s="1813"/>
      <c r="I541" s="1813"/>
      <c r="J541" s="1813"/>
      <c r="K541" s="1813"/>
      <c r="L541" s="1813"/>
      <c r="M541" s="1813"/>
      <c r="N541" s="1813"/>
      <c r="O541" s="1813"/>
      <c r="P541" s="1813"/>
      <c r="Q541" s="1813"/>
      <c r="R541" s="1813"/>
      <c r="S541" s="1813"/>
      <c r="T541" s="1813"/>
      <c r="U541" s="1813"/>
      <c r="V541" s="1813"/>
      <c r="W541" s="1813"/>
      <c r="X541" s="1813"/>
    </row>
    <row r="542" spans="1:24" ht="15.75" customHeight="1">
      <c r="A542" s="1819"/>
      <c r="B542" s="1819"/>
      <c r="C542" s="1819"/>
      <c r="D542" s="1819"/>
      <c r="E542" s="1819"/>
      <c r="F542" s="1819"/>
      <c r="G542" s="1803"/>
      <c r="H542" s="1813"/>
      <c r="I542" s="1813"/>
      <c r="J542" s="1813"/>
      <c r="K542" s="1813"/>
      <c r="L542" s="1813"/>
      <c r="M542" s="1813"/>
      <c r="N542" s="1813"/>
      <c r="O542" s="1813"/>
      <c r="P542" s="1813"/>
      <c r="Q542" s="1813"/>
      <c r="R542" s="1813"/>
      <c r="S542" s="1813"/>
      <c r="T542" s="1813"/>
      <c r="U542" s="1813"/>
      <c r="V542" s="1813"/>
      <c r="W542" s="1813"/>
      <c r="X542" s="1813"/>
    </row>
    <row r="543" spans="1:24" ht="15.75" customHeight="1">
      <c r="A543" s="1819"/>
      <c r="B543" s="1819"/>
      <c r="C543" s="1819"/>
      <c r="D543" s="1819"/>
      <c r="E543" s="1819"/>
      <c r="F543" s="1819"/>
      <c r="G543" s="1803"/>
      <c r="H543" s="1813"/>
      <c r="I543" s="1813"/>
      <c r="J543" s="1813"/>
      <c r="K543" s="1813"/>
      <c r="L543" s="1813"/>
      <c r="M543" s="1813"/>
      <c r="N543" s="1813"/>
      <c r="O543" s="1813"/>
      <c r="P543" s="1813"/>
      <c r="Q543" s="1813"/>
      <c r="R543" s="1813"/>
      <c r="S543" s="1813"/>
      <c r="T543" s="1813"/>
      <c r="U543" s="1813"/>
      <c r="V543" s="1813"/>
      <c r="W543" s="1813"/>
      <c r="X543" s="1813"/>
    </row>
    <row r="544" spans="1:24" ht="15.75" customHeight="1">
      <c r="A544" s="1819"/>
      <c r="B544" s="1819"/>
      <c r="C544" s="1819"/>
      <c r="D544" s="1819"/>
      <c r="E544" s="1819"/>
      <c r="F544" s="1819"/>
      <c r="G544" s="1803"/>
      <c r="H544" s="1813"/>
      <c r="I544" s="1813"/>
      <c r="J544" s="1813"/>
      <c r="K544" s="1813"/>
      <c r="L544" s="1813"/>
      <c r="M544" s="1813"/>
      <c r="N544" s="1813"/>
      <c r="O544" s="1813"/>
      <c r="P544" s="1813"/>
      <c r="Q544" s="1813"/>
      <c r="R544" s="1813"/>
      <c r="S544" s="1813"/>
      <c r="T544" s="1813"/>
      <c r="U544" s="1813"/>
      <c r="V544" s="1813"/>
      <c r="W544" s="1813"/>
      <c r="X544" s="1813"/>
    </row>
    <row r="545" spans="1:24" ht="15.75" customHeight="1">
      <c r="A545" s="1819"/>
      <c r="B545" s="1819"/>
      <c r="C545" s="1819"/>
      <c r="D545" s="1819"/>
      <c r="E545" s="1819"/>
      <c r="F545" s="1819"/>
      <c r="G545" s="1803"/>
      <c r="H545" s="1813"/>
      <c r="I545" s="1813"/>
      <c r="J545" s="1813"/>
      <c r="K545" s="1813"/>
      <c r="L545" s="1813"/>
      <c r="M545" s="1813"/>
      <c r="N545" s="1813"/>
      <c r="O545" s="1813"/>
      <c r="P545" s="1813"/>
      <c r="Q545" s="1813"/>
      <c r="R545" s="1813"/>
      <c r="S545" s="1813"/>
      <c r="T545" s="1813"/>
      <c r="U545" s="1813"/>
      <c r="V545" s="1813"/>
      <c r="W545" s="1813"/>
      <c r="X545" s="1813"/>
    </row>
    <row r="546" spans="1:24" ht="15.75" customHeight="1">
      <c r="A546" s="1819"/>
      <c r="B546" s="1819"/>
      <c r="C546" s="1819"/>
      <c r="D546" s="1819"/>
      <c r="E546" s="1819"/>
      <c r="F546" s="1819"/>
      <c r="G546" s="1803"/>
      <c r="H546" s="1813"/>
      <c r="I546" s="1813"/>
      <c r="J546" s="1813"/>
      <c r="K546" s="1813"/>
      <c r="L546" s="1813"/>
      <c r="M546" s="1813"/>
      <c r="N546" s="1813"/>
      <c r="O546" s="1813"/>
      <c r="P546" s="1813"/>
      <c r="Q546" s="1813"/>
      <c r="R546" s="1813"/>
      <c r="S546" s="1813"/>
      <c r="T546" s="1813"/>
      <c r="U546" s="1813"/>
      <c r="V546" s="1813"/>
      <c r="W546" s="1813"/>
      <c r="X546" s="1813"/>
    </row>
    <row r="547" spans="1:24" ht="15.75" customHeight="1">
      <c r="A547" s="1819"/>
      <c r="B547" s="1819"/>
      <c r="C547" s="1819"/>
      <c r="D547" s="1819"/>
      <c r="E547" s="1819"/>
      <c r="F547" s="1819"/>
      <c r="G547" s="1803"/>
      <c r="H547" s="1813"/>
      <c r="I547" s="1813"/>
      <c r="J547" s="1813"/>
      <c r="K547" s="1813"/>
      <c r="L547" s="1813"/>
      <c r="M547" s="1813"/>
      <c r="N547" s="1813"/>
      <c r="O547" s="1813"/>
      <c r="P547" s="1813"/>
      <c r="Q547" s="1813"/>
      <c r="R547" s="1813"/>
      <c r="S547" s="1813"/>
      <c r="T547" s="1813"/>
      <c r="U547" s="1813"/>
      <c r="V547" s="1813"/>
      <c r="W547" s="1813"/>
      <c r="X547" s="1813"/>
    </row>
    <row r="548" spans="1:24" ht="15.75" customHeight="1">
      <c r="A548" s="1819"/>
      <c r="B548" s="1819"/>
      <c r="C548" s="1819"/>
      <c r="D548" s="1819"/>
      <c r="E548" s="1819"/>
      <c r="F548" s="1819"/>
      <c r="G548" s="1803"/>
      <c r="H548" s="1813"/>
      <c r="I548" s="1813"/>
      <c r="J548" s="1813"/>
      <c r="K548" s="1813"/>
      <c r="L548" s="1813"/>
      <c r="M548" s="1813"/>
      <c r="N548" s="1813"/>
      <c r="O548" s="1813"/>
      <c r="P548" s="1813"/>
      <c r="Q548" s="1813"/>
      <c r="R548" s="1813"/>
      <c r="S548" s="1813"/>
      <c r="T548" s="1813"/>
      <c r="U548" s="1813"/>
      <c r="V548" s="1813"/>
      <c r="W548" s="1813"/>
      <c r="X548" s="1813"/>
    </row>
    <row r="549" spans="1:24" ht="15.75" customHeight="1">
      <c r="A549" s="1819"/>
      <c r="B549" s="1819"/>
      <c r="C549" s="1819"/>
      <c r="D549" s="1819"/>
      <c r="E549" s="1819"/>
      <c r="F549" s="1819"/>
      <c r="G549" s="1803"/>
      <c r="H549" s="1813"/>
      <c r="I549" s="1813"/>
      <c r="J549" s="1813"/>
      <c r="K549" s="1813"/>
      <c r="L549" s="1813"/>
      <c r="M549" s="1813"/>
      <c r="N549" s="1813"/>
      <c r="O549" s="1813"/>
      <c r="P549" s="1813"/>
      <c r="Q549" s="1813"/>
      <c r="R549" s="1813"/>
      <c r="S549" s="1813"/>
      <c r="T549" s="1813"/>
      <c r="U549" s="1813"/>
      <c r="V549" s="1813"/>
      <c r="W549" s="1813"/>
      <c r="X549" s="1813"/>
    </row>
    <row r="550" spans="1:24" ht="15.75" customHeight="1">
      <c r="A550" s="1819"/>
      <c r="B550" s="1819"/>
      <c r="C550" s="1819"/>
      <c r="D550" s="1819"/>
      <c r="E550" s="1819"/>
      <c r="F550" s="1819"/>
      <c r="G550" s="1803"/>
      <c r="H550" s="1813"/>
      <c r="I550" s="1813"/>
      <c r="J550" s="1813"/>
      <c r="K550" s="1813"/>
      <c r="L550" s="1813"/>
      <c r="M550" s="1813"/>
      <c r="N550" s="1813"/>
      <c r="O550" s="1813"/>
      <c r="P550" s="1813"/>
      <c r="Q550" s="1813"/>
      <c r="R550" s="1813"/>
      <c r="S550" s="1813"/>
      <c r="T550" s="1813"/>
      <c r="U550" s="1813"/>
      <c r="V550" s="1813"/>
      <c r="W550" s="1813"/>
      <c r="X550" s="1813"/>
    </row>
    <row r="551" spans="1:24" ht="15.75" customHeight="1">
      <c r="A551" s="1819"/>
      <c r="B551" s="1819"/>
      <c r="C551" s="1819"/>
      <c r="D551" s="1819"/>
      <c r="E551" s="1819"/>
      <c r="F551" s="1819"/>
      <c r="G551" s="1803"/>
      <c r="H551" s="1813"/>
      <c r="I551" s="1813"/>
      <c r="J551" s="1813"/>
      <c r="K551" s="1813"/>
      <c r="L551" s="1813"/>
      <c r="M551" s="1813"/>
      <c r="N551" s="1813"/>
      <c r="O551" s="1813"/>
      <c r="P551" s="1813"/>
      <c r="Q551" s="1813"/>
      <c r="R551" s="1813"/>
      <c r="S551" s="1813"/>
      <c r="T551" s="1813"/>
      <c r="U551" s="1813"/>
      <c r="V551" s="1813"/>
      <c r="W551" s="1813"/>
      <c r="X551" s="1813"/>
    </row>
    <row r="552" spans="1:24" ht="15.75" customHeight="1">
      <c r="A552" s="1819"/>
      <c r="B552" s="1819"/>
      <c r="C552" s="1819"/>
      <c r="D552" s="1819"/>
      <c r="E552" s="1819"/>
      <c r="F552" s="1819"/>
      <c r="G552" s="1803"/>
      <c r="H552" s="1813"/>
      <c r="I552" s="1813"/>
      <c r="J552" s="1813"/>
      <c r="K552" s="1813"/>
      <c r="L552" s="1813"/>
      <c r="M552" s="1813"/>
      <c r="N552" s="1813"/>
      <c r="O552" s="1813"/>
      <c r="P552" s="1813"/>
      <c r="Q552" s="1813"/>
      <c r="R552" s="1813"/>
      <c r="S552" s="1813"/>
      <c r="T552" s="1813"/>
      <c r="U552" s="1813"/>
      <c r="V552" s="1813"/>
      <c r="W552" s="1813"/>
      <c r="X552" s="1813"/>
    </row>
    <row r="553" spans="1:24" ht="15.75" customHeight="1">
      <c r="A553" s="1819"/>
      <c r="B553" s="1819"/>
      <c r="C553" s="1819"/>
      <c r="D553" s="1819"/>
      <c r="E553" s="1819"/>
      <c r="F553" s="1819"/>
      <c r="G553" s="1803"/>
      <c r="H553" s="1813"/>
      <c r="I553" s="1813"/>
      <c r="J553" s="1813"/>
      <c r="K553" s="1813"/>
      <c r="L553" s="1813"/>
      <c r="M553" s="1813"/>
      <c r="N553" s="1813"/>
      <c r="O553" s="1813"/>
      <c r="P553" s="1813"/>
      <c r="Q553" s="1813"/>
      <c r="R553" s="1813"/>
      <c r="S553" s="1813"/>
      <c r="T553" s="1813"/>
      <c r="U553" s="1813"/>
      <c r="V553" s="1813"/>
      <c r="W553" s="1813"/>
      <c r="X553" s="1813"/>
    </row>
    <row r="554" spans="1:24" ht="15.75" customHeight="1">
      <c r="A554" s="1819"/>
      <c r="B554" s="1819"/>
      <c r="C554" s="1819"/>
      <c r="D554" s="1819"/>
      <c r="E554" s="1819"/>
      <c r="F554" s="1819"/>
      <c r="G554" s="1803"/>
      <c r="H554" s="1813"/>
      <c r="I554" s="1813"/>
      <c r="J554" s="1813"/>
      <c r="K554" s="1813"/>
      <c r="L554" s="1813"/>
      <c r="M554" s="1813"/>
      <c r="N554" s="1813"/>
      <c r="O554" s="1813"/>
      <c r="P554" s="1813"/>
      <c r="Q554" s="1813"/>
      <c r="R554" s="1813"/>
      <c r="S554" s="1813"/>
      <c r="T554" s="1813"/>
      <c r="U554" s="1813"/>
      <c r="V554" s="1813"/>
      <c r="W554" s="1813"/>
      <c r="X554" s="1813"/>
    </row>
    <row r="555" spans="1:24" ht="15.75" customHeight="1">
      <c r="A555" s="1819"/>
      <c r="B555" s="1819"/>
      <c r="C555" s="1819"/>
      <c r="D555" s="1819"/>
      <c r="E555" s="1819"/>
      <c r="F555" s="1819"/>
      <c r="G555" s="1803"/>
      <c r="H555" s="1813"/>
      <c r="I555" s="1813"/>
      <c r="J555" s="1813"/>
      <c r="K555" s="1813"/>
      <c r="L555" s="1813"/>
      <c r="M555" s="1813"/>
      <c r="N555" s="1813"/>
      <c r="O555" s="1813"/>
      <c r="P555" s="1813"/>
      <c r="Q555" s="1813"/>
      <c r="R555" s="1813"/>
      <c r="S555" s="1813"/>
      <c r="T555" s="1813"/>
      <c r="U555" s="1813"/>
      <c r="V555" s="1813"/>
      <c r="W555" s="1813"/>
      <c r="X555" s="1813"/>
    </row>
    <row r="556" spans="1:24" ht="15.75" customHeight="1">
      <c r="A556" s="1819"/>
      <c r="B556" s="1819"/>
      <c r="C556" s="1819"/>
      <c r="D556" s="1819"/>
      <c r="E556" s="1819"/>
      <c r="F556" s="1819"/>
      <c r="G556" s="1803"/>
      <c r="H556" s="1813"/>
      <c r="I556" s="1813"/>
      <c r="J556" s="1813"/>
      <c r="K556" s="1813"/>
      <c r="L556" s="1813"/>
      <c r="M556" s="1813"/>
      <c r="N556" s="1813"/>
      <c r="O556" s="1813"/>
      <c r="P556" s="1813"/>
      <c r="Q556" s="1813"/>
      <c r="R556" s="1813"/>
      <c r="S556" s="1813"/>
      <c r="T556" s="1813"/>
      <c r="U556" s="1813"/>
      <c r="V556" s="1813"/>
      <c r="W556" s="1813"/>
      <c r="X556" s="1813"/>
    </row>
    <row r="557" spans="1:24" ht="15.75" customHeight="1">
      <c r="A557" s="1819"/>
      <c r="B557" s="1819"/>
      <c r="C557" s="1819"/>
      <c r="D557" s="1819"/>
      <c r="E557" s="1819"/>
      <c r="F557" s="1819"/>
      <c r="G557" s="1803"/>
      <c r="H557" s="1813"/>
      <c r="I557" s="1813"/>
      <c r="J557" s="1813"/>
      <c r="K557" s="1813"/>
      <c r="L557" s="1813"/>
      <c r="M557" s="1813"/>
      <c r="N557" s="1813"/>
      <c r="O557" s="1813"/>
      <c r="P557" s="1813"/>
      <c r="Q557" s="1813"/>
      <c r="R557" s="1813"/>
      <c r="S557" s="1813"/>
      <c r="T557" s="1813"/>
      <c r="U557" s="1813"/>
      <c r="V557" s="1813"/>
      <c r="W557" s="1813"/>
      <c r="X557" s="1813"/>
    </row>
    <row r="558" spans="1:24" ht="15.75" customHeight="1">
      <c r="A558" s="1819"/>
      <c r="B558" s="1819"/>
      <c r="C558" s="1819"/>
      <c r="D558" s="1819"/>
      <c r="E558" s="1819"/>
      <c r="F558" s="1819"/>
      <c r="G558" s="1803"/>
      <c r="H558" s="1813"/>
      <c r="I558" s="1813"/>
      <c r="J558" s="1813"/>
      <c r="K558" s="1813"/>
      <c r="L558" s="1813"/>
      <c r="M558" s="1813"/>
      <c r="N558" s="1813"/>
      <c r="O558" s="1813"/>
      <c r="P558" s="1813"/>
      <c r="Q558" s="1813"/>
      <c r="R558" s="1813"/>
      <c r="S558" s="1813"/>
      <c r="T558" s="1813"/>
      <c r="U558" s="1813"/>
      <c r="V558" s="1813"/>
      <c r="W558" s="1813"/>
      <c r="X558" s="1813"/>
    </row>
    <row r="559" spans="1:24" ht="15.75" customHeight="1">
      <c r="A559" s="1819"/>
      <c r="B559" s="1819"/>
      <c r="C559" s="1819"/>
      <c r="D559" s="1819"/>
      <c r="E559" s="1819"/>
      <c r="F559" s="1819"/>
      <c r="G559" s="1803"/>
      <c r="H559" s="1813"/>
      <c r="I559" s="1813"/>
      <c r="J559" s="1813"/>
      <c r="K559" s="1813"/>
      <c r="L559" s="1813"/>
      <c r="M559" s="1813"/>
      <c r="N559" s="1813"/>
      <c r="O559" s="1813"/>
      <c r="P559" s="1813"/>
      <c r="Q559" s="1813"/>
      <c r="R559" s="1813"/>
      <c r="S559" s="1813"/>
      <c r="T559" s="1813"/>
      <c r="U559" s="1813"/>
      <c r="V559" s="1813"/>
      <c r="W559" s="1813"/>
      <c r="X559" s="1813"/>
    </row>
    <row r="560" spans="1:24" ht="15.75" customHeight="1">
      <c r="A560" s="1819"/>
      <c r="B560" s="1819"/>
      <c r="C560" s="1819"/>
      <c r="D560" s="1819"/>
      <c r="E560" s="1819"/>
      <c r="F560" s="1819"/>
      <c r="G560" s="1803"/>
      <c r="H560" s="1813"/>
      <c r="I560" s="1813"/>
      <c r="J560" s="1813"/>
      <c r="K560" s="1813"/>
      <c r="L560" s="1813"/>
      <c r="M560" s="1813"/>
      <c r="N560" s="1813"/>
      <c r="O560" s="1813"/>
      <c r="P560" s="1813"/>
      <c r="Q560" s="1813"/>
      <c r="R560" s="1813"/>
      <c r="S560" s="1813"/>
      <c r="T560" s="1813"/>
      <c r="U560" s="1813"/>
      <c r="V560" s="1813"/>
      <c r="W560" s="1813"/>
      <c r="X560" s="1813"/>
    </row>
    <row r="561" spans="1:24" ht="15.75" customHeight="1">
      <c r="A561" s="1819"/>
      <c r="B561" s="1819"/>
      <c r="C561" s="1819"/>
      <c r="D561" s="1819"/>
      <c r="E561" s="1819"/>
      <c r="F561" s="1819"/>
      <c r="G561" s="1803"/>
      <c r="H561" s="1813"/>
      <c r="I561" s="1813"/>
      <c r="J561" s="1813"/>
      <c r="K561" s="1813"/>
      <c r="L561" s="1813"/>
      <c r="M561" s="1813"/>
      <c r="N561" s="1813"/>
      <c r="O561" s="1813"/>
      <c r="P561" s="1813"/>
      <c r="Q561" s="1813"/>
      <c r="R561" s="1813"/>
      <c r="S561" s="1813"/>
      <c r="T561" s="1813"/>
      <c r="U561" s="1813"/>
      <c r="V561" s="1813"/>
      <c r="W561" s="1813"/>
      <c r="X561" s="1813"/>
    </row>
    <row r="562" spans="1:24" ht="15.75" customHeight="1">
      <c r="A562" s="1819"/>
      <c r="B562" s="1819"/>
      <c r="C562" s="1819"/>
      <c r="D562" s="1819"/>
      <c r="E562" s="1819"/>
      <c r="F562" s="1819"/>
      <c r="G562" s="1803"/>
      <c r="H562" s="1813"/>
      <c r="I562" s="1813"/>
      <c r="J562" s="1813"/>
      <c r="K562" s="1813"/>
      <c r="L562" s="1813"/>
      <c r="M562" s="1813"/>
      <c r="N562" s="1813"/>
      <c r="O562" s="1813"/>
      <c r="P562" s="1813"/>
      <c r="Q562" s="1813"/>
      <c r="R562" s="1813"/>
      <c r="S562" s="1813"/>
      <c r="T562" s="1813"/>
      <c r="U562" s="1813"/>
      <c r="V562" s="1813"/>
      <c r="W562" s="1813"/>
      <c r="X562" s="1813"/>
    </row>
    <row r="563" spans="1:24" ht="15.75" customHeight="1">
      <c r="A563" s="1819"/>
      <c r="B563" s="1819"/>
      <c r="C563" s="1819"/>
      <c r="D563" s="1819"/>
      <c r="E563" s="1819"/>
      <c r="F563" s="1819"/>
      <c r="G563" s="1803"/>
      <c r="H563" s="1813"/>
      <c r="I563" s="1813"/>
      <c r="J563" s="1813"/>
      <c r="K563" s="1813"/>
      <c r="L563" s="1813"/>
      <c r="M563" s="1813"/>
      <c r="N563" s="1813"/>
      <c r="O563" s="1813"/>
      <c r="P563" s="1813"/>
      <c r="Q563" s="1813"/>
      <c r="R563" s="1813"/>
      <c r="S563" s="1813"/>
      <c r="T563" s="1813"/>
      <c r="U563" s="1813"/>
      <c r="V563" s="1813"/>
      <c r="W563" s="1813"/>
      <c r="X563" s="1813"/>
    </row>
    <row r="564" spans="1:24" ht="15.75" customHeight="1">
      <c r="A564" s="1819"/>
      <c r="B564" s="1819"/>
      <c r="C564" s="1819"/>
      <c r="D564" s="1819"/>
      <c r="E564" s="1819"/>
      <c r="F564" s="1819"/>
      <c r="G564" s="1803"/>
      <c r="H564" s="1813"/>
      <c r="I564" s="1813"/>
      <c r="J564" s="1813"/>
      <c r="K564" s="1813"/>
      <c r="L564" s="1813"/>
      <c r="M564" s="1813"/>
      <c r="N564" s="1813"/>
      <c r="O564" s="1813"/>
      <c r="P564" s="1813"/>
      <c r="Q564" s="1813"/>
      <c r="R564" s="1813"/>
      <c r="S564" s="1813"/>
      <c r="T564" s="1813"/>
      <c r="U564" s="1813"/>
      <c r="V564" s="1813"/>
      <c r="W564" s="1813"/>
      <c r="X564" s="1813"/>
    </row>
    <row r="565" spans="1:24" ht="15.75" customHeight="1">
      <c r="A565" s="1819"/>
      <c r="B565" s="1819"/>
      <c r="C565" s="1819"/>
      <c r="D565" s="1819"/>
      <c r="E565" s="1819"/>
      <c r="F565" s="1819"/>
      <c r="G565" s="1803"/>
      <c r="H565" s="1813"/>
      <c r="I565" s="1813"/>
      <c r="J565" s="1813"/>
      <c r="K565" s="1813"/>
      <c r="L565" s="1813"/>
      <c r="M565" s="1813"/>
      <c r="N565" s="1813"/>
      <c r="O565" s="1813"/>
      <c r="P565" s="1813"/>
      <c r="Q565" s="1813"/>
      <c r="R565" s="1813"/>
      <c r="S565" s="1813"/>
      <c r="T565" s="1813"/>
      <c r="U565" s="1813"/>
      <c r="V565" s="1813"/>
      <c r="W565" s="1813"/>
      <c r="X565" s="1813"/>
    </row>
    <row r="566" spans="1:24" ht="15.75" customHeight="1">
      <c r="A566" s="1819"/>
      <c r="B566" s="1819"/>
      <c r="C566" s="1819"/>
      <c r="D566" s="1819"/>
      <c r="E566" s="1819"/>
      <c r="F566" s="1819"/>
      <c r="G566" s="1803"/>
      <c r="H566" s="1813"/>
      <c r="I566" s="1813"/>
      <c r="J566" s="1813"/>
      <c r="K566" s="1813"/>
      <c r="L566" s="1813"/>
      <c r="M566" s="1813"/>
      <c r="N566" s="1813"/>
      <c r="O566" s="1813"/>
      <c r="P566" s="1813"/>
      <c r="Q566" s="1813"/>
      <c r="R566" s="1813"/>
      <c r="S566" s="1813"/>
      <c r="T566" s="1813"/>
      <c r="U566" s="1813"/>
      <c r="V566" s="1813"/>
      <c r="W566" s="1813"/>
      <c r="X566" s="1813"/>
    </row>
    <row r="567" spans="1:24" ht="15.75" customHeight="1">
      <c r="A567" s="1819"/>
      <c r="B567" s="1819"/>
      <c r="C567" s="1819"/>
      <c r="D567" s="1819"/>
      <c r="E567" s="1819"/>
      <c r="F567" s="1819"/>
      <c r="G567" s="1803"/>
      <c r="H567" s="1813"/>
      <c r="I567" s="1813"/>
      <c r="J567" s="1813"/>
      <c r="K567" s="1813"/>
      <c r="L567" s="1813"/>
      <c r="M567" s="1813"/>
      <c r="N567" s="1813"/>
      <c r="O567" s="1813"/>
      <c r="P567" s="1813"/>
      <c r="Q567" s="1813"/>
      <c r="R567" s="1813"/>
      <c r="S567" s="1813"/>
      <c r="T567" s="1813"/>
      <c r="U567" s="1813"/>
      <c r="V567" s="1813"/>
      <c r="W567" s="1813"/>
      <c r="X567" s="1813"/>
    </row>
    <row r="568" spans="1:24" ht="15.75" customHeight="1">
      <c r="A568" s="1819"/>
      <c r="B568" s="1819"/>
      <c r="C568" s="1819"/>
      <c r="D568" s="1819"/>
      <c r="E568" s="1819"/>
      <c r="F568" s="1819"/>
      <c r="G568" s="1803"/>
      <c r="H568" s="1813"/>
      <c r="I568" s="1813"/>
      <c r="J568" s="1813"/>
      <c r="K568" s="1813"/>
      <c r="L568" s="1813"/>
      <c r="M568" s="1813"/>
      <c r="N568" s="1813"/>
      <c r="O568" s="1813"/>
      <c r="P568" s="1813"/>
      <c r="Q568" s="1813"/>
      <c r="R568" s="1813"/>
      <c r="S568" s="1813"/>
      <c r="T568" s="1813"/>
      <c r="U568" s="1813"/>
      <c r="V568" s="1813"/>
      <c r="W568" s="1813"/>
      <c r="X568" s="1813"/>
    </row>
    <row r="569" spans="1:24" ht="15.75" customHeight="1">
      <c r="A569" s="1819"/>
      <c r="B569" s="1819"/>
      <c r="C569" s="1819"/>
      <c r="D569" s="1819"/>
      <c r="E569" s="1819"/>
      <c r="F569" s="1819"/>
      <c r="G569" s="1803"/>
      <c r="H569" s="1813"/>
      <c r="I569" s="1813"/>
      <c r="J569" s="1813"/>
      <c r="K569" s="1813"/>
      <c r="L569" s="1813"/>
      <c r="M569" s="1813"/>
      <c r="N569" s="1813"/>
      <c r="O569" s="1813"/>
      <c r="P569" s="1813"/>
      <c r="Q569" s="1813"/>
      <c r="R569" s="1813"/>
      <c r="S569" s="1813"/>
      <c r="T569" s="1813"/>
      <c r="U569" s="1813"/>
      <c r="V569" s="1813"/>
      <c r="W569" s="1813"/>
      <c r="X569" s="1813"/>
    </row>
    <row r="570" spans="1:24" ht="15.75" customHeight="1">
      <c r="A570" s="1819"/>
      <c r="B570" s="1819"/>
      <c r="C570" s="1819"/>
      <c r="D570" s="1819"/>
      <c r="E570" s="1819"/>
      <c r="F570" s="1819"/>
      <c r="G570" s="1803"/>
      <c r="H570" s="1813"/>
      <c r="I570" s="1813"/>
      <c r="J570" s="1813"/>
      <c r="K570" s="1813"/>
      <c r="L570" s="1813"/>
      <c r="M570" s="1813"/>
      <c r="N570" s="1813"/>
      <c r="O570" s="1813"/>
      <c r="P570" s="1813"/>
      <c r="Q570" s="1813"/>
      <c r="R570" s="1813"/>
      <c r="S570" s="1813"/>
      <c r="T570" s="1813"/>
      <c r="U570" s="1813"/>
      <c r="V570" s="1813"/>
      <c r="W570" s="1813"/>
      <c r="X570" s="1813"/>
    </row>
    <row r="571" spans="1:24" ht="15.75" customHeight="1">
      <c r="A571" s="1819"/>
      <c r="B571" s="1819"/>
      <c r="C571" s="1819"/>
      <c r="D571" s="1819"/>
      <c r="E571" s="1819"/>
      <c r="F571" s="1819"/>
      <c r="G571" s="1803"/>
      <c r="H571" s="1813"/>
      <c r="I571" s="1813"/>
      <c r="J571" s="1813"/>
      <c r="K571" s="1813"/>
      <c r="L571" s="1813"/>
      <c r="M571" s="1813"/>
      <c r="N571" s="1813"/>
      <c r="O571" s="1813"/>
      <c r="P571" s="1813"/>
      <c r="Q571" s="1813"/>
      <c r="R571" s="1813"/>
      <c r="S571" s="1813"/>
      <c r="T571" s="1813"/>
      <c r="U571" s="1813"/>
      <c r="V571" s="1813"/>
      <c r="W571" s="1813"/>
      <c r="X571" s="1813"/>
    </row>
    <row r="572" spans="1:24" ht="15.75" customHeight="1">
      <c r="A572" s="1819"/>
      <c r="B572" s="1819"/>
      <c r="C572" s="1819"/>
      <c r="D572" s="1819"/>
      <c r="E572" s="1819"/>
      <c r="F572" s="1819"/>
      <c r="G572" s="1803"/>
      <c r="H572" s="1813"/>
      <c r="I572" s="1813"/>
      <c r="J572" s="1813"/>
      <c r="K572" s="1813"/>
      <c r="L572" s="1813"/>
      <c r="M572" s="1813"/>
      <c r="N572" s="1813"/>
      <c r="O572" s="1813"/>
      <c r="P572" s="1813"/>
      <c r="Q572" s="1813"/>
      <c r="R572" s="1813"/>
      <c r="S572" s="1813"/>
      <c r="T572" s="1813"/>
      <c r="U572" s="1813"/>
      <c r="V572" s="1813"/>
      <c r="W572" s="1813"/>
      <c r="X572" s="1813"/>
    </row>
    <row r="573" spans="1:24" ht="15.75" customHeight="1">
      <c r="A573" s="1819"/>
      <c r="B573" s="1819"/>
      <c r="C573" s="1819"/>
      <c r="D573" s="1819"/>
      <c r="E573" s="1819"/>
      <c r="F573" s="1819"/>
      <c r="G573" s="1803"/>
      <c r="H573" s="1813"/>
      <c r="I573" s="1813"/>
      <c r="J573" s="1813"/>
      <c r="K573" s="1813"/>
      <c r="L573" s="1813"/>
      <c r="M573" s="1813"/>
      <c r="N573" s="1813"/>
      <c r="O573" s="1813"/>
      <c r="P573" s="1813"/>
      <c r="Q573" s="1813"/>
      <c r="R573" s="1813"/>
      <c r="S573" s="1813"/>
      <c r="T573" s="1813"/>
      <c r="U573" s="1813"/>
      <c r="V573" s="1813"/>
      <c r="W573" s="1813"/>
      <c r="X573" s="1813"/>
    </row>
    <row r="574" spans="1:24" ht="15.75" customHeight="1">
      <c r="A574" s="1819"/>
      <c r="B574" s="1819"/>
      <c r="C574" s="1819"/>
      <c r="D574" s="1819"/>
      <c r="E574" s="1819"/>
      <c r="F574" s="1819"/>
      <c r="G574" s="1803"/>
      <c r="H574" s="1813"/>
      <c r="I574" s="1813"/>
      <c r="J574" s="1813"/>
      <c r="K574" s="1813"/>
      <c r="L574" s="1813"/>
      <c r="M574" s="1813"/>
      <c r="N574" s="1813"/>
      <c r="O574" s="1813"/>
      <c r="P574" s="1813"/>
      <c r="Q574" s="1813"/>
      <c r="R574" s="1813"/>
      <c r="S574" s="1813"/>
      <c r="T574" s="1813"/>
      <c r="U574" s="1813"/>
      <c r="V574" s="1813"/>
      <c r="W574" s="1813"/>
      <c r="X574" s="1813"/>
    </row>
    <row r="575" spans="1:24" ht="15.75" customHeight="1">
      <c r="A575" s="1819"/>
      <c r="B575" s="1819"/>
      <c r="C575" s="1819"/>
      <c r="D575" s="1819"/>
      <c r="E575" s="1819"/>
      <c r="F575" s="1819"/>
      <c r="G575" s="1803"/>
      <c r="H575" s="1813"/>
      <c r="I575" s="1813"/>
      <c r="J575" s="1813"/>
      <c r="K575" s="1813"/>
      <c r="L575" s="1813"/>
      <c r="M575" s="1813"/>
      <c r="N575" s="1813"/>
      <c r="O575" s="1813"/>
      <c r="P575" s="1813"/>
      <c r="Q575" s="1813"/>
      <c r="R575" s="1813"/>
      <c r="S575" s="1813"/>
      <c r="T575" s="1813"/>
      <c r="U575" s="1813"/>
      <c r="V575" s="1813"/>
      <c r="W575" s="1813"/>
      <c r="X575" s="1813"/>
    </row>
    <row r="576" spans="1:24" ht="15.75" customHeight="1">
      <c r="A576" s="1819"/>
      <c r="B576" s="1819"/>
      <c r="C576" s="1819"/>
      <c r="D576" s="1819"/>
      <c r="E576" s="1819"/>
      <c r="F576" s="1819"/>
      <c r="G576" s="1803"/>
      <c r="H576" s="1813"/>
      <c r="I576" s="1813"/>
      <c r="J576" s="1813"/>
      <c r="K576" s="1813"/>
      <c r="L576" s="1813"/>
      <c r="M576" s="1813"/>
      <c r="N576" s="1813"/>
      <c r="O576" s="1813"/>
      <c r="P576" s="1813"/>
      <c r="Q576" s="1813"/>
      <c r="R576" s="1813"/>
      <c r="S576" s="1813"/>
      <c r="T576" s="1813"/>
      <c r="U576" s="1813"/>
      <c r="V576" s="1813"/>
      <c r="W576" s="1813"/>
      <c r="X576" s="1813"/>
    </row>
    <row r="577" spans="1:24" ht="15.75" customHeight="1">
      <c r="A577" s="1819"/>
      <c r="B577" s="1819"/>
      <c r="C577" s="1819"/>
      <c r="D577" s="1819"/>
      <c r="E577" s="1819"/>
      <c r="F577" s="1819"/>
      <c r="G577" s="1803"/>
      <c r="H577" s="1813"/>
      <c r="I577" s="1813"/>
      <c r="J577" s="1813"/>
      <c r="K577" s="1813"/>
      <c r="L577" s="1813"/>
      <c r="M577" s="1813"/>
      <c r="N577" s="1813"/>
      <c r="O577" s="1813"/>
      <c r="P577" s="1813"/>
      <c r="Q577" s="1813"/>
      <c r="R577" s="1813"/>
      <c r="S577" s="1813"/>
      <c r="T577" s="1813"/>
      <c r="U577" s="1813"/>
      <c r="V577" s="1813"/>
      <c r="W577" s="1813"/>
      <c r="X577" s="1813"/>
    </row>
    <row r="578" spans="1:24" ht="15.75" customHeight="1">
      <c r="A578" s="1819"/>
      <c r="B578" s="1819"/>
      <c r="C578" s="1819"/>
      <c r="D578" s="1819"/>
      <c r="E578" s="1819"/>
      <c r="F578" s="1819"/>
      <c r="G578" s="1803"/>
      <c r="H578" s="1813"/>
      <c r="I578" s="1813"/>
      <c r="J578" s="1813"/>
      <c r="K578" s="1813"/>
      <c r="L578" s="1813"/>
      <c r="M578" s="1813"/>
      <c r="N578" s="1813"/>
      <c r="O578" s="1813"/>
      <c r="P578" s="1813"/>
      <c r="Q578" s="1813"/>
      <c r="R578" s="1813"/>
      <c r="S578" s="1813"/>
      <c r="T578" s="1813"/>
      <c r="U578" s="1813"/>
      <c r="V578" s="1813"/>
      <c r="W578" s="1813"/>
      <c r="X578" s="1813"/>
    </row>
    <row r="579" spans="1:24" ht="15.75" customHeight="1">
      <c r="A579" s="1819"/>
      <c r="B579" s="1819"/>
      <c r="C579" s="1819"/>
      <c r="D579" s="1819"/>
      <c r="E579" s="1819"/>
      <c r="F579" s="1819"/>
      <c r="G579" s="1803"/>
      <c r="H579" s="1813"/>
      <c r="I579" s="1813"/>
      <c r="J579" s="1813"/>
      <c r="K579" s="1813"/>
      <c r="L579" s="1813"/>
      <c r="M579" s="1813"/>
      <c r="N579" s="1813"/>
      <c r="O579" s="1813"/>
      <c r="P579" s="1813"/>
      <c r="Q579" s="1813"/>
      <c r="R579" s="1813"/>
      <c r="S579" s="1813"/>
      <c r="T579" s="1813"/>
      <c r="U579" s="1813"/>
      <c r="V579" s="1813"/>
      <c r="W579" s="1813"/>
      <c r="X579" s="1813"/>
    </row>
    <row r="580" spans="1:24" ht="15.75" customHeight="1">
      <c r="A580" s="1819"/>
      <c r="B580" s="1819"/>
      <c r="C580" s="1819"/>
      <c r="D580" s="1819"/>
      <c r="E580" s="1819"/>
      <c r="F580" s="1819"/>
      <c r="G580" s="1803"/>
      <c r="H580" s="1813"/>
      <c r="I580" s="1813"/>
      <c r="J580" s="1813"/>
      <c r="K580" s="1813"/>
      <c r="L580" s="1813"/>
      <c r="M580" s="1813"/>
      <c r="N580" s="1813"/>
      <c r="O580" s="1813"/>
      <c r="P580" s="1813"/>
      <c r="Q580" s="1813"/>
      <c r="R580" s="1813"/>
      <c r="S580" s="1813"/>
      <c r="T580" s="1813"/>
      <c r="U580" s="1813"/>
      <c r="V580" s="1813"/>
      <c r="W580" s="1813"/>
      <c r="X580" s="1813"/>
    </row>
    <row r="581" spans="1:24" ht="15.75" customHeight="1">
      <c r="A581" s="1819"/>
      <c r="B581" s="1819"/>
      <c r="C581" s="1819"/>
      <c r="D581" s="1819"/>
      <c r="E581" s="1819"/>
      <c r="F581" s="1819"/>
      <c r="G581" s="1803"/>
      <c r="H581" s="1813"/>
      <c r="I581" s="1813"/>
      <c r="J581" s="1813"/>
      <c r="K581" s="1813"/>
      <c r="L581" s="1813"/>
      <c r="M581" s="1813"/>
      <c r="N581" s="1813"/>
      <c r="O581" s="1813"/>
      <c r="P581" s="1813"/>
      <c r="Q581" s="1813"/>
      <c r="R581" s="1813"/>
      <c r="S581" s="1813"/>
      <c r="T581" s="1813"/>
      <c r="U581" s="1813"/>
      <c r="V581" s="1813"/>
      <c r="W581" s="1813"/>
      <c r="X581" s="1813"/>
    </row>
    <row r="582" spans="1:24" ht="15.75" customHeight="1">
      <c r="A582" s="1819"/>
      <c r="B582" s="1819"/>
      <c r="C582" s="1819"/>
      <c r="D582" s="1819"/>
      <c r="E582" s="1819"/>
      <c r="F582" s="1819"/>
      <c r="G582" s="1803"/>
      <c r="H582" s="1813"/>
      <c r="I582" s="1813"/>
      <c r="J582" s="1813"/>
      <c r="K582" s="1813"/>
      <c r="L582" s="1813"/>
      <c r="M582" s="1813"/>
      <c r="N582" s="1813"/>
      <c r="O582" s="1813"/>
      <c r="P582" s="1813"/>
      <c r="Q582" s="1813"/>
      <c r="R582" s="1813"/>
      <c r="S582" s="1813"/>
      <c r="T582" s="1813"/>
      <c r="U582" s="1813"/>
      <c r="V582" s="1813"/>
      <c r="W582" s="1813"/>
      <c r="X582" s="1813"/>
    </row>
    <row r="583" spans="1:24" ht="15.75" customHeight="1">
      <c r="A583" s="1819"/>
      <c r="B583" s="1819"/>
      <c r="C583" s="1819"/>
      <c r="D583" s="1819"/>
      <c r="E583" s="1819"/>
      <c r="F583" s="1819"/>
      <c r="G583" s="1803"/>
      <c r="H583" s="1813"/>
      <c r="I583" s="1813"/>
      <c r="J583" s="1813"/>
      <c r="K583" s="1813"/>
      <c r="L583" s="1813"/>
      <c r="M583" s="1813"/>
      <c r="N583" s="1813"/>
      <c r="O583" s="1813"/>
      <c r="P583" s="1813"/>
      <c r="Q583" s="1813"/>
      <c r="R583" s="1813"/>
      <c r="S583" s="1813"/>
      <c r="T583" s="1813"/>
      <c r="U583" s="1813"/>
      <c r="V583" s="1813"/>
      <c r="W583" s="1813"/>
      <c r="X583" s="1813"/>
    </row>
    <row r="584" spans="1:24" ht="15.75" customHeight="1">
      <c r="A584" s="1819"/>
      <c r="B584" s="1819"/>
      <c r="C584" s="1819"/>
      <c r="D584" s="1819"/>
      <c r="E584" s="1819"/>
      <c r="F584" s="1819"/>
      <c r="G584" s="1803"/>
      <c r="H584" s="1813"/>
      <c r="I584" s="1813"/>
      <c r="J584" s="1813"/>
      <c r="K584" s="1813"/>
      <c r="L584" s="1813"/>
      <c r="M584" s="1813"/>
      <c r="N584" s="1813"/>
      <c r="O584" s="1813"/>
      <c r="P584" s="1813"/>
      <c r="Q584" s="1813"/>
      <c r="R584" s="1813"/>
      <c r="S584" s="1813"/>
      <c r="T584" s="1813"/>
      <c r="U584" s="1813"/>
      <c r="V584" s="1813"/>
      <c r="W584" s="1813"/>
      <c r="X584" s="1813"/>
    </row>
    <row r="585" spans="1:24" ht="15.75" customHeight="1">
      <c r="A585" s="1819"/>
      <c r="B585" s="1819"/>
      <c r="C585" s="1819"/>
      <c r="D585" s="1819"/>
      <c r="E585" s="1819"/>
      <c r="F585" s="1819"/>
      <c r="G585" s="1803"/>
      <c r="H585" s="1813"/>
      <c r="I585" s="1813"/>
      <c r="J585" s="1813"/>
      <c r="K585" s="1813"/>
      <c r="L585" s="1813"/>
      <c r="M585" s="1813"/>
      <c r="N585" s="1813"/>
      <c r="O585" s="1813"/>
      <c r="P585" s="1813"/>
      <c r="Q585" s="1813"/>
      <c r="R585" s="1813"/>
      <c r="S585" s="1813"/>
      <c r="T585" s="1813"/>
      <c r="U585" s="1813"/>
      <c r="V585" s="1813"/>
      <c r="W585" s="1813"/>
      <c r="X585" s="1813"/>
    </row>
    <row r="586" spans="1:24" ht="15.75" customHeight="1">
      <c r="A586" s="1819"/>
      <c r="B586" s="1819"/>
      <c r="C586" s="1819"/>
      <c r="D586" s="1819"/>
      <c r="E586" s="1819"/>
      <c r="F586" s="1819"/>
      <c r="G586" s="1803"/>
      <c r="H586" s="1813"/>
      <c r="I586" s="1813"/>
      <c r="J586" s="1813"/>
      <c r="K586" s="1813"/>
      <c r="L586" s="1813"/>
      <c r="M586" s="1813"/>
      <c r="N586" s="1813"/>
      <c r="O586" s="1813"/>
      <c r="P586" s="1813"/>
      <c r="Q586" s="1813"/>
      <c r="R586" s="1813"/>
      <c r="S586" s="1813"/>
      <c r="T586" s="1813"/>
      <c r="U586" s="1813"/>
      <c r="V586" s="1813"/>
      <c r="W586" s="1813"/>
      <c r="X586" s="1813"/>
    </row>
    <row r="587" spans="1:24" ht="15.75" customHeight="1">
      <c r="A587" s="1819"/>
      <c r="B587" s="1819"/>
      <c r="C587" s="1819"/>
      <c r="D587" s="1819"/>
      <c r="E587" s="1819"/>
      <c r="F587" s="1819"/>
      <c r="G587" s="1803"/>
      <c r="H587" s="1813"/>
      <c r="I587" s="1813"/>
      <c r="J587" s="1813"/>
      <c r="K587" s="1813"/>
      <c r="L587" s="1813"/>
      <c r="M587" s="1813"/>
      <c r="N587" s="1813"/>
      <c r="O587" s="1813"/>
      <c r="P587" s="1813"/>
      <c r="Q587" s="1813"/>
      <c r="R587" s="1813"/>
      <c r="S587" s="1813"/>
      <c r="T587" s="1813"/>
      <c r="U587" s="1813"/>
      <c r="V587" s="1813"/>
      <c r="W587" s="1813"/>
      <c r="X587" s="1813"/>
    </row>
    <row r="588" spans="1:24" ht="15.75" customHeight="1">
      <c r="A588" s="1819"/>
      <c r="B588" s="1819"/>
      <c r="C588" s="1819"/>
      <c r="D588" s="1819"/>
      <c r="E588" s="1819"/>
      <c r="F588" s="1819"/>
      <c r="G588" s="1803"/>
      <c r="H588" s="1813"/>
      <c r="I588" s="1813"/>
      <c r="J588" s="1813"/>
      <c r="K588" s="1813"/>
      <c r="L588" s="1813"/>
      <c r="M588" s="1813"/>
      <c r="N588" s="1813"/>
      <c r="O588" s="1813"/>
      <c r="P588" s="1813"/>
      <c r="Q588" s="1813"/>
      <c r="R588" s="1813"/>
      <c r="S588" s="1813"/>
      <c r="T588" s="1813"/>
      <c r="U588" s="1813"/>
      <c r="V588" s="1813"/>
      <c r="W588" s="1813"/>
      <c r="X588" s="1813"/>
    </row>
    <row r="589" spans="1:24" ht="15.75" customHeight="1">
      <c r="A589" s="1819"/>
      <c r="B589" s="1819"/>
      <c r="C589" s="1819"/>
      <c r="D589" s="1819"/>
      <c r="E589" s="1819"/>
      <c r="F589" s="1819"/>
      <c r="G589" s="1803"/>
      <c r="H589" s="1813"/>
      <c r="I589" s="1813"/>
      <c r="J589" s="1813"/>
      <c r="K589" s="1813"/>
      <c r="L589" s="1813"/>
      <c r="M589" s="1813"/>
      <c r="N589" s="1813"/>
      <c r="O589" s="1813"/>
      <c r="P589" s="1813"/>
      <c r="Q589" s="1813"/>
      <c r="R589" s="1813"/>
      <c r="S589" s="1813"/>
      <c r="T589" s="1813"/>
      <c r="U589" s="1813"/>
      <c r="V589" s="1813"/>
      <c r="W589" s="1813"/>
      <c r="X589" s="1813"/>
    </row>
    <row r="590" spans="1:24" ht="15.75" customHeight="1">
      <c r="A590" s="1819"/>
      <c r="B590" s="1819"/>
      <c r="C590" s="1819"/>
      <c r="D590" s="1819"/>
      <c r="E590" s="1819"/>
      <c r="F590" s="1819"/>
      <c r="G590" s="1803"/>
      <c r="H590" s="1813"/>
      <c r="I590" s="1813"/>
      <c r="J590" s="1813"/>
      <c r="K590" s="1813"/>
      <c r="L590" s="1813"/>
      <c r="M590" s="1813"/>
      <c r="N590" s="1813"/>
      <c r="O590" s="1813"/>
      <c r="P590" s="1813"/>
      <c r="Q590" s="1813"/>
      <c r="R590" s="1813"/>
      <c r="S590" s="1813"/>
      <c r="T590" s="1813"/>
      <c r="U590" s="1813"/>
      <c r="V590" s="1813"/>
      <c r="W590" s="1813"/>
      <c r="X590" s="1813"/>
    </row>
    <row r="591" spans="1:24" ht="15.75" customHeight="1">
      <c r="A591" s="1819"/>
      <c r="B591" s="1819"/>
      <c r="C591" s="1819"/>
      <c r="D591" s="1819"/>
      <c r="E591" s="1819"/>
      <c r="F591" s="1819"/>
      <c r="G591" s="1803"/>
      <c r="H591" s="1813"/>
      <c r="I591" s="1813"/>
      <c r="J591" s="1813"/>
      <c r="K591" s="1813"/>
      <c r="L591" s="1813"/>
      <c r="M591" s="1813"/>
      <c r="N591" s="1813"/>
      <c r="O591" s="1813"/>
      <c r="P591" s="1813"/>
      <c r="Q591" s="1813"/>
      <c r="R591" s="1813"/>
      <c r="S591" s="1813"/>
      <c r="T591" s="1813"/>
      <c r="U591" s="1813"/>
      <c r="V591" s="1813"/>
      <c r="W591" s="1813"/>
      <c r="X591" s="1813"/>
    </row>
    <row r="592" spans="1:24" ht="15.75" customHeight="1">
      <c r="A592" s="1819"/>
      <c r="B592" s="1819"/>
      <c r="C592" s="1819"/>
      <c r="D592" s="1819"/>
      <c r="E592" s="1819"/>
      <c r="F592" s="1819"/>
      <c r="G592" s="1803"/>
      <c r="H592" s="1813"/>
      <c r="I592" s="1813"/>
      <c r="J592" s="1813"/>
      <c r="K592" s="1813"/>
      <c r="L592" s="1813"/>
      <c r="M592" s="1813"/>
      <c r="N592" s="1813"/>
      <c r="O592" s="1813"/>
      <c r="P592" s="1813"/>
      <c r="Q592" s="1813"/>
      <c r="R592" s="1813"/>
      <c r="S592" s="1813"/>
      <c r="T592" s="1813"/>
      <c r="U592" s="1813"/>
      <c r="V592" s="1813"/>
      <c r="W592" s="1813"/>
      <c r="X592" s="1813"/>
    </row>
    <row r="593" spans="1:24" ht="15.75" customHeight="1">
      <c r="A593" s="1819"/>
      <c r="B593" s="1819"/>
      <c r="C593" s="1819"/>
      <c r="D593" s="1819"/>
      <c r="E593" s="1819"/>
      <c r="F593" s="1819"/>
      <c r="G593" s="1803"/>
      <c r="H593" s="1813"/>
      <c r="I593" s="1813"/>
      <c r="J593" s="1813"/>
      <c r="K593" s="1813"/>
      <c r="L593" s="1813"/>
      <c r="M593" s="1813"/>
      <c r="N593" s="1813"/>
      <c r="O593" s="1813"/>
      <c r="P593" s="1813"/>
      <c r="Q593" s="1813"/>
      <c r="R593" s="1813"/>
      <c r="S593" s="1813"/>
      <c r="T593" s="1813"/>
      <c r="U593" s="1813"/>
      <c r="V593" s="1813"/>
      <c r="W593" s="1813"/>
      <c r="X593" s="1813"/>
    </row>
    <row r="594" spans="1:24" ht="15.75" customHeight="1">
      <c r="A594" s="1819"/>
      <c r="B594" s="1819"/>
      <c r="C594" s="1819"/>
      <c r="D594" s="1819"/>
      <c r="E594" s="1819"/>
      <c r="F594" s="1819"/>
      <c r="G594" s="1803"/>
      <c r="H594" s="1813"/>
      <c r="I594" s="1813"/>
      <c r="J594" s="1813"/>
      <c r="K594" s="1813"/>
      <c r="L594" s="1813"/>
      <c r="M594" s="1813"/>
      <c r="N594" s="1813"/>
      <c r="O594" s="1813"/>
      <c r="P594" s="1813"/>
      <c r="Q594" s="1813"/>
      <c r="R594" s="1813"/>
      <c r="S594" s="1813"/>
      <c r="T594" s="1813"/>
      <c r="U594" s="1813"/>
      <c r="V594" s="1813"/>
      <c r="W594" s="1813"/>
      <c r="X594" s="1813"/>
    </row>
    <row r="595" spans="1:24" ht="15.75" customHeight="1">
      <c r="A595" s="1819"/>
      <c r="B595" s="1819"/>
      <c r="C595" s="1819"/>
      <c r="D595" s="1819"/>
      <c r="E595" s="1819"/>
      <c r="F595" s="1819"/>
      <c r="G595" s="1803"/>
      <c r="H595" s="1813"/>
      <c r="I595" s="1813"/>
      <c r="J595" s="1813"/>
      <c r="K595" s="1813"/>
      <c r="L595" s="1813"/>
      <c r="M595" s="1813"/>
      <c r="N595" s="1813"/>
      <c r="O595" s="1813"/>
      <c r="P595" s="1813"/>
      <c r="Q595" s="1813"/>
      <c r="R595" s="1813"/>
      <c r="S595" s="1813"/>
      <c r="T595" s="1813"/>
      <c r="U595" s="1813"/>
      <c r="V595" s="1813"/>
      <c r="W595" s="1813"/>
      <c r="X595" s="1813"/>
    </row>
    <row r="596" spans="1:24" ht="15.75" customHeight="1">
      <c r="A596" s="1819"/>
      <c r="B596" s="1819"/>
      <c r="C596" s="1819"/>
      <c r="D596" s="1819"/>
      <c r="E596" s="1819"/>
      <c r="F596" s="1819"/>
      <c r="G596" s="1803"/>
      <c r="H596" s="1813"/>
      <c r="I596" s="1813"/>
      <c r="J596" s="1813"/>
      <c r="K596" s="1813"/>
      <c r="L596" s="1813"/>
      <c r="M596" s="1813"/>
      <c r="N596" s="1813"/>
      <c r="O596" s="1813"/>
      <c r="P596" s="1813"/>
      <c r="Q596" s="1813"/>
      <c r="R596" s="1813"/>
      <c r="S596" s="1813"/>
      <c r="T596" s="1813"/>
      <c r="U596" s="1813"/>
      <c r="V596" s="1813"/>
      <c r="W596" s="1813"/>
      <c r="X596" s="1813"/>
    </row>
    <row r="597" spans="1:24" ht="15.75" customHeight="1">
      <c r="A597" s="1819"/>
      <c r="B597" s="1819"/>
      <c r="C597" s="1819"/>
      <c r="D597" s="1819"/>
      <c r="E597" s="1819"/>
      <c r="F597" s="1819"/>
      <c r="G597" s="1803"/>
      <c r="H597" s="1813"/>
      <c r="I597" s="1813"/>
      <c r="J597" s="1813"/>
      <c r="K597" s="1813"/>
      <c r="L597" s="1813"/>
      <c r="M597" s="1813"/>
      <c r="N597" s="1813"/>
      <c r="O597" s="1813"/>
      <c r="P597" s="1813"/>
      <c r="Q597" s="1813"/>
      <c r="R597" s="1813"/>
      <c r="S597" s="1813"/>
      <c r="T597" s="1813"/>
      <c r="U597" s="1813"/>
      <c r="V597" s="1813"/>
      <c r="W597" s="1813"/>
      <c r="X597" s="1813"/>
    </row>
    <row r="598" spans="1:24" ht="15.75" customHeight="1">
      <c r="A598" s="1819"/>
      <c r="B598" s="1819"/>
      <c r="C598" s="1819"/>
      <c r="D598" s="1819"/>
      <c r="E598" s="1819"/>
      <c r="F598" s="1819"/>
      <c r="G598" s="1803"/>
      <c r="H598" s="1813"/>
      <c r="I598" s="1813"/>
      <c r="J598" s="1813"/>
      <c r="K598" s="1813"/>
      <c r="L598" s="1813"/>
      <c r="M598" s="1813"/>
      <c r="N598" s="1813"/>
      <c r="O598" s="1813"/>
      <c r="P598" s="1813"/>
      <c r="Q598" s="1813"/>
      <c r="R598" s="1813"/>
      <c r="S598" s="1813"/>
      <c r="T598" s="1813"/>
      <c r="U598" s="1813"/>
      <c r="V598" s="1813"/>
      <c r="W598" s="1813"/>
      <c r="X598" s="1813"/>
    </row>
    <row r="599" spans="1:24" ht="15.75" customHeight="1">
      <c r="A599" s="1819"/>
      <c r="B599" s="1819"/>
      <c r="C599" s="1819"/>
      <c r="D599" s="1819"/>
      <c r="E599" s="1819"/>
      <c r="F599" s="1819"/>
      <c r="G599" s="1803"/>
      <c r="H599" s="1813"/>
      <c r="I599" s="1813"/>
      <c r="J599" s="1813"/>
      <c r="K599" s="1813"/>
      <c r="L599" s="1813"/>
      <c r="M599" s="1813"/>
      <c r="N599" s="1813"/>
      <c r="O599" s="1813"/>
      <c r="P599" s="1813"/>
      <c r="Q599" s="1813"/>
      <c r="R599" s="1813"/>
      <c r="S599" s="1813"/>
      <c r="T599" s="1813"/>
      <c r="U599" s="1813"/>
      <c r="V599" s="1813"/>
      <c r="W599" s="1813"/>
      <c r="X599" s="1813"/>
    </row>
    <row r="600" spans="1:24" ht="15.75" customHeight="1">
      <c r="A600" s="1819"/>
      <c r="B600" s="1819"/>
      <c r="C600" s="1819"/>
      <c r="D600" s="1819"/>
      <c r="E600" s="1819"/>
      <c r="F600" s="1819"/>
      <c r="G600" s="1803"/>
      <c r="H600" s="1813"/>
      <c r="I600" s="1813"/>
      <c r="J600" s="1813"/>
      <c r="K600" s="1813"/>
      <c r="L600" s="1813"/>
      <c r="M600" s="1813"/>
      <c r="N600" s="1813"/>
      <c r="O600" s="1813"/>
      <c r="P600" s="1813"/>
      <c r="Q600" s="1813"/>
      <c r="R600" s="1813"/>
      <c r="S600" s="1813"/>
      <c r="T600" s="1813"/>
      <c r="U600" s="1813"/>
      <c r="V600" s="1813"/>
      <c r="W600" s="1813"/>
      <c r="X600" s="1813"/>
    </row>
    <row r="601" spans="1:24" ht="15.75" customHeight="1">
      <c r="A601" s="1819"/>
      <c r="B601" s="1819"/>
      <c r="C601" s="1819"/>
      <c r="D601" s="1819"/>
      <c r="E601" s="1819"/>
      <c r="F601" s="1819"/>
      <c r="G601" s="1803"/>
      <c r="H601" s="1813"/>
      <c r="I601" s="1813"/>
      <c r="J601" s="1813"/>
      <c r="K601" s="1813"/>
      <c r="L601" s="1813"/>
      <c r="M601" s="1813"/>
      <c r="N601" s="1813"/>
      <c r="O601" s="1813"/>
      <c r="P601" s="1813"/>
      <c r="Q601" s="1813"/>
      <c r="R601" s="1813"/>
      <c r="S601" s="1813"/>
      <c r="T601" s="1813"/>
      <c r="U601" s="1813"/>
      <c r="V601" s="1813"/>
      <c r="W601" s="1813"/>
      <c r="X601" s="1813"/>
    </row>
    <row r="602" spans="1:24" ht="15.75" customHeight="1">
      <c r="A602" s="1819"/>
      <c r="B602" s="1819"/>
      <c r="C602" s="1819"/>
      <c r="D602" s="1819"/>
      <c r="E602" s="1819"/>
      <c r="F602" s="1819"/>
      <c r="G602" s="1803"/>
      <c r="H602" s="1813"/>
      <c r="I602" s="1813"/>
      <c r="J602" s="1813"/>
      <c r="K602" s="1813"/>
      <c r="L602" s="1813"/>
      <c r="M602" s="1813"/>
      <c r="N602" s="1813"/>
      <c r="O602" s="1813"/>
      <c r="P602" s="1813"/>
      <c r="Q602" s="1813"/>
      <c r="R602" s="1813"/>
      <c r="S602" s="1813"/>
      <c r="T602" s="1813"/>
      <c r="U602" s="1813"/>
      <c r="V602" s="1813"/>
      <c r="W602" s="1813"/>
      <c r="X602" s="1813"/>
    </row>
    <row r="603" spans="1:24" ht="15.75" customHeight="1">
      <c r="A603" s="1819"/>
      <c r="B603" s="1819"/>
      <c r="C603" s="1819"/>
      <c r="D603" s="1819"/>
      <c r="E603" s="1819"/>
      <c r="F603" s="1819"/>
      <c r="G603" s="1803"/>
      <c r="H603" s="1813"/>
      <c r="I603" s="1813"/>
      <c r="J603" s="1813"/>
      <c r="K603" s="1813"/>
      <c r="L603" s="1813"/>
      <c r="M603" s="1813"/>
      <c r="N603" s="1813"/>
      <c r="O603" s="1813"/>
      <c r="P603" s="1813"/>
      <c r="Q603" s="1813"/>
      <c r="R603" s="1813"/>
      <c r="S603" s="1813"/>
      <c r="T603" s="1813"/>
      <c r="U603" s="1813"/>
      <c r="V603" s="1813"/>
      <c r="W603" s="1813"/>
      <c r="X603" s="1813"/>
    </row>
    <row r="604" spans="1:24" ht="15.75" customHeight="1">
      <c r="A604" s="1819"/>
      <c r="B604" s="1819"/>
      <c r="C604" s="1819"/>
      <c r="D604" s="1819"/>
      <c r="E604" s="1819"/>
      <c r="F604" s="1819"/>
      <c r="G604" s="1803"/>
      <c r="H604" s="1813"/>
      <c r="I604" s="1813"/>
      <c r="J604" s="1813"/>
      <c r="K604" s="1813"/>
      <c r="L604" s="1813"/>
      <c r="M604" s="1813"/>
      <c r="N604" s="1813"/>
      <c r="O604" s="1813"/>
      <c r="P604" s="1813"/>
      <c r="Q604" s="1813"/>
      <c r="R604" s="1813"/>
      <c r="S604" s="1813"/>
      <c r="T604" s="1813"/>
      <c r="U604" s="1813"/>
      <c r="V604" s="1813"/>
      <c r="W604" s="1813"/>
      <c r="X604" s="1813"/>
    </row>
    <row r="605" spans="1:24" ht="15.75" customHeight="1">
      <c r="A605" s="1819"/>
      <c r="B605" s="1819"/>
      <c r="C605" s="1819"/>
      <c r="D605" s="1819"/>
      <c r="E605" s="1819"/>
      <c r="F605" s="1819"/>
      <c r="G605" s="1803"/>
      <c r="H605" s="1813"/>
      <c r="I605" s="1813"/>
      <c r="J605" s="1813"/>
      <c r="K605" s="1813"/>
      <c r="L605" s="1813"/>
      <c r="M605" s="1813"/>
      <c r="N605" s="1813"/>
      <c r="O605" s="1813"/>
      <c r="P605" s="1813"/>
      <c r="Q605" s="1813"/>
      <c r="R605" s="1813"/>
      <c r="S605" s="1813"/>
      <c r="T605" s="1813"/>
      <c r="U605" s="1813"/>
      <c r="V605" s="1813"/>
      <c r="W605" s="1813"/>
      <c r="X605" s="1813"/>
    </row>
    <row r="606" spans="1:24" ht="15.75" customHeight="1">
      <c r="A606" s="1819"/>
      <c r="B606" s="1819"/>
      <c r="C606" s="1819"/>
      <c r="D606" s="1819"/>
      <c r="E606" s="1819"/>
      <c r="F606" s="1819"/>
      <c r="G606" s="1803"/>
      <c r="H606" s="1813"/>
      <c r="I606" s="1813"/>
      <c r="J606" s="1813"/>
      <c r="K606" s="1813"/>
      <c r="L606" s="1813"/>
      <c r="M606" s="1813"/>
      <c r="N606" s="1813"/>
      <c r="O606" s="1813"/>
      <c r="P606" s="1813"/>
      <c r="Q606" s="1813"/>
      <c r="R606" s="1813"/>
      <c r="S606" s="1813"/>
      <c r="T606" s="1813"/>
      <c r="U606" s="1813"/>
      <c r="V606" s="1813"/>
      <c r="W606" s="1813"/>
      <c r="X606" s="1813"/>
    </row>
    <row r="607" spans="1:24" ht="15.75" customHeight="1">
      <c r="A607" s="1819"/>
      <c r="B607" s="1819"/>
      <c r="C607" s="1819"/>
      <c r="D607" s="1819"/>
      <c r="E607" s="1819"/>
      <c r="F607" s="1819"/>
      <c r="G607" s="1803"/>
      <c r="H607" s="1813"/>
      <c r="I607" s="1813"/>
      <c r="J607" s="1813"/>
      <c r="K607" s="1813"/>
      <c r="L607" s="1813"/>
      <c r="M607" s="1813"/>
      <c r="N607" s="1813"/>
      <c r="O607" s="1813"/>
      <c r="P607" s="1813"/>
      <c r="Q607" s="1813"/>
      <c r="R607" s="1813"/>
      <c r="S607" s="1813"/>
      <c r="T607" s="1813"/>
      <c r="U607" s="1813"/>
      <c r="V607" s="1813"/>
      <c r="W607" s="1813"/>
      <c r="X607" s="1813"/>
    </row>
    <row r="608" spans="1:24" ht="15.75" customHeight="1">
      <c r="A608" s="1819"/>
      <c r="B608" s="1819"/>
      <c r="C608" s="1819"/>
      <c r="D608" s="1819"/>
      <c r="E608" s="1819"/>
      <c r="F608" s="1819"/>
      <c r="G608" s="1803"/>
      <c r="H608" s="1813"/>
      <c r="I608" s="1813"/>
      <c r="J608" s="1813"/>
      <c r="K608" s="1813"/>
      <c r="L608" s="1813"/>
      <c r="M608" s="1813"/>
      <c r="N608" s="1813"/>
      <c r="O608" s="1813"/>
      <c r="P608" s="1813"/>
      <c r="Q608" s="1813"/>
      <c r="R608" s="1813"/>
      <c r="S608" s="1813"/>
      <c r="T608" s="1813"/>
      <c r="U608" s="1813"/>
      <c r="V608" s="1813"/>
      <c r="W608" s="1813"/>
      <c r="X608" s="1813"/>
    </row>
    <row r="609" spans="1:24" ht="15.75" customHeight="1">
      <c r="A609" s="1819"/>
      <c r="B609" s="1819"/>
      <c r="C609" s="1819"/>
      <c r="D609" s="1819"/>
      <c r="E609" s="1819"/>
      <c r="F609" s="1819"/>
      <c r="G609" s="1803"/>
      <c r="H609" s="1813"/>
      <c r="I609" s="1813"/>
      <c r="J609" s="1813"/>
      <c r="K609" s="1813"/>
      <c r="L609" s="1813"/>
      <c r="M609" s="1813"/>
      <c r="N609" s="1813"/>
      <c r="O609" s="1813"/>
      <c r="P609" s="1813"/>
      <c r="Q609" s="1813"/>
      <c r="R609" s="1813"/>
      <c r="S609" s="1813"/>
      <c r="T609" s="1813"/>
      <c r="U609" s="1813"/>
      <c r="V609" s="1813"/>
      <c r="W609" s="1813"/>
      <c r="X609" s="1813"/>
    </row>
    <row r="610" spans="1:24" ht="15.75" customHeight="1">
      <c r="A610" s="1819"/>
      <c r="B610" s="1819"/>
      <c r="C610" s="1819"/>
      <c r="D610" s="1819"/>
      <c r="E610" s="1819"/>
      <c r="F610" s="1819"/>
      <c r="G610" s="1803"/>
      <c r="H610" s="1813"/>
      <c r="I610" s="1813"/>
      <c r="J610" s="1813"/>
      <c r="K610" s="1813"/>
      <c r="L610" s="1813"/>
      <c r="M610" s="1813"/>
      <c r="N610" s="1813"/>
      <c r="O610" s="1813"/>
      <c r="P610" s="1813"/>
      <c r="Q610" s="1813"/>
      <c r="R610" s="1813"/>
      <c r="S610" s="1813"/>
      <c r="T610" s="1813"/>
      <c r="U610" s="1813"/>
      <c r="V610" s="1813"/>
      <c r="W610" s="1813"/>
      <c r="X610" s="1813"/>
    </row>
    <row r="611" spans="1:24" ht="15.75" customHeight="1">
      <c r="A611" s="1819"/>
      <c r="B611" s="1819"/>
      <c r="C611" s="1819"/>
      <c r="D611" s="1819"/>
      <c r="E611" s="1819"/>
      <c r="F611" s="1819"/>
      <c r="G611" s="1803"/>
      <c r="H611" s="1813"/>
      <c r="I611" s="1813"/>
      <c r="J611" s="1813"/>
      <c r="K611" s="1813"/>
      <c r="L611" s="1813"/>
      <c r="M611" s="1813"/>
      <c r="N611" s="1813"/>
      <c r="O611" s="1813"/>
      <c r="P611" s="1813"/>
      <c r="Q611" s="1813"/>
      <c r="R611" s="1813"/>
      <c r="S611" s="1813"/>
      <c r="T611" s="1813"/>
      <c r="U611" s="1813"/>
      <c r="V611" s="1813"/>
      <c r="W611" s="1813"/>
      <c r="X611" s="1813"/>
    </row>
    <row r="612" spans="1:24" ht="15.75" customHeight="1">
      <c r="A612" s="1819"/>
      <c r="B612" s="1819"/>
      <c r="C612" s="1819"/>
      <c r="D612" s="1819"/>
      <c r="E612" s="1819"/>
      <c r="F612" s="1819"/>
      <c r="G612" s="1803"/>
      <c r="H612" s="1813"/>
      <c r="I612" s="1813"/>
      <c r="J612" s="1813"/>
      <c r="K612" s="1813"/>
      <c r="L612" s="1813"/>
      <c r="M612" s="1813"/>
      <c r="N612" s="1813"/>
      <c r="O612" s="1813"/>
      <c r="P612" s="1813"/>
      <c r="Q612" s="1813"/>
      <c r="R612" s="1813"/>
      <c r="S612" s="1813"/>
      <c r="T612" s="1813"/>
      <c r="U612" s="1813"/>
      <c r="V612" s="1813"/>
      <c r="W612" s="1813"/>
      <c r="X612" s="1813"/>
    </row>
    <row r="613" spans="1:24" ht="15.75" customHeight="1">
      <c r="A613" s="1819"/>
      <c r="B613" s="1819"/>
      <c r="C613" s="1819"/>
      <c r="D613" s="1819"/>
      <c r="E613" s="1819"/>
      <c r="F613" s="1819"/>
      <c r="G613" s="1803"/>
      <c r="H613" s="1813"/>
      <c r="I613" s="1813"/>
      <c r="J613" s="1813"/>
      <c r="K613" s="1813"/>
      <c r="L613" s="1813"/>
      <c r="M613" s="1813"/>
      <c r="N613" s="1813"/>
      <c r="O613" s="1813"/>
      <c r="P613" s="1813"/>
      <c r="Q613" s="1813"/>
      <c r="R613" s="1813"/>
      <c r="S613" s="1813"/>
      <c r="T613" s="1813"/>
      <c r="U613" s="1813"/>
      <c r="V613" s="1813"/>
      <c r="W613" s="1813"/>
      <c r="X613" s="1813"/>
    </row>
    <row r="614" spans="1:24" ht="15.75" customHeight="1">
      <c r="A614" s="1819"/>
      <c r="B614" s="1819"/>
      <c r="C614" s="1819"/>
      <c r="D614" s="1819"/>
      <c r="E614" s="1819"/>
      <c r="F614" s="1819"/>
      <c r="G614" s="1803"/>
      <c r="H614" s="1813"/>
      <c r="I614" s="1813"/>
      <c r="J614" s="1813"/>
      <c r="K614" s="1813"/>
      <c r="L614" s="1813"/>
      <c r="M614" s="1813"/>
      <c r="N614" s="1813"/>
      <c r="O614" s="1813"/>
      <c r="P614" s="1813"/>
      <c r="Q614" s="1813"/>
      <c r="R614" s="1813"/>
      <c r="S614" s="1813"/>
      <c r="T614" s="1813"/>
      <c r="U614" s="1813"/>
      <c r="V614" s="1813"/>
      <c r="W614" s="1813"/>
      <c r="X614" s="1813"/>
    </row>
    <row r="615" spans="1:24" ht="15.75" customHeight="1">
      <c r="A615" s="1819"/>
      <c r="B615" s="1819"/>
      <c r="C615" s="1819"/>
      <c r="D615" s="1819"/>
      <c r="E615" s="1819"/>
      <c r="F615" s="1819"/>
      <c r="G615" s="1803"/>
      <c r="H615" s="1813"/>
      <c r="I615" s="1813"/>
      <c r="J615" s="1813"/>
      <c r="K615" s="1813"/>
      <c r="L615" s="1813"/>
      <c r="M615" s="1813"/>
      <c r="N615" s="1813"/>
      <c r="O615" s="1813"/>
      <c r="P615" s="1813"/>
      <c r="Q615" s="1813"/>
      <c r="R615" s="1813"/>
      <c r="S615" s="1813"/>
      <c r="T615" s="1813"/>
      <c r="U615" s="1813"/>
      <c r="V615" s="1813"/>
      <c r="W615" s="1813"/>
      <c r="X615" s="1813"/>
    </row>
    <row r="616" spans="1:24" ht="15.75" customHeight="1">
      <c r="A616" s="1819"/>
      <c r="B616" s="1819"/>
      <c r="C616" s="1819"/>
      <c r="D616" s="1819"/>
      <c r="E616" s="1819"/>
      <c r="F616" s="1819"/>
      <c r="G616" s="1803"/>
      <c r="H616" s="1813"/>
      <c r="I616" s="1813"/>
      <c r="J616" s="1813"/>
      <c r="K616" s="1813"/>
      <c r="L616" s="1813"/>
      <c r="M616" s="1813"/>
      <c r="N616" s="1813"/>
      <c r="O616" s="1813"/>
      <c r="P616" s="1813"/>
      <c r="Q616" s="1813"/>
      <c r="R616" s="1813"/>
      <c r="S616" s="1813"/>
      <c r="T616" s="1813"/>
      <c r="U616" s="1813"/>
      <c r="V616" s="1813"/>
      <c r="W616" s="1813"/>
      <c r="X616" s="1813"/>
    </row>
    <row r="617" spans="1:24" ht="15.75" customHeight="1">
      <c r="A617" s="1819"/>
      <c r="B617" s="1819"/>
      <c r="C617" s="1819"/>
      <c r="D617" s="1819"/>
      <c r="E617" s="1819"/>
      <c r="F617" s="1819"/>
      <c r="G617" s="1803"/>
      <c r="H617" s="1813"/>
      <c r="I617" s="1813"/>
      <c r="J617" s="1813"/>
      <c r="K617" s="1813"/>
      <c r="L617" s="1813"/>
      <c r="M617" s="1813"/>
      <c r="N617" s="1813"/>
      <c r="O617" s="1813"/>
      <c r="P617" s="1813"/>
      <c r="Q617" s="1813"/>
      <c r="R617" s="1813"/>
      <c r="S617" s="1813"/>
      <c r="T617" s="1813"/>
      <c r="U617" s="1813"/>
      <c r="V617" s="1813"/>
      <c r="W617" s="1813"/>
      <c r="X617" s="1813"/>
    </row>
    <row r="618" spans="1:24" ht="15.75" customHeight="1">
      <c r="A618" s="1819"/>
      <c r="B618" s="1819"/>
      <c r="C618" s="1819"/>
      <c r="D618" s="1819"/>
      <c r="E618" s="1819"/>
      <c r="F618" s="1819"/>
      <c r="G618" s="1803"/>
      <c r="H618" s="1813"/>
      <c r="I618" s="1813"/>
      <c r="J618" s="1813"/>
      <c r="K618" s="1813"/>
      <c r="L618" s="1813"/>
      <c r="M618" s="1813"/>
      <c r="N618" s="1813"/>
      <c r="O618" s="1813"/>
      <c r="P618" s="1813"/>
      <c r="Q618" s="1813"/>
      <c r="R618" s="1813"/>
      <c r="S618" s="1813"/>
      <c r="T618" s="1813"/>
      <c r="U618" s="1813"/>
      <c r="V618" s="1813"/>
      <c r="W618" s="1813"/>
      <c r="X618" s="1813"/>
    </row>
    <row r="619" spans="1:24" ht="15.75" customHeight="1">
      <c r="A619" s="1819"/>
      <c r="B619" s="1819"/>
      <c r="C619" s="1819"/>
      <c r="D619" s="1819"/>
      <c r="E619" s="1819"/>
      <c r="F619" s="1819"/>
      <c r="G619" s="1803"/>
      <c r="H619" s="1813"/>
      <c r="I619" s="1813"/>
      <c r="J619" s="1813"/>
      <c r="K619" s="1813"/>
      <c r="L619" s="1813"/>
      <c r="M619" s="1813"/>
      <c r="N619" s="1813"/>
      <c r="O619" s="1813"/>
      <c r="P619" s="1813"/>
      <c r="Q619" s="1813"/>
      <c r="R619" s="1813"/>
      <c r="S619" s="1813"/>
      <c r="T619" s="1813"/>
      <c r="U619" s="1813"/>
      <c r="V619" s="1813"/>
      <c r="W619" s="1813"/>
      <c r="X619" s="1813"/>
    </row>
    <row r="620" spans="1:24" ht="15.75" customHeight="1">
      <c r="A620" s="1819"/>
      <c r="B620" s="1819"/>
      <c r="C620" s="1819"/>
      <c r="D620" s="1819"/>
      <c r="E620" s="1819"/>
      <c r="F620" s="1819"/>
      <c r="G620" s="1803"/>
      <c r="H620" s="1813"/>
      <c r="I620" s="1813"/>
      <c r="J620" s="1813"/>
      <c r="K620" s="1813"/>
      <c r="L620" s="1813"/>
      <c r="M620" s="1813"/>
      <c r="N620" s="1813"/>
      <c r="O620" s="1813"/>
      <c r="P620" s="1813"/>
      <c r="Q620" s="1813"/>
      <c r="R620" s="1813"/>
      <c r="S620" s="1813"/>
      <c r="T620" s="1813"/>
      <c r="U620" s="1813"/>
      <c r="V620" s="1813"/>
      <c r="W620" s="1813"/>
      <c r="X620" s="1813"/>
    </row>
    <row r="621" spans="1:24" ht="15.75" customHeight="1">
      <c r="A621" s="1819"/>
      <c r="B621" s="1819"/>
      <c r="C621" s="1819"/>
      <c r="D621" s="1819"/>
      <c r="E621" s="1819"/>
      <c r="F621" s="1819"/>
      <c r="G621" s="1803"/>
      <c r="H621" s="1813"/>
      <c r="I621" s="1813"/>
      <c r="J621" s="1813"/>
      <c r="K621" s="1813"/>
      <c r="L621" s="1813"/>
      <c r="M621" s="1813"/>
      <c r="N621" s="1813"/>
      <c r="O621" s="1813"/>
      <c r="P621" s="1813"/>
      <c r="Q621" s="1813"/>
      <c r="R621" s="1813"/>
      <c r="S621" s="1813"/>
      <c r="T621" s="1813"/>
      <c r="U621" s="1813"/>
      <c r="V621" s="1813"/>
      <c r="W621" s="1813"/>
      <c r="X621" s="1813"/>
    </row>
    <row r="622" spans="1:24" ht="15.75" customHeight="1">
      <c r="A622" s="1819"/>
      <c r="B622" s="1819"/>
      <c r="C622" s="1819"/>
      <c r="D622" s="1819"/>
      <c r="E622" s="1819"/>
      <c r="F622" s="1819"/>
      <c r="G622" s="1803"/>
      <c r="H622" s="1813"/>
      <c r="I622" s="1813"/>
      <c r="J622" s="1813"/>
      <c r="K622" s="1813"/>
      <c r="L622" s="1813"/>
      <c r="M622" s="1813"/>
      <c r="N622" s="1813"/>
      <c r="O622" s="1813"/>
      <c r="P622" s="1813"/>
      <c r="Q622" s="1813"/>
      <c r="R622" s="1813"/>
      <c r="S622" s="1813"/>
      <c r="T622" s="1813"/>
      <c r="U622" s="1813"/>
      <c r="V622" s="1813"/>
      <c r="W622" s="1813"/>
      <c r="X622" s="1813"/>
    </row>
    <row r="623" spans="1:24" ht="15.75" customHeight="1">
      <c r="A623" s="1819"/>
      <c r="B623" s="1819"/>
      <c r="C623" s="1819"/>
      <c r="D623" s="1819"/>
      <c r="E623" s="1819"/>
      <c r="F623" s="1819"/>
      <c r="G623" s="1803"/>
      <c r="H623" s="1813"/>
      <c r="I623" s="1813"/>
      <c r="J623" s="1813"/>
      <c r="K623" s="1813"/>
      <c r="L623" s="1813"/>
      <c r="M623" s="1813"/>
      <c r="N623" s="1813"/>
      <c r="O623" s="1813"/>
      <c r="P623" s="1813"/>
      <c r="Q623" s="1813"/>
      <c r="R623" s="1813"/>
      <c r="S623" s="1813"/>
      <c r="T623" s="1813"/>
      <c r="U623" s="1813"/>
      <c r="V623" s="1813"/>
      <c r="W623" s="1813"/>
      <c r="X623" s="1813"/>
    </row>
    <row r="624" spans="1:24" ht="15.75" customHeight="1">
      <c r="A624" s="1819"/>
      <c r="B624" s="1819"/>
      <c r="C624" s="1819"/>
      <c r="D624" s="1819"/>
      <c r="E624" s="1819"/>
      <c r="F624" s="1819"/>
      <c r="G624" s="1803"/>
      <c r="H624" s="1813"/>
      <c r="I624" s="1813"/>
      <c r="J624" s="1813"/>
      <c r="K624" s="1813"/>
      <c r="L624" s="1813"/>
      <c r="M624" s="1813"/>
      <c r="N624" s="1813"/>
      <c r="O624" s="1813"/>
      <c r="P624" s="1813"/>
      <c r="Q624" s="1813"/>
      <c r="R624" s="1813"/>
      <c r="S624" s="1813"/>
      <c r="T624" s="1813"/>
      <c r="U624" s="1813"/>
      <c r="V624" s="1813"/>
      <c r="W624" s="1813"/>
      <c r="X624" s="1813"/>
    </row>
    <row r="625" spans="1:24" ht="15.75" customHeight="1">
      <c r="A625" s="1819"/>
      <c r="B625" s="1819"/>
      <c r="C625" s="1819"/>
      <c r="D625" s="1819"/>
      <c r="E625" s="1819"/>
      <c r="F625" s="1819"/>
      <c r="G625" s="1803"/>
      <c r="H625" s="1813"/>
      <c r="I625" s="1813"/>
      <c r="J625" s="1813"/>
      <c r="K625" s="1813"/>
      <c r="L625" s="1813"/>
      <c r="M625" s="1813"/>
      <c r="N625" s="1813"/>
      <c r="O625" s="1813"/>
      <c r="P625" s="1813"/>
      <c r="Q625" s="1813"/>
      <c r="R625" s="1813"/>
      <c r="S625" s="1813"/>
      <c r="T625" s="1813"/>
      <c r="U625" s="1813"/>
      <c r="V625" s="1813"/>
      <c r="W625" s="1813"/>
      <c r="X625" s="1813"/>
    </row>
    <row r="626" spans="1:24" ht="15.75" customHeight="1">
      <c r="A626" s="1819"/>
      <c r="B626" s="1819"/>
      <c r="C626" s="1819"/>
      <c r="D626" s="1819"/>
      <c r="E626" s="1819"/>
      <c r="F626" s="1819"/>
      <c r="G626" s="1803"/>
      <c r="H626" s="1813"/>
      <c r="I626" s="1813"/>
      <c r="J626" s="1813"/>
      <c r="K626" s="1813"/>
      <c r="L626" s="1813"/>
      <c r="M626" s="1813"/>
      <c r="N626" s="1813"/>
      <c r="O626" s="1813"/>
      <c r="P626" s="1813"/>
      <c r="Q626" s="1813"/>
      <c r="R626" s="1813"/>
      <c r="S626" s="1813"/>
      <c r="T626" s="1813"/>
      <c r="U626" s="1813"/>
      <c r="V626" s="1813"/>
      <c r="W626" s="1813"/>
      <c r="X626" s="1813"/>
    </row>
    <row r="627" spans="1:24" ht="15.75" customHeight="1">
      <c r="A627" s="1819"/>
      <c r="B627" s="1819"/>
      <c r="C627" s="1819"/>
      <c r="D627" s="1819"/>
      <c r="E627" s="1819"/>
      <c r="F627" s="1819"/>
      <c r="G627" s="1803"/>
      <c r="H627" s="1813"/>
      <c r="I627" s="1813"/>
      <c r="J627" s="1813"/>
      <c r="K627" s="1813"/>
      <c r="L627" s="1813"/>
      <c r="M627" s="1813"/>
      <c r="N627" s="1813"/>
      <c r="O627" s="1813"/>
      <c r="P627" s="1813"/>
      <c r="Q627" s="1813"/>
      <c r="R627" s="1813"/>
      <c r="S627" s="1813"/>
      <c r="T627" s="1813"/>
      <c r="U627" s="1813"/>
      <c r="V627" s="1813"/>
      <c r="W627" s="1813"/>
      <c r="X627" s="1813"/>
    </row>
    <row r="628" spans="1:24" ht="15.75" customHeight="1">
      <c r="A628" s="1819"/>
      <c r="B628" s="1819"/>
      <c r="C628" s="1819"/>
      <c r="D628" s="1819"/>
      <c r="E628" s="1819"/>
      <c r="F628" s="1819"/>
      <c r="G628" s="1803"/>
      <c r="H628" s="1813"/>
      <c r="I628" s="1813"/>
      <c r="J628" s="1813"/>
      <c r="K628" s="1813"/>
      <c r="L628" s="1813"/>
      <c r="M628" s="1813"/>
      <c r="N628" s="1813"/>
      <c r="O628" s="1813"/>
      <c r="P628" s="1813"/>
      <c r="Q628" s="1813"/>
      <c r="R628" s="1813"/>
      <c r="S628" s="1813"/>
      <c r="T628" s="1813"/>
      <c r="U628" s="1813"/>
      <c r="V628" s="1813"/>
      <c r="W628" s="1813"/>
      <c r="X628" s="1813"/>
    </row>
    <row r="629" spans="1:24" ht="15.75" customHeight="1">
      <c r="A629" s="1819"/>
      <c r="B629" s="1819"/>
      <c r="C629" s="1819"/>
      <c r="D629" s="1819"/>
      <c r="E629" s="1819"/>
      <c r="F629" s="1819"/>
      <c r="G629" s="1803"/>
      <c r="H629" s="1813"/>
      <c r="I629" s="1813"/>
      <c r="J629" s="1813"/>
      <c r="K629" s="1813"/>
      <c r="L629" s="1813"/>
      <c r="M629" s="1813"/>
      <c r="N629" s="1813"/>
      <c r="O629" s="1813"/>
      <c r="P629" s="1813"/>
      <c r="Q629" s="1813"/>
      <c r="R629" s="1813"/>
      <c r="S629" s="1813"/>
      <c r="T629" s="1813"/>
      <c r="U629" s="1813"/>
      <c r="V629" s="1813"/>
      <c r="W629" s="1813"/>
      <c r="X629" s="1813"/>
    </row>
    <row r="630" spans="1:24" ht="15.75" customHeight="1">
      <c r="A630" s="1819"/>
      <c r="B630" s="1819"/>
      <c r="C630" s="1819"/>
      <c r="D630" s="1819"/>
      <c r="E630" s="1819"/>
      <c r="F630" s="1819"/>
      <c r="G630" s="1803"/>
      <c r="H630" s="1813"/>
      <c r="I630" s="1813"/>
      <c r="J630" s="1813"/>
      <c r="K630" s="1813"/>
      <c r="L630" s="1813"/>
      <c r="M630" s="1813"/>
      <c r="N630" s="1813"/>
      <c r="O630" s="1813"/>
      <c r="P630" s="1813"/>
      <c r="Q630" s="1813"/>
      <c r="R630" s="1813"/>
      <c r="S630" s="1813"/>
      <c r="T630" s="1813"/>
      <c r="U630" s="1813"/>
      <c r="V630" s="1813"/>
      <c r="W630" s="1813"/>
      <c r="X630" s="1813"/>
    </row>
    <row r="631" spans="1:24" ht="15.75" customHeight="1">
      <c r="A631" s="1819"/>
      <c r="B631" s="1819"/>
      <c r="C631" s="1819"/>
      <c r="D631" s="1819"/>
      <c r="E631" s="1819"/>
      <c r="F631" s="1819"/>
      <c r="G631" s="1803"/>
      <c r="H631" s="1813"/>
      <c r="I631" s="1813"/>
      <c r="J631" s="1813"/>
      <c r="K631" s="1813"/>
      <c r="L631" s="1813"/>
      <c r="M631" s="1813"/>
      <c r="N631" s="1813"/>
      <c r="O631" s="1813"/>
      <c r="P631" s="1813"/>
      <c r="Q631" s="1813"/>
      <c r="R631" s="1813"/>
      <c r="S631" s="1813"/>
      <c r="T631" s="1813"/>
      <c r="U631" s="1813"/>
      <c r="V631" s="1813"/>
      <c r="W631" s="1813"/>
      <c r="X631" s="1813"/>
    </row>
    <row r="632" spans="1:24" ht="15.75" customHeight="1">
      <c r="A632" s="1819"/>
      <c r="B632" s="1819"/>
      <c r="C632" s="1819"/>
      <c r="D632" s="1819"/>
      <c r="E632" s="1819"/>
      <c r="F632" s="1819"/>
      <c r="G632" s="1803"/>
      <c r="H632" s="1813"/>
      <c r="I632" s="1813"/>
      <c r="J632" s="1813"/>
      <c r="K632" s="1813"/>
      <c r="L632" s="1813"/>
      <c r="M632" s="1813"/>
      <c r="N632" s="1813"/>
      <c r="O632" s="1813"/>
      <c r="P632" s="1813"/>
      <c r="Q632" s="1813"/>
      <c r="R632" s="1813"/>
      <c r="S632" s="1813"/>
      <c r="T632" s="1813"/>
      <c r="U632" s="1813"/>
      <c r="V632" s="1813"/>
      <c r="W632" s="1813"/>
      <c r="X632" s="1813"/>
    </row>
    <row r="633" spans="1:24" ht="15.75" customHeight="1">
      <c r="A633" s="1819"/>
      <c r="B633" s="1819"/>
      <c r="C633" s="1819"/>
      <c r="D633" s="1819"/>
      <c r="E633" s="1819"/>
      <c r="F633" s="1819"/>
      <c r="G633" s="1803"/>
      <c r="H633" s="1813"/>
      <c r="I633" s="1813"/>
      <c r="J633" s="1813"/>
      <c r="K633" s="1813"/>
      <c r="L633" s="1813"/>
      <c r="M633" s="1813"/>
      <c r="N633" s="1813"/>
      <c r="O633" s="1813"/>
      <c r="P633" s="1813"/>
      <c r="Q633" s="1813"/>
      <c r="R633" s="1813"/>
      <c r="S633" s="1813"/>
      <c r="T633" s="1813"/>
      <c r="U633" s="1813"/>
      <c r="V633" s="1813"/>
      <c r="W633" s="1813"/>
      <c r="X633" s="1813"/>
    </row>
    <row r="634" spans="1:24" ht="15.75" customHeight="1">
      <c r="A634" s="1819"/>
      <c r="B634" s="1819"/>
      <c r="C634" s="1819"/>
      <c r="D634" s="1819"/>
      <c r="E634" s="1819"/>
      <c r="F634" s="1819"/>
      <c r="G634" s="1803"/>
      <c r="H634" s="1813"/>
      <c r="I634" s="1813"/>
      <c r="J634" s="1813"/>
      <c r="K634" s="1813"/>
      <c r="L634" s="1813"/>
      <c r="M634" s="1813"/>
      <c r="N634" s="1813"/>
      <c r="O634" s="1813"/>
      <c r="P634" s="1813"/>
      <c r="Q634" s="1813"/>
      <c r="R634" s="1813"/>
      <c r="S634" s="1813"/>
      <c r="T634" s="1813"/>
      <c r="U634" s="1813"/>
      <c r="V634" s="1813"/>
      <c r="W634" s="1813"/>
      <c r="X634" s="1813"/>
    </row>
    <row r="635" spans="1:24" ht="15.75" customHeight="1">
      <c r="A635" s="1819"/>
      <c r="B635" s="1819"/>
      <c r="C635" s="1819"/>
      <c r="D635" s="1819"/>
      <c r="E635" s="1819"/>
      <c r="F635" s="1819"/>
      <c r="G635" s="1803"/>
      <c r="H635" s="1813"/>
      <c r="I635" s="1813"/>
      <c r="J635" s="1813"/>
      <c r="K635" s="1813"/>
      <c r="L635" s="1813"/>
      <c r="M635" s="1813"/>
      <c r="N635" s="1813"/>
      <c r="O635" s="1813"/>
      <c r="P635" s="1813"/>
      <c r="Q635" s="1813"/>
      <c r="R635" s="1813"/>
      <c r="S635" s="1813"/>
      <c r="T635" s="1813"/>
      <c r="U635" s="1813"/>
      <c r="V635" s="1813"/>
      <c r="W635" s="1813"/>
      <c r="X635" s="1813"/>
    </row>
    <row r="636" spans="1:24" ht="15.75" customHeight="1">
      <c r="A636" s="1819"/>
      <c r="B636" s="1819"/>
      <c r="C636" s="1819"/>
      <c r="D636" s="1819"/>
      <c r="E636" s="1819"/>
      <c r="F636" s="1819"/>
      <c r="G636" s="1803"/>
      <c r="H636" s="1813"/>
      <c r="I636" s="1813"/>
      <c r="J636" s="1813"/>
      <c r="K636" s="1813"/>
      <c r="L636" s="1813"/>
      <c r="M636" s="1813"/>
      <c r="N636" s="1813"/>
      <c r="O636" s="1813"/>
      <c r="P636" s="1813"/>
      <c r="Q636" s="1813"/>
      <c r="R636" s="1813"/>
      <c r="S636" s="1813"/>
      <c r="T636" s="1813"/>
      <c r="U636" s="1813"/>
      <c r="V636" s="1813"/>
      <c r="W636" s="1813"/>
      <c r="X636" s="1813"/>
    </row>
    <row r="637" spans="1:24" ht="15.75" customHeight="1">
      <c r="A637" s="1819"/>
      <c r="B637" s="1819"/>
      <c r="C637" s="1819"/>
      <c r="D637" s="1819"/>
      <c r="E637" s="1819"/>
      <c r="F637" s="1819"/>
      <c r="G637" s="1803"/>
      <c r="H637" s="1813"/>
      <c r="I637" s="1813"/>
      <c r="J637" s="1813"/>
      <c r="K637" s="1813"/>
      <c r="L637" s="1813"/>
      <c r="M637" s="1813"/>
      <c r="N637" s="1813"/>
      <c r="O637" s="1813"/>
      <c r="P637" s="1813"/>
      <c r="Q637" s="1813"/>
      <c r="R637" s="1813"/>
      <c r="S637" s="1813"/>
      <c r="T637" s="1813"/>
      <c r="U637" s="1813"/>
      <c r="V637" s="1813"/>
      <c r="W637" s="1813"/>
      <c r="X637" s="1813"/>
    </row>
    <row r="638" spans="1:24" ht="15.75" customHeight="1">
      <c r="A638" s="1819"/>
      <c r="B638" s="1819"/>
      <c r="C638" s="1819"/>
      <c r="D638" s="1819"/>
      <c r="E638" s="1819"/>
      <c r="F638" s="1819"/>
      <c r="G638" s="1803"/>
      <c r="H638" s="1813"/>
      <c r="I638" s="1813"/>
      <c r="J638" s="1813"/>
      <c r="K638" s="1813"/>
      <c r="L638" s="1813"/>
      <c r="M638" s="1813"/>
      <c r="N638" s="1813"/>
      <c r="O638" s="1813"/>
      <c r="P638" s="1813"/>
      <c r="Q638" s="1813"/>
      <c r="R638" s="1813"/>
      <c r="S638" s="1813"/>
      <c r="T638" s="1813"/>
      <c r="U638" s="1813"/>
      <c r="V638" s="1813"/>
      <c r="W638" s="1813"/>
      <c r="X638" s="1813"/>
    </row>
    <row r="639" spans="1:24" ht="15.75" customHeight="1">
      <c r="A639" s="1819"/>
      <c r="B639" s="1819"/>
      <c r="C639" s="1819"/>
      <c r="D639" s="1819"/>
      <c r="E639" s="1819"/>
      <c r="F639" s="1819"/>
      <c r="G639" s="1803"/>
      <c r="H639" s="1813"/>
      <c r="I639" s="1813"/>
      <c r="J639" s="1813"/>
      <c r="K639" s="1813"/>
      <c r="L639" s="1813"/>
      <c r="M639" s="1813"/>
      <c r="N639" s="1813"/>
      <c r="O639" s="1813"/>
      <c r="P639" s="1813"/>
      <c r="Q639" s="1813"/>
      <c r="R639" s="1813"/>
      <c r="S639" s="1813"/>
      <c r="T639" s="1813"/>
      <c r="U639" s="1813"/>
      <c r="V639" s="1813"/>
      <c r="W639" s="1813"/>
      <c r="X639" s="1813"/>
    </row>
    <row r="640" spans="1:24" ht="15.75" customHeight="1">
      <c r="A640" s="1819"/>
      <c r="B640" s="1819"/>
      <c r="C640" s="1819"/>
      <c r="D640" s="1819"/>
      <c r="E640" s="1819"/>
      <c r="F640" s="1819"/>
      <c r="G640" s="1803"/>
      <c r="H640" s="1813"/>
      <c r="I640" s="1813"/>
      <c r="J640" s="1813"/>
      <c r="K640" s="1813"/>
      <c r="L640" s="1813"/>
      <c r="M640" s="1813"/>
      <c r="N640" s="1813"/>
      <c r="O640" s="1813"/>
      <c r="P640" s="1813"/>
      <c r="Q640" s="1813"/>
      <c r="R640" s="1813"/>
      <c r="S640" s="1813"/>
      <c r="T640" s="1813"/>
      <c r="U640" s="1813"/>
      <c r="V640" s="1813"/>
      <c r="W640" s="1813"/>
      <c r="X640" s="1813"/>
    </row>
    <row r="641" spans="1:24" ht="15.75" customHeight="1">
      <c r="A641" s="1819"/>
      <c r="B641" s="1819"/>
      <c r="C641" s="1819"/>
      <c r="D641" s="1819"/>
      <c r="E641" s="1819"/>
      <c r="F641" s="1819"/>
      <c r="G641" s="1803"/>
      <c r="H641" s="1813"/>
      <c r="I641" s="1813"/>
      <c r="J641" s="1813"/>
      <c r="K641" s="1813"/>
      <c r="L641" s="1813"/>
      <c r="M641" s="1813"/>
      <c r="N641" s="1813"/>
      <c r="O641" s="1813"/>
      <c r="P641" s="1813"/>
      <c r="Q641" s="1813"/>
      <c r="R641" s="1813"/>
      <c r="S641" s="1813"/>
      <c r="T641" s="1813"/>
      <c r="U641" s="1813"/>
      <c r="V641" s="1813"/>
      <c r="W641" s="1813"/>
      <c r="X641" s="1813"/>
    </row>
    <row r="642" spans="1:24" ht="15.75" customHeight="1">
      <c r="A642" s="1819"/>
      <c r="B642" s="1819"/>
      <c r="C642" s="1819"/>
      <c r="D642" s="1819"/>
      <c r="E642" s="1819"/>
      <c r="F642" s="1819"/>
      <c r="G642" s="1803"/>
      <c r="H642" s="1813"/>
      <c r="I642" s="1813"/>
      <c r="J642" s="1813"/>
      <c r="K642" s="1813"/>
      <c r="L642" s="1813"/>
      <c r="M642" s="1813"/>
      <c r="N642" s="1813"/>
      <c r="O642" s="1813"/>
      <c r="P642" s="1813"/>
      <c r="Q642" s="1813"/>
      <c r="R642" s="1813"/>
      <c r="S642" s="1813"/>
      <c r="T642" s="1813"/>
      <c r="U642" s="1813"/>
      <c r="V642" s="1813"/>
      <c r="W642" s="1813"/>
      <c r="X642" s="1813"/>
    </row>
    <row r="643" spans="1:24" ht="15.75" customHeight="1">
      <c r="A643" s="1819"/>
      <c r="B643" s="1819"/>
      <c r="C643" s="1819"/>
      <c r="D643" s="1819"/>
      <c r="E643" s="1819"/>
      <c r="F643" s="1819"/>
      <c r="G643" s="1803"/>
      <c r="H643" s="1813"/>
      <c r="I643" s="1813"/>
      <c r="J643" s="1813"/>
      <c r="K643" s="1813"/>
      <c r="L643" s="1813"/>
      <c r="M643" s="1813"/>
      <c r="N643" s="1813"/>
      <c r="O643" s="1813"/>
      <c r="P643" s="1813"/>
      <c r="Q643" s="1813"/>
      <c r="R643" s="1813"/>
      <c r="S643" s="1813"/>
      <c r="T643" s="1813"/>
      <c r="U643" s="1813"/>
      <c r="V643" s="1813"/>
      <c r="W643" s="1813"/>
      <c r="X643" s="1813"/>
    </row>
    <row r="644" spans="1:24" ht="15.75" customHeight="1">
      <c r="A644" s="1819"/>
      <c r="B644" s="1819"/>
      <c r="C644" s="1819"/>
      <c r="D644" s="1819"/>
      <c r="E644" s="1819"/>
      <c r="F644" s="1819"/>
      <c r="G644" s="1803"/>
      <c r="H644" s="1813"/>
      <c r="I644" s="1813"/>
      <c r="J644" s="1813"/>
      <c r="K644" s="1813"/>
      <c r="L644" s="1813"/>
      <c r="M644" s="1813"/>
      <c r="N644" s="1813"/>
      <c r="O644" s="1813"/>
      <c r="P644" s="1813"/>
      <c r="Q644" s="1813"/>
      <c r="R644" s="1813"/>
      <c r="S644" s="1813"/>
      <c r="T644" s="1813"/>
      <c r="U644" s="1813"/>
      <c r="V644" s="1813"/>
      <c r="W644" s="1813"/>
      <c r="X644" s="1813"/>
    </row>
    <row r="645" spans="1:24" ht="15.75" customHeight="1">
      <c r="A645" s="1819"/>
      <c r="B645" s="1819"/>
      <c r="C645" s="1819"/>
      <c r="D645" s="1819"/>
      <c r="E645" s="1819"/>
      <c r="F645" s="1819"/>
      <c r="G645" s="1803"/>
      <c r="H645" s="1813"/>
      <c r="I645" s="1813"/>
      <c r="J645" s="1813"/>
      <c r="K645" s="1813"/>
      <c r="L645" s="1813"/>
      <c r="M645" s="1813"/>
      <c r="N645" s="1813"/>
      <c r="O645" s="1813"/>
      <c r="P645" s="1813"/>
      <c r="Q645" s="1813"/>
      <c r="R645" s="1813"/>
      <c r="S645" s="1813"/>
      <c r="T645" s="1813"/>
      <c r="U645" s="1813"/>
      <c r="V645" s="1813"/>
      <c r="W645" s="1813"/>
      <c r="X645" s="1813"/>
    </row>
    <row r="646" spans="1:24" ht="15.75" customHeight="1">
      <c r="A646" s="1819"/>
      <c r="B646" s="1819"/>
      <c r="C646" s="1819"/>
      <c r="D646" s="1819"/>
      <c r="E646" s="1819"/>
      <c r="F646" s="1819"/>
      <c r="G646" s="1803"/>
      <c r="H646" s="1813"/>
      <c r="I646" s="1813"/>
      <c r="J646" s="1813"/>
      <c r="K646" s="1813"/>
      <c r="L646" s="1813"/>
      <c r="M646" s="1813"/>
      <c r="N646" s="1813"/>
      <c r="O646" s="1813"/>
      <c r="P646" s="1813"/>
      <c r="Q646" s="1813"/>
      <c r="R646" s="1813"/>
      <c r="S646" s="1813"/>
      <c r="T646" s="1813"/>
      <c r="U646" s="1813"/>
      <c r="V646" s="1813"/>
      <c r="W646" s="1813"/>
      <c r="X646" s="1813"/>
    </row>
    <row r="647" spans="1:24" ht="15.75" customHeight="1">
      <c r="A647" s="1819"/>
      <c r="B647" s="1819"/>
      <c r="C647" s="1819"/>
      <c r="D647" s="1819"/>
      <c r="E647" s="1819"/>
      <c r="F647" s="1819"/>
      <c r="G647" s="1803"/>
      <c r="H647" s="1813"/>
      <c r="I647" s="1813"/>
      <c r="J647" s="1813"/>
      <c r="K647" s="1813"/>
      <c r="L647" s="1813"/>
      <c r="M647" s="1813"/>
      <c r="N647" s="1813"/>
      <c r="O647" s="1813"/>
      <c r="P647" s="1813"/>
      <c r="Q647" s="1813"/>
      <c r="R647" s="1813"/>
      <c r="S647" s="1813"/>
      <c r="T647" s="1813"/>
      <c r="U647" s="1813"/>
      <c r="V647" s="1813"/>
      <c r="W647" s="1813"/>
      <c r="X647" s="1813"/>
    </row>
    <row r="648" spans="1:24" ht="15.75" customHeight="1">
      <c r="A648" s="1819"/>
      <c r="B648" s="1819"/>
      <c r="C648" s="1819"/>
      <c r="D648" s="1819"/>
      <c r="E648" s="1819"/>
      <c r="F648" s="1819"/>
      <c r="G648" s="1803"/>
      <c r="H648" s="1813"/>
      <c r="I648" s="1813"/>
      <c r="J648" s="1813"/>
      <c r="K648" s="1813"/>
      <c r="L648" s="1813"/>
      <c r="M648" s="1813"/>
      <c r="N648" s="1813"/>
      <c r="O648" s="1813"/>
      <c r="P648" s="1813"/>
      <c r="Q648" s="1813"/>
      <c r="R648" s="1813"/>
      <c r="S648" s="1813"/>
      <c r="T648" s="1813"/>
      <c r="U648" s="1813"/>
      <c r="V648" s="1813"/>
      <c r="W648" s="1813"/>
      <c r="X648" s="1813"/>
    </row>
    <row r="649" spans="1:24" ht="15.75" customHeight="1">
      <c r="A649" s="1819"/>
      <c r="B649" s="1819"/>
      <c r="C649" s="1819"/>
      <c r="D649" s="1819"/>
      <c r="E649" s="1819"/>
      <c r="F649" s="1819"/>
      <c r="G649" s="1803"/>
      <c r="H649" s="1813"/>
      <c r="I649" s="1813"/>
      <c r="J649" s="1813"/>
      <c r="K649" s="1813"/>
      <c r="L649" s="1813"/>
      <c r="M649" s="1813"/>
      <c r="N649" s="1813"/>
      <c r="O649" s="1813"/>
      <c r="P649" s="1813"/>
      <c r="Q649" s="1813"/>
      <c r="R649" s="1813"/>
      <c r="S649" s="1813"/>
      <c r="T649" s="1813"/>
      <c r="U649" s="1813"/>
      <c r="V649" s="1813"/>
      <c r="W649" s="1813"/>
      <c r="X649" s="1813"/>
    </row>
    <row r="650" spans="1:24" ht="15.75" customHeight="1">
      <c r="A650" s="1819"/>
      <c r="B650" s="1819"/>
      <c r="C650" s="1819"/>
      <c r="D650" s="1819"/>
      <c r="E650" s="1819"/>
      <c r="F650" s="1819"/>
      <c r="G650" s="1803"/>
      <c r="H650" s="1813"/>
      <c r="I650" s="1813"/>
      <c r="J650" s="1813"/>
      <c r="K650" s="1813"/>
      <c r="L650" s="1813"/>
      <c r="M650" s="1813"/>
      <c r="N650" s="1813"/>
      <c r="O650" s="1813"/>
      <c r="P650" s="1813"/>
      <c r="Q650" s="1813"/>
      <c r="R650" s="1813"/>
      <c r="S650" s="1813"/>
      <c r="T650" s="1813"/>
      <c r="U650" s="1813"/>
      <c r="V650" s="1813"/>
      <c r="W650" s="1813"/>
      <c r="X650" s="1813"/>
    </row>
    <row r="651" spans="1:24" ht="15.75" customHeight="1">
      <c r="A651" s="1819"/>
      <c r="B651" s="1819"/>
      <c r="C651" s="1819"/>
      <c r="D651" s="1819"/>
      <c r="E651" s="1819"/>
      <c r="F651" s="1819"/>
      <c r="G651" s="1803"/>
      <c r="H651" s="1813"/>
      <c r="I651" s="1813"/>
      <c r="J651" s="1813"/>
      <c r="K651" s="1813"/>
      <c r="L651" s="1813"/>
      <c r="M651" s="1813"/>
      <c r="N651" s="1813"/>
      <c r="O651" s="1813"/>
      <c r="P651" s="1813"/>
      <c r="Q651" s="1813"/>
      <c r="R651" s="1813"/>
      <c r="S651" s="1813"/>
      <c r="T651" s="1813"/>
      <c r="U651" s="1813"/>
      <c r="V651" s="1813"/>
      <c r="W651" s="1813"/>
      <c r="X651" s="1813"/>
    </row>
    <row r="652" spans="1:24" ht="15.75" customHeight="1">
      <c r="A652" s="1819"/>
      <c r="B652" s="1819"/>
      <c r="C652" s="1819"/>
      <c r="D652" s="1819"/>
      <c r="E652" s="1819"/>
      <c r="F652" s="1819"/>
      <c r="G652" s="1803"/>
      <c r="H652" s="1813"/>
      <c r="I652" s="1813"/>
      <c r="J652" s="1813"/>
      <c r="K652" s="1813"/>
      <c r="L652" s="1813"/>
      <c r="M652" s="1813"/>
      <c r="N652" s="1813"/>
      <c r="O652" s="1813"/>
      <c r="P652" s="1813"/>
      <c r="Q652" s="1813"/>
      <c r="R652" s="1813"/>
      <c r="S652" s="1813"/>
      <c r="T652" s="1813"/>
      <c r="U652" s="1813"/>
      <c r="V652" s="1813"/>
      <c r="W652" s="1813"/>
      <c r="X652" s="1813"/>
    </row>
    <row r="653" spans="1:24" ht="15.75" customHeight="1">
      <c r="A653" s="1819"/>
      <c r="B653" s="1819"/>
      <c r="C653" s="1819"/>
      <c r="D653" s="1819"/>
      <c r="E653" s="1819"/>
      <c r="F653" s="1819"/>
      <c r="G653" s="1803"/>
      <c r="H653" s="1813"/>
      <c r="I653" s="1813"/>
      <c r="J653" s="1813"/>
      <c r="K653" s="1813"/>
      <c r="L653" s="1813"/>
      <c r="M653" s="1813"/>
      <c r="N653" s="1813"/>
      <c r="O653" s="1813"/>
      <c r="P653" s="1813"/>
      <c r="Q653" s="1813"/>
      <c r="R653" s="1813"/>
      <c r="S653" s="1813"/>
      <c r="T653" s="1813"/>
      <c r="U653" s="1813"/>
      <c r="V653" s="1813"/>
      <c r="W653" s="1813"/>
      <c r="X653" s="1813"/>
    </row>
    <row r="654" spans="1:24" ht="15.75" customHeight="1">
      <c r="A654" s="1819"/>
      <c r="B654" s="1819"/>
      <c r="C654" s="1819"/>
      <c r="D654" s="1819"/>
      <c r="E654" s="1819"/>
      <c r="F654" s="1819"/>
      <c r="G654" s="1803"/>
      <c r="H654" s="1813"/>
      <c r="I654" s="1813"/>
      <c r="J654" s="1813"/>
      <c r="K654" s="1813"/>
      <c r="L654" s="1813"/>
      <c r="M654" s="1813"/>
      <c r="N654" s="1813"/>
      <c r="O654" s="1813"/>
      <c r="P654" s="1813"/>
      <c r="Q654" s="1813"/>
      <c r="R654" s="1813"/>
      <c r="S654" s="1813"/>
      <c r="T654" s="1813"/>
      <c r="U654" s="1813"/>
      <c r="V654" s="1813"/>
      <c r="W654" s="1813"/>
      <c r="X654" s="1813"/>
    </row>
    <row r="655" spans="1:24" ht="15.75" customHeight="1">
      <c r="A655" s="1819"/>
      <c r="B655" s="1819"/>
      <c r="C655" s="1819"/>
      <c r="D655" s="1819"/>
      <c r="E655" s="1819"/>
      <c r="F655" s="1819"/>
      <c r="G655" s="1803"/>
      <c r="H655" s="1813"/>
      <c r="I655" s="1813"/>
      <c r="J655" s="1813"/>
      <c r="K655" s="1813"/>
      <c r="L655" s="1813"/>
      <c r="M655" s="1813"/>
      <c r="N655" s="1813"/>
      <c r="O655" s="1813"/>
      <c r="P655" s="1813"/>
      <c r="Q655" s="1813"/>
      <c r="R655" s="1813"/>
      <c r="S655" s="1813"/>
      <c r="T655" s="1813"/>
      <c r="U655" s="1813"/>
      <c r="V655" s="1813"/>
      <c r="W655" s="1813"/>
      <c r="X655" s="1813"/>
    </row>
    <row r="656" spans="1:24" ht="15.75" customHeight="1">
      <c r="A656" s="1819"/>
      <c r="B656" s="1819"/>
      <c r="C656" s="1819"/>
      <c r="D656" s="1819"/>
      <c r="E656" s="1819"/>
      <c r="F656" s="1819"/>
      <c r="G656" s="1803"/>
      <c r="H656" s="1813"/>
      <c r="I656" s="1813"/>
      <c r="J656" s="1813"/>
      <c r="K656" s="1813"/>
      <c r="L656" s="1813"/>
      <c r="M656" s="1813"/>
      <c r="N656" s="1813"/>
      <c r="O656" s="1813"/>
      <c r="P656" s="1813"/>
      <c r="Q656" s="1813"/>
      <c r="R656" s="1813"/>
      <c r="S656" s="1813"/>
      <c r="T656" s="1813"/>
      <c r="U656" s="1813"/>
      <c r="V656" s="1813"/>
      <c r="W656" s="1813"/>
      <c r="X656" s="1813"/>
    </row>
    <row r="657" spans="1:24" ht="15.75" customHeight="1">
      <c r="A657" s="1819"/>
      <c r="B657" s="1819"/>
      <c r="C657" s="1819"/>
      <c r="D657" s="1819"/>
      <c r="E657" s="1819"/>
      <c r="F657" s="1819"/>
      <c r="G657" s="1803"/>
      <c r="H657" s="1813"/>
      <c r="I657" s="1813"/>
      <c r="J657" s="1813"/>
      <c r="K657" s="1813"/>
      <c r="L657" s="1813"/>
      <c r="M657" s="1813"/>
      <c r="N657" s="1813"/>
      <c r="O657" s="1813"/>
      <c r="P657" s="1813"/>
      <c r="Q657" s="1813"/>
      <c r="R657" s="1813"/>
      <c r="S657" s="1813"/>
      <c r="T657" s="1813"/>
      <c r="U657" s="1813"/>
      <c r="V657" s="1813"/>
      <c r="W657" s="1813"/>
      <c r="X657" s="1813"/>
    </row>
    <row r="658" spans="1:24" ht="15.75" customHeight="1">
      <c r="A658" s="1819"/>
      <c r="B658" s="1819"/>
      <c r="C658" s="1819"/>
      <c r="D658" s="1819"/>
      <c r="E658" s="1819"/>
      <c r="F658" s="1819"/>
      <c r="G658" s="1803"/>
      <c r="H658" s="1813"/>
      <c r="I658" s="1813"/>
      <c r="J658" s="1813"/>
      <c r="K658" s="1813"/>
      <c r="L658" s="1813"/>
      <c r="M658" s="1813"/>
      <c r="N658" s="1813"/>
      <c r="O658" s="1813"/>
      <c r="P658" s="1813"/>
      <c r="Q658" s="1813"/>
      <c r="R658" s="1813"/>
      <c r="S658" s="1813"/>
      <c r="T658" s="1813"/>
      <c r="U658" s="1813"/>
      <c r="V658" s="1813"/>
      <c r="W658" s="1813"/>
      <c r="X658" s="1813"/>
    </row>
    <row r="659" spans="1:24" ht="15.75" customHeight="1">
      <c r="A659" s="1819"/>
      <c r="B659" s="1819"/>
      <c r="C659" s="1819"/>
      <c r="D659" s="1819"/>
      <c r="E659" s="1819"/>
      <c r="F659" s="1819"/>
      <c r="G659" s="1803"/>
      <c r="H659" s="1813"/>
      <c r="I659" s="1813"/>
      <c r="J659" s="1813"/>
      <c r="K659" s="1813"/>
      <c r="L659" s="1813"/>
      <c r="M659" s="1813"/>
      <c r="N659" s="1813"/>
      <c r="O659" s="1813"/>
      <c r="P659" s="1813"/>
      <c r="Q659" s="1813"/>
      <c r="R659" s="1813"/>
      <c r="S659" s="1813"/>
      <c r="T659" s="1813"/>
      <c r="U659" s="1813"/>
      <c r="V659" s="1813"/>
      <c r="W659" s="1813"/>
      <c r="X659" s="1813"/>
    </row>
    <row r="660" spans="1:24" ht="15.75" customHeight="1">
      <c r="A660" s="1819"/>
      <c r="B660" s="1819"/>
      <c r="C660" s="1819"/>
      <c r="D660" s="1819"/>
      <c r="E660" s="1819"/>
      <c r="F660" s="1819"/>
      <c r="G660" s="1803"/>
      <c r="H660" s="1813"/>
      <c r="I660" s="1813"/>
      <c r="J660" s="1813"/>
      <c r="K660" s="1813"/>
      <c r="L660" s="1813"/>
      <c r="M660" s="1813"/>
      <c r="N660" s="1813"/>
      <c r="O660" s="1813"/>
      <c r="P660" s="1813"/>
      <c r="Q660" s="1813"/>
      <c r="R660" s="1813"/>
      <c r="S660" s="1813"/>
      <c r="T660" s="1813"/>
      <c r="U660" s="1813"/>
      <c r="V660" s="1813"/>
      <c r="W660" s="1813"/>
      <c r="X660" s="1813"/>
    </row>
    <row r="661" spans="1:24" ht="15.75" customHeight="1">
      <c r="A661" s="1819"/>
      <c r="B661" s="1819"/>
      <c r="C661" s="1819"/>
      <c r="D661" s="1819"/>
      <c r="E661" s="1819"/>
      <c r="F661" s="1819"/>
      <c r="G661" s="1803"/>
      <c r="H661" s="1813"/>
      <c r="I661" s="1813"/>
      <c r="J661" s="1813"/>
      <c r="K661" s="1813"/>
      <c r="L661" s="1813"/>
      <c r="M661" s="1813"/>
      <c r="N661" s="1813"/>
      <c r="O661" s="1813"/>
      <c r="P661" s="1813"/>
      <c r="Q661" s="1813"/>
      <c r="R661" s="1813"/>
      <c r="S661" s="1813"/>
      <c r="T661" s="1813"/>
      <c r="U661" s="1813"/>
      <c r="V661" s="1813"/>
      <c r="W661" s="1813"/>
      <c r="X661" s="1813"/>
    </row>
    <row r="662" spans="1:24" ht="15.75" customHeight="1">
      <c r="A662" s="1819"/>
      <c r="B662" s="1819"/>
      <c r="C662" s="1819"/>
      <c r="D662" s="1819"/>
      <c r="E662" s="1819"/>
      <c r="F662" s="1819"/>
      <c r="G662" s="1803"/>
      <c r="H662" s="1813"/>
      <c r="I662" s="1813"/>
      <c r="J662" s="1813"/>
      <c r="K662" s="1813"/>
      <c r="L662" s="1813"/>
      <c r="M662" s="1813"/>
      <c r="N662" s="1813"/>
      <c r="O662" s="1813"/>
      <c r="P662" s="1813"/>
      <c r="Q662" s="1813"/>
      <c r="R662" s="1813"/>
      <c r="S662" s="1813"/>
      <c r="T662" s="1813"/>
      <c r="U662" s="1813"/>
      <c r="V662" s="1813"/>
      <c r="W662" s="1813"/>
      <c r="X662" s="1813"/>
    </row>
    <row r="663" spans="1:24" ht="15.75" customHeight="1">
      <c r="A663" s="1819"/>
      <c r="B663" s="1819"/>
      <c r="C663" s="1819"/>
      <c r="D663" s="1819"/>
      <c r="E663" s="1819"/>
      <c r="F663" s="1819"/>
      <c r="G663" s="1803"/>
      <c r="H663" s="1813"/>
      <c r="I663" s="1813"/>
      <c r="J663" s="1813"/>
      <c r="K663" s="1813"/>
      <c r="L663" s="1813"/>
      <c r="M663" s="1813"/>
      <c r="N663" s="1813"/>
      <c r="O663" s="1813"/>
      <c r="P663" s="1813"/>
      <c r="Q663" s="1813"/>
      <c r="R663" s="1813"/>
      <c r="S663" s="1813"/>
      <c r="T663" s="1813"/>
      <c r="U663" s="1813"/>
      <c r="V663" s="1813"/>
      <c r="W663" s="1813"/>
      <c r="X663" s="1813"/>
    </row>
    <row r="664" spans="1:24" ht="15.75" customHeight="1">
      <c r="A664" s="1819"/>
      <c r="B664" s="1819"/>
      <c r="C664" s="1819"/>
      <c r="D664" s="1819"/>
      <c r="E664" s="1819"/>
      <c r="F664" s="1819"/>
      <c r="G664" s="1803"/>
      <c r="H664" s="1813"/>
      <c r="I664" s="1813"/>
      <c r="J664" s="1813"/>
      <c r="K664" s="1813"/>
      <c r="L664" s="1813"/>
      <c r="M664" s="1813"/>
      <c r="N664" s="1813"/>
      <c r="O664" s="1813"/>
      <c r="P664" s="1813"/>
      <c r="Q664" s="1813"/>
      <c r="R664" s="1813"/>
      <c r="S664" s="1813"/>
      <c r="T664" s="1813"/>
      <c r="U664" s="1813"/>
      <c r="V664" s="1813"/>
      <c r="W664" s="1813"/>
      <c r="X664" s="1813"/>
    </row>
    <row r="665" spans="1:24" ht="15.75" customHeight="1">
      <c r="A665" s="1819"/>
      <c r="B665" s="1819"/>
      <c r="C665" s="1819"/>
      <c r="D665" s="1819"/>
      <c r="E665" s="1819"/>
      <c r="F665" s="1819"/>
      <c r="G665" s="1803"/>
      <c r="H665" s="1813"/>
      <c r="I665" s="1813"/>
      <c r="J665" s="1813"/>
      <c r="K665" s="1813"/>
      <c r="L665" s="1813"/>
      <c r="M665" s="1813"/>
      <c r="N665" s="1813"/>
      <c r="O665" s="1813"/>
      <c r="P665" s="1813"/>
      <c r="Q665" s="1813"/>
      <c r="R665" s="1813"/>
      <c r="S665" s="1813"/>
      <c r="T665" s="1813"/>
      <c r="U665" s="1813"/>
      <c r="V665" s="1813"/>
      <c r="W665" s="1813"/>
      <c r="X665" s="1813"/>
    </row>
    <row r="666" spans="1:24" ht="15.75" customHeight="1">
      <c r="A666" s="1819"/>
      <c r="B666" s="1819"/>
      <c r="C666" s="1819"/>
      <c r="D666" s="1819"/>
      <c r="E666" s="1819"/>
      <c r="F666" s="1819"/>
      <c r="G666" s="1803"/>
      <c r="H666" s="1813"/>
      <c r="I666" s="1813"/>
      <c r="J666" s="1813"/>
      <c r="K666" s="1813"/>
      <c r="L666" s="1813"/>
      <c r="M666" s="1813"/>
      <c r="N666" s="1813"/>
      <c r="O666" s="1813"/>
      <c r="P666" s="1813"/>
      <c r="Q666" s="1813"/>
      <c r="R666" s="1813"/>
      <c r="S666" s="1813"/>
      <c r="T666" s="1813"/>
      <c r="U666" s="1813"/>
      <c r="V666" s="1813"/>
      <c r="W666" s="1813"/>
      <c r="X666" s="1813"/>
    </row>
    <row r="667" spans="1:24" ht="15.75" customHeight="1">
      <c r="A667" s="1819"/>
      <c r="B667" s="1819"/>
      <c r="C667" s="1819"/>
      <c r="D667" s="1819"/>
      <c r="E667" s="1819"/>
      <c r="F667" s="1819"/>
      <c r="G667" s="1803"/>
      <c r="H667" s="1813"/>
      <c r="I667" s="1813"/>
      <c r="J667" s="1813"/>
      <c r="K667" s="1813"/>
      <c r="L667" s="1813"/>
      <c r="M667" s="1813"/>
      <c r="N667" s="1813"/>
      <c r="O667" s="1813"/>
      <c r="P667" s="1813"/>
      <c r="Q667" s="1813"/>
      <c r="R667" s="1813"/>
      <c r="S667" s="1813"/>
      <c r="T667" s="1813"/>
      <c r="U667" s="1813"/>
      <c r="V667" s="1813"/>
      <c r="W667" s="1813"/>
      <c r="X667" s="1813"/>
    </row>
    <row r="668" spans="1:24" ht="15.75" customHeight="1">
      <c r="A668" s="1819"/>
      <c r="B668" s="1819"/>
      <c r="C668" s="1819"/>
      <c r="D668" s="1819"/>
      <c r="E668" s="1819"/>
      <c r="F668" s="1819"/>
      <c r="G668" s="1803"/>
      <c r="H668" s="1813"/>
      <c r="I668" s="1813"/>
      <c r="J668" s="1813"/>
      <c r="K668" s="1813"/>
      <c r="L668" s="1813"/>
      <c r="M668" s="1813"/>
      <c r="N668" s="1813"/>
      <c r="O668" s="1813"/>
      <c r="P668" s="1813"/>
      <c r="Q668" s="1813"/>
      <c r="R668" s="1813"/>
      <c r="S668" s="1813"/>
      <c r="T668" s="1813"/>
      <c r="U668" s="1813"/>
      <c r="V668" s="1813"/>
      <c r="W668" s="1813"/>
      <c r="X668" s="1813"/>
    </row>
    <row r="669" spans="1:24" ht="15.75" customHeight="1">
      <c r="A669" s="1819"/>
      <c r="B669" s="1819"/>
      <c r="C669" s="1819"/>
      <c r="D669" s="1819"/>
      <c r="E669" s="1819"/>
      <c r="F669" s="1819"/>
      <c r="G669" s="1803"/>
      <c r="H669" s="1813"/>
      <c r="I669" s="1813"/>
      <c r="J669" s="1813"/>
      <c r="K669" s="1813"/>
      <c r="L669" s="1813"/>
      <c r="M669" s="1813"/>
      <c r="N669" s="1813"/>
      <c r="O669" s="1813"/>
      <c r="P669" s="1813"/>
      <c r="Q669" s="1813"/>
      <c r="R669" s="1813"/>
      <c r="S669" s="1813"/>
      <c r="T669" s="1813"/>
      <c r="U669" s="1813"/>
      <c r="V669" s="1813"/>
      <c r="W669" s="1813"/>
      <c r="X669" s="1813"/>
    </row>
    <row r="670" spans="1:24" ht="15.75" customHeight="1">
      <c r="A670" s="1819"/>
      <c r="B670" s="1819"/>
      <c r="C670" s="1819"/>
      <c r="D670" s="1819"/>
      <c r="E670" s="1819"/>
      <c r="F670" s="1819"/>
      <c r="G670" s="1803"/>
      <c r="H670" s="1813"/>
      <c r="I670" s="1813"/>
      <c r="J670" s="1813"/>
      <c r="K670" s="1813"/>
      <c r="L670" s="1813"/>
      <c r="M670" s="1813"/>
      <c r="N670" s="1813"/>
      <c r="O670" s="1813"/>
      <c r="P670" s="1813"/>
      <c r="Q670" s="1813"/>
      <c r="R670" s="1813"/>
      <c r="S670" s="1813"/>
      <c r="T670" s="1813"/>
      <c r="U670" s="1813"/>
      <c r="V670" s="1813"/>
      <c r="W670" s="1813"/>
      <c r="X670" s="1813"/>
    </row>
    <row r="671" spans="1:24" ht="15.75" customHeight="1">
      <c r="A671" s="1819"/>
      <c r="B671" s="1819"/>
      <c r="C671" s="1819"/>
      <c r="D671" s="1819"/>
      <c r="E671" s="1819"/>
      <c r="F671" s="1819"/>
      <c r="G671" s="1803"/>
      <c r="H671" s="1813"/>
      <c r="I671" s="1813"/>
      <c r="J671" s="1813"/>
      <c r="K671" s="1813"/>
      <c r="L671" s="1813"/>
      <c r="M671" s="1813"/>
      <c r="N671" s="1813"/>
      <c r="O671" s="1813"/>
      <c r="P671" s="1813"/>
      <c r="Q671" s="1813"/>
      <c r="R671" s="1813"/>
      <c r="S671" s="1813"/>
      <c r="T671" s="1813"/>
      <c r="U671" s="1813"/>
      <c r="V671" s="1813"/>
      <c r="W671" s="1813"/>
      <c r="X671" s="1813"/>
    </row>
    <row r="672" spans="1:24" ht="15.75" customHeight="1">
      <c r="A672" s="1819"/>
      <c r="B672" s="1819"/>
      <c r="C672" s="1819"/>
      <c r="D672" s="1819"/>
      <c r="E672" s="1819"/>
      <c r="F672" s="1819"/>
      <c r="G672" s="1803"/>
      <c r="H672" s="1813"/>
      <c r="I672" s="1813"/>
      <c r="J672" s="1813"/>
      <c r="K672" s="1813"/>
      <c r="L672" s="1813"/>
      <c r="M672" s="1813"/>
      <c r="N672" s="1813"/>
      <c r="O672" s="1813"/>
      <c r="P672" s="1813"/>
      <c r="Q672" s="1813"/>
      <c r="R672" s="1813"/>
      <c r="S672" s="1813"/>
      <c r="T672" s="1813"/>
      <c r="U672" s="1813"/>
      <c r="V672" s="1813"/>
      <c r="W672" s="1813"/>
      <c r="X672" s="1813"/>
    </row>
    <row r="673" spans="1:24" ht="15.75" customHeight="1">
      <c r="A673" s="1819"/>
      <c r="B673" s="1819"/>
      <c r="C673" s="1819"/>
      <c r="D673" s="1819"/>
      <c r="E673" s="1819"/>
      <c r="F673" s="1819"/>
      <c r="G673" s="1803"/>
      <c r="H673" s="1813"/>
      <c r="I673" s="1813"/>
      <c r="J673" s="1813"/>
      <c r="K673" s="1813"/>
      <c r="L673" s="1813"/>
      <c r="M673" s="1813"/>
      <c r="N673" s="1813"/>
      <c r="O673" s="1813"/>
      <c r="P673" s="1813"/>
      <c r="Q673" s="1813"/>
      <c r="R673" s="1813"/>
      <c r="S673" s="1813"/>
      <c r="T673" s="1813"/>
      <c r="U673" s="1813"/>
      <c r="V673" s="1813"/>
      <c r="W673" s="1813"/>
      <c r="X673" s="1813"/>
    </row>
    <row r="674" spans="1:24" ht="15.75" customHeight="1">
      <c r="A674" s="1819"/>
      <c r="B674" s="1819"/>
      <c r="C674" s="1819"/>
      <c r="D674" s="1819"/>
      <c r="E674" s="1819"/>
      <c r="F674" s="1819"/>
      <c r="G674" s="1803"/>
      <c r="H674" s="1813"/>
      <c r="I674" s="1813"/>
      <c r="J674" s="1813"/>
      <c r="K674" s="1813"/>
      <c r="L674" s="1813"/>
      <c r="M674" s="1813"/>
      <c r="N674" s="1813"/>
      <c r="O674" s="1813"/>
      <c r="P674" s="1813"/>
      <c r="Q674" s="1813"/>
      <c r="R674" s="1813"/>
      <c r="S674" s="1813"/>
      <c r="T674" s="1813"/>
      <c r="U674" s="1813"/>
      <c r="V674" s="1813"/>
      <c r="W674" s="1813"/>
      <c r="X674" s="1813"/>
    </row>
    <row r="675" spans="1:24" ht="15.75" customHeight="1">
      <c r="A675" s="1819"/>
      <c r="B675" s="1819"/>
      <c r="C675" s="1819"/>
      <c r="D675" s="1819"/>
      <c r="E675" s="1819"/>
      <c r="F675" s="1819"/>
      <c r="G675" s="1803"/>
      <c r="H675" s="1813"/>
      <c r="I675" s="1813"/>
      <c r="J675" s="1813"/>
      <c r="K675" s="1813"/>
      <c r="L675" s="1813"/>
      <c r="M675" s="1813"/>
      <c r="N675" s="1813"/>
      <c r="O675" s="1813"/>
      <c r="P675" s="1813"/>
      <c r="Q675" s="1813"/>
      <c r="R675" s="1813"/>
      <c r="S675" s="1813"/>
      <c r="T675" s="1813"/>
      <c r="U675" s="1813"/>
      <c r="V675" s="1813"/>
      <c r="W675" s="1813"/>
      <c r="X675" s="1813"/>
    </row>
    <row r="676" spans="1:24" ht="15.75" customHeight="1">
      <c r="A676" s="1819"/>
      <c r="B676" s="1819"/>
      <c r="C676" s="1819"/>
      <c r="D676" s="1819"/>
      <c r="E676" s="1819"/>
      <c r="F676" s="1819"/>
      <c r="G676" s="1803"/>
      <c r="H676" s="1813"/>
      <c r="I676" s="1813"/>
      <c r="J676" s="1813"/>
      <c r="K676" s="1813"/>
      <c r="L676" s="1813"/>
      <c r="M676" s="1813"/>
      <c r="N676" s="1813"/>
      <c r="O676" s="1813"/>
      <c r="P676" s="1813"/>
      <c r="Q676" s="1813"/>
      <c r="R676" s="1813"/>
      <c r="S676" s="1813"/>
      <c r="T676" s="1813"/>
      <c r="U676" s="1813"/>
      <c r="V676" s="1813"/>
      <c r="W676" s="1813"/>
      <c r="X676" s="1813"/>
    </row>
    <row r="677" spans="1:24" ht="15.75" customHeight="1">
      <c r="A677" s="1819"/>
      <c r="B677" s="1819"/>
      <c r="C677" s="1819"/>
      <c r="D677" s="1819"/>
      <c r="E677" s="1819"/>
      <c r="F677" s="1819"/>
      <c r="G677" s="1803"/>
      <c r="H677" s="1813"/>
      <c r="I677" s="1813"/>
      <c r="J677" s="1813"/>
      <c r="K677" s="1813"/>
      <c r="L677" s="1813"/>
      <c r="M677" s="1813"/>
      <c r="N677" s="1813"/>
      <c r="O677" s="1813"/>
      <c r="P677" s="1813"/>
      <c r="Q677" s="1813"/>
      <c r="R677" s="1813"/>
      <c r="S677" s="1813"/>
      <c r="T677" s="1813"/>
      <c r="U677" s="1813"/>
      <c r="V677" s="1813"/>
      <c r="W677" s="1813"/>
      <c r="X677" s="1813"/>
    </row>
    <row r="678" spans="1:24" ht="15.75" customHeight="1">
      <c r="A678" s="1819"/>
      <c r="B678" s="1819"/>
      <c r="C678" s="1819"/>
      <c r="D678" s="1819"/>
      <c r="E678" s="1819"/>
      <c r="F678" s="1819"/>
      <c r="G678" s="1803"/>
      <c r="H678" s="1813"/>
      <c r="I678" s="1813"/>
      <c r="J678" s="1813"/>
      <c r="K678" s="1813"/>
      <c r="L678" s="1813"/>
      <c r="M678" s="1813"/>
      <c r="N678" s="1813"/>
      <c r="O678" s="1813"/>
      <c r="P678" s="1813"/>
      <c r="Q678" s="1813"/>
      <c r="R678" s="1813"/>
      <c r="S678" s="1813"/>
      <c r="T678" s="1813"/>
      <c r="U678" s="1813"/>
      <c r="V678" s="1813"/>
      <c r="W678" s="1813"/>
      <c r="X678" s="1813"/>
    </row>
    <row r="679" spans="1:24" ht="15.75" customHeight="1">
      <c r="A679" s="1819"/>
      <c r="B679" s="1819"/>
      <c r="C679" s="1819"/>
      <c r="D679" s="1819"/>
      <c r="E679" s="1819"/>
      <c r="F679" s="1819"/>
      <c r="G679" s="1803"/>
      <c r="H679" s="1813"/>
      <c r="I679" s="1813"/>
      <c r="J679" s="1813"/>
      <c r="K679" s="1813"/>
      <c r="L679" s="1813"/>
      <c r="M679" s="1813"/>
      <c r="N679" s="1813"/>
      <c r="O679" s="1813"/>
      <c r="P679" s="1813"/>
      <c r="Q679" s="1813"/>
      <c r="R679" s="1813"/>
      <c r="S679" s="1813"/>
      <c r="T679" s="1813"/>
      <c r="U679" s="1813"/>
      <c r="V679" s="1813"/>
      <c r="W679" s="1813"/>
      <c r="X679" s="1813"/>
    </row>
    <row r="680" spans="1:24" ht="15.75" customHeight="1">
      <c r="A680" s="1819"/>
      <c r="B680" s="1819"/>
      <c r="C680" s="1819"/>
      <c r="D680" s="1819"/>
      <c r="E680" s="1819"/>
      <c r="F680" s="1819"/>
      <c r="G680" s="1803"/>
      <c r="H680" s="1813"/>
      <c r="I680" s="1813"/>
      <c r="J680" s="1813"/>
      <c r="K680" s="1813"/>
      <c r="L680" s="1813"/>
      <c r="M680" s="1813"/>
      <c r="N680" s="1813"/>
      <c r="O680" s="1813"/>
      <c r="P680" s="1813"/>
      <c r="Q680" s="1813"/>
      <c r="R680" s="1813"/>
      <c r="S680" s="1813"/>
      <c r="T680" s="1813"/>
      <c r="U680" s="1813"/>
      <c r="V680" s="1813"/>
      <c r="W680" s="1813"/>
      <c r="X680" s="1813"/>
    </row>
    <row r="681" spans="1:24" ht="15.75" customHeight="1">
      <c r="A681" s="1819"/>
      <c r="B681" s="1819"/>
      <c r="C681" s="1819"/>
      <c r="D681" s="1819"/>
      <c r="E681" s="1819"/>
      <c r="F681" s="1819"/>
      <c r="G681" s="1803"/>
      <c r="H681" s="1813"/>
      <c r="I681" s="1813"/>
      <c r="J681" s="1813"/>
      <c r="K681" s="1813"/>
      <c r="L681" s="1813"/>
      <c r="M681" s="1813"/>
      <c r="N681" s="1813"/>
      <c r="O681" s="1813"/>
      <c r="P681" s="1813"/>
      <c r="Q681" s="1813"/>
      <c r="R681" s="1813"/>
      <c r="S681" s="1813"/>
      <c r="T681" s="1813"/>
      <c r="U681" s="1813"/>
      <c r="V681" s="1813"/>
      <c r="W681" s="1813"/>
      <c r="X681" s="1813"/>
    </row>
    <row r="682" spans="1:24" ht="15.75" customHeight="1">
      <c r="A682" s="1819"/>
      <c r="B682" s="1819"/>
      <c r="C682" s="1819"/>
      <c r="D682" s="1819"/>
      <c r="E682" s="1819"/>
      <c r="F682" s="1819"/>
      <c r="G682" s="1803"/>
      <c r="H682" s="1813"/>
      <c r="I682" s="1813"/>
      <c r="J682" s="1813"/>
      <c r="K682" s="1813"/>
      <c r="L682" s="1813"/>
      <c r="M682" s="1813"/>
      <c r="N682" s="1813"/>
      <c r="O682" s="1813"/>
      <c r="P682" s="1813"/>
      <c r="Q682" s="1813"/>
      <c r="R682" s="1813"/>
      <c r="S682" s="1813"/>
      <c r="T682" s="1813"/>
      <c r="U682" s="1813"/>
      <c r="V682" s="1813"/>
      <c r="W682" s="1813"/>
      <c r="X682" s="1813"/>
    </row>
    <row r="683" spans="1:24" ht="15.75" customHeight="1">
      <c r="A683" s="1819"/>
      <c r="B683" s="1819"/>
      <c r="C683" s="1819"/>
      <c r="D683" s="1819"/>
      <c r="E683" s="1819"/>
      <c r="F683" s="1819"/>
      <c r="G683" s="1803"/>
      <c r="H683" s="1813"/>
      <c r="I683" s="1813"/>
      <c r="J683" s="1813"/>
      <c r="K683" s="1813"/>
      <c r="L683" s="1813"/>
      <c r="M683" s="1813"/>
      <c r="N683" s="1813"/>
      <c r="O683" s="1813"/>
      <c r="P683" s="1813"/>
      <c r="Q683" s="1813"/>
      <c r="R683" s="1813"/>
      <c r="S683" s="1813"/>
      <c r="T683" s="1813"/>
      <c r="U683" s="1813"/>
      <c r="V683" s="1813"/>
      <c r="W683" s="1813"/>
      <c r="X683" s="1813"/>
    </row>
    <row r="684" spans="1:24" ht="15.75" customHeight="1">
      <c r="A684" s="1819"/>
      <c r="B684" s="1819"/>
      <c r="C684" s="1819"/>
      <c r="D684" s="1819"/>
      <c r="E684" s="1819"/>
      <c r="F684" s="1819"/>
      <c r="G684" s="1803"/>
      <c r="H684" s="1813"/>
      <c r="I684" s="1813"/>
      <c r="J684" s="1813"/>
      <c r="K684" s="1813"/>
      <c r="L684" s="1813"/>
      <c r="M684" s="1813"/>
      <c r="N684" s="1813"/>
      <c r="O684" s="1813"/>
      <c r="P684" s="1813"/>
      <c r="Q684" s="1813"/>
      <c r="R684" s="1813"/>
      <c r="S684" s="1813"/>
      <c r="T684" s="1813"/>
      <c r="U684" s="1813"/>
      <c r="V684" s="1813"/>
      <c r="W684" s="1813"/>
      <c r="X684" s="1813"/>
    </row>
    <row r="685" spans="1:24" ht="15.75" customHeight="1">
      <c r="A685" s="1819"/>
      <c r="B685" s="1819"/>
      <c r="C685" s="1819"/>
      <c r="D685" s="1819"/>
      <c r="E685" s="1819"/>
      <c r="F685" s="1819"/>
      <c r="G685" s="1803"/>
      <c r="H685" s="1813"/>
      <c r="I685" s="1813"/>
      <c r="J685" s="1813"/>
      <c r="K685" s="1813"/>
      <c r="L685" s="1813"/>
      <c r="M685" s="1813"/>
      <c r="N685" s="1813"/>
      <c r="O685" s="1813"/>
      <c r="P685" s="1813"/>
      <c r="Q685" s="1813"/>
      <c r="R685" s="1813"/>
      <c r="S685" s="1813"/>
      <c r="T685" s="1813"/>
      <c r="U685" s="1813"/>
      <c r="V685" s="1813"/>
      <c r="W685" s="1813"/>
      <c r="X685" s="1813"/>
    </row>
    <row r="686" spans="1:24" ht="15.75" customHeight="1">
      <c r="A686" s="1819"/>
      <c r="B686" s="1819"/>
      <c r="C686" s="1819"/>
      <c r="D686" s="1819"/>
      <c r="E686" s="1819"/>
      <c r="F686" s="1819"/>
      <c r="G686" s="1803"/>
      <c r="H686" s="1813"/>
      <c r="I686" s="1813"/>
      <c r="J686" s="1813"/>
      <c r="K686" s="1813"/>
      <c r="L686" s="1813"/>
      <c r="M686" s="1813"/>
      <c r="N686" s="1813"/>
      <c r="O686" s="1813"/>
      <c r="P686" s="1813"/>
      <c r="Q686" s="1813"/>
      <c r="R686" s="1813"/>
      <c r="S686" s="1813"/>
      <c r="T686" s="1813"/>
      <c r="U686" s="1813"/>
      <c r="V686" s="1813"/>
      <c r="W686" s="1813"/>
      <c r="X686" s="1813"/>
    </row>
    <row r="687" spans="1:24" ht="15.75" customHeight="1">
      <c r="A687" s="1819"/>
      <c r="B687" s="1819"/>
      <c r="C687" s="1819"/>
      <c r="D687" s="1819"/>
      <c r="E687" s="1819"/>
      <c r="F687" s="1819"/>
      <c r="G687" s="1803"/>
      <c r="H687" s="1813"/>
      <c r="I687" s="1813"/>
      <c r="J687" s="1813"/>
      <c r="K687" s="1813"/>
      <c r="L687" s="1813"/>
      <c r="M687" s="1813"/>
      <c r="N687" s="1813"/>
      <c r="O687" s="1813"/>
      <c r="P687" s="1813"/>
      <c r="Q687" s="1813"/>
      <c r="R687" s="1813"/>
      <c r="S687" s="1813"/>
      <c r="T687" s="1813"/>
      <c r="U687" s="1813"/>
      <c r="V687" s="1813"/>
      <c r="W687" s="1813"/>
      <c r="X687" s="1813"/>
    </row>
    <row r="688" spans="1:24" ht="15.75" customHeight="1">
      <c r="A688" s="1819"/>
      <c r="B688" s="1819"/>
      <c r="C688" s="1819"/>
      <c r="D688" s="1819"/>
      <c r="E688" s="1819"/>
      <c r="F688" s="1819"/>
      <c r="G688" s="1803"/>
      <c r="H688" s="1813"/>
      <c r="I688" s="1813"/>
      <c r="J688" s="1813"/>
      <c r="K688" s="1813"/>
      <c r="L688" s="1813"/>
      <c r="M688" s="1813"/>
      <c r="N688" s="1813"/>
      <c r="O688" s="1813"/>
      <c r="P688" s="1813"/>
      <c r="Q688" s="1813"/>
      <c r="R688" s="1813"/>
      <c r="S688" s="1813"/>
      <c r="T688" s="1813"/>
      <c r="U688" s="1813"/>
      <c r="V688" s="1813"/>
      <c r="W688" s="1813"/>
      <c r="X688" s="1813"/>
    </row>
    <row r="689" spans="1:24" ht="15.75" customHeight="1">
      <c r="A689" s="1819"/>
      <c r="B689" s="1819"/>
      <c r="C689" s="1819"/>
      <c r="D689" s="1819"/>
      <c r="E689" s="1819"/>
      <c r="F689" s="1819"/>
      <c r="G689" s="1803"/>
      <c r="H689" s="1813"/>
      <c r="I689" s="1813"/>
      <c r="J689" s="1813"/>
      <c r="K689" s="1813"/>
      <c r="L689" s="1813"/>
      <c r="M689" s="1813"/>
      <c r="N689" s="1813"/>
      <c r="O689" s="1813"/>
      <c r="P689" s="1813"/>
      <c r="Q689" s="1813"/>
      <c r="R689" s="1813"/>
      <c r="S689" s="1813"/>
      <c r="T689" s="1813"/>
      <c r="U689" s="1813"/>
      <c r="V689" s="1813"/>
      <c r="W689" s="1813"/>
      <c r="X689" s="1813"/>
    </row>
    <row r="690" spans="1:24" ht="15.75" customHeight="1">
      <c r="A690" s="1819"/>
      <c r="B690" s="1819"/>
      <c r="C690" s="1819"/>
      <c r="D690" s="1819"/>
      <c r="E690" s="1819"/>
      <c r="F690" s="1819"/>
      <c r="G690" s="1803"/>
      <c r="H690" s="1813"/>
      <c r="I690" s="1813"/>
      <c r="J690" s="1813"/>
      <c r="K690" s="1813"/>
      <c r="L690" s="1813"/>
      <c r="M690" s="1813"/>
      <c r="N690" s="1813"/>
      <c r="O690" s="1813"/>
      <c r="P690" s="1813"/>
      <c r="Q690" s="1813"/>
      <c r="R690" s="1813"/>
      <c r="S690" s="1813"/>
      <c r="T690" s="1813"/>
      <c r="U690" s="1813"/>
      <c r="V690" s="1813"/>
      <c r="W690" s="1813"/>
      <c r="X690" s="1813"/>
    </row>
    <row r="691" spans="1:24" ht="15.75" customHeight="1">
      <c r="A691" s="1819"/>
      <c r="B691" s="1819"/>
      <c r="C691" s="1819"/>
      <c r="D691" s="1819"/>
      <c r="E691" s="1819"/>
      <c r="F691" s="1819"/>
      <c r="G691" s="1803"/>
      <c r="H691" s="1813"/>
      <c r="I691" s="1813"/>
      <c r="J691" s="1813"/>
      <c r="K691" s="1813"/>
      <c r="L691" s="1813"/>
      <c r="M691" s="1813"/>
      <c r="N691" s="1813"/>
      <c r="O691" s="1813"/>
      <c r="P691" s="1813"/>
      <c r="Q691" s="1813"/>
      <c r="R691" s="1813"/>
      <c r="S691" s="1813"/>
      <c r="T691" s="1813"/>
      <c r="U691" s="1813"/>
      <c r="V691" s="1813"/>
      <c r="W691" s="1813"/>
      <c r="X691" s="1813"/>
    </row>
    <row r="692" spans="1:24" ht="15.75" customHeight="1">
      <c r="A692" s="1819"/>
      <c r="B692" s="1819"/>
      <c r="C692" s="1819"/>
      <c r="D692" s="1819"/>
      <c r="E692" s="1819"/>
      <c r="F692" s="1819"/>
      <c r="G692" s="1803"/>
      <c r="H692" s="1813"/>
      <c r="I692" s="1813"/>
      <c r="J692" s="1813"/>
      <c r="K692" s="1813"/>
      <c r="L692" s="1813"/>
      <c r="M692" s="1813"/>
      <c r="N692" s="1813"/>
      <c r="O692" s="1813"/>
      <c r="P692" s="1813"/>
      <c r="Q692" s="1813"/>
      <c r="R692" s="1813"/>
      <c r="S692" s="1813"/>
      <c r="T692" s="1813"/>
      <c r="U692" s="1813"/>
      <c r="V692" s="1813"/>
      <c r="W692" s="1813"/>
      <c r="X692" s="1813"/>
    </row>
    <row r="693" spans="1:24" ht="15.75" customHeight="1">
      <c r="A693" s="1819"/>
      <c r="B693" s="1819"/>
      <c r="C693" s="1819"/>
      <c r="D693" s="1819"/>
      <c r="E693" s="1819"/>
      <c r="F693" s="1819"/>
      <c r="G693" s="1803"/>
      <c r="H693" s="1813"/>
      <c r="I693" s="1813"/>
      <c r="J693" s="1813"/>
      <c r="K693" s="1813"/>
      <c r="L693" s="1813"/>
      <c r="M693" s="1813"/>
      <c r="N693" s="1813"/>
      <c r="O693" s="1813"/>
      <c r="P693" s="1813"/>
      <c r="Q693" s="1813"/>
      <c r="R693" s="1813"/>
      <c r="S693" s="1813"/>
      <c r="T693" s="1813"/>
      <c r="U693" s="1813"/>
      <c r="V693" s="1813"/>
      <c r="W693" s="1813"/>
      <c r="X693" s="1813"/>
    </row>
    <row r="694" spans="1:24" ht="15.75" customHeight="1">
      <c r="A694" s="1819"/>
      <c r="B694" s="1819"/>
      <c r="C694" s="1819"/>
      <c r="D694" s="1819"/>
      <c r="E694" s="1819"/>
      <c r="F694" s="1819"/>
      <c r="G694" s="1803"/>
      <c r="H694" s="1813"/>
      <c r="I694" s="1813"/>
      <c r="J694" s="1813"/>
      <c r="K694" s="1813"/>
      <c r="L694" s="1813"/>
      <c r="M694" s="1813"/>
      <c r="N694" s="1813"/>
      <c r="O694" s="1813"/>
      <c r="P694" s="1813"/>
      <c r="Q694" s="1813"/>
      <c r="R694" s="1813"/>
      <c r="S694" s="1813"/>
      <c r="T694" s="1813"/>
      <c r="U694" s="1813"/>
      <c r="V694" s="1813"/>
      <c r="W694" s="1813"/>
      <c r="X694" s="1813"/>
    </row>
    <row r="695" spans="1:24" ht="15.75" customHeight="1">
      <c r="A695" s="1819"/>
      <c r="B695" s="1819"/>
      <c r="C695" s="1819"/>
      <c r="D695" s="1819"/>
      <c r="E695" s="1819"/>
      <c r="F695" s="1819"/>
      <c r="G695" s="1803"/>
      <c r="H695" s="1813"/>
      <c r="I695" s="1813"/>
      <c r="J695" s="1813"/>
      <c r="K695" s="1813"/>
      <c r="L695" s="1813"/>
      <c r="M695" s="1813"/>
      <c r="N695" s="1813"/>
      <c r="O695" s="1813"/>
      <c r="P695" s="1813"/>
      <c r="Q695" s="1813"/>
      <c r="R695" s="1813"/>
      <c r="S695" s="1813"/>
      <c r="T695" s="1813"/>
      <c r="U695" s="1813"/>
      <c r="V695" s="1813"/>
      <c r="W695" s="1813"/>
      <c r="X695" s="1813"/>
    </row>
    <row r="696" spans="1:24" ht="15.75" customHeight="1">
      <c r="A696" s="1819"/>
      <c r="B696" s="1819"/>
      <c r="C696" s="1819"/>
      <c r="D696" s="1819"/>
      <c r="E696" s="1819"/>
      <c r="F696" s="1819"/>
      <c r="G696" s="1803"/>
      <c r="H696" s="1813"/>
      <c r="I696" s="1813"/>
      <c r="J696" s="1813"/>
      <c r="K696" s="1813"/>
      <c r="L696" s="1813"/>
      <c r="M696" s="1813"/>
      <c r="N696" s="1813"/>
      <c r="O696" s="1813"/>
      <c r="P696" s="1813"/>
      <c r="Q696" s="1813"/>
      <c r="R696" s="1813"/>
      <c r="S696" s="1813"/>
      <c r="T696" s="1813"/>
      <c r="U696" s="1813"/>
      <c r="V696" s="1813"/>
      <c r="W696" s="1813"/>
      <c r="X696" s="1813"/>
    </row>
    <row r="697" spans="1:24" ht="15.75" customHeight="1">
      <c r="A697" s="1819"/>
      <c r="B697" s="1819"/>
      <c r="C697" s="1819"/>
      <c r="D697" s="1819"/>
      <c r="E697" s="1819"/>
      <c r="F697" s="1819"/>
      <c r="G697" s="1803"/>
      <c r="H697" s="1813"/>
      <c r="I697" s="1813"/>
      <c r="J697" s="1813"/>
      <c r="K697" s="1813"/>
      <c r="L697" s="1813"/>
      <c r="M697" s="1813"/>
      <c r="N697" s="1813"/>
      <c r="O697" s="1813"/>
      <c r="P697" s="1813"/>
      <c r="Q697" s="1813"/>
      <c r="R697" s="1813"/>
      <c r="S697" s="1813"/>
      <c r="T697" s="1813"/>
      <c r="U697" s="1813"/>
      <c r="V697" s="1813"/>
      <c r="W697" s="1813"/>
      <c r="X697" s="1813"/>
    </row>
    <row r="698" spans="1:24" ht="15.75" customHeight="1">
      <c r="A698" s="1819"/>
      <c r="B698" s="1819"/>
      <c r="C698" s="1819"/>
      <c r="D698" s="1819"/>
      <c r="E698" s="1819"/>
      <c r="F698" s="1819"/>
      <c r="G698" s="1803"/>
      <c r="H698" s="1813"/>
      <c r="I698" s="1813"/>
      <c r="J698" s="1813"/>
      <c r="K698" s="1813"/>
      <c r="L698" s="1813"/>
      <c r="M698" s="1813"/>
      <c r="N698" s="1813"/>
      <c r="O698" s="1813"/>
      <c r="P698" s="1813"/>
      <c r="Q698" s="1813"/>
      <c r="R698" s="1813"/>
      <c r="S698" s="1813"/>
      <c r="T698" s="1813"/>
      <c r="U698" s="1813"/>
      <c r="V698" s="1813"/>
      <c r="W698" s="1813"/>
      <c r="X698" s="1813"/>
    </row>
    <row r="699" spans="1:24" ht="15.75" customHeight="1">
      <c r="A699" s="1819"/>
      <c r="B699" s="1819"/>
      <c r="C699" s="1819"/>
      <c r="D699" s="1819"/>
      <c r="E699" s="1819"/>
      <c r="F699" s="1819"/>
      <c r="G699" s="1803"/>
      <c r="H699" s="1813"/>
      <c r="I699" s="1813"/>
      <c r="J699" s="1813"/>
      <c r="K699" s="1813"/>
      <c r="L699" s="1813"/>
      <c r="M699" s="1813"/>
      <c r="N699" s="1813"/>
      <c r="O699" s="1813"/>
      <c r="P699" s="1813"/>
      <c r="Q699" s="1813"/>
      <c r="R699" s="1813"/>
      <c r="S699" s="1813"/>
      <c r="T699" s="1813"/>
      <c r="U699" s="1813"/>
      <c r="V699" s="1813"/>
      <c r="W699" s="1813"/>
      <c r="X699" s="1813"/>
    </row>
    <row r="700" spans="1:24" ht="15.75" customHeight="1">
      <c r="A700" s="1819"/>
      <c r="B700" s="1819"/>
      <c r="C700" s="1819"/>
      <c r="D700" s="1819"/>
      <c r="E700" s="1819"/>
      <c r="F700" s="1819"/>
      <c r="G700" s="1803"/>
      <c r="H700" s="1813"/>
      <c r="I700" s="1813"/>
      <c r="J700" s="1813"/>
      <c r="K700" s="1813"/>
      <c r="L700" s="1813"/>
      <c r="M700" s="1813"/>
      <c r="N700" s="1813"/>
      <c r="O700" s="1813"/>
      <c r="P700" s="1813"/>
      <c r="Q700" s="1813"/>
      <c r="R700" s="1813"/>
      <c r="S700" s="1813"/>
      <c r="T700" s="1813"/>
      <c r="U700" s="1813"/>
      <c r="V700" s="1813"/>
      <c r="W700" s="1813"/>
      <c r="X700" s="1813"/>
    </row>
    <row r="701" spans="1:24" ht="15.75" customHeight="1">
      <c r="A701" s="1819"/>
      <c r="B701" s="1819"/>
      <c r="C701" s="1819"/>
      <c r="D701" s="1819"/>
      <c r="E701" s="1819"/>
      <c r="F701" s="1819"/>
      <c r="G701" s="1803"/>
      <c r="H701" s="1813"/>
      <c r="I701" s="1813"/>
      <c r="J701" s="1813"/>
      <c r="K701" s="1813"/>
      <c r="L701" s="1813"/>
      <c r="M701" s="1813"/>
      <c r="N701" s="1813"/>
      <c r="O701" s="1813"/>
      <c r="P701" s="1813"/>
      <c r="Q701" s="1813"/>
      <c r="R701" s="1813"/>
      <c r="S701" s="1813"/>
      <c r="T701" s="1813"/>
      <c r="U701" s="1813"/>
      <c r="V701" s="1813"/>
      <c r="W701" s="1813"/>
      <c r="X701" s="1813"/>
    </row>
    <row r="702" spans="1:24" ht="15.75" customHeight="1">
      <c r="A702" s="1819"/>
      <c r="B702" s="1819"/>
      <c r="C702" s="1819"/>
      <c r="D702" s="1819"/>
      <c r="E702" s="1819"/>
      <c r="F702" s="1819"/>
      <c r="G702" s="1803"/>
      <c r="H702" s="1813"/>
      <c r="I702" s="1813"/>
      <c r="J702" s="1813"/>
      <c r="K702" s="1813"/>
      <c r="L702" s="1813"/>
      <c r="M702" s="1813"/>
      <c r="N702" s="1813"/>
      <c r="O702" s="1813"/>
      <c r="P702" s="1813"/>
      <c r="Q702" s="1813"/>
      <c r="R702" s="1813"/>
      <c r="S702" s="1813"/>
      <c r="T702" s="1813"/>
      <c r="U702" s="1813"/>
      <c r="V702" s="1813"/>
      <c r="W702" s="1813"/>
      <c r="X702" s="1813"/>
    </row>
    <row r="703" spans="1:24" ht="15.75" customHeight="1">
      <c r="A703" s="1819"/>
      <c r="B703" s="1819"/>
      <c r="C703" s="1819"/>
      <c r="D703" s="1819"/>
      <c r="E703" s="1819"/>
      <c r="F703" s="1819"/>
      <c r="G703" s="1803"/>
      <c r="H703" s="1813"/>
      <c r="I703" s="1813"/>
      <c r="J703" s="1813"/>
      <c r="K703" s="1813"/>
      <c r="L703" s="1813"/>
      <c r="M703" s="1813"/>
      <c r="N703" s="1813"/>
      <c r="O703" s="1813"/>
      <c r="P703" s="1813"/>
      <c r="Q703" s="1813"/>
      <c r="R703" s="1813"/>
      <c r="S703" s="1813"/>
      <c r="T703" s="1813"/>
      <c r="U703" s="1813"/>
      <c r="V703" s="1813"/>
      <c r="W703" s="1813"/>
      <c r="X703" s="1813"/>
    </row>
    <row r="704" spans="1:24" ht="15.75" customHeight="1">
      <c r="A704" s="1819"/>
      <c r="B704" s="1819"/>
      <c r="C704" s="1819"/>
      <c r="D704" s="1819"/>
      <c r="E704" s="1819"/>
      <c r="F704" s="1819"/>
      <c r="G704" s="1803"/>
      <c r="H704" s="1813"/>
      <c r="I704" s="1813"/>
      <c r="J704" s="1813"/>
      <c r="K704" s="1813"/>
      <c r="L704" s="1813"/>
      <c r="M704" s="1813"/>
      <c r="N704" s="1813"/>
      <c r="O704" s="1813"/>
      <c r="P704" s="1813"/>
      <c r="Q704" s="1813"/>
      <c r="R704" s="1813"/>
      <c r="S704" s="1813"/>
      <c r="T704" s="1813"/>
      <c r="U704" s="1813"/>
      <c r="V704" s="1813"/>
      <c r="W704" s="1813"/>
      <c r="X704" s="1813"/>
    </row>
    <row r="705" spans="1:24" ht="15.75" customHeight="1">
      <c r="A705" s="1819"/>
      <c r="B705" s="1819"/>
      <c r="C705" s="1819"/>
      <c r="D705" s="1819"/>
      <c r="E705" s="1819"/>
      <c r="F705" s="1819"/>
      <c r="G705" s="1803"/>
      <c r="H705" s="1813"/>
      <c r="I705" s="1813"/>
      <c r="J705" s="1813"/>
      <c r="K705" s="1813"/>
      <c r="L705" s="1813"/>
      <c r="M705" s="1813"/>
      <c r="N705" s="1813"/>
      <c r="O705" s="1813"/>
      <c r="P705" s="1813"/>
      <c r="Q705" s="1813"/>
      <c r="R705" s="1813"/>
      <c r="S705" s="1813"/>
      <c r="T705" s="1813"/>
      <c r="U705" s="1813"/>
      <c r="V705" s="1813"/>
      <c r="W705" s="1813"/>
      <c r="X705" s="1813"/>
    </row>
    <row r="706" spans="1:24" ht="15.75" customHeight="1">
      <c r="A706" s="1819"/>
      <c r="B706" s="1819"/>
      <c r="C706" s="1819"/>
      <c r="D706" s="1819"/>
      <c r="E706" s="1819"/>
      <c r="F706" s="1819"/>
      <c r="G706" s="1803"/>
      <c r="H706" s="1813"/>
      <c r="I706" s="1813"/>
      <c r="J706" s="1813"/>
      <c r="K706" s="1813"/>
      <c r="L706" s="1813"/>
      <c r="M706" s="1813"/>
      <c r="N706" s="1813"/>
      <c r="O706" s="1813"/>
      <c r="P706" s="1813"/>
      <c r="Q706" s="1813"/>
      <c r="R706" s="1813"/>
      <c r="S706" s="1813"/>
      <c r="T706" s="1813"/>
      <c r="U706" s="1813"/>
      <c r="V706" s="1813"/>
      <c r="W706" s="1813"/>
      <c r="X706" s="1813"/>
    </row>
    <row r="707" spans="1:24" ht="15.75" customHeight="1">
      <c r="A707" s="1819"/>
      <c r="B707" s="1819"/>
      <c r="C707" s="1819"/>
      <c r="D707" s="1819"/>
      <c r="E707" s="1819"/>
      <c r="F707" s="1819"/>
      <c r="G707" s="1803"/>
      <c r="H707" s="1813"/>
      <c r="I707" s="1813"/>
      <c r="J707" s="1813"/>
      <c r="K707" s="1813"/>
      <c r="L707" s="1813"/>
      <c r="M707" s="1813"/>
      <c r="N707" s="1813"/>
      <c r="O707" s="1813"/>
      <c r="P707" s="1813"/>
      <c r="Q707" s="1813"/>
      <c r="R707" s="1813"/>
      <c r="S707" s="1813"/>
      <c r="T707" s="1813"/>
      <c r="U707" s="1813"/>
      <c r="V707" s="1813"/>
      <c r="W707" s="1813"/>
      <c r="X707" s="1813"/>
    </row>
    <row r="708" spans="1:24" ht="15.75" customHeight="1">
      <c r="A708" s="1819"/>
      <c r="B708" s="1819"/>
      <c r="C708" s="1819"/>
      <c r="D708" s="1819"/>
      <c r="E708" s="1819"/>
      <c r="F708" s="1819"/>
      <c r="G708" s="1803"/>
      <c r="H708" s="1813"/>
      <c r="I708" s="1813"/>
      <c r="J708" s="1813"/>
      <c r="K708" s="1813"/>
      <c r="L708" s="1813"/>
      <c r="M708" s="1813"/>
      <c r="N708" s="1813"/>
      <c r="O708" s="1813"/>
      <c r="P708" s="1813"/>
      <c r="Q708" s="1813"/>
      <c r="R708" s="1813"/>
      <c r="S708" s="1813"/>
      <c r="T708" s="1813"/>
      <c r="U708" s="1813"/>
      <c r="V708" s="1813"/>
      <c r="W708" s="1813"/>
      <c r="X708" s="1813"/>
    </row>
    <row r="709" spans="1:24" ht="15.75" customHeight="1">
      <c r="A709" s="1819"/>
      <c r="B709" s="1819"/>
      <c r="C709" s="1819"/>
      <c r="D709" s="1819"/>
      <c r="E709" s="1819"/>
      <c r="F709" s="1819"/>
      <c r="G709" s="1803"/>
      <c r="H709" s="1813"/>
      <c r="I709" s="1813"/>
      <c r="J709" s="1813"/>
      <c r="K709" s="1813"/>
      <c r="L709" s="1813"/>
      <c r="M709" s="1813"/>
      <c r="N709" s="1813"/>
      <c r="O709" s="1813"/>
      <c r="P709" s="1813"/>
      <c r="Q709" s="1813"/>
      <c r="R709" s="1813"/>
      <c r="S709" s="1813"/>
      <c r="T709" s="1813"/>
      <c r="U709" s="1813"/>
      <c r="V709" s="1813"/>
      <c r="W709" s="1813"/>
      <c r="X709" s="1813"/>
    </row>
    <row r="710" spans="1:24" ht="15.75" customHeight="1">
      <c r="A710" s="1819"/>
      <c r="B710" s="1819"/>
      <c r="C710" s="1819"/>
      <c r="D710" s="1819"/>
      <c r="E710" s="1819"/>
      <c r="F710" s="1819"/>
      <c r="G710" s="1803"/>
      <c r="H710" s="1813"/>
      <c r="I710" s="1813"/>
      <c r="J710" s="1813"/>
      <c r="K710" s="1813"/>
      <c r="L710" s="1813"/>
      <c r="M710" s="1813"/>
      <c r="N710" s="1813"/>
      <c r="O710" s="1813"/>
      <c r="P710" s="1813"/>
      <c r="Q710" s="1813"/>
      <c r="R710" s="1813"/>
      <c r="S710" s="1813"/>
      <c r="T710" s="1813"/>
      <c r="U710" s="1813"/>
      <c r="V710" s="1813"/>
      <c r="W710" s="1813"/>
      <c r="X710" s="1813"/>
    </row>
    <row r="711" spans="1:24" ht="15.75" customHeight="1">
      <c r="A711" s="1819"/>
      <c r="B711" s="1819"/>
      <c r="C711" s="1819"/>
      <c r="D711" s="1819"/>
      <c r="E711" s="1819"/>
      <c r="F711" s="1819"/>
      <c r="G711" s="1803"/>
      <c r="H711" s="1813"/>
      <c r="I711" s="1813"/>
      <c r="J711" s="1813"/>
      <c r="K711" s="1813"/>
      <c r="L711" s="1813"/>
      <c r="M711" s="1813"/>
      <c r="N711" s="1813"/>
      <c r="O711" s="1813"/>
      <c r="P711" s="1813"/>
      <c r="Q711" s="1813"/>
      <c r="R711" s="1813"/>
      <c r="S711" s="1813"/>
      <c r="T711" s="1813"/>
      <c r="U711" s="1813"/>
      <c r="V711" s="1813"/>
      <c r="W711" s="1813"/>
      <c r="X711" s="1813"/>
    </row>
    <row r="712" spans="1:24" ht="15.75" customHeight="1">
      <c r="A712" s="1819"/>
      <c r="B712" s="1819"/>
      <c r="C712" s="1819"/>
      <c r="D712" s="1819"/>
      <c r="E712" s="1819"/>
      <c r="F712" s="1819"/>
      <c r="G712" s="1803"/>
      <c r="H712" s="1813"/>
      <c r="I712" s="1813"/>
      <c r="J712" s="1813"/>
      <c r="K712" s="1813"/>
      <c r="L712" s="1813"/>
      <c r="M712" s="1813"/>
      <c r="N712" s="1813"/>
      <c r="O712" s="1813"/>
      <c r="P712" s="1813"/>
      <c r="Q712" s="1813"/>
      <c r="R712" s="1813"/>
      <c r="S712" s="1813"/>
      <c r="T712" s="1813"/>
      <c r="U712" s="1813"/>
      <c r="V712" s="1813"/>
      <c r="W712" s="1813"/>
      <c r="X712" s="1813"/>
    </row>
    <row r="713" spans="1:24" ht="15.75" customHeight="1">
      <c r="A713" s="1819"/>
      <c r="B713" s="1819"/>
      <c r="C713" s="1819"/>
      <c r="D713" s="1819"/>
      <c r="E713" s="1819"/>
      <c r="F713" s="1819"/>
      <c r="G713" s="1803"/>
      <c r="H713" s="1813"/>
      <c r="I713" s="1813"/>
      <c r="J713" s="1813"/>
      <c r="K713" s="1813"/>
      <c r="L713" s="1813"/>
      <c r="M713" s="1813"/>
      <c r="N713" s="1813"/>
      <c r="O713" s="1813"/>
      <c r="P713" s="1813"/>
      <c r="Q713" s="1813"/>
      <c r="R713" s="1813"/>
      <c r="S713" s="1813"/>
      <c r="T713" s="1813"/>
      <c r="U713" s="1813"/>
      <c r="V713" s="1813"/>
      <c r="W713" s="1813"/>
      <c r="X713" s="1813"/>
    </row>
    <row r="714" spans="1:24" ht="15.75" customHeight="1">
      <c r="A714" s="1819"/>
      <c r="B714" s="1819"/>
      <c r="C714" s="1819"/>
      <c r="D714" s="1819"/>
      <c r="E714" s="1819"/>
      <c r="F714" s="1819"/>
      <c r="G714" s="1803"/>
      <c r="H714" s="1813"/>
      <c r="I714" s="1813"/>
      <c r="J714" s="1813"/>
      <c r="K714" s="1813"/>
      <c r="L714" s="1813"/>
      <c r="M714" s="1813"/>
      <c r="N714" s="1813"/>
      <c r="O714" s="1813"/>
      <c r="P714" s="1813"/>
      <c r="Q714" s="1813"/>
      <c r="R714" s="1813"/>
      <c r="S714" s="1813"/>
      <c r="T714" s="1813"/>
      <c r="U714" s="1813"/>
      <c r="V714" s="1813"/>
      <c r="W714" s="1813"/>
      <c r="X714" s="1813"/>
    </row>
    <row r="715" spans="1:24" ht="15.75" customHeight="1">
      <c r="A715" s="1819"/>
      <c r="B715" s="1819"/>
      <c r="C715" s="1819"/>
      <c r="D715" s="1819"/>
      <c r="E715" s="1819"/>
      <c r="F715" s="1819"/>
      <c r="G715" s="1803"/>
      <c r="H715" s="1813"/>
      <c r="I715" s="1813"/>
      <c r="J715" s="1813"/>
      <c r="K715" s="1813"/>
      <c r="L715" s="1813"/>
      <c r="M715" s="1813"/>
      <c r="N715" s="1813"/>
      <c r="O715" s="1813"/>
      <c r="P715" s="1813"/>
      <c r="Q715" s="1813"/>
      <c r="R715" s="1813"/>
      <c r="S715" s="1813"/>
      <c r="T715" s="1813"/>
      <c r="U715" s="1813"/>
      <c r="V715" s="1813"/>
      <c r="W715" s="1813"/>
      <c r="X715" s="1813"/>
    </row>
    <row r="716" spans="1:24" ht="15.75" customHeight="1">
      <c r="A716" s="1819"/>
      <c r="B716" s="1819"/>
      <c r="C716" s="1819"/>
      <c r="D716" s="1819"/>
      <c r="E716" s="1819"/>
      <c r="F716" s="1819"/>
      <c r="G716" s="1803"/>
      <c r="H716" s="1813"/>
      <c r="I716" s="1813"/>
      <c r="J716" s="1813"/>
      <c r="K716" s="1813"/>
      <c r="L716" s="1813"/>
      <c r="M716" s="1813"/>
      <c r="N716" s="1813"/>
      <c r="O716" s="1813"/>
      <c r="P716" s="1813"/>
      <c r="Q716" s="1813"/>
      <c r="R716" s="1813"/>
      <c r="S716" s="1813"/>
      <c r="T716" s="1813"/>
      <c r="U716" s="1813"/>
      <c r="V716" s="1813"/>
      <c r="W716" s="1813"/>
      <c r="X716" s="1813"/>
    </row>
    <row r="717" spans="1:24" ht="15.75" customHeight="1">
      <c r="A717" s="1819"/>
      <c r="B717" s="1819"/>
      <c r="C717" s="1819"/>
      <c r="D717" s="1819"/>
      <c r="E717" s="1819"/>
      <c r="F717" s="1819"/>
      <c r="G717" s="1803"/>
      <c r="H717" s="1813"/>
      <c r="I717" s="1813"/>
      <c r="J717" s="1813"/>
      <c r="K717" s="1813"/>
      <c r="L717" s="1813"/>
      <c r="M717" s="1813"/>
      <c r="N717" s="1813"/>
      <c r="O717" s="1813"/>
      <c r="P717" s="1813"/>
      <c r="Q717" s="1813"/>
      <c r="R717" s="1813"/>
      <c r="S717" s="1813"/>
      <c r="T717" s="1813"/>
      <c r="U717" s="1813"/>
      <c r="V717" s="1813"/>
      <c r="W717" s="1813"/>
      <c r="X717" s="1813"/>
    </row>
    <row r="718" spans="1:24" ht="15.75" customHeight="1">
      <c r="A718" s="1819"/>
      <c r="B718" s="1819"/>
      <c r="C718" s="1819"/>
      <c r="D718" s="1819"/>
      <c r="E718" s="1819"/>
      <c r="F718" s="1819"/>
      <c r="G718" s="1803"/>
      <c r="H718" s="1813"/>
      <c r="I718" s="1813"/>
      <c r="J718" s="1813"/>
      <c r="K718" s="1813"/>
      <c r="L718" s="1813"/>
      <c r="M718" s="1813"/>
      <c r="N718" s="1813"/>
      <c r="O718" s="1813"/>
      <c r="P718" s="1813"/>
      <c r="Q718" s="1813"/>
      <c r="R718" s="1813"/>
      <c r="S718" s="1813"/>
      <c r="T718" s="1813"/>
      <c r="U718" s="1813"/>
      <c r="V718" s="1813"/>
      <c r="W718" s="1813"/>
      <c r="X718" s="1813"/>
    </row>
    <row r="719" spans="1:24" ht="15.75" customHeight="1">
      <c r="A719" s="1819"/>
      <c r="B719" s="1819"/>
      <c r="C719" s="1819"/>
      <c r="D719" s="1819"/>
      <c r="E719" s="1819"/>
      <c r="F719" s="1819"/>
      <c r="G719" s="1803"/>
      <c r="H719" s="1813"/>
      <c r="I719" s="1813"/>
      <c r="J719" s="1813"/>
      <c r="K719" s="1813"/>
      <c r="L719" s="1813"/>
      <c r="M719" s="1813"/>
      <c r="N719" s="1813"/>
      <c r="O719" s="1813"/>
      <c r="P719" s="1813"/>
      <c r="Q719" s="1813"/>
      <c r="R719" s="1813"/>
      <c r="S719" s="1813"/>
      <c r="T719" s="1813"/>
      <c r="U719" s="1813"/>
      <c r="V719" s="1813"/>
      <c r="W719" s="1813"/>
      <c r="X719" s="1813"/>
    </row>
    <row r="720" spans="1:24" ht="15.75" customHeight="1">
      <c r="A720" s="1819"/>
      <c r="B720" s="1819"/>
      <c r="C720" s="1819"/>
      <c r="D720" s="1819"/>
      <c r="E720" s="1819"/>
      <c r="F720" s="1819"/>
      <c r="G720" s="1803"/>
      <c r="H720" s="1813"/>
      <c r="I720" s="1813"/>
      <c r="J720" s="1813"/>
      <c r="K720" s="1813"/>
      <c r="L720" s="1813"/>
      <c r="M720" s="1813"/>
      <c r="N720" s="1813"/>
      <c r="O720" s="1813"/>
      <c r="P720" s="1813"/>
      <c r="Q720" s="1813"/>
      <c r="R720" s="1813"/>
      <c r="S720" s="1813"/>
      <c r="T720" s="1813"/>
      <c r="U720" s="1813"/>
      <c r="V720" s="1813"/>
      <c r="W720" s="1813"/>
      <c r="X720" s="1813"/>
    </row>
    <row r="721" spans="1:24" ht="15.75" customHeight="1">
      <c r="A721" s="1819"/>
      <c r="B721" s="1819"/>
      <c r="C721" s="1819"/>
      <c r="D721" s="1819"/>
      <c r="E721" s="1819"/>
      <c r="F721" s="1819"/>
      <c r="G721" s="1803"/>
      <c r="H721" s="1813"/>
      <c r="I721" s="1813"/>
      <c r="J721" s="1813"/>
      <c r="K721" s="1813"/>
      <c r="L721" s="1813"/>
      <c r="M721" s="1813"/>
      <c r="N721" s="1813"/>
      <c r="O721" s="1813"/>
      <c r="P721" s="1813"/>
      <c r="Q721" s="1813"/>
      <c r="R721" s="1813"/>
      <c r="S721" s="1813"/>
      <c r="T721" s="1813"/>
      <c r="U721" s="1813"/>
      <c r="V721" s="1813"/>
      <c r="W721" s="1813"/>
      <c r="X721" s="1813"/>
    </row>
    <row r="722" spans="1:24" ht="15.75" customHeight="1">
      <c r="A722" s="1819"/>
      <c r="B722" s="1819"/>
      <c r="C722" s="1819"/>
      <c r="D722" s="1819"/>
      <c r="E722" s="1819"/>
      <c r="F722" s="1819"/>
      <c r="G722" s="1803"/>
      <c r="H722" s="1813"/>
      <c r="I722" s="1813"/>
      <c r="J722" s="1813"/>
      <c r="K722" s="1813"/>
      <c r="L722" s="1813"/>
      <c r="M722" s="1813"/>
      <c r="N722" s="1813"/>
      <c r="O722" s="1813"/>
      <c r="P722" s="1813"/>
      <c r="Q722" s="1813"/>
      <c r="R722" s="1813"/>
      <c r="S722" s="1813"/>
      <c r="T722" s="1813"/>
      <c r="U722" s="1813"/>
      <c r="V722" s="1813"/>
      <c r="W722" s="1813"/>
      <c r="X722" s="1813"/>
    </row>
    <row r="723" spans="1:24" ht="15.75" customHeight="1">
      <c r="A723" s="1819"/>
      <c r="B723" s="1819"/>
      <c r="C723" s="1819"/>
      <c r="D723" s="1819"/>
      <c r="E723" s="1819"/>
      <c r="F723" s="1819"/>
      <c r="G723" s="1803"/>
      <c r="H723" s="1813"/>
      <c r="I723" s="1813"/>
      <c r="J723" s="1813"/>
      <c r="K723" s="1813"/>
      <c r="L723" s="1813"/>
      <c r="M723" s="1813"/>
      <c r="N723" s="1813"/>
      <c r="O723" s="1813"/>
      <c r="P723" s="1813"/>
      <c r="Q723" s="1813"/>
      <c r="R723" s="1813"/>
      <c r="S723" s="1813"/>
      <c r="T723" s="1813"/>
      <c r="U723" s="1813"/>
      <c r="V723" s="1813"/>
      <c r="W723" s="1813"/>
      <c r="X723" s="1813"/>
    </row>
    <row r="724" spans="1:24" ht="15.75" customHeight="1">
      <c r="A724" s="1819"/>
      <c r="B724" s="1819"/>
      <c r="C724" s="1819"/>
      <c r="D724" s="1819"/>
      <c r="E724" s="1819"/>
      <c r="F724" s="1819"/>
      <c r="G724" s="1803"/>
      <c r="H724" s="1813"/>
      <c r="I724" s="1813"/>
      <c r="J724" s="1813"/>
      <c r="K724" s="1813"/>
      <c r="L724" s="1813"/>
      <c r="M724" s="1813"/>
      <c r="N724" s="1813"/>
      <c r="O724" s="1813"/>
      <c r="P724" s="1813"/>
      <c r="Q724" s="1813"/>
      <c r="R724" s="1813"/>
      <c r="S724" s="1813"/>
      <c r="T724" s="1813"/>
      <c r="U724" s="1813"/>
      <c r="V724" s="1813"/>
      <c r="W724" s="1813"/>
      <c r="X724" s="1813"/>
    </row>
    <row r="725" spans="1:24" ht="15.75" customHeight="1">
      <c r="A725" s="1819"/>
      <c r="B725" s="1819"/>
      <c r="C725" s="1819"/>
      <c r="D725" s="1819"/>
      <c r="E725" s="1819"/>
      <c r="F725" s="1819"/>
      <c r="G725" s="1803"/>
      <c r="H725" s="1813"/>
      <c r="I725" s="1813"/>
      <c r="J725" s="1813"/>
      <c r="K725" s="1813"/>
      <c r="L725" s="1813"/>
      <c r="M725" s="1813"/>
      <c r="N725" s="1813"/>
      <c r="O725" s="1813"/>
      <c r="P725" s="1813"/>
      <c r="Q725" s="1813"/>
      <c r="R725" s="1813"/>
      <c r="S725" s="1813"/>
      <c r="T725" s="1813"/>
      <c r="U725" s="1813"/>
      <c r="V725" s="1813"/>
      <c r="W725" s="1813"/>
      <c r="X725" s="1813"/>
    </row>
    <row r="726" spans="1:24" ht="15.75" customHeight="1">
      <c r="A726" s="1819"/>
      <c r="B726" s="1819"/>
      <c r="C726" s="1819"/>
      <c r="D726" s="1819"/>
      <c r="E726" s="1819"/>
      <c r="F726" s="1819"/>
      <c r="G726" s="1803"/>
      <c r="H726" s="1813"/>
      <c r="I726" s="1813"/>
      <c r="J726" s="1813"/>
      <c r="K726" s="1813"/>
      <c r="L726" s="1813"/>
      <c r="M726" s="1813"/>
      <c r="N726" s="1813"/>
      <c r="O726" s="1813"/>
      <c r="P726" s="1813"/>
      <c r="Q726" s="1813"/>
      <c r="R726" s="1813"/>
      <c r="S726" s="1813"/>
      <c r="T726" s="1813"/>
      <c r="U726" s="1813"/>
      <c r="V726" s="1813"/>
      <c r="W726" s="1813"/>
      <c r="X726" s="1813"/>
    </row>
    <row r="727" spans="1:24" ht="15.75" customHeight="1">
      <c r="A727" s="1819"/>
      <c r="B727" s="1819"/>
      <c r="C727" s="1819"/>
      <c r="D727" s="1819"/>
      <c r="E727" s="1819"/>
      <c r="F727" s="1819"/>
      <c r="G727" s="1803"/>
      <c r="H727" s="1813"/>
      <c r="I727" s="1813"/>
      <c r="J727" s="1813"/>
      <c r="K727" s="1813"/>
      <c r="L727" s="1813"/>
      <c r="M727" s="1813"/>
      <c r="N727" s="1813"/>
      <c r="O727" s="1813"/>
      <c r="P727" s="1813"/>
      <c r="Q727" s="1813"/>
      <c r="R727" s="1813"/>
      <c r="S727" s="1813"/>
      <c r="T727" s="1813"/>
      <c r="U727" s="1813"/>
      <c r="V727" s="1813"/>
      <c r="W727" s="1813"/>
      <c r="X727" s="1813"/>
    </row>
    <row r="728" spans="1:24" ht="15.75" customHeight="1">
      <c r="A728" s="1819"/>
      <c r="B728" s="1819"/>
      <c r="C728" s="1819"/>
      <c r="D728" s="1819"/>
      <c r="E728" s="1819"/>
      <c r="F728" s="1819"/>
      <c r="G728" s="1803"/>
      <c r="H728" s="1813"/>
      <c r="I728" s="1813"/>
      <c r="J728" s="1813"/>
      <c r="K728" s="1813"/>
      <c r="L728" s="1813"/>
      <c r="M728" s="1813"/>
      <c r="N728" s="1813"/>
      <c r="O728" s="1813"/>
      <c r="P728" s="1813"/>
      <c r="Q728" s="1813"/>
      <c r="R728" s="1813"/>
      <c r="S728" s="1813"/>
      <c r="T728" s="1813"/>
      <c r="U728" s="1813"/>
      <c r="V728" s="1813"/>
      <c r="W728" s="1813"/>
      <c r="X728" s="1813"/>
    </row>
    <row r="729" spans="1:24" ht="15.75" customHeight="1">
      <c r="A729" s="1819"/>
      <c r="B729" s="1819"/>
      <c r="C729" s="1819"/>
      <c r="D729" s="1819"/>
      <c r="E729" s="1819"/>
      <c r="F729" s="1819"/>
      <c r="G729" s="1803"/>
      <c r="H729" s="1813"/>
      <c r="I729" s="1813"/>
      <c r="J729" s="1813"/>
      <c r="K729" s="1813"/>
      <c r="L729" s="1813"/>
      <c r="M729" s="1813"/>
      <c r="N729" s="1813"/>
      <c r="O729" s="1813"/>
      <c r="P729" s="1813"/>
      <c r="Q729" s="1813"/>
      <c r="R729" s="1813"/>
      <c r="S729" s="1813"/>
      <c r="T729" s="1813"/>
      <c r="U729" s="1813"/>
      <c r="V729" s="1813"/>
      <c r="W729" s="1813"/>
      <c r="X729" s="1813"/>
    </row>
    <row r="730" spans="1:24" ht="15.75" customHeight="1">
      <c r="A730" s="1819"/>
      <c r="B730" s="1819"/>
      <c r="C730" s="1819"/>
      <c r="D730" s="1819"/>
      <c r="E730" s="1819"/>
      <c r="F730" s="1819"/>
      <c r="G730" s="1803"/>
      <c r="H730" s="1813"/>
      <c r="I730" s="1813"/>
      <c r="J730" s="1813"/>
      <c r="K730" s="1813"/>
      <c r="L730" s="1813"/>
      <c r="M730" s="1813"/>
      <c r="N730" s="1813"/>
      <c r="O730" s="1813"/>
      <c r="P730" s="1813"/>
      <c r="Q730" s="1813"/>
      <c r="R730" s="1813"/>
      <c r="S730" s="1813"/>
      <c r="T730" s="1813"/>
      <c r="U730" s="1813"/>
      <c r="V730" s="1813"/>
      <c r="W730" s="1813"/>
      <c r="X730" s="1813"/>
    </row>
    <row r="731" spans="1:24" ht="15.75" customHeight="1">
      <c r="A731" s="1819"/>
      <c r="B731" s="1819"/>
      <c r="C731" s="1819"/>
      <c r="D731" s="1819"/>
      <c r="E731" s="1819"/>
      <c r="F731" s="1819"/>
      <c r="G731" s="1803"/>
      <c r="H731" s="1813"/>
      <c r="I731" s="1813"/>
      <c r="J731" s="1813"/>
      <c r="K731" s="1813"/>
      <c r="L731" s="1813"/>
      <c r="M731" s="1813"/>
      <c r="N731" s="1813"/>
      <c r="O731" s="1813"/>
      <c r="P731" s="1813"/>
      <c r="Q731" s="1813"/>
      <c r="R731" s="1813"/>
      <c r="S731" s="1813"/>
      <c r="T731" s="1813"/>
      <c r="U731" s="1813"/>
      <c r="V731" s="1813"/>
      <c r="W731" s="1813"/>
      <c r="X731" s="1813"/>
    </row>
    <row r="732" spans="1:24" ht="15.75" customHeight="1">
      <c r="A732" s="1819"/>
      <c r="B732" s="1819"/>
      <c r="C732" s="1819"/>
      <c r="D732" s="1819"/>
      <c r="E732" s="1819"/>
      <c r="F732" s="1819"/>
      <c r="G732" s="1803"/>
      <c r="H732" s="1813"/>
      <c r="I732" s="1813"/>
      <c r="J732" s="1813"/>
      <c r="K732" s="1813"/>
      <c r="L732" s="1813"/>
      <c r="M732" s="1813"/>
      <c r="N732" s="1813"/>
      <c r="O732" s="1813"/>
      <c r="P732" s="1813"/>
      <c r="Q732" s="1813"/>
      <c r="R732" s="1813"/>
      <c r="S732" s="1813"/>
      <c r="T732" s="1813"/>
      <c r="U732" s="1813"/>
      <c r="V732" s="1813"/>
      <c r="W732" s="1813"/>
      <c r="X732" s="1813"/>
    </row>
    <row r="733" spans="1:24" ht="15.75" customHeight="1">
      <c r="A733" s="1819"/>
      <c r="B733" s="1819"/>
      <c r="C733" s="1819"/>
      <c r="D733" s="1819"/>
      <c r="E733" s="1819"/>
      <c r="F733" s="1819"/>
      <c r="G733" s="1803"/>
      <c r="H733" s="1813"/>
      <c r="I733" s="1813"/>
      <c r="J733" s="1813"/>
      <c r="K733" s="1813"/>
      <c r="L733" s="1813"/>
      <c r="M733" s="1813"/>
      <c r="N733" s="1813"/>
      <c r="O733" s="1813"/>
      <c r="P733" s="1813"/>
      <c r="Q733" s="1813"/>
      <c r="R733" s="1813"/>
      <c r="S733" s="1813"/>
      <c r="T733" s="1813"/>
      <c r="U733" s="1813"/>
      <c r="V733" s="1813"/>
      <c r="W733" s="1813"/>
      <c r="X733" s="1813"/>
    </row>
    <row r="734" spans="1:24" ht="15.75" customHeight="1">
      <c r="A734" s="1819"/>
      <c r="B734" s="1819"/>
      <c r="C734" s="1819"/>
      <c r="D734" s="1819"/>
      <c r="E734" s="1819"/>
      <c r="F734" s="1819"/>
      <c r="G734" s="1803"/>
      <c r="H734" s="1813"/>
      <c r="I734" s="1813"/>
      <c r="J734" s="1813"/>
      <c r="K734" s="1813"/>
      <c r="L734" s="1813"/>
      <c r="M734" s="1813"/>
      <c r="N734" s="1813"/>
      <c r="O734" s="1813"/>
      <c r="P734" s="1813"/>
      <c r="Q734" s="1813"/>
      <c r="R734" s="1813"/>
      <c r="S734" s="1813"/>
      <c r="T734" s="1813"/>
      <c r="U734" s="1813"/>
      <c r="V734" s="1813"/>
      <c r="W734" s="1813"/>
      <c r="X734" s="1813"/>
    </row>
    <row r="735" spans="1:24" ht="15.75" customHeight="1">
      <c r="A735" s="1819"/>
      <c r="B735" s="1819"/>
      <c r="C735" s="1819"/>
      <c r="D735" s="1819"/>
      <c r="E735" s="1819"/>
      <c r="F735" s="1819"/>
      <c r="G735" s="1803"/>
      <c r="H735" s="1813"/>
      <c r="I735" s="1813"/>
      <c r="J735" s="1813"/>
      <c r="K735" s="1813"/>
      <c r="L735" s="1813"/>
      <c r="M735" s="1813"/>
      <c r="N735" s="1813"/>
      <c r="O735" s="1813"/>
      <c r="P735" s="1813"/>
      <c r="Q735" s="1813"/>
      <c r="R735" s="1813"/>
      <c r="S735" s="1813"/>
      <c r="T735" s="1813"/>
      <c r="U735" s="1813"/>
      <c r="V735" s="1813"/>
      <c r="W735" s="1813"/>
      <c r="X735" s="1813"/>
    </row>
    <row r="736" spans="1:24" ht="15.75" customHeight="1">
      <c r="A736" s="1819"/>
      <c r="B736" s="1819"/>
      <c r="C736" s="1819"/>
      <c r="D736" s="1819"/>
      <c r="E736" s="1819"/>
      <c r="F736" s="1819"/>
      <c r="G736" s="1803"/>
      <c r="H736" s="1813"/>
      <c r="I736" s="1813"/>
      <c r="J736" s="1813"/>
      <c r="K736" s="1813"/>
      <c r="L736" s="1813"/>
      <c r="M736" s="1813"/>
      <c r="N736" s="1813"/>
      <c r="O736" s="1813"/>
      <c r="P736" s="1813"/>
      <c r="Q736" s="1813"/>
      <c r="R736" s="1813"/>
      <c r="S736" s="1813"/>
      <c r="T736" s="1813"/>
      <c r="U736" s="1813"/>
      <c r="V736" s="1813"/>
      <c r="W736" s="1813"/>
      <c r="X736" s="1813"/>
    </row>
    <row r="737" spans="1:24" ht="15.75" customHeight="1">
      <c r="A737" s="1819"/>
      <c r="B737" s="1819"/>
      <c r="C737" s="1819"/>
      <c r="D737" s="1819"/>
      <c r="E737" s="1819"/>
      <c r="F737" s="1819"/>
      <c r="G737" s="1803"/>
      <c r="H737" s="1813"/>
      <c r="I737" s="1813"/>
      <c r="J737" s="1813"/>
      <c r="K737" s="1813"/>
      <c r="L737" s="1813"/>
      <c r="M737" s="1813"/>
      <c r="N737" s="1813"/>
      <c r="O737" s="1813"/>
      <c r="P737" s="1813"/>
      <c r="Q737" s="1813"/>
      <c r="R737" s="1813"/>
      <c r="S737" s="1813"/>
      <c r="T737" s="1813"/>
      <c r="U737" s="1813"/>
      <c r="V737" s="1813"/>
      <c r="W737" s="1813"/>
      <c r="X737" s="1813"/>
    </row>
    <row r="738" spans="1:24" ht="15.75" customHeight="1">
      <c r="A738" s="1819"/>
      <c r="B738" s="1819"/>
      <c r="C738" s="1819"/>
      <c r="D738" s="1819"/>
      <c r="E738" s="1819"/>
      <c r="F738" s="1819"/>
      <c r="G738" s="1803"/>
      <c r="H738" s="1813"/>
      <c r="I738" s="1813"/>
      <c r="J738" s="1813"/>
      <c r="K738" s="1813"/>
      <c r="L738" s="1813"/>
      <c r="M738" s="1813"/>
      <c r="N738" s="1813"/>
      <c r="O738" s="1813"/>
      <c r="P738" s="1813"/>
      <c r="Q738" s="1813"/>
      <c r="R738" s="1813"/>
      <c r="S738" s="1813"/>
      <c r="T738" s="1813"/>
      <c r="U738" s="1813"/>
      <c r="V738" s="1813"/>
      <c r="W738" s="1813"/>
      <c r="X738" s="1813"/>
    </row>
    <row r="739" spans="1:24" ht="15.75" customHeight="1">
      <c r="A739" s="1819"/>
      <c r="B739" s="1819"/>
      <c r="C739" s="1819"/>
      <c r="D739" s="1819"/>
      <c r="E739" s="1819"/>
      <c r="F739" s="1819"/>
      <c r="G739" s="1803"/>
      <c r="H739" s="1813"/>
      <c r="I739" s="1813"/>
      <c r="J739" s="1813"/>
      <c r="K739" s="1813"/>
      <c r="L739" s="1813"/>
      <c r="M739" s="1813"/>
      <c r="N739" s="1813"/>
      <c r="O739" s="1813"/>
      <c r="P739" s="1813"/>
      <c r="Q739" s="1813"/>
      <c r="R739" s="1813"/>
      <c r="S739" s="1813"/>
      <c r="T739" s="1813"/>
      <c r="U739" s="1813"/>
      <c r="V739" s="1813"/>
      <c r="W739" s="1813"/>
      <c r="X739" s="1813"/>
    </row>
    <row r="740" spans="1:24" ht="15.75" customHeight="1">
      <c r="A740" s="1819"/>
      <c r="B740" s="1819"/>
      <c r="C740" s="1819"/>
      <c r="D740" s="1819"/>
      <c r="E740" s="1819"/>
      <c r="F740" s="1819"/>
      <c r="G740" s="1803"/>
      <c r="H740" s="1813"/>
      <c r="I740" s="1813"/>
      <c r="J740" s="1813"/>
      <c r="K740" s="1813"/>
      <c r="L740" s="1813"/>
      <c r="M740" s="1813"/>
      <c r="N740" s="1813"/>
      <c r="O740" s="1813"/>
      <c r="P740" s="1813"/>
      <c r="Q740" s="1813"/>
      <c r="R740" s="1813"/>
      <c r="S740" s="1813"/>
      <c r="T740" s="1813"/>
      <c r="U740" s="1813"/>
      <c r="V740" s="1813"/>
      <c r="W740" s="1813"/>
      <c r="X740" s="1813"/>
    </row>
    <row r="741" spans="1:24" ht="15.75" customHeight="1">
      <c r="A741" s="1819"/>
      <c r="B741" s="1819"/>
      <c r="C741" s="1819"/>
      <c r="D741" s="1819"/>
      <c r="E741" s="1819"/>
      <c r="F741" s="1819"/>
      <c r="G741" s="1803"/>
      <c r="H741" s="1813"/>
      <c r="I741" s="1813"/>
      <c r="J741" s="1813"/>
      <c r="K741" s="1813"/>
      <c r="L741" s="1813"/>
      <c r="M741" s="1813"/>
      <c r="N741" s="1813"/>
      <c r="O741" s="1813"/>
      <c r="P741" s="1813"/>
      <c r="Q741" s="1813"/>
      <c r="R741" s="1813"/>
      <c r="S741" s="1813"/>
      <c r="T741" s="1813"/>
      <c r="U741" s="1813"/>
      <c r="V741" s="1813"/>
      <c r="W741" s="1813"/>
      <c r="X741" s="1813"/>
    </row>
    <row r="742" spans="1:24" ht="15.75" customHeight="1">
      <c r="A742" s="1819"/>
      <c r="B742" s="1819"/>
      <c r="C742" s="1819"/>
      <c r="D742" s="1819"/>
      <c r="E742" s="1819"/>
      <c r="F742" s="1819"/>
      <c r="G742" s="1803"/>
      <c r="H742" s="1813"/>
      <c r="I742" s="1813"/>
      <c r="J742" s="1813"/>
      <c r="K742" s="1813"/>
      <c r="L742" s="1813"/>
      <c r="M742" s="1813"/>
      <c r="N742" s="1813"/>
      <c r="O742" s="1813"/>
      <c r="P742" s="1813"/>
      <c r="Q742" s="1813"/>
      <c r="R742" s="1813"/>
      <c r="S742" s="1813"/>
      <c r="T742" s="1813"/>
      <c r="U742" s="1813"/>
      <c r="V742" s="1813"/>
      <c r="W742" s="1813"/>
      <c r="X742" s="1813"/>
    </row>
    <row r="743" spans="1:24" ht="15.75" customHeight="1">
      <c r="A743" s="1819"/>
      <c r="B743" s="1819"/>
      <c r="C743" s="1819"/>
      <c r="D743" s="1819"/>
      <c r="E743" s="1819"/>
      <c r="F743" s="1819"/>
      <c r="G743" s="1803"/>
      <c r="H743" s="1813"/>
      <c r="I743" s="1813"/>
      <c r="J743" s="1813"/>
      <c r="K743" s="1813"/>
      <c r="L743" s="1813"/>
      <c r="M743" s="1813"/>
      <c r="N743" s="1813"/>
      <c r="O743" s="1813"/>
      <c r="P743" s="1813"/>
      <c r="Q743" s="1813"/>
      <c r="R743" s="1813"/>
      <c r="S743" s="1813"/>
      <c r="T743" s="1813"/>
      <c r="U743" s="1813"/>
      <c r="V743" s="1813"/>
      <c r="W743" s="1813"/>
      <c r="X743" s="1813"/>
    </row>
    <row r="744" spans="1:24" ht="15.75" customHeight="1">
      <c r="A744" s="1819"/>
      <c r="B744" s="1819"/>
      <c r="C744" s="1819"/>
      <c r="D744" s="1819"/>
      <c r="E744" s="1819"/>
      <c r="F744" s="1819"/>
      <c r="G744" s="1803"/>
      <c r="H744" s="1813"/>
      <c r="I744" s="1813"/>
      <c r="J744" s="1813"/>
      <c r="K744" s="1813"/>
      <c r="L744" s="1813"/>
      <c r="M744" s="1813"/>
      <c r="N744" s="1813"/>
      <c r="O744" s="1813"/>
      <c r="P744" s="1813"/>
      <c r="Q744" s="1813"/>
      <c r="R744" s="1813"/>
      <c r="S744" s="1813"/>
      <c r="T744" s="1813"/>
      <c r="U744" s="1813"/>
      <c r="V744" s="1813"/>
      <c r="W744" s="1813"/>
      <c r="X744" s="1813"/>
    </row>
    <row r="745" spans="1:24" ht="15.75" customHeight="1">
      <c r="A745" s="1819"/>
      <c r="B745" s="1819"/>
      <c r="C745" s="1819"/>
      <c r="D745" s="1819"/>
      <c r="E745" s="1819"/>
      <c r="F745" s="1819"/>
      <c r="G745" s="1803"/>
      <c r="H745" s="1813"/>
      <c r="I745" s="1813"/>
      <c r="J745" s="1813"/>
      <c r="K745" s="1813"/>
      <c r="L745" s="1813"/>
      <c r="M745" s="1813"/>
      <c r="N745" s="1813"/>
      <c r="O745" s="1813"/>
      <c r="P745" s="1813"/>
      <c r="Q745" s="1813"/>
      <c r="R745" s="1813"/>
      <c r="S745" s="1813"/>
      <c r="T745" s="1813"/>
      <c r="U745" s="1813"/>
      <c r="V745" s="1813"/>
      <c r="W745" s="1813"/>
      <c r="X745" s="1813"/>
    </row>
    <row r="746" spans="1:24" ht="15.75" customHeight="1">
      <c r="A746" s="1819"/>
      <c r="B746" s="1819"/>
      <c r="C746" s="1819"/>
      <c r="D746" s="1819"/>
      <c r="E746" s="1819"/>
      <c r="F746" s="1819"/>
      <c r="G746" s="1803"/>
      <c r="H746" s="1813"/>
      <c r="I746" s="1813"/>
      <c r="J746" s="1813"/>
      <c r="K746" s="1813"/>
      <c r="L746" s="1813"/>
      <c r="M746" s="1813"/>
      <c r="N746" s="1813"/>
      <c r="O746" s="1813"/>
      <c r="P746" s="1813"/>
      <c r="Q746" s="1813"/>
      <c r="R746" s="1813"/>
      <c r="S746" s="1813"/>
      <c r="T746" s="1813"/>
      <c r="U746" s="1813"/>
      <c r="V746" s="1813"/>
      <c r="W746" s="1813"/>
      <c r="X746" s="1813"/>
    </row>
    <row r="747" spans="1:24" ht="15.75" customHeight="1">
      <c r="A747" s="1819"/>
      <c r="B747" s="1819"/>
      <c r="C747" s="1819"/>
      <c r="D747" s="1819"/>
      <c r="E747" s="1819"/>
      <c r="F747" s="1819"/>
      <c r="G747" s="1803"/>
      <c r="H747" s="1813"/>
      <c r="I747" s="1813"/>
      <c r="J747" s="1813"/>
      <c r="K747" s="1813"/>
      <c r="L747" s="1813"/>
      <c r="M747" s="1813"/>
      <c r="N747" s="1813"/>
      <c r="O747" s="1813"/>
      <c r="P747" s="1813"/>
      <c r="Q747" s="1813"/>
      <c r="R747" s="1813"/>
      <c r="S747" s="1813"/>
      <c r="T747" s="1813"/>
      <c r="U747" s="1813"/>
      <c r="V747" s="1813"/>
      <c r="W747" s="1813"/>
      <c r="X747" s="1813"/>
    </row>
    <row r="748" spans="1:24" ht="15.75" customHeight="1">
      <c r="A748" s="1819"/>
      <c r="B748" s="1819"/>
      <c r="C748" s="1819"/>
      <c r="D748" s="1819"/>
      <c r="E748" s="1819"/>
      <c r="F748" s="1819"/>
      <c r="G748" s="1803"/>
      <c r="H748" s="1813"/>
      <c r="I748" s="1813"/>
      <c r="J748" s="1813"/>
      <c r="K748" s="1813"/>
      <c r="L748" s="1813"/>
      <c r="M748" s="1813"/>
      <c r="N748" s="1813"/>
      <c r="O748" s="1813"/>
      <c r="P748" s="1813"/>
      <c r="Q748" s="1813"/>
      <c r="R748" s="1813"/>
      <c r="S748" s="1813"/>
      <c r="T748" s="1813"/>
      <c r="U748" s="1813"/>
      <c r="V748" s="1813"/>
      <c r="W748" s="1813"/>
      <c r="X748" s="1813"/>
    </row>
    <row r="749" spans="1:24" ht="15.75" customHeight="1">
      <c r="A749" s="1819"/>
      <c r="B749" s="1819"/>
      <c r="C749" s="1819"/>
      <c r="D749" s="1819"/>
      <c r="E749" s="1819"/>
      <c r="F749" s="1819"/>
      <c r="G749" s="1803"/>
      <c r="H749" s="1813"/>
      <c r="I749" s="1813"/>
      <c r="J749" s="1813"/>
      <c r="K749" s="1813"/>
      <c r="L749" s="1813"/>
      <c r="M749" s="1813"/>
      <c r="N749" s="1813"/>
      <c r="O749" s="1813"/>
      <c r="P749" s="1813"/>
      <c r="Q749" s="1813"/>
      <c r="R749" s="1813"/>
      <c r="S749" s="1813"/>
      <c r="T749" s="1813"/>
      <c r="U749" s="1813"/>
      <c r="V749" s="1813"/>
      <c r="W749" s="1813"/>
      <c r="X749" s="1813"/>
    </row>
    <row r="750" spans="1:24" ht="15.75" customHeight="1">
      <c r="A750" s="1819"/>
      <c r="B750" s="1819"/>
      <c r="C750" s="1819"/>
      <c r="D750" s="1819"/>
      <c r="E750" s="1819"/>
      <c r="F750" s="1819"/>
      <c r="G750" s="1803"/>
      <c r="H750" s="1813"/>
      <c r="I750" s="1813"/>
      <c r="J750" s="1813"/>
      <c r="K750" s="1813"/>
      <c r="L750" s="1813"/>
      <c r="M750" s="1813"/>
      <c r="N750" s="1813"/>
      <c r="O750" s="1813"/>
      <c r="P750" s="1813"/>
      <c r="Q750" s="1813"/>
      <c r="R750" s="1813"/>
      <c r="S750" s="1813"/>
      <c r="T750" s="1813"/>
      <c r="U750" s="1813"/>
      <c r="V750" s="1813"/>
      <c r="W750" s="1813"/>
      <c r="X750" s="1813"/>
    </row>
    <row r="751" spans="1:24" ht="15.75" customHeight="1">
      <c r="A751" s="1819"/>
      <c r="B751" s="1819"/>
      <c r="C751" s="1819"/>
      <c r="D751" s="1819"/>
      <c r="E751" s="1819"/>
      <c r="F751" s="1819"/>
      <c r="G751" s="1803"/>
      <c r="H751" s="1813"/>
      <c r="I751" s="1813"/>
      <c r="J751" s="1813"/>
      <c r="K751" s="1813"/>
      <c r="L751" s="1813"/>
      <c r="M751" s="1813"/>
      <c r="N751" s="1813"/>
      <c r="O751" s="1813"/>
      <c r="P751" s="1813"/>
      <c r="Q751" s="1813"/>
      <c r="R751" s="1813"/>
      <c r="S751" s="1813"/>
      <c r="T751" s="1813"/>
      <c r="U751" s="1813"/>
      <c r="V751" s="1813"/>
      <c r="W751" s="1813"/>
      <c r="X751" s="1813"/>
    </row>
    <row r="752" spans="1:24" ht="15.75" customHeight="1">
      <c r="A752" s="1819"/>
      <c r="B752" s="1819"/>
      <c r="C752" s="1819"/>
      <c r="D752" s="1819"/>
      <c r="E752" s="1819"/>
      <c r="F752" s="1819"/>
      <c r="G752" s="1803"/>
      <c r="H752" s="1813"/>
      <c r="I752" s="1813"/>
      <c r="J752" s="1813"/>
      <c r="K752" s="1813"/>
      <c r="L752" s="1813"/>
      <c r="M752" s="1813"/>
      <c r="N752" s="1813"/>
      <c r="O752" s="1813"/>
      <c r="P752" s="1813"/>
      <c r="Q752" s="1813"/>
      <c r="R752" s="1813"/>
      <c r="S752" s="1813"/>
      <c r="T752" s="1813"/>
      <c r="U752" s="1813"/>
      <c r="V752" s="1813"/>
      <c r="W752" s="1813"/>
      <c r="X752" s="1813"/>
    </row>
    <row r="753" spans="1:24" ht="15.75" customHeight="1">
      <c r="A753" s="1819"/>
      <c r="B753" s="1819"/>
      <c r="C753" s="1819"/>
      <c r="D753" s="1819"/>
      <c r="E753" s="1819"/>
      <c r="F753" s="1819"/>
      <c r="G753" s="1803"/>
      <c r="H753" s="1813"/>
      <c r="I753" s="1813"/>
      <c r="J753" s="1813"/>
      <c r="K753" s="1813"/>
      <c r="L753" s="1813"/>
      <c r="M753" s="1813"/>
      <c r="N753" s="1813"/>
      <c r="O753" s="1813"/>
      <c r="P753" s="1813"/>
      <c r="Q753" s="1813"/>
      <c r="R753" s="1813"/>
      <c r="S753" s="1813"/>
      <c r="T753" s="1813"/>
      <c r="U753" s="1813"/>
      <c r="V753" s="1813"/>
      <c r="W753" s="1813"/>
      <c r="X753" s="1813"/>
    </row>
    <row r="754" spans="1:24" ht="15.75" customHeight="1">
      <c r="A754" s="1819"/>
      <c r="B754" s="1819"/>
      <c r="C754" s="1819"/>
      <c r="D754" s="1819"/>
      <c r="E754" s="1819"/>
      <c r="F754" s="1819"/>
      <c r="G754" s="1803"/>
      <c r="H754" s="1813"/>
      <c r="I754" s="1813"/>
      <c r="J754" s="1813"/>
      <c r="K754" s="1813"/>
      <c r="L754" s="1813"/>
      <c r="M754" s="1813"/>
      <c r="N754" s="1813"/>
      <c r="O754" s="1813"/>
      <c r="P754" s="1813"/>
      <c r="Q754" s="1813"/>
      <c r="R754" s="1813"/>
      <c r="S754" s="1813"/>
      <c r="T754" s="1813"/>
      <c r="U754" s="1813"/>
      <c r="V754" s="1813"/>
      <c r="W754" s="1813"/>
      <c r="X754" s="1813"/>
    </row>
    <row r="755" spans="1:24" ht="15.75" customHeight="1">
      <c r="A755" s="1819"/>
      <c r="B755" s="1819"/>
      <c r="C755" s="1819"/>
      <c r="D755" s="1819"/>
      <c r="E755" s="1819"/>
      <c r="F755" s="1819"/>
      <c r="G755" s="1803"/>
      <c r="H755" s="1813"/>
      <c r="I755" s="1813"/>
      <c r="J755" s="1813"/>
      <c r="K755" s="1813"/>
      <c r="L755" s="1813"/>
      <c r="M755" s="1813"/>
      <c r="N755" s="1813"/>
      <c r="O755" s="1813"/>
      <c r="P755" s="1813"/>
      <c r="Q755" s="1813"/>
      <c r="R755" s="1813"/>
      <c r="S755" s="1813"/>
      <c r="T755" s="1813"/>
      <c r="U755" s="1813"/>
      <c r="V755" s="1813"/>
      <c r="W755" s="1813"/>
      <c r="X755" s="1813"/>
    </row>
    <row r="756" spans="1:24" ht="15.75" customHeight="1">
      <c r="A756" s="1819"/>
      <c r="B756" s="1819"/>
      <c r="C756" s="1819"/>
      <c r="D756" s="1819"/>
      <c r="E756" s="1819"/>
      <c r="F756" s="1819"/>
      <c r="G756" s="1803"/>
      <c r="H756" s="1813"/>
      <c r="I756" s="1813"/>
      <c r="J756" s="1813"/>
      <c r="K756" s="1813"/>
      <c r="L756" s="1813"/>
      <c r="M756" s="1813"/>
      <c r="N756" s="1813"/>
      <c r="O756" s="1813"/>
      <c r="P756" s="1813"/>
      <c r="Q756" s="1813"/>
      <c r="R756" s="1813"/>
      <c r="S756" s="1813"/>
      <c r="T756" s="1813"/>
      <c r="U756" s="1813"/>
      <c r="V756" s="1813"/>
      <c r="W756" s="1813"/>
      <c r="X756" s="1813"/>
    </row>
    <row r="757" spans="1:24" ht="15.75" customHeight="1">
      <c r="A757" s="1819"/>
      <c r="B757" s="1819"/>
      <c r="C757" s="1819"/>
      <c r="D757" s="1819"/>
      <c r="E757" s="1819"/>
      <c r="F757" s="1819"/>
      <c r="G757" s="1803"/>
      <c r="H757" s="1813"/>
      <c r="I757" s="1813"/>
      <c r="J757" s="1813"/>
      <c r="K757" s="1813"/>
      <c r="L757" s="1813"/>
      <c r="M757" s="1813"/>
      <c r="N757" s="1813"/>
      <c r="O757" s="1813"/>
      <c r="P757" s="1813"/>
      <c r="Q757" s="1813"/>
      <c r="R757" s="1813"/>
      <c r="S757" s="1813"/>
      <c r="T757" s="1813"/>
      <c r="U757" s="1813"/>
      <c r="V757" s="1813"/>
      <c r="W757" s="1813"/>
      <c r="X757" s="1813"/>
    </row>
    <row r="758" spans="1:24" ht="15.75" customHeight="1">
      <c r="A758" s="1819"/>
      <c r="B758" s="1819"/>
      <c r="C758" s="1819"/>
      <c r="D758" s="1819"/>
      <c r="E758" s="1819"/>
      <c r="F758" s="1819"/>
      <c r="G758" s="1803"/>
      <c r="H758" s="1813"/>
      <c r="I758" s="1813"/>
      <c r="J758" s="1813"/>
      <c r="K758" s="1813"/>
      <c r="L758" s="1813"/>
      <c r="M758" s="1813"/>
      <c r="N758" s="1813"/>
      <c r="O758" s="1813"/>
      <c r="P758" s="1813"/>
      <c r="Q758" s="1813"/>
      <c r="R758" s="1813"/>
      <c r="S758" s="1813"/>
      <c r="T758" s="1813"/>
      <c r="U758" s="1813"/>
      <c r="V758" s="1813"/>
      <c r="W758" s="1813"/>
      <c r="X758" s="1813"/>
    </row>
    <row r="759" spans="1:24" ht="15.75" customHeight="1">
      <c r="A759" s="1819"/>
      <c r="B759" s="1819"/>
      <c r="C759" s="1819"/>
      <c r="D759" s="1819"/>
      <c r="E759" s="1819"/>
      <c r="F759" s="1819"/>
      <c r="G759" s="1803"/>
      <c r="H759" s="1813"/>
      <c r="I759" s="1813"/>
      <c r="J759" s="1813"/>
      <c r="K759" s="1813"/>
      <c r="L759" s="1813"/>
      <c r="M759" s="1813"/>
      <c r="N759" s="1813"/>
      <c r="O759" s="1813"/>
      <c r="P759" s="1813"/>
      <c r="Q759" s="1813"/>
      <c r="R759" s="1813"/>
      <c r="S759" s="1813"/>
      <c r="T759" s="1813"/>
      <c r="U759" s="1813"/>
      <c r="V759" s="1813"/>
      <c r="W759" s="1813"/>
      <c r="X759" s="1813"/>
    </row>
    <row r="760" spans="1:24" ht="15.75" customHeight="1">
      <c r="A760" s="1819"/>
      <c r="B760" s="1819"/>
      <c r="C760" s="1819"/>
      <c r="D760" s="1819"/>
      <c r="E760" s="1819"/>
      <c r="F760" s="1819"/>
      <c r="G760" s="1803"/>
      <c r="H760" s="1813"/>
      <c r="I760" s="1813"/>
      <c r="J760" s="1813"/>
      <c r="K760" s="1813"/>
      <c r="L760" s="1813"/>
      <c r="M760" s="1813"/>
      <c r="N760" s="1813"/>
      <c r="O760" s="1813"/>
      <c r="P760" s="1813"/>
      <c r="Q760" s="1813"/>
      <c r="R760" s="1813"/>
      <c r="S760" s="1813"/>
      <c r="T760" s="1813"/>
      <c r="U760" s="1813"/>
      <c r="V760" s="1813"/>
      <c r="W760" s="1813"/>
      <c r="X760" s="1813"/>
    </row>
    <row r="761" spans="1:24" ht="15.75" customHeight="1">
      <c r="A761" s="1819"/>
      <c r="B761" s="1819"/>
      <c r="C761" s="1819"/>
      <c r="D761" s="1819"/>
      <c r="E761" s="1819"/>
      <c r="F761" s="1819"/>
      <c r="G761" s="1803"/>
      <c r="H761" s="1813"/>
      <c r="I761" s="1813"/>
      <c r="J761" s="1813"/>
      <c r="K761" s="1813"/>
      <c r="L761" s="1813"/>
      <c r="M761" s="1813"/>
      <c r="N761" s="1813"/>
      <c r="O761" s="1813"/>
      <c r="P761" s="1813"/>
      <c r="Q761" s="1813"/>
      <c r="R761" s="1813"/>
      <c r="S761" s="1813"/>
      <c r="T761" s="1813"/>
      <c r="U761" s="1813"/>
      <c r="V761" s="1813"/>
      <c r="W761" s="1813"/>
      <c r="X761" s="1813"/>
    </row>
    <row r="762" spans="1:24" ht="15.75" customHeight="1">
      <c r="A762" s="1819"/>
      <c r="B762" s="1819"/>
      <c r="C762" s="1819"/>
      <c r="D762" s="1819"/>
      <c r="E762" s="1819"/>
      <c r="F762" s="1819"/>
      <c r="G762" s="1803"/>
      <c r="H762" s="1813"/>
      <c r="I762" s="1813"/>
      <c r="J762" s="1813"/>
      <c r="K762" s="1813"/>
      <c r="L762" s="1813"/>
      <c r="M762" s="1813"/>
      <c r="N762" s="1813"/>
      <c r="O762" s="1813"/>
      <c r="P762" s="1813"/>
      <c r="Q762" s="1813"/>
      <c r="R762" s="1813"/>
      <c r="S762" s="1813"/>
      <c r="T762" s="1813"/>
      <c r="U762" s="1813"/>
      <c r="V762" s="1813"/>
      <c r="W762" s="1813"/>
      <c r="X762" s="1813"/>
    </row>
    <row r="763" spans="1:24" ht="15.75" customHeight="1">
      <c r="A763" s="1819"/>
      <c r="B763" s="1819"/>
      <c r="C763" s="1819"/>
      <c r="D763" s="1819"/>
      <c r="E763" s="1819"/>
      <c r="F763" s="1819"/>
      <c r="G763" s="1803"/>
      <c r="H763" s="1813"/>
      <c r="I763" s="1813"/>
      <c r="J763" s="1813"/>
      <c r="K763" s="1813"/>
      <c r="L763" s="1813"/>
      <c r="M763" s="1813"/>
      <c r="N763" s="1813"/>
      <c r="O763" s="1813"/>
      <c r="P763" s="1813"/>
      <c r="Q763" s="1813"/>
      <c r="R763" s="1813"/>
      <c r="S763" s="1813"/>
      <c r="T763" s="1813"/>
      <c r="U763" s="1813"/>
      <c r="V763" s="1813"/>
      <c r="W763" s="1813"/>
      <c r="X763" s="1813"/>
    </row>
    <row r="764" spans="1:24" ht="15.75" customHeight="1">
      <c r="A764" s="1819"/>
      <c r="B764" s="1819"/>
      <c r="C764" s="1819"/>
      <c r="D764" s="1819"/>
      <c r="E764" s="1819"/>
      <c r="F764" s="1819"/>
      <c r="G764" s="1803"/>
      <c r="H764" s="1813"/>
      <c r="I764" s="1813"/>
      <c r="J764" s="1813"/>
      <c r="K764" s="1813"/>
      <c r="L764" s="1813"/>
      <c r="M764" s="1813"/>
      <c r="N764" s="1813"/>
      <c r="O764" s="1813"/>
      <c r="P764" s="1813"/>
      <c r="Q764" s="1813"/>
      <c r="R764" s="1813"/>
      <c r="S764" s="1813"/>
      <c r="T764" s="1813"/>
      <c r="U764" s="1813"/>
      <c r="V764" s="1813"/>
      <c r="W764" s="1813"/>
      <c r="X764" s="1813"/>
    </row>
    <row r="765" spans="1:24" ht="15.75" customHeight="1">
      <c r="A765" s="1819"/>
      <c r="B765" s="1819"/>
      <c r="C765" s="1819"/>
      <c r="D765" s="1819"/>
      <c r="E765" s="1819"/>
      <c r="F765" s="1819"/>
      <c r="G765" s="1803"/>
      <c r="H765" s="1813"/>
      <c r="I765" s="1813"/>
      <c r="J765" s="1813"/>
      <c r="K765" s="1813"/>
      <c r="L765" s="1813"/>
      <c r="M765" s="1813"/>
      <c r="N765" s="1813"/>
      <c r="O765" s="1813"/>
      <c r="P765" s="1813"/>
      <c r="Q765" s="1813"/>
      <c r="R765" s="1813"/>
      <c r="S765" s="1813"/>
      <c r="T765" s="1813"/>
      <c r="U765" s="1813"/>
      <c r="V765" s="1813"/>
      <c r="W765" s="1813"/>
      <c r="X765" s="1813"/>
    </row>
    <row r="766" spans="1:24" ht="15.75" customHeight="1">
      <c r="A766" s="1819"/>
      <c r="B766" s="1819"/>
      <c r="C766" s="1819"/>
      <c r="D766" s="1819"/>
      <c r="E766" s="1819"/>
      <c r="F766" s="1819"/>
      <c r="G766" s="1803"/>
      <c r="H766" s="1813"/>
      <c r="I766" s="1813"/>
      <c r="J766" s="1813"/>
      <c r="K766" s="1813"/>
      <c r="L766" s="1813"/>
      <c r="M766" s="1813"/>
      <c r="N766" s="1813"/>
      <c r="O766" s="1813"/>
      <c r="P766" s="1813"/>
      <c r="Q766" s="1813"/>
      <c r="R766" s="1813"/>
      <c r="S766" s="1813"/>
      <c r="T766" s="1813"/>
      <c r="U766" s="1813"/>
      <c r="V766" s="1813"/>
      <c r="W766" s="1813"/>
      <c r="X766" s="1813"/>
    </row>
    <row r="767" spans="1:24" ht="15.75" customHeight="1">
      <c r="A767" s="1819"/>
      <c r="B767" s="1819"/>
      <c r="C767" s="1819"/>
      <c r="D767" s="1819"/>
      <c r="E767" s="1819"/>
      <c r="F767" s="1819"/>
      <c r="G767" s="1803"/>
      <c r="H767" s="1813"/>
      <c r="I767" s="1813"/>
      <c r="J767" s="1813"/>
      <c r="K767" s="1813"/>
      <c r="L767" s="1813"/>
      <c r="M767" s="1813"/>
      <c r="N767" s="1813"/>
      <c r="O767" s="1813"/>
      <c r="P767" s="1813"/>
      <c r="Q767" s="1813"/>
      <c r="R767" s="1813"/>
      <c r="S767" s="1813"/>
      <c r="T767" s="1813"/>
      <c r="U767" s="1813"/>
      <c r="V767" s="1813"/>
      <c r="W767" s="1813"/>
      <c r="X767" s="1813"/>
    </row>
    <row r="768" spans="1:24" ht="15.75" customHeight="1">
      <c r="A768" s="1819"/>
      <c r="B768" s="1819"/>
      <c r="C768" s="1819"/>
      <c r="D768" s="1819"/>
      <c r="E768" s="1819"/>
      <c r="F768" s="1819"/>
      <c r="G768" s="1803"/>
      <c r="H768" s="1813"/>
      <c r="I768" s="1813"/>
      <c r="J768" s="1813"/>
      <c r="K768" s="1813"/>
      <c r="L768" s="1813"/>
      <c r="M768" s="1813"/>
      <c r="N768" s="1813"/>
      <c r="O768" s="1813"/>
      <c r="P768" s="1813"/>
      <c r="Q768" s="1813"/>
      <c r="R768" s="1813"/>
      <c r="S768" s="1813"/>
      <c r="T768" s="1813"/>
      <c r="U768" s="1813"/>
      <c r="V768" s="1813"/>
      <c r="W768" s="1813"/>
      <c r="X768" s="1813"/>
    </row>
    <row r="769" spans="1:24" ht="15.75" customHeight="1">
      <c r="A769" s="1819"/>
      <c r="B769" s="1819"/>
      <c r="C769" s="1819"/>
      <c r="D769" s="1819"/>
      <c r="E769" s="1819"/>
      <c r="F769" s="1819"/>
      <c r="G769" s="1803"/>
      <c r="H769" s="1813"/>
      <c r="I769" s="1813"/>
      <c r="J769" s="1813"/>
      <c r="K769" s="1813"/>
      <c r="L769" s="1813"/>
      <c r="M769" s="1813"/>
      <c r="N769" s="1813"/>
      <c r="O769" s="1813"/>
      <c r="P769" s="1813"/>
      <c r="Q769" s="1813"/>
      <c r="R769" s="1813"/>
      <c r="S769" s="1813"/>
      <c r="T769" s="1813"/>
      <c r="U769" s="1813"/>
      <c r="V769" s="1813"/>
      <c r="W769" s="1813"/>
      <c r="X769" s="1813"/>
    </row>
    <row r="770" spans="1:24" ht="15.75" customHeight="1">
      <c r="A770" s="1819"/>
      <c r="B770" s="1819"/>
      <c r="C770" s="1819"/>
      <c r="D770" s="1819"/>
      <c r="E770" s="1819"/>
      <c r="F770" s="1819"/>
      <c r="G770" s="1803"/>
      <c r="H770" s="1813"/>
      <c r="I770" s="1813"/>
      <c r="J770" s="1813"/>
      <c r="K770" s="1813"/>
      <c r="L770" s="1813"/>
      <c r="M770" s="1813"/>
      <c r="N770" s="1813"/>
      <c r="O770" s="1813"/>
      <c r="P770" s="1813"/>
      <c r="Q770" s="1813"/>
      <c r="R770" s="1813"/>
      <c r="S770" s="1813"/>
      <c r="T770" s="1813"/>
      <c r="U770" s="1813"/>
      <c r="V770" s="1813"/>
      <c r="W770" s="1813"/>
      <c r="X770" s="1813"/>
    </row>
    <row r="771" spans="1:24" ht="15.75" customHeight="1">
      <c r="A771" s="1819"/>
      <c r="B771" s="1819"/>
      <c r="C771" s="1819"/>
      <c r="D771" s="1819"/>
      <c r="E771" s="1819"/>
      <c r="F771" s="1819"/>
      <c r="G771" s="1803"/>
      <c r="H771" s="1813"/>
      <c r="I771" s="1813"/>
      <c r="J771" s="1813"/>
      <c r="K771" s="1813"/>
      <c r="L771" s="1813"/>
      <c r="M771" s="1813"/>
      <c r="N771" s="1813"/>
      <c r="O771" s="1813"/>
      <c r="P771" s="1813"/>
      <c r="Q771" s="1813"/>
      <c r="R771" s="1813"/>
      <c r="S771" s="1813"/>
      <c r="T771" s="1813"/>
      <c r="U771" s="1813"/>
      <c r="V771" s="1813"/>
      <c r="W771" s="1813"/>
      <c r="X771" s="1813"/>
    </row>
    <row r="772" spans="1:24" ht="15.75" customHeight="1">
      <c r="A772" s="1819"/>
      <c r="B772" s="1819"/>
      <c r="C772" s="1819"/>
      <c r="D772" s="1819"/>
      <c r="E772" s="1819"/>
      <c r="F772" s="1819"/>
      <c r="G772" s="1803"/>
      <c r="H772" s="1813"/>
      <c r="I772" s="1813"/>
      <c r="J772" s="1813"/>
      <c r="K772" s="1813"/>
      <c r="L772" s="1813"/>
      <c r="M772" s="1813"/>
      <c r="N772" s="1813"/>
      <c r="O772" s="1813"/>
      <c r="P772" s="1813"/>
      <c r="Q772" s="1813"/>
      <c r="R772" s="1813"/>
      <c r="S772" s="1813"/>
      <c r="T772" s="1813"/>
      <c r="U772" s="1813"/>
      <c r="V772" s="1813"/>
      <c r="W772" s="1813"/>
      <c r="X772" s="1813"/>
    </row>
    <row r="773" spans="1:24" ht="15.75" customHeight="1">
      <c r="A773" s="1819"/>
      <c r="B773" s="1819"/>
      <c r="C773" s="1819"/>
      <c r="D773" s="1819"/>
      <c r="E773" s="1819"/>
      <c r="F773" s="1819"/>
      <c r="G773" s="1803"/>
      <c r="H773" s="1813"/>
      <c r="I773" s="1813"/>
      <c r="J773" s="1813"/>
      <c r="K773" s="1813"/>
      <c r="L773" s="1813"/>
      <c r="M773" s="1813"/>
      <c r="N773" s="1813"/>
      <c r="O773" s="1813"/>
      <c r="P773" s="1813"/>
      <c r="Q773" s="1813"/>
      <c r="R773" s="1813"/>
      <c r="S773" s="1813"/>
      <c r="T773" s="1813"/>
      <c r="U773" s="1813"/>
      <c r="V773" s="1813"/>
      <c r="W773" s="1813"/>
      <c r="X773" s="1813"/>
    </row>
    <row r="774" spans="1:24" ht="15.75" customHeight="1">
      <c r="A774" s="1819"/>
      <c r="B774" s="1819"/>
      <c r="C774" s="1819"/>
      <c r="D774" s="1819"/>
      <c r="E774" s="1819"/>
      <c r="F774" s="1819"/>
      <c r="G774" s="1803"/>
      <c r="H774" s="1813"/>
      <c r="I774" s="1813"/>
      <c r="J774" s="1813"/>
      <c r="K774" s="1813"/>
      <c r="L774" s="1813"/>
      <c r="M774" s="1813"/>
      <c r="N774" s="1813"/>
      <c r="O774" s="1813"/>
      <c r="P774" s="1813"/>
      <c r="Q774" s="1813"/>
      <c r="R774" s="1813"/>
      <c r="S774" s="1813"/>
      <c r="T774" s="1813"/>
      <c r="U774" s="1813"/>
      <c r="V774" s="1813"/>
      <c r="W774" s="1813"/>
      <c r="X774" s="1813"/>
    </row>
    <row r="775" spans="1:24" ht="15.75" customHeight="1">
      <c r="A775" s="1819"/>
      <c r="B775" s="1819"/>
      <c r="C775" s="1819"/>
      <c r="D775" s="1819"/>
      <c r="E775" s="1819"/>
      <c r="F775" s="1819"/>
      <c r="G775" s="1803"/>
      <c r="H775" s="1813"/>
      <c r="I775" s="1813"/>
      <c r="J775" s="1813"/>
      <c r="K775" s="1813"/>
      <c r="L775" s="1813"/>
      <c r="M775" s="1813"/>
      <c r="N775" s="1813"/>
      <c r="O775" s="1813"/>
      <c r="P775" s="1813"/>
      <c r="Q775" s="1813"/>
      <c r="R775" s="1813"/>
      <c r="S775" s="1813"/>
      <c r="T775" s="1813"/>
      <c r="U775" s="1813"/>
      <c r="V775" s="1813"/>
      <c r="W775" s="1813"/>
      <c r="X775" s="1813"/>
    </row>
    <row r="776" spans="1:24" ht="15.75" customHeight="1">
      <c r="A776" s="1819"/>
      <c r="B776" s="1819"/>
      <c r="C776" s="1819"/>
      <c r="D776" s="1819"/>
      <c r="E776" s="1819"/>
      <c r="F776" s="1819"/>
      <c r="G776" s="1803"/>
      <c r="H776" s="1813"/>
      <c r="I776" s="1813"/>
      <c r="J776" s="1813"/>
      <c r="K776" s="1813"/>
      <c r="L776" s="1813"/>
      <c r="M776" s="1813"/>
      <c r="N776" s="1813"/>
      <c r="O776" s="1813"/>
      <c r="P776" s="1813"/>
      <c r="Q776" s="1813"/>
      <c r="R776" s="1813"/>
      <c r="S776" s="1813"/>
      <c r="T776" s="1813"/>
      <c r="U776" s="1813"/>
      <c r="V776" s="1813"/>
      <c r="W776" s="1813"/>
      <c r="X776" s="1813"/>
    </row>
    <row r="777" spans="1:24" ht="15.75" customHeight="1">
      <c r="A777" s="1819"/>
      <c r="B777" s="1819"/>
      <c r="C777" s="1819"/>
      <c r="D777" s="1819"/>
      <c r="E777" s="1819"/>
      <c r="F777" s="1819"/>
      <c r="G777" s="1803"/>
      <c r="H777" s="1813"/>
      <c r="I777" s="1813"/>
      <c r="J777" s="1813"/>
      <c r="K777" s="1813"/>
      <c r="L777" s="1813"/>
      <c r="M777" s="1813"/>
      <c r="N777" s="1813"/>
      <c r="O777" s="1813"/>
      <c r="P777" s="1813"/>
      <c r="Q777" s="1813"/>
      <c r="R777" s="1813"/>
      <c r="S777" s="1813"/>
      <c r="T777" s="1813"/>
      <c r="U777" s="1813"/>
      <c r="V777" s="1813"/>
      <c r="W777" s="1813"/>
      <c r="X777" s="1813"/>
    </row>
    <row r="778" spans="1:24" ht="15.75" customHeight="1">
      <c r="A778" s="1819"/>
      <c r="B778" s="1819"/>
      <c r="C778" s="1819"/>
      <c r="D778" s="1819"/>
      <c r="E778" s="1819"/>
      <c r="F778" s="1819"/>
      <c r="G778" s="1803"/>
      <c r="H778" s="1813"/>
      <c r="I778" s="1813"/>
      <c r="J778" s="1813"/>
      <c r="K778" s="1813"/>
      <c r="L778" s="1813"/>
      <c r="M778" s="1813"/>
      <c r="N778" s="1813"/>
      <c r="O778" s="1813"/>
      <c r="P778" s="1813"/>
      <c r="Q778" s="1813"/>
      <c r="R778" s="1813"/>
      <c r="S778" s="1813"/>
      <c r="T778" s="1813"/>
      <c r="U778" s="1813"/>
      <c r="V778" s="1813"/>
      <c r="W778" s="1813"/>
      <c r="X778" s="1813"/>
    </row>
    <row r="779" spans="1:24" ht="15.75" customHeight="1">
      <c r="A779" s="1819"/>
      <c r="B779" s="1819"/>
      <c r="C779" s="1819"/>
      <c r="D779" s="1819"/>
      <c r="E779" s="1819"/>
      <c r="F779" s="1819"/>
      <c r="G779" s="1803"/>
      <c r="H779" s="1813"/>
      <c r="I779" s="1813"/>
      <c r="J779" s="1813"/>
      <c r="K779" s="1813"/>
      <c r="L779" s="1813"/>
      <c r="M779" s="1813"/>
      <c r="N779" s="1813"/>
      <c r="O779" s="1813"/>
      <c r="P779" s="1813"/>
      <c r="Q779" s="1813"/>
      <c r="R779" s="1813"/>
      <c r="S779" s="1813"/>
      <c r="T779" s="1813"/>
      <c r="U779" s="1813"/>
      <c r="V779" s="1813"/>
      <c r="W779" s="1813"/>
      <c r="X779" s="1813"/>
    </row>
    <row r="780" spans="1:24" ht="15.75" customHeight="1">
      <c r="A780" s="1819"/>
      <c r="B780" s="1819"/>
      <c r="C780" s="1819"/>
      <c r="D780" s="1819"/>
      <c r="E780" s="1819"/>
      <c r="F780" s="1819"/>
      <c r="G780" s="1803"/>
      <c r="H780" s="1813"/>
      <c r="I780" s="1813"/>
      <c r="J780" s="1813"/>
      <c r="K780" s="1813"/>
      <c r="L780" s="1813"/>
      <c r="M780" s="1813"/>
      <c r="N780" s="1813"/>
      <c r="O780" s="1813"/>
      <c r="P780" s="1813"/>
      <c r="Q780" s="1813"/>
      <c r="R780" s="1813"/>
      <c r="S780" s="1813"/>
      <c r="T780" s="1813"/>
      <c r="U780" s="1813"/>
      <c r="V780" s="1813"/>
      <c r="W780" s="1813"/>
      <c r="X780" s="1813"/>
    </row>
    <row r="781" spans="1:24" ht="15.75" customHeight="1">
      <c r="A781" s="1819"/>
      <c r="B781" s="1819"/>
      <c r="C781" s="1819"/>
      <c r="D781" s="1819"/>
      <c r="E781" s="1819"/>
      <c r="F781" s="1819"/>
      <c r="G781" s="1803"/>
      <c r="H781" s="1813"/>
      <c r="I781" s="1813"/>
      <c r="J781" s="1813"/>
      <c r="K781" s="1813"/>
      <c r="L781" s="1813"/>
      <c r="M781" s="1813"/>
      <c r="N781" s="1813"/>
      <c r="O781" s="1813"/>
      <c r="P781" s="1813"/>
      <c r="Q781" s="1813"/>
      <c r="R781" s="1813"/>
      <c r="S781" s="1813"/>
      <c r="T781" s="1813"/>
      <c r="U781" s="1813"/>
      <c r="V781" s="1813"/>
      <c r="W781" s="1813"/>
      <c r="X781" s="1813"/>
    </row>
    <row r="782" spans="1:24" ht="15.75" customHeight="1">
      <c r="A782" s="1819"/>
      <c r="B782" s="1819"/>
      <c r="C782" s="1819"/>
      <c r="D782" s="1819"/>
      <c r="E782" s="1819"/>
      <c r="F782" s="1819"/>
      <c r="G782" s="1803"/>
      <c r="H782" s="1813"/>
      <c r="I782" s="1813"/>
      <c r="J782" s="1813"/>
      <c r="K782" s="1813"/>
      <c r="L782" s="1813"/>
      <c r="M782" s="1813"/>
      <c r="N782" s="1813"/>
      <c r="O782" s="1813"/>
      <c r="P782" s="1813"/>
      <c r="Q782" s="1813"/>
      <c r="R782" s="1813"/>
      <c r="S782" s="1813"/>
      <c r="T782" s="1813"/>
      <c r="U782" s="1813"/>
      <c r="V782" s="1813"/>
      <c r="W782" s="1813"/>
      <c r="X782" s="1813"/>
    </row>
    <row r="783" spans="1:24" ht="15.75" customHeight="1">
      <c r="A783" s="1819"/>
      <c r="B783" s="1819"/>
      <c r="C783" s="1819"/>
      <c r="D783" s="1819"/>
      <c r="E783" s="1819"/>
      <c r="F783" s="1819"/>
      <c r="G783" s="1803"/>
      <c r="H783" s="1813"/>
      <c r="I783" s="1813"/>
      <c r="J783" s="1813"/>
      <c r="K783" s="1813"/>
      <c r="L783" s="1813"/>
      <c r="M783" s="1813"/>
      <c r="N783" s="1813"/>
      <c r="O783" s="1813"/>
      <c r="P783" s="1813"/>
      <c r="Q783" s="1813"/>
      <c r="R783" s="1813"/>
      <c r="S783" s="1813"/>
      <c r="T783" s="1813"/>
      <c r="U783" s="1813"/>
      <c r="V783" s="1813"/>
      <c r="W783" s="1813"/>
      <c r="X783" s="1813"/>
    </row>
    <row r="784" spans="1:24" ht="15.75" customHeight="1">
      <c r="A784" s="1819"/>
      <c r="B784" s="1819"/>
      <c r="C784" s="1819"/>
      <c r="D784" s="1819"/>
      <c r="E784" s="1819"/>
      <c r="F784" s="1819"/>
      <c r="G784" s="1803"/>
      <c r="H784" s="1813"/>
      <c r="I784" s="1813"/>
      <c r="J784" s="1813"/>
      <c r="K784" s="1813"/>
      <c r="L784" s="1813"/>
      <c r="M784" s="1813"/>
      <c r="N784" s="1813"/>
      <c r="O784" s="1813"/>
      <c r="P784" s="1813"/>
      <c r="Q784" s="1813"/>
      <c r="R784" s="1813"/>
      <c r="S784" s="1813"/>
      <c r="T784" s="1813"/>
      <c r="U784" s="1813"/>
      <c r="V784" s="1813"/>
      <c r="W784" s="1813"/>
      <c r="X784" s="1813"/>
    </row>
    <row r="785" spans="1:24" ht="15.75" customHeight="1">
      <c r="A785" s="1819"/>
      <c r="B785" s="1819"/>
      <c r="C785" s="1819"/>
      <c r="D785" s="1819"/>
      <c r="E785" s="1819"/>
      <c r="F785" s="1819"/>
      <c r="G785" s="1803"/>
      <c r="H785" s="1813"/>
      <c r="I785" s="1813"/>
      <c r="J785" s="1813"/>
      <c r="K785" s="1813"/>
      <c r="L785" s="1813"/>
      <c r="M785" s="1813"/>
      <c r="N785" s="1813"/>
      <c r="O785" s="1813"/>
      <c r="P785" s="1813"/>
      <c r="Q785" s="1813"/>
      <c r="R785" s="1813"/>
      <c r="S785" s="1813"/>
      <c r="T785" s="1813"/>
      <c r="U785" s="1813"/>
      <c r="V785" s="1813"/>
      <c r="W785" s="1813"/>
      <c r="X785" s="1813"/>
    </row>
    <row r="786" spans="1:24" ht="15.75" customHeight="1">
      <c r="A786" s="1819"/>
      <c r="B786" s="1819"/>
      <c r="C786" s="1819"/>
      <c r="D786" s="1819"/>
      <c r="E786" s="1819"/>
      <c r="F786" s="1819"/>
      <c r="G786" s="1803"/>
      <c r="H786" s="1813"/>
      <c r="I786" s="1813"/>
      <c r="J786" s="1813"/>
      <c r="K786" s="1813"/>
      <c r="L786" s="1813"/>
      <c r="M786" s="1813"/>
      <c r="N786" s="1813"/>
      <c r="O786" s="1813"/>
      <c r="P786" s="1813"/>
      <c r="Q786" s="1813"/>
      <c r="R786" s="1813"/>
      <c r="S786" s="1813"/>
      <c r="T786" s="1813"/>
      <c r="U786" s="1813"/>
      <c r="V786" s="1813"/>
      <c r="W786" s="1813"/>
      <c r="X786" s="1813"/>
    </row>
    <row r="787" spans="1:24" ht="15.75" customHeight="1">
      <c r="A787" s="1819"/>
      <c r="B787" s="1819"/>
      <c r="C787" s="1819"/>
      <c r="D787" s="1819"/>
      <c r="E787" s="1819"/>
      <c r="F787" s="1819"/>
      <c r="G787" s="1803"/>
      <c r="H787" s="1813"/>
      <c r="I787" s="1813"/>
      <c r="J787" s="1813"/>
      <c r="K787" s="1813"/>
      <c r="L787" s="1813"/>
      <c r="M787" s="1813"/>
      <c r="N787" s="1813"/>
      <c r="O787" s="1813"/>
      <c r="P787" s="1813"/>
      <c r="Q787" s="1813"/>
      <c r="R787" s="1813"/>
      <c r="S787" s="1813"/>
      <c r="T787" s="1813"/>
      <c r="U787" s="1813"/>
      <c r="V787" s="1813"/>
      <c r="W787" s="1813"/>
      <c r="X787" s="1813"/>
    </row>
    <row r="788" spans="1:24" ht="15.75" customHeight="1">
      <c r="A788" s="1819"/>
      <c r="B788" s="1819"/>
      <c r="C788" s="1819"/>
      <c r="D788" s="1819"/>
      <c r="E788" s="1819"/>
      <c r="F788" s="1819"/>
      <c r="G788" s="1803"/>
      <c r="H788" s="1813"/>
      <c r="I788" s="1813"/>
      <c r="J788" s="1813"/>
      <c r="K788" s="1813"/>
      <c r="L788" s="1813"/>
      <c r="M788" s="1813"/>
      <c r="N788" s="1813"/>
      <c r="O788" s="1813"/>
      <c r="P788" s="1813"/>
      <c r="Q788" s="1813"/>
      <c r="R788" s="1813"/>
      <c r="S788" s="1813"/>
      <c r="T788" s="1813"/>
      <c r="U788" s="1813"/>
      <c r="V788" s="1813"/>
      <c r="W788" s="1813"/>
      <c r="X788" s="1813"/>
    </row>
    <row r="789" spans="1:24" ht="15.75" customHeight="1">
      <c r="A789" s="1819"/>
      <c r="B789" s="1819"/>
      <c r="C789" s="1819"/>
      <c r="D789" s="1819"/>
      <c r="E789" s="1819"/>
      <c r="F789" s="1819"/>
      <c r="G789" s="1803"/>
      <c r="H789" s="1813"/>
      <c r="I789" s="1813"/>
      <c r="J789" s="1813"/>
      <c r="K789" s="1813"/>
      <c r="L789" s="1813"/>
      <c r="M789" s="1813"/>
      <c r="N789" s="1813"/>
      <c r="O789" s="1813"/>
      <c r="P789" s="1813"/>
      <c r="Q789" s="1813"/>
      <c r="R789" s="1813"/>
      <c r="S789" s="1813"/>
      <c r="T789" s="1813"/>
      <c r="U789" s="1813"/>
      <c r="V789" s="1813"/>
      <c r="W789" s="1813"/>
      <c r="X789" s="1813"/>
    </row>
    <row r="790" spans="1:24" ht="15.75" customHeight="1">
      <c r="A790" s="1819"/>
      <c r="B790" s="1819"/>
      <c r="C790" s="1819"/>
      <c r="D790" s="1819"/>
      <c r="E790" s="1819"/>
      <c r="F790" s="1819"/>
      <c r="G790" s="1803"/>
      <c r="H790" s="1813"/>
      <c r="I790" s="1813"/>
      <c r="J790" s="1813"/>
      <c r="K790" s="1813"/>
      <c r="L790" s="1813"/>
      <c r="M790" s="1813"/>
      <c r="N790" s="1813"/>
      <c r="O790" s="1813"/>
      <c r="P790" s="1813"/>
      <c r="Q790" s="1813"/>
      <c r="R790" s="1813"/>
      <c r="S790" s="1813"/>
      <c r="T790" s="1813"/>
      <c r="U790" s="1813"/>
      <c r="V790" s="1813"/>
      <c r="W790" s="1813"/>
      <c r="X790" s="1813"/>
    </row>
    <row r="791" spans="1:24" ht="15.75" customHeight="1">
      <c r="A791" s="1819"/>
      <c r="B791" s="1819"/>
      <c r="C791" s="1819"/>
      <c r="D791" s="1819"/>
      <c r="E791" s="1819"/>
      <c r="F791" s="1819"/>
      <c r="G791" s="1803"/>
      <c r="H791" s="1813"/>
      <c r="I791" s="1813"/>
      <c r="J791" s="1813"/>
      <c r="K791" s="1813"/>
      <c r="L791" s="1813"/>
      <c r="M791" s="1813"/>
      <c r="N791" s="1813"/>
      <c r="O791" s="1813"/>
      <c r="P791" s="1813"/>
      <c r="Q791" s="1813"/>
      <c r="R791" s="1813"/>
      <c r="S791" s="1813"/>
      <c r="T791" s="1813"/>
      <c r="U791" s="1813"/>
      <c r="V791" s="1813"/>
      <c r="W791" s="1813"/>
      <c r="X791" s="1813"/>
    </row>
    <row r="792" spans="1:24" ht="15.75" customHeight="1">
      <c r="A792" s="1819"/>
      <c r="B792" s="1819"/>
      <c r="C792" s="1819"/>
      <c r="D792" s="1819"/>
      <c r="E792" s="1819"/>
      <c r="F792" s="1819"/>
      <c r="G792" s="1803"/>
      <c r="H792" s="1813"/>
      <c r="I792" s="1813"/>
      <c r="J792" s="1813"/>
      <c r="K792" s="1813"/>
      <c r="L792" s="1813"/>
      <c r="M792" s="1813"/>
      <c r="N792" s="1813"/>
      <c r="O792" s="1813"/>
      <c r="P792" s="1813"/>
      <c r="Q792" s="1813"/>
      <c r="R792" s="1813"/>
      <c r="S792" s="1813"/>
      <c r="T792" s="1813"/>
      <c r="U792" s="1813"/>
      <c r="V792" s="1813"/>
      <c r="W792" s="1813"/>
      <c r="X792" s="1813"/>
    </row>
    <row r="793" spans="1:24" ht="15.75" customHeight="1">
      <c r="A793" s="1819"/>
      <c r="B793" s="1819"/>
      <c r="C793" s="1819"/>
      <c r="D793" s="1819"/>
      <c r="E793" s="1819"/>
      <c r="F793" s="1819"/>
      <c r="G793" s="1803"/>
      <c r="H793" s="1813"/>
      <c r="I793" s="1813"/>
      <c r="J793" s="1813"/>
      <c r="K793" s="1813"/>
      <c r="L793" s="1813"/>
      <c r="M793" s="1813"/>
      <c r="N793" s="1813"/>
      <c r="O793" s="1813"/>
      <c r="P793" s="1813"/>
      <c r="Q793" s="1813"/>
      <c r="R793" s="1813"/>
      <c r="S793" s="1813"/>
      <c r="T793" s="1813"/>
      <c r="U793" s="1813"/>
      <c r="V793" s="1813"/>
      <c r="W793" s="1813"/>
      <c r="X793" s="1813"/>
    </row>
    <row r="794" spans="1:24" ht="15.75" customHeight="1">
      <c r="A794" s="1819"/>
      <c r="B794" s="1819"/>
      <c r="C794" s="1819"/>
      <c r="D794" s="1819"/>
      <c r="E794" s="1819"/>
      <c r="F794" s="1819"/>
      <c r="G794" s="1803"/>
      <c r="H794" s="1813"/>
      <c r="I794" s="1813"/>
      <c r="J794" s="1813"/>
      <c r="K794" s="1813"/>
      <c r="L794" s="1813"/>
      <c r="M794" s="1813"/>
      <c r="N794" s="1813"/>
      <c r="O794" s="1813"/>
      <c r="P794" s="1813"/>
      <c r="Q794" s="1813"/>
      <c r="R794" s="1813"/>
      <c r="S794" s="1813"/>
      <c r="T794" s="1813"/>
      <c r="U794" s="1813"/>
      <c r="V794" s="1813"/>
      <c r="W794" s="1813"/>
      <c r="X794" s="1813"/>
    </row>
    <row r="795" spans="1:24" ht="15.75" customHeight="1">
      <c r="A795" s="1819"/>
      <c r="B795" s="1819"/>
      <c r="C795" s="1819"/>
      <c r="D795" s="1819"/>
      <c r="E795" s="1819"/>
      <c r="F795" s="1819"/>
      <c r="G795" s="1803"/>
      <c r="H795" s="1813"/>
      <c r="I795" s="1813"/>
      <c r="J795" s="1813"/>
      <c r="K795" s="1813"/>
      <c r="L795" s="1813"/>
      <c r="M795" s="1813"/>
      <c r="N795" s="1813"/>
      <c r="O795" s="1813"/>
      <c r="P795" s="1813"/>
      <c r="Q795" s="1813"/>
      <c r="R795" s="1813"/>
      <c r="S795" s="1813"/>
      <c r="T795" s="1813"/>
      <c r="U795" s="1813"/>
      <c r="V795" s="1813"/>
      <c r="W795" s="1813"/>
      <c r="X795" s="1813"/>
    </row>
    <row r="796" spans="1:24" ht="15.75" customHeight="1">
      <c r="A796" s="1819"/>
      <c r="B796" s="1819"/>
      <c r="C796" s="1819"/>
      <c r="D796" s="1819"/>
      <c r="E796" s="1819"/>
      <c r="F796" s="1819"/>
      <c r="G796" s="1803"/>
      <c r="H796" s="1813"/>
      <c r="I796" s="1813"/>
      <c r="J796" s="1813"/>
      <c r="K796" s="1813"/>
      <c r="L796" s="1813"/>
      <c r="M796" s="1813"/>
      <c r="N796" s="1813"/>
      <c r="O796" s="1813"/>
      <c r="P796" s="1813"/>
      <c r="Q796" s="1813"/>
      <c r="R796" s="1813"/>
      <c r="S796" s="1813"/>
      <c r="T796" s="1813"/>
      <c r="U796" s="1813"/>
      <c r="V796" s="1813"/>
      <c r="W796" s="1813"/>
      <c r="X796" s="1813"/>
    </row>
    <row r="797" spans="1:24" ht="15.75" customHeight="1">
      <c r="A797" s="1819"/>
      <c r="B797" s="1819"/>
      <c r="C797" s="1819"/>
      <c r="D797" s="1819"/>
      <c r="E797" s="1819"/>
      <c r="F797" s="1819"/>
      <c r="G797" s="1803"/>
      <c r="H797" s="1813"/>
      <c r="I797" s="1813"/>
      <c r="J797" s="1813"/>
      <c r="K797" s="1813"/>
      <c r="L797" s="1813"/>
      <c r="M797" s="1813"/>
      <c r="N797" s="1813"/>
      <c r="O797" s="1813"/>
      <c r="P797" s="1813"/>
      <c r="Q797" s="1813"/>
      <c r="R797" s="1813"/>
      <c r="S797" s="1813"/>
      <c r="T797" s="1813"/>
      <c r="U797" s="1813"/>
      <c r="V797" s="1813"/>
      <c r="W797" s="1813"/>
      <c r="X797" s="1813"/>
    </row>
    <row r="798" spans="1:24" ht="15.75" customHeight="1">
      <c r="A798" s="1819"/>
      <c r="B798" s="1819"/>
      <c r="C798" s="1819"/>
      <c r="D798" s="1819"/>
      <c r="E798" s="1819"/>
      <c r="F798" s="1819"/>
      <c r="G798" s="1803"/>
      <c r="H798" s="1813"/>
      <c r="I798" s="1813"/>
      <c r="J798" s="1813"/>
      <c r="K798" s="1813"/>
      <c r="L798" s="1813"/>
      <c r="M798" s="1813"/>
      <c r="N798" s="1813"/>
      <c r="O798" s="1813"/>
      <c r="P798" s="1813"/>
      <c r="Q798" s="1813"/>
      <c r="R798" s="1813"/>
      <c r="S798" s="1813"/>
      <c r="T798" s="1813"/>
      <c r="U798" s="1813"/>
      <c r="V798" s="1813"/>
      <c r="W798" s="1813"/>
      <c r="X798" s="1813"/>
    </row>
    <row r="799" spans="1:24" ht="15.75" customHeight="1">
      <c r="A799" s="1819"/>
      <c r="B799" s="1819"/>
      <c r="C799" s="1819"/>
      <c r="D799" s="1819"/>
      <c r="E799" s="1819"/>
      <c r="F799" s="1819"/>
      <c r="G799" s="1803"/>
      <c r="H799" s="1813"/>
      <c r="I799" s="1813"/>
      <c r="J799" s="1813"/>
      <c r="K799" s="1813"/>
      <c r="L799" s="1813"/>
      <c r="M799" s="1813"/>
      <c r="N799" s="1813"/>
      <c r="O799" s="1813"/>
      <c r="P799" s="1813"/>
      <c r="Q799" s="1813"/>
      <c r="R799" s="1813"/>
      <c r="S799" s="1813"/>
      <c r="T799" s="1813"/>
      <c r="U799" s="1813"/>
      <c r="V799" s="1813"/>
      <c r="W799" s="1813"/>
      <c r="X799" s="1813"/>
    </row>
    <row r="800" spans="1:24" ht="15.75" customHeight="1">
      <c r="A800" s="1819"/>
      <c r="B800" s="1819"/>
      <c r="C800" s="1819"/>
      <c r="D800" s="1819"/>
      <c r="E800" s="1819"/>
      <c r="F800" s="1819"/>
      <c r="G800" s="1803"/>
      <c r="H800" s="1813"/>
      <c r="I800" s="1813"/>
      <c r="J800" s="1813"/>
      <c r="K800" s="1813"/>
      <c r="L800" s="1813"/>
      <c r="M800" s="1813"/>
      <c r="N800" s="1813"/>
      <c r="O800" s="1813"/>
      <c r="P800" s="1813"/>
      <c r="Q800" s="1813"/>
      <c r="R800" s="1813"/>
      <c r="S800" s="1813"/>
      <c r="T800" s="1813"/>
      <c r="U800" s="1813"/>
      <c r="V800" s="1813"/>
      <c r="W800" s="1813"/>
      <c r="X800" s="1813"/>
    </row>
    <row r="801" spans="1:24" ht="15.75" customHeight="1">
      <c r="A801" s="1819"/>
      <c r="B801" s="1819"/>
      <c r="C801" s="1819"/>
      <c r="D801" s="1819"/>
      <c r="E801" s="1819"/>
      <c r="F801" s="1819"/>
      <c r="G801" s="1803"/>
      <c r="H801" s="1813"/>
      <c r="I801" s="1813"/>
      <c r="J801" s="1813"/>
      <c r="K801" s="1813"/>
      <c r="L801" s="1813"/>
      <c r="M801" s="1813"/>
      <c r="N801" s="1813"/>
      <c r="O801" s="1813"/>
      <c r="P801" s="1813"/>
      <c r="Q801" s="1813"/>
      <c r="R801" s="1813"/>
      <c r="S801" s="1813"/>
      <c r="T801" s="1813"/>
      <c r="U801" s="1813"/>
      <c r="V801" s="1813"/>
      <c r="W801" s="1813"/>
      <c r="X801" s="1813"/>
    </row>
    <row r="802" spans="1:24" ht="15.75" customHeight="1">
      <c r="A802" s="1819"/>
      <c r="B802" s="1819"/>
      <c r="C802" s="1819"/>
      <c r="D802" s="1819"/>
      <c r="E802" s="1819"/>
      <c r="F802" s="1819"/>
      <c r="G802" s="1803"/>
      <c r="H802" s="1813"/>
      <c r="I802" s="1813"/>
      <c r="J802" s="1813"/>
      <c r="K802" s="1813"/>
      <c r="L802" s="1813"/>
      <c r="M802" s="1813"/>
      <c r="N802" s="1813"/>
      <c r="O802" s="1813"/>
      <c r="P802" s="1813"/>
      <c r="Q802" s="1813"/>
      <c r="R802" s="1813"/>
      <c r="S802" s="1813"/>
      <c r="T802" s="1813"/>
      <c r="U802" s="1813"/>
      <c r="V802" s="1813"/>
      <c r="W802" s="1813"/>
      <c r="X802" s="1813"/>
    </row>
    <row r="803" spans="1:24" ht="15.75" customHeight="1">
      <c r="A803" s="1819"/>
      <c r="B803" s="1819"/>
      <c r="C803" s="1819"/>
      <c r="D803" s="1819"/>
      <c r="E803" s="1819"/>
      <c r="F803" s="1819"/>
      <c r="G803" s="1803"/>
      <c r="H803" s="1813"/>
      <c r="I803" s="1813"/>
      <c r="J803" s="1813"/>
      <c r="K803" s="1813"/>
      <c r="L803" s="1813"/>
      <c r="M803" s="1813"/>
      <c r="N803" s="1813"/>
      <c r="O803" s="1813"/>
      <c r="P803" s="1813"/>
      <c r="Q803" s="1813"/>
      <c r="R803" s="1813"/>
      <c r="S803" s="1813"/>
      <c r="T803" s="1813"/>
      <c r="U803" s="1813"/>
      <c r="V803" s="1813"/>
      <c r="W803" s="1813"/>
      <c r="X803" s="1813"/>
    </row>
    <row r="804" spans="1:24" ht="15.75" customHeight="1">
      <c r="A804" s="1819"/>
      <c r="B804" s="1819"/>
      <c r="C804" s="1819"/>
      <c r="D804" s="1819"/>
      <c r="E804" s="1819"/>
      <c r="F804" s="1819"/>
      <c r="G804" s="1803"/>
      <c r="H804" s="1813"/>
      <c r="I804" s="1813"/>
      <c r="J804" s="1813"/>
      <c r="K804" s="1813"/>
      <c r="L804" s="1813"/>
      <c r="M804" s="1813"/>
      <c r="N804" s="1813"/>
      <c r="O804" s="1813"/>
      <c r="P804" s="1813"/>
      <c r="Q804" s="1813"/>
      <c r="R804" s="1813"/>
      <c r="S804" s="1813"/>
      <c r="T804" s="1813"/>
      <c r="U804" s="1813"/>
      <c r="V804" s="1813"/>
      <c r="W804" s="1813"/>
      <c r="X804" s="1813"/>
    </row>
    <row r="805" spans="1:24" ht="15.75" customHeight="1">
      <c r="A805" s="1819"/>
      <c r="B805" s="1819"/>
      <c r="C805" s="1819"/>
      <c r="D805" s="1819"/>
      <c r="E805" s="1819"/>
      <c r="F805" s="1819"/>
      <c r="G805" s="1803"/>
      <c r="H805" s="1813"/>
      <c r="I805" s="1813"/>
      <c r="J805" s="1813"/>
      <c r="K805" s="1813"/>
      <c r="L805" s="1813"/>
      <c r="M805" s="1813"/>
      <c r="N805" s="1813"/>
      <c r="O805" s="1813"/>
      <c r="P805" s="1813"/>
      <c r="Q805" s="1813"/>
      <c r="R805" s="1813"/>
      <c r="S805" s="1813"/>
      <c r="T805" s="1813"/>
      <c r="U805" s="1813"/>
      <c r="V805" s="1813"/>
      <c r="W805" s="1813"/>
      <c r="X805" s="1813"/>
    </row>
    <row r="806" spans="1:24" ht="15.75" customHeight="1">
      <c r="A806" s="1819"/>
      <c r="B806" s="1819"/>
      <c r="C806" s="1819"/>
      <c r="D806" s="1819"/>
      <c r="E806" s="1819"/>
      <c r="F806" s="1819"/>
      <c r="G806" s="1803"/>
      <c r="H806" s="1813"/>
      <c r="I806" s="1813"/>
      <c r="J806" s="1813"/>
      <c r="K806" s="1813"/>
      <c r="L806" s="1813"/>
      <c r="M806" s="1813"/>
      <c r="N806" s="1813"/>
      <c r="O806" s="1813"/>
      <c r="P806" s="1813"/>
      <c r="Q806" s="1813"/>
      <c r="R806" s="1813"/>
      <c r="S806" s="1813"/>
      <c r="T806" s="1813"/>
      <c r="U806" s="1813"/>
      <c r="V806" s="1813"/>
      <c r="W806" s="1813"/>
      <c r="X806" s="1813"/>
    </row>
    <row r="807" spans="1:24" ht="15.75" customHeight="1">
      <c r="A807" s="1819"/>
      <c r="B807" s="1819"/>
      <c r="C807" s="1819"/>
      <c r="D807" s="1819"/>
      <c r="E807" s="1819"/>
      <c r="F807" s="1819"/>
      <c r="G807" s="1803"/>
      <c r="H807" s="1813"/>
      <c r="I807" s="1813"/>
      <c r="J807" s="1813"/>
      <c r="K807" s="1813"/>
      <c r="L807" s="1813"/>
      <c r="M807" s="1813"/>
      <c r="N807" s="1813"/>
      <c r="O807" s="1813"/>
      <c r="P807" s="1813"/>
      <c r="Q807" s="1813"/>
      <c r="R807" s="1813"/>
      <c r="S807" s="1813"/>
      <c r="T807" s="1813"/>
      <c r="U807" s="1813"/>
      <c r="V807" s="1813"/>
      <c r="W807" s="1813"/>
      <c r="X807" s="1813"/>
    </row>
    <row r="808" spans="1:24" ht="15.75" customHeight="1">
      <c r="A808" s="1819"/>
      <c r="B808" s="1819"/>
      <c r="C808" s="1819"/>
      <c r="D808" s="1819"/>
      <c r="E808" s="1819"/>
      <c r="F808" s="1819"/>
      <c r="G808" s="1803"/>
      <c r="H808" s="1813"/>
      <c r="I808" s="1813"/>
      <c r="J808" s="1813"/>
      <c r="K808" s="1813"/>
      <c r="L808" s="1813"/>
      <c r="M808" s="1813"/>
      <c r="N808" s="1813"/>
      <c r="O808" s="1813"/>
      <c r="P808" s="1813"/>
      <c r="Q808" s="1813"/>
      <c r="R808" s="1813"/>
      <c r="S808" s="1813"/>
      <c r="T808" s="1813"/>
      <c r="U808" s="1813"/>
      <c r="V808" s="1813"/>
      <c r="W808" s="1813"/>
      <c r="X808" s="1813"/>
    </row>
    <row r="809" spans="1:24" ht="15.75" customHeight="1">
      <c r="A809" s="1819"/>
      <c r="B809" s="1819"/>
      <c r="C809" s="1819"/>
      <c r="D809" s="1819"/>
      <c r="E809" s="1819"/>
      <c r="F809" s="1819"/>
      <c r="G809" s="1803"/>
      <c r="H809" s="1813"/>
      <c r="I809" s="1813"/>
      <c r="J809" s="1813"/>
      <c r="K809" s="1813"/>
      <c r="L809" s="1813"/>
      <c r="M809" s="1813"/>
      <c r="N809" s="1813"/>
      <c r="O809" s="1813"/>
      <c r="P809" s="1813"/>
      <c r="Q809" s="1813"/>
      <c r="R809" s="1813"/>
      <c r="S809" s="1813"/>
      <c r="T809" s="1813"/>
      <c r="U809" s="1813"/>
      <c r="V809" s="1813"/>
      <c r="W809" s="1813"/>
      <c r="X809" s="1813"/>
    </row>
    <row r="810" spans="1:24" ht="15.75" customHeight="1">
      <c r="A810" s="1819"/>
      <c r="B810" s="1819"/>
      <c r="C810" s="1819"/>
      <c r="D810" s="1819"/>
      <c r="E810" s="1819"/>
      <c r="F810" s="1819"/>
      <c r="G810" s="1803"/>
      <c r="H810" s="1813"/>
      <c r="I810" s="1813"/>
      <c r="J810" s="1813"/>
      <c r="K810" s="1813"/>
      <c r="L810" s="1813"/>
      <c r="M810" s="1813"/>
      <c r="N810" s="1813"/>
      <c r="O810" s="1813"/>
      <c r="P810" s="1813"/>
      <c r="Q810" s="1813"/>
      <c r="R810" s="1813"/>
      <c r="S810" s="1813"/>
      <c r="T810" s="1813"/>
      <c r="U810" s="1813"/>
      <c r="V810" s="1813"/>
      <c r="W810" s="1813"/>
      <c r="X810" s="1813"/>
    </row>
    <row r="811" spans="1:24" ht="15.75" customHeight="1">
      <c r="A811" s="1819"/>
      <c r="B811" s="1819"/>
      <c r="C811" s="1819"/>
      <c r="D811" s="1819"/>
      <c r="E811" s="1819"/>
      <c r="F811" s="1819"/>
      <c r="G811" s="1803"/>
      <c r="H811" s="1813"/>
      <c r="I811" s="1813"/>
      <c r="J811" s="1813"/>
      <c r="K811" s="1813"/>
      <c r="L811" s="1813"/>
      <c r="M811" s="1813"/>
      <c r="N811" s="1813"/>
      <c r="O811" s="1813"/>
      <c r="P811" s="1813"/>
      <c r="Q811" s="1813"/>
      <c r="R811" s="1813"/>
      <c r="S811" s="1813"/>
      <c r="T811" s="1813"/>
      <c r="U811" s="1813"/>
      <c r="V811" s="1813"/>
      <c r="W811" s="1813"/>
      <c r="X811" s="1813"/>
    </row>
    <row r="812" spans="1:24" ht="15.75" customHeight="1">
      <c r="A812" s="1819"/>
      <c r="B812" s="1819"/>
      <c r="C812" s="1819"/>
      <c r="D812" s="1819"/>
      <c r="E812" s="1819"/>
      <c r="F812" s="1819"/>
      <c r="G812" s="1803"/>
      <c r="H812" s="1813"/>
      <c r="I812" s="1813"/>
      <c r="J812" s="1813"/>
      <c r="K812" s="1813"/>
      <c r="L812" s="1813"/>
      <c r="M812" s="1813"/>
      <c r="N812" s="1813"/>
      <c r="O812" s="1813"/>
      <c r="P812" s="1813"/>
      <c r="Q812" s="1813"/>
      <c r="R812" s="1813"/>
      <c r="S812" s="1813"/>
      <c r="T812" s="1813"/>
      <c r="U812" s="1813"/>
      <c r="V812" s="1813"/>
      <c r="W812" s="1813"/>
      <c r="X812" s="1813"/>
    </row>
    <row r="813" spans="1:24" ht="15.75" customHeight="1">
      <c r="A813" s="1819"/>
      <c r="B813" s="1819"/>
      <c r="C813" s="1819"/>
      <c r="D813" s="1819"/>
      <c r="E813" s="1819"/>
      <c r="F813" s="1819"/>
      <c r="G813" s="1803"/>
      <c r="H813" s="1813"/>
      <c r="I813" s="1813"/>
      <c r="J813" s="1813"/>
      <c r="K813" s="1813"/>
      <c r="L813" s="1813"/>
      <c r="M813" s="1813"/>
      <c r="N813" s="1813"/>
      <c r="O813" s="1813"/>
      <c r="P813" s="1813"/>
      <c r="Q813" s="1813"/>
      <c r="R813" s="1813"/>
      <c r="S813" s="1813"/>
      <c r="T813" s="1813"/>
      <c r="U813" s="1813"/>
      <c r="V813" s="1813"/>
      <c r="W813" s="1813"/>
      <c r="X813" s="1813"/>
    </row>
    <row r="814" spans="1:24" ht="15.75" customHeight="1">
      <c r="A814" s="1819"/>
      <c r="B814" s="1819"/>
      <c r="C814" s="1819"/>
      <c r="D814" s="1819"/>
      <c r="E814" s="1819"/>
      <c r="F814" s="1819"/>
      <c r="G814" s="1803"/>
      <c r="H814" s="1813"/>
      <c r="I814" s="1813"/>
      <c r="J814" s="1813"/>
      <c r="K814" s="1813"/>
      <c r="L814" s="1813"/>
      <c r="M814" s="1813"/>
      <c r="N814" s="1813"/>
      <c r="O814" s="1813"/>
      <c r="P814" s="1813"/>
      <c r="Q814" s="1813"/>
      <c r="R814" s="1813"/>
      <c r="S814" s="1813"/>
      <c r="T814" s="1813"/>
      <c r="U814" s="1813"/>
      <c r="V814" s="1813"/>
      <c r="W814" s="1813"/>
      <c r="X814" s="1813"/>
    </row>
    <row r="815" spans="1:24" ht="15.75" customHeight="1">
      <c r="A815" s="1819"/>
      <c r="B815" s="1819"/>
      <c r="C815" s="1819"/>
      <c r="D815" s="1819"/>
      <c r="E815" s="1819"/>
      <c r="F815" s="1819"/>
      <c r="G815" s="1803"/>
      <c r="H815" s="1813"/>
      <c r="I815" s="1813"/>
      <c r="J815" s="1813"/>
      <c r="K815" s="1813"/>
      <c r="L815" s="1813"/>
      <c r="M815" s="1813"/>
      <c r="N815" s="1813"/>
      <c r="O815" s="1813"/>
      <c r="P815" s="1813"/>
      <c r="Q815" s="1813"/>
      <c r="R815" s="1813"/>
      <c r="S815" s="1813"/>
      <c r="T815" s="1813"/>
      <c r="U815" s="1813"/>
      <c r="V815" s="1813"/>
      <c r="W815" s="1813"/>
      <c r="X815" s="1813"/>
    </row>
    <row r="816" spans="1:24" ht="15.75" customHeight="1">
      <c r="A816" s="1819"/>
      <c r="B816" s="1819"/>
      <c r="C816" s="1819"/>
      <c r="D816" s="1819"/>
      <c r="E816" s="1819"/>
      <c r="F816" s="1819"/>
      <c r="G816" s="1803"/>
      <c r="H816" s="1813"/>
      <c r="I816" s="1813"/>
      <c r="J816" s="1813"/>
      <c r="K816" s="1813"/>
      <c r="L816" s="1813"/>
      <c r="M816" s="1813"/>
      <c r="N816" s="1813"/>
      <c r="O816" s="1813"/>
      <c r="P816" s="1813"/>
      <c r="Q816" s="1813"/>
      <c r="R816" s="1813"/>
      <c r="S816" s="1813"/>
      <c r="T816" s="1813"/>
      <c r="U816" s="1813"/>
      <c r="V816" s="1813"/>
      <c r="W816" s="1813"/>
      <c r="X816" s="1813"/>
    </row>
    <row r="817" spans="1:24" ht="15.75" customHeight="1">
      <c r="A817" s="1819"/>
      <c r="B817" s="1819"/>
      <c r="C817" s="1819"/>
      <c r="D817" s="1819"/>
      <c r="E817" s="1819"/>
      <c r="F817" s="1819"/>
      <c r="G817" s="1803"/>
      <c r="H817" s="1813"/>
      <c r="I817" s="1813"/>
      <c r="J817" s="1813"/>
      <c r="K817" s="1813"/>
      <c r="L817" s="1813"/>
      <c r="M817" s="1813"/>
      <c r="N817" s="1813"/>
      <c r="O817" s="1813"/>
      <c r="P817" s="1813"/>
      <c r="Q817" s="1813"/>
      <c r="R817" s="1813"/>
      <c r="S817" s="1813"/>
      <c r="T817" s="1813"/>
      <c r="U817" s="1813"/>
      <c r="V817" s="1813"/>
      <c r="W817" s="1813"/>
      <c r="X817" s="1813"/>
    </row>
    <row r="818" spans="1:24" ht="15.75" customHeight="1">
      <c r="A818" s="1819"/>
      <c r="B818" s="1819"/>
      <c r="C818" s="1819"/>
      <c r="D818" s="1819"/>
      <c r="E818" s="1819"/>
      <c r="F818" s="1819"/>
      <c r="G818" s="1803"/>
      <c r="H818" s="1813"/>
      <c r="I818" s="1813"/>
      <c r="J818" s="1813"/>
      <c r="K818" s="1813"/>
      <c r="L818" s="1813"/>
      <c r="M818" s="1813"/>
      <c r="N818" s="1813"/>
      <c r="O818" s="1813"/>
      <c r="P818" s="1813"/>
      <c r="Q818" s="1813"/>
      <c r="R818" s="1813"/>
      <c r="S818" s="1813"/>
      <c r="T818" s="1813"/>
      <c r="U818" s="1813"/>
      <c r="V818" s="1813"/>
      <c r="W818" s="1813"/>
      <c r="X818" s="1813"/>
    </row>
    <row r="819" spans="1:24" ht="15.75" customHeight="1">
      <c r="A819" s="1819"/>
      <c r="B819" s="1819"/>
      <c r="C819" s="1819"/>
      <c r="D819" s="1819"/>
      <c r="E819" s="1819"/>
      <c r="F819" s="1819"/>
      <c r="G819" s="1803"/>
      <c r="H819" s="1813"/>
      <c r="I819" s="1813"/>
      <c r="J819" s="1813"/>
      <c r="K819" s="1813"/>
      <c r="L819" s="1813"/>
      <c r="M819" s="1813"/>
      <c r="N819" s="1813"/>
      <c r="O819" s="1813"/>
      <c r="P819" s="1813"/>
      <c r="Q819" s="1813"/>
      <c r="R819" s="1813"/>
      <c r="S819" s="1813"/>
      <c r="T819" s="1813"/>
      <c r="U819" s="1813"/>
      <c r="V819" s="1813"/>
      <c r="W819" s="1813"/>
      <c r="X819" s="1813"/>
    </row>
    <row r="820" spans="1:24" ht="15.75" customHeight="1">
      <c r="A820" s="1819"/>
      <c r="B820" s="1819"/>
      <c r="C820" s="1819"/>
      <c r="D820" s="1819"/>
      <c r="E820" s="1819"/>
      <c r="F820" s="1819"/>
      <c r="G820" s="1803"/>
      <c r="H820" s="1813"/>
      <c r="I820" s="1813"/>
      <c r="J820" s="1813"/>
      <c r="K820" s="1813"/>
      <c r="L820" s="1813"/>
      <c r="M820" s="1813"/>
      <c r="N820" s="1813"/>
      <c r="O820" s="1813"/>
      <c r="P820" s="1813"/>
      <c r="Q820" s="1813"/>
      <c r="R820" s="1813"/>
      <c r="S820" s="1813"/>
      <c r="T820" s="1813"/>
      <c r="U820" s="1813"/>
      <c r="V820" s="1813"/>
      <c r="W820" s="1813"/>
      <c r="X820" s="1813"/>
    </row>
    <row r="821" spans="1:24" ht="15.75" customHeight="1">
      <c r="A821" s="1819"/>
      <c r="B821" s="1819"/>
      <c r="C821" s="1819"/>
      <c r="D821" s="1819"/>
      <c r="E821" s="1819"/>
      <c r="F821" s="1819"/>
      <c r="G821" s="1803"/>
      <c r="H821" s="1813"/>
      <c r="I821" s="1813"/>
      <c r="J821" s="1813"/>
      <c r="K821" s="1813"/>
      <c r="L821" s="1813"/>
      <c r="M821" s="1813"/>
      <c r="N821" s="1813"/>
      <c r="O821" s="1813"/>
      <c r="P821" s="1813"/>
      <c r="Q821" s="1813"/>
      <c r="R821" s="1813"/>
      <c r="S821" s="1813"/>
      <c r="T821" s="1813"/>
      <c r="U821" s="1813"/>
      <c r="V821" s="1813"/>
      <c r="W821" s="1813"/>
      <c r="X821" s="1813"/>
    </row>
    <row r="822" spans="1:24" ht="15.75" customHeight="1">
      <c r="A822" s="1819"/>
      <c r="B822" s="1819"/>
      <c r="C822" s="1819"/>
      <c r="D822" s="1819"/>
      <c r="E822" s="1819"/>
      <c r="F822" s="1819"/>
      <c r="G822" s="1803"/>
      <c r="H822" s="1813"/>
      <c r="I822" s="1813"/>
      <c r="J822" s="1813"/>
      <c r="K822" s="1813"/>
      <c r="L822" s="1813"/>
      <c r="M822" s="1813"/>
      <c r="N822" s="1813"/>
      <c r="O822" s="1813"/>
      <c r="P822" s="1813"/>
      <c r="Q822" s="1813"/>
      <c r="R822" s="1813"/>
      <c r="S822" s="1813"/>
      <c r="T822" s="1813"/>
      <c r="U822" s="1813"/>
      <c r="V822" s="1813"/>
      <c r="W822" s="1813"/>
      <c r="X822" s="1813"/>
    </row>
    <row r="823" spans="1:24" ht="15.75" customHeight="1">
      <c r="A823" s="1819"/>
      <c r="B823" s="1819"/>
      <c r="C823" s="1819"/>
      <c r="D823" s="1819"/>
      <c r="E823" s="1819"/>
      <c r="F823" s="1819"/>
      <c r="G823" s="1803"/>
      <c r="H823" s="1813"/>
      <c r="I823" s="1813"/>
      <c r="J823" s="1813"/>
      <c r="K823" s="1813"/>
      <c r="L823" s="1813"/>
      <c r="M823" s="1813"/>
      <c r="N823" s="1813"/>
      <c r="O823" s="1813"/>
      <c r="P823" s="1813"/>
      <c r="Q823" s="1813"/>
      <c r="R823" s="1813"/>
      <c r="S823" s="1813"/>
      <c r="T823" s="1813"/>
      <c r="U823" s="1813"/>
      <c r="V823" s="1813"/>
      <c r="W823" s="1813"/>
      <c r="X823" s="1813"/>
    </row>
    <row r="824" spans="1:24" ht="15.75" customHeight="1">
      <c r="A824" s="1819"/>
      <c r="B824" s="1819"/>
      <c r="C824" s="1819"/>
      <c r="D824" s="1819"/>
      <c r="E824" s="1819"/>
      <c r="F824" s="1819"/>
      <c r="G824" s="1803"/>
      <c r="H824" s="1813"/>
      <c r="I824" s="1813"/>
      <c r="J824" s="1813"/>
      <c r="K824" s="1813"/>
      <c r="L824" s="1813"/>
      <c r="M824" s="1813"/>
      <c r="N824" s="1813"/>
      <c r="O824" s="1813"/>
      <c r="P824" s="1813"/>
      <c r="Q824" s="1813"/>
      <c r="R824" s="1813"/>
      <c r="S824" s="1813"/>
      <c r="T824" s="1813"/>
      <c r="U824" s="1813"/>
      <c r="V824" s="1813"/>
      <c r="W824" s="1813"/>
      <c r="X824" s="1813"/>
    </row>
    <row r="825" spans="1:24" ht="15.75" customHeight="1">
      <c r="A825" s="1819"/>
      <c r="B825" s="1819"/>
      <c r="C825" s="1819"/>
      <c r="D825" s="1819"/>
      <c r="E825" s="1819"/>
      <c r="F825" s="1819"/>
      <c r="G825" s="1803"/>
      <c r="H825" s="1813"/>
      <c r="I825" s="1813"/>
      <c r="J825" s="1813"/>
      <c r="K825" s="1813"/>
      <c r="L825" s="1813"/>
      <c r="M825" s="1813"/>
      <c r="N825" s="1813"/>
      <c r="O825" s="1813"/>
      <c r="P825" s="1813"/>
      <c r="Q825" s="1813"/>
      <c r="R825" s="1813"/>
      <c r="S825" s="1813"/>
      <c r="T825" s="1813"/>
      <c r="U825" s="1813"/>
      <c r="V825" s="1813"/>
      <c r="W825" s="1813"/>
      <c r="X825" s="1813"/>
    </row>
    <row r="826" spans="1:24" ht="15.75" customHeight="1">
      <c r="A826" s="1819"/>
      <c r="B826" s="1819"/>
      <c r="C826" s="1819"/>
      <c r="D826" s="1819"/>
      <c r="E826" s="1819"/>
      <c r="F826" s="1819"/>
      <c r="G826" s="1803"/>
      <c r="H826" s="1813"/>
      <c r="I826" s="1813"/>
      <c r="J826" s="1813"/>
      <c r="K826" s="1813"/>
      <c r="L826" s="1813"/>
      <c r="M826" s="1813"/>
      <c r="N826" s="1813"/>
      <c r="O826" s="1813"/>
      <c r="P826" s="1813"/>
      <c r="Q826" s="1813"/>
      <c r="R826" s="1813"/>
      <c r="S826" s="1813"/>
      <c r="T826" s="1813"/>
      <c r="U826" s="1813"/>
      <c r="V826" s="1813"/>
      <c r="W826" s="1813"/>
      <c r="X826" s="1813"/>
    </row>
    <row r="827" spans="1:24" ht="15.75" customHeight="1">
      <c r="A827" s="1819"/>
      <c r="B827" s="1819"/>
      <c r="C827" s="1819"/>
      <c r="D827" s="1819"/>
      <c r="E827" s="1819"/>
      <c r="F827" s="1819"/>
      <c r="G827" s="1803"/>
      <c r="H827" s="1813"/>
      <c r="I827" s="1813"/>
      <c r="J827" s="1813"/>
      <c r="K827" s="1813"/>
      <c r="L827" s="1813"/>
      <c r="M827" s="1813"/>
      <c r="N827" s="1813"/>
      <c r="O827" s="1813"/>
      <c r="P827" s="1813"/>
      <c r="Q827" s="1813"/>
      <c r="R827" s="1813"/>
      <c r="S827" s="1813"/>
      <c r="T827" s="1813"/>
      <c r="U827" s="1813"/>
      <c r="V827" s="1813"/>
      <c r="W827" s="1813"/>
      <c r="X827" s="1813"/>
    </row>
    <row r="828" spans="1:24" ht="15.75" customHeight="1">
      <c r="A828" s="1819"/>
      <c r="B828" s="1819"/>
      <c r="C828" s="1819"/>
      <c r="D828" s="1819"/>
      <c r="E828" s="1819"/>
      <c r="F828" s="1819"/>
      <c r="G828" s="1803"/>
      <c r="H828" s="1813"/>
      <c r="I828" s="1813"/>
      <c r="J828" s="1813"/>
      <c r="K828" s="1813"/>
      <c r="L828" s="1813"/>
      <c r="M828" s="1813"/>
      <c r="N828" s="1813"/>
      <c r="O828" s="1813"/>
      <c r="P828" s="1813"/>
      <c r="Q828" s="1813"/>
      <c r="R828" s="1813"/>
      <c r="S828" s="1813"/>
      <c r="T828" s="1813"/>
      <c r="U828" s="1813"/>
      <c r="V828" s="1813"/>
      <c r="W828" s="1813"/>
      <c r="X828" s="1813"/>
    </row>
    <row r="829" spans="1:24" ht="15.75" customHeight="1">
      <c r="A829" s="1819"/>
      <c r="B829" s="1819"/>
      <c r="C829" s="1819"/>
      <c r="D829" s="1819"/>
      <c r="E829" s="1819"/>
      <c r="F829" s="1819"/>
      <c r="G829" s="1803"/>
      <c r="H829" s="1813"/>
      <c r="I829" s="1813"/>
      <c r="J829" s="1813"/>
      <c r="K829" s="1813"/>
      <c r="L829" s="1813"/>
      <c r="M829" s="1813"/>
      <c r="N829" s="1813"/>
      <c r="O829" s="1813"/>
      <c r="P829" s="1813"/>
      <c r="Q829" s="1813"/>
      <c r="R829" s="1813"/>
      <c r="S829" s="1813"/>
      <c r="T829" s="1813"/>
      <c r="U829" s="1813"/>
      <c r="V829" s="1813"/>
      <c r="W829" s="1813"/>
      <c r="X829" s="1813"/>
    </row>
    <row r="830" spans="1:24" ht="15.75" customHeight="1">
      <c r="A830" s="1819"/>
      <c r="B830" s="1819"/>
      <c r="C830" s="1819"/>
      <c r="D830" s="1819"/>
      <c r="E830" s="1819"/>
      <c r="F830" s="1819"/>
      <c r="G830" s="1803"/>
      <c r="H830" s="1813"/>
      <c r="I830" s="1813"/>
      <c r="J830" s="1813"/>
      <c r="K830" s="1813"/>
      <c r="L830" s="1813"/>
      <c r="M830" s="1813"/>
      <c r="N830" s="1813"/>
      <c r="O830" s="1813"/>
      <c r="P830" s="1813"/>
      <c r="Q830" s="1813"/>
      <c r="R830" s="1813"/>
      <c r="S830" s="1813"/>
      <c r="T830" s="1813"/>
      <c r="U830" s="1813"/>
      <c r="V830" s="1813"/>
      <c r="W830" s="1813"/>
      <c r="X830" s="1813"/>
    </row>
    <row r="831" spans="1:24" ht="15.75" customHeight="1">
      <c r="A831" s="1819"/>
      <c r="B831" s="1819"/>
      <c r="C831" s="1819"/>
      <c r="D831" s="1819"/>
      <c r="E831" s="1819"/>
      <c r="F831" s="1819"/>
      <c r="G831" s="1803"/>
      <c r="H831" s="1813"/>
      <c r="I831" s="1813"/>
      <c r="J831" s="1813"/>
      <c r="K831" s="1813"/>
      <c r="L831" s="1813"/>
      <c r="M831" s="1813"/>
      <c r="N831" s="1813"/>
      <c r="O831" s="1813"/>
      <c r="P831" s="1813"/>
      <c r="Q831" s="1813"/>
      <c r="R831" s="1813"/>
      <c r="S831" s="1813"/>
      <c r="T831" s="1813"/>
      <c r="U831" s="1813"/>
      <c r="V831" s="1813"/>
      <c r="W831" s="1813"/>
      <c r="X831" s="1813"/>
    </row>
    <row r="832" spans="1:24" ht="15.75" customHeight="1">
      <c r="A832" s="1819"/>
      <c r="B832" s="1819"/>
      <c r="C832" s="1819"/>
      <c r="D832" s="1819"/>
      <c r="E832" s="1819"/>
      <c r="F832" s="1819"/>
      <c r="G832" s="1803"/>
      <c r="H832" s="1813"/>
      <c r="I832" s="1813"/>
      <c r="J832" s="1813"/>
      <c r="K832" s="1813"/>
      <c r="L832" s="1813"/>
      <c r="M832" s="1813"/>
      <c r="N832" s="1813"/>
      <c r="O832" s="1813"/>
      <c r="P832" s="1813"/>
      <c r="Q832" s="1813"/>
      <c r="R832" s="1813"/>
      <c r="S832" s="1813"/>
      <c r="T832" s="1813"/>
      <c r="U832" s="1813"/>
      <c r="V832" s="1813"/>
      <c r="W832" s="1813"/>
      <c r="X832" s="1813"/>
    </row>
    <row r="833" spans="1:24" ht="15.75" customHeight="1">
      <c r="A833" s="1819"/>
      <c r="B833" s="1819"/>
      <c r="C833" s="1819"/>
      <c r="D833" s="1819"/>
      <c r="E833" s="1819"/>
      <c r="F833" s="1819"/>
      <c r="G833" s="1803"/>
      <c r="H833" s="1813"/>
      <c r="I833" s="1813"/>
      <c r="J833" s="1813"/>
      <c r="K833" s="1813"/>
      <c r="L833" s="1813"/>
      <c r="M833" s="1813"/>
      <c r="N833" s="1813"/>
      <c r="O833" s="1813"/>
      <c r="P833" s="1813"/>
      <c r="Q833" s="1813"/>
      <c r="R833" s="1813"/>
      <c r="S833" s="1813"/>
      <c r="T833" s="1813"/>
      <c r="U833" s="1813"/>
      <c r="V833" s="1813"/>
      <c r="W833" s="1813"/>
      <c r="X833" s="1813"/>
    </row>
    <row r="834" spans="1:24" ht="15.75" customHeight="1">
      <c r="A834" s="1819"/>
      <c r="B834" s="1819"/>
      <c r="C834" s="1819"/>
      <c r="D834" s="1819"/>
      <c r="E834" s="1819"/>
      <c r="F834" s="1819"/>
      <c r="G834" s="1803"/>
      <c r="H834" s="1813"/>
      <c r="I834" s="1813"/>
      <c r="J834" s="1813"/>
      <c r="K834" s="1813"/>
      <c r="L834" s="1813"/>
      <c r="M834" s="1813"/>
      <c r="N834" s="1813"/>
      <c r="O834" s="1813"/>
      <c r="P834" s="1813"/>
      <c r="Q834" s="1813"/>
      <c r="R834" s="1813"/>
      <c r="S834" s="1813"/>
      <c r="T834" s="1813"/>
      <c r="U834" s="1813"/>
      <c r="V834" s="1813"/>
      <c r="W834" s="1813"/>
      <c r="X834" s="1813"/>
    </row>
    <row r="835" spans="1:24" ht="15.75" customHeight="1">
      <c r="A835" s="1819"/>
      <c r="B835" s="1819"/>
      <c r="C835" s="1819"/>
      <c r="D835" s="1819"/>
      <c r="E835" s="1819"/>
      <c r="F835" s="1819"/>
      <c r="G835" s="1803"/>
      <c r="H835" s="1813"/>
      <c r="I835" s="1813"/>
      <c r="J835" s="1813"/>
      <c r="K835" s="1813"/>
      <c r="L835" s="1813"/>
      <c r="M835" s="1813"/>
      <c r="N835" s="1813"/>
      <c r="O835" s="1813"/>
      <c r="P835" s="1813"/>
      <c r="Q835" s="1813"/>
      <c r="R835" s="1813"/>
      <c r="S835" s="1813"/>
      <c r="T835" s="1813"/>
      <c r="U835" s="1813"/>
      <c r="V835" s="1813"/>
      <c r="W835" s="1813"/>
      <c r="X835" s="1813"/>
    </row>
    <row r="836" spans="1:24" ht="15.75" customHeight="1">
      <c r="A836" s="1819"/>
      <c r="B836" s="1819"/>
      <c r="C836" s="1819"/>
      <c r="D836" s="1819"/>
      <c r="E836" s="1819"/>
      <c r="F836" s="1819"/>
      <c r="G836" s="1803"/>
      <c r="H836" s="1813"/>
      <c r="I836" s="1813"/>
      <c r="J836" s="1813"/>
      <c r="K836" s="1813"/>
      <c r="L836" s="1813"/>
      <c r="M836" s="1813"/>
      <c r="N836" s="1813"/>
      <c r="O836" s="1813"/>
      <c r="P836" s="1813"/>
      <c r="Q836" s="1813"/>
      <c r="R836" s="1813"/>
      <c r="S836" s="1813"/>
      <c r="T836" s="1813"/>
      <c r="U836" s="1813"/>
      <c r="V836" s="1813"/>
      <c r="W836" s="1813"/>
      <c r="X836" s="1813"/>
    </row>
    <row r="837" spans="1:24" ht="15.75" customHeight="1">
      <c r="A837" s="1819"/>
      <c r="B837" s="1819"/>
      <c r="C837" s="1819"/>
      <c r="D837" s="1819"/>
      <c r="E837" s="1819"/>
      <c r="F837" s="1819"/>
      <c r="G837" s="1803"/>
      <c r="H837" s="1813"/>
      <c r="I837" s="1813"/>
      <c r="J837" s="1813"/>
      <c r="K837" s="1813"/>
      <c r="L837" s="1813"/>
      <c r="M837" s="1813"/>
      <c r="N837" s="1813"/>
      <c r="O837" s="1813"/>
      <c r="P837" s="1813"/>
      <c r="Q837" s="1813"/>
      <c r="R837" s="1813"/>
      <c r="S837" s="1813"/>
      <c r="T837" s="1813"/>
      <c r="U837" s="1813"/>
      <c r="V837" s="1813"/>
      <c r="W837" s="1813"/>
      <c r="X837" s="1813"/>
    </row>
    <row r="838" spans="1:24" ht="15.75" customHeight="1">
      <c r="A838" s="1819"/>
      <c r="B838" s="1819"/>
      <c r="C838" s="1819"/>
      <c r="D838" s="1819"/>
      <c r="E838" s="1819"/>
      <c r="F838" s="1819"/>
      <c r="G838" s="1803"/>
      <c r="H838" s="1813"/>
      <c r="I838" s="1813"/>
      <c r="J838" s="1813"/>
      <c r="K838" s="1813"/>
      <c r="L838" s="1813"/>
      <c r="M838" s="1813"/>
      <c r="N838" s="1813"/>
      <c r="O838" s="1813"/>
      <c r="P838" s="1813"/>
      <c r="Q838" s="1813"/>
      <c r="R838" s="1813"/>
      <c r="S838" s="1813"/>
      <c r="T838" s="1813"/>
      <c r="U838" s="1813"/>
      <c r="V838" s="1813"/>
      <c r="W838" s="1813"/>
      <c r="X838" s="1813"/>
    </row>
    <row r="839" spans="1:24" ht="15.75" customHeight="1">
      <c r="A839" s="1819"/>
      <c r="B839" s="1819"/>
      <c r="C839" s="1819"/>
      <c r="D839" s="1819"/>
      <c r="E839" s="1819"/>
      <c r="F839" s="1819"/>
      <c r="G839" s="1803"/>
      <c r="H839" s="1813"/>
      <c r="I839" s="1813"/>
      <c r="J839" s="1813"/>
      <c r="K839" s="1813"/>
      <c r="L839" s="1813"/>
      <c r="M839" s="1813"/>
      <c r="N839" s="1813"/>
      <c r="O839" s="1813"/>
      <c r="P839" s="1813"/>
      <c r="Q839" s="1813"/>
      <c r="R839" s="1813"/>
      <c r="S839" s="1813"/>
      <c r="T839" s="1813"/>
      <c r="U839" s="1813"/>
      <c r="V839" s="1813"/>
      <c r="W839" s="1813"/>
      <c r="X839" s="1813"/>
    </row>
    <row r="840" spans="1:24" ht="15.75" customHeight="1">
      <c r="A840" s="1819"/>
      <c r="B840" s="1819"/>
      <c r="C840" s="1819"/>
      <c r="D840" s="1819"/>
      <c r="E840" s="1819"/>
      <c r="F840" s="1819"/>
      <c r="G840" s="1803"/>
      <c r="H840" s="1813"/>
      <c r="I840" s="1813"/>
      <c r="J840" s="1813"/>
      <c r="K840" s="1813"/>
      <c r="L840" s="1813"/>
      <c r="M840" s="1813"/>
      <c r="N840" s="1813"/>
      <c r="O840" s="1813"/>
      <c r="P840" s="1813"/>
      <c r="Q840" s="1813"/>
      <c r="R840" s="1813"/>
      <c r="S840" s="1813"/>
      <c r="T840" s="1813"/>
      <c r="U840" s="1813"/>
      <c r="V840" s="1813"/>
      <c r="W840" s="1813"/>
      <c r="X840" s="1813"/>
    </row>
    <row r="841" spans="1:24" ht="15.75" customHeight="1">
      <c r="A841" s="1819"/>
      <c r="B841" s="1819"/>
      <c r="C841" s="1819"/>
      <c r="D841" s="1819"/>
      <c r="E841" s="1819"/>
      <c r="F841" s="1819"/>
      <c r="G841" s="1803"/>
      <c r="H841" s="1813"/>
      <c r="I841" s="1813"/>
      <c r="J841" s="1813"/>
      <c r="K841" s="1813"/>
      <c r="L841" s="1813"/>
      <c r="M841" s="1813"/>
      <c r="N841" s="1813"/>
      <c r="O841" s="1813"/>
      <c r="P841" s="1813"/>
      <c r="Q841" s="1813"/>
      <c r="R841" s="1813"/>
      <c r="S841" s="1813"/>
      <c r="T841" s="1813"/>
      <c r="U841" s="1813"/>
      <c r="V841" s="1813"/>
      <c r="W841" s="1813"/>
      <c r="X841" s="1813"/>
    </row>
    <row r="842" spans="1:24" ht="15.75" customHeight="1">
      <c r="A842" s="1819"/>
      <c r="B842" s="1819"/>
      <c r="C842" s="1819"/>
      <c r="D842" s="1819"/>
      <c r="E842" s="1819"/>
      <c r="F842" s="1819"/>
      <c r="G842" s="1803"/>
      <c r="H842" s="1813"/>
      <c r="I842" s="1813"/>
      <c r="J842" s="1813"/>
      <c r="K842" s="1813"/>
      <c r="L842" s="1813"/>
      <c r="M842" s="1813"/>
      <c r="N842" s="1813"/>
      <c r="O842" s="1813"/>
      <c r="P842" s="1813"/>
      <c r="Q842" s="1813"/>
      <c r="R842" s="1813"/>
      <c r="S842" s="1813"/>
      <c r="T842" s="1813"/>
      <c r="U842" s="1813"/>
      <c r="V842" s="1813"/>
      <c r="W842" s="1813"/>
      <c r="X842" s="1813"/>
    </row>
    <row r="843" spans="1:24" ht="15.75" customHeight="1">
      <c r="A843" s="1819"/>
      <c r="B843" s="1819"/>
      <c r="C843" s="1819"/>
      <c r="D843" s="1819"/>
      <c r="E843" s="1819"/>
      <c r="F843" s="1819"/>
      <c r="G843" s="1803"/>
      <c r="H843" s="1813"/>
      <c r="I843" s="1813"/>
      <c r="J843" s="1813"/>
      <c r="K843" s="1813"/>
      <c r="L843" s="1813"/>
      <c r="M843" s="1813"/>
      <c r="N843" s="1813"/>
      <c r="O843" s="1813"/>
      <c r="P843" s="1813"/>
      <c r="Q843" s="1813"/>
      <c r="R843" s="1813"/>
      <c r="S843" s="1813"/>
      <c r="T843" s="1813"/>
      <c r="U843" s="1813"/>
      <c r="V843" s="1813"/>
      <c r="W843" s="1813"/>
      <c r="X843" s="1813"/>
    </row>
    <row r="844" spans="1:24" ht="15.75" customHeight="1">
      <c r="A844" s="1819"/>
      <c r="B844" s="1819"/>
      <c r="C844" s="1819"/>
      <c r="D844" s="1819"/>
      <c r="E844" s="1819"/>
      <c r="F844" s="1819"/>
      <c r="G844" s="1803"/>
      <c r="H844" s="1813"/>
      <c r="I844" s="1813"/>
      <c r="J844" s="1813"/>
      <c r="K844" s="1813"/>
      <c r="L844" s="1813"/>
      <c r="M844" s="1813"/>
      <c r="N844" s="1813"/>
      <c r="O844" s="1813"/>
      <c r="P844" s="1813"/>
      <c r="Q844" s="1813"/>
      <c r="R844" s="1813"/>
      <c r="S844" s="1813"/>
      <c r="T844" s="1813"/>
      <c r="U844" s="1813"/>
      <c r="V844" s="1813"/>
      <c r="W844" s="1813"/>
      <c r="X844" s="1813"/>
    </row>
    <row r="845" spans="1:24" ht="15.75" customHeight="1">
      <c r="A845" s="1819"/>
      <c r="B845" s="1819"/>
      <c r="C845" s="1819"/>
      <c r="D845" s="1819"/>
      <c r="E845" s="1819"/>
      <c r="F845" s="1819"/>
      <c r="G845" s="1803"/>
      <c r="H845" s="1813"/>
      <c r="I845" s="1813"/>
      <c r="J845" s="1813"/>
      <c r="K845" s="1813"/>
      <c r="L845" s="1813"/>
      <c r="M845" s="1813"/>
      <c r="N845" s="1813"/>
      <c r="O845" s="1813"/>
      <c r="P845" s="1813"/>
      <c r="Q845" s="1813"/>
      <c r="R845" s="1813"/>
      <c r="S845" s="1813"/>
      <c r="T845" s="1813"/>
      <c r="U845" s="1813"/>
      <c r="V845" s="1813"/>
      <c r="W845" s="1813"/>
      <c r="X845" s="1813"/>
    </row>
    <row r="846" spans="1:24" ht="15.75" customHeight="1">
      <c r="A846" s="1819"/>
      <c r="B846" s="1819"/>
      <c r="C846" s="1819"/>
      <c r="D846" s="1819"/>
      <c r="E846" s="1819"/>
      <c r="F846" s="1819"/>
      <c r="G846" s="1803"/>
      <c r="H846" s="1813"/>
      <c r="I846" s="1813"/>
      <c r="J846" s="1813"/>
      <c r="K846" s="1813"/>
      <c r="L846" s="1813"/>
      <c r="M846" s="1813"/>
      <c r="N846" s="1813"/>
      <c r="O846" s="1813"/>
      <c r="P846" s="1813"/>
      <c r="Q846" s="1813"/>
      <c r="R846" s="1813"/>
      <c r="S846" s="1813"/>
      <c r="T846" s="1813"/>
      <c r="U846" s="1813"/>
      <c r="V846" s="1813"/>
      <c r="W846" s="1813"/>
      <c r="X846" s="1813"/>
    </row>
    <row r="847" spans="1:24" ht="15.75" customHeight="1">
      <c r="A847" s="1819"/>
      <c r="B847" s="1819"/>
      <c r="C847" s="1819"/>
      <c r="D847" s="1819"/>
      <c r="E847" s="1819"/>
      <c r="F847" s="1819"/>
      <c r="G847" s="1803"/>
      <c r="H847" s="1813"/>
      <c r="I847" s="1813"/>
      <c r="J847" s="1813"/>
      <c r="K847" s="1813"/>
      <c r="L847" s="1813"/>
      <c r="M847" s="1813"/>
      <c r="N847" s="1813"/>
      <c r="O847" s="1813"/>
      <c r="P847" s="1813"/>
      <c r="Q847" s="1813"/>
      <c r="R847" s="1813"/>
      <c r="S847" s="1813"/>
      <c r="T847" s="1813"/>
      <c r="U847" s="1813"/>
      <c r="V847" s="1813"/>
      <c r="W847" s="1813"/>
      <c r="X847" s="1813"/>
    </row>
    <row r="848" spans="1:24" ht="15.75" customHeight="1">
      <c r="A848" s="1819"/>
      <c r="B848" s="1819"/>
      <c r="C848" s="1819"/>
      <c r="D848" s="1819"/>
      <c r="E848" s="1819"/>
      <c r="F848" s="1819"/>
      <c r="G848" s="1803"/>
      <c r="H848" s="1813"/>
      <c r="I848" s="1813"/>
      <c r="J848" s="1813"/>
      <c r="K848" s="1813"/>
      <c r="L848" s="1813"/>
      <c r="M848" s="1813"/>
      <c r="N848" s="1813"/>
      <c r="O848" s="1813"/>
      <c r="P848" s="1813"/>
      <c r="Q848" s="1813"/>
      <c r="R848" s="1813"/>
      <c r="S848" s="1813"/>
      <c r="T848" s="1813"/>
      <c r="U848" s="1813"/>
      <c r="V848" s="1813"/>
      <c r="W848" s="1813"/>
      <c r="X848" s="1813"/>
    </row>
    <row r="849" spans="1:24" ht="15.75" customHeight="1">
      <c r="A849" s="1819"/>
      <c r="B849" s="1819"/>
      <c r="C849" s="1819"/>
      <c r="D849" s="1819"/>
      <c r="E849" s="1819"/>
      <c r="F849" s="1819"/>
      <c r="G849" s="1803"/>
      <c r="H849" s="1813"/>
      <c r="I849" s="1813"/>
      <c r="J849" s="1813"/>
      <c r="K849" s="1813"/>
      <c r="L849" s="1813"/>
      <c r="M849" s="1813"/>
      <c r="N849" s="1813"/>
      <c r="O849" s="1813"/>
      <c r="P849" s="1813"/>
      <c r="Q849" s="1813"/>
      <c r="R849" s="1813"/>
      <c r="S849" s="1813"/>
      <c r="T849" s="1813"/>
      <c r="U849" s="1813"/>
      <c r="V849" s="1813"/>
      <c r="W849" s="1813"/>
      <c r="X849" s="1813"/>
    </row>
    <row r="850" spans="1:24" ht="15.75" customHeight="1">
      <c r="A850" s="1819"/>
      <c r="B850" s="1819"/>
      <c r="C850" s="1819"/>
      <c r="D850" s="1819"/>
      <c r="E850" s="1819"/>
      <c r="F850" s="1819"/>
      <c r="G850" s="1803"/>
      <c r="H850" s="1813"/>
      <c r="I850" s="1813"/>
      <c r="J850" s="1813"/>
      <c r="K850" s="1813"/>
      <c r="L850" s="1813"/>
      <c r="M850" s="1813"/>
      <c r="N850" s="1813"/>
      <c r="O850" s="1813"/>
      <c r="P850" s="1813"/>
      <c r="Q850" s="1813"/>
      <c r="R850" s="1813"/>
      <c r="S850" s="1813"/>
      <c r="T850" s="1813"/>
      <c r="U850" s="1813"/>
      <c r="V850" s="1813"/>
      <c r="W850" s="1813"/>
      <c r="X850" s="1813"/>
    </row>
    <row r="851" spans="1:24" ht="15.75" customHeight="1">
      <c r="A851" s="1819"/>
      <c r="B851" s="1819"/>
      <c r="C851" s="1819"/>
      <c r="D851" s="1819"/>
      <c r="E851" s="1819"/>
      <c r="F851" s="1819"/>
      <c r="G851" s="1803"/>
      <c r="H851" s="1813"/>
      <c r="I851" s="1813"/>
      <c r="J851" s="1813"/>
      <c r="K851" s="1813"/>
      <c r="L851" s="1813"/>
      <c r="M851" s="1813"/>
      <c r="N851" s="1813"/>
      <c r="O851" s="1813"/>
      <c r="P851" s="1813"/>
      <c r="Q851" s="1813"/>
      <c r="R851" s="1813"/>
      <c r="S851" s="1813"/>
      <c r="T851" s="1813"/>
      <c r="U851" s="1813"/>
      <c r="V851" s="1813"/>
      <c r="W851" s="1813"/>
      <c r="X851" s="1813"/>
    </row>
    <row r="852" spans="1:24" ht="15.75" customHeight="1">
      <c r="A852" s="1819"/>
      <c r="B852" s="1819"/>
      <c r="C852" s="1819"/>
      <c r="D852" s="1819"/>
      <c r="E852" s="1819"/>
      <c r="F852" s="1819"/>
      <c r="G852" s="1803"/>
      <c r="H852" s="1813"/>
      <c r="I852" s="1813"/>
      <c r="J852" s="1813"/>
      <c r="K852" s="1813"/>
      <c r="L852" s="1813"/>
      <c r="M852" s="1813"/>
      <c r="N852" s="1813"/>
      <c r="O852" s="1813"/>
      <c r="P852" s="1813"/>
      <c r="Q852" s="1813"/>
      <c r="R852" s="1813"/>
      <c r="S852" s="1813"/>
      <c r="T852" s="1813"/>
      <c r="U852" s="1813"/>
      <c r="V852" s="1813"/>
      <c r="W852" s="1813"/>
      <c r="X852" s="1813"/>
    </row>
    <row r="853" spans="1:24" ht="15.75" customHeight="1">
      <c r="A853" s="1819"/>
      <c r="B853" s="1819"/>
      <c r="C853" s="1819"/>
      <c r="D853" s="1819"/>
      <c r="E853" s="1819"/>
      <c r="F853" s="1819"/>
      <c r="G853" s="1803"/>
      <c r="H853" s="1813"/>
      <c r="I853" s="1813"/>
      <c r="J853" s="1813"/>
      <c r="K853" s="1813"/>
      <c r="L853" s="1813"/>
      <c r="M853" s="1813"/>
      <c r="N853" s="1813"/>
      <c r="O853" s="1813"/>
      <c r="P853" s="1813"/>
      <c r="Q853" s="1813"/>
      <c r="R853" s="1813"/>
      <c r="S853" s="1813"/>
      <c r="T853" s="1813"/>
      <c r="U853" s="1813"/>
      <c r="V853" s="1813"/>
      <c r="W853" s="1813"/>
      <c r="X853" s="1813"/>
    </row>
    <row r="854" spans="1:24" ht="15.75" customHeight="1">
      <c r="A854" s="1819"/>
      <c r="B854" s="1819"/>
      <c r="C854" s="1819"/>
      <c r="D854" s="1819"/>
      <c r="E854" s="1819"/>
      <c r="F854" s="1819"/>
      <c r="G854" s="1803"/>
      <c r="H854" s="1813"/>
      <c r="I854" s="1813"/>
      <c r="J854" s="1813"/>
      <c r="K854" s="1813"/>
      <c r="L854" s="1813"/>
      <c r="M854" s="1813"/>
      <c r="N854" s="1813"/>
      <c r="O854" s="1813"/>
      <c r="P854" s="1813"/>
      <c r="Q854" s="1813"/>
      <c r="R854" s="1813"/>
      <c r="S854" s="1813"/>
      <c r="T854" s="1813"/>
      <c r="U854" s="1813"/>
      <c r="V854" s="1813"/>
      <c r="W854" s="1813"/>
      <c r="X854" s="1813"/>
    </row>
    <row r="855" spans="1:24" ht="15.75" customHeight="1">
      <c r="A855" s="1819"/>
      <c r="B855" s="1819"/>
      <c r="C855" s="1819"/>
      <c r="D855" s="1819"/>
      <c r="E855" s="1819"/>
      <c r="F855" s="1819"/>
      <c r="G855" s="1803"/>
      <c r="H855" s="1813"/>
      <c r="I855" s="1813"/>
      <c r="J855" s="1813"/>
      <c r="K855" s="1813"/>
      <c r="L855" s="1813"/>
      <c r="M855" s="1813"/>
      <c r="N855" s="1813"/>
      <c r="O855" s="1813"/>
      <c r="P855" s="1813"/>
      <c r="Q855" s="1813"/>
      <c r="R855" s="1813"/>
      <c r="S855" s="1813"/>
      <c r="T855" s="1813"/>
      <c r="U855" s="1813"/>
      <c r="V855" s="1813"/>
      <c r="W855" s="1813"/>
      <c r="X855" s="1813"/>
    </row>
    <row r="856" spans="1:24" ht="15.75" customHeight="1">
      <c r="A856" s="1819"/>
      <c r="B856" s="1819"/>
      <c r="C856" s="1819"/>
      <c r="D856" s="1819"/>
      <c r="E856" s="1819"/>
      <c r="F856" s="1819"/>
      <c r="G856" s="1803"/>
      <c r="H856" s="1813"/>
      <c r="I856" s="1813"/>
      <c r="J856" s="1813"/>
      <c r="K856" s="1813"/>
      <c r="L856" s="1813"/>
      <c r="M856" s="1813"/>
      <c r="N856" s="1813"/>
      <c r="O856" s="1813"/>
      <c r="P856" s="1813"/>
      <c r="Q856" s="1813"/>
      <c r="R856" s="1813"/>
      <c r="S856" s="1813"/>
      <c r="T856" s="1813"/>
      <c r="U856" s="1813"/>
      <c r="V856" s="1813"/>
      <c r="W856" s="1813"/>
      <c r="X856" s="1813"/>
    </row>
    <row r="857" spans="1:24" ht="15.75" customHeight="1">
      <c r="A857" s="1819"/>
      <c r="B857" s="1819"/>
      <c r="C857" s="1819"/>
      <c r="D857" s="1819"/>
      <c r="E857" s="1819"/>
      <c r="F857" s="1819"/>
      <c r="G857" s="1803"/>
      <c r="H857" s="1813"/>
      <c r="I857" s="1813"/>
      <c r="J857" s="1813"/>
      <c r="K857" s="1813"/>
      <c r="L857" s="1813"/>
      <c r="M857" s="1813"/>
      <c r="N857" s="1813"/>
      <c r="O857" s="1813"/>
      <c r="P857" s="1813"/>
      <c r="Q857" s="1813"/>
      <c r="R857" s="1813"/>
      <c r="S857" s="1813"/>
      <c r="T857" s="1813"/>
      <c r="U857" s="1813"/>
      <c r="V857" s="1813"/>
      <c r="W857" s="1813"/>
      <c r="X857" s="1813"/>
    </row>
    <row r="858" spans="1:24" ht="15.75" customHeight="1">
      <c r="A858" s="1819"/>
      <c r="B858" s="1819"/>
      <c r="C858" s="1819"/>
      <c r="D858" s="1819"/>
      <c r="E858" s="1819"/>
      <c r="F858" s="1819"/>
      <c r="G858" s="1803"/>
      <c r="H858" s="1813"/>
      <c r="I858" s="1813"/>
      <c r="J858" s="1813"/>
      <c r="K858" s="1813"/>
      <c r="L858" s="1813"/>
      <c r="M858" s="1813"/>
      <c r="N858" s="1813"/>
      <c r="O858" s="1813"/>
      <c r="P858" s="1813"/>
      <c r="Q858" s="1813"/>
      <c r="R858" s="1813"/>
      <c r="S858" s="1813"/>
      <c r="T858" s="1813"/>
      <c r="U858" s="1813"/>
      <c r="V858" s="1813"/>
      <c r="W858" s="1813"/>
      <c r="X858" s="1813"/>
    </row>
    <row r="859" spans="1:24" ht="15.75" customHeight="1">
      <c r="A859" s="1819"/>
      <c r="B859" s="1819"/>
      <c r="C859" s="1819"/>
      <c r="D859" s="1819"/>
      <c r="E859" s="1819"/>
      <c r="F859" s="1819"/>
      <c r="G859" s="1803"/>
      <c r="H859" s="1813"/>
      <c r="I859" s="1813"/>
      <c r="J859" s="1813"/>
      <c r="K859" s="1813"/>
      <c r="L859" s="1813"/>
      <c r="M859" s="1813"/>
      <c r="N859" s="1813"/>
      <c r="O859" s="1813"/>
      <c r="P859" s="1813"/>
      <c r="Q859" s="1813"/>
      <c r="R859" s="1813"/>
      <c r="S859" s="1813"/>
      <c r="T859" s="1813"/>
      <c r="U859" s="1813"/>
      <c r="V859" s="1813"/>
      <c r="W859" s="1813"/>
      <c r="X859" s="1813"/>
    </row>
    <row r="860" spans="1:24" ht="15.75" customHeight="1">
      <c r="A860" s="1819"/>
      <c r="B860" s="1819"/>
      <c r="C860" s="1819"/>
      <c r="D860" s="1819"/>
      <c r="E860" s="1819"/>
      <c r="F860" s="1819"/>
      <c r="G860" s="1803"/>
      <c r="H860" s="1813"/>
      <c r="I860" s="1813"/>
      <c r="J860" s="1813"/>
      <c r="K860" s="1813"/>
      <c r="L860" s="1813"/>
      <c r="M860" s="1813"/>
      <c r="N860" s="1813"/>
      <c r="O860" s="1813"/>
      <c r="P860" s="1813"/>
      <c r="Q860" s="1813"/>
      <c r="R860" s="1813"/>
      <c r="S860" s="1813"/>
      <c r="T860" s="1813"/>
      <c r="U860" s="1813"/>
      <c r="V860" s="1813"/>
      <c r="W860" s="1813"/>
      <c r="X860" s="1813"/>
    </row>
    <row r="861" spans="1:24" ht="15.75" customHeight="1">
      <c r="A861" s="1819"/>
      <c r="B861" s="1819"/>
      <c r="C861" s="1819"/>
      <c r="D861" s="1819"/>
      <c r="E861" s="1819"/>
      <c r="F861" s="1819"/>
      <c r="G861" s="1803"/>
      <c r="H861" s="1813"/>
      <c r="I861" s="1813"/>
      <c r="J861" s="1813"/>
      <c r="K861" s="1813"/>
      <c r="L861" s="1813"/>
      <c r="M861" s="1813"/>
      <c r="N861" s="1813"/>
      <c r="O861" s="1813"/>
      <c r="P861" s="1813"/>
      <c r="Q861" s="1813"/>
      <c r="R861" s="1813"/>
      <c r="S861" s="1813"/>
      <c r="T861" s="1813"/>
      <c r="U861" s="1813"/>
      <c r="V861" s="1813"/>
      <c r="W861" s="1813"/>
      <c r="X861" s="1813"/>
    </row>
    <row r="862" spans="1:24" ht="15.75" customHeight="1">
      <c r="A862" s="1819"/>
      <c r="B862" s="1819"/>
      <c r="C862" s="1819"/>
      <c r="D862" s="1819"/>
      <c r="E862" s="1819"/>
      <c r="F862" s="1819"/>
      <c r="G862" s="1803"/>
      <c r="H862" s="1813"/>
      <c r="I862" s="1813"/>
      <c r="J862" s="1813"/>
      <c r="K862" s="1813"/>
      <c r="L862" s="1813"/>
      <c r="M862" s="1813"/>
      <c r="N862" s="1813"/>
      <c r="O862" s="1813"/>
      <c r="P862" s="1813"/>
      <c r="Q862" s="1813"/>
      <c r="R862" s="1813"/>
      <c r="S862" s="1813"/>
      <c r="T862" s="1813"/>
      <c r="U862" s="1813"/>
      <c r="V862" s="1813"/>
      <c r="W862" s="1813"/>
      <c r="X862" s="1813"/>
    </row>
    <row r="863" spans="1:24" ht="15.75" customHeight="1">
      <c r="A863" s="1819"/>
      <c r="B863" s="1819"/>
      <c r="C863" s="1819"/>
      <c r="D863" s="1819"/>
      <c r="E863" s="1819"/>
      <c r="F863" s="1819"/>
      <c r="G863" s="1803"/>
      <c r="H863" s="1813"/>
      <c r="I863" s="1813"/>
      <c r="J863" s="1813"/>
      <c r="K863" s="1813"/>
      <c r="L863" s="1813"/>
      <c r="M863" s="1813"/>
      <c r="N863" s="1813"/>
      <c r="O863" s="1813"/>
      <c r="P863" s="1813"/>
      <c r="Q863" s="1813"/>
      <c r="R863" s="1813"/>
      <c r="S863" s="1813"/>
      <c r="T863" s="1813"/>
      <c r="U863" s="1813"/>
      <c r="V863" s="1813"/>
      <c r="W863" s="1813"/>
      <c r="X863" s="1813"/>
    </row>
    <row r="864" spans="1:24" ht="15.75" customHeight="1">
      <c r="A864" s="1819"/>
      <c r="B864" s="1819"/>
      <c r="C864" s="1819"/>
      <c r="D864" s="1819"/>
      <c r="E864" s="1819"/>
      <c r="F864" s="1819"/>
      <c r="G864" s="1803"/>
      <c r="H864" s="1813"/>
      <c r="I864" s="1813"/>
      <c r="J864" s="1813"/>
      <c r="K864" s="1813"/>
      <c r="L864" s="1813"/>
      <c r="M864" s="1813"/>
      <c r="N864" s="1813"/>
      <c r="O864" s="1813"/>
      <c r="P864" s="1813"/>
      <c r="Q864" s="1813"/>
      <c r="R864" s="1813"/>
      <c r="S864" s="1813"/>
      <c r="T864" s="1813"/>
      <c r="U864" s="1813"/>
      <c r="V864" s="1813"/>
      <c r="W864" s="1813"/>
      <c r="X864" s="1813"/>
    </row>
    <row r="865" spans="1:24" ht="15.75" customHeight="1">
      <c r="A865" s="1819"/>
      <c r="B865" s="1819"/>
      <c r="C865" s="1819"/>
      <c r="D865" s="1819"/>
      <c r="E865" s="1819"/>
      <c r="F865" s="1819"/>
      <c r="G865" s="1803"/>
      <c r="H865" s="1813"/>
      <c r="I865" s="1813"/>
      <c r="J865" s="1813"/>
      <c r="K865" s="1813"/>
      <c r="L865" s="1813"/>
      <c r="M865" s="1813"/>
      <c r="N865" s="1813"/>
      <c r="O865" s="1813"/>
      <c r="P865" s="1813"/>
      <c r="Q865" s="1813"/>
      <c r="R865" s="1813"/>
      <c r="S865" s="1813"/>
      <c r="T865" s="1813"/>
      <c r="U865" s="1813"/>
      <c r="V865" s="1813"/>
      <c r="W865" s="1813"/>
      <c r="X865" s="1813"/>
    </row>
    <row r="866" spans="1:24" ht="15.75" customHeight="1">
      <c r="A866" s="1819"/>
      <c r="B866" s="1819"/>
      <c r="C866" s="1819"/>
      <c r="D866" s="1819"/>
      <c r="E866" s="1819"/>
      <c r="F866" s="1819"/>
      <c r="G866" s="1803"/>
      <c r="H866" s="1813"/>
      <c r="I866" s="1813"/>
      <c r="J866" s="1813"/>
      <c r="K866" s="1813"/>
      <c r="L866" s="1813"/>
      <c r="M866" s="1813"/>
      <c r="N866" s="1813"/>
      <c r="O866" s="1813"/>
      <c r="P866" s="1813"/>
      <c r="Q866" s="1813"/>
      <c r="R866" s="1813"/>
      <c r="S866" s="1813"/>
      <c r="T866" s="1813"/>
      <c r="U866" s="1813"/>
      <c r="V866" s="1813"/>
      <c r="W866" s="1813"/>
      <c r="X866" s="1813"/>
    </row>
    <row r="867" spans="1:24" ht="15.75" customHeight="1">
      <c r="A867" s="1819"/>
      <c r="B867" s="1819"/>
      <c r="C867" s="1819"/>
      <c r="D867" s="1819"/>
      <c r="E867" s="1819"/>
      <c r="F867" s="1819"/>
      <c r="G867" s="1803"/>
      <c r="H867" s="1813"/>
      <c r="I867" s="1813"/>
      <c r="J867" s="1813"/>
      <c r="K867" s="1813"/>
      <c r="L867" s="1813"/>
      <c r="M867" s="1813"/>
      <c r="N867" s="1813"/>
      <c r="O867" s="1813"/>
      <c r="P867" s="1813"/>
      <c r="Q867" s="1813"/>
      <c r="R867" s="1813"/>
      <c r="S867" s="1813"/>
      <c r="T867" s="1813"/>
      <c r="U867" s="1813"/>
      <c r="V867" s="1813"/>
      <c r="W867" s="1813"/>
      <c r="X867" s="1813"/>
    </row>
    <row r="868" spans="1:24" ht="15.75" customHeight="1">
      <c r="A868" s="1819"/>
      <c r="B868" s="1819"/>
      <c r="C868" s="1819"/>
      <c r="D868" s="1819"/>
      <c r="E868" s="1819"/>
      <c r="F868" s="1819"/>
      <c r="G868" s="1803"/>
      <c r="H868" s="1813"/>
      <c r="I868" s="1813"/>
      <c r="J868" s="1813"/>
      <c r="K868" s="1813"/>
      <c r="L868" s="1813"/>
      <c r="M868" s="1813"/>
      <c r="N868" s="1813"/>
      <c r="O868" s="1813"/>
      <c r="P868" s="1813"/>
      <c r="Q868" s="1813"/>
      <c r="R868" s="1813"/>
      <c r="S868" s="1813"/>
      <c r="T868" s="1813"/>
      <c r="U868" s="1813"/>
      <c r="V868" s="1813"/>
      <c r="W868" s="1813"/>
      <c r="X868" s="1813"/>
    </row>
    <row r="869" spans="1:24" ht="15.75" customHeight="1">
      <c r="A869" s="1819"/>
      <c r="B869" s="1819"/>
      <c r="C869" s="1819"/>
      <c r="D869" s="1819"/>
      <c r="E869" s="1819"/>
      <c r="F869" s="1819"/>
      <c r="G869" s="1803"/>
      <c r="H869" s="1813"/>
      <c r="I869" s="1813"/>
      <c r="J869" s="1813"/>
      <c r="K869" s="1813"/>
      <c r="L869" s="1813"/>
      <c r="M869" s="1813"/>
      <c r="N869" s="1813"/>
      <c r="O869" s="1813"/>
      <c r="P869" s="1813"/>
      <c r="Q869" s="1813"/>
      <c r="R869" s="1813"/>
      <c r="S869" s="1813"/>
      <c r="T869" s="1813"/>
      <c r="U869" s="1813"/>
      <c r="V869" s="1813"/>
      <c r="W869" s="1813"/>
      <c r="X869" s="1813"/>
    </row>
    <row r="870" spans="1:24" ht="15.75" customHeight="1">
      <c r="A870" s="1819"/>
      <c r="B870" s="1819"/>
      <c r="C870" s="1819"/>
      <c r="D870" s="1819"/>
      <c r="E870" s="1819"/>
      <c r="F870" s="1819"/>
      <c r="G870" s="1803"/>
      <c r="H870" s="1813"/>
      <c r="I870" s="1813"/>
      <c r="J870" s="1813"/>
      <c r="K870" s="1813"/>
      <c r="L870" s="1813"/>
      <c r="M870" s="1813"/>
      <c r="N870" s="1813"/>
      <c r="O870" s="1813"/>
      <c r="P870" s="1813"/>
      <c r="Q870" s="1813"/>
      <c r="R870" s="1813"/>
      <c r="S870" s="1813"/>
      <c r="T870" s="1813"/>
      <c r="U870" s="1813"/>
      <c r="V870" s="1813"/>
      <c r="W870" s="1813"/>
      <c r="X870" s="1813"/>
    </row>
    <row r="871" spans="1:24" ht="15.75" customHeight="1">
      <c r="A871" s="1819"/>
      <c r="B871" s="1819"/>
      <c r="C871" s="1819"/>
      <c r="D871" s="1819"/>
      <c r="E871" s="1819"/>
      <c r="F871" s="1819"/>
      <c r="G871" s="1803"/>
      <c r="H871" s="1813"/>
      <c r="I871" s="1813"/>
      <c r="J871" s="1813"/>
      <c r="K871" s="1813"/>
      <c r="L871" s="1813"/>
      <c r="M871" s="1813"/>
      <c r="N871" s="1813"/>
      <c r="O871" s="1813"/>
      <c r="P871" s="1813"/>
      <c r="Q871" s="1813"/>
      <c r="R871" s="1813"/>
      <c r="S871" s="1813"/>
      <c r="T871" s="1813"/>
      <c r="U871" s="1813"/>
      <c r="V871" s="1813"/>
      <c r="W871" s="1813"/>
      <c r="X871" s="1813"/>
    </row>
    <row r="872" spans="1:24" ht="15.75" customHeight="1">
      <c r="A872" s="1819"/>
      <c r="B872" s="1819"/>
      <c r="C872" s="1819"/>
      <c r="D872" s="1819"/>
      <c r="E872" s="1819"/>
      <c r="F872" s="1819"/>
      <c r="G872" s="1803"/>
      <c r="H872" s="1813"/>
      <c r="I872" s="1813"/>
      <c r="J872" s="1813"/>
      <c r="K872" s="1813"/>
      <c r="L872" s="1813"/>
      <c r="M872" s="1813"/>
      <c r="N872" s="1813"/>
      <c r="O872" s="1813"/>
      <c r="P872" s="1813"/>
      <c r="Q872" s="1813"/>
      <c r="R872" s="1813"/>
      <c r="S872" s="1813"/>
      <c r="T872" s="1813"/>
      <c r="U872" s="1813"/>
      <c r="V872" s="1813"/>
      <c r="W872" s="1813"/>
      <c r="X872" s="1813"/>
    </row>
    <row r="873" spans="1:24" ht="15.75" customHeight="1">
      <c r="A873" s="1819"/>
      <c r="B873" s="1819"/>
      <c r="C873" s="1819"/>
      <c r="D873" s="1819"/>
      <c r="E873" s="1819"/>
      <c r="F873" s="1819"/>
      <c r="G873" s="1803"/>
      <c r="H873" s="1813"/>
      <c r="I873" s="1813"/>
      <c r="J873" s="1813"/>
      <c r="K873" s="1813"/>
      <c r="L873" s="1813"/>
      <c r="M873" s="1813"/>
      <c r="N873" s="1813"/>
      <c r="O873" s="1813"/>
      <c r="P873" s="1813"/>
      <c r="Q873" s="1813"/>
      <c r="R873" s="1813"/>
      <c r="S873" s="1813"/>
      <c r="T873" s="1813"/>
      <c r="U873" s="1813"/>
      <c r="V873" s="1813"/>
      <c r="W873" s="1813"/>
      <c r="X873" s="1813"/>
    </row>
    <row r="874" spans="1:24" ht="15.75" customHeight="1">
      <c r="A874" s="1819"/>
      <c r="B874" s="1819"/>
      <c r="C874" s="1819"/>
      <c r="D874" s="1819"/>
      <c r="E874" s="1819"/>
      <c r="F874" s="1819"/>
      <c r="G874" s="1803"/>
      <c r="H874" s="1813"/>
      <c r="I874" s="1813"/>
      <c r="J874" s="1813"/>
      <c r="K874" s="1813"/>
      <c r="L874" s="1813"/>
      <c r="M874" s="1813"/>
      <c r="N874" s="1813"/>
      <c r="O874" s="1813"/>
      <c r="P874" s="1813"/>
      <c r="Q874" s="1813"/>
      <c r="R874" s="1813"/>
      <c r="S874" s="1813"/>
      <c r="T874" s="1813"/>
      <c r="U874" s="1813"/>
      <c r="V874" s="1813"/>
      <c r="W874" s="1813"/>
      <c r="X874" s="1813"/>
    </row>
    <row r="875" spans="1:24" ht="15.75" customHeight="1">
      <c r="A875" s="1819"/>
      <c r="B875" s="1819"/>
      <c r="C875" s="1819"/>
      <c r="D875" s="1819"/>
      <c r="E875" s="1819"/>
      <c r="F875" s="1819"/>
      <c r="G875" s="1803"/>
      <c r="H875" s="1813"/>
      <c r="I875" s="1813"/>
      <c r="J875" s="1813"/>
      <c r="K875" s="1813"/>
      <c r="L875" s="1813"/>
      <c r="M875" s="1813"/>
      <c r="N875" s="1813"/>
      <c r="O875" s="1813"/>
      <c r="P875" s="1813"/>
      <c r="Q875" s="1813"/>
      <c r="R875" s="1813"/>
      <c r="S875" s="1813"/>
      <c r="T875" s="1813"/>
      <c r="U875" s="1813"/>
      <c r="V875" s="1813"/>
      <c r="W875" s="1813"/>
      <c r="X875" s="1813"/>
    </row>
    <row r="876" spans="1:24" ht="15.75" customHeight="1">
      <c r="A876" s="1819"/>
      <c r="B876" s="1819"/>
      <c r="C876" s="1819"/>
      <c r="D876" s="1819"/>
      <c r="E876" s="1819"/>
      <c r="F876" s="1819"/>
      <c r="G876" s="1803"/>
      <c r="H876" s="1813"/>
      <c r="I876" s="1813"/>
      <c r="J876" s="1813"/>
      <c r="K876" s="1813"/>
      <c r="L876" s="1813"/>
      <c r="M876" s="1813"/>
      <c r="N876" s="1813"/>
      <c r="O876" s="1813"/>
      <c r="P876" s="1813"/>
      <c r="Q876" s="1813"/>
      <c r="R876" s="1813"/>
      <c r="S876" s="1813"/>
      <c r="T876" s="1813"/>
      <c r="U876" s="1813"/>
      <c r="V876" s="1813"/>
      <c r="W876" s="1813"/>
      <c r="X876" s="1813"/>
    </row>
    <row r="877" spans="1:24" s="1813" customFormat="1" ht="14.5">
      <c r="A877" s="1819"/>
      <c r="B877" s="1819"/>
      <c r="C877" s="1819"/>
      <c r="D877" s="1819"/>
      <c r="E877" s="1819"/>
      <c r="F877" s="1819"/>
      <c r="G877" s="1803"/>
    </row>
    <row r="878" spans="1:24" s="1813" customFormat="1" ht="14.5">
      <c r="A878" s="1819"/>
      <c r="B878" s="1819"/>
      <c r="C878" s="1819"/>
      <c r="D878" s="1819"/>
      <c r="E878" s="1819"/>
      <c r="F878" s="1819"/>
      <c r="G878" s="1803"/>
    </row>
    <row r="879" spans="1:24" s="1813" customFormat="1" ht="14.5">
      <c r="A879" s="1819"/>
      <c r="B879" s="1819"/>
      <c r="C879" s="1819"/>
      <c r="D879" s="1819"/>
      <c r="E879" s="1819"/>
      <c r="F879" s="1819"/>
      <c r="G879" s="1803"/>
    </row>
    <row r="880" spans="1:24" s="1813" customFormat="1" ht="14.5">
      <c r="A880" s="1819"/>
      <c r="B880" s="1819"/>
      <c r="C880" s="1819"/>
      <c r="D880" s="1819"/>
      <c r="E880" s="1819"/>
      <c r="F880" s="1819"/>
      <c r="G880" s="1803"/>
    </row>
    <row r="881" spans="1:7" s="1813" customFormat="1" ht="14.5">
      <c r="A881" s="1819"/>
      <c r="B881" s="1819"/>
      <c r="C881" s="1819"/>
      <c r="D881" s="1819"/>
      <c r="E881" s="1819"/>
      <c r="F881" s="1819"/>
      <c r="G881" s="1803"/>
    </row>
    <row r="882" spans="1:7" s="1813" customFormat="1" ht="14.5">
      <c r="A882" s="1819"/>
      <c r="B882" s="1819"/>
      <c r="C882" s="1819"/>
      <c r="D882" s="1819"/>
      <c r="E882" s="1819"/>
      <c r="F882" s="1819"/>
      <c r="G882" s="1803"/>
    </row>
    <row r="883" spans="1:7" s="1813" customFormat="1" ht="14.5">
      <c r="A883" s="1819"/>
      <c r="B883" s="1819"/>
      <c r="C883" s="1819"/>
      <c r="D883" s="1819"/>
      <c r="E883" s="1819"/>
      <c r="F883" s="1819"/>
      <c r="G883" s="1803"/>
    </row>
    <row r="884" spans="1:7" s="1813" customFormat="1" ht="14.5">
      <c r="A884" s="1819"/>
      <c r="B884" s="1819"/>
      <c r="C884" s="1819"/>
      <c r="D884" s="1819"/>
      <c r="E884" s="1819"/>
      <c r="F884" s="1819"/>
      <c r="G884" s="1803"/>
    </row>
    <row r="885" spans="1:7" s="1813" customFormat="1" ht="14.5">
      <c r="A885" s="1819"/>
      <c r="B885" s="1819"/>
      <c r="C885" s="1819"/>
      <c r="D885" s="1819"/>
      <c r="E885" s="1819"/>
      <c r="F885" s="1819"/>
      <c r="G885" s="1803"/>
    </row>
    <row r="886" spans="1:7" s="1813" customFormat="1" ht="14.5">
      <c r="A886" s="1819"/>
      <c r="B886" s="1819"/>
      <c r="C886" s="1819"/>
      <c r="D886" s="1819"/>
      <c r="E886" s="1819"/>
      <c r="F886" s="1819"/>
      <c r="G886" s="1803"/>
    </row>
    <row r="887" spans="1:7" s="1813" customFormat="1" ht="14.5">
      <c r="A887" s="1819"/>
      <c r="B887" s="1819"/>
      <c r="C887" s="1819"/>
      <c r="D887" s="1819"/>
      <c r="E887" s="1819"/>
      <c r="F887" s="1819"/>
      <c r="G887" s="1803"/>
    </row>
    <row r="888" spans="1:7" s="1813" customFormat="1" ht="14.5">
      <c r="A888" s="1819"/>
      <c r="B888" s="1819"/>
      <c r="C888" s="1819"/>
      <c r="D888" s="1819"/>
      <c r="E888" s="1819"/>
      <c r="F888" s="1819"/>
      <c r="G888" s="1803"/>
    </row>
    <row r="889" spans="1:7" s="1813" customFormat="1" ht="14.5">
      <c r="A889" s="1819"/>
      <c r="B889" s="1819"/>
      <c r="C889" s="1819"/>
      <c r="D889" s="1819"/>
      <c r="E889" s="1819"/>
      <c r="F889" s="1819"/>
      <c r="G889" s="1803"/>
    </row>
    <row r="890" spans="1:7" s="1813" customFormat="1" ht="14.5">
      <c r="A890" s="1819"/>
      <c r="B890" s="1819"/>
      <c r="C890" s="1819"/>
      <c r="D890" s="1819"/>
      <c r="E890" s="1819"/>
      <c r="F890" s="1819"/>
      <c r="G890" s="1803"/>
    </row>
    <row r="891" spans="1:7" s="1813" customFormat="1" ht="14.5">
      <c r="A891" s="1819"/>
      <c r="B891" s="1819"/>
      <c r="C891" s="1819"/>
      <c r="D891" s="1819"/>
      <c r="E891" s="1819"/>
      <c r="F891" s="1819"/>
      <c r="G891" s="1803"/>
    </row>
    <row r="892" spans="1:7" s="1813" customFormat="1" ht="14.5">
      <c r="A892" s="1819"/>
      <c r="B892" s="1819"/>
      <c r="C892" s="1819"/>
      <c r="D892" s="1819"/>
      <c r="E892" s="1819"/>
      <c r="F892" s="1819"/>
      <c r="G892" s="1803"/>
    </row>
    <row r="893" spans="1:7" s="1813" customFormat="1" ht="14.5">
      <c r="A893" s="1819"/>
      <c r="B893" s="1819"/>
      <c r="C893" s="1819"/>
      <c r="D893" s="1819"/>
      <c r="E893" s="1819"/>
      <c r="F893" s="1819"/>
      <c r="G893" s="1803"/>
    </row>
    <row r="894" spans="1:7" s="1813" customFormat="1" ht="14.5">
      <c r="A894" s="1819"/>
      <c r="B894" s="1819"/>
      <c r="C894" s="1819"/>
      <c r="D894" s="1819"/>
      <c r="E894" s="1819"/>
      <c r="F894" s="1819"/>
      <c r="G894" s="1803"/>
    </row>
    <row r="895" spans="1:7" s="1813" customFormat="1" ht="14.5">
      <c r="A895" s="1819"/>
      <c r="B895" s="1819"/>
      <c r="C895" s="1819"/>
      <c r="D895" s="1819"/>
      <c r="E895" s="1819"/>
      <c r="F895" s="1819"/>
      <c r="G895" s="1803"/>
    </row>
    <row r="896" spans="1:7" s="1813" customFormat="1" ht="14.5">
      <c r="A896" s="1819"/>
      <c r="B896" s="1819"/>
      <c r="C896" s="1819"/>
      <c r="D896" s="1819"/>
      <c r="E896" s="1819"/>
      <c r="F896" s="1819"/>
      <c r="G896" s="1803"/>
    </row>
    <row r="897" spans="1:7" s="1813" customFormat="1" ht="14.5">
      <c r="A897" s="1819"/>
      <c r="B897" s="1819"/>
      <c r="C897" s="1819"/>
      <c r="D897" s="1819"/>
      <c r="E897" s="1819"/>
      <c r="F897" s="1819"/>
      <c r="G897" s="1803"/>
    </row>
    <row r="898" spans="1:7" s="1813" customFormat="1" ht="14.5">
      <c r="A898" s="1819"/>
      <c r="B898" s="1819"/>
      <c r="C898" s="1819"/>
      <c r="D898" s="1819"/>
      <c r="E898" s="1819"/>
      <c r="F898" s="1819"/>
      <c r="G898" s="1803"/>
    </row>
    <row r="899" spans="1:7" s="1813" customFormat="1" ht="14.5">
      <c r="A899" s="1819"/>
      <c r="B899" s="1819"/>
      <c r="C899" s="1819"/>
      <c r="D899" s="1819"/>
      <c r="E899" s="1819"/>
      <c r="F899" s="1819"/>
      <c r="G899" s="1803"/>
    </row>
    <row r="900" spans="1:7" s="1813" customFormat="1" ht="14.5">
      <c r="A900" s="1819"/>
      <c r="B900" s="1819"/>
      <c r="C900" s="1819"/>
      <c r="D900" s="1819"/>
      <c r="E900" s="1819"/>
      <c r="F900" s="1819"/>
      <c r="G900" s="1803"/>
    </row>
    <row r="901" spans="1:7" s="1813" customFormat="1" ht="14.5">
      <c r="A901" s="1819"/>
      <c r="B901" s="1819"/>
      <c r="C901" s="1819"/>
      <c r="D901" s="1819"/>
      <c r="E901" s="1819"/>
      <c r="F901" s="1819"/>
      <c r="G901" s="1803"/>
    </row>
    <row r="902" spans="1:7" s="1813" customFormat="1" ht="14.5">
      <c r="A902" s="1819"/>
      <c r="B902" s="1819"/>
      <c r="C902" s="1819"/>
      <c r="D902" s="1819"/>
      <c r="E902" s="1819"/>
      <c r="F902" s="1819"/>
      <c r="G902" s="1803"/>
    </row>
    <row r="903" spans="1:7" s="1813" customFormat="1" ht="14.5">
      <c r="A903" s="1819"/>
      <c r="B903" s="1819"/>
      <c r="C903" s="1819"/>
      <c r="D903" s="1819"/>
      <c r="E903" s="1819"/>
      <c r="F903" s="1819"/>
      <c r="G903" s="1803"/>
    </row>
    <row r="904" spans="1:7" s="1813" customFormat="1" ht="14.5">
      <c r="A904" s="1819"/>
      <c r="B904" s="1819"/>
      <c r="C904" s="1819"/>
      <c r="D904" s="1819"/>
      <c r="E904" s="1819"/>
      <c r="F904" s="1819"/>
      <c r="G904" s="1803"/>
    </row>
    <row r="905" spans="1:7" s="1813" customFormat="1" ht="14.5">
      <c r="A905" s="1819"/>
      <c r="B905" s="1819"/>
      <c r="C905" s="1819"/>
      <c r="D905" s="1819"/>
      <c r="E905" s="1819"/>
      <c r="F905" s="1819"/>
      <c r="G905" s="1803"/>
    </row>
    <row r="906" spans="1:7" s="1813" customFormat="1" ht="14.5">
      <c r="A906" s="1819"/>
      <c r="B906" s="1819"/>
      <c r="C906" s="1819"/>
      <c r="D906" s="1819"/>
      <c r="E906" s="1819"/>
      <c r="F906" s="1819"/>
      <c r="G906" s="1803"/>
    </row>
    <row r="907" spans="1:7" s="1813" customFormat="1" ht="14.5">
      <c r="A907" s="1819"/>
      <c r="B907" s="1819"/>
      <c r="C907" s="1819"/>
      <c r="D907" s="1819"/>
      <c r="E907" s="1819"/>
      <c r="F907" s="1819"/>
      <c r="G907" s="1803"/>
    </row>
    <row r="908" spans="1:7" s="1813" customFormat="1" ht="14.5">
      <c r="A908" s="1819"/>
      <c r="B908" s="1819"/>
      <c r="C908" s="1819"/>
      <c r="D908" s="1819"/>
      <c r="E908" s="1819"/>
      <c r="F908" s="1819"/>
      <c r="G908" s="1803"/>
    </row>
    <row r="909" spans="1:7" s="1813" customFormat="1" ht="14.5">
      <c r="A909" s="1819"/>
      <c r="B909" s="1819"/>
      <c r="C909" s="1819"/>
      <c r="D909" s="1819"/>
      <c r="E909" s="1819"/>
      <c r="F909" s="1819"/>
      <c r="G909" s="1803"/>
    </row>
    <row r="910" spans="1:7" s="1813" customFormat="1" ht="14.5">
      <c r="A910" s="1819"/>
      <c r="B910" s="1819"/>
      <c r="C910" s="1819"/>
      <c r="D910" s="1819"/>
      <c r="E910" s="1819"/>
      <c r="F910" s="1819"/>
      <c r="G910" s="1803"/>
    </row>
    <row r="911" spans="1:7" s="1813" customFormat="1" ht="14.5">
      <c r="A911" s="1819"/>
      <c r="B911" s="1819"/>
      <c r="C911" s="1819"/>
      <c r="D911" s="1819"/>
      <c r="E911" s="1819"/>
      <c r="F911" s="1819"/>
      <c r="G911" s="1803"/>
    </row>
    <row r="912" spans="1:7" s="1813" customFormat="1" ht="14.5">
      <c r="A912" s="1819"/>
      <c r="B912" s="1819"/>
      <c r="C912" s="1819"/>
      <c r="D912" s="1819"/>
      <c r="E912" s="1819"/>
      <c r="F912" s="1819"/>
      <c r="G912" s="1803"/>
    </row>
    <row r="913" spans="1:7" s="1813" customFormat="1" ht="14.5">
      <c r="A913" s="1819"/>
      <c r="B913" s="1819"/>
      <c r="C913" s="1819"/>
      <c r="D913" s="1819"/>
      <c r="E913" s="1819"/>
      <c r="F913" s="1819"/>
      <c r="G913" s="1803"/>
    </row>
    <row r="914" spans="1:7" s="1813" customFormat="1" ht="14.5">
      <c r="A914" s="1819"/>
      <c r="B914" s="1819"/>
      <c r="C914" s="1819"/>
      <c r="D914" s="1819"/>
      <c r="E914" s="1819"/>
      <c r="F914" s="1819"/>
      <c r="G914" s="1803"/>
    </row>
    <row r="915" spans="1:7" s="1813" customFormat="1" ht="14.5">
      <c r="A915" s="1819"/>
      <c r="B915" s="1819"/>
      <c r="C915" s="1819"/>
      <c r="D915" s="1819"/>
      <c r="E915" s="1819"/>
      <c r="F915" s="1819"/>
      <c r="G915" s="1803"/>
    </row>
    <row r="916" spans="1:7" s="1813" customFormat="1" ht="14.5">
      <c r="A916" s="1819"/>
      <c r="B916" s="1819"/>
      <c r="C916" s="1819"/>
      <c r="D916" s="1819"/>
      <c r="E916" s="1819"/>
      <c r="F916" s="1819"/>
      <c r="G916" s="1803"/>
    </row>
    <row r="917" spans="1:7" s="1813" customFormat="1" ht="14.5">
      <c r="A917" s="1819"/>
      <c r="B917" s="1819"/>
      <c r="C917" s="1819"/>
      <c r="D917" s="1819"/>
      <c r="E917" s="1819"/>
      <c r="F917" s="1819"/>
      <c r="G917" s="1803"/>
    </row>
    <row r="918" spans="1:7" s="1813" customFormat="1" ht="14.5">
      <c r="A918" s="1819"/>
      <c r="B918" s="1819"/>
      <c r="C918" s="1819"/>
      <c r="D918" s="1819"/>
      <c r="E918" s="1819"/>
      <c r="F918" s="1819"/>
      <c r="G918" s="1803"/>
    </row>
    <row r="919" spans="1:7" s="1813" customFormat="1" ht="14.5">
      <c r="A919" s="1819"/>
      <c r="B919" s="1819"/>
      <c r="C919" s="1819"/>
      <c r="D919" s="1819"/>
      <c r="E919" s="1819"/>
      <c r="F919" s="1819"/>
      <c r="G919" s="1803"/>
    </row>
    <row r="920" spans="1:7" s="1813" customFormat="1" ht="14.5">
      <c r="A920" s="1819"/>
      <c r="B920" s="1819"/>
      <c r="C920" s="1819"/>
      <c r="D920" s="1819"/>
      <c r="E920" s="1819"/>
      <c r="F920" s="1819"/>
      <c r="G920" s="1803"/>
    </row>
    <row r="921" spans="1:7" s="1813" customFormat="1" ht="14.5">
      <c r="A921" s="1819"/>
      <c r="B921" s="1819"/>
      <c r="C921" s="1819"/>
      <c r="D921" s="1819"/>
      <c r="E921" s="1819"/>
      <c r="F921" s="1819"/>
      <c r="G921" s="1803"/>
    </row>
    <row r="922" spans="1:7" s="1813" customFormat="1" ht="14.5">
      <c r="A922" s="1819"/>
      <c r="B922" s="1819"/>
      <c r="C922" s="1819"/>
      <c r="D922" s="1819"/>
      <c r="E922" s="1819"/>
      <c r="F922" s="1819"/>
      <c r="G922" s="1803"/>
    </row>
    <row r="923" spans="1:7" s="1813" customFormat="1" ht="14.5">
      <c r="A923" s="1819"/>
      <c r="B923" s="1819"/>
      <c r="C923" s="1819"/>
      <c r="D923" s="1819"/>
      <c r="E923" s="1819"/>
      <c r="F923" s="1819"/>
      <c r="G923" s="1803"/>
    </row>
    <row r="924" spans="1:7" s="1813" customFormat="1" ht="14.5">
      <c r="A924" s="1819"/>
      <c r="B924" s="1819"/>
      <c r="C924" s="1819"/>
      <c r="D924" s="1819"/>
      <c r="E924" s="1819"/>
      <c r="F924" s="1819"/>
      <c r="G924" s="1803"/>
    </row>
    <row r="925" spans="1:7" s="1813" customFormat="1" ht="14.5">
      <c r="A925" s="1819"/>
      <c r="B925" s="1819"/>
      <c r="C925" s="1819"/>
      <c r="D925" s="1819"/>
      <c r="E925" s="1819"/>
      <c r="F925" s="1819"/>
      <c r="G925" s="1803"/>
    </row>
    <row r="926" spans="1:7" s="1813" customFormat="1" ht="14.5">
      <c r="A926" s="1819"/>
      <c r="B926" s="1819"/>
      <c r="C926" s="1819"/>
      <c r="D926" s="1819"/>
      <c r="E926" s="1819"/>
      <c r="F926" s="1819"/>
      <c r="G926" s="1803"/>
    </row>
    <row r="927" spans="1:7" s="1813" customFormat="1" ht="14.5">
      <c r="A927" s="1819"/>
      <c r="B927" s="1819"/>
      <c r="C927" s="1819"/>
      <c r="D927" s="1819"/>
      <c r="E927" s="1819"/>
      <c r="F927" s="1819"/>
      <c r="G927" s="1803"/>
    </row>
    <row r="928" spans="1:7" s="1813" customFormat="1" ht="14.5">
      <c r="A928" s="1819"/>
      <c r="B928" s="1819"/>
      <c r="C928" s="1819"/>
      <c r="D928" s="1819"/>
      <c r="E928" s="1819"/>
      <c r="F928" s="1819"/>
      <c r="G928" s="1803"/>
    </row>
    <row r="929" spans="1:7" s="1813" customFormat="1" ht="14.5">
      <c r="A929" s="1819"/>
      <c r="B929" s="1819"/>
      <c r="C929" s="1819"/>
      <c r="D929" s="1819"/>
      <c r="E929" s="1819"/>
      <c r="F929" s="1819"/>
      <c r="G929" s="1803"/>
    </row>
    <row r="930" spans="1:7" s="1813" customFormat="1" ht="14.5">
      <c r="A930" s="1819"/>
      <c r="B930" s="1819"/>
      <c r="C930" s="1819"/>
      <c r="D930" s="1819"/>
      <c r="E930" s="1819"/>
      <c r="F930" s="1819"/>
      <c r="G930" s="1803"/>
    </row>
    <row r="931" spans="1:7" s="1813" customFormat="1" ht="14.5">
      <c r="A931" s="1819"/>
      <c r="B931" s="1819"/>
      <c r="C931" s="1819"/>
      <c r="D931" s="1819"/>
      <c r="E931" s="1819"/>
      <c r="F931" s="1819"/>
      <c r="G931" s="1803"/>
    </row>
    <row r="932" spans="1:7" s="1813" customFormat="1" ht="14.5">
      <c r="A932" s="1819"/>
      <c r="B932" s="1819"/>
      <c r="C932" s="1819"/>
      <c r="D932" s="1819"/>
      <c r="E932" s="1819"/>
      <c r="F932" s="1819"/>
      <c r="G932" s="1803"/>
    </row>
    <row r="933" spans="1:7" s="1813" customFormat="1" ht="14.5">
      <c r="A933" s="1819"/>
      <c r="B933" s="1819"/>
      <c r="C933" s="1819"/>
      <c r="D933" s="1819"/>
      <c r="E933" s="1819"/>
      <c r="F933" s="1819"/>
      <c r="G933" s="1803"/>
    </row>
    <row r="934" spans="1:7" s="1813" customFormat="1" ht="14.5">
      <c r="A934" s="1819"/>
      <c r="B934" s="1819"/>
      <c r="C934" s="1819"/>
      <c r="D934" s="1819"/>
      <c r="E934" s="1819"/>
      <c r="F934" s="1819"/>
      <c r="G934" s="1803"/>
    </row>
    <row r="935" spans="1:7" s="1813" customFormat="1" ht="14.5">
      <c r="A935" s="1819"/>
      <c r="B935" s="1819"/>
      <c r="C935" s="1819"/>
      <c r="D935" s="1819"/>
      <c r="E935" s="1819"/>
      <c r="F935" s="1819"/>
      <c r="G935" s="1803"/>
    </row>
    <row r="936" spans="1:7" s="1813" customFormat="1" ht="14.5">
      <c r="A936" s="1819"/>
      <c r="B936" s="1819"/>
      <c r="C936" s="1819"/>
      <c r="D936" s="1819"/>
      <c r="E936" s="1819"/>
      <c r="F936" s="1819"/>
      <c r="G936" s="1803"/>
    </row>
    <row r="937" spans="1:7" s="1813" customFormat="1" ht="14.5">
      <c r="A937" s="1819"/>
      <c r="B937" s="1819"/>
      <c r="C937" s="1819"/>
      <c r="D937" s="1819"/>
      <c r="E937" s="1819"/>
      <c r="F937" s="1819"/>
      <c r="G937" s="1803"/>
    </row>
    <row r="938" spans="1:7" s="1813" customFormat="1" ht="14.5">
      <c r="A938" s="1819"/>
      <c r="B938" s="1819"/>
      <c r="C938" s="1819"/>
      <c r="D938" s="1819"/>
      <c r="E938" s="1819"/>
      <c r="F938" s="1819"/>
      <c r="G938" s="1803"/>
    </row>
    <row r="939" spans="1:7" s="1813" customFormat="1" ht="14.5">
      <c r="A939" s="1819"/>
      <c r="B939" s="1819"/>
      <c r="C939" s="1819"/>
      <c r="D939" s="1819"/>
      <c r="E939" s="1819"/>
      <c r="F939" s="1819"/>
      <c r="G939" s="1803"/>
    </row>
    <row r="940" spans="1:7" s="1813" customFormat="1" ht="14.5">
      <c r="A940" s="1819"/>
      <c r="B940" s="1819"/>
      <c r="C940" s="1819"/>
      <c r="D940" s="1819"/>
      <c r="E940" s="1819"/>
      <c r="F940" s="1819"/>
      <c r="G940" s="1803"/>
    </row>
    <row r="941" spans="1:7" s="1813" customFormat="1" ht="14.5">
      <c r="A941" s="1819"/>
      <c r="B941" s="1819"/>
      <c r="C941" s="1819"/>
      <c r="D941" s="1819"/>
      <c r="E941" s="1819"/>
      <c r="F941" s="1819"/>
      <c r="G941" s="1803"/>
    </row>
    <row r="942" spans="1:7" s="1813" customFormat="1" ht="14.5">
      <c r="A942" s="1819"/>
      <c r="B942" s="1819"/>
      <c r="C942" s="1819"/>
      <c r="D942" s="1819"/>
      <c r="E942" s="1819"/>
      <c r="F942" s="1819"/>
      <c r="G942" s="1803"/>
    </row>
    <row r="943" spans="1:7" s="1813" customFormat="1" ht="14.5">
      <c r="A943" s="1819"/>
      <c r="B943" s="1819"/>
      <c r="C943" s="1819"/>
      <c r="D943" s="1819"/>
      <c r="E943" s="1819"/>
      <c r="F943" s="1819"/>
      <c r="G943" s="1803"/>
    </row>
    <row r="944" spans="1:7" s="1813" customFormat="1" ht="14.5">
      <c r="A944" s="1819"/>
      <c r="B944" s="1819"/>
      <c r="C944" s="1819"/>
      <c r="D944" s="1819"/>
      <c r="E944" s="1819"/>
      <c r="F944" s="1819"/>
      <c r="G944" s="1803"/>
    </row>
    <row r="945" spans="1:7" s="1813" customFormat="1" ht="14.5">
      <c r="A945" s="1819"/>
      <c r="B945" s="1819"/>
      <c r="C945" s="1819"/>
      <c r="D945" s="1819"/>
      <c r="E945" s="1819"/>
      <c r="F945" s="1819"/>
      <c r="G945" s="1803"/>
    </row>
    <row r="946" spans="1:7" s="1813" customFormat="1" ht="14.5">
      <c r="A946" s="1819"/>
      <c r="B946" s="1819"/>
      <c r="C946" s="1819"/>
      <c r="D946" s="1819"/>
      <c r="E946" s="1819"/>
      <c r="F946" s="1819"/>
      <c r="G946" s="1803"/>
    </row>
    <row r="947" spans="1:7" s="1813" customFormat="1" ht="14.5">
      <c r="A947" s="1819"/>
      <c r="B947" s="1819"/>
      <c r="C947" s="1819"/>
      <c r="D947" s="1819"/>
      <c r="E947" s="1819"/>
      <c r="F947" s="1819"/>
      <c r="G947" s="1803"/>
    </row>
    <row r="948" spans="1:7" s="1813" customFormat="1" ht="14.5">
      <c r="A948" s="1819"/>
      <c r="B948" s="1819"/>
      <c r="C948" s="1819"/>
      <c r="D948" s="1819"/>
      <c r="E948" s="1819"/>
      <c r="F948" s="1819"/>
      <c r="G948" s="1803"/>
    </row>
    <row r="949" spans="1:7" s="1813" customFormat="1" ht="14.5">
      <c r="A949" s="1819"/>
      <c r="B949" s="1819"/>
      <c r="C949" s="1819"/>
      <c r="D949" s="1819"/>
      <c r="E949" s="1819"/>
      <c r="F949" s="1819"/>
      <c r="G949" s="1803"/>
    </row>
    <row r="950" spans="1:7" s="1813" customFormat="1" ht="14.5">
      <c r="A950" s="1819"/>
      <c r="B950" s="1819"/>
      <c r="C950" s="1819"/>
      <c r="D950" s="1819"/>
      <c r="E950" s="1819"/>
      <c r="F950" s="1819"/>
      <c r="G950" s="1803"/>
    </row>
    <row r="951" spans="1:7" s="1813" customFormat="1" ht="14.5">
      <c r="A951" s="1819"/>
      <c r="B951" s="1819"/>
      <c r="C951" s="1819"/>
      <c r="D951" s="1819"/>
      <c r="E951" s="1819"/>
      <c r="F951" s="1819"/>
      <c r="G951" s="1803"/>
    </row>
    <row r="952" spans="1:7" s="1813" customFormat="1" ht="14.5">
      <c r="A952" s="1819"/>
      <c r="B952" s="1819"/>
      <c r="C952" s="1819"/>
      <c r="D952" s="1819"/>
      <c r="E952" s="1819"/>
      <c r="F952" s="1819"/>
      <c r="G952" s="1803"/>
    </row>
    <row r="953" spans="1:7" s="1813" customFormat="1" ht="14.5">
      <c r="A953" s="1819"/>
      <c r="B953" s="1819"/>
      <c r="C953" s="1819"/>
      <c r="D953" s="1819"/>
      <c r="E953" s="1819"/>
      <c r="F953" s="1819"/>
      <c r="G953" s="1803"/>
    </row>
    <row r="954" spans="1:7" s="1813" customFormat="1" ht="14.5">
      <c r="A954" s="1819"/>
      <c r="B954" s="1819"/>
      <c r="C954" s="1819"/>
      <c r="D954" s="1819"/>
      <c r="E954" s="1819"/>
      <c r="F954" s="1819"/>
      <c r="G954" s="1803"/>
    </row>
    <row r="955" spans="1:7" s="1813" customFormat="1" ht="14.5">
      <c r="A955" s="1819"/>
      <c r="B955" s="1819"/>
      <c r="C955" s="1819"/>
      <c r="D955" s="1819"/>
      <c r="E955" s="1819"/>
      <c r="F955" s="1819"/>
      <c r="G955" s="1803"/>
    </row>
    <row r="956" spans="1:7" s="1813" customFormat="1" ht="14.5">
      <c r="A956" s="1819"/>
      <c r="B956" s="1819"/>
      <c r="C956" s="1819"/>
      <c r="D956" s="1819"/>
      <c r="E956" s="1819"/>
      <c r="F956" s="1819"/>
      <c r="G956" s="1803"/>
    </row>
    <row r="957" spans="1:7" s="1813" customFormat="1" ht="14.5">
      <c r="A957" s="1819"/>
      <c r="B957" s="1819"/>
      <c r="C957" s="1819"/>
      <c r="D957" s="1819"/>
      <c r="E957" s="1819"/>
      <c r="F957" s="1819"/>
      <c r="G957" s="1803"/>
    </row>
    <row r="958" spans="1:7" s="1813" customFormat="1" ht="14.5">
      <c r="A958" s="1819"/>
      <c r="B958" s="1819"/>
      <c r="C958" s="1819"/>
      <c r="D958" s="1819"/>
      <c r="E958" s="1819"/>
      <c r="F958" s="1819"/>
      <c r="G958" s="1803"/>
    </row>
    <row r="959" spans="1:7" s="1813" customFormat="1" ht="14.5">
      <c r="A959" s="1819"/>
      <c r="B959" s="1819"/>
      <c r="C959" s="1819"/>
      <c r="D959" s="1819"/>
      <c r="E959" s="1819"/>
      <c r="F959" s="1819"/>
      <c r="G959" s="1803"/>
    </row>
    <row r="960" spans="1:7" s="1813" customFormat="1" ht="14.5">
      <c r="A960" s="1819"/>
      <c r="B960" s="1819"/>
      <c r="C960" s="1819"/>
      <c r="D960" s="1819"/>
      <c r="E960" s="1819"/>
      <c r="F960" s="1819"/>
      <c r="G960" s="1803"/>
    </row>
    <row r="961" spans="1:7" s="1813" customFormat="1" ht="14.5">
      <c r="A961" s="1819"/>
      <c r="B961" s="1819"/>
      <c r="C961" s="1819"/>
      <c r="D961" s="1819"/>
      <c r="E961" s="1819"/>
      <c r="F961" s="1819"/>
      <c r="G961" s="1803"/>
    </row>
    <row r="962" spans="1:7" s="1813" customFormat="1" ht="14.5">
      <c r="A962" s="1819"/>
      <c r="B962" s="1819"/>
      <c r="C962" s="1819"/>
      <c r="D962" s="1819"/>
      <c r="E962" s="1819"/>
      <c r="F962" s="1819"/>
      <c r="G962" s="1803"/>
    </row>
    <row r="963" spans="1:7" s="1813" customFormat="1" ht="14.5">
      <c r="A963" s="1819"/>
      <c r="B963" s="1819"/>
      <c r="C963" s="1819"/>
      <c r="D963" s="1819"/>
      <c r="E963" s="1819"/>
      <c r="F963" s="1819"/>
      <c r="G963" s="1803"/>
    </row>
    <row r="964" spans="1:7" s="1813" customFormat="1" ht="14.5">
      <c r="A964" s="1819"/>
      <c r="B964" s="1819"/>
      <c r="C964" s="1819"/>
      <c r="D964" s="1819"/>
      <c r="E964" s="1819"/>
      <c r="F964" s="1819"/>
      <c r="G964" s="1803"/>
    </row>
    <row r="965" spans="1:7" s="1813" customFormat="1" ht="14.5">
      <c r="A965" s="1819"/>
      <c r="B965" s="1819"/>
      <c r="C965" s="1819"/>
      <c r="D965" s="1819"/>
      <c r="E965" s="1819"/>
      <c r="F965" s="1819"/>
      <c r="G965" s="1803"/>
    </row>
    <row r="966" spans="1:7" s="1813" customFormat="1" ht="14.5">
      <c r="A966" s="1819"/>
      <c r="B966" s="1819"/>
      <c r="C966" s="1819"/>
      <c r="D966" s="1819"/>
      <c r="E966" s="1819"/>
      <c r="F966" s="1819"/>
      <c r="G966" s="1803"/>
    </row>
    <row r="967" spans="1:7" s="1813" customFormat="1" ht="14.5">
      <c r="A967" s="1819"/>
      <c r="B967" s="1819"/>
      <c r="C967" s="1819"/>
      <c r="D967" s="1819"/>
      <c r="E967" s="1819"/>
      <c r="F967" s="1819"/>
      <c r="G967" s="1803"/>
    </row>
    <row r="968" spans="1:7" s="1813" customFormat="1" ht="14.5">
      <c r="A968" s="1819"/>
      <c r="B968" s="1819"/>
      <c r="C968" s="1819"/>
      <c r="D968" s="1819"/>
      <c r="E968" s="1819"/>
      <c r="F968" s="1819"/>
      <c r="G968" s="1803"/>
    </row>
    <row r="969" spans="1:7" s="1813" customFormat="1" ht="14.5">
      <c r="A969" s="1819"/>
      <c r="B969" s="1819"/>
      <c r="C969" s="1819"/>
      <c r="D969" s="1819"/>
      <c r="E969" s="1819"/>
      <c r="F969" s="1819"/>
      <c r="G969" s="1803"/>
    </row>
    <row r="970" spans="1:7" s="1813" customFormat="1" ht="14.5">
      <c r="A970" s="1819"/>
      <c r="B970" s="1819"/>
      <c r="C970" s="1819"/>
      <c r="D970" s="1819"/>
      <c r="E970" s="1819"/>
      <c r="F970" s="1819"/>
      <c r="G970" s="1803"/>
    </row>
    <row r="971" spans="1:7" s="1813" customFormat="1" ht="14.5">
      <c r="A971" s="1819"/>
      <c r="B971" s="1819"/>
      <c r="C971" s="1819"/>
      <c r="D971" s="1819"/>
      <c r="E971" s="1819"/>
      <c r="F971" s="1819"/>
      <c r="G971" s="1803"/>
    </row>
    <row r="972" spans="1:7" s="1813" customFormat="1" ht="14.5">
      <c r="A972" s="1819"/>
      <c r="B972" s="1819"/>
      <c r="C972" s="1819"/>
      <c r="D972" s="1819"/>
      <c r="E972" s="1819"/>
      <c r="F972" s="1819"/>
      <c r="G972" s="1803"/>
    </row>
    <row r="973" spans="1:7" s="1813" customFormat="1" ht="14.5">
      <c r="A973" s="1819"/>
      <c r="B973" s="1819"/>
      <c r="C973" s="1819"/>
      <c r="D973" s="1819"/>
      <c r="E973" s="1819"/>
      <c r="F973" s="1819"/>
      <c r="G973" s="1803"/>
    </row>
    <row r="974" spans="1:7" s="1813" customFormat="1" ht="14.5">
      <c r="A974" s="1819"/>
      <c r="B974" s="1819"/>
      <c r="C974" s="1819"/>
      <c r="D974" s="1819"/>
      <c r="E974" s="1819"/>
      <c r="F974" s="1819"/>
      <c r="G974" s="1803"/>
    </row>
    <row r="975" spans="1:7" s="1813" customFormat="1" ht="14.5">
      <c r="A975" s="1819"/>
      <c r="B975" s="1819"/>
      <c r="C975" s="1819"/>
      <c r="D975" s="1819"/>
      <c r="E975" s="1819"/>
      <c r="F975" s="1819"/>
      <c r="G975" s="1803"/>
    </row>
    <row r="976" spans="1:7" s="1813" customFormat="1" ht="14.5">
      <c r="A976" s="1819"/>
      <c r="B976" s="1819"/>
      <c r="C976" s="1819"/>
      <c r="D976" s="1819"/>
      <c r="E976" s="1819"/>
      <c r="F976" s="1819"/>
      <c r="G976" s="1803"/>
    </row>
    <row r="977" spans="1:7" s="1813" customFormat="1" ht="14.5">
      <c r="A977" s="1819"/>
      <c r="B977" s="1819"/>
      <c r="C977" s="1819"/>
      <c r="D977" s="1819"/>
      <c r="E977" s="1819"/>
      <c r="F977" s="1819"/>
      <c r="G977" s="1803"/>
    </row>
    <row r="978" spans="1:7" s="1813" customFormat="1" ht="14.5">
      <c r="A978" s="1819"/>
      <c r="B978" s="1819"/>
      <c r="C978" s="1819"/>
      <c r="D978" s="1819"/>
      <c r="E978" s="1819"/>
      <c r="F978" s="1819"/>
      <c r="G978" s="1803"/>
    </row>
    <row r="979" spans="1:7" s="1813" customFormat="1" ht="14.5">
      <c r="A979" s="1819"/>
      <c r="B979" s="1819"/>
      <c r="C979" s="1819"/>
      <c r="D979" s="1819"/>
      <c r="E979" s="1819"/>
      <c r="F979" s="1819"/>
      <c r="G979" s="1803"/>
    </row>
    <row r="980" spans="1:7" s="1813" customFormat="1" ht="14.5">
      <c r="A980" s="1819"/>
      <c r="B980" s="1819"/>
      <c r="C980" s="1819"/>
      <c r="D980" s="1819"/>
      <c r="E980" s="1819"/>
      <c r="F980" s="1819"/>
      <c r="G980" s="1803"/>
    </row>
    <row r="981" spans="1:7" s="1813" customFormat="1" ht="14.5">
      <c r="A981" s="1819"/>
      <c r="B981" s="1819"/>
      <c r="C981" s="1819"/>
      <c r="D981" s="1819"/>
      <c r="E981" s="1819"/>
      <c r="F981" s="1819"/>
      <c r="G981" s="1803"/>
    </row>
    <row r="982" spans="1:7" s="1813" customFormat="1" ht="14.5">
      <c r="A982" s="1819"/>
      <c r="B982" s="1819"/>
      <c r="C982" s="1819"/>
      <c r="D982" s="1819"/>
      <c r="E982" s="1819"/>
      <c r="F982" s="1819"/>
      <c r="G982" s="1803"/>
    </row>
    <row r="983" spans="1:7" s="1813" customFormat="1" ht="14.5">
      <c r="A983" s="1819"/>
      <c r="B983" s="1819"/>
      <c r="C983" s="1819"/>
      <c r="D983" s="1819"/>
      <c r="E983" s="1819"/>
      <c r="F983" s="1819"/>
      <c r="G983" s="1803"/>
    </row>
    <row r="984" spans="1:7" s="1813" customFormat="1" ht="14.5">
      <c r="A984" s="1819"/>
      <c r="B984" s="1819"/>
      <c r="C984" s="1819"/>
      <c r="D984" s="1819"/>
      <c r="E984" s="1819"/>
      <c r="F984" s="1819"/>
      <c r="G984" s="1803"/>
    </row>
    <row r="985" spans="1:7" s="1813" customFormat="1" ht="14.5">
      <c r="A985" s="1819"/>
      <c r="B985" s="1819"/>
      <c r="C985" s="1819"/>
      <c r="D985" s="1819"/>
      <c r="E985" s="1819"/>
      <c r="F985" s="1819"/>
      <c r="G985" s="1803"/>
    </row>
    <row r="986" spans="1:7" s="1813" customFormat="1" ht="14.5">
      <c r="A986" s="1819"/>
      <c r="B986" s="1819"/>
      <c r="C986" s="1819"/>
      <c r="D986" s="1819"/>
      <c r="E986" s="1819"/>
      <c r="F986" s="1819"/>
      <c r="G986" s="1803"/>
    </row>
    <row r="987" spans="1:7" s="1813" customFormat="1" ht="14.5">
      <c r="A987" s="1819"/>
      <c r="B987" s="1819"/>
      <c r="C987" s="1819"/>
      <c r="D987" s="1819"/>
      <c r="E987" s="1819"/>
      <c r="F987" s="1819"/>
      <c r="G987" s="1803"/>
    </row>
    <row r="988" spans="1:7" s="1813" customFormat="1" ht="14.5">
      <c r="A988" s="1819"/>
      <c r="B988" s="1819"/>
      <c r="C988" s="1819"/>
      <c r="D988" s="1819"/>
      <c r="E988" s="1819"/>
      <c r="F988" s="1819"/>
      <c r="G988" s="1803"/>
    </row>
    <row r="989" spans="1:7" s="1813" customFormat="1" ht="14.5">
      <c r="A989" s="1819"/>
      <c r="B989" s="1819"/>
      <c r="C989" s="1819"/>
      <c r="D989" s="1819"/>
      <c r="E989" s="1819"/>
      <c r="F989" s="1819"/>
      <c r="G989" s="1803"/>
    </row>
    <row r="990" spans="1:7" s="1813" customFormat="1" ht="14.5">
      <c r="A990" s="1819"/>
      <c r="B990" s="1819"/>
      <c r="C990" s="1819"/>
      <c r="D990" s="1819"/>
      <c r="E990" s="1819"/>
      <c r="F990" s="1819"/>
      <c r="G990" s="1803"/>
    </row>
    <row r="991" spans="1:7" s="1813" customFormat="1" ht="14.5">
      <c r="A991" s="1819"/>
      <c r="B991" s="1819"/>
      <c r="C991" s="1819"/>
      <c r="D991" s="1819"/>
      <c r="E991" s="1819"/>
      <c r="F991" s="1819"/>
      <c r="G991" s="1803"/>
    </row>
    <row r="992" spans="1:7" s="1813" customFormat="1" ht="14.5">
      <c r="A992" s="1819"/>
      <c r="B992" s="1819"/>
      <c r="C992" s="1819"/>
      <c r="D992" s="1819"/>
      <c r="E992" s="1819"/>
      <c r="F992" s="1819"/>
      <c r="G992" s="1803"/>
    </row>
    <row r="993" spans="1:24" s="1813" customFormat="1" ht="14.5">
      <c r="A993" s="1819"/>
      <c r="B993" s="1819"/>
      <c r="C993" s="1819"/>
      <c r="D993" s="1819"/>
      <c r="E993" s="1819"/>
      <c r="F993" s="1819"/>
      <c r="G993" s="1803"/>
    </row>
    <row r="994" spans="1:24" s="1813" customFormat="1" ht="14.5">
      <c r="A994" s="1819"/>
      <c r="B994" s="1819"/>
      <c r="C994" s="1819"/>
      <c r="D994" s="1819"/>
      <c r="E994" s="1819"/>
      <c r="F994" s="1819"/>
      <c r="G994" s="1803"/>
    </row>
    <row r="995" spans="1:24" s="1813" customFormat="1" ht="14.5">
      <c r="A995" s="1819"/>
      <c r="B995" s="1819"/>
      <c r="C995" s="1819"/>
      <c r="D995" s="1819"/>
      <c r="E995" s="1819"/>
      <c r="F995" s="1819"/>
      <c r="G995" s="1803"/>
    </row>
    <row r="996" spans="1:24" s="1813" customFormat="1" ht="14.5">
      <c r="A996" s="1819"/>
      <c r="B996" s="1819"/>
      <c r="C996" s="1819"/>
      <c r="D996" s="1819"/>
      <c r="E996" s="1819"/>
      <c r="F996" s="1819"/>
      <c r="G996" s="1803"/>
    </row>
    <row r="997" spans="1:24" s="1813" customFormat="1" ht="14.5">
      <c r="A997" s="1819"/>
      <c r="B997" s="1819"/>
      <c r="C997" s="1819"/>
      <c r="D997" s="1819"/>
      <c r="E997" s="1819"/>
      <c r="F997" s="1819"/>
      <c r="G997" s="1803"/>
    </row>
    <row r="998" spans="1:24" s="1813" customFormat="1" ht="14.5">
      <c r="A998" s="1819"/>
      <c r="B998" s="1819"/>
      <c r="C998" s="1819"/>
      <c r="D998" s="1819"/>
      <c r="E998" s="1819"/>
      <c r="F998" s="1819"/>
      <c r="G998" s="1803"/>
    </row>
    <row r="999" spans="1:24" ht="14.5">
      <c r="A999" s="1819"/>
      <c r="B999" s="1819"/>
      <c r="C999" s="1819"/>
      <c r="D999" s="1819"/>
      <c r="E999" s="1819"/>
      <c r="F999" s="1819"/>
      <c r="G999" s="1803"/>
      <c r="H999" s="1813"/>
      <c r="I999" s="1813"/>
      <c r="J999" s="1813"/>
      <c r="K999" s="1813"/>
      <c r="L999" s="1813"/>
      <c r="M999" s="1813"/>
      <c r="N999" s="1813"/>
      <c r="O999" s="1813"/>
      <c r="P999" s="1813"/>
      <c r="Q999" s="1813"/>
      <c r="R999" s="1813"/>
      <c r="S999" s="1813"/>
      <c r="T999" s="1813"/>
      <c r="U999" s="1813"/>
      <c r="V999" s="1813"/>
      <c r="W999" s="1813"/>
      <c r="X999" s="1813"/>
    </row>
    <row r="1000" spans="1:24" ht="14.5">
      <c r="A1000" s="1819"/>
      <c r="B1000" s="1819"/>
      <c r="C1000" s="1819"/>
      <c r="D1000" s="1819"/>
      <c r="E1000" s="1819"/>
      <c r="F1000" s="1819"/>
      <c r="G1000" s="1803"/>
      <c r="H1000" s="1813"/>
      <c r="I1000" s="1813"/>
      <c r="J1000" s="1813"/>
      <c r="K1000" s="1813"/>
      <c r="L1000" s="1813"/>
      <c r="M1000" s="1813"/>
      <c r="N1000" s="1813"/>
      <c r="O1000" s="1813"/>
      <c r="P1000" s="1813"/>
      <c r="Q1000" s="1813"/>
      <c r="R1000" s="1813"/>
      <c r="S1000" s="1813"/>
      <c r="T1000" s="1813"/>
      <c r="U1000" s="1813"/>
      <c r="V1000" s="1813"/>
      <c r="W1000" s="1813"/>
      <c r="X1000" s="1813"/>
    </row>
    <row r="1001" spans="1:24" ht="14.5">
      <c r="A1001" s="1819"/>
      <c r="B1001" s="1819"/>
      <c r="C1001" s="1819"/>
      <c r="D1001" s="1819"/>
      <c r="E1001" s="1819"/>
      <c r="F1001" s="1819"/>
      <c r="G1001" s="1803"/>
      <c r="H1001" s="1813"/>
      <c r="I1001" s="1813"/>
      <c r="J1001" s="1813"/>
      <c r="K1001" s="1813"/>
      <c r="L1001" s="1813"/>
      <c r="M1001" s="1813"/>
      <c r="N1001" s="1813"/>
      <c r="O1001" s="1813"/>
      <c r="P1001" s="1813"/>
      <c r="Q1001" s="1813"/>
      <c r="R1001" s="1813"/>
      <c r="S1001" s="1813"/>
      <c r="T1001" s="1813"/>
      <c r="U1001" s="1813"/>
      <c r="V1001" s="1813"/>
      <c r="W1001" s="1813"/>
      <c r="X1001" s="1813"/>
    </row>
    <row r="1002" spans="1:24" ht="14.5">
      <c r="A1002" s="1819"/>
      <c r="B1002" s="1819"/>
      <c r="C1002" s="1819"/>
      <c r="D1002" s="1819"/>
      <c r="E1002" s="1819"/>
      <c r="F1002" s="1819"/>
      <c r="G1002" s="1803"/>
      <c r="H1002" s="1813"/>
      <c r="I1002" s="1813"/>
      <c r="J1002" s="1813"/>
      <c r="K1002" s="1813"/>
      <c r="L1002" s="1813"/>
      <c r="M1002" s="1813"/>
      <c r="N1002" s="1813"/>
      <c r="O1002" s="1813"/>
      <c r="P1002" s="1813"/>
      <c r="Q1002" s="1813"/>
      <c r="R1002" s="1813"/>
      <c r="S1002" s="1813"/>
      <c r="T1002" s="1813"/>
      <c r="U1002" s="1813"/>
      <c r="V1002" s="1813"/>
      <c r="W1002" s="1813"/>
      <c r="X1002" s="1813"/>
    </row>
    <row r="1003" spans="1:24" ht="14.5">
      <c r="A1003" s="1819"/>
      <c r="B1003" s="1819"/>
      <c r="C1003" s="1819"/>
      <c r="D1003" s="1819"/>
      <c r="E1003" s="1819"/>
      <c r="F1003" s="1819"/>
      <c r="G1003" s="1803"/>
      <c r="H1003" s="1813"/>
      <c r="I1003" s="1813"/>
      <c r="J1003" s="1813"/>
      <c r="K1003" s="1813"/>
      <c r="L1003" s="1813"/>
      <c r="M1003" s="1813"/>
      <c r="N1003" s="1813"/>
      <c r="O1003" s="1813"/>
      <c r="P1003" s="1813"/>
      <c r="Q1003" s="1813"/>
      <c r="R1003" s="1813"/>
      <c r="S1003" s="1813"/>
      <c r="T1003" s="1813"/>
      <c r="U1003" s="1813"/>
      <c r="V1003" s="1813"/>
      <c r="W1003" s="1813"/>
      <c r="X1003" s="1813"/>
    </row>
    <row r="1004" spans="1:24" ht="14.5">
      <c r="A1004" s="1819"/>
      <c r="B1004" s="1819"/>
      <c r="C1004" s="1819"/>
      <c r="D1004" s="1819"/>
      <c r="E1004" s="1819"/>
      <c r="F1004" s="1819"/>
      <c r="G1004" s="1803"/>
      <c r="H1004" s="1813"/>
      <c r="I1004" s="1813"/>
      <c r="J1004" s="1813"/>
      <c r="K1004" s="1813"/>
      <c r="L1004" s="1813"/>
      <c r="M1004" s="1813"/>
      <c r="N1004" s="1813"/>
      <c r="O1004" s="1813"/>
      <c r="P1004" s="1813"/>
      <c r="Q1004" s="1813"/>
      <c r="R1004" s="1813"/>
      <c r="S1004" s="1813"/>
      <c r="T1004" s="1813"/>
      <c r="U1004" s="1813"/>
      <c r="V1004" s="1813"/>
      <c r="W1004" s="1813"/>
      <c r="X1004" s="1813"/>
    </row>
    <row r="1005" spans="1:24" ht="14.5">
      <c r="A1005" s="1819"/>
      <c r="B1005" s="1819"/>
      <c r="C1005" s="1819"/>
      <c r="D1005" s="1819"/>
      <c r="E1005" s="1819"/>
      <c r="F1005" s="1819"/>
      <c r="G1005" s="1803"/>
      <c r="H1005" s="1813"/>
      <c r="I1005" s="1813"/>
      <c r="J1005" s="1813"/>
      <c r="K1005" s="1813"/>
      <c r="L1005" s="1813"/>
      <c r="M1005" s="1813"/>
      <c r="N1005" s="1813"/>
      <c r="O1005" s="1813"/>
      <c r="P1005" s="1813"/>
      <c r="Q1005" s="1813"/>
      <c r="R1005" s="1813"/>
      <c r="S1005" s="1813"/>
      <c r="T1005" s="1813"/>
      <c r="U1005" s="1813"/>
      <c r="V1005" s="1813"/>
      <c r="W1005" s="1813"/>
      <c r="X1005" s="1813"/>
    </row>
    <row r="1006" spans="1:24" ht="14.5">
      <c r="A1006" s="1819"/>
      <c r="B1006" s="1819"/>
      <c r="C1006" s="1819"/>
      <c r="D1006" s="1819"/>
      <c r="E1006" s="1819"/>
      <c r="F1006" s="1819"/>
      <c r="G1006" s="1803"/>
      <c r="H1006" s="1813"/>
      <c r="I1006" s="1813"/>
      <c r="J1006" s="1813"/>
      <c r="K1006" s="1813"/>
      <c r="L1006" s="1813"/>
      <c r="M1006" s="1813"/>
      <c r="N1006" s="1813"/>
      <c r="O1006" s="1813"/>
      <c r="P1006" s="1813"/>
      <c r="Q1006" s="1813"/>
      <c r="R1006" s="1813"/>
      <c r="S1006" s="1813"/>
      <c r="T1006" s="1813"/>
      <c r="U1006" s="1813"/>
      <c r="V1006" s="1813"/>
      <c r="W1006" s="1813"/>
      <c r="X1006" s="1813"/>
    </row>
    <row r="1007" spans="1:24" ht="14.5">
      <c r="A1007" s="1819"/>
      <c r="B1007" s="1819"/>
      <c r="C1007" s="1819"/>
      <c r="D1007" s="1819"/>
      <c r="E1007" s="1819"/>
      <c r="F1007" s="1819"/>
      <c r="G1007" s="1803"/>
      <c r="H1007" s="1813"/>
      <c r="I1007" s="1813"/>
      <c r="J1007" s="1813"/>
      <c r="K1007" s="1813"/>
      <c r="L1007" s="1813"/>
      <c r="M1007" s="1813"/>
      <c r="N1007" s="1813"/>
      <c r="O1007" s="1813"/>
      <c r="P1007" s="1813"/>
      <c r="Q1007" s="1813"/>
      <c r="R1007" s="1813"/>
      <c r="S1007" s="1813"/>
      <c r="T1007" s="1813"/>
      <c r="U1007" s="1813"/>
      <c r="V1007" s="1813"/>
      <c r="W1007" s="1813"/>
      <c r="X1007" s="1813"/>
    </row>
    <row r="1008" spans="1:24" ht="14.5">
      <c r="A1008" s="1819"/>
      <c r="B1008" s="1819"/>
      <c r="C1008" s="1819"/>
      <c r="D1008" s="1819"/>
      <c r="E1008" s="1819"/>
      <c r="F1008" s="1819"/>
      <c r="G1008" s="1803"/>
      <c r="H1008" s="1813"/>
      <c r="I1008" s="1813"/>
      <c r="J1008" s="1813"/>
      <c r="K1008" s="1813"/>
      <c r="L1008" s="1813"/>
      <c r="M1008" s="1813"/>
      <c r="N1008" s="1813"/>
      <c r="O1008" s="1813"/>
      <c r="P1008" s="1813"/>
      <c r="Q1008" s="1813"/>
      <c r="R1008" s="1813"/>
      <c r="S1008" s="1813"/>
      <c r="T1008" s="1813"/>
      <c r="U1008" s="1813"/>
      <c r="V1008" s="1813"/>
      <c r="W1008" s="1813"/>
      <c r="X1008" s="1813"/>
    </row>
    <row r="1009" spans="1:24" ht="14.5">
      <c r="A1009" s="1819"/>
      <c r="B1009" s="1819"/>
      <c r="C1009" s="1819"/>
      <c r="D1009" s="1819"/>
      <c r="E1009" s="1819"/>
      <c r="F1009" s="1819"/>
      <c r="G1009" s="1803"/>
      <c r="H1009" s="1813"/>
      <c r="I1009" s="1813"/>
      <c r="J1009" s="1813"/>
      <c r="K1009" s="1813"/>
      <c r="L1009" s="1813"/>
      <c r="M1009" s="1813"/>
      <c r="N1009" s="1813"/>
      <c r="O1009" s="1813"/>
      <c r="P1009" s="1813"/>
      <c r="Q1009" s="1813"/>
      <c r="R1009" s="1813"/>
      <c r="S1009" s="1813"/>
      <c r="T1009" s="1813"/>
      <c r="U1009" s="1813"/>
      <c r="V1009" s="1813"/>
      <c r="W1009" s="1813"/>
      <c r="X1009" s="1813"/>
    </row>
    <row r="1010" spans="1:24" ht="14.5">
      <c r="A1010" s="1819"/>
      <c r="B1010" s="1819"/>
      <c r="C1010" s="1819"/>
      <c r="D1010" s="1819"/>
      <c r="E1010" s="1819"/>
      <c r="F1010" s="1819"/>
      <c r="G1010" s="1803"/>
      <c r="H1010" s="1813"/>
      <c r="I1010" s="1813"/>
      <c r="J1010" s="1813"/>
      <c r="K1010" s="1813"/>
      <c r="L1010" s="1813"/>
      <c r="M1010" s="1813"/>
      <c r="N1010" s="1813"/>
      <c r="O1010" s="1813"/>
      <c r="P1010" s="1813"/>
      <c r="Q1010" s="1813"/>
      <c r="R1010" s="1813"/>
      <c r="S1010" s="1813"/>
      <c r="T1010" s="1813"/>
      <c r="U1010" s="1813"/>
      <c r="V1010" s="1813"/>
      <c r="W1010" s="1813"/>
      <c r="X1010" s="1813"/>
    </row>
    <row r="1011" spans="1:24" ht="14.5">
      <c r="A1011" s="1819"/>
      <c r="B1011" s="1819"/>
      <c r="C1011" s="1819"/>
      <c r="D1011" s="1819"/>
      <c r="E1011" s="1819"/>
      <c r="F1011" s="1819"/>
      <c r="G1011" s="1803"/>
      <c r="H1011" s="1813"/>
      <c r="I1011" s="1813"/>
      <c r="J1011" s="1813"/>
      <c r="K1011" s="1813"/>
      <c r="L1011" s="1813"/>
      <c r="M1011" s="1813"/>
      <c r="N1011" s="1813"/>
      <c r="O1011" s="1813"/>
      <c r="P1011" s="1813"/>
      <c r="Q1011" s="1813"/>
      <c r="R1011" s="1813"/>
      <c r="S1011" s="1813"/>
      <c r="T1011" s="1813"/>
      <c r="U1011" s="1813"/>
      <c r="V1011" s="1813"/>
      <c r="W1011" s="1813"/>
      <c r="X1011" s="1813"/>
    </row>
    <row r="1012" spans="1:24" ht="14.5">
      <c r="A1012" s="1819"/>
      <c r="B1012" s="1819"/>
      <c r="C1012" s="1819"/>
      <c r="D1012" s="1819"/>
      <c r="E1012" s="1819"/>
      <c r="F1012" s="1819"/>
      <c r="G1012" s="1803"/>
      <c r="H1012" s="1813"/>
      <c r="I1012" s="1813"/>
      <c r="J1012" s="1813"/>
      <c r="K1012" s="1813"/>
      <c r="L1012" s="1813"/>
      <c r="M1012" s="1813"/>
      <c r="N1012" s="1813"/>
      <c r="O1012" s="1813"/>
      <c r="P1012" s="1813"/>
      <c r="Q1012" s="1813"/>
      <c r="R1012" s="1813"/>
      <c r="S1012" s="1813"/>
      <c r="T1012" s="1813"/>
      <c r="U1012" s="1813"/>
      <c r="V1012" s="1813"/>
      <c r="W1012" s="1813"/>
      <c r="X1012" s="1813"/>
    </row>
    <row r="1013" spans="1:24" ht="14.5">
      <c r="A1013" s="1819"/>
      <c r="B1013" s="1819"/>
      <c r="C1013" s="1819"/>
      <c r="D1013" s="1819"/>
      <c r="E1013" s="1819"/>
      <c r="F1013" s="1819"/>
      <c r="G1013" s="1803"/>
      <c r="H1013" s="1813"/>
      <c r="I1013" s="1813"/>
      <c r="J1013" s="1813"/>
      <c r="K1013" s="1813"/>
      <c r="L1013" s="1813"/>
      <c r="M1013" s="1813"/>
      <c r="N1013" s="1813"/>
      <c r="O1013" s="1813"/>
      <c r="P1013" s="1813"/>
      <c r="Q1013" s="1813"/>
      <c r="R1013" s="1813"/>
      <c r="S1013" s="1813"/>
      <c r="T1013" s="1813"/>
      <c r="U1013" s="1813"/>
      <c r="V1013" s="1813"/>
      <c r="W1013" s="1813"/>
      <c r="X1013" s="1813"/>
    </row>
    <row r="1014" spans="1:24" ht="14.5">
      <c r="A1014" s="1819"/>
      <c r="B1014" s="1819"/>
      <c r="C1014" s="1819"/>
      <c r="D1014" s="1819"/>
      <c r="E1014" s="1819"/>
      <c r="F1014" s="1819"/>
      <c r="G1014" s="1803"/>
      <c r="H1014" s="1813"/>
      <c r="I1014" s="1813"/>
      <c r="J1014" s="1813"/>
      <c r="K1014" s="1813"/>
      <c r="L1014" s="1813"/>
      <c r="M1014" s="1813"/>
      <c r="N1014" s="1813"/>
      <c r="O1014" s="1813"/>
      <c r="P1014" s="1813"/>
      <c r="Q1014" s="1813"/>
      <c r="R1014" s="1813"/>
      <c r="S1014" s="1813"/>
      <c r="T1014" s="1813"/>
      <c r="U1014" s="1813"/>
      <c r="V1014" s="1813"/>
      <c r="W1014" s="1813"/>
      <c r="X1014" s="1813"/>
    </row>
    <row r="1015" spans="1:24" ht="14.5">
      <c r="A1015" s="1819"/>
      <c r="B1015" s="1819"/>
      <c r="C1015" s="1819"/>
      <c r="D1015" s="1819"/>
      <c r="E1015" s="1819"/>
      <c r="F1015" s="1819"/>
      <c r="G1015" s="1803"/>
      <c r="H1015" s="1813"/>
      <c r="I1015" s="1813"/>
      <c r="J1015" s="1813"/>
      <c r="K1015" s="1813"/>
      <c r="L1015" s="1813"/>
      <c r="M1015" s="1813"/>
      <c r="N1015" s="1813"/>
      <c r="O1015" s="1813"/>
      <c r="P1015" s="1813"/>
      <c r="Q1015" s="1813"/>
      <c r="R1015" s="1813"/>
      <c r="S1015" s="1813"/>
      <c r="T1015" s="1813"/>
      <c r="U1015" s="1813"/>
      <c r="V1015" s="1813"/>
      <c r="W1015" s="1813"/>
      <c r="X1015" s="1813"/>
    </row>
    <row r="1016" spans="1:24" ht="14.5">
      <c r="A1016" s="1819"/>
      <c r="B1016" s="1819"/>
      <c r="C1016" s="1819"/>
      <c r="D1016" s="1819"/>
      <c r="E1016" s="1819"/>
      <c r="F1016" s="1819"/>
      <c r="G1016" s="1803"/>
      <c r="H1016" s="1813"/>
      <c r="I1016" s="1813"/>
      <c r="J1016" s="1813"/>
      <c r="K1016" s="1813"/>
      <c r="L1016" s="1813"/>
      <c r="M1016" s="1813"/>
      <c r="N1016" s="1813"/>
      <c r="O1016" s="1813"/>
      <c r="P1016" s="1813"/>
      <c r="Q1016" s="1813"/>
      <c r="R1016" s="1813"/>
      <c r="S1016" s="1813"/>
      <c r="T1016" s="1813"/>
      <c r="U1016" s="1813"/>
      <c r="V1016" s="1813"/>
      <c r="W1016" s="1813"/>
      <c r="X1016" s="1813"/>
    </row>
    <row r="1017" spans="1:24" ht="14.5">
      <c r="A1017" s="1819"/>
      <c r="B1017" s="1819"/>
      <c r="C1017" s="1819"/>
      <c r="D1017" s="1819"/>
      <c r="E1017" s="1819"/>
      <c r="F1017" s="1819"/>
      <c r="G1017" s="1803"/>
      <c r="H1017" s="1813"/>
      <c r="I1017" s="1813"/>
      <c r="J1017" s="1813"/>
      <c r="K1017" s="1813"/>
      <c r="L1017" s="1813"/>
      <c r="M1017" s="1813"/>
      <c r="N1017" s="1813"/>
      <c r="O1017" s="1813"/>
      <c r="P1017" s="1813"/>
      <c r="Q1017" s="1813"/>
      <c r="R1017" s="1813"/>
      <c r="S1017" s="1813"/>
      <c r="T1017" s="1813"/>
      <c r="U1017" s="1813"/>
      <c r="V1017" s="1813"/>
      <c r="W1017" s="1813"/>
      <c r="X1017" s="1813"/>
    </row>
    <row r="1018" spans="1:24" ht="14.5">
      <c r="A1018" s="1819"/>
      <c r="B1018" s="1819"/>
      <c r="C1018" s="1819"/>
      <c r="D1018" s="1819"/>
      <c r="E1018" s="1819"/>
      <c r="F1018" s="1819"/>
      <c r="G1018" s="1803"/>
      <c r="H1018" s="1813"/>
      <c r="I1018" s="1813"/>
      <c r="J1018" s="1813"/>
      <c r="K1018" s="1813"/>
      <c r="L1018" s="1813"/>
      <c r="M1018" s="1813"/>
      <c r="N1018" s="1813"/>
      <c r="O1018" s="1813"/>
      <c r="P1018" s="1813"/>
      <c r="Q1018" s="1813"/>
      <c r="R1018" s="1813"/>
      <c r="S1018" s="1813"/>
      <c r="T1018" s="1813"/>
      <c r="U1018" s="1813"/>
      <c r="V1018" s="1813"/>
      <c r="W1018" s="1813"/>
      <c r="X1018" s="1813"/>
    </row>
    <row r="1019" spans="1:24" ht="14.5">
      <c r="A1019" s="1819"/>
      <c r="B1019" s="1819"/>
      <c r="C1019" s="1819"/>
      <c r="D1019" s="1819"/>
      <c r="E1019" s="1819"/>
      <c r="F1019" s="1819"/>
      <c r="G1019" s="1803"/>
      <c r="H1019" s="1813"/>
      <c r="I1019" s="1813"/>
      <c r="J1019" s="1813"/>
      <c r="K1019" s="1813"/>
      <c r="L1019" s="1813"/>
      <c r="M1019" s="1813"/>
      <c r="N1019" s="1813"/>
      <c r="O1019" s="1813"/>
      <c r="P1019" s="1813"/>
      <c r="Q1019" s="1813"/>
      <c r="R1019" s="1813"/>
      <c r="S1019" s="1813"/>
      <c r="T1019" s="1813"/>
      <c r="U1019" s="1813"/>
      <c r="V1019" s="1813"/>
      <c r="W1019" s="1813"/>
      <c r="X1019" s="1813"/>
    </row>
    <row r="1020" spans="1:24" ht="14.5">
      <c r="A1020" s="1819"/>
      <c r="B1020" s="1819"/>
      <c r="C1020" s="1819"/>
      <c r="D1020" s="1819"/>
      <c r="E1020" s="1819"/>
      <c r="F1020" s="1819"/>
      <c r="G1020" s="1803"/>
      <c r="H1020" s="1813"/>
      <c r="I1020" s="1813"/>
      <c r="J1020" s="1813"/>
      <c r="K1020" s="1813"/>
      <c r="L1020" s="1813"/>
      <c r="M1020" s="1813"/>
      <c r="N1020" s="1813"/>
      <c r="O1020" s="1813"/>
      <c r="P1020" s="1813"/>
      <c r="Q1020" s="1813"/>
      <c r="R1020" s="1813"/>
      <c r="S1020" s="1813"/>
      <c r="T1020" s="1813"/>
      <c r="U1020" s="1813"/>
      <c r="V1020" s="1813"/>
      <c r="W1020" s="1813"/>
      <c r="X1020" s="1813"/>
    </row>
    <row r="1021" spans="1:24" ht="14.5">
      <c r="A1021" s="1819"/>
      <c r="B1021" s="1819"/>
      <c r="C1021" s="1819"/>
      <c r="D1021" s="1819"/>
      <c r="E1021" s="1819"/>
      <c r="F1021" s="1819"/>
      <c r="G1021" s="1803"/>
      <c r="H1021" s="1813"/>
      <c r="I1021" s="1813"/>
      <c r="J1021" s="1813"/>
      <c r="K1021" s="1813"/>
      <c r="L1021" s="1813"/>
      <c r="M1021" s="1813"/>
      <c r="N1021" s="1813"/>
      <c r="O1021" s="1813"/>
      <c r="P1021" s="1813"/>
      <c r="Q1021" s="1813"/>
      <c r="R1021" s="1813"/>
      <c r="S1021" s="1813"/>
      <c r="T1021" s="1813"/>
      <c r="U1021" s="1813"/>
      <c r="V1021" s="1813"/>
      <c r="W1021" s="1813"/>
      <c r="X1021" s="1813"/>
    </row>
    <row r="1022" spans="1:24" ht="14.5">
      <c r="A1022" s="1819"/>
      <c r="B1022" s="1819"/>
      <c r="C1022" s="1819"/>
      <c r="D1022" s="1819"/>
      <c r="E1022" s="1819"/>
      <c r="F1022" s="1819"/>
      <c r="G1022" s="1803"/>
      <c r="H1022" s="1813"/>
      <c r="I1022" s="1813"/>
      <c r="J1022" s="1813"/>
      <c r="K1022" s="1813"/>
      <c r="L1022" s="1813"/>
      <c r="M1022" s="1813"/>
      <c r="N1022" s="1813"/>
      <c r="O1022" s="1813"/>
      <c r="P1022" s="1813"/>
      <c r="Q1022" s="1813"/>
      <c r="R1022" s="1813"/>
      <c r="S1022" s="1813"/>
      <c r="T1022" s="1813"/>
      <c r="U1022" s="1813"/>
      <c r="V1022" s="1813"/>
      <c r="W1022" s="1813"/>
      <c r="X1022" s="1813"/>
    </row>
    <row r="1023" spans="1:24" ht="14.5">
      <c r="A1023" s="1819"/>
      <c r="B1023" s="1819"/>
      <c r="C1023" s="1819"/>
      <c r="D1023" s="1819"/>
      <c r="E1023" s="1819"/>
      <c r="F1023" s="1819"/>
      <c r="G1023" s="1803"/>
      <c r="H1023" s="1813"/>
      <c r="I1023" s="1813"/>
      <c r="J1023" s="1813"/>
      <c r="K1023" s="1813"/>
      <c r="L1023" s="1813"/>
      <c r="M1023" s="1813"/>
      <c r="N1023" s="1813"/>
      <c r="O1023" s="1813"/>
      <c r="P1023" s="1813"/>
      <c r="Q1023" s="1813"/>
      <c r="R1023" s="1813"/>
      <c r="S1023" s="1813"/>
      <c r="T1023" s="1813"/>
      <c r="U1023" s="1813"/>
      <c r="V1023" s="1813"/>
      <c r="W1023" s="1813"/>
      <c r="X1023" s="1813"/>
    </row>
    <row r="1024" spans="1:24" ht="14.5">
      <c r="A1024" s="1819"/>
      <c r="B1024" s="1819"/>
      <c r="C1024" s="1819"/>
      <c r="D1024" s="1819"/>
      <c r="E1024" s="1819"/>
      <c r="F1024" s="1819"/>
      <c r="G1024" s="1803"/>
      <c r="H1024" s="1813"/>
      <c r="I1024" s="1813"/>
      <c r="J1024" s="1813"/>
      <c r="K1024" s="1813"/>
      <c r="L1024" s="1813"/>
      <c r="M1024" s="1813"/>
      <c r="N1024" s="1813"/>
      <c r="O1024" s="1813"/>
      <c r="P1024" s="1813"/>
      <c r="Q1024" s="1813"/>
      <c r="R1024" s="1813"/>
      <c r="S1024" s="1813"/>
      <c r="T1024" s="1813"/>
      <c r="U1024" s="1813"/>
      <c r="V1024" s="1813"/>
      <c r="W1024" s="1813"/>
      <c r="X1024" s="1813"/>
    </row>
    <row r="1025" spans="1:24" ht="14.5">
      <c r="A1025" s="1819"/>
      <c r="B1025" s="1819"/>
      <c r="C1025" s="1819"/>
      <c r="D1025" s="1819"/>
      <c r="E1025" s="1819"/>
      <c r="F1025" s="1819"/>
      <c r="G1025" s="1803"/>
      <c r="H1025" s="1813"/>
      <c r="I1025" s="1813"/>
      <c r="J1025" s="1813"/>
      <c r="K1025" s="1813"/>
      <c r="L1025" s="1813"/>
      <c r="M1025" s="1813"/>
      <c r="N1025" s="1813"/>
      <c r="O1025" s="1813"/>
      <c r="P1025" s="1813"/>
      <c r="Q1025" s="1813"/>
      <c r="R1025" s="1813"/>
      <c r="S1025" s="1813"/>
      <c r="T1025" s="1813"/>
      <c r="U1025" s="1813"/>
      <c r="V1025" s="1813"/>
      <c r="W1025" s="1813"/>
      <c r="X1025" s="1813"/>
    </row>
    <row r="1026" spans="1:24" ht="14.5">
      <c r="A1026" s="1819"/>
      <c r="B1026" s="1819"/>
      <c r="C1026" s="1819"/>
      <c r="D1026" s="1819"/>
      <c r="E1026" s="1819"/>
      <c r="F1026" s="1819"/>
      <c r="G1026" s="1803"/>
      <c r="H1026" s="1813"/>
      <c r="I1026" s="1813"/>
      <c r="J1026" s="1813"/>
      <c r="K1026" s="1813"/>
      <c r="L1026" s="1813"/>
      <c r="M1026" s="1813"/>
      <c r="N1026" s="1813"/>
      <c r="O1026" s="1813"/>
      <c r="P1026" s="1813"/>
      <c r="Q1026" s="1813"/>
      <c r="R1026" s="1813"/>
      <c r="S1026" s="1813"/>
      <c r="T1026" s="1813"/>
      <c r="U1026" s="1813"/>
      <c r="V1026" s="1813"/>
      <c r="W1026" s="1813"/>
      <c r="X1026" s="1813"/>
    </row>
    <row r="1027" spans="1:24" ht="14.5">
      <c r="A1027" s="1819"/>
      <c r="B1027" s="1819"/>
      <c r="C1027" s="1819"/>
      <c r="D1027" s="1819"/>
      <c r="E1027" s="1819"/>
      <c r="F1027" s="1819"/>
      <c r="G1027" s="1803"/>
      <c r="H1027" s="1813"/>
      <c r="I1027" s="1813"/>
      <c r="J1027" s="1813"/>
      <c r="K1027" s="1813"/>
      <c r="L1027" s="1813"/>
      <c r="M1027" s="1813"/>
      <c r="N1027" s="1813"/>
      <c r="O1027" s="1813"/>
      <c r="P1027" s="1813"/>
      <c r="Q1027" s="1813"/>
      <c r="R1027" s="1813"/>
      <c r="S1027" s="1813"/>
      <c r="T1027" s="1813"/>
      <c r="U1027" s="1813"/>
      <c r="V1027" s="1813"/>
      <c r="W1027" s="1813"/>
      <c r="X1027" s="1813"/>
    </row>
    <row r="1028" spans="1:24" ht="14.5">
      <c r="A1028" s="1819"/>
      <c r="B1028" s="1819"/>
      <c r="C1028" s="1819"/>
      <c r="D1028" s="1819"/>
      <c r="E1028" s="1819"/>
      <c r="F1028" s="1819"/>
      <c r="G1028" s="1803"/>
      <c r="H1028" s="1813"/>
      <c r="I1028" s="1813"/>
      <c r="J1028" s="1813"/>
      <c r="K1028" s="1813"/>
      <c r="L1028" s="1813"/>
      <c r="M1028" s="1813"/>
      <c r="N1028" s="1813"/>
      <c r="O1028" s="1813"/>
      <c r="P1028" s="1813"/>
      <c r="Q1028" s="1813"/>
      <c r="R1028" s="1813"/>
      <c r="S1028" s="1813"/>
      <c r="T1028" s="1813"/>
      <c r="U1028" s="1813"/>
      <c r="V1028" s="1813"/>
      <c r="W1028" s="1813"/>
      <c r="X1028" s="1813"/>
    </row>
    <row r="1029" spans="1:24" ht="14.5">
      <c r="A1029" s="1819"/>
      <c r="B1029" s="1819"/>
      <c r="C1029" s="1819"/>
      <c r="D1029" s="1819"/>
      <c r="E1029" s="1819"/>
      <c r="F1029" s="1819"/>
      <c r="G1029" s="1803"/>
      <c r="H1029" s="1813"/>
      <c r="I1029" s="1813"/>
      <c r="J1029" s="1813"/>
      <c r="K1029" s="1813"/>
      <c r="L1029" s="1813"/>
      <c r="M1029" s="1813"/>
      <c r="N1029" s="1813"/>
      <c r="O1029" s="1813"/>
      <c r="P1029" s="1813"/>
      <c r="Q1029" s="1813"/>
      <c r="R1029" s="1813"/>
      <c r="S1029" s="1813"/>
      <c r="T1029" s="1813"/>
      <c r="U1029" s="1813"/>
      <c r="V1029" s="1813"/>
      <c r="W1029" s="1813"/>
      <c r="X1029" s="1813"/>
    </row>
    <row r="1030" spans="1:24" ht="14.5">
      <c r="A1030" s="1819"/>
      <c r="B1030" s="1819"/>
      <c r="C1030" s="1819"/>
      <c r="D1030" s="1819"/>
      <c r="E1030" s="1819"/>
      <c r="F1030" s="1819"/>
      <c r="G1030" s="1803"/>
      <c r="H1030" s="1813"/>
      <c r="I1030" s="1813"/>
      <c r="J1030" s="1813"/>
      <c r="K1030" s="1813"/>
      <c r="L1030" s="1813"/>
      <c r="M1030" s="1813"/>
      <c r="N1030" s="1813"/>
      <c r="O1030" s="1813"/>
      <c r="P1030" s="1813"/>
      <c r="Q1030" s="1813"/>
      <c r="R1030" s="1813"/>
      <c r="S1030" s="1813"/>
      <c r="T1030" s="1813"/>
      <c r="U1030" s="1813"/>
      <c r="V1030" s="1813"/>
      <c r="W1030" s="1813"/>
      <c r="X1030" s="1813"/>
    </row>
    <row r="1031" spans="1:24" ht="14.5">
      <c r="A1031" s="1819"/>
      <c r="B1031" s="1819"/>
      <c r="C1031" s="1819"/>
      <c r="D1031" s="1819"/>
      <c r="E1031" s="1819"/>
      <c r="F1031" s="1819"/>
      <c r="G1031" s="1803"/>
      <c r="H1031" s="1813"/>
      <c r="I1031" s="1813"/>
      <c r="J1031" s="1813"/>
      <c r="K1031" s="1813"/>
      <c r="L1031" s="1813"/>
      <c r="M1031" s="1813"/>
      <c r="N1031" s="1813"/>
      <c r="O1031" s="1813"/>
      <c r="P1031" s="1813"/>
      <c r="Q1031" s="1813"/>
      <c r="R1031" s="1813"/>
      <c r="S1031" s="1813"/>
      <c r="T1031" s="1813"/>
      <c r="U1031" s="1813"/>
      <c r="V1031" s="1813"/>
      <c r="W1031" s="1813"/>
      <c r="X1031" s="1813"/>
    </row>
    <row r="1032" spans="1:24" ht="14.5">
      <c r="A1032" s="1819"/>
      <c r="B1032" s="1819"/>
      <c r="C1032" s="1819"/>
      <c r="D1032" s="1819"/>
      <c r="E1032" s="1819"/>
      <c r="F1032" s="1819"/>
      <c r="G1032" s="1803"/>
      <c r="H1032" s="1813"/>
      <c r="I1032" s="1813"/>
      <c r="J1032" s="1813"/>
      <c r="K1032" s="1813"/>
      <c r="L1032" s="1813"/>
      <c r="M1032" s="1813"/>
      <c r="N1032" s="1813"/>
      <c r="O1032" s="1813"/>
      <c r="P1032" s="1813"/>
      <c r="Q1032" s="1813"/>
      <c r="R1032" s="1813"/>
      <c r="S1032" s="1813"/>
      <c r="T1032" s="1813"/>
      <c r="U1032" s="1813"/>
      <c r="V1032" s="1813"/>
      <c r="W1032" s="1813"/>
      <c r="X1032" s="1813"/>
    </row>
    <row r="1033" spans="1:24" ht="14.5">
      <c r="A1033" s="1819"/>
      <c r="B1033" s="1819"/>
      <c r="C1033" s="1819"/>
      <c r="D1033" s="1819"/>
      <c r="E1033" s="1819"/>
      <c r="F1033" s="1819"/>
      <c r="G1033" s="1803"/>
      <c r="H1033" s="1813"/>
      <c r="I1033" s="1813"/>
      <c r="J1033" s="1813"/>
      <c r="K1033" s="1813"/>
      <c r="L1033" s="1813"/>
      <c r="M1033" s="1813"/>
      <c r="N1033" s="1813"/>
      <c r="O1033" s="1813"/>
      <c r="P1033" s="1813"/>
      <c r="Q1033" s="1813"/>
      <c r="R1033" s="1813"/>
      <c r="S1033" s="1813"/>
      <c r="T1033" s="1813"/>
      <c r="U1033" s="1813"/>
      <c r="V1033" s="1813"/>
      <c r="W1033" s="1813"/>
      <c r="X1033" s="1813"/>
    </row>
    <row r="1034" spans="1:24" ht="14.5">
      <c r="A1034" s="1819"/>
      <c r="B1034" s="1819"/>
      <c r="C1034" s="1819"/>
      <c r="D1034" s="1819"/>
      <c r="E1034" s="1819"/>
      <c r="F1034" s="1819"/>
      <c r="G1034" s="1803"/>
      <c r="H1034" s="1813"/>
      <c r="I1034" s="1813"/>
      <c r="J1034" s="1813"/>
      <c r="K1034" s="1813"/>
      <c r="L1034" s="1813"/>
      <c r="M1034" s="1813"/>
      <c r="N1034" s="1813"/>
      <c r="O1034" s="1813"/>
      <c r="P1034" s="1813"/>
      <c r="Q1034" s="1813"/>
      <c r="R1034" s="1813"/>
      <c r="S1034" s="1813"/>
      <c r="T1034" s="1813"/>
      <c r="U1034" s="1813"/>
      <c r="V1034" s="1813"/>
      <c r="W1034" s="1813"/>
      <c r="X1034" s="1813"/>
    </row>
    <row r="1035" spans="1:24" ht="14.5">
      <c r="A1035" s="1819"/>
      <c r="B1035" s="1819"/>
      <c r="C1035" s="1819"/>
      <c r="D1035" s="1819"/>
      <c r="E1035" s="1819"/>
      <c r="F1035" s="1819"/>
      <c r="G1035" s="1803"/>
      <c r="H1035" s="1813"/>
      <c r="I1035" s="1813"/>
      <c r="J1035" s="1813"/>
      <c r="K1035" s="1813"/>
      <c r="L1035" s="1813"/>
      <c r="M1035" s="1813"/>
      <c r="N1035" s="1813"/>
      <c r="O1035" s="1813"/>
      <c r="P1035" s="1813"/>
      <c r="Q1035" s="1813"/>
      <c r="R1035" s="1813"/>
      <c r="S1035" s="1813"/>
      <c r="T1035" s="1813"/>
      <c r="U1035" s="1813"/>
      <c r="V1035" s="1813"/>
      <c r="W1035" s="1813"/>
      <c r="X1035" s="1813"/>
    </row>
    <row r="1036" spans="1:24" s="1812" customFormat="1" ht="14.5">
      <c r="A1036" s="1819"/>
      <c r="B1036" s="1819"/>
      <c r="C1036" s="1819"/>
      <c r="D1036" s="1819"/>
      <c r="E1036" s="1819"/>
      <c r="F1036" s="1819"/>
      <c r="G1036" s="1803"/>
      <c r="H1036" s="1813"/>
      <c r="I1036" s="1813"/>
      <c r="J1036" s="1813"/>
      <c r="K1036" s="1813"/>
      <c r="L1036" s="1813"/>
      <c r="M1036" s="1813"/>
      <c r="N1036" s="1813"/>
      <c r="O1036" s="1813"/>
      <c r="P1036" s="1813"/>
      <c r="Q1036" s="1813"/>
      <c r="R1036" s="1813"/>
      <c r="S1036" s="1813"/>
      <c r="T1036" s="1813"/>
      <c r="U1036" s="1813"/>
      <c r="V1036" s="1813"/>
      <c r="W1036" s="1813"/>
      <c r="X1036" s="1813"/>
    </row>
    <row r="1037" spans="1:24" s="1812" customFormat="1" ht="20.5" customHeight="1">
      <c r="A1037" s="1819"/>
      <c r="B1037" s="1819"/>
      <c r="C1037" s="1819"/>
      <c r="D1037" s="1819"/>
      <c r="E1037" s="1819"/>
      <c r="F1037" s="1819"/>
      <c r="G1037" s="1803"/>
      <c r="H1037" s="1813"/>
      <c r="I1037" s="1813"/>
      <c r="J1037" s="1813"/>
      <c r="K1037" s="1813"/>
      <c r="L1037" s="1813"/>
      <c r="M1037" s="1813"/>
      <c r="N1037" s="1813"/>
      <c r="O1037" s="1813"/>
      <c r="P1037" s="1813"/>
      <c r="Q1037" s="1813"/>
      <c r="R1037" s="1813"/>
      <c r="S1037" s="1813"/>
      <c r="T1037" s="1813"/>
      <c r="U1037" s="1813"/>
      <c r="V1037" s="1813"/>
      <c r="W1037" s="1813"/>
      <c r="X1037" s="1813"/>
    </row>
    <row r="1038" spans="1:24" s="1812" customFormat="1" ht="14.5">
      <c r="A1038" s="1819"/>
      <c r="B1038" s="1819"/>
      <c r="C1038" s="1819"/>
      <c r="D1038" s="1819"/>
      <c r="E1038" s="1819"/>
      <c r="F1038" s="1819"/>
      <c r="G1038" s="1803"/>
      <c r="H1038" s="1813"/>
      <c r="I1038" s="1813"/>
      <c r="J1038" s="1813"/>
      <c r="K1038" s="1813"/>
      <c r="L1038" s="1813"/>
      <c r="M1038" s="1813"/>
      <c r="N1038" s="1813"/>
      <c r="O1038" s="1813"/>
      <c r="P1038" s="1813"/>
      <c r="Q1038" s="1813"/>
      <c r="R1038" s="1813"/>
      <c r="S1038" s="1813"/>
      <c r="T1038" s="1813"/>
      <c r="U1038" s="1813"/>
      <c r="V1038" s="1813"/>
      <c r="W1038" s="1813"/>
      <c r="X1038" s="1813"/>
    </row>
    <row r="1039" spans="1:24" s="1812" customFormat="1" ht="14.5">
      <c r="A1039" s="1819"/>
      <c r="B1039" s="1819"/>
      <c r="C1039" s="1819"/>
      <c r="D1039" s="1819"/>
      <c r="E1039" s="1819"/>
      <c r="F1039" s="1819"/>
      <c r="G1039" s="1803"/>
      <c r="H1039" s="1813"/>
      <c r="I1039" s="1813"/>
      <c r="J1039" s="1813"/>
      <c r="K1039" s="1813"/>
      <c r="L1039" s="1813"/>
      <c r="M1039" s="1813"/>
      <c r="N1039" s="1813"/>
      <c r="O1039" s="1813"/>
      <c r="P1039" s="1813"/>
      <c r="Q1039" s="1813"/>
      <c r="R1039" s="1813"/>
      <c r="S1039" s="1813"/>
      <c r="T1039" s="1813"/>
      <c r="U1039" s="1813"/>
      <c r="V1039" s="1813"/>
      <c r="W1039" s="1813"/>
      <c r="X1039" s="1813"/>
    </row>
    <row r="1040" spans="1:24" s="1812" customFormat="1" ht="14.5">
      <c r="A1040" s="1819"/>
      <c r="B1040" s="1819"/>
      <c r="C1040" s="1819"/>
      <c r="D1040" s="1819"/>
      <c r="E1040" s="1819"/>
      <c r="F1040" s="1819"/>
      <c r="G1040" s="1803"/>
      <c r="H1040" s="1813"/>
      <c r="I1040" s="1813"/>
      <c r="J1040" s="1813"/>
      <c r="K1040" s="1813"/>
      <c r="L1040" s="1813"/>
      <c r="M1040" s="1813"/>
      <c r="N1040" s="1813"/>
      <c r="O1040" s="1813"/>
      <c r="P1040" s="1813"/>
      <c r="Q1040" s="1813"/>
      <c r="R1040" s="1813"/>
      <c r="S1040" s="1813"/>
      <c r="T1040" s="1813"/>
      <c r="U1040" s="1813"/>
      <c r="V1040" s="1813"/>
      <c r="W1040" s="1813"/>
      <c r="X1040" s="1813"/>
    </row>
    <row r="1041" spans="1:24" s="1812" customFormat="1" ht="14.5">
      <c r="A1041" s="1819"/>
      <c r="B1041" s="1819"/>
      <c r="C1041" s="1819"/>
      <c r="D1041" s="1819"/>
      <c r="E1041" s="1819"/>
      <c r="F1041" s="1819"/>
      <c r="G1041" s="1803"/>
      <c r="H1041" s="1813"/>
      <c r="I1041" s="1813"/>
      <c r="J1041" s="1813"/>
      <c r="K1041" s="1813"/>
      <c r="L1041" s="1813"/>
      <c r="M1041" s="1813"/>
      <c r="N1041" s="1813"/>
      <c r="O1041" s="1813"/>
      <c r="P1041" s="1813"/>
      <c r="Q1041" s="1813"/>
      <c r="R1041" s="1813"/>
      <c r="S1041" s="1813"/>
      <c r="T1041" s="1813"/>
      <c r="U1041" s="1813"/>
      <c r="V1041" s="1813"/>
      <c r="W1041" s="1813"/>
      <c r="X1041" s="1813"/>
    </row>
    <row r="1042" spans="1:24" s="1812" customFormat="1" ht="14.5">
      <c r="A1042" s="1819"/>
      <c r="B1042" s="1819"/>
      <c r="C1042" s="1819"/>
      <c r="D1042" s="1819"/>
      <c r="E1042" s="1819"/>
      <c r="F1042" s="1819"/>
      <c r="G1042" s="1803"/>
      <c r="H1042" s="1813"/>
      <c r="I1042" s="1813"/>
      <c r="J1042" s="1813"/>
      <c r="K1042" s="1813"/>
      <c r="L1042" s="1813"/>
      <c r="M1042" s="1813"/>
      <c r="N1042" s="1813"/>
      <c r="O1042" s="1813"/>
      <c r="P1042" s="1813"/>
      <c r="Q1042" s="1813"/>
      <c r="R1042" s="1813"/>
      <c r="S1042" s="1813"/>
      <c r="T1042" s="1813"/>
      <c r="U1042" s="1813"/>
      <c r="V1042" s="1813"/>
      <c r="W1042" s="1813"/>
      <c r="X1042" s="1813"/>
    </row>
    <row r="1043" spans="1:24" s="1812" customFormat="1" ht="14.5">
      <c r="A1043" s="1819"/>
      <c r="B1043" s="1819"/>
      <c r="C1043" s="1819"/>
      <c r="D1043" s="1819"/>
      <c r="E1043" s="1819"/>
      <c r="F1043" s="1819"/>
      <c r="G1043" s="1803"/>
      <c r="H1043" s="1813"/>
      <c r="I1043" s="1813"/>
      <c r="J1043" s="1813"/>
      <c r="K1043" s="1813"/>
      <c r="L1043" s="1813"/>
      <c r="M1043" s="1813"/>
      <c r="N1043" s="1813"/>
      <c r="O1043" s="1813"/>
      <c r="P1043" s="1813"/>
      <c r="Q1043" s="1813"/>
      <c r="R1043" s="1813"/>
      <c r="S1043" s="1813"/>
      <c r="T1043" s="1813"/>
      <c r="U1043" s="1813"/>
      <c r="V1043" s="1813"/>
      <c r="W1043" s="1813"/>
      <c r="X1043" s="1813"/>
    </row>
    <row r="1044" spans="1:24" s="1812" customFormat="1" ht="14.5">
      <c r="A1044" s="1819"/>
      <c r="B1044" s="1819"/>
      <c r="C1044" s="1819"/>
      <c r="D1044" s="1819"/>
      <c r="E1044" s="1819"/>
      <c r="F1044" s="1819"/>
      <c r="G1044" s="1803"/>
      <c r="H1044" s="1813"/>
      <c r="I1044" s="1813"/>
      <c r="J1044" s="1813"/>
      <c r="K1044" s="1813"/>
      <c r="L1044" s="1813"/>
      <c r="M1044" s="1813"/>
      <c r="N1044" s="1813"/>
      <c r="O1044" s="1813"/>
      <c r="P1044" s="1813"/>
      <c r="Q1044" s="1813"/>
      <c r="R1044" s="1813"/>
      <c r="S1044" s="1813"/>
      <c r="T1044" s="1813"/>
      <c r="U1044" s="1813"/>
      <c r="V1044" s="1813"/>
      <c r="W1044" s="1813"/>
      <c r="X1044" s="1813"/>
    </row>
    <row r="1045" spans="1:24" s="1812" customFormat="1" ht="14.5">
      <c r="A1045" s="1819"/>
      <c r="B1045" s="1819"/>
      <c r="C1045" s="1819"/>
      <c r="D1045" s="1819"/>
      <c r="E1045" s="1819"/>
      <c r="F1045" s="1819"/>
      <c r="G1045" s="1803"/>
      <c r="H1045" s="1813"/>
      <c r="I1045" s="1813"/>
      <c r="J1045" s="1813"/>
      <c r="K1045" s="1813"/>
      <c r="L1045" s="1813"/>
      <c r="M1045" s="1813"/>
      <c r="N1045" s="1813"/>
      <c r="O1045" s="1813"/>
      <c r="P1045" s="1813"/>
      <c r="Q1045" s="1813"/>
      <c r="R1045" s="1813"/>
      <c r="S1045" s="1813"/>
      <c r="T1045" s="1813"/>
      <c r="U1045" s="1813"/>
      <c r="V1045" s="1813"/>
      <c r="W1045" s="1813"/>
      <c r="X1045" s="1813"/>
    </row>
    <row r="1046" spans="1:24" s="1812" customFormat="1" ht="14.5">
      <c r="A1046" s="1819"/>
      <c r="B1046" s="1819"/>
      <c r="C1046" s="1819"/>
      <c r="D1046" s="1819"/>
      <c r="E1046" s="1819"/>
      <c r="F1046" s="1819"/>
      <c r="G1046" s="1803"/>
      <c r="H1046" s="1813"/>
      <c r="I1046" s="1813"/>
      <c r="J1046" s="1813"/>
      <c r="K1046" s="1813"/>
      <c r="L1046" s="1813"/>
      <c r="M1046" s="1813"/>
      <c r="N1046" s="1813"/>
      <c r="O1046" s="1813"/>
      <c r="P1046" s="1813"/>
      <c r="Q1046" s="1813"/>
      <c r="R1046" s="1813"/>
      <c r="S1046" s="1813"/>
      <c r="T1046" s="1813"/>
      <c r="U1046" s="1813"/>
      <c r="V1046" s="1813"/>
      <c r="W1046" s="1813"/>
      <c r="X1046" s="1813"/>
    </row>
    <row r="1047" spans="1:24" s="1812" customFormat="1" ht="14.5">
      <c r="A1047" s="1819"/>
      <c r="B1047" s="1819"/>
      <c r="C1047" s="1819"/>
      <c r="D1047" s="1819"/>
      <c r="E1047" s="1819"/>
      <c r="F1047" s="1819"/>
      <c r="G1047" s="1803"/>
      <c r="H1047" s="1813"/>
      <c r="I1047" s="1813"/>
      <c r="J1047" s="1813"/>
      <c r="K1047" s="1813"/>
      <c r="L1047" s="1813"/>
      <c r="M1047" s="1813"/>
      <c r="N1047" s="1813"/>
      <c r="O1047" s="1813"/>
      <c r="P1047" s="1813"/>
      <c r="Q1047" s="1813"/>
      <c r="R1047" s="1813"/>
      <c r="S1047" s="1813"/>
      <c r="T1047" s="1813"/>
      <c r="U1047" s="1813"/>
      <c r="V1047" s="1813"/>
      <c r="W1047" s="1813"/>
      <c r="X1047" s="1813"/>
    </row>
    <row r="1048" spans="1:24" s="1812" customFormat="1" ht="14.5">
      <c r="A1048" s="1819"/>
      <c r="B1048" s="1819"/>
      <c r="C1048" s="1819"/>
      <c r="D1048" s="1819"/>
      <c r="E1048" s="1819"/>
      <c r="F1048" s="1819"/>
      <c r="G1048" s="1803"/>
      <c r="H1048" s="1813"/>
      <c r="I1048" s="1813"/>
      <c r="J1048" s="1813"/>
      <c r="K1048" s="1813"/>
      <c r="L1048" s="1813"/>
      <c r="M1048" s="1813"/>
      <c r="N1048" s="1813"/>
      <c r="O1048" s="1813"/>
      <c r="P1048" s="1813"/>
      <c r="Q1048" s="1813"/>
      <c r="R1048" s="1813"/>
      <c r="S1048" s="1813"/>
      <c r="T1048" s="1813"/>
      <c r="U1048" s="1813"/>
      <c r="V1048" s="1813"/>
      <c r="W1048" s="1813"/>
      <c r="X1048" s="1813"/>
    </row>
    <row r="1049" spans="1:24" ht="14.5">
      <c r="A1049" s="1819"/>
      <c r="B1049" s="1819"/>
      <c r="C1049" s="1819"/>
      <c r="D1049" s="1819"/>
      <c r="E1049" s="1819"/>
      <c r="F1049" s="1819"/>
      <c r="G1049" s="1803"/>
      <c r="H1049" s="1813"/>
      <c r="I1049" s="1813"/>
      <c r="J1049" s="1813"/>
      <c r="K1049" s="1813"/>
      <c r="L1049" s="1813"/>
      <c r="M1049" s="1813"/>
      <c r="N1049" s="1813"/>
      <c r="O1049" s="1813"/>
      <c r="P1049" s="1813"/>
      <c r="Q1049" s="1813"/>
      <c r="R1049" s="1813"/>
      <c r="S1049" s="1813"/>
      <c r="T1049" s="1813"/>
      <c r="U1049" s="1813"/>
      <c r="V1049" s="1813"/>
      <c r="W1049" s="1813"/>
      <c r="X1049" s="1813"/>
    </row>
    <row r="1050" spans="1:24" ht="14.5">
      <c r="A1050" s="1819"/>
      <c r="B1050" s="1819"/>
      <c r="C1050" s="1819"/>
      <c r="D1050" s="1819"/>
      <c r="E1050" s="1819"/>
      <c r="F1050" s="1819"/>
      <c r="G1050" s="1803"/>
      <c r="H1050" s="1813"/>
      <c r="I1050" s="1813"/>
      <c r="J1050" s="1813"/>
      <c r="K1050" s="1813"/>
      <c r="L1050" s="1813"/>
      <c r="M1050" s="1813"/>
      <c r="N1050" s="1813"/>
      <c r="O1050" s="1813"/>
      <c r="P1050" s="1813"/>
      <c r="Q1050" s="1813"/>
      <c r="R1050" s="1813"/>
      <c r="S1050" s="1813"/>
      <c r="T1050" s="1813"/>
      <c r="U1050" s="1813"/>
      <c r="V1050" s="1813"/>
      <c r="W1050" s="1813"/>
      <c r="X1050" s="1813"/>
    </row>
    <row r="1051" spans="1:24" ht="14.5">
      <c r="A1051" s="1819"/>
      <c r="B1051" s="1819"/>
      <c r="C1051" s="1819"/>
      <c r="D1051" s="1819"/>
      <c r="E1051" s="1819"/>
      <c r="F1051" s="1819"/>
      <c r="G1051" s="1803"/>
      <c r="H1051" s="1813"/>
      <c r="I1051" s="1813"/>
      <c r="J1051" s="1813"/>
      <c r="K1051" s="1813"/>
      <c r="L1051" s="1813"/>
      <c r="M1051" s="1813"/>
      <c r="N1051" s="1813"/>
      <c r="O1051" s="1813"/>
      <c r="P1051" s="1813"/>
      <c r="Q1051" s="1813"/>
      <c r="R1051" s="1813"/>
      <c r="S1051" s="1813"/>
      <c r="T1051" s="1813"/>
      <c r="U1051" s="1813"/>
      <c r="V1051" s="1813"/>
      <c r="W1051" s="1813"/>
      <c r="X1051" s="1813"/>
    </row>
    <row r="1052" spans="1:24" ht="14.5">
      <c r="A1052" s="1819"/>
      <c r="B1052" s="1819"/>
      <c r="C1052" s="1819"/>
      <c r="D1052" s="1819"/>
      <c r="E1052" s="1819"/>
      <c r="F1052" s="1819"/>
      <c r="G1052" s="1803"/>
      <c r="H1052" s="1813"/>
      <c r="I1052" s="1813"/>
      <c r="J1052" s="1813"/>
      <c r="K1052" s="1813"/>
      <c r="L1052" s="1813"/>
      <c r="M1052" s="1813"/>
      <c r="N1052" s="1813"/>
      <c r="O1052" s="1813"/>
      <c r="P1052" s="1813"/>
      <c r="Q1052" s="1813"/>
      <c r="R1052" s="1813"/>
      <c r="S1052" s="1813"/>
      <c r="T1052" s="1813"/>
      <c r="U1052" s="1813"/>
      <c r="V1052" s="1813"/>
      <c r="W1052" s="1813"/>
      <c r="X1052" s="1813"/>
    </row>
    <row r="1053" spans="1:24" ht="14.5">
      <c r="A1053" s="1819"/>
      <c r="B1053" s="1819"/>
      <c r="C1053" s="1819"/>
      <c r="D1053" s="1819"/>
      <c r="E1053" s="1819"/>
      <c r="F1053" s="1819"/>
      <c r="G1053" s="1803"/>
      <c r="H1053" s="1813"/>
      <c r="I1053" s="1813"/>
      <c r="J1053" s="1813"/>
      <c r="K1053" s="1813"/>
      <c r="L1053" s="1813"/>
      <c r="M1053" s="1813"/>
      <c r="N1053" s="1813"/>
      <c r="O1053" s="1813"/>
      <c r="P1053" s="1813"/>
      <c r="Q1053" s="1813"/>
      <c r="R1053" s="1813"/>
      <c r="S1053" s="1813"/>
      <c r="T1053" s="1813"/>
      <c r="U1053" s="1813"/>
      <c r="V1053" s="1813"/>
      <c r="W1053" s="1813"/>
      <c r="X1053" s="1813"/>
    </row>
    <row r="1054" spans="1:24" ht="14.5">
      <c r="A1054" s="1819"/>
      <c r="B1054" s="1819"/>
      <c r="C1054" s="1819"/>
      <c r="D1054" s="1819"/>
      <c r="E1054" s="1819"/>
      <c r="F1054" s="1819"/>
      <c r="G1054" s="1803"/>
      <c r="H1054" s="1813"/>
      <c r="I1054" s="1813"/>
      <c r="J1054" s="1813"/>
      <c r="K1054" s="1813"/>
      <c r="L1054" s="1813"/>
      <c r="M1054" s="1813"/>
      <c r="N1054" s="1813"/>
      <c r="O1054" s="1813"/>
      <c r="P1054" s="1813"/>
      <c r="Q1054" s="1813"/>
      <c r="R1054" s="1813"/>
      <c r="S1054" s="1813"/>
      <c r="T1054" s="1813"/>
      <c r="U1054" s="1813"/>
      <c r="V1054" s="1813"/>
      <c r="W1054" s="1813"/>
      <c r="X1054" s="1813"/>
    </row>
    <row r="1055" spans="1:24" ht="14.5">
      <c r="A1055" s="1819"/>
      <c r="B1055" s="1819"/>
      <c r="C1055" s="1819"/>
      <c r="D1055" s="1819"/>
      <c r="E1055" s="1819"/>
      <c r="F1055" s="1819"/>
      <c r="G1055" s="1803"/>
      <c r="H1055" s="1813"/>
      <c r="I1055" s="1813"/>
      <c r="J1055" s="1813"/>
      <c r="K1055" s="1813"/>
      <c r="L1055" s="1813"/>
      <c r="M1055" s="1813"/>
      <c r="N1055" s="1813"/>
      <c r="O1055" s="1813"/>
      <c r="P1055" s="1813"/>
      <c r="Q1055" s="1813"/>
      <c r="R1055" s="1813"/>
      <c r="S1055" s="1813"/>
      <c r="T1055" s="1813"/>
      <c r="U1055" s="1813"/>
      <c r="V1055" s="1813"/>
      <c r="W1055" s="1813"/>
      <c r="X1055" s="1813"/>
    </row>
    <row r="1056" spans="1:24" ht="14.5">
      <c r="A1056" s="1819"/>
      <c r="B1056" s="1819"/>
      <c r="C1056" s="1819"/>
      <c r="D1056" s="1819"/>
      <c r="E1056" s="1819"/>
      <c r="F1056" s="1819"/>
      <c r="G1056" s="1803"/>
      <c r="H1056" s="1813"/>
      <c r="I1056" s="1813"/>
      <c r="J1056" s="1813"/>
      <c r="K1056" s="1813"/>
      <c r="L1056" s="1813"/>
      <c r="M1056" s="1813"/>
      <c r="N1056" s="1813"/>
      <c r="O1056" s="1813"/>
      <c r="P1056" s="1813"/>
      <c r="Q1056" s="1813"/>
      <c r="R1056" s="1813"/>
      <c r="S1056" s="1813"/>
      <c r="T1056" s="1813"/>
      <c r="U1056" s="1813"/>
      <c r="V1056" s="1813"/>
      <c r="W1056" s="1813"/>
      <c r="X1056" s="1813"/>
    </row>
    <row r="1057" spans="1:24" ht="14.5">
      <c r="A1057" s="1819"/>
      <c r="B1057" s="1819"/>
      <c r="C1057" s="1819"/>
      <c r="D1057" s="1819"/>
      <c r="E1057" s="1819"/>
      <c r="F1057" s="1819"/>
      <c r="G1057" s="1803"/>
      <c r="H1057" s="1813"/>
      <c r="I1057" s="1813"/>
      <c r="J1057" s="1813"/>
      <c r="K1057" s="1813"/>
      <c r="L1057" s="1813"/>
      <c r="M1057" s="1813"/>
      <c r="N1057" s="1813"/>
      <c r="O1057" s="1813"/>
      <c r="P1057" s="1813"/>
      <c r="Q1057" s="1813"/>
      <c r="R1057" s="1813"/>
      <c r="S1057" s="1813"/>
      <c r="T1057" s="1813"/>
      <c r="U1057" s="1813"/>
      <c r="V1057" s="1813"/>
      <c r="W1057" s="1813"/>
      <c r="X1057" s="1813"/>
    </row>
    <row r="1058" spans="1:24" ht="14.5">
      <c r="A1058" s="1819"/>
      <c r="B1058" s="1819"/>
      <c r="C1058" s="1819"/>
      <c r="D1058" s="1819"/>
      <c r="E1058" s="1819"/>
      <c r="F1058" s="1819"/>
      <c r="G1058" s="1803"/>
      <c r="H1058" s="1813"/>
      <c r="I1058" s="1813"/>
      <c r="J1058" s="1813"/>
      <c r="K1058" s="1813"/>
      <c r="L1058" s="1813"/>
      <c r="M1058" s="1813"/>
      <c r="N1058" s="1813"/>
      <c r="O1058" s="1813"/>
      <c r="P1058" s="1813"/>
      <c r="Q1058" s="1813"/>
      <c r="R1058" s="1813"/>
      <c r="S1058" s="1813"/>
      <c r="T1058" s="1813"/>
      <c r="U1058" s="1813"/>
      <c r="V1058" s="1813"/>
      <c r="W1058" s="1813"/>
      <c r="X1058" s="1813"/>
    </row>
    <row r="1059" spans="1:24" ht="14.5">
      <c r="A1059" s="1819"/>
      <c r="B1059" s="1819"/>
      <c r="C1059" s="1819"/>
      <c r="D1059" s="1819"/>
      <c r="E1059" s="1819"/>
      <c r="F1059" s="1819"/>
      <c r="G1059" s="1803"/>
      <c r="H1059" s="1813"/>
      <c r="I1059" s="1813"/>
      <c r="J1059" s="1813"/>
      <c r="K1059" s="1813"/>
      <c r="L1059" s="1813"/>
      <c r="M1059" s="1813"/>
      <c r="N1059" s="1813"/>
      <c r="O1059" s="1813"/>
      <c r="P1059" s="1813"/>
      <c r="Q1059" s="1813"/>
      <c r="R1059" s="1813"/>
      <c r="S1059" s="1813"/>
      <c r="T1059" s="1813"/>
      <c r="U1059" s="1813"/>
      <c r="V1059" s="1813"/>
      <c r="W1059" s="1813"/>
      <c r="X1059" s="1813"/>
    </row>
    <row r="1060" spans="1:24" ht="14.5">
      <c r="A1060" s="1819"/>
      <c r="B1060" s="1819"/>
      <c r="C1060" s="1819"/>
      <c r="D1060" s="1819"/>
      <c r="E1060" s="1819"/>
      <c r="F1060" s="1819"/>
      <c r="G1060" s="1803"/>
      <c r="H1060" s="1813"/>
      <c r="I1060" s="1813"/>
      <c r="J1060" s="1813"/>
      <c r="K1060" s="1813"/>
      <c r="L1060" s="1813"/>
      <c r="M1060" s="1813"/>
      <c r="N1060" s="1813"/>
      <c r="O1060" s="1813"/>
      <c r="P1060" s="1813"/>
      <c r="Q1060" s="1813"/>
      <c r="R1060" s="1813"/>
      <c r="S1060" s="1813"/>
      <c r="T1060" s="1813"/>
      <c r="U1060" s="1813"/>
      <c r="V1060" s="1813"/>
      <c r="W1060" s="1813"/>
      <c r="X1060" s="1813"/>
    </row>
    <row r="1061" spans="1:24" ht="14.5">
      <c r="A1061" s="1819"/>
      <c r="B1061" s="1819"/>
      <c r="C1061" s="1819"/>
      <c r="D1061" s="1819"/>
      <c r="E1061" s="1819"/>
      <c r="F1061" s="1819"/>
      <c r="G1061" s="1803"/>
      <c r="H1061" s="1813"/>
      <c r="I1061" s="1813"/>
      <c r="J1061" s="1813"/>
      <c r="K1061" s="1813"/>
      <c r="L1061" s="1813"/>
      <c r="M1061" s="1813"/>
      <c r="N1061" s="1813"/>
      <c r="O1061" s="1813"/>
      <c r="P1061" s="1813"/>
      <c r="Q1061" s="1813"/>
      <c r="R1061" s="1813"/>
      <c r="S1061" s="1813"/>
      <c r="T1061" s="1813"/>
      <c r="U1061" s="1813"/>
      <c r="V1061" s="1813"/>
      <c r="W1061" s="1813"/>
      <c r="X1061" s="1813"/>
    </row>
    <row r="1062" spans="1:24" ht="14.5">
      <c r="A1062" s="1819"/>
      <c r="B1062" s="1819"/>
      <c r="C1062" s="1819"/>
      <c r="D1062" s="1819"/>
      <c r="E1062" s="1819"/>
      <c r="F1062" s="1819"/>
      <c r="G1062" s="1803"/>
      <c r="H1062" s="1813"/>
      <c r="I1062" s="1813"/>
      <c r="J1062" s="1813"/>
      <c r="K1062" s="1813"/>
      <c r="L1062" s="1813"/>
      <c r="M1062" s="1813"/>
      <c r="N1062" s="1813"/>
      <c r="O1062" s="1813"/>
      <c r="P1062" s="1813"/>
      <c r="Q1062" s="1813"/>
      <c r="R1062" s="1813"/>
      <c r="S1062" s="1813"/>
      <c r="T1062" s="1813"/>
      <c r="U1062" s="1813"/>
      <c r="V1062" s="1813"/>
      <c r="W1062" s="1813"/>
      <c r="X1062" s="1813"/>
    </row>
    <row r="1063" spans="1:24" ht="14.5">
      <c r="A1063" s="1819"/>
      <c r="B1063" s="1819"/>
      <c r="C1063" s="1819"/>
      <c r="D1063" s="1819"/>
      <c r="E1063" s="1819"/>
      <c r="F1063" s="1819"/>
      <c r="G1063" s="1803"/>
      <c r="H1063" s="1813"/>
      <c r="I1063" s="1813"/>
      <c r="J1063" s="1813"/>
      <c r="K1063" s="1813"/>
      <c r="L1063" s="1813"/>
      <c r="M1063" s="1813"/>
      <c r="N1063" s="1813"/>
      <c r="O1063" s="1813"/>
      <c r="P1063" s="1813"/>
      <c r="Q1063" s="1813"/>
      <c r="R1063" s="1813"/>
      <c r="S1063" s="1813"/>
      <c r="T1063" s="1813"/>
      <c r="U1063" s="1813"/>
      <c r="V1063" s="1813"/>
      <c r="W1063" s="1813"/>
      <c r="X1063" s="1813"/>
    </row>
    <row r="1064" spans="1:24" ht="14.5">
      <c r="A1064" s="1819"/>
      <c r="B1064" s="1819"/>
      <c r="C1064" s="1819"/>
      <c r="D1064" s="1819"/>
      <c r="E1064" s="1819"/>
      <c r="F1064" s="1819"/>
      <c r="G1064" s="1803"/>
      <c r="H1064" s="1813"/>
      <c r="I1064" s="1813"/>
      <c r="J1064" s="1813"/>
      <c r="K1064" s="1813"/>
      <c r="L1064" s="1813"/>
      <c r="M1064" s="1813"/>
      <c r="N1064" s="1813"/>
      <c r="O1064" s="1813"/>
      <c r="P1064" s="1813"/>
      <c r="Q1064" s="1813"/>
      <c r="R1064" s="1813"/>
      <c r="S1064" s="1813"/>
      <c r="T1064" s="1813"/>
      <c r="U1064" s="1813"/>
      <c r="V1064" s="1813"/>
      <c r="W1064" s="1813"/>
      <c r="X1064" s="1813"/>
    </row>
    <row r="1065" spans="1:24" ht="14.5">
      <c r="A1065" s="1819"/>
      <c r="B1065" s="1819"/>
      <c r="C1065" s="1819"/>
      <c r="D1065" s="1819"/>
      <c r="E1065" s="1819"/>
      <c r="F1065" s="1819"/>
      <c r="G1065" s="1803"/>
      <c r="H1065" s="1813"/>
      <c r="I1065" s="1813"/>
      <c r="J1065" s="1813"/>
      <c r="K1065" s="1813"/>
      <c r="L1065" s="1813"/>
      <c r="M1065" s="1813"/>
      <c r="N1065" s="1813"/>
      <c r="O1065" s="1813"/>
      <c r="P1065" s="1813"/>
      <c r="Q1065" s="1813"/>
      <c r="R1065" s="1813"/>
      <c r="S1065" s="1813"/>
      <c r="T1065" s="1813"/>
      <c r="U1065" s="1813"/>
      <c r="V1065" s="1813"/>
      <c r="W1065" s="1813"/>
      <c r="X1065" s="1813"/>
    </row>
    <row r="1066" spans="1:24" ht="14.5">
      <c r="A1066" s="1819"/>
      <c r="B1066" s="1819"/>
      <c r="C1066" s="1819"/>
      <c r="D1066" s="1819"/>
      <c r="E1066" s="1819"/>
      <c r="F1066" s="1819"/>
      <c r="H1066" s="1813"/>
      <c r="I1066" s="1813"/>
      <c r="J1066" s="1813"/>
      <c r="K1066" s="1813"/>
      <c r="L1066" s="1813"/>
      <c r="M1066" s="1813"/>
      <c r="N1066" s="1813"/>
      <c r="O1066" s="1813"/>
      <c r="P1066" s="1813"/>
      <c r="Q1066" s="1813"/>
      <c r="R1066" s="1813"/>
      <c r="S1066" s="1813"/>
      <c r="T1066" s="1813"/>
      <c r="U1066" s="1813"/>
      <c r="V1066" s="1813"/>
      <c r="W1066" s="1813"/>
      <c r="X1066" s="1813"/>
    </row>
    <row r="1067" spans="1:24" ht="15.75" customHeight="1">
      <c r="A1067" s="1819"/>
      <c r="B1067" s="1819"/>
      <c r="C1067" s="1819"/>
      <c r="D1067" s="1819"/>
      <c r="E1067" s="1819"/>
      <c r="F1067" s="1819"/>
    </row>
    <row r="1068" spans="1:24" ht="15.75" customHeight="1">
      <c r="A1068" s="1819"/>
      <c r="B1068" s="1819"/>
      <c r="C1068" s="1819"/>
      <c r="D1068" s="1819"/>
      <c r="E1068" s="1819"/>
      <c r="F1068" s="1819"/>
    </row>
    <row r="1069" spans="1:24" ht="15.75" customHeight="1">
      <c r="A1069" s="1819"/>
      <c r="B1069" s="1819"/>
      <c r="C1069" s="1819"/>
      <c r="D1069" s="1819"/>
      <c r="E1069" s="1819"/>
      <c r="F1069" s="1819"/>
    </row>
    <row r="1070" spans="1:24" ht="15.75" customHeight="1">
      <c r="A1070" s="1819"/>
      <c r="B1070" s="1819"/>
      <c r="C1070" s="1819"/>
      <c r="D1070" s="1819"/>
      <c r="E1070" s="1819"/>
      <c r="F1070" s="1819"/>
    </row>
    <row r="1071" spans="1:24" ht="15.75" customHeight="1">
      <c r="A1071" s="1819"/>
      <c r="B1071" s="1819"/>
      <c r="C1071" s="1819"/>
      <c r="D1071" s="1819"/>
      <c r="E1071" s="1819"/>
      <c r="F1071" s="1819"/>
    </row>
    <row r="1072" spans="1:24" ht="15.75" customHeight="1">
      <c r="A1072" s="1819"/>
      <c r="B1072" s="1819"/>
      <c r="C1072" s="1819"/>
      <c r="D1072" s="1819"/>
      <c r="E1072" s="1819"/>
      <c r="F1072" s="1819"/>
    </row>
    <row r="1073" spans="1:6" ht="15.75" customHeight="1">
      <c r="A1073" s="1819"/>
      <c r="B1073" s="1819"/>
      <c r="C1073" s="1819"/>
      <c r="D1073" s="1819"/>
      <c r="E1073" s="1819"/>
      <c r="F1073" s="1819"/>
    </row>
    <row r="1074" spans="1:6" ht="15.75" customHeight="1">
      <c r="A1074" s="1819"/>
      <c r="B1074" s="1819"/>
      <c r="C1074" s="1819"/>
      <c r="D1074" s="1819"/>
      <c r="E1074" s="1819"/>
      <c r="F1074" s="1819"/>
    </row>
    <row r="1075" spans="1:6" ht="15.75" customHeight="1">
      <c r="A1075" s="1819"/>
      <c r="B1075" s="1819"/>
      <c r="C1075" s="1819"/>
      <c r="D1075" s="1819"/>
      <c r="E1075" s="1819"/>
      <c r="F1075" s="1819"/>
    </row>
    <row r="1076" spans="1:6" ht="15.75" customHeight="1">
      <c r="A1076" s="1819"/>
      <c r="B1076" s="1819"/>
      <c r="C1076" s="1819"/>
      <c r="D1076" s="1819"/>
      <c r="E1076" s="1819"/>
      <c r="F1076" s="1819"/>
    </row>
    <row r="1077" spans="1:6" ht="15.75" customHeight="1">
      <c r="A1077" s="1819"/>
      <c r="B1077" s="1819"/>
      <c r="C1077" s="1819"/>
      <c r="D1077" s="1819"/>
      <c r="E1077" s="1819"/>
      <c r="F1077" s="1819"/>
    </row>
    <row r="1078" spans="1:6" ht="15.75" customHeight="1">
      <c r="A1078" s="1819"/>
      <c r="B1078" s="1819"/>
      <c r="C1078" s="1819"/>
      <c r="D1078" s="1819"/>
      <c r="E1078" s="1819"/>
      <c r="F1078" s="1819"/>
    </row>
    <row r="1079" spans="1:6" ht="15.75" customHeight="1">
      <c r="A1079" s="1819"/>
      <c r="B1079" s="1819"/>
      <c r="C1079" s="1819"/>
      <c r="D1079" s="1819"/>
      <c r="E1079" s="1819"/>
      <c r="F1079" s="1819"/>
    </row>
    <row r="1080" spans="1:6" ht="15.75" customHeight="1">
      <c r="A1080" s="1819"/>
      <c r="B1080" s="1819"/>
      <c r="C1080" s="1819"/>
      <c r="D1080" s="1819"/>
      <c r="E1080" s="1819"/>
      <c r="F1080" s="1819"/>
    </row>
    <row r="1081" spans="1:6" ht="15.75" customHeight="1">
      <c r="A1081" s="1819"/>
      <c r="B1081" s="1819"/>
      <c r="C1081" s="1819"/>
      <c r="D1081" s="1819"/>
      <c r="E1081" s="1819"/>
      <c r="F1081" s="1819"/>
    </row>
    <row r="1082" spans="1:6" ht="15.75" customHeight="1">
      <c r="A1082" s="1819"/>
      <c r="B1082" s="1819"/>
      <c r="C1082" s="1819"/>
      <c r="D1082" s="1819"/>
      <c r="E1082" s="1819"/>
      <c r="F1082" s="1819"/>
    </row>
    <row r="1083" spans="1:6" ht="15.75" customHeight="1">
      <c r="A1083" s="1819"/>
      <c r="B1083" s="1819"/>
      <c r="C1083" s="1819"/>
      <c r="D1083" s="1819"/>
      <c r="E1083" s="1819"/>
      <c r="F1083" s="1819"/>
    </row>
    <row r="1084" spans="1:6" ht="15.75" customHeight="1">
      <c r="A1084" s="1819"/>
      <c r="B1084" s="1819"/>
      <c r="C1084" s="1819"/>
      <c r="D1084" s="1819"/>
      <c r="E1084" s="1819"/>
      <c r="F1084" s="1819"/>
    </row>
    <row r="1085" spans="1:6" ht="15.75" customHeight="1">
      <c r="A1085" s="1819"/>
      <c r="B1085" s="1819"/>
      <c r="C1085" s="1819"/>
      <c r="D1085" s="1819"/>
      <c r="E1085" s="1819"/>
      <c r="F1085" s="1819"/>
    </row>
    <row r="1086" spans="1:6" ht="15.75" customHeight="1">
      <c r="A1086" s="1819"/>
      <c r="B1086" s="1819"/>
      <c r="C1086" s="1819"/>
      <c r="D1086" s="1819"/>
      <c r="E1086" s="1819"/>
      <c r="F1086" s="1819"/>
    </row>
    <row r="1087" spans="1:6" ht="15.75" customHeight="1">
      <c r="A1087" s="1819"/>
      <c r="B1087" s="1819"/>
      <c r="C1087" s="1819"/>
      <c r="D1087" s="1819"/>
      <c r="E1087" s="1819"/>
      <c r="F1087" s="1819"/>
    </row>
    <row r="1088" spans="1:6" ht="15.75" customHeight="1">
      <c r="A1088" s="1819"/>
      <c r="B1088" s="1819"/>
      <c r="C1088" s="1819"/>
      <c r="D1088" s="1819"/>
      <c r="E1088" s="1819"/>
      <c r="F1088" s="1819"/>
    </row>
    <row r="1089" spans="1:6" ht="15.75" customHeight="1">
      <c r="A1089" s="1819"/>
      <c r="B1089" s="1819"/>
      <c r="C1089" s="1819"/>
      <c r="D1089" s="1819"/>
      <c r="E1089" s="1819"/>
      <c r="F1089" s="1819"/>
    </row>
    <row r="1090" spans="1:6" ht="15.75" customHeight="1">
      <c r="A1090" s="1819"/>
      <c r="B1090" s="1819"/>
      <c r="C1090" s="1819"/>
      <c r="D1090" s="1819"/>
      <c r="E1090" s="1819"/>
      <c r="F1090" s="1819"/>
    </row>
    <row r="1091" spans="1:6" ht="15.75" customHeight="1">
      <c r="A1091" s="1819"/>
      <c r="B1091" s="1819"/>
      <c r="C1091" s="1819"/>
      <c r="D1091" s="1819"/>
      <c r="E1091" s="1819"/>
      <c r="F1091" s="1819"/>
    </row>
    <row r="1092" spans="1:6" ht="15.75" customHeight="1">
      <c r="A1092" s="1819"/>
      <c r="B1092" s="1819"/>
      <c r="C1092" s="1819"/>
      <c r="D1092" s="1819"/>
      <c r="E1092" s="1819"/>
      <c r="F1092" s="1819"/>
    </row>
    <row r="1093" spans="1:6" ht="15.75" customHeight="1">
      <c r="A1093" s="1819"/>
      <c r="B1093" s="1819"/>
      <c r="C1093" s="1819"/>
      <c r="D1093" s="1819"/>
      <c r="E1093" s="1819"/>
      <c r="F1093" s="1819"/>
    </row>
    <row r="1094" spans="1:6" ht="15.75" customHeight="1">
      <c r="A1094" s="1819"/>
      <c r="B1094" s="1819"/>
      <c r="C1094" s="1819"/>
      <c r="D1094" s="1819"/>
      <c r="E1094" s="1819"/>
      <c r="F1094" s="1819"/>
    </row>
    <row r="1095" spans="1:6" ht="15.75" customHeight="1">
      <c r="A1095" s="1819"/>
      <c r="B1095" s="1819"/>
      <c r="C1095" s="1819"/>
      <c r="D1095" s="1819"/>
      <c r="E1095" s="1819"/>
      <c r="F1095" s="1819"/>
    </row>
    <row r="1096" spans="1:6" ht="15.75" customHeight="1">
      <c r="A1096" s="1819"/>
      <c r="B1096" s="1819"/>
      <c r="C1096" s="1819"/>
      <c r="D1096" s="1819"/>
      <c r="E1096" s="1819"/>
      <c r="F1096" s="1819"/>
    </row>
    <row r="1097" spans="1:6" ht="15.75" customHeight="1">
      <c r="A1097" s="1819"/>
      <c r="B1097" s="1819"/>
      <c r="C1097" s="1819"/>
      <c r="D1097" s="1819"/>
      <c r="E1097" s="1819"/>
      <c r="F1097" s="1819"/>
    </row>
    <row r="1098" spans="1:6" ht="15.75" customHeight="1">
      <c r="A1098" s="1819"/>
      <c r="B1098" s="1819"/>
      <c r="C1098" s="1819"/>
      <c r="D1098" s="1819"/>
      <c r="E1098" s="1819"/>
      <c r="F1098" s="1819"/>
    </row>
    <row r="1099" spans="1:6" ht="15.75" customHeight="1">
      <c r="A1099" s="1819"/>
      <c r="B1099" s="1819"/>
      <c r="C1099" s="1819"/>
      <c r="D1099" s="1819"/>
      <c r="E1099" s="1819"/>
      <c r="F1099" s="1819"/>
    </row>
    <row r="1100" spans="1:6" ht="15.75" customHeight="1">
      <c r="A1100" s="1819"/>
      <c r="B1100" s="1819"/>
      <c r="C1100" s="1819"/>
      <c r="D1100" s="1819"/>
      <c r="E1100" s="1819"/>
      <c r="F1100" s="1819"/>
    </row>
    <row r="1101" spans="1:6" ht="15.75" customHeight="1">
      <c r="A1101" s="1819"/>
      <c r="B1101" s="1819"/>
      <c r="C1101" s="1819"/>
      <c r="D1101" s="1819"/>
      <c r="E1101" s="1819"/>
      <c r="F1101" s="1819"/>
    </row>
    <row r="1102" spans="1:6" ht="15.75" customHeight="1">
      <c r="A1102" s="1819"/>
      <c r="B1102" s="1819"/>
      <c r="C1102" s="1819"/>
      <c r="D1102" s="1819"/>
      <c r="E1102" s="1819"/>
      <c r="F1102" s="1819"/>
    </row>
    <row r="1103" spans="1:6" ht="15.75" customHeight="1">
      <c r="A1103" s="1819"/>
      <c r="B1103" s="1819"/>
      <c r="C1103" s="1819"/>
      <c r="D1103" s="1819"/>
      <c r="E1103" s="1819"/>
      <c r="F1103" s="1819"/>
    </row>
    <row r="1104" spans="1:6" ht="15.75" customHeight="1">
      <c r="A1104" s="1819"/>
      <c r="B1104" s="1819"/>
      <c r="C1104" s="1819"/>
      <c r="D1104" s="1819"/>
      <c r="E1104" s="1819"/>
      <c r="F1104" s="1819"/>
    </row>
    <row r="1105" spans="1:6" ht="15.75" customHeight="1">
      <c r="A1105" s="1819"/>
      <c r="B1105" s="1819"/>
      <c r="C1105" s="1819"/>
      <c r="D1105" s="1819"/>
      <c r="E1105" s="1819"/>
      <c r="F1105" s="1819"/>
    </row>
    <row r="1106" spans="1:6" ht="15.75" customHeight="1">
      <c r="A1106" s="1819"/>
      <c r="B1106" s="1819"/>
      <c r="C1106" s="1819"/>
      <c r="D1106" s="1819"/>
      <c r="E1106" s="1819"/>
      <c r="F1106" s="1819"/>
    </row>
    <row r="1107" spans="1:6" ht="15.75" customHeight="1">
      <c r="A1107" s="1819"/>
      <c r="B1107" s="1819"/>
      <c r="C1107" s="1819"/>
      <c r="D1107" s="1819"/>
      <c r="E1107" s="1819"/>
      <c r="F1107" s="1819"/>
    </row>
    <row r="1108" spans="1:6" ht="15.75" customHeight="1">
      <c r="A1108" s="1819"/>
      <c r="B1108" s="1819"/>
      <c r="C1108" s="1819"/>
      <c r="D1108" s="1819"/>
      <c r="E1108" s="1819"/>
      <c r="F1108" s="1819"/>
    </row>
    <row r="1109" spans="1:6" ht="15.75" customHeight="1">
      <c r="A1109" s="1819"/>
      <c r="B1109" s="1819"/>
      <c r="C1109" s="1819"/>
      <c r="D1109" s="1819"/>
      <c r="E1109" s="1819"/>
      <c r="F1109" s="1819"/>
    </row>
    <row r="1110" spans="1:6" ht="15.75" customHeight="1">
      <c r="A1110" s="1819"/>
      <c r="B1110" s="1819"/>
      <c r="C1110" s="1819"/>
      <c r="D1110" s="1819"/>
      <c r="E1110" s="1819"/>
      <c r="F1110" s="1819"/>
    </row>
    <row r="1111" spans="1:6" ht="15.75" customHeight="1">
      <c r="A1111" s="1819"/>
      <c r="B1111" s="1819"/>
      <c r="C1111" s="1819"/>
      <c r="D1111" s="1819"/>
      <c r="E1111" s="1819"/>
      <c r="F1111" s="1819"/>
    </row>
    <row r="1112" spans="1:6" ht="15.75" customHeight="1">
      <c r="A1112" s="1819"/>
      <c r="B1112" s="1819"/>
      <c r="C1112" s="1819"/>
      <c r="D1112" s="1819"/>
      <c r="E1112" s="1819"/>
      <c r="F1112" s="1819"/>
    </row>
    <row r="1113" spans="1:6" ht="15.75" customHeight="1">
      <c r="A1113" s="1819"/>
      <c r="B1113" s="1819"/>
      <c r="C1113" s="1819"/>
      <c r="D1113" s="1819"/>
      <c r="E1113" s="1819"/>
      <c r="F1113" s="1819"/>
    </row>
    <row r="1114" spans="1:6" ht="15.75" customHeight="1">
      <c r="A1114" s="1819"/>
      <c r="B1114" s="1819"/>
      <c r="C1114" s="1819"/>
      <c r="D1114" s="1819"/>
      <c r="E1114" s="1819"/>
      <c r="F1114" s="1819"/>
    </row>
    <row r="1115" spans="1:6" ht="15.75" customHeight="1">
      <c r="A1115" s="1819"/>
      <c r="B1115" s="1819"/>
      <c r="C1115" s="1819"/>
      <c r="D1115" s="1819"/>
      <c r="E1115" s="1819"/>
      <c r="F1115" s="1819"/>
    </row>
    <row r="1116" spans="1:6" ht="15.75" customHeight="1">
      <c r="A1116" s="1819"/>
      <c r="B1116" s="1819"/>
      <c r="C1116" s="1819"/>
      <c r="D1116" s="1819"/>
      <c r="E1116" s="1819"/>
      <c r="F1116" s="1819"/>
    </row>
    <row r="1117" spans="1:6" ht="15.75" customHeight="1">
      <c r="A1117" s="1819"/>
      <c r="B1117" s="1819"/>
      <c r="C1117" s="1819"/>
      <c r="D1117" s="1819"/>
      <c r="E1117" s="1819"/>
      <c r="F1117" s="1819"/>
    </row>
    <row r="1118" spans="1:6" ht="15.75" customHeight="1">
      <c r="A1118" s="1819"/>
      <c r="B1118" s="1819"/>
      <c r="C1118" s="1819"/>
      <c r="D1118" s="1819"/>
      <c r="E1118" s="1819"/>
      <c r="F1118" s="1819"/>
    </row>
    <row r="1119" spans="1:6" ht="15.75" customHeight="1">
      <c r="A1119" s="1819"/>
      <c r="B1119" s="1819"/>
      <c r="C1119" s="1819"/>
      <c r="D1119" s="1819"/>
      <c r="E1119" s="1819"/>
      <c r="F1119" s="1819"/>
    </row>
    <row r="1120" spans="1:6" ht="15.75" customHeight="1">
      <c r="A1120" s="1819"/>
      <c r="B1120" s="1819"/>
      <c r="C1120" s="1819"/>
      <c r="D1120" s="1819"/>
      <c r="E1120" s="1819"/>
      <c r="F1120" s="1819"/>
    </row>
    <row r="1121" spans="1:6" ht="15.75" customHeight="1">
      <c r="A1121" s="1819"/>
      <c r="B1121" s="1819"/>
      <c r="C1121" s="1819"/>
      <c r="D1121" s="1819"/>
      <c r="E1121" s="1819"/>
      <c r="F1121" s="1819"/>
    </row>
    <row r="1122" spans="1:6" ht="15.75" customHeight="1">
      <c r="A1122" s="1819"/>
      <c r="B1122" s="1819"/>
      <c r="C1122" s="1819"/>
      <c r="D1122" s="1819"/>
      <c r="E1122" s="1819"/>
      <c r="F1122" s="1819"/>
    </row>
    <row r="1123" spans="1:6" ht="15.75" customHeight="1">
      <c r="A1123" s="1819"/>
      <c r="B1123" s="1819"/>
      <c r="C1123" s="1819"/>
      <c r="D1123" s="1819"/>
      <c r="E1123" s="1819"/>
      <c r="F1123" s="1819"/>
    </row>
    <row r="1124" spans="1:6" ht="15.75" customHeight="1">
      <c r="A1124" s="1819"/>
      <c r="B1124" s="1819"/>
      <c r="C1124" s="1819"/>
      <c r="D1124" s="1819"/>
      <c r="E1124" s="1819"/>
      <c r="F1124" s="1819"/>
    </row>
    <row r="1125" spans="1:6" ht="15.75" customHeight="1">
      <c r="A1125" s="1819"/>
      <c r="B1125" s="1819"/>
      <c r="C1125" s="1819"/>
      <c r="D1125" s="1819"/>
      <c r="E1125" s="1819"/>
      <c r="F1125" s="1819"/>
    </row>
    <row r="1126" spans="1:6" ht="15.75" customHeight="1">
      <c r="A1126" s="1819"/>
      <c r="B1126" s="1819"/>
      <c r="C1126" s="1819"/>
      <c r="D1126" s="1819"/>
      <c r="E1126" s="1819"/>
      <c r="F1126" s="1819"/>
    </row>
    <row r="1127" spans="1:6" ht="15.75" customHeight="1">
      <c r="A1127" s="1819"/>
      <c r="B1127" s="1819"/>
      <c r="C1127" s="1819"/>
      <c r="D1127" s="1819"/>
      <c r="E1127" s="1819"/>
      <c r="F1127" s="1819"/>
    </row>
    <row r="1128" spans="1:6" ht="15.75" customHeight="1">
      <c r="A1128" s="1819"/>
      <c r="B1128" s="1819"/>
      <c r="C1128" s="1819"/>
      <c r="D1128" s="1819"/>
      <c r="E1128" s="1819"/>
      <c r="F1128" s="1819"/>
    </row>
    <row r="1129" spans="1:6" ht="15.75" customHeight="1">
      <c r="A1129" s="1819"/>
      <c r="B1129" s="1819"/>
      <c r="C1129" s="1819"/>
      <c r="D1129" s="1819"/>
      <c r="E1129" s="1819"/>
      <c r="F1129" s="1819"/>
    </row>
    <row r="1130" spans="1:6" ht="15.75" customHeight="1">
      <c r="A1130" s="1819"/>
      <c r="B1130" s="1819"/>
      <c r="C1130" s="1819"/>
      <c r="D1130" s="1819"/>
      <c r="E1130" s="1819"/>
      <c r="F1130" s="1819"/>
    </row>
    <row r="1131" spans="1:6" ht="15.75" customHeight="1">
      <c r="A1131" s="1819"/>
      <c r="B1131" s="1819"/>
      <c r="C1131" s="1819"/>
      <c r="D1131" s="1819"/>
      <c r="E1131" s="1819"/>
      <c r="F1131" s="1819"/>
    </row>
    <row r="1132" spans="1:6" ht="15.75" customHeight="1">
      <c r="A1132" s="1819"/>
      <c r="B1132" s="1819"/>
      <c r="C1132" s="1819"/>
      <c r="D1132" s="1819"/>
      <c r="E1132" s="1819"/>
      <c r="F1132" s="1819"/>
    </row>
    <row r="1133" spans="1:6" ht="15.75" customHeight="1">
      <c r="A1133" s="1819"/>
      <c r="B1133" s="1819"/>
      <c r="C1133" s="1819"/>
      <c r="D1133" s="1819"/>
      <c r="E1133" s="1819"/>
      <c r="F1133" s="1819"/>
    </row>
    <row r="1134" spans="1:6" ht="15.75" customHeight="1">
      <c r="A1134" s="1819"/>
      <c r="B1134" s="1819"/>
      <c r="C1134" s="1819"/>
      <c r="D1134" s="1819"/>
      <c r="E1134" s="1819"/>
      <c r="F1134" s="1819"/>
    </row>
    <row r="1135" spans="1:6" ht="15.75" customHeight="1">
      <c r="A1135" s="1819"/>
      <c r="B1135" s="1819"/>
      <c r="C1135" s="1819"/>
      <c r="D1135" s="1819"/>
      <c r="E1135" s="1819"/>
      <c r="F1135" s="1819"/>
    </row>
    <row r="1136" spans="1:6" ht="15.75" customHeight="1">
      <c r="A1136" s="1819"/>
      <c r="B1136" s="1819"/>
      <c r="C1136" s="1819"/>
      <c r="D1136" s="1819"/>
      <c r="E1136" s="1819"/>
      <c r="F1136" s="1819"/>
    </row>
    <row r="1137" spans="1:6" ht="15.75" customHeight="1">
      <c r="A1137" s="1819"/>
      <c r="B1137" s="1819"/>
      <c r="C1137" s="1819"/>
      <c r="D1137" s="1819"/>
      <c r="E1137" s="1819"/>
      <c r="F1137" s="1819"/>
    </row>
    <row r="1138" spans="1:6" ht="15.75" customHeight="1">
      <c r="A1138" s="1819"/>
      <c r="B1138" s="1819"/>
      <c r="C1138" s="1819"/>
      <c r="D1138" s="1819"/>
      <c r="E1138" s="1819"/>
      <c r="F1138" s="1819"/>
    </row>
    <row r="1139" spans="1:6" ht="15.75" customHeight="1">
      <c r="A1139" s="1819"/>
      <c r="B1139" s="1819"/>
      <c r="C1139" s="1819"/>
      <c r="D1139" s="1819"/>
      <c r="E1139" s="1819"/>
      <c r="F1139" s="1819"/>
    </row>
    <row r="1140" spans="1:6" ht="15.75" customHeight="1">
      <c r="A1140" s="1819"/>
      <c r="B1140" s="1819"/>
      <c r="C1140" s="1819"/>
      <c r="D1140" s="1819"/>
      <c r="E1140" s="1819"/>
      <c r="F1140" s="1819"/>
    </row>
    <row r="1141" spans="1:6" ht="15.75" customHeight="1">
      <c r="A1141" s="1819"/>
      <c r="B1141" s="1819"/>
      <c r="C1141" s="1819"/>
      <c r="D1141" s="1819"/>
      <c r="E1141" s="1819"/>
      <c r="F1141" s="1819"/>
    </row>
    <row r="1142" spans="1:6" ht="15.75" customHeight="1">
      <c r="A1142" s="1819"/>
      <c r="B1142" s="1819"/>
      <c r="C1142" s="1819"/>
      <c r="D1142" s="1819"/>
      <c r="E1142" s="1819"/>
      <c r="F1142" s="1819"/>
    </row>
    <row r="1143" spans="1:6" ht="15.75" customHeight="1">
      <c r="A1143" s="1819"/>
      <c r="B1143" s="1819"/>
      <c r="C1143" s="1819"/>
      <c r="D1143" s="1819"/>
      <c r="E1143" s="1819"/>
      <c r="F1143" s="1819"/>
    </row>
    <row r="1144" spans="1:6" ht="15.75" customHeight="1">
      <c r="A1144" s="1819"/>
      <c r="B1144" s="1819"/>
      <c r="C1144" s="1819"/>
      <c r="D1144" s="1819"/>
      <c r="E1144" s="1819"/>
      <c r="F1144" s="1819"/>
    </row>
    <row r="1145" spans="1:6" ht="15.75" customHeight="1">
      <c r="A1145" s="1819"/>
      <c r="B1145" s="1819"/>
      <c r="C1145" s="1819"/>
      <c r="D1145" s="1819"/>
      <c r="E1145" s="1819"/>
      <c r="F1145" s="1819"/>
    </row>
    <row r="1146" spans="1:6" ht="15.75" customHeight="1">
      <c r="A1146" s="1819"/>
      <c r="B1146" s="1819"/>
      <c r="C1146" s="1819"/>
      <c r="D1146" s="1819"/>
      <c r="E1146" s="1819"/>
      <c r="F1146" s="1819"/>
    </row>
    <row r="1147" spans="1:6" ht="15.75" customHeight="1">
      <c r="A1147" s="1819"/>
      <c r="B1147" s="1819"/>
      <c r="C1147" s="1819"/>
      <c r="D1147" s="1819"/>
      <c r="E1147" s="1819"/>
      <c r="F1147" s="1819"/>
    </row>
    <row r="1148" spans="1:6" ht="15.75" customHeight="1">
      <c r="A1148" s="1819"/>
      <c r="B1148" s="1819"/>
      <c r="C1148" s="1819"/>
      <c r="D1148" s="1819"/>
      <c r="E1148" s="1819"/>
      <c r="F1148" s="1819"/>
    </row>
    <row r="1149" spans="1:6" ht="15.75" customHeight="1">
      <c r="A1149" s="1819"/>
      <c r="B1149" s="1819"/>
      <c r="C1149" s="1819"/>
      <c r="D1149" s="1819"/>
      <c r="E1149" s="1819"/>
      <c r="F1149" s="1819"/>
    </row>
    <row r="1150" spans="1:6" ht="15.75" customHeight="1">
      <c r="A1150" s="1819"/>
      <c r="B1150" s="1819"/>
      <c r="C1150" s="1819"/>
      <c r="D1150" s="1819"/>
      <c r="E1150" s="1819"/>
      <c r="F1150" s="1819"/>
    </row>
    <row r="1151" spans="1:6" ht="15.75" customHeight="1">
      <c r="A1151" s="1819"/>
      <c r="B1151" s="1819"/>
      <c r="C1151" s="1819"/>
      <c r="D1151" s="1819"/>
      <c r="E1151" s="1819"/>
      <c r="F1151" s="1819"/>
    </row>
    <row r="1152" spans="1:6" ht="15.75" customHeight="1">
      <c r="A1152" s="1819"/>
      <c r="B1152" s="1819"/>
      <c r="C1152" s="1819"/>
      <c r="D1152" s="1819"/>
      <c r="E1152" s="1819"/>
      <c r="F1152" s="1819"/>
    </row>
    <row r="1153" spans="1:6" ht="15.75" customHeight="1">
      <c r="A1153" s="1819"/>
      <c r="B1153" s="1819"/>
      <c r="C1153" s="1819"/>
      <c r="D1153" s="1819"/>
      <c r="E1153" s="1819"/>
      <c r="F1153" s="1819"/>
    </row>
    <row r="1154" spans="1:6" ht="15.75" customHeight="1">
      <c r="A1154" s="1819"/>
      <c r="B1154" s="1819"/>
      <c r="C1154" s="1819"/>
      <c r="D1154" s="1819"/>
      <c r="E1154" s="1819"/>
      <c r="F1154" s="1819"/>
    </row>
    <row r="1155" spans="1:6" ht="15.75" customHeight="1">
      <c r="A1155" s="1819"/>
      <c r="B1155" s="1819"/>
      <c r="C1155" s="1819"/>
      <c r="D1155" s="1819"/>
      <c r="E1155" s="1819"/>
      <c r="F1155" s="1819"/>
    </row>
    <row r="1156" spans="1:6" ht="15.75" customHeight="1">
      <c r="A1156" s="1819"/>
      <c r="B1156" s="1819"/>
      <c r="C1156" s="1819"/>
      <c r="D1156" s="1819"/>
      <c r="E1156" s="1819"/>
      <c r="F1156" s="1819"/>
    </row>
    <row r="1157" spans="1:6" ht="15.75" customHeight="1">
      <c r="A1157" s="1819"/>
      <c r="B1157" s="1819"/>
      <c r="C1157" s="1819"/>
      <c r="D1157" s="1819"/>
      <c r="E1157" s="1819"/>
      <c r="F1157" s="1819"/>
    </row>
    <row r="1158" spans="1:6" ht="15.75" customHeight="1">
      <c r="A1158" s="1819"/>
      <c r="B1158" s="1819"/>
      <c r="C1158" s="1819"/>
      <c r="D1158" s="1819"/>
      <c r="E1158" s="1819"/>
      <c r="F1158" s="1819"/>
    </row>
    <row r="1159" spans="1:6" ht="15.75" customHeight="1">
      <c r="A1159" s="1819"/>
      <c r="B1159" s="1819"/>
      <c r="C1159" s="1819"/>
      <c r="D1159" s="1819"/>
      <c r="E1159" s="1819"/>
      <c r="F1159" s="1819"/>
    </row>
    <row r="1160" spans="1:6" ht="15.75" customHeight="1">
      <c r="A1160" s="1819"/>
      <c r="B1160" s="1819"/>
      <c r="C1160" s="1819"/>
      <c r="D1160" s="1819"/>
      <c r="E1160" s="1819"/>
      <c r="F1160" s="1819"/>
    </row>
    <row r="1161" spans="1:6" ht="15.75" customHeight="1">
      <c r="A1161" s="1819"/>
      <c r="B1161" s="1819"/>
      <c r="C1161" s="1819"/>
      <c r="D1161" s="1819"/>
      <c r="E1161" s="1819"/>
      <c r="F1161" s="1819"/>
    </row>
    <row r="1162" spans="1:6" ht="15.75" customHeight="1">
      <c r="A1162" s="1819"/>
      <c r="B1162" s="1819"/>
      <c r="C1162" s="1819"/>
      <c r="D1162" s="1819"/>
      <c r="E1162" s="1819"/>
      <c r="F1162" s="1819"/>
    </row>
    <row r="1163" spans="1:6" ht="15.75" customHeight="1">
      <c r="A1163" s="1819"/>
      <c r="B1163" s="1819"/>
      <c r="C1163" s="1819"/>
      <c r="D1163" s="1819"/>
      <c r="E1163" s="1819"/>
      <c r="F1163" s="1819"/>
    </row>
    <row r="1164" spans="1:6" ht="15.75" customHeight="1">
      <c r="A1164" s="1819"/>
      <c r="B1164" s="1819"/>
      <c r="C1164" s="1819"/>
      <c r="D1164" s="1819"/>
      <c r="E1164" s="1819"/>
      <c r="F1164" s="1819"/>
    </row>
    <row r="1165" spans="1:6" ht="15.75" customHeight="1">
      <c r="A1165" s="1819"/>
      <c r="B1165" s="1819"/>
      <c r="C1165" s="1819"/>
      <c r="D1165" s="1819"/>
      <c r="E1165" s="1819"/>
      <c r="F1165" s="1819"/>
    </row>
    <row r="1166" spans="1:6" ht="15.75" customHeight="1">
      <c r="A1166" s="1819"/>
      <c r="B1166" s="1819"/>
      <c r="C1166" s="1819"/>
      <c r="D1166" s="1819"/>
      <c r="E1166" s="1819"/>
      <c r="F1166" s="1819"/>
    </row>
    <row r="1167" spans="1:6" ht="15.75" customHeight="1">
      <c r="A1167" s="1819"/>
      <c r="B1167" s="1819"/>
      <c r="C1167" s="1819"/>
      <c r="D1167" s="1819"/>
      <c r="E1167" s="1819"/>
      <c r="F1167" s="1819"/>
    </row>
    <row r="1168" spans="1:6" ht="15.75" customHeight="1">
      <c r="A1168" s="1819"/>
      <c r="B1168" s="1819"/>
      <c r="C1168" s="1819"/>
      <c r="D1168" s="1819"/>
      <c r="E1168" s="1819"/>
      <c r="F1168" s="1819"/>
    </row>
    <row r="1169" spans="1:6" ht="15.75" customHeight="1">
      <c r="A1169" s="1819"/>
      <c r="B1169" s="1819"/>
      <c r="C1169" s="1819"/>
      <c r="D1169" s="1819"/>
      <c r="E1169" s="1819"/>
      <c r="F1169" s="1819"/>
    </row>
    <row r="1170" spans="1:6" ht="15.75" customHeight="1">
      <c r="A1170" s="1819"/>
      <c r="B1170" s="1819"/>
      <c r="C1170" s="1819"/>
      <c r="D1170" s="1819"/>
      <c r="E1170" s="1819"/>
      <c r="F1170" s="1819"/>
    </row>
    <row r="1171" spans="1:6" ht="15.75" customHeight="1">
      <c r="A1171" s="1819"/>
      <c r="B1171" s="1819"/>
      <c r="C1171" s="1819"/>
      <c r="D1171" s="1819"/>
      <c r="E1171" s="1819"/>
      <c r="F1171" s="1819"/>
    </row>
    <row r="1172" spans="1:6" ht="15.75" customHeight="1">
      <c r="A1172" s="1819"/>
      <c r="B1172" s="1819"/>
      <c r="C1172" s="1819"/>
      <c r="D1172" s="1819"/>
      <c r="E1172" s="1819"/>
      <c r="F1172" s="1819"/>
    </row>
    <row r="1173" spans="1:6" ht="15.75" customHeight="1">
      <c r="A1173" s="1819"/>
      <c r="B1173" s="1819"/>
      <c r="C1173" s="1819"/>
      <c r="D1173" s="1819"/>
      <c r="E1173" s="1819"/>
      <c r="F1173" s="1819"/>
    </row>
    <row r="1174" spans="1:6" ht="15.75" customHeight="1">
      <c r="A1174" s="1819"/>
      <c r="B1174" s="1819"/>
      <c r="C1174" s="1819"/>
      <c r="D1174" s="1819"/>
      <c r="E1174" s="1819"/>
      <c r="F1174" s="1819"/>
    </row>
    <row r="1175" spans="1:6" ht="15.75" customHeight="1">
      <c r="A1175" s="1819"/>
      <c r="B1175" s="1819"/>
      <c r="C1175" s="1819"/>
      <c r="D1175" s="1819"/>
      <c r="E1175" s="1819"/>
      <c r="F1175" s="1819"/>
    </row>
    <row r="1176" spans="1:6" ht="15.75" customHeight="1">
      <c r="A1176" s="1819"/>
      <c r="B1176" s="1819"/>
      <c r="C1176" s="1819"/>
      <c r="D1176" s="1819"/>
      <c r="E1176" s="1819"/>
      <c r="F1176" s="1819"/>
    </row>
    <row r="1177" spans="1:6" ht="15.75" customHeight="1">
      <c r="A1177" s="1819"/>
      <c r="B1177" s="1819"/>
      <c r="C1177" s="1819"/>
      <c r="D1177" s="1819"/>
      <c r="E1177" s="1819"/>
      <c r="F1177" s="1819"/>
    </row>
    <row r="1178" spans="1:6" ht="15.75" customHeight="1">
      <c r="A1178" s="1819"/>
      <c r="B1178" s="1819"/>
      <c r="C1178" s="1819"/>
      <c r="D1178" s="1819"/>
      <c r="E1178" s="1819"/>
      <c r="F1178" s="1819"/>
    </row>
    <row r="1179" spans="1:6" ht="15.75" customHeight="1">
      <c r="A1179" s="1819"/>
      <c r="B1179" s="1819"/>
      <c r="C1179" s="1819"/>
      <c r="D1179" s="1819"/>
      <c r="E1179" s="1819"/>
      <c r="F1179" s="1819"/>
    </row>
    <row r="1180" spans="1:6" ht="15.75" customHeight="1">
      <c r="A1180" s="1819"/>
      <c r="B1180" s="1819"/>
      <c r="C1180" s="1819"/>
      <c r="D1180" s="1819"/>
      <c r="E1180" s="1819"/>
      <c r="F1180" s="1819"/>
    </row>
    <row r="1181" spans="1:6" ht="15.75" customHeight="1">
      <c r="A1181" s="1819"/>
      <c r="B1181" s="1819"/>
      <c r="C1181" s="1819"/>
      <c r="D1181" s="1819"/>
      <c r="E1181" s="1819"/>
      <c r="F1181" s="1819"/>
    </row>
    <row r="1182" spans="1:6" ht="15.75" customHeight="1">
      <c r="A1182" s="1819"/>
      <c r="B1182" s="1819"/>
      <c r="C1182" s="1819"/>
      <c r="D1182" s="1819"/>
      <c r="E1182" s="1819"/>
      <c r="F1182" s="1819"/>
    </row>
    <row r="1183" spans="1:6" ht="15.75" customHeight="1">
      <c r="A1183" s="1819"/>
      <c r="B1183" s="1819"/>
      <c r="C1183" s="1819"/>
      <c r="D1183" s="1819"/>
      <c r="E1183" s="1819"/>
      <c r="F1183" s="1819"/>
    </row>
    <row r="1184" spans="1:6" ht="15.75" customHeight="1">
      <c r="A1184" s="1819"/>
      <c r="B1184" s="1819"/>
      <c r="C1184" s="1819"/>
      <c r="D1184" s="1819"/>
      <c r="E1184" s="1819"/>
      <c r="F1184" s="1819"/>
    </row>
    <row r="1185" spans="1:6" ht="15.75" customHeight="1">
      <c r="A1185" s="1819"/>
      <c r="B1185" s="1819"/>
      <c r="C1185" s="1819"/>
      <c r="D1185" s="1819"/>
      <c r="E1185" s="1819"/>
      <c r="F1185" s="1819"/>
    </row>
    <row r="1186" spans="1:6" ht="15.75" customHeight="1">
      <c r="A1186" s="1819"/>
      <c r="B1186" s="1819"/>
      <c r="C1186" s="1819"/>
      <c r="D1186" s="1819"/>
      <c r="E1186" s="1819"/>
      <c r="F1186" s="1819"/>
    </row>
    <row r="1187" spans="1:6" ht="15.75" customHeight="1">
      <c r="A1187" s="1819"/>
      <c r="B1187" s="1819"/>
      <c r="C1187" s="1819"/>
      <c r="D1187" s="1819"/>
      <c r="E1187" s="1819"/>
      <c r="F1187" s="1819"/>
    </row>
    <row r="1188" spans="1:6" ht="15.75" customHeight="1">
      <c r="A1188" s="1819"/>
      <c r="B1188" s="1819"/>
      <c r="C1188" s="1819"/>
      <c r="D1188" s="1819"/>
      <c r="E1188" s="1819"/>
      <c r="F1188" s="1819"/>
    </row>
    <row r="1189" spans="1:6" ht="15.75" customHeight="1">
      <c r="A1189" s="1819"/>
      <c r="B1189" s="1819"/>
      <c r="C1189" s="1819"/>
      <c r="D1189" s="1819"/>
      <c r="E1189" s="1819"/>
      <c r="F1189" s="1819"/>
    </row>
    <row r="1190" spans="1:6" ht="15.75" customHeight="1">
      <c r="A1190" s="1819"/>
      <c r="B1190" s="1819"/>
      <c r="C1190" s="1819"/>
      <c r="D1190" s="1819"/>
      <c r="E1190" s="1819"/>
      <c r="F1190" s="1819"/>
    </row>
    <row r="1191" spans="1:6" ht="15.75" customHeight="1">
      <c r="A1191" s="1819"/>
      <c r="B1191" s="1819"/>
      <c r="C1191" s="1819"/>
      <c r="D1191" s="1819"/>
      <c r="E1191" s="1819"/>
      <c r="F1191" s="1819"/>
    </row>
    <row r="1192" spans="1:6" ht="15.75" customHeight="1">
      <c r="A1192" s="1819"/>
      <c r="B1192" s="1819"/>
      <c r="C1192" s="1819"/>
      <c r="D1192" s="1819"/>
      <c r="E1192" s="1819"/>
      <c r="F1192" s="1819"/>
    </row>
    <row r="1193" spans="1:6" ht="15.75" customHeight="1">
      <c r="A1193" s="1819"/>
      <c r="B1193" s="1819"/>
      <c r="C1193" s="1819"/>
      <c r="D1193" s="1819"/>
      <c r="E1193" s="1819"/>
      <c r="F1193" s="1819"/>
    </row>
    <row r="1194" spans="1:6" ht="15.75" customHeight="1">
      <c r="A1194" s="1819"/>
      <c r="B1194" s="1819"/>
      <c r="C1194" s="1819"/>
      <c r="D1194" s="1819"/>
      <c r="E1194" s="1819"/>
      <c r="F1194" s="1819"/>
    </row>
    <row r="1195" spans="1:6" ht="15.75" customHeight="1">
      <c r="A1195" s="1819"/>
      <c r="B1195" s="1819"/>
      <c r="C1195" s="1819"/>
      <c r="D1195" s="1819"/>
      <c r="E1195" s="1819"/>
      <c r="F1195" s="1819"/>
    </row>
    <row r="1196" spans="1:6" ht="15.75" customHeight="1">
      <c r="A1196" s="1819"/>
      <c r="B1196" s="1819"/>
      <c r="C1196" s="1819"/>
      <c r="D1196" s="1819"/>
      <c r="E1196" s="1819"/>
      <c r="F1196" s="1819"/>
    </row>
    <row r="1197" spans="1:6" ht="15.75" customHeight="1">
      <c r="A1197" s="1819"/>
      <c r="B1197" s="1819"/>
      <c r="C1197" s="1819"/>
      <c r="D1197" s="1819"/>
      <c r="E1197" s="1819"/>
      <c r="F1197" s="1819"/>
    </row>
    <row r="1198" spans="1:6" ht="15.75" customHeight="1">
      <c r="A1198" s="1819"/>
      <c r="B1198" s="1819"/>
      <c r="C1198" s="1819"/>
      <c r="D1198" s="1819"/>
      <c r="E1198" s="1819"/>
      <c r="F1198" s="1819"/>
    </row>
    <row r="1199" spans="1:6" ht="15.75" customHeight="1">
      <c r="A1199" s="1819"/>
      <c r="B1199" s="1819"/>
      <c r="C1199" s="1819"/>
      <c r="D1199" s="1819"/>
      <c r="E1199" s="1819"/>
      <c r="F1199" s="1819"/>
    </row>
    <row r="1200" spans="1:6" ht="15.75" customHeight="1">
      <c r="A1200" s="1819"/>
      <c r="B1200" s="1819"/>
      <c r="C1200" s="1819"/>
      <c r="D1200" s="1819"/>
      <c r="E1200" s="1819"/>
      <c r="F1200" s="1819"/>
    </row>
    <row r="1201" spans="1:6" ht="15.75" customHeight="1">
      <c r="A1201" s="1819"/>
      <c r="B1201" s="1819"/>
      <c r="C1201" s="1819"/>
      <c r="D1201" s="1819"/>
      <c r="E1201" s="1819"/>
      <c r="F1201" s="1819"/>
    </row>
    <row r="1202" spans="1:6" ht="15.75" customHeight="1">
      <c r="A1202" s="1819"/>
      <c r="B1202" s="1819"/>
      <c r="C1202" s="1819"/>
      <c r="D1202" s="1819"/>
      <c r="E1202" s="1819"/>
      <c r="F1202" s="1819"/>
    </row>
    <row r="1203" spans="1:6" ht="15.75" customHeight="1">
      <c r="A1203" s="1819"/>
      <c r="B1203" s="1819"/>
      <c r="C1203" s="1819"/>
      <c r="D1203" s="1819"/>
      <c r="E1203" s="1819"/>
      <c r="F1203" s="1819"/>
    </row>
    <row r="1204" spans="1:6" ht="15.75" customHeight="1">
      <c r="A1204" s="1819"/>
      <c r="B1204" s="1819"/>
      <c r="C1204" s="1819"/>
      <c r="D1204" s="1819"/>
      <c r="E1204" s="1819"/>
      <c r="F1204" s="1819"/>
    </row>
    <row r="1205" spans="1:6" ht="15.75" customHeight="1">
      <c r="A1205" s="1819"/>
      <c r="B1205" s="1819"/>
      <c r="C1205" s="1819"/>
      <c r="D1205" s="1819"/>
      <c r="E1205" s="1819"/>
      <c r="F1205" s="1819"/>
    </row>
    <row r="1206" spans="1:6" ht="15.75" customHeight="1">
      <c r="A1206" s="1819"/>
      <c r="B1206" s="1819"/>
      <c r="C1206" s="1819"/>
      <c r="D1206" s="1819"/>
      <c r="E1206" s="1819"/>
      <c r="F1206" s="1819"/>
    </row>
    <row r="1207" spans="1:6" ht="15.75" customHeight="1">
      <c r="A1207" s="1819"/>
      <c r="B1207" s="1819"/>
      <c r="C1207" s="1819"/>
      <c r="D1207" s="1819"/>
      <c r="E1207" s="1819"/>
      <c r="F1207" s="1819"/>
    </row>
    <row r="1208" spans="1:6" ht="15.75" customHeight="1">
      <c r="A1208" s="1819"/>
      <c r="B1208" s="1819"/>
      <c r="C1208" s="1819"/>
      <c r="D1208" s="1819"/>
      <c r="E1208" s="1819"/>
      <c r="F1208" s="1819"/>
    </row>
    <row r="1209" spans="1:6" ht="15.75" customHeight="1">
      <c r="A1209" s="1819"/>
      <c r="B1209" s="1819"/>
      <c r="C1209" s="1819"/>
      <c r="D1209" s="1819"/>
      <c r="E1209" s="1819"/>
      <c r="F1209" s="1819"/>
    </row>
    <row r="1210" spans="1:6" ht="15.75" customHeight="1">
      <c r="A1210" s="1819"/>
      <c r="B1210" s="1819"/>
      <c r="C1210" s="1819"/>
      <c r="D1210" s="1819"/>
      <c r="E1210" s="1819"/>
      <c r="F1210" s="1819"/>
    </row>
    <row r="1211" spans="1:6" ht="15.75" customHeight="1">
      <c r="A1211" s="1819"/>
      <c r="B1211" s="1819"/>
      <c r="C1211" s="1819"/>
      <c r="D1211" s="1819"/>
      <c r="E1211" s="1819"/>
      <c r="F1211" s="1819"/>
    </row>
    <row r="1212" spans="1:6" ht="15.75" customHeight="1">
      <c r="A1212" s="1819"/>
      <c r="B1212" s="1819"/>
      <c r="C1212" s="1819"/>
      <c r="D1212" s="1819"/>
      <c r="E1212" s="1819"/>
      <c r="F1212" s="1819"/>
    </row>
    <row r="1213" spans="1:6" ht="15.75" customHeight="1">
      <c r="A1213" s="1819"/>
      <c r="B1213" s="1819"/>
      <c r="C1213" s="1819"/>
      <c r="D1213" s="1819"/>
      <c r="E1213" s="1819"/>
      <c r="F1213" s="1819"/>
    </row>
    <row r="1214" spans="1:6" ht="15.75" customHeight="1">
      <c r="A1214" s="1819"/>
      <c r="B1214" s="1819"/>
      <c r="C1214" s="1819"/>
      <c r="D1214" s="1819"/>
      <c r="E1214" s="1819"/>
      <c r="F1214" s="1819"/>
    </row>
    <row r="1215" spans="1:6" ht="15.75" customHeight="1">
      <c r="A1215" s="1819"/>
      <c r="B1215" s="1819"/>
      <c r="C1215" s="1819"/>
      <c r="D1215" s="1819"/>
      <c r="E1215" s="1819"/>
      <c r="F1215" s="1819"/>
    </row>
    <row r="1216" spans="1:6" ht="15.75" customHeight="1">
      <c r="A1216" s="1819"/>
      <c r="B1216" s="1819"/>
      <c r="C1216" s="1819"/>
      <c r="D1216" s="1819"/>
      <c r="E1216" s="1819"/>
      <c r="F1216" s="1819"/>
    </row>
    <row r="1217" spans="1:6" ht="15.75" customHeight="1">
      <c r="A1217" s="1819"/>
      <c r="B1217" s="1819"/>
      <c r="C1217" s="1819"/>
      <c r="D1217" s="1819"/>
      <c r="E1217" s="1819"/>
      <c r="F1217" s="1819"/>
    </row>
    <row r="1218" spans="1:6" ht="15.75" customHeight="1">
      <c r="A1218" s="1819"/>
      <c r="B1218" s="1819"/>
      <c r="C1218" s="1819"/>
      <c r="D1218" s="1819"/>
      <c r="E1218" s="1819"/>
      <c r="F1218" s="1819"/>
    </row>
    <row r="1219" spans="1:6" ht="15.75" customHeight="1">
      <c r="A1219" s="1819"/>
      <c r="B1219" s="1819"/>
      <c r="C1219" s="1819"/>
      <c r="D1219" s="1819"/>
      <c r="E1219" s="1819"/>
      <c r="F1219" s="1819"/>
    </row>
    <row r="1220" spans="1:6" ht="15.75" customHeight="1">
      <c r="A1220" s="1819"/>
      <c r="B1220" s="1819"/>
      <c r="C1220" s="1819"/>
      <c r="D1220" s="1819"/>
      <c r="E1220" s="1819"/>
      <c r="F1220" s="1819"/>
    </row>
    <row r="1221" spans="1:6" ht="15.75" customHeight="1">
      <c r="A1221" s="1819"/>
      <c r="B1221" s="1819"/>
      <c r="C1221" s="1819"/>
      <c r="D1221" s="1819"/>
      <c r="E1221" s="1819"/>
      <c r="F1221" s="1819"/>
    </row>
    <row r="1222" spans="1:6" ht="15.75" customHeight="1">
      <c r="A1222" s="1819"/>
      <c r="B1222" s="1819"/>
      <c r="C1222" s="1819"/>
      <c r="D1222" s="1819"/>
      <c r="E1222" s="1819"/>
      <c r="F1222" s="1819"/>
    </row>
    <row r="1223" spans="1:6" ht="15.75" customHeight="1">
      <c r="A1223" s="1819"/>
      <c r="B1223" s="1819"/>
      <c r="C1223" s="1819"/>
      <c r="D1223" s="1819"/>
      <c r="E1223" s="1819"/>
      <c r="F1223" s="1819"/>
    </row>
    <row r="1224" spans="1:6" ht="15.75" customHeight="1">
      <c r="A1224" s="1819"/>
      <c r="B1224" s="1819"/>
      <c r="C1224" s="1819"/>
      <c r="D1224" s="1819"/>
      <c r="E1224" s="1819"/>
      <c r="F1224" s="1819"/>
    </row>
    <row r="1225" spans="1:6" ht="15.75" customHeight="1">
      <c r="A1225" s="1819"/>
      <c r="B1225" s="1819"/>
      <c r="C1225" s="1819"/>
      <c r="D1225" s="1819"/>
      <c r="E1225" s="1819"/>
      <c r="F1225" s="1819"/>
    </row>
    <row r="1226" spans="1:6" ht="15.75" customHeight="1">
      <c r="A1226" s="1819"/>
      <c r="B1226" s="1819"/>
      <c r="C1226" s="1819"/>
      <c r="D1226" s="1819"/>
      <c r="E1226" s="1819"/>
      <c r="F1226" s="1819"/>
    </row>
    <row r="1227" spans="1:6" ht="15.75" customHeight="1">
      <c r="A1227" s="1819"/>
      <c r="B1227" s="1819"/>
      <c r="C1227" s="1819"/>
      <c r="D1227" s="1819"/>
      <c r="E1227" s="1819"/>
      <c r="F1227" s="1819"/>
    </row>
    <row r="1228" spans="1:6" ht="15.75" customHeight="1">
      <c r="A1228" s="1819"/>
      <c r="B1228" s="1819"/>
      <c r="C1228" s="1819"/>
      <c r="D1228" s="1819"/>
      <c r="E1228" s="1819"/>
      <c r="F1228" s="1819"/>
    </row>
    <row r="1229" spans="1:6" ht="15.75" customHeight="1">
      <c r="A1229" s="1819"/>
      <c r="B1229" s="1819"/>
      <c r="C1229" s="1819"/>
      <c r="D1229" s="1819"/>
      <c r="E1229" s="1819"/>
      <c r="F1229" s="1819"/>
    </row>
    <row r="1230" spans="1:6" ht="15.75" customHeight="1">
      <c r="A1230" s="1819"/>
      <c r="B1230" s="1819"/>
      <c r="C1230" s="1819"/>
      <c r="D1230" s="1819"/>
      <c r="E1230" s="1819"/>
      <c r="F1230" s="1819"/>
    </row>
    <row r="1231" spans="1:6" ht="15.75" customHeight="1">
      <c r="A1231" s="1819"/>
      <c r="B1231" s="1819"/>
      <c r="C1231" s="1819"/>
      <c r="D1231" s="1819"/>
      <c r="E1231" s="1819"/>
      <c r="F1231" s="1819"/>
    </row>
    <row r="1232" spans="1:6" ht="15.75" customHeight="1">
      <c r="A1232" s="1819"/>
      <c r="B1232" s="1819"/>
      <c r="C1232" s="1819"/>
      <c r="D1232" s="1819"/>
      <c r="E1232" s="1819"/>
      <c r="F1232" s="1819"/>
    </row>
    <row r="1233" spans="1:6" ht="15.75" customHeight="1">
      <c r="A1233" s="1819"/>
      <c r="B1233" s="1819"/>
      <c r="C1233" s="1819"/>
      <c r="D1233" s="1819"/>
      <c r="E1233" s="1819"/>
      <c r="F1233" s="1819"/>
    </row>
    <row r="1234" spans="1:6" ht="15.75" customHeight="1">
      <c r="A1234" s="1819"/>
      <c r="B1234" s="1819"/>
      <c r="C1234" s="1819"/>
      <c r="D1234" s="1819"/>
      <c r="E1234" s="1819"/>
      <c r="F1234" s="1819"/>
    </row>
    <row r="1235" spans="1:6" ht="15.75" customHeight="1">
      <c r="A1235" s="1819"/>
      <c r="B1235" s="1819"/>
      <c r="C1235" s="1819"/>
      <c r="D1235" s="1819"/>
      <c r="E1235" s="1819"/>
      <c r="F1235" s="1819"/>
    </row>
    <row r="1236" spans="1:6" ht="15.75" customHeight="1">
      <c r="A1236" s="1819"/>
      <c r="B1236" s="1819"/>
      <c r="C1236" s="1819"/>
      <c r="D1236" s="1819"/>
      <c r="E1236" s="1819"/>
      <c r="F1236" s="1819"/>
    </row>
    <row r="1237" spans="1:6" ht="15.75" customHeight="1">
      <c r="A1237" s="1819"/>
      <c r="B1237" s="1819"/>
      <c r="C1237" s="1819"/>
      <c r="D1237" s="1819"/>
      <c r="E1237" s="1819"/>
      <c r="F1237" s="1819"/>
    </row>
    <row r="1238" spans="1:6" ht="15.75" customHeight="1">
      <c r="A1238" s="1819"/>
      <c r="B1238" s="1819"/>
      <c r="C1238" s="1819"/>
      <c r="D1238" s="1819"/>
      <c r="E1238" s="1819"/>
      <c r="F1238" s="1819"/>
    </row>
    <row r="1239" spans="1:6" ht="15.75" customHeight="1">
      <c r="A1239" s="1819"/>
      <c r="B1239" s="1819"/>
      <c r="C1239" s="1819"/>
      <c r="D1239" s="1819"/>
      <c r="E1239" s="1819"/>
      <c r="F1239" s="1819"/>
    </row>
    <row r="1240" spans="1:6" ht="15.75" customHeight="1">
      <c r="A1240" s="1819"/>
      <c r="B1240" s="1819"/>
      <c r="C1240" s="1819"/>
      <c r="D1240" s="1819"/>
      <c r="E1240" s="1819"/>
      <c r="F1240" s="1819"/>
    </row>
    <row r="1241" spans="1:6" ht="15.75" customHeight="1">
      <c r="A1241" s="1819"/>
      <c r="B1241" s="1819"/>
      <c r="C1241" s="1819"/>
      <c r="D1241" s="1819"/>
      <c r="E1241" s="1819"/>
      <c r="F1241" s="1819"/>
    </row>
    <row r="1242" spans="1:6" ht="15.75" customHeight="1">
      <c r="A1242" s="1819"/>
      <c r="B1242" s="1819"/>
      <c r="C1242" s="1819"/>
      <c r="D1242" s="1819"/>
      <c r="E1242" s="1819"/>
      <c r="F1242" s="1819"/>
    </row>
    <row r="1243" spans="1:6" ht="15.75" customHeight="1">
      <c r="A1243" s="1819"/>
      <c r="B1243" s="1819"/>
      <c r="C1243" s="1819"/>
      <c r="D1243" s="1819"/>
      <c r="E1243" s="1819"/>
      <c r="F1243" s="1819"/>
    </row>
    <row r="1244" spans="1:6" ht="15.75" customHeight="1">
      <c r="A1244" s="1819"/>
      <c r="B1244" s="1819"/>
      <c r="C1244" s="1819"/>
      <c r="D1244" s="1819"/>
      <c r="E1244" s="1819"/>
      <c r="F1244" s="1819"/>
    </row>
    <row r="1245" spans="1:6" ht="15.75" customHeight="1">
      <c r="A1245" s="1819"/>
      <c r="B1245" s="1819"/>
      <c r="C1245" s="1819"/>
      <c r="D1245" s="1819"/>
      <c r="E1245" s="1819"/>
      <c r="F1245" s="1819"/>
    </row>
    <row r="1246" spans="1:6" ht="15.75" customHeight="1">
      <c r="A1246" s="1819"/>
      <c r="B1246" s="1819"/>
      <c r="C1246" s="1819"/>
      <c r="D1246" s="1819"/>
      <c r="E1246" s="1819"/>
      <c r="F1246" s="1819"/>
    </row>
    <row r="1247" spans="1:6" ht="15.75" customHeight="1">
      <c r="A1247" s="1819"/>
      <c r="B1247" s="1819"/>
      <c r="C1247" s="1819"/>
      <c r="D1247" s="1819"/>
      <c r="E1247" s="1819"/>
      <c r="F1247" s="1819"/>
    </row>
    <row r="1248" spans="1:6" ht="15.75" customHeight="1">
      <c r="A1248" s="1819"/>
      <c r="B1248" s="1819"/>
      <c r="C1248" s="1819"/>
      <c r="D1248" s="1819"/>
      <c r="E1248" s="1819"/>
      <c r="F1248" s="1819"/>
    </row>
    <row r="1249" ht="14.5"/>
  </sheetData>
  <autoFilter ref="A1:K177" xr:uid="{00000000-0009-0000-0000-00001E000000}"/>
  <phoneticPr fontId="53" type="noConversion"/>
  <conditionalFormatting sqref="E1249:F1048576 E1:F2 E3:E28 E31 E33:E37 E41:E76 E115:E159 F3:F416 E78:E113">
    <cfRule type="containsText" dxfId="94" priority="8" operator="containsText" text="2021">
      <formula>NOT(ISERROR(SEARCH("2021",E1)))</formula>
    </cfRule>
  </conditionalFormatting>
  <conditionalFormatting sqref="E387">
    <cfRule type="containsText" dxfId="93" priority="6" operator="containsText" text="2021">
      <formula>NOT(ISERROR(SEARCH("2021",E387)))</formula>
    </cfRule>
  </conditionalFormatting>
  <conditionalFormatting sqref="E388">
    <cfRule type="containsText" dxfId="92" priority="5" operator="containsText" text="2021">
      <formula>NOT(ISERROR(SEARCH("2021",E388)))</formula>
    </cfRule>
  </conditionalFormatting>
  <conditionalFormatting sqref="E160:E206 E208:E228 E231:E386">
    <cfRule type="containsText" dxfId="91" priority="7" operator="containsText" text="2021">
      <formula>NOT(ISERROR(SEARCH("2021",E160)))</formula>
    </cfRule>
  </conditionalFormatting>
  <conditionalFormatting sqref="E408">
    <cfRule type="containsText" dxfId="90" priority="4" operator="containsText" text="2021">
      <formula>NOT(ISERROR(SEARCH("2021",E408)))</formula>
    </cfRule>
  </conditionalFormatting>
  <conditionalFormatting sqref="E409">
    <cfRule type="containsText" dxfId="89" priority="3" operator="containsText" text="2021">
      <formula>NOT(ISERROR(SEARCH("2021",E409)))</formula>
    </cfRule>
  </conditionalFormatting>
  <conditionalFormatting sqref="E29:E30">
    <cfRule type="containsText" dxfId="88" priority="2" operator="containsText" text="2021">
      <formula>NOT(ISERROR(SEARCH("2021",E29)))</formula>
    </cfRule>
  </conditionalFormatting>
  <conditionalFormatting sqref="E229:E230">
    <cfRule type="containsText" dxfId="87" priority="1" operator="containsText" text="2021">
      <formula>NOT(ISERROR(SEARCH("2021",E229)))</formula>
    </cfRule>
  </conditionalFormatting>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工作表11">
    <tabColor rgb="FF297D6B"/>
    <pageSetUpPr fitToPage="1"/>
  </sheetPr>
  <dimension ref="A1:AP82"/>
  <sheetViews>
    <sheetView workbookViewId="0"/>
  </sheetViews>
  <sheetFormatPr defaultColWidth="8.85546875" defaultRowHeight="15.5"/>
  <cols>
    <col min="1" max="1" width="5" style="55" customWidth="1"/>
    <col min="2" max="2" width="13.0703125" style="55" customWidth="1"/>
    <col min="3" max="3" width="5.640625" style="55" customWidth="1"/>
    <col min="4" max="4" width="10.0703125" style="55" customWidth="1"/>
    <col min="5" max="5" width="10.2109375" style="55" customWidth="1"/>
    <col min="6" max="6" width="4.28515625" style="55" customWidth="1"/>
    <col min="7" max="7" width="21.85546875" style="55" customWidth="1"/>
    <col min="8" max="8" width="9.2109375" style="55" bestFit="1" customWidth="1"/>
    <col min="9" max="9" width="15.2109375" style="55" customWidth="1"/>
    <col min="10" max="10" width="16.640625" style="55" bestFit="1" customWidth="1"/>
    <col min="11" max="11" width="18.640625" style="55" customWidth="1"/>
    <col min="12" max="13" width="18.42578125" style="55" customWidth="1"/>
    <col min="14" max="14" width="17.28515625" style="55" customWidth="1"/>
    <col min="15" max="15" width="20" style="55" customWidth="1"/>
    <col min="16" max="16" width="10" style="506" customWidth="1"/>
    <col min="17" max="17" width="5.42578125" style="506" customWidth="1"/>
    <col min="18" max="18" width="12.42578125" style="55" customWidth="1"/>
    <col min="19" max="20" width="5.42578125" style="55" customWidth="1"/>
    <col min="21" max="21" width="12.42578125" style="55" customWidth="1"/>
    <col min="22" max="22" width="1.85546875" style="55" customWidth="1"/>
    <col min="23" max="23" width="2.0703125" style="55" customWidth="1"/>
    <col min="24" max="24" width="0.85546875" style="55" customWidth="1"/>
    <col min="25" max="25" width="16.640625" style="55" bestFit="1" customWidth="1"/>
    <col min="26" max="26" width="4.640625" style="55" customWidth="1"/>
    <col min="27" max="28" width="13.2109375" style="55" customWidth="1"/>
    <col min="29" max="29" width="2.85546875" style="55" customWidth="1"/>
    <col min="30" max="30" width="5.85546875" style="55" customWidth="1"/>
    <col min="31" max="31" width="19.640625" style="55" hidden="1" customWidth="1"/>
    <col min="32" max="33" width="19.0703125" style="55" hidden="1" customWidth="1"/>
    <col min="34" max="34" width="18.42578125" style="55" hidden="1" customWidth="1"/>
    <col min="35" max="35" width="3.42578125" style="55" customWidth="1"/>
    <col min="36" max="36" width="8.85546875" style="55" customWidth="1"/>
    <col min="37" max="37" width="17.640625" style="55" customWidth="1"/>
    <col min="38" max="41" width="8.85546875" style="55" customWidth="1"/>
    <col min="42" max="51" width="8.85546875" style="55"/>
    <col min="52" max="60" width="0" style="55" hidden="1" customWidth="1"/>
    <col min="61" max="113" width="8.85546875" style="55"/>
    <col min="114" max="114" width="8.85546875" style="55" customWidth="1"/>
    <col min="115" max="16384" width="8.85546875" style="55"/>
  </cols>
  <sheetData>
    <row r="1" spans="1:37" ht="31.75" customHeight="1">
      <c r="B1" s="697"/>
      <c r="C1" s="697"/>
      <c r="D1" s="697"/>
      <c r="E1" s="697"/>
      <c r="F1" s="697"/>
      <c r="G1" s="697"/>
      <c r="H1" s="697"/>
      <c r="I1" s="697"/>
      <c r="J1" s="697"/>
      <c r="K1" s="697"/>
      <c r="L1" s="697"/>
      <c r="M1" s="697"/>
      <c r="N1" s="697"/>
      <c r="O1" s="697"/>
      <c r="P1" s="697"/>
      <c r="Q1" s="697"/>
      <c r="R1" s="697"/>
      <c r="S1" s="697"/>
      <c r="T1" s="697"/>
      <c r="U1" s="697"/>
      <c r="W1" s="505"/>
      <c r="X1" s="505"/>
      <c r="Y1" s="505"/>
      <c r="Z1" s="505"/>
      <c r="AA1" s="505"/>
      <c r="AB1" s="505"/>
      <c r="AC1" s="505"/>
    </row>
    <row r="2" spans="1:37" ht="41.15" customHeight="1">
      <c r="A2" s="417"/>
      <c r="B2" s="2312" t="str">
        <f>IF(MF_Pro=2,"海 外 債 券 投 資 商 品 庫 存 專 區 (Pro 精 算 版)","海 外 債 券 投 資 商 品 庫 存 專 區 (Pro)")</f>
        <v>海 外 債 券 投 資 商 品 庫 存 專 區 (Pro)</v>
      </c>
      <c r="C2" s="2312"/>
      <c r="D2" s="2312"/>
      <c r="E2" s="2312"/>
      <c r="F2" s="2312"/>
      <c r="G2" s="2312"/>
      <c r="H2" s="2312"/>
      <c r="I2" s="2312"/>
      <c r="J2" s="2312"/>
      <c r="K2" s="2312"/>
      <c r="L2" s="2312"/>
      <c r="M2" s="2312"/>
      <c r="N2" s="2312"/>
      <c r="O2" s="2312"/>
      <c r="P2" s="2312"/>
      <c r="Q2" s="2312"/>
      <c r="R2" s="2312"/>
      <c r="S2" s="2312"/>
      <c r="T2" s="2312"/>
      <c r="U2" s="2312"/>
      <c r="W2" s="505"/>
      <c r="X2" s="505"/>
      <c r="Y2" s="505"/>
      <c r="Z2" s="505"/>
      <c r="AA2" s="505"/>
      <c r="AB2" s="505"/>
      <c r="AC2" s="505"/>
    </row>
    <row r="3" spans="1:37" ht="8.5" customHeight="1">
      <c r="A3" s="417"/>
      <c r="B3" s="493"/>
      <c r="C3" s="493"/>
      <c r="D3" s="493"/>
      <c r="E3" s="493"/>
      <c r="F3" s="493"/>
      <c r="G3" s="493"/>
      <c r="H3" s="493"/>
      <c r="I3" s="493"/>
      <c r="J3" s="493"/>
      <c r="K3" s="493"/>
      <c r="L3" s="493"/>
      <c r="M3" s="493"/>
      <c r="N3" s="493"/>
      <c r="O3" s="463"/>
      <c r="P3" s="463"/>
      <c r="Q3" s="463"/>
      <c r="W3" s="505"/>
      <c r="X3" s="505"/>
      <c r="Y3" s="505"/>
      <c r="Z3" s="505"/>
      <c r="AA3" s="505"/>
      <c r="AB3" s="505"/>
      <c r="AC3" s="505"/>
    </row>
    <row r="4" spans="1:37" ht="24" customHeight="1" thickBot="1">
      <c r="B4" s="2314" t="s">
        <v>2073</v>
      </c>
      <c r="C4" s="2314"/>
      <c r="D4" s="2314"/>
      <c r="E4" s="2314"/>
      <c r="F4" s="2314"/>
      <c r="G4" s="2314"/>
      <c r="H4" s="2314"/>
      <c r="I4" s="2314"/>
      <c r="J4" s="2314"/>
      <c r="K4" s="2314"/>
      <c r="L4" s="2314"/>
      <c r="M4" s="2314"/>
      <c r="N4" s="2314"/>
      <c r="O4" s="2314"/>
      <c r="P4" s="2314"/>
      <c r="Q4" s="2314"/>
      <c r="R4" s="2315" t="s">
        <v>122</v>
      </c>
      <c r="S4" s="2315"/>
      <c r="T4" s="2315"/>
      <c r="U4" s="416">
        <f>投資商品現金流試算表!N4</f>
        <v>45474</v>
      </c>
      <c r="W4" s="505"/>
      <c r="X4" s="505"/>
      <c r="Y4" s="505"/>
      <c r="Z4" s="505"/>
      <c r="AA4" s="505"/>
      <c r="AB4" s="505"/>
      <c r="AC4" s="505"/>
    </row>
    <row r="5" spans="1:37" ht="30.75" customHeight="1">
      <c r="B5" s="2280" t="s">
        <v>1341</v>
      </c>
      <c r="C5" s="2276" t="s">
        <v>123</v>
      </c>
      <c r="D5" s="2276"/>
      <c r="E5" s="2276"/>
      <c r="F5" s="2276"/>
      <c r="G5" s="2276"/>
      <c r="H5" s="2283" t="s">
        <v>2133</v>
      </c>
      <c r="I5" s="2281" t="s">
        <v>2161</v>
      </c>
      <c r="J5" s="2313" t="s">
        <v>1939</v>
      </c>
      <c r="K5" s="2281" t="s">
        <v>2140</v>
      </c>
      <c r="L5" s="649" t="s">
        <v>2045</v>
      </c>
      <c r="M5" s="2289" t="s">
        <v>2225</v>
      </c>
      <c r="N5" s="2289"/>
      <c r="O5" s="2289"/>
      <c r="P5" s="2285" t="s">
        <v>2160</v>
      </c>
      <c r="Q5" s="2286"/>
      <c r="R5" s="2278" t="s">
        <v>2259</v>
      </c>
      <c r="S5" s="2278"/>
      <c r="T5" s="2278"/>
      <c r="U5" s="2279"/>
      <c r="W5" s="505"/>
      <c r="X5" s="505"/>
      <c r="Y5" s="505"/>
      <c r="Z5" s="505"/>
      <c r="AA5" s="505"/>
      <c r="AB5" s="505"/>
      <c r="AC5" s="673"/>
    </row>
    <row r="6" spans="1:37" ht="30.75" customHeight="1">
      <c r="B6" s="2102"/>
      <c r="C6" s="2094"/>
      <c r="D6" s="2094"/>
      <c r="E6" s="2094"/>
      <c r="F6" s="2094"/>
      <c r="G6" s="2094"/>
      <c r="H6" s="2284"/>
      <c r="I6" s="2282"/>
      <c r="J6" s="2282"/>
      <c r="K6" s="2282"/>
      <c r="L6" s="650" t="s">
        <v>2046</v>
      </c>
      <c r="M6" s="651" t="s">
        <v>2156</v>
      </c>
      <c r="N6" s="651" t="s">
        <v>2157</v>
      </c>
      <c r="O6" s="651" t="s">
        <v>2112</v>
      </c>
      <c r="P6" s="2287"/>
      <c r="Q6" s="2288"/>
      <c r="R6" s="653" t="s">
        <v>2134</v>
      </c>
      <c r="S6" s="2108" t="s">
        <v>2132</v>
      </c>
      <c r="T6" s="2108"/>
      <c r="U6" s="652" t="s">
        <v>2135</v>
      </c>
      <c r="W6" s="505"/>
      <c r="X6" s="505"/>
      <c r="Y6" s="505"/>
      <c r="Z6" s="505"/>
      <c r="AA6" s="505"/>
      <c r="AB6" s="505"/>
      <c r="AC6" s="674"/>
      <c r="AE6" s="608" t="s">
        <v>1938</v>
      </c>
      <c r="AF6" s="608" t="s">
        <v>2154</v>
      </c>
      <c r="AG6" s="609" t="s">
        <v>2155</v>
      </c>
      <c r="AH6" s="609" t="s">
        <v>2167</v>
      </c>
    </row>
    <row r="7" spans="1:37" ht="31" customHeight="1">
      <c r="B7" s="598" t="s">
        <v>837</v>
      </c>
      <c r="C7" s="1990" t="str">
        <f ca="1">IF(開關=TRUE,IFERROR(VLOOKUP(B7,bond!B:C,2,FALSE),""),"")</f>
        <v>印尼國家電力公司美元配息債券 4.875% 2049/7/17</v>
      </c>
      <c r="D7" s="1990"/>
      <c r="E7" s="1990"/>
      <c r="F7" s="1990"/>
      <c r="G7" s="1990"/>
      <c r="H7" s="599" t="str">
        <f ca="1">IF(開關=TRUE,庫存Pro[[#This Row],[幣別]],"")</f>
        <v>USD</v>
      </c>
      <c r="I7" s="647">
        <v>20230830</v>
      </c>
      <c r="J7" s="597">
        <v>500000</v>
      </c>
      <c r="K7" s="648">
        <v>405888</v>
      </c>
      <c r="L7" s="686">
        <f ca="1">IF(OR(B7="",I7=""),"",IFERROR(庫存Pro[[#This Row],[部位現值(含前手息)]],""))</f>
        <v>414122</v>
      </c>
      <c r="M7" s="687">
        <f ca="1">IF(OR(B7="",I7="",開關=FALSE),"",IF(MF_Pro=2,IFERROR(庫存Pro[[#This Row],[累計配息]],""),IFERROR(庫存Pro[[#This Row],[已實現配息(原幣)]],"")))</f>
        <v>12187.5</v>
      </c>
      <c r="N7" s="688">
        <f ca="1">IF(OR(B7="",I7=""),"",IFERROR(庫存Pro[[#This Row],[資本利損]],""))</f>
        <v>8234</v>
      </c>
      <c r="O7" s="689">
        <f ca="1">IF(OR(B7="",I7=""),"",IFERROR(庫存Pro[[#This Row],[合計收益]],""))</f>
        <v>20421.5</v>
      </c>
      <c r="P7" s="2078">
        <f ca="1">IF(OR(B7="",I7=""),"",庫存Pro[[#This Row],[總報酬]])</f>
        <v>5.0313140570797853E-2</v>
      </c>
      <c r="Q7" s="2079"/>
      <c r="R7" s="685">
        <f ca="1">IF(OR(B7="",I7=""),"",IFERROR(庫存Pro[[#This Row],[投入佔比]],0))</f>
        <v>0.32395778128252445</v>
      </c>
      <c r="S7" s="2073">
        <f ca="1">IF(OR(B7="",I7=""),0,ROUND(U7,3)-ROUND(R7,3))</f>
        <v>7.0000000000000062E-3</v>
      </c>
      <c r="T7" s="2073"/>
      <c r="U7" s="654">
        <f ca="1">IF(OR(B7="",I7=""),"",IFERROR(庫存Pro[[#This Row],[現值佔比]],""))</f>
        <v>0.33094253836943421</v>
      </c>
      <c r="V7" s="601"/>
      <c r="W7" s="606"/>
      <c r="X7" s="606"/>
      <c r="Y7" s="505"/>
      <c r="Z7" s="505"/>
      <c r="AA7" s="505"/>
      <c r="AB7" s="505"/>
      <c r="AC7" s="675"/>
      <c r="AE7" s="610">
        <f>IFERROR(DATE(LEFT(I7,4),MID(I7,5,2),RIGHT(I7,2)),0)</f>
        <v>45168</v>
      </c>
      <c r="AF7" s="610">
        <f ca="1">IFERROR(DATEVALUE(VLOOKUP(B7,'銀行-TSS'!B:AL,37,FALSE)),VLOOKUP(B7,'銀行-TSS'!B:AL,37,FALSE))</f>
        <v>43663</v>
      </c>
      <c r="AG7" s="517">
        <f ca="1">VLOOKUP(B7,'銀行-TSS'!B:N,13,FALSE)</f>
        <v>200000</v>
      </c>
      <c r="AH7" s="621">
        <f ca="1">VLOOKUP(B7,'銀行-TSS'!B:O,14,FALSE)</f>
        <v>1000</v>
      </c>
    </row>
    <row r="8" spans="1:37" ht="31" customHeight="1">
      <c r="B8" s="598" t="s">
        <v>1078</v>
      </c>
      <c r="C8" s="1990" t="str">
        <f ca="1">IF(開關=TRUE,IFERROR(VLOOKUP(B8,bond!B:C,2,FALSE),""),"")</f>
        <v>Unum集團美元配息債券 4.125% 2051/6/15</v>
      </c>
      <c r="D8" s="1990"/>
      <c r="E8" s="1990"/>
      <c r="F8" s="1990"/>
      <c r="G8" s="1990"/>
      <c r="H8" s="599" t="str">
        <f ca="1">IF(開關=TRUE,庫存Pro[[#This Row],[幣別]],"")</f>
        <v>USD</v>
      </c>
      <c r="I8" s="647">
        <v>20230830</v>
      </c>
      <c r="J8" s="597">
        <v>500000</v>
      </c>
      <c r="K8" s="648">
        <v>356512</v>
      </c>
      <c r="L8" s="686">
        <f ca="1">IF(OR(B8="",I8=""),"",IFERROR(庫存Pro[[#This Row],[部位現值(含前手息)]],""))</f>
        <v>363724</v>
      </c>
      <c r="M8" s="687">
        <f ca="1">IF(OR(B8="",I8="",開關=FALSE),"",IF(MF_Pro=2,IFERROR(庫存Pro[[#This Row],[累計配息]],""),IFERROR(庫存Pro[[#This Row],[已實現配息(原幣)]],"")))</f>
        <v>20625</v>
      </c>
      <c r="N8" s="688">
        <f ca="1">IF(OR(B8="",I8=""),"",IFERROR(庫存Pro[[#This Row],[資本利損]],""))</f>
        <v>7212</v>
      </c>
      <c r="O8" s="689">
        <f ca="1">IF(OR(B8="",I8=""),"",IFERROR(庫存Pro[[#This Row],[合計收益]],""))</f>
        <v>27837</v>
      </c>
      <c r="P8" s="2078">
        <f ca="1">IF(OR(B8="",I8=""),"",庫存Pro[[#This Row],[總報酬]])</f>
        <v>7.8081523202585046E-2</v>
      </c>
      <c r="Q8" s="2079"/>
      <c r="R8" s="685">
        <f ca="1">IF(OR(B8="",I8=""),"",IFERROR(庫存Pro[[#This Row],[投入佔比]],0))</f>
        <v>0.28454853683921516</v>
      </c>
      <c r="S8" s="2073">
        <f t="shared" ref="S8:S18" ca="1" si="0">IF(OR(B8="",I8=""),0,ROUND(U8,3)-ROUND(R8,3))</f>
        <v>6.0000000000000053E-3</v>
      </c>
      <c r="T8" s="2073"/>
      <c r="U8" s="654">
        <f ca="1">IF(OR(B8="",I8=""),"",IFERROR(庫存Pro[[#This Row],[現值佔比]],""))</f>
        <v>0.29066734881480361</v>
      </c>
      <c r="V8" s="601"/>
      <c r="W8" s="606"/>
      <c r="X8" s="606"/>
      <c r="Y8" s="505"/>
      <c r="Z8" s="505"/>
      <c r="AA8" s="505"/>
      <c r="AB8" s="505"/>
      <c r="AC8" s="675"/>
      <c r="AE8" s="610">
        <f t="shared" ref="AE8:AE36" si="1">IFERROR(DATE(LEFT(I8,4),MID(I8,5,2),RIGHT(I8,2)),0)</f>
        <v>45168</v>
      </c>
      <c r="AF8" s="610">
        <f ca="1">IFERROR(DATEVALUE(VLOOKUP(B8,'銀行-TSS'!B:AL,37,FALSE)),VLOOKUP(B8,'銀行-TSS'!B:AL,37,FALSE))</f>
        <v>44361</v>
      </c>
      <c r="AG8" s="517">
        <f ca="1">VLOOKUP(B8,'銀行-TSS'!B:N,13,FALSE)</f>
        <v>10000</v>
      </c>
      <c r="AH8" s="621">
        <f ca="1">VLOOKUP(B8,'銀行-TSS'!B:O,14,FALSE)</f>
        <v>1000</v>
      </c>
    </row>
    <row r="9" spans="1:37" ht="31" customHeight="1">
      <c r="B9" s="598" t="s">
        <v>1061</v>
      </c>
      <c r="C9" s="1990" t="str">
        <f ca="1">IF(開關=TRUE,IFERROR(VLOOKUP(B9,bond!B:C,2,FALSE),""),"")</f>
        <v>信諾公司美元配息債券 3.4% 2051/3/15</v>
      </c>
      <c r="D9" s="1990"/>
      <c r="E9" s="1990"/>
      <c r="F9" s="1990"/>
      <c r="G9" s="1990"/>
      <c r="H9" s="599" t="str">
        <f ca="1">IF(開關=TRUE,庫存Pro[[#This Row],[幣別]],"")</f>
        <v>USD</v>
      </c>
      <c r="I9" s="647">
        <v>20230830</v>
      </c>
      <c r="J9" s="597">
        <v>500000</v>
      </c>
      <c r="K9" s="648">
        <v>356012</v>
      </c>
      <c r="L9" s="686">
        <f ca="1">IF(OR(B9="",I9=""),"",IFERROR(庫存Pro[[#This Row],[部位現值(含前手息)]],""))</f>
        <v>340703</v>
      </c>
      <c r="M9" s="687">
        <f ca="1">IF(OR(B9="",I9="",開關=FALSE),"",IF(MF_Pro=2,IFERROR(庫存Pro[[#This Row],[累計配息]],""),IFERROR(庫存Pro[[#This Row],[已實現配息(原幣)]],"")))</f>
        <v>17000</v>
      </c>
      <c r="N9" s="688">
        <f ca="1">IF(OR(B9="",I9=""),"",IFERROR(庫存Pro[[#This Row],[資本利損]],""))</f>
        <v>-15309</v>
      </c>
      <c r="O9" s="689">
        <f ca="1">IF(OR(B9="",I9=""),"",IFERROR(庫存Pro[[#This Row],[合計收益]],""))</f>
        <v>1691</v>
      </c>
      <c r="P9" s="2078">
        <f ca="1">IF(OR(B9="",I9=""),"",庫存Pro[[#This Row],[總報酬]])</f>
        <v>4.749839893037313E-3</v>
      </c>
      <c r="Q9" s="2079"/>
      <c r="R9" s="685">
        <f ca="1">IF(OR(B9="",I9=""),"",IFERROR(庫存Pro[[#This Row],[投入佔比]],0))</f>
        <v>0.28414946396531576</v>
      </c>
      <c r="S9" s="2073">
        <f t="shared" ca="1" si="0"/>
        <v>-1.1999999999999955E-2</v>
      </c>
      <c r="T9" s="2073"/>
      <c r="U9" s="654">
        <f ca="1">IF(OR(B9="",I9=""),"",IFERROR(庫存Pro[[#This Row],[現值佔比]],""))</f>
        <v>0.27227028665485381</v>
      </c>
      <c r="V9" s="601"/>
      <c r="W9" s="606"/>
      <c r="X9" s="606"/>
      <c r="Y9" s="505"/>
      <c r="Z9" s="505"/>
      <c r="AA9" s="505"/>
      <c r="AB9" s="505"/>
      <c r="AC9" s="675"/>
      <c r="AE9" s="610">
        <f t="shared" si="1"/>
        <v>45168</v>
      </c>
      <c r="AF9" s="610">
        <f ca="1">IFERROR(DATEVALUE(VLOOKUP(B9,'銀行-TSS'!B:AL,37,FALSE)),VLOOKUP(B9,'銀行-TSS'!B:AL,37,FALSE))</f>
        <v>44258</v>
      </c>
      <c r="AG9" s="517">
        <f ca="1">VLOOKUP(B9,'銀行-TSS'!B:N,13,FALSE)</f>
        <v>10000</v>
      </c>
      <c r="AH9" s="621">
        <f ca="1">VLOOKUP(B9,'銀行-TSS'!B:O,14,FALSE)</f>
        <v>1000</v>
      </c>
      <c r="AI9" s="2290"/>
      <c r="AJ9" s="2290"/>
      <c r="AK9" s="2290"/>
    </row>
    <row r="10" spans="1:37" ht="31" customHeight="1">
      <c r="B10" s="598" t="s">
        <v>1267</v>
      </c>
      <c r="C10" s="1990" t="str">
        <f ca="1">IF(開關=TRUE,IFERROR(VLOOKUP(B10,bond!B:C,2,FALSE),""),"")</f>
        <v>目標百貨公司美元配息債券 2.95% 2052/1/15</v>
      </c>
      <c r="D10" s="1990"/>
      <c r="E10" s="1990"/>
      <c r="F10" s="1990"/>
      <c r="G10" s="1990"/>
      <c r="H10" s="599" t="str">
        <f ca="1">IF(開關=TRUE,庫存Pro[[#This Row],[幣別]],"")</f>
        <v>USD</v>
      </c>
      <c r="I10" s="647">
        <v>20230830</v>
      </c>
      <c r="J10" s="597">
        <v>100000</v>
      </c>
      <c r="K10" s="648">
        <v>68000</v>
      </c>
      <c r="L10" s="686">
        <f ca="1">IF(OR(B10="",I10=""),"",IFERROR(庫存Pro[[#This Row],[部位現值(含前手息)]],""))</f>
        <v>65118.5</v>
      </c>
      <c r="M10" s="687">
        <f ca="1">IF(OR(B10="",I10="",開關=FALSE),"",IF(MF_Pro=2,IFERROR(庫存Pro[[#This Row],[累計配息]],""),IFERROR(庫存Pro[[#This Row],[已實現配息(原幣)]],"")))</f>
        <v>1475</v>
      </c>
      <c r="N10" s="688">
        <f ca="1">IF(OR(B10="",I10=""),"",IFERROR(庫存Pro[[#This Row],[資本利損]],""))</f>
        <v>-2881.5</v>
      </c>
      <c r="O10" s="689">
        <f ca="1">IF(OR(B10="",I10=""),"",IFERROR(庫存Pro[[#This Row],[合計收益]],""))</f>
        <v>-1406.5</v>
      </c>
      <c r="P10" s="2078">
        <f ca="1">IF(OR(B10="",I10=""),"",庫存Pro[[#This Row],[總報酬]])</f>
        <v>-2.0683823529411765E-2</v>
      </c>
      <c r="Q10" s="2079"/>
      <c r="R10" s="685">
        <f ca="1">IF(OR(B10="",I10=""),"",IFERROR(庫存Pro[[#This Row],[投入佔比]],0))</f>
        <v>5.4273910850312551E-2</v>
      </c>
      <c r="S10" s="2073">
        <f t="shared" ca="1" si="0"/>
        <v>-2.0000000000000018E-3</v>
      </c>
      <c r="T10" s="2073"/>
      <c r="U10" s="654">
        <f ca="1">IF(OR(B10="",I10=""),"",IFERROR(庫存Pro[[#This Row],[現值佔比]],""))</f>
        <v>5.2038968431549169E-2</v>
      </c>
      <c r="V10" s="601"/>
      <c r="W10" s="606"/>
      <c r="X10" s="606"/>
      <c r="Y10" s="505"/>
      <c r="Z10" s="505"/>
      <c r="AA10" s="505"/>
      <c r="AB10" s="505"/>
      <c r="AC10" s="675"/>
      <c r="AE10" s="610">
        <f t="shared" si="1"/>
        <v>45168</v>
      </c>
      <c r="AF10" s="610">
        <f ca="1">IFERROR(DATEVALUE(VLOOKUP(B10,'銀行-TSS'!B:AL,37,FALSE)),VLOOKUP(B10,'銀行-TSS'!B:AL,37,FALSE))</f>
        <v>44585</v>
      </c>
      <c r="AG10" s="517">
        <f ca="1">VLOOKUP(B10,'銀行-TSS'!B:N,13,FALSE)</f>
        <v>10000</v>
      </c>
      <c r="AH10" s="621">
        <f ca="1">VLOOKUP(B10,'銀行-TSS'!B:O,14,FALSE)</f>
        <v>1000</v>
      </c>
      <c r="AI10" s="2290"/>
      <c r="AJ10" s="2290"/>
      <c r="AK10" s="2290"/>
    </row>
    <row r="11" spans="1:37" ht="31" customHeight="1">
      <c r="B11" s="598" t="s">
        <v>1075</v>
      </c>
      <c r="C11" s="1990" t="str">
        <f ca="1">IF(開關=TRUE,IFERROR(VLOOKUP(B11,bond!B:C,2,FALSE),""),"")</f>
        <v>美國醫院公司美元配息債券 3.5% 2051/7/15</v>
      </c>
      <c r="D11" s="1990"/>
      <c r="E11" s="1990"/>
      <c r="F11" s="1990"/>
      <c r="G11" s="1990"/>
      <c r="H11" s="599" t="str">
        <f ca="1">IF(開關=TRUE,庫存Pro[[#This Row],[幣別]],"")</f>
        <v>USD</v>
      </c>
      <c r="I11" s="647">
        <v>20230830</v>
      </c>
      <c r="J11" s="597">
        <v>100000</v>
      </c>
      <c r="K11" s="648">
        <v>66492</v>
      </c>
      <c r="L11" s="686">
        <f ca="1">IF(OR(B11="",I11=""),"",IFERROR(庫存Pro[[#This Row],[部位現值(含前手息)]],""))</f>
        <v>67673.600000000006</v>
      </c>
      <c r="M11" s="687">
        <f ca="1">IF(OR(B11="",I11="",開關=FALSE),"",IF(MF_Pro=2,IFERROR(庫存Pro[[#This Row],[累計配息]],""),IFERROR(庫存Pro[[#This Row],[已實現配息(原幣)]],"")))</f>
        <v>1750.0000000000002</v>
      </c>
      <c r="N11" s="688">
        <f ca="1">IF(OR(B11="",I11=""),"",IFERROR(庫存Pro[[#This Row],[資本利損]],""))</f>
        <v>1181.6000000000058</v>
      </c>
      <c r="O11" s="689">
        <f ca="1">IF(OR(B11="",I11=""),"",IFERROR(庫存Pro[[#This Row],[合計收益]],""))</f>
        <v>2931.6000000000058</v>
      </c>
      <c r="P11" s="2078">
        <f ca="1">IF(OR(B11="",I11=""),"",庫存Pro[[#This Row],[總報酬]])</f>
        <v>4.4089514528063617E-2</v>
      </c>
      <c r="Q11" s="2079"/>
      <c r="R11" s="685">
        <f ca="1">IF(OR(B11="",I11=""),"",IFERROR(庫存Pro[[#This Row],[投入佔比]],0))</f>
        <v>5.3070307062632091E-2</v>
      </c>
      <c r="S11" s="2073">
        <f t="shared" ca="1" si="0"/>
        <v>1.0000000000000009E-3</v>
      </c>
      <c r="T11" s="2073"/>
      <c r="U11" s="654">
        <f ca="1">IF(OR(B11="",I11=""),"",IFERROR(庫存Pro[[#This Row],[現值佔比]],""))</f>
        <v>5.408085772935934E-2</v>
      </c>
      <c r="V11" s="601"/>
      <c r="W11" s="606"/>
      <c r="X11" s="606"/>
      <c r="Y11" s="505"/>
      <c r="Z11" s="505"/>
      <c r="AA11" s="505"/>
      <c r="AB11" s="505"/>
      <c r="AC11" s="675"/>
      <c r="AE11" s="610">
        <f t="shared" si="1"/>
        <v>45168</v>
      </c>
      <c r="AF11" s="610">
        <f ca="1">IFERROR(DATEVALUE(VLOOKUP(B11,'銀行-TSS'!B:AL,37,FALSE)),VLOOKUP(B11,'銀行-TSS'!B:AL,37,FALSE))</f>
        <v>44377</v>
      </c>
      <c r="AG11" s="517">
        <f ca="1">VLOOKUP(B11,'銀行-TSS'!B:N,13,FALSE)</f>
        <v>10000</v>
      </c>
      <c r="AH11" s="621">
        <f ca="1">VLOOKUP(B11,'銀行-TSS'!B:O,14,FALSE)</f>
        <v>1000</v>
      </c>
      <c r="AI11" s="2290"/>
      <c r="AJ11" s="2290"/>
      <c r="AK11" s="2290"/>
    </row>
    <row r="12" spans="1:37" ht="31" customHeight="1">
      <c r="B12" s="598"/>
      <c r="C12" s="1990" t="str">
        <f ca="1">IF(開關=TRUE,IFERROR(VLOOKUP(B12,bond!B:C,2,FALSE),""),"")</f>
        <v/>
      </c>
      <c r="D12" s="1990"/>
      <c r="E12" s="1990"/>
      <c r="F12" s="1990"/>
      <c r="G12" s="1990"/>
      <c r="H12" s="599" t="str">
        <f ca="1">IF(開關=TRUE,庫存Pro[[#This Row],[幣別]],"")</f>
        <v/>
      </c>
      <c r="I12" s="647"/>
      <c r="J12" s="597"/>
      <c r="K12" s="648"/>
      <c r="L12" s="686" t="str">
        <f>IF(OR(B12="",I12=""),"",IFERROR(庫存Pro[[#This Row],[部位現值(含前手息)]],""))</f>
        <v/>
      </c>
      <c r="M12" s="687" t="str">
        <f ca="1">IF(OR(B12="",I12="",開關=FALSE),"",IF(MF_Pro=2,IFERROR(庫存Pro[[#This Row],[累計配息]],""),IFERROR(庫存Pro[[#This Row],[已實現配息(原幣)]],"")))</f>
        <v/>
      </c>
      <c r="N12" s="688" t="str">
        <f>IF(OR(B12="",I12=""),"",IFERROR(庫存Pro[[#This Row],[資本利損]],""))</f>
        <v/>
      </c>
      <c r="O12" s="689" t="str">
        <f>IF(OR(B12="",I12=""),"",IFERROR(庫存Pro[[#This Row],[合計收益]],""))</f>
        <v/>
      </c>
      <c r="P12" s="2078" t="str">
        <f>IF(OR(B12="",I12=""),"",庫存Pro[[#This Row],[總報酬]])</f>
        <v/>
      </c>
      <c r="Q12" s="2079"/>
      <c r="R12" s="685" t="str">
        <f>IF(OR(B12="",I12=""),"",IFERROR(庫存Pro[[#This Row],[投入佔比]],0))</f>
        <v/>
      </c>
      <c r="S12" s="2073">
        <f t="shared" si="0"/>
        <v>0</v>
      </c>
      <c r="T12" s="2073"/>
      <c r="U12" s="654" t="str">
        <f>IF(OR(B12="",I12=""),"",IFERROR(庫存Pro[[#This Row],[現值佔比]],""))</f>
        <v/>
      </c>
      <c r="V12" s="601"/>
      <c r="W12" s="606"/>
      <c r="X12" s="606"/>
      <c r="Y12" s="505"/>
      <c r="Z12" s="505"/>
      <c r="AA12" s="505"/>
      <c r="AB12" s="505"/>
      <c r="AC12" s="675"/>
      <c r="AE12" s="610">
        <f t="shared" si="1"/>
        <v>0</v>
      </c>
      <c r="AF12" s="610" t="e">
        <f ca="1">IFERROR(DATEVALUE(VLOOKUP(B12,'銀行-TSS'!B:AL,37,FALSE)),VLOOKUP(B12,'銀行-TSS'!B:AL,37,FALSE))</f>
        <v>#N/A</v>
      </c>
      <c r="AG12" s="517" t="e">
        <f ca="1">VLOOKUP(B12,'銀行-TSS'!B:N,13,FALSE)</f>
        <v>#N/A</v>
      </c>
      <c r="AH12" s="621" t="e">
        <f ca="1">VLOOKUP(B12,'銀行-TSS'!B:O,14,FALSE)</f>
        <v>#N/A</v>
      </c>
    </row>
    <row r="13" spans="1:37" ht="31" customHeight="1">
      <c r="B13" s="598"/>
      <c r="C13" s="1990" t="str">
        <f ca="1">IF(開關=TRUE,IFERROR(VLOOKUP(B13,bond!B:C,2,FALSE),""),"")</f>
        <v/>
      </c>
      <c r="D13" s="1990"/>
      <c r="E13" s="1990"/>
      <c r="F13" s="1990"/>
      <c r="G13" s="1990"/>
      <c r="H13" s="599" t="str">
        <f ca="1">IF(開關=TRUE,庫存Pro[[#This Row],[幣別]],"")</f>
        <v/>
      </c>
      <c r="I13" s="647"/>
      <c r="J13" s="597"/>
      <c r="K13" s="648"/>
      <c r="L13" s="686" t="str">
        <f>IF(OR(B13="",I13=""),"",IFERROR(庫存Pro[[#This Row],[部位現值(含前手息)]],""))</f>
        <v/>
      </c>
      <c r="M13" s="687" t="str">
        <f ca="1">IF(OR(B13="",I13="",開關=FALSE),"",IF(MF_Pro=2,IFERROR(庫存Pro[[#This Row],[累計配息]],""),IFERROR(庫存Pro[[#This Row],[已實現配息(原幣)]],"")))</f>
        <v/>
      </c>
      <c r="N13" s="688" t="str">
        <f>IF(OR(B13="",I13=""),"",IFERROR(庫存Pro[[#This Row],[資本利損]],""))</f>
        <v/>
      </c>
      <c r="O13" s="689" t="str">
        <f>IF(OR(B13="",I13=""),"",IFERROR(庫存Pro[[#This Row],[合計收益]],""))</f>
        <v/>
      </c>
      <c r="P13" s="2078" t="str">
        <f>IF(OR(B13="",I13=""),"",庫存Pro[[#This Row],[總報酬]])</f>
        <v/>
      </c>
      <c r="Q13" s="2079"/>
      <c r="R13" s="685" t="str">
        <f>IF(OR(B13="",I13=""),"",IFERROR(庫存Pro[[#This Row],[投入佔比]],0))</f>
        <v/>
      </c>
      <c r="S13" s="2073">
        <f t="shared" si="0"/>
        <v>0</v>
      </c>
      <c r="T13" s="2073"/>
      <c r="U13" s="654" t="str">
        <f>IF(OR(B13="",I13=""),"",IFERROR(庫存Pro[[#This Row],[現值佔比]],""))</f>
        <v/>
      </c>
      <c r="V13" s="601"/>
      <c r="W13" s="606"/>
      <c r="X13" s="606"/>
      <c r="Y13" s="505"/>
      <c r="Z13" s="505"/>
      <c r="AA13" s="505"/>
      <c r="AB13" s="505"/>
      <c r="AC13" s="675"/>
      <c r="AE13" s="610">
        <f t="shared" si="1"/>
        <v>0</v>
      </c>
      <c r="AF13" s="610" t="e">
        <f ca="1">IFERROR(DATEVALUE(VLOOKUP(B13,'銀行-TSS'!B:AL,37,FALSE)),VLOOKUP(B13,'銀行-TSS'!B:AL,37,FALSE))</f>
        <v>#N/A</v>
      </c>
      <c r="AG13" s="517" t="e">
        <f ca="1">VLOOKUP(B13,'銀行-TSS'!B:N,13,FALSE)</f>
        <v>#N/A</v>
      </c>
      <c r="AH13" s="621" t="e">
        <f ca="1">VLOOKUP(B13,'銀行-TSS'!B:O,14,FALSE)</f>
        <v>#N/A</v>
      </c>
    </row>
    <row r="14" spans="1:37" ht="31" customHeight="1">
      <c r="B14" s="598"/>
      <c r="C14" s="1990" t="str">
        <f ca="1">IF(開關=TRUE,IFERROR(VLOOKUP(B14,bond!B:C,2,FALSE),""),"")</f>
        <v/>
      </c>
      <c r="D14" s="1990"/>
      <c r="E14" s="1990"/>
      <c r="F14" s="1990"/>
      <c r="G14" s="1990"/>
      <c r="H14" s="599" t="str">
        <f ca="1">IF(開關=TRUE,庫存Pro[[#This Row],[幣別]],"")</f>
        <v/>
      </c>
      <c r="I14" s="647"/>
      <c r="J14" s="597"/>
      <c r="K14" s="648"/>
      <c r="L14" s="686" t="str">
        <f>IF(OR(B14="",I14=""),"",IFERROR(庫存Pro[[#This Row],[部位現值(含前手息)]],""))</f>
        <v/>
      </c>
      <c r="M14" s="687" t="str">
        <f ca="1">IF(OR(B14="",I14="",開關=FALSE),"",IF(MF_Pro=2,IFERROR(庫存Pro[[#This Row],[累計配息]],""),IFERROR(庫存Pro[[#This Row],[已實現配息(原幣)]],"")))</f>
        <v/>
      </c>
      <c r="N14" s="688" t="str">
        <f>IF(OR(B14="",I14=""),"",IFERROR(庫存Pro[[#This Row],[資本利損]],""))</f>
        <v/>
      </c>
      <c r="O14" s="689" t="str">
        <f>IF(OR(B14="",I14=""),"",IFERROR(庫存Pro[[#This Row],[合計收益]],""))</f>
        <v/>
      </c>
      <c r="P14" s="2078" t="str">
        <f>IF(OR(B14="",I14=""),"",庫存Pro[[#This Row],[總報酬]])</f>
        <v/>
      </c>
      <c r="Q14" s="2079"/>
      <c r="R14" s="685" t="str">
        <f>IF(OR(B14="",I14=""),"",IFERROR(庫存Pro[[#This Row],[投入佔比]],0))</f>
        <v/>
      </c>
      <c r="S14" s="2073">
        <f t="shared" si="0"/>
        <v>0</v>
      </c>
      <c r="T14" s="2073"/>
      <c r="U14" s="654" t="str">
        <f>IF(OR(B14="",I14=""),"",IFERROR(庫存Pro[[#This Row],[現值佔比]],""))</f>
        <v/>
      </c>
      <c r="V14" s="601"/>
      <c r="W14" s="606"/>
      <c r="X14" s="606"/>
      <c r="Y14" s="669"/>
      <c r="Z14" s="669"/>
      <c r="AA14" s="669"/>
      <c r="AB14" s="669"/>
      <c r="AC14" s="675"/>
      <c r="AE14" s="610">
        <f t="shared" si="1"/>
        <v>0</v>
      </c>
      <c r="AF14" s="610" t="e">
        <f ca="1">IFERROR(DATEVALUE(VLOOKUP(B14,'銀行-TSS'!B:AL,37,FALSE)),VLOOKUP(B14,'銀行-TSS'!B:AL,37,FALSE))</f>
        <v>#N/A</v>
      </c>
      <c r="AG14" s="517" t="e">
        <f ca="1">VLOOKUP(B14,'銀行-TSS'!B:N,13,FALSE)</f>
        <v>#N/A</v>
      </c>
      <c r="AH14" s="621" t="e">
        <f ca="1">VLOOKUP(B14,'銀行-TSS'!B:O,14,FALSE)</f>
        <v>#N/A</v>
      </c>
    </row>
    <row r="15" spans="1:37" ht="31" customHeight="1">
      <c r="B15" s="803"/>
      <c r="C15" s="1990" t="str">
        <f ca="1">IF(開關=TRUE,IFERROR(VLOOKUP(B15,bond!B:C,2,FALSE),""),"")</f>
        <v/>
      </c>
      <c r="D15" s="1990"/>
      <c r="E15" s="1990"/>
      <c r="F15" s="1990"/>
      <c r="G15" s="1990"/>
      <c r="H15" s="599" t="str">
        <f ca="1">IF(開關=TRUE,庫存Pro[[#This Row],[幣別]],"")</f>
        <v/>
      </c>
      <c r="I15" s="647"/>
      <c r="J15" s="597"/>
      <c r="K15" s="648"/>
      <c r="L15" s="686" t="str">
        <f>IF(OR(B15="",I15=""),"",IFERROR(庫存Pro[[#This Row],[部位現值(含前手息)]],""))</f>
        <v/>
      </c>
      <c r="M15" s="687" t="str">
        <f ca="1">IF(OR(B15="",I15="",開關=FALSE),"",IF(MF_Pro=2,IFERROR(庫存Pro[[#This Row],[累計配息]],""),IFERROR(庫存Pro[[#This Row],[已實現配息(原幣)]],"")))</f>
        <v/>
      </c>
      <c r="N15" s="688" t="str">
        <f>IF(OR(B15="",I15=""),"",IFERROR(庫存Pro[[#This Row],[資本利損]],""))</f>
        <v/>
      </c>
      <c r="O15" s="689" t="str">
        <f>IF(OR(B15="",I15=""),"",IFERROR(庫存Pro[[#This Row],[合計收益]],""))</f>
        <v/>
      </c>
      <c r="P15" s="2078" t="str">
        <f>IF(OR(B15="",I15=""),"",庫存Pro[[#This Row],[總報酬]])</f>
        <v/>
      </c>
      <c r="Q15" s="2079"/>
      <c r="R15" s="685" t="str">
        <f>IF(OR(B15="",I15=""),"",IFERROR(庫存Pro[[#This Row],[投入佔比]],0))</f>
        <v/>
      </c>
      <c r="S15" s="2073">
        <f t="shared" si="0"/>
        <v>0</v>
      </c>
      <c r="T15" s="2073"/>
      <c r="U15" s="654" t="str">
        <f>IF(OR(B15="",I15=""),"",IFERROR(庫存Pro[[#This Row],[現值佔比]],""))</f>
        <v/>
      </c>
      <c r="V15" s="601"/>
      <c r="W15" s="606"/>
      <c r="X15" s="606"/>
      <c r="Y15" s="669"/>
      <c r="Z15" s="669"/>
      <c r="AA15" s="669"/>
      <c r="AB15" s="669"/>
      <c r="AC15" s="505"/>
      <c r="AE15" s="610">
        <f t="shared" si="1"/>
        <v>0</v>
      </c>
      <c r="AF15" s="610" t="e">
        <f ca="1">IFERROR(DATEVALUE(VLOOKUP(B15,'銀行-TSS'!B:AL,37,FALSE)),VLOOKUP(B15,'銀行-TSS'!B:AL,37,FALSE))</f>
        <v>#N/A</v>
      </c>
      <c r="AG15" s="517" t="e">
        <f ca="1">VLOOKUP(B15,'銀行-TSS'!B:N,13,FALSE)</f>
        <v>#N/A</v>
      </c>
      <c r="AH15" s="621" t="e">
        <f ca="1">VLOOKUP(B15,'銀行-TSS'!B:O,14,FALSE)</f>
        <v>#N/A</v>
      </c>
    </row>
    <row r="16" spans="1:37" ht="31" customHeight="1">
      <c r="B16" s="803"/>
      <c r="C16" s="1990" t="str">
        <f ca="1">IF(開關=TRUE,IFERROR(VLOOKUP(B16,bond!B:C,2,FALSE),""),"")</f>
        <v/>
      </c>
      <c r="D16" s="1990"/>
      <c r="E16" s="1990"/>
      <c r="F16" s="1990"/>
      <c r="G16" s="1990"/>
      <c r="H16" s="599" t="str">
        <f ca="1">IF(開關=TRUE,庫存Pro[[#This Row],[幣別]],"")</f>
        <v/>
      </c>
      <c r="I16" s="647"/>
      <c r="J16" s="597"/>
      <c r="K16" s="648"/>
      <c r="L16" s="686" t="str">
        <f>IF(OR(B16="",I16=""),"",IFERROR(庫存Pro[[#This Row],[部位現值(含前手息)]],""))</f>
        <v/>
      </c>
      <c r="M16" s="687" t="str">
        <f ca="1">IF(OR(B16="",I16="",開關=FALSE),"",IF(MF_Pro=2,IFERROR(庫存Pro[[#This Row],[累計配息]],""),IFERROR(庫存Pro[[#This Row],[已實現配息(原幣)]],"")))</f>
        <v/>
      </c>
      <c r="N16" s="688" t="str">
        <f>IF(OR(B16="",I16=""),"",IFERROR(庫存Pro[[#This Row],[資本利損]],""))</f>
        <v/>
      </c>
      <c r="O16" s="689" t="str">
        <f>IF(OR(B16="",I16=""),"",IFERROR(庫存Pro[[#This Row],[合計收益]],""))</f>
        <v/>
      </c>
      <c r="P16" s="2078" t="str">
        <f>IF(OR(B16="",I16=""),"",庫存Pro[[#This Row],[總報酬]])</f>
        <v/>
      </c>
      <c r="Q16" s="2079"/>
      <c r="R16" s="685" t="str">
        <f>IF(OR(B16="",I16=""),"",IFERROR(庫存Pro[[#This Row],[投入佔比]],0))</f>
        <v/>
      </c>
      <c r="S16" s="2073">
        <f t="shared" si="0"/>
        <v>0</v>
      </c>
      <c r="T16" s="2073"/>
      <c r="U16" s="654" t="str">
        <f>IF(OR(B16="",I16=""),"",IFERROR(庫存Pro[[#This Row],[現值佔比]],""))</f>
        <v/>
      </c>
      <c r="V16" s="601"/>
      <c r="W16" s="606"/>
      <c r="X16" s="606"/>
      <c r="Y16" s="669"/>
      <c r="Z16" s="669"/>
      <c r="AA16" s="669"/>
      <c r="AB16" s="669"/>
      <c r="AC16" s="669"/>
      <c r="AE16" s="610">
        <f t="shared" si="1"/>
        <v>0</v>
      </c>
      <c r="AF16" s="610" t="e">
        <f ca="1">IFERROR(DATEVALUE(VLOOKUP(B16,'銀行-TSS'!B:AL,37,FALSE)),VLOOKUP(B16,'銀行-TSS'!B:AL,37,FALSE))</f>
        <v>#N/A</v>
      </c>
      <c r="AG16" s="517" t="e">
        <f ca="1">VLOOKUP(B16,'銀行-TSS'!B:N,13,FALSE)</f>
        <v>#N/A</v>
      </c>
      <c r="AH16" s="621" t="e">
        <f ca="1">VLOOKUP(B16,'銀行-TSS'!B:O,14,FALSE)</f>
        <v>#N/A</v>
      </c>
    </row>
    <row r="17" spans="2:42" ht="31" customHeight="1">
      <c r="B17" s="598"/>
      <c r="C17" s="1990" t="str">
        <f ca="1">IF(開關=TRUE,IFERROR(VLOOKUP(B17,bond!B:C,2,FALSE),""),"")</f>
        <v/>
      </c>
      <c r="D17" s="1990"/>
      <c r="E17" s="1990"/>
      <c r="F17" s="1990"/>
      <c r="G17" s="1990"/>
      <c r="H17" s="599" t="str">
        <f ca="1">IF(開關=TRUE,庫存Pro[[#This Row],[幣別]],"")</f>
        <v/>
      </c>
      <c r="I17" s="647"/>
      <c r="J17" s="597"/>
      <c r="K17" s="648"/>
      <c r="L17" s="686" t="str">
        <f>IF(OR(B17="",I17=""),"",IFERROR(庫存Pro[[#This Row],[部位現值(含前手息)]],""))</f>
        <v/>
      </c>
      <c r="M17" s="687" t="str">
        <f ca="1">IF(OR(B17="",I17="",開關=FALSE),"",IF(MF_Pro=2,IFERROR(庫存Pro[[#This Row],[累計配息]],""),IFERROR(庫存Pro[[#This Row],[已實現配息(原幣)]],"")))</f>
        <v/>
      </c>
      <c r="N17" s="688" t="str">
        <f>IF(OR(B17="",I17=""),"",IFERROR(庫存Pro[[#This Row],[資本利損]],""))</f>
        <v/>
      </c>
      <c r="O17" s="689" t="str">
        <f>IF(OR(B17="",I17=""),"",IFERROR(庫存Pro[[#This Row],[合計收益]],""))</f>
        <v/>
      </c>
      <c r="P17" s="2078" t="str">
        <f>IF(OR(B17="",I17=""),"",庫存Pro[[#This Row],[總報酬]])</f>
        <v/>
      </c>
      <c r="Q17" s="2079"/>
      <c r="R17" s="685" t="str">
        <f>IF(OR(B17="",I17=""),"",IFERROR(庫存Pro[[#This Row],[投入佔比]],0))</f>
        <v/>
      </c>
      <c r="S17" s="2073">
        <f t="shared" si="0"/>
        <v>0</v>
      </c>
      <c r="T17" s="2073"/>
      <c r="U17" s="654" t="str">
        <f>IF(OR(B17="",I17=""),"",IFERROR(庫存Pro[[#This Row],[現值佔比]],""))</f>
        <v/>
      </c>
      <c r="V17" s="601"/>
      <c r="W17" s="606"/>
      <c r="X17" s="606"/>
      <c r="Y17" s="669"/>
      <c r="Z17" s="669"/>
      <c r="AA17" s="669"/>
      <c r="AB17" s="669"/>
      <c r="AC17" s="669"/>
      <c r="AE17" s="610">
        <f t="shared" si="1"/>
        <v>0</v>
      </c>
      <c r="AF17" s="610" t="e">
        <f ca="1">IFERROR(DATEVALUE(VLOOKUP(B17,'銀行-TSS'!B:AL,37,FALSE)),VLOOKUP(B17,'銀行-TSS'!B:AL,37,FALSE))</f>
        <v>#N/A</v>
      </c>
      <c r="AG17" s="517" t="e">
        <f ca="1">VLOOKUP(B17,'銀行-TSS'!B:N,13,FALSE)</f>
        <v>#N/A</v>
      </c>
      <c r="AH17" s="621" t="e">
        <f ca="1">VLOOKUP(B17,'銀行-TSS'!B:O,14,FALSE)</f>
        <v>#N/A</v>
      </c>
      <c r="AN17" s="2241"/>
      <c r="AO17" s="2241"/>
      <c r="AP17" s="2241"/>
    </row>
    <row r="18" spans="2:42" ht="31" customHeight="1">
      <c r="B18" s="600"/>
      <c r="C18" s="1990" t="str">
        <f ca="1">IF(開關=TRUE,IFERROR(VLOOKUP(B18,bond!B:C,2,FALSE),""),"")</f>
        <v/>
      </c>
      <c r="D18" s="1990"/>
      <c r="E18" s="1990"/>
      <c r="F18" s="1990"/>
      <c r="G18" s="1990"/>
      <c r="H18" s="599" t="str">
        <f ca="1">IF(開關=TRUE,庫存Pro[[#This Row],[幣別]],"")</f>
        <v/>
      </c>
      <c r="I18" s="647"/>
      <c r="J18" s="597"/>
      <c r="K18" s="648"/>
      <c r="L18" s="686" t="str">
        <f>IF(OR(B18="",I18=""),"",IFERROR(庫存Pro[[#This Row],[部位現值(含前手息)]],""))</f>
        <v/>
      </c>
      <c r="M18" s="687" t="str">
        <f ca="1">IF(OR(B18="",I18="",開關=FALSE),"",IF(MF_Pro=2,IFERROR(庫存Pro[[#This Row],[累計配息]],""),IFERROR(庫存Pro[[#This Row],[已實現配息(原幣)]],"")))</f>
        <v/>
      </c>
      <c r="N18" s="688" t="str">
        <f>IF(OR(B18="",I18=""),"",IFERROR(庫存Pro[[#This Row],[資本利損]],""))</f>
        <v/>
      </c>
      <c r="O18" s="689" t="str">
        <f>IF(OR(B18="",I18=""),"",IFERROR(庫存Pro[[#This Row],[合計收益]],""))</f>
        <v/>
      </c>
      <c r="P18" s="2078" t="str">
        <f>IF(OR(B18="",I18=""),"",庫存Pro[[#This Row],[總報酬]])</f>
        <v/>
      </c>
      <c r="Q18" s="2079"/>
      <c r="R18" s="685" t="str">
        <f>IF(OR(B18="",I18=""),"",IFERROR(庫存Pro[[#This Row],[投入佔比]],0))</f>
        <v/>
      </c>
      <c r="S18" s="2073">
        <f t="shared" si="0"/>
        <v>0</v>
      </c>
      <c r="T18" s="2073"/>
      <c r="U18" s="654" t="str">
        <f>IF(OR(B18="",I18=""),"",IFERROR(庫存Pro[[#This Row],[現值佔比]],""))</f>
        <v/>
      </c>
      <c r="V18" s="601"/>
      <c r="W18" s="606"/>
      <c r="X18" s="606"/>
      <c r="Y18" s="669"/>
      <c r="Z18" s="669"/>
      <c r="AA18" s="669"/>
      <c r="AB18" s="669"/>
      <c r="AC18" s="669"/>
      <c r="AE18" s="610">
        <f t="shared" si="1"/>
        <v>0</v>
      </c>
      <c r="AF18" s="610" t="e">
        <f ca="1">IFERROR(DATEVALUE(VLOOKUP(B18,'銀行-TSS'!B:AL,37,FALSE)),VLOOKUP(B18,'銀行-TSS'!B:AL,37,FALSE))</f>
        <v>#N/A</v>
      </c>
      <c r="AG18" s="517" t="e">
        <f ca="1">VLOOKUP(B18,'銀行-TSS'!B:N,13,FALSE)</f>
        <v>#N/A</v>
      </c>
      <c r="AH18" s="621" t="e">
        <f ca="1">VLOOKUP(B18,'銀行-TSS'!B:O,14,FALSE)</f>
        <v>#N/A</v>
      </c>
    </row>
    <row r="19" spans="2:42" ht="31" customHeight="1">
      <c r="B19" s="703"/>
      <c r="C19" s="1990" t="str">
        <f ca="1">IF(開關=TRUE,IFERROR(VLOOKUP(B19,bond!B:C,2,FALSE),""),"")</f>
        <v/>
      </c>
      <c r="D19" s="1990"/>
      <c r="E19" s="1990"/>
      <c r="F19" s="1990"/>
      <c r="G19" s="1990"/>
      <c r="H19" s="599" t="str">
        <f ca="1">IF(開關=TRUE,庫存Pro[[#This Row],[幣別]],"")</f>
        <v/>
      </c>
      <c r="I19" s="647"/>
      <c r="J19" s="597"/>
      <c r="K19" s="648"/>
      <c r="L19" s="686" t="str">
        <f>IF(OR(B19="",I19=""),"",IFERROR(庫存Pro[[#This Row],[部位現值(含前手息)]],""))</f>
        <v/>
      </c>
      <c r="M19" s="687" t="str">
        <f ca="1">IF(OR(B19="",I19="",開關=FALSE),"",IF(MF_Pro=2,IFERROR(庫存Pro[[#This Row],[累計配息]],""),IFERROR(庫存Pro[[#This Row],[已實現配息(原幣)]],"")))</f>
        <v/>
      </c>
      <c r="N19" s="688" t="str">
        <f>IF(OR(B19="",I19=""),"",IFERROR(庫存Pro[[#This Row],[資本利損]],""))</f>
        <v/>
      </c>
      <c r="O19" s="689" t="str">
        <f>IF(OR(B19="",I19=""),"",IFERROR(庫存Pro[[#This Row],[合計收益]],""))</f>
        <v/>
      </c>
      <c r="P19" s="2078" t="str">
        <f>IF(OR(B19="",I19=""),"",庫存Pro[[#This Row],[總報酬]])</f>
        <v/>
      </c>
      <c r="Q19" s="2079"/>
      <c r="R19" s="685" t="str">
        <f>IF(OR(B19="",I19=""),"",IFERROR(庫存Pro[[#This Row],[投入佔比]],0))</f>
        <v/>
      </c>
      <c r="S19" s="2073">
        <f>IF(OR(B19="",I19=""),0,ROUND(U19,3)-ROUND(R19,3))</f>
        <v>0</v>
      </c>
      <c r="T19" s="2073"/>
      <c r="U19" s="654" t="str">
        <f>IF(OR(B19="",I19=""),"",IFERROR(庫存Pro[[#This Row],[現值佔比]],""))</f>
        <v/>
      </c>
      <c r="V19" s="601"/>
      <c r="W19" s="606"/>
      <c r="X19" s="606"/>
      <c r="Y19" s="669"/>
      <c r="Z19" s="669"/>
      <c r="AA19" s="669"/>
      <c r="AB19" s="669"/>
      <c r="AC19" s="669"/>
      <c r="AE19" s="610">
        <f>IFERROR(DATE(LEFT(I19,4),MID(I19,5,2),RIGHT(I19,2)),0)</f>
        <v>0</v>
      </c>
      <c r="AF19" s="610" t="e">
        <f ca="1">IFERROR(DATEVALUE(VLOOKUP(B19,'銀行-TSS'!B:AL,37,FALSE)),VLOOKUP(B19,'銀行-TSS'!B:AL,37,FALSE))</f>
        <v>#N/A</v>
      </c>
      <c r="AG19" s="517" t="e">
        <f ca="1">VLOOKUP(B19,'銀行-TSS'!B:N,13,FALSE)</f>
        <v>#N/A</v>
      </c>
      <c r="AH19" s="621" t="e">
        <f ca="1">VLOOKUP(B19,'銀行-TSS'!B:O,14,FALSE)</f>
        <v>#N/A</v>
      </c>
    </row>
    <row r="20" spans="2:42" ht="31" customHeight="1">
      <c r="B20" s="703"/>
      <c r="C20" s="1990" t="str">
        <f ca="1">IF(開關=TRUE,IFERROR(VLOOKUP(B20,bond!B:C,2,FALSE),""),"")</f>
        <v/>
      </c>
      <c r="D20" s="1990"/>
      <c r="E20" s="1990"/>
      <c r="F20" s="1990"/>
      <c r="G20" s="1990"/>
      <c r="H20" s="599" t="str">
        <f ca="1">IF(開關=TRUE,庫存Pro[[#This Row],[幣別]],"")</f>
        <v/>
      </c>
      <c r="I20" s="647"/>
      <c r="J20" s="597"/>
      <c r="K20" s="648"/>
      <c r="L20" s="686" t="str">
        <f>IF(OR(B20="",I20=""),"",IFERROR(庫存Pro[[#This Row],[部位現值(含前手息)]],""))</f>
        <v/>
      </c>
      <c r="M20" s="687" t="str">
        <f ca="1">IF(OR(B20="",I20="",開關=FALSE),"",IF(MF_Pro=2,IFERROR(庫存Pro[[#This Row],[累計配息]],""),IFERROR(庫存Pro[[#This Row],[已實現配息(原幣)]],"")))</f>
        <v/>
      </c>
      <c r="N20" s="688" t="str">
        <f>IF(OR(B20="",I20=""),"",IFERROR(庫存Pro[[#This Row],[資本利損]],""))</f>
        <v/>
      </c>
      <c r="O20" s="689" t="str">
        <f>IF(OR(B20="",I20=""),"",IFERROR(庫存Pro[[#This Row],[合計收益]],""))</f>
        <v/>
      </c>
      <c r="P20" s="2078" t="str">
        <f>IF(OR(B20="",I20=""),"",庫存Pro[[#This Row],[總報酬]])</f>
        <v/>
      </c>
      <c r="Q20" s="2079"/>
      <c r="R20" s="685" t="str">
        <f>IF(OR(B20="",I20=""),"",IFERROR(庫存Pro[[#This Row],[投入佔比]],0))</f>
        <v/>
      </c>
      <c r="S20" s="2073">
        <f>IF(OR(B20="",I20=""),0,ROUND(U20,3)-ROUND(R20,3))</f>
        <v>0</v>
      </c>
      <c r="T20" s="2073"/>
      <c r="U20" s="654" t="str">
        <f>IF(OR(B20="",I20=""),"",IFERROR(庫存Pro[[#This Row],[現值佔比]],""))</f>
        <v/>
      </c>
      <c r="V20" s="601"/>
      <c r="W20" s="606"/>
      <c r="X20" s="606"/>
      <c r="Y20" s="669"/>
      <c r="Z20" s="669"/>
      <c r="AA20" s="669"/>
      <c r="AB20" s="669"/>
      <c r="AC20" s="669"/>
      <c r="AE20" s="610">
        <f>IFERROR(DATE(LEFT(I20,4),MID(I20,5,2),RIGHT(I20,2)),0)</f>
        <v>0</v>
      </c>
      <c r="AF20" s="610" t="e">
        <f ca="1">IFERROR(DATEVALUE(VLOOKUP(B20,'銀行-TSS'!B:AL,37,FALSE)),VLOOKUP(B20,'銀行-TSS'!B:AL,37,FALSE))</f>
        <v>#N/A</v>
      </c>
      <c r="AG20" s="517" t="e">
        <f ca="1">VLOOKUP(B20,'銀行-TSS'!B:N,13,FALSE)</f>
        <v>#N/A</v>
      </c>
      <c r="AH20" s="621" t="e">
        <f ca="1">VLOOKUP(B20,'銀行-TSS'!B:O,14,FALSE)</f>
        <v>#N/A</v>
      </c>
    </row>
    <row r="21" spans="2:42" ht="31" customHeight="1">
      <c r="B21" s="703"/>
      <c r="C21" s="1990" t="str">
        <f ca="1">IF(開關=TRUE,IFERROR(VLOOKUP(B21,bond!B:C,2,FALSE),""),"")</f>
        <v/>
      </c>
      <c r="D21" s="1990"/>
      <c r="E21" s="1990"/>
      <c r="F21" s="1990"/>
      <c r="G21" s="1990"/>
      <c r="H21" s="599" t="str">
        <f ca="1">IF(開關=TRUE,庫存Pro[[#This Row],[幣別]],"")</f>
        <v/>
      </c>
      <c r="I21" s="647"/>
      <c r="J21" s="597"/>
      <c r="K21" s="648"/>
      <c r="L21" s="686" t="str">
        <f>IF(OR(B21="",I21=""),"",IFERROR(庫存Pro[[#This Row],[部位現值(含前手息)]],""))</f>
        <v/>
      </c>
      <c r="M21" s="687" t="str">
        <f ca="1">IF(OR(B21="",I21="",開關=FALSE),"",IF(MF_Pro=2,IFERROR(庫存Pro[[#This Row],[累計配息]],""),IFERROR(庫存Pro[[#This Row],[已實現配息(原幣)]],"")))</f>
        <v/>
      </c>
      <c r="N21" s="688" t="str">
        <f>IF(OR(B21="",I21=""),"",IFERROR(庫存Pro[[#This Row],[資本利損]],""))</f>
        <v/>
      </c>
      <c r="O21" s="689" t="str">
        <f>IF(OR(B21="",I21=""),"",IFERROR(庫存Pro[[#This Row],[合計收益]],""))</f>
        <v/>
      </c>
      <c r="P21" s="2078" t="str">
        <f>IF(OR(B21="",I21=""),"",庫存Pro[[#This Row],[總報酬]])</f>
        <v/>
      </c>
      <c r="Q21" s="2079"/>
      <c r="R21" s="685" t="str">
        <f>IF(OR(B21="",I21=""),"",IFERROR(庫存Pro[[#This Row],[投入佔比]],0))</f>
        <v/>
      </c>
      <c r="S21" s="2073">
        <f t="shared" ref="S21:S36" si="2">IF(OR(B21="",I21=""),0,ROUND(U21,3)-ROUND(R21,3))</f>
        <v>0</v>
      </c>
      <c r="T21" s="2073"/>
      <c r="U21" s="654" t="str">
        <f>IF(OR(B21="",I21=""),"",IFERROR(庫存Pro[[#This Row],[現值佔比]],""))</f>
        <v/>
      </c>
      <c r="V21" s="601"/>
      <c r="W21" s="606"/>
      <c r="X21" s="606"/>
      <c r="Y21" s="669"/>
      <c r="Z21" s="669"/>
      <c r="AA21" s="669"/>
      <c r="AB21" s="669"/>
      <c r="AC21" s="669"/>
      <c r="AE21" s="610">
        <f t="shared" si="1"/>
        <v>0</v>
      </c>
      <c r="AF21" s="610" t="e">
        <f ca="1">IFERROR(DATEVALUE(VLOOKUP(B21,'銀行-TSS'!B:AL,37,FALSE)),VLOOKUP(B21,'銀行-TSS'!B:AL,37,FALSE))</f>
        <v>#N/A</v>
      </c>
      <c r="AG21" s="517" t="e">
        <f ca="1">VLOOKUP(B21,'銀行-TSS'!B:N,13,FALSE)</f>
        <v>#N/A</v>
      </c>
      <c r="AH21" s="621" t="e">
        <f ca="1">VLOOKUP(B21,'銀行-TSS'!B:O,14,FALSE)</f>
        <v>#N/A</v>
      </c>
    </row>
    <row r="22" spans="2:42" ht="31" customHeight="1">
      <c r="B22" s="703"/>
      <c r="C22" s="1990" t="str">
        <f ca="1">IF(開關=TRUE,IFERROR(VLOOKUP(B22,bond!B:C,2,FALSE),""),"")</f>
        <v/>
      </c>
      <c r="D22" s="1990"/>
      <c r="E22" s="1990"/>
      <c r="F22" s="1990"/>
      <c r="G22" s="1990"/>
      <c r="H22" s="599" t="str">
        <f ca="1">IF(開關=TRUE,庫存Pro[[#This Row],[幣別]],"")</f>
        <v/>
      </c>
      <c r="I22" s="647"/>
      <c r="J22" s="597"/>
      <c r="K22" s="648"/>
      <c r="L22" s="686" t="str">
        <f>IF(OR(B22="",I22=""),"",IFERROR(庫存Pro[[#This Row],[部位現值(含前手息)]],""))</f>
        <v/>
      </c>
      <c r="M22" s="687" t="str">
        <f ca="1">IF(OR(B22="",I22="",開關=FALSE),"",IF(MF_Pro=2,IFERROR(庫存Pro[[#This Row],[累計配息]],""),IFERROR(庫存Pro[[#This Row],[已實現配息(原幣)]],"")))</f>
        <v/>
      </c>
      <c r="N22" s="688" t="str">
        <f>IF(OR(B22="",I22=""),"",IFERROR(庫存Pro[[#This Row],[資本利損]],""))</f>
        <v/>
      </c>
      <c r="O22" s="689" t="str">
        <f>IF(OR(B22="",I22=""),"",IFERROR(庫存Pro[[#This Row],[合計收益]],""))</f>
        <v/>
      </c>
      <c r="P22" s="2078" t="str">
        <f>IF(OR(B22="",I22=""),"",庫存Pro[[#This Row],[總報酬]])</f>
        <v/>
      </c>
      <c r="Q22" s="2079"/>
      <c r="R22" s="685" t="str">
        <f>IF(OR(B22="",I22=""),"",IFERROR(庫存Pro[[#This Row],[投入佔比]],0))</f>
        <v/>
      </c>
      <c r="S22" s="2073">
        <f t="shared" si="2"/>
        <v>0</v>
      </c>
      <c r="T22" s="2073"/>
      <c r="U22" s="654" t="str">
        <f>IF(OR(B22="",I22=""),"",IFERROR(庫存Pro[[#This Row],[現值佔比]],""))</f>
        <v/>
      </c>
      <c r="V22" s="601"/>
      <c r="W22" s="606"/>
      <c r="X22" s="606"/>
      <c r="Y22" s="669"/>
      <c r="Z22" s="669"/>
      <c r="AA22" s="669"/>
      <c r="AB22" s="669"/>
      <c r="AC22" s="669"/>
      <c r="AE22" s="610">
        <f t="shared" si="1"/>
        <v>0</v>
      </c>
      <c r="AF22" s="610" t="e">
        <f ca="1">IFERROR(DATEVALUE(VLOOKUP(B22,'銀行-TSS'!B:AL,37,FALSE)),VLOOKUP(B22,'銀行-TSS'!B:AL,37,FALSE))</f>
        <v>#N/A</v>
      </c>
      <c r="AG22" s="517" t="e">
        <f ca="1">VLOOKUP(B22,'銀行-TSS'!B:N,13,FALSE)</f>
        <v>#N/A</v>
      </c>
      <c r="AH22" s="621" t="e">
        <f ca="1">VLOOKUP(B22,'銀行-TSS'!B:O,14,FALSE)</f>
        <v>#N/A</v>
      </c>
    </row>
    <row r="23" spans="2:42" ht="31" customHeight="1">
      <c r="B23" s="703"/>
      <c r="C23" s="1990" t="str">
        <f ca="1">IF(開關=TRUE,IFERROR(VLOOKUP(B23,bond!B:C,2,FALSE),""),"")</f>
        <v/>
      </c>
      <c r="D23" s="1990"/>
      <c r="E23" s="1990"/>
      <c r="F23" s="1990"/>
      <c r="G23" s="1990"/>
      <c r="H23" s="599" t="str">
        <f ca="1">IF(開關=TRUE,庫存Pro[[#This Row],[幣別]],"")</f>
        <v/>
      </c>
      <c r="I23" s="647"/>
      <c r="J23" s="597"/>
      <c r="K23" s="648"/>
      <c r="L23" s="686" t="str">
        <f>IF(OR(B23="",I23=""),"",IFERROR(庫存Pro[[#This Row],[部位現值(含前手息)]],""))</f>
        <v/>
      </c>
      <c r="M23" s="687" t="str">
        <f ca="1">IF(OR(B23="",I23="",開關=FALSE),"",IF(MF_Pro=2,IFERROR(庫存Pro[[#This Row],[累計配息]],""),IFERROR(庫存Pro[[#This Row],[已實現配息(原幣)]],"")))</f>
        <v/>
      </c>
      <c r="N23" s="688" t="str">
        <f>IF(OR(B23="",I23=""),"",IFERROR(庫存Pro[[#This Row],[資本利損]],""))</f>
        <v/>
      </c>
      <c r="O23" s="689" t="str">
        <f>IF(OR(B23="",I23=""),"",IFERROR(庫存Pro[[#This Row],[合計收益]],""))</f>
        <v/>
      </c>
      <c r="P23" s="2078" t="str">
        <f>IF(OR(B23="",I23=""),"",庫存Pro[[#This Row],[總報酬]])</f>
        <v/>
      </c>
      <c r="Q23" s="2079"/>
      <c r="R23" s="685" t="str">
        <f>IF(OR(B23="",I23=""),"",IFERROR(庫存Pro[[#This Row],[投入佔比]],0))</f>
        <v/>
      </c>
      <c r="S23" s="2073">
        <f t="shared" si="2"/>
        <v>0</v>
      </c>
      <c r="T23" s="2073"/>
      <c r="U23" s="654" t="str">
        <f>IF(OR(B23="",I23=""),"",IFERROR(庫存Pro[[#This Row],[現值佔比]],""))</f>
        <v/>
      </c>
      <c r="V23" s="601"/>
      <c r="W23" s="606"/>
      <c r="X23" s="606"/>
      <c r="Y23" s="669"/>
      <c r="Z23" s="669"/>
      <c r="AA23" s="669"/>
      <c r="AB23" s="669"/>
      <c r="AC23" s="669"/>
      <c r="AE23" s="610">
        <f t="shared" si="1"/>
        <v>0</v>
      </c>
      <c r="AF23" s="610" t="e">
        <f ca="1">IFERROR(DATEVALUE(VLOOKUP(B23,'銀行-TSS'!B:AL,37,FALSE)),VLOOKUP(B23,'銀行-TSS'!B:AL,37,FALSE))</f>
        <v>#N/A</v>
      </c>
      <c r="AG23" s="517" t="e">
        <f ca="1">VLOOKUP(B23,'銀行-TSS'!B:N,13,FALSE)</f>
        <v>#N/A</v>
      </c>
      <c r="AH23" s="621" t="e">
        <f ca="1">VLOOKUP(B23,'銀行-TSS'!B:O,14,FALSE)</f>
        <v>#N/A</v>
      </c>
    </row>
    <row r="24" spans="2:42" ht="31" customHeight="1">
      <c r="B24" s="703"/>
      <c r="C24" s="1990" t="str">
        <f ca="1">IF(開關=TRUE,IFERROR(VLOOKUP(B24,bond!B:C,2,FALSE),""),"")</f>
        <v/>
      </c>
      <c r="D24" s="1990"/>
      <c r="E24" s="1990"/>
      <c r="F24" s="1990"/>
      <c r="G24" s="1990"/>
      <c r="H24" s="599" t="str">
        <f ca="1">IF(開關=TRUE,庫存Pro[[#This Row],[幣別]],"")</f>
        <v/>
      </c>
      <c r="I24" s="647"/>
      <c r="J24" s="597"/>
      <c r="K24" s="648"/>
      <c r="L24" s="686" t="str">
        <f>IF(OR(B24="",I24=""),"",IFERROR(庫存Pro[[#This Row],[部位現值(含前手息)]],""))</f>
        <v/>
      </c>
      <c r="M24" s="687" t="str">
        <f ca="1">IF(OR(B24="",I24="",開關=FALSE),"",IF(MF_Pro=2,IFERROR(庫存Pro[[#This Row],[累計配息]],""),IFERROR(庫存Pro[[#This Row],[已實現配息(原幣)]],"")))</f>
        <v/>
      </c>
      <c r="N24" s="688" t="str">
        <f>IF(OR(B24="",I24=""),"",IFERROR(庫存Pro[[#This Row],[資本利損]],""))</f>
        <v/>
      </c>
      <c r="O24" s="689" t="str">
        <f>IF(OR(B24="",I24=""),"",IFERROR(庫存Pro[[#This Row],[合計收益]],""))</f>
        <v/>
      </c>
      <c r="P24" s="2078" t="str">
        <f>IF(OR(B24="",I24=""),"",庫存Pro[[#This Row],[總報酬]])</f>
        <v/>
      </c>
      <c r="Q24" s="2079"/>
      <c r="R24" s="685" t="str">
        <f>IF(OR(B24="",I24=""),"",IFERROR(庫存Pro[[#This Row],[投入佔比]],0))</f>
        <v/>
      </c>
      <c r="S24" s="2073">
        <f t="shared" si="2"/>
        <v>0</v>
      </c>
      <c r="T24" s="2073"/>
      <c r="U24" s="654" t="str">
        <f>IF(OR(B24="",I24=""),"",IFERROR(庫存Pro[[#This Row],[現值佔比]],""))</f>
        <v/>
      </c>
      <c r="V24" s="601"/>
      <c r="W24" s="606"/>
      <c r="X24" s="606"/>
      <c r="Y24" s="669"/>
      <c r="Z24" s="669"/>
      <c r="AA24" s="669"/>
      <c r="AB24" s="669"/>
      <c r="AC24" s="669"/>
      <c r="AE24" s="610">
        <f t="shared" si="1"/>
        <v>0</v>
      </c>
      <c r="AF24" s="610" t="e">
        <f ca="1">IFERROR(DATEVALUE(VLOOKUP(B24,'銀行-TSS'!B:AL,37,FALSE)),VLOOKUP(B24,'銀行-TSS'!B:AL,37,FALSE))</f>
        <v>#N/A</v>
      </c>
      <c r="AG24" s="517" t="e">
        <f ca="1">VLOOKUP(B24,'銀行-TSS'!B:N,13,FALSE)</f>
        <v>#N/A</v>
      </c>
      <c r="AH24" s="621" t="e">
        <f ca="1">VLOOKUP(B24,'銀行-TSS'!B:O,14,FALSE)</f>
        <v>#N/A</v>
      </c>
    </row>
    <row r="25" spans="2:42" ht="31" customHeight="1">
      <c r="B25" s="703"/>
      <c r="C25" s="1990" t="str">
        <f ca="1">IF(開關=TRUE,IFERROR(VLOOKUP(B25,bond!B:C,2,FALSE),""),"")</f>
        <v/>
      </c>
      <c r="D25" s="1990"/>
      <c r="E25" s="1990"/>
      <c r="F25" s="1990"/>
      <c r="G25" s="1990"/>
      <c r="H25" s="599" t="str">
        <f ca="1">IF(開關=TRUE,庫存Pro[[#This Row],[幣別]],"")</f>
        <v/>
      </c>
      <c r="I25" s="647"/>
      <c r="J25" s="597"/>
      <c r="K25" s="648"/>
      <c r="L25" s="686" t="str">
        <f>IF(OR(B25="",I25=""),"",IFERROR(庫存Pro[[#This Row],[部位現值(含前手息)]],""))</f>
        <v/>
      </c>
      <c r="M25" s="687" t="str">
        <f ca="1">IF(OR(B25="",I25="",開關=FALSE),"",IF(MF_Pro=2,IFERROR(庫存Pro[[#This Row],[累計配息]],""),IFERROR(庫存Pro[[#This Row],[已實現配息(原幣)]],"")))</f>
        <v/>
      </c>
      <c r="N25" s="688" t="str">
        <f>IF(OR(B25="",I25=""),"",IFERROR(庫存Pro[[#This Row],[資本利損]],""))</f>
        <v/>
      </c>
      <c r="O25" s="689" t="str">
        <f>IF(OR(B25="",I25=""),"",IFERROR(庫存Pro[[#This Row],[合計收益]],""))</f>
        <v/>
      </c>
      <c r="P25" s="2078" t="str">
        <f>IF(OR(B25="",I25=""),"",庫存Pro[[#This Row],[總報酬]])</f>
        <v/>
      </c>
      <c r="Q25" s="2079"/>
      <c r="R25" s="685" t="str">
        <f>IF(OR(B25="",I25=""),"",IFERROR(庫存Pro[[#This Row],[投入佔比]],0))</f>
        <v/>
      </c>
      <c r="S25" s="2073">
        <f t="shared" si="2"/>
        <v>0</v>
      </c>
      <c r="T25" s="2073"/>
      <c r="U25" s="654" t="str">
        <f>IF(OR(B25="",I25=""),"",IFERROR(庫存Pro[[#This Row],[現值佔比]],""))</f>
        <v/>
      </c>
      <c r="V25" s="601"/>
      <c r="W25" s="606"/>
      <c r="X25" s="606"/>
      <c r="Y25" s="669"/>
      <c r="Z25" s="669"/>
      <c r="AA25" s="669"/>
      <c r="AB25" s="669"/>
      <c r="AC25" s="669"/>
      <c r="AE25" s="610">
        <f t="shared" si="1"/>
        <v>0</v>
      </c>
      <c r="AF25" s="610" t="e">
        <f ca="1">IFERROR(DATEVALUE(VLOOKUP(B25,'銀行-TSS'!B:AL,37,FALSE)),VLOOKUP(B25,'銀行-TSS'!B:AL,37,FALSE))</f>
        <v>#N/A</v>
      </c>
      <c r="AG25" s="517" t="e">
        <f ca="1">VLOOKUP(B25,'銀行-TSS'!B:N,13,FALSE)</f>
        <v>#N/A</v>
      </c>
      <c r="AH25" s="621" t="e">
        <f ca="1">VLOOKUP(B25,'銀行-TSS'!B:O,14,FALSE)</f>
        <v>#N/A</v>
      </c>
    </row>
    <row r="26" spans="2:42" ht="31" customHeight="1">
      <c r="B26" s="703"/>
      <c r="C26" s="1990" t="str">
        <f ca="1">IF(開關=TRUE,IFERROR(VLOOKUP(B26,bond!B:C,2,FALSE),""),"")</f>
        <v/>
      </c>
      <c r="D26" s="1990"/>
      <c r="E26" s="1990"/>
      <c r="F26" s="1990"/>
      <c r="G26" s="1990"/>
      <c r="H26" s="599" t="str">
        <f ca="1">IF(開關=TRUE,庫存Pro[[#This Row],[幣別]],"")</f>
        <v/>
      </c>
      <c r="I26" s="647"/>
      <c r="J26" s="597"/>
      <c r="K26" s="648"/>
      <c r="L26" s="686" t="str">
        <f>IF(OR(B26="",I26=""),"",IFERROR(庫存Pro[[#This Row],[部位現值(含前手息)]],""))</f>
        <v/>
      </c>
      <c r="M26" s="687" t="str">
        <f ca="1">IF(OR(B26="",I26="",開關=FALSE),"",IF(MF_Pro=2,IFERROR(庫存Pro[[#This Row],[累計配息]],""),IFERROR(庫存Pro[[#This Row],[已實現配息(原幣)]],"")))</f>
        <v/>
      </c>
      <c r="N26" s="688" t="str">
        <f>IF(OR(B26="",I26=""),"",IFERROR(庫存Pro[[#This Row],[資本利損]],""))</f>
        <v/>
      </c>
      <c r="O26" s="689" t="str">
        <f>IF(OR(B26="",I26=""),"",IFERROR(庫存Pro[[#This Row],[合計收益]],""))</f>
        <v/>
      </c>
      <c r="P26" s="2078" t="str">
        <f>IF(OR(B26="",I26=""),"",庫存Pro[[#This Row],[總報酬]])</f>
        <v/>
      </c>
      <c r="Q26" s="2079"/>
      <c r="R26" s="685" t="str">
        <f>IF(OR(B26="",I26=""),"",IFERROR(庫存Pro[[#This Row],[投入佔比]],0))</f>
        <v/>
      </c>
      <c r="S26" s="2073">
        <f t="shared" si="2"/>
        <v>0</v>
      </c>
      <c r="T26" s="2073"/>
      <c r="U26" s="654" t="str">
        <f>IF(OR(B26="",I26=""),"",IFERROR(庫存Pro[[#This Row],[現值佔比]],""))</f>
        <v/>
      </c>
      <c r="V26" s="601"/>
      <c r="W26" s="606"/>
      <c r="X26" s="606"/>
      <c r="Y26" s="669"/>
      <c r="Z26" s="669"/>
      <c r="AA26" s="669"/>
      <c r="AB26" s="669"/>
      <c r="AC26" s="669"/>
      <c r="AE26" s="610">
        <f t="shared" si="1"/>
        <v>0</v>
      </c>
      <c r="AF26" s="610" t="e">
        <f ca="1">IFERROR(DATEVALUE(VLOOKUP(B26,'銀行-TSS'!B:AL,37,FALSE)),VLOOKUP(B26,'銀行-TSS'!B:AL,37,FALSE))</f>
        <v>#N/A</v>
      </c>
      <c r="AG26" s="517" t="e">
        <f ca="1">VLOOKUP(B26,'銀行-TSS'!B:N,13,FALSE)</f>
        <v>#N/A</v>
      </c>
      <c r="AH26" s="621" t="e">
        <f ca="1">VLOOKUP(B26,'銀行-TSS'!B:O,14,FALSE)</f>
        <v>#N/A</v>
      </c>
    </row>
    <row r="27" spans="2:42" ht="31" customHeight="1">
      <c r="B27" s="703"/>
      <c r="C27" s="1990" t="str">
        <f ca="1">IF(開關=TRUE,IFERROR(VLOOKUP(B27,bond!B:C,2,FALSE),""),"")</f>
        <v/>
      </c>
      <c r="D27" s="1990"/>
      <c r="E27" s="1990"/>
      <c r="F27" s="1990"/>
      <c r="G27" s="1990"/>
      <c r="H27" s="599" t="str">
        <f ca="1">IF(開關=TRUE,庫存Pro[[#This Row],[幣別]],"")</f>
        <v/>
      </c>
      <c r="I27" s="647"/>
      <c r="J27" s="597"/>
      <c r="K27" s="648"/>
      <c r="L27" s="686" t="str">
        <f>IF(OR(B27="",I27=""),"",IFERROR(庫存Pro[[#This Row],[部位現值(含前手息)]],""))</f>
        <v/>
      </c>
      <c r="M27" s="687" t="str">
        <f ca="1">IF(OR(B27="",I27="",開關=FALSE),"",IF(MF_Pro=2,IFERROR(庫存Pro[[#This Row],[累計配息]],""),IFERROR(庫存Pro[[#This Row],[已實現配息(原幣)]],"")))</f>
        <v/>
      </c>
      <c r="N27" s="688" t="str">
        <f>IF(OR(B27="",I27=""),"",IFERROR(庫存Pro[[#This Row],[資本利損]],""))</f>
        <v/>
      </c>
      <c r="O27" s="689" t="str">
        <f>IF(OR(B27="",I27=""),"",IFERROR(庫存Pro[[#This Row],[合計收益]],""))</f>
        <v/>
      </c>
      <c r="P27" s="2078" t="str">
        <f>IF(OR(B27="",I27=""),"",庫存Pro[[#This Row],[總報酬]])</f>
        <v/>
      </c>
      <c r="Q27" s="2079"/>
      <c r="R27" s="685" t="str">
        <f>IF(OR(B27="",I27=""),"",IFERROR(庫存Pro[[#This Row],[投入佔比]],0))</f>
        <v/>
      </c>
      <c r="S27" s="2073">
        <f t="shared" si="2"/>
        <v>0</v>
      </c>
      <c r="T27" s="2073"/>
      <c r="U27" s="654" t="str">
        <f>IF(OR(B27="",I27=""),"",IFERROR(庫存Pro[[#This Row],[現值佔比]],""))</f>
        <v/>
      </c>
      <c r="V27" s="601"/>
      <c r="W27" s="606"/>
      <c r="X27" s="606"/>
      <c r="Y27" s="669"/>
      <c r="Z27" s="669"/>
      <c r="AA27" s="669"/>
      <c r="AB27" s="669"/>
      <c r="AC27" s="669"/>
      <c r="AE27" s="610">
        <f t="shared" si="1"/>
        <v>0</v>
      </c>
      <c r="AF27" s="610" t="e">
        <f ca="1">IFERROR(DATEVALUE(VLOOKUP(B27,'銀行-TSS'!B:AL,37,FALSE)),VLOOKUP(B27,'銀行-TSS'!B:AL,37,FALSE))</f>
        <v>#N/A</v>
      </c>
      <c r="AG27" s="517" t="e">
        <f ca="1">VLOOKUP(B27,'銀行-TSS'!B:N,13,FALSE)</f>
        <v>#N/A</v>
      </c>
      <c r="AH27" s="621" t="e">
        <f ca="1">VLOOKUP(B27,'銀行-TSS'!B:O,14,FALSE)</f>
        <v>#N/A</v>
      </c>
    </row>
    <row r="28" spans="2:42" ht="31" customHeight="1">
      <c r="B28" s="703"/>
      <c r="C28" s="1990" t="str">
        <f ca="1">IF(開關=TRUE,IFERROR(VLOOKUP(B28,bond!B:C,2,FALSE),""),"")</f>
        <v/>
      </c>
      <c r="D28" s="1990"/>
      <c r="E28" s="1990"/>
      <c r="F28" s="1990"/>
      <c r="G28" s="1990"/>
      <c r="H28" s="599" t="str">
        <f ca="1">IF(開關=TRUE,庫存Pro[[#This Row],[幣別]],"")</f>
        <v/>
      </c>
      <c r="I28" s="647"/>
      <c r="J28" s="597"/>
      <c r="K28" s="648"/>
      <c r="L28" s="686" t="str">
        <f>IF(OR(B28="",I28=""),"",IFERROR(庫存Pro[[#This Row],[部位現值(含前手息)]],""))</f>
        <v/>
      </c>
      <c r="M28" s="687" t="str">
        <f ca="1">IF(OR(B28="",I28="",開關=FALSE),"",IF(MF_Pro=2,IFERROR(庫存Pro[[#This Row],[累計配息]],""),IFERROR(庫存Pro[[#This Row],[已實現配息(原幣)]],"")))</f>
        <v/>
      </c>
      <c r="N28" s="688" t="str">
        <f>IF(OR(B28="",I28=""),"",IFERROR(庫存Pro[[#This Row],[資本利損]],""))</f>
        <v/>
      </c>
      <c r="O28" s="689" t="str">
        <f>IF(OR(B28="",I28=""),"",IFERROR(庫存Pro[[#This Row],[合計收益]],""))</f>
        <v/>
      </c>
      <c r="P28" s="2078" t="str">
        <f>IF(OR(B28="",I28=""),"",庫存Pro[[#This Row],[總報酬]])</f>
        <v/>
      </c>
      <c r="Q28" s="2079"/>
      <c r="R28" s="685" t="str">
        <f>IF(OR(B28="",I28=""),"",IFERROR(庫存Pro[[#This Row],[投入佔比]],0))</f>
        <v/>
      </c>
      <c r="S28" s="2073">
        <f t="shared" si="2"/>
        <v>0</v>
      </c>
      <c r="T28" s="2073"/>
      <c r="U28" s="654" t="str">
        <f>IF(OR(B28="",I28=""),"",IFERROR(庫存Pro[[#This Row],[現值佔比]],""))</f>
        <v/>
      </c>
      <c r="V28" s="601"/>
      <c r="W28" s="606"/>
      <c r="X28" s="606"/>
      <c r="Y28" s="669"/>
      <c r="Z28" s="669"/>
      <c r="AA28" s="669"/>
      <c r="AB28" s="669"/>
      <c r="AC28" s="669"/>
      <c r="AE28" s="610">
        <f t="shared" si="1"/>
        <v>0</v>
      </c>
      <c r="AF28" s="610" t="e">
        <f ca="1">IFERROR(DATEVALUE(VLOOKUP(B28,'銀行-TSS'!B:AL,37,FALSE)),VLOOKUP(B28,'銀行-TSS'!B:AL,37,FALSE))</f>
        <v>#N/A</v>
      </c>
      <c r="AG28" s="517" t="e">
        <f ca="1">VLOOKUP(B28,'銀行-TSS'!B:N,13,FALSE)</f>
        <v>#N/A</v>
      </c>
      <c r="AH28" s="621" t="e">
        <f ca="1">VLOOKUP(B28,'銀行-TSS'!B:O,14,FALSE)</f>
        <v>#N/A</v>
      </c>
    </row>
    <row r="29" spans="2:42" ht="31" customHeight="1">
      <c r="B29" s="703"/>
      <c r="C29" s="1990" t="str">
        <f ca="1">IF(開關=TRUE,IFERROR(VLOOKUP(B29,bond!B:C,2,FALSE),""),"")</f>
        <v/>
      </c>
      <c r="D29" s="1990"/>
      <c r="E29" s="1990"/>
      <c r="F29" s="1990"/>
      <c r="G29" s="1990"/>
      <c r="H29" s="599" t="str">
        <f ca="1">IF(開關=TRUE,庫存Pro[[#This Row],[幣別]],"")</f>
        <v/>
      </c>
      <c r="I29" s="647"/>
      <c r="J29" s="597"/>
      <c r="K29" s="648"/>
      <c r="L29" s="686" t="str">
        <f>IF(OR(B29="",I29=""),"",IFERROR(庫存Pro[[#This Row],[部位現值(含前手息)]],""))</f>
        <v/>
      </c>
      <c r="M29" s="687" t="str">
        <f ca="1">IF(OR(B29="",I29="",開關=FALSE),"",IF(MF_Pro=2,IFERROR(庫存Pro[[#This Row],[累計配息]],""),IFERROR(庫存Pro[[#This Row],[已實現配息(原幣)]],"")))</f>
        <v/>
      </c>
      <c r="N29" s="688" t="str">
        <f>IF(OR(B29="",I29=""),"",IFERROR(庫存Pro[[#This Row],[資本利損]],""))</f>
        <v/>
      </c>
      <c r="O29" s="689" t="str">
        <f>IF(OR(B29="",I29=""),"",IFERROR(庫存Pro[[#This Row],[合計收益]],""))</f>
        <v/>
      </c>
      <c r="P29" s="2078" t="str">
        <f>IF(OR(B29="",I29=""),"",庫存Pro[[#This Row],[總報酬]])</f>
        <v/>
      </c>
      <c r="Q29" s="2079"/>
      <c r="R29" s="685" t="str">
        <f>IF(OR(B29="",I29=""),"",IFERROR(庫存Pro[[#This Row],[投入佔比]],0))</f>
        <v/>
      </c>
      <c r="S29" s="2073">
        <f t="shared" si="2"/>
        <v>0</v>
      </c>
      <c r="T29" s="2073"/>
      <c r="U29" s="654" t="str">
        <f>IF(OR(B29="",I29=""),"",IFERROR(庫存Pro[[#This Row],[現值佔比]],""))</f>
        <v/>
      </c>
      <c r="V29" s="601"/>
      <c r="W29" s="606"/>
      <c r="X29" s="606"/>
      <c r="Y29" s="669"/>
      <c r="Z29" s="669"/>
      <c r="AA29" s="669"/>
      <c r="AB29" s="669"/>
      <c r="AC29" s="669"/>
      <c r="AE29" s="610">
        <f t="shared" si="1"/>
        <v>0</v>
      </c>
      <c r="AF29" s="610" t="e">
        <f ca="1">IFERROR(DATEVALUE(VLOOKUP(B29,'銀行-TSS'!B:AL,37,FALSE)),VLOOKUP(B29,'銀行-TSS'!B:AL,37,FALSE))</f>
        <v>#N/A</v>
      </c>
      <c r="AG29" s="517" t="e">
        <f ca="1">VLOOKUP(B29,'銀行-TSS'!B:N,13,FALSE)</f>
        <v>#N/A</v>
      </c>
      <c r="AH29" s="621" t="e">
        <f ca="1">VLOOKUP(B29,'銀行-TSS'!B:O,14,FALSE)</f>
        <v>#N/A</v>
      </c>
    </row>
    <row r="30" spans="2:42" ht="31" customHeight="1">
      <c r="B30" s="703"/>
      <c r="C30" s="1990" t="str">
        <f ca="1">IF(開關=TRUE,IFERROR(VLOOKUP(B30,bond!B:C,2,FALSE),""),"")</f>
        <v/>
      </c>
      <c r="D30" s="1990"/>
      <c r="E30" s="1990"/>
      <c r="F30" s="1990"/>
      <c r="G30" s="1990"/>
      <c r="H30" s="599" t="str">
        <f ca="1">IF(開關=TRUE,庫存Pro[[#This Row],[幣別]],"")</f>
        <v/>
      </c>
      <c r="I30" s="647"/>
      <c r="J30" s="597"/>
      <c r="K30" s="648"/>
      <c r="L30" s="686" t="str">
        <f>IF(OR(B30="",I30=""),"",IFERROR(庫存Pro[[#This Row],[部位現值(含前手息)]],""))</f>
        <v/>
      </c>
      <c r="M30" s="687" t="str">
        <f ca="1">IF(OR(B30="",I30="",開關=FALSE),"",IF(MF_Pro=2,IFERROR(庫存Pro[[#This Row],[累計配息]],""),IFERROR(庫存Pro[[#This Row],[已實現配息(原幣)]],"")))</f>
        <v/>
      </c>
      <c r="N30" s="688" t="str">
        <f>IF(OR(B30="",I30=""),"",IFERROR(庫存Pro[[#This Row],[資本利損]],""))</f>
        <v/>
      </c>
      <c r="O30" s="689" t="str">
        <f>IF(OR(B30="",I30=""),"",IFERROR(庫存Pro[[#This Row],[合計收益]],""))</f>
        <v/>
      </c>
      <c r="P30" s="2078" t="str">
        <f>IF(OR(B30="",I30=""),"",庫存Pro[[#This Row],[總報酬]])</f>
        <v/>
      </c>
      <c r="Q30" s="2079"/>
      <c r="R30" s="685" t="str">
        <f>IF(OR(B30="",I30=""),"",IFERROR(庫存Pro[[#This Row],[投入佔比]],0))</f>
        <v/>
      </c>
      <c r="S30" s="2073">
        <f t="shared" si="2"/>
        <v>0</v>
      </c>
      <c r="T30" s="2073"/>
      <c r="U30" s="654" t="str">
        <f>IF(OR(B30="",I30=""),"",IFERROR(庫存Pro[[#This Row],[現值佔比]],""))</f>
        <v/>
      </c>
      <c r="V30" s="601"/>
      <c r="W30" s="606"/>
      <c r="X30" s="606"/>
      <c r="Y30" s="669"/>
      <c r="Z30" s="669"/>
      <c r="AA30" s="669"/>
      <c r="AB30" s="669"/>
      <c r="AC30" s="669"/>
      <c r="AE30" s="610">
        <f t="shared" si="1"/>
        <v>0</v>
      </c>
      <c r="AF30" s="610" t="e">
        <f ca="1">IFERROR(DATEVALUE(VLOOKUP(B30,'銀行-TSS'!B:AL,37,FALSE)),VLOOKUP(B30,'銀行-TSS'!B:AL,37,FALSE))</f>
        <v>#N/A</v>
      </c>
      <c r="AG30" s="517" t="e">
        <f ca="1">VLOOKUP(B30,'銀行-TSS'!B:N,13,FALSE)</f>
        <v>#N/A</v>
      </c>
      <c r="AH30" s="621" t="e">
        <f ca="1">VLOOKUP(B30,'銀行-TSS'!B:O,14,FALSE)</f>
        <v>#N/A</v>
      </c>
    </row>
    <row r="31" spans="2:42" ht="31" customHeight="1">
      <c r="B31" s="703"/>
      <c r="C31" s="1990" t="str">
        <f ca="1">IF(開關=TRUE,IFERROR(VLOOKUP(B31,bond!B:C,2,FALSE),""),"")</f>
        <v/>
      </c>
      <c r="D31" s="1990"/>
      <c r="E31" s="1990"/>
      <c r="F31" s="1990"/>
      <c r="G31" s="1990"/>
      <c r="H31" s="599" t="str">
        <f ca="1">IF(開關=TRUE,庫存Pro[[#This Row],[幣別]],"")</f>
        <v/>
      </c>
      <c r="I31" s="647"/>
      <c r="J31" s="597"/>
      <c r="K31" s="648"/>
      <c r="L31" s="686" t="str">
        <f>IF(OR(B31="",I31=""),"",IFERROR(庫存Pro[[#This Row],[部位現值(含前手息)]],""))</f>
        <v/>
      </c>
      <c r="M31" s="687" t="str">
        <f ca="1">IF(OR(B31="",I31="",開關=FALSE),"",IF(MF_Pro=2,IFERROR(庫存Pro[[#This Row],[累計配息]],""),IFERROR(庫存Pro[[#This Row],[已實現配息(原幣)]],"")))</f>
        <v/>
      </c>
      <c r="N31" s="688" t="str">
        <f>IF(OR(B31="",I31=""),"",IFERROR(庫存Pro[[#This Row],[資本利損]],""))</f>
        <v/>
      </c>
      <c r="O31" s="689" t="str">
        <f>IF(OR(B31="",I31=""),"",IFERROR(庫存Pro[[#This Row],[合計收益]],""))</f>
        <v/>
      </c>
      <c r="P31" s="2078" t="str">
        <f>IF(OR(B31="",I31=""),"",庫存Pro[[#This Row],[總報酬]])</f>
        <v/>
      </c>
      <c r="Q31" s="2079"/>
      <c r="R31" s="685" t="str">
        <f>IF(OR(B31="",I31=""),"",IFERROR(庫存Pro[[#This Row],[投入佔比]],0))</f>
        <v/>
      </c>
      <c r="S31" s="2073">
        <f t="shared" si="2"/>
        <v>0</v>
      </c>
      <c r="T31" s="2073"/>
      <c r="U31" s="654" t="str">
        <f>IF(OR(B31="",I31=""),"",IFERROR(庫存Pro[[#This Row],[現值佔比]],""))</f>
        <v/>
      </c>
      <c r="V31" s="601"/>
      <c r="W31" s="606"/>
      <c r="X31" s="606"/>
      <c r="Y31" s="669"/>
      <c r="Z31" s="669"/>
      <c r="AA31" s="669"/>
      <c r="AB31" s="669"/>
      <c r="AC31" s="669"/>
      <c r="AE31" s="610">
        <f t="shared" si="1"/>
        <v>0</v>
      </c>
      <c r="AF31" s="610" t="e">
        <f ca="1">IFERROR(DATEVALUE(VLOOKUP(B31,'銀行-TSS'!B:AL,37,FALSE)),VLOOKUP(B31,'銀行-TSS'!B:AL,37,FALSE))</f>
        <v>#N/A</v>
      </c>
      <c r="AG31" s="517" t="e">
        <f ca="1">VLOOKUP(B31,'銀行-TSS'!B:N,13,FALSE)</f>
        <v>#N/A</v>
      </c>
      <c r="AH31" s="621" t="e">
        <f ca="1">VLOOKUP(B31,'銀行-TSS'!B:O,14,FALSE)</f>
        <v>#N/A</v>
      </c>
    </row>
    <row r="32" spans="2:42" ht="31" customHeight="1">
      <c r="B32" s="703"/>
      <c r="C32" s="1990" t="str">
        <f ca="1">IF(開關=TRUE,IFERROR(VLOOKUP(B32,bond!B:C,2,FALSE),""),"")</f>
        <v/>
      </c>
      <c r="D32" s="1990"/>
      <c r="E32" s="1990"/>
      <c r="F32" s="1990"/>
      <c r="G32" s="1990"/>
      <c r="H32" s="599" t="str">
        <f ca="1">IF(開關=TRUE,庫存Pro[[#This Row],[幣別]],"")</f>
        <v/>
      </c>
      <c r="I32" s="647"/>
      <c r="J32" s="597"/>
      <c r="K32" s="648"/>
      <c r="L32" s="686" t="str">
        <f>IF(OR(B32="",I32=""),"",IFERROR(庫存Pro[[#This Row],[部位現值(含前手息)]],""))</f>
        <v/>
      </c>
      <c r="M32" s="687" t="str">
        <f ca="1">IF(OR(B32="",I32="",開關=FALSE),"",IF(MF_Pro=2,IFERROR(庫存Pro[[#This Row],[累計配息]],""),IFERROR(庫存Pro[[#This Row],[已實現配息(原幣)]],"")))</f>
        <v/>
      </c>
      <c r="N32" s="688" t="str">
        <f>IF(OR(B32="",I32=""),"",IFERROR(庫存Pro[[#This Row],[資本利損]],""))</f>
        <v/>
      </c>
      <c r="O32" s="689" t="str">
        <f>IF(OR(B32="",I32=""),"",IFERROR(庫存Pro[[#This Row],[合計收益]],""))</f>
        <v/>
      </c>
      <c r="P32" s="2078" t="str">
        <f>IF(OR(B32="",I32=""),"",庫存Pro[[#This Row],[總報酬]])</f>
        <v/>
      </c>
      <c r="Q32" s="2079"/>
      <c r="R32" s="685" t="str">
        <f>IF(OR(B32="",I32=""),"",IFERROR(庫存Pro[[#This Row],[投入佔比]],0))</f>
        <v/>
      </c>
      <c r="S32" s="2073">
        <f t="shared" si="2"/>
        <v>0</v>
      </c>
      <c r="T32" s="2073"/>
      <c r="U32" s="654" t="str">
        <f>IF(OR(B32="",I32=""),"",IFERROR(庫存Pro[[#This Row],[現值佔比]],""))</f>
        <v/>
      </c>
      <c r="V32" s="601"/>
      <c r="W32" s="606"/>
      <c r="X32" s="606"/>
      <c r="Y32" s="669"/>
      <c r="Z32" s="669"/>
      <c r="AA32" s="669"/>
      <c r="AB32" s="669"/>
      <c r="AC32" s="669"/>
      <c r="AE32" s="610">
        <f t="shared" si="1"/>
        <v>0</v>
      </c>
      <c r="AF32" s="610" t="e">
        <f ca="1">IFERROR(DATEVALUE(VLOOKUP(B32,'銀行-TSS'!B:AL,37,FALSE)),VLOOKUP(B32,'銀行-TSS'!B:AL,37,FALSE))</f>
        <v>#N/A</v>
      </c>
      <c r="AG32" s="517" t="e">
        <f ca="1">VLOOKUP(B32,'銀行-TSS'!B:N,13,FALSE)</f>
        <v>#N/A</v>
      </c>
      <c r="AH32" s="621" t="e">
        <f ca="1">VLOOKUP(B32,'銀行-TSS'!B:O,14,FALSE)</f>
        <v>#N/A</v>
      </c>
    </row>
    <row r="33" spans="2:40" ht="31" customHeight="1">
      <c r="B33" s="703"/>
      <c r="C33" s="1990" t="str">
        <f ca="1">IF(開關=TRUE,IFERROR(VLOOKUP(B33,bond!B:C,2,FALSE),""),"")</f>
        <v/>
      </c>
      <c r="D33" s="1990"/>
      <c r="E33" s="1990"/>
      <c r="F33" s="1990"/>
      <c r="G33" s="1990"/>
      <c r="H33" s="599" t="str">
        <f ca="1">IF(開關=TRUE,庫存Pro[[#This Row],[幣別]],"")</f>
        <v/>
      </c>
      <c r="I33" s="647"/>
      <c r="J33" s="597"/>
      <c r="K33" s="648"/>
      <c r="L33" s="686" t="str">
        <f>IF(OR(B33="",I33=""),"",IFERROR(庫存Pro[[#This Row],[部位現值(含前手息)]],""))</f>
        <v/>
      </c>
      <c r="M33" s="687" t="str">
        <f ca="1">IF(OR(B33="",I33="",開關=FALSE),"",IF(MF_Pro=2,IFERROR(庫存Pro[[#This Row],[累計配息]],""),IFERROR(庫存Pro[[#This Row],[已實現配息(原幣)]],"")))</f>
        <v/>
      </c>
      <c r="N33" s="688" t="str">
        <f>IF(OR(B33="",I33=""),"",IFERROR(庫存Pro[[#This Row],[資本利損]],""))</f>
        <v/>
      </c>
      <c r="O33" s="689" t="str">
        <f>IF(OR(B33="",I33=""),"",IFERROR(庫存Pro[[#This Row],[合計收益]],""))</f>
        <v/>
      </c>
      <c r="P33" s="2078" t="str">
        <f>IF(OR(B33="",I33=""),"",庫存Pro[[#This Row],[總報酬]])</f>
        <v/>
      </c>
      <c r="Q33" s="2079"/>
      <c r="R33" s="685" t="str">
        <f>IF(OR(B33="",I33=""),"",IFERROR(庫存Pro[[#This Row],[投入佔比]],0))</f>
        <v/>
      </c>
      <c r="S33" s="2073">
        <f t="shared" si="2"/>
        <v>0</v>
      </c>
      <c r="T33" s="2073"/>
      <c r="U33" s="654" t="str">
        <f>IF(OR(B33="",I33=""),"",IFERROR(庫存Pro[[#This Row],[現值佔比]],""))</f>
        <v/>
      </c>
      <c r="V33" s="601"/>
      <c r="W33" s="606"/>
      <c r="X33" s="606"/>
      <c r="Y33" s="669"/>
      <c r="Z33" s="669"/>
      <c r="AA33" s="669"/>
      <c r="AB33" s="669"/>
      <c r="AC33" s="669"/>
      <c r="AE33" s="610">
        <f t="shared" si="1"/>
        <v>0</v>
      </c>
      <c r="AF33" s="610" t="e">
        <f ca="1">IFERROR(DATEVALUE(VLOOKUP(B33,'銀行-TSS'!B:AL,37,FALSE)),VLOOKUP(B33,'銀行-TSS'!B:AL,37,FALSE))</f>
        <v>#N/A</v>
      </c>
      <c r="AG33" s="517" t="e">
        <f ca="1">VLOOKUP(B33,'銀行-TSS'!B:N,13,FALSE)</f>
        <v>#N/A</v>
      </c>
      <c r="AH33" s="621" t="e">
        <f ca="1">VLOOKUP(B33,'銀行-TSS'!B:O,14,FALSE)</f>
        <v>#N/A</v>
      </c>
    </row>
    <row r="34" spans="2:40" ht="31" customHeight="1">
      <c r="B34" s="703"/>
      <c r="C34" s="1990" t="str">
        <f ca="1">IF(開關=TRUE,IFERROR(VLOOKUP(B34,bond!B:C,2,FALSE),""),"")</f>
        <v/>
      </c>
      <c r="D34" s="1990"/>
      <c r="E34" s="1990"/>
      <c r="F34" s="1990"/>
      <c r="G34" s="1990"/>
      <c r="H34" s="599" t="str">
        <f ca="1">IF(開關=TRUE,庫存Pro[[#This Row],[幣別]],"")</f>
        <v/>
      </c>
      <c r="I34" s="647"/>
      <c r="J34" s="597"/>
      <c r="K34" s="648"/>
      <c r="L34" s="686" t="str">
        <f>IF(OR(B34="",I34=""),"",IFERROR(庫存Pro[[#This Row],[部位現值(含前手息)]],""))</f>
        <v/>
      </c>
      <c r="M34" s="687" t="str">
        <f ca="1">IF(OR(B34="",I34="",開關=FALSE),"",IF(MF_Pro=2,IFERROR(庫存Pro[[#This Row],[累計配息]],""),IFERROR(庫存Pro[[#This Row],[已實現配息(原幣)]],"")))</f>
        <v/>
      </c>
      <c r="N34" s="688" t="str">
        <f>IF(OR(B34="",I34=""),"",IFERROR(庫存Pro[[#This Row],[資本利損]],""))</f>
        <v/>
      </c>
      <c r="O34" s="689" t="str">
        <f>IF(OR(B34="",I34=""),"",IFERROR(庫存Pro[[#This Row],[合計收益]],""))</f>
        <v/>
      </c>
      <c r="P34" s="2078" t="str">
        <f>IF(OR(B34="",I34=""),"",庫存Pro[[#This Row],[總報酬]])</f>
        <v/>
      </c>
      <c r="Q34" s="2079"/>
      <c r="R34" s="685" t="str">
        <f>IF(OR(B34="",I34=""),"",IFERROR(庫存Pro[[#This Row],[投入佔比]],0))</f>
        <v/>
      </c>
      <c r="S34" s="2073">
        <f t="shared" si="2"/>
        <v>0</v>
      </c>
      <c r="T34" s="2073"/>
      <c r="U34" s="654" t="str">
        <f>IF(OR(B34="",I34=""),"",IFERROR(庫存Pro[[#This Row],[現值佔比]],""))</f>
        <v/>
      </c>
      <c r="V34" s="601"/>
      <c r="W34" s="606"/>
      <c r="X34" s="606"/>
      <c r="Y34" s="669"/>
      <c r="Z34" s="669"/>
      <c r="AA34" s="669"/>
      <c r="AB34" s="669"/>
      <c r="AC34" s="669"/>
      <c r="AE34" s="610">
        <f t="shared" si="1"/>
        <v>0</v>
      </c>
      <c r="AF34" s="610" t="e">
        <f ca="1">IFERROR(DATEVALUE(VLOOKUP(B34,'銀行-TSS'!B:AL,37,FALSE)),VLOOKUP(B34,'銀行-TSS'!B:AL,37,FALSE))</f>
        <v>#N/A</v>
      </c>
      <c r="AG34" s="517" t="e">
        <f ca="1">VLOOKUP(B34,'銀行-TSS'!B:N,13,FALSE)</f>
        <v>#N/A</v>
      </c>
      <c r="AH34" s="621" t="e">
        <f ca="1">VLOOKUP(B34,'銀行-TSS'!B:O,14,FALSE)</f>
        <v>#N/A</v>
      </c>
    </row>
    <row r="35" spans="2:40" ht="31" customHeight="1">
      <c r="B35" s="703"/>
      <c r="C35" s="1990" t="str">
        <f ca="1">IF(開關=TRUE,IFERROR(VLOOKUP(B35,bond!B:C,2,FALSE),""),"")</f>
        <v/>
      </c>
      <c r="D35" s="1990"/>
      <c r="E35" s="1990"/>
      <c r="F35" s="1990"/>
      <c r="G35" s="1990"/>
      <c r="H35" s="599" t="str">
        <f ca="1">IF(開關=TRUE,庫存Pro[[#This Row],[幣別]],"")</f>
        <v/>
      </c>
      <c r="I35" s="647"/>
      <c r="J35" s="597"/>
      <c r="K35" s="648"/>
      <c r="L35" s="686" t="str">
        <f>IF(OR(B35="",I35=""),"",IFERROR(庫存Pro[[#This Row],[部位現值(含前手息)]],""))</f>
        <v/>
      </c>
      <c r="M35" s="687" t="str">
        <f ca="1">IF(OR(B35="",I35="",開關=FALSE),"",IF(MF_Pro=2,IFERROR(庫存Pro[[#This Row],[累計配息]],""),IFERROR(庫存Pro[[#This Row],[已實現配息(原幣)]],"")))</f>
        <v/>
      </c>
      <c r="N35" s="688" t="str">
        <f>IF(OR(B35="",I35=""),"",IFERROR(庫存Pro[[#This Row],[資本利損]],""))</f>
        <v/>
      </c>
      <c r="O35" s="689" t="str">
        <f>IF(OR(B35="",I35=""),"",IFERROR(庫存Pro[[#This Row],[合計收益]],""))</f>
        <v/>
      </c>
      <c r="P35" s="2078" t="str">
        <f>IF(OR(B35="",I35=""),"",庫存Pro[[#This Row],[總報酬]])</f>
        <v/>
      </c>
      <c r="Q35" s="2079"/>
      <c r="R35" s="685" t="str">
        <f>IF(OR(B35="",I35=""),"",IFERROR(庫存Pro[[#This Row],[投入佔比]],0))</f>
        <v/>
      </c>
      <c r="S35" s="2073">
        <f t="shared" si="2"/>
        <v>0</v>
      </c>
      <c r="T35" s="2073"/>
      <c r="U35" s="654" t="str">
        <f>IF(OR(B35="",I35=""),"",IFERROR(庫存Pro[[#This Row],[現值佔比]],""))</f>
        <v/>
      </c>
      <c r="V35" s="601"/>
      <c r="W35" s="606"/>
      <c r="X35" s="606"/>
      <c r="Y35" s="669"/>
      <c r="Z35" s="669"/>
      <c r="AA35" s="669"/>
      <c r="AB35" s="669"/>
      <c r="AC35" s="669"/>
      <c r="AE35" s="610">
        <f t="shared" si="1"/>
        <v>0</v>
      </c>
      <c r="AF35" s="610" t="e">
        <f ca="1">IFERROR(DATEVALUE(VLOOKUP(B35,'銀行-TSS'!B:AL,37,FALSE)),VLOOKUP(B35,'銀行-TSS'!B:AL,37,FALSE))</f>
        <v>#N/A</v>
      </c>
      <c r="AG35" s="517" t="e">
        <f ca="1">VLOOKUP(B35,'銀行-TSS'!B:N,13,FALSE)</f>
        <v>#N/A</v>
      </c>
      <c r="AH35" s="621" t="e">
        <f ca="1">VLOOKUP(B35,'銀行-TSS'!B:O,14,FALSE)</f>
        <v>#N/A</v>
      </c>
    </row>
    <row r="36" spans="2:40" ht="31" customHeight="1" thickBot="1">
      <c r="B36" s="703"/>
      <c r="C36" s="1990" t="str">
        <f ca="1">IF(開關=TRUE,IFERROR(VLOOKUP(B36,bond!B:C,2,FALSE),""),"")</f>
        <v/>
      </c>
      <c r="D36" s="1990"/>
      <c r="E36" s="1990"/>
      <c r="F36" s="1990"/>
      <c r="G36" s="1990"/>
      <c r="H36" s="599" t="str">
        <f ca="1">IF(開關=TRUE,庫存Pro[[#This Row],[幣別]],"")</f>
        <v/>
      </c>
      <c r="I36" s="647"/>
      <c r="J36" s="597"/>
      <c r="K36" s="648"/>
      <c r="L36" s="686" t="str">
        <f>IF(OR(B36="",I36=""),"",IFERROR(庫存Pro[[#This Row],[部位現值(含前手息)]],""))</f>
        <v/>
      </c>
      <c r="M36" s="687" t="str">
        <f ca="1">IF(OR(B36="",I36="",開關=FALSE),"",IF(MF_Pro=2,IFERROR(庫存Pro[[#This Row],[累計配息]],""),IFERROR(庫存Pro[[#This Row],[已實現配息(原幣)]],"")))</f>
        <v/>
      </c>
      <c r="N36" s="688" t="str">
        <f>IF(OR(B36="",I36=""),"",IFERROR(庫存Pro[[#This Row],[資本利損]],""))</f>
        <v/>
      </c>
      <c r="O36" s="689" t="str">
        <f>IF(OR(B36="",I36=""),"",IFERROR(庫存Pro[[#This Row],[合計收益]],""))</f>
        <v/>
      </c>
      <c r="P36" s="2078" t="str">
        <f>IF(OR(B36="",I36=""),"",庫存Pro[[#This Row],[總報酬]])</f>
        <v/>
      </c>
      <c r="Q36" s="2079"/>
      <c r="R36" s="685" t="str">
        <f>IF(OR(B36="",I36=""),"",IFERROR(庫存Pro[[#This Row],[投入佔比]],0))</f>
        <v/>
      </c>
      <c r="S36" s="2073">
        <f t="shared" si="2"/>
        <v>0</v>
      </c>
      <c r="T36" s="2073"/>
      <c r="U36" s="654" t="str">
        <f>IF(OR(B36="",I36=""),"",IFERROR(庫存Pro[[#This Row],[現值佔比]],""))</f>
        <v/>
      </c>
      <c r="V36" s="601"/>
      <c r="W36" s="606"/>
      <c r="X36" s="606"/>
      <c r="Y36" s="669"/>
      <c r="Z36" s="669"/>
      <c r="AA36" s="669"/>
      <c r="AB36" s="669"/>
      <c r="AC36" s="669"/>
      <c r="AE36" s="610">
        <f t="shared" si="1"/>
        <v>0</v>
      </c>
      <c r="AF36" s="610" t="e">
        <f ca="1">IFERROR(DATEVALUE(VLOOKUP(B36,'銀行-TSS'!B:AL,37,FALSE)),VLOOKUP(B36,'銀行-TSS'!B:AL,37,FALSE))</f>
        <v>#N/A</v>
      </c>
      <c r="AG36" s="517" t="e">
        <f ca="1">VLOOKUP(B36,'銀行-TSS'!B:N,13,FALSE)</f>
        <v>#N/A</v>
      </c>
      <c r="AH36" s="621" t="e">
        <f ca="1">VLOOKUP(B36,'銀行-TSS'!B:O,14,FALSE)</f>
        <v>#N/A</v>
      </c>
    </row>
    <row r="37" spans="2:40" s="517" customFormat="1" ht="32.15" customHeight="1" thickTop="1">
      <c r="B37" s="2235" t="s">
        <v>2047</v>
      </c>
      <c r="C37" s="2235"/>
      <c r="D37" s="2235"/>
      <c r="E37" s="2235"/>
      <c r="F37" s="2235"/>
      <c r="G37" s="2236"/>
      <c r="H37" s="691" t="str">
        <f ca="1">IFERROR(IF('Tssco-bond portfolio(Pro)'!BO1&gt;1,"TWD",IF('績效圖(Pro)'!A1=1,"TWD",'Tssco-bond portfolio(Pro)'!BP2)),"")</f>
        <v>TWD</v>
      </c>
      <c r="I37" s="692"/>
      <c r="J37" s="693" t="str">
        <f ca="1">IFERROR(IF(H37&lt;&gt;"TWD",TEXT('Tssco-bond portfolio(Pro)'!V1,"#,##0"),TEXT('Tssco-bond portfolio(Pro)'!BS1,"#,##0")),"")</f>
        <v>55,217,700</v>
      </c>
      <c r="K37" s="694" t="str">
        <f ca="1">IFERROR(IF(H37&lt;&gt;"TWD",TEXT('Tssco-bond portfolio(Pro)'!W1,"#,##0.00"),TEXT('Tssco-bond portfolio(Pro)'!BT1,"#,##0")),"")</f>
        <v>37,587,120</v>
      </c>
      <c r="L37" s="695" t="str">
        <f ca="1">IFERROR(IF(H37&lt;&gt;"TWD",TEXT('Tssco-bond portfolio(Pro)'!Y1,"#,##0.00"),TEXT('Tssco-bond portfolio(Pro)'!BV1,"#,##0")),"")</f>
        <v>40,644,810</v>
      </c>
      <c r="M37" s="1093" t="str">
        <f ca="1">IFERROR(IF(H37&lt;&gt;"TWD",IF(MF_Pro=2,TEXT('Tssco-bond portfolio(Pro)'!AR1,"#,##0.00"),TEXT('Tssco-bond portfolio(Pro)'!CM1,"#,##0.00")),TEXT('Tssco-bond portfolio(Pro)'!BX1,"#,##0")),"")</f>
        <v>1,722,711</v>
      </c>
      <c r="N37" s="1091">
        <f ca="1">IFERROR(IF(H37&lt;&gt;"TWD",TEXT('Tssco-bond portfolio(Pro)'!AA1,"#,##0.00"),L37-K37),"")</f>
        <v>3057690</v>
      </c>
      <c r="O37" s="1092">
        <f ca="1">IFERROR(IF(H37&lt;&gt;"TWD",TEXT('Tssco-bond portfolio(Pro)'!AT1,"#,##0.00"),M37+N37),"")</f>
        <v>4780401</v>
      </c>
      <c r="P37" s="2080">
        <f ca="1">IFERROR(IF(H37&lt;&gt;"TWD",'Tssco-bond portfolio(Pro)'!AU1,'Tssco-bond portfolio(Pro)'!CD1),"")</f>
        <v>0.12718189918780695</v>
      </c>
      <c r="Q37" s="2082"/>
      <c r="R37" s="696"/>
      <c r="S37" s="696"/>
      <c r="T37" s="690"/>
      <c r="U37" s="690"/>
      <c r="W37" s="607"/>
      <c r="X37" s="607"/>
      <c r="Y37" s="670"/>
      <c r="Z37" s="670"/>
      <c r="AA37" s="670"/>
      <c r="AB37" s="670"/>
      <c r="AC37" s="670"/>
      <c r="AD37" s="518"/>
      <c r="AE37" s="678"/>
      <c r="AF37" s="678"/>
      <c r="AG37" s="55" ph="1"/>
      <c r="AH37" s="55" ph="1"/>
      <c r="AI37" s="55" ph="1"/>
      <c r="AJ37" s="55" ph="1"/>
      <c r="AK37" s="55" ph="1"/>
    </row>
    <row r="38" spans="2:40" ht="12.25" customHeight="1">
      <c r="N38" s="508"/>
      <c r="O38" s="506"/>
      <c r="P38" s="2068"/>
      <c r="Q38" s="2068"/>
      <c r="R38" s="2069"/>
      <c r="S38" s="2069"/>
      <c r="T38" s="2069"/>
      <c r="U38" s="2069"/>
      <c r="W38" s="505"/>
      <c r="X38" s="505"/>
      <c r="Y38" s="505"/>
      <c r="Z38" s="505"/>
      <c r="AA38" s="505"/>
      <c r="AB38" s="505"/>
      <c r="AC38" s="505"/>
      <c r="AD38" s="518"/>
      <c r="AE38" s="678"/>
      <c r="AF38" s="678"/>
      <c r="AG38" s="55" ph="1"/>
      <c r="AH38" s="55" ph="1"/>
      <c r="AI38" s="55" ph="1"/>
      <c r="AJ38" s="55" ph="1"/>
      <c r="AK38" s="55" ph="1"/>
      <c r="AL38" s="55" ph="1"/>
      <c r="AM38" s="55" ph="1"/>
      <c r="AN38" s="55" ph="1"/>
    </row>
    <row r="39" spans="2:40" ht="28.5" hidden="1" customHeight="1">
      <c r="B39" s="505"/>
      <c r="C39" s="505"/>
      <c r="D39" s="505"/>
      <c r="E39" s="505"/>
      <c r="F39" s="505"/>
      <c r="G39" s="505"/>
      <c r="H39" s="505"/>
      <c r="I39" s="505"/>
      <c r="J39" s="505"/>
      <c r="K39" s="505"/>
      <c r="L39" s="505"/>
      <c r="M39" s="505"/>
      <c r="N39" s="507"/>
      <c r="O39" s="645"/>
      <c r="P39" s="645"/>
      <c r="Q39" s="645"/>
      <c r="W39" s="505"/>
      <c r="X39" s="505"/>
      <c r="Y39" s="505"/>
      <c r="Z39" s="505"/>
      <c r="AA39" s="505"/>
      <c r="AB39" s="505"/>
      <c r="AC39" s="505"/>
      <c r="AD39" s="518"/>
      <c r="AE39" s="678"/>
      <c r="AF39" s="678"/>
      <c r="AG39" s="55" ph="1"/>
      <c r="AH39" s="55" ph="1"/>
      <c r="AI39" s="55" ph="1"/>
      <c r="AJ39" s="55" ph="1"/>
      <c r="AK39" s="55" ph="1"/>
      <c r="AL39" s="55" ph="1"/>
      <c r="AM39" s="55" ph="1"/>
      <c r="AN39" s="55" ph="1"/>
    </row>
    <row r="40" spans="2:40" ht="28.5" hidden="1" customHeight="1">
      <c r="N40" s="508"/>
      <c r="O40" s="506"/>
      <c r="W40" s="505"/>
      <c r="X40" s="505"/>
      <c r="Y40" s="505"/>
      <c r="Z40" s="505"/>
      <c r="AA40" s="505"/>
      <c r="AB40" s="505"/>
      <c r="AC40" s="505"/>
      <c r="AD40" s="518"/>
      <c r="AE40" s="678"/>
      <c r="AF40" s="678"/>
      <c r="AG40" s="55" ph="1"/>
      <c r="AH40" s="55" ph="1"/>
      <c r="AI40" s="55" ph="1"/>
      <c r="AJ40" s="55" ph="1"/>
      <c r="AK40" s="55" ph="1"/>
      <c r="AL40" s="55" ph="1"/>
      <c r="AM40" s="55" ph="1"/>
      <c r="AN40" s="55" ph="1"/>
    </row>
    <row r="41" spans="2:40" ht="6.75" customHeight="1">
      <c r="N41" s="508"/>
      <c r="O41" s="506"/>
      <c r="W41" s="505"/>
      <c r="X41" s="505"/>
      <c r="Y41" s="505"/>
      <c r="Z41" s="505"/>
      <c r="AA41" s="505"/>
      <c r="AB41" s="505"/>
      <c r="AC41" s="505"/>
      <c r="AD41" s="518"/>
      <c r="AE41" s="678"/>
      <c r="AF41" s="678"/>
      <c r="AG41" s="55" ph="1"/>
      <c r="AH41" s="55" ph="1"/>
      <c r="AI41" s="55" ph="1"/>
      <c r="AJ41" s="55" ph="1"/>
      <c r="AK41" s="55" ph="1"/>
      <c r="AL41" s="55" ph="1"/>
      <c r="AM41" s="55" ph="1"/>
      <c r="AN41" s="55" ph="1"/>
    </row>
    <row r="42" spans="2:40" ht="38.25" customHeight="1">
      <c r="B42" s="2317"/>
      <c r="C42" s="2317"/>
      <c r="D42" s="676"/>
      <c r="E42" s="676"/>
      <c r="V42" s="506"/>
      <c r="W42" s="645"/>
      <c r="X42" s="2070"/>
      <c r="Y42" s="2070"/>
      <c r="Z42" s="2070"/>
      <c r="AA42" s="2066"/>
      <c r="AB42" s="2066"/>
      <c r="AC42" s="2066"/>
      <c r="AD42" s="518"/>
      <c r="AE42" s="678"/>
      <c r="AF42" s="678"/>
      <c r="AG42" s="55" ph="1"/>
      <c r="AH42" s="55" ph="1"/>
      <c r="AI42" s="55" ph="1"/>
      <c r="AJ42" s="55" ph="1"/>
      <c r="AK42" s="55" ph="1"/>
      <c r="AL42" s="55" ph="1"/>
      <c r="AM42" s="55" ph="1"/>
      <c r="AN42" s="55" ph="1"/>
    </row>
    <row r="43" spans="2:40" ht="38.25" customHeight="1">
      <c r="B43" s="699"/>
      <c r="C43" s="699"/>
      <c r="D43" s="676"/>
      <c r="E43" s="676"/>
      <c r="F43" s="722"/>
      <c r="G43" s="2292" t="str">
        <f>IFERROR(CHOOSE('績效圖(Pro)'!A2,"價格報酬率(%)","利息報酬率(%)","綜合報酬率(%)",0,CONCATENATE("含息總報酬率("&amp;H37&amp;")%"),"綜合報酬率(%)","綜合報酬率(%)","綜合報酬率(%)","匯率報酬率(%)",0,"綜合報酬率(%)","綜合報酬率(%)",0,"綜合報酬率(%)",0,"綜合報酬率(%)","綜合報酬率(%)"),"")</f>
        <v>利息報酬率(%)</v>
      </c>
      <c r="H43" s="2292"/>
      <c r="I43" s="2292"/>
      <c r="J43" s="2292"/>
      <c r="K43" s="721"/>
      <c r="L43" s="721"/>
      <c r="M43" s="721"/>
      <c r="N43" s="721"/>
      <c r="O43" s="721"/>
      <c r="P43" s="721"/>
      <c r="Q43" s="721"/>
      <c r="R43" s="721"/>
      <c r="S43" s="721"/>
      <c r="T43" s="721"/>
      <c r="U43" s="700"/>
      <c r="V43" s="506"/>
      <c r="W43" s="645"/>
      <c r="X43" s="673"/>
      <c r="Y43" s="2094" t="s">
        <v>1990</v>
      </c>
      <c r="Z43" s="2094"/>
      <c r="AA43" s="2094"/>
      <c r="AB43" s="2094"/>
      <c r="AC43" s="698"/>
      <c r="AD43" s="518"/>
      <c r="AE43" s="678"/>
      <c r="AF43" s="678"/>
      <c r="AG43" s="55" ph="1"/>
      <c r="AH43" s="55" ph="1"/>
      <c r="AI43" s="55" ph="1"/>
      <c r="AJ43" s="55" ph="1"/>
      <c r="AK43" s="55" ph="1"/>
      <c r="AL43" s="742" ph="1"/>
      <c r="AM43" s="55" ph="1"/>
      <c r="AN43" s="55" ph="1"/>
    </row>
    <row r="44" spans="2:40" ht="38.25" customHeight="1">
      <c r="B44" s="699"/>
      <c r="C44" s="699"/>
      <c r="D44" s="676"/>
      <c r="E44" s="676"/>
      <c r="G44" s="700"/>
      <c r="H44" s="700"/>
      <c r="I44" s="700"/>
      <c r="J44" s="700"/>
      <c r="K44" s="700"/>
      <c r="L44" s="700"/>
      <c r="M44" s="700"/>
      <c r="N44" s="700"/>
      <c r="O44" s="700"/>
      <c r="P44" s="700"/>
      <c r="Q44" s="700"/>
      <c r="R44" s="700"/>
      <c r="S44" s="700"/>
      <c r="T44" s="700"/>
      <c r="U44" s="700"/>
      <c r="V44" s="506"/>
      <c r="W44" s="645"/>
      <c r="X44" s="673"/>
      <c r="Y44" s="2310" t="s">
        <v>2193</v>
      </c>
      <c r="Z44" s="2311"/>
      <c r="AA44" s="653" t="s">
        <v>2044</v>
      </c>
      <c r="AB44" s="683" t="s">
        <v>2018</v>
      </c>
      <c r="AC44" s="698"/>
      <c r="AD44" s="518"/>
      <c r="AE44" s="678"/>
      <c r="AF44" s="678"/>
      <c r="AG44" s="55" ph="1"/>
      <c r="AH44" s="55" ph="1"/>
      <c r="AI44" s="55" ph="1"/>
      <c r="AJ44" s="55" ph="1"/>
      <c r="AK44" s="55" ph="1"/>
      <c r="AL44" s="55" ph="1"/>
      <c r="AM44" s="55" ph="1"/>
      <c r="AN44" s="55" ph="1"/>
    </row>
    <row r="45" spans="2:40" ht="38.25" customHeight="1">
      <c r="B45" s="699"/>
      <c r="C45" s="699"/>
      <c r="D45" s="676"/>
      <c r="E45" s="676"/>
      <c r="G45" s="700"/>
      <c r="H45" s="700"/>
      <c r="I45" s="700"/>
      <c r="J45" s="700"/>
      <c r="K45" s="700"/>
      <c r="L45" s="700"/>
      <c r="M45" s="700"/>
      <c r="N45" s="700"/>
      <c r="O45" s="700"/>
      <c r="P45" s="700"/>
      <c r="Q45" s="700"/>
      <c r="R45" s="700"/>
      <c r="S45" s="700"/>
      <c r="T45" s="700"/>
      <c r="U45" s="700"/>
      <c r="V45" s="506"/>
      <c r="W45" s="645"/>
      <c r="X45" s="673"/>
      <c r="Y45" s="2306" t="s">
        <v>1991</v>
      </c>
      <c r="Z45" s="2307"/>
      <c r="AA45" s="679">
        <v>30</v>
      </c>
      <c r="AB45" s="680">
        <f>'1_重設數據'!G2</f>
        <v>32.481000000000002</v>
      </c>
      <c r="AC45" s="698"/>
      <c r="AD45" s="518"/>
      <c r="AE45" s="678"/>
      <c r="AF45" s="678"/>
      <c r="AG45" s="55" ph="1"/>
      <c r="AH45" s="55" ph="1"/>
      <c r="AI45" s="55" ph="1"/>
      <c r="AJ45" s="55" ph="1"/>
      <c r="AK45" s="55" ph="1"/>
      <c r="AL45" s="55" ph="1"/>
      <c r="AM45" s="55" ph="1"/>
      <c r="AN45" s="55" ph="1"/>
    </row>
    <row r="46" spans="2:40" ht="38.25" customHeight="1">
      <c r="B46" s="2277" t="s">
        <v>2102</v>
      </c>
      <c r="C46" s="2277"/>
      <c r="D46" s="2277"/>
      <c r="E46" s="2277"/>
      <c r="G46" s="700"/>
      <c r="H46" s="700"/>
      <c r="I46" s="700"/>
      <c r="J46" s="700"/>
      <c r="K46" s="700"/>
      <c r="L46" s="700"/>
      <c r="M46" s="700"/>
      <c r="N46" s="700"/>
      <c r="O46" s="700"/>
      <c r="P46" s="700"/>
      <c r="Q46" s="700"/>
      <c r="R46" s="700"/>
      <c r="S46" s="700"/>
      <c r="T46" s="700"/>
      <c r="U46" s="700"/>
      <c r="V46" s="506"/>
      <c r="W46" s="645"/>
      <c r="X46" s="673"/>
      <c r="Y46" s="2306" t="s">
        <v>1992</v>
      </c>
      <c r="Z46" s="2307"/>
      <c r="AA46" s="679">
        <v>4.1333000000000002</v>
      </c>
      <c r="AB46" s="680">
        <f>'1_重設數據'!G3</f>
        <v>4.4691000000000001</v>
      </c>
      <c r="AC46" s="698"/>
      <c r="AD46" s="518"/>
      <c r="AE46" s="678"/>
      <c r="AF46" s="678"/>
      <c r="AG46" s="55" ph="1"/>
      <c r="AH46" s="55" ph="1"/>
      <c r="AI46" s="55" ph="1"/>
      <c r="AJ46" s="55" ph="1"/>
      <c r="AK46" s="55" ph="1"/>
      <c r="AL46" s="55" ph="1"/>
      <c r="AM46" s="55" ph="1"/>
      <c r="AN46" s="55" ph="1"/>
    </row>
    <row r="47" spans="2:40" ht="38.25" customHeight="1">
      <c r="B47" s="2316" t="s">
        <v>2103</v>
      </c>
      <c r="C47" s="2316"/>
      <c r="D47" s="2294" t="str">
        <f ca="1">CONCATENATE(ROUND('Tssco-bond portfolio(Pro)'!L1,2),"年")</f>
        <v>26.3年</v>
      </c>
      <c r="E47" s="2294"/>
      <c r="G47" s="700"/>
      <c r="H47" s="700"/>
      <c r="I47" s="700"/>
      <c r="J47" s="700"/>
      <c r="K47" s="700"/>
      <c r="L47" s="700"/>
      <c r="M47" s="700"/>
      <c r="N47" s="700"/>
      <c r="O47" s="700"/>
      <c r="P47" s="700"/>
      <c r="Q47" s="700"/>
      <c r="R47" s="700"/>
      <c r="S47" s="700"/>
      <c r="T47" s="700"/>
      <c r="U47" s="700"/>
      <c r="V47" s="506"/>
      <c r="W47" s="645"/>
      <c r="X47" s="673"/>
      <c r="Y47" s="2306" t="s">
        <v>1995</v>
      </c>
      <c r="Z47" s="2307"/>
      <c r="AA47" s="679">
        <v>1.6482000000000001</v>
      </c>
      <c r="AB47" s="680">
        <f>'1_重設數據'!G4</f>
        <v>1.7963</v>
      </c>
      <c r="AC47" s="698"/>
      <c r="AD47" s="518"/>
      <c r="AE47" s="678"/>
      <c r="AF47" s="678"/>
      <c r="AG47" s="55" ph="1"/>
      <c r="AH47" s="55" ph="1"/>
      <c r="AI47" s="55" ph="1"/>
      <c r="AJ47" s="55" ph="1"/>
      <c r="AK47" s="55" ph="1"/>
      <c r="AL47" s="55" ph="1"/>
      <c r="AM47" s="55" ph="1"/>
      <c r="AN47" s="55" ph="1"/>
    </row>
    <row r="48" spans="2:40" ht="38.25" customHeight="1">
      <c r="B48" s="2302" t="s">
        <v>2104</v>
      </c>
      <c r="C48" s="2302"/>
      <c r="D48" s="2295">
        <f ca="1">'Tssco-bond portfolio(Pro)'!N1</f>
        <v>4.0650191874237775E-2</v>
      </c>
      <c r="E48" s="2295"/>
      <c r="G48" s="700"/>
      <c r="H48" s="700"/>
      <c r="I48" s="700"/>
      <c r="J48" s="700"/>
      <c r="K48" s="700"/>
      <c r="L48" s="700"/>
      <c r="M48" s="700"/>
      <c r="N48" s="700"/>
      <c r="O48" s="700"/>
      <c r="P48" s="700"/>
      <c r="Q48" s="700"/>
      <c r="R48" s="700"/>
      <c r="S48" s="700"/>
      <c r="T48" s="700"/>
      <c r="U48" s="700"/>
      <c r="V48" s="506"/>
      <c r="W48" s="645"/>
      <c r="X48" s="673"/>
      <c r="Y48" s="2306" t="s">
        <v>1996</v>
      </c>
      <c r="Z48" s="2307"/>
      <c r="AA48" s="679">
        <v>20.780999999999999</v>
      </c>
      <c r="AB48" s="680">
        <f>'1_重設數據'!G5</f>
        <v>21.670999999999999</v>
      </c>
      <c r="AC48" s="698"/>
      <c r="AD48" s="518"/>
      <c r="AE48" s="678"/>
      <c r="AF48" s="678"/>
      <c r="AG48" s="55" ph="1"/>
      <c r="AH48" s="55" ph="1"/>
      <c r="AI48" s="55" ph="1"/>
      <c r="AJ48" s="55" ph="1"/>
      <c r="AK48" s="55" ph="1"/>
      <c r="AL48" s="55" ph="1"/>
      <c r="AM48" s="55" ph="1"/>
      <c r="AN48" s="55" ph="1"/>
    </row>
    <row r="49" spans="2:41" ht="38.25" customHeight="1">
      <c r="B49" s="2302" t="s">
        <v>2105</v>
      </c>
      <c r="C49" s="2302"/>
      <c r="D49" s="2295">
        <f ca="1">'Tssco-bond portfolio(Pro)'!O1</f>
        <v>5.5317977481832016E-2</v>
      </c>
      <c r="E49" s="2295"/>
      <c r="G49" s="700"/>
      <c r="H49" s="700"/>
      <c r="I49" s="700"/>
      <c r="J49" s="700"/>
      <c r="K49" s="700"/>
      <c r="L49" s="700"/>
      <c r="M49" s="700"/>
      <c r="N49" s="700"/>
      <c r="O49" s="700"/>
      <c r="P49" s="700"/>
      <c r="Q49" s="700"/>
      <c r="R49" s="700"/>
      <c r="S49" s="700"/>
      <c r="T49" s="700"/>
      <c r="U49" s="700"/>
      <c r="V49" s="506"/>
      <c r="W49" s="645"/>
      <c r="X49" s="673"/>
      <c r="Y49" s="2306" t="s">
        <v>1997</v>
      </c>
      <c r="Z49" s="2307"/>
      <c r="AA49" s="679">
        <v>22.942900000000002</v>
      </c>
      <c r="AB49" s="680">
        <f>'1_重設數據'!G6</f>
        <v>23.761500000000002</v>
      </c>
      <c r="AC49" s="698"/>
      <c r="AD49" s="518"/>
      <c r="AE49" s="678"/>
      <c r="AF49" s="678"/>
      <c r="AG49" s="55" ph="1"/>
      <c r="AH49" s="55" ph="1"/>
      <c r="AI49" s="55" ph="1"/>
      <c r="AJ49" s="55" ph="1"/>
      <c r="AK49" s="55" ph="1"/>
      <c r="AL49" s="55" ph="1"/>
      <c r="AM49" s="55" ph="1"/>
      <c r="AN49" s="55" ph="1"/>
    </row>
    <row r="50" spans="2:41" ht="38.25" customHeight="1">
      <c r="B50" s="2302" t="s">
        <v>2224</v>
      </c>
      <c r="C50" s="2302"/>
      <c r="D50" s="2295">
        <f ca="1">'Tssco-bond portfolio(Pro)'!CG1</f>
        <v>6.0880406108782606E-2</v>
      </c>
      <c r="E50" s="2295"/>
      <c r="G50" s="700"/>
      <c r="H50" s="700"/>
      <c r="I50" s="700"/>
      <c r="J50" s="700"/>
      <c r="K50" s="700"/>
      <c r="L50" s="700"/>
      <c r="M50" s="700"/>
      <c r="N50" s="700"/>
      <c r="O50" s="700"/>
      <c r="P50" s="700"/>
      <c r="Q50" s="700"/>
      <c r="R50" s="700"/>
      <c r="S50" s="700"/>
      <c r="T50" s="700"/>
      <c r="U50" s="700"/>
      <c r="V50" s="506"/>
      <c r="W50" s="645"/>
      <c r="X50" s="673"/>
      <c r="Y50" s="2306" t="s">
        <v>1998</v>
      </c>
      <c r="Z50" s="2307"/>
      <c r="AA50" s="679">
        <v>19.486899999999999</v>
      </c>
      <c r="AB50" s="680">
        <f>'1_重設數據'!G7</f>
        <v>19.813199999999998</v>
      </c>
      <c r="AC50" s="698"/>
      <c r="AD50" s="518"/>
      <c r="AE50" s="55" ph="1"/>
      <c r="AF50" s="55" ph="1"/>
      <c r="AG50" s="55" ph="1"/>
      <c r="AH50" s="55" ph="1"/>
      <c r="AI50" s="55" ph="1"/>
      <c r="AJ50" s="55" ph="1"/>
      <c r="AK50" s="55" ph="1"/>
      <c r="AL50" s="55" ph="1"/>
      <c r="AM50" s="55" ph="1"/>
      <c r="AN50" s="55" ph="1"/>
    </row>
    <row r="51" spans="2:41" ht="38.25" customHeight="1" thickBot="1">
      <c r="B51" s="2303" t="str">
        <f ca="1">IFERROR(IF('Tssco-bond portfolio(Pro)'!BO1&gt;1,"庫存現值(TWD)",IF('績效圖(Pro)'!A1=1,"庫存現值(TWD)",CONCATENATE("庫存現值(",'Tssco-bond portfolio(Pro)'!BP2,")"))),"")</f>
        <v>庫存現值(TWD)</v>
      </c>
      <c r="C51" s="2303"/>
      <c r="D51" s="2296" t="str">
        <f ca="1">L37</f>
        <v>40,644,810</v>
      </c>
      <c r="E51" s="2296"/>
      <c r="G51" s="700"/>
      <c r="H51" s="700"/>
      <c r="I51" s="700"/>
      <c r="J51" s="700"/>
      <c r="K51" s="700"/>
      <c r="L51" s="700"/>
      <c r="M51" s="700"/>
      <c r="N51" s="700"/>
      <c r="O51" s="700"/>
      <c r="P51" s="700"/>
      <c r="Q51" s="700"/>
      <c r="R51" s="700"/>
      <c r="S51" s="700"/>
      <c r="T51" s="700"/>
      <c r="U51" s="700"/>
      <c r="V51" s="506"/>
      <c r="W51" s="645"/>
      <c r="X51" s="673"/>
      <c r="Y51" s="2308" t="s">
        <v>1999</v>
      </c>
      <c r="Z51" s="2309"/>
      <c r="AA51" s="681">
        <v>33.7042</v>
      </c>
      <c r="AB51" s="682">
        <f>'1_重設數據'!G8</f>
        <v>34.927900000000001</v>
      </c>
      <c r="AC51" s="698"/>
      <c r="AE51" s="55" ph="1"/>
      <c r="AF51" s="55" ph="1"/>
      <c r="AG51" s="55" ph="1"/>
      <c r="AH51" s="55" ph="1"/>
      <c r="AI51" s="55" ph="1"/>
      <c r="AJ51" s="55" ph="1"/>
      <c r="AK51" s="55" ph="1"/>
      <c r="AL51" s="55" ph="1"/>
      <c r="AM51" s="55" ph="1"/>
      <c r="AN51" s="55" ph="1"/>
    </row>
    <row r="52" spans="2:41" ht="38.25" customHeight="1">
      <c r="B52" s="2304" t="s">
        <v>2191</v>
      </c>
      <c r="C52" s="2304"/>
      <c r="D52" s="2297">
        <f ca="1">'Tssco-bond portfolio(Pro)'!CA1</f>
        <v>4.2331655098874307E-2</v>
      </c>
      <c r="E52" s="2297"/>
      <c r="V52" s="506"/>
      <c r="W52" s="645"/>
      <c r="X52" s="673"/>
      <c r="Y52" s="673"/>
      <c r="Z52" s="673"/>
      <c r="AA52" s="698"/>
      <c r="AB52" s="698"/>
      <c r="AC52" s="698"/>
      <c r="AE52" s="55" ph="1"/>
      <c r="AF52" s="55" ph="1"/>
      <c r="AG52" s="55" ph="1"/>
      <c r="AH52" s="55" ph="1"/>
      <c r="AI52" s="55" ph="1"/>
      <c r="AJ52" s="55" ph="1"/>
      <c r="AK52" s="55" ph="1"/>
      <c r="AL52" s="55" ph="1"/>
      <c r="AM52" s="55" ph="1"/>
      <c r="AN52" s="55" ph="1"/>
    </row>
    <row r="53" spans="2:41" ht="38.25" customHeight="1">
      <c r="B53" s="2305" t="s">
        <v>2192</v>
      </c>
      <c r="C53" s="2305"/>
      <c r="D53" s="2298">
        <f ca="1">'Tssco-bond portfolio(Pro)'!CB1</f>
        <v>-1.2474219892346055E-3</v>
      </c>
      <c r="E53" s="2298"/>
      <c r="G53" s="700"/>
      <c r="H53" s="700"/>
      <c r="I53" s="700"/>
      <c r="J53" s="700"/>
      <c r="K53" s="700"/>
      <c r="L53" s="700"/>
      <c r="M53" s="700"/>
      <c r="N53" s="700"/>
      <c r="O53" s="700"/>
      <c r="P53" s="700"/>
      <c r="Q53" s="700"/>
      <c r="R53" s="700"/>
      <c r="S53" s="700"/>
      <c r="T53" s="700"/>
      <c r="U53" s="700"/>
      <c r="V53" s="506"/>
      <c r="W53" s="645"/>
      <c r="X53" s="673"/>
      <c r="Y53" s="673"/>
      <c r="Z53" s="673"/>
      <c r="AA53" s="698"/>
      <c r="AB53" s="698"/>
      <c r="AC53" s="698"/>
      <c r="AE53" s="55" ph="1"/>
      <c r="AF53" s="55" ph="1"/>
      <c r="AG53" s="55" ph="1"/>
      <c r="AH53" s="55" ph="1"/>
      <c r="AI53" s="55" ph="1"/>
      <c r="AJ53" s="55" ph="1"/>
      <c r="AK53" s="55" ph="1"/>
      <c r="AL53" s="55" ph="1"/>
      <c r="AM53" s="55" ph="1"/>
      <c r="AN53" s="55" ph="1"/>
    </row>
    <row r="54" spans="2:41" ht="38.25" customHeight="1" thickBot="1">
      <c r="B54" s="2300" t="str">
        <f ca="1">IF(H37="TWD","匯率報酬率","總報酬率")</f>
        <v>匯率報酬率</v>
      </c>
      <c r="C54" s="2300"/>
      <c r="D54" s="2299">
        <f ca="1">IF(H37="TWD",D55-D52-D53,'Tssco-bond portfolio(Pro)'!AU1)</f>
        <v>8.6097666078167254E-2</v>
      </c>
      <c r="E54" s="2299"/>
      <c r="G54" s="700"/>
      <c r="H54" s="700"/>
      <c r="I54" s="700"/>
      <c r="J54" s="700"/>
      <c r="K54" s="700"/>
      <c r="L54" s="700"/>
      <c r="M54" s="700"/>
      <c r="N54" s="700"/>
      <c r="O54" s="700"/>
      <c r="P54" s="700"/>
      <c r="Q54" s="700"/>
      <c r="R54" s="700"/>
      <c r="S54" s="700"/>
      <c r="T54" s="700"/>
      <c r="U54" s="700"/>
      <c r="V54" s="506"/>
      <c r="W54" s="645"/>
      <c r="X54" s="673"/>
      <c r="Y54" s="673"/>
      <c r="Z54" s="673"/>
      <c r="AA54" s="698"/>
      <c r="AB54" s="698"/>
      <c r="AC54" s="698"/>
      <c r="AE54" s="55" ph="1"/>
      <c r="AF54" s="55" ph="1"/>
      <c r="AG54" s="55" ph="1"/>
      <c r="AH54" s="55" ph="1"/>
      <c r="AI54" s="55" ph="1"/>
      <c r="AJ54" s="55" ph="1"/>
      <c r="AK54" s="55" ph="1"/>
      <c r="AL54" s="55" ph="1"/>
      <c r="AM54" s="55" ph="1"/>
      <c r="AN54" s="55" ph="1"/>
    </row>
    <row r="55" spans="2:41" ht="38.25" customHeight="1">
      <c r="B55" s="2301" t="str">
        <f ca="1">IF(H37="TWD","總報酬率","")</f>
        <v>總報酬率</v>
      </c>
      <c r="C55" s="2301"/>
      <c r="D55" s="2293">
        <f ca="1">IF(H37="TWD",'Tssco-bond portfolio(Pro)'!CD1,"")</f>
        <v>0.12718189918780695</v>
      </c>
      <c r="E55" s="2293"/>
      <c r="F55" s="2083"/>
      <c r="G55" s="2083"/>
      <c r="H55" s="2083"/>
      <c r="I55" s="2083"/>
      <c r="J55" s="2083"/>
      <c r="K55" s="2083"/>
      <c r="L55" s="700"/>
      <c r="M55" s="700"/>
      <c r="N55" s="700"/>
      <c r="O55" s="700"/>
      <c r="P55" s="700"/>
      <c r="Q55" s="700"/>
      <c r="R55" s="700"/>
      <c r="S55" s="700"/>
      <c r="T55" s="700"/>
      <c r="U55" s="700"/>
      <c r="V55" s="506"/>
      <c r="W55" s="645"/>
      <c r="X55" s="673"/>
      <c r="Y55" s="673"/>
      <c r="Z55" s="673"/>
      <c r="AA55" s="698"/>
      <c r="AB55" s="698"/>
      <c r="AC55" s="698"/>
      <c r="AE55" s="55" ph="1"/>
      <c r="AF55" s="55" ph="1"/>
      <c r="AG55" s="55" ph="1"/>
      <c r="AH55" s="55" ph="1"/>
      <c r="AI55" s="55" ph="1"/>
      <c r="AJ55" s="55" ph="1"/>
      <c r="AK55" s="55" ph="1"/>
      <c r="AL55" s="55" ph="1"/>
      <c r="AM55" s="55" ph="1"/>
      <c r="AN55" s="55" ph="1"/>
    </row>
    <row r="56" spans="2:41" ht="21.75" customHeight="1">
      <c r="U56" s="700"/>
      <c r="V56" s="506"/>
      <c r="W56" s="645"/>
      <c r="X56" s="673"/>
      <c r="Y56" s="673"/>
      <c r="Z56" s="673"/>
      <c r="AA56" s="698"/>
      <c r="AB56" s="698"/>
      <c r="AC56" s="698"/>
      <c r="AE56" s="55" ph="1"/>
      <c r="AF56" s="55" ph="1"/>
      <c r="AG56" s="55" ph="1"/>
      <c r="AH56" s="55" ph="1"/>
      <c r="AI56" s="55" ph="1"/>
      <c r="AJ56" s="55" ph="1"/>
      <c r="AK56" s="55" ph="1"/>
      <c r="AL56" s="55" ph="1"/>
      <c r="AM56" s="55" ph="1"/>
      <c r="AN56" s="55" ph="1"/>
    </row>
    <row r="57" spans="2:41" ht="41.5" customHeight="1">
      <c r="C57" s="2292" t="str">
        <f ca="1">IF('Tssco-bond portfolio(Pro)'!C16=1,"配息現金流(TWD)",CONCATENATE("配息現金流(",'Tssco-bond portfolio(Pro)'!BP2,")"))</f>
        <v>配息現金流(TWD)</v>
      </c>
      <c r="D57" s="2292"/>
      <c r="E57" s="2292"/>
      <c r="F57" s="2292"/>
      <c r="G57" s="2292"/>
      <c r="H57" s="2292"/>
      <c r="I57" s="2292"/>
      <c r="J57" s="2292"/>
      <c r="K57" s="2292"/>
      <c r="M57" s="2292" t="s">
        <v>2260</v>
      </c>
      <c r="N57" s="2292"/>
      <c r="O57" s="2292"/>
      <c r="P57" s="2292"/>
      <c r="Q57" s="2292"/>
      <c r="R57" s="2292"/>
      <c r="S57" s="2292"/>
      <c r="T57" s="2292"/>
      <c r="U57" s="721"/>
      <c r="V57" s="506"/>
      <c r="W57" s="645"/>
      <c r="X57" s="673"/>
      <c r="Y57" s="673"/>
      <c r="Z57" s="673"/>
      <c r="AA57" s="698"/>
      <c r="AB57" s="698"/>
      <c r="AC57" s="698"/>
      <c r="AE57" s="55" ph="1"/>
      <c r="AF57" s="55" ph="1"/>
      <c r="AG57" s="55" ph="1"/>
      <c r="AH57" s="55" ph="1"/>
      <c r="AI57" s="55" ph="1"/>
      <c r="AJ57" s="55" ph="1"/>
      <c r="AK57" s="55" ph="1"/>
      <c r="AL57" s="55" ph="1"/>
      <c r="AM57" s="55" ph="1"/>
      <c r="AN57" s="55" ph="1"/>
    </row>
    <row r="58" spans="2:41" ht="41.5" customHeight="1">
      <c r="F58" s="665"/>
      <c r="G58" s="665"/>
      <c r="H58" s="662"/>
      <c r="I58" s="662"/>
      <c r="J58" s="661"/>
      <c r="K58" s="2291"/>
      <c r="L58" s="2291"/>
      <c r="M58" s="2291"/>
      <c r="N58" s="2291"/>
      <c r="O58" s="2291"/>
      <c r="P58" s="2291"/>
      <c r="Q58" s="590"/>
      <c r="V58" s="506"/>
      <c r="W58" s="645"/>
      <c r="X58" s="645"/>
      <c r="Y58" s="505"/>
      <c r="Z58" s="505"/>
      <c r="AA58" s="677"/>
      <c r="AB58" s="670"/>
      <c r="AC58" s="670"/>
      <c r="AE58" s="55" ph="1"/>
      <c r="AF58" s="55" ph="1"/>
      <c r="AG58" s="55" ph="1"/>
      <c r="AH58" s="55" ph="1"/>
      <c r="AI58" s="55" ph="1"/>
      <c r="AJ58" s="55" ph="1"/>
      <c r="AK58" s="55" ph="1"/>
      <c r="AL58" s="55" ph="1"/>
      <c r="AM58" s="55" ph="1"/>
      <c r="AN58" s="55" ph="1"/>
    </row>
    <row r="59" spans="2:41" ht="41.5" customHeight="1">
      <c r="Q59" s="591"/>
      <c r="W59" s="505"/>
      <c r="X59" s="505"/>
      <c r="Y59" s="505"/>
      <c r="Z59" s="505"/>
      <c r="AA59" s="671"/>
      <c r="AB59" s="670"/>
      <c r="AC59" s="670"/>
      <c r="AD59" s="55" ph="1"/>
      <c r="AE59" s="55" ph="1"/>
      <c r="AF59" s="55" ph="1"/>
      <c r="AG59" s="55" ph="1"/>
      <c r="AH59" s="55" ph="1"/>
      <c r="AI59" s="55" ph="1"/>
      <c r="AJ59" s="55" ph="1"/>
      <c r="AK59" s="55" ph="1"/>
      <c r="AL59" s="55" ph="1"/>
      <c r="AM59" s="55" ph="1"/>
    </row>
    <row r="60" spans="2:41" ht="41.5" customHeight="1">
      <c r="G60" s="511"/>
      <c r="H60" s="511"/>
      <c r="I60" s="512"/>
      <c r="J60" s="513"/>
      <c r="K60" s="478"/>
      <c r="N60" s="641"/>
      <c r="O60" s="519"/>
      <c r="P60" s="520"/>
      <c r="Q60" s="520"/>
      <c r="W60" s="505"/>
      <c r="X60" s="505"/>
      <c r="Y60" s="672"/>
      <c r="Z60" s="672"/>
      <c r="AA60" s="672"/>
      <c r="AB60" s="505"/>
      <c r="AC60" s="505"/>
      <c r="AF60" s="55" ph="1"/>
      <c r="AG60" s="55" ph="1"/>
      <c r="AH60" s="55" ph="1"/>
      <c r="AI60" s="55" ph="1"/>
      <c r="AJ60" s="55" ph="1"/>
      <c r="AK60" s="55" ph="1"/>
      <c r="AL60" s="55" ph="1"/>
      <c r="AM60" s="55" ph="1"/>
      <c r="AN60" s="55" ph="1"/>
      <c r="AO60" s="55" ph="1"/>
    </row>
    <row r="61" spans="2:41" ht="41.5" customHeight="1">
      <c r="G61" s="666"/>
      <c r="H61" s="641"/>
      <c r="I61" s="1900"/>
      <c r="J61" s="1902"/>
      <c r="K61" s="636"/>
      <c r="N61" s="521"/>
      <c r="O61" s="522"/>
      <c r="P61" s="523"/>
      <c r="Q61" s="523"/>
      <c r="W61" s="505"/>
      <c r="X61" s="505"/>
      <c r="Y61" s="505"/>
      <c r="Z61" s="505"/>
      <c r="AA61" s="505"/>
      <c r="AB61" s="505"/>
      <c r="AC61" s="505"/>
      <c r="AF61" s="55" ph="1"/>
      <c r="AG61" s="55" ph="1"/>
      <c r="AH61" s="55" ph="1"/>
      <c r="AI61" s="55" ph="1"/>
      <c r="AJ61" s="55" ph="1"/>
      <c r="AK61" s="55" ph="1"/>
      <c r="AL61" s="55" ph="1"/>
      <c r="AM61" s="55" ph="1"/>
      <c r="AN61" s="55" ph="1"/>
      <c r="AO61" s="55" ph="1"/>
    </row>
    <row r="62" spans="2:41" ht="41.5" customHeight="1">
      <c r="G62" s="666"/>
      <c r="H62" s="641"/>
      <c r="I62" s="1900"/>
      <c r="J62" s="1902"/>
      <c r="K62" s="636"/>
      <c r="N62" s="521"/>
      <c r="O62" s="522"/>
      <c r="P62" s="523"/>
      <c r="Q62" s="523"/>
      <c r="W62" s="505"/>
      <c r="X62" s="505"/>
      <c r="Y62" s="505"/>
      <c r="Z62" s="505"/>
      <c r="AA62" s="505"/>
      <c r="AB62" s="505"/>
      <c r="AC62" s="505"/>
      <c r="AI62" s="55" ph="1"/>
      <c r="AJ62" s="55" ph="1"/>
      <c r="AK62" s="55" ph="1"/>
      <c r="AL62" s="55" ph="1"/>
      <c r="AM62" s="55" ph="1"/>
      <c r="AN62" s="55" ph="1"/>
      <c r="AO62" s="55" ph="1"/>
    </row>
    <row r="63" spans="2:41" ht="41.5" customHeight="1">
      <c r="G63" s="666"/>
      <c r="H63" s="641"/>
      <c r="I63" s="1967"/>
      <c r="J63" s="1902"/>
      <c r="K63" s="636"/>
      <c r="N63" s="521"/>
      <c r="O63" s="522"/>
      <c r="P63" s="523"/>
      <c r="Q63" s="523"/>
      <c r="W63" s="505"/>
      <c r="X63" s="505"/>
      <c r="Y63" s="505"/>
      <c r="Z63" s="505"/>
      <c r="AA63" s="505"/>
      <c r="AB63" s="505"/>
      <c r="AC63" s="505"/>
      <c r="AI63" s="55" ph="1"/>
      <c r="AJ63" s="55" ph="1"/>
      <c r="AK63" s="55" ph="1"/>
      <c r="AL63" s="55" ph="1"/>
      <c r="AM63" s="55" ph="1"/>
      <c r="AN63" s="55" ph="1"/>
      <c r="AO63" s="55" ph="1"/>
    </row>
    <row r="64" spans="2:41" ht="41.5" customHeight="1">
      <c r="G64" s="641"/>
      <c r="H64" s="641"/>
      <c r="I64" s="637"/>
      <c r="J64" s="636"/>
      <c r="K64" s="636"/>
      <c r="N64" s="641"/>
      <c r="O64" s="524"/>
      <c r="P64" s="525"/>
      <c r="Q64" s="525"/>
      <c r="W64" s="505"/>
      <c r="X64" s="505"/>
      <c r="Y64" s="505"/>
      <c r="Z64" s="505"/>
      <c r="AA64" s="505"/>
      <c r="AB64" s="505"/>
      <c r="AC64" s="505"/>
      <c r="AL64" s="55" ph="1"/>
      <c r="AM64" s="55" ph="1"/>
      <c r="AN64" s="55" ph="1"/>
      <c r="AO64" s="55" ph="1"/>
    </row>
    <row r="65" spans="2:41" ht="41.5" customHeight="1">
      <c r="G65" s="641"/>
      <c r="H65" s="641"/>
      <c r="I65" s="637"/>
      <c r="J65" s="636"/>
      <c r="K65" s="636"/>
      <c r="N65" s="2275"/>
      <c r="O65" s="2272"/>
      <c r="P65" s="2273"/>
      <c r="Q65" s="639"/>
      <c r="W65" s="505"/>
      <c r="X65" s="505"/>
      <c r="Y65" s="505"/>
      <c r="Z65" s="505"/>
      <c r="AA65" s="505"/>
      <c r="AB65" s="505"/>
      <c r="AC65" s="505"/>
      <c r="AL65" s="55" ph="1"/>
      <c r="AM65" s="55" ph="1"/>
      <c r="AN65" s="55" ph="1"/>
      <c r="AO65" s="55" ph="1"/>
    </row>
    <row r="66" spans="2:41" ht="41.25" customHeight="1">
      <c r="B66" s="699"/>
      <c r="C66" s="699"/>
      <c r="D66" s="676"/>
      <c r="E66" s="676"/>
      <c r="G66" s="641"/>
      <c r="H66" s="641"/>
      <c r="I66" s="637"/>
      <c r="J66" s="636"/>
      <c r="K66" s="636"/>
      <c r="N66" s="2146"/>
      <c r="O66" s="2272"/>
      <c r="P66" s="2273"/>
      <c r="Q66" s="639"/>
      <c r="W66" s="505"/>
      <c r="X66" s="505"/>
      <c r="Y66" s="505"/>
      <c r="Z66" s="505"/>
      <c r="AA66" s="505"/>
      <c r="AB66" s="505"/>
      <c r="AC66" s="505"/>
      <c r="AL66" s="55" ph="1"/>
      <c r="AM66" s="55" ph="1"/>
    </row>
    <row r="67" spans="2:41" ht="41.25" customHeight="1">
      <c r="G67" s="511"/>
      <c r="H67" s="640"/>
      <c r="I67" s="2274"/>
      <c r="J67" s="2141"/>
      <c r="K67" s="643"/>
      <c r="N67" s="2146"/>
      <c r="O67" s="2272"/>
      <c r="P67" s="2273"/>
      <c r="Q67" s="639"/>
      <c r="W67" s="505"/>
      <c r="X67" s="505"/>
      <c r="Y67" s="505"/>
      <c r="Z67" s="505"/>
      <c r="AA67" s="505"/>
      <c r="AB67" s="505"/>
      <c r="AC67" s="505"/>
      <c r="AL67" s="55" ph="1"/>
      <c r="AM67" s="55" ph="1"/>
    </row>
    <row r="68" spans="2:41" ht="41.25" customHeight="1">
      <c r="G68" s="511"/>
      <c r="H68" s="640"/>
      <c r="I68" s="1992"/>
      <c r="J68" s="2141"/>
      <c r="K68" s="643"/>
      <c r="N68" s="2146"/>
      <c r="O68" s="2272"/>
      <c r="P68" s="2273"/>
      <c r="Q68" s="639"/>
      <c r="W68" s="505"/>
      <c r="X68" s="505"/>
      <c r="Y68" s="505"/>
      <c r="Z68" s="505"/>
      <c r="AA68" s="505"/>
      <c r="AB68" s="505"/>
      <c r="AC68" s="505"/>
      <c r="AL68" s="55" ph="1"/>
      <c r="AM68" s="55" ph="1"/>
    </row>
    <row r="69" spans="2:41" ht="21.75" customHeight="1">
      <c r="G69" s="640"/>
      <c r="H69" s="640"/>
      <c r="I69" s="642"/>
      <c r="J69" s="643"/>
      <c r="K69" s="643"/>
      <c r="N69" s="644"/>
      <c r="O69" s="638"/>
      <c r="P69" s="639"/>
      <c r="Q69" s="639"/>
      <c r="W69" s="505"/>
      <c r="X69" s="505"/>
      <c r="Y69" s="505"/>
      <c r="Z69" s="505"/>
      <c r="AA69" s="505"/>
      <c r="AB69" s="505"/>
      <c r="AC69" s="505"/>
      <c r="AL69" s="55" ph="1"/>
      <c r="AM69" s="55" ph="1"/>
      <c r="AN69" s="55" ph="1"/>
    </row>
    <row r="70" spans="2:41" ht="25.5">
      <c r="B70" s="526"/>
      <c r="C70" s="526"/>
      <c r="D70" s="526"/>
      <c r="E70" s="526"/>
      <c r="F70" s="526"/>
      <c r="G70" s="526"/>
      <c r="H70" s="526"/>
      <c r="I70" s="526"/>
      <c r="J70" s="526"/>
      <c r="K70" s="526"/>
      <c r="L70" s="526"/>
      <c r="M70" s="526"/>
      <c r="N70" s="526"/>
      <c r="O70" s="526"/>
      <c r="P70" s="526"/>
      <c r="Q70" s="526"/>
      <c r="R70" s="526"/>
      <c r="S70" s="526"/>
      <c r="T70" s="526"/>
      <c r="U70" s="526"/>
      <c r="W70" s="505"/>
      <c r="X70" s="505"/>
      <c r="Y70" s="505"/>
      <c r="Z70" s="505"/>
      <c r="AA70" s="505"/>
      <c r="AB70" s="505"/>
      <c r="AC70" s="505"/>
      <c r="AL70" s="55" ph="1"/>
      <c r="AM70" s="55" ph="1"/>
      <c r="AN70" s="55" ph="1"/>
    </row>
    <row r="71" spans="2:41" ht="30.25" customHeight="1">
      <c r="AL71" s="55" ph="1"/>
      <c r="AM71" s="55" ph="1"/>
    </row>
    <row r="72" spans="2:41" ht="30.25" customHeight="1">
      <c r="AL72" s="55" ph="1"/>
      <c r="AM72" s="55" ph="1"/>
    </row>
    <row r="73" spans="2:41" ht="30.25" customHeight="1"/>
    <row r="74" spans="2:41" ht="30.25" customHeight="1"/>
    <row r="75" spans="2:41" ht="30.25" customHeight="1"/>
    <row r="76" spans="2:41" ht="30.25" customHeight="1"/>
    <row r="77" spans="2:41" ht="30.25" customHeight="1"/>
    <row r="78" spans="2:41" ht="30.25" customHeight="1"/>
    <row r="79" spans="2:41" ht="30.25" customHeight="1"/>
    <row r="80" spans="2:41" ht="30.25" customHeight="1"/>
    <row r="81" ht="30.25" customHeight="1"/>
    <row r="82" ht="30.25" customHeight="1"/>
  </sheetData>
  <sheetProtection algorithmName="SHA-512" hashValue="qlK2U91PpyTL87YOcPEhncgAQ2Vbv6rDaOa6gxryFriAg7oi3AZAiKS0TUMJh1feBtwZIYClB/ePWsJenjivKg==" saltValue="rNXalX+Oi42Zo9WGSlZxlg==" spinCount="100000" sheet="1" formatCells="0"/>
  <dataConsolidate link="1"/>
  <mergeCells count="153">
    <mergeCell ref="S23:T23"/>
    <mergeCell ref="B47:C47"/>
    <mergeCell ref="B48:C48"/>
    <mergeCell ref="S34:T34"/>
    <mergeCell ref="S35:T35"/>
    <mergeCell ref="S36:T36"/>
    <mergeCell ref="S29:T29"/>
    <mergeCell ref="S30:T30"/>
    <mergeCell ref="S31:T31"/>
    <mergeCell ref="S32:T32"/>
    <mergeCell ref="S33:T33"/>
    <mergeCell ref="C34:G34"/>
    <mergeCell ref="C35:G35"/>
    <mergeCell ref="C36:G36"/>
    <mergeCell ref="B42:C42"/>
    <mergeCell ref="P25:Q25"/>
    <mergeCell ref="P26:Q26"/>
    <mergeCell ref="P27:Q27"/>
    <mergeCell ref="S24:T24"/>
    <mergeCell ref="S25:T25"/>
    <mergeCell ref="S26:T26"/>
    <mergeCell ref="B2:U2"/>
    <mergeCell ref="P7:Q7"/>
    <mergeCell ref="P8:Q8"/>
    <mergeCell ref="C13:G13"/>
    <mergeCell ref="C14:G14"/>
    <mergeCell ref="C15:G15"/>
    <mergeCell ref="P9:Q9"/>
    <mergeCell ref="P10:Q10"/>
    <mergeCell ref="P11:Q11"/>
    <mergeCell ref="J5:J6"/>
    <mergeCell ref="B4:Q4"/>
    <mergeCell ref="R4:T4"/>
    <mergeCell ref="S9:T9"/>
    <mergeCell ref="S10:T10"/>
    <mergeCell ref="S11:T11"/>
    <mergeCell ref="Y50:Z50"/>
    <mergeCell ref="Y51:Z51"/>
    <mergeCell ref="X42:Z42"/>
    <mergeCell ref="S17:T17"/>
    <mergeCell ref="S18:T18"/>
    <mergeCell ref="S12:T12"/>
    <mergeCell ref="S13:T13"/>
    <mergeCell ref="S14:T14"/>
    <mergeCell ref="S15:T15"/>
    <mergeCell ref="S16:T16"/>
    <mergeCell ref="Y47:Z47"/>
    <mergeCell ref="Y48:Z48"/>
    <mergeCell ref="Y49:Z49"/>
    <mergeCell ref="Y43:AB43"/>
    <mergeCell ref="Y44:Z44"/>
    <mergeCell ref="Y45:Z45"/>
    <mergeCell ref="Y46:Z46"/>
    <mergeCell ref="S27:T27"/>
    <mergeCell ref="S28:T28"/>
    <mergeCell ref="S19:T19"/>
    <mergeCell ref="S20:T20"/>
    <mergeCell ref="S21:T21"/>
    <mergeCell ref="S22:T22"/>
    <mergeCell ref="AA42:AC42"/>
    <mergeCell ref="B50:C50"/>
    <mergeCell ref="B51:C51"/>
    <mergeCell ref="B52:C52"/>
    <mergeCell ref="B53:C53"/>
    <mergeCell ref="P17:Q17"/>
    <mergeCell ref="P18:Q18"/>
    <mergeCell ref="P28:Q28"/>
    <mergeCell ref="P29:Q29"/>
    <mergeCell ref="P30:Q30"/>
    <mergeCell ref="C29:G29"/>
    <mergeCell ref="C30:G30"/>
    <mergeCell ref="C31:G31"/>
    <mergeCell ref="C32:G32"/>
    <mergeCell ref="C33:G33"/>
    <mergeCell ref="P19:Q19"/>
    <mergeCell ref="P20:Q20"/>
    <mergeCell ref="P21:Q21"/>
    <mergeCell ref="P22:Q22"/>
    <mergeCell ref="P23:Q23"/>
    <mergeCell ref="P24:Q24"/>
    <mergeCell ref="G43:J43"/>
    <mergeCell ref="O66:P66"/>
    <mergeCell ref="P37:Q37"/>
    <mergeCell ref="K58:P58"/>
    <mergeCell ref="P31:Q31"/>
    <mergeCell ref="P32:Q32"/>
    <mergeCell ref="P33:Q33"/>
    <mergeCell ref="P34:Q34"/>
    <mergeCell ref="P35:Q35"/>
    <mergeCell ref="P36:Q36"/>
    <mergeCell ref="O65:P65"/>
    <mergeCell ref="M57:T57"/>
    <mergeCell ref="C57:K57"/>
    <mergeCell ref="D55:E55"/>
    <mergeCell ref="D47:E47"/>
    <mergeCell ref="D48:E48"/>
    <mergeCell ref="D49:E49"/>
    <mergeCell ref="D51:E51"/>
    <mergeCell ref="D52:E52"/>
    <mergeCell ref="D50:E50"/>
    <mergeCell ref="D53:E53"/>
    <mergeCell ref="D54:E54"/>
    <mergeCell ref="B54:C54"/>
    <mergeCell ref="B55:C55"/>
    <mergeCell ref="B49:C49"/>
    <mergeCell ref="AN17:AP17"/>
    <mergeCell ref="P38:U38"/>
    <mergeCell ref="B37:G37"/>
    <mergeCell ref="R5:U5"/>
    <mergeCell ref="P12:Q12"/>
    <mergeCell ref="P13:Q13"/>
    <mergeCell ref="P14:Q14"/>
    <mergeCell ref="P15:Q15"/>
    <mergeCell ref="B5:B6"/>
    <mergeCell ref="I5:I6"/>
    <mergeCell ref="H5:H6"/>
    <mergeCell ref="P16:Q16"/>
    <mergeCell ref="K5:K6"/>
    <mergeCell ref="S6:T6"/>
    <mergeCell ref="P5:Q6"/>
    <mergeCell ref="C12:G12"/>
    <mergeCell ref="M5:O5"/>
    <mergeCell ref="C25:G25"/>
    <mergeCell ref="C26:G26"/>
    <mergeCell ref="C27:G27"/>
    <mergeCell ref="C28:G28"/>
    <mergeCell ref="AI9:AK11"/>
    <mergeCell ref="S7:T7"/>
    <mergeCell ref="S8:T8"/>
    <mergeCell ref="O67:P67"/>
    <mergeCell ref="I61:I63"/>
    <mergeCell ref="J61:J63"/>
    <mergeCell ref="I67:I68"/>
    <mergeCell ref="J67:J68"/>
    <mergeCell ref="O68:P68"/>
    <mergeCell ref="N65:N68"/>
    <mergeCell ref="F55:K55"/>
    <mergeCell ref="C5:G6"/>
    <mergeCell ref="C7:G7"/>
    <mergeCell ref="C8:G8"/>
    <mergeCell ref="C9:G9"/>
    <mergeCell ref="C10:G10"/>
    <mergeCell ref="C11:G11"/>
    <mergeCell ref="B46:E46"/>
    <mergeCell ref="C16:G16"/>
    <mergeCell ref="C17:G17"/>
    <mergeCell ref="C18:G18"/>
    <mergeCell ref="C19:G19"/>
    <mergeCell ref="C20:G20"/>
    <mergeCell ref="C21:G21"/>
    <mergeCell ref="C22:G22"/>
    <mergeCell ref="C23:G23"/>
    <mergeCell ref="C24:G24"/>
  </mergeCells>
  <phoneticPr fontId="26" type="noConversion"/>
  <conditionalFormatting sqref="B55:C55">
    <cfRule type="expression" dxfId="86" priority="104">
      <formula>$D$55&lt;&gt;""</formula>
    </cfRule>
  </conditionalFormatting>
  <conditionalFormatting sqref="B54:E54">
    <cfRule type="expression" dxfId="85" priority="102">
      <formula>$B$54="總報酬率"</formula>
    </cfRule>
  </conditionalFormatting>
  <conditionalFormatting sqref="B2:U2">
    <cfRule type="expression" dxfId="84" priority="50">
      <formula>MF_Pro=2</formula>
    </cfRule>
  </conditionalFormatting>
  <conditionalFormatting sqref="D52:E53">
    <cfRule type="cellIs" dxfId="83" priority="98" operator="lessThan">
      <formula>0</formula>
    </cfRule>
  </conditionalFormatting>
  <conditionalFormatting sqref="D55:E55">
    <cfRule type="cellIs" dxfId="82" priority="100" operator="lessThan">
      <formula>0</formula>
    </cfRule>
    <cfRule type="expression" dxfId="81" priority="103">
      <formula>$B$55&lt;&gt;""</formula>
    </cfRule>
  </conditionalFormatting>
  <conditionalFormatting sqref="I7">
    <cfRule type="expression" dxfId="80" priority="18">
      <formula>OR(LEN($I$7)&lt;&gt;8,IFERROR($AE$7&lt;$AF$7,TRUE))</formula>
    </cfRule>
  </conditionalFormatting>
  <conditionalFormatting sqref="I8">
    <cfRule type="expression" dxfId="79" priority="16">
      <formula>OR(LEN($I$8)&lt;&gt;8,IFERROR($AE$8&lt;$AF$8,TRUE))</formula>
    </cfRule>
  </conditionalFormatting>
  <conditionalFormatting sqref="I9">
    <cfRule type="expression" dxfId="78" priority="15">
      <formula>OR(LEN($I$9)&lt;&gt;8,IFERROR($AE$9&lt;$AF$9,TRUE))</formula>
    </cfRule>
  </conditionalFormatting>
  <conditionalFormatting sqref="I10">
    <cfRule type="expression" dxfId="77" priority="14">
      <formula>OR(LEN($I$10)&lt;&gt;8,IFERROR($AE$10&lt;$AF$10,TRUE))</formula>
    </cfRule>
  </conditionalFormatting>
  <conditionalFormatting sqref="I11">
    <cfRule type="expression" dxfId="76" priority="13">
      <formula>OR(LEN($I$11)&lt;&gt;8,IFERROR($AE$11&lt;$AF$11,TRUE))</formula>
    </cfRule>
  </conditionalFormatting>
  <conditionalFormatting sqref="I12">
    <cfRule type="expression" dxfId="75" priority="12">
      <formula>OR(LEN($I$12)&lt;&gt;8,IFERROR($AE$12&lt;$AF$12,TRUE))</formula>
    </cfRule>
  </conditionalFormatting>
  <conditionalFormatting sqref="I13">
    <cfRule type="expression" dxfId="74" priority="11">
      <formula>OR(LEN($I$13)&lt;&gt;8,IFERROR($AE$13&lt;$AF$13,TRUE))</formula>
    </cfRule>
  </conditionalFormatting>
  <conditionalFormatting sqref="I14">
    <cfRule type="expression" dxfId="73" priority="10">
      <formula>OR(LEN($I$14)&lt;&gt;8,IFERROR($AE$14&lt;$AF$14,TRUE))</formula>
    </cfRule>
  </conditionalFormatting>
  <conditionalFormatting sqref="I15">
    <cfRule type="expression" dxfId="72" priority="9">
      <formula>OR(LEN($I$15)&lt;&gt;8,IFERROR($AE$15&lt;$AF$15,TRUE))</formula>
    </cfRule>
  </conditionalFormatting>
  <conditionalFormatting sqref="I16">
    <cfRule type="expression" dxfId="71" priority="8">
      <formula>OR(LEN($I$16)&lt;&gt;8,IFERROR($AE$16&lt;$AF$16,TRUE))</formula>
    </cfRule>
  </conditionalFormatting>
  <conditionalFormatting sqref="I17">
    <cfRule type="expression" dxfId="70" priority="39">
      <formula>OR(LEN($I$17)&lt;&gt;8,IFERROR($AE$17&lt;$AF$17,TRUE))</formula>
    </cfRule>
  </conditionalFormatting>
  <conditionalFormatting sqref="I18">
    <cfRule type="expression" dxfId="69" priority="38">
      <formula>OR(LEN($I$18)&lt;&gt;8,IFERROR($AE$18&lt;$AF$18,TRUE))</formula>
    </cfRule>
  </conditionalFormatting>
  <conditionalFormatting sqref="I19">
    <cfRule type="expression" dxfId="68" priority="37">
      <formula>OR(LEN($I$19)&lt;&gt;8,IFERROR($AE$19&lt;$AF$19,TRUE))</formula>
    </cfRule>
  </conditionalFormatting>
  <conditionalFormatting sqref="I20">
    <cfRule type="expression" dxfId="67" priority="36">
      <formula>OR(LEN($I$20)&lt;&gt;8,IFERROR($AE$20&lt;$AF$20,TRUE))</formula>
    </cfRule>
  </conditionalFormatting>
  <conditionalFormatting sqref="I21">
    <cfRule type="expression" dxfId="66" priority="35">
      <formula>OR(LEN($I$21)&lt;&gt;8,IFERROR($AE$21&lt;$AF$21,TRUE))</formula>
    </cfRule>
  </conditionalFormatting>
  <conditionalFormatting sqref="I22">
    <cfRule type="expression" dxfId="65" priority="34">
      <formula>OR(LEN($I$22)&lt;&gt;8,IFERROR($AE$22&lt;$AF$22,TRUE))</formula>
    </cfRule>
  </conditionalFormatting>
  <conditionalFormatting sqref="I23">
    <cfRule type="expression" dxfId="64" priority="33">
      <formula>OR(LEN($I$23)&lt;&gt;8,IFERROR($AE$23&lt;$AF$23,TRUE))</formula>
    </cfRule>
  </conditionalFormatting>
  <conditionalFormatting sqref="I24">
    <cfRule type="expression" dxfId="63" priority="32">
      <formula>OR(LEN($I$24)&lt;&gt;8,IFERROR($AE$24&lt;$AF$24,TRUE))</formula>
    </cfRule>
  </conditionalFormatting>
  <conditionalFormatting sqref="I25">
    <cfRule type="expression" dxfId="62" priority="31">
      <formula>OR(LEN($I$25)&lt;&gt;8,IFERROR($AE$25&lt;$AF$25,TRUE))</formula>
    </cfRule>
  </conditionalFormatting>
  <conditionalFormatting sqref="I26">
    <cfRule type="expression" dxfId="61" priority="30">
      <formula>OR(LEN($I$26)&lt;&gt;8,IFERROR($AE$26&lt;$AF$26,TRUE))</formula>
    </cfRule>
  </conditionalFormatting>
  <conditionalFormatting sqref="I27">
    <cfRule type="expression" dxfId="60" priority="29">
      <formula>OR(LEN($I$27)&lt;&gt;8,IFERROR($AE$27&lt;$AF$27,TRUE))</formula>
    </cfRule>
  </conditionalFormatting>
  <conditionalFormatting sqref="I28">
    <cfRule type="expression" dxfId="59" priority="28">
      <formula>OR(LEN($I$28)&lt;&gt;8,IFERROR($AE$28&lt;$AF$28,TRUE))</formula>
    </cfRule>
  </conditionalFormatting>
  <conditionalFormatting sqref="I29">
    <cfRule type="expression" dxfId="58" priority="27">
      <formula>OR(LEN($I$29)&lt;&gt;8,IFERROR($AE$29&lt;$AF$29,TRUE))</formula>
    </cfRule>
  </conditionalFormatting>
  <conditionalFormatting sqref="I30">
    <cfRule type="expression" dxfId="57" priority="26">
      <formula>OR(LEN($I$30)&lt;&gt;8,IFERROR($AE$30&lt;$AF$30,TRUE))</formula>
    </cfRule>
  </conditionalFormatting>
  <conditionalFormatting sqref="I31">
    <cfRule type="expression" dxfId="56" priority="25">
      <formula>OR(LEN($I$31)&lt;&gt;8,IFERROR($AE$31&lt;$AF$31,TRUE))</formula>
    </cfRule>
  </conditionalFormatting>
  <conditionalFormatting sqref="I32">
    <cfRule type="expression" dxfId="55" priority="24">
      <formula>OR(LEN($I$32)&lt;&gt;8,IFERROR($AE$32&lt;$AF$32,TRUE))</formula>
    </cfRule>
  </conditionalFormatting>
  <conditionalFormatting sqref="I33">
    <cfRule type="expression" dxfId="54" priority="23">
      <formula>OR(LEN($I$33)&lt;&gt;8,IFERROR($AE$33&lt;$AF$33,TRUE))</formula>
    </cfRule>
  </conditionalFormatting>
  <conditionalFormatting sqref="I34">
    <cfRule type="expression" dxfId="53" priority="22">
      <formula>OR(LEN($I$34)&lt;&gt;8,IFERROR($AE$34&lt;$AF$34,TRUE))</formula>
    </cfRule>
  </conditionalFormatting>
  <conditionalFormatting sqref="I35">
    <cfRule type="expression" dxfId="52" priority="21">
      <formula>OR(LEN($I$35)&lt;&gt;8,IFERROR($AE$35&lt;$AF$35,TRUE))</formula>
    </cfRule>
  </conditionalFormatting>
  <conditionalFormatting sqref="I36">
    <cfRule type="expression" dxfId="51" priority="20">
      <formula>OR(LEN($I$36)&lt;&gt;8,IFERROR($AE$36&lt;$AF$36,TRUE))</formula>
    </cfRule>
  </conditionalFormatting>
  <conditionalFormatting sqref="J7">
    <cfRule type="expression" dxfId="50" priority="272">
      <formula>OR($J$7&lt;$AG$7,MOD($J$7,$AH$7)&lt;&gt;0)</formula>
    </cfRule>
  </conditionalFormatting>
  <conditionalFormatting sqref="J8">
    <cfRule type="expression" dxfId="49" priority="96">
      <formula>OR($J$8&lt;$AG$8,MOD($J$8,$AH$8)&lt;&gt;0)</formula>
    </cfRule>
  </conditionalFormatting>
  <conditionalFormatting sqref="J9">
    <cfRule type="expression" dxfId="48" priority="74">
      <formula>OR($J$9&lt;$AG$9,MOD($J$9,$AH$9)&lt;&gt;0)</formula>
    </cfRule>
  </conditionalFormatting>
  <conditionalFormatting sqref="J10">
    <cfRule type="expression" dxfId="47" priority="73">
      <formula>OR($J$10&lt;$AG$10,MOD($J$10,$AH$10)&lt;&gt;0)</formula>
    </cfRule>
  </conditionalFormatting>
  <conditionalFormatting sqref="J11">
    <cfRule type="expression" dxfId="46" priority="72">
      <formula>OR($J$11&lt;$AG$11,MOD($J$11,$AH$11)&lt;&gt;0)</formula>
    </cfRule>
  </conditionalFormatting>
  <conditionalFormatting sqref="J12">
    <cfRule type="expression" dxfId="45" priority="19">
      <formula>OR($J$12&lt;$AG$12,MOD($J$12,$AH$12)&lt;&gt;0)</formula>
    </cfRule>
  </conditionalFormatting>
  <conditionalFormatting sqref="J13">
    <cfRule type="expression" dxfId="44" priority="7">
      <formula>OR($J$13&lt;$AG$13,MOD($J$13,$AH$13)&lt;&gt;0)</formula>
    </cfRule>
  </conditionalFormatting>
  <conditionalFormatting sqref="J14">
    <cfRule type="expression" dxfId="43" priority="6">
      <formula>OR($J$14&lt;$AG$14,MOD($J$14,$AH$14)&lt;&gt;0)</formula>
    </cfRule>
  </conditionalFormatting>
  <conditionalFormatting sqref="J15">
    <cfRule type="expression" dxfId="42" priority="5">
      <formula>OR($J$15&lt;$AG$15,MOD($J$15,$AH$15)&lt;&gt;0)</formula>
    </cfRule>
  </conditionalFormatting>
  <conditionalFormatting sqref="J16">
    <cfRule type="expression" dxfId="41" priority="4">
      <formula>OR($J$16&lt;$AG$16,MOD($J$16,$AH$16)&lt;&gt;0)</formula>
    </cfRule>
  </conditionalFormatting>
  <conditionalFormatting sqref="J17">
    <cfRule type="expression" dxfId="40" priority="17">
      <formula>OR($J$17&lt;$AG$17,MOD($J$17,$AH$17)&lt;&gt;0)</formula>
    </cfRule>
  </conditionalFormatting>
  <conditionalFormatting sqref="J18">
    <cfRule type="expression" dxfId="39" priority="3">
      <formula>OR($J$18&lt;$AG$18,MOD($J$18,$AH$18)&lt;&gt;0)</formula>
    </cfRule>
  </conditionalFormatting>
  <conditionalFormatting sqref="J19">
    <cfRule type="expression" dxfId="38" priority="68">
      <formula>OR($J$19&lt;$AG$19,MOD($J$19,$AH$19)&lt;&gt;0)</formula>
    </cfRule>
  </conditionalFormatting>
  <conditionalFormatting sqref="J20">
    <cfRule type="expression" dxfId="37" priority="66">
      <formula>OR($J$20&lt;$AG$20,MOD($J$20,$AH$20)&lt;&gt;0)</formula>
    </cfRule>
  </conditionalFormatting>
  <conditionalFormatting sqref="J21">
    <cfRule type="expression" dxfId="36" priority="65">
      <formula>OR($J$21&lt;$AG$21,MOD($J$21,$AH$21)&lt;&gt;0)</formula>
    </cfRule>
  </conditionalFormatting>
  <conditionalFormatting sqref="J22">
    <cfRule type="expression" dxfId="35" priority="64">
      <formula>OR($J$22&lt;$AG$22,MOD($J$22,$AH$22)&lt;&gt;0)</formula>
    </cfRule>
  </conditionalFormatting>
  <conditionalFormatting sqref="J23">
    <cfRule type="expression" dxfId="34" priority="63">
      <formula>OR($J$23&lt;$AG$23,MOD($J$23,$AH$23)&lt;&gt;0)</formula>
    </cfRule>
  </conditionalFormatting>
  <conditionalFormatting sqref="J24">
    <cfRule type="expression" dxfId="33" priority="62">
      <formula>OR($J$24&lt;$AG$24,MOD($J$24,$AH$24)&lt;&gt;0)</formula>
    </cfRule>
  </conditionalFormatting>
  <conditionalFormatting sqref="J25">
    <cfRule type="expression" dxfId="32" priority="61">
      <formula>OR($J$25&lt;$AG$25,MOD($J$25,$AH$25)&lt;&gt;0)</formula>
    </cfRule>
  </conditionalFormatting>
  <conditionalFormatting sqref="J26">
    <cfRule type="expression" dxfId="31" priority="60">
      <formula>OR($J$26&lt;$AG$26,MOD($J$26,$AH$26)&lt;&gt;0)</formula>
    </cfRule>
  </conditionalFormatting>
  <conditionalFormatting sqref="J27">
    <cfRule type="expression" dxfId="30" priority="59">
      <formula>OR($J$27&lt;$AG$27,MOD($J$27,$AH$27)&lt;&gt;0)</formula>
    </cfRule>
  </conditionalFormatting>
  <conditionalFormatting sqref="J28">
    <cfRule type="expression" dxfId="29" priority="58">
      <formula>OR($J$28&lt;$AG$28,MOD($J$28,$AH$28)&lt;&gt;0)</formula>
    </cfRule>
  </conditionalFormatting>
  <conditionalFormatting sqref="J29">
    <cfRule type="expression" dxfId="28" priority="67">
      <formula>OR($J$29&lt;$AG$29,MOD($J$29,$AH$29)&lt;&gt;0)</formula>
    </cfRule>
  </conditionalFormatting>
  <conditionalFormatting sqref="J30">
    <cfRule type="expression" dxfId="27" priority="57">
      <formula>OR($J$30&lt;$AG$30,MOD($J$30,$AH$30)&lt;&gt;0)</formula>
    </cfRule>
  </conditionalFormatting>
  <conditionalFormatting sqref="J31">
    <cfRule type="expression" dxfId="26" priority="56">
      <formula>OR($J$31&lt;$AG$31,MOD($J$31,$AH$31)&lt;&gt;0)</formula>
    </cfRule>
  </conditionalFormatting>
  <conditionalFormatting sqref="J32">
    <cfRule type="expression" dxfId="25" priority="55">
      <formula>OR($J$32&lt;$AG$32,MOD($J$32,$AH$32)&lt;&gt;0)</formula>
    </cfRule>
  </conditionalFormatting>
  <conditionalFormatting sqref="J33">
    <cfRule type="expression" dxfId="24" priority="54">
      <formula>OR($J$33&lt;$AG$33,MOD($J$33,$AH$33)&lt;&gt;0)</formula>
    </cfRule>
  </conditionalFormatting>
  <conditionalFormatting sqref="J34">
    <cfRule type="expression" dxfId="23" priority="53">
      <formula>OR($J$34&lt;$AG$34,MOD($J$34,$AH$34)&lt;&gt;0)</formula>
    </cfRule>
  </conditionalFormatting>
  <conditionalFormatting sqref="J35">
    <cfRule type="expression" dxfId="22" priority="52">
      <formula>OR($J$35&lt;$AG$35,MOD($J$35,$AH$35)&lt;&gt;0)</formula>
    </cfRule>
  </conditionalFormatting>
  <conditionalFormatting sqref="J36">
    <cfRule type="expression" dxfId="21" priority="51">
      <formula>OR($J$36&lt;$AG$36,MOD($J$36,$AH$36)&lt;&gt;0)</formula>
    </cfRule>
  </conditionalFormatting>
  <conditionalFormatting sqref="N37">
    <cfRule type="expression" dxfId="20" priority="2">
      <formula>FIND("-",$N$37)</formula>
    </cfRule>
  </conditionalFormatting>
  <conditionalFormatting sqref="O37">
    <cfRule type="expression" dxfId="19" priority="1">
      <formula>FIND("-",$O$37)</formula>
    </cfRule>
  </conditionalFormatting>
  <conditionalFormatting sqref="O38:Q38">
    <cfRule type="cellIs" dxfId="18" priority="112" operator="lessThan">
      <formula>0</formula>
    </cfRule>
  </conditionalFormatting>
  <conditionalFormatting sqref="P7:P36 D54">
    <cfRule type="cellIs" dxfId="17" priority="105" operator="lessThan">
      <formula>0</formula>
    </cfRule>
  </conditionalFormatting>
  <conditionalFormatting sqref="S7:S36">
    <cfRule type="dataBar" priority="273">
      <dataBar showValue="0">
        <cfvo type="min"/>
        <cfvo type="max"/>
        <color rgb="FF297D6B"/>
      </dataBar>
      <extLst>
        <ext xmlns:x14="http://schemas.microsoft.com/office/spreadsheetml/2009/9/main" uri="{B025F937-C7B1-47D3-B67F-A62EFF666E3E}">
          <x14:id>{1A6D8B02-182E-40B5-A8DD-4FBC3D9C3432}</x14:id>
        </ext>
      </extLst>
    </cfRule>
  </conditionalFormatting>
  <conditionalFormatting sqref="U37">
    <cfRule type="cellIs" dxfId="16" priority="111" operator="lessThan">
      <formula>0</formula>
    </cfRule>
  </conditionalFormatting>
  <dataValidations count="6">
    <dataValidation type="custom" operator="greaterThanOrEqual" allowBlank="1" showInputMessage="1" showErrorMessage="1" errorTitle="確認買進日期" error="請輸入「YYYYMMDD」日期格式，且買進日期應晚於發行日_x000a__x000a_" sqref="I17:I36" xr:uid="{00000000-0002-0000-1F00-000000000000}">
      <formula1>AND(AE17&gt;=AF17,LEN(I17)=8)</formula1>
    </dataValidation>
    <dataValidation type="custom" operator="greaterThanOrEqual" allowBlank="1" showInputMessage="1" showErrorMessage="1" errorTitle="投資面額待確認" error="不符合最低申購面額或最低增額要求，請重新輸入！_x000a__x000a_" sqref="AL70 J17:J18 AL67" xr:uid="{00000000-0002-0000-1F00-000001000000}">
      <formula1>AND(J17&gt;=AG17,MOD(J17,AH17)=0)</formula1>
    </dataValidation>
    <dataValidation type="custom" operator="greaterThanOrEqual" allowBlank="1" showInputMessage="1" showErrorMessage="1" errorTitle="投資面額待確認" error="不符合最低申購面額或最低增額要求，請重新輸入！_x000a_" sqref="AL71 J19:J36 AL60 AL68:AL69 J7" xr:uid="{00000000-0002-0000-1F00-000002000000}">
      <formula1>AND(J7&gt;=AG7,MOD(J7,AH7)=0)</formula1>
    </dataValidation>
    <dataValidation type="custom" operator="greaterThanOrEqual" allowBlank="1" showInputMessage="1" showErrorMessage="1" errorTitle="投資面額待確認" error="不符合最低申購面額或最低增額要求，請重新輸入！" sqref="AL61:AL66 J8:J16" xr:uid="{00000000-0002-0000-1F00-000003000000}">
      <formula1>AND(J8&gt;=AG8,MOD(J8,AH8)=0)</formula1>
    </dataValidation>
    <dataValidation type="custom" operator="greaterThanOrEqual" allowBlank="1" showInputMessage="1" showErrorMessage="1" errorTitle="買進日期待調整" error="所輸入日期早於發行日，請重新輸入！_x000a_" sqref="AK51:AK62" xr:uid="{00000000-0002-0000-1F00-000004000000}">
      <formula1>BG60&gt;BH60</formula1>
    </dataValidation>
    <dataValidation type="custom" operator="greaterThanOrEqual" allowBlank="1" showInputMessage="1" showErrorMessage="1" errorTitle="確認買進日期" error="請輸入「YYYYMMDD」日期格式，且買進日期應晚於發行日_x000a_" sqref="I7:I16" xr:uid="{00000000-0002-0000-1F00-000005000000}">
      <formula1>AND(AE7&gt;=AF7,LEN(I7)=8)</formula1>
    </dataValidation>
  </dataValidations>
  <printOptions horizontalCentered="1"/>
  <pageMargins left="3.937007874015748E-2" right="3.937007874015748E-2" top="0.39370078740157483" bottom="0.39370078740157483" header="0.31496062992125984" footer="0.31496062992125984"/>
  <pageSetup paperSize="9" scale="47"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dataBar" id="{1A6D8B02-182E-40B5-A8DD-4FBC3D9C3432}">
            <x14:dataBar minLength="0" maxLength="100" gradient="0">
              <x14:cfvo type="autoMin"/>
              <x14:cfvo type="autoMax"/>
              <x14:negativeFillColor rgb="FFFF7575"/>
              <x14:axisColor rgb="FF000000"/>
            </x14:dataBar>
          </x14:cfRule>
          <xm:sqref>S7:S36</xm:sqref>
        </x14:conditionalFormatting>
      </x14:conditionalFormattings>
    </ext>
    <ext xmlns:x14="http://schemas.microsoft.com/office/spreadsheetml/2009/9/main" uri="{CCE6A557-97BC-4b89-ADB6-D9C93CAAB3DF}">
      <x14:dataValidations xmlns:xm="http://schemas.microsoft.com/office/excel/2006/main" count="2">
        <x14:dataValidation type="custom" allowBlank="1" showInputMessage="1" showErrorMessage="1" errorTitle="商品代碼待確認" error="請填入正確商品代碼(不適用浮動利率及不含息交易債券)_x000a_" xr:uid="{00000000-0002-0000-1F00-000006000000}">
          <x14:formula1>
            <xm:f>'2_Check_code'!C29</xm:f>
          </x14:formula1>
          <xm:sqref>B24 B19:B22 B31:B32 B34:B36 B27:B29 B8:B17</xm:sqref>
        </x14:dataValidation>
        <x14:dataValidation type="custom" allowBlank="1" showInputMessage="1" showErrorMessage="1" errorTitle="商品代碼待確認" error="請填入正確商品代碼(不適用浮動利率及不含息交易債券)" xr:uid="{00000000-0002-0000-1F00-00000C000000}">
          <x14:formula1>
            <xm:f>'2_Check_code'!C28</xm:f>
          </x14:formula1>
          <xm:sqref>B33 B7 B30 B18 B23 B25:B26</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工作表31">
    <tabColor theme="7" tint="0.39997558519241921"/>
  </sheetPr>
  <dimension ref="A1:AJ180"/>
  <sheetViews>
    <sheetView zoomScale="70" zoomScaleNormal="70" workbookViewId="0">
      <selection activeCell="Z1" sqref="Z1"/>
    </sheetView>
  </sheetViews>
  <sheetFormatPr defaultRowHeight="15.5"/>
  <cols>
    <col min="1" max="1" width="15.0703125" bestFit="1" customWidth="1"/>
    <col min="2" max="2" width="9.0703125" style="1641" customWidth="1"/>
    <col min="3" max="3" width="13.0703125" customWidth="1"/>
    <col min="4" max="4" width="11.640625" bestFit="1" customWidth="1"/>
    <col min="5" max="5" width="13.42578125" bestFit="1" customWidth="1"/>
    <col min="6" max="6" width="3.42578125" bestFit="1" customWidth="1"/>
    <col min="8" max="8" width="12.640625" style="1020" bestFit="1" customWidth="1"/>
    <col min="9" max="9" width="11" style="1639" customWidth="1"/>
    <col min="10" max="10" width="12" style="1644" customWidth="1"/>
    <col min="11" max="11" width="12" style="1119" customWidth="1"/>
    <col min="12" max="12" width="13.42578125" style="1645" bestFit="1" customWidth="1"/>
    <col min="13" max="13" width="3.640625" style="1636" customWidth="1"/>
    <col min="14" max="14" width="3.0703125" style="1618" bestFit="1" customWidth="1"/>
    <col min="17" max="17" width="12.640625" style="1020" bestFit="1" customWidth="1"/>
    <col min="18" max="18" width="9.78515625" style="1641" customWidth="1"/>
    <col min="19" max="19" width="11.85546875" style="1649" bestFit="1" customWidth="1"/>
    <col min="20" max="20" width="10.85546875" customWidth="1"/>
    <col min="21" max="21" width="10.85546875" style="876" customWidth="1"/>
    <col min="22" max="22" width="3.640625" style="1636" customWidth="1"/>
    <col min="23" max="23" width="3.28515625" style="1618" bestFit="1" customWidth="1"/>
    <col min="24" max="24" width="3.2109375" style="1684" customWidth="1"/>
    <col min="25" max="25" width="3.640625" style="1636" customWidth="1"/>
    <col min="26" max="26" width="4.42578125" style="1618" bestFit="1" customWidth="1"/>
    <col min="27" max="27" width="6.42578125" style="1618" customWidth="1"/>
    <col min="30" max="30" width="12.2109375" style="1020" customWidth="1"/>
    <col min="31" max="31" width="8.85546875" bestFit="1" customWidth="1"/>
    <col min="32" max="32" width="9.85546875" bestFit="1" customWidth="1"/>
    <col min="33" max="33" width="9.78515625" bestFit="1" customWidth="1"/>
    <col min="34" max="34" width="8.85546875" bestFit="1" customWidth="1"/>
  </cols>
  <sheetData>
    <row r="1" spans="1:36" ht="16" thickBot="1">
      <c r="A1" s="1631" t="s">
        <v>4414</v>
      </c>
      <c r="B1" s="1639" t="s">
        <v>3753</v>
      </c>
      <c r="C1" s="1632" t="s">
        <v>4415</v>
      </c>
      <c r="D1" t="s">
        <v>2128</v>
      </c>
      <c r="E1" t="s">
        <v>2238</v>
      </c>
      <c r="H1" s="1633" t="s">
        <v>4416</v>
      </c>
      <c r="I1" s="1634" t="s">
        <v>3753</v>
      </c>
      <c r="J1" s="1643" t="s">
        <v>4415</v>
      </c>
      <c r="K1" s="1635" t="s">
        <v>2128</v>
      </c>
      <c r="L1" s="1567" t="s">
        <v>2238</v>
      </c>
      <c r="M1" s="1636">
        <f>IF(OR(I1="",J1="",K1="",L1=""),"",1)</f>
        <v>1</v>
      </c>
      <c r="N1" s="1636">
        <f>IF(I1="","",1)</f>
        <v>1</v>
      </c>
      <c r="Q1" s="1633" t="s">
        <v>4441</v>
      </c>
      <c r="R1" s="1688" t="s">
        <v>3753</v>
      </c>
      <c r="S1" s="1689" t="s">
        <v>4415</v>
      </c>
      <c r="T1" s="1690" t="s">
        <v>2128</v>
      </c>
      <c r="U1" s="1691" t="s">
        <v>2238</v>
      </c>
      <c r="W1" s="1636"/>
      <c r="X1" s="1684" t="s">
        <v>4487</v>
      </c>
      <c r="Y1" s="1636">
        <f>SUM(Y2:Y37)</f>
        <v>4</v>
      </c>
      <c r="Z1" s="1636">
        <f>SUM(Z2:Z37)</f>
        <v>4</v>
      </c>
      <c r="AD1" s="1633" t="s">
        <v>4444</v>
      </c>
      <c r="AE1" t="s">
        <v>4445</v>
      </c>
      <c r="AF1" t="s">
        <v>4446</v>
      </c>
      <c r="AG1" t="s">
        <v>4447</v>
      </c>
      <c r="AH1" t="s">
        <v>4448</v>
      </c>
    </row>
    <row r="2" spans="1:36">
      <c r="A2" s="1637">
        <v>1</v>
      </c>
      <c r="B2" s="1026" t="str">
        <f>IF(庫存管理!P7="","",庫存管理!P7)</f>
        <v>XH430</v>
      </c>
      <c r="C2" s="1648">
        <f>IF(庫存管理!X7="","",庫存管理!X7)</f>
        <v>20240101</v>
      </c>
      <c r="D2" s="1635">
        <f>IF(庫存管理!Y7="","",庫存管理!Y7)</f>
        <v>100000</v>
      </c>
      <c r="E2" s="1646">
        <f>IF(庫存管理!Z7="","",庫存管理!Z7)</f>
        <v>98000</v>
      </c>
      <c r="F2" s="1636">
        <f>IF(B2="","",1)</f>
        <v>1</v>
      </c>
      <c r="H2" s="1638">
        <v>1</v>
      </c>
      <c r="I2" s="1639" t="s">
        <v>4840</v>
      </c>
      <c r="J2" s="1644">
        <v>20240101</v>
      </c>
      <c r="K2" s="1119">
        <v>10000</v>
      </c>
      <c r="L2" s="1645">
        <v>10000</v>
      </c>
      <c r="M2" s="1636">
        <f t="shared" ref="M2:M6" si="0">IF(OR(I2="",J2="",K2="",L2=""),"",1)</f>
        <v>1</v>
      </c>
      <c r="Q2" s="1638">
        <v>1</v>
      </c>
      <c r="R2" t="str">
        <f>IF(IF($V2=$A$16,VLOOKUP($W2,$A$2:$E$13,COLUMN(R2)-16,0),I2)=0,"", IF($V2=$A$16,VLOOKUP($W2,$A$2:$E$13,COLUMN(R2)-16,0),I2))</f>
        <v>XH430</v>
      </c>
      <c r="S2" s="1644">
        <f>IF(IF($V2=$A$16,VLOOKUP($W2,$A$2:$E$13,COLUMN(S2)-16,0),J2)=0,"",IF($V2=$A$16,VLOOKUP($W2,$A$2:$E$13,COLUMN(S2)-16,0),J2))</f>
        <v>20240101</v>
      </c>
      <c r="T2" s="1119">
        <f>IF(IF($V2=$A$16,VLOOKUP($W2,$A$2:$E$13,COLUMN(T2)-16,0),K2)=0,"",IF($V2=$A$16,VLOOKUP($W2,$A$2:$E$13,COLUMN(T2)-16,0),K2))</f>
        <v>100000</v>
      </c>
      <c r="U2" s="1119">
        <f>IF(IF($V2=$A$16,VLOOKUP($W2,$A$2:$E$13,COLUMN(U2)-16,0),L2)=0,"",IF($V2=$A$16,VLOOKUP($W2,$A$2:$E$13,COLUMN(U2)-16,0),L2))</f>
        <v>98000</v>
      </c>
      <c r="V2" s="1636">
        <f>ROUNDDOWN((Q2-1)/12,0)+1</f>
        <v>1</v>
      </c>
      <c r="W2" s="1636">
        <f>Q2-12*(V2-1)</f>
        <v>1</v>
      </c>
      <c r="X2" s="1684" t="s">
        <v>4488</v>
      </c>
      <c r="Y2" s="1636">
        <f>IF(OR(R2="",S2="",T2="",U2=""),"",1)</f>
        <v>1</v>
      </c>
      <c r="Z2" s="1636">
        <f>IF(R2="","",1)</f>
        <v>1</v>
      </c>
      <c r="AA2" s="1618" t="str">
        <f t="array" ref="AA2">IF(R2="","",IF(COUNTIF(表格6[商品代碼], R2) &gt; 1, "重複", "唯一"))</f>
        <v>唯一</v>
      </c>
      <c r="AD2" s="1638">
        <v>1</v>
      </c>
      <c r="AE2" t="str">
        <f t="array" ref="AE2">IFERROR(INDEX(表格6[商品代碼],MATCH(0,COUNTIF($AE$1:AE1,表格6[商品代碼]),0)),"")</f>
        <v>XH430</v>
      </c>
      <c r="AF2">
        <f t="array" ref="AF2">IF(AND(VLOOKUP($AE2,$R:$AA,8,0)="重複",$AE2&lt;&gt;""), "合併資料", VLOOKUP($AE2,$R:$AA,2,0))</f>
        <v>20240101</v>
      </c>
      <c r="AG2" s="826">
        <f>IF(AE2="","",SUMIF(表格6[商品代碼],AE2,表格6[投資面額]))</f>
        <v>100000</v>
      </c>
      <c r="AH2" s="826">
        <f t="shared" ref="AH2:AH37" si="1">IF(AE2="","",SUMIF(R:R,AE2,U:U))</f>
        <v>98000</v>
      </c>
      <c r="AJ2" t="str">
        <f t="array" ref="AJ2">IFERROR(INDEX(表格6[[#This Row],[商品代碼]],MATCH(0,COUNTIF(#REF!,表格6[商品代碼]),0)),"")</f>
        <v/>
      </c>
    </row>
    <row r="3" spans="1:36">
      <c r="A3" s="1638">
        <v>2</v>
      </c>
      <c r="B3" t="str">
        <f>IF(庫存管理!P8="","",庫存管理!P8)</f>
        <v>XG300</v>
      </c>
      <c r="C3" s="1649">
        <f>IF(庫存管理!X8="","",庫存管理!X8)</f>
        <v>20240101</v>
      </c>
      <c r="D3" s="1119">
        <f>IF(庫存管理!Y8="","",庫存管理!Y8)</f>
        <v>100000</v>
      </c>
      <c r="E3" s="1645">
        <f>IF(庫存管理!Z8="","",庫存管理!Z8)</f>
        <v>58000</v>
      </c>
      <c r="F3" s="1636">
        <f t="shared" ref="F3:F13" si="2">IF(B3="","",1)</f>
        <v>1</v>
      </c>
      <c r="H3" s="1638">
        <v>2</v>
      </c>
      <c r="I3" s="1639" t="s">
        <v>4841</v>
      </c>
      <c r="J3" s="1644">
        <v>20240101</v>
      </c>
      <c r="K3" s="1119">
        <v>10000</v>
      </c>
      <c r="L3" s="1645">
        <v>10000</v>
      </c>
      <c r="M3" s="1636">
        <f t="shared" si="0"/>
        <v>1</v>
      </c>
      <c r="Q3" s="1638">
        <v>2</v>
      </c>
      <c r="R3" t="str">
        <f t="shared" ref="R3:R66" si="3">IF(IF($V3=$A$16,VLOOKUP($W3,$A$2:$E$13,COLUMN(R3)-16,0),I3)=0,"", IF($V3=$A$16,VLOOKUP($W3,$A$2:$E$13,COLUMN(R3)-16,0),I3))</f>
        <v>XG300</v>
      </c>
      <c r="S3" s="1644">
        <f t="shared" ref="S3:S66" si="4">IF(IF($V3=$A$16,VLOOKUP($W3,$A$2:$E$13,COLUMN(S3)-16,0),J3)=0,"",IF($V3=$A$16,VLOOKUP($W3,$A$2:$E$13,COLUMN(S3)-16,0),J3))</f>
        <v>20240101</v>
      </c>
      <c r="T3" s="1119">
        <f t="shared" ref="T3:T66" si="5">IF(IF($V3=$A$16,VLOOKUP($W3,$A$2:$E$13,COLUMN(T3)-16,0),K3)=0,"",IF($V3=$A$16,VLOOKUP($W3,$A$2:$E$13,COLUMN(T3)-16,0),K3))</f>
        <v>100000</v>
      </c>
      <c r="U3" s="1119">
        <f t="shared" ref="U3:U66" si="6">IF(IF($V3=$A$16,VLOOKUP($W3,$A$2:$E$13,COLUMN(U3)-16,0),L3)=0,"",IF($V3=$A$16,VLOOKUP($W3,$A$2:$E$13,COLUMN(U3)-16,0),L3))</f>
        <v>58000</v>
      </c>
      <c r="V3" s="1636">
        <f t="shared" ref="V3:V37" si="7">ROUNDDOWN((Q3-1)/12,0)+1</f>
        <v>1</v>
      </c>
      <c r="W3" s="1636">
        <f t="shared" ref="W3:W37" si="8">Q3-12*(V3-1)</f>
        <v>2</v>
      </c>
      <c r="X3" s="1684" t="s">
        <v>4489</v>
      </c>
      <c r="Y3" s="1636">
        <f t="shared" ref="Y3:Y37" si="9">IF(OR(R3="",S3="",T3="",U3=""),"",1)</f>
        <v>1</v>
      </c>
      <c r="Z3" s="1636">
        <f t="shared" ref="Z3:Z37" si="10">IF(R3="","",1)</f>
        <v>1</v>
      </c>
      <c r="AA3" s="1618" t="str">
        <f>IF(R3="","",IF(COUNTIF(表格6[商品代碼], R3) &gt; 1, "重複", "唯一"))</f>
        <v>唯一</v>
      </c>
      <c r="AD3" s="1638">
        <v>2</v>
      </c>
      <c r="AE3" t="str">
        <f t="array" ref="AE3">IFERROR(INDEX(表格6[商品代碼],MATCH(0,COUNTIF($AE$1:AE2,表格6[商品代碼]),0)),"")</f>
        <v>XG300</v>
      </c>
      <c r="AF3">
        <f t="array" ref="AF3">IF(AND(VLOOKUP($AE3,$R:$AA,8,0)="重複",$AE3&lt;&gt;""), "合併資料", VLOOKUP($AE3,$R:$AA,2,0))</f>
        <v>20240101</v>
      </c>
      <c r="AG3" s="826">
        <f>IF(AE3="","",SUMIF(表格6[商品代碼],AE3,表格6[投資面額]))</f>
        <v>100000</v>
      </c>
      <c r="AH3" s="826">
        <f t="shared" si="1"/>
        <v>58000</v>
      </c>
    </row>
    <row r="4" spans="1:36">
      <c r="A4" s="1638">
        <v>3</v>
      </c>
      <c r="B4" t="str">
        <f>IF(庫存管理!P9="","",庫存管理!P9)</f>
        <v>XH750</v>
      </c>
      <c r="C4" s="1649">
        <f>IF(庫存管理!X9="","",庫存管理!X9)</f>
        <v>20240101</v>
      </c>
      <c r="D4" s="1119">
        <f>IF(庫存管理!Y9="","",庫存管理!Y9)</f>
        <v>100000</v>
      </c>
      <c r="E4" s="1645">
        <f>IF(庫存管理!Z9="","",庫存管理!Z9)</f>
        <v>88000</v>
      </c>
      <c r="F4" s="1636">
        <f t="shared" si="2"/>
        <v>1</v>
      </c>
      <c r="H4" s="1638">
        <v>3</v>
      </c>
      <c r="I4" s="1639" t="s">
        <v>4842</v>
      </c>
      <c r="J4" s="1644">
        <v>20240101</v>
      </c>
      <c r="K4" s="1119">
        <v>10000</v>
      </c>
      <c r="L4" s="1645">
        <v>7000</v>
      </c>
      <c r="M4" s="1636">
        <f t="shared" si="0"/>
        <v>1</v>
      </c>
      <c r="Q4" s="1638">
        <v>3</v>
      </c>
      <c r="R4" t="str">
        <f t="shared" si="3"/>
        <v>XH750</v>
      </c>
      <c r="S4" s="1644">
        <f t="shared" si="4"/>
        <v>20240101</v>
      </c>
      <c r="T4" s="1119">
        <f t="shared" si="5"/>
        <v>100000</v>
      </c>
      <c r="U4" s="1119">
        <f t="shared" si="6"/>
        <v>88000</v>
      </c>
      <c r="V4" s="1636">
        <f t="shared" si="7"/>
        <v>1</v>
      </c>
      <c r="W4" s="1618">
        <f t="shared" si="8"/>
        <v>3</v>
      </c>
      <c r="X4" s="1684" t="s">
        <v>4490</v>
      </c>
      <c r="Y4" s="1636">
        <f t="shared" si="9"/>
        <v>1</v>
      </c>
      <c r="Z4" s="1636">
        <f t="shared" si="10"/>
        <v>1</v>
      </c>
      <c r="AA4" s="1618" t="str">
        <f>IF(R4="","",IF(COUNTIF(表格6[商品代碼], R4) &gt; 1, "重複", "唯一"))</f>
        <v>唯一</v>
      </c>
      <c r="AD4" s="1638">
        <v>3</v>
      </c>
      <c r="AE4" t="str">
        <f t="array" ref="AE4">IFERROR(INDEX(表格6[商品代碼],MATCH(0,COUNTIF($AE$1:AE3,表格6[商品代碼]),0)),"")</f>
        <v>XH750</v>
      </c>
      <c r="AF4">
        <f t="array" ref="AF4">IF(AND(VLOOKUP($AE4,$R:$AA,8,0)="重複",$AE4&lt;&gt;""), "合併資料", VLOOKUP($AE4,$R:$AA,2,0))</f>
        <v>20240101</v>
      </c>
      <c r="AG4" s="826">
        <f>IF(AE4="","",SUMIF(表格6[商品代碼],AE4,表格6[投資面額]))</f>
        <v>100000</v>
      </c>
      <c r="AH4" s="826">
        <f t="shared" si="1"/>
        <v>88000</v>
      </c>
    </row>
    <row r="5" spans="1:36">
      <c r="A5" s="1638">
        <v>4</v>
      </c>
      <c r="B5" t="str">
        <f>IF(庫存管理!P10="","",庫存管理!P10)</f>
        <v>XH040</v>
      </c>
      <c r="C5" s="1649">
        <f>IF(庫存管理!X10="","",庫存管理!X10)</f>
        <v>20240101</v>
      </c>
      <c r="D5" s="1119">
        <f>IF(庫存管理!Y10="","",庫存管理!Y10)</f>
        <v>100000</v>
      </c>
      <c r="E5" s="1645">
        <f>IF(庫存管理!Z10="","",庫存管理!Z10)</f>
        <v>88000</v>
      </c>
      <c r="F5" s="1636">
        <f t="shared" si="2"/>
        <v>1</v>
      </c>
      <c r="H5" s="1638">
        <v>4</v>
      </c>
      <c r="I5" s="1639" t="s">
        <v>4843</v>
      </c>
      <c r="J5" s="1644">
        <v>20240101</v>
      </c>
      <c r="K5" s="1119">
        <v>10000</v>
      </c>
      <c r="L5" s="1645">
        <v>10000</v>
      </c>
      <c r="M5" s="1636">
        <f t="shared" si="0"/>
        <v>1</v>
      </c>
      <c r="Q5" s="1638">
        <v>4</v>
      </c>
      <c r="R5" t="str">
        <f t="shared" si="3"/>
        <v>XH040</v>
      </c>
      <c r="S5" s="1644">
        <f t="shared" si="4"/>
        <v>20240101</v>
      </c>
      <c r="T5" s="1119">
        <f t="shared" si="5"/>
        <v>100000</v>
      </c>
      <c r="U5" s="1119">
        <f t="shared" si="6"/>
        <v>88000</v>
      </c>
      <c r="V5" s="1636">
        <f t="shared" si="7"/>
        <v>1</v>
      </c>
      <c r="W5" s="1618">
        <f t="shared" si="8"/>
        <v>4</v>
      </c>
      <c r="X5" s="1685"/>
      <c r="Y5" s="1636">
        <f t="shared" si="9"/>
        <v>1</v>
      </c>
      <c r="Z5" s="1636">
        <f t="shared" si="10"/>
        <v>1</v>
      </c>
      <c r="AA5" s="1618" t="str">
        <f>IF(R5="","",IF(COUNTIF(表格6[商品代碼], R5) &gt; 1, "重複", "唯一"))</f>
        <v>唯一</v>
      </c>
      <c r="AD5" s="1638">
        <v>4</v>
      </c>
      <c r="AE5" t="str">
        <f t="array" ref="AE5">IFERROR(INDEX(表格6[商品代碼],MATCH(0,COUNTIF($AE$1:AE4,表格6[商品代碼]),0)),"")</f>
        <v>XH040</v>
      </c>
      <c r="AF5">
        <f t="array" ref="AF5">IF(AND(VLOOKUP($AE5,$R:$AA,8,0)="重複",$AE5&lt;&gt;""), "合併資料", VLOOKUP($AE5,$R:$AA,2,0))</f>
        <v>20240101</v>
      </c>
      <c r="AG5" s="826">
        <f>IF(AE5="","",SUMIF(表格6[商品代碼],AE5,表格6[投資面額]))</f>
        <v>100000</v>
      </c>
      <c r="AH5" s="826">
        <f t="shared" si="1"/>
        <v>88000</v>
      </c>
    </row>
    <row r="6" spans="1:36">
      <c r="A6" s="1638">
        <v>5</v>
      </c>
      <c r="B6" t="str">
        <f>IF(庫存管理!P11="","",庫存管理!P11)</f>
        <v/>
      </c>
      <c r="C6" s="1649" t="str">
        <f>IF(庫存管理!X11="","",庫存管理!X11)</f>
        <v/>
      </c>
      <c r="D6" s="1119" t="str">
        <f>IF(庫存管理!Y11="","",庫存管理!Y11)</f>
        <v/>
      </c>
      <c r="E6" s="1645" t="str">
        <f>IF(庫存管理!Z11="","",庫存管理!Z11)</f>
        <v/>
      </c>
      <c r="F6" s="1636" t="str">
        <f t="shared" si="2"/>
        <v/>
      </c>
      <c r="H6" s="1638">
        <v>5</v>
      </c>
      <c r="I6" s="1639" t="s">
        <v>4839</v>
      </c>
      <c r="M6" s="1636" t="str">
        <f t="shared" si="0"/>
        <v/>
      </c>
      <c r="Q6" s="1638">
        <v>5</v>
      </c>
      <c r="R6" t="str">
        <f t="shared" si="3"/>
        <v/>
      </c>
      <c r="S6" s="1644" t="str">
        <f t="shared" si="4"/>
        <v/>
      </c>
      <c r="T6" s="1119" t="str">
        <f t="shared" si="5"/>
        <v/>
      </c>
      <c r="U6" s="1119" t="str">
        <f t="shared" si="6"/>
        <v/>
      </c>
      <c r="V6" s="1636">
        <f t="shared" si="7"/>
        <v>1</v>
      </c>
      <c r="W6" s="1618">
        <f t="shared" si="8"/>
        <v>5</v>
      </c>
      <c r="Y6" s="1636" t="str">
        <f t="shared" si="9"/>
        <v/>
      </c>
      <c r="Z6" s="1636" t="str">
        <f t="shared" si="10"/>
        <v/>
      </c>
      <c r="AA6" s="1618" t="str">
        <f>IF(R6="","",IF(COUNTIF(表格6[商品代碼], R6) &gt; 1, "重複", "唯一"))</f>
        <v/>
      </c>
      <c r="AD6" s="1638">
        <v>5</v>
      </c>
      <c r="AE6" t="str">
        <f t="array" ref="AE6">IFERROR(INDEX(表格6[商品代碼],MATCH(0,COUNTIF($AE$1:AE5,表格6[商品代碼]),0)),"")</f>
        <v/>
      </c>
      <c r="AF6" t="str">
        <f t="array" ref="AF6">IF(AND(VLOOKUP($AE6,$R:$AA,8,0)="重複",$AE6&lt;&gt;""), "合併資料", VLOOKUP($AE6,$R:$AA,2,0))</f>
        <v/>
      </c>
      <c r="AG6" s="826" t="str">
        <f>IF(AE6="","",SUMIF(表格6[商品代碼],AE6,表格6[投資面額]))</f>
        <v/>
      </c>
      <c r="AH6" s="826" t="str">
        <f t="shared" si="1"/>
        <v/>
      </c>
    </row>
    <row r="7" spans="1:36">
      <c r="A7" s="1638">
        <v>6</v>
      </c>
      <c r="B7" t="str">
        <f>IF(庫存管理!P12="","",庫存管理!P12)</f>
        <v/>
      </c>
      <c r="C7" s="1649" t="str">
        <f>IF(庫存管理!X12="","",庫存管理!X12)</f>
        <v/>
      </c>
      <c r="D7" s="1119" t="str">
        <f>IF(庫存管理!Y12="","",庫存管理!Y12)</f>
        <v/>
      </c>
      <c r="E7" s="1645" t="str">
        <f>IF(庫存管理!Z12="","",庫存管理!Z12)</f>
        <v/>
      </c>
      <c r="F7" s="1636" t="str">
        <f t="shared" si="2"/>
        <v/>
      </c>
      <c r="H7" s="1638">
        <v>6</v>
      </c>
      <c r="I7" s="1639" t="s">
        <v>4839</v>
      </c>
      <c r="Q7" s="1638">
        <v>6</v>
      </c>
      <c r="R7" t="str">
        <f t="shared" si="3"/>
        <v/>
      </c>
      <c r="S7" s="1644" t="str">
        <f t="shared" si="4"/>
        <v/>
      </c>
      <c r="T7" s="1119" t="str">
        <f t="shared" si="5"/>
        <v/>
      </c>
      <c r="U7" s="1119" t="str">
        <f t="shared" si="6"/>
        <v/>
      </c>
      <c r="V7" s="1636">
        <f t="shared" si="7"/>
        <v>1</v>
      </c>
      <c r="W7" s="1618">
        <f t="shared" si="8"/>
        <v>6</v>
      </c>
      <c r="Y7" s="1636" t="str">
        <f t="shared" si="9"/>
        <v/>
      </c>
      <c r="Z7" s="1636" t="str">
        <f t="shared" si="10"/>
        <v/>
      </c>
      <c r="AA7" s="1618" t="str">
        <f>IF(R7="","",IF(COUNTIF(表格6[商品代碼], R7) &gt; 1, "重複", "唯一"))</f>
        <v/>
      </c>
      <c r="AD7" s="1638">
        <v>6</v>
      </c>
      <c r="AE7" t="str">
        <f t="array" ref="AE7">IFERROR(INDEX(表格6[商品代碼],MATCH(0,COUNTIF($AE$1:AE6,表格6[商品代碼]),0)),"")</f>
        <v/>
      </c>
      <c r="AF7" t="str">
        <f t="array" ref="AF7">IF(AND(VLOOKUP($AE7,$R:$AA,8,0)="重複",$AE7&lt;&gt;""), "合併資料", VLOOKUP($AE7,$R:$AA,2,0))</f>
        <v/>
      </c>
      <c r="AG7" s="826" t="str">
        <f>IF(AE7="","",SUMIF(表格6[商品代碼],AE7,表格6[投資面額]))</f>
        <v/>
      </c>
      <c r="AH7" s="826" t="str">
        <f t="shared" si="1"/>
        <v/>
      </c>
    </row>
    <row r="8" spans="1:36">
      <c r="A8" s="1638">
        <v>7</v>
      </c>
      <c r="B8" t="str">
        <f>IF(庫存管理!P13="","",庫存管理!P13)</f>
        <v/>
      </c>
      <c r="C8" s="1649" t="str">
        <f>IF(庫存管理!X13="","",庫存管理!X13)</f>
        <v/>
      </c>
      <c r="D8" s="1119" t="str">
        <f>IF(庫存管理!Y13="","",庫存管理!Y13)</f>
        <v/>
      </c>
      <c r="E8" s="1645" t="str">
        <f>IF(庫存管理!Z13="","",庫存管理!Z13)</f>
        <v/>
      </c>
      <c r="F8" s="1636" t="str">
        <f t="shared" si="2"/>
        <v/>
      </c>
      <c r="H8" s="1638">
        <v>7</v>
      </c>
      <c r="I8" s="1639" t="s">
        <v>4839</v>
      </c>
      <c r="Q8" s="1638">
        <v>7</v>
      </c>
      <c r="R8" t="str">
        <f t="shared" si="3"/>
        <v/>
      </c>
      <c r="S8" s="1644" t="str">
        <f t="shared" si="4"/>
        <v/>
      </c>
      <c r="T8" s="1119" t="str">
        <f t="shared" si="5"/>
        <v/>
      </c>
      <c r="U8" s="1119" t="str">
        <f t="shared" si="6"/>
        <v/>
      </c>
      <c r="V8" s="1636">
        <f t="shared" si="7"/>
        <v>1</v>
      </c>
      <c r="W8" s="1618">
        <f t="shared" si="8"/>
        <v>7</v>
      </c>
      <c r="Y8" s="1636" t="str">
        <f t="shared" si="9"/>
        <v/>
      </c>
      <c r="Z8" s="1636" t="str">
        <f t="shared" si="10"/>
        <v/>
      </c>
      <c r="AA8" s="1618" t="str">
        <f>IF(R8="","",IF(COUNTIF(表格6[商品代碼], R8) &gt; 1, "重複", "唯一"))</f>
        <v/>
      </c>
      <c r="AD8" s="1638">
        <v>7</v>
      </c>
      <c r="AE8" t="str">
        <f t="array" ref="AE8">IFERROR(INDEX(表格6[商品代碼],MATCH(0,COUNTIF($AE$1:AE7,表格6[商品代碼]),0)),"")</f>
        <v/>
      </c>
      <c r="AF8" t="str">
        <f t="array" ref="AF8">IF(AND(VLOOKUP($AE8,$R:$AA,8,0)="重複",$AE8&lt;&gt;""), "合併資料", VLOOKUP($AE8,$R:$AA,2,0))</f>
        <v/>
      </c>
      <c r="AG8" s="826" t="str">
        <f>IF(AE8="","",SUMIF(表格6[商品代碼],AE8,表格6[投資面額]))</f>
        <v/>
      </c>
      <c r="AH8" s="826" t="str">
        <f t="shared" si="1"/>
        <v/>
      </c>
    </row>
    <row r="9" spans="1:36">
      <c r="A9" s="1638">
        <v>8</v>
      </c>
      <c r="B9" t="str">
        <f>IF(庫存管理!P14="","",庫存管理!P14)</f>
        <v/>
      </c>
      <c r="C9" s="1649" t="str">
        <f>IF(庫存管理!X14="","",庫存管理!X14)</f>
        <v/>
      </c>
      <c r="D9" s="1119" t="str">
        <f>IF(庫存管理!Y14="","",庫存管理!Y14)</f>
        <v/>
      </c>
      <c r="E9" s="1645" t="str">
        <f>IF(庫存管理!Z14="","",庫存管理!Z14)</f>
        <v/>
      </c>
      <c r="F9" s="1636" t="str">
        <f t="shared" si="2"/>
        <v/>
      </c>
      <c r="H9" s="1638">
        <v>8</v>
      </c>
      <c r="I9" s="1639" t="s">
        <v>4839</v>
      </c>
      <c r="Q9" s="1638">
        <v>8</v>
      </c>
      <c r="R9" t="str">
        <f t="shared" si="3"/>
        <v/>
      </c>
      <c r="S9" s="1644" t="str">
        <f t="shared" si="4"/>
        <v/>
      </c>
      <c r="T9" s="1119" t="str">
        <f t="shared" si="5"/>
        <v/>
      </c>
      <c r="U9" s="1119" t="str">
        <f t="shared" si="6"/>
        <v/>
      </c>
      <c r="V9" s="1636">
        <f t="shared" si="7"/>
        <v>1</v>
      </c>
      <c r="W9" s="1618">
        <f t="shared" si="8"/>
        <v>8</v>
      </c>
      <c r="Y9" s="1636" t="str">
        <f t="shared" si="9"/>
        <v/>
      </c>
      <c r="Z9" s="1636" t="str">
        <f t="shared" si="10"/>
        <v/>
      </c>
      <c r="AA9" s="1618" t="str">
        <f>IF(R9="","",IF(COUNTIF(表格6[商品代碼], R9) &gt; 1, "重複", "唯一"))</f>
        <v/>
      </c>
      <c r="AD9" s="1638">
        <v>8</v>
      </c>
      <c r="AE9" t="str">
        <f t="array" ref="AE9">IFERROR(INDEX(表格6[商品代碼],MATCH(0,COUNTIF($AE$1:AE8,表格6[商品代碼]),0)),"")</f>
        <v/>
      </c>
      <c r="AF9" t="str">
        <f t="array" ref="AF9">IF(AND(VLOOKUP($AE9,$R:$AA,8,0)="重複",$AE9&lt;&gt;""), "合併資料", VLOOKUP($AE9,$R:$AA,2,0))</f>
        <v/>
      </c>
      <c r="AG9" s="826" t="str">
        <f>IF(AE9="","",SUMIF(表格6[商品代碼],AE9,表格6[投資面額]))</f>
        <v/>
      </c>
      <c r="AH9" s="826" t="str">
        <f t="shared" si="1"/>
        <v/>
      </c>
    </row>
    <row r="10" spans="1:36">
      <c r="A10" s="1638">
        <v>9</v>
      </c>
      <c r="B10" t="str">
        <f>IF(庫存管理!P15="","",庫存管理!P15)</f>
        <v/>
      </c>
      <c r="C10" s="1649" t="str">
        <f>IF(庫存管理!X15="","",庫存管理!X15)</f>
        <v/>
      </c>
      <c r="D10" s="1119" t="str">
        <f>IF(庫存管理!Y15="","",庫存管理!Y15)</f>
        <v/>
      </c>
      <c r="E10" s="1645" t="str">
        <f>IF(庫存管理!Z15="","",庫存管理!Z15)</f>
        <v/>
      </c>
      <c r="F10" s="1636" t="str">
        <f t="shared" si="2"/>
        <v/>
      </c>
      <c r="H10" s="1638">
        <v>9</v>
      </c>
      <c r="I10" s="1639" t="s">
        <v>4839</v>
      </c>
      <c r="Q10" s="1638">
        <v>9</v>
      </c>
      <c r="R10" t="str">
        <f t="shared" si="3"/>
        <v/>
      </c>
      <c r="S10" s="1644" t="str">
        <f t="shared" si="4"/>
        <v/>
      </c>
      <c r="T10" s="1119" t="str">
        <f t="shared" si="5"/>
        <v/>
      </c>
      <c r="U10" s="1119" t="str">
        <f t="shared" si="6"/>
        <v/>
      </c>
      <c r="V10" s="1636">
        <f t="shared" si="7"/>
        <v>1</v>
      </c>
      <c r="W10" s="1618">
        <f t="shared" si="8"/>
        <v>9</v>
      </c>
      <c r="Y10" s="1636" t="str">
        <f t="shared" si="9"/>
        <v/>
      </c>
      <c r="Z10" s="1636" t="str">
        <f t="shared" si="10"/>
        <v/>
      </c>
      <c r="AA10" s="1618" t="str">
        <f>IF(R10="","",IF(COUNTIF(表格6[商品代碼], R10) &gt; 1, "重複", "唯一"))</f>
        <v/>
      </c>
      <c r="AD10" s="1638">
        <v>9</v>
      </c>
      <c r="AE10" t="str">
        <f t="array" ref="AE10">IFERROR(INDEX(表格6[商品代碼],MATCH(0,COUNTIF($AE$1:AE9,表格6[商品代碼]),0)),"")</f>
        <v/>
      </c>
      <c r="AF10" t="str">
        <f t="array" ref="AF10">IF(AND(VLOOKUP($AE10,$R:$AA,8,0)="重複",$AE10&lt;&gt;""), "合併資料", VLOOKUP($AE10,$R:$AA,2,0))</f>
        <v/>
      </c>
      <c r="AG10" s="826" t="str">
        <f>IF(AE10="","",SUMIF(表格6[商品代碼],AE10,表格6[投資面額]))</f>
        <v/>
      </c>
      <c r="AH10" s="826" t="str">
        <f t="shared" si="1"/>
        <v/>
      </c>
    </row>
    <row r="11" spans="1:36">
      <c r="A11" s="1638">
        <v>10</v>
      </c>
      <c r="B11" t="str">
        <f>IF(庫存管理!P16="","",庫存管理!P16)</f>
        <v/>
      </c>
      <c r="C11" s="1649" t="str">
        <f>IF(庫存管理!X16="","",庫存管理!X16)</f>
        <v/>
      </c>
      <c r="D11" s="1119" t="str">
        <f>IF(庫存管理!Y16="","",庫存管理!Y16)</f>
        <v/>
      </c>
      <c r="E11" s="1645" t="str">
        <f>IF(庫存管理!Z16="","",庫存管理!Z16)</f>
        <v/>
      </c>
      <c r="F11" s="1636" t="str">
        <f t="shared" si="2"/>
        <v/>
      </c>
      <c r="H11" s="1638">
        <v>10</v>
      </c>
      <c r="I11" s="1639" t="s">
        <v>4839</v>
      </c>
      <c r="Q11" s="1638">
        <v>10</v>
      </c>
      <c r="R11" t="str">
        <f t="shared" si="3"/>
        <v/>
      </c>
      <c r="S11" s="1644" t="str">
        <f t="shared" si="4"/>
        <v/>
      </c>
      <c r="T11" s="1119" t="str">
        <f t="shared" si="5"/>
        <v/>
      </c>
      <c r="U11" s="1119" t="str">
        <f t="shared" si="6"/>
        <v/>
      </c>
      <c r="V11" s="1636">
        <f t="shared" si="7"/>
        <v>1</v>
      </c>
      <c r="W11" s="1618">
        <f t="shared" si="8"/>
        <v>10</v>
      </c>
      <c r="Y11" s="1636" t="str">
        <f t="shared" si="9"/>
        <v/>
      </c>
      <c r="Z11" s="1636" t="str">
        <f t="shared" si="10"/>
        <v/>
      </c>
      <c r="AA11" s="1618" t="str">
        <f>IF(R11="","",IF(COUNTIF(表格6[商品代碼], R11) &gt; 1, "重複", "唯一"))</f>
        <v/>
      </c>
      <c r="AD11" s="1638">
        <v>10</v>
      </c>
      <c r="AE11" t="str">
        <f t="array" ref="AE11">IFERROR(INDEX(表格6[商品代碼],MATCH(0,COUNTIF($AE$1:AE10,表格6[商品代碼]),0)),"")</f>
        <v/>
      </c>
      <c r="AF11" t="str">
        <f t="array" ref="AF11">IF(AND(VLOOKUP($AE11,$R:$AA,8,0)="重複",$AE11&lt;&gt;""), "合併資料", VLOOKUP($AE11,$R:$AA,2,0))</f>
        <v/>
      </c>
      <c r="AG11" s="826" t="str">
        <f>IF(AE11="","",SUMIF(表格6[商品代碼],AE11,表格6[投資面額]))</f>
        <v/>
      </c>
      <c r="AH11" s="826" t="str">
        <f t="shared" si="1"/>
        <v/>
      </c>
    </row>
    <row r="12" spans="1:36">
      <c r="A12" s="1638">
        <v>11</v>
      </c>
      <c r="B12" t="str">
        <f>IF(庫存管理!P17="","",庫存管理!P17)</f>
        <v/>
      </c>
      <c r="C12" s="1649" t="str">
        <f>IF(庫存管理!X17="","",庫存管理!X17)</f>
        <v/>
      </c>
      <c r="D12" s="1119" t="str">
        <f>IF(庫存管理!Y17="","",庫存管理!Y17)</f>
        <v/>
      </c>
      <c r="E12" s="1645" t="str">
        <f>IF(庫存管理!Z17="","",庫存管理!Z17)</f>
        <v/>
      </c>
      <c r="F12" s="1636" t="str">
        <f t="shared" si="2"/>
        <v/>
      </c>
      <c r="H12" s="1638">
        <v>11</v>
      </c>
      <c r="I12" s="1639" t="s">
        <v>4839</v>
      </c>
      <c r="Q12" s="1638">
        <v>11</v>
      </c>
      <c r="R12" t="str">
        <f t="shared" si="3"/>
        <v/>
      </c>
      <c r="S12" s="1644" t="str">
        <f t="shared" si="4"/>
        <v/>
      </c>
      <c r="T12" s="1119" t="str">
        <f t="shared" si="5"/>
        <v/>
      </c>
      <c r="U12" s="1119" t="str">
        <f t="shared" si="6"/>
        <v/>
      </c>
      <c r="V12" s="1636">
        <f t="shared" si="7"/>
        <v>1</v>
      </c>
      <c r="W12" s="1618">
        <f t="shared" si="8"/>
        <v>11</v>
      </c>
      <c r="Y12" s="1636" t="str">
        <f t="shared" si="9"/>
        <v/>
      </c>
      <c r="Z12" s="1636" t="str">
        <f t="shared" si="10"/>
        <v/>
      </c>
      <c r="AA12" s="1618" t="str">
        <f>IF(R12="","",IF(COUNTIF(表格6[商品代碼], R12) &gt; 1, "重複", "唯一"))</f>
        <v/>
      </c>
      <c r="AD12" s="1638">
        <v>11</v>
      </c>
      <c r="AE12" t="str">
        <f t="array" ref="AE12">IFERROR(INDEX(表格6[商品代碼],MATCH(0,COUNTIF($AE$1:AE11,表格6[商品代碼]),0)),"")</f>
        <v/>
      </c>
      <c r="AF12" t="str">
        <f t="array" ref="AF12">IF(AND(VLOOKUP($AE12,$R:$AA,8,0)="重複",$AE12&lt;&gt;""), "合併資料", VLOOKUP($AE12,$R:$AA,2,0))</f>
        <v/>
      </c>
      <c r="AG12" s="826" t="str">
        <f>IF(AE12="","",SUMIF(表格6[商品代碼],AE12,表格6[投資面額]))</f>
        <v/>
      </c>
      <c r="AH12" s="826" t="str">
        <f t="shared" si="1"/>
        <v/>
      </c>
    </row>
    <row r="13" spans="1:36" ht="16" thickBot="1">
      <c r="A13" s="1640">
        <v>12</v>
      </c>
      <c r="B13" s="1021" t="str">
        <f>IF(庫存管理!P18="","",庫存管理!P18)</f>
        <v/>
      </c>
      <c r="C13" s="1650" t="str">
        <f>IF(庫存管理!X18="","",庫存管理!X18)</f>
        <v/>
      </c>
      <c r="D13" s="1611" t="str">
        <f>IF(庫存管理!Y18="","",庫存管理!Y18)</f>
        <v/>
      </c>
      <c r="E13" s="1647" t="str">
        <f>IF(庫存管理!Z18="","",庫存管理!Z18)</f>
        <v/>
      </c>
      <c r="F13" s="1636" t="str">
        <f t="shared" si="2"/>
        <v/>
      </c>
      <c r="H13" s="1638">
        <v>12</v>
      </c>
      <c r="I13" s="1639" t="s">
        <v>4839</v>
      </c>
      <c r="Q13" s="1638">
        <v>12</v>
      </c>
      <c r="R13" t="str">
        <f t="shared" si="3"/>
        <v/>
      </c>
      <c r="S13" s="1644" t="str">
        <f t="shared" si="4"/>
        <v/>
      </c>
      <c r="T13" s="1119" t="str">
        <f t="shared" si="5"/>
        <v/>
      </c>
      <c r="U13" s="1119" t="str">
        <f t="shared" si="6"/>
        <v/>
      </c>
      <c r="V13" s="1636">
        <f t="shared" si="7"/>
        <v>1</v>
      </c>
      <c r="W13" s="1618">
        <f t="shared" si="8"/>
        <v>12</v>
      </c>
      <c r="Y13" s="1636" t="str">
        <f t="shared" si="9"/>
        <v/>
      </c>
      <c r="Z13" s="1636" t="str">
        <f t="shared" si="10"/>
        <v/>
      </c>
      <c r="AA13" s="1618" t="str">
        <f>IF(R13="","",IF(COUNTIF(表格6[商品代碼], R13) &gt; 1, "重複", "唯一"))</f>
        <v/>
      </c>
      <c r="AD13" s="1638">
        <v>12</v>
      </c>
      <c r="AE13" t="str">
        <f t="array" ref="AE13">IFERROR(INDEX(表格6[商品代碼],MATCH(0,COUNTIF($AE$1:AE12,表格6[商品代碼]),0)),"")</f>
        <v/>
      </c>
      <c r="AF13" t="str">
        <f t="array" ref="AF13">IF(AND(VLOOKUP($AE13,$R:$AA,8,0)="重複",$AE13&lt;&gt;""), "合併資料", VLOOKUP($AE13,$R:$AA,2,0))</f>
        <v/>
      </c>
      <c r="AG13" s="826" t="str">
        <f>IF(AE13="","",SUMIF(表格6[商品代碼],AE13,表格6[投資面額]))</f>
        <v/>
      </c>
      <c r="AH13" s="826" t="str">
        <f t="shared" si="1"/>
        <v/>
      </c>
    </row>
    <row r="14" spans="1:36">
      <c r="H14" s="1638">
        <v>13</v>
      </c>
      <c r="I14" s="1639" t="s">
        <v>4839</v>
      </c>
      <c r="Q14" s="1638">
        <v>13</v>
      </c>
      <c r="R14" t="str">
        <f t="shared" si="3"/>
        <v/>
      </c>
      <c r="S14" s="1644" t="str">
        <f t="shared" si="4"/>
        <v/>
      </c>
      <c r="T14" s="1119" t="str">
        <f t="shared" si="5"/>
        <v/>
      </c>
      <c r="U14" s="1119" t="str">
        <f t="shared" si="6"/>
        <v/>
      </c>
      <c r="V14" s="1636">
        <f t="shared" si="7"/>
        <v>2</v>
      </c>
      <c r="W14" s="1618">
        <f t="shared" si="8"/>
        <v>1</v>
      </c>
      <c r="Y14" s="1636" t="str">
        <f t="shared" si="9"/>
        <v/>
      </c>
      <c r="Z14" s="1636" t="str">
        <f t="shared" si="10"/>
        <v/>
      </c>
      <c r="AA14" s="1618" t="str">
        <f>IF(R14="","",IF(COUNTIF(表格6[商品代碼], R14) &gt; 1, "重複", "唯一"))</f>
        <v/>
      </c>
      <c r="AD14" s="1638">
        <v>13</v>
      </c>
      <c r="AE14" t="str">
        <f t="array" ref="AE14">IFERROR(INDEX(表格6[商品代碼],MATCH(0,COUNTIF($AE$1:AE13,表格6[商品代碼]),0)),"")</f>
        <v/>
      </c>
      <c r="AF14" t="str">
        <f t="array" ref="AF14">IF(AND(VLOOKUP($AE14,$R:$AA,8,0)="重複",$AE14&lt;&gt;""), "合併資料", VLOOKUP($AE14,$R:$AA,2,0))</f>
        <v/>
      </c>
      <c r="AG14" s="826" t="str">
        <f>IF(AE14="","",SUMIF(表格6[商品代碼],AE14,表格6[投資面額]))</f>
        <v/>
      </c>
      <c r="AH14" s="826" t="str">
        <f t="shared" si="1"/>
        <v/>
      </c>
    </row>
    <row r="15" spans="1:36" ht="16" thickBot="1">
      <c r="A15" t="s">
        <v>4417</v>
      </c>
      <c r="B15" s="1641" t="s">
        <v>4454</v>
      </c>
      <c r="C15" s="1641" t="s">
        <v>4469</v>
      </c>
      <c r="H15" s="1638">
        <v>14</v>
      </c>
      <c r="I15" s="1639" t="s">
        <v>4839</v>
      </c>
      <c r="Q15" s="1638">
        <v>14</v>
      </c>
      <c r="R15" t="str">
        <f t="shared" si="3"/>
        <v/>
      </c>
      <c r="S15" s="1644" t="str">
        <f t="shared" si="4"/>
        <v/>
      </c>
      <c r="T15" s="1119" t="str">
        <f t="shared" si="5"/>
        <v/>
      </c>
      <c r="U15" s="1119" t="str">
        <f t="shared" si="6"/>
        <v/>
      </c>
      <c r="V15" s="1636">
        <f t="shared" si="7"/>
        <v>2</v>
      </c>
      <c r="W15" s="1618">
        <f t="shared" si="8"/>
        <v>2</v>
      </c>
      <c r="Y15" s="1636" t="str">
        <f t="shared" si="9"/>
        <v/>
      </c>
      <c r="Z15" s="1636" t="str">
        <f t="shared" si="10"/>
        <v/>
      </c>
      <c r="AA15" s="1618" t="str">
        <f>IF(R15="","",IF(COUNTIF(表格6[商品代碼], R15) &gt; 1, "重複", "唯一"))</f>
        <v/>
      </c>
      <c r="AD15" s="1638">
        <v>14</v>
      </c>
      <c r="AE15" t="str">
        <f t="array" ref="AE15">IFERROR(INDEX(表格6[商品代碼],MATCH(0,COUNTIF($AE$1:AE14,表格6[商品代碼]),0)),"")</f>
        <v/>
      </c>
      <c r="AF15" t="str">
        <f t="array" ref="AF15">IF(AND(VLOOKUP($AE15,$R:$AA,8,0)="重複",$AE15&lt;&gt;""), "合併資料", VLOOKUP($AE15,$R:$AA,2,0))</f>
        <v/>
      </c>
      <c r="AG15" s="826" t="str">
        <f>IF(AE15="","",SUMIF(表格6[商品代碼],AE15,表格6[投資面額]))</f>
        <v/>
      </c>
      <c r="AH15" s="826" t="str">
        <f t="shared" si="1"/>
        <v/>
      </c>
    </row>
    <row r="16" spans="1:36" ht="16" thickBot="1">
      <c r="A16" s="1610">
        <v>1</v>
      </c>
      <c r="B16" s="1618">
        <f>MAX(ROUNDUP(C16/12,0),A16)</f>
        <v>1</v>
      </c>
      <c r="C16" s="1618" cm="1">
        <f t="array" ref="C16">IFERROR(LOOKUP(2,1/(表格6[商品代碼]&lt;&gt;""),ROW(表格6[商品代碼])),1)-1</f>
        <v>4</v>
      </c>
      <c r="H16" s="1638">
        <v>15</v>
      </c>
      <c r="I16" s="1639" t="s">
        <v>4839</v>
      </c>
      <c r="Q16" s="1638">
        <v>15</v>
      </c>
      <c r="R16" t="str">
        <f t="shared" si="3"/>
        <v/>
      </c>
      <c r="S16" s="1644" t="str">
        <f t="shared" si="4"/>
        <v/>
      </c>
      <c r="T16" s="1119" t="str">
        <f t="shared" si="5"/>
        <v/>
      </c>
      <c r="U16" s="1119" t="str">
        <f t="shared" si="6"/>
        <v/>
      </c>
      <c r="V16" s="1636">
        <f t="shared" si="7"/>
        <v>2</v>
      </c>
      <c r="W16" s="1618">
        <f t="shared" si="8"/>
        <v>3</v>
      </c>
      <c r="Y16" s="1636" t="str">
        <f t="shared" si="9"/>
        <v/>
      </c>
      <c r="Z16" s="1636" t="str">
        <f t="shared" si="10"/>
        <v/>
      </c>
      <c r="AA16" s="1618" t="str">
        <f>IF(R16="","",IF(COUNTIF(表格6[商品代碼], R16) &gt; 1, "重複", "唯一"))</f>
        <v/>
      </c>
      <c r="AD16" s="1638">
        <v>15</v>
      </c>
      <c r="AE16" t="str">
        <f t="array" ref="AE16">IFERROR(INDEX(表格6[商品代碼],MATCH(0,COUNTIF($AE$1:AE15,表格6[商品代碼]),0)),"")</f>
        <v/>
      </c>
      <c r="AF16" t="str">
        <f t="array" ref="AF16">IF(AND(VLOOKUP($AE16,$R:$AA,8,0)="重複",$AE16&lt;&gt;""), "合併資料", VLOOKUP($AE16,$R:$AA,2,0))</f>
        <v/>
      </c>
      <c r="AG16" s="826" t="str">
        <f>IF(AE16="","",SUMIF(表格6[商品代碼],AE16,表格6[投資面額]))</f>
        <v/>
      </c>
      <c r="AH16" s="826" t="str">
        <f t="shared" si="1"/>
        <v/>
      </c>
    </row>
    <row r="17" spans="1:34">
      <c r="H17" s="1638">
        <v>16</v>
      </c>
      <c r="I17" s="1639" t="s">
        <v>4839</v>
      </c>
      <c r="Q17" s="1638">
        <v>16</v>
      </c>
      <c r="R17" t="str">
        <f t="shared" si="3"/>
        <v/>
      </c>
      <c r="S17" s="1644" t="str">
        <f t="shared" si="4"/>
        <v/>
      </c>
      <c r="T17" s="1119" t="str">
        <f t="shared" si="5"/>
        <v/>
      </c>
      <c r="U17" s="1119" t="str">
        <f t="shared" si="6"/>
        <v/>
      </c>
      <c r="V17" s="1636">
        <f t="shared" si="7"/>
        <v>2</v>
      </c>
      <c r="W17" s="1618">
        <f t="shared" si="8"/>
        <v>4</v>
      </c>
      <c r="Y17" s="1636" t="str">
        <f t="shared" si="9"/>
        <v/>
      </c>
      <c r="Z17" s="1636" t="str">
        <f t="shared" si="10"/>
        <v/>
      </c>
      <c r="AA17" s="1618" t="str">
        <f>IF(R17="","",IF(COUNTIF(表格6[商品代碼], R17) &gt; 1, "重複", "唯一"))</f>
        <v/>
      </c>
      <c r="AD17" s="1638">
        <v>16</v>
      </c>
      <c r="AE17" t="str">
        <f t="array" ref="AE17">IFERROR(INDEX(表格6[商品代碼],MATCH(0,COUNTIF($AE$1:AE16,表格6[商品代碼]),0)),"")</f>
        <v/>
      </c>
      <c r="AF17" t="str">
        <f t="array" ref="AF17">IF(AND(VLOOKUP($AE17,$R:$AA,8,0)="重複",$AE17&lt;&gt;""), "合併資料", VLOOKUP($AE17,$R:$AA,2,0))</f>
        <v/>
      </c>
      <c r="AG17" s="826" t="str">
        <f>IF(AE17="","",SUMIF(表格6[商品代碼],AE17,表格6[投資面額]))</f>
        <v/>
      </c>
      <c r="AH17" s="826" t="str">
        <f t="shared" si="1"/>
        <v/>
      </c>
    </row>
    <row r="18" spans="1:34">
      <c r="H18" s="1638">
        <v>17</v>
      </c>
      <c r="I18" s="1639" t="s">
        <v>4839</v>
      </c>
      <c r="Q18" s="1638">
        <v>17</v>
      </c>
      <c r="R18" t="str">
        <f t="shared" si="3"/>
        <v/>
      </c>
      <c r="S18" s="1644" t="str">
        <f t="shared" si="4"/>
        <v/>
      </c>
      <c r="T18" s="1119" t="str">
        <f t="shared" si="5"/>
        <v/>
      </c>
      <c r="U18" s="1119" t="str">
        <f t="shared" si="6"/>
        <v/>
      </c>
      <c r="V18" s="1636">
        <f t="shared" si="7"/>
        <v>2</v>
      </c>
      <c r="W18" s="1618">
        <f t="shared" si="8"/>
        <v>5</v>
      </c>
      <c r="Y18" s="1636" t="str">
        <f t="shared" si="9"/>
        <v/>
      </c>
      <c r="Z18" s="1636" t="str">
        <f t="shared" si="10"/>
        <v/>
      </c>
      <c r="AA18" s="1618" t="str">
        <f>IF(R18="","",IF(COUNTIF(表格6[商品代碼], R18) &gt; 1, "重複", "唯一"))</f>
        <v/>
      </c>
      <c r="AD18" s="1638">
        <v>17</v>
      </c>
      <c r="AE18" t="str">
        <f t="array" ref="AE18">IFERROR(INDEX(表格6[商品代碼],MATCH(0,COUNTIF($AE$1:AE17,表格6[商品代碼]),0)),"")</f>
        <v/>
      </c>
      <c r="AF18" t="str">
        <f t="array" ref="AF18">IF(AND(VLOOKUP($AE18,$R:$AA,8,0)="重複",$AE18&lt;&gt;""), "合併資料", VLOOKUP($AE18,$R:$AA,2,0))</f>
        <v/>
      </c>
      <c r="AG18" s="826" t="str">
        <f>IF(AE18="","",SUMIF(表格6[商品代碼],AE18,表格6[投資面額]))</f>
        <v/>
      </c>
      <c r="AH18" s="826" t="str">
        <f t="shared" si="1"/>
        <v/>
      </c>
    </row>
    <row r="19" spans="1:34">
      <c r="H19" s="1638">
        <v>18</v>
      </c>
      <c r="I19" s="1639" t="s">
        <v>4839</v>
      </c>
      <c r="Q19" s="1638">
        <v>18</v>
      </c>
      <c r="R19" t="str">
        <f t="shared" si="3"/>
        <v/>
      </c>
      <c r="S19" s="1644" t="str">
        <f t="shared" si="4"/>
        <v/>
      </c>
      <c r="T19" s="1119" t="str">
        <f t="shared" si="5"/>
        <v/>
      </c>
      <c r="U19" s="1119" t="str">
        <f t="shared" si="6"/>
        <v/>
      </c>
      <c r="V19" s="1636">
        <f t="shared" si="7"/>
        <v>2</v>
      </c>
      <c r="W19" s="1618">
        <f t="shared" si="8"/>
        <v>6</v>
      </c>
      <c r="Y19" s="1636" t="str">
        <f t="shared" si="9"/>
        <v/>
      </c>
      <c r="Z19" s="1636" t="str">
        <f t="shared" si="10"/>
        <v/>
      </c>
      <c r="AA19" s="1618" t="str">
        <f>IF(R19="","",IF(COUNTIF(表格6[商品代碼], R19) &gt; 1, "重複", "唯一"))</f>
        <v/>
      </c>
      <c r="AD19" s="1638">
        <v>18</v>
      </c>
      <c r="AE19" t="str">
        <f t="array" ref="AE19">IFERROR(INDEX(表格6[商品代碼],MATCH(0,COUNTIF($AE$1:AE18,表格6[商品代碼]),0)),"")</f>
        <v/>
      </c>
      <c r="AF19" t="str">
        <f t="array" ref="AF19">IF(AND(VLOOKUP($AE19,$R:$AA,8,0)="重複",$AE19&lt;&gt;""), "合併資料", VLOOKUP($AE19,$R:$AA,2,0))</f>
        <v/>
      </c>
      <c r="AG19" s="826" t="str">
        <f>IF(AE19="","",SUMIF(表格6[商品代碼],AE19,表格6[投資面額]))</f>
        <v/>
      </c>
      <c r="AH19" s="826" t="str">
        <f t="shared" si="1"/>
        <v/>
      </c>
    </row>
    <row r="20" spans="1:34">
      <c r="H20" s="1638">
        <v>19</v>
      </c>
      <c r="I20" s="1639" t="s">
        <v>4839</v>
      </c>
      <c r="Q20" s="1638">
        <v>19</v>
      </c>
      <c r="R20" t="str">
        <f t="shared" si="3"/>
        <v/>
      </c>
      <c r="S20" s="1644" t="str">
        <f t="shared" si="4"/>
        <v/>
      </c>
      <c r="T20" s="1119" t="str">
        <f t="shared" si="5"/>
        <v/>
      </c>
      <c r="U20" s="1119" t="str">
        <f t="shared" si="6"/>
        <v/>
      </c>
      <c r="V20" s="1636">
        <f t="shared" si="7"/>
        <v>2</v>
      </c>
      <c r="W20" s="1618">
        <f t="shared" si="8"/>
        <v>7</v>
      </c>
      <c r="Y20" s="1636" t="str">
        <f t="shared" si="9"/>
        <v/>
      </c>
      <c r="Z20" s="1636" t="str">
        <f t="shared" si="10"/>
        <v/>
      </c>
      <c r="AA20" s="1618" t="str">
        <f>IF(R20="","",IF(COUNTIF(表格6[商品代碼], R20) &gt; 1, "重複", "唯一"))</f>
        <v/>
      </c>
      <c r="AD20" s="1638">
        <v>19</v>
      </c>
      <c r="AE20" t="str">
        <f t="array" ref="AE20">IFERROR(INDEX(表格6[商品代碼],MATCH(0,COUNTIF($AE$1:AE19,表格6[商品代碼]),0)),"")</f>
        <v/>
      </c>
      <c r="AF20" t="str">
        <f t="array" ref="AF20">IF(AND(VLOOKUP($AE20,$R:$AA,8,0)="重複",$AE20&lt;&gt;""), "合併資料", VLOOKUP($AE20,$R:$AA,2,0))</f>
        <v/>
      </c>
      <c r="AG20" s="826" t="str">
        <f>IF(AE20="","",SUMIF(表格6[商品代碼],AE20,表格6[投資面額]))</f>
        <v/>
      </c>
      <c r="AH20" s="826" t="str">
        <f t="shared" si="1"/>
        <v/>
      </c>
    </row>
    <row r="21" spans="1:34">
      <c r="H21" s="1638">
        <v>20</v>
      </c>
      <c r="I21" s="1639" t="s">
        <v>4839</v>
      </c>
      <c r="Q21" s="1638">
        <v>20</v>
      </c>
      <c r="R21" t="str">
        <f t="shared" si="3"/>
        <v/>
      </c>
      <c r="S21" s="1644" t="str">
        <f t="shared" si="4"/>
        <v/>
      </c>
      <c r="T21" s="1119" t="str">
        <f t="shared" si="5"/>
        <v/>
      </c>
      <c r="U21" s="1119" t="str">
        <f t="shared" si="6"/>
        <v/>
      </c>
      <c r="V21" s="1636">
        <f t="shared" si="7"/>
        <v>2</v>
      </c>
      <c r="W21" s="1618">
        <f t="shared" si="8"/>
        <v>8</v>
      </c>
      <c r="Y21" s="1636" t="str">
        <f t="shared" si="9"/>
        <v/>
      </c>
      <c r="Z21" s="1636" t="str">
        <f t="shared" si="10"/>
        <v/>
      </c>
      <c r="AA21" s="1618" t="str">
        <f>IF(R21="","",IF(COUNTIF(表格6[商品代碼], R21) &gt; 1, "重複", "唯一"))</f>
        <v/>
      </c>
      <c r="AD21" s="1638">
        <v>20</v>
      </c>
      <c r="AE21" t="str">
        <f t="array" ref="AE21">IFERROR(INDEX(表格6[商品代碼],MATCH(0,COUNTIF($AE$1:AE20,表格6[商品代碼]),0)),"")</f>
        <v/>
      </c>
      <c r="AF21" t="str">
        <f t="array" ref="AF21">IF(AND(VLOOKUP($AE21,$R:$AA,8,0)="重複",$AE21&lt;&gt;""), "合併資料", VLOOKUP($AE21,$R:$AA,2,0))</f>
        <v/>
      </c>
      <c r="AG21" s="826" t="str">
        <f>IF(AE21="","",SUMIF(表格6[商品代碼],AE21,表格6[投資面額]))</f>
        <v/>
      </c>
      <c r="AH21" s="826" t="str">
        <f t="shared" si="1"/>
        <v/>
      </c>
    </row>
    <row r="22" spans="1:34">
      <c r="H22" s="1638">
        <v>21</v>
      </c>
      <c r="I22" s="1639" t="s">
        <v>4839</v>
      </c>
      <c r="Q22" s="1638">
        <v>21</v>
      </c>
      <c r="R22" t="str">
        <f t="shared" si="3"/>
        <v/>
      </c>
      <c r="S22" s="1644" t="str">
        <f t="shared" si="4"/>
        <v/>
      </c>
      <c r="T22" s="1119" t="str">
        <f t="shared" si="5"/>
        <v/>
      </c>
      <c r="U22" s="1119" t="str">
        <f t="shared" si="6"/>
        <v/>
      </c>
      <c r="V22" s="1636">
        <f t="shared" si="7"/>
        <v>2</v>
      </c>
      <c r="W22" s="1618">
        <f t="shared" si="8"/>
        <v>9</v>
      </c>
      <c r="Y22" s="1636" t="str">
        <f t="shared" si="9"/>
        <v/>
      </c>
      <c r="Z22" s="1636" t="str">
        <f t="shared" si="10"/>
        <v/>
      </c>
      <c r="AA22" s="1618" t="str">
        <f>IF(R22="","",IF(COUNTIF(表格6[商品代碼], R22) &gt; 1, "重複", "唯一"))</f>
        <v/>
      </c>
      <c r="AD22" s="1638">
        <v>21</v>
      </c>
      <c r="AE22" t="str">
        <f t="array" ref="AE22">IFERROR(INDEX(表格6[商品代碼],MATCH(0,COUNTIF($AE$1:AE21,表格6[商品代碼]),0)),"")</f>
        <v/>
      </c>
      <c r="AF22" t="str">
        <f t="array" ref="AF22">IF(AND(VLOOKUP($AE22,$R:$AA,8,0)="重複",$AE22&lt;&gt;""), "合併資料", VLOOKUP($AE22,$R:$AA,2,0))</f>
        <v/>
      </c>
      <c r="AG22" s="826" t="str">
        <f>IF(AE22="","",SUMIF(表格6[商品代碼],AE22,表格6[投資面額]))</f>
        <v/>
      </c>
      <c r="AH22" s="826" t="str">
        <f t="shared" si="1"/>
        <v/>
      </c>
    </row>
    <row r="23" spans="1:34">
      <c r="H23" s="1638">
        <v>22</v>
      </c>
      <c r="I23" s="1639" t="s">
        <v>4839</v>
      </c>
      <c r="Q23" s="1638">
        <v>22</v>
      </c>
      <c r="R23" t="str">
        <f t="shared" si="3"/>
        <v/>
      </c>
      <c r="S23" s="1644" t="str">
        <f t="shared" si="4"/>
        <v/>
      </c>
      <c r="T23" s="1119" t="str">
        <f t="shared" si="5"/>
        <v/>
      </c>
      <c r="U23" s="1119" t="str">
        <f t="shared" si="6"/>
        <v/>
      </c>
      <c r="V23" s="1636">
        <f t="shared" si="7"/>
        <v>2</v>
      </c>
      <c r="W23" s="1618">
        <f t="shared" si="8"/>
        <v>10</v>
      </c>
      <c r="Y23" s="1636" t="str">
        <f t="shared" si="9"/>
        <v/>
      </c>
      <c r="Z23" s="1636" t="str">
        <f t="shared" si="10"/>
        <v/>
      </c>
      <c r="AA23" s="1618" t="str">
        <f>IF(R23="","",IF(COUNTIF(表格6[商品代碼], R23) &gt; 1, "重複", "唯一"))</f>
        <v/>
      </c>
      <c r="AD23" s="1638">
        <v>22</v>
      </c>
      <c r="AE23" t="str">
        <f t="array" ref="AE23">IFERROR(INDEX(表格6[商品代碼],MATCH(0,COUNTIF($AE$1:AE22,表格6[商品代碼]),0)),"")</f>
        <v/>
      </c>
      <c r="AF23" t="str">
        <f t="array" ref="AF23">IF(AND(VLOOKUP($AE23,$R:$AA,8,0)="重複",$AE23&lt;&gt;""), "合併資料", VLOOKUP($AE23,$R:$AA,2,0))</f>
        <v/>
      </c>
      <c r="AG23" s="826" t="str">
        <f>IF(AE23="","",SUMIF(表格6[商品代碼],AE23,表格6[投資面額]))</f>
        <v/>
      </c>
      <c r="AH23" s="826" t="str">
        <f t="shared" si="1"/>
        <v/>
      </c>
    </row>
    <row r="24" spans="1:34">
      <c r="H24" s="1638">
        <v>23</v>
      </c>
      <c r="I24" s="1639" t="s">
        <v>4839</v>
      </c>
      <c r="Q24" s="1638">
        <v>23</v>
      </c>
      <c r="R24" t="str">
        <f t="shared" si="3"/>
        <v/>
      </c>
      <c r="S24" s="1644" t="str">
        <f t="shared" si="4"/>
        <v/>
      </c>
      <c r="T24" s="1119" t="str">
        <f t="shared" si="5"/>
        <v/>
      </c>
      <c r="U24" s="1119" t="str">
        <f t="shared" si="6"/>
        <v/>
      </c>
      <c r="V24" s="1636">
        <f t="shared" si="7"/>
        <v>2</v>
      </c>
      <c r="W24" s="1618">
        <f t="shared" si="8"/>
        <v>11</v>
      </c>
      <c r="Y24" s="1636" t="str">
        <f t="shared" si="9"/>
        <v/>
      </c>
      <c r="Z24" s="1636" t="str">
        <f t="shared" si="10"/>
        <v/>
      </c>
      <c r="AA24" s="1618" t="str">
        <f>IF(R24="","",IF(COUNTIF(表格6[商品代碼], R24) &gt; 1, "重複", "唯一"))</f>
        <v/>
      </c>
      <c r="AD24" s="1638">
        <v>23</v>
      </c>
      <c r="AE24" t="str">
        <f t="array" ref="AE24">IFERROR(INDEX(表格6[商品代碼],MATCH(0,COUNTIF($AE$1:AE23,表格6[商品代碼]),0)),"")</f>
        <v/>
      </c>
      <c r="AF24" t="str">
        <f t="array" ref="AF24">IF(AND(VLOOKUP($AE24,$R:$AA,8,0)="重複",$AE24&lt;&gt;""), "合併資料", VLOOKUP($AE24,$R:$AA,2,0))</f>
        <v/>
      </c>
      <c r="AG24" s="826" t="str">
        <f>IF(AE24="","",SUMIF(表格6[商品代碼],AE24,表格6[投資面額]))</f>
        <v/>
      </c>
      <c r="AH24" s="826" t="str">
        <f t="shared" si="1"/>
        <v/>
      </c>
    </row>
    <row r="25" spans="1:34">
      <c r="H25" s="1638">
        <v>24</v>
      </c>
      <c r="I25" s="1639" t="s">
        <v>4839</v>
      </c>
      <c r="Q25" s="1638">
        <v>24</v>
      </c>
      <c r="R25" t="str">
        <f t="shared" si="3"/>
        <v/>
      </c>
      <c r="S25" s="1644" t="str">
        <f t="shared" si="4"/>
        <v/>
      </c>
      <c r="T25" s="1119" t="str">
        <f t="shared" si="5"/>
        <v/>
      </c>
      <c r="U25" s="1119" t="str">
        <f t="shared" si="6"/>
        <v/>
      </c>
      <c r="V25" s="1636">
        <f t="shared" si="7"/>
        <v>2</v>
      </c>
      <c r="W25" s="1618">
        <f t="shared" si="8"/>
        <v>12</v>
      </c>
      <c r="Y25" s="1636" t="str">
        <f t="shared" si="9"/>
        <v/>
      </c>
      <c r="Z25" s="1636" t="str">
        <f t="shared" si="10"/>
        <v/>
      </c>
      <c r="AA25" s="1618" t="str">
        <f>IF(R25="","",IF(COUNTIF(表格6[商品代碼], R25) &gt; 1, "重複", "唯一"))</f>
        <v/>
      </c>
      <c r="AD25" s="1638">
        <v>24</v>
      </c>
      <c r="AE25" t="str">
        <f t="array" ref="AE25">IFERROR(INDEX(表格6[商品代碼],MATCH(0,COUNTIF($AE$1:AE24,表格6[商品代碼]),0)),"")</f>
        <v/>
      </c>
      <c r="AF25" t="str">
        <f t="array" ref="AF25">IF(AND(VLOOKUP($AE25,$R:$AA,8,0)="重複",$AE25&lt;&gt;""), "合併資料", VLOOKUP($AE25,$R:$AA,2,0))</f>
        <v/>
      </c>
      <c r="AG25" s="826" t="str">
        <f>IF(AE25="","",SUMIF(表格6[商品代碼],AE25,表格6[投資面額]))</f>
        <v/>
      </c>
      <c r="AH25" s="826" t="str">
        <f t="shared" si="1"/>
        <v/>
      </c>
    </row>
    <row r="26" spans="1:34">
      <c r="H26" s="1638">
        <v>25</v>
      </c>
      <c r="I26" s="1639" t="s">
        <v>4839</v>
      </c>
      <c r="Q26" s="1638">
        <v>25</v>
      </c>
      <c r="R26" t="str">
        <f t="shared" si="3"/>
        <v/>
      </c>
      <c r="S26" s="1644" t="str">
        <f t="shared" si="4"/>
        <v/>
      </c>
      <c r="T26" s="1119" t="str">
        <f t="shared" si="5"/>
        <v/>
      </c>
      <c r="U26" s="1119" t="str">
        <f t="shared" si="6"/>
        <v/>
      </c>
      <c r="V26" s="1636">
        <f t="shared" si="7"/>
        <v>3</v>
      </c>
      <c r="W26" s="1618">
        <f t="shared" si="8"/>
        <v>1</v>
      </c>
      <c r="Y26" s="1636" t="str">
        <f>IF(OR(R26="",S26="",T26="",U26=""),"",1)</f>
        <v/>
      </c>
      <c r="Z26" s="1636" t="str">
        <f t="shared" si="10"/>
        <v/>
      </c>
      <c r="AA26" s="1618" t="str">
        <f>IF(R26="","",IF(COUNTIF(表格6[商品代碼], R26) &gt; 1, "重複", "唯一"))</f>
        <v/>
      </c>
      <c r="AD26" s="1638">
        <v>25</v>
      </c>
      <c r="AE26" t="str">
        <f t="array" ref="AE26">IFERROR(INDEX(表格6[商品代碼],MATCH(0,COUNTIF($AE$1:AE25,表格6[商品代碼]),0)),"")</f>
        <v/>
      </c>
      <c r="AF26" t="str">
        <f t="array" ref="AF26">IF(AND(VLOOKUP($AE26,$R:$AA,8,0)="重複",$AE26&lt;&gt;""), "合併資料", VLOOKUP($AE26,$R:$AA,2,0))</f>
        <v/>
      </c>
      <c r="AG26" s="826" t="str">
        <f>IF(AE26="","",SUMIF(表格6[商品代碼],AE26,表格6[投資面額]))</f>
        <v/>
      </c>
      <c r="AH26" s="826" t="str">
        <f t="shared" si="1"/>
        <v/>
      </c>
    </row>
    <row r="27" spans="1:34">
      <c r="H27" s="1638">
        <v>26</v>
      </c>
      <c r="I27" s="1639" t="s">
        <v>4839</v>
      </c>
      <c r="Q27" s="1638">
        <v>26</v>
      </c>
      <c r="R27" t="str">
        <f t="shared" si="3"/>
        <v/>
      </c>
      <c r="S27" s="1644" t="str">
        <f t="shared" si="4"/>
        <v/>
      </c>
      <c r="T27" s="1119" t="str">
        <f t="shared" si="5"/>
        <v/>
      </c>
      <c r="U27" s="1119" t="str">
        <f t="shared" si="6"/>
        <v/>
      </c>
      <c r="V27" s="1636">
        <f t="shared" si="7"/>
        <v>3</v>
      </c>
      <c r="W27" s="1618">
        <f t="shared" si="8"/>
        <v>2</v>
      </c>
      <c r="Y27" s="1636" t="str">
        <f t="shared" si="9"/>
        <v/>
      </c>
      <c r="Z27" s="1636" t="str">
        <f t="shared" si="10"/>
        <v/>
      </c>
      <c r="AA27" s="1618" t="str">
        <f>IF(R27="","",IF(COUNTIF(表格6[商品代碼], R27) &gt; 1, "重複", "唯一"))</f>
        <v/>
      </c>
      <c r="AD27" s="1638">
        <v>26</v>
      </c>
      <c r="AE27" t="str">
        <f t="array" ref="AE27">IFERROR(INDEX(表格6[商品代碼],MATCH(0,COUNTIF($AE$1:AE26,表格6[商品代碼]),0)),"")</f>
        <v/>
      </c>
      <c r="AF27" t="str">
        <f t="array" ref="AF27">IF(AND(VLOOKUP($AE27,$R:$AA,8,0)="重複",$AE27&lt;&gt;""), "合併資料", VLOOKUP($AE27,$R:$AA,2,0))</f>
        <v/>
      </c>
      <c r="AG27" s="826" t="str">
        <f>IF(AE27="","",SUMIF(表格6[商品代碼],AE27,表格6[投資面額]))</f>
        <v/>
      </c>
      <c r="AH27" s="826" t="str">
        <f t="shared" si="1"/>
        <v/>
      </c>
    </row>
    <row r="28" spans="1:34">
      <c r="H28" s="1638">
        <v>27</v>
      </c>
      <c r="I28" s="1639" t="s">
        <v>4839</v>
      </c>
      <c r="Q28" s="1638">
        <v>27</v>
      </c>
      <c r="R28" t="str">
        <f t="shared" si="3"/>
        <v/>
      </c>
      <c r="S28" s="1644" t="str">
        <f t="shared" si="4"/>
        <v/>
      </c>
      <c r="T28" s="1119" t="str">
        <f t="shared" si="5"/>
        <v/>
      </c>
      <c r="U28" s="1119" t="str">
        <f t="shared" si="6"/>
        <v/>
      </c>
      <c r="V28" s="1636">
        <f t="shared" si="7"/>
        <v>3</v>
      </c>
      <c r="W28" s="1618">
        <f t="shared" si="8"/>
        <v>3</v>
      </c>
      <c r="Y28" s="1636" t="str">
        <f t="shared" si="9"/>
        <v/>
      </c>
      <c r="Z28" s="1636" t="str">
        <f t="shared" si="10"/>
        <v/>
      </c>
      <c r="AA28" s="1618" t="str">
        <f>IF(R28="","",IF(COUNTIF(表格6[商品代碼], R28) &gt; 1, "重複", "唯一"))</f>
        <v/>
      </c>
      <c r="AD28" s="1638">
        <v>27</v>
      </c>
      <c r="AE28" t="str">
        <f t="array" ref="AE28">IFERROR(INDEX(表格6[商品代碼],MATCH(0,COUNTIF($AE$1:AE27,表格6[商品代碼]),0)),"")</f>
        <v/>
      </c>
      <c r="AF28" t="str">
        <f t="array" ref="AF28">IF(AND(VLOOKUP($AE28,$R:$AA,8,0)="重複",$AE28&lt;&gt;""), "合併資料", VLOOKUP($AE28,$R:$AA,2,0))</f>
        <v/>
      </c>
      <c r="AG28" s="826" t="str">
        <f>IF(AE28="","",SUMIF(表格6[商品代碼],AE28,表格6[投資面額]))</f>
        <v/>
      </c>
      <c r="AH28" s="826" t="str">
        <f t="shared" si="1"/>
        <v/>
      </c>
    </row>
    <row r="29" spans="1:34">
      <c r="H29" s="1638">
        <v>28</v>
      </c>
      <c r="I29" s="1639" t="s">
        <v>4839</v>
      </c>
      <c r="Q29" s="1638">
        <v>28</v>
      </c>
      <c r="R29" t="str">
        <f t="shared" si="3"/>
        <v/>
      </c>
      <c r="S29" s="1644" t="str">
        <f t="shared" si="4"/>
        <v/>
      </c>
      <c r="T29" s="1119" t="str">
        <f t="shared" si="5"/>
        <v/>
      </c>
      <c r="U29" s="1119" t="str">
        <f t="shared" si="6"/>
        <v/>
      </c>
      <c r="V29" s="1636">
        <f t="shared" si="7"/>
        <v>3</v>
      </c>
      <c r="W29" s="1618">
        <f t="shared" si="8"/>
        <v>4</v>
      </c>
      <c r="Y29" s="1636" t="str">
        <f t="shared" si="9"/>
        <v/>
      </c>
      <c r="Z29" s="1636" t="str">
        <f t="shared" si="10"/>
        <v/>
      </c>
      <c r="AA29" s="1618" t="str">
        <f>IF(R29="","",IF(COUNTIF(表格6[商品代碼], R29) &gt; 1, "重複", "唯一"))</f>
        <v/>
      </c>
      <c r="AD29" s="1638">
        <v>28</v>
      </c>
      <c r="AE29" t="str">
        <f t="array" ref="AE29">IFERROR(INDEX(表格6[商品代碼],MATCH(0,COUNTIF($AE$1:AE28,表格6[商品代碼]),0)),"")</f>
        <v/>
      </c>
      <c r="AF29" t="str">
        <f t="array" ref="AF29">IF(AND(VLOOKUP($AE29,$R:$AA,8,0)="重複",$AE29&lt;&gt;""), "合併資料", VLOOKUP($AE29,$R:$AA,2,0))</f>
        <v/>
      </c>
      <c r="AG29" s="826" t="str">
        <f>IF(AE29="","",SUMIF(表格6[商品代碼],AE29,表格6[投資面額]))</f>
        <v/>
      </c>
      <c r="AH29" s="826" t="str">
        <f t="shared" si="1"/>
        <v/>
      </c>
    </row>
    <row r="30" spans="1:34" ht="16" thickBot="1">
      <c r="A30" s="1631" t="s">
        <v>4442</v>
      </c>
      <c r="B30" s="596"/>
      <c r="C30" s="1632"/>
      <c r="H30" s="1638">
        <v>29</v>
      </c>
      <c r="I30" s="1639" t="s">
        <v>4839</v>
      </c>
      <c r="Q30" s="1638">
        <v>29</v>
      </c>
      <c r="R30" t="str">
        <f t="shared" si="3"/>
        <v/>
      </c>
      <c r="S30" s="1644" t="str">
        <f t="shared" si="4"/>
        <v/>
      </c>
      <c r="T30" s="1119" t="str">
        <f t="shared" si="5"/>
        <v/>
      </c>
      <c r="U30" s="1119" t="str">
        <f t="shared" si="6"/>
        <v/>
      </c>
      <c r="V30" s="1636">
        <f t="shared" si="7"/>
        <v>3</v>
      </c>
      <c r="W30" s="1618">
        <f t="shared" si="8"/>
        <v>5</v>
      </c>
      <c r="Y30" s="1636" t="str">
        <f t="shared" si="9"/>
        <v/>
      </c>
      <c r="Z30" s="1636" t="str">
        <f t="shared" si="10"/>
        <v/>
      </c>
      <c r="AA30" s="1618" t="str">
        <f>IF(R30="","",IF(COUNTIF(表格6[商品代碼], R30) &gt; 1, "重複", "唯一"))</f>
        <v/>
      </c>
      <c r="AD30" s="1638">
        <v>29</v>
      </c>
      <c r="AE30" t="str">
        <f t="array" ref="AE30">IFERROR(INDEX(表格6[商品代碼],MATCH(0,COUNTIF($AE$1:AE29,表格6[商品代碼]),0)),"")</f>
        <v/>
      </c>
      <c r="AF30" t="str">
        <f t="array" ref="AF30">IF(AND(VLOOKUP($AE30,$R:$AA,8,0)="重複",$AE30&lt;&gt;""), "合併資料", VLOOKUP($AE30,$R:$AA,2,0))</f>
        <v/>
      </c>
      <c r="AG30" s="826" t="str">
        <f>IF(AE30="","",SUMIF(表格6[商品代碼],AE30,表格6[投資面額]))</f>
        <v/>
      </c>
      <c r="AH30" s="826" t="str">
        <f t="shared" si="1"/>
        <v/>
      </c>
    </row>
    <row r="31" spans="1:34">
      <c r="A31" s="1637">
        <v>1</v>
      </c>
      <c r="B31" s="1686" t="str">
        <f t="shared" ref="B31:E42" ca="1" si="11">OFFSET(AE2,12*($A$45-1),0)</f>
        <v>XH430</v>
      </c>
      <c r="C31" s="1648">
        <f ca="1">OFFSET(AF2,12*($A$45-1),0)</f>
        <v>20240101</v>
      </c>
      <c r="D31" s="1635">
        <f ca="1">OFFSET(AG2,12*($A$45-1),0)</f>
        <v>100000</v>
      </c>
      <c r="E31" s="1646">
        <f ca="1">OFFSET(AH2,12*($A$45-1),0)</f>
        <v>98000</v>
      </c>
      <c r="H31" s="1638">
        <v>30</v>
      </c>
      <c r="I31" s="1639" t="s">
        <v>4839</v>
      </c>
      <c r="Q31" s="1638">
        <v>30</v>
      </c>
      <c r="R31" t="str">
        <f t="shared" si="3"/>
        <v/>
      </c>
      <c r="S31" s="1644" t="str">
        <f t="shared" si="4"/>
        <v/>
      </c>
      <c r="T31" s="1119" t="str">
        <f t="shared" si="5"/>
        <v/>
      </c>
      <c r="U31" s="1119" t="str">
        <f t="shared" si="6"/>
        <v/>
      </c>
      <c r="V31" s="1636">
        <f t="shared" si="7"/>
        <v>3</v>
      </c>
      <c r="W31" s="1618">
        <f t="shared" si="8"/>
        <v>6</v>
      </c>
      <c r="Y31" s="1636" t="str">
        <f t="shared" si="9"/>
        <v/>
      </c>
      <c r="Z31" s="1636" t="str">
        <f t="shared" si="10"/>
        <v/>
      </c>
      <c r="AA31" s="1618" t="str">
        <f>IF(R31="","",IF(COUNTIF(表格6[商品代碼], R31) &gt; 1, "重複", "唯一"))</f>
        <v/>
      </c>
      <c r="AD31" s="1638">
        <v>30</v>
      </c>
      <c r="AE31" t="str">
        <f t="array" ref="AE31">IFERROR(INDEX(表格6[商品代碼],MATCH(0,COUNTIF($AE$1:AE30,表格6[商品代碼]),0)),"")</f>
        <v/>
      </c>
      <c r="AF31" t="str">
        <f t="array" ref="AF31">IF(AND(VLOOKUP($AE31,$R:$AA,8,0)="重複",$AE31&lt;&gt;""), "合併資料", VLOOKUP($AE31,$R:$AA,2,0))</f>
        <v/>
      </c>
      <c r="AG31" s="826" t="str">
        <f>IF(AE31="","",SUMIF(表格6[商品代碼],AE31,表格6[投資面額]))</f>
        <v/>
      </c>
      <c r="AH31" s="826" t="str">
        <f t="shared" si="1"/>
        <v/>
      </c>
    </row>
    <row r="32" spans="1:34">
      <c r="A32" s="1638">
        <v>2</v>
      </c>
      <c r="B32" s="1641" t="str">
        <f t="shared" ca="1" si="11"/>
        <v>XG300</v>
      </c>
      <c r="C32" s="1649">
        <f t="shared" ca="1" si="11"/>
        <v>20240101</v>
      </c>
      <c r="D32" s="1119">
        <f t="shared" ca="1" si="11"/>
        <v>100000</v>
      </c>
      <c r="E32" s="1645">
        <f t="shared" ca="1" si="11"/>
        <v>58000</v>
      </c>
      <c r="H32" s="1638">
        <v>31</v>
      </c>
      <c r="I32" s="1639" t="s">
        <v>4839</v>
      </c>
      <c r="Q32" s="1638">
        <v>31</v>
      </c>
      <c r="R32" t="str">
        <f t="shared" si="3"/>
        <v/>
      </c>
      <c r="S32" s="1644" t="str">
        <f t="shared" si="4"/>
        <v/>
      </c>
      <c r="T32" s="1119" t="str">
        <f t="shared" si="5"/>
        <v/>
      </c>
      <c r="U32" s="1119" t="str">
        <f t="shared" si="6"/>
        <v/>
      </c>
      <c r="V32" s="1636">
        <f t="shared" si="7"/>
        <v>3</v>
      </c>
      <c r="W32" s="1618">
        <f t="shared" si="8"/>
        <v>7</v>
      </c>
      <c r="Y32" s="1636" t="str">
        <f t="shared" si="9"/>
        <v/>
      </c>
      <c r="Z32" s="1636" t="str">
        <f t="shared" si="10"/>
        <v/>
      </c>
      <c r="AA32" s="1618" t="str">
        <f>IF(R32="","",IF(COUNTIF(表格6[商品代碼], R32) &gt; 1, "重複", "唯一"))</f>
        <v/>
      </c>
      <c r="AD32" s="1638">
        <v>31</v>
      </c>
      <c r="AE32" t="str">
        <f t="array" ref="AE32">IFERROR(INDEX(表格6[商品代碼],MATCH(0,COUNTIF($AE$1:AE31,表格6[商品代碼]),0)),"")</f>
        <v/>
      </c>
      <c r="AF32" t="str">
        <f t="array" ref="AF32">IF(AND(VLOOKUP($AE32,$R:$AA,8,0)="重複",$AE32&lt;&gt;""), "合併資料", VLOOKUP($AE32,$R:$AA,2,0))</f>
        <v/>
      </c>
      <c r="AG32" s="826" t="str">
        <f>IF(AE32="","",SUMIF(表格6[商品代碼],AE32,表格6[投資面額]))</f>
        <v/>
      </c>
      <c r="AH32" s="826" t="str">
        <f t="shared" si="1"/>
        <v/>
      </c>
    </row>
    <row r="33" spans="1:34">
      <c r="A33" s="1638">
        <v>3</v>
      </c>
      <c r="B33" s="1641" t="str">
        <f t="shared" ca="1" si="11"/>
        <v>XH750</v>
      </c>
      <c r="C33" s="1649">
        <f t="shared" ca="1" si="11"/>
        <v>20240101</v>
      </c>
      <c r="D33" s="1119">
        <f t="shared" ca="1" si="11"/>
        <v>100000</v>
      </c>
      <c r="E33" s="1645">
        <f t="shared" ca="1" si="11"/>
        <v>88000</v>
      </c>
      <c r="H33" s="1638">
        <v>32</v>
      </c>
      <c r="I33" s="1639" t="s">
        <v>4839</v>
      </c>
      <c r="Q33" s="1638">
        <v>32</v>
      </c>
      <c r="R33" t="str">
        <f t="shared" si="3"/>
        <v/>
      </c>
      <c r="S33" s="1644" t="str">
        <f t="shared" si="4"/>
        <v/>
      </c>
      <c r="T33" s="1119" t="str">
        <f t="shared" si="5"/>
        <v/>
      </c>
      <c r="U33" s="1119" t="str">
        <f t="shared" si="6"/>
        <v/>
      </c>
      <c r="V33" s="1636">
        <f t="shared" si="7"/>
        <v>3</v>
      </c>
      <c r="W33" s="1618">
        <f t="shared" si="8"/>
        <v>8</v>
      </c>
      <c r="Y33" s="1636" t="str">
        <f t="shared" si="9"/>
        <v/>
      </c>
      <c r="Z33" s="1636" t="str">
        <f t="shared" si="10"/>
        <v/>
      </c>
      <c r="AA33" s="1618" t="str">
        <f>IF(R33="","",IF(COUNTIF(表格6[商品代碼], R33) &gt; 1, "重複", "唯一"))</f>
        <v/>
      </c>
      <c r="AD33" s="1638">
        <v>32</v>
      </c>
      <c r="AE33" t="str">
        <f t="array" ref="AE33">IFERROR(INDEX(表格6[商品代碼],MATCH(0,COUNTIF($AE$1:AE32,表格6[商品代碼]),0)),"")</f>
        <v/>
      </c>
      <c r="AF33" t="str">
        <f t="array" ref="AF33">IF(AND(VLOOKUP($AE33,$R:$AA,8,0)="重複",$AE33&lt;&gt;""), "合併資料", VLOOKUP($AE33,$R:$AA,2,0))</f>
        <v/>
      </c>
      <c r="AG33" s="826" t="str">
        <f>IF(AE33="","",SUMIF(表格6[商品代碼],AE33,表格6[投資面額]))</f>
        <v/>
      </c>
      <c r="AH33" s="826" t="str">
        <f t="shared" si="1"/>
        <v/>
      </c>
    </row>
    <row r="34" spans="1:34">
      <c r="A34" s="1638">
        <v>4</v>
      </c>
      <c r="B34" s="1641" t="str">
        <f t="shared" ca="1" si="11"/>
        <v>XH040</v>
      </c>
      <c r="C34" s="1649">
        <f t="shared" ca="1" si="11"/>
        <v>20240101</v>
      </c>
      <c r="D34" s="1119">
        <f t="shared" ca="1" si="11"/>
        <v>100000</v>
      </c>
      <c r="E34" s="1645">
        <f t="shared" ca="1" si="11"/>
        <v>88000</v>
      </c>
      <c r="H34" s="1638">
        <v>33</v>
      </c>
      <c r="I34" s="1639" t="s">
        <v>4839</v>
      </c>
      <c r="Q34" s="1638">
        <v>33</v>
      </c>
      <c r="R34" t="str">
        <f t="shared" si="3"/>
        <v/>
      </c>
      <c r="S34" s="1644" t="str">
        <f t="shared" si="4"/>
        <v/>
      </c>
      <c r="T34" s="1119" t="str">
        <f t="shared" si="5"/>
        <v/>
      </c>
      <c r="U34" s="1119" t="str">
        <f t="shared" si="6"/>
        <v/>
      </c>
      <c r="V34" s="1636">
        <f t="shared" si="7"/>
        <v>3</v>
      </c>
      <c r="W34" s="1618">
        <f t="shared" si="8"/>
        <v>9</v>
      </c>
      <c r="Y34" s="1636" t="str">
        <f t="shared" si="9"/>
        <v/>
      </c>
      <c r="Z34" s="1636" t="str">
        <f t="shared" si="10"/>
        <v/>
      </c>
      <c r="AA34" s="1618" t="str">
        <f>IF(R34="","",IF(COUNTIF(表格6[商品代碼], R34) &gt; 1, "重複", "唯一"))</f>
        <v/>
      </c>
      <c r="AD34" s="1638">
        <v>33</v>
      </c>
      <c r="AE34" t="str">
        <f t="array" ref="AE34">IFERROR(INDEX(表格6[商品代碼],MATCH(0,COUNTIF($AE$1:AE33,表格6[商品代碼]),0)),"")</f>
        <v/>
      </c>
      <c r="AF34" t="str">
        <f t="array" ref="AF34">IF(AND(VLOOKUP($AE34,$R:$AA,8,0)="重複",$AE34&lt;&gt;""), "合併資料", VLOOKUP($AE34,$R:$AA,2,0))</f>
        <v/>
      </c>
      <c r="AG34" s="826" t="str">
        <f>IF(AE34="","",SUMIF(表格6[商品代碼],AE34,表格6[投資面額]))</f>
        <v/>
      </c>
      <c r="AH34" s="826" t="str">
        <f t="shared" si="1"/>
        <v/>
      </c>
    </row>
    <row r="35" spans="1:34">
      <c r="A35" s="1638">
        <v>5</v>
      </c>
      <c r="B35" s="1641" t="str">
        <f t="shared" ca="1" si="11"/>
        <v/>
      </c>
      <c r="C35" s="1649" t="str">
        <f t="shared" ca="1" si="11"/>
        <v/>
      </c>
      <c r="D35" s="1119" t="str">
        <f t="shared" ca="1" si="11"/>
        <v/>
      </c>
      <c r="E35" s="1645" t="str">
        <f t="shared" ca="1" si="11"/>
        <v/>
      </c>
      <c r="H35" s="1638">
        <v>34</v>
      </c>
      <c r="I35" s="1639" t="s">
        <v>4839</v>
      </c>
      <c r="Q35" s="1638">
        <v>34</v>
      </c>
      <c r="R35" t="str">
        <f t="shared" si="3"/>
        <v/>
      </c>
      <c r="S35" s="1644" t="str">
        <f t="shared" si="4"/>
        <v/>
      </c>
      <c r="T35" s="1119" t="str">
        <f t="shared" si="5"/>
        <v/>
      </c>
      <c r="U35" s="1119" t="str">
        <f t="shared" si="6"/>
        <v/>
      </c>
      <c r="V35" s="1636">
        <f t="shared" si="7"/>
        <v>3</v>
      </c>
      <c r="W35" s="1618">
        <f t="shared" si="8"/>
        <v>10</v>
      </c>
      <c r="Y35" s="1636" t="str">
        <f t="shared" si="9"/>
        <v/>
      </c>
      <c r="Z35" s="1636" t="str">
        <f t="shared" si="10"/>
        <v/>
      </c>
      <c r="AA35" s="1618" t="str">
        <f>IF(R35="","",IF(COUNTIF(表格6[商品代碼], R35) &gt; 1, "重複", "唯一"))</f>
        <v/>
      </c>
      <c r="AD35" s="1638">
        <v>34</v>
      </c>
      <c r="AE35" t="str">
        <f t="array" ref="AE35">IFERROR(INDEX(表格6[商品代碼],MATCH(0,COUNTIF($AE$1:AE34,表格6[商品代碼]),0)),"")</f>
        <v/>
      </c>
      <c r="AF35" t="str">
        <f t="array" ref="AF35">IF(AND(VLOOKUP($AE35,$R:$AA,8,0)="重複",$AE35&lt;&gt;""), "合併資料", VLOOKUP($AE35,$R:$AA,2,0))</f>
        <v/>
      </c>
      <c r="AG35" s="826" t="str">
        <f>IF(AE35="","",SUMIF(表格6[商品代碼],AE35,表格6[投資面額]))</f>
        <v/>
      </c>
      <c r="AH35" s="826" t="str">
        <f t="shared" si="1"/>
        <v/>
      </c>
    </row>
    <row r="36" spans="1:34">
      <c r="A36" s="1638">
        <v>6</v>
      </c>
      <c r="B36" s="1641" t="str">
        <f t="shared" ca="1" si="11"/>
        <v/>
      </c>
      <c r="C36" s="1649" t="str">
        <f t="shared" ca="1" si="11"/>
        <v/>
      </c>
      <c r="D36" s="1119" t="str">
        <f t="shared" ca="1" si="11"/>
        <v/>
      </c>
      <c r="E36" s="1645" t="str">
        <f t="shared" ca="1" si="11"/>
        <v/>
      </c>
      <c r="H36" s="1638">
        <v>35</v>
      </c>
      <c r="I36" s="1639" t="s">
        <v>4839</v>
      </c>
      <c r="Q36" s="1638">
        <v>35</v>
      </c>
      <c r="R36" t="str">
        <f t="shared" si="3"/>
        <v/>
      </c>
      <c r="S36" s="1644" t="str">
        <f t="shared" si="4"/>
        <v/>
      </c>
      <c r="T36" s="1119" t="str">
        <f t="shared" si="5"/>
        <v/>
      </c>
      <c r="U36" s="1119" t="str">
        <f t="shared" si="6"/>
        <v/>
      </c>
      <c r="V36" s="1636">
        <f t="shared" si="7"/>
        <v>3</v>
      </c>
      <c r="W36" s="1618">
        <f t="shared" si="8"/>
        <v>11</v>
      </c>
      <c r="Y36" s="1636" t="str">
        <f t="shared" si="9"/>
        <v/>
      </c>
      <c r="Z36" s="1636" t="str">
        <f t="shared" si="10"/>
        <v/>
      </c>
      <c r="AA36" s="1618" t="str">
        <f>IF(R36="","",IF(COUNTIF(表格6[商品代碼], R36) &gt; 1, "重複", "唯一"))</f>
        <v/>
      </c>
      <c r="AD36" s="1638">
        <v>35</v>
      </c>
      <c r="AE36" t="str">
        <f t="array" ref="AE36">IFERROR(INDEX(表格6[商品代碼],MATCH(0,COUNTIF($AE$1:AE35,表格6[商品代碼]),0)),"")</f>
        <v/>
      </c>
      <c r="AF36" t="str">
        <f t="array" ref="AF36">IF(AND(VLOOKUP($AE36,$R:$AA,8,0)="重複",$AE36&lt;&gt;""), "合併資料", VLOOKUP($AE36,$R:$AA,2,0))</f>
        <v/>
      </c>
      <c r="AG36" s="826" t="str">
        <f>IF(AE36="","",SUMIF(表格6[商品代碼],AE36,表格6[投資面額]))</f>
        <v/>
      </c>
      <c r="AH36" s="826" t="str">
        <f t="shared" si="1"/>
        <v/>
      </c>
    </row>
    <row r="37" spans="1:34">
      <c r="A37" s="1638">
        <v>7</v>
      </c>
      <c r="B37" s="1641" t="str">
        <f t="shared" ca="1" si="11"/>
        <v/>
      </c>
      <c r="C37" s="1649" t="str">
        <f t="shared" ca="1" si="11"/>
        <v/>
      </c>
      <c r="D37" s="1119" t="str">
        <f t="shared" ca="1" si="11"/>
        <v/>
      </c>
      <c r="E37" s="1645" t="str">
        <f t="shared" ca="1" si="11"/>
        <v/>
      </c>
      <c r="H37" s="1638">
        <v>36</v>
      </c>
      <c r="I37" s="1639" t="s">
        <v>4839</v>
      </c>
      <c r="Q37" s="1638">
        <v>36</v>
      </c>
      <c r="R37" t="str">
        <f t="shared" si="3"/>
        <v/>
      </c>
      <c r="S37" s="1644" t="str">
        <f t="shared" si="4"/>
        <v/>
      </c>
      <c r="T37" s="1119" t="str">
        <f t="shared" si="5"/>
        <v/>
      </c>
      <c r="U37" s="1119" t="str">
        <f t="shared" si="6"/>
        <v/>
      </c>
      <c r="V37" s="1636">
        <f t="shared" si="7"/>
        <v>3</v>
      </c>
      <c r="W37" s="1618">
        <f t="shared" si="8"/>
        <v>12</v>
      </c>
      <c r="Y37" s="1636" t="str">
        <f t="shared" si="9"/>
        <v/>
      </c>
      <c r="Z37" s="1636" t="str">
        <f t="shared" si="10"/>
        <v/>
      </c>
      <c r="AA37" s="1618" t="str">
        <f>IF(R37="","",IF(COUNTIF(表格6[商品代碼], R37) &gt; 1, "重複", "唯一"))</f>
        <v/>
      </c>
      <c r="AD37" s="1638">
        <v>36</v>
      </c>
      <c r="AE37" t="str">
        <f t="array" ref="AE37">IFERROR(INDEX(表格6[商品代碼],MATCH(0,COUNTIF($AE$1:AE36,表格6[商品代碼]),0)),"")</f>
        <v/>
      </c>
      <c r="AF37" t="str">
        <f t="array" ref="AF37">IF(AND(VLOOKUP($AE37,$R:$AA,8,0)="重複",$AE37&lt;&gt;""), "合併資料", VLOOKUP($AE37,$R:$AA,2,0))</f>
        <v/>
      </c>
      <c r="AG37" s="826" t="str">
        <f>IF(AE37="","",SUMIF(表格6[商品代碼],AE37,表格6[投資面額]))</f>
        <v/>
      </c>
      <c r="AH37" s="826" t="str">
        <f t="shared" si="1"/>
        <v/>
      </c>
    </row>
    <row r="38" spans="1:34">
      <c r="A38" s="1638">
        <v>8</v>
      </c>
      <c r="B38" s="1641" t="str">
        <f t="shared" ca="1" si="11"/>
        <v/>
      </c>
      <c r="C38" s="1649" t="str">
        <f t="shared" ca="1" si="11"/>
        <v/>
      </c>
      <c r="D38" s="1119" t="str">
        <f t="shared" ca="1" si="11"/>
        <v/>
      </c>
      <c r="E38" s="1645" t="str">
        <f t="shared" ca="1" si="11"/>
        <v/>
      </c>
      <c r="H38" s="1638"/>
      <c r="Q38" s="1638"/>
      <c r="R38" t="str">
        <f t="shared" si="3"/>
        <v/>
      </c>
      <c r="S38" s="1644" t="str">
        <f t="shared" si="4"/>
        <v/>
      </c>
      <c r="T38" s="1119" t="str">
        <f t="shared" si="5"/>
        <v/>
      </c>
      <c r="U38" s="1119" t="str">
        <f t="shared" si="6"/>
        <v/>
      </c>
      <c r="AD38" s="1638"/>
      <c r="AG38" s="826"/>
      <c r="AH38" s="826"/>
    </row>
    <row r="39" spans="1:34">
      <c r="A39" s="1638">
        <v>9</v>
      </c>
      <c r="B39" s="1641" t="str">
        <f t="shared" ca="1" si="11"/>
        <v/>
      </c>
      <c r="C39" s="1649" t="str">
        <f t="shared" ca="1" si="11"/>
        <v/>
      </c>
      <c r="D39" s="1119" t="str">
        <f t="shared" ca="1" si="11"/>
        <v/>
      </c>
      <c r="E39" s="1645" t="str">
        <f t="shared" ca="1" si="11"/>
        <v/>
      </c>
      <c r="H39" s="1638"/>
      <c r="Q39" s="1638"/>
      <c r="R39" t="str">
        <f t="shared" si="3"/>
        <v/>
      </c>
      <c r="S39" s="1644" t="str">
        <f t="shared" si="4"/>
        <v/>
      </c>
      <c r="T39" s="1119" t="str">
        <f t="shared" si="5"/>
        <v/>
      </c>
      <c r="U39" s="1119" t="str">
        <f t="shared" si="6"/>
        <v/>
      </c>
      <c r="AD39" s="1638"/>
      <c r="AG39" s="826"/>
      <c r="AH39" s="826"/>
    </row>
    <row r="40" spans="1:34">
      <c r="A40" s="1638">
        <v>10</v>
      </c>
      <c r="B40" s="1641" t="str">
        <f t="shared" ca="1" si="11"/>
        <v/>
      </c>
      <c r="C40" s="1649" t="str">
        <f t="shared" ca="1" si="11"/>
        <v/>
      </c>
      <c r="D40" s="1119" t="str">
        <f t="shared" ca="1" si="11"/>
        <v/>
      </c>
      <c r="E40" s="1645" t="str">
        <f t="shared" ca="1" si="11"/>
        <v/>
      </c>
      <c r="H40" s="1638"/>
      <c r="Q40" s="1638"/>
      <c r="R40" t="str">
        <f t="shared" si="3"/>
        <v/>
      </c>
      <c r="S40" s="1644" t="str">
        <f t="shared" si="4"/>
        <v/>
      </c>
      <c r="T40" s="1119" t="str">
        <f t="shared" si="5"/>
        <v/>
      </c>
      <c r="U40" s="1119" t="str">
        <f t="shared" si="6"/>
        <v/>
      </c>
      <c r="AD40" s="1638"/>
      <c r="AG40" s="826"/>
      <c r="AH40" s="826"/>
    </row>
    <row r="41" spans="1:34">
      <c r="A41" s="1638">
        <v>11</v>
      </c>
      <c r="B41" s="1641" t="str">
        <f t="shared" ca="1" si="11"/>
        <v/>
      </c>
      <c r="C41" s="1649" t="str">
        <f t="shared" ca="1" si="11"/>
        <v/>
      </c>
      <c r="D41" s="1119" t="str">
        <f t="shared" ca="1" si="11"/>
        <v/>
      </c>
      <c r="E41" s="1645" t="str">
        <f t="shared" ca="1" si="11"/>
        <v/>
      </c>
      <c r="H41" s="1638"/>
      <c r="Q41" s="1638"/>
      <c r="R41" t="str">
        <f t="shared" si="3"/>
        <v/>
      </c>
      <c r="S41" s="1644" t="str">
        <f t="shared" si="4"/>
        <v/>
      </c>
      <c r="T41" s="1119" t="str">
        <f t="shared" si="5"/>
        <v/>
      </c>
      <c r="U41" s="1119" t="str">
        <f t="shared" si="6"/>
        <v/>
      </c>
      <c r="AD41" s="1638"/>
      <c r="AG41" s="826"/>
      <c r="AH41" s="826"/>
    </row>
    <row r="42" spans="1:34" ht="16" thickBot="1">
      <c r="A42" s="1640">
        <v>12</v>
      </c>
      <c r="B42" s="1687" t="str">
        <f t="shared" ca="1" si="11"/>
        <v/>
      </c>
      <c r="C42" s="1650" t="str">
        <f t="shared" ca="1" si="11"/>
        <v/>
      </c>
      <c r="D42" s="1611" t="str">
        <f t="shared" ca="1" si="11"/>
        <v/>
      </c>
      <c r="E42" s="1647" t="str">
        <f t="shared" ca="1" si="11"/>
        <v/>
      </c>
      <c r="H42" s="1638"/>
      <c r="Q42" s="1638"/>
      <c r="R42" t="str">
        <f t="shared" si="3"/>
        <v/>
      </c>
      <c r="S42" s="1644" t="str">
        <f t="shared" si="4"/>
        <v/>
      </c>
      <c r="T42" s="1119" t="str">
        <f t="shared" si="5"/>
        <v/>
      </c>
      <c r="U42" s="1119" t="str">
        <f t="shared" si="6"/>
        <v/>
      </c>
      <c r="AD42" s="1638"/>
      <c r="AG42" s="826"/>
      <c r="AH42" s="826"/>
    </row>
    <row r="43" spans="1:34">
      <c r="B43"/>
      <c r="H43" s="1638"/>
      <c r="Q43" s="1638"/>
      <c r="R43" t="str">
        <f t="shared" si="3"/>
        <v/>
      </c>
      <c r="S43" s="1644" t="str">
        <f t="shared" si="4"/>
        <v/>
      </c>
      <c r="T43" s="1119" t="str">
        <f t="shared" si="5"/>
        <v/>
      </c>
      <c r="U43" s="1119" t="str">
        <f t="shared" si="6"/>
        <v/>
      </c>
      <c r="AD43" s="1638"/>
      <c r="AG43" s="826"/>
      <c r="AH43" s="826"/>
    </row>
    <row r="44" spans="1:34" ht="16" thickBot="1">
      <c r="A44" t="s">
        <v>4443</v>
      </c>
      <c r="B44"/>
      <c r="H44" s="1638"/>
      <c r="Q44" s="1638"/>
      <c r="R44" t="str">
        <f t="shared" si="3"/>
        <v/>
      </c>
      <c r="S44" s="1644" t="str">
        <f t="shared" si="4"/>
        <v/>
      </c>
      <c r="T44" s="1119" t="str">
        <f t="shared" si="5"/>
        <v/>
      </c>
      <c r="U44" s="1119" t="str">
        <f t="shared" si="6"/>
        <v/>
      </c>
      <c r="AD44" s="1638"/>
      <c r="AG44" s="826"/>
      <c r="AH44" s="826"/>
    </row>
    <row r="45" spans="1:34" ht="16" thickBot="1">
      <c r="A45" s="1610">
        <v>1</v>
      </c>
      <c r="B45"/>
      <c r="H45" s="1638"/>
      <c r="Q45" s="1638"/>
      <c r="R45" t="str">
        <f t="shared" si="3"/>
        <v/>
      </c>
      <c r="S45" s="1644" t="str">
        <f t="shared" si="4"/>
        <v/>
      </c>
      <c r="T45" s="1119" t="str">
        <f t="shared" si="5"/>
        <v/>
      </c>
      <c r="U45" s="1119" t="str">
        <f t="shared" si="6"/>
        <v/>
      </c>
      <c r="AD45" s="1638"/>
      <c r="AG45" s="826"/>
      <c r="AH45" s="826"/>
    </row>
    <row r="46" spans="1:34">
      <c r="H46" s="1638"/>
      <c r="Q46" s="1638"/>
      <c r="R46" t="str">
        <f t="shared" si="3"/>
        <v/>
      </c>
      <c r="S46" s="1644" t="str">
        <f t="shared" si="4"/>
        <v/>
      </c>
      <c r="T46" s="1119" t="str">
        <f t="shared" si="5"/>
        <v/>
      </c>
      <c r="U46" s="1119" t="str">
        <f t="shared" si="6"/>
        <v/>
      </c>
      <c r="AD46" s="1638"/>
      <c r="AG46" s="826"/>
      <c r="AH46" s="826"/>
    </row>
    <row r="47" spans="1:34">
      <c r="H47" s="1638"/>
      <c r="Q47" s="1638"/>
      <c r="R47" t="str">
        <f t="shared" si="3"/>
        <v/>
      </c>
      <c r="S47" s="1644" t="str">
        <f t="shared" si="4"/>
        <v/>
      </c>
      <c r="T47" s="1119" t="str">
        <f t="shared" si="5"/>
        <v/>
      </c>
      <c r="U47" s="1119" t="str">
        <f t="shared" si="6"/>
        <v/>
      </c>
      <c r="AD47" s="1638"/>
      <c r="AG47" s="826"/>
      <c r="AH47" s="826"/>
    </row>
    <row r="48" spans="1:34">
      <c r="H48" s="1638"/>
      <c r="Q48" s="1638"/>
      <c r="R48" t="str">
        <f t="shared" si="3"/>
        <v/>
      </c>
      <c r="S48" s="1644" t="str">
        <f t="shared" si="4"/>
        <v/>
      </c>
      <c r="T48" s="1119" t="str">
        <f t="shared" si="5"/>
        <v/>
      </c>
      <c r="U48" s="1119" t="str">
        <f t="shared" si="6"/>
        <v/>
      </c>
      <c r="AD48" s="1638"/>
      <c r="AG48" s="826"/>
      <c r="AH48" s="826"/>
    </row>
    <row r="49" spans="8:34">
      <c r="H49" s="1638"/>
      <c r="Q49" s="1638"/>
      <c r="R49" t="str">
        <f t="shared" si="3"/>
        <v/>
      </c>
      <c r="S49" s="1644" t="str">
        <f t="shared" si="4"/>
        <v/>
      </c>
      <c r="T49" s="1119" t="str">
        <f t="shared" si="5"/>
        <v/>
      </c>
      <c r="U49" s="1119" t="str">
        <f t="shared" si="6"/>
        <v/>
      </c>
      <c r="AD49" s="1638"/>
      <c r="AG49" s="826"/>
      <c r="AH49" s="826"/>
    </row>
    <row r="50" spans="8:34">
      <c r="H50" s="1638"/>
      <c r="Q50" s="1638"/>
      <c r="R50" t="str">
        <f t="shared" si="3"/>
        <v/>
      </c>
      <c r="S50" s="1644" t="str">
        <f t="shared" si="4"/>
        <v/>
      </c>
      <c r="T50" s="1119" t="str">
        <f t="shared" si="5"/>
        <v/>
      </c>
      <c r="U50" s="1119" t="str">
        <f t="shared" si="6"/>
        <v/>
      </c>
      <c r="AD50" s="1638"/>
      <c r="AG50" s="826"/>
      <c r="AH50" s="826"/>
    </row>
    <row r="51" spans="8:34">
      <c r="H51" s="1638"/>
      <c r="Q51" s="1638"/>
      <c r="R51" t="str">
        <f t="shared" si="3"/>
        <v/>
      </c>
      <c r="S51" s="1644" t="str">
        <f t="shared" si="4"/>
        <v/>
      </c>
      <c r="T51" s="1119" t="str">
        <f t="shared" si="5"/>
        <v/>
      </c>
      <c r="U51" s="1119" t="str">
        <f t="shared" si="6"/>
        <v/>
      </c>
      <c r="AD51" s="1638"/>
      <c r="AG51" s="826"/>
      <c r="AH51" s="826"/>
    </row>
    <row r="52" spans="8:34">
      <c r="H52" s="1638"/>
      <c r="Q52" s="1638"/>
      <c r="R52" t="str">
        <f t="shared" si="3"/>
        <v/>
      </c>
      <c r="S52" s="1644" t="str">
        <f t="shared" si="4"/>
        <v/>
      </c>
      <c r="T52" s="1119" t="str">
        <f t="shared" si="5"/>
        <v/>
      </c>
      <c r="U52" s="1119" t="str">
        <f t="shared" si="6"/>
        <v/>
      </c>
      <c r="AD52" s="1638"/>
      <c r="AG52" s="826"/>
      <c r="AH52" s="826"/>
    </row>
    <row r="53" spans="8:34">
      <c r="H53" s="1638"/>
      <c r="Q53" s="1638"/>
      <c r="R53" t="str">
        <f t="shared" si="3"/>
        <v/>
      </c>
      <c r="S53" s="1644" t="str">
        <f t="shared" si="4"/>
        <v/>
      </c>
      <c r="T53" s="1119" t="str">
        <f t="shared" si="5"/>
        <v/>
      </c>
      <c r="U53" s="1119" t="str">
        <f t="shared" si="6"/>
        <v/>
      </c>
      <c r="AD53" s="1638"/>
      <c r="AG53" s="826"/>
      <c r="AH53" s="826"/>
    </row>
    <row r="54" spans="8:34">
      <c r="H54" s="1638"/>
      <c r="Q54" s="1638"/>
      <c r="R54" t="str">
        <f t="shared" si="3"/>
        <v/>
      </c>
      <c r="S54" s="1644" t="str">
        <f t="shared" si="4"/>
        <v/>
      </c>
      <c r="T54" s="1119" t="str">
        <f t="shared" si="5"/>
        <v/>
      </c>
      <c r="U54" s="1119" t="str">
        <f t="shared" si="6"/>
        <v/>
      </c>
      <c r="AD54" s="1638"/>
      <c r="AG54" s="826"/>
      <c r="AH54" s="826"/>
    </row>
    <row r="55" spans="8:34">
      <c r="H55" s="1638"/>
      <c r="Q55" s="1638"/>
      <c r="R55" t="str">
        <f t="shared" si="3"/>
        <v/>
      </c>
      <c r="S55" s="1644" t="str">
        <f t="shared" si="4"/>
        <v/>
      </c>
      <c r="T55" s="1119" t="str">
        <f t="shared" si="5"/>
        <v/>
      </c>
      <c r="U55" s="1119" t="str">
        <f t="shared" si="6"/>
        <v/>
      </c>
      <c r="AD55" s="1638"/>
      <c r="AG55" s="826"/>
      <c r="AH55" s="826"/>
    </row>
    <row r="56" spans="8:34">
      <c r="H56" s="1638"/>
      <c r="Q56" s="1638"/>
      <c r="R56" t="str">
        <f t="shared" si="3"/>
        <v/>
      </c>
      <c r="S56" s="1644" t="str">
        <f t="shared" si="4"/>
        <v/>
      </c>
      <c r="T56" s="1119" t="str">
        <f t="shared" si="5"/>
        <v/>
      </c>
      <c r="U56" s="1119" t="str">
        <f t="shared" si="6"/>
        <v/>
      </c>
      <c r="AD56" s="1638"/>
      <c r="AG56" s="826"/>
      <c r="AH56" s="826"/>
    </row>
    <row r="57" spans="8:34">
      <c r="H57" s="1638"/>
      <c r="Q57" s="1638"/>
      <c r="R57" t="str">
        <f t="shared" si="3"/>
        <v/>
      </c>
      <c r="S57" s="1644" t="str">
        <f t="shared" si="4"/>
        <v/>
      </c>
      <c r="T57" s="1119" t="str">
        <f t="shared" si="5"/>
        <v/>
      </c>
      <c r="U57" s="1119" t="str">
        <f t="shared" si="6"/>
        <v/>
      </c>
      <c r="AD57" s="1638"/>
      <c r="AG57" s="826"/>
      <c r="AH57" s="826"/>
    </row>
    <row r="58" spans="8:34">
      <c r="H58" s="1638"/>
      <c r="Q58" s="1638"/>
      <c r="R58" t="str">
        <f t="shared" si="3"/>
        <v/>
      </c>
      <c r="S58" s="1644" t="str">
        <f t="shared" si="4"/>
        <v/>
      </c>
      <c r="T58" s="1119" t="str">
        <f t="shared" si="5"/>
        <v/>
      </c>
      <c r="U58" s="1119" t="str">
        <f t="shared" si="6"/>
        <v/>
      </c>
      <c r="AD58" s="1638"/>
      <c r="AG58" s="826"/>
      <c r="AH58" s="826"/>
    </row>
    <row r="59" spans="8:34">
      <c r="H59" s="1638"/>
      <c r="Q59" s="1638"/>
      <c r="R59" t="str">
        <f t="shared" si="3"/>
        <v/>
      </c>
      <c r="S59" s="1644" t="str">
        <f t="shared" si="4"/>
        <v/>
      </c>
      <c r="T59" s="1119" t="str">
        <f t="shared" si="5"/>
        <v/>
      </c>
      <c r="U59" s="1119" t="str">
        <f t="shared" si="6"/>
        <v/>
      </c>
      <c r="AD59" s="1638"/>
      <c r="AG59" s="826"/>
      <c r="AH59" s="826"/>
    </row>
    <row r="60" spans="8:34">
      <c r="H60" s="1638"/>
      <c r="Q60" s="1638"/>
      <c r="R60" t="str">
        <f t="shared" si="3"/>
        <v/>
      </c>
      <c r="S60" s="1644" t="str">
        <f t="shared" si="4"/>
        <v/>
      </c>
      <c r="T60" s="1119" t="str">
        <f t="shared" si="5"/>
        <v/>
      </c>
      <c r="U60" s="1119" t="str">
        <f t="shared" si="6"/>
        <v/>
      </c>
      <c r="AD60" s="1638"/>
      <c r="AG60" s="826"/>
      <c r="AH60" s="826"/>
    </row>
    <row r="61" spans="8:34">
      <c r="H61" s="1638"/>
      <c r="Q61" s="1638"/>
      <c r="R61" t="str">
        <f t="shared" si="3"/>
        <v/>
      </c>
      <c r="S61" s="1644" t="str">
        <f t="shared" si="4"/>
        <v/>
      </c>
      <c r="T61" s="1119" t="str">
        <f t="shared" si="5"/>
        <v/>
      </c>
      <c r="U61" s="1119" t="str">
        <f t="shared" si="6"/>
        <v/>
      </c>
      <c r="AD61" s="1638"/>
      <c r="AG61" s="826"/>
      <c r="AH61" s="826"/>
    </row>
    <row r="62" spans="8:34">
      <c r="H62" s="1638"/>
      <c r="Q62" s="1638"/>
      <c r="R62" t="str">
        <f t="shared" si="3"/>
        <v/>
      </c>
      <c r="S62" s="1644" t="str">
        <f t="shared" si="4"/>
        <v/>
      </c>
      <c r="T62" s="1119" t="str">
        <f t="shared" si="5"/>
        <v/>
      </c>
      <c r="U62" s="1119" t="str">
        <f t="shared" si="6"/>
        <v/>
      </c>
      <c r="AD62" s="1638"/>
      <c r="AG62" s="826"/>
      <c r="AH62" s="826"/>
    </row>
    <row r="63" spans="8:34">
      <c r="H63" s="1638"/>
      <c r="Q63" s="1638"/>
      <c r="R63" t="str">
        <f t="shared" si="3"/>
        <v/>
      </c>
      <c r="S63" s="1644" t="str">
        <f t="shared" si="4"/>
        <v/>
      </c>
      <c r="T63" s="1119" t="str">
        <f t="shared" si="5"/>
        <v/>
      </c>
      <c r="U63" s="1119" t="str">
        <f t="shared" si="6"/>
        <v/>
      </c>
      <c r="AD63" s="1638"/>
      <c r="AG63" s="826"/>
      <c r="AH63" s="826"/>
    </row>
    <row r="64" spans="8:34">
      <c r="H64" s="1638"/>
      <c r="Q64" s="1638"/>
      <c r="R64" t="str">
        <f t="shared" si="3"/>
        <v/>
      </c>
      <c r="S64" s="1644" t="str">
        <f t="shared" si="4"/>
        <v/>
      </c>
      <c r="T64" s="1119" t="str">
        <f t="shared" si="5"/>
        <v/>
      </c>
      <c r="U64" s="1119" t="str">
        <f t="shared" si="6"/>
        <v/>
      </c>
      <c r="AD64" s="1638"/>
      <c r="AG64" s="826"/>
      <c r="AH64" s="826"/>
    </row>
    <row r="65" spans="8:34">
      <c r="H65" s="1638"/>
      <c r="Q65" s="1638"/>
      <c r="R65" t="str">
        <f t="shared" si="3"/>
        <v/>
      </c>
      <c r="S65" s="1644" t="str">
        <f t="shared" si="4"/>
        <v/>
      </c>
      <c r="T65" s="1119" t="str">
        <f t="shared" si="5"/>
        <v/>
      </c>
      <c r="U65" s="1119" t="str">
        <f t="shared" si="6"/>
        <v/>
      </c>
      <c r="AD65" s="1638"/>
      <c r="AG65" s="826"/>
      <c r="AH65" s="826"/>
    </row>
    <row r="66" spans="8:34">
      <c r="H66" s="1638"/>
      <c r="Q66" s="1638"/>
      <c r="R66" t="str">
        <f t="shared" si="3"/>
        <v/>
      </c>
      <c r="S66" s="1644" t="str">
        <f t="shared" si="4"/>
        <v/>
      </c>
      <c r="T66" s="1119" t="str">
        <f t="shared" si="5"/>
        <v/>
      </c>
      <c r="U66" s="1119" t="str">
        <f t="shared" si="6"/>
        <v/>
      </c>
      <c r="AD66" s="1638"/>
      <c r="AG66" s="826"/>
      <c r="AH66" s="826"/>
    </row>
    <row r="67" spans="8:34">
      <c r="H67" s="1638"/>
      <c r="Q67" s="1638"/>
      <c r="R67" t="str">
        <f t="shared" ref="R67:R130" si="12">IF(IF($V67=$A$16,VLOOKUP($W67,$A$2:$E$13,COLUMN(R67)-16,0),I67)=0,"", IF($V67=$A$16,VLOOKUP($W67,$A$2:$E$13,COLUMN(R67)-16,0),I67))</f>
        <v/>
      </c>
      <c r="S67" s="1644" t="str">
        <f t="shared" ref="S67:S130" si="13">IF(IF($V67=$A$16,VLOOKUP($W67,$A$2:$E$13,COLUMN(S67)-16,0),J67)=0,"",IF($V67=$A$16,VLOOKUP($W67,$A$2:$E$13,COLUMN(S67)-16,0),J67))</f>
        <v/>
      </c>
      <c r="T67" s="1119" t="str">
        <f t="shared" ref="T67:T130" si="14">IF(IF($V67=$A$16,VLOOKUP($W67,$A$2:$E$13,COLUMN(T67)-16,0),K67)=0,"",IF($V67=$A$16,VLOOKUP($W67,$A$2:$E$13,COLUMN(T67)-16,0),K67))</f>
        <v/>
      </c>
      <c r="U67" s="1119" t="str">
        <f t="shared" ref="U67:U130" si="15">IF(IF($V67=$A$16,VLOOKUP($W67,$A$2:$E$13,COLUMN(U67)-16,0),L67)=0,"",IF($V67=$A$16,VLOOKUP($W67,$A$2:$E$13,COLUMN(U67)-16,0),L67))</f>
        <v/>
      </c>
      <c r="AD67" s="1638"/>
      <c r="AG67" s="826"/>
      <c r="AH67" s="826"/>
    </row>
    <row r="68" spans="8:34">
      <c r="H68" s="1638"/>
      <c r="Q68" s="1638"/>
      <c r="R68" t="str">
        <f t="shared" si="12"/>
        <v/>
      </c>
      <c r="S68" s="1644" t="str">
        <f t="shared" si="13"/>
        <v/>
      </c>
      <c r="T68" s="1119" t="str">
        <f t="shared" si="14"/>
        <v/>
      </c>
      <c r="U68" s="1119" t="str">
        <f t="shared" si="15"/>
        <v/>
      </c>
      <c r="AD68" s="1638"/>
      <c r="AG68" s="826"/>
      <c r="AH68" s="826"/>
    </row>
    <row r="69" spans="8:34">
      <c r="H69" s="1638"/>
      <c r="Q69" s="1638"/>
      <c r="R69" t="str">
        <f t="shared" si="12"/>
        <v/>
      </c>
      <c r="S69" s="1644" t="str">
        <f t="shared" si="13"/>
        <v/>
      </c>
      <c r="T69" s="1119" t="str">
        <f t="shared" si="14"/>
        <v/>
      </c>
      <c r="U69" s="1119" t="str">
        <f t="shared" si="15"/>
        <v/>
      </c>
      <c r="AD69" s="1638"/>
      <c r="AG69" s="826"/>
      <c r="AH69" s="826"/>
    </row>
    <row r="70" spans="8:34">
      <c r="H70" s="1638"/>
      <c r="Q70" s="1638"/>
      <c r="R70" t="str">
        <f t="shared" si="12"/>
        <v/>
      </c>
      <c r="S70" s="1644" t="str">
        <f t="shared" si="13"/>
        <v/>
      </c>
      <c r="T70" s="1119" t="str">
        <f t="shared" si="14"/>
        <v/>
      </c>
      <c r="U70" s="1119" t="str">
        <f t="shared" si="15"/>
        <v/>
      </c>
      <c r="AD70" s="1638"/>
      <c r="AG70" s="826"/>
      <c r="AH70" s="826"/>
    </row>
    <row r="71" spans="8:34">
      <c r="H71" s="1638"/>
      <c r="Q71" s="1638"/>
      <c r="R71" t="str">
        <f t="shared" si="12"/>
        <v/>
      </c>
      <c r="S71" s="1644" t="str">
        <f t="shared" si="13"/>
        <v/>
      </c>
      <c r="T71" s="1119" t="str">
        <f t="shared" si="14"/>
        <v/>
      </c>
      <c r="U71" s="1119" t="str">
        <f t="shared" si="15"/>
        <v/>
      </c>
      <c r="AD71" s="1638"/>
      <c r="AG71" s="826"/>
      <c r="AH71" s="826"/>
    </row>
    <row r="72" spans="8:34">
      <c r="H72" s="1638"/>
      <c r="Q72" s="1638"/>
      <c r="R72" t="str">
        <f t="shared" si="12"/>
        <v/>
      </c>
      <c r="S72" s="1644" t="str">
        <f t="shared" si="13"/>
        <v/>
      </c>
      <c r="T72" s="1119" t="str">
        <f t="shared" si="14"/>
        <v/>
      </c>
      <c r="U72" s="1119" t="str">
        <f t="shared" si="15"/>
        <v/>
      </c>
      <c r="AD72" s="1638"/>
      <c r="AG72" s="826"/>
      <c r="AH72" s="826"/>
    </row>
    <row r="73" spans="8:34">
      <c r="H73" s="1638"/>
      <c r="Q73" s="1638"/>
      <c r="R73" t="str">
        <f t="shared" si="12"/>
        <v/>
      </c>
      <c r="S73" s="1644" t="str">
        <f t="shared" si="13"/>
        <v/>
      </c>
      <c r="T73" s="1119" t="str">
        <f t="shared" si="14"/>
        <v/>
      </c>
      <c r="U73" s="1119" t="str">
        <f t="shared" si="15"/>
        <v/>
      </c>
      <c r="AD73" s="1638"/>
      <c r="AG73" s="826"/>
      <c r="AH73" s="826"/>
    </row>
    <row r="74" spans="8:34">
      <c r="H74" s="1638"/>
      <c r="Q74" s="1638"/>
      <c r="R74" t="str">
        <f t="shared" si="12"/>
        <v/>
      </c>
      <c r="S74" s="1644" t="str">
        <f t="shared" si="13"/>
        <v/>
      </c>
      <c r="T74" s="1119" t="str">
        <f t="shared" si="14"/>
        <v/>
      </c>
      <c r="U74" s="1119" t="str">
        <f t="shared" si="15"/>
        <v/>
      </c>
      <c r="AD74" s="1638"/>
      <c r="AG74" s="826"/>
      <c r="AH74" s="826"/>
    </row>
    <row r="75" spans="8:34">
      <c r="H75" s="1638"/>
      <c r="Q75" s="1638"/>
      <c r="R75" t="str">
        <f t="shared" si="12"/>
        <v/>
      </c>
      <c r="S75" s="1644" t="str">
        <f t="shared" si="13"/>
        <v/>
      </c>
      <c r="T75" s="1119" t="str">
        <f t="shared" si="14"/>
        <v/>
      </c>
      <c r="U75" s="1119" t="str">
        <f t="shared" si="15"/>
        <v/>
      </c>
      <c r="AD75" s="1638"/>
      <c r="AG75" s="826"/>
      <c r="AH75" s="826"/>
    </row>
    <row r="76" spans="8:34">
      <c r="H76" s="1638"/>
      <c r="Q76" s="1638"/>
      <c r="R76" t="str">
        <f t="shared" si="12"/>
        <v/>
      </c>
      <c r="S76" s="1644" t="str">
        <f t="shared" si="13"/>
        <v/>
      </c>
      <c r="T76" s="1119" t="str">
        <f t="shared" si="14"/>
        <v/>
      </c>
      <c r="U76" s="1119" t="str">
        <f t="shared" si="15"/>
        <v/>
      </c>
      <c r="AD76" s="1638"/>
      <c r="AG76" s="826"/>
      <c r="AH76" s="826"/>
    </row>
    <row r="77" spans="8:34">
      <c r="H77" s="1638"/>
      <c r="Q77" s="1638"/>
      <c r="R77" t="str">
        <f t="shared" si="12"/>
        <v/>
      </c>
      <c r="S77" s="1644" t="str">
        <f t="shared" si="13"/>
        <v/>
      </c>
      <c r="T77" s="1119" t="str">
        <f t="shared" si="14"/>
        <v/>
      </c>
      <c r="U77" s="1119" t="str">
        <f t="shared" si="15"/>
        <v/>
      </c>
      <c r="AD77" s="1638"/>
      <c r="AG77" s="826"/>
      <c r="AH77" s="826"/>
    </row>
    <row r="78" spans="8:34">
      <c r="H78" s="1638"/>
      <c r="Q78" s="1638"/>
      <c r="R78" t="str">
        <f t="shared" si="12"/>
        <v/>
      </c>
      <c r="S78" s="1644" t="str">
        <f t="shared" si="13"/>
        <v/>
      </c>
      <c r="T78" s="1119" t="str">
        <f t="shared" si="14"/>
        <v/>
      </c>
      <c r="U78" s="1119" t="str">
        <f t="shared" si="15"/>
        <v/>
      </c>
      <c r="AD78" s="1638"/>
      <c r="AG78" s="826"/>
      <c r="AH78" s="826"/>
    </row>
    <row r="79" spans="8:34">
      <c r="H79" s="1638"/>
      <c r="Q79" s="1638"/>
      <c r="R79" t="str">
        <f t="shared" si="12"/>
        <v/>
      </c>
      <c r="S79" s="1644" t="str">
        <f t="shared" si="13"/>
        <v/>
      </c>
      <c r="T79" s="1119" t="str">
        <f t="shared" si="14"/>
        <v/>
      </c>
      <c r="U79" s="1119" t="str">
        <f t="shared" si="15"/>
        <v/>
      </c>
      <c r="AD79" s="1638"/>
      <c r="AG79" s="826"/>
      <c r="AH79" s="826"/>
    </row>
    <row r="80" spans="8:34">
      <c r="H80" s="1638"/>
      <c r="Q80" s="1638"/>
      <c r="R80" t="str">
        <f t="shared" si="12"/>
        <v/>
      </c>
      <c r="S80" s="1644" t="str">
        <f t="shared" si="13"/>
        <v/>
      </c>
      <c r="T80" s="1119" t="str">
        <f t="shared" si="14"/>
        <v/>
      </c>
      <c r="U80" s="1119" t="str">
        <f t="shared" si="15"/>
        <v/>
      </c>
      <c r="AD80" s="1638"/>
      <c r="AG80" s="826"/>
      <c r="AH80" s="826"/>
    </row>
    <row r="81" spans="8:34">
      <c r="H81" s="1638"/>
      <c r="Q81" s="1638"/>
      <c r="R81" t="str">
        <f t="shared" si="12"/>
        <v/>
      </c>
      <c r="S81" s="1644" t="str">
        <f t="shared" si="13"/>
        <v/>
      </c>
      <c r="T81" s="1119" t="str">
        <f t="shared" si="14"/>
        <v/>
      </c>
      <c r="U81" s="1119" t="str">
        <f t="shared" si="15"/>
        <v/>
      </c>
      <c r="AD81" s="1638"/>
      <c r="AG81" s="826"/>
      <c r="AH81" s="826"/>
    </row>
    <row r="82" spans="8:34">
      <c r="H82" s="1638"/>
      <c r="Q82" s="1638"/>
      <c r="R82" t="str">
        <f t="shared" si="12"/>
        <v/>
      </c>
      <c r="S82" s="1644" t="str">
        <f t="shared" si="13"/>
        <v/>
      </c>
      <c r="T82" s="1119" t="str">
        <f t="shared" si="14"/>
        <v/>
      </c>
      <c r="U82" s="1119" t="str">
        <f t="shared" si="15"/>
        <v/>
      </c>
      <c r="AD82" s="1638"/>
      <c r="AG82" s="826"/>
      <c r="AH82" s="826"/>
    </row>
    <row r="83" spans="8:34">
      <c r="H83" s="1638"/>
      <c r="Q83" s="1638"/>
      <c r="R83" t="str">
        <f t="shared" si="12"/>
        <v/>
      </c>
      <c r="S83" s="1644" t="str">
        <f t="shared" si="13"/>
        <v/>
      </c>
      <c r="T83" s="1119" t="str">
        <f t="shared" si="14"/>
        <v/>
      </c>
      <c r="U83" s="1119" t="str">
        <f t="shared" si="15"/>
        <v/>
      </c>
      <c r="AD83" s="1638"/>
      <c r="AG83" s="826"/>
      <c r="AH83" s="826"/>
    </row>
    <row r="84" spans="8:34">
      <c r="H84" s="1638"/>
      <c r="Q84" s="1638"/>
      <c r="R84" t="str">
        <f t="shared" si="12"/>
        <v/>
      </c>
      <c r="S84" s="1644" t="str">
        <f t="shared" si="13"/>
        <v/>
      </c>
      <c r="T84" s="1119" t="str">
        <f t="shared" si="14"/>
        <v/>
      </c>
      <c r="U84" s="1119" t="str">
        <f t="shared" si="15"/>
        <v/>
      </c>
      <c r="AD84" s="1638"/>
      <c r="AG84" s="826"/>
      <c r="AH84" s="826"/>
    </row>
    <row r="85" spans="8:34">
      <c r="H85" s="1638"/>
      <c r="Q85" s="1638"/>
      <c r="R85" t="str">
        <f t="shared" si="12"/>
        <v/>
      </c>
      <c r="S85" s="1644" t="str">
        <f t="shared" si="13"/>
        <v/>
      </c>
      <c r="T85" s="1119" t="str">
        <f t="shared" si="14"/>
        <v/>
      </c>
      <c r="U85" s="1119" t="str">
        <f t="shared" si="15"/>
        <v/>
      </c>
      <c r="AD85" s="1638"/>
      <c r="AG85" s="826"/>
      <c r="AH85" s="826"/>
    </row>
    <row r="86" spans="8:34">
      <c r="H86" s="1638"/>
      <c r="Q86" s="1638"/>
      <c r="R86" t="str">
        <f t="shared" si="12"/>
        <v/>
      </c>
      <c r="S86" s="1644" t="str">
        <f t="shared" si="13"/>
        <v/>
      </c>
      <c r="T86" s="1119" t="str">
        <f t="shared" si="14"/>
        <v/>
      </c>
      <c r="U86" s="1119" t="str">
        <f t="shared" si="15"/>
        <v/>
      </c>
      <c r="AD86" s="1638"/>
      <c r="AG86" s="826"/>
      <c r="AH86" s="826"/>
    </row>
    <row r="87" spans="8:34">
      <c r="H87" s="1638"/>
      <c r="Q87" s="1638"/>
      <c r="R87" t="str">
        <f t="shared" si="12"/>
        <v/>
      </c>
      <c r="S87" s="1644" t="str">
        <f t="shared" si="13"/>
        <v/>
      </c>
      <c r="T87" s="1119" t="str">
        <f t="shared" si="14"/>
        <v/>
      </c>
      <c r="U87" s="1119" t="str">
        <f t="shared" si="15"/>
        <v/>
      </c>
      <c r="AD87" s="1638"/>
      <c r="AG87" s="826"/>
      <c r="AH87" s="826"/>
    </row>
    <row r="88" spans="8:34">
      <c r="H88" s="1638"/>
      <c r="Q88" s="1638"/>
      <c r="R88" t="str">
        <f t="shared" si="12"/>
        <v/>
      </c>
      <c r="S88" s="1644" t="str">
        <f t="shared" si="13"/>
        <v/>
      </c>
      <c r="T88" s="1119" t="str">
        <f t="shared" si="14"/>
        <v/>
      </c>
      <c r="U88" s="1119" t="str">
        <f t="shared" si="15"/>
        <v/>
      </c>
      <c r="AD88" s="1638"/>
      <c r="AG88" s="826"/>
      <c r="AH88" s="826"/>
    </row>
    <row r="89" spans="8:34">
      <c r="H89" s="1638"/>
      <c r="Q89" s="1638"/>
      <c r="R89" t="str">
        <f t="shared" si="12"/>
        <v/>
      </c>
      <c r="S89" s="1644" t="str">
        <f t="shared" si="13"/>
        <v/>
      </c>
      <c r="T89" s="1119" t="str">
        <f t="shared" si="14"/>
        <v/>
      </c>
      <c r="U89" s="1119" t="str">
        <f t="shared" si="15"/>
        <v/>
      </c>
      <c r="AD89" s="1638"/>
      <c r="AG89" s="826"/>
      <c r="AH89" s="826"/>
    </row>
    <row r="90" spans="8:34">
      <c r="H90" s="1638"/>
      <c r="Q90" s="1638"/>
      <c r="R90" t="str">
        <f t="shared" si="12"/>
        <v/>
      </c>
      <c r="S90" s="1644" t="str">
        <f t="shared" si="13"/>
        <v/>
      </c>
      <c r="T90" s="1119" t="str">
        <f t="shared" si="14"/>
        <v/>
      </c>
      <c r="U90" s="1119" t="str">
        <f t="shared" si="15"/>
        <v/>
      </c>
      <c r="AD90" s="1638"/>
      <c r="AG90" s="826"/>
      <c r="AH90" s="826"/>
    </row>
    <row r="91" spans="8:34">
      <c r="H91" s="1638"/>
      <c r="Q91" s="1638"/>
      <c r="R91" t="str">
        <f t="shared" si="12"/>
        <v/>
      </c>
      <c r="S91" s="1644" t="str">
        <f t="shared" si="13"/>
        <v/>
      </c>
      <c r="T91" s="1119" t="str">
        <f t="shared" si="14"/>
        <v/>
      </c>
      <c r="U91" s="1119" t="str">
        <f t="shared" si="15"/>
        <v/>
      </c>
      <c r="AD91" s="1638"/>
      <c r="AG91" s="826"/>
      <c r="AH91" s="826"/>
    </row>
    <row r="92" spans="8:34">
      <c r="H92" s="1638"/>
      <c r="Q92" s="1638"/>
      <c r="R92" t="str">
        <f t="shared" si="12"/>
        <v/>
      </c>
      <c r="S92" s="1644" t="str">
        <f t="shared" si="13"/>
        <v/>
      </c>
      <c r="T92" s="1119" t="str">
        <f t="shared" si="14"/>
        <v/>
      </c>
      <c r="U92" s="1119" t="str">
        <f t="shared" si="15"/>
        <v/>
      </c>
      <c r="AD92" s="1638"/>
      <c r="AG92" s="826"/>
      <c r="AH92" s="826"/>
    </row>
    <row r="93" spans="8:34">
      <c r="H93" s="1638"/>
      <c r="Q93" s="1638"/>
      <c r="R93" t="str">
        <f t="shared" si="12"/>
        <v/>
      </c>
      <c r="S93" s="1644" t="str">
        <f t="shared" si="13"/>
        <v/>
      </c>
      <c r="T93" s="1119" t="str">
        <f t="shared" si="14"/>
        <v/>
      </c>
      <c r="U93" s="1119" t="str">
        <f t="shared" si="15"/>
        <v/>
      </c>
      <c r="AD93" s="1638"/>
      <c r="AG93" s="826"/>
      <c r="AH93" s="826"/>
    </row>
    <row r="94" spans="8:34">
      <c r="H94" s="1638"/>
      <c r="Q94" s="1638"/>
      <c r="R94" t="str">
        <f t="shared" si="12"/>
        <v/>
      </c>
      <c r="S94" s="1644" t="str">
        <f t="shared" si="13"/>
        <v/>
      </c>
      <c r="T94" s="1119" t="str">
        <f t="shared" si="14"/>
        <v/>
      </c>
      <c r="U94" s="1119" t="str">
        <f t="shared" si="15"/>
        <v/>
      </c>
      <c r="AD94" s="1638"/>
      <c r="AG94" s="826"/>
      <c r="AH94" s="826"/>
    </row>
    <row r="95" spans="8:34">
      <c r="H95" s="1638"/>
      <c r="Q95" s="1638"/>
      <c r="R95" t="str">
        <f t="shared" si="12"/>
        <v/>
      </c>
      <c r="S95" s="1644" t="str">
        <f t="shared" si="13"/>
        <v/>
      </c>
      <c r="T95" s="1119" t="str">
        <f t="shared" si="14"/>
        <v/>
      </c>
      <c r="U95" s="1119" t="str">
        <f t="shared" si="15"/>
        <v/>
      </c>
      <c r="AD95" s="1638"/>
      <c r="AG95" s="826"/>
      <c r="AH95" s="826"/>
    </row>
    <row r="96" spans="8:34">
      <c r="H96" s="1638"/>
      <c r="Q96" s="1638"/>
      <c r="R96" t="str">
        <f t="shared" si="12"/>
        <v/>
      </c>
      <c r="S96" s="1644" t="str">
        <f t="shared" si="13"/>
        <v/>
      </c>
      <c r="T96" s="1119" t="str">
        <f t="shared" si="14"/>
        <v/>
      </c>
      <c r="U96" s="1119" t="str">
        <f t="shared" si="15"/>
        <v/>
      </c>
      <c r="AD96" s="1638"/>
      <c r="AG96" s="826"/>
      <c r="AH96" s="826"/>
    </row>
    <row r="97" spans="8:34">
      <c r="H97" s="1638"/>
      <c r="Q97" s="1638"/>
      <c r="R97" t="str">
        <f t="shared" si="12"/>
        <v/>
      </c>
      <c r="S97" s="1644" t="str">
        <f t="shared" si="13"/>
        <v/>
      </c>
      <c r="T97" s="1119" t="str">
        <f t="shared" si="14"/>
        <v/>
      </c>
      <c r="U97" s="1119" t="str">
        <f t="shared" si="15"/>
        <v/>
      </c>
      <c r="AD97" s="1638"/>
      <c r="AG97" s="826"/>
      <c r="AH97" s="826"/>
    </row>
    <row r="98" spans="8:34">
      <c r="H98" s="1638"/>
      <c r="Q98" s="1638"/>
      <c r="R98" t="str">
        <f t="shared" si="12"/>
        <v/>
      </c>
      <c r="S98" s="1644" t="str">
        <f t="shared" si="13"/>
        <v/>
      </c>
      <c r="T98" s="1119" t="str">
        <f t="shared" si="14"/>
        <v/>
      </c>
      <c r="U98" s="1119" t="str">
        <f t="shared" si="15"/>
        <v/>
      </c>
      <c r="AD98" s="1638"/>
      <c r="AG98" s="826"/>
      <c r="AH98" s="826"/>
    </row>
    <row r="99" spans="8:34">
      <c r="H99" s="1638"/>
      <c r="Q99" s="1638"/>
      <c r="R99" t="str">
        <f t="shared" si="12"/>
        <v/>
      </c>
      <c r="S99" s="1644" t="str">
        <f t="shared" si="13"/>
        <v/>
      </c>
      <c r="T99" s="1119" t="str">
        <f t="shared" si="14"/>
        <v/>
      </c>
      <c r="U99" s="1119" t="str">
        <f t="shared" si="15"/>
        <v/>
      </c>
      <c r="AD99" s="1638"/>
      <c r="AG99" s="826"/>
      <c r="AH99" s="826"/>
    </row>
    <row r="100" spans="8:34">
      <c r="H100" s="1638"/>
      <c r="Q100" s="1638"/>
      <c r="R100" t="str">
        <f t="shared" si="12"/>
        <v/>
      </c>
      <c r="S100" s="1644" t="str">
        <f t="shared" si="13"/>
        <v/>
      </c>
      <c r="T100" s="1119" t="str">
        <f t="shared" si="14"/>
        <v/>
      </c>
      <c r="U100" s="1119" t="str">
        <f t="shared" si="15"/>
        <v/>
      </c>
      <c r="AD100" s="1638"/>
      <c r="AG100" s="826"/>
      <c r="AH100" s="826"/>
    </row>
    <row r="101" spans="8:34">
      <c r="H101" s="1638"/>
      <c r="Q101" s="1638"/>
      <c r="R101" t="str">
        <f t="shared" si="12"/>
        <v/>
      </c>
      <c r="S101" s="1644" t="str">
        <f t="shared" si="13"/>
        <v/>
      </c>
      <c r="T101" s="1119" t="str">
        <f t="shared" si="14"/>
        <v/>
      </c>
      <c r="U101" s="1119" t="str">
        <f t="shared" si="15"/>
        <v/>
      </c>
      <c r="AD101" s="1638"/>
      <c r="AG101" s="826"/>
      <c r="AH101" s="826"/>
    </row>
    <row r="102" spans="8:34">
      <c r="H102" s="1638"/>
      <c r="Q102" s="1638"/>
      <c r="R102" t="str">
        <f t="shared" si="12"/>
        <v/>
      </c>
      <c r="S102" s="1644" t="str">
        <f t="shared" si="13"/>
        <v/>
      </c>
      <c r="T102" s="1119" t="str">
        <f t="shared" si="14"/>
        <v/>
      </c>
      <c r="U102" s="1119" t="str">
        <f t="shared" si="15"/>
        <v/>
      </c>
      <c r="AD102" s="1638"/>
      <c r="AG102" s="826"/>
      <c r="AH102" s="826"/>
    </row>
    <row r="103" spans="8:34">
      <c r="H103" s="1638"/>
      <c r="Q103" s="1638"/>
      <c r="R103" t="str">
        <f t="shared" si="12"/>
        <v/>
      </c>
      <c r="S103" s="1644" t="str">
        <f t="shared" si="13"/>
        <v/>
      </c>
      <c r="T103" s="1119" t="str">
        <f t="shared" si="14"/>
        <v/>
      </c>
      <c r="U103" s="1119" t="str">
        <f t="shared" si="15"/>
        <v/>
      </c>
      <c r="AD103" s="1638"/>
      <c r="AG103" s="826"/>
      <c r="AH103" s="826"/>
    </row>
    <row r="104" spans="8:34">
      <c r="H104" s="1638"/>
      <c r="Q104" s="1638"/>
      <c r="R104" t="str">
        <f t="shared" si="12"/>
        <v/>
      </c>
      <c r="S104" s="1644" t="str">
        <f t="shared" si="13"/>
        <v/>
      </c>
      <c r="T104" s="1119" t="str">
        <f t="shared" si="14"/>
        <v/>
      </c>
      <c r="U104" s="1119" t="str">
        <f t="shared" si="15"/>
        <v/>
      </c>
      <c r="AD104" s="1638"/>
      <c r="AG104" s="826"/>
      <c r="AH104" s="826"/>
    </row>
    <row r="105" spans="8:34">
      <c r="H105" s="1638"/>
      <c r="Q105" s="1638"/>
      <c r="R105" t="str">
        <f t="shared" si="12"/>
        <v/>
      </c>
      <c r="S105" s="1644" t="str">
        <f t="shared" si="13"/>
        <v/>
      </c>
      <c r="T105" s="1119" t="str">
        <f t="shared" si="14"/>
        <v/>
      </c>
      <c r="U105" s="1119" t="str">
        <f t="shared" si="15"/>
        <v/>
      </c>
      <c r="AD105" s="1638"/>
      <c r="AG105" s="826"/>
      <c r="AH105" s="826"/>
    </row>
    <row r="106" spans="8:34">
      <c r="H106" s="1638"/>
      <c r="Q106" s="1638"/>
      <c r="R106" t="str">
        <f t="shared" si="12"/>
        <v/>
      </c>
      <c r="S106" s="1644" t="str">
        <f t="shared" si="13"/>
        <v/>
      </c>
      <c r="T106" s="1119" t="str">
        <f t="shared" si="14"/>
        <v/>
      </c>
      <c r="U106" s="1119" t="str">
        <f t="shared" si="15"/>
        <v/>
      </c>
      <c r="AD106" s="1638"/>
      <c r="AG106" s="826"/>
      <c r="AH106" s="826"/>
    </row>
    <row r="107" spans="8:34">
      <c r="H107" s="1638"/>
      <c r="Q107" s="1638"/>
      <c r="R107" t="str">
        <f t="shared" si="12"/>
        <v/>
      </c>
      <c r="S107" s="1644" t="str">
        <f t="shared" si="13"/>
        <v/>
      </c>
      <c r="T107" s="1119" t="str">
        <f t="shared" si="14"/>
        <v/>
      </c>
      <c r="U107" s="1119" t="str">
        <f t="shared" si="15"/>
        <v/>
      </c>
      <c r="AD107" s="1638"/>
      <c r="AG107" s="826"/>
      <c r="AH107" s="826"/>
    </row>
    <row r="108" spans="8:34">
      <c r="H108" s="1638"/>
      <c r="Q108" s="1638"/>
      <c r="R108" t="str">
        <f t="shared" si="12"/>
        <v/>
      </c>
      <c r="S108" s="1644" t="str">
        <f t="shared" si="13"/>
        <v/>
      </c>
      <c r="T108" s="1119" t="str">
        <f t="shared" si="14"/>
        <v/>
      </c>
      <c r="U108" s="1119" t="str">
        <f t="shared" si="15"/>
        <v/>
      </c>
      <c r="AD108" s="1638"/>
      <c r="AG108" s="826"/>
      <c r="AH108" s="826"/>
    </row>
    <row r="109" spans="8:34">
      <c r="H109" s="1638"/>
      <c r="Q109" s="1638"/>
      <c r="R109" t="str">
        <f t="shared" si="12"/>
        <v/>
      </c>
      <c r="S109" s="1644" t="str">
        <f t="shared" si="13"/>
        <v/>
      </c>
      <c r="T109" s="1119" t="str">
        <f t="shared" si="14"/>
        <v/>
      </c>
      <c r="U109" s="1119" t="str">
        <f t="shared" si="15"/>
        <v/>
      </c>
      <c r="AD109" s="1638"/>
      <c r="AG109" s="826"/>
      <c r="AH109" s="826"/>
    </row>
    <row r="110" spans="8:34">
      <c r="H110" s="1638"/>
      <c r="Q110" s="1638"/>
      <c r="R110" t="str">
        <f t="shared" si="12"/>
        <v/>
      </c>
      <c r="S110" s="1644" t="str">
        <f t="shared" si="13"/>
        <v/>
      </c>
      <c r="T110" s="1119" t="str">
        <f t="shared" si="14"/>
        <v/>
      </c>
      <c r="U110" s="1119" t="str">
        <f t="shared" si="15"/>
        <v/>
      </c>
      <c r="AD110" s="1638"/>
      <c r="AG110" s="826"/>
      <c r="AH110" s="826"/>
    </row>
    <row r="111" spans="8:34">
      <c r="H111" s="1638"/>
      <c r="Q111" s="1638"/>
      <c r="R111" t="str">
        <f t="shared" si="12"/>
        <v/>
      </c>
      <c r="S111" s="1644" t="str">
        <f t="shared" si="13"/>
        <v/>
      </c>
      <c r="T111" s="1119" t="str">
        <f t="shared" si="14"/>
        <v/>
      </c>
      <c r="U111" s="1119" t="str">
        <f t="shared" si="15"/>
        <v/>
      </c>
      <c r="AD111" s="1638"/>
      <c r="AG111" s="826"/>
      <c r="AH111" s="826"/>
    </row>
    <row r="112" spans="8:34">
      <c r="H112" s="1638"/>
      <c r="Q112" s="1638"/>
      <c r="R112" t="str">
        <f t="shared" si="12"/>
        <v/>
      </c>
      <c r="S112" s="1644" t="str">
        <f t="shared" si="13"/>
        <v/>
      </c>
      <c r="T112" s="1119" t="str">
        <f t="shared" si="14"/>
        <v/>
      </c>
      <c r="U112" s="1119" t="str">
        <f t="shared" si="15"/>
        <v/>
      </c>
      <c r="AD112" s="1638"/>
      <c r="AG112" s="826"/>
      <c r="AH112" s="826"/>
    </row>
    <row r="113" spans="8:34">
      <c r="H113" s="1638"/>
      <c r="Q113" s="1638"/>
      <c r="R113" t="str">
        <f t="shared" si="12"/>
        <v/>
      </c>
      <c r="S113" s="1644" t="str">
        <f t="shared" si="13"/>
        <v/>
      </c>
      <c r="T113" s="1119" t="str">
        <f t="shared" si="14"/>
        <v/>
      </c>
      <c r="U113" s="1119" t="str">
        <f t="shared" si="15"/>
        <v/>
      </c>
      <c r="AD113" s="1638"/>
      <c r="AG113" s="826"/>
      <c r="AH113" s="826"/>
    </row>
    <row r="114" spans="8:34">
      <c r="H114" s="1638"/>
      <c r="Q114" s="1638"/>
      <c r="R114" t="str">
        <f t="shared" si="12"/>
        <v/>
      </c>
      <c r="S114" s="1644" t="str">
        <f t="shared" si="13"/>
        <v/>
      </c>
      <c r="T114" s="1119" t="str">
        <f t="shared" si="14"/>
        <v/>
      </c>
      <c r="U114" s="1119" t="str">
        <f t="shared" si="15"/>
        <v/>
      </c>
      <c r="AD114" s="1638"/>
      <c r="AG114" s="826"/>
      <c r="AH114" s="826"/>
    </row>
    <row r="115" spans="8:34">
      <c r="H115" s="1638"/>
      <c r="Q115" s="1638"/>
      <c r="R115" t="str">
        <f t="shared" si="12"/>
        <v/>
      </c>
      <c r="S115" s="1644" t="str">
        <f t="shared" si="13"/>
        <v/>
      </c>
      <c r="T115" s="1119" t="str">
        <f t="shared" si="14"/>
        <v/>
      </c>
      <c r="U115" s="1119" t="str">
        <f t="shared" si="15"/>
        <v/>
      </c>
      <c r="AD115" s="1638"/>
      <c r="AG115" s="826"/>
      <c r="AH115" s="826"/>
    </row>
    <row r="116" spans="8:34">
      <c r="H116" s="1638"/>
      <c r="Q116" s="1638"/>
      <c r="R116" t="str">
        <f t="shared" si="12"/>
        <v/>
      </c>
      <c r="S116" s="1644" t="str">
        <f t="shared" si="13"/>
        <v/>
      </c>
      <c r="T116" s="1119" t="str">
        <f t="shared" si="14"/>
        <v/>
      </c>
      <c r="U116" s="1119" t="str">
        <f t="shared" si="15"/>
        <v/>
      </c>
      <c r="AD116" s="1638"/>
      <c r="AG116" s="826"/>
      <c r="AH116" s="826"/>
    </row>
    <row r="117" spans="8:34">
      <c r="H117" s="1638"/>
      <c r="Q117" s="1638"/>
      <c r="R117" t="str">
        <f t="shared" si="12"/>
        <v/>
      </c>
      <c r="S117" s="1644" t="str">
        <f t="shared" si="13"/>
        <v/>
      </c>
      <c r="T117" s="1119" t="str">
        <f t="shared" si="14"/>
        <v/>
      </c>
      <c r="U117" s="1119" t="str">
        <f t="shared" si="15"/>
        <v/>
      </c>
      <c r="AD117" s="1638"/>
      <c r="AG117" s="826"/>
      <c r="AH117" s="826"/>
    </row>
    <row r="118" spans="8:34">
      <c r="H118" s="1638"/>
      <c r="Q118" s="1638"/>
      <c r="R118" t="str">
        <f t="shared" si="12"/>
        <v/>
      </c>
      <c r="S118" s="1644" t="str">
        <f t="shared" si="13"/>
        <v/>
      </c>
      <c r="T118" s="1119" t="str">
        <f t="shared" si="14"/>
        <v/>
      </c>
      <c r="U118" s="1119" t="str">
        <f t="shared" si="15"/>
        <v/>
      </c>
      <c r="AD118" s="1638"/>
      <c r="AG118" s="826"/>
      <c r="AH118" s="826"/>
    </row>
    <row r="119" spans="8:34">
      <c r="H119" s="1638"/>
      <c r="Q119" s="1638"/>
      <c r="R119" t="str">
        <f t="shared" si="12"/>
        <v/>
      </c>
      <c r="S119" s="1644" t="str">
        <f t="shared" si="13"/>
        <v/>
      </c>
      <c r="T119" s="1119" t="str">
        <f t="shared" si="14"/>
        <v/>
      </c>
      <c r="U119" s="1119" t="str">
        <f t="shared" si="15"/>
        <v/>
      </c>
      <c r="AD119" s="1638"/>
      <c r="AG119" s="826"/>
      <c r="AH119" s="826"/>
    </row>
    <row r="120" spans="8:34">
      <c r="H120" s="1638"/>
      <c r="Q120" s="1638"/>
      <c r="R120" t="str">
        <f t="shared" si="12"/>
        <v/>
      </c>
      <c r="S120" s="1644" t="str">
        <f t="shared" si="13"/>
        <v/>
      </c>
      <c r="T120" s="1119" t="str">
        <f t="shared" si="14"/>
        <v/>
      </c>
      <c r="U120" s="1119" t="str">
        <f t="shared" si="15"/>
        <v/>
      </c>
      <c r="AD120" s="1638"/>
      <c r="AG120" s="826"/>
      <c r="AH120" s="826"/>
    </row>
    <row r="121" spans="8:34">
      <c r="H121" s="1638"/>
      <c r="Q121" s="1638"/>
      <c r="R121" t="str">
        <f t="shared" si="12"/>
        <v/>
      </c>
      <c r="S121" s="1644" t="str">
        <f t="shared" si="13"/>
        <v/>
      </c>
      <c r="T121" s="1119" t="str">
        <f t="shared" si="14"/>
        <v/>
      </c>
      <c r="U121" s="1119" t="str">
        <f t="shared" si="15"/>
        <v/>
      </c>
      <c r="AD121" s="1638"/>
      <c r="AG121" s="826"/>
      <c r="AH121" s="826"/>
    </row>
    <row r="122" spans="8:34">
      <c r="R122" t="str">
        <f t="shared" si="12"/>
        <v/>
      </c>
      <c r="S122" s="1644" t="str">
        <f t="shared" si="13"/>
        <v/>
      </c>
      <c r="T122" s="1119" t="str">
        <f t="shared" si="14"/>
        <v/>
      </c>
      <c r="U122" s="1119" t="str">
        <f t="shared" si="15"/>
        <v/>
      </c>
    </row>
    <row r="123" spans="8:34">
      <c r="R123" t="str">
        <f t="shared" si="12"/>
        <v/>
      </c>
      <c r="S123" s="1644" t="str">
        <f t="shared" si="13"/>
        <v/>
      </c>
      <c r="T123" s="1119" t="str">
        <f t="shared" si="14"/>
        <v/>
      </c>
      <c r="U123" s="1119" t="str">
        <f t="shared" si="15"/>
        <v/>
      </c>
    </row>
    <row r="124" spans="8:34">
      <c r="R124" t="str">
        <f t="shared" si="12"/>
        <v/>
      </c>
      <c r="S124" s="1644" t="str">
        <f t="shared" si="13"/>
        <v/>
      </c>
      <c r="T124" s="1119" t="str">
        <f t="shared" si="14"/>
        <v/>
      </c>
      <c r="U124" s="1119" t="str">
        <f t="shared" si="15"/>
        <v/>
      </c>
    </row>
    <row r="125" spans="8:34">
      <c r="R125" t="str">
        <f t="shared" si="12"/>
        <v/>
      </c>
      <c r="S125" s="1644" t="str">
        <f t="shared" si="13"/>
        <v/>
      </c>
      <c r="T125" s="1119" t="str">
        <f t="shared" si="14"/>
        <v/>
      </c>
      <c r="U125" s="1119" t="str">
        <f t="shared" si="15"/>
        <v/>
      </c>
    </row>
    <row r="126" spans="8:34">
      <c r="R126" t="str">
        <f t="shared" si="12"/>
        <v/>
      </c>
      <c r="S126" s="1644" t="str">
        <f t="shared" si="13"/>
        <v/>
      </c>
      <c r="T126" s="1119" t="str">
        <f t="shared" si="14"/>
        <v/>
      </c>
      <c r="U126" s="1119" t="str">
        <f t="shared" si="15"/>
        <v/>
      </c>
    </row>
    <row r="127" spans="8:34">
      <c r="R127" t="str">
        <f t="shared" si="12"/>
        <v/>
      </c>
      <c r="S127" s="1644" t="str">
        <f t="shared" si="13"/>
        <v/>
      </c>
      <c r="T127" s="1119" t="str">
        <f t="shared" si="14"/>
        <v/>
      </c>
      <c r="U127" s="1119" t="str">
        <f t="shared" si="15"/>
        <v/>
      </c>
    </row>
    <row r="128" spans="8:34">
      <c r="R128" t="str">
        <f t="shared" si="12"/>
        <v/>
      </c>
      <c r="S128" s="1644" t="str">
        <f t="shared" si="13"/>
        <v/>
      </c>
      <c r="T128" s="1119" t="str">
        <f t="shared" si="14"/>
        <v/>
      </c>
      <c r="U128" s="1119" t="str">
        <f t="shared" si="15"/>
        <v/>
      </c>
    </row>
    <row r="129" spans="18:21">
      <c r="R129" t="str">
        <f t="shared" si="12"/>
        <v/>
      </c>
      <c r="S129" s="1644" t="str">
        <f t="shared" si="13"/>
        <v/>
      </c>
      <c r="T129" s="1119" t="str">
        <f t="shared" si="14"/>
        <v/>
      </c>
      <c r="U129" s="1119" t="str">
        <f t="shared" si="15"/>
        <v/>
      </c>
    </row>
    <row r="130" spans="18:21">
      <c r="R130" t="str">
        <f t="shared" si="12"/>
        <v/>
      </c>
      <c r="S130" s="1644" t="str">
        <f t="shared" si="13"/>
        <v/>
      </c>
      <c r="T130" s="1119" t="str">
        <f t="shared" si="14"/>
        <v/>
      </c>
      <c r="U130" s="1119" t="str">
        <f t="shared" si="15"/>
        <v/>
      </c>
    </row>
    <row r="131" spans="18:21">
      <c r="R131" t="str">
        <f t="shared" ref="R131:R180" si="16">IF(IF($V131=$A$16,VLOOKUP($W131,$A$2:$E$13,COLUMN(R131)-16,0),I131)=0,"", IF($V131=$A$16,VLOOKUP($W131,$A$2:$E$13,COLUMN(R131)-16,0),I131))</f>
        <v/>
      </c>
      <c r="S131" s="1644" t="str">
        <f t="shared" ref="S131:S180" si="17">IF(IF($V131=$A$16,VLOOKUP($W131,$A$2:$E$13,COLUMN(S131)-16,0),J131)=0,"",IF($V131=$A$16,VLOOKUP($W131,$A$2:$E$13,COLUMN(S131)-16,0),J131))</f>
        <v/>
      </c>
      <c r="T131" s="1119" t="str">
        <f t="shared" ref="T131:T180" si="18">IF(IF($V131=$A$16,VLOOKUP($W131,$A$2:$E$13,COLUMN(T131)-16,0),K131)=0,"",IF($V131=$A$16,VLOOKUP($W131,$A$2:$E$13,COLUMN(T131)-16,0),K131))</f>
        <v/>
      </c>
      <c r="U131" s="1119" t="str">
        <f t="shared" ref="U131:U180" si="19">IF(IF($V131=$A$16,VLOOKUP($W131,$A$2:$E$13,COLUMN(U131)-16,0),L131)=0,"",IF($V131=$A$16,VLOOKUP($W131,$A$2:$E$13,COLUMN(U131)-16,0),L131))</f>
        <v/>
      </c>
    </row>
    <row r="132" spans="18:21">
      <c r="R132" t="str">
        <f t="shared" si="16"/>
        <v/>
      </c>
      <c r="S132" s="1644" t="str">
        <f t="shared" si="17"/>
        <v/>
      </c>
      <c r="T132" s="1119" t="str">
        <f t="shared" si="18"/>
        <v/>
      </c>
      <c r="U132" s="1119" t="str">
        <f t="shared" si="19"/>
        <v/>
      </c>
    </row>
    <row r="133" spans="18:21">
      <c r="R133" t="str">
        <f t="shared" si="16"/>
        <v/>
      </c>
      <c r="S133" s="1644" t="str">
        <f t="shared" si="17"/>
        <v/>
      </c>
      <c r="T133" s="1119" t="str">
        <f t="shared" si="18"/>
        <v/>
      </c>
      <c r="U133" s="1119" t="str">
        <f t="shared" si="19"/>
        <v/>
      </c>
    </row>
    <row r="134" spans="18:21">
      <c r="R134" t="str">
        <f t="shared" si="16"/>
        <v/>
      </c>
      <c r="S134" s="1644" t="str">
        <f t="shared" si="17"/>
        <v/>
      </c>
      <c r="T134" s="1119" t="str">
        <f t="shared" si="18"/>
        <v/>
      </c>
      <c r="U134" s="1119" t="str">
        <f t="shared" si="19"/>
        <v/>
      </c>
    </row>
    <row r="135" spans="18:21">
      <c r="R135" t="str">
        <f t="shared" si="16"/>
        <v/>
      </c>
      <c r="S135" s="1644" t="str">
        <f t="shared" si="17"/>
        <v/>
      </c>
      <c r="T135" s="1119" t="str">
        <f t="shared" si="18"/>
        <v/>
      </c>
      <c r="U135" s="1119" t="str">
        <f t="shared" si="19"/>
        <v/>
      </c>
    </row>
    <row r="136" spans="18:21">
      <c r="R136" t="str">
        <f t="shared" si="16"/>
        <v/>
      </c>
      <c r="S136" s="1644" t="str">
        <f t="shared" si="17"/>
        <v/>
      </c>
      <c r="T136" s="1119" t="str">
        <f t="shared" si="18"/>
        <v/>
      </c>
      <c r="U136" s="1119" t="str">
        <f t="shared" si="19"/>
        <v/>
      </c>
    </row>
    <row r="137" spans="18:21">
      <c r="R137" t="str">
        <f t="shared" si="16"/>
        <v/>
      </c>
      <c r="S137" s="1644" t="str">
        <f t="shared" si="17"/>
        <v/>
      </c>
      <c r="T137" s="1119" t="str">
        <f t="shared" si="18"/>
        <v/>
      </c>
      <c r="U137" s="1119" t="str">
        <f t="shared" si="19"/>
        <v/>
      </c>
    </row>
    <row r="138" spans="18:21">
      <c r="R138" t="str">
        <f t="shared" si="16"/>
        <v/>
      </c>
      <c r="S138" s="1644" t="str">
        <f t="shared" si="17"/>
        <v/>
      </c>
      <c r="T138" s="1119" t="str">
        <f t="shared" si="18"/>
        <v/>
      </c>
      <c r="U138" s="1119" t="str">
        <f t="shared" si="19"/>
        <v/>
      </c>
    </row>
    <row r="139" spans="18:21">
      <c r="R139" t="str">
        <f t="shared" si="16"/>
        <v/>
      </c>
      <c r="S139" s="1644" t="str">
        <f t="shared" si="17"/>
        <v/>
      </c>
      <c r="T139" s="1119" t="str">
        <f t="shared" si="18"/>
        <v/>
      </c>
      <c r="U139" s="1119" t="str">
        <f t="shared" si="19"/>
        <v/>
      </c>
    </row>
    <row r="140" spans="18:21">
      <c r="R140" t="str">
        <f t="shared" si="16"/>
        <v/>
      </c>
      <c r="S140" s="1644" t="str">
        <f t="shared" si="17"/>
        <v/>
      </c>
      <c r="T140" s="1119" t="str">
        <f t="shared" si="18"/>
        <v/>
      </c>
      <c r="U140" s="1119" t="str">
        <f t="shared" si="19"/>
        <v/>
      </c>
    </row>
    <row r="141" spans="18:21">
      <c r="R141" t="str">
        <f t="shared" si="16"/>
        <v/>
      </c>
      <c r="S141" s="1644" t="str">
        <f t="shared" si="17"/>
        <v/>
      </c>
      <c r="T141" s="1119" t="str">
        <f t="shared" si="18"/>
        <v/>
      </c>
      <c r="U141" s="1119" t="str">
        <f t="shared" si="19"/>
        <v/>
      </c>
    </row>
    <row r="142" spans="18:21">
      <c r="R142" t="str">
        <f t="shared" si="16"/>
        <v/>
      </c>
      <c r="S142" s="1644" t="str">
        <f t="shared" si="17"/>
        <v/>
      </c>
      <c r="T142" s="1119" t="str">
        <f t="shared" si="18"/>
        <v/>
      </c>
      <c r="U142" s="1119" t="str">
        <f t="shared" si="19"/>
        <v/>
      </c>
    </row>
    <row r="143" spans="18:21">
      <c r="R143" t="str">
        <f t="shared" si="16"/>
        <v/>
      </c>
      <c r="S143" s="1644" t="str">
        <f t="shared" si="17"/>
        <v/>
      </c>
      <c r="T143" s="1119" t="str">
        <f t="shared" si="18"/>
        <v/>
      </c>
      <c r="U143" s="1119" t="str">
        <f t="shared" si="19"/>
        <v/>
      </c>
    </row>
    <row r="144" spans="18:21">
      <c r="R144" t="str">
        <f t="shared" si="16"/>
        <v/>
      </c>
      <c r="S144" s="1644" t="str">
        <f t="shared" si="17"/>
        <v/>
      </c>
      <c r="T144" s="1119" t="str">
        <f t="shared" si="18"/>
        <v/>
      </c>
      <c r="U144" s="1119" t="str">
        <f t="shared" si="19"/>
        <v/>
      </c>
    </row>
    <row r="145" spans="18:21">
      <c r="R145" t="str">
        <f t="shared" si="16"/>
        <v/>
      </c>
      <c r="S145" s="1644" t="str">
        <f t="shared" si="17"/>
        <v/>
      </c>
      <c r="T145" s="1119" t="str">
        <f t="shared" si="18"/>
        <v/>
      </c>
      <c r="U145" s="1119" t="str">
        <f t="shared" si="19"/>
        <v/>
      </c>
    </row>
    <row r="146" spans="18:21">
      <c r="R146" t="str">
        <f t="shared" si="16"/>
        <v/>
      </c>
      <c r="S146" s="1644" t="str">
        <f t="shared" si="17"/>
        <v/>
      </c>
      <c r="T146" s="1119" t="str">
        <f t="shared" si="18"/>
        <v/>
      </c>
      <c r="U146" s="1119" t="str">
        <f t="shared" si="19"/>
        <v/>
      </c>
    </row>
    <row r="147" spans="18:21">
      <c r="R147" t="str">
        <f t="shared" si="16"/>
        <v/>
      </c>
      <c r="S147" s="1644" t="str">
        <f t="shared" si="17"/>
        <v/>
      </c>
      <c r="T147" s="1119" t="str">
        <f t="shared" si="18"/>
        <v/>
      </c>
      <c r="U147" s="1119" t="str">
        <f t="shared" si="19"/>
        <v/>
      </c>
    </row>
    <row r="148" spans="18:21">
      <c r="R148" t="str">
        <f t="shared" si="16"/>
        <v/>
      </c>
      <c r="S148" s="1644" t="str">
        <f t="shared" si="17"/>
        <v/>
      </c>
      <c r="T148" s="1119" t="str">
        <f t="shared" si="18"/>
        <v/>
      </c>
      <c r="U148" s="1119" t="str">
        <f t="shared" si="19"/>
        <v/>
      </c>
    </row>
    <row r="149" spans="18:21">
      <c r="R149" t="str">
        <f t="shared" si="16"/>
        <v/>
      </c>
      <c r="S149" s="1644" t="str">
        <f t="shared" si="17"/>
        <v/>
      </c>
      <c r="T149" s="1119" t="str">
        <f t="shared" si="18"/>
        <v/>
      </c>
      <c r="U149" s="1119" t="str">
        <f t="shared" si="19"/>
        <v/>
      </c>
    </row>
    <row r="150" spans="18:21">
      <c r="R150" t="str">
        <f t="shared" si="16"/>
        <v/>
      </c>
      <c r="S150" s="1644" t="str">
        <f t="shared" si="17"/>
        <v/>
      </c>
      <c r="T150" s="1119" t="str">
        <f t="shared" si="18"/>
        <v/>
      </c>
      <c r="U150" s="1119" t="str">
        <f t="shared" si="19"/>
        <v/>
      </c>
    </row>
    <row r="151" spans="18:21">
      <c r="R151" t="str">
        <f t="shared" si="16"/>
        <v/>
      </c>
      <c r="S151" s="1644" t="str">
        <f t="shared" si="17"/>
        <v/>
      </c>
      <c r="T151" s="1119" t="str">
        <f t="shared" si="18"/>
        <v/>
      </c>
      <c r="U151" s="1119" t="str">
        <f t="shared" si="19"/>
        <v/>
      </c>
    </row>
    <row r="152" spans="18:21">
      <c r="R152" t="str">
        <f t="shared" si="16"/>
        <v/>
      </c>
      <c r="S152" s="1644" t="str">
        <f t="shared" si="17"/>
        <v/>
      </c>
      <c r="T152" s="1119" t="str">
        <f t="shared" si="18"/>
        <v/>
      </c>
      <c r="U152" s="1119" t="str">
        <f t="shared" si="19"/>
        <v/>
      </c>
    </row>
    <row r="153" spans="18:21">
      <c r="R153" t="str">
        <f t="shared" si="16"/>
        <v/>
      </c>
      <c r="S153" s="1644" t="str">
        <f t="shared" si="17"/>
        <v/>
      </c>
      <c r="T153" s="1119" t="str">
        <f t="shared" si="18"/>
        <v/>
      </c>
      <c r="U153" s="1119" t="str">
        <f t="shared" si="19"/>
        <v/>
      </c>
    </row>
    <row r="154" spans="18:21">
      <c r="R154" t="str">
        <f t="shared" si="16"/>
        <v/>
      </c>
      <c r="S154" s="1644" t="str">
        <f t="shared" si="17"/>
        <v/>
      </c>
      <c r="T154" s="1119" t="str">
        <f t="shared" si="18"/>
        <v/>
      </c>
      <c r="U154" s="1119" t="str">
        <f t="shared" si="19"/>
        <v/>
      </c>
    </row>
    <row r="155" spans="18:21">
      <c r="R155" t="str">
        <f t="shared" si="16"/>
        <v/>
      </c>
      <c r="S155" s="1644" t="str">
        <f t="shared" si="17"/>
        <v/>
      </c>
      <c r="T155" s="1119" t="str">
        <f t="shared" si="18"/>
        <v/>
      </c>
      <c r="U155" s="1119" t="str">
        <f t="shared" si="19"/>
        <v/>
      </c>
    </row>
    <row r="156" spans="18:21">
      <c r="R156" t="str">
        <f t="shared" si="16"/>
        <v/>
      </c>
      <c r="S156" s="1644" t="str">
        <f t="shared" si="17"/>
        <v/>
      </c>
      <c r="T156" s="1119" t="str">
        <f t="shared" si="18"/>
        <v/>
      </c>
      <c r="U156" s="1119" t="str">
        <f t="shared" si="19"/>
        <v/>
      </c>
    </row>
    <row r="157" spans="18:21">
      <c r="R157" t="str">
        <f t="shared" si="16"/>
        <v/>
      </c>
      <c r="S157" s="1644" t="str">
        <f t="shared" si="17"/>
        <v/>
      </c>
      <c r="T157" s="1119" t="str">
        <f t="shared" si="18"/>
        <v/>
      </c>
      <c r="U157" s="1119" t="str">
        <f t="shared" si="19"/>
        <v/>
      </c>
    </row>
    <row r="158" spans="18:21">
      <c r="R158" t="str">
        <f t="shared" si="16"/>
        <v/>
      </c>
      <c r="S158" s="1644" t="str">
        <f t="shared" si="17"/>
        <v/>
      </c>
      <c r="T158" s="1119" t="str">
        <f t="shared" si="18"/>
        <v/>
      </c>
      <c r="U158" s="1119" t="str">
        <f t="shared" si="19"/>
        <v/>
      </c>
    </row>
    <row r="159" spans="18:21">
      <c r="R159" t="str">
        <f t="shared" si="16"/>
        <v/>
      </c>
      <c r="S159" s="1644" t="str">
        <f t="shared" si="17"/>
        <v/>
      </c>
      <c r="T159" s="1119" t="str">
        <f t="shared" si="18"/>
        <v/>
      </c>
      <c r="U159" s="1119" t="str">
        <f t="shared" si="19"/>
        <v/>
      </c>
    </row>
    <row r="160" spans="18:21">
      <c r="R160" t="str">
        <f t="shared" si="16"/>
        <v/>
      </c>
      <c r="S160" s="1644" t="str">
        <f t="shared" si="17"/>
        <v/>
      </c>
      <c r="T160" s="1119" t="str">
        <f t="shared" si="18"/>
        <v/>
      </c>
      <c r="U160" s="1119" t="str">
        <f t="shared" si="19"/>
        <v/>
      </c>
    </row>
    <row r="161" spans="18:21">
      <c r="R161" t="str">
        <f t="shared" si="16"/>
        <v/>
      </c>
      <c r="S161" s="1644" t="str">
        <f t="shared" si="17"/>
        <v/>
      </c>
      <c r="T161" s="1119" t="str">
        <f t="shared" si="18"/>
        <v/>
      </c>
      <c r="U161" s="1119" t="str">
        <f t="shared" si="19"/>
        <v/>
      </c>
    </row>
    <row r="162" spans="18:21">
      <c r="R162" t="str">
        <f t="shared" si="16"/>
        <v/>
      </c>
      <c r="S162" s="1644" t="str">
        <f t="shared" si="17"/>
        <v/>
      </c>
      <c r="T162" s="1119" t="str">
        <f t="shared" si="18"/>
        <v/>
      </c>
      <c r="U162" s="1119" t="str">
        <f t="shared" si="19"/>
        <v/>
      </c>
    </row>
    <row r="163" spans="18:21">
      <c r="R163" t="str">
        <f t="shared" si="16"/>
        <v/>
      </c>
      <c r="S163" s="1644" t="str">
        <f t="shared" si="17"/>
        <v/>
      </c>
      <c r="T163" s="1119" t="str">
        <f t="shared" si="18"/>
        <v/>
      </c>
      <c r="U163" s="1119" t="str">
        <f t="shared" si="19"/>
        <v/>
      </c>
    </row>
    <row r="164" spans="18:21">
      <c r="R164" t="str">
        <f t="shared" si="16"/>
        <v/>
      </c>
      <c r="S164" s="1644" t="str">
        <f t="shared" si="17"/>
        <v/>
      </c>
      <c r="T164" s="1119" t="str">
        <f t="shared" si="18"/>
        <v/>
      </c>
      <c r="U164" s="1119" t="str">
        <f t="shared" si="19"/>
        <v/>
      </c>
    </row>
    <row r="165" spans="18:21">
      <c r="R165" t="str">
        <f t="shared" si="16"/>
        <v/>
      </c>
      <c r="S165" s="1644" t="str">
        <f t="shared" si="17"/>
        <v/>
      </c>
      <c r="T165" s="1119" t="str">
        <f t="shared" si="18"/>
        <v/>
      </c>
      <c r="U165" s="1119" t="str">
        <f t="shared" si="19"/>
        <v/>
      </c>
    </row>
    <row r="166" spans="18:21">
      <c r="R166" t="str">
        <f t="shared" si="16"/>
        <v/>
      </c>
      <c r="S166" s="1644" t="str">
        <f t="shared" si="17"/>
        <v/>
      </c>
      <c r="T166" s="1119" t="str">
        <f t="shared" si="18"/>
        <v/>
      </c>
      <c r="U166" s="1119" t="str">
        <f t="shared" si="19"/>
        <v/>
      </c>
    </row>
    <row r="167" spans="18:21">
      <c r="R167" t="str">
        <f t="shared" si="16"/>
        <v/>
      </c>
      <c r="S167" s="1644" t="str">
        <f t="shared" si="17"/>
        <v/>
      </c>
      <c r="T167" s="1119" t="str">
        <f t="shared" si="18"/>
        <v/>
      </c>
      <c r="U167" s="1119" t="str">
        <f t="shared" si="19"/>
        <v/>
      </c>
    </row>
    <row r="168" spans="18:21">
      <c r="R168" t="str">
        <f t="shared" si="16"/>
        <v/>
      </c>
      <c r="S168" s="1644" t="str">
        <f t="shared" si="17"/>
        <v/>
      </c>
      <c r="T168" s="1119" t="str">
        <f t="shared" si="18"/>
        <v/>
      </c>
      <c r="U168" s="1119" t="str">
        <f t="shared" si="19"/>
        <v/>
      </c>
    </row>
    <row r="169" spans="18:21">
      <c r="R169" t="str">
        <f t="shared" si="16"/>
        <v/>
      </c>
      <c r="S169" s="1644" t="str">
        <f t="shared" si="17"/>
        <v/>
      </c>
      <c r="T169" s="1119" t="str">
        <f t="shared" si="18"/>
        <v/>
      </c>
      <c r="U169" s="1119" t="str">
        <f t="shared" si="19"/>
        <v/>
      </c>
    </row>
    <row r="170" spans="18:21">
      <c r="R170" t="str">
        <f t="shared" si="16"/>
        <v/>
      </c>
      <c r="S170" s="1644" t="str">
        <f t="shared" si="17"/>
        <v/>
      </c>
      <c r="T170" s="1119" t="str">
        <f t="shared" si="18"/>
        <v/>
      </c>
      <c r="U170" s="1119" t="str">
        <f t="shared" si="19"/>
        <v/>
      </c>
    </row>
    <row r="171" spans="18:21">
      <c r="R171" t="str">
        <f t="shared" si="16"/>
        <v/>
      </c>
      <c r="S171" s="1644" t="str">
        <f t="shared" si="17"/>
        <v/>
      </c>
      <c r="T171" s="1119" t="str">
        <f t="shared" si="18"/>
        <v/>
      </c>
      <c r="U171" s="1119" t="str">
        <f t="shared" si="19"/>
        <v/>
      </c>
    </row>
    <row r="172" spans="18:21">
      <c r="R172" t="str">
        <f t="shared" si="16"/>
        <v/>
      </c>
      <c r="S172" s="1644" t="str">
        <f t="shared" si="17"/>
        <v/>
      </c>
      <c r="T172" s="1119" t="str">
        <f t="shared" si="18"/>
        <v/>
      </c>
      <c r="U172" s="1119" t="str">
        <f t="shared" si="19"/>
        <v/>
      </c>
    </row>
    <row r="173" spans="18:21">
      <c r="R173" t="str">
        <f t="shared" si="16"/>
        <v/>
      </c>
      <c r="S173" s="1644" t="str">
        <f t="shared" si="17"/>
        <v/>
      </c>
      <c r="T173" s="1119" t="str">
        <f t="shared" si="18"/>
        <v/>
      </c>
      <c r="U173" s="1119" t="str">
        <f t="shared" si="19"/>
        <v/>
      </c>
    </row>
    <row r="174" spans="18:21">
      <c r="R174" t="str">
        <f t="shared" si="16"/>
        <v/>
      </c>
      <c r="S174" s="1644" t="str">
        <f t="shared" si="17"/>
        <v/>
      </c>
      <c r="T174" s="1119" t="str">
        <f t="shared" si="18"/>
        <v/>
      </c>
      <c r="U174" s="1119" t="str">
        <f t="shared" si="19"/>
        <v/>
      </c>
    </row>
    <row r="175" spans="18:21">
      <c r="R175" t="str">
        <f t="shared" si="16"/>
        <v/>
      </c>
      <c r="S175" s="1644" t="str">
        <f t="shared" si="17"/>
        <v/>
      </c>
      <c r="T175" s="1119" t="str">
        <f t="shared" si="18"/>
        <v/>
      </c>
      <c r="U175" s="1119" t="str">
        <f t="shared" si="19"/>
        <v/>
      </c>
    </row>
    <row r="176" spans="18:21">
      <c r="R176" t="str">
        <f t="shared" si="16"/>
        <v/>
      </c>
      <c r="S176" s="1644" t="str">
        <f t="shared" si="17"/>
        <v/>
      </c>
      <c r="T176" s="1119" t="str">
        <f t="shared" si="18"/>
        <v/>
      </c>
      <c r="U176" s="1119" t="str">
        <f t="shared" si="19"/>
        <v/>
      </c>
    </row>
    <row r="177" spans="18:21">
      <c r="R177" t="str">
        <f t="shared" si="16"/>
        <v/>
      </c>
      <c r="S177" s="1644" t="str">
        <f t="shared" si="17"/>
        <v/>
      </c>
      <c r="T177" s="1119" t="str">
        <f t="shared" si="18"/>
        <v/>
      </c>
      <c r="U177" s="1119" t="str">
        <f t="shared" si="19"/>
        <v/>
      </c>
    </row>
    <row r="178" spans="18:21">
      <c r="R178" t="str">
        <f t="shared" si="16"/>
        <v/>
      </c>
      <c r="S178" s="1644" t="str">
        <f t="shared" si="17"/>
        <v/>
      </c>
      <c r="T178" s="1119" t="str">
        <f t="shared" si="18"/>
        <v/>
      </c>
      <c r="U178" s="1119" t="str">
        <f t="shared" si="19"/>
        <v/>
      </c>
    </row>
    <row r="179" spans="18:21">
      <c r="R179" t="str">
        <f t="shared" si="16"/>
        <v/>
      </c>
      <c r="S179" s="1644" t="str">
        <f t="shared" si="17"/>
        <v/>
      </c>
      <c r="T179" s="1119" t="str">
        <f t="shared" si="18"/>
        <v/>
      </c>
      <c r="U179" s="1119" t="str">
        <f t="shared" si="19"/>
        <v/>
      </c>
    </row>
    <row r="180" spans="18:21">
      <c r="R180" t="str">
        <f t="shared" si="16"/>
        <v/>
      </c>
      <c r="S180" s="1644" t="str">
        <f t="shared" si="17"/>
        <v/>
      </c>
      <c r="T180" s="1119" t="str">
        <f t="shared" si="18"/>
        <v/>
      </c>
      <c r="U180" s="1119" t="str">
        <f t="shared" si="19"/>
        <v/>
      </c>
    </row>
  </sheetData>
  <phoneticPr fontId="5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上一頁_Click">
                <anchor moveWithCells="1" sizeWithCells="1">
                  <from>
                    <xdr:col>0</xdr:col>
                    <xdr:colOff>990600</xdr:colOff>
                    <xdr:row>18</xdr:row>
                    <xdr:rowOff>114300</xdr:rowOff>
                  </from>
                  <to>
                    <xdr:col>1</xdr:col>
                    <xdr:colOff>431800</xdr:colOff>
                    <xdr:row>20</xdr:row>
                    <xdr:rowOff>127000</xdr:rowOff>
                  </to>
                </anchor>
              </controlPr>
            </control>
          </mc:Choice>
        </mc:AlternateContent>
        <mc:AlternateContent xmlns:mc="http://schemas.openxmlformats.org/markup-compatibility/2006">
          <mc:Choice Requires="x14">
            <control shapeId="37890" r:id="rId5" name="Button 2">
              <controlPr defaultSize="0" print="0" autoFill="0" autoPict="0" macro="[0]!下一頁_Click">
                <anchor moveWithCells="1" sizeWithCells="1">
                  <from>
                    <xdr:col>1</xdr:col>
                    <xdr:colOff>609600</xdr:colOff>
                    <xdr:row>18</xdr:row>
                    <xdr:rowOff>114300</xdr:rowOff>
                  </from>
                  <to>
                    <xdr:col>2</xdr:col>
                    <xdr:colOff>546100</xdr:colOff>
                    <xdr:row>20</xdr:row>
                    <xdr:rowOff>133350</xdr:rowOff>
                  </to>
                </anchor>
              </controlPr>
            </control>
          </mc:Choice>
        </mc:AlternateContent>
      </controls>
    </mc:Choice>
  </mc:AlternateContent>
  <tableParts count="1">
    <tablePart r:id="rId6"/>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工作表30">
    <tabColor theme="9" tint="0.59999389629810485"/>
  </sheetPr>
  <dimension ref="A1:AE588"/>
  <sheetViews>
    <sheetView workbookViewId="0"/>
  </sheetViews>
  <sheetFormatPr defaultColWidth="15.42578125" defaultRowHeight="13"/>
  <cols>
    <col min="1" max="1" width="14.0703125" style="88" customWidth="1"/>
    <col min="2" max="2" width="14.85546875" style="87" customWidth="1"/>
    <col min="3" max="3" width="46.2109375" style="87" customWidth="1"/>
    <col min="4" max="4" width="10.85546875" style="88" customWidth="1"/>
    <col min="5" max="5" width="16" style="89" customWidth="1"/>
    <col min="6" max="6" width="9.42578125" style="201" customWidth="1"/>
    <col min="7" max="8" width="15.42578125" style="87" customWidth="1"/>
    <col min="9" max="9" width="11.640625" style="1214" customWidth="1"/>
    <col min="10" max="13" width="11.42578125" style="1214" customWidth="1"/>
    <col min="14" max="15" width="15.640625" style="1210" bestFit="1" customWidth="1"/>
    <col min="16" max="16" width="13.640625" style="1212" bestFit="1" customWidth="1"/>
    <col min="17" max="17" width="12" style="1210" bestFit="1" customWidth="1"/>
    <col min="18" max="19" width="12" style="1212" customWidth="1"/>
    <col min="20" max="20" width="15.640625" style="86" customWidth="1"/>
    <col min="21" max="21" width="10.2109375" style="862" bestFit="1" customWidth="1"/>
    <col min="22" max="22" width="17.85546875" style="86" customWidth="1"/>
    <col min="23" max="24" width="15.85546875" style="86" customWidth="1"/>
    <col min="25" max="25" width="15.85546875" style="1199" customWidth="1"/>
    <col min="26" max="26" width="15.42578125" style="1210"/>
    <col min="27" max="27" width="15.42578125" style="86"/>
    <col min="28" max="28" width="15.42578125" style="1210"/>
    <col min="29" max="16384" width="15.42578125" style="86"/>
  </cols>
  <sheetData>
    <row r="1" spans="1:31">
      <c r="A1" s="138"/>
      <c r="B1" s="710"/>
      <c r="C1" s="710"/>
      <c r="D1" s="392"/>
      <c r="E1" s="87"/>
      <c r="F1" s="87"/>
      <c r="I1" s="1212"/>
      <c r="J1" s="1212"/>
      <c r="K1" s="1212"/>
      <c r="L1" s="1212"/>
      <c r="M1" s="1212"/>
      <c r="P1" s="1216">
        <f ca="1">換券投組!D10</f>
        <v>0</v>
      </c>
      <c r="Q1" s="1215">
        <f ca="1">換券投組!D29</f>
        <v>0</v>
      </c>
      <c r="T1" s="1168"/>
      <c r="U1" s="860" t="e">
        <f ca="1">換券投組!D9</f>
        <v>#DIV/0!</v>
      </c>
      <c r="V1" s="858" t="str">
        <f>CHOOSE(model!A8,"All","(NPI)非專投","(PI)專投")</f>
        <v>All</v>
      </c>
      <c r="W1" s="858"/>
      <c r="X1" s="858"/>
      <c r="Y1" s="859">
        <f ca="1">Q1*0.9</f>
        <v>0</v>
      </c>
      <c r="AC1" s="86">
        <f ca="1">換券投組!D33</f>
        <v>0</v>
      </c>
    </row>
    <row r="2" spans="1:31" s="178" customFormat="1" ht="43.5">
      <c r="A2" s="1196" t="s">
        <v>311</v>
      </c>
      <c r="B2" s="1196" t="s">
        <v>310</v>
      </c>
      <c r="C2" s="1196" t="s">
        <v>4265</v>
      </c>
      <c r="D2" s="1224" t="s">
        <v>202</v>
      </c>
      <c r="E2" s="1225" t="s">
        <v>525</v>
      </c>
      <c r="F2" s="1197" t="s">
        <v>200</v>
      </c>
      <c r="G2" s="1225" t="s">
        <v>1279</v>
      </c>
      <c r="H2" s="1226" t="s">
        <v>4116</v>
      </c>
      <c r="I2" s="1227" t="s">
        <v>537</v>
      </c>
      <c r="J2" s="1227" t="s">
        <v>535</v>
      </c>
      <c r="K2" s="1227" t="s">
        <v>4119</v>
      </c>
      <c r="L2" s="1227" t="s">
        <v>4115</v>
      </c>
      <c r="M2" s="1227" t="s">
        <v>2091</v>
      </c>
      <c r="N2" s="1228" t="s">
        <v>3528</v>
      </c>
      <c r="O2" s="1228" t="s">
        <v>3552</v>
      </c>
      <c r="P2" s="1229" t="s">
        <v>3553</v>
      </c>
      <c r="Q2" s="1230" t="s">
        <v>211</v>
      </c>
      <c r="R2" s="1229" t="s">
        <v>4105</v>
      </c>
      <c r="S2" s="1229" t="s">
        <v>4106</v>
      </c>
      <c r="T2" s="1231" t="s">
        <v>3546</v>
      </c>
      <c r="U2" s="1232" t="s">
        <v>3545</v>
      </c>
      <c r="V2" s="1231" t="s">
        <v>4353</v>
      </c>
      <c r="W2" s="1231" t="s">
        <v>4117</v>
      </c>
      <c r="X2" s="1231" t="s">
        <v>3536</v>
      </c>
      <c r="Y2" s="1233" t="s">
        <v>3729</v>
      </c>
      <c r="Z2" s="1492" t="s">
        <v>4062</v>
      </c>
      <c r="AA2" s="1235" t="s">
        <v>4063</v>
      </c>
      <c r="AB2" s="1234" t="s">
        <v>4064</v>
      </c>
      <c r="AC2" s="1235" t="s">
        <v>4063</v>
      </c>
      <c r="AD2" s="1236" t="s">
        <v>4065</v>
      </c>
      <c r="AE2" s="1235" t="s">
        <v>4063</v>
      </c>
    </row>
    <row r="3" spans="1:31" s="136" customFormat="1">
      <c r="A3" s="141" t="str">
        <f>'銀行-TSS'!A3</f>
        <v>US01609WAQ50</v>
      </c>
      <c r="B3" s="151" t="str">
        <f ca="1">VLOOKUP(A3,'銀行-TSS'!A:B,2,FALSE)</f>
        <v>XF860</v>
      </c>
      <c r="C3" s="151" t="str">
        <f ca="1">VLOOKUP(B3,bond!B:C,2,FALSE)</f>
        <v>阿里巴巴集團美元配息債券 3.6% 2024/11/28</v>
      </c>
      <c r="D3" s="95" t="str">
        <f>VLOOKUP(A3,'銀行-TSS'!A:C,3,FALSE)</f>
        <v>USD</v>
      </c>
      <c r="E3" s="90">
        <f ca="1">VLOOKUP(A3,'銀行-TSS'!A:G,7,FALSE)</f>
        <v>0.41</v>
      </c>
      <c r="F3" s="202">
        <f ca="1">VLOOKUP(A3,'銀行-TSS'!A:H,8,FALSE)</f>
        <v>3.6000000000000004E-2</v>
      </c>
      <c r="G3" s="96">
        <f ca="1">VLOOKUP(A3,'銀行-TSS'!A:K,11,FALSE)</f>
        <v>101.36</v>
      </c>
      <c r="H3" s="1209">
        <f ca="1">VLOOKUP(A3,'銀行-TSS'!A:M,13,FALSE)</f>
        <v>1.0699999999999999E-2</v>
      </c>
      <c r="I3" s="1213">
        <f ca="1">VLOOKUP(A3,'銀行-TSS'!A:N,14,FALSE)</f>
        <v>200000</v>
      </c>
      <c r="J3" s="1213">
        <f ca="1">VLOOKUP(A3,'銀行-TSS'!A:O,15,FALSE)</f>
        <v>1000</v>
      </c>
      <c r="K3" s="136" t="str">
        <f ca="1">VLOOKUP(A3,'銀行-TSS'!A:V,22,FALSE)</f>
        <v>(NPI)非專投</v>
      </c>
      <c r="L3" s="136" t="str">
        <f ca="1">VLOOKUP(A3,'銀行-TSS'!A:AK,37,FALSE)</f>
        <v>有</v>
      </c>
      <c r="M3" s="136" t="str">
        <f ca="1">VLOOKUP(A3,'銀行-TSS'!A:AN,40,FALSE)</f>
        <v>XF860</v>
      </c>
      <c r="N3" s="1211">
        <f ca="1">G3*J3/100</f>
        <v>1013.6</v>
      </c>
      <c r="O3" s="1211">
        <f t="shared" ref="O3:O9" ca="1" si="0">G3*I3/100</f>
        <v>202720</v>
      </c>
      <c r="P3" s="1213">
        <f ca="1">IF(AND(換券投組!$D$17&gt;=O3,換券投組!$D$13=D3),I3+INT((換券投組!$D$17-O3)/N3)*J3,0)</f>
        <v>0</v>
      </c>
      <c r="Q3" s="1211">
        <f t="shared" ref="Q3:Q9" ca="1" si="1">P3*F3</f>
        <v>0</v>
      </c>
      <c r="R3" s="1213">
        <f t="shared" ref="R3:R9" ca="1" si="2">IF(A3=0,0,IF(V3=FALSE,0,P3))</f>
        <v>0</v>
      </c>
      <c r="S3" s="1213">
        <f t="shared" ref="S3:S9" ca="1" si="3">IF(A3=0,0,IF(V3=FALSE,0,Q3))</f>
        <v>0</v>
      </c>
      <c r="T3" s="136">
        <f ca="1">IF(OR(R3=0,A3=0),0,IF(V3=TRUE,E3,0))</f>
        <v>0</v>
      </c>
      <c r="U3" s="861">
        <f ca="1">IF(OR(R3=0,A3=0),0,IF(V3=TRUE,H3,0))</f>
        <v>0</v>
      </c>
      <c r="V3" s="136" t="b">
        <f ca="1">IF(OR(D3&lt;&gt;"USD",L3="無",M3&lt;&gt;"",K3="高資產",IFERROR(MATCH(B3,換券投組!K:K,0),"N")&lt;&gt;"N",IFERROR(MATCH(B3,換券投組!J:J,0),"N")&lt;&gt;"N"),FALSE,IF($V$1="All",TRUE,IF(K3=$V$1,TRUE,FALSE)))</f>
        <v>0</v>
      </c>
      <c r="W3" s="136">
        <f ca="1">VLOOKUP(A3,'銀行-TSS'!A:AO,41,FALSE)</f>
        <v>99.52000000000001</v>
      </c>
      <c r="X3" s="136">
        <f ca="1">VLOOKUP(A3,'銀行-TSS'!A:AP,42,FALSE)</f>
        <v>0.15479999999999999</v>
      </c>
      <c r="Y3" s="1223">
        <f ca="1">IF(A3=0,0,IF(V3=FALSE,0,IFERROR(W3/100*P3*X3*1%,0)))</f>
        <v>0</v>
      </c>
      <c r="Z3" s="1211">
        <f ca="1">IF(A3=0,0,IF(V3=FALSE,0,IF(OR(Q3&lt;$Y$1,E3&lt;5)=FALSE,(Q3-$Q$1)*MIN(3,E3)*(1-MIN(1/(2*E3),1))+IF((P3-$P$1)&lt;0,(P3-$P$1),((P3-$P$1)*MIN(1/(2*E3),1))),0)))</f>
        <v>0</v>
      </c>
      <c r="AA3" s="136">
        <f ca="1">IF(Z3&lt;=0,0,RANK(Z3,Z:Z)+COUNTIF($Z$3:$Z3,Z3)-1)</f>
        <v>0</v>
      </c>
      <c r="AB3" s="1211">
        <f ca="1">IF(A3=0,0,IF(V3=FALSE,0,Y3+IF((P3-$P$1)&lt;0,(P3-$P$1)*0.5,0)))-$AC$1</f>
        <v>0</v>
      </c>
      <c r="AC3" s="136">
        <f ca="1">IF(AB3&lt;=0,0,RANK(AB3,AB:AB)+COUNTIF($AB$3:$AB3,AB3)-1)</f>
        <v>0</v>
      </c>
      <c r="AD3" s="136">
        <f ca="1">IF(A3=0,99999,IF(OR(V3=FALSE,AA3=0,AC3=0),99999,(AC3+AA3)/2))</f>
        <v>99999</v>
      </c>
      <c r="AE3" s="136">
        <f ca="1">IF(AD3=99999,0,RANK(AD3,AD:AD,1)+COUNTIF($AD$3:$AD3,AD3)-1)</f>
        <v>0</v>
      </c>
    </row>
    <row r="4" spans="1:31" s="136" customFormat="1">
      <c r="A4" s="141" t="str">
        <f>'銀行-TSS'!A4</f>
        <v>US06738EAE59</v>
      </c>
      <c r="B4" s="151" t="str">
        <f ca="1">VLOOKUP(A4,'銀行-TSS'!A:B,2,FALSE)</f>
        <v>XFA60</v>
      </c>
      <c r="C4" s="151" t="str">
        <f ca="1">VLOOKUP(B4,bond!B:C,2,FALSE)</f>
        <v>巴克萊集團美元配息債券 3.65% 2025/3/16</v>
      </c>
      <c r="D4" s="95" t="str">
        <f>VLOOKUP(A4,'銀行-TSS'!A:C,3,FALSE)</f>
        <v>USD</v>
      </c>
      <c r="E4" s="90">
        <f ca="1">VLOOKUP(A4,'銀行-TSS'!A:G,7,FALSE)</f>
        <v>0.7</v>
      </c>
      <c r="F4" s="202">
        <f ca="1">VLOOKUP(A4,'銀行-TSS'!A:H,8,FALSE)</f>
        <v>3.6499999999999998E-2</v>
      </c>
      <c r="G4" s="96">
        <f ca="1">VLOOKUP(A4,'銀行-TSS'!A:K,11,FALSE)</f>
        <v>100.21</v>
      </c>
      <c r="H4" s="1209">
        <f ca="1">VLOOKUP(A4,'銀行-TSS'!A:M,13,FALSE)</f>
        <v>4.9000000000000002E-2</v>
      </c>
      <c r="I4" s="1213">
        <f ca="1">VLOOKUP(A4,'銀行-TSS'!A:N,14,FALSE)</f>
        <v>200000</v>
      </c>
      <c r="J4" s="1213">
        <f ca="1">VLOOKUP(A4,'銀行-TSS'!A:O,15,FALSE)</f>
        <v>1000</v>
      </c>
      <c r="K4" s="136" t="str">
        <f ca="1">VLOOKUP(A4,'銀行-TSS'!A:V,22,FALSE)</f>
        <v>(PI)專投</v>
      </c>
      <c r="L4" s="136" t="str">
        <f ca="1">VLOOKUP(A4,'銀行-TSS'!A:AK,37,FALSE)</f>
        <v>有</v>
      </c>
      <c r="M4" s="136" t="str">
        <f ca="1">VLOOKUP(A4,'銀行-TSS'!A:AN,40,FALSE)</f>
        <v/>
      </c>
      <c r="N4" s="1211">
        <f t="shared" ref="N4:N9" ca="1" si="4">G4*J4/100</f>
        <v>1002.1</v>
      </c>
      <c r="O4" s="1211">
        <f t="shared" ca="1" si="0"/>
        <v>200420</v>
      </c>
      <c r="P4" s="1213">
        <f ca="1">IF(AND(換券投組!$D$17&gt;=O4,換券投組!$D$13=D4),I4+INT((換券投組!$D$17-O4)/N4)*J4,0)</f>
        <v>0</v>
      </c>
      <c r="Q4" s="1211">
        <f t="shared" ca="1" si="1"/>
        <v>0</v>
      </c>
      <c r="R4" s="1213">
        <f t="shared" ca="1" si="2"/>
        <v>0</v>
      </c>
      <c r="S4" s="1213">
        <f t="shared" ca="1" si="3"/>
        <v>0</v>
      </c>
      <c r="T4" s="136">
        <f t="shared" ref="T4:T67" ca="1" si="5">IF(OR(R4=0,A4=0),0,IF(V4=TRUE,E4,0))</f>
        <v>0</v>
      </c>
      <c r="U4" s="861">
        <f t="shared" ref="U4:U67" ca="1" si="6">IF(OR(R4=0,A4=0),0,IF(V4=TRUE,H4,0))</f>
        <v>0</v>
      </c>
      <c r="V4" s="136" t="b">
        <f ca="1">IF(OR(D4&lt;&gt;"USD",L4="無",M4&lt;&gt;"",K4="高資產",IFERROR(MATCH(B4,換券投組!K:K,0),"N")&lt;&gt;"N",IFERROR(MATCH(B4,換券投組!J:J,0),"N")&lt;&gt;"N"),FALSE,IF($V$1="All",TRUE,IF(K4=$V$1,TRUE,FALSE)))</f>
        <v>1</v>
      </c>
      <c r="W4" s="136">
        <f ca="1">VLOOKUP(A4,'銀行-TSS'!A:AO,41,FALSE)</f>
        <v>98.84</v>
      </c>
      <c r="X4" s="136">
        <f ca="1">VLOOKUP(A4,'銀行-TSS'!A:AP,42,FALSE)</f>
        <v>0.67820000000000003</v>
      </c>
      <c r="Y4" s="1223">
        <f t="shared" ref="Y4:Y9" ca="1" si="7">IF(A4=0,0,IF(V4=FALSE,0,IFERROR(W4/100*P4*X4*1%,0)))</f>
        <v>0</v>
      </c>
      <c r="Z4" s="1211">
        <f t="shared" ref="Z4:Z9" ca="1" si="8">IF(A4=0,0,IF(V4=FALSE,0,IF(OR(Q4&lt;$Y$1,E4&lt;5)=FALSE,(Q4-$Q$1)*MIN(3,E4)*(1-MIN(1/(2*E4),1))+IF((P4-$P$1)&lt;0,(P4-$P$1),((P4-$P$1)*MIN(1/(2*E4),1))),0)))</f>
        <v>0</v>
      </c>
      <c r="AA4" s="136">
        <f ca="1">IF(Z4&lt;=0,0,RANK(Z4,Z:Z)+COUNTIF($Z$3:$Z4,Z4)-1)</f>
        <v>0</v>
      </c>
      <c r="AB4" s="1211">
        <f t="shared" ref="AB4:AB67" ca="1" si="9">IF(A4=0,0,IF(V4=FALSE,0,Y4+IF((P4-$P$1)&lt;0,(P4-$P$1)*0.5,0)))-$AC$1</f>
        <v>0</v>
      </c>
      <c r="AC4" s="136">
        <f ca="1">IF(AB4&lt;=0,0,RANK(AB4,AB:AB)+COUNTIF($AB$3:$AB4,AB4)-1)</f>
        <v>0</v>
      </c>
      <c r="AD4" s="136">
        <f t="shared" ref="AD4:AD9" ca="1" si="10">IF(A4=0,99999,IF(OR(V4=FALSE,AA4=0,AC4=0),99999,(AC4+AA4)/2))</f>
        <v>99999</v>
      </c>
      <c r="AE4" s="136">
        <f ca="1">IF(AD4=99999,0,RANK(AD4,AD:AD,1)+COUNTIF($AD$3:$AD4,AD4)-1)</f>
        <v>0</v>
      </c>
    </row>
    <row r="5" spans="1:31" s="137" customFormat="1">
      <c r="A5" s="141" t="str">
        <f>'銀行-TSS'!A5</f>
        <v>HK0000098928</v>
      </c>
      <c r="B5" s="151" t="str">
        <f ca="1">VLOOKUP(A5,'銀行-TSS'!A:B,2,FALSE)</f>
        <v>XD050</v>
      </c>
      <c r="C5" s="151" t="str">
        <f ca="1">VLOOKUP(B5,bond!B:C,2,FALSE)</f>
        <v>國家開發銀行人民幣配息債券 4.2% 2027/1/19</v>
      </c>
      <c r="D5" s="95" t="str">
        <f>VLOOKUP(A5,'銀行-TSS'!A:C,3,FALSE)</f>
        <v>CNY</v>
      </c>
      <c r="E5" s="90">
        <f ca="1">VLOOKUP(A5,'銀行-TSS'!A:G,7,FALSE)</f>
        <v>2.54</v>
      </c>
      <c r="F5" s="202">
        <f ca="1">VLOOKUP(A5,'銀行-TSS'!A:H,8,FALSE)</f>
        <v>4.2000000000000003E-2</v>
      </c>
      <c r="G5" s="96">
        <f ca="1">VLOOKUP(A5,'銀行-TSS'!A:K,11,FALSE)</f>
        <v>109.18</v>
      </c>
      <c r="H5" s="1209">
        <f ca="1">VLOOKUP(A5,'銀行-TSS'!A:M,13,FALSE)</f>
        <v>1.29E-2</v>
      </c>
      <c r="I5" s="1213">
        <f ca="1">VLOOKUP(A5,'銀行-TSS'!A:N,14,FALSE)</f>
        <v>1000000</v>
      </c>
      <c r="J5" s="1213">
        <f ca="1">VLOOKUP(A5,'銀行-TSS'!A:O,15,FALSE)</f>
        <v>1000000</v>
      </c>
      <c r="K5" s="136" t="str">
        <f ca="1">VLOOKUP(A5,'銀行-TSS'!A:V,22,FALSE)</f>
        <v>(NPI)非專投</v>
      </c>
      <c r="L5" s="136" t="str">
        <f ca="1">VLOOKUP(A5,'銀行-TSS'!A:AK,37,FALSE)</f>
        <v>需查詢</v>
      </c>
      <c r="M5" s="136" t="str">
        <f ca="1">VLOOKUP(A5,'銀行-TSS'!A:AN,40,FALSE)</f>
        <v>XD050</v>
      </c>
      <c r="N5" s="1211">
        <f t="shared" ca="1" si="4"/>
        <v>1091800</v>
      </c>
      <c r="O5" s="1211">
        <f t="shared" ca="1" si="0"/>
        <v>1091800</v>
      </c>
      <c r="P5" s="1213">
        <f ca="1">IF(AND(換券投組!$D$17&gt;=O5,換券投組!$D$13=D5),I5+INT((換券投組!$D$17-O5)/N5)*J5,0)</f>
        <v>0</v>
      </c>
      <c r="Q5" s="1211">
        <f t="shared" ca="1" si="1"/>
        <v>0</v>
      </c>
      <c r="R5" s="1213">
        <f t="shared" ca="1" si="2"/>
        <v>0</v>
      </c>
      <c r="S5" s="1213">
        <f t="shared" ca="1" si="3"/>
        <v>0</v>
      </c>
      <c r="T5" s="136">
        <f t="shared" ca="1" si="5"/>
        <v>0</v>
      </c>
      <c r="U5" s="861">
        <f t="shared" ca="1" si="6"/>
        <v>0</v>
      </c>
      <c r="V5" s="136" t="b">
        <f ca="1">IF(OR(D5&lt;&gt;"USD",L5="無",M5&lt;&gt;"",K5="高資產",IFERROR(MATCH(B5,換券投組!K:K,0),"N")&lt;&gt;"N",IFERROR(MATCH(B5,換券投組!J:J,0),"N")&lt;&gt;"N"),FALSE,IF($V$1="All",TRUE,IF(K5=$V$1,TRUE,FALSE)))</f>
        <v>0</v>
      </c>
      <c r="W5" s="136">
        <f ca="1">VLOOKUP(A5,'銀行-TSS'!A:AO,41,FALSE)</f>
        <v>104.76</v>
      </c>
      <c r="X5" s="136">
        <f ca="1">VLOOKUP(A5,'銀行-TSS'!A:AP,42,FALSE)</f>
        <v>2.3774999999999999</v>
      </c>
      <c r="Y5" s="1223">
        <f t="shared" ca="1" si="7"/>
        <v>0</v>
      </c>
      <c r="Z5" s="1211">
        <f t="shared" ca="1" si="8"/>
        <v>0</v>
      </c>
      <c r="AA5" s="136">
        <f ca="1">IF(Z5&lt;=0,0,RANK(Z5,Z:Z)+COUNTIF($Z$3:$Z5,Z5)-1)</f>
        <v>0</v>
      </c>
      <c r="AB5" s="1211">
        <f t="shared" ca="1" si="9"/>
        <v>0</v>
      </c>
      <c r="AC5" s="136">
        <f ca="1">IF(AB5&lt;=0,0,RANK(AB5,AB:AB)+COUNTIF($AB$3:$AB5,AB5)-1)</f>
        <v>0</v>
      </c>
      <c r="AD5" s="136">
        <f t="shared" ca="1" si="10"/>
        <v>99999</v>
      </c>
      <c r="AE5" s="136">
        <f ca="1">IF(AD5=99999,0,RANK(AD5,AD:AD,1)+COUNTIF($AD$3:$AD5,AD5)-1)</f>
        <v>0</v>
      </c>
    </row>
    <row r="6" spans="1:31" s="136" customFormat="1">
      <c r="A6" s="141" t="str">
        <f>'銀行-TSS'!A6</f>
        <v>XS1214406792</v>
      </c>
      <c r="B6" s="151" t="str">
        <f ca="1">VLOOKUP(A6,'銀行-TSS'!A:B,2,FALSE)</f>
        <v>XF560</v>
      </c>
      <c r="C6" s="151" t="str">
        <f ca="1">VLOOKUP(B6,bond!B:C,2,FALSE)</f>
        <v>台塑集團投資(開曼)美元配息債券 3.375% 2025/4/22</v>
      </c>
      <c r="D6" s="95" t="str">
        <f>VLOOKUP(A6,'銀行-TSS'!A:C,3,FALSE)</f>
        <v>USD</v>
      </c>
      <c r="E6" s="90">
        <f ca="1">VLOOKUP(A6,'銀行-TSS'!A:G,7,FALSE)</f>
        <v>0.8</v>
      </c>
      <c r="F6" s="202">
        <f ca="1">VLOOKUP(A6,'銀行-TSS'!A:H,8,FALSE)</f>
        <v>3.3750000000000002E-2</v>
      </c>
      <c r="G6" s="96">
        <f ca="1">VLOOKUP(A6,'銀行-TSS'!A:K,11,FALSE)</f>
        <v>100.07</v>
      </c>
      <c r="H6" s="1209">
        <f ca="1">VLOOKUP(A6,'銀行-TSS'!A:M,13,FALSE)</f>
        <v>4.1399999999999999E-2</v>
      </c>
      <c r="I6" s="1213">
        <f ca="1">VLOOKUP(A6,'銀行-TSS'!A:N,14,FALSE)</f>
        <v>200000</v>
      </c>
      <c r="J6" s="1213">
        <f ca="1">VLOOKUP(A6,'銀行-TSS'!A:O,15,FALSE)</f>
        <v>1000</v>
      </c>
      <c r="K6" s="136" t="str">
        <f ca="1">VLOOKUP(A6,'銀行-TSS'!A:V,22,FALSE)</f>
        <v>(PI)專投</v>
      </c>
      <c r="L6" s="136" t="str">
        <f ca="1">VLOOKUP(A6,'銀行-TSS'!A:AK,37,FALSE)</f>
        <v>需查詢</v>
      </c>
      <c r="M6" s="136" t="str">
        <f ca="1">VLOOKUP(A6,'銀行-TSS'!A:AN,40,FALSE)</f>
        <v/>
      </c>
      <c r="N6" s="1211">
        <f t="shared" ca="1" si="4"/>
        <v>1000.7</v>
      </c>
      <c r="O6" s="1211">
        <f t="shared" ca="1" si="0"/>
        <v>200140</v>
      </c>
      <c r="P6" s="1213">
        <f ca="1">IF(AND(換券投組!$D$17&gt;=O6,換券投組!$D$13=D6),I6+INT((換券投組!$D$17-O6)/N6)*J6,0)</f>
        <v>0</v>
      </c>
      <c r="Q6" s="1211">
        <f t="shared" ca="1" si="1"/>
        <v>0</v>
      </c>
      <c r="R6" s="1213">
        <f t="shared" ca="1" si="2"/>
        <v>0</v>
      </c>
      <c r="S6" s="1213">
        <f t="shared" ca="1" si="3"/>
        <v>0</v>
      </c>
      <c r="T6" s="136">
        <f t="shared" ca="1" si="5"/>
        <v>0</v>
      </c>
      <c r="U6" s="861">
        <f t="shared" ca="1" si="6"/>
        <v>0</v>
      </c>
      <c r="V6" s="136" t="b">
        <f ca="1">IF(OR(D6&lt;&gt;"USD",L6="無",M6&lt;&gt;"",K6="高資產",IFERROR(MATCH(B6,換券投組!K:K,0),"N")&lt;&gt;"N",IFERROR(MATCH(B6,換券投組!J:J,0),"N")&lt;&gt;"N"),FALSE,IF($V$1="All",TRUE,IF(K6=$V$1,TRUE,FALSE)))</f>
        <v>1</v>
      </c>
      <c r="W6" s="136">
        <f ca="1">VLOOKUP(A6,'銀行-TSS'!A:AO,41,FALSE)</f>
        <v>99.15</v>
      </c>
      <c r="X6" s="136">
        <f ca="1">VLOOKUP(A6,'銀行-TSS'!A:AP,42,FALSE)</f>
        <v>0.7752</v>
      </c>
      <c r="Y6" s="1223">
        <f ca="1">IF(A6=0,0,IF(V6=FALSE,0,IFERROR(W6/100*P6*X6*1%,0)))</f>
        <v>0</v>
      </c>
      <c r="Z6" s="1211">
        <f t="shared" ca="1" si="8"/>
        <v>0</v>
      </c>
      <c r="AA6" s="136">
        <f ca="1">IF(Z6&lt;=0,0,RANK(Z6,Z:Z)+COUNTIF($Z$3:$Z6,Z6)-1)</f>
        <v>0</v>
      </c>
      <c r="AB6" s="1211">
        <f ca="1">IF(A6=0,0,IF(V6=FALSE,0,Y6+IF((P6-$P$1)&lt;0,(P6-$P$1)*0.5,0)))-$AC$1</f>
        <v>0</v>
      </c>
      <c r="AC6" s="136">
        <f ca="1">IF(AB6&lt;=0,0,RANK(AB6,AB:AB)+COUNTIF($AB$3:$AB6,AB6)-1)</f>
        <v>0</v>
      </c>
      <c r="AD6" s="136">
        <f t="shared" ca="1" si="10"/>
        <v>99999</v>
      </c>
      <c r="AE6" s="136">
        <f ca="1">IF(AD6=99999,0,RANK(AD6,AD:AD,1)+COUNTIF($AD$3:$AD6,AD6)-1)</f>
        <v>0</v>
      </c>
    </row>
    <row r="7" spans="1:31" s="136" customFormat="1">
      <c r="A7" s="141" t="str">
        <f>'銀行-TSS'!A7</f>
        <v>XS1219971774</v>
      </c>
      <c r="B7" s="151" t="str">
        <f ca="1">VLOOKUP(A7,'銀行-TSS'!A:B,2,FALSE)</f>
        <v>XFB20</v>
      </c>
      <c r="C7" s="151" t="str">
        <f ca="1">VLOOKUP(B7,bond!B:C,2,FALSE)</f>
        <v>渣打集團美元配息債券 3.2% 2025/4/17</v>
      </c>
      <c r="D7" s="95" t="str">
        <f>VLOOKUP(A7,'銀行-TSS'!A:C,3,FALSE)</f>
        <v>USD</v>
      </c>
      <c r="E7" s="90">
        <f ca="1">VLOOKUP(A7,'銀行-TSS'!A:G,7,FALSE)</f>
        <v>0.79</v>
      </c>
      <c r="F7" s="202">
        <f ca="1">VLOOKUP(A7,'銀行-TSS'!A:H,8,FALSE)</f>
        <v>3.2000000000000001E-2</v>
      </c>
      <c r="G7" s="96">
        <f ca="1">VLOOKUP(A7,'銀行-TSS'!A:K,11,FALSE)</f>
        <v>99.84</v>
      </c>
      <c r="H7" s="1209">
        <f ca="1">VLOOKUP(A7,'銀行-TSS'!A:M,13,FALSE)</f>
        <v>4.2900000000000001E-2</v>
      </c>
      <c r="I7" s="1213">
        <f ca="1">VLOOKUP(A7,'銀行-TSS'!A:N,14,FALSE)</f>
        <v>200000</v>
      </c>
      <c r="J7" s="1213">
        <f ca="1">VLOOKUP(A7,'銀行-TSS'!A:O,15,FALSE)</f>
        <v>1000</v>
      </c>
      <c r="K7" s="136" t="str">
        <f ca="1">VLOOKUP(A7,'銀行-TSS'!A:V,22,FALSE)</f>
        <v>(PI)專投</v>
      </c>
      <c r="L7" s="136" t="str">
        <f ca="1">VLOOKUP(A7,'銀行-TSS'!A:AK,37,FALSE)</f>
        <v>需查詢</v>
      </c>
      <c r="M7" s="136" t="str">
        <f ca="1">VLOOKUP(A7,'銀行-TSS'!A:AN,40,FALSE)</f>
        <v/>
      </c>
      <c r="N7" s="1211">
        <f t="shared" ca="1" si="4"/>
        <v>998.4</v>
      </c>
      <c r="O7" s="1211">
        <f t="shared" ca="1" si="0"/>
        <v>199680</v>
      </c>
      <c r="P7" s="1213">
        <f ca="1">IF(AND(換券投組!$D$17&gt;=O7,換券投組!$D$13=D7),I7+INT((換券投組!$D$17-O7)/N7)*J7,0)</f>
        <v>0</v>
      </c>
      <c r="Q7" s="1211">
        <f t="shared" ca="1" si="1"/>
        <v>0</v>
      </c>
      <c r="R7" s="1213">
        <f t="shared" ca="1" si="2"/>
        <v>0</v>
      </c>
      <c r="S7" s="1213">
        <f t="shared" ca="1" si="3"/>
        <v>0</v>
      </c>
      <c r="T7" s="136">
        <f t="shared" ca="1" si="5"/>
        <v>0</v>
      </c>
      <c r="U7" s="861">
        <f t="shared" ca="1" si="6"/>
        <v>0</v>
      </c>
      <c r="V7" s="136" t="b">
        <f ca="1">IF(OR(D7&lt;&gt;"USD",L7="無",M7&lt;&gt;"",K7="高資產",IFERROR(MATCH(B7,換券投組!K:K,0),"N")&lt;&gt;"N",IFERROR(MATCH(B7,換券投組!J:J,0),"N")&lt;&gt;"N"),FALSE,IF($V$1="All",TRUE,IF(K7=$V$1,TRUE,FALSE)))</f>
        <v>1</v>
      </c>
      <c r="W7" s="136">
        <f ca="1">VLOOKUP(A7,'銀行-TSS'!A:AO,41,FALSE)</f>
        <v>98.910000000000011</v>
      </c>
      <c r="X7" s="136">
        <f ca="1">VLOOKUP(A7,'銀行-TSS'!A:AP,42,FALSE)</f>
        <v>0.76200000000000001</v>
      </c>
      <c r="Y7" s="1223">
        <f t="shared" ca="1" si="7"/>
        <v>0</v>
      </c>
      <c r="Z7" s="1211">
        <f t="shared" ca="1" si="8"/>
        <v>0</v>
      </c>
      <c r="AA7" s="136">
        <f ca="1">IF(Z7&lt;=0,0,RANK(Z7,Z:Z)+COUNTIF($Z$3:$Z7,Z7)-1)</f>
        <v>0</v>
      </c>
      <c r="AB7" s="1211">
        <f t="shared" ca="1" si="9"/>
        <v>0</v>
      </c>
      <c r="AC7" s="136">
        <f ca="1">IF(AB7&lt;=0,0,RANK(AB7,AB:AB)+COUNTIF($AB$3:$AB7,AB7)-1)</f>
        <v>0</v>
      </c>
      <c r="AD7" s="136">
        <f t="shared" ca="1" si="10"/>
        <v>99999</v>
      </c>
      <c r="AE7" s="136">
        <f ca="1">IF(AD7=99999,0,RANK(AD7,AD:AD,1)+COUNTIF($AD$3:$AD7,AD7)-1)</f>
        <v>0</v>
      </c>
    </row>
    <row r="8" spans="1:31">
      <c r="A8" s="141" t="str">
        <f>'銀行-TSS'!A8</f>
        <v>US404280AG49</v>
      </c>
      <c r="B8" s="151" t="str">
        <f ca="1">VLOOKUP(A8,'銀行-TSS'!A:B,2,FALSE)</f>
        <v>XFB60</v>
      </c>
      <c r="C8" s="151" t="str">
        <f ca="1">VLOOKUP(B8,bond!B:C,2,FALSE)</f>
        <v>匯豐控股公司美元配息債券 6.5% 2036/5/2</v>
      </c>
      <c r="D8" s="95" t="str">
        <f>VLOOKUP(A8,'銀行-TSS'!A:C,3,FALSE)</f>
        <v>USD</v>
      </c>
      <c r="E8" s="90">
        <f ca="1">VLOOKUP(A8,'銀行-TSS'!A:G,7,FALSE)</f>
        <v>11.83</v>
      </c>
      <c r="F8" s="202">
        <f ca="1">VLOOKUP(A8,'銀行-TSS'!A:H,8,FALSE)</f>
        <v>6.5000000000000002E-2</v>
      </c>
      <c r="G8" s="96">
        <f ca="1">VLOOKUP(A8,'銀行-TSS'!A:K,11,FALSE)</f>
        <v>109.68</v>
      </c>
      <c r="H8" s="1209">
        <f ca="1">VLOOKUP(A8,'銀行-TSS'!A:M,13,FALSE)</f>
        <v>5.5E-2</v>
      </c>
      <c r="I8" s="1213">
        <f ca="1">VLOOKUP(A8,'銀行-TSS'!A:N,14,FALSE)</f>
        <v>100000</v>
      </c>
      <c r="J8" s="1213">
        <f ca="1">VLOOKUP(A8,'銀行-TSS'!A:O,15,FALSE)</f>
        <v>1000</v>
      </c>
      <c r="K8" s="136" t="str">
        <f ca="1">VLOOKUP(A8,'銀行-TSS'!A:V,22,FALSE)</f>
        <v>(PI)專投</v>
      </c>
      <c r="L8" s="136" t="str">
        <f ca="1">VLOOKUP(A8,'銀行-TSS'!A:AK,37,FALSE)</f>
        <v>有</v>
      </c>
      <c r="M8" s="136" t="str">
        <f ca="1">VLOOKUP(A8,'銀行-TSS'!A:AN,40,FALSE)</f>
        <v/>
      </c>
      <c r="N8" s="1211">
        <f t="shared" ca="1" si="4"/>
        <v>1096.8</v>
      </c>
      <c r="O8" s="1211">
        <f t="shared" ca="1" si="0"/>
        <v>109680</v>
      </c>
      <c r="P8" s="1213">
        <f ca="1">IF(AND(換券投組!$D$17&gt;=O8,換券投組!$D$13=D8),I8+INT((換券投組!$D$17-O8)/N8)*J8,0)</f>
        <v>0</v>
      </c>
      <c r="Q8" s="1211">
        <f t="shared" ca="1" si="1"/>
        <v>0</v>
      </c>
      <c r="R8" s="1213">
        <f t="shared" ca="1" si="2"/>
        <v>0</v>
      </c>
      <c r="S8" s="1213">
        <f t="shared" ca="1" si="3"/>
        <v>0</v>
      </c>
      <c r="T8" s="136">
        <f t="shared" ca="1" si="5"/>
        <v>0</v>
      </c>
      <c r="U8" s="861">
        <f t="shared" ca="1" si="6"/>
        <v>0</v>
      </c>
      <c r="V8" s="136" t="b">
        <f ca="1">IF(OR(D8&lt;&gt;"USD",L8="無",M8&lt;&gt;"",K8="高資產",IFERROR(MATCH(B8,換券投組!K:K,0),"N")&lt;&gt;"N",IFERROR(MATCH(B8,換券投組!J:J,0),"N")&lt;&gt;"N"),FALSE,IF($V$1="All",TRUE,IF(K8=$V$1,TRUE,FALSE)))</f>
        <v>1</v>
      </c>
      <c r="W8" s="136">
        <f ca="1">VLOOKUP(A8,'銀行-TSS'!A:AO,41,FALSE)</f>
        <v>105.60000000000001</v>
      </c>
      <c r="X8" s="136">
        <f ca="1">VLOOKUP(A8,'銀行-TSS'!A:AP,42,FALSE)</f>
        <v>8.2279</v>
      </c>
      <c r="Y8" s="1223">
        <f t="shared" ca="1" si="7"/>
        <v>0</v>
      </c>
      <c r="Z8" s="1211">
        <f t="shared" ca="1" si="8"/>
        <v>0</v>
      </c>
      <c r="AA8" s="136">
        <f ca="1">IF(Z8&lt;=0,0,RANK(Z8,Z:Z)+COUNTIF($Z$3:$Z8,Z8)-1)</f>
        <v>0</v>
      </c>
      <c r="AB8" s="1211">
        <f t="shared" ca="1" si="9"/>
        <v>0</v>
      </c>
      <c r="AC8" s="136">
        <f ca="1">IF(AB8&lt;=0,0,RANK(AB8,AB:AB)+COUNTIF($AB$3:$AB8,AB8)-1)</f>
        <v>0</v>
      </c>
      <c r="AD8" s="136">
        <f t="shared" ca="1" si="10"/>
        <v>99999</v>
      </c>
      <c r="AE8" s="136">
        <f ca="1">IF(AD8=99999,0,RANK(AD8,AD:AD,1)+COUNTIF($AD$3:$AD8,AD8)-1)</f>
        <v>0</v>
      </c>
    </row>
    <row r="9" spans="1:31">
      <c r="A9" s="141" t="str">
        <f>'銀行-TSS'!A9</f>
        <v>US822582BE14</v>
      </c>
      <c r="B9" s="151" t="str">
        <f ca="1">VLOOKUP(A9,'銀行-TSS'!A:B,2,FALSE)</f>
        <v>XFD40</v>
      </c>
      <c r="C9" s="151" t="str">
        <f ca="1">VLOOKUP(B9,bond!B:C,2,FALSE)</f>
        <v>殼牌國際金融公司美元配息債券  4.125% 2035/5/11</v>
      </c>
      <c r="D9" s="95" t="str">
        <f>VLOOKUP(A9,'銀行-TSS'!A:C,3,FALSE)</f>
        <v>USD</v>
      </c>
      <c r="E9" s="90">
        <f ca="1">VLOOKUP(A9,'銀行-TSS'!A:G,7,FALSE)</f>
        <v>10.86</v>
      </c>
      <c r="F9" s="202">
        <f ca="1">VLOOKUP(A9,'銀行-TSS'!A:H,8,FALSE)</f>
        <v>4.1250000000000002E-2</v>
      </c>
      <c r="G9" s="96">
        <f ca="1">VLOOKUP(A9,'銀行-TSS'!A:K,11,FALSE)</f>
        <v>95.57</v>
      </c>
      <c r="H9" s="1209">
        <f ca="1">VLOOKUP(A9,'銀行-TSS'!A:M,13,FALSE)</f>
        <v>4.7199999999999999E-2</v>
      </c>
      <c r="I9" s="1213">
        <f ca="1">VLOOKUP(A9,'銀行-TSS'!A:N,14,FALSE)</f>
        <v>10000</v>
      </c>
      <c r="J9" s="1213">
        <f ca="1">VLOOKUP(A9,'銀行-TSS'!A:O,15,FALSE)</f>
        <v>1000</v>
      </c>
      <c r="K9" s="136" t="str">
        <f ca="1">VLOOKUP(A9,'銀行-TSS'!A:V,22,FALSE)</f>
        <v>(NPI)非專投</v>
      </c>
      <c r="L9" s="136" t="str">
        <f ca="1">VLOOKUP(A9,'銀行-TSS'!A:AK,37,FALSE)</f>
        <v>有</v>
      </c>
      <c r="M9" s="136" t="str">
        <f ca="1">VLOOKUP(A9,'銀行-TSS'!A:AN,40,FALSE)</f>
        <v/>
      </c>
      <c r="N9" s="1211">
        <f t="shared" ca="1" si="4"/>
        <v>955.7</v>
      </c>
      <c r="O9" s="1211">
        <f t="shared" ca="1" si="0"/>
        <v>9556.9999999999982</v>
      </c>
      <c r="P9" s="1213">
        <f ca="1">IF(AND(換券投組!$D$17&gt;=O9,換券投組!$D$13=D9),I9+INT((換券投組!$D$17-O9)/N9)*J9,0)</f>
        <v>0</v>
      </c>
      <c r="Q9" s="1211">
        <f t="shared" ca="1" si="1"/>
        <v>0</v>
      </c>
      <c r="R9" s="1213">
        <f t="shared" ca="1" si="2"/>
        <v>0</v>
      </c>
      <c r="S9" s="1213">
        <f t="shared" ca="1" si="3"/>
        <v>0</v>
      </c>
      <c r="T9" s="136">
        <f t="shared" ca="1" si="5"/>
        <v>0</v>
      </c>
      <c r="U9" s="861">
        <f t="shared" ca="1" si="6"/>
        <v>0</v>
      </c>
      <c r="V9" s="136" t="b">
        <f ca="1">IF(OR(D9&lt;&gt;"USD",L9="無",M9&lt;&gt;"",K9="高資產",IFERROR(MATCH(B9,換券投組!K:K,0),"N")&lt;&gt;"N",IFERROR(MATCH(B9,換券投組!J:J,0),"N")&lt;&gt;"N"),FALSE,IF($V$1="All",TRUE,IF(K9=$V$1,TRUE,FALSE)))</f>
        <v>1</v>
      </c>
      <c r="W9" s="136">
        <f ca="1">VLOOKUP(A9,'銀行-TSS'!A:AO,41,FALSE)</f>
        <v>92.490000000000009</v>
      </c>
      <c r="X9" s="136">
        <f ca="1">VLOOKUP(A9,'銀行-TSS'!A:AP,42,FALSE)</f>
        <v>8.5144000000000002</v>
      </c>
      <c r="Y9" s="1223">
        <f t="shared" ca="1" si="7"/>
        <v>0</v>
      </c>
      <c r="Z9" s="1211">
        <f t="shared" ca="1" si="8"/>
        <v>0</v>
      </c>
      <c r="AA9" s="136">
        <f ca="1">IF(Z9&lt;=0,0,RANK(Z9,Z:Z)+COUNTIF($Z$3:$Z9,Z9)-1)</f>
        <v>0</v>
      </c>
      <c r="AB9" s="1211">
        <f t="shared" ca="1" si="9"/>
        <v>0</v>
      </c>
      <c r="AC9" s="136">
        <f ca="1">IF(AB9&lt;=0,0,RANK(AB9,AB:AB)+COUNTIF($AB$3:$AB9,AB9)-1)</f>
        <v>0</v>
      </c>
      <c r="AD9" s="136">
        <f t="shared" ca="1" si="10"/>
        <v>99999</v>
      </c>
      <c r="AE9" s="136">
        <f ca="1">IF(AD9=99999,0,RANK(AD9,AD:AD,1)+COUNTIF($AD$3:$AD9,AD9)-1)</f>
        <v>0</v>
      </c>
    </row>
    <row r="10" spans="1:31">
      <c r="A10" s="141" t="str">
        <f>'銀行-TSS'!A10</f>
        <v>XS1266660122</v>
      </c>
      <c r="B10" s="151" t="str">
        <f ca="1">VLOOKUP(A10,'銀行-TSS'!A:B,2,FALSE)</f>
        <v>XFD50</v>
      </c>
      <c r="C10" s="151" t="str">
        <f ca="1">VLOOKUP(B10,bond!B:C,2,FALSE)</f>
        <v>軟銀集團公司美元配息債券 6% 2025/7/30</v>
      </c>
      <c r="D10" s="95" t="str">
        <f>VLOOKUP(A10,'銀行-TSS'!A:C,3,FALSE)</f>
        <v>USD</v>
      </c>
      <c r="E10" s="90">
        <f ca="1">VLOOKUP(A10,'銀行-TSS'!A:G,7,FALSE)</f>
        <v>1.07</v>
      </c>
      <c r="F10" s="202">
        <f ca="1">VLOOKUP(A10,'銀行-TSS'!A:H,8,FALSE)</f>
        <v>0.06</v>
      </c>
      <c r="G10" s="96">
        <f ca="1">VLOOKUP(A10,'銀行-TSS'!A:K,11,FALSE)</f>
        <v>103.23</v>
      </c>
      <c r="H10" s="1209">
        <f ca="1">VLOOKUP(A10,'銀行-TSS'!A:M,13,FALSE)</f>
        <v>5.3400000000000003E-2</v>
      </c>
      <c r="I10" s="1213">
        <f ca="1">VLOOKUP(A10,'銀行-TSS'!A:N,14,FALSE)</f>
        <v>200000</v>
      </c>
      <c r="J10" s="1213">
        <f ca="1">VLOOKUP(A10,'銀行-TSS'!A:O,15,FALSE)</f>
        <v>1000</v>
      </c>
      <c r="K10" s="136" t="str">
        <f ca="1">VLOOKUP(A10,'銀行-TSS'!A:V,22,FALSE)</f>
        <v>(PI)專投</v>
      </c>
      <c r="L10" s="136" t="str">
        <f ca="1">VLOOKUP(A10,'銀行-TSS'!A:AK,37,FALSE)</f>
        <v>無</v>
      </c>
      <c r="M10" s="136" t="str">
        <f ca="1">VLOOKUP(A10,'銀行-TSS'!A:AN,40,FALSE)</f>
        <v/>
      </c>
      <c r="N10" s="1211">
        <f t="shared" ref="N10:N73" ca="1" si="11">G10*J10/100</f>
        <v>1032.3</v>
      </c>
      <c r="O10" s="1211">
        <f t="shared" ref="O10:O73" ca="1" si="12">G10*I10/100</f>
        <v>206460</v>
      </c>
      <c r="P10" s="1213">
        <f ca="1">IF(AND(換券投組!$D$17&gt;=O10,換券投組!$D$13=D10),I10+INT((換券投組!$D$17-O10)/N10)*J10,0)</f>
        <v>0</v>
      </c>
      <c r="Q10" s="1211">
        <f t="shared" ref="Q10:Q73" ca="1" si="13">P10*F10</f>
        <v>0</v>
      </c>
      <c r="R10" s="1213">
        <f t="shared" ref="R10:R73" ca="1" si="14">IF(A10=0,0,IF(V10=FALSE,0,P10))</f>
        <v>0</v>
      </c>
      <c r="S10" s="1213">
        <f t="shared" ref="S10:S73" ca="1" si="15">IF(A10=0,0,IF(V10=FALSE,0,Q10))</f>
        <v>0</v>
      </c>
      <c r="T10" s="136">
        <f t="shared" ca="1" si="5"/>
        <v>0</v>
      </c>
      <c r="U10" s="861">
        <f t="shared" ca="1" si="6"/>
        <v>0</v>
      </c>
      <c r="V10" s="136" t="b">
        <f ca="1">IF(OR(D10&lt;&gt;"USD",L10="無",M10&lt;&gt;"",K10="高資產",IFERROR(MATCH(B10,換券投組!K:K,0),"N")&lt;&gt;"N",IFERROR(MATCH(B10,換券投組!J:J,0),"N")&lt;&gt;"N"),FALSE,IF($V$1="All",TRUE,IF(K10=$V$1,TRUE,FALSE)))</f>
        <v>0</v>
      </c>
      <c r="W10" s="136">
        <f ca="1">VLOOKUP(A10,'銀行-TSS'!A:AO,41,FALSE)</f>
        <v>100.18</v>
      </c>
      <c r="X10" s="136">
        <f ca="1">VLOOKUP(A10,'銀行-TSS'!A:AP,42,FALSE)</f>
        <v>0.77359999999999995</v>
      </c>
      <c r="Y10" s="1223">
        <f t="shared" ref="Y10:Y73" ca="1" si="16">IF(A10=0,0,IF(V10=FALSE,0,IFERROR(W10/100*P10*X10*1%,0)))</f>
        <v>0</v>
      </c>
      <c r="Z10" s="1211">
        <f t="shared" ref="Z10:Z73" ca="1" si="17">IF(A10=0,0,IF(V10=FALSE,0,IF(OR(Q10&lt;$Y$1,E10&lt;5)=FALSE,(Q10-$Q$1)*MIN(3,E10)*(1-MIN(1/(2*E10),1))+IF((P10-$P$1)&lt;0,(P10-$P$1),((P10-$P$1)*MIN(1/(2*E10),1))),0)))</f>
        <v>0</v>
      </c>
      <c r="AA10" s="136">
        <f ca="1">IF(Z10&lt;=0,0,RANK(Z10,Z:Z)+COUNTIF($Z$3:$Z10,Z10)-1)</f>
        <v>0</v>
      </c>
      <c r="AB10" s="1211">
        <f t="shared" ca="1" si="9"/>
        <v>0</v>
      </c>
      <c r="AC10" s="136">
        <f ca="1">IF(AB10&lt;=0,0,RANK(AB10,AB:AB)+COUNTIF($AB$3:$AB10,AB10)-1)</f>
        <v>0</v>
      </c>
      <c r="AD10" s="136">
        <f t="shared" ref="AD10:AD73" ca="1" si="18">IF(A10=0,99999,IF(OR(V10=FALSE,AA10=0,AC10=0),99999,(AC10+AA10)/2))</f>
        <v>99999</v>
      </c>
      <c r="AE10" s="136">
        <f ca="1">IF(AD10=99999,0,RANK(AD10,AD:AD,1)+COUNTIF($AD$3:$AD10,AD10)-1)</f>
        <v>0</v>
      </c>
    </row>
    <row r="11" spans="1:31">
      <c r="A11" s="141" t="str">
        <f>'銀行-TSS'!A11</f>
        <v>US02364WAJ45</v>
      </c>
      <c r="B11" s="151" t="str">
        <f ca="1">VLOOKUP(A11,'銀行-TSS'!A:B,2,FALSE)</f>
        <v>XFE20</v>
      </c>
      <c r="C11" s="151" t="str">
        <f ca="1">VLOOKUP(B11,bond!B:C,2,FALSE)</f>
        <v>美洲電信公司美元配息債券 6.375% 2035/3/1</v>
      </c>
      <c r="D11" s="95" t="str">
        <f>VLOOKUP(A11,'銀行-TSS'!A:C,3,FALSE)</f>
        <v>USD</v>
      </c>
      <c r="E11" s="90">
        <f ca="1">VLOOKUP(A11,'銀行-TSS'!A:G,7,FALSE)</f>
        <v>10.66</v>
      </c>
      <c r="F11" s="202">
        <f ca="1">VLOOKUP(A11,'銀行-TSS'!A:H,8,FALSE)</f>
        <v>6.3750000000000001E-2</v>
      </c>
      <c r="G11" s="96">
        <f ca="1">VLOOKUP(A11,'銀行-TSS'!A:K,11,FALSE)</f>
        <v>112.65</v>
      </c>
      <c r="H11" s="1209">
        <f ca="1">VLOOKUP(A11,'銀行-TSS'!A:M,13,FALSE)</f>
        <v>5.0799999999999998E-2</v>
      </c>
      <c r="I11" s="1213">
        <f ca="1">VLOOKUP(A11,'銀行-TSS'!A:N,14,FALSE)</f>
        <v>10000</v>
      </c>
      <c r="J11" s="1213">
        <f ca="1">VLOOKUP(A11,'銀行-TSS'!A:O,15,FALSE)</f>
        <v>1000</v>
      </c>
      <c r="K11" s="136" t="str">
        <f ca="1">VLOOKUP(A11,'銀行-TSS'!A:V,22,FALSE)</f>
        <v>(NPI)非專投</v>
      </c>
      <c r="L11" s="136" t="str">
        <f ca="1">VLOOKUP(A11,'銀行-TSS'!A:AK,37,FALSE)</f>
        <v>需查詢</v>
      </c>
      <c r="M11" s="136" t="str">
        <f ca="1">VLOOKUP(A11,'銀行-TSS'!A:AN,40,FALSE)</f>
        <v>XFE20</v>
      </c>
      <c r="N11" s="1211">
        <f t="shared" ca="1" si="11"/>
        <v>1126.5</v>
      </c>
      <c r="O11" s="1211">
        <f t="shared" ca="1" si="12"/>
        <v>11265</v>
      </c>
      <c r="P11" s="1213">
        <f ca="1">IF(AND(換券投組!$D$17&gt;=O11,換券投組!$D$13=D11),I11+INT((換券投組!$D$17-O11)/N11)*J11,0)</f>
        <v>0</v>
      </c>
      <c r="Q11" s="1211">
        <f t="shared" ca="1" si="13"/>
        <v>0</v>
      </c>
      <c r="R11" s="1213">
        <f t="shared" ca="1" si="14"/>
        <v>0</v>
      </c>
      <c r="S11" s="1213">
        <f t="shared" ca="1" si="15"/>
        <v>0</v>
      </c>
      <c r="T11" s="136">
        <f t="shared" ca="1" si="5"/>
        <v>0</v>
      </c>
      <c r="U11" s="861">
        <f t="shared" ca="1" si="6"/>
        <v>0</v>
      </c>
      <c r="V11" s="136" t="b">
        <f ca="1">IF(OR(D11&lt;&gt;"USD",L11="無",M11&lt;&gt;"",K11="高資產",IFERROR(MATCH(B11,換券投組!K:K,0),"N")&lt;&gt;"N",IFERROR(MATCH(B11,換券投組!J:J,0),"N")&lt;&gt;"N"),FALSE,IF($V$1="All",TRUE,IF(K11=$V$1,TRUE,FALSE)))</f>
        <v>0</v>
      </c>
      <c r="W11" s="136">
        <f ca="1">VLOOKUP(A11,'銀行-TSS'!A:AO,41,FALSE)</f>
        <v>108.01</v>
      </c>
      <c r="X11" s="136">
        <f ca="1">VLOOKUP(A11,'銀行-TSS'!A:AP,42,FALSE)</f>
        <v>7.6726000000000001</v>
      </c>
      <c r="Y11" s="1223">
        <f t="shared" ca="1" si="16"/>
        <v>0</v>
      </c>
      <c r="Z11" s="1211">
        <f t="shared" ca="1" si="17"/>
        <v>0</v>
      </c>
      <c r="AA11" s="136">
        <f ca="1">IF(Z11&lt;=0,0,RANK(Z11,Z:Z)+COUNTIF($Z$3:$Z11,Z11)-1)</f>
        <v>0</v>
      </c>
      <c r="AB11" s="1211">
        <f ca="1">IF(A11=0,0,IF(V11=FALSE,0,Y11+IF((P11-$P$1)&lt;0,(P11-$P$1)*0.5,0)))-$AC$1</f>
        <v>0</v>
      </c>
      <c r="AC11" s="136">
        <f ca="1">IF(AB11&lt;=0,0,RANK(AB11,AB:AB)+COUNTIF($AB$3:$AB11,AB11)-1)</f>
        <v>0</v>
      </c>
      <c r="AD11" s="136">
        <f t="shared" ca="1" si="18"/>
        <v>99999</v>
      </c>
      <c r="AE11" s="136">
        <f ca="1">IF(AD11=99999,0,RANK(AD11,AD:AD,1)+COUNTIF($AD$3:$AD11,AD11)-1)</f>
        <v>0</v>
      </c>
    </row>
    <row r="12" spans="1:31">
      <c r="A12" s="141" t="str">
        <f>'銀行-TSS'!A12</f>
        <v>USY7138AAD29</v>
      </c>
      <c r="B12" s="151" t="str">
        <f ca="1">VLOOKUP(A12,'銀行-TSS'!A:B,2,FALSE)</f>
        <v>XFE30</v>
      </c>
      <c r="C12" s="151" t="str">
        <f ca="1">VLOOKUP(B12,bond!B:C,2,FALSE)</f>
        <v>印尼國家能源公司美元配息債券 6% 2042/5/3</v>
      </c>
      <c r="D12" s="95" t="str">
        <f>VLOOKUP(A12,'銀行-TSS'!A:C,3,FALSE)</f>
        <v>USD</v>
      </c>
      <c r="E12" s="90">
        <f ca="1">VLOOKUP(A12,'銀行-TSS'!A:G,7,FALSE)</f>
        <v>17.829999999999998</v>
      </c>
      <c r="F12" s="202">
        <f ca="1">VLOOKUP(A12,'銀行-TSS'!A:H,8,FALSE)</f>
        <v>0.06</v>
      </c>
      <c r="G12" s="96">
        <f ca="1">VLOOKUP(A12,'銀行-TSS'!A:K,11,FALSE)</f>
        <v>105.12</v>
      </c>
      <c r="H12" s="1209">
        <f ca="1">VLOOKUP(A12,'銀行-TSS'!A:M,13,FALSE)</f>
        <v>5.6300000000000003E-2</v>
      </c>
      <c r="I12" s="1213">
        <f ca="1">VLOOKUP(A12,'銀行-TSS'!A:N,14,FALSE)</f>
        <v>200000</v>
      </c>
      <c r="J12" s="1213">
        <f ca="1">VLOOKUP(A12,'銀行-TSS'!A:O,15,FALSE)</f>
        <v>1000</v>
      </c>
      <c r="K12" s="136" t="str">
        <f ca="1">VLOOKUP(A12,'銀行-TSS'!A:V,22,FALSE)</f>
        <v>(PI)專投</v>
      </c>
      <c r="L12" s="136" t="str">
        <f ca="1">VLOOKUP(A12,'銀行-TSS'!A:AK,37,FALSE)</f>
        <v>需查詢</v>
      </c>
      <c r="M12" s="136" t="str">
        <f ca="1">VLOOKUP(A12,'銀行-TSS'!A:AN,40,FALSE)</f>
        <v/>
      </c>
      <c r="N12" s="1211">
        <f t="shared" ca="1" si="11"/>
        <v>1051.2</v>
      </c>
      <c r="O12" s="1211">
        <f t="shared" ca="1" si="12"/>
        <v>210240</v>
      </c>
      <c r="P12" s="1213">
        <f ca="1">IF(AND(換券投組!$D$17&gt;=O12,換券投組!$D$13=D12),I12+INT((換券投組!$D$17-O12)/N12)*J12,0)</f>
        <v>0</v>
      </c>
      <c r="Q12" s="1211">
        <f t="shared" ca="1" si="13"/>
        <v>0</v>
      </c>
      <c r="R12" s="1213">
        <f t="shared" ca="1" si="14"/>
        <v>0</v>
      </c>
      <c r="S12" s="1213">
        <f t="shared" ca="1" si="15"/>
        <v>0</v>
      </c>
      <c r="T12" s="136">
        <f t="shared" ca="1" si="5"/>
        <v>0</v>
      </c>
      <c r="U12" s="861">
        <f t="shared" ca="1" si="6"/>
        <v>0</v>
      </c>
      <c r="V12" s="136" t="b">
        <f ca="1">IF(OR(D12&lt;&gt;"USD",L12="無",M12&lt;&gt;"",K12="高資產",IFERROR(MATCH(B12,換券投組!K:K,0),"N")&lt;&gt;"N",IFERROR(MATCH(B12,換券投組!J:J,0),"N")&lt;&gt;"N"),FALSE,IF($V$1="All",TRUE,IF(K12=$V$1,TRUE,FALSE)))</f>
        <v>1</v>
      </c>
      <c r="W12" s="136">
        <f ca="1">VLOOKUP(A12,'銀行-TSS'!A:AO,41,FALSE)</f>
        <v>101.14</v>
      </c>
      <c r="X12" s="136">
        <f ca="1">VLOOKUP(A12,'銀行-TSS'!A:AP,42,FALSE)</f>
        <v>10.833500000000001</v>
      </c>
      <c r="Y12" s="1223">
        <f t="shared" ca="1" si="16"/>
        <v>0</v>
      </c>
      <c r="Z12" s="1211">
        <f t="shared" ca="1" si="17"/>
        <v>0</v>
      </c>
      <c r="AA12" s="136">
        <f ca="1">IF(Z12&lt;=0,0,RANK(Z12,Z:Z)+COUNTIF($Z$3:$Z12,Z12)-1)</f>
        <v>0</v>
      </c>
      <c r="AB12" s="1211">
        <f t="shared" ca="1" si="9"/>
        <v>0</v>
      </c>
      <c r="AC12" s="136">
        <f ca="1">IF(AB12&lt;=0,0,RANK(AB12,AB:AB)+COUNTIF($AB$3:$AB12,AB12)-1)</f>
        <v>0</v>
      </c>
      <c r="AD12" s="136">
        <f t="shared" ca="1" si="18"/>
        <v>99999</v>
      </c>
      <c r="AE12" s="136">
        <f ca="1">IF(AD12=99999,0,RANK(AD12,AD:AD,1)+COUNTIF($AD$3:$AD12,AD12)-1)</f>
        <v>0</v>
      </c>
    </row>
    <row r="13" spans="1:31">
      <c r="A13" s="141" t="str">
        <f>'銀行-TSS'!A13</f>
        <v>XS1274823571</v>
      </c>
      <c r="B13" s="151" t="str">
        <f ca="1">VLOOKUP(A13,'銀行-TSS'!A:B,2,FALSE)</f>
        <v>XFE40</v>
      </c>
      <c r="C13" s="151" t="str">
        <f ca="1">VLOOKUP(B13,bond!B:C,2,FALSE)</f>
        <v>歐洲投資銀行南非幣配息債券 8.75% 2025/8/18</v>
      </c>
      <c r="D13" s="95" t="str">
        <f>VLOOKUP(A13,'銀行-TSS'!A:C,3,FALSE)</f>
        <v>ZAR</v>
      </c>
      <c r="E13" s="90">
        <f ca="1">VLOOKUP(A13,'銀行-TSS'!A:G,7,FALSE)</f>
        <v>1.1299999999999999</v>
      </c>
      <c r="F13" s="202">
        <f ca="1">VLOOKUP(A13,'銀行-TSS'!A:H,8,FALSE)</f>
        <v>8.7499999999999994E-2</v>
      </c>
      <c r="G13" s="96">
        <f ca="1">VLOOKUP(A13,'銀行-TSS'!A:K,11,FALSE)</f>
        <v>109.54</v>
      </c>
      <c r="H13" s="1209">
        <f ca="1">VLOOKUP(A13,'銀行-TSS'!A:M,13,FALSE)</f>
        <v>6.9199999999999998E-2</v>
      </c>
      <c r="I13" s="1213">
        <f ca="1">VLOOKUP(A13,'銀行-TSS'!A:N,14,FALSE)</f>
        <v>100000</v>
      </c>
      <c r="J13" s="1213">
        <f ca="1">VLOOKUP(A13,'銀行-TSS'!A:O,15,FALSE)</f>
        <v>5000</v>
      </c>
      <c r="K13" s="136" t="str">
        <f ca="1">VLOOKUP(A13,'銀行-TSS'!A:V,22,FALSE)</f>
        <v>(NPI)非專投</v>
      </c>
      <c r="L13" s="136" t="str">
        <f ca="1">VLOOKUP(A13,'銀行-TSS'!A:AK,37,FALSE)</f>
        <v>有</v>
      </c>
      <c r="M13" s="136" t="str">
        <f ca="1">VLOOKUP(A13,'銀行-TSS'!A:AN,40,FALSE)</f>
        <v/>
      </c>
      <c r="N13" s="1211">
        <f t="shared" ca="1" si="11"/>
        <v>5477</v>
      </c>
      <c r="O13" s="1211">
        <f t="shared" ca="1" si="12"/>
        <v>109540</v>
      </c>
      <c r="P13" s="1213">
        <f ca="1">IF(AND(換券投組!$D$17&gt;=O13,換券投組!$D$13=D13),I13+INT((換券投組!$D$17-O13)/N13)*J13,0)</f>
        <v>0</v>
      </c>
      <c r="Q13" s="1211">
        <f t="shared" ca="1" si="13"/>
        <v>0</v>
      </c>
      <c r="R13" s="1213">
        <f t="shared" ca="1" si="14"/>
        <v>0</v>
      </c>
      <c r="S13" s="1213">
        <f t="shared" ca="1" si="15"/>
        <v>0</v>
      </c>
      <c r="T13" s="136">
        <f t="shared" ca="1" si="5"/>
        <v>0</v>
      </c>
      <c r="U13" s="861">
        <f t="shared" ca="1" si="6"/>
        <v>0</v>
      </c>
      <c r="V13" s="136" t="b">
        <f ca="1">IF(OR(D13&lt;&gt;"USD",L13="無",M13&lt;&gt;"",K13="高資產",IFERROR(MATCH(B13,換券投組!K:K,0),"N")&lt;&gt;"N",IFERROR(MATCH(B13,換券投組!J:J,0),"N")&lt;&gt;"N"),FALSE,IF($V$1="All",TRUE,IF(K13=$V$1,TRUE,FALSE)))</f>
        <v>0</v>
      </c>
      <c r="W13" s="136">
        <f ca="1">VLOOKUP(A13,'銀行-TSS'!A:AO,41,FALSE)</f>
        <v>101.39</v>
      </c>
      <c r="X13" s="136">
        <f ca="1">VLOOKUP(A13,'銀行-TSS'!A:AP,42,FALSE)</f>
        <v>0.97170000000000001</v>
      </c>
      <c r="Y13" s="1223">
        <f t="shared" ca="1" si="16"/>
        <v>0</v>
      </c>
      <c r="Z13" s="1211">
        <f t="shared" ca="1" si="17"/>
        <v>0</v>
      </c>
      <c r="AA13" s="136">
        <f ca="1">IF(Z13&lt;=0,0,RANK(Z13,Z:Z)+COUNTIF($Z$3:$Z13,Z13)-1)</f>
        <v>0</v>
      </c>
      <c r="AB13" s="1211">
        <f t="shared" ca="1" si="9"/>
        <v>0</v>
      </c>
      <c r="AC13" s="136">
        <f ca="1">IF(AB13&lt;=0,0,RANK(AB13,AB:AB)+COUNTIF($AB$3:$AB13,AB13)-1)</f>
        <v>0</v>
      </c>
      <c r="AD13" s="136">
        <f t="shared" ca="1" si="18"/>
        <v>99999</v>
      </c>
      <c r="AE13" s="136">
        <f ca="1">IF(AD13=99999,0,RANK(AD13,AD:AD,1)+COUNTIF($AD$3:$AD13,AD13)-1)</f>
        <v>0</v>
      </c>
    </row>
    <row r="14" spans="1:31">
      <c r="A14" s="141" t="str">
        <f>'銀行-TSS'!A14</f>
        <v>XS1054250318</v>
      </c>
      <c r="B14" s="151" t="str">
        <f ca="1">VLOOKUP(A14,'銀行-TSS'!A:B,2,FALSE)</f>
        <v>XFF20 </v>
      </c>
      <c r="C14" s="151" t="str">
        <f ca="1">VLOOKUP(B14,bond!B:C,2,FALSE)</f>
        <v>沙烏地電力美元配息債券 5.5% 2044/4/8</v>
      </c>
      <c r="D14" s="95" t="str">
        <f>VLOOKUP(A14,'銀行-TSS'!A:C,3,FALSE)</f>
        <v>USD</v>
      </c>
      <c r="E14" s="90">
        <f ca="1">VLOOKUP(A14,'銀行-TSS'!A:G,7,FALSE)</f>
        <v>19.760000000000002</v>
      </c>
      <c r="F14" s="202">
        <f ca="1">VLOOKUP(A14,'銀行-TSS'!A:H,8,FALSE)</f>
        <v>5.5E-2</v>
      </c>
      <c r="G14" s="96">
        <f ca="1">VLOOKUP(A14,'銀行-TSS'!A:K,11,FALSE)</f>
        <v>102.29</v>
      </c>
      <c r="H14" s="1209">
        <f ca="1">VLOOKUP(A14,'銀行-TSS'!A:M,13,FALSE)</f>
        <v>5.4199999999999998E-2</v>
      </c>
      <c r="I14" s="1213">
        <f ca="1">VLOOKUP(A14,'銀行-TSS'!A:N,14,FALSE)</f>
        <v>200000</v>
      </c>
      <c r="J14" s="1213">
        <f ca="1">VLOOKUP(A14,'銀行-TSS'!A:O,15,FALSE)</f>
        <v>1000</v>
      </c>
      <c r="K14" s="136" t="str">
        <f ca="1">VLOOKUP(A14,'銀行-TSS'!A:V,22,FALSE)</f>
        <v>(NPI)非專投</v>
      </c>
      <c r="L14" s="136" t="str">
        <f ca="1">VLOOKUP(A14,'銀行-TSS'!A:AK,37,FALSE)</f>
        <v>無</v>
      </c>
      <c r="M14" s="136" t="str">
        <f ca="1">VLOOKUP(A14,'銀行-TSS'!A:AN,40,FALSE)</f>
        <v>XFF20 </v>
      </c>
      <c r="N14" s="1211">
        <f t="shared" ca="1" si="11"/>
        <v>1022.9</v>
      </c>
      <c r="O14" s="1211">
        <f t="shared" ca="1" si="12"/>
        <v>204580</v>
      </c>
      <c r="P14" s="1213">
        <f ca="1">IF(AND(換券投組!$D$17&gt;=O14,換券投組!$D$13=D14),I14+INT((換券投組!$D$17-O14)/N14)*J14,0)</f>
        <v>0</v>
      </c>
      <c r="Q14" s="1211">
        <f t="shared" ca="1" si="13"/>
        <v>0</v>
      </c>
      <c r="R14" s="1213">
        <f t="shared" ca="1" si="14"/>
        <v>0</v>
      </c>
      <c r="S14" s="1213">
        <f t="shared" ca="1" si="15"/>
        <v>0</v>
      </c>
      <c r="T14" s="136">
        <f t="shared" ca="1" si="5"/>
        <v>0</v>
      </c>
      <c r="U14" s="861">
        <f t="shared" ca="1" si="6"/>
        <v>0</v>
      </c>
      <c r="V14" s="136" t="b">
        <f ca="1">IF(OR(D14&lt;&gt;"USD",L14="無",M14&lt;&gt;"",K14="高資產",IFERROR(MATCH(B14,換券投組!K:K,0),"N")&lt;&gt;"N",IFERROR(MATCH(B14,換券投組!J:J,0),"N")&lt;&gt;"N"),FALSE,IF($V$1="All",TRUE,IF(K14=$V$1,TRUE,FALSE)))</f>
        <v>0</v>
      </c>
      <c r="W14" s="136">
        <f ca="1">VLOOKUP(A14,'銀行-TSS'!A:AO,41,FALSE)</f>
        <v>97.990000000000009</v>
      </c>
      <c r="X14" s="136">
        <f ca="1">VLOOKUP(A14,'銀行-TSS'!A:AP,42,FALSE)</f>
        <v>11.747</v>
      </c>
      <c r="Y14" s="1223">
        <f t="shared" ca="1" si="16"/>
        <v>0</v>
      </c>
      <c r="Z14" s="1211">
        <f t="shared" ca="1" si="17"/>
        <v>0</v>
      </c>
      <c r="AA14" s="136">
        <f ca="1">IF(Z14&lt;=0,0,RANK(Z14,Z:Z)+COUNTIF($Z$3:$Z14,Z14)-1)</f>
        <v>0</v>
      </c>
      <c r="AB14" s="1211">
        <f t="shared" ca="1" si="9"/>
        <v>0</v>
      </c>
      <c r="AC14" s="136">
        <f ca="1">IF(AB14&lt;=0,0,RANK(AB14,AB:AB)+COUNTIF($AB$3:$AB14,AB14)-1)</f>
        <v>0</v>
      </c>
      <c r="AD14" s="136">
        <f t="shared" ca="1" si="18"/>
        <v>99999</v>
      </c>
      <c r="AE14" s="136">
        <f ca="1">IF(AD14=99999,0,RANK(AD14,AD:AD,1)+COUNTIF($AD$3:$AD14,AD14)-1)</f>
        <v>0</v>
      </c>
    </row>
    <row r="15" spans="1:31">
      <c r="A15" s="141" t="str">
        <f>'銀行-TSS'!A15</f>
        <v>XS1291352711</v>
      </c>
      <c r="B15" s="151" t="str">
        <f ca="1">VLOOKUP(A15,'銀行-TSS'!A:B,2,FALSE)</f>
        <v>OAZ20</v>
      </c>
      <c r="C15" s="151" t="str">
        <f ca="1">VLOOKUP(B15,bond!B:C,2,FALSE)</f>
        <v>西班牙國際銀行英國控股公司美元配息債券 5.625% 2045/9/15</v>
      </c>
      <c r="D15" s="95" t="str">
        <f>VLOOKUP(A15,'銀行-TSS'!A:C,3,FALSE)</f>
        <v>USD</v>
      </c>
      <c r="E15" s="90">
        <f ca="1">VLOOKUP(A15,'銀行-TSS'!A:G,7,FALSE)</f>
        <v>21.2</v>
      </c>
      <c r="F15" s="202">
        <f ca="1">VLOOKUP(A15,'銀行-TSS'!A:H,8,FALSE)</f>
        <v>5.6250000000000001E-2</v>
      </c>
      <c r="G15" s="96">
        <f ca="1">VLOOKUP(A15,'銀行-TSS'!A:K,11,FALSE)</f>
        <v>89.85</v>
      </c>
      <c r="H15" s="1209">
        <f ca="1">VLOOKUP(A15,'銀行-TSS'!A:M,13,FALSE)</f>
        <v>6.6799999999999998E-2</v>
      </c>
      <c r="I15" s="1213">
        <f ca="1">VLOOKUP(A15,'銀行-TSS'!A:N,14,FALSE)</f>
        <v>200000</v>
      </c>
      <c r="J15" s="1213">
        <f ca="1">VLOOKUP(A15,'銀行-TSS'!A:O,15,FALSE)</f>
        <v>1000</v>
      </c>
      <c r="K15" s="136" t="str">
        <f ca="1">VLOOKUP(A15,'銀行-TSS'!A:V,22,FALSE)</f>
        <v>(PI)專投</v>
      </c>
      <c r="L15" s="136" t="str">
        <f ca="1">VLOOKUP(A15,'銀行-TSS'!A:AK,37,FALSE)</f>
        <v>需查詢</v>
      </c>
      <c r="M15" s="136" t="str">
        <f ca="1">VLOOKUP(A15,'銀行-TSS'!A:AN,40,FALSE)</f>
        <v>OAZ20</v>
      </c>
      <c r="N15" s="1211">
        <f t="shared" ca="1" si="11"/>
        <v>898.5</v>
      </c>
      <c r="O15" s="1211">
        <f t="shared" ca="1" si="12"/>
        <v>179700</v>
      </c>
      <c r="P15" s="1213">
        <f ca="1">IF(AND(換券投組!$D$17&gt;=O15,換券投組!$D$13=D15),I15+INT((換券投組!$D$17-O15)/N15)*J15,0)</f>
        <v>0</v>
      </c>
      <c r="Q15" s="1211">
        <f t="shared" ca="1" si="13"/>
        <v>0</v>
      </c>
      <c r="R15" s="1213">
        <f t="shared" ca="1" si="14"/>
        <v>0</v>
      </c>
      <c r="S15" s="1213">
        <f t="shared" ca="1" si="15"/>
        <v>0</v>
      </c>
      <c r="T15" s="136">
        <f t="shared" ca="1" si="5"/>
        <v>0</v>
      </c>
      <c r="U15" s="861">
        <f t="shared" ca="1" si="6"/>
        <v>0</v>
      </c>
      <c r="V15" s="136" t="b">
        <f ca="1">IF(OR(D15&lt;&gt;"USD",L15="無",M15&lt;&gt;"",K15="高資產",IFERROR(MATCH(B15,換券投組!K:K,0),"N")&lt;&gt;"N",IFERROR(MATCH(B15,換券投組!J:J,0),"N")&lt;&gt;"N"),FALSE,IF($V$1="All",TRUE,IF(K15=$V$1,TRUE,FALSE)))</f>
        <v>0</v>
      </c>
      <c r="W15" s="136">
        <f ca="1">VLOOKUP(A15,'銀行-TSS'!A:AO,41,FALSE)</f>
        <v>84.16</v>
      </c>
      <c r="X15" s="136">
        <f ca="1">VLOOKUP(A15,'銀行-TSS'!A:AP,42,FALSE)</f>
        <v>11.256500000000001</v>
      </c>
      <c r="Y15" s="1223">
        <f t="shared" ca="1" si="16"/>
        <v>0</v>
      </c>
      <c r="Z15" s="1211">
        <f t="shared" ca="1" si="17"/>
        <v>0</v>
      </c>
      <c r="AA15" s="136">
        <f ca="1">IF(Z15&lt;=0,0,RANK(Z15,Z:Z)+COUNTIF($Z$3:$Z15,Z15)-1)</f>
        <v>0</v>
      </c>
      <c r="AB15" s="1211">
        <f t="shared" ca="1" si="9"/>
        <v>0</v>
      </c>
      <c r="AC15" s="136">
        <f ca="1">IF(AB15&lt;=0,0,RANK(AB15,AB:AB)+COUNTIF($AB$3:$AB15,AB15)-1)</f>
        <v>0</v>
      </c>
      <c r="AD15" s="136">
        <f t="shared" ca="1" si="18"/>
        <v>99999</v>
      </c>
      <c r="AE15" s="136">
        <f ca="1">IF(AD15=99999,0,RANK(AD15,AD:AD,1)+COUNTIF($AD$3:$AD15,AD15)-1)</f>
        <v>0</v>
      </c>
    </row>
    <row r="16" spans="1:31">
      <c r="A16" s="141" t="str">
        <f>'銀行-TSS'!A16</f>
        <v>XS0082826255</v>
      </c>
      <c r="B16" s="151" t="str">
        <f ca="1">VLOOKUP(A16,'銀行-TSS'!A:B,2,FALSE)</f>
        <v>XFE90</v>
      </c>
      <c r="C16" s="151" t="str">
        <f ca="1">VLOOKUP(B16,bond!B:C,2,FALSE)</f>
        <v>歐洲復興開發銀行南非幣零息債券 0% 2028/12/29</v>
      </c>
      <c r="D16" s="95" t="str">
        <f>VLOOKUP(A16,'銀行-TSS'!A:C,3,FALSE)</f>
        <v>ZAR</v>
      </c>
      <c r="E16" s="90">
        <f ca="1">VLOOKUP(A16,'銀行-TSS'!A:G,7,FALSE)</f>
        <v>4.49</v>
      </c>
      <c r="F16" s="202">
        <f ca="1">VLOOKUP(A16,'銀行-TSS'!A:H,8,FALSE)</f>
        <v>0</v>
      </c>
      <c r="G16" s="96">
        <f ca="1">VLOOKUP(A16,'銀行-TSS'!A:K,11,FALSE)</f>
        <v>72.069999999999993</v>
      </c>
      <c r="H16" s="1209">
        <f ca="1">VLOOKUP(A16,'銀行-TSS'!A:M,13,FALSE)</f>
        <v>7.5700000000000003E-2</v>
      </c>
      <c r="I16" s="1213">
        <f ca="1">VLOOKUP(A16,'銀行-TSS'!A:N,14,FALSE)</f>
        <v>100000</v>
      </c>
      <c r="J16" s="1213">
        <f ca="1">VLOOKUP(A16,'銀行-TSS'!A:O,15,FALSE)</f>
        <v>50000</v>
      </c>
      <c r="K16" s="136" t="str">
        <f ca="1">VLOOKUP(A16,'銀行-TSS'!A:V,22,FALSE)</f>
        <v>(NPI)非專投</v>
      </c>
      <c r="L16" s="136" t="str">
        <f ca="1">VLOOKUP(A16,'銀行-TSS'!A:AK,37,FALSE)</f>
        <v>無</v>
      </c>
      <c r="M16" s="136" t="str">
        <f ca="1">VLOOKUP(A16,'銀行-TSS'!A:AN,40,FALSE)</f>
        <v>XFE90</v>
      </c>
      <c r="N16" s="1211">
        <f t="shared" ca="1" si="11"/>
        <v>36034.999999999993</v>
      </c>
      <c r="O16" s="1211">
        <f t="shared" ca="1" si="12"/>
        <v>72069.999999999985</v>
      </c>
      <c r="P16" s="1213">
        <f ca="1">IF(AND(換券投組!$D$17&gt;=O16,換券投組!$D$13=D16),I16+INT((換券投組!$D$17-O16)/N16)*J16,0)</f>
        <v>0</v>
      </c>
      <c r="Q16" s="1211">
        <f t="shared" ca="1" si="13"/>
        <v>0</v>
      </c>
      <c r="R16" s="1213">
        <f t="shared" ca="1" si="14"/>
        <v>0</v>
      </c>
      <c r="S16" s="1213">
        <f t="shared" ca="1" si="15"/>
        <v>0</v>
      </c>
      <c r="T16" s="136">
        <f t="shared" ca="1" si="5"/>
        <v>0</v>
      </c>
      <c r="U16" s="861">
        <f t="shared" ca="1" si="6"/>
        <v>0</v>
      </c>
      <c r="V16" s="136" t="b">
        <f ca="1">IF(OR(D16&lt;&gt;"USD",L16="無",M16&lt;&gt;"",K16="高資產",IFERROR(MATCH(B16,換券投組!K:K,0),"N")&lt;&gt;"N",IFERROR(MATCH(B16,換券投組!J:J,0),"N")&lt;&gt;"N"),FALSE,IF($V$1="All",TRUE,IF(K16=$V$1,TRUE,FALSE)))</f>
        <v>0</v>
      </c>
      <c r="W16" s="136">
        <f ca="1">VLOOKUP(A16,'銀行-TSS'!A:AO,41,FALSE)</f>
        <v>70.070000000000007</v>
      </c>
      <c r="X16" s="136">
        <f ca="1">VLOOKUP(A16,'銀行-TSS'!A:AP,42,FALSE)</f>
        <v>4.3151999999999999</v>
      </c>
      <c r="Y16" s="1223">
        <f t="shared" ca="1" si="16"/>
        <v>0</v>
      </c>
      <c r="Z16" s="1211">
        <f t="shared" ca="1" si="17"/>
        <v>0</v>
      </c>
      <c r="AA16" s="136">
        <f ca="1">IF(Z16&lt;=0,0,RANK(Z16,Z:Z)+COUNTIF($Z$3:$Z16,Z16)-1)</f>
        <v>0</v>
      </c>
      <c r="AB16" s="1211">
        <f t="shared" ca="1" si="9"/>
        <v>0</v>
      </c>
      <c r="AC16" s="136">
        <f ca="1">IF(AB16&lt;=0,0,RANK(AB16,AB:AB)+COUNTIF($AB$3:$AB16,AB16)-1)</f>
        <v>0</v>
      </c>
      <c r="AD16" s="136">
        <f t="shared" ca="1" si="18"/>
        <v>99999</v>
      </c>
      <c r="AE16" s="136">
        <f ca="1">IF(AD16=99999,0,RANK(AD16,AD:AD,1)+COUNTIF($AD$3:$AD16,AD16)-1)</f>
        <v>0</v>
      </c>
    </row>
    <row r="17" spans="1:31">
      <c r="A17" s="141" t="str">
        <f>'銀行-TSS'!A17</f>
        <v>US056752AG38</v>
      </c>
      <c r="B17" s="151" t="str">
        <f ca="1">VLOOKUP(A17,'銀行-TSS'!A:B,2,FALSE)</f>
        <v>XFF40</v>
      </c>
      <c r="C17" s="151" t="str">
        <f ca="1">VLOOKUP(B17,bond!B:C,2,FALSE)</f>
        <v>百度公司美元配息債券 4.125% 2025/6/30</v>
      </c>
      <c r="D17" s="95" t="str">
        <f>VLOOKUP(A17,'銀行-TSS'!A:C,3,FALSE)</f>
        <v>USD</v>
      </c>
      <c r="E17" s="90">
        <f ca="1">VLOOKUP(A17,'銀行-TSS'!A:G,7,FALSE)</f>
        <v>0.99</v>
      </c>
      <c r="F17" s="202">
        <f ca="1">VLOOKUP(A17,'銀行-TSS'!A:H,8,FALSE)</f>
        <v>4.1250000000000002E-2</v>
      </c>
      <c r="G17" s="96">
        <f ca="1">VLOOKUP(A17,'銀行-TSS'!A:K,11,FALSE)</f>
        <v>100.07</v>
      </c>
      <c r="H17" s="1209">
        <f ca="1">VLOOKUP(A17,'銀行-TSS'!A:M,13,FALSE)</f>
        <v>4.07E-2</v>
      </c>
      <c r="I17" s="1213">
        <f ca="1">VLOOKUP(A17,'銀行-TSS'!A:N,14,FALSE)</f>
        <v>200000</v>
      </c>
      <c r="J17" s="1213">
        <f ca="1">VLOOKUP(A17,'銀行-TSS'!A:O,15,FALSE)</f>
        <v>1000</v>
      </c>
      <c r="K17" s="136" t="str">
        <f ca="1">VLOOKUP(A17,'銀行-TSS'!A:V,22,FALSE)</f>
        <v>(NPI)非專投</v>
      </c>
      <c r="L17" s="136" t="str">
        <f ca="1">VLOOKUP(A17,'銀行-TSS'!A:AK,37,FALSE)</f>
        <v>無</v>
      </c>
      <c r="M17" s="136" t="str">
        <f ca="1">VLOOKUP(A17,'銀行-TSS'!A:AN,40,FALSE)</f>
        <v>XFF40</v>
      </c>
      <c r="N17" s="1211">
        <f t="shared" ca="1" si="11"/>
        <v>1000.7</v>
      </c>
      <c r="O17" s="1211">
        <f t="shared" ca="1" si="12"/>
        <v>200140</v>
      </c>
      <c r="P17" s="1213">
        <f ca="1">IF(AND(換券投組!$D$17&gt;=O17,換券投組!$D$13=D17),I17+INT((換券投組!$D$17-O17)/N17)*J17,0)</f>
        <v>0</v>
      </c>
      <c r="Q17" s="1211">
        <f t="shared" ca="1" si="13"/>
        <v>0</v>
      </c>
      <c r="R17" s="1213">
        <f t="shared" ca="1" si="14"/>
        <v>0</v>
      </c>
      <c r="S17" s="1213">
        <f t="shared" ca="1" si="15"/>
        <v>0</v>
      </c>
      <c r="T17" s="136">
        <f t="shared" ca="1" si="5"/>
        <v>0</v>
      </c>
      <c r="U17" s="861">
        <f t="shared" ca="1" si="6"/>
        <v>0</v>
      </c>
      <c r="V17" s="136" t="b">
        <f ca="1">IF(OR(D17&lt;&gt;"USD",L17="無",M17&lt;&gt;"",K17="高資產",IFERROR(MATCH(B17,換券投組!K:K,0),"N")&lt;&gt;"N",IFERROR(MATCH(B17,換券投組!J:J,0),"N")&lt;&gt;"N"),FALSE,IF($V$1="All",TRUE,IF(K17=$V$1,TRUE,FALSE)))</f>
        <v>0</v>
      </c>
      <c r="W17" s="136">
        <f ca="1">VLOOKUP(A17,'銀行-TSS'!A:AO,41,FALSE)</f>
        <v>99.050000000000011</v>
      </c>
      <c r="X17" s="136">
        <f ca="1">VLOOKUP(A17,'銀行-TSS'!A:AP,42,FALSE)</f>
        <v>0.96120000000000005</v>
      </c>
      <c r="Y17" s="1223">
        <f t="shared" ca="1" si="16"/>
        <v>0</v>
      </c>
      <c r="Z17" s="1211">
        <f t="shared" ca="1" si="17"/>
        <v>0</v>
      </c>
      <c r="AA17" s="136">
        <f ca="1">IF(Z17&lt;=0,0,RANK(Z17,Z:Z)+COUNTIF($Z$3:$Z17,Z17)-1)</f>
        <v>0</v>
      </c>
      <c r="AB17" s="1211">
        <f t="shared" ca="1" si="9"/>
        <v>0</v>
      </c>
      <c r="AC17" s="136">
        <f ca="1">IF(AB17&lt;=0,0,RANK(AB17,AB:AB)+COUNTIF($AB$3:$AB17,AB17)-1)</f>
        <v>0</v>
      </c>
      <c r="AD17" s="136">
        <f t="shared" ca="1" si="18"/>
        <v>99999</v>
      </c>
      <c r="AE17" s="136">
        <f ca="1">IF(AD17=99999,0,RANK(AD17,AD:AD,1)+COUNTIF($AD$3:$AD17,AD17)-1)</f>
        <v>0</v>
      </c>
    </row>
    <row r="18" spans="1:31">
      <c r="A18" s="141" t="str">
        <f>'銀行-TSS'!A18</f>
        <v>US81180WAL54</v>
      </c>
      <c r="B18" s="151" t="str">
        <f ca="1">VLOOKUP(A18,'銀行-TSS'!A:B,2,FALSE)</f>
        <v>XFF50</v>
      </c>
      <c r="C18" s="151" t="str">
        <f ca="1">VLOOKUP(B18,bond!B:C,2,FALSE)</f>
        <v>希捷硬碟美元配息債券 4.75% 2025/1/1</v>
      </c>
      <c r="D18" s="95" t="str">
        <f>VLOOKUP(A18,'銀行-TSS'!A:C,3,FALSE)</f>
        <v>USD</v>
      </c>
      <c r="E18" s="90">
        <f ca="1">VLOOKUP(A18,'銀行-TSS'!A:G,7,FALSE)</f>
        <v>0.5</v>
      </c>
      <c r="F18" s="202">
        <f ca="1">VLOOKUP(A18,'銀行-TSS'!A:H,8,FALSE)</f>
        <v>4.7500000000000001E-2</v>
      </c>
      <c r="G18" s="96">
        <f ca="1">VLOOKUP(A18,'銀行-TSS'!A:K,11,FALSE)</f>
        <v>101.77</v>
      </c>
      <c r="H18" s="1209">
        <f ca="1">VLOOKUP(A18,'銀行-TSS'!A:M,13,FALSE)</f>
        <v>1.1900000000000001E-2</v>
      </c>
      <c r="I18" s="1213">
        <f ca="1">VLOOKUP(A18,'銀行-TSS'!A:N,14,FALSE)</f>
        <v>10000</v>
      </c>
      <c r="J18" s="1213">
        <f ca="1">VLOOKUP(A18,'銀行-TSS'!A:O,15,FALSE)</f>
        <v>1000</v>
      </c>
      <c r="K18" s="136" t="str">
        <f ca="1">VLOOKUP(A18,'銀行-TSS'!A:V,22,FALSE)</f>
        <v>(PI)專投</v>
      </c>
      <c r="L18" s="136" t="str">
        <f ca="1">VLOOKUP(A18,'銀行-TSS'!A:AK,37,FALSE)</f>
        <v>有</v>
      </c>
      <c r="M18" s="136" t="str">
        <f ca="1">VLOOKUP(A18,'銀行-TSS'!A:AN,40,FALSE)</f>
        <v>XFF50</v>
      </c>
      <c r="N18" s="1211">
        <f t="shared" ca="1" si="11"/>
        <v>1017.7</v>
      </c>
      <c r="O18" s="1211">
        <f t="shared" ca="1" si="12"/>
        <v>10177</v>
      </c>
      <c r="P18" s="1213">
        <f ca="1">IF(AND(換券投組!$D$17&gt;=O18,換券投組!$D$13=D18),I18+INT((換券投組!$D$17-O18)/N18)*J18,0)</f>
        <v>0</v>
      </c>
      <c r="Q18" s="1211">
        <f t="shared" ca="1" si="13"/>
        <v>0</v>
      </c>
      <c r="R18" s="1213">
        <f t="shared" ca="1" si="14"/>
        <v>0</v>
      </c>
      <c r="S18" s="1213">
        <f t="shared" ca="1" si="15"/>
        <v>0</v>
      </c>
      <c r="T18" s="136">
        <f t="shared" ca="1" si="5"/>
        <v>0</v>
      </c>
      <c r="U18" s="861">
        <f t="shared" ca="1" si="6"/>
        <v>0</v>
      </c>
      <c r="V18" s="136" t="b">
        <f ca="1">IF(OR(D18&lt;&gt;"USD",L18="無",M18&lt;&gt;"",K18="高資產",IFERROR(MATCH(B18,換券投組!K:K,0),"N")&lt;&gt;"N",IFERROR(MATCH(B18,換券投組!J:J,0),"N")&lt;&gt;"N"),FALSE,IF($V$1="All",TRUE,IF(K18=$V$1,TRUE,FALSE)))</f>
        <v>0</v>
      </c>
      <c r="W18" s="136">
        <f ca="1">VLOOKUP(A18,'銀行-TSS'!A:AO,41,FALSE)</f>
        <v>99.76</v>
      </c>
      <c r="X18" s="136">
        <f ca="1">VLOOKUP(A18,'銀行-TSS'!A:AP,42,FALSE)</f>
        <v>0.48780000000000001</v>
      </c>
      <c r="Y18" s="1223">
        <f t="shared" ca="1" si="16"/>
        <v>0</v>
      </c>
      <c r="Z18" s="1211">
        <f t="shared" ca="1" si="17"/>
        <v>0</v>
      </c>
      <c r="AA18" s="136">
        <f ca="1">IF(Z18&lt;=0,0,RANK(Z18,Z:Z)+COUNTIF($Z$3:$Z18,Z18)-1)</f>
        <v>0</v>
      </c>
      <c r="AB18" s="1211">
        <f t="shared" ca="1" si="9"/>
        <v>0</v>
      </c>
      <c r="AC18" s="136">
        <f ca="1">IF(AB18&lt;=0,0,RANK(AB18,AB:AB)+COUNTIF($AB$3:$AB18,AB18)-1)</f>
        <v>0</v>
      </c>
      <c r="AD18" s="136">
        <f t="shared" ca="1" si="18"/>
        <v>99999</v>
      </c>
      <c r="AE18" s="136">
        <f ca="1">IF(AD18=99999,0,RANK(AD18,AD:AD,1)+COUNTIF($AD$3:$AD18,AD18)-1)</f>
        <v>0</v>
      </c>
    </row>
    <row r="19" spans="1:31">
      <c r="A19" s="141" t="str">
        <f>'銀行-TSS'!A19</f>
        <v>US594918BS26</v>
      </c>
      <c r="B19" s="151" t="str">
        <f ca="1">VLOOKUP(A19,'銀行-TSS'!A:B,2,FALSE)</f>
        <v>XFF70</v>
      </c>
      <c r="C19" s="151" t="str">
        <f ca="1">VLOOKUP(B19,bond!B:C,2,FALSE)</f>
        <v>微軟美元配息債券 3.45% 2036/8/8</v>
      </c>
      <c r="D19" s="95" t="str">
        <f>VLOOKUP(A19,'銀行-TSS'!A:C,3,FALSE)</f>
        <v>USD</v>
      </c>
      <c r="E19" s="90">
        <f ca="1">VLOOKUP(A19,'銀行-TSS'!A:G,7,FALSE)</f>
        <v>12.1</v>
      </c>
      <c r="F19" s="202">
        <f ca="1">VLOOKUP(A19,'銀行-TSS'!A:H,8,FALSE)</f>
        <v>3.4500000000000003E-2</v>
      </c>
      <c r="G19" s="96">
        <f ca="1">VLOOKUP(A19,'銀行-TSS'!A:K,11,FALSE)</f>
        <v>91.72</v>
      </c>
      <c r="H19" s="1209">
        <f ca="1">VLOOKUP(A19,'銀行-TSS'!A:M,13,FALSE)</f>
        <v>4.4900000000000002E-2</v>
      </c>
      <c r="I19" s="1213">
        <f ca="1">VLOOKUP(A19,'銀行-TSS'!A:N,14,FALSE)</f>
        <v>10000</v>
      </c>
      <c r="J19" s="1213">
        <f ca="1">VLOOKUP(A19,'銀行-TSS'!A:O,15,FALSE)</f>
        <v>1000</v>
      </c>
      <c r="K19" s="136" t="str">
        <f ca="1">VLOOKUP(A19,'銀行-TSS'!A:V,22,FALSE)</f>
        <v>(NPI)非專投</v>
      </c>
      <c r="L19" s="136" t="str">
        <f ca="1">VLOOKUP(A19,'銀行-TSS'!A:AK,37,FALSE)</f>
        <v>有</v>
      </c>
      <c r="M19" s="136" t="str">
        <f ca="1">VLOOKUP(A19,'銀行-TSS'!A:AN,40,FALSE)</f>
        <v/>
      </c>
      <c r="N19" s="1211">
        <f t="shared" ca="1" si="11"/>
        <v>917.2</v>
      </c>
      <c r="O19" s="1211">
        <f t="shared" ca="1" si="12"/>
        <v>9172</v>
      </c>
      <c r="P19" s="1213">
        <f ca="1">IF(AND(換券投組!$D$17&gt;=O19,換券投組!$D$13=D19),I19+INT((換券投組!$D$17-O19)/N19)*J19,0)</f>
        <v>0</v>
      </c>
      <c r="Q19" s="1211">
        <f t="shared" ca="1" si="13"/>
        <v>0</v>
      </c>
      <c r="R19" s="1213">
        <f t="shared" ca="1" si="14"/>
        <v>0</v>
      </c>
      <c r="S19" s="1213">
        <f t="shared" ca="1" si="15"/>
        <v>0</v>
      </c>
      <c r="T19" s="136">
        <f t="shared" ca="1" si="5"/>
        <v>0</v>
      </c>
      <c r="U19" s="861">
        <f t="shared" ca="1" si="6"/>
        <v>0</v>
      </c>
      <c r="V19" s="136" t="b">
        <f ca="1">IF(OR(D19&lt;&gt;"USD",L19="無",M19&lt;&gt;"",K19="高資產",IFERROR(MATCH(B19,換券投組!K:K,0),"N")&lt;&gt;"N",IFERROR(MATCH(B19,換券投組!J:J,0),"N")&lt;&gt;"N"),FALSE,IF($V$1="All",TRUE,IF(K19=$V$1,TRUE,FALSE)))</f>
        <v>1</v>
      </c>
      <c r="W19" s="136">
        <f ca="1">VLOOKUP(A19,'銀行-TSS'!A:AO,41,FALSE)</f>
        <v>87.84</v>
      </c>
      <c r="X19" s="136">
        <f ca="1">VLOOKUP(A19,'銀行-TSS'!A:AP,42,FALSE)</f>
        <v>9.4621999999999993</v>
      </c>
      <c r="Y19" s="1223">
        <f t="shared" ca="1" si="16"/>
        <v>0</v>
      </c>
      <c r="Z19" s="1211">
        <f t="shared" ca="1" si="17"/>
        <v>0</v>
      </c>
      <c r="AA19" s="136">
        <f ca="1">IF(Z19&lt;=0,0,RANK(Z19,Z:Z)+COUNTIF($Z$3:$Z19,Z19)-1)</f>
        <v>0</v>
      </c>
      <c r="AB19" s="1211">
        <f t="shared" ca="1" si="9"/>
        <v>0</v>
      </c>
      <c r="AC19" s="136">
        <f ca="1">IF(AB19&lt;=0,0,RANK(AB19,AB:AB)+COUNTIF($AB$3:$AB19,AB19)-1)</f>
        <v>0</v>
      </c>
      <c r="AD19" s="136">
        <f t="shared" ca="1" si="18"/>
        <v>99999</v>
      </c>
      <c r="AE19" s="136">
        <f ca="1">IF(AD19=99999,0,RANK(AD19,AD:AD,1)+COUNTIF($AD$3:$AD19,AD19)-1)</f>
        <v>0</v>
      </c>
    </row>
    <row r="20" spans="1:31">
      <c r="A20" s="141" t="str">
        <f>'銀行-TSS'!A20</f>
        <v>US037833BZ29</v>
      </c>
      <c r="B20" s="151" t="str">
        <f ca="1">VLOOKUP(A20,'銀行-TSS'!A:B,2,FALSE)</f>
        <v>XFF80</v>
      </c>
      <c r="C20" s="151" t="str">
        <f ca="1">VLOOKUP(B20,bond!B:C,2,FALSE)</f>
        <v>蘋果公司美元配息債券 2.45% 2026/8/4</v>
      </c>
      <c r="D20" s="95" t="str">
        <f>VLOOKUP(A20,'銀行-TSS'!A:C,3,FALSE)</f>
        <v>USD</v>
      </c>
      <c r="E20" s="90">
        <f ca="1">VLOOKUP(A20,'銀行-TSS'!A:G,7,FALSE)</f>
        <v>2.09</v>
      </c>
      <c r="F20" s="202">
        <f ca="1">VLOOKUP(A20,'銀行-TSS'!A:H,8,FALSE)</f>
        <v>2.4500000000000001E-2</v>
      </c>
      <c r="G20" s="96">
        <f ca="1">VLOOKUP(A20,'銀行-TSS'!A:K,11,FALSE)</f>
        <v>97.25</v>
      </c>
      <c r="H20" s="1209">
        <f ca="1">VLOOKUP(A20,'銀行-TSS'!A:M,13,FALSE)</f>
        <v>4.3499999999999997E-2</v>
      </c>
      <c r="I20" s="1213">
        <f ca="1">VLOOKUP(A20,'銀行-TSS'!A:N,14,FALSE)</f>
        <v>10000</v>
      </c>
      <c r="J20" s="1213">
        <f ca="1">VLOOKUP(A20,'銀行-TSS'!A:O,15,FALSE)</f>
        <v>1000</v>
      </c>
      <c r="K20" s="136" t="str">
        <f ca="1">VLOOKUP(A20,'銀行-TSS'!A:V,22,FALSE)</f>
        <v>(NPI)非專投</v>
      </c>
      <c r="L20" s="136" t="str">
        <f ca="1">VLOOKUP(A20,'銀行-TSS'!A:AK,37,FALSE)</f>
        <v>有</v>
      </c>
      <c r="M20" s="136" t="str">
        <f ca="1">VLOOKUP(A20,'銀行-TSS'!A:AN,40,FALSE)</f>
        <v/>
      </c>
      <c r="N20" s="1211">
        <f t="shared" ca="1" si="11"/>
        <v>972.5</v>
      </c>
      <c r="O20" s="1211">
        <f t="shared" ca="1" si="12"/>
        <v>9725</v>
      </c>
      <c r="P20" s="1213">
        <f ca="1">IF(AND(換券投組!$D$17&gt;=O20,換券投組!$D$13=D20),I20+INT((換券投組!$D$17-O20)/N20)*J20,0)</f>
        <v>0</v>
      </c>
      <c r="Q20" s="1211">
        <f t="shared" ca="1" si="13"/>
        <v>0</v>
      </c>
      <c r="R20" s="1213">
        <f t="shared" ca="1" si="14"/>
        <v>0</v>
      </c>
      <c r="S20" s="1213">
        <f t="shared" ca="1" si="15"/>
        <v>0</v>
      </c>
      <c r="T20" s="136">
        <f t="shared" ca="1" si="5"/>
        <v>0</v>
      </c>
      <c r="U20" s="861">
        <f t="shared" ca="1" si="6"/>
        <v>0</v>
      </c>
      <c r="V20" s="136" t="b">
        <f ca="1">IF(OR(D20&lt;&gt;"USD",L20="無",M20&lt;&gt;"",K20="高資產",IFERROR(MATCH(B20,換券投組!K:K,0),"N")&lt;&gt;"N",IFERROR(MATCH(B20,換券投組!J:J,0),"N")&lt;&gt;"N"),FALSE,IF($V$1="All",TRUE,IF(K20=$V$1,TRUE,FALSE)))</f>
        <v>1</v>
      </c>
      <c r="W20" s="136">
        <f ca="1">VLOOKUP(A20,'銀行-TSS'!A:AO,41,FALSE)</f>
        <v>95.440000000000012</v>
      </c>
      <c r="X20" s="136">
        <f ca="1">VLOOKUP(A20,'銀行-TSS'!A:AP,42,FALSE)</f>
        <v>1.9805999999999999</v>
      </c>
      <c r="Y20" s="1223">
        <f t="shared" ca="1" si="16"/>
        <v>0</v>
      </c>
      <c r="Z20" s="1211">
        <f t="shared" ca="1" si="17"/>
        <v>0</v>
      </c>
      <c r="AA20" s="136">
        <f ca="1">IF(Z20&lt;=0,0,RANK(Z20,Z:Z)+COUNTIF($Z$3:$Z20,Z20)-1)</f>
        <v>0</v>
      </c>
      <c r="AB20" s="1211">
        <f t="shared" ca="1" si="9"/>
        <v>0</v>
      </c>
      <c r="AC20" s="136">
        <f ca="1">IF(AB20&lt;=0,0,RANK(AB20,AB:AB)+COUNTIF($AB$3:$AB20,AB20)-1)</f>
        <v>0</v>
      </c>
      <c r="AD20" s="136">
        <f t="shared" ca="1" si="18"/>
        <v>99999</v>
      </c>
      <c r="AE20" s="136">
        <f ca="1">IF(AD20=99999,0,RANK(AD20,AD:AD,1)+COUNTIF($AD$3:$AD20,AD20)-1)</f>
        <v>0</v>
      </c>
    </row>
    <row r="21" spans="1:31">
      <c r="A21" s="141" t="str">
        <f>'銀行-TSS'!A21</f>
        <v>US037833AL42</v>
      </c>
      <c r="B21" s="151" t="str">
        <f ca="1">VLOOKUP(A21,'銀行-TSS'!A:B,2,FALSE)</f>
        <v>XFF90</v>
      </c>
      <c r="C21" s="151" t="str">
        <f ca="1">VLOOKUP(B21,bond!B:C,2,FALSE)</f>
        <v>蘋果公司美元配息債券 3.85% 2043/5/4</v>
      </c>
      <c r="D21" s="95" t="str">
        <f>VLOOKUP(A21,'銀行-TSS'!A:C,3,FALSE)</f>
        <v>USD</v>
      </c>
      <c r="E21" s="90">
        <f ca="1">VLOOKUP(A21,'銀行-TSS'!A:G,7,FALSE)</f>
        <v>18.84</v>
      </c>
      <c r="F21" s="202">
        <f ca="1">VLOOKUP(A21,'銀行-TSS'!A:H,8,FALSE)</f>
        <v>3.85E-2</v>
      </c>
      <c r="G21" s="96">
        <f ca="1">VLOOKUP(A21,'銀行-TSS'!A:K,11,FALSE)</f>
        <v>88.03</v>
      </c>
      <c r="H21" s="1209">
        <f ca="1">VLOOKUP(A21,'銀行-TSS'!A:M,13,FALSE)</f>
        <v>4.8800000000000003E-2</v>
      </c>
      <c r="I21" s="1213">
        <f ca="1">VLOOKUP(A21,'銀行-TSS'!A:N,14,FALSE)</f>
        <v>10000</v>
      </c>
      <c r="J21" s="1213">
        <f ca="1">VLOOKUP(A21,'銀行-TSS'!A:O,15,FALSE)</f>
        <v>1000</v>
      </c>
      <c r="K21" s="136" t="str">
        <f ca="1">VLOOKUP(A21,'銀行-TSS'!A:V,22,FALSE)</f>
        <v>(NPI)非專投</v>
      </c>
      <c r="L21" s="136" t="str">
        <f ca="1">VLOOKUP(A21,'銀行-TSS'!A:AK,37,FALSE)</f>
        <v>有</v>
      </c>
      <c r="M21" s="136" t="str">
        <f ca="1">VLOOKUP(A21,'銀行-TSS'!A:AN,40,FALSE)</f>
        <v/>
      </c>
      <c r="N21" s="1211">
        <f t="shared" ca="1" si="11"/>
        <v>880.3</v>
      </c>
      <c r="O21" s="1211">
        <f t="shared" ca="1" si="12"/>
        <v>8803</v>
      </c>
      <c r="P21" s="1213">
        <f ca="1">IF(AND(換券投組!$D$17&gt;=O21,換券投組!$D$13=D21),I21+INT((換券投組!$D$17-O21)/N21)*J21,0)</f>
        <v>0</v>
      </c>
      <c r="Q21" s="1211">
        <f t="shared" ca="1" si="13"/>
        <v>0</v>
      </c>
      <c r="R21" s="1213">
        <f t="shared" ca="1" si="14"/>
        <v>0</v>
      </c>
      <c r="S21" s="1213">
        <f t="shared" ca="1" si="15"/>
        <v>0</v>
      </c>
      <c r="T21" s="136">
        <f t="shared" ca="1" si="5"/>
        <v>0</v>
      </c>
      <c r="U21" s="861">
        <f t="shared" ca="1" si="6"/>
        <v>0</v>
      </c>
      <c r="V21" s="136" t="b">
        <f ca="1">IF(OR(D21&lt;&gt;"USD",L21="無",M21&lt;&gt;"",K21="高資產",IFERROR(MATCH(B21,換券投組!K:K,0),"N")&lt;&gt;"N",IFERROR(MATCH(B21,換券投組!J:J,0),"N")&lt;&gt;"N"),FALSE,IF($V$1="All",TRUE,IF(K21=$V$1,TRUE,FALSE)))</f>
        <v>1</v>
      </c>
      <c r="W21" s="136">
        <f ca="1">VLOOKUP(A21,'銀行-TSS'!A:AO,41,FALSE)</f>
        <v>84.410000000000011</v>
      </c>
      <c r="X21" s="136">
        <f ca="1">VLOOKUP(A21,'銀行-TSS'!A:AP,42,FALSE)</f>
        <v>12.655799999999999</v>
      </c>
      <c r="Y21" s="1223">
        <f t="shared" ca="1" si="16"/>
        <v>0</v>
      </c>
      <c r="Z21" s="1211">
        <f t="shared" ca="1" si="17"/>
        <v>0</v>
      </c>
      <c r="AA21" s="136">
        <f ca="1">IF(Z21&lt;=0,0,RANK(Z21,Z:Z)+COUNTIF($Z$3:$Z21,Z21)-1)</f>
        <v>0</v>
      </c>
      <c r="AB21" s="1211">
        <f t="shared" ca="1" si="9"/>
        <v>0</v>
      </c>
      <c r="AC21" s="136">
        <f ca="1">IF(AB21&lt;=0,0,RANK(AB21,AB:AB)+COUNTIF($AB$3:$AB21,AB21)-1)</f>
        <v>0</v>
      </c>
      <c r="AD21" s="136">
        <f t="shared" ca="1" si="18"/>
        <v>99999</v>
      </c>
      <c r="AE21" s="136">
        <f ca="1">IF(AD21=99999,0,RANK(AD21,AD:AD,1)+COUNTIF($AD$3:$AD21,AD21)-1)</f>
        <v>0</v>
      </c>
    </row>
    <row r="22" spans="1:31">
      <c r="A22" s="141" t="str">
        <f>'銀行-TSS'!A22</f>
        <v>US00206RCG56</v>
      </c>
      <c r="B22" s="151" t="str">
        <f ca="1">VLOOKUP(A22,'銀行-TSS'!A:B,2,FALSE)</f>
        <v>XFG10</v>
      </c>
      <c r="C22" s="151" t="str">
        <f ca="1">VLOOKUP(B22,bond!B:C,2,FALSE)</f>
        <v>AT&amp;T公司美元配息債券 4.8% 2044/6/15</v>
      </c>
      <c r="D22" s="95" t="str">
        <f>VLOOKUP(A22,'銀行-TSS'!A:C,3,FALSE)</f>
        <v>USD</v>
      </c>
      <c r="E22" s="90">
        <f ca="1">VLOOKUP(A22,'銀行-TSS'!A:G,7,FALSE)</f>
        <v>19.95</v>
      </c>
      <c r="F22" s="202">
        <f ca="1">VLOOKUP(A22,'銀行-TSS'!A:H,8,FALSE)</f>
        <v>4.8000000000000001E-2</v>
      </c>
      <c r="G22" s="96">
        <f ca="1">VLOOKUP(A22,'銀行-TSS'!A:K,11,FALSE)</f>
        <v>91.06</v>
      </c>
      <c r="H22" s="1209">
        <f ca="1">VLOOKUP(A22,'銀行-TSS'!A:M,13,FALSE)</f>
        <v>5.57E-2</v>
      </c>
      <c r="I22" s="1213">
        <f ca="1">VLOOKUP(A22,'銀行-TSS'!A:N,14,FALSE)</f>
        <v>10000</v>
      </c>
      <c r="J22" s="1213">
        <f ca="1">VLOOKUP(A22,'銀行-TSS'!A:O,15,FALSE)</f>
        <v>1000</v>
      </c>
      <c r="K22" s="136" t="str">
        <f ca="1">VLOOKUP(A22,'銀行-TSS'!A:V,22,FALSE)</f>
        <v>(PI)專投</v>
      </c>
      <c r="L22" s="136" t="str">
        <f ca="1">VLOOKUP(A22,'銀行-TSS'!A:AK,37,FALSE)</f>
        <v>需查詢</v>
      </c>
      <c r="M22" s="136" t="str">
        <f ca="1">VLOOKUP(A22,'銀行-TSS'!A:AN,40,FALSE)</f>
        <v/>
      </c>
      <c r="N22" s="1211">
        <f t="shared" ca="1" si="11"/>
        <v>910.6</v>
      </c>
      <c r="O22" s="1211">
        <f t="shared" ca="1" si="12"/>
        <v>9106</v>
      </c>
      <c r="P22" s="1213">
        <f ca="1">IF(AND(換券投組!$D$17&gt;=O22,換券投組!$D$13=D22),I22+INT((換券投組!$D$17-O22)/N22)*J22,0)</f>
        <v>0</v>
      </c>
      <c r="Q22" s="1211">
        <f t="shared" ca="1" si="13"/>
        <v>0</v>
      </c>
      <c r="R22" s="1213">
        <f t="shared" ca="1" si="14"/>
        <v>0</v>
      </c>
      <c r="S22" s="1213">
        <f t="shared" ca="1" si="15"/>
        <v>0</v>
      </c>
      <c r="T22" s="136">
        <f t="shared" ca="1" si="5"/>
        <v>0</v>
      </c>
      <c r="U22" s="861">
        <f t="shared" ca="1" si="6"/>
        <v>0</v>
      </c>
      <c r="V22" s="136" t="b">
        <f ca="1">IF(OR(D22&lt;&gt;"USD",L22="無",M22&lt;&gt;"",K22="高資產",IFERROR(MATCH(B22,換券投組!K:K,0),"N")&lt;&gt;"N",IFERROR(MATCH(B22,換券投組!J:J,0),"N")&lt;&gt;"N"),FALSE,IF($V$1="All",TRUE,IF(K22=$V$1,TRUE,FALSE)))</f>
        <v>1</v>
      </c>
      <c r="W22" s="136">
        <f ca="1">VLOOKUP(A22,'銀行-TSS'!A:AO,41,FALSE)</f>
        <v>87.83</v>
      </c>
      <c r="X22" s="136">
        <f ca="1">VLOOKUP(A22,'銀行-TSS'!A:AP,42,FALSE)</f>
        <v>12.202299999999999</v>
      </c>
      <c r="Y22" s="1223">
        <f t="shared" ca="1" si="16"/>
        <v>0</v>
      </c>
      <c r="Z22" s="1211">
        <f t="shared" ca="1" si="17"/>
        <v>0</v>
      </c>
      <c r="AA22" s="136">
        <f ca="1">IF(Z22&lt;=0,0,RANK(Z22,Z:Z)+COUNTIF($Z$3:$Z22,Z22)-1)</f>
        <v>0</v>
      </c>
      <c r="AB22" s="1211">
        <f t="shared" ca="1" si="9"/>
        <v>0</v>
      </c>
      <c r="AC22" s="136">
        <f ca="1">IF(AB22&lt;=0,0,RANK(AB22,AB:AB)+COUNTIF($AB$3:$AB22,AB22)-1)</f>
        <v>0</v>
      </c>
      <c r="AD22" s="136">
        <f t="shared" ca="1" si="18"/>
        <v>99999</v>
      </c>
      <c r="AE22" s="136">
        <f ca="1">IF(AD22=99999,0,RANK(AD22,AD:AD,1)+COUNTIF($AD$3:$AD22,AD22)-1)</f>
        <v>0</v>
      </c>
    </row>
    <row r="23" spans="1:31">
      <c r="A23" s="141" t="str">
        <f>'銀行-TSS'!A23</f>
        <v>US42824CAY57</v>
      </c>
      <c r="B23" s="151" t="str">
        <f ca="1">VLOOKUP(A23,'銀行-TSS'!A:B,2,FALSE)</f>
        <v>XFG70</v>
      </c>
      <c r="C23" s="151" t="str">
        <f ca="1">VLOOKUP(B23,bond!B:C,2,FALSE)</f>
        <v>惠普企業公司美元配息債券  6.35% 2045/10/15</v>
      </c>
      <c r="D23" s="95" t="str">
        <f>VLOOKUP(A23,'銀行-TSS'!A:C,3,FALSE)</f>
        <v>USD</v>
      </c>
      <c r="E23" s="90">
        <f ca="1">VLOOKUP(A23,'銀行-TSS'!A:G,7,FALSE)</f>
        <v>21.29</v>
      </c>
      <c r="F23" s="202">
        <f ca="1">VLOOKUP(A23,'銀行-TSS'!A:H,8,FALSE)</f>
        <v>6.3500000000000001E-2</v>
      </c>
      <c r="G23" s="96">
        <f ca="1">VLOOKUP(A23,'銀行-TSS'!A:K,11,FALSE)</f>
        <v>110.29</v>
      </c>
      <c r="H23" s="1209">
        <f ca="1">VLOOKUP(A23,'銀行-TSS'!A:M,13,FALSE)</f>
        <v>5.62E-2</v>
      </c>
      <c r="I23" s="1213">
        <f ca="1">VLOOKUP(A23,'銀行-TSS'!A:N,14,FALSE)</f>
        <v>10000</v>
      </c>
      <c r="J23" s="1213">
        <f ca="1">VLOOKUP(A23,'銀行-TSS'!A:O,15,FALSE)</f>
        <v>1000</v>
      </c>
      <c r="K23" s="136" t="str">
        <f ca="1">VLOOKUP(A23,'銀行-TSS'!A:V,22,FALSE)</f>
        <v>(PI)專投</v>
      </c>
      <c r="L23" s="136" t="str">
        <f ca="1">VLOOKUP(A23,'銀行-TSS'!A:AK,37,FALSE)</f>
        <v>有</v>
      </c>
      <c r="M23" s="136" t="str">
        <f ca="1">VLOOKUP(A23,'銀行-TSS'!A:AN,40,FALSE)</f>
        <v/>
      </c>
      <c r="N23" s="1211">
        <f t="shared" ca="1" si="11"/>
        <v>1102.9000000000001</v>
      </c>
      <c r="O23" s="1211">
        <f t="shared" ca="1" si="12"/>
        <v>11029</v>
      </c>
      <c r="P23" s="1213">
        <f ca="1">IF(AND(換券投組!$D$17&gt;=O23,換券投組!$D$13=D23),I23+INT((換券投組!$D$17-O23)/N23)*J23,0)</f>
        <v>0</v>
      </c>
      <c r="Q23" s="1211">
        <f t="shared" ca="1" si="13"/>
        <v>0</v>
      </c>
      <c r="R23" s="1213">
        <f t="shared" ca="1" si="14"/>
        <v>0</v>
      </c>
      <c r="S23" s="1213">
        <f t="shared" ca="1" si="15"/>
        <v>0</v>
      </c>
      <c r="T23" s="136">
        <f t="shared" ca="1" si="5"/>
        <v>0</v>
      </c>
      <c r="U23" s="861">
        <f t="shared" ca="1" si="6"/>
        <v>0</v>
      </c>
      <c r="V23" s="136" t="b">
        <f ca="1">IF(OR(D23&lt;&gt;"USD",L23="無",M23&lt;&gt;"",K23="高資產",IFERROR(MATCH(B23,換券投組!K:K,0),"N")&lt;&gt;"N",IFERROR(MATCH(B23,換券投組!J:J,0),"N")&lt;&gt;"N"),FALSE,IF($V$1="All",TRUE,IF(K23=$V$1,TRUE,FALSE)))</f>
        <v>1</v>
      </c>
      <c r="W23" s="136">
        <f ca="1">VLOOKUP(A23,'銀行-TSS'!A:AO,41,FALSE)</f>
        <v>105.93</v>
      </c>
      <c r="X23" s="136">
        <f ca="1">VLOOKUP(A23,'銀行-TSS'!A:AP,42,FALSE)</f>
        <v>11.6347</v>
      </c>
      <c r="Y23" s="1223">
        <f t="shared" ca="1" si="16"/>
        <v>0</v>
      </c>
      <c r="Z23" s="1211">
        <f t="shared" ca="1" si="17"/>
        <v>0</v>
      </c>
      <c r="AA23" s="136">
        <f ca="1">IF(Z23&lt;=0,0,RANK(Z23,Z:Z)+COUNTIF($Z$3:$Z23,Z23)-1)</f>
        <v>0</v>
      </c>
      <c r="AB23" s="1211">
        <f t="shared" ca="1" si="9"/>
        <v>0</v>
      </c>
      <c r="AC23" s="136">
        <f ca="1">IF(AB23&lt;=0,0,RANK(AB23,AB:AB)+COUNTIF($AB$3:$AB23,AB23)-1)</f>
        <v>0</v>
      </c>
      <c r="AD23" s="136">
        <f t="shared" ca="1" si="18"/>
        <v>99999</v>
      </c>
      <c r="AE23" s="136">
        <f ca="1">IF(AD23=99999,0,RANK(AD23,AD:AD,1)+COUNTIF($AD$3:$AD23,AD23)-1)</f>
        <v>0</v>
      </c>
    </row>
    <row r="24" spans="1:31">
      <c r="A24" s="141" t="str">
        <f>'銀行-TSS'!A24</f>
        <v>US38141GCU67</v>
      </c>
      <c r="B24" s="151" t="str">
        <f ca="1">VLOOKUP(A24,'銀行-TSS'!A:B,2,FALSE)</f>
        <v>XFG80</v>
      </c>
      <c r="C24" s="151" t="str">
        <f ca="1">VLOOKUP(B24,bond!B:C,2,FALSE)</f>
        <v>高盛集團美元配息債券 6.125% 2033/2/15</v>
      </c>
      <c r="D24" s="95" t="str">
        <f>VLOOKUP(A24,'銀行-TSS'!A:C,3,FALSE)</f>
        <v>USD</v>
      </c>
      <c r="E24" s="90">
        <f ca="1">VLOOKUP(A24,'銀行-TSS'!A:G,7,FALSE)</f>
        <v>8.6199999999999992</v>
      </c>
      <c r="F24" s="202">
        <f ca="1">VLOOKUP(A24,'銀行-TSS'!A:H,8,FALSE)</f>
        <v>6.1249999999999999E-2</v>
      </c>
      <c r="G24" s="96">
        <f ca="1">VLOOKUP(A24,'銀行-TSS'!A:K,11,FALSE)</f>
        <v>111.41</v>
      </c>
      <c r="H24" s="1209">
        <f ca="1">VLOOKUP(A24,'銀行-TSS'!A:M,13,FALSE)</f>
        <v>4.82E-2</v>
      </c>
      <c r="I24" s="1213">
        <f ca="1">VLOOKUP(A24,'銀行-TSS'!A:N,14,FALSE)</f>
        <v>10000</v>
      </c>
      <c r="J24" s="1213">
        <f ca="1">VLOOKUP(A24,'銀行-TSS'!A:O,15,FALSE)</f>
        <v>1000</v>
      </c>
      <c r="K24" s="136" t="str">
        <f ca="1">VLOOKUP(A24,'銀行-TSS'!A:V,22,FALSE)</f>
        <v>(PI)專投</v>
      </c>
      <c r="L24" s="136" t="str">
        <f ca="1">VLOOKUP(A24,'銀行-TSS'!A:AK,37,FALSE)</f>
        <v>有</v>
      </c>
      <c r="M24" s="136" t="str">
        <f ca="1">VLOOKUP(A24,'銀行-TSS'!A:AN,40,FALSE)</f>
        <v/>
      </c>
      <c r="N24" s="1211">
        <f t="shared" ca="1" si="11"/>
        <v>1114.0999999999999</v>
      </c>
      <c r="O24" s="1211">
        <f t="shared" ca="1" si="12"/>
        <v>11141</v>
      </c>
      <c r="P24" s="1213">
        <f ca="1">IF(AND(換券投組!$D$17&gt;=O24,換券投組!$D$13=D24),I24+INT((換券投組!$D$17-O24)/N24)*J24,0)</f>
        <v>0</v>
      </c>
      <c r="Q24" s="1211">
        <f t="shared" ca="1" si="13"/>
        <v>0</v>
      </c>
      <c r="R24" s="1213">
        <f t="shared" ca="1" si="14"/>
        <v>0</v>
      </c>
      <c r="S24" s="1213">
        <f t="shared" ca="1" si="15"/>
        <v>0</v>
      </c>
      <c r="T24" s="136">
        <f t="shared" ca="1" si="5"/>
        <v>0</v>
      </c>
      <c r="U24" s="861">
        <f t="shared" ca="1" si="6"/>
        <v>0</v>
      </c>
      <c r="V24" s="136" t="b">
        <f ca="1">IF(OR(D24&lt;&gt;"USD",L24="無",M24&lt;&gt;"",K24="高資產",IFERROR(MATCH(B24,換券投組!K:K,0),"N")&lt;&gt;"N",IFERROR(MATCH(B24,換券投組!J:J,0),"N")&lt;&gt;"N"),FALSE,IF($V$1="All",TRUE,IF(K24=$V$1,TRUE,FALSE)))</f>
        <v>1</v>
      </c>
      <c r="W24" s="136">
        <f ca="1">VLOOKUP(A24,'銀行-TSS'!A:AO,41,FALSE)</f>
        <v>106.58</v>
      </c>
      <c r="X24" s="136">
        <f ca="1">VLOOKUP(A24,'銀行-TSS'!A:AP,42,FALSE)</f>
        <v>6.5862999999999996</v>
      </c>
      <c r="Y24" s="1223">
        <f t="shared" ca="1" si="16"/>
        <v>0</v>
      </c>
      <c r="Z24" s="1211">
        <f ca="1">IF(A24=0,0,IF(V24=FALSE,0,IF(OR(Q24&lt;$Y$1,E24&lt;5)=FALSE,(Q24-$Q$1)*MIN(3,E24)*(1-MIN(1/(2*E24),1))+IF((P24-$P$1)&lt;0,(P24-$P$1),((P24-$P$1)*MIN(1/(2*E24),1))),0)))</f>
        <v>0</v>
      </c>
      <c r="AA24" s="136">
        <f ca="1">IF(Z24&lt;=0,0,RANK(Z24,Z:Z)+COUNTIF($Z$3:$Z24,Z24)-1)</f>
        <v>0</v>
      </c>
      <c r="AB24" s="1211">
        <f t="shared" ca="1" si="9"/>
        <v>0</v>
      </c>
      <c r="AC24" s="136">
        <f ca="1">IF(AB24&lt;=0,0,RANK(AB24,AB:AB)+COUNTIF($AB$3:$AB24,AB24)-1)</f>
        <v>0</v>
      </c>
      <c r="AD24" s="136">
        <f t="shared" ca="1" si="18"/>
        <v>99999</v>
      </c>
      <c r="AE24" s="136">
        <f ca="1">IF(AD24=99999,0,RANK(AD24,AD:AD,1)+COUNTIF($AD$3:$AD24,AD24)-1)</f>
        <v>0</v>
      </c>
    </row>
    <row r="25" spans="1:31">
      <c r="A25" s="141" t="str">
        <f>'銀行-TSS'!A25</f>
        <v>XS0085517661</v>
      </c>
      <c r="B25" s="151" t="str">
        <f ca="1">VLOOKUP(A25,'銀行-TSS'!A:B,2,FALSE)</f>
        <v>XFI10</v>
      </c>
      <c r="C25" s="151" t="str">
        <f ca="1">VLOOKUP(B25,bond!B:C,2,FALSE)</f>
        <v>荷蘭市鎮銀行南非幣零息債券 0% 2025/12/31</v>
      </c>
      <c r="D25" s="95" t="str">
        <f>VLOOKUP(A25,'銀行-TSS'!A:C,3,FALSE)</f>
        <v>ZAR</v>
      </c>
      <c r="E25" s="90">
        <f ca="1">VLOOKUP(A25,'銀行-TSS'!A:G,7,FALSE)</f>
        <v>1.49</v>
      </c>
      <c r="F25" s="202">
        <f ca="1">VLOOKUP(A25,'銀行-TSS'!A:H,8,FALSE)</f>
        <v>0</v>
      </c>
      <c r="G25" s="96">
        <f ca="1">VLOOKUP(A25,'銀行-TSS'!A:K,11,FALSE)</f>
        <v>90.58</v>
      </c>
      <c r="H25" s="1209">
        <f ca="1">VLOOKUP(A25,'銀行-TSS'!A:M,13,FALSE)</f>
        <v>6.8599999999999994E-2</v>
      </c>
      <c r="I25" s="1213">
        <f ca="1">VLOOKUP(A25,'銀行-TSS'!A:N,14,FALSE)</f>
        <v>100000</v>
      </c>
      <c r="J25" s="1213">
        <f ca="1">VLOOKUP(A25,'銀行-TSS'!A:O,15,FALSE)</f>
        <v>5000</v>
      </c>
      <c r="K25" s="136" t="str">
        <f ca="1">VLOOKUP(A25,'銀行-TSS'!A:V,22,FALSE)</f>
        <v>(NPI)非專投</v>
      </c>
      <c r="L25" s="136" t="str">
        <f ca="1">VLOOKUP(A25,'銀行-TSS'!A:AK,37,FALSE)</f>
        <v>無</v>
      </c>
      <c r="M25" s="136" t="str">
        <f ca="1">VLOOKUP(A25,'銀行-TSS'!A:AN,40,FALSE)</f>
        <v>XFI10</v>
      </c>
      <c r="N25" s="1211">
        <f t="shared" ca="1" si="11"/>
        <v>4529</v>
      </c>
      <c r="O25" s="1211">
        <f t="shared" ca="1" si="12"/>
        <v>90580</v>
      </c>
      <c r="P25" s="1213">
        <f ca="1">IF(AND(換券投組!$D$17&gt;=O25,換券投組!$D$13=D25),I25+INT((換券投組!$D$17-O25)/N25)*J25,0)</f>
        <v>0</v>
      </c>
      <c r="Q25" s="1211">
        <f t="shared" ca="1" si="13"/>
        <v>0</v>
      </c>
      <c r="R25" s="1213">
        <f t="shared" ca="1" si="14"/>
        <v>0</v>
      </c>
      <c r="S25" s="1213">
        <f t="shared" ca="1" si="15"/>
        <v>0</v>
      </c>
      <c r="T25" s="136">
        <f t="shared" ca="1" si="5"/>
        <v>0</v>
      </c>
      <c r="U25" s="861">
        <f t="shared" ca="1" si="6"/>
        <v>0</v>
      </c>
      <c r="V25" s="136" t="b">
        <f ca="1">IF(OR(D25&lt;&gt;"USD",L25="無",M25&lt;&gt;"",K25="高資產",IFERROR(MATCH(B25,換券投組!K:K,0),"N")&lt;&gt;"N",IFERROR(MATCH(B25,換券投組!J:J,0),"N")&lt;&gt;"N"),FALSE,IF($V$1="All",TRUE,IF(K25=$V$1,TRUE,FALSE)))</f>
        <v>0</v>
      </c>
      <c r="W25" s="136">
        <f ca="1">VLOOKUP(A25,'銀行-TSS'!A:AO,41,FALSE)</f>
        <v>89.58</v>
      </c>
      <c r="X25" s="136">
        <f ca="1">VLOOKUP(A25,'銀行-TSS'!A:AP,42,FALSE)</f>
        <v>1.3824000000000001</v>
      </c>
      <c r="Y25" s="1223">
        <f t="shared" ca="1" si="16"/>
        <v>0</v>
      </c>
      <c r="Z25" s="1211">
        <f t="shared" ca="1" si="17"/>
        <v>0</v>
      </c>
      <c r="AA25" s="136">
        <f ca="1">IF(Z25&lt;=0,0,RANK(Z25,Z:Z)+COUNTIF($Z$3:$Z25,Z25)-1)</f>
        <v>0</v>
      </c>
      <c r="AB25" s="1211">
        <f t="shared" ca="1" si="9"/>
        <v>0</v>
      </c>
      <c r="AC25" s="136">
        <f ca="1">IF(AB25&lt;=0,0,RANK(AB25,AB:AB)+COUNTIF($AB$3:$AB25,AB25)-1)</f>
        <v>0</v>
      </c>
      <c r="AD25" s="136">
        <f t="shared" ca="1" si="18"/>
        <v>99999</v>
      </c>
      <c r="AE25" s="136">
        <f ca="1">IF(AD25=99999,0,RANK(AD25,AD:AD,1)+COUNTIF($AD$3:$AD25,AD25)-1)</f>
        <v>0</v>
      </c>
    </row>
    <row r="26" spans="1:31">
      <c r="A26" s="141" t="str">
        <f>'銀行-TSS'!A26</f>
        <v>XS0078962809</v>
      </c>
      <c r="B26" s="151" t="str">
        <f ca="1">VLOOKUP(A26,'銀行-TSS'!A:B,2,FALSE)</f>
        <v>XFI60</v>
      </c>
      <c r="C26" s="151" t="str">
        <f ca="1">VLOOKUP(B26,bond!B:C,2,FALSE)</f>
        <v>南非開發銀行南非幣零息債券 0% 2027/12/31</v>
      </c>
      <c r="D26" s="95" t="str">
        <f>VLOOKUP(A26,'銀行-TSS'!A:C,3,FALSE)</f>
        <v>ZAR</v>
      </c>
      <c r="E26" s="90">
        <f ca="1">VLOOKUP(A26,'銀行-TSS'!A:G,7,FALSE)</f>
        <v>3.49</v>
      </c>
      <c r="F26" s="202">
        <f ca="1">VLOOKUP(A26,'銀行-TSS'!A:H,8,FALSE)</f>
        <v>0</v>
      </c>
      <c r="G26" s="96">
        <f ca="1">VLOOKUP(A26,'銀行-TSS'!A:K,11,FALSE)</f>
        <v>72</v>
      </c>
      <c r="H26" s="1209">
        <f ca="1">VLOOKUP(A26,'銀行-TSS'!A:M,13,FALSE)</f>
        <v>9.8699999999999996E-2</v>
      </c>
      <c r="I26" s="1213">
        <f ca="1">VLOOKUP(A26,'銀行-TSS'!A:N,14,FALSE)</f>
        <v>100000</v>
      </c>
      <c r="J26" s="1213">
        <f ca="1">VLOOKUP(A26,'銀行-TSS'!A:O,15,FALSE)</f>
        <v>5000</v>
      </c>
      <c r="K26" s="136" t="str">
        <f ca="1">VLOOKUP(A26,'銀行-TSS'!A:V,22,FALSE)</f>
        <v>高資產</v>
      </c>
      <c r="L26" s="136" t="str">
        <f ca="1">VLOOKUP(A26,'銀行-TSS'!A:AK,37,FALSE)</f>
        <v>有</v>
      </c>
      <c r="M26" s="136" t="str">
        <f ca="1">VLOOKUP(A26,'銀行-TSS'!A:AN,40,FALSE)</f>
        <v>XFI60</v>
      </c>
      <c r="N26" s="1211">
        <f t="shared" ca="1" si="11"/>
        <v>3600</v>
      </c>
      <c r="O26" s="1211">
        <f t="shared" ca="1" si="12"/>
        <v>72000</v>
      </c>
      <c r="P26" s="1213">
        <f ca="1">IF(AND(換券投組!$D$17&gt;=O26,換券投組!$D$13=D26),I26+INT((換券投組!$D$17-O26)/N26)*J26,0)</f>
        <v>0</v>
      </c>
      <c r="Q26" s="1211">
        <f t="shared" ca="1" si="13"/>
        <v>0</v>
      </c>
      <c r="R26" s="1213">
        <f t="shared" ca="1" si="14"/>
        <v>0</v>
      </c>
      <c r="S26" s="1213">
        <f t="shared" ca="1" si="15"/>
        <v>0</v>
      </c>
      <c r="T26" s="136">
        <f t="shared" ca="1" si="5"/>
        <v>0</v>
      </c>
      <c r="U26" s="861">
        <f t="shared" ca="1" si="6"/>
        <v>0</v>
      </c>
      <c r="V26" s="136" t="b">
        <f ca="1">IF(OR(D26&lt;&gt;"USD",L26="無",M26&lt;&gt;"",K26="高資產",IFERROR(MATCH(B26,換券投組!K:K,0),"N")&lt;&gt;"N",IFERROR(MATCH(B26,換券投組!J:J,0),"N")&lt;&gt;"N"),FALSE,IF($V$1="All",TRUE,IF(K26=$V$1,TRUE,FALSE)))</f>
        <v>0</v>
      </c>
      <c r="W26" s="136">
        <f ca="1">VLOOKUP(A26,'銀行-TSS'!A:AO,41,FALSE)</f>
        <v>69.5</v>
      </c>
      <c r="X26" s="136">
        <f ca="1">VLOOKUP(A26,'銀行-TSS'!A:AP,42,FALSE)</f>
        <v>3.3146</v>
      </c>
      <c r="Y26" s="1223">
        <f t="shared" ca="1" si="16"/>
        <v>0</v>
      </c>
      <c r="Z26" s="1211">
        <f t="shared" ca="1" si="17"/>
        <v>0</v>
      </c>
      <c r="AA26" s="136">
        <f ca="1">IF(Z26&lt;=0,0,RANK(Z26,Z:Z)+COUNTIF($Z$3:$Z26,Z26)-1)</f>
        <v>0</v>
      </c>
      <c r="AB26" s="1211">
        <f t="shared" ca="1" si="9"/>
        <v>0</v>
      </c>
      <c r="AC26" s="136">
        <f ca="1">IF(AB26&lt;=0,0,RANK(AB26,AB:AB)+COUNTIF($AB$3:$AB26,AB26)-1)</f>
        <v>0</v>
      </c>
      <c r="AD26" s="136">
        <f t="shared" ca="1" si="18"/>
        <v>99999</v>
      </c>
      <c r="AE26" s="136">
        <f ca="1">IF(AD26=99999,0,RANK(AD26,AD:AD,1)+COUNTIF($AD$3:$AD26,AD26)-1)</f>
        <v>0</v>
      </c>
    </row>
    <row r="27" spans="1:31">
      <c r="A27" s="141" t="str">
        <f>'銀行-TSS'!A27</f>
        <v>US59562VAR87</v>
      </c>
      <c r="B27" s="151" t="str">
        <f ca="1">VLOOKUP(A27,'銀行-TSS'!A:B,2,FALSE)</f>
        <v>XFI70</v>
      </c>
      <c r="C27" s="151" t="str">
        <f ca="1">VLOOKUP(B27,bond!B:C,2,FALSE)</f>
        <v>波克夏海瑟威能源公司美元配息債券 6.5% 2037/9/15</v>
      </c>
      <c r="D27" s="95" t="str">
        <f>VLOOKUP(A27,'銀行-TSS'!A:C,3,FALSE)</f>
        <v>USD</v>
      </c>
      <c r="E27" s="90">
        <f ca="1">VLOOKUP(A27,'銀行-TSS'!A:G,7,FALSE)</f>
        <v>13.2</v>
      </c>
      <c r="F27" s="202">
        <f ca="1">VLOOKUP(A27,'銀行-TSS'!A:H,8,FALSE)</f>
        <v>6.5000000000000002E-2</v>
      </c>
      <c r="G27" s="96">
        <f ca="1">VLOOKUP(A27,'銀行-TSS'!A:K,11,FALSE)</f>
        <v>112.67</v>
      </c>
      <c r="H27" s="1209">
        <f ca="1">VLOOKUP(A27,'銀行-TSS'!A:M,13,FALSE)</f>
        <v>5.3499999999999999E-2</v>
      </c>
      <c r="I27" s="1213">
        <f ca="1">VLOOKUP(A27,'銀行-TSS'!A:N,14,FALSE)</f>
        <v>10000</v>
      </c>
      <c r="J27" s="1213">
        <f ca="1">VLOOKUP(A27,'銀行-TSS'!A:O,15,FALSE)</f>
        <v>1000</v>
      </c>
      <c r="K27" s="136" t="str">
        <f ca="1">VLOOKUP(A27,'銀行-TSS'!A:V,22,FALSE)</f>
        <v>(NPI)非專投</v>
      </c>
      <c r="L27" s="136" t="str">
        <f ca="1">VLOOKUP(A27,'銀行-TSS'!A:AK,37,FALSE)</f>
        <v>無</v>
      </c>
      <c r="M27" s="136" t="str">
        <f ca="1">VLOOKUP(A27,'銀行-TSS'!A:AN,40,FALSE)</f>
        <v>XFI70</v>
      </c>
      <c r="N27" s="1211">
        <f t="shared" ca="1" si="11"/>
        <v>1126.7</v>
      </c>
      <c r="O27" s="1211">
        <f t="shared" ca="1" si="12"/>
        <v>11267</v>
      </c>
      <c r="P27" s="1213">
        <f ca="1">IF(AND(換券投組!$D$17&gt;=O27,換券投組!$D$13=D27),I27+INT((換券投組!$D$17-O27)/N27)*J27,0)</f>
        <v>0</v>
      </c>
      <c r="Q27" s="1211">
        <f t="shared" ca="1" si="13"/>
        <v>0</v>
      </c>
      <c r="R27" s="1213">
        <f t="shared" ca="1" si="14"/>
        <v>0</v>
      </c>
      <c r="S27" s="1213">
        <f t="shared" ca="1" si="15"/>
        <v>0</v>
      </c>
      <c r="T27" s="136">
        <f t="shared" ca="1" si="5"/>
        <v>0</v>
      </c>
      <c r="U27" s="861">
        <f t="shared" ca="1" si="6"/>
        <v>0</v>
      </c>
      <c r="V27" s="136" t="b">
        <f ca="1">IF(OR(D27&lt;&gt;"USD",L27="無",M27&lt;&gt;"",K27="高資產",IFERROR(MATCH(B27,換券投組!K:K,0),"N")&lt;&gt;"N",IFERROR(MATCH(B27,換券投組!J:J,0),"N")&lt;&gt;"N"),FALSE,IF($V$1="All",TRUE,IF(K27=$V$1,TRUE,FALSE)))</f>
        <v>0</v>
      </c>
      <c r="W27" s="136">
        <f ca="1">VLOOKUP(A27,'銀行-TSS'!A:AO,41,FALSE)</f>
        <v>108.24000000000001</v>
      </c>
      <c r="X27" s="136">
        <f ca="1">VLOOKUP(A27,'銀行-TSS'!A:AP,42,FALSE)</f>
        <v>8.8469999999999995</v>
      </c>
      <c r="Y27" s="1223">
        <f t="shared" ca="1" si="16"/>
        <v>0</v>
      </c>
      <c r="Z27" s="1211">
        <f t="shared" ca="1" si="17"/>
        <v>0</v>
      </c>
      <c r="AA27" s="136">
        <f ca="1">IF(Z27&lt;=0,0,RANK(Z27,Z:Z)+COUNTIF($Z$3:$Z27,Z27)-1)</f>
        <v>0</v>
      </c>
      <c r="AB27" s="1211">
        <f t="shared" ca="1" si="9"/>
        <v>0</v>
      </c>
      <c r="AC27" s="136">
        <f ca="1">IF(AB27&lt;=0,0,RANK(AB27,AB:AB)+COUNTIF($AB$3:$AB27,AB27)-1)</f>
        <v>0</v>
      </c>
      <c r="AD27" s="136">
        <f t="shared" ca="1" si="18"/>
        <v>99999</v>
      </c>
      <c r="AE27" s="136">
        <f ca="1">IF(AD27=99999,0,RANK(AD27,AD:AD,1)+COUNTIF($AD$3:$AD27,AD27)-1)</f>
        <v>0</v>
      </c>
    </row>
    <row r="28" spans="1:31">
      <c r="A28" s="141" t="str">
        <f>'銀行-TSS'!A28</f>
        <v>XS1490623516</v>
      </c>
      <c r="B28" s="151" t="str">
        <f ca="1">VLOOKUP(A28,'銀行-TSS'!A:B,2,FALSE)</f>
        <v>XFI80</v>
      </c>
      <c r="C28" s="151" t="str">
        <f ca="1">VLOOKUP(B28,bond!B:C,2,FALSE)</f>
        <v>富士康美元配息債券 3% 2026/9/23</v>
      </c>
      <c r="D28" s="95" t="str">
        <f>VLOOKUP(A28,'銀行-TSS'!A:C,3,FALSE)</f>
        <v>USD</v>
      </c>
      <c r="E28" s="90">
        <f ca="1">VLOOKUP(A28,'銀行-TSS'!A:G,7,FALSE)</f>
        <v>2.2200000000000002</v>
      </c>
      <c r="F28" s="202">
        <f ca="1">VLOOKUP(A28,'銀行-TSS'!A:H,8,FALSE)</f>
        <v>0.03</v>
      </c>
      <c r="G28" s="96">
        <f ca="1">VLOOKUP(A28,'銀行-TSS'!A:K,11,FALSE)</f>
        <v>97.929999999999993</v>
      </c>
      <c r="H28" s="1209">
        <f ca="1">VLOOKUP(A28,'銀行-TSS'!A:M,13,FALSE)</f>
        <v>4.3799999999999999E-2</v>
      </c>
      <c r="I28" s="1213">
        <f ca="1">VLOOKUP(A28,'銀行-TSS'!A:N,14,FALSE)</f>
        <v>200000</v>
      </c>
      <c r="J28" s="1213">
        <f ca="1">VLOOKUP(A28,'銀行-TSS'!A:O,15,FALSE)</f>
        <v>1000</v>
      </c>
      <c r="K28" s="136" t="str">
        <f ca="1">VLOOKUP(A28,'銀行-TSS'!A:V,22,FALSE)</f>
        <v>(NPI)非專投</v>
      </c>
      <c r="L28" s="136" t="str">
        <f ca="1">VLOOKUP(A28,'銀行-TSS'!A:AK,37,FALSE)</f>
        <v>無</v>
      </c>
      <c r="M28" s="136" t="str">
        <f ca="1">VLOOKUP(A28,'銀行-TSS'!A:AN,40,FALSE)</f>
        <v/>
      </c>
      <c r="N28" s="1211">
        <f t="shared" ca="1" si="11"/>
        <v>979.29999999999984</v>
      </c>
      <c r="O28" s="1211">
        <f t="shared" ca="1" si="12"/>
        <v>195860</v>
      </c>
      <c r="P28" s="1213">
        <f ca="1">IF(AND(換券投組!$D$17&gt;=O28,換券投組!$D$13=D28),I28+INT((換券投組!$D$17-O28)/N28)*J28,0)</f>
        <v>0</v>
      </c>
      <c r="Q28" s="1211">
        <f t="shared" ca="1" si="13"/>
        <v>0</v>
      </c>
      <c r="R28" s="1213">
        <f t="shared" ca="1" si="14"/>
        <v>0</v>
      </c>
      <c r="S28" s="1213">
        <f t="shared" ca="1" si="15"/>
        <v>0</v>
      </c>
      <c r="T28" s="136">
        <f t="shared" ca="1" si="5"/>
        <v>0</v>
      </c>
      <c r="U28" s="861">
        <f t="shared" ca="1" si="6"/>
        <v>0</v>
      </c>
      <c r="V28" s="136" t="b">
        <f ca="1">IF(OR(D28&lt;&gt;"USD",L28="無",M28&lt;&gt;"",K28="高資產",IFERROR(MATCH(B28,換券投組!K:K,0),"N")&lt;&gt;"N",IFERROR(MATCH(B28,換券投組!J:J,0),"N")&lt;&gt;"N"),FALSE,IF($V$1="All",TRUE,IF(K28=$V$1,TRUE,FALSE)))</f>
        <v>0</v>
      </c>
      <c r="W28" s="136">
        <f ca="1">VLOOKUP(A28,'銀行-TSS'!A:AO,41,FALSE)</f>
        <v>96</v>
      </c>
      <c r="X28" s="136">
        <f ca="1">VLOOKUP(A28,'銀行-TSS'!A:AP,42,FALSE)</f>
        <v>2.0952000000000002</v>
      </c>
      <c r="Y28" s="1223">
        <f t="shared" ca="1" si="16"/>
        <v>0</v>
      </c>
      <c r="Z28" s="1211">
        <f t="shared" ca="1" si="17"/>
        <v>0</v>
      </c>
      <c r="AA28" s="136">
        <f ca="1">IF(Z28&lt;=0,0,RANK(Z28,Z:Z)+COUNTIF($Z$3:$Z28,Z28)-1)</f>
        <v>0</v>
      </c>
      <c r="AB28" s="1211">
        <f t="shared" ca="1" si="9"/>
        <v>0</v>
      </c>
      <c r="AC28" s="136">
        <f ca="1">IF(AB28&lt;=0,0,RANK(AB28,AB:AB)+COUNTIF($AB$3:$AB28,AB28)-1)</f>
        <v>0</v>
      </c>
      <c r="AD28" s="136">
        <f t="shared" ca="1" si="18"/>
        <v>99999</v>
      </c>
      <c r="AE28" s="136">
        <f ca="1">IF(AD28=99999,0,RANK(AD28,AD:AD,1)+COUNTIF($AD$3:$AD28,AD28)-1)</f>
        <v>0</v>
      </c>
    </row>
    <row r="29" spans="1:31">
      <c r="A29" s="141" t="str">
        <f>'銀行-TSS'!A29</f>
        <v>US92343VDU52</v>
      </c>
      <c r="B29" s="151" t="str">
        <f ca="1">VLOOKUP(A29,'銀行-TSS'!A:B,2,FALSE)</f>
        <v>XFJ50</v>
      </c>
      <c r="C29" s="151" t="str">
        <f ca="1">VLOOKUP(B29,bond!B:C,2,FALSE)</f>
        <v>威瑞森電信公司美元配息債券 5.25% 2037/3/16</v>
      </c>
      <c r="D29" s="95" t="str">
        <f>VLOOKUP(A29,'銀行-TSS'!A:C,3,FALSE)</f>
        <v>USD</v>
      </c>
      <c r="E29" s="90">
        <f ca="1">VLOOKUP(A29,'銀行-TSS'!A:G,7,FALSE)</f>
        <v>12.7</v>
      </c>
      <c r="F29" s="202">
        <f ca="1">VLOOKUP(A29,'銀行-TSS'!A:H,8,FALSE)</f>
        <v>5.2499999999999998E-2</v>
      </c>
      <c r="G29" s="96">
        <f ca="1">VLOOKUP(A29,'銀行-TSS'!A:K,11,FALSE)</f>
        <v>103.59</v>
      </c>
      <c r="H29" s="1209">
        <f ca="1">VLOOKUP(A29,'銀行-TSS'!A:M,13,FALSE)</f>
        <v>5.0299999999999997E-2</v>
      </c>
      <c r="I29" s="1213">
        <f ca="1">VLOOKUP(A29,'銀行-TSS'!A:N,14,FALSE)</f>
        <v>2000</v>
      </c>
      <c r="J29" s="1213">
        <f ca="1">VLOOKUP(A29,'銀行-TSS'!A:O,15,FALSE)</f>
        <v>1000</v>
      </c>
      <c r="K29" s="136" t="str">
        <f ca="1">VLOOKUP(A29,'銀行-TSS'!A:V,22,FALSE)</f>
        <v>(NPI)非專投</v>
      </c>
      <c r="L29" s="136" t="str">
        <f ca="1">VLOOKUP(A29,'銀行-TSS'!A:AK,37,FALSE)</f>
        <v>有</v>
      </c>
      <c r="M29" s="136" t="str">
        <f ca="1">VLOOKUP(A29,'銀行-TSS'!A:AN,40,FALSE)</f>
        <v/>
      </c>
      <c r="N29" s="1211">
        <f t="shared" ca="1" si="11"/>
        <v>1035.9000000000001</v>
      </c>
      <c r="O29" s="1211">
        <f t="shared" ca="1" si="12"/>
        <v>2071.8000000000002</v>
      </c>
      <c r="P29" s="1213">
        <f ca="1">IF(AND(換券投組!$D$17&gt;=O29,換券投組!$D$13=D29),I29+INT((換券投組!$D$17-O29)/N29)*J29,0)</f>
        <v>0</v>
      </c>
      <c r="Q29" s="1211">
        <f t="shared" ca="1" si="13"/>
        <v>0</v>
      </c>
      <c r="R29" s="1213">
        <f t="shared" ca="1" si="14"/>
        <v>0</v>
      </c>
      <c r="S29" s="1213">
        <f t="shared" ca="1" si="15"/>
        <v>0</v>
      </c>
      <c r="T29" s="136">
        <f t="shared" ca="1" si="5"/>
        <v>0</v>
      </c>
      <c r="U29" s="861">
        <f t="shared" ca="1" si="6"/>
        <v>0</v>
      </c>
      <c r="V29" s="136" t="b">
        <f ca="1">IF(OR(D29&lt;&gt;"USD",L29="無",M29&lt;&gt;"",K29="高資產",IFERROR(MATCH(B29,換券投組!K:K,0),"N")&lt;&gt;"N",IFERROR(MATCH(B29,換券投組!J:J,0),"N")&lt;&gt;"N"),FALSE,IF($V$1="All",TRUE,IF(K29=$V$1,TRUE,FALSE)))</f>
        <v>1</v>
      </c>
      <c r="W29" s="136">
        <f ca="1">VLOOKUP(A29,'銀行-TSS'!A:AO,41,FALSE)</f>
        <v>99.54</v>
      </c>
      <c r="X29" s="136">
        <f ca="1">VLOOKUP(A29,'銀行-TSS'!A:AP,42,FALSE)</f>
        <v>9.0589999999999993</v>
      </c>
      <c r="Y29" s="1223">
        <f t="shared" ca="1" si="16"/>
        <v>0</v>
      </c>
      <c r="Z29" s="1211">
        <f t="shared" ca="1" si="17"/>
        <v>0</v>
      </c>
      <c r="AA29" s="136">
        <f ca="1">IF(Z29&lt;=0,0,RANK(Z29,Z:Z)+COUNTIF($Z$3:$Z29,Z29)-1)</f>
        <v>0</v>
      </c>
      <c r="AB29" s="1211">
        <f t="shared" ca="1" si="9"/>
        <v>0</v>
      </c>
      <c r="AC29" s="136">
        <f ca="1">IF(AB29&lt;=0,0,RANK(AB29,AB:AB)+COUNTIF($AB$3:$AB29,AB29)-1)</f>
        <v>0</v>
      </c>
      <c r="AD29" s="136">
        <f t="shared" ca="1" si="18"/>
        <v>99999</v>
      </c>
      <c r="AE29" s="136">
        <f ca="1">IF(AD29=99999,0,RANK(AD29,AD:AD,1)+COUNTIF($AD$3:$AD29,AD29)-1)</f>
        <v>0</v>
      </c>
    </row>
    <row r="30" spans="1:31">
      <c r="A30" s="141" t="str">
        <f>'銀行-TSS'!A30</f>
        <v>US900123AL40</v>
      </c>
      <c r="B30" s="151" t="str">
        <f ca="1">VLOOKUP(A30,'銀行-TSS'!A:B,2,FALSE)</f>
        <v>XFJ60</v>
      </c>
      <c r="C30" s="151" t="str">
        <f ca="1">VLOOKUP(B30,bond!B:C,2,FALSE)</f>
        <v>土耳其政府美元配息債券 11.875% 2030/1/15</v>
      </c>
      <c r="D30" s="95" t="str">
        <f>VLOOKUP(A30,'銀行-TSS'!A:C,3,FALSE)</f>
        <v>USD</v>
      </c>
      <c r="E30" s="90">
        <f ca="1">VLOOKUP(A30,'銀行-TSS'!A:G,7,FALSE)</f>
        <v>5.54</v>
      </c>
      <c r="F30" s="202">
        <f ca="1">VLOOKUP(A30,'銀行-TSS'!A:H,8,FALSE)</f>
        <v>0.11874999999999999</v>
      </c>
      <c r="G30" s="96">
        <f ca="1">VLOOKUP(A30,'銀行-TSS'!A:K,11,FALSE)</f>
        <v>134.80000000000001</v>
      </c>
      <c r="H30" s="1209">
        <f ca="1">VLOOKUP(A30,'銀行-TSS'!A:M,13,FALSE)</f>
        <v>5.6399999999999999E-2</v>
      </c>
      <c r="I30" s="1213">
        <f ca="1">VLOOKUP(A30,'銀行-TSS'!A:N,14,FALSE)</f>
        <v>10000</v>
      </c>
      <c r="J30" s="1213">
        <f ca="1">VLOOKUP(A30,'銀行-TSS'!A:O,15,FALSE)</f>
        <v>1000</v>
      </c>
      <c r="K30" s="136" t="str">
        <f ca="1">VLOOKUP(A30,'銀行-TSS'!A:V,22,FALSE)</f>
        <v>高資產</v>
      </c>
      <c r="L30" s="136" t="str">
        <f ca="1">VLOOKUP(A30,'銀行-TSS'!A:AK,37,FALSE)</f>
        <v>有</v>
      </c>
      <c r="M30" s="136" t="str">
        <f ca="1">VLOOKUP(A30,'銀行-TSS'!A:AN,40,FALSE)</f>
        <v>XFJ60</v>
      </c>
      <c r="N30" s="1211">
        <f t="shared" ca="1" si="11"/>
        <v>1348</v>
      </c>
      <c r="O30" s="1211">
        <f t="shared" ca="1" si="12"/>
        <v>13480</v>
      </c>
      <c r="P30" s="1213">
        <f ca="1">IF(AND(換券投組!$D$17&gt;=O30,換券投組!$D$13=D30),I30+INT((換券投組!$D$17-O30)/N30)*J30,0)</f>
        <v>0</v>
      </c>
      <c r="Q30" s="1211">
        <f t="shared" ca="1" si="13"/>
        <v>0</v>
      </c>
      <c r="R30" s="1213">
        <f t="shared" ca="1" si="14"/>
        <v>0</v>
      </c>
      <c r="S30" s="1213">
        <f t="shared" ca="1" si="15"/>
        <v>0</v>
      </c>
      <c r="T30" s="136">
        <f t="shared" ca="1" si="5"/>
        <v>0</v>
      </c>
      <c r="U30" s="861">
        <f t="shared" ca="1" si="6"/>
        <v>0</v>
      </c>
      <c r="V30" s="136" t="b">
        <f ca="1">IF(OR(D30&lt;&gt;"USD",L30="無",M30&lt;&gt;"",K30="高資產",IFERROR(MATCH(B30,換券投組!K:K,0),"N")&lt;&gt;"N",IFERROR(MATCH(B30,換券投組!J:J,0),"N")&lt;&gt;"N"),FALSE,IF($V$1="All",TRUE,IF(K30=$V$1,TRUE,FALSE)))</f>
        <v>0</v>
      </c>
      <c r="W30" s="136">
        <f ca="1">VLOOKUP(A30,'銀行-TSS'!A:AO,41,FALSE)</f>
        <v>126.29</v>
      </c>
      <c r="X30" s="136">
        <f ca="1">VLOOKUP(A30,'銀行-TSS'!A:AP,42,FALSE)</f>
        <v>4.0728</v>
      </c>
      <c r="Y30" s="1223">
        <f t="shared" ca="1" si="16"/>
        <v>0</v>
      </c>
      <c r="Z30" s="1211">
        <f t="shared" ca="1" si="17"/>
        <v>0</v>
      </c>
      <c r="AA30" s="136">
        <f ca="1">IF(Z30&lt;=0,0,RANK(Z30,Z:Z)+COUNTIF($Z$3:$Z30,Z30)-1)</f>
        <v>0</v>
      </c>
      <c r="AB30" s="1211">
        <f t="shared" ca="1" si="9"/>
        <v>0</v>
      </c>
      <c r="AC30" s="136">
        <f ca="1">IF(AB30&lt;=0,0,RANK(AB30,AB:AB)+COUNTIF($AB$3:$AB30,AB30)-1)</f>
        <v>0</v>
      </c>
      <c r="AD30" s="136">
        <f t="shared" ca="1" si="18"/>
        <v>99999</v>
      </c>
      <c r="AE30" s="136">
        <f ca="1">IF(AD30=99999,0,RANK(AD30,AD:AD,1)+COUNTIF($AD$3:$AD30,AD30)-1)</f>
        <v>0</v>
      </c>
    </row>
    <row r="31" spans="1:31">
      <c r="A31" s="141" t="str">
        <f>'銀行-TSS'!A31</f>
        <v>XS1238805102</v>
      </c>
      <c r="B31" s="151" t="str">
        <f ca="1">VLOOKUP(A31,'銀行-TSS'!A:B,2,FALSE)</f>
        <v>XFJ70</v>
      </c>
      <c r="C31" s="151" t="str">
        <f ca="1">VLOOKUP(B31,bond!B:C,2,FALSE)</f>
        <v>國際復興開發銀行南非幣零息債券 0% 2035/5/29</v>
      </c>
      <c r="D31" s="95" t="str">
        <f>VLOOKUP(A31,'銀行-TSS'!A:C,3,FALSE)</f>
        <v>ZAR</v>
      </c>
      <c r="E31" s="90">
        <f ca="1">VLOOKUP(A31,'銀行-TSS'!A:G,7,FALSE)</f>
        <v>10.9</v>
      </c>
      <c r="F31" s="202">
        <f ca="1">VLOOKUP(A31,'銀行-TSS'!A:H,8,FALSE)</f>
        <v>0</v>
      </c>
      <c r="G31" s="96">
        <f ca="1">VLOOKUP(A31,'銀行-TSS'!A:K,11,FALSE)</f>
        <v>37.659999999999997</v>
      </c>
      <c r="H31" s="1209">
        <f ca="1">VLOOKUP(A31,'銀行-TSS'!A:M,13,FALSE)</f>
        <v>9.3700000000000006E-2</v>
      </c>
      <c r="I31" s="1213">
        <f ca="1">VLOOKUP(A31,'銀行-TSS'!A:N,14,FALSE)</f>
        <v>100000</v>
      </c>
      <c r="J31" s="1213">
        <f ca="1">VLOOKUP(A31,'銀行-TSS'!A:O,15,FALSE)</f>
        <v>10000</v>
      </c>
      <c r="K31" s="136" t="str">
        <f ca="1">VLOOKUP(A31,'銀行-TSS'!A:V,22,FALSE)</f>
        <v>(NPI)非專投</v>
      </c>
      <c r="L31" s="136" t="str">
        <f ca="1">VLOOKUP(A31,'銀行-TSS'!A:AK,37,FALSE)</f>
        <v>有</v>
      </c>
      <c r="M31" s="136" t="str">
        <f ca="1">VLOOKUP(A31,'銀行-TSS'!A:AN,40,FALSE)</f>
        <v/>
      </c>
      <c r="N31" s="1211">
        <f t="shared" ca="1" si="11"/>
        <v>3765.9999999999995</v>
      </c>
      <c r="O31" s="1211">
        <f t="shared" ca="1" si="12"/>
        <v>37659.999999999993</v>
      </c>
      <c r="P31" s="1213">
        <f ca="1">IF(AND(換券投組!$D$17&gt;=O31,換券投組!$D$13=D31),I31+INT((換券投組!$D$17-O31)/N31)*J31,0)</f>
        <v>0</v>
      </c>
      <c r="Q31" s="1211">
        <f t="shared" ca="1" si="13"/>
        <v>0</v>
      </c>
      <c r="R31" s="1213">
        <f t="shared" ca="1" si="14"/>
        <v>0</v>
      </c>
      <c r="S31" s="1213">
        <f t="shared" ca="1" si="15"/>
        <v>0</v>
      </c>
      <c r="T31" s="136">
        <f t="shared" ca="1" si="5"/>
        <v>0</v>
      </c>
      <c r="U31" s="861">
        <f t="shared" ca="1" si="6"/>
        <v>0</v>
      </c>
      <c r="V31" s="136" t="b">
        <f ca="1">IF(OR(D31&lt;&gt;"USD",L31="無",M31&lt;&gt;"",K31="高資產",IFERROR(MATCH(B31,換券投組!K:K,0),"N")&lt;&gt;"N",IFERROR(MATCH(B31,換券投組!J:J,0),"N")&lt;&gt;"N"),FALSE,IF($V$1="All",TRUE,IF(K31=$V$1,TRUE,FALSE)))</f>
        <v>0</v>
      </c>
      <c r="W31" s="136">
        <f ca="1">VLOOKUP(A31,'銀行-TSS'!A:AO,41,FALSE)</f>
        <v>36.159999999999997</v>
      </c>
      <c r="X31" s="136">
        <f ca="1">VLOOKUP(A31,'銀行-TSS'!A:AP,42,FALSE)</f>
        <v>10.407400000000001</v>
      </c>
      <c r="Y31" s="1223">
        <f t="shared" ca="1" si="16"/>
        <v>0</v>
      </c>
      <c r="Z31" s="1211">
        <f t="shared" ca="1" si="17"/>
        <v>0</v>
      </c>
      <c r="AA31" s="136">
        <f ca="1">IF(Z31&lt;=0,0,RANK(Z31,Z:Z)+COUNTIF($Z$3:$Z31,Z31)-1)</f>
        <v>0</v>
      </c>
      <c r="AB31" s="1211">
        <f t="shared" ca="1" si="9"/>
        <v>0</v>
      </c>
      <c r="AC31" s="136">
        <f ca="1">IF(AB31&lt;=0,0,RANK(AB31,AB:AB)+COUNTIF($AB$3:$AB31,AB31)-1)</f>
        <v>0</v>
      </c>
      <c r="AD31" s="136">
        <f t="shared" ca="1" si="18"/>
        <v>99999</v>
      </c>
      <c r="AE31" s="136">
        <f ca="1">IF(AD31=99999,0,RANK(AD31,AD:AD,1)+COUNTIF($AD$3:$AD31,AD31)-1)</f>
        <v>0</v>
      </c>
    </row>
    <row r="32" spans="1:31">
      <c r="A32" s="141" t="str">
        <f>'銀行-TSS'!A32</f>
        <v>US478160BJ28</v>
      </c>
      <c r="B32" s="151" t="str">
        <f ca="1">VLOOKUP(A32,'銀行-TSS'!A:B,2,FALSE)</f>
        <v>XFJ90</v>
      </c>
      <c r="C32" s="151" t="str">
        <f ca="1">VLOOKUP(B32,bond!B:C,2,FALSE)</f>
        <v>嬌生公司美元配息債券 4.375% 2033/12/5</v>
      </c>
      <c r="D32" s="95" t="str">
        <f>VLOOKUP(A32,'銀行-TSS'!A:C,3,FALSE)</f>
        <v>USD</v>
      </c>
      <c r="E32" s="90">
        <f ca="1">VLOOKUP(A32,'銀行-TSS'!A:G,7,FALSE)</f>
        <v>9.43</v>
      </c>
      <c r="F32" s="202">
        <f ca="1">VLOOKUP(A32,'銀行-TSS'!A:H,8,FALSE)</f>
        <v>4.3749999999999997E-2</v>
      </c>
      <c r="G32" s="96">
        <f ca="1">VLOOKUP(A32,'銀行-TSS'!A:K,11,FALSE)</f>
        <v>101.51</v>
      </c>
      <c r="H32" s="1209">
        <f ca="1">VLOOKUP(A32,'銀行-TSS'!A:M,13,FALSE)</f>
        <v>4.2200000000000001E-2</v>
      </c>
      <c r="I32" s="1213">
        <f ca="1">VLOOKUP(A32,'銀行-TSS'!A:N,14,FALSE)</f>
        <v>10000</v>
      </c>
      <c r="J32" s="1213">
        <f ca="1">VLOOKUP(A32,'銀行-TSS'!A:O,15,FALSE)</f>
        <v>1000</v>
      </c>
      <c r="K32" s="136" t="str">
        <f ca="1">VLOOKUP(A32,'銀行-TSS'!A:V,22,FALSE)</f>
        <v>(NPI)非專投</v>
      </c>
      <c r="L32" s="136" t="str">
        <f ca="1">VLOOKUP(A32,'銀行-TSS'!A:AK,37,FALSE)</f>
        <v>有</v>
      </c>
      <c r="M32" s="136" t="str">
        <f ca="1">VLOOKUP(A32,'銀行-TSS'!A:AN,40,FALSE)</f>
        <v/>
      </c>
      <c r="N32" s="1211">
        <f t="shared" ca="1" si="11"/>
        <v>1015.1</v>
      </c>
      <c r="O32" s="1211">
        <f t="shared" ca="1" si="12"/>
        <v>10151</v>
      </c>
      <c r="P32" s="1213">
        <f ca="1">IF(AND(換券投組!$D$17&gt;=O32,換券投組!$D$13=D32),I32+INT((換券投組!$D$17-O32)/N32)*J32,0)</f>
        <v>0</v>
      </c>
      <c r="Q32" s="1211">
        <f t="shared" ca="1" si="13"/>
        <v>0</v>
      </c>
      <c r="R32" s="1213">
        <f t="shared" ca="1" si="14"/>
        <v>0</v>
      </c>
      <c r="S32" s="1213">
        <f t="shared" ca="1" si="15"/>
        <v>0</v>
      </c>
      <c r="T32" s="136">
        <f t="shared" ca="1" si="5"/>
        <v>0</v>
      </c>
      <c r="U32" s="861">
        <f t="shared" ca="1" si="6"/>
        <v>0</v>
      </c>
      <c r="V32" s="136" t="b">
        <f ca="1">IF(OR(D32&lt;&gt;"USD",L32="無",M32&lt;&gt;"",K32="高資產",IFERROR(MATCH(B32,換券投組!K:K,0),"N")&lt;&gt;"N",IFERROR(MATCH(B32,換券投組!J:J,0),"N")&lt;&gt;"N"),FALSE,IF($V$1="All",TRUE,IF(K32=$V$1,TRUE,FALSE)))</f>
        <v>1</v>
      </c>
      <c r="W32" s="136">
        <f ca="1">VLOOKUP(A32,'銀行-TSS'!A:AO,41,FALSE)</f>
        <v>98.68</v>
      </c>
      <c r="X32" s="136">
        <f ca="1">VLOOKUP(A32,'銀行-TSS'!A:AP,42,FALSE)</f>
        <v>7.6245000000000003</v>
      </c>
      <c r="Y32" s="1223">
        <f t="shared" ca="1" si="16"/>
        <v>0</v>
      </c>
      <c r="Z32" s="1211">
        <f t="shared" ca="1" si="17"/>
        <v>0</v>
      </c>
      <c r="AA32" s="136">
        <f ca="1">IF(Z32&lt;=0,0,RANK(Z32,Z:Z)+COUNTIF($Z$3:$Z32,Z32)-1)</f>
        <v>0</v>
      </c>
      <c r="AB32" s="1211">
        <f t="shared" ca="1" si="9"/>
        <v>0</v>
      </c>
      <c r="AC32" s="136">
        <f ca="1">IF(AB32&lt;=0,0,RANK(AB32,AB:AB)+COUNTIF($AB$3:$AB32,AB32)-1)</f>
        <v>0</v>
      </c>
      <c r="AD32" s="136">
        <f t="shared" ca="1" si="18"/>
        <v>99999</v>
      </c>
      <c r="AE32" s="136">
        <f ca="1">IF(AD32=99999,0,RANK(AD32,AD:AD,1)+COUNTIF($AD$3:$AD32,AD32)-1)</f>
        <v>0</v>
      </c>
    </row>
    <row r="33" spans="1:31">
      <c r="A33" s="141" t="str">
        <f>'銀行-TSS'!A33</f>
        <v>US458140AT73</v>
      </c>
      <c r="B33" s="151" t="str">
        <f ca="1">VLOOKUP(A33,'銀行-TSS'!A:B,2,FALSE)</f>
        <v>XFK10</v>
      </c>
      <c r="C33" s="151" t="str">
        <f ca="1">VLOOKUP(B33,bond!B:C,2,FALSE)</f>
        <v>英特爾公司美元配息債券 4.9% 2045/7/29</v>
      </c>
      <c r="D33" s="95" t="str">
        <f>VLOOKUP(A33,'銀行-TSS'!A:C,3,FALSE)</f>
        <v>USD</v>
      </c>
      <c r="E33" s="90">
        <f ca="1">VLOOKUP(A33,'銀行-TSS'!A:G,7,FALSE)</f>
        <v>21.07</v>
      </c>
      <c r="F33" s="202">
        <f ca="1">VLOOKUP(A33,'銀行-TSS'!A:H,8,FALSE)</f>
        <v>4.9000000000000002E-2</v>
      </c>
      <c r="G33" s="96">
        <f ca="1">VLOOKUP(A33,'銀行-TSS'!A:K,11,FALSE)</f>
        <v>97.24</v>
      </c>
      <c r="H33" s="1209">
        <f ca="1">VLOOKUP(A33,'銀行-TSS'!A:M,13,FALSE)</f>
        <v>5.28E-2</v>
      </c>
      <c r="I33" s="1213">
        <f ca="1">VLOOKUP(A33,'銀行-TSS'!A:N,14,FALSE)</f>
        <v>10000</v>
      </c>
      <c r="J33" s="1213">
        <f ca="1">VLOOKUP(A33,'銀行-TSS'!A:O,15,FALSE)</f>
        <v>1000</v>
      </c>
      <c r="K33" s="136" t="str">
        <f ca="1">VLOOKUP(A33,'銀行-TSS'!A:V,22,FALSE)</f>
        <v>(NPI)非專投</v>
      </c>
      <c r="L33" s="136" t="str">
        <f ca="1">VLOOKUP(A33,'銀行-TSS'!A:AK,37,FALSE)</f>
        <v>有</v>
      </c>
      <c r="M33" s="136" t="str">
        <f ca="1">VLOOKUP(A33,'銀行-TSS'!A:AN,40,FALSE)</f>
        <v/>
      </c>
      <c r="N33" s="1211">
        <f t="shared" ca="1" si="11"/>
        <v>972.4</v>
      </c>
      <c r="O33" s="1211">
        <f t="shared" ca="1" si="12"/>
        <v>9724</v>
      </c>
      <c r="P33" s="1213">
        <f ca="1">IF(AND(換券投組!$D$17&gt;=O33,換券投組!$D$13=D33),I33+INT((換券投組!$D$17-O33)/N33)*J33,0)</f>
        <v>0</v>
      </c>
      <c r="Q33" s="1211">
        <f t="shared" ca="1" si="13"/>
        <v>0</v>
      </c>
      <c r="R33" s="1213">
        <f t="shared" ca="1" si="14"/>
        <v>0</v>
      </c>
      <c r="S33" s="1213">
        <f t="shared" ca="1" si="15"/>
        <v>0</v>
      </c>
      <c r="T33" s="136">
        <f t="shared" ca="1" si="5"/>
        <v>0</v>
      </c>
      <c r="U33" s="861">
        <f t="shared" ca="1" si="6"/>
        <v>0</v>
      </c>
      <c r="V33" s="136" t="b">
        <f ca="1">IF(OR(D33&lt;&gt;"USD",L33="無",M33&lt;&gt;"",K33="高資產",IFERROR(MATCH(B33,換券投組!K:K,0),"N")&lt;&gt;"N",IFERROR(MATCH(B33,換券投組!J:J,0),"N")&lt;&gt;"N"),FALSE,IF($V$1="All",TRUE,IF(K33=$V$1,TRUE,FALSE)))</f>
        <v>1</v>
      </c>
      <c r="W33" s="136">
        <f ca="1">VLOOKUP(A33,'銀行-TSS'!A:AO,41,FALSE)</f>
        <v>92.160000000000011</v>
      </c>
      <c r="X33" s="136">
        <f ca="1">VLOOKUP(A33,'銀行-TSS'!A:AP,42,FALSE)</f>
        <v>12.4467</v>
      </c>
      <c r="Y33" s="1223">
        <f t="shared" ca="1" si="16"/>
        <v>0</v>
      </c>
      <c r="Z33" s="1211">
        <f t="shared" ca="1" si="17"/>
        <v>0</v>
      </c>
      <c r="AA33" s="136">
        <f ca="1">IF(Z33&lt;=0,0,RANK(Z33,Z:Z)+COUNTIF($Z$3:$Z33,Z33)-1)</f>
        <v>0</v>
      </c>
      <c r="AB33" s="1211">
        <f t="shared" ca="1" si="9"/>
        <v>0</v>
      </c>
      <c r="AC33" s="136">
        <f ca="1">IF(AB33&lt;=0,0,RANK(AB33,AB:AB)+COUNTIF($AB$3:$AB33,AB33)-1)</f>
        <v>0</v>
      </c>
      <c r="AD33" s="136">
        <f t="shared" ca="1" si="18"/>
        <v>99999</v>
      </c>
      <c r="AE33" s="136">
        <f ca="1">IF(AD33=99999,0,RANK(AD33,AD:AD,1)+COUNTIF($AD$3:$AD33,AD33)-1)</f>
        <v>0</v>
      </c>
    </row>
    <row r="34" spans="1:31">
      <c r="A34" s="141" t="str">
        <f>'銀行-TSS'!A34</f>
        <v>US71654QCG55</v>
      </c>
      <c r="B34" s="151" t="str">
        <f ca="1">VLOOKUP(A34,'銀行-TSS'!A:B,2,FALSE)</f>
        <v>XFK20</v>
      </c>
      <c r="C34" s="151" t="str">
        <f ca="1">VLOOKUP(B34,bond!B:C,2,FALSE)</f>
        <v>墨西哥石油公司美元配息債券 6.5% 2027/3/13</v>
      </c>
      <c r="D34" s="95" t="str">
        <f>VLOOKUP(A34,'銀行-TSS'!A:C,3,FALSE)</f>
        <v>USD</v>
      </c>
      <c r="E34" s="90">
        <f ca="1">VLOOKUP(A34,'銀行-TSS'!A:G,7,FALSE)</f>
        <v>2.69</v>
      </c>
      <c r="F34" s="202">
        <f ca="1">VLOOKUP(A34,'銀行-TSS'!A:H,8,FALSE)</f>
        <v>6.5000000000000002E-2</v>
      </c>
      <c r="G34" s="96">
        <f ca="1">VLOOKUP(A34,'銀行-TSS'!A:K,11,FALSE)</f>
        <v>99.47</v>
      </c>
      <c r="H34" s="1209">
        <f ca="1">VLOOKUP(A34,'銀行-TSS'!A:M,13,FALSE)</f>
        <v>7.5399999999999995E-2</v>
      </c>
      <c r="I34" s="1213">
        <f ca="1">VLOOKUP(A34,'銀行-TSS'!A:N,14,FALSE)</f>
        <v>10000</v>
      </c>
      <c r="J34" s="1213">
        <f ca="1">VLOOKUP(A34,'銀行-TSS'!A:O,15,FALSE)</f>
        <v>1000</v>
      </c>
      <c r="K34" s="136" t="str">
        <f ca="1">VLOOKUP(A34,'銀行-TSS'!A:V,22,FALSE)</f>
        <v>高資產</v>
      </c>
      <c r="L34" s="136" t="str">
        <f ca="1">VLOOKUP(A34,'銀行-TSS'!A:AK,37,FALSE)</f>
        <v>有</v>
      </c>
      <c r="M34" s="136" t="str">
        <f ca="1">VLOOKUP(A34,'銀行-TSS'!A:AN,40,FALSE)</f>
        <v/>
      </c>
      <c r="N34" s="1211">
        <f t="shared" ca="1" si="11"/>
        <v>994.7</v>
      </c>
      <c r="O34" s="1211">
        <f t="shared" ca="1" si="12"/>
        <v>9947</v>
      </c>
      <c r="P34" s="1213">
        <f ca="1">IF(AND(換券投組!$D$17&gt;=O34,換券投組!$D$13=D34),I34+INT((換券投組!$D$17-O34)/N34)*J34,0)</f>
        <v>0</v>
      </c>
      <c r="Q34" s="1211">
        <f t="shared" ca="1" si="13"/>
        <v>0</v>
      </c>
      <c r="R34" s="1213">
        <f t="shared" ca="1" si="14"/>
        <v>0</v>
      </c>
      <c r="S34" s="1213">
        <f t="shared" ca="1" si="15"/>
        <v>0</v>
      </c>
      <c r="T34" s="136">
        <f t="shared" ca="1" si="5"/>
        <v>0</v>
      </c>
      <c r="U34" s="861">
        <f t="shared" ca="1" si="6"/>
        <v>0</v>
      </c>
      <c r="V34" s="136" t="b">
        <f ca="1">IF(OR(D34&lt;&gt;"USD",L34="無",M34&lt;&gt;"",K34="高資產",IFERROR(MATCH(B34,換券投組!K:K,0),"N")&lt;&gt;"N",IFERROR(MATCH(B34,換券投組!J:J,0),"N")&lt;&gt;"N"),FALSE,IF($V$1="All",TRUE,IF(K34=$V$1,TRUE,FALSE)))</f>
        <v>0</v>
      </c>
      <c r="W34" s="136">
        <f ca="1">VLOOKUP(A34,'銀行-TSS'!A:AO,41,FALSE)</f>
        <v>96.300000000000011</v>
      </c>
      <c r="X34" s="136">
        <f ca="1">VLOOKUP(A34,'銀行-TSS'!A:AP,42,FALSE)</f>
        <v>2.37</v>
      </c>
      <c r="Y34" s="1223">
        <f t="shared" ca="1" si="16"/>
        <v>0</v>
      </c>
      <c r="Z34" s="1211">
        <f t="shared" ca="1" si="17"/>
        <v>0</v>
      </c>
      <c r="AA34" s="136">
        <f ca="1">IF(Z34&lt;=0,0,RANK(Z34,Z:Z)+COUNTIF($Z$3:$Z34,Z34)-1)</f>
        <v>0</v>
      </c>
      <c r="AB34" s="1211">
        <f t="shared" ca="1" si="9"/>
        <v>0</v>
      </c>
      <c r="AC34" s="136">
        <f ca="1">IF(AB34&lt;=0,0,RANK(AB34,AB:AB)+COUNTIF($AB$3:$AB34,AB34)-1)</f>
        <v>0</v>
      </c>
      <c r="AD34" s="136">
        <f t="shared" ca="1" si="18"/>
        <v>99999</v>
      </c>
      <c r="AE34" s="136">
        <f ca="1">IF(AD34=99999,0,RANK(AD34,AD:AD,1)+COUNTIF($AD$3:$AD34,AD34)-1)</f>
        <v>0</v>
      </c>
    </row>
    <row r="35" spans="1:31">
      <c r="A35" s="141" t="str">
        <f>'銀行-TSS'!A35</f>
        <v>XS1615104244</v>
      </c>
      <c r="B35" s="151" t="str">
        <f ca="1">VLOOKUP(A35,'銀行-TSS'!A:B,2,FALSE)</f>
        <v>XFK30</v>
      </c>
      <c r="C35" s="151" t="str">
        <f ca="1">VLOOKUP(B35,bond!B:C,2,FALSE)</f>
        <v>法國興業銀行澳幣年配息債券 5% 2027/5/19</v>
      </c>
      <c r="D35" s="95" t="str">
        <f>VLOOKUP(A35,'銀行-TSS'!A:C,3,FALSE)</f>
        <v>AUD</v>
      </c>
      <c r="E35" s="90">
        <f ca="1">VLOOKUP(A35,'銀行-TSS'!A:G,7,FALSE)</f>
        <v>2.87</v>
      </c>
      <c r="F35" s="202">
        <f ca="1">VLOOKUP(A35,'銀行-TSS'!A:H,8,FALSE)</f>
        <v>0.05</v>
      </c>
      <c r="G35" s="96">
        <f ca="1">VLOOKUP(A35,'銀行-TSS'!A:K,11,FALSE)</f>
        <v>100.7</v>
      </c>
      <c r="H35" s="1209">
        <f ca="1">VLOOKUP(A35,'銀行-TSS'!A:M,13,FALSE)</f>
        <v>4.9599999999999998E-2</v>
      </c>
      <c r="I35" s="1213">
        <f ca="1">VLOOKUP(A35,'銀行-TSS'!A:N,14,FALSE)</f>
        <v>200000</v>
      </c>
      <c r="J35" s="1213">
        <f ca="1">VLOOKUP(A35,'銀行-TSS'!A:O,15,FALSE)</f>
        <v>2000</v>
      </c>
      <c r="K35" s="136" t="str">
        <f ca="1">VLOOKUP(A35,'銀行-TSS'!A:V,22,FALSE)</f>
        <v>(PI)專投</v>
      </c>
      <c r="L35" s="136" t="str">
        <f ca="1">VLOOKUP(A35,'銀行-TSS'!A:AK,37,FALSE)</f>
        <v>需查詢</v>
      </c>
      <c r="M35" s="136" t="str">
        <f ca="1">VLOOKUP(A35,'銀行-TSS'!A:AN,40,FALSE)</f>
        <v/>
      </c>
      <c r="N35" s="1211">
        <f t="shared" ca="1" si="11"/>
        <v>2014</v>
      </c>
      <c r="O35" s="1211">
        <f t="shared" ca="1" si="12"/>
        <v>201400</v>
      </c>
      <c r="P35" s="1213">
        <f ca="1">IF(AND(換券投組!$D$17&gt;=O35,換券投組!$D$13=D35),I35+INT((換券投組!$D$17-O35)/N35)*J35,0)</f>
        <v>0</v>
      </c>
      <c r="Q35" s="1211">
        <f t="shared" ca="1" si="13"/>
        <v>0</v>
      </c>
      <c r="R35" s="1213">
        <f t="shared" ca="1" si="14"/>
        <v>0</v>
      </c>
      <c r="S35" s="1213">
        <f t="shared" ca="1" si="15"/>
        <v>0</v>
      </c>
      <c r="T35" s="136">
        <f t="shared" ca="1" si="5"/>
        <v>0</v>
      </c>
      <c r="U35" s="861">
        <f t="shared" ca="1" si="6"/>
        <v>0</v>
      </c>
      <c r="V35" s="136" t="b">
        <f ca="1">IF(OR(D35&lt;&gt;"USD",L35="無",M35&lt;&gt;"",K35="高資產",IFERROR(MATCH(B35,換券投組!K:K,0),"N")&lt;&gt;"N",IFERROR(MATCH(B35,換券投組!J:J,0),"N")&lt;&gt;"N"),FALSE,IF($V$1="All",TRUE,IF(K35=$V$1,TRUE,FALSE)))</f>
        <v>0</v>
      </c>
      <c r="W35" s="136">
        <f ca="1">VLOOKUP(A35,'銀行-TSS'!A:AO,41,FALSE)</f>
        <v>98.88000000000001</v>
      </c>
      <c r="X35" s="136">
        <f ca="1">VLOOKUP(A35,'銀行-TSS'!A:AP,42,FALSE)</f>
        <v>2.6614</v>
      </c>
      <c r="Y35" s="1223">
        <f t="shared" ca="1" si="16"/>
        <v>0</v>
      </c>
      <c r="Z35" s="1211">
        <f t="shared" ca="1" si="17"/>
        <v>0</v>
      </c>
      <c r="AA35" s="136">
        <f ca="1">IF(Z35&lt;=0,0,RANK(Z35,Z:Z)+COUNTIF($Z$3:$Z35,Z35)-1)</f>
        <v>0</v>
      </c>
      <c r="AB35" s="1211">
        <f t="shared" ca="1" si="9"/>
        <v>0</v>
      </c>
      <c r="AC35" s="136">
        <f ca="1">IF(AB35&lt;=0,0,RANK(AB35,AB:AB)+COUNTIF($AB$3:$AB35,AB35)-1)</f>
        <v>0</v>
      </c>
      <c r="AD35" s="136">
        <f t="shared" ca="1" si="18"/>
        <v>99999</v>
      </c>
      <c r="AE35" s="136">
        <f ca="1">IF(AD35=99999,0,RANK(AD35,AD:AD,1)+COUNTIF($AD$3:$AD35,AD35)-1)</f>
        <v>0</v>
      </c>
    </row>
    <row r="36" spans="1:31">
      <c r="A36" s="141" t="str">
        <f>'銀行-TSS'!A36</f>
        <v>US02079KAC18</v>
      </c>
      <c r="B36" s="151" t="str">
        <f ca="1">VLOOKUP(A36,'銀行-TSS'!A:B,2,FALSE)</f>
        <v>XFK60</v>
      </c>
      <c r="C36" s="151" t="str">
        <f ca="1">VLOOKUP(B36,bond!B:C,2,FALSE)</f>
        <v>Alphabet公司美元配息債券 1.998% 2026/8/15</v>
      </c>
      <c r="D36" s="95" t="str">
        <f>VLOOKUP(A36,'銀行-TSS'!A:C,3,FALSE)</f>
        <v>USD</v>
      </c>
      <c r="E36" s="90">
        <f ca="1">VLOOKUP(A36,'銀行-TSS'!A:G,7,FALSE)</f>
        <v>2.12</v>
      </c>
      <c r="F36" s="202">
        <f ca="1">VLOOKUP(A36,'銀行-TSS'!A:H,8,FALSE)</f>
        <v>1.9980000000000001E-2</v>
      </c>
      <c r="G36" s="96">
        <f ca="1">VLOOKUP(A36,'銀行-TSS'!A:K,11,FALSE)</f>
        <v>96.9</v>
      </c>
      <c r="H36" s="1209">
        <f ca="1">VLOOKUP(A36,'銀行-TSS'!A:M,13,FALSE)</f>
        <v>3.9100000000000003E-2</v>
      </c>
      <c r="I36" s="1213">
        <f ca="1">VLOOKUP(A36,'銀行-TSS'!A:N,14,FALSE)</f>
        <v>10000</v>
      </c>
      <c r="J36" s="1213">
        <f ca="1">VLOOKUP(A36,'銀行-TSS'!A:O,15,FALSE)</f>
        <v>1000</v>
      </c>
      <c r="K36" s="136" t="str">
        <f ca="1">VLOOKUP(A36,'銀行-TSS'!A:V,22,FALSE)</f>
        <v>(NPI)非專投</v>
      </c>
      <c r="L36" s="136" t="str">
        <f ca="1">VLOOKUP(A36,'銀行-TSS'!A:AK,37,FALSE)</f>
        <v>有</v>
      </c>
      <c r="M36" s="136" t="str">
        <f ca="1">VLOOKUP(A36,'銀行-TSS'!A:AN,40,FALSE)</f>
        <v>XFK60</v>
      </c>
      <c r="N36" s="1211">
        <f t="shared" ca="1" si="11"/>
        <v>969</v>
      </c>
      <c r="O36" s="1211">
        <f t="shared" ca="1" si="12"/>
        <v>9690</v>
      </c>
      <c r="P36" s="1213">
        <f ca="1">IF(AND(換券投組!$D$17&gt;=O36,換券投組!$D$13=D36),I36+INT((換券投組!$D$17-O36)/N36)*J36,0)</f>
        <v>0</v>
      </c>
      <c r="Q36" s="1211">
        <f t="shared" ca="1" si="13"/>
        <v>0</v>
      </c>
      <c r="R36" s="1213">
        <f t="shared" ca="1" si="14"/>
        <v>0</v>
      </c>
      <c r="S36" s="1213">
        <f t="shared" ca="1" si="15"/>
        <v>0</v>
      </c>
      <c r="T36" s="136">
        <f t="shared" ca="1" si="5"/>
        <v>0</v>
      </c>
      <c r="U36" s="861">
        <f t="shared" ca="1" si="6"/>
        <v>0</v>
      </c>
      <c r="V36" s="136" t="b">
        <f ca="1">IF(OR(D36&lt;&gt;"USD",L36="無",M36&lt;&gt;"",K36="高資產",IFERROR(MATCH(B36,換券投組!K:K,0),"N")&lt;&gt;"N",IFERROR(MATCH(B36,換券投組!J:J,0),"N")&lt;&gt;"N"),FALSE,IF($V$1="All",TRUE,IF(K36=$V$1,TRUE,FALSE)))</f>
        <v>0</v>
      </c>
      <c r="W36" s="136">
        <f ca="1">VLOOKUP(A36,'銀行-TSS'!A:AO,41,FALSE)</f>
        <v>94.64</v>
      </c>
      <c r="X36" s="136">
        <f ca="1">VLOOKUP(A36,'銀行-TSS'!A:AP,42,FALSE)</f>
        <v>2.0238</v>
      </c>
      <c r="Y36" s="1223">
        <f t="shared" ca="1" si="16"/>
        <v>0</v>
      </c>
      <c r="Z36" s="1211">
        <f t="shared" ca="1" si="17"/>
        <v>0</v>
      </c>
      <c r="AA36" s="136">
        <f ca="1">IF(Z36&lt;=0,0,RANK(Z36,Z:Z)+COUNTIF($Z$3:$Z36,Z36)-1)</f>
        <v>0</v>
      </c>
      <c r="AB36" s="1211">
        <f t="shared" ca="1" si="9"/>
        <v>0</v>
      </c>
      <c r="AC36" s="136">
        <f ca="1">IF(AB36&lt;=0,0,RANK(AB36,AB:AB)+COUNTIF($AB$3:$AB36,AB36)-1)</f>
        <v>0</v>
      </c>
      <c r="AD36" s="136">
        <f t="shared" ca="1" si="18"/>
        <v>99999</v>
      </c>
      <c r="AE36" s="136">
        <f ca="1">IF(AD36=99999,0,RANK(AD36,AD:AD,1)+COUNTIF($AD$3:$AD36,AD36)-1)</f>
        <v>0</v>
      </c>
    </row>
    <row r="37" spans="1:31">
      <c r="A37" s="141" t="str">
        <f>'銀行-TSS'!A37</f>
        <v>US023135AQ91</v>
      </c>
      <c r="B37" s="151" t="str">
        <f ca="1">VLOOKUP(A37,'銀行-TSS'!A:B,2,FALSE)</f>
        <v>XFK70</v>
      </c>
      <c r="C37" s="151" t="str">
        <f ca="1">VLOOKUP(B37,bond!B:C,2,FALSE)</f>
        <v>亞馬遜公司美元配息債券 4.95% 2044/12/5</v>
      </c>
      <c r="D37" s="95" t="str">
        <f>VLOOKUP(A37,'銀行-TSS'!A:C,3,FALSE)</f>
        <v>USD</v>
      </c>
      <c r="E37" s="90">
        <f ca="1">VLOOKUP(A37,'銀行-TSS'!A:G,7,FALSE)</f>
        <v>20.43</v>
      </c>
      <c r="F37" s="202">
        <f ca="1">VLOOKUP(A37,'銀行-TSS'!A:H,8,FALSE)</f>
        <v>4.9500000000000002E-2</v>
      </c>
      <c r="G37" s="96">
        <f ca="1">VLOOKUP(A37,'銀行-TSS'!A:K,11,FALSE)</f>
        <v>100.91</v>
      </c>
      <c r="H37" s="1209">
        <f ca="1">VLOOKUP(A37,'銀行-TSS'!A:M,13,FALSE)</f>
        <v>4.9099999999999998E-2</v>
      </c>
      <c r="I37" s="1213">
        <f ca="1">VLOOKUP(A37,'銀行-TSS'!A:N,14,FALSE)</f>
        <v>2000</v>
      </c>
      <c r="J37" s="1213">
        <f ca="1">VLOOKUP(A37,'銀行-TSS'!A:O,15,FALSE)</f>
        <v>1000</v>
      </c>
      <c r="K37" s="136" t="str">
        <f ca="1">VLOOKUP(A37,'銀行-TSS'!A:V,22,FALSE)</f>
        <v>(NPI)非專投</v>
      </c>
      <c r="L37" s="136" t="str">
        <f ca="1">VLOOKUP(A37,'銀行-TSS'!A:AK,37,FALSE)</f>
        <v>有</v>
      </c>
      <c r="M37" s="136" t="str">
        <f ca="1">VLOOKUP(A37,'銀行-TSS'!A:AN,40,FALSE)</f>
        <v/>
      </c>
      <c r="N37" s="1211">
        <f t="shared" ca="1" si="11"/>
        <v>1009.1</v>
      </c>
      <c r="O37" s="1211">
        <f t="shared" ca="1" si="12"/>
        <v>2018.2</v>
      </c>
      <c r="P37" s="1213">
        <f ca="1">IF(AND(換券投組!$D$17&gt;=O37,換券投組!$D$13=D37),I37+INT((換券投組!$D$17-O37)/N37)*J37,0)</f>
        <v>0</v>
      </c>
      <c r="Q37" s="1211">
        <f t="shared" ca="1" si="13"/>
        <v>0</v>
      </c>
      <c r="R37" s="1213">
        <f t="shared" ca="1" si="14"/>
        <v>0</v>
      </c>
      <c r="S37" s="1213">
        <f t="shared" ca="1" si="15"/>
        <v>0</v>
      </c>
      <c r="T37" s="136">
        <f t="shared" ca="1" si="5"/>
        <v>0</v>
      </c>
      <c r="U37" s="861">
        <f t="shared" ca="1" si="6"/>
        <v>0</v>
      </c>
      <c r="V37" s="136" t="b">
        <f ca="1">IF(OR(D37&lt;&gt;"USD",L37="無",M37&lt;&gt;"",K37="高資產",IFERROR(MATCH(B37,換券投組!K:K,0),"N")&lt;&gt;"N",IFERROR(MATCH(B37,換券投組!J:J,0),"N")&lt;&gt;"N"),FALSE,IF($V$1="All",TRUE,IF(K37=$V$1,TRUE,FALSE)))</f>
        <v>1</v>
      </c>
      <c r="W37" s="136">
        <f ca="1">VLOOKUP(A37,'銀行-TSS'!A:AO,41,FALSE)</f>
        <v>97.54</v>
      </c>
      <c r="X37" s="136">
        <f ca="1">VLOOKUP(A37,'銀行-TSS'!A:AP,42,FALSE)</f>
        <v>12.6425</v>
      </c>
      <c r="Y37" s="1223">
        <f t="shared" ca="1" si="16"/>
        <v>0</v>
      </c>
      <c r="Z37" s="1211">
        <f t="shared" ca="1" si="17"/>
        <v>0</v>
      </c>
      <c r="AA37" s="136">
        <f ca="1">IF(Z37&lt;=0,0,RANK(Z37,Z:Z)+COUNTIF($Z$3:$Z37,Z37)-1)</f>
        <v>0</v>
      </c>
      <c r="AB37" s="1211">
        <f t="shared" ca="1" si="9"/>
        <v>0</v>
      </c>
      <c r="AC37" s="136">
        <f ca="1">IF(AB37&lt;=0,0,RANK(AB37,AB:AB)+COUNTIF($AB$3:$AB37,AB37)-1)</f>
        <v>0</v>
      </c>
      <c r="AD37" s="136">
        <f t="shared" ca="1" si="18"/>
        <v>99999</v>
      </c>
      <c r="AE37" s="136">
        <f ca="1">IF(AD37=99999,0,RANK(AD37,AD:AD,1)+COUNTIF($AD$3:$AD37,AD37)-1)</f>
        <v>0</v>
      </c>
    </row>
    <row r="38" spans="1:31">
      <c r="A38" s="141" t="str">
        <f>'銀行-TSS'!A38</f>
        <v>US29078EAA38</v>
      </c>
      <c r="B38" s="151" t="str">
        <f ca="1">VLOOKUP(A38,'銀行-TSS'!A:B,2,FALSE)</f>
        <v>XFK80</v>
      </c>
      <c r="C38" s="151" t="str">
        <f ca="1">VLOOKUP(B38,bond!B:C,2,FALSE)</f>
        <v>音巴克公司美元配息債券 7.995% 2036/6/1</v>
      </c>
      <c r="D38" s="95" t="str">
        <f>VLOOKUP(A38,'銀行-TSS'!A:C,3,FALSE)</f>
        <v>USD</v>
      </c>
      <c r="E38" s="90">
        <f ca="1">VLOOKUP(A38,'銀行-TSS'!A:G,7,FALSE)</f>
        <v>11.92</v>
      </c>
      <c r="F38" s="202">
        <f ca="1">VLOOKUP(A38,'銀行-TSS'!A:H,8,FALSE)</f>
        <v>7.9950000000000007E-2</v>
      </c>
      <c r="G38" s="96">
        <f ca="1">VLOOKUP(A38,'銀行-TSS'!A:K,11,FALSE)</f>
        <v>17.240000000000002</v>
      </c>
      <c r="H38" s="1209">
        <f ca="1">VLOOKUP(A38,'銀行-TSS'!A:M,13,FALSE)</f>
        <v>0.49419999999999997</v>
      </c>
      <c r="I38" s="1213">
        <f ca="1">VLOOKUP(A38,'銀行-TSS'!A:N,14,FALSE)</f>
        <v>10000</v>
      </c>
      <c r="J38" s="1213">
        <f ca="1">VLOOKUP(A38,'銀行-TSS'!A:O,15,FALSE)</f>
        <v>1000</v>
      </c>
      <c r="K38" s="136" t="str">
        <f ca="1">VLOOKUP(A38,'銀行-TSS'!A:V,22,FALSE)</f>
        <v>高資產</v>
      </c>
      <c r="L38" s="136" t="str">
        <f ca="1">VLOOKUP(A38,'銀行-TSS'!A:AK,37,FALSE)</f>
        <v>有</v>
      </c>
      <c r="M38" s="136" t="str">
        <f ca="1">VLOOKUP(A38,'銀行-TSS'!A:AN,40,FALSE)</f>
        <v>XFK80</v>
      </c>
      <c r="N38" s="1211">
        <f t="shared" ca="1" si="11"/>
        <v>172.40000000000003</v>
      </c>
      <c r="O38" s="1211">
        <f t="shared" ca="1" si="12"/>
        <v>1724.0000000000002</v>
      </c>
      <c r="P38" s="1213">
        <f ca="1">IF(AND(換券投組!$D$17&gt;=O38,換券投組!$D$13=D38),I38+INT((換券投組!$D$17-O38)/N38)*J38,0)</f>
        <v>0</v>
      </c>
      <c r="Q38" s="1211">
        <f t="shared" ca="1" si="13"/>
        <v>0</v>
      </c>
      <c r="R38" s="1213">
        <f t="shared" ca="1" si="14"/>
        <v>0</v>
      </c>
      <c r="S38" s="1213">
        <f t="shared" ca="1" si="15"/>
        <v>0</v>
      </c>
      <c r="T38" s="136">
        <f t="shared" ca="1" si="5"/>
        <v>0</v>
      </c>
      <c r="U38" s="861">
        <f t="shared" ca="1" si="6"/>
        <v>0</v>
      </c>
      <c r="V38" s="136" t="b">
        <f ca="1">IF(OR(D38&lt;&gt;"USD",L38="無",M38&lt;&gt;"",K38="高資產",IFERROR(MATCH(B38,換券投組!K:K,0),"N")&lt;&gt;"N",IFERROR(MATCH(B38,換券投組!J:J,0),"N")&lt;&gt;"N"),FALSE,IF($V$1="All",TRUE,IF(K38=$V$1,TRUE,FALSE)))</f>
        <v>0</v>
      </c>
      <c r="W38" s="136">
        <f ca="1">VLOOKUP(A38,'銀行-TSS'!A:AO,41,FALSE)</f>
        <v>13.549999999999999</v>
      </c>
      <c r="X38" s="136">
        <f ca="1">VLOOKUP(A38,'銀行-TSS'!A:AP,42,FALSE)</f>
        <v>1.8764000000000001</v>
      </c>
      <c r="Y38" s="1223">
        <f t="shared" ca="1" si="16"/>
        <v>0</v>
      </c>
      <c r="Z38" s="1211">
        <f t="shared" ca="1" si="17"/>
        <v>0</v>
      </c>
      <c r="AA38" s="136">
        <f ca="1">IF(Z38&lt;=0,0,RANK(Z38,Z:Z)+COUNTIF($Z$3:$Z38,Z38)-1)</f>
        <v>0</v>
      </c>
      <c r="AB38" s="1211">
        <f t="shared" ca="1" si="9"/>
        <v>0</v>
      </c>
      <c r="AC38" s="136">
        <f ca="1">IF(AB38&lt;=0,0,RANK(AB38,AB:AB)+COUNTIF($AB$3:$AB38,AB38)-1)</f>
        <v>0</v>
      </c>
      <c r="AD38" s="136">
        <f t="shared" ca="1" si="18"/>
        <v>99999</v>
      </c>
      <c r="AE38" s="136">
        <f ca="1">IF(AD38=99999,0,RANK(AD38,AD:AD,1)+COUNTIF($AD$3:$AD38,AD38)-1)</f>
        <v>0</v>
      </c>
    </row>
    <row r="39" spans="1:31">
      <c r="A39" s="141" t="str">
        <f>'銀行-TSS'!A39</f>
        <v>XS1602313279</v>
      </c>
      <c r="B39" s="151" t="str">
        <f ca="1">VLOOKUP(A39,'銀行-TSS'!A:B,2,FALSE)</f>
        <v>XFK90</v>
      </c>
      <c r="C39" s="151" t="str">
        <f ca="1">VLOOKUP(B39,bond!B:C,2,FALSE)</f>
        <v>富國銀行澳幣配息債券 4% 2027/4/27</v>
      </c>
      <c r="D39" s="95" t="str">
        <f>VLOOKUP(A39,'銀行-TSS'!A:C,3,FALSE)</f>
        <v>AUD</v>
      </c>
      <c r="E39" s="90">
        <f ca="1">VLOOKUP(A39,'銀行-TSS'!A:G,7,FALSE)</f>
        <v>2.81</v>
      </c>
      <c r="F39" s="202">
        <f ca="1">VLOOKUP(A39,'銀行-TSS'!A:H,8,FALSE)</f>
        <v>0.04</v>
      </c>
      <c r="G39" s="96">
        <f ca="1">VLOOKUP(A39,'銀行-TSS'!A:K,11,FALSE)</f>
        <v>100.38000000000001</v>
      </c>
      <c r="H39" s="1209">
        <f ca="1">VLOOKUP(A39,'銀行-TSS'!A:M,13,FALSE)</f>
        <v>4.1300000000000003E-2</v>
      </c>
      <c r="I39" s="1213">
        <f ca="1">VLOOKUP(A39,'銀行-TSS'!A:N,14,FALSE)</f>
        <v>10000</v>
      </c>
      <c r="J39" s="1213">
        <f ca="1">VLOOKUP(A39,'銀行-TSS'!A:O,15,FALSE)</f>
        <v>1000</v>
      </c>
      <c r="K39" s="136" t="str">
        <f ca="1">VLOOKUP(A39,'銀行-TSS'!A:V,22,FALSE)</f>
        <v>(PI)專投</v>
      </c>
      <c r="L39" s="136" t="str">
        <f ca="1">VLOOKUP(A39,'銀行-TSS'!A:AK,37,FALSE)</f>
        <v>需查詢</v>
      </c>
      <c r="M39" s="136" t="str">
        <f ca="1">VLOOKUP(A39,'銀行-TSS'!A:AN,40,FALSE)</f>
        <v/>
      </c>
      <c r="N39" s="1211">
        <f t="shared" ca="1" si="11"/>
        <v>1003.8000000000002</v>
      </c>
      <c r="O39" s="1211">
        <f t="shared" ca="1" si="12"/>
        <v>10038.000000000002</v>
      </c>
      <c r="P39" s="1213">
        <f ca="1">IF(AND(換券投組!$D$17&gt;=O39,換券投組!$D$13=D39),I39+INT((換券投組!$D$17-O39)/N39)*J39,0)</f>
        <v>0</v>
      </c>
      <c r="Q39" s="1211">
        <f t="shared" ca="1" si="13"/>
        <v>0</v>
      </c>
      <c r="R39" s="1213">
        <f t="shared" ca="1" si="14"/>
        <v>0</v>
      </c>
      <c r="S39" s="1213">
        <f t="shared" ca="1" si="15"/>
        <v>0</v>
      </c>
      <c r="T39" s="136">
        <f t="shared" ca="1" si="5"/>
        <v>0</v>
      </c>
      <c r="U39" s="861">
        <f t="shared" ca="1" si="6"/>
        <v>0</v>
      </c>
      <c r="V39" s="136" t="b">
        <f ca="1">IF(OR(D39&lt;&gt;"USD",L39="無",M39&lt;&gt;"",K39="高資產",IFERROR(MATCH(B39,換券投組!K:K,0),"N")&lt;&gt;"N",IFERROR(MATCH(B39,換券投組!J:J,0),"N")&lt;&gt;"N"),FALSE,IF($V$1="All",TRUE,IF(K39=$V$1,TRUE,FALSE)))</f>
        <v>0</v>
      </c>
      <c r="W39" s="136">
        <f ca="1">VLOOKUP(A39,'銀行-TSS'!A:AO,41,FALSE)</f>
        <v>98.45</v>
      </c>
      <c r="X39" s="136">
        <f ca="1">VLOOKUP(A39,'銀行-TSS'!A:AP,42,FALSE)</f>
        <v>2.6109</v>
      </c>
      <c r="Y39" s="1223">
        <f t="shared" ca="1" si="16"/>
        <v>0</v>
      </c>
      <c r="Z39" s="1211">
        <f t="shared" ca="1" si="17"/>
        <v>0</v>
      </c>
      <c r="AA39" s="136">
        <f ca="1">IF(Z39&lt;=0,0,RANK(Z39,Z:Z)+COUNTIF($Z$3:$Z39,Z39)-1)</f>
        <v>0</v>
      </c>
      <c r="AB39" s="1211">
        <f t="shared" ca="1" si="9"/>
        <v>0</v>
      </c>
      <c r="AC39" s="136">
        <f ca="1">IF(AB39&lt;=0,0,RANK(AB39,AB:AB)+COUNTIF($AB$3:$AB39,AB39)-1)</f>
        <v>0</v>
      </c>
      <c r="AD39" s="136">
        <f t="shared" ca="1" si="18"/>
        <v>99999</v>
      </c>
      <c r="AE39" s="136">
        <f ca="1">IF(AD39=99999,0,RANK(AD39,AD:AD,1)+COUNTIF($AD$3:$AD39,AD39)-1)</f>
        <v>0</v>
      </c>
    </row>
    <row r="40" spans="1:31">
      <c r="A40" s="141" t="str">
        <f>'銀行-TSS'!A40</f>
        <v>US46625HHF01</v>
      </c>
      <c r="B40" s="151" t="str">
        <f ca="1">VLOOKUP(A40,'銀行-TSS'!A:B,2,FALSE)</f>
        <v>XFL20</v>
      </c>
      <c r="C40" s="151" t="str">
        <f ca="1">VLOOKUP(B40,bond!B:C,2,FALSE)</f>
        <v>摩根大通銀行美元配息債券 6.4% 2038/5/15</v>
      </c>
      <c r="D40" s="95" t="str">
        <f>VLOOKUP(A40,'銀行-TSS'!A:C,3,FALSE)</f>
        <v>USD</v>
      </c>
      <c r="E40" s="90">
        <f ca="1">VLOOKUP(A40,'銀行-TSS'!A:G,7,FALSE)</f>
        <v>13.87</v>
      </c>
      <c r="F40" s="202">
        <f ca="1">VLOOKUP(A40,'銀行-TSS'!A:H,8,FALSE)</f>
        <v>6.4000000000000001E-2</v>
      </c>
      <c r="G40" s="96">
        <f ca="1">VLOOKUP(A40,'銀行-TSS'!A:K,11,FALSE)</f>
        <v>114.54</v>
      </c>
      <c r="H40" s="1209">
        <f ca="1">VLOOKUP(A40,'銀行-TSS'!A:M,13,FALSE)</f>
        <v>5.0200000000000002E-2</v>
      </c>
      <c r="I40" s="1213">
        <f ca="1">VLOOKUP(A40,'銀行-TSS'!A:N,14,FALSE)</f>
        <v>10000</v>
      </c>
      <c r="J40" s="1213">
        <f ca="1">VLOOKUP(A40,'銀行-TSS'!A:O,15,FALSE)</f>
        <v>1000</v>
      </c>
      <c r="K40" s="136" t="str">
        <f ca="1">VLOOKUP(A40,'銀行-TSS'!A:V,22,FALSE)</f>
        <v>(PI)專投</v>
      </c>
      <c r="L40" s="136" t="str">
        <f ca="1">VLOOKUP(A40,'銀行-TSS'!A:AK,37,FALSE)</f>
        <v>有</v>
      </c>
      <c r="M40" s="136" t="str">
        <f ca="1">VLOOKUP(A40,'銀行-TSS'!A:AN,40,FALSE)</f>
        <v/>
      </c>
      <c r="N40" s="1211">
        <f t="shared" ca="1" si="11"/>
        <v>1145.4000000000001</v>
      </c>
      <c r="O40" s="1211">
        <f t="shared" ca="1" si="12"/>
        <v>11454</v>
      </c>
      <c r="P40" s="1213">
        <f ca="1">IF(AND(換券投組!$D$17&gt;=O40,換券投組!$D$13=D40),I40+INT((換券投組!$D$17-O40)/N40)*J40,0)</f>
        <v>0</v>
      </c>
      <c r="Q40" s="1211">
        <f t="shared" ca="1" si="13"/>
        <v>0</v>
      </c>
      <c r="R40" s="1213">
        <f t="shared" ca="1" si="14"/>
        <v>0</v>
      </c>
      <c r="S40" s="1213">
        <f t="shared" ca="1" si="15"/>
        <v>0</v>
      </c>
      <c r="T40" s="136">
        <f t="shared" ca="1" si="5"/>
        <v>0</v>
      </c>
      <c r="U40" s="861">
        <f t="shared" ca="1" si="6"/>
        <v>0</v>
      </c>
      <c r="V40" s="136" t="b">
        <f ca="1">IF(OR(D40&lt;&gt;"USD",L40="無",M40&lt;&gt;"",K40="高資產",IFERROR(MATCH(B40,換券投組!K:K,0),"N")&lt;&gt;"N",IFERROR(MATCH(B40,換券投組!J:J,0),"N")&lt;&gt;"N"),FALSE,IF($V$1="All",TRUE,IF(K40=$V$1,TRUE,FALSE)))</f>
        <v>1</v>
      </c>
      <c r="W40" s="136">
        <f ca="1">VLOOKUP(A40,'銀行-TSS'!A:AO,41,FALSE)</f>
        <v>111.2</v>
      </c>
      <c r="X40" s="136">
        <f ca="1">VLOOKUP(A40,'銀行-TSS'!A:AP,42,FALSE)</f>
        <v>9.3504000000000005</v>
      </c>
      <c r="Y40" s="1223">
        <f t="shared" ca="1" si="16"/>
        <v>0</v>
      </c>
      <c r="Z40" s="1211">
        <f t="shared" ca="1" si="17"/>
        <v>0</v>
      </c>
      <c r="AA40" s="136">
        <f ca="1">IF(Z40&lt;=0,0,RANK(Z40,Z:Z)+COUNTIF($Z$3:$Z40,Z40)-1)</f>
        <v>0</v>
      </c>
      <c r="AB40" s="1211">
        <f t="shared" ca="1" si="9"/>
        <v>0</v>
      </c>
      <c r="AC40" s="136">
        <f ca="1">IF(AB40&lt;=0,0,RANK(AB40,AB:AB)+COUNTIF($AB$3:$AB40,AB40)-1)</f>
        <v>0</v>
      </c>
      <c r="AD40" s="136">
        <f t="shared" ca="1" si="18"/>
        <v>99999</v>
      </c>
      <c r="AE40" s="136">
        <f ca="1">IF(AD40=99999,0,RANK(AD40,AD:AD,1)+COUNTIF($AD$3:$AD40,AD40)-1)</f>
        <v>0</v>
      </c>
    </row>
    <row r="41" spans="1:31">
      <c r="A41" s="141" t="str">
        <f>'銀行-TSS'!A41</f>
        <v>US30231GAW24</v>
      </c>
      <c r="B41" s="151" t="str">
        <f ca="1">VLOOKUP(A41,'銀行-TSS'!A:B,2,FALSE)</f>
        <v>XFL30</v>
      </c>
      <c r="C41" s="151" t="str">
        <f ca="1">VLOOKUP(B41,bond!B:C,2,FALSE)</f>
        <v>艾克索美孚石油美元債券 4.114% 2046/3/1</v>
      </c>
      <c r="D41" s="95" t="str">
        <f>VLOOKUP(A41,'銀行-TSS'!A:C,3,FALSE)</f>
        <v>USD</v>
      </c>
      <c r="E41" s="90">
        <f ca="1">VLOOKUP(A41,'銀行-TSS'!A:G,7,FALSE)</f>
        <v>21.66</v>
      </c>
      <c r="F41" s="202">
        <f ca="1">VLOOKUP(A41,'銀行-TSS'!A:H,8,FALSE)</f>
        <v>4.1139999999999996E-2</v>
      </c>
      <c r="G41" s="96">
        <f ca="1">VLOOKUP(A41,'銀行-TSS'!A:K,11,FALSE)</f>
        <v>87.56</v>
      </c>
      <c r="H41" s="1209">
        <f ca="1">VLOOKUP(A41,'銀行-TSS'!A:M,13,FALSE)</f>
        <v>5.1799999999999999E-2</v>
      </c>
      <c r="I41" s="1213">
        <f ca="1">VLOOKUP(A41,'銀行-TSS'!A:N,14,FALSE)</f>
        <v>10000</v>
      </c>
      <c r="J41" s="1213">
        <f ca="1">VLOOKUP(A41,'銀行-TSS'!A:O,15,FALSE)</f>
        <v>1000</v>
      </c>
      <c r="K41" s="136" t="str">
        <f ca="1">VLOOKUP(A41,'銀行-TSS'!A:V,22,FALSE)</f>
        <v>(NPI)非專投</v>
      </c>
      <c r="L41" s="136" t="str">
        <f ca="1">VLOOKUP(A41,'銀行-TSS'!A:AK,37,FALSE)</f>
        <v>有</v>
      </c>
      <c r="M41" s="136" t="str">
        <f ca="1">VLOOKUP(A41,'銀行-TSS'!A:AN,40,FALSE)</f>
        <v/>
      </c>
      <c r="N41" s="1211">
        <f t="shared" ca="1" si="11"/>
        <v>875.6</v>
      </c>
      <c r="O41" s="1211">
        <f t="shared" ca="1" si="12"/>
        <v>8756</v>
      </c>
      <c r="P41" s="1213">
        <f ca="1">IF(AND(換券投組!$D$17&gt;=O41,換券投組!$D$13=D41),I41+INT((換券投組!$D$17-O41)/N41)*J41,0)</f>
        <v>0</v>
      </c>
      <c r="Q41" s="1211">
        <f t="shared" ca="1" si="13"/>
        <v>0</v>
      </c>
      <c r="R41" s="1213">
        <f t="shared" ca="1" si="14"/>
        <v>0</v>
      </c>
      <c r="S41" s="1213">
        <f t="shared" ca="1" si="15"/>
        <v>0</v>
      </c>
      <c r="T41" s="136">
        <f t="shared" ca="1" si="5"/>
        <v>0</v>
      </c>
      <c r="U41" s="861">
        <f t="shared" ca="1" si="6"/>
        <v>0</v>
      </c>
      <c r="V41" s="136" t="b">
        <f ca="1">IF(OR(D41&lt;&gt;"USD",L41="無",M41&lt;&gt;"",K41="高資產",IFERROR(MATCH(B41,換券投組!K:K,0),"N")&lt;&gt;"N",IFERROR(MATCH(B41,換券投組!J:J,0),"N")&lt;&gt;"N"),FALSE,IF($V$1="All",TRUE,IF(K41=$V$1,TRUE,FALSE)))</f>
        <v>1</v>
      </c>
      <c r="W41" s="136">
        <f ca="1">VLOOKUP(A41,'銀行-TSS'!A:AO,41,FALSE)</f>
        <v>83.18</v>
      </c>
      <c r="X41" s="136">
        <f ca="1">VLOOKUP(A41,'銀行-TSS'!A:AP,42,FALSE)</f>
        <v>13.2376</v>
      </c>
      <c r="Y41" s="1223">
        <f t="shared" ca="1" si="16"/>
        <v>0</v>
      </c>
      <c r="Z41" s="1211">
        <f t="shared" ca="1" si="17"/>
        <v>0</v>
      </c>
      <c r="AA41" s="136">
        <f ca="1">IF(Z41&lt;=0,0,RANK(Z41,Z:Z)+COUNTIF($Z$3:$Z41,Z41)-1)</f>
        <v>0</v>
      </c>
      <c r="AB41" s="1211">
        <f t="shared" ca="1" si="9"/>
        <v>0</v>
      </c>
      <c r="AC41" s="136">
        <f ca="1">IF(AB41&lt;=0,0,RANK(AB41,AB:AB)+COUNTIF($AB$3:$AB41,AB41)-1)</f>
        <v>0</v>
      </c>
      <c r="AD41" s="136">
        <f t="shared" ca="1" si="18"/>
        <v>99999</v>
      </c>
      <c r="AE41" s="136">
        <f ca="1">IF(AD41=99999,0,RANK(AD41,AD:AD,1)+COUNTIF($AD$3:$AD41,AD41)-1)</f>
        <v>0</v>
      </c>
    </row>
    <row r="42" spans="1:31">
      <c r="A42" s="141" t="str">
        <f>'銀行-TSS'!A42</f>
        <v>USY20721AE96</v>
      </c>
      <c r="B42" s="151" t="str">
        <f ca="1">VLOOKUP(A42,'銀行-TSS'!A:B,2,FALSE)</f>
        <v>XFL40</v>
      </c>
      <c r="C42" s="151" t="str">
        <f ca="1">VLOOKUP(B42,bond!B:C,2,FALSE)</f>
        <v>印尼政府美元配息債券 8.5% 2035/10/12</v>
      </c>
      <c r="D42" s="95" t="str">
        <f>VLOOKUP(A42,'銀行-TSS'!A:C,3,FALSE)</f>
        <v>USD</v>
      </c>
      <c r="E42" s="90">
        <f ca="1">VLOOKUP(A42,'銀行-TSS'!A:G,7,FALSE)</f>
        <v>11.28</v>
      </c>
      <c r="F42" s="202">
        <f ca="1">VLOOKUP(A42,'銀行-TSS'!A:H,8,FALSE)</f>
        <v>8.5000000000000006E-2</v>
      </c>
      <c r="G42" s="96">
        <f ca="1">VLOOKUP(A42,'銀行-TSS'!A:K,11,FALSE)</f>
        <v>132.18</v>
      </c>
      <c r="H42" s="1209">
        <f ca="1">VLOOKUP(A42,'銀行-TSS'!A:M,13,FALSE)</f>
        <v>4.9599999999999998E-2</v>
      </c>
      <c r="I42" s="1213">
        <f ca="1">VLOOKUP(A42,'銀行-TSS'!A:N,14,FALSE)</f>
        <v>100000</v>
      </c>
      <c r="J42" s="1213">
        <f ca="1">VLOOKUP(A42,'銀行-TSS'!A:O,15,FALSE)</f>
        <v>1000</v>
      </c>
      <c r="K42" s="136" t="str">
        <f ca="1">VLOOKUP(A42,'銀行-TSS'!A:V,22,FALSE)</f>
        <v>(PI)專投</v>
      </c>
      <c r="L42" s="136" t="str">
        <f ca="1">VLOOKUP(A42,'銀行-TSS'!A:AK,37,FALSE)</f>
        <v>有</v>
      </c>
      <c r="M42" s="136" t="str">
        <f ca="1">VLOOKUP(A42,'銀行-TSS'!A:AN,40,FALSE)</f>
        <v/>
      </c>
      <c r="N42" s="1211">
        <f t="shared" ca="1" si="11"/>
        <v>1321.8</v>
      </c>
      <c r="O42" s="1211">
        <f t="shared" ca="1" si="12"/>
        <v>132180</v>
      </c>
      <c r="P42" s="1213">
        <f ca="1">IF(AND(換券投組!$D$17&gt;=O42,換券投組!$D$13=D42),I42+INT((換券投組!$D$17-O42)/N42)*J42,0)</f>
        <v>0</v>
      </c>
      <c r="Q42" s="1211">
        <f t="shared" ca="1" si="13"/>
        <v>0</v>
      </c>
      <c r="R42" s="1213">
        <f t="shared" ca="1" si="14"/>
        <v>0</v>
      </c>
      <c r="S42" s="1213">
        <f t="shared" ca="1" si="15"/>
        <v>0</v>
      </c>
      <c r="T42" s="136">
        <f t="shared" ca="1" si="5"/>
        <v>0</v>
      </c>
      <c r="U42" s="861">
        <f t="shared" ca="1" si="6"/>
        <v>0</v>
      </c>
      <c r="V42" s="136" t="b">
        <f ca="1">IF(OR(D42&lt;&gt;"USD",L42="無",M42&lt;&gt;"",K42="高資產",IFERROR(MATCH(B42,換券投組!K:K,0),"N")&lt;&gt;"N",IFERROR(MATCH(B42,換券投組!J:J,0),"N")&lt;&gt;"N"),FALSE,IF($V$1="All",TRUE,IF(K42=$V$1,TRUE,FALSE)))</f>
        <v>1</v>
      </c>
      <c r="W42" s="136">
        <f ca="1">VLOOKUP(A42,'銀行-TSS'!A:AO,41,FALSE)</f>
        <v>127.29</v>
      </c>
      <c r="X42" s="136">
        <f ca="1">VLOOKUP(A42,'銀行-TSS'!A:AP,42,FALSE)</f>
        <v>7.6413000000000002</v>
      </c>
      <c r="Y42" s="1223">
        <f t="shared" ca="1" si="16"/>
        <v>0</v>
      </c>
      <c r="Z42" s="1211">
        <f t="shared" ca="1" si="17"/>
        <v>0</v>
      </c>
      <c r="AA42" s="136">
        <f ca="1">IF(Z42&lt;=0,0,RANK(Z42,Z:Z)+COUNTIF($Z$3:$Z42,Z42)-1)</f>
        <v>0</v>
      </c>
      <c r="AB42" s="1211">
        <f t="shared" ca="1" si="9"/>
        <v>0</v>
      </c>
      <c r="AC42" s="136">
        <f ca="1">IF(AB42&lt;=0,0,RANK(AB42,AB:AB)+COUNTIF($AB$3:$AB42,AB42)-1)</f>
        <v>0</v>
      </c>
      <c r="AD42" s="136">
        <f t="shared" ca="1" si="18"/>
        <v>99999</v>
      </c>
      <c r="AE42" s="136">
        <f ca="1">IF(AD42=99999,0,RANK(AD42,AD:AD,1)+COUNTIF($AD$3:$AD42,AD42)-1)</f>
        <v>0</v>
      </c>
    </row>
    <row r="43" spans="1:31">
      <c r="A43" s="141" t="str">
        <f>'銀行-TSS'!A43</f>
        <v>USP30179AK43</v>
      </c>
      <c r="B43" s="151" t="str">
        <f ca="1">VLOOKUP(A43,'銀行-TSS'!A:B,2,FALSE)</f>
        <v>XFL50</v>
      </c>
      <c r="C43" s="151" t="str">
        <f ca="1">VLOOKUP(B43,bond!B:C,2,FALSE)</f>
        <v>墨西哥國家電力美元配息債券 5.75% 2042/2/14</v>
      </c>
      <c r="D43" s="95" t="str">
        <f>VLOOKUP(A43,'銀行-TSS'!A:C,3,FALSE)</f>
        <v>USD</v>
      </c>
      <c r="E43" s="90">
        <f ca="1">VLOOKUP(A43,'銀行-TSS'!A:G,7,FALSE)</f>
        <v>17.62</v>
      </c>
      <c r="F43" s="202">
        <f ca="1">VLOOKUP(A43,'銀行-TSS'!A:H,8,FALSE)</f>
        <v>5.7500000000000002E-2</v>
      </c>
      <c r="G43" s="96">
        <f ca="1">VLOOKUP(A43,'銀行-TSS'!A:K,11,FALSE)</f>
        <v>98.23</v>
      </c>
      <c r="H43" s="1209">
        <f ca="1">VLOOKUP(A43,'銀行-TSS'!A:M,13,FALSE)</f>
        <v>6.1199999999999997E-2</v>
      </c>
      <c r="I43" s="1213">
        <f ca="1">VLOOKUP(A43,'銀行-TSS'!A:N,14,FALSE)</f>
        <v>200000</v>
      </c>
      <c r="J43" s="1213">
        <f ca="1">VLOOKUP(A43,'銀行-TSS'!A:O,15,FALSE)</f>
        <v>1000</v>
      </c>
      <c r="K43" s="136" t="str">
        <f ca="1">VLOOKUP(A43,'銀行-TSS'!A:V,22,FALSE)</f>
        <v>(PI)專投</v>
      </c>
      <c r="L43" s="136" t="str">
        <f ca="1">VLOOKUP(A43,'銀行-TSS'!A:AK,37,FALSE)</f>
        <v>需查詢</v>
      </c>
      <c r="M43" s="136" t="str">
        <f ca="1">VLOOKUP(A43,'銀行-TSS'!A:AN,40,FALSE)</f>
        <v/>
      </c>
      <c r="N43" s="1211">
        <f t="shared" ca="1" si="11"/>
        <v>982.3</v>
      </c>
      <c r="O43" s="1211">
        <f t="shared" ca="1" si="12"/>
        <v>196460</v>
      </c>
      <c r="P43" s="1213">
        <f ca="1">IF(AND(換券投組!$D$17&gt;=O43,換券投組!$D$13=D43),I43+INT((換券投組!$D$17-O43)/N43)*J43,0)</f>
        <v>0</v>
      </c>
      <c r="Q43" s="1211">
        <f t="shared" ca="1" si="13"/>
        <v>0</v>
      </c>
      <c r="R43" s="1213">
        <f t="shared" ca="1" si="14"/>
        <v>0</v>
      </c>
      <c r="S43" s="1213">
        <f t="shared" ca="1" si="15"/>
        <v>0</v>
      </c>
      <c r="T43" s="136">
        <f t="shared" ca="1" si="5"/>
        <v>0</v>
      </c>
      <c r="U43" s="861">
        <f t="shared" ca="1" si="6"/>
        <v>0</v>
      </c>
      <c r="V43" s="136" t="b">
        <f ca="1">IF(OR(D43&lt;&gt;"USD",L43="無",M43&lt;&gt;"",K43="高資產",IFERROR(MATCH(B43,換券投組!K:K,0),"N")&lt;&gt;"N",IFERROR(MATCH(B43,換券投組!J:J,0),"N")&lt;&gt;"N"),FALSE,IF($V$1="All",TRUE,IF(K43=$V$1,TRUE,FALSE)))</f>
        <v>1</v>
      </c>
      <c r="W43" s="136">
        <f ca="1">VLOOKUP(A43,'銀行-TSS'!A:AO,41,FALSE)</f>
        <v>93.03</v>
      </c>
      <c r="X43" s="136">
        <f ca="1">VLOOKUP(A43,'銀行-TSS'!A:AP,42,FALSE)</f>
        <v>10.426399999999999</v>
      </c>
      <c r="Y43" s="1223">
        <f t="shared" ca="1" si="16"/>
        <v>0</v>
      </c>
      <c r="Z43" s="1211">
        <f t="shared" ca="1" si="17"/>
        <v>0</v>
      </c>
      <c r="AA43" s="136">
        <f ca="1">IF(Z43&lt;=0,0,RANK(Z43,Z:Z)+COUNTIF($Z$3:$Z43,Z43)-1)</f>
        <v>0</v>
      </c>
      <c r="AB43" s="1211">
        <f t="shared" ca="1" si="9"/>
        <v>0</v>
      </c>
      <c r="AC43" s="136">
        <f ca="1">IF(AB43&lt;=0,0,RANK(AB43,AB:AB)+COUNTIF($AB$3:$AB43,AB43)-1)</f>
        <v>0</v>
      </c>
      <c r="AD43" s="136">
        <f t="shared" ca="1" si="18"/>
        <v>99999</v>
      </c>
      <c r="AE43" s="136">
        <f ca="1">IF(AD43=99999,0,RANK(AD43,AD:AD,1)+COUNTIF($AD$3:$AD43,AD43)-1)</f>
        <v>0</v>
      </c>
    </row>
    <row r="44" spans="1:31">
      <c r="A44" s="141" t="str">
        <f>'銀行-TSS'!A44</f>
        <v>US00206RBK77</v>
      </c>
      <c r="B44" s="151" t="str">
        <f ca="1">VLOOKUP(A44,'銀行-TSS'!A:B,2,FALSE)</f>
        <v>XFL60</v>
      </c>
      <c r="C44" s="151" t="str">
        <f ca="1">VLOOKUP(B44,bond!B:C,2,FALSE)</f>
        <v>AT&amp;T公司美元配息債券 4.35% 2045/6/15</v>
      </c>
      <c r="D44" s="95" t="str">
        <f>VLOOKUP(A44,'銀行-TSS'!A:C,3,FALSE)</f>
        <v>USD</v>
      </c>
      <c r="E44" s="90">
        <f ca="1">VLOOKUP(A44,'銀行-TSS'!A:G,7,FALSE)</f>
        <v>20.95</v>
      </c>
      <c r="F44" s="202">
        <f ca="1">VLOOKUP(A44,'銀行-TSS'!A:H,8,FALSE)</f>
        <v>4.3499999999999997E-2</v>
      </c>
      <c r="G44" s="96">
        <f ca="1">VLOOKUP(A44,'銀行-TSS'!A:K,11,FALSE)</f>
        <v>86.94</v>
      </c>
      <c r="H44" s="1209">
        <f ca="1">VLOOKUP(A44,'銀行-TSS'!A:M,13,FALSE)</f>
        <v>5.4199999999999998E-2</v>
      </c>
      <c r="I44" s="1213">
        <f ca="1">VLOOKUP(A44,'銀行-TSS'!A:N,14,FALSE)</f>
        <v>10000</v>
      </c>
      <c r="J44" s="1213">
        <f ca="1">VLOOKUP(A44,'銀行-TSS'!A:O,15,FALSE)</f>
        <v>1000</v>
      </c>
      <c r="K44" s="136" t="str">
        <f ca="1">VLOOKUP(A44,'銀行-TSS'!A:V,22,FALSE)</f>
        <v>(PI)專投</v>
      </c>
      <c r="L44" s="136" t="str">
        <f ca="1">VLOOKUP(A44,'銀行-TSS'!A:AK,37,FALSE)</f>
        <v>有</v>
      </c>
      <c r="M44" s="136" t="str">
        <f ca="1">VLOOKUP(A44,'銀行-TSS'!A:AN,40,FALSE)</f>
        <v/>
      </c>
      <c r="N44" s="1211">
        <f t="shared" ca="1" si="11"/>
        <v>869.4</v>
      </c>
      <c r="O44" s="1211">
        <f t="shared" ca="1" si="12"/>
        <v>8694</v>
      </c>
      <c r="P44" s="1213">
        <f ca="1">IF(AND(換券投組!$D$17&gt;=O44,換券投組!$D$13=D44),I44+INT((換券投組!$D$17-O44)/N44)*J44,0)</f>
        <v>0</v>
      </c>
      <c r="Q44" s="1211">
        <f t="shared" ca="1" si="13"/>
        <v>0</v>
      </c>
      <c r="R44" s="1213">
        <f t="shared" ca="1" si="14"/>
        <v>0</v>
      </c>
      <c r="S44" s="1213">
        <f t="shared" ca="1" si="15"/>
        <v>0</v>
      </c>
      <c r="T44" s="136">
        <f t="shared" ca="1" si="5"/>
        <v>0</v>
      </c>
      <c r="U44" s="861">
        <f t="shared" ca="1" si="6"/>
        <v>0</v>
      </c>
      <c r="V44" s="136" t="b">
        <f ca="1">IF(OR(D44&lt;&gt;"USD",L44="無",M44&lt;&gt;"",K44="高資產",IFERROR(MATCH(B44,換券投組!K:K,0),"N")&lt;&gt;"N",IFERROR(MATCH(B44,換券投組!J:J,0),"N")&lt;&gt;"N"),FALSE,IF($V$1="All",TRUE,IF(K44=$V$1,TRUE,FALSE)))</f>
        <v>1</v>
      </c>
      <c r="W44" s="136">
        <f ca="1">VLOOKUP(A44,'銀行-TSS'!A:AO,41,FALSE)</f>
        <v>83.73</v>
      </c>
      <c r="X44" s="136">
        <f ca="1">VLOOKUP(A44,'銀行-TSS'!A:AP,42,FALSE)</f>
        <v>12.8805</v>
      </c>
      <c r="Y44" s="1223">
        <f t="shared" ca="1" si="16"/>
        <v>0</v>
      </c>
      <c r="Z44" s="1211">
        <f t="shared" ca="1" si="17"/>
        <v>0</v>
      </c>
      <c r="AA44" s="136">
        <f ca="1">IF(Z44&lt;=0,0,RANK(Z44,Z:Z)+COUNTIF($Z$3:$Z44,Z44)-1)</f>
        <v>0</v>
      </c>
      <c r="AB44" s="1211">
        <f t="shared" ca="1" si="9"/>
        <v>0</v>
      </c>
      <c r="AC44" s="136">
        <f ca="1">IF(AB44&lt;=0,0,RANK(AB44,AB:AB)+COUNTIF($AB$3:$AB44,AB44)-1)</f>
        <v>0</v>
      </c>
      <c r="AD44" s="136">
        <f t="shared" ca="1" si="18"/>
        <v>99999</v>
      </c>
      <c r="AE44" s="136">
        <f ca="1">IF(AD44=99999,0,RANK(AD44,AD:AD,1)+COUNTIF($AD$3:$AD44,AD44)-1)</f>
        <v>0</v>
      </c>
    </row>
    <row r="45" spans="1:31">
      <c r="A45" s="141" t="str">
        <f>'銀行-TSS'!A45</f>
        <v>US717081EC37</v>
      </c>
      <c r="B45" s="151" t="str">
        <f ca="1">VLOOKUP(A45,'銀行-TSS'!A:B,2,FALSE)</f>
        <v>XFL70</v>
      </c>
      <c r="C45" s="151" t="str">
        <f ca="1">VLOOKUP(B45,bond!B:C,2,FALSE)</f>
        <v>輝瑞大藥廠美元配息債券 4% 2036/12/15</v>
      </c>
      <c r="D45" s="95" t="str">
        <f>VLOOKUP(A45,'銀行-TSS'!A:C,3,FALSE)</f>
        <v>USD</v>
      </c>
      <c r="E45" s="90">
        <f ca="1">VLOOKUP(A45,'銀行-TSS'!A:G,7,FALSE)</f>
        <v>12.45</v>
      </c>
      <c r="F45" s="202">
        <f ca="1">VLOOKUP(A45,'銀行-TSS'!A:H,8,FALSE)</f>
        <v>0.04</v>
      </c>
      <c r="G45" s="96">
        <f ca="1">VLOOKUP(A45,'銀行-TSS'!A:K,11,FALSE)</f>
        <v>92.93</v>
      </c>
      <c r="H45" s="1209">
        <f ca="1">VLOOKUP(A45,'銀行-TSS'!A:M,13,FALSE)</f>
        <v>4.7800000000000002E-2</v>
      </c>
      <c r="I45" s="1213">
        <f ca="1">VLOOKUP(A45,'銀行-TSS'!A:N,14,FALSE)</f>
        <v>10000</v>
      </c>
      <c r="J45" s="1213">
        <f ca="1">VLOOKUP(A45,'銀行-TSS'!A:O,15,FALSE)</f>
        <v>1000</v>
      </c>
      <c r="K45" s="136" t="str">
        <f ca="1">VLOOKUP(A45,'銀行-TSS'!A:V,22,FALSE)</f>
        <v>(NPI)非專投</v>
      </c>
      <c r="L45" s="136" t="str">
        <f ca="1">VLOOKUP(A45,'銀行-TSS'!A:AK,37,FALSE)</f>
        <v>有</v>
      </c>
      <c r="M45" s="136" t="str">
        <f ca="1">VLOOKUP(A45,'銀行-TSS'!A:AN,40,FALSE)</f>
        <v/>
      </c>
      <c r="N45" s="1211">
        <f t="shared" ca="1" si="11"/>
        <v>929.3</v>
      </c>
      <c r="O45" s="1211">
        <f t="shared" ca="1" si="12"/>
        <v>9293.0000000000018</v>
      </c>
      <c r="P45" s="1213">
        <f ca="1">IF(AND(換券投組!$D$17&gt;=O45,換券投組!$D$13=D45),I45+INT((換券投組!$D$17-O45)/N45)*J45,0)</f>
        <v>0</v>
      </c>
      <c r="Q45" s="1211">
        <f t="shared" ca="1" si="13"/>
        <v>0</v>
      </c>
      <c r="R45" s="1213">
        <f t="shared" ca="1" si="14"/>
        <v>0</v>
      </c>
      <c r="S45" s="1213">
        <f t="shared" ca="1" si="15"/>
        <v>0</v>
      </c>
      <c r="T45" s="136">
        <f t="shared" ca="1" si="5"/>
        <v>0</v>
      </c>
      <c r="U45" s="861">
        <f t="shared" ca="1" si="6"/>
        <v>0</v>
      </c>
      <c r="V45" s="136" t="b">
        <f ca="1">IF(OR(D45&lt;&gt;"USD",L45="無",M45&lt;&gt;"",K45="高資產",IFERROR(MATCH(B45,換券投組!K:K,0),"N")&lt;&gt;"N",IFERROR(MATCH(B45,換券投組!J:J,0),"N")&lt;&gt;"N"),FALSE,IF($V$1="All",TRUE,IF(K45=$V$1,TRUE,FALSE)))</f>
        <v>1</v>
      </c>
      <c r="W45" s="136">
        <f ca="1">VLOOKUP(A45,'銀行-TSS'!A:AO,41,FALSE)</f>
        <v>90.240000000000009</v>
      </c>
      <c r="X45" s="136">
        <f ca="1">VLOOKUP(A45,'銀行-TSS'!A:AP,42,FALSE)</f>
        <v>9.5267999999999997</v>
      </c>
      <c r="Y45" s="1223">
        <f t="shared" ca="1" si="16"/>
        <v>0</v>
      </c>
      <c r="Z45" s="1211">
        <f t="shared" ca="1" si="17"/>
        <v>0</v>
      </c>
      <c r="AA45" s="136">
        <f ca="1">IF(Z45&lt;=0,0,RANK(Z45,Z:Z)+COUNTIF($Z$3:$Z45,Z45)-1)</f>
        <v>0</v>
      </c>
      <c r="AB45" s="1211">
        <f t="shared" ca="1" si="9"/>
        <v>0</v>
      </c>
      <c r="AC45" s="136">
        <f ca="1">IF(AB45&lt;=0,0,RANK(AB45,AB:AB)+COUNTIF($AB$3:$AB45,AB45)-1)</f>
        <v>0</v>
      </c>
      <c r="AD45" s="136">
        <f t="shared" ca="1" si="18"/>
        <v>99999</v>
      </c>
      <c r="AE45" s="136">
        <f ca="1">IF(AD45=99999,0,RANK(AD45,AD:AD,1)+COUNTIF($AD$3:$AD45,AD45)-1)</f>
        <v>0</v>
      </c>
    </row>
    <row r="46" spans="1:31">
      <c r="A46" s="141" t="str">
        <f>'銀行-TSS'!A46</f>
        <v>USY0889VAA80</v>
      </c>
      <c r="B46" s="151" t="str">
        <f ca="1">VLOOKUP(A46,'銀行-TSS'!A:B,2,FALSE)</f>
        <v>XFL90</v>
      </c>
      <c r="C46" s="151" t="str">
        <f ca="1">VLOOKUP(B46,bond!B:C,2,FALSE)</f>
        <v>印度巴帝電信美元配息債券 4.375% 2025/6/10</v>
      </c>
      <c r="D46" s="95" t="str">
        <f>VLOOKUP(A46,'銀行-TSS'!A:C,3,FALSE)</f>
        <v>USD</v>
      </c>
      <c r="E46" s="90">
        <f ca="1">VLOOKUP(A46,'銀行-TSS'!A:G,7,FALSE)</f>
        <v>0.94</v>
      </c>
      <c r="F46" s="202">
        <f ca="1">VLOOKUP(A46,'銀行-TSS'!A:H,8,FALSE)</f>
        <v>4.3749999999999997E-2</v>
      </c>
      <c r="G46" s="96">
        <f ca="1">VLOOKUP(A46,'銀行-TSS'!A:K,11,FALSE)</f>
        <v>99.95</v>
      </c>
      <c r="H46" s="1209">
        <f ca="1">VLOOKUP(A46,'銀行-TSS'!A:M,13,FALSE)</f>
        <v>4.7199999999999999E-2</v>
      </c>
      <c r="I46" s="1213">
        <f ca="1">VLOOKUP(A46,'銀行-TSS'!A:N,14,FALSE)</f>
        <v>200000</v>
      </c>
      <c r="J46" s="1213">
        <f ca="1">VLOOKUP(A46,'銀行-TSS'!A:O,15,FALSE)</f>
        <v>1000</v>
      </c>
      <c r="K46" s="136" t="str">
        <f ca="1">VLOOKUP(A46,'銀行-TSS'!A:V,22,FALSE)</f>
        <v>(PI)專投</v>
      </c>
      <c r="L46" s="136" t="str">
        <f ca="1">VLOOKUP(A46,'銀行-TSS'!A:AK,37,FALSE)</f>
        <v>有</v>
      </c>
      <c r="M46" s="136" t="str">
        <f ca="1">VLOOKUP(A46,'銀行-TSS'!A:AN,40,FALSE)</f>
        <v/>
      </c>
      <c r="N46" s="1211">
        <f t="shared" ca="1" si="11"/>
        <v>999.5</v>
      </c>
      <c r="O46" s="1211">
        <f t="shared" ca="1" si="12"/>
        <v>199900</v>
      </c>
      <c r="P46" s="1213">
        <f ca="1">IF(AND(換券投組!$D$17&gt;=O46,換券投組!$D$13=D46),I46+INT((換券投組!$D$17-O46)/N46)*J46,0)</f>
        <v>0</v>
      </c>
      <c r="Q46" s="1211">
        <f t="shared" ca="1" si="13"/>
        <v>0</v>
      </c>
      <c r="R46" s="1213">
        <f t="shared" ca="1" si="14"/>
        <v>0</v>
      </c>
      <c r="S46" s="1213">
        <f t="shared" ca="1" si="15"/>
        <v>0</v>
      </c>
      <c r="T46" s="136">
        <f t="shared" ca="1" si="5"/>
        <v>0</v>
      </c>
      <c r="U46" s="861">
        <f t="shared" ca="1" si="6"/>
        <v>0</v>
      </c>
      <c r="V46" s="136" t="b">
        <f ca="1">IF(OR(D46&lt;&gt;"USD",L46="無",M46&lt;&gt;"",K46="高資產",IFERROR(MATCH(B46,換券投組!K:K,0),"N")&lt;&gt;"N",IFERROR(MATCH(B46,換券投組!J:J,0),"N")&lt;&gt;"N"),FALSE,IF($V$1="All",TRUE,IF(K46=$V$1,TRUE,FALSE)))</f>
        <v>1</v>
      </c>
      <c r="W46" s="136">
        <f ca="1">VLOOKUP(A46,'銀行-TSS'!A:AO,41,FALSE)</f>
        <v>99.28</v>
      </c>
      <c r="X46" s="136">
        <f ca="1">VLOOKUP(A46,'銀行-TSS'!A:AP,42,FALSE)</f>
        <v>0.90490000000000004</v>
      </c>
      <c r="Y46" s="1223">
        <f t="shared" ca="1" si="16"/>
        <v>0</v>
      </c>
      <c r="Z46" s="1211">
        <f t="shared" ca="1" si="17"/>
        <v>0</v>
      </c>
      <c r="AA46" s="136">
        <f ca="1">IF(Z46&lt;=0,0,RANK(Z46,Z:Z)+COUNTIF($Z$3:$Z46,Z46)-1)</f>
        <v>0</v>
      </c>
      <c r="AB46" s="1211">
        <f t="shared" ca="1" si="9"/>
        <v>0</v>
      </c>
      <c r="AC46" s="136">
        <f ca="1">IF(AB46&lt;=0,0,RANK(AB46,AB:AB)+COUNTIF($AB$3:$AB46,AB46)-1)</f>
        <v>0</v>
      </c>
      <c r="AD46" s="136">
        <f t="shared" ca="1" si="18"/>
        <v>99999</v>
      </c>
      <c r="AE46" s="136">
        <f ca="1">IF(AD46=99999,0,RANK(AD46,AD:AD,1)+COUNTIF($AD$3:$AD46,AD46)-1)</f>
        <v>0</v>
      </c>
    </row>
    <row r="47" spans="1:31">
      <c r="A47" s="141" t="str">
        <f>'銀行-TSS'!A47</f>
        <v>US92343VDC54</v>
      </c>
      <c r="B47" s="151" t="str">
        <f ca="1">VLOOKUP(A47,'銀行-TSS'!A:B,2,FALSE)</f>
        <v>XFM10</v>
      </c>
      <c r="C47" s="151" t="str">
        <f ca="1">VLOOKUP(B47,bond!B:C,2,FALSE)</f>
        <v>威瑞森電信公司美元配息債券 4.125% 2046/8/15</v>
      </c>
      <c r="D47" s="95" t="str">
        <f>VLOOKUP(A47,'銀行-TSS'!A:C,3,FALSE)</f>
        <v>USD</v>
      </c>
      <c r="E47" s="90">
        <f ca="1">VLOOKUP(A47,'銀行-TSS'!A:G,7,FALSE)</f>
        <v>22.12</v>
      </c>
      <c r="F47" s="202">
        <f ca="1">VLOOKUP(A47,'銀行-TSS'!A:H,8,FALSE)</f>
        <v>4.1250000000000002E-2</v>
      </c>
      <c r="G47" s="96">
        <f ca="1">VLOOKUP(A47,'銀行-TSS'!A:K,11,FALSE)</f>
        <v>86.36</v>
      </c>
      <c r="H47" s="1209">
        <f ca="1">VLOOKUP(A47,'銀行-TSS'!A:M,13,FALSE)</f>
        <v>5.2999999999999999E-2</v>
      </c>
      <c r="I47" s="1213">
        <f ca="1">VLOOKUP(A47,'銀行-TSS'!A:N,14,FALSE)</f>
        <v>10000</v>
      </c>
      <c r="J47" s="1213">
        <f ca="1">VLOOKUP(A47,'銀行-TSS'!A:O,15,FALSE)</f>
        <v>1000</v>
      </c>
      <c r="K47" s="136" t="str">
        <f ca="1">VLOOKUP(A47,'銀行-TSS'!A:V,22,FALSE)</f>
        <v>(NPI)非專投</v>
      </c>
      <c r="L47" s="136" t="str">
        <f ca="1">VLOOKUP(A47,'銀行-TSS'!A:AK,37,FALSE)</f>
        <v>有</v>
      </c>
      <c r="M47" s="136" t="str">
        <f ca="1">VLOOKUP(A47,'銀行-TSS'!A:AN,40,FALSE)</f>
        <v/>
      </c>
      <c r="N47" s="1211">
        <f t="shared" ca="1" si="11"/>
        <v>863.6</v>
      </c>
      <c r="O47" s="1211">
        <f t="shared" ca="1" si="12"/>
        <v>8636</v>
      </c>
      <c r="P47" s="1213">
        <f ca="1">IF(AND(換券投組!$D$17&gt;=O47,換券投組!$D$13=D47),I47+INT((換券投組!$D$17-O47)/N47)*J47,0)</f>
        <v>0</v>
      </c>
      <c r="Q47" s="1211">
        <f t="shared" ca="1" si="13"/>
        <v>0</v>
      </c>
      <c r="R47" s="1213">
        <f t="shared" ca="1" si="14"/>
        <v>0</v>
      </c>
      <c r="S47" s="1213">
        <f t="shared" ca="1" si="15"/>
        <v>0</v>
      </c>
      <c r="T47" s="136">
        <f t="shared" ca="1" si="5"/>
        <v>0</v>
      </c>
      <c r="U47" s="861">
        <f t="shared" ca="1" si="6"/>
        <v>0</v>
      </c>
      <c r="V47" s="136" t="b">
        <f ca="1">IF(OR(D47&lt;&gt;"USD",L47="無",M47&lt;&gt;"",K47="高資產",IFERROR(MATCH(B47,換券投組!K:K,0),"N")&lt;&gt;"N",IFERROR(MATCH(B47,換券投組!J:J,0),"N")&lt;&gt;"N"),FALSE,IF($V$1="All",TRUE,IF(K47=$V$1,TRUE,FALSE)))</f>
        <v>1</v>
      </c>
      <c r="W47" s="136">
        <f ca="1">VLOOKUP(A47,'銀行-TSS'!A:AO,41,FALSE)</f>
        <v>81.790000000000006</v>
      </c>
      <c r="X47" s="136">
        <f ca="1">VLOOKUP(A47,'銀行-TSS'!A:AP,42,FALSE)</f>
        <v>13.2621</v>
      </c>
      <c r="Y47" s="1223">
        <f t="shared" ca="1" si="16"/>
        <v>0</v>
      </c>
      <c r="Z47" s="1211">
        <f t="shared" ca="1" si="17"/>
        <v>0</v>
      </c>
      <c r="AA47" s="136">
        <f ca="1">IF(Z47&lt;=0,0,RANK(Z47,Z:Z)+COUNTIF($Z$3:$Z47,Z47)-1)</f>
        <v>0</v>
      </c>
      <c r="AB47" s="1211">
        <f t="shared" ca="1" si="9"/>
        <v>0</v>
      </c>
      <c r="AC47" s="136">
        <f ca="1">IF(AB47&lt;=0,0,RANK(AB47,AB:AB)+COUNTIF($AB$3:$AB47,AB47)-1)</f>
        <v>0</v>
      </c>
      <c r="AD47" s="136">
        <f t="shared" ca="1" si="18"/>
        <v>99999</v>
      </c>
      <c r="AE47" s="136">
        <f ca="1">IF(AD47=99999,0,RANK(AD47,AD:AD,1)+COUNTIF($AD$3:$AD47,AD47)-1)</f>
        <v>0</v>
      </c>
    </row>
    <row r="48" spans="1:31">
      <c r="A48" s="141" t="str">
        <f>'銀行-TSS'!A48</f>
        <v>US925524AX89</v>
      </c>
      <c r="B48" s="151" t="str">
        <f ca="1">VLOOKUP(A48,'銀行-TSS'!A:B,2,FALSE)</f>
        <v>XFM20</v>
      </c>
      <c r="C48" s="151" t="str">
        <f ca="1">VLOOKUP(B48,bond!B:C,2,FALSE)</f>
        <v>派拉蒙全球公司美元配息債券6.875%  2036/4/30</v>
      </c>
      <c r="D48" s="95" t="str">
        <f>VLOOKUP(A48,'銀行-TSS'!A:C,3,FALSE)</f>
        <v>USD</v>
      </c>
      <c r="E48" s="90">
        <f ca="1">VLOOKUP(A48,'銀行-TSS'!A:G,7,FALSE)</f>
        <v>11.83</v>
      </c>
      <c r="F48" s="202">
        <f ca="1">VLOOKUP(A48,'銀行-TSS'!A:H,8,FALSE)</f>
        <v>6.8750000000000006E-2</v>
      </c>
      <c r="G48" s="96">
        <f ca="1">VLOOKUP(A48,'銀行-TSS'!A:K,11,FALSE)</f>
        <v>98.94</v>
      </c>
      <c r="H48" s="1209">
        <f ca="1">VLOOKUP(A48,'銀行-TSS'!A:M,13,FALSE)</f>
        <v>7.1599999999999997E-2</v>
      </c>
      <c r="I48" s="1213">
        <f ca="1">VLOOKUP(A48,'銀行-TSS'!A:N,14,FALSE)</f>
        <v>10000</v>
      </c>
      <c r="J48" s="1213">
        <f ca="1">VLOOKUP(A48,'銀行-TSS'!A:O,15,FALSE)</f>
        <v>1000</v>
      </c>
      <c r="K48" s="136" t="str">
        <f ca="1">VLOOKUP(A48,'銀行-TSS'!A:V,22,FALSE)</f>
        <v>(PI)專投</v>
      </c>
      <c r="L48" s="136" t="str">
        <f ca="1">VLOOKUP(A48,'銀行-TSS'!A:AK,37,FALSE)</f>
        <v>有</v>
      </c>
      <c r="M48" s="136" t="str">
        <f ca="1">VLOOKUP(A48,'銀行-TSS'!A:AN,40,FALSE)</f>
        <v/>
      </c>
      <c r="N48" s="1211">
        <f t="shared" ca="1" si="11"/>
        <v>989.4</v>
      </c>
      <c r="O48" s="1211">
        <f t="shared" ca="1" si="12"/>
        <v>9894</v>
      </c>
      <c r="P48" s="1213">
        <f ca="1">IF(AND(換券投組!$D$17&gt;=O48,換券投組!$D$13=D48),I48+INT((換券投組!$D$17-O48)/N48)*J48,0)</f>
        <v>0</v>
      </c>
      <c r="Q48" s="1211">
        <f t="shared" ca="1" si="13"/>
        <v>0</v>
      </c>
      <c r="R48" s="1213">
        <f t="shared" ca="1" si="14"/>
        <v>0</v>
      </c>
      <c r="S48" s="1213">
        <f t="shared" ca="1" si="15"/>
        <v>0</v>
      </c>
      <c r="T48" s="136">
        <f t="shared" ca="1" si="5"/>
        <v>0</v>
      </c>
      <c r="U48" s="861">
        <f t="shared" ca="1" si="6"/>
        <v>0</v>
      </c>
      <c r="V48" s="136" t="b">
        <f ca="1">IF(OR(D48&lt;&gt;"USD",L48="無",M48&lt;&gt;"",K48="高資產",IFERROR(MATCH(B48,換券投組!K:K,0),"N")&lt;&gt;"N",IFERROR(MATCH(B48,換券投組!J:J,0),"N")&lt;&gt;"N"),FALSE,IF($V$1="All",TRUE,IF(K48=$V$1,TRUE,FALSE)))</f>
        <v>1</v>
      </c>
      <c r="W48" s="136">
        <f ca="1">VLOOKUP(A48,'銀行-TSS'!A:AO,41,FALSE)</f>
        <v>94.76</v>
      </c>
      <c r="X48" s="136">
        <f ca="1">VLOOKUP(A48,'銀行-TSS'!A:AP,42,FALSE)</f>
        <v>7.7984</v>
      </c>
      <c r="Y48" s="1223">
        <f t="shared" ca="1" si="16"/>
        <v>0</v>
      </c>
      <c r="Z48" s="1211">
        <f t="shared" ca="1" si="17"/>
        <v>0</v>
      </c>
      <c r="AA48" s="136">
        <f ca="1">IF(Z48&lt;=0,0,RANK(Z48,Z:Z)+COUNTIF($Z$3:$Z48,Z48)-1)</f>
        <v>0</v>
      </c>
      <c r="AB48" s="1211">
        <f t="shared" ca="1" si="9"/>
        <v>0</v>
      </c>
      <c r="AC48" s="136">
        <f ca="1">IF(AB48&lt;=0,0,RANK(AB48,AB:AB)+COUNTIF($AB$3:$AB48,AB48)-1)</f>
        <v>0</v>
      </c>
      <c r="AD48" s="136">
        <f t="shared" ca="1" si="18"/>
        <v>99999</v>
      </c>
      <c r="AE48" s="136">
        <f ca="1">IF(AD48=99999,0,RANK(AD48,AD:AD,1)+COUNTIF($AD$3:$AD48,AD48)-1)</f>
        <v>0</v>
      </c>
    </row>
    <row r="49" spans="1:31">
      <c r="A49" s="141" t="str">
        <f>'銀行-TSS'!A49</f>
        <v>USY68851AK32</v>
      </c>
      <c r="B49" s="151" t="str">
        <f ca="1">VLOOKUP(A49,'銀行-TSS'!A:B,2,FALSE)</f>
        <v>XFM50</v>
      </c>
      <c r="C49" s="151" t="str">
        <f ca="1">VLOOKUP(B49,bond!B:C,2,FALSE)</f>
        <v>馬來西亞國家石油公司美元配息債券 7.625% 2026/10/15</v>
      </c>
      <c r="D49" s="95" t="str">
        <f>VLOOKUP(A49,'銀行-TSS'!A:C,3,FALSE)</f>
        <v>USD</v>
      </c>
      <c r="E49" s="90">
        <f ca="1">VLOOKUP(A49,'銀行-TSS'!A:G,7,FALSE)</f>
        <v>2.29</v>
      </c>
      <c r="F49" s="202">
        <f ca="1">VLOOKUP(A49,'銀行-TSS'!A:H,8,FALSE)</f>
        <v>7.6249999999999998E-2</v>
      </c>
      <c r="G49" s="96">
        <f ca="1">VLOOKUP(A49,'銀行-TSS'!A:K,11,FALSE)</f>
        <v>108.17</v>
      </c>
      <c r="H49" s="1209">
        <f ca="1">VLOOKUP(A49,'銀行-TSS'!A:M,13,FALSE)</f>
        <v>4.5699999999999998E-2</v>
      </c>
      <c r="I49" s="1213">
        <f ca="1">VLOOKUP(A49,'銀行-TSS'!A:N,14,FALSE)</f>
        <v>100000</v>
      </c>
      <c r="J49" s="1213">
        <f ca="1">VLOOKUP(A49,'銀行-TSS'!A:O,15,FALSE)</f>
        <v>1000</v>
      </c>
      <c r="K49" s="136" t="str">
        <f ca="1">VLOOKUP(A49,'銀行-TSS'!A:V,22,FALSE)</f>
        <v>(NPI)非專投</v>
      </c>
      <c r="L49" s="136" t="str">
        <f ca="1">VLOOKUP(A49,'銀行-TSS'!A:AK,37,FALSE)</f>
        <v>有</v>
      </c>
      <c r="M49" s="136" t="str">
        <f ca="1">VLOOKUP(A49,'銀行-TSS'!A:AN,40,FALSE)</f>
        <v/>
      </c>
      <c r="N49" s="1211">
        <f t="shared" ca="1" si="11"/>
        <v>1081.7</v>
      </c>
      <c r="O49" s="1211">
        <f t="shared" ca="1" si="12"/>
        <v>108170</v>
      </c>
      <c r="P49" s="1213">
        <f ca="1">IF(AND(換券投組!$D$17&gt;=O49,換券投組!$D$13=D49),I49+INT((換券投組!$D$17-O49)/N49)*J49,0)</f>
        <v>0</v>
      </c>
      <c r="Q49" s="1211">
        <f t="shared" ca="1" si="13"/>
        <v>0</v>
      </c>
      <c r="R49" s="1213">
        <f t="shared" ca="1" si="14"/>
        <v>0</v>
      </c>
      <c r="S49" s="1213">
        <f t="shared" ca="1" si="15"/>
        <v>0</v>
      </c>
      <c r="T49" s="136">
        <f t="shared" ca="1" si="5"/>
        <v>0</v>
      </c>
      <c r="U49" s="861">
        <f t="shared" ca="1" si="6"/>
        <v>0</v>
      </c>
      <c r="V49" s="136" t="b">
        <f ca="1">IF(OR(D49&lt;&gt;"USD",L49="無",M49&lt;&gt;"",K49="高資產",IFERROR(MATCH(B49,換券投組!K:K,0),"N")&lt;&gt;"N",IFERROR(MATCH(B49,換券投組!J:J,0),"N")&lt;&gt;"N"),FALSE,IF($V$1="All",TRUE,IF(K49=$V$1,TRUE,FALSE)))</f>
        <v>1</v>
      </c>
      <c r="W49" s="136">
        <f ca="1">VLOOKUP(A49,'銀行-TSS'!A:AO,41,FALSE)</f>
        <v>105.54</v>
      </c>
      <c r="X49" s="136">
        <f ca="1">VLOOKUP(A49,'銀行-TSS'!A:AP,42,FALSE)</f>
        <v>2.0640999999999998</v>
      </c>
      <c r="Y49" s="1223">
        <f t="shared" ca="1" si="16"/>
        <v>0</v>
      </c>
      <c r="Z49" s="1211">
        <f t="shared" ca="1" si="17"/>
        <v>0</v>
      </c>
      <c r="AA49" s="136">
        <f ca="1">IF(Z49&lt;=0,0,RANK(Z49,Z:Z)+COUNTIF($Z$3:$Z49,Z49)-1)</f>
        <v>0</v>
      </c>
      <c r="AB49" s="1211">
        <f t="shared" ca="1" si="9"/>
        <v>0</v>
      </c>
      <c r="AC49" s="136">
        <f ca="1">IF(AB49&lt;=0,0,RANK(AB49,AB:AB)+COUNTIF($AB$3:$AB49,AB49)-1)</f>
        <v>0</v>
      </c>
      <c r="AD49" s="136">
        <f t="shared" ca="1" si="18"/>
        <v>99999</v>
      </c>
      <c r="AE49" s="136">
        <f ca="1">IF(AD49=99999,0,RANK(AD49,AD:AD,1)+COUNTIF($AD$3:$AD49,AD49)-1)</f>
        <v>0</v>
      </c>
    </row>
    <row r="50" spans="1:31">
      <c r="A50" s="141" t="str">
        <f>'銀行-TSS'!A50</f>
        <v>US747525AU71</v>
      </c>
      <c r="B50" s="151" t="str">
        <f ca="1">VLOOKUP(A50,'銀行-TSS'!A:B,2,FALSE)</f>
        <v>XFM60</v>
      </c>
      <c r="C50" s="151" t="str">
        <f ca="1">VLOOKUP(B50,bond!B:C,2,FALSE)</f>
        <v>高通公司美元配息債券 3.25% 2027/5/20</v>
      </c>
      <c r="D50" s="95" t="str">
        <f>VLOOKUP(A50,'銀行-TSS'!A:C,3,FALSE)</f>
        <v>USD</v>
      </c>
      <c r="E50" s="90">
        <f ca="1">VLOOKUP(A50,'銀行-TSS'!A:G,7,FALSE)</f>
        <v>2.88</v>
      </c>
      <c r="F50" s="202">
        <f ca="1">VLOOKUP(A50,'銀行-TSS'!A:H,8,FALSE)</f>
        <v>3.2500000000000001E-2</v>
      </c>
      <c r="G50" s="96">
        <f ca="1">VLOOKUP(A50,'銀行-TSS'!A:K,11,FALSE)</f>
        <v>97.33</v>
      </c>
      <c r="H50" s="1209">
        <f ca="1">VLOOKUP(A50,'銀行-TSS'!A:M,13,FALSE)</f>
        <v>4.3900000000000002E-2</v>
      </c>
      <c r="I50" s="1213">
        <f ca="1">VLOOKUP(A50,'銀行-TSS'!A:N,14,FALSE)</f>
        <v>10000</v>
      </c>
      <c r="J50" s="1213">
        <f ca="1">VLOOKUP(A50,'銀行-TSS'!A:O,15,FALSE)</f>
        <v>1000</v>
      </c>
      <c r="K50" s="136" t="str">
        <f ca="1">VLOOKUP(A50,'銀行-TSS'!A:V,22,FALSE)</f>
        <v>(NPI)非專投</v>
      </c>
      <c r="L50" s="136" t="str">
        <f ca="1">VLOOKUP(A50,'銀行-TSS'!A:AK,37,FALSE)</f>
        <v>有</v>
      </c>
      <c r="M50" s="136" t="str">
        <f ca="1">VLOOKUP(A50,'銀行-TSS'!A:AN,40,FALSE)</f>
        <v/>
      </c>
      <c r="N50" s="1211">
        <f t="shared" ca="1" si="11"/>
        <v>973.3</v>
      </c>
      <c r="O50" s="1211">
        <f t="shared" ca="1" si="12"/>
        <v>9733</v>
      </c>
      <c r="P50" s="1213">
        <f ca="1">IF(AND(換券投組!$D$17&gt;=O50,換券投組!$D$13=D50),I50+INT((換券投組!$D$17-O50)/N50)*J50,0)</f>
        <v>0</v>
      </c>
      <c r="Q50" s="1211">
        <f t="shared" ca="1" si="13"/>
        <v>0</v>
      </c>
      <c r="R50" s="1213">
        <f t="shared" ca="1" si="14"/>
        <v>0</v>
      </c>
      <c r="S50" s="1213">
        <f t="shared" ca="1" si="15"/>
        <v>0</v>
      </c>
      <c r="T50" s="136">
        <f t="shared" ca="1" si="5"/>
        <v>0</v>
      </c>
      <c r="U50" s="861">
        <f t="shared" ca="1" si="6"/>
        <v>0</v>
      </c>
      <c r="V50" s="136" t="b">
        <f ca="1">IF(OR(D50&lt;&gt;"USD",L50="無",M50&lt;&gt;"",K50="高資產",IFERROR(MATCH(B50,換券投組!K:K,0),"N")&lt;&gt;"N",IFERROR(MATCH(B50,換券投組!J:J,0),"N")&lt;&gt;"N"),FALSE,IF($V$1="All",TRUE,IF(K50=$V$1,TRUE,FALSE)))</f>
        <v>1</v>
      </c>
      <c r="W50" s="136">
        <f ca="1">VLOOKUP(A50,'銀行-TSS'!A:AO,41,FALSE)</f>
        <v>95.95</v>
      </c>
      <c r="X50" s="136">
        <f ca="1">VLOOKUP(A50,'銀行-TSS'!A:AP,42,FALSE)</f>
        <v>2.7</v>
      </c>
      <c r="Y50" s="1223">
        <f t="shared" ca="1" si="16"/>
        <v>0</v>
      </c>
      <c r="Z50" s="1211">
        <f t="shared" ca="1" si="17"/>
        <v>0</v>
      </c>
      <c r="AA50" s="136">
        <f ca="1">IF(Z50&lt;=0,0,RANK(Z50,Z:Z)+COUNTIF($Z$3:$Z50,Z50)-1)</f>
        <v>0</v>
      </c>
      <c r="AB50" s="1211">
        <f t="shared" ca="1" si="9"/>
        <v>0</v>
      </c>
      <c r="AC50" s="136">
        <f ca="1">IF(AB50&lt;=0,0,RANK(AB50,AB:AB)+COUNTIF($AB$3:$AB50,AB50)-1)</f>
        <v>0</v>
      </c>
      <c r="AD50" s="136">
        <f t="shared" ca="1" si="18"/>
        <v>99999</v>
      </c>
      <c r="AE50" s="136">
        <f ca="1">IF(AD50=99999,0,RANK(AD50,AD:AD,1)+COUNTIF($AD$3:$AD50,AD50)-1)</f>
        <v>0</v>
      </c>
    </row>
    <row r="51" spans="1:31">
      <c r="A51" s="141" t="str">
        <f>'銀行-TSS'!A51</f>
        <v>XS1508675417</v>
      </c>
      <c r="B51" s="151" t="str">
        <f ca="1">VLOOKUP(A51,'銀行-TSS'!A:B,2,FALSE)</f>
        <v>XFM80</v>
      </c>
      <c r="C51" s="151" t="str">
        <f ca="1">VLOOKUP(B51,bond!B:C,2,FALSE)</f>
        <v>沙烏地阿拉伯政府美元配息債券 3.25% 2026/10/26</v>
      </c>
      <c r="D51" s="95" t="str">
        <f>VLOOKUP(A51,'銀行-TSS'!A:C,3,FALSE)</f>
        <v>USD</v>
      </c>
      <c r="E51" s="90">
        <f ca="1">VLOOKUP(A51,'銀行-TSS'!A:G,7,FALSE)</f>
        <v>2.31</v>
      </c>
      <c r="F51" s="202">
        <f ca="1">VLOOKUP(A51,'銀行-TSS'!A:H,8,FALSE)</f>
        <v>3.2500000000000001E-2</v>
      </c>
      <c r="G51" s="96">
        <f ca="1">VLOOKUP(A51,'銀行-TSS'!A:K,11,FALSE)</f>
        <v>98.17</v>
      </c>
      <c r="H51" s="1209">
        <f ca="1">VLOOKUP(A51,'銀行-TSS'!A:M,13,FALSE)</f>
        <v>4.36E-2</v>
      </c>
      <c r="I51" s="1213">
        <f ca="1">VLOOKUP(A51,'銀行-TSS'!A:N,14,FALSE)</f>
        <v>200000</v>
      </c>
      <c r="J51" s="1213">
        <f ca="1">VLOOKUP(A51,'銀行-TSS'!A:O,15,FALSE)</f>
        <v>1000</v>
      </c>
      <c r="K51" s="136" t="str">
        <f ca="1">VLOOKUP(A51,'銀行-TSS'!A:V,22,FALSE)</f>
        <v>(NPI)非專投</v>
      </c>
      <c r="L51" s="136" t="str">
        <f ca="1">VLOOKUP(A51,'銀行-TSS'!A:AK,37,FALSE)</f>
        <v>有</v>
      </c>
      <c r="M51" s="136" t="str">
        <f ca="1">VLOOKUP(A51,'銀行-TSS'!A:AN,40,FALSE)</f>
        <v/>
      </c>
      <c r="N51" s="1211">
        <f t="shared" ca="1" si="11"/>
        <v>981.7</v>
      </c>
      <c r="O51" s="1211">
        <f t="shared" ca="1" si="12"/>
        <v>196340</v>
      </c>
      <c r="P51" s="1213">
        <f ca="1">IF(AND(換券投組!$D$17&gt;=O51,換券投組!$D$13=D51),I51+INT((換券投組!$D$17-O51)/N51)*J51,0)</f>
        <v>0</v>
      </c>
      <c r="Q51" s="1211">
        <f t="shared" ca="1" si="13"/>
        <v>0</v>
      </c>
      <c r="R51" s="1213">
        <f t="shared" ca="1" si="14"/>
        <v>0</v>
      </c>
      <c r="S51" s="1213">
        <f t="shared" ca="1" si="15"/>
        <v>0</v>
      </c>
      <c r="T51" s="136">
        <f t="shared" ca="1" si="5"/>
        <v>0</v>
      </c>
      <c r="U51" s="861">
        <f t="shared" ca="1" si="6"/>
        <v>0</v>
      </c>
      <c r="V51" s="136" t="b">
        <f ca="1">IF(OR(D51&lt;&gt;"USD",L51="無",M51&lt;&gt;"",K51="高資產",IFERROR(MATCH(B51,換券投組!K:K,0),"N")&lt;&gt;"N",IFERROR(MATCH(B51,換券投組!J:J,0),"N")&lt;&gt;"N"),FALSE,IF($V$1="All",TRUE,IF(K51=$V$1,TRUE,FALSE)))</f>
        <v>1</v>
      </c>
      <c r="W51" s="136">
        <f ca="1">VLOOKUP(A51,'銀行-TSS'!A:AO,41,FALSE)</f>
        <v>96.570000000000007</v>
      </c>
      <c r="X51" s="136">
        <f ca="1">VLOOKUP(A51,'銀行-TSS'!A:AP,42,FALSE)</f>
        <v>2.1804000000000001</v>
      </c>
      <c r="Y51" s="1223">
        <f t="shared" ca="1" si="16"/>
        <v>0</v>
      </c>
      <c r="Z51" s="1211">
        <f t="shared" ca="1" si="17"/>
        <v>0</v>
      </c>
      <c r="AA51" s="136">
        <f ca="1">IF(Z51&lt;=0,0,RANK(Z51,Z:Z)+COUNTIF($Z$3:$Z51,Z51)-1)</f>
        <v>0</v>
      </c>
      <c r="AB51" s="1211">
        <f t="shared" ca="1" si="9"/>
        <v>0</v>
      </c>
      <c r="AC51" s="136">
        <f ca="1">IF(AB51&lt;=0,0,RANK(AB51,AB:AB)+COUNTIF($AB$3:$AB51,AB51)-1)</f>
        <v>0</v>
      </c>
      <c r="AD51" s="136">
        <f t="shared" ca="1" si="18"/>
        <v>99999</v>
      </c>
      <c r="AE51" s="136">
        <f ca="1">IF(AD51=99999,0,RANK(AD51,AD:AD,1)+COUNTIF($AD$3:$AD51,AD51)-1)</f>
        <v>0</v>
      </c>
    </row>
    <row r="52" spans="1:31">
      <c r="A52" s="141" t="str">
        <f>'銀行-TSS'!A52</f>
        <v>RU000A0JXTS9</v>
      </c>
      <c r="B52" s="151" t="str">
        <f ca="1">VLOOKUP(A52,'銀行-TSS'!A:B,2,FALSE)</f>
        <v>XFM90</v>
      </c>
      <c r="C52" s="151" t="str">
        <f ca="1">VLOOKUP(B52,bond!B:C,2,FALSE)</f>
        <v>俄羅斯聯邦政府美元配息債券 4.25% 2027/6/23</v>
      </c>
      <c r="D52" s="95" t="str">
        <f>VLOOKUP(A52,'銀行-TSS'!A:C,3,FALSE)</f>
        <v>USD</v>
      </c>
      <c r="E52" s="90">
        <f ca="1">VLOOKUP(A52,'銀行-TSS'!A:G,7,FALSE)</f>
        <v>2.97</v>
      </c>
      <c r="F52" s="202">
        <f ca="1">VLOOKUP(A52,'銀行-TSS'!A:H,8,FALSE)</f>
        <v>4.2500000000000003E-2</v>
      </c>
      <c r="G52" s="96">
        <f ca="1">VLOOKUP(A52,'銀行-TSS'!A:K,11,FALSE)</f>
        <v>78.17</v>
      </c>
      <c r="H52" s="1209">
        <f ca="1">VLOOKUP(A52,'銀行-TSS'!A:M,13,FALSE)</f>
        <v>0.12479999999999999</v>
      </c>
      <c r="I52" s="1213">
        <f ca="1">VLOOKUP(A52,'銀行-TSS'!A:N,14,FALSE)</f>
        <v>200000</v>
      </c>
      <c r="J52" s="1213">
        <f ca="1">VLOOKUP(A52,'銀行-TSS'!A:O,15,FALSE)</f>
        <v>200000</v>
      </c>
      <c r="K52" s="136" t="str">
        <f ca="1">VLOOKUP(A52,'銀行-TSS'!A:V,22,FALSE)</f>
        <v>高資產</v>
      </c>
      <c r="L52" s="136" t="str">
        <f ca="1">VLOOKUP(A52,'銀行-TSS'!A:AK,37,FALSE)</f>
        <v>需查詢</v>
      </c>
      <c r="M52" s="136" t="str">
        <f ca="1">VLOOKUP(A52,'銀行-TSS'!A:AN,40,FALSE)</f>
        <v>XFM90</v>
      </c>
      <c r="N52" s="1211">
        <f t="shared" ca="1" si="11"/>
        <v>156340</v>
      </c>
      <c r="O52" s="1211">
        <f t="shared" ca="1" si="12"/>
        <v>156340</v>
      </c>
      <c r="P52" s="1213">
        <f ca="1">IF(AND(換券投組!$D$17&gt;=O52,換券投組!$D$13=D52),I52+INT((換券投組!$D$17-O52)/N52)*J52,0)</f>
        <v>0</v>
      </c>
      <c r="Q52" s="1211">
        <f t="shared" ca="1" si="13"/>
        <v>0</v>
      </c>
      <c r="R52" s="1213">
        <f t="shared" ca="1" si="14"/>
        <v>0</v>
      </c>
      <c r="S52" s="1213">
        <f t="shared" ca="1" si="15"/>
        <v>0</v>
      </c>
      <c r="T52" s="136">
        <f t="shared" ca="1" si="5"/>
        <v>0</v>
      </c>
      <c r="U52" s="861">
        <f t="shared" ca="1" si="6"/>
        <v>0</v>
      </c>
      <c r="V52" s="136" t="b">
        <f ca="1">IF(OR(D52&lt;&gt;"USD",L52="無",M52&lt;&gt;"",K52="高資產",IFERROR(MATCH(B52,換券投組!K:K,0),"N")&lt;&gt;"N",IFERROR(MATCH(B52,換券投組!J:J,0),"N")&lt;&gt;"N"),FALSE,IF($V$1="All",TRUE,IF(K52=$V$1,TRUE,FALSE)))</f>
        <v>0</v>
      </c>
      <c r="W52" s="136">
        <f ca="1">VLOOKUP(A52,'銀行-TSS'!A:AO,41,FALSE)</f>
        <v>75.67</v>
      </c>
      <c r="X52" s="136">
        <f ca="1">VLOOKUP(A52,'銀行-TSS'!A:AP,42,FALSE)</f>
        <v>2.6739000000000002</v>
      </c>
      <c r="Y52" s="1223">
        <f t="shared" ca="1" si="16"/>
        <v>0</v>
      </c>
      <c r="Z52" s="1211">
        <f t="shared" ca="1" si="17"/>
        <v>0</v>
      </c>
      <c r="AA52" s="136">
        <f ca="1">IF(Z52&lt;=0,0,RANK(Z52,Z:Z)+COUNTIF($Z$3:$Z52,Z52)-1)</f>
        <v>0</v>
      </c>
      <c r="AB52" s="1211">
        <f t="shared" ca="1" si="9"/>
        <v>0</v>
      </c>
      <c r="AC52" s="136">
        <f ca="1">IF(AB52&lt;=0,0,RANK(AB52,AB:AB)+COUNTIF($AB$3:$AB52,AB52)-1)</f>
        <v>0</v>
      </c>
      <c r="AD52" s="136">
        <f t="shared" ca="1" si="18"/>
        <v>99999</v>
      </c>
      <c r="AE52" s="136">
        <f ca="1">IF(AD52=99999,0,RANK(AD52,AD:AD,1)+COUNTIF($AD$3:$AD52,AD52)-1)</f>
        <v>0</v>
      </c>
    </row>
    <row r="53" spans="1:31">
      <c r="A53" s="141" t="str">
        <f>'銀行-TSS'!A53</f>
        <v>US91086QAV05</v>
      </c>
      <c r="B53" s="151" t="str">
        <f ca="1">VLOOKUP(A53,'銀行-TSS'!A:B,2,FALSE)</f>
        <v>XFN30</v>
      </c>
      <c r="C53" s="151" t="str">
        <f ca="1">VLOOKUP(B53,bond!B:C,2,FALSE)</f>
        <v>墨西哥政府美元配息債券 6.05% 2040/1/11</v>
      </c>
      <c r="D53" s="95" t="str">
        <f>VLOOKUP(A53,'銀行-TSS'!A:C,3,FALSE)</f>
        <v>USD</v>
      </c>
      <c r="E53" s="90">
        <f ca="1">VLOOKUP(A53,'銀行-TSS'!A:G,7,FALSE)</f>
        <v>15.53</v>
      </c>
      <c r="F53" s="202">
        <f ca="1">VLOOKUP(A53,'銀行-TSS'!A:H,8,FALSE)</f>
        <v>6.0499999999999998E-2</v>
      </c>
      <c r="G53" s="96">
        <f ca="1">VLOOKUP(A53,'銀行-TSS'!A:K,11,FALSE)</f>
        <v>103.68</v>
      </c>
      <c r="H53" s="1209">
        <f ca="1">VLOOKUP(A53,'銀行-TSS'!A:M,13,FALSE)</f>
        <v>5.9700000000000003E-2</v>
      </c>
      <c r="I53" s="1213">
        <f ca="1">VLOOKUP(A53,'銀行-TSS'!A:N,14,FALSE)</f>
        <v>10000</v>
      </c>
      <c r="J53" s="1213">
        <f ca="1">VLOOKUP(A53,'銀行-TSS'!A:O,15,FALSE)</f>
        <v>2000</v>
      </c>
      <c r="K53" s="136" t="str">
        <f ca="1">VLOOKUP(A53,'銀行-TSS'!A:V,22,FALSE)</f>
        <v>(PI)專投</v>
      </c>
      <c r="L53" s="136" t="str">
        <f ca="1">VLOOKUP(A53,'銀行-TSS'!A:AK,37,FALSE)</f>
        <v>有</v>
      </c>
      <c r="M53" s="136" t="str">
        <f ca="1">VLOOKUP(A53,'銀行-TSS'!A:AN,40,FALSE)</f>
        <v/>
      </c>
      <c r="N53" s="1211">
        <f t="shared" ca="1" si="11"/>
        <v>2073.6</v>
      </c>
      <c r="O53" s="1211">
        <f t="shared" ca="1" si="12"/>
        <v>10368.000000000002</v>
      </c>
      <c r="P53" s="1213">
        <f ca="1">IF(AND(換券投組!$D$17&gt;=O53,換券投組!$D$13=D53),I53+INT((換券投組!$D$17-O53)/N53)*J53,0)</f>
        <v>0</v>
      </c>
      <c r="Q53" s="1211">
        <f t="shared" ca="1" si="13"/>
        <v>0</v>
      </c>
      <c r="R53" s="1213">
        <f t="shared" ca="1" si="14"/>
        <v>0</v>
      </c>
      <c r="S53" s="1213">
        <f t="shared" ca="1" si="15"/>
        <v>0</v>
      </c>
      <c r="T53" s="136">
        <f t="shared" ca="1" si="5"/>
        <v>0</v>
      </c>
      <c r="U53" s="861">
        <f t="shared" ca="1" si="6"/>
        <v>0</v>
      </c>
      <c r="V53" s="136" t="b">
        <f ca="1">IF(OR(D53&lt;&gt;"USD",L53="無",M53&lt;&gt;"",K53="高資產",IFERROR(MATCH(B53,換券投組!K:K,0),"N")&lt;&gt;"N",IFERROR(MATCH(B53,換券投組!J:J,0),"N")&lt;&gt;"N"),FALSE,IF($V$1="All",TRUE,IF(K53=$V$1,TRUE,FALSE)))</f>
        <v>1</v>
      </c>
      <c r="W53" s="136">
        <f ca="1">VLOOKUP(A53,'銀行-TSS'!A:AO,41,FALSE)</f>
        <v>97.81</v>
      </c>
      <c r="X53" s="136">
        <f ca="1">VLOOKUP(A53,'銀行-TSS'!A:AP,42,FALSE)</f>
        <v>9.6557999999999993</v>
      </c>
      <c r="Y53" s="1223">
        <f t="shared" ca="1" si="16"/>
        <v>0</v>
      </c>
      <c r="Z53" s="1211">
        <f t="shared" ca="1" si="17"/>
        <v>0</v>
      </c>
      <c r="AA53" s="136">
        <f ca="1">IF(Z53&lt;=0,0,RANK(Z53,Z:Z)+COUNTIF($Z$3:$Z53,Z53)-1)</f>
        <v>0</v>
      </c>
      <c r="AB53" s="1211">
        <f t="shared" ca="1" si="9"/>
        <v>0</v>
      </c>
      <c r="AC53" s="136">
        <f ca="1">IF(AB53&lt;=0,0,RANK(AB53,AB:AB)+COUNTIF($AB$3:$AB53,AB53)-1)</f>
        <v>0</v>
      </c>
      <c r="AD53" s="136">
        <f t="shared" ca="1" si="18"/>
        <v>99999</v>
      </c>
      <c r="AE53" s="136">
        <f ca="1">IF(AD53=99999,0,RANK(AD53,AD:AD,1)+COUNTIF($AD$3:$AD53,AD53)-1)</f>
        <v>0</v>
      </c>
    </row>
    <row r="54" spans="1:31">
      <c r="A54" s="141" t="str">
        <f>'銀行-TSS'!A54</f>
        <v>XS0316524130</v>
      </c>
      <c r="B54" s="151" t="str">
        <f ca="1">VLOOKUP(A54,'銀行-TSS'!A:B,2,FALSE)</f>
        <v>XFN40</v>
      </c>
      <c r="C54" s="151" t="str">
        <f ca="1">VLOOKUP(B54,bond!B:C,2,FALSE)</f>
        <v>俄羅斯天然氣集團美元配息債券 7.288% 2037/8/16</v>
      </c>
      <c r="D54" s="95" t="str">
        <f>VLOOKUP(A54,'銀行-TSS'!A:C,3,FALSE)</f>
        <v>USD</v>
      </c>
      <c r="E54" s="90">
        <f ca="1">VLOOKUP(A54,'銀行-TSS'!A:G,7,FALSE)</f>
        <v>13.12</v>
      </c>
      <c r="F54" s="202">
        <f ca="1">VLOOKUP(A54,'銀行-TSS'!A:H,8,FALSE)</f>
        <v>7.288E-2</v>
      </c>
      <c r="G54" s="96">
        <f ca="1">VLOOKUP(A54,'銀行-TSS'!A:K,11,FALSE)</f>
        <v>86.27</v>
      </c>
      <c r="H54" s="1209">
        <f ca="1">VLOOKUP(A54,'銀行-TSS'!A:M,13,FALSE)</f>
        <v>9.5100000000000004E-2</v>
      </c>
      <c r="I54" s="1213">
        <f ca="1">VLOOKUP(A54,'銀行-TSS'!A:N,14,FALSE)</f>
        <v>100000</v>
      </c>
      <c r="J54" s="1213">
        <f ca="1">VLOOKUP(A54,'銀行-TSS'!A:O,15,FALSE)</f>
        <v>1000</v>
      </c>
      <c r="K54" s="136" t="str">
        <f ca="1">VLOOKUP(A54,'銀行-TSS'!A:V,22,FALSE)</f>
        <v>高資產</v>
      </c>
      <c r="L54" s="136" t="str">
        <f ca="1">VLOOKUP(A54,'銀行-TSS'!A:AK,37,FALSE)</f>
        <v>需查詢</v>
      </c>
      <c r="M54" s="136" t="str">
        <f ca="1">VLOOKUP(A54,'銀行-TSS'!A:AN,40,FALSE)</f>
        <v>XFN40</v>
      </c>
      <c r="N54" s="1211">
        <f t="shared" ca="1" si="11"/>
        <v>862.7</v>
      </c>
      <c r="O54" s="1211">
        <f t="shared" ca="1" si="12"/>
        <v>86270</v>
      </c>
      <c r="P54" s="1213">
        <f ca="1">IF(AND(換券投組!$D$17&gt;=O54,換券投組!$D$13=D54),I54+INT((換券投組!$D$17-O54)/N54)*J54,0)</f>
        <v>0</v>
      </c>
      <c r="Q54" s="1211">
        <f t="shared" ca="1" si="13"/>
        <v>0</v>
      </c>
      <c r="R54" s="1213">
        <f t="shared" ca="1" si="14"/>
        <v>0</v>
      </c>
      <c r="S54" s="1213">
        <f t="shared" ca="1" si="15"/>
        <v>0</v>
      </c>
      <c r="T54" s="136">
        <f t="shared" ca="1" si="5"/>
        <v>0</v>
      </c>
      <c r="U54" s="861">
        <f t="shared" ca="1" si="6"/>
        <v>0</v>
      </c>
      <c r="V54" s="136" t="b">
        <f ca="1">IF(OR(D54&lt;&gt;"USD",L54="無",M54&lt;&gt;"",K54="高資產",IFERROR(MATCH(B54,換券投組!K:K,0),"N")&lt;&gt;"N",IFERROR(MATCH(B54,換券投組!J:J,0),"N")&lt;&gt;"N"),FALSE,IF($V$1="All",TRUE,IF(K54=$V$1,TRUE,FALSE)))</f>
        <v>0</v>
      </c>
      <c r="W54" s="136">
        <f ca="1">VLOOKUP(A54,'銀行-TSS'!A:AO,41,FALSE)</f>
        <v>80.5</v>
      </c>
      <c r="X54" s="136">
        <f ca="1">VLOOKUP(A54,'銀行-TSS'!A:AP,42,FALSE)</f>
        <v>7.5000999999999998</v>
      </c>
      <c r="Y54" s="1223">
        <f t="shared" ca="1" si="16"/>
        <v>0</v>
      </c>
      <c r="Z54" s="1211">
        <f t="shared" ca="1" si="17"/>
        <v>0</v>
      </c>
      <c r="AA54" s="136">
        <f ca="1">IF(Z54&lt;=0,0,RANK(Z54,Z:Z)+COUNTIF($Z$3:$Z54,Z54)-1)</f>
        <v>0</v>
      </c>
      <c r="AB54" s="1211">
        <f t="shared" ca="1" si="9"/>
        <v>0</v>
      </c>
      <c r="AC54" s="136">
        <f ca="1">IF(AB54&lt;=0,0,RANK(AB54,AB:AB)+COUNTIF($AB$3:$AB54,AB54)-1)</f>
        <v>0</v>
      </c>
      <c r="AD54" s="136">
        <f t="shared" ca="1" si="18"/>
        <v>99999</v>
      </c>
      <c r="AE54" s="136">
        <f ca="1">IF(AD54=99999,0,RANK(AD54,AD:AD,1)+COUNTIF($AD$3:$AD54,AD54)-1)</f>
        <v>0</v>
      </c>
    </row>
    <row r="55" spans="1:31">
      <c r="A55" s="141" t="str">
        <f>'銀行-TSS'!A55</f>
        <v>US025816BR90</v>
      </c>
      <c r="B55" s="151" t="str">
        <f ca="1">VLOOKUP(A55,'銀行-TSS'!A:B,2,FALSE)</f>
        <v>XFN60</v>
      </c>
      <c r="C55" s="151" t="str">
        <f ca="1">VLOOKUP(B55,bond!B:C,2,FALSE)</f>
        <v>美國運通美元配息債券 3% 2024/10/30</v>
      </c>
      <c r="D55" s="95" t="str">
        <f>VLOOKUP(A55,'銀行-TSS'!A:C,3,FALSE)</f>
        <v>USD</v>
      </c>
      <c r="E55" s="90">
        <f ca="1">VLOOKUP(A55,'銀行-TSS'!A:G,7,FALSE)</f>
        <v>0.33</v>
      </c>
      <c r="F55" s="202">
        <f ca="1">VLOOKUP(A55,'銀行-TSS'!A:H,8,FALSE)</f>
        <v>0.03</v>
      </c>
      <c r="G55" s="96">
        <f ca="1">VLOOKUP(A55,'銀行-TSS'!A:K,11,FALSE)</f>
        <v>101.21000000000001</v>
      </c>
      <c r="H55" s="1209">
        <f ca="1">VLOOKUP(A55,'銀行-TSS'!A:M,13,FALSE)</f>
        <v>8.8000000000000005E-3</v>
      </c>
      <c r="I55" s="1213">
        <f ca="1">VLOOKUP(A55,'銀行-TSS'!A:N,14,FALSE)</f>
        <v>10000</v>
      </c>
      <c r="J55" s="1213">
        <f ca="1">VLOOKUP(A55,'銀行-TSS'!A:O,15,FALSE)</f>
        <v>1000</v>
      </c>
      <c r="K55" s="136" t="str">
        <f ca="1">VLOOKUP(A55,'銀行-TSS'!A:V,22,FALSE)</f>
        <v>(NPI)非專投</v>
      </c>
      <c r="L55" s="136" t="str">
        <f ca="1">VLOOKUP(A55,'銀行-TSS'!A:AK,37,FALSE)</f>
        <v>有</v>
      </c>
      <c r="M55" s="136" t="str">
        <f ca="1">VLOOKUP(A55,'銀行-TSS'!A:AN,40,FALSE)</f>
        <v>XFN60</v>
      </c>
      <c r="N55" s="1211">
        <f t="shared" ca="1" si="11"/>
        <v>1012.1000000000001</v>
      </c>
      <c r="O55" s="1211">
        <f t="shared" ca="1" si="12"/>
        <v>10121.000000000002</v>
      </c>
      <c r="P55" s="1213">
        <f ca="1">IF(AND(換券投組!$D$17&gt;=O55,換券投組!$D$13=D55),I55+INT((換券投組!$D$17-O55)/N55)*J55,0)</f>
        <v>0</v>
      </c>
      <c r="Q55" s="1211">
        <f t="shared" ca="1" si="13"/>
        <v>0</v>
      </c>
      <c r="R55" s="1213">
        <f t="shared" ca="1" si="14"/>
        <v>0</v>
      </c>
      <c r="S55" s="1213">
        <f t="shared" ca="1" si="15"/>
        <v>0</v>
      </c>
      <c r="T55" s="136">
        <f t="shared" ca="1" si="5"/>
        <v>0</v>
      </c>
      <c r="U55" s="861">
        <f t="shared" ca="1" si="6"/>
        <v>0</v>
      </c>
      <c r="V55" s="136" t="b">
        <f ca="1">IF(OR(D55&lt;&gt;"USD",L55="無",M55&lt;&gt;"",K55="高資產",IFERROR(MATCH(B55,換券投組!K:K,0),"N")&lt;&gt;"N",IFERROR(MATCH(B55,換券投組!J:J,0),"N")&lt;&gt;"N"),FALSE,IF($V$1="All",TRUE,IF(K55=$V$1,TRUE,FALSE)))</f>
        <v>0</v>
      </c>
      <c r="W55" s="136">
        <f ca="1">VLOOKUP(A55,'銀行-TSS'!A:AO,41,FALSE)</f>
        <v>99.490000000000009</v>
      </c>
      <c r="X55" s="136">
        <f ca="1">VLOOKUP(A55,'銀行-TSS'!A:AP,42,FALSE)</f>
        <v>0.32429999999999998</v>
      </c>
      <c r="Y55" s="1223">
        <f t="shared" ca="1" si="16"/>
        <v>0</v>
      </c>
      <c r="Z55" s="1211">
        <f t="shared" ca="1" si="17"/>
        <v>0</v>
      </c>
      <c r="AA55" s="136">
        <f ca="1">IF(Z55&lt;=0,0,RANK(Z55,Z:Z)+COUNTIF($Z$3:$Z55,Z55)-1)</f>
        <v>0</v>
      </c>
      <c r="AB55" s="1211">
        <f t="shared" ca="1" si="9"/>
        <v>0</v>
      </c>
      <c r="AC55" s="136">
        <f ca="1">IF(AB55&lt;=0,0,RANK(AB55,AB:AB)+COUNTIF($AB$3:$AB55,AB55)-1)</f>
        <v>0</v>
      </c>
      <c r="AD55" s="136">
        <f t="shared" ca="1" si="18"/>
        <v>99999</v>
      </c>
      <c r="AE55" s="136">
        <f ca="1">IF(AD55=99999,0,RANK(AD55,AD:AD,1)+COUNTIF($AD$3:$AD55,AD55)-1)</f>
        <v>0</v>
      </c>
    </row>
    <row r="56" spans="1:31">
      <c r="A56" s="141" t="str">
        <f>'銀行-TSS'!A56</f>
        <v>US345370CA64</v>
      </c>
      <c r="B56" s="151" t="str">
        <f ca="1">VLOOKUP(A56,'銀行-TSS'!A:B,2,FALSE)</f>
        <v>XFN70</v>
      </c>
      <c r="C56" s="151" t="str">
        <f ca="1">VLOOKUP(B56,bond!B:C,2,FALSE)</f>
        <v>福特汽車公司美元配息債券 7.45% 2031/7/16</v>
      </c>
      <c r="D56" s="95" t="str">
        <f>VLOOKUP(A56,'銀行-TSS'!A:C,3,FALSE)</f>
        <v>USD</v>
      </c>
      <c r="E56" s="90">
        <f ca="1">VLOOKUP(A56,'銀行-TSS'!A:G,7,FALSE)</f>
        <v>7.04</v>
      </c>
      <c r="F56" s="202">
        <f ca="1">VLOOKUP(A56,'銀行-TSS'!A:H,8,FALSE)</f>
        <v>7.4499999999999997E-2</v>
      </c>
      <c r="G56" s="96">
        <f ca="1">VLOOKUP(A56,'銀行-TSS'!A:K,11,FALSE)</f>
        <v>113.76</v>
      </c>
      <c r="H56" s="1209">
        <f ca="1">VLOOKUP(A56,'銀行-TSS'!A:M,13,FALSE)</f>
        <v>5.6500000000000002E-2</v>
      </c>
      <c r="I56" s="1213">
        <f ca="1">VLOOKUP(A56,'銀行-TSS'!A:N,14,FALSE)</f>
        <v>10000</v>
      </c>
      <c r="J56" s="1213">
        <f ca="1">VLOOKUP(A56,'銀行-TSS'!A:O,15,FALSE)</f>
        <v>1000</v>
      </c>
      <c r="K56" s="136" t="str">
        <f ca="1">VLOOKUP(A56,'銀行-TSS'!A:V,22,FALSE)</f>
        <v>(PI)專投</v>
      </c>
      <c r="L56" s="136" t="str">
        <f ca="1">VLOOKUP(A56,'銀行-TSS'!A:AK,37,FALSE)</f>
        <v>有</v>
      </c>
      <c r="M56" s="136" t="str">
        <f ca="1">VLOOKUP(A56,'銀行-TSS'!A:AN,40,FALSE)</f>
        <v/>
      </c>
      <c r="N56" s="1211">
        <f t="shared" ca="1" si="11"/>
        <v>1137.5999999999999</v>
      </c>
      <c r="O56" s="1211">
        <f t="shared" ca="1" si="12"/>
        <v>11376</v>
      </c>
      <c r="P56" s="1213">
        <f ca="1">IF(AND(換券投組!$D$17&gt;=O56,換券投組!$D$13=D56),I56+INT((換券投組!$D$17-O56)/N56)*J56,0)</f>
        <v>0</v>
      </c>
      <c r="Q56" s="1211">
        <f t="shared" ca="1" si="13"/>
        <v>0</v>
      </c>
      <c r="R56" s="1213">
        <f t="shared" ca="1" si="14"/>
        <v>0</v>
      </c>
      <c r="S56" s="1213">
        <f t="shared" ca="1" si="15"/>
        <v>0</v>
      </c>
      <c r="T56" s="136">
        <f t="shared" ca="1" si="5"/>
        <v>0</v>
      </c>
      <c r="U56" s="861">
        <f t="shared" ca="1" si="6"/>
        <v>0</v>
      </c>
      <c r="V56" s="136" t="b">
        <f ca="1">IF(OR(D56&lt;&gt;"USD",L56="無",M56&lt;&gt;"",K56="高資產",IFERROR(MATCH(B56,換券投組!K:K,0),"N")&lt;&gt;"N",IFERROR(MATCH(B56,換券投組!J:J,0),"N")&lt;&gt;"N"),FALSE,IF($V$1="All",TRUE,IF(K56=$V$1,TRUE,FALSE)))</f>
        <v>1</v>
      </c>
      <c r="W56" s="136">
        <f ca="1">VLOOKUP(A56,'銀行-TSS'!A:AO,41,FALSE)</f>
        <v>108.32</v>
      </c>
      <c r="X56" s="136">
        <f ca="1">VLOOKUP(A56,'銀行-TSS'!A:AP,42,FALSE)</f>
        <v>5.3428000000000004</v>
      </c>
      <c r="Y56" s="1223">
        <f t="shared" ca="1" si="16"/>
        <v>0</v>
      </c>
      <c r="Z56" s="1211">
        <f t="shared" ca="1" si="17"/>
        <v>0</v>
      </c>
      <c r="AA56" s="136">
        <f ca="1">IF(Z56&lt;=0,0,RANK(Z56,Z:Z)+COUNTIF($Z$3:$Z56,Z56)-1)</f>
        <v>0</v>
      </c>
      <c r="AB56" s="1211">
        <f t="shared" ca="1" si="9"/>
        <v>0</v>
      </c>
      <c r="AC56" s="136">
        <f ca="1">IF(AB56&lt;=0,0,RANK(AB56,AB:AB)+COUNTIF($AB$3:$AB56,AB56)-1)</f>
        <v>0</v>
      </c>
      <c r="AD56" s="136">
        <f t="shared" ca="1" si="18"/>
        <v>99999</v>
      </c>
      <c r="AE56" s="136">
        <f ca="1">IF(AD56=99999,0,RANK(AD56,AD:AD,1)+COUNTIF($AD$3:$AD56,AD56)-1)</f>
        <v>0</v>
      </c>
    </row>
    <row r="57" spans="1:31">
      <c r="A57" s="141" t="str">
        <f>'銀行-TSS'!A57</f>
        <v>AU3CB0246239</v>
      </c>
      <c r="B57" s="151" t="str">
        <f ca="1">VLOOKUP(A57,'銀行-TSS'!A:B,2,FALSE)</f>
        <v>XFN80</v>
      </c>
      <c r="C57" s="151" t="str">
        <f ca="1">VLOOKUP(B57,bond!B:C,2,FALSE)</f>
        <v>威瑞森電信公司澳幣配息債券 4.5% 2027/8/17</v>
      </c>
      <c r="D57" s="95" t="str">
        <f>VLOOKUP(A57,'銀行-TSS'!A:C,3,FALSE)</f>
        <v>AUD</v>
      </c>
      <c r="E57" s="90">
        <f ca="1">VLOOKUP(A57,'銀行-TSS'!A:G,7,FALSE)</f>
        <v>3.12</v>
      </c>
      <c r="F57" s="202">
        <f ca="1">VLOOKUP(A57,'銀行-TSS'!A:H,8,FALSE)</f>
        <v>4.4999999999999998E-2</v>
      </c>
      <c r="G57" s="96">
        <f ca="1">VLOOKUP(A57,'銀行-TSS'!A:K,11,FALSE)</f>
        <v>103.26</v>
      </c>
      <c r="H57" s="1209">
        <f ca="1">VLOOKUP(A57,'銀行-TSS'!A:M,13,FALSE)</f>
        <v>3.9600000000000003E-2</v>
      </c>
      <c r="I57" s="1213">
        <f ca="1">VLOOKUP(A57,'銀行-TSS'!A:N,14,FALSE)</f>
        <v>10000</v>
      </c>
      <c r="J57" s="1213">
        <f ca="1">VLOOKUP(A57,'銀行-TSS'!A:O,15,FALSE)</f>
        <v>10000</v>
      </c>
      <c r="K57" s="136" t="str">
        <f ca="1">VLOOKUP(A57,'銀行-TSS'!A:V,22,FALSE)</f>
        <v>(NPI)非專投</v>
      </c>
      <c r="L57" s="136" t="str">
        <f ca="1">VLOOKUP(A57,'銀行-TSS'!A:AK,37,FALSE)</f>
        <v>無</v>
      </c>
      <c r="M57" s="136" t="str">
        <f ca="1">VLOOKUP(A57,'銀行-TSS'!A:AN,40,FALSE)</f>
        <v>XFN80</v>
      </c>
      <c r="N57" s="1211">
        <f t="shared" ca="1" si="11"/>
        <v>10326</v>
      </c>
      <c r="O57" s="1211">
        <f t="shared" ca="1" si="12"/>
        <v>10326</v>
      </c>
      <c r="P57" s="1213">
        <f ca="1">IF(AND(換券投組!$D$17&gt;=O57,換券投組!$D$13=D57),I57+INT((換券投組!$D$17-O57)/N57)*J57,0)</f>
        <v>0</v>
      </c>
      <c r="Q57" s="1211">
        <f t="shared" ca="1" si="13"/>
        <v>0</v>
      </c>
      <c r="R57" s="1213">
        <f t="shared" ca="1" si="14"/>
        <v>0</v>
      </c>
      <c r="S57" s="1213">
        <f t="shared" ca="1" si="15"/>
        <v>0</v>
      </c>
      <c r="T57" s="136">
        <f t="shared" ca="1" si="5"/>
        <v>0</v>
      </c>
      <c r="U57" s="861">
        <f t="shared" ca="1" si="6"/>
        <v>0</v>
      </c>
      <c r="V57" s="136" t="b">
        <f ca="1">IF(OR(D57&lt;&gt;"USD",L57="無",M57&lt;&gt;"",K57="高資產",IFERROR(MATCH(B57,換券投組!K:K,0),"N")&lt;&gt;"N",IFERROR(MATCH(B57,換券投組!J:J,0),"N")&lt;&gt;"N"),FALSE,IF($V$1="All",TRUE,IF(K57=$V$1,TRUE,FALSE)))</f>
        <v>0</v>
      </c>
      <c r="W57" s="136">
        <f ca="1">VLOOKUP(A57,'銀行-TSS'!A:AO,41,FALSE)</f>
        <v>99.570000000000007</v>
      </c>
      <c r="X57" s="136">
        <f ca="1">VLOOKUP(A57,'銀行-TSS'!A:AP,42,FALSE)</f>
        <v>2.8348</v>
      </c>
      <c r="Y57" s="1223">
        <f t="shared" ca="1" si="16"/>
        <v>0</v>
      </c>
      <c r="Z57" s="1211">
        <f t="shared" ca="1" si="17"/>
        <v>0</v>
      </c>
      <c r="AA57" s="136">
        <f ca="1">IF(Z57&lt;=0,0,RANK(Z57,Z:Z)+COUNTIF($Z$3:$Z57,Z57)-1)</f>
        <v>0</v>
      </c>
      <c r="AB57" s="1211">
        <f t="shared" ca="1" si="9"/>
        <v>0</v>
      </c>
      <c r="AC57" s="136">
        <f ca="1">IF(AB57&lt;=0,0,RANK(AB57,AB:AB)+COUNTIF($AB$3:$AB57,AB57)-1)</f>
        <v>0</v>
      </c>
      <c r="AD57" s="136">
        <f t="shared" ca="1" si="18"/>
        <v>99999</v>
      </c>
      <c r="AE57" s="136">
        <f ca="1">IF(AD57=99999,0,RANK(AD57,AD:AD,1)+COUNTIF($AD$3:$AD57,AD57)-1)</f>
        <v>0</v>
      </c>
    </row>
    <row r="58" spans="1:31">
      <c r="A58" s="141" t="str">
        <f>'銀行-TSS'!A58</f>
        <v>XS1793255198</v>
      </c>
      <c r="B58" s="151" t="str">
        <f ca="1">VLOOKUP(A58,'銀行-TSS'!A:B,2,FALSE)</f>
        <v>XFN90</v>
      </c>
      <c r="C58" s="151" t="str">
        <f ca="1">VLOOKUP(B58,bond!B:C,2,FALSE)</f>
        <v>軟體銀行公司美元配息債券 6.25% 2028/4/15</v>
      </c>
      <c r="D58" s="95" t="str">
        <f>VLOOKUP(A58,'銀行-TSS'!A:C,3,FALSE)</f>
        <v>USD</v>
      </c>
      <c r="E58" s="90">
        <f ca="1">VLOOKUP(A58,'銀行-TSS'!A:G,7,FALSE)</f>
        <v>3.78</v>
      </c>
      <c r="F58" s="202">
        <f ca="1">VLOOKUP(A58,'銀行-TSS'!A:H,8,FALSE)</f>
        <v>6.25E-2</v>
      </c>
      <c r="G58" s="96">
        <f ca="1">VLOOKUP(A58,'銀行-TSS'!A:K,11,FALSE)</f>
        <v>102.32</v>
      </c>
      <c r="H58" s="1209">
        <f ca="1">VLOOKUP(A58,'銀行-TSS'!A:M,13,FALSE)</f>
        <v>5.96E-2</v>
      </c>
      <c r="I58" s="1213">
        <f ca="1">VLOOKUP(A58,'銀行-TSS'!A:N,14,FALSE)</f>
        <v>200000</v>
      </c>
      <c r="J58" s="1213">
        <f ca="1">VLOOKUP(A58,'銀行-TSS'!A:O,15,FALSE)</f>
        <v>1000</v>
      </c>
      <c r="K58" s="136" t="str">
        <f ca="1">VLOOKUP(A58,'銀行-TSS'!A:V,22,FALSE)</f>
        <v>(PI)專投</v>
      </c>
      <c r="L58" s="136" t="str">
        <f ca="1">VLOOKUP(A58,'銀行-TSS'!A:AK,37,FALSE)</f>
        <v>無</v>
      </c>
      <c r="M58" s="136" t="str">
        <f ca="1">VLOOKUP(A58,'銀行-TSS'!A:AN,40,FALSE)</f>
        <v/>
      </c>
      <c r="N58" s="1211">
        <f t="shared" ca="1" si="11"/>
        <v>1023.2</v>
      </c>
      <c r="O58" s="1211">
        <f t="shared" ca="1" si="12"/>
        <v>204640</v>
      </c>
      <c r="P58" s="1213">
        <f ca="1">IF(AND(換券投組!$D$17&gt;=O58,換券投組!$D$13=D58),I58+INT((換券投組!$D$17-O58)/N58)*J58,0)</f>
        <v>0</v>
      </c>
      <c r="Q58" s="1211">
        <f t="shared" ca="1" si="13"/>
        <v>0</v>
      </c>
      <c r="R58" s="1213">
        <f t="shared" ca="1" si="14"/>
        <v>0</v>
      </c>
      <c r="S58" s="1213">
        <f t="shared" ca="1" si="15"/>
        <v>0</v>
      </c>
      <c r="T58" s="136">
        <f t="shared" ca="1" si="5"/>
        <v>0</v>
      </c>
      <c r="U58" s="861">
        <f t="shared" ca="1" si="6"/>
        <v>0</v>
      </c>
      <c r="V58" s="136" t="b">
        <f ca="1">IF(OR(D58&lt;&gt;"USD",L58="無",M58&lt;&gt;"",K58="高資產",IFERROR(MATCH(B58,換券投組!K:K,0),"N")&lt;&gt;"N",IFERROR(MATCH(B58,換券投組!J:J,0),"N")&lt;&gt;"N"),FALSE,IF($V$1="All",TRUE,IF(K58=$V$1,TRUE,FALSE)))</f>
        <v>0</v>
      </c>
      <c r="W58" s="136">
        <f ca="1">VLOOKUP(A58,'銀行-TSS'!A:AO,41,FALSE)</f>
        <v>99.47</v>
      </c>
      <c r="X58" s="136">
        <f ca="1">VLOOKUP(A58,'銀行-TSS'!A:AP,42,FALSE)</f>
        <v>3.2786</v>
      </c>
      <c r="Y58" s="1223">
        <f t="shared" ca="1" si="16"/>
        <v>0</v>
      </c>
      <c r="Z58" s="1211">
        <f t="shared" ca="1" si="17"/>
        <v>0</v>
      </c>
      <c r="AA58" s="136">
        <f ca="1">IF(Z58&lt;=0,0,RANK(Z58,Z:Z)+COUNTIF($Z$3:$Z58,Z58)-1)</f>
        <v>0</v>
      </c>
      <c r="AB58" s="1211">
        <f t="shared" ca="1" si="9"/>
        <v>0</v>
      </c>
      <c r="AC58" s="136">
        <f ca="1">IF(AB58&lt;=0,0,RANK(AB58,AB:AB)+COUNTIF($AB$3:$AB58,AB58)-1)</f>
        <v>0</v>
      </c>
      <c r="AD58" s="136">
        <f t="shared" ca="1" si="18"/>
        <v>99999</v>
      </c>
      <c r="AE58" s="136">
        <f ca="1">IF(AD58=99999,0,RANK(AD58,AD:AD,1)+COUNTIF($AD$3:$AD58,AD58)-1)</f>
        <v>0</v>
      </c>
    </row>
    <row r="59" spans="1:31">
      <c r="A59" s="141" t="str">
        <f>'銀行-TSS'!A59</f>
        <v>US55608KAN54</v>
      </c>
      <c r="B59" s="151" t="str">
        <f ca="1">VLOOKUP(A59,'銀行-TSS'!A:B,2,FALSE)</f>
        <v>XFO10</v>
      </c>
      <c r="C59" s="151" t="str">
        <f ca="1">VLOOKUP(B59,bond!B:C,2,FALSE)</f>
        <v>麥格理集團美元配息債券 4.654% 2029/3/27</v>
      </c>
      <c r="D59" s="95" t="str">
        <f>VLOOKUP(A59,'銀行-TSS'!A:C,3,FALSE)</f>
        <v>USD</v>
      </c>
      <c r="E59" s="90">
        <f ca="1">VLOOKUP(A59,'銀行-TSS'!A:G,7,FALSE)</f>
        <v>4.7300000000000004</v>
      </c>
      <c r="F59" s="202">
        <f ca="1">VLOOKUP(A59,'銀行-TSS'!A:H,8,FALSE)</f>
        <v>4.6539999999999998E-2</v>
      </c>
      <c r="G59" s="96">
        <f ca="1">VLOOKUP(A59,'銀行-TSS'!A:K,11,FALSE)</f>
        <v>102.35</v>
      </c>
      <c r="H59" s="1209">
        <f ca="1">VLOOKUP(A59,'銀行-TSS'!A:M,13,FALSE)</f>
        <v>4.9000000000000002E-2</v>
      </c>
      <c r="I59" s="1213">
        <f ca="1">VLOOKUP(A59,'銀行-TSS'!A:N,14,FALSE)</f>
        <v>10000</v>
      </c>
      <c r="J59" s="1213">
        <f ca="1">VLOOKUP(A59,'銀行-TSS'!A:O,15,FALSE)</f>
        <v>1000</v>
      </c>
      <c r="K59" s="136" t="str">
        <f ca="1">VLOOKUP(A59,'銀行-TSS'!A:V,22,FALSE)</f>
        <v>(NPI)非專投</v>
      </c>
      <c r="L59" s="136" t="str">
        <f ca="1">VLOOKUP(A59,'銀行-TSS'!A:AK,37,FALSE)</f>
        <v>需查詢</v>
      </c>
      <c r="M59" s="136" t="str">
        <f ca="1">VLOOKUP(A59,'銀行-TSS'!A:AN,40,FALSE)</f>
        <v/>
      </c>
      <c r="N59" s="1211">
        <f t="shared" ca="1" si="11"/>
        <v>1023.5</v>
      </c>
      <c r="O59" s="1211">
        <f t="shared" ca="1" si="12"/>
        <v>10235</v>
      </c>
      <c r="P59" s="1213">
        <f ca="1">IF(AND(換券投組!$D$17&gt;=O59,換券投組!$D$13=D59),I59+INT((換券投組!$D$17-O59)/N59)*J59,0)</f>
        <v>0</v>
      </c>
      <c r="Q59" s="1211">
        <f t="shared" ca="1" si="13"/>
        <v>0</v>
      </c>
      <c r="R59" s="1213">
        <f t="shared" ca="1" si="14"/>
        <v>0</v>
      </c>
      <c r="S59" s="1213">
        <f t="shared" ca="1" si="15"/>
        <v>0</v>
      </c>
      <c r="T59" s="136">
        <f t="shared" ca="1" si="5"/>
        <v>0</v>
      </c>
      <c r="U59" s="861">
        <f t="shared" ca="1" si="6"/>
        <v>0</v>
      </c>
      <c r="V59" s="136" t="b">
        <f ca="1">IF(OR(D59&lt;&gt;"USD",L59="無",M59&lt;&gt;"",K59="高資產",IFERROR(MATCH(B59,換券投組!K:K,0),"N")&lt;&gt;"N",IFERROR(MATCH(B59,換券投組!J:J,0),"N")&lt;&gt;"N"),FALSE,IF($V$1="All",TRUE,IF(K59=$V$1,TRUE,FALSE)))</f>
        <v>1</v>
      </c>
      <c r="W59" s="136">
        <f ca="1">VLOOKUP(A59,'銀行-TSS'!A:AO,41,FALSE)</f>
        <v>99.12</v>
      </c>
      <c r="X59" s="136">
        <f ca="1">VLOOKUP(A59,'銀行-TSS'!A:AP,42,FALSE)</f>
        <v>3.3496000000000001</v>
      </c>
      <c r="Y59" s="1223">
        <f t="shared" ca="1" si="16"/>
        <v>0</v>
      </c>
      <c r="Z59" s="1211">
        <f t="shared" ca="1" si="17"/>
        <v>0</v>
      </c>
      <c r="AA59" s="136">
        <f ca="1">IF(Z59&lt;=0,0,RANK(Z59,Z:Z)+COUNTIF($Z$3:$Z59,Z59)-1)</f>
        <v>0</v>
      </c>
      <c r="AB59" s="1211">
        <f t="shared" ca="1" si="9"/>
        <v>0</v>
      </c>
      <c r="AC59" s="136">
        <f ca="1">IF(AB59&lt;=0,0,RANK(AB59,AB:AB)+COUNTIF($AB$3:$AB59,AB59)-1)</f>
        <v>0</v>
      </c>
      <c r="AD59" s="136">
        <f t="shared" ca="1" si="18"/>
        <v>99999</v>
      </c>
      <c r="AE59" s="136">
        <f ca="1">IF(AD59=99999,0,RANK(AD59,AD:AD,1)+COUNTIF($AD$3:$AD59,AD59)-1)</f>
        <v>0</v>
      </c>
    </row>
    <row r="60" spans="1:31">
      <c r="A60" s="141" t="str">
        <f>'銀行-TSS'!A60</f>
        <v>CAG5533WBW69</v>
      </c>
      <c r="B60" s="151" t="str">
        <f ca="1">VLOOKUP(A60,'銀行-TSS'!A:B,2,FALSE)</f>
        <v>XFO20</v>
      </c>
      <c r="C60" s="151" t="str">
        <f ca="1">VLOOKUP(B60,bond!B:C,2,FALSE)</f>
        <v>駿懋銀行集團加幣配息債券 3.5% 2025/2/3</v>
      </c>
      <c r="D60" s="95" t="str">
        <f>VLOOKUP(A60,'銀行-TSS'!A:C,3,FALSE)</f>
        <v>CAD</v>
      </c>
      <c r="E60" s="90">
        <f ca="1">VLOOKUP(A60,'銀行-TSS'!A:G,7,FALSE)</f>
        <v>0.59</v>
      </c>
      <c r="F60" s="202">
        <f ca="1">VLOOKUP(A60,'銀行-TSS'!A:H,8,FALSE)</f>
        <v>3.5000000000000003E-2</v>
      </c>
      <c r="G60" s="96">
        <f ca="1">VLOOKUP(A60,'銀行-TSS'!A:K,11,FALSE)</f>
        <v>101.19</v>
      </c>
      <c r="H60" s="1209">
        <f ca="1">VLOOKUP(A60,'銀行-TSS'!A:M,13,FALSE)</f>
        <v>3.9300000000000002E-2</v>
      </c>
      <c r="I60" s="1213">
        <f ca="1">VLOOKUP(A60,'銀行-TSS'!A:N,14,FALSE)</f>
        <v>200000</v>
      </c>
      <c r="J60" s="1213">
        <f ca="1">VLOOKUP(A60,'銀行-TSS'!A:O,15,FALSE)</f>
        <v>1000</v>
      </c>
      <c r="K60" s="136" t="str">
        <f ca="1">VLOOKUP(A60,'銀行-TSS'!A:V,22,FALSE)</f>
        <v>(PI)專投</v>
      </c>
      <c r="L60" s="136" t="str">
        <f ca="1">VLOOKUP(A60,'銀行-TSS'!A:AK,37,FALSE)</f>
        <v>有</v>
      </c>
      <c r="M60" s="136" t="str">
        <f ca="1">VLOOKUP(A60,'銀行-TSS'!A:AN,40,FALSE)</f>
        <v/>
      </c>
      <c r="N60" s="1211">
        <f t="shared" ca="1" si="11"/>
        <v>1011.9</v>
      </c>
      <c r="O60" s="1211">
        <f t="shared" ca="1" si="12"/>
        <v>202380</v>
      </c>
      <c r="P60" s="1213">
        <f ca="1">IF(AND(換券投組!$D$17&gt;=O60,換券投組!$D$13=D60),I60+INT((換券投組!$D$17-O60)/N60)*J60,0)</f>
        <v>0</v>
      </c>
      <c r="Q60" s="1211">
        <f t="shared" ca="1" si="13"/>
        <v>0</v>
      </c>
      <c r="R60" s="1213">
        <f t="shared" ca="1" si="14"/>
        <v>0</v>
      </c>
      <c r="S60" s="1213">
        <f t="shared" ca="1" si="15"/>
        <v>0</v>
      </c>
      <c r="T60" s="136">
        <f t="shared" ca="1" si="5"/>
        <v>0</v>
      </c>
      <c r="U60" s="861">
        <f t="shared" ca="1" si="6"/>
        <v>0</v>
      </c>
      <c r="V60" s="136" t="b">
        <f ca="1">IF(OR(D60&lt;&gt;"USD",L60="無",M60&lt;&gt;"",K60="高資產",IFERROR(MATCH(B60,換券投組!K:K,0),"N")&lt;&gt;"N",IFERROR(MATCH(B60,換券投組!J:J,0),"N")&lt;&gt;"N"),FALSE,IF($V$1="All",TRUE,IF(K60=$V$1,TRUE,FALSE)))</f>
        <v>0</v>
      </c>
      <c r="W60" s="136">
        <f ca="1">VLOOKUP(A60,'銀行-TSS'!A:AO,41,FALSE)</f>
        <v>99.550000000000011</v>
      </c>
      <c r="X60" s="136">
        <f ca="1">VLOOKUP(A60,'銀行-TSS'!A:AP,42,FALSE)</f>
        <v>0.55369999999999997</v>
      </c>
      <c r="Y60" s="1223">
        <f t="shared" ca="1" si="16"/>
        <v>0</v>
      </c>
      <c r="Z60" s="1211">
        <f t="shared" ca="1" si="17"/>
        <v>0</v>
      </c>
      <c r="AA60" s="136">
        <f ca="1">IF(Z60&lt;=0,0,RANK(Z60,Z:Z)+COUNTIF($Z$3:$Z60,Z60)-1)</f>
        <v>0</v>
      </c>
      <c r="AB60" s="1211">
        <f t="shared" ca="1" si="9"/>
        <v>0</v>
      </c>
      <c r="AC60" s="136">
        <f ca="1">IF(AB60&lt;=0,0,RANK(AB60,AB:AB)+COUNTIF($AB$3:$AB60,AB60)-1)</f>
        <v>0</v>
      </c>
      <c r="AD60" s="136">
        <f t="shared" ca="1" si="18"/>
        <v>99999</v>
      </c>
      <c r="AE60" s="136">
        <f ca="1">IF(AD60=99999,0,RANK(AD60,AD:AD,1)+COUNTIF($AD$3:$AD60,AD60)-1)</f>
        <v>0</v>
      </c>
    </row>
    <row r="61" spans="1:31">
      <c r="A61" s="141" t="str">
        <f>'銀行-TSS'!A61</f>
        <v>NZLGFDT007C4</v>
      </c>
      <c r="B61" s="151" t="str">
        <f ca="1">VLOOKUP(A61,'銀行-TSS'!A:B,2,FALSE)</f>
        <v>XFO30</v>
      </c>
      <c r="C61" s="151" t="str">
        <f ca="1">VLOOKUP(B61,bond!B:C,2,FALSE)</f>
        <v>紐西蘭地方政府紐幣配息債券 4.5% 2027/4/15</v>
      </c>
      <c r="D61" s="95" t="str">
        <f>VLOOKUP(A61,'銀行-TSS'!A:C,3,FALSE)</f>
        <v>NZD</v>
      </c>
      <c r="E61" s="90">
        <f ca="1">VLOOKUP(A61,'銀行-TSS'!A:G,7,FALSE)</f>
        <v>2.78</v>
      </c>
      <c r="F61" s="202">
        <f ca="1">VLOOKUP(A61,'銀行-TSS'!A:H,8,FALSE)</f>
        <v>4.4999999999999998E-2</v>
      </c>
      <c r="G61" s="96">
        <f ca="1">VLOOKUP(A61,'銀行-TSS'!A:K,11,FALSE)</f>
        <v>101.96</v>
      </c>
      <c r="H61" s="1209">
        <f ca="1">VLOOKUP(A61,'銀行-TSS'!A:M,13,FALSE)</f>
        <v>4.1200000000000001E-2</v>
      </c>
      <c r="I61" s="1213">
        <f ca="1">VLOOKUP(A61,'銀行-TSS'!A:N,14,FALSE)</f>
        <v>10000</v>
      </c>
      <c r="J61" s="1213">
        <f ca="1">VLOOKUP(A61,'銀行-TSS'!A:O,15,FALSE)</f>
        <v>1000</v>
      </c>
      <c r="K61" s="136" t="str">
        <f ca="1">VLOOKUP(A61,'銀行-TSS'!A:V,22,FALSE)</f>
        <v>(NPI)非專投</v>
      </c>
      <c r="L61" s="136" t="str">
        <f ca="1">VLOOKUP(A61,'銀行-TSS'!A:AK,37,FALSE)</f>
        <v>有</v>
      </c>
      <c r="M61" s="136" t="str">
        <f ca="1">VLOOKUP(A61,'銀行-TSS'!A:AN,40,FALSE)</f>
        <v/>
      </c>
      <c r="N61" s="1211">
        <f t="shared" ca="1" si="11"/>
        <v>1019.6</v>
      </c>
      <c r="O61" s="1211">
        <f t="shared" ca="1" si="12"/>
        <v>10195.999999999998</v>
      </c>
      <c r="P61" s="1213">
        <f ca="1">IF(AND(換券投組!$D$17&gt;=O61,換券投組!$D$13=D61),I61+INT((換券投組!$D$17-O61)/N61)*J61,0)</f>
        <v>0</v>
      </c>
      <c r="Q61" s="1211">
        <f t="shared" ca="1" si="13"/>
        <v>0</v>
      </c>
      <c r="R61" s="1213">
        <f t="shared" ca="1" si="14"/>
        <v>0</v>
      </c>
      <c r="S61" s="1213">
        <f t="shared" ca="1" si="15"/>
        <v>0</v>
      </c>
      <c r="T61" s="136">
        <f t="shared" ca="1" si="5"/>
        <v>0</v>
      </c>
      <c r="U61" s="861">
        <f t="shared" ca="1" si="6"/>
        <v>0</v>
      </c>
      <c r="V61" s="136" t="b">
        <f ca="1">IF(OR(D61&lt;&gt;"USD",L61="無",M61&lt;&gt;"",K61="高資產",IFERROR(MATCH(B61,換券投組!K:K,0),"N")&lt;&gt;"N",IFERROR(MATCH(B61,換券投組!J:J,0),"N")&lt;&gt;"N"),FALSE,IF($V$1="All",TRUE,IF(K61=$V$1,TRUE,FALSE)))</f>
        <v>0</v>
      </c>
      <c r="W61" s="136">
        <f ca="1">VLOOKUP(A61,'銀行-TSS'!A:AO,41,FALSE)</f>
        <v>99.99</v>
      </c>
      <c r="X61" s="136">
        <f ca="1">VLOOKUP(A61,'銀行-TSS'!A:AP,42,FALSE)</f>
        <v>2.5653000000000001</v>
      </c>
      <c r="Y61" s="1223">
        <f t="shared" ca="1" si="16"/>
        <v>0</v>
      </c>
      <c r="Z61" s="1211">
        <f t="shared" ca="1" si="17"/>
        <v>0</v>
      </c>
      <c r="AA61" s="136">
        <f ca="1">IF(Z61&lt;=0,0,RANK(Z61,Z:Z)+COUNTIF($Z$3:$Z61,Z61)-1)</f>
        <v>0</v>
      </c>
      <c r="AB61" s="1211">
        <f t="shared" ca="1" si="9"/>
        <v>0</v>
      </c>
      <c r="AC61" s="136">
        <f ca="1">IF(AB61&lt;=0,0,RANK(AB61,AB:AB)+COUNTIF($AB$3:$AB61,AB61)-1)</f>
        <v>0</v>
      </c>
      <c r="AD61" s="136">
        <f t="shared" ca="1" si="18"/>
        <v>99999</v>
      </c>
      <c r="AE61" s="136">
        <f ca="1">IF(AD61=99999,0,RANK(AD61,AD:AD,1)+COUNTIF($AD$3:$AD61,AD61)-1)</f>
        <v>0</v>
      </c>
    </row>
    <row r="62" spans="1:31">
      <c r="A62" s="141" t="str">
        <f>'銀行-TSS'!A62</f>
        <v>US20030NCH26</v>
      </c>
      <c r="B62" s="151" t="str">
        <f ca="1">VLOOKUP(A62,'銀行-TSS'!A:B,2,FALSE)</f>
        <v>XFP20</v>
      </c>
      <c r="C62" s="151" t="str">
        <f ca="1">VLOOKUP(B62,bond!B:C,2,FALSE)</f>
        <v>康卡斯特公司美元配息債券 3.55% 2028/5/1</v>
      </c>
      <c r="D62" s="95" t="str">
        <f>VLOOKUP(A62,'銀行-TSS'!A:C,3,FALSE)</f>
        <v>USD</v>
      </c>
      <c r="E62" s="90">
        <f ca="1">VLOOKUP(A62,'銀行-TSS'!A:G,7,FALSE)</f>
        <v>3.83</v>
      </c>
      <c r="F62" s="202">
        <f ca="1">VLOOKUP(A62,'銀行-TSS'!A:H,8,FALSE)</f>
        <v>3.5499999999999997E-2</v>
      </c>
      <c r="G62" s="96">
        <f ca="1">VLOOKUP(A62,'銀行-TSS'!A:K,11,FALSE)</f>
        <v>97.53</v>
      </c>
      <c r="H62" s="1209">
        <f ca="1">VLOOKUP(A62,'銀行-TSS'!A:M,13,FALSE)</f>
        <v>4.4299999999999999E-2</v>
      </c>
      <c r="I62" s="1213">
        <f ca="1">VLOOKUP(A62,'銀行-TSS'!A:N,14,FALSE)</f>
        <v>10000</v>
      </c>
      <c r="J62" s="1213">
        <f ca="1">VLOOKUP(A62,'銀行-TSS'!A:O,15,FALSE)</f>
        <v>1000</v>
      </c>
      <c r="K62" s="136" t="str">
        <f ca="1">VLOOKUP(A62,'銀行-TSS'!A:V,22,FALSE)</f>
        <v>(NPI)非專投</v>
      </c>
      <c r="L62" s="136" t="str">
        <f ca="1">VLOOKUP(A62,'銀行-TSS'!A:AK,37,FALSE)</f>
        <v>有</v>
      </c>
      <c r="M62" s="136" t="str">
        <f ca="1">VLOOKUP(A62,'銀行-TSS'!A:AN,40,FALSE)</f>
        <v/>
      </c>
      <c r="N62" s="1211">
        <f t="shared" ca="1" si="11"/>
        <v>975.3</v>
      </c>
      <c r="O62" s="1211">
        <f t="shared" ca="1" si="12"/>
        <v>9753</v>
      </c>
      <c r="P62" s="1213">
        <f ca="1">IF(AND(換券投組!$D$17&gt;=O62,換券投組!$D$13=D62),I62+INT((換券投組!$D$17-O62)/N62)*J62,0)</f>
        <v>0</v>
      </c>
      <c r="Q62" s="1211">
        <f t="shared" ca="1" si="13"/>
        <v>0</v>
      </c>
      <c r="R62" s="1213">
        <f t="shared" ca="1" si="14"/>
        <v>0</v>
      </c>
      <c r="S62" s="1213">
        <f t="shared" ca="1" si="15"/>
        <v>0</v>
      </c>
      <c r="T62" s="136">
        <f t="shared" ca="1" si="5"/>
        <v>0</v>
      </c>
      <c r="U62" s="861">
        <f t="shared" ca="1" si="6"/>
        <v>0</v>
      </c>
      <c r="V62" s="136" t="b">
        <f ca="1">IF(OR(D62&lt;&gt;"USD",L62="無",M62&lt;&gt;"",K62="高資產",IFERROR(MATCH(B62,換券投組!K:K,0),"N")&lt;&gt;"N",IFERROR(MATCH(B62,換券投組!J:J,0),"N")&lt;&gt;"N"),FALSE,IF($V$1="All",TRUE,IF(K62=$V$1,TRUE,FALSE)))</f>
        <v>1</v>
      </c>
      <c r="W62" s="136">
        <f ca="1">VLOOKUP(A62,'銀行-TSS'!A:AO,41,FALSE)</f>
        <v>95.33</v>
      </c>
      <c r="X62" s="136">
        <f ca="1">VLOOKUP(A62,'銀行-TSS'!A:AP,42,FALSE)</f>
        <v>3.5055000000000001</v>
      </c>
      <c r="Y62" s="1223">
        <f t="shared" ca="1" si="16"/>
        <v>0</v>
      </c>
      <c r="Z62" s="1211">
        <f t="shared" ca="1" si="17"/>
        <v>0</v>
      </c>
      <c r="AA62" s="136">
        <f ca="1">IF(Z62&lt;=0,0,RANK(Z62,Z:Z)+COUNTIF($Z$3:$Z62,Z62)-1)</f>
        <v>0</v>
      </c>
      <c r="AB62" s="1211">
        <f t="shared" ca="1" si="9"/>
        <v>0</v>
      </c>
      <c r="AC62" s="136">
        <f ca="1">IF(AB62&lt;=0,0,RANK(AB62,AB:AB)+COUNTIF($AB$3:$AB62,AB62)-1)</f>
        <v>0</v>
      </c>
      <c r="AD62" s="136">
        <f t="shared" ca="1" si="18"/>
        <v>99999</v>
      </c>
      <c r="AE62" s="136">
        <f ca="1">IF(AD62=99999,0,RANK(AD62,AD:AD,1)+COUNTIF($AD$3:$AD62,AD62)-1)</f>
        <v>0</v>
      </c>
    </row>
    <row r="63" spans="1:31">
      <c r="A63" s="141" t="str">
        <f>'銀行-TSS'!A63</f>
        <v>US88032XAH70</v>
      </c>
      <c r="B63" s="151" t="str">
        <f ca="1">VLOOKUP(A63,'銀行-TSS'!A:B,2,FALSE)</f>
        <v>XFP90</v>
      </c>
      <c r="C63" s="151" t="str">
        <f ca="1">VLOOKUP(B63,bond!B:C,2,FALSE)</f>
        <v>騰訊控股有限公司美元配息債券 3.925% 2038/1/19</v>
      </c>
      <c r="D63" s="95" t="str">
        <f>VLOOKUP(A63,'銀行-TSS'!A:C,3,FALSE)</f>
        <v>USD</v>
      </c>
      <c r="E63" s="90">
        <f ca="1">VLOOKUP(A63,'銀行-TSS'!A:G,7,FALSE)</f>
        <v>13.55</v>
      </c>
      <c r="F63" s="202">
        <f ca="1">VLOOKUP(A63,'銀行-TSS'!A:H,8,FALSE)</f>
        <v>3.925E-2</v>
      </c>
      <c r="G63" s="96">
        <f ca="1">VLOOKUP(A63,'銀行-TSS'!A:K,11,FALSE)</f>
        <v>89.06</v>
      </c>
      <c r="H63" s="1209">
        <f ca="1">VLOOKUP(A63,'銀行-TSS'!A:M,13,FALSE)</f>
        <v>5.2499999999999998E-2</v>
      </c>
      <c r="I63" s="1213">
        <f ca="1">VLOOKUP(A63,'銀行-TSS'!A:N,14,FALSE)</f>
        <v>200000</v>
      </c>
      <c r="J63" s="1213">
        <f ca="1">VLOOKUP(A63,'銀行-TSS'!A:O,15,FALSE)</f>
        <v>1000</v>
      </c>
      <c r="K63" s="136" t="str">
        <f ca="1">VLOOKUP(A63,'銀行-TSS'!A:V,22,FALSE)</f>
        <v>(NPI)非專投</v>
      </c>
      <c r="L63" s="136" t="str">
        <f ca="1">VLOOKUP(A63,'銀行-TSS'!A:AK,37,FALSE)</f>
        <v>有</v>
      </c>
      <c r="M63" s="136" t="str">
        <f ca="1">VLOOKUP(A63,'銀行-TSS'!A:AN,40,FALSE)</f>
        <v/>
      </c>
      <c r="N63" s="1211">
        <f t="shared" ca="1" si="11"/>
        <v>890.6</v>
      </c>
      <c r="O63" s="1211">
        <f t="shared" ca="1" si="12"/>
        <v>178120</v>
      </c>
      <c r="P63" s="1213">
        <f ca="1">IF(AND(換券投組!$D$17&gt;=O63,換券投組!$D$13=D63),I63+INT((換券投組!$D$17-O63)/N63)*J63,0)</f>
        <v>0</v>
      </c>
      <c r="Q63" s="1211">
        <f t="shared" ca="1" si="13"/>
        <v>0</v>
      </c>
      <c r="R63" s="1213">
        <f t="shared" ca="1" si="14"/>
        <v>0</v>
      </c>
      <c r="S63" s="1213">
        <f t="shared" ca="1" si="15"/>
        <v>0</v>
      </c>
      <c r="T63" s="136">
        <f t="shared" ca="1" si="5"/>
        <v>0</v>
      </c>
      <c r="U63" s="861">
        <f t="shared" ca="1" si="6"/>
        <v>0</v>
      </c>
      <c r="V63" s="136" t="b">
        <f ca="1">IF(OR(D63&lt;&gt;"USD",L63="無",M63&lt;&gt;"",K63="高資產",IFERROR(MATCH(B63,換券投組!K:K,0),"N")&lt;&gt;"N",IFERROR(MATCH(B63,換券投組!J:J,0),"N")&lt;&gt;"N"),FALSE,IF($V$1="All",TRUE,IF(K63=$V$1,TRUE,FALSE)))</f>
        <v>1</v>
      </c>
      <c r="W63" s="136">
        <f ca="1">VLOOKUP(A63,'銀行-TSS'!A:AO,41,FALSE)</f>
        <v>84.78</v>
      </c>
      <c r="X63" s="136">
        <f ca="1">VLOOKUP(A63,'銀行-TSS'!A:AP,42,FALSE)</f>
        <v>9.8633000000000006</v>
      </c>
      <c r="Y63" s="1223">
        <f t="shared" ca="1" si="16"/>
        <v>0</v>
      </c>
      <c r="Z63" s="1211">
        <f t="shared" ca="1" si="17"/>
        <v>0</v>
      </c>
      <c r="AA63" s="136">
        <f ca="1">IF(Z63&lt;=0,0,RANK(Z63,Z:Z)+COUNTIF($Z$3:$Z63,Z63)-1)</f>
        <v>0</v>
      </c>
      <c r="AB63" s="1211">
        <f t="shared" ca="1" si="9"/>
        <v>0</v>
      </c>
      <c r="AC63" s="136">
        <f ca="1">IF(AB63&lt;=0,0,RANK(AB63,AB:AB)+COUNTIF($AB$3:$AB63,AB63)-1)</f>
        <v>0</v>
      </c>
      <c r="AD63" s="136">
        <f t="shared" ca="1" si="18"/>
        <v>99999</v>
      </c>
      <c r="AE63" s="136">
        <f ca="1">IF(AD63=99999,0,RANK(AD63,AD:AD,1)+COUNTIF($AD$3:$AD63,AD63)-1)</f>
        <v>0</v>
      </c>
    </row>
    <row r="64" spans="1:31">
      <c r="A64" s="141" t="str">
        <f>'銀行-TSS'!A64</f>
        <v>US00206RDQ20</v>
      </c>
      <c r="B64" s="151" t="str">
        <f ca="1">VLOOKUP(A64,'銀行-TSS'!A:B,2,FALSE)</f>
        <v>XFQ20</v>
      </c>
      <c r="C64" s="151" t="str">
        <f ca="1">VLOOKUP(B64,bond!B:C,2,FALSE)</f>
        <v>AT&amp;T公司美元配息債券 4.25% 2027/3/1</v>
      </c>
      <c r="D64" s="95" t="str">
        <f>VLOOKUP(A64,'銀行-TSS'!A:C,3,FALSE)</f>
        <v>USD</v>
      </c>
      <c r="E64" s="90">
        <f ca="1">VLOOKUP(A64,'銀行-TSS'!A:G,7,FALSE)</f>
        <v>2.66</v>
      </c>
      <c r="F64" s="202">
        <f ca="1">VLOOKUP(A64,'銀行-TSS'!A:H,8,FALSE)</f>
        <v>4.2500000000000003E-2</v>
      </c>
      <c r="G64" s="96">
        <f ca="1">VLOOKUP(A64,'銀行-TSS'!A:K,11,FALSE)</f>
        <v>100.86</v>
      </c>
      <c r="H64" s="1209">
        <f ca="1">VLOOKUP(A64,'銀行-TSS'!A:M,13,FALSE)</f>
        <v>4.48E-2</v>
      </c>
      <c r="I64" s="1213">
        <f ca="1">VLOOKUP(A64,'銀行-TSS'!A:N,14,FALSE)</f>
        <v>10000</v>
      </c>
      <c r="J64" s="1213">
        <f ca="1">VLOOKUP(A64,'銀行-TSS'!A:O,15,FALSE)</f>
        <v>1000</v>
      </c>
      <c r="K64" s="136" t="str">
        <f ca="1">VLOOKUP(A64,'銀行-TSS'!A:V,22,FALSE)</f>
        <v>(PI)專投</v>
      </c>
      <c r="L64" s="136" t="str">
        <f ca="1">VLOOKUP(A64,'銀行-TSS'!A:AK,37,FALSE)</f>
        <v>有</v>
      </c>
      <c r="M64" s="136" t="str">
        <f ca="1">VLOOKUP(A64,'銀行-TSS'!A:AN,40,FALSE)</f>
        <v/>
      </c>
      <c r="N64" s="1211">
        <f t="shared" ca="1" si="11"/>
        <v>1008.6</v>
      </c>
      <c r="O64" s="1211">
        <f t="shared" ca="1" si="12"/>
        <v>10086</v>
      </c>
      <c r="P64" s="1213">
        <f ca="1">IF(AND(換券投組!$D$17&gt;=O64,換券投組!$D$13=D64),I64+INT((換券投組!$D$17-O64)/N64)*J64,0)</f>
        <v>0</v>
      </c>
      <c r="Q64" s="1211">
        <f t="shared" ca="1" si="13"/>
        <v>0</v>
      </c>
      <c r="R64" s="1213">
        <f t="shared" ca="1" si="14"/>
        <v>0</v>
      </c>
      <c r="S64" s="1213">
        <f t="shared" ca="1" si="15"/>
        <v>0</v>
      </c>
      <c r="T64" s="136">
        <f t="shared" ca="1" si="5"/>
        <v>0</v>
      </c>
      <c r="U64" s="861">
        <f t="shared" ca="1" si="6"/>
        <v>0</v>
      </c>
      <c r="V64" s="136" t="b">
        <f ca="1">IF(OR(D64&lt;&gt;"USD",L64="無",M64&lt;&gt;"",K64="高資產",IFERROR(MATCH(B64,換券投組!K:K,0),"N")&lt;&gt;"N",IFERROR(MATCH(B64,換券投組!J:J,0),"N")&lt;&gt;"N"),FALSE,IF($V$1="All",TRUE,IF(K64=$V$1,TRUE,FALSE)))</f>
        <v>1</v>
      </c>
      <c r="W64" s="136">
        <f ca="1">VLOOKUP(A64,'銀行-TSS'!A:AO,41,FALSE)</f>
        <v>98.23</v>
      </c>
      <c r="X64" s="136">
        <f ca="1">VLOOKUP(A64,'銀行-TSS'!A:AP,42,FALSE)</f>
        <v>2.4512999999999998</v>
      </c>
      <c r="Y64" s="1223">
        <f t="shared" ca="1" si="16"/>
        <v>0</v>
      </c>
      <c r="Z64" s="1211">
        <f t="shared" ca="1" si="17"/>
        <v>0</v>
      </c>
      <c r="AA64" s="136">
        <f ca="1">IF(Z64&lt;=0,0,RANK(Z64,Z:Z)+COUNTIF($Z$3:$Z64,Z64)-1)</f>
        <v>0</v>
      </c>
      <c r="AB64" s="1211">
        <f t="shared" ca="1" si="9"/>
        <v>0</v>
      </c>
      <c r="AC64" s="136">
        <f ca="1">IF(AB64&lt;=0,0,RANK(AB64,AB:AB)+COUNTIF($AB$3:$AB64,AB64)-1)</f>
        <v>0</v>
      </c>
      <c r="AD64" s="136">
        <f t="shared" ca="1" si="18"/>
        <v>99999</v>
      </c>
      <c r="AE64" s="136">
        <f ca="1">IF(AD64=99999,0,RANK(AD64,AD:AD,1)+COUNTIF($AD$3:$AD64,AD64)-1)</f>
        <v>0</v>
      </c>
    </row>
    <row r="65" spans="1:31">
      <c r="A65" s="141" t="str">
        <f>'銀行-TSS'!A65</f>
        <v>US06738EAP07</v>
      </c>
      <c r="B65" s="151" t="str">
        <f ca="1">VLOOKUP(A65,'銀行-TSS'!A:B,2,FALSE)</f>
        <v>XFQ50</v>
      </c>
      <c r="C65" s="151" t="str">
        <f ca="1">VLOOKUP(B65,bond!B:C,2,FALSE)</f>
        <v>巴克萊集團美元配息債券 5.2% 2026/5/12</v>
      </c>
      <c r="D65" s="95" t="str">
        <f>VLOOKUP(A65,'銀行-TSS'!A:C,3,FALSE)</f>
        <v>USD</v>
      </c>
      <c r="E65" s="90">
        <f ca="1">VLOOKUP(A65,'銀行-TSS'!A:G,7,FALSE)</f>
        <v>1.86</v>
      </c>
      <c r="F65" s="202">
        <f ca="1">VLOOKUP(A65,'銀行-TSS'!A:H,8,FALSE)</f>
        <v>5.2000000000000005E-2</v>
      </c>
      <c r="G65" s="96">
        <f ca="1">VLOOKUP(A65,'銀行-TSS'!A:K,11,FALSE)</f>
        <v>100.73</v>
      </c>
      <c r="H65" s="1209">
        <f ca="1">VLOOKUP(A65,'銀行-TSS'!A:M,13,FALSE)</f>
        <v>5.1900000000000002E-2</v>
      </c>
      <c r="I65" s="1213">
        <f ca="1">VLOOKUP(A65,'銀行-TSS'!A:N,14,FALSE)</f>
        <v>200000</v>
      </c>
      <c r="J65" s="1213">
        <f ca="1">VLOOKUP(A65,'銀行-TSS'!A:O,15,FALSE)</f>
        <v>1000</v>
      </c>
      <c r="K65" s="136" t="str">
        <f ca="1">VLOOKUP(A65,'銀行-TSS'!A:V,22,FALSE)</f>
        <v>(PI)專投</v>
      </c>
      <c r="L65" s="136" t="str">
        <f ca="1">VLOOKUP(A65,'銀行-TSS'!A:AK,37,FALSE)</f>
        <v>有</v>
      </c>
      <c r="M65" s="136" t="str">
        <f ca="1">VLOOKUP(A65,'銀行-TSS'!A:AN,40,FALSE)</f>
        <v/>
      </c>
      <c r="N65" s="1211">
        <f t="shared" ca="1" si="11"/>
        <v>1007.3</v>
      </c>
      <c r="O65" s="1211">
        <f t="shared" ca="1" si="12"/>
        <v>201460</v>
      </c>
      <c r="P65" s="1213">
        <f ca="1">IF(AND(換券投組!$D$17&gt;=O65,換券投組!$D$13=D65),I65+INT((換券投組!$D$17-O65)/N65)*J65,0)</f>
        <v>0</v>
      </c>
      <c r="Q65" s="1211">
        <f t="shared" ca="1" si="13"/>
        <v>0</v>
      </c>
      <c r="R65" s="1213">
        <f t="shared" ca="1" si="14"/>
        <v>0</v>
      </c>
      <c r="S65" s="1213">
        <f t="shared" ca="1" si="15"/>
        <v>0</v>
      </c>
      <c r="T65" s="136">
        <f t="shared" ca="1" si="5"/>
        <v>0</v>
      </c>
      <c r="U65" s="861">
        <f t="shared" ca="1" si="6"/>
        <v>0</v>
      </c>
      <c r="V65" s="136" t="b">
        <f ca="1">IF(OR(D65&lt;&gt;"USD",L65="無",M65&lt;&gt;"",K65="高資產",IFERROR(MATCH(B65,換券投組!K:K,0),"N")&lt;&gt;"N",IFERROR(MATCH(B65,換券投組!J:J,0),"N")&lt;&gt;"N"),FALSE,IF($V$1="All",TRUE,IF(K65=$V$1,TRUE,FALSE)))</f>
        <v>1</v>
      </c>
      <c r="W65" s="136">
        <f ca="1">VLOOKUP(A65,'銀行-TSS'!A:AO,41,FALSE)</f>
        <v>99.21</v>
      </c>
      <c r="X65" s="136">
        <f ca="1">VLOOKUP(A65,'銀行-TSS'!A:AP,42,FALSE)</f>
        <v>1.7378</v>
      </c>
      <c r="Y65" s="1223">
        <f t="shared" ca="1" si="16"/>
        <v>0</v>
      </c>
      <c r="Z65" s="1211">
        <f t="shared" ca="1" si="17"/>
        <v>0</v>
      </c>
      <c r="AA65" s="136">
        <f ca="1">IF(Z65&lt;=0,0,RANK(Z65,Z:Z)+COUNTIF($Z$3:$Z65,Z65)-1)</f>
        <v>0</v>
      </c>
      <c r="AB65" s="1211">
        <f t="shared" ca="1" si="9"/>
        <v>0</v>
      </c>
      <c r="AC65" s="136">
        <f ca="1">IF(AB65&lt;=0,0,RANK(AB65,AB:AB)+COUNTIF($AB$3:$AB65,AB65)-1)</f>
        <v>0</v>
      </c>
      <c r="AD65" s="136">
        <f t="shared" ca="1" si="18"/>
        <v>99999</v>
      </c>
      <c r="AE65" s="136">
        <f ca="1">IF(AD65=99999,0,RANK(AD65,AD:AD,1)+COUNTIF($AD$3:$AD65,AD65)-1)</f>
        <v>0</v>
      </c>
    </row>
    <row r="66" spans="1:31">
      <c r="A66" s="141" t="str">
        <f>'銀行-TSS'!A66</f>
        <v>US382550BF73</v>
      </c>
      <c r="B66" s="151" t="str">
        <f ca="1">VLOOKUP(A66,'銀行-TSS'!A:B,2,FALSE)</f>
        <v>XFQ60</v>
      </c>
      <c r="C66" s="151" t="str">
        <f ca="1">VLOOKUP(B66,bond!B:C,2,FALSE)</f>
        <v>固特異輪胎橡膠公司美元配息債券 5% 2026/5/31</v>
      </c>
      <c r="D66" s="95" t="str">
        <f>VLOOKUP(A66,'銀行-TSS'!A:C,3,FALSE)</f>
        <v>USD</v>
      </c>
      <c r="E66" s="90">
        <f ca="1">VLOOKUP(A66,'銀行-TSS'!A:G,7,FALSE)</f>
        <v>1.91</v>
      </c>
      <c r="F66" s="202">
        <f ca="1">VLOOKUP(A66,'銀行-TSS'!A:H,8,FALSE)</f>
        <v>0.05</v>
      </c>
      <c r="G66" s="96">
        <f ca="1">VLOOKUP(A66,'銀行-TSS'!A:K,11,FALSE)</f>
        <v>101.25</v>
      </c>
      <c r="H66" s="1209">
        <f ca="1">VLOOKUP(A66,'銀行-TSS'!A:M,13,FALSE)</f>
        <v>4.5499999999999999E-2</v>
      </c>
      <c r="I66" s="1213">
        <f ca="1">VLOOKUP(A66,'銀行-TSS'!A:N,14,FALSE)</f>
        <v>10000</v>
      </c>
      <c r="J66" s="1213">
        <f ca="1">VLOOKUP(A66,'銀行-TSS'!A:O,15,FALSE)</f>
        <v>1000</v>
      </c>
      <c r="K66" s="136" t="str">
        <f ca="1">VLOOKUP(A66,'銀行-TSS'!A:V,22,FALSE)</f>
        <v>高資產</v>
      </c>
      <c r="L66" s="136" t="str">
        <f ca="1">VLOOKUP(A66,'銀行-TSS'!A:AK,37,FALSE)</f>
        <v>有</v>
      </c>
      <c r="M66" s="136" t="str">
        <f ca="1">VLOOKUP(A66,'銀行-TSS'!A:AN,40,FALSE)</f>
        <v>XFQ60</v>
      </c>
      <c r="N66" s="1211">
        <f t="shared" ca="1" si="11"/>
        <v>1012.5</v>
      </c>
      <c r="O66" s="1211">
        <f t="shared" ca="1" si="12"/>
        <v>10125</v>
      </c>
      <c r="P66" s="1213">
        <f ca="1">IF(AND(換券投組!$D$17&gt;=O66,換券投組!$D$13=D66),I66+INT((換券投組!$D$17-O66)/N66)*J66,0)</f>
        <v>0</v>
      </c>
      <c r="Q66" s="1211">
        <f t="shared" ca="1" si="13"/>
        <v>0</v>
      </c>
      <c r="R66" s="1213">
        <f t="shared" ca="1" si="14"/>
        <v>0</v>
      </c>
      <c r="S66" s="1213">
        <f t="shared" ca="1" si="15"/>
        <v>0</v>
      </c>
      <c r="T66" s="136">
        <f t="shared" ca="1" si="5"/>
        <v>0</v>
      </c>
      <c r="U66" s="861">
        <f t="shared" ca="1" si="6"/>
        <v>0</v>
      </c>
      <c r="V66" s="136" t="b">
        <f ca="1">IF(OR(D66&lt;&gt;"USD",L66="無",M66&lt;&gt;"",K66="高資產",IFERROR(MATCH(B66,換券投組!K:K,0),"N")&lt;&gt;"N",IFERROR(MATCH(B66,換券投組!J:J,0),"N")&lt;&gt;"N"),FALSE,IF($V$1="All",TRUE,IF(K66=$V$1,TRUE,FALSE)))</f>
        <v>0</v>
      </c>
      <c r="W66" s="136">
        <f ca="1">VLOOKUP(A66,'銀行-TSS'!A:AO,41,FALSE)</f>
        <v>98.81</v>
      </c>
      <c r="X66" s="136">
        <f ca="1">VLOOKUP(A66,'銀行-TSS'!A:AP,42,FALSE)</f>
        <v>1.7917000000000001</v>
      </c>
      <c r="Y66" s="1223">
        <f t="shared" ca="1" si="16"/>
        <v>0</v>
      </c>
      <c r="Z66" s="1211">
        <f t="shared" ca="1" si="17"/>
        <v>0</v>
      </c>
      <c r="AA66" s="136">
        <f ca="1">IF(Z66&lt;=0,0,RANK(Z66,Z:Z)+COUNTIF($Z$3:$Z66,Z66)-1)</f>
        <v>0</v>
      </c>
      <c r="AB66" s="1211">
        <f t="shared" ca="1" si="9"/>
        <v>0</v>
      </c>
      <c r="AC66" s="136">
        <f ca="1">IF(AB66&lt;=0,0,RANK(AB66,AB:AB)+COUNTIF($AB$3:$AB66,AB66)-1)</f>
        <v>0</v>
      </c>
      <c r="AD66" s="136">
        <f t="shared" ca="1" si="18"/>
        <v>99999</v>
      </c>
      <c r="AE66" s="136">
        <f ca="1">IF(AD66=99999,0,RANK(AD66,AD:AD,1)+COUNTIF($AD$3:$AD66,AD66)-1)</f>
        <v>0</v>
      </c>
    </row>
    <row r="67" spans="1:31">
      <c r="A67" s="141" t="str">
        <f>'銀行-TSS'!A67</f>
        <v>US038222AL98</v>
      </c>
      <c r="B67" s="151" t="str">
        <f ca="1">VLOOKUP(A67,'銀行-TSS'!A:B,2,FALSE)</f>
        <v>XFR10</v>
      </c>
      <c r="C67" s="151" t="str">
        <f ca="1">VLOOKUP(B67,bond!B:C,2,FALSE)</f>
        <v>應用材料公司美元配息債券 3.3% 2027/4/1</v>
      </c>
      <c r="D67" s="95" t="str">
        <f>VLOOKUP(A67,'銀行-TSS'!A:C,3,FALSE)</f>
        <v>USD</v>
      </c>
      <c r="E67" s="90">
        <f ca="1">VLOOKUP(A67,'銀行-TSS'!A:G,7,FALSE)</f>
        <v>2.75</v>
      </c>
      <c r="F67" s="202">
        <f ca="1">VLOOKUP(A67,'銀行-TSS'!A:H,8,FALSE)</f>
        <v>3.3000000000000002E-2</v>
      </c>
      <c r="G67" s="96">
        <f ca="1">VLOOKUP(A67,'銀行-TSS'!A:K,11,FALSE)</f>
        <v>98.570000000000007</v>
      </c>
      <c r="H67" s="1209">
        <f ca="1">VLOOKUP(A67,'銀行-TSS'!A:M,13,FALSE)</f>
        <v>4.1799999999999997E-2</v>
      </c>
      <c r="I67" s="1213">
        <f ca="1">VLOOKUP(A67,'銀行-TSS'!A:N,14,FALSE)</f>
        <v>10000</v>
      </c>
      <c r="J67" s="1213">
        <f ca="1">VLOOKUP(A67,'銀行-TSS'!A:O,15,FALSE)</f>
        <v>1000</v>
      </c>
      <c r="K67" s="136" t="str">
        <f ca="1">VLOOKUP(A67,'銀行-TSS'!A:V,22,FALSE)</f>
        <v>(NPI)非專投</v>
      </c>
      <c r="L67" s="136" t="str">
        <f ca="1">VLOOKUP(A67,'銀行-TSS'!A:AK,37,FALSE)</f>
        <v>有</v>
      </c>
      <c r="M67" s="136" t="str">
        <f ca="1">VLOOKUP(A67,'銀行-TSS'!A:AN,40,FALSE)</f>
        <v/>
      </c>
      <c r="N67" s="1211">
        <f t="shared" ca="1" si="11"/>
        <v>985.70000000000016</v>
      </c>
      <c r="O67" s="1211">
        <f t="shared" ca="1" si="12"/>
        <v>9857.0000000000018</v>
      </c>
      <c r="P67" s="1213">
        <f ca="1">IF(AND(換券投組!$D$17&gt;=O67,換券投組!$D$13=D67),I67+INT((換券投組!$D$17-O67)/N67)*J67,0)</f>
        <v>0</v>
      </c>
      <c r="Q67" s="1211">
        <f t="shared" ca="1" si="13"/>
        <v>0</v>
      </c>
      <c r="R67" s="1213">
        <f t="shared" ca="1" si="14"/>
        <v>0</v>
      </c>
      <c r="S67" s="1213">
        <f t="shared" ca="1" si="15"/>
        <v>0</v>
      </c>
      <c r="T67" s="136">
        <f t="shared" ca="1" si="5"/>
        <v>0</v>
      </c>
      <c r="U67" s="861">
        <f t="shared" ca="1" si="6"/>
        <v>0</v>
      </c>
      <c r="V67" s="136" t="b">
        <f ca="1">IF(OR(D67&lt;&gt;"USD",L67="無",M67&lt;&gt;"",K67="高資產",IFERROR(MATCH(B67,換券投組!K:K,0),"N")&lt;&gt;"N",IFERROR(MATCH(B67,換券投組!J:J,0),"N")&lt;&gt;"N"),FALSE,IF($V$1="All",TRUE,IF(K67=$V$1,TRUE,FALSE)))</f>
        <v>1</v>
      </c>
      <c r="W67" s="136">
        <f ca="1">VLOOKUP(A67,'銀行-TSS'!A:AO,41,FALSE)</f>
        <v>96.54</v>
      </c>
      <c r="X67" s="136">
        <f ca="1">VLOOKUP(A67,'銀行-TSS'!A:AP,42,FALSE)</f>
        <v>2.5676999999999999</v>
      </c>
      <c r="Y67" s="1223">
        <f t="shared" ca="1" si="16"/>
        <v>0</v>
      </c>
      <c r="Z67" s="1211">
        <f t="shared" ca="1" si="17"/>
        <v>0</v>
      </c>
      <c r="AA67" s="136">
        <f ca="1">IF(Z67&lt;=0,0,RANK(Z67,Z:Z)+COUNTIF($Z$3:$Z67,Z67)-1)</f>
        <v>0</v>
      </c>
      <c r="AB67" s="1211">
        <f t="shared" ca="1" si="9"/>
        <v>0</v>
      </c>
      <c r="AC67" s="136">
        <f ca="1">IF(AB67&lt;=0,0,RANK(AB67,AB:AB)+COUNTIF($AB$3:$AB67,AB67)-1)</f>
        <v>0</v>
      </c>
      <c r="AD67" s="136">
        <f t="shared" ca="1" si="18"/>
        <v>99999</v>
      </c>
      <c r="AE67" s="136">
        <f ca="1">IF(AD67=99999,0,RANK(AD67,AD:AD,1)+COUNTIF($AD$3:$AD67,AD67)-1)</f>
        <v>0</v>
      </c>
    </row>
    <row r="68" spans="1:31">
      <c r="A68" s="141" t="str">
        <f>'銀行-TSS'!A68</f>
        <v>US035240AL43</v>
      </c>
      <c r="B68" s="151" t="str">
        <f ca="1">VLOOKUP(A68,'銀行-TSS'!A:B,2,FALSE)</f>
        <v>XFR50</v>
      </c>
      <c r="C68" s="151" t="str">
        <f ca="1">VLOOKUP(B68,bond!B:C,2,FALSE)</f>
        <v>安海斯-布希英博全球公司美元配息 4% 2028/4/13</v>
      </c>
      <c r="D68" s="95" t="str">
        <f>VLOOKUP(A68,'銀行-TSS'!A:C,3,FALSE)</f>
        <v>USD</v>
      </c>
      <c r="E68" s="90">
        <f ca="1">VLOOKUP(A68,'銀行-TSS'!A:G,7,FALSE)</f>
        <v>3.78</v>
      </c>
      <c r="F68" s="202">
        <f ca="1">VLOOKUP(A68,'銀行-TSS'!A:H,8,FALSE)</f>
        <v>0.04</v>
      </c>
      <c r="G68" s="96">
        <f ca="1">VLOOKUP(A68,'銀行-TSS'!A:K,11,FALSE)</f>
        <v>100.13</v>
      </c>
      <c r="H68" s="1209">
        <f ca="1">VLOOKUP(A68,'銀行-TSS'!A:M,13,FALSE)</f>
        <v>4.2200000000000001E-2</v>
      </c>
      <c r="I68" s="1213">
        <f ca="1">VLOOKUP(A68,'銀行-TSS'!A:N,14,FALSE)</f>
        <v>10000</v>
      </c>
      <c r="J68" s="1213">
        <f ca="1">VLOOKUP(A68,'銀行-TSS'!A:O,15,FALSE)</f>
        <v>1000</v>
      </c>
      <c r="K68" s="136" t="str">
        <f ca="1">VLOOKUP(A68,'銀行-TSS'!A:V,22,FALSE)</f>
        <v>(PI)專投</v>
      </c>
      <c r="L68" s="136" t="str">
        <f ca="1">VLOOKUP(A68,'銀行-TSS'!A:AK,37,FALSE)</f>
        <v>有</v>
      </c>
      <c r="M68" s="136" t="str">
        <f ca="1">VLOOKUP(A68,'銀行-TSS'!A:AN,40,FALSE)</f>
        <v/>
      </c>
      <c r="N68" s="1211">
        <f t="shared" ca="1" si="11"/>
        <v>1001.3</v>
      </c>
      <c r="O68" s="1211">
        <f t="shared" ca="1" si="12"/>
        <v>10013</v>
      </c>
      <c r="P68" s="1213">
        <f ca="1">IF(AND(換券投組!$D$17&gt;=O68,換券投組!$D$13=D68),I68+INT((換券投組!$D$17-O68)/N68)*J68,0)</f>
        <v>0</v>
      </c>
      <c r="Q68" s="1211">
        <f t="shared" ca="1" si="13"/>
        <v>0</v>
      </c>
      <c r="R68" s="1213">
        <f t="shared" ca="1" si="14"/>
        <v>0</v>
      </c>
      <c r="S68" s="1213">
        <f t="shared" ca="1" si="15"/>
        <v>0</v>
      </c>
      <c r="T68" s="136">
        <f t="shared" ref="T68:T131" ca="1" si="19">IF(OR(R68=0,A68=0),0,IF(V68=TRUE,E68,0))</f>
        <v>0</v>
      </c>
      <c r="U68" s="861">
        <f t="shared" ref="U68:U131" ca="1" si="20">IF(OR(R68=0,A68=0),0,IF(V68=TRUE,H68,0))</f>
        <v>0</v>
      </c>
      <c r="V68" s="136" t="b">
        <f ca="1">IF(OR(D68&lt;&gt;"USD",L68="無",M68&lt;&gt;"",K68="高資產",IFERROR(MATCH(B68,換券投組!K:K,0),"N")&lt;&gt;"N",IFERROR(MATCH(B68,換券投組!J:J,0),"N")&lt;&gt;"N"),FALSE,IF($V$1="All",TRUE,IF(K68=$V$1,TRUE,FALSE)))</f>
        <v>1</v>
      </c>
      <c r="W68" s="136">
        <f ca="1">VLOOKUP(A68,'銀行-TSS'!A:AO,41,FALSE)</f>
        <v>97.65</v>
      </c>
      <c r="X68" s="136">
        <f ca="1">VLOOKUP(A68,'銀行-TSS'!A:AP,42,FALSE)</f>
        <v>3.4356</v>
      </c>
      <c r="Y68" s="1223">
        <f t="shared" ca="1" si="16"/>
        <v>0</v>
      </c>
      <c r="Z68" s="1211">
        <f t="shared" ca="1" si="17"/>
        <v>0</v>
      </c>
      <c r="AA68" s="136">
        <f ca="1">IF(Z68&lt;=0,0,RANK(Z68,Z:Z)+COUNTIF($Z$3:$Z68,Z68)-1)</f>
        <v>0</v>
      </c>
      <c r="AB68" s="1211">
        <f t="shared" ref="AB68:AB131" ca="1" si="21">IF(A68=0,0,IF(V68=FALSE,0,Y68+IF((P68-$P$1)&lt;0,(P68-$P$1)*0.5,0)))-$AC$1</f>
        <v>0</v>
      </c>
      <c r="AC68" s="136">
        <f ca="1">IF(AB68&lt;=0,0,RANK(AB68,AB:AB)+COUNTIF($AB$3:$AB68,AB68)-1)</f>
        <v>0</v>
      </c>
      <c r="AD68" s="136">
        <f t="shared" ca="1" si="18"/>
        <v>99999</v>
      </c>
      <c r="AE68" s="136">
        <f ca="1">IF(AD68=99999,0,RANK(AD68,AD:AD,1)+COUNTIF($AD$3:$AD68,AD68)-1)</f>
        <v>0</v>
      </c>
    </row>
    <row r="69" spans="1:31">
      <c r="A69" s="141" t="str">
        <f>'銀行-TSS'!A69</f>
        <v>US00287YAY59</v>
      </c>
      <c r="B69" s="151" t="str">
        <f ca="1">VLOOKUP(A69,'銀行-TSS'!A:B,2,FALSE)</f>
        <v>XFR80</v>
      </c>
      <c r="C69" s="151" t="str">
        <f ca="1">VLOOKUP(B69,bond!B:C,2,FALSE)</f>
        <v>艾伯維藥品有限公司美元配息債券 3.2% 2026/5/14</v>
      </c>
      <c r="D69" s="95" t="str">
        <f>VLOOKUP(A69,'銀行-TSS'!A:C,3,FALSE)</f>
        <v>USD</v>
      </c>
      <c r="E69" s="90">
        <f ca="1">VLOOKUP(A69,'銀行-TSS'!A:G,7,FALSE)</f>
        <v>1.86</v>
      </c>
      <c r="F69" s="202">
        <f ca="1">VLOOKUP(A69,'銀行-TSS'!A:H,8,FALSE)</f>
        <v>3.2000000000000001E-2</v>
      </c>
      <c r="G69" s="96">
        <f ca="1">VLOOKUP(A69,'銀行-TSS'!A:K,11,FALSE)</f>
        <v>98.17</v>
      </c>
      <c r="H69" s="1209">
        <f ca="1">VLOOKUP(A69,'銀行-TSS'!A:M,13,FALSE)</f>
        <v>4.4699999999999997E-2</v>
      </c>
      <c r="I69" s="1213">
        <f ca="1">VLOOKUP(A69,'銀行-TSS'!A:N,14,FALSE)</f>
        <v>10000</v>
      </c>
      <c r="J69" s="1213">
        <f ca="1">VLOOKUP(A69,'銀行-TSS'!A:O,15,FALSE)</f>
        <v>1000</v>
      </c>
      <c r="K69" s="136" t="str">
        <f ca="1">VLOOKUP(A69,'銀行-TSS'!A:V,22,FALSE)</f>
        <v>(NPI)非專投</v>
      </c>
      <c r="L69" s="136" t="str">
        <f ca="1">VLOOKUP(A69,'銀行-TSS'!A:AK,37,FALSE)</f>
        <v>有</v>
      </c>
      <c r="M69" s="136" t="str">
        <f ca="1">VLOOKUP(A69,'銀行-TSS'!A:AN,40,FALSE)</f>
        <v/>
      </c>
      <c r="N69" s="1211">
        <f t="shared" ca="1" si="11"/>
        <v>981.7</v>
      </c>
      <c r="O69" s="1211">
        <f t="shared" ca="1" si="12"/>
        <v>9817</v>
      </c>
      <c r="P69" s="1213">
        <f ca="1">IF(AND(換券投組!$D$17&gt;=O69,換券投組!$D$13=D69),I69+INT((換券投組!$D$17-O69)/N69)*J69,0)</f>
        <v>0</v>
      </c>
      <c r="Q69" s="1211">
        <f t="shared" ca="1" si="13"/>
        <v>0</v>
      </c>
      <c r="R69" s="1213">
        <f t="shared" ca="1" si="14"/>
        <v>0</v>
      </c>
      <c r="S69" s="1213">
        <f t="shared" ca="1" si="15"/>
        <v>0</v>
      </c>
      <c r="T69" s="136">
        <f t="shared" ca="1" si="19"/>
        <v>0</v>
      </c>
      <c r="U69" s="861">
        <f t="shared" ca="1" si="20"/>
        <v>0</v>
      </c>
      <c r="V69" s="136" t="b">
        <f ca="1">IF(OR(D69&lt;&gt;"USD",L69="無",M69&lt;&gt;"",K69="高資產",IFERROR(MATCH(B69,換券投組!K:K,0),"N")&lt;&gt;"N",IFERROR(MATCH(B69,換券投組!J:J,0),"N")&lt;&gt;"N"),FALSE,IF($V$1="All",TRUE,IF(K69=$V$1,TRUE,FALSE)))</f>
        <v>1</v>
      </c>
      <c r="W69" s="136">
        <f ca="1">VLOOKUP(A69,'銀行-TSS'!A:AO,41,FALSE)</f>
        <v>96.940000000000012</v>
      </c>
      <c r="X69" s="136">
        <f ca="1">VLOOKUP(A69,'銀行-TSS'!A:AP,42,FALSE)</f>
        <v>1.7762</v>
      </c>
      <c r="Y69" s="1223">
        <f t="shared" ca="1" si="16"/>
        <v>0</v>
      </c>
      <c r="Z69" s="1211">
        <f t="shared" ca="1" si="17"/>
        <v>0</v>
      </c>
      <c r="AA69" s="136">
        <f ca="1">IF(Z69&lt;=0,0,RANK(Z69,Z:Z)+COUNTIF($Z$3:$Z69,Z69)-1)</f>
        <v>0</v>
      </c>
      <c r="AB69" s="1211">
        <f t="shared" ca="1" si="21"/>
        <v>0</v>
      </c>
      <c r="AC69" s="136">
        <f ca="1">IF(AB69&lt;=0,0,RANK(AB69,AB:AB)+COUNTIF($AB$3:$AB69,AB69)-1)</f>
        <v>0</v>
      </c>
      <c r="AD69" s="136">
        <f t="shared" ca="1" si="18"/>
        <v>99999</v>
      </c>
      <c r="AE69" s="136">
        <f ca="1">IF(AD69=99999,0,RANK(AD69,AD:AD,1)+COUNTIF($AD$3:$AD69,AD69)-1)</f>
        <v>0</v>
      </c>
    </row>
    <row r="70" spans="1:31">
      <c r="A70" s="141" t="str">
        <f>'銀行-TSS'!A70</f>
        <v>US06738EAU91</v>
      </c>
      <c r="B70" s="151" t="str">
        <f ca="1">VLOOKUP(A70,'銀行-TSS'!A:B,2,FALSE)</f>
        <v>XFS30</v>
      </c>
      <c r="C70" s="151" t="str">
        <f ca="1">VLOOKUP(B70,bond!B:C,2,FALSE)</f>
        <v>巴克萊集團美元配息債券 4.337% 2028/1/10</v>
      </c>
      <c r="D70" s="95" t="str">
        <f>VLOOKUP(A70,'銀行-TSS'!A:C,3,FALSE)</f>
        <v>USD</v>
      </c>
      <c r="E70" s="90">
        <f ca="1">VLOOKUP(A70,'銀行-TSS'!A:G,7,FALSE)</f>
        <v>3.52</v>
      </c>
      <c r="F70" s="202">
        <f ca="1">VLOOKUP(A70,'銀行-TSS'!A:H,8,FALSE)</f>
        <v>4.3369999999999999E-2</v>
      </c>
      <c r="G70" s="96">
        <f ca="1">VLOOKUP(A70,'銀行-TSS'!A:K,11,FALSE)</f>
        <v>100.3</v>
      </c>
      <c r="H70" s="1209">
        <f ca="1">VLOOKUP(A70,'銀行-TSS'!A:M,13,FALSE)</f>
        <v>4.8899999999999999E-2</v>
      </c>
      <c r="I70" s="1213">
        <f ca="1">VLOOKUP(A70,'銀行-TSS'!A:N,14,FALSE)</f>
        <v>200000</v>
      </c>
      <c r="J70" s="1213">
        <f ca="1">VLOOKUP(A70,'銀行-TSS'!A:O,15,FALSE)</f>
        <v>1000</v>
      </c>
      <c r="K70" s="136" t="str">
        <f ca="1">VLOOKUP(A70,'銀行-TSS'!A:V,22,FALSE)</f>
        <v>(PI)專投</v>
      </c>
      <c r="L70" s="136" t="str">
        <f ca="1">VLOOKUP(A70,'銀行-TSS'!A:AK,37,FALSE)</f>
        <v>有</v>
      </c>
      <c r="M70" s="136" t="str">
        <f ca="1">VLOOKUP(A70,'銀行-TSS'!A:AN,40,FALSE)</f>
        <v/>
      </c>
      <c r="N70" s="1211">
        <f t="shared" ca="1" si="11"/>
        <v>1003</v>
      </c>
      <c r="O70" s="1211">
        <f t="shared" ca="1" si="12"/>
        <v>200600</v>
      </c>
      <c r="P70" s="1213">
        <f ca="1">IF(AND(換券投組!$D$17&gt;=O70,換券投組!$D$13=D70),I70+INT((換券投組!$D$17-O70)/N70)*J70,0)</f>
        <v>0</v>
      </c>
      <c r="Q70" s="1211">
        <f t="shared" ca="1" si="13"/>
        <v>0</v>
      </c>
      <c r="R70" s="1213">
        <f t="shared" ca="1" si="14"/>
        <v>0</v>
      </c>
      <c r="S70" s="1213">
        <f t="shared" ca="1" si="15"/>
        <v>0</v>
      </c>
      <c r="T70" s="136">
        <f t="shared" ca="1" si="19"/>
        <v>0</v>
      </c>
      <c r="U70" s="861">
        <f t="shared" ca="1" si="20"/>
        <v>0</v>
      </c>
      <c r="V70" s="136" t="b">
        <f ca="1">IF(OR(D70&lt;&gt;"USD",L70="無",M70&lt;&gt;"",K70="高資產",IFERROR(MATCH(B70,換券投組!K:K,0),"N")&lt;&gt;"N",IFERROR(MATCH(B70,換券投組!J:J,0),"N")&lt;&gt;"N"),FALSE,IF($V$1="All",TRUE,IF(K70=$V$1,TRUE,FALSE)))</f>
        <v>1</v>
      </c>
      <c r="W70" s="136">
        <f ca="1">VLOOKUP(A70,'銀行-TSS'!A:AO,41,FALSE)</f>
        <v>96.73</v>
      </c>
      <c r="X70" s="136">
        <f ca="1">VLOOKUP(A70,'銀行-TSS'!A:AP,42,FALSE)</f>
        <v>3.1496</v>
      </c>
      <c r="Y70" s="1223">
        <f t="shared" ca="1" si="16"/>
        <v>0</v>
      </c>
      <c r="Z70" s="1211">
        <f t="shared" ca="1" si="17"/>
        <v>0</v>
      </c>
      <c r="AA70" s="136">
        <f ca="1">IF(Z70&lt;=0,0,RANK(Z70,Z:Z)+COUNTIF($Z$3:$Z70,Z70)-1)</f>
        <v>0</v>
      </c>
      <c r="AB70" s="1211">
        <f t="shared" ca="1" si="21"/>
        <v>0</v>
      </c>
      <c r="AC70" s="136">
        <f ca="1">IF(AB70&lt;=0,0,RANK(AB70,AB:AB)+COUNTIF($AB$3:$AB70,AB70)-1)</f>
        <v>0</v>
      </c>
      <c r="AD70" s="136">
        <f t="shared" ca="1" si="18"/>
        <v>99999</v>
      </c>
      <c r="AE70" s="136">
        <f ca="1">IF(AD70=99999,0,RANK(AD70,AD:AD,1)+COUNTIF($AD$3:$AD70,AD70)-1)</f>
        <v>0</v>
      </c>
    </row>
    <row r="71" spans="1:31">
      <c r="A71" s="141" t="str">
        <f>'銀行-TSS'!A71</f>
        <v>US958102AM75</v>
      </c>
      <c r="B71" s="151" t="str">
        <f ca="1">VLOOKUP(A71,'銀行-TSS'!A:B,2,FALSE)</f>
        <v>XFS40 </v>
      </c>
      <c r="C71" s="151" t="str">
        <f ca="1">VLOOKUP(B71,bond!B:C,2,FALSE)</f>
        <v>威騰電子公司美元配息債券 4.75% 2026/2/15</v>
      </c>
      <c r="D71" s="95" t="str">
        <f>VLOOKUP(A71,'銀行-TSS'!A:C,3,FALSE)</f>
        <v>USD</v>
      </c>
      <c r="E71" s="90">
        <f ca="1">VLOOKUP(A71,'銀行-TSS'!A:G,7,FALSE)</f>
        <v>1.62</v>
      </c>
      <c r="F71" s="202">
        <f ca="1">VLOOKUP(A71,'銀行-TSS'!A:H,8,FALSE)</f>
        <v>4.7500000000000001E-2</v>
      </c>
      <c r="G71" s="96">
        <f ca="1">VLOOKUP(A71,'銀行-TSS'!A:K,11,FALSE)</f>
        <v>102.1</v>
      </c>
      <c r="H71" s="1209">
        <f ca="1">VLOOKUP(A71,'銀行-TSS'!A:M,13,FALSE)</f>
        <v>4.5600000000000002E-2</v>
      </c>
      <c r="I71" s="1213">
        <f ca="1">VLOOKUP(A71,'銀行-TSS'!A:N,14,FALSE)</f>
        <v>10000</v>
      </c>
      <c r="J71" s="1213">
        <f ca="1">VLOOKUP(A71,'銀行-TSS'!A:O,15,FALSE)</f>
        <v>1000</v>
      </c>
      <c r="K71" s="136" t="str">
        <f ca="1">VLOOKUP(A71,'銀行-TSS'!A:V,22,FALSE)</f>
        <v>(PI)專投</v>
      </c>
      <c r="L71" s="136" t="str">
        <f ca="1">VLOOKUP(A71,'銀行-TSS'!A:AK,37,FALSE)</f>
        <v>有</v>
      </c>
      <c r="M71" s="136" t="str">
        <f ca="1">VLOOKUP(A71,'銀行-TSS'!A:AN,40,FALSE)</f>
        <v>XFS40 </v>
      </c>
      <c r="N71" s="1211">
        <f t="shared" ca="1" si="11"/>
        <v>1021</v>
      </c>
      <c r="O71" s="1211">
        <f t="shared" ca="1" si="12"/>
        <v>10210</v>
      </c>
      <c r="P71" s="1213">
        <f ca="1">IF(AND(換券投組!$D$17&gt;=O71,換券投組!$D$13=D71),I71+INT((換券投組!$D$17-O71)/N71)*J71,0)</f>
        <v>0</v>
      </c>
      <c r="Q71" s="1211">
        <f t="shared" ca="1" si="13"/>
        <v>0</v>
      </c>
      <c r="R71" s="1213">
        <f t="shared" ca="1" si="14"/>
        <v>0</v>
      </c>
      <c r="S71" s="1213">
        <f t="shared" ca="1" si="15"/>
        <v>0</v>
      </c>
      <c r="T71" s="136">
        <f t="shared" ca="1" si="19"/>
        <v>0</v>
      </c>
      <c r="U71" s="861">
        <f t="shared" ca="1" si="20"/>
        <v>0</v>
      </c>
      <c r="V71" s="136" t="b">
        <f ca="1">IF(OR(D71&lt;&gt;"USD",L71="無",M71&lt;&gt;"",K71="高資產",IFERROR(MATCH(B71,換券投組!K:K,0),"N")&lt;&gt;"N",IFERROR(MATCH(B71,換券投組!J:J,0),"N")&lt;&gt;"N"),FALSE,IF($V$1="All",TRUE,IF(K71=$V$1,TRUE,FALSE)))</f>
        <v>0</v>
      </c>
      <c r="W71" s="136">
        <f ca="1">VLOOKUP(A71,'銀行-TSS'!A:AO,41,FALSE)</f>
        <v>98.29</v>
      </c>
      <c r="X71" s="136">
        <f ca="1">VLOOKUP(A71,'銀行-TSS'!A:AP,42,FALSE)</f>
        <v>1.5101</v>
      </c>
      <c r="Y71" s="1223">
        <f t="shared" ca="1" si="16"/>
        <v>0</v>
      </c>
      <c r="Z71" s="1211">
        <f t="shared" ca="1" si="17"/>
        <v>0</v>
      </c>
      <c r="AA71" s="136">
        <f ca="1">IF(Z71&lt;=0,0,RANK(Z71,Z:Z)+COUNTIF($Z$3:$Z71,Z71)-1)</f>
        <v>0</v>
      </c>
      <c r="AB71" s="1211">
        <f t="shared" ca="1" si="21"/>
        <v>0</v>
      </c>
      <c r="AC71" s="136">
        <f ca="1">IF(AB71&lt;=0,0,RANK(AB71,AB:AB)+COUNTIF($AB$3:$AB71,AB71)-1)</f>
        <v>0</v>
      </c>
      <c r="AD71" s="136">
        <f t="shared" ca="1" si="18"/>
        <v>99999</v>
      </c>
      <c r="AE71" s="136">
        <f ca="1">IF(AD71=99999,0,RANK(AD71,AD:AD,1)+COUNTIF($AD$3:$AD71,AD71)-1)</f>
        <v>0</v>
      </c>
    </row>
    <row r="72" spans="1:31">
      <c r="A72" s="141" t="str">
        <f>'銀行-TSS'!A72</f>
        <v>XS1891687300</v>
      </c>
      <c r="B72" s="151" t="str">
        <f ca="1">VLOOKUP(A72,'銀行-TSS'!A:B,2,FALSE)</f>
        <v>XFS80</v>
      </c>
      <c r="C72" s="151" t="str">
        <f ca="1">VLOOKUP(B72,bond!B:C,2,FALSE)</f>
        <v>鴻海子公司美元配息債券 4.25% 2029/3/12</v>
      </c>
      <c r="D72" s="95" t="str">
        <f>VLOOKUP(A72,'銀行-TSS'!A:C,3,FALSE)</f>
        <v>USD</v>
      </c>
      <c r="E72" s="90">
        <f ca="1">VLOOKUP(A72,'銀行-TSS'!A:G,7,FALSE)</f>
        <v>4.6900000000000004</v>
      </c>
      <c r="F72" s="202">
        <f ca="1">VLOOKUP(A72,'銀行-TSS'!A:H,8,FALSE)</f>
        <v>4.2500000000000003E-2</v>
      </c>
      <c r="G72" s="96">
        <f ca="1">VLOOKUP(A72,'銀行-TSS'!A:K,11,FALSE)</f>
        <v>100.6</v>
      </c>
      <c r="H72" s="1209">
        <f ca="1">VLOOKUP(A72,'銀行-TSS'!A:M,13,FALSE)</f>
        <v>4.4200000000000003E-2</v>
      </c>
      <c r="I72" s="1213">
        <f ca="1">VLOOKUP(A72,'銀行-TSS'!A:N,14,FALSE)</f>
        <v>200000</v>
      </c>
      <c r="J72" s="1213">
        <f ca="1">VLOOKUP(A72,'銀行-TSS'!A:O,15,FALSE)</f>
        <v>1000</v>
      </c>
      <c r="K72" s="136" t="str">
        <f ca="1">VLOOKUP(A72,'銀行-TSS'!A:V,22,FALSE)</f>
        <v>(NPI)非專投</v>
      </c>
      <c r="L72" s="136" t="str">
        <f ca="1">VLOOKUP(A72,'銀行-TSS'!A:AK,37,FALSE)</f>
        <v>需查詢</v>
      </c>
      <c r="M72" s="136" t="str">
        <f ca="1">VLOOKUP(A72,'銀行-TSS'!A:AN,40,FALSE)</f>
        <v/>
      </c>
      <c r="N72" s="1211">
        <f t="shared" ca="1" si="11"/>
        <v>1006</v>
      </c>
      <c r="O72" s="1211">
        <f t="shared" ca="1" si="12"/>
        <v>201200</v>
      </c>
      <c r="P72" s="1213">
        <f ca="1">IF(AND(換券投組!$D$17&gt;=O72,換券投組!$D$13=D72),I72+INT((換券投組!$D$17-O72)/N72)*J72,0)</f>
        <v>0</v>
      </c>
      <c r="Q72" s="1211">
        <f t="shared" ca="1" si="13"/>
        <v>0</v>
      </c>
      <c r="R72" s="1213">
        <f t="shared" ca="1" si="14"/>
        <v>0</v>
      </c>
      <c r="S72" s="1213">
        <f t="shared" ca="1" si="15"/>
        <v>0</v>
      </c>
      <c r="T72" s="136">
        <f t="shared" ca="1" si="19"/>
        <v>0</v>
      </c>
      <c r="U72" s="861">
        <f t="shared" ca="1" si="20"/>
        <v>0</v>
      </c>
      <c r="V72" s="136" t="b">
        <f ca="1">IF(OR(D72&lt;&gt;"USD",L72="無",M72&lt;&gt;"",K72="高資產",IFERROR(MATCH(B72,換券投組!K:K,0),"N")&lt;&gt;"N",IFERROR(MATCH(B72,換券投組!J:J,0),"N")&lt;&gt;"N"),FALSE,IF($V$1="All",TRUE,IF(K72=$V$1,TRUE,FALSE)))</f>
        <v>1</v>
      </c>
      <c r="W72" s="136">
        <f ca="1">VLOOKUP(A72,'銀行-TSS'!A:AO,41,FALSE)</f>
        <v>97.29</v>
      </c>
      <c r="X72" s="136">
        <f ca="1">VLOOKUP(A72,'銀行-TSS'!A:AP,42,FALSE)</f>
        <v>4.1418999999999997</v>
      </c>
      <c r="Y72" s="1223">
        <f t="shared" ca="1" si="16"/>
        <v>0</v>
      </c>
      <c r="Z72" s="1211">
        <f t="shared" ca="1" si="17"/>
        <v>0</v>
      </c>
      <c r="AA72" s="136">
        <f ca="1">IF(Z72&lt;=0,0,RANK(Z72,Z:Z)+COUNTIF($Z$3:$Z72,Z72)-1)</f>
        <v>0</v>
      </c>
      <c r="AB72" s="1211">
        <f t="shared" ca="1" si="21"/>
        <v>0</v>
      </c>
      <c r="AC72" s="136">
        <f ca="1">IF(AB72&lt;=0,0,RANK(AB72,AB:AB)+COUNTIF($AB$3:$AB72,AB72)-1)</f>
        <v>0</v>
      </c>
      <c r="AD72" s="136">
        <f t="shared" ca="1" si="18"/>
        <v>99999</v>
      </c>
      <c r="AE72" s="136">
        <f ca="1">IF(AD72=99999,0,RANK(AD72,AD:AD,1)+COUNTIF($AD$3:$AD72,AD72)-1)</f>
        <v>0</v>
      </c>
    </row>
    <row r="73" spans="1:31">
      <c r="A73" s="141" t="str">
        <f>'銀行-TSS'!A73</f>
        <v>USU07265AF50</v>
      </c>
      <c r="B73" s="151" t="str">
        <f ca="1">VLOOKUP(A73,'銀行-TSS'!A:B,2,FALSE)</f>
        <v>XFS50</v>
      </c>
      <c r="C73" s="151" t="str">
        <f ca="1">VLOOKUP(B73,bond!B:C,2,FALSE)</f>
        <v>拜耳金融公司美元配息債券 4.375% 2028/12/15</v>
      </c>
      <c r="D73" s="95" t="str">
        <f>VLOOKUP(A73,'銀行-TSS'!A:C,3,FALSE)</f>
        <v>USD</v>
      </c>
      <c r="E73" s="90">
        <f ca="1">VLOOKUP(A73,'銀行-TSS'!A:G,7,FALSE)</f>
        <v>4.45</v>
      </c>
      <c r="F73" s="202">
        <f ca="1">VLOOKUP(A73,'銀行-TSS'!A:H,8,FALSE)</f>
        <v>4.3749999999999997E-2</v>
      </c>
      <c r="G73" s="96">
        <f ca="1">VLOOKUP(A73,'銀行-TSS'!A:K,11,FALSE)</f>
        <v>96.98</v>
      </c>
      <c r="H73" s="1209">
        <f ca="1">VLOOKUP(A73,'銀行-TSS'!A:M,13,FALSE)</f>
        <v>5.1999999999999998E-2</v>
      </c>
      <c r="I73" s="1213">
        <f ca="1">VLOOKUP(A73,'銀行-TSS'!A:N,14,FALSE)</f>
        <v>200000</v>
      </c>
      <c r="J73" s="1213">
        <f ca="1">VLOOKUP(A73,'銀行-TSS'!A:O,15,FALSE)</f>
        <v>1000</v>
      </c>
      <c r="K73" s="136" t="str">
        <f ca="1">VLOOKUP(A73,'銀行-TSS'!A:V,22,FALSE)</f>
        <v>(PI)專投</v>
      </c>
      <c r="L73" s="136" t="str">
        <f ca="1">VLOOKUP(A73,'銀行-TSS'!A:AK,37,FALSE)</f>
        <v>有</v>
      </c>
      <c r="M73" s="136" t="str">
        <f ca="1">VLOOKUP(A73,'銀行-TSS'!A:AN,40,FALSE)</f>
        <v/>
      </c>
      <c r="N73" s="1211">
        <f t="shared" ca="1" si="11"/>
        <v>969.8</v>
      </c>
      <c r="O73" s="1211">
        <f t="shared" ca="1" si="12"/>
        <v>193960</v>
      </c>
      <c r="P73" s="1213">
        <f ca="1">IF(AND(換券投組!$D$17&gt;=O73,換券投組!$D$13=D73),I73+INT((換券投組!$D$17-O73)/N73)*J73,0)</f>
        <v>0</v>
      </c>
      <c r="Q73" s="1211">
        <f t="shared" ca="1" si="13"/>
        <v>0</v>
      </c>
      <c r="R73" s="1213">
        <f t="shared" ca="1" si="14"/>
        <v>0</v>
      </c>
      <c r="S73" s="1213">
        <f t="shared" ca="1" si="15"/>
        <v>0</v>
      </c>
      <c r="T73" s="136">
        <f t="shared" ca="1" si="19"/>
        <v>0</v>
      </c>
      <c r="U73" s="861">
        <f t="shared" ca="1" si="20"/>
        <v>0</v>
      </c>
      <c r="V73" s="136" t="b">
        <f ca="1">IF(OR(D73&lt;&gt;"USD",L73="無",M73&lt;&gt;"",K73="高資產",IFERROR(MATCH(B73,換券投組!K:K,0),"N")&lt;&gt;"N",IFERROR(MATCH(B73,換券投組!J:J,0),"N")&lt;&gt;"N"),FALSE,IF($V$1="All",TRUE,IF(K73=$V$1,TRUE,FALSE)))</f>
        <v>1</v>
      </c>
      <c r="W73" s="136">
        <f ca="1">VLOOKUP(A73,'銀行-TSS'!A:AO,41,FALSE)</f>
        <v>95.27000000000001</v>
      </c>
      <c r="X73" s="136">
        <f ca="1">VLOOKUP(A73,'銀行-TSS'!A:AP,42,FALSE)</f>
        <v>3.9676999999999998</v>
      </c>
      <c r="Y73" s="1223">
        <f t="shared" ca="1" si="16"/>
        <v>0</v>
      </c>
      <c r="Z73" s="1211">
        <f t="shared" ca="1" si="17"/>
        <v>0</v>
      </c>
      <c r="AA73" s="136">
        <f ca="1">IF(Z73&lt;=0,0,RANK(Z73,Z:Z)+COUNTIF($Z$3:$Z73,Z73)-1)</f>
        <v>0</v>
      </c>
      <c r="AB73" s="1211">
        <f t="shared" ca="1" si="21"/>
        <v>0</v>
      </c>
      <c r="AC73" s="136">
        <f ca="1">IF(AB73&lt;=0,0,RANK(AB73,AB:AB)+COUNTIF($AB$3:$AB73,AB73)-1)</f>
        <v>0</v>
      </c>
      <c r="AD73" s="136">
        <f t="shared" ca="1" si="18"/>
        <v>99999</v>
      </c>
      <c r="AE73" s="136">
        <f ca="1">IF(AD73=99999,0,RANK(AD73,AD:AD,1)+COUNTIF($AD$3:$AD73,AD73)-1)</f>
        <v>0</v>
      </c>
    </row>
    <row r="74" spans="1:31">
      <c r="A74" s="141" t="str">
        <f>'銀行-TSS'!A74</f>
        <v>US92857WBK53</v>
      </c>
      <c r="B74" s="151" t="str">
        <f ca="1">VLOOKUP(A74,'銀行-TSS'!A:B,2,FALSE)</f>
        <v>XFS60</v>
      </c>
      <c r="C74" s="151" t="str">
        <f ca="1">VLOOKUP(B74,bond!B:C,2,FALSE)</f>
        <v>伏得風集團美元配息債券 4.375% 2028/5/30</v>
      </c>
      <c r="D74" s="95" t="str">
        <f>VLOOKUP(A74,'銀行-TSS'!A:C,3,FALSE)</f>
        <v>USD</v>
      </c>
      <c r="E74" s="90">
        <f ca="1">VLOOKUP(A74,'銀行-TSS'!A:G,7,FALSE)</f>
        <v>3.91</v>
      </c>
      <c r="F74" s="202">
        <f ca="1">VLOOKUP(A74,'銀行-TSS'!A:H,8,FALSE)</f>
        <v>4.3749999999999997E-2</v>
      </c>
      <c r="G74" s="96">
        <f ca="1">VLOOKUP(A74,'銀行-TSS'!A:K,11,FALSE)</f>
        <v>100.31</v>
      </c>
      <c r="H74" s="1209">
        <f ca="1">VLOOKUP(A74,'銀行-TSS'!A:M,13,FALSE)</f>
        <v>4.3999999999999997E-2</v>
      </c>
      <c r="I74" s="1213">
        <f ca="1">VLOOKUP(A74,'銀行-TSS'!A:N,14,FALSE)</f>
        <v>10000</v>
      </c>
      <c r="J74" s="1213">
        <f ca="1">VLOOKUP(A74,'銀行-TSS'!A:O,15,FALSE)</f>
        <v>1000</v>
      </c>
      <c r="K74" s="136" t="str">
        <f ca="1">VLOOKUP(A74,'銀行-TSS'!A:V,22,FALSE)</f>
        <v>(PI)專投</v>
      </c>
      <c r="L74" s="136" t="str">
        <f ca="1">VLOOKUP(A74,'銀行-TSS'!A:AK,37,FALSE)</f>
        <v>需查詢</v>
      </c>
      <c r="M74" s="136" t="str">
        <f ca="1">VLOOKUP(A74,'銀行-TSS'!A:AN,40,FALSE)</f>
        <v/>
      </c>
      <c r="N74" s="1211">
        <f t="shared" ref="N74:N137" ca="1" si="22">G74*J74/100</f>
        <v>1003.1</v>
      </c>
      <c r="O74" s="1211">
        <f t="shared" ref="O74:O137" ca="1" si="23">G74*I74/100</f>
        <v>10031</v>
      </c>
      <c r="P74" s="1213">
        <f ca="1">IF(AND(換券投組!$D$17&gt;=O74,換券投組!$D$13=D74),I74+INT((換券投組!$D$17-O74)/N74)*J74,0)</f>
        <v>0</v>
      </c>
      <c r="Q74" s="1211">
        <f t="shared" ref="Q74:Q137" ca="1" si="24">P74*F74</f>
        <v>0</v>
      </c>
      <c r="R74" s="1213">
        <f t="shared" ref="R74:R137" ca="1" si="25">IF(A74=0,0,IF(V74=FALSE,0,P74))</f>
        <v>0</v>
      </c>
      <c r="S74" s="1213">
        <f t="shared" ref="S74:S137" ca="1" si="26">IF(A74=0,0,IF(V74=FALSE,0,Q74))</f>
        <v>0</v>
      </c>
      <c r="T74" s="136">
        <f t="shared" ca="1" si="19"/>
        <v>0</v>
      </c>
      <c r="U74" s="861">
        <f t="shared" ca="1" si="20"/>
        <v>0</v>
      </c>
      <c r="V74" s="136" t="b">
        <f ca="1">IF(OR(D74&lt;&gt;"USD",L74="無",M74&lt;&gt;"",K74="高資產",IFERROR(MATCH(B74,換券投組!K:K,0),"N")&lt;&gt;"N",IFERROR(MATCH(B74,換券投組!J:J,0),"N")&lt;&gt;"N"),FALSE,IF($V$1="All",TRUE,IF(K74=$V$1,TRUE,FALSE)))</f>
        <v>1</v>
      </c>
      <c r="W74" s="136">
        <f ca="1">VLOOKUP(A74,'銀行-TSS'!A:AO,41,FALSE)</f>
        <v>98.42</v>
      </c>
      <c r="X74" s="136">
        <f ca="1">VLOOKUP(A74,'銀行-TSS'!A:AP,42,FALSE)</f>
        <v>3.5390000000000001</v>
      </c>
      <c r="Y74" s="1223">
        <f t="shared" ref="Y74:Y137" ca="1" si="27">IF(A74=0,0,IF(V74=FALSE,0,IFERROR(W74/100*P74*X74*1%,0)))</f>
        <v>0</v>
      </c>
      <c r="Z74" s="1211">
        <f t="shared" ref="Z74:Z137" ca="1" si="28">IF(A74=0,0,IF(V74=FALSE,0,IF(OR(Q74&lt;$Y$1,E74&lt;5)=FALSE,(Q74-$Q$1)*MIN(3,E74)*(1-MIN(1/(2*E74),1))+IF((P74-$P$1)&lt;0,(P74-$P$1),((P74-$P$1)*MIN(1/(2*E74),1))),0)))</f>
        <v>0</v>
      </c>
      <c r="AA74" s="136">
        <f ca="1">IF(Z74&lt;=0,0,RANK(Z74,Z:Z)+COUNTIF($Z$3:$Z74,Z74)-1)</f>
        <v>0</v>
      </c>
      <c r="AB74" s="1211">
        <f t="shared" ca="1" si="21"/>
        <v>0</v>
      </c>
      <c r="AC74" s="136">
        <f ca="1">IF(AB74&lt;=0,0,RANK(AB74,AB:AB)+COUNTIF($AB$3:$AB74,AB74)-1)</f>
        <v>0</v>
      </c>
      <c r="AD74" s="136">
        <f t="shared" ref="AD74:AD137" ca="1" si="29">IF(A74=0,99999,IF(OR(V74=FALSE,AA74=0,AC74=0),99999,(AC74+AA74)/2))</f>
        <v>99999</v>
      </c>
      <c r="AE74" s="136">
        <f ca="1">IF(AD74=99999,0,RANK(AD74,AD:AD,1)+COUNTIF($AD$3:$AD74,AD74)-1)</f>
        <v>0</v>
      </c>
    </row>
    <row r="75" spans="1:31">
      <c r="A75" s="141" t="str">
        <f>'銀行-TSS'!A75</f>
        <v>XS1982113463</v>
      </c>
      <c r="B75" s="151" t="str">
        <f ca="1">VLOOKUP(A75,'銀行-TSS'!A:B,2,FALSE)</f>
        <v>XFS90</v>
      </c>
      <c r="C75" s="151" t="str">
        <f ca="1">VLOOKUP(B75,bond!B:C,2,FALSE)</f>
        <v>沙烏地阿拉伯石油公司美元配息債券 4.25% 2039/4/16</v>
      </c>
      <c r="D75" s="95" t="str">
        <f>VLOOKUP(A75,'銀行-TSS'!A:C,3,FALSE)</f>
        <v>USD</v>
      </c>
      <c r="E75" s="90">
        <f ca="1">VLOOKUP(A75,'銀行-TSS'!A:G,7,FALSE)</f>
        <v>14.78</v>
      </c>
      <c r="F75" s="202">
        <f ca="1">VLOOKUP(A75,'銀行-TSS'!A:H,8,FALSE)</f>
        <v>4.2500000000000003E-2</v>
      </c>
      <c r="G75" s="96">
        <f ca="1">VLOOKUP(A75,'銀行-TSS'!A:K,11,FALSE)</f>
        <v>91.64</v>
      </c>
      <c r="H75" s="1209">
        <f ca="1">VLOOKUP(A75,'銀行-TSS'!A:M,13,FALSE)</f>
        <v>5.1499999999999997E-2</v>
      </c>
      <c r="I75" s="1213">
        <f ca="1">VLOOKUP(A75,'銀行-TSS'!A:N,14,FALSE)</f>
        <v>200000</v>
      </c>
      <c r="J75" s="1213">
        <f ca="1">VLOOKUP(A75,'銀行-TSS'!A:O,15,FALSE)</f>
        <v>1000</v>
      </c>
      <c r="K75" s="136" t="str">
        <f ca="1">VLOOKUP(A75,'銀行-TSS'!A:V,22,FALSE)</f>
        <v>(NPI)非專投</v>
      </c>
      <c r="L75" s="136" t="str">
        <f ca="1">VLOOKUP(A75,'銀行-TSS'!A:AK,37,FALSE)</f>
        <v>有</v>
      </c>
      <c r="M75" s="136" t="str">
        <f ca="1">VLOOKUP(A75,'銀行-TSS'!A:AN,40,FALSE)</f>
        <v/>
      </c>
      <c r="N75" s="1211">
        <f t="shared" ca="1" si="22"/>
        <v>916.4</v>
      </c>
      <c r="O75" s="1211">
        <f t="shared" ca="1" si="23"/>
        <v>183280</v>
      </c>
      <c r="P75" s="1213">
        <f ca="1">IF(AND(換券投組!$D$17&gt;=O75,換券投組!$D$13=D75),I75+INT((換券投組!$D$17-O75)/N75)*J75,0)</f>
        <v>0</v>
      </c>
      <c r="Q75" s="1211">
        <f t="shared" ca="1" si="24"/>
        <v>0</v>
      </c>
      <c r="R75" s="1213">
        <f t="shared" ca="1" si="25"/>
        <v>0</v>
      </c>
      <c r="S75" s="1213">
        <f t="shared" ca="1" si="26"/>
        <v>0</v>
      </c>
      <c r="T75" s="136">
        <f t="shared" ca="1" si="19"/>
        <v>0</v>
      </c>
      <c r="U75" s="861">
        <f t="shared" ca="1" si="20"/>
        <v>0</v>
      </c>
      <c r="V75" s="136" t="b">
        <f ca="1">IF(OR(D75&lt;&gt;"USD",L75="無",M75&lt;&gt;"",K75="高資產",IFERROR(MATCH(B75,換券投組!K:K,0),"N")&lt;&gt;"N",IFERROR(MATCH(B75,換券投組!J:J,0),"N")&lt;&gt;"N"),FALSE,IF($V$1="All",TRUE,IF(K75=$V$1,TRUE,FALSE)))</f>
        <v>1</v>
      </c>
      <c r="W75" s="136">
        <f ca="1">VLOOKUP(A75,'銀行-TSS'!A:AO,41,FALSE)</f>
        <v>88.23</v>
      </c>
      <c r="X75" s="136">
        <f ca="1">VLOOKUP(A75,'銀行-TSS'!A:AP,42,FALSE)</f>
        <v>10.4665</v>
      </c>
      <c r="Y75" s="1223">
        <f t="shared" ca="1" si="27"/>
        <v>0</v>
      </c>
      <c r="Z75" s="1211">
        <f t="shared" ca="1" si="28"/>
        <v>0</v>
      </c>
      <c r="AA75" s="136">
        <f ca="1">IF(Z75&lt;=0,0,RANK(Z75,Z:Z)+COUNTIF($Z$3:$Z75,Z75)-1)</f>
        <v>0</v>
      </c>
      <c r="AB75" s="1211">
        <f t="shared" ca="1" si="21"/>
        <v>0</v>
      </c>
      <c r="AC75" s="136">
        <f ca="1">IF(AB75&lt;=0,0,RANK(AB75,AB:AB)+COUNTIF($AB$3:$AB75,AB75)-1)</f>
        <v>0</v>
      </c>
      <c r="AD75" s="136">
        <f t="shared" ca="1" si="29"/>
        <v>99999</v>
      </c>
      <c r="AE75" s="136">
        <f ca="1">IF(AD75=99999,0,RANK(AD75,AD:AD,1)+COUNTIF($AD$3:$AD75,AD75)-1)</f>
        <v>0</v>
      </c>
    </row>
    <row r="76" spans="1:31">
      <c r="A76" s="141" t="str">
        <f>'銀行-TSS'!A76</f>
        <v>AU3CB0261402</v>
      </c>
      <c r="B76" s="151" t="str">
        <f ca="1">VLOOKUP(A76,'銀行-TSS'!A:B,2,FALSE)</f>
        <v>XFT10</v>
      </c>
      <c r="C76" s="151" t="str">
        <f ca="1">VLOOKUP(B76,bond!B:C,2,FALSE)</f>
        <v>麥當勞公司澳幣配息債券 3.8% 2029/3/8</v>
      </c>
      <c r="D76" s="95" t="str">
        <f>VLOOKUP(A76,'銀行-TSS'!A:C,3,FALSE)</f>
        <v>AUD</v>
      </c>
      <c r="E76" s="90">
        <f ca="1">VLOOKUP(A76,'銀行-TSS'!A:G,7,FALSE)</f>
        <v>4.68</v>
      </c>
      <c r="F76" s="202">
        <f ca="1">VLOOKUP(A76,'銀行-TSS'!A:H,8,FALSE)</f>
        <v>3.7999999999999999E-2</v>
      </c>
      <c r="G76" s="96">
        <f ca="1">VLOOKUP(A76,'銀行-TSS'!A:K,11,FALSE)</f>
        <v>99.36</v>
      </c>
      <c r="H76" s="1209">
        <f ca="1">VLOOKUP(A76,'銀行-TSS'!A:M,13,FALSE)</f>
        <v>4.24E-2</v>
      </c>
      <c r="I76" s="1213">
        <f ca="1">VLOOKUP(A76,'銀行-TSS'!A:N,14,FALSE)</f>
        <v>10000</v>
      </c>
      <c r="J76" s="1213">
        <f ca="1">VLOOKUP(A76,'銀行-TSS'!A:O,15,FALSE)</f>
        <v>10000</v>
      </c>
      <c r="K76" s="136" t="str">
        <f ca="1">VLOOKUP(A76,'銀行-TSS'!A:V,22,FALSE)</f>
        <v>(PI)專投</v>
      </c>
      <c r="L76" s="136" t="str">
        <f ca="1">VLOOKUP(A76,'銀行-TSS'!A:AK,37,FALSE)</f>
        <v>需查詢</v>
      </c>
      <c r="M76" s="136" t="str">
        <f ca="1">VLOOKUP(A76,'銀行-TSS'!A:AN,40,FALSE)</f>
        <v/>
      </c>
      <c r="N76" s="1211">
        <f t="shared" ca="1" si="22"/>
        <v>9936</v>
      </c>
      <c r="O76" s="1211">
        <f t="shared" ca="1" si="23"/>
        <v>9936</v>
      </c>
      <c r="P76" s="1213">
        <f ca="1">IF(AND(換券投組!$D$17&gt;=O76,換券投組!$D$13=D76),I76+INT((換券投組!$D$17-O76)/N76)*J76,0)</f>
        <v>0</v>
      </c>
      <c r="Q76" s="1211">
        <f t="shared" ca="1" si="24"/>
        <v>0</v>
      </c>
      <c r="R76" s="1213">
        <f t="shared" ca="1" si="25"/>
        <v>0</v>
      </c>
      <c r="S76" s="1213">
        <f t="shared" ca="1" si="26"/>
        <v>0</v>
      </c>
      <c r="T76" s="136">
        <f t="shared" ca="1" si="19"/>
        <v>0</v>
      </c>
      <c r="U76" s="861">
        <f t="shared" ca="1" si="20"/>
        <v>0</v>
      </c>
      <c r="V76" s="136" t="b">
        <f ca="1">IF(OR(D76&lt;&gt;"USD",L76="無",M76&lt;&gt;"",K76="高資產",IFERROR(MATCH(B76,換券投組!K:K,0),"N")&lt;&gt;"N",IFERROR(MATCH(B76,換券投組!J:J,0),"N")&lt;&gt;"N"),FALSE,IF($V$1="All",TRUE,IF(K76=$V$1,TRUE,FALSE)))</f>
        <v>0</v>
      </c>
      <c r="W76" s="136">
        <f ca="1">VLOOKUP(A76,'銀行-TSS'!A:AO,41,FALSE)</f>
        <v>96.15</v>
      </c>
      <c r="X76" s="136">
        <f ca="1">VLOOKUP(A76,'銀行-TSS'!A:AP,42,FALSE)</f>
        <v>4.1738999999999997</v>
      </c>
      <c r="Y76" s="1223">
        <f t="shared" ca="1" si="27"/>
        <v>0</v>
      </c>
      <c r="Z76" s="1211">
        <f t="shared" ca="1" si="28"/>
        <v>0</v>
      </c>
      <c r="AA76" s="136">
        <f ca="1">IF(Z76&lt;=0,0,RANK(Z76,Z:Z)+COUNTIF($Z$3:$Z76,Z76)-1)</f>
        <v>0</v>
      </c>
      <c r="AB76" s="1211">
        <f t="shared" ca="1" si="21"/>
        <v>0</v>
      </c>
      <c r="AC76" s="136">
        <f ca="1">IF(AB76&lt;=0,0,RANK(AB76,AB:AB)+COUNTIF($AB$3:$AB76,AB76)-1)</f>
        <v>0</v>
      </c>
      <c r="AD76" s="136">
        <f t="shared" ca="1" si="29"/>
        <v>99999</v>
      </c>
      <c r="AE76" s="136">
        <f ca="1">IF(AD76=99999,0,RANK(AD76,AD:AD,1)+COUNTIF($AD$3:$AD76,AD76)-1)</f>
        <v>0</v>
      </c>
    </row>
    <row r="77" spans="1:31">
      <c r="A77" s="141" t="str">
        <f>'銀行-TSS'!A77</f>
        <v>AU3CB0256915</v>
      </c>
      <c r="B77" s="151" t="str">
        <f ca="1">VLOOKUP(A77,'銀行-TSS'!A:B,2,FALSE)</f>
        <v>XFT50</v>
      </c>
      <c r="C77" s="151" t="str">
        <f ca="1">VLOOKUP(B77,bond!B:C,2,FALSE)</f>
        <v>AT&amp;T公司澳幣配息債券 4.6% 2028/9/19</v>
      </c>
      <c r="D77" s="95" t="str">
        <f>VLOOKUP(A77,'銀行-TSS'!A:C,3,FALSE)</f>
        <v>AUD</v>
      </c>
      <c r="E77" s="90">
        <f ca="1">VLOOKUP(A77,'銀行-TSS'!A:G,7,FALSE)</f>
        <v>4.21</v>
      </c>
      <c r="F77" s="202">
        <f ca="1">VLOOKUP(A77,'銀行-TSS'!A:H,8,FALSE)</f>
        <v>4.5999999999999999E-2</v>
      </c>
      <c r="G77" s="96">
        <f ca="1">VLOOKUP(A77,'銀行-TSS'!A:K,11,FALSE)</f>
        <v>101.71</v>
      </c>
      <c r="H77" s="1209">
        <f ca="1">VLOOKUP(A77,'銀行-TSS'!A:M,13,FALSE)</f>
        <v>4.4999999999999998E-2</v>
      </c>
      <c r="I77" s="1213">
        <f ca="1">VLOOKUP(A77,'銀行-TSS'!A:N,14,FALSE)</f>
        <v>10000</v>
      </c>
      <c r="J77" s="1213">
        <f ca="1">VLOOKUP(A77,'銀行-TSS'!A:O,15,FALSE)</f>
        <v>10000</v>
      </c>
      <c r="K77" s="136" t="str">
        <f ca="1">VLOOKUP(A77,'銀行-TSS'!A:V,22,FALSE)</f>
        <v>(PI)專投</v>
      </c>
      <c r="L77" s="136" t="str">
        <f ca="1">VLOOKUP(A77,'銀行-TSS'!A:AK,37,FALSE)</f>
        <v>需查詢</v>
      </c>
      <c r="M77" s="136" t="str">
        <f ca="1">VLOOKUP(A77,'銀行-TSS'!A:AN,40,FALSE)</f>
        <v/>
      </c>
      <c r="N77" s="1211">
        <f t="shared" ca="1" si="22"/>
        <v>10170.999999999998</v>
      </c>
      <c r="O77" s="1211">
        <f t="shared" ca="1" si="23"/>
        <v>10170.999999999998</v>
      </c>
      <c r="P77" s="1213">
        <f ca="1">IF(AND(換券投組!$D$17&gt;=O77,換券投組!$D$13=D77),I77+INT((換券投組!$D$17-O77)/N77)*J77,0)</f>
        <v>0</v>
      </c>
      <c r="Q77" s="1211">
        <f t="shared" ca="1" si="24"/>
        <v>0</v>
      </c>
      <c r="R77" s="1213">
        <f t="shared" ca="1" si="25"/>
        <v>0</v>
      </c>
      <c r="S77" s="1213">
        <f t="shared" ca="1" si="26"/>
        <v>0</v>
      </c>
      <c r="T77" s="136">
        <f t="shared" ca="1" si="19"/>
        <v>0</v>
      </c>
      <c r="U77" s="861">
        <f t="shared" ca="1" si="20"/>
        <v>0</v>
      </c>
      <c r="V77" s="136" t="b">
        <f ca="1">IF(OR(D77&lt;&gt;"USD",L77="無",M77&lt;&gt;"",K77="高資產",IFERROR(MATCH(B77,換券投組!K:K,0),"N")&lt;&gt;"N",IFERROR(MATCH(B77,換券投組!J:J,0),"N")&lt;&gt;"N"),FALSE,IF($V$1="All",TRUE,IF(K77=$V$1,TRUE,FALSE)))</f>
        <v>0</v>
      </c>
      <c r="W77" s="136">
        <f ca="1">VLOOKUP(A77,'銀行-TSS'!A:AO,41,FALSE)</f>
        <v>98.88000000000001</v>
      </c>
      <c r="X77" s="136">
        <f ca="1">VLOOKUP(A77,'銀行-TSS'!A:AP,42,FALSE)</f>
        <v>3.7324999999999999</v>
      </c>
      <c r="Y77" s="1223">
        <f t="shared" ca="1" si="27"/>
        <v>0</v>
      </c>
      <c r="Z77" s="1211">
        <f t="shared" ca="1" si="28"/>
        <v>0</v>
      </c>
      <c r="AA77" s="136">
        <f ca="1">IF(Z77&lt;=0,0,RANK(Z77,Z:Z)+COUNTIF($Z$3:$Z77,Z77)-1)</f>
        <v>0</v>
      </c>
      <c r="AB77" s="1211">
        <f t="shared" ca="1" si="21"/>
        <v>0</v>
      </c>
      <c r="AC77" s="136">
        <f ca="1">IF(AB77&lt;=0,0,RANK(AB77,AB:AB)+COUNTIF($AB$3:$AB77,AB77)-1)</f>
        <v>0</v>
      </c>
      <c r="AD77" s="136">
        <f t="shared" ca="1" si="29"/>
        <v>99999</v>
      </c>
      <c r="AE77" s="136">
        <f ca="1">IF(AD77=99999,0,RANK(AD77,AD:AD,1)+COUNTIF($AD$3:$AD77,AD77)-1)</f>
        <v>0</v>
      </c>
    </row>
    <row r="78" spans="1:31">
      <c r="A78" s="141" t="str">
        <f>'銀行-TSS'!A78</f>
        <v>US404119BW86</v>
      </c>
      <c r="B78" s="151" t="str">
        <f ca="1">VLOOKUP(A78,'銀行-TSS'!A:B,2,FALSE)</f>
        <v>XFT60</v>
      </c>
      <c r="C78" s="151" t="str">
        <f ca="1">VLOOKUP(B78,bond!B:C,2,FALSE)</f>
        <v>美國醫院公司美元配息債券 5.875% 2029/2/1</v>
      </c>
      <c r="D78" s="95" t="str">
        <f>VLOOKUP(A78,'銀行-TSS'!A:C,3,FALSE)</f>
        <v>USD</v>
      </c>
      <c r="E78" s="90">
        <f ca="1">VLOOKUP(A78,'銀行-TSS'!A:G,7,FALSE)</f>
        <v>4.59</v>
      </c>
      <c r="F78" s="202">
        <f ca="1">VLOOKUP(A78,'銀行-TSS'!A:H,8,FALSE)</f>
        <v>5.8749999999999997E-2</v>
      </c>
      <c r="G78" s="96">
        <f ca="1">VLOOKUP(A78,'銀行-TSS'!A:K,11,FALSE)</f>
        <v>106.69</v>
      </c>
      <c r="H78" s="1209">
        <f ca="1">VLOOKUP(A78,'銀行-TSS'!A:M,13,FALSE)</f>
        <v>4.8300000000000003E-2</v>
      </c>
      <c r="I78" s="1213">
        <f ca="1">VLOOKUP(A78,'銀行-TSS'!A:N,14,FALSE)</f>
        <v>10000</v>
      </c>
      <c r="J78" s="1213">
        <f ca="1">VLOOKUP(A78,'銀行-TSS'!A:O,15,FALSE)</f>
        <v>1000</v>
      </c>
      <c r="K78" s="136" t="str">
        <f ca="1">VLOOKUP(A78,'銀行-TSS'!A:V,22,FALSE)</f>
        <v>(PI)專投</v>
      </c>
      <c r="L78" s="136" t="str">
        <f ca="1">VLOOKUP(A78,'銀行-TSS'!A:AK,37,FALSE)</f>
        <v>有</v>
      </c>
      <c r="M78" s="136" t="str">
        <f ca="1">VLOOKUP(A78,'銀行-TSS'!A:AN,40,FALSE)</f>
        <v/>
      </c>
      <c r="N78" s="1211">
        <f t="shared" ca="1" si="22"/>
        <v>1066.9000000000001</v>
      </c>
      <c r="O78" s="1211">
        <f t="shared" ca="1" si="23"/>
        <v>10669</v>
      </c>
      <c r="P78" s="1213">
        <f ca="1">IF(AND(換券投組!$D$17&gt;=O78,換券投組!$D$13=D78),I78+INT((換券投組!$D$17-O78)/N78)*J78,0)</f>
        <v>0</v>
      </c>
      <c r="Q78" s="1211">
        <f t="shared" ca="1" si="24"/>
        <v>0</v>
      </c>
      <c r="R78" s="1213">
        <f t="shared" ca="1" si="25"/>
        <v>0</v>
      </c>
      <c r="S78" s="1213">
        <f t="shared" ca="1" si="26"/>
        <v>0</v>
      </c>
      <c r="T78" s="136">
        <f t="shared" ca="1" si="19"/>
        <v>0</v>
      </c>
      <c r="U78" s="861">
        <f t="shared" ca="1" si="20"/>
        <v>0</v>
      </c>
      <c r="V78" s="136" t="b">
        <f ca="1">IF(OR(D78&lt;&gt;"USD",L78="無",M78&lt;&gt;"",K78="高資產",IFERROR(MATCH(B78,換券投組!K:K,0),"N")&lt;&gt;"N",IFERROR(MATCH(B78,換券投組!J:J,0),"N")&lt;&gt;"N"),FALSE,IF($V$1="All",TRUE,IF(K78=$V$1,TRUE,FALSE)))</f>
        <v>1</v>
      </c>
      <c r="W78" s="136">
        <f ca="1">VLOOKUP(A78,'銀行-TSS'!A:AO,41,FALSE)</f>
        <v>102.23</v>
      </c>
      <c r="X78" s="136">
        <f ca="1">VLOOKUP(A78,'銀行-TSS'!A:AP,42,FALSE)</f>
        <v>3.5190999999999999</v>
      </c>
      <c r="Y78" s="1223">
        <f t="shared" ca="1" si="27"/>
        <v>0</v>
      </c>
      <c r="Z78" s="1211">
        <f t="shared" ca="1" si="28"/>
        <v>0</v>
      </c>
      <c r="AA78" s="136">
        <f ca="1">IF(Z78&lt;=0,0,RANK(Z78,Z:Z)+COUNTIF($Z$3:$Z78,Z78)-1)</f>
        <v>0</v>
      </c>
      <c r="AB78" s="1211">
        <f t="shared" ca="1" si="21"/>
        <v>0</v>
      </c>
      <c r="AC78" s="136">
        <f ca="1">IF(AB78&lt;=0,0,RANK(AB78,AB:AB)+COUNTIF($AB$3:$AB78,AB78)-1)</f>
        <v>0</v>
      </c>
      <c r="AD78" s="136">
        <f t="shared" ca="1" si="29"/>
        <v>99999</v>
      </c>
      <c r="AE78" s="136">
        <f ca="1">IF(AD78=99999,0,RANK(AD78,AD:AD,1)+COUNTIF($AD$3:$AD78,AD78)-1)</f>
        <v>0</v>
      </c>
    </row>
    <row r="79" spans="1:31">
      <c r="A79" s="141" t="str">
        <f>'銀行-TSS'!A79</f>
        <v>US26078JAF75</v>
      </c>
      <c r="B79" s="151" t="str">
        <f ca="1">VLOOKUP(A79,'銀行-TSS'!A:B,2,FALSE)</f>
        <v>XFU10</v>
      </c>
      <c r="C79" s="151" t="str">
        <f ca="1">VLOOKUP(B79,bond!B:C,2,FALSE)</f>
        <v>杜邦公司美元配息債券 5.419% 2048/11/15</v>
      </c>
      <c r="D79" s="95" t="str">
        <f>VLOOKUP(A79,'銀行-TSS'!A:C,3,FALSE)</f>
        <v>USD</v>
      </c>
      <c r="E79" s="90">
        <f ca="1">VLOOKUP(A79,'銀行-TSS'!A:G,7,FALSE)</f>
        <v>24.37</v>
      </c>
      <c r="F79" s="202">
        <f ca="1">VLOOKUP(A79,'銀行-TSS'!A:H,8,FALSE)</f>
        <v>5.4189999999999995E-2</v>
      </c>
      <c r="G79" s="96">
        <f ca="1">VLOOKUP(A79,'銀行-TSS'!A:K,11,FALSE)</f>
        <v>108.5</v>
      </c>
      <c r="H79" s="1209">
        <f ca="1">VLOOKUP(A79,'銀行-TSS'!A:M,13,FALSE)</f>
        <v>4.87E-2</v>
      </c>
      <c r="I79" s="1213">
        <f ca="1">VLOOKUP(A79,'銀行-TSS'!A:N,14,FALSE)</f>
        <v>10000</v>
      </c>
      <c r="J79" s="1213">
        <f ca="1">VLOOKUP(A79,'銀行-TSS'!A:O,15,FALSE)</f>
        <v>1000</v>
      </c>
      <c r="K79" s="136" t="str">
        <f ca="1">VLOOKUP(A79,'銀行-TSS'!A:V,22,FALSE)</f>
        <v>(PI)專投</v>
      </c>
      <c r="L79" s="136" t="str">
        <f ca="1">VLOOKUP(A79,'銀行-TSS'!A:AK,37,FALSE)</f>
        <v>有</v>
      </c>
      <c r="M79" s="136" t="str">
        <f ca="1">VLOOKUP(A79,'銀行-TSS'!A:AN,40,FALSE)</f>
        <v/>
      </c>
      <c r="N79" s="1211">
        <f t="shared" ca="1" si="22"/>
        <v>1085</v>
      </c>
      <c r="O79" s="1211">
        <f t="shared" ca="1" si="23"/>
        <v>10850</v>
      </c>
      <c r="P79" s="1213">
        <f ca="1">IF(AND(換券投組!$D$17&gt;=O79,換券投組!$D$13=D79),I79+INT((換券投組!$D$17-O79)/N79)*J79,0)</f>
        <v>0</v>
      </c>
      <c r="Q79" s="1211">
        <f t="shared" ca="1" si="24"/>
        <v>0</v>
      </c>
      <c r="R79" s="1213">
        <f t="shared" ca="1" si="25"/>
        <v>0</v>
      </c>
      <c r="S79" s="1213">
        <f t="shared" ca="1" si="26"/>
        <v>0</v>
      </c>
      <c r="T79" s="136">
        <f t="shared" ca="1" si="19"/>
        <v>0</v>
      </c>
      <c r="U79" s="861">
        <f t="shared" ca="1" si="20"/>
        <v>0</v>
      </c>
      <c r="V79" s="136" t="b">
        <f ca="1">IF(OR(D79&lt;&gt;"USD",L79="無",M79&lt;&gt;"",K79="高資產",IFERROR(MATCH(B79,換券投組!K:K,0),"N")&lt;&gt;"N",IFERROR(MATCH(B79,換券投組!J:J,0),"N")&lt;&gt;"N"),FALSE,IF($V$1="All",TRUE,IF(K79=$V$1,TRUE,FALSE)))</f>
        <v>1</v>
      </c>
      <c r="W79" s="136">
        <f ca="1">VLOOKUP(A79,'銀行-TSS'!A:AO,41,FALSE)</f>
        <v>104.29</v>
      </c>
      <c r="X79" s="136">
        <f ca="1">VLOOKUP(A79,'銀行-TSS'!A:AP,42,FALSE)</f>
        <v>13.5124</v>
      </c>
      <c r="Y79" s="1223">
        <f t="shared" ca="1" si="27"/>
        <v>0</v>
      </c>
      <c r="Z79" s="1211">
        <f t="shared" ca="1" si="28"/>
        <v>0</v>
      </c>
      <c r="AA79" s="136">
        <f ca="1">IF(Z79&lt;=0,0,RANK(Z79,Z:Z)+COUNTIF($Z$3:$Z79,Z79)-1)</f>
        <v>0</v>
      </c>
      <c r="AB79" s="1211">
        <f t="shared" ca="1" si="21"/>
        <v>0</v>
      </c>
      <c r="AC79" s="136">
        <f ca="1">IF(AB79&lt;=0,0,RANK(AB79,AB:AB)+COUNTIF($AB$3:$AB79,AB79)-1)</f>
        <v>0</v>
      </c>
      <c r="AD79" s="136">
        <f t="shared" ca="1" si="29"/>
        <v>99999</v>
      </c>
      <c r="AE79" s="136">
        <f ca="1">IF(AD79=99999,0,RANK(AD79,AD:AD,1)+COUNTIF($AD$3:$AD79,AD79)-1)</f>
        <v>0</v>
      </c>
    </row>
    <row r="80" spans="1:31">
      <c r="A80" s="141" t="str">
        <f>'銀行-TSS'!A80</f>
        <v>USU1109MAB29</v>
      </c>
      <c r="B80" s="151" t="str">
        <f ca="1">VLOOKUP(A80,'銀行-TSS'!A:B,2,FALSE)</f>
        <v>XFU20</v>
      </c>
      <c r="C80" s="151" t="str">
        <f ca="1">VLOOKUP(B80,bond!B:C,2,FALSE)</f>
        <v>博通公司美元配息債券 4.75% 2029/4/15</v>
      </c>
      <c r="D80" s="95" t="str">
        <f>VLOOKUP(A80,'銀行-TSS'!A:C,3,FALSE)</f>
        <v>USD</v>
      </c>
      <c r="E80" s="90">
        <f ca="1">VLOOKUP(A80,'銀行-TSS'!A:G,7,FALSE)</f>
        <v>4.79</v>
      </c>
      <c r="F80" s="202">
        <f ca="1">VLOOKUP(A80,'銀行-TSS'!A:H,8,FALSE)</f>
        <v>4.7500000000000001E-2</v>
      </c>
      <c r="G80" s="96">
        <f ca="1">VLOOKUP(A80,'銀行-TSS'!A:K,11,FALSE)</f>
        <v>102.03</v>
      </c>
      <c r="H80" s="1209">
        <f ca="1">VLOOKUP(A80,'銀行-TSS'!A:M,13,FALSE)</f>
        <v>4.5100000000000001E-2</v>
      </c>
      <c r="I80" s="1213">
        <f ca="1">VLOOKUP(A80,'銀行-TSS'!A:N,14,FALSE)</f>
        <v>10000</v>
      </c>
      <c r="J80" s="1213">
        <f ca="1">VLOOKUP(A80,'銀行-TSS'!A:O,15,FALSE)</f>
        <v>1000</v>
      </c>
      <c r="K80" s="136" t="str">
        <f ca="1">VLOOKUP(A80,'銀行-TSS'!A:V,22,FALSE)</f>
        <v>(PI)專投</v>
      </c>
      <c r="L80" s="136" t="str">
        <f ca="1">VLOOKUP(A80,'銀行-TSS'!A:AK,37,FALSE)</f>
        <v>需查詢</v>
      </c>
      <c r="M80" s="136" t="str">
        <f ca="1">VLOOKUP(A80,'銀行-TSS'!A:AN,40,FALSE)</f>
        <v/>
      </c>
      <c r="N80" s="1211">
        <f t="shared" ca="1" si="22"/>
        <v>1020.3</v>
      </c>
      <c r="O80" s="1211">
        <f t="shared" ca="1" si="23"/>
        <v>10203</v>
      </c>
      <c r="P80" s="1213">
        <f ca="1">IF(AND(換券投組!$D$17&gt;=O80,換券投組!$D$13=D80),I80+INT((換券投組!$D$17-O80)/N80)*J80,0)</f>
        <v>0</v>
      </c>
      <c r="Q80" s="1211">
        <f t="shared" ca="1" si="24"/>
        <v>0</v>
      </c>
      <c r="R80" s="1213">
        <f t="shared" ca="1" si="25"/>
        <v>0</v>
      </c>
      <c r="S80" s="1213">
        <f t="shared" ca="1" si="26"/>
        <v>0</v>
      </c>
      <c r="T80" s="136">
        <f t="shared" ca="1" si="19"/>
        <v>0</v>
      </c>
      <c r="U80" s="861">
        <f t="shared" ca="1" si="20"/>
        <v>0</v>
      </c>
      <c r="V80" s="136" t="b">
        <f ca="1">IF(OR(D80&lt;&gt;"USD",L80="無",M80&lt;&gt;"",K80="高資產",IFERROR(MATCH(B80,換券投組!K:K,0),"N")&lt;&gt;"N",IFERROR(MATCH(B80,換券投組!J:J,0),"N")&lt;&gt;"N"),FALSE,IF($V$1="All",TRUE,IF(K80=$V$1,TRUE,FALSE)))</f>
        <v>1</v>
      </c>
      <c r="W80" s="136">
        <f ca="1">VLOOKUP(A80,'銀行-TSS'!A:AO,41,FALSE)</f>
        <v>99.01</v>
      </c>
      <c r="X80" s="136">
        <f ca="1">VLOOKUP(A80,'銀行-TSS'!A:AP,42,FALSE)</f>
        <v>4.1940999999999997</v>
      </c>
      <c r="Y80" s="1223">
        <f t="shared" ca="1" si="27"/>
        <v>0</v>
      </c>
      <c r="Z80" s="1211">
        <f t="shared" ca="1" si="28"/>
        <v>0</v>
      </c>
      <c r="AA80" s="136">
        <f ca="1">IF(Z80&lt;=0,0,RANK(Z80,Z:Z)+COUNTIF($Z$3:$Z80,Z80)-1)</f>
        <v>0</v>
      </c>
      <c r="AB80" s="1211">
        <f t="shared" ca="1" si="21"/>
        <v>0</v>
      </c>
      <c r="AC80" s="136">
        <f ca="1">IF(AB80&lt;=0,0,RANK(AB80,AB:AB)+COUNTIF($AB$3:$AB80,AB80)-1)</f>
        <v>0</v>
      </c>
      <c r="AD80" s="136">
        <f t="shared" ca="1" si="29"/>
        <v>99999</v>
      </c>
      <c r="AE80" s="136">
        <f ca="1">IF(AD80=99999,0,RANK(AD80,AD:AD,1)+COUNTIF($AD$3:$AD80,AD80)-1)</f>
        <v>0</v>
      </c>
    </row>
    <row r="81" spans="1:31">
      <c r="A81" s="141" t="str">
        <f>'銀行-TSS'!A81</f>
        <v>US06738EAJ47</v>
      </c>
      <c r="B81" s="151" t="str">
        <f ca="1">VLOOKUP(A81,'銀行-TSS'!A:B,2,FALSE)</f>
        <v>XFU60</v>
      </c>
      <c r="C81" s="151" t="str">
        <f ca="1">VLOOKUP(B81,bond!B:C,2,FALSE)</f>
        <v>巴克萊集團美元配息債券 5.25% 2045/8/17</v>
      </c>
      <c r="D81" s="95" t="str">
        <f>VLOOKUP(A81,'銀行-TSS'!A:C,3,FALSE)</f>
        <v>USD</v>
      </c>
      <c r="E81" s="90">
        <f ca="1">VLOOKUP(A81,'銀行-TSS'!A:G,7,FALSE)</f>
        <v>21.13</v>
      </c>
      <c r="F81" s="202">
        <f ca="1">VLOOKUP(A81,'銀行-TSS'!A:H,8,FALSE)</f>
        <v>5.2499999999999998E-2</v>
      </c>
      <c r="G81" s="96">
        <f ca="1">VLOOKUP(A81,'銀行-TSS'!A:K,11,FALSE)</f>
        <v>100.79</v>
      </c>
      <c r="H81" s="1209">
        <f ca="1">VLOOKUP(A81,'銀行-TSS'!A:M,13,FALSE)</f>
        <v>5.3400000000000003E-2</v>
      </c>
      <c r="I81" s="1213">
        <f ca="1">VLOOKUP(A81,'銀行-TSS'!A:N,14,FALSE)</f>
        <v>200000</v>
      </c>
      <c r="J81" s="1213">
        <f ca="1">VLOOKUP(A81,'銀行-TSS'!A:O,15,FALSE)</f>
        <v>1000</v>
      </c>
      <c r="K81" s="136" t="str">
        <f ca="1">VLOOKUP(A81,'銀行-TSS'!A:V,22,FALSE)</f>
        <v>(PI)專投</v>
      </c>
      <c r="L81" s="136" t="str">
        <f ca="1">VLOOKUP(A81,'銀行-TSS'!A:AK,37,FALSE)</f>
        <v>有</v>
      </c>
      <c r="M81" s="136" t="str">
        <f ca="1">VLOOKUP(A81,'銀行-TSS'!A:AN,40,FALSE)</f>
        <v/>
      </c>
      <c r="N81" s="1211">
        <f t="shared" ca="1" si="22"/>
        <v>1007.9</v>
      </c>
      <c r="O81" s="1211">
        <f t="shared" ca="1" si="23"/>
        <v>201580</v>
      </c>
      <c r="P81" s="1213">
        <f ca="1">IF(AND(換券投組!$D$17&gt;=O81,換券投組!$D$13=D81),I81+INT((換券投組!$D$17-O81)/N81)*J81,0)</f>
        <v>0</v>
      </c>
      <c r="Q81" s="1211">
        <f t="shared" ca="1" si="24"/>
        <v>0</v>
      </c>
      <c r="R81" s="1213">
        <f t="shared" ca="1" si="25"/>
        <v>0</v>
      </c>
      <c r="S81" s="1213">
        <f t="shared" ca="1" si="26"/>
        <v>0</v>
      </c>
      <c r="T81" s="136">
        <f t="shared" ca="1" si="19"/>
        <v>0</v>
      </c>
      <c r="U81" s="861">
        <f t="shared" ca="1" si="20"/>
        <v>0</v>
      </c>
      <c r="V81" s="136" t="b">
        <f ca="1">IF(OR(D81&lt;&gt;"USD",L81="無",M81&lt;&gt;"",K81="高資產",IFERROR(MATCH(B81,換券投組!K:K,0),"N")&lt;&gt;"N",IFERROR(MATCH(B81,換券投組!J:J,0),"N")&lt;&gt;"N"),FALSE,IF($V$1="All",TRUE,IF(K81=$V$1,TRUE,FALSE)))</f>
        <v>1</v>
      </c>
      <c r="W81" s="136">
        <f ca="1">VLOOKUP(A81,'銀行-TSS'!A:AO,41,FALSE)</f>
        <v>95.820000000000007</v>
      </c>
      <c r="X81" s="136">
        <f ca="1">VLOOKUP(A81,'銀行-TSS'!A:AP,42,FALSE)</f>
        <v>12.2403</v>
      </c>
      <c r="Y81" s="1223">
        <f t="shared" ca="1" si="27"/>
        <v>0</v>
      </c>
      <c r="Z81" s="1211">
        <f t="shared" ca="1" si="28"/>
        <v>0</v>
      </c>
      <c r="AA81" s="136">
        <f ca="1">IF(Z81&lt;=0,0,RANK(Z81,Z:Z)+COUNTIF($Z$3:$Z81,Z81)-1)</f>
        <v>0</v>
      </c>
      <c r="AB81" s="1211">
        <f t="shared" ca="1" si="21"/>
        <v>0</v>
      </c>
      <c r="AC81" s="136">
        <f ca="1">IF(AB81&lt;=0,0,RANK(AB81,AB:AB)+COUNTIF($AB$3:$AB81,AB81)-1)</f>
        <v>0</v>
      </c>
      <c r="AD81" s="136">
        <f t="shared" ca="1" si="29"/>
        <v>99999</v>
      </c>
      <c r="AE81" s="136">
        <f ca="1">IF(AD81=99999,0,RANK(AD81,AD:AD,1)+COUNTIF($AD$3:$AD81,AD81)-1)</f>
        <v>0</v>
      </c>
    </row>
    <row r="82" spans="1:31">
      <c r="A82" s="141" t="str">
        <f>'銀行-TSS'!A82</f>
        <v>US87927VAV09</v>
      </c>
      <c r="B82" s="151" t="str">
        <f ca="1">VLOOKUP(A82,'銀行-TSS'!A:B,2,FALSE)</f>
        <v>XFU70</v>
      </c>
      <c r="C82" s="151" t="str">
        <f ca="1">VLOOKUP(B82,bond!B:C,2,FALSE)</f>
        <v>義大利電信資本公司美元配息債券 7.721% 2038/6/4</v>
      </c>
      <c r="D82" s="95" t="str">
        <f>VLOOKUP(A82,'銀行-TSS'!A:C,3,FALSE)</f>
        <v>USD</v>
      </c>
      <c r="E82" s="90">
        <f ca="1">VLOOKUP(A82,'銀行-TSS'!A:G,7,FALSE)</f>
        <v>13.92</v>
      </c>
      <c r="F82" s="202">
        <f ca="1">VLOOKUP(A82,'銀行-TSS'!A:H,8,FALSE)</f>
        <v>7.7210000000000001E-2</v>
      </c>
      <c r="G82" s="96">
        <f ca="1">VLOOKUP(A82,'銀行-TSS'!A:K,11,FALSE)</f>
        <v>102.29</v>
      </c>
      <c r="H82" s="1209">
        <f ca="1">VLOOKUP(A82,'銀行-TSS'!A:M,13,FALSE)</f>
        <v>7.5200000000000003E-2</v>
      </c>
      <c r="I82" s="1213">
        <f ca="1">VLOOKUP(A82,'銀行-TSS'!A:N,14,FALSE)</f>
        <v>10000</v>
      </c>
      <c r="J82" s="1213">
        <f ca="1">VLOOKUP(A82,'銀行-TSS'!A:O,15,FALSE)</f>
        <v>1000</v>
      </c>
      <c r="K82" s="136" t="str">
        <f ca="1">VLOOKUP(A82,'銀行-TSS'!A:V,22,FALSE)</f>
        <v>高資產</v>
      </c>
      <c r="L82" s="136" t="str">
        <f ca="1">VLOOKUP(A82,'銀行-TSS'!A:AK,37,FALSE)</f>
        <v>需查詢</v>
      </c>
      <c r="M82" s="136" t="str">
        <f ca="1">VLOOKUP(A82,'銀行-TSS'!A:AN,40,FALSE)</f>
        <v>XFU70</v>
      </c>
      <c r="N82" s="1211">
        <f t="shared" ca="1" si="22"/>
        <v>1022.9</v>
      </c>
      <c r="O82" s="1211">
        <f t="shared" ca="1" si="23"/>
        <v>10229.000000000002</v>
      </c>
      <c r="P82" s="1213">
        <f ca="1">IF(AND(換券投組!$D$17&gt;=O82,換券投組!$D$13=D82),I82+INT((換券投組!$D$17-O82)/N82)*J82,0)</f>
        <v>0</v>
      </c>
      <c r="Q82" s="1211">
        <f t="shared" ca="1" si="24"/>
        <v>0</v>
      </c>
      <c r="R82" s="1213">
        <f t="shared" ca="1" si="25"/>
        <v>0</v>
      </c>
      <c r="S82" s="1213">
        <f t="shared" ca="1" si="26"/>
        <v>0</v>
      </c>
      <c r="T82" s="136">
        <f t="shared" ca="1" si="19"/>
        <v>0</v>
      </c>
      <c r="U82" s="861">
        <f t="shared" ca="1" si="20"/>
        <v>0</v>
      </c>
      <c r="V82" s="136" t="b">
        <f ca="1">IF(OR(D82&lt;&gt;"USD",L82="無",M82&lt;&gt;"",K82="高資產",IFERROR(MATCH(B82,換券投組!K:K,0),"N")&lt;&gt;"N",IFERROR(MATCH(B82,換券投組!J:J,0),"N")&lt;&gt;"N"),FALSE,IF($V$1="All",TRUE,IF(K82=$V$1,TRUE,FALSE)))</f>
        <v>0</v>
      </c>
      <c r="W82" s="136">
        <f ca="1">VLOOKUP(A82,'銀行-TSS'!A:AO,41,FALSE)</f>
        <v>98.69</v>
      </c>
      <c r="X82" s="136">
        <f ca="1">VLOOKUP(A82,'銀行-TSS'!A:AP,42,FALSE)</f>
        <v>8.4009999999999998</v>
      </c>
      <c r="Y82" s="1223">
        <f t="shared" ca="1" si="27"/>
        <v>0</v>
      </c>
      <c r="Z82" s="1211">
        <f t="shared" ca="1" si="28"/>
        <v>0</v>
      </c>
      <c r="AA82" s="136">
        <f ca="1">IF(Z82&lt;=0,0,RANK(Z82,Z:Z)+COUNTIF($Z$3:$Z82,Z82)-1)</f>
        <v>0</v>
      </c>
      <c r="AB82" s="1211">
        <f t="shared" ca="1" si="21"/>
        <v>0</v>
      </c>
      <c r="AC82" s="136">
        <f ca="1">IF(AB82&lt;=0,0,RANK(AB82,AB:AB)+COUNTIF($AB$3:$AB82,AB82)-1)</f>
        <v>0</v>
      </c>
      <c r="AD82" s="136">
        <f t="shared" ca="1" si="29"/>
        <v>99999</v>
      </c>
      <c r="AE82" s="136">
        <f ca="1">IF(AD82=99999,0,RANK(AD82,AD:AD,1)+COUNTIF($AD$3:$AD82,AD82)-1)</f>
        <v>0</v>
      </c>
    </row>
    <row r="83" spans="1:31">
      <c r="A83" s="141" t="str">
        <f>'銀行-TSS'!A83</f>
        <v>XS1568888777</v>
      </c>
      <c r="B83" s="151" t="str">
        <f ca="1">VLOOKUP(A83,'銀行-TSS'!A:B,2,FALSE)</f>
        <v>XFU80</v>
      </c>
      <c r="C83" s="151" t="str">
        <f ca="1">VLOOKUP(B83,bond!B:C,2,FALSE)</f>
        <v>墨西哥石油公司歐元配息債券 4.875% 2028/2/21</v>
      </c>
      <c r="D83" s="95" t="str">
        <f>VLOOKUP(A83,'銀行-TSS'!A:C,3,FALSE)</f>
        <v>EUR</v>
      </c>
      <c r="E83" s="90">
        <f ca="1">VLOOKUP(A83,'銀行-TSS'!A:G,7,FALSE)</f>
        <v>3.64</v>
      </c>
      <c r="F83" s="202">
        <f ca="1">VLOOKUP(A83,'銀行-TSS'!A:H,8,FALSE)</f>
        <v>4.8750000000000002E-2</v>
      </c>
      <c r="G83" s="96">
        <f ca="1">VLOOKUP(A83,'銀行-TSS'!A:K,11,FALSE)</f>
        <v>95.71</v>
      </c>
      <c r="H83" s="1209">
        <f ca="1">VLOOKUP(A83,'銀行-TSS'!A:M,13,FALSE)</f>
        <v>6.8000000000000005E-2</v>
      </c>
      <c r="I83" s="1213">
        <f ca="1">VLOOKUP(A83,'銀行-TSS'!A:N,14,FALSE)</f>
        <v>100000</v>
      </c>
      <c r="J83" s="1213">
        <f ca="1">VLOOKUP(A83,'銀行-TSS'!A:O,15,FALSE)</f>
        <v>1000</v>
      </c>
      <c r="K83" s="136" t="str">
        <f ca="1">VLOOKUP(A83,'銀行-TSS'!A:V,22,FALSE)</f>
        <v>高資產</v>
      </c>
      <c r="L83" s="136" t="str">
        <f ca="1">VLOOKUP(A83,'銀行-TSS'!A:AK,37,FALSE)</f>
        <v>有</v>
      </c>
      <c r="M83" s="136" t="str">
        <f ca="1">VLOOKUP(A83,'銀行-TSS'!A:AN,40,FALSE)</f>
        <v/>
      </c>
      <c r="N83" s="1211">
        <f t="shared" ca="1" si="22"/>
        <v>957.1</v>
      </c>
      <c r="O83" s="1211">
        <f t="shared" ca="1" si="23"/>
        <v>95710</v>
      </c>
      <c r="P83" s="1213">
        <f ca="1">IF(AND(換券投組!$D$17&gt;=O83,換券投組!$D$13=D83),I83+INT((換券投組!$D$17-O83)/N83)*J83,0)</f>
        <v>0</v>
      </c>
      <c r="Q83" s="1211">
        <f t="shared" ca="1" si="24"/>
        <v>0</v>
      </c>
      <c r="R83" s="1213">
        <f t="shared" ca="1" si="25"/>
        <v>0</v>
      </c>
      <c r="S83" s="1213">
        <f t="shared" ca="1" si="26"/>
        <v>0</v>
      </c>
      <c r="T83" s="136">
        <f t="shared" ca="1" si="19"/>
        <v>0</v>
      </c>
      <c r="U83" s="861">
        <f t="shared" ca="1" si="20"/>
        <v>0</v>
      </c>
      <c r="V83" s="136" t="b">
        <f ca="1">IF(OR(D83&lt;&gt;"USD",L83="無",M83&lt;&gt;"",K83="高資產",IFERROR(MATCH(B83,換券投組!K:K,0),"N")&lt;&gt;"N",IFERROR(MATCH(B83,換券投組!J:J,0),"N")&lt;&gt;"N"),FALSE,IF($V$1="All",TRUE,IF(K83=$V$1,TRUE,FALSE)))</f>
        <v>0</v>
      </c>
      <c r="W83" s="136">
        <f ca="1">VLOOKUP(A83,'銀行-TSS'!A:AO,41,FALSE)</f>
        <v>92.440000000000012</v>
      </c>
      <c r="X83" s="136">
        <f ca="1">VLOOKUP(A83,'銀行-TSS'!A:AP,42,FALSE)</f>
        <v>3.1238999999999999</v>
      </c>
      <c r="Y83" s="1223">
        <f t="shared" ca="1" si="27"/>
        <v>0</v>
      </c>
      <c r="Z83" s="1211">
        <f t="shared" ca="1" si="28"/>
        <v>0</v>
      </c>
      <c r="AA83" s="136">
        <f ca="1">IF(Z83&lt;=0,0,RANK(Z83,Z:Z)+COUNTIF($Z$3:$Z83,Z83)-1)</f>
        <v>0</v>
      </c>
      <c r="AB83" s="1211">
        <f t="shared" ca="1" si="21"/>
        <v>0</v>
      </c>
      <c r="AC83" s="136">
        <f ca="1">IF(AB83&lt;=0,0,RANK(AB83,AB:AB)+COUNTIF($AB$3:$AB83,AB83)-1)</f>
        <v>0</v>
      </c>
      <c r="AD83" s="136">
        <f t="shared" ca="1" si="29"/>
        <v>99999</v>
      </c>
      <c r="AE83" s="136">
        <f ca="1">IF(AD83=99999,0,RANK(AD83,AD:AD,1)+COUNTIF($AD$3:$AD83,AD83)-1)</f>
        <v>0</v>
      </c>
    </row>
    <row r="84" spans="1:31">
      <c r="A84" s="141" t="str">
        <f>'銀行-TSS'!A84</f>
        <v>US30219GAP37</v>
      </c>
      <c r="B84" s="151" t="str">
        <f ca="1">VLOOKUP(A84,'銀行-TSS'!A:B,2,FALSE)</f>
        <v>XFV20</v>
      </c>
      <c r="C84" s="151" t="str">
        <f ca="1">VLOOKUP(B84,bond!B:C,2,FALSE)</f>
        <v>快捷藥方控股公司美元配息債券 4.8% 2046/7/15</v>
      </c>
      <c r="D84" s="95" t="str">
        <f>VLOOKUP(A84,'銀行-TSS'!A:C,3,FALSE)</f>
        <v>USD</v>
      </c>
      <c r="E84" s="90">
        <f ca="1">VLOOKUP(A84,'銀行-TSS'!A:G,7,FALSE)</f>
        <v>22.03</v>
      </c>
      <c r="F84" s="202">
        <f ca="1">VLOOKUP(A84,'銀行-TSS'!A:H,8,FALSE)</f>
        <v>4.8000000000000001E-2</v>
      </c>
      <c r="G84" s="96">
        <f ca="1">VLOOKUP(A84,'銀行-TSS'!A:K,11,FALSE)</f>
        <v>90.02</v>
      </c>
      <c r="H84" s="1209">
        <f ca="1">VLOOKUP(A84,'銀行-TSS'!A:M,13,FALSE)</f>
        <v>5.79E-2</v>
      </c>
      <c r="I84" s="1213">
        <f ca="1">VLOOKUP(A84,'銀行-TSS'!A:N,14,FALSE)</f>
        <v>10000</v>
      </c>
      <c r="J84" s="1213">
        <f ca="1">VLOOKUP(A84,'銀行-TSS'!A:O,15,FALSE)</f>
        <v>1000</v>
      </c>
      <c r="K84" s="136" t="str">
        <f ca="1">VLOOKUP(A84,'銀行-TSS'!A:V,22,FALSE)</f>
        <v>(NPI)非專投</v>
      </c>
      <c r="L84" s="136" t="str">
        <f ca="1">VLOOKUP(A84,'銀行-TSS'!A:AK,37,FALSE)</f>
        <v>需查詢</v>
      </c>
      <c r="M84" s="136" t="str">
        <f ca="1">VLOOKUP(A84,'銀行-TSS'!A:AN,40,FALSE)</f>
        <v>XFV20</v>
      </c>
      <c r="N84" s="1211">
        <f t="shared" ca="1" si="22"/>
        <v>900.2</v>
      </c>
      <c r="O84" s="1211">
        <f t="shared" ca="1" si="23"/>
        <v>9002</v>
      </c>
      <c r="P84" s="1213">
        <f ca="1">IF(AND(換券投組!$D$17&gt;=O84,換券投組!$D$13=D84),I84+INT((換券投組!$D$17-O84)/N84)*J84,0)</f>
        <v>0</v>
      </c>
      <c r="Q84" s="1211">
        <f t="shared" ca="1" si="24"/>
        <v>0</v>
      </c>
      <c r="R84" s="1213">
        <f t="shared" ca="1" si="25"/>
        <v>0</v>
      </c>
      <c r="S84" s="1213">
        <f t="shared" ca="1" si="26"/>
        <v>0</v>
      </c>
      <c r="T84" s="136">
        <f t="shared" ca="1" si="19"/>
        <v>0</v>
      </c>
      <c r="U84" s="861">
        <f t="shared" ca="1" si="20"/>
        <v>0</v>
      </c>
      <c r="V84" s="136" t="b">
        <f ca="1">IF(OR(D84&lt;&gt;"USD",L84="無",M84&lt;&gt;"",K84="高資產",IFERROR(MATCH(B84,換券投組!K:K,0),"N")&lt;&gt;"N",IFERROR(MATCH(B84,換券投組!J:J,0),"N")&lt;&gt;"N"),FALSE,IF($V$1="All",TRUE,IF(K84=$V$1,TRUE,FALSE)))</f>
        <v>0</v>
      </c>
      <c r="W84" s="136">
        <f ca="1">VLOOKUP(A84,'銀行-TSS'!A:AO,41,FALSE)</f>
        <v>84.79</v>
      </c>
      <c r="X84" s="136">
        <f ca="1">VLOOKUP(A84,'銀行-TSS'!A:AP,42,FALSE)</f>
        <v>12.2967</v>
      </c>
      <c r="Y84" s="1223">
        <f t="shared" ca="1" si="27"/>
        <v>0</v>
      </c>
      <c r="Z84" s="1211">
        <f t="shared" ca="1" si="28"/>
        <v>0</v>
      </c>
      <c r="AA84" s="136">
        <f ca="1">IF(Z84&lt;=0,0,RANK(Z84,Z:Z)+COUNTIF($Z$3:$Z84,Z84)-1)</f>
        <v>0</v>
      </c>
      <c r="AB84" s="1211">
        <f t="shared" ca="1" si="21"/>
        <v>0</v>
      </c>
      <c r="AC84" s="136">
        <f ca="1">IF(AB84&lt;=0,0,RANK(AB84,AB:AB)+COUNTIF($AB$3:$AB84,AB84)-1)</f>
        <v>0</v>
      </c>
      <c r="AD84" s="136">
        <f t="shared" ca="1" si="29"/>
        <v>99999</v>
      </c>
      <c r="AE84" s="136">
        <f ca="1">IF(AD84=99999,0,RANK(AD84,AD:AD,1)+COUNTIF($AD$3:$AD84,AD84)-1)</f>
        <v>0</v>
      </c>
    </row>
    <row r="85" spans="1:31">
      <c r="A85" s="141" t="str">
        <f>'銀行-TSS'!A85</f>
        <v>US71568QAK31</v>
      </c>
      <c r="B85" s="151" t="str">
        <f ca="1">VLOOKUP(A85,'銀行-TSS'!A:B,2,FALSE)</f>
        <v>XFV30</v>
      </c>
      <c r="C85" s="151" t="str">
        <f ca="1">VLOOKUP(B85,bond!B:C,2,FALSE)</f>
        <v>印尼國家電力公司美元配息債券 4.875% 2049/7/17</v>
      </c>
      <c r="D85" s="95" t="str">
        <f>VLOOKUP(A85,'銀行-TSS'!A:C,3,FALSE)</f>
        <v>USD</v>
      </c>
      <c r="E85" s="90">
        <f ca="1">VLOOKUP(A85,'銀行-TSS'!A:G,7,FALSE)</f>
        <v>25.04</v>
      </c>
      <c r="F85" s="202">
        <f ca="1">VLOOKUP(A85,'銀行-TSS'!A:H,8,FALSE)</f>
        <v>4.8750000000000002E-2</v>
      </c>
      <c r="G85" s="96">
        <f ca="1">VLOOKUP(A85,'銀行-TSS'!A:K,11,FALSE)</f>
        <v>88.4</v>
      </c>
      <c r="H85" s="1209">
        <f ca="1">VLOOKUP(A85,'銀行-TSS'!A:M,13,FALSE)</f>
        <v>5.9400000000000001E-2</v>
      </c>
      <c r="I85" s="1213">
        <f ca="1">VLOOKUP(A85,'銀行-TSS'!A:N,14,FALSE)</f>
        <v>200000</v>
      </c>
      <c r="J85" s="1213">
        <f ca="1">VLOOKUP(A85,'銀行-TSS'!A:O,15,FALSE)</f>
        <v>1000</v>
      </c>
      <c r="K85" s="136" t="str">
        <f ca="1">VLOOKUP(A85,'銀行-TSS'!A:V,22,FALSE)</f>
        <v>(PI)專投</v>
      </c>
      <c r="L85" s="136" t="str">
        <f ca="1">VLOOKUP(A85,'銀行-TSS'!A:AK,37,FALSE)</f>
        <v>需查詢</v>
      </c>
      <c r="M85" s="136" t="str">
        <f ca="1">VLOOKUP(A85,'銀行-TSS'!A:AN,40,FALSE)</f>
        <v/>
      </c>
      <c r="N85" s="1211">
        <f t="shared" ca="1" si="22"/>
        <v>884</v>
      </c>
      <c r="O85" s="1211">
        <f t="shared" ca="1" si="23"/>
        <v>176800</v>
      </c>
      <c r="P85" s="1213">
        <f ca="1">IF(AND(換券投組!$D$17&gt;=O85,換券投組!$D$13=D85),I85+INT((換券投組!$D$17-O85)/N85)*J85,0)</f>
        <v>0</v>
      </c>
      <c r="Q85" s="1211">
        <f t="shared" ca="1" si="24"/>
        <v>0</v>
      </c>
      <c r="R85" s="1213">
        <f t="shared" ca="1" si="25"/>
        <v>0</v>
      </c>
      <c r="S85" s="1213">
        <f t="shared" ca="1" si="26"/>
        <v>0</v>
      </c>
      <c r="T85" s="136">
        <f t="shared" ca="1" si="19"/>
        <v>0</v>
      </c>
      <c r="U85" s="861">
        <f t="shared" ca="1" si="20"/>
        <v>0</v>
      </c>
      <c r="V85" s="136" t="b">
        <f ca="1">IF(OR(D85&lt;&gt;"USD",L85="無",M85&lt;&gt;"",K85="高資產",IFERROR(MATCH(B85,換券投組!K:K,0),"N")&lt;&gt;"N",IFERROR(MATCH(B85,換券投組!J:J,0),"N")&lt;&gt;"N"),FALSE,IF($V$1="All",TRUE,IF(K85=$V$1,TRUE,FALSE)))</f>
        <v>1</v>
      </c>
      <c r="W85" s="136">
        <f ca="1">VLOOKUP(A85,'銀行-TSS'!A:AO,41,FALSE)</f>
        <v>82.67</v>
      </c>
      <c r="X85" s="136">
        <f ca="1">VLOOKUP(A85,'銀行-TSS'!A:AP,42,FALSE)</f>
        <v>12.9787</v>
      </c>
      <c r="Y85" s="1223">
        <f t="shared" ca="1" si="27"/>
        <v>0</v>
      </c>
      <c r="Z85" s="1211">
        <f t="shared" ca="1" si="28"/>
        <v>0</v>
      </c>
      <c r="AA85" s="136">
        <f ca="1">IF(Z85&lt;=0,0,RANK(Z85,Z:Z)+COUNTIF($Z$3:$Z85,Z85)-1)</f>
        <v>0</v>
      </c>
      <c r="AB85" s="1211">
        <f t="shared" ca="1" si="21"/>
        <v>0</v>
      </c>
      <c r="AC85" s="136">
        <f ca="1">IF(AB85&lt;=0,0,RANK(AB85,AB:AB)+COUNTIF($AB$3:$AB85,AB85)-1)</f>
        <v>0</v>
      </c>
      <c r="AD85" s="136">
        <f t="shared" ca="1" si="29"/>
        <v>99999</v>
      </c>
      <c r="AE85" s="136">
        <f ca="1">IF(AD85=99999,0,RANK(AD85,AD:AD,1)+COUNTIF($AD$3:$AD85,AD85)-1)</f>
        <v>0</v>
      </c>
    </row>
    <row r="86" spans="1:31">
      <c r="A86" s="141" t="str">
        <f>'銀行-TSS'!A86</f>
        <v>XS1910948675</v>
      </c>
      <c r="B86" s="151" t="str">
        <f ca="1">VLOOKUP(A86,'銀行-TSS'!A:B,2,FALSE)</f>
        <v>XFV40</v>
      </c>
      <c r="C86" s="151" t="str">
        <f ca="1">VLOOKUP(B86,bond!B:C,2,FALSE)</f>
        <v>福斯汽車國際金融公司歐元配息債券 4.125% 2038/11/16</v>
      </c>
      <c r="D86" s="95" t="str">
        <f>VLOOKUP(A86,'銀行-TSS'!A:C,3,FALSE)</f>
        <v>EUR</v>
      </c>
      <c r="E86" s="90">
        <f ca="1">VLOOKUP(A86,'銀行-TSS'!A:G,7,FALSE)</f>
        <v>14.37</v>
      </c>
      <c r="F86" s="202">
        <f ca="1">VLOOKUP(A86,'銀行-TSS'!A:H,8,FALSE)</f>
        <v>4.1250000000000002E-2</v>
      </c>
      <c r="G86" s="96">
        <f ca="1">VLOOKUP(A86,'銀行-TSS'!A:K,11,FALSE)</f>
        <v>107.64</v>
      </c>
      <c r="H86" s="1209">
        <f ca="1">VLOOKUP(A86,'銀行-TSS'!A:M,13,FALSE)</f>
        <v>3.6700000000000003E-2</v>
      </c>
      <c r="I86" s="1213">
        <f ca="1">VLOOKUP(A86,'銀行-TSS'!A:N,14,FALSE)</f>
        <v>100000</v>
      </c>
      <c r="J86" s="1213">
        <f ca="1">VLOOKUP(A86,'銀行-TSS'!A:O,15,FALSE)</f>
        <v>100000</v>
      </c>
      <c r="K86" s="136" t="str">
        <f ca="1">VLOOKUP(A86,'銀行-TSS'!A:V,22,FALSE)</f>
        <v>(NPI)非專投</v>
      </c>
      <c r="L86" s="136" t="str">
        <f ca="1">VLOOKUP(A86,'銀行-TSS'!A:AK,37,FALSE)</f>
        <v>需查詢</v>
      </c>
      <c r="M86" s="136" t="str">
        <f ca="1">VLOOKUP(A86,'銀行-TSS'!A:AN,40,FALSE)</f>
        <v/>
      </c>
      <c r="N86" s="1211">
        <f t="shared" ca="1" si="22"/>
        <v>107640</v>
      </c>
      <c r="O86" s="1211">
        <f t="shared" ca="1" si="23"/>
        <v>107640</v>
      </c>
      <c r="P86" s="1213">
        <f ca="1">IF(AND(換券投組!$D$17&gt;=O86,換券投組!$D$13=D86),I86+INT((換券投組!$D$17-O86)/N86)*J86,0)</f>
        <v>0</v>
      </c>
      <c r="Q86" s="1211">
        <f t="shared" ca="1" si="24"/>
        <v>0</v>
      </c>
      <c r="R86" s="1213">
        <f t="shared" ca="1" si="25"/>
        <v>0</v>
      </c>
      <c r="S86" s="1213">
        <f t="shared" ca="1" si="26"/>
        <v>0</v>
      </c>
      <c r="T86" s="136">
        <f t="shared" ca="1" si="19"/>
        <v>0</v>
      </c>
      <c r="U86" s="861">
        <f t="shared" ca="1" si="20"/>
        <v>0</v>
      </c>
      <c r="V86" s="136" t="b">
        <f ca="1">IF(OR(D86&lt;&gt;"USD",L86="無",M86&lt;&gt;"",K86="高資產",IFERROR(MATCH(B86,換券投組!K:K,0),"N")&lt;&gt;"N",IFERROR(MATCH(B86,換券投組!J:J,0),"N")&lt;&gt;"N"),FALSE,IF($V$1="All",TRUE,IF(K86=$V$1,TRUE,FALSE)))</f>
        <v>0</v>
      </c>
      <c r="W86" s="136">
        <f ca="1">VLOOKUP(A86,'銀行-TSS'!A:AO,41,FALSE)</f>
        <v>102.05000000000001</v>
      </c>
      <c r="X86" s="136">
        <f ca="1">VLOOKUP(A86,'銀行-TSS'!A:AP,42,FALSE)</f>
        <v>10.4902</v>
      </c>
      <c r="Y86" s="1223">
        <f t="shared" ca="1" si="27"/>
        <v>0</v>
      </c>
      <c r="Z86" s="1211">
        <f t="shared" ca="1" si="28"/>
        <v>0</v>
      </c>
      <c r="AA86" s="136">
        <f ca="1">IF(Z86&lt;=0,0,RANK(Z86,Z:Z)+COUNTIF($Z$3:$Z86,Z86)-1)</f>
        <v>0</v>
      </c>
      <c r="AB86" s="1211">
        <f t="shared" ca="1" si="21"/>
        <v>0</v>
      </c>
      <c r="AC86" s="136">
        <f ca="1">IF(AB86&lt;=0,0,RANK(AB86,AB:AB)+COUNTIF($AB$3:$AB86,AB86)-1)</f>
        <v>0</v>
      </c>
      <c r="AD86" s="136">
        <f t="shared" ca="1" si="29"/>
        <v>99999</v>
      </c>
      <c r="AE86" s="136">
        <f ca="1">IF(AD86=99999,0,RANK(AD86,AD:AD,1)+COUNTIF($AD$3:$AD86,AD86)-1)</f>
        <v>0</v>
      </c>
    </row>
    <row r="87" spans="1:31">
      <c r="A87" s="141" t="str">
        <f>'銀行-TSS'!A87</f>
        <v>XS1684385591</v>
      </c>
      <c r="B87" s="151" t="str">
        <f ca="1">VLOOKUP(A87,'銀行-TSS'!A:B,2,FALSE)</f>
        <v>XFV50</v>
      </c>
      <c r="C87" s="151" t="str">
        <f ca="1">VLOOKUP(B87,bond!B:C,2,FALSE)</f>
        <v>軟銀集團公司歐元配息債券 4% 2029/9/19</v>
      </c>
      <c r="D87" s="95" t="str">
        <f>VLOOKUP(A87,'銀行-TSS'!A:C,3,FALSE)</f>
        <v>EUR</v>
      </c>
      <c r="E87" s="90">
        <f ca="1">VLOOKUP(A87,'銀行-TSS'!A:G,7,FALSE)</f>
        <v>5.21</v>
      </c>
      <c r="F87" s="202">
        <f ca="1">VLOOKUP(A87,'銀行-TSS'!A:H,8,FALSE)</f>
        <v>0.04</v>
      </c>
      <c r="G87" s="96">
        <f ca="1">VLOOKUP(A87,'銀行-TSS'!A:K,11,FALSE)</f>
        <v>99.65</v>
      </c>
      <c r="H87" s="1209">
        <f ca="1">VLOOKUP(A87,'銀行-TSS'!A:M,13,FALSE)</f>
        <v>4.3299999999999998E-2</v>
      </c>
      <c r="I87" s="1213">
        <f ca="1">VLOOKUP(A87,'銀行-TSS'!A:N,14,FALSE)</f>
        <v>100000</v>
      </c>
      <c r="J87" s="1213">
        <f ca="1">VLOOKUP(A87,'銀行-TSS'!A:O,15,FALSE)</f>
        <v>1000</v>
      </c>
      <c r="K87" s="136" t="str">
        <f ca="1">VLOOKUP(A87,'銀行-TSS'!A:V,22,FALSE)</f>
        <v>(PI)專投</v>
      </c>
      <c r="L87" s="136" t="str">
        <f ca="1">VLOOKUP(A87,'銀行-TSS'!A:AK,37,FALSE)</f>
        <v>需查詢</v>
      </c>
      <c r="M87" s="136" t="str">
        <f ca="1">VLOOKUP(A87,'銀行-TSS'!A:AN,40,FALSE)</f>
        <v/>
      </c>
      <c r="N87" s="1211">
        <f t="shared" ca="1" si="22"/>
        <v>996.5</v>
      </c>
      <c r="O87" s="1211">
        <f t="shared" ca="1" si="23"/>
        <v>99650</v>
      </c>
      <c r="P87" s="1213">
        <f ca="1">IF(AND(換券投組!$D$17&gt;=O87,換券投組!$D$13=D87),I87+INT((換券投組!$D$17-O87)/N87)*J87,0)</f>
        <v>0</v>
      </c>
      <c r="Q87" s="1211">
        <f t="shared" ca="1" si="24"/>
        <v>0</v>
      </c>
      <c r="R87" s="1213">
        <f t="shared" ca="1" si="25"/>
        <v>0</v>
      </c>
      <c r="S87" s="1213">
        <f t="shared" ca="1" si="26"/>
        <v>0</v>
      </c>
      <c r="T87" s="136">
        <f t="shared" ca="1" si="19"/>
        <v>0</v>
      </c>
      <c r="U87" s="861">
        <f t="shared" ca="1" si="20"/>
        <v>0</v>
      </c>
      <c r="V87" s="136" t="b">
        <f ca="1">IF(OR(D87&lt;&gt;"USD",L87="無",M87&lt;&gt;"",K87="高資產",IFERROR(MATCH(B87,換券投組!K:K,0),"N")&lt;&gt;"N",IFERROR(MATCH(B87,換券投組!J:J,0),"N")&lt;&gt;"N"),FALSE,IF($V$1="All",TRUE,IF(K87=$V$1,TRUE,FALSE)))</f>
        <v>0</v>
      </c>
      <c r="W87" s="136">
        <f ca="1">VLOOKUP(A87,'銀行-TSS'!A:AO,41,FALSE)</f>
        <v>96.490000000000009</v>
      </c>
      <c r="X87" s="136">
        <f ca="1">VLOOKUP(A87,'銀行-TSS'!A:AP,42,FALSE)</f>
        <v>4.4715999999999996</v>
      </c>
      <c r="Y87" s="1223">
        <f t="shared" ca="1" si="27"/>
        <v>0</v>
      </c>
      <c r="Z87" s="1211">
        <f t="shared" ca="1" si="28"/>
        <v>0</v>
      </c>
      <c r="AA87" s="136">
        <f ca="1">IF(Z87&lt;=0,0,RANK(Z87,Z:Z)+COUNTIF($Z$3:$Z87,Z87)-1)</f>
        <v>0</v>
      </c>
      <c r="AB87" s="1211">
        <f t="shared" ca="1" si="21"/>
        <v>0</v>
      </c>
      <c r="AC87" s="136">
        <f ca="1">IF(AB87&lt;=0,0,RANK(AB87,AB:AB)+COUNTIF($AB$3:$AB87,AB87)-1)</f>
        <v>0</v>
      </c>
      <c r="AD87" s="136">
        <f t="shared" ca="1" si="29"/>
        <v>99999</v>
      </c>
      <c r="AE87" s="136">
        <f ca="1">IF(AD87=99999,0,RANK(AD87,AD:AD,1)+COUNTIF($AD$3:$AD87,AD87)-1)</f>
        <v>0</v>
      </c>
    </row>
    <row r="88" spans="1:31">
      <c r="A88" s="141" t="str">
        <f>'銀行-TSS'!A88</f>
        <v>USN30707AE88</v>
      </c>
      <c r="B88" s="151" t="str">
        <f ca="1">VLOOKUP(A88,'銀行-TSS'!A:B,2,FALSE)</f>
        <v>XFV60</v>
      </c>
      <c r="C88" s="151" t="str">
        <f ca="1">VLOOKUP(B88,bond!B:C,2,FALSE)</f>
        <v>義大利國家電力金融公司美元配息債券 4.75% 2047/5/25</v>
      </c>
      <c r="D88" s="95" t="str">
        <f>VLOOKUP(A88,'銀行-TSS'!A:C,3,FALSE)</f>
        <v>USD</v>
      </c>
      <c r="E88" s="90">
        <f ca="1">VLOOKUP(A88,'銀行-TSS'!A:G,7,FALSE)</f>
        <v>22.89</v>
      </c>
      <c r="F88" s="202">
        <f ca="1">VLOOKUP(A88,'銀行-TSS'!A:H,8,FALSE)</f>
        <v>4.7500000000000001E-2</v>
      </c>
      <c r="G88" s="96">
        <f ca="1">VLOOKUP(A88,'銀行-TSS'!A:K,11,FALSE)</f>
        <v>88.91</v>
      </c>
      <c r="H88" s="1209">
        <f ca="1">VLOOKUP(A88,'銀行-TSS'!A:M,13,FALSE)</f>
        <v>5.6599999999999998E-2</v>
      </c>
      <c r="I88" s="1213">
        <f ca="1">VLOOKUP(A88,'銀行-TSS'!A:N,14,FALSE)</f>
        <v>200000</v>
      </c>
      <c r="J88" s="1213">
        <f ca="1">VLOOKUP(A88,'銀行-TSS'!A:O,15,FALSE)</f>
        <v>1000</v>
      </c>
      <c r="K88" s="136" t="str">
        <f ca="1">VLOOKUP(A88,'銀行-TSS'!A:V,22,FALSE)</f>
        <v>(PI)專投</v>
      </c>
      <c r="L88" s="136" t="str">
        <f ca="1">VLOOKUP(A88,'銀行-TSS'!A:AK,37,FALSE)</f>
        <v>有</v>
      </c>
      <c r="M88" s="136" t="str">
        <f ca="1">VLOOKUP(A88,'銀行-TSS'!A:AN,40,FALSE)</f>
        <v/>
      </c>
      <c r="N88" s="1211">
        <f t="shared" ca="1" si="22"/>
        <v>889.1</v>
      </c>
      <c r="O88" s="1211">
        <f t="shared" ca="1" si="23"/>
        <v>177820</v>
      </c>
      <c r="P88" s="1213">
        <f ca="1">IF(AND(換券投組!$D$17&gt;=O88,換券投組!$D$13=D88),I88+INT((換券投組!$D$17-O88)/N88)*J88,0)</f>
        <v>0</v>
      </c>
      <c r="Q88" s="1211">
        <f t="shared" ca="1" si="24"/>
        <v>0</v>
      </c>
      <c r="R88" s="1213">
        <f t="shared" ca="1" si="25"/>
        <v>0</v>
      </c>
      <c r="S88" s="1213">
        <f t="shared" ca="1" si="26"/>
        <v>0</v>
      </c>
      <c r="T88" s="136">
        <f t="shared" ca="1" si="19"/>
        <v>0</v>
      </c>
      <c r="U88" s="861">
        <f t="shared" ca="1" si="20"/>
        <v>0</v>
      </c>
      <c r="V88" s="136" t="b">
        <f ca="1">IF(OR(D88&lt;&gt;"USD",L88="無",M88&lt;&gt;"",K88="高資產",IFERROR(MATCH(B88,換券投組!K:K,0),"N")&lt;&gt;"N",IFERROR(MATCH(B88,換券投組!J:J,0),"N")&lt;&gt;"N"),FALSE,IF($V$1="All",TRUE,IF(K88=$V$1,TRUE,FALSE)))</f>
        <v>1</v>
      </c>
      <c r="W88" s="136">
        <f ca="1">VLOOKUP(A88,'銀行-TSS'!A:AO,41,FALSE)</f>
        <v>84.92</v>
      </c>
      <c r="X88" s="136">
        <f ca="1">VLOOKUP(A88,'銀行-TSS'!A:AP,42,FALSE)</f>
        <v>12.996700000000001</v>
      </c>
      <c r="Y88" s="1223">
        <f t="shared" ca="1" si="27"/>
        <v>0</v>
      </c>
      <c r="Z88" s="1211">
        <f t="shared" ca="1" si="28"/>
        <v>0</v>
      </c>
      <c r="AA88" s="136">
        <f ca="1">IF(Z88&lt;=0,0,RANK(Z88,Z:Z)+COUNTIF($Z$3:$Z88,Z88)-1)</f>
        <v>0</v>
      </c>
      <c r="AB88" s="1211">
        <f t="shared" ca="1" si="21"/>
        <v>0</v>
      </c>
      <c r="AC88" s="136">
        <f ca="1">IF(AB88&lt;=0,0,RANK(AB88,AB:AB)+COUNTIF($AB$3:$AB88,AB88)-1)</f>
        <v>0</v>
      </c>
      <c r="AD88" s="136">
        <f t="shared" ca="1" si="29"/>
        <v>99999</v>
      </c>
      <c r="AE88" s="136">
        <f ca="1">IF(AD88=99999,0,RANK(AD88,AD:AD,1)+COUNTIF($AD$3:$AD88,AD88)-1)</f>
        <v>0</v>
      </c>
    </row>
    <row r="89" spans="1:31">
      <c r="A89" s="141" t="str">
        <f>'銀行-TSS'!A89</f>
        <v>USP57908AH15</v>
      </c>
      <c r="B89" s="151" t="str">
        <f ca="1">VLOOKUP(A89,'銀行-TSS'!A:B,2,FALSE)</f>
        <v>XFV70</v>
      </c>
      <c r="C89" s="151" t="str">
        <f ca="1">VLOOKUP(B89,bond!B:C,2,FALSE)</f>
        <v>墨西哥化工公司美元配息債券 5.5% 2048/1/15</v>
      </c>
      <c r="D89" s="95" t="str">
        <f>VLOOKUP(A89,'銀行-TSS'!A:C,3,FALSE)</f>
        <v>USD</v>
      </c>
      <c r="E89" s="90">
        <f ca="1">VLOOKUP(A89,'銀行-TSS'!A:G,7,FALSE)</f>
        <v>23.54</v>
      </c>
      <c r="F89" s="202">
        <f ca="1">VLOOKUP(A89,'銀行-TSS'!A:H,8,FALSE)</f>
        <v>5.5E-2</v>
      </c>
      <c r="G89" s="96">
        <f ca="1">VLOOKUP(A89,'銀行-TSS'!A:K,11,FALSE)</f>
        <v>92</v>
      </c>
      <c r="H89" s="1209">
        <f ca="1">VLOOKUP(A89,'銀行-TSS'!A:M,13,FALSE)</f>
        <v>6.3700000000000007E-2</v>
      </c>
      <c r="I89" s="1213">
        <f ca="1">VLOOKUP(A89,'銀行-TSS'!A:N,14,FALSE)</f>
        <v>200000</v>
      </c>
      <c r="J89" s="1213">
        <f ca="1">VLOOKUP(A89,'銀行-TSS'!A:O,15,FALSE)</f>
        <v>1000</v>
      </c>
      <c r="K89" s="136" t="str">
        <f ca="1">VLOOKUP(A89,'銀行-TSS'!A:V,22,FALSE)</f>
        <v>(PI)專投</v>
      </c>
      <c r="L89" s="136" t="str">
        <f ca="1">VLOOKUP(A89,'銀行-TSS'!A:AK,37,FALSE)</f>
        <v>需查詢</v>
      </c>
      <c r="M89" s="136" t="str">
        <f ca="1">VLOOKUP(A89,'銀行-TSS'!A:AN,40,FALSE)</f>
        <v/>
      </c>
      <c r="N89" s="1211">
        <f t="shared" ca="1" si="22"/>
        <v>920</v>
      </c>
      <c r="O89" s="1211">
        <f t="shared" ca="1" si="23"/>
        <v>184000</v>
      </c>
      <c r="P89" s="1213">
        <f ca="1">IF(AND(換券投組!$D$17&gt;=O89,換券投組!$D$13=D89),I89+INT((換券投組!$D$17-O89)/N89)*J89,0)</f>
        <v>0</v>
      </c>
      <c r="Q89" s="1211">
        <f t="shared" ca="1" si="24"/>
        <v>0</v>
      </c>
      <c r="R89" s="1213">
        <f t="shared" ca="1" si="25"/>
        <v>0</v>
      </c>
      <c r="S89" s="1213">
        <f t="shared" ca="1" si="26"/>
        <v>0</v>
      </c>
      <c r="T89" s="136">
        <f t="shared" ca="1" si="19"/>
        <v>0</v>
      </c>
      <c r="U89" s="861">
        <f t="shared" ca="1" si="20"/>
        <v>0</v>
      </c>
      <c r="V89" s="136" t="b">
        <f ca="1">IF(OR(D89&lt;&gt;"USD",L89="無",M89&lt;&gt;"",K89="高資產",IFERROR(MATCH(B89,換券投組!K:K,0),"N")&lt;&gt;"N",IFERROR(MATCH(B89,換券投組!J:J,0),"N")&lt;&gt;"N"),FALSE,IF($V$1="All",TRUE,IF(K89=$V$1,TRUE,FALSE)))</f>
        <v>1</v>
      </c>
      <c r="W89" s="136">
        <f ca="1">VLOOKUP(A89,'銀行-TSS'!A:AO,41,FALSE)</f>
        <v>85.95</v>
      </c>
      <c r="X89" s="136">
        <f ca="1">VLOOKUP(A89,'銀行-TSS'!A:AP,42,FALSE)</f>
        <v>11.930199999999999</v>
      </c>
      <c r="Y89" s="1223">
        <f t="shared" ca="1" si="27"/>
        <v>0</v>
      </c>
      <c r="Z89" s="1211">
        <f t="shared" ca="1" si="28"/>
        <v>0</v>
      </c>
      <c r="AA89" s="136">
        <f ca="1">IF(Z89&lt;=0,0,RANK(Z89,Z:Z)+COUNTIF($Z$3:$Z89,Z89)-1)</f>
        <v>0</v>
      </c>
      <c r="AB89" s="1211">
        <f t="shared" ca="1" si="21"/>
        <v>0</v>
      </c>
      <c r="AC89" s="136">
        <f ca="1">IF(AB89&lt;=0,0,RANK(AB89,AB:AB)+COUNTIF($AB$3:$AB89,AB89)-1)</f>
        <v>0</v>
      </c>
      <c r="AD89" s="136">
        <f t="shared" ca="1" si="29"/>
        <v>99999</v>
      </c>
      <c r="AE89" s="136">
        <f ca="1">IF(AD89=99999,0,RANK(AD89,AD:AD,1)+COUNTIF($AD$3:$AD89,AD89)-1)</f>
        <v>0</v>
      </c>
    </row>
    <row r="90" spans="1:31">
      <c r="A90" s="141" t="str">
        <f>'銀行-TSS'!A90</f>
        <v>USF2893TAE67</v>
      </c>
      <c r="B90" s="151" t="str">
        <f ca="1">VLOOKUP(A90,'銀行-TSS'!A:B,2,FALSE)</f>
        <v>XFV80</v>
      </c>
      <c r="C90" s="151" t="str">
        <f ca="1">VLOOKUP(B90,bond!B:C,2,FALSE)</f>
        <v>法國電力公司美元配息債券 5.6% 2040/1/27</v>
      </c>
      <c r="D90" s="95" t="str">
        <f>VLOOKUP(A90,'銀行-TSS'!A:C,3,FALSE)</f>
        <v>USD</v>
      </c>
      <c r="E90" s="90">
        <f ca="1">VLOOKUP(A90,'銀行-TSS'!A:G,7,FALSE)</f>
        <v>15.57</v>
      </c>
      <c r="F90" s="202">
        <f ca="1">VLOOKUP(A90,'銀行-TSS'!A:H,8,FALSE)</f>
        <v>5.5999999999999994E-2</v>
      </c>
      <c r="G90" s="96">
        <f ca="1">VLOOKUP(A90,'銀行-TSS'!A:K,11,FALSE)</f>
        <v>105.01</v>
      </c>
      <c r="H90" s="1209">
        <f ca="1">VLOOKUP(A90,'銀行-TSS'!A:M,13,FALSE)</f>
        <v>5.3499999999999999E-2</v>
      </c>
      <c r="I90" s="1213">
        <f ca="1">VLOOKUP(A90,'銀行-TSS'!A:N,14,FALSE)</f>
        <v>10000</v>
      </c>
      <c r="J90" s="1213">
        <f ca="1">VLOOKUP(A90,'銀行-TSS'!A:O,15,FALSE)</f>
        <v>1000</v>
      </c>
      <c r="K90" s="136" t="str">
        <f ca="1">VLOOKUP(A90,'銀行-TSS'!A:V,22,FALSE)</f>
        <v>(PI)專投</v>
      </c>
      <c r="L90" s="136" t="str">
        <f ca="1">VLOOKUP(A90,'銀行-TSS'!A:AK,37,FALSE)</f>
        <v>無</v>
      </c>
      <c r="M90" s="136" t="str">
        <f ca="1">VLOOKUP(A90,'銀行-TSS'!A:AN,40,FALSE)</f>
        <v>XFV80</v>
      </c>
      <c r="N90" s="1211">
        <f t="shared" ca="1" si="22"/>
        <v>1050.0999999999999</v>
      </c>
      <c r="O90" s="1211">
        <f t="shared" ca="1" si="23"/>
        <v>10501</v>
      </c>
      <c r="P90" s="1213">
        <f ca="1">IF(AND(換券投組!$D$17&gt;=O90,換券投組!$D$13=D90),I90+INT((換券投組!$D$17-O90)/N90)*J90,0)</f>
        <v>0</v>
      </c>
      <c r="Q90" s="1211">
        <f t="shared" ca="1" si="24"/>
        <v>0</v>
      </c>
      <c r="R90" s="1213">
        <f t="shared" ca="1" si="25"/>
        <v>0</v>
      </c>
      <c r="S90" s="1213">
        <f t="shared" ca="1" si="26"/>
        <v>0</v>
      </c>
      <c r="T90" s="136">
        <f t="shared" ca="1" si="19"/>
        <v>0</v>
      </c>
      <c r="U90" s="861">
        <f t="shared" ca="1" si="20"/>
        <v>0</v>
      </c>
      <c r="V90" s="136" t="b">
        <f ca="1">IF(OR(D90&lt;&gt;"USD",L90="無",M90&lt;&gt;"",K90="高資產",IFERROR(MATCH(B90,換券投組!K:K,0),"N")&lt;&gt;"N",IFERROR(MATCH(B90,換券投組!J:J,0),"N")&lt;&gt;"N"),FALSE,IF($V$1="All",TRUE,IF(K90=$V$1,TRUE,FALSE)))</f>
        <v>0</v>
      </c>
      <c r="W90" s="136">
        <f ca="1">VLOOKUP(A90,'銀行-TSS'!A:AO,41,FALSE)</f>
        <v>99.600000000000009</v>
      </c>
      <c r="X90" s="136">
        <f ca="1">VLOOKUP(A90,'銀行-TSS'!A:AP,42,FALSE)</f>
        <v>10.0481</v>
      </c>
      <c r="Y90" s="1223">
        <f t="shared" ca="1" si="27"/>
        <v>0</v>
      </c>
      <c r="Z90" s="1211">
        <f t="shared" ca="1" si="28"/>
        <v>0</v>
      </c>
      <c r="AA90" s="136">
        <f ca="1">IF(Z90&lt;=0,0,RANK(Z90,Z:Z)+COUNTIF($Z$3:$Z90,Z90)-1)</f>
        <v>0</v>
      </c>
      <c r="AB90" s="1211">
        <f t="shared" ca="1" si="21"/>
        <v>0</v>
      </c>
      <c r="AC90" s="136">
        <f ca="1">IF(AB90&lt;=0,0,RANK(AB90,AB:AB)+COUNTIF($AB$3:$AB90,AB90)-1)</f>
        <v>0</v>
      </c>
      <c r="AD90" s="136">
        <f t="shared" ca="1" si="29"/>
        <v>99999</v>
      </c>
      <c r="AE90" s="136">
        <f ca="1">IF(AD90=99999,0,RANK(AD90,AD:AD,1)+COUNTIF($AD$3:$AD90,AD90)-1)</f>
        <v>0</v>
      </c>
    </row>
    <row r="91" spans="1:31">
      <c r="A91" s="141" t="str">
        <f>'銀行-TSS'!A91</f>
        <v>US58013MFA71</v>
      </c>
      <c r="B91" s="151" t="str">
        <f ca="1">VLOOKUP(A91,'銀行-TSS'!A:B,2,FALSE)</f>
        <v>XFV90</v>
      </c>
      <c r="C91" s="151" t="str">
        <f ca="1">VLOOKUP(B91,bond!B:C,2,FALSE)</f>
        <v>麥當勞公司美元配息債券 4.875% 2045/12/9</v>
      </c>
      <c r="D91" s="95" t="str">
        <f>VLOOKUP(A91,'銀行-TSS'!A:C,3,FALSE)</f>
        <v>USD</v>
      </c>
      <c r="E91" s="90">
        <f ca="1">VLOOKUP(A91,'銀行-TSS'!A:G,7,FALSE)</f>
        <v>21.44</v>
      </c>
      <c r="F91" s="202">
        <f ca="1">VLOOKUP(A91,'銀行-TSS'!A:H,8,FALSE)</f>
        <v>4.8750000000000002E-2</v>
      </c>
      <c r="G91" s="96">
        <f ca="1">VLOOKUP(A91,'銀行-TSS'!A:K,11,FALSE)</f>
        <v>93.85</v>
      </c>
      <c r="H91" s="1209">
        <f ca="1">VLOOKUP(A91,'銀行-TSS'!A:M,13,FALSE)</f>
        <v>5.3900000000000003E-2</v>
      </c>
      <c r="I91" s="1213">
        <f ca="1">VLOOKUP(A91,'銀行-TSS'!A:N,14,FALSE)</f>
        <v>10000</v>
      </c>
      <c r="J91" s="1213">
        <f ca="1">VLOOKUP(A91,'銀行-TSS'!A:O,15,FALSE)</f>
        <v>1000</v>
      </c>
      <c r="K91" s="136" t="str">
        <f ca="1">VLOOKUP(A91,'銀行-TSS'!A:V,22,FALSE)</f>
        <v>(PI)專投</v>
      </c>
      <c r="L91" s="136" t="str">
        <f ca="1">VLOOKUP(A91,'銀行-TSS'!A:AK,37,FALSE)</f>
        <v>有</v>
      </c>
      <c r="M91" s="136" t="str">
        <f ca="1">VLOOKUP(A91,'銀行-TSS'!A:AN,40,FALSE)</f>
        <v/>
      </c>
      <c r="N91" s="1211">
        <f t="shared" ca="1" si="22"/>
        <v>938.5</v>
      </c>
      <c r="O91" s="1211">
        <f t="shared" ca="1" si="23"/>
        <v>9385</v>
      </c>
      <c r="P91" s="1213">
        <f ca="1">IF(AND(換券投組!$D$17&gt;=O91,換券投組!$D$13=D91),I91+INT((換券投組!$D$17-O91)/N91)*J91,0)</f>
        <v>0</v>
      </c>
      <c r="Q91" s="1211">
        <f t="shared" ca="1" si="24"/>
        <v>0</v>
      </c>
      <c r="R91" s="1213">
        <f t="shared" ca="1" si="25"/>
        <v>0</v>
      </c>
      <c r="S91" s="1213">
        <f t="shared" ca="1" si="26"/>
        <v>0</v>
      </c>
      <c r="T91" s="136">
        <f t="shared" ca="1" si="19"/>
        <v>0</v>
      </c>
      <c r="U91" s="861">
        <f t="shared" ca="1" si="20"/>
        <v>0</v>
      </c>
      <c r="V91" s="136" t="b">
        <f ca="1">IF(OR(D91&lt;&gt;"USD",L91="無",M91&lt;&gt;"",K91="高資產",IFERROR(MATCH(B91,換券投組!K:K,0),"N")&lt;&gt;"N",IFERROR(MATCH(B91,換券投組!J:J,0),"N")&lt;&gt;"N"),FALSE,IF($V$1="All",TRUE,IF(K91=$V$1,TRUE,FALSE)))</f>
        <v>1</v>
      </c>
      <c r="W91" s="136">
        <f ca="1">VLOOKUP(A91,'銀行-TSS'!A:AO,41,FALSE)</f>
        <v>90.54</v>
      </c>
      <c r="X91" s="136">
        <f ca="1">VLOOKUP(A91,'銀行-TSS'!A:AP,42,FALSE)</f>
        <v>12.735799999999999</v>
      </c>
      <c r="Y91" s="1223">
        <f t="shared" ca="1" si="27"/>
        <v>0</v>
      </c>
      <c r="Z91" s="1211">
        <f t="shared" ca="1" si="28"/>
        <v>0</v>
      </c>
      <c r="AA91" s="136">
        <f ca="1">IF(Z91&lt;=0,0,RANK(Z91,Z:Z)+COUNTIF($Z$3:$Z91,Z91)-1)</f>
        <v>0</v>
      </c>
      <c r="AB91" s="1211">
        <f t="shared" ca="1" si="21"/>
        <v>0</v>
      </c>
      <c r="AC91" s="136">
        <f ca="1">IF(AB91&lt;=0,0,RANK(AB91,AB:AB)+COUNTIF($AB$3:$AB91,AB91)-1)</f>
        <v>0</v>
      </c>
      <c r="AD91" s="136">
        <f t="shared" ca="1" si="29"/>
        <v>99999</v>
      </c>
      <c r="AE91" s="136">
        <f ca="1">IF(AD91=99999,0,RANK(AD91,AD:AD,1)+COUNTIF($AD$3:$AD91,AD91)-1)</f>
        <v>0</v>
      </c>
    </row>
    <row r="92" spans="1:31">
      <c r="A92" s="141" t="str">
        <f>'銀行-TSS'!A92</f>
        <v>US126650CZ11</v>
      </c>
      <c r="B92" s="151" t="str">
        <f ca="1">VLOOKUP(A92,'銀行-TSS'!A:B,2,FALSE)</f>
        <v>XFW10</v>
      </c>
      <c r="C92" s="151" t="str">
        <f ca="1">VLOOKUP(B92,bond!B:C,2,FALSE)</f>
        <v>CVSHEALTH公司美元配息債券 5.05% 2048/3/25</v>
      </c>
      <c r="D92" s="95" t="str">
        <f>VLOOKUP(A92,'銀行-TSS'!A:C,3,FALSE)</f>
        <v>USD</v>
      </c>
      <c r="E92" s="90">
        <f ca="1">VLOOKUP(A92,'銀行-TSS'!A:G,7,FALSE)</f>
        <v>23.73</v>
      </c>
      <c r="F92" s="202">
        <f ca="1">VLOOKUP(A92,'銀行-TSS'!A:H,8,FALSE)</f>
        <v>5.0499999999999996E-2</v>
      </c>
      <c r="G92" s="96">
        <f ca="1">VLOOKUP(A92,'銀行-TSS'!A:K,11,FALSE)</f>
        <v>91.65</v>
      </c>
      <c r="H92" s="1209">
        <f ca="1">VLOOKUP(A92,'銀行-TSS'!A:M,13,FALSE)</f>
        <v>5.8099999999999999E-2</v>
      </c>
      <c r="I92" s="1213">
        <f ca="1">VLOOKUP(A92,'銀行-TSS'!A:N,14,FALSE)</f>
        <v>10000</v>
      </c>
      <c r="J92" s="1213">
        <f ca="1">VLOOKUP(A92,'銀行-TSS'!A:O,15,FALSE)</f>
        <v>1000</v>
      </c>
      <c r="K92" s="136" t="str">
        <f ca="1">VLOOKUP(A92,'銀行-TSS'!A:V,22,FALSE)</f>
        <v>(PI)專投</v>
      </c>
      <c r="L92" s="136" t="str">
        <f ca="1">VLOOKUP(A92,'銀行-TSS'!A:AK,37,FALSE)</f>
        <v>有</v>
      </c>
      <c r="M92" s="136" t="str">
        <f ca="1">VLOOKUP(A92,'銀行-TSS'!A:AN,40,FALSE)</f>
        <v/>
      </c>
      <c r="N92" s="1211">
        <f t="shared" ca="1" si="22"/>
        <v>916.5</v>
      </c>
      <c r="O92" s="1211">
        <f t="shared" ca="1" si="23"/>
        <v>9165</v>
      </c>
      <c r="P92" s="1213">
        <f ca="1">IF(AND(換券投組!$D$17&gt;=O92,換券投組!$D$13=D92),I92+INT((換券投組!$D$17-O92)/N92)*J92,0)</f>
        <v>0</v>
      </c>
      <c r="Q92" s="1211">
        <f t="shared" ca="1" si="24"/>
        <v>0</v>
      </c>
      <c r="R92" s="1213">
        <f t="shared" ca="1" si="25"/>
        <v>0</v>
      </c>
      <c r="S92" s="1213">
        <f t="shared" ca="1" si="26"/>
        <v>0</v>
      </c>
      <c r="T92" s="136">
        <f t="shared" ca="1" si="19"/>
        <v>0</v>
      </c>
      <c r="U92" s="861">
        <f t="shared" ca="1" si="20"/>
        <v>0</v>
      </c>
      <c r="V92" s="136" t="b">
        <f ca="1">IF(OR(D92&lt;&gt;"USD",L92="無",M92&lt;&gt;"",K92="高資產",IFERROR(MATCH(B92,換券投組!K:K,0),"N")&lt;&gt;"N",IFERROR(MATCH(B92,換券投組!J:J,0),"N")&lt;&gt;"N"),FALSE,IF($V$1="All",TRUE,IF(K92=$V$1,TRUE,FALSE)))</f>
        <v>1</v>
      </c>
      <c r="W92" s="136">
        <f ca="1">VLOOKUP(A92,'銀行-TSS'!A:AO,41,FALSE)</f>
        <v>86.79</v>
      </c>
      <c r="X92" s="136">
        <f ca="1">VLOOKUP(A92,'銀行-TSS'!A:AP,42,FALSE)</f>
        <v>12.8414</v>
      </c>
      <c r="Y92" s="1223">
        <f t="shared" ca="1" si="27"/>
        <v>0</v>
      </c>
      <c r="Z92" s="1211">
        <f t="shared" ca="1" si="28"/>
        <v>0</v>
      </c>
      <c r="AA92" s="136">
        <f ca="1">IF(Z92&lt;=0,0,RANK(Z92,Z:Z)+COUNTIF($Z$3:$Z92,Z92)-1)</f>
        <v>0</v>
      </c>
      <c r="AB92" s="1211">
        <f t="shared" ca="1" si="21"/>
        <v>0</v>
      </c>
      <c r="AC92" s="136">
        <f ca="1">IF(AB92&lt;=0,0,RANK(AB92,AB:AB)+COUNTIF($AB$3:$AB92,AB92)-1)</f>
        <v>0</v>
      </c>
      <c r="AD92" s="136">
        <f t="shared" ca="1" si="29"/>
        <v>99999</v>
      </c>
      <c r="AE92" s="136">
        <f ca="1">IF(AD92=99999,0,RANK(AD92,AD:AD,1)+COUNTIF($AD$3:$AD92,AD92)-1)</f>
        <v>0</v>
      </c>
    </row>
    <row r="93" spans="1:31">
      <c r="A93" s="141" t="str">
        <f>'銀行-TSS'!A93</f>
        <v>US931142EP44</v>
      </c>
      <c r="B93" s="151" t="str">
        <f ca="1">VLOOKUP(A93,'銀行-TSS'!A:B,2,FALSE)</f>
        <v>XFW50</v>
      </c>
      <c r="C93" s="151" t="str">
        <f ca="1">VLOOKUP(B93,bond!B:C,2,FALSE)</f>
        <v>沃爾瑪公司美元配息債券 2.95% 2049/9/24</v>
      </c>
      <c r="D93" s="95" t="str">
        <f>VLOOKUP(A93,'銀行-TSS'!A:C,3,FALSE)</f>
        <v>USD</v>
      </c>
      <c r="E93" s="90">
        <f ca="1">VLOOKUP(A93,'銀行-TSS'!A:G,7,FALSE)</f>
        <v>25.23</v>
      </c>
      <c r="F93" s="202">
        <f ca="1">VLOOKUP(A93,'銀行-TSS'!A:H,8,FALSE)</f>
        <v>2.9500000000000002E-2</v>
      </c>
      <c r="G93" s="96">
        <f ca="1">VLOOKUP(A93,'銀行-TSS'!A:K,11,FALSE)</f>
        <v>70.81</v>
      </c>
      <c r="H93" s="1209">
        <f ca="1">VLOOKUP(A93,'銀行-TSS'!A:M,13,FALSE)</f>
        <v>5.0700000000000002E-2</v>
      </c>
      <c r="I93" s="1213">
        <f ca="1">VLOOKUP(A93,'銀行-TSS'!A:N,14,FALSE)</f>
        <v>2000</v>
      </c>
      <c r="J93" s="1213">
        <f ca="1">VLOOKUP(A93,'銀行-TSS'!A:O,15,FALSE)</f>
        <v>1000</v>
      </c>
      <c r="K93" s="136" t="str">
        <f ca="1">VLOOKUP(A93,'銀行-TSS'!A:V,22,FALSE)</f>
        <v>(NPI)非專投</v>
      </c>
      <c r="L93" s="136" t="str">
        <f ca="1">VLOOKUP(A93,'銀行-TSS'!A:AK,37,FALSE)</f>
        <v>有</v>
      </c>
      <c r="M93" s="136" t="str">
        <f ca="1">VLOOKUP(A93,'銀行-TSS'!A:AN,40,FALSE)</f>
        <v/>
      </c>
      <c r="N93" s="1211">
        <f t="shared" ca="1" si="22"/>
        <v>708.1</v>
      </c>
      <c r="O93" s="1211">
        <f t="shared" ca="1" si="23"/>
        <v>1416.2</v>
      </c>
      <c r="P93" s="1213">
        <f ca="1">IF(AND(換券投組!$D$17&gt;=O93,換券投組!$D$13=D93),I93+INT((換券投組!$D$17-O93)/N93)*J93,0)</f>
        <v>0</v>
      </c>
      <c r="Q93" s="1211">
        <f t="shared" ca="1" si="24"/>
        <v>0</v>
      </c>
      <c r="R93" s="1213">
        <f t="shared" ca="1" si="25"/>
        <v>0</v>
      </c>
      <c r="S93" s="1213">
        <f t="shared" ca="1" si="26"/>
        <v>0</v>
      </c>
      <c r="T93" s="136">
        <f t="shared" ca="1" si="19"/>
        <v>0</v>
      </c>
      <c r="U93" s="861">
        <f t="shared" ca="1" si="20"/>
        <v>0</v>
      </c>
      <c r="V93" s="136" t="b">
        <f ca="1">IF(OR(D93&lt;&gt;"USD",L93="無",M93&lt;&gt;"",K93="高資產",IFERROR(MATCH(B93,換券投組!K:K,0),"N")&lt;&gt;"N",IFERROR(MATCH(B93,換券投組!J:J,0),"N")&lt;&gt;"N"),FALSE,IF($V$1="All",TRUE,IF(K93=$V$1,TRUE,FALSE)))</f>
        <v>1</v>
      </c>
      <c r="W93" s="136">
        <f ca="1">VLOOKUP(A93,'銀行-TSS'!A:AO,41,FALSE)</f>
        <v>69.010000000000005</v>
      </c>
      <c r="X93" s="136">
        <f ca="1">VLOOKUP(A93,'銀行-TSS'!A:AP,42,FALSE)</f>
        <v>15.648999999999999</v>
      </c>
      <c r="Y93" s="1223">
        <f t="shared" ca="1" si="27"/>
        <v>0</v>
      </c>
      <c r="Z93" s="1211">
        <f t="shared" ca="1" si="28"/>
        <v>0</v>
      </c>
      <c r="AA93" s="136">
        <f ca="1">IF(Z93&lt;=0,0,RANK(Z93,Z:Z)+COUNTIF($Z$3:$Z93,Z93)-1)</f>
        <v>0</v>
      </c>
      <c r="AB93" s="1211">
        <f t="shared" ca="1" si="21"/>
        <v>0</v>
      </c>
      <c r="AC93" s="136">
        <f ca="1">IF(AB93&lt;=0,0,RANK(AB93,AB:AB)+COUNTIF($AB$3:$AB93,AB93)-1)</f>
        <v>0</v>
      </c>
      <c r="AD93" s="136">
        <f t="shared" ca="1" si="29"/>
        <v>99999</v>
      </c>
      <c r="AE93" s="136">
        <f ca="1">IF(AD93=99999,0,RANK(AD93,AD:AD,1)+COUNTIF($AD$3:$AD93,AD93)-1)</f>
        <v>0</v>
      </c>
    </row>
    <row r="94" spans="1:31">
      <c r="A94" s="141" t="str">
        <f>'銀行-TSS'!A94</f>
        <v>US911312BS40</v>
      </c>
      <c r="B94" s="151" t="str">
        <f ca="1">VLOOKUP(A94,'銀行-TSS'!A:B,2,FALSE)</f>
        <v>XFW60</v>
      </c>
      <c r="C94" s="151" t="str">
        <f ca="1">VLOOKUP(B94,bond!B:C,2,FALSE)</f>
        <v>聯合包裹服務公司美元配息債券 3.4% 2049/9/1</v>
      </c>
      <c r="D94" s="95" t="str">
        <f>VLOOKUP(A94,'銀行-TSS'!A:C,3,FALSE)</f>
        <v>USD</v>
      </c>
      <c r="E94" s="90">
        <f ca="1">VLOOKUP(A94,'銀行-TSS'!A:G,7,FALSE)</f>
        <v>25.17</v>
      </c>
      <c r="F94" s="202">
        <f ca="1">VLOOKUP(A94,'銀行-TSS'!A:H,8,FALSE)</f>
        <v>3.4000000000000002E-2</v>
      </c>
      <c r="G94" s="96">
        <f ca="1">VLOOKUP(A94,'銀行-TSS'!A:K,11,FALSE)</f>
        <v>77.53</v>
      </c>
      <c r="H94" s="1209">
        <f ca="1">VLOOKUP(A94,'銀行-TSS'!A:M,13,FALSE)</f>
        <v>5.0700000000000002E-2</v>
      </c>
      <c r="I94" s="1213">
        <f ca="1">VLOOKUP(A94,'銀行-TSS'!A:N,14,FALSE)</f>
        <v>10000</v>
      </c>
      <c r="J94" s="1213">
        <f ca="1">VLOOKUP(A94,'銀行-TSS'!A:O,15,FALSE)</f>
        <v>1000</v>
      </c>
      <c r="K94" s="136" t="str">
        <f ca="1">VLOOKUP(A94,'銀行-TSS'!A:V,22,FALSE)</f>
        <v>(NPI)非專投</v>
      </c>
      <c r="L94" s="136" t="str">
        <f ca="1">VLOOKUP(A94,'銀行-TSS'!A:AK,37,FALSE)</f>
        <v>有</v>
      </c>
      <c r="M94" s="136" t="str">
        <f ca="1">VLOOKUP(A94,'銀行-TSS'!A:AN,40,FALSE)</f>
        <v/>
      </c>
      <c r="N94" s="1211">
        <f t="shared" ca="1" si="22"/>
        <v>775.3</v>
      </c>
      <c r="O94" s="1211">
        <f t="shared" ca="1" si="23"/>
        <v>7753</v>
      </c>
      <c r="P94" s="1213">
        <f ca="1">IF(AND(換券投組!$D$17&gt;=O94,換券投組!$D$13=D94),I94+INT((換券投組!$D$17-O94)/N94)*J94,0)</f>
        <v>0</v>
      </c>
      <c r="Q94" s="1211">
        <f t="shared" ca="1" si="24"/>
        <v>0</v>
      </c>
      <c r="R94" s="1213">
        <f t="shared" ca="1" si="25"/>
        <v>0</v>
      </c>
      <c r="S94" s="1213">
        <f t="shared" ca="1" si="26"/>
        <v>0</v>
      </c>
      <c r="T94" s="136">
        <f t="shared" ca="1" si="19"/>
        <v>0</v>
      </c>
      <c r="U94" s="861">
        <f t="shared" ca="1" si="20"/>
        <v>0</v>
      </c>
      <c r="V94" s="136" t="b">
        <f ca="1">IF(OR(D94&lt;&gt;"USD",L94="無",M94&lt;&gt;"",K94="高資產",IFERROR(MATCH(B94,換券投組!K:K,0),"N")&lt;&gt;"N",IFERROR(MATCH(B94,換券投組!J:J,0),"N")&lt;&gt;"N"),FALSE,IF($V$1="All",TRUE,IF(K94=$V$1,TRUE,FALSE)))</f>
        <v>1</v>
      </c>
      <c r="W94" s="136">
        <f ca="1">VLOOKUP(A94,'銀行-TSS'!A:AO,41,FALSE)</f>
        <v>72.89</v>
      </c>
      <c r="X94" s="136">
        <f ca="1">VLOOKUP(A94,'銀行-TSS'!A:AP,42,FALSE)</f>
        <v>14.9969</v>
      </c>
      <c r="Y94" s="1223">
        <f t="shared" ca="1" si="27"/>
        <v>0</v>
      </c>
      <c r="Z94" s="1211">
        <f t="shared" ca="1" si="28"/>
        <v>0</v>
      </c>
      <c r="AA94" s="136">
        <f ca="1">IF(Z94&lt;=0,0,RANK(Z94,Z:Z)+COUNTIF($Z$3:$Z94,Z94)-1)</f>
        <v>0</v>
      </c>
      <c r="AB94" s="1211">
        <f t="shared" ca="1" si="21"/>
        <v>0</v>
      </c>
      <c r="AC94" s="136">
        <f ca="1">IF(AB94&lt;=0,0,RANK(AB94,AB:AB)+COUNTIF($AB$3:$AB94,AB94)-1)</f>
        <v>0</v>
      </c>
      <c r="AD94" s="136">
        <f t="shared" ca="1" si="29"/>
        <v>99999</v>
      </c>
      <c r="AE94" s="136">
        <f ca="1">IF(AD94=99999,0,RANK(AD94,AD:AD,1)+COUNTIF($AD$3:$AD94,AD94)-1)</f>
        <v>0</v>
      </c>
    </row>
    <row r="95" spans="1:31">
      <c r="A95" s="141" t="str">
        <f>'銀行-TSS'!A95</f>
        <v>US00287YAS81</v>
      </c>
      <c r="B95" s="151" t="str">
        <f ca="1">VLOOKUP(A95,'銀行-TSS'!A:B,2,FALSE)</f>
        <v>XFW70</v>
      </c>
      <c r="C95" s="151" t="str">
        <f ca="1">VLOOKUP(B95,bond!B:C,2,FALSE)</f>
        <v>艾伯維藥品有限公司美元配息債券 4.7% 2045/5/14</v>
      </c>
      <c r="D95" s="95" t="str">
        <f>VLOOKUP(A95,'銀行-TSS'!A:C,3,FALSE)</f>
        <v>USD</v>
      </c>
      <c r="E95" s="90">
        <f ca="1">VLOOKUP(A95,'銀行-TSS'!A:G,7,FALSE)</f>
        <v>20.87</v>
      </c>
      <c r="F95" s="202">
        <f ca="1">VLOOKUP(A95,'銀行-TSS'!A:H,8,FALSE)</f>
        <v>4.7E-2</v>
      </c>
      <c r="G95" s="96">
        <f ca="1">VLOOKUP(A95,'銀行-TSS'!A:K,11,FALSE)</f>
        <v>94.66</v>
      </c>
      <c r="H95" s="1209">
        <f ca="1">VLOOKUP(A95,'銀行-TSS'!A:M,13,FALSE)</f>
        <v>5.1700000000000003E-2</v>
      </c>
      <c r="I95" s="1213">
        <f ca="1">VLOOKUP(A95,'銀行-TSS'!A:N,14,FALSE)</f>
        <v>10000</v>
      </c>
      <c r="J95" s="1213">
        <f ca="1">VLOOKUP(A95,'銀行-TSS'!A:O,15,FALSE)</f>
        <v>1000</v>
      </c>
      <c r="K95" s="136" t="str">
        <f ca="1">VLOOKUP(A95,'銀行-TSS'!A:V,22,FALSE)</f>
        <v>(NPI)非專投</v>
      </c>
      <c r="L95" s="136" t="str">
        <f ca="1">VLOOKUP(A95,'銀行-TSS'!A:AK,37,FALSE)</f>
        <v>有</v>
      </c>
      <c r="M95" s="136" t="str">
        <f ca="1">VLOOKUP(A95,'銀行-TSS'!A:AN,40,FALSE)</f>
        <v/>
      </c>
      <c r="N95" s="1211">
        <f t="shared" ca="1" si="22"/>
        <v>946.6</v>
      </c>
      <c r="O95" s="1211">
        <f t="shared" ca="1" si="23"/>
        <v>9466</v>
      </c>
      <c r="P95" s="1213">
        <f ca="1">IF(AND(換券投組!$D$17&gt;=O95,換券投組!$D$13=D95),I95+INT((換券投組!$D$17-O95)/N95)*J95,0)</f>
        <v>0</v>
      </c>
      <c r="Q95" s="1211">
        <f t="shared" ca="1" si="24"/>
        <v>0</v>
      </c>
      <c r="R95" s="1213">
        <f t="shared" ca="1" si="25"/>
        <v>0</v>
      </c>
      <c r="S95" s="1213">
        <f t="shared" ca="1" si="26"/>
        <v>0</v>
      </c>
      <c r="T95" s="136">
        <f t="shared" ca="1" si="19"/>
        <v>0</v>
      </c>
      <c r="U95" s="861">
        <f t="shared" ca="1" si="20"/>
        <v>0</v>
      </c>
      <c r="V95" s="136" t="b">
        <f ca="1">IF(OR(D95&lt;&gt;"USD",L95="無",M95&lt;&gt;"",K95="高資產",IFERROR(MATCH(B95,換券投組!K:K,0),"N")&lt;&gt;"N",IFERROR(MATCH(B95,換券投組!J:J,0),"N")&lt;&gt;"N"),FALSE,IF($V$1="All",TRUE,IF(K95=$V$1,TRUE,FALSE)))</f>
        <v>1</v>
      </c>
      <c r="W95" s="136">
        <f ca="1">VLOOKUP(A95,'銀行-TSS'!A:AO,41,FALSE)</f>
        <v>91.03</v>
      </c>
      <c r="X95" s="136">
        <f ca="1">VLOOKUP(A95,'銀行-TSS'!A:AP,42,FALSE)</f>
        <v>12.7453</v>
      </c>
      <c r="Y95" s="1223">
        <f t="shared" ca="1" si="27"/>
        <v>0</v>
      </c>
      <c r="Z95" s="1211">
        <f t="shared" ca="1" si="28"/>
        <v>0</v>
      </c>
      <c r="AA95" s="136">
        <f ca="1">IF(Z95&lt;=0,0,RANK(Z95,Z:Z)+COUNTIF($Z$3:$Z95,Z95)-1)</f>
        <v>0</v>
      </c>
      <c r="AB95" s="1211">
        <f t="shared" ca="1" si="21"/>
        <v>0</v>
      </c>
      <c r="AC95" s="136">
        <f ca="1">IF(AB95&lt;=0,0,RANK(AB95,AB:AB)+COUNTIF($AB$3:$AB95,AB95)-1)</f>
        <v>0</v>
      </c>
      <c r="AD95" s="136">
        <f t="shared" ca="1" si="29"/>
        <v>99999</v>
      </c>
      <c r="AE95" s="136">
        <f ca="1">IF(AD95=99999,0,RANK(AD95,AD:AD,1)+COUNTIF($AD$3:$AD95,AD95)-1)</f>
        <v>0</v>
      </c>
    </row>
    <row r="96" spans="1:31">
      <c r="A96" s="141" t="str">
        <f>'銀行-TSS'!A96</f>
        <v>US406216BK61</v>
      </c>
      <c r="B96" s="151" t="str">
        <f ca="1">VLOOKUP(A96,'銀行-TSS'!A:B,2,FALSE)</f>
        <v>XFW80</v>
      </c>
      <c r="C96" s="151" t="str">
        <f ca="1">VLOOKUP(B96,bond!B:C,2,FALSE)</f>
        <v>哈里伯頓公司美元配息債券 5% 2045/11/15</v>
      </c>
      <c r="D96" s="95" t="str">
        <f>VLOOKUP(A96,'銀行-TSS'!A:C,3,FALSE)</f>
        <v>USD</v>
      </c>
      <c r="E96" s="90">
        <f ca="1">VLOOKUP(A96,'銀行-TSS'!A:G,7,FALSE)</f>
        <v>21.37</v>
      </c>
      <c r="F96" s="202">
        <f ca="1">VLOOKUP(A96,'銀行-TSS'!A:H,8,FALSE)</f>
        <v>0.05</v>
      </c>
      <c r="G96" s="96">
        <f ca="1">VLOOKUP(A96,'銀行-TSS'!A:K,11,FALSE)</f>
        <v>94.77</v>
      </c>
      <c r="H96" s="1209">
        <f ca="1">VLOOKUP(A96,'銀行-TSS'!A:M,13,FALSE)</f>
        <v>5.4699999999999999E-2</v>
      </c>
      <c r="I96" s="1213">
        <f ca="1">VLOOKUP(A96,'銀行-TSS'!A:N,14,FALSE)</f>
        <v>10000</v>
      </c>
      <c r="J96" s="1213">
        <f ca="1">VLOOKUP(A96,'銀行-TSS'!A:O,15,FALSE)</f>
        <v>1000</v>
      </c>
      <c r="K96" s="136" t="str">
        <f ca="1">VLOOKUP(A96,'銀行-TSS'!A:V,22,FALSE)</f>
        <v>(NPI)非專投</v>
      </c>
      <c r="L96" s="136" t="str">
        <f ca="1">VLOOKUP(A96,'銀行-TSS'!A:AK,37,FALSE)</f>
        <v>需查詢</v>
      </c>
      <c r="M96" s="136" t="str">
        <f ca="1">VLOOKUP(A96,'銀行-TSS'!A:AN,40,FALSE)</f>
        <v/>
      </c>
      <c r="N96" s="1211">
        <f t="shared" ca="1" si="22"/>
        <v>947.7</v>
      </c>
      <c r="O96" s="1211">
        <f t="shared" ca="1" si="23"/>
        <v>9477</v>
      </c>
      <c r="P96" s="1213">
        <f ca="1">IF(AND(換券投組!$D$17&gt;=O96,換券投組!$D$13=D96),I96+INT((換券投組!$D$17-O96)/N96)*J96,0)</f>
        <v>0</v>
      </c>
      <c r="Q96" s="1211">
        <f t="shared" ca="1" si="24"/>
        <v>0</v>
      </c>
      <c r="R96" s="1213">
        <f t="shared" ca="1" si="25"/>
        <v>0</v>
      </c>
      <c r="S96" s="1213">
        <f t="shared" ca="1" si="26"/>
        <v>0</v>
      </c>
      <c r="T96" s="136">
        <f t="shared" ca="1" si="19"/>
        <v>0</v>
      </c>
      <c r="U96" s="861">
        <f t="shared" ca="1" si="20"/>
        <v>0</v>
      </c>
      <c r="V96" s="136" t="b">
        <f ca="1">IF(OR(D96&lt;&gt;"USD",L96="無",M96&lt;&gt;"",K96="高資產",IFERROR(MATCH(B96,換券投組!K:K,0),"N")&lt;&gt;"N",IFERROR(MATCH(B96,換券投組!J:J,0),"N")&lt;&gt;"N"),FALSE,IF($V$1="All",TRUE,IF(K96=$V$1,TRUE,FALSE)))</f>
        <v>1</v>
      </c>
      <c r="W96" s="136">
        <f ca="1">VLOOKUP(A96,'銀行-TSS'!A:AO,41,FALSE)</f>
        <v>91.12</v>
      </c>
      <c r="X96" s="136">
        <f ca="1">VLOOKUP(A96,'銀行-TSS'!A:AP,42,FALSE)</f>
        <v>12.560600000000001</v>
      </c>
      <c r="Y96" s="1223">
        <f t="shared" ca="1" si="27"/>
        <v>0</v>
      </c>
      <c r="Z96" s="1211">
        <f t="shared" ca="1" si="28"/>
        <v>0</v>
      </c>
      <c r="AA96" s="136">
        <f ca="1">IF(Z96&lt;=0,0,RANK(Z96,Z:Z)+COUNTIF($Z$3:$Z96,Z96)-1)</f>
        <v>0</v>
      </c>
      <c r="AB96" s="1211">
        <f t="shared" ca="1" si="21"/>
        <v>0</v>
      </c>
      <c r="AC96" s="136">
        <f ca="1">IF(AB96&lt;=0,0,RANK(AB96,AB:AB)+COUNTIF($AB$3:$AB96,AB96)-1)</f>
        <v>0</v>
      </c>
      <c r="AD96" s="136">
        <f t="shared" ca="1" si="29"/>
        <v>99999</v>
      </c>
      <c r="AE96" s="136">
        <f ca="1">IF(AD96=99999,0,RANK(AD96,AD:AD,1)+COUNTIF($AD$3:$AD96,AD96)-1)</f>
        <v>0</v>
      </c>
    </row>
    <row r="97" spans="1:31">
      <c r="A97" s="141" t="str">
        <f>'銀行-TSS'!A97</f>
        <v>US254687FM36</v>
      </c>
      <c r="B97" s="151" t="str">
        <f ca="1">VLOOKUP(A97,'銀行-TSS'!A:B,2,FALSE)</f>
        <v>XFW90</v>
      </c>
      <c r="C97" s="151" t="str">
        <f ca="1">VLOOKUP(B97,bond!B:C,2,FALSE)</f>
        <v>華特迪士尼公司美元配息債券 2.75% 2049/9/1</v>
      </c>
      <c r="D97" s="95" t="str">
        <f>VLOOKUP(A97,'銀行-TSS'!A:C,3,FALSE)</f>
        <v>USD</v>
      </c>
      <c r="E97" s="90">
        <f ca="1">VLOOKUP(A97,'銀行-TSS'!A:G,7,FALSE)</f>
        <v>25.17</v>
      </c>
      <c r="F97" s="202">
        <f ca="1">VLOOKUP(A97,'銀行-TSS'!A:H,8,FALSE)</f>
        <v>2.75E-2</v>
      </c>
      <c r="G97" s="96">
        <f ca="1">VLOOKUP(A97,'銀行-TSS'!A:K,11,FALSE)</f>
        <v>68.56</v>
      </c>
      <c r="H97" s="1209">
        <f ca="1">VLOOKUP(A97,'銀行-TSS'!A:M,13,FALSE)</f>
        <v>5.0299999999999997E-2</v>
      </c>
      <c r="I97" s="1213">
        <f ca="1">VLOOKUP(A97,'銀行-TSS'!A:N,14,FALSE)</f>
        <v>10000</v>
      </c>
      <c r="J97" s="1213">
        <f ca="1">VLOOKUP(A97,'銀行-TSS'!A:O,15,FALSE)</f>
        <v>1000</v>
      </c>
      <c r="K97" s="136" t="str">
        <f ca="1">VLOOKUP(A97,'銀行-TSS'!A:V,22,FALSE)</f>
        <v>(NPI)非專投</v>
      </c>
      <c r="L97" s="136" t="str">
        <f ca="1">VLOOKUP(A97,'銀行-TSS'!A:AK,37,FALSE)</f>
        <v>有</v>
      </c>
      <c r="M97" s="136" t="str">
        <f ca="1">VLOOKUP(A97,'銀行-TSS'!A:AN,40,FALSE)</f>
        <v/>
      </c>
      <c r="N97" s="1211">
        <f t="shared" ca="1" si="22"/>
        <v>685.6</v>
      </c>
      <c r="O97" s="1211">
        <f t="shared" ca="1" si="23"/>
        <v>6856</v>
      </c>
      <c r="P97" s="1213">
        <f ca="1">IF(AND(換券投組!$D$17&gt;=O97,換券投組!$D$13=D97),I97+INT((換券投組!$D$17-O97)/N97)*J97,0)</f>
        <v>0</v>
      </c>
      <c r="Q97" s="1211">
        <f t="shared" ca="1" si="24"/>
        <v>0</v>
      </c>
      <c r="R97" s="1213">
        <f t="shared" ca="1" si="25"/>
        <v>0</v>
      </c>
      <c r="S97" s="1213">
        <f t="shared" ca="1" si="26"/>
        <v>0</v>
      </c>
      <c r="T97" s="136">
        <f t="shared" ca="1" si="19"/>
        <v>0</v>
      </c>
      <c r="U97" s="861">
        <f t="shared" ca="1" si="20"/>
        <v>0</v>
      </c>
      <c r="V97" s="136" t="b">
        <f ca="1">IF(OR(D97&lt;&gt;"USD",L97="無",M97&lt;&gt;"",K97="高資產",IFERROR(MATCH(B97,換券投組!K:K,0),"N")&lt;&gt;"N",IFERROR(MATCH(B97,換券投組!J:J,0),"N")&lt;&gt;"N"),FALSE,IF($V$1="All",TRUE,IF(K97=$V$1,TRUE,FALSE)))</f>
        <v>1</v>
      </c>
      <c r="W97" s="136">
        <f ca="1">VLOOKUP(A97,'銀行-TSS'!A:AO,41,FALSE)</f>
        <v>64.14</v>
      </c>
      <c r="X97" s="136">
        <f ca="1">VLOOKUP(A97,'銀行-TSS'!A:AP,42,FALSE)</f>
        <v>15.770099999999999</v>
      </c>
      <c r="Y97" s="1223">
        <f t="shared" ca="1" si="27"/>
        <v>0</v>
      </c>
      <c r="Z97" s="1211">
        <f t="shared" ca="1" si="28"/>
        <v>0</v>
      </c>
      <c r="AA97" s="136">
        <f ca="1">IF(Z97&lt;=0,0,RANK(Z97,Z:Z)+COUNTIF($Z$3:$Z97,Z97)-1)</f>
        <v>0</v>
      </c>
      <c r="AB97" s="1211">
        <f t="shared" ca="1" si="21"/>
        <v>0</v>
      </c>
      <c r="AC97" s="136">
        <f ca="1">IF(AB97&lt;=0,0,RANK(AB97,AB:AB)+COUNTIF($AB$3:$AB97,AB97)-1)</f>
        <v>0</v>
      </c>
      <c r="AD97" s="136">
        <f t="shared" ca="1" si="29"/>
        <v>99999</v>
      </c>
      <c r="AE97" s="136">
        <f ca="1">IF(AD97=99999,0,RANK(AD97,AD:AD,1)+COUNTIF($AD$3:$AD97,AD97)-1)</f>
        <v>0</v>
      </c>
    </row>
    <row r="98" spans="1:31">
      <c r="A98" s="141" t="str">
        <f>'銀行-TSS'!A98</f>
        <v>US50077LAB27</v>
      </c>
      <c r="B98" s="151" t="str">
        <f ca="1">VLOOKUP(A98,'銀行-TSS'!A:B,2,FALSE)</f>
        <v>XFX10</v>
      </c>
      <c r="C98" s="151" t="str">
        <f ca="1">VLOOKUP(B98,bond!B:C,2,FALSE)</f>
        <v>卡夫亨氏食品公司美元配息債券 4.375% 2046/6/1</v>
      </c>
      <c r="D98" s="95" t="str">
        <f>VLOOKUP(A98,'銀行-TSS'!A:C,3,FALSE)</f>
        <v>USD</v>
      </c>
      <c r="E98" s="90">
        <f ca="1">VLOOKUP(A98,'銀行-TSS'!A:G,7,FALSE)</f>
        <v>21.91</v>
      </c>
      <c r="F98" s="202">
        <f ca="1">VLOOKUP(A98,'銀行-TSS'!A:H,8,FALSE)</f>
        <v>4.3749999999999997E-2</v>
      </c>
      <c r="G98" s="96">
        <f ca="1">VLOOKUP(A98,'銀行-TSS'!A:K,11,FALSE)</f>
        <v>85.64</v>
      </c>
      <c r="H98" s="1209">
        <f ca="1">VLOOKUP(A98,'銀行-TSS'!A:M,13,FALSE)</f>
        <v>5.5399999999999998E-2</v>
      </c>
      <c r="I98" s="1213">
        <f ca="1">VLOOKUP(A98,'銀行-TSS'!A:N,14,FALSE)</f>
        <v>10000</v>
      </c>
      <c r="J98" s="1213">
        <f ca="1">VLOOKUP(A98,'銀行-TSS'!A:O,15,FALSE)</f>
        <v>1000</v>
      </c>
      <c r="K98" s="136" t="str">
        <f ca="1">VLOOKUP(A98,'銀行-TSS'!A:V,22,FALSE)</f>
        <v>(PI)專投</v>
      </c>
      <c r="L98" s="136" t="str">
        <f ca="1">VLOOKUP(A98,'銀行-TSS'!A:AK,37,FALSE)</f>
        <v>有</v>
      </c>
      <c r="M98" s="136" t="str">
        <f ca="1">VLOOKUP(A98,'銀行-TSS'!A:AN,40,FALSE)</f>
        <v/>
      </c>
      <c r="N98" s="1211">
        <f t="shared" ca="1" si="22"/>
        <v>856.4</v>
      </c>
      <c r="O98" s="1211">
        <f t="shared" ca="1" si="23"/>
        <v>8564</v>
      </c>
      <c r="P98" s="1213">
        <f ca="1">IF(AND(換券投組!$D$17&gt;=O98,換券投組!$D$13=D98),I98+INT((換券投組!$D$17-O98)/N98)*J98,0)</f>
        <v>0</v>
      </c>
      <c r="Q98" s="1211">
        <f t="shared" ca="1" si="24"/>
        <v>0</v>
      </c>
      <c r="R98" s="1213">
        <f t="shared" ca="1" si="25"/>
        <v>0</v>
      </c>
      <c r="S98" s="1213">
        <f t="shared" ca="1" si="26"/>
        <v>0</v>
      </c>
      <c r="T98" s="136">
        <f t="shared" ca="1" si="19"/>
        <v>0</v>
      </c>
      <c r="U98" s="861">
        <f t="shared" ca="1" si="20"/>
        <v>0</v>
      </c>
      <c r="V98" s="136" t="b">
        <f ca="1">IF(OR(D98&lt;&gt;"USD",L98="無",M98&lt;&gt;"",K98="高資產",IFERROR(MATCH(B98,換券投組!K:K,0),"N")&lt;&gt;"N",IFERROR(MATCH(B98,換券投組!J:J,0),"N")&lt;&gt;"N"),FALSE,IF($V$1="All",TRUE,IF(K98=$V$1,TRUE,FALSE)))</f>
        <v>1</v>
      </c>
      <c r="W98" s="136">
        <f ca="1">VLOOKUP(A98,'銀行-TSS'!A:AO,41,FALSE)</f>
        <v>82.26</v>
      </c>
      <c r="X98" s="136">
        <f ca="1">VLOOKUP(A98,'銀行-TSS'!A:AP,42,FALSE)</f>
        <v>13.0779</v>
      </c>
      <c r="Y98" s="1223">
        <f t="shared" ca="1" si="27"/>
        <v>0</v>
      </c>
      <c r="Z98" s="1211">
        <f t="shared" ca="1" si="28"/>
        <v>0</v>
      </c>
      <c r="AA98" s="136">
        <f ca="1">IF(Z98&lt;=0,0,RANK(Z98,Z:Z)+COUNTIF($Z$3:$Z98,Z98)-1)</f>
        <v>0</v>
      </c>
      <c r="AB98" s="1211">
        <f t="shared" ca="1" si="21"/>
        <v>0</v>
      </c>
      <c r="AC98" s="136">
        <f ca="1">IF(AB98&lt;=0,0,RANK(AB98,AB:AB)+COUNTIF($AB$3:$AB98,AB98)-1)</f>
        <v>0</v>
      </c>
      <c r="AD98" s="136">
        <f t="shared" ca="1" si="29"/>
        <v>99999</v>
      </c>
      <c r="AE98" s="136">
        <f ca="1">IF(AD98=99999,0,RANK(AD98,AD:AD,1)+COUNTIF($AD$3:$AD98,AD98)-1)</f>
        <v>0</v>
      </c>
    </row>
    <row r="99" spans="1:31">
      <c r="A99" s="141" t="str">
        <f>'銀行-TSS'!A99</f>
        <v>USY52758AD47</v>
      </c>
      <c r="B99" s="151" t="str">
        <f ca="1">VLOOKUP(A99,'銀行-TSS'!A:B,2,FALSE)</f>
        <v>XFX20</v>
      </c>
      <c r="C99" s="151" t="str">
        <f ca="1">VLOOKUP(B99,bond!B:C,2,FALSE)</f>
        <v>LG化學公司美元配息債券 3.625% 2029/4/15</v>
      </c>
      <c r="D99" s="95" t="str">
        <f>VLOOKUP(A99,'銀行-TSS'!A:C,3,FALSE)</f>
        <v>USD</v>
      </c>
      <c r="E99" s="90">
        <f ca="1">VLOOKUP(A99,'銀行-TSS'!A:G,7,FALSE)</f>
        <v>4.79</v>
      </c>
      <c r="F99" s="202">
        <f ca="1">VLOOKUP(A99,'銀行-TSS'!A:H,8,FALSE)</f>
        <v>3.6249999999999998E-2</v>
      </c>
      <c r="G99" s="96">
        <f ca="1">VLOOKUP(A99,'銀行-TSS'!A:K,11,FALSE)</f>
        <v>96.97</v>
      </c>
      <c r="H99" s="1209">
        <f ca="1">VLOOKUP(A99,'銀行-TSS'!A:M,13,FALSE)</f>
        <v>4.5199999999999997E-2</v>
      </c>
      <c r="I99" s="1213">
        <f ca="1">VLOOKUP(A99,'銀行-TSS'!A:N,14,FALSE)</f>
        <v>200000</v>
      </c>
      <c r="J99" s="1213">
        <f ca="1">VLOOKUP(A99,'銀行-TSS'!A:O,15,FALSE)</f>
        <v>1000</v>
      </c>
      <c r="K99" s="136" t="str">
        <f ca="1">VLOOKUP(A99,'銀行-TSS'!A:V,22,FALSE)</f>
        <v>(NPI)非專投</v>
      </c>
      <c r="L99" s="136" t="str">
        <f ca="1">VLOOKUP(A99,'銀行-TSS'!A:AK,37,FALSE)</f>
        <v>需查詢</v>
      </c>
      <c r="M99" s="136" t="str">
        <f ca="1">VLOOKUP(A99,'銀行-TSS'!A:AN,40,FALSE)</f>
        <v/>
      </c>
      <c r="N99" s="1211">
        <f t="shared" ca="1" si="22"/>
        <v>969.7</v>
      </c>
      <c r="O99" s="1211">
        <f t="shared" ca="1" si="23"/>
        <v>193940</v>
      </c>
      <c r="P99" s="1213">
        <f ca="1">IF(AND(換券投組!$D$17&gt;=O99,換券投組!$D$13=D99),I99+INT((換券投組!$D$17-O99)/N99)*J99,0)</f>
        <v>0</v>
      </c>
      <c r="Q99" s="1211">
        <f t="shared" ca="1" si="24"/>
        <v>0</v>
      </c>
      <c r="R99" s="1213">
        <f t="shared" ca="1" si="25"/>
        <v>0</v>
      </c>
      <c r="S99" s="1213">
        <f t="shared" ca="1" si="26"/>
        <v>0</v>
      </c>
      <c r="T99" s="136">
        <f t="shared" ca="1" si="19"/>
        <v>0</v>
      </c>
      <c r="U99" s="861">
        <f t="shared" ca="1" si="20"/>
        <v>0</v>
      </c>
      <c r="V99" s="136" t="b">
        <f ca="1">IF(OR(D99&lt;&gt;"USD",L99="無",M99&lt;&gt;"",K99="高資產",IFERROR(MATCH(B99,換券投組!K:K,0),"N")&lt;&gt;"N",IFERROR(MATCH(B99,換券投組!J:J,0),"N")&lt;&gt;"N"),FALSE,IF($V$1="All",TRUE,IF(K99=$V$1,TRUE,FALSE)))</f>
        <v>1</v>
      </c>
      <c r="W99" s="136">
        <f ca="1">VLOOKUP(A99,'銀行-TSS'!A:AO,41,FALSE)</f>
        <v>94.190000000000012</v>
      </c>
      <c r="X99" s="136">
        <f ca="1">VLOOKUP(A99,'銀行-TSS'!A:AP,42,FALSE)</f>
        <v>4.2846000000000002</v>
      </c>
      <c r="Y99" s="1223">
        <f t="shared" ca="1" si="27"/>
        <v>0</v>
      </c>
      <c r="Z99" s="1211">
        <f t="shared" ca="1" si="28"/>
        <v>0</v>
      </c>
      <c r="AA99" s="136">
        <f ca="1">IF(Z99&lt;=0,0,RANK(Z99,Z:Z)+COUNTIF($Z$3:$Z99,Z99)-1)</f>
        <v>0</v>
      </c>
      <c r="AB99" s="1211">
        <f t="shared" ca="1" si="21"/>
        <v>0</v>
      </c>
      <c r="AC99" s="136">
        <f ca="1">IF(AB99&lt;=0,0,RANK(AB99,AB:AB)+COUNTIF($AB$3:$AB99,AB99)-1)</f>
        <v>0</v>
      </c>
      <c r="AD99" s="136">
        <f t="shared" ca="1" si="29"/>
        <v>99999</v>
      </c>
      <c r="AE99" s="136">
        <f ca="1">IF(AD99=99999,0,RANK(AD99,AD:AD,1)+COUNTIF($AD$3:$AD99,AD99)-1)</f>
        <v>0</v>
      </c>
    </row>
    <row r="100" spans="1:31">
      <c r="A100" s="141" t="str">
        <f>'銀行-TSS'!A100</f>
        <v>USN8438JAB46</v>
      </c>
      <c r="B100" s="151" t="str">
        <f ca="1">VLOOKUP(A100,'銀行-TSS'!A:B,2,FALSE)</f>
        <v>XFX30</v>
      </c>
      <c r="C100" s="151" t="str">
        <f ca="1">VLOOKUP(B100,bond!B:C,2,FALSE)</f>
        <v>Fibria海外金融有限公司美元配息債券 5.5% 2027/1/17</v>
      </c>
      <c r="D100" s="95" t="str">
        <f>VLOOKUP(A100,'銀行-TSS'!A:C,3,FALSE)</f>
        <v>USD</v>
      </c>
      <c r="E100" s="90">
        <f ca="1">VLOOKUP(A100,'銀行-TSS'!A:G,7,FALSE)</f>
        <v>2.54</v>
      </c>
      <c r="F100" s="202">
        <f ca="1">VLOOKUP(A100,'銀行-TSS'!A:H,8,FALSE)</f>
        <v>5.5E-2</v>
      </c>
      <c r="G100" s="96">
        <f ca="1">VLOOKUP(A100,'銀行-TSS'!A:K,11,FALSE)</f>
        <v>104.87</v>
      </c>
      <c r="H100" s="1209">
        <f ca="1">VLOOKUP(A100,'銀行-TSS'!A:M,13,FALSE)</f>
        <v>4.5100000000000001E-2</v>
      </c>
      <c r="I100" s="1213">
        <f ca="1">VLOOKUP(A100,'銀行-TSS'!A:N,14,FALSE)</f>
        <v>10000</v>
      </c>
      <c r="J100" s="1213">
        <f ca="1">VLOOKUP(A100,'銀行-TSS'!A:O,15,FALSE)</f>
        <v>1000</v>
      </c>
      <c r="K100" s="136" t="str">
        <f ca="1">VLOOKUP(A100,'銀行-TSS'!A:V,22,FALSE)</f>
        <v>(PI)專投</v>
      </c>
      <c r="L100" s="136" t="str">
        <f ca="1">VLOOKUP(A100,'銀行-TSS'!A:AK,37,FALSE)</f>
        <v>有</v>
      </c>
      <c r="M100" s="136" t="str">
        <f ca="1">VLOOKUP(A100,'銀行-TSS'!A:AN,40,FALSE)</f>
        <v>XFX30</v>
      </c>
      <c r="N100" s="1211">
        <f t="shared" ca="1" si="22"/>
        <v>1048.7</v>
      </c>
      <c r="O100" s="1211">
        <f t="shared" ca="1" si="23"/>
        <v>10487</v>
      </c>
      <c r="P100" s="1213">
        <f ca="1">IF(AND(換券投組!$D$17&gt;=O100,換券投組!$D$13=D100),I100+INT((換券投組!$D$17-O100)/N100)*J100,0)</f>
        <v>0</v>
      </c>
      <c r="Q100" s="1211">
        <f t="shared" ca="1" si="24"/>
        <v>0</v>
      </c>
      <c r="R100" s="1213">
        <f t="shared" ca="1" si="25"/>
        <v>0</v>
      </c>
      <c r="S100" s="1213">
        <f t="shared" ca="1" si="26"/>
        <v>0</v>
      </c>
      <c r="T100" s="136">
        <f t="shared" ca="1" si="19"/>
        <v>0</v>
      </c>
      <c r="U100" s="861">
        <f t="shared" ca="1" si="20"/>
        <v>0</v>
      </c>
      <c r="V100" s="136" t="b">
        <f ca="1">IF(OR(D100&lt;&gt;"USD",L100="無",M100&lt;&gt;"",K100="高資產",IFERROR(MATCH(B100,換券投組!K:K,0),"N")&lt;&gt;"N",IFERROR(MATCH(B100,換券投組!J:J,0),"N")&lt;&gt;"N"),FALSE,IF($V$1="All",TRUE,IF(K100=$V$1,TRUE,FALSE)))</f>
        <v>0</v>
      </c>
      <c r="W100" s="136">
        <f ca="1">VLOOKUP(A100,'銀行-TSS'!A:AO,41,FALSE)</f>
        <v>100.35000000000001</v>
      </c>
      <c r="X100" s="136">
        <f ca="1">VLOOKUP(A100,'銀行-TSS'!A:AP,42,FALSE)</f>
        <v>2.2898000000000001</v>
      </c>
      <c r="Y100" s="1223">
        <f t="shared" ca="1" si="27"/>
        <v>0</v>
      </c>
      <c r="Z100" s="1211">
        <f t="shared" ca="1" si="28"/>
        <v>0</v>
      </c>
      <c r="AA100" s="136">
        <f ca="1">IF(Z100&lt;=0,0,RANK(Z100,Z:Z)+COUNTIF($Z$3:$Z100,Z100)-1)</f>
        <v>0</v>
      </c>
      <c r="AB100" s="1211">
        <f t="shared" ca="1" si="21"/>
        <v>0</v>
      </c>
      <c r="AC100" s="136">
        <f ca="1">IF(AB100&lt;=0,0,RANK(AB100,AB:AB)+COUNTIF($AB$3:$AB100,AB100)-1)</f>
        <v>0</v>
      </c>
      <c r="AD100" s="136">
        <f t="shared" ca="1" si="29"/>
        <v>99999</v>
      </c>
      <c r="AE100" s="136">
        <f ca="1">IF(AD100=99999,0,RANK(AD100,AD:AD,1)+COUNTIF($AD$3:$AD100,AD100)-1)</f>
        <v>0</v>
      </c>
    </row>
    <row r="101" spans="1:31">
      <c r="A101" s="141" t="str">
        <f>'銀行-TSS'!A101</f>
        <v>US428236BR31</v>
      </c>
      <c r="B101" s="151" t="str">
        <f ca="1">VLOOKUP(A101,'銀行-TSS'!A:B,2,FALSE)</f>
        <v>XFX60</v>
      </c>
      <c r="C101" s="151" t="str">
        <f ca="1">VLOOKUP(B101,bond!B:C,2,FALSE)</f>
        <v>惠普公司美元配息債券 6% 2041/9/15</v>
      </c>
      <c r="D101" s="95" t="str">
        <f>VLOOKUP(A101,'銀行-TSS'!A:C,3,FALSE)</f>
        <v>USD</v>
      </c>
      <c r="E101" s="90">
        <f ca="1">VLOOKUP(A101,'銀行-TSS'!A:G,7,FALSE)</f>
        <v>17.2</v>
      </c>
      <c r="F101" s="202">
        <f ca="1">VLOOKUP(A101,'銀行-TSS'!A:H,8,FALSE)</f>
        <v>0.06</v>
      </c>
      <c r="G101" s="96">
        <f ca="1">VLOOKUP(A101,'銀行-TSS'!A:K,11,FALSE)</f>
        <v>107.57</v>
      </c>
      <c r="H101" s="1209">
        <f ca="1">VLOOKUP(A101,'銀行-TSS'!A:M,13,FALSE)</f>
        <v>5.4800000000000001E-2</v>
      </c>
      <c r="I101" s="1213">
        <f ca="1">VLOOKUP(A101,'銀行-TSS'!A:N,14,FALSE)</f>
        <v>10000</v>
      </c>
      <c r="J101" s="1213">
        <f ca="1">VLOOKUP(A101,'銀行-TSS'!A:O,15,FALSE)</f>
        <v>1000</v>
      </c>
      <c r="K101" s="136" t="str">
        <f ca="1">VLOOKUP(A101,'銀行-TSS'!A:V,22,FALSE)</f>
        <v>(PI)專投</v>
      </c>
      <c r="L101" s="136" t="str">
        <f ca="1">VLOOKUP(A101,'銀行-TSS'!A:AK,37,FALSE)</f>
        <v>有</v>
      </c>
      <c r="M101" s="136" t="str">
        <f ca="1">VLOOKUP(A101,'銀行-TSS'!A:AN,40,FALSE)</f>
        <v/>
      </c>
      <c r="N101" s="1211">
        <f t="shared" ca="1" si="22"/>
        <v>1075.7</v>
      </c>
      <c r="O101" s="1211">
        <f t="shared" ca="1" si="23"/>
        <v>10757</v>
      </c>
      <c r="P101" s="1213">
        <f ca="1">IF(AND(換券投組!$D$17&gt;=O101,換券投組!$D$13=D101),I101+INT((換券投組!$D$17-O101)/N101)*J101,0)</f>
        <v>0</v>
      </c>
      <c r="Q101" s="1211">
        <f t="shared" ca="1" si="24"/>
        <v>0</v>
      </c>
      <c r="R101" s="1213">
        <f t="shared" ca="1" si="25"/>
        <v>0</v>
      </c>
      <c r="S101" s="1213">
        <f t="shared" ca="1" si="26"/>
        <v>0</v>
      </c>
      <c r="T101" s="136">
        <f t="shared" ca="1" si="19"/>
        <v>0</v>
      </c>
      <c r="U101" s="861">
        <f t="shared" ca="1" si="20"/>
        <v>0</v>
      </c>
      <c r="V101" s="136" t="b">
        <f ca="1">IF(OR(D101&lt;&gt;"USD",L101="無",M101&lt;&gt;"",K101="高資產",IFERROR(MATCH(B101,換券投組!K:K,0),"N")&lt;&gt;"N",IFERROR(MATCH(B101,換券投組!J:J,0),"N")&lt;&gt;"N"),FALSE,IF($V$1="All",TRUE,IF(K101=$V$1,TRUE,FALSE)))</f>
        <v>1</v>
      </c>
      <c r="W101" s="136">
        <f ca="1">VLOOKUP(A101,'銀行-TSS'!A:AO,41,FALSE)</f>
        <v>102.79</v>
      </c>
      <c r="X101" s="136">
        <f ca="1">VLOOKUP(A101,'銀行-TSS'!A:AP,42,FALSE)</f>
        <v>10.600199999999999</v>
      </c>
      <c r="Y101" s="1223">
        <f t="shared" ca="1" si="27"/>
        <v>0</v>
      </c>
      <c r="Z101" s="1211">
        <f t="shared" ca="1" si="28"/>
        <v>0</v>
      </c>
      <c r="AA101" s="136">
        <f ca="1">IF(Z101&lt;=0,0,RANK(Z101,Z:Z)+COUNTIF($Z$3:$Z101,Z101)-1)</f>
        <v>0</v>
      </c>
      <c r="AB101" s="1211">
        <f t="shared" ca="1" si="21"/>
        <v>0</v>
      </c>
      <c r="AC101" s="136">
        <f ca="1">IF(AB101&lt;=0,0,RANK(AB101,AB:AB)+COUNTIF($AB$3:$AB101,AB101)-1)</f>
        <v>0</v>
      </c>
      <c r="AD101" s="136">
        <f t="shared" ca="1" si="29"/>
        <v>99999</v>
      </c>
      <c r="AE101" s="136">
        <f ca="1">IF(AD101=99999,0,RANK(AD101,AD:AD,1)+COUNTIF($AD$3:$AD101,AD101)-1)</f>
        <v>0</v>
      </c>
    </row>
    <row r="102" spans="1:31">
      <c r="A102" s="141" t="str">
        <f>'銀行-TSS'!A102</f>
        <v>US418056AU19</v>
      </c>
      <c r="B102" s="151" t="str">
        <f ca="1">VLOOKUP(A102,'銀行-TSS'!A:B,2,FALSE)</f>
        <v>XFX80</v>
      </c>
      <c r="C102" s="151" t="str">
        <f ca="1">VLOOKUP(B102,bond!B:C,2,FALSE)</f>
        <v>孩之寶公司美元配息債券 5.1% 2044/5/15</v>
      </c>
      <c r="D102" s="95" t="str">
        <f>VLOOKUP(A102,'銀行-TSS'!A:C,3,FALSE)</f>
        <v>USD</v>
      </c>
      <c r="E102" s="90">
        <f ca="1">VLOOKUP(A102,'銀行-TSS'!A:G,7,FALSE)</f>
        <v>19.87</v>
      </c>
      <c r="F102" s="202">
        <f ca="1">VLOOKUP(A102,'銀行-TSS'!A:H,8,FALSE)</f>
        <v>5.0999999999999997E-2</v>
      </c>
      <c r="G102" s="96">
        <f ca="1">VLOOKUP(A102,'銀行-TSS'!A:K,11,FALSE)</f>
        <v>90.38</v>
      </c>
      <c r="H102" s="1209">
        <f ca="1">VLOOKUP(A102,'銀行-TSS'!A:M,13,FALSE)</f>
        <v>5.9900000000000002E-2</v>
      </c>
      <c r="I102" s="1213">
        <f ca="1">VLOOKUP(A102,'銀行-TSS'!A:N,14,FALSE)</f>
        <v>10000</v>
      </c>
      <c r="J102" s="1213">
        <f ca="1">VLOOKUP(A102,'銀行-TSS'!A:O,15,FALSE)</f>
        <v>1000</v>
      </c>
      <c r="K102" s="136" t="str">
        <f ca="1">VLOOKUP(A102,'銀行-TSS'!A:V,22,FALSE)</f>
        <v>(PI)專投</v>
      </c>
      <c r="L102" s="136" t="str">
        <f ca="1">VLOOKUP(A102,'銀行-TSS'!A:AK,37,FALSE)</f>
        <v>需查詢</v>
      </c>
      <c r="M102" s="136" t="str">
        <f ca="1">VLOOKUP(A102,'銀行-TSS'!A:AN,40,FALSE)</f>
        <v/>
      </c>
      <c r="N102" s="1211">
        <f t="shared" ca="1" si="22"/>
        <v>903.8</v>
      </c>
      <c r="O102" s="1211">
        <f t="shared" ca="1" si="23"/>
        <v>9038</v>
      </c>
      <c r="P102" s="1213">
        <f ca="1">IF(AND(換券投組!$D$17&gt;=O102,換券投組!$D$13=D102),I102+INT((換券投組!$D$17-O102)/N102)*J102,0)</f>
        <v>0</v>
      </c>
      <c r="Q102" s="1211">
        <f t="shared" ca="1" si="24"/>
        <v>0</v>
      </c>
      <c r="R102" s="1213">
        <f t="shared" ca="1" si="25"/>
        <v>0</v>
      </c>
      <c r="S102" s="1213">
        <f t="shared" ca="1" si="26"/>
        <v>0</v>
      </c>
      <c r="T102" s="136">
        <f t="shared" ca="1" si="19"/>
        <v>0</v>
      </c>
      <c r="U102" s="861">
        <f t="shared" ca="1" si="20"/>
        <v>0</v>
      </c>
      <c r="V102" s="136" t="b">
        <f ca="1">IF(OR(D102&lt;&gt;"USD",L102="無",M102&lt;&gt;"",K102="高資產",IFERROR(MATCH(B102,換券投組!K:K,0),"N")&lt;&gt;"N",IFERROR(MATCH(B102,換券投組!J:J,0),"N")&lt;&gt;"N"),FALSE,IF($V$1="All",TRUE,IF(K102=$V$1,TRUE,FALSE)))</f>
        <v>1</v>
      </c>
      <c r="W102" s="136">
        <f ca="1">VLOOKUP(A102,'銀行-TSS'!A:AO,41,FALSE)</f>
        <v>86.710000000000008</v>
      </c>
      <c r="X102" s="136">
        <f ca="1">VLOOKUP(A102,'銀行-TSS'!A:AP,42,FALSE)</f>
        <v>11.7331</v>
      </c>
      <c r="Y102" s="1223">
        <f t="shared" ca="1" si="27"/>
        <v>0</v>
      </c>
      <c r="Z102" s="1211">
        <f t="shared" ca="1" si="28"/>
        <v>0</v>
      </c>
      <c r="AA102" s="136">
        <f ca="1">IF(Z102&lt;=0,0,RANK(Z102,Z:Z)+COUNTIF($Z$3:$Z102,Z102)-1)</f>
        <v>0</v>
      </c>
      <c r="AB102" s="1211">
        <f t="shared" ca="1" si="21"/>
        <v>0</v>
      </c>
      <c r="AC102" s="136">
        <f ca="1">IF(AB102&lt;=0,0,RANK(AB102,AB:AB)+COUNTIF($AB$3:$AB102,AB102)-1)</f>
        <v>0</v>
      </c>
      <c r="AD102" s="136">
        <f t="shared" ca="1" si="29"/>
        <v>99999</v>
      </c>
      <c r="AE102" s="136">
        <f ca="1">IF(AD102=99999,0,RANK(AD102,AD:AD,1)+COUNTIF($AD$3:$AD102,AD102)-1)</f>
        <v>0</v>
      </c>
    </row>
    <row r="103" spans="1:31">
      <c r="A103" s="141" t="str">
        <f>'銀行-TSS'!A103</f>
        <v>US30212PAP09</v>
      </c>
      <c r="B103" s="151" t="str">
        <f ca="1">VLOOKUP(A103,'銀行-TSS'!A:B,2,FALSE)</f>
        <v>XFX90</v>
      </c>
      <c r="C103" s="151" t="str">
        <f ca="1">VLOOKUP(B103,bond!B:C,2,FALSE)</f>
        <v>智遊網集團公司美元配息債券 3.8% 2028/2/15</v>
      </c>
      <c r="D103" s="95" t="str">
        <f>VLOOKUP(A103,'銀行-TSS'!A:C,3,FALSE)</f>
        <v>USD</v>
      </c>
      <c r="E103" s="90">
        <f ca="1">VLOOKUP(A103,'銀行-TSS'!A:G,7,FALSE)</f>
        <v>3.62</v>
      </c>
      <c r="F103" s="202">
        <f ca="1">VLOOKUP(A103,'銀行-TSS'!A:H,8,FALSE)</f>
        <v>3.7999999999999999E-2</v>
      </c>
      <c r="G103" s="96">
        <f ca="1">VLOOKUP(A103,'銀行-TSS'!A:K,11,FALSE)</f>
        <v>99.13</v>
      </c>
      <c r="H103" s="1209">
        <f ca="1">VLOOKUP(A103,'銀行-TSS'!A:M,13,FALSE)</f>
        <v>4.4999999999999998E-2</v>
      </c>
      <c r="I103" s="1213">
        <f ca="1">VLOOKUP(A103,'銀行-TSS'!A:N,14,FALSE)</f>
        <v>10000</v>
      </c>
      <c r="J103" s="1213">
        <f ca="1">VLOOKUP(A103,'銀行-TSS'!A:O,15,FALSE)</f>
        <v>1000</v>
      </c>
      <c r="K103" s="136" t="str">
        <f ca="1">VLOOKUP(A103,'銀行-TSS'!A:V,22,FALSE)</f>
        <v>(PI)專投</v>
      </c>
      <c r="L103" s="136" t="str">
        <f ca="1">VLOOKUP(A103,'銀行-TSS'!A:AK,37,FALSE)</f>
        <v>有</v>
      </c>
      <c r="M103" s="136" t="str">
        <f ca="1">VLOOKUP(A103,'銀行-TSS'!A:AN,40,FALSE)</f>
        <v>XFX90</v>
      </c>
      <c r="N103" s="1211">
        <f t="shared" ca="1" si="22"/>
        <v>991.3</v>
      </c>
      <c r="O103" s="1211">
        <f t="shared" ca="1" si="23"/>
        <v>9913</v>
      </c>
      <c r="P103" s="1213">
        <f ca="1">IF(AND(換券投組!$D$17&gt;=O103,換券投組!$D$13=D103),I103+INT((換券投組!$D$17-O103)/N103)*J103,0)</f>
        <v>0</v>
      </c>
      <c r="Q103" s="1211">
        <f t="shared" ca="1" si="24"/>
        <v>0</v>
      </c>
      <c r="R103" s="1213">
        <f t="shared" ca="1" si="25"/>
        <v>0</v>
      </c>
      <c r="S103" s="1213">
        <f t="shared" ca="1" si="26"/>
        <v>0</v>
      </c>
      <c r="T103" s="136">
        <f t="shared" ca="1" si="19"/>
        <v>0</v>
      </c>
      <c r="U103" s="861">
        <f t="shared" ca="1" si="20"/>
        <v>0</v>
      </c>
      <c r="V103" s="136" t="b">
        <f ca="1">IF(OR(D103&lt;&gt;"USD",L103="無",M103&lt;&gt;"",K103="高資產",IFERROR(MATCH(B103,換券投組!K:K,0),"N")&lt;&gt;"N",IFERROR(MATCH(B103,換券投組!J:J,0),"N")&lt;&gt;"N"),FALSE,IF($V$1="All",TRUE,IF(K103=$V$1,TRUE,FALSE)))</f>
        <v>0</v>
      </c>
      <c r="W103" s="136">
        <f ca="1">VLOOKUP(A103,'銀行-TSS'!A:AO,41,FALSE)</f>
        <v>95.68</v>
      </c>
      <c r="X103" s="136">
        <f ca="1">VLOOKUP(A103,'銀行-TSS'!A:AP,42,FALSE)</f>
        <v>3.2814000000000001</v>
      </c>
      <c r="Y103" s="1223">
        <f t="shared" ca="1" si="27"/>
        <v>0</v>
      </c>
      <c r="Z103" s="1211">
        <f t="shared" ca="1" si="28"/>
        <v>0</v>
      </c>
      <c r="AA103" s="136">
        <f ca="1">IF(Z103&lt;=0,0,RANK(Z103,Z:Z)+COUNTIF($Z$3:$Z103,Z103)-1)</f>
        <v>0</v>
      </c>
      <c r="AB103" s="1211">
        <f t="shared" ca="1" si="21"/>
        <v>0</v>
      </c>
      <c r="AC103" s="136">
        <f ca="1">IF(AB103&lt;=0,0,RANK(AB103,AB:AB)+COUNTIF($AB$3:$AB103,AB103)-1)</f>
        <v>0</v>
      </c>
      <c r="AD103" s="136">
        <f t="shared" ca="1" si="29"/>
        <v>99999</v>
      </c>
      <c r="AE103" s="136">
        <f ca="1">IF(AD103=99999,0,RANK(AD103,AD:AD,1)+COUNTIF($AD$3:$AD103,AD103)-1)</f>
        <v>0</v>
      </c>
    </row>
    <row r="104" spans="1:31">
      <c r="A104" s="141" t="str">
        <f>'銀行-TSS'!A104</f>
        <v>US88579YBK64</v>
      </c>
      <c r="B104" s="151" t="str">
        <f ca="1">VLOOKUP(A104,'銀行-TSS'!A:B,2,FALSE)</f>
        <v>XFY20</v>
      </c>
      <c r="C104" s="151" t="str">
        <f ca="1">VLOOKUP(B104,bond!B:C,2,FALSE)</f>
        <v>3M公司美元配息債券 3.25% 2049/8/26</v>
      </c>
      <c r="D104" s="95" t="str">
        <f>VLOOKUP(A104,'銀行-TSS'!A:C,3,FALSE)</f>
        <v>USD</v>
      </c>
      <c r="E104" s="90">
        <f ca="1">VLOOKUP(A104,'銀行-TSS'!A:G,7,FALSE)</f>
        <v>25.15</v>
      </c>
      <c r="F104" s="202">
        <f ca="1">VLOOKUP(A104,'銀行-TSS'!A:H,8,FALSE)</f>
        <v>3.2500000000000001E-2</v>
      </c>
      <c r="G104" s="96">
        <f ca="1">VLOOKUP(A104,'銀行-TSS'!A:K,11,FALSE)</f>
        <v>70.760000000000005</v>
      </c>
      <c r="H104" s="1209">
        <f ca="1">VLOOKUP(A104,'銀行-TSS'!A:M,13,FALSE)</f>
        <v>5.4899999999999997E-2</v>
      </c>
      <c r="I104" s="1213">
        <f ca="1">VLOOKUP(A104,'銀行-TSS'!A:N,14,FALSE)</f>
        <v>2000</v>
      </c>
      <c r="J104" s="1213">
        <f ca="1">VLOOKUP(A104,'銀行-TSS'!A:O,15,FALSE)</f>
        <v>1000</v>
      </c>
      <c r="K104" s="136" t="str">
        <f ca="1">VLOOKUP(A104,'銀行-TSS'!A:V,22,FALSE)</f>
        <v>(NPI)非專投</v>
      </c>
      <c r="L104" s="136" t="str">
        <f ca="1">VLOOKUP(A104,'銀行-TSS'!A:AK,37,FALSE)</f>
        <v>有</v>
      </c>
      <c r="M104" s="136" t="str">
        <f ca="1">VLOOKUP(A104,'銀行-TSS'!A:AN,40,FALSE)</f>
        <v/>
      </c>
      <c r="N104" s="1211">
        <f t="shared" ca="1" si="22"/>
        <v>707.6</v>
      </c>
      <c r="O104" s="1211">
        <f t="shared" ca="1" si="23"/>
        <v>1415.2</v>
      </c>
      <c r="P104" s="1213">
        <f ca="1">IF(AND(換券投組!$D$17&gt;=O104,換券投組!$D$13=D104),I104+INT((換券投組!$D$17-O104)/N104)*J104,0)</f>
        <v>0</v>
      </c>
      <c r="Q104" s="1211">
        <f t="shared" ca="1" si="24"/>
        <v>0</v>
      </c>
      <c r="R104" s="1213">
        <f t="shared" ca="1" si="25"/>
        <v>0</v>
      </c>
      <c r="S104" s="1213">
        <f t="shared" ca="1" si="26"/>
        <v>0</v>
      </c>
      <c r="T104" s="136">
        <f t="shared" ca="1" si="19"/>
        <v>0</v>
      </c>
      <c r="U104" s="861">
        <f t="shared" ca="1" si="20"/>
        <v>0</v>
      </c>
      <c r="V104" s="136" t="b">
        <f ca="1">IF(OR(D104&lt;&gt;"USD",L104="無",M104&lt;&gt;"",K104="高資產",IFERROR(MATCH(B104,換券投組!K:K,0),"N")&lt;&gt;"N",IFERROR(MATCH(B104,換券投組!J:J,0),"N")&lt;&gt;"N"),FALSE,IF($V$1="All",TRUE,IF(K104=$V$1,TRUE,FALSE)))</f>
        <v>1</v>
      </c>
      <c r="W104" s="136">
        <f ca="1">VLOOKUP(A104,'銀行-TSS'!A:AO,41,FALSE)</f>
        <v>68.62</v>
      </c>
      <c r="X104" s="136">
        <f ca="1">VLOOKUP(A104,'銀行-TSS'!A:AP,42,FALSE)</f>
        <v>14.863300000000001</v>
      </c>
      <c r="Y104" s="1223">
        <f t="shared" ca="1" si="27"/>
        <v>0</v>
      </c>
      <c r="Z104" s="1211">
        <f t="shared" ca="1" si="28"/>
        <v>0</v>
      </c>
      <c r="AA104" s="136">
        <f ca="1">IF(Z104&lt;=0,0,RANK(Z104,Z:Z)+COUNTIF($Z$3:$Z104,Z104)-1)</f>
        <v>0</v>
      </c>
      <c r="AB104" s="1211">
        <f t="shared" ca="1" si="21"/>
        <v>0</v>
      </c>
      <c r="AC104" s="136">
        <f ca="1">IF(AB104&lt;=0,0,RANK(AB104,AB:AB)+COUNTIF($AB$3:$AB104,AB104)-1)</f>
        <v>0</v>
      </c>
      <c r="AD104" s="136">
        <f t="shared" ca="1" si="29"/>
        <v>99999</v>
      </c>
      <c r="AE104" s="136">
        <f ca="1">IF(AD104=99999,0,RANK(AD104,AD:AD,1)+COUNTIF($AD$3:$AD104,AD104)-1)</f>
        <v>0</v>
      </c>
    </row>
    <row r="105" spans="1:31">
      <c r="A105" s="141" t="str">
        <f>'銀行-TSS'!A105</f>
        <v>US713448EP96</v>
      </c>
      <c r="B105" s="151" t="str">
        <f ca="1">VLOOKUP(A105,'銀行-TSS'!A:B,2,FALSE)</f>
        <v>XFY30</v>
      </c>
      <c r="C105" s="151" t="str">
        <f ca="1">VLOOKUP(B105,bond!B:C,2,FALSE)</f>
        <v>百事公司美元配息債券 2.875% 2049/10/15</v>
      </c>
      <c r="D105" s="95" t="str">
        <f>VLOOKUP(A105,'銀行-TSS'!A:C,3,FALSE)</f>
        <v>USD</v>
      </c>
      <c r="E105" s="90">
        <f ca="1">VLOOKUP(A105,'銀行-TSS'!A:G,7,FALSE)</f>
        <v>25.29</v>
      </c>
      <c r="F105" s="202">
        <f ca="1">VLOOKUP(A105,'銀行-TSS'!A:H,8,FALSE)</f>
        <v>2.8750000000000001E-2</v>
      </c>
      <c r="G105" s="96">
        <f ca="1">VLOOKUP(A105,'銀行-TSS'!A:K,11,FALSE)</f>
        <v>68.75</v>
      </c>
      <c r="H105" s="1209">
        <f ca="1">VLOOKUP(A105,'銀行-TSS'!A:M,13,FALSE)</f>
        <v>5.1400000000000001E-2</v>
      </c>
      <c r="I105" s="1213">
        <f ca="1">VLOOKUP(A105,'銀行-TSS'!A:N,14,FALSE)</f>
        <v>2000</v>
      </c>
      <c r="J105" s="1213">
        <f ca="1">VLOOKUP(A105,'銀行-TSS'!A:O,15,FALSE)</f>
        <v>1000</v>
      </c>
      <c r="K105" s="136" t="str">
        <f ca="1">VLOOKUP(A105,'銀行-TSS'!A:V,22,FALSE)</f>
        <v>(NPI)非專投</v>
      </c>
      <c r="L105" s="136" t="str">
        <f ca="1">VLOOKUP(A105,'銀行-TSS'!A:AK,37,FALSE)</f>
        <v>有</v>
      </c>
      <c r="M105" s="136" t="str">
        <f ca="1">VLOOKUP(A105,'銀行-TSS'!A:AN,40,FALSE)</f>
        <v/>
      </c>
      <c r="N105" s="1211">
        <f t="shared" ca="1" si="22"/>
        <v>687.5</v>
      </c>
      <c r="O105" s="1211">
        <f t="shared" ca="1" si="23"/>
        <v>1375</v>
      </c>
      <c r="P105" s="1213">
        <f ca="1">IF(AND(換券投組!$D$17&gt;=O105,換券投組!$D$13=D105),I105+INT((換券投組!$D$17-O105)/N105)*J105,0)</f>
        <v>0</v>
      </c>
      <c r="Q105" s="1211">
        <f t="shared" ca="1" si="24"/>
        <v>0</v>
      </c>
      <c r="R105" s="1213">
        <f t="shared" ca="1" si="25"/>
        <v>0</v>
      </c>
      <c r="S105" s="1213">
        <f t="shared" ca="1" si="26"/>
        <v>0</v>
      </c>
      <c r="T105" s="136">
        <f t="shared" ca="1" si="19"/>
        <v>0</v>
      </c>
      <c r="U105" s="861">
        <f t="shared" ca="1" si="20"/>
        <v>0</v>
      </c>
      <c r="V105" s="136" t="b">
        <f ca="1">IF(OR(D105&lt;&gt;"USD",L105="無",M105&lt;&gt;"",K105="高資產",IFERROR(MATCH(B105,換券投組!K:K,0),"N")&lt;&gt;"N",IFERROR(MATCH(B105,換券投組!J:J,0),"N")&lt;&gt;"N"),FALSE,IF($V$1="All",TRUE,IF(K105=$V$1,TRUE,FALSE)))</f>
        <v>1</v>
      </c>
      <c r="W105" s="136">
        <f ca="1">VLOOKUP(A105,'銀行-TSS'!A:AO,41,FALSE)</f>
        <v>67.14</v>
      </c>
      <c r="X105" s="136">
        <f ca="1">VLOOKUP(A105,'銀行-TSS'!A:AP,42,FALSE)</f>
        <v>15.7402</v>
      </c>
      <c r="Y105" s="1223">
        <f t="shared" ca="1" si="27"/>
        <v>0</v>
      </c>
      <c r="Z105" s="1211">
        <f t="shared" ca="1" si="28"/>
        <v>0</v>
      </c>
      <c r="AA105" s="136">
        <f ca="1">IF(Z105&lt;=0,0,RANK(Z105,Z:Z)+COUNTIF($Z$3:$Z105,Z105)-1)</f>
        <v>0</v>
      </c>
      <c r="AB105" s="1211">
        <f t="shared" ca="1" si="21"/>
        <v>0</v>
      </c>
      <c r="AC105" s="136">
        <f ca="1">IF(AB105&lt;=0,0,RANK(AB105,AB:AB)+COUNTIF($AB$3:$AB105,AB105)-1)</f>
        <v>0</v>
      </c>
      <c r="AD105" s="136">
        <f t="shared" ca="1" si="29"/>
        <v>99999</v>
      </c>
      <c r="AE105" s="136">
        <f ca="1">IF(AD105=99999,0,RANK(AD105,AD:AD,1)+COUNTIF($AD$3:$AD105,AD105)-1)</f>
        <v>0</v>
      </c>
    </row>
    <row r="106" spans="1:31">
      <c r="A106" s="141" t="str">
        <f>'銀行-TSS'!A106</f>
        <v>US375558BK80</v>
      </c>
      <c r="B106" s="151" t="str">
        <f ca="1">VLOOKUP(A106,'銀行-TSS'!A:B,2,FALSE)</f>
        <v>XFY40</v>
      </c>
      <c r="C106" s="151" t="str">
        <f ca="1">VLOOKUP(B106,bond!B:C,2,FALSE)</f>
        <v>吉利德科學公司美元配息債券 4.15% 2047/3/1</v>
      </c>
      <c r="D106" s="95" t="str">
        <f>VLOOKUP(A106,'銀行-TSS'!A:C,3,FALSE)</f>
        <v>USD</v>
      </c>
      <c r="E106" s="90">
        <f ca="1">VLOOKUP(A106,'銀行-TSS'!A:G,7,FALSE)</f>
        <v>22.66</v>
      </c>
      <c r="F106" s="202">
        <f ca="1">VLOOKUP(A106,'銀行-TSS'!A:H,8,FALSE)</f>
        <v>4.1500000000000002E-2</v>
      </c>
      <c r="G106" s="96">
        <f ca="1">VLOOKUP(A106,'銀行-TSS'!A:K,11,FALSE)</f>
        <v>86.39</v>
      </c>
      <c r="H106" s="1209">
        <f ca="1">VLOOKUP(A106,'銀行-TSS'!A:M,13,FALSE)</f>
        <v>5.2900000000000003E-2</v>
      </c>
      <c r="I106" s="1213">
        <f ca="1">VLOOKUP(A106,'銀行-TSS'!A:N,14,FALSE)</f>
        <v>10000</v>
      </c>
      <c r="J106" s="1213">
        <f ca="1">VLOOKUP(A106,'銀行-TSS'!A:O,15,FALSE)</f>
        <v>1000</v>
      </c>
      <c r="K106" s="136" t="str">
        <f ca="1">VLOOKUP(A106,'銀行-TSS'!A:V,22,FALSE)</f>
        <v>(NPI)非專投</v>
      </c>
      <c r="L106" s="136" t="str">
        <f ca="1">VLOOKUP(A106,'銀行-TSS'!A:AK,37,FALSE)</f>
        <v>有</v>
      </c>
      <c r="M106" s="136" t="str">
        <f ca="1">VLOOKUP(A106,'銀行-TSS'!A:AN,40,FALSE)</f>
        <v/>
      </c>
      <c r="N106" s="1211">
        <f t="shared" ca="1" si="22"/>
        <v>863.9</v>
      </c>
      <c r="O106" s="1211">
        <f t="shared" ca="1" si="23"/>
        <v>8639</v>
      </c>
      <c r="P106" s="1213">
        <f ca="1">IF(AND(換券投組!$D$17&gt;=O106,換券投組!$D$13=D106),I106+INT((換券投組!$D$17-O106)/N106)*J106,0)</f>
        <v>0</v>
      </c>
      <c r="Q106" s="1211">
        <f t="shared" ca="1" si="24"/>
        <v>0</v>
      </c>
      <c r="R106" s="1213">
        <f t="shared" ca="1" si="25"/>
        <v>0</v>
      </c>
      <c r="S106" s="1213">
        <f t="shared" ca="1" si="26"/>
        <v>0</v>
      </c>
      <c r="T106" s="136">
        <f t="shared" ca="1" si="19"/>
        <v>0</v>
      </c>
      <c r="U106" s="861">
        <f t="shared" ca="1" si="20"/>
        <v>0</v>
      </c>
      <c r="V106" s="136" t="b">
        <f ca="1">IF(OR(D106&lt;&gt;"USD",L106="無",M106&lt;&gt;"",K106="高資產",IFERROR(MATCH(B106,換券投組!K:K,0),"N")&lt;&gt;"N",IFERROR(MATCH(B106,換券投組!J:J,0),"N")&lt;&gt;"N"),FALSE,IF($V$1="All",TRUE,IF(K106=$V$1,TRUE,FALSE)))</f>
        <v>1</v>
      </c>
      <c r="W106" s="136">
        <f ca="1">VLOOKUP(A106,'銀行-TSS'!A:AO,41,FALSE)</f>
        <v>82</v>
      </c>
      <c r="X106" s="136">
        <f ca="1">VLOOKUP(A106,'銀行-TSS'!A:AP,42,FALSE)</f>
        <v>13.4552</v>
      </c>
      <c r="Y106" s="1223">
        <f t="shared" ca="1" si="27"/>
        <v>0</v>
      </c>
      <c r="Z106" s="1211">
        <f t="shared" ca="1" si="28"/>
        <v>0</v>
      </c>
      <c r="AA106" s="136">
        <f ca="1">IF(Z106&lt;=0,0,RANK(Z106,Z:Z)+COUNTIF($Z$3:$Z106,Z106)-1)</f>
        <v>0</v>
      </c>
      <c r="AB106" s="1211">
        <f t="shared" ca="1" si="21"/>
        <v>0</v>
      </c>
      <c r="AC106" s="136">
        <f ca="1">IF(AB106&lt;=0,0,RANK(AB106,AB:AB)+COUNTIF($AB$3:$AB106,AB106)-1)</f>
        <v>0</v>
      </c>
      <c r="AD106" s="136">
        <f t="shared" ca="1" si="29"/>
        <v>99999</v>
      </c>
      <c r="AE106" s="136">
        <f ca="1">IF(AD106=99999,0,RANK(AD106,AD:AD,1)+COUNTIF($AD$3:$AD106,AD106)-1)</f>
        <v>0</v>
      </c>
    </row>
    <row r="107" spans="1:31">
      <c r="A107" s="141" t="str">
        <f>'銀行-TSS'!A107</f>
        <v>US437076BY77</v>
      </c>
      <c r="B107" s="151" t="str">
        <f ca="1">VLOOKUP(A107,'銀行-TSS'!A:B,2,FALSE)</f>
        <v>XFY50</v>
      </c>
      <c r="C107" s="151" t="str">
        <f ca="1">VLOOKUP(B107,bond!B:C,2,FALSE)</f>
        <v>家得寶公司美元配息債券 2.95% 2029/6/15</v>
      </c>
      <c r="D107" s="95" t="str">
        <f>VLOOKUP(A107,'銀行-TSS'!A:C,3,FALSE)</f>
        <v>USD</v>
      </c>
      <c r="E107" s="90">
        <f ca="1">VLOOKUP(A107,'銀行-TSS'!A:G,7,FALSE)</f>
        <v>4.95</v>
      </c>
      <c r="F107" s="202">
        <f ca="1">VLOOKUP(A107,'銀行-TSS'!A:H,8,FALSE)</f>
        <v>2.9500000000000002E-2</v>
      </c>
      <c r="G107" s="96">
        <f ca="1">VLOOKUP(A107,'銀行-TSS'!A:K,11,FALSE)</f>
        <v>93.72</v>
      </c>
      <c r="H107" s="1209">
        <f ca="1">VLOOKUP(A107,'銀行-TSS'!A:M,13,FALSE)</f>
        <v>4.41E-2</v>
      </c>
      <c r="I107" s="1213">
        <f ca="1">VLOOKUP(A107,'銀行-TSS'!A:N,14,FALSE)</f>
        <v>10000</v>
      </c>
      <c r="J107" s="1213">
        <f ca="1">VLOOKUP(A107,'銀行-TSS'!A:O,15,FALSE)</f>
        <v>1000</v>
      </c>
      <c r="K107" s="136" t="str">
        <f ca="1">VLOOKUP(A107,'銀行-TSS'!A:V,22,FALSE)</f>
        <v>(NPI)非專投</v>
      </c>
      <c r="L107" s="136" t="str">
        <f ca="1">VLOOKUP(A107,'銀行-TSS'!A:AK,37,FALSE)</f>
        <v>有</v>
      </c>
      <c r="M107" s="136" t="str">
        <f ca="1">VLOOKUP(A107,'銀行-TSS'!A:AN,40,FALSE)</f>
        <v/>
      </c>
      <c r="N107" s="1211">
        <f t="shared" ca="1" si="22"/>
        <v>937.2</v>
      </c>
      <c r="O107" s="1211">
        <f t="shared" ca="1" si="23"/>
        <v>9372</v>
      </c>
      <c r="P107" s="1213">
        <f ca="1">IF(AND(換券投組!$D$17&gt;=O107,換券投組!$D$13=D107),I107+INT((換券投組!$D$17-O107)/N107)*J107,0)</f>
        <v>0</v>
      </c>
      <c r="Q107" s="1211">
        <f t="shared" ca="1" si="24"/>
        <v>0</v>
      </c>
      <c r="R107" s="1213">
        <f t="shared" ca="1" si="25"/>
        <v>0</v>
      </c>
      <c r="S107" s="1213">
        <f t="shared" ca="1" si="26"/>
        <v>0</v>
      </c>
      <c r="T107" s="136">
        <f t="shared" ca="1" si="19"/>
        <v>0</v>
      </c>
      <c r="U107" s="861">
        <f t="shared" ca="1" si="20"/>
        <v>0</v>
      </c>
      <c r="V107" s="136" t="b">
        <f ca="1">IF(OR(D107&lt;&gt;"USD",L107="無",M107&lt;&gt;"",K107="高資產",IFERROR(MATCH(B107,換券投組!K:K,0),"N")&lt;&gt;"N",IFERROR(MATCH(B107,換券投組!J:J,0),"N")&lt;&gt;"N"),FALSE,IF($V$1="All",TRUE,IF(K107=$V$1,TRUE,FALSE)))</f>
        <v>1</v>
      </c>
      <c r="W107" s="136">
        <f ca="1">VLOOKUP(A107,'銀行-TSS'!A:AO,41,FALSE)</f>
        <v>91.98</v>
      </c>
      <c r="X107" s="136">
        <f ca="1">VLOOKUP(A107,'銀行-TSS'!A:AP,42,FALSE)</f>
        <v>4.5175999999999998</v>
      </c>
      <c r="Y107" s="1223">
        <f t="shared" ca="1" si="27"/>
        <v>0</v>
      </c>
      <c r="Z107" s="1211">
        <f t="shared" ca="1" si="28"/>
        <v>0</v>
      </c>
      <c r="AA107" s="136">
        <f ca="1">IF(Z107&lt;=0,0,RANK(Z107,Z:Z)+COUNTIF($Z$3:$Z107,Z107)-1)</f>
        <v>0</v>
      </c>
      <c r="AB107" s="1211">
        <f t="shared" ca="1" si="21"/>
        <v>0</v>
      </c>
      <c r="AC107" s="136">
        <f ca="1">IF(AB107&lt;=0,0,RANK(AB107,AB:AB)+COUNTIF($AB$3:$AB107,AB107)-1)</f>
        <v>0</v>
      </c>
      <c r="AD107" s="136">
        <f t="shared" ca="1" si="29"/>
        <v>99999</v>
      </c>
      <c r="AE107" s="136">
        <f ca="1">IF(AD107=99999,0,RANK(AD107,AD:AD,1)+COUNTIF($AD$3:$AD107,AD107)-1)</f>
        <v>0</v>
      </c>
    </row>
    <row r="108" spans="1:31">
      <c r="A108" s="141" t="str">
        <f>'銀行-TSS'!A108</f>
        <v>US655664AR15</v>
      </c>
      <c r="B108" s="151" t="str">
        <f ca="1">VLOOKUP(A108,'銀行-TSS'!A:B,2,FALSE)</f>
        <v>XFY70</v>
      </c>
      <c r="C108" s="151" t="str">
        <f ca="1">VLOOKUP(B108,bond!B:C,2,FALSE)</f>
        <v>諾德斯特隆公司美元配息債券 5% 2044/1/15</v>
      </c>
      <c r="D108" s="95" t="str">
        <f>VLOOKUP(A108,'銀行-TSS'!A:C,3,FALSE)</f>
        <v>USD</v>
      </c>
      <c r="E108" s="90">
        <f ca="1">VLOOKUP(A108,'銀行-TSS'!A:G,7,FALSE)</f>
        <v>19.54</v>
      </c>
      <c r="F108" s="202">
        <f ca="1">VLOOKUP(A108,'銀行-TSS'!A:H,8,FALSE)</f>
        <v>0.05</v>
      </c>
      <c r="G108" s="96">
        <f ca="1">VLOOKUP(A108,'銀行-TSS'!A:K,11,FALSE)</f>
        <v>87.04</v>
      </c>
      <c r="H108" s="1209">
        <f ca="1">VLOOKUP(A108,'銀行-TSS'!A:M,13,FALSE)</f>
        <v>6.3799999999999996E-2</v>
      </c>
      <c r="I108" s="1213">
        <f ca="1">VLOOKUP(A108,'銀行-TSS'!A:N,14,FALSE)</f>
        <v>10000</v>
      </c>
      <c r="J108" s="1213">
        <f ca="1">VLOOKUP(A108,'銀行-TSS'!A:O,15,FALSE)</f>
        <v>1000</v>
      </c>
      <c r="K108" s="136" t="str">
        <f ca="1">VLOOKUP(A108,'銀行-TSS'!A:V,22,FALSE)</f>
        <v>(PI)專投</v>
      </c>
      <c r="L108" s="136" t="str">
        <f ca="1">VLOOKUP(A108,'銀行-TSS'!A:AK,37,FALSE)</f>
        <v>有</v>
      </c>
      <c r="M108" s="136" t="str">
        <f ca="1">VLOOKUP(A108,'銀行-TSS'!A:AN,40,FALSE)</f>
        <v/>
      </c>
      <c r="N108" s="1211">
        <f t="shared" ca="1" si="22"/>
        <v>870.4</v>
      </c>
      <c r="O108" s="1211">
        <f t="shared" ca="1" si="23"/>
        <v>8704.0000000000018</v>
      </c>
      <c r="P108" s="1213">
        <f ca="1">IF(AND(換券投組!$D$17&gt;=O108,換券投組!$D$13=D108),I108+INT((換券投組!$D$17-O108)/N108)*J108,0)</f>
        <v>0</v>
      </c>
      <c r="Q108" s="1211">
        <f t="shared" ca="1" si="24"/>
        <v>0</v>
      </c>
      <c r="R108" s="1213">
        <f t="shared" ca="1" si="25"/>
        <v>0</v>
      </c>
      <c r="S108" s="1213">
        <f t="shared" ca="1" si="26"/>
        <v>0</v>
      </c>
      <c r="T108" s="136">
        <f t="shared" ca="1" si="19"/>
        <v>0</v>
      </c>
      <c r="U108" s="861">
        <f t="shared" ca="1" si="20"/>
        <v>0</v>
      </c>
      <c r="V108" s="136" t="b">
        <f ca="1">IF(OR(D108&lt;&gt;"USD",L108="無",M108&lt;&gt;"",K108="高資產",IFERROR(MATCH(B108,換券投組!K:K,0),"N")&lt;&gt;"N",IFERROR(MATCH(B108,換券投組!J:J,0),"N")&lt;&gt;"N"),FALSE,IF($V$1="All",TRUE,IF(K108=$V$1,TRUE,FALSE)))</f>
        <v>1</v>
      </c>
      <c r="W108" s="136">
        <f ca="1">VLOOKUP(A108,'銀行-TSS'!A:AO,41,FALSE)</f>
        <v>81.72</v>
      </c>
      <c r="X108" s="136">
        <f ca="1">VLOOKUP(A108,'銀行-TSS'!A:AP,42,FALSE)</f>
        <v>11.227600000000001</v>
      </c>
      <c r="Y108" s="1223">
        <f t="shared" ca="1" si="27"/>
        <v>0</v>
      </c>
      <c r="Z108" s="1211">
        <f t="shared" ca="1" si="28"/>
        <v>0</v>
      </c>
      <c r="AA108" s="136">
        <f ca="1">IF(Z108&lt;=0,0,RANK(Z108,Z:Z)+COUNTIF($Z$3:$Z108,Z108)-1)</f>
        <v>0</v>
      </c>
      <c r="AB108" s="1211">
        <f t="shared" ca="1" si="21"/>
        <v>0</v>
      </c>
      <c r="AC108" s="136">
        <f ca="1">IF(AB108&lt;=0,0,RANK(AB108,AB:AB)+COUNTIF($AB$3:$AB108,AB108)-1)</f>
        <v>0</v>
      </c>
      <c r="AD108" s="136">
        <f t="shared" ca="1" si="29"/>
        <v>99999</v>
      </c>
      <c r="AE108" s="136">
        <f ca="1">IF(AD108=99999,0,RANK(AD108,AD:AD,1)+COUNTIF($AD$3:$AD108,AD108)-1)</f>
        <v>0</v>
      </c>
    </row>
    <row r="109" spans="1:31">
      <c r="A109" s="141" t="str">
        <f>'銀行-TSS'!A109</f>
        <v>US69370RAE71</v>
      </c>
      <c r="B109" s="151" t="str">
        <f ca="1">VLOOKUP(A109,'銀行-TSS'!A:B,2,FALSE)</f>
        <v>XFY80</v>
      </c>
      <c r="C109" s="151" t="str">
        <f ca="1">VLOOKUP(B109,bond!B:C,2,FALSE)</f>
        <v>印尼國家石油有限公司美元配息債券 4.7% 2049/7/30</v>
      </c>
      <c r="D109" s="95" t="str">
        <f>VLOOKUP(A109,'銀行-TSS'!A:C,3,FALSE)</f>
        <v>USD</v>
      </c>
      <c r="E109" s="90">
        <f ca="1">VLOOKUP(A109,'銀行-TSS'!A:G,7,FALSE)</f>
        <v>25.08</v>
      </c>
      <c r="F109" s="202">
        <f ca="1">VLOOKUP(A109,'銀行-TSS'!A:H,8,FALSE)</f>
        <v>4.7E-2</v>
      </c>
      <c r="G109" s="96">
        <f ca="1">VLOOKUP(A109,'銀行-TSS'!A:K,11,FALSE)</f>
        <v>90.71</v>
      </c>
      <c r="H109" s="1209">
        <f ca="1">VLOOKUP(A109,'銀行-TSS'!A:M,13,FALSE)</f>
        <v>5.5399999999999998E-2</v>
      </c>
      <c r="I109" s="1213">
        <f ca="1">VLOOKUP(A109,'銀行-TSS'!A:N,14,FALSE)</f>
        <v>200000</v>
      </c>
      <c r="J109" s="1213">
        <f ca="1">VLOOKUP(A109,'銀行-TSS'!A:O,15,FALSE)</f>
        <v>1000</v>
      </c>
      <c r="K109" s="136" t="str">
        <f ca="1">VLOOKUP(A109,'銀行-TSS'!A:V,22,FALSE)</f>
        <v>(PI)專投</v>
      </c>
      <c r="L109" s="136" t="str">
        <f ca="1">VLOOKUP(A109,'銀行-TSS'!A:AK,37,FALSE)</f>
        <v>有</v>
      </c>
      <c r="M109" s="136" t="str">
        <f ca="1">VLOOKUP(A109,'銀行-TSS'!A:AN,40,FALSE)</f>
        <v/>
      </c>
      <c r="N109" s="1211">
        <f t="shared" ca="1" si="22"/>
        <v>907.1</v>
      </c>
      <c r="O109" s="1211">
        <f t="shared" ca="1" si="23"/>
        <v>181420</v>
      </c>
      <c r="P109" s="1213">
        <f ca="1">IF(AND(換券投組!$D$17&gt;=O109,換券投組!$D$13=D109),I109+INT((換券投組!$D$17-O109)/N109)*J109,0)</f>
        <v>0</v>
      </c>
      <c r="Q109" s="1211">
        <f t="shared" ca="1" si="24"/>
        <v>0</v>
      </c>
      <c r="R109" s="1213">
        <f t="shared" ca="1" si="25"/>
        <v>0</v>
      </c>
      <c r="S109" s="1213">
        <f t="shared" ca="1" si="26"/>
        <v>0</v>
      </c>
      <c r="T109" s="136">
        <f t="shared" ca="1" si="19"/>
        <v>0</v>
      </c>
      <c r="U109" s="861">
        <f t="shared" ca="1" si="20"/>
        <v>0</v>
      </c>
      <c r="V109" s="136" t="b">
        <f ca="1">IF(OR(D109&lt;&gt;"USD",L109="無",M109&lt;&gt;"",K109="高資產",IFERROR(MATCH(B109,換券投組!K:K,0),"N")&lt;&gt;"N",IFERROR(MATCH(B109,換券投組!J:J,0),"N")&lt;&gt;"N"),FALSE,IF($V$1="All",TRUE,IF(K109=$V$1,TRUE,FALSE)))</f>
        <v>1</v>
      </c>
      <c r="W109" s="136">
        <f ca="1">VLOOKUP(A109,'銀行-TSS'!A:AO,41,FALSE)</f>
        <v>85.23</v>
      </c>
      <c r="X109" s="136">
        <f ca="1">VLOOKUP(A109,'銀行-TSS'!A:AP,42,FALSE)</f>
        <v>13.4587</v>
      </c>
      <c r="Y109" s="1223">
        <f t="shared" ca="1" si="27"/>
        <v>0</v>
      </c>
      <c r="Z109" s="1211">
        <f t="shared" ca="1" si="28"/>
        <v>0</v>
      </c>
      <c r="AA109" s="136">
        <f ca="1">IF(Z109&lt;=0,0,RANK(Z109,Z:Z)+COUNTIF($Z$3:$Z109,Z109)-1)</f>
        <v>0</v>
      </c>
      <c r="AB109" s="1211">
        <f t="shared" ca="1" si="21"/>
        <v>0</v>
      </c>
      <c r="AC109" s="136">
        <f ca="1">IF(AB109&lt;=0,0,RANK(AB109,AB:AB)+COUNTIF($AB$3:$AB109,AB109)-1)</f>
        <v>0</v>
      </c>
      <c r="AD109" s="136">
        <f t="shared" ca="1" si="29"/>
        <v>99999</v>
      </c>
      <c r="AE109" s="136">
        <f ca="1">IF(AD109=99999,0,RANK(AD109,AD:AD,1)+COUNTIF($AD$3:$AD109,AD109)-1)</f>
        <v>0</v>
      </c>
    </row>
    <row r="110" spans="1:31">
      <c r="A110" s="141" t="str">
        <f>'銀行-TSS'!A110</f>
        <v>AU0000078644</v>
      </c>
      <c r="B110" s="151" t="str">
        <f ca="1">VLOOKUP(A110,'銀行-TSS'!A:B,2,FALSE)</f>
        <v>XFY90</v>
      </c>
      <c r="C110" s="151" t="str">
        <f ca="1">VLOOKUP(B110,bond!B:C,2,FALSE)</f>
        <v>阿聯酋杜拜國家銀行澳幣配息債券 3.05% 2030/2/26</v>
      </c>
      <c r="D110" s="95" t="str">
        <f>VLOOKUP(A110,'銀行-TSS'!A:C,3,FALSE)</f>
        <v>AUD</v>
      </c>
      <c r="E110" s="90">
        <f ca="1">VLOOKUP(A110,'銀行-TSS'!A:G,7,FALSE)</f>
        <v>5.65</v>
      </c>
      <c r="F110" s="202">
        <f ca="1">VLOOKUP(A110,'銀行-TSS'!A:H,8,FALSE)</f>
        <v>3.0499999999999999E-2</v>
      </c>
      <c r="G110" s="96">
        <f ca="1">VLOOKUP(A110,'銀行-TSS'!A:K,11,FALSE)</f>
        <v>92.68</v>
      </c>
      <c r="H110" s="1209">
        <f ca="1">VLOOKUP(A110,'銀行-TSS'!A:M,13,FALSE)</f>
        <v>4.7600000000000003E-2</v>
      </c>
      <c r="I110" s="1213">
        <f ca="1">VLOOKUP(A110,'銀行-TSS'!A:N,14,FALSE)</f>
        <v>10000</v>
      </c>
      <c r="J110" s="1213">
        <f ca="1">VLOOKUP(A110,'銀行-TSS'!A:O,15,FALSE)</f>
        <v>10000</v>
      </c>
      <c r="K110" s="136" t="str">
        <f ca="1">VLOOKUP(A110,'銀行-TSS'!A:V,22,FALSE)</f>
        <v>(NPI)非專投</v>
      </c>
      <c r="L110" s="136" t="str">
        <f ca="1">VLOOKUP(A110,'銀行-TSS'!A:AK,37,FALSE)</f>
        <v>無</v>
      </c>
      <c r="M110" s="136" t="str">
        <f ca="1">VLOOKUP(A110,'銀行-TSS'!A:AN,40,FALSE)</f>
        <v>XFY90</v>
      </c>
      <c r="N110" s="1211">
        <f t="shared" ca="1" si="22"/>
        <v>9268.0000000000018</v>
      </c>
      <c r="O110" s="1211">
        <f t="shared" ca="1" si="23"/>
        <v>9268.0000000000018</v>
      </c>
      <c r="P110" s="1213">
        <f ca="1">IF(AND(換券投組!$D$17&gt;=O110,換券投組!$D$13=D110),I110+INT((換券投組!$D$17-O110)/N110)*J110,0)</f>
        <v>0</v>
      </c>
      <c r="Q110" s="1211">
        <f t="shared" ca="1" si="24"/>
        <v>0</v>
      </c>
      <c r="R110" s="1213">
        <f t="shared" ca="1" si="25"/>
        <v>0</v>
      </c>
      <c r="S110" s="1213">
        <f t="shared" ca="1" si="26"/>
        <v>0</v>
      </c>
      <c r="T110" s="136">
        <f t="shared" ca="1" si="19"/>
        <v>0</v>
      </c>
      <c r="U110" s="861">
        <f t="shared" ca="1" si="20"/>
        <v>0</v>
      </c>
      <c r="V110" s="136" t="b">
        <f ca="1">IF(OR(D110&lt;&gt;"USD",L110="無",M110&lt;&gt;"",K110="高資產",IFERROR(MATCH(B110,換券投組!K:K,0),"N")&lt;&gt;"N",IFERROR(MATCH(B110,換券投組!J:J,0),"N")&lt;&gt;"N"),FALSE,IF($V$1="All",TRUE,IF(K110=$V$1,TRUE,FALSE)))</f>
        <v>0</v>
      </c>
      <c r="W110" s="136">
        <f ca="1">VLOOKUP(A110,'銀行-TSS'!A:AO,41,FALSE)</f>
        <v>89.61</v>
      </c>
      <c r="X110" s="136">
        <f ca="1">VLOOKUP(A110,'銀行-TSS'!A:AP,42,FALSE)</f>
        <v>5.0106000000000002</v>
      </c>
      <c r="Y110" s="1223">
        <f t="shared" ca="1" si="27"/>
        <v>0</v>
      </c>
      <c r="Z110" s="1211">
        <f t="shared" ca="1" si="28"/>
        <v>0</v>
      </c>
      <c r="AA110" s="136">
        <f ca="1">IF(Z110&lt;=0,0,RANK(Z110,Z:Z)+COUNTIF($Z$3:$Z110,Z110)-1)</f>
        <v>0</v>
      </c>
      <c r="AB110" s="1211">
        <f t="shared" ca="1" si="21"/>
        <v>0</v>
      </c>
      <c r="AC110" s="136">
        <f ca="1">IF(AB110&lt;=0,0,RANK(AB110,AB:AB)+COUNTIF($AB$3:$AB110,AB110)-1)</f>
        <v>0</v>
      </c>
      <c r="AD110" s="136">
        <f t="shared" ca="1" si="29"/>
        <v>99999</v>
      </c>
      <c r="AE110" s="136">
        <f ca="1">IF(AD110=99999,0,RANK(AD110,AD:AD,1)+COUNTIF($AD$3:$AD110,AD110)-1)</f>
        <v>0</v>
      </c>
    </row>
    <row r="111" spans="1:31">
      <c r="A111" s="141" t="str">
        <f>'銀行-TSS'!A111</f>
        <v>US125523AK66</v>
      </c>
      <c r="B111" s="151" t="str">
        <f ca="1">VLOOKUP(A111,'銀行-TSS'!A:B,2,FALSE)</f>
        <v>XFZ10</v>
      </c>
      <c r="C111" s="151" t="str">
        <f ca="1">VLOOKUP(B111,bond!B:C,2,FALSE)</f>
        <v>信諾公司美元配息債券 4.9% 2048/12/15</v>
      </c>
      <c r="D111" s="95" t="str">
        <f>VLOOKUP(A111,'銀行-TSS'!A:C,3,FALSE)</f>
        <v>USD</v>
      </c>
      <c r="E111" s="90">
        <f ca="1">VLOOKUP(A111,'銀行-TSS'!A:G,7,FALSE)</f>
        <v>24.45</v>
      </c>
      <c r="F111" s="202">
        <f ca="1">VLOOKUP(A111,'銀行-TSS'!A:H,8,FALSE)</f>
        <v>4.9000000000000002E-2</v>
      </c>
      <c r="G111" s="96">
        <f ca="1">VLOOKUP(A111,'銀行-TSS'!A:K,11,FALSE)</f>
        <v>92.21</v>
      </c>
      <c r="H111" s="1209">
        <f ca="1">VLOOKUP(A111,'銀行-TSS'!A:M,13,FALSE)</f>
        <v>5.5E-2</v>
      </c>
      <c r="I111" s="1213">
        <f ca="1">VLOOKUP(A111,'銀行-TSS'!A:N,14,FALSE)</f>
        <v>10000</v>
      </c>
      <c r="J111" s="1213">
        <f ca="1">VLOOKUP(A111,'銀行-TSS'!A:O,15,FALSE)</f>
        <v>1000</v>
      </c>
      <c r="K111" s="136" t="str">
        <f ca="1">VLOOKUP(A111,'銀行-TSS'!A:V,22,FALSE)</f>
        <v>(NPI)非專投</v>
      </c>
      <c r="L111" s="136" t="str">
        <f ca="1">VLOOKUP(A111,'銀行-TSS'!A:AK,37,FALSE)</f>
        <v>有</v>
      </c>
      <c r="M111" s="136" t="str">
        <f ca="1">VLOOKUP(A111,'銀行-TSS'!A:AN,40,FALSE)</f>
        <v/>
      </c>
      <c r="N111" s="1211">
        <f t="shared" ca="1" si="22"/>
        <v>922.1</v>
      </c>
      <c r="O111" s="1211">
        <f t="shared" ca="1" si="23"/>
        <v>9220.9999999999982</v>
      </c>
      <c r="P111" s="1213">
        <f ca="1">IF(AND(換券投組!$D$17&gt;=O111,換券投組!$D$13=D111),I111+INT((換券投組!$D$17-O111)/N111)*J111,0)</f>
        <v>0</v>
      </c>
      <c r="Q111" s="1211">
        <f t="shared" ca="1" si="24"/>
        <v>0</v>
      </c>
      <c r="R111" s="1213">
        <f t="shared" ca="1" si="25"/>
        <v>0</v>
      </c>
      <c r="S111" s="1213">
        <f t="shared" ca="1" si="26"/>
        <v>0</v>
      </c>
      <c r="T111" s="136">
        <f t="shared" ca="1" si="19"/>
        <v>0</v>
      </c>
      <c r="U111" s="861">
        <f t="shared" ca="1" si="20"/>
        <v>0</v>
      </c>
      <c r="V111" s="136" t="b">
        <f ca="1">IF(OR(D111&lt;&gt;"USD",L111="無",M111&lt;&gt;"",K111="高資產",IFERROR(MATCH(B111,換券投組!K:K,0),"N")&lt;&gt;"N",IFERROR(MATCH(B111,換券投組!J:J,0),"N")&lt;&gt;"N"),FALSE,IF($V$1="All",TRUE,IF(K111=$V$1,TRUE,FALSE)))</f>
        <v>1</v>
      </c>
      <c r="W111" s="136">
        <f ca="1">VLOOKUP(A111,'銀行-TSS'!A:AO,41,FALSE)</f>
        <v>88.48</v>
      </c>
      <c r="X111" s="136">
        <f ca="1">VLOOKUP(A111,'銀行-TSS'!A:AP,42,FALSE)</f>
        <v>13.513400000000001</v>
      </c>
      <c r="Y111" s="1223">
        <f t="shared" ca="1" si="27"/>
        <v>0</v>
      </c>
      <c r="Z111" s="1211">
        <f t="shared" ca="1" si="28"/>
        <v>0</v>
      </c>
      <c r="AA111" s="136">
        <f ca="1">IF(Z111&lt;=0,0,RANK(Z111,Z:Z)+COUNTIF($Z$3:$Z111,Z111)-1)</f>
        <v>0</v>
      </c>
      <c r="AB111" s="1211">
        <f t="shared" ca="1" si="21"/>
        <v>0</v>
      </c>
      <c r="AC111" s="136">
        <f ca="1">IF(AB111&lt;=0,0,RANK(AB111,AB:AB)+COUNTIF($AB$3:$AB111,AB111)-1)</f>
        <v>0</v>
      </c>
      <c r="AD111" s="136">
        <f t="shared" ca="1" si="29"/>
        <v>99999</v>
      </c>
      <c r="AE111" s="136">
        <f ca="1">IF(AD111=99999,0,RANK(AD111,AD:AD,1)+COUNTIF($AD$3:$AD111,AD111)-1)</f>
        <v>0</v>
      </c>
    </row>
    <row r="112" spans="1:31">
      <c r="A112" s="141" t="str">
        <f>'銀行-TSS'!A112</f>
        <v>US278642AW32</v>
      </c>
      <c r="B112" s="151" t="str">
        <f ca="1">VLOOKUP(A112,'銀行-TSS'!A:B,2,FALSE)</f>
        <v>XFZ20</v>
      </c>
      <c r="C112" s="151" t="str">
        <f ca="1">VLOOKUP(B112,bond!B:C,2,FALSE)</f>
        <v>eBay公司美元配息債券 2.7% 2030/3/11</v>
      </c>
      <c r="D112" s="95" t="str">
        <f>VLOOKUP(A112,'銀行-TSS'!A:C,3,FALSE)</f>
        <v>USD</v>
      </c>
      <c r="E112" s="90">
        <f ca="1">VLOOKUP(A112,'銀行-TSS'!A:G,7,FALSE)</f>
        <v>5.69</v>
      </c>
      <c r="F112" s="202">
        <f ca="1">VLOOKUP(A112,'銀行-TSS'!A:H,8,FALSE)</f>
        <v>2.7000000000000003E-2</v>
      </c>
      <c r="G112" s="96">
        <f ca="1">VLOOKUP(A112,'銀行-TSS'!A:K,11,FALSE)</f>
        <v>91.47</v>
      </c>
      <c r="H112" s="1209">
        <f ca="1">VLOOKUP(A112,'銀行-TSS'!A:M,13,FALSE)</f>
        <v>4.5900000000000003E-2</v>
      </c>
      <c r="I112" s="1213">
        <f ca="1">VLOOKUP(A112,'銀行-TSS'!A:N,14,FALSE)</f>
        <v>10000</v>
      </c>
      <c r="J112" s="1213">
        <f ca="1">VLOOKUP(A112,'銀行-TSS'!A:O,15,FALSE)</f>
        <v>1000</v>
      </c>
      <c r="K112" s="136" t="str">
        <f ca="1">VLOOKUP(A112,'銀行-TSS'!A:V,22,FALSE)</f>
        <v>(PI)專投</v>
      </c>
      <c r="L112" s="136" t="str">
        <f ca="1">VLOOKUP(A112,'銀行-TSS'!A:AK,37,FALSE)</f>
        <v>有</v>
      </c>
      <c r="M112" s="136" t="str">
        <f ca="1">VLOOKUP(A112,'銀行-TSS'!A:AN,40,FALSE)</f>
        <v/>
      </c>
      <c r="N112" s="1211">
        <f t="shared" ca="1" si="22"/>
        <v>914.7</v>
      </c>
      <c r="O112" s="1211">
        <f t="shared" ca="1" si="23"/>
        <v>9147</v>
      </c>
      <c r="P112" s="1213">
        <f ca="1">IF(AND(換券投組!$D$17&gt;=O112,換券投組!$D$13=D112),I112+INT((換券投組!$D$17-O112)/N112)*J112,0)</f>
        <v>0</v>
      </c>
      <c r="Q112" s="1211">
        <f t="shared" ca="1" si="24"/>
        <v>0</v>
      </c>
      <c r="R112" s="1213">
        <f t="shared" ca="1" si="25"/>
        <v>0</v>
      </c>
      <c r="S112" s="1213">
        <f t="shared" ca="1" si="26"/>
        <v>0</v>
      </c>
      <c r="T112" s="136">
        <f t="shared" ca="1" si="19"/>
        <v>0</v>
      </c>
      <c r="U112" s="861">
        <f t="shared" ca="1" si="20"/>
        <v>0</v>
      </c>
      <c r="V112" s="136" t="b">
        <f ca="1">IF(OR(D112&lt;&gt;"USD",L112="無",M112&lt;&gt;"",K112="高資產",IFERROR(MATCH(B112,換券投組!K:K,0),"N")&lt;&gt;"N",IFERROR(MATCH(B112,換券投組!J:J,0),"N")&lt;&gt;"N"),FALSE,IF($V$1="All",TRUE,IF(K112=$V$1,TRUE,FALSE)))</f>
        <v>1</v>
      </c>
      <c r="W112" s="136">
        <f ca="1">VLOOKUP(A112,'銀行-TSS'!A:AO,41,FALSE)</f>
        <v>88.64</v>
      </c>
      <c r="X112" s="136">
        <f ca="1">VLOOKUP(A112,'銀行-TSS'!A:AP,42,FALSE)</f>
        <v>5.1140999999999996</v>
      </c>
      <c r="Y112" s="1223">
        <f t="shared" ca="1" si="27"/>
        <v>0</v>
      </c>
      <c r="Z112" s="1211">
        <f t="shared" ca="1" si="28"/>
        <v>0</v>
      </c>
      <c r="AA112" s="136">
        <f ca="1">IF(Z112&lt;=0,0,RANK(Z112,Z:Z)+COUNTIF($Z$3:$Z112,Z112)-1)</f>
        <v>0</v>
      </c>
      <c r="AB112" s="1211">
        <f t="shared" ca="1" si="21"/>
        <v>0</v>
      </c>
      <c r="AC112" s="136">
        <f ca="1">IF(AB112&lt;=0,0,RANK(AB112,AB:AB)+COUNTIF($AB$3:$AB112,AB112)-1)</f>
        <v>0</v>
      </c>
      <c r="AD112" s="136">
        <f t="shared" ca="1" si="29"/>
        <v>99999</v>
      </c>
      <c r="AE112" s="136">
        <f ca="1">IF(AD112=99999,0,RANK(AD112,AD:AD,1)+COUNTIF($AD$3:$AD112,AD112)-1)</f>
        <v>0</v>
      </c>
    </row>
    <row r="113" spans="1:31">
      <c r="A113" s="141" t="str">
        <f>'銀行-TSS'!A113</f>
        <v>US92826CAF95</v>
      </c>
      <c r="B113" s="151" t="str">
        <f ca="1">VLOOKUP(A113,'銀行-TSS'!A:B,2,FALSE)</f>
        <v>XFZ30</v>
      </c>
      <c r="C113" s="151" t="str">
        <f ca="1">VLOOKUP(B113,bond!B:C,2,FALSE)</f>
        <v>威士卡公司美元配息債券 4.3% 2045/12/14</v>
      </c>
      <c r="D113" s="95" t="str">
        <f>VLOOKUP(A113,'銀行-TSS'!A:C,3,FALSE)</f>
        <v>USD</v>
      </c>
      <c r="E113" s="90">
        <f ca="1">VLOOKUP(A113,'銀行-TSS'!A:G,7,FALSE)</f>
        <v>21.45</v>
      </c>
      <c r="F113" s="202">
        <f ca="1">VLOOKUP(A113,'銀行-TSS'!A:H,8,FALSE)</f>
        <v>4.2999999999999997E-2</v>
      </c>
      <c r="G113" s="96">
        <f ca="1">VLOOKUP(A113,'銀行-TSS'!A:K,11,FALSE)</f>
        <v>88.53</v>
      </c>
      <c r="H113" s="1209">
        <f ca="1">VLOOKUP(A113,'銀行-TSS'!A:M,13,FALSE)</f>
        <v>5.21E-2</v>
      </c>
      <c r="I113" s="1213">
        <f ca="1">VLOOKUP(A113,'銀行-TSS'!A:N,14,FALSE)</f>
        <v>2000</v>
      </c>
      <c r="J113" s="1213">
        <f ca="1">VLOOKUP(A113,'銀行-TSS'!A:O,15,FALSE)</f>
        <v>1000</v>
      </c>
      <c r="K113" s="136" t="str">
        <f ca="1">VLOOKUP(A113,'銀行-TSS'!A:V,22,FALSE)</f>
        <v>(NPI)非專投</v>
      </c>
      <c r="L113" s="136" t="str">
        <f ca="1">VLOOKUP(A113,'銀行-TSS'!A:AK,37,FALSE)</f>
        <v>有</v>
      </c>
      <c r="M113" s="136" t="str">
        <f ca="1">VLOOKUP(A113,'銀行-TSS'!A:AN,40,FALSE)</f>
        <v/>
      </c>
      <c r="N113" s="1211">
        <f t="shared" ca="1" si="22"/>
        <v>885.3</v>
      </c>
      <c r="O113" s="1211">
        <f t="shared" ca="1" si="23"/>
        <v>1770.6</v>
      </c>
      <c r="P113" s="1213">
        <f ca="1">IF(AND(換券投組!$D$17&gt;=O113,換券投組!$D$13=D113),I113+INT((換券投組!$D$17-O113)/N113)*J113,0)</f>
        <v>0</v>
      </c>
      <c r="Q113" s="1211">
        <f t="shared" ca="1" si="24"/>
        <v>0</v>
      </c>
      <c r="R113" s="1213">
        <f t="shared" ca="1" si="25"/>
        <v>0</v>
      </c>
      <c r="S113" s="1213">
        <f t="shared" ca="1" si="26"/>
        <v>0</v>
      </c>
      <c r="T113" s="136">
        <f t="shared" ca="1" si="19"/>
        <v>0</v>
      </c>
      <c r="U113" s="861">
        <f t="shared" ca="1" si="20"/>
        <v>0</v>
      </c>
      <c r="V113" s="136" t="b">
        <f ca="1">IF(OR(D113&lt;&gt;"USD",L113="無",M113&lt;&gt;"",K113="高資產",IFERROR(MATCH(B113,換券投組!K:K,0),"N")&lt;&gt;"N",IFERROR(MATCH(B113,換券投組!J:J,0),"N")&lt;&gt;"N"),FALSE,IF($V$1="All",TRUE,IF(K113=$V$1,TRUE,FALSE)))</f>
        <v>1</v>
      </c>
      <c r="W113" s="136">
        <f ca="1">VLOOKUP(A113,'銀行-TSS'!A:AO,41,FALSE)</f>
        <v>87.31</v>
      </c>
      <c r="X113" s="136">
        <f ca="1">VLOOKUP(A113,'銀行-TSS'!A:AP,42,FALSE)</f>
        <v>13.272399999999999</v>
      </c>
      <c r="Y113" s="1223">
        <f t="shared" ca="1" si="27"/>
        <v>0</v>
      </c>
      <c r="Z113" s="1211">
        <f t="shared" ca="1" si="28"/>
        <v>0</v>
      </c>
      <c r="AA113" s="136">
        <f ca="1">IF(Z113&lt;=0,0,RANK(Z113,Z:Z)+COUNTIF($Z$3:$Z113,Z113)-1)</f>
        <v>0</v>
      </c>
      <c r="AB113" s="1211">
        <f t="shared" ca="1" si="21"/>
        <v>0</v>
      </c>
      <c r="AC113" s="136">
        <f ca="1">IF(AB113&lt;=0,0,RANK(AB113,AB:AB)+COUNTIF($AB$3:$AB113,AB113)-1)</f>
        <v>0</v>
      </c>
      <c r="AD113" s="136">
        <f t="shared" ca="1" si="29"/>
        <v>99999</v>
      </c>
      <c r="AE113" s="136">
        <f ca="1">IF(AD113=99999,0,RANK(AD113,AD:AD,1)+COUNTIF($AD$3:$AD113,AD113)-1)</f>
        <v>0</v>
      </c>
    </row>
    <row r="114" spans="1:31">
      <c r="A114" s="141" t="str">
        <f>'銀行-TSS'!A114</f>
        <v>US68389XAV73</v>
      </c>
      <c r="B114" s="151" t="str">
        <f ca="1">VLOOKUP(A114,'銀行-TSS'!A:B,2,FALSE)</f>
        <v>XFZ40</v>
      </c>
      <c r="C114" s="151" t="str">
        <f ca="1">VLOOKUP(B114,bond!B:C,2,FALSE)</f>
        <v>甲骨文公司美元配息債券 4.3% 2034/7/8</v>
      </c>
      <c r="D114" s="95" t="str">
        <f>VLOOKUP(A114,'銀行-TSS'!A:C,3,FALSE)</f>
        <v>USD</v>
      </c>
      <c r="E114" s="90">
        <f ca="1">VLOOKUP(A114,'銀行-TSS'!A:G,7,FALSE)</f>
        <v>10.02</v>
      </c>
      <c r="F114" s="202">
        <f ca="1">VLOOKUP(A114,'銀行-TSS'!A:H,8,FALSE)</f>
        <v>4.2999999999999997E-2</v>
      </c>
      <c r="G114" s="96">
        <f ca="1">VLOOKUP(A114,'銀行-TSS'!A:K,11,FALSE)</f>
        <v>96.21</v>
      </c>
      <c r="H114" s="1209">
        <f ca="1">VLOOKUP(A114,'銀行-TSS'!A:M,13,FALSE)</f>
        <v>5.0500000000000003E-2</v>
      </c>
      <c r="I114" s="1213">
        <f ca="1">VLOOKUP(A114,'銀行-TSS'!A:N,14,FALSE)</f>
        <v>10000</v>
      </c>
      <c r="J114" s="1213">
        <f ca="1">VLOOKUP(A114,'銀行-TSS'!A:O,15,FALSE)</f>
        <v>1000</v>
      </c>
      <c r="K114" s="136" t="str">
        <f ca="1">VLOOKUP(A114,'銀行-TSS'!A:V,22,FALSE)</f>
        <v>(PI)專投</v>
      </c>
      <c r="L114" s="136" t="str">
        <f ca="1">VLOOKUP(A114,'銀行-TSS'!A:AK,37,FALSE)</f>
        <v>有</v>
      </c>
      <c r="M114" s="136" t="str">
        <f ca="1">VLOOKUP(A114,'銀行-TSS'!A:AN,40,FALSE)</f>
        <v/>
      </c>
      <c r="N114" s="1211">
        <f t="shared" ca="1" si="22"/>
        <v>962.1</v>
      </c>
      <c r="O114" s="1211">
        <f t="shared" ca="1" si="23"/>
        <v>9620.9999999999982</v>
      </c>
      <c r="P114" s="1213">
        <f ca="1">IF(AND(換券投組!$D$17&gt;=O114,換券投組!$D$13=D114),I114+INT((換券投組!$D$17-O114)/N114)*J114,0)</f>
        <v>0</v>
      </c>
      <c r="Q114" s="1211">
        <f t="shared" ca="1" si="24"/>
        <v>0</v>
      </c>
      <c r="R114" s="1213">
        <f t="shared" ca="1" si="25"/>
        <v>0</v>
      </c>
      <c r="S114" s="1213">
        <f t="shared" ca="1" si="26"/>
        <v>0</v>
      </c>
      <c r="T114" s="136">
        <f t="shared" ca="1" si="19"/>
        <v>0</v>
      </c>
      <c r="U114" s="861">
        <f t="shared" ca="1" si="20"/>
        <v>0</v>
      </c>
      <c r="V114" s="136" t="b">
        <f ca="1">IF(OR(D114&lt;&gt;"USD",L114="無",M114&lt;&gt;"",K114="高資產",IFERROR(MATCH(B114,換券投組!K:K,0),"N")&lt;&gt;"N",IFERROR(MATCH(B114,換券投組!J:J,0),"N")&lt;&gt;"N"),FALSE,IF($V$1="All",TRUE,IF(K114=$V$1,TRUE,FALSE)))</f>
        <v>1</v>
      </c>
      <c r="W114" s="136">
        <f ca="1">VLOOKUP(A114,'銀行-TSS'!A:AO,41,FALSE)</f>
        <v>91.63</v>
      </c>
      <c r="X114" s="136">
        <f ca="1">VLOOKUP(A114,'銀行-TSS'!A:AP,42,FALSE)</f>
        <v>7.7744999999999997</v>
      </c>
      <c r="Y114" s="1223">
        <f t="shared" ca="1" si="27"/>
        <v>0</v>
      </c>
      <c r="Z114" s="1211">
        <f t="shared" ca="1" si="28"/>
        <v>0</v>
      </c>
      <c r="AA114" s="136">
        <f ca="1">IF(Z114&lt;=0,0,RANK(Z114,Z:Z)+COUNTIF($Z$3:$Z114,Z114)-1)</f>
        <v>0</v>
      </c>
      <c r="AB114" s="1211">
        <f t="shared" ca="1" si="21"/>
        <v>0</v>
      </c>
      <c r="AC114" s="136">
        <f ca="1">IF(AB114&lt;=0,0,RANK(AB114,AB:AB)+COUNTIF($AB$3:$AB114,AB114)-1)</f>
        <v>0</v>
      </c>
      <c r="AD114" s="136">
        <f t="shared" ca="1" si="29"/>
        <v>99999</v>
      </c>
      <c r="AE114" s="136">
        <f ca="1">IF(AD114=99999,0,RANK(AD114,AD:AD,1)+COUNTIF($AD$3:$AD114,AD114)-1)</f>
        <v>0</v>
      </c>
    </row>
    <row r="115" spans="1:31">
      <c r="A115" s="141" t="str">
        <f>'銀行-TSS'!A115</f>
        <v>US539830BB41</v>
      </c>
      <c r="B115" s="151" t="str">
        <f ca="1">VLOOKUP(A115,'銀行-TSS'!A:B,2,FALSE)</f>
        <v>XFZ50</v>
      </c>
      <c r="C115" s="151" t="str">
        <f ca="1">VLOOKUP(B115,bond!B:C,2,FALSE)</f>
        <v>洛克希德馬丁公司美元配息債券 4.07% 2042/12/15</v>
      </c>
      <c r="D115" s="95" t="str">
        <f>VLOOKUP(A115,'銀行-TSS'!A:C,3,FALSE)</f>
        <v>USD</v>
      </c>
      <c r="E115" s="90">
        <f ca="1">VLOOKUP(A115,'銀行-TSS'!A:G,7,FALSE)</f>
        <v>18.45</v>
      </c>
      <c r="F115" s="202">
        <f ca="1">VLOOKUP(A115,'銀行-TSS'!A:H,8,FALSE)</f>
        <v>4.07E-2</v>
      </c>
      <c r="G115" s="96">
        <f ca="1">VLOOKUP(A115,'銀行-TSS'!A:K,11,FALSE)</f>
        <v>88</v>
      </c>
      <c r="H115" s="1209">
        <f ca="1">VLOOKUP(A115,'銀行-TSS'!A:M,13,FALSE)</f>
        <v>5.0999999999999997E-2</v>
      </c>
      <c r="I115" s="1213">
        <f ca="1">VLOOKUP(A115,'銀行-TSS'!A:N,14,FALSE)</f>
        <v>10000</v>
      </c>
      <c r="J115" s="1213">
        <f ca="1">VLOOKUP(A115,'銀行-TSS'!A:O,15,FALSE)</f>
        <v>1000</v>
      </c>
      <c r="K115" s="136" t="str">
        <f ca="1">VLOOKUP(A115,'銀行-TSS'!A:V,22,FALSE)</f>
        <v>(NPI)非專投</v>
      </c>
      <c r="L115" s="136" t="str">
        <f ca="1">VLOOKUP(A115,'銀行-TSS'!A:AK,37,FALSE)</f>
        <v>有</v>
      </c>
      <c r="M115" s="136" t="str">
        <f ca="1">VLOOKUP(A115,'銀行-TSS'!A:AN,40,FALSE)</f>
        <v/>
      </c>
      <c r="N115" s="1211">
        <f t="shared" ca="1" si="22"/>
        <v>880</v>
      </c>
      <c r="O115" s="1211">
        <f t="shared" ca="1" si="23"/>
        <v>8800</v>
      </c>
      <c r="P115" s="1213">
        <f ca="1">IF(AND(換券投組!$D$17&gt;=O115,換券投組!$D$13=D115),I115+INT((換券投組!$D$17-O115)/N115)*J115,0)</f>
        <v>0</v>
      </c>
      <c r="Q115" s="1211">
        <f t="shared" ca="1" si="24"/>
        <v>0</v>
      </c>
      <c r="R115" s="1213">
        <f t="shared" ca="1" si="25"/>
        <v>0</v>
      </c>
      <c r="S115" s="1213">
        <f t="shared" ca="1" si="26"/>
        <v>0</v>
      </c>
      <c r="T115" s="136">
        <f t="shared" ca="1" si="19"/>
        <v>0</v>
      </c>
      <c r="U115" s="861">
        <f t="shared" ca="1" si="20"/>
        <v>0</v>
      </c>
      <c r="V115" s="136" t="b">
        <f ca="1">IF(OR(D115&lt;&gt;"USD",L115="無",M115&lt;&gt;"",K115="高資產",IFERROR(MATCH(B115,換券投組!K:K,0),"N")&lt;&gt;"N",IFERROR(MATCH(B115,換券投組!J:J,0),"N")&lt;&gt;"N"),FALSE,IF($V$1="All",TRUE,IF(K115=$V$1,TRUE,FALSE)))</f>
        <v>1</v>
      </c>
      <c r="W115" s="136">
        <f ca="1">VLOOKUP(A115,'銀行-TSS'!A:AO,41,FALSE)</f>
        <v>84.81</v>
      </c>
      <c r="X115" s="136">
        <f ca="1">VLOOKUP(A115,'銀行-TSS'!A:AP,42,FALSE)</f>
        <v>12.3126</v>
      </c>
      <c r="Y115" s="1223">
        <f t="shared" ca="1" si="27"/>
        <v>0</v>
      </c>
      <c r="Z115" s="1211">
        <f t="shared" ca="1" si="28"/>
        <v>0</v>
      </c>
      <c r="AA115" s="136">
        <f ca="1">IF(Z115&lt;=0,0,RANK(Z115,Z:Z)+COUNTIF($Z$3:$Z115,Z115)-1)</f>
        <v>0</v>
      </c>
      <c r="AB115" s="1211">
        <f t="shared" ca="1" si="21"/>
        <v>0</v>
      </c>
      <c r="AC115" s="136">
        <f ca="1">IF(AB115&lt;=0,0,RANK(AB115,AB:AB)+COUNTIF($AB$3:$AB115,AB115)-1)</f>
        <v>0</v>
      </c>
      <c r="AD115" s="136">
        <f t="shared" ca="1" si="29"/>
        <v>99999</v>
      </c>
      <c r="AE115" s="136">
        <f ca="1">IF(AD115=99999,0,RANK(AD115,AD:AD,1)+COUNTIF($AD$3:$AD115,AD115)-1)</f>
        <v>0</v>
      </c>
    </row>
    <row r="116" spans="1:31">
      <c r="A116" s="141" t="str">
        <f>'銀行-TSS'!A116</f>
        <v>XS1808738212</v>
      </c>
      <c r="B116" s="151" t="str">
        <f ca="1">VLOOKUP(A116,'銀行-TSS'!A:B,2,FALSE)</f>
        <v>XFZ60</v>
      </c>
      <c r="C116" s="151" t="str">
        <f ca="1">VLOOKUP(B116,bond!B:C,2,FALSE)</f>
        <v>阿布達比國家能源公司美元配息債券 4.875% 2030/4/23</v>
      </c>
      <c r="D116" s="95" t="str">
        <f>VLOOKUP(A116,'銀行-TSS'!A:C,3,FALSE)</f>
        <v>USD</v>
      </c>
      <c r="E116" s="90">
        <f ca="1">VLOOKUP(A116,'銀行-TSS'!A:G,7,FALSE)</f>
        <v>5.8</v>
      </c>
      <c r="F116" s="202">
        <f ca="1">VLOOKUP(A116,'銀行-TSS'!A:H,8,FALSE)</f>
        <v>4.8750000000000002E-2</v>
      </c>
      <c r="G116" s="96">
        <f ca="1">VLOOKUP(A116,'銀行-TSS'!A:K,11,FALSE)</f>
        <v>103.5</v>
      </c>
      <c r="H116" s="1209">
        <f ca="1">VLOOKUP(A116,'銀行-TSS'!A:M,13,FALSE)</f>
        <v>4.3700000000000003E-2</v>
      </c>
      <c r="I116" s="1213">
        <f ca="1">VLOOKUP(A116,'銀行-TSS'!A:N,14,FALSE)</f>
        <v>200000</v>
      </c>
      <c r="J116" s="1213">
        <f ca="1">VLOOKUP(A116,'銀行-TSS'!A:O,15,FALSE)</f>
        <v>1000</v>
      </c>
      <c r="K116" s="136" t="str">
        <f ca="1">VLOOKUP(A116,'銀行-TSS'!A:V,22,FALSE)</f>
        <v>(NPI)非專投</v>
      </c>
      <c r="L116" s="136" t="str">
        <f ca="1">VLOOKUP(A116,'銀行-TSS'!A:AK,37,FALSE)</f>
        <v>有</v>
      </c>
      <c r="M116" s="136" t="str">
        <f ca="1">VLOOKUP(A116,'銀行-TSS'!A:AN,40,FALSE)</f>
        <v/>
      </c>
      <c r="N116" s="1211">
        <f t="shared" ca="1" si="22"/>
        <v>1035</v>
      </c>
      <c r="O116" s="1211">
        <f t="shared" ca="1" si="23"/>
        <v>207000</v>
      </c>
      <c r="P116" s="1213">
        <f ca="1">IF(AND(換券投組!$D$17&gt;=O116,換券投組!$D$13=D116),I116+INT((換券投組!$D$17-O116)/N116)*J116,0)</f>
        <v>0</v>
      </c>
      <c r="Q116" s="1211">
        <f t="shared" ca="1" si="24"/>
        <v>0</v>
      </c>
      <c r="R116" s="1213">
        <f t="shared" ca="1" si="25"/>
        <v>0</v>
      </c>
      <c r="S116" s="1213">
        <f t="shared" ca="1" si="26"/>
        <v>0</v>
      </c>
      <c r="T116" s="136">
        <f t="shared" ca="1" si="19"/>
        <v>0</v>
      </c>
      <c r="U116" s="861">
        <f t="shared" ca="1" si="20"/>
        <v>0</v>
      </c>
      <c r="V116" s="136" t="b">
        <f ca="1">IF(OR(D116&lt;&gt;"USD",L116="無",M116&lt;&gt;"",K116="高資產",IFERROR(MATCH(B116,換券投組!K:K,0),"N")&lt;&gt;"N",IFERROR(MATCH(B116,換券投組!J:J,0),"N")&lt;&gt;"N"),FALSE,IF($V$1="All",TRUE,IF(K116=$V$1,TRUE,FALSE)))</f>
        <v>1</v>
      </c>
      <c r="W116" s="136">
        <f ca="1">VLOOKUP(A116,'銀行-TSS'!A:AO,41,FALSE)</f>
        <v>100.55</v>
      </c>
      <c r="X116" s="136">
        <f ca="1">VLOOKUP(A116,'銀行-TSS'!A:AP,42,FALSE)</f>
        <v>4.9672000000000001</v>
      </c>
      <c r="Y116" s="1223">
        <f t="shared" ca="1" si="27"/>
        <v>0</v>
      </c>
      <c r="Z116" s="1211">
        <f t="shared" ca="1" si="28"/>
        <v>0</v>
      </c>
      <c r="AA116" s="136">
        <f ca="1">IF(Z116&lt;=0,0,RANK(Z116,Z:Z)+COUNTIF($Z$3:$Z116,Z116)-1)</f>
        <v>0</v>
      </c>
      <c r="AB116" s="1211">
        <f t="shared" ca="1" si="21"/>
        <v>0</v>
      </c>
      <c r="AC116" s="136">
        <f ca="1">IF(AB116&lt;=0,0,RANK(AB116,AB:AB)+COUNTIF($AB$3:$AB116,AB116)-1)</f>
        <v>0</v>
      </c>
      <c r="AD116" s="136">
        <f t="shared" ca="1" si="29"/>
        <v>99999</v>
      </c>
      <c r="AE116" s="136">
        <f ca="1">IF(AD116=99999,0,RANK(AD116,AD:AD,1)+COUNTIF($AD$3:$AD116,AD116)-1)</f>
        <v>0</v>
      </c>
    </row>
    <row r="117" spans="1:31">
      <c r="A117" s="141" t="str">
        <f>'銀行-TSS'!A117</f>
        <v>US037833DW79</v>
      </c>
      <c r="B117" s="151" t="str">
        <f ca="1">VLOOKUP(A117,'銀行-TSS'!A:B,2,FALSE)</f>
        <v>XFZ80</v>
      </c>
      <c r="C117" s="151" t="str">
        <f ca="1">VLOOKUP(B117,bond!B:C,2,FALSE)</f>
        <v>蘋果公司美元配息債券 2.65% 2050/5/11</v>
      </c>
      <c r="D117" s="95" t="str">
        <f>VLOOKUP(A117,'銀行-TSS'!A:C,3,FALSE)</f>
        <v>USD</v>
      </c>
      <c r="E117" s="90">
        <f ca="1">VLOOKUP(A117,'銀行-TSS'!A:G,7,FALSE)</f>
        <v>25.86</v>
      </c>
      <c r="F117" s="202">
        <f ca="1">VLOOKUP(A117,'銀行-TSS'!A:H,8,FALSE)</f>
        <v>2.6499999999999999E-2</v>
      </c>
      <c r="G117" s="96">
        <f ca="1">VLOOKUP(A117,'銀行-TSS'!A:K,11,FALSE)</f>
        <v>65.849999999999994</v>
      </c>
      <c r="H117" s="1209">
        <f ca="1">VLOOKUP(A117,'銀行-TSS'!A:M,13,FALSE)</f>
        <v>5.0599999999999999E-2</v>
      </c>
      <c r="I117" s="1213">
        <f ca="1">VLOOKUP(A117,'銀行-TSS'!A:N,14,FALSE)</f>
        <v>2000</v>
      </c>
      <c r="J117" s="1213">
        <f ca="1">VLOOKUP(A117,'銀行-TSS'!A:O,15,FALSE)</f>
        <v>1000</v>
      </c>
      <c r="K117" s="136" t="str">
        <f ca="1">VLOOKUP(A117,'銀行-TSS'!A:V,22,FALSE)</f>
        <v>(NPI)非專投</v>
      </c>
      <c r="L117" s="136" t="str">
        <f ca="1">VLOOKUP(A117,'銀行-TSS'!A:AK,37,FALSE)</f>
        <v>有</v>
      </c>
      <c r="M117" s="136" t="str">
        <f ca="1">VLOOKUP(A117,'銀行-TSS'!A:AN,40,FALSE)</f>
        <v/>
      </c>
      <c r="N117" s="1211">
        <f t="shared" ca="1" si="22"/>
        <v>658.5</v>
      </c>
      <c r="O117" s="1211">
        <f t="shared" ca="1" si="23"/>
        <v>1317</v>
      </c>
      <c r="P117" s="1213">
        <f ca="1">IF(AND(換券投組!$D$17&gt;=O117,換券投組!$D$13=D117),I117+INT((換券投組!$D$17-O117)/N117)*J117,0)</f>
        <v>0</v>
      </c>
      <c r="Q117" s="1211">
        <f t="shared" ca="1" si="24"/>
        <v>0</v>
      </c>
      <c r="R117" s="1213">
        <f t="shared" ca="1" si="25"/>
        <v>0</v>
      </c>
      <c r="S117" s="1213">
        <f t="shared" ca="1" si="26"/>
        <v>0</v>
      </c>
      <c r="T117" s="136">
        <f t="shared" ca="1" si="19"/>
        <v>0</v>
      </c>
      <c r="U117" s="861">
        <f t="shared" ca="1" si="20"/>
        <v>0</v>
      </c>
      <c r="V117" s="136" t="b">
        <f ca="1">IF(OR(D117&lt;&gt;"USD",L117="無",M117&lt;&gt;"",K117="高資產",IFERROR(MATCH(B117,換券投組!K:K,0),"N")&lt;&gt;"N",IFERROR(MATCH(B117,換券投組!J:J,0),"N")&lt;&gt;"N"),FALSE,IF($V$1="All",TRUE,IF(K117=$V$1,TRUE,FALSE)))</f>
        <v>1</v>
      </c>
      <c r="W117" s="136">
        <f ca="1">VLOOKUP(A117,'銀行-TSS'!A:AO,41,FALSE)</f>
        <v>64.47</v>
      </c>
      <c r="X117" s="136">
        <f ca="1">VLOOKUP(A117,'銀行-TSS'!A:AP,42,FALSE)</f>
        <v>16.338699999999999</v>
      </c>
      <c r="Y117" s="1223">
        <f t="shared" ca="1" si="27"/>
        <v>0</v>
      </c>
      <c r="Z117" s="1211">
        <f t="shared" ca="1" si="28"/>
        <v>0</v>
      </c>
      <c r="AA117" s="136">
        <f ca="1">IF(Z117&lt;=0,0,RANK(Z117,Z:Z)+COUNTIF($Z$3:$Z117,Z117)-1)</f>
        <v>0</v>
      </c>
      <c r="AB117" s="1211">
        <f t="shared" ca="1" si="21"/>
        <v>0</v>
      </c>
      <c r="AC117" s="136">
        <f ca="1">IF(AB117&lt;=0,0,RANK(AB117,AB:AB)+COUNTIF($AB$3:$AB117,AB117)-1)</f>
        <v>0</v>
      </c>
      <c r="AD117" s="136">
        <f t="shared" ca="1" si="29"/>
        <v>99999</v>
      </c>
      <c r="AE117" s="136">
        <f ca="1">IF(AD117=99999,0,RANK(AD117,AD:AD,1)+COUNTIF($AD$3:$AD117,AD117)-1)</f>
        <v>0</v>
      </c>
    </row>
    <row r="118" spans="1:31">
      <c r="A118" s="141" t="str">
        <f>'銀行-TSS'!A118</f>
        <v>US20030NDL29</v>
      </c>
      <c r="B118" s="151" t="str">
        <f ca="1">VLOOKUP(A118,'銀行-TSS'!A:B,2,FALSE)</f>
        <v>XFZ90</v>
      </c>
      <c r="C118" s="151" t="str">
        <f ca="1">VLOOKUP(B118,bond!B:C,2,FALSE)</f>
        <v>康卡斯特公司美元配息債券 2.8% 2051/1/15</v>
      </c>
      <c r="D118" s="95" t="str">
        <f>VLOOKUP(A118,'銀行-TSS'!A:C,3,FALSE)</f>
        <v>USD</v>
      </c>
      <c r="E118" s="90">
        <f ca="1">VLOOKUP(A118,'銀行-TSS'!A:G,7,FALSE)</f>
        <v>26.54</v>
      </c>
      <c r="F118" s="202">
        <f ca="1">VLOOKUP(A118,'銀行-TSS'!A:H,8,FALSE)</f>
        <v>2.7999999999999997E-2</v>
      </c>
      <c r="G118" s="96">
        <f ca="1">VLOOKUP(A118,'銀行-TSS'!A:K,11,FALSE)</f>
        <v>64.64</v>
      </c>
      <c r="H118" s="1209">
        <f ca="1">VLOOKUP(A118,'銀行-TSS'!A:M,13,FALSE)</f>
        <v>5.4199999999999998E-2</v>
      </c>
      <c r="I118" s="1213">
        <f ca="1">VLOOKUP(A118,'銀行-TSS'!A:N,14,FALSE)</f>
        <v>2000</v>
      </c>
      <c r="J118" s="1213">
        <f ca="1">VLOOKUP(A118,'銀行-TSS'!A:O,15,FALSE)</f>
        <v>1000</v>
      </c>
      <c r="K118" s="136" t="str">
        <f ca="1">VLOOKUP(A118,'銀行-TSS'!A:V,22,FALSE)</f>
        <v>(NPI)非專投</v>
      </c>
      <c r="L118" s="136" t="str">
        <f ca="1">VLOOKUP(A118,'銀行-TSS'!A:AK,37,FALSE)</f>
        <v>有</v>
      </c>
      <c r="M118" s="136" t="str">
        <f ca="1">VLOOKUP(A118,'銀行-TSS'!A:AN,40,FALSE)</f>
        <v/>
      </c>
      <c r="N118" s="1211">
        <f t="shared" ca="1" si="22"/>
        <v>646.4</v>
      </c>
      <c r="O118" s="1211">
        <f t="shared" ca="1" si="23"/>
        <v>1292.8</v>
      </c>
      <c r="P118" s="1213">
        <f ca="1">IF(AND(換券投組!$D$17&gt;=O118,換券投組!$D$13=D118),I118+INT((換券投組!$D$17-O118)/N118)*J118,0)</f>
        <v>0</v>
      </c>
      <c r="Q118" s="1211">
        <f t="shared" ca="1" si="24"/>
        <v>0</v>
      </c>
      <c r="R118" s="1213">
        <f t="shared" ca="1" si="25"/>
        <v>0</v>
      </c>
      <c r="S118" s="1213">
        <f t="shared" ca="1" si="26"/>
        <v>0</v>
      </c>
      <c r="T118" s="136">
        <f t="shared" ca="1" si="19"/>
        <v>0</v>
      </c>
      <c r="U118" s="861">
        <f t="shared" ca="1" si="20"/>
        <v>0</v>
      </c>
      <c r="V118" s="136" t="b">
        <f ca="1">IF(OR(D118&lt;&gt;"USD",L118="無",M118&lt;&gt;"",K118="高資產",IFERROR(MATCH(B118,換券投組!K:K,0),"N")&lt;&gt;"N",IFERROR(MATCH(B118,換券投組!J:J,0),"N")&lt;&gt;"N"),FALSE,IF($V$1="All",TRUE,IF(K118=$V$1,TRUE,FALSE)))</f>
        <v>1</v>
      </c>
      <c r="W118" s="136">
        <f ca="1">VLOOKUP(A118,'銀行-TSS'!A:AO,41,FALSE)</f>
        <v>62.339999999999996</v>
      </c>
      <c r="X118" s="136">
        <f ca="1">VLOOKUP(A118,'銀行-TSS'!A:AP,42,FALSE)</f>
        <v>15.7608</v>
      </c>
      <c r="Y118" s="1223">
        <f t="shared" ca="1" si="27"/>
        <v>0</v>
      </c>
      <c r="Z118" s="1211">
        <f t="shared" ca="1" si="28"/>
        <v>0</v>
      </c>
      <c r="AA118" s="136">
        <f ca="1">IF(Z118&lt;=0,0,RANK(Z118,Z:Z)+COUNTIF($Z$3:$Z118,Z118)-1)</f>
        <v>0</v>
      </c>
      <c r="AB118" s="1211">
        <f t="shared" ca="1" si="21"/>
        <v>0</v>
      </c>
      <c r="AC118" s="136">
        <f ca="1">IF(AB118&lt;=0,0,RANK(AB118,AB:AB)+COUNTIF($AB$3:$AB118,AB118)-1)</f>
        <v>0</v>
      </c>
      <c r="AD118" s="136">
        <f t="shared" ca="1" si="29"/>
        <v>99999</v>
      </c>
      <c r="AE118" s="136">
        <f ca="1">IF(AD118=99999,0,RANK(AD118,AD:AD,1)+COUNTIF($AD$3:$AD118,AD118)-1)</f>
        <v>0</v>
      </c>
    </row>
    <row r="119" spans="1:31">
      <c r="A119" s="141" t="str">
        <f>'銀行-TSS'!A119</f>
        <v>XS1508675508</v>
      </c>
      <c r="B119" s="151" t="str">
        <f ca="1">VLOOKUP(A119,'銀行-TSS'!A:B,2,FALSE)</f>
        <v>XG020</v>
      </c>
      <c r="C119" s="151" t="str">
        <f ca="1">VLOOKUP(B119,bond!B:C,2,FALSE)</f>
        <v>沙烏地阿拉伯政府美元配息債券 4.5% 2046/10/26</v>
      </c>
      <c r="D119" s="95" t="str">
        <f>VLOOKUP(A119,'銀行-TSS'!A:C,3,FALSE)</f>
        <v>USD</v>
      </c>
      <c r="E119" s="90">
        <f ca="1">VLOOKUP(A119,'銀行-TSS'!A:G,7,FALSE)</f>
        <v>22.31</v>
      </c>
      <c r="F119" s="202">
        <f ca="1">VLOOKUP(A119,'銀行-TSS'!A:H,8,FALSE)</f>
        <v>4.4999999999999998E-2</v>
      </c>
      <c r="G119" s="96">
        <f ca="1">VLOOKUP(A119,'銀行-TSS'!A:K,11,FALSE)</f>
        <v>89.14</v>
      </c>
      <c r="H119" s="1209">
        <f ca="1">VLOOKUP(A119,'銀行-TSS'!A:M,13,FALSE)</f>
        <v>5.4100000000000002E-2</v>
      </c>
      <c r="I119" s="1213">
        <f ca="1">VLOOKUP(A119,'銀行-TSS'!A:N,14,FALSE)</f>
        <v>200000</v>
      </c>
      <c r="J119" s="1213">
        <f ca="1">VLOOKUP(A119,'銀行-TSS'!A:O,15,FALSE)</f>
        <v>1000</v>
      </c>
      <c r="K119" s="136" t="str">
        <f ca="1">VLOOKUP(A119,'銀行-TSS'!A:V,22,FALSE)</f>
        <v>(NPI)非專投</v>
      </c>
      <c r="L119" s="136" t="str">
        <f ca="1">VLOOKUP(A119,'銀行-TSS'!A:AK,37,FALSE)</f>
        <v>有</v>
      </c>
      <c r="M119" s="136" t="str">
        <f ca="1">VLOOKUP(A119,'銀行-TSS'!A:AN,40,FALSE)</f>
        <v/>
      </c>
      <c r="N119" s="1211">
        <f t="shared" ca="1" si="22"/>
        <v>891.4</v>
      </c>
      <c r="O119" s="1211">
        <f t="shared" ca="1" si="23"/>
        <v>178280</v>
      </c>
      <c r="P119" s="1213">
        <f ca="1">IF(AND(換券投組!$D$17&gt;=O119,換券投組!$D$13=D119),I119+INT((換券投組!$D$17-O119)/N119)*J119,0)</f>
        <v>0</v>
      </c>
      <c r="Q119" s="1211">
        <f t="shared" ca="1" si="24"/>
        <v>0</v>
      </c>
      <c r="R119" s="1213">
        <f t="shared" ca="1" si="25"/>
        <v>0</v>
      </c>
      <c r="S119" s="1213">
        <f t="shared" ca="1" si="26"/>
        <v>0</v>
      </c>
      <c r="T119" s="136">
        <f t="shared" ca="1" si="19"/>
        <v>0</v>
      </c>
      <c r="U119" s="861">
        <f t="shared" ca="1" si="20"/>
        <v>0</v>
      </c>
      <c r="V119" s="136" t="b">
        <f ca="1">IF(OR(D119&lt;&gt;"USD",L119="無",M119&lt;&gt;"",K119="高資產",IFERROR(MATCH(B119,換券投組!K:K,0),"N")&lt;&gt;"N",IFERROR(MATCH(B119,換券投組!J:J,0),"N")&lt;&gt;"N"),FALSE,IF($V$1="All",TRUE,IF(K119=$V$1,TRUE,FALSE)))</f>
        <v>1</v>
      </c>
      <c r="W119" s="136">
        <f ca="1">VLOOKUP(A119,'銀行-TSS'!A:AO,41,FALSE)</f>
        <v>85.300000000000011</v>
      </c>
      <c r="X119" s="136">
        <f ca="1">VLOOKUP(A119,'銀行-TSS'!A:AP,42,FALSE)</f>
        <v>13.1318</v>
      </c>
      <c r="Y119" s="1223">
        <f t="shared" ca="1" si="27"/>
        <v>0</v>
      </c>
      <c r="Z119" s="1211">
        <f t="shared" ca="1" si="28"/>
        <v>0</v>
      </c>
      <c r="AA119" s="136">
        <f ca="1">IF(Z119&lt;=0,0,RANK(Z119,Z:Z)+COUNTIF($Z$3:$Z119,Z119)-1)</f>
        <v>0</v>
      </c>
      <c r="AB119" s="1211">
        <f t="shared" ca="1" si="21"/>
        <v>0</v>
      </c>
      <c r="AC119" s="136">
        <f ca="1">IF(AB119&lt;=0,0,RANK(AB119,AB:AB)+COUNTIF($AB$3:$AB119,AB119)-1)</f>
        <v>0</v>
      </c>
      <c r="AD119" s="136">
        <f t="shared" ca="1" si="29"/>
        <v>99999</v>
      </c>
      <c r="AE119" s="136">
        <f ca="1">IF(AD119=99999,0,RANK(AD119,AD:AD,1)+COUNTIF($AD$3:$AD119,AD119)-1)</f>
        <v>0</v>
      </c>
    </row>
    <row r="120" spans="1:31">
      <c r="A120" s="141" t="str">
        <f>'銀行-TSS'!A120</f>
        <v>US097023CY98</v>
      </c>
      <c r="B120" s="151" t="str">
        <f ca="1">VLOOKUP(A120,'銀行-TSS'!A:B,2,FALSE)</f>
        <v>XG030</v>
      </c>
      <c r="C120" s="151" t="str">
        <f ca="1">VLOOKUP(B120,bond!B:C,2,FALSE)</f>
        <v>波音公司美元配息債券 5.15% 2030/5/1</v>
      </c>
      <c r="D120" s="95" t="str">
        <f>VLOOKUP(A120,'銀行-TSS'!A:C,3,FALSE)</f>
        <v>USD</v>
      </c>
      <c r="E120" s="90">
        <f ca="1">VLOOKUP(A120,'銀行-TSS'!A:G,7,FALSE)</f>
        <v>5.83</v>
      </c>
      <c r="F120" s="202">
        <f ca="1">VLOOKUP(A120,'銀行-TSS'!A:H,8,FALSE)</f>
        <v>5.1500000000000004E-2</v>
      </c>
      <c r="G120" s="96">
        <f ca="1">VLOOKUP(A120,'銀行-TSS'!A:K,11,FALSE)</f>
        <v>99.45</v>
      </c>
      <c r="H120" s="1209">
        <f ca="1">VLOOKUP(A120,'銀行-TSS'!A:M,13,FALSE)</f>
        <v>5.4399999999999997E-2</v>
      </c>
      <c r="I120" s="1213">
        <f ca="1">VLOOKUP(A120,'銀行-TSS'!A:N,14,FALSE)</f>
        <v>10000</v>
      </c>
      <c r="J120" s="1213">
        <f ca="1">VLOOKUP(A120,'銀行-TSS'!A:O,15,FALSE)</f>
        <v>1000</v>
      </c>
      <c r="K120" s="136" t="str">
        <f ca="1">VLOOKUP(A120,'銀行-TSS'!A:V,22,FALSE)</f>
        <v>(PI)專投</v>
      </c>
      <c r="L120" s="136" t="str">
        <f ca="1">VLOOKUP(A120,'銀行-TSS'!A:AK,37,FALSE)</f>
        <v>有</v>
      </c>
      <c r="M120" s="136" t="str">
        <f ca="1">VLOOKUP(A120,'銀行-TSS'!A:AN,40,FALSE)</f>
        <v/>
      </c>
      <c r="N120" s="1211">
        <f t="shared" ca="1" si="22"/>
        <v>994.5</v>
      </c>
      <c r="O120" s="1211">
        <f t="shared" ca="1" si="23"/>
        <v>9945</v>
      </c>
      <c r="P120" s="1213">
        <f ca="1">IF(AND(換券投組!$D$17&gt;=O120,換券投組!$D$13=D120),I120+INT((換券投組!$D$17-O120)/N120)*J120,0)</f>
        <v>0</v>
      </c>
      <c r="Q120" s="1211">
        <f t="shared" ca="1" si="24"/>
        <v>0</v>
      </c>
      <c r="R120" s="1213">
        <f t="shared" ca="1" si="25"/>
        <v>0</v>
      </c>
      <c r="S120" s="1213">
        <f t="shared" ca="1" si="26"/>
        <v>0</v>
      </c>
      <c r="T120" s="136">
        <f t="shared" ca="1" si="19"/>
        <v>0</v>
      </c>
      <c r="U120" s="861">
        <f t="shared" ca="1" si="20"/>
        <v>0</v>
      </c>
      <c r="V120" s="136" t="b">
        <f ca="1">IF(OR(D120&lt;&gt;"USD",L120="無",M120&lt;&gt;"",K120="高資產",IFERROR(MATCH(B120,換券投組!K:K,0),"N")&lt;&gt;"N",IFERROR(MATCH(B120,換券投組!J:J,0),"N")&lt;&gt;"N"),FALSE,IF($V$1="All",TRUE,IF(K120=$V$1,TRUE,FALSE)))</f>
        <v>1</v>
      </c>
      <c r="W120" s="136">
        <f ca="1">VLOOKUP(A120,'銀行-TSS'!A:AO,41,FALSE)</f>
        <v>96.58</v>
      </c>
      <c r="X120" s="136">
        <f ca="1">VLOOKUP(A120,'銀行-TSS'!A:AP,42,FALSE)</f>
        <v>4.9138000000000002</v>
      </c>
      <c r="Y120" s="1223">
        <f t="shared" ca="1" si="27"/>
        <v>0</v>
      </c>
      <c r="Z120" s="1211">
        <f t="shared" ca="1" si="28"/>
        <v>0</v>
      </c>
      <c r="AA120" s="136">
        <f ca="1">IF(Z120&lt;=0,0,RANK(Z120,Z:Z)+COUNTIF($Z$3:$Z120,Z120)-1)</f>
        <v>0</v>
      </c>
      <c r="AB120" s="1211">
        <f t="shared" ca="1" si="21"/>
        <v>0</v>
      </c>
      <c r="AC120" s="136">
        <f ca="1">IF(AB120&lt;=0,0,RANK(AB120,AB:AB)+COUNTIF($AB$3:$AB120,AB120)-1)</f>
        <v>0</v>
      </c>
      <c r="AD120" s="136">
        <f t="shared" ca="1" si="29"/>
        <v>99999</v>
      </c>
      <c r="AE120" s="136">
        <f ca="1">IF(AD120=99999,0,RANK(AD120,AD:AD,1)+COUNTIF($AD$3:$AD120,AD120)-1)</f>
        <v>0</v>
      </c>
    </row>
    <row r="121" spans="1:31">
      <c r="A121" s="141" t="str">
        <f>'銀行-TSS'!A121</f>
        <v>US233835AQ08</v>
      </c>
      <c r="B121" s="151" t="str">
        <f ca="1">VLOOKUP(A121,'銀行-TSS'!A:B,2,FALSE)</f>
        <v>XG040</v>
      </c>
      <c r="C121" s="151" t="str">
        <f ca="1">VLOOKUP(B121,bond!B:C,2,FALSE)</f>
        <v>戴姆勒金融北美有限責任公司美元配息債券 8.5% 2031/1/18</v>
      </c>
      <c r="D121" s="95" t="str">
        <f>VLOOKUP(A121,'銀行-TSS'!A:C,3,FALSE)</f>
        <v>USD</v>
      </c>
      <c r="E121" s="90">
        <f ca="1">VLOOKUP(A121,'銀行-TSS'!A:G,7,FALSE)</f>
        <v>6.55</v>
      </c>
      <c r="F121" s="202">
        <f ca="1">VLOOKUP(A121,'銀行-TSS'!A:H,8,FALSE)</f>
        <v>8.5000000000000006E-2</v>
      </c>
      <c r="G121" s="96">
        <f ca="1">VLOOKUP(A121,'銀行-TSS'!A:K,11,FALSE)</f>
        <v>125.56</v>
      </c>
      <c r="H121" s="1209">
        <f ca="1">VLOOKUP(A121,'銀行-TSS'!A:M,13,FALSE)</f>
        <v>4.6199999999999998E-2</v>
      </c>
      <c r="I121" s="1213">
        <f ca="1">VLOOKUP(A121,'銀行-TSS'!A:N,14,FALSE)</f>
        <v>10000</v>
      </c>
      <c r="J121" s="1213">
        <f ca="1">VLOOKUP(A121,'銀行-TSS'!A:O,15,FALSE)</f>
        <v>1000</v>
      </c>
      <c r="K121" s="136" t="str">
        <f ca="1">VLOOKUP(A121,'銀行-TSS'!A:V,22,FALSE)</f>
        <v>(NPI)非專投</v>
      </c>
      <c r="L121" s="136" t="str">
        <f ca="1">VLOOKUP(A121,'銀行-TSS'!A:AK,37,FALSE)</f>
        <v>有</v>
      </c>
      <c r="M121" s="136" t="str">
        <f ca="1">VLOOKUP(A121,'銀行-TSS'!A:AN,40,FALSE)</f>
        <v/>
      </c>
      <c r="N121" s="1211">
        <f t="shared" ca="1" si="22"/>
        <v>1255.5999999999999</v>
      </c>
      <c r="O121" s="1211">
        <f t="shared" ca="1" si="23"/>
        <v>12556</v>
      </c>
      <c r="P121" s="1213">
        <f ca="1">IF(AND(換券投組!$D$17&gt;=O121,換券投組!$D$13=D121),I121+INT((換券投組!$D$17-O121)/N121)*J121,0)</f>
        <v>0</v>
      </c>
      <c r="Q121" s="1211">
        <f t="shared" ca="1" si="24"/>
        <v>0</v>
      </c>
      <c r="R121" s="1213">
        <f t="shared" ca="1" si="25"/>
        <v>0</v>
      </c>
      <c r="S121" s="1213">
        <f t="shared" ca="1" si="26"/>
        <v>0</v>
      </c>
      <c r="T121" s="136">
        <f t="shared" ca="1" si="19"/>
        <v>0</v>
      </c>
      <c r="U121" s="861">
        <f t="shared" ca="1" si="20"/>
        <v>0</v>
      </c>
      <c r="V121" s="136" t="b">
        <f ca="1">IF(OR(D121&lt;&gt;"USD",L121="無",M121&lt;&gt;"",K121="高資產",IFERROR(MATCH(B121,換券投組!K:K,0),"N")&lt;&gt;"N",IFERROR(MATCH(B121,換券投組!J:J,0),"N")&lt;&gt;"N"),FALSE,IF($V$1="All",TRUE,IF(K121=$V$1,TRUE,FALSE)))</f>
        <v>1</v>
      </c>
      <c r="W121" s="136">
        <f ca="1">VLOOKUP(A121,'銀行-TSS'!A:AO,41,FALSE)</f>
        <v>119.69000000000001</v>
      </c>
      <c r="X121" s="136">
        <f ca="1">VLOOKUP(A121,'銀行-TSS'!A:AP,42,FALSE)</f>
        <v>5.0064000000000002</v>
      </c>
      <c r="Y121" s="1223">
        <f t="shared" ca="1" si="27"/>
        <v>0</v>
      </c>
      <c r="Z121" s="1211">
        <f t="shared" ca="1" si="28"/>
        <v>0</v>
      </c>
      <c r="AA121" s="136">
        <f ca="1">IF(Z121&lt;=0,0,RANK(Z121,Z:Z)+COUNTIF($Z$3:$Z121,Z121)-1)</f>
        <v>0</v>
      </c>
      <c r="AB121" s="1211">
        <f t="shared" ca="1" si="21"/>
        <v>0</v>
      </c>
      <c r="AC121" s="136">
        <f ca="1">IF(AB121&lt;=0,0,RANK(AB121,AB:AB)+COUNTIF($AB$3:$AB121,AB121)-1)</f>
        <v>0</v>
      </c>
      <c r="AD121" s="136">
        <f t="shared" ca="1" si="29"/>
        <v>99999</v>
      </c>
      <c r="AE121" s="136">
        <f ca="1">IF(AD121=99999,0,RANK(AD121,AD:AD,1)+COUNTIF($AD$3:$AD121,AD121)-1)</f>
        <v>0</v>
      </c>
    </row>
    <row r="122" spans="1:31">
      <c r="A122" s="141" t="str">
        <f>'銀行-TSS'!A122</f>
        <v>US00287YAV11</v>
      </c>
      <c r="B122" s="151" t="str">
        <f ca="1">VLOOKUP(A122,'銀行-TSS'!A:B,2,FALSE)</f>
        <v>XG050</v>
      </c>
      <c r="C122" s="151" t="str">
        <f ca="1">VLOOKUP(B122,bond!B:C,2,FALSE)</f>
        <v>艾伯維藥品有限公司美元配息債券  4.3% 2036/5/14</v>
      </c>
      <c r="D122" s="95" t="str">
        <f>VLOOKUP(A122,'銀行-TSS'!A:C,3,FALSE)</f>
        <v>USD</v>
      </c>
      <c r="E122" s="90">
        <f ca="1">VLOOKUP(A122,'銀行-TSS'!A:G,7,FALSE)</f>
        <v>11.87</v>
      </c>
      <c r="F122" s="202">
        <f ca="1">VLOOKUP(A122,'銀行-TSS'!A:H,8,FALSE)</f>
        <v>4.2999999999999997E-2</v>
      </c>
      <c r="G122" s="96">
        <f ca="1">VLOOKUP(A122,'銀行-TSS'!A:K,11,FALSE)</f>
        <v>95.69</v>
      </c>
      <c r="H122" s="1209">
        <f ca="1">VLOOKUP(A122,'銀行-TSS'!A:M,13,FALSE)</f>
        <v>4.8399999999999999E-2</v>
      </c>
      <c r="I122" s="1213">
        <f ca="1">VLOOKUP(A122,'銀行-TSS'!A:N,14,FALSE)</f>
        <v>10000</v>
      </c>
      <c r="J122" s="1213">
        <f ca="1">VLOOKUP(A122,'銀行-TSS'!A:O,15,FALSE)</f>
        <v>1000</v>
      </c>
      <c r="K122" s="136" t="str">
        <f ca="1">VLOOKUP(A122,'銀行-TSS'!A:V,22,FALSE)</f>
        <v>(NPI)非專投</v>
      </c>
      <c r="L122" s="136" t="str">
        <f ca="1">VLOOKUP(A122,'銀行-TSS'!A:AK,37,FALSE)</f>
        <v>有</v>
      </c>
      <c r="M122" s="136" t="str">
        <f ca="1">VLOOKUP(A122,'銀行-TSS'!A:AN,40,FALSE)</f>
        <v/>
      </c>
      <c r="N122" s="1211">
        <f t="shared" ca="1" si="22"/>
        <v>956.9</v>
      </c>
      <c r="O122" s="1211">
        <f t="shared" ca="1" si="23"/>
        <v>9569</v>
      </c>
      <c r="P122" s="1213">
        <f ca="1">IF(AND(換券投組!$D$17&gt;=O122,換券投組!$D$13=D122),I122+INT((換券投組!$D$17-O122)/N122)*J122,0)</f>
        <v>0</v>
      </c>
      <c r="Q122" s="1211">
        <f t="shared" ca="1" si="24"/>
        <v>0</v>
      </c>
      <c r="R122" s="1213">
        <f t="shared" ca="1" si="25"/>
        <v>0</v>
      </c>
      <c r="S122" s="1213">
        <f t="shared" ca="1" si="26"/>
        <v>0</v>
      </c>
      <c r="T122" s="136">
        <f t="shared" ca="1" si="19"/>
        <v>0</v>
      </c>
      <c r="U122" s="861">
        <f t="shared" ca="1" si="20"/>
        <v>0</v>
      </c>
      <c r="V122" s="136" t="b">
        <f ca="1">IF(OR(D122&lt;&gt;"USD",L122="無",M122&lt;&gt;"",K122="高資產",IFERROR(MATCH(B122,換券投組!K:K,0),"N")&lt;&gt;"N",IFERROR(MATCH(B122,換券投組!J:J,0),"N")&lt;&gt;"N"),FALSE,IF($V$1="All",TRUE,IF(K122=$V$1,TRUE,FALSE)))</f>
        <v>1</v>
      </c>
      <c r="W122" s="136">
        <f ca="1">VLOOKUP(A122,'銀行-TSS'!A:AO,41,FALSE)</f>
        <v>92.62</v>
      </c>
      <c r="X122" s="136">
        <f ca="1">VLOOKUP(A122,'銀行-TSS'!A:AP,42,FALSE)</f>
        <v>9.0341000000000005</v>
      </c>
      <c r="Y122" s="1223">
        <f t="shared" ca="1" si="27"/>
        <v>0</v>
      </c>
      <c r="Z122" s="1211">
        <f t="shared" ca="1" si="28"/>
        <v>0</v>
      </c>
      <c r="AA122" s="136">
        <f ca="1">IF(Z122&lt;=0,0,RANK(Z122,Z:Z)+COUNTIF($Z$3:$Z122,Z122)-1)</f>
        <v>0</v>
      </c>
      <c r="AB122" s="1211">
        <f t="shared" ca="1" si="21"/>
        <v>0</v>
      </c>
      <c r="AC122" s="136">
        <f ca="1">IF(AB122&lt;=0,0,RANK(AB122,AB:AB)+COUNTIF($AB$3:$AB122,AB122)-1)</f>
        <v>0</v>
      </c>
      <c r="AD122" s="136">
        <f t="shared" ca="1" si="29"/>
        <v>99999</v>
      </c>
      <c r="AE122" s="136">
        <f ca="1">IF(AD122=99999,0,RANK(AD122,AD:AD,1)+COUNTIF($AD$3:$AD122,AD122)-1)</f>
        <v>0</v>
      </c>
    </row>
    <row r="123" spans="1:31">
      <c r="A123" s="141" t="str">
        <f>'銀行-TSS'!A123</f>
        <v>US037833AT77</v>
      </c>
      <c r="B123" s="151" t="str">
        <f ca="1">VLOOKUP(A123,'銀行-TSS'!A:B,2,FALSE)</f>
        <v>XG060</v>
      </c>
      <c r="C123" s="151" t="str">
        <f ca="1">VLOOKUP(B123,bond!B:C,2,FALSE)</f>
        <v>蘋果公司美元配息債券 4.45% 2044/5/6</v>
      </c>
      <c r="D123" s="95" t="str">
        <f>VLOOKUP(A123,'銀行-TSS'!A:C,3,FALSE)</f>
        <v>USD</v>
      </c>
      <c r="E123" s="90">
        <f ca="1">VLOOKUP(A123,'銀行-TSS'!A:G,7,FALSE)</f>
        <v>19.84</v>
      </c>
      <c r="F123" s="202">
        <f ca="1">VLOOKUP(A123,'銀行-TSS'!A:H,8,FALSE)</f>
        <v>4.4500000000000005E-2</v>
      </c>
      <c r="G123" s="96">
        <f ca="1">VLOOKUP(A123,'銀行-TSS'!A:K,11,FALSE)</f>
        <v>96.76</v>
      </c>
      <c r="H123" s="1209">
        <f ca="1">VLOOKUP(A123,'銀行-TSS'!A:M,13,FALSE)</f>
        <v>4.7600000000000003E-2</v>
      </c>
      <c r="I123" s="1213">
        <f ca="1">VLOOKUP(A123,'銀行-TSS'!A:N,14,FALSE)</f>
        <v>10000</v>
      </c>
      <c r="J123" s="1213">
        <f ca="1">VLOOKUP(A123,'銀行-TSS'!A:O,15,FALSE)</f>
        <v>1000</v>
      </c>
      <c r="K123" s="136" t="str">
        <f ca="1">VLOOKUP(A123,'銀行-TSS'!A:V,22,FALSE)</f>
        <v>(NPI)非專投</v>
      </c>
      <c r="L123" s="136" t="str">
        <f ca="1">VLOOKUP(A123,'銀行-TSS'!A:AK,37,FALSE)</f>
        <v>有</v>
      </c>
      <c r="M123" s="136" t="str">
        <f ca="1">VLOOKUP(A123,'銀行-TSS'!A:AN,40,FALSE)</f>
        <v/>
      </c>
      <c r="N123" s="1211">
        <f t="shared" ca="1" si="22"/>
        <v>967.6</v>
      </c>
      <c r="O123" s="1211">
        <f t="shared" ca="1" si="23"/>
        <v>9676</v>
      </c>
      <c r="P123" s="1213">
        <f ca="1">IF(AND(換券投組!$D$17&gt;=O123,換券投組!$D$13=D123),I123+INT((換券投組!$D$17-O123)/N123)*J123,0)</f>
        <v>0</v>
      </c>
      <c r="Q123" s="1211">
        <f t="shared" ca="1" si="24"/>
        <v>0</v>
      </c>
      <c r="R123" s="1213">
        <f t="shared" ca="1" si="25"/>
        <v>0</v>
      </c>
      <c r="S123" s="1213">
        <f t="shared" ca="1" si="26"/>
        <v>0</v>
      </c>
      <c r="T123" s="136">
        <f t="shared" ca="1" si="19"/>
        <v>0</v>
      </c>
      <c r="U123" s="861">
        <f t="shared" ca="1" si="20"/>
        <v>0</v>
      </c>
      <c r="V123" s="136" t="b">
        <f ca="1">IF(OR(D123&lt;&gt;"USD",L123="無",M123&lt;&gt;"",K123="高資產",IFERROR(MATCH(B123,換券投組!K:K,0),"N")&lt;&gt;"N",IFERROR(MATCH(B123,換券投組!J:J,0),"N")&lt;&gt;"N"),FALSE,IF($V$1="All",TRUE,IF(K123=$V$1,TRUE,FALSE)))</f>
        <v>1</v>
      </c>
      <c r="W123" s="136">
        <f ca="1">VLOOKUP(A123,'銀行-TSS'!A:AO,41,FALSE)</f>
        <v>93.07</v>
      </c>
      <c r="X123" s="136">
        <f ca="1">VLOOKUP(A123,'銀行-TSS'!A:AP,42,FALSE)</f>
        <v>12.7517</v>
      </c>
      <c r="Y123" s="1223">
        <f t="shared" ca="1" si="27"/>
        <v>0</v>
      </c>
      <c r="Z123" s="1211">
        <f t="shared" ca="1" si="28"/>
        <v>0</v>
      </c>
      <c r="AA123" s="136">
        <f ca="1">IF(Z123&lt;=0,0,RANK(Z123,Z:Z)+COUNTIF($Z$3:$Z123,Z123)-1)</f>
        <v>0</v>
      </c>
      <c r="AB123" s="1211">
        <f t="shared" ca="1" si="21"/>
        <v>0</v>
      </c>
      <c r="AC123" s="136">
        <f ca="1">IF(AB123&lt;=0,0,RANK(AB123,AB:AB)+COUNTIF($AB$3:$AB123,AB123)-1)</f>
        <v>0</v>
      </c>
      <c r="AD123" s="136">
        <f t="shared" ca="1" si="29"/>
        <v>99999</v>
      </c>
      <c r="AE123" s="136">
        <f ca="1">IF(AD123=99999,0,RANK(AD123,AD:AD,1)+COUNTIF($AD$3:$AD123,AD123)-1)</f>
        <v>0</v>
      </c>
    </row>
    <row r="124" spans="1:31">
      <c r="A124" s="141" t="str">
        <f>'銀行-TSS'!A124</f>
        <v>US375558BD48</v>
      </c>
      <c r="B124" s="151" t="str">
        <f ca="1">VLOOKUP(A124,'銀行-TSS'!A:B,2,FALSE)</f>
        <v>XG070</v>
      </c>
      <c r="C124" s="151" t="str">
        <f ca="1">VLOOKUP(B124,bond!B:C,2,FALSE)</f>
        <v>吉利德科學公司美元配息債券 4.75% 2046/3/1</v>
      </c>
      <c r="D124" s="95" t="str">
        <f>VLOOKUP(A124,'銀行-TSS'!A:C,3,FALSE)</f>
        <v>USD</v>
      </c>
      <c r="E124" s="90">
        <f ca="1">VLOOKUP(A124,'銀行-TSS'!A:G,7,FALSE)</f>
        <v>21.66</v>
      </c>
      <c r="F124" s="202">
        <f ca="1">VLOOKUP(A124,'銀行-TSS'!A:H,8,FALSE)</f>
        <v>4.7500000000000001E-2</v>
      </c>
      <c r="G124" s="96">
        <f ca="1">VLOOKUP(A124,'銀行-TSS'!A:K,11,FALSE)</f>
        <v>94.4</v>
      </c>
      <c r="H124" s="1209">
        <f ca="1">VLOOKUP(A124,'銀行-TSS'!A:M,13,FALSE)</f>
        <v>5.3100000000000001E-2</v>
      </c>
      <c r="I124" s="1213">
        <f ca="1">VLOOKUP(A124,'銀行-TSS'!A:N,14,FALSE)</f>
        <v>10000</v>
      </c>
      <c r="J124" s="1213">
        <f ca="1">VLOOKUP(A124,'銀行-TSS'!A:O,15,FALSE)</f>
        <v>1000</v>
      </c>
      <c r="K124" s="136" t="str">
        <f ca="1">VLOOKUP(A124,'銀行-TSS'!A:V,22,FALSE)</f>
        <v>(NPI)非專投</v>
      </c>
      <c r="L124" s="136" t="str">
        <f ca="1">VLOOKUP(A124,'銀行-TSS'!A:AK,37,FALSE)</f>
        <v>有</v>
      </c>
      <c r="M124" s="136" t="str">
        <f ca="1">VLOOKUP(A124,'銀行-TSS'!A:AN,40,FALSE)</f>
        <v/>
      </c>
      <c r="N124" s="1211">
        <f t="shared" ca="1" si="22"/>
        <v>944</v>
      </c>
      <c r="O124" s="1211">
        <f t="shared" ca="1" si="23"/>
        <v>9440</v>
      </c>
      <c r="P124" s="1213">
        <f ca="1">IF(AND(換券投組!$D$17&gt;=O124,換券投組!$D$13=D124),I124+INT((換券投組!$D$17-O124)/N124)*J124,0)</f>
        <v>0</v>
      </c>
      <c r="Q124" s="1211">
        <f t="shared" ca="1" si="24"/>
        <v>0</v>
      </c>
      <c r="R124" s="1213">
        <f t="shared" ca="1" si="25"/>
        <v>0</v>
      </c>
      <c r="S124" s="1213">
        <f t="shared" ca="1" si="26"/>
        <v>0</v>
      </c>
      <c r="T124" s="136">
        <f t="shared" ca="1" si="19"/>
        <v>0</v>
      </c>
      <c r="U124" s="861">
        <f t="shared" ca="1" si="20"/>
        <v>0</v>
      </c>
      <c r="V124" s="136" t="b">
        <f ca="1">IF(OR(D124&lt;&gt;"USD",L124="無",M124&lt;&gt;"",K124="高資產",IFERROR(MATCH(B124,換券投組!K:K,0),"N")&lt;&gt;"N",IFERROR(MATCH(B124,換券投組!J:J,0),"N")&lt;&gt;"N"),FALSE,IF($V$1="All",TRUE,IF(K124=$V$1,TRUE,FALSE)))</f>
        <v>1</v>
      </c>
      <c r="W124" s="136">
        <f ca="1">VLOOKUP(A124,'銀行-TSS'!A:AO,41,FALSE)</f>
        <v>89.800000000000011</v>
      </c>
      <c r="X124" s="136">
        <f ca="1">VLOOKUP(A124,'銀行-TSS'!A:AP,42,FALSE)</f>
        <v>12.7578</v>
      </c>
      <c r="Y124" s="1223">
        <f t="shared" ca="1" si="27"/>
        <v>0</v>
      </c>
      <c r="Z124" s="1211">
        <f t="shared" ca="1" si="28"/>
        <v>0</v>
      </c>
      <c r="AA124" s="136">
        <f ca="1">IF(Z124&lt;=0,0,RANK(Z124,Z:Z)+COUNTIF($Z$3:$Z124,Z124)-1)</f>
        <v>0</v>
      </c>
      <c r="AB124" s="1211">
        <f t="shared" ca="1" si="21"/>
        <v>0</v>
      </c>
      <c r="AC124" s="136">
        <f ca="1">IF(AB124&lt;=0,0,RANK(AB124,AB:AB)+COUNTIF($AB$3:$AB124,AB124)-1)</f>
        <v>0</v>
      </c>
      <c r="AD124" s="136">
        <f t="shared" ca="1" si="29"/>
        <v>99999</v>
      </c>
      <c r="AE124" s="136">
        <f ca="1">IF(AD124=99999,0,RANK(AD124,AD:AD,1)+COUNTIF($AD$3:$AD124,AD124)-1)</f>
        <v>0</v>
      </c>
    </row>
    <row r="125" spans="1:31">
      <c r="A125" s="141" t="str">
        <f>'銀行-TSS'!A125</f>
        <v>XS1697550512</v>
      </c>
      <c r="B125" s="151" t="str">
        <f ca="1">VLOOKUP(A125,'銀行-TSS'!A:B,2,FALSE)</f>
        <v>XG090</v>
      </c>
      <c r="C125" s="151" t="str">
        <f ca="1">VLOOKUP(B125,bond!B:C,2,FALSE)</f>
        <v>歐洲投資銀行南非幣零息債券 0% 2032/10/18</v>
      </c>
      <c r="D125" s="95" t="str">
        <f>VLOOKUP(A125,'銀行-TSS'!A:C,3,FALSE)</f>
        <v>ZAR</v>
      </c>
      <c r="E125" s="90">
        <f ca="1">VLOOKUP(A125,'銀行-TSS'!A:G,7,FALSE)</f>
        <v>8.2899999999999991</v>
      </c>
      <c r="F125" s="202">
        <f ca="1">VLOOKUP(A125,'銀行-TSS'!A:H,8,FALSE)</f>
        <v>0</v>
      </c>
      <c r="G125" s="96">
        <f ca="1">VLOOKUP(A125,'銀行-TSS'!A:K,11,FALSE)</f>
        <v>49.89</v>
      </c>
      <c r="H125" s="1209">
        <f ca="1">VLOOKUP(A125,'銀行-TSS'!A:M,13,FALSE)</f>
        <v>8.7499999999999994E-2</v>
      </c>
      <c r="I125" s="1213">
        <f ca="1">VLOOKUP(A125,'銀行-TSS'!A:N,14,FALSE)</f>
        <v>10000</v>
      </c>
      <c r="J125" s="1213">
        <f ca="1">VLOOKUP(A125,'銀行-TSS'!A:O,15,FALSE)</f>
        <v>10000</v>
      </c>
      <c r="K125" s="136" t="str">
        <f ca="1">VLOOKUP(A125,'銀行-TSS'!A:V,22,FALSE)</f>
        <v>(NPI)非專投</v>
      </c>
      <c r="L125" s="136" t="str">
        <f ca="1">VLOOKUP(A125,'銀行-TSS'!A:AK,37,FALSE)</f>
        <v>需查詢</v>
      </c>
      <c r="M125" s="136" t="str">
        <f ca="1">VLOOKUP(A125,'銀行-TSS'!A:AN,40,FALSE)</f>
        <v/>
      </c>
      <c r="N125" s="1211">
        <f t="shared" ca="1" si="22"/>
        <v>4989</v>
      </c>
      <c r="O125" s="1211">
        <f t="shared" ca="1" si="23"/>
        <v>4989</v>
      </c>
      <c r="P125" s="1213">
        <f ca="1">IF(AND(換券投組!$D$17&gt;=O125,換券投組!$D$13=D125),I125+INT((換券投組!$D$17-O125)/N125)*J125,0)</f>
        <v>0</v>
      </c>
      <c r="Q125" s="1211">
        <f t="shared" ca="1" si="24"/>
        <v>0</v>
      </c>
      <c r="R125" s="1213">
        <f t="shared" ca="1" si="25"/>
        <v>0</v>
      </c>
      <c r="S125" s="1213">
        <f t="shared" ca="1" si="26"/>
        <v>0</v>
      </c>
      <c r="T125" s="136">
        <f t="shared" ca="1" si="19"/>
        <v>0</v>
      </c>
      <c r="U125" s="861">
        <f t="shared" ca="1" si="20"/>
        <v>0</v>
      </c>
      <c r="V125" s="136" t="b">
        <f ca="1">IF(OR(D125&lt;&gt;"USD",L125="無",M125&lt;&gt;"",K125="高資產",IFERROR(MATCH(B125,換券投組!K:K,0),"N")&lt;&gt;"N",IFERROR(MATCH(B125,換券投組!J:J,0),"N")&lt;&gt;"N"),FALSE,IF($V$1="All",TRUE,IF(K125=$V$1,TRUE,FALSE)))</f>
        <v>0</v>
      </c>
      <c r="W125" s="136">
        <f ca="1">VLOOKUP(A125,'銀行-TSS'!A:AO,41,FALSE)</f>
        <v>48.29</v>
      </c>
      <c r="X125" s="136">
        <f ca="1">VLOOKUP(A125,'銀行-TSS'!A:AP,42,FALSE)</f>
        <v>7.9372999999999996</v>
      </c>
      <c r="Y125" s="1223">
        <f t="shared" ca="1" si="27"/>
        <v>0</v>
      </c>
      <c r="Z125" s="1211">
        <f t="shared" ca="1" si="28"/>
        <v>0</v>
      </c>
      <c r="AA125" s="136">
        <f ca="1">IF(Z125&lt;=0,0,RANK(Z125,Z:Z)+COUNTIF($Z$3:$Z125,Z125)-1)</f>
        <v>0</v>
      </c>
      <c r="AB125" s="1211">
        <f t="shared" ca="1" si="21"/>
        <v>0</v>
      </c>
      <c r="AC125" s="136">
        <f ca="1">IF(AB125&lt;=0,0,RANK(AB125,AB:AB)+COUNTIF($AB$3:$AB125,AB125)-1)</f>
        <v>0</v>
      </c>
      <c r="AD125" s="136">
        <f t="shared" ca="1" si="29"/>
        <v>99999</v>
      </c>
      <c r="AE125" s="136">
        <f ca="1">IF(AD125=99999,0,RANK(AD125,AD:AD,1)+COUNTIF($AD$3:$AD125,AD125)-1)</f>
        <v>0</v>
      </c>
    </row>
    <row r="126" spans="1:31">
      <c r="A126" s="141" t="str">
        <f>'銀行-TSS'!A126</f>
        <v>US254687FZ49</v>
      </c>
      <c r="B126" s="151" t="str">
        <f ca="1">VLOOKUP(A126,'銀行-TSS'!A:B,2,FALSE)</f>
        <v>XG100</v>
      </c>
      <c r="C126" s="151" t="str">
        <f ca="1">VLOOKUP(B126,bond!B:C,2,FALSE)</f>
        <v>華特迪士尼公司美元配息債券 3.6% 2051/1/13</v>
      </c>
      <c r="D126" s="95" t="str">
        <f>VLOOKUP(A126,'銀行-TSS'!A:C,3,FALSE)</f>
        <v>USD</v>
      </c>
      <c r="E126" s="90">
        <f ca="1">VLOOKUP(A126,'銀行-TSS'!A:G,7,FALSE)</f>
        <v>26.53</v>
      </c>
      <c r="F126" s="202">
        <f ca="1">VLOOKUP(A126,'銀行-TSS'!A:H,8,FALSE)</f>
        <v>3.6000000000000004E-2</v>
      </c>
      <c r="G126" s="96">
        <f ca="1">VLOOKUP(A126,'銀行-TSS'!A:K,11,FALSE)</f>
        <v>80.400000000000006</v>
      </c>
      <c r="H126" s="1209">
        <f ca="1">VLOOKUP(A126,'銀行-TSS'!A:M,13,FALSE)</f>
        <v>5.0700000000000002E-2</v>
      </c>
      <c r="I126" s="1213">
        <f ca="1">VLOOKUP(A126,'銀行-TSS'!A:N,14,FALSE)</f>
        <v>10000</v>
      </c>
      <c r="J126" s="1213">
        <f ca="1">VLOOKUP(A126,'銀行-TSS'!A:O,15,FALSE)</f>
        <v>1000</v>
      </c>
      <c r="K126" s="136" t="str">
        <f ca="1">VLOOKUP(A126,'銀行-TSS'!A:V,22,FALSE)</f>
        <v>(NPI)非專投</v>
      </c>
      <c r="L126" s="136" t="str">
        <f ca="1">VLOOKUP(A126,'銀行-TSS'!A:AK,37,FALSE)</f>
        <v>需查詢</v>
      </c>
      <c r="M126" s="136" t="str">
        <f ca="1">VLOOKUP(A126,'銀行-TSS'!A:AN,40,FALSE)</f>
        <v/>
      </c>
      <c r="N126" s="1211">
        <f t="shared" ca="1" si="22"/>
        <v>804</v>
      </c>
      <c r="O126" s="1211">
        <f t="shared" ca="1" si="23"/>
        <v>8040</v>
      </c>
      <c r="P126" s="1213">
        <f ca="1">IF(AND(換券投組!$D$17&gt;=O126,換券投組!$D$13=D126),I126+INT((換券投組!$D$17-O126)/N126)*J126,0)</f>
        <v>0</v>
      </c>
      <c r="Q126" s="1211">
        <f t="shared" ca="1" si="24"/>
        <v>0</v>
      </c>
      <c r="R126" s="1213">
        <f t="shared" ca="1" si="25"/>
        <v>0</v>
      </c>
      <c r="S126" s="1213">
        <f t="shared" ca="1" si="26"/>
        <v>0</v>
      </c>
      <c r="T126" s="136">
        <f t="shared" ca="1" si="19"/>
        <v>0</v>
      </c>
      <c r="U126" s="861">
        <f t="shared" ca="1" si="20"/>
        <v>0</v>
      </c>
      <c r="V126" s="136" t="b">
        <f ca="1">IF(OR(D126&lt;&gt;"USD",L126="無",M126&lt;&gt;"",K126="高資產",IFERROR(MATCH(B126,換券投組!K:K,0),"N")&lt;&gt;"N",IFERROR(MATCH(B126,換券投組!J:J,0),"N")&lt;&gt;"N"),FALSE,IF($V$1="All",TRUE,IF(K126=$V$1,TRUE,FALSE)))</f>
        <v>1</v>
      </c>
      <c r="W126" s="136">
        <f ca="1">VLOOKUP(A126,'銀行-TSS'!A:AO,41,FALSE)</f>
        <v>75.210000000000008</v>
      </c>
      <c r="X126" s="136">
        <f ca="1">VLOOKUP(A126,'銀行-TSS'!A:AP,42,FALSE)</f>
        <v>15.1081</v>
      </c>
      <c r="Y126" s="1223">
        <f t="shared" ca="1" si="27"/>
        <v>0</v>
      </c>
      <c r="Z126" s="1211">
        <f t="shared" ca="1" si="28"/>
        <v>0</v>
      </c>
      <c r="AA126" s="136">
        <f ca="1">IF(Z126&lt;=0,0,RANK(Z126,Z:Z)+COUNTIF($Z$3:$Z126,Z126)-1)</f>
        <v>0</v>
      </c>
      <c r="AB126" s="1211">
        <f t="shared" ca="1" si="21"/>
        <v>0</v>
      </c>
      <c r="AC126" s="136">
        <f ca="1">IF(AB126&lt;=0,0,RANK(AB126,AB:AB)+COUNTIF($AB$3:$AB126,AB126)-1)</f>
        <v>0</v>
      </c>
      <c r="AD126" s="136">
        <f t="shared" ca="1" si="29"/>
        <v>99999</v>
      </c>
      <c r="AE126" s="136">
        <f ca="1">IF(AD126=99999,0,RANK(AD126,AD:AD,1)+COUNTIF($AD$3:$AD126,AD126)-1)</f>
        <v>0</v>
      </c>
    </row>
    <row r="127" spans="1:31">
      <c r="A127" s="141" t="str">
        <f>'銀行-TSS'!A127</f>
        <v>US31428XBG07</v>
      </c>
      <c r="B127" s="151" t="str">
        <f ca="1">VLOOKUP(A127,'銀行-TSS'!A:B,2,FALSE)</f>
        <v>XG110</v>
      </c>
      <c r="C127" s="151" t="str">
        <f ca="1">VLOOKUP(B127,bond!B:C,2,FALSE)</f>
        <v>聯邦快遞美元配息債券 4.55% 2046/4/1</v>
      </c>
      <c r="D127" s="95" t="str">
        <f>VLOOKUP(A127,'銀行-TSS'!A:C,3,FALSE)</f>
        <v>USD</v>
      </c>
      <c r="E127" s="90">
        <f ca="1">VLOOKUP(A127,'銀行-TSS'!A:G,7,FALSE)</f>
        <v>21.75</v>
      </c>
      <c r="F127" s="202">
        <f ca="1">VLOOKUP(A127,'銀行-TSS'!A:H,8,FALSE)</f>
        <v>4.5499999999999999E-2</v>
      </c>
      <c r="G127" s="96">
        <f ca="1">VLOOKUP(A127,'銀行-TSS'!A:K,11,FALSE)</f>
        <v>88.43</v>
      </c>
      <c r="H127" s="1209">
        <f ca="1">VLOOKUP(A127,'銀行-TSS'!A:M,13,FALSE)</f>
        <v>5.57E-2</v>
      </c>
      <c r="I127" s="1213">
        <f ca="1">VLOOKUP(A127,'銀行-TSS'!A:N,14,FALSE)</f>
        <v>10000</v>
      </c>
      <c r="J127" s="1213">
        <f ca="1">VLOOKUP(A127,'銀行-TSS'!A:O,15,FALSE)</f>
        <v>1000</v>
      </c>
      <c r="K127" s="136" t="str">
        <f ca="1">VLOOKUP(A127,'銀行-TSS'!A:V,22,FALSE)</f>
        <v>(PI)專投</v>
      </c>
      <c r="L127" s="136" t="str">
        <f ca="1">VLOOKUP(A127,'銀行-TSS'!A:AK,37,FALSE)</f>
        <v>有</v>
      </c>
      <c r="M127" s="136" t="str">
        <f ca="1">VLOOKUP(A127,'銀行-TSS'!A:AN,40,FALSE)</f>
        <v/>
      </c>
      <c r="N127" s="1211">
        <f t="shared" ca="1" si="22"/>
        <v>884.3</v>
      </c>
      <c r="O127" s="1211">
        <f t="shared" ca="1" si="23"/>
        <v>8843.0000000000018</v>
      </c>
      <c r="P127" s="1213">
        <f ca="1">IF(AND(換券投組!$D$17&gt;=O127,換券投組!$D$13=D127),I127+INT((換券投組!$D$17-O127)/N127)*J127,0)</f>
        <v>0</v>
      </c>
      <c r="Q127" s="1211">
        <f t="shared" ca="1" si="24"/>
        <v>0</v>
      </c>
      <c r="R127" s="1213">
        <f t="shared" ca="1" si="25"/>
        <v>0</v>
      </c>
      <c r="S127" s="1213">
        <f t="shared" ca="1" si="26"/>
        <v>0</v>
      </c>
      <c r="T127" s="136">
        <f t="shared" ca="1" si="19"/>
        <v>0</v>
      </c>
      <c r="U127" s="861">
        <f t="shared" ca="1" si="20"/>
        <v>0</v>
      </c>
      <c r="V127" s="136" t="b">
        <f ca="1">IF(OR(D127&lt;&gt;"USD",L127="無",M127&lt;&gt;"",K127="高資產",IFERROR(MATCH(B127,換券投組!K:K,0),"N")&lt;&gt;"N",IFERROR(MATCH(B127,換券投組!J:J,0),"N")&lt;&gt;"N"),FALSE,IF($V$1="All",TRUE,IF(K127=$V$1,TRUE,FALSE)))</f>
        <v>1</v>
      </c>
      <c r="W127" s="136">
        <f ca="1">VLOOKUP(A127,'銀行-TSS'!A:AO,41,FALSE)</f>
        <v>84.28</v>
      </c>
      <c r="X127" s="136">
        <f ca="1">VLOOKUP(A127,'銀行-TSS'!A:AP,42,FALSE)</f>
        <v>12.776999999999999</v>
      </c>
      <c r="Y127" s="1223">
        <f t="shared" ca="1" si="27"/>
        <v>0</v>
      </c>
      <c r="Z127" s="1211">
        <f t="shared" ca="1" si="28"/>
        <v>0</v>
      </c>
      <c r="AA127" s="136">
        <f ca="1">IF(Z127&lt;=0,0,RANK(Z127,Z:Z)+COUNTIF($Z$3:$Z127,Z127)-1)</f>
        <v>0</v>
      </c>
      <c r="AB127" s="1211">
        <f t="shared" ca="1" si="21"/>
        <v>0</v>
      </c>
      <c r="AC127" s="136">
        <f ca="1">IF(AB127&lt;=0,0,RANK(AB127,AB:AB)+COUNTIF($AB$3:$AB127,AB127)-1)</f>
        <v>0</v>
      </c>
      <c r="AD127" s="136">
        <f t="shared" ca="1" si="29"/>
        <v>99999</v>
      </c>
      <c r="AE127" s="136">
        <f ca="1">IF(AD127=99999,0,RANK(AD127,AD:AD,1)+COUNTIF($AD$3:$AD127,AD127)-1)</f>
        <v>0</v>
      </c>
    </row>
    <row r="128" spans="1:31">
      <c r="A128" s="141" t="str">
        <f>'銀行-TSS'!A128</f>
        <v>US00206RKE17</v>
      </c>
      <c r="B128" s="151" t="str">
        <f ca="1">VLOOKUP(A128,'銀行-TSS'!A:B,2,FALSE)</f>
        <v>XG120</v>
      </c>
      <c r="C128" s="151" t="str">
        <f ca="1">VLOOKUP(B128,bond!B:C,2,FALSE)</f>
        <v>AT&amp;T公司美元配息債券 3.3% 2052/2/1</v>
      </c>
      <c r="D128" s="95" t="str">
        <f>VLOOKUP(A128,'銀行-TSS'!A:C,3,FALSE)</f>
        <v>USD</v>
      </c>
      <c r="E128" s="90">
        <f ca="1">VLOOKUP(A128,'銀行-TSS'!A:G,7,FALSE)</f>
        <v>27.58</v>
      </c>
      <c r="F128" s="202">
        <f ca="1">VLOOKUP(A128,'銀行-TSS'!A:H,8,FALSE)</f>
        <v>3.3000000000000002E-2</v>
      </c>
      <c r="G128" s="96">
        <f ca="1">VLOOKUP(A128,'銀行-TSS'!A:K,11,FALSE)</f>
        <v>72.260000000000005</v>
      </c>
      <c r="H128" s="1209">
        <f ca="1">VLOOKUP(A128,'銀行-TSS'!A:M,13,FALSE)</f>
        <v>5.33E-2</v>
      </c>
      <c r="I128" s="1213">
        <f ca="1">VLOOKUP(A128,'銀行-TSS'!A:N,14,FALSE)</f>
        <v>10000</v>
      </c>
      <c r="J128" s="1213">
        <f ca="1">VLOOKUP(A128,'銀行-TSS'!A:O,15,FALSE)</f>
        <v>1000</v>
      </c>
      <c r="K128" s="136" t="str">
        <f ca="1">VLOOKUP(A128,'銀行-TSS'!A:V,22,FALSE)</f>
        <v>(PI)專投</v>
      </c>
      <c r="L128" s="136" t="str">
        <f ca="1">VLOOKUP(A128,'銀行-TSS'!A:AK,37,FALSE)</f>
        <v>有</v>
      </c>
      <c r="M128" s="136" t="str">
        <f ca="1">VLOOKUP(A128,'銀行-TSS'!A:AN,40,FALSE)</f>
        <v/>
      </c>
      <c r="N128" s="1211">
        <f t="shared" ca="1" si="22"/>
        <v>722.6</v>
      </c>
      <c r="O128" s="1211">
        <f t="shared" ca="1" si="23"/>
        <v>7226</v>
      </c>
      <c r="P128" s="1213">
        <f ca="1">IF(AND(換券投組!$D$17&gt;=O128,換券投組!$D$13=D128),I128+INT((換券投組!$D$17-O128)/N128)*J128,0)</f>
        <v>0</v>
      </c>
      <c r="Q128" s="1211">
        <f t="shared" ca="1" si="24"/>
        <v>0</v>
      </c>
      <c r="R128" s="1213">
        <f t="shared" ca="1" si="25"/>
        <v>0</v>
      </c>
      <c r="S128" s="1213">
        <f t="shared" ca="1" si="26"/>
        <v>0</v>
      </c>
      <c r="T128" s="136">
        <f t="shared" ca="1" si="19"/>
        <v>0</v>
      </c>
      <c r="U128" s="861">
        <f t="shared" ca="1" si="20"/>
        <v>0</v>
      </c>
      <c r="V128" s="136" t="b">
        <f ca="1">IF(OR(D128&lt;&gt;"USD",L128="無",M128&lt;&gt;"",K128="高資產",IFERROR(MATCH(B128,換券投組!K:K,0),"N")&lt;&gt;"N",IFERROR(MATCH(B128,換券投組!J:J,0),"N")&lt;&gt;"N"),FALSE,IF($V$1="All",TRUE,IF(K128=$V$1,TRUE,FALSE)))</f>
        <v>1</v>
      </c>
      <c r="W128" s="136">
        <f ca="1">VLOOKUP(A128,'銀行-TSS'!A:AO,41,FALSE)</f>
        <v>67.38000000000001</v>
      </c>
      <c r="X128" s="136">
        <f ca="1">VLOOKUP(A128,'銀行-TSS'!A:AP,42,FALSE)</f>
        <v>15.3986</v>
      </c>
      <c r="Y128" s="1223">
        <f t="shared" ca="1" si="27"/>
        <v>0</v>
      </c>
      <c r="Z128" s="1211">
        <f t="shared" ca="1" si="28"/>
        <v>0</v>
      </c>
      <c r="AA128" s="136">
        <f ca="1">IF(Z128&lt;=0,0,RANK(Z128,Z:Z)+COUNTIF($Z$3:$Z128,Z128)-1)</f>
        <v>0</v>
      </c>
      <c r="AB128" s="1211">
        <f t="shared" ca="1" si="21"/>
        <v>0</v>
      </c>
      <c r="AC128" s="136">
        <f ca="1">IF(AB128&lt;=0,0,RANK(AB128,AB:AB)+COUNTIF($AB$3:$AB128,AB128)-1)</f>
        <v>0</v>
      </c>
      <c r="AD128" s="136">
        <f t="shared" ca="1" si="29"/>
        <v>99999</v>
      </c>
      <c r="AE128" s="136">
        <f ca="1">IF(AD128=99999,0,RANK(AD128,AD:AD,1)+COUNTIF($AD$3:$AD128,AD128)-1)</f>
        <v>0</v>
      </c>
    </row>
    <row r="129" spans="1:31">
      <c r="A129" s="141" t="str">
        <f>'銀行-TSS'!A129</f>
        <v>US88579YBD22</v>
      </c>
      <c r="B129" s="151" t="str">
        <f ca="1">VLOOKUP(A129,'銀行-TSS'!A:B,2,FALSE)</f>
        <v>XG130</v>
      </c>
      <c r="C129" s="151" t="str">
        <f ca="1">VLOOKUP(B129,bond!B:C,2,FALSE)</f>
        <v>3M公司美元配息債券 4% 2048/9/14</v>
      </c>
      <c r="D129" s="95" t="str">
        <f>VLOOKUP(A129,'銀行-TSS'!A:C,3,FALSE)</f>
        <v>USD</v>
      </c>
      <c r="E129" s="90">
        <f ca="1">VLOOKUP(A129,'銀行-TSS'!A:G,7,FALSE)</f>
        <v>24.2</v>
      </c>
      <c r="F129" s="202">
        <f ca="1">VLOOKUP(A129,'銀行-TSS'!A:H,8,FALSE)</f>
        <v>0.04</v>
      </c>
      <c r="G129" s="96">
        <f ca="1">VLOOKUP(A129,'銀行-TSS'!A:K,11,FALSE)</f>
        <v>85.07</v>
      </c>
      <c r="H129" s="1209">
        <f ca="1">VLOOKUP(A129,'銀行-TSS'!A:M,13,FALSE)</f>
        <v>5.1799999999999999E-2</v>
      </c>
      <c r="I129" s="1213">
        <f ca="1">VLOOKUP(A129,'銀行-TSS'!A:N,14,FALSE)</f>
        <v>10000</v>
      </c>
      <c r="J129" s="1213">
        <f ca="1">VLOOKUP(A129,'銀行-TSS'!A:O,15,FALSE)</f>
        <v>1000</v>
      </c>
      <c r="K129" s="136" t="str">
        <f ca="1">VLOOKUP(A129,'銀行-TSS'!A:V,22,FALSE)</f>
        <v>(NPI)非專投</v>
      </c>
      <c r="L129" s="136" t="str">
        <f ca="1">VLOOKUP(A129,'銀行-TSS'!A:AK,37,FALSE)</f>
        <v>有</v>
      </c>
      <c r="M129" s="136" t="str">
        <f ca="1">VLOOKUP(A129,'銀行-TSS'!A:AN,40,FALSE)</f>
        <v/>
      </c>
      <c r="N129" s="1211">
        <f t="shared" ca="1" si="22"/>
        <v>850.7</v>
      </c>
      <c r="O129" s="1211">
        <f t="shared" ca="1" si="23"/>
        <v>8506.9999999999982</v>
      </c>
      <c r="P129" s="1213">
        <f ca="1">IF(AND(換券投組!$D$17&gt;=O129,換券投組!$D$13=D129),I129+INT((換券投組!$D$17-O129)/N129)*J129,0)</f>
        <v>0</v>
      </c>
      <c r="Q129" s="1211">
        <f t="shared" ca="1" si="24"/>
        <v>0</v>
      </c>
      <c r="R129" s="1213">
        <f t="shared" ca="1" si="25"/>
        <v>0</v>
      </c>
      <c r="S129" s="1213">
        <f t="shared" ca="1" si="26"/>
        <v>0</v>
      </c>
      <c r="T129" s="136">
        <f t="shared" ca="1" si="19"/>
        <v>0</v>
      </c>
      <c r="U129" s="861">
        <f t="shared" ca="1" si="20"/>
        <v>0</v>
      </c>
      <c r="V129" s="136" t="b">
        <f ca="1">IF(OR(D129&lt;&gt;"USD",L129="無",M129&lt;&gt;"",K129="高資產",IFERROR(MATCH(B129,換券投組!K:K,0),"N")&lt;&gt;"N",IFERROR(MATCH(B129,換券投組!J:J,0),"N")&lt;&gt;"N"),FALSE,IF($V$1="All",TRUE,IF(K129=$V$1,TRUE,FALSE)))</f>
        <v>1</v>
      </c>
      <c r="W129" s="136">
        <f ca="1">VLOOKUP(A129,'銀行-TSS'!A:AO,41,FALSE)</f>
        <v>80.37</v>
      </c>
      <c r="X129" s="136">
        <f ca="1">VLOOKUP(A129,'銀行-TSS'!A:AP,42,FALSE)</f>
        <v>14.1205</v>
      </c>
      <c r="Y129" s="1223">
        <f t="shared" ca="1" si="27"/>
        <v>0</v>
      </c>
      <c r="Z129" s="1211">
        <f t="shared" ca="1" si="28"/>
        <v>0</v>
      </c>
      <c r="AA129" s="136">
        <f ca="1">IF(Z129&lt;=0,0,RANK(Z129,Z:Z)+COUNTIF($Z$3:$Z129,Z129)-1)</f>
        <v>0</v>
      </c>
      <c r="AB129" s="1211">
        <f t="shared" ca="1" si="21"/>
        <v>0</v>
      </c>
      <c r="AC129" s="136">
        <f ca="1">IF(AB129&lt;=0,0,RANK(AB129,AB:AB)+COUNTIF($AB$3:$AB129,AB129)-1)</f>
        <v>0</v>
      </c>
      <c r="AD129" s="136">
        <f t="shared" ca="1" si="29"/>
        <v>99999</v>
      </c>
      <c r="AE129" s="136">
        <f ca="1">IF(AD129=99999,0,RANK(AD129,AD:AD,1)+COUNTIF($AD$3:$AD129,AD129)-1)</f>
        <v>0</v>
      </c>
    </row>
    <row r="130" spans="1:31">
      <c r="A130" s="141" t="str">
        <f>'銀行-TSS'!A130</f>
        <v>US25468PDN33</v>
      </c>
      <c r="B130" s="151" t="str">
        <f ca="1">VLOOKUP(A130,'銀行-TSS'!A:B,2,FALSE)</f>
        <v>XG140</v>
      </c>
      <c r="C130" s="151" t="str">
        <f ca="1">VLOOKUP(B130,bond!B:C,2,FALSE)</f>
        <v>TWDC企業18公司美元配息債券 3% 2046/7/30</v>
      </c>
      <c r="D130" s="95" t="str">
        <f>VLOOKUP(A130,'銀行-TSS'!A:C,3,FALSE)</f>
        <v>USD</v>
      </c>
      <c r="E130" s="90">
        <f ca="1">VLOOKUP(A130,'銀行-TSS'!A:G,7,FALSE)</f>
        <v>22.08</v>
      </c>
      <c r="F130" s="202">
        <f ca="1">VLOOKUP(A130,'銀行-TSS'!A:H,8,FALSE)</f>
        <v>0.03</v>
      </c>
      <c r="G130" s="96">
        <f ca="1">VLOOKUP(A130,'銀行-TSS'!A:K,11,FALSE)</f>
        <v>73.14</v>
      </c>
      <c r="H130" s="1209">
        <f ca="1">VLOOKUP(A130,'銀行-TSS'!A:M,13,FALSE)</f>
        <v>5.1499999999999997E-2</v>
      </c>
      <c r="I130" s="1213">
        <f ca="1">VLOOKUP(A130,'銀行-TSS'!A:N,14,FALSE)</f>
        <v>10000</v>
      </c>
      <c r="J130" s="1213">
        <f ca="1">VLOOKUP(A130,'銀行-TSS'!A:O,15,FALSE)</f>
        <v>1000</v>
      </c>
      <c r="K130" s="136" t="str">
        <f ca="1">VLOOKUP(A130,'銀行-TSS'!A:V,22,FALSE)</f>
        <v>(NPI)非專投</v>
      </c>
      <c r="L130" s="136" t="str">
        <f ca="1">VLOOKUP(A130,'銀行-TSS'!A:AK,37,FALSE)</f>
        <v>有</v>
      </c>
      <c r="M130" s="136" t="str">
        <f ca="1">VLOOKUP(A130,'銀行-TSS'!A:AN,40,FALSE)</f>
        <v/>
      </c>
      <c r="N130" s="1211">
        <f t="shared" ca="1" si="22"/>
        <v>731.4</v>
      </c>
      <c r="O130" s="1211">
        <f t="shared" ca="1" si="23"/>
        <v>7314</v>
      </c>
      <c r="P130" s="1213">
        <f ca="1">IF(AND(換券投組!$D$17&gt;=O130,換券投組!$D$13=D130),I130+INT((換券投組!$D$17-O130)/N130)*J130,0)</f>
        <v>0</v>
      </c>
      <c r="Q130" s="1211">
        <f t="shared" ca="1" si="24"/>
        <v>0</v>
      </c>
      <c r="R130" s="1213">
        <f t="shared" ca="1" si="25"/>
        <v>0</v>
      </c>
      <c r="S130" s="1213">
        <f t="shared" ca="1" si="26"/>
        <v>0</v>
      </c>
      <c r="T130" s="136">
        <f t="shared" ca="1" si="19"/>
        <v>0</v>
      </c>
      <c r="U130" s="861">
        <f t="shared" ca="1" si="20"/>
        <v>0</v>
      </c>
      <c r="V130" s="136" t="b">
        <f ca="1">IF(OR(D130&lt;&gt;"USD",L130="無",M130&lt;&gt;"",K130="高資產",IFERROR(MATCH(B130,換券投組!K:K,0),"N")&lt;&gt;"N",IFERROR(MATCH(B130,換券投組!J:J,0),"N")&lt;&gt;"N"),FALSE,IF($V$1="All",TRUE,IF(K130=$V$1,TRUE,FALSE)))</f>
        <v>1</v>
      </c>
      <c r="W130" s="136">
        <f ca="1">VLOOKUP(A130,'銀行-TSS'!A:AO,41,FALSE)</f>
        <v>68.87</v>
      </c>
      <c r="X130" s="136">
        <f ca="1">VLOOKUP(A130,'銀行-TSS'!A:AP,42,FALSE)</f>
        <v>14.3055</v>
      </c>
      <c r="Y130" s="1223">
        <f t="shared" ca="1" si="27"/>
        <v>0</v>
      </c>
      <c r="Z130" s="1211">
        <f t="shared" ca="1" si="28"/>
        <v>0</v>
      </c>
      <c r="AA130" s="136">
        <f ca="1">IF(Z130&lt;=0,0,RANK(Z130,Z:Z)+COUNTIF($Z$3:$Z130,Z130)-1)</f>
        <v>0</v>
      </c>
      <c r="AB130" s="1211">
        <f t="shared" ca="1" si="21"/>
        <v>0</v>
      </c>
      <c r="AC130" s="136">
        <f ca="1">IF(AB130&lt;=0,0,RANK(AB130,AB:AB)+COUNTIF($AB$3:$AB130,AB130)-1)</f>
        <v>0</v>
      </c>
      <c r="AD130" s="136">
        <f t="shared" ca="1" si="29"/>
        <v>99999</v>
      </c>
      <c r="AE130" s="136">
        <f ca="1">IF(AD130=99999,0,RANK(AD130,AD:AD,1)+COUNTIF($AD$3:$AD130,AD130)-1)</f>
        <v>0</v>
      </c>
    </row>
    <row r="131" spans="1:31">
      <c r="A131" s="141" t="str">
        <f>'銀行-TSS'!A131</f>
        <v>US10373QBG47</v>
      </c>
      <c r="B131" s="151" t="str">
        <f ca="1">VLOOKUP(A131,'銀行-TSS'!A:B,2,FALSE)</f>
        <v>XG150</v>
      </c>
      <c r="C131" s="151" t="str">
        <f ca="1">VLOOKUP(B131,bond!B:C,2,FALSE)</f>
        <v>BP資本市場美國公司美元配息債券 3% 2050/2/24</v>
      </c>
      <c r="D131" s="95" t="str">
        <f>VLOOKUP(A131,'銀行-TSS'!A:C,3,FALSE)</f>
        <v>USD</v>
      </c>
      <c r="E131" s="90">
        <f ca="1">VLOOKUP(A131,'銀行-TSS'!A:G,7,FALSE)</f>
        <v>25.65</v>
      </c>
      <c r="F131" s="202">
        <f ca="1">VLOOKUP(A131,'銀行-TSS'!A:H,8,FALSE)</f>
        <v>0.03</v>
      </c>
      <c r="G131" s="96">
        <f ca="1">VLOOKUP(A131,'銀行-TSS'!A:K,11,FALSE)</f>
        <v>70.260000000000005</v>
      </c>
      <c r="H131" s="1209">
        <f ca="1">VLOOKUP(A131,'銀行-TSS'!A:M,13,FALSE)</f>
        <v>5.1900000000000002E-2</v>
      </c>
      <c r="I131" s="1213">
        <f ca="1">VLOOKUP(A131,'銀行-TSS'!A:N,14,FALSE)</f>
        <v>10000</v>
      </c>
      <c r="J131" s="1213">
        <f ca="1">VLOOKUP(A131,'銀行-TSS'!A:O,15,FALSE)</f>
        <v>1000</v>
      </c>
      <c r="K131" s="136" t="str">
        <f ca="1">VLOOKUP(A131,'銀行-TSS'!A:V,22,FALSE)</f>
        <v>(NPI)非專投</v>
      </c>
      <c r="L131" s="136" t="str">
        <f ca="1">VLOOKUP(A131,'銀行-TSS'!A:AK,37,FALSE)</f>
        <v>有</v>
      </c>
      <c r="M131" s="136" t="str">
        <f ca="1">VLOOKUP(A131,'銀行-TSS'!A:AN,40,FALSE)</f>
        <v/>
      </c>
      <c r="N131" s="1211">
        <f t="shared" ca="1" si="22"/>
        <v>702.6</v>
      </c>
      <c r="O131" s="1211">
        <f t="shared" ca="1" si="23"/>
        <v>7026</v>
      </c>
      <c r="P131" s="1213">
        <f ca="1">IF(AND(換券投組!$D$17&gt;=O131,換券投組!$D$13=D131),I131+INT((換券投組!$D$17-O131)/N131)*J131,0)</f>
        <v>0</v>
      </c>
      <c r="Q131" s="1211">
        <f t="shared" ca="1" si="24"/>
        <v>0</v>
      </c>
      <c r="R131" s="1213">
        <f t="shared" ca="1" si="25"/>
        <v>0</v>
      </c>
      <c r="S131" s="1213">
        <f t="shared" ca="1" si="26"/>
        <v>0</v>
      </c>
      <c r="T131" s="136">
        <f t="shared" ca="1" si="19"/>
        <v>0</v>
      </c>
      <c r="U131" s="861">
        <f t="shared" ca="1" si="20"/>
        <v>0</v>
      </c>
      <c r="V131" s="136" t="b">
        <f ca="1">IF(OR(D131&lt;&gt;"USD",L131="無",M131&lt;&gt;"",K131="高資產",IFERROR(MATCH(B131,換券投組!K:K,0),"N")&lt;&gt;"N",IFERROR(MATCH(B131,換券投組!J:J,0),"N")&lt;&gt;"N"),FALSE,IF($V$1="All",TRUE,IF(K131=$V$1,TRUE,FALSE)))</f>
        <v>1</v>
      </c>
      <c r="W131" s="136">
        <f ca="1">VLOOKUP(A131,'銀行-TSS'!A:AO,41,FALSE)</f>
        <v>65.69</v>
      </c>
      <c r="X131" s="136">
        <f ca="1">VLOOKUP(A131,'銀行-TSS'!A:AP,42,FALSE)</f>
        <v>15.459300000000001</v>
      </c>
      <c r="Y131" s="1223">
        <f t="shared" ca="1" si="27"/>
        <v>0</v>
      </c>
      <c r="Z131" s="1211">
        <f t="shared" ca="1" si="28"/>
        <v>0</v>
      </c>
      <c r="AA131" s="136">
        <f ca="1">IF(Z131&lt;=0,0,RANK(Z131,Z:Z)+COUNTIF($Z$3:$Z131,Z131)-1)</f>
        <v>0</v>
      </c>
      <c r="AB131" s="1211">
        <f t="shared" ca="1" si="21"/>
        <v>0</v>
      </c>
      <c r="AC131" s="136">
        <f ca="1">IF(AB131&lt;=0,0,RANK(AB131,AB:AB)+COUNTIF($AB$3:$AB131,AB131)-1)</f>
        <v>0</v>
      </c>
      <c r="AD131" s="136">
        <f t="shared" ca="1" si="29"/>
        <v>99999</v>
      </c>
      <c r="AE131" s="136">
        <f ca="1">IF(AD131=99999,0,RANK(AD131,AD:AD,1)+COUNTIF($AD$3:$AD131,AD131)-1)</f>
        <v>0</v>
      </c>
    </row>
    <row r="132" spans="1:31">
      <c r="A132" s="141" t="str">
        <f>'銀行-TSS'!A132</f>
        <v>US68389XBX21</v>
      </c>
      <c r="B132" s="151" t="str">
        <f ca="1">VLOOKUP(A132,'銀行-TSS'!A:B,2,FALSE)</f>
        <v>XG160</v>
      </c>
      <c r="C132" s="151" t="str">
        <f ca="1">VLOOKUP(B132,bond!B:C,2,FALSE)</f>
        <v>甲骨文公司美元配息債券  3.6% 2050/4/1</v>
      </c>
      <c r="D132" s="95" t="str">
        <f>VLOOKUP(A132,'銀行-TSS'!A:C,3,FALSE)</f>
        <v>USD</v>
      </c>
      <c r="E132" s="90">
        <f ca="1">VLOOKUP(A132,'銀行-TSS'!A:G,7,FALSE)</f>
        <v>25.75</v>
      </c>
      <c r="F132" s="202">
        <f ca="1">VLOOKUP(A132,'銀行-TSS'!A:H,8,FALSE)</f>
        <v>3.6000000000000004E-2</v>
      </c>
      <c r="G132" s="96">
        <f ca="1">VLOOKUP(A132,'銀行-TSS'!A:K,11,FALSE)</f>
        <v>74.88</v>
      </c>
      <c r="H132" s="1209">
        <f ca="1">VLOOKUP(A132,'銀行-TSS'!A:M,13,FALSE)</f>
        <v>5.5E-2</v>
      </c>
      <c r="I132" s="1213">
        <f ca="1">VLOOKUP(A132,'銀行-TSS'!A:N,14,FALSE)</f>
        <v>10000</v>
      </c>
      <c r="J132" s="1213">
        <f ca="1">VLOOKUP(A132,'銀行-TSS'!A:O,15,FALSE)</f>
        <v>1000</v>
      </c>
      <c r="K132" s="136" t="str">
        <f ca="1">VLOOKUP(A132,'銀行-TSS'!A:V,22,FALSE)</f>
        <v>(PI)專投</v>
      </c>
      <c r="L132" s="136" t="str">
        <f ca="1">VLOOKUP(A132,'銀行-TSS'!A:AK,37,FALSE)</f>
        <v>有</v>
      </c>
      <c r="M132" s="136" t="str">
        <f ca="1">VLOOKUP(A132,'銀行-TSS'!A:AN,40,FALSE)</f>
        <v/>
      </c>
      <c r="N132" s="1211">
        <f t="shared" ca="1" si="22"/>
        <v>748.8</v>
      </c>
      <c r="O132" s="1211">
        <f t="shared" ca="1" si="23"/>
        <v>7488</v>
      </c>
      <c r="P132" s="1213">
        <f ca="1">IF(AND(換券投組!$D$17&gt;=O132,換券投組!$D$13=D132),I132+INT((換券投組!$D$17-O132)/N132)*J132,0)</f>
        <v>0</v>
      </c>
      <c r="Q132" s="1211">
        <f t="shared" ca="1" si="24"/>
        <v>0</v>
      </c>
      <c r="R132" s="1213">
        <f t="shared" ca="1" si="25"/>
        <v>0</v>
      </c>
      <c r="S132" s="1213">
        <f t="shared" ca="1" si="26"/>
        <v>0</v>
      </c>
      <c r="T132" s="136">
        <f t="shared" ref="T132:T195" ca="1" si="30">IF(OR(R132=0,A132=0),0,IF(V132=TRUE,E132,0))</f>
        <v>0</v>
      </c>
      <c r="U132" s="861">
        <f t="shared" ref="U132:U195" ca="1" si="31">IF(OR(R132=0,A132=0),0,IF(V132=TRUE,H132,0))</f>
        <v>0</v>
      </c>
      <c r="V132" s="136" t="b">
        <f ca="1">IF(OR(D132&lt;&gt;"USD",L132="無",M132&lt;&gt;"",K132="高資產",IFERROR(MATCH(B132,換券投組!K:K,0),"N")&lt;&gt;"N",IFERROR(MATCH(B132,換券投組!J:J,0),"N")&lt;&gt;"N"),FALSE,IF($V$1="All",TRUE,IF(K132=$V$1,TRUE,FALSE)))</f>
        <v>1</v>
      </c>
      <c r="W132" s="136">
        <f ca="1">VLOOKUP(A132,'銀行-TSS'!A:AO,41,FALSE)</f>
        <v>70.47</v>
      </c>
      <c r="X132" s="136">
        <f ca="1">VLOOKUP(A132,'銀行-TSS'!A:AP,42,FALSE)</f>
        <v>14.6212</v>
      </c>
      <c r="Y132" s="1223">
        <f t="shared" ca="1" si="27"/>
        <v>0</v>
      </c>
      <c r="Z132" s="1211">
        <f t="shared" ca="1" si="28"/>
        <v>0</v>
      </c>
      <c r="AA132" s="136">
        <f ca="1">IF(Z132&lt;=0,0,RANK(Z132,Z:Z)+COUNTIF($Z$3:$Z132,Z132)-1)</f>
        <v>0</v>
      </c>
      <c r="AB132" s="1211">
        <f t="shared" ref="AB132:AB195" ca="1" si="32">IF(A132=0,0,IF(V132=FALSE,0,Y132+IF((P132-$P$1)&lt;0,(P132-$P$1)*0.5,0)))-$AC$1</f>
        <v>0</v>
      </c>
      <c r="AC132" s="136">
        <f ca="1">IF(AB132&lt;=0,0,RANK(AB132,AB:AB)+COUNTIF($AB$3:$AB132,AB132)-1)</f>
        <v>0</v>
      </c>
      <c r="AD132" s="136">
        <f t="shared" ca="1" si="29"/>
        <v>99999</v>
      </c>
      <c r="AE132" s="136">
        <f ca="1">IF(AD132=99999,0,RANK(AD132,AD:AD,1)+COUNTIF($AD$3:$AD132,AD132)-1)</f>
        <v>0</v>
      </c>
    </row>
    <row r="133" spans="1:31">
      <c r="A133" s="141" t="str">
        <f>'銀行-TSS'!A133</f>
        <v>US03027XBD12</v>
      </c>
      <c r="B133" s="151" t="str">
        <f ca="1">VLOOKUP(A133,'銀行-TSS'!A:B,2,FALSE)</f>
        <v>XG170</v>
      </c>
      <c r="C133" s="151" t="str">
        <f ca="1">VLOOKUP(B133,bond!B:C,2,FALSE)</f>
        <v>美國電塔公司美元配息債券 3.1% 2050/6/15</v>
      </c>
      <c r="D133" s="95" t="str">
        <f>VLOOKUP(A133,'銀行-TSS'!A:C,3,FALSE)</f>
        <v>USD</v>
      </c>
      <c r="E133" s="90">
        <f ca="1">VLOOKUP(A133,'銀行-TSS'!A:G,7,FALSE)</f>
        <v>25.95</v>
      </c>
      <c r="F133" s="202">
        <f ca="1">VLOOKUP(A133,'銀行-TSS'!A:H,8,FALSE)</f>
        <v>3.1E-2</v>
      </c>
      <c r="G133" s="96">
        <f ca="1">VLOOKUP(A133,'銀行-TSS'!A:K,11,FALSE)</f>
        <v>69.03</v>
      </c>
      <c r="H133" s="1209">
        <f ca="1">VLOOKUP(A133,'銀行-TSS'!A:M,13,FALSE)</f>
        <v>5.33E-2</v>
      </c>
      <c r="I133" s="1213">
        <f ca="1">VLOOKUP(A133,'銀行-TSS'!A:N,14,FALSE)</f>
        <v>10000</v>
      </c>
      <c r="J133" s="1213">
        <f ca="1">VLOOKUP(A133,'銀行-TSS'!A:O,15,FALSE)</f>
        <v>1000</v>
      </c>
      <c r="K133" s="136" t="str">
        <f ca="1">VLOOKUP(A133,'銀行-TSS'!A:V,22,FALSE)</f>
        <v>(PI)專投</v>
      </c>
      <c r="L133" s="136" t="str">
        <f ca="1">VLOOKUP(A133,'銀行-TSS'!A:AK,37,FALSE)</f>
        <v>有</v>
      </c>
      <c r="M133" s="136" t="str">
        <f ca="1">VLOOKUP(A133,'銀行-TSS'!A:AN,40,FALSE)</f>
        <v/>
      </c>
      <c r="N133" s="1211">
        <f t="shared" ca="1" si="22"/>
        <v>690.3</v>
      </c>
      <c r="O133" s="1211">
        <f t="shared" ca="1" si="23"/>
        <v>6903</v>
      </c>
      <c r="P133" s="1213">
        <f ca="1">IF(AND(換券投組!$D$17&gt;=O133,換券投組!$D$13=D133),I133+INT((換券投組!$D$17-O133)/N133)*J133,0)</f>
        <v>0</v>
      </c>
      <c r="Q133" s="1211">
        <f t="shared" ca="1" si="24"/>
        <v>0</v>
      </c>
      <c r="R133" s="1213">
        <f t="shared" ca="1" si="25"/>
        <v>0</v>
      </c>
      <c r="S133" s="1213">
        <f t="shared" ca="1" si="26"/>
        <v>0</v>
      </c>
      <c r="T133" s="136">
        <f t="shared" ca="1" si="30"/>
        <v>0</v>
      </c>
      <c r="U133" s="861">
        <f t="shared" ca="1" si="31"/>
        <v>0</v>
      </c>
      <c r="V133" s="136" t="b">
        <f ca="1">IF(OR(D133&lt;&gt;"USD",L133="無",M133&lt;&gt;"",K133="高資產",IFERROR(MATCH(B133,換券投組!K:K,0),"N")&lt;&gt;"N",IFERROR(MATCH(B133,換券投組!J:J,0),"N")&lt;&gt;"N"),FALSE,IF($V$1="All",TRUE,IF(K133=$V$1,TRUE,FALSE)))</f>
        <v>1</v>
      </c>
      <c r="W133" s="136">
        <f ca="1">VLOOKUP(A133,'銀行-TSS'!A:AO,41,FALSE)</f>
        <v>65.38000000000001</v>
      </c>
      <c r="X133" s="136">
        <f ca="1">VLOOKUP(A133,'銀行-TSS'!A:AP,42,FALSE)</f>
        <v>15.494</v>
      </c>
      <c r="Y133" s="1223">
        <f t="shared" ca="1" si="27"/>
        <v>0</v>
      </c>
      <c r="Z133" s="1211">
        <f t="shared" ca="1" si="28"/>
        <v>0</v>
      </c>
      <c r="AA133" s="136">
        <f ca="1">IF(Z133&lt;=0,0,RANK(Z133,Z:Z)+COUNTIF($Z$3:$Z133,Z133)-1)</f>
        <v>0</v>
      </c>
      <c r="AB133" s="1211">
        <f t="shared" ca="1" si="32"/>
        <v>0</v>
      </c>
      <c r="AC133" s="136">
        <f ca="1">IF(AB133&lt;=0,0,RANK(AB133,AB:AB)+COUNTIF($AB$3:$AB133,AB133)-1)</f>
        <v>0</v>
      </c>
      <c r="AD133" s="136">
        <f t="shared" ca="1" si="29"/>
        <v>99999</v>
      </c>
      <c r="AE133" s="136">
        <f ca="1">IF(AD133=99999,0,RANK(AD133,AD:AD,1)+COUNTIF($AD$3:$AD133,AD133)-1)</f>
        <v>0</v>
      </c>
    </row>
    <row r="134" spans="1:31">
      <c r="A134" s="141" t="str">
        <f>'銀行-TSS'!A134</f>
        <v>XS2236363227</v>
      </c>
      <c r="B134" s="151" t="str">
        <f ca="1">VLOOKUP(A134,'銀行-TSS'!A:B,2,FALSE)</f>
        <v>XG180</v>
      </c>
      <c r="C134" s="151" t="str">
        <f ca="1">VLOOKUP(B134,bond!B:C,2,FALSE)</f>
        <v>富士康遠東有限公司美元配息債券 2.5% 2030/10/28</v>
      </c>
      <c r="D134" s="95" t="str">
        <f>VLOOKUP(A134,'銀行-TSS'!A:C,3,FALSE)</f>
        <v>USD</v>
      </c>
      <c r="E134" s="90">
        <f ca="1">VLOOKUP(A134,'銀行-TSS'!A:G,7,FALSE)</f>
        <v>6.32</v>
      </c>
      <c r="F134" s="202">
        <f ca="1">VLOOKUP(A134,'銀行-TSS'!A:H,8,FALSE)</f>
        <v>2.5000000000000001E-2</v>
      </c>
      <c r="G134" s="96">
        <f ca="1">VLOOKUP(A134,'銀行-TSS'!A:K,11,FALSE)</f>
        <v>88.23</v>
      </c>
      <c r="H134" s="1209">
        <f ca="1">VLOOKUP(A134,'銀行-TSS'!A:M,13,FALSE)</f>
        <v>4.7600000000000003E-2</v>
      </c>
      <c r="I134" s="1213">
        <f ca="1">VLOOKUP(A134,'銀行-TSS'!A:N,14,FALSE)</f>
        <v>200000</v>
      </c>
      <c r="J134" s="1213">
        <f ca="1">VLOOKUP(A134,'銀行-TSS'!A:O,15,FALSE)</f>
        <v>1000</v>
      </c>
      <c r="K134" s="136" t="str">
        <f ca="1">VLOOKUP(A134,'銀行-TSS'!A:V,22,FALSE)</f>
        <v>(NPI)非專投</v>
      </c>
      <c r="L134" s="136" t="str">
        <f ca="1">VLOOKUP(A134,'銀行-TSS'!A:AK,37,FALSE)</f>
        <v>有</v>
      </c>
      <c r="M134" s="136" t="str">
        <f ca="1">VLOOKUP(A134,'銀行-TSS'!A:AN,40,FALSE)</f>
        <v/>
      </c>
      <c r="N134" s="1211">
        <f t="shared" ca="1" si="22"/>
        <v>882.3</v>
      </c>
      <c r="O134" s="1211">
        <f t="shared" ca="1" si="23"/>
        <v>176460</v>
      </c>
      <c r="P134" s="1213">
        <f ca="1">IF(AND(換券投組!$D$17&gt;=O134,換券投組!$D$13=D134),I134+INT((換券投組!$D$17-O134)/N134)*J134,0)</f>
        <v>0</v>
      </c>
      <c r="Q134" s="1211">
        <f t="shared" ca="1" si="24"/>
        <v>0</v>
      </c>
      <c r="R134" s="1213">
        <f t="shared" ca="1" si="25"/>
        <v>0</v>
      </c>
      <c r="S134" s="1213">
        <f t="shared" ca="1" si="26"/>
        <v>0</v>
      </c>
      <c r="T134" s="136">
        <f t="shared" ca="1" si="30"/>
        <v>0</v>
      </c>
      <c r="U134" s="861">
        <f t="shared" ca="1" si="31"/>
        <v>0</v>
      </c>
      <c r="V134" s="136" t="b">
        <f ca="1">IF(OR(D134&lt;&gt;"USD",L134="無",M134&lt;&gt;"",K134="高資產",IFERROR(MATCH(B134,換券投組!K:K,0),"N")&lt;&gt;"N",IFERROR(MATCH(B134,換券投組!J:J,0),"N")&lt;&gt;"N"),FALSE,IF($V$1="All",TRUE,IF(K134=$V$1,TRUE,FALSE)))</f>
        <v>1</v>
      </c>
      <c r="W134" s="136">
        <f ca="1">VLOOKUP(A134,'銀行-TSS'!A:AO,41,FALSE)</f>
        <v>86.28</v>
      </c>
      <c r="X134" s="136">
        <f ca="1">VLOOKUP(A134,'銀行-TSS'!A:AP,42,FALSE)</f>
        <v>5.6727999999999996</v>
      </c>
      <c r="Y134" s="1223">
        <f t="shared" ca="1" si="27"/>
        <v>0</v>
      </c>
      <c r="Z134" s="1211">
        <f t="shared" ca="1" si="28"/>
        <v>0</v>
      </c>
      <c r="AA134" s="136">
        <f ca="1">IF(Z134&lt;=0,0,RANK(Z134,Z:Z)+COUNTIF($Z$3:$Z134,Z134)-1)</f>
        <v>0</v>
      </c>
      <c r="AB134" s="1211">
        <f t="shared" ca="1" si="32"/>
        <v>0</v>
      </c>
      <c r="AC134" s="136">
        <f ca="1">IF(AB134&lt;=0,0,RANK(AB134,AB:AB)+COUNTIF($AB$3:$AB134,AB134)-1)</f>
        <v>0</v>
      </c>
      <c r="AD134" s="136">
        <f t="shared" ca="1" si="29"/>
        <v>99999</v>
      </c>
      <c r="AE134" s="136">
        <f ca="1">IF(AD134=99999,0,RANK(AD134,AD:AD,1)+COUNTIF($AD$3:$AD134,AD134)-1)</f>
        <v>0</v>
      </c>
    </row>
    <row r="135" spans="1:31">
      <c r="A135" s="141" t="str">
        <f>'銀行-TSS'!A135</f>
        <v>US478160BV55</v>
      </c>
      <c r="B135" s="151" t="str">
        <f ca="1">VLOOKUP(A135,'銀行-TSS'!A:B,2,FALSE)</f>
        <v>XG190</v>
      </c>
      <c r="C135" s="151" t="str">
        <f ca="1">VLOOKUP(B135,bond!B:C,2,FALSE)</f>
        <v>嬌生公司美元配息債券 3.7% 2046/3/1</v>
      </c>
      <c r="D135" s="95" t="str">
        <f>VLOOKUP(A135,'銀行-TSS'!A:C,3,FALSE)</f>
        <v>USD</v>
      </c>
      <c r="E135" s="90">
        <f ca="1">VLOOKUP(A135,'銀行-TSS'!A:G,7,FALSE)</f>
        <v>21.66</v>
      </c>
      <c r="F135" s="202">
        <f ca="1">VLOOKUP(A135,'銀行-TSS'!A:H,8,FALSE)</f>
        <v>3.7000000000000005E-2</v>
      </c>
      <c r="G135" s="96">
        <f ca="1">VLOOKUP(A135,'銀行-TSS'!A:K,11,FALSE)</f>
        <v>85.29</v>
      </c>
      <c r="H135" s="1209">
        <f ca="1">VLOOKUP(A135,'銀行-TSS'!A:M,13,FALSE)</f>
        <v>4.9000000000000002E-2</v>
      </c>
      <c r="I135" s="1213">
        <f ca="1">VLOOKUP(A135,'銀行-TSS'!A:N,14,FALSE)</f>
        <v>10000</v>
      </c>
      <c r="J135" s="1213">
        <f ca="1">VLOOKUP(A135,'銀行-TSS'!A:O,15,FALSE)</f>
        <v>1000</v>
      </c>
      <c r="K135" s="136" t="str">
        <f ca="1">VLOOKUP(A135,'銀行-TSS'!A:V,22,FALSE)</f>
        <v>(NPI)非專投</v>
      </c>
      <c r="L135" s="136" t="str">
        <f ca="1">VLOOKUP(A135,'銀行-TSS'!A:AK,37,FALSE)</f>
        <v>有</v>
      </c>
      <c r="M135" s="136" t="str">
        <f ca="1">VLOOKUP(A135,'銀行-TSS'!A:AN,40,FALSE)</f>
        <v/>
      </c>
      <c r="N135" s="1211">
        <f t="shared" ca="1" si="22"/>
        <v>852.9</v>
      </c>
      <c r="O135" s="1211">
        <f t="shared" ca="1" si="23"/>
        <v>8529.0000000000018</v>
      </c>
      <c r="P135" s="1213">
        <f ca="1">IF(AND(換券投組!$D$17&gt;=O135,換券投組!$D$13=D135),I135+INT((換券投組!$D$17-O135)/N135)*J135,0)</f>
        <v>0</v>
      </c>
      <c r="Q135" s="1211">
        <f t="shared" ca="1" si="24"/>
        <v>0</v>
      </c>
      <c r="R135" s="1213">
        <f t="shared" ca="1" si="25"/>
        <v>0</v>
      </c>
      <c r="S135" s="1213">
        <f t="shared" ca="1" si="26"/>
        <v>0</v>
      </c>
      <c r="T135" s="136">
        <f t="shared" ca="1" si="30"/>
        <v>0</v>
      </c>
      <c r="U135" s="861">
        <f t="shared" ca="1" si="31"/>
        <v>0</v>
      </c>
      <c r="V135" s="136" t="b">
        <f ca="1">IF(OR(D135&lt;&gt;"USD",L135="無",M135&lt;&gt;"",K135="高資產",IFERROR(MATCH(B135,換券投組!K:K,0),"N")&lt;&gt;"N",IFERROR(MATCH(B135,換券投組!J:J,0),"N")&lt;&gt;"N"),FALSE,IF($V$1="All",TRUE,IF(K135=$V$1,TRUE,FALSE)))</f>
        <v>1</v>
      </c>
      <c r="W135" s="136">
        <f ca="1">VLOOKUP(A135,'銀行-TSS'!A:AO,41,FALSE)</f>
        <v>81.05</v>
      </c>
      <c r="X135" s="136">
        <f ca="1">VLOOKUP(A135,'銀行-TSS'!A:AP,42,FALSE)</f>
        <v>13.7463</v>
      </c>
      <c r="Y135" s="1223">
        <f t="shared" ca="1" si="27"/>
        <v>0</v>
      </c>
      <c r="Z135" s="1211">
        <f t="shared" ca="1" si="28"/>
        <v>0</v>
      </c>
      <c r="AA135" s="136">
        <f ca="1">IF(Z135&lt;=0,0,RANK(Z135,Z:Z)+COUNTIF($Z$3:$Z135,Z135)-1)</f>
        <v>0</v>
      </c>
      <c r="AB135" s="1211">
        <f t="shared" ca="1" si="32"/>
        <v>0</v>
      </c>
      <c r="AC135" s="136">
        <f ca="1">IF(AB135&lt;=0,0,RANK(AB135,AB:AB)+COUNTIF($AB$3:$AB135,AB135)-1)</f>
        <v>0</v>
      </c>
      <c r="AD135" s="136">
        <f t="shared" ca="1" si="29"/>
        <v>99999</v>
      </c>
      <c r="AE135" s="136">
        <f ca="1">IF(AD135=99999,0,RANK(AD135,AD:AD,1)+COUNTIF($AD$3:$AD135,AD135)-1)</f>
        <v>0</v>
      </c>
    </row>
    <row r="136" spans="1:31">
      <c r="A136" s="141" t="str">
        <f>'銀行-TSS'!A136</f>
        <v>US437076CD22</v>
      </c>
      <c r="B136" s="151" t="str">
        <f ca="1">VLOOKUP(A136,'銀行-TSS'!A:B,2,FALSE)</f>
        <v>XG200</v>
      </c>
      <c r="C136" s="151" t="str">
        <f ca="1">VLOOKUP(B136,bond!B:C,2,FALSE)</f>
        <v>家得寶公司美元配息債券  3.35% 2050/4/15</v>
      </c>
      <c r="D136" s="95" t="str">
        <f>VLOOKUP(A136,'銀行-TSS'!A:C,3,FALSE)</f>
        <v>USD</v>
      </c>
      <c r="E136" s="90">
        <f ca="1">VLOOKUP(A136,'銀行-TSS'!A:G,7,FALSE)</f>
        <v>25.79</v>
      </c>
      <c r="F136" s="202">
        <f ca="1">VLOOKUP(A136,'銀行-TSS'!A:H,8,FALSE)</f>
        <v>3.3500000000000002E-2</v>
      </c>
      <c r="G136" s="96">
        <f ca="1">VLOOKUP(A136,'銀行-TSS'!A:K,11,FALSE)</f>
        <v>75.959999999999994</v>
      </c>
      <c r="H136" s="1209">
        <f ca="1">VLOOKUP(A136,'銀行-TSS'!A:M,13,FALSE)</f>
        <v>5.0799999999999998E-2</v>
      </c>
      <c r="I136" s="1213">
        <f ca="1">VLOOKUP(A136,'銀行-TSS'!A:N,14,FALSE)</f>
        <v>2000</v>
      </c>
      <c r="J136" s="1213">
        <f ca="1">VLOOKUP(A136,'銀行-TSS'!A:O,15,FALSE)</f>
        <v>1000</v>
      </c>
      <c r="K136" s="136" t="str">
        <f ca="1">VLOOKUP(A136,'銀行-TSS'!A:V,22,FALSE)</f>
        <v>(NPI)非專投</v>
      </c>
      <c r="L136" s="136" t="str">
        <f ca="1">VLOOKUP(A136,'銀行-TSS'!A:AK,37,FALSE)</f>
        <v>有</v>
      </c>
      <c r="M136" s="136" t="str">
        <f ca="1">VLOOKUP(A136,'銀行-TSS'!A:AN,40,FALSE)</f>
        <v/>
      </c>
      <c r="N136" s="1211">
        <f t="shared" ca="1" si="22"/>
        <v>759.6</v>
      </c>
      <c r="O136" s="1211">
        <f t="shared" ca="1" si="23"/>
        <v>1519.2</v>
      </c>
      <c r="P136" s="1213">
        <f ca="1">IF(AND(換券投組!$D$17&gt;=O136,換券投組!$D$13=D136),I136+INT((換券投組!$D$17-O136)/N136)*J136,0)</f>
        <v>0</v>
      </c>
      <c r="Q136" s="1211">
        <f t="shared" ca="1" si="24"/>
        <v>0</v>
      </c>
      <c r="R136" s="1213">
        <f t="shared" ca="1" si="25"/>
        <v>0</v>
      </c>
      <c r="S136" s="1213">
        <f t="shared" ca="1" si="26"/>
        <v>0</v>
      </c>
      <c r="T136" s="136">
        <f t="shared" ca="1" si="30"/>
        <v>0</v>
      </c>
      <c r="U136" s="861">
        <f t="shared" ca="1" si="31"/>
        <v>0</v>
      </c>
      <c r="V136" s="136" t="b">
        <f ca="1">IF(OR(D136&lt;&gt;"USD",L136="無",M136&lt;&gt;"",K136="高資產",IFERROR(MATCH(B136,換券投組!K:K,0),"N")&lt;&gt;"N",IFERROR(MATCH(B136,換券投組!J:J,0),"N")&lt;&gt;"N"),FALSE,IF($V$1="All",TRUE,IF(K136=$V$1,TRUE,FALSE)))</f>
        <v>1</v>
      </c>
      <c r="W136" s="136">
        <f ca="1">VLOOKUP(A136,'銀行-TSS'!A:AO,41,FALSE)</f>
        <v>71.740000000000009</v>
      </c>
      <c r="X136" s="136">
        <f ca="1">VLOOKUP(A136,'銀行-TSS'!A:AP,42,FALSE)</f>
        <v>15.3073</v>
      </c>
      <c r="Y136" s="1223">
        <f t="shared" ca="1" si="27"/>
        <v>0</v>
      </c>
      <c r="Z136" s="1211">
        <f t="shared" ca="1" si="28"/>
        <v>0</v>
      </c>
      <c r="AA136" s="136">
        <f ca="1">IF(Z136&lt;=0,0,RANK(Z136,Z:Z)+COUNTIF($Z$3:$Z136,Z136)-1)</f>
        <v>0</v>
      </c>
      <c r="AB136" s="1211">
        <f t="shared" ca="1" si="32"/>
        <v>0</v>
      </c>
      <c r="AC136" s="136">
        <f ca="1">IF(AB136&lt;=0,0,RANK(AB136,AB:AB)+COUNTIF($AB$3:$AB136,AB136)-1)</f>
        <v>0</v>
      </c>
      <c r="AD136" s="136">
        <f t="shared" ca="1" si="29"/>
        <v>99999</v>
      </c>
      <c r="AE136" s="136">
        <f ca="1">IF(AD136=99999,0,RANK(AD136,AD:AD,1)+COUNTIF($AD$3:$AD136,AD136)-1)</f>
        <v>0</v>
      </c>
    </row>
    <row r="137" spans="1:31">
      <c r="A137" s="141" t="str">
        <f>'銀行-TSS'!A137</f>
        <v>US37045VAL45</v>
      </c>
      <c r="B137" s="151" t="str">
        <f ca="1">VLOOKUP(A137,'銀行-TSS'!A:B,2,FALSE)</f>
        <v>XG210</v>
      </c>
      <c r="C137" s="151" t="str">
        <f ca="1">VLOOKUP(B137,bond!B:C,2,FALSE)</f>
        <v>通用汽車公司美元配息債券  6.75% 2046/4/1</v>
      </c>
      <c r="D137" s="95" t="str">
        <f>VLOOKUP(A137,'銀行-TSS'!A:C,3,FALSE)</f>
        <v>USD</v>
      </c>
      <c r="E137" s="90">
        <f ca="1">VLOOKUP(A137,'銀行-TSS'!A:G,7,FALSE)</f>
        <v>21.75</v>
      </c>
      <c r="F137" s="202">
        <f ca="1">VLOOKUP(A137,'銀行-TSS'!A:H,8,FALSE)</f>
        <v>6.7500000000000004E-2</v>
      </c>
      <c r="G137" s="96">
        <f ca="1">VLOOKUP(A137,'銀行-TSS'!A:K,11,FALSE)</f>
        <v>110.26</v>
      </c>
      <c r="H137" s="1209">
        <f ca="1">VLOOKUP(A137,'銀行-TSS'!A:M,13,FALSE)</f>
        <v>6.0400000000000002E-2</v>
      </c>
      <c r="I137" s="1213">
        <f ca="1">VLOOKUP(A137,'銀行-TSS'!A:N,14,FALSE)</f>
        <v>10000</v>
      </c>
      <c r="J137" s="1213">
        <f ca="1">VLOOKUP(A137,'銀行-TSS'!A:O,15,FALSE)</f>
        <v>1000</v>
      </c>
      <c r="K137" s="136" t="str">
        <f ca="1">VLOOKUP(A137,'銀行-TSS'!A:V,22,FALSE)</f>
        <v>(PI)專投</v>
      </c>
      <c r="L137" s="136" t="str">
        <f ca="1">VLOOKUP(A137,'銀行-TSS'!A:AK,37,FALSE)</f>
        <v>有</v>
      </c>
      <c r="M137" s="136" t="str">
        <f ca="1">VLOOKUP(A137,'銀行-TSS'!A:AN,40,FALSE)</f>
        <v/>
      </c>
      <c r="N137" s="1211">
        <f t="shared" ca="1" si="22"/>
        <v>1102.5999999999999</v>
      </c>
      <c r="O137" s="1211">
        <f t="shared" ca="1" si="23"/>
        <v>11026</v>
      </c>
      <c r="P137" s="1213">
        <f ca="1">IF(AND(換券投組!$D$17&gt;=O137,換券投組!$D$13=D137),I137+INT((換券投組!$D$17-O137)/N137)*J137,0)</f>
        <v>0</v>
      </c>
      <c r="Q137" s="1211">
        <f t="shared" ca="1" si="24"/>
        <v>0</v>
      </c>
      <c r="R137" s="1213">
        <f t="shared" ca="1" si="25"/>
        <v>0</v>
      </c>
      <c r="S137" s="1213">
        <f t="shared" ca="1" si="26"/>
        <v>0</v>
      </c>
      <c r="T137" s="136">
        <f t="shared" ca="1" si="30"/>
        <v>0</v>
      </c>
      <c r="U137" s="861">
        <f t="shared" ca="1" si="31"/>
        <v>0</v>
      </c>
      <c r="V137" s="136" t="b">
        <f ca="1">IF(OR(D137&lt;&gt;"USD",L137="無",M137&lt;&gt;"",K137="高資產",IFERROR(MATCH(B137,換券投組!K:K,0),"N")&lt;&gt;"N",IFERROR(MATCH(B137,換券投組!J:J,0),"N")&lt;&gt;"N"),FALSE,IF($V$1="All",TRUE,IF(K137=$V$1,TRUE,FALSE)))</f>
        <v>1</v>
      </c>
      <c r="W137" s="136">
        <f ca="1">VLOOKUP(A137,'銀行-TSS'!A:AO,41,FALSE)</f>
        <v>105.55000000000001</v>
      </c>
      <c r="X137" s="136">
        <f ca="1">VLOOKUP(A137,'銀行-TSS'!A:AP,42,FALSE)</f>
        <v>11.3269</v>
      </c>
      <c r="Y137" s="1223">
        <f t="shared" ca="1" si="27"/>
        <v>0</v>
      </c>
      <c r="Z137" s="1211">
        <f t="shared" ca="1" si="28"/>
        <v>0</v>
      </c>
      <c r="AA137" s="136">
        <f ca="1">IF(Z137&lt;=0,0,RANK(Z137,Z:Z)+COUNTIF($Z$3:$Z137,Z137)-1)</f>
        <v>0</v>
      </c>
      <c r="AB137" s="1211">
        <f t="shared" ca="1" si="32"/>
        <v>0</v>
      </c>
      <c r="AC137" s="136">
        <f ca="1">IF(AB137&lt;=0,0,RANK(AB137,AB:AB)+COUNTIF($AB$3:$AB137,AB137)-1)</f>
        <v>0</v>
      </c>
      <c r="AD137" s="136">
        <f t="shared" ca="1" si="29"/>
        <v>99999</v>
      </c>
      <c r="AE137" s="136">
        <f ca="1">IF(AD137=99999,0,RANK(AD137,AD:AD,1)+COUNTIF($AD$3:$AD137,AD137)-1)</f>
        <v>0</v>
      </c>
    </row>
    <row r="138" spans="1:31">
      <c r="A138" s="141" t="str">
        <f>'銀行-TSS'!A138</f>
        <v>US501044DN88</v>
      </c>
      <c r="B138" s="151" t="str">
        <f ca="1">VLOOKUP(A138,'銀行-TSS'!A:B,2,FALSE)</f>
        <v>XG220</v>
      </c>
      <c r="C138" s="151" t="str">
        <f ca="1">VLOOKUP(B138,bond!B:C,2,FALSE)</f>
        <v>克羅格公司美元配息債券 3.95% 2050/1/15</v>
      </c>
      <c r="D138" s="95" t="str">
        <f>VLOOKUP(A138,'銀行-TSS'!A:C,3,FALSE)</f>
        <v>USD</v>
      </c>
      <c r="E138" s="90">
        <f ca="1">VLOOKUP(A138,'銀行-TSS'!A:G,7,FALSE)</f>
        <v>25.54</v>
      </c>
      <c r="F138" s="202">
        <f ca="1">VLOOKUP(A138,'銀行-TSS'!A:H,8,FALSE)</f>
        <v>3.95E-2</v>
      </c>
      <c r="G138" s="96">
        <f ca="1">VLOOKUP(A138,'銀行-TSS'!A:K,11,FALSE)</f>
        <v>83.31</v>
      </c>
      <c r="H138" s="1209">
        <f ca="1">VLOOKUP(A138,'銀行-TSS'!A:M,13,FALSE)</f>
        <v>5.28E-2</v>
      </c>
      <c r="I138" s="1213">
        <f ca="1">VLOOKUP(A138,'銀行-TSS'!A:N,14,FALSE)</f>
        <v>10000</v>
      </c>
      <c r="J138" s="1213">
        <f ca="1">VLOOKUP(A138,'銀行-TSS'!A:O,15,FALSE)</f>
        <v>1000</v>
      </c>
      <c r="K138" s="136" t="str">
        <f ca="1">VLOOKUP(A138,'銀行-TSS'!A:V,22,FALSE)</f>
        <v>(PI)專投</v>
      </c>
      <c r="L138" s="136" t="str">
        <f ca="1">VLOOKUP(A138,'銀行-TSS'!A:AK,37,FALSE)</f>
        <v>有</v>
      </c>
      <c r="M138" s="136" t="str">
        <f ca="1">VLOOKUP(A138,'銀行-TSS'!A:AN,40,FALSE)</f>
        <v/>
      </c>
      <c r="N138" s="1211">
        <f t="shared" ref="N138:N201" ca="1" si="33">G138*J138/100</f>
        <v>833.1</v>
      </c>
      <c r="O138" s="1211">
        <f t="shared" ref="O138:O201" ca="1" si="34">G138*I138/100</f>
        <v>8331</v>
      </c>
      <c r="P138" s="1213">
        <f ca="1">IF(AND(換券投組!$D$17&gt;=O138,換券投組!$D$13=D138),I138+INT((換券投組!$D$17-O138)/N138)*J138,0)</f>
        <v>0</v>
      </c>
      <c r="Q138" s="1211">
        <f t="shared" ref="Q138:Q201" ca="1" si="35">P138*F138</f>
        <v>0</v>
      </c>
      <c r="R138" s="1213">
        <f t="shared" ref="R138:R201" ca="1" si="36">IF(A138=0,0,IF(V138=FALSE,0,P138))</f>
        <v>0</v>
      </c>
      <c r="S138" s="1213">
        <f t="shared" ref="S138:S201" ca="1" si="37">IF(A138=0,0,IF(V138=FALSE,0,Q138))</f>
        <v>0</v>
      </c>
      <c r="T138" s="136">
        <f t="shared" ca="1" si="30"/>
        <v>0</v>
      </c>
      <c r="U138" s="861">
        <f t="shared" ca="1" si="31"/>
        <v>0</v>
      </c>
      <c r="V138" s="136" t="b">
        <f ca="1">IF(OR(D138&lt;&gt;"USD",L138="無",M138&lt;&gt;"",K138="高資產",IFERROR(MATCH(B138,換券投組!K:K,0),"N")&lt;&gt;"N",IFERROR(MATCH(B138,換券投組!J:J,0),"N")&lt;&gt;"N"),FALSE,IF($V$1="All",TRUE,IF(K138=$V$1,TRUE,FALSE)))</f>
        <v>1</v>
      </c>
      <c r="W138" s="136">
        <f ca="1">VLOOKUP(A138,'銀行-TSS'!A:AO,41,FALSE)</f>
        <v>77.98</v>
      </c>
      <c r="X138" s="136">
        <f ca="1">VLOOKUP(A138,'銀行-TSS'!A:AP,42,FALSE)</f>
        <v>14.325699999999999</v>
      </c>
      <c r="Y138" s="1223">
        <f t="shared" ref="Y138:Y201" ca="1" si="38">IF(A138=0,0,IF(V138=FALSE,0,IFERROR(W138/100*P138*X138*1%,0)))</f>
        <v>0</v>
      </c>
      <c r="Z138" s="1211">
        <f t="shared" ref="Z138:Z201" ca="1" si="39">IF(A138=0,0,IF(V138=FALSE,0,IF(OR(Q138&lt;$Y$1,E138&lt;5)=FALSE,(Q138-$Q$1)*MIN(3,E138)*(1-MIN(1/(2*E138),1))+IF((P138-$P$1)&lt;0,(P138-$P$1),((P138-$P$1)*MIN(1/(2*E138),1))),0)))</f>
        <v>0</v>
      </c>
      <c r="AA138" s="136">
        <f ca="1">IF(Z138&lt;=0,0,RANK(Z138,Z:Z)+COUNTIF($Z$3:$Z138,Z138)-1)</f>
        <v>0</v>
      </c>
      <c r="AB138" s="1211">
        <f t="shared" ca="1" si="32"/>
        <v>0</v>
      </c>
      <c r="AC138" s="136">
        <f ca="1">IF(AB138&lt;=0,0,RANK(AB138,AB:AB)+COUNTIF($AB$3:$AB138,AB138)-1)</f>
        <v>0</v>
      </c>
      <c r="AD138" s="136">
        <f t="shared" ref="AD138:AD201" ca="1" si="40">IF(A138=0,99999,IF(OR(V138=FALSE,AA138=0,AC138=0),99999,(AC138+AA138)/2))</f>
        <v>99999</v>
      </c>
      <c r="AE138" s="136">
        <f ca="1">IF(AD138=99999,0,RANK(AD138,AD:AD,1)+COUNTIF($AD$3:$AD138,AD138)-1)</f>
        <v>0</v>
      </c>
    </row>
    <row r="139" spans="1:31">
      <c r="A139" s="141" t="str">
        <f>'銀行-TSS'!A139</f>
        <v>US931427AT57</v>
      </c>
      <c r="B139" s="151" t="str">
        <f ca="1">VLOOKUP(A139,'銀行-TSS'!A:B,2,FALSE)</f>
        <v>XG230</v>
      </c>
      <c r="C139" s="151" t="str">
        <f ca="1">VLOOKUP(B139,bond!B:C,2,FALSE)</f>
        <v>沃爾格林博姿聯合公司美元配息債券 4.1% 2050/4/15</v>
      </c>
      <c r="D139" s="95" t="str">
        <f>VLOOKUP(A139,'銀行-TSS'!A:C,3,FALSE)</f>
        <v>USD</v>
      </c>
      <c r="E139" s="90">
        <f ca="1">VLOOKUP(A139,'銀行-TSS'!A:G,7,FALSE)</f>
        <v>25.79</v>
      </c>
      <c r="F139" s="202">
        <f ca="1">VLOOKUP(A139,'銀行-TSS'!A:H,8,FALSE)</f>
        <v>4.0999999999999995E-2</v>
      </c>
      <c r="G139" s="96">
        <f ca="1">VLOOKUP(A139,'銀行-TSS'!A:K,11,FALSE)</f>
        <v>74.12</v>
      </c>
      <c r="H139" s="1209">
        <f ca="1">VLOOKUP(A139,'銀行-TSS'!A:M,13,FALSE)</f>
        <v>6.1899999999999997E-2</v>
      </c>
      <c r="I139" s="1213">
        <f ca="1">VLOOKUP(A139,'銀行-TSS'!A:N,14,FALSE)</f>
        <v>10000</v>
      </c>
      <c r="J139" s="1213">
        <f ca="1">VLOOKUP(A139,'銀行-TSS'!A:O,15,FALSE)</f>
        <v>1000</v>
      </c>
      <c r="K139" s="136" t="str">
        <f ca="1">VLOOKUP(A139,'銀行-TSS'!A:V,22,FALSE)</f>
        <v>(PI)專投</v>
      </c>
      <c r="L139" s="136" t="str">
        <f ca="1">VLOOKUP(A139,'銀行-TSS'!A:AK,37,FALSE)</f>
        <v>有</v>
      </c>
      <c r="M139" s="136" t="str">
        <f ca="1">VLOOKUP(A139,'銀行-TSS'!A:AN,40,FALSE)</f>
        <v/>
      </c>
      <c r="N139" s="1211">
        <f t="shared" ca="1" si="33"/>
        <v>741.2</v>
      </c>
      <c r="O139" s="1211">
        <f t="shared" ca="1" si="34"/>
        <v>7412</v>
      </c>
      <c r="P139" s="1213">
        <f ca="1">IF(AND(換券投組!$D$17&gt;=O139,換券投組!$D$13=D139),I139+INT((換券投組!$D$17-O139)/N139)*J139,0)</f>
        <v>0</v>
      </c>
      <c r="Q139" s="1211">
        <f t="shared" ca="1" si="35"/>
        <v>0</v>
      </c>
      <c r="R139" s="1213">
        <f t="shared" ca="1" si="36"/>
        <v>0</v>
      </c>
      <c r="S139" s="1213">
        <f t="shared" ca="1" si="37"/>
        <v>0</v>
      </c>
      <c r="T139" s="136">
        <f t="shared" ca="1" si="30"/>
        <v>0</v>
      </c>
      <c r="U139" s="861">
        <f t="shared" ca="1" si="31"/>
        <v>0</v>
      </c>
      <c r="V139" s="136" t="b">
        <f ca="1">IF(OR(D139&lt;&gt;"USD",L139="無",M139&lt;&gt;"",K139="高資產",IFERROR(MATCH(B139,換券投組!K:K,0),"N")&lt;&gt;"N",IFERROR(MATCH(B139,換券投組!J:J,0),"N")&lt;&gt;"N"),FALSE,IF($V$1="All",TRUE,IF(K139=$V$1,TRUE,FALSE)))</f>
        <v>1</v>
      </c>
      <c r="W139" s="136">
        <f ca="1">VLOOKUP(A139,'銀行-TSS'!A:AO,41,FALSE)</f>
        <v>69.740000000000009</v>
      </c>
      <c r="X139" s="136">
        <f ca="1">VLOOKUP(A139,'銀行-TSS'!A:AP,42,FALSE)</f>
        <v>13.5687</v>
      </c>
      <c r="Y139" s="1223">
        <f t="shared" ca="1" si="38"/>
        <v>0</v>
      </c>
      <c r="Z139" s="1211">
        <f t="shared" ca="1" si="39"/>
        <v>0</v>
      </c>
      <c r="AA139" s="136">
        <f ca="1">IF(Z139&lt;=0,0,RANK(Z139,Z:Z)+COUNTIF($Z$3:$Z139,Z139)-1)</f>
        <v>0</v>
      </c>
      <c r="AB139" s="1211">
        <f t="shared" ca="1" si="32"/>
        <v>0</v>
      </c>
      <c r="AC139" s="136">
        <f ca="1">IF(AB139&lt;=0,0,RANK(AB139,AB:AB)+COUNTIF($AB$3:$AB139,AB139)-1)</f>
        <v>0</v>
      </c>
      <c r="AD139" s="136">
        <f t="shared" ca="1" si="40"/>
        <v>99999</v>
      </c>
      <c r="AE139" s="136">
        <f ca="1">IF(AD139=99999,0,RANK(AD139,AD:AD,1)+COUNTIF($AD$3:$AD139,AD139)-1)</f>
        <v>0</v>
      </c>
    </row>
    <row r="140" spans="1:31">
      <c r="A140" s="141" t="str">
        <f>'銀行-TSS'!A140</f>
        <v>US00206RKA94</v>
      </c>
      <c r="B140" s="151" t="str">
        <f ca="1">VLOOKUP(A140,'銀行-TSS'!A:B,2,FALSE)</f>
        <v>XG240</v>
      </c>
      <c r="C140" s="151" t="str">
        <f ca="1">VLOOKUP(B140,bond!B:C,2,FALSE)</f>
        <v>AT&amp;T公司美元配息債券 3.65% 2051/6/1</v>
      </c>
      <c r="D140" s="95" t="str">
        <f>VLOOKUP(A140,'銀行-TSS'!A:C,3,FALSE)</f>
        <v>USD</v>
      </c>
      <c r="E140" s="90">
        <f ca="1">VLOOKUP(A140,'銀行-TSS'!A:G,7,FALSE)</f>
        <v>26.91</v>
      </c>
      <c r="F140" s="202">
        <f ca="1">VLOOKUP(A140,'銀行-TSS'!A:H,8,FALSE)</f>
        <v>3.6499999999999998E-2</v>
      </c>
      <c r="G140" s="96">
        <f ca="1">VLOOKUP(A140,'銀行-TSS'!A:K,11,FALSE)</f>
        <v>75.06</v>
      </c>
      <c r="H140" s="1209">
        <f ca="1">VLOOKUP(A140,'銀行-TSS'!A:M,13,FALSE)</f>
        <v>5.45E-2</v>
      </c>
      <c r="I140" s="1213">
        <f ca="1">VLOOKUP(A140,'銀行-TSS'!A:N,14,FALSE)</f>
        <v>10000</v>
      </c>
      <c r="J140" s="1213">
        <f ca="1">VLOOKUP(A140,'銀行-TSS'!A:O,15,FALSE)</f>
        <v>1000</v>
      </c>
      <c r="K140" s="136" t="str">
        <f ca="1">VLOOKUP(A140,'銀行-TSS'!A:V,22,FALSE)</f>
        <v>(PI)專投</v>
      </c>
      <c r="L140" s="136" t="str">
        <f ca="1">VLOOKUP(A140,'銀行-TSS'!A:AK,37,FALSE)</f>
        <v>有</v>
      </c>
      <c r="M140" s="136" t="str">
        <f ca="1">VLOOKUP(A140,'銀行-TSS'!A:AN,40,FALSE)</f>
        <v/>
      </c>
      <c r="N140" s="1211">
        <f t="shared" ca="1" si="33"/>
        <v>750.6</v>
      </c>
      <c r="O140" s="1211">
        <f t="shared" ca="1" si="34"/>
        <v>7506</v>
      </c>
      <c r="P140" s="1213">
        <f ca="1">IF(AND(換券投組!$D$17&gt;=O140,換券投組!$D$13=D140),I140+INT((換券投組!$D$17-O140)/N140)*J140,0)</f>
        <v>0</v>
      </c>
      <c r="Q140" s="1211">
        <f t="shared" ca="1" si="35"/>
        <v>0</v>
      </c>
      <c r="R140" s="1213">
        <f t="shared" ca="1" si="36"/>
        <v>0</v>
      </c>
      <c r="S140" s="1213">
        <f t="shared" ca="1" si="37"/>
        <v>0</v>
      </c>
      <c r="T140" s="136">
        <f t="shared" ca="1" si="30"/>
        <v>0</v>
      </c>
      <c r="U140" s="861">
        <f t="shared" ca="1" si="31"/>
        <v>0</v>
      </c>
      <c r="V140" s="136" t="b">
        <f ca="1">IF(OR(D140&lt;&gt;"USD",L140="無",M140&lt;&gt;"",K140="高資產",IFERROR(MATCH(B140,換券投組!K:K,0),"N")&lt;&gt;"N",IFERROR(MATCH(B140,換券投組!J:J,0),"N")&lt;&gt;"N"),FALSE,IF($V$1="All",TRUE,IF(K140=$V$1,TRUE,FALSE)))</f>
        <v>1</v>
      </c>
      <c r="W140" s="136">
        <f ca="1">VLOOKUP(A140,'銀行-TSS'!A:AO,41,FALSE)</f>
        <v>71.25</v>
      </c>
      <c r="X140" s="136">
        <f ca="1">VLOOKUP(A140,'銀行-TSS'!A:AP,42,FALSE)</f>
        <v>15.046900000000001</v>
      </c>
      <c r="Y140" s="1223">
        <f t="shared" ca="1" si="38"/>
        <v>0</v>
      </c>
      <c r="Z140" s="1211">
        <f t="shared" ca="1" si="39"/>
        <v>0</v>
      </c>
      <c r="AA140" s="136">
        <f ca="1">IF(Z140&lt;=0,0,RANK(Z140,Z:Z)+COUNTIF($Z$3:$Z140,Z140)-1)</f>
        <v>0</v>
      </c>
      <c r="AB140" s="1211">
        <f t="shared" ca="1" si="32"/>
        <v>0</v>
      </c>
      <c r="AC140" s="136">
        <f ca="1">IF(AB140&lt;=0,0,RANK(AB140,AB:AB)+COUNTIF($AB$3:$AB140,AB140)-1)</f>
        <v>0</v>
      </c>
      <c r="AD140" s="136">
        <f t="shared" ca="1" si="40"/>
        <v>99999</v>
      </c>
      <c r="AE140" s="136">
        <f ca="1">IF(AD140=99999,0,RANK(AD140,AD:AD,1)+COUNTIF($AD$3:$AD140,AD140)-1)</f>
        <v>0</v>
      </c>
    </row>
    <row r="141" spans="1:31">
      <c r="A141" s="141" t="str">
        <f>'銀行-TSS'!A141</f>
        <v>US594918BT09</v>
      </c>
      <c r="B141" s="151" t="str">
        <f ca="1">VLOOKUP(A141,'銀行-TSS'!A:B,2,FALSE)</f>
        <v>XG250</v>
      </c>
      <c r="C141" s="151" t="str">
        <f ca="1">VLOOKUP(B141,bond!B:C,2,FALSE)</f>
        <v>微軟公司美元配息債券 3.7% 2046/8/8</v>
      </c>
      <c r="D141" s="95" t="str">
        <f>VLOOKUP(A141,'銀行-TSS'!A:C,3,FALSE)</f>
        <v>USD</v>
      </c>
      <c r="E141" s="90">
        <f ca="1">VLOOKUP(A141,'銀行-TSS'!A:G,7,FALSE)</f>
        <v>22.1</v>
      </c>
      <c r="F141" s="202">
        <f ca="1">VLOOKUP(A141,'銀行-TSS'!A:H,8,FALSE)</f>
        <v>3.7000000000000005E-2</v>
      </c>
      <c r="G141" s="96">
        <f ca="1">VLOOKUP(A141,'銀行-TSS'!A:K,11,FALSE)</f>
        <v>87.19</v>
      </c>
      <c r="H141" s="1209">
        <f ca="1">VLOOKUP(A141,'銀行-TSS'!A:M,13,FALSE)</f>
        <v>4.7500000000000001E-2</v>
      </c>
      <c r="I141" s="1213">
        <f ca="1">VLOOKUP(A141,'銀行-TSS'!A:N,14,FALSE)</f>
        <v>10000</v>
      </c>
      <c r="J141" s="1213">
        <f ca="1">VLOOKUP(A141,'銀行-TSS'!A:O,15,FALSE)</f>
        <v>1000</v>
      </c>
      <c r="K141" s="136" t="str">
        <f ca="1">VLOOKUP(A141,'銀行-TSS'!A:V,22,FALSE)</f>
        <v>(NPI)非專投</v>
      </c>
      <c r="L141" s="136" t="str">
        <f ca="1">VLOOKUP(A141,'銀行-TSS'!A:AK,37,FALSE)</f>
        <v>有</v>
      </c>
      <c r="M141" s="136" t="str">
        <f ca="1">VLOOKUP(A141,'銀行-TSS'!A:AN,40,FALSE)</f>
        <v/>
      </c>
      <c r="N141" s="1211">
        <f t="shared" ca="1" si="33"/>
        <v>871.9</v>
      </c>
      <c r="O141" s="1211">
        <f t="shared" ca="1" si="34"/>
        <v>8719</v>
      </c>
      <c r="P141" s="1213">
        <f ca="1">IF(AND(換券投組!$D$17&gt;=O141,換券投組!$D$13=D141),I141+INT((換券投組!$D$17-O141)/N141)*J141,0)</f>
        <v>0</v>
      </c>
      <c r="Q141" s="1211">
        <f t="shared" ca="1" si="35"/>
        <v>0</v>
      </c>
      <c r="R141" s="1213">
        <f t="shared" ca="1" si="36"/>
        <v>0</v>
      </c>
      <c r="S141" s="1213">
        <f t="shared" ca="1" si="37"/>
        <v>0</v>
      </c>
      <c r="T141" s="136">
        <f t="shared" ca="1" si="30"/>
        <v>0</v>
      </c>
      <c r="U141" s="861">
        <f t="shared" ca="1" si="31"/>
        <v>0</v>
      </c>
      <c r="V141" s="136" t="b">
        <f ca="1">IF(OR(D141&lt;&gt;"USD",L141="無",M141&lt;&gt;"",K141="高資產",IFERROR(MATCH(B141,換券投組!K:K,0),"N")&lt;&gt;"N",IFERROR(MATCH(B141,換券投組!J:J,0),"N")&lt;&gt;"N"),FALSE,IF($V$1="All",TRUE,IF(K141=$V$1,TRUE,FALSE)))</f>
        <v>1</v>
      </c>
      <c r="W141" s="136">
        <f ca="1">VLOOKUP(A141,'銀行-TSS'!A:AO,41,FALSE)</f>
        <v>82.710000000000008</v>
      </c>
      <c r="X141" s="136">
        <f ca="1">VLOOKUP(A141,'銀行-TSS'!A:AP,42,FALSE)</f>
        <v>13.9755</v>
      </c>
      <c r="Y141" s="1223">
        <f t="shared" ca="1" si="38"/>
        <v>0</v>
      </c>
      <c r="Z141" s="1211">
        <f t="shared" ca="1" si="39"/>
        <v>0</v>
      </c>
      <c r="AA141" s="136">
        <f ca="1">IF(Z141&lt;=0,0,RANK(Z141,Z:Z)+COUNTIF($Z$3:$Z141,Z141)-1)</f>
        <v>0</v>
      </c>
      <c r="AB141" s="1211">
        <f t="shared" ca="1" si="32"/>
        <v>0</v>
      </c>
      <c r="AC141" s="136">
        <f ca="1">IF(AB141&lt;=0,0,RANK(AB141,AB:AB)+COUNTIF($AB$3:$AB141,AB141)-1)</f>
        <v>0</v>
      </c>
      <c r="AD141" s="136">
        <f t="shared" ca="1" si="40"/>
        <v>99999</v>
      </c>
      <c r="AE141" s="136">
        <f ca="1">IF(AD141=99999,0,RANK(AD141,AD:AD,1)+COUNTIF($AD$3:$AD141,AD141)-1)</f>
        <v>0</v>
      </c>
    </row>
    <row r="142" spans="1:31">
      <c r="A142" s="141" t="str">
        <f>'銀行-TSS'!A142</f>
        <v>XS2216795638</v>
      </c>
      <c r="B142" s="151" t="str">
        <f ca="1">VLOOKUP(A142,'銀行-TSS'!A:B,2,FALSE)</f>
        <v>XG270</v>
      </c>
      <c r="C142" s="151" t="str">
        <f ca="1">VLOOKUP(B142,bond!B:C,2,FALSE)</f>
        <v>花旗環球證券控股公司南非幣配息債券  7% 2030/12/23</v>
      </c>
      <c r="D142" s="95" t="str">
        <f>VLOOKUP(A142,'銀行-TSS'!A:C,3,FALSE)</f>
        <v>ZAR</v>
      </c>
      <c r="E142" s="90">
        <f ca="1">VLOOKUP(A142,'銀行-TSS'!A:G,7,FALSE)</f>
        <v>6.47</v>
      </c>
      <c r="F142" s="202">
        <f ca="1">VLOOKUP(A142,'銀行-TSS'!A:H,8,FALSE)</f>
        <v>7.0000000000000007E-2</v>
      </c>
      <c r="G142" s="96">
        <f ca="1">VLOOKUP(A142,'銀行-TSS'!A:K,11,FALSE)</f>
        <v>0</v>
      </c>
      <c r="H142" s="1209">
        <f ca="1">VLOOKUP(A142,'銀行-TSS'!A:M,13,FALSE)</f>
        <v>0</v>
      </c>
      <c r="I142" s="1213">
        <f ca="1">VLOOKUP(A142,'銀行-TSS'!A:N,14,FALSE)</f>
        <v>100000</v>
      </c>
      <c r="J142" s="1213">
        <f ca="1">VLOOKUP(A142,'銀行-TSS'!A:O,15,FALSE)</f>
        <v>10000</v>
      </c>
      <c r="K142" s="136" t="str">
        <f ca="1">VLOOKUP(A142,'銀行-TSS'!A:V,22,FALSE)</f>
        <v>(NPI)非專投</v>
      </c>
      <c r="L142" s="136" t="str">
        <f ca="1">VLOOKUP(A142,'銀行-TSS'!A:AK,37,FALSE)</f>
        <v>無</v>
      </c>
      <c r="M142" s="136" t="str">
        <f ca="1">VLOOKUP(A142,'銀行-TSS'!A:AN,40,FALSE)</f>
        <v>XG270</v>
      </c>
      <c r="N142" s="1211">
        <f t="shared" ca="1" si="33"/>
        <v>0</v>
      </c>
      <c r="O142" s="1211">
        <f t="shared" ca="1" si="34"/>
        <v>0</v>
      </c>
      <c r="P142" s="1213">
        <f ca="1">IF(AND(換券投組!$D$17&gt;=O142,換券投組!$D$13=D142),I142+INT((換券投組!$D$17-O142)/N142)*J142,0)</f>
        <v>0</v>
      </c>
      <c r="Q142" s="1211">
        <f t="shared" ca="1" si="35"/>
        <v>0</v>
      </c>
      <c r="R142" s="1213">
        <f t="shared" ca="1" si="36"/>
        <v>0</v>
      </c>
      <c r="S142" s="1213">
        <f t="shared" ca="1" si="37"/>
        <v>0</v>
      </c>
      <c r="T142" s="136">
        <f t="shared" ca="1" si="30"/>
        <v>0</v>
      </c>
      <c r="U142" s="861">
        <f t="shared" ca="1" si="31"/>
        <v>0</v>
      </c>
      <c r="V142" s="136" t="b">
        <f ca="1">IF(OR(D142&lt;&gt;"USD",L142="無",M142&lt;&gt;"",K142="高資產",IFERROR(MATCH(B142,換券投組!K:K,0),"N")&lt;&gt;"N",IFERROR(MATCH(B142,換券投組!J:J,0),"N")&lt;&gt;"N"),FALSE,IF($V$1="All",TRUE,IF(K142=$V$1,TRUE,FALSE)))</f>
        <v>0</v>
      </c>
      <c r="W142" s="136">
        <f ca="1">VLOOKUP(A142,'銀行-TSS'!A:AO,41,FALSE)</f>
        <v>0</v>
      </c>
      <c r="X142" s="136">
        <f ca="1">VLOOKUP(A142,'銀行-TSS'!A:AP,42,FALSE)</f>
        <v>4.0027999999999997</v>
      </c>
      <c r="Y142" s="1223">
        <f t="shared" ca="1" si="38"/>
        <v>0</v>
      </c>
      <c r="Z142" s="1211">
        <f t="shared" ca="1" si="39"/>
        <v>0</v>
      </c>
      <c r="AA142" s="136">
        <f ca="1">IF(Z142&lt;=0,0,RANK(Z142,Z:Z)+COUNTIF($Z$3:$Z142,Z142)-1)</f>
        <v>0</v>
      </c>
      <c r="AB142" s="1211">
        <f t="shared" ca="1" si="32"/>
        <v>0</v>
      </c>
      <c r="AC142" s="136">
        <f ca="1">IF(AB142&lt;=0,0,RANK(AB142,AB:AB)+COUNTIF($AB$3:$AB142,AB142)-1)</f>
        <v>0</v>
      </c>
      <c r="AD142" s="136">
        <f t="shared" ca="1" si="40"/>
        <v>99999</v>
      </c>
      <c r="AE142" s="136">
        <f ca="1">IF(AD142=99999,0,RANK(AD142,AD:AD,1)+COUNTIF($AD$3:$AD142,AD142)-1)</f>
        <v>0</v>
      </c>
    </row>
    <row r="143" spans="1:31">
      <c r="A143" s="141" t="str">
        <f>'銀行-TSS'!A143</f>
        <v>US654106AM50</v>
      </c>
      <c r="B143" s="151" t="str">
        <f ca="1">VLOOKUP(A143,'銀行-TSS'!A:B,2,FALSE)</f>
        <v>XG280</v>
      </c>
      <c r="C143" s="151" t="str">
        <f ca="1">VLOOKUP(B143,bond!B:C,2,FALSE)</f>
        <v>NIKE公司美元配息債券 3.375% 2050/3/27</v>
      </c>
      <c r="D143" s="95" t="str">
        <f>VLOOKUP(A143,'銀行-TSS'!A:C,3,FALSE)</f>
        <v>USD</v>
      </c>
      <c r="E143" s="90">
        <f ca="1">VLOOKUP(A143,'銀行-TSS'!A:G,7,FALSE)</f>
        <v>25.73</v>
      </c>
      <c r="F143" s="202">
        <f ca="1">VLOOKUP(A143,'銀行-TSS'!A:H,8,FALSE)</f>
        <v>3.3750000000000002E-2</v>
      </c>
      <c r="G143" s="96">
        <f ca="1">VLOOKUP(A143,'銀行-TSS'!A:K,11,FALSE)</f>
        <v>77.11</v>
      </c>
      <c r="H143" s="1209">
        <f ca="1">VLOOKUP(A143,'銀行-TSS'!A:M,13,FALSE)</f>
        <v>5.0299999999999997E-2</v>
      </c>
      <c r="I143" s="1213">
        <f ca="1">VLOOKUP(A143,'銀行-TSS'!A:N,14,FALSE)</f>
        <v>10000</v>
      </c>
      <c r="J143" s="1213">
        <f ca="1">VLOOKUP(A143,'銀行-TSS'!A:O,15,FALSE)</f>
        <v>1000</v>
      </c>
      <c r="K143" s="136" t="str">
        <f ca="1">VLOOKUP(A143,'銀行-TSS'!A:V,22,FALSE)</f>
        <v>(NPI)非專投</v>
      </c>
      <c r="L143" s="136" t="str">
        <f ca="1">VLOOKUP(A143,'銀行-TSS'!A:AK,37,FALSE)</f>
        <v>有</v>
      </c>
      <c r="M143" s="136" t="str">
        <f ca="1">VLOOKUP(A143,'銀行-TSS'!A:AN,40,FALSE)</f>
        <v/>
      </c>
      <c r="N143" s="1211">
        <f t="shared" ca="1" si="33"/>
        <v>771.1</v>
      </c>
      <c r="O143" s="1211">
        <f t="shared" ca="1" si="34"/>
        <v>7711</v>
      </c>
      <c r="P143" s="1213">
        <f ca="1">IF(AND(換券投組!$D$17&gt;=O143,換券投組!$D$13=D143),I143+INT((換券投組!$D$17-O143)/N143)*J143,0)</f>
        <v>0</v>
      </c>
      <c r="Q143" s="1211">
        <f t="shared" ca="1" si="35"/>
        <v>0</v>
      </c>
      <c r="R143" s="1213">
        <f t="shared" ca="1" si="36"/>
        <v>0</v>
      </c>
      <c r="S143" s="1213">
        <f t="shared" ca="1" si="37"/>
        <v>0</v>
      </c>
      <c r="T143" s="136">
        <f t="shared" ca="1" si="30"/>
        <v>0</v>
      </c>
      <c r="U143" s="861">
        <f t="shared" ca="1" si="31"/>
        <v>0</v>
      </c>
      <c r="V143" s="136" t="b">
        <f ca="1">IF(OR(D143&lt;&gt;"USD",L143="無",M143&lt;&gt;"",K143="高資產",IFERROR(MATCH(B143,換券投組!K:K,0),"N")&lt;&gt;"N",IFERROR(MATCH(B143,換券投組!J:J,0),"N")&lt;&gt;"N"),FALSE,IF($V$1="All",TRUE,IF(K143=$V$1,TRUE,FALSE)))</f>
        <v>1</v>
      </c>
      <c r="W143" s="136">
        <f ca="1">VLOOKUP(A143,'銀行-TSS'!A:AO,41,FALSE)</f>
        <v>72.72</v>
      </c>
      <c r="X143" s="136">
        <f ca="1">VLOOKUP(A143,'銀行-TSS'!A:AP,42,FALSE)</f>
        <v>15.2905</v>
      </c>
      <c r="Y143" s="1223">
        <f t="shared" ca="1" si="38"/>
        <v>0</v>
      </c>
      <c r="Z143" s="1211">
        <f t="shared" ca="1" si="39"/>
        <v>0</v>
      </c>
      <c r="AA143" s="136">
        <f ca="1">IF(Z143&lt;=0,0,RANK(Z143,Z:Z)+COUNTIF($Z$3:$Z143,Z143)-1)</f>
        <v>0</v>
      </c>
      <c r="AB143" s="1211">
        <f t="shared" ca="1" si="32"/>
        <v>0</v>
      </c>
      <c r="AC143" s="136">
        <f ca="1">IF(AB143&lt;=0,0,RANK(AB143,AB:AB)+COUNTIF($AB$3:$AB143,AB143)-1)</f>
        <v>0</v>
      </c>
      <c r="AD143" s="136">
        <f t="shared" ca="1" si="40"/>
        <v>99999</v>
      </c>
      <c r="AE143" s="136">
        <f ca="1">IF(AD143=99999,0,RANK(AD143,AD:AD,1)+COUNTIF($AD$3:$AD143,AD143)-1)</f>
        <v>0</v>
      </c>
    </row>
    <row r="144" spans="1:31">
      <c r="A144" s="141" t="str">
        <f>'銀行-TSS'!A144</f>
        <v>XS2262853349</v>
      </c>
      <c r="B144" s="151" t="str">
        <f ca="1">VLOOKUP(A144,'銀行-TSS'!A:B,2,FALSE)</f>
        <v>XG290</v>
      </c>
      <c r="C144" s="151" t="str">
        <f ca="1">VLOOKUP(B144,bond!B:C,2,FALSE)</f>
        <v>沙烏地阿拉伯國家石油公司美元配息債券 3.25% 2050/11/24</v>
      </c>
      <c r="D144" s="95" t="str">
        <f>VLOOKUP(A144,'銀行-TSS'!A:C,3,FALSE)</f>
        <v>USD</v>
      </c>
      <c r="E144" s="90">
        <f ca="1">VLOOKUP(A144,'銀行-TSS'!A:G,7,FALSE)</f>
        <v>26.39</v>
      </c>
      <c r="F144" s="202">
        <f ca="1">VLOOKUP(A144,'銀行-TSS'!A:H,8,FALSE)</f>
        <v>3.2500000000000001E-2</v>
      </c>
      <c r="G144" s="96">
        <f ca="1">VLOOKUP(A144,'銀行-TSS'!A:K,11,FALSE)</f>
        <v>71.55</v>
      </c>
      <c r="H144" s="1209">
        <f ca="1">VLOOKUP(A144,'銀行-TSS'!A:M,13,FALSE)</f>
        <v>5.2900000000000003E-2</v>
      </c>
      <c r="I144" s="1213">
        <f ca="1">VLOOKUP(A144,'銀行-TSS'!A:N,14,FALSE)</f>
        <v>200000</v>
      </c>
      <c r="J144" s="1213">
        <f ca="1">VLOOKUP(A144,'銀行-TSS'!A:O,15,FALSE)</f>
        <v>1000</v>
      </c>
      <c r="K144" s="136" t="str">
        <f ca="1">VLOOKUP(A144,'銀行-TSS'!A:V,22,FALSE)</f>
        <v>(NPI)非專投</v>
      </c>
      <c r="L144" s="136" t="str">
        <f ca="1">VLOOKUP(A144,'銀行-TSS'!A:AK,37,FALSE)</f>
        <v>有</v>
      </c>
      <c r="M144" s="136" t="str">
        <f ca="1">VLOOKUP(A144,'銀行-TSS'!A:AN,40,FALSE)</f>
        <v/>
      </c>
      <c r="N144" s="1211">
        <f t="shared" ca="1" si="33"/>
        <v>715.5</v>
      </c>
      <c r="O144" s="1211">
        <f t="shared" ca="1" si="34"/>
        <v>143100</v>
      </c>
      <c r="P144" s="1213">
        <f ca="1">IF(AND(換券投組!$D$17&gt;=O144,換券投組!$D$13=D144),I144+INT((換券投組!$D$17-O144)/N144)*J144,0)</f>
        <v>0</v>
      </c>
      <c r="Q144" s="1211">
        <f t="shared" ca="1" si="35"/>
        <v>0</v>
      </c>
      <c r="R144" s="1213">
        <f t="shared" ca="1" si="36"/>
        <v>0</v>
      </c>
      <c r="S144" s="1213">
        <f t="shared" ca="1" si="37"/>
        <v>0</v>
      </c>
      <c r="T144" s="136">
        <f t="shared" ca="1" si="30"/>
        <v>0</v>
      </c>
      <c r="U144" s="861">
        <f t="shared" ca="1" si="31"/>
        <v>0</v>
      </c>
      <c r="V144" s="136" t="b">
        <f ca="1">IF(OR(D144&lt;&gt;"USD",L144="無",M144&lt;&gt;"",K144="高資產",IFERROR(MATCH(B144,換券投組!K:K,0),"N")&lt;&gt;"N",IFERROR(MATCH(B144,換券投組!J:J,0),"N")&lt;&gt;"N"),FALSE,IF($V$1="All",TRUE,IF(K144=$V$1,TRUE,FALSE)))</f>
        <v>1</v>
      </c>
      <c r="W144" s="136">
        <f ca="1">VLOOKUP(A144,'銀行-TSS'!A:AO,41,FALSE)</f>
        <v>67.7</v>
      </c>
      <c r="X144" s="136">
        <f ca="1">VLOOKUP(A144,'銀行-TSS'!A:AP,42,FALSE)</f>
        <v>15.4412</v>
      </c>
      <c r="Y144" s="1223">
        <f t="shared" ca="1" si="38"/>
        <v>0</v>
      </c>
      <c r="Z144" s="1211">
        <f t="shared" ca="1" si="39"/>
        <v>0</v>
      </c>
      <c r="AA144" s="136">
        <f ca="1">IF(Z144&lt;=0,0,RANK(Z144,Z:Z)+COUNTIF($Z$3:$Z144,Z144)-1)</f>
        <v>0</v>
      </c>
      <c r="AB144" s="1211">
        <f t="shared" ca="1" si="32"/>
        <v>0</v>
      </c>
      <c r="AC144" s="136">
        <f ca="1">IF(AB144&lt;=0,0,RANK(AB144,AB:AB)+COUNTIF($AB$3:$AB144,AB144)-1)</f>
        <v>0</v>
      </c>
      <c r="AD144" s="136">
        <f t="shared" ca="1" si="40"/>
        <v>99999</v>
      </c>
      <c r="AE144" s="136">
        <f ca="1">IF(AD144=99999,0,RANK(AD144,AD:AD,1)+COUNTIF($AD$3:$AD144,AD144)-1)</f>
        <v>0</v>
      </c>
    </row>
    <row r="145" spans="1:31">
      <c r="A145" s="141" t="str">
        <f>'銀行-TSS'!A145</f>
        <v>US02079KAG22</v>
      </c>
      <c r="B145" s="151" t="str">
        <f ca="1">VLOOKUP(A145,'銀行-TSS'!A:B,2,FALSE)</f>
        <v>XG300</v>
      </c>
      <c r="C145" s="151" t="str">
        <f ca="1">VLOOKUP(B145,bond!B:C,2,FALSE)</f>
        <v>Alphabet公司美元配息債券 2.25% 2060/8/15</v>
      </c>
      <c r="D145" s="95" t="str">
        <f>VLOOKUP(A145,'銀行-TSS'!A:C,3,FALSE)</f>
        <v>USD</v>
      </c>
      <c r="E145" s="90">
        <f ca="1">VLOOKUP(A145,'銀行-TSS'!A:G,7,FALSE)</f>
        <v>36.119999999999997</v>
      </c>
      <c r="F145" s="202">
        <f ca="1">VLOOKUP(A145,'銀行-TSS'!A:H,8,FALSE)</f>
        <v>2.2499999999999999E-2</v>
      </c>
      <c r="G145" s="96">
        <f ca="1">VLOOKUP(A145,'銀行-TSS'!A:K,11,FALSE)</f>
        <v>60.32</v>
      </c>
      <c r="H145" s="1209">
        <f ca="1">VLOOKUP(A145,'銀行-TSS'!A:M,13,FALSE)</f>
        <v>4.5499999999999999E-2</v>
      </c>
      <c r="I145" s="1213">
        <f ca="1">VLOOKUP(A145,'銀行-TSS'!A:N,14,FALSE)</f>
        <v>10000</v>
      </c>
      <c r="J145" s="1213">
        <f ca="1">VLOOKUP(A145,'銀行-TSS'!A:O,15,FALSE)</f>
        <v>1000</v>
      </c>
      <c r="K145" s="136" t="str">
        <f ca="1">VLOOKUP(A145,'銀行-TSS'!A:V,22,FALSE)</f>
        <v>(NPI)非專投</v>
      </c>
      <c r="L145" s="136" t="str">
        <f ca="1">VLOOKUP(A145,'銀行-TSS'!A:AK,37,FALSE)</f>
        <v>有</v>
      </c>
      <c r="M145" s="136" t="str">
        <f ca="1">VLOOKUP(A145,'銀行-TSS'!A:AN,40,FALSE)</f>
        <v/>
      </c>
      <c r="N145" s="1211">
        <f t="shared" ca="1" si="33"/>
        <v>603.20000000000005</v>
      </c>
      <c r="O145" s="1211">
        <f t="shared" ca="1" si="34"/>
        <v>6032</v>
      </c>
      <c r="P145" s="1213">
        <f ca="1">IF(AND(換券投組!$D$17&gt;=O145,換券投組!$D$13=D145),I145+INT((換券投組!$D$17-O145)/N145)*J145,0)</f>
        <v>0</v>
      </c>
      <c r="Q145" s="1211">
        <f t="shared" ca="1" si="35"/>
        <v>0</v>
      </c>
      <c r="R145" s="1213">
        <f t="shared" ca="1" si="36"/>
        <v>0</v>
      </c>
      <c r="S145" s="1213">
        <f t="shared" ca="1" si="37"/>
        <v>0</v>
      </c>
      <c r="T145" s="136">
        <f t="shared" ca="1" si="30"/>
        <v>0</v>
      </c>
      <c r="U145" s="861">
        <f t="shared" ca="1" si="31"/>
        <v>0</v>
      </c>
      <c r="V145" s="136" t="b">
        <f ca="1">IF(OR(D145&lt;&gt;"USD",L145="無",M145&lt;&gt;"",K145="高資產",IFERROR(MATCH(B145,換券投組!K:K,0),"N")&lt;&gt;"N",IFERROR(MATCH(B145,換券投組!J:J,0),"N")&lt;&gt;"N"),FALSE,IF($V$1="All",TRUE,IF(K145=$V$1,TRUE,FALSE)))</f>
        <v>1</v>
      </c>
      <c r="W145" s="136">
        <f ca="1">VLOOKUP(A145,'銀行-TSS'!A:AO,41,FALSE)</f>
        <v>55.96</v>
      </c>
      <c r="X145" s="136">
        <f ca="1">VLOOKUP(A145,'銀行-TSS'!A:AP,42,FALSE)</f>
        <v>19.9892</v>
      </c>
      <c r="Y145" s="1223">
        <f t="shared" ca="1" si="38"/>
        <v>0</v>
      </c>
      <c r="Z145" s="1211">
        <f t="shared" ca="1" si="39"/>
        <v>0</v>
      </c>
      <c r="AA145" s="136">
        <f ca="1">IF(Z145&lt;=0,0,RANK(Z145,Z:Z)+COUNTIF($Z$3:$Z145,Z145)-1)</f>
        <v>0</v>
      </c>
      <c r="AB145" s="1211">
        <f t="shared" ca="1" si="32"/>
        <v>0</v>
      </c>
      <c r="AC145" s="136">
        <f ca="1">IF(AB145&lt;=0,0,RANK(AB145,AB:AB)+COUNTIF($AB$3:$AB145,AB145)-1)</f>
        <v>0</v>
      </c>
      <c r="AD145" s="136">
        <f t="shared" ca="1" si="40"/>
        <v>99999</v>
      </c>
      <c r="AE145" s="136">
        <f ca="1">IF(AD145=99999,0,RANK(AD145,AD:AD,1)+COUNTIF($AD$3:$AD145,AD145)-1)</f>
        <v>0</v>
      </c>
    </row>
    <row r="146" spans="1:31">
      <c r="A146" s="141" t="str">
        <f>'銀行-TSS'!A146</f>
        <v>US855244AH20</v>
      </c>
      <c r="B146" s="151" t="str">
        <f ca="1">VLOOKUP(A146,'銀行-TSS'!A:B,2,FALSE)</f>
        <v>XG310</v>
      </c>
      <c r="C146" s="151" t="str">
        <f ca="1">VLOOKUP(B146,bond!B:C,2,FALSE)</f>
        <v>星巴克公司美元配息債券 4.3% 2045/6/15</v>
      </c>
      <c r="D146" s="95" t="str">
        <f>VLOOKUP(A146,'銀行-TSS'!A:C,3,FALSE)</f>
        <v>USD</v>
      </c>
      <c r="E146" s="90">
        <f ca="1">VLOOKUP(A146,'銀行-TSS'!A:G,7,FALSE)</f>
        <v>20.95</v>
      </c>
      <c r="F146" s="202">
        <f ca="1">VLOOKUP(A146,'銀行-TSS'!A:H,8,FALSE)</f>
        <v>4.2999999999999997E-2</v>
      </c>
      <c r="G146" s="96">
        <f ca="1">VLOOKUP(A146,'銀行-TSS'!A:K,11,FALSE)</f>
        <v>86.41</v>
      </c>
      <c r="H146" s="1209">
        <f ca="1">VLOOKUP(A146,'銀行-TSS'!A:M,13,FALSE)</f>
        <v>5.4100000000000002E-2</v>
      </c>
      <c r="I146" s="1213">
        <f ca="1">VLOOKUP(A146,'銀行-TSS'!A:N,14,FALSE)</f>
        <v>10000</v>
      </c>
      <c r="J146" s="1213">
        <f ca="1">VLOOKUP(A146,'銀行-TSS'!A:O,15,FALSE)</f>
        <v>1000</v>
      </c>
      <c r="K146" s="136" t="str">
        <f ca="1">VLOOKUP(A146,'銀行-TSS'!A:V,22,FALSE)</f>
        <v>(PI)專投</v>
      </c>
      <c r="L146" s="136" t="str">
        <f ca="1">VLOOKUP(A146,'銀行-TSS'!A:AK,37,FALSE)</f>
        <v>需查詢</v>
      </c>
      <c r="M146" s="136" t="str">
        <f ca="1">VLOOKUP(A146,'銀行-TSS'!A:AN,40,FALSE)</f>
        <v/>
      </c>
      <c r="N146" s="1211">
        <f t="shared" ca="1" si="33"/>
        <v>864.1</v>
      </c>
      <c r="O146" s="1211">
        <f t="shared" ca="1" si="34"/>
        <v>8641</v>
      </c>
      <c r="P146" s="1213">
        <f ca="1">IF(AND(換券投組!$D$17&gt;=O146,換券投組!$D$13=D146),I146+INT((換券投組!$D$17-O146)/N146)*J146,0)</f>
        <v>0</v>
      </c>
      <c r="Q146" s="1211">
        <f t="shared" ca="1" si="35"/>
        <v>0</v>
      </c>
      <c r="R146" s="1213">
        <f t="shared" ca="1" si="36"/>
        <v>0</v>
      </c>
      <c r="S146" s="1213">
        <f t="shared" ca="1" si="37"/>
        <v>0</v>
      </c>
      <c r="T146" s="136">
        <f t="shared" ca="1" si="30"/>
        <v>0</v>
      </c>
      <c r="U146" s="861">
        <f t="shared" ca="1" si="31"/>
        <v>0</v>
      </c>
      <c r="V146" s="136" t="b">
        <f ca="1">IF(OR(D146&lt;&gt;"USD",L146="無",M146&lt;&gt;"",K146="高資產",IFERROR(MATCH(B146,換券投組!K:K,0),"N")&lt;&gt;"N",IFERROR(MATCH(B146,換券投組!J:J,0),"N")&lt;&gt;"N"),FALSE,IF($V$1="All",TRUE,IF(K146=$V$1,TRUE,FALSE)))</f>
        <v>1</v>
      </c>
      <c r="W146" s="136">
        <f ca="1">VLOOKUP(A146,'銀行-TSS'!A:AO,41,FALSE)</f>
        <v>83.210000000000008</v>
      </c>
      <c r="X146" s="136">
        <f ca="1">VLOOKUP(A146,'銀行-TSS'!A:AP,42,FALSE)</f>
        <v>12.9217</v>
      </c>
      <c r="Y146" s="1223">
        <f t="shared" ca="1" si="38"/>
        <v>0</v>
      </c>
      <c r="Z146" s="1211">
        <f t="shared" ca="1" si="39"/>
        <v>0</v>
      </c>
      <c r="AA146" s="136">
        <f ca="1">IF(Z146&lt;=0,0,RANK(Z146,Z:Z)+COUNTIF($Z$3:$Z146,Z146)-1)</f>
        <v>0</v>
      </c>
      <c r="AB146" s="1211">
        <f t="shared" ca="1" si="32"/>
        <v>0</v>
      </c>
      <c r="AC146" s="136">
        <f ca="1">IF(AB146&lt;=0,0,RANK(AB146,AB:AB)+COUNTIF($AB$3:$AB146,AB146)-1)</f>
        <v>0</v>
      </c>
      <c r="AD146" s="136">
        <f t="shared" ca="1" si="40"/>
        <v>99999</v>
      </c>
      <c r="AE146" s="136">
        <f ca="1">IF(AD146=99999,0,RANK(AD146,AD:AD,1)+COUNTIF($AD$3:$AD146,AD146)-1)</f>
        <v>0</v>
      </c>
    </row>
    <row r="147" spans="1:31">
      <c r="A147" s="141" t="str">
        <f>'銀行-TSS'!A147</f>
        <v>USU1109MAT37</v>
      </c>
      <c r="B147" s="151" t="str">
        <f ca="1">VLOOKUP(A147,'銀行-TSS'!A:B,2,FALSE)</f>
        <v>XG320</v>
      </c>
      <c r="C147" s="151" t="str">
        <f ca="1">VLOOKUP(B147,bond!B:C,2,FALSE)</f>
        <v>博通公司美元配息債券 3.5% 2041/2/15</v>
      </c>
      <c r="D147" s="95" t="str">
        <f>VLOOKUP(A147,'銀行-TSS'!A:C,3,FALSE)</f>
        <v>USD</v>
      </c>
      <c r="E147" s="90">
        <f ca="1">VLOOKUP(A147,'銀行-TSS'!A:G,7,FALSE)</f>
        <v>16.62</v>
      </c>
      <c r="F147" s="202">
        <f ca="1">VLOOKUP(A147,'銀行-TSS'!A:H,8,FALSE)</f>
        <v>3.5000000000000003E-2</v>
      </c>
      <c r="G147" s="96">
        <f ca="1">VLOOKUP(A147,'銀行-TSS'!A:K,11,FALSE)</f>
        <v>81.92</v>
      </c>
      <c r="H147" s="1209">
        <f ca="1">VLOOKUP(A147,'銀行-TSS'!A:M,13,FALSE)</f>
        <v>5.2699999999999997E-2</v>
      </c>
      <c r="I147" s="1213">
        <f ca="1">VLOOKUP(A147,'銀行-TSS'!A:N,14,FALSE)</f>
        <v>10000</v>
      </c>
      <c r="J147" s="1213">
        <f ca="1">VLOOKUP(A147,'銀行-TSS'!A:O,15,FALSE)</f>
        <v>1000</v>
      </c>
      <c r="K147" s="136" t="str">
        <f ca="1">VLOOKUP(A147,'銀行-TSS'!A:V,22,FALSE)</f>
        <v>(PI)專投</v>
      </c>
      <c r="L147" s="136" t="str">
        <f ca="1">VLOOKUP(A147,'銀行-TSS'!A:AK,37,FALSE)</f>
        <v>有</v>
      </c>
      <c r="M147" s="136" t="str">
        <f ca="1">VLOOKUP(A147,'銀行-TSS'!A:AN,40,FALSE)</f>
        <v/>
      </c>
      <c r="N147" s="1211">
        <f t="shared" ca="1" si="33"/>
        <v>819.2</v>
      </c>
      <c r="O147" s="1211">
        <f t="shared" ca="1" si="34"/>
        <v>8192</v>
      </c>
      <c r="P147" s="1213">
        <f ca="1">IF(AND(換券投組!$D$17&gt;=O147,換券投組!$D$13=D147),I147+INT((換券投組!$D$17-O147)/N147)*J147,0)</f>
        <v>0</v>
      </c>
      <c r="Q147" s="1211">
        <f t="shared" ca="1" si="35"/>
        <v>0</v>
      </c>
      <c r="R147" s="1213">
        <f t="shared" ca="1" si="36"/>
        <v>0</v>
      </c>
      <c r="S147" s="1213">
        <f t="shared" ca="1" si="37"/>
        <v>0</v>
      </c>
      <c r="T147" s="136">
        <f t="shared" ca="1" si="30"/>
        <v>0</v>
      </c>
      <c r="U147" s="861">
        <f t="shared" ca="1" si="31"/>
        <v>0</v>
      </c>
      <c r="V147" s="136" t="b">
        <f ca="1">IF(OR(D147&lt;&gt;"USD",L147="無",M147&lt;&gt;"",K147="高資產",IFERROR(MATCH(B147,換券投組!K:K,0),"N")&lt;&gt;"N",IFERROR(MATCH(B147,換券投組!J:J,0),"N")&lt;&gt;"N"),FALSE,IF($V$1="All",TRUE,IF(K147=$V$1,TRUE,FALSE)))</f>
        <v>1</v>
      </c>
      <c r="W147" s="136">
        <f ca="1">VLOOKUP(A147,'銀行-TSS'!A:AO,41,FALSE)</f>
        <v>77.59</v>
      </c>
      <c r="X147" s="136">
        <f ca="1">VLOOKUP(A147,'銀行-TSS'!A:AP,42,FALSE)</f>
        <v>11.625</v>
      </c>
      <c r="Y147" s="1223">
        <f t="shared" ca="1" si="38"/>
        <v>0</v>
      </c>
      <c r="Z147" s="1211">
        <f t="shared" ca="1" si="39"/>
        <v>0</v>
      </c>
      <c r="AA147" s="136">
        <f ca="1">IF(Z147&lt;=0,0,RANK(Z147,Z:Z)+COUNTIF($Z$3:$Z147,Z147)-1)</f>
        <v>0</v>
      </c>
      <c r="AB147" s="1211">
        <f t="shared" ca="1" si="32"/>
        <v>0</v>
      </c>
      <c r="AC147" s="136">
        <f ca="1">IF(AB147&lt;=0,0,RANK(AB147,AB:AB)+COUNTIF($AB$3:$AB147,AB147)-1)</f>
        <v>0</v>
      </c>
      <c r="AD147" s="136">
        <f t="shared" ca="1" si="40"/>
        <v>99999</v>
      </c>
      <c r="AE147" s="136">
        <f ca="1">IF(AD147=99999,0,RANK(AD147,AD:AD,1)+COUNTIF($AD$3:$AD147,AD147)-1)</f>
        <v>0</v>
      </c>
    </row>
    <row r="148" spans="1:31">
      <c r="A148" s="141" t="str">
        <f>'銀行-TSS'!A148</f>
        <v>US91912EAA38</v>
      </c>
      <c r="B148" s="151" t="str">
        <f ca="1">VLOOKUP(A148,'銀行-TSS'!A:B,2,FALSE)</f>
        <v>XG330</v>
      </c>
      <c r="C148" s="151" t="str">
        <f ca="1">VLOOKUP(B148,bond!B:C,2,FALSE)</f>
        <v>巴西淡水河谷公司美元配息債券  5.625% 2042/9/11</v>
      </c>
      <c r="D148" s="95" t="str">
        <f>VLOOKUP(A148,'銀行-TSS'!A:C,3,FALSE)</f>
        <v>USD</v>
      </c>
      <c r="E148" s="90">
        <f ca="1">VLOOKUP(A148,'銀行-TSS'!A:G,7,FALSE)</f>
        <v>18.190000000000001</v>
      </c>
      <c r="F148" s="202">
        <f ca="1">VLOOKUP(A148,'銀行-TSS'!A:H,8,FALSE)</f>
        <v>5.6250000000000001E-2</v>
      </c>
      <c r="G148" s="96">
        <f ca="1">VLOOKUP(A148,'銀行-TSS'!A:K,11,FALSE)</f>
        <v>103.37</v>
      </c>
      <c r="H148" s="1209">
        <f ca="1">VLOOKUP(A148,'銀行-TSS'!A:M,13,FALSE)</f>
        <v>5.4800000000000001E-2</v>
      </c>
      <c r="I148" s="1213">
        <f ca="1">VLOOKUP(A148,'銀行-TSS'!A:N,14,FALSE)</f>
        <v>10000</v>
      </c>
      <c r="J148" s="1213">
        <f ca="1">VLOOKUP(A148,'銀行-TSS'!A:O,15,FALSE)</f>
        <v>1000</v>
      </c>
      <c r="K148" s="136" t="str">
        <f ca="1">VLOOKUP(A148,'銀行-TSS'!A:V,22,FALSE)</f>
        <v>(PI)專投</v>
      </c>
      <c r="L148" s="136" t="str">
        <f ca="1">VLOOKUP(A148,'銀行-TSS'!A:AK,37,FALSE)</f>
        <v>有</v>
      </c>
      <c r="M148" s="136" t="str">
        <f ca="1">VLOOKUP(A148,'銀行-TSS'!A:AN,40,FALSE)</f>
        <v/>
      </c>
      <c r="N148" s="1211">
        <f t="shared" ca="1" si="33"/>
        <v>1033.7</v>
      </c>
      <c r="O148" s="1211">
        <f t="shared" ca="1" si="34"/>
        <v>10337</v>
      </c>
      <c r="P148" s="1213">
        <f ca="1">IF(AND(換券投組!$D$17&gt;=O148,換券投組!$D$13=D148),I148+INT((換券投組!$D$17-O148)/N148)*J148,0)</f>
        <v>0</v>
      </c>
      <c r="Q148" s="1211">
        <f t="shared" ca="1" si="35"/>
        <v>0</v>
      </c>
      <c r="R148" s="1213">
        <f t="shared" ca="1" si="36"/>
        <v>0</v>
      </c>
      <c r="S148" s="1213">
        <f t="shared" ca="1" si="37"/>
        <v>0</v>
      </c>
      <c r="T148" s="136">
        <f t="shared" ca="1" si="30"/>
        <v>0</v>
      </c>
      <c r="U148" s="861">
        <f t="shared" ca="1" si="31"/>
        <v>0</v>
      </c>
      <c r="V148" s="136" t="b">
        <f ca="1">IF(OR(D148&lt;&gt;"USD",L148="無",M148&lt;&gt;"",K148="高資產",IFERROR(MATCH(B148,換券投組!K:K,0),"N")&lt;&gt;"N",IFERROR(MATCH(B148,換券投組!J:J,0),"N")&lt;&gt;"N"),FALSE,IF($V$1="All",TRUE,IF(K148=$V$1,TRUE,FALSE)))</f>
        <v>1</v>
      </c>
      <c r="W148" s="136">
        <f ca="1">VLOOKUP(A148,'銀行-TSS'!A:AO,41,FALSE)</f>
        <v>98.64</v>
      </c>
      <c r="X148" s="136">
        <f ca="1">VLOOKUP(A148,'銀行-TSS'!A:AP,42,FALSE)</f>
        <v>11.076000000000001</v>
      </c>
      <c r="Y148" s="1223">
        <f t="shared" ca="1" si="38"/>
        <v>0</v>
      </c>
      <c r="Z148" s="1211">
        <f t="shared" ca="1" si="39"/>
        <v>0</v>
      </c>
      <c r="AA148" s="136">
        <f ca="1">IF(Z148&lt;=0,0,RANK(Z148,Z:Z)+COUNTIF($Z$3:$Z148,Z148)-1)</f>
        <v>0</v>
      </c>
      <c r="AB148" s="1211">
        <f ca="1">IF(A148=0,0,IF(V148=FALSE,0,Y148+IF((P148-$P$1)&lt;0,(P148-$P$1)*0.5,0)))-$AC$1</f>
        <v>0</v>
      </c>
      <c r="AC148" s="136">
        <f ca="1">IF(AB148&lt;=0,0,RANK(AB148,AB:AB)+COUNTIF($AB$3:$AB148,AB148)-1)</f>
        <v>0</v>
      </c>
      <c r="AD148" s="136">
        <f t="shared" ca="1" si="40"/>
        <v>99999</v>
      </c>
      <c r="AE148" s="136">
        <f ca="1">IF(AD148=99999,0,RANK(AD148,AD:AD,1)+COUNTIF($AD$3:$AD148,AD148)-1)</f>
        <v>0</v>
      </c>
    </row>
    <row r="149" spans="1:31">
      <c r="A149" s="141" t="str">
        <f>'銀行-TSS'!A149</f>
        <v>US912810SS87</v>
      </c>
      <c r="B149" s="151" t="str">
        <f ca="1">VLOOKUP(A149,'銀行-TSS'!A:B,2,FALSE)</f>
        <v>XG340</v>
      </c>
      <c r="C149" s="151" t="str">
        <f ca="1">VLOOKUP(B149,bond!B:C,2,FALSE)</f>
        <v>美國政府公債 1.625% 2050/11/15</v>
      </c>
      <c r="D149" s="95" t="str">
        <f>VLOOKUP(A149,'銀行-TSS'!A:C,3,FALSE)</f>
        <v>USD</v>
      </c>
      <c r="E149" s="90">
        <f ca="1">VLOOKUP(A149,'銀行-TSS'!A:G,7,FALSE)</f>
        <v>26.37</v>
      </c>
      <c r="F149" s="202">
        <f ca="1">VLOOKUP(A149,'銀行-TSS'!A:H,8,FALSE)</f>
        <v>1.6250000000000001E-2</v>
      </c>
      <c r="G149" s="96">
        <f ca="1">VLOOKUP(A149,'銀行-TSS'!A:K,11,FALSE)</f>
        <v>57.45</v>
      </c>
      <c r="H149" s="1209">
        <f ca="1">VLOOKUP(A149,'銀行-TSS'!A:M,13,FALSE)</f>
        <v>4.3700000000000003E-2</v>
      </c>
      <c r="I149" s="1213">
        <f ca="1">VLOOKUP(A149,'銀行-TSS'!A:N,14,FALSE)</f>
        <v>10000</v>
      </c>
      <c r="J149" s="1213">
        <f ca="1">VLOOKUP(A149,'銀行-TSS'!A:O,15,FALSE)</f>
        <v>100</v>
      </c>
      <c r="K149" s="136" t="str">
        <f ca="1">VLOOKUP(A149,'銀行-TSS'!A:V,22,FALSE)</f>
        <v>(NPI)非專投</v>
      </c>
      <c r="L149" s="136" t="str">
        <f ca="1">VLOOKUP(A149,'銀行-TSS'!A:AK,37,FALSE)</f>
        <v>有</v>
      </c>
      <c r="M149" s="136" t="str">
        <f ca="1">VLOOKUP(A149,'銀行-TSS'!A:AN,40,FALSE)</f>
        <v/>
      </c>
      <c r="N149" s="1211">
        <f t="shared" ca="1" si="33"/>
        <v>57.45</v>
      </c>
      <c r="O149" s="1211">
        <f t="shared" ca="1" si="34"/>
        <v>5745</v>
      </c>
      <c r="P149" s="1213">
        <f ca="1">IF(AND(換券投組!$D$17&gt;=O149,換券投組!$D$13=D149),I149+INT((換券投組!$D$17-O149)/N149)*J149,0)</f>
        <v>0</v>
      </c>
      <c r="Q149" s="1211">
        <f t="shared" ca="1" si="35"/>
        <v>0</v>
      </c>
      <c r="R149" s="1213">
        <f t="shared" ca="1" si="36"/>
        <v>0</v>
      </c>
      <c r="S149" s="1213">
        <f t="shared" ca="1" si="37"/>
        <v>0</v>
      </c>
      <c r="T149" s="136">
        <f t="shared" ca="1" si="30"/>
        <v>0</v>
      </c>
      <c r="U149" s="861">
        <f t="shared" ca="1" si="31"/>
        <v>0</v>
      </c>
      <c r="V149" s="136" t="b">
        <f ca="1">IF(OR(D149&lt;&gt;"USD",L149="無",M149&lt;&gt;"",K149="高資產",IFERROR(MATCH(B149,換券投組!K:K,0),"N")&lt;&gt;"N",IFERROR(MATCH(B149,換券投組!J:J,0),"N")&lt;&gt;"N"),FALSE,IF($V$1="All",TRUE,IF(K149=$V$1,TRUE,FALSE)))</f>
        <v>1</v>
      </c>
      <c r="W149" s="136">
        <f ca="1">VLOOKUP(A149,'銀行-TSS'!A:AO,41,FALSE)</f>
        <v>55.239999999999995</v>
      </c>
      <c r="X149" s="136">
        <f ca="1">VLOOKUP(A149,'銀行-TSS'!A:AP,42,FALSE)</f>
        <v>18.971</v>
      </c>
      <c r="Y149" s="1223">
        <f t="shared" ca="1" si="38"/>
        <v>0</v>
      </c>
      <c r="Z149" s="1211">
        <f t="shared" ca="1" si="39"/>
        <v>0</v>
      </c>
      <c r="AA149" s="136">
        <f ca="1">IF(Z149&lt;=0,0,RANK(Z149,Z:Z)+COUNTIF($Z$3:$Z149,Z149)-1)</f>
        <v>0</v>
      </c>
      <c r="AB149" s="1211">
        <f t="shared" ca="1" si="32"/>
        <v>0</v>
      </c>
      <c r="AC149" s="136">
        <f ca="1">IF(AB149&lt;=0,0,RANK(AB149,AB:AB)+COUNTIF($AB$3:$AB149,AB149)-1)</f>
        <v>0</v>
      </c>
      <c r="AD149" s="136">
        <f t="shared" ca="1" si="40"/>
        <v>99999</v>
      </c>
      <c r="AE149" s="136">
        <f ca="1">IF(AD149=99999,0,RANK(AD149,AD:AD,1)+COUNTIF($AD$3:$AD149,AD149)-1)</f>
        <v>0</v>
      </c>
    </row>
    <row r="150" spans="1:31">
      <c r="A150" s="141" t="str">
        <f>'銀行-TSS'!A150</f>
        <v>USU74078CC58</v>
      </c>
      <c r="B150" s="151" t="str">
        <f ca="1">VLOOKUP(A150,'銀行-TSS'!A:B,2,FALSE)</f>
        <v>XG350</v>
      </c>
      <c r="C150" s="151" t="str">
        <f ca="1">VLOOKUP(B150,bond!B:C,2,FALSE)</f>
        <v>雀巢控股公司美元配息債券 3.9% 2038/9/24</v>
      </c>
      <c r="D150" s="95" t="str">
        <f>VLOOKUP(A150,'銀行-TSS'!A:C,3,FALSE)</f>
        <v>USD</v>
      </c>
      <c r="E150" s="90">
        <f ca="1">VLOOKUP(A150,'銀行-TSS'!A:G,7,FALSE)</f>
        <v>14.23</v>
      </c>
      <c r="F150" s="202">
        <f ca="1">VLOOKUP(A150,'銀行-TSS'!A:H,8,FALSE)</f>
        <v>3.9E-2</v>
      </c>
      <c r="G150" s="96">
        <f ca="1">VLOOKUP(A150,'銀行-TSS'!A:K,11,FALSE)</f>
        <v>90.47</v>
      </c>
      <c r="H150" s="1209">
        <f ca="1">VLOOKUP(A150,'銀行-TSS'!A:M,13,FALSE)</f>
        <v>4.9399999999999999E-2</v>
      </c>
      <c r="I150" s="1213">
        <f ca="1">VLOOKUP(A150,'銀行-TSS'!A:N,14,FALSE)</f>
        <v>150000</v>
      </c>
      <c r="J150" s="1213">
        <f ca="1">VLOOKUP(A150,'銀行-TSS'!A:O,15,FALSE)</f>
        <v>1000</v>
      </c>
      <c r="K150" s="136" t="str">
        <f ca="1">VLOOKUP(A150,'銀行-TSS'!A:V,22,FALSE)</f>
        <v>(NPI)非專投</v>
      </c>
      <c r="L150" s="136" t="str">
        <f ca="1">VLOOKUP(A150,'銀行-TSS'!A:AK,37,FALSE)</f>
        <v>有</v>
      </c>
      <c r="M150" s="136" t="str">
        <f ca="1">VLOOKUP(A150,'銀行-TSS'!A:AN,40,FALSE)</f>
        <v/>
      </c>
      <c r="N150" s="1211">
        <f t="shared" ca="1" si="33"/>
        <v>904.7</v>
      </c>
      <c r="O150" s="1211">
        <f t="shared" ca="1" si="34"/>
        <v>135705</v>
      </c>
      <c r="P150" s="1213">
        <f ca="1">IF(AND(換券投組!$D$17&gt;=O150,換券投組!$D$13=D150),I150+INT((換券投組!$D$17-O150)/N150)*J150,0)</f>
        <v>0</v>
      </c>
      <c r="Q150" s="1211">
        <f t="shared" ca="1" si="35"/>
        <v>0</v>
      </c>
      <c r="R150" s="1213">
        <f t="shared" ca="1" si="36"/>
        <v>0</v>
      </c>
      <c r="S150" s="1213">
        <f t="shared" ca="1" si="37"/>
        <v>0</v>
      </c>
      <c r="T150" s="136">
        <f t="shared" ca="1" si="30"/>
        <v>0</v>
      </c>
      <c r="U150" s="861">
        <f t="shared" ca="1" si="31"/>
        <v>0</v>
      </c>
      <c r="V150" s="136" t="b">
        <f ca="1">IF(OR(D150&lt;&gt;"USD",L150="無",M150&lt;&gt;"",K150="高資產",IFERROR(MATCH(B150,換券投組!K:K,0),"N")&lt;&gt;"N",IFERROR(MATCH(B150,換券投組!J:J,0),"N")&lt;&gt;"N"),FALSE,IF($V$1="All",TRUE,IF(K150=$V$1,TRUE,FALSE)))</f>
        <v>1</v>
      </c>
      <c r="W150" s="136">
        <f ca="1">VLOOKUP(A150,'銀行-TSS'!A:AO,41,FALSE)</f>
        <v>87.410000000000011</v>
      </c>
      <c r="X150" s="136">
        <f ca="1">VLOOKUP(A150,'銀行-TSS'!A:AP,42,FALSE)</f>
        <v>10.4087</v>
      </c>
      <c r="Y150" s="1223">
        <f t="shared" ca="1" si="38"/>
        <v>0</v>
      </c>
      <c r="Z150" s="1211">
        <f t="shared" ca="1" si="39"/>
        <v>0</v>
      </c>
      <c r="AA150" s="136">
        <f ca="1">IF(Z150&lt;=0,0,RANK(Z150,Z:Z)+COUNTIF($Z$3:$Z150,Z150)-1)</f>
        <v>0</v>
      </c>
      <c r="AB150" s="1211">
        <f t="shared" ca="1" si="32"/>
        <v>0</v>
      </c>
      <c r="AC150" s="136">
        <f ca="1">IF(AB150&lt;=0,0,RANK(AB150,AB:AB)+COUNTIF($AB$3:$AB150,AB150)-1)</f>
        <v>0</v>
      </c>
      <c r="AD150" s="136">
        <f t="shared" ca="1" si="40"/>
        <v>99999</v>
      </c>
      <c r="AE150" s="136">
        <f ca="1">IF(AD150=99999,0,RANK(AD150,AD:AD,1)+COUNTIF($AD$3:$AD150,AD150)-1)</f>
        <v>0</v>
      </c>
    </row>
    <row r="151" spans="1:31">
      <c r="A151" s="141" t="str">
        <f>'銀行-TSS'!A151</f>
        <v>US58933YAV74</v>
      </c>
      <c r="B151" s="151" t="str">
        <f ca="1">VLOOKUP(A151,'銀行-TSS'!A:B,2,FALSE)</f>
        <v>XG360</v>
      </c>
      <c r="C151" s="151" t="str">
        <f ca="1">VLOOKUP(B151,bond!B:C,2,FALSE)</f>
        <v>默克公司美元配息債券 3.9% 2039/3/7</v>
      </c>
      <c r="D151" s="95" t="str">
        <f>VLOOKUP(A151,'銀行-TSS'!A:C,3,FALSE)</f>
        <v>USD</v>
      </c>
      <c r="E151" s="90">
        <f ca="1">VLOOKUP(A151,'銀行-TSS'!A:G,7,FALSE)</f>
        <v>14.68</v>
      </c>
      <c r="F151" s="202">
        <f ca="1">VLOOKUP(A151,'銀行-TSS'!A:H,8,FALSE)</f>
        <v>3.9E-2</v>
      </c>
      <c r="G151" s="96">
        <f ca="1">VLOOKUP(A151,'銀行-TSS'!A:K,11,FALSE)</f>
        <v>90.21</v>
      </c>
      <c r="H151" s="1209">
        <f ca="1">VLOOKUP(A151,'銀行-TSS'!A:M,13,FALSE)</f>
        <v>4.9700000000000001E-2</v>
      </c>
      <c r="I151" s="1213">
        <f ca="1">VLOOKUP(A151,'銀行-TSS'!A:N,14,FALSE)</f>
        <v>10000</v>
      </c>
      <c r="J151" s="1213">
        <f ca="1">VLOOKUP(A151,'銀行-TSS'!A:O,15,FALSE)</f>
        <v>1000</v>
      </c>
      <c r="K151" s="136" t="str">
        <f ca="1">VLOOKUP(A151,'銀行-TSS'!A:V,22,FALSE)</f>
        <v>(NPI)非專投</v>
      </c>
      <c r="L151" s="136" t="str">
        <f ca="1">VLOOKUP(A151,'銀行-TSS'!A:AK,37,FALSE)</f>
        <v>有</v>
      </c>
      <c r="M151" s="136" t="str">
        <f ca="1">VLOOKUP(A151,'銀行-TSS'!A:AN,40,FALSE)</f>
        <v/>
      </c>
      <c r="N151" s="1211">
        <f t="shared" ca="1" si="33"/>
        <v>902.1</v>
      </c>
      <c r="O151" s="1211">
        <f t="shared" ca="1" si="34"/>
        <v>9020.9999999999982</v>
      </c>
      <c r="P151" s="1213">
        <f ca="1">IF(AND(換券投組!$D$17&gt;=O151,換券投組!$D$13=D151),I151+INT((換券投組!$D$17-O151)/N151)*J151,0)</f>
        <v>0</v>
      </c>
      <c r="Q151" s="1211">
        <f t="shared" ca="1" si="35"/>
        <v>0</v>
      </c>
      <c r="R151" s="1213">
        <f t="shared" ca="1" si="36"/>
        <v>0</v>
      </c>
      <c r="S151" s="1213">
        <f t="shared" ca="1" si="37"/>
        <v>0</v>
      </c>
      <c r="T151" s="136">
        <f t="shared" ca="1" si="30"/>
        <v>0</v>
      </c>
      <c r="U151" s="861">
        <f t="shared" ca="1" si="31"/>
        <v>0</v>
      </c>
      <c r="V151" s="136" t="b">
        <f ca="1">IF(OR(D151&lt;&gt;"USD",L151="無",M151&lt;&gt;"",K151="高資產",IFERROR(MATCH(B151,換券投組!K:K,0),"N")&lt;&gt;"N",IFERROR(MATCH(B151,換券投組!J:J,0),"N")&lt;&gt;"N"),FALSE,IF($V$1="All",TRUE,IF(K151=$V$1,TRUE,FALSE)))</f>
        <v>1</v>
      </c>
      <c r="W151" s="136">
        <f ca="1">VLOOKUP(A151,'銀行-TSS'!A:AO,41,FALSE)</f>
        <v>86.960000000000008</v>
      </c>
      <c r="X151" s="136">
        <f ca="1">VLOOKUP(A151,'銀行-TSS'!A:AP,42,FALSE)</f>
        <v>10.6127</v>
      </c>
      <c r="Y151" s="1223">
        <f t="shared" ca="1" si="38"/>
        <v>0</v>
      </c>
      <c r="Z151" s="1211">
        <f t="shared" ca="1" si="39"/>
        <v>0</v>
      </c>
      <c r="AA151" s="136">
        <f ca="1">IF(Z151&lt;=0,0,RANK(Z151,Z:Z)+COUNTIF($Z$3:$Z151,Z151)-1)</f>
        <v>0</v>
      </c>
      <c r="AB151" s="1211">
        <f t="shared" ca="1" si="32"/>
        <v>0</v>
      </c>
      <c r="AC151" s="136">
        <f ca="1">IF(AB151&lt;=0,0,RANK(AB151,AB:AB)+COUNTIF($AB$3:$AB151,AB151)-1)</f>
        <v>0</v>
      </c>
      <c r="AD151" s="136">
        <f t="shared" ca="1" si="40"/>
        <v>99999</v>
      </c>
      <c r="AE151" s="136">
        <f ca="1">IF(AD151=99999,0,RANK(AD151,AD:AD,1)+COUNTIF($AD$3:$AD151,AD151)-1)</f>
        <v>0</v>
      </c>
    </row>
    <row r="152" spans="1:31">
      <c r="A152" s="141" t="str">
        <f>'銀行-TSS'!A152</f>
        <v>US002824BG43</v>
      </c>
      <c r="B152" s="151" t="str">
        <f ca="1">VLOOKUP(A152,'銀行-TSS'!A:B,2,FALSE)</f>
        <v>XG370</v>
      </c>
      <c r="C152" s="151" t="str">
        <f ca="1">VLOOKUP(B152,bond!B:C,2,FALSE)</f>
        <v>亞培公司美元配息債券 4.75% 2036/11/30</v>
      </c>
      <c r="D152" s="95" t="str">
        <f>VLOOKUP(A152,'銀行-TSS'!A:C,3,FALSE)</f>
        <v>USD</v>
      </c>
      <c r="E152" s="90">
        <f ca="1">VLOOKUP(A152,'銀行-TSS'!A:G,7,FALSE)</f>
        <v>12.41</v>
      </c>
      <c r="F152" s="202">
        <f ca="1">VLOOKUP(A152,'銀行-TSS'!A:H,8,FALSE)</f>
        <v>4.7500000000000001E-2</v>
      </c>
      <c r="G152" s="96">
        <f ca="1">VLOOKUP(A152,'銀行-TSS'!A:K,11,FALSE)</f>
        <v>99.98</v>
      </c>
      <c r="H152" s="1209">
        <f ca="1">VLOOKUP(A152,'銀行-TSS'!A:M,13,FALSE)</f>
        <v>4.8000000000000001E-2</v>
      </c>
      <c r="I152" s="1213">
        <f ca="1">VLOOKUP(A152,'銀行-TSS'!A:N,14,FALSE)</f>
        <v>10000</v>
      </c>
      <c r="J152" s="1213">
        <f ca="1">VLOOKUP(A152,'銀行-TSS'!A:O,15,FALSE)</f>
        <v>1000</v>
      </c>
      <c r="K152" s="136" t="str">
        <f ca="1">VLOOKUP(A152,'銀行-TSS'!A:V,22,FALSE)</f>
        <v>(NPI)非專投</v>
      </c>
      <c r="L152" s="136" t="str">
        <f ca="1">VLOOKUP(A152,'銀行-TSS'!A:AK,37,FALSE)</f>
        <v>有</v>
      </c>
      <c r="M152" s="136" t="str">
        <f ca="1">VLOOKUP(A152,'銀行-TSS'!A:AN,40,FALSE)</f>
        <v/>
      </c>
      <c r="N152" s="1211">
        <f t="shared" ca="1" si="33"/>
        <v>999.8</v>
      </c>
      <c r="O152" s="1211">
        <f t="shared" ca="1" si="34"/>
        <v>9998</v>
      </c>
      <c r="P152" s="1213">
        <f ca="1">IF(AND(換券投組!$D$17&gt;=O152,換券投組!$D$13=D152),I152+INT((換券投組!$D$17-O152)/N152)*J152,0)</f>
        <v>0</v>
      </c>
      <c r="Q152" s="1211">
        <f t="shared" ca="1" si="35"/>
        <v>0</v>
      </c>
      <c r="R152" s="1213">
        <f t="shared" ca="1" si="36"/>
        <v>0</v>
      </c>
      <c r="S152" s="1213">
        <f t="shared" ca="1" si="37"/>
        <v>0</v>
      </c>
      <c r="T152" s="136">
        <f t="shared" ca="1" si="30"/>
        <v>0</v>
      </c>
      <c r="U152" s="861">
        <f t="shared" ca="1" si="31"/>
        <v>0</v>
      </c>
      <c r="V152" s="136" t="b">
        <f ca="1">IF(OR(D152&lt;&gt;"USD",L152="無",M152&lt;&gt;"",K152="高資產",IFERROR(MATCH(B152,換券投組!K:K,0),"N")&lt;&gt;"N",IFERROR(MATCH(B152,換券投組!J:J,0),"N")&lt;&gt;"N"),FALSE,IF($V$1="All",TRUE,IF(K152=$V$1,TRUE,FALSE)))</f>
        <v>1</v>
      </c>
      <c r="W152" s="136">
        <f ca="1">VLOOKUP(A152,'銀行-TSS'!A:AO,41,FALSE)</f>
        <v>97.56</v>
      </c>
      <c r="X152" s="136">
        <f ca="1">VLOOKUP(A152,'銀行-TSS'!A:AP,42,FALSE)</f>
        <v>9.2169000000000008</v>
      </c>
      <c r="Y152" s="1223">
        <f t="shared" ca="1" si="38"/>
        <v>0</v>
      </c>
      <c r="Z152" s="1211">
        <f t="shared" ca="1" si="39"/>
        <v>0</v>
      </c>
      <c r="AA152" s="136">
        <f ca="1">IF(Z152&lt;=0,0,RANK(Z152,Z:Z)+COUNTIF($Z$3:$Z152,Z152)-1)</f>
        <v>0</v>
      </c>
      <c r="AB152" s="1211">
        <f t="shared" ca="1" si="32"/>
        <v>0</v>
      </c>
      <c r="AC152" s="136">
        <f ca="1">IF(AB152&lt;=0,0,RANK(AB152,AB:AB)+COUNTIF($AB$3:$AB152,AB152)-1)</f>
        <v>0</v>
      </c>
      <c r="AD152" s="136">
        <f t="shared" ca="1" si="40"/>
        <v>99999</v>
      </c>
      <c r="AE152" s="136">
        <f ca="1">IF(AD152=99999,0,RANK(AD152,AD:AD,1)+COUNTIF($AD$3:$AD152,AD152)-1)</f>
        <v>0</v>
      </c>
    </row>
    <row r="153" spans="1:31">
      <c r="A153" s="141" t="str">
        <f>'銀行-TSS'!A153</f>
        <v>US92343VFE92</v>
      </c>
      <c r="B153" s="151" t="str">
        <f ca="1">VLOOKUP(A153,'銀行-TSS'!A:B,2,FALSE)</f>
        <v>XG380</v>
      </c>
      <c r="C153" s="151" t="str">
        <f ca="1">VLOOKUP(B153,bond!B:C,2,FALSE)</f>
        <v>威瑞森電信公司美元配息債券 3.15% 2030/3/22</v>
      </c>
      <c r="D153" s="95" t="str">
        <f>VLOOKUP(A153,'銀行-TSS'!A:C,3,FALSE)</f>
        <v>USD</v>
      </c>
      <c r="E153" s="90">
        <f ca="1">VLOOKUP(A153,'銀行-TSS'!A:G,7,FALSE)</f>
        <v>5.72</v>
      </c>
      <c r="F153" s="202">
        <f ca="1">VLOOKUP(A153,'銀行-TSS'!A:H,8,FALSE)</f>
        <v>3.15E-2</v>
      </c>
      <c r="G153" s="96">
        <f ca="1">VLOOKUP(A153,'銀行-TSS'!A:K,11,FALSE)</f>
        <v>93.21</v>
      </c>
      <c r="H153" s="1209">
        <f ca="1">VLOOKUP(A153,'銀行-TSS'!A:M,13,FALSE)</f>
        <v>4.6899999999999997E-2</v>
      </c>
      <c r="I153" s="1213">
        <f ca="1">VLOOKUP(A153,'銀行-TSS'!A:N,14,FALSE)</f>
        <v>10000</v>
      </c>
      <c r="J153" s="1213">
        <f ca="1">VLOOKUP(A153,'銀行-TSS'!A:O,15,FALSE)</f>
        <v>1000</v>
      </c>
      <c r="K153" s="136" t="str">
        <f ca="1">VLOOKUP(A153,'銀行-TSS'!A:V,22,FALSE)</f>
        <v>(NPI)非專投</v>
      </c>
      <c r="L153" s="136" t="str">
        <f ca="1">VLOOKUP(A153,'銀行-TSS'!A:AK,37,FALSE)</f>
        <v>有</v>
      </c>
      <c r="M153" s="136" t="str">
        <f ca="1">VLOOKUP(A153,'銀行-TSS'!A:AN,40,FALSE)</f>
        <v/>
      </c>
      <c r="N153" s="1211">
        <f t="shared" ca="1" si="33"/>
        <v>932.1</v>
      </c>
      <c r="O153" s="1211">
        <f t="shared" ca="1" si="34"/>
        <v>9320.9999999999982</v>
      </c>
      <c r="P153" s="1213">
        <f ca="1">IF(AND(換券投組!$D$17&gt;=O153,換券投組!$D$13=D153),I153+INT((換券投組!$D$17-O153)/N153)*J153,0)</f>
        <v>0</v>
      </c>
      <c r="Q153" s="1211">
        <f t="shared" ca="1" si="35"/>
        <v>0</v>
      </c>
      <c r="R153" s="1213">
        <f t="shared" ca="1" si="36"/>
        <v>0</v>
      </c>
      <c r="S153" s="1213">
        <f t="shared" ca="1" si="37"/>
        <v>0</v>
      </c>
      <c r="T153" s="136">
        <f t="shared" ca="1" si="30"/>
        <v>0</v>
      </c>
      <c r="U153" s="861">
        <f t="shared" ca="1" si="31"/>
        <v>0</v>
      </c>
      <c r="V153" s="136" t="b">
        <f ca="1">IF(OR(D153&lt;&gt;"USD",L153="無",M153&lt;&gt;"",K153="高資產",IFERROR(MATCH(B153,換券投組!K:K,0),"N")&lt;&gt;"N",IFERROR(MATCH(B153,換券投組!J:J,0),"N")&lt;&gt;"N"),FALSE,IF($V$1="All",TRUE,IF(K153=$V$1,TRUE,FALSE)))</f>
        <v>1</v>
      </c>
      <c r="W153" s="136">
        <f ca="1">VLOOKUP(A153,'銀行-TSS'!A:AO,41,FALSE)</f>
        <v>90.83</v>
      </c>
      <c r="X153" s="136">
        <f ca="1">VLOOKUP(A153,'銀行-TSS'!A:AP,42,FALSE)</f>
        <v>5.0799000000000003</v>
      </c>
      <c r="Y153" s="1223">
        <f t="shared" ca="1" si="38"/>
        <v>0</v>
      </c>
      <c r="Z153" s="1211">
        <f t="shared" ca="1" si="39"/>
        <v>0</v>
      </c>
      <c r="AA153" s="136">
        <f ca="1">IF(Z153&lt;=0,0,RANK(Z153,Z:Z)+COUNTIF($Z$3:$Z153,Z153)-1)</f>
        <v>0</v>
      </c>
      <c r="AB153" s="1211">
        <f t="shared" ca="1" si="32"/>
        <v>0</v>
      </c>
      <c r="AC153" s="136">
        <f ca="1">IF(AB153&lt;=0,0,RANK(AB153,AB:AB)+COUNTIF($AB$3:$AB153,AB153)-1)</f>
        <v>0</v>
      </c>
      <c r="AD153" s="136">
        <f t="shared" ca="1" si="40"/>
        <v>99999</v>
      </c>
      <c r="AE153" s="136">
        <f ca="1">IF(AD153=99999,0,RANK(AD153,AD:AD,1)+COUNTIF($AD$3:$AD153,AD153)-1)</f>
        <v>0</v>
      </c>
    </row>
    <row r="154" spans="1:31">
      <c r="A154" s="141" t="str">
        <f>'銀行-TSS'!A154</f>
        <v>US88032XAV64</v>
      </c>
      <c r="B154" s="151" t="str">
        <f ca="1">VLOOKUP(A154,'銀行-TSS'!A:B,2,FALSE)</f>
        <v>XG390</v>
      </c>
      <c r="C154" s="151" t="str">
        <f ca="1">VLOOKUP(B154,bond!B:C,2,FALSE)</f>
        <v>騰訊控股美元配息債券 3.24% 2050/6/3</v>
      </c>
      <c r="D154" s="95" t="str">
        <f>VLOOKUP(A154,'銀行-TSS'!A:C,3,FALSE)</f>
        <v>USD</v>
      </c>
      <c r="E154" s="90">
        <f ca="1">VLOOKUP(A154,'銀行-TSS'!A:G,7,FALSE)</f>
        <v>25.92</v>
      </c>
      <c r="F154" s="202">
        <f ca="1">VLOOKUP(A154,'銀行-TSS'!A:H,8,FALSE)</f>
        <v>3.2400000000000005E-2</v>
      </c>
      <c r="G154" s="96">
        <f ca="1">VLOOKUP(A154,'銀行-TSS'!A:K,11,FALSE)</f>
        <v>69.989999999999995</v>
      </c>
      <c r="H154" s="1209">
        <f ca="1">VLOOKUP(A154,'銀行-TSS'!A:M,13,FALSE)</f>
        <v>5.4300000000000001E-2</v>
      </c>
      <c r="I154" s="1213">
        <f ca="1">VLOOKUP(A154,'銀行-TSS'!A:N,14,FALSE)</f>
        <v>200000</v>
      </c>
      <c r="J154" s="1213">
        <f ca="1">VLOOKUP(A154,'銀行-TSS'!A:O,15,FALSE)</f>
        <v>1000</v>
      </c>
      <c r="K154" s="136" t="str">
        <f ca="1">VLOOKUP(A154,'銀行-TSS'!A:V,22,FALSE)</f>
        <v>(NPI)非專投</v>
      </c>
      <c r="L154" s="136" t="str">
        <f ca="1">VLOOKUP(A154,'銀行-TSS'!A:AK,37,FALSE)</f>
        <v>有</v>
      </c>
      <c r="M154" s="136" t="str">
        <f ca="1">VLOOKUP(A154,'銀行-TSS'!A:AN,40,FALSE)</f>
        <v/>
      </c>
      <c r="N154" s="1211">
        <f t="shared" ca="1" si="33"/>
        <v>699.9</v>
      </c>
      <c r="O154" s="1211">
        <f t="shared" ca="1" si="34"/>
        <v>139979.99999999997</v>
      </c>
      <c r="P154" s="1213">
        <f ca="1">IF(AND(換券投組!$D$17&gt;=O154,換券投組!$D$13=D154),I154+INT((換券投組!$D$17-O154)/N154)*J154,0)</f>
        <v>0</v>
      </c>
      <c r="Q154" s="1211">
        <f t="shared" ca="1" si="35"/>
        <v>0</v>
      </c>
      <c r="R154" s="1213">
        <f t="shared" ca="1" si="36"/>
        <v>0</v>
      </c>
      <c r="S154" s="1213">
        <f t="shared" ca="1" si="37"/>
        <v>0</v>
      </c>
      <c r="T154" s="136">
        <f t="shared" ca="1" si="30"/>
        <v>0</v>
      </c>
      <c r="U154" s="861">
        <f t="shared" ca="1" si="31"/>
        <v>0</v>
      </c>
      <c r="V154" s="136" t="b">
        <f ca="1">IF(OR(D154&lt;&gt;"USD",L154="無",M154&lt;&gt;"",K154="高資產",IFERROR(MATCH(B154,換券投組!K:K,0),"N")&lt;&gt;"N",IFERROR(MATCH(B154,換券投組!J:J,0),"N")&lt;&gt;"N"),FALSE,IF($V$1="All",TRUE,IF(K154=$V$1,TRUE,FALSE)))</f>
        <v>1</v>
      </c>
      <c r="W154" s="136">
        <f ca="1">VLOOKUP(A154,'銀行-TSS'!A:AO,41,FALSE)</f>
        <v>66.23</v>
      </c>
      <c r="X154" s="136">
        <f ca="1">VLOOKUP(A154,'銀行-TSS'!A:AP,42,FALSE)</f>
        <v>15.210599999999999</v>
      </c>
      <c r="Y154" s="1223">
        <f t="shared" ca="1" si="38"/>
        <v>0</v>
      </c>
      <c r="Z154" s="1211">
        <f t="shared" ca="1" si="39"/>
        <v>0</v>
      </c>
      <c r="AA154" s="136">
        <f ca="1">IF(Z154&lt;=0,0,RANK(Z154,Z:Z)+COUNTIF($Z$3:$Z154,Z154)-1)</f>
        <v>0</v>
      </c>
      <c r="AB154" s="1211">
        <f t="shared" ca="1" si="32"/>
        <v>0</v>
      </c>
      <c r="AC154" s="136">
        <f ca="1">IF(AB154&lt;=0,0,RANK(AB154,AB:AB)+COUNTIF($AB$3:$AB154,AB154)-1)</f>
        <v>0</v>
      </c>
      <c r="AD154" s="136">
        <f t="shared" ca="1" si="40"/>
        <v>99999</v>
      </c>
      <c r="AE154" s="136">
        <f ca="1">IF(AD154=99999,0,RANK(AD154,AD:AD,1)+COUNTIF($AD$3:$AD154,AD154)-1)</f>
        <v>0</v>
      </c>
    </row>
    <row r="155" spans="1:31">
      <c r="A155" s="141" t="str">
        <f>'銀行-TSS'!A155</f>
        <v>US209111FY40</v>
      </c>
      <c r="B155" s="151" t="str">
        <f ca="1">VLOOKUP(A155,'銀行-TSS'!A:B,2,FALSE)</f>
        <v>XG400</v>
      </c>
      <c r="C155" s="151" t="str">
        <f ca="1">VLOOKUP(B155,bond!B:C,2,FALSE)</f>
        <v>紐約聯合愛迪生公司美元配息債券 3.95% 2050/4/1</v>
      </c>
      <c r="D155" s="95" t="str">
        <f>VLOOKUP(A155,'銀行-TSS'!A:C,3,FALSE)</f>
        <v>USD</v>
      </c>
      <c r="E155" s="90">
        <f ca="1">VLOOKUP(A155,'銀行-TSS'!A:G,7,FALSE)</f>
        <v>25.75</v>
      </c>
      <c r="F155" s="202">
        <f ca="1">VLOOKUP(A155,'銀行-TSS'!A:H,8,FALSE)</f>
        <v>3.95E-2</v>
      </c>
      <c r="G155" s="96">
        <f ca="1">VLOOKUP(A155,'銀行-TSS'!A:K,11,FALSE)</f>
        <v>83.43</v>
      </c>
      <c r="H155" s="1209">
        <f ca="1">VLOOKUP(A155,'銀行-TSS'!A:M,13,FALSE)</f>
        <v>5.1900000000000002E-2</v>
      </c>
      <c r="I155" s="1213">
        <f ca="1">VLOOKUP(A155,'銀行-TSS'!A:N,14,FALSE)</f>
        <v>10000</v>
      </c>
      <c r="J155" s="1213">
        <f ca="1">VLOOKUP(A155,'銀行-TSS'!A:O,15,FALSE)</f>
        <v>1000</v>
      </c>
      <c r="K155" s="136" t="str">
        <f ca="1">VLOOKUP(A155,'銀行-TSS'!A:V,22,FALSE)</f>
        <v>(PI)專投</v>
      </c>
      <c r="L155" s="136" t="str">
        <f ca="1">VLOOKUP(A155,'銀行-TSS'!A:AK,37,FALSE)</f>
        <v>有</v>
      </c>
      <c r="M155" s="136" t="str">
        <f ca="1">VLOOKUP(A155,'銀行-TSS'!A:AN,40,FALSE)</f>
        <v/>
      </c>
      <c r="N155" s="1211">
        <f t="shared" ca="1" si="33"/>
        <v>834.3</v>
      </c>
      <c r="O155" s="1211">
        <f t="shared" ca="1" si="34"/>
        <v>8343.0000000000018</v>
      </c>
      <c r="P155" s="1213">
        <f ca="1">IF(AND(換券投組!$D$17&gt;=O155,換券投組!$D$13=D155),I155+INT((換券投組!$D$17-O155)/N155)*J155,0)</f>
        <v>0</v>
      </c>
      <c r="Q155" s="1211">
        <f t="shared" ca="1" si="35"/>
        <v>0</v>
      </c>
      <c r="R155" s="1213">
        <f t="shared" ca="1" si="36"/>
        <v>0</v>
      </c>
      <c r="S155" s="1213">
        <f t="shared" ca="1" si="37"/>
        <v>0</v>
      </c>
      <c r="T155" s="136">
        <f t="shared" ca="1" si="30"/>
        <v>0</v>
      </c>
      <c r="U155" s="861">
        <f t="shared" ca="1" si="31"/>
        <v>0</v>
      </c>
      <c r="V155" s="136" t="b">
        <f ca="1">IF(OR(D155&lt;&gt;"USD",L155="無",M155&lt;&gt;"",K155="高資產",IFERROR(MATCH(B155,換券投組!K:K,0),"N")&lt;&gt;"N",IFERROR(MATCH(B155,換券投組!J:J,0),"N")&lt;&gt;"N"),FALSE,IF($V$1="All",TRUE,IF(K155=$V$1,TRUE,FALSE)))</f>
        <v>1</v>
      </c>
      <c r="W155" s="136">
        <f ca="1">VLOOKUP(A155,'銀行-TSS'!A:AO,41,FALSE)</f>
        <v>78.930000000000007</v>
      </c>
      <c r="X155" s="136">
        <f ca="1">VLOOKUP(A155,'銀行-TSS'!A:AP,42,FALSE)</f>
        <v>14.6214</v>
      </c>
      <c r="Y155" s="1223">
        <f t="shared" ca="1" si="38"/>
        <v>0</v>
      </c>
      <c r="Z155" s="1211">
        <f t="shared" ca="1" si="39"/>
        <v>0</v>
      </c>
      <c r="AA155" s="136">
        <f ca="1">IF(Z155&lt;=0,0,RANK(Z155,Z:Z)+COUNTIF($Z$3:$Z155,Z155)-1)</f>
        <v>0</v>
      </c>
      <c r="AB155" s="1211">
        <f t="shared" ca="1" si="32"/>
        <v>0</v>
      </c>
      <c r="AC155" s="136">
        <f ca="1">IF(AB155&lt;=0,0,RANK(AB155,AB:AB)+COUNTIF($AB$3:$AB155,AB155)-1)</f>
        <v>0</v>
      </c>
      <c r="AD155" s="136">
        <f t="shared" ca="1" si="40"/>
        <v>99999</v>
      </c>
      <c r="AE155" s="136">
        <f ca="1">IF(AD155=99999,0,RANK(AD155,AD:AD,1)+COUNTIF($AD$3:$AD155,AD155)-1)</f>
        <v>0</v>
      </c>
    </row>
    <row r="156" spans="1:31">
      <c r="A156" s="141" t="str">
        <f>'銀行-TSS'!A156</f>
        <v>US46647PCD69</v>
      </c>
      <c r="B156" s="151" t="str">
        <f ca="1">VLOOKUP(A156,'銀行-TSS'!A:B,2,FALSE)</f>
        <v>XG410</v>
      </c>
      <c r="C156" s="151" t="str">
        <f ca="1">VLOOKUP(B156,bond!B:C,2,FALSE)</f>
        <v>摩根大通銀行美元配息債券  3.157% 2042/4/22</v>
      </c>
      <c r="D156" s="95" t="str">
        <f>VLOOKUP(A156,'銀行-TSS'!A:C,3,FALSE)</f>
        <v>USD</v>
      </c>
      <c r="E156" s="90">
        <f ca="1">VLOOKUP(A156,'銀行-TSS'!A:G,7,FALSE)</f>
        <v>17.8</v>
      </c>
      <c r="F156" s="202">
        <f ca="1">VLOOKUP(A156,'銀行-TSS'!A:H,8,FALSE)</f>
        <v>3.1570000000000001E-2</v>
      </c>
      <c r="G156" s="96">
        <f ca="1">VLOOKUP(A156,'銀行-TSS'!A:K,11,FALSE)</f>
        <v>78.2</v>
      </c>
      <c r="H156" s="1209">
        <f ca="1">VLOOKUP(A156,'銀行-TSS'!A:M,13,FALSE)</f>
        <v>5.2400000000000002E-2</v>
      </c>
      <c r="I156" s="1213">
        <f ca="1">VLOOKUP(A156,'銀行-TSS'!A:N,14,FALSE)</f>
        <v>10000</v>
      </c>
      <c r="J156" s="1213">
        <f ca="1">VLOOKUP(A156,'銀行-TSS'!A:O,15,FALSE)</f>
        <v>1000</v>
      </c>
      <c r="K156" s="136" t="str">
        <f ca="1">VLOOKUP(A156,'銀行-TSS'!A:V,22,FALSE)</f>
        <v>(PI)專投</v>
      </c>
      <c r="L156" s="136" t="str">
        <f ca="1">VLOOKUP(A156,'銀行-TSS'!A:AK,37,FALSE)</f>
        <v>有</v>
      </c>
      <c r="M156" s="136" t="str">
        <f ca="1">VLOOKUP(A156,'銀行-TSS'!A:AN,40,FALSE)</f>
        <v/>
      </c>
      <c r="N156" s="1211">
        <f t="shared" ca="1" si="33"/>
        <v>782</v>
      </c>
      <c r="O156" s="1211">
        <f t="shared" ca="1" si="34"/>
        <v>7820</v>
      </c>
      <c r="P156" s="1213">
        <f ca="1">IF(AND(換券投組!$D$17&gt;=O156,換券投組!$D$13=D156),I156+INT((換券投組!$D$17-O156)/N156)*J156,0)</f>
        <v>0</v>
      </c>
      <c r="Q156" s="1211">
        <f t="shared" ca="1" si="35"/>
        <v>0</v>
      </c>
      <c r="R156" s="1213">
        <f t="shared" ca="1" si="36"/>
        <v>0</v>
      </c>
      <c r="S156" s="1213">
        <f t="shared" ca="1" si="37"/>
        <v>0</v>
      </c>
      <c r="T156" s="136">
        <f t="shared" ca="1" si="30"/>
        <v>0</v>
      </c>
      <c r="U156" s="861">
        <f t="shared" ca="1" si="31"/>
        <v>0</v>
      </c>
      <c r="V156" s="136" t="b">
        <f ca="1">IF(OR(D156&lt;&gt;"USD",L156="無",M156&lt;&gt;"",K156="高資產",IFERROR(MATCH(B156,換券投組!K:K,0),"N")&lt;&gt;"N",IFERROR(MATCH(B156,換券投組!J:J,0),"N")&lt;&gt;"N"),FALSE,IF($V$1="All",TRUE,IF(K156=$V$1,TRUE,FALSE)))</f>
        <v>1</v>
      </c>
      <c r="W156" s="136">
        <f ca="1">VLOOKUP(A156,'銀行-TSS'!A:AO,41,FALSE)</f>
        <v>75.09</v>
      </c>
      <c r="X156" s="136">
        <f ca="1">VLOOKUP(A156,'銀行-TSS'!A:AP,42,FALSE)</f>
        <v>12.0928</v>
      </c>
      <c r="Y156" s="1223">
        <f t="shared" ca="1" si="38"/>
        <v>0</v>
      </c>
      <c r="Z156" s="1211">
        <f t="shared" ca="1" si="39"/>
        <v>0</v>
      </c>
      <c r="AA156" s="136">
        <f ca="1">IF(Z156&lt;=0,0,RANK(Z156,Z:Z)+COUNTIF($Z$3:$Z156,Z156)-1)</f>
        <v>0</v>
      </c>
      <c r="AB156" s="1211">
        <f t="shared" ca="1" si="32"/>
        <v>0</v>
      </c>
      <c r="AC156" s="136">
        <f ca="1">IF(AB156&lt;=0,0,RANK(AB156,AB:AB)+COUNTIF($AB$3:$AB156,AB156)-1)</f>
        <v>0</v>
      </c>
      <c r="AD156" s="136">
        <f t="shared" ca="1" si="40"/>
        <v>99999</v>
      </c>
      <c r="AE156" s="136">
        <f ca="1">IF(AD156=99999,0,RANK(AD156,AD:AD,1)+COUNTIF($AD$3:$AD156,AD156)-1)</f>
        <v>0</v>
      </c>
    </row>
    <row r="157" spans="1:31">
      <c r="A157" s="141" t="str">
        <f>'銀行-TSS'!A157</f>
        <v>US38141GYC22</v>
      </c>
      <c r="B157" s="151" t="str">
        <f ca="1">VLOOKUP(A157,'銀行-TSS'!A:B,2,FALSE)</f>
        <v>XG420</v>
      </c>
      <c r="C157" s="151" t="str">
        <f ca="1">VLOOKUP(B157,bond!B:C,2,FALSE)</f>
        <v>高盛集團美元配息債券 3.21% 2042/4/22</v>
      </c>
      <c r="D157" s="95" t="str">
        <f>VLOOKUP(A157,'銀行-TSS'!A:C,3,FALSE)</f>
        <v>USD</v>
      </c>
      <c r="E157" s="90">
        <f ca="1">VLOOKUP(A157,'銀行-TSS'!A:G,7,FALSE)</f>
        <v>17.8</v>
      </c>
      <c r="F157" s="202">
        <f ca="1">VLOOKUP(A157,'銀行-TSS'!A:H,8,FALSE)</f>
        <v>3.2099999999999997E-2</v>
      </c>
      <c r="G157" s="96">
        <f ca="1">VLOOKUP(A157,'銀行-TSS'!A:K,11,FALSE)</f>
        <v>77.790000000000006</v>
      </c>
      <c r="H157" s="1209">
        <f ca="1">VLOOKUP(A157,'銀行-TSS'!A:M,13,FALSE)</f>
        <v>5.3400000000000003E-2</v>
      </c>
      <c r="I157" s="1213">
        <f ca="1">VLOOKUP(A157,'銀行-TSS'!A:N,14,FALSE)</f>
        <v>10000</v>
      </c>
      <c r="J157" s="1213">
        <f ca="1">VLOOKUP(A157,'銀行-TSS'!A:O,15,FALSE)</f>
        <v>1000</v>
      </c>
      <c r="K157" s="136" t="str">
        <f ca="1">VLOOKUP(A157,'銀行-TSS'!A:V,22,FALSE)</f>
        <v>(PI)專投</v>
      </c>
      <c r="L157" s="136" t="str">
        <f ca="1">VLOOKUP(A157,'銀行-TSS'!A:AK,37,FALSE)</f>
        <v>有</v>
      </c>
      <c r="M157" s="136" t="str">
        <f ca="1">VLOOKUP(A157,'銀行-TSS'!A:AN,40,FALSE)</f>
        <v/>
      </c>
      <c r="N157" s="1211">
        <f t="shared" ca="1" si="33"/>
        <v>777.9</v>
      </c>
      <c r="O157" s="1211">
        <f t="shared" ca="1" si="34"/>
        <v>7779.0000000000009</v>
      </c>
      <c r="P157" s="1213">
        <f ca="1">IF(AND(換券投組!$D$17&gt;=O157,換券投組!$D$13=D157),I157+INT((換券投組!$D$17-O157)/N157)*J157,0)</f>
        <v>0</v>
      </c>
      <c r="Q157" s="1211">
        <f t="shared" ca="1" si="35"/>
        <v>0</v>
      </c>
      <c r="R157" s="1213">
        <f t="shared" ca="1" si="36"/>
        <v>0</v>
      </c>
      <c r="S157" s="1213">
        <f t="shared" ca="1" si="37"/>
        <v>0</v>
      </c>
      <c r="T157" s="136">
        <f t="shared" ca="1" si="30"/>
        <v>0</v>
      </c>
      <c r="U157" s="861">
        <f t="shared" ca="1" si="31"/>
        <v>0</v>
      </c>
      <c r="V157" s="136" t="b">
        <f ca="1">IF(OR(D157&lt;&gt;"USD",L157="無",M157&lt;&gt;"",K157="高資產",IFERROR(MATCH(B157,換券投組!K:K,0),"N")&lt;&gt;"N",IFERROR(MATCH(B157,換券投組!J:J,0),"N")&lt;&gt;"N"),FALSE,IF($V$1="All",TRUE,IF(K157=$V$1,TRUE,FALSE)))</f>
        <v>1</v>
      </c>
      <c r="W157" s="136">
        <f ca="1">VLOOKUP(A157,'銀行-TSS'!A:AO,41,FALSE)</f>
        <v>74.67</v>
      </c>
      <c r="X157" s="136">
        <f ca="1">VLOOKUP(A157,'銀行-TSS'!A:AP,42,FALSE)</f>
        <v>12.0146</v>
      </c>
      <c r="Y157" s="1223">
        <f t="shared" ca="1" si="38"/>
        <v>0</v>
      </c>
      <c r="Z157" s="1211">
        <f t="shared" ca="1" si="39"/>
        <v>0</v>
      </c>
      <c r="AA157" s="136">
        <f ca="1">IF(Z157&lt;=0,0,RANK(Z157,Z:Z)+COUNTIF($Z$3:$Z157,Z157)-1)</f>
        <v>0</v>
      </c>
      <c r="AB157" s="1211">
        <f t="shared" ca="1" si="32"/>
        <v>0</v>
      </c>
      <c r="AC157" s="136">
        <f ca="1">IF(AB157&lt;=0,0,RANK(AB157,AB:AB)+COUNTIF($AB$3:$AB157,AB157)-1)</f>
        <v>0</v>
      </c>
      <c r="AD157" s="136">
        <f t="shared" ca="1" si="40"/>
        <v>99999</v>
      </c>
      <c r="AE157" s="136">
        <f ca="1">IF(AD157=99999,0,RANK(AD157,AD:AD,1)+COUNTIF($AD$3:$AD157,AD157)-1)</f>
        <v>0</v>
      </c>
    </row>
    <row r="158" spans="1:31">
      <c r="A158" s="141" t="str">
        <f>'銀行-TSS'!A158</f>
        <v>US92343VFD10</v>
      </c>
      <c r="B158" s="151" t="str">
        <f ca="1">VLOOKUP(A158,'銀行-TSS'!A:B,2,FALSE)</f>
        <v>XG430</v>
      </c>
      <c r="C158" s="151" t="str">
        <f ca="1">VLOOKUP(B158,bond!B:C,2,FALSE)</f>
        <v>威瑞森電信公司美元配息債券 4% 2050/3/22</v>
      </c>
      <c r="D158" s="95" t="str">
        <f>VLOOKUP(A158,'銀行-TSS'!A:C,3,FALSE)</f>
        <v>USD</v>
      </c>
      <c r="E158" s="90">
        <f ca="1">VLOOKUP(A158,'銀行-TSS'!A:G,7,FALSE)</f>
        <v>25.72</v>
      </c>
      <c r="F158" s="202">
        <f ca="1">VLOOKUP(A158,'銀行-TSS'!A:H,8,FALSE)</f>
        <v>0.04</v>
      </c>
      <c r="G158" s="96">
        <f ca="1">VLOOKUP(A158,'銀行-TSS'!A:K,11,FALSE)</f>
        <v>83.44</v>
      </c>
      <c r="H158" s="1209">
        <f ca="1">VLOOKUP(A158,'銀行-TSS'!A:M,13,FALSE)</f>
        <v>5.2600000000000001E-2</v>
      </c>
      <c r="I158" s="1213">
        <f ca="1">VLOOKUP(A158,'銀行-TSS'!A:N,14,FALSE)</f>
        <v>10000</v>
      </c>
      <c r="J158" s="1213">
        <f ca="1">VLOOKUP(A158,'銀行-TSS'!A:O,15,FALSE)</f>
        <v>1000</v>
      </c>
      <c r="K158" s="136" t="str">
        <f ca="1">VLOOKUP(A158,'銀行-TSS'!A:V,22,FALSE)</f>
        <v>(NPI)非專投</v>
      </c>
      <c r="L158" s="136" t="str">
        <f ca="1">VLOOKUP(A158,'銀行-TSS'!A:AK,37,FALSE)</f>
        <v>有</v>
      </c>
      <c r="M158" s="136" t="str">
        <f ca="1">VLOOKUP(A158,'銀行-TSS'!A:AN,40,FALSE)</f>
        <v/>
      </c>
      <c r="N158" s="1211">
        <f t="shared" ca="1" si="33"/>
        <v>834.4</v>
      </c>
      <c r="O158" s="1211">
        <f t="shared" ca="1" si="34"/>
        <v>8344</v>
      </c>
      <c r="P158" s="1213">
        <f ca="1">IF(AND(換券投組!$D$17&gt;=O158,換券投組!$D$13=D158),I158+INT((換券投組!$D$17-O158)/N158)*J158,0)</f>
        <v>0</v>
      </c>
      <c r="Q158" s="1211">
        <f t="shared" ca="1" si="35"/>
        <v>0</v>
      </c>
      <c r="R158" s="1213">
        <f t="shared" ca="1" si="36"/>
        <v>0</v>
      </c>
      <c r="S158" s="1213">
        <f t="shared" ca="1" si="37"/>
        <v>0</v>
      </c>
      <c r="T158" s="136">
        <f t="shared" ca="1" si="30"/>
        <v>0</v>
      </c>
      <c r="U158" s="861">
        <f t="shared" ca="1" si="31"/>
        <v>0</v>
      </c>
      <c r="V158" s="136" t="b">
        <f ca="1">IF(OR(D158&lt;&gt;"USD",L158="無",M158&lt;&gt;"",K158="高資產",IFERROR(MATCH(B158,換券投組!K:K,0),"N")&lt;&gt;"N",IFERROR(MATCH(B158,換券投組!J:J,0),"N")&lt;&gt;"N"),FALSE,IF($V$1="All",TRUE,IF(K158=$V$1,TRUE,FALSE)))</f>
        <v>1</v>
      </c>
      <c r="W158" s="136">
        <f ca="1">VLOOKUP(A158,'銀行-TSS'!A:AO,41,FALSE)</f>
        <v>78.83</v>
      </c>
      <c r="X158" s="136">
        <f ca="1">VLOOKUP(A158,'銀行-TSS'!A:AP,42,FALSE)</f>
        <v>14.474399999999999</v>
      </c>
      <c r="Y158" s="1223">
        <f t="shared" ca="1" si="38"/>
        <v>0</v>
      </c>
      <c r="Z158" s="1211">
        <f t="shared" ca="1" si="39"/>
        <v>0</v>
      </c>
      <c r="AA158" s="136">
        <f ca="1">IF(Z158&lt;=0,0,RANK(Z158,Z:Z)+COUNTIF($Z$3:$Z158,Z158)-1)</f>
        <v>0</v>
      </c>
      <c r="AB158" s="1211">
        <f t="shared" ca="1" si="32"/>
        <v>0</v>
      </c>
      <c r="AC158" s="136">
        <f ca="1">IF(AB158&lt;=0,0,RANK(AB158,AB:AB)+COUNTIF($AB$3:$AB158,AB158)-1)</f>
        <v>0</v>
      </c>
      <c r="AD158" s="136">
        <f t="shared" ca="1" si="40"/>
        <v>99999</v>
      </c>
      <c r="AE158" s="136">
        <f ca="1">IF(AD158=99999,0,RANK(AD158,AD:AD,1)+COUNTIF($AD$3:$AD158,AD158)-1)</f>
        <v>0</v>
      </c>
    </row>
    <row r="159" spans="1:31">
      <c r="A159" s="141" t="str">
        <f>'銀行-TSS'!A159</f>
        <v>US125523CQ19</v>
      </c>
      <c r="B159" s="151" t="str">
        <f ca="1">VLOOKUP(A159,'銀行-TSS'!A:B,2,FALSE)</f>
        <v>XG440</v>
      </c>
      <c r="C159" s="151" t="str">
        <f ca="1">VLOOKUP(B159,bond!B:C,2,FALSE)</f>
        <v>信諾公司美元配息債券 3.4% 2051/3/15</v>
      </c>
      <c r="D159" s="95" t="str">
        <f>VLOOKUP(A159,'銀行-TSS'!A:C,3,FALSE)</f>
        <v>USD</v>
      </c>
      <c r="E159" s="90">
        <f ca="1">VLOOKUP(A159,'銀行-TSS'!A:G,7,FALSE)</f>
        <v>26.7</v>
      </c>
      <c r="F159" s="202">
        <f ca="1">VLOOKUP(A159,'銀行-TSS'!A:H,8,FALSE)</f>
        <v>3.4000000000000002E-2</v>
      </c>
      <c r="G159" s="96">
        <f ca="1">VLOOKUP(A159,'銀行-TSS'!A:K,11,FALSE)</f>
        <v>73.260000000000005</v>
      </c>
      <c r="H159" s="1209">
        <f ca="1">VLOOKUP(A159,'銀行-TSS'!A:M,13,FALSE)</f>
        <v>5.3699999999999998E-2</v>
      </c>
      <c r="I159" s="1213">
        <f ca="1">VLOOKUP(A159,'銀行-TSS'!A:N,14,FALSE)</f>
        <v>10000</v>
      </c>
      <c r="J159" s="1213">
        <f ca="1">VLOOKUP(A159,'銀行-TSS'!A:O,15,FALSE)</f>
        <v>1000</v>
      </c>
      <c r="K159" s="136" t="str">
        <f ca="1">VLOOKUP(A159,'銀行-TSS'!A:V,22,FALSE)</f>
        <v>(NPI)非專投</v>
      </c>
      <c r="L159" s="136" t="str">
        <f ca="1">VLOOKUP(A159,'銀行-TSS'!A:AK,37,FALSE)</f>
        <v>有</v>
      </c>
      <c r="M159" s="136" t="str">
        <f ca="1">VLOOKUP(A159,'銀行-TSS'!A:AN,40,FALSE)</f>
        <v/>
      </c>
      <c r="N159" s="1211">
        <f t="shared" ca="1" si="33"/>
        <v>732.6</v>
      </c>
      <c r="O159" s="1211">
        <f t="shared" ca="1" si="34"/>
        <v>7326</v>
      </c>
      <c r="P159" s="1213">
        <f ca="1">IF(AND(換券投組!$D$17&gt;=O159,換券投組!$D$13=D159),I159+INT((換券投組!$D$17-O159)/N159)*J159,0)</f>
        <v>0</v>
      </c>
      <c r="Q159" s="1211">
        <f t="shared" ca="1" si="35"/>
        <v>0</v>
      </c>
      <c r="R159" s="1213">
        <f t="shared" ca="1" si="36"/>
        <v>0</v>
      </c>
      <c r="S159" s="1213">
        <f t="shared" ca="1" si="37"/>
        <v>0</v>
      </c>
      <c r="T159" s="136">
        <f t="shared" ca="1" si="30"/>
        <v>0</v>
      </c>
      <c r="U159" s="861">
        <f t="shared" ca="1" si="31"/>
        <v>0</v>
      </c>
      <c r="V159" s="136" t="b">
        <f ca="1">IF(OR(D159&lt;&gt;"USD",L159="無",M159&lt;&gt;"",K159="高資產",IFERROR(MATCH(B159,換券投組!K:K,0),"N")&lt;&gt;"N",IFERROR(MATCH(B159,換券投組!J:J,0),"N")&lt;&gt;"N"),FALSE,IF($V$1="All",TRUE,IF(K159=$V$1,TRUE,FALSE)))</f>
        <v>1</v>
      </c>
      <c r="W159" s="136">
        <f ca="1">VLOOKUP(A159,'銀行-TSS'!A:AO,41,FALSE)</f>
        <v>68.75</v>
      </c>
      <c r="X159" s="136">
        <f ca="1">VLOOKUP(A159,'銀行-TSS'!A:AP,42,FALSE)</f>
        <v>15.154999999999999</v>
      </c>
      <c r="Y159" s="1223">
        <f t="shared" ca="1" si="38"/>
        <v>0</v>
      </c>
      <c r="Z159" s="1211">
        <f t="shared" ca="1" si="39"/>
        <v>0</v>
      </c>
      <c r="AA159" s="136">
        <f ca="1">IF(Z159&lt;=0,0,RANK(Z159,Z:Z)+COUNTIF($Z$3:$Z159,Z159)-1)</f>
        <v>0</v>
      </c>
      <c r="AB159" s="1211">
        <f t="shared" ca="1" si="32"/>
        <v>0</v>
      </c>
      <c r="AC159" s="136">
        <f ca="1">IF(AB159&lt;=0,0,RANK(AB159,AB:AB)+COUNTIF($AB$3:$AB159,AB159)-1)</f>
        <v>0</v>
      </c>
      <c r="AD159" s="136">
        <f t="shared" ca="1" si="40"/>
        <v>99999</v>
      </c>
      <c r="AE159" s="136">
        <f ca="1">IF(AD159=99999,0,RANK(AD159,AD:AD,1)+COUNTIF($AD$3:$AD159,AD159)-1)</f>
        <v>0</v>
      </c>
    </row>
    <row r="160" spans="1:31">
      <c r="A160" s="141" t="str">
        <f>'銀行-TSS'!A160</f>
        <v>US285512AF68</v>
      </c>
      <c r="B160" s="151" t="str">
        <f ca="1">VLOOKUP(A160,'銀行-TSS'!A:B,2,FALSE)</f>
        <v>XG450</v>
      </c>
      <c r="C160" s="151" t="str">
        <f ca="1">VLOOKUP(B160,bond!B:C,2,FALSE)</f>
        <v>美商藝電公司美元配息債券 2.95% 2051/2/15</v>
      </c>
      <c r="D160" s="95" t="str">
        <f>VLOOKUP(A160,'銀行-TSS'!A:C,3,FALSE)</f>
        <v>USD</v>
      </c>
      <c r="E160" s="90">
        <f ca="1">VLOOKUP(A160,'銀行-TSS'!A:G,7,FALSE)</f>
        <v>26.62</v>
      </c>
      <c r="F160" s="202">
        <f ca="1">VLOOKUP(A160,'銀行-TSS'!A:H,8,FALSE)</f>
        <v>2.9500000000000002E-2</v>
      </c>
      <c r="G160" s="96">
        <f ca="1">VLOOKUP(A160,'銀行-TSS'!A:K,11,FALSE)</f>
        <v>70</v>
      </c>
      <c r="H160" s="1209">
        <f ca="1">VLOOKUP(A160,'銀行-TSS'!A:M,13,FALSE)</f>
        <v>5.0999999999999997E-2</v>
      </c>
      <c r="I160" s="1213">
        <f ca="1">VLOOKUP(A160,'銀行-TSS'!A:N,14,FALSE)</f>
        <v>10000</v>
      </c>
      <c r="J160" s="1213">
        <f ca="1">VLOOKUP(A160,'銀行-TSS'!A:O,15,FALSE)</f>
        <v>1000</v>
      </c>
      <c r="K160" s="136" t="str">
        <f ca="1">VLOOKUP(A160,'銀行-TSS'!A:V,22,FALSE)</f>
        <v>(NPI)非專投</v>
      </c>
      <c r="L160" s="136" t="str">
        <f ca="1">VLOOKUP(A160,'銀行-TSS'!A:AK,37,FALSE)</f>
        <v>有</v>
      </c>
      <c r="M160" s="136" t="str">
        <f ca="1">VLOOKUP(A160,'銀行-TSS'!A:AN,40,FALSE)</f>
        <v/>
      </c>
      <c r="N160" s="1211">
        <f t="shared" ca="1" si="33"/>
        <v>700</v>
      </c>
      <c r="O160" s="1211">
        <f t="shared" ca="1" si="34"/>
        <v>7000</v>
      </c>
      <c r="P160" s="1213">
        <f ca="1">IF(AND(換券投組!$D$17&gt;=O160,換券投組!$D$13=D160),I160+INT((換券投組!$D$17-O160)/N160)*J160,0)</f>
        <v>0</v>
      </c>
      <c r="Q160" s="1211">
        <f t="shared" ca="1" si="35"/>
        <v>0</v>
      </c>
      <c r="R160" s="1213">
        <f t="shared" ca="1" si="36"/>
        <v>0</v>
      </c>
      <c r="S160" s="1213">
        <f t="shared" ca="1" si="37"/>
        <v>0</v>
      </c>
      <c r="T160" s="136">
        <f t="shared" ca="1" si="30"/>
        <v>0</v>
      </c>
      <c r="U160" s="861">
        <f t="shared" ca="1" si="31"/>
        <v>0</v>
      </c>
      <c r="V160" s="136" t="b">
        <f ca="1">IF(OR(D160&lt;&gt;"USD",L160="無",M160&lt;&gt;"",K160="高資產",IFERROR(MATCH(B160,換券投組!K:K,0),"N")&lt;&gt;"N",IFERROR(MATCH(B160,換券投組!J:J,0),"N")&lt;&gt;"N"),FALSE,IF($V$1="All",TRUE,IF(K160=$V$1,TRUE,FALSE)))</f>
        <v>1</v>
      </c>
      <c r="W160" s="136">
        <f ca="1">VLOOKUP(A160,'銀行-TSS'!A:AO,41,FALSE)</f>
        <v>65.38000000000001</v>
      </c>
      <c r="X160" s="136">
        <f ca="1">VLOOKUP(A160,'銀行-TSS'!A:AP,42,FALSE)</f>
        <v>15.8666</v>
      </c>
      <c r="Y160" s="1223">
        <f t="shared" ca="1" si="38"/>
        <v>0</v>
      </c>
      <c r="Z160" s="1211">
        <f t="shared" ca="1" si="39"/>
        <v>0</v>
      </c>
      <c r="AA160" s="136">
        <f ca="1">IF(Z160&lt;=0,0,RANK(Z160,Z:Z)+COUNTIF($Z$3:$Z160,Z160)-1)</f>
        <v>0</v>
      </c>
      <c r="AB160" s="1211">
        <f t="shared" ca="1" si="32"/>
        <v>0</v>
      </c>
      <c r="AC160" s="136">
        <f ca="1">IF(AB160&lt;=0,0,RANK(AB160,AB:AB)+COUNTIF($AB$3:$AB160,AB160)-1)</f>
        <v>0</v>
      </c>
      <c r="AD160" s="136">
        <f t="shared" ca="1" si="40"/>
        <v>99999</v>
      </c>
      <c r="AE160" s="136">
        <f ca="1">IF(AD160=99999,0,RANK(AD160,AD:AD,1)+COUNTIF($AD$3:$AD160,AD160)-1)</f>
        <v>0</v>
      </c>
    </row>
    <row r="161" spans="1:31">
      <c r="A161" s="141" t="str">
        <f>'銀行-TSS'!A161</f>
        <v>US046353AX64</v>
      </c>
      <c r="B161" s="151" t="str">
        <f ca="1">VLOOKUP(A161,'銀行-TSS'!A:B,2,FALSE)</f>
        <v>XG460</v>
      </c>
      <c r="C161" s="151" t="str">
        <f ca="1">VLOOKUP(B161,bond!B:C,2,FALSE)</f>
        <v>阿斯特捷利康公開有限公司美元配息債券 2.125% 2050/8/6</v>
      </c>
      <c r="D161" s="95" t="str">
        <f>VLOOKUP(A161,'銀行-TSS'!A:C,3,FALSE)</f>
        <v>USD</v>
      </c>
      <c r="E161" s="90">
        <f ca="1">VLOOKUP(A161,'銀行-TSS'!A:G,7,FALSE)</f>
        <v>26.09</v>
      </c>
      <c r="F161" s="202">
        <f ca="1">VLOOKUP(A161,'銀行-TSS'!A:H,8,FALSE)</f>
        <v>2.1250000000000002E-2</v>
      </c>
      <c r="G161" s="96">
        <f ca="1">VLOOKUP(A161,'銀行-TSS'!A:K,11,FALSE)</f>
        <v>61.73</v>
      </c>
      <c r="H161" s="1209">
        <f ca="1">VLOOKUP(A161,'銀行-TSS'!A:M,13,FALSE)</f>
        <v>4.7600000000000003E-2</v>
      </c>
      <c r="I161" s="1213">
        <f ca="1">VLOOKUP(A161,'銀行-TSS'!A:N,14,FALSE)</f>
        <v>10000</v>
      </c>
      <c r="J161" s="1213">
        <f ca="1">VLOOKUP(A161,'銀行-TSS'!A:O,15,FALSE)</f>
        <v>1000</v>
      </c>
      <c r="K161" s="136" t="str">
        <f ca="1">VLOOKUP(A161,'銀行-TSS'!A:V,22,FALSE)</f>
        <v>(NPI)非專投</v>
      </c>
      <c r="L161" s="136" t="str">
        <f ca="1">VLOOKUP(A161,'銀行-TSS'!A:AK,37,FALSE)</f>
        <v>有</v>
      </c>
      <c r="M161" s="136" t="str">
        <f ca="1">VLOOKUP(A161,'銀行-TSS'!A:AN,40,FALSE)</f>
        <v/>
      </c>
      <c r="N161" s="1211">
        <f t="shared" ca="1" si="33"/>
        <v>617.29999999999995</v>
      </c>
      <c r="O161" s="1211">
        <f t="shared" ca="1" si="34"/>
        <v>6173</v>
      </c>
      <c r="P161" s="1213">
        <f ca="1">IF(AND(換券投組!$D$17&gt;=O161,換券投組!$D$13=D161),I161+INT((換券投組!$D$17-O161)/N161)*J161,0)</f>
        <v>0</v>
      </c>
      <c r="Q161" s="1211">
        <f t="shared" ca="1" si="35"/>
        <v>0</v>
      </c>
      <c r="R161" s="1213">
        <f t="shared" ca="1" si="36"/>
        <v>0</v>
      </c>
      <c r="S161" s="1213">
        <f t="shared" ca="1" si="37"/>
        <v>0</v>
      </c>
      <c r="T161" s="136">
        <f t="shared" ca="1" si="30"/>
        <v>0</v>
      </c>
      <c r="U161" s="861">
        <f t="shared" ca="1" si="31"/>
        <v>0</v>
      </c>
      <c r="V161" s="136" t="b">
        <f ca="1">IF(OR(D161&lt;&gt;"USD",L161="無",M161&lt;&gt;"",K161="高資產",IFERROR(MATCH(B161,換券投組!K:K,0),"N")&lt;&gt;"N",IFERROR(MATCH(B161,換券投組!J:J,0),"N")&lt;&gt;"N"),FALSE,IF($V$1="All",TRUE,IF(K161=$V$1,TRUE,FALSE)))</f>
        <v>1</v>
      </c>
      <c r="W161" s="136">
        <f ca="1">VLOOKUP(A161,'銀行-TSS'!A:AO,41,FALSE)</f>
        <v>57.37</v>
      </c>
      <c r="X161" s="136">
        <f ca="1">VLOOKUP(A161,'銀行-TSS'!A:AP,42,FALSE)</f>
        <v>17.215599999999998</v>
      </c>
      <c r="Y161" s="1223">
        <f t="shared" ca="1" si="38"/>
        <v>0</v>
      </c>
      <c r="Z161" s="1211">
        <f t="shared" ca="1" si="39"/>
        <v>0</v>
      </c>
      <c r="AA161" s="136">
        <f ca="1">IF(Z161&lt;=0,0,RANK(Z161,Z:Z)+COUNTIF($Z$3:$Z161,Z161)-1)</f>
        <v>0</v>
      </c>
      <c r="AB161" s="1211">
        <f t="shared" ca="1" si="32"/>
        <v>0</v>
      </c>
      <c r="AC161" s="136">
        <f ca="1">IF(AB161&lt;=0,0,RANK(AB161,AB:AB)+COUNTIF($AB$3:$AB161,AB161)-1)</f>
        <v>0</v>
      </c>
      <c r="AD161" s="136">
        <f t="shared" ca="1" si="40"/>
        <v>99999</v>
      </c>
      <c r="AE161" s="136">
        <f ca="1">IF(AD161=99999,0,RANK(AD161,AD:AD,1)+COUNTIF($AD$3:$AD161,AD161)-1)</f>
        <v>0</v>
      </c>
    </row>
    <row r="162" spans="1:31">
      <c r="A162" s="141" t="str">
        <f>'銀行-TSS'!A162</f>
        <v>US09062XAG88</v>
      </c>
      <c r="B162" s="151" t="str">
        <f ca="1">VLOOKUP(A162,'銀行-TSS'!A:B,2,FALSE)</f>
        <v>XG470</v>
      </c>
      <c r="C162" s="151" t="str">
        <f ca="1">VLOOKUP(B162,bond!B:C,2,FALSE)</f>
        <v>生物基因公司美元配息債券 3.15% 2050/5/1</v>
      </c>
      <c r="D162" s="95" t="str">
        <f>VLOOKUP(A162,'銀行-TSS'!A:C,3,FALSE)</f>
        <v>USD</v>
      </c>
      <c r="E162" s="90">
        <f ca="1">VLOOKUP(A162,'銀行-TSS'!A:G,7,FALSE)</f>
        <v>25.83</v>
      </c>
      <c r="F162" s="202">
        <f ca="1">VLOOKUP(A162,'銀行-TSS'!A:H,8,FALSE)</f>
        <v>3.15E-2</v>
      </c>
      <c r="G162" s="96">
        <f ca="1">VLOOKUP(A162,'銀行-TSS'!A:K,11,FALSE)</f>
        <v>69.37</v>
      </c>
      <c r="H162" s="1209">
        <f ca="1">VLOOKUP(A162,'銀行-TSS'!A:M,13,FALSE)</f>
        <v>5.3999999999999999E-2</v>
      </c>
      <c r="I162" s="1213">
        <f ca="1">VLOOKUP(A162,'銀行-TSS'!A:N,14,FALSE)</f>
        <v>10000</v>
      </c>
      <c r="J162" s="1213">
        <f ca="1">VLOOKUP(A162,'銀行-TSS'!A:O,15,FALSE)</f>
        <v>1000</v>
      </c>
      <c r="K162" s="136" t="str">
        <f ca="1">VLOOKUP(A162,'銀行-TSS'!A:V,22,FALSE)</f>
        <v>(PI)專投</v>
      </c>
      <c r="L162" s="136" t="str">
        <f ca="1">VLOOKUP(A162,'銀行-TSS'!A:AK,37,FALSE)</f>
        <v>有</v>
      </c>
      <c r="M162" s="136" t="str">
        <f ca="1">VLOOKUP(A162,'銀行-TSS'!A:AN,40,FALSE)</f>
        <v/>
      </c>
      <c r="N162" s="1211">
        <f t="shared" ca="1" si="33"/>
        <v>693.7</v>
      </c>
      <c r="O162" s="1211">
        <f t="shared" ca="1" si="34"/>
        <v>6937</v>
      </c>
      <c r="P162" s="1213">
        <f ca="1">IF(AND(換券投組!$D$17&gt;=O162,換券投組!$D$13=D162),I162+INT((換券投組!$D$17-O162)/N162)*J162,0)</f>
        <v>0</v>
      </c>
      <c r="Q162" s="1211">
        <f t="shared" ca="1" si="35"/>
        <v>0</v>
      </c>
      <c r="R162" s="1213">
        <f t="shared" ca="1" si="36"/>
        <v>0</v>
      </c>
      <c r="S162" s="1213">
        <f t="shared" ca="1" si="37"/>
        <v>0</v>
      </c>
      <c r="T162" s="136">
        <f t="shared" ca="1" si="30"/>
        <v>0</v>
      </c>
      <c r="U162" s="861">
        <f t="shared" ca="1" si="31"/>
        <v>0</v>
      </c>
      <c r="V162" s="136" t="b">
        <f ca="1">IF(OR(D162&lt;&gt;"USD",L162="無",M162&lt;&gt;"",K162="高資產",IFERROR(MATCH(B162,換券投組!K:K,0),"N")&lt;&gt;"N",IFERROR(MATCH(B162,換券投組!J:J,0),"N")&lt;&gt;"N"),FALSE,IF($V$1="All",TRUE,IF(K162=$V$1,TRUE,FALSE)))</f>
        <v>1</v>
      </c>
      <c r="W162" s="136">
        <f ca="1">VLOOKUP(A162,'銀行-TSS'!A:AO,41,FALSE)</f>
        <v>65.34</v>
      </c>
      <c r="X162" s="136">
        <f ca="1">VLOOKUP(A162,'銀行-TSS'!A:AP,42,FALSE)</f>
        <v>15.257999999999999</v>
      </c>
      <c r="Y162" s="1223">
        <f t="shared" ca="1" si="38"/>
        <v>0</v>
      </c>
      <c r="Z162" s="1211">
        <f t="shared" ca="1" si="39"/>
        <v>0</v>
      </c>
      <c r="AA162" s="136">
        <f ca="1">IF(Z162&lt;=0,0,RANK(Z162,Z:Z)+COUNTIF($Z$3:$Z162,Z162)-1)</f>
        <v>0</v>
      </c>
      <c r="AB162" s="1211">
        <f t="shared" ca="1" si="32"/>
        <v>0</v>
      </c>
      <c r="AC162" s="136">
        <f ca="1">IF(AB162&lt;=0,0,RANK(AB162,AB:AB)+COUNTIF($AB$3:$AB162,AB162)-1)</f>
        <v>0</v>
      </c>
      <c r="AD162" s="136">
        <f t="shared" ca="1" si="40"/>
        <v>99999</v>
      </c>
      <c r="AE162" s="136">
        <f ca="1">IF(AD162=99999,0,RANK(AD162,AD:AD,1)+COUNTIF($AD$3:$AD162,AD162)-1)</f>
        <v>0</v>
      </c>
    </row>
    <row r="163" spans="1:31">
      <c r="A163" s="141" t="str">
        <f>'銀行-TSS'!A163</f>
        <v>US25470DBH17</v>
      </c>
      <c r="B163" s="151" t="str">
        <f ca="1">VLOOKUP(A163,'銀行-TSS'!A:B,2,FALSE)</f>
        <v>XG480</v>
      </c>
      <c r="C163" s="151" t="str">
        <f ca="1">VLOOKUP(B163,bond!B:C,2,FALSE)</f>
        <v>Discovery傳播有限責任公司美元配息債券 4.65% 2050/5/15</v>
      </c>
      <c r="D163" s="95" t="str">
        <f>VLOOKUP(A163,'銀行-TSS'!A:C,3,FALSE)</f>
        <v>USD</v>
      </c>
      <c r="E163" s="90">
        <f ca="1">VLOOKUP(A163,'銀行-TSS'!A:G,7,FALSE)</f>
        <v>25.87</v>
      </c>
      <c r="F163" s="202">
        <f ca="1">VLOOKUP(A163,'銀行-TSS'!A:H,8,FALSE)</f>
        <v>4.6500000000000007E-2</v>
      </c>
      <c r="G163" s="96">
        <f ca="1">VLOOKUP(A163,'銀行-TSS'!A:K,11,FALSE)</f>
        <v>77.95</v>
      </c>
      <c r="H163" s="1209">
        <f ca="1">VLOOKUP(A163,'銀行-TSS'!A:M,13,FALSE)</f>
        <v>6.4600000000000005E-2</v>
      </c>
      <c r="I163" s="1213">
        <f ca="1">VLOOKUP(A163,'銀行-TSS'!A:N,14,FALSE)</f>
        <v>10000</v>
      </c>
      <c r="J163" s="1213">
        <f ca="1">VLOOKUP(A163,'銀行-TSS'!A:O,15,FALSE)</f>
        <v>1000</v>
      </c>
      <c r="K163" s="136" t="str">
        <f ca="1">VLOOKUP(A163,'銀行-TSS'!A:V,22,FALSE)</f>
        <v>(PI)專投</v>
      </c>
      <c r="L163" s="136" t="str">
        <f ca="1">VLOOKUP(A163,'銀行-TSS'!A:AK,37,FALSE)</f>
        <v>有</v>
      </c>
      <c r="M163" s="136" t="str">
        <f ca="1">VLOOKUP(A163,'銀行-TSS'!A:AN,40,FALSE)</f>
        <v/>
      </c>
      <c r="N163" s="1211">
        <f t="shared" ca="1" si="33"/>
        <v>779.5</v>
      </c>
      <c r="O163" s="1211">
        <f t="shared" ca="1" si="34"/>
        <v>7795</v>
      </c>
      <c r="P163" s="1213">
        <f ca="1">IF(AND(換券投組!$D$17&gt;=O163,換券投組!$D$13=D163),I163+INT((換券投組!$D$17-O163)/N163)*J163,0)</f>
        <v>0</v>
      </c>
      <c r="Q163" s="1211">
        <f t="shared" ca="1" si="35"/>
        <v>0</v>
      </c>
      <c r="R163" s="1213">
        <f t="shared" ca="1" si="36"/>
        <v>0</v>
      </c>
      <c r="S163" s="1213">
        <f t="shared" ca="1" si="37"/>
        <v>0</v>
      </c>
      <c r="T163" s="136">
        <f t="shared" ca="1" si="30"/>
        <v>0</v>
      </c>
      <c r="U163" s="861">
        <f t="shared" ca="1" si="31"/>
        <v>0</v>
      </c>
      <c r="V163" s="136" t="b">
        <f ca="1">IF(OR(D163&lt;&gt;"USD",L163="無",M163&lt;&gt;"",K163="高資產",IFERROR(MATCH(B163,換券投組!K:K,0),"N")&lt;&gt;"N",IFERROR(MATCH(B163,換券投組!J:J,0),"N")&lt;&gt;"N"),FALSE,IF($V$1="All",TRUE,IF(K163=$V$1,TRUE,FALSE)))</f>
        <v>1</v>
      </c>
      <c r="W163" s="136">
        <f ca="1">VLOOKUP(A163,'銀行-TSS'!A:AO,41,FALSE)</f>
        <v>73.84</v>
      </c>
      <c r="X163" s="136">
        <f ca="1">VLOOKUP(A163,'銀行-TSS'!A:AP,42,FALSE)</f>
        <v>13.0832</v>
      </c>
      <c r="Y163" s="1223">
        <f t="shared" ca="1" si="38"/>
        <v>0</v>
      </c>
      <c r="Z163" s="1211">
        <f t="shared" ca="1" si="39"/>
        <v>0</v>
      </c>
      <c r="AA163" s="136">
        <f ca="1">IF(Z163&lt;=0,0,RANK(Z163,Z:Z)+COUNTIF($Z$3:$Z163,Z163)-1)</f>
        <v>0</v>
      </c>
      <c r="AB163" s="1211">
        <f t="shared" ca="1" si="32"/>
        <v>0</v>
      </c>
      <c r="AC163" s="136">
        <f ca="1">IF(AB163&lt;=0,0,RANK(AB163,AB:AB)+COUNTIF($AB$3:$AB163,AB163)-1)</f>
        <v>0</v>
      </c>
      <c r="AD163" s="136">
        <f t="shared" ca="1" si="40"/>
        <v>99999</v>
      </c>
      <c r="AE163" s="136">
        <f ca="1">IF(AD163=99999,0,RANK(AD163,AD:AD,1)+COUNTIF($AD$3:$AD163,AD163)-1)</f>
        <v>0</v>
      </c>
    </row>
    <row r="164" spans="1:31">
      <c r="A164" s="141" t="str">
        <f>'銀行-TSS'!A164</f>
        <v>US404119CB31</v>
      </c>
      <c r="B164" s="151" t="str">
        <f ca="1">VLOOKUP(A164,'銀行-TSS'!A:B,2,FALSE)</f>
        <v>XG490</v>
      </c>
      <c r="C164" s="151" t="str">
        <f ca="1">VLOOKUP(B164,bond!B:C,2,FALSE)</f>
        <v>美國醫院公司美元配息債券 3.5% 2051/7/15</v>
      </c>
      <c r="D164" s="95" t="str">
        <f>VLOOKUP(A164,'銀行-TSS'!A:C,3,FALSE)</f>
        <v>USD</v>
      </c>
      <c r="E164" s="90">
        <f ca="1">VLOOKUP(A164,'銀行-TSS'!A:G,7,FALSE)</f>
        <v>27.03</v>
      </c>
      <c r="F164" s="202">
        <f ca="1">VLOOKUP(A164,'銀行-TSS'!A:H,8,FALSE)</f>
        <v>3.5000000000000003E-2</v>
      </c>
      <c r="G164" s="96">
        <f ca="1">VLOOKUP(A164,'銀行-TSS'!A:K,11,FALSE)</f>
        <v>72.69</v>
      </c>
      <c r="H164" s="1209">
        <f ca="1">VLOOKUP(A164,'銀行-TSS'!A:M,13,FALSE)</f>
        <v>5.5899999999999998E-2</v>
      </c>
      <c r="I164" s="1213">
        <f ca="1">VLOOKUP(A164,'銀行-TSS'!A:N,14,FALSE)</f>
        <v>10000</v>
      </c>
      <c r="J164" s="1213">
        <f ca="1">VLOOKUP(A164,'銀行-TSS'!A:O,15,FALSE)</f>
        <v>1000</v>
      </c>
      <c r="K164" s="136" t="str">
        <f ca="1">VLOOKUP(A164,'銀行-TSS'!A:V,22,FALSE)</f>
        <v>(PI)專投</v>
      </c>
      <c r="L164" s="136" t="str">
        <f ca="1">VLOOKUP(A164,'銀行-TSS'!A:AK,37,FALSE)</f>
        <v>有</v>
      </c>
      <c r="M164" s="136" t="str">
        <f ca="1">VLOOKUP(A164,'銀行-TSS'!A:AN,40,FALSE)</f>
        <v/>
      </c>
      <c r="N164" s="1211">
        <f t="shared" ca="1" si="33"/>
        <v>726.9</v>
      </c>
      <c r="O164" s="1211">
        <f t="shared" ca="1" si="34"/>
        <v>7269</v>
      </c>
      <c r="P164" s="1213">
        <f ca="1">IF(AND(換券投組!$D$17&gt;=O164,換券投組!$D$13=D164),I164+INT((換券投組!$D$17-O164)/N164)*J164,0)</f>
        <v>0</v>
      </c>
      <c r="Q164" s="1211">
        <f t="shared" ca="1" si="35"/>
        <v>0</v>
      </c>
      <c r="R164" s="1213">
        <f t="shared" ca="1" si="36"/>
        <v>0</v>
      </c>
      <c r="S164" s="1213">
        <f t="shared" ca="1" si="37"/>
        <v>0</v>
      </c>
      <c r="T164" s="136">
        <f t="shared" ca="1" si="30"/>
        <v>0</v>
      </c>
      <c r="U164" s="861">
        <f t="shared" ca="1" si="31"/>
        <v>0</v>
      </c>
      <c r="V164" s="136" t="b">
        <f ca="1">IF(OR(D164&lt;&gt;"USD",L164="無",M164&lt;&gt;"",K164="高資產",IFERROR(MATCH(B164,換券投組!K:K,0),"N")&lt;&gt;"N",IFERROR(MATCH(B164,換券投組!J:J,0),"N")&lt;&gt;"N"),FALSE,IF($V$1="All",TRUE,IF(K164=$V$1,TRUE,FALSE)))</f>
        <v>1</v>
      </c>
      <c r="W164" s="136">
        <f ca="1">VLOOKUP(A164,'銀行-TSS'!A:AO,41,FALSE)</f>
        <v>67.570000000000007</v>
      </c>
      <c r="X164" s="136">
        <f ca="1">VLOOKUP(A164,'銀行-TSS'!A:AP,42,FALSE)</f>
        <v>14.7934</v>
      </c>
      <c r="Y164" s="1223">
        <f t="shared" ca="1" si="38"/>
        <v>0</v>
      </c>
      <c r="Z164" s="1211">
        <f t="shared" ca="1" si="39"/>
        <v>0</v>
      </c>
      <c r="AA164" s="136">
        <f ca="1">IF(Z164&lt;=0,0,RANK(Z164,Z:Z)+COUNTIF($Z$3:$Z164,Z164)-1)</f>
        <v>0</v>
      </c>
      <c r="AB164" s="1211">
        <f t="shared" ca="1" si="32"/>
        <v>0</v>
      </c>
      <c r="AC164" s="136">
        <f ca="1">IF(AB164&lt;=0,0,RANK(AB164,AB:AB)+COUNTIF($AB$3:$AB164,AB164)-1)</f>
        <v>0</v>
      </c>
      <c r="AD164" s="136">
        <f t="shared" ca="1" si="40"/>
        <v>99999</v>
      </c>
      <c r="AE164" s="136">
        <f ca="1">IF(AD164=99999,0,RANK(AD164,AD:AD,1)+COUNTIF($AD$3:$AD164,AD164)-1)</f>
        <v>0</v>
      </c>
    </row>
    <row r="165" spans="1:31">
      <c r="A165" s="141" t="str">
        <f>'銀行-TSS'!A165</f>
        <v>US91529YAR71</v>
      </c>
      <c r="B165" s="151" t="str">
        <f ca="1">VLOOKUP(A165,'銀行-TSS'!A:B,2,FALSE)</f>
        <v>XG500</v>
      </c>
      <c r="C165" s="151" t="str">
        <f ca="1">VLOOKUP(B165,bond!B:C,2,FALSE)</f>
        <v>Unum集團美元配息債券 4.125% 2051/6/15</v>
      </c>
      <c r="D165" s="95" t="str">
        <f>VLOOKUP(A165,'銀行-TSS'!A:C,3,FALSE)</f>
        <v>USD</v>
      </c>
      <c r="E165" s="90">
        <f ca="1">VLOOKUP(A165,'銀行-TSS'!A:G,7,FALSE)</f>
        <v>26.95</v>
      </c>
      <c r="F165" s="202">
        <f ca="1">VLOOKUP(A165,'銀行-TSS'!A:H,8,FALSE)</f>
        <v>4.1250000000000002E-2</v>
      </c>
      <c r="G165" s="96">
        <f ca="1">VLOOKUP(A165,'銀行-TSS'!A:K,11,FALSE)</f>
        <v>77.930000000000007</v>
      </c>
      <c r="H165" s="1209">
        <f ca="1">VLOOKUP(A165,'銀行-TSS'!A:M,13,FALSE)</f>
        <v>5.7599999999999998E-2</v>
      </c>
      <c r="I165" s="1213">
        <f ca="1">VLOOKUP(A165,'銀行-TSS'!A:N,14,FALSE)</f>
        <v>10000</v>
      </c>
      <c r="J165" s="1213">
        <f ca="1">VLOOKUP(A165,'銀行-TSS'!A:O,15,FALSE)</f>
        <v>1000</v>
      </c>
      <c r="K165" s="136" t="str">
        <f ca="1">VLOOKUP(A165,'銀行-TSS'!A:V,22,FALSE)</f>
        <v>(PI)專投</v>
      </c>
      <c r="L165" s="136" t="str">
        <f ca="1">VLOOKUP(A165,'銀行-TSS'!A:AK,37,FALSE)</f>
        <v>有</v>
      </c>
      <c r="M165" s="136" t="str">
        <f ca="1">VLOOKUP(A165,'銀行-TSS'!A:AN,40,FALSE)</f>
        <v/>
      </c>
      <c r="N165" s="1211">
        <f t="shared" ca="1" si="33"/>
        <v>779.3</v>
      </c>
      <c r="O165" s="1211">
        <f t="shared" ca="1" si="34"/>
        <v>7793.0000000000009</v>
      </c>
      <c r="P165" s="1213">
        <f ca="1">IF(AND(換券投組!$D$17&gt;=O165,換券投組!$D$13=D165),I165+INT((換券投組!$D$17-O165)/N165)*J165,0)</f>
        <v>0</v>
      </c>
      <c r="Q165" s="1211">
        <f t="shared" ca="1" si="35"/>
        <v>0</v>
      </c>
      <c r="R165" s="1213">
        <f t="shared" ca="1" si="36"/>
        <v>0</v>
      </c>
      <c r="S165" s="1213">
        <f t="shared" ca="1" si="37"/>
        <v>0</v>
      </c>
      <c r="T165" s="136">
        <f t="shared" ca="1" si="30"/>
        <v>0</v>
      </c>
      <c r="U165" s="861">
        <f t="shared" ca="1" si="31"/>
        <v>0</v>
      </c>
      <c r="V165" s="136" t="b">
        <f ca="1">IF(OR(D165&lt;&gt;"USD",L165="無",M165&lt;&gt;"",K165="高資產",IFERROR(MATCH(B165,換券投組!K:K,0),"N")&lt;&gt;"N",IFERROR(MATCH(B165,換券投組!J:J,0),"N")&lt;&gt;"N"),FALSE,IF($V$1="All",TRUE,IF(K165=$V$1,TRUE,FALSE)))</f>
        <v>1</v>
      </c>
      <c r="W165" s="136">
        <f ca="1">VLOOKUP(A165,'銀行-TSS'!A:AO,41,FALSE)</f>
        <v>74.239999999999995</v>
      </c>
      <c r="X165" s="136">
        <f ca="1">VLOOKUP(A165,'銀行-TSS'!A:AP,42,FALSE)</f>
        <v>14.351100000000001</v>
      </c>
      <c r="Y165" s="1223">
        <f t="shared" ca="1" si="38"/>
        <v>0</v>
      </c>
      <c r="Z165" s="1211">
        <f t="shared" ca="1" si="39"/>
        <v>0</v>
      </c>
      <c r="AA165" s="136">
        <f ca="1">IF(Z165&lt;=0,0,RANK(Z165,Z:Z)+COUNTIF($Z$3:$Z165,Z165)-1)</f>
        <v>0</v>
      </c>
      <c r="AB165" s="1211">
        <f t="shared" ca="1" si="32"/>
        <v>0</v>
      </c>
      <c r="AC165" s="136">
        <f ca="1">IF(AB165&lt;=0,0,RANK(AB165,AB:AB)+COUNTIF($AB$3:$AB165,AB165)-1)</f>
        <v>0</v>
      </c>
      <c r="AD165" s="136">
        <f t="shared" ca="1" si="40"/>
        <v>99999</v>
      </c>
      <c r="AE165" s="136">
        <f ca="1">IF(AD165=99999,0,RANK(AD165,AD:AD,1)+COUNTIF($AD$3:$AD165,AD165)-1)</f>
        <v>0</v>
      </c>
    </row>
    <row r="166" spans="1:31">
      <c r="A166" s="141" t="str">
        <f>'銀行-TSS'!A166</f>
        <v>US35671DBC83</v>
      </c>
      <c r="B166" s="151" t="str">
        <f ca="1">VLOOKUP(A166,'銀行-TSS'!A:B,2,FALSE)</f>
        <v>XG510</v>
      </c>
      <c r="C166" s="151" t="str">
        <f ca="1">VLOOKUP(B166,bond!B:C,2,FALSE)</f>
        <v>自由港麥克莫蘭銅金公司美元配息債券 5.45% 2043/3/15</v>
      </c>
      <c r="D166" s="95" t="str">
        <f>VLOOKUP(A166,'銀行-TSS'!A:C,3,FALSE)</f>
        <v>USD</v>
      </c>
      <c r="E166" s="90">
        <f ca="1">VLOOKUP(A166,'銀行-TSS'!A:G,7,FALSE)</f>
        <v>18.7</v>
      </c>
      <c r="F166" s="202">
        <f ca="1">VLOOKUP(A166,'銀行-TSS'!A:H,8,FALSE)</f>
        <v>5.45E-2</v>
      </c>
      <c r="G166" s="96">
        <f ca="1">VLOOKUP(A166,'銀行-TSS'!A:K,11,FALSE)</f>
        <v>99.64</v>
      </c>
      <c r="H166" s="1209">
        <f ca="1">VLOOKUP(A166,'銀行-TSS'!A:M,13,FALSE)</f>
        <v>5.62E-2</v>
      </c>
      <c r="I166" s="1213">
        <f ca="1">VLOOKUP(A166,'銀行-TSS'!A:N,14,FALSE)</f>
        <v>10000</v>
      </c>
      <c r="J166" s="1213">
        <f ca="1">VLOOKUP(A166,'銀行-TSS'!A:O,15,FALSE)</f>
        <v>1000</v>
      </c>
      <c r="K166" s="136" t="str">
        <f ca="1">VLOOKUP(A166,'銀行-TSS'!A:V,22,FALSE)</f>
        <v>(PI)專投</v>
      </c>
      <c r="L166" s="136" t="str">
        <f ca="1">VLOOKUP(A166,'銀行-TSS'!A:AK,37,FALSE)</f>
        <v>有</v>
      </c>
      <c r="M166" s="136" t="str">
        <f ca="1">VLOOKUP(A166,'銀行-TSS'!A:AN,40,FALSE)</f>
        <v/>
      </c>
      <c r="N166" s="1211">
        <f t="shared" ca="1" si="33"/>
        <v>996.4</v>
      </c>
      <c r="O166" s="1211">
        <f t="shared" ca="1" si="34"/>
        <v>9964</v>
      </c>
      <c r="P166" s="1213">
        <f ca="1">IF(AND(換券投組!$D$17&gt;=O166,換券投組!$D$13=D166),I166+INT((換券投組!$D$17-O166)/N166)*J166,0)</f>
        <v>0</v>
      </c>
      <c r="Q166" s="1211">
        <f t="shared" ca="1" si="35"/>
        <v>0</v>
      </c>
      <c r="R166" s="1213">
        <f t="shared" ca="1" si="36"/>
        <v>0</v>
      </c>
      <c r="S166" s="1213">
        <f t="shared" ca="1" si="37"/>
        <v>0</v>
      </c>
      <c r="T166" s="136">
        <f t="shared" ca="1" si="30"/>
        <v>0</v>
      </c>
      <c r="U166" s="861">
        <f t="shared" ca="1" si="31"/>
        <v>0</v>
      </c>
      <c r="V166" s="136" t="b">
        <f ca="1">IF(OR(D166&lt;&gt;"USD",L166="無",M166&lt;&gt;"",K166="高資產",IFERROR(MATCH(B166,換券投組!K:K,0),"N")&lt;&gt;"N",IFERROR(MATCH(B166,換券投組!J:J,0),"N")&lt;&gt;"N"),FALSE,IF($V$1="All",TRUE,IF(K166=$V$1,TRUE,FALSE)))</f>
        <v>1</v>
      </c>
      <c r="W166" s="136">
        <f ca="1">VLOOKUP(A166,'銀行-TSS'!A:AO,41,FALSE)</f>
        <v>95.02</v>
      </c>
      <c r="X166" s="136">
        <f ca="1">VLOOKUP(A166,'銀行-TSS'!A:AP,42,FALSE)</f>
        <v>11.282500000000001</v>
      </c>
      <c r="Y166" s="1223">
        <f t="shared" ca="1" si="38"/>
        <v>0</v>
      </c>
      <c r="Z166" s="1211">
        <f t="shared" ca="1" si="39"/>
        <v>0</v>
      </c>
      <c r="AA166" s="136">
        <f ca="1">IF(Z166&lt;=0,0,RANK(Z166,Z:Z)+COUNTIF($Z$3:$Z166,Z166)-1)</f>
        <v>0</v>
      </c>
      <c r="AB166" s="1211">
        <f t="shared" ca="1" si="32"/>
        <v>0</v>
      </c>
      <c r="AC166" s="136">
        <f ca="1">IF(AB166&lt;=0,0,RANK(AB166,AB:AB)+COUNTIF($AB$3:$AB166,AB166)-1)</f>
        <v>0</v>
      </c>
      <c r="AD166" s="136">
        <f t="shared" ca="1" si="40"/>
        <v>99999</v>
      </c>
      <c r="AE166" s="136">
        <f ca="1">IF(AD166=99999,0,RANK(AD166,AD:AD,1)+COUNTIF($AD$3:$AD166,AD166)-1)</f>
        <v>0</v>
      </c>
    </row>
    <row r="167" spans="1:31">
      <c r="A167" s="141" t="str">
        <f>'銀行-TSS'!A167</f>
        <v>US345370CQ17</v>
      </c>
      <c r="B167" s="151" t="str">
        <f ca="1">VLOOKUP(A167,'銀行-TSS'!A:B,2,FALSE)</f>
        <v>XG520</v>
      </c>
      <c r="C167" s="151" t="str">
        <f ca="1">VLOOKUP(B167,bond!B:C,2,FALSE)</f>
        <v>福特汽車公司美元配息債券 4.75% 2043/1/15</v>
      </c>
      <c r="D167" s="95" t="str">
        <f>VLOOKUP(A167,'銀行-TSS'!A:C,3,FALSE)</f>
        <v>USD</v>
      </c>
      <c r="E167" s="90">
        <f ca="1">VLOOKUP(A167,'銀行-TSS'!A:G,7,FALSE)</f>
        <v>18.54</v>
      </c>
      <c r="F167" s="202">
        <f ca="1">VLOOKUP(A167,'銀行-TSS'!A:H,8,FALSE)</f>
        <v>4.7500000000000001E-2</v>
      </c>
      <c r="G167" s="96">
        <f ca="1">VLOOKUP(A167,'銀行-TSS'!A:K,11,FALSE)</f>
        <v>86.8</v>
      </c>
      <c r="H167" s="1209">
        <f ca="1">VLOOKUP(A167,'銀行-TSS'!A:M,13,FALSE)</f>
        <v>6.1499999999999999E-2</v>
      </c>
      <c r="I167" s="1213">
        <f ca="1">VLOOKUP(A167,'銀行-TSS'!A:N,14,FALSE)</f>
        <v>10000</v>
      </c>
      <c r="J167" s="1213">
        <f ca="1">VLOOKUP(A167,'銀行-TSS'!A:O,15,FALSE)</f>
        <v>1000</v>
      </c>
      <c r="K167" s="136" t="str">
        <f ca="1">VLOOKUP(A167,'銀行-TSS'!A:V,22,FALSE)</f>
        <v>(PI)專投</v>
      </c>
      <c r="L167" s="136" t="str">
        <f ca="1">VLOOKUP(A167,'銀行-TSS'!A:AK,37,FALSE)</f>
        <v>有</v>
      </c>
      <c r="M167" s="136" t="str">
        <f ca="1">VLOOKUP(A167,'銀行-TSS'!A:AN,40,FALSE)</f>
        <v/>
      </c>
      <c r="N167" s="1211">
        <f t="shared" ca="1" si="33"/>
        <v>868</v>
      </c>
      <c r="O167" s="1211">
        <f t="shared" ca="1" si="34"/>
        <v>8680</v>
      </c>
      <c r="P167" s="1213">
        <f ca="1">IF(AND(換券投組!$D$17&gt;=O167,換券投組!$D$13=D167),I167+INT((換券投組!$D$17-O167)/N167)*J167,0)</f>
        <v>0</v>
      </c>
      <c r="Q167" s="1211">
        <f t="shared" ca="1" si="35"/>
        <v>0</v>
      </c>
      <c r="R167" s="1213">
        <f t="shared" ca="1" si="36"/>
        <v>0</v>
      </c>
      <c r="S167" s="1213">
        <f t="shared" ca="1" si="37"/>
        <v>0</v>
      </c>
      <c r="T167" s="136">
        <f t="shared" ca="1" si="30"/>
        <v>0</v>
      </c>
      <c r="U167" s="861">
        <f t="shared" ca="1" si="31"/>
        <v>0</v>
      </c>
      <c r="V167" s="136" t="b">
        <f ca="1">IF(OR(D167&lt;&gt;"USD",L167="無",M167&lt;&gt;"",K167="高資產",IFERROR(MATCH(B167,換券投組!K:K,0),"N")&lt;&gt;"N",IFERROR(MATCH(B167,換券投組!J:J,0),"N")&lt;&gt;"N"),FALSE,IF($V$1="All",TRUE,IF(K167=$V$1,TRUE,FALSE)))</f>
        <v>1</v>
      </c>
      <c r="W167" s="136">
        <f ca="1">VLOOKUP(A167,'銀行-TSS'!A:AO,41,FALSE)</f>
        <v>81.600000000000009</v>
      </c>
      <c r="X167" s="136">
        <f ca="1">VLOOKUP(A167,'銀行-TSS'!A:AP,42,FALSE)</f>
        <v>11.183</v>
      </c>
      <c r="Y167" s="1223">
        <f t="shared" ca="1" si="38"/>
        <v>0</v>
      </c>
      <c r="Z167" s="1211">
        <f t="shared" ca="1" si="39"/>
        <v>0</v>
      </c>
      <c r="AA167" s="136">
        <f ca="1">IF(Z167&lt;=0,0,RANK(Z167,Z:Z)+COUNTIF($Z$3:$Z167,Z167)-1)</f>
        <v>0</v>
      </c>
      <c r="AB167" s="1211">
        <f t="shared" ca="1" si="32"/>
        <v>0</v>
      </c>
      <c r="AC167" s="136">
        <f ca="1">IF(AB167&lt;=0,0,RANK(AB167,AB:AB)+COUNTIF($AB$3:$AB167,AB167)-1)</f>
        <v>0</v>
      </c>
      <c r="AD167" s="136">
        <f t="shared" ca="1" si="40"/>
        <v>99999</v>
      </c>
      <c r="AE167" s="136">
        <f ca="1">IF(AD167=99999,0,RANK(AD167,AD:AD,1)+COUNTIF($AD$3:$AD167,AD167)-1)</f>
        <v>0</v>
      </c>
    </row>
    <row r="168" spans="1:31">
      <c r="A168" s="141" t="str">
        <f>'銀行-TSS'!A168</f>
        <v>US674599CJ22</v>
      </c>
      <c r="B168" s="151" t="str">
        <f ca="1">VLOOKUP(A168,'銀行-TSS'!A:B,2,FALSE)</f>
        <v>XG530</v>
      </c>
      <c r="C168" s="151" t="str">
        <f ca="1">VLOOKUP(B168,bond!B:C,2,FALSE)</f>
        <v>西方石油公司美元配息債券  4.4% 2046/4/15</v>
      </c>
      <c r="D168" s="95" t="str">
        <f>VLOOKUP(A168,'銀行-TSS'!A:C,3,FALSE)</f>
        <v>USD</v>
      </c>
      <c r="E168" s="90">
        <f ca="1">VLOOKUP(A168,'銀行-TSS'!A:G,7,FALSE)</f>
        <v>21.79</v>
      </c>
      <c r="F168" s="202">
        <f ca="1">VLOOKUP(A168,'銀行-TSS'!A:H,8,FALSE)</f>
        <v>4.4000000000000004E-2</v>
      </c>
      <c r="G168" s="96">
        <f ca="1">VLOOKUP(A168,'銀行-TSS'!A:K,11,FALSE)</f>
        <v>83.24</v>
      </c>
      <c r="H168" s="1209">
        <f ca="1">VLOOKUP(A168,'銀行-TSS'!A:M,13,FALSE)</f>
        <v>5.8500000000000003E-2</v>
      </c>
      <c r="I168" s="1213">
        <f ca="1">VLOOKUP(A168,'銀行-TSS'!A:N,14,FALSE)</f>
        <v>10000</v>
      </c>
      <c r="J168" s="1213">
        <f ca="1">VLOOKUP(A168,'銀行-TSS'!A:O,15,FALSE)</f>
        <v>1000</v>
      </c>
      <c r="K168" s="136" t="str">
        <f ca="1">VLOOKUP(A168,'銀行-TSS'!A:V,22,FALSE)</f>
        <v>(PI)專投</v>
      </c>
      <c r="L168" s="136" t="str">
        <f ca="1">VLOOKUP(A168,'銀行-TSS'!A:AK,37,FALSE)</f>
        <v>有</v>
      </c>
      <c r="M168" s="136" t="str">
        <f ca="1">VLOOKUP(A168,'銀行-TSS'!A:AN,40,FALSE)</f>
        <v/>
      </c>
      <c r="N168" s="1211">
        <f t="shared" ca="1" si="33"/>
        <v>832.4</v>
      </c>
      <c r="O168" s="1211">
        <f t="shared" ca="1" si="34"/>
        <v>8324</v>
      </c>
      <c r="P168" s="1213">
        <f ca="1">IF(AND(換券投組!$D$17&gt;=O168,換券投組!$D$13=D168),I168+INT((換券投組!$D$17-O168)/N168)*J168,0)</f>
        <v>0</v>
      </c>
      <c r="Q168" s="1211">
        <f t="shared" ca="1" si="35"/>
        <v>0</v>
      </c>
      <c r="R168" s="1213">
        <f t="shared" ca="1" si="36"/>
        <v>0</v>
      </c>
      <c r="S168" s="1213">
        <f t="shared" ca="1" si="37"/>
        <v>0</v>
      </c>
      <c r="T168" s="136">
        <f t="shared" ca="1" si="30"/>
        <v>0</v>
      </c>
      <c r="U168" s="861">
        <f t="shared" ca="1" si="31"/>
        <v>0</v>
      </c>
      <c r="V168" s="136" t="b">
        <f ca="1">IF(OR(D168&lt;&gt;"USD",L168="無",M168&lt;&gt;"",K168="高資產",IFERROR(MATCH(B168,換券投組!K:K,0),"N")&lt;&gt;"N",IFERROR(MATCH(B168,換券投組!J:J,0),"N")&lt;&gt;"N"),FALSE,IF($V$1="All",TRUE,IF(K168=$V$1,TRUE,FALSE)))</f>
        <v>1</v>
      </c>
      <c r="W168" s="136">
        <f ca="1">VLOOKUP(A168,'銀行-TSS'!A:AO,41,FALSE)</f>
        <v>79.300000000000011</v>
      </c>
      <c r="X168" s="136">
        <f ca="1">VLOOKUP(A168,'銀行-TSS'!A:AP,42,FALSE)</f>
        <v>12.7112</v>
      </c>
      <c r="Y168" s="1223">
        <f t="shared" ca="1" si="38"/>
        <v>0</v>
      </c>
      <c r="Z168" s="1211">
        <f t="shared" ca="1" si="39"/>
        <v>0</v>
      </c>
      <c r="AA168" s="136">
        <f ca="1">IF(Z168&lt;=0,0,RANK(Z168,Z:Z)+COUNTIF($Z$3:$Z168,Z168)-1)</f>
        <v>0</v>
      </c>
      <c r="AB168" s="1211">
        <f t="shared" ca="1" si="32"/>
        <v>0</v>
      </c>
      <c r="AC168" s="136">
        <f ca="1">IF(AB168&lt;=0,0,RANK(AB168,AB:AB)+COUNTIF($AB$3:$AB168,AB168)-1)</f>
        <v>0</v>
      </c>
      <c r="AD168" s="136">
        <f t="shared" ca="1" si="40"/>
        <v>99999</v>
      </c>
      <c r="AE168" s="136">
        <f ca="1">IF(AD168=99999,0,RANK(AD168,AD:AD,1)+COUNTIF($AD$3:$AD168,AD168)-1)</f>
        <v>0</v>
      </c>
    </row>
    <row r="169" spans="1:31">
      <c r="A169" s="141" t="str">
        <f>'銀行-TSS'!A169</f>
        <v>US279158AE95</v>
      </c>
      <c r="B169" s="151" t="str">
        <f ca="1">VLOOKUP(A169,'銀行-TSS'!A:B,2,FALSE)</f>
        <v>XG540</v>
      </c>
      <c r="C169" s="151" t="str">
        <f ca="1">VLOOKUP(B169,bond!B:C,2,FALSE)</f>
        <v>哥倫比亞國家石油公司美元配息債券 7.375% 2043/9/18</v>
      </c>
      <c r="D169" s="95" t="str">
        <f>VLOOKUP(A169,'銀行-TSS'!A:C,3,FALSE)</f>
        <v>USD</v>
      </c>
      <c r="E169" s="90">
        <f ca="1">VLOOKUP(A169,'銀行-TSS'!A:G,7,FALSE)</f>
        <v>19.21</v>
      </c>
      <c r="F169" s="202">
        <f ca="1">VLOOKUP(A169,'銀行-TSS'!A:H,8,FALSE)</f>
        <v>7.3749999999999996E-2</v>
      </c>
      <c r="G169" s="96">
        <f ca="1">VLOOKUP(A169,'銀行-TSS'!A:K,11,FALSE)</f>
        <v>95.21</v>
      </c>
      <c r="H169" s="1209">
        <f ca="1">VLOOKUP(A169,'銀行-TSS'!A:M,13,FALSE)</f>
        <v>8.09E-2</v>
      </c>
      <c r="I169" s="1213">
        <f ca="1">VLOOKUP(A169,'銀行-TSS'!A:N,14,FALSE)</f>
        <v>10000</v>
      </c>
      <c r="J169" s="1213">
        <f ca="1">VLOOKUP(A169,'銀行-TSS'!A:O,15,FALSE)</f>
        <v>1000</v>
      </c>
      <c r="K169" s="136" t="str">
        <f ca="1">VLOOKUP(A169,'銀行-TSS'!A:V,22,FALSE)</f>
        <v>(PI)專投</v>
      </c>
      <c r="L169" s="136" t="str">
        <f ca="1">VLOOKUP(A169,'銀行-TSS'!A:AK,37,FALSE)</f>
        <v>有</v>
      </c>
      <c r="M169" s="136" t="str">
        <f ca="1">VLOOKUP(A169,'銀行-TSS'!A:AN,40,FALSE)</f>
        <v/>
      </c>
      <c r="N169" s="1211">
        <f t="shared" ca="1" si="33"/>
        <v>952.1</v>
      </c>
      <c r="O169" s="1211">
        <f t="shared" ca="1" si="34"/>
        <v>9520.9999999999982</v>
      </c>
      <c r="P169" s="1213">
        <f ca="1">IF(AND(換券投組!$D$17&gt;=O169,換券投組!$D$13=D169),I169+INT((換券投組!$D$17-O169)/N169)*J169,0)</f>
        <v>0</v>
      </c>
      <c r="Q169" s="1211">
        <f t="shared" ca="1" si="35"/>
        <v>0</v>
      </c>
      <c r="R169" s="1213">
        <f t="shared" ca="1" si="36"/>
        <v>0</v>
      </c>
      <c r="S169" s="1213">
        <f t="shared" ca="1" si="37"/>
        <v>0</v>
      </c>
      <c r="T169" s="136">
        <f t="shared" ca="1" si="30"/>
        <v>0</v>
      </c>
      <c r="U169" s="861">
        <f t="shared" ca="1" si="31"/>
        <v>0</v>
      </c>
      <c r="V169" s="136" t="b">
        <f ca="1">IF(OR(D169&lt;&gt;"USD",L169="無",M169&lt;&gt;"",K169="高資產",IFERROR(MATCH(B169,換券投組!K:K,0),"N")&lt;&gt;"N",IFERROR(MATCH(B169,換券投組!J:J,0),"N")&lt;&gt;"N"),FALSE,IF($V$1="All",TRUE,IF(K169=$V$1,TRUE,FALSE)))</f>
        <v>1</v>
      </c>
      <c r="W169" s="136">
        <f ca="1">VLOOKUP(A169,'銀行-TSS'!A:AO,41,FALSE)</f>
        <v>90.08</v>
      </c>
      <c r="X169" s="136">
        <f ca="1">VLOOKUP(A169,'銀行-TSS'!A:AP,42,FALSE)</f>
        <v>9.4692000000000007</v>
      </c>
      <c r="Y169" s="1223">
        <f t="shared" ca="1" si="38"/>
        <v>0</v>
      </c>
      <c r="Z169" s="1211">
        <f ca="1">IF(A169=0,0,IF(V169=FALSE,0,IF(OR(Q169&lt;$Y$1,E169&lt;5)=FALSE,(Q169-$Q$1)*MIN(3,E169)*(1-MIN(1/(2*E169),1))+IF((P169-$P$1)&lt;0,(P169-$P$1),((P169-$P$1)*MIN(1/(2*E169),1))),0)))</f>
        <v>0</v>
      </c>
      <c r="AA169" s="136">
        <f ca="1">IF(Z169&lt;=0,0,RANK(Z169,Z:Z)+COUNTIF($Z$3:$Z169,Z169)-1)</f>
        <v>0</v>
      </c>
      <c r="AB169" s="1211">
        <f t="shared" ca="1" si="32"/>
        <v>0</v>
      </c>
      <c r="AC169" s="136">
        <f ca="1">IF(AB169&lt;=0,0,RANK(AB169,AB:AB)+COUNTIF($AB$3:$AB169,AB169)-1)</f>
        <v>0</v>
      </c>
      <c r="AD169" s="136">
        <f t="shared" ca="1" si="40"/>
        <v>99999</v>
      </c>
      <c r="AE169" s="136">
        <f ca="1">IF(AD169=99999,0,RANK(AD169,AD:AD,1)+COUNTIF($AD$3:$AD169,AD169)-1)</f>
        <v>0</v>
      </c>
    </row>
    <row r="170" spans="1:31">
      <c r="A170" s="141" t="str">
        <f>'銀行-TSS'!A170</f>
        <v>USP1905CJX94</v>
      </c>
      <c r="B170" s="151" t="str">
        <f ca="1">VLOOKUP(A170,'銀行-TSS'!A:B,2,FALSE)</f>
        <v>XG550</v>
      </c>
      <c r="C170" s="151" t="str">
        <f ca="1">VLOOKUP(B170,bond!B:C,2,FALSE)</f>
        <v>巴西食品公司美元配息債券  4.875% 2030/1/24</v>
      </c>
      <c r="D170" s="95" t="str">
        <f>VLOOKUP(A170,'銀行-TSS'!A:C,3,FALSE)</f>
        <v>USD</v>
      </c>
      <c r="E170" s="90">
        <f ca="1">VLOOKUP(A170,'銀行-TSS'!A:G,7,FALSE)</f>
        <v>5.56</v>
      </c>
      <c r="F170" s="202">
        <f ca="1">VLOOKUP(A170,'銀行-TSS'!A:H,8,FALSE)</f>
        <v>4.8750000000000002E-2</v>
      </c>
      <c r="G170" s="96">
        <f ca="1">VLOOKUP(A170,'銀行-TSS'!A:K,11,FALSE)</f>
        <v>96.29</v>
      </c>
      <c r="H170" s="1209">
        <f ca="1">VLOOKUP(A170,'銀行-TSS'!A:M,13,FALSE)</f>
        <v>6.13E-2</v>
      </c>
      <c r="I170" s="1213">
        <f ca="1">VLOOKUP(A170,'銀行-TSS'!A:N,14,FALSE)</f>
        <v>200000</v>
      </c>
      <c r="J170" s="1213">
        <f ca="1">VLOOKUP(A170,'銀行-TSS'!A:O,15,FALSE)</f>
        <v>1000</v>
      </c>
      <c r="K170" s="136" t="str">
        <f ca="1">VLOOKUP(A170,'銀行-TSS'!A:V,22,FALSE)</f>
        <v>(PI)專投</v>
      </c>
      <c r="L170" s="136" t="str">
        <f ca="1">VLOOKUP(A170,'銀行-TSS'!A:AK,37,FALSE)</f>
        <v>有</v>
      </c>
      <c r="M170" s="136" t="str">
        <f ca="1">VLOOKUP(A170,'銀行-TSS'!A:AN,40,FALSE)</f>
        <v/>
      </c>
      <c r="N170" s="1211">
        <f t="shared" ca="1" si="33"/>
        <v>962.9</v>
      </c>
      <c r="O170" s="1211">
        <f t="shared" ca="1" si="34"/>
        <v>192580</v>
      </c>
      <c r="P170" s="1213">
        <f ca="1">IF(AND(換券投組!$D$17&gt;=O170,換券投組!$D$13=D170),I170+INT((換券投組!$D$17-O170)/N170)*J170,0)</f>
        <v>0</v>
      </c>
      <c r="Q170" s="1211">
        <f t="shared" ca="1" si="35"/>
        <v>0</v>
      </c>
      <c r="R170" s="1213">
        <f t="shared" ca="1" si="36"/>
        <v>0</v>
      </c>
      <c r="S170" s="1213">
        <f t="shared" ca="1" si="37"/>
        <v>0</v>
      </c>
      <c r="T170" s="136">
        <f t="shared" ca="1" si="30"/>
        <v>0</v>
      </c>
      <c r="U170" s="861">
        <f t="shared" ca="1" si="31"/>
        <v>0</v>
      </c>
      <c r="V170" s="136" t="b">
        <f ca="1">IF(OR(D170&lt;&gt;"USD",L170="無",M170&lt;&gt;"",K170="高資產",IFERROR(MATCH(B170,換券投組!K:K,0),"N")&lt;&gt;"N",IFERROR(MATCH(B170,換券投組!J:J,0),"N")&lt;&gt;"N"),FALSE,IF($V$1="All",TRUE,IF(K170=$V$1,TRUE,FALSE)))</f>
        <v>1</v>
      </c>
      <c r="W170" s="136">
        <f ca="1">VLOOKUP(A170,'銀行-TSS'!A:AO,41,FALSE)</f>
        <v>92.65</v>
      </c>
      <c r="X170" s="136">
        <f ca="1">VLOOKUP(A170,'銀行-TSS'!A:AP,42,FALSE)</f>
        <v>4.6497000000000002</v>
      </c>
      <c r="Y170" s="1223">
        <f t="shared" ca="1" si="38"/>
        <v>0</v>
      </c>
      <c r="Z170" s="1211">
        <f t="shared" ca="1" si="39"/>
        <v>0</v>
      </c>
      <c r="AA170" s="136">
        <f ca="1">IF(Z170&lt;=0,0,RANK(Z170,Z:Z)+COUNTIF($Z$3:$Z170,Z170)-1)</f>
        <v>0</v>
      </c>
      <c r="AB170" s="1211">
        <f t="shared" ca="1" si="32"/>
        <v>0</v>
      </c>
      <c r="AC170" s="136">
        <f ca="1">IF(AB170&lt;=0,0,RANK(AB170,AB:AB)+COUNTIF($AB$3:$AB170,AB170)-1)</f>
        <v>0</v>
      </c>
      <c r="AD170" s="136">
        <f t="shared" ca="1" si="40"/>
        <v>99999</v>
      </c>
      <c r="AE170" s="136">
        <f ca="1">IF(AD170=99999,0,RANK(AD170,AD:AD,1)+COUNTIF($AD$3:$AD170,AD170)-1)</f>
        <v>0</v>
      </c>
    </row>
    <row r="171" spans="1:31">
      <c r="A171" s="141" t="str">
        <f>'銀行-TSS'!A171</f>
        <v>XS2361253607</v>
      </c>
      <c r="B171" s="151" t="str">
        <f ca="1">VLOOKUP(A171,'銀行-TSS'!A:B,2,FALSE)</f>
        <v>XG560</v>
      </c>
      <c r="C171" s="151" t="str">
        <f ca="1">VLOOKUP(B171,bond!B:C,2,FALSE)</f>
        <v>軟銀集團公司美元配息債券  5.25% 2031/7/6</v>
      </c>
      <c r="D171" s="95" t="str">
        <f>VLOOKUP(A171,'銀行-TSS'!A:C,3,FALSE)</f>
        <v>USD</v>
      </c>
      <c r="E171" s="90">
        <f ca="1">VLOOKUP(A171,'銀行-TSS'!A:G,7,FALSE)</f>
        <v>7.01</v>
      </c>
      <c r="F171" s="202">
        <f ca="1">VLOOKUP(A171,'銀行-TSS'!A:H,8,FALSE)</f>
        <v>5.2499999999999998E-2</v>
      </c>
      <c r="G171" s="96">
        <f ca="1">VLOOKUP(A171,'銀行-TSS'!A:K,11,FALSE)</f>
        <v>97.3</v>
      </c>
      <c r="H171" s="1209">
        <f ca="1">VLOOKUP(A171,'銀行-TSS'!A:M,13,FALSE)</f>
        <v>6.1899999999999997E-2</v>
      </c>
      <c r="I171" s="1213">
        <f ca="1">VLOOKUP(A171,'銀行-TSS'!A:N,14,FALSE)</f>
        <v>200000</v>
      </c>
      <c r="J171" s="1213">
        <f ca="1">VLOOKUP(A171,'銀行-TSS'!A:O,15,FALSE)</f>
        <v>1000</v>
      </c>
      <c r="K171" s="136" t="str">
        <f ca="1">VLOOKUP(A171,'銀行-TSS'!A:V,22,FALSE)</f>
        <v>(PI)專投</v>
      </c>
      <c r="L171" s="136" t="str">
        <f ca="1">VLOOKUP(A171,'銀行-TSS'!A:AK,37,FALSE)</f>
        <v>有</v>
      </c>
      <c r="M171" s="136" t="str">
        <f ca="1">VLOOKUP(A171,'銀行-TSS'!A:AN,40,FALSE)</f>
        <v/>
      </c>
      <c r="N171" s="1211">
        <f t="shared" ca="1" si="33"/>
        <v>973</v>
      </c>
      <c r="O171" s="1211">
        <f t="shared" ca="1" si="34"/>
        <v>194600</v>
      </c>
      <c r="P171" s="1213">
        <f ca="1">IF(AND(換券投組!$D$17&gt;=O171,換券投組!$D$13=D171),I171+INT((換券投組!$D$17-O171)/N171)*J171,0)</f>
        <v>0</v>
      </c>
      <c r="Q171" s="1211">
        <f t="shared" ca="1" si="35"/>
        <v>0</v>
      </c>
      <c r="R171" s="1213">
        <f t="shared" ca="1" si="36"/>
        <v>0</v>
      </c>
      <c r="S171" s="1213">
        <f t="shared" ca="1" si="37"/>
        <v>0</v>
      </c>
      <c r="T171" s="136">
        <f t="shared" ca="1" si="30"/>
        <v>0</v>
      </c>
      <c r="U171" s="861">
        <f t="shared" ca="1" si="31"/>
        <v>0</v>
      </c>
      <c r="V171" s="136" t="b">
        <f ca="1">IF(OR(D171&lt;&gt;"USD",L171="無",M171&lt;&gt;"",K171="高資產",IFERROR(MATCH(B171,換券投組!K:K,0),"N")&lt;&gt;"N",IFERROR(MATCH(B171,換券投組!J:J,0),"N")&lt;&gt;"N"),FALSE,IF($V$1="All",TRUE,IF(K171=$V$1,TRUE,FALSE)))</f>
        <v>1</v>
      </c>
      <c r="W171" s="136">
        <f ca="1">VLOOKUP(A171,'銀行-TSS'!A:AO,41,FALSE)</f>
        <v>92.22</v>
      </c>
      <c r="X171" s="136">
        <f ca="1">VLOOKUP(A171,'銀行-TSS'!A:AP,42,FALSE)</f>
        <v>5.5636999999999999</v>
      </c>
      <c r="Y171" s="1223">
        <f t="shared" ca="1" si="38"/>
        <v>0</v>
      </c>
      <c r="Z171" s="1211">
        <f t="shared" ca="1" si="39"/>
        <v>0</v>
      </c>
      <c r="AA171" s="136">
        <f ca="1">IF(Z171&lt;=0,0,RANK(Z171,Z:Z)+COUNTIF($Z$3:$Z171,Z171)-1)</f>
        <v>0</v>
      </c>
      <c r="AB171" s="1211">
        <f t="shared" ca="1" si="32"/>
        <v>0</v>
      </c>
      <c r="AC171" s="136">
        <f ca="1">IF(AB171&lt;=0,0,RANK(AB171,AB:AB)+COUNTIF($AB$3:$AB171,AB171)-1)</f>
        <v>0</v>
      </c>
      <c r="AD171" s="136">
        <f t="shared" ca="1" si="40"/>
        <v>99999</v>
      </c>
      <c r="AE171" s="136">
        <f ca="1">IF(AD171=99999,0,RANK(AD171,AD:AD,1)+COUNTIF($AD$3:$AD171,AD171)-1)</f>
        <v>0</v>
      </c>
    </row>
    <row r="172" spans="1:31">
      <c r="A172" s="141" t="str">
        <f>'銀行-TSS'!A172</f>
        <v>US189754AC88</v>
      </c>
      <c r="B172" s="151" t="str">
        <f ca="1">VLOOKUP(A172,'銀行-TSS'!A:B,2,FALSE)</f>
        <v>XG570</v>
      </c>
      <c r="C172" s="151" t="str">
        <f ca="1">VLOOKUP(B172,bond!B:C,2,FALSE)</f>
        <v>Tapestry公司美元配息債券 4.125% 2027/7/15</v>
      </c>
      <c r="D172" s="95" t="str">
        <f>VLOOKUP(A172,'銀行-TSS'!A:C,3,FALSE)</f>
        <v>USD</v>
      </c>
      <c r="E172" s="90">
        <f ca="1">VLOOKUP(A172,'銀行-TSS'!A:G,7,FALSE)</f>
        <v>3.03</v>
      </c>
      <c r="F172" s="202">
        <f ca="1">VLOOKUP(A172,'銀行-TSS'!A:H,8,FALSE)</f>
        <v>4.1250000000000002E-2</v>
      </c>
      <c r="G172" s="96">
        <f ca="1">VLOOKUP(A172,'銀行-TSS'!A:K,11,FALSE)</f>
        <v>99.48</v>
      </c>
      <c r="H172" s="1209">
        <f ca="1">VLOOKUP(A172,'銀行-TSS'!A:M,13,FALSE)</f>
        <v>0.05</v>
      </c>
      <c r="I172" s="1213">
        <f ca="1">VLOOKUP(A172,'銀行-TSS'!A:N,14,FALSE)</f>
        <v>10000</v>
      </c>
      <c r="J172" s="1213">
        <f ca="1">VLOOKUP(A172,'銀行-TSS'!A:O,15,FALSE)</f>
        <v>1000</v>
      </c>
      <c r="K172" s="136" t="str">
        <f ca="1">VLOOKUP(A172,'銀行-TSS'!A:V,22,FALSE)</f>
        <v>(PI)專投</v>
      </c>
      <c r="L172" s="136" t="str">
        <f ca="1">VLOOKUP(A172,'銀行-TSS'!A:AK,37,FALSE)</f>
        <v>有</v>
      </c>
      <c r="M172" s="136" t="str">
        <f ca="1">VLOOKUP(A172,'銀行-TSS'!A:AN,40,FALSE)</f>
        <v/>
      </c>
      <c r="N172" s="1211">
        <f t="shared" ca="1" si="33"/>
        <v>994.8</v>
      </c>
      <c r="O172" s="1211">
        <f t="shared" ca="1" si="34"/>
        <v>9948</v>
      </c>
      <c r="P172" s="1213">
        <f ca="1">IF(AND(換券投組!$D$17&gt;=O172,換券投組!$D$13=D172),I172+INT((換券投組!$D$17-O172)/N172)*J172,0)</f>
        <v>0</v>
      </c>
      <c r="Q172" s="1211">
        <f t="shared" ca="1" si="35"/>
        <v>0</v>
      </c>
      <c r="R172" s="1213">
        <f t="shared" ca="1" si="36"/>
        <v>0</v>
      </c>
      <c r="S172" s="1213">
        <f t="shared" ca="1" si="37"/>
        <v>0</v>
      </c>
      <c r="T172" s="136">
        <f t="shared" ca="1" si="30"/>
        <v>0</v>
      </c>
      <c r="U172" s="861">
        <f t="shared" ca="1" si="31"/>
        <v>0</v>
      </c>
      <c r="V172" s="136" t="b">
        <f ca="1">IF(OR(D172&lt;&gt;"USD",L172="無",M172&lt;&gt;"",K172="高資產",IFERROR(MATCH(B172,換券投組!K:K,0),"N")&lt;&gt;"N",IFERROR(MATCH(B172,換券投組!J:J,0),"N")&lt;&gt;"N"),FALSE,IF($V$1="All",TRUE,IF(K172=$V$1,TRUE,FALSE)))</f>
        <v>1</v>
      </c>
      <c r="W172" s="136">
        <f ca="1">VLOOKUP(A172,'銀行-TSS'!A:AO,41,FALSE)</f>
        <v>96.37</v>
      </c>
      <c r="X172" s="136">
        <f ca="1">VLOOKUP(A172,'銀行-TSS'!A:AP,42,FALSE)</f>
        <v>2.7524000000000002</v>
      </c>
      <c r="Y172" s="1223">
        <f t="shared" ca="1" si="38"/>
        <v>0</v>
      </c>
      <c r="Z172" s="1211">
        <f t="shared" ca="1" si="39"/>
        <v>0</v>
      </c>
      <c r="AA172" s="136">
        <f ca="1">IF(Z172&lt;=0,0,RANK(Z172,Z:Z)+COUNTIF($Z$3:$Z172,Z172)-1)</f>
        <v>0</v>
      </c>
      <c r="AB172" s="1211">
        <f t="shared" ca="1" si="32"/>
        <v>0</v>
      </c>
      <c r="AC172" s="136">
        <f ca="1">IF(AB172&lt;=0,0,RANK(AB172,AB:AB)+COUNTIF($AB$3:$AB172,AB172)-1)</f>
        <v>0</v>
      </c>
      <c r="AD172" s="136">
        <f t="shared" ca="1" si="40"/>
        <v>99999</v>
      </c>
      <c r="AE172" s="136">
        <f ca="1">IF(AD172=99999,0,RANK(AD172,AD:AD,1)+COUNTIF($AD$3:$AD172,AD172)-1)</f>
        <v>0</v>
      </c>
    </row>
    <row r="173" spans="1:31">
      <c r="A173" s="141" t="str">
        <f>'銀行-TSS'!A173</f>
        <v>US345397B694</v>
      </c>
      <c r="B173" s="151" t="str">
        <f ca="1">VLOOKUP(A173,'銀行-TSS'!A:B,2,FALSE)</f>
        <v>XG580</v>
      </c>
      <c r="C173" s="151" t="str">
        <f ca="1">VLOOKUP(B173,bond!B:C,2,FALSE)</f>
        <v>福特汽車信用有限責任公司美元配息債券  3.625% 2031/6/17</v>
      </c>
      <c r="D173" s="95" t="str">
        <f>VLOOKUP(A173,'銀行-TSS'!A:C,3,FALSE)</f>
        <v>USD</v>
      </c>
      <c r="E173" s="90">
        <f ca="1">VLOOKUP(A173,'銀行-TSS'!A:G,7,FALSE)</f>
        <v>6.96</v>
      </c>
      <c r="F173" s="202">
        <f ca="1">VLOOKUP(A173,'銀行-TSS'!A:H,8,FALSE)</f>
        <v>3.6249999999999998E-2</v>
      </c>
      <c r="G173" s="96">
        <f ca="1">VLOOKUP(A173,'銀行-TSS'!A:K,11,FALSE)</f>
        <v>89.42</v>
      </c>
      <c r="H173" s="1209">
        <f ca="1">VLOOKUP(A173,'銀行-TSS'!A:M,13,FALSE)</f>
        <v>5.5E-2</v>
      </c>
      <c r="I173" s="1213">
        <f ca="1">VLOOKUP(A173,'銀行-TSS'!A:N,14,FALSE)</f>
        <v>200000</v>
      </c>
      <c r="J173" s="1213">
        <f ca="1">VLOOKUP(A173,'銀行-TSS'!A:O,15,FALSE)</f>
        <v>1000</v>
      </c>
      <c r="K173" s="136" t="str">
        <f ca="1">VLOOKUP(A173,'銀行-TSS'!A:V,22,FALSE)</f>
        <v>(PI)專投</v>
      </c>
      <c r="L173" s="136" t="str">
        <f ca="1">VLOOKUP(A173,'銀行-TSS'!A:AK,37,FALSE)</f>
        <v>有</v>
      </c>
      <c r="M173" s="136" t="str">
        <f ca="1">VLOOKUP(A173,'銀行-TSS'!A:AN,40,FALSE)</f>
        <v/>
      </c>
      <c r="N173" s="1211">
        <f t="shared" ca="1" si="33"/>
        <v>894.2</v>
      </c>
      <c r="O173" s="1211">
        <f t="shared" ca="1" si="34"/>
        <v>178840</v>
      </c>
      <c r="P173" s="1213">
        <f ca="1">IF(AND(換券投組!$D$17&gt;=O173,換券投組!$D$13=D173),I173+INT((換券投組!$D$17-O173)/N173)*J173,0)</f>
        <v>0</v>
      </c>
      <c r="Q173" s="1211">
        <f t="shared" ca="1" si="35"/>
        <v>0</v>
      </c>
      <c r="R173" s="1213">
        <f t="shared" ca="1" si="36"/>
        <v>0</v>
      </c>
      <c r="S173" s="1213">
        <f t="shared" ca="1" si="37"/>
        <v>0</v>
      </c>
      <c r="T173" s="136">
        <f t="shared" ca="1" si="30"/>
        <v>0</v>
      </c>
      <c r="U173" s="861">
        <f t="shared" ca="1" si="31"/>
        <v>0</v>
      </c>
      <c r="V173" s="136" t="b">
        <f ca="1">IF(OR(D173&lt;&gt;"USD",L173="無",M173&lt;&gt;"",K173="高資產",IFERROR(MATCH(B173,換券投組!K:K,0),"N")&lt;&gt;"N",IFERROR(MATCH(B173,換券投組!J:J,0),"N")&lt;&gt;"N"),FALSE,IF($V$1="All",TRUE,IF(K173=$V$1,TRUE,FALSE)))</f>
        <v>1</v>
      </c>
      <c r="W173" s="136">
        <f ca="1">VLOOKUP(A173,'銀行-TSS'!A:AO,41,FALSE)</f>
        <v>86.77000000000001</v>
      </c>
      <c r="X173" s="136">
        <f ca="1">VLOOKUP(A173,'銀行-TSS'!A:AP,42,FALSE)</f>
        <v>5.9612999999999996</v>
      </c>
      <c r="Y173" s="1223">
        <f t="shared" ca="1" si="38"/>
        <v>0</v>
      </c>
      <c r="Z173" s="1211">
        <f t="shared" ca="1" si="39"/>
        <v>0</v>
      </c>
      <c r="AA173" s="136">
        <f ca="1">IF(Z173&lt;=0,0,RANK(Z173,Z:Z)+COUNTIF($Z$3:$Z173,Z173)-1)</f>
        <v>0</v>
      </c>
      <c r="AB173" s="1211">
        <f t="shared" ca="1" si="32"/>
        <v>0</v>
      </c>
      <c r="AC173" s="136">
        <f ca="1">IF(AB173&lt;=0,0,RANK(AB173,AB:AB)+COUNTIF($AB$3:$AB173,AB173)-1)</f>
        <v>0</v>
      </c>
      <c r="AD173" s="136">
        <f t="shared" ca="1" si="40"/>
        <v>99999</v>
      </c>
      <c r="AE173" s="136">
        <f ca="1">IF(AD173=99999,0,RANK(AD173,AD:AD,1)+COUNTIF($AD$3:$AD173,AD173)-1)</f>
        <v>0</v>
      </c>
    </row>
    <row r="174" spans="1:31">
      <c r="A174" s="141" t="str">
        <f>'銀行-TSS'!A174</f>
        <v>US105756BW95</v>
      </c>
      <c r="B174" s="151" t="str">
        <f ca="1">VLOOKUP(A174,'銀行-TSS'!A:B,2,FALSE)</f>
        <v>XG590</v>
      </c>
      <c r="C174" s="151" t="str">
        <f ca="1">VLOOKUP(B174,bond!B:C,2,FALSE)</f>
        <v>巴西政府公債美元配息債券 5% 2045/1/27</v>
      </c>
      <c r="D174" s="95" t="str">
        <f>VLOOKUP(A174,'銀行-TSS'!A:C,3,FALSE)</f>
        <v>USD</v>
      </c>
      <c r="E174" s="90">
        <f ca="1">VLOOKUP(A174,'銀行-TSS'!A:G,7,FALSE)</f>
        <v>20.57</v>
      </c>
      <c r="F174" s="202">
        <f ca="1">VLOOKUP(A174,'銀行-TSS'!A:H,8,FALSE)</f>
        <v>0.05</v>
      </c>
      <c r="G174" s="96">
        <f ca="1">VLOOKUP(A174,'銀行-TSS'!A:K,11,FALSE)</f>
        <v>83.27</v>
      </c>
      <c r="H174" s="1209">
        <f ca="1">VLOOKUP(A174,'銀行-TSS'!A:M,13,FALSE)</f>
        <v>6.7000000000000004E-2</v>
      </c>
      <c r="I174" s="1213">
        <f ca="1">VLOOKUP(A174,'銀行-TSS'!A:N,14,FALSE)</f>
        <v>200000</v>
      </c>
      <c r="J174" s="1213">
        <f ca="1">VLOOKUP(A174,'銀行-TSS'!A:O,15,FALSE)</f>
        <v>1000</v>
      </c>
      <c r="K174" s="136" t="str">
        <f ca="1">VLOOKUP(A174,'銀行-TSS'!A:V,22,FALSE)</f>
        <v>高資產</v>
      </c>
      <c r="L174" s="136" t="str">
        <f ca="1">VLOOKUP(A174,'銀行-TSS'!A:AK,37,FALSE)</f>
        <v>有</v>
      </c>
      <c r="M174" s="136" t="str">
        <f ca="1">VLOOKUP(A174,'銀行-TSS'!A:AN,40,FALSE)</f>
        <v/>
      </c>
      <c r="N174" s="1211">
        <f t="shared" ca="1" si="33"/>
        <v>832.7</v>
      </c>
      <c r="O174" s="1211">
        <f t="shared" ca="1" si="34"/>
        <v>166540</v>
      </c>
      <c r="P174" s="1213">
        <f ca="1">IF(AND(換券投組!$D$17&gt;=O174,換券投組!$D$13=D174),I174+INT((換券投組!$D$17-O174)/N174)*J174,0)</f>
        <v>0</v>
      </c>
      <c r="Q174" s="1211">
        <f t="shared" ca="1" si="35"/>
        <v>0</v>
      </c>
      <c r="R174" s="1213">
        <f t="shared" ca="1" si="36"/>
        <v>0</v>
      </c>
      <c r="S174" s="1213">
        <f t="shared" ca="1" si="37"/>
        <v>0</v>
      </c>
      <c r="T174" s="136">
        <f t="shared" ca="1" si="30"/>
        <v>0</v>
      </c>
      <c r="U174" s="861">
        <f t="shared" ca="1" si="31"/>
        <v>0</v>
      </c>
      <c r="V174" s="136" t="b">
        <f ca="1">IF(OR(D174&lt;&gt;"USD",L174="無",M174&lt;&gt;"",K174="高資產",IFERROR(MATCH(B174,換券投組!K:K,0),"N")&lt;&gt;"N",IFERROR(MATCH(B174,換券投組!J:J,0),"N")&lt;&gt;"N"),FALSE,IF($V$1="All",TRUE,IF(K174=$V$1,TRUE,FALSE)))</f>
        <v>0</v>
      </c>
      <c r="W174" s="136">
        <f ca="1">VLOOKUP(A174,'銀行-TSS'!A:AO,41,FALSE)</f>
        <v>78.12</v>
      </c>
      <c r="X174" s="136">
        <f ca="1">VLOOKUP(A174,'銀行-TSS'!A:AP,42,FALSE)</f>
        <v>11.356199999999999</v>
      </c>
      <c r="Y174" s="1223">
        <f t="shared" ca="1" si="38"/>
        <v>0</v>
      </c>
      <c r="Z174" s="1211">
        <f t="shared" ca="1" si="39"/>
        <v>0</v>
      </c>
      <c r="AA174" s="136">
        <f ca="1">IF(Z174&lt;=0,0,RANK(Z174,Z:Z)+COUNTIF($Z$3:$Z174,Z174)-1)</f>
        <v>0</v>
      </c>
      <c r="AB174" s="1211">
        <f t="shared" ca="1" si="32"/>
        <v>0</v>
      </c>
      <c r="AC174" s="136">
        <f ca="1">IF(AB174&lt;=0,0,RANK(AB174,AB:AB)+COUNTIF($AB$3:$AB174,AB174)-1)</f>
        <v>0</v>
      </c>
      <c r="AD174" s="136">
        <f t="shared" ca="1" si="40"/>
        <v>99999</v>
      </c>
      <c r="AE174" s="136">
        <f ca="1">IF(AD174=99999,0,RANK(AD174,AD:AD,1)+COUNTIF($AD$3:$AD174,AD174)-1)</f>
        <v>0</v>
      </c>
    </row>
    <row r="175" spans="1:31">
      <c r="A175" s="141" t="str">
        <f>'銀行-TSS'!A175</f>
        <v>US900123DC14</v>
      </c>
      <c r="B175" s="151" t="str">
        <f ca="1">VLOOKUP(A175,'銀行-TSS'!A:B,2,FALSE)</f>
        <v>XG600</v>
      </c>
      <c r="C175" s="151" t="str">
        <f ca="1">VLOOKUP(B175,bond!B:C,2,FALSE)</f>
        <v>土耳其政府國際債券美元配息債券 5.875% 2031/6/26</v>
      </c>
      <c r="D175" s="95" t="str">
        <f>VLOOKUP(A175,'銀行-TSS'!A:C,3,FALSE)</f>
        <v>USD</v>
      </c>
      <c r="E175" s="90">
        <f ca="1">VLOOKUP(A175,'銀行-TSS'!A:G,7,FALSE)</f>
        <v>6.98</v>
      </c>
      <c r="F175" s="202">
        <f ca="1">VLOOKUP(A175,'銀行-TSS'!A:H,8,FALSE)</f>
        <v>5.8749999999999997E-2</v>
      </c>
      <c r="G175" s="96">
        <f ca="1">VLOOKUP(A175,'銀行-TSS'!A:K,11,FALSE)</f>
        <v>95.67</v>
      </c>
      <c r="H175" s="1209">
        <f ca="1">VLOOKUP(A175,'銀行-TSS'!A:M,13,FALSE)</f>
        <v>6.6799999999999998E-2</v>
      </c>
      <c r="I175" s="1213">
        <f ca="1">VLOOKUP(A175,'銀行-TSS'!A:N,14,FALSE)</f>
        <v>200000</v>
      </c>
      <c r="J175" s="1213">
        <f ca="1">VLOOKUP(A175,'銀行-TSS'!A:O,15,FALSE)</f>
        <v>1000</v>
      </c>
      <c r="K175" s="136" t="str">
        <f ca="1">VLOOKUP(A175,'銀行-TSS'!A:V,22,FALSE)</f>
        <v>高資產</v>
      </c>
      <c r="L175" s="136" t="str">
        <f ca="1">VLOOKUP(A175,'銀行-TSS'!A:AK,37,FALSE)</f>
        <v>有</v>
      </c>
      <c r="M175" s="136" t="str">
        <f ca="1">VLOOKUP(A175,'銀行-TSS'!A:AN,40,FALSE)</f>
        <v/>
      </c>
      <c r="N175" s="1211">
        <f t="shared" ca="1" si="33"/>
        <v>956.7</v>
      </c>
      <c r="O175" s="1211">
        <f t="shared" ca="1" si="34"/>
        <v>191340</v>
      </c>
      <c r="P175" s="1213">
        <f ca="1">IF(AND(換券投組!$D$17&gt;=O175,換券投組!$D$13=D175),I175+INT((換券投組!$D$17-O175)/N175)*J175,0)</f>
        <v>0</v>
      </c>
      <c r="Q175" s="1211">
        <f t="shared" ca="1" si="35"/>
        <v>0</v>
      </c>
      <c r="R175" s="1213">
        <f t="shared" ca="1" si="36"/>
        <v>0</v>
      </c>
      <c r="S175" s="1213">
        <f t="shared" ca="1" si="37"/>
        <v>0</v>
      </c>
      <c r="T175" s="136">
        <f t="shared" ca="1" si="30"/>
        <v>0</v>
      </c>
      <c r="U175" s="861">
        <f t="shared" ca="1" si="31"/>
        <v>0</v>
      </c>
      <c r="V175" s="136" t="b">
        <f ca="1">IF(OR(D175&lt;&gt;"USD",L175="無",M175&lt;&gt;"",K175="高資產",IFERROR(MATCH(B175,換券投組!K:K,0),"N")&lt;&gt;"N",IFERROR(MATCH(B175,換券投組!J:J,0),"N")&lt;&gt;"N"),FALSE,IF($V$1="All",TRUE,IF(K175=$V$1,TRUE,FALSE)))</f>
        <v>0</v>
      </c>
      <c r="W175" s="136">
        <f ca="1">VLOOKUP(A175,'銀行-TSS'!A:AO,41,FALSE)</f>
        <v>93.070000000000007</v>
      </c>
      <c r="X175" s="136">
        <f ca="1">VLOOKUP(A175,'銀行-TSS'!A:AP,42,FALSE)</f>
        <v>5.5795000000000003</v>
      </c>
      <c r="Y175" s="1223">
        <f t="shared" ca="1" si="38"/>
        <v>0</v>
      </c>
      <c r="Z175" s="1211">
        <f t="shared" ca="1" si="39"/>
        <v>0</v>
      </c>
      <c r="AA175" s="136">
        <f ca="1">IF(Z175&lt;=0,0,RANK(Z175,Z:Z)+COUNTIF($Z$3:$Z175,Z175)-1)</f>
        <v>0</v>
      </c>
      <c r="AB175" s="1211">
        <f t="shared" ca="1" si="32"/>
        <v>0</v>
      </c>
      <c r="AC175" s="136">
        <f ca="1">IF(AB175&lt;=0,0,RANK(AB175,AB:AB)+COUNTIF($AB$3:$AB175,AB175)-1)</f>
        <v>0</v>
      </c>
      <c r="AD175" s="136">
        <f t="shared" ca="1" si="40"/>
        <v>99999</v>
      </c>
      <c r="AE175" s="136">
        <f ca="1">IF(AD175=99999,0,RANK(AD175,AD:AD,1)+COUNTIF($AD$3:$AD175,AD175)-1)</f>
        <v>0</v>
      </c>
    </row>
    <row r="176" spans="1:31">
      <c r="A176" s="141" t="str">
        <f>'銀行-TSS'!A176</f>
        <v>US382550BJ95</v>
      </c>
      <c r="B176" s="151" t="str">
        <f ca="1">VLOOKUP(A176,'銀行-TSS'!A:B,2,FALSE)</f>
        <v>XG610</v>
      </c>
      <c r="C176" s="151" t="str">
        <f ca="1">VLOOKUP(B176,bond!B:C,2,FALSE)</f>
        <v>固特異美元配息債券  5.25% 2031/4/30</v>
      </c>
      <c r="D176" s="95" t="str">
        <f>VLOOKUP(A176,'銀行-TSS'!A:C,3,FALSE)</f>
        <v>USD</v>
      </c>
      <c r="E176" s="90">
        <f ca="1">VLOOKUP(A176,'銀行-TSS'!A:G,7,FALSE)</f>
        <v>6.83</v>
      </c>
      <c r="F176" s="202">
        <f ca="1">VLOOKUP(A176,'銀行-TSS'!A:H,8,FALSE)</f>
        <v>5.2499999999999998E-2</v>
      </c>
      <c r="G176" s="96">
        <f ca="1">VLOOKUP(A176,'銀行-TSS'!A:K,11,FALSE)</f>
        <v>95.68</v>
      </c>
      <c r="H176" s="1209">
        <f ca="1">VLOOKUP(A176,'銀行-TSS'!A:M,13,FALSE)</f>
        <v>6.2E-2</v>
      </c>
      <c r="I176" s="1213">
        <f ca="1">VLOOKUP(A176,'銀行-TSS'!A:N,14,FALSE)</f>
        <v>10000</v>
      </c>
      <c r="J176" s="1213">
        <f ca="1">VLOOKUP(A176,'銀行-TSS'!A:O,15,FALSE)</f>
        <v>1000</v>
      </c>
      <c r="K176" s="136" t="str">
        <f ca="1">VLOOKUP(A176,'銀行-TSS'!A:V,22,FALSE)</f>
        <v>高資產</v>
      </c>
      <c r="L176" s="136" t="str">
        <f ca="1">VLOOKUP(A176,'銀行-TSS'!A:AK,37,FALSE)</f>
        <v>有</v>
      </c>
      <c r="M176" s="136" t="str">
        <f ca="1">VLOOKUP(A176,'銀行-TSS'!A:AN,40,FALSE)</f>
        <v/>
      </c>
      <c r="N176" s="1211">
        <f t="shared" ca="1" si="33"/>
        <v>956.8</v>
      </c>
      <c r="O176" s="1211">
        <f t="shared" ca="1" si="34"/>
        <v>9568.0000000000018</v>
      </c>
      <c r="P176" s="1213">
        <f ca="1">IF(AND(換券投組!$D$17&gt;=O176,換券投組!$D$13=D176),I176+INT((換券投組!$D$17-O176)/N176)*J176,0)</f>
        <v>0</v>
      </c>
      <c r="Q176" s="1211">
        <f t="shared" ca="1" si="35"/>
        <v>0</v>
      </c>
      <c r="R176" s="1213">
        <f t="shared" ca="1" si="36"/>
        <v>0</v>
      </c>
      <c r="S176" s="1213">
        <f t="shared" ca="1" si="37"/>
        <v>0</v>
      </c>
      <c r="T176" s="136">
        <f t="shared" ca="1" si="30"/>
        <v>0</v>
      </c>
      <c r="U176" s="861">
        <f t="shared" ca="1" si="31"/>
        <v>0</v>
      </c>
      <c r="V176" s="136" t="b">
        <f ca="1">IF(OR(D176&lt;&gt;"USD",L176="無",M176&lt;&gt;"",K176="高資產",IFERROR(MATCH(B176,換券投組!K:K,0),"N")&lt;&gt;"N",IFERROR(MATCH(B176,換券投組!J:J,0),"N")&lt;&gt;"N"),FALSE,IF($V$1="All",TRUE,IF(K176=$V$1,TRUE,FALSE)))</f>
        <v>0</v>
      </c>
      <c r="W176" s="136">
        <f ca="1">VLOOKUP(A176,'銀行-TSS'!A:AO,41,FALSE)</f>
        <v>92.28</v>
      </c>
      <c r="X176" s="136">
        <f ca="1">VLOOKUP(A176,'銀行-TSS'!A:AP,42,FALSE)</f>
        <v>5.5446999999999997</v>
      </c>
      <c r="Y176" s="1223">
        <f t="shared" ca="1" si="38"/>
        <v>0</v>
      </c>
      <c r="Z176" s="1211">
        <f t="shared" ca="1" si="39"/>
        <v>0</v>
      </c>
      <c r="AA176" s="136">
        <f ca="1">IF(Z176&lt;=0,0,RANK(Z176,Z:Z)+COUNTIF($Z$3:$Z176,Z176)-1)</f>
        <v>0</v>
      </c>
      <c r="AB176" s="1211">
        <f t="shared" ca="1" si="32"/>
        <v>0</v>
      </c>
      <c r="AC176" s="136">
        <f ca="1">IF(AB176&lt;=0,0,RANK(AB176,AB:AB)+COUNTIF($AB$3:$AB176,AB176)-1)</f>
        <v>0</v>
      </c>
      <c r="AD176" s="136">
        <f t="shared" ca="1" si="40"/>
        <v>99999</v>
      </c>
      <c r="AE176" s="136">
        <f ca="1">IF(AD176=99999,0,RANK(AD176,AD:AD,1)+COUNTIF($AD$3:$AD176,AD176)-1)</f>
        <v>0</v>
      </c>
    </row>
    <row r="177" spans="1:31">
      <c r="A177" s="141" t="str">
        <f>'銀行-TSS'!A177</f>
        <v>USV7780TAE39</v>
      </c>
      <c r="B177" s="151" t="str">
        <f ca="1">VLOOKUP(A177,'銀行-TSS'!A:B,2,FALSE)</f>
        <v>XG620</v>
      </c>
      <c r="C177" s="151" t="str">
        <f ca="1">VLOOKUP(B177,bond!B:C,2,FALSE)</f>
        <v>皇家加勒比國際郵輪美元配息債券  5.5% 2028/4/1</v>
      </c>
      <c r="D177" s="95" t="str">
        <f>VLOOKUP(A177,'銀行-TSS'!A:C,3,FALSE)</f>
        <v>USD</v>
      </c>
      <c r="E177" s="90">
        <f ca="1">VLOOKUP(A177,'銀行-TSS'!A:G,7,FALSE)</f>
        <v>3.75</v>
      </c>
      <c r="F177" s="202">
        <f ca="1">VLOOKUP(A177,'銀行-TSS'!A:H,8,FALSE)</f>
        <v>5.5E-2</v>
      </c>
      <c r="G177" s="96">
        <f ca="1">VLOOKUP(A177,'銀行-TSS'!A:K,11,FALSE)</f>
        <v>102.57</v>
      </c>
      <c r="H177" s="1209">
        <f ca="1">VLOOKUP(A177,'銀行-TSS'!A:M,13,FALSE)</f>
        <v>5.1499999999999997E-2</v>
      </c>
      <c r="I177" s="1213">
        <f ca="1">VLOOKUP(A177,'銀行-TSS'!A:N,14,FALSE)</f>
        <v>10000</v>
      </c>
      <c r="J177" s="1213">
        <f ca="1">VLOOKUP(A177,'銀行-TSS'!A:O,15,FALSE)</f>
        <v>1000</v>
      </c>
      <c r="K177" s="136" t="str">
        <f ca="1">VLOOKUP(A177,'銀行-TSS'!A:V,22,FALSE)</f>
        <v>高資產</v>
      </c>
      <c r="L177" s="136" t="str">
        <f ca="1">VLOOKUP(A177,'銀行-TSS'!A:AK,37,FALSE)</f>
        <v>有</v>
      </c>
      <c r="M177" s="136" t="str">
        <f ca="1">VLOOKUP(A177,'銀行-TSS'!A:AN,40,FALSE)</f>
        <v/>
      </c>
      <c r="N177" s="1211">
        <f t="shared" ca="1" si="33"/>
        <v>1025.7</v>
      </c>
      <c r="O177" s="1211">
        <f t="shared" ca="1" si="34"/>
        <v>10256.999999999998</v>
      </c>
      <c r="P177" s="1213">
        <f ca="1">IF(AND(換券投組!$D$17&gt;=O177,換券投組!$D$13=D177),I177+INT((換券投組!$D$17-O177)/N177)*J177,0)</f>
        <v>0</v>
      </c>
      <c r="Q177" s="1211">
        <f t="shared" ca="1" si="35"/>
        <v>0</v>
      </c>
      <c r="R177" s="1213">
        <f t="shared" ca="1" si="36"/>
        <v>0</v>
      </c>
      <c r="S177" s="1213">
        <f t="shared" ca="1" si="37"/>
        <v>0</v>
      </c>
      <c r="T177" s="136">
        <f t="shared" ca="1" si="30"/>
        <v>0</v>
      </c>
      <c r="U177" s="861">
        <f t="shared" ca="1" si="31"/>
        <v>0</v>
      </c>
      <c r="V177" s="136" t="b">
        <f ca="1">IF(OR(D177&lt;&gt;"USD",L177="無",M177&lt;&gt;"",K177="高資產",IFERROR(MATCH(B177,換券投組!K:K,0),"N")&lt;&gt;"N",IFERROR(MATCH(B177,換券投組!J:J,0),"N")&lt;&gt;"N"),FALSE,IF($V$1="All",TRUE,IF(K177=$V$1,TRUE,FALSE)))</f>
        <v>0</v>
      </c>
      <c r="W177" s="136">
        <f ca="1">VLOOKUP(A177,'銀行-TSS'!A:AO,41,FALSE)</f>
        <v>99.58</v>
      </c>
      <c r="X177" s="136">
        <f ca="1">VLOOKUP(A177,'銀行-TSS'!A:AP,42,FALSE)</f>
        <v>3.2999000000000001</v>
      </c>
      <c r="Y177" s="1223">
        <f t="shared" ca="1" si="38"/>
        <v>0</v>
      </c>
      <c r="Z177" s="1211">
        <f t="shared" ca="1" si="39"/>
        <v>0</v>
      </c>
      <c r="AA177" s="136">
        <f ca="1">IF(Z177&lt;=0,0,RANK(Z177,Z:Z)+COUNTIF($Z$3:$Z177,Z177)-1)</f>
        <v>0</v>
      </c>
      <c r="AB177" s="1211">
        <f t="shared" ca="1" si="32"/>
        <v>0</v>
      </c>
      <c r="AC177" s="136">
        <f ca="1">IF(AB177&lt;=0,0,RANK(AB177,AB:AB)+COUNTIF($AB$3:$AB177,AB177)-1)</f>
        <v>0</v>
      </c>
      <c r="AD177" s="136">
        <f t="shared" ca="1" si="40"/>
        <v>99999</v>
      </c>
      <c r="AE177" s="136">
        <f ca="1">IF(AD177=99999,0,RANK(AD177,AD:AD,1)+COUNTIF($AD$3:$AD177,AD177)-1)</f>
        <v>0</v>
      </c>
    </row>
    <row r="178" spans="1:31">
      <c r="A178" s="141" t="str">
        <f>'銀行-TSS'!A178</f>
        <v>US404280CF48</v>
      </c>
      <c r="B178" s="151" t="str">
        <f ca="1">VLOOKUP(A178,'銀行-TSS'!A:B,2,FALSE)</f>
        <v>XG630</v>
      </c>
      <c r="C178" s="151" t="str">
        <f ca="1">VLOOKUP(B178,bond!B:C,2,FALSE)</f>
        <v>匯豐控股公司美元配息債券  4.95% 2030/3/31</v>
      </c>
      <c r="D178" s="95" t="str">
        <f>VLOOKUP(A178,'銀行-TSS'!A:C,3,FALSE)</f>
        <v>USD</v>
      </c>
      <c r="E178" s="90">
        <f ca="1">VLOOKUP(A178,'銀行-TSS'!A:G,7,FALSE)</f>
        <v>5.74</v>
      </c>
      <c r="F178" s="202">
        <f ca="1">VLOOKUP(A178,'銀行-TSS'!A:H,8,FALSE)</f>
        <v>4.9500000000000002E-2</v>
      </c>
      <c r="G178" s="96">
        <f ca="1">VLOOKUP(A178,'銀行-TSS'!A:K,11,FALSE)</f>
        <v>102.02</v>
      </c>
      <c r="H178" s="1209">
        <f ca="1">VLOOKUP(A178,'銀行-TSS'!A:M,13,FALSE)</f>
        <v>4.8000000000000001E-2</v>
      </c>
      <c r="I178" s="1213">
        <f ca="1">VLOOKUP(A178,'銀行-TSS'!A:N,14,FALSE)</f>
        <v>200000</v>
      </c>
      <c r="J178" s="1213">
        <f ca="1">VLOOKUP(A178,'銀行-TSS'!A:O,15,FALSE)</f>
        <v>1000</v>
      </c>
      <c r="K178" s="136" t="str">
        <f ca="1">VLOOKUP(A178,'銀行-TSS'!A:V,22,FALSE)</f>
        <v>(PI)專投</v>
      </c>
      <c r="L178" s="136" t="str">
        <f ca="1">VLOOKUP(A178,'銀行-TSS'!A:AK,37,FALSE)</f>
        <v>有</v>
      </c>
      <c r="M178" s="136" t="str">
        <f ca="1">VLOOKUP(A178,'銀行-TSS'!A:AN,40,FALSE)</f>
        <v/>
      </c>
      <c r="N178" s="1211">
        <f t="shared" ca="1" si="33"/>
        <v>1020.2</v>
      </c>
      <c r="O178" s="1211">
        <f t="shared" ca="1" si="34"/>
        <v>204040</v>
      </c>
      <c r="P178" s="1213">
        <f ca="1">IF(AND(換券投組!$D$17&gt;=O178,換券投組!$D$13=D178),I178+INT((換券投組!$D$17-O178)/N178)*J178,0)</f>
        <v>0</v>
      </c>
      <c r="Q178" s="1211">
        <f t="shared" ca="1" si="35"/>
        <v>0</v>
      </c>
      <c r="R178" s="1213">
        <f t="shared" ca="1" si="36"/>
        <v>0</v>
      </c>
      <c r="S178" s="1213">
        <f t="shared" ca="1" si="37"/>
        <v>0</v>
      </c>
      <c r="T178" s="136">
        <f t="shared" ca="1" si="30"/>
        <v>0</v>
      </c>
      <c r="U178" s="861">
        <f t="shared" ca="1" si="31"/>
        <v>0</v>
      </c>
      <c r="V178" s="136" t="b">
        <f ca="1">IF(OR(D178&lt;&gt;"USD",L178="無",M178&lt;&gt;"",K178="高資產",IFERROR(MATCH(B178,換券投組!K:K,0),"N")&lt;&gt;"N",IFERROR(MATCH(B178,換券投組!J:J,0),"N")&lt;&gt;"N"),FALSE,IF($V$1="All",TRUE,IF(K178=$V$1,TRUE,FALSE)))</f>
        <v>1</v>
      </c>
      <c r="W178" s="136">
        <f ca="1">VLOOKUP(A178,'銀行-TSS'!A:AO,41,FALSE)</f>
        <v>98.75</v>
      </c>
      <c r="X178" s="136">
        <f ca="1">VLOOKUP(A178,'銀行-TSS'!A:AP,42,FALSE)</f>
        <v>4.8821000000000003</v>
      </c>
      <c r="Y178" s="1223">
        <f t="shared" ca="1" si="38"/>
        <v>0</v>
      </c>
      <c r="Z178" s="1211">
        <f t="shared" ca="1" si="39"/>
        <v>0</v>
      </c>
      <c r="AA178" s="136">
        <f ca="1">IF(Z178&lt;=0,0,RANK(Z178,Z:Z)+COUNTIF($Z$3:$Z178,Z178)-1)</f>
        <v>0</v>
      </c>
      <c r="AB178" s="1211">
        <f t="shared" ca="1" si="32"/>
        <v>0</v>
      </c>
      <c r="AC178" s="136">
        <f ca="1">IF(AB178&lt;=0,0,RANK(AB178,AB:AB)+COUNTIF($AB$3:$AB178,AB178)-1)</f>
        <v>0</v>
      </c>
      <c r="AD178" s="136">
        <f t="shared" ca="1" si="40"/>
        <v>99999</v>
      </c>
      <c r="AE178" s="136">
        <f ca="1">IF(AD178=99999,0,RANK(AD178,AD:AD,1)+COUNTIF($AD$3:$AD178,AD178)-1)</f>
        <v>0</v>
      </c>
    </row>
    <row r="179" spans="1:31">
      <c r="A179" s="141" t="str">
        <f>'銀行-TSS'!A179</f>
        <v>XS2057866191</v>
      </c>
      <c r="B179" s="151" t="str">
        <f ca="1">VLOOKUP(A179,'銀行-TSS'!A:B,2,FALSE)</f>
        <v>XG640</v>
      </c>
      <c r="C179" s="151" t="str">
        <f ca="1">VLOOKUP(B179,bond!B:C,2,FALSE)</f>
        <v>阿布達比政府國際美元配息債券 3.125% 2049/9/30</v>
      </c>
      <c r="D179" s="95" t="str">
        <f>VLOOKUP(A179,'銀行-TSS'!A:C,3,FALSE)</f>
        <v>USD</v>
      </c>
      <c r="E179" s="90">
        <f ca="1">VLOOKUP(A179,'銀行-TSS'!A:G,7,FALSE)</f>
        <v>25.24</v>
      </c>
      <c r="F179" s="202">
        <f ca="1">VLOOKUP(A179,'銀行-TSS'!A:H,8,FALSE)</f>
        <v>3.125E-2</v>
      </c>
      <c r="G179" s="96">
        <f ca="1">VLOOKUP(A179,'銀行-TSS'!A:K,11,FALSE)</f>
        <v>74.61</v>
      </c>
      <c r="H179" s="1209">
        <f ca="1">VLOOKUP(A179,'銀行-TSS'!A:M,13,FALSE)</f>
        <v>4.9500000000000002E-2</v>
      </c>
      <c r="I179" s="1213">
        <f ca="1">VLOOKUP(A179,'銀行-TSS'!A:N,14,FALSE)</f>
        <v>200000</v>
      </c>
      <c r="J179" s="1213">
        <f ca="1">VLOOKUP(A179,'銀行-TSS'!A:O,15,FALSE)</f>
        <v>1000</v>
      </c>
      <c r="K179" s="136" t="str">
        <f ca="1">VLOOKUP(A179,'銀行-TSS'!A:V,22,FALSE)</f>
        <v>(NPI)非專投</v>
      </c>
      <c r="L179" s="136" t="str">
        <f ca="1">VLOOKUP(A179,'銀行-TSS'!A:AK,37,FALSE)</f>
        <v>有</v>
      </c>
      <c r="M179" s="136" t="str">
        <f ca="1">VLOOKUP(A179,'銀行-TSS'!A:AN,40,FALSE)</f>
        <v/>
      </c>
      <c r="N179" s="1211">
        <f t="shared" ca="1" si="33"/>
        <v>746.1</v>
      </c>
      <c r="O179" s="1211">
        <f t="shared" ca="1" si="34"/>
        <v>149220</v>
      </c>
      <c r="P179" s="1213">
        <f ca="1">IF(AND(換券投組!$D$17&gt;=O179,換券投組!$D$13=D179),I179+INT((換券投組!$D$17-O179)/N179)*J179,0)</f>
        <v>0</v>
      </c>
      <c r="Q179" s="1211">
        <f t="shared" ca="1" si="35"/>
        <v>0</v>
      </c>
      <c r="R179" s="1213">
        <f t="shared" ca="1" si="36"/>
        <v>0</v>
      </c>
      <c r="S179" s="1213">
        <f t="shared" ca="1" si="37"/>
        <v>0</v>
      </c>
      <c r="T179" s="136">
        <f t="shared" ca="1" si="30"/>
        <v>0</v>
      </c>
      <c r="U179" s="861">
        <f t="shared" ca="1" si="31"/>
        <v>0</v>
      </c>
      <c r="V179" s="136" t="b">
        <f ca="1">IF(OR(D179&lt;&gt;"USD",L179="無",M179&lt;&gt;"",K179="高資產",IFERROR(MATCH(B179,換券投組!K:K,0),"N")&lt;&gt;"N",IFERROR(MATCH(B179,換券投組!J:J,0),"N")&lt;&gt;"N"),FALSE,IF($V$1="All",TRUE,IF(K179=$V$1,TRUE,FALSE)))</f>
        <v>1</v>
      </c>
      <c r="W179" s="136">
        <f ca="1">VLOOKUP(A179,'銀行-TSS'!A:AO,41,FALSE)</f>
        <v>70.300000000000011</v>
      </c>
      <c r="X179" s="136">
        <f ca="1">VLOOKUP(A179,'銀行-TSS'!A:AP,42,FALSE)</f>
        <v>15.460599999999999</v>
      </c>
      <c r="Y179" s="1223">
        <f t="shared" ca="1" si="38"/>
        <v>0</v>
      </c>
      <c r="Z179" s="1211">
        <f t="shared" ca="1" si="39"/>
        <v>0</v>
      </c>
      <c r="AA179" s="136">
        <f ca="1">IF(Z179&lt;=0,0,RANK(Z179,Z:Z)+COUNTIF($Z$3:$Z179,Z179)-1)</f>
        <v>0</v>
      </c>
      <c r="AB179" s="1211">
        <f t="shared" ca="1" si="32"/>
        <v>0</v>
      </c>
      <c r="AC179" s="136">
        <f ca="1">IF(AB179&lt;=0,0,RANK(AB179,AB:AB)+COUNTIF($AB$3:$AB179,AB179)-1)</f>
        <v>0</v>
      </c>
      <c r="AD179" s="136">
        <f t="shared" ca="1" si="40"/>
        <v>99999</v>
      </c>
      <c r="AE179" s="136">
        <f ca="1">IF(AD179=99999,0,RANK(AD179,AD:AD,1)+COUNTIF($AD$3:$AD179,AD179)-1)</f>
        <v>0</v>
      </c>
    </row>
    <row r="180" spans="1:31">
      <c r="A180" s="141" t="str">
        <f>'銀行-TSS'!A180</f>
        <v>US747525AK99</v>
      </c>
      <c r="B180" s="151" t="str">
        <f ca="1">VLOOKUP(A180,'銀行-TSS'!A:B,2,FALSE)</f>
        <v>XG650</v>
      </c>
      <c r="C180" s="151" t="str">
        <f ca="1">VLOOKUP(B180,bond!B:C,2,FALSE)</f>
        <v>高通公司美元配息債券  4.8% 2045/5/20</v>
      </c>
      <c r="D180" s="95" t="str">
        <f>VLOOKUP(A180,'銀行-TSS'!A:C,3,FALSE)</f>
        <v>USD</v>
      </c>
      <c r="E180" s="90">
        <f ca="1">VLOOKUP(A180,'銀行-TSS'!A:G,7,FALSE)</f>
        <v>20.88</v>
      </c>
      <c r="F180" s="202">
        <f ca="1">VLOOKUP(A180,'銀行-TSS'!A:H,8,FALSE)</f>
        <v>4.8000000000000001E-2</v>
      </c>
      <c r="G180" s="96">
        <f ca="1">VLOOKUP(A180,'銀行-TSS'!A:K,11,FALSE)</f>
        <v>96.73</v>
      </c>
      <c r="H180" s="1209">
        <f ca="1">VLOOKUP(A180,'銀行-TSS'!A:M,13,FALSE)</f>
        <v>5.0999999999999997E-2</v>
      </c>
      <c r="I180" s="1213">
        <f ca="1">VLOOKUP(A180,'銀行-TSS'!A:N,14,FALSE)</f>
        <v>10000</v>
      </c>
      <c r="J180" s="1213">
        <f ca="1">VLOOKUP(A180,'銀行-TSS'!A:O,15,FALSE)</f>
        <v>1000</v>
      </c>
      <c r="K180" s="136" t="str">
        <f ca="1">VLOOKUP(A180,'銀行-TSS'!A:V,22,FALSE)</f>
        <v>(NPI)非專投</v>
      </c>
      <c r="L180" s="136" t="str">
        <f ca="1">VLOOKUP(A180,'銀行-TSS'!A:AK,37,FALSE)</f>
        <v>有</v>
      </c>
      <c r="M180" s="136" t="str">
        <f ca="1">VLOOKUP(A180,'銀行-TSS'!A:AN,40,FALSE)</f>
        <v/>
      </c>
      <c r="N180" s="1211">
        <f t="shared" ca="1" si="33"/>
        <v>967.3</v>
      </c>
      <c r="O180" s="1211">
        <f t="shared" ca="1" si="34"/>
        <v>9673</v>
      </c>
      <c r="P180" s="1213">
        <f ca="1">IF(AND(換券投組!$D$17&gt;=O180,換券投組!$D$13=D180),I180+INT((換券投組!$D$17-O180)/N180)*J180,0)</f>
        <v>0</v>
      </c>
      <c r="Q180" s="1211">
        <f t="shared" ca="1" si="35"/>
        <v>0</v>
      </c>
      <c r="R180" s="1213">
        <f t="shared" ca="1" si="36"/>
        <v>0</v>
      </c>
      <c r="S180" s="1213">
        <f t="shared" ca="1" si="37"/>
        <v>0</v>
      </c>
      <c r="T180" s="136">
        <f t="shared" ca="1" si="30"/>
        <v>0</v>
      </c>
      <c r="U180" s="861">
        <f t="shared" ca="1" si="31"/>
        <v>0</v>
      </c>
      <c r="V180" s="136" t="b">
        <f ca="1">IF(OR(D180&lt;&gt;"USD",L180="無",M180&lt;&gt;"",K180="高資產",IFERROR(MATCH(B180,換券投組!K:K,0),"N")&lt;&gt;"N",IFERROR(MATCH(B180,換券投組!J:J,0),"N")&lt;&gt;"N"),FALSE,IF($V$1="All",TRUE,IF(K180=$V$1,TRUE,FALSE)))</f>
        <v>1</v>
      </c>
      <c r="W180" s="136">
        <f ca="1">VLOOKUP(A180,'銀行-TSS'!A:AO,41,FALSE)</f>
        <v>93.17</v>
      </c>
      <c r="X180" s="136">
        <f ca="1">VLOOKUP(A180,'銀行-TSS'!A:AP,42,FALSE)</f>
        <v>12.7455</v>
      </c>
      <c r="Y180" s="1223">
        <f t="shared" ca="1" si="38"/>
        <v>0</v>
      </c>
      <c r="Z180" s="1211">
        <f t="shared" ca="1" si="39"/>
        <v>0</v>
      </c>
      <c r="AA180" s="136">
        <f ca="1">IF(Z180&lt;=0,0,RANK(Z180,Z:Z)+COUNTIF($Z$3:$Z180,Z180)-1)</f>
        <v>0</v>
      </c>
      <c r="AB180" s="1211">
        <f t="shared" ca="1" si="32"/>
        <v>0</v>
      </c>
      <c r="AC180" s="136">
        <f ca="1">IF(AB180&lt;=0,0,RANK(AB180,AB:AB)+COUNTIF($AB$3:$AB180,AB180)-1)</f>
        <v>0</v>
      </c>
      <c r="AD180" s="136">
        <f t="shared" ca="1" si="40"/>
        <v>99999</v>
      </c>
      <c r="AE180" s="136">
        <f ca="1">IF(AD180=99999,0,RANK(AD180,AD:AD,1)+COUNTIF($AD$3:$AD180,AD180)-1)</f>
        <v>0</v>
      </c>
    </row>
    <row r="181" spans="1:31">
      <c r="A181" s="141" t="str">
        <f>'銀行-TSS'!A181</f>
        <v>US87264ABL89</v>
      </c>
      <c r="B181" s="151" t="str">
        <f ca="1">VLOOKUP(A181,'銀行-TSS'!A:B,2,FALSE)</f>
        <v>XG660</v>
      </c>
      <c r="C181" s="151" t="str">
        <f ca="1">VLOOKUP(B181,bond!B:C,2,FALSE)</f>
        <v>T-Mobile公司美元配息債券 3% 2041/2/15</v>
      </c>
      <c r="D181" s="95" t="str">
        <f>VLOOKUP(A181,'銀行-TSS'!A:C,3,FALSE)</f>
        <v>USD</v>
      </c>
      <c r="E181" s="90">
        <f ca="1">VLOOKUP(A181,'銀行-TSS'!A:G,7,FALSE)</f>
        <v>16.62</v>
      </c>
      <c r="F181" s="202">
        <f ca="1">VLOOKUP(A181,'銀行-TSS'!A:H,8,FALSE)</f>
        <v>0.03</v>
      </c>
      <c r="G181" s="96">
        <f ca="1">VLOOKUP(A181,'銀行-TSS'!A:K,11,FALSE)</f>
        <v>76.319999999999993</v>
      </c>
      <c r="H181" s="1209">
        <f ca="1">VLOOKUP(A181,'銀行-TSS'!A:M,13,FALSE)</f>
        <v>5.2600000000000001E-2</v>
      </c>
      <c r="I181" s="1213">
        <f ca="1">VLOOKUP(A181,'銀行-TSS'!A:N,14,FALSE)</f>
        <v>10000</v>
      </c>
      <c r="J181" s="1213">
        <f ca="1">VLOOKUP(A181,'銀行-TSS'!A:O,15,FALSE)</f>
        <v>1000</v>
      </c>
      <c r="K181" s="136" t="str">
        <f ca="1">VLOOKUP(A181,'銀行-TSS'!A:V,22,FALSE)</f>
        <v>(PI)專投</v>
      </c>
      <c r="L181" s="136" t="str">
        <f ca="1">VLOOKUP(A181,'銀行-TSS'!A:AK,37,FALSE)</f>
        <v>有</v>
      </c>
      <c r="M181" s="136" t="str">
        <f ca="1">VLOOKUP(A181,'銀行-TSS'!A:AN,40,FALSE)</f>
        <v/>
      </c>
      <c r="N181" s="1211">
        <f t="shared" ca="1" si="33"/>
        <v>763.2</v>
      </c>
      <c r="O181" s="1211">
        <f t="shared" ca="1" si="34"/>
        <v>7631.9999999999991</v>
      </c>
      <c r="P181" s="1213">
        <f ca="1">IF(AND(換券投組!$D$17&gt;=O181,換券投組!$D$13=D181),I181+INT((換券投組!$D$17-O181)/N181)*J181,0)</f>
        <v>0</v>
      </c>
      <c r="Q181" s="1211">
        <f t="shared" ca="1" si="35"/>
        <v>0</v>
      </c>
      <c r="R181" s="1213">
        <f t="shared" ca="1" si="36"/>
        <v>0</v>
      </c>
      <c r="S181" s="1213">
        <f t="shared" ca="1" si="37"/>
        <v>0</v>
      </c>
      <c r="T181" s="136">
        <f t="shared" ca="1" si="30"/>
        <v>0</v>
      </c>
      <c r="U181" s="861">
        <f t="shared" ca="1" si="31"/>
        <v>0</v>
      </c>
      <c r="V181" s="136" t="b">
        <f ca="1">IF(OR(D181&lt;&gt;"USD",L181="無",M181&lt;&gt;"",K181="高資產",IFERROR(MATCH(B181,換券投組!K:K,0),"N")&lt;&gt;"N",IFERROR(MATCH(B181,換券投組!J:J,0),"N")&lt;&gt;"N"),FALSE,IF($V$1="All",TRUE,IF(K181=$V$1,TRUE,FALSE)))</f>
        <v>1</v>
      </c>
      <c r="W181" s="136">
        <f ca="1">VLOOKUP(A181,'銀行-TSS'!A:AO,41,FALSE)</f>
        <v>72.180000000000007</v>
      </c>
      <c r="X181" s="136">
        <f ca="1">VLOOKUP(A181,'銀行-TSS'!A:AP,42,FALSE)</f>
        <v>11.988899999999999</v>
      </c>
      <c r="Y181" s="1223">
        <f t="shared" ca="1" si="38"/>
        <v>0</v>
      </c>
      <c r="Z181" s="1211">
        <f t="shared" ca="1" si="39"/>
        <v>0</v>
      </c>
      <c r="AA181" s="136">
        <f ca="1">IF(Z181&lt;=0,0,RANK(Z181,Z:Z)+COUNTIF($Z$3:$Z181,Z181)-1)</f>
        <v>0</v>
      </c>
      <c r="AB181" s="1211">
        <f t="shared" ca="1" si="32"/>
        <v>0</v>
      </c>
      <c r="AC181" s="136">
        <f ca="1">IF(AB181&lt;=0,0,RANK(AB181,AB:AB)+COUNTIF($AB$3:$AB181,AB181)-1)</f>
        <v>0</v>
      </c>
      <c r="AD181" s="136">
        <f t="shared" ca="1" si="40"/>
        <v>99999</v>
      </c>
      <c r="AE181" s="136">
        <f ca="1">IF(AD181=99999,0,RANK(AD181,AD:AD,1)+COUNTIF($AD$3:$AD181,AD181)-1)</f>
        <v>0</v>
      </c>
    </row>
    <row r="182" spans="1:31">
      <c r="A182" s="141" t="str">
        <f>'銀行-TSS'!A182</f>
        <v>AU3CB0268167</v>
      </c>
      <c r="B182" s="151" t="str">
        <f ca="1">VLOOKUP(A182,'銀行-TSS'!A:B,2,FALSE)</f>
        <v>XG670</v>
      </c>
      <c r="C182" s="151" t="str">
        <f ca="1">VLOOKUP(B182,bond!B:C,2,FALSE)</f>
        <v>威瑞森電信公司澳幣配息債券  3.5% 2039/11/4</v>
      </c>
      <c r="D182" s="95" t="str">
        <f>VLOOKUP(A182,'銀行-TSS'!A:C,3,FALSE)</f>
        <v>AUD</v>
      </c>
      <c r="E182" s="90">
        <f ca="1">VLOOKUP(A182,'銀行-TSS'!A:G,7,FALSE)</f>
        <v>15.34</v>
      </c>
      <c r="F182" s="202">
        <f ca="1">VLOOKUP(A182,'銀行-TSS'!A:H,8,FALSE)</f>
        <v>3.5000000000000003E-2</v>
      </c>
      <c r="G182" s="96">
        <f ca="1">VLOOKUP(A182,'銀行-TSS'!A:K,11,FALSE)</f>
        <v>75.66</v>
      </c>
      <c r="H182" s="1209">
        <f ca="1">VLOOKUP(A182,'銀行-TSS'!A:M,13,FALSE)</f>
        <v>6.0100000000000001E-2</v>
      </c>
      <c r="I182" s="1213">
        <f ca="1">VLOOKUP(A182,'銀行-TSS'!A:N,14,FALSE)</f>
        <v>200000</v>
      </c>
      <c r="J182" s="1213">
        <f ca="1">VLOOKUP(A182,'銀行-TSS'!A:O,15,FALSE)</f>
        <v>10000</v>
      </c>
      <c r="K182" s="136" t="str">
        <f ca="1">VLOOKUP(A182,'銀行-TSS'!A:V,22,FALSE)</f>
        <v>(NPI)非專投</v>
      </c>
      <c r="L182" s="136" t="str">
        <f ca="1">VLOOKUP(A182,'銀行-TSS'!A:AK,37,FALSE)</f>
        <v>無</v>
      </c>
      <c r="M182" s="136" t="str">
        <f ca="1">VLOOKUP(A182,'銀行-TSS'!A:AN,40,FALSE)</f>
        <v>XG670</v>
      </c>
      <c r="N182" s="1211">
        <f t="shared" ca="1" si="33"/>
        <v>7566</v>
      </c>
      <c r="O182" s="1211">
        <f t="shared" ca="1" si="34"/>
        <v>151320</v>
      </c>
      <c r="P182" s="1213">
        <f ca="1">IF(AND(換券投組!$D$17&gt;=O182,換券投組!$D$13=D182),I182+INT((換券投組!$D$17-O182)/N182)*J182,0)</f>
        <v>0</v>
      </c>
      <c r="Q182" s="1211">
        <f t="shared" ca="1" si="35"/>
        <v>0</v>
      </c>
      <c r="R182" s="1213">
        <f t="shared" ca="1" si="36"/>
        <v>0</v>
      </c>
      <c r="S182" s="1213">
        <f t="shared" ca="1" si="37"/>
        <v>0</v>
      </c>
      <c r="T182" s="136">
        <f t="shared" ca="1" si="30"/>
        <v>0</v>
      </c>
      <c r="U182" s="861">
        <f t="shared" ca="1" si="31"/>
        <v>0</v>
      </c>
      <c r="V182" s="136" t="b">
        <f ca="1">IF(OR(D182&lt;&gt;"USD",L182="無",M182&lt;&gt;"",K182="高資產",IFERROR(MATCH(B182,換券投組!K:K,0),"N")&lt;&gt;"N",IFERROR(MATCH(B182,換券投組!J:J,0),"N")&lt;&gt;"N"),FALSE,IF($V$1="All",TRUE,IF(K182=$V$1,TRUE,FALSE)))</f>
        <v>0</v>
      </c>
      <c r="W182" s="136">
        <f ca="1">VLOOKUP(A182,'銀行-TSS'!A:AO,41,FALSE)</f>
        <v>72.59</v>
      </c>
      <c r="X182" s="136">
        <f ca="1">VLOOKUP(A182,'銀行-TSS'!A:AP,42,FALSE)</f>
        <v>10.8348</v>
      </c>
      <c r="Y182" s="1223">
        <f t="shared" ca="1" si="38"/>
        <v>0</v>
      </c>
      <c r="Z182" s="1211">
        <f t="shared" ca="1" si="39"/>
        <v>0</v>
      </c>
      <c r="AA182" s="136">
        <f ca="1">IF(Z182&lt;=0,0,RANK(Z182,Z:Z)+COUNTIF($Z$3:$Z182,Z182)-1)</f>
        <v>0</v>
      </c>
      <c r="AB182" s="1211">
        <f t="shared" ca="1" si="32"/>
        <v>0</v>
      </c>
      <c r="AC182" s="136">
        <f ca="1">IF(AB182&lt;=0,0,RANK(AB182,AB:AB)+COUNTIF($AB$3:$AB182,AB182)-1)</f>
        <v>0</v>
      </c>
      <c r="AD182" s="136">
        <f t="shared" ca="1" si="40"/>
        <v>99999</v>
      </c>
      <c r="AE182" s="136">
        <f ca="1">IF(AD182=99999,0,RANK(AD182,AD:AD,1)+COUNTIF($AD$3:$AD182,AD182)-1)</f>
        <v>0</v>
      </c>
    </row>
    <row r="183" spans="1:31">
      <c r="A183" s="141" t="str">
        <f>'銀行-TSS'!A183</f>
        <v>XS1944412748</v>
      </c>
      <c r="B183" s="151" t="str">
        <f ca="1">VLOOKUP(A183,'銀行-TSS'!A:B,2,FALSE)</f>
        <v>XG680</v>
      </c>
      <c r="C183" s="151" t="str">
        <f ca="1">VLOOKUP(B183,bond!B:C,2,FALSE)</f>
        <v>阿曼政府國際公債美元配息債券 6% 2029/8/1</v>
      </c>
      <c r="D183" s="95" t="str">
        <f>VLOOKUP(A183,'銀行-TSS'!A:C,3,FALSE)</f>
        <v>USD</v>
      </c>
      <c r="E183" s="90">
        <f ca="1">VLOOKUP(A183,'銀行-TSS'!A:G,7,FALSE)</f>
        <v>5.08</v>
      </c>
      <c r="F183" s="202">
        <f ca="1">VLOOKUP(A183,'銀行-TSS'!A:H,8,FALSE)</f>
        <v>0.06</v>
      </c>
      <c r="G183" s="96">
        <f ca="1">VLOOKUP(A183,'銀行-TSS'!A:K,11,FALSE)</f>
        <v>106.85</v>
      </c>
      <c r="H183" s="1209">
        <f ca="1">VLOOKUP(A183,'銀行-TSS'!A:M,13,FALSE)</f>
        <v>5.0200000000000002E-2</v>
      </c>
      <c r="I183" s="1213">
        <f ca="1">VLOOKUP(A183,'銀行-TSS'!A:N,14,FALSE)</f>
        <v>200000</v>
      </c>
      <c r="J183" s="1213">
        <f ca="1">VLOOKUP(A183,'銀行-TSS'!A:O,15,FALSE)</f>
        <v>1000</v>
      </c>
      <c r="K183" s="136" t="str">
        <f ca="1">VLOOKUP(A183,'銀行-TSS'!A:V,22,FALSE)</f>
        <v>高資產</v>
      </c>
      <c r="L183" s="136" t="str">
        <f ca="1">VLOOKUP(A183,'銀行-TSS'!A:AK,37,FALSE)</f>
        <v>有</v>
      </c>
      <c r="M183" s="136" t="str">
        <f ca="1">VLOOKUP(A183,'銀行-TSS'!A:AN,40,FALSE)</f>
        <v/>
      </c>
      <c r="N183" s="1211">
        <f t="shared" ca="1" si="33"/>
        <v>1068.5</v>
      </c>
      <c r="O183" s="1211">
        <f t="shared" ca="1" si="34"/>
        <v>213700</v>
      </c>
      <c r="P183" s="1213">
        <f ca="1">IF(AND(換券投組!$D$17&gt;=O183,換券投組!$D$13=D183),I183+INT((換券投組!$D$17-O183)/N183)*J183,0)</f>
        <v>0</v>
      </c>
      <c r="Q183" s="1211">
        <f t="shared" ca="1" si="35"/>
        <v>0</v>
      </c>
      <c r="R183" s="1213">
        <f t="shared" ca="1" si="36"/>
        <v>0</v>
      </c>
      <c r="S183" s="1213">
        <f t="shared" ca="1" si="37"/>
        <v>0</v>
      </c>
      <c r="T183" s="136">
        <f t="shared" ca="1" si="30"/>
        <v>0</v>
      </c>
      <c r="U183" s="861">
        <f t="shared" ca="1" si="31"/>
        <v>0</v>
      </c>
      <c r="V183" s="136" t="b">
        <f ca="1">IF(OR(D183&lt;&gt;"USD",L183="無",M183&lt;&gt;"",K183="高資產",IFERROR(MATCH(B183,換券投組!K:K,0),"N")&lt;&gt;"N",IFERROR(MATCH(B183,換券投組!J:J,0),"N")&lt;&gt;"N"),FALSE,IF($V$1="All",TRUE,IF(K183=$V$1,TRUE,FALSE)))</f>
        <v>0</v>
      </c>
      <c r="W183" s="136">
        <f ca="1">VLOOKUP(A183,'銀行-TSS'!A:AO,41,FALSE)</f>
        <v>102.32000000000001</v>
      </c>
      <c r="X183" s="136">
        <f ca="1">VLOOKUP(A183,'銀行-TSS'!A:AP,42,FALSE)</f>
        <v>4.2404000000000002</v>
      </c>
      <c r="Y183" s="1223">
        <f t="shared" ca="1" si="38"/>
        <v>0</v>
      </c>
      <c r="Z183" s="1211">
        <f t="shared" ca="1" si="39"/>
        <v>0</v>
      </c>
      <c r="AA183" s="136">
        <f ca="1">IF(Z183&lt;=0,0,RANK(Z183,Z:Z)+COUNTIF($Z$3:$Z183,Z183)-1)</f>
        <v>0</v>
      </c>
      <c r="AB183" s="1211">
        <f t="shared" ca="1" si="32"/>
        <v>0</v>
      </c>
      <c r="AC183" s="136">
        <f ca="1">IF(AB183&lt;=0,0,RANK(AB183,AB:AB)+COUNTIF($AB$3:$AB183,AB183)-1)</f>
        <v>0</v>
      </c>
      <c r="AD183" s="136">
        <f t="shared" ca="1" si="40"/>
        <v>99999</v>
      </c>
      <c r="AE183" s="136">
        <f ca="1">IF(AD183=99999,0,RANK(AD183,AD:AD,1)+COUNTIF($AD$3:$AD183,AD183)-1)</f>
        <v>0</v>
      </c>
    </row>
    <row r="184" spans="1:31">
      <c r="A184" s="141" t="str">
        <f>'銀行-TSS'!A184</f>
        <v>US71645WAS08</v>
      </c>
      <c r="B184" s="151" t="str">
        <f ca="1">VLOOKUP(A184,'銀行-TSS'!A:B,2,FALSE)</f>
        <v>XG690</v>
      </c>
      <c r="C184" s="151" t="str">
        <f ca="1">VLOOKUP(B184,bond!B:C,2,FALSE)</f>
        <v>巴西石油全球金融私人有限公司美元配息債券 6.75% 2041/1/27</v>
      </c>
      <c r="D184" s="95" t="str">
        <f>VLOOKUP(A184,'銀行-TSS'!A:C,3,FALSE)</f>
        <v>USD</v>
      </c>
      <c r="E184" s="90">
        <f ca="1">VLOOKUP(A184,'銀行-TSS'!A:G,7,FALSE)</f>
        <v>16.57</v>
      </c>
      <c r="F184" s="202">
        <f ca="1">VLOOKUP(A184,'銀行-TSS'!A:H,8,FALSE)</f>
        <v>6.7500000000000004E-2</v>
      </c>
      <c r="G184" s="96">
        <f ca="1">VLOOKUP(A184,'銀行-TSS'!A:K,11,FALSE)</f>
        <v>103.26</v>
      </c>
      <c r="H184" s="1209">
        <f ca="1">VLOOKUP(A184,'銀行-TSS'!A:M,13,FALSE)</f>
        <v>6.7100000000000007E-2</v>
      </c>
      <c r="I184" s="1213">
        <f ca="1">VLOOKUP(A184,'銀行-TSS'!A:N,14,FALSE)</f>
        <v>10000</v>
      </c>
      <c r="J184" s="1213">
        <f ca="1">VLOOKUP(A184,'銀行-TSS'!A:O,15,FALSE)</f>
        <v>1000</v>
      </c>
      <c r="K184" s="136" t="str">
        <f ca="1">VLOOKUP(A184,'銀行-TSS'!A:V,22,FALSE)</f>
        <v>高資產</v>
      </c>
      <c r="L184" s="136" t="str">
        <f ca="1">VLOOKUP(A184,'銀行-TSS'!A:AK,37,FALSE)</f>
        <v>有</v>
      </c>
      <c r="M184" s="136" t="str">
        <f ca="1">VLOOKUP(A184,'銀行-TSS'!A:AN,40,FALSE)</f>
        <v/>
      </c>
      <c r="N184" s="1211">
        <f t="shared" ca="1" si="33"/>
        <v>1032.5999999999999</v>
      </c>
      <c r="O184" s="1211">
        <f t="shared" ca="1" si="34"/>
        <v>10326</v>
      </c>
      <c r="P184" s="1213">
        <f ca="1">IF(AND(換券投組!$D$17&gt;=O184,換券投組!$D$13=D184),I184+INT((換券投組!$D$17-O184)/N184)*J184,0)</f>
        <v>0</v>
      </c>
      <c r="Q184" s="1211">
        <f t="shared" ca="1" si="35"/>
        <v>0</v>
      </c>
      <c r="R184" s="1213">
        <f t="shared" ca="1" si="36"/>
        <v>0</v>
      </c>
      <c r="S184" s="1213">
        <f t="shared" ca="1" si="37"/>
        <v>0</v>
      </c>
      <c r="T184" s="136">
        <f t="shared" ca="1" si="30"/>
        <v>0</v>
      </c>
      <c r="U184" s="861">
        <f t="shared" ca="1" si="31"/>
        <v>0</v>
      </c>
      <c r="V184" s="136" t="b">
        <f ca="1">IF(OR(D184&lt;&gt;"USD",L184="無",M184&lt;&gt;"",K184="高資產",IFERROR(MATCH(B184,換券投組!K:K,0),"N")&lt;&gt;"N",IFERROR(MATCH(B184,換券投組!J:J,0),"N")&lt;&gt;"N"),FALSE,IF($V$1="All",TRUE,IF(K184=$V$1,TRUE,FALSE)))</f>
        <v>0</v>
      </c>
      <c r="W184" s="136">
        <f ca="1">VLOOKUP(A184,'銀行-TSS'!A:AO,41,FALSE)</f>
        <v>97.350000000000009</v>
      </c>
      <c r="X184" s="136">
        <f ca="1">VLOOKUP(A184,'銀行-TSS'!A:AP,42,FALSE)</f>
        <v>9.5225000000000009</v>
      </c>
      <c r="Y184" s="1223">
        <f t="shared" ca="1" si="38"/>
        <v>0</v>
      </c>
      <c r="Z184" s="1211">
        <f t="shared" ca="1" si="39"/>
        <v>0</v>
      </c>
      <c r="AA184" s="136">
        <f ca="1">IF(Z184&lt;=0,0,RANK(Z184,Z:Z)+COUNTIF($Z$3:$Z184,Z184)-1)</f>
        <v>0</v>
      </c>
      <c r="AB184" s="1211">
        <f t="shared" ca="1" si="32"/>
        <v>0</v>
      </c>
      <c r="AC184" s="136">
        <f ca="1">IF(AB184&lt;=0,0,RANK(AB184,AB:AB)+COUNTIF($AB$3:$AB184,AB184)-1)</f>
        <v>0</v>
      </c>
      <c r="AD184" s="136">
        <f t="shared" ca="1" si="40"/>
        <v>99999</v>
      </c>
      <c r="AE184" s="136">
        <f ca="1">IF(AD184=99999,0,RANK(AD184,AD:AD,1)+COUNTIF($AD$3:$AD184,AD184)-1)</f>
        <v>0</v>
      </c>
    </row>
    <row r="185" spans="1:31">
      <c r="A185" s="141" t="str">
        <f>'銀行-TSS'!A185</f>
        <v>US71654QCC42</v>
      </c>
      <c r="B185" s="151" t="str">
        <f ca="1">VLOOKUP(A185,'銀行-TSS'!A:B,2,FALSE)</f>
        <v>XG700</v>
      </c>
      <c r="C185" s="151" t="str">
        <f ca="1">VLOOKUP(B185,bond!B:C,2,FALSE)</f>
        <v>墨西哥石油公司美元配息債券 6.75% 2047/9/21</v>
      </c>
      <c r="D185" s="95" t="str">
        <f>VLOOKUP(A185,'銀行-TSS'!A:C,3,FALSE)</f>
        <v>USD</v>
      </c>
      <c r="E185" s="90">
        <f ca="1">VLOOKUP(A185,'銀行-TSS'!A:G,7,FALSE)</f>
        <v>23.22</v>
      </c>
      <c r="F185" s="202">
        <f ca="1">VLOOKUP(A185,'銀行-TSS'!A:H,8,FALSE)</f>
        <v>6.7500000000000004E-2</v>
      </c>
      <c r="G185" s="96">
        <f ca="1">VLOOKUP(A185,'銀行-TSS'!A:K,11,FALSE)</f>
        <v>72.55</v>
      </c>
      <c r="H185" s="1209">
        <f ca="1">VLOOKUP(A185,'銀行-TSS'!A:M,13,FALSE)</f>
        <v>0.1003</v>
      </c>
      <c r="I185" s="1213">
        <f ca="1">VLOOKUP(A185,'銀行-TSS'!A:N,14,FALSE)</f>
        <v>10000</v>
      </c>
      <c r="J185" s="1213">
        <f ca="1">VLOOKUP(A185,'銀行-TSS'!A:O,15,FALSE)</f>
        <v>1000</v>
      </c>
      <c r="K185" s="136" t="str">
        <f ca="1">VLOOKUP(A185,'銀行-TSS'!A:V,22,FALSE)</f>
        <v>高資產</v>
      </c>
      <c r="L185" s="136" t="str">
        <f ca="1">VLOOKUP(A185,'銀行-TSS'!A:AK,37,FALSE)</f>
        <v>有</v>
      </c>
      <c r="M185" s="136" t="str">
        <f ca="1">VLOOKUP(A185,'銀行-TSS'!A:AN,40,FALSE)</f>
        <v/>
      </c>
      <c r="N185" s="1211">
        <f t="shared" ca="1" si="33"/>
        <v>725.5</v>
      </c>
      <c r="O185" s="1211">
        <f t="shared" ca="1" si="34"/>
        <v>7255</v>
      </c>
      <c r="P185" s="1213">
        <f ca="1">IF(AND(換券投組!$D$17&gt;=O185,換券投組!$D$13=D185),I185+INT((換券投組!$D$17-O185)/N185)*J185,0)</f>
        <v>0</v>
      </c>
      <c r="Q185" s="1211">
        <f t="shared" ca="1" si="35"/>
        <v>0</v>
      </c>
      <c r="R185" s="1213">
        <f t="shared" ca="1" si="36"/>
        <v>0</v>
      </c>
      <c r="S185" s="1213">
        <f t="shared" ca="1" si="37"/>
        <v>0</v>
      </c>
      <c r="T185" s="136">
        <f t="shared" ca="1" si="30"/>
        <v>0</v>
      </c>
      <c r="U185" s="861">
        <f t="shared" ca="1" si="31"/>
        <v>0</v>
      </c>
      <c r="V185" s="136" t="b">
        <f ca="1">IF(OR(D185&lt;&gt;"USD",L185="無",M185&lt;&gt;"",K185="高資產",IFERROR(MATCH(B185,換券投組!K:K,0),"N")&lt;&gt;"N",IFERROR(MATCH(B185,換券投組!J:J,0),"N")&lt;&gt;"N"),FALSE,IF($V$1="All",TRUE,IF(K185=$V$1,TRUE,FALSE)))</f>
        <v>0</v>
      </c>
      <c r="W185" s="136">
        <f ca="1">VLOOKUP(A185,'銀行-TSS'!A:AO,41,FALSE)</f>
        <v>67.16</v>
      </c>
      <c r="X185" s="136">
        <f ca="1">VLOOKUP(A185,'銀行-TSS'!A:AP,42,FALSE)</f>
        <v>9.0693999999999999</v>
      </c>
      <c r="Y185" s="1223">
        <f t="shared" ca="1" si="38"/>
        <v>0</v>
      </c>
      <c r="Z185" s="1211">
        <f t="shared" ca="1" si="39"/>
        <v>0</v>
      </c>
      <c r="AA185" s="136">
        <f ca="1">IF(Z185&lt;=0,0,RANK(Z185,Z:Z)+COUNTIF($Z$3:$Z185,Z185)-1)</f>
        <v>0</v>
      </c>
      <c r="AB185" s="1211">
        <f t="shared" ca="1" si="32"/>
        <v>0</v>
      </c>
      <c r="AC185" s="136">
        <f ca="1">IF(AB185&lt;=0,0,RANK(AB185,AB:AB)+COUNTIF($AB$3:$AB185,AB185)-1)</f>
        <v>0</v>
      </c>
      <c r="AD185" s="136">
        <f t="shared" ca="1" si="40"/>
        <v>99999</v>
      </c>
      <c r="AE185" s="136">
        <f ca="1">IF(AD185=99999,0,RANK(AD185,AD:AD,1)+COUNTIF($AD$3:$AD185,AD185)-1)</f>
        <v>0</v>
      </c>
    </row>
    <row r="186" spans="1:31">
      <c r="A186" s="141" t="str">
        <f>'銀行-TSS'!A186</f>
        <v>USU59340AM85</v>
      </c>
      <c r="B186" s="151" t="str">
        <f ca="1">VLOOKUP(A186,'銀行-TSS'!A:B,2,FALSE)</f>
        <v>XG720</v>
      </c>
      <c r="C186" s="151" t="str">
        <f ca="1">VLOOKUP(B186,bond!B:C,2,FALSE)</f>
        <v>微軟公司美元配息債券 2.5% 2050/9/15</v>
      </c>
      <c r="D186" s="95" t="str">
        <f>VLOOKUP(A186,'銀行-TSS'!A:C,3,FALSE)</f>
        <v>USD</v>
      </c>
      <c r="E186" s="90">
        <f ca="1">VLOOKUP(A186,'銀行-TSS'!A:G,7,FALSE)</f>
        <v>26.2</v>
      </c>
      <c r="F186" s="202">
        <f ca="1">VLOOKUP(A186,'銀行-TSS'!A:H,8,FALSE)</f>
        <v>2.5000000000000001E-2</v>
      </c>
      <c r="G186" s="96">
        <f ca="1">VLOOKUP(A186,'銀行-TSS'!A:K,11,FALSE)</f>
        <v>67.239999999999995</v>
      </c>
      <c r="H186" s="1209">
        <f ca="1">VLOOKUP(A186,'銀行-TSS'!A:M,13,FALSE)</f>
        <v>4.7500000000000001E-2</v>
      </c>
      <c r="I186" s="1213">
        <f ca="1">VLOOKUP(A186,'銀行-TSS'!A:N,14,FALSE)</f>
        <v>10000</v>
      </c>
      <c r="J186" s="1213">
        <f ca="1">VLOOKUP(A186,'銀行-TSS'!A:O,15,FALSE)</f>
        <v>1000</v>
      </c>
      <c r="K186" s="136" t="str">
        <f ca="1">VLOOKUP(A186,'銀行-TSS'!A:V,22,FALSE)</f>
        <v>高資產</v>
      </c>
      <c r="L186" s="136" t="str">
        <f ca="1">VLOOKUP(A186,'銀行-TSS'!A:AK,37,FALSE)</f>
        <v>需查詢</v>
      </c>
      <c r="M186" s="136" t="str">
        <f ca="1">VLOOKUP(A186,'銀行-TSS'!A:AN,40,FALSE)</f>
        <v/>
      </c>
      <c r="N186" s="1211">
        <f t="shared" ca="1" si="33"/>
        <v>672.4</v>
      </c>
      <c r="O186" s="1211">
        <f t="shared" ca="1" si="34"/>
        <v>6724</v>
      </c>
      <c r="P186" s="1213">
        <f ca="1">IF(AND(換券投組!$D$17&gt;=O186,換券投組!$D$13=D186),I186+INT((換券投組!$D$17-O186)/N186)*J186,0)</f>
        <v>0</v>
      </c>
      <c r="Q186" s="1211">
        <f t="shared" ca="1" si="35"/>
        <v>0</v>
      </c>
      <c r="R186" s="1213">
        <f t="shared" ca="1" si="36"/>
        <v>0</v>
      </c>
      <c r="S186" s="1213">
        <f t="shared" ca="1" si="37"/>
        <v>0</v>
      </c>
      <c r="T186" s="136">
        <f t="shared" ca="1" si="30"/>
        <v>0</v>
      </c>
      <c r="U186" s="861">
        <f t="shared" ca="1" si="31"/>
        <v>0</v>
      </c>
      <c r="V186" s="136" t="b">
        <f ca="1">IF(OR(D186&lt;&gt;"USD",L186="無",M186&lt;&gt;"",K186="高資產",IFERROR(MATCH(B186,換券投組!K:K,0),"N")&lt;&gt;"N",IFERROR(MATCH(B186,換券投組!J:J,0),"N")&lt;&gt;"N"),FALSE,IF($V$1="All",TRUE,IF(K186=$V$1,TRUE,FALSE)))</f>
        <v>0</v>
      </c>
      <c r="W186" s="136">
        <f ca="1">VLOOKUP(A186,'銀行-TSS'!A:AO,41,FALSE)</f>
        <v>63.5</v>
      </c>
      <c r="X186" s="136">
        <f ca="1">VLOOKUP(A186,'銀行-TSS'!A:AP,42,FALSE)</f>
        <v>16.7669</v>
      </c>
      <c r="Y186" s="1223">
        <f t="shared" ca="1" si="38"/>
        <v>0</v>
      </c>
      <c r="Z186" s="1211">
        <f t="shared" ca="1" si="39"/>
        <v>0</v>
      </c>
      <c r="AA186" s="136">
        <f ca="1">IF(Z186&lt;=0,0,RANK(Z186,Z:Z)+COUNTIF($Z$3:$Z186,Z186)-1)</f>
        <v>0</v>
      </c>
      <c r="AB186" s="1211">
        <f t="shared" ca="1" si="32"/>
        <v>0</v>
      </c>
      <c r="AC186" s="136">
        <f ca="1">IF(AB186&lt;=0,0,RANK(AB186,AB:AB)+COUNTIF($AB$3:$AB186,AB186)-1)</f>
        <v>0</v>
      </c>
      <c r="AD186" s="136">
        <f t="shared" ca="1" si="40"/>
        <v>99999</v>
      </c>
      <c r="AE186" s="136">
        <f ca="1">IF(AD186=99999,0,RANK(AD186,AD:AD,1)+COUNTIF($AD$3:$AD186,AD186)-1)</f>
        <v>0</v>
      </c>
    </row>
    <row r="187" spans="1:31">
      <c r="A187" s="141" t="str">
        <f>'銀行-TSS'!A187</f>
        <v>XS2399787899</v>
      </c>
      <c r="B187" s="151" t="str">
        <f ca="1">VLOOKUP(A187,'銀行-TSS'!A:B,2,FALSE)</f>
        <v>XG730</v>
      </c>
      <c r="C187" s="151" t="str">
        <f ca="1">VLOOKUP(B187,bond!B:C,2,FALSE)</f>
        <v>印多福公司美元配息債券 3.541% 2032/4/27</v>
      </c>
      <c r="D187" s="95" t="str">
        <f>VLOOKUP(A187,'銀行-TSS'!A:C,3,FALSE)</f>
        <v>USD</v>
      </c>
      <c r="E187" s="90">
        <f ca="1">VLOOKUP(A187,'銀行-TSS'!A:G,7,FALSE)</f>
        <v>7.82</v>
      </c>
      <c r="F187" s="202">
        <f ca="1">VLOOKUP(A187,'銀行-TSS'!A:H,8,FALSE)</f>
        <v>3.5409999999999997E-2</v>
      </c>
      <c r="G187" s="96">
        <f ca="1">VLOOKUP(A187,'銀行-TSS'!A:K,11,FALSE)</f>
        <v>89.61</v>
      </c>
      <c r="H187" s="1209">
        <f ca="1">VLOOKUP(A187,'銀行-TSS'!A:M,13,FALSE)</f>
        <v>5.28E-2</v>
      </c>
      <c r="I187" s="1213">
        <f ca="1">VLOOKUP(A187,'銀行-TSS'!A:N,14,FALSE)</f>
        <v>200000</v>
      </c>
      <c r="J187" s="1213">
        <f ca="1">VLOOKUP(A187,'銀行-TSS'!A:O,15,FALSE)</f>
        <v>1000</v>
      </c>
      <c r="K187" s="136" t="str">
        <f ca="1">VLOOKUP(A187,'銀行-TSS'!A:V,22,FALSE)</f>
        <v>(PI)專投</v>
      </c>
      <c r="L187" s="136" t="str">
        <f ca="1">VLOOKUP(A187,'銀行-TSS'!A:AK,37,FALSE)</f>
        <v>有</v>
      </c>
      <c r="M187" s="136" t="str">
        <f ca="1">VLOOKUP(A187,'銀行-TSS'!A:AN,40,FALSE)</f>
        <v/>
      </c>
      <c r="N187" s="1211">
        <f t="shared" ca="1" si="33"/>
        <v>896.1</v>
      </c>
      <c r="O187" s="1211">
        <f t="shared" ca="1" si="34"/>
        <v>179220</v>
      </c>
      <c r="P187" s="1213">
        <f ca="1">IF(AND(換券投組!$D$17&gt;=O187,換券投組!$D$13=D187),I187+INT((換券投組!$D$17-O187)/N187)*J187,0)</f>
        <v>0</v>
      </c>
      <c r="Q187" s="1211">
        <f t="shared" ca="1" si="35"/>
        <v>0</v>
      </c>
      <c r="R187" s="1213">
        <f t="shared" ca="1" si="36"/>
        <v>0</v>
      </c>
      <c r="S187" s="1213">
        <f t="shared" ca="1" si="37"/>
        <v>0</v>
      </c>
      <c r="T187" s="136">
        <f t="shared" ca="1" si="30"/>
        <v>0</v>
      </c>
      <c r="U187" s="861">
        <f t="shared" ca="1" si="31"/>
        <v>0</v>
      </c>
      <c r="V187" s="136" t="b">
        <f ca="1">IF(OR(D187&lt;&gt;"USD",L187="無",M187&lt;&gt;"",K187="高資產",IFERROR(MATCH(B187,換券投組!K:K,0),"N")&lt;&gt;"N",IFERROR(MATCH(B187,換券投組!J:J,0),"N")&lt;&gt;"N"),FALSE,IF($V$1="All",TRUE,IF(K187=$V$1,TRUE,FALSE)))</f>
        <v>1</v>
      </c>
      <c r="W187" s="136">
        <f ca="1">VLOOKUP(A187,'銀行-TSS'!A:AO,41,FALSE)</f>
        <v>86.960000000000008</v>
      </c>
      <c r="X187" s="136">
        <f ca="1">VLOOKUP(A187,'銀行-TSS'!A:AP,42,FALSE)</f>
        <v>6.5868000000000002</v>
      </c>
      <c r="Y187" s="1223">
        <f t="shared" ca="1" si="38"/>
        <v>0</v>
      </c>
      <c r="Z187" s="1211">
        <f t="shared" ca="1" si="39"/>
        <v>0</v>
      </c>
      <c r="AA187" s="136">
        <f ca="1">IF(Z187&lt;=0,0,RANK(Z187,Z:Z)+COUNTIF($Z$3:$Z187,Z187)-1)</f>
        <v>0</v>
      </c>
      <c r="AB187" s="1211">
        <f t="shared" ca="1" si="32"/>
        <v>0</v>
      </c>
      <c r="AC187" s="136">
        <f ca="1">IF(AB187&lt;=0,0,RANK(AB187,AB:AB)+COUNTIF($AB$3:$AB187,AB187)-1)</f>
        <v>0</v>
      </c>
      <c r="AD187" s="136">
        <f t="shared" ca="1" si="40"/>
        <v>99999</v>
      </c>
      <c r="AE187" s="136">
        <f ca="1">IF(AD187=99999,0,RANK(AD187,AD:AD,1)+COUNTIF($AD$3:$AD187,AD187)-1)</f>
        <v>0</v>
      </c>
    </row>
    <row r="188" spans="1:31">
      <c r="A188" s="141" t="str">
        <f>'銀行-TSS'!A188</f>
        <v>USY00130YU53</v>
      </c>
      <c r="B188" s="151" t="str">
        <f ca="1">VLOOKUP(A188,'銀行-TSS'!A:B,2,FALSE)</f>
        <v>XG740</v>
      </c>
      <c r="C188" s="151" t="str">
        <f ca="1">VLOOKUP(B188,bond!B:C,2,FALSE)</f>
        <v>Adani港口及特別經濟區有限公司美元配息債券 5% 2041/8/2</v>
      </c>
      <c r="D188" s="95" t="str">
        <f>VLOOKUP(A188,'銀行-TSS'!A:C,3,FALSE)</f>
        <v>USD</v>
      </c>
      <c r="E188" s="90">
        <f ca="1">VLOOKUP(A188,'銀行-TSS'!A:G,7,FALSE)</f>
        <v>17.079999999999998</v>
      </c>
      <c r="F188" s="202">
        <f ca="1">VLOOKUP(A188,'銀行-TSS'!A:H,8,FALSE)</f>
        <v>0.05</v>
      </c>
      <c r="G188" s="96">
        <f ca="1">VLOOKUP(A188,'銀行-TSS'!A:K,11,FALSE)</f>
        <v>84.07</v>
      </c>
      <c r="H188" s="1209">
        <f ca="1">VLOOKUP(A188,'銀行-TSS'!A:M,13,FALSE)</f>
        <v>6.8000000000000005E-2</v>
      </c>
      <c r="I188" s="1213">
        <f ca="1">VLOOKUP(A188,'銀行-TSS'!A:N,14,FALSE)</f>
        <v>200000</v>
      </c>
      <c r="J188" s="1213">
        <f ca="1">VLOOKUP(A188,'銀行-TSS'!A:O,15,FALSE)</f>
        <v>1000</v>
      </c>
      <c r="K188" s="136" t="str">
        <f ca="1">VLOOKUP(A188,'銀行-TSS'!A:V,22,FALSE)</f>
        <v>(PI)專投</v>
      </c>
      <c r="L188" s="136" t="str">
        <f ca="1">VLOOKUP(A188,'銀行-TSS'!A:AK,37,FALSE)</f>
        <v>無</v>
      </c>
      <c r="M188" s="136" t="str">
        <f ca="1">VLOOKUP(A188,'銀行-TSS'!A:AN,40,FALSE)</f>
        <v/>
      </c>
      <c r="N188" s="1211">
        <f t="shared" ca="1" si="33"/>
        <v>840.7</v>
      </c>
      <c r="O188" s="1211">
        <f t="shared" ca="1" si="34"/>
        <v>168140</v>
      </c>
      <c r="P188" s="1213">
        <f ca="1">IF(AND(換券投組!$D$17&gt;=O188,換券投組!$D$13=D188),I188+INT((換券投組!$D$17-O188)/N188)*J188,0)</f>
        <v>0</v>
      </c>
      <c r="Q188" s="1211">
        <f t="shared" ca="1" si="35"/>
        <v>0</v>
      </c>
      <c r="R188" s="1213">
        <f t="shared" ca="1" si="36"/>
        <v>0</v>
      </c>
      <c r="S188" s="1213">
        <f t="shared" ca="1" si="37"/>
        <v>0</v>
      </c>
      <c r="T188" s="136">
        <f t="shared" ca="1" si="30"/>
        <v>0</v>
      </c>
      <c r="U188" s="861">
        <f t="shared" ca="1" si="31"/>
        <v>0</v>
      </c>
      <c r="V188" s="136" t="b">
        <f ca="1">IF(OR(D188&lt;&gt;"USD",L188="無",M188&lt;&gt;"",K188="高資產",IFERROR(MATCH(B188,換券投組!K:K,0),"N")&lt;&gt;"N",IFERROR(MATCH(B188,換券投組!J:J,0),"N")&lt;&gt;"N"),FALSE,IF($V$1="All",TRUE,IF(K188=$V$1,TRUE,FALSE)))</f>
        <v>0</v>
      </c>
      <c r="W188" s="136">
        <f ca="1">VLOOKUP(A188,'銀行-TSS'!A:AO,41,FALSE)</f>
        <v>78.990000000000009</v>
      </c>
      <c r="X188" s="136">
        <f ca="1">VLOOKUP(A188,'銀行-TSS'!A:AP,42,FALSE)</f>
        <v>10.2904</v>
      </c>
      <c r="Y188" s="1223">
        <f t="shared" ca="1" si="38"/>
        <v>0</v>
      </c>
      <c r="Z188" s="1211">
        <f t="shared" ca="1" si="39"/>
        <v>0</v>
      </c>
      <c r="AA188" s="136">
        <f ca="1">IF(Z188&lt;=0,0,RANK(Z188,Z:Z)+COUNTIF($Z$3:$Z188,Z188)-1)</f>
        <v>0</v>
      </c>
      <c r="AB188" s="1211">
        <f t="shared" ca="1" si="32"/>
        <v>0</v>
      </c>
      <c r="AC188" s="136">
        <f ca="1">IF(AB188&lt;=0,0,RANK(AB188,AB:AB)+COUNTIF($AB$3:$AB188,AB188)-1)</f>
        <v>0</v>
      </c>
      <c r="AD188" s="136">
        <f t="shared" ca="1" si="40"/>
        <v>99999</v>
      </c>
      <c r="AE188" s="136">
        <f ca="1">IF(AD188=99999,0,RANK(AD188,AD:AD,1)+COUNTIF($AD$3:$AD188,AD188)-1)</f>
        <v>0</v>
      </c>
    </row>
    <row r="189" spans="1:31">
      <c r="A189" s="141" t="str">
        <f>'銀行-TSS'!A189</f>
        <v>USJ57160DZ32</v>
      </c>
      <c r="B189" s="151" t="str">
        <f ca="1">VLOOKUP(A189,'銀行-TSS'!A:B,2,FALSE)</f>
        <v>XG750</v>
      </c>
      <c r="C189" s="151" t="str">
        <f ca="1">VLOOKUP(B189,bond!B:C,2,FALSE)</f>
        <v>日產汽車公司美元配息債券  4.81% 2030/9/17</v>
      </c>
      <c r="D189" s="95" t="str">
        <f>VLOOKUP(A189,'銀行-TSS'!A:C,3,FALSE)</f>
        <v>USD</v>
      </c>
      <c r="E189" s="90">
        <f ca="1">VLOOKUP(A189,'銀行-TSS'!A:G,7,FALSE)</f>
        <v>6.21</v>
      </c>
      <c r="F189" s="202">
        <f ca="1">VLOOKUP(A189,'銀行-TSS'!A:H,8,FALSE)</f>
        <v>4.8099999999999997E-2</v>
      </c>
      <c r="G189" s="96">
        <f ca="1">VLOOKUP(A189,'銀行-TSS'!A:K,11,FALSE)</f>
        <v>97.07</v>
      </c>
      <c r="H189" s="1209">
        <f ca="1">VLOOKUP(A189,'銀行-TSS'!A:M,13,FALSE)</f>
        <v>5.6399999999999999E-2</v>
      </c>
      <c r="I189" s="1213">
        <f ca="1">VLOOKUP(A189,'銀行-TSS'!A:N,14,FALSE)</f>
        <v>200000</v>
      </c>
      <c r="J189" s="1213">
        <f ca="1">VLOOKUP(A189,'銀行-TSS'!A:O,15,FALSE)</f>
        <v>1000</v>
      </c>
      <c r="K189" s="136" t="str">
        <f ca="1">VLOOKUP(A189,'銀行-TSS'!A:V,22,FALSE)</f>
        <v>(PI)專投</v>
      </c>
      <c r="L189" s="136" t="str">
        <f ca="1">VLOOKUP(A189,'銀行-TSS'!A:AK,37,FALSE)</f>
        <v>有</v>
      </c>
      <c r="M189" s="136" t="str">
        <f ca="1">VLOOKUP(A189,'銀行-TSS'!A:AN,40,FALSE)</f>
        <v/>
      </c>
      <c r="N189" s="1211">
        <f t="shared" ca="1" si="33"/>
        <v>970.7</v>
      </c>
      <c r="O189" s="1211">
        <f t="shared" ca="1" si="34"/>
        <v>194140</v>
      </c>
      <c r="P189" s="1213">
        <f ca="1">IF(AND(換券投組!$D$17&gt;=O189,換券投組!$D$13=D189),I189+INT((換券投組!$D$17-O189)/N189)*J189,0)</f>
        <v>0</v>
      </c>
      <c r="Q189" s="1211">
        <f t="shared" ca="1" si="35"/>
        <v>0</v>
      </c>
      <c r="R189" s="1213">
        <f t="shared" ca="1" si="36"/>
        <v>0</v>
      </c>
      <c r="S189" s="1213">
        <f t="shared" ca="1" si="37"/>
        <v>0</v>
      </c>
      <c r="T189" s="136">
        <f t="shared" ca="1" si="30"/>
        <v>0</v>
      </c>
      <c r="U189" s="861">
        <f t="shared" ca="1" si="31"/>
        <v>0</v>
      </c>
      <c r="V189" s="136" t="b">
        <f ca="1">IF(OR(D189&lt;&gt;"USD",L189="無",M189&lt;&gt;"",K189="高資產",IFERROR(MATCH(B189,換券投組!K:K,0),"N")&lt;&gt;"N",IFERROR(MATCH(B189,換券投組!J:J,0),"N")&lt;&gt;"N"),FALSE,IF($V$1="All",TRUE,IF(K189=$V$1,TRUE,FALSE)))</f>
        <v>1</v>
      </c>
      <c r="W189" s="136">
        <f ca="1">VLOOKUP(A189,'銀行-TSS'!A:AO,41,FALSE)</f>
        <v>93.67</v>
      </c>
      <c r="X189" s="136">
        <f ca="1">VLOOKUP(A189,'銀行-TSS'!A:AP,42,FALSE)</f>
        <v>5.1802000000000001</v>
      </c>
      <c r="Y189" s="1223">
        <f t="shared" ca="1" si="38"/>
        <v>0</v>
      </c>
      <c r="Z189" s="1211">
        <f t="shared" ca="1" si="39"/>
        <v>0</v>
      </c>
      <c r="AA189" s="136">
        <f ca="1">IF(Z189&lt;=0,0,RANK(Z189,Z:Z)+COUNTIF($Z$3:$Z189,Z189)-1)</f>
        <v>0</v>
      </c>
      <c r="AB189" s="1211">
        <f t="shared" ca="1" si="32"/>
        <v>0</v>
      </c>
      <c r="AC189" s="136">
        <f ca="1">IF(AB189&lt;=0,0,RANK(AB189,AB:AB)+COUNTIF($AB$3:$AB189,AB189)-1)</f>
        <v>0</v>
      </c>
      <c r="AD189" s="136">
        <f t="shared" ca="1" si="40"/>
        <v>99999</v>
      </c>
      <c r="AE189" s="136">
        <f ca="1">IF(AD189=99999,0,RANK(AD189,AD:AD,1)+COUNTIF($AD$3:$AD189,AD189)-1)</f>
        <v>0</v>
      </c>
    </row>
    <row r="190" spans="1:31">
      <c r="A190" s="141" t="str">
        <f>'銀行-TSS'!A190</f>
        <v>US097023CW33</v>
      </c>
      <c r="B190" s="151" t="str">
        <f ca="1">VLOOKUP(A190,'銀行-TSS'!A:B,2,FALSE)</f>
        <v>XG760</v>
      </c>
      <c r="C190" s="151" t="str">
        <f ca="1">VLOOKUP(B190,bond!B:C,2,FALSE)</f>
        <v>波音公司美元配息債券 5.805% 2050/5/1</v>
      </c>
      <c r="D190" s="95" t="str">
        <f>VLOOKUP(A190,'銀行-TSS'!A:C,3,FALSE)</f>
        <v>USD</v>
      </c>
      <c r="E190" s="90">
        <f ca="1">VLOOKUP(A190,'銀行-TSS'!A:G,7,FALSE)</f>
        <v>25.83</v>
      </c>
      <c r="F190" s="202">
        <f ca="1">VLOOKUP(A190,'銀行-TSS'!A:H,8,FALSE)</f>
        <v>5.8049999999999997E-2</v>
      </c>
      <c r="G190" s="96">
        <f ca="1">VLOOKUP(A190,'銀行-TSS'!A:K,11,FALSE)</f>
        <v>95.6</v>
      </c>
      <c r="H190" s="1209">
        <f ca="1">VLOOKUP(A190,'銀行-TSS'!A:M,13,FALSE)</f>
        <v>6.2300000000000001E-2</v>
      </c>
      <c r="I190" s="1213">
        <f ca="1">VLOOKUP(A190,'銀行-TSS'!A:N,14,FALSE)</f>
        <v>10000</v>
      </c>
      <c r="J190" s="1213">
        <f ca="1">VLOOKUP(A190,'銀行-TSS'!A:O,15,FALSE)</f>
        <v>1000</v>
      </c>
      <c r="K190" s="136" t="str">
        <f ca="1">VLOOKUP(A190,'銀行-TSS'!A:V,22,FALSE)</f>
        <v>(PI)專投</v>
      </c>
      <c r="L190" s="136" t="str">
        <f ca="1">VLOOKUP(A190,'銀行-TSS'!A:AK,37,FALSE)</f>
        <v>有</v>
      </c>
      <c r="M190" s="136" t="str">
        <f ca="1">VLOOKUP(A190,'銀行-TSS'!A:AN,40,FALSE)</f>
        <v/>
      </c>
      <c r="N190" s="1211">
        <f t="shared" ca="1" si="33"/>
        <v>956</v>
      </c>
      <c r="O190" s="1211">
        <f t="shared" ca="1" si="34"/>
        <v>9560</v>
      </c>
      <c r="P190" s="1213">
        <f ca="1">IF(AND(換券投組!$D$17&gt;=O190,換券投組!$D$13=D190),I190+INT((換券投組!$D$17-O190)/N190)*J190,0)</f>
        <v>0</v>
      </c>
      <c r="Q190" s="1211">
        <f t="shared" ca="1" si="35"/>
        <v>0</v>
      </c>
      <c r="R190" s="1213">
        <f t="shared" ca="1" si="36"/>
        <v>0</v>
      </c>
      <c r="S190" s="1213">
        <f t="shared" ca="1" si="37"/>
        <v>0</v>
      </c>
      <c r="T190" s="136">
        <f t="shared" ca="1" si="30"/>
        <v>0</v>
      </c>
      <c r="U190" s="861">
        <f t="shared" ca="1" si="31"/>
        <v>0</v>
      </c>
      <c r="V190" s="136" t="b">
        <f ca="1">IF(OR(D190&lt;&gt;"USD",L190="無",M190&lt;&gt;"",K190="高資產",IFERROR(MATCH(B190,換券投組!K:K,0),"N")&lt;&gt;"N",IFERROR(MATCH(B190,換券投組!J:J,0),"N")&lt;&gt;"N"),FALSE,IF($V$1="All",TRUE,IF(K190=$V$1,TRUE,FALSE)))</f>
        <v>1</v>
      </c>
      <c r="W190" s="136">
        <f ca="1">VLOOKUP(A190,'銀行-TSS'!A:AO,41,FALSE)</f>
        <v>91.12</v>
      </c>
      <c r="X190" s="136">
        <f ca="1">VLOOKUP(A190,'銀行-TSS'!A:AP,42,FALSE)</f>
        <v>12.670400000000001</v>
      </c>
      <c r="Y190" s="1223">
        <f t="shared" ca="1" si="38"/>
        <v>0</v>
      </c>
      <c r="Z190" s="1211">
        <f t="shared" ca="1" si="39"/>
        <v>0</v>
      </c>
      <c r="AA190" s="136">
        <f ca="1">IF(Z190&lt;=0,0,RANK(Z190,Z:Z)+COUNTIF($Z$3:$Z190,Z190)-1)</f>
        <v>0</v>
      </c>
      <c r="AB190" s="1211">
        <f t="shared" ca="1" si="32"/>
        <v>0</v>
      </c>
      <c r="AC190" s="136">
        <f ca="1">IF(AB190&lt;=0,0,RANK(AB190,AB:AB)+COUNTIF($AB$3:$AB190,AB190)-1)</f>
        <v>0</v>
      </c>
      <c r="AD190" s="136">
        <f t="shared" ca="1" si="40"/>
        <v>99999</v>
      </c>
      <c r="AE190" s="136">
        <f ca="1">IF(AD190=99999,0,RANK(AD190,AD:AD,1)+COUNTIF($AD$3:$AD190,AD190)-1)</f>
        <v>0</v>
      </c>
    </row>
    <row r="191" spans="1:31">
      <c r="A191" s="141" t="str">
        <f>'銀行-TSS'!A191</f>
        <v>USP7088CAC03</v>
      </c>
      <c r="B191" s="151" t="str">
        <f ca="1">VLOOKUP(A191,'銀行-TSS'!A:B,2,FALSE)</f>
        <v>XG770</v>
      </c>
      <c r="C191" s="151" t="str">
        <f ca="1">VLOOKUP(B191,bond!B:C,2,FALSE)</f>
        <v>大自然化妝品公司美元配息債券 4.125% 2028/5/3</v>
      </c>
      <c r="D191" s="95" t="str">
        <f>VLOOKUP(A191,'銀行-TSS'!A:C,3,FALSE)</f>
        <v>USD</v>
      </c>
      <c r="E191" s="90">
        <f ca="1">VLOOKUP(A191,'銀行-TSS'!A:G,7,FALSE)</f>
        <v>3.84</v>
      </c>
      <c r="F191" s="202">
        <f ca="1">VLOOKUP(A191,'銀行-TSS'!A:H,8,FALSE)</f>
        <v>4.1250000000000002E-2</v>
      </c>
      <c r="G191" s="96">
        <f ca="1">VLOOKUP(A191,'銀行-TSS'!A:K,11,FALSE)</f>
        <v>94.86</v>
      </c>
      <c r="H191" s="1209">
        <f ca="1">VLOOKUP(A191,'銀行-TSS'!A:M,13,FALSE)</f>
        <v>5.8400000000000001E-2</v>
      </c>
      <c r="I191" s="1213">
        <f ca="1">VLOOKUP(A191,'銀行-TSS'!A:N,14,FALSE)</f>
        <v>200000</v>
      </c>
      <c r="J191" s="1213">
        <f ca="1">VLOOKUP(A191,'銀行-TSS'!A:O,15,FALSE)</f>
        <v>1000</v>
      </c>
      <c r="K191" s="136" t="str">
        <f ca="1">VLOOKUP(A191,'銀行-TSS'!A:V,22,FALSE)</f>
        <v>(PI)專投</v>
      </c>
      <c r="L191" s="136" t="str">
        <f ca="1">VLOOKUP(A191,'銀行-TSS'!A:AK,37,FALSE)</f>
        <v>有</v>
      </c>
      <c r="M191" s="136" t="str">
        <f ca="1">VLOOKUP(A191,'銀行-TSS'!A:AN,40,FALSE)</f>
        <v/>
      </c>
      <c r="N191" s="1211">
        <f t="shared" ca="1" si="33"/>
        <v>948.6</v>
      </c>
      <c r="O191" s="1211">
        <f t="shared" ca="1" si="34"/>
        <v>189720</v>
      </c>
      <c r="P191" s="1213">
        <f ca="1">IF(AND(換券投組!$D$17&gt;=O191,換券投組!$D$13=D191),I191+INT((換券投組!$D$17-O191)/N191)*J191,0)</f>
        <v>0</v>
      </c>
      <c r="Q191" s="1211">
        <f t="shared" ca="1" si="35"/>
        <v>0</v>
      </c>
      <c r="R191" s="1213">
        <f t="shared" ca="1" si="36"/>
        <v>0</v>
      </c>
      <c r="S191" s="1213">
        <f t="shared" ca="1" si="37"/>
        <v>0</v>
      </c>
      <c r="T191" s="136">
        <f t="shared" ca="1" si="30"/>
        <v>0</v>
      </c>
      <c r="U191" s="861">
        <f t="shared" ca="1" si="31"/>
        <v>0</v>
      </c>
      <c r="V191" s="136" t="b">
        <f ca="1">IF(OR(D191&lt;&gt;"USD",L191="無",M191&lt;&gt;"",K191="高資產",IFERROR(MATCH(B191,換券投組!K:K,0),"N")&lt;&gt;"N",IFERROR(MATCH(B191,換券投組!J:J,0),"N")&lt;&gt;"N"),FALSE,IF($V$1="All",TRUE,IF(K191=$V$1,TRUE,FALSE)))</f>
        <v>1</v>
      </c>
      <c r="W191" s="136">
        <f ca="1">VLOOKUP(A191,'銀行-TSS'!A:AO,41,FALSE)</f>
        <v>92.68</v>
      </c>
      <c r="X191" s="136">
        <f ca="1">VLOOKUP(A191,'銀行-TSS'!A:AP,42,FALSE)</f>
        <v>3.4407000000000001</v>
      </c>
      <c r="Y191" s="1223">
        <f t="shared" ca="1" si="38"/>
        <v>0</v>
      </c>
      <c r="Z191" s="1211">
        <f t="shared" ca="1" si="39"/>
        <v>0</v>
      </c>
      <c r="AA191" s="136">
        <f ca="1">IF(Z191&lt;=0,0,RANK(Z191,Z:Z)+COUNTIF($Z$3:$Z191,Z191)-1)</f>
        <v>0</v>
      </c>
      <c r="AB191" s="1211">
        <f t="shared" ca="1" si="32"/>
        <v>0</v>
      </c>
      <c r="AC191" s="136">
        <f ca="1">IF(AB191&lt;=0,0,RANK(AB191,AB:AB)+COUNTIF($AB$3:$AB191,AB191)-1)</f>
        <v>0</v>
      </c>
      <c r="AD191" s="136">
        <f t="shared" ca="1" si="40"/>
        <v>99999</v>
      </c>
      <c r="AE191" s="136">
        <f ca="1">IF(AD191=99999,0,RANK(AD191,AD:AD,1)+COUNTIF($AD$3:$AD191,AD191)-1)</f>
        <v>0</v>
      </c>
    </row>
    <row r="192" spans="1:31">
      <c r="A192" s="141" t="str">
        <f>'銀行-TSS'!A192</f>
        <v>US988498AN16</v>
      </c>
      <c r="B192" s="151" t="str">
        <f ca="1">VLOOKUP(A192,'銀行-TSS'!A:B,2,FALSE)</f>
        <v>XG790</v>
      </c>
      <c r="C192" s="151" t="str">
        <f ca="1">VLOOKUP(B192,bond!B:C,2,FALSE)</f>
        <v>百勝餐飲美元配息債券 3.625% 2031/3/15</v>
      </c>
      <c r="D192" s="95" t="str">
        <f>VLOOKUP(A192,'銀行-TSS'!A:C,3,FALSE)</f>
        <v>USD</v>
      </c>
      <c r="E192" s="90">
        <f ca="1">VLOOKUP(A192,'銀行-TSS'!A:G,7,FALSE)</f>
        <v>6.7</v>
      </c>
      <c r="F192" s="202">
        <f ca="1">VLOOKUP(A192,'銀行-TSS'!A:H,8,FALSE)</f>
        <v>3.6249999999999998E-2</v>
      </c>
      <c r="G192" s="96">
        <f ca="1">VLOOKUP(A192,'銀行-TSS'!A:K,11,FALSE)</f>
        <v>91.92</v>
      </c>
      <c r="H192" s="1209">
        <f ca="1">VLOOKUP(A192,'銀行-TSS'!A:M,13,FALSE)</f>
        <v>5.2600000000000001E-2</v>
      </c>
      <c r="I192" s="1213">
        <f ca="1">VLOOKUP(A192,'銀行-TSS'!A:N,14,FALSE)</f>
        <v>10000</v>
      </c>
      <c r="J192" s="1213">
        <f ca="1">VLOOKUP(A192,'銀行-TSS'!A:O,15,FALSE)</f>
        <v>1000</v>
      </c>
      <c r="K192" s="136" t="str">
        <f ca="1">VLOOKUP(A192,'銀行-TSS'!A:V,22,FALSE)</f>
        <v>高資產</v>
      </c>
      <c r="L192" s="136" t="str">
        <f ca="1">VLOOKUP(A192,'銀行-TSS'!A:AK,37,FALSE)</f>
        <v>有</v>
      </c>
      <c r="M192" s="136" t="str">
        <f ca="1">VLOOKUP(A192,'銀行-TSS'!A:AN,40,FALSE)</f>
        <v/>
      </c>
      <c r="N192" s="1211">
        <f t="shared" ca="1" si="33"/>
        <v>919.2</v>
      </c>
      <c r="O192" s="1211">
        <f t="shared" ca="1" si="34"/>
        <v>9192</v>
      </c>
      <c r="P192" s="1213">
        <f ca="1">IF(AND(換券投組!$D$17&gt;=O192,換券投組!$D$13=D192),I192+INT((換券投組!$D$17-O192)/N192)*J192,0)</f>
        <v>0</v>
      </c>
      <c r="Q192" s="1211">
        <f t="shared" ca="1" si="35"/>
        <v>0</v>
      </c>
      <c r="R192" s="1213">
        <f t="shared" ca="1" si="36"/>
        <v>0</v>
      </c>
      <c r="S192" s="1213">
        <f t="shared" ca="1" si="37"/>
        <v>0</v>
      </c>
      <c r="T192" s="136">
        <f t="shared" ca="1" si="30"/>
        <v>0</v>
      </c>
      <c r="U192" s="861">
        <f t="shared" ca="1" si="31"/>
        <v>0</v>
      </c>
      <c r="V192" s="136" t="b">
        <f ca="1">IF(OR(D192&lt;&gt;"USD",L192="無",M192&lt;&gt;"",K192="高資產",IFERROR(MATCH(B192,換券投組!K:K,0),"N")&lt;&gt;"N",IFERROR(MATCH(B192,換券投組!J:J,0),"N")&lt;&gt;"N"),FALSE,IF($V$1="All",TRUE,IF(K192=$V$1,TRUE,FALSE)))</f>
        <v>0</v>
      </c>
      <c r="W192" s="136">
        <f ca="1">VLOOKUP(A192,'銀行-TSS'!A:AO,41,FALSE)</f>
        <v>88.84</v>
      </c>
      <c r="X192" s="136">
        <f ca="1">VLOOKUP(A192,'銀行-TSS'!A:AP,42,FALSE)</f>
        <v>5.7336</v>
      </c>
      <c r="Y192" s="1223">
        <f t="shared" ca="1" si="38"/>
        <v>0</v>
      </c>
      <c r="Z192" s="1211">
        <f t="shared" ca="1" si="39"/>
        <v>0</v>
      </c>
      <c r="AA192" s="136">
        <f ca="1">IF(Z192&lt;=0,0,RANK(Z192,Z:Z)+COUNTIF($Z$3:$Z192,Z192)-1)</f>
        <v>0</v>
      </c>
      <c r="AB192" s="1211">
        <f t="shared" ca="1" si="32"/>
        <v>0</v>
      </c>
      <c r="AC192" s="136">
        <f ca="1">IF(AB192&lt;=0,0,RANK(AB192,AB:AB)+COUNTIF($AB$3:$AB192,AB192)-1)</f>
        <v>0</v>
      </c>
      <c r="AD192" s="136">
        <f t="shared" ca="1" si="40"/>
        <v>99999</v>
      </c>
      <c r="AE192" s="136">
        <f ca="1">IF(AD192=99999,0,RANK(AD192,AD:AD,1)+COUNTIF($AD$3:$AD192,AD192)-1)</f>
        <v>0</v>
      </c>
    </row>
    <row r="193" spans="1:31">
      <c r="A193" s="141" t="str">
        <f>'銀行-TSS'!A193</f>
        <v>US70450YAJ29</v>
      </c>
      <c r="B193" s="151" t="str">
        <f ca="1">VLOOKUP(A193,'銀行-TSS'!A:B,2,FALSE)</f>
        <v>XG800</v>
      </c>
      <c r="C193" s="151" t="str">
        <f ca="1">VLOOKUP(B193,bond!B:C,2,FALSE)</f>
        <v>Paypal控股有限公司美元配息債券 3.25% 2050/6/1</v>
      </c>
      <c r="D193" s="95" t="str">
        <f>VLOOKUP(A193,'銀行-TSS'!A:C,3,FALSE)</f>
        <v>USD</v>
      </c>
      <c r="E193" s="90">
        <f ca="1">VLOOKUP(A193,'銀行-TSS'!A:G,7,FALSE)</f>
        <v>25.91</v>
      </c>
      <c r="F193" s="202">
        <f ca="1">VLOOKUP(A193,'銀行-TSS'!A:H,8,FALSE)</f>
        <v>3.2500000000000001E-2</v>
      </c>
      <c r="G193" s="96">
        <f ca="1">VLOOKUP(A193,'銀行-TSS'!A:K,11,FALSE)</f>
        <v>72.25</v>
      </c>
      <c r="H193" s="1209">
        <f ca="1">VLOOKUP(A193,'銀行-TSS'!A:M,13,FALSE)</f>
        <v>5.2400000000000002E-2</v>
      </c>
      <c r="I193" s="1213">
        <f ca="1">VLOOKUP(A193,'銀行-TSS'!A:N,14,FALSE)</f>
        <v>10000</v>
      </c>
      <c r="J193" s="1213">
        <f ca="1">VLOOKUP(A193,'銀行-TSS'!A:O,15,FALSE)</f>
        <v>1000</v>
      </c>
      <c r="K193" s="136" t="str">
        <f ca="1">VLOOKUP(A193,'銀行-TSS'!A:V,22,FALSE)</f>
        <v>(NPI)非專投</v>
      </c>
      <c r="L193" s="136" t="str">
        <f ca="1">VLOOKUP(A193,'銀行-TSS'!A:AK,37,FALSE)</f>
        <v>有</v>
      </c>
      <c r="M193" s="136" t="str">
        <f ca="1">VLOOKUP(A193,'銀行-TSS'!A:AN,40,FALSE)</f>
        <v/>
      </c>
      <c r="N193" s="1211">
        <f t="shared" ca="1" si="33"/>
        <v>722.5</v>
      </c>
      <c r="O193" s="1211">
        <f t="shared" ca="1" si="34"/>
        <v>7225</v>
      </c>
      <c r="P193" s="1213">
        <f ca="1">IF(AND(換券投組!$D$17&gt;=O193,換券投組!$D$13=D193),I193+INT((換券投組!$D$17-O193)/N193)*J193,0)</f>
        <v>0</v>
      </c>
      <c r="Q193" s="1211">
        <f t="shared" ca="1" si="35"/>
        <v>0</v>
      </c>
      <c r="R193" s="1213">
        <f t="shared" ca="1" si="36"/>
        <v>0</v>
      </c>
      <c r="S193" s="1213">
        <f t="shared" ca="1" si="37"/>
        <v>0</v>
      </c>
      <c r="T193" s="136">
        <f t="shared" ca="1" si="30"/>
        <v>0</v>
      </c>
      <c r="U193" s="861">
        <f t="shared" ca="1" si="31"/>
        <v>0</v>
      </c>
      <c r="V193" s="136" t="b">
        <f ca="1">IF(OR(D193&lt;&gt;"USD",L193="無",M193&lt;&gt;"",K193="高資產",IFERROR(MATCH(B193,換券投組!K:K,0),"N")&lt;&gt;"N",IFERROR(MATCH(B193,換券投組!J:J,0),"N")&lt;&gt;"N"),FALSE,IF($V$1="All",TRUE,IF(K193=$V$1,TRUE,FALSE)))</f>
        <v>1</v>
      </c>
      <c r="W193" s="136">
        <f ca="1">VLOOKUP(A193,'銀行-TSS'!A:AO,41,FALSE)</f>
        <v>68.47</v>
      </c>
      <c r="X193" s="136">
        <f ca="1">VLOOKUP(A193,'銀行-TSS'!A:AP,42,FALSE)</f>
        <v>15.3908</v>
      </c>
      <c r="Y193" s="1223">
        <f t="shared" ca="1" si="38"/>
        <v>0</v>
      </c>
      <c r="Z193" s="1211">
        <f t="shared" ca="1" si="39"/>
        <v>0</v>
      </c>
      <c r="AA193" s="136">
        <f ca="1">IF(Z193&lt;=0,0,RANK(Z193,Z:Z)+COUNTIF($Z$3:$Z193,Z193)-1)</f>
        <v>0</v>
      </c>
      <c r="AB193" s="1211">
        <f t="shared" ca="1" si="32"/>
        <v>0</v>
      </c>
      <c r="AC193" s="136">
        <f ca="1">IF(AB193&lt;=0,0,RANK(AB193,AB:AB)+COUNTIF($AB$3:$AB193,AB193)-1)</f>
        <v>0</v>
      </c>
      <c r="AD193" s="136">
        <f t="shared" ca="1" si="40"/>
        <v>99999</v>
      </c>
      <c r="AE193" s="136">
        <f ca="1">IF(AD193=99999,0,RANK(AD193,AD:AD,1)+COUNTIF($AD$3:$AD193,AD193)-1)</f>
        <v>0</v>
      </c>
    </row>
    <row r="194" spans="1:31">
      <c r="A194" s="141" t="str">
        <f>'銀行-TSS'!A194</f>
        <v>US459200KL41</v>
      </c>
      <c r="B194" s="151" t="str">
        <f ca="1">VLOOKUP(A194,'銀行-TSS'!A:B,2,FALSE)</f>
        <v>XG810</v>
      </c>
      <c r="C194" s="151" t="str">
        <f ca="1">VLOOKUP(B194,bond!B:C,2,FALSE)</f>
        <v>國際商業機器公司美元配息債券 2.95% 2050/5/15</v>
      </c>
      <c r="D194" s="95" t="str">
        <f>VLOOKUP(A194,'銀行-TSS'!A:C,3,FALSE)</f>
        <v>USD</v>
      </c>
      <c r="E194" s="90">
        <f ca="1">VLOOKUP(A194,'銀行-TSS'!A:G,7,FALSE)</f>
        <v>25.87</v>
      </c>
      <c r="F194" s="202">
        <f ca="1">VLOOKUP(A194,'銀行-TSS'!A:H,8,FALSE)</f>
        <v>2.9500000000000002E-2</v>
      </c>
      <c r="G194" s="96">
        <f ca="1">VLOOKUP(A194,'銀行-TSS'!A:K,11,FALSE)</f>
        <v>68.260000000000005</v>
      </c>
      <c r="H194" s="1209">
        <f ca="1">VLOOKUP(A194,'銀行-TSS'!A:M,13,FALSE)</f>
        <v>5.2299999999999999E-2</v>
      </c>
      <c r="I194" s="1213">
        <f ca="1">VLOOKUP(A194,'銀行-TSS'!A:N,14,FALSE)</f>
        <v>100000</v>
      </c>
      <c r="J194" s="1213">
        <f ca="1">VLOOKUP(A194,'銀行-TSS'!A:O,15,FALSE)</f>
        <v>1000</v>
      </c>
      <c r="K194" s="136" t="str">
        <f ca="1">VLOOKUP(A194,'銀行-TSS'!A:V,22,FALSE)</f>
        <v>(NPI)非專投</v>
      </c>
      <c r="L194" s="136" t="str">
        <f ca="1">VLOOKUP(A194,'銀行-TSS'!A:AK,37,FALSE)</f>
        <v>有</v>
      </c>
      <c r="M194" s="136" t="str">
        <f ca="1">VLOOKUP(A194,'銀行-TSS'!A:AN,40,FALSE)</f>
        <v/>
      </c>
      <c r="N194" s="1211">
        <f t="shared" ca="1" si="33"/>
        <v>682.6</v>
      </c>
      <c r="O194" s="1211">
        <f t="shared" ca="1" si="34"/>
        <v>68260.000000000015</v>
      </c>
      <c r="P194" s="1213">
        <f ca="1">IF(AND(換券投組!$D$17&gt;=O194,換券投組!$D$13=D194),I194+INT((換券投組!$D$17-O194)/N194)*J194,0)</f>
        <v>0</v>
      </c>
      <c r="Q194" s="1211">
        <f t="shared" ca="1" si="35"/>
        <v>0</v>
      </c>
      <c r="R194" s="1213">
        <f t="shared" ca="1" si="36"/>
        <v>0</v>
      </c>
      <c r="S194" s="1213">
        <f t="shared" ca="1" si="37"/>
        <v>0</v>
      </c>
      <c r="T194" s="136">
        <f t="shared" ca="1" si="30"/>
        <v>0</v>
      </c>
      <c r="U194" s="861">
        <f t="shared" ca="1" si="31"/>
        <v>0</v>
      </c>
      <c r="V194" s="136" t="b">
        <f ca="1">IF(OR(D194&lt;&gt;"USD",L194="無",M194&lt;&gt;"",K194="高資產",IFERROR(MATCH(B194,換券投組!K:K,0),"N")&lt;&gt;"N",IFERROR(MATCH(B194,換券投組!J:J,0),"N")&lt;&gt;"N"),FALSE,IF($V$1="All",TRUE,IF(K194=$V$1,TRUE,FALSE)))</f>
        <v>1</v>
      </c>
      <c r="W194" s="136">
        <f ca="1">VLOOKUP(A194,'銀行-TSS'!A:AO,41,FALSE)</f>
        <v>64.37</v>
      </c>
      <c r="X194" s="136">
        <f ca="1">VLOOKUP(A194,'銀行-TSS'!A:AP,42,FALSE)</f>
        <v>15.682600000000001</v>
      </c>
      <c r="Y194" s="1223">
        <f t="shared" ca="1" si="38"/>
        <v>0</v>
      </c>
      <c r="Z194" s="1211">
        <f t="shared" ca="1" si="39"/>
        <v>0</v>
      </c>
      <c r="AA194" s="136">
        <f ca="1">IF(Z194&lt;=0,0,RANK(Z194,Z:Z)+COUNTIF($Z$3:$Z194,Z194)-1)</f>
        <v>0</v>
      </c>
      <c r="AB194" s="1211">
        <f t="shared" ca="1" si="32"/>
        <v>0</v>
      </c>
      <c r="AC194" s="136">
        <f ca="1">IF(AB194&lt;=0,0,RANK(AB194,AB:AB)+COUNTIF($AB$3:$AB194,AB194)-1)</f>
        <v>0</v>
      </c>
      <c r="AD194" s="136">
        <f t="shared" ca="1" si="40"/>
        <v>99999</v>
      </c>
      <c r="AE194" s="136">
        <f ca="1">IF(AD194=99999,0,RANK(AD194,AD:AD,1)+COUNTIF($AD$3:$AD194,AD194)-1)</f>
        <v>0</v>
      </c>
    </row>
    <row r="195" spans="1:31">
      <c r="A195" s="141" t="str">
        <f>'銀行-TSS'!A195</f>
        <v>USU8801TAE74</v>
      </c>
      <c r="B195" s="151" t="str">
        <f ca="1">VLOOKUP(A195,'銀行-TSS'!A:B,2,FALSE)</f>
        <v>XG820</v>
      </c>
      <c r="C195" s="151" t="str">
        <f ca="1">VLOOKUP(B195,bond!B:C,2,FALSE)</f>
        <v>丹普席伊麗國際公司美元配息債券 3.875% 2031/10/15</v>
      </c>
      <c r="D195" s="95" t="str">
        <f>VLOOKUP(A195,'銀行-TSS'!A:C,3,FALSE)</f>
        <v>USD</v>
      </c>
      <c r="E195" s="90">
        <f ca="1">VLOOKUP(A195,'銀行-TSS'!A:G,7,FALSE)</f>
        <v>7.29</v>
      </c>
      <c r="F195" s="202">
        <f ca="1">VLOOKUP(A195,'銀行-TSS'!A:H,8,FALSE)</f>
        <v>3.875E-2</v>
      </c>
      <c r="G195" s="96">
        <f ca="1">VLOOKUP(A195,'銀行-TSS'!A:K,11,FALSE)</f>
        <v>87.98</v>
      </c>
      <c r="H195" s="1209">
        <f ca="1">VLOOKUP(A195,'銀行-TSS'!A:M,13,FALSE)</f>
        <v>6.08E-2</v>
      </c>
      <c r="I195" s="1213">
        <f ca="1">VLOOKUP(A195,'銀行-TSS'!A:N,14,FALSE)</f>
        <v>10000</v>
      </c>
      <c r="J195" s="1213">
        <f ca="1">VLOOKUP(A195,'銀行-TSS'!A:O,15,FALSE)</f>
        <v>1000</v>
      </c>
      <c r="K195" s="136" t="str">
        <f ca="1">VLOOKUP(A195,'銀行-TSS'!A:V,22,FALSE)</f>
        <v>(PI)專投</v>
      </c>
      <c r="L195" s="136" t="str">
        <f ca="1">VLOOKUP(A195,'銀行-TSS'!A:AK,37,FALSE)</f>
        <v>需查詢</v>
      </c>
      <c r="M195" s="136" t="str">
        <f ca="1">VLOOKUP(A195,'銀行-TSS'!A:AN,40,FALSE)</f>
        <v/>
      </c>
      <c r="N195" s="1211">
        <f t="shared" ca="1" si="33"/>
        <v>879.8</v>
      </c>
      <c r="O195" s="1211">
        <f t="shared" ca="1" si="34"/>
        <v>8798</v>
      </c>
      <c r="P195" s="1213">
        <f ca="1">IF(AND(換券投組!$D$17&gt;=O195,換券投組!$D$13=D195),I195+INT((換券投組!$D$17-O195)/N195)*J195,0)</f>
        <v>0</v>
      </c>
      <c r="Q195" s="1211">
        <f t="shared" ca="1" si="35"/>
        <v>0</v>
      </c>
      <c r="R195" s="1213">
        <f t="shared" ca="1" si="36"/>
        <v>0</v>
      </c>
      <c r="S195" s="1213">
        <f t="shared" ca="1" si="37"/>
        <v>0</v>
      </c>
      <c r="T195" s="136">
        <f t="shared" ca="1" si="30"/>
        <v>0</v>
      </c>
      <c r="U195" s="861">
        <f t="shared" ca="1" si="31"/>
        <v>0</v>
      </c>
      <c r="V195" s="136" t="b">
        <f ca="1">IF(OR(D195&lt;&gt;"USD",L195="無",M195&lt;&gt;"",K195="高資產",IFERROR(MATCH(B195,換券投組!K:K,0),"N")&lt;&gt;"N",IFERROR(MATCH(B195,換券投組!J:J,0),"N")&lt;&gt;"N"),FALSE,IF($V$1="All",TRUE,IF(K195=$V$1,TRUE,FALSE)))</f>
        <v>1</v>
      </c>
      <c r="W195" s="136">
        <f ca="1">VLOOKUP(A195,'銀行-TSS'!A:AO,41,FALSE)</f>
        <v>85.15</v>
      </c>
      <c r="X195" s="136">
        <f ca="1">VLOOKUP(A195,'銀行-TSS'!A:AP,42,FALSE)</f>
        <v>6.0759999999999996</v>
      </c>
      <c r="Y195" s="1223">
        <f t="shared" ca="1" si="38"/>
        <v>0</v>
      </c>
      <c r="Z195" s="1211">
        <f t="shared" ca="1" si="39"/>
        <v>0</v>
      </c>
      <c r="AA195" s="136">
        <f ca="1">IF(Z195&lt;=0,0,RANK(Z195,Z:Z)+COUNTIF($Z$3:$Z195,Z195)-1)</f>
        <v>0</v>
      </c>
      <c r="AB195" s="1211">
        <f t="shared" ca="1" si="32"/>
        <v>0</v>
      </c>
      <c r="AC195" s="136">
        <f ca="1">IF(AB195&lt;=0,0,RANK(AB195,AB:AB)+COUNTIF($AB$3:$AB195,AB195)-1)</f>
        <v>0</v>
      </c>
      <c r="AD195" s="136">
        <f t="shared" ca="1" si="40"/>
        <v>99999</v>
      </c>
      <c r="AE195" s="136">
        <f ca="1">IF(AD195=99999,0,RANK(AD195,AD:AD,1)+COUNTIF($AD$3:$AD195,AD195)-1)</f>
        <v>0</v>
      </c>
    </row>
    <row r="196" spans="1:31">
      <c r="A196" s="141" t="str">
        <f>'銀行-TSS'!A196</f>
        <v>US023135BJ40</v>
      </c>
      <c r="B196" s="151" t="str">
        <f ca="1">VLOOKUP(A196,'銀行-TSS'!A:B,2,FALSE)</f>
        <v>XG830</v>
      </c>
      <c r="C196" s="151" t="str">
        <f ca="1">VLOOKUP(B196,bond!B:C,2,FALSE)</f>
        <v>亞馬遜公司美元配息債券 4.05% 2047/8/22</v>
      </c>
      <c r="D196" s="95" t="str">
        <f>VLOOKUP(A196,'銀行-TSS'!A:C,3,FALSE)</f>
        <v>USD</v>
      </c>
      <c r="E196" s="90">
        <f ca="1">VLOOKUP(A196,'銀行-TSS'!A:G,7,FALSE)</f>
        <v>23.14</v>
      </c>
      <c r="F196" s="202">
        <f ca="1">VLOOKUP(A196,'銀行-TSS'!A:H,8,FALSE)</f>
        <v>4.0500000000000001E-2</v>
      </c>
      <c r="G196" s="96">
        <f ca="1">VLOOKUP(A196,'銀行-TSS'!A:K,11,FALSE)</f>
        <v>89.15</v>
      </c>
      <c r="H196" s="1209">
        <f ca="1">VLOOKUP(A196,'銀行-TSS'!A:M,13,FALSE)</f>
        <v>4.9500000000000002E-2</v>
      </c>
      <c r="I196" s="1213">
        <f ca="1">VLOOKUP(A196,'銀行-TSS'!A:N,14,FALSE)</f>
        <v>10000</v>
      </c>
      <c r="J196" s="1213">
        <f ca="1">VLOOKUP(A196,'銀行-TSS'!A:O,15,FALSE)</f>
        <v>1000</v>
      </c>
      <c r="K196" s="136" t="str">
        <f ca="1">VLOOKUP(A196,'銀行-TSS'!A:V,22,FALSE)</f>
        <v>(NPI)非專投</v>
      </c>
      <c r="L196" s="136" t="str">
        <f ca="1">VLOOKUP(A196,'銀行-TSS'!A:AK,37,FALSE)</f>
        <v>有</v>
      </c>
      <c r="M196" s="136" t="str">
        <f ca="1">VLOOKUP(A196,'銀行-TSS'!A:AN,40,FALSE)</f>
        <v/>
      </c>
      <c r="N196" s="1211">
        <f t="shared" ca="1" si="33"/>
        <v>891.5</v>
      </c>
      <c r="O196" s="1211">
        <f t="shared" ca="1" si="34"/>
        <v>8915</v>
      </c>
      <c r="P196" s="1213">
        <f ca="1">IF(AND(換券投組!$D$17&gt;=O196,換券投組!$D$13=D196),I196+INT((換券投組!$D$17-O196)/N196)*J196,0)</f>
        <v>0</v>
      </c>
      <c r="Q196" s="1211">
        <f t="shared" ca="1" si="35"/>
        <v>0</v>
      </c>
      <c r="R196" s="1213">
        <f t="shared" ca="1" si="36"/>
        <v>0</v>
      </c>
      <c r="S196" s="1213">
        <f t="shared" ca="1" si="37"/>
        <v>0</v>
      </c>
      <c r="T196" s="136">
        <f t="shared" ref="T196:T259" ca="1" si="41">IF(OR(R196=0,A196=0),0,IF(V196=TRUE,E196,0))</f>
        <v>0</v>
      </c>
      <c r="U196" s="861">
        <f t="shared" ref="U196:U259" ca="1" si="42">IF(OR(R196=0,A196=0),0,IF(V196=TRUE,H196,0))</f>
        <v>0</v>
      </c>
      <c r="V196" s="136" t="b">
        <f ca="1">IF(OR(D196&lt;&gt;"USD",L196="無",M196&lt;&gt;"",K196="高資產",IFERROR(MATCH(B196,換券投組!K:K,0),"N")&lt;&gt;"N",IFERROR(MATCH(B196,換券投組!J:J,0),"N")&lt;&gt;"N"),FALSE,IF($V$1="All",TRUE,IF(K196=$V$1,TRUE,FALSE)))</f>
        <v>1</v>
      </c>
      <c r="W196" s="136">
        <f ca="1">VLOOKUP(A196,'銀行-TSS'!A:AO,41,FALSE)</f>
        <v>84.190000000000012</v>
      </c>
      <c r="X196" s="136">
        <f ca="1">VLOOKUP(A196,'銀行-TSS'!A:AP,42,FALSE)</f>
        <v>13.8955</v>
      </c>
      <c r="Y196" s="1223">
        <f t="shared" ca="1" si="38"/>
        <v>0</v>
      </c>
      <c r="Z196" s="1211">
        <f t="shared" ca="1" si="39"/>
        <v>0</v>
      </c>
      <c r="AA196" s="136">
        <f ca="1">IF(Z196&lt;=0,0,RANK(Z196,Z:Z)+COUNTIF($Z$3:$Z196,Z196)-1)</f>
        <v>0</v>
      </c>
      <c r="AB196" s="1211">
        <f t="shared" ref="AB196:AB259" ca="1" si="43">IF(A196=0,0,IF(V196=FALSE,0,Y196+IF((P196-$P$1)&lt;0,(P196-$P$1)*0.5,0)))-$AC$1</f>
        <v>0</v>
      </c>
      <c r="AC196" s="136">
        <f ca="1">IF(AB196&lt;=0,0,RANK(AB196,AB:AB)+COUNTIF($AB$3:$AB196,AB196)-1)</f>
        <v>0</v>
      </c>
      <c r="AD196" s="136">
        <f t="shared" ca="1" si="40"/>
        <v>99999</v>
      </c>
      <c r="AE196" s="136">
        <f ca="1">IF(AD196=99999,0,RANK(AD196,AD:AD,1)+COUNTIF($AD$3:$AD196,AD196)-1)</f>
        <v>0</v>
      </c>
    </row>
    <row r="197" spans="1:31">
      <c r="A197" s="141" t="str">
        <f>'銀行-TSS'!A197</f>
        <v>US031162CS70</v>
      </c>
      <c r="B197" s="151" t="str">
        <f ca="1">VLOOKUP(A197,'銀行-TSS'!A:B,2,FALSE)</f>
        <v>XG840</v>
      </c>
      <c r="C197" s="151" t="str">
        <f ca="1">VLOOKUP(B197,bond!B:C,2,FALSE)</f>
        <v>安進公司美元配息債券 3.375% 2050/2/21</v>
      </c>
      <c r="D197" s="95" t="str">
        <f>VLOOKUP(A197,'銀行-TSS'!A:C,3,FALSE)</f>
        <v>USD</v>
      </c>
      <c r="E197" s="90">
        <f ca="1">VLOOKUP(A197,'銀行-TSS'!A:G,7,FALSE)</f>
        <v>25.64</v>
      </c>
      <c r="F197" s="202">
        <f ca="1">VLOOKUP(A197,'銀行-TSS'!A:H,8,FALSE)</f>
        <v>3.3750000000000002E-2</v>
      </c>
      <c r="G197" s="96">
        <f ca="1">VLOOKUP(A197,'銀行-TSS'!A:K,11,FALSE)</f>
        <v>75.33</v>
      </c>
      <c r="H197" s="1209">
        <f ca="1">VLOOKUP(A197,'銀行-TSS'!A:M,13,FALSE)</f>
        <v>5.2200000000000003E-2</v>
      </c>
      <c r="I197" s="1213">
        <f ca="1">VLOOKUP(A197,'銀行-TSS'!A:N,14,FALSE)</f>
        <v>10000</v>
      </c>
      <c r="J197" s="1213">
        <f ca="1">VLOOKUP(A197,'銀行-TSS'!A:O,15,FALSE)</f>
        <v>1000</v>
      </c>
      <c r="K197" s="136" t="str">
        <f ca="1">VLOOKUP(A197,'銀行-TSS'!A:V,22,FALSE)</f>
        <v>(PI)專投</v>
      </c>
      <c r="L197" s="136" t="str">
        <f ca="1">VLOOKUP(A197,'銀行-TSS'!A:AK,37,FALSE)</f>
        <v>有</v>
      </c>
      <c r="M197" s="136" t="str">
        <f ca="1">VLOOKUP(A197,'銀行-TSS'!A:AN,40,FALSE)</f>
        <v>XG840</v>
      </c>
      <c r="N197" s="1211">
        <f t="shared" ca="1" si="33"/>
        <v>753.3</v>
      </c>
      <c r="O197" s="1211">
        <f t="shared" ca="1" si="34"/>
        <v>7533</v>
      </c>
      <c r="P197" s="1213">
        <f ca="1">IF(AND(換券投組!$D$17&gt;=O197,換券投組!$D$13=D197),I197+INT((換券投組!$D$17-O197)/N197)*J197,0)</f>
        <v>0</v>
      </c>
      <c r="Q197" s="1211">
        <f t="shared" ca="1" si="35"/>
        <v>0</v>
      </c>
      <c r="R197" s="1213">
        <f t="shared" ca="1" si="36"/>
        <v>0</v>
      </c>
      <c r="S197" s="1213">
        <f t="shared" ca="1" si="37"/>
        <v>0</v>
      </c>
      <c r="T197" s="136">
        <f t="shared" ca="1" si="41"/>
        <v>0</v>
      </c>
      <c r="U197" s="861">
        <f t="shared" ca="1" si="42"/>
        <v>0</v>
      </c>
      <c r="V197" s="136" t="b">
        <f ca="1">IF(OR(D197&lt;&gt;"USD",L197="無",M197&lt;&gt;"",K197="高資產",IFERROR(MATCH(B197,換券投組!K:K,0),"N")&lt;&gt;"N",IFERROR(MATCH(B197,換券投組!J:J,0),"N")&lt;&gt;"N"),FALSE,IF($V$1="All",TRUE,IF(K197=$V$1,TRUE,FALSE)))</f>
        <v>0</v>
      </c>
      <c r="W197" s="136">
        <f ca="1">VLOOKUP(A197,'銀行-TSS'!A:AO,41,FALSE)</f>
        <v>71.100000000000009</v>
      </c>
      <c r="X197" s="136">
        <f ca="1">VLOOKUP(A197,'銀行-TSS'!A:AP,42,FALSE)</f>
        <v>15.036300000000001</v>
      </c>
      <c r="Y197" s="1223">
        <f t="shared" ca="1" si="38"/>
        <v>0</v>
      </c>
      <c r="Z197" s="1211">
        <f t="shared" ca="1" si="39"/>
        <v>0</v>
      </c>
      <c r="AA197" s="136">
        <f ca="1">IF(Z197&lt;=0,0,RANK(Z197,Z:Z)+COUNTIF($Z$3:$Z197,Z197)-1)</f>
        <v>0</v>
      </c>
      <c r="AB197" s="1211">
        <f t="shared" ca="1" si="43"/>
        <v>0</v>
      </c>
      <c r="AC197" s="136">
        <f ca="1">IF(AB197&lt;=0,0,RANK(AB197,AB:AB)+COUNTIF($AB$3:$AB197,AB197)-1)</f>
        <v>0</v>
      </c>
      <c r="AD197" s="136">
        <f t="shared" ca="1" si="40"/>
        <v>99999</v>
      </c>
      <c r="AE197" s="136">
        <f ca="1">IF(AD197=99999,0,RANK(AD197,AD:AD,1)+COUNTIF($AD$3:$AD197,AD197)-1)</f>
        <v>0</v>
      </c>
    </row>
    <row r="198" spans="1:31">
      <c r="A198" s="141" t="str">
        <f>'銀行-TSS'!A198</f>
        <v>US29446MAG78</v>
      </c>
      <c r="B198" s="151" t="str">
        <f ca="1">VLOOKUP(A198,'銀行-TSS'!A:B,2,FALSE)</f>
        <v>XG850</v>
      </c>
      <c r="C198" s="151" t="str">
        <f ca="1">VLOOKUP(B198,bond!B:C,2,FALSE)</f>
        <v>挪威國家石油公司美元配息債券 3.625% 2040/4/6</v>
      </c>
      <c r="D198" s="95" t="str">
        <f>VLOOKUP(A198,'銀行-TSS'!A:C,3,FALSE)</f>
        <v>USD</v>
      </c>
      <c r="E198" s="90">
        <f ca="1">VLOOKUP(A198,'銀行-TSS'!A:G,7,FALSE)</f>
        <v>15.76</v>
      </c>
      <c r="F198" s="202">
        <f ca="1">VLOOKUP(A198,'銀行-TSS'!A:H,8,FALSE)</f>
        <v>3.6249999999999998E-2</v>
      </c>
      <c r="G198" s="96">
        <f ca="1">VLOOKUP(A198,'銀行-TSS'!A:K,11,FALSE)</f>
        <v>85.09</v>
      </c>
      <c r="H198" s="1209">
        <f ca="1">VLOOKUP(A198,'銀行-TSS'!A:M,13,FALSE)</f>
        <v>5.0900000000000001E-2</v>
      </c>
      <c r="I198" s="1213">
        <f ca="1">VLOOKUP(A198,'銀行-TSS'!A:N,14,FALSE)</f>
        <v>10000</v>
      </c>
      <c r="J198" s="1213">
        <f ca="1">VLOOKUP(A198,'銀行-TSS'!A:O,15,FALSE)</f>
        <v>1000</v>
      </c>
      <c r="K198" s="136" t="str">
        <f ca="1">VLOOKUP(A198,'銀行-TSS'!A:V,22,FALSE)</f>
        <v>(NPI)非專投</v>
      </c>
      <c r="L198" s="136" t="str">
        <f ca="1">VLOOKUP(A198,'銀行-TSS'!A:AK,37,FALSE)</f>
        <v>有</v>
      </c>
      <c r="M198" s="136" t="str">
        <f ca="1">VLOOKUP(A198,'銀行-TSS'!A:AN,40,FALSE)</f>
        <v/>
      </c>
      <c r="N198" s="1211">
        <f t="shared" ca="1" si="33"/>
        <v>850.9</v>
      </c>
      <c r="O198" s="1211">
        <f t="shared" ca="1" si="34"/>
        <v>8509</v>
      </c>
      <c r="P198" s="1213">
        <f ca="1">IF(AND(換券投組!$D$17&gt;=O198,換券投組!$D$13=D198),I198+INT((換券投組!$D$17-O198)/N198)*J198,0)</f>
        <v>0</v>
      </c>
      <c r="Q198" s="1211">
        <f t="shared" ca="1" si="35"/>
        <v>0</v>
      </c>
      <c r="R198" s="1213">
        <f t="shared" ca="1" si="36"/>
        <v>0</v>
      </c>
      <c r="S198" s="1213">
        <f t="shared" ca="1" si="37"/>
        <v>0</v>
      </c>
      <c r="T198" s="136">
        <f t="shared" ca="1" si="41"/>
        <v>0</v>
      </c>
      <c r="U198" s="861">
        <f t="shared" ca="1" si="42"/>
        <v>0</v>
      </c>
      <c r="V198" s="136" t="b">
        <f ca="1">IF(OR(D198&lt;&gt;"USD",L198="無",M198&lt;&gt;"",K198="高資產",IFERROR(MATCH(B198,換券投組!K:K,0),"N")&lt;&gt;"N",IFERROR(MATCH(B198,換券投組!J:J,0),"N")&lt;&gt;"N"),FALSE,IF($V$1="All",TRUE,IF(K198=$V$1,TRUE,FALSE)))</f>
        <v>1</v>
      </c>
      <c r="W198" s="136">
        <f ca="1">VLOOKUP(A198,'銀行-TSS'!A:AO,41,FALSE)</f>
        <v>82.22</v>
      </c>
      <c r="X198" s="136">
        <f ca="1">VLOOKUP(A198,'銀行-TSS'!A:AP,42,FALSE)</f>
        <v>11.2758</v>
      </c>
      <c r="Y198" s="1223">
        <f t="shared" ca="1" si="38"/>
        <v>0</v>
      </c>
      <c r="Z198" s="1211">
        <f t="shared" ca="1" si="39"/>
        <v>0</v>
      </c>
      <c r="AA198" s="136">
        <f ca="1">IF(Z198&lt;=0,0,RANK(Z198,Z:Z)+COUNTIF($Z$3:$Z198,Z198)-1)</f>
        <v>0</v>
      </c>
      <c r="AB198" s="1211">
        <f t="shared" ca="1" si="43"/>
        <v>0</v>
      </c>
      <c r="AC198" s="136">
        <f ca="1">IF(AB198&lt;=0,0,RANK(AB198,AB:AB)+COUNTIF($AB$3:$AB198,AB198)-1)</f>
        <v>0</v>
      </c>
      <c r="AD198" s="136">
        <f t="shared" ca="1" si="40"/>
        <v>99999</v>
      </c>
      <c r="AE198" s="136">
        <f ca="1">IF(AD198=99999,0,RANK(AD198,AD:AD,1)+COUNTIF($AD$3:$AD198,AD198)-1)</f>
        <v>0</v>
      </c>
    </row>
    <row r="199" spans="1:31">
      <c r="A199" s="141" t="str">
        <f>'銀行-TSS'!A199</f>
        <v>USU09513JL42</v>
      </c>
      <c r="B199" s="151" t="str">
        <f ca="1">VLOOKUP(A199,'銀行-TSS'!A:B,2,FALSE)</f>
        <v>XG870</v>
      </c>
      <c r="C199" s="151" t="str">
        <f ca="1">VLOOKUP(B199,bond!B:C,2,FALSE)</f>
        <v>寶馬美國資本有限責任公司美元配息債券 3.7% 2032/4/1</v>
      </c>
      <c r="D199" s="95" t="str">
        <f>VLOOKUP(A199,'銀行-TSS'!A:C,3,FALSE)</f>
        <v>USD</v>
      </c>
      <c r="E199" s="90">
        <f ca="1">VLOOKUP(A199,'銀行-TSS'!A:G,7,FALSE)</f>
        <v>7.75</v>
      </c>
      <c r="F199" s="202">
        <f ca="1">VLOOKUP(A199,'銀行-TSS'!A:H,8,FALSE)</f>
        <v>3.7000000000000005E-2</v>
      </c>
      <c r="G199" s="96">
        <f ca="1">VLOOKUP(A199,'銀行-TSS'!A:K,11,FALSE)</f>
        <v>94.14</v>
      </c>
      <c r="H199" s="1209">
        <f ca="1">VLOOKUP(A199,'銀行-TSS'!A:M,13,FALSE)</f>
        <v>4.7600000000000003E-2</v>
      </c>
      <c r="I199" s="1213">
        <f ca="1">VLOOKUP(A199,'銀行-TSS'!A:N,14,FALSE)</f>
        <v>10000</v>
      </c>
      <c r="J199" s="1213">
        <f ca="1">VLOOKUP(A199,'銀行-TSS'!A:O,15,FALSE)</f>
        <v>1000</v>
      </c>
      <c r="K199" s="136" t="str">
        <f ca="1">VLOOKUP(A199,'銀行-TSS'!A:V,22,FALSE)</f>
        <v>(NPI)非專投</v>
      </c>
      <c r="L199" s="136" t="str">
        <f ca="1">VLOOKUP(A199,'銀行-TSS'!A:AK,37,FALSE)</f>
        <v>需查詢</v>
      </c>
      <c r="M199" s="136" t="str">
        <f ca="1">VLOOKUP(A199,'銀行-TSS'!A:AN,40,FALSE)</f>
        <v/>
      </c>
      <c r="N199" s="1211">
        <f t="shared" ca="1" si="33"/>
        <v>941.4</v>
      </c>
      <c r="O199" s="1211">
        <f t="shared" ca="1" si="34"/>
        <v>9414</v>
      </c>
      <c r="P199" s="1213">
        <f ca="1">IF(AND(換券投組!$D$17&gt;=O199,換券投組!$D$13=D199),I199+INT((換券投組!$D$17-O199)/N199)*J199,0)</f>
        <v>0</v>
      </c>
      <c r="Q199" s="1211">
        <f t="shared" ca="1" si="35"/>
        <v>0</v>
      </c>
      <c r="R199" s="1213">
        <f t="shared" ca="1" si="36"/>
        <v>0</v>
      </c>
      <c r="S199" s="1213">
        <f t="shared" ca="1" si="37"/>
        <v>0</v>
      </c>
      <c r="T199" s="136">
        <f t="shared" ca="1" si="41"/>
        <v>0</v>
      </c>
      <c r="U199" s="861">
        <f t="shared" ca="1" si="42"/>
        <v>0</v>
      </c>
      <c r="V199" s="136" t="b">
        <f ca="1">IF(OR(D199&lt;&gt;"USD",L199="無",M199&lt;&gt;"",K199="高資產",IFERROR(MATCH(B199,換券投組!K:K,0),"N")&lt;&gt;"N",IFERROR(MATCH(B199,換券投組!J:J,0),"N")&lt;&gt;"N"),FALSE,IF($V$1="All",TRUE,IF(K199=$V$1,TRUE,FALSE)))</f>
        <v>1</v>
      </c>
      <c r="W199" s="136">
        <f ca="1">VLOOKUP(A199,'銀行-TSS'!A:AO,41,FALSE)</f>
        <v>91.2</v>
      </c>
      <c r="X199" s="136">
        <f ca="1">VLOOKUP(A199,'銀行-TSS'!A:AP,42,FALSE)</f>
        <v>6.5254000000000003</v>
      </c>
      <c r="Y199" s="1223">
        <f t="shared" ca="1" si="38"/>
        <v>0</v>
      </c>
      <c r="Z199" s="1211">
        <f t="shared" ca="1" si="39"/>
        <v>0</v>
      </c>
      <c r="AA199" s="136">
        <f ca="1">IF(Z199&lt;=0,0,RANK(Z199,Z:Z)+COUNTIF($Z$3:$Z199,Z199)-1)</f>
        <v>0</v>
      </c>
      <c r="AB199" s="1211">
        <f t="shared" ca="1" si="43"/>
        <v>0</v>
      </c>
      <c r="AC199" s="136">
        <f ca="1">IF(AB199&lt;=0,0,RANK(AB199,AB:AB)+COUNTIF($AB$3:$AB199,AB199)-1)</f>
        <v>0</v>
      </c>
      <c r="AD199" s="136">
        <f t="shared" ca="1" si="40"/>
        <v>99999</v>
      </c>
      <c r="AE199" s="136">
        <f ca="1">IF(AD199=99999,0,RANK(AD199,AD:AD,1)+COUNTIF($AD$3:$AD199,AD199)-1)</f>
        <v>0</v>
      </c>
    </row>
    <row r="200" spans="1:31">
      <c r="A200" s="141" t="str">
        <f>'銀行-TSS'!A200</f>
        <v>US747525AJ27</v>
      </c>
      <c r="B200" s="151" t="str">
        <f ca="1">VLOOKUP(A200,'銀行-TSS'!A:B,2,FALSE)</f>
        <v>XG880</v>
      </c>
      <c r="C200" s="151" t="str">
        <f ca="1">VLOOKUP(B200,bond!B:C,2,FALSE)</f>
        <v>高通公司美元配息債券 4.65% 2035/5/20</v>
      </c>
      <c r="D200" s="95" t="str">
        <f>VLOOKUP(A200,'銀行-TSS'!A:C,3,FALSE)</f>
        <v>USD</v>
      </c>
      <c r="E200" s="90">
        <f ca="1">VLOOKUP(A200,'銀行-TSS'!A:G,7,FALSE)</f>
        <v>10.88</v>
      </c>
      <c r="F200" s="202">
        <f ca="1">VLOOKUP(A200,'銀行-TSS'!A:H,8,FALSE)</f>
        <v>4.6500000000000007E-2</v>
      </c>
      <c r="G200" s="96">
        <f ca="1">VLOOKUP(A200,'銀行-TSS'!A:K,11,FALSE)</f>
        <v>100.52</v>
      </c>
      <c r="H200" s="1209">
        <f ca="1">VLOOKUP(A200,'銀行-TSS'!A:M,13,FALSE)</f>
        <v>4.65E-2</v>
      </c>
      <c r="I200" s="1213">
        <f ca="1">VLOOKUP(A200,'銀行-TSS'!A:N,14,FALSE)</f>
        <v>10000</v>
      </c>
      <c r="J200" s="1213">
        <f ca="1">VLOOKUP(A200,'銀行-TSS'!A:O,15,FALSE)</f>
        <v>1000</v>
      </c>
      <c r="K200" s="136" t="str">
        <f ca="1">VLOOKUP(A200,'銀行-TSS'!A:V,22,FALSE)</f>
        <v>(NPI)非專投</v>
      </c>
      <c r="L200" s="136" t="str">
        <f ca="1">VLOOKUP(A200,'銀行-TSS'!A:AK,37,FALSE)</f>
        <v>有</v>
      </c>
      <c r="M200" s="136" t="str">
        <f ca="1">VLOOKUP(A200,'銀行-TSS'!A:AN,40,FALSE)</f>
        <v/>
      </c>
      <c r="N200" s="1211">
        <f t="shared" ca="1" si="33"/>
        <v>1005.2</v>
      </c>
      <c r="O200" s="1211">
        <f t="shared" ca="1" si="34"/>
        <v>10052</v>
      </c>
      <c r="P200" s="1213">
        <f ca="1">IF(AND(換券投組!$D$17&gt;=O200,換券投組!$D$13=D200),I200+INT((換券投組!$D$17-O200)/N200)*J200,0)</f>
        <v>0</v>
      </c>
      <c r="Q200" s="1211">
        <f t="shared" ca="1" si="35"/>
        <v>0</v>
      </c>
      <c r="R200" s="1213">
        <f t="shared" ca="1" si="36"/>
        <v>0</v>
      </c>
      <c r="S200" s="1213">
        <f t="shared" ca="1" si="37"/>
        <v>0</v>
      </c>
      <c r="T200" s="136">
        <f t="shared" ca="1" si="41"/>
        <v>0</v>
      </c>
      <c r="U200" s="861">
        <f t="shared" ca="1" si="42"/>
        <v>0</v>
      </c>
      <c r="V200" s="136" t="b">
        <f ca="1">IF(OR(D200&lt;&gt;"USD",L200="無",M200&lt;&gt;"",K200="高資產",IFERROR(MATCH(B200,換券投組!K:K,0),"N")&lt;&gt;"N",IFERROR(MATCH(B200,換券投組!J:J,0),"N")&lt;&gt;"N"),FALSE,IF($V$1="All",TRUE,IF(K200=$V$1,TRUE,FALSE)))</f>
        <v>1</v>
      </c>
      <c r="W200" s="136">
        <f ca="1">VLOOKUP(A200,'銀行-TSS'!A:AO,41,FALSE)</f>
        <v>97.98</v>
      </c>
      <c r="X200" s="136">
        <f ca="1">VLOOKUP(A200,'銀行-TSS'!A:AP,42,FALSE)</f>
        <v>8.3945000000000007</v>
      </c>
      <c r="Y200" s="1223">
        <f t="shared" ca="1" si="38"/>
        <v>0</v>
      </c>
      <c r="Z200" s="1211">
        <f t="shared" ca="1" si="39"/>
        <v>0</v>
      </c>
      <c r="AA200" s="136">
        <f ca="1">IF(Z200&lt;=0,0,RANK(Z200,Z:Z)+COUNTIF($Z$3:$Z200,Z200)-1)</f>
        <v>0</v>
      </c>
      <c r="AB200" s="1211">
        <f t="shared" ca="1" si="43"/>
        <v>0</v>
      </c>
      <c r="AC200" s="136">
        <f ca="1">IF(AB200&lt;=0,0,RANK(AB200,AB:AB)+COUNTIF($AB$3:$AB200,AB200)-1)</f>
        <v>0</v>
      </c>
      <c r="AD200" s="136">
        <f t="shared" ca="1" si="40"/>
        <v>99999</v>
      </c>
      <c r="AE200" s="136">
        <f ca="1">IF(AD200=99999,0,RANK(AD200,AD:AD,1)+COUNTIF($AD$3:$AD200,AD200)-1)</f>
        <v>0</v>
      </c>
    </row>
    <row r="201" spans="1:31">
      <c r="A201" s="141" t="str">
        <f>'銀行-TSS'!A201</f>
        <v>US20030NDH17</v>
      </c>
      <c r="B201" s="151" t="str">
        <f ca="1">VLOOKUP(A201,'銀行-TSS'!A:B,2,FALSE)</f>
        <v>XG890</v>
      </c>
      <c r="C201" s="151" t="str">
        <f ca="1">VLOOKUP(B201,bond!B:C,2,FALSE)</f>
        <v>康卡斯特公司美元配息債券 3.75% 2040/4/1</v>
      </c>
      <c r="D201" s="95" t="str">
        <f>VLOOKUP(A201,'銀行-TSS'!A:C,3,FALSE)</f>
        <v>USD</v>
      </c>
      <c r="E201" s="90">
        <f ca="1">VLOOKUP(A201,'銀行-TSS'!A:G,7,FALSE)</f>
        <v>15.75</v>
      </c>
      <c r="F201" s="202">
        <f ca="1">VLOOKUP(A201,'銀行-TSS'!A:H,8,FALSE)</f>
        <v>3.7499999999999999E-2</v>
      </c>
      <c r="G201" s="96">
        <f ca="1">VLOOKUP(A201,'銀行-TSS'!A:K,11,FALSE)</f>
        <v>84.83</v>
      </c>
      <c r="H201" s="1209">
        <f ca="1">VLOOKUP(A201,'銀行-TSS'!A:M,13,FALSE)</f>
        <v>5.2699999999999997E-2</v>
      </c>
      <c r="I201" s="1213">
        <f ca="1">VLOOKUP(A201,'銀行-TSS'!A:N,14,FALSE)</f>
        <v>10000</v>
      </c>
      <c r="J201" s="1213">
        <f ca="1">VLOOKUP(A201,'銀行-TSS'!A:O,15,FALSE)</f>
        <v>1000</v>
      </c>
      <c r="K201" s="136" t="str">
        <f ca="1">VLOOKUP(A201,'銀行-TSS'!A:V,22,FALSE)</f>
        <v>(NPI)非專投</v>
      </c>
      <c r="L201" s="136" t="str">
        <f ca="1">VLOOKUP(A201,'銀行-TSS'!A:AK,37,FALSE)</f>
        <v>有</v>
      </c>
      <c r="M201" s="136" t="str">
        <f ca="1">VLOOKUP(A201,'銀行-TSS'!A:AN,40,FALSE)</f>
        <v/>
      </c>
      <c r="N201" s="1211">
        <f t="shared" ca="1" si="33"/>
        <v>848.3</v>
      </c>
      <c r="O201" s="1211">
        <f t="shared" ca="1" si="34"/>
        <v>8483</v>
      </c>
      <c r="P201" s="1213">
        <f ca="1">IF(AND(換券投組!$D$17&gt;=O201,換券投組!$D$13=D201),I201+INT((換券投組!$D$17-O201)/N201)*J201,0)</f>
        <v>0</v>
      </c>
      <c r="Q201" s="1211">
        <f t="shared" ca="1" si="35"/>
        <v>0</v>
      </c>
      <c r="R201" s="1213">
        <f t="shared" ca="1" si="36"/>
        <v>0</v>
      </c>
      <c r="S201" s="1213">
        <f t="shared" ca="1" si="37"/>
        <v>0</v>
      </c>
      <c r="T201" s="136">
        <f t="shared" ca="1" si="41"/>
        <v>0</v>
      </c>
      <c r="U201" s="861">
        <f t="shared" ca="1" si="42"/>
        <v>0</v>
      </c>
      <c r="V201" s="136" t="b">
        <f ca="1">IF(OR(D201&lt;&gt;"USD",L201="無",M201&lt;&gt;"",K201="高資產",IFERROR(MATCH(B201,換券投組!K:K,0),"N")&lt;&gt;"N",IFERROR(MATCH(B201,換券投組!J:J,0),"N")&lt;&gt;"N"),FALSE,IF($V$1="All",TRUE,IF(K201=$V$1,TRUE,FALSE)))</f>
        <v>1</v>
      </c>
      <c r="W201" s="136">
        <f ca="1">VLOOKUP(A201,'銀行-TSS'!A:AO,41,FALSE)</f>
        <v>81.88</v>
      </c>
      <c r="X201" s="136">
        <f ca="1">VLOOKUP(A201,'銀行-TSS'!A:AP,42,FALSE)</f>
        <v>11.1547</v>
      </c>
      <c r="Y201" s="1223">
        <f t="shared" ca="1" si="38"/>
        <v>0</v>
      </c>
      <c r="Z201" s="1211">
        <f t="shared" ca="1" si="39"/>
        <v>0</v>
      </c>
      <c r="AA201" s="136">
        <f ca="1">IF(Z201&lt;=0,0,RANK(Z201,Z:Z)+COUNTIF($Z$3:$Z201,Z201)-1)</f>
        <v>0</v>
      </c>
      <c r="AB201" s="1211">
        <f t="shared" ca="1" si="43"/>
        <v>0</v>
      </c>
      <c r="AC201" s="136">
        <f ca="1">IF(AB201&lt;=0,0,RANK(AB201,AB:AB)+COUNTIF($AB$3:$AB201,AB201)-1)</f>
        <v>0</v>
      </c>
      <c r="AD201" s="136">
        <f t="shared" ca="1" si="40"/>
        <v>99999</v>
      </c>
      <c r="AE201" s="136">
        <f ca="1">IF(AD201=99999,0,RANK(AD201,AD:AD,1)+COUNTIF($AD$3:$AD201,AD201)-1)</f>
        <v>0</v>
      </c>
    </row>
    <row r="202" spans="1:31">
      <c r="A202" s="141" t="str">
        <f>'銀行-TSS'!A202</f>
        <v>US254687FY73</v>
      </c>
      <c r="B202" s="151" t="str">
        <f ca="1">VLOOKUP(A202,'銀行-TSS'!A:B,2,FALSE)</f>
        <v>XG900</v>
      </c>
      <c r="C202" s="151" t="str">
        <f ca="1">VLOOKUP(B202,bond!B:C,2,FALSE)</f>
        <v>華特迪士尼公司美元配息債券 3.5% 2040/5/13</v>
      </c>
      <c r="D202" s="95" t="str">
        <f>VLOOKUP(A202,'銀行-TSS'!A:C,3,FALSE)</f>
        <v>USD</v>
      </c>
      <c r="E202" s="90">
        <f ca="1">VLOOKUP(A202,'銀行-TSS'!A:G,7,FALSE)</f>
        <v>15.86</v>
      </c>
      <c r="F202" s="202">
        <f ca="1">VLOOKUP(A202,'銀行-TSS'!A:H,8,FALSE)</f>
        <v>3.5000000000000003E-2</v>
      </c>
      <c r="G202" s="96">
        <f ca="1">VLOOKUP(A202,'銀行-TSS'!A:K,11,FALSE)</f>
        <v>82.97</v>
      </c>
      <c r="H202" s="1209">
        <f ca="1">VLOOKUP(A202,'銀行-TSS'!A:M,13,FALSE)</f>
        <v>5.1299999999999998E-2</v>
      </c>
      <c r="I202" s="1213">
        <f ca="1">VLOOKUP(A202,'銀行-TSS'!A:N,14,FALSE)</f>
        <v>2000</v>
      </c>
      <c r="J202" s="1213">
        <f ca="1">VLOOKUP(A202,'銀行-TSS'!A:O,15,FALSE)</f>
        <v>1000</v>
      </c>
      <c r="K202" s="136" t="str">
        <f ca="1">VLOOKUP(A202,'銀行-TSS'!A:V,22,FALSE)</f>
        <v>(NPI)非專投</v>
      </c>
      <c r="L202" s="136" t="str">
        <f ca="1">VLOOKUP(A202,'銀行-TSS'!A:AK,37,FALSE)</f>
        <v>有</v>
      </c>
      <c r="M202" s="136" t="str">
        <f ca="1">VLOOKUP(A202,'銀行-TSS'!A:AN,40,FALSE)</f>
        <v/>
      </c>
      <c r="N202" s="1211">
        <f t="shared" ref="N202:N265" ca="1" si="44">G202*J202/100</f>
        <v>829.7</v>
      </c>
      <c r="O202" s="1211">
        <f t="shared" ref="O202:O265" ca="1" si="45">G202*I202/100</f>
        <v>1659.4</v>
      </c>
      <c r="P202" s="1213">
        <f ca="1">IF(AND(換券投組!$D$17&gt;=O202,換券投組!$D$13=D202),I202+INT((換券投組!$D$17-O202)/N202)*J202,0)</f>
        <v>0</v>
      </c>
      <c r="Q202" s="1211">
        <f t="shared" ref="Q202:Q265" ca="1" si="46">P202*F202</f>
        <v>0</v>
      </c>
      <c r="R202" s="1213">
        <f t="shared" ref="R202:R265" ca="1" si="47">IF(A202=0,0,IF(V202=FALSE,0,P202))</f>
        <v>0</v>
      </c>
      <c r="S202" s="1213">
        <f t="shared" ref="S202:S265" ca="1" si="48">IF(A202=0,0,IF(V202=FALSE,0,Q202))</f>
        <v>0</v>
      </c>
      <c r="T202" s="136">
        <f t="shared" ca="1" si="41"/>
        <v>0</v>
      </c>
      <c r="U202" s="861">
        <f t="shared" ca="1" si="42"/>
        <v>0</v>
      </c>
      <c r="V202" s="136" t="b">
        <f ca="1">IF(OR(D202&lt;&gt;"USD",L202="無",M202&lt;&gt;"",K202="高資產",IFERROR(MATCH(B202,換券投組!K:K,0),"N")&lt;&gt;"N",IFERROR(MATCH(B202,換券投組!J:J,0),"N")&lt;&gt;"N"),FALSE,IF($V$1="All",TRUE,IF(K202=$V$1,TRUE,FALSE)))</f>
        <v>1</v>
      </c>
      <c r="W202" s="136">
        <f ca="1">VLOOKUP(A202,'銀行-TSS'!A:AO,41,FALSE)</f>
        <v>80.490000000000009</v>
      </c>
      <c r="X202" s="136">
        <f ca="1">VLOOKUP(A202,'銀行-TSS'!A:AP,42,FALSE)</f>
        <v>11.464399999999999</v>
      </c>
      <c r="Y202" s="1223">
        <f t="shared" ref="Y202:Y265" ca="1" si="49">IF(A202=0,0,IF(V202=FALSE,0,IFERROR(W202/100*P202*X202*1%,0)))</f>
        <v>0</v>
      </c>
      <c r="Z202" s="1211">
        <f t="shared" ref="Z202:Z265" ca="1" si="50">IF(A202=0,0,IF(V202=FALSE,0,IF(OR(Q202&lt;$Y$1,E202&lt;5)=FALSE,(Q202-$Q$1)*MIN(3,E202)*(1-MIN(1/(2*E202),1))+IF((P202-$P$1)&lt;0,(P202-$P$1),((P202-$P$1)*MIN(1/(2*E202),1))),0)))</f>
        <v>0</v>
      </c>
      <c r="AA202" s="136">
        <f ca="1">IF(Z202&lt;=0,0,RANK(Z202,Z:Z)+COUNTIF($Z$3:$Z202,Z202)-1)</f>
        <v>0</v>
      </c>
      <c r="AB202" s="1211">
        <f t="shared" ca="1" si="43"/>
        <v>0</v>
      </c>
      <c r="AC202" s="136">
        <f ca="1">IF(AB202&lt;=0,0,RANK(AB202,AB:AB)+COUNTIF($AB$3:$AB202,AB202)-1)</f>
        <v>0</v>
      </c>
      <c r="AD202" s="136">
        <f t="shared" ref="AD202:AD265" ca="1" si="51">IF(A202=0,99999,IF(OR(V202=FALSE,AA202=0,AC202=0),99999,(AC202+AA202)/2))</f>
        <v>99999</v>
      </c>
      <c r="AE202" s="136">
        <f ca="1">IF(AD202=99999,0,RANK(AD202,AD:AD,1)+COUNTIF($AD$3:$AD202,AD202)-1)</f>
        <v>0</v>
      </c>
    </row>
    <row r="203" spans="1:31">
      <c r="A203" s="141" t="str">
        <f>'銀行-TSS'!A203</f>
        <v>US961214DW04</v>
      </c>
      <c r="B203" s="151" t="str">
        <f ca="1">VLOOKUP(A203,'銀行-TSS'!A:B,2,FALSE)</f>
        <v>XG910</v>
      </c>
      <c r="C203" s="151" t="str">
        <f ca="1">VLOOKUP(B203,bond!B:C,2,FALSE)</f>
        <v>西太平洋銀行公司美元配息債券 3.4% 2028/1/25</v>
      </c>
      <c r="D203" s="95" t="str">
        <f>VLOOKUP(A203,'銀行-TSS'!A:C,3,FALSE)</f>
        <v>USD</v>
      </c>
      <c r="E203" s="90">
        <f ca="1">VLOOKUP(A203,'銀行-TSS'!A:G,7,FALSE)</f>
        <v>3.56</v>
      </c>
      <c r="F203" s="202">
        <f ca="1">VLOOKUP(A203,'銀行-TSS'!A:H,8,FALSE)</f>
        <v>3.4000000000000002E-2</v>
      </c>
      <c r="G203" s="96">
        <f ca="1">VLOOKUP(A203,'銀行-TSS'!A:K,11,FALSE)</f>
        <v>98.63</v>
      </c>
      <c r="H203" s="1209">
        <f ca="1">VLOOKUP(A203,'銀行-TSS'!A:M,13,FALSE)</f>
        <v>4.2700000000000002E-2</v>
      </c>
      <c r="I203" s="1213">
        <f ca="1">VLOOKUP(A203,'銀行-TSS'!A:N,14,FALSE)</f>
        <v>10000</v>
      </c>
      <c r="J203" s="1213">
        <f ca="1">VLOOKUP(A203,'銀行-TSS'!A:O,15,FALSE)</f>
        <v>1000</v>
      </c>
      <c r="K203" s="136" t="str">
        <f ca="1">VLOOKUP(A203,'銀行-TSS'!A:V,22,FALSE)</f>
        <v>(NPI)非專投</v>
      </c>
      <c r="L203" s="136" t="str">
        <f ca="1">VLOOKUP(A203,'銀行-TSS'!A:AK,37,FALSE)</f>
        <v>有</v>
      </c>
      <c r="M203" s="136" t="str">
        <f ca="1">VLOOKUP(A203,'銀行-TSS'!A:AN,40,FALSE)</f>
        <v/>
      </c>
      <c r="N203" s="1211">
        <f t="shared" ca="1" si="44"/>
        <v>986.3</v>
      </c>
      <c r="O203" s="1211">
        <f t="shared" ca="1" si="45"/>
        <v>9863</v>
      </c>
      <c r="P203" s="1213">
        <f ca="1">IF(AND(換券投組!$D$17&gt;=O203,換券投組!$D$13=D203),I203+INT((換券投組!$D$17-O203)/N203)*J203,0)</f>
        <v>0</v>
      </c>
      <c r="Q203" s="1211">
        <f t="shared" ca="1" si="46"/>
        <v>0</v>
      </c>
      <c r="R203" s="1213">
        <f t="shared" ca="1" si="47"/>
        <v>0</v>
      </c>
      <c r="S203" s="1213">
        <f t="shared" ca="1" si="48"/>
        <v>0</v>
      </c>
      <c r="T203" s="136">
        <f t="shared" ca="1" si="41"/>
        <v>0</v>
      </c>
      <c r="U203" s="861">
        <f t="shared" ca="1" si="42"/>
        <v>0</v>
      </c>
      <c r="V203" s="136" t="b">
        <f ca="1">IF(OR(D203&lt;&gt;"USD",L203="無",M203&lt;&gt;"",K203="高資產",IFERROR(MATCH(B203,換券投組!K:K,0),"N")&lt;&gt;"N",IFERROR(MATCH(B203,換券投組!J:J,0),"N")&lt;&gt;"N"),FALSE,IF($V$1="All",TRUE,IF(K203=$V$1,TRUE,FALSE)))</f>
        <v>1</v>
      </c>
      <c r="W203" s="136">
        <f ca="1">VLOOKUP(A203,'銀行-TSS'!A:AO,41,FALSE)</f>
        <v>95.65</v>
      </c>
      <c r="X203" s="136">
        <f ca="1">VLOOKUP(A203,'銀行-TSS'!A:AP,42,FALSE)</f>
        <v>3.2559</v>
      </c>
      <c r="Y203" s="1223">
        <f t="shared" ca="1" si="49"/>
        <v>0</v>
      </c>
      <c r="Z203" s="1211">
        <f t="shared" ca="1" si="50"/>
        <v>0</v>
      </c>
      <c r="AA203" s="136">
        <f ca="1">IF(Z203&lt;=0,0,RANK(Z203,Z:Z)+COUNTIF($Z$3:$Z203,Z203)-1)</f>
        <v>0</v>
      </c>
      <c r="AB203" s="1211">
        <f t="shared" ca="1" si="43"/>
        <v>0</v>
      </c>
      <c r="AC203" s="136">
        <f ca="1">IF(AB203&lt;=0,0,RANK(AB203,AB:AB)+COUNTIF($AB$3:$AB203,AB203)-1)</f>
        <v>0</v>
      </c>
      <c r="AD203" s="136">
        <f t="shared" ca="1" si="51"/>
        <v>99999</v>
      </c>
      <c r="AE203" s="136">
        <f ca="1">IF(AD203=99999,0,RANK(AD203,AD:AD,1)+COUNTIF($AD$3:$AD203,AD203)-1)</f>
        <v>0</v>
      </c>
    </row>
    <row r="204" spans="1:31">
      <c r="A204" s="141" t="str">
        <f>'銀行-TSS'!A204</f>
        <v>US084670BK32</v>
      </c>
      <c r="B204" s="151" t="str">
        <f ca="1">VLOOKUP(A204,'銀行-TSS'!A:B,2,FALSE)</f>
        <v>XG930</v>
      </c>
      <c r="C204" s="151" t="str">
        <f ca="1">VLOOKUP(B204,bond!B:C,2,FALSE)</f>
        <v>波克夏海瑟威公司美元配息債券 4.5% 2043/2/11</v>
      </c>
      <c r="D204" s="95" t="str">
        <f>VLOOKUP(A204,'銀行-TSS'!A:C,3,FALSE)</f>
        <v>USD</v>
      </c>
      <c r="E204" s="90">
        <f ca="1">VLOOKUP(A204,'銀行-TSS'!A:G,7,FALSE)</f>
        <v>18.61</v>
      </c>
      <c r="F204" s="202">
        <f ca="1">VLOOKUP(A204,'銀行-TSS'!A:H,8,FALSE)</f>
        <v>4.4999999999999998E-2</v>
      </c>
      <c r="G204" s="96">
        <f ca="1">VLOOKUP(A204,'銀行-TSS'!A:K,11,FALSE)</f>
        <v>97.83</v>
      </c>
      <c r="H204" s="1209">
        <f ca="1">VLOOKUP(A204,'銀行-TSS'!A:M,13,FALSE)</f>
        <v>4.82E-2</v>
      </c>
      <c r="I204" s="1213">
        <f ca="1">VLOOKUP(A204,'銀行-TSS'!A:N,14,FALSE)</f>
        <v>2000</v>
      </c>
      <c r="J204" s="1213">
        <f ca="1">VLOOKUP(A204,'銀行-TSS'!A:O,15,FALSE)</f>
        <v>1000</v>
      </c>
      <c r="K204" s="136" t="str">
        <f ca="1">VLOOKUP(A204,'銀行-TSS'!A:V,22,FALSE)</f>
        <v>(NPI)非專投</v>
      </c>
      <c r="L204" s="136" t="str">
        <f ca="1">VLOOKUP(A204,'銀行-TSS'!A:AK,37,FALSE)</f>
        <v>有</v>
      </c>
      <c r="M204" s="136" t="str">
        <f ca="1">VLOOKUP(A204,'銀行-TSS'!A:AN,40,FALSE)</f>
        <v/>
      </c>
      <c r="N204" s="1211">
        <f t="shared" ca="1" si="44"/>
        <v>978.3</v>
      </c>
      <c r="O204" s="1211">
        <f t="shared" ca="1" si="45"/>
        <v>1956.6</v>
      </c>
      <c r="P204" s="1213">
        <f ca="1">IF(AND(換券投組!$D$17&gt;=O204,換券投組!$D$13=D204),I204+INT((換券投組!$D$17-O204)/N204)*J204,0)</f>
        <v>0</v>
      </c>
      <c r="Q204" s="1211">
        <f t="shared" ca="1" si="46"/>
        <v>0</v>
      </c>
      <c r="R204" s="1213">
        <f t="shared" ca="1" si="47"/>
        <v>0</v>
      </c>
      <c r="S204" s="1213">
        <f t="shared" ca="1" si="48"/>
        <v>0</v>
      </c>
      <c r="T204" s="136">
        <f t="shared" ca="1" si="41"/>
        <v>0</v>
      </c>
      <c r="U204" s="861">
        <f t="shared" ca="1" si="42"/>
        <v>0</v>
      </c>
      <c r="V204" s="136" t="b">
        <f ca="1">IF(OR(D204&lt;&gt;"USD",L204="無",M204&lt;&gt;"",K204="高資產",IFERROR(MATCH(B204,換券投組!K:K,0),"N")&lt;&gt;"N",IFERROR(MATCH(B204,換券投組!J:J,0),"N")&lt;&gt;"N"),FALSE,IF($V$1="All",TRUE,IF(K204=$V$1,TRUE,FALSE)))</f>
        <v>1</v>
      </c>
      <c r="W204" s="136">
        <f ca="1">VLOOKUP(A204,'銀行-TSS'!A:AO,41,FALSE)</f>
        <v>93.570000000000007</v>
      </c>
      <c r="X204" s="136">
        <f ca="1">VLOOKUP(A204,'銀行-TSS'!A:AP,42,FALSE)</f>
        <v>12.057</v>
      </c>
      <c r="Y204" s="1223">
        <f t="shared" ca="1" si="49"/>
        <v>0</v>
      </c>
      <c r="Z204" s="1211">
        <f t="shared" ca="1" si="50"/>
        <v>0</v>
      </c>
      <c r="AA204" s="136">
        <f ca="1">IF(Z204&lt;=0,0,RANK(Z204,Z:Z)+COUNTIF($Z$3:$Z204,Z204)-1)</f>
        <v>0</v>
      </c>
      <c r="AB204" s="1211">
        <f t="shared" ca="1" si="43"/>
        <v>0</v>
      </c>
      <c r="AC204" s="136">
        <f ca="1">IF(AB204&lt;=0,0,RANK(AB204,AB:AB)+COUNTIF($AB$3:$AB204,AB204)-1)</f>
        <v>0</v>
      </c>
      <c r="AD204" s="136">
        <f t="shared" ca="1" si="51"/>
        <v>99999</v>
      </c>
      <c r="AE204" s="136">
        <f ca="1">IF(AD204=99999,0,RANK(AD204,AD:AD,1)+COUNTIF($AD$3:$AD204,AD204)-1)</f>
        <v>0</v>
      </c>
    </row>
    <row r="205" spans="1:31">
      <c r="A205" s="141" t="str">
        <f>'銀行-TSS'!A205</f>
        <v>US17275RAD44</v>
      </c>
      <c r="B205" s="151" t="str">
        <f ca="1">VLOOKUP(A205,'銀行-TSS'!A:B,2,FALSE)</f>
        <v>XG940</v>
      </c>
      <c r="C205" s="151" t="str">
        <f ca="1">VLOOKUP(B205,bond!B:C,2,FALSE)</f>
        <v>思科系統股份有限公司美元配息債券 5.9% 2039/2/15</v>
      </c>
      <c r="D205" s="95" t="str">
        <f>VLOOKUP(A205,'銀行-TSS'!A:C,3,FALSE)</f>
        <v>USD</v>
      </c>
      <c r="E205" s="90">
        <f ca="1">VLOOKUP(A205,'銀行-TSS'!A:G,7,FALSE)</f>
        <v>14.62</v>
      </c>
      <c r="F205" s="202">
        <f ca="1">VLOOKUP(A205,'銀行-TSS'!A:H,8,FALSE)</f>
        <v>5.9000000000000004E-2</v>
      </c>
      <c r="G205" s="96">
        <f ca="1">VLOOKUP(A205,'銀行-TSS'!A:K,11,FALSE)</f>
        <v>111.06</v>
      </c>
      <c r="H205" s="1209">
        <f ca="1">VLOOKUP(A205,'銀行-TSS'!A:M,13,FALSE)</f>
        <v>5.04E-2</v>
      </c>
      <c r="I205" s="1213">
        <f ca="1">VLOOKUP(A205,'銀行-TSS'!A:N,14,FALSE)</f>
        <v>10000</v>
      </c>
      <c r="J205" s="1213">
        <f ca="1">VLOOKUP(A205,'銀行-TSS'!A:O,15,FALSE)</f>
        <v>1000</v>
      </c>
      <c r="K205" s="136" t="str">
        <f ca="1">VLOOKUP(A205,'銀行-TSS'!A:V,22,FALSE)</f>
        <v>(NPI)非專投</v>
      </c>
      <c r="L205" s="136" t="str">
        <f ca="1">VLOOKUP(A205,'銀行-TSS'!A:AK,37,FALSE)</f>
        <v>有</v>
      </c>
      <c r="M205" s="136" t="str">
        <f ca="1">VLOOKUP(A205,'銀行-TSS'!A:AN,40,FALSE)</f>
        <v/>
      </c>
      <c r="N205" s="1211">
        <f t="shared" ca="1" si="44"/>
        <v>1110.5999999999999</v>
      </c>
      <c r="O205" s="1211">
        <f t="shared" ca="1" si="45"/>
        <v>11106</v>
      </c>
      <c r="P205" s="1213">
        <f ca="1">IF(AND(換券投組!$D$17&gt;=O205,換券投組!$D$13=D205),I205+INT((換券投組!$D$17-O205)/N205)*J205,0)</f>
        <v>0</v>
      </c>
      <c r="Q205" s="1211">
        <f t="shared" ca="1" si="46"/>
        <v>0</v>
      </c>
      <c r="R205" s="1213">
        <f t="shared" ca="1" si="47"/>
        <v>0</v>
      </c>
      <c r="S205" s="1213">
        <f t="shared" ca="1" si="48"/>
        <v>0</v>
      </c>
      <c r="T205" s="136">
        <f t="shared" ca="1" si="41"/>
        <v>0</v>
      </c>
      <c r="U205" s="861">
        <f t="shared" ca="1" si="42"/>
        <v>0</v>
      </c>
      <c r="V205" s="136" t="b">
        <f ca="1">IF(OR(D205&lt;&gt;"USD",L205="無",M205&lt;&gt;"",K205="高資產",IFERROR(MATCH(B205,換券投組!K:K,0),"N")&lt;&gt;"N",IFERROR(MATCH(B205,換券投組!J:J,0),"N")&lt;&gt;"N"),FALSE,IF($V$1="All",TRUE,IF(K205=$V$1,TRUE,FALSE)))</f>
        <v>1</v>
      </c>
      <c r="W205" s="136">
        <f ca="1">VLOOKUP(A205,'銀行-TSS'!A:AO,41,FALSE)</f>
        <v>106.81</v>
      </c>
      <c r="X205" s="136">
        <f ca="1">VLOOKUP(A205,'銀行-TSS'!A:AP,42,FALSE)</f>
        <v>9.7140000000000004</v>
      </c>
      <c r="Y205" s="1223">
        <f t="shared" ca="1" si="49"/>
        <v>0</v>
      </c>
      <c r="Z205" s="1211">
        <f t="shared" ca="1" si="50"/>
        <v>0</v>
      </c>
      <c r="AA205" s="136">
        <f ca="1">IF(Z205&lt;=0,0,RANK(Z205,Z:Z)+COUNTIF($Z$3:$Z205,Z205)-1)</f>
        <v>0</v>
      </c>
      <c r="AB205" s="1211">
        <f t="shared" ca="1" si="43"/>
        <v>0</v>
      </c>
      <c r="AC205" s="136">
        <f ca="1">IF(AB205&lt;=0,0,RANK(AB205,AB:AB)+COUNTIF($AB$3:$AB205,AB205)-1)</f>
        <v>0</v>
      </c>
      <c r="AD205" s="136">
        <f t="shared" ca="1" si="51"/>
        <v>99999</v>
      </c>
      <c r="AE205" s="136">
        <f ca="1">IF(AD205=99999,0,RANK(AD205,AD:AD,1)+COUNTIF($AD$3:$AD205,AD205)-1)</f>
        <v>0</v>
      </c>
    </row>
    <row r="206" spans="1:31">
      <c r="A206" s="141" t="str">
        <f>'銀行-TSS'!A206</f>
        <v>US172967KN09</v>
      </c>
      <c r="B206" s="151" t="str">
        <f ca="1">VLOOKUP(A206,'銀行-TSS'!A:B,2,FALSE)</f>
        <v>XG950</v>
      </c>
      <c r="C206" s="151" t="str">
        <f ca="1">VLOOKUP(B206,bond!B:C,2,FALSE)</f>
        <v>花旗集團美元配息債券 3.4% 2026/5/1</v>
      </c>
      <c r="D206" s="95" t="str">
        <f>VLOOKUP(A206,'銀行-TSS'!A:C,3,FALSE)</f>
        <v>USD</v>
      </c>
      <c r="E206" s="90">
        <f ca="1">VLOOKUP(A206,'銀行-TSS'!A:G,7,FALSE)</f>
        <v>1.83</v>
      </c>
      <c r="F206" s="202">
        <f ca="1">VLOOKUP(A206,'銀行-TSS'!A:H,8,FALSE)</f>
        <v>3.4000000000000002E-2</v>
      </c>
      <c r="G206" s="96">
        <f ca="1">VLOOKUP(A206,'銀行-TSS'!A:K,11,FALSE)</f>
        <v>98.36</v>
      </c>
      <c r="H206" s="1209">
        <f ca="1">VLOOKUP(A206,'銀行-TSS'!A:M,13,FALSE)</f>
        <v>4.6800000000000001E-2</v>
      </c>
      <c r="I206" s="1213">
        <f ca="1">VLOOKUP(A206,'銀行-TSS'!A:N,14,FALSE)</f>
        <v>10000</v>
      </c>
      <c r="J206" s="1213">
        <f ca="1">VLOOKUP(A206,'銀行-TSS'!A:O,15,FALSE)</f>
        <v>1000</v>
      </c>
      <c r="K206" s="136" t="str">
        <f ca="1">VLOOKUP(A206,'銀行-TSS'!A:V,22,FALSE)</f>
        <v>(PI)專投</v>
      </c>
      <c r="L206" s="136" t="str">
        <f ca="1">VLOOKUP(A206,'銀行-TSS'!A:AK,37,FALSE)</f>
        <v>有</v>
      </c>
      <c r="M206" s="136" t="str">
        <f ca="1">VLOOKUP(A206,'銀行-TSS'!A:AN,40,FALSE)</f>
        <v/>
      </c>
      <c r="N206" s="1211">
        <f t="shared" ca="1" si="44"/>
        <v>983.6</v>
      </c>
      <c r="O206" s="1211">
        <f t="shared" ca="1" si="45"/>
        <v>9836</v>
      </c>
      <c r="P206" s="1213">
        <f ca="1">IF(AND(換券投組!$D$17&gt;=O206,換券投組!$D$13=D206),I206+INT((換券投組!$D$17-O206)/N206)*J206,0)</f>
        <v>0</v>
      </c>
      <c r="Q206" s="1211">
        <f t="shared" ca="1" si="46"/>
        <v>0</v>
      </c>
      <c r="R206" s="1213">
        <f t="shared" ca="1" si="47"/>
        <v>0</v>
      </c>
      <c r="S206" s="1213">
        <f t="shared" ca="1" si="48"/>
        <v>0</v>
      </c>
      <c r="T206" s="136">
        <f t="shared" ca="1" si="41"/>
        <v>0</v>
      </c>
      <c r="U206" s="861">
        <f t="shared" ca="1" si="42"/>
        <v>0</v>
      </c>
      <c r="V206" s="136" t="b">
        <f ca="1">IF(OR(D206&lt;&gt;"USD",L206="無",M206&lt;&gt;"",K206="高資產",IFERROR(MATCH(B206,換券投組!K:K,0),"N")&lt;&gt;"N",IFERROR(MATCH(B206,換券投組!J:J,0),"N")&lt;&gt;"N"),FALSE,IF($V$1="All",TRUE,IF(K206=$V$1,TRUE,FALSE)))</f>
        <v>1</v>
      </c>
      <c r="W206" s="136">
        <f ca="1">VLOOKUP(A206,'銀行-TSS'!A:AO,41,FALSE)</f>
        <v>96.98</v>
      </c>
      <c r="X206" s="136">
        <f ca="1">VLOOKUP(A206,'銀行-TSS'!A:AP,42,FALSE)</f>
        <v>1.7363</v>
      </c>
      <c r="Y206" s="1223">
        <f t="shared" ca="1" si="49"/>
        <v>0</v>
      </c>
      <c r="Z206" s="1211">
        <f t="shared" ca="1" si="50"/>
        <v>0</v>
      </c>
      <c r="AA206" s="136">
        <f ca="1">IF(Z206&lt;=0,0,RANK(Z206,Z:Z)+COUNTIF($Z$3:$Z206,Z206)-1)</f>
        <v>0</v>
      </c>
      <c r="AB206" s="1211">
        <f t="shared" ca="1" si="43"/>
        <v>0</v>
      </c>
      <c r="AC206" s="136">
        <f ca="1">IF(AB206&lt;=0,0,RANK(AB206,AB:AB)+COUNTIF($AB$3:$AB206,AB206)-1)</f>
        <v>0</v>
      </c>
      <c r="AD206" s="136">
        <f t="shared" ca="1" si="51"/>
        <v>99999</v>
      </c>
      <c r="AE206" s="136">
        <f ca="1">IF(AD206=99999,0,RANK(AD206,AD:AD,1)+COUNTIF($AD$3:$AD206,AD206)-1)</f>
        <v>0</v>
      </c>
    </row>
    <row r="207" spans="1:31">
      <c r="A207" s="141" t="str">
        <f>'銀行-TSS'!A207</f>
        <v>US92553PAP71</v>
      </c>
      <c r="B207" s="151" t="str">
        <f ca="1">VLOOKUP(A207,'銀行-TSS'!A:B,2,FALSE)</f>
        <v>XG960</v>
      </c>
      <c r="C207" s="151" t="str">
        <f ca="1">VLOOKUP(B207,bond!B:C,2,FALSE)</f>
        <v>派拉蒙全球美元配息債券 4.375% 2043/3/15</v>
      </c>
      <c r="D207" s="95" t="str">
        <f>VLOOKUP(A207,'銀行-TSS'!A:C,3,FALSE)</f>
        <v>USD</v>
      </c>
      <c r="E207" s="90">
        <f ca="1">VLOOKUP(A207,'銀行-TSS'!A:G,7,FALSE)</f>
        <v>18.7</v>
      </c>
      <c r="F207" s="202">
        <f ca="1">VLOOKUP(A207,'銀行-TSS'!A:H,8,FALSE)</f>
        <v>4.3749999999999997E-2</v>
      </c>
      <c r="G207" s="96">
        <f ca="1">VLOOKUP(A207,'銀行-TSS'!A:K,11,FALSE)</f>
        <v>70.930000000000007</v>
      </c>
      <c r="H207" s="1209">
        <f ca="1">VLOOKUP(A207,'銀行-TSS'!A:M,13,FALSE)</f>
        <v>7.3999999999999996E-2</v>
      </c>
      <c r="I207" s="1213">
        <f ca="1">VLOOKUP(A207,'銀行-TSS'!A:N,14,FALSE)</f>
        <v>10000</v>
      </c>
      <c r="J207" s="1213">
        <f ca="1">VLOOKUP(A207,'銀行-TSS'!A:O,15,FALSE)</f>
        <v>1000</v>
      </c>
      <c r="K207" s="136" t="str">
        <f ca="1">VLOOKUP(A207,'銀行-TSS'!A:V,22,FALSE)</f>
        <v>(PI)專投</v>
      </c>
      <c r="L207" s="136" t="str">
        <f ca="1">VLOOKUP(A207,'銀行-TSS'!A:AK,37,FALSE)</f>
        <v>有</v>
      </c>
      <c r="M207" s="136" t="str">
        <f ca="1">VLOOKUP(A207,'銀行-TSS'!A:AN,40,FALSE)</f>
        <v/>
      </c>
      <c r="N207" s="1211">
        <f t="shared" ca="1" si="44"/>
        <v>709.3</v>
      </c>
      <c r="O207" s="1211">
        <f t="shared" ca="1" si="45"/>
        <v>7093.0000000000009</v>
      </c>
      <c r="P207" s="1213">
        <f ca="1">IF(AND(換券投組!$D$17&gt;=O207,換券投組!$D$13=D207),I207+INT((換券投組!$D$17-O207)/N207)*J207,0)</f>
        <v>0</v>
      </c>
      <c r="Q207" s="1211">
        <f t="shared" ca="1" si="46"/>
        <v>0</v>
      </c>
      <c r="R207" s="1213">
        <f t="shared" ca="1" si="47"/>
        <v>0</v>
      </c>
      <c r="S207" s="1213">
        <f t="shared" ca="1" si="48"/>
        <v>0</v>
      </c>
      <c r="T207" s="136">
        <f t="shared" ca="1" si="41"/>
        <v>0</v>
      </c>
      <c r="U207" s="861">
        <f t="shared" ca="1" si="42"/>
        <v>0</v>
      </c>
      <c r="V207" s="136" t="b">
        <f ca="1">IF(OR(D207&lt;&gt;"USD",L207="無",M207&lt;&gt;"",K207="高資產",IFERROR(MATCH(B207,換券投組!K:K,0),"N")&lt;&gt;"N",IFERROR(MATCH(B207,換券投組!J:J,0),"N")&lt;&gt;"N"),FALSE,IF($V$1="All",TRUE,IF(K207=$V$1,TRUE,FALSE)))</f>
        <v>1</v>
      </c>
      <c r="W207" s="136">
        <f ca="1">VLOOKUP(A207,'銀行-TSS'!A:AO,41,FALSE)</f>
        <v>67.13000000000001</v>
      </c>
      <c r="X207" s="136">
        <f ca="1">VLOOKUP(A207,'銀行-TSS'!A:AP,42,FALSE)</f>
        <v>10.9193</v>
      </c>
      <c r="Y207" s="1223">
        <f t="shared" ca="1" si="49"/>
        <v>0</v>
      </c>
      <c r="Z207" s="1211">
        <f t="shared" ca="1" si="50"/>
        <v>0</v>
      </c>
      <c r="AA207" s="136">
        <f ca="1">IF(Z207&lt;=0,0,RANK(Z207,Z:Z)+COUNTIF($Z$3:$Z207,Z207)-1)</f>
        <v>0</v>
      </c>
      <c r="AB207" s="1211">
        <f t="shared" ca="1" si="43"/>
        <v>0</v>
      </c>
      <c r="AC207" s="136">
        <f ca="1">IF(AB207&lt;=0,0,RANK(AB207,AB:AB)+COUNTIF($AB$3:$AB207,AB207)-1)</f>
        <v>0</v>
      </c>
      <c r="AD207" s="136">
        <f t="shared" ca="1" si="51"/>
        <v>99999</v>
      </c>
      <c r="AE207" s="136">
        <f ca="1">IF(AD207=99999,0,RANK(AD207,AD:AD,1)+COUNTIF($AD$3:$AD207,AD207)-1)</f>
        <v>0</v>
      </c>
    </row>
    <row r="208" spans="1:31">
      <c r="A208" s="141" t="str">
        <f>'銀行-TSS'!A208</f>
        <v>US674599DZ54</v>
      </c>
      <c r="B208" s="151" t="str">
        <f ca="1">VLOOKUP(A208,'銀行-TSS'!A:B,2,FALSE)</f>
        <v>XG970</v>
      </c>
      <c r="C208" s="151" t="str">
        <f ca="1">VLOOKUP(B208,bond!B:C,2,FALSE)</f>
        <v>西方石油公司美元配息債券 8.5% 2027/7/15</v>
      </c>
      <c r="D208" s="95" t="str">
        <f>VLOOKUP(A208,'銀行-TSS'!A:C,3,FALSE)</f>
        <v>USD</v>
      </c>
      <c r="E208" s="90">
        <f ca="1">VLOOKUP(A208,'銀行-TSS'!A:G,7,FALSE)</f>
        <v>3.03</v>
      </c>
      <c r="F208" s="202">
        <f ca="1">VLOOKUP(A208,'銀行-TSS'!A:H,8,FALSE)</f>
        <v>8.5000000000000006E-2</v>
      </c>
      <c r="G208" s="96">
        <f ca="1">VLOOKUP(A208,'銀行-TSS'!A:K,11,FALSE)</f>
        <v>113.11</v>
      </c>
      <c r="H208" s="1209">
        <f ca="1">VLOOKUP(A208,'銀行-TSS'!A:M,13,FALSE)</f>
        <v>5.1900000000000002E-2</v>
      </c>
      <c r="I208" s="1213">
        <f ca="1">VLOOKUP(A208,'銀行-TSS'!A:N,14,FALSE)</f>
        <v>10000</v>
      </c>
      <c r="J208" s="1213">
        <f ca="1">VLOOKUP(A208,'銀行-TSS'!A:O,15,FALSE)</f>
        <v>1000</v>
      </c>
      <c r="K208" s="136" t="str">
        <f ca="1">VLOOKUP(A208,'銀行-TSS'!A:V,22,FALSE)</f>
        <v>(PI)專投</v>
      </c>
      <c r="L208" s="136" t="str">
        <f ca="1">VLOOKUP(A208,'銀行-TSS'!A:AK,37,FALSE)</f>
        <v>有</v>
      </c>
      <c r="M208" s="136" t="str">
        <f ca="1">VLOOKUP(A208,'銀行-TSS'!A:AN,40,FALSE)</f>
        <v/>
      </c>
      <c r="N208" s="1211">
        <f t="shared" ca="1" si="44"/>
        <v>1131.0999999999999</v>
      </c>
      <c r="O208" s="1211">
        <f t="shared" ca="1" si="45"/>
        <v>11311</v>
      </c>
      <c r="P208" s="1213">
        <f ca="1">IF(AND(換券投組!$D$17&gt;=O208,換券投組!$D$13=D208),I208+INT((換券投組!$D$17-O208)/N208)*J208,0)</f>
        <v>0</v>
      </c>
      <c r="Q208" s="1211">
        <f t="shared" ca="1" si="46"/>
        <v>0</v>
      </c>
      <c r="R208" s="1213">
        <f t="shared" ca="1" si="47"/>
        <v>0</v>
      </c>
      <c r="S208" s="1213">
        <f t="shared" ca="1" si="48"/>
        <v>0</v>
      </c>
      <c r="T208" s="136">
        <f t="shared" ca="1" si="41"/>
        <v>0</v>
      </c>
      <c r="U208" s="861">
        <f t="shared" ca="1" si="42"/>
        <v>0</v>
      </c>
      <c r="V208" s="136" t="b">
        <f ca="1">IF(OR(D208&lt;&gt;"USD",L208="無",M208&lt;&gt;"",K208="高資產",IFERROR(MATCH(B208,換券投組!K:K,0),"N")&lt;&gt;"N",IFERROR(MATCH(B208,換券投組!J:J,0),"N")&lt;&gt;"N"),FALSE,IF($V$1="All",TRUE,IF(K208=$V$1,TRUE,FALSE)))</f>
        <v>1</v>
      </c>
      <c r="W208" s="136">
        <f ca="1">VLOOKUP(A208,'銀行-TSS'!A:AO,41,FALSE)</f>
        <v>107.67</v>
      </c>
      <c r="X208" s="136">
        <f ca="1">VLOOKUP(A208,'銀行-TSS'!A:AP,42,FALSE)</f>
        <v>2.2052</v>
      </c>
      <c r="Y208" s="1223">
        <f t="shared" ca="1" si="49"/>
        <v>0</v>
      </c>
      <c r="Z208" s="1211">
        <f t="shared" ca="1" si="50"/>
        <v>0</v>
      </c>
      <c r="AA208" s="136">
        <f ca="1">IF(Z208&lt;=0,0,RANK(Z208,Z:Z)+COUNTIF($Z$3:$Z208,Z208)-1)</f>
        <v>0</v>
      </c>
      <c r="AB208" s="1211">
        <f t="shared" ca="1" si="43"/>
        <v>0</v>
      </c>
      <c r="AC208" s="136">
        <f ca="1">IF(AB208&lt;=0,0,RANK(AB208,AB:AB)+COUNTIF($AB$3:$AB208,AB208)-1)</f>
        <v>0</v>
      </c>
      <c r="AD208" s="136">
        <f t="shared" ca="1" si="51"/>
        <v>99999</v>
      </c>
      <c r="AE208" s="136">
        <f ca="1">IF(AD208=99999,0,RANK(AD208,AD:AD,1)+COUNTIF($AD$3:$AD208,AD208)-1)</f>
        <v>0</v>
      </c>
    </row>
    <row r="209" spans="1:31">
      <c r="A209" s="141" t="str">
        <f>'銀行-TSS'!A209</f>
        <v>XS2114850949</v>
      </c>
      <c r="B209" s="151" t="str">
        <f ca="1">VLOOKUP(A209,'銀行-TSS'!A:B,2,FALSE)</f>
        <v>XG980</v>
      </c>
      <c r="C209" s="151" t="str">
        <f ca="1">VLOOKUP(B209,bond!B:C,2,FALSE)</f>
        <v>卡達國家銀行金融有限公司美元配息債券 2.75% 2027/2/12</v>
      </c>
      <c r="D209" s="95" t="str">
        <f>VLOOKUP(A209,'銀行-TSS'!A:C,3,FALSE)</f>
        <v>USD</v>
      </c>
      <c r="E209" s="90">
        <f ca="1">VLOOKUP(A209,'銀行-TSS'!A:G,7,FALSE)</f>
        <v>2.61</v>
      </c>
      <c r="F209" s="202">
        <f ca="1">VLOOKUP(A209,'銀行-TSS'!A:H,8,FALSE)</f>
        <v>2.75E-2</v>
      </c>
      <c r="G209" s="96">
        <f ca="1">VLOOKUP(A209,'銀行-TSS'!A:K,11,FALSE)</f>
        <v>96.63</v>
      </c>
      <c r="H209" s="1209">
        <f ca="1">VLOOKUP(A209,'銀行-TSS'!A:M,13,FALSE)</f>
        <v>4.58E-2</v>
      </c>
      <c r="I209" s="1213">
        <f ca="1">VLOOKUP(A209,'銀行-TSS'!A:N,14,FALSE)</f>
        <v>200000</v>
      </c>
      <c r="J209" s="1213">
        <f ca="1">VLOOKUP(A209,'銀行-TSS'!A:O,15,FALSE)</f>
        <v>1000</v>
      </c>
      <c r="K209" s="136" t="str">
        <f ca="1">VLOOKUP(A209,'銀行-TSS'!A:V,22,FALSE)</f>
        <v>(NPI)非專投</v>
      </c>
      <c r="L209" s="136" t="str">
        <f ca="1">VLOOKUP(A209,'銀行-TSS'!A:AK,37,FALSE)</f>
        <v>有</v>
      </c>
      <c r="M209" s="136" t="str">
        <f ca="1">VLOOKUP(A209,'銀行-TSS'!A:AN,40,FALSE)</f>
        <v/>
      </c>
      <c r="N209" s="1211">
        <f t="shared" ca="1" si="44"/>
        <v>966.3</v>
      </c>
      <c r="O209" s="1211">
        <f t="shared" ca="1" si="45"/>
        <v>193260</v>
      </c>
      <c r="P209" s="1213">
        <f ca="1">IF(AND(換券投組!$D$17&gt;=O209,換券投組!$D$13=D209),I209+INT((換券投組!$D$17-O209)/N209)*J209,0)</f>
        <v>0</v>
      </c>
      <c r="Q209" s="1211">
        <f t="shared" ca="1" si="46"/>
        <v>0</v>
      </c>
      <c r="R209" s="1213">
        <f t="shared" ca="1" si="47"/>
        <v>0</v>
      </c>
      <c r="S209" s="1213">
        <f t="shared" ca="1" si="48"/>
        <v>0</v>
      </c>
      <c r="T209" s="136">
        <f t="shared" ca="1" si="41"/>
        <v>0</v>
      </c>
      <c r="U209" s="861">
        <f t="shared" ca="1" si="42"/>
        <v>0</v>
      </c>
      <c r="V209" s="136" t="b">
        <f ca="1">IF(OR(D209&lt;&gt;"USD",L209="無",M209&lt;&gt;"",K209="高資產",IFERROR(MATCH(B209,換券投組!K:K,0),"N")&lt;&gt;"N",IFERROR(MATCH(B209,換券投組!J:J,0),"N")&lt;&gt;"N"),FALSE,IF($V$1="All",TRUE,IF(K209=$V$1,TRUE,FALSE)))</f>
        <v>1</v>
      </c>
      <c r="W209" s="136">
        <f ca="1">VLOOKUP(A209,'銀行-TSS'!A:AO,41,FALSE)</f>
        <v>94.550000000000011</v>
      </c>
      <c r="X209" s="136">
        <f ca="1">VLOOKUP(A209,'銀行-TSS'!A:AP,42,FALSE)</f>
        <v>2.4441000000000002</v>
      </c>
      <c r="Y209" s="1223">
        <f t="shared" ca="1" si="49"/>
        <v>0</v>
      </c>
      <c r="Z209" s="1211">
        <f t="shared" ca="1" si="50"/>
        <v>0</v>
      </c>
      <c r="AA209" s="136">
        <f ca="1">IF(Z209&lt;=0,0,RANK(Z209,Z:Z)+COUNTIF($Z$3:$Z209,Z209)-1)</f>
        <v>0</v>
      </c>
      <c r="AB209" s="1211">
        <f t="shared" ca="1" si="43"/>
        <v>0</v>
      </c>
      <c r="AC209" s="136">
        <f ca="1">IF(AB209&lt;=0,0,RANK(AB209,AB:AB)+COUNTIF($AB$3:$AB209,AB209)-1)</f>
        <v>0</v>
      </c>
      <c r="AD209" s="136">
        <f t="shared" ca="1" si="51"/>
        <v>99999</v>
      </c>
      <c r="AE209" s="136">
        <f ca="1">IF(AD209=99999,0,RANK(AD209,AD:AD,1)+COUNTIF($AD$3:$AD209,AD209)-1)</f>
        <v>0</v>
      </c>
    </row>
    <row r="210" spans="1:31">
      <c r="A210" s="141" t="str">
        <f>'銀行-TSS'!A210</f>
        <v>US83368TBM99</v>
      </c>
      <c r="B210" s="151" t="str">
        <f ca="1">VLOOKUP(A210,'銀行-TSS'!A:B,2,FALSE)</f>
        <v>XG990</v>
      </c>
      <c r="C210" s="151" t="str">
        <f ca="1">VLOOKUP(B210,bond!B:C,2,FALSE)</f>
        <v>法國興業銀行美元配息債券 4.677% 2027/6/15</v>
      </c>
      <c r="D210" s="95" t="str">
        <f>VLOOKUP(A210,'銀行-TSS'!A:C,3,FALSE)</f>
        <v>USD</v>
      </c>
      <c r="E210" s="90">
        <f ca="1">VLOOKUP(A210,'銀行-TSS'!A:G,7,FALSE)</f>
        <v>2.95</v>
      </c>
      <c r="F210" s="202">
        <f ca="1">VLOOKUP(A210,'銀行-TSS'!A:H,8,FALSE)</f>
        <v>4.6769999999999999E-2</v>
      </c>
      <c r="G210" s="96">
        <f ca="1">VLOOKUP(A210,'銀行-TSS'!A:K,11,FALSE)</f>
        <v>100.59</v>
      </c>
      <c r="H210" s="1209">
        <f ca="1">VLOOKUP(A210,'銀行-TSS'!A:M,13,FALSE)</f>
        <v>4.5400000000000003E-2</v>
      </c>
      <c r="I210" s="1213">
        <f ca="1">VLOOKUP(A210,'銀行-TSS'!A:N,14,FALSE)</f>
        <v>200000</v>
      </c>
      <c r="J210" s="1213">
        <f ca="1">VLOOKUP(A210,'銀行-TSS'!A:O,15,FALSE)</f>
        <v>1000</v>
      </c>
      <c r="K210" s="136" t="str">
        <f ca="1">VLOOKUP(A210,'銀行-TSS'!A:V,22,FALSE)</f>
        <v>(PI)專投</v>
      </c>
      <c r="L210" s="136" t="str">
        <f ca="1">VLOOKUP(A210,'銀行-TSS'!A:AK,37,FALSE)</f>
        <v>有</v>
      </c>
      <c r="M210" s="136" t="str">
        <f ca="1">VLOOKUP(A210,'銀行-TSS'!A:AN,40,FALSE)</f>
        <v/>
      </c>
      <c r="N210" s="1211">
        <f t="shared" ca="1" si="44"/>
        <v>1005.9</v>
      </c>
      <c r="O210" s="1211">
        <f t="shared" ca="1" si="45"/>
        <v>201180</v>
      </c>
      <c r="P210" s="1213">
        <f ca="1">IF(AND(換券投組!$D$17&gt;=O210,換券投組!$D$13=D210),I210+INT((換券投組!$D$17-O210)/N210)*J210,0)</f>
        <v>0</v>
      </c>
      <c r="Q210" s="1211">
        <f t="shared" ca="1" si="46"/>
        <v>0</v>
      </c>
      <c r="R210" s="1213">
        <f t="shared" ca="1" si="47"/>
        <v>0</v>
      </c>
      <c r="S210" s="1213">
        <f t="shared" ca="1" si="48"/>
        <v>0</v>
      </c>
      <c r="T210" s="136">
        <f t="shared" ca="1" si="41"/>
        <v>0</v>
      </c>
      <c r="U210" s="861">
        <f t="shared" ca="1" si="42"/>
        <v>0</v>
      </c>
      <c r="V210" s="136" t="b">
        <f ca="1">IF(OR(D210&lt;&gt;"USD",L210="無",M210&lt;&gt;"",K210="高資產",IFERROR(MATCH(B210,換券投組!K:K,0),"N")&lt;&gt;"N",IFERROR(MATCH(B210,換券投組!J:J,0),"N")&lt;&gt;"N"),FALSE,IF($V$1="All",TRUE,IF(K210=$V$1,TRUE,FALSE)))</f>
        <v>1</v>
      </c>
      <c r="W210" s="136">
        <f ca="1">VLOOKUP(A210,'銀行-TSS'!A:AO,41,FALSE)</f>
        <v>99.17</v>
      </c>
      <c r="X210" s="136">
        <f ca="1">VLOOKUP(A210,'銀行-TSS'!A:AP,42,FALSE)</f>
        <v>2.7187999999999999</v>
      </c>
      <c r="Y210" s="1223">
        <f t="shared" ca="1" si="49"/>
        <v>0</v>
      </c>
      <c r="Z210" s="1211">
        <f t="shared" ca="1" si="50"/>
        <v>0</v>
      </c>
      <c r="AA210" s="136">
        <f ca="1">IF(Z210&lt;=0,0,RANK(Z210,Z:Z)+COUNTIF($Z$3:$Z210,Z210)-1)</f>
        <v>0</v>
      </c>
      <c r="AB210" s="1211">
        <f t="shared" ca="1" si="43"/>
        <v>0</v>
      </c>
      <c r="AC210" s="136">
        <f ca="1">IF(AB210&lt;=0,0,RANK(AB210,AB:AB)+COUNTIF($AB$3:$AB210,AB210)-1)</f>
        <v>0</v>
      </c>
      <c r="AD210" s="136">
        <f t="shared" ca="1" si="51"/>
        <v>99999</v>
      </c>
      <c r="AE210" s="136">
        <f ca="1">IF(AD210=99999,0,RANK(AD210,AD:AD,1)+COUNTIF($AD$3:$AD210,AD210)-1)</f>
        <v>0</v>
      </c>
    </row>
    <row r="211" spans="1:31">
      <c r="A211" s="141" t="str">
        <f>'銀行-TSS'!A211</f>
        <v>US037833EN61</v>
      </c>
      <c r="B211" s="151" t="str">
        <f ca="1">VLOOKUP(A211,'銀行-TSS'!A:B,2,FALSE)</f>
        <v>XH010</v>
      </c>
      <c r="C211" s="151" t="str">
        <f ca="1">VLOOKUP(B211,bond!B:C,2,FALSE)</f>
        <v>蘋果公司美元配息債券 3.25% 2029/8/8</v>
      </c>
      <c r="D211" s="95" t="str">
        <f>VLOOKUP(A211,'銀行-TSS'!A:C,3,FALSE)</f>
        <v>USD</v>
      </c>
      <c r="E211" s="90">
        <f ca="1">VLOOKUP(A211,'銀行-TSS'!A:G,7,FALSE)</f>
        <v>5.0999999999999996</v>
      </c>
      <c r="F211" s="202">
        <f ca="1">VLOOKUP(A211,'銀行-TSS'!A:H,8,FALSE)</f>
        <v>3.2500000000000001E-2</v>
      </c>
      <c r="G211" s="96">
        <f ca="1">VLOOKUP(A211,'銀行-TSS'!A:K,11,FALSE)</f>
        <v>96.93</v>
      </c>
      <c r="H211" s="1209">
        <f ca="1">VLOOKUP(A211,'銀行-TSS'!A:M,13,FALSE)</f>
        <v>4.2099999999999999E-2</v>
      </c>
      <c r="I211" s="1213">
        <f ca="1">VLOOKUP(A211,'銀行-TSS'!A:N,14,FALSE)</f>
        <v>10000</v>
      </c>
      <c r="J211" s="1213">
        <f ca="1">VLOOKUP(A211,'銀行-TSS'!A:O,15,FALSE)</f>
        <v>1000</v>
      </c>
      <c r="K211" s="136" t="str">
        <f ca="1">VLOOKUP(A211,'銀行-TSS'!A:V,22,FALSE)</f>
        <v>(NPI)非專投</v>
      </c>
      <c r="L211" s="136" t="str">
        <f ca="1">VLOOKUP(A211,'銀行-TSS'!A:AK,37,FALSE)</f>
        <v>有</v>
      </c>
      <c r="M211" s="136" t="str">
        <f ca="1">VLOOKUP(A211,'銀行-TSS'!A:AN,40,FALSE)</f>
        <v/>
      </c>
      <c r="N211" s="1211">
        <f t="shared" ca="1" si="44"/>
        <v>969.3</v>
      </c>
      <c r="O211" s="1211">
        <f t="shared" ca="1" si="45"/>
        <v>9693.0000000000018</v>
      </c>
      <c r="P211" s="1213">
        <f ca="1">IF(AND(換券投組!$D$17&gt;=O211,換券投組!$D$13=D211),I211+INT((換券投組!$D$17-O211)/N211)*J211,0)</f>
        <v>0</v>
      </c>
      <c r="Q211" s="1211">
        <f t="shared" ca="1" si="46"/>
        <v>0</v>
      </c>
      <c r="R211" s="1213">
        <f t="shared" ca="1" si="47"/>
        <v>0</v>
      </c>
      <c r="S211" s="1213">
        <f t="shared" ca="1" si="48"/>
        <v>0</v>
      </c>
      <c r="T211" s="136">
        <f t="shared" ca="1" si="41"/>
        <v>0</v>
      </c>
      <c r="U211" s="861">
        <f t="shared" ca="1" si="42"/>
        <v>0</v>
      </c>
      <c r="V211" s="136" t="b">
        <f ca="1">IF(OR(D211&lt;&gt;"USD",L211="無",M211&lt;&gt;"",K211="高資產",IFERROR(MATCH(B211,換券投組!K:K,0),"N")&lt;&gt;"N",IFERROR(MATCH(B211,換券投組!J:J,0),"N")&lt;&gt;"N"),FALSE,IF($V$1="All",TRUE,IF(K211=$V$1,TRUE,FALSE)))</f>
        <v>1</v>
      </c>
      <c r="W211" s="136">
        <f ca="1">VLOOKUP(A211,'銀行-TSS'!A:AO,41,FALSE)</f>
        <v>94.13000000000001</v>
      </c>
      <c r="X211" s="136">
        <f ca="1">VLOOKUP(A211,'銀行-TSS'!A:AP,42,FALSE)</f>
        <v>4.5629</v>
      </c>
      <c r="Y211" s="1223">
        <f t="shared" ca="1" si="49"/>
        <v>0</v>
      </c>
      <c r="Z211" s="1211">
        <f t="shared" ca="1" si="50"/>
        <v>0</v>
      </c>
      <c r="AA211" s="136">
        <f ca="1">IF(Z211&lt;=0,0,RANK(Z211,Z:Z)+COUNTIF($Z$3:$Z211,Z211)-1)</f>
        <v>0</v>
      </c>
      <c r="AB211" s="1211">
        <f t="shared" ca="1" si="43"/>
        <v>0</v>
      </c>
      <c r="AC211" s="136">
        <f ca="1">IF(AB211&lt;=0,0,RANK(AB211,AB:AB)+COUNTIF($AB$3:$AB211,AB211)-1)</f>
        <v>0</v>
      </c>
      <c r="AD211" s="136">
        <f t="shared" ca="1" si="51"/>
        <v>99999</v>
      </c>
      <c r="AE211" s="136">
        <f ca="1">IF(AD211=99999,0,RANK(AD211,AD:AD,1)+COUNTIF($AD$3:$AD211,AD211)-1)</f>
        <v>0</v>
      </c>
    </row>
    <row r="212" spans="1:31">
      <c r="A212" s="141" t="str">
        <f>'銀行-TSS'!A212</f>
        <v>US037833EP10</v>
      </c>
      <c r="B212" s="151" t="str">
        <f ca="1">VLOOKUP(A212,'銀行-TSS'!A:B,2,FALSE)</f>
        <v>XH020</v>
      </c>
      <c r="C212" s="151" t="str">
        <f ca="1">VLOOKUP(B212,bond!B:C,2,FALSE)</f>
        <v>蘋果公司美元配息債券 3.35% 2032/8/8</v>
      </c>
      <c r="D212" s="95" t="str">
        <f>VLOOKUP(A212,'銀行-TSS'!A:C,3,FALSE)</f>
        <v>USD</v>
      </c>
      <c r="E212" s="90">
        <f ca="1">VLOOKUP(A212,'銀行-TSS'!A:G,7,FALSE)</f>
        <v>8.1</v>
      </c>
      <c r="F212" s="202">
        <f ca="1">VLOOKUP(A212,'銀行-TSS'!A:H,8,FALSE)</f>
        <v>3.3500000000000002E-2</v>
      </c>
      <c r="G212" s="96">
        <f ca="1">VLOOKUP(A212,'銀行-TSS'!A:K,11,FALSE)</f>
        <v>94.58</v>
      </c>
      <c r="H212" s="1209">
        <f ca="1">VLOOKUP(A212,'銀行-TSS'!A:M,13,FALSE)</f>
        <v>4.3499999999999997E-2</v>
      </c>
      <c r="I212" s="1213">
        <f ca="1">VLOOKUP(A212,'銀行-TSS'!A:N,14,FALSE)</f>
        <v>10000</v>
      </c>
      <c r="J212" s="1213">
        <f ca="1">VLOOKUP(A212,'銀行-TSS'!A:O,15,FALSE)</f>
        <v>1000</v>
      </c>
      <c r="K212" s="136" t="str">
        <f ca="1">VLOOKUP(A212,'銀行-TSS'!A:V,22,FALSE)</f>
        <v>(NPI)非專投</v>
      </c>
      <c r="L212" s="136" t="str">
        <f ca="1">VLOOKUP(A212,'銀行-TSS'!A:AK,37,FALSE)</f>
        <v>有</v>
      </c>
      <c r="M212" s="136" t="str">
        <f ca="1">VLOOKUP(A212,'銀行-TSS'!A:AN,40,FALSE)</f>
        <v/>
      </c>
      <c r="N212" s="1211">
        <f t="shared" ca="1" si="44"/>
        <v>945.8</v>
      </c>
      <c r="O212" s="1211">
        <f t="shared" ca="1" si="45"/>
        <v>9458</v>
      </c>
      <c r="P212" s="1213">
        <f ca="1">IF(AND(換券投組!$D$17&gt;=O212,換券投組!$D$13=D212),I212+INT((換券投組!$D$17-O212)/N212)*J212,0)</f>
        <v>0</v>
      </c>
      <c r="Q212" s="1211">
        <f t="shared" ca="1" si="46"/>
        <v>0</v>
      </c>
      <c r="R212" s="1213">
        <f t="shared" ca="1" si="47"/>
        <v>0</v>
      </c>
      <c r="S212" s="1213">
        <f t="shared" ca="1" si="48"/>
        <v>0</v>
      </c>
      <c r="T212" s="136">
        <f t="shared" ca="1" si="41"/>
        <v>0</v>
      </c>
      <c r="U212" s="861">
        <f t="shared" ca="1" si="42"/>
        <v>0</v>
      </c>
      <c r="V212" s="136" t="b">
        <f ca="1">IF(OR(D212&lt;&gt;"USD",L212="無",M212&lt;&gt;"",K212="高資產",IFERROR(MATCH(B212,換券投組!K:K,0),"N")&lt;&gt;"N",IFERROR(MATCH(B212,換券投組!J:J,0),"N")&lt;&gt;"N"),FALSE,IF($V$1="All",TRUE,IF(K212=$V$1,TRUE,FALSE)))</f>
        <v>1</v>
      </c>
      <c r="W212" s="136">
        <f ca="1">VLOOKUP(A212,'銀行-TSS'!A:AO,41,FALSE)</f>
        <v>91.24</v>
      </c>
      <c r="X212" s="136">
        <f ca="1">VLOOKUP(A212,'銀行-TSS'!A:AP,42,FALSE)</f>
        <v>6.8532999999999999</v>
      </c>
      <c r="Y212" s="1223">
        <f t="shared" ca="1" si="49"/>
        <v>0</v>
      </c>
      <c r="Z212" s="1211">
        <f t="shared" ca="1" si="50"/>
        <v>0</v>
      </c>
      <c r="AA212" s="136">
        <f ca="1">IF(Z212&lt;=0,0,RANK(Z212,Z:Z)+COUNTIF($Z$3:$Z212,Z212)-1)</f>
        <v>0</v>
      </c>
      <c r="AB212" s="1211">
        <f t="shared" ca="1" si="43"/>
        <v>0</v>
      </c>
      <c r="AC212" s="136">
        <f ca="1">IF(AB212&lt;=0,0,RANK(AB212,AB:AB)+COUNTIF($AB$3:$AB212,AB212)-1)</f>
        <v>0</v>
      </c>
      <c r="AD212" s="136">
        <f t="shared" ca="1" si="51"/>
        <v>99999</v>
      </c>
      <c r="AE212" s="136">
        <f ca="1">IF(AD212=99999,0,RANK(AD212,AD:AD,1)+COUNTIF($AD$3:$AD212,AD212)-1)</f>
        <v>0</v>
      </c>
    </row>
    <row r="213" spans="1:31">
      <c r="A213" s="141" t="str">
        <f>'銀行-TSS'!A213</f>
        <v>US30303M8H84</v>
      </c>
      <c r="B213" s="151" t="str">
        <f ca="1">VLOOKUP(A213,'銀行-TSS'!A:B,2,FALSE)</f>
        <v>XH030</v>
      </c>
      <c r="C213" s="151" t="str">
        <f ca="1">VLOOKUP(B213,bond!B:C,2,FALSE)</f>
        <v>META平台公司美元配息債券 3.85% 2032/8/15</v>
      </c>
      <c r="D213" s="95" t="str">
        <f>VLOOKUP(A213,'銀行-TSS'!A:C,3,FALSE)</f>
        <v>USD</v>
      </c>
      <c r="E213" s="90">
        <f ca="1">VLOOKUP(A213,'銀行-TSS'!A:G,7,FALSE)</f>
        <v>8.1199999999999992</v>
      </c>
      <c r="F213" s="202">
        <f ca="1">VLOOKUP(A213,'銀行-TSS'!A:H,8,FALSE)</f>
        <v>3.85E-2</v>
      </c>
      <c r="G213" s="96">
        <f ca="1">VLOOKUP(A213,'銀行-TSS'!A:K,11,FALSE)</f>
        <v>96.96</v>
      </c>
      <c r="H213" s="1209">
        <f ca="1">VLOOKUP(A213,'銀行-TSS'!A:M,13,FALSE)</f>
        <v>4.5199999999999997E-2</v>
      </c>
      <c r="I213" s="1213">
        <f ca="1">VLOOKUP(A213,'銀行-TSS'!A:N,14,FALSE)</f>
        <v>10000</v>
      </c>
      <c r="J213" s="1213">
        <f ca="1">VLOOKUP(A213,'銀行-TSS'!A:O,15,FALSE)</f>
        <v>1000</v>
      </c>
      <c r="K213" s="136" t="str">
        <f ca="1">VLOOKUP(A213,'銀行-TSS'!A:V,22,FALSE)</f>
        <v>(NPI)非專投</v>
      </c>
      <c r="L213" s="136" t="str">
        <f ca="1">VLOOKUP(A213,'銀行-TSS'!A:AK,37,FALSE)</f>
        <v>有</v>
      </c>
      <c r="M213" s="136" t="str">
        <f ca="1">VLOOKUP(A213,'銀行-TSS'!A:AN,40,FALSE)</f>
        <v/>
      </c>
      <c r="N213" s="1211">
        <f t="shared" ca="1" si="44"/>
        <v>969.6</v>
      </c>
      <c r="O213" s="1211">
        <f t="shared" ca="1" si="45"/>
        <v>9695.9999999999982</v>
      </c>
      <c r="P213" s="1213">
        <f ca="1">IF(AND(換券投組!$D$17&gt;=O213,換券投組!$D$13=D213),I213+INT((換券投組!$D$17-O213)/N213)*J213,0)</f>
        <v>0</v>
      </c>
      <c r="Q213" s="1211">
        <f t="shared" ca="1" si="46"/>
        <v>0</v>
      </c>
      <c r="R213" s="1213">
        <f t="shared" ca="1" si="47"/>
        <v>0</v>
      </c>
      <c r="S213" s="1213">
        <f t="shared" ca="1" si="48"/>
        <v>0</v>
      </c>
      <c r="T213" s="136">
        <f t="shared" ca="1" si="41"/>
        <v>0</v>
      </c>
      <c r="U213" s="861">
        <f t="shared" ca="1" si="42"/>
        <v>0</v>
      </c>
      <c r="V213" s="136" t="b">
        <f ca="1">IF(OR(D213&lt;&gt;"USD",L213="無",M213&lt;&gt;"",K213="高資產",IFERROR(MATCH(B213,換券投組!K:K,0),"N")&lt;&gt;"N",IFERROR(MATCH(B213,換券投組!J:J,0),"N")&lt;&gt;"N"),FALSE,IF($V$1="All",TRUE,IF(K213=$V$1,TRUE,FALSE)))</f>
        <v>1</v>
      </c>
      <c r="W213" s="136">
        <f ca="1">VLOOKUP(A213,'銀行-TSS'!A:AO,41,FALSE)</f>
        <v>93.490000000000009</v>
      </c>
      <c r="X213" s="136">
        <f ca="1">VLOOKUP(A213,'銀行-TSS'!A:AP,42,FALSE)</f>
        <v>6.7439</v>
      </c>
      <c r="Y213" s="1223">
        <f t="shared" ca="1" si="49"/>
        <v>0</v>
      </c>
      <c r="Z213" s="1211">
        <f t="shared" ca="1" si="50"/>
        <v>0</v>
      </c>
      <c r="AA213" s="136">
        <f ca="1">IF(Z213&lt;=0,0,RANK(Z213,Z:Z)+COUNTIF($Z$3:$Z213,Z213)-1)</f>
        <v>0</v>
      </c>
      <c r="AB213" s="1211">
        <f t="shared" ca="1" si="43"/>
        <v>0</v>
      </c>
      <c r="AC213" s="136">
        <f ca="1">IF(AB213&lt;=0,0,RANK(AB213,AB:AB)+COUNTIF($AB$3:$AB213,AB213)-1)</f>
        <v>0</v>
      </c>
      <c r="AD213" s="136">
        <f t="shared" ca="1" si="51"/>
        <v>99999</v>
      </c>
      <c r="AE213" s="136">
        <f ca="1">IF(AD213=99999,0,RANK(AD213,AD:AD,1)+COUNTIF($AD$3:$AD213,AD213)-1)</f>
        <v>0</v>
      </c>
    </row>
    <row r="214" spans="1:31">
      <c r="A214" s="141" t="str">
        <f>'銀行-TSS'!A214</f>
        <v>US30303M8J41</v>
      </c>
      <c r="B214" s="151" t="str">
        <f ca="1">VLOOKUP(A214,'銀行-TSS'!A:B,2,FALSE)</f>
        <v>XH040</v>
      </c>
      <c r="C214" s="151" t="str">
        <f ca="1">VLOOKUP(B214,bond!B:C,2,FALSE)</f>
        <v>META平台公司美元配息債券 4.45% 2052/8/15</v>
      </c>
      <c r="D214" s="95" t="str">
        <f>VLOOKUP(A214,'銀行-TSS'!A:C,3,FALSE)</f>
        <v>USD</v>
      </c>
      <c r="E214" s="90">
        <f ca="1">VLOOKUP(A214,'銀行-TSS'!A:G,7,FALSE)</f>
        <v>28.12</v>
      </c>
      <c r="F214" s="202">
        <f ca="1">VLOOKUP(A214,'銀行-TSS'!A:H,8,FALSE)</f>
        <v>4.4500000000000005E-2</v>
      </c>
      <c r="G214" s="96">
        <f ca="1">VLOOKUP(A214,'銀行-TSS'!A:K,11,FALSE)</f>
        <v>91.89</v>
      </c>
      <c r="H214" s="1209">
        <f ca="1">VLOOKUP(A214,'銀行-TSS'!A:M,13,FALSE)</f>
        <v>5.11E-2</v>
      </c>
      <c r="I214" s="1213">
        <f ca="1">VLOOKUP(A214,'銀行-TSS'!A:N,14,FALSE)</f>
        <v>10000</v>
      </c>
      <c r="J214" s="1213">
        <f ca="1">VLOOKUP(A214,'銀行-TSS'!A:O,15,FALSE)</f>
        <v>1000</v>
      </c>
      <c r="K214" s="136" t="str">
        <f ca="1">VLOOKUP(A214,'銀行-TSS'!A:V,22,FALSE)</f>
        <v>(NPI)非專投</v>
      </c>
      <c r="L214" s="136" t="str">
        <f ca="1">VLOOKUP(A214,'銀行-TSS'!A:AK,37,FALSE)</f>
        <v>有</v>
      </c>
      <c r="M214" s="136" t="str">
        <f ca="1">VLOOKUP(A214,'銀行-TSS'!A:AN,40,FALSE)</f>
        <v/>
      </c>
      <c r="N214" s="1211">
        <f t="shared" ca="1" si="44"/>
        <v>918.9</v>
      </c>
      <c r="O214" s="1211">
        <f t="shared" ca="1" si="45"/>
        <v>9189</v>
      </c>
      <c r="P214" s="1213">
        <f ca="1">IF(AND(換券投組!$D$17&gt;=O214,換券投組!$D$13=D214),I214+INT((換券投組!$D$17-O214)/N214)*J214,0)</f>
        <v>0</v>
      </c>
      <c r="Q214" s="1211">
        <f t="shared" ca="1" si="46"/>
        <v>0</v>
      </c>
      <c r="R214" s="1213">
        <f t="shared" ca="1" si="47"/>
        <v>0</v>
      </c>
      <c r="S214" s="1213">
        <f t="shared" ca="1" si="48"/>
        <v>0</v>
      </c>
      <c r="T214" s="136">
        <f t="shared" ca="1" si="41"/>
        <v>0</v>
      </c>
      <c r="U214" s="861">
        <f t="shared" ca="1" si="42"/>
        <v>0</v>
      </c>
      <c r="V214" s="136" t="b">
        <f ca="1">IF(OR(D214&lt;&gt;"USD",L214="無",M214&lt;&gt;"",K214="高資產",IFERROR(MATCH(B214,換券投組!K:K,0),"N")&lt;&gt;"N",IFERROR(MATCH(B214,換券投組!J:J,0),"N")&lt;&gt;"N"),FALSE,IF($V$1="All",TRUE,IF(K214=$V$1,TRUE,FALSE)))</f>
        <v>1</v>
      </c>
      <c r="W214" s="136">
        <f ca="1">VLOOKUP(A214,'銀行-TSS'!A:AO,41,FALSE)</f>
        <v>86.7</v>
      </c>
      <c r="X214" s="136">
        <f ca="1">VLOOKUP(A214,'銀行-TSS'!A:AP,42,FALSE)</f>
        <v>14.818899999999999</v>
      </c>
      <c r="Y214" s="1223">
        <f t="shared" ca="1" si="49"/>
        <v>0</v>
      </c>
      <c r="Z214" s="1211">
        <f t="shared" ca="1" si="50"/>
        <v>0</v>
      </c>
      <c r="AA214" s="136">
        <f ca="1">IF(Z214&lt;=0,0,RANK(Z214,Z:Z)+COUNTIF($Z$3:$Z214,Z214)-1)</f>
        <v>0</v>
      </c>
      <c r="AB214" s="1211">
        <f t="shared" ca="1" si="43"/>
        <v>0</v>
      </c>
      <c r="AC214" s="136">
        <f ca="1">IF(AB214&lt;=0,0,RANK(AB214,AB:AB)+COUNTIF($AB$3:$AB214,AB214)-1)</f>
        <v>0</v>
      </c>
      <c r="AD214" s="136">
        <f t="shared" ca="1" si="51"/>
        <v>99999</v>
      </c>
      <c r="AE214" s="136">
        <f ca="1">IF(AD214=99999,0,RANK(AD214,AD:AD,1)+COUNTIF($AD$3:$AD214,AD214)-1)</f>
        <v>0</v>
      </c>
    </row>
    <row r="215" spans="1:31">
      <c r="A215" s="141" t="str">
        <f>'銀行-TSS'!A215</f>
        <v>US194162AP89</v>
      </c>
      <c r="B215" s="151" t="str">
        <f ca="1">VLOOKUP(A215,'銀行-TSS'!A:B,2,FALSE)</f>
        <v>XH050</v>
      </c>
      <c r="C215" s="151" t="str">
        <f ca="1">VLOOKUP(B215,bond!B:C,2,FALSE)</f>
        <v>高露潔-棕欖公司美元配息債券 3.25% 2032/8/15</v>
      </c>
      <c r="D215" s="95" t="str">
        <f>VLOOKUP(A215,'銀行-TSS'!A:C,3,FALSE)</f>
        <v>USD</v>
      </c>
      <c r="E215" s="90">
        <f ca="1">VLOOKUP(A215,'銀行-TSS'!A:G,7,FALSE)</f>
        <v>8.1199999999999992</v>
      </c>
      <c r="F215" s="202">
        <f ca="1">VLOOKUP(A215,'銀行-TSS'!A:H,8,FALSE)</f>
        <v>3.2500000000000001E-2</v>
      </c>
      <c r="G215" s="96">
        <f ca="1">VLOOKUP(A215,'銀行-TSS'!A:K,11,FALSE)</f>
        <v>93.26</v>
      </c>
      <c r="H215" s="1209">
        <f ca="1">VLOOKUP(A215,'銀行-TSS'!A:M,13,FALSE)</f>
        <v>4.4299999999999999E-2</v>
      </c>
      <c r="I215" s="1213">
        <f ca="1">VLOOKUP(A215,'銀行-TSS'!A:N,14,FALSE)</f>
        <v>10000</v>
      </c>
      <c r="J215" s="1213">
        <f ca="1">VLOOKUP(A215,'銀行-TSS'!A:O,15,FALSE)</f>
        <v>1000</v>
      </c>
      <c r="K215" s="136" t="str">
        <f ca="1">VLOOKUP(A215,'銀行-TSS'!A:V,22,FALSE)</f>
        <v>(NPI)非專投</v>
      </c>
      <c r="L215" s="136" t="str">
        <f ca="1">VLOOKUP(A215,'銀行-TSS'!A:AK,37,FALSE)</f>
        <v>有</v>
      </c>
      <c r="M215" s="136" t="str">
        <f ca="1">VLOOKUP(A215,'銀行-TSS'!A:AN,40,FALSE)</f>
        <v/>
      </c>
      <c r="N215" s="1211">
        <f t="shared" ca="1" si="44"/>
        <v>932.6</v>
      </c>
      <c r="O215" s="1211">
        <f t="shared" ca="1" si="45"/>
        <v>9326</v>
      </c>
      <c r="P215" s="1213">
        <f ca="1">IF(AND(換券投組!$D$17&gt;=O215,換券投組!$D$13=D215),I215+INT((換券投組!$D$17-O215)/N215)*J215,0)</f>
        <v>0</v>
      </c>
      <c r="Q215" s="1211">
        <f t="shared" ca="1" si="46"/>
        <v>0</v>
      </c>
      <c r="R215" s="1213">
        <f t="shared" ca="1" si="47"/>
        <v>0</v>
      </c>
      <c r="S215" s="1213">
        <f t="shared" ca="1" si="48"/>
        <v>0</v>
      </c>
      <c r="T215" s="136">
        <f t="shared" ca="1" si="41"/>
        <v>0</v>
      </c>
      <c r="U215" s="861">
        <f t="shared" ca="1" si="42"/>
        <v>0</v>
      </c>
      <c r="V215" s="136" t="b">
        <f ca="1">IF(OR(D215&lt;&gt;"USD",L215="無",M215&lt;&gt;"",K215="高資產",IFERROR(MATCH(B215,換券投組!K:K,0),"N")&lt;&gt;"N",IFERROR(MATCH(B215,換券投組!J:J,0),"N")&lt;&gt;"N"),FALSE,IF($V$1="All",TRUE,IF(K215=$V$1,TRUE,FALSE)))</f>
        <v>1</v>
      </c>
      <c r="W215" s="136">
        <f ca="1">VLOOKUP(A215,'銀行-TSS'!A:AO,41,FALSE)</f>
        <v>90.02000000000001</v>
      </c>
      <c r="X215" s="136">
        <f ca="1">VLOOKUP(A215,'銀行-TSS'!A:AP,42,FALSE)</f>
        <v>6.8879999999999999</v>
      </c>
      <c r="Y215" s="1223">
        <f t="shared" ca="1" si="49"/>
        <v>0</v>
      </c>
      <c r="Z215" s="1211">
        <f t="shared" ca="1" si="50"/>
        <v>0</v>
      </c>
      <c r="AA215" s="136">
        <f ca="1">IF(Z215&lt;=0,0,RANK(Z215,Z:Z)+COUNTIF($Z$3:$Z215,Z215)-1)</f>
        <v>0</v>
      </c>
      <c r="AB215" s="1211">
        <f t="shared" ca="1" si="43"/>
        <v>0</v>
      </c>
      <c r="AC215" s="136">
        <f ca="1">IF(AB215&lt;=0,0,RANK(AB215,AB:AB)+COUNTIF($AB$3:$AB215,AB215)-1)</f>
        <v>0</v>
      </c>
      <c r="AD215" s="136">
        <f t="shared" ca="1" si="51"/>
        <v>99999</v>
      </c>
      <c r="AE215" s="136">
        <f ca="1">IF(AD215=99999,0,RANK(AD215,AD:AD,1)+COUNTIF($AD$3:$AD215,AD215)-1)</f>
        <v>0</v>
      </c>
    </row>
    <row r="216" spans="1:31">
      <c r="A216" s="141" t="str">
        <f>'銀行-TSS'!A216</f>
        <v>XS2454678009</v>
      </c>
      <c r="B216" s="151" t="str">
        <f ca="1">VLOOKUP(A216,'銀行-TSS'!A:B,2,FALSE)</f>
        <v>XH060</v>
      </c>
      <c r="C216" s="151" t="str">
        <f ca="1">VLOOKUP(B216,bond!B:C,2,FALSE)</f>
        <v>卡達國家銀行金融有限公司人民幣配息債券 4% 2027/3/14</v>
      </c>
      <c r="D216" s="95" t="str">
        <f>VLOOKUP(A216,'銀行-TSS'!A:C,3,FALSE)</f>
        <v>CNY</v>
      </c>
      <c r="E216" s="90">
        <f ca="1">VLOOKUP(A216,'銀行-TSS'!A:G,7,FALSE)</f>
        <v>2.69</v>
      </c>
      <c r="F216" s="202">
        <f ca="1">VLOOKUP(A216,'銀行-TSS'!A:H,8,FALSE)</f>
        <v>0.04</v>
      </c>
      <c r="G216" s="96">
        <f ca="1">VLOOKUP(A216,'銀行-TSS'!A:K,11,FALSE)</f>
        <v>105.26</v>
      </c>
      <c r="H216" s="1209">
        <f ca="1">VLOOKUP(A216,'銀行-TSS'!A:M,13,FALSE)</f>
        <v>2.4299999999999999E-2</v>
      </c>
      <c r="I216" s="1213">
        <f ca="1">VLOOKUP(A216,'銀行-TSS'!A:N,14,FALSE)</f>
        <v>1000000</v>
      </c>
      <c r="J216" s="1213">
        <f ca="1">VLOOKUP(A216,'銀行-TSS'!A:O,15,FALSE)</f>
        <v>10000</v>
      </c>
      <c r="K216" s="136" t="str">
        <f ca="1">VLOOKUP(A216,'銀行-TSS'!A:V,22,FALSE)</f>
        <v>(NPI)非專投</v>
      </c>
      <c r="L216" s="136" t="str">
        <f ca="1">VLOOKUP(A216,'銀行-TSS'!A:AK,37,FALSE)</f>
        <v>需查詢</v>
      </c>
      <c r="M216" s="136" t="str">
        <f ca="1">VLOOKUP(A216,'銀行-TSS'!A:AN,40,FALSE)</f>
        <v>XH060</v>
      </c>
      <c r="N216" s="1211">
        <f t="shared" ca="1" si="44"/>
        <v>10526</v>
      </c>
      <c r="O216" s="1211">
        <f t="shared" ca="1" si="45"/>
        <v>1052600</v>
      </c>
      <c r="P216" s="1213">
        <f ca="1">IF(AND(換券投組!$D$17&gt;=O216,換券投組!$D$13=D216),I216+INT((換券投組!$D$17-O216)/N216)*J216,0)</f>
        <v>0</v>
      </c>
      <c r="Q216" s="1211">
        <f t="shared" ca="1" si="46"/>
        <v>0</v>
      </c>
      <c r="R216" s="1213">
        <f t="shared" ca="1" si="47"/>
        <v>0</v>
      </c>
      <c r="S216" s="1213">
        <f t="shared" ca="1" si="48"/>
        <v>0</v>
      </c>
      <c r="T216" s="136">
        <f t="shared" ca="1" si="41"/>
        <v>0</v>
      </c>
      <c r="U216" s="861">
        <f t="shared" ca="1" si="42"/>
        <v>0</v>
      </c>
      <c r="V216" s="136" t="b">
        <f ca="1">IF(OR(D216&lt;&gt;"USD",L216="無",M216&lt;&gt;"",K216="高資產",IFERROR(MATCH(B216,換券投組!K:K,0),"N")&lt;&gt;"N",IFERROR(MATCH(B216,換券投組!J:J,0),"N")&lt;&gt;"N"),FALSE,IF($V$1="All",TRUE,IF(K216=$V$1,TRUE,FALSE)))</f>
        <v>0</v>
      </c>
      <c r="W216" s="136">
        <f ca="1">VLOOKUP(A216,'銀行-TSS'!A:AO,41,FALSE)</f>
        <v>103.04</v>
      </c>
      <c r="X216" s="136">
        <f ca="1">VLOOKUP(A216,'銀行-TSS'!A:AP,42,FALSE)</f>
        <v>2.5495999999999999</v>
      </c>
      <c r="Y216" s="1223">
        <f t="shared" ca="1" si="49"/>
        <v>0</v>
      </c>
      <c r="Z216" s="1211">
        <f t="shared" ca="1" si="50"/>
        <v>0</v>
      </c>
      <c r="AA216" s="136">
        <f ca="1">IF(Z216&lt;=0,0,RANK(Z216,Z:Z)+COUNTIF($Z$3:$Z216,Z216)-1)</f>
        <v>0</v>
      </c>
      <c r="AB216" s="1211">
        <f t="shared" ca="1" si="43"/>
        <v>0</v>
      </c>
      <c r="AC216" s="136">
        <f ca="1">IF(AB216&lt;=0,0,RANK(AB216,AB:AB)+COUNTIF($AB$3:$AB216,AB216)-1)</f>
        <v>0</v>
      </c>
      <c r="AD216" s="136">
        <f t="shared" ca="1" si="51"/>
        <v>99999</v>
      </c>
      <c r="AE216" s="136">
        <f ca="1">IF(AD216=99999,0,RANK(AD216,AD:AD,1)+COUNTIF($AD$3:$AD216,AD216)-1)</f>
        <v>0</v>
      </c>
    </row>
    <row r="217" spans="1:31">
      <c r="A217" s="141" t="str">
        <f>'銀行-TSS'!A217</f>
        <v>US91282CEW73</v>
      </c>
      <c r="B217" s="151" t="str">
        <f ca="1">VLOOKUP(A217,'銀行-TSS'!A:B,2,FALSE)</f>
        <v>XH070</v>
      </c>
      <c r="C217" s="151" t="str">
        <f ca="1">VLOOKUP(B217,bond!B:C,2,FALSE)</f>
        <v>美國政府公債 3.25% 2027/6/30</v>
      </c>
      <c r="D217" s="95" t="str">
        <f>VLOOKUP(A217,'銀行-TSS'!A:C,3,FALSE)</f>
        <v>USD</v>
      </c>
      <c r="E217" s="90">
        <f ca="1">VLOOKUP(A217,'銀行-TSS'!A:G,7,FALSE)</f>
        <v>2.99</v>
      </c>
      <c r="F217" s="202">
        <f ca="1">VLOOKUP(A217,'銀行-TSS'!A:H,8,FALSE)</f>
        <v>3.2500000000000001E-2</v>
      </c>
      <c r="G217" s="96">
        <f ca="1">VLOOKUP(A217,'銀行-TSS'!A:K,11,FALSE)</f>
        <v>97.94</v>
      </c>
      <c r="H217" s="1209">
        <f ca="1">VLOOKUP(A217,'銀行-TSS'!A:M,13,FALSE)</f>
        <v>3.9899999999999998E-2</v>
      </c>
      <c r="I217" s="1213">
        <f ca="1">VLOOKUP(A217,'銀行-TSS'!A:N,14,FALSE)</f>
        <v>10000</v>
      </c>
      <c r="J217" s="1213">
        <f ca="1">VLOOKUP(A217,'銀行-TSS'!A:O,15,FALSE)</f>
        <v>100</v>
      </c>
      <c r="K217" s="136" t="str">
        <f ca="1">VLOOKUP(A217,'銀行-TSS'!A:V,22,FALSE)</f>
        <v>(NPI)非專投</v>
      </c>
      <c r="L217" s="136" t="str">
        <f ca="1">VLOOKUP(A217,'銀行-TSS'!A:AK,37,FALSE)</f>
        <v>有</v>
      </c>
      <c r="M217" s="136" t="str">
        <f ca="1">VLOOKUP(A217,'銀行-TSS'!A:AN,40,FALSE)</f>
        <v/>
      </c>
      <c r="N217" s="1211">
        <f t="shared" ca="1" si="44"/>
        <v>97.94</v>
      </c>
      <c r="O217" s="1211">
        <f t="shared" ca="1" si="45"/>
        <v>9794</v>
      </c>
      <c r="P217" s="1213">
        <f ca="1">IF(AND(換券投組!$D$17&gt;=O217,換券投組!$D$13=D217),I217+INT((換券投組!$D$17-O217)/N217)*J217,0)</f>
        <v>0</v>
      </c>
      <c r="Q217" s="1211">
        <f t="shared" ca="1" si="46"/>
        <v>0</v>
      </c>
      <c r="R217" s="1213">
        <f t="shared" ca="1" si="47"/>
        <v>0</v>
      </c>
      <c r="S217" s="1213">
        <f t="shared" ca="1" si="48"/>
        <v>0</v>
      </c>
      <c r="T217" s="136">
        <f t="shared" ca="1" si="41"/>
        <v>0</v>
      </c>
      <c r="U217" s="861">
        <f t="shared" ca="1" si="42"/>
        <v>0</v>
      </c>
      <c r="V217" s="136" t="b">
        <f ca="1">IF(OR(D217&lt;&gt;"USD",L217="無",M217&lt;&gt;"",K217="高資產",IFERROR(MATCH(B217,換券投組!K:K,0),"N")&lt;&gt;"N",IFERROR(MATCH(B217,換券投組!J:J,0),"N")&lt;&gt;"N"),FALSE,IF($V$1="All",TRUE,IF(K217=$V$1,TRUE,FALSE)))</f>
        <v>1</v>
      </c>
      <c r="W217" s="136">
        <f ca="1">VLOOKUP(A217,'銀行-TSS'!A:AO,41,FALSE)</f>
        <v>96.92</v>
      </c>
      <c r="X217" s="136">
        <f ca="1">VLOOKUP(A217,'銀行-TSS'!A:AP,42,FALSE)</f>
        <v>2.8149999999999999</v>
      </c>
      <c r="Y217" s="1223">
        <f t="shared" ca="1" si="49"/>
        <v>0</v>
      </c>
      <c r="Z217" s="1211">
        <f t="shared" ca="1" si="50"/>
        <v>0</v>
      </c>
      <c r="AA217" s="136">
        <f ca="1">IF(Z217&lt;=0,0,RANK(Z217,Z:Z)+COUNTIF($Z$3:$Z217,Z217)-1)</f>
        <v>0</v>
      </c>
      <c r="AB217" s="1211">
        <f t="shared" ca="1" si="43"/>
        <v>0</v>
      </c>
      <c r="AC217" s="136">
        <f ca="1">IF(AB217&lt;=0,0,RANK(AB217,AB:AB)+COUNTIF($AB$3:$AB217,AB217)-1)</f>
        <v>0</v>
      </c>
      <c r="AD217" s="136">
        <f t="shared" ca="1" si="51"/>
        <v>99999</v>
      </c>
      <c r="AE217" s="136">
        <f ca="1">IF(AD217=99999,0,RANK(AD217,AD:AD,1)+COUNTIF($AD$3:$AD217,AD217)-1)</f>
        <v>0</v>
      </c>
    </row>
    <row r="218" spans="1:31">
      <c r="A218" s="141" t="str">
        <f>'銀行-TSS'!A218</f>
        <v>US912810TK43</v>
      </c>
      <c r="B218" s="151" t="str">
        <f ca="1">VLOOKUP(A218,'銀行-TSS'!A:B,2,FALSE)</f>
        <v>XH080</v>
      </c>
      <c r="C218" s="151" t="str">
        <f ca="1">VLOOKUP(B218,bond!B:C,2,FALSE)</f>
        <v>美國政府公債 3.375% 2042/8/15</v>
      </c>
      <c r="D218" s="95" t="str">
        <f>VLOOKUP(A218,'銀行-TSS'!A:C,3,FALSE)</f>
        <v>USD</v>
      </c>
      <c r="E218" s="90">
        <f ca="1">VLOOKUP(A218,'銀行-TSS'!A:G,7,FALSE)</f>
        <v>18.12</v>
      </c>
      <c r="F218" s="202">
        <f ca="1">VLOOKUP(A218,'銀行-TSS'!A:H,8,FALSE)</f>
        <v>3.3750000000000002E-2</v>
      </c>
      <c r="G218" s="96">
        <f ca="1">VLOOKUP(A218,'銀行-TSS'!A:K,11,FALSE)</f>
        <v>88.25</v>
      </c>
      <c r="H218" s="1209">
        <f ca="1">VLOOKUP(A218,'銀行-TSS'!A:M,13,FALSE)</f>
        <v>4.4299999999999999E-2</v>
      </c>
      <c r="I218" s="1213">
        <f ca="1">VLOOKUP(A218,'銀行-TSS'!A:N,14,FALSE)</f>
        <v>10000</v>
      </c>
      <c r="J218" s="1213">
        <f ca="1">VLOOKUP(A218,'銀行-TSS'!A:O,15,FALSE)</f>
        <v>100</v>
      </c>
      <c r="K218" s="136" t="str">
        <f ca="1">VLOOKUP(A218,'銀行-TSS'!A:V,22,FALSE)</f>
        <v>(NPI)非專投</v>
      </c>
      <c r="L218" s="136" t="str">
        <f ca="1">VLOOKUP(A218,'銀行-TSS'!A:AK,37,FALSE)</f>
        <v>有</v>
      </c>
      <c r="M218" s="136" t="str">
        <f ca="1">VLOOKUP(A218,'銀行-TSS'!A:AN,40,FALSE)</f>
        <v/>
      </c>
      <c r="N218" s="1211">
        <f t="shared" ca="1" si="44"/>
        <v>88.25</v>
      </c>
      <c r="O218" s="1211">
        <f t="shared" ca="1" si="45"/>
        <v>8825</v>
      </c>
      <c r="P218" s="1213">
        <f ca="1">IF(AND(換券投組!$D$17&gt;=O218,換券投組!$D$13=D218),I218+INT((換券投組!$D$17-O218)/N218)*J218,0)</f>
        <v>0</v>
      </c>
      <c r="Q218" s="1211">
        <f t="shared" ca="1" si="46"/>
        <v>0</v>
      </c>
      <c r="R218" s="1213">
        <f t="shared" ca="1" si="47"/>
        <v>0</v>
      </c>
      <c r="S218" s="1213">
        <f t="shared" ca="1" si="48"/>
        <v>0</v>
      </c>
      <c r="T218" s="136">
        <f t="shared" ca="1" si="41"/>
        <v>0</v>
      </c>
      <c r="U218" s="861">
        <f t="shared" ca="1" si="42"/>
        <v>0</v>
      </c>
      <c r="V218" s="136" t="b">
        <f ca="1">IF(OR(D218&lt;&gt;"USD",L218="無",M218&lt;&gt;"",K218="高資產",IFERROR(MATCH(B218,換券投組!K:K,0),"N")&lt;&gt;"N",IFERROR(MATCH(B218,換券投組!J:J,0),"N")&lt;&gt;"N"),FALSE,IF($V$1="All",TRUE,IF(K218=$V$1,TRUE,FALSE)))</f>
        <v>1</v>
      </c>
      <c r="W218" s="136">
        <f ca="1">VLOOKUP(A218,'銀行-TSS'!A:AO,41,FALSE)</f>
        <v>84.97</v>
      </c>
      <c r="X218" s="136">
        <f ca="1">VLOOKUP(A218,'銀行-TSS'!A:AP,42,FALSE)</f>
        <v>12.7896</v>
      </c>
      <c r="Y218" s="1223">
        <f t="shared" ca="1" si="49"/>
        <v>0</v>
      </c>
      <c r="Z218" s="1211">
        <f t="shared" ca="1" si="50"/>
        <v>0</v>
      </c>
      <c r="AA218" s="136">
        <f ca="1">IF(Z218&lt;=0,0,RANK(Z218,Z:Z)+COUNTIF($Z$3:$Z218,Z218)-1)</f>
        <v>0</v>
      </c>
      <c r="AB218" s="1211">
        <f t="shared" ca="1" si="43"/>
        <v>0</v>
      </c>
      <c r="AC218" s="136">
        <f ca="1">IF(AB218&lt;=0,0,RANK(AB218,AB:AB)+COUNTIF($AB$3:$AB218,AB218)-1)</f>
        <v>0</v>
      </c>
      <c r="AD218" s="136">
        <f t="shared" ca="1" si="51"/>
        <v>99999</v>
      </c>
      <c r="AE218" s="136">
        <f ca="1">IF(AD218=99999,0,RANK(AD218,AD:AD,1)+COUNTIF($AD$3:$AD218,AD218)-1)</f>
        <v>0</v>
      </c>
    </row>
    <row r="219" spans="1:31">
      <c r="A219" s="141" t="str">
        <f>'銀行-TSS'!A219</f>
        <v>US91282CFN65</v>
      </c>
      <c r="B219" s="151" t="str">
        <f ca="1">VLOOKUP(A219,'銀行-TSS'!A:B,2,FALSE)</f>
        <v>XH130</v>
      </c>
      <c r="C219" s="151" t="str">
        <f ca="1">VLOOKUP(B219,bond!B:C,2,FALSE)</f>
        <v>美國政府公債 4.25% 2024/9/30</v>
      </c>
      <c r="D219" s="95" t="str">
        <f>VLOOKUP(A219,'銀行-TSS'!A:C,3,FALSE)</f>
        <v>USD</v>
      </c>
      <c r="E219" s="90">
        <f ca="1">VLOOKUP(A219,'銀行-TSS'!A:G,7,FALSE)</f>
        <v>0.25</v>
      </c>
      <c r="F219" s="202">
        <f ca="1">VLOOKUP(A219,'銀行-TSS'!A:H,8,FALSE)</f>
        <v>4.2500000000000003E-2</v>
      </c>
      <c r="G219" s="96">
        <f ca="1">VLOOKUP(A219,'銀行-TSS'!A:K,11,FALSE)</f>
        <v>101.25</v>
      </c>
      <c r="H219" s="1209">
        <f ca="1">VLOOKUP(A219,'銀行-TSS'!A:M,13,FALSE)</f>
        <v>3.5099999999999999E-2</v>
      </c>
      <c r="I219" s="1213">
        <f ca="1">VLOOKUP(A219,'銀行-TSS'!A:N,14,FALSE)</f>
        <v>10000</v>
      </c>
      <c r="J219" s="1213">
        <f ca="1">VLOOKUP(A219,'銀行-TSS'!A:O,15,FALSE)</f>
        <v>100</v>
      </c>
      <c r="K219" s="136" t="str">
        <f ca="1">VLOOKUP(A219,'銀行-TSS'!A:V,22,FALSE)</f>
        <v>(NPI)非專投</v>
      </c>
      <c r="L219" s="136" t="str">
        <f ca="1">VLOOKUP(A219,'銀行-TSS'!A:AK,37,FALSE)</f>
        <v>有</v>
      </c>
      <c r="M219" s="136" t="str">
        <f ca="1">VLOOKUP(A219,'銀行-TSS'!A:AN,40,FALSE)</f>
        <v/>
      </c>
      <c r="N219" s="1211">
        <f t="shared" ca="1" si="44"/>
        <v>101.25</v>
      </c>
      <c r="O219" s="1211">
        <f t="shared" ca="1" si="45"/>
        <v>10125</v>
      </c>
      <c r="P219" s="1213">
        <f ca="1">IF(AND(換券投組!$D$17&gt;=O219,換券投組!$D$13=D219),I219+INT((換券投組!$D$17-O219)/N219)*J219,0)</f>
        <v>0</v>
      </c>
      <c r="Q219" s="1211">
        <f t="shared" ca="1" si="46"/>
        <v>0</v>
      </c>
      <c r="R219" s="1213">
        <f t="shared" ca="1" si="47"/>
        <v>0</v>
      </c>
      <c r="S219" s="1213">
        <f t="shared" ca="1" si="48"/>
        <v>0</v>
      </c>
      <c r="T219" s="136">
        <f t="shared" ca="1" si="41"/>
        <v>0</v>
      </c>
      <c r="U219" s="861">
        <f t="shared" ca="1" si="42"/>
        <v>0</v>
      </c>
      <c r="V219" s="136" t="b">
        <f ca="1">IF(OR(D219&lt;&gt;"USD",L219="無",M219&lt;&gt;"",K219="高資產",IFERROR(MATCH(B219,換券投組!K:K,0),"N")&lt;&gt;"N",IFERROR(MATCH(B219,換券投組!J:J,0),"N")&lt;&gt;"N"),FALSE,IF($V$1="All",TRUE,IF(K219=$V$1,TRUE,FALSE)))</f>
        <v>1</v>
      </c>
      <c r="W219" s="136">
        <f ca="1">VLOOKUP(A219,'銀行-TSS'!A:AO,41,FALSE)</f>
        <v>100.07000000000001</v>
      </c>
      <c r="X219" s="136">
        <f ca="1">VLOOKUP(A219,'銀行-TSS'!A:AP,42,FALSE)</f>
        <v>0.24329999999999999</v>
      </c>
      <c r="Y219" s="1223">
        <f t="shared" ca="1" si="49"/>
        <v>0</v>
      </c>
      <c r="Z219" s="1211">
        <f t="shared" ca="1" si="50"/>
        <v>0</v>
      </c>
      <c r="AA219" s="136">
        <f ca="1">IF(Z219&lt;=0,0,RANK(Z219,Z:Z)+COUNTIF($Z$3:$Z219,Z219)-1)</f>
        <v>0</v>
      </c>
      <c r="AB219" s="1211">
        <f t="shared" ca="1" si="43"/>
        <v>0</v>
      </c>
      <c r="AC219" s="136">
        <f ca="1">IF(AB219&lt;=0,0,RANK(AB219,AB:AB)+COUNTIF($AB$3:$AB219,AB219)-1)</f>
        <v>0</v>
      </c>
      <c r="AD219" s="136">
        <f t="shared" ca="1" si="51"/>
        <v>99999</v>
      </c>
      <c r="AE219" s="136">
        <f ca="1">IF(AD219=99999,0,RANK(AD219,AD:AD,1)+COUNTIF($AD$3:$AD219,AD219)-1)</f>
        <v>0</v>
      </c>
    </row>
    <row r="220" spans="1:31">
      <c r="A220" s="141" t="str">
        <f>'銀行-TSS'!A220</f>
        <v>US91282CFK27</v>
      </c>
      <c r="B220" s="151" t="str">
        <f ca="1">VLOOKUP(A220,'銀行-TSS'!A:B,2,FALSE)</f>
        <v>XH140</v>
      </c>
      <c r="C220" s="151" t="str">
        <f ca="1">VLOOKUP(B220,bond!B:C,2,FALSE)</f>
        <v>美國政府公債 3.5% 2025/9/15</v>
      </c>
      <c r="D220" s="95" t="str">
        <f>VLOOKUP(A220,'銀行-TSS'!A:C,3,FALSE)</f>
        <v>USD</v>
      </c>
      <c r="E220" s="90">
        <f ca="1">VLOOKUP(A220,'銀行-TSS'!A:G,7,FALSE)</f>
        <v>1.2</v>
      </c>
      <c r="F220" s="202">
        <f ca="1">VLOOKUP(A220,'銀行-TSS'!A:H,8,FALSE)</f>
        <v>3.5000000000000003E-2</v>
      </c>
      <c r="G220" s="96">
        <f ca="1">VLOOKUP(A220,'銀行-TSS'!A:K,11,FALSE)</f>
        <v>100.07</v>
      </c>
      <c r="H220" s="1209">
        <f ca="1">VLOOKUP(A220,'銀行-TSS'!A:M,13,FALSE)</f>
        <v>4.3299999999999998E-2</v>
      </c>
      <c r="I220" s="1213">
        <f ca="1">VLOOKUP(A220,'銀行-TSS'!A:N,14,FALSE)</f>
        <v>10000</v>
      </c>
      <c r="J220" s="1213">
        <f ca="1">VLOOKUP(A220,'銀行-TSS'!A:O,15,FALSE)</f>
        <v>100</v>
      </c>
      <c r="K220" s="136" t="str">
        <f ca="1">VLOOKUP(A220,'銀行-TSS'!A:V,22,FALSE)</f>
        <v>(NPI)非專投</v>
      </c>
      <c r="L220" s="136" t="str">
        <f ca="1">VLOOKUP(A220,'銀行-TSS'!A:AK,37,FALSE)</f>
        <v>有</v>
      </c>
      <c r="M220" s="136" t="str">
        <f ca="1">VLOOKUP(A220,'銀行-TSS'!A:AN,40,FALSE)</f>
        <v/>
      </c>
      <c r="N220" s="1211">
        <f t="shared" ca="1" si="44"/>
        <v>100.07</v>
      </c>
      <c r="O220" s="1211">
        <f t="shared" ca="1" si="45"/>
        <v>10006.999999999998</v>
      </c>
      <c r="P220" s="1213">
        <f ca="1">IF(AND(換券投組!$D$17&gt;=O220,換券投組!$D$13=D220),I220+INT((換券投組!$D$17-O220)/N220)*J220,0)</f>
        <v>0</v>
      </c>
      <c r="Q220" s="1211">
        <f t="shared" ca="1" si="46"/>
        <v>0</v>
      </c>
      <c r="R220" s="1213">
        <f t="shared" ca="1" si="47"/>
        <v>0</v>
      </c>
      <c r="S220" s="1213">
        <f t="shared" ca="1" si="48"/>
        <v>0</v>
      </c>
      <c r="T220" s="136">
        <f t="shared" ca="1" si="41"/>
        <v>0</v>
      </c>
      <c r="U220" s="861">
        <f t="shared" ca="1" si="42"/>
        <v>0</v>
      </c>
      <c r="V220" s="136" t="b">
        <f ca="1">IF(OR(D220&lt;&gt;"USD",L220="無",M220&lt;&gt;"",K220="高資產",IFERROR(MATCH(B220,換券投組!K:K,0),"N")&lt;&gt;"N",IFERROR(MATCH(B220,換券投組!J:J,0),"N")&lt;&gt;"N"),FALSE,IF($V$1="All",TRUE,IF(K220=$V$1,TRUE,FALSE)))</f>
        <v>1</v>
      </c>
      <c r="W220" s="136">
        <f ca="1">VLOOKUP(A220,'銀行-TSS'!A:AO,41,FALSE)</f>
        <v>98.53</v>
      </c>
      <c r="X220" s="136">
        <f ca="1">VLOOKUP(A220,'銀行-TSS'!A:AP,42,FALSE)</f>
        <v>1.1508</v>
      </c>
      <c r="Y220" s="1223">
        <f t="shared" ca="1" si="49"/>
        <v>0</v>
      </c>
      <c r="Z220" s="1211">
        <f t="shared" ca="1" si="50"/>
        <v>0</v>
      </c>
      <c r="AA220" s="136">
        <f ca="1">IF(Z220&lt;=0,0,RANK(Z220,Z:Z)+COUNTIF($Z$3:$Z220,Z220)-1)</f>
        <v>0</v>
      </c>
      <c r="AB220" s="1211">
        <f t="shared" ca="1" si="43"/>
        <v>0</v>
      </c>
      <c r="AC220" s="136">
        <f ca="1">IF(AB220&lt;=0,0,RANK(AB220,AB:AB)+COUNTIF($AB$3:$AB220,AB220)-1)</f>
        <v>0</v>
      </c>
      <c r="AD220" s="136">
        <f t="shared" ca="1" si="51"/>
        <v>99999</v>
      </c>
      <c r="AE220" s="136">
        <f ca="1">IF(AD220=99999,0,RANK(AD220,AD:AD,1)+COUNTIF($AD$3:$AD220,AD220)-1)</f>
        <v>0</v>
      </c>
    </row>
    <row r="221" spans="1:31">
      <c r="A221" s="141" t="str">
        <f>'銀行-TSS'!A221</f>
        <v>US686330AQ49</v>
      </c>
      <c r="B221" s="151" t="str">
        <f ca="1">VLOOKUP(A221,'銀行-TSS'!A:B,2,FALSE)</f>
        <v>XH150</v>
      </c>
      <c r="C221" s="151" t="str">
        <f ca="1">VLOOKUP(B221,bond!B:C,2,FALSE)</f>
        <v>歐力士公司美元配息債券 5% 2027/9/13</v>
      </c>
      <c r="D221" s="95" t="str">
        <f>VLOOKUP(A221,'銀行-TSS'!A:C,3,FALSE)</f>
        <v>USD</v>
      </c>
      <c r="E221" s="90">
        <f ca="1">VLOOKUP(A221,'銀行-TSS'!A:G,7,FALSE)</f>
        <v>3.2</v>
      </c>
      <c r="F221" s="202">
        <f ca="1">VLOOKUP(A221,'銀行-TSS'!A:H,8,FALSE)</f>
        <v>0.05</v>
      </c>
      <c r="G221" s="96">
        <f ca="1">VLOOKUP(A221,'銀行-TSS'!A:K,11,FALSE)</f>
        <v>102.93</v>
      </c>
      <c r="H221" s="1209">
        <f ca="1">VLOOKUP(A221,'銀行-TSS'!A:M,13,FALSE)</f>
        <v>4.5199999999999997E-2</v>
      </c>
      <c r="I221" s="1213">
        <f ca="1">VLOOKUP(A221,'銀行-TSS'!A:N,14,FALSE)</f>
        <v>10000</v>
      </c>
      <c r="J221" s="1213">
        <f ca="1">VLOOKUP(A221,'銀行-TSS'!A:O,15,FALSE)</f>
        <v>1000</v>
      </c>
      <c r="K221" s="136" t="str">
        <f ca="1">VLOOKUP(A221,'銀行-TSS'!A:V,22,FALSE)</f>
        <v>(NPI)非專投</v>
      </c>
      <c r="L221" s="136" t="str">
        <f ca="1">VLOOKUP(A221,'銀行-TSS'!A:AK,37,FALSE)</f>
        <v>有</v>
      </c>
      <c r="M221" s="136" t="str">
        <f ca="1">VLOOKUP(A221,'銀行-TSS'!A:AN,40,FALSE)</f>
        <v/>
      </c>
      <c r="N221" s="1211">
        <f t="shared" ca="1" si="44"/>
        <v>1029.3</v>
      </c>
      <c r="O221" s="1211">
        <f t="shared" ca="1" si="45"/>
        <v>10293.000000000002</v>
      </c>
      <c r="P221" s="1213">
        <f ca="1">IF(AND(換券投組!$D$17&gt;=O221,換券投組!$D$13=D221),I221+INT((換券投組!$D$17-O221)/N221)*J221,0)</f>
        <v>0</v>
      </c>
      <c r="Q221" s="1211">
        <f t="shared" ca="1" si="46"/>
        <v>0</v>
      </c>
      <c r="R221" s="1213">
        <f t="shared" ca="1" si="47"/>
        <v>0</v>
      </c>
      <c r="S221" s="1213">
        <f t="shared" ca="1" si="48"/>
        <v>0</v>
      </c>
      <c r="T221" s="136">
        <f t="shared" ca="1" si="41"/>
        <v>0</v>
      </c>
      <c r="U221" s="861">
        <f t="shared" ca="1" si="42"/>
        <v>0</v>
      </c>
      <c r="V221" s="136" t="b">
        <f ca="1">IF(OR(D221&lt;&gt;"USD",L221="無",M221&lt;&gt;"",K221="高資產",IFERROR(MATCH(B221,換券投組!K:K,0),"N")&lt;&gt;"N",IFERROR(MATCH(B221,換券投組!J:J,0),"N")&lt;&gt;"N"),FALSE,IF($V$1="All",TRUE,IF(K221=$V$1,TRUE,FALSE)))</f>
        <v>1</v>
      </c>
      <c r="W221" s="136">
        <f ca="1">VLOOKUP(A221,'銀行-TSS'!A:AO,41,FALSE)</f>
        <v>100.42</v>
      </c>
      <c r="X221" s="136">
        <f ca="1">VLOOKUP(A221,'銀行-TSS'!A:AP,42,FALSE)</f>
        <v>2.8818000000000001</v>
      </c>
      <c r="Y221" s="1223">
        <f t="shared" ca="1" si="49"/>
        <v>0</v>
      </c>
      <c r="Z221" s="1211">
        <f t="shared" ca="1" si="50"/>
        <v>0</v>
      </c>
      <c r="AA221" s="136">
        <f ca="1">IF(Z221&lt;=0,0,RANK(Z221,Z:Z)+COUNTIF($Z$3:$Z221,Z221)-1)</f>
        <v>0</v>
      </c>
      <c r="AB221" s="1211">
        <f t="shared" ca="1" si="43"/>
        <v>0</v>
      </c>
      <c r="AC221" s="136">
        <f ca="1">IF(AB221&lt;=0,0,RANK(AB221,AB:AB)+COUNTIF($AB$3:$AB221,AB221)-1)</f>
        <v>0</v>
      </c>
      <c r="AD221" s="136">
        <f t="shared" ca="1" si="51"/>
        <v>99999</v>
      </c>
      <c r="AE221" s="136">
        <f ca="1">IF(AD221=99999,0,RANK(AD221,AD:AD,1)+COUNTIF($AD$3:$AD221,AD221)-1)</f>
        <v>0</v>
      </c>
    </row>
    <row r="222" spans="1:31">
      <c r="A222" s="141" t="str">
        <f>'銀行-TSS'!A222</f>
        <v>US60687YCL11</v>
      </c>
      <c r="B222" s="151" t="str">
        <f ca="1">VLOOKUP(A222,'銀行-TSS'!A:B,2,FALSE)</f>
        <v>XH160</v>
      </c>
      <c r="C222" s="151" t="str">
        <f ca="1">VLOOKUP(B222,bond!B:C,2,FALSE)</f>
        <v>瑞穗金融集團美元配息債券 5.414% 2028/9/13</v>
      </c>
      <c r="D222" s="95" t="str">
        <f>VLOOKUP(A222,'銀行-TSS'!A:C,3,FALSE)</f>
        <v>USD</v>
      </c>
      <c r="E222" s="90">
        <f ca="1">VLOOKUP(A222,'銀行-TSS'!A:G,7,FALSE)</f>
        <v>4.2</v>
      </c>
      <c r="F222" s="202">
        <f ca="1">VLOOKUP(A222,'銀行-TSS'!A:H,8,FALSE)</f>
        <v>5.4139999999999994E-2</v>
      </c>
      <c r="G222" s="96">
        <f ca="1">VLOOKUP(A222,'銀行-TSS'!A:K,11,FALSE)</f>
        <v>103.85</v>
      </c>
      <c r="H222" s="1209">
        <f ca="1">VLOOKUP(A222,'銀行-TSS'!A:M,13,FALSE)</f>
        <v>5.1999999999999998E-2</v>
      </c>
      <c r="I222" s="1213">
        <f ca="1">VLOOKUP(A222,'銀行-TSS'!A:N,14,FALSE)</f>
        <v>200000</v>
      </c>
      <c r="J222" s="1213">
        <f ca="1">VLOOKUP(A222,'銀行-TSS'!A:O,15,FALSE)</f>
        <v>1000</v>
      </c>
      <c r="K222" s="136" t="str">
        <f ca="1">VLOOKUP(A222,'銀行-TSS'!A:V,22,FALSE)</f>
        <v>(PI)專投</v>
      </c>
      <c r="L222" s="136" t="str">
        <f ca="1">VLOOKUP(A222,'銀行-TSS'!A:AK,37,FALSE)</f>
        <v>有</v>
      </c>
      <c r="M222" s="136" t="str">
        <f ca="1">VLOOKUP(A222,'銀行-TSS'!A:AN,40,FALSE)</f>
        <v/>
      </c>
      <c r="N222" s="1211">
        <f t="shared" ca="1" si="44"/>
        <v>1038.5</v>
      </c>
      <c r="O222" s="1211">
        <f t="shared" ca="1" si="45"/>
        <v>207700</v>
      </c>
      <c r="P222" s="1213">
        <f ca="1">IF(AND(換券投組!$D$17&gt;=O222,換券投組!$D$13=D222),I222+INT((換券投組!$D$17-O222)/N222)*J222,0)</f>
        <v>0</v>
      </c>
      <c r="Q222" s="1211">
        <f t="shared" ca="1" si="46"/>
        <v>0</v>
      </c>
      <c r="R222" s="1213">
        <f t="shared" ca="1" si="47"/>
        <v>0</v>
      </c>
      <c r="S222" s="1213">
        <f t="shared" ca="1" si="48"/>
        <v>0</v>
      </c>
      <c r="T222" s="136">
        <f t="shared" ca="1" si="41"/>
        <v>0</v>
      </c>
      <c r="U222" s="861">
        <f t="shared" ca="1" si="42"/>
        <v>0</v>
      </c>
      <c r="V222" s="136" t="b">
        <f ca="1">IF(OR(D222&lt;&gt;"USD",L222="無",M222&lt;&gt;"",K222="高資產",IFERROR(MATCH(B222,換券投組!K:K,0),"N")&lt;&gt;"N",IFERROR(MATCH(B222,換券投組!J:J,0),"N")&lt;&gt;"N"),FALSE,IF($V$1="All",TRUE,IF(K222=$V$1,TRUE,FALSE)))</f>
        <v>1</v>
      </c>
      <c r="W222" s="136">
        <f ca="1">VLOOKUP(A222,'銀行-TSS'!A:AO,41,FALSE)</f>
        <v>100.71000000000001</v>
      </c>
      <c r="X222" s="136">
        <f ca="1">VLOOKUP(A222,'銀行-TSS'!A:AP,42,FALSE)</f>
        <v>2.8628999999999998</v>
      </c>
      <c r="Y222" s="1223">
        <f t="shared" ca="1" si="49"/>
        <v>0</v>
      </c>
      <c r="Z222" s="1211">
        <f t="shared" ca="1" si="50"/>
        <v>0</v>
      </c>
      <c r="AA222" s="136">
        <f ca="1">IF(Z222&lt;=0,0,RANK(Z222,Z:Z)+COUNTIF($Z$3:$Z222,Z222)-1)</f>
        <v>0</v>
      </c>
      <c r="AB222" s="1211">
        <f t="shared" ca="1" si="43"/>
        <v>0</v>
      </c>
      <c r="AC222" s="136">
        <f ca="1">IF(AB222&lt;=0,0,RANK(AB222,AB:AB)+COUNTIF($AB$3:$AB222,AB222)-1)</f>
        <v>0</v>
      </c>
      <c r="AD222" s="136">
        <f t="shared" ca="1" si="51"/>
        <v>99999</v>
      </c>
      <c r="AE222" s="136">
        <f ca="1">IF(AD222=99999,0,RANK(AD222,AD:AD,1)+COUNTIF($AD$3:$AD222,AD222)-1)</f>
        <v>0</v>
      </c>
    </row>
    <row r="223" spans="1:31">
      <c r="A223" s="141" t="str">
        <f>'銀行-TSS'!A223</f>
        <v>US06051GGA13</v>
      </c>
      <c r="B223" s="151" t="str">
        <f ca="1">VLOOKUP(A223,'銀行-TSS'!A:B,2,FALSE)</f>
        <v>XH170</v>
      </c>
      <c r="C223" s="151" t="str">
        <f ca="1">VLOOKUP(B223,bond!B:C,2,FALSE)</f>
        <v>美國銀行美元配息債券 3.248% 2027/10/21</v>
      </c>
      <c r="D223" s="95" t="str">
        <f>VLOOKUP(A223,'銀行-TSS'!A:C,3,FALSE)</f>
        <v>USD</v>
      </c>
      <c r="E223" s="90">
        <f ca="1">VLOOKUP(A223,'銀行-TSS'!A:G,7,FALSE)</f>
        <v>3.3</v>
      </c>
      <c r="F223" s="202">
        <f ca="1">VLOOKUP(A223,'銀行-TSS'!A:H,8,FALSE)</f>
        <v>3.2480000000000002E-2</v>
      </c>
      <c r="G223" s="96">
        <f ca="1">VLOOKUP(A223,'銀行-TSS'!A:K,11,FALSE)</f>
        <v>96.92</v>
      </c>
      <c r="H223" s="1209">
        <f ca="1">VLOOKUP(A223,'銀行-TSS'!A:M,13,FALSE)</f>
        <v>4.4699999999999997E-2</v>
      </c>
      <c r="I223" s="1213">
        <f ca="1">VLOOKUP(A223,'銀行-TSS'!A:N,14,FALSE)</f>
        <v>10000</v>
      </c>
      <c r="J223" s="1213">
        <f ca="1">VLOOKUP(A223,'銀行-TSS'!A:O,15,FALSE)</f>
        <v>1000</v>
      </c>
      <c r="K223" s="136" t="str">
        <f ca="1">VLOOKUP(A223,'銀行-TSS'!A:V,22,FALSE)</f>
        <v>(PI)專投</v>
      </c>
      <c r="L223" s="136" t="str">
        <f ca="1">VLOOKUP(A223,'銀行-TSS'!A:AK,37,FALSE)</f>
        <v>有</v>
      </c>
      <c r="M223" s="136" t="str">
        <f ca="1">VLOOKUP(A223,'銀行-TSS'!A:AN,40,FALSE)</f>
        <v/>
      </c>
      <c r="N223" s="1211">
        <f t="shared" ca="1" si="44"/>
        <v>969.2</v>
      </c>
      <c r="O223" s="1211">
        <f t="shared" ca="1" si="45"/>
        <v>9692</v>
      </c>
      <c r="P223" s="1213">
        <f ca="1">IF(AND(換券投組!$D$17&gt;=O223,換券投組!$D$13=D223),I223+INT((換券投組!$D$17-O223)/N223)*J223,0)</f>
        <v>0</v>
      </c>
      <c r="Q223" s="1211">
        <f t="shared" ca="1" si="46"/>
        <v>0</v>
      </c>
      <c r="R223" s="1213">
        <f t="shared" ca="1" si="47"/>
        <v>0</v>
      </c>
      <c r="S223" s="1213">
        <f t="shared" ca="1" si="48"/>
        <v>0</v>
      </c>
      <c r="T223" s="136">
        <f t="shared" ca="1" si="41"/>
        <v>0</v>
      </c>
      <c r="U223" s="861">
        <f t="shared" ca="1" si="42"/>
        <v>0</v>
      </c>
      <c r="V223" s="136" t="b">
        <f ca="1">IF(OR(D223&lt;&gt;"USD",L223="無",M223&lt;&gt;"",K223="高資產",IFERROR(MATCH(B223,換券投組!K:K,0),"N")&lt;&gt;"N",IFERROR(MATCH(B223,換券投組!J:J,0),"N")&lt;&gt;"N"),FALSE,IF($V$1="All",TRUE,IF(K223=$V$1,TRUE,FALSE)))</f>
        <v>1</v>
      </c>
      <c r="W223" s="136">
        <f ca="1">VLOOKUP(A223,'銀行-TSS'!A:AO,41,FALSE)</f>
        <v>95.08</v>
      </c>
      <c r="X223" s="136">
        <f ca="1">VLOOKUP(A223,'銀行-TSS'!A:AP,42,FALSE)</f>
        <v>3.0607000000000002</v>
      </c>
      <c r="Y223" s="1223">
        <f t="shared" ca="1" si="49"/>
        <v>0</v>
      </c>
      <c r="Z223" s="1211">
        <f t="shared" ca="1" si="50"/>
        <v>0</v>
      </c>
      <c r="AA223" s="136">
        <f ca="1">IF(Z223&lt;=0,0,RANK(Z223,Z:Z)+COUNTIF($Z$3:$Z223,Z223)-1)</f>
        <v>0</v>
      </c>
      <c r="AB223" s="1211">
        <f t="shared" ca="1" si="43"/>
        <v>0</v>
      </c>
      <c r="AC223" s="136">
        <f ca="1">IF(AB223&lt;=0,0,RANK(AB223,AB:AB)+COUNTIF($AB$3:$AB223,AB223)-1)</f>
        <v>0</v>
      </c>
      <c r="AD223" s="136">
        <f t="shared" ca="1" si="51"/>
        <v>99999</v>
      </c>
      <c r="AE223" s="136">
        <f ca="1">IF(AD223=99999,0,RANK(AD223,AD:AD,1)+COUNTIF($AD$3:$AD223,AD223)-1)</f>
        <v>0</v>
      </c>
    </row>
    <row r="224" spans="1:31">
      <c r="A224" s="141" t="str">
        <f>'銀行-TSS'!A224</f>
        <v>US438516CK03</v>
      </c>
      <c r="B224" s="151" t="str">
        <f ca="1">VLOOKUP(A224,'銀行-TSS'!A:B,2,FALSE)</f>
        <v>XH180</v>
      </c>
      <c r="C224" s="151" t="str">
        <f ca="1">VLOOKUP(B224,bond!B:C,2,FALSE)</f>
        <v>漢威聯合國際公司美元配息債券 5% 2033/2/15</v>
      </c>
      <c r="D224" s="95" t="str">
        <f>VLOOKUP(A224,'銀行-TSS'!A:C,3,FALSE)</f>
        <v>USD</v>
      </c>
      <c r="E224" s="90">
        <f ca="1">VLOOKUP(A224,'銀行-TSS'!A:G,7,FALSE)</f>
        <v>8.6199999999999992</v>
      </c>
      <c r="F224" s="202">
        <f ca="1">VLOOKUP(A224,'銀行-TSS'!A:H,8,FALSE)</f>
        <v>0.05</v>
      </c>
      <c r="G224" s="96">
        <f ca="1">VLOOKUP(A224,'銀行-TSS'!A:K,11,FALSE)</f>
        <v>103.93</v>
      </c>
      <c r="H224" s="1209">
        <f ca="1">VLOOKUP(A224,'銀行-TSS'!A:M,13,FALSE)</f>
        <v>4.7100000000000003E-2</v>
      </c>
      <c r="I224" s="1213">
        <f ca="1">VLOOKUP(A224,'銀行-TSS'!A:N,14,FALSE)</f>
        <v>10000</v>
      </c>
      <c r="J224" s="1213">
        <f ca="1">VLOOKUP(A224,'銀行-TSS'!A:O,15,FALSE)</f>
        <v>1000</v>
      </c>
      <c r="K224" s="136" t="str">
        <f ca="1">VLOOKUP(A224,'銀行-TSS'!A:V,22,FALSE)</f>
        <v>(NPI)非專投</v>
      </c>
      <c r="L224" s="136" t="str">
        <f ca="1">VLOOKUP(A224,'銀行-TSS'!A:AK,37,FALSE)</f>
        <v>有</v>
      </c>
      <c r="M224" s="136" t="str">
        <f ca="1">VLOOKUP(A224,'銀行-TSS'!A:AN,40,FALSE)</f>
        <v/>
      </c>
      <c r="N224" s="1211">
        <f t="shared" ca="1" si="44"/>
        <v>1039.3</v>
      </c>
      <c r="O224" s="1211">
        <f t="shared" ca="1" si="45"/>
        <v>10393.000000000002</v>
      </c>
      <c r="P224" s="1213">
        <f ca="1">IF(AND(換券投組!$D$17&gt;=O224,換券投組!$D$13=D224),I224+INT((換券投組!$D$17-O224)/N224)*J224,0)</f>
        <v>0</v>
      </c>
      <c r="Q224" s="1211">
        <f t="shared" ca="1" si="46"/>
        <v>0</v>
      </c>
      <c r="R224" s="1213">
        <f t="shared" ca="1" si="47"/>
        <v>0</v>
      </c>
      <c r="S224" s="1213">
        <f t="shared" ca="1" si="48"/>
        <v>0</v>
      </c>
      <c r="T224" s="136">
        <f t="shared" ca="1" si="41"/>
        <v>0</v>
      </c>
      <c r="U224" s="861">
        <f t="shared" ca="1" si="42"/>
        <v>0</v>
      </c>
      <c r="V224" s="136" t="b">
        <f ca="1">IF(OR(D224&lt;&gt;"USD",L224="無",M224&lt;&gt;"",K224="高資產",IFERROR(MATCH(B224,換券投組!K:K,0),"N")&lt;&gt;"N",IFERROR(MATCH(B224,換券投組!J:J,0),"N")&lt;&gt;"N"),FALSE,IF($V$1="All",TRUE,IF(K224=$V$1,TRUE,FALSE)))</f>
        <v>1</v>
      </c>
      <c r="W224" s="136">
        <f ca="1">VLOOKUP(A224,'銀行-TSS'!A:AO,41,FALSE)</f>
        <v>100.53</v>
      </c>
      <c r="X224" s="136">
        <f ca="1">VLOOKUP(A224,'銀行-TSS'!A:AP,42,FALSE)</f>
        <v>6.6574</v>
      </c>
      <c r="Y224" s="1223">
        <f t="shared" ca="1" si="49"/>
        <v>0</v>
      </c>
      <c r="Z224" s="1211">
        <f t="shared" ca="1" si="50"/>
        <v>0</v>
      </c>
      <c r="AA224" s="136">
        <f ca="1">IF(Z224&lt;=0,0,RANK(Z224,Z:Z)+COUNTIF($Z$3:$Z224,Z224)-1)</f>
        <v>0</v>
      </c>
      <c r="AB224" s="1211">
        <f t="shared" ca="1" si="43"/>
        <v>0</v>
      </c>
      <c r="AC224" s="136">
        <f ca="1">IF(AB224&lt;=0,0,RANK(AB224,AB:AB)+COUNTIF($AB$3:$AB224,AB224)-1)</f>
        <v>0</v>
      </c>
      <c r="AD224" s="136">
        <f t="shared" ca="1" si="51"/>
        <v>99999</v>
      </c>
      <c r="AE224" s="136">
        <f ca="1">IF(AD224=99999,0,RANK(AD224,AD:AD,1)+COUNTIF($AD$3:$AD224,AD224)-1)</f>
        <v>0</v>
      </c>
    </row>
    <row r="225" spans="1:31">
      <c r="A225" s="141" t="str">
        <f>'銀行-TSS'!A225</f>
        <v>US025816BF52</v>
      </c>
      <c r="B225" s="151" t="str">
        <f ca="1">VLOOKUP(A225,'銀行-TSS'!A:B,2,FALSE)</f>
        <v>XH190</v>
      </c>
      <c r="C225" s="151" t="str">
        <f ca="1">VLOOKUP(B225,bond!B:C,2,FALSE)</f>
        <v>美國運通公司美元配息債券 4.05% 2042/12/3</v>
      </c>
      <c r="D225" s="95" t="str">
        <f>VLOOKUP(A225,'銀行-TSS'!A:C,3,FALSE)</f>
        <v>USD</v>
      </c>
      <c r="E225" s="90">
        <f ca="1">VLOOKUP(A225,'銀行-TSS'!A:G,7,FALSE)</f>
        <v>18.420000000000002</v>
      </c>
      <c r="F225" s="202">
        <f ca="1">VLOOKUP(A225,'銀行-TSS'!A:H,8,FALSE)</f>
        <v>4.0500000000000001E-2</v>
      </c>
      <c r="G225" s="96">
        <f ca="1">VLOOKUP(A225,'銀行-TSS'!A:K,11,FALSE)</f>
        <v>86.85</v>
      </c>
      <c r="H225" s="1209">
        <f ca="1">VLOOKUP(A225,'銀行-TSS'!A:M,13,FALSE)</f>
        <v>5.1999999999999998E-2</v>
      </c>
      <c r="I225" s="1213">
        <f ca="1">VLOOKUP(A225,'銀行-TSS'!A:N,14,FALSE)</f>
        <v>10000</v>
      </c>
      <c r="J225" s="1213">
        <f ca="1">VLOOKUP(A225,'銀行-TSS'!A:O,15,FALSE)</f>
        <v>1000</v>
      </c>
      <c r="K225" s="136" t="str">
        <f ca="1">VLOOKUP(A225,'銀行-TSS'!A:V,22,FALSE)</f>
        <v>(NPI)非專投</v>
      </c>
      <c r="L225" s="136" t="str">
        <f ca="1">VLOOKUP(A225,'銀行-TSS'!A:AK,37,FALSE)</f>
        <v>有</v>
      </c>
      <c r="M225" s="136" t="str">
        <f ca="1">VLOOKUP(A225,'銀行-TSS'!A:AN,40,FALSE)</f>
        <v/>
      </c>
      <c r="N225" s="1211">
        <f t="shared" ca="1" si="44"/>
        <v>868.5</v>
      </c>
      <c r="O225" s="1211">
        <f t="shared" ca="1" si="45"/>
        <v>8685</v>
      </c>
      <c r="P225" s="1213">
        <f ca="1">IF(AND(換券投組!$D$17&gt;=O225,換券投組!$D$13=D225),I225+INT((換券投組!$D$17-O225)/N225)*J225,0)</f>
        <v>0</v>
      </c>
      <c r="Q225" s="1211">
        <f t="shared" ca="1" si="46"/>
        <v>0</v>
      </c>
      <c r="R225" s="1213">
        <f t="shared" ca="1" si="47"/>
        <v>0</v>
      </c>
      <c r="S225" s="1213">
        <f t="shared" ca="1" si="48"/>
        <v>0</v>
      </c>
      <c r="T225" s="136">
        <f t="shared" ca="1" si="41"/>
        <v>0</v>
      </c>
      <c r="U225" s="861">
        <f t="shared" ca="1" si="42"/>
        <v>0</v>
      </c>
      <c r="V225" s="136" t="b">
        <f ca="1">IF(OR(D225&lt;&gt;"USD",L225="無",M225&lt;&gt;"",K225="高資產",IFERROR(MATCH(B225,換券投組!K:K,0),"N")&lt;&gt;"N",IFERROR(MATCH(B225,換券投組!J:J,0),"N")&lt;&gt;"N"),FALSE,IF($V$1="All",TRUE,IF(K225=$V$1,TRUE,FALSE)))</f>
        <v>1</v>
      </c>
      <c r="W225" s="136">
        <f ca="1">VLOOKUP(A225,'銀行-TSS'!A:AO,41,FALSE)</f>
        <v>84.02000000000001</v>
      </c>
      <c r="X225" s="136">
        <f ca="1">VLOOKUP(A225,'銀行-TSS'!A:AP,42,FALSE)</f>
        <v>12.253</v>
      </c>
      <c r="Y225" s="1223">
        <f t="shared" ca="1" si="49"/>
        <v>0</v>
      </c>
      <c r="Z225" s="1211">
        <f t="shared" ca="1" si="50"/>
        <v>0</v>
      </c>
      <c r="AA225" s="136">
        <f ca="1">IF(Z225&lt;=0,0,RANK(Z225,Z:Z)+COUNTIF($Z$3:$Z225,Z225)-1)</f>
        <v>0</v>
      </c>
      <c r="AB225" s="1211">
        <f t="shared" ca="1" si="43"/>
        <v>0</v>
      </c>
      <c r="AC225" s="136">
        <f ca="1">IF(AB225&lt;=0,0,RANK(AB225,AB:AB)+COUNTIF($AB$3:$AB225,AB225)-1)</f>
        <v>0</v>
      </c>
      <c r="AD225" s="136">
        <f t="shared" ca="1" si="51"/>
        <v>99999</v>
      </c>
      <c r="AE225" s="136">
        <f ca="1">IF(AD225=99999,0,RANK(AD225,AD:AD,1)+COUNTIF($AD$3:$AD225,AD225)-1)</f>
        <v>0</v>
      </c>
    </row>
    <row r="226" spans="1:31">
      <c r="A226" s="141" t="str">
        <f>'銀行-TSS'!A226</f>
        <v>US74432QCA13</v>
      </c>
      <c r="B226" s="151" t="str">
        <f ca="1">VLOOKUP(A226,'銀行-TSS'!A:B,2,FALSE)</f>
        <v>XH200</v>
      </c>
      <c r="C226" s="151" t="str">
        <f ca="1">VLOOKUP(B226,bond!B:C,2,FALSE)</f>
        <v>保德信金融公司美元配息債券 4.6% 2044/5/15</v>
      </c>
      <c r="D226" s="95" t="str">
        <f>VLOOKUP(A226,'銀行-TSS'!A:C,3,FALSE)</f>
        <v>USD</v>
      </c>
      <c r="E226" s="90">
        <f ca="1">VLOOKUP(A226,'銀行-TSS'!A:G,7,FALSE)</f>
        <v>19.87</v>
      </c>
      <c r="F226" s="202">
        <f ca="1">VLOOKUP(A226,'銀行-TSS'!A:H,8,FALSE)</f>
        <v>4.5999999999999999E-2</v>
      </c>
      <c r="G226" s="96">
        <f ca="1">VLOOKUP(A226,'銀行-TSS'!A:K,11,FALSE)</f>
        <v>91.3</v>
      </c>
      <c r="H226" s="1209">
        <f ca="1">VLOOKUP(A226,'銀行-TSS'!A:M,13,FALSE)</f>
        <v>5.3699999999999998E-2</v>
      </c>
      <c r="I226" s="1213">
        <f ca="1">VLOOKUP(A226,'銀行-TSS'!A:N,14,FALSE)</f>
        <v>10000</v>
      </c>
      <c r="J226" s="1213">
        <f ca="1">VLOOKUP(A226,'銀行-TSS'!A:O,15,FALSE)</f>
        <v>1000</v>
      </c>
      <c r="K226" s="136" t="str">
        <f ca="1">VLOOKUP(A226,'銀行-TSS'!A:V,22,FALSE)</f>
        <v>(NPI)非專投</v>
      </c>
      <c r="L226" s="136" t="str">
        <f ca="1">VLOOKUP(A226,'銀行-TSS'!A:AK,37,FALSE)</f>
        <v>有</v>
      </c>
      <c r="M226" s="136" t="str">
        <f ca="1">VLOOKUP(A226,'銀行-TSS'!A:AN,40,FALSE)</f>
        <v/>
      </c>
      <c r="N226" s="1211">
        <f t="shared" ca="1" si="44"/>
        <v>913</v>
      </c>
      <c r="O226" s="1211">
        <f t="shared" ca="1" si="45"/>
        <v>9130</v>
      </c>
      <c r="P226" s="1213">
        <f ca="1">IF(AND(換券投組!$D$17&gt;=O226,換券投組!$D$13=D226),I226+INT((換券投組!$D$17-O226)/N226)*J226,0)</f>
        <v>0</v>
      </c>
      <c r="Q226" s="1211">
        <f t="shared" ca="1" si="46"/>
        <v>0</v>
      </c>
      <c r="R226" s="1213">
        <f t="shared" ca="1" si="47"/>
        <v>0</v>
      </c>
      <c r="S226" s="1213">
        <f t="shared" ca="1" si="48"/>
        <v>0</v>
      </c>
      <c r="T226" s="136">
        <f t="shared" ca="1" si="41"/>
        <v>0</v>
      </c>
      <c r="U226" s="861">
        <f t="shared" ca="1" si="42"/>
        <v>0</v>
      </c>
      <c r="V226" s="136" t="b">
        <f ca="1">IF(OR(D226&lt;&gt;"USD",L226="無",M226&lt;&gt;"",K226="高資產",IFERROR(MATCH(B226,換券投組!K:K,0),"N")&lt;&gt;"N",IFERROR(MATCH(B226,換券投組!J:J,0),"N")&lt;&gt;"N"),FALSE,IF($V$1="All",TRUE,IF(K226=$V$1,TRUE,FALSE)))</f>
        <v>1</v>
      </c>
      <c r="W226" s="136">
        <f ca="1">VLOOKUP(A226,'銀行-TSS'!A:AO,41,FALSE)</f>
        <v>88.2</v>
      </c>
      <c r="X226" s="136">
        <f ca="1">VLOOKUP(A226,'銀行-TSS'!A:AP,42,FALSE)</f>
        <v>12.357900000000001</v>
      </c>
      <c r="Y226" s="1223">
        <f t="shared" ca="1" si="49"/>
        <v>0</v>
      </c>
      <c r="Z226" s="1211">
        <f t="shared" ca="1" si="50"/>
        <v>0</v>
      </c>
      <c r="AA226" s="136">
        <f ca="1">IF(Z226&lt;=0,0,RANK(Z226,Z:Z)+COUNTIF($Z$3:$Z226,Z226)-1)</f>
        <v>0</v>
      </c>
      <c r="AB226" s="1211">
        <f t="shared" ca="1" si="43"/>
        <v>0</v>
      </c>
      <c r="AC226" s="136">
        <f ca="1">IF(AB226&lt;=0,0,RANK(AB226,AB:AB)+COUNTIF($AB$3:$AB226,AB226)-1)</f>
        <v>0</v>
      </c>
      <c r="AD226" s="136">
        <f t="shared" ca="1" si="51"/>
        <v>99999</v>
      </c>
      <c r="AE226" s="136">
        <f ca="1">IF(AD226=99999,0,RANK(AD226,AD:AD,1)+COUNTIF($AD$3:$AD226,AD226)-1)</f>
        <v>0</v>
      </c>
    </row>
    <row r="227" spans="1:31">
      <c r="A227" s="141" t="str">
        <f>'銀行-TSS'!A227</f>
        <v>USU9273ADM46</v>
      </c>
      <c r="B227" s="151" t="str">
        <f ca="1">VLOOKUP(A227,'銀行-TSS'!A:B,2,FALSE)</f>
        <v>XH220</v>
      </c>
      <c r="C227" s="151" t="str">
        <f ca="1">VLOOKUP(B227,bond!B:C,2,FALSE)</f>
        <v>福斯集團(美國)金融有限責任公司美元配息債券 4.6% 2029/6/8</v>
      </c>
      <c r="D227" s="95" t="str">
        <f>VLOOKUP(A227,'銀行-TSS'!A:C,3,FALSE)</f>
        <v>USD</v>
      </c>
      <c r="E227" s="90">
        <f ca="1">VLOOKUP(A227,'銀行-TSS'!A:G,7,FALSE)</f>
        <v>4.93</v>
      </c>
      <c r="F227" s="202">
        <f ca="1">VLOOKUP(A227,'銀行-TSS'!A:H,8,FALSE)</f>
        <v>4.5999999999999999E-2</v>
      </c>
      <c r="G227" s="96">
        <f ca="1">VLOOKUP(A227,'銀行-TSS'!A:K,11,FALSE)</f>
        <v>99.24</v>
      </c>
      <c r="H227" s="1209">
        <f ca="1">VLOOKUP(A227,'銀行-TSS'!A:M,13,FALSE)</f>
        <v>4.8500000000000001E-2</v>
      </c>
      <c r="I227" s="1213">
        <f ca="1">VLOOKUP(A227,'銀行-TSS'!A:N,14,FALSE)</f>
        <v>200000</v>
      </c>
      <c r="J227" s="1213">
        <f ca="1">VLOOKUP(A227,'銀行-TSS'!A:O,15,FALSE)</f>
        <v>1000</v>
      </c>
      <c r="K227" s="136" t="str">
        <f ca="1">VLOOKUP(A227,'銀行-TSS'!A:V,22,FALSE)</f>
        <v>(NPI)非專投</v>
      </c>
      <c r="L227" s="136" t="str">
        <f ca="1">VLOOKUP(A227,'銀行-TSS'!A:AK,37,FALSE)</f>
        <v>有</v>
      </c>
      <c r="M227" s="136" t="str">
        <f ca="1">VLOOKUP(A227,'銀行-TSS'!A:AN,40,FALSE)</f>
        <v/>
      </c>
      <c r="N227" s="1211">
        <f t="shared" ca="1" si="44"/>
        <v>992.4</v>
      </c>
      <c r="O227" s="1211">
        <f t="shared" ca="1" si="45"/>
        <v>198480</v>
      </c>
      <c r="P227" s="1213">
        <f ca="1">IF(AND(換券投組!$D$17&gt;=O227,換券投組!$D$13=D227),I227+INT((換券投組!$D$17-O227)/N227)*J227,0)</f>
        <v>0</v>
      </c>
      <c r="Q227" s="1211">
        <f t="shared" ca="1" si="46"/>
        <v>0</v>
      </c>
      <c r="R227" s="1213">
        <f t="shared" ca="1" si="47"/>
        <v>0</v>
      </c>
      <c r="S227" s="1213">
        <f t="shared" ca="1" si="48"/>
        <v>0</v>
      </c>
      <c r="T227" s="136">
        <f t="shared" ca="1" si="41"/>
        <v>0</v>
      </c>
      <c r="U227" s="861">
        <f t="shared" ca="1" si="42"/>
        <v>0</v>
      </c>
      <c r="V227" s="136" t="b">
        <f ca="1">IF(OR(D227&lt;&gt;"USD",L227="無",M227&lt;&gt;"",K227="高資產",IFERROR(MATCH(B227,換券投組!K:K,0),"N")&lt;&gt;"N",IFERROR(MATCH(B227,換券投組!J:J,0),"N")&lt;&gt;"N"),FALSE,IF($V$1="All",TRUE,IF(K227=$V$1,TRUE,FALSE)))</f>
        <v>1</v>
      </c>
      <c r="W227" s="136">
        <f ca="1">VLOOKUP(A227,'銀行-TSS'!A:AO,41,FALSE)</f>
        <v>97.43</v>
      </c>
      <c r="X227" s="136">
        <f ca="1">VLOOKUP(A227,'銀行-TSS'!A:AP,42,FALSE)</f>
        <v>4.3391000000000002</v>
      </c>
      <c r="Y227" s="1223">
        <f t="shared" ca="1" si="49"/>
        <v>0</v>
      </c>
      <c r="Z227" s="1211">
        <f t="shared" ca="1" si="50"/>
        <v>0</v>
      </c>
      <c r="AA227" s="136">
        <f ca="1">IF(Z227&lt;=0,0,RANK(Z227,Z:Z)+COUNTIF($Z$3:$Z227,Z227)-1)</f>
        <v>0</v>
      </c>
      <c r="AB227" s="1211">
        <f t="shared" ca="1" si="43"/>
        <v>0</v>
      </c>
      <c r="AC227" s="136">
        <f ca="1">IF(AB227&lt;=0,0,RANK(AB227,AB:AB)+COUNTIF($AB$3:$AB227,AB227)-1)</f>
        <v>0</v>
      </c>
      <c r="AD227" s="136">
        <f t="shared" ca="1" si="51"/>
        <v>99999</v>
      </c>
      <c r="AE227" s="136">
        <f ca="1">IF(AD227=99999,0,RANK(AD227,AD:AD,1)+COUNTIF($AD$3:$AD227,AD227)-1)</f>
        <v>0</v>
      </c>
    </row>
    <row r="228" spans="1:31">
      <c r="A228" s="141" t="str">
        <f>'銀行-TSS'!A228</f>
        <v>USU5876JAC90</v>
      </c>
      <c r="B228" s="151" t="str">
        <f ca="1">VLOOKUP(A228,'銀行-TSS'!A:B,2,FALSE)</f>
        <v>XH230</v>
      </c>
      <c r="C228" s="151" t="str">
        <f ca="1">VLOOKUP(B228,bond!B:C,2,FALSE)</f>
        <v>梅賽德斯-賓士金融北美有限責任公司美元配息債券 5.25% 2027/11/29</v>
      </c>
      <c r="D228" s="95" t="str">
        <f>VLOOKUP(A228,'銀行-TSS'!A:C,3,FALSE)</f>
        <v>USD</v>
      </c>
      <c r="E228" s="90">
        <f ca="1">VLOOKUP(A228,'銀行-TSS'!A:G,7,FALSE)</f>
        <v>3.41</v>
      </c>
      <c r="F228" s="202">
        <f ca="1">VLOOKUP(A228,'銀行-TSS'!A:H,8,FALSE)</f>
        <v>5.2499999999999998E-2</v>
      </c>
      <c r="G228" s="96">
        <f ca="1">VLOOKUP(A228,'銀行-TSS'!A:K,11,FALSE)</f>
        <v>103.08</v>
      </c>
      <c r="H228" s="1209">
        <f ca="1">VLOOKUP(A228,'銀行-TSS'!A:M,13,FALSE)</f>
        <v>4.4200000000000003E-2</v>
      </c>
      <c r="I228" s="1213">
        <f ca="1">VLOOKUP(A228,'銀行-TSS'!A:N,14,FALSE)</f>
        <v>200000</v>
      </c>
      <c r="J228" s="1213">
        <f ca="1">VLOOKUP(A228,'銀行-TSS'!A:O,15,FALSE)</f>
        <v>1000</v>
      </c>
      <c r="K228" s="136" t="str">
        <f ca="1">VLOOKUP(A228,'銀行-TSS'!A:V,22,FALSE)</f>
        <v>(NPI)非專投</v>
      </c>
      <c r="L228" s="136" t="str">
        <f ca="1">VLOOKUP(A228,'銀行-TSS'!A:AK,37,FALSE)</f>
        <v>有</v>
      </c>
      <c r="M228" s="136" t="str">
        <f ca="1">VLOOKUP(A228,'銀行-TSS'!A:AN,40,FALSE)</f>
        <v/>
      </c>
      <c r="N228" s="1211">
        <f t="shared" ca="1" si="44"/>
        <v>1030.8</v>
      </c>
      <c r="O228" s="1211">
        <f t="shared" ca="1" si="45"/>
        <v>206160</v>
      </c>
      <c r="P228" s="1213">
        <f ca="1">IF(AND(換券投組!$D$17&gt;=O228,換券投組!$D$13=D228),I228+INT((換券投組!$D$17-O228)/N228)*J228,0)</f>
        <v>0</v>
      </c>
      <c r="Q228" s="1211">
        <f t="shared" ca="1" si="46"/>
        <v>0</v>
      </c>
      <c r="R228" s="1213">
        <f t="shared" ca="1" si="47"/>
        <v>0</v>
      </c>
      <c r="S228" s="1213">
        <f t="shared" ca="1" si="48"/>
        <v>0</v>
      </c>
      <c r="T228" s="136">
        <f t="shared" ca="1" si="41"/>
        <v>0</v>
      </c>
      <c r="U228" s="861">
        <f t="shared" ca="1" si="42"/>
        <v>0</v>
      </c>
      <c r="V228" s="136" t="b">
        <f ca="1">IF(OR(D228&lt;&gt;"USD",L228="無",M228&lt;&gt;"",K228="高資產",IFERROR(MATCH(B228,換券投組!K:K,0),"N")&lt;&gt;"N",IFERROR(MATCH(B228,換券投組!J:J,0),"N")&lt;&gt;"N"),FALSE,IF($V$1="All",TRUE,IF(K228=$V$1,TRUE,FALSE)))</f>
        <v>1</v>
      </c>
      <c r="W228" s="136">
        <f ca="1">VLOOKUP(A228,'銀行-TSS'!A:AO,41,FALSE)</f>
        <v>101.10000000000001</v>
      </c>
      <c r="X228" s="136">
        <f ca="1">VLOOKUP(A228,'銀行-TSS'!A:AP,42,FALSE)</f>
        <v>3.0798000000000001</v>
      </c>
      <c r="Y228" s="1223">
        <f t="shared" ca="1" si="49"/>
        <v>0</v>
      </c>
      <c r="Z228" s="1211">
        <f t="shared" ca="1" si="50"/>
        <v>0</v>
      </c>
      <c r="AA228" s="136">
        <f ca="1">IF(Z228&lt;=0,0,RANK(Z228,Z:Z)+COUNTIF($Z$3:$Z228,Z228)-1)</f>
        <v>0</v>
      </c>
      <c r="AB228" s="1211">
        <f t="shared" ca="1" si="43"/>
        <v>0</v>
      </c>
      <c r="AC228" s="136">
        <f ca="1">IF(AB228&lt;=0,0,RANK(AB228,AB:AB)+COUNTIF($AB$3:$AB228,AB228)-1)</f>
        <v>0</v>
      </c>
      <c r="AD228" s="136">
        <f t="shared" ca="1" si="51"/>
        <v>99999</v>
      </c>
      <c r="AE228" s="136">
        <f ca="1">IF(AD228=99999,0,RANK(AD228,AD:AD,1)+COUNTIF($AD$3:$AD228,AD228)-1)</f>
        <v>0</v>
      </c>
    </row>
    <row r="229" spans="1:31">
      <c r="A229" s="141" t="str">
        <f>'銀行-TSS'!A229</f>
        <v>US87612EBN58</v>
      </c>
      <c r="B229" s="151" t="str">
        <f ca="1">VLOOKUP(A229,'銀行-TSS'!A:B,2,FALSE)</f>
        <v>XH240</v>
      </c>
      <c r="C229" s="151" t="str">
        <f ca="1">VLOOKUP(B229,bond!B:C,2,FALSE)</f>
        <v>目標百貨公司美元配息債券 2.95% 2052/1/15</v>
      </c>
      <c r="D229" s="95" t="str">
        <f>VLOOKUP(A229,'銀行-TSS'!A:C,3,FALSE)</f>
        <v>USD</v>
      </c>
      <c r="E229" s="90">
        <f ca="1">VLOOKUP(A229,'銀行-TSS'!A:G,7,FALSE)</f>
        <v>27.54</v>
      </c>
      <c r="F229" s="202">
        <f ca="1">VLOOKUP(A229,'銀行-TSS'!A:H,8,FALSE)</f>
        <v>2.9500000000000002E-2</v>
      </c>
      <c r="G229" s="96">
        <f ca="1">VLOOKUP(A229,'銀行-TSS'!A:K,11,FALSE)</f>
        <v>70.12</v>
      </c>
      <c r="H229" s="1209">
        <f ca="1">VLOOKUP(A229,'銀行-TSS'!A:M,13,FALSE)</f>
        <v>5.0700000000000002E-2</v>
      </c>
      <c r="I229" s="1213">
        <f ca="1">VLOOKUP(A229,'銀行-TSS'!A:N,14,FALSE)</f>
        <v>10000</v>
      </c>
      <c r="J229" s="1213">
        <f ca="1">VLOOKUP(A229,'銀行-TSS'!A:O,15,FALSE)</f>
        <v>1000</v>
      </c>
      <c r="K229" s="136" t="str">
        <f ca="1">VLOOKUP(A229,'銀行-TSS'!A:V,22,FALSE)</f>
        <v>(NPI)非專投</v>
      </c>
      <c r="L229" s="136" t="str">
        <f ca="1">VLOOKUP(A229,'銀行-TSS'!A:AK,37,FALSE)</f>
        <v>有</v>
      </c>
      <c r="M229" s="136" t="str">
        <f ca="1">VLOOKUP(A229,'銀行-TSS'!A:AN,40,FALSE)</f>
        <v/>
      </c>
      <c r="N229" s="1211">
        <f t="shared" ca="1" si="44"/>
        <v>701.2</v>
      </c>
      <c r="O229" s="1211">
        <f t="shared" ca="1" si="45"/>
        <v>7012</v>
      </c>
      <c r="P229" s="1213">
        <f ca="1">IF(AND(換券投組!$D$17&gt;=O229,換券投組!$D$13=D229),I229+INT((換券投組!$D$17-O229)/N229)*J229,0)</f>
        <v>0</v>
      </c>
      <c r="Q229" s="1211">
        <f t="shared" ca="1" si="46"/>
        <v>0</v>
      </c>
      <c r="R229" s="1213">
        <f t="shared" ca="1" si="47"/>
        <v>0</v>
      </c>
      <c r="S229" s="1213">
        <f t="shared" ca="1" si="48"/>
        <v>0</v>
      </c>
      <c r="T229" s="136">
        <f t="shared" ca="1" si="41"/>
        <v>0</v>
      </c>
      <c r="U229" s="861">
        <f t="shared" ca="1" si="42"/>
        <v>0</v>
      </c>
      <c r="V229" s="136" t="b">
        <f ca="1">IF(OR(D229&lt;&gt;"USD",L229="無",M229&lt;&gt;"",K229="高資產",IFERROR(MATCH(B229,換券投組!K:K,0),"N")&lt;&gt;"N",IFERROR(MATCH(B229,換券投組!J:J,0),"N")&lt;&gt;"N"),FALSE,IF($V$1="All",TRUE,IF(K229=$V$1,TRUE,FALSE)))</f>
        <v>1</v>
      </c>
      <c r="W229" s="136">
        <f ca="1">VLOOKUP(A229,'銀行-TSS'!A:AO,41,FALSE)</f>
        <v>65.25</v>
      </c>
      <c r="X229" s="136">
        <f ca="1">VLOOKUP(A229,'銀行-TSS'!A:AP,42,FALSE)</f>
        <v>16.0761</v>
      </c>
      <c r="Y229" s="1223">
        <f t="shared" ca="1" si="49"/>
        <v>0</v>
      </c>
      <c r="Z229" s="1211">
        <f t="shared" ca="1" si="50"/>
        <v>0</v>
      </c>
      <c r="AA229" s="136">
        <f ca="1">IF(Z229&lt;=0,0,RANK(Z229,Z:Z)+COUNTIF($Z$3:$Z229,Z229)-1)</f>
        <v>0</v>
      </c>
      <c r="AB229" s="1211">
        <f t="shared" ca="1" si="43"/>
        <v>0</v>
      </c>
      <c r="AC229" s="136">
        <f ca="1">IF(AB229&lt;=0,0,RANK(AB229,AB:AB)+COUNTIF($AB$3:$AB229,AB229)-1)</f>
        <v>0</v>
      </c>
      <c r="AD229" s="136">
        <f t="shared" ca="1" si="51"/>
        <v>99999</v>
      </c>
      <c r="AE229" s="136">
        <f ca="1">IF(AD229=99999,0,RANK(AD229,AD:AD,1)+COUNTIF($AD$3:$AD229,AD229)-1)</f>
        <v>0</v>
      </c>
    </row>
    <row r="230" spans="1:31">
      <c r="A230" s="141" t="str">
        <f>'銀行-TSS'!A230</f>
        <v>US92556VAF31</v>
      </c>
      <c r="B230" s="151" t="str">
        <f ca="1">VLOOKUP(A230,'銀行-TSS'!A:B,2,FALSE)</f>
        <v>XH250</v>
      </c>
      <c r="C230" s="151" t="str">
        <f ca="1">VLOOKUP(B230,bond!B:C,2,FALSE)</f>
        <v>暉致公司美元配息債券 4% 2050/6/22</v>
      </c>
      <c r="D230" s="95" t="str">
        <f>VLOOKUP(A230,'銀行-TSS'!A:C,3,FALSE)</f>
        <v>USD</v>
      </c>
      <c r="E230" s="90">
        <f ca="1">VLOOKUP(A230,'銀行-TSS'!A:G,7,FALSE)</f>
        <v>25.97</v>
      </c>
      <c r="F230" s="202">
        <f ca="1">VLOOKUP(A230,'銀行-TSS'!A:H,8,FALSE)</f>
        <v>0.04</v>
      </c>
      <c r="G230" s="96">
        <f ca="1">VLOOKUP(A230,'銀行-TSS'!A:K,11,FALSE)</f>
        <v>71.63</v>
      </c>
      <c r="H230" s="1209">
        <f ca="1">VLOOKUP(A230,'銀行-TSS'!A:M,13,FALSE)</f>
        <v>6.2300000000000001E-2</v>
      </c>
      <c r="I230" s="1213">
        <f ca="1">VLOOKUP(A230,'銀行-TSS'!A:N,14,FALSE)</f>
        <v>10000</v>
      </c>
      <c r="J230" s="1213">
        <f ca="1">VLOOKUP(A230,'銀行-TSS'!A:O,15,FALSE)</f>
        <v>1000</v>
      </c>
      <c r="K230" s="136" t="str">
        <f ca="1">VLOOKUP(A230,'銀行-TSS'!A:V,22,FALSE)</f>
        <v>(PI)專投</v>
      </c>
      <c r="L230" s="136" t="str">
        <f ca="1">VLOOKUP(A230,'銀行-TSS'!A:AK,37,FALSE)</f>
        <v>有</v>
      </c>
      <c r="M230" s="136" t="str">
        <f ca="1">VLOOKUP(A230,'銀行-TSS'!A:AN,40,FALSE)</f>
        <v/>
      </c>
      <c r="N230" s="1211">
        <f t="shared" ca="1" si="44"/>
        <v>716.3</v>
      </c>
      <c r="O230" s="1211">
        <f t="shared" ca="1" si="45"/>
        <v>7163</v>
      </c>
      <c r="P230" s="1213">
        <f ca="1">IF(AND(換券投組!$D$17&gt;=O230,換券投組!$D$13=D230),I230+INT((換券投組!$D$17-O230)/N230)*J230,0)</f>
        <v>0</v>
      </c>
      <c r="Q230" s="1211">
        <f t="shared" ca="1" si="46"/>
        <v>0</v>
      </c>
      <c r="R230" s="1213">
        <f t="shared" ca="1" si="47"/>
        <v>0</v>
      </c>
      <c r="S230" s="1213">
        <f t="shared" ca="1" si="48"/>
        <v>0</v>
      </c>
      <c r="T230" s="136">
        <f t="shared" ca="1" si="41"/>
        <v>0</v>
      </c>
      <c r="U230" s="861">
        <f t="shared" ca="1" si="42"/>
        <v>0</v>
      </c>
      <c r="V230" s="136" t="b">
        <f ca="1">IF(OR(D230&lt;&gt;"USD",L230="無",M230&lt;&gt;"",K230="高資產",IFERROR(MATCH(B230,換券投組!K:K,0),"N")&lt;&gt;"N",IFERROR(MATCH(B230,換券投組!J:J,0),"N")&lt;&gt;"N"),FALSE,IF($V$1="All",TRUE,IF(K230=$V$1,TRUE,FALSE)))</f>
        <v>1</v>
      </c>
      <c r="W230" s="136">
        <f ca="1">VLOOKUP(A230,'銀行-TSS'!A:AO,41,FALSE)</f>
        <v>68.02</v>
      </c>
      <c r="X230" s="136">
        <f ca="1">VLOOKUP(A230,'銀行-TSS'!A:AP,42,FALSE)</f>
        <v>13.8291</v>
      </c>
      <c r="Y230" s="1223">
        <f t="shared" ca="1" si="49"/>
        <v>0</v>
      </c>
      <c r="Z230" s="1211">
        <f t="shared" ca="1" si="50"/>
        <v>0</v>
      </c>
      <c r="AA230" s="136">
        <f ca="1">IF(Z230&lt;=0,0,RANK(Z230,Z:Z)+COUNTIF($Z$3:$Z230,Z230)-1)</f>
        <v>0</v>
      </c>
      <c r="AB230" s="1211">
        <f t="shared" ca="1" si="43"/>
        <v>0</v>
      </c>
      <c r="AC230" s="136">
        <f ca="1">IF(AB230&lt;=0,0,RANK(AB230,AB:AB)+COUNTIF($AB$3:$AB230,AB230)-1)</f>
        <v>0</v>
      </c>
      <c r="AD230" s="136">
        <f t="shared" ca="1" si="51"/>
        <v>99999</v>
      </c>
      <c r="AE230" s="136">
        <f ca="1">IF(AD230=99999,0,RANK(AD230,AD:AD,1)+COUNTIF($AD$3:$AD230,AD230)-1)</f>
        <v>0</v>
      </c>
    </row>
    <row r="231" spans="1:31">
      <c r="A231" s="141" t="str">
        <f>'銀行-TSS'!A231</f>
        <v>US717081DK61</v>
      </c>
      <c r="B231" s="151" t="str">
        <f ca="1">VLOOKUP(A231,'銀行-TSS'!A:B,2,FALSE)</f>
        <v>XH260</v>
      </c>
      <c r="C231" s="151" t="str">
        <f ca="1">VLOOKUP(B231,bond!B:C,2,FALSE)</f>
        <v>輝瑞大藥廠美元配息債券 4.4% 2044/5/15</v>
      </c>
      <c r="D231" s="95" t="str">
        <f>VLOOKUP(A231,'銀行-TSS'!A:C,3,FALSE)</f>
        <v>USD</v>
      </c>
      <c r="E231" s="90">
        <f ca="1">VLOOKUP(A231,'銀行-TSS'!A:G,7,FALSE)</f>
        <v>19.87</v>
      </c>
      <c r="F231" s="202">
        <f ca="1">VLOOKUP(A231,'銀行-TSS'!A:H,8,FALSE)</f>
        <v>4.4000000000000004E-2</v>
      </c>
      <c r="G231" s="96">
        <f ca="1">VLOOKUP(A231,'銀行-TSS'!A:K,11,FALSE)</f>
        <v>92.56</v>
      </c>
      <c r="H231" s="1209">
        <f ca="1">VLOOKUP(A231,'銀行-TSS'!A:M,13,FALSE)</f>
        <v>5.04E-2</v>
      </c>
      <c r="I231" s="1213">
        <f ca="1">VLOOKUP(A231,'銀行-TSS'!A:N,14,FALSE)</f>
        <v>10000</v>
      </c>
      <c r="J231" s="1213">
        <f ca="1">VLOOKUP(A231,'銀行-TSS'!A:O,15,FALSE)</f>
        <v>1000</v>
      </c>
      <c r="K231" s="136" t="str">
        <f ca="1">VLOOKUP(A231,'銀行-TSS'!A:V,22,FALSE)</f>
        <v>(NPI)非專投</v>
      </c>
      <c r="L231" s="136" t="str">
        <f ca="1">VLOOKUP(A231,'銀行-TSS'!A:AK,37,FALSE)</f>
        <v>有</v>
      </c>
      <c r="M231" s="136" t="str">
        <f ca="1">VLOOKUP(A231,'銀行-TSS'!A:AN,40,FALSE)</f>
        <v/>
      </c>
      <c r="N231" s="1211">
        <f t="shared" ca="1" si="44"/>
        <v>925.6</v>
      </c>
      <c r="O231" s="1211">
        <f t="shared" ca="1" si="45"/>
        <v>9256</v>
      </c>
      <c r="P231" s="1213">
        <f ca="1">IF(AND(換券投組!$D$17&gt;=O231,換券投組!$D$13=D231),I231+INT((換券投組!$D$17-O231)/N231)*J231,0)</f>
        <v>0</v>
      </c>
      <c r="Q231" s="1211">
        <f t="shared" ca="1" si="46"/>
        <v>0</v>
      </c>
      <c r="R231" s="1213">
        <f t="shared" ca="1" si="47"/>
        <v>0</v>
      </c>
      <c r="S231" s="1213">
        <f t="shared" ca="1" si="48"/>
        <v>0</v>
      </c>
      <c r="T231" s="136">
        <f t="shared" ca="1" si="41"/>
        <v>0</v>
      </c>
      <c r="U231" s="861">
        <f t="shared" ca="1" si="42"/>
        <v>0</v>
      </c>
      <c r="V231" s="136" t="b">
        <f ca="1">IF(OR(D231&lt;&gt;"USD",L231="無",M231&lt;&gt;"",K231="高資產",IFERROR(MATCH(B231,換券投組!K:K,0),"N")&lt;&gt;"N",IFERROR(MATCH(B231,換券投組!J:J,0),"N")&lt;&gt;"N"),FALSE,IF($V$1="All",TRUE,IF(K231=$V$1,TRUE,FALSE)))</f>
        <v>1</v>
      </c>
      <c r="W231" s="136">
        <f ca="1">VLOOKUP(A231,'銀行-TSS'!A:AO,41,FALSE)</f>
        <v>89.490000000000009</v>
      </c>
      <c r="X231" s="136">
        <f ca="1">VLOOKUP(A231,'銀行-TSS'!A:AP,42,FALSE)</f>
        <v>12.652799999999999</v>
      </c>
      <c r="Y231" s="1223">
        <f t="shared" ca="1" si="49"/>
        <v>0</v>
      </c>
      <c r="Z231" s="1211">
        <f t="shared" ca="1" si="50"/>
        <v>0</v>
      </c>
      <c r="AA231" s="136">
        <f ca="1">IF(Z231&lt;=0,0,RANK(Z231,Z:Z)+COUNTIF($Z$3:$Z231,Z231)-1)</f>
        <v>0</v>
      </c>
      <c r="AB231" s="1211">
        <f t="shared" ca="1" si="43"/>
        <v>0</v>
      </c>
      <c r="AC231" s="136">
        <f ca="1">IF(AB231&lt;=0,0,RANK(AB231,AB:AB)+COUNTIF($AB$3:$AB231,AB231)-1)</f>
        <v>0</v>
      </c>
      <c r="AD231" s="136">
        <f t="shared" ca="1" si="51"/>
        <v>99999</v>
      </c>
      <c r="AE231" s="136">
        <f ca="1">IF(AD231=99999,0,RANK(AD231,AD:AD,1)+COUNTIF($AD$3:$AD231,AD231)-1)</f>
        <v>0</v>
      </c>
    </row>
    <row r="232" spans="1:31">
      <c r="A232" s="141" t="str">
        <f>'銀行-TSS'!A232</f>
        <v>US59156RBN70</v>
      </c>
      <c r="B232" s="151" t="str">
        <f ca="1">VLOOKUP(A232,'銀行-TSS'!A:B,2,FALSE)</f>
        <v>XH270</v>
      </c>
      <c r="C232" s="151" t="str">
        <f ca="1">VLOOKUP(B232,bond!B:C,2,FALSE)</f>
        <v>大都會人壽美元配息債券 4.05% 2045/3/1</v>
      </c>
      <c r="D232" s="95" t="str">
        <f>VLOOKUP(A232,'銀行-TSS'!A:C,3,FALSE)</f>
        <v>USD</v>
      </c>
      <c r="E232" s="90">
        <f ca="1">VLOOKUP(A232,'銀行-TSS'!A:G,7,FALSE)</f>
        <v>20.66</v>
      </c>
      <c r="F232" s="202">
        <f ca="1">VLOOKUP(A232,'銀行-TSS'!A:H,8,FALSE)</f>
        <v>4.0500000000000001E-2</v>
      </c>
      <c r="G232" s="96">
        <f ca="1">VLOOKUP(A232,'銀行-TSS'!A:K,11,FALSE)</f>
        <v>84.8</v>
      </c>
      <c r="H232" s="1209">
        <f ca="1">VLOOKUP(A232,'銀行-TSS'!A:M,13,FALSE)</f>
        <v>5.3900000000000003E-2</v>
      </c>
      <c r="I232" s="1213">
        <f ca="1">VLOOKUP(A232,'銀行-TSS'!A:N,14,FALSE)</f>
        <v>10000</v>
      </c>
      <c r="J232" s="1213">
        <f ca="1">VLOOKUP(A232,'銀行-TSS'!A:O,15,FALSE)</f>
        <v>1000</v>
      </c>
      <c r="K232" s="136" t="str">
        <f ca="1">VLOOKUP(A232,'銀行-TSS'!A:V,22,FALSE)</f>
        <v>(NPI)非專投</v>
      </c>
      <c r="L232" s="136" t="str">
        <f ca="1">VLOOKUP(A232,'銀行-TSS'!A:AK,37,FALSE)</f>
        <v>有</v>
      </c>
      <c r="M232" s="136" t="str">
        <f ca="1">VLOOKUP(A232,'銀行-TSS'!A:AN,40,FALSE)</f>
        <v/>
      </c>
      <c r="N232" s="1211">
        <f t="shared" ca="1" si="44"/>
        <v>848</v>
      </c>
      <c r="O232" s="1211">
        <f t="shared" ca="1" si="45"/>
        <v>8480</v>
      </c>
      <c r="P232" s="1213">
        <f ca="1">IF(AND(換券投組!$D$17&gt;=O232,換券投組!$D$13=D232),I232+INT((換券投組!$D$17-O232)/N232)*J232,0)</f>
        <v>0</v>
      </c>
      <c r="Q232" s="1211">
        <f t="shared" ca="1" si="46"/>
        <v>0</v>
      </c>
      <c r="R232" s="1213">
        <f t="shared" ca="1" si="47"/>
        <v>0</v>
      </c>
      <c r="S232" s="1213">
        <f t="shared" ca="1" si="48"/>
        <v>0</v>
      </c>
      <c r="T232" s="136">
        <f t="shared" ca="1" si="41"/>
        <v>0</v>
      </c>
      <c r="U232" s="861">
        <f t="shared" ca="1" si="42"/>
        <v>0</v>
      </c>
      <c r="V232" s="136" t="b">
        <f ca="1">IF(OR(D232&lt;&gt;"USD",L232="無",M232&lt;&gt;"",K232="高資產",IFERROR(MATCH(B232,換券投組!K:K,0),"N")&lt;&gt;"N",IFERROR(MATCH(B232,換券投組!J:J,0),"N")&lt;&gt;"N"),FALSE,IF($V$1="All",TRUE,IF(K232=$V$1,TRUE,FALSE)))</f>
        <v>1</v>
      </c>
      <c r="W232" s="136">
        <f ca="1">VLOOKUP(A232,'銀行-TSS'!A:AO,41,FALSE)</f>
        <v>80.940000000000012</v>
      </c>
      <c r="X232" s="136">
        <f ca="1">VLOOKUP(A232,'銀行-TSS'!A:AP,42,FALSE)</f>
        <v>12.843400000000001</v>
      </c>
      <c r="Y232" s="1223">
        <f t="shared" ca="1" si="49"/>
        <v>0</v>
      </c>
      <c r="Z232" s="1211">
        <f t="shared" ca="1" si="50"/>
        <v>0</v>
      </c>
      <c r="AA232" s="136">
        <f ca="1">IF(Z232&lt;=0,0,RANK(Z232,Z:Z)+COUNTIF($Z$3:$Z232,Z232)-1)</f>
        <v>0</v>
      </c>
      <c r="AB232" s="1211">
        <f t="shared" ca="1" si="43"/>
        <v>0</v>
      </c>
      <c r="AC232" s="136">
        <f ca="1">IF(AB232&lt;=0,0,RANK(AB232,AB:AB)+COUNTIF($AB$3:$AB232,AB232)-1)</f>
        <v>0</v>
      </c>
      <c r="AD232" s="136">
        <f t="shared" ca="1" si="51"/>
        <v>99999</v>
      </c>
      <c r="AE232" s="136">
        <f ca="1">IF(AD232=99999,0,RANK(AD232,AD:AD,1)+COUNTIF($AD$3:$AD232,AD232)-1)</f>
        <v>0</v>
      </c>
    </row>
    <row r="233" spans="1:31">
      <c r="A233" s="141" t="str">
        <f>'銀行-TSS'!A233</f>
        <v>XS2577135127</v>
      </c>
      <c r="B233" s="151" t="str">
        <f ca="1">VLOOKUP(A233,'銀行-TSS'!A:B,2,FALSE)</f>
        <v>XH280</v>
      </c>
      <c r="C233" s="151" t="str">
        <f ca="1">VLOOKUP(B233,bond!B:C,2,FALSE)</f>
        <v>沙烏地阿拉伯政府美元配息債券 4.875% 2033/7/18</v>
      </c>
      <c r="D233" s="95" t="str">
        <f>VLOOKUP(A233,'銀行-TSS'!A:C,3,FALSE)</f>
        <v>USD</v>
      </c>
      <c r="E233" s="90">
        <f ca="1">VLOOKUP(A233,'銀行-TSS'!A:G,7,FALSE)</f>
        <v>9.0399999999999991</v>
      </c>
      <c r="F233" s="202">
        <f ca="1">VLOOKUP(A233,'銀行-TSS'!A:H,8,FALSE)</f>
        <v>4.8750000000000002E-2</v>
      </c>
      <c r="G233" s="96">
        <f ca="1">VLOOKUP(A233,'銀行-TSS'!A:K,11,FALSE)</f>
        <v>102.26</v>
      </c>
      <c r="H233" s="1209">
        <f ca="1">VLOOKUP(A233,'銀行-TSS'!A:M,13,FALSE)</f>
        <v>4.87E-2</v>
      </c>
      <c r="I233" s="1213">
        <f ca="1">VLOOKUP(A233,'銀行-TSS'!A:N,14,FALSE)</f>
        <v>200000</v>
      </c>
      <c r="J233" s="1213">
        <f ca="1">VLOOKUP(A233,'銀行-TSS'!A:O,15,FALSE)</f>
        <v>1000</v>
      </c>
      <c r="K233" s="136" t="str">
        <f ca="1">VLOOKUP(A233,'銀行-TSS'!A:V,22,FALSE)</f>
        <v>(NPI)非專投</v>
      </c>
      <c r="L233" s="136" t="str">
        <f ca="1">VLOOKUP(A233,'銀行-TSS'!A:AK,37,FALSE)</f>
        <v>有</v>
      </c>
      <c r="M233" s="136" t="str">
        <f ca="1">VLOOKUP(A233,'銀行-TSS'!A:AN,40,FALSE)</f>
        <v/>
      </c>
      <c r="N233" s="1211">
        <f t="shared" ca="1" si="44"/>
        <v>1022.6</v>
      </c>
      <c r="O233" s="1211">
        <f t="shared" ca="1" si="45"/>
        <v>204520</v>
      </c>
      <c r="P233" s="1213">
        <f ca="1">IF(AND(換券投組!$D$17&gt;=O233,換券投組!$D$13=D233),I233+INT((換券投組!$D$17-O233)/N233)*J233,0)</f>
        <v>0</v>
      </c>
      <c r="Q233" s="1211">
        <f t="shared" ca="1" si="46"/>
        <v>0</v>
      </c>
      <c r="R233" s="1213">
        <f t="shared" ca="1" si="47"/>
        <v>0</v>
      </c>
      <c r="S233" s="1213">
        <f t="shared" ca="1" si="48"/>
        <v>0</v>
      </c>
      <c r="T233" s="136">
        <f t="shared" ca="1" si="41"/>
        <v>0</v>
      </c>
      <c r="U233" s="861">
        <f t="shared" ca="1" si="42"/>
        <v>0</v>
      </c>
      <c r="V233" s="136" t="b">
        <f ca="1">IF(OR(D233&lt;&gt;"USD",L233="無",M233&lt;&gt;"",K233="高資產",IFERROR(MATCH(B233,換券投組!K:K,0),"N")&lt;&gt;"N",IFERROR(MATCH(B233,換券投組!J:J,0),"N")&lt;&gt;"N"),FALSE,IF($V$1="All",TRUE,IF(K233=$V$1,TRUE,FALSE)))</f>
        <v>1</v>
      </c>
      <c r="W233" s="136">
        <f ca="1">VLOOKUP(A233,'銀行-TSS'!A:AO,41,FALSE)</f>
        <v>98.03</v>
      </c>
      <c r="X233" s="136">
        <f ca="1">VLOOKUP(A233,'銀行-TSS'!A:AP,42,FALSE)</f>
        <v>7.0598999999999998</v>
      </c>
      <c r="Y233" s="1223">
        <f t="shared" ca="1" si="49"/>
        <v>0</v>
      </c>
      <c r="Z233" s="1211">
        <f t="shared" ca="1" si="50"/>
        <v>0</v>
      </c>
      <c r="AA233" s="136">
        <f ca="1">IF(Z233&lt;=0,0,RANK(Z233,Z:Z)+COUNTIF($Z$3:$Z233,Z233)-1)</f>
        <v>0</v>
      </c>
      <c r="AB233" s="1211">
        <f t="shared" ca="1" si="43"/>
        <v>0</v>
      </c>
      <c r="AC233" s="136">
        <f ca="1">IF(AB233&lt;=0,0,RANK(AB233,AB:AB)+COUNTIF($AB$3:$AB233,AB233)-1)</f>
        <v>0</v>
      </c>
      <c r="AD233" s="136">
        <f t="shared" ca="1" si="51"/>
        <v>99999</v>
      </c>
      <c r="AE233" s="136">
        <f ca="1">IF(AD233=99999,0,RANK(AD233,AD:AD,1)+COUNTIF($AD$3:$AD233,AD233)-1)</f>
        <v>0</v>
      </c>
    </row>
    <row r="234" spans="1:31">
      <c r="A234" s="141" t="str">
        <f>'銀行-TSS'!A234</f>
        <v>US91324PAR38</v>
      </c>
      <c r="B234" s="151" t="str">
        <f ca="1">VLOOKUP(A234,'銀行-TSS'!A:B,2,FALSE)</f>
        <v>XH290</v>
      </c>
      <c r="C234" s="151" t="str">
        <f ca="1">VLOOKUP(B234,bond!B:C,2,FALSE)</f>
        <v>聯合健康集團美元配息債券 5.8% 2036/3/15</v>
      </c>
      <c r="D234" s="95" t="str">
        <f>VLOOKUP(A234,'銀行-TSS'!A:C,3,FALSE)</f>
        <v>USD</v>
      </c>
      <c r="E234" s="90">
        <f ca="1">VLOOKUP(A234,'銀行-TSS'!A:G,7,FALSE)</f>
        <v>11.7</v>
      </c>
      <c r="F234" s="202">
        <f ca="1">VLOOKUP(A234,'銀行-TSS'!A:H,8,FALSE)</f>
        <v>5.7999999999999996E-2</v>
      </c>
      <c r="G234" s="96">
        <f ca="1">VLOOKUP(A234,'銀行-TSS'!A:K,11,FALSE)</f>
        <v>109.03</v>
      </c>
      <c r="H234" s="1209">
        <f ca="1">VLOOKUP(A234,'銀行-TSS'!A:M,13,FALSE)</f>
        <v>4.9700000000000001E-2</v>
      </c>
      <c r="I234" s="1213">
        <f ca="1">VLOOKUP(A234,'銀行-TSS'!A:N,14,FALSE)</f>
        <v>10000</v>
      </c>
      <c r="J234" s="1213">
        <f ca="1">VLOOKUP(A234,'銀行-TSS'!A:O,15,FALSE)</f>
        <v>1000</v>
      </c>
      <c r="K234" s="136" t="str">
        <f ca="1">VLOOKUP(A234,'銀行-TSS'!A:V,22,FALSE)</f>
        <v>(NPI)非專投</v>
      </c>
      <c r="L234" s="136" t="str">
        <f ca="1">VLOOKUP(A234,'銀行-TSS'!A:AK,37,FALSE)</f>
        <v>有</v>
      </c>
      <c r="M234" s="136" t="str">
        <f ca="1">VLOOKUP(A234,'銀行-TSS'!A:AN,40,FALSE)</f>
        <v/>
      </c>
      <c r="N234" s="1211">
        <f t="shared" ca="1" si="44"/>
        <v>1090.3</v>
      </c>
      <c r="O234" s="1211">
        <f t="shared" ca="1" si="45"/>
        <v>10903</v>
      </c>
      <c r="P234" s="1213">
        <f ca="1">IF(AND(換券投組!$D$17&gt;=O234,換券投組!$D$13=D234),I234+INT((換券投組!$D$17-O234)/N234)*J234,0)</f>
        <v>0</v>
      </c>
      <c r="Q234" s="1211">
        <f t="shared" ca="1" si="46"/>
        <v>0</v>
      </c>
      <c r="R234" s="1213">
        <f t="shared" ca="1" si="47"/>
        <v>0</v>
      </c>
      <c r="S234" s="1213">
        <f t="shared" ca="1" si="48"/>
        <v>0</v>
      </c>
      <c r="T234" s="136">
        <f t="shared" ca="1" si="41"/>
        <v>0</v>
      </c>
      <c r="U234" s="861">
        <f t="shared" ca="1" si="42"/>
        <v>0</v>
      </c>
      <c r="V234" s="136" t="b">
        <f ca="1">IF(OR(D234&lt;&gt;"USD",L234="無",M234&lt;&gt;"",K234="高資產",IFERROR(MATCH(B234,換券投組!K:K,0),"N")&lt;&gt;"N",IFERROR(MATCH(B234,換券投組!J:J,0),"N")&lt;&gt;"N"),FALSE,IF($V$1="All",TRUE,IF(K234=$V$1,TRUE,FALSE)))</f>
        <v>1</v>
      </c>
      <c r="W234" s="136">
        <f ca="1">VLOOKUP(A234,'銀行-TSS'!A:AO,41,FALSE)</f>
        <v>105.31</v>
      </c>
      <c r="X234" s="136">
        <f ca="1">VLOOKUP(A234,'銀行-TSS'!A:AP,42,FALSE)</f>
        <v>8.3977000000000004</v>
      </c>
      <c r="Y234" s="1223">
        <f t="shared" ca="1" si="49"/>
        <v>0</v>
      </c>
      <c r="Z234" s="1211">
        <f t="shared" ca="1" si="50"/>
        <v>0</v>
      </c>
      <c r="AA234" s="136">
        <f ca="1">IF(Z234&lt;=0,0,RANK(Z234,Z:Z)+COUNTIF($Z$3:$Z234,Z234)-1)</f>
        <v>0</v>
      </c>
      <c r="AB234" s="1211">
        <f t="shared" ca="1" si="43"/>
        <v>0</v>
      </c>
      <c r="AC234" s="136">
        <f ca="1">IF(AB234&lt;=0,0,RANK(AB234,AB:AB)+COUNTIF($AB$3:$AB234,AB234)-1)</f>
        <v>0</v>
      </c>
      <c r="AD234" s="136">
        <f t="shared" ca="1" si="51"/>
        <v>99999</v>
      </c>
      <c r="AE234" s="136">
        <f ca="1">IF(AD234=99999,0,RANK(AD234,AD:AD,1)+COUNTIF($AD$3:$AD234,AD234)-1)</f>
        <v>0</v>
      </c>
    </row>
    <row r="235" spans="1:31">
      <c r="A235" s="141" t="str">
        <f>'銀行-TSS'!A235</f>
        <v>US91324PBW14</v>
      </c>
      <c r="B235" s="151" t="str">
        <f ca="1">VLOOKUP(A235,'銀行-TSS'!A:B,2,FALSE)</f>
        <v>XH300</v>
      </c>
      <c r="C235" s="151" t="str">
        <f ca="1">VLOOKUP(B235,bond!B:C,2,FALSE)</f>
        <v>聯合健康集團美元配息債券 4.375% 2042/3/15</v>
      </c>
      <c r="D235" s="95" t="str">
        <f>VLOOKUP(A235,'銀行-TSS'!A:C,3,FALSE)</f>
        <v>USD</v>
      </c>
      <c r="E235" s="90">
        <f ca="1">VLOOKUP(A235,'銀行-TSS'!A:G,7,FALSE)</f>
        <v>17.7</v>
      </c>
      <c r="F235" s="202">
        <f ca="1">VLOOKUP(A235,'銀行-TSS'!A:H,8,FALSE)</f>
        <v>4.3749999999999997E-2</v>
      </c>
      <c r="G235" s="96">
        <f ca="1">VLOOKUP(A235,'銀行-TSS'!A:K,11,FALSE)</f>
        <v>92.34</v>
      </c>
      <c r="H235" s="1209">
        <f ca="1">VLOOKUP(A235,'銀行-TSS'!A:M,13,FALSE)</f>
        <v>5.1499999999999997E-2</v>
      </c>
      <c r="I235" s="1213">
        <f ca="1">VLOOKUP(A235,'銀行-TSS'!A:N,14,FALSE)</f>
        <v>10000</v>
      </c>
      <c r="J235" s="1213">
        <f ca="1">VLOOKUP(A235,'銀行-TSS'!A:O,15,FALSE)</f>
        <v>1000</v>
      </c>
      <c r="K235" s="136" t="str">
        <f ca="1">VLOOKUP(A235,'銀行-TSS'!A:V,22,FALSE)</f>
        <v>(NPI)非專投</v>
      </c>
      <c r="L235" s="136" t="str">
        <f ca="1">VLOOKUP(A235,'銀行-TSS'!A:AK,37,FALSE)</f>
        <v>有</v>
      </c>
      <c r="M235" s="136" t="str">
        <f ca="1">VLOOKUP(A235,'銀行-TSS'!A:AN,40,FALSE)</f>
        <v/>
      </c>
      <c r="N235" s="1211">
        <f t="shared" ca="1" si="44"/>
        <v>923.4</v>
      </c>
      <c r="O235" s="1211">
        <f t="shared" ca="1" si="45"/>
        <v>9234</v>
      </c>
      <c r="P235" s="1213">
        <f ca="1">IF(AND(換券投組!$D$17&gt;=O235,換券投組!$D$13=D235),I235+INT((換券投組!$D$17-O235)/N235)*J235,0)</f>
        <v>0</v>
      </c>
      <c r="Q235" s="1211">
        <f t="shared" ca="1" si="46"/>
        <v>0</v>
      </c>
      <c r="R235" s="1213">
        <f t="shared" ca="1" si="47"/>
        <v>0</v>
      </c>
      <c r="S235" s="1213">
        <f t="shared" ca="1" si="48"/>
        <v>0</v>
      </c>
      <c r="T235" s="136">
        <f t="shared" ca="1" si="41"/>
        <v>0</v>
      </c>
      <c r="U235" s="861">
        <f t="shared" ca="1" si="42"/>
        <v>0</v>
      </c>
      <c r="V235" s="136" t="b">
        <f ca="1">IF(OR(D235&lt;&gt;"USD",L235="無",M235&lt;&gt;"",K235="高資產",IFERROR(MATCH(B235,換券投組!K:K,0),"N")&lt;&gt;"N",IFERROR(MATCH(B235,換券投組!J:J,0),"N")&lt;&gt;"N"),FALSE,IF($V$1="All",TRUE,IF(K235=$V$1,TRUE,FALSE)))</f>
        <v>1</v>
      </c>
      <c r="W235" s="136">
        <f ca="1">VLOOKUP(A235,'銀行-TSS'!A:AO,41,FALSE)</f>
        <v>88.54</v>
      </c>
      <c r="X235" s="136">
        <f ca="1">VLOOKUP(A235,'銀行-TSS'!A:AP,42,FALSE)</f>
        <v>11.663399999999999</v>
      </c>
      <c r="Y235" s="1223">
        <f t="shared" ca="1" si="49"/>
        <v>0</v>
      </c>
      <c r="Z235" s="1211">
        <f t="shared" ca="1" si="50"/>
        <v>0</v>
      </c>
      <c r="AA235" s="136">
        <f ca="1">IF(Z235&lt;=0,0,RANK(Z235,Z:Z)+COUNTIF($Z$3:$Z235,Z235)-1)</f>
        <v>0</v>
      </c>
      <c r="AB235" s="1211">
        <f t="shared" ca="1" si="43"/>
        <v>0</v>
      </c>
      <c r="AC235" s="136">
        <f ca="1">IF(AB235&lt;=0,0,RANK(AB235,AB:AB)+COUNTIF($AB$3:$AB235,AB235)-1)</f>
        <v>0</v>
      </c>
      <c r="AD235" s="136">
        <f t="shared" ca="1" si="51"/>
        <v>99999</v>
      </c>
      <c r="AE235" s="136">
        <f ca="1">IF(AD235=99999,0,RANK(AD235,AD:AD,1)+COUNTIF($AD$3:$AD235,AD235)-1)</f>
        <v>0</v>
      </c>
    </row>
    <row r="236" spans="1:31">
      <c r="A236" s="141" t="str">
        <f>'銀行-TSS'!A236</f>
        <v>US654106AE35</v>
      </c>
      <c r="B236" s="151" t="str">
        <f ca="1">VLOOKUP(A236,'銀行-TSS'!A:B,2,FALSE)</f>
        <v>XH310</v>
      </c>
      <c r="C236" s="151" t="str">
        <f ca="1">VLOOKUP(B236,bond!B:C,2,FALSE)</f>
        <v>NIKE公司美元配息債券 3.875% 2045/11/1</v>
      </c>
      <c r="D236" s="95" t="str">
        <f>VLOOKUP(A236,'銀行-TSS'!A:C,3,FALSE)</f>
        <v>USD</v>
      </c>
      <c r="E236" s="90">
        <f ca="1">VLOOKUP(A236,'銀行-TSS'!A:G,7,FALSE)</f>
        <v>21.33</v>
      </c>
      <c r="F236" s="202">
        <f ca="1">VLOOKUP(A236,'銀行-TSS'!A:H,8,FALSE)</f>
        <v>3.875E-2</v>
      </c>
      <c r="G236" s="96">
        <f ca="1">VLOOKUP(A236,'銀行-TSS'!A:K,11,FALSE)</f>
        <v>84.56</v>
      </c>
      <c r="H236" s="1209">
        <f ca="1">VLOOKUP(A236,'銀行-TSS'!A:M,13,FALSE)</f>
        <v>5.1200000000000002E-2</v>
      </c>
      <c r="I236" s="1213">
        <f ca="1">VLOOKUP(A236,'銀行-TSS'!A:N,14,FALSE)</f>
        <v>10000</v>
      </c>
      <c r="J236" s="1213">
        <f ca="1">VLOOKUP(A236,'銀行-TSS'!A:O,15,FALSE)</f>
        <v>1000</v>
      </c>
      <c r="K236" s="136" t="str">
        <f ca="1">VLOOKUP(A236,'銀行-TSS'!A:V,22,FALSE)</f>
        <v>(NPI)非專投</v>
      </c>
      <c r="L236" s="136" t="str">
        <f ca="1">VLOOKUP(A236,'銀行-TSS'!A:AK,37,FALSE)</f>
        <v>有</v>
      </c>
      <c r="M236" s="136" t="str">
        <f ca="1">VLOOKUP(A236,'銀行-TSS'!A:AN,40,FALSE)</f>
        <v/>
      </c>
      <c r="N236" s="1211">
        <f t="shared" ca="1" si="44"/>
        <v>845.6</v>
      </c>
      <c r="O236" s="1211">
        <f t="shared" ca="1" si="45"/>
        <v>8456</v>
      </c>
      <c r="P236" s="1213">
        <f ca="1">IF(AND(換券投組!$D$17&gt;=O236,換券投組!$D$13=D236),I236+INT((換券投組!$D$17-O236)/N236)*J236,0)</f>
        <v>0</v>
      </c>
      <c r="Q236" s="1211">
        <f t="shared" ca="1" si="46"/>
        <v>0</v>
      </c>
      <c r="R236" s="1213">
        <f t="shared" ca="1" si="47"/>
        <v>0</v>
      </c>
      <c r="S236" s="1213">
        <f t="shared" ca="1" si="48"/>
        <v>0</v>
      </c>
      <c r="T236" s="136">
        <f t="shared" ca="1" si="41"/>
        <v>0</v>
      </c>
      <c r="U236" s="861">
        <f t="shared" ca="1" si="42"/>
        <v>0</v>
      </c>
      <c r="V236" s="136" t="b">
        <f ca="1">IF(OR(D236&lt;&gt;"USD",L236="無",M236&lt;&gt;"",K236="高資產",IFERROR(MATCH(B236,換券投組!K:K,0),"N")&lt;&gt;"N",IFERROR(MATCH(B236,換券投組!J:J,0),"N")&lt;&gt;"N"),FALSE,IF($V$1="All",TRUE,IF(K236=$V$1,TRUE,FALSE)))</f>
        <v>1</v>
      </c>
      <c r="W236" s="136">
        <f ca="1">VLOOKUP(A236,'銀行-TSS'!A:AO,41,FALSE)</f>
        <v>80.900000000000006</v>
      </c>
      <c r="X236" s="136">
        <f ca="1">VLOOKUP(A236,'銀行-TSS'!A:AP,42,FALSE)</f>
        <v>13.453099999999999</v>
      </c>
      <c r="Y236" s="1223">
        <f t="shared" ca="1" si="49"/>
        <v>0</v>
      </c>
      <c r="Z236" s="1211">
        <f t="shared" ca="1" si="50"/>
        <v>0</v>
      </c>
      <c r="AA236" s="136">
        <f ca="1">IF(Z236&lt;=0,0,RANK(Z236,Z:Z)+COUNTIF($Z$3:$Z236,Z236)-1)</f>
        <v>0</v>
      </c>
      <c r="AB236" s="1211">
        <f t="shared" ca="1" si="43"/>
        <v>0</v>
      </c>
      <c r="AC236" s="136">
        <f ca="1">IF(AB236&lt;=0,0,RANK(AB236,AB:AB)+COUNTIF($AB$3:$AB236,AB236)-1)</f>
        <v>0</v>
      </c>
      <c r="AD236" s="136">
        <f t="shared" ca="1" si="51"/>
        <v>99999</v>
      </c>
      <c r="AE236" s="136">
        <f ca="1">IF(AD236=99999,0,RANK(AD236,AD:AD,1)+COUNTIF($AD$3:$AD236,AD236)-1)</f>
        <v>0</v>
      </c>
    </row>
    <row r="237" spans="1:31">
      <c r="A237" s="141" t="str">
        <f>'銀行-TSS'!A237</f>
        <v>US912810FT08</v>
      </c>
      <c r="B237" s="151" t="str">
        <f ca="1">VLOOKUP(A237,'銀行-TSS'!A:B,2,FALSE)</f>
        <v>XH320</v>
      </c>
      <c r="C237" s="151" t="str">
        <f ca="1">VLOOKUP(B237,bond!B:C,2,FALSE)</f>
        <v>美國政府債券 4.5% 2036/2/15</v>
      </c>
      <c r="D237" s="95" t="str">
        <f>VLOOKUP(A237,'銀行-TSS'!A:C,3,FALSE)</f>
        <v>USD</v>
      </c>
      <c r="E237" s="90">
        <f ca="1">VLOOKUP(A237,'銀行-TSS'!A:G,7,FALSE)</f>
        <v>11.62</v>
      </c>
      <c r="F237" s="202">
        <f ca="1">VLOOKUP(A237,'銀行-TSS'!A:H,8,FALSE)</f>
        <v>4.4999999999999998E-2</v>
      </c>
      <c r="G237" s="96">
        <f ca="1">VLOOKUP(A237,'銀行-TSS'!A:K,11,FALSE)</f>
        <v>105.7</v>
      </c>
      <c r="H237" s="1209">
        <f ca="1">VLOOKUP(A237,'銀行-TSS'!A:M,13,FALSE)</f>
        <v>4.07E-2</v>
      </c>
      <c r="I237" s="1213">
        <f ca="1">VLOOKUP(A237,'銀行-TSS'!A:N,14,FALSE)</f>
        <v>10000</v>
      </c>
      <c r="J237" s="1213">
        <f ca="1">VLOOKUP(A237,'銀行-TSS'!A:O,15,FALSE)</f>
        <v>100</v>
      </c>
      <c r="K237" s="136" t="str">
        <f ca="1">VLOOKUP(A237,'銀行-TSS'!A:V,22,FALSE)</f>
        <v>(NPI)非專投</v>
      </c>
      <c r="L237" s="136" t="str">
        <f ca="1">VLOOKUP(A237,'銀行-TSS'!A:AK,37,FALSE)</f>
        <v>有</v>
      </c>
      <c r="M237" s="136" t="str">
        <f ca="1">VLOOKUP(A237,'銀行-TSS'!A:AN,40,FALSE)</f>
        <v/>
      </c>
      <c r="N237" s="1211">
        <f t="shared" ca="1" si="44"/>
        <v>105.7</v>
      </c>
      <c r="O237" s="1211">
        <f t="shared" ca="1" si="45"/>
        <v>10570</v>
      </c>
      <c r="P237" s="1213">
        <f ca="1">IF(AND(換券投組!$D$17&gt;=O237,換券投組!$D$13=D237),I237+INT((換券投組!$D$17-O237)/N237)*J237,0)</f>
        <v>0</v>
      </c>
      <c r="Q237" s="1211">
        <f t="shared" ca="1" si="46"/>
        <v>0</v>
      </c>
      <c r="R237" s="1213">
        <f t="shared" ca="1" si="47"/>
        <v>0</v>
      </c>
      <c r="S237" s="1213">
        <f t="shared" ca="1" si="48"/>
        <v>0</v>
      </c>
      <c r="T237" s="136">
        <f t="shared" ca="1" si="41"/>
        <v>0</v>
      </c>
      <c r="U237" s="861">
        <f t="shared" ca="1" si="42"/>
        <v>0</v>
      </c>
      <c r="V237" s="136" t="b">
        <f ca="1">IF(OR(D237&lt;&gt;"USD",L237="無",M237&lt;&gt;"",K237="高資產",IFERROR(MATCH(B237,換券投組!K:K,0),"N")&lt;&gt;"N",IFERROR(MATCH(B237,換券投組!J:J,0),"N")&lt;&gt;"N"),FALSE,IF($V$1="All",TRUE,IF(K237=$V$1,TRUE,FALSE)))</f>
        <v>1</v>
      </c>
      <c r="W237" s="136">
        <f ca="1">VLOOKUP(A237,'銀行-TSS'!A:AO,41,FALSE)</f>
        <v>102.49000000000001</v>
      </c>
      <c r="X237" s="136">
        <f ca="1">VLOOKUP(A237,'銀行-TSS'!A:AP,42,FALSE)</f>
        <v>8.8780000000000001</v>
      </c>
      <c r="Y237" s="1223">
        <f t="shared" ca="1" si="49"/>
        <v>0</v>
      </c>
      <c r="Z237" s="1211">
        <f t="shared" ca="1" si="50"/>
        <v>0</v>
      </c>
      <c r="AA237" s="136">
        <f ca="1">IF(Z237&lt;=0,0,RANK(Z237,Z:Z)+COUNTIF($Z$3:$Z237,Z237)-1)</f>
        <v>0</v>
      </c>
      <c r="AB237" s="1211">
        <f t="shared" ca="1" si="43"/>
        <v>0</v>
      </c>
      <c r="AC237" s="136">
        <f ca="1">IF(AB237&lt;=0,0,RANK(AB237,AB:AB)+COUNTIF($AB$3:$AB237,AB237)-1)</f>
        <v>0</v>
      </c>
      <c r="AD237" s="136">
        <f t="shared" ca="1" si="51"/>
        <v>99999</v>
      </c>
      <c r="AE237" s="136">
        <f ca="1">IF(AD237=99999,0,RANK(AD237,AD:AD,1)+COUNTIF($AD$3:$AD237,AD237)-1)</f>
        <v>0</v>
      </c>
    </row>
    <row r="238" spans="1:31">
      <c r="A238" s="141" t="str">
        <f>'銀行-TSS'!A238</f>
        <v>US57636QAH74</v>
      </c>
      <c r="B238" s="151" t="str">
        <f ca="1">VLOOKUP(A238,'銀行-TSS'!A:B,2,FALSE)</f>
        <v>XH330</v>
      </c>
      <c r="C238" s="151" t="str">
        <f ca="1">VLOOKUP(B238,bond!B:C,2,FALSE)</f>
        <v>萬事達卡公司美元配息債券 3.8% 2046/11/21</v>
      </c>
      <c r="D238" s="95" t="str">
        <f>VLOOKUP(A238,'銀行-TSS'!A:C,3,FALSE)</f>
        <v>USD</v>
      </c>
      <c r="E238" s="90">
        <f ca="1">VLOOKUP(A238,'銀行-TSS'!A:G,7,FALSE)</f>
        <v>22.39</v>
      </c>
      <c r="F238" s="202">
        <f ca="1">VLOOKUP(A238,'銀行-TSS'!A:H,8,FALSE)</f>
        <v>3.7999999999999999E-2</v>
      </c>
      <c r="G238" s="96">
        <f ca="1">VLOOKUP(A238,'銀行-TSS'!A:K,11,FALSE)</f>
        <v>83.8</v>
      </c>
      <c r="H238" s="1209">
        <f ca="1">VLOOKUP(A238,'銀行-TSS'!A:M,13,FALSE)</f>
        <v>5.0500000000000003E-2</v>
      </c>
      <c r="I238" s="1213">
        <f ca="1">VLOOKUP(A238,'銀行-TSS'!A:N,14,FALSE)</f>
        <v>10000</v>
      </c>
      <c r="J238" s="1213">
        <f ca="1">VLOOKUP(A238,'銀行-TSS'!A:O,15,FALSE)</f>
        <v>1000</v>
      </c>
      <c r="K238" s="136" t="str">
        <f ca="1">VLOOKUP(A238,'銀行-TSS'!A:V,22,FALSE)</f>
        <v>(NPI)非專投</v>
      </c>
      <c r="L238" s="136" t="str">
        <f ca="1">VLOOKUP(A238,'銀行-TSS'!A:AK,37,FALSE)</f>
        <v>有</v>
      </c>
      <c r="M238" s="136" t="str">
        <f ca="1">VLOOKUP(A238,'銀行-TSS'!A:AN,40,FALSE)</f>
        <v/>
      </c>
      <c r="N238" s="1211">
        <f t="shared" ca="1" si="44"/>
        <v>838</v>
      </c>
      <c r="O238" s="1211">
        <f t="shared" ca="1" si="45"/>
        <v>8380</v>
      </c>
      <c r="P238" s="1213">
        <f ca="1">IF(AND(換券投組!$D$17&gt;=O238,換券投組!$D$13=D238),I238+INT((換券投組!$D$17-O238)/N238)*J238,0)</f>
        <v>0</v>
      </c>
      <c r="Q238" s="1211">
        <f t="shared" ca="1" si="46"/>
        <v>0</v>
      </c>
      <c r="R238" s="1213">
        <f t="shared" ca="1" si="47"/>
        <v>0</v>
      </c>
      <c r="S238" s="1213">
        <f t="shared" ca="1" si="48"/>
        <v>0</v>
      </c>
      <c r="T238" s="136">
        <f t="shared" ca="1" si="41"/>
        <v>0</v>
      </c>
      <c r="U238" s="861">
        <f t="shared" ca="1" si="42"/>
        <v>0</v>
      </c>
      <c r="V238" s="136" t="b">
        <f ca="1">IF(OR(D238&lt;&gt;"USD",L238="無",M238&lt;&gt;"",K238="高資產",IFERROR(MATCH(B238,換券投組!K:K,0),"N")&lt;&gt;"N",IFERROR(MATCH(B238,換券投組!J:J,0),"N")&lt;&gt;"N"),FALSE,IF($V$1="All",TRUE,IF(K238=$V$1,TRUE,FALSE)))</f>
        <v>1</v>
      </c>
      <c r="W238" s="136">
        <f ca="1">VLOOKUP(A238,'銀行-TSS'!A:AO,41,FALSE)</f>
        <v>80.37</v>
      </c>
      <c r="X238" s="136">
        <f ca="1">VLOOKUP(A238,'銀行-TSS'!A:AP,42,FALSE)</f>
        <v>13.9498</v>
      </c>
      <c r="Y238" s="1223">
        <f t="shared" ca="1" si="49"/>
        <v>0</v>
      </c>
      <c r="Z238" s="1211">
        <f t="shared" ca="1" si="50"/>
        <v>0</v>
      </c>
      <c r="AA238" s="136">
        <f ca="1">IF(Z238&lt;=0,0,RANK(Z238,Z:Z)+COUNTIF($Z$3:$Z238,Z238)-1)</f>
        <v>0</v>
      </c>
      <c r="AB238" s="1211">
        <f t="shared" ca="1" si="43"/>
        <v>0</v>
      </c>
      <c r="AC238" s="136">
        <f ca="1">IF(AB238&lt;=0,0,RANK(AB238,AB:AB)+COUNTIF($AB$3:$AB238,AB238)-1)</f>
        <v>0</v>
      </c>
      <c r="AD238" s="136">
        <f t="shared" ca="1" si="51"/>
        <v>99999</v>
      </c>
      <c r="AE238" s="136">
        <f ca="1">IF(AD238=99999,0,RANK(AD238,AD:AD,1)+COUNTIF($AD$3:$AD238,AD238)-1)</f>
        <v>0</v>
      </c>
    </row>
    <row r="239" spans="1:31">
      <c r="A239" s="141" t="str">
        <f>'銀行-TSS'!A239</f>
        <v>US742718GA10</v>
      </c>
      <c r="B239" s="151" t="str">
        <f ca="1">VLOOKUP(A239,'銀行-TSS'!A:B,2,FALSE)</f>
        <v>XH340</v>
      </c>
      <c r="C239" s="151" t="str">
        <f ca="1">VLOOKUP(B239,bond!B:C,2,FALSE)</f>
        <v>寶僑公司美元配息債券 4.05% 2033/1/26</v>
      </c>
      <c r="D239" s="95" t="str">
        <f>VLOOKUP(A239,'銀行-TSS'!A:C,3,FALSE)</f>
        <v>USD</v>
      </c>
      <c r="E239" s="90">
        <f ca="1">VLOOKUP(A239,'銀行-TSS'!A:G,7,FALSE)</f>
        <v>8.57</v>
      </c>
      <c r="F239" s="202">
        <f ca="1">VLOOKUP(A239,'銀行-TSS'!A:H,8,FALSE)</f>
        <v>4.0500000000000001E-2</v>
      </c>
      <c r="G239" s="96">
        <f ca="1">VLOOKUP(A239,'銀行-TSS'!A:K,11,FALSE)</f>
        <v>99.71</v>
      </c>
      <c r="H239" s="1209">
        <f ca="1">VLOOKUP(A239,'銀行-TSS'!A:M,13,FALSE)</f>
        <v>4.3400000000000001E-2</v>
      </c>
      <c r="I239" s="1213">
        <f ca="1">VLOOKUP(A239,'銀行-TSS'!A:N,14,FALSE)</f>
        <v>2000</v>
      </c>
      <c r="J239" s="1213">
        <f ca="1">VLOOKUP(A239,'銀行-TSS'!A:O,15,FALSE)</f>
        <v>1000</v>
      </c>
      <c r="K239" s="136" t="str">
        <f ca="1">VLOOKUP(A239,'銀行-TSS'!A:V,22,FALSE)</f>
        <v>(NPI)非專投</v>
      </c>
      <c r="L239" s="136" t="str">
        <f ca="1">VLOOKUP(A239,'銀行-TSS'!A:AK,37,FALSE)</f>
        <v>有</v>
      </c>
      <c r="M239" s="136" t="str">
        <f ca="1">VLOOKUP(A239,'銀行-TSS'!A:AN,40,FALSE)</f>
        <v/>
      </c>
      <c r="N239" s="1211">
        <f t="shared" ca="1" si="44"/>
        <v>997.1</v>
      </c>
      <c r="O239" s="1211">
        <f t="shared" ca="1" si="45"/>
        <v>1994.2</v>
      </c>
      <c r="P239" s="1213">
        <f ca="1">IF(AND(換券投組!$D$17&gt;=O239,換券投組!$D$13=D239),I239+INT((換券投組!$D$17-O239)/N239)*J239,0)</f>
        <v>0</v>
      </c>
      <c r="Q239" s="1211">
        <f t="shared" ca="1" si="46"/>
        <v>0</v>
      </c>
      <c r="R239" s="1213">
        <f t="shared" ca="1" si="47"/>
        <v>0</v>
      </c>
      <c r="S239" s="1213">
        <f t="shared" ca="1" si="48"/>
        <v>0</v>
      </c>
      <c r="T239" s="136">
        <f t="shared" ca="1" si="41"/>
        <v>0</v>
      </c>
      <c r="U239" s="861">
        <f t="shared" ca="1" si="42"/>
        <v>0</v>
      </c>
      <c r="V239" s="136" t="b">
        <f ca="1">IF(OR(D239&lt;&gt;"USD",L239="無",M239&lt;&gt;"",K239="高資產",IFERROR(MATCH(B239,換券投組!K:K,0),"N")&lt;&gt;"N",IFERROR(MATCH(B239,換券投組!J:J,0),"N")&lt;&gt;"N"),FALSE,IF($V$1="All",TRUE,IF(K239=$V$1,TRUE,FALSE)))</f>
        <v>1</v>
      </c>
      <c r="W239" s="136">
        <f ca="1">VLOOKUP(A239,'銀行-TSS'!A:AO,41,FALSE)</f>
        <v>96.45</v>
      </c>
      <c r="X239" s="136">
        <f ca="1">VLOOKUP(A239,'銀行-TSS'!A:AP,42,FALSE)</f>
        <v>7.0119999999999996</v>
      </c>
      <c r="Y239" s="1223">
        <f t="shared" ca="1" si="49"/>
        <v>0</v>
      </c>
      <c r="Z239" s="1211">
        <f t="shared" ca="1" si="50"/>
        <v>0</v>
      </c>
      <c r="AA239" s="136">
        <f ca="1">IF(Z239&lt;=0,0,RANK(Z239,Z:Z)+COUNTIF($Z$3:$Z239,Z239)-1)</f>
        <v>0</v>
      </c>
      <c r="AB239" s="1211">
        <f t="shared" ca="1" si="43"/>
        <v>0</v>
      </c>
      <c r="AC239" s="136">
        <f ca="1">IF(AB239&lt;=0,0,RANK(AB239,AB:AB)+COUNTIF($AB$3:$AB239,AB239)-1)</f>
        <v>0</v>
      </c>
      <c r="AD239" s="136">
        <f t="shared" ca="1" si="51"/>
        <v>99999</v>
      </c>
      <c r="AE239" s="136">
        <f ca="1">IF(AD239=99999,0,RANK(AD239,AD:AD,1)+COUNTIF($AD$3:$AD239,AD239)-1)</f>
        <v>0</v>
      </c>
    </row>
    <row r="240" spans="1:31">
      <c r="A240" s="141" t="str">
        <f>'銀行-TSS'!A240</f>
        <v>US674599DF90</v>
      </c>
      <c r="B240" s="151" t="str">
        <f ca="1">VLOOKUP(A240,'銀行-TSS'!A:B,2,FALSE)</f>
        <v>XH350</v>
      </c>
      <c r="C240" s="151" t="str">
        <f ca="1">VLOOKUP(B240,bond!B:C,2,FALSE)</f>
        <v>西方石油公司美元配息債券 6.45% 2036/9/15</v>
      </c>
      <c r="D240" s="95" t="str">
        <f>VLOOKUP(A240,'銀行-TSS'!A:C,3,FALSE)</f>
        <v>USD</v>
      </c>
      <c r="E240" s="90">
        <f ca="1">VLOOKUP(A240,'銀行-TSS'!A:G,7,FALSE)</f>
        <v>12.21</v>
      </c>
      <c r="F240" s="202">
        <f ca="1">VLOOKUP(A240,'銀行-TSS'!A:H,8,FALSE)</f>
        <v>6.4500000000000002E-2</v>
      </c>
      <c r="G240" s="96">
        <f ca="1">VLOOKUP(A240,'銀行-TSS'!A:K,11,FALSE)</f>
        <v>108.82</v>
      </c>
      <c r="H240" s="1209">
        <f ca="1">VLOOKUP(A240,'銀行-TSS'!A:M,13,FALSE)</f>
        <v>5.6599999999999998E-2</v>
      </c>
      <c r="I240" s="1213">
        <f ca="1">VLOOKUP(A240,'銀行-TSS'!A:N,14,FALSE)</f>
        <v>10000</v>
      </c>
      <c r="J240" s="1213">
        <f ca="1">VLOOKUP(A240,'銀行-TSS'!A:O,15,FALSE)</f>
        <v>1000</v>
      </c>
      <c r="K240" s="136" t="str">
        <f ca="1">VLOOKUP(A240,'銀行-TSS'!A:V,22,FALSE)</f>
        <v>(PI)專投</v>
      </c>
      <c r="L240" s="136" t="str">
        <f ca="1">VLOOKUP(A240,'銀行-TSS'!A:AK,37,FALSE)</f>
        <v>有</v>
      </c>
      <c r="M240" s="136" t="str">
        <f ca="1">VLOOKUP(A240,'銀行-TSS'!A:AN,40,FALSE)</f>
        <v/>
      </c>
      <c r="N240" s="1211">
        <f t="shared" ca="1" si="44"/>
        <v>1088.2</v>
      </c>
      <c r="O240" s="1211">
        <f t="shared" ca="1" si="45"/>
        <v>10882</v>
      </c>
      <c r="P240" s="1213">
        <f ca="1">IF(AND(換券投組!$D$17&gt;=O240,換券投組!$D$13=D240),I240+INT((換券投組!$D$17-O240)/N240)*J240,0)</f>
        <v>0</v>
      </c>
      <c r="Q240" s="1211">
        <f t="shared" ca="1" si="46"/>
        <v>0</v>
      </c>
      <c r="R240" s="1213">
        <f t="shared" ca="1" si="47"/>
        <v>0</v>
      </c>
      <c r="S240" s="1213">
        <f t="shared" ca="1" si="48"/>
        <v>0</v>
      </c>
      <c r="T240" s="136">
        <f t="shared" ca="1" si="41"/>
        <v>0</v>
      </c>
      <c r="U240" s="861">
        <f t="shared" ca="1" si="42"/>
        <v>0</v>
      </c>
      <c r="V240" s="136" t="b">
        <f ca="1">IF(OR(D240&lt;&gt;"USD",L240="無",M240&lt;&gt;"",K240="高資產",IFERROR(MATCH(B240,換券投組!K:K,0),"N")&lt;&gt;"N",IFERROR(MATCH(B240,換券投組!J:J,0),"N")&lt;&gt;"N"),FALSE,IF($V$1="All",TRUE,IF(K240=$V$1,TRUE,FALSE)))</f>
        <v>1</v>
      </c>
      <c r="W240" s="136">
        <f ca="1">VLOOKUP(A240,'銀行-TSS'!A:AO,41,FALSE)</f>
        <v>104.9</v>
      </c>
      <c r="X240" s="136">
        <f ca="1">VLOOKUP(A240,'銀行-TSS'!A:AP,42,FALSE)</f>
        <v>8.3361000000000001</v>
      </c>
      <c r="Y240" s="1223">
        <f t="shared" ca="1" si="49"/>
        <v>0</v>
      </c>
      <c r="Z240" s="1211">
        <f t="shared" ca="1" si="50"/>
        <v>0</v>
      </c>
      <c r="AA240" s="136">
        <f ca="1">IF(Z240&lt;=0,0,RANK(Z240,Z:Z)+COUNTIF($Z$3:$Z240,Z240)-1)</f>
        <v>0</v>
      </c>
      <c r="AB240" s="1211">
        <f t="shared" ca="1" si="43"/>
        <v>0</v>
      </c>
      <c r="AC240" s="136">
        <f ca="1">IF(AB240&lt;=0,0,RANK(AB240,AB:AB)+COUNTIF($AB$3:$AB240,AB240)-1)</f>
        <v>0</v>
      </c>
      <c r="AD240" s="136">
        <f t="shared" ca="1" si="51"/>
        <v>99999</v>
      </c>
      <c r="AE240" s="136">
        <f ca="1">IF(AD240=99999,0,RANK(AD240,AD:AD,1)+COUNTIF($AD$3:$AD240,AD240)-1)</f>
        <v>0</v>
      </c>
    </row>
    <row r="241" spans="1:31">
      <c r="A241" s="141" t="str">
        <f>'銀行-TSS'!A241</f>
        <v>US71568QAG29</v>
      </c>
      <c r="B241" s="151" t="str">
        <f ca="1">VLOOKUP(A241,'銀行-TSS'!A:B,2,FALSE)</f>
        <v>XH360</v>
      </c>
      <c r="C241" s="151" t="str">
        <f ca="1">VLOOKUP(B241,bond!B:C,2,FALSE)</f>
        <v>印尼國家電力公司美元配息債券 5.375% 2029/1/25</v>
      </c>
      <c r="D241" s="95" t="str">
        <f>VLOOKUP(A241,'銀行-TSS'!A:C,3,FALSE)</f>
        <v>USD</v>
      </c>
      <c r="E241" s="90">
        <f ca="1">VLOOKUP(A241,'銀行-TSS'!A:G,7,FALSE)</f>
        <v>4.57</v>
      </c>
      <c r="F241" s="202">
        <f ca="1">VLOOKUP(A241,'銀行-TSS'!A:H,8,FALSE)</f>
        <v>5.3749999999999999E-2</v>
      </c>
      <c r="G241" s="96">
        <f ca="1">VLOOKUP(A241,'銀行-TSS'!A:K,11,FALSE)</f>
        <v>103.95</v>
      </c>
      <c r="H241" s="1209">
        <f ca="1">VLOOKUP(A241,'銀行-TSS'!A:M,13,FALSE)</f>
        <v>4.9799999999999997E-2</v>
      </c>
      <c r="I241" s="1213">
        <f ca="1">VLOOKUP(A241,'銀行-TSS'!A:N,14,FALSE)</f>
        <v>200000</v>
      </c>
      <c r="J241" s="1213">
        <f ca="1">VLOOKUP(A241,'銀行-TSS'!A:O,15,FALSE)</f>
        <v>1000</v>
      </c>
      <c r="K241" s="136" t="str">
        <f ca="1">VLOOKUP(A241,'銀行-TSS'!A:V,22,FALSE)</f>
        <v>(PI)專投</v>
      </c>
      <c r="L241" s="136" t="str">
        <f ca="1">VLOOKUP(A241,'銀行-TSS'!A:AK,37,FALSE)</f>
        <v>有</v>
      </c>
      <c r="M241" s="136" t="str">
        <f ca="1">VLOOKUP(A241,'銀行-TSS'!A:AN,40,FALSE)</f>
        <v/>
      </c>
      <c r="N241" s="1211">
        <f t="shared" ca="1" si="44"/>
        <v>1039.5</v>
      </c>
      <c r="O241" s="1211">
        <f t="shared" ca="1" si="45"/>
        <v>207900</v>
      </c>
      <c r="P241" s="1213">
        <f ca="1">IF(AND(換券投組!$D$17&gt;=O241,換券投組!$D$13=D241),I241+INT((換券投組!$D$17-O241)/N241)*J241,0)</f>
        <v>0</v>
      </c>
      <c r="Q241" s="1211">
        <f t="shared" ca="1" si="46"/>
        <v>0</v>
      </c>
      <c r="R241" s="1213">
        <f t="shared" ca="1" si="47"/>
        <v>0</v>
      </c>
      <c r="S241" s="1213">
        <f t="shared" ca="1" si="48"/>
        <v>0</v>
      </c>
      <c r="T241" s="136">
        <f t="shared" ca="1" si="41"/>
        <v>0</v>
      </c>
      <c r="U241" s="861">
        <f t="shared" ca="1" si="42"/>
        <v>0</v>
      </c>
      <c r="V241" s="136" t="b">
        <f ca="1">IF(OR(D241&lt;&gt;"USD",L241="無",M241&lt;&gt;"",K241="高資產",IFERROR(MATCH(B241,換券投組!K:K,0),"N")&lt;&gt;"N",IFERROR(MATCH(B241,換券投組!J:J,0),"N")&lt;&gt;"N"),FALSE,IF($V$1="All",TRUE,IF(K241=$V$1,TRUE,FALSE)))</f>
        <v>1</v>
      </c>
      <c r="W241" s="136">
        <f ca="1">VLOOKUP(A241,'銀行-TSS'!A:AO,41,FALSE)</f>
        <v>100.11</v>
      </c>
      <c r="X241" s="136">
        <f ca="1">VLOOKUP(A241,'銀行-TSS'!A:AP,42,FALSE)</f>
        <v>3.9127999999999998</v>
      </c>
      <c r="Y241" s="1223">
        <f t="shared" ca="1" si="49"/>
        <v>0</v>
      </c>
      <c r="Z241" s="1211">
        <f t="shared" ca="1" si="50"/>
        <v>0</v>
      </c>
      <c r="AA241" s="136">
        <f ca="1">IF(Z241&lt;=0,0,RANK(Z241,Z:Z)+COUNTIF($Z$3:$Z241,Z241)-1)</f>
        <v>0</v>
      </c>
      <c r="AB241" s="1211">
        <f t="shared" ca="1" si="43"/>
        <v>0</v>
      </c>
      <c r="AC241" s="136">
        <f ca="1">IF(AB241&lt;=0,0,RANK(AB241,AB:AB)+COUNTIF($AB$3:$AB241,AB241)-1)</f>
        <v>0</v>
      </c>
      <c r="AD241" s="136">
        <f t="shared" ca="1" si="51"/>
        <v>99999</v>
      </c>
      <c r="AE241" s="136">
        <f ca="1">IF(AD241=99999,0,RANK(AD241,AD:AD,1)+COUNTIF($AD$3:$AD241,AD241)-1)</f>
        <v>0</v>
      </c>
    </row>
    <row r="242" spans="1:31">
      <c r="A242" s="141" t="str">
        <f>'銀行-TSS'!A242</f>
        <v>ZAG000107004</v>
      </c>
      <c r="B242" s="151" t="str">
        <f ca="1">VLOOKUP(A242,'銀行-TSS'!A:B,2,FALSE)</f>
        <v>XH370</v>
      </c>
      <c r="C242" s="151" t="str">
        <f ca="1">VLOOKUP(B242,bond!B:C,2,FALSE)</f>
        <v>南非政府公債南非幣配息債券 8.25% 2032/03/31</v>
      </c>
      <c r="D242" s="95" t="str">
        <f>VLOOKUP(A242,'銀行-TSS'!A:C,3,FALSE)</f>
        <v>ZAR</v>
      </c>
      <c r="E242" s="90">
        <f ca="1">VLOOKUP(A242,'銀行-TSS'!A:G,7,FALSE)</f>
        <v>7.74</v>
      </c>
      <c r="F242" s="202">
        <f ca="1">VLOOKUP(A242,'銀行-TSS'!A:H,8,FALSE)</f>
        <v>8.2500000000000004E-2</v>
      </c>
      <c r="G242" s="96">
        <f ca="1">VLOOKUP(A242,'銀行-TSS'!A:K,11,FALSE)</f>
        <v>92.17</v>
      </c>
      <c r="H242" s="1209">
        <f ca="1">VLOOKUP(A242,'銀行-TSS'!A:M,13,FALSE)</f>
        <v>0.1014</v>
      </c>
      <c r="I242" s="1213">
        <f ca="1">VLOOKUP(A242,'銀行-TSS'!A:N,14,FALSE)</f>
        <v>100000</v>
      </c>
      <c r="J242" s="1213">
        <f ca="1">VLOOKUP(A242,'銀行-TSS'!A:O,15,FALSE)</f>
        <v>10000</v>
      </c>
      <c r="K242" s="136" t="str">
        <f ca="1">VLOOKUP(A242,'銀行-TSS'!A:V,22,FALSE)</f>
        <v>高資產</v>
      </c>
      <c r="L242" s="136" t="str">
        <f ca="1">VLOOKUP(A242,'銀行-TSS'!A:AK,37,FALSE)</f>
        <v>有</v>
      </c>
      <c r="M242" s="136" t="str">
        <f ca="1">VLOOKUP(A242,'銀行-TSS'!A:AN,40,FALSE)</f>
        <v/>
      </c>
      <c r="N242" s="1211">
        <f t="shared" ca="1" si="44"/>
        <v>9217</v>
      </c>
      <c r="O242" s="1211">
        <f t="shared" ca="1" si="45"/>
        <v>92170</v>
      </c>
      <c r="P242" s="1213">
        <f ca="1">IF(AND(換券投組!$D$17&gt;=O242,換券投組!$D$13=D242),I242+INT((換券投組!$D$17-O242)/N242)*J242,0)</f>
        <v>0</v>
      </c>
      <c r="Q242" s="1211">
        <f t="shared" ca="1" si="46"/>
        <v>0</v>
      </c>
      <c r="R242" s="1213">
        <f t="shared" ca="1" si="47"/>
        <v>0</v>
      </c>
      <c r="S242" s="1213">
        <f t="shared" ca="1" si="48"/>
        <v>0</v>
      </c>
      <c r="T242" s="136">
        <f t="shared" ca="1" si="41"/>
        <v>0</v>
      </c>
      <c r="U242" s="861">
        <f t="shared" ca="1" si="42"/>
        <v>0</v>
      </c>
      <c r="V242" s="136" t="b">
        <f ca="1">IF(OR(D242&lt;&gt;"USD",L242="無",M242&lt;&gt;"",K242="高資產",IFERROR(MATCH(B242,換券投組!K:K,0),"N")&lt;&gt;"N",IFERROR(MATCH(B242,換券投組!J:J,0),"N")&lt;&gt;"N"),FALSE,IF($V$1="All",TRUE,IF(K242=$V$1,TRUE,FALSE)))</f>
        <v>0</v>
      </c>
      <c r="W242" s="136">
        <f ca="1">VLOOKUP(A242,'銀行-TSS'!A:AO,41,FALSE)</f>
        <v>88.02000000000001</v>
      </c>
      <c r="X242" s="136">
        <f ca="1">VLOOKUP(A242,'銀行-TSS'!A:AP,42,FALSE)</f>
        <v>5.3282999999999996</v>
      </c>
      <c r="Y242" s="1223">
        <f t="shared" ca="1" si="49"/>
        <v>0</v>
      </c>
      <c r="Z242" s="1211">
        <f t="shared" ca="1" si="50"/>
        <v>0</v>
      </c>
      <c r="AA242" s="136">
        <f ca="1">IF(Z242&lt;=0,0,RANK(Z242,Z:Z)+COUNTIF($Z$3:$Z242,Z242)-1)</f>
        <v>0</v>
      </c>
      <c r="AB242" s="1211">
        <f t="shared" ca="1" si="43"/>
        <v>0</v>
      </c>
      <c r="AC242" s="136">
        <f ca="1">IF(AB242&lt;=0,0,RANK(AB242,AB:AB)+COUNTIF($AB$3:$AB242,AB242)-1)</f>
        <v>0</v>
      </c>
      <c r="AD242" s="136">
        <f t="shared" ca="1" si="51"/>
        <v>99999</v>
      </c>
      <c r="AE242" s="136">
        <f ca="1">IF(AD242=99999,0,RANK(AD242,AD:AD,1)+COUNTIF($AD$3:$AD242,AD242)-1)</f>
        <v>0</v>
      </c>
    </row>
    <row r="243" spans="1:31">
      <c r="A243" s="141" t="str">
        <f>'銀行-TSS'!A243</f>
        <v>US92826CAE21</v>
      </c>
      <c r="B243" s="151" t="str">
        <f ca="1">VLOOKUP(A243,'銀行-TSS'!A:B,2,FALSE)</f>
        <v>XH380</v>
      </c>
      <c r="C243" s="151" t="str">
        <f ca="1">VLOOKUP(B243,bond!B:C,2,FALSE)</f>
        <v>威士卡公司美元配息債券 4.15% 2035/12/14</v>
      </c>
      <c r="D243" s="95" t="str">
        <f>VLOOKUP(A243,'銀行-TSS'!A:C,3,FALSE)</f>
        <v>USD</v>
      </c>
      <c r="E243" s="90">
        <f ca="1">VLOOKUP(A243,'銀行-TSS'!A:G,7,FALSE)</f>
        <v>11.45</v>
      </c>
      <c r="F243" s="202">
        <f ca="1">VLOOKUP(A243,'銀行-TSS'!A:H,8,FALSE)</f>
        <v>4.1500000000000002E-2</v>
      </c>
      <c r="G243" s="96">
        <f ca="1">VLOOKUP(A243,'銀行-TSS'!A:K,11,FALSE)</f>
        <v>96.12</v>
      </c>
      <c r="H243" s="1209">
        <f ca="1">VLOOKUP(A243,'銀行-TSS'!A:M,13,FALSE)</f>
        <v>4.6100000000000002E-2</v>
      </c>
      <c r="I243" s="1213">
        <f ca="1">VLOOKUP(A243,'銀行-TSS'!A:N,14,FALSE)</f>
        <v>10000</v>
      </c>
      <c r="J243" s="1213">
        <f ca="1">VLOOKUP(A243,'銀行-TSS'!A:O,15,FALSE)</f>
        <v>1000</v>
      </c>
      <c r="K243" s="136" t="str">
        <f ca="1">VLOOKUP(A243,'銀行-TSS'!A:V,22,FALSE)</f>
        <v>(NPI)非專投</v>
      </c>
      <c r="L243" s="136" t="str">
        <f ca="1">VLOOKUP(A243,'銀行-TSS'!A:AK,37,FALSE)</f>
        <v>有</v>
      </c>
      <c r="M243" s="136" t="str">
        <f ca="1">VLOOKUP(A243,'銀行-TSS'!A:AN,40,FALSE)</f>
        <v/>
      </c>
      <c r="N243" s="1211">
        <f t="shared" ca="1" si="44"/>
        <v>961.2</v>
      </c>
      <c r="O243" s="1211">
        <f t="shared" ca="1" si="45"/>
        <v>9612</v>
      </c>
      <c r="P243" s="1213">
        <f ca="1">IF(AND(換券投組!$D$17&gt;=O243,換券投組!$D$13=D243),I243+INT((換券投組!$D$17-O243)/N243)*J243,0)</f>
        <v>0</v>
      </c>
      <c r="Q243" s="1211">
        <f t="shared" ca="1" si="46"/>
        <v>0</v>
      </c>
      <c r="R243" s="1213">
        <f t="shared" ca="1" si="47"/>
        <v>0</v>
      </c>
      <c r="S243" s="1213">
        <f t="shared" ca="1" si="48"/>
        <v>0</v>
      </c>
      <c r="T243" s="136">
        <f t="shared" ca="1" si="41"/>
        <v>0</v>
      </c>
      <c r="U243" s="861">
        <f t="shared" ca="1" si="42"/>
        <v>0</v>
      </c>
      <c r="V243" s="136" t="b">
        <f ca="1">IF(OR(D243&lt;&gt;"USD",L243="無",M243&lt;&gt;"",K243="高資產",IFERROR(MATCH(B243,換券投組!K:K,0),"N")&lt;&gt;"N",IFERROR(MATCH(B243,換券投組!J:J,0),"N")&lt;&gt;"N"),FALSE,IF($V$1="All",TRUE,IF(K243=$V$1,TRUE,FALSE)))</f>
        <v>1</v>
      </c>
      <c r="W243" s="136">
        <f ca="1">VLOOKUP(A243,'銀行-TSS'!A:AO,41,FALSE)</f>
        <v>93.91</v>
      </c>
      <c r="X243" s="136">
        <f ca="1">VLOOKUP(A243,'銀行-TSS'!A:AP,42,FALSE)</f>
        <v>8.9179999999999993</v>
      </c>
      <c r="Y243" s="1223">
        <f t="shared" ca="1" si="49"/>
        <v>0</v>
      </c>
      <c r="Z243" s="1211">
        <f t="shared" ca="1" si="50"/>
        <v>0</v>
      </c>
      <c r="AA243" s="136">
        <f ca="1">IF(Z243&lt;=0,0,RANK(Z243,Z:Z)+COUNTIF($Z$3:$Z243,Z243)-1)</f>
        <v>0</v>
      </c>
      <c r="AB243" s="1211">
        <f t="shared" ca="1" si="43"/>
        <v>0</v>
      </c>
      <c r="AC243" s="136">
        <f ca="1">IF(AB243&lt;=0,0,RANK(AB243,AB:AB)+COUNTIF($AB$3:$AB243,AB243)-1)</f>
        <v>0</v>
      </c>
      <c r="AD243" s="136">
        <f t="shared" ca="1" si="51"/>
        <v>99999</v>
      </c>
      <c r="AE243" s="136">
        <f ca="1">IF(AD243=99999,0,RANK(AD243,AD:AD,1)+COUNTIF($AD$3:$AD243,AD243)-1)</f>
        <v>0</v>
      </c>
    </row>
    <row r="244" spans="1:31">
      <c r="A244" s="141" t="str">
        <f>'銀行-TSS'!A244</f>
        <v>US037833ES58</v>
      </c>
      <c r="B244" s="151" t="str">
        <f ca="1">VLOOKUP(A244,'銀行-TSS'!A:B,2,FALSE)</f>
        <v>XH390</v>
      </c>
      <c r="C244" s="151" t="str">
        <f ca="1">VLOOKUP(B244,bond!B:C,2,FALSE)</f>
        <v>蘋果公司美元配息債券 4.421% 2026/5/8</v>
      </c>
      <c r="D244" s="95" t="str">
        <f>VLOOKUP(A244,'銀行-TSS'!A:C,3,FALSE)</f>
        <v>USD</v>
      </c>
      <c r="E244" s="90">
        <f ca="1">VLOOKUP(A244,'銀行-TSS'!A:G,7,FALSE)</f>
        <v>1.85</v>
      </c>
      <c r="F244" s="202">
        <f ca="1">VLOOKUP(A244,'銀行-TSS'!A:H,8,FALSE)</f>
        <v>4.4209999999999999E-2</v>
      </c>
      <c r="G244" s="96">
        <f ca="1">VLOOKUP(A244,'銀行-TSS'!A:K,11,FALSE)</f>
        <v>101.14999999999999</v>
      </c>
      <c r="H244" s="1209">
        <f ca="1">VLOOKUP(A244,'銀行-TSS'!A:M,13,FALSE)</f>
        <v>4.1399999999999999E-2</v>
      </c>
      <c r="I244" s="1213">
        <f ca="1">VLOOKUP(A244,'銀行-TSS'!A:N,14,FALSE)</f>
        <v>10000</v>
      </c>
      <c r="J244" s="1213">
        <f ca="1">VLOOKUP(A244,'銀行-TSS'!A:O,15,FALSE)</f>
        <v>1000</v>
      </c>
      <c r="K244" s="136" t="str">
        <f ca="1">VLOOKUP(A244,'銀行-TSS'!A:V,22,FALSE)</f>
        <v>(NPI)非專投</v>
      </c>
      <c r="L244" s="136" t="str">
        <f ca="1">VLOOKUP(A244,'銀行-TSS'!A:AK,37,FALSE)</f>
        <v>有</v>
      </c>
      <c r="M244" s="136" t="str">
        <f ca="1">VLOOKUP(A244,'銀行-TSS'!A:AN,40,FALSE)</f>
        <v/>
      </c>
      <c r="N244" s="1211">
        <f t="shared" ca="1" si="44"/>
        <v>1011.4999999999999</v>
      </c>
      <c r="O244" s="1211">
        <f t="shared" ca="1" si="45"/>
        <v>10114.999999999998</v>
      </c>
      <c r="P244" s="1213">
        <f ca="1">IF(AND(換券投組!$D$17&gt;=O244,換券投組!$D$13=D244),I244+INT((換券投組!$D$17-O244)/N244)*J244,0)</f>
        <v>0</v>
      </c>
      <c r="Q244" s="1211">
        <f t="shared" ca="1" si="46"/>
        <v>0</v>
      </c>
      <c r="R244" s="1213">
        <f t="shared" ca="1" si="47"/>
        <v>0</v>
      </c>
      <c r="S244" s="1213">
        <f t="shared" ca="1" si="48"/>
        <v>0</v>
      </c>
      <c r="T244" s="136">
        <f t="shared" ca="1" si="41"/>
        <v>0</v>
      </c>
      <c r="U244" s="861">
        <f t="shared" ca="1" si="42"/>
        <v>0</v>
      </c>
      <c r="V244" s="136" t="b">
        <f ca="1">IF(OR(D244&lt;&gt;"USD",L244="無",M244&lt;&gt;"",K244="高資產",IFERROR(MATCH(B244,換券投組!K:K,0),"N")&lt;&gt;"N",IFERROR(MATCH(B244,換券投組!J:J,0),"N")&lt;&gt;"N"),FALSE,IF($V$1="All",TRUE,IF(K244=$V$1,TRUE,FALSE)))</f>
        <v>1</v>
      </c>
      <c r="W244" s="136">
        <f ca="1">VLOOKUP(A244,'銀行-TSS'!A:AO,41,FALSE)</f>
        <v>99.690000000000012</v>
      </c>
      <c r="X244" s="136">
        <f ca="1">VLOOKUP(A244,'銀行-TSS'!A:AP,42,FALSE)</f>
        <v>1.7468999999999999</v>
      </c>
      <c r="Y244" s="1223">
        <f t="shared" ca="1" si="49"/>
        <v>0</v>
      </c>
      <c r="Z244" s="1211">
        <f t="shared" ca="1" si="50"/>
        <v>0</v>
      </c>
      <c r="AA244" s="136">
        <f ca="1">IF(Z244&lt;=0,0,RANK(Z244,Z:Z)+COUNTIF($Z$3:$Z244,Z244)-1)</f>
        <v>0</v>
      </c>
      <c r="AB244" s="1211">
        <f t="shared" ca="1" si="43"/>
        <v>0</v>
      </c>
      <c r="AC244" s="136">
        <f ca="1">IF(AB244&lt;=0,0,RANK(AB244,AB:AB)+COUNTIF($AB$3:$AB244,AB244)-1)</f>
        <v>0</v>
      </c>
      <c r="AD244" s="136">
        <f t="shared" ca="1" si="51"/>
        <v>99999</v>
      </c>
      <c r="AE244" s="136">
        <f ca="1">IF(AD244=99999,0,RANK(AD244,AD:AD,1)+COUNTIF($AD$3:$AD244,AD244)-1)</f>
        <v>0</v>
      </c>
    </row>
    <row r="245" spans="1:31">
      <c r="A245" s="141" t="str">
        <f>'銀行-TSS'!A245</f>
        <v>US037833ET32</v>
      </c>
      <c r="B245" s="151" t="str">
        <f ca="1">VLOOKUP(A245,'銀行-TSS'!A:B,2,FALSE)</f>
        <v>XH400</v>
      </c>
      <c r="C245" s="151" t="str">
        <f ca="1">VLOOKUP(B245,bond!B:C,2,FALSE)</f>
        <v>蘋果公司美元配息債券 4% 2028/5/10</v>
      </c>
      <c r="D245" s="95" t="str">
        <f>VLOOKUP(A245,'銀行-TSS'!A:C,3,FALSE)</f>
        <v>USD</v>
      </c>
      <c r="E245" s="90">
        <f ca="1">VLOOKUP(A245,'銀行-TSS'!A:G,7,FALSE)</f>
        <v>3.85</v>
      </c>
      <c r="F245" s="202">
        <f ca="1">VLOOKUP(A245,'銀行-TSS'!A:H,8,FALSE)</f>
        <v>0.04</v>
      </c>
      <c r="G245" s="96">
        <f ca="1">VLOOKUP(A245,'銀行-TSS'!A:K,11,FALSE)</f>
        <v>100.33</v>
      </c>
      <c r="H245" s="1209">
        <f ca="1">VLOOKUP(A245,'銀行-TSS'!A:M,13,FALSE)</f>
        <v>4.07E-2</v>
      </c>
      <c r="I245" s="1213">
        <f ca="1">VLOOKUP(A245,'銀行-TSS'!A:N,14,FALSE)</f>
        <v>10000</v>
      </c>
      <c r="J245" s="1213">
        <f ca="1">VLOOKUP(A245,'銀行-TSS'!A:O,15,FALSE)</f>
        <v>1000</v>
      </c>
      <c r="K245" s="136" t="str">
        <f ca="1">VLOOKUP(A245,'銀行-TSS'!A:V,22,FALSE)</f>
        <v>(NPI)非專投</v>
      </c>
      <c r="L245" s="136" t="str">
        <f ca="1">VLOOKUP(A245,'銀行-TSS'!A:AK,37,FALSE)</f>
        <v>有</v>
      </c>
      <c r="M245" s="136" t="str">
        <f ca="1">VLOOKUP(A245,'銀行-TSS'!A:AN,40,FALSE)</f>
        <v/>
      </c>
      <c r="N245" s="1211">
        <f t="shared" ca="1" si="44"/>
        <v>1003.3</v>
      </c>
      <c r="O245" s="1211">
        <f t="shared" ca="1" si="45"/>
        <v>10033</v>
      </c>
      <c r="P245" s="1213">
        <f ca="1">IF(AND(換券投組!$D$17&gt;=O245,換券投組!$D$13=D245),I245+INT((換券投組!$D$17-O245)/N245)*J245,0)</f>
        <v>0</v>
      </c>
      <c r="Q245" s="1211">
        <f t="shared" ca="1" si="46"/>
        <v>0</v>
      </c>
      <c r="R245" s="1213">
        <f t="shared" ca="1" si="47"/>
        <v>0</v>
      </c>
      <c r="S245" s="1213">
        <f t="shared" ca="1" si="48"/>
        <v>0</v>
      </c>
      <c r="T245" s="136">
        <f t="shared" ca="1" si="41"/>
        <v>0</v>
      </c>
      <c r="U245" s="861">
        <f t="shared" ca="1" si="42"/>
        <v>0</v>
      </c>
      <c r="V245" s="136" t="b">
        <f ca="1">IF(OR(D245&lt;&gt;"USD",L245="無",M245&lt;&gt;"",K245="高資產",IFERROR(MATCH(B245,換券投組!K:K,0),"N")&lt;&gt;"N",IFERROR(MATCH(B245,換券投組!J:J,0),"N")&lt;&gt;"N"),FALSE,IF($V$1="All",TRUE,IF(K245=$V$1,TRUE,FALSE)))</f>
        <v>1</v>
      </c>
      <c r="W245" s="136">
        <f ca="1">VLOOKUP(A245,'銀行-TSS'!A:AO,41,FALSE)</f>
        <v>98.25</v>
      </c>
      <c r="X245" s="136">
        <f ca="1">VLOOKUP(A245,'銀行-TSS'!A:AP,42,FALSE)</f>
        <v>3.5129000000000001</v>
      </c>
      <c r="Y245" s="1223">
        <f t="shared" ca="1" si="49"/>
        <v>0</v>
      </c>
      <c r="Z245" s="1211">
        <f t="shared" ca="1" si="50"/>
        <v>0</v>
      </c>
      <c r="AA245" s="136">
        <f ca="1">IF(Z245&lt;=0,0,RANK(Z245,Z:Z)+COUNTIF($Z$3:$Z245,Z245)-1)</f>
        <v>0</v>
      </c>
      <c r="AB245" s="1211">
        <f t="shared" ca="1" si="43"/>
        <v>0</v>
      </c>
      <c r="AC245" s="136">
        <f ca="1">IF(AB245&lt;=0,0,RANK(AB245,AB:AB)+COUNTIF($AB$3:$AB245,AB245)-1)</f>
        <v>0</v>
      </c>
      <c r="AD245" s="136">
        <f t="shared" ca="1" si="51"/>
        <v>99999</v>
      </c>
      <c r="AE245" s="136">
        <f ca="1">IF(AD245=99999,0,RANK(AD245,AD:AD,1)+COUNTIF($AD$3:$AD245,AD245)-1)</f>
        <v>0</v>
      </c>
    </row>
    <row r="246" spans="1:31">
      <c r="A246" s="141" t="str">
        <f>'銀行-TSS'!A246</f>
        <v>US037833EU05</v>
      </c>
      <c r="B246" s="151" t="str">
        <f ca="1">VLOOKUP(A246,'銀行-TSS'!A:B,2,FALSE)</f>
        <v>XH410</v>
      </c>
      <c r="C246" s="151" t="str">
        <f ca="1">VLOOKUP(B246,bond!B:C,2,FALSE)</f>
        <v>蘋果公司美元配息債券 4.15% 2030/5/10</v>
      </c>
      <c r="D246" s="95" t="str">
        <f>VLOOKUP(A246,'銀行-TSS'!A:C,3,FALSE)</f>
        <v>USD</v>
      </c>
      <c r="E246" s="90">
        <f ca="1">VLOOKUP(A246,'銀行-TSS'!A:G,7,FALSE)</f>
        <v>5.85</v>
      </c>
      <c r="F246" s="202">
        <f ca="1">VLOOKUP(A246,'銀行-TSS'!A:H,8,FALSE)</f>
        <v>4.1500000000000002E-2</v>
      </c>
      <c r="G246" s="96">
        <f ca="1">VLOOKUP(A246,'銀行-TSS'!A:K,11,FALSE)</f>
        <v>100.76</v>
      </c>
      <c r="H246" s="1209">
        <f ca="1">VLOOKUP(A246,'銀行-TSS'!A:M,13,FALSE)</f>
        <v>4.1200000000000001E-2</v>
      </c>
      <c r="I246" s="1213">
        <f ca="1">VLOOKUP(A246,'銀行-TSS'!A:N,14,FALSE)</f>
        <v>10000</v>
      </c>
      <c r="J246" s="1213">
        <f ca="1">VLOOKUP(A246,'銀行-TSS'!A:O,15,FALSE)</f>
        <v>1000</v>
      </c>
      <c r="K246" s="136" t="str">
        <f ca="1">VLOOKUP(A246,'銀行-TSS'!A:V,22,FALSE)</f>
        <v>(NPI)非專投</v>
      </c>
      <c r="L246" s="136" t="str">
        <f ca="1">VLOOKUP(A246,'銀行-TSS'!A:AK,37,FALSE)</f>
        <v>有</v>
      </c>
      <c r="M246" s="136" t="str">
        <f ca="1">VLOOKUP(A246,'銀行-TSS'!A:AN,40,FALSE)</f>
        <v/>
      </c>
      <c r="N246" s="1211">
        <f t="shared" ca="1" si="44"/>
        <v>1007.6</v>
      </c>
      <c r="O246" s="1211">
        <f t="shared" ca="1" si="45"/>
        <v>10076</v>
      </c>
      <c r="P246" s="1213">
        <f ca="1">IF(AND(換券投組!$D$17&gt;=O246,換券投組!$D$13=D246),I246+INT((換券投組!$D$17-O246)/N246)*J246,0)</f>
        <v>0</v>
      </c>
      <c r="Q246" s="1211">
        <f t="shared" ca="1" si="46"/>
        <v>0</v>
      </c>
      <c r="R246" s="1213">
        <f t="shared" ca="1" si="47"/>
        <v>0</v>
      </c>
      <c r="S246" s="1213">
        <f t="shared" ca="1" si="48"/>
        <v>0</v>
      </c>
      <c r="T246" s="136">
        <f t="shared" ca="1" si="41"/>
        <v>0</v>
      </c>
      <c r="U246" s="861">
        <f t="shared" ca="1" si="42"/>
        <v>0</v>
      </c>
      <c r="V246" s="136" t="b">
        <f ca="1">IF(OR(D246&lt;&gt;"USD",L246="無",M246&lt;&gt;"",K246="高資產",IFERROR(MATCH(B246,換券投組!K:K,0),"N")&lt;&gt;"N",IFERROR(MATCH(B246,換券投組!J:J,0),"N")&lt;&gt;"N"),FALSE,IF($V$1="All",TRUE,IF(K246=$V$1,TRUE,FALSE)))</f>
        <v>1</v>
      </c>
      <c r="W246" s="136">
        <f ca="1">VLOOKUP(A246,'銀行-TSS'!A:AO,41,FALSE)</f>
        <v>98.660000000000011</v>
      </c>
      <c r="X246" s="136">
        <f ca="1">VLOOKUP(A246,'銀行-TSS'!A:AP,42,FALSE)</f>
        <v>5.1138000000000003</v>
      </c>
      <c r="Y246" s="1223">
        <f t="shared" ca="1" si="49"/>
        <v>0</v>
      </c>
      <c r="Z246" s="1211">
        <f t="shared" ca="1" si="50"/>
        <v>0</v>
      </c>
      <c r="AA246" s="136">
        <f ca="1">IF(Z246&lt;=0,0,RANK(Z246,Z:Z)+COUNTIF($Z$3:$Z246,Z246)-1)</f>
        <v>0</v>
      </c>
      <c r="AB246" s="1211">
        <f t="shared" ca="1" si="43"/>
        <v>0</v>
      </c>
      <c r="AC246" s="136">
        <f ca="1">IF(AB246&lt;=0,0,RANK(AB246,AB:AB)+COUNTIF($AB$3:$AB246,AB246)-1)</f>
        <v>0</v>
      </c>
      <c r="AD246" s="136">
        <f t="shared" ca="1" si="51"/>
        <v>99999</v>
      </c>
      <c r="AE246" s="136">
        <f ca="1">IF(AD246=99999,0,RANK(AD246,AD:AD,1)+COUNTIF($AD$3:$AD246,AD246)-1)</f>
        <v>0</v>
      </c>
    </row>
    <row r="247" spans="1:31">
      <c r="A247" s="141" t="str">
        <f>'銀行-TSS'!A247</f>
        <v>US037833EV87</v>
      </c>
      <c r="B247" s="151" t="str">
        <f ca="1">VLOOKUP(A247,'銀行-TSS'!A:B,2,FALSE)</f>
        <v>XH420</v>
      </c>
      <c r="C247" s="151" t="str">
        <f ca="1">VLOOKUP(B247,bond!B:C,2,FALSE)</f>
        <v>蘋果公司美元配息債券 4.3% 2033/5/10</v>
      </c>
      <c r="D247" s="95" t="str">
        <f>VLOOKUP(A247,'銀行-TSS'!A:C,3,FALSE)</f>
        <v>USD</v>
      </c>
      <c r="E247" s="90">
        <f ca="1">VLOOKUP(A247,'銀行-TSS'!A:G,7,FALSE)</f>
        <v>8.85</v>
      </c>
      <c r="F247" s="202">
        <f ca="1">VLOOKUP(A247,'銀行-TSS'!A:H,8,FALSE)</f>
        <v>4.2999999999999997E-2</v>
      </c>
      <c r="G247" s="96">
        <f ca="1">VLOOKUP(A247,'銀行-TSS'!A:K,11,FALSE)</f>
        <v>101.8</v>
      </c>
      <c r="H247" s="1209">
        <f ca="1">VLOOKUP(A247,'銀行-TSS'!A:M,13,FALSE)</f>
        <v>4.1399999999999999E-2</v>
      </c>
      <c r="I247" s="1213">
        <f ca="1">VLOOKUP(A247,'銀行-TSS'!A:N,14,FALSE)</f>
        <v>10000</v>
      </c>
      <c r="J247" s="1213">
        <f ca="1">VLOOKUP(A247,'銀行-TSS'!A:O,15,FALSE)</f>
        <v>1000</v>
      </c>
      <c r="K247" s="136" t="str">
        <f ca="1">VLOOKUP(A247,'銀行-TSS'!A:V,22,FALSE)</f>
        <v>(NPI)非專投</v>
      </c>
      <c r="L247" s="136" t="str">
        <f ca="1">VLOOKUP(A247,'銀行-TSS'!A:AK,37,FALSE)</f>
        <v>有</v>
      </c>
      <c r="M247" s="136" t="str">
        <f ca="1">VLOOKUP(A247,'銀行-TSS'!A:AN,40,FALSE)</f>
        <v/>
      </c>
      <c r="N247" s="1211">
        <f t="shared" ca="1" si="44"/>
        <v>1018</v>
      </c>
      <c r="O247" s="1211">
        <f t="shared" ca="1" si="45"/>
        <v>10180</v>
      </c>
      <c r="P247" s="1213">
        <f ca="1">IF(AND(換券投組!$D$17&gt;=O247,換券投組!$D$13=D247),I247+INT((換券投組!$D$17-O247)/N247)*J247,0)</f>
        <v>0</v>
      </c>
      <c r="Q247" s="1211">
        <f t="shared" ca="1" si="46"/>
        <v>0</v>
      </c>
      <c r="R247" s="1213">
        <f t="shared" ca="1" si="47"/>
        <v>0</v>
      </c>
      <c r="S247" s="1213">
        <f t="shared" ca="1" si="48"/>
        <v>0</v>
      </c>
      <c r="T247" s="136">
        <f t="shared" ca="1" si="41"/>
        <v>0</v>
      </c>
      <c r="U247" s="861">
        <f t="shared" ca="1" si="42"/>
        <v>0</v>
      </c>
      <c r="V247" s="136" t="b">
        <f ca="1">IF(OR(D247&lt;&gt;"USD",L247="無",M247&lt;&gt;"",K247="高資產",IFERROR(MATCH(B247,換券投組!K:K,0),"N")&lt;&gt;"N",IFERROR(MATCH(B247,換券投組!J:J,0),"N")&lt;&gt;"N"),FALSE,IF($V$1="All",TRUE,IF(K247=$V$1,TRUE,FALSE)))</f>
        <v>1</v>
      </c>
      <c r="W247" s="136">
        <f ca="1">VLOOKUP(A247,'銀行-TSS'!A:AO,41,FALSE)</f>
        <v>99.18</v>
      </c>
      <c r="X247" s="136">
        <f ca="1">VLOOKUP(A247,'銀行-TSS'!A:AP,42,FALSE)</f>
        <v>7.2535999999999996</v>
      </c>
      <c r="Y247" s="1223">
        <f t="shared" ca="1" si="49"/>
        <v>0</v>
      </c>
      <c r="Z247" s="1211">
        <f t="shared" ca="1" si="50"/>
        <v>0</v>
      </c>
      <c r="AA247" s="136">
        <f ca="1">IF(Z247&lt;=0,0,RANK(Z247,Z:Z)+COUNTIF($Z$3:$Z247,Z247)-1)</f>
        <v>0</v>
      </c>
      <c r="AB247" s="1211">
        <f t="shared" ca="1" si="43"/>
        <v>0</v>
      </c>
      <c r="AC247" s="136">
        <f ca="1">IF(AB247&lt;=0,0,RANK(AB247,AB:AB)+COUNTIF($AB$3:$AB247,AB247)-1)</f>
        <v>0</v>
      </c>
      <c r="AD247" s="136">
        <f t="shared" ca="1" si="51"/>
        <v>99999</v>
      </c>
      <c r="AE247" s="136">
        <f ca="1">IF(AD247=99999,0,RANK(AD247,AD:AD,1)+COUNTIF($AD$3:$AD247,AD247)-1)</f>
        <v>0</v>
      </c>
    </row>
    <row r="248" spans="1:31">
      <c r="A248" s="141" t="str">
        <f>'銀行-TSS'!A248</f>
        <v>US037833EW60</v>
      </c>
      <c r="B248" s="151" t="str">
        <f ca="1">VLOOKUP(A248,'銀行-TSS'!A:B,2,FALSE)</f>
        <v>XH430</v>
      </c>
      <c r="C248" s="151" t="str">
        <f ca="1">VLOOKUP(B248,bond!B:C,2,FALSE)</f>
        <v>蘋果公司美元配息債券 4.85% 2053/5/10</v>
      </c>
      <c r="D248" s="95" t="str">
        <f>VLOOKUP(A248,'銀行-TSS'!A:C,3,FALSE)</f>
        <v>USD</v>
      </c>
      <c r="E248" s="90">
        <f ca="1">VLOOKUP(A248,'銀行-TSS'!A:G,7,FALSE)</f>
        <v>28.85</v>
      </c>
      <c r="F248" s="202">
        <f ca="1">VLOOKUP(A248,'銀行-TSS'!A:H,8,FALSE)</f>
        <v>4.8499999999999995E-2</v>
      </c>
      <c r="G248" s="96">
        <f ca="1">VLOOKUP(A248,'銀行-TSS'!A:K,11,FALSE)</f>
        <v>101.87</v>
      </c>
      <c r="H248" s="1209">
        <f ca="1">VLOOKUP(A248,'銀行-TSS'!A:M,13,FALSE)</f>
        <v>4.7699999999999999E-2</v>
      </c>
      <c r="I248" s="1213">
        <f ca="1">VLOOKUP(A248,'銀行-TSS'!A:N,14,FALSE)</f>
        <v>10000</v>
      </c>
      <c r="J248" s="1213">
        <f ca="1">VLOOKUP(A248,'銀行-TSS'!A:O,15,FALSE)</f>
        <v>1000</v>
      </c>
      <c r="K248" s="136" t="str">
        <f ca="1">VLOOKUP(A248,'銀行-TSS'!A:V,22,FALSE)</f>
        <v>(NPI)非專投</v>
      </c>
      <c r="L248" s="136" t="str">
        <f ca="1">VLOOKUP(A248,'銀行-TSS'!A:AK,37,FALSE)</f>
        <v>有</v>
      </c>
      <c r="M248" s="136" t="str">
        <f ca="1">VLOOKUP(A248,'銀行-TSS'!A:AN,40,FALSE)</f>
        <v/>
      </c>
      <c r="N248" s="1211">
        <f t="shared" ca="1" si="44"/>
        <v>1018.7</v>
      </c>
      <c r="O248" s="1211">
        <f t="shared" ca="1" si="45"/>
        <v>10187</v>
      </c>
      <c r="P248" s="1213">
        <f ca="1">IF(AND(換券投組!$D$17&gt;=O248,換券投組!$D$13=D248),I248+INT((換券投組!$D$17-O248)/N248)*J248,0)</f>
        <v>0</v>
      </c>
      <c r="Q248" s="1211">
        <f t="shared" ca="1" si="46"/>
        <v>0</v>
      </c>
      <c r="R248" s="1213">
        <f t="shared" ca="1" si="47"/>
        <v>0</v>
      </c>
      <c r="S248" s="1213">
        <f t="shared" ca="1" si="48"/>
        <v>0</v>
      </c>
      <c r="T248" s="136">
        <f t="shared" ca="1" si="41"/>
        <v>0</v>
      </c>
      <c r="U248" s="861">
        <f t="shared" ca="1" si="42"/>
        <v>0</v>
      </c>
      <c r="V248" s="136" t="b">
        <f ca="1">IF(OR(D248&lt;&gt;"USD",L248="無",M248&lt;&gt;"",K248="高資產",IFERROR(MATCH(B248,換券投組!K:K,0),"N")&lt;&gt;"N",IFERROR(MATCH(B248,換券投組!J:J,0),"N")&lt;&gt;"N"),FALSE,IF($V$1="All",TRUE,IF(K248=$V$1,TRUE,FALSE)))</f>
        <v>1</v>
      </c>
      <c r="W248" s="136">
        <f ca="1">VLOOKUP(A248,'銀行-TSS'!A:AO,41,FALSE)</f>
        <v>97.67</v>
      </c>
      <c r="X248" s="136">
        <f ca="1">VLOOKUP(A248,'銀行-TSS'!A:AP,42,FALSE)</f>
        <v>15.2515</v>
      </c>
      <c r="Y248" s="1223">
        <f t="shared" ca="1" si="49"/>
        <v>0</v>
      </c>
      <c r="Z248" s="1211">
        <f t="shared" ca="1" si="50"/>
        <v>0</v>
      </c>
      <c r="AA248" s="136">
        <f ca="1">IF(Z248&lt;=0,0,RANK(Z248,Z:Z)+COUNTIF($Z$3:$Z248,Z248)-1)</f>
        <v>0</v>
      </c>
      <c r="AB248" s="1211">
        <f t="shared" ca="1" si="43"/>
        <v>0</v>
      </c>
      <c r="AC248" s="136">
        <f ca="1">IF(AB248&lt;=0,0,RANK(AB248,AB:AB)+COUNTIF($AB$3:$AB248,AB248)-1)</f>
        <v>0</v>
      </c>
      <c r="AD248" s="136">
        <f t="shared" ca="1" si="51"/>
        <v>99999</v>
      </c>
      <c r="AE248" s="136">
        <f ca="1">IF(AD248=99999,0,RANK(AD248,AD:AD,1)+COUNTIF($AD$3:$AD248,AD248)-1)</f>
        <v>0</v>
      </c>
    </row>
    <row r="249" spans="1:31">
      <c r="A249" s="141" t="str">
        <f>'銀行-TSS'!A249</f>
        <v>US65535HBF55</v>
      </c>
      <c r="B249" s="151" t="str">
        <f ca="1">VLOOKUP(A249,'銀行-TSS'!A:B,2,FALSE)</f>
        <v>XH460</v>
      </c>
      <c r="C249" s="151" t="str">
        <f ca="1">VLOOKUP(B249,bond!B:C,2,FALSE)</f>
        <v>野村控股公司美元配息債券 5.386% 2027/7/6</v>
      </c>
      <c r="D249" s="95" t="str">
        <f>VLOOKUP(A249,'銀行-TSS'!A:C,3,FALSE)</f>
        <v>USD</v>
      </c>
      <c r="E249" s="90">
        <f ca="1">VLOOKUP(A249,'銀行-TSS'!A:G,7,FALSE)</f>
        <v>3.01</v>
      </c>
      <c r="F249" s="202">
        <f ca="1">VLOOKUP(A249,'銀行-TSS'!A:H,8,FALSE)</f>
        <v>5.3859999999999998E-2</v>
      </c>
      <c r="G249" s="96">
        <f ca="1">VLOOKUP(A249,'銀行-TSS'!A:K,11,FALSE)</f>
        <v>103.86</v>
      </c>
      <c r="H249" s="1209">
        <f ca="1">VLOOKUP(A249,'銀行-TSS'!A:M,13,FALSE)</f>
        <v>4.9399999999999999E-2</v>
      </c>
      <c r="I249" s="1213">
        <f ca="1">VLOOKUP(A249,'銀行-TSS'!A:N,14,FALSE)</f>
        <v>200000</v>
      </c>
      <c r="J249" s="1213">
        <f ca="1">VLOOKUP(A249,'銀行-TSS'!A:O,15,FALSE)</f>
        <v>1000</v>
      </c>
      <c r="K249" s="136" t="str">
        <f ca="1">VLOOKUP(A249,'銀行-TSS'!A:V,22,FALSE)</f>
        <v>(PI)專投</v>
      </c>
      <c r="L249" s="136" t="str">
        <f ca="1">VLOOKUP(A249,'銀行-TSS'!A:AK,37,FALSE)</f>
        <v>有</v>
      </c>
      <c r="M249" s="136" t="str">
        <f ca="1">VLOOKUP(A249,'銀行-TSS'!A:AN,40,FALSE)</f>
        <v/>
      </c>
      <c r="N249" s="1211">
        <f t="shared" ca="1" si="44"/>
        <v>1038.5999999999999</v>
      </c>
      <c r="O249" s="1211">
        <f t="shared" ca="1" si="45"/>
        <v>207720</v>
      </c>
      <c r="P249" s="1213">
        <f ca="1">IF(AND(換券投組!$D$17&gt;=O249,換券投組!$D$13=D249),I249+INT((換券投組!$D$17-O249)/N249)*J249,0)</f>
        <v>0</v>
      </c>
      <c r="Q249" s="1211">
        <f t="shared" ca="1" si="46"/>
        <v>0</v>
      </c>
      <c r="R249" s="1213">
        <f t="shared" ca="1" si="47"/>
        <v>0</v>
      </c>
      <c r="S249" s="1213">
        <f t="shared" ca="1" si="48"/>
        <v>0</v>
      </c>
      <c r="T249" s="136">
        <f t="shared" ca="1" si="41"/>
        <v>0</v>
      </c>
      <c r="U249" s="861">
        <f t="shared" ca="1" si="42"/>
        <v>0</v>
      </c>
      <c r="V249" s="136" t="b">
        <f ca="1">IF(OR(D249&lt;&gt;"USD",L249="無",M249&lt;&gt;"",K249="高資產",IFERROR(MATCH(B249,換券投組!K:K,0),"N")&lt;&gt;"N",IFERROR(MATCH(B249,換券投組!J:J,0),"N")&lt;&gt;"N"),FALSE,IF($V$1="All",TRUE,IF(K249=$V$1,TRUE,FALSE)))</f>
        <v>1</v>
      </c>
      <c r="W249" s="136">
        <f ca="1">VLOOKUP(A249,'銀行-TSS'!A:AO,41,FALSE)</f>
        <v>100.23</v>
      </c>
      <c r="X249" s="136">
        <f ca="1">VLOOKUP(A249,'銀行-TSS'!A:AP,42,FALSE)</f>
        <v>2.6785999999999999</v>
      </c>
      <c r="Y249" s="1223">
        <f t="shared" ca="1" si="49"/>
        <v>0</v>
      </c>
      <c r="Z249" s="1211">
        <f t="shared" ca="1" si="50"/>
        <v>0</v>
      </c>
      <c r="AA249" s="136">
        <f ca="1">IF(Z249&lt;=0,0,RANK(Z249,Z:Z)+COUNTIF($Z$3:$Z249,Z249)-1)</f>
        <v>0</v>
      </c>
      <c r="AB249" s="1211">
        <f t="shared" ca="1" si="43"/>
        <v>0</v>
      </c>
      <c r="AC249" s="136">
        <f ca="1">IF(AB249&lt;=0,0,RANK(AB249,AB:AB)+COUNTIF($AB$3:$AB249,AB249)-1)</f>
        <v>0</v>
      </c>
      <c r="AD249" s="136">
        <f t="shared" ca="1" si="51"/>
        <v>99999</v>
      </c>
      <c r="AE249" s="136">
        <f ca="1">IF(AD249=99999,0,RANK(AD249,AD:AD,1)+COUNTIF($AD$3:$AD249,AD249)-1)</f>
        <v>0</v>
      </c>
    </row>
    <row r="250" spans="1:31">
      <c r="A250" s="141" t="str">
        <f>'銀行-TSS'!A250</f>
        <v>US29736RAT77</v>
      </c>
      <c r="B250" s="151" t="str">
        <f ca="1">VLOOKUP(A250,'銀行-TSS'!A:B,2,FALSE)</f>
        <v>XH470</v>
      </c>
      <c r="C250" s="151" t="str">
        <f ca="1">VLOOKUP(B250,bond!B:C,2,FALSE)</f>
        <v>雅詩蘭黛公司美元配息債券 4.65% 2033/5/15</v>
      </c>
      <c r="D250" s="95" t="str">
        <f>VLOOKUP(A250,'銀行-TSS'!A:C,3,FALSE)</f>
        <v>USD</v>
      </c>
      <c r="E250" s="90">
        <f ca="1">VLOOKUP(A250,'銀行-TSS'!A:G,7,FALSE)</f>
        <v>8.8699999999999992</v>
      </c>
      <c r="F250" s="202">
        <f ca="1">VLOOKUP(A250,'銀行-TSS'!A:H,8,FALSE)</f>
        <v>4.6500000000000007E-2</v>
      </c>
      <c r="G250" s="96">
        <f ca="1">VLOOKUP(A250,'銀行-TSS'!A:K,11,FALSE)</f>
        <v>99.78</v>
      </c>
      <c r="H250" s="1209">
        <f ca="1">VLOOKUP(A250,'銀行-TSS'!A:M,13,FALSE)</f>
        <v>4.7699999999999999E-2</v>
      </c>
      <c r="I250" s="1213">
        <f ca="1">VLOOKUP(A250,'銀行-TSS'!A:N,14,FALSE)</f>
        <v>10000</v>
      </c>
      <c r="J250" s="1213">
        <f ca="1">VLOOKUP(A250,'銀行-TSS'!A:O,15,FALSE)</f>
        <v>1000</v>
      </c>
      <c r="K250" s="136" t="str">
        <f ca="1">VLOOKUP(A250,'銀行-TSS'!A:V,22,FALSE)</f>
        <v>(NPI)非專投</v>
      </c>
      <c r="L250" s="136" t="str">
        <f ca="1">VLOOKUP(A250,'銀行-TSS'!A:AK,37,FALSE)</f>
        <v>有</v>
      </c>
      <c r="M250" s="136" t="str">
        <f ca="1">VLOOKUP(A250,'銀行-TSS'!A:AN,40,FALSE)</f>
        <v/>
      </c>
      <c r="N250" s="1211">
        <f t="shared" ca="1" si="44"/>
        <v>997.8</v>
      </c>
      <c r="O250" s="1211">
        <f t="shared" ca="1" si="45"/>
        <v>9978</v>
      </c>
      <c r="P250" s="1213">
        <f ca="1">IF(AND(換券投組!$D$17&gt;=O250,換券投組!$D$13=D250),I250+INT((換券投組!$D$17-O250)/N250)*J250,0)</f>
        <v>0</v>
      </c>
      <c r="Q250" s="1211">
        <f t="shared" ca="1" si="46"/>
        <v>0</v>
      </c>
      <c r="R250" s="1213">
        <f t="shared" ca="1" si="47"/>
        <v>0</v>
      </c>
      <c r="S250" s="1213">
        <f t="shared" ca="1" si="48"/>
        <v>0</v>
      </c>
      <c r="T250" s="136">
        <f t="shared" ca="1" si="41"/>
        <v>0</v>
      </c>
      <c r="U250" s="861">
        <f t="shared" ca="1" si="42"/>
        <v>0</v>
      </c>
      <c r="V250" s="136" t="b">
        <f ca="1">IF(OR(D250&lt;&gt;"USD",L250="無",M250&lt;&gt;"",K250="高資產",IFERROR(MATCH(B250,換券投組!K:K,0),"N")&lt;&gt;"N",IFERROR(MATCH(B250,換券投組!J:J,0),"N")&lt;&gt;"N"),FALSE,IF($V$1="All",TRUE,IF(K250=$V$1,TRUE,FALSE)))</f>
        <v>1</v>
      </c>
      <c r="W250" s="136">
        <f ca="1">VLOOKUP(A250,'銀行-TSS'!A:AO,41,FALSE)</f>
        <v>97.17</v>
      </c>
      <c r="X250" s="136">
        <f ca="1">VLOOKUP(A250,'銀行-TSS'!A:AP,42,FALSE)</f>
        <v>7.1268000000000002</v>
      </c>
      <c r="Y250" s="1223">
        <f t="shared" ca="1" si="49"/>
        <v>0</v>
      </c>
      <c r="Z250" s="1211">
        <f t="shared" ca="1" si="50"/>
        <v>0</v>
      </c>
      <c r="AA250" s="136">
        <f ca="1">IF(Z250&lt;=0,0,RANK(Z250,Z:Z)+COUNTIF($Z$3:$Z250,Z250)-1)</f>
        <v>0</v>
      </c>
      <c r="AB250" s="1211">
        <f t="shared" ca="1" si="43"/>
        <v>0</v>
      </c>
      <c r="AC250" s="136">
        <f ca="1">IF(AB250&lt;=0,0,RANK(AB250,AB:AB)+COUNTIF($AB$3:$AB250,AB250)-1)</f>
        <v>0</v>
      </c>
      <c r="AD250" s="136">
        <f t="shared" ca="1" si="51"/>
        <v>99999</v>
      </c>
      <c r="AE250" s="136">
        <f ca="1">IF(AD250=99999,0,RANK(AD250,AD:AD,1)+COUNTIF($AD$3:$AD250,AD250)-1)</f>
        <v>0</v>
      </c>
    </row>
    <row r="251" spans="1:31">
      <c r="A251" s="141" t="str">
        <f>'銀行-TSS'!A251</f>
        <v>US084664CQ25</v>
      </c>
      <c r="B251" s="151" t="str">
        <f ca="1">VLOOKUP(A251,'銀行-TSS'!A:B,2,FALSE)</f>
        <v>XH480</v>
      </c>
      <c r="C251" s="151" t="str">
        <f ca="1">VLOOKUP(B251,bond!B:C,2,FALSE)</f>
        <v>波克夏海瑟威金融公司美元配息債券 4.2% 2048/8/15</v>
      </c>
      <c r="D251" s="95" t="str">
        <f>VLOOKUP(A251,'銀行-TSS'!A:C,3,FALSE)</f>
        <v>USD</v>
      </c>
      <c r="E251" s="90">
        <f ca="1">VLOOKUP(A251,'銀行-TSS'!A:G,7,FALSE)</f>
        <v>24.12</v>
      </c>
      <c r="F251" s="202">
        <f ca="1">VLOOKUP(A251,'銀行-TSS'!A:H,8,FALSE)</f>
        <v>4.2000000000000003E-2</v>
      </c>
      <c r="G251" s="96">
        <f ca="1">VLOOKUP(A251,'銀行-TSS'!A:K,11,FALSE)</f>
        <v>89.93</v>
      </c>
      <c r="H251" s="1209">
        <f ca="1">VLOOKUP(A251,'銀行-TSS'!A:M,13,FALSE)</f>
        <v>5.04E-2</v>
      </c>
      <c r="I251" s="1213">
        <f ca="1">VLOOKUP(A251,'銀行-TSS'!A:N,14,FALSE)</f>
        <v>10000</v>
      </c>
      <c r="J251" s="1213">
        <f ca="1">VLOOKUP(A251,'銀行-TSS'!A:O,15,FALSE)</f>
        <v>1000</v>
      </c>
      <c r="K251" s="136" t="str">
        <f ca="1">VLOOKUP(A251,'銀行-TSS'!A:V,22,FALSE)</f>
        <v>(NPI)非專投</v>
      </c>
      <c r="L251" s="136" t="str">
        <f ca="1">VLOOKUP(A251,'銀行-TSS'!A:AK,37,FALSE)</f>
        <v>有</v>
      </c>
      <c r="M251" s="136" t="str">
        <f ca="1">VLOOKUP(A251,'銀行-TSS'!A:AN,40,FALSE)</f>
        <v/>
      </c>
      <c r="N251" s="1211">
        <f t="shared" ca="1" si="44"/>
        <v>899.3</v>
      </c>
      <c r="O251" s="1211">
        <f t="shared" ca="1" si="45"/>
        <v>8993.0000000000018</v>
      </c>
      <c r="P251" s="1213">
        <f ca="1">IF(AND(換券投組!$D$17&gt;=O251,換券投組!$D$13=D251),I251+INT((換券投組!$D$17-O251)/N251)*J251,0)</f>
        <v>0</v>
      </c>
      <c r="Q251" s="1211">
        <f t="shared" ca="1" si="46"/>
        <v>0</v>
      </c>
      <c r="R251" s="1213">
        <f t="shared" ca="1" si="47"/>
        <v>0</v>
      </c>
      <c r="S251" s="1213">
        <f t="shared" ca="1" si="48"/>
        <v>0</v>
      </c>
      <c r="T251" s="136">
        <f t="shared" ca="1" si="41"/>
        <v>0</v>
      </c>
      <c r="U251" s="861">
        <f t="shared" ca="1" si="42"/>
        <v>0</v>
      </c>
      <c r="V251" s="136" t="b">
        <f ca="1">IF(OR(D251&lt;&gt;"USD",L251="無",M251&lt;&gt;"",K251="高資產",IFERROR(MATCH(B251,換券投組!K:K,0),"N")&lt;&gt;"N",IFERROR(MATCH(B251,換券投組!J:J,0),"N")&lt;&gt;"N"),FALSE,IF($V$1="All",TRUE,IF(K251=$V$1,TRUE,FALSE)))</f>
        <v>1</v>
      </c>
      <c r="W251" s="136">
        <f ca="1">VLOOKUP(A251,'銀行-TSS'!A:AO,41,FALSE)</f>
        <v>84.83</v>
      </c>
      <c r="X251" s="136">
        <f ca="1">VLOOKUP(A251,'銀行-TSS'!A:AP,42,FALSE)</f>
        <v>14.009600000000001</v>
      </c>
      <c r="Y251" s="1223">
        <f t="shared" ca="1" si="49"/>
        <v>0</v>
      </c>
      <c r="Z251" s="1211">
        <f t="shared" ca="1" si="50"/>
        <v>0</v>
      </c>
      <c r="AA251" s="136">
        <f ca="1">IF(Z251&lt;=0,0,RANK(Z251,Z:Z)+COUNTIF($Z$3:$Z251,Z251)-1)</f>
        <v>0</v>
      </c>
      <c r="AB251" s="1211">
        <f t="shared" ca="1" si="43"/>
        <v>0</v>
      </c>
      <c r="AC251" s="136">
        <f ca="1">IF(AB251&lt;=0,0,RANK(AB251,AB:AB)+COUNTIF($AB$3:$AB251,AB251)-1)</f>
        <v>0</v>
      </c>
      <c r="AD251" s="136">
        <f t="shared" ca="1" si="51"/>
        <v>99999</v>
      </c>
      <c r="AE251" s="136">
        <f ca="1">IF(AD251=99999,0,RANK(AD251,AD:AD,1)+COUNTIF($AD$3:$AD251,AD251)-1)</f>
        <v>0</v>
      </c>
    </row>
    <row r="252" spans="1:31">
      <c r="A252" s="141" t="str">
        <f>'銀行-TSS'!A252</f>
        <v>US88579EAC93</v>
      </c>
      <c r="B252" s="151" t="str">
        <f ca="1">VLOOKUP(A252,'銀行-TSS'!A:B,2,FALSE)</f>
        <v>XH500</v>
      </c>
      <c r="C252" s="151" t="str">
        <f ca="1">VLOOKUP(B252,bond!B:C,2,FALSE)</f>
        <v>3M公司美元配息債券 5.7% 2037/3/15</v>
      </c>
      <c r="D252" s="95" t="str">
        <f>VLOOKUP(A252,'銀行-TSS'!A:C,3,FALSE)</f>
        <v>USD</v>
      </c>
      <c r="E252" s="90">
        <f ca="1">VLOOKUP(A252,'銀行-TSS'!A:G,7,FALSE)</f>
        <v>12.7</v>
      </c>
      <c r="F252" s="202">
        <f ca="1">VLOOKUP(A252,'銀行-TSS'!A:H,8,FALSE)</f>
        <v>5.7000000000000002E-2</v>
      </c>
      <c r="G252" s="96">
        <f ca="1">VLOOKUP(A252,'銀行-TSS'!A:K,11,FALSE)</f>
        <v>108.43</v>
      </c>
      <c r="H252" s="1209">
        <f ca="1">VLOOKUP(A252,'銀行-TSS'!A:M,13,FALSE)</f>
        <v>4.9799999999999997E-2</v>
      </c>
      <c r="I252" s="1213">
        <f ca="1">VLOOKUP(A252,'銀行-TSS'!A:N,14,FALSE)</f>
        <v>10000</v>
      </c>
      <c r="J252" s="1213">
        <f ca="1">VLOOKUP(A252,'銀行-TSS'!A:O,15,FALSE)</f>
        <v>1000</v>
      </c>
      <c r="K252" s="136" t="str">
        <f ca="1">VLOOKUP(A252,'銀行-TSS'!A:V,22,FALSE)</f>
        <v>(NPI)非專投</v>
      </c>
      <c r="L252" s="136" t="str">
        <f ca="1">VLOOKUP(A252,'銀行-TSS'!A:AK,37,FALSE)</f>
        <v>有</v>
      </c>
      <c r="M252" s="136" t="str">
        <f ca="1">VLOOKUP(A252,'銀行-TSS'!A:AN,40,FALSE)</f>
        <v/>
      </c>
      <c r="N252" s="1211">
        <f t="shared" ca="1" si="44"/>
        <v>1084.3</v>
      </c>
      <c r="O252" s="1211">
        <f t="shared" ca="1" si="45"/>
        <v>10843</v>
      </c>
      <c r="P252" s="1213">
        <f ca="1">IF(AND(換券投組!$D$17&gt;=O252,換券投組!$D$13=D252),I252+INT((換券投組!$D$17-O252)/N252)*J252,0)</f>
        <v>0</v>
      </c>
      <c r="Q252" s="1211">
        <f t="shared" ca="1" si="46"/>
        <v>0</v>
      </c>
      <c r="R252" s="1213">
        <f t="shared" ca="1" si="47"/>
        <v>0</v>
      </c>
      <c r="S252" s="1213">
        <f t="shared" ca="1" si="48"/>
        <v>0</v>
      </c>
      <c r="T252" s="136">
        <f t="shared" ca="1" si="41"/>
        <v>0</v>
      </c>
      <c r="U252" s="861">
        <f t="shared" ca="1" si="42"/>
        <v>0</v>
      </c>
      <c r="V252" s="136" t="b">
        <f ca="1">IF(OR(D252&lt;&gt;"USD",L252="無",M252&lt;&gt;"",K252="高資產",IFERROR(MATCH(B252,換券投組!K:K,0),"N")&lt;&gt;"N",IFERROR(MATCH(B252,換券投組!J:J,0),"N")&lt;&gt;"N"),FALSE,IF($V$1="All",TRUE,IF(K252=$V$1,TRUE,FALSE)))</f>
        <v>1</v>
      </c>
      <c r="W252" s="136">
        <f ca="1">VLOOKUP(A252,'銀行-TSS'!A:AO,41,FALSE)</f>
        <v>104.74000000000001</v>
      </c>
      <c r="X252" s="136">
        <f ca="1">VLOOKUP(A252,'銀行-TSS'!A:AP,42,FALSE)</f>
        <v>8.9278999999999993</v>
      </c>
      <c r="Y252" s="1223">
        <f t="shared" ca="1" si="49"/>
        <v>0</v>
      </c>
      <c r="Z252" s="1211">
        <f t="shared" ca="1" si="50"/>
        <v>0</v>
      </c>
      <c r="AA252" s="136">
        <f ca="1">IF(Z252&lt;=0,0,RANK(Z252,Z:Z)+COUNTIF($Z$3:$Z252,Z252)-1)</f>
        <v>0</v>
      </c>
      <c r="AB252" s="1211">
        <f t="shared" ca="1" si="43"/>
        <v>0</v>
      </c>
      <c r="AC252" s="136">
        <f ca="1">IF(AB252&lt;=0,0,RANK(AB252,AB:AB)+COUNTIF($AB$3:$AB252,AB252)-1)</f>
        <v>0</v>
      </c>
      <c r="AD252" s="136">
        <f t="shared" ca="1" si="51"/>
        <v>99999</v>
      </c>
      <c r="AE252" s="136">
        <f ca="1">IF(AD252=99999,0,RANK(AD252,AD:AD,1)+COUNTIF($AD$3:$AD252,AD252)-1)</f>
        <v>0</v>
      </c>
    </row>
    <row r="253" spans="1:31">
      <c r="A253" s="141" t="str">
        <f>'銀行-TSS'!A253</f>
        <v>US002824AV29</v>
      </c>
      <c r="B253" s="151" t="str">
        <f ca="1">VLOOKUP(A253,'銀行-TSS'!A:B,2,FALSE)</f>
        <v>XH510</v>
      </c>
      <c r="C253" s="151" t="str">
        <f ca="1">VLOOKUP(B253,bond!B:C,2,FALSE)</f>
        <v>亞培公司美元配息債券 6% 2039/4/1</v>
      </c>
      <c r="D253" s="95" t="str">
        <f>VLOOKUP(A253,'銀行-TSS'!A:C,3,FALSE)</f>
        <v>USD</v>
      </c>
      <c r="E253" s="90">
        <f ca="1">VLOOKUP(A253,'銀行-TSS'!A:G,7,FALSE)</f>
        <v>14.75</v>
      </c>
      <c r="F253" s="202">
        <f ca="1">VLOOKUP(A253,'銀行-TSS'!A:H,8,FALSE)</f>
        <v>0.06</v>
      </c>
      <c r="G253" s="96">
        <f ca="1">VLOOKUP(A253,'銀行-TSS'!A:K,11,FALSE)</f>
        <v>112.97</v>
      </c>
      <c r="H253" s="1209">
        <f ca="1">VLOOKUP(A253,'銀行-TSS'!A:M,13,FALSE)</f>
        <v>4.9000000000000002E-2</v>
      </c>
      <c r="I253" s="1213">
        <f ca="1">VLOOKUP(A253,'銀行-TSS'!A:N,14,FALSE)</f>
        <v>10000</v>
      </c>
      <c r="J253" s="1213">
        <f ca="1">VLOOKUP(A253,'銀行-TSS'!A:O,15,FALSE)</f>
        <v>1000</v>
      </c>
      <c r="K253" s="136" t="str">
        <f ca="1">VLOOKUP(A253,'銀行-TSS'!A:V,22,FALSE)</f>
        <v>(NPI)非專投</v>
      </c>
      <c r="L253" s="136" t="str">
        <f ca="1">VLOOKUP(A253,'銀行-TSS'!A:AK,37,FALSE)</f>
        <v>需查詢</v>
      </c>
      <c r="M253" s="136" t="str">
        <f ca="1">VLOOKUP(A253,'銀行-TSS'!A:AN,40,FALSE)</f>
        <v/>
      </c>
      <c r="N253" s="1211">
        <f t="shared" ca="1" si="44"/>
        <v>1129.7</v>
      </c>
      <c r="O253" s="1211">
        <f t="shared" ca="1" si="45"/>
        <v>11297</v>
      </c>
      <c r="P253" s="1213">
        <f ca="1">IF(AND(換券投組!$D$17&gt;=O253,換券投組!$D$13=D253),I253+INT((換券投組!$D$17-O253)/N253)*J253,0)</f>
        <v>0</v>
      </c>
      <c r="Q253" s="1211">
        <f t="shared" ca="1" si="46"/>
        <v>0</v>
      </c>
      <c r="R253" s="1213">
        <f t="shared" ca="1" si="47"/>
        <v>0</v>
      </c>
      <c r="S253" s="1213">
        <f t="shared" ca="1" si="48"/>
        <v>0</v>
      </c>
      <c r="T253" s="136">
        <f t="shared" ca="1" si="41"/>
        <v>0</v>
      </c>
      <c r="U253" s="861">
        <f t="shared" ca="1" si="42"/>
        <v>0</v>
      </c>
      <c r="V253" s="136" t="b">
        <f ca="1">IF(OR(D253&lt;&gt;"USD",L253="無",M253&lt;&gt;"",K253="高資產",IFERROR(MATCH(B253,換券投組!K:K,0),"N")&lt;&gt;"N",IFERROR(MATCH(B253,換券投組!J:J,0),"N")&lt;&gt;"N"),FALSE,IF($V$1="All",TRUE,IF(K253=$V$1,TRUE,FALSE)))</f>
        <v>1</v>
      </c>
      <c r="W253" s="136">
        <f ca="1">VLOOKUP(A253,'銀行-TSS'!A:AO,41,FALSE)</f>
        <v>109.45</v>
      </c>
      <c r="X253" s="136">
        <f ca="1">VLOOKUP(A253,'銀行-TSS'!A:AP,42,FALSE)</f>
        <v>9.8422000000000001</v>
      </c>
      <c r="Y253" s="1223">
        <f t="shared" ca="1" si="49"/>
        <v>0</v>
      </c>
      <c r="Z253" s="1211">
        <f t="shared" ca="1" si="50"/>
        <v>0</v>
      </c>
      <c r="AA253" s="136">
        <f ca="1">IF(Z253&lt;=0,0,RANK(Z253,Z:Z)+COUNTIF($Z$3:$Z253,Z253)-1)</f>
        <v>0</v>
      </c>
      <c r="AB253" s="1211">
        <f t="shared" ca="1" si="43"/>
        <v>0</v>
      </c>
      <c r="AC253" s="136">
        <f ca="1">IF(AB253&lt;=0,0,RANK(AB253,AB:AB)+COUNTIF($AB$3:$AB253,AB253)-1)</f>
        <v>0</v>
      </c>
      <c r="AD253" s="136">
        <f t="shared" ca="1" si="51"/>
        <v>99999</v>
      </c>
      <c r="AE253" s="136">
        <f ca="1">IF(AD253=99999,0,RANK(AD253,AD:AD,1)+COUNTIF($AD$3:$AD253,AD253)-1)</f>
        <v>0</v>
      </c>
    </row>
    <row r="254" spans="1:31">
      <c r="A254" s="141" t="str">
        <f>'銀行-TSS'!A254</f>
        <v>US172967FX46</v>
      </c>
      <c r="B254" s="151" t="str">
        <f ca="1">VLOOKUP(A254,'銀行-TSS'!A:B,2,FALSE)</f>
        <v>XH520</v>
      </c>
      <c r="C254" s="151" t="str">
        <f ca="1">VLOOKUP(B254,bond!B:C,2,FALSE)</f>
        <v>花旗集團美元配息債券 5.875% 2042/1/30</v>
      </c>
      <c r="D254" s="95" t="str">
        <f>VLOOKUP(A254,'銀行-TSS'!A:C,3,FALSE)</f>
        <v>USD</v>
      </c>
      <c r="E254" s="90">
        <f ca="1">VLOOKUP(A254,'銀行-TSS'!A:G,7,FALSE)</f>
        <v>17.579999999999998</v>
      </c>
      <c r="F254" s="202">
        <f ca="1">VLOOKUP(A254,'銀行-TSS'!A:H,8,FALSE)</f>
        <v>5.8749999999999997E-2</v>
      </c>
      <c r="G254" s="96">
        <f ca="1">VLOOKUP(A254,'銀行-TSS'!A:K,11,FALSE)</f>
        <v>108.44</v>
      </c>
      <c r="H254" s="1209">
        <f ca="1">VLOOKUP(A254,'銀行-TSS'!A:M,13,FALSE)</f>
        <v>5.3499999999999999E-2</v>
      </c>
      <c r="I254" s="1213">
        <f ca="1">VLOOKUP(A254,'銀行-TSS'!A:N,14,FALSE)</f>
        <v>10000</v>
      </c>
      <c r="J254" s="1213">
        <f ca="1">VLOOKUP(A254,'銀行-TSS'!A:O,15,FALSE)</f>
        <v>1000</v>
      </c>
      <c r="K254" s="136" t="str">
        <f ca="1">VLOOKUP(A254,'銀行-TSS'!A:V,22,FALSE)</f>
        <v>(PI)專投</v>
      </c>
      <c r="L254" s="136" t="str">
        <f ca="1">VLOOKUP(A254,'銀行-TSS'!A:AK,37,FALSE)</f>
        <v>有</v>
      </c>
      <c r="M254" s="136" t="str">
        <f ca="1">VLOOKUP(A254,'銀行-TSS'!A:AN,40,FALSE)</f>
        <v/>
      </c>
      <c r="N254" s="1211">
        <f t="shared" ca="1" si="44"/>
        <v>1084.4000000000001</v>
      </c>
      <c r="O254" s="1211">
        <f t="shared" ca="1" si="45"/>
        <v>10844</v>
      </c>
      <c r="P254" s="1213">
        <f ca="1">IF(AND(換券投組!$D$17&gt;=O254,換券投組!$D$13=D254),I254+INT((換券投組!$D$17-O254)/N254)*J254,0)</f>
        <v>0</v>
      </c>
      <c r="Q254" s="1211">
        <f t="shared" ca="1" si="46"/>
        <v>0</v>
      </c>
      <c r="R254" s="1213">
        <f t="shared" ca="1" si="47"/>
        <v>0</v>
      </c>
      <c r="S254" s="1213">
        <f t="shared" ca="1" si="48"/>
        <v>0</v>
      </c>
      <c r="T254" s="136">
        <f t="shared" ca="1" si="41"/>
        <v>0</v>
      </c>
      <c r="U254" s="861">
        <f t="shared" ca="1" si="42"/>
        <v>0</v>
      </c>
      <c r="V254" s="136" t="b">
        <f ca="1">IF(OR(D254&lt;&gt;"USD",L254="無",M254&lt;&gt;"",K254="高資產",IFERROR(MATCH(B254,換券投組!K:K,0),"N")&lt;&gt;"N",IFERROR(MATCH(B254,換券投組!J:J,0),"N")&lt;&gt;"N"),FALSE,IF($V$1="All",TRUE,IF(K254=$V$1,TRUE,FALSE)))</f>
        <v>1</v>
      </c>
      <c r="W254" s="136">
        <f ca="1">VLOOKUP(A254,'銀行-TSS'!A:AO,41,FALSE)</f>
        <v>103.46</v>
      </c>
      <c r="X254" s="136">
        <f ca="1">VLOOKUP(A254,'銀行-TSS'!A:AP,42,FALSE)</f>
        <v>10.7684</v>
      </c>
      <c r="Y254" s="1223">
        <f t="shared" ca="1" si="49"/>
        <v>0</v>
      </c>
      <c r="Z254" s="1211">
        <f t="shared" ca="1" si="50"/>
        <v>0</v>
      </c>
      <c r="AA254" s="136">
        <f ca="1">IF(Z254&lt;=0,0,RANK(Z254,Z:Z)+COUNTIF($Z$3:$Z254,Z254)-1)</f>
        <v>0</v>
      </c>
      <c r="AB254" s="1211">
        <f t="shared" ca="1" si="43"/>
        <v>0</v>
      </c>
      <c r="AC254" s="136">
        <f ca="1">IF(AB254&lt;=0,0,RANK(AB254,AB:AB)+COUNTIF($AB$3:$AB254,AB254)-1)</f>
        <v>0</v>
      </c>
      <c r="AD254" s="136">
        <f t="shared" ca="1" si="51"/>
        <v>99999</v>
      </c>
      <c r="AE254" s="136">
        <f ca="1">IF(AD254=99999,0,RANK(AD254,AD:AD,1)+COUNTIF($AD$3:$AD254,AD254)-1)</f>
        <v>0</v>
      </c>
    </row>
    <row r="255" spans="1:31">
      <c r="A255" s="141" t="str">
        <f>'銀行-TSS'!A255</f>
        <v>US172967MD09</v>
      </c>
      <c r="B255" s="151" t="str">
        <f ca="1">VLOOKUP(A255,'銀行-TSS'!A:B,2,FALSE)</f>
        <v>XH530</v>
      </c>
      <c r="C255" s="151" t="str">
        <f ca="1">VLOOKUP(B255,bond!B:C,2,FALSE)</f>
        <v>花旗集團美元配息債券 4.65% 2048/7/23</v>
      </c>
      <c r="D255" s="95" t="str">
        <f>VLOOKUP(A255,'銀行-TSS'!A:C,3,FALSE)</f>
        <v>USD</v>
      </c>
      <c r="E255" s="90">
        <f ca="1">VLOOKUP(A255,'銀行-TSS'!A:G,7,FALSE)</f>
        <v>24.06</v>
      </c>
      <c r="F255" s="202">
        <f ca="1">VLOOKUP(A255,'銀行-TSS'!A:H,8,FALSE)</f>
        <v>4.6500000000000007E-2</v>
      </c>
      <c r="G255" s="96">
        <f ca="1">VLOOKUP(A255,'銀行-TSS'!A:K,11,FALSE)</f>
        <v>93.46</v>
      </c>
      <c r="H255" s="1209">
        <f ca="1">VLOOKUP(A255,'銀行-TSS'!A:M,13,FALSE)</f>
        <v>5.28E-2</v>
      </c>
      <c r="I255" s="1213">
        <f ca="1">VLOOKUP(A255,'銀行-TSS'!A:N,14,FALSE)</f>
        <v>10000</v>
      </c>
      <c r="J255" s="1213">
        <f ca="1">VLOOKUP(A255,'銀行-TSS'!A:O,15,FALSE)</f>
        <v>1000</v>
      </c>
      <c r="K255" s="136" t="str">
        <f ca="1">VLOOKUP(A255,'銀行-TSS'!A:V,22,FALSE)</f>
        <v>(PI)專投</v>
      </c>
      <c r="L255" s="136" t="str">
        <f ca="1">VLOOKUP(A255,'銀行-TSS'!A:AK,37,FALSE)</f>
        <v>有</v>
      </c>
      <c r="M255" s="136" t="str">
        <f ca="1">VLOOKUP(A255,'銀行-TSS'!A:AN,40,FALSE)</f>
        <v/>
      </c>
      <c r="N255" s="1211">
        <f t="shared" ca="1" si="44"/>
        <v>934.6</v>
      </c>
      <c r="O255" s="1211">
        <f t="shared" ca="1" si="45"/>
        <v>9345.9999999999982</v>
      </c>
      <c r="P255" s="1213">
        <f ca="1">IF(AND(換券投組!$D$17&gt;=O255,換券投組!$D$13=D255),I255+INT((換券投組!$D$17-O255)/N255)*J255,0)</f>
        <v>0</v>
      </c>
      <c r="Q255" s="1211">
        <f t="shared" ca="1" si="46"/>
        <v>0</v>
      </c>
      <c r="R255" s="1213">
        <f t="shared" ca="1" si="47"/>
        <v>0</v>
      </c>
      <c r="S255" s="1213">
        <f t="shared" ca="1" si="48"/>
        <v>0</v>
      </c>
      <c r="T255" s="136">
        <f t="shared" ca="1" si="41"/>
        <v>0</v>
      </c>
      <c r="U255" s="861">
        <f t="shared" ca="1" si="42"/>
        <v>0</v>
      </c>
      <c r="V255" s="136" t="b">
        <f ca="1">IF(OR(D255&lt;&gt;"USD",L255="無",M255&lt;&gt;"",K255="高資產",IFERROR(MATCH(B255,換券投組!K:K,0),"N")&lt;&gt;"N",IFERROR(MATCH(B255,換券投組!J:J,0),"N")&lt;&gt;"N"),FALSE,IF($V$1="All",TRUE,IF(K255=$V$1,TRUE,FALSE)))</f>
        <v>1</v>
      </c>
      <c r="W255" s="136">
        <f ca="1">VLOOKUP(A255,'銀行-TSS'!A:AO,41,FALSE)</f>
        <v>87.910000000000011</v>
      </c>
      <c r="X255" s="136">
        <f ca="1">VLOOKUP(A255,'銀行-TSS'!A:AP,42,FALSE)</f>
        <v>13.444699999999999</v>
      </c>
      <c r="Y255" s="1223">
        <f t="shared" ca="1" si="49"/>
        <v>0</v>
      </c>
      <c r="Z255" s="1211">
        <f t="shared" ca="1" si="50"/>
        <v>0</v>
      </c>
      <c r="AA255" s="136">
        <f ca="1">IF(Z255&lt;=0,0,RANK(Z255,Z:Z)+COUNTIF($Z$3:$Z255,Z255)-1)</f>
        <v>0</v>
      </c>
      <c r="AB255" s="1211">
        <f t="shared" ca="1" si="43"/>
        <v>0</v>
      </c>
      <c r="AC255" s="136">
        <f ca="1">IF(AB255&lt;=0,0,RANK(AB255,AB:AB)+COUNTIF($AB$3:$AB255,AB255)-1)</f>
        <v>0</v>
      </c>
      <c r="AD255" s="136">
        <f t="shared" ca="1" si="51"/>
        <v>99999</v>
      </c>
      <c r="AE255" s="136">
        <f ca="1">IF(AD255=99999,0,RANK(AD255,AD:AD,1)+COUNTIF($AD$3:$AD255,AD255)-1)</f>
        <v>0</v>
      </c>
    </row>
    <row r="256" spans="1:31">
      <c r="A256" s="141" t="str">
        <f>'銀行-TSS'!A256</f>
        <v>AU000XCLWAQ1</v>
      </c>
      <c r="B256" s="151" t="str">
        <f ca="1">VLOOKUP(A256,'銀行-TSS'!A:B,2,FALSE)</f>
        <v>XH540</v>
      </c>
      <c r="C256" s="151" t="str">
        <f ca="1">VLOOKUP(B256,bond!B:C,2,FALSE)</f>
        <v>澳洲政府公債澳幣配息債券 2.75% 2027/11/21</v>
      </c>
      <c r="D256" s="95" t="str">
        <f>VLOOKUP(A256,'銀行-TSS'!A:C,3,FALSE)</f>
        <v>AUD</v>
      </c>
      <c r="E256" s="90">
        <f ca="1">VLOOKUP(A256,'銀行-TSS'!A:G,7,FALSE)</f>
        <v>3.38</v>
      </c>
      <c r="F256" s="202">
        <f ca="1">VLOOKUP(A256,'銀行-TSS'!A:H,8,FALSE)</f>
        <v>2.75E-2</v>
      </c>
      <c r="G256" s="96">
        <f ca="1">VLOOKUP(A256,'銀行-TSS'!A:K,11,FALSE)</f>
        <v>98</v>
      </c>
      <c r="H256" s="1209">
        <f ca="1">VLOOKUP(A256,'銀行-TSS'!A:M,13,FALSE)</f>
        <v>3.4799999999999998E-2</v>
      </c>
      <c r="I256" s="1213">
        <f ca="1">VLOOKUP(A256,'銀行-TSS'!A:N,14,FALSE)</f>
        <v>10000</v>
      </c>
      <c r="J256" s="1213">
        <f ca="1">VLOOKUP(A256,'銀行-TSS'!A:O,15,FALSE)</f>
        <v>1000</v>
      </c>
      <c r="K256" s="136" t="str">
        <f ca="1">VLOOKUP(A256,'銀行-TSS'!A:V,22,FALSE)</f>
        <v>(NPI)非專投</v>
      </c>
      <c r="L256" s="136" t="str">
        <f ca="1">VLOOKUP(A256,'銀行-TSS'!A:AK,37,FALSE)</f>
        <v>有</v>
      </c>
      <c r="M256" s="136" t="str">
        <f ca="1">VLOOKUP(A256,'銀行-TSS'!A:AN,40,FALSE)</f>
        <v/>
      </c>
      <c r="N256" s="1211">
        <f t="shared" ca="1" si="44"/>
        <v>980</v>
      </c>
      <c r="O256" s="1211">
        <f t="shared" ca="1" si="45"/>
        <v>9800</v>
      </c>
      <c r="P256" s="1213">
        <f ca="1">IF(AND(換券投組!$D$17&gt;=O256,換券投組!$D$13=D256),I256+INT((換券投組!$D$17-O256)/N256)*J256,0)</f>
        <v>0</v>
      </c>
      <c r="Q256" s="1211">
        <f t="shared" ca="1" si="46"/>
        <v>0</v>
      </c>
      <c r="R256" s="1213">
        <f t="shared" ca="1" si="47"/>
        <v>0</v>
      </c>
      <c r="S256" s="1213">
        <f t="shared" ca="1" si="48"/>
        <v>0</v>
      </c>
      <c r="T256" s="136">
        <f t="shared" ca="1" si="41"/>
        <v>0</v>
      </c>
      <c r="U256" s="861">
        <f t="shared" ca="1" si="42"/>
        <v>0</v>
      </c>
      <c r="V256" s="136" t="b">
        <f ca="1">IF(OR(D256&lt;&gt;"USD",L256="無",M256&lt;&gt;"",K256="高資產",IFERROR(MATCH(B256,換券投組!K:K,0),"N")&lt;&gt;"N",IFERROR(MATCH(B256,換券投組!J:J,0),"N")&lt;&gt;"N"),FALSE,IF($V$1="All",TRUE,IF(K256=$V$1,TRUE,FALSE)))</f>
        <v>0</v>
      </c>
      <c r="W256" s="136">
        <f ca="1">VLOOKUP(A256,'銀行-TSS'!A:AO,41,FALSE)</f>
        <v>96.18</v>
      </c>
      <c r="X256" s="136">
        <f ca="1">VLOOKUP(A256,'銀行-TSS'!A:AP,42,FALSE)</f>
        <v>3.1804999999999999</v>
      </c>
      <c r="Y256" s="1223">
        <f t="shared" ca="1" si="49"/>
        <v>0</v>
      </c>
      <c r="Z256" s="1211">
        <f t="shared" ca="1" si="50"/>
        <v>0</v>
      </c>
      <c r="AA256" s="136">
        <f ca="1">IF(Z256&lt;=0,0,RANK(Z256,Z:Z)+COUNTIF($Z$3:$Z256,Z256)-1)</f>
        <v>0</v>
      </c>
      <c r="AB256" s="1211">
        <f t="shared" ca="1" si="43"/>
        <v>0</v>
      </c>
      <c r="AC256" s="136">
        <f ca="1">IF(AB256&lt;=0,0,RANK(AB256,AB:AB)+COUNTIF($AB$3:$AB256,AB256)-1)</f>
        <v>0</v>
      </c>
      <c r="AD256" s="136">
        <f t="shared" ca="1" si="51"/>
        <v>99999</v>
      </c>
      <c r="AE256" s="136">
        <f ca="1">IF(AD256=99999,0,RANK(AD256,AD:AD,1)+COUNTIF($AD$3:$AD256,AD256)-1)</f>
        <v>0</v>
      </c>
    </row>
    <row r="257" spans="1:31">
      <c r="A257" s="141" t="str">
        <f>'銀行-TSS'!A257</f>
        <v>AU000XCLWAX7</v>
      </c>
      <c r="B257" s="151" t="str">
        <f ca="1">VLOOKUP(A257,'銀行-TSS'!A:B,2,FALSE)</f>
        <v>XH550</v>
      </c>
      <c r="C257" s="151" t="str">
        <f ca="1">VLOOKUP(B257,bond!B:C,2,FALSE)</f>
        <v>澳洲政府公債澳幣配息債券 2.75% 2029/11/21</v>
      </c>
      <c r="D257" s="95" t="str">
        <f>VLOOKUP(A257,'銀行-TSS'!A:C,3,FALSE)</f>
        <v>AUD</v>
      </c>
      <c r="E257" s="90">
        <f ca="1">VLOOKUP(A257,'銀行-TSS'!A:G,7,FALSE)</f>
        <v>5.39</v>
      </c>
      <c r="F257" s="202">
        <f ca="1">VLOOKUP(A257,'銀行-TSS'!A:H,8,FALSE)</f>
        <v>2.75E-2</v>
      </c>
      <c r="G257" s="96">
        <f ca="1">VLOOKUP(A257,'銀行-TSS'!A:K,11,FALSE)</f>
        <v>96.24</v>
      </c>
      <c r="H257" s="1209">
        <f ca="1">VLOOKUP(A257,'銀行-TSS'!A:M,13,FALSE)</f>
        <v>3.5900000000000001E-2</v>
      </c>
      <c r="I257" s="1213">
        <f ca="1">VLOOKUP(A257,'銀行-TSS'!A:N,14,FALSE)</f>
        <v>10000</v>
      </c>
      <c r="J257" s="1213">
        <f ca="1">VLOOKUP(A257,'銀行-TSS'!A:O,15,FALSE)</f>
        <v>1000</v>
      </c>
      <c r="K257" s="136" t="str">
        <f ca="1">VLOOKUP(A257,'銀行-TSS'!A:V,22,FALSE)</f>
        <v>(NPI)非專投</v>
      </c>
      <c r="L257" s="136" t="str">
        <f ca="1">VLOOKUP(A257,'銀行-TSS'!A:AK,37,FALSE)</f>
        <v>有</v>
      </c>
      <c r="M257" s="136" t="str">
        <f ca="1">VLOOKUP(A257,'銀行-TSS'!A:AN,40,FALSE)</f>
        <v/>
      </c>
      <c r="N257" s="1211">
        <f t="shared" ca="1" si="44"/>
        <v>962.4</v>
      </c>
      <c r="O257" s="1211">
        <f t="shared" ca="1" si="45"/>
        <v>9624</v>
      </c>
      <c r="P257" s="1213">
        <f ca="1">IF(AND(換券投組!$D$17&gt;=O257,換券投組!$D$13=D257),I257+INT((換券投組!$D$17-O257)/N257)*J257,0)</f>
        <v>0</v>
      </c>
      <c r="Q257" s="1211">
        <f t="shared" ca="1" si="46"/>
        <v>0</v>
      </c>
      <c r="R257" s="1213">
        <f t="shared" ca="1" si="47"/>
        <v>0</v>
      </c>
      <c r="S257" s="1213">
        <f t="shared" ca="1" si="48"/>
        <v>0</v>
      </c>
      <c r="T257" s="136">
        <f t="shared" ca="1" si="41"/>
        <v>0</v>
      </c>
      <c r="U257" s="861">
        <f t="shared" ca="1" si="42"/>
        <v>0</v>
      </c>
      <c r="V257" s="136" t="b">
        <f ca="1">IF(OR(D257&lt;&gt;"USD",L257="無",M257&lt;&gt;"",K257="高資產",IFERROR(MATCH(B257,換券投組!K:K,0),"N")&lt;&gt;"N",IFERROR(MATCH(B257,換券投組!J:J,0),"N")&lt;&gt;"N"),FALSE,IF($V$1="All",TRUE,IF(K257=$V$1,TRUE,FALSE)))</f>
        <v>0</v>
      </c>
      <c r="W257" s="136">
        <f ca="1">VLOOKUP(A257,'銀行-TSS'!A:AO,41,FALSE)</f>
        <v>93.92</v>
      </c>
      <c r="X257" s="136">
        <f ca="1">VLOOKUP(A257,'銀行-TSS'!A:AP,42,FALSE)</f>
        <v>4.9169</v>
      </c>
      <c r="Y257" s="1223">
        <f t="shared" ca="1" si="49"/>
        <v>0</v>
      </c>
      <c r="Z257" s="1211">
        <f t="shared" ca="1" si="50"/>
        <v>0</v>
      </c>
      <c r="AA257" s="136">
        <f ca="1">IF(Z257&lt;=0,0,RANK(Z257,Z:Z)+COUNTIF($Z$3:$Z257,Z257)-1)</f>
        <v>0</v>
      </c>
      <c r="AB257" s="1211">
        <f t="shared" ca="1" si="43"/>
        <v>0</v>
      </c>
      <c r="AC257" s="136">
        <f ca="1">IF(AB257&lt;=0,0,RANK(AB257,AB:AB)+COUNTIF($AB$3:$AB257,AB257)-1)</f>
        <v>0</v>
      </c>
      <c r="AD257" s="136">
        <f t="shared" ca="1" si="51"/>
        <v>99999</v>
      </c>
      <c r="AE257" s="136">
        <f ca="1">IF(AD257=99999,0,RANK(AD257,AD:AD,1)+COUNTIF($AD$3:$AD257,AD257)-1)</f>
        <v>0</v>
      </c>
    </row>
    <row r="258" spans="1:31">
      <c r="A258" s="141" t="str">
        <f>'銀行-TSS'!A258</f>
        <v>AU0000013740</v>
      </c>
      <c r="B258" s="151" t="str">
        <f ca="1">VLOOKUP(A258,'銀行-TSS'!A:B,2,FALSE)</f>
        <v>XH560</v>
      </c>
      <c r="C258" s="151" t="str">
        <f ca="1">VLOOKUP(B258,bond!B:C,2,FALSE)</f>
        <v>澳洲政府公債澳幣配息債券 2.5% 2030/5/21</v>
      </c>
      <c r="D258" s="95" t="str">
        <f>VLOOKUP(A258,'銀行-TSS'!A:C,3,FALSE)</f>
        <v>AUD</v>
      </c>
      <c r="E258" s="90">
        <f ca="1">VLOOKUP(A258,'銀行-TSS'!A:G,7,FALSE)</f>
        <v>5.88</v>
      </c>
      <c r="F258" s="202">
        <f ca="1">VLOOKUP(A258,'銀行-TSS'!A:H,8,FALSE)</f>
        <v>2.5000000000000001E-2</v>
      </c>
      <c r="G258" s="96">
        <f ca="1">VLOOKUP(A258,'銀行-TSS'!A:K,11,FALSE)</f>
        <v>94.2</v>
      </c>
      <c r="H258" s="1209">
        <f ca="1">VLOOKUP(A258,'銀行-TSS'!A:M,13,FALSE)</f>
        <v>3.6600000000000001E-2</v>
      </c>
      <c r="I258" s="1213">
        <f ca="1">VLOOKUP(A258,'銀行-TSS'!A:N,14,FALSE)</f>
        <v>10000</v>
      </c>
      <c r="J258" s="1213">
        <f ca="1">VLOOKUP(A258,'銀行-TSS'!A:O,15,FALSE)</f>
        <v>1000</v>
      </c>
      <c r="K258" s="136" t="str">
        <f ca="1">VLOOKUP(A258,'銀行-TSS'!A:V,22,FALSE)</f>
        <v>(NPI)非專投</v>
      </c>
      <c r="L258" s="136" t="str">
        <f ca="1">VLOOKUP(A258,'銀行-TSS'!A:AK,37,FALSE)</f>
        <v>有</v>
      </c>
      <c r="M258" s="136" t="str">
        <f ca="1">VLOOKUP(A258,'銀行-TSS'!A:AN,40,FALSE)</f>
        <v/>
      </c>
      <c r="N258" s="1211">
        <f t="shared" ca="1" si="44"/>
        <v>942</v>
      </c>
      <c r="O258" s="1211">
        <f t="shared" ca="1" si="45"/>
        <v>9420</v>
      </c>
      <c r="P258" s="1213">
        <f ca="1">IF(AND(換券投組!$D$17&gt;=O258,換券投組!$D$13=D258),I258+INT((換券投組!$D$17-O258)/N258)*J258,0)</f>
        <v>0</v>
      </c>
      <c r="Q258" s="1211">
        <f t="shared" ca="1" si="46"/>
        <v>0</v>
      </c>
      <c r="R258" s="1213">
        <f t="shared" ca="1" si="47"/>
        <v>0</v>
      </c>
      <c r="S258" s="1213">
        <f t="shared" ca="1" si="48"/>
        <v>0</v>
      </c>
      <c r="T258" s="136">
        <f t="shared" ca="1" si="41"/>
        <v>0</v>
      </c>
      <c r="U258" s="861">
        <f t="shared" ca="1" si="42"/>
        <v>0</v>
      </c>
      <c r="V258" s="136" t="b">
        <f ca="1">IF(OR(D258&lt;&gt;"USD",L258="無",M258&lt;&gt;"",K258="高資產",IFERROR(MATCH(B258,換券投組!K:K,0),"N")&lt;&gt;"N",IFERROR(MATCH(B258,換券投組!J:J,0),"N")&lt;&gt;"N"),FALSE,IF($V$1="All",TRUE,IF(K258=$V$1,TRUE,FALSE)))</f>
        <v>0</v>
      </c>
      <c r="W258" s="136">
        <f ca="1">VLOOKUP(A258,'銀行-TSS'!A:AO,41,FALSE)</f>
        <v>91.91</v>
      </c>
      <c r="X258" s="136">
        <f ca="1">VLOOKUP(A258,'銀行-TSS'!A:AP,42,FALSE)</f>
        <v>5.3672000000000004</v>
      </c>
      <c r="Y258" s="1223">
        <f t="shared" ca="1" si="49"/>
        <v>0</v>
      </c>
      <c r="Z258" s="1211">
        <f t="shared" ca="1" si="50"/>
        <v>0</v>
      </c>
      <c r="AA258" s="136">
        <f ca="1">IF(Z258&lt;=0,0,RANK(Z258,Z:Z)+COUNTIF($Z$3:$Z258,Z258)-1)</f>
        <v>0</v>
      </c>
      <c r="AB258" s="1211">
        <f t="shared" ca="1" si="43"/>
        <v>0</v>
      </c>
      <c r="AC258" s="136">
        <f ca="1">IF(AB258&lt;=0,0,RANK(AB258,AB:AB)+COUNTIF($AB$3:$AB258,AB258)-1)</f>
        <v>0</v>
      </c>
      <c r="AD258" s="136">
        <f t="shared" ca="1" si="51"/>
        <v>99999</v>
      </c>
      <c r="AE258" s="136">
        <f ca="1">IF(AD258=99999,0,RANK(AD258,AD:AD,1)+COUNTIF($AD$3:$AD258,AD258)-1)</f>
        <v>0</v>
      </c>
    </row>
    <row r="259" spans="1:31">
      <c r="A259" s="141" t="str">
        <f>'銀行-TSS'!A259</f>
        <v>US25470DAD12</v>
      </c>
      <c r="B259" s="151" t="str">
        <f ca="1">VLOOKUP(A259,'銀行-TSS'!A:B,2,FALSE)</f>
        <v>XH570</v>
      </c>
      <c r="C259" s="151" t="str">
        <f ca="1">VLOOKUP(B259,bond!B:C,2,FALSE)</f>
        <v>探索傳播有限責任公司美元配息債券 6.35% 2040/6/1</v>
      </c>
      <c r="D259" s="95" t="str">
        <f>VLOOKUP(A259,'銀行-TSS'!A:C,3,FALSE)</f>
        <v>USD</v>
      </c>
      <c r="E259" s="90">
        <f ca="1">VLOOKUP(A259,'銀行-TSS'!A:G,7,FALSE)</f>
        <v>15.92</v>
      </c>
      <c r="F259" s="202">
        <f ca="1">VLOOKUP(A259,'銀行-TSS'!A:H,8,FALSE)</f>
        <v>6.3500000000000001E-2</v>
      </c>
      <c r="G259" s="96">
        <f ca="1">VLOOKUP(A259,'銀行-TSS'!A:K,11,FALSE)</f>
        <v>98.81</v>
      </c>
      <c r="H259" s="1209">
        <f ca="1">VLOOKUP(A259,'銀行-TSS'!A:M,13,FALSE)</f>
        <v>6.5299999999999997E-2</v>
      </c>
      <c r="I259" s="1213">
        <f ca="1">VLOOKUP(A259,'銀行-TSS'!A:N,14,FALSE)</f>
        <v>10000</v>
      </c>
      <c r="J259" s="1213">
        <f ca="1">VLOOKUP(A259,'銀行-TSS'!A:O,15,FALSE)</f>
        <v>1000</v>
      </c>
      <c r="K259" s="136" t="str">
        <f ca="1">VLOOKUP(A259,'銀行-TSS'!A:V,22,FALSE)</f>
        <v>(PI)專投</v>
      </c>
      <c r="L259" s="136" t="str">
        <f ca="1">VLOOKUP(A259,'銀行-TSS'!A:AK,37,FALSE)</f>
        <v>有</v>
      </c>
      <c r="M259" s="136" t="str">
        <f ca="1">VLOOKUP(A259,'銀行-TSS'!A:AN,40,FALSE)</f>
        <v/>
      </c>
      <c r="N259" s="1211">
        <f t="shared" ca="1" si="44"/>
        <v>988.1</v>
      </c>
      <c r="O259" s="1211">
        <f t="shared" ca="1" si="45"/>
        <v>9881</v>
      </c>
      <c r="P259" s="1213">
        <f ca="1">IF(AND(換券投組!$D$17&gt;=O259,換券投組!$D$13=D259),I259+INT((換券投組!$D$17-O259)/N259)*J259,0)</f>
        <v>0</v>
      </c>
      <c r="Q259" s="1211">
        <f t="shared" ca="1" si="46"/>
        <v>0</v>
      </c>
      <c r="R259" s="1213">
        <f t="shared" ca="1" si="47"/>
        <v>0</v>
      </c>
      <c r="S259" s="1213">
        <f t="shared" ca="1" si="48"/>
        <v>0</v>
      </c>
      <c r="T259" s="136">
        <f t="shared" ca="1" si="41"/>
        <v>0</v>
      </c>
      <c r="U259" s="861">
        <f t="shared" ca="1" si="42"/>
        <v>0</v>
      </c>
      <c r="V259" s="136" t="b">
        <f ca="1">IF(OR(D259&lt;&gt;"USD",L259="無",M259&lt;&gt;"",K259="高資產",IFERROR(MATCH(B259,換券投組!K:K,0),"N")&lt;&gt;"N",IFERROR(MATCH(B259,換券投組!J:J,0),"N")&lt;&gt;"N"),FALSE,IF($V$1="All",TRUE,IF(K259=$V$1,TRUE,FALSE)))</f>
        <v>1</v>
      </c>
      <c r="W259" s="136">
        <f ca="1">VLOOKUP(A259,'銀行-TSS'!A:AO,41,FALSE)</f>
        <v>96.26</v>
      </c>
      <c r="X259" s="136">
        <f ca="1">VLOOKUP(A259,'銀行-TSS'!A:AP,42,FALSE)</f>
        <v>9.7555999999999994</v>
      </c>
      <c r="Y259" s="1223">
        <f t="shared" ca="1" si="49"/>
        <v>0</v>
      </c>
      <c r="Z259" s="1211">
        <f t="shared" ca="1" si="50"/>
        <v>0</v>
      </c>
      <c r="AA259" s="136">
        <f ca="1">IF(Z259&lt;=0,0,RANK(Z259,Z:Z)+COUNTIF($Z$3:$Z259,Z259)-1)</f>
        <v>0</v>
      </c>
      <c r="AB259" s="1211">
        <f t="shared" ca="1" si="43"/>
        <v>0</v>
      </c>
      <c r="AC259" s="136">
        <f ca="1">IF(AB259&lt;=0,0,RANK(AB259,AB:AB)+COUNTIF($AB$3:$AB259,AB259)-1)</f>
        <v>0</v>
      </c>
      <c r="AD259" s="136">
        <f t="shared" ca="1" si="51"/>
        <v>99999</v>
      </c>
      <c r="AE259" s="136">
        <f ca="1">IF(AD259=99999,0,RANK(AD259,AD:AD,1)+COUNTIF($AD$3:$AD259,AD259)-1)</f>
        <v>0</v>
      </c>
    </row>
    <row r="260" spans="1:31">
      <c r="A260" s="141" t="str">
        <f>'銀行-TSS'!A260</f>
        <v>US56585AAF93</v>
      </c>
      <c r="B260" s="151" t="str">
        <f ca="1">VLOOKUP(A260,'銀行-TSS'!A:B,2,FALSE)</f>
        <v>XH580</v>
      </c>
      <c r="C260" s="151" t="str">
        <f ca="1">VLOOKUP(B260,bond!B:C,2,FALSE)</f>
        <v>馬拉松石油公司美元配息債券 6.5% 2041/3/1</v>
      </c>
      <c r="D260" s="95" t="str">
        <f>VLOOKUP(A260,'銀行-TSS'!A:C,3,FALSE)</f>
        <v>USD</v>
      </c>
      <c r="E260" s="90">
        <f ca="1">VLOOKUP(A260,'銀行-TSS'!A:G,7,FALSE)</f>
        <v>16.66</v>
      </c>
      <c r="F260" s="202">
        <f ca="1">VLOOKUP(A260,'銀行-TSS'!A:H,8,FALSE)</f>
        <v>6.5000000000000002E-2</v>
      </c>
      <c r="G260" s="96">
        <f ca="1">VLOOKUP(A260,'銀行-TSS'!A:K,11,FALSE)</f>
        <v>109.58</v>
      </c>
      <c r="H260" s="1209">
        <f ca="1">VLOOKUP(A260,'銀行-TSS'!A:M,13,FALSE)</f>
        <v>5.8000000000000003E-2</v>
      </c>
      <c r="I260" s="1213">
        <f ca="1">VLOOKUP(A260,'銀行-TSS'!A:N,14,FALSE)</f>
        <v>10000</v>
      </c>
      <c r="J260" s="1213">
        <f ca="1">VLOOKUP(A260,'銀行-TSS'!A:O,15,FALSE)</f>
        <v>1000</v>
      </c>
      <c r="K260" s="136" t="str">
        <f ca="1">VLOOKUP(A260,'銀行-TSS'!A:V,22,FALSE)</f>
        <v>(PI)專投</v>
      </c>
      <c r="L260" s="136" t="str">
        <f ca="1">VLOOKUP(A260,'銀行-TSS'!A:AK,37,FALSE)</f>
        <v>有</v>
      </c>
      <c r="M260" s="136" t="str">
        <f ca="1">VLOOKUP(A260,'銀行-TSS'!A:AN,40,FALSE)</f>
        <v/>
      </c>
      <c r="N260" s="1211">
        <f t="shared" ca="1" si="44"/>
        <v>1095.8</v>
      </c>
      <c r="O260" s="1211">
        <f t="shared" ca="1" si="45"/>
        <v>10958</v>
      </c>
      <c r="P260" s="1213">
        <f ca="1">IF(AND(換券投組!$D$17&gt;=O260,換券投組!$D$13=D260),I260+INT((換券投組!$D$17-O260)/N260)*J260,0)</f>
        <v>0</v>
      </c>
      <c r="Q260" s="1211">
        <f t="shared" ca="1" si="46"/>
        <v>0</v>
      </c>
      <c r="R260" s="1213">
        <f t="shared" ca="1" si="47"/>
        <v>0</v>
      </c>
      <c r="S260" s="1213">
        <f t="shared" ca="1" si="48"/>
        <v>0</v>
      </c>
      <c r="T260" s="136">
        <f t="shared" ref="T260:T323" ca="1" si="52">IF(OR(R260=0,A260=0),0,IF(V260=TRUE,E260,0))</f>
        <v>0</v>
      </c>
      <c r="U260" s="861">
        <f t="shared" ref="U260:U323" ca="1" si="53">IF(OR(R260=0,A260=0),0,IF(V260=TRUE,H260,0))</f>
        <v>0</v>
      </c>
      <c r="V260" s="136" t="b">
        <f ca="1">IF(OR(D260&lt;&gt;"USD",L260="無",M260&lt;&gt;"",K260="高資產",IFERROR(MATCH(B260,換券投組!K:K,0),"N")&lt;&gt;"N",IFERROR(MATCH(B260,換券投組!J:J,0),"N")&lt;&gt;"N"),FALSE,IF($V$1="All",TRUE,IF(K260=$V$1,TRUE,FALSE)))</f>
        <v>1</v>
      </c>
      <c r="W260" s="136">
        <f ca="1">VLOOKUP(A260,'銀行-TSS'!A:AO,41,FALSE)</f>
        <v>104.9</v>
      </c>
      <c r="X260" s="136">
        <f ca="1">VLOOKUP(A260,'銀行-TSS'!A:AP,42,FALSE)</f>
        <v>9.8988999999999994</v>
      </c>
      <c r="Y260" s="1223">
        <f t="shared" ca="1" si="49"/>
        <v>0</v>
      </c>
      <c r="Z260" s="1211">
        <f t="shared" ca="1" si="50"/>
        <v>0</v>
      </c>
      <c r="AA260" s="136">
        <f ca="1">IF(Z260&lt;=0,0,RANK(Z260,Z:Z)+COUNTIF($Z$3:$Z260,Z260)-1)</f>
        <v>0</v>
      </c>
      <c r="AB260" s="1211">
        <f t="shared" ref="AB260:AB323" ca="1" si="54">IF(A260=0,0,IF(V260=FALSE,0,Y260+IF((P260-$P$1)&lt;0,(P260-$P$1)*0.5,0)))-$AC$1</f>
        <v>0</v>
      </c>
      <c r="AC260" s="136">
        <f ca="1">IF(AB260&lt;=0,0,RANK(AB260,AB:AB)+COUNTIF($AB$3:$AB260,AB260)-1)</f>
        <v>0</v>
      </c>
      <c r="AD260" s="136">
        <f t="shared" ca="1" si="51"/>
        <v>99999</v>
      </c>
      <c r="AE260" s="136">
        <f ca="1">IF(AD260=99999,0,RANK(AD260,AD:AD,1)+COUNTIF($AD$3:$AD260,AD260)-1)</f>
        <v>0</v>
      </c>
    </row>
    <row r="261" spans="1:31">
      <c r="A261" s="141" t="str">
        <f>'銀行-TSS'!A261</f>
        <v>USF29416AD06</v>
      </c>
      <c r="B261" s="151" t="str">
        <f ca="1">VLOOKUP(A261,'銀行-TSS'!A:B,2,FALSE)</f>
        <v>XH590</v>
      </c>
      <c r="C261" s="151" t="str">
        <f ca="1">VLOOKUP(B261,bond!B:C,2,FALSE)</f>
        <v>法國電力公司美元配息債券 6.9% 2053/5/23</v>
      </c>
      <c r="D261" s="95" t="str">
        <f>VLOOKUP(A261,'銀行-TSS'!A:C,3,FALSE)</f>
        <v>USD</v>
      </c>
      <c r="E261" s="90">
        <f ca="1">VLOOKUP(A261,'銀行-TSS'!A:G,7,FALSE)</f>
        <v>28.89</v>
      </c>
      <c r="F261" s="202">
        <f ca="1">VLOOKUP(A261,'銀行-TSS'!A:H,8,FALSE)</f>
        <v>6.9000000000000006E-2</v>
      </c>
      <c r="G261" s="96">
        <f ca="1">VLOOKUP(A261,'銀行-TSS'!A:K,11,FALSE)</f>
        <v>112.06</v>
      </c>
      <c r="H261" s="1209">
        <f ca="1">VLOOKUP(A261,'銀行-TSS'!A:M,13,FALSE)</f>
        <v>6.0600000000000001E-2</v>
      </c>
      <c r="I261" s="1213">
        <f ca="1">VLOOKUP(A261,'銀行-TSS'!A:N,14,FALSE)</f>
        <v>200000</v>
      </c>
      <c r="J261" s="1213">
        <f ca="1">VLOOKUP(A261,'銀行-TSS'!A:O,15,FALSE)</f>
        <v>1000</v>
      </c>
      <c r="K261" s="136" t="str">
        <f ca="1">VLOOKUP(A261,'銀行-TSS'!A:V,22,FALSE)</f>
        <v>(PI)專投</v>
      </c>
      <c r="L261" s="136" t="str">
        <f ca="1">VLOOKUP(A261,'銀行-TSS'!A:AK,37,FALSE)</f>
        <v>有</v>
      </c>
      <c r="M261" s="136" t="str">
        <f ca="1">VLOOKUP(A261,'銀行-TSS'!A:AN,40,FALSE)</f>
        <v/>
      </c>
      <c r="N261" s="1211">
        <f t="shared" ca="1" si="44"/>
        <v>1120.5999999999999</v>
      </c>
      <c r="O261" s="1211">
        <f t="shared" ca="1" si="45"/>
        <v>224120</v>
      </c>
      <c r="P261" s="1213">
        <f ca="1">IF(AND(換券投組!$D$17&gt;=O261,換券投組!$D$13=D261),I261+INT((換券投組!$D$17-O261)/N261)*J261,0)</f>
        <v>0</v>
      </c>
      <c r="Q261" s="1211">
        <f t="shared" ca="1" si="46"/>
        <v>0</v>
      </c>
      <c r="R261" s="1213">
        <f t="shared" ca="1" si="47"/>
        <v>0</v>
      </c>
      <c r="S261" s="1213">
        <f t="shared" ca="1" si="48"/>
        <v>0</v>
      </c>
      <c r="T261" s="136">
        <f t="shared" ca="1" si="52"/>
        <v>0</v>
      </c>
      <c r="U261" s="861">
        <f t="shared" ca="1" si="53"/>
        <v>0</v>
      </c>
      <c r="V261" s="136" t="b">
        <f ca="1">IF(OR(D261&lt;&gt;"USD",L261="無",M261&lt;&gt;"",K261="高資產",IFERROR(MATCH(B261,換券投組!K:K,0),"N")&lt;&gt;"N",IFERROR(MATCH(B261,換券投組!J:J,0),"N")&lt;&gt;"N"),FALSE,IF($V$1="All",TRUE,IF(K261=$V$1,TRUE,FALSE)))</f>
        <v>1</v>
      </c>
      <c r="W261" s="136">
        <f ca="1">VLOOKUP(A261,'銀行-TSS'!A:AO,41,FALSE)</f>
        <v>107.81</v>
      </c>
      <c r="X261" s="136">
        <f ca="1">VLOOKUP(A261,'銀行-TSS'!A:AP,42,FALSE)</f>
        <v>12.886699999999999</v>
      </c>
      <c r="Y261" s="1223">
        <f t="shared" ca="1" si="49"/>
        <v>0</v>
      </c>
      <c r="Z261" s="1211">
        <f t="shared" ca="1" si="50"/>
        <v>0</v>
      </c>
      <c r="AA261" s="136">
        <f ca="1">IF(Z261&lt;=0,0,RANK(Z261,Z:Z)+COUNTIF($Z$3:$Z261,Z261)-1)</f>
        <v>0</v>
      </c>
      <c r="AB261" s="1211">
        <f t="shared" ca="1" si="54"/>
        <v>0</v>
      </c>
      <c r="AC261" s="136">
        <f ca="1">IF(AB261&lt;=0,0,RANK(AB261,AB:AB)+COUNTIF($AB$3:$AB261,AB261)-1)</f>
        <v>0</v>
      </c>
      <c r="AD261" s="136">
        <f t="shared" ca="1" si="51"/>
        <v>99999</v>
      </c>
      <c r="AE261" s="136">
        <f ca="1">IF(AD261=99999,0,RANK(AD261,AD:AD,1)+COUNTIF($AD$3:$AD261,AD261)-1)</f>
        <v>0</v>
      </c>
    </row>
    <row r="262" spans="1:31">
      <c r="A262" s="141" t="str">
        <f>'銀行-TSS'!A262</f>
        <v>US91087BAX82</v>
      </c>
      <c r="B262" s="151" t="str">
        <f ca="1">VLOOKUP(A262,'銀行-TSS'!A:B,2,FALSE)</f>
        <v>XH600</v>
      </c>
      <c r="C262" s="151" t="str">
        <f ca="1">VLOOKUP(B262,bond!B:C,2,FALSE)</f>
        <v>墨西哥政府美元配息債券 6.338% 2053/5/4</v>
      </c>
      <c r="D262" s="95" t="str">
        <f>VLOOKUP(A262,'銀行-TSS'!A:C,3,FALSE)</f>
        <v>USD</v>
      </c>
      <c r="E262" s="90">
        <f ca="1">VLOOKUP(A262,'銀行-TSS'!A:G,7,FALSE)</f>
        <v>28.84</v>
      </c>
      <c r="F262" s="202">
        <f ca="1">VLOOKUP(A262,'銀行-TSS'!A:H,8,FALSE)</f>
        <v>6.3380000000000006E-2</v>
      </c>
      <c r="G262" s="96">
        <f ca="1">VLOOKUP(A262,'銀行-TSS'!A:K,11,FALSE)</f>
        <v>99.65</v>
      </c>
      <c r="H262" s="1209">
        <f ca="1">VLOOKUP(A262,'銀行-TSS'!A:M,13,FALSE)</f>
        <v>6.4399999999999999E-2</v>
      </c>
      <c r="I262" s="1213">
        <f ca="1">VLOOKUP(A262,'銀行-TSS'!A:N,14,FALSE)</f>
        <v>200000</v>
      </c>
      <c r="J262" s="1213">
        <f ca="1">VLOOKUP(A262,'銀行-TSS'!A:O,15,FALSE)</f>
        <v>1000</v>
      </c>
      <c r="K262" s="136" t="str">
        <f ca="1">VLOOKUP(A262,'銀行-TSS'!A:V,22,FALSE)</f>
        <v>(PI)專投</v>
      </c>
      <c r="L262" s="136" t="str">
        <f ca="1">VLOOKUP(A262,'銀行-TSS'!A:AK,37,FALSE)</f>
        <v>有</v>
      </c>
      <c r="M262" s="136" t="str">
        <f ca="1">VLOOKUP(A262,'銀行-TSS'!A:AN,40,FALSE)</f>
        <v/>
      </c>
      <c r="N262" s="1211">
        <f t="shared" ca="1" si="44"/>
        <v>996.5</v>
      </c>
      <c r="O262" s="1211">
        <f t="shared" ca="1" si="45"/>
        <v>199300</v>
      </c>
      <c r="P262" s="1213">
        <f ca="1">IF(AND(換券投組!$D$17&gt;=O262,換券投組!$D$13=D262),I262+INT((換券投組!$D$17-O262)/N262)*J262,0)</f>
        <v>0</v>
      </c>
      <c r="Q262" s="1211">
        <f t="shared" ca="1" si="46"/>
        <v>0</v>
      </c>
      <c r="R262" s="1213">
        <f t="shared" ca="1" si="47"/>
        <v>0</v>
      </c>
      <c r="S262" s="1213">
        <f t="shared" ca="1" si="48"/>
        <v>0</v>
      </c>
      <c r="T262" s="136">
        <f t="shared" ca="1" si="52"/>
        <v>0</v>
      </c>
      <c r="U262" s="861">
        <f t="shared" ca="1" si="53"/>
        <v>0</v>
      </c>
      <c r="V262" s="136" t="b">
        <f ca="1">IF(OR(D262&lt;&gt;"USD",L262="無",M262&lt;&gt;"",K262="高資產",IFERROR(MATCH(B262,換券投組!K:K,0),"N")&lt;&gt;"N",IFERROR(MATCH(B262,換券投組!J:J,0),"N")&lt;&gt;"N"),FALSE,IF($V$1="All",TRUE,IF(K262=$V$1,TRUE,FALSE)))</f>
        <v>1</v>
      </c>
      <c r="W262" s="136">
        <f ca="1">VLOOKUP(A262,'銀行-TSS'!A:AO,41,FALSE)</f>
        <v>95.13000000000001</v>
      </c>
      <c r="X262" s="136">
        <f ca="1">VLOOKUP(A262,'銀行-TSS'!A:AP,42,FALSE)</f>
        <v>12.755800000000001</v>
      </c>
      <c r="Y262" s="1223">
        <f t="shared" ca="1" si="49"/>
        <v>0</v>
      </c>
      <c r="Z262" s="1211">
        <f t="shared" ca="1" si="50"/>
        <v>0</v>
      </c>
      <c r="AA262" s="136">
        <f ca="1">IF(Z262&lt;=0,0,RANK(Z262,Z:Z)+COUNTIF($Z$3:$Z262,Z262)-1)</f>
        <v>0</v>
      </c>
      <c r="AB262" s="1211">
        <f t="shared" ca="1" si="54"/>
        <v>0</v>
      </c>
      <c r="AC262" s="136">
        <f ca="1">IF(AB262&lt;=0,0,RANK(AB262,AB:AB)+COUNTIF($AB$3:$AB262,AB262)-1)</f>
        <v>0</v>
      </c>
      <c r="AD262" s="136">
        <f t="shared" ca="1" si="51"/>
        <v>99999</v>
      </c>
      <c r="AE262" s="136">
        <f ca="1">IF(AD262=99999,0,RANK(AD262,AD:AD,1)+COUNTIF($AD$3:$AD262,AD262)-1)</f>
        <v>0</v>
      </c>
    </row>
    <row r="263" spans="1:31">
      <c r="A263" s="141" t="str">
        <f>'銀行-TSS'!A263</f>
        <v>US46625HHV50</v>
      </c>
      <c r="B263" s="151" t="str">
        <f ca="1">VLOOKUP(A263,'銀行-TSS'!A:B,2,FALSE)</f>
        <v>XH610</v>
      </c>
      <c r="C263" s="151" t="str">
        <f ca="1">VLOOKUP(B263,bond!B:C,2,FALSE)</f>
        <v>摩根大通銀行美元配息債券 5.5% 2040/10/15</v>
      </c>
      <c r="D263" s="95" t="str">
        <f>VLOOKUP(A263,'銀行-TSS'!A:C,3,FALSE)</f>
        <v>USD</v>
      </c>
      <c r="E263" s="90">
        <f ca="1">VLOOKUP(A263,'銀行-TSS'!A:G,7,FALSE)</f>
        <v>16.29</v>
      </c>
      <c r="F263" s="202">
        <f ca="1">VLOOKUP(A263,'銀行-TSS'!A:H,8,FALSE)</f>
        <v>5.5E-2</v>
      </c>
      <c r="G263" s="96">
        <f ca="1">VLOOKUP(A263,'銀行-TSS'!A:K,11,FALSE)</f>
        <v>104.98</v>
      </c>
      <c r="H263" s="1209">
        <f ca="1">VLOOKUP(A263,'銀行-TSS'!A:M,13,FALSE)</f>
        <v>5.1499999999999997E-2</v>
      </c>
      <c r="I263" s="1213">
        <f ca="1">VLOOKUP(A263,'銀行-TSS'!A:N,14,FALSE)</f>
        <v>10000</v>
      </c>
      <c r="J263" s="1213">
        <f ca="1">VLOOKUP(A263,'銀行-TSS'!A:O,15,FALSE)</f>
        <v>1000</v>
      </c>
      <c r="K263" s="136" t="str">
        <f ca="1">VLOOKUP(A263,'銀行-TSS'!A:V,22,FALSE)</f>
        <v>(PI)專投</v>
      </c>
      <c r="L263" s="136" t="str">
        <f ca="1">VLOOKUP(A263,'銀行-TSS'!A:AK,37,FALSE)</f>
        <v>有</v>
      </c>
      <c r="M263" s="136" t="str">
        <f ca="1">VLOOKUP(A263,'銀行-TSS'!A:AN,40,FALSE)</f>
        <v/>
      </c>
      <c r="N263" s="1211">
        <f t="shared" ca="1" si="44"/>
        <v>1049.8</v>
      </c>
      <c r="O263" s="1211">
        <f t="shared" ca="1" si="45"/>
        <v>10498</v>
      </c>
      <c r="P263" s="1213">
        <f ca="1">IF(AND(換券投組!$D$17&gt;=O263,換券投組!$D$13=D263),I263+INT((換券投組!$D$17-O263)/N263)*J263,0)</f>
        <v>0</v>
      </c>
      <c r="Q263" s="1211">
        <f t="shared" ca="1" si="46"/>
        <v>0</v>
      </c>
      <c r="R263" s="1213">
        <f t="shared" ca="1" si="47"/>
        <v>0</v>
      </c>
      <c r="S263" s="1213">
        <f t="shared" ca="1" si="48"/>
        <v>0</v>
      </c>
      <c r="T263" s="136">
        <f t="shared" ca="1" si="52"/>
        <v>0</v>
      </c>
      <c r="U263" s="861">
        <f t="shared" ca="1" si="53"/>
        <v>0</v>
      </c>
      <c r="V263" s="136" t="b">
        <f ca="1">IF(OR(D263&lt;&gt;"USD",L263="無",M263&lt;&gt;"",K263="高資產",IFERROR(MATCH(B263,換券投組!K:K,0),"N")&lt;&gt;"N",IFERROR(MATCH(B263,換券投組!J:J,0),"N")&lt;&gt;"N"),FALSE,IF($V$1="All",TRUE,IF(K263=$V$1,TRUE,FALSE)))</f>
        <v>1</v>
      </c>
      <c r="W263" s="136">
        <f ca="1">VLOOKUP(A263,'銀行-TSS'!A:AO,41,FALSE)</f>
        <v>101.30000000000001</v>
      </c>
      <c r="X263" s="136">
        <f ca="1">VLOOKUP(A263,'銀行-TSS'!A:AP,42,FALSE)</f>
        <v>10.6053</v>
      </c>
      <c r="Y263" s="1223">
        <f t="shared" ca="1" si="49"/>
        <v>0</v>
      </c>
      <c r="Z263" s="1211">
        <f t="shared" ca="1" si="50"/>
        <v>0</v>
      </c>
      <c r="AA263" s="136">
        <f ca="1">IF(Z263&lt;=0,0,RANK(Z263,Z:Z)+COUNTIF($Z$3:$Z263,Z263)-1)</f>
        <v>0</v>
      </c>
      <c r="AB263" s="1211">
        <f t="shared" ca="1" si="54"/>
        <v>0</v>
      </c>
      <c r="AC263" s="136">
        <f ca="1">IF(AB263&lt;=0,0,RANK(AB263,AB:AB)+COUNTIF($AB$3:$AB263,AB263)-1)</f>
        <v>0</v>
      </c>
      <c r="AD263" s="136">
        <f t="shared" ca="1" si="51"/>
        <v>99999</v>
      </c>
      <c r="AE263" s="136">
        <f ca="1">IF(AD263=99999,0,RANK(AD263,AD:AD,1)+COUNTIF($AD$3:$AD263,AD263)-1)</f>
        <v>0</v>
      </c>
    </row>
    <row r="264" spans="1:31">
      <c r="A264" s="141" t="str">
        <f>'銀行-TSS'!A264</f>
        <v>US46625HJU59</v>
      </c>
      <c r="B264" s="151" t="str">
        <f ca="1">VLOOKUP(A264,'銀行-TSS'!A:B,2,FALSE)</f>
        <v>XH620</v>
      </c>
      <c r="C264" s="151" t="str">
        <f ca="1">VLOOKUP(B264,bond!B:C,2,FALSE)</f>
        <v>摩根大通銀行美元配息債券 4.85% 2044/2/1</v>
      </c>
      <c r="D264" s="95" t="str">
        <f>VLOOKUP(A264,'銀行-TSS'!A:C,3,FALSE)</f>
        <v>USD</v>
      </c>
      <c r="E264" s="90">
        <f ca="1">VLOOKUP(A264,'銀行-TSS'!A:G,7,FALSE)</f>
        <v>19.579999999999998</v>
      </c>
      <c r="F264" s="202">
        <f ca="1">VLOOKUP(A264,'銀行-TSS'!A:H,8,FALSE)</f>
        <v>4.8499999999999995E-2</v>
      </c>
      <c r="G264" s="96">
        <f ca="1">VLOOKUP(A264,'銀行-TSS'!A:K,11,FALSE)</f>
        <v>99.01</v>
      </c>
      <c r="H264" s="1209">
        <f ca="1">VLOOKUP(A264,'銀行-TSS'!A:M,13,FALSE)</f>
        <v>5.0999999999999997E-2</v>
      </c>
      <c r="I264" s="1213">
        <f ca="1">VLOOKUP(A264,'銀行-TSS'!A:N,14,FALSE)</f>
        <v>10000</v>
      </c>
      <c r="J264" s="1213">
        <f ca="1">VLOOKUP(A264,'銀行-TSS'!A:O,15,FALSE)</f>
        <v>1000</v>
      </c>
      <c r="K264" s="136" t="str">
        <f ca="1">VLOOKUP(A264,'銀行-TSS'!A:V,22,FALSE)</f>
        <v>(PI)專投</v>
      </c>
      <c r="L264" s="136" t="str">
        <f ca="1">VLOOKUP(A264,'銀行-TSS'!A:AK,37,FALSE)</f>
        <v>有</v>
      </c>
      <c r="M264" s="136" t="str">
        <f ca="1">VLOOKUP(A264,'銀行-TSS'!A:AN,40,FALSE)</f>
        <v/>
      </c>
      <c r="N264" s="1211">
        <f t="shared" ca="1" si="44"/>
        <v>990.1</v>
      </c>
      <c r="O264" s="1211">
        <f t="shared" ca="1" si="45"/>
        <v>9901</v>
      </c>
      <c r="P264" s="1213">
        <f ca="1">IF(AND(換券投組!$D$17&gt;=O264,換券投組!$D$13=D264),I264+INT((換券投組!$D$17-O264)/N264)*J264,0)</f>
        <v>0</v>
      </c>
      <c r="Q264" s="1211">
        <f t="shared" ca="1" si="46"/>
        <v>0</v>
      </c>
      <c r="R264" s="1213">
        <f t="shared" ca="1" si="47"/>
        <v>0</v>
      </c>
      <c r="S264" s="1213">
        <f t="shared" ca="1" si="48"/>
        <v>0</v>
      </c>
      <c r="T264" s="136">
        <f t="shared" ca="1" si="52"/>
        <v>0</v>
      </c>
      <c r="U264" s="861">
        <f t="shared" ca="1" si="53"/>
        <v>0</v>
      </c>
      <c r="V264" s="136" t="b">
        <f ca="1">IF(OR(D264&lt;&gt;"USD",L264="無",M264&lt;&gt;"",K264="高資產",IFERROR(MATCH(B264,換券投組!K:K,0),"N")&lt;&gt;"N",IFERROR(MATCH(B264,換券投組!J:J,0),"N")&lt;&gt;"N"),FALSE,IF($V$1="All",TRUE,IF(K264=$V$1,TRUE,FALSE)))</f>
        <v>1</v>
      </c>
      <c r="W264" s="136">
        <f ca="1">VLOOKUP(A264,'銀行-TSS'!A:AO,41,FALSE)</f>
        <v>93.98</v>
      </c>
      <c r="X264" s="136">
        <f ca="1">VLOOKUP(A264,'銀行-TSS'!A:AP,42,FALSE)</f>
        <v>12.064</v>
      </c>
      <c r="Y264" s="1223">
        <f t="shared" ca="1" si="49"/>
        <v>0</v>
      </c>
      <c r="Z264" s="1211">
        <f t="shared" ca="1" si="50"/>
        <v>0</v>
      </c>
      <c r="AA264" s="136">
        <f ca="1">IF(Z264&lt;=0,0,RANK(Z264,Z:Z)+COUNTIF($Z$3:$Z264,Z264)-1)</f>
        <v>0</v>
      </c>
      <c r="AB264" s="1211">
        <f t="shared" ca="1" si="54"/>
        <v>0</v>
      </c>
      <c r="AC264" s="136">
        <f ca="1">IF(AB264&lt;=0,0,RANK(AB264,AB:AB)+COUNTIF($AB$3:$AB264,AB264)-1)</f>
        <v>0</v>
      </c>
      <c r="AD264" s="136">
        <f t="shared" ca="1" si="51"/>
        <v>99999</v>
      </c>
      <c r="AE264" s="136">
        <f ca="1">IF(AD264=99999,0,RANK(AD264,AD:AD,1)+COUNTIF($AD$3:$AD264,AD264)-1)</f>
        <v>0</v>
      </c>
    </row>
    <row r="265" spans="1:31">
      <c r="A265" s="141" t="str">
        <f>'銀行-TSS'!A265</f>
        <v>US172967EW71</v>
      </c>
      <c r="B265" s="151" t="str">
        <f ca="1">VLOOKUP(A265,'銀行-TSS'!A:B,2,FALSE)</f>
        <v>XH630</v>
      </c>
      <c r="C265" s="151" t="str">
        <f ca="1">VLOOKUP(B265,bond!B:C,2,FALSE)</f>
        <v>花旗集團美元配息債券 8.125% 2039/7/15</v>
      </c>
      <c r="D265" s="95" t="str">
        <f>VLOOKUP(A265,'銀行-TSS'!A:C,3,FALSE)</f>
        <v>USD</v>
      </c>
      <c r="E265" s="90">
        <f ca="1">VLOOKUP(A265,'銀行-TSS'!A:G,7,FALSE)</f>
        <v>15.03</v>
      </c>
      <c r="F265" s="202">
        <f ca="1">VLOOKUP(A265,'銀行-TSS'!A:H,8,FALSE)</f>
        <v>8.1250000000000003E-2</v>
      </c>
      <c r="G265" s="96">
        <f ca="1">VLOOKUP(A265,'銀行-TSS'!A:K,11,FALSE)</f>
        <v>131.37</v>
      </c>
      <c r="H265" s="1209">
        <f ca="1">VLOOKUP(A265,'銀行-TSS'!A:M,13,FALSE)</f>
        <v>5.4199999999999998E-2</v>
      </c>
      <c r="I265" s="1213">
        <f ca="1">VLOOKUP(A265,'銀行-TSS'!A:N,14,FALSE)</f>
        <v>10000</v>
      </c>
      <c r="J265" s="1213">
        <f ca="1">VLOOKUP(A265,'銀行-TSS'!A:O,15,FALSE)</f>
        <v>1000</v>
      </c>
      <c r="K265" s="136" t="str">
        <f ca="1">VLOOKUP(A265,'銀行-TSS'!A:V,22,FALSE)</f>
        <v>(PI)專投</v>
      </c>
      <c r="L265" s="136" t="str">
        <f ca="1">VLOOKUP(A265,'銀行-TSS'!A:AK,37,FALSE)</f>
        <v>有</v>
      </c>
      <c r="M265" s="136" t="str">
        <f ca="1">VLOOKUP(A265,'銀行-TSS'!A:AN,40,FALSE)</f>
        <v/>
      </c>
      <c r="N265" s="1211">
        <f t="shared" ca="1" si="44"/>
        <v>1313.7</v>
      </c>
      <c r="O265" s="1211">
        <f t="shared" ca="1" si="45"/>
        <v>13137</v>
      </c>
      <c r="P265" s="1213">
        <f ca="1">IF(AND(換券投組!$D$17&gt;=O265,換券投組!$D$13=D265),I265+INT((換券投組!$D$17-O265)/N265)*J265,0)</f>
        <v>0</v>
      </c>
      <c r="Q265" s="1211">
        <f t="shared" ca="1" si="46"/>
        <v>0</v>
      </c>
      <c r="R265" s="1213">
        <f t="shared" ca="1" si="47"/>
        <v>0</v>
      </c>
      <c r="S265" s="1213">
        <f t="shared" ca="1" si="48"/>
        <v>0</v>
      </c>
      <c r="T265" s="136">
        <f t="shared" ca="1" si="52"/>
        <v>0</v>
      </c>
      <c r="U265" s="861">
        <f t="shared" ca="1" si="53"/>
        <v>0</v>
      </c>
      <c r="V265" s="136" t="b">
        <f ca="1">IF(OR(D265&lt;&gt;"USD",L265="無",M265&lt;&gt;"",K265="高資產",IFERROR(MATCH(B265,換券投組!K:K,0),"N")&lt;&gt;"N",IFERROR(MATCH(B265,換券投組!J:J,0),"N")&lt;&gt;"N"),FALSE,IF($V$1="All",TRUE,IF(K265=$V$1,TRUE,FALSE)))</f>
        <v>1</v>
      </c>
      <c r="W265" s="136">
        <f ca="1">VLOOKUP(A265,'銀行-TSS'!A:AO,41,FALSE)</f>
        <v>125.60000000000001</v>
      </c>
      <c r="X265" s="136">
        <f ca="1">VLOOKUP(A265,'銀行-TSS'!A:AP,42,FALSE)</f>
        <v>9.0993999999999993</v>
      </c>
      <c r="Y265" s="1223">
        <f t="shared" ca="1" si="49"/>
        <v>0</v>
      </c>
      <c r="Z265" s="1211">
        <f t="shared" ca="1" si="50"/>
        <v>0</v>
      </c>
      <c r="AA265" s="136">
        <f ca="1">IF(Z265&lt;=0,0,RANK(Z265,Z:Z)+COUNTIF($Z$3:$Z265,Z265)-1)</f>
        <v>0</v>
      </c>
      <c r="AB265" s="1211">
        <f t="shared" ca="1" si="54"/>
        <v>0</v>
      </c>
      <c r="AC265" s="136">
        <f ca="1">IF(AB265&lt;=0,0,RANK(AB265,AB:AB)+COUNTIF($AB$3:$AB265,AB265)-1)</f>
        <v>0</v>
      </c>
      <c r="AD265" s="136">
        <f t="shared" ca="1" si="51"/>
        <v>99999</v>
      </c>
      <c r="AE265" s="136">
        <f ca="1">IF(AD265=99999,0,RANK(AD265,AD:AD,1)+COUNTIF($AD$3:$AD265,AD265)-1)</f>
        <v>0</v>
      </c>
    </row>
    <row r="266" spans="1:31">
      <c r="A266" s="141" t="str">
        <f>'銀行-TSS'!A266</f>
        <v>US478160AT19</v>
      </c>
      <c r="B266" s="151" t="str">
        <f ca="1">VLOOKUP(A266,'銀行-TSS'!A:B,2,FALSE)</f>
        <v>XH640</v>
      </c>
      <c r="C266" s="151" t="str">
        <f ca="1">VLOOKUP(B266,bond!B:C,2,FALSE)</f>
        <v>嬌生公司美元配息債券 5.85% 2038/7/15</v>
      </c>
      <c r="D266" s="95" t="str">
        <f>VLOOKUP(A266,'銀行-TSS'!A:C,3,FALSE)</f>
        <v>USD</v>
      </c>
      <c r="E266" s="90">
        <f ca="1">VLOOKUP(A266,'銀行-TSS'!A:G,7,FALSE)</f>
        <v>14.03</v>
      </c>
      <c r="F266" s="202">
        <f ca="1">VLOOKUP(A266,'銀行-TSS'!A:H,8,FALSE)</f>
        <v>5.8499999999999996E-2</v>
      </c>
      <c r="G266" s="96">
        <f ca="1">VLOOKUP(A266,'銀行-TSS'!A:K,11,FALSE)</f>
        <v>113.49</v>
      </c>
      <c r="H266" s="1209">
        <f ca="1">VLOOKUP(A266,'銀行-TSS'!A:M,13,FALSE)</f>
        <v>4.7899999999999998E-2</v>
      </c>
      <c r="I266" s="1213">
        <f ca="1">VLOOKUP(A266,'銀行-TSS'!A:N,14,FALSE)</f>
        <v>10000</v>
      </c>
      <c r="J266" s="1213">
        <f ca="1">VLOOKUP(A266,'銀行-TSS'!A:O,15,FALSE)</f>
        <v>1000</v>
      </c>
      <c r="K266" s="136" t="str">
        <f ca="1">VLOOKUP(A266,'銀行-TSS'!A:V,22,FALSE)</f>
        <v>(NPI)非專投</v>
      </c>
      <c r="L266" s="136" t="str">
        <f ca="1">VLOOKUP(A266,'銀行-TSS'!A:AK,37,FALSE)</f>
        <v>有</v>
      </c>
      <c r="M266" s="136" t="str">
        <f ca="1">VLOOKUP(A266,'銀行-TSS'!A:AN,40,FALSE)</f>
        <v/>
      </c>
      <c r="N266" s="1211">
        <f t="shared" ref="N266:N290" ca="1" si="55">G266*J266/100</f>
        <v>1134.9000000000001</v>
      </c>
      <c r="O266" s="1211">
        <f t="shared" ref="O266:O290" ca="1" si="56">G266*I266/100</f>
        <v>11349</v>
      </c>
      <c r="P266" s="1213">
        <f ca="1">IF(AND(換券投組!$D$17&gt;=O266,換券投組!$D$13=D266),I266+INT((換券投組!$D$17-O266)/N266)*J266,0)</f>
        <v>0</v>
      </c>
      <c r="Q266" s="1211">
        <f t="shared" ref="Q266:Q290" ca="1" si="57">P266*F266</f>
        <v>0</v>
      </c>
      <c r="R266" s="1213">
        <f t="shared" ref="R266:R290" ca="1" si="58">IF(A266=0,0,IF(V266=FALSE,0,P266))</f>
        <v>0</v>
      </c>
      <c r="S266" s="1213">
        <f t="shared" ref="S266:S290" ca="1" si="59">IF(A266=0,0,IF(V266=FALSE,0,Q266))</f>
        <v>0</v>
      </c>
      <c r="T266" s="136">
        <f t="shared" ca="1" si="52"/>
        <v>0</v>
      </c>
      <c r="U266" s="861">
        <f t="shared" ca="1" si="53"/>
        <v>0</v>
      </c>
      <c r="V266" s="136" t="b">
        <f ca="1">IF(OR(D266&lt;&gt;"USD",L266="無",M266&lt;&gt;"",K266="高資產",IFERROR(MATCH(B266,換券投組!K:K,0),"N")&lt;&gt;"N",IFERROR(MATCH(B266,換券投組!J:J,0),"N")&lt;&gt;"N"),FALSE,IF($V$1="All",TRUE,IF(K266=$V$1,TRUE,FALSE)))</f>
        <v>1</v>
      </c>
      <c r="W266" s="136">
        <f ca="1">VLOOKUP(A266,'銀行-TSS'!A:AO,41,FALSE)</f>
        <v>108.78</v>
      </c>
      <c r="X266" s="136">
        <f ca="1">VLOOKUP(A266,'銀行-TSS'!A:AP,42,FALSE)</f>
        <v>9.4859000000000009</v>
      </c>
      <c r="Y266" s="1223">
        <f t="shared" ref="Y266:Y290" ca="1" si="60">IF(A266=0,0,IF(V266=FALSE,0,IFERROR(W266/100*P266*X266*1%,0)))</f>
        <v>0</v>
      </c>
      <c r="Z266" s="1211">
        <f t="shared" ref="Z266:Z290" ca="1" si="61">IF(A266=0,0,IF(V266=FALSE,0,IF(OR(Q266&lt;$Y$1,E266&lt;5)=FALSE,(Q266-$Q$1)*MIN(3,E266)*(1-MIN(1/(2*E266),1))+IF((P266-$P$1)&lt;0,(P266-$P$1),((P266-$P$1)*MIN(1/(2*E266),1))),0)))</f>
        <v>0</v>
      </c>
      <c r="AA266" s="136">
        <f ca="1">IF(Z266&lt;=0,0,RANK(Z266,Z:Z)+COUNTIF($Z$3:$Z266,Z266)-1)</f>
        <v>0</v>
      </c>
      <c r="AB266" s="1211">
        <f t="shared" ca="1" si="54"/>
        <v>0</v>
      </c>
      <c r="AC266" s="136">
        <f ca="1">IF(AB266&lt;=0,0,RANK(AB266,AB:AB)+COUNTIF($AB$3:$AB266,AB266)-1)</f>
        <v>0</v>
      </c>
      <c r="AD266" s="136">
        <f t="shared" ref="AD266:AD290" ca="1" si="62">IF(A266=0,99999,IF(OR(V266=FALSE,AA266=0,AC266=0),99999,(AC266+AA266)/2))</f>
        <v>99999</v>
      </c>
      <c r="AE266" s="136">
        <f ca="1">IF(AD266=99999,0,RANK(AD266,AD:AD,1)+COUNTIF($AD$3:$AD266,AD266)-1)</f>
        <v>0</v>
      </c>
    </row>
    <row r="267" spans="1:31">
      <c r="A267" s="141" t="str">
        <f>'銀行-TSS'!A267</f>
        <v>US055451BF42</v>
      </c>
      <c r="B267" s="151" t="str">
        <f ca="1">VLOOKUP(A267,'銀行-TSS'!A:B,2,FALSE)</f>
        <v>XH680</v>
      </c>
      <c r="C267" s="151" t="str">
        <f ca="1">VLOOKUP(B267,bond!B:C,2,FALSE)</f>
        <v>必和必拓金融(美國)有限公司美元配息債券 5.5% 2053/9/8</v>
      </c>
      <c r="D267" s="95" t="str">
        <f>VLOOKUP(A267,'銀行-TSS'!A:C,3,FALSE)</f>
        <v>USD</v>
      </c>
      <c r="E267" s="90">
        <f ca="1">VLOOKUP(A267,'銀行-TSS'!A:G,7,FALSE)</f>
        <v>29.19</v>
      </c>
      <c r="F267" s="202">
        <f ca="1">VLOOKUP(A267,'銀行-TSS'!A:H,8,FALSE)</f>
        <v>5.5E-2</v>
      </c>
      <c r="G267" s="96">
        <f ca="1">VLOOKUP(A267,'銀行-TSS'!A:K,11,FALSE)</f>
        <v>105.15</v>
      </c>
      <c r="H267" s="1209">
        <f ca="1">VLOOKUP(A267,'銀行-TSS'!A:M,13,FALSE)</f>
        <v>5.2699999999999997E-2</v>
      </c>
      <c r="I267" s="1213">
        <f ca="1">VLOOKUP(A267,'銀行-TSS'!A:N,14,FALSE)</f>
        <v>10000</v>
      </c>
      <c r="J267" s="1213">
        <f ca="1">VLOOKUP(A267,'銀行-TSS'!A:O,15,FALSE)</f>
        <v>1000</v>
      </c>
      <c r="K267" s="136" t="str">
        <f ca="1">VLOOKUP(A267,'銀行-TSS'!A:V,22,FALSE)</f>
        <v>(NPI)非專投</v>
      </c>
      <c r="L267" s="136" t="str">
        <f ca="1">VLOOKUP(A267,'銀行-TSS'!A:AK,37,FALSE)</f>
        <v>有</v>
      </c>
      <c r="M267" s="136" t="str">
        <f ca="1">VLOOKUP(A267,'銀行-TSS'!A:AN,40,FALSE)</f>
        <v/>
      </c>
      <c r="N267" s="1211">
        <f t="shared" ca="1" si="55"/>
        <v>1051.5</v>
      </c>
      <c r="O267" s="1211">
        <f t="shared" ca="1" si="56"/>
        <v>10515</v>
      </c>
      <c r="P267" s="1213">
        <f ca="1">IF(AND(換券投組!$D$17&gt;=O267,換券投組!$D$13=D267),I267+INT((換券投組!$D$17-O267)/N267)*J267,0)</f>
        <v>0</v>
      </c>
      <c r="Q267" s="1211">
        <f t="shared" ca="1" si="57"/>
        <v>0</v>
      </c>
      <c r="R267" s="1213">
        <f t="shared" ca="1" si="58"/>
        <v>0</v>
      </c>
      <c r="S267" s="1213">
        <f t="shared" ca="1" si="59"/>
        <v>0</v>
      </c>
      <c r="T267" s="136">
        <f t="shared" ca="1" si="52"/>
        <v>0</v>
      </c>
      <c r="U267" s="861">
        <f t="shared" ca="1" si="53"/>
        <v>0</v>
      </c>
      <c r="V267" s="136" t="b">
        <f ca="1">IF(OR(D267&lt;&gt;"USD",L267="無",M267&lt;&gt;"",K267="高資產",IFERROR(MATCH(B267,換券投組!K:K,0),"N")&lt;&gt;"N",IFERROR(MATCH(B267,換券投組!J:J,0),"N")&lt;&gt;"N"),FALSE,IF($V$1="All",TRUE,IF(K267=$V$1,TRUE,FALSE)))</f>
        <v>1</v>
      </c>
      <c r="W267" s="136">
        <f ca="1">VLOOKUP(A267,'銀行-TSS'!A:AO,41,FALSE)</f>
        <v>99.910000000000011</v>
      </c>
      <c r="X267" s="136">
        <f ca="1">VLOOKUP(A267,'銀行-TSS'!A:AP,42,FALSE)</f>
        <v>14.174099999999999</v>
      </c>
      <c r="Y267" s="1223">
        <f t="shared" ca="1" si="60"/>
        <v>0</v>
      </c>
      <c r="Z267" s="1211">
        <f t="shared" ca="1" si="61"/>
        <v>0</v>
      </c>
      <c r="AA267" s="136">
        <f ca="1">IF(Z267&lt;=0,0,RANK(Z267,Z:Z)+COUNTIF($Z$3:$Z267,Z267)-1)</f>
        <v>0</v>
      </c>
      <c r="AB267" s="1211">
        <f t="shared" ca="1" si="54"/>
        <v>0</v>
      </c>
      <c r="AC267" s="136">
        <f ca="1">IF(AB267&lt;=0,0,RANK(AB267,AB:AB)+COUNTIF($AB$3:$AB267,AB267)-1)</f>
        <v>0</v>
      </c>
      <c r="AD267" s="136">
        <f t="shared" ca="1" si="62"/>
        <v>99999</v>
      </c>
      <c r="AE267" s="136">
        <f ca="1">IF(AD267=99999,0,RANK(AD267,AD:AD,1)+COUNTIF($AD$3:$AD267,AD267)-1)</f>
        <v>0</v>
      </c>
    </row>
    <row r="268" spans="1:31">
      <c r="A268" s="141" t="str">
        <f>'銀行-TSS'!A268</f>
        <v>US892331AR09</v>
      </c>
      <c r="B268" s="151" t="str">
        <f ca="1">VLOOKUP(A268,'銀行-TSS'!A:B,2,FALSE)</f>
        <v>XH690</v>
      </c>
      <c r="C268" s="151" t="str">
        <f ca="1">VLOOKUP(B268,bond!B:C,2,FALSE)</f>
        <v>豐田汽車公司美元配息債券 5.123% 2033/7/13</v>
      </c>
      <c r="D268" s="95" t="str">
        <f>VLOOKUP(A268,'銀行-TSS'!A:C,3,FALSE)</f>
        <v>USD</v>
      </c>
      <c r="E268" s="90">
        <f ca="1">VLOOKUP(A268,'銀行-TSS'!A:G,7,FALSE)</f>
        <v>9.0299999999999994</v>
      </c>
      <c r="F268" s="202">
        <f ca="1">VLOOKUP(A268,'銀行-TSS'!A:H,8,FALSE)</f>
        <v>5.1230000000000005E-2</v>
      </c>
      <c r="G268" s="96">
        <f ca="1">VLOOKUP(A268,'銀行-TSS'!A:K,11,FALSE)</f>
        <v>109.18</v>
      </c>
      <c r="H268" s="1209">
        <f ca="1">VLOOKUP(A268,'銀行-TSS'!A:M,13,FALSE)</f>
        <v>4.2099999999999999E-2</v>
      </c>
      <c r="I268" s="1213">
        <f ca="1">VLOOKUP(A268,'銀行-TSS'!A:N,14,FALSE)</f>
        <v>10000</v>
      </c>
      <c r="J268" s="1213">
        <f ca="1">VLOOKUP(A268,'銀行-TSS'!A:O,15,FALSE)</f>
        <v>1000</v>
      </c>
      <c r="K268" s="136" t="str">
        <f ca="1">VLOOKUP(A268,'銀行-TSS'!A:V,22,FALSE)</f>
        <v>(NPI)非專投</v>
      </c>
      <c r="L268" s="136" t="str">
        <f ca="1">VLOOKUP(A268,'銀行-TSS'!A:AK,37,FALSE)</f>
        <v>有</v>
      </c>
      <c r="M268" s="136" t="str">
        <f ca="1">VLOOKUP(A268,'銀行-TSS'!A:AN,40,FALSE)</f>
        <v/>
      </c>
      <c r="N268" s="1211">
        <f t="shared" ca="1" si="55"/>
        <v>1091.8</v>
      </c>
      <c r="O268" s="1211">
        <f t="shared" ca="1" si="56"/>
        <v>10918</v>
      </c>
      <c r="P268" s="1213">
        <f ca="1">IF(AND(換券投組!$D$17&gt;=O268,換券投組!$D$13=D268),I268+INT((換券投組!$D$17-O268)/N268)*J268,0)</f>
        <v>0</v>
      </c>
      <c r="Q268" s="1211">
        <f t="shared" ca="1" si="57"/>
        <v>0</v>
      </c>
      <c r="R268" s="1213">
        <f t="shared" ca="1" si="58"/>
        <v>0</v>
      </c>
      <c r="S268" s="1213">
        <f t="shared" ca="1" si="59"/>
        <v>0</v>
      </c>
      <c r="T268" s="136">
        <f t="shared" ca="1" si="52"/>
        <v>0</v>
      </c>
      <c r="U268" s="861">
        <f t="shared" ca="1" si="53"/>
        <v>0</v>
      </c>
      <c r="V268" s="136" t="b">
        <f ca="1">IF(OR(D268&lt;&gt;"USD",L268="無",M268&lt;&gt;"",K268="高資產",IFERROR(MATCH(B268,換券投組!K:K,0),"N")&lt;&gt;"N",IFERROR(MATCH(B268,換券投組!J:J,0),"N")&lt;&gt;"N"),FALSE,IF($V$1="All",TRUE,IF(K268=$V$1,TRUE,FALSE)))</f>
        <v>1</v>
      </c>
      <c r="W268" s="136">
        <f ca="1">VLOOKUP(A268,'銀行-TSS'!A:AO,41,FALSE)</f>
        <v>104.77000000000001</v>
      </c>
      <c r="X268" s="136">
        <f ca="1">VLOOKUP(A268,'銀行-TSS'!A:AP,42,FALSE)</f>
        <v>6.9105999999999996</v>
      </c>
      <c r="Y268" s="1223">
        <f t="shared" ca="1" si="60"/>
        <v>0</v>
      </c>
      <c r="Z268" s="1211">
        <f t="shared" ca="1" si="61"/>
        <v>0</v>
      </c>
      <c r="AA268" s="136">
        <f ca="1">IF(Z268&lt;=0,0,RANK(Z268,Z:Z)+COUNTIF($Z$3:$Z268,Z268)-1)</f>
        <v>0</v>
      </c>
      <c r="AB268" s="1211">
        <f t="shared" ca="1" si="54"/>
        <v>0</v>
      </c>
      <c r="AC268" s="136">
        <f ca="1">IF(AB268&lt;=0,0,RANK(AB268,AB:AB)+COUNTIF($AB$3:$AB268,AB268)-1)</f>
        <v>0</v>
      </c>
      <c r="AD268" s="136">
        <f t="shared" ca="1" si="62"/>
        <v>99999</v>
      </c>
      <c r="AE268" s="136">
        <f ca="1">IF(AD268=99999,0,RANK(AD268,AD:AD,1)+COUNTIF($AD$3:$AD268,AD268)-1)</f>
        <v>0</v>
      </c>
    </row>
    <row r="269" spans="1:31">
      <c r="A269" s="141" t="str">
        <f>'銀行-TSS'!A269</f>
        <v>US438127AC63</v>
      </c>
      <c r="B269" s="151" t="str">
        <f ca="1">VLOOKUP(A269,'銀行-TSS'!A:B,2,FALSE)</f>
        <v>XH700</v>
      </c>
      <c r="C269" s="151" t="str">
        <f ca="1">VLOOKUP(B269,bond!B:C,2,FALSE)</f>
        <v>本田汽車公司美元配息債券 2.967% 2032/03/10</v>
      </c>
      <c r="D269" s="95" t="str">
        <f>VLOOKUP(A269,'銀行-TSS'!A:C,3,FALSE)</f>
        <v>USD</v>
      </c>
      <c r="E269" s="90">
        <f ca="1">VLOOKUP(A269,'銀行-TSS'!A:G,7,FALSE)</f>
        <v>7.69</v>
      </c>
      <c r="F269" s="202">
        <f ca="1">VLOOKUP(A269,'銀行-TSS'!A:H,8,FALSE)</f>
        <v>2.9670000000000002E-2</v>
      </c>
      <c r="G269" s="96">
        <f ca="1">VLOOKUP(A269,'銀行-TSS'!A:K,11,FALSE)</f>
        <v>91.3</v>
      </c>
      <c r="H269" s="1209">
        <f ca="1">VLOOKUP(A269,'銀行-TSS'!A:M,13,FALSE)</f>
        <v>4.4600000000000001E-2</v>
      </c>
      <c r="I269" s="1213">
        <f ca="1">VLOOKUP(A269,'銀行-TSS'!A:N,14,FALSE)</f>
        <v>10000</v>
      </c>
      <c r="J269" s="1213">
        <f ca="1">VLOOKUP(A269,'銀行-TSS'!A:O,15,FALSE)</f>
        <v>1000</v>
      </c>
      <c r="K269" s="136" t="str">
        <f ca="1">VLOOKUP(A269,'銀行-TSS'!A:V,22,FALSE)</f>
        <v>(NPI)非專投</v>
      </c>
      <c r="L269" s="136" t="str">
        <f ca="1">VLOOKUP(A269,'銀行-TSS'!A:AK,37,FALSE)</f>
        <v>有</v>
      </c>
      <c r="M269" s="136" t="str">
        <f ca="1">VLOOKUP(A269,'銀行-TSS'!A:AN,40,FALSE)</f>
        <v/>
      </c>
      <c r="N269" s="1211">
        <f t="shared" ca="1" si="55"/>
        <v>913</v>
      </c>
      <c r="O269" s="1211">
        <f t="shared" ca="1" si="56"/>
        <v>9130</v>
      </c>
      <c r="P269" s="1213">
        <f ca="1">IF(AND(換券投組!$D$17&gt;=O269,換券投組!$D$13=D269),I269+INT((換券投組!$D$17-O269)/N269)*J269,0)</f>
        <v>0</v>
      </c>
      <c r="Q269" s="1211">
        <f t="shared" ca="1" si="57"/>
        <v>0</v>
      </c>
      <c r="R269" s="1213">
        <f t="shared" ca="1" si="58"/>
        <v>0</v>
      </c>
      <c r="S269" s="1213">
        <f t="shared" ca="1" si="59"/>
        <v>0</v>
      </c>
      <c r="T269" s="136">
        <f t="shared" ca="1" si="52"/>
        <v>0</v>
      </c>
      <c r="U269" s="861">
        <f t="shared" ca="1" si="53"/>
        <v>0</v>
      </c>
      <c r="V269" s="136" t="b">
        <f ca="1">IF(OR(D269&lt;&gt;"USD",L269="無",M269&lt;&gt;"",K269="高資產",IFERROR(MATCH(B269,換券投組!K:K,0),"N")&lt;&gt;"N",IFERROR(MATCH(B269,換券投組!J:J,0),"N")&lt;&gt;"N"),FALSE,IF($V$1="All",TRUE,IF(K269=$V$1,TRUE,FALSE)))</f>
        <v>1</v>
      </c>
      <c r="W269" s="136">
        <f ca="1">VLOOKUP(A269,'銀行-TSS'!A:AO,41,FALSE)</f>
        <v>88.38000000000001</v>
      </c>
      <c r="X269" s="136">
        <f ca="1">VLOOKUP(A269,'銀行-TSS'!A:AP,42,FALSE)</f>
        <v>6.6494999999999997</v>
      </c>
      <c r="Y269" s="1223">
        <f t="shared" ca="1" si="60"/>
        <v>0</v>
      </c>
      <c r="Z269" s="1211">
        <f t="shared" ca="1" si="61"/>
        <v>0</v>
      </c>
      <c r="AA269" s="136">
        <f ca="1">IF(Z269&lt;=0,0,RANK(Z269,Z:Z)+COUNTIF($Z$3:$Z269,Z269)-1)</f>
        <v>0</v>
      </c>
      <c r="AB269" s="1211">
        <f t="shared" ca="1" si="54"/>
        <v>0</v>
      </c>
      <c r="AC269" s="136">
        <f ca="1">IF(AB269&lt;=0,0,RANK(AB269,AB:AB)+COUNTIF($AB$3:$AB269,AB269)-1)</f>
        <v>0</v>
      </c>
      <c r="AD269" s="136">
        <f t="shared" ca="1" si="62"/>
        <v>99999</v>
      </c>
      <c r="AE269" s="136">
        <f ca="1">IF(AD269=99999,0,RANK(AD269,AD:AD,1)+COUNTIF($AD$3:$AD269,AD269)-1)</f>
        <v>0</v>
      </c>
    </row>
    <row r="270" spans="1:31">
      <c r="A270" s="141" t="str">
        <f>'銀行-TSS'!A270</f>
        <v>US02665WER88</v>
      </c>
      <c r="B270" s="151" t="str">
        <f ca="1">VLOOKUP(A270,'銀行-TSS'!A:B,2,FALSE)</f>
        <v>XH710</v>
      </c>
      <c r="C270" s="151" t="str">
        <f ca="1">VLOOKUP(B270,bond!B:C,2,FALSE)</f>
        <v>美國本田金融公司美元配息債券  5.85% 2030/10/04</v>
      </c>
      <c r="D270" s="95" t="str">
        <f>VLOOKUP(A270,'銀行-TSS'!A:C,3,FALSE)</f>
        <v>USD</v>
      </c>
      <c r="E270" s="90">
        <f ca="1">VLOOKUP(A270,'銀行-TSS'!A:G,7,FALSE)</f>
        <v>6.26</v>
      </c>
      <c r="F270" s="202">
        <f ca="1">VLOOKUP(A270,'銀行-TSS'!A:H,8,FALSE)</f>
        <v>5.8499999999999996E-2</v>
      </c>
      <c r="G270" s="96">
        <f ca="1">VLOOKUP(A270,'銀行-TSS'!A:K,11,FALSE)</f>
        <v>107.82</v>
      </c>
      <c r="H270" s="1209">
        <f ca="1">VLOOKUP(A270,'銀行-TSS'!A:M,13,FALSE)</f>
        <v>4.6600000000000003E-2</v>
      </c>
      <c r="I270" s="1213">
        <f ca="1">VLOOKUP(A270,'銀行-TSS'!A:N,14,FALSE)</f>
        <v>10000</v>
      </c>
      <c r="J270" s="1213">
        <f ca="1">VLOOKUP(A270,'銀行-TSS'!A:O,15,FALSE)</f>
        <v>1000</v>
      </c>
      <c r="K270" s="136" t="str">
        <f ca="1">VLOOKUP(A270,'銀行-TSS'!A:V,22,FALSE)</f>
        <v>(NPI)非專投</v>
      </c>
      <c r="L270" s="136" t="str">
        <f ca="1">VLOOKUP(A270,'銀行-TSS'!A:AK,37,FALSE)</f>
        <v>有</v>
      </c>
      <c r="M270" s="136" t="str">
        <f ca="1">VLOOKUP(A270,'銀行-TSS'!A:AN,40,FALSE)</f>
        <v/>
      </c>
      <c r="N270" s="1211">
        <f t="shared" ca="1" si="55"/>
        <v>1078.2</v>
      </c>
      <c r="O270" s="1211">
        <f t="shared" ca="1" si="56"/>
        <v>10782</v>
      </c>
      <c r="P270" s="1213">
        <f ca="1">IF(AND(換券投組!$D$17&gt;=O270,換券投組!$D$13=D270),I270+INT((換券投組!$D$17-O270)/N270)*J270,0)</f>
        <v>0</v>
      </c>
      <c r="Q270" s="1211">
        <f t="shared" ca="1" si="57"/>
        <v>0</v>
      </c>
      <c r="R270" s="1213">
        <f t="shared" ca="1" si="58"/>
        <v>0</v>
      </c>
      <c r="S270" s="1213">
        <f t="shared" ca="1" si="59"/>
        <v>0</v>
      </c>
      <c r="T270" s="136">
        <f t="shared" ca="1" si="52"/>
        <v>0</v>
      </c>
      <c r="U270" s="861">
        <f t="shared" ca="1" si="53"/>
        <v>0</v>
      </c>
      <c r="V270" s="136" t="b">
        <f ca="1">IF(OR(D270&lt;&gt;"USD",L270="無",M270&lt;&gt;"",K270="高資產",IFERROR(MATCH(B270,換券投組!K:K,0),"N")&lt;&gt;"N",IFERROR(MATCH(B270,換券投組!J:J,0),"N")&lt;&gt;"N"),FALSE,IF($V$1="All",TRUE,IF(K270=$V$1,TRUE,FALSE)))</f>
        <v>1</v>
      </c>
      <c r="W270" s="136">
        <f ca="1">VLOOKUP(A270,'銀行-TSS'!A:AO,41,FALSE)</f>
        <v>104.89</v>
      </c>
      <c r="X270" s="136">
        <f ca="1">VLOOKUP(A270,'銀行-TSS'!A:AP,42,FALSE)</f>
        <v>5.1597</v>
      </c>
      <c r="Y270" s="1223">
        <f t="shared" ca="1" si="60"/>
        <v>0</v>
      </c>
      <c r="Z270" s="1211">
        <f t="shared" ca="1" si="61"/>
        <v>0</v>
      </c>
      <c r="AA270" s="136">
        <f ca="1">IF(Z270&lt;=0,0,RANK(Z270,Z:Z)+COUNTIF($Z$3:$Z270,Z270)-1)</f>
        <v>0</v>
      </c>
      <c r="AB270" s="1211">
        <f t="shared" ca="1" si="54"/>
        <v>0</v>
      </c>
      <c r="AC270" s="136">
        <f ca="1">IF(AB270&lt;=0,0,RANK(AB270,AB:AB)+COUNTIF($AB$3:$AB270,AB270)-1)</f>
        <v>0</v>
      </c>
      <c r="AD270" s="136">
        <f t="shared" ca="1" si="62"/>
        <v>99999</v>
      </c>
      <c r="AE270" s="136">
        <f ca="1">IF(AD270=99999,0,RANK(AD270,AD:AD,1)+COUNTIF($AD$3:$AD270,AD270)-1)</f>
        <v>0</v>
      </c>
    </row>
    <row r="271" spans="1:31">
      <c r="A271" s="141" t="str">
        <f>'銀行-TSS'!A271</f>
        <v>US94974BGK08</v>
      </c>
      <c r="B271" s="151" t="str">
        <f ca="1">VLOOKUP(A271,'銀行-TSS'!A:B,2,FALSE)</f>
        <v>XH720</v>
      </c>
      <c r="C271" s="151" t="str">
        <f ca="1">VLOOKUP(B271,bond!B:C,2,FALSE)</f>
        <v>富國銀行美元配息債券 3.9% 2045/05/01</v>
      </c>
      <c r="D271" s="95" t="str">
        <f>VLOOKUP(A271,'銀行-TSS'!A:C,3,FALSE)</f>
        <v>USD</v>
      </c>
      <c r="E271" s="90">
        <f ca="1">VLOOKUP(A271,'銀行-TSS'!A:G,7,FALSE)</f>
        <v>20.83</v>
      </c>
      <c r="F271" s="202">
        <f ca="1">VLOOKUP(A271,'銀行-TSS'!A:H,8,FALSE)</f>
        <v>3.9E-2</v>
      </c>
      <c r="G271" s="96">
        <f ca="1">VLOOKUP(A271,'銀行-TSS'!A:K,11,FALSE)</f>
        <v>83.96</v>
      </c>
      <c r="H271" s="1209">
        <f ca="1">VLOOKUP(A271,'銀行-TSS'!A:M,13,FALSE)</f>
        <v>5.2200000000000003E-2</v>
      </c>
      <c r="I271" s="1213">
        <f ca="1">VLOOKUP(A271,'銀行-TSS'!A:N,14,FALSE)</f>
        <v>10000</v>
      </c>
      <c r="J271" s="1213">
        <f ca="1">VLOOKUP(A271,'銀行-TSS'!A:O,15,FALSE)</f>
        <v>1000</v>
      </c>
      <c r="K271" s="136" t="str">
        <f ca="1">VLOOKUP(A271,'銀行-TSS'!A:V,22,FALSE)</f>
        <v>(PI)專投</v>
      </c>
      <c r="L271" s="136" t="str">
        <f ca="1">VLOOKUP(A271,'銀行-TSS'!A:AK,37,FALSE)</f>
        <v>有</v>
      </c>
      <c r="M271" s="136" t="str">
        <f ca="1">VLOOKUP(A271,'銀行-TSS'!A:AN,40,FALSE)</f>
        <v/>
      </c>
      <c r="N271" s="1211">
        <f t="shared" ca="1" si="55"/>
        <v>839.6</v>
      </c>
      <c r="O271" s="1211">
        <f t="shared" ca="1" si="56"/>
        <v>8395.9999999999982</v>
      </c>
      <c r="P271" s="1213">
        <f ca="1">IF(AND(換券投組!$D$17&gt;=O271,換券投組!$D$13=D271),I271+INT((換券投組!$D$17-O271)/N271)*J271,0)</f>
        <v>0</v>
      </c>
      <c r="Q271" s="1211">
        <f t="shared" ca="1" si="57"/>
        <v>0</v>
      </c>
      <c r="R271" s="1213">
        <f t="shared" ca="1" si="58"/>
        <v>0</v>
      </c>
      <c r="S271" s="1213">
        <f t="shared" ca="1" si="59"/>
        <v>0</v>
      </c>
      <c r="T271" s="136">
        <f t="shared" ca="1" si="52"/>
        <v>0</v>
      </c>
      <c r="U271" s="861">
        <f t="shared" ca="1" si="53"/>
        <v>0</v>
      </c>
      <c r="V271" s="136" t="b">
        <f ca="1">IF(OR(D271&lt;&gt;"USD",L271="無",M271&lt;&gt;"",K271="高資產",IFERROR(MATCH(B271,換券投組!K:K,0),"N")&lt;&gt;"N",IFERROR(MATCH(B271,換券投組!J:J,0),"N")&lt;&gt;"N"),FALSE,IF($V$1="All",TRUE,IF(K271=$V$1,TRUE,FALSE)))</f>
        <v>1</v>
      </c>
      <c r="W271" s="136">
        <f ca="1">VLOOKUP(A271,'銀行-TSS'!A:AO,41,FALSE)</f>
        <v>79.800000000000011</v>
      </c>
      <c r="X271" s="136">
        <f ca="1">VLOOKUP(A271,'銀行-TSS'!A:AP,42,FALSE)</f>
        <v>13.1707</v>
      </c>
      <c r="Y271" s="1223">
        <f t="shared" ca="1" si="60"/>
        <v>0</v>
      </c>
      <c r="Z271" s="1211">
        <f t="shared" ca="1" si="61"/>
        <v>0</v>
      </c>
      <c r="AA271" s="136">
        <f ca="1">IF(Z271&lt;=0,0,RANK(Z271,Z:Z)+COUNTIF($Z$3:$Z271,Z271)-1)</f>
        <v>0</v>
      </c>
      <c r="AB271" s="1211">
        <f t="shared" ca="1" si="54"/>
        <v>0</v>
      </c>
      <c r="AC271" s="136">
        <f ca="1">IF(AB271&lt;=0,0,RANK(AB271,AB:AB)+COUNTIF($AB$3:$AB271,AB271)-1)</f>
        <v>0</v>
      </c>
      <c r="AD271" s="136">
        <f t="shared" ca="1" si="62"/>
        <v>99999</v>
      </c>
      <c r="AE271" s="136">
        <f ca="1">IF(AD271=99999,0,RANK(AD271,AD:AD,1)+COUNTIF($AD$3:$AD271,AD271)-1)</f>
        <v>0</v>
      </c>
    </row>
    <row r="272" spans="1:31">
      <c r="A272" s="141" t="str">
        <f>'銀行-TSS'!A272</f>
        <v>US532457CG18</v>
      </c>
      <c r="B272" s="151" t="str">
        <f ca="1">VLOOKUP(A272,'銀行-TSS'!A:B,2,FALSE)</f>
        <v>XH750</v>
      </c>
      <c r="C272" s="151" t="str">
        <f ca="1">VLOOKUP(B272,bond!B:C,2,FALSE)</f>
        <v>禮來公司美元配息債券 4.875% 2053/2/27</v>
      </c>
      <c r="D272" s="95" t="str">
        <f>VLOOKUP(A272,'銀行-TSS'!A:C,3,FALSE)</f>
        <v>USD</v>
      </c>
      <c r="E272" s="90">
        <f ca="1">VLOOKUP(A272,'銀行-TSS'!A:G,7,FALSE)</f>
        <v>28.66</v>
      </c>
      <c r="F272" s="202">
        <f ca="1">VLOOKUP(A272,'銀行-TSS'!A:H,8,FALSE)</f>
        <v>4.8750000000000002E-2</v>
      </c>
      <c r="G272" s="96">
        <f ca="1">VLOOKUP(A272,'銀行-TSS'!A:K,11,FALSE)</f>
        <v>99.7</v>
      </c>
      <c r="H272" s="1209">
        <f ca="1">VLOOKUP(A272,'銀行-TSS'!A:M,13,FALSE)</f>
        <v>5.0099999999999999E-2</v>
      </c>
      <c r="I272" s="1213">
        <f ca="1">VLOOKUP(A272,'銀行-TSS'!A:N,14,FALSE)</f>
        <v>10000</v>
      </c>
      <c r="J272" s="1213">
        <f ca="1">VLOOKUP(A272,'銀行-TSS'!A:O,15,FALSE)</f>
        <v>1000</v>
      </c>
      <c r="K272" s="136" t="str">
        <f ca="1">VLOOKUP(A272,'銀行-TSS'!A:V,22,FALSE)</f>
        <v>(NPI)非專投</v>
      </c>
      <c r="L272" s="136" t="str">
        <f ca="1">VLOOKUP(A272,'銀行-TSS'!A:AK,37,FALSE)</f>
        <v>有</v>
      </c>
      <c r="M272" s="136" t="str">
        <f ca="1">VLOOKUP(A272,'銀行-TSS'!A:AN,40,FALSE)</f>
        <v/>
      </c>
      <c r="N272" s="1211">
        <f t="shared" ca="1" si="55"/>
        <v>997</v>
      </c>
      <c r="O272" s="1211">
        <f t="shared" ca="1" si="56"/>
        <v>9970</v>
      </c>
      <c r="P272" s="1213">
        <f ca="1">IF(AND(換券投組!$D$17&gt;=O272,換券投組!$D$13=D272),I272+INT((換券投組!$D$17-O272)/N272)*J272,0)</f>
        <v>0</v>
      </c>
      <c r="Q272" s="1211">
        <f t="shared" ca="1" si="57"/>
        <v>0</v>
      </c>
      <c r="R272" s="1213">
        <f t="shared" ca="1" si="58"/>
        <v>0</v>
      </c>
      <c r="S272" s="1213">
        <f t="shared" ca="1" si="59"/>
        <v>0</v>
      </c>
      <c r="T272" s="136">
        <f t="shared" ca="1" si="52"/>
        <v>0</v>
      </c>
      <c r="U272" s="861">
        <f t="shared" ca="1" si="53"/>
        <v>0</v>
      </c>
      <c r="V272" s="136" t="b">
        <f ca="1">IF(OR(D272&lt;&gt;"USD",L272="無",M272&lt;&gt;"",K272="高資產",IFERROR(MATCH(B272,換券投組!K:K,0),"N")&lt;&gt;"N",IFERROR(MATCH(B272,換券投組!J:J,0),"N")&lt;&gt;"N"),FALSE,IF($V$1="All",TRUE,IF(K272=$V$1,TRUE,FALSE)))</f>
        <v>1</v>
      </c>
      <c r="W272" s="136">
        <f ca="1">VLOOKUP(A272,'銀行-TSS'!A:AO,41,FALSE)</f>
        <v>94.51</v>
      </c>
      <c r="X272" s="136">
        <f ca="1">VLOOKUP(A272,'銀行-TSS'!A:AP,42,FALSE)</f>
        <v>14.7681</v>
      </c>
      <c r="Y272" s="1223">
        <f t="shared" ca="1" si="60"/>
        <v>0</v>
      </c>
      <c r="Z272" s="1211">
        <f t="shared" ca="1" si="61"/>
        <v>0</v>
      </c>
      <c r="AA272" s="136">
        <f ca="1">IF(Z272&lt;=0,0,RANK(Z272,Z:Z)+COUNTIF($Z$3:$Z272,Z272)-1)</f>
        <v>0</v>
      </c>
      <c r="AB272" s="1211">
        <f t="shared" ca="1" si="54"/>
        <v>0</v>
      </c>
      <c r="AC272" s="136">
        <f ca="1">IF(AB272&lt;=0,0,RANK(AB272,AB:AB)+COUNTIF($AB$3:$AB272,AB272)-1)</f>
        <v>0</v>
      </c>
      <c r="AD272" s="136">
        <f t="shared" ca="1" si="62"/>
        <v>99999</v>
      </c>
      <c r="AE272" s="136">
        <f ca="1">IF(AD272=99999,0,RANK(AD272,AD:AD,1)+COUNTIF($AD$3:$AD272,AD272)-1)</f>
        <v>0</v>
      </c>
    </row>
    <row r="273" spans="1:31">
      <c r="A273" s="141" t="str">
        <f>'銀行-TSS'!A273</f>
        <v>US023135CH74</v>
      </c>
      <c r="B273" s="151" t="str">
        <f ca="1">VLOOKUP(A273,'銀行-TSS'!A:B,2,FALSE)</f>
        <v>XH760</v>
      </c>
      <c r="C273" s="151" t="str">
        <f ca="1">VLOOKUP(B273,bond!B:C,2,FALSE)</f>
        <v>亞馬遜公司美元配息債券 3.6% 2032/4/13</v>
      </c>
      <c r="D273" s="95" t="str">
        <f>VLOOKUP(A273,'銀行-TSS'!A:C,3,FALSE)</f>
        <v>USD</v>
      </c>
      <c r="E273" s="90">
        <f ca="1">VLOOKUP(A273,'銀行-TSS'!A:G,7,FALSE)</f>
        <v>7.78</v>
      </c>
      <c r="F273" s="202">
        <f ca="1">VLOOKUP(A273,'銀行-TSS'!A:H,8,FALSE)</f>
        <v>3.6000000000000004E-2</v>
      </c>
      <c r="G273" s="96">
        <f ca="1">VLOOKUP(A273,'銀行-TSS'!A:K,11,FALSE)</f>
        <v>94.65</v>
      </c>
      <c r="H273" s="1209">
        <f ca="1">VLOOKUP(A273,'銀行-TSS'!A:M,13,FALSE)</f>
        <v>4.5400000000000003E-2</v>
      </c>
      <c r="I273" s="1213">
        <f ca="1">VLOOKUP(A273,'銀行-TSS'!A:N,14,FALSE)</f>
        <v>10000</v>
      </c>
      <c r="J273" s="1213">
        <f ca="1">VLOOKUP(A273,'銀行-TSS'!A:O,15,FALSE)</f>
        <v>1000</v>
      </c>
      <c r="K273" s="136" t="str">
        <f ca="1">VLOOKUP(A273,'銀行-TSS'!A:V,22,FALSE)</f>
        <v>(NPI)非專投</v>
      </c>
      <c r="L273" s="136" t="str">
        <f ca="1">VLOOKUP(A273,'銀行-TSS'!A:AK,37,FALSE)</f>
        <v>有</v>
      </c>
      <c r="M273" s="136" t="str">
        <f ca="1">VLOOKUP(A273,'銀行-TSS'!A:AN,40,FALSE)</f>
        <v/>
      </c>
      <c r="N273" s="1211">
        <f t="shared" ca="1" si="55"/>
        <v>946.5</v>
      </c>
      <c r="O273" s="1211">
        <f t="shared" ca="1" si="56"/>
        <v>9465</v>
      </c>
      <c r="P273" s="1213">
        <f ca="1">IF(AND(換券投組!$D$17&gt;=O273,換券投組!$D$13=D273),I273+INT((換券投組!$D$17-O273)/N273)*J273,0)</f>
        <v>0</v>
      </c>
      <c r="Q273" s="1211">
        <f t="shared" ca="1" si="57"/>
        <v>0</v>
      </c>
      <c r="R273" s="1213">
        <f t="shared" ca="1" si="58"/>
        <v>0</v>
      </c>
      <c r="S273" s="1213">
        <f t="shared" ca="1" si="59"/>
        <v>0</v>
      </c>
      <c r="T273" s="136">
        <f t="shared" ca="1" si="52"/>
        <v>0</v>
      </c>
      <c r="U273" s="861">
        <f t="shared" ca="1" si="53"/>
        <v>0</v>
      </c>
      <c r="V273" s="136" t="b">
        <f ca="1">IF(OR(D273&lt;&gt;"USD",L273="無",M273&lt;&gt;"",K273="高資產",IFERROR(MATCH(B273,換券投組!K:K,0),"N")&lt;&gt;"N",IFERROR(MATCH(B273,換券投組!J:J,0),"N")&lt;&gt;"N"),FALSE,IF($V$1="All",TRUE,IF(K273=$V$1,TRUE,FALSE)))</f>
        <v>1</v>
      </c>
      <c r="W273" s="136">
        <f ca="1">VLOOKUP(A273,'銀行-TSS'!A:AO,41,FALSE)</f>
        <v>92.36</v>
      </c>
      <c r="X273" s="136">
        <f ca="1">VLOOKUP(A273,'銀行-TSS'!A:AP,42,FALSE)</f>
        <v>6.5997000000000003</v>
      </c>
      <c r="Y273" s="1223">
        <f t="shared" ca="1" si="60"/>
        <v>0</v>
      </c>
      <c r="Z273" s="1211">
        <f t="shared" ca="1" si="61"/>
        <v>0</v>
      </c>
      <c r="AA273" s="136">
        <f ca="1">IF(Z273&lt;=0,0,RANK(Z273,Z:Z)+COUNTIF($Z$3:$Z273,Z273)-1)</f>
        <v>0</v>
      </c>
      <c r="AB273" s="1211">
        <f t="shared" ca="1" si="54"/>
        <v>0</v>
      </c>
      <c r="AC273" s="136">
        <f ca="1">IF(AB273&lt;=0,0,RANK(AB273,AB:AB)+COUNTIF($AB$3:$AB273,AB273)-1)</f>
        <v>0</v>
      </c>
      <c r="AD273" s="136">
        <f t="shared" ca="1" si="62"/>
        <v>99999</v>
      </c>
      <c r="AE273" s="136">
        <f ca="1">IF(AD273=99999,0,RANK(AD273,AD:AD,1)+COUNTIF($AD$3:$AD273,AD273)-1)</f>
        <v>0</v>
      </c>
    </row>
    <row r="274" spans="1:31">
      <c r="A274" s="141" t="str">
        <f>'銀行-TSS'!A274</f>
        <v>US023135CR56</v>
      </c>
      <c r="B274" s="151" t="str">
        <f ca="1">VLOOKUP(A274,'銀行-TSS'!A:B,2,FALSE)</f>
        <v>XH770</v>
      </c>
      <c r="C274" s="151" t="str">
        <f ca="1">VLOOKUP(B274,bond!B:C,2,FALSE)</f>
        <v>亞馬遜公司美元配息債券 4.7% 2032/12/1</v>
      </c>
      <c r="D274" s="95" t="str">
        <f>VLOOKUP(A274,'銀行-TSS'!A:C,3,FALSE)</f>
        <v>USD</v>
      </c>
      <c r="E274" s="90">
        <f ca="1">VLOOKUP(A274,'銀行-TSS'!A:G,7,FALSE)</f>
        <v>8.42</v>
      </c>
      <c r="F274" s="202">
        <f ca="1">VLOOKUP(A274,'銀行-TSS'!A:H,8,FALSE)</f>
        <v>4.7E-2</v>
      </c>
      <c r="G274" s="96">
        <f ca="1">VLOOKUP(A274,'銀行-TSS'!A:K,11,FALSE)</f>
        <v>101.47</v>
      </c>
      <c r="H274" s="1209">
        <f ca="1">VLOOKUP(A274,'銀行-TSS'!A:M,13,FALSE)</f>
        <v>4.5499999999999999E-2</v>
      </c>
      <c r="I274" s="1213">
        <f ca="1">VLOOKUP(A274,'銀行-TSS'!A:N,14,FALSE)</f>
        <v>10000</v>
      </c>
      <c r="J274" s="1213">
        <f ca="1">VLOOKUP(A274,'銀行-TSS'!A:O,15,FALSE)</f>
        <v>1000</v>
      </c>
      <c r="K274" s="136" t="str">
        <f ca="1">VLOOKUP(A274,'銀行-TSS'!A:V,22,FALSE)</f>
        <v>(NPI)非專投</v>
      </c>
      <c r="L274" s="136" t="str">
        <f ca="1">VLOOKUP(A274,'銀行-TSS'!A:AK,37,FALSE)</f>
        <v>有</v>
      </c>
      <c r="M274" s="136" t="str">
        <f ca="1">VLOOKUP(A274,'銀行-TSS'!A:AN,40,FALSE)</f>
        <v/>
      </c>
      <c r="N274" s="1211">
        <f t="shared" ca="1" si="55"/>
        <v>1014.7</v>
      </c>
      <c r="O274" s="1211">
        <f t="shared" ca="1" si="56"/>
        <v>10147</v>
      </c>
      <c r="P274" s="1213">
        <f ca="1">IF(AND(換券投組!$D$17&gt;=O274,換券投組!$D$13=D274),I274+INT((換券投組!$D$17-O274)/N274)*J274,0)</f>
        <v>0</v>
      </c>
      <c r="Q274" s="1211">
        <f t="shared" ca="1" si="57"/>
        <v>0</v>
      </c>
      <c r="R274" s="1213">
        <f t="shared" ca="1" si="58"/>
        <v>0</v>
      </c>
      <c r="S274" s="1213">
        <f t="shared" ca="1" si="59"/>
        <v>0</v>
      </c>
      <c r="T274" s="136">
        <f t="shared" ca="1" si="52"/>
        <v>0</v>
      </c>
      <c r="U274" s="861">
        <f t="shared" ca="1" si="53"/>
        <v>0</v>
      </c>
      <c r="V274" s="136" t="b">
        <f ca="1">IF(OR(D274&lt;&gt;"USD",L274="無",M274&lt;&gt;"",K274="高資產",IFERROR(MATCH(B274,換券投組!K:K,0),"N")&lt;&gt;"N",IFERROR(MATCH(B274,換券投組!J:J,0),"N")&lt;&gt;"N"),FALSE,IF($V$1="All",TRUE,IF(K274=$V$1,TRUE,FALSE)))</f>
        <v>1</v>
      </c>
      <c r="W274" s="136">
        <f ca="1">VLOOKUP(A274,'銀行-TSS'!A:AO,41,FALSE)</f>
        <v>99.570000000000007</v>
      </c>
      <c r="X274" s="136">
        <f ca="1">VLOOKUP(A274,'銀行-TSS'!A:AP,42,FALSE)</f>
        <v>6.8571</v>
      </c>
      <c r="Y274" s="1223">
        <f t="shared" ca="1" si="60"/>
        <v>0</v>
      </c>
      <c r="Z274" s="1211">
        <f t="shared" ca="1" si="61"/>
        <v>0</v>
      </c>
      <c r="AA274" s="136">
        <f ca="1">IF(Z274&lt;=0,0,RANK(Z274,Z:Z)+COUNTIF($Z$3:$Z274,Z274)-1)</f>
        <v>0</v>
      </c>
      <c r="AB274" s="1211">
        <f t="shared" ca="1" si="54"/>
        <v>0</v>
      </c>
      <c r="AC274" s="136">
        <f ca="1">IF(AB274&lt;=0,0,RANK(AB274,AB:AB)+COUNTIF($AB$3:$AB274,AB274)-1)</f>
        <v>0</v>
      </c>
      <c r="AD274" s="136">
        <f t="shared" ca="1" si="62"/>
        <v>99999</v>
      </c>
      <c r="AE274" s="136">
        <f ca="1">IF(AD274=99999,0,RANK(AD274,AD:AD,1)+COUNTIF($AD$3:$AD274,AD274)-1)</f>
        <v>0</v>
      </c>
    </row>
    <row r="275" spans="1:31">
      <c r="A275" s="141" t="str">
        <f>'銀行-TSS'!A275</f>
        <v>XS2747599509</v>
      </c>
      <c r="B275" s="151" t="str">
        <f ca="1">VLOOKUP(A275,'銀行-TSS'!A:B,2,FALSE)</f>
        <v>XH780</v>
      </c>
      <c r="C275" s="151" t="str">
        <f ca="1">VLOOKUP(B275,bond!B:C,2,FALSE)</f>
        <v>沙烏地阿拉伯政府美元配息債券 5.75% 2054/1/16</v>
      </c>
      <c r="D275" s="95" t="str">
        <f>VLOOKUP(A275,'銀行-TSS'!A:C,3,FALSE)</f>
        <v>USD</v>
      </c>
      <c r="E275" s="90">
        <f ca="1">VLOOKUP(A275,'銀行-TSS'!A:G,7,FALSE)</f>
        <v>29.54</v>
      </c>
      <c r="F275" s="202">
        <f ca="1">VLOOKUP(A275,'銀行-TSS'!A:H,8,FALSE)</f>
        <v>5.7500000000000002E-2</v>
      </c>
      <c r="G275" s="96">
        <f ca="1">VLOOKUP(A275,'銀行-TSS'!A:K,11,FALSE)</f>
        <v>103.54</v>
      </c>
      <c r="H275" s="1209">
        <f ca="1">VLOOKUP(A275,'銀行-TSS'!A:M,13,FALSE)</f>
        <v>5.6899999999999999E-2</v>
      </c>
      <c r="I275" s="1213">
        <f ca="1">VLOOKUP(A275,'銀行-TSS'!A:N,14,FALSE)</f>
        <v>200000</v>
      </c>
      <c r="J275" s="1213">
        <f ca="1">VLOOKUP(A275,'銀行-TSS'!A:O,15,FALSE)</f>
        <v>1000</v>
      </c>
      <c r="K275" s="136" t="str">
        <f ca="1">VLOOKUP(A275,'銀行-TSS'!A:V,22,FALSE)</f>
        <v>(NPI)非專投</v>
      </c>
      <c r="L275" s="136" t="str">
        <f ca="1">VLOOKUP(A275,'銀行-TSS'!A:AK,37,FALSE)</f>
        <v>有</v>
      </c>
      <c r="M275" s="136" t="str">
        <f ca="1">VLOOKUP(A275,'銀行-TSS'!A:AN,40,FALSE)</f>
        <v/>
      </c>
      <c r="N275" s="1211">
        <f t="shared" ca="1" si="55"/>
        <v>1035.4000000000001</v>
      </c>
      <c r="O275" s="1211">
        <f t="shared" ca="1" si="56"/>
        <v>207080</v>
      </c>
      <c r="P275" s="1213">
        <f ca="1">IF(AND(換券投組!$D$17&gt;=O275,換券投組!$D$13=D275),I275+INT((換券投組!$D$17-O275)/N275)*J275,0)</f>
        <v>0</v>
      </c>
      <c r="Q275" s="1211">
        <f t="shared" ca="1" si="57"/>
        <v>0</v>
      </c>
      <c r="R275" s="1213">
        <f t="shared" ca="1" si="58"/>
        <v>0</v>
      </c>
      <c r="S275" s="1213">
        <f t="shared" ca="1" si="59"/>
        <v>0</v>
      </c>
      <c r="T275" s="136">
        <f t="shared" ca="1" si="52"/>
        <v>0</v>
      </c>
      <c r="U275" s="861">
        <f t="shared" ca="1" si="53"/>
        <v>0</v>
      </c>
      <c r="V275" s="136" t="b">
        <f ca="1">IF(OR(D275&lt;&gt;"USD",L275="無",M275&lt;&gt;"",K275="高資產",IFERROR(MATCH(B275,換券投組!K:K,0),"N")&lt;&gt;"N",IFERROR(MATCH(B275,換券投組!J:J,0),"N")&lt;&gt;"N"),FALSE,IF($V$1="All",TRUE,IF(K275=$V$1,TRUE,FALSE)))</f>
        <v>1</v>
      </c>
      <c r="W275" s="136">
        <f ca="1">VLOOKUP(A275,'銀行-TSS'!A:AO,41,FALSE)</f>
        <v>97.37</v>
      </c>
      <c r="X275" s="136">
        <f ca="1">VLOOKUP(A275,'銀行-TSS'!A:AP,42,FALSE)</f>
        <v>13.6435</v>
      </c>
      <c r="Y275" s="1223">
        <f t="shared" ca="1" si="60"/>
        <v>0</v>
      </c>
      <c r="Z275" s="1211">
        <f t="shared" ca="1" si="61"/>
        <v>0</v>
      </c>
      <c r="AA275" s="136">
        <f ca="1">IF(Z275&lt;=0,0,RANK(Z275,Z:Z)+COUNTIF($Z$3:$Z275,Z275)-1)</f>
        <v>0</v>
      </c>
      <c r="AB275" s="1211">
        <f t="shared" ca="1" si="54"/>
        <v>0</v>
      </c>
      <c r="AC275" s="136">
        <f ca="1">IF(AB275&lt;=0,0,RANK(AB275,AB:AB)+COUNTIF($AB$3:$AB275,AB275)-1)</f>
        <v>0</v>
      </c>
      <c r="AD275" s="136">
        <f t="shared" ca="1" si="62"/>
        <v>99999</v>
      </c>
      <c r="AE275" s="136">
        <f ca="1">IF(AD275=99999,0,RANK(AD275,AD:AD,1)+COUNTIF($AD$3:$AD275,AD275)-1)</f>
        <v>0</v>
      </c>
    </row>
    <row r="276" spans="1:31">
      <c r="A276" s="141" t="str">
        <f>'銀行-TSS'!A276</f>
        <v>US12189LAS07</v>
      </c>
      <c r="B276" s="151" t="str">
        <f ca="1">VLOOKUP(A276,'銀行-TSS'!A:B,2,FALSE)</f>
        <v>XH800</v>
      </c>
      <c r="C276" s="151" t="str">
        <f ca="1">VLOOKUP(B276,bond!B:C,2,FALSE)</f>
        <v>伯靈頓北方聖塔菲有限責任公司美元配息債券 4.9% 2044/4/1</v>
      </c>
      <c r="D276" s="95" t="str">
        <f>VLOOKUP(A276,'銀行-TSS'!A:C,3,FALSE)</f>
        <v>USD</v>
      </c>
      <c r="E276" s="90">
        <f ca="1">VLOOKUP(A276,'銀行-TSS'!A:G,7,FALSE)</f>
        <v>19.75</v>
      </c>
      <c r="F276" s="202">
        <f ca="1">VLOOKUP(A276,'銀行-TSS'!A:H,8,FALSE)</f>
        <v>4.9000000000000002E-2</v>
      </c>
      <c r="G276" s="96">
        <f ca="1">VLOOKUP(A276,'銀行-TSS'!A:K,11,FALSE)</f>
        <v>97.31</v>
      </c>
      <c r="H276" s="1209">
        <f ca="1">VLOOKUP(A276,'銀行-TSS'!A:M,13,FALSE)</f>
        <v>5.2200000000000003E-2</v>
      </c>
      <c r="I276" s="1213">
        <f ca="1">VLOOKUP(A276,'銀行-TSS'!A:N,14,FALSE)</f>
        <v>10000</v>
      </c>
      <c r="J276" s="1213">
        <f ca="1">VLOOKUP(A276,'銀行-TSS'!A:O,15,FALSE)</f>
        <v>1000</v>
      </c>
      <c r="K276" s="136" t="str">
        <f ca="1">VLOOKUP(A276,'銀行-TSS'!A:V,22,FALSE)</f>
        <v>(NPI)非專投</v>
      </c>
      <c r="L276" s="136" t="str">
        <f ca="1">VLOOKUP(A276,'銀行-TSS'!A:AK,37,FALSE)</f>
        <v>有</v>
      </c>
      <c r="M276" s="136" t="str">
        <f ca="1">VLOOKUP(A276,'銀行-TSS'!A:AN,40,FALSE)</f>
        <v/>
      </c>
      <c r="N276" s="1211">
        <f t="shared" ca="1" si="55"/>
        <v>973.1</v>
      </c>
      <c r="O276" s="1211">
        <f t="shared" ca="1" si="56"/>
        <v>9731</v>
      </c>
      <c r="P276" s="1213">
        <f ca="1">IF(AND(換券投組!$D$17&gt;=O276,換券投組!$D$13=D276),I276+INT((換券投組!$D$17-O276)/N276)*J276,0)</f>
        <v>0</v>
      </c>
      <c r="Q276" s="1211">
        <f t="shared" ca="1" si="57"/>
        <v>0</v>
      </c>
      <c r="R276" s="1213">
        <f t="shared" ca="1" si="58"/>
        <v>0</v>
      </c>
      <c r="S276" s="1213">
        <f t="shared" ca="1" si="59"/>
        <v>0</v>
      </c>
      <c r="T276" s="136">
        <f t="shared" ca="1" si="52"/>
        <v>0</v>
      </c>
      <c r="U276" s="861">
        <f t="shared" ca="1" si="53"/>
        <v>0</v>
      </c>
      <c r="V276" s="136" t="b">
        <f ca="1">IF(OR(D276&lt;&gt;"USD",L276="無",M276&lt;&gt;"",K276="高資產",IFERROR(MATCH(B276,換券投組!K:K,0),"N")&lt;&gt;"N",IFERROR(MATCH(B276,換券投組!J:J,0),"N")&lt;&gt;"N"),FALSE,IF($V$1="All",TRUE,IF(K276=$V$1,TRUE,FALSE)))</f>
        <v>1</v>
      </c>
      <c r="W276" s="136">
        <f ca="1">VLOOKUP(A276,'銀行-TSS'!A:AO,41,FALSE)</f>
        <v>93.070000000000007</v>
      </c>
      <c r="X276" s="136">
        <f ca="1">VLOOKUP(A276,'銀行-TSS'!A:AP,42,FALSE)</f>
        <v>12.144299999999999</v>
      </c>
      <c r="Y276" s="1223">
        <f t="shared" ca="1" si="60"/>
        <v>0</v>
      </c>
      <c r="Z276" s="1211">
        <f t="shared" ca="1" si="61"/>
        <v>0</v>
      </c>
      <c r="AA276" s="136">
        <f ca="1">IF(Z276&lt;=0,0,RANK(Z276,Z:Z)+COUNTIF($Z$3:$Z276,Z276)-1)</f>
        <v>0</v>
      </c>
      <c r="AB276" s="1211">
        <f t="shared" ca="1" si="54"/>
        <v>0</v>
      </c>
      <c r="AC276" s="136">
        <f ca="1">IF(AB276&lt;=0,0,RANK(AB276,AB:AB)+COUNTIF($AB$3:$AB276,AB276)-1)</f>
        <v>0</v>
      </c>
      <c r="AD276" s="136">
        <f t="shared" ca="1" si="62"/>
        <v>99999</v>
      </c>
      <c r="AE276" s="136">
        <f ca="1">IF(AD276=99999,0,RANK(AD276,AD:AD,1)+COUNTIF($AD$3:$AD276,AD276)-1)</f>
        <v>0</v>
      </c>
    </row>
    <row r="277" spans="1:31">
      <c r="A277" s="141" t="str">
        <f>'銀行-TSS'!A277</f>
        <v>US88579YBC49</v>
      </c>
      <c r="B277" s="151" t="str">
        <f ca="1">VLOOKUP(A277,'銀行-TSS'!A:B,2,FALSE)</f>
        <v>XH810</v>
      </c>
      <c r="C277" s="151" t="str">
        <f ca="1">VLOOKUP(B277,bond!B:C,2,FALSE)</f>
        <v>3M公司美元配息債券 3.625% 2028/9/14</v>
      </c>
      <c r="D277" s="95" t="str">
        <f>VLOOKUP(A277,'銀行-TSS'!A:C,3,FALSE)</f>
        <v>USD</v>
      </c>
      <c r="E277" s="90">
        <f ca="1">VLOOKUP(A277,'銀行-TSS'!A:G,7,FALSE)</f>
        <v>4.2</v>
      </c>
      <c r="F277" s="202">
        <f ca="1">VLOOKUP(A277,'銀行-TSS'!A:H,8,FALSE)</f>
        <v>3.6249999999999998E-2</v>
      </c>
      <c r="G277" s="96">
        <f ca="1">VLOOKUP(A277,'銀行-TSS'!A:K,11,FALSE)</f>
        <v>97.62</v>
      </c>
      <c r="H277" s="1209">
        <f ca="1">VLOOKUP(A277,'銀行-TSS'!A:M,13,FALSE)</f>
        <v>4.5400000000000003E-2</v>
      </c>
      <c r="I277" s="1213">
        <f ca="1">VLOOKUP(A277,'銀行-TSS'!A:N,14,FALSE)</f>
        <v>10000</v>
      </c>
      <c r="J277" s="1213">
        <f ca="1">VLOOKUP(A277,'銀行-TSS'!A:O,15,FALSE)</f>
        <v>1000</v>
      </c>
      <c r="K277" s="136" t="str">
        <f ca="1">VLOOKUP(A277,'銀行-TSS'!A:V,22,FALSE)</f>
        <v>(NPI)非專投</v>
      </c>
      <c r="L277" s="136" t="str">
        <f ca="1">VLOOKUP(A277,'銀行-TSS'!A:AK,37,FALSE)</f>
        <v>有</v>
      </c>
      <c r="M277" s="136" t="str">
        <f ca="1">VLOOKUP(A277,'銀行-TSS'!A:AN,40,FALSE)</f>
        <v/>
      </c>
      <c r="N277" s="1211">
        <f t="shared" ca="1" si="55"/>
        <v>976.2</v>
      </c>
      <c r="O277" s="1211">
        <f t="shared" ca="1" si="56"/>
        <v>9762</v>
      </c>
      <c r="P277" s="1213">
        <f ca="1">IF(AND(換券投組!$D$17&gt;=O277,換券投組!$D$13=D277),I277+INT((換券投組!$D$17-O277)/N277)*J277,0)</f>
        <v>0</v>
      </c>
      <c r="Q277" s="1211">
        <f t="shared" ca="1" si="57"/>
        <v>0</v>
      </c>
      <c r="R277" s="1213">
        <f t="shared" ca="1" si="58"/>
        <v>0</v>
      </c>
      <c r="S277" s="1213">
        <f t="shared" ca="1" si="59"/>
        <v>0</v>
      </c>
      <c r="T277" s="136">
        <f t="shared" ca="1" si="52"/>
        <v>0</v>
      </c>
      <c r="U277" s="861">
        <f t="shared" ca="1" si="53"/>
        <v>0</v>
      </c>
      <c r="V277" s="136" t="b">
        <f ca="1">IF(OR(D277&lt;&gt;"USD",L277="無",M277&lt;&gt;"",K277="高資產",IFERROR(MATCH(B277,換券投組!K:K,0),"N")&lt;&gt;"N",IFERROR(MATCH(B277,換券投組!J:J,0),"N")&lt;&gt;"N"),FALSE,IF($V$1="All",TRUE,IF(K277=$V$1,TRUE,FALSE)))</f>
        <v>1</v>
      </c>
      <c r="W277" s="136">
        <f ca="1">VLOOKUP(A277,'銀行-TSS'!A:AO,41,FALSE)</f>
        <v>95.03</v>
      </c>
      <c r="X277" s="136">
        <f ca="1">VLOOKUP(A277,'銀行-TSS'!A:AP,42,FALSE)</f>
        <v>3.7919</v>
      </c>
      <c r="Y277" s="1223">
        <f t="shared" ca="1" si="60"/>
        <v>0</v>
      </c>
      <c r="Z277" s="1211">
        <f t="shared" ca="1" si="61"/>
        <v>0</v>
      </c>
      <c r="AA277" s="136">
        <f ca="1">IF(Z277&lt;=0,0,RANK(Z277,Z:Z)+COUNTIF($Z$3:$Z277,Z277)-1)</f>
        <v>0</v>
      </c>
      <c r="AB277" s="1211">
        <f t="shared" ca="1" si="54"/>
        <v>0</v>
      </c>
      <c r="AC277" s="136">
        <f ca="1">IF(AB277&lt;=0,0,RANK(AB277,AB:AB)+COUNTIF($AB$3:$AB277,AB277)-1)</f>
        <v>0</v>
      </c>
      <c r="AD277" s="136">
        <f t="shared" ca="1" si="62"/>
        <v>99999</v>
      </c>
      <c r="AE277" s="136">
        <f ca="1">IF(AD277=99999,0,RANK(AD277,AD:AD,1)+COUNTIF($AD$3:$AD277,AD277)-1)</f>
        <v>0</v>
      </c>
    </row>
    <row r="278" spans="1:31">
      <c r="A278" s="141" t="str">
        <f>'銀行-TSS'!A278</f>
        <v>US88579YBN04</v>
      </c>
      <c r="B278" s="151" t="str">
        <f ca="1">VLOOKUP(A278,'銀行-TSS'!A:B,2,FALSE)</f>
        <v>XH820</v>
      </c>
      <c r="C278" s="151" t="str">
        <f ca="1">VLOOKUP(B278,bond!B:C,2,FALSE)</f>
        <v>3M公司美元配息債券 3.05% 2030/4/15</v>
      </c>
      <c r="D278" s="95" t="str">
        <f>VLOOKUP(A278,'銀行-TSS'!A:C,3,FALSE)</f>
        <v>USD</v>
      </c>
      <c r="E278" s="90">
        <f ca="1">VLOOKUP(A278,'銀行-TSS'!A:G,7,FALSE)</f>
        <v>5.79</v>
      </c>
      <c r="F278" s="202">
        <f ca="1">VLOOKUP(A278,'銀行-TSS'!A:H,8,FALSE)</f>
        <v>3.0499999999999999E-2</v>
      </c>
      <c r="G278" s="96">
        <f ca="1">VLOOKUP(A278,'銀行-TSS'!A:K,11,FALSE)</f>
        <v>92.34</v>
      </c>
      <c r="H278" s="1209">
        <f ca="1">VLOOKUP(A278,'銀行-TSS'!A:M,13,FALSE)</f>
        <v>4.7100000000000003E-2</v>
      </c>
      <c r="I278" s="1213">
        <f ca="1">VLOOKUP(A278,'銀行-TSS'!A:N,14,FALSE)</f>
        <v>10000</v>
      </c>
      <c r="J278" s="1213">
        <f ca="1">VLOOKUP(A278,'銀行-TSS'!A:O,15,FALSE)</f>
        <v>1000</v>
      </c>
      <c r="K278" s="136" t="str">
        <f ca="1">VLOOKUP(A278,'銀行-TSS'!A:V,22,FALSE)</f>
        <v>(NPI)非專投</v>
      </c>
      <c r="L278" s="136" t="str">
        <f ca="1">VLOOKUP(A278,'銀行-TSS'!A:AK,37,FALSE)</f>
        <v>有</v>
      </c>
      <c r="M278" s="136" t="str">
        <f ca="1">VLOOKUP(A278,'銀行-TSS'!A:AN,40,FALSE)</f>
        <v/>
      </c>
      <c r="N278" s="1211">
        <f t="shared" ca="1" si="55"/>
        <v>923.4</v>
      </c>
      <c r="O278" s="1211">
        <f t="shared" ca="1" si="56"/>
        <v>9234</v>
      </c>
      <c r="P278" s="1213">
        <f ca="1">IF(AND(換券投組!$D$17&gt;=O278,換券投組!$D$13=D278),I278+INT((換券投組!$D$17-O278)/N278)*J278,0)</f>
        <v>0</v>
      </c>
      <c r="Q278" s="1211">
        <f t="shared" ca="1" si="57"/>
        <v>0</v>
      </c>
      <c r="R278" s="1213">
        <f t="shared" ca="1" si="58"/>
        <v>0</v>
      </c>
      <c r="S278" s="1213">
        <f t="shared" ca="1" si="59"/>
        <v>0</v>
      </c>
      <c r="T278" s="136">
        <f t="shared" ca="1" si="52"/>
        <v>0</v>
      </c>
      <c r="U278" s="861">
        <f t="shared" ca="1" si="53"/>
        <v>0</v>
      </c>
      <c r="V278" s="136" t="b">
        <f ca="1">IF(OR(D278&lt;&gt;"USD",L278="無",M278&lt;&gt;"",K278="高資產",IFERROR(MATCH(B278,換券投組!K:K,0),"N")&lt;&gt;"N",IFERROR(MATCH(B278,換券投組!J:J,0),"N")&lt;&gt;"N"),FALSE,IF($V$1="All",TRUE,IF(K278=$V$1,TRUE,FALSE)))</f>
        <v>1</v>
      </c>
      <c r="W278" s="136">
        <f ca="1">VLOOKUP(A278,'銀行-TSS'!A:AO,41,FALSE)</f>
        <v>90.190000000000012</v>
      </c>
      <c r="X278" s="136">
        <f ca="1">VLOOKUP(A278,'銀行-TSS'!A:AP,42,FALSE)</f>
        <v>5.1563999999999997</v>
      </c>
      <c r="Y278" s="1223">
        <f t="shared" ca="1" si="60"/>
        <v>0</v>
      </c>
      <c r="Z278" s="1211">
        <f t="shared" ca="1" si="61"/>
        <v>0</v>
      </c>
      <c r="AA278" s="136">
        <f ca="1">IF(Z278&lt;=0,0,RANK(Z278,Z:Z)+COUNTIF($Z$3:$Z278,Z278)-1)</f>
        <v>0</v>
      </c>
      <c r="AB278" s="1211">
        <f t="shared" ca="1" si="54"/>
        <v>0</v>
      </c>
      <c r="AC278" s="136">
        <f ca="1">IF(AB278&lt;=0,0,RANK(AB278,AB:AB)+COUNTIF($AB$3:$AB278,AB278)-1)</f>
        <v>0</v>
      </c>
      <c r="AD278" s="136">
        <f t="shared" ca="1" si="62"/>
        <v>99999</v>
      </c>
      <c r="AE278" s="136">
        <f ca="1">IF(AD278=99999,0,RANK(AD278,AD:AD,1)+COUNTIF($AD$3:$AD278,AD278)-1)</f>
        <v>0</v>
      </c>
    </row>
    <row r="279" spans="1:31">
      <c r="A279" s="141" t="str">
        <f>'銀行-TSS'!A279</f>
        <v>US038222AM71</v>
      </c>
      <c r="B279" s="151" t="str">
        <f ca="1">VLOOKUP(A279,'銀行-TSS'!A:B,2,FALSE)</f>
        <v>XH830</v>
      </c>
      <c r="C279" s="151" t="str">
        <f ca="1">VLOOKUP(B279,bond!B:C,2,FALSE)</f>
        <v>應用材料公司美元配息債券 4.35% 2047/4/1</v>
      </c>
      <c r="D279" s="95" t="str">
        <f>VLOOKUP(A279,'銀行-TSS'!A:C,3,FALSE)</f>
        <v>USD</v>
      </c>
      <c r="E279" s="90">
        <f ca="1">VLOOKUP(A279,'銀行-TSS'!A:G,7,FALSE)</f>
        <v>22.75</v>
      </c>
      <c r="F279" s="202">
        <f ca="1">VLOOKUP(A279,'銀行-TSS'!A:H,8,FALSE)</f>
        <v>4.3499999999999997E-2</v>
      </c>
      <c r="G279" s="96">
        <f ca="1">VLOOKUP(A279,'銀行-TSS'!A:K,11,FALSE)</f>
        <v>92.62</v>
      </c>
      <c r="H279" s="1209">
        <f ca="1">VLOOKUP(A279,'銀行-TSS'!A:M,13,FALSE)</f>
        <v>4.9799999999999997E-2</v>
      </c>
      <c r="I279" s="1213">
        <f ca="1">VLOOKUP(A279,'銀行-TSS'!A:N,14,FALSE)</f>
        <v>10000</v>
      </c>
      <c r="J279" s="1213">
        <f ca="1">VLOOKUP(A279,'銀行-TSS'!A:O,15,FALSE)</f>
        <v>1000</v>
      </c>
      <c r="K279" s="136" t="str">
        <f ca="1">VLOOKUP(A279,'銀行-TSS'!A:V,22,FALSE)</f>
        <v>(NPI)非專投</v>
      </c>
      <c r="L279" s="136" t="str">
        <f ca="1">VLOOKUP(A279,'銀行-TSS'!A:AK,37,FALSE)</f>
        <v>有</v>
      </c>
      <c r="M279" s="136" t="str">
        <f ca="1">VLOOKUP(A279,'銀行-TSS'!A:AN,40,FALSE)</f>
        <v/>
      </c>
      <c r="N279" s="1211">
        <f t="shared" ca="1" si="55"/>
        <v>926.2</v>
      </c>
      <c r="O279" s="1211">
        <f t="shared" ca="1" si="56"/>
        <v>9262</v>
      </c>
      <c r="P279" s="1213">
        <f ca="1">IF(AND(換券投組!$D$17&gt;=O279,換券投組!$D$13=D279),I279+INT((換券投組!$D$17-O279)/N279)*J279,0)</f>
        <v>0</v>
      </c>
      <c r="Q279" s="1211">
        <f t="shared" ca="1" si="57"/>
        <v>0</v>
      </c>
      <c r="R279" s="1213">
        <f t="shared" ca="1" si="58"/>
        <v>0</v>
      </c>
      <c r="S279" s="1213">
        <f t="shared" ca="1" si="59"/>
        <v>0</v>
      </c>
      <c r="T279" s="136">
        <f t="shared" ca="1" si="52"/>
        <v>0</v>
      </c>
      <c r="U279" s="861">
        <f t="shared" ca="1" si="53"/>
        <v>0</v>
      </c>
      <c r="V279" s="136" t="b">
        <f ca="1">IF(OR(D279&lt;&gt;"USD",L279="無",M279&lt;&gt;"",K279="高資產",IFERROR(MATCH(B279,換券投組!K:K,0),"N")&lt;&gt;"N",IFERROR(MATCH(B279,換券投組!J:J,0),"N")&lt;&gt;"N"),FALSE,IF($V$1="All",TRUE,IF(K279=$V$1,TRUE,FALSE)))</f>
        <v>1</v>
      </c>
      <c r="W279" s="136">
        <f ca="1">VLOOKUP(A279,'銀行-TSS'!A:AO,41,FALSE)</f>
        <v>88.02000000000001</v>
      </c>
      <c r="X279" s="136">
        <f ca="1">VLOOKUP(A279,'銀行-TSS'!A:AP,42,FALSE)</f>
        <v>13.610300000000001</v>
      </c>
      <c r="Y279" s="1223">
        <f t="shared" ca="1" si="60"/>
        <v>0</v>
      </c>
      <c r="Z279" s="1211">
        <f t="shared" ca="1" si="61"/>
        <v>0</v>
      </c>
      <c r="AA279" s="136">
        <f ca="1">IF(Z279&lt;=0,0,RANK(Z279,Z:Z)+COUNTIF($Z$3:$Z279,Z279)-1)</f>
        <v>0</v>
      </c>
      <c r="AB279" s="1211">
        <f t="shared" ca="1" si="54"/>
        <v>0</v>
      </c>
      <c r="AC279" s="136">
        <f ca="1">IF(AB279&lt;=0,0,RANK(AB279,AB:AB)+COUNTIF($AB$3:$AB279,AB279)-1)</f>
        <v>0</v>
      </c>
      <c r="AD279" s="136">
        <f t="shared" ca="1" si="62"/>
        <v>99999</v>
      </c>
      <c r="AE279" s="136">
        <f ca="1">IF(AD279=99999,0,RANK(AD279,AD:AD,1)+COUNTIF($AD$3:$AD279,AD279)-1)</f>
        <v>0</v>
      </c>
    </row>
    <row r="280" spans="1:31">
      <c r="A280" s="141" t="str">
        <f>'銀行-TSS'!A280</f>
        <v>US459200HF10</v>
      </c>
      <c r="B280" s="151" t="str">
        <f ca="1">VLOOKUP(A280,'銀行-TSS'!A:B,2,FALSE)</f>
        <v>XH840</v>
      </c>
      <c r="C280" s="151" t="str">
        <f ca="1">VLOOKUP(B280,bond!B:C,2,FALSE)</f>
        <v>國際商業機器公司美元配息債券 4% 2042/6/20</v>
      </c>
      <c r="D280" s="95" t="str">
        <f>VLOOKUP(A280,'銀行-TSS'!A:C,3,FALSE)</f>
        <v>USD</v>
      </c>
      <c r="E280" s="90">
        <f ca="1">VLOOKUP(A280,'銀行-TSS'!A:G,7,FALSE)</f>
        <v>17.97</v>
      </c>
      <c r="F280" s="202">
        <f ca="1">VLOOKUP(A280,'銀行-TSS'!A:H,8,FALSE)</f>
        <v>0.04</v>
      </c>
      <c r="G280" s="96">
        <f ca="1">VLOOKUP(A280,'銀行-TSS'!A:K,11,FALSE)</f>
        <v>85.49</v>
      </c>
      <c r="H280" s="1209">
        <f ca="1">VLOOKUP(A280,'銀行-TSS'!A:M,13,FALSE)</f>
        <v>5.2699999999999997E-2</v>
      </c>
      <c r="I280" s="1213">
        <f ca="1">VLOOKUP(A280,'銀行-TSS'!A:N,14,FALSE)</f>
        <v>10000</v>
      </c>
      <c r="J280" s="1213">
        <f ca="1">VLOOKUP(A280,'銀行-TSS'!A:O,15,FALSE)</f>
        <v>1000</v>
      </c>
      <c r="K280" s="136" t="str">
        <f ca="1">VLOOKUP(A280,'銀行-TSS'!A:V,22,FALSE)</f>
        <v>(NPI)非專投</v>
      </c>
      <c r="L280" s="136" t="str">
        <f ca="1">VLOOKUP(A280,'銀行-TSS'!A:AK,37,FALSE)</f>
        <v>有</v>
      </c>
      <c r="M280" s="136" t="str">
        <f ca="1">VLOOKUP(A280,'銀行-TSS'!A:AN,40,FALSE)</f>
        <v/>
      </c>
      <c r="N280" s="1211">
        <f t="shared" ca="1" si="55"/>
        <v>854.9</v>
      </c>
      <c r="O280" s="1211">
        <f t="shared" ca="1" si="56"/>
        <v>8549</v>
      </c>
      <c r="P280" s="1213">
        <f ca="1">IF(AND(換券投組!$D$17&gt;=O280,換券投組!$D$13=D280),I280+INT((換券投組!$D$17-O280)/N280)*J280,0)</f>
        <v>0</v>
      </c>
      <c r="Q280" s="1211">
        <f t="shared" ca="1" si="57"/>
        <v>0</v>
      </c>
      <c r="R280" s="1213">
        <f t="shared" ca="1" si="58"/>
        <v>0</v>
      </c>
      <c r="S280" s="1213">
        <f t="shared" ca="1" si="59"/>
        <v>0</v>
      </c>
      <c r="T280" s="136">
        <f t="shared" ca="1" si="52"/>
        <v>0</v>
      </c>
      <c r="U280" s="861">
        <f t="shared" ca="1" si="53"/>
        <v>0</v>
      </c>
      <c r="V280" s="136" t="b">
        <f ca="1">IF(OR(D280&lt;&gt;"USD",L280="無",M280&lt;&gt;"",K280="高資產",IFERROR(MATCH(B280,換券投組!K:K,0),"N")&lt;&gt;"N",IFERROR(MATCH(B280,換券投組!J:J,0),"N")&lt;&gt;"N"),FALSE,IF($V$1="All",TRUE,IF(K280=$V$1,TRUE,FALSE)))</f>
        <v>1</v>
      </c>
      <c r="W280" s="136">
        <f ca="1">VLOOKUP(A280,'銀行-TSS'!A:AO,41,FALSE)</f>
        <v>82.36</v>
      </c>
      <c r="X280" s="136">
        <f ca="1">VLOOKUP(A280,'銀行-TSS'!A:AP,42,FALSE)</f>
        <v>12.084300000000001</v>
      </c>
      <c r="Y280" s="1223">
        <f t="shared" ca="1" si="60"/>
        <v>0</v>
      </c>
      <c r="Z280" s="1211">
        <f t="shared" ca="1" si="61"/>
        <v>0</v>
      </c>
      <c r="AA280" s="136">
        <f ca="1">IF(Z280&lt;=0,0,RANK(Z280,Z:Z)+COUNTIF($Z$3:$Z280,Z280)-1)</f>
        <v>0</v>
      </c>
      <c r="AB280" s="1211">
        <f t="shared" ca="1" si="54"/>
        <v>0</v>
      </c>
      <c r="AC280" s="136">
        <f ca="1">IF(AB280&lt;=0,0,RANK(AB280,AB:AB)+COUNTIF($AB$3:$AB280,AB280)-1)</f>
        <v>0</v>
      </c>
      <c r="AD280" s="136">
        <f t="shared" ca="1" si="62"/>
        <v>99999</v>
      </c>
      <c r="AE280" s="136">
        <f ca="1">IF(AD280=99999,0,RANK(AD280,AD:AD,1)+COUNTIF($AD$3:$AD280,AD280)-1)</f>
        <v>0</v>
      </c>
    </row>
    <row r="281" spans="1:31">
      <c r="A281" s="141" t="str">
        <f>'銀行-TSS'!A281</f>
        <v>US91282CFV81</v>
      </c>
      <c r="B281" s="151" t="str">
        <f ca="1">VLOOKUP(A281,'銀行-TSS'!A:B,2,FALSE)</f>
        <v>XH860</v>
      </c>
      <c r="C281" s="151" t="str">
        <f ca="1">VLOOKUP(B281,bond!B:C,2,FALSE)</f>
        <v>美國政府公債 4.125% 2032/11/15</v>
      </c>
      <c r="D281" s="95" t="str">
        <f>VLOOKUP(A281,'銀行-TSS'!A:C,3,FALSE)</f>
        <v>USD</v>
      </c>
      <c r="E281" s="90">
        <f ca="1">VLOOKUP(A281,'銀行-TSS'!A:G,7,FALSE)</f>
        <v>8.3699999999999992</v>
      </c>
      <c r="F281" s="202">
        <f ca="1">VLOOKUP(A281,'銀行-TSS'!A:H,8,FALSE)</f>
        <v>4.1250000000000002E-2</v>
      </c>
      <c r="G281" s="96">
        <f ca="1">VLOOKUP(A281,'銀行-TSS'!A:K,11,FALSE)</f>
        <v>100.45</v>
      </c>
      <c r="H281" s="1209">
        <f ca="1">VLOOKUP(A281,'銀行-TSS'!A:M,13,FALSE)</f>
        <v>4.1399999999999999E-2</v>
      </c>
      <c r="I281" s="1213">
        <f ca="1">VLOOKUP(A281,'銀行-TSS'!A:N,14,FALSE)</f>
        <v>10000</v>
      </c>
      <c r="J281" s="1213">
        <f ca="1">VLOOKUP(A281,'銀行-TSS'!A:O,15,FALSE)</f>
        <v>1000</v>
      </c>
      <c r="K281" s="136" t="str">
        <f ca="1">VLOOKUP(A281,'銀行-TSS'!A:V,22,FALSE)</f>
        <v>(NPI)非專投</v>
      </c>
      <c r="L281" s="136" t="str">
        <f ca="1">VLOOKUP(A281,'銀行-TSS'!A:AK,37,FALSE)</f>
        <v>有</v>
      </c>
      <c r="M281" s="136" t="str">
        <f ca="1">VLOOKUP(A281,'銀行-TSS'!A:AN,40,FALSE)</f>
        <v/>
      </c>
      <c r="N281" s="1211">
        <f t="shared" ca="1" si="55"/>
        <v>1004.5</v>
      </c>
      <c r="O281" s="1211">
        <f t="shared" ca="1" si="56"/>
        <v>10045</v>
      </c>
      <c r="P281" s="1213">
        <f ca="1">IF(AND(換券投組!$D$17&gt;=O281,換券投組!$D$13=D281),I281+INT((換券投組!$D$17-O281)/N281)*J281,0)</f>
        <v>0</v>
      </c>
      <c r="Q281" s="1211">
        <f t="shared" ca="1" si="57"/>
        <v>0</v>
      </c>
      <c r="R281" s="1213">
        <f t="shared" ca="1" si="58"/>
        <v>0</v>
      </c>
      <c r="S281" s="1213">
        <f t="shared" ca="1" si="59"/>
        <v>0</v>
      </c>
      <c r="T281" s="136">
        <f t="shared" ca="1" si="52"/>
        <v>0</v>
      </c>
      <c r="U281" s="861">
        <f t="shared" ca="1" si="53"/>
        <v>0</v>
      </c>
      <c r="V281" s="136" t="b">
        <f ca="1">IF(OR(D281&lt;&gt;"USD",L281="無",M281&lt;&gt;"",K281="高資產",IFERROR(MATCH(B281,換券投組!K:K,0),"N")&lt;&gt;"N",IFERROR(MATCH(B281,換券投組!J:J,0),"N")&lt;&gt;"N"),FALSE,IF($V$1="All",TRUE,IF(K281=$V$1,TRUE,FALSE)))</f>
        <v>1</v>
      </c>
      <c r="W281" s="136">
        <f ca="1">VLOOKUP(A281,'銀行-TSS'!A:AO,41,FALSE)</f>
        <v>98.710000000000008</v>
      </c>
      <c r="X281" s="136">
        <f ca="1">VLOOKUP(A281,'銀行-TSS'!A:AP,42,FALSE)</f>
        <v>6.9684999999999997</v>
      </c>
      <c r="Y281" s="1223">
        <f t="shared" ca="1" si="60"/>
        <v>0</v>
      </c>
      <c r="Z281" s="1211">
        <f t="shared" ca="1" si="61"/>
        <v>0</v>
      </c>
      <c r="AA281" s="136">
        <f ca="1">IF(Z281&lt;=0,0,RANK(Z281,Z:Z)+COUNTIF($Z$3:$Z281,Z281)-1)</f>
        <v>0</v>
      </c>
      <c r="AB281" s="1211">
        <f t="shared" ca="1" si="54"/>
        <v>0</v>
      </c>
      <c r="AC281" s="136">
        <f ca="1">IF(AB281&lt;=0,0,RANK(AB281,AB:AB)+COUNTIF($AB$3:$AB281,AB281)-1)</f>
        <v>0</v>
      </c>
      <c r="AD281" s="136">
        <f t="shared" ca="1" si="62"/>
        <v>99999</v>
      </c>
      <c r="AE281" s="136">
        <f ca="1">IF(AD281=99999,0,RANK(AD281,AD:AD,1)+COUNTIF($AD$3:$AD281,AD281)-1)</f>
        <v>0</v>
      </c>
    </row>
    <row r="282" spans="1:31">
      <c r="A282" s="141" t="str">
        <f>'銀行-TSS'!A282</f>
        <v>US912810PX00</v>
      </c>
      <c r="B282" s="151" t="str">
        <f ca="1">VLOOKUP(A282,'銀行-TSS'!A:B,2,FALSE)</f>
        <v>XH870</v>
      </c>
      <c r="C282" s="151" t="str">
        <f ca="1">VLOOKUP(B282,bond!B:C,2,FALSE)</f>
        <v>美國政府公債 4.5% 2038/5/15</v>
      </c>
      <c r="D282" s="95" t="str">
        <f>VLOOKUP(A282,'銀行-TSS'!A:C,3,FALSE)</f>
        <v>USD</v>
      </c>
      <c r="E282" s="90">
        <f ca="1">VLOOKUP(A282,'銀行-TSS'!A:G,7,FALSE)</f>
        <v>13.87</v>
      </c>
      <c r="F282" s="202">
        <f ca="1">VLOOKUP(A282,'銀行-TSS'!A:H,8,FALSE)</f>
        <v>4.4999999999999998E-2</v>
      </c>
      <c r="G282" s="96">
        <f ca="1">VLOOKUP(A282,'銀行-TSS'!A:K,11,FALSE)</f>
        <v>103.59</v>
      </c>
      <c r="H282" s="1209">
        <f ca="1">VLOOKUP(A282,'銀行-TSS'!A:M,13,FALSE)</f>
        <v>4.2099999999999999E-2</v>
      </c>
      <c r="I282" s="1213">
        <f ca="1">VLOOKUP(A282,'銀行-TSS'!A:N,14,FALSE)</f>
        <v>10000</v>
      </c>
      <c r="J282" s="1213">
        <f ca="1">VLOOKUP(A282,'銀行-TSS'!A:O,15,FALSE)</f>
        <v>1000</v>
      </c>
      <c r="K282" s="136" t="str">
        <f ca="1">VLOOKUP(A282,'銀行-TSS'!A:V,22,FALSE)</f>
        <v>(NPI)非專投</v>
      </c>
      <c r="L282" s="136" t="str">
        <f ca="1">VLOOKUP(A282,'銀行-TSS'!A:AK,37,FALSE)</f>
        <v>有</v>
      </c>
      <c r="M282" s="136" t="str">
        <f ca="1">VLOOKUP(A282,'銀行-TSS'!A:AN,40,FALSE)</f>
        <v/>
      </c>
      <c r="N282" s="1211">
        <f t="shared" ca="1" si="55"/>
        <v>1035.9000000000001</v>
      </c>
      <c r="O282" s="1211">
        <f t="shared" ca="1" si="56"/>
        <v>10359</v>
      </c>
      <c r="P282" s="1213">
        <f ca="1">IF(AND(換券投組!$D$17&gt;=O282,換券投組!$D$13=D282),I282+INT((換券投組!$D$17-O282)/N282)*J282,0)</f>
        <v>0</v>
      </c>
      <c r="Q282" s="1211">
        <f t="shared" ca="1" si="57"/>
        <v>0</v>
      </c>
      <c r="R282" s="1213">
        <f t="shared" ca="1" si="58"/>
        <v>0</v>
      </c>
      <c r="S282" s="1213">
        <f t="shared" ca="1" si="59"/>
        <v>0</v>
      </c>
      <c r="T282" s="136">
        <f t="shared" ca="1" si="52"/>
        <v>0</v>
      </c>
      <c r="U282" s="861">
        <f t="shared" ca="1" si="53"/>
        <v>0</v>
      </c>
      <c r="V282" s="136" t="b">
        <f ca="1">IF(OR(D282&lt;&gt;"USD",L282="無",M282&lt;&gt;"",K282="高資產",IFERROR(MATCH(B282,換券投組!K:K,0),"N")&lt;&gt;"N",IFERROR(MATCH(B282,換券投組!J:J,0),"N")&lt;&gt;"N"),FALSE,IF($V$1="All",TRUE,IF(K282=$V$1,TRUE,FALSE)))</f>
        <v>1</v>
      </c>
      <c r="W282" s="136">
        <f ca="1">VLOOKUP(A282,'銀行-TSS'!A:AO,41,FALSE)</f>
        <v>101.5</v>
      </c>
      <c r="X282" s="136">
        <f ca="1">VLOOKUP(A282,'銀行-TSS'!A:AP,42,FALSE)</f>
        <v>10.2193</v>
      </c>
      <c r="Y282" s="1223">
        <f t="shared" ca="1" si="60"/>
        <v>0</v>
      </c>
      <c r="Z282" s="1211">
        <f t="shared" ca="1" si="61"/>
        <v>0</v>
      </c>
      <c r="AA282" s="136">
        <f ca="1">IF(Z282&lt;=0,0,RANK(Z282,Z:Z)+COUNTIF($Z$3:$Z282,Z282)-1)</f>
        <v>0</v>
      </c>
      <c r="AB282" s="1211">
        <f t="shared" ca="1" si="54"/>
        <v>0</v>
      </c>
      <c r="AC282" s="136">
        <f ca="1">IF(AB282&lt;=0,0,RANK(AB282,AB:AB)+COUNTIF($AB$3:$AB282,AB282)-1)</f>
        <v>0</v>
      </c>
      <c r="AD282" s="136">
        <f t="shared" ca="1" si="62"/>
        <v>99999</v>
      </c>
      <c r="AE282" s="136">
        <f ca="1">IF(AD282=99999,0,RANK(AD282,AD:AD,1)+COUNTIF($AD$3:$AD282,AD282)-1)</f>
        <v>0</v>
      </c>
    </row>
    <row r="283" spans="1:31">
      <c r="A283" s="141" t="str">
        <f>'銀行-TSS'!A283</f>
        <v>US912810QE10</v>
      </c>
      <c r="B283" s="151" t="str">
        <f ca="1">VLOOKUP(A283,'銀行-TSS'!A:B,2,FALSE)</f>
        <v>XH880</v>
      </c>
      <c r="C283" s="151" t="str">
        <f ca="1">VLOOKUP(B283,bond!B:C,2,FALSE)</f>
        <v>美國政府公債 4.625% 2040/2/15</v>
      </c>
      <c r="D283" s="95" t="str">
        <f>VLOOKUP(A283,'銀行-TSS'!A:C,3,FALSE)</f>
        <v>USD</v>
      </c>
      <c r="E283" s="90">
        <f ca="1">VLOOKUP(A283,'銀行-TSS'!A:G,7,FALSE)</f>
        <v>15.62</v>
      </c>
      <c r="F283" s="202">
        <f ca="1">VLOOKUP(A283,'銀行-TSS'!A:H,8,FALSE)</f>
        <v>4.6249999999999999E-2</v>
      </c>
      <c r="G283" s="96">
        <f ca="1">VLOOKUP(A283,'銀行-TSS'!A:K,11,FALSE)</f>
        <v>105.88</v>
      </c>
      <c r="H283" s="1209">
        <f ca="1">VLOOKUP(A283,'銀行-TSS'!A:M,13,FALSE)</f>
        <v>4.2599999999999999E-2</v>
      </c>
      <c r="I283" s="1213">
        <f ca="1">VLOOKUP(A283,'銀行-TSS'!A:N,14,FALSE)</f>
        <v>10000</v>
      </c>
      <c r="J283" s="1213">
        <f ca="1">VLOOKUP(A283,'銀行-TSS'!A:O,15,FALSE)</f>
        <v>1000</v>
      </c>
      <c r="K283" s="136" t="str">
        <f ca="1">VLOOKUP(A283,'銀行-TSS'!A:V,22,FALSE)</f>
        <v>(NPI)非專投</v>
      </c>
      <c r="L283" s="136" t="str">
        <f ca="1">VLOOKUP(A283,'銀行-TSS'!A:AK,37,FALSE)</f>
        <v>有</v>
      </c>
      <c r="M283" s="136" t="str">
        <f ca="1">VLOOKUP(A283,'銀行-TSS'!A:AN,40,FALSE)</f>
        <v/>
      </c>
      <c r="N283" s="1211">
        <f t="shared" ca="1" si="55"/>
        <v>1058.8</v>
      </c>
      <c r="O283" s="1211">
        <f t="shared" ca="1" si="56"/>
        <v>10588</v>
      </c>
      <c r="P283" s="1213">
        <f ca="1">IF(AND(換券投組!$D$17&gt;=O283,換券投組!$D$13=D283),I283+INT((換券投組!$D$17-O283)/N283)*J283,0)</f>
        <v>0</v>
      </c>
      <c r="Q283" s="1211">
        <f t="shared" ca="1" si="57"/>
        <v>0</v>
      </c>
      <c r="R283" s="1213">
        <f t="shared" ca="1" si="58"/>
        <v>0</v>
      </c>
      <c r="S283" s="1213">
        <f t="shared" ca="1" si="59"/>
        <v>0</v>
      </c>
      <c r="T283" s="136">
        <f t="shared" ca="1" si="52"/>
        <v>0</v>
      </c>
      <c r="U283" s="861">
        <f t="shared" ca="1" si="53"/>
        <v>0</v>
      </c>
      <c r="V283" s="136" t="b">
        <f ca="1">IF(OR(D283&lt;&gt;"USD",L283="無",M283&lt;&gt;"",K283="高資產",IFERROR(MATCH(B283,換券投組!K:K,0),"N")&lt;&gt;"N",IFERROR(MATCH(B283,換券投組!J:J,0),"N")&lt;&gt;"N"),FALSE,IF($V$1="All",TRUE,IF(K283=$V$1,TRUE,FALSE)))</f>
        <v>1</v>
      </c>
      <c r="W283" s="136">
        <f ca="1">VLOOKUP(A283,'銀行-TSS'!A:AO,41,FALSE)</f>
        <v>102.13000000000001</v>
      </c>
      <c r="X283" s="136">
        <f ca="1">VLOOKUP(A283,'銀行-TSS'!A:AP,42,FALSE)</f>
        <v>10.926500000000001</v>
      </c>
      <c r="Y283" s="1223">
        <f t="shared" ca="1" si="60"/>
        <v>0</v>
      </c>
      <c r="Z283" s="1211">
        <f t="shared" ca="1" si="61"/>
        <v>0</v>
      </c>
      <c r="AA283" s="136">
        <f ca="1">IF(Z283&lt;=0,0,RANK(Z283,Z:Z)+COUNTIF($Z$3:$Z283,Z283)-1)</f>
        <v>0</v>
      </c>
      <c r="AB283" s="1211">
        <f t="shared" ca="1" si="54"/>
        <v>0</v>
      </c>
      <c r="AC283" s="136">
        <f ca="1">IF(AB283&lt;=0,0,RANK(AB283,AB:AB)+COUNTIF($AB$3:$AB283,AB283)-1)</f>
        <v>0</v>
      </c>
      <c r="AD283" s="136">
        <f t="shared" ca="1" si="62"/>
        <v>99999</v>
      </c>
      <c r="AE283" s="136">
        <f ca="1">IF(AD283=99999,0,RANK(AD283,AD:AD,1)+COUNTIF($AD$3:$AD283,AD283)-1)</f>
        <v>0</v>
      </c>
    </row>
    <row r="284" spans="1:31">
      <c r="A284" s="141" t="str">
        <f>'銀行-TSS'!A284</f>
        <v>US458140AK64</v>
      </c>
      <c r="B284" s="151" t="str">
        <f ca="1">VLOOKUP(A284,'銀行-TSS'!A:B,2,FALSE)</f>
        <v>XH890</v>
      </c>
      <c r="C284" s="151" t="str">
        <f ca="1">VLOOKUP(B284,bond!B:C,2,FALSE)</f>
        <v>英特爾公司美元配息債券 4.8% 2041/10/1</v>
      </c>
      <c r="D284" s="95" t="str">
        <f>VLOOKUP(A284,'銀行-TSS'!A:C,3,FALSE)</f>
        <v>USD</v>
      </c>
      <c r="E284" s="90">
        <f ca="1">VLOOKUP(A284,'銀行-TSS'!A:G,7,FALSE)</f>
        <v>17.25</v>
      </c>
      <c r="F284" s="202">
        <f ca="1">VLOOKUP(A284,'銀行-TSS'!A:H,8,FALSE)</f>
        <v>4.8000000000000001E-2</v>
      </c>
      <c r="G284" s="96">
        <f ca="1">VLOOKUP(A284,'銀行-TSS'!A:K,11,FALSE)</f>
        <v>95.35</v>
      </c>
      <c r="H284" s="1209">
        <f ca="1">VLOOKUP(A284,'銀行-TSS'!A:M,13,FALSE)</f>
        <v>5.3199999999999997E-2</v>
      </c>
      <c r="I284" s="1213">
        <f ca="1">VLOOKUP(A284,'銀行-TSS'!A:N,14,FALSE)</f>
        <v>10000</v>
      </c>
      <c r="J284" s="1213">
        <f ca="1">VLOOKUP(A284,'銀行-TSS'!A:O,15,FALSE)</f>
        <v>1000</v>
      </c>
      <c r="K284" s="136" t="str">
        <f ca="1">VLOOKUP(A284,'銀行-TSS'!A:V,22,FALSE)</f>
        <v>(NPI)非專投</v>
      </c>
      <c r="L284" s="136" t="str">
        <f ca="1">VLOOKUP(A284,'銀行-TSS'!A:AK,37,FALSE)</f>
        <v>有</v>
      </c>
      <c r="M284" s="136" t="str">
        <f ca="1">VLOOKUP(A284,'銀行-TSS'!A:AN,40,FALSE)</f>
        <v/>
      </c>
      <c r="N284" s="1211">
        <f t="shared" ca="1" si="55"/>
        <v>953.5</v>
      </c>
      <c r="O284" s="1211">
        <f t="shared" ca="1" si="56"/>
        <v>9535</v>
      </c>
      <c r="P284" s="1213">
        <f ca="1">IF(AND(換券投組!$D$17&gt;=O284,換券投組!$D$13=D284),I284+INT((換券投組!$D$17-O284)/N284)*J284,0)</f>
        <v>0</v>
      </c>
      <c r="Q284" s="1211">
        <f t="shared" ca="1" si="57"/>
        <v>0</v>
      </c>
      <c r="R284" s="1213">
        <f t="shared" ca="1" si="58"/>
        <v>0</v>
      </c>
      <c r="S284" s="1213">
        <f t="shared" ca="1" si="59"/>
        <v>0</v>
      </c>
      <c r="T284" s="136">
        <f t="shared" ca="1" si="52"/>
        <v>0</v>
      </c>
      <c r="U284" s="861">
        <f t="shared" ca="1" si="53"/>
        <v>0</v>
      </c>
      <c r="V284" s="136" t="b">
        <f ca="1">IF(OR(D284&lt;&gt;"USD",L284="無",M284&lt;&gt;"",K284="高資產",IFERROR(MATCH(B284,換券投組!K:K,0),"N")&lt;&gt;"N",IFERROR(MATCH(B284,換券投組!J:J,0),"N")&lt;&gt;"N"),FALSE,IF($V$1="All",TRUE,IF(K284=$V$1,TRUE,FALSE)))</f>
        <v>1</v>
      </c>
      <c r="W284" s="136">
        <f ca="1">VLOOKUP(A284,'銀行-TSS'!A:AO,41,FALSE)</f>
        <v>91.64</v>
      </c>
      <c r="X284" s="136">
        <f ca="1">VLOOKUP(A284,'銀行-TSS'!A:AP,42,FALSE)</f>
        <v>11.2102</v>
      </c>
      <c r="Y284" s="1223">
        <f t="shared" ca="1" si="60"/>
        <v>0</v>
      </c>
      <c r="Z284" s="1211">
        <f t="shared" ca="1" si="61"/>
        <v>0</v>
      </c>
      <c r="AA284" s="136">
        <f ca="1">IF(Z284&lt;=0,0,RANK(Z284,Z:Z)+COUNTIF($Z$3:$Z284,Z284)-1)</f>
        <v>0</v>
      </c>
      <c r="AB284" s="1211">
        <f t="shared" ca="1" si="54"/>
        <v>0</v>
      </c>
      <c r="AC284" s="136">
        <f ca="1">IF(AB284&lt;=0,0,RANK(AB284,AB:AB)+COUNTIF($AB$3:$AB284,AB284)-1)</f>
        <v>0</v>
      </c>
      <c r="AD284" s="136">
        <f t="shared" ca="1" si="62"/>
        <v>99999</v>
      </c>
      <c r="AE284" s="136">
        <f ca="1">IF(AD284=99999,0,RANK(AD284,AD:AD,1)+COUNTIF($AD$3:$AD284,AD284)-1)</f>
        <v>0</v>
      </c>
    </row>
    <row r="285" spans="1:31">
      <c r="A285" s="141" t="str">
        <f>'銀行-TSS'!A285</f>
        <v>US458140AY68</v>
      </c>
      <c r="B285" s="151" t="str">
        <f ca="1">VLOOKUP(A285,'銀行-TSS'!A:B,2,FALSE)</f>
        <v>XH900</v>
      </c>
      <c r="C285" s="151" t="str">
        <f ca="1">VLOOKUP(B285,bond!B:C,2,FALSE)</f>
        <v>英特爾公司美元配息債券 4.1% 2047/5/11</v>
      </c>
      <c r="D285" s="95" t="str">
        <f>VLOOKUP(A285,'銀行-TSS'!A:C,3,FALSE)</f>
        <v>USD</v>
      </c>
      <c r="E285" s="90">
        <f ca="1">VLOOKUP(A285,'銀行-TSS'!A:G,7,FALSE)</f>
        <v>22.86</v>
      </c>
      <c r="F285" s="202">
        <f ca="1">VLOOKUP(A285,'銀行-TSS'!A:H,8,FALSE)</f>
        <v>4.0999999999999995E-2</v>
      </c>
      <c r="G285" s="96">
        <f ca="1">VLOOKUP(A285,'銀行-TSS'!A:K,11,FALSE)</f>
        <v>84.24</v>
      </c>
      <c r="H285" s="1209">
        <f ca="1">VLOOKUP(A285,'銀行-TSS'!A:M,13,FALSE)</f>
        <v>5.3499999999999999E-2</v>
      </c>
      <c r="I285" s="1213">
        <f ca="1">VLOOKUP(A285,'銀行-TSS'!A:N,14,FALSE)</f>
        <v>10000</v>
      </c>
      <c r="J285" s="1213">
        <f ca="1">VLOOKUP(A285,'銀行-TSS'!A:O,15,FALSE)</f>
        <v>1000</v>
      </c>
      <c r="K285" s="136" t="str">
        <f ca="1">VLOOKUP(A285,'銀行-TSS'!A:V,22,FALSE)</f>
        <v>(NPI)非專投</v>
      </c>
      <c r="L285" s="136" t="str">
        <f ca="1">VLOOKUP(A285,'銀行-TSS'!A:AK,37,FALSE)</f>
        <v>有</v>
      </c>
      <c r="M285" s="136" t="str">
        <f ca="1">VLOOKUP(A285,'銀行-TSS'!A:AN,40,FALSE)</f>
        <v/>
      </c>
      <c r="N285" s="1211">
        <f t="shared" ca="1" si="55"/>
        <v>842.4</v>
      </c>
      <c r="O285" s="1211">
        <f t="shared" ca="1" si="56"/>
        <v>8424</v>
      </c>
      <c r="P285" s="1213">
        <f ca="1">IF(AND(換券投組!$D$17&gt;=O285,換券投組!$D$13=D285),I285+INT((換券投組!$D$17-O285)/N285)*J285,0)</f>
        <v>0</v>
      </c>
      <c r="Q285" s="1211">
        <f t="shared" ca="1" si="57"/>
        <v>0</v>
      </c>
      <c r="R285" s="1213">
        <f t="shared" ca="1" si="58"/>
        <v>0</v>
      </c>
      <c r="S285" s="1213">
        <f t="shared" ca="1" si="59"/>
        <v>0</v>
      </c>
      <c r="T285" s="136">
        <f t="shared" ca="1" si="52"/>
        <v>0</v>
      </c>
      <c r="U285" s="861">
        <f t="shared" ca="1" si="53"/>
        <v>0</v>
      </c>
      <c r="V285" s="136" t="b">
        <f ca="1">IF(OR(D285&lt;&gt;"USD",L285="無",M285&lt;&gt;"",K285="高資產",IFERROR(MATCH(B285,換券投組!K:K,0),"N")&lt;&gt;"N",IFERROR(MATCH(B285,換券投組!J:J,0),"N")&lt;&gt;"N"),FALSE,IF($V$1="All",TRUE,IF(K285=$V$1,TRUE,FALSE)))</f>
        <v>1</v>
      </c>
      <c r="W285" s="136">
        <f ca="1">VLOOKUP(A285,'銀行-TSS'!A:AO,41,FALSE)</f>
        <v>80.160000000000011</v>
      </c>
      <c r="X285" s="136">
        <f ca="1">VLOOKUP(A285,'銀行-TSS'!A:AP,42,FALSE)</f>
        <v>13.629300000000001</v>
      </c>
      <c r="Y285" s="1223">
        <f t="shared" ca="1" si="60"/>
        <v>0</v>
      </c>
      <c r="Z285" s="1211">
        <f t="shared" ca="1" si="61"/>
        <v>0</v>
      </c>
      <c r="AA285" s="136">
        <f ca="1">IF(Z285&lt;=0,0,RANK(Z285,Z:Z)+COUNTIF($Z$3:$Z285,Z285)-1)</f>
        <v>0</v>
      </c>
      <c r="AB285" s="1211">
        <f t="shared" ca="1" si="54"/>
        <v>0</v>
      </c>
      <c r="AC285" s="136">
        <f ca="1">IF(AB285&lt;=0,0,RANK(AB285,AB:AB)+COUNTIF($AB$3:$AB285,AB285)-1)</f>
        <v>0</v>
      </c>
      <c r="AD285" s="136">
        <f t="shared" ca="1" si="62"/>
        <v>99999</v>
      </c>
      <c r="AE285" s="136">
        <f ca="1">IF(AD285=99999,0,RANK(AD285,AD:AD,1)+COUNTIF($AD$3:$AD285,AD285)-1)</f>
        <v>0</v>
      </c>
    </row>
    <row r="286" spans="1:31">
      <c r="A286" s="141" t="str">
        <f>'銀行-TSS'!A286</f>
        <v>US482480AH34</v>
      </c>
      <c r="B286" s="151" t="str">
        <f ca="1">VLOOKUP(A286,'銀行-TSS'!A:B,2,FALSE)</f>
        <v>XH910</v>
      </c>
      <c r="C286" s="151" t="str">
        <f ca="1">VLOOKUP(B286,bond!B:C,2,FALSE)</f>
        <v>科磊公司美元配息債券 5% 2049/3/15</v>
      </c>
      <c r="D286" s="95" t="str">
        <f>VLOOKUP(A286,'銀行-TSS'!A:C,3,FALSE)</f>
        <v>USD</v>
      </c>
      <c r="E286" s="90">
        <f ca="1">VLOOKUP(A286,'銀行-TSS'!A:G,7,FALSE)</f>
        <v>24.7</v>
      </c>
      <c r="F286" s="202">
        <f ca="1">VLOOKUP(A286,'銀行-TSS'!A:H,8,FALSE)</f>
        <v>0.05</v>
      </c>
      <c r="G286" s="96">
        <f ca="1">VLOOKUP(A286,'銀行-TSS'!A:K,11,FALSE)</f>
        <v>99.32</v>
      </c>
      <c r="H286" s="1209">
        <f ca="1">VLOOKUP(A286,'銀行-TSS'!A:M,13,FALSE)</f>
        <v>5.16E-2</v>
      </c>
      <c r="I286" s="1213">
        <f ca="1">VLOOKUP(A286,'銀行-TSS'!A:N,14,FALSE)</f>
        <v>10000</v>
      </c>
      <c r="J286" s="1213">
        <f ca="1">VLOOKUP(A286,'銀行-TSS'!A:O,15,FALSE)</f>
        <v>1000</v>
      </c>
      <c r="K286" s="136" t="str">
        <f ca="1">VLOOKUP(A286,'銀行-TSS'!A:V,22,FALSE)</f>
        <v>(NPI)非專投</v>
      </c>
      <c r="L286" s="136" t="str">
        <f ca="1">VLOOKUP(A286,'銀行-TSS'!A:AK,37,FALSE)</f>
        <v>有</v>
      </c>
      <c r="M286" s="136" t="str">
        <f ca="1">VLOOKUP(A286,'銀行-TSS'!A:AN,40,FALSE)</f>
        <v/>
      </c>
      <c r="N286" s="1211">
        <f t="shared" ca="1" si="55"/>
        <v>993.2</v>
      </c>
      <c r="O286" s="1211">
        <f t="shared" ca="1" si="56"/>
        <v>9931.9999999999982</v>
      </c>
      <c r="P286" s="1213">
        <f ca="1">IF(AND(換券投組!$D$17&gt;=O286,換券投組!$D$13=D286),I286+INT((換券投組!$D$17-O286)/N286)*J286,0)</f>
        <v>0</v>
      </c>
      <c r="Q286" s="1211">
        <f t="shared" ca="1" si="57"/>
        <v>0</v>
      </c>
      <c r="R286" s="1213">
        <f t="shared" ca="1" si="58"/>
        <v>0</v>
      </c>
      <c r="S286" s="1213">
        <f t="shared" ca="1" si="59"/>
        <v>0</v>
      </c>
      <c r="T286" s="136">
        <f t="shared" ca="1" si="52"/>
        <v>0</v>
      </c>
      <c r="U286" s="861">
        <f t="shared" ca="1" si="53"/>
        <v>0</v>
      </c>
      <c r="V286" s="136" t="b">
        <f ca="1">IF(OR(D286&lt;&gt;"USD",L286="無",M286&lt;&gt;"",K286="高資產",IFERROR(MATCH(B286,換券投組!K:K,0),"N")&lt;&gt;"N",IFERROR(MATCH(B286,換券投組!J:J,0),"N")&lt;&gt;"N"),FALSE,IF($V$1="All",TRUE,IF(K286=$V$1,TRUE,FALSE)))</f>
        <v>1</v>
      </c>
      <c r="W286" s="136">
        <f ca="1">VLOOKUP(A286,'銀行-TSS'!A:AO,41,FALSE)</f>
        <v>94.33</v>
      </c>
      <c r="X286" s="136">
        <f ca="1">VLOOKUP(A286,'銀行-TSS'!A:AP,42,FALSE)</f>
        <v>13.625400000000001</v>
      </c>
      <c r="Y286" s="1223">
        <f t="shared" ca="1" si="60"/>
        <v>0</v>
      </c>
      <c r="Z286" s="1211">
        <f t="shared" ca="1" si="61"/>
        <v>0</v>
      </c>
      <c r="AA286" s="136">
        <f ca="1">IF(Z286&lt;=0,0,RANK(Z286,Z:Z)+COUNTIF($Z$3:$Z286,Z286)-1)</f>
        <v>0</v>
      </c>
      <c r="AB286" s="1211">
        <f t="shared" ca="1" si="54"/>
        <v>0</v>
      </c>
      <c r="AC286" s="136">
        <f ca="1">IF(AB286&lt;=0,0,RANK(AB286,AB:AB)+COUNTIF($AB$3:$AB286,AB286)-1)</f>
        <v>0</v>
      </c>
      <c r="AD286" s="136">
        <f t="shared" ca="1" si="62"/>
        <v>99999</v>
      </c>
      <c r="AE286" s="136">
        <f ca="1">IF(AD286=99999,0,RANK(AD286,AD:AD,1)+COUNTIF($AD$3:$AD286,AD286)-1)</f>
        <v>0</v>
      </c>
    </row>
    <row r="287" spans="1:31">
      <c r="A287" s="141" t="str">
        <f>'銀行-TSS'!A287</f>
        <v>US097023CK94</v>
      </c>
      <c r="B287" s="151" t="str">
        <f ca="1">VLOOKUP(A287,'銀行-TSS'!A:B,2,FALSE)</f>
        <v>XH930</v>
      </c>
      <c r="C287" s="151" t="str">
        <f ca="1">VLOOKUP(B287,bond!B:C,2,FALSE)</f>
        <v>波音公司美元配息債券 3.9% 2049/5/1</v>
      </c>
      <c r="D287" s="95" t="str">
        <f>VLOOKUP(A287,'銀行-TSS'!A:C,3,FALSE)</f>
        <v>USD</v>
      </c>
      <c r="E287" s="90">
        <f ca="1">VLOOKUP(A287,'銀行-TSS'!A:G,7,FALSE)</f>
        <v>24.83</v>
      </c>
      <c r="F287" s="202">
        <f ca="1">VLOOKUP(A287,'銀行-TSS'!A:H,8,FALSE)</f>
        <v>3.9E-2</v>
      </c>
      <c r="G287" s="96">
        <f ca="1">VLOOKUP(A287,'銀行-TSS'!A:K,11,FALSE)</f>
        <v>72.16</v>
      </c>
      <c r="H287" s="1209">
        <f ca="1">VLOOKUP(A287,'銀行-TSS'!A:M,13,FALSE)</f>
        <v>6.1499999999999999E-2</v>
      </c>
      <c r="I287" s="1213">
        <f ca="1">VLOOKUP(A287,'銀行-TSS'!A:N,14,FALSE)</f>
        <v>10000</v>
      </c>
      <c r="J287" s="1213">
        <f ca="1">VLOOKUP(A287,'銀行-TSS'!A:O,15,FALSE)</f>
        <v>1000</v>
      </c>
      <c r="K287" s="136" t="str">
        <f ca="1">VLOOKUP(A287,'銀行-TSS'!A:V,22,FALSE)</f>
        <v>(PI)專投</v>
      </c>
      <c r="L287" s="136" t="str">
        <f ca="1">VLOOKUP(A287,'銀行-TSS'!A:AK,37,FALSE)</f>
        <v>有</v>
      </c>
      <c r="M287" s="136" t="str">
        <f ca="1">VLOOKUP(A287,'銀行-TSS'!A:AN,40,FALSE)</f>
        <v/>
      </c>
      <c r="N287" s="1211">
        <f t="shared" ca="1" si="55"/>
        <v>721.6</v>
      </c>
      <c r="O287" s="1211">
        <f t="shared" ca="1" si="56"/>
        <v>7216</v>
      </c>
      <c r="P287" s="1213">
        <f ca="1">IF(AND(換券投組!$D$17&gt;=O287,換券投組!$D$13=D287),I287+INT((換券投組!$D$17-O287)/N287)*J287,0)</f>
        <v>0</v>
      </c>
      <c r="Q287" s="1211">
        <f t="shared" ca="1" si="57"/>
        <v>0</v>
      </c>
      <c r="R287" s="1213">
        <f t="shared" ca="1" si="58"/>
        <v>0</v>
      </c>
      <c r="S287" s="1213">
        <f t="shared" ca="1" si="59"/>
        <v>0</v>
      </c>
      <c r="T287" s="136">
        <f t="shared" ca="1" si="52"/>
        <v>0</v>
      </c>
      <c r="U287" s="861">
        <f t="shared" ca="1" si="53"/>
        <v>0</v>
      </c>
      <c r="V287" s="136" t="b">
        <f ca="1">IF(OR(D287&lt;&gt;"USD",L287="無",M287&lt;&gt;"",K287="高資產",IFERROR(MATCH(B287,換券投組!K:K,0),"N")&lt;&gt;"N",IFERROR(MATCH(B287,換券投組!J:J,0),"N")&lt;&gt;"N"),FALSE,IF($V$1="All",TRUE,IF(K287=$V$1,TRUE,FALSE)))</f>
        <v>1</v>
      </c>
      <c r="W287" s="136">
        <f ca="1">VLOOKUP(A287,'銀行-TSS'!A:AO,41,FALSE)</f>
        <v>68</v>
      </c>
      <c r="X287" s="136">
        <f ca="1">VLOOKUP(A287,'銀行-TSS'!A:AP,42,FALSE)</f>
        <v>13.6366</v>
      </c>
      <c r="Y287" s="1223">
        <f t="shared" ca="1" si="60"/>
        <v>0</v>
      </c>
      <c r="Z287" s="1211">
        <f t="shared" ca="1" si="61"/>
        <v>0</v>
      </c>
      <c r="AA287" s="136">
        <f ca="1">IF(Z287&lt;=0,0,RANK(Z287,Z:Z)+COUNTIF($Z$3:$Z287,Z287)-1)</f>
        <v>0</v>
      </c>
      <c r="AB287" s="1211">
        <f t="shared" ca="1" si="54"/>
        <v>0</v>
      </c>
      <c r="AC287" s="136">
        <f ca="1">IF(AB287&lt;=0,0,RANK(AB287,AB:AB)+COUNTIF($AB$3:$AB287,AB287)-1)</f>
        <v>0</v>
      </c>
      <c r="AD287" s="136">
        <f t="shared" ca="1" si="62"/>
        <v>99999</v>
      </c>
      <c r="AE287" s="136">
        <f ca="1">IF(AD287=99999,0,RANK(AD287,AD:AD,1)+COUNTIF($AD$3:$AD287,AD287)-1)</f>
        <v>0</v>
      </c>
    </row>
    <row r="288" spans="1:31">
      <c r="A288" s="141" t="str">
        <f>'銀行-TSS'!A288</f>
        <v>US767201AL06</v>
      </c>
      <c r="B288" s="151" t="str">
        <f ca="1">VLOOKUP(A288,'銀行-TSS'!A:B,2,FALSE)</f>
        <v>XH970</v>
      </c>
      <c r="C288" s="151" t="str">
        <f ca="1">VLOOKUP(B288,bond!B:C,2,FALSE)</f>
        <v>力拓金融美國有限公司美元配息債券 5.2% 2040/11/2</v>
      </c>
      <c r="D288" s="95" t="str">
        <f>VLOOKUP(A288,'銀行-TSS'!A:C,3,FALSE)</f>
        <v>USD</v>
      </c>
      <c r="E288" s="90">
        <f ca="1">VLOOKUP(A288,'銀行-TSS'!A:G,7,FALSE)</f>
        <v>16.34</v>
      </c>
      <c r="F288" s="202">
        <f ca="1">VLOOKUP(A288,'銀行-TSS'!A:H,8,FALSE)</f>
        <v>5.2000000000000005E-2</v>
      </c>
      <c r="G288" s="96">
        <f ca="1">VLOOKUP(A288,'銀行-TSS'!A:K,11,FALSE)</f>
        <v>101.06</v>
      </c>
      <c r="H288" s="1209">
        <f ca="1">VLOOKUP(A288,'銀行-TSS'!A:M,13,FALSE)</f>
        <v>5.1799999999999999E-2</v>
      </c>
      <c r="I288" s="1213">
        <f ca="1">VLOOKUP(A288,'銀行-TSS'!A:N,14,FALSE)</f>
        <v>10000</v>
      </c>
      <c r="J288" s="1213">
        <f ca="1">VLOOKUP(A288,'銀行-TSS'!A:O,15,FALSE)</f>
        <v>1000</v>
      </c>
      <c r="K288" s="136" t="str">
        <f ca="1">VLOOKUP(A288,'銀行-TSS'!A:V,22,FALSE)</f>
        <v>(NPI)非專投</v>
      </c>
      <c r="L288" s="136" t="str">
        <f ca="1">VLOOKUP(A288,'銀行-TSS'!A:AK,37,FALSE)</f>
        <v>有</v>
      </c>
      <c r="M288" s="136" t="str">
        <f ca="1">VLOOKUP(A288,'銀行-TSS'!A:AN,40,FALSE)</f>
        <v/>
      </c>
      <c r="N288" s="1211">
        <f t="shared" ca="1" si="55"/>
        <v>1010.6</v>
      </c>
      <c r="O288" s="1211">
        <f t="shared" ca="1" si="56"/>
        <v>10106</v>
      </c>
      <c r="P288" s="1213">
        <f ca="1">IF(AND(換券投組!$D$17&gt;=O288,換券投組!$D$13=D288),I288+INT((換券投組!$D$17-O288)/N288)*J288,0)</f>
        <v>0</v>
      </c>
      <c r="Q288" s="1211">
        <f t="shared" ca="1" si="57"/>
        <v>0</v>
      </c>
      <c r="R288" s="1213">
        <f t="shared" ca="1" si="58"/>
        <v>0</v>
      </c>
      <c r="S288" s="1213">
        <f t="shared" ca="1" si="59"/>
        <v>0</v>
      </c>
      <c r="T288" s="136">
        <f t="shared" ca="1" si="52"/>
        <v>0</v>
      </c>
      <c r="U288" s="861">
        <f t="shared" ca="1" si="53"/>
        <v>0</v>
      </c>
      <c r="V288" s="136" t="b">
        <f ca="1">IF(OR(D288&lt;&gt;"USD",L288="無",M288&lt;&gt;"",K288="高資產",IFERROR(MATCH(B288,換券投組!K:K,0),"N")&lt;&gt;"N",IFERROR(MATCH(B288,換券投組!J:J,0),"N")&lt;&gt;"N"),FALSE,IF($V$1="All",TRUE,IF(K288=$V$1,TRUE,FALSE)))</f>
        <v>1</v>
      </c>
      <c r="W288" s="136">
        <f ca="1">VLOOKUP(A288,'銀行-TSS'!A:AO,41,FALSE)</f>
        <v>97.690000000000012</v>
      </c>
      <c r="X288" s="136">
        <f ca="1">VLOOKUP(A288,'銀行-TSS'!A:AP,42,FALSE)</f>
        <v>10.767200000000001</v>
      </c>
      <c r="Y288" s="1223">
        <f t="shared" ca="1" si="60"/>
        <v>0</v>
      </c>
      <c r="Z288" s="1211">
        <f t="shared" ca="1" si="61"/>
        <v>0</v>
      </c>
      <c r="AA288" s="136">
        <f ca="1">IF(Z288&lt;=0,0,RANK(Z288,Z:Z)+COUNTIF($Z$3:$Z288,Z288)-1)</f>
        <v>0</v>
      </c>
      <c r="AB288" s="1211">
        <f t="shared" ca="1" si="54"/>
        <v>0</v>
      </c>
      <c r="AC288" s="136">
        <f ca="1">IF(AB288&lt;=0,0,RANK(AB288,AB:AB)+COUNTIF($AB$3:$AB288,AB288)-1)</f>
        <v>0</v>
      </c>
      <c r="AD288" s="136">
        <f t="shared" ca="1" si="62"/>
        <v>99999</v>
      </c>
      <c r="AE288" s="136">
        <f ca="1">IF(AD288=99999,0,RANK(AD288,AD:AD,1)+COUNTIF($AD$3:$AD288,AD288)-1)</f>
        <v>0</v>
      </c>
    </row>
    <row r="289" spans="1:31">
      <c r="A289" s="141" t="str">
        <f>'銀行-TSS'!A289</f>
        <v>US406216AW19</v>
      </c>
      <c r="B289" s="151" t="str">
        <f ca="1">VLOOKUP(A289,'銀行-TSS'!A:B,2,FALSE)</f>
        <v>XH980</v>
      </c>
      <c r="C289" s="151" t="str">
        <f ca="1">VLOOKUP(B289,bond!B:C,2,FALSE)</f>
        <v>哈里伯頓公司美元配息債券 6.7% 2038/9/15</v>
      </c>
      <c r="D289" s="95" t="str">
        <f>VLOOKUP(A289,'銀行-TSS'!A:C,3,FALSE)</f>
        <v>USD</v>
      </c>
      <c r="E289" s="90">
        <f ca="1">VLOOKUP(A289,'銀行-TSS'!A:G,7,FALSE)</f>
        <v>14.2</v>
      </c>
      <c r="F289" s="202">
        <f ca="1">VLOOKUP(A289,'銀行-TSS'!A:H,8,FALSE)</f>
        <v>6.7000000000000004E-2</v>
      </c>
      <c r="G289" s="96">
        <f ca="1">VLOOKUP(A289,'銀行-TSS'!A:K,11,FALSE)</f>
        <v>114.66</v>
      </c>
      <c r="H289" s="1209">
        <f ca="1">VLOOKUP(A289,'銀行-TSS'!A:M,13,FALSE)</f>
        <v>5.4100000000000002E-2</v>
      </c>
      <c r="I289" s="1213">
        <f ca="1">VLOOKUP(A289,'銀行-TSS'!A:N,14,FALSE)</f>
        <v>10000</v>
      </c>
      <c r="J289" s="1213">
        <f ca="1">VLOOKUP(A289,'銀行-TSS'!A:O,15,FALSE)</f>
        <v>1000</v>
      </c>
      <c r="K289" s="136" t="str">
        <f ca="1">VLOOKUP(A289,'銀行-TSS'!A:V,22,FALSE)</f>
        <v>(NPI)非專投</v>
      </c>
      <c r="L289" s="136" t="str">
        <f ca="1">VLOOKUP(A289,'銀行-TSS'!A:AK,37,FALSE)</f>
        <v>有</v>
      </c>
      <c r="M289" s="136" t="str">
        <f ca="1">VLOOKUP(A289,'銀行-TSS'!A:AN,40,FALSE)</f>
        <v/>
      </c>
      <c r="N289" s="1211">
        <f t="shared" ca="1" si="55"/>
        <v>1146.5999999999999</v>
      </c>
      <c r="O289" s="1211">
        <f t="shared" ca="1" si="56"/>
        <v>11466</v>
      </c>
      <c r="P289" s="1213">
        <f ca="1">IF(AND(換券投組!$D$17&gt;=O289,換券投組!$D$13=D289),I289+INT((換券投組!$D$17-O289)/N289)*J289,0)</f>
        <v>0</v>
      </c>
      <c r="Q289" s="1211">
        <f t="shared" ca="1" si="57"/>
        <v>0</v>
      </c>
      <c r="R289" s="1213">
        <f t="shared" ca="1" si="58"/>
        <v>0</v>
      </c>
      <c r="S289" s="1213">
        <f t="shared" ca="1" si="59"/>
        <v>0</v>
      </c>
      <c r="T289" s="136">
        <f t="shared" ca="1" si="52"/>
        <v>0</v>
      </c>
      <c r="U289" s="861">
        <f t="shared" ca="1" si="53"/>
        <v>0</v>
      </c>
      <c r="V289" s="136" t="b">
        <f ca="1">IF(OR(D289&lt;&gt;"USD",L289="無",M289&lt;&gt;"",K289="高資產",IFERROR(MATCH(B289,換券投組!K:K,0),"N")&lt;&gt;"N",IFERROR(MATCH(B289,換券投組!J:J,0),"N")&lt;&gt;"N"),FALSE,IF($V$1="All",TRUE,IF(K289=$V$1,TRUE,FALSE)))</f>
        <v>1</v>
      </c>
      <c r="W289" s="136">
        <f ca="1">VLOOKUP(A289,'銀行-TSS'!A:AO,41,FALSE)</f>
        <v>110.67</v>
      </c>
      <c r="X289" s="136">
        <f ca="1">VLOOKUP(A289,'銀行-TSS'!A:AP,42,FALSE)</f>
        <v>9.2203999999999997</v>
      </c>
      <c r="Y289" s="1223">
        <f t="shared" ca="1" si="60"/>
        <v>0</v>
      </c>
      <c r="Z289" s="1211">
        <f t="shared" ca="1" si="61"/>
        <v>0</v>
      </c>
      <c r="AA289" s="136">
        <f ca="1">IF(Z289&lt;=0,0,RANK(Z289,Z:Z)+COUNTIF($Z$3:$Z289,Z289)-1)</f>
        <v>0</v>
      </c>
      <c r="AB289" s="1211">
        <f t="shared" ca="1" si="54"/>
        <v>0</v>
      </c>
      <c r="AC289" s="136">
        <f ca="1">IF(AB289&lt;=0,0,RANK(AB289,AB:AB)+COUNTIF($AB$3:$AB289,AB289)-1)</f>
        <v>0</v>
      </c>
      <c r="AD289" s="136">
        <f t="shared" ca="1" si="62"/>
        <v>99999</v>
      </c>
      <c r="AE289" s="136">
        <f ca="1">IF(AD289=99999,0,RANK(AD289,AD:AD,1)+COUNTIF($AD$3:$AD289,AD289)-1)</f>
        <v>0</v>
      </c>
    </row>
    <row r="290" spans="1:31">
      <c r="A290" s="141">
        <f>'銀行-TSS'!A290</f>
        <v>0</v>
      </c>
      <c r="B290" s="151">
        <f ca="1">VLOOKUP(A290,'銀行-TSS'!A:B,2,FALSE)</f>
        <v>0</v>
      </c>
      <c r="C290" s="151" t="e">
        <f ca="1">VLOOKUP(B290,bond!B:C,2,FALSE)</f>
        <v>#N/A</v>
      </c>
      <c r="D290" s="95" t="e">
        <f>VLOOKUP(A290,'銀行-TSS'!A:C,3,FALSE)</f>
        <v>#N/A</v>
      </c>
      <c r="E290" s="90" t="e">
        <f ca="1">VLOOKUP(A290,'銀行-TSS'!A:G,7,FALSE)</f>
        <v>#N/A</v>
      </c>
      <c r="F290" s="202" t="e">
        <f ca="1">VLOOKUP(A290,'銀行-TSS'!A:H,8,FALSE)</f>
        <v>#N/A</v>
      </c>
      <c r="G290" s="96" t="e">
        <f ca="1">VLOOKUP(A290,'銀行-TSS'!A:K,11,FALSE)</f>
        <v>#N/A</v>
      </c>
      <c r="H290" s="1209" t="e">
        <f ca="1">VLOOKUP(A290,'銀行-TSS'!A:M,13,FALSE)</f>
        <v>#N/A</v>
      </c>
      <c r="I290" s="1213" t="e">
        <f ca="1">VLOOKUP(A290,'銀行-TSS'!A:N,14,FALSE)</f>
        <v>#N/A</v>
      </c>
      <c r="J290" s="1213" t="e">
        <f ca="1">VLOOKUP(A290,'銀行-TSS'!A:O,15,FALSE)</f>
        <v>#N/A</v>
      </c>
      <c r="K290" s="136" t="e">
        <f ca="1">VLOOKUP(A290,'銀行-TSS'!A:V,22,FALSE)</f>
        <v>#N/A</v>
      </c>
      <c r="L290" s="136" t="e">
        <f ca="1">VLOOKUP(A290,'銀行-TSS'!A:AK,37,FALSE)</f>
        <v>#N/A</v>
      </c>
      <c r="M290" s="136" t="str">
        <f ca="1">VLOOKUP(A290,'銀行-TSS'!A:AN,40,FALSE)</f>
        <v/>
      </c>
      <c r="N290" s="1211" t="e">
        <f t="shared" ca="1" si="55"/>
        <v>#N/A</v>
      </c>
      <c r="O290" s="1211" t="e">
        <f t="shared" ca="1" si="56"/>
        <v>#N/A</v>
      </c>
      <c r="P290" s="1213" t="e">
        <f ca="1">IF(AND(換券投組!$D$17&gt;=O290,換券投組!$D$13=D290),I290+INT((換券投組!$D$17-O290)/N290)*J290,0)</f>
        <v>#N/A</v>
      </c>
      <c r="Q290" s="1211" t="e">
        <f t="shared" ca="1" si="57"/>
        <v>#N/A</v>
      </c>
      <c r="R290" s="1213">
        <f t="shared" si="58"/>
        <v>0</v>
      </c>
      <c r="S290" s="1213">
        <f t="shared" si="59"/>
        <v>0</v>
      </c>
      <c r="T290" s="136">
        <f t="shared" si="52"/>
        <v>0</v>
      </c>
      <c r="U290" s="861">
        <f t="shared" si="53"/>
        <v>0</v>
      </c>
      <c r="V290" s="136" t="e">
        <f ca="1">IF(OR(D290&lt;&gt;"USD",L290="無",M290&lt;&gt;"",K290="高資產",IFERROR(MATCH(B290,換券投組!K:K,0),"N")&lt;&gt;"N",IFERROR(MATCH(B290,換券投組!J:J,0),"N")&lt;&gt;"N"),FALSE,IF($V$1="All",TRUE,IF(K290=$V$1,TRUE,FALSE)))</f>
        <v>#N/A</v>
      </c>
      <c r="W290" s="136" t="e">
        <f ca="1">VLOOKUP(A290,'銀行-TSS'!A:AO,41,FALSE)</f>
        <v>#N/A</v>
      </c>
      <c r="X290" s="136" t="e">
        <f ca="1">VLOOKUP(A290,'銀行-TSS'!A:AP,42,FALSE)</f>
        <v>#N/A</v>
      </c>
      <c r="Y290" s="1223">
        <f t="shared" si="60"/>
        <v>0</v>
      </c>
      <c r="Z290" s="1211">
        <f t="shared" si="61"/>
        <v>0</v>
      </c>
      <c r="AA290" s="136">
        <f>IF(Z290&lt;=0,0,RANK(Z290,Z:Z)+COUNTIF($Z$3:$Z290,Z290)-1)</f>
        <v>0</v>
      </c>
      <c r="AB290" s="1211">
        <f t="shared" ca="1" si="54"/>
        <v>0</v>
      </c>
      <c r="AC290" s="136">
        <f ca="1">IF(AB290&lt;=0,0,RANK(AB290,AB:AB)+COUNTIF($AB$3:$AB290,AB290)-1)</f>
        <v>0</v>
      </c>
      <c r="AD290" s="136">
        <f t="shared" si="62"/>
        <v>99999</v>
      </c>
      <c r="AE290" s="136">
        <f>IF(AD290=99999,0,RANK(AD290,AD:AD,1)+COUNTIF($AD$3:$AD290,AD290)-1)</f>
        <v>0</v>
      </c>
    </row>
    <row r="291" spans="1:31">
      <c r="A291" s="141">
        <f>'銀行-TSS'!A291</f>
        <v>0</v>
      </c>
      <c r="B291" s="151">
        <f ca="1">VLOOKUP(A291,'銀行-TSS'!A:B,2,FALSE)</f>
        <v>0</v>
      </c>
      <c r="C291" s="151" t="e">
        <f ca="1">VLOOKUP(B291,bond!B:C,2,FALSE)</f>
        <v>#N/A</v>
      </c>
      <c r="D291" s="95" t="e">
        <f>VLOOKUP(A291,'銀行-TSS'!A:C,3,FALSE)</f>
        <v>#N/A</v>
      </c>
      <c r="E291" s="90" t="e">
        <f ca="1">VLOOKUP(A291,'銀行-TSS'!A:G,7,FALSE)</f>
        <v>#N/A</v>
      </c>
      <c r="F291" s="202" t="e">
        <f ca="1">VLOOKUP(A291,'銀行-TSS'!A:H,8,FALSE)</f>
        <v>#N/A</v>
      </c>
      <c r="G291" s="96" t="e">
        <f ca="1">VLOOKUP(A291,'銀行-TSS'!A:K,11,FALSE)</f>
        <v>#N/A</v>
      </c>
      <c r="H291" s="1209" t="e">
        <f ca="1">VLOOKUP(A291,'銀行-TSS'!A:M,13,FALSE)</f>
        <v>#N/A</v>
      </c>
      <c r="I291" s="1213" t="e">
        <f ca="1">VLOOKUP(A291,'銀行-TSS'!A:N,14,FALSE)</f>
        <v>#N/A</v>
      </c>
      <c r="J291" s="1213" t="e">
        <f ca="1">VLOOKUP(A291,'銀行-TSS'!A:O,15,FALSE)</f>
        <v>#N/A</v>
      </c>
      <c r="K291" s="136" t="e">
        <f ca="1">VLOOKUP(A291,'銀行-TSS'!A:V,22,FALSE)</f>
        <v>#N/A</v>
      </c>
      <c r="L291" s="136" t="e">
        <f ca="1">VLOOKUP(A291,'銀行-TSS'!A:AK,37,FALSE)</f>
        <v>#N/A</v>
      </c>
      <c r="M291" s="136" t="str">
        <f ca="1">VLOOKUP(A291,'銀行-TSS'!A:AN,40,FALSE)</f>
        <v/>
      </c>
      <c r="N291" s="1211" t="e">
        <f t="shared" ref="N291:N322" ca="1" si="63">G291*J291/100</f>
        <v>#N/A</v>
      </c>
      <c r="O291" s="1211" t="e">
        <f t="shared" ref="O291:O322" ca="1" si="64">G291*I291/100</f>
        <v>#N/A</v>
      </c>
      <c r="P291" s="1213" t="e">
        <f ca="1">IF(AND(換券投組!$D$17&gt;=O291,換券投組!$D$13=D291),I291+INT((換券投組!$D$17-O291)/N291)*J291,0)</f>
        <v>#N/A</v>
      </c>
      <c r="Q291" s="1211" t="e">
        <f t="shared" ref="Q291:Q322" ca="1" si="65">P291*F291</f>
        <v>#N/A</v>
      </c>
      <c r="R291" s="1213">
        <f t="shared" ref="R291:R322" si="66">IF(A291=0,0,IF(V291=FALSE,0,P291))</f>
        <v>0</v>
      </c>
      <c r="S291" s="1213">
        <f t="shared" ref="S291:S322" si="67">IF(A291=0,0,IF(V291=FALSE,0,Q291))</f>
        <v>0</v>
      </c>
      <c r="T291" s="136">
        <f t="shared" si="52"/>
        <v>0</v>
      </c>
      <c r="U291" s="861">
        <f t="shared" si="53"/>
        <v>0</v>
      </c>
      <c r="V291" s="136" t="e">
        <f ca="1">IF(OR(D291&lt;&gt;"USD",L291="無",M291&lt;&gt;"",K291="高資產",IFERROR(MATCH(B291,換券投組!K:K,0),"N")&lt;&gt;"N",IFERROR(MATCH(B291,換券投組!J:J,0),"N")&lt;&gt;"N"),FALSE,IF($V$1="All",TRUE,IF(K291=$V$1,TRUE,FALSE)))</f>
        <v>#N/A</v>
      </c>
      <c r="W291" s="136" t="e">
        <f ca="1">VLOOKUP(A291,'銀行-TSS'!A:AO,41,FALSE)</f>
        <v>#N/A</v>
      </c>
      <c r="X291" s="136" t="e">
        <f ca="1">VLOOKUP(A291,'銀行-TSS'!A:AP,42,FALSE)</f>
        <v>#N/A</v>
      </c>
      <c r="Y291" s="1223">
        <f t="shared" ref="Y291:Y322" si="68">IF(A291=0,0,IF(V291=FALSE,0,IFERROR(W291/100*P291*X291*1%,0)))</f>
        <v>0</v>
      </c>
      <c r="Z291" s="1211">
        <f t="shared" ref="Z291:Z323" si="69">IF(A291=0,0,IF(V291=FALSE,0,IF(OR(Q291&lt;$Y$1,E291&lt;5)=FALSE,(Q291-$Q$1)*MIN(3,E291)*(1-MIN(1/(2*E291),1))+IF((P291-$P$1)&lt;0,(P291-$P$1),((P291-$P$1)*MIN(1/(2*E291),1))),0)))</f>
        <v>0</v>
      </c>
      <c r="AA291" s="136">
        <f>IF(Z291&lt;=0,0,RANK(Z291,Z:Z)+COUNTIF($Z$3:$Z291,Z291)-1)</f>
        <v>0</v>
      </c>
      <c r="AB291" s="1211">
        <f t="shared" ca="1" si="54"/>
        <v>0</v>
      </c>
      <c r="AC291" s="136">
        <f ca="1">IF(AB291&lt;=0,0,RANK(AB291,AB:AB)+COUNTIF($AB$3:$AB291,AB291)-1)</f>
        <v>0</v>
      </c>
      <c r="AD291" s="136">
        <f t="shared" ref="AD291:AD323" si="70">IF(A291=0,99999,IF(OR(V291=FALSE,AA291=0,AC291=0),99999,(AC291+AA291)/2))</f>
        <v>99999</v>
      </c>
      <c r="AE291" s="136">
        <f>IF(AD291=99999,0,RANK(AD291,AD:AD,1)+COUNTIF($AD$3:$AD291,AD291)-1)</f>
        <v>0</v>
      </c>
    </row>
    <row r="292" spans="1:31">
      <c r="A292" s="141">
        <f>'銀行-TSS'!A292</f>
        <v>0</v>
      </c>
      <c r="B292" s="151">
        <f ca="1">VLOOKUP(A292,'銀行-TSS'!A:B,2,FALSE)</f>
        <v>0</v>
      </c>
      <c r="C292" s="151" t="e">
        <f ca="1">VLOOKUP(B292,bond!B:C,2,FALSE)</f>
        <v>#N/A</v>
      </c>
      <c r="D292" s="95" t="e">
        <f>VLOOKUP(A292,'銀行-TSS'!A:C,3,FALSE)</f>
        <v>#N/A</v>
      </c>
      <c r="E292" s="90" t="e">
        <f ca="1">VLOOKUP(A292,'銀行-TSS'!A:G,7,FALSE)</f>
        <v>#N/A</v>
      </c>
      <c r="F292" s="202" t="e">
        <f ca="1">VLOOKUP(A292,'銀行-TSS'!A:H,8,FALSE)</f>
        <v>#N/A</v>
      </c>
      <c r="G292" s="96" t="e">
        <f ca="1">VLOOKUP(A292,'銀行-TSS'!A:K,11,FALSE)</f>
        <v>#N/A</v>
      </c>
      <c r="H292" s="1209" t="e">
        <f ca="1">VLOOKUP(A292,'銀行-TSS'!A:M,13,FALSE)</f>
        <v>#N/A</v>
      </c>
      <c r="I292" s="1213" t="e">
        <f ca="1">VLOOKUP(A292,'銀行-TSS'!A:N,14,FALSE)</f>
        <v>#N/A</v>
      </c>
      <c r="J292" s="1213" t="e">
        <f ca="1">VLOOKUP(A292,'銀行-TSS'!A:O,15,FALSE)</f>
        <v>#N/A</v>
      </c>
      <c r="K292" s="136" t="e">
        <f ca="1">VLOOKUP(A292,'銀行-TSS'!A:V,22,FALSE)</f>
        <v>#N/A</v>
      </c>
      <c r="L292" s="136" t="e">
        <f ca="1">VLOOKUP(A292,'銀行-TSS'!A:AK,37,FALSE)</f>
        <v>#N/A</v>
      </c>
      <c r="M292" s="136" t="str">
        <f ca="1">VLOOKUP(A292,'銀行-TSS'!A:AN,40,FALSE)</f>
        <v/>
      </c>
      <c r="N292" s="1211" t="e">
        <f t="shared" ca="1" si="63"/>
        <v>#N/A</v>
      </c>
      <c r="O292" s="1211" t="e">
        <f t="shared" ca="1" si="64"/>
        <v>#N/A</v>
      </c>
      <c r="P292" s="1213" t="e">
        <f ca="1">IF(AND(換券投組!$D$17&gt;=O292,換券投組!$D$13=D292),I292+INT((換券投組!$D$17-O292)/N292)*J292,0)</f>
        <v>#N/A</v>
      </c>
      <c r="Q292" s="1211" t="e">
        <f t="shared" ca="1" si="65"/>
        <v>#N/A</v>
      </c>
      <c r="R292" s="1213">
        <f t="shared" si="66"/>
        <v>0</v>
      </c>
      <c r="S292" s="1213">
        <f t="shared" si="67"/>
        <v>0</v>
      </c>
      <c r="T292" s="136">
        <f t="shared" si="52"/>
        <v>0</v>
      </c>
      <c r="U292" s="861">
        <f t="shared" si="53"/>
        <v>0</v>
      </c>
      <c r="V292" s="136" t="e">
        <f ca="1">IF(OR(D292&lt;&gt;"USD",L292="無",M292&lt;&gt;"",K292="高資產",IFERROR(MATCH(B292,換券投組!K:K,0),"N")&lt;&gt;"N",IFERROR(MATCH(B292,換券投組!J:J,0),"N")&lt;&gt;"N"),FALSE,IF($V$1="All",TRUE,IF(K292=$V$1,TRUE,FALSE)))</f>
        <v>#N/A</v>
      </c>
      <c r="W292" s="136" t="e">
        <f ca="1">VLOOKUP(A292,'銀行-TSS'!A:AO,41,FALSE)</f>
        <v>#N/A</v>
      </c>
      <c r="X292" s="136" t="e">
        <f ca="1">VLOOKUP(A292,'銀行-TSS'!A:AP,42,FALSE)</f>
        <v>#N/A</v>
      </c>
      <c r="Y292" s="1223">
        <f t="shared" si="68"/>
        <v>0</v>
      </c>
      <c r="Z292" s="1211">
        <f t="shared" si="69"/>
        <v>0</v>
      </c>
      <c r="AA292" s="136">
        <f>IF(Z292&lt;=0,0,RANK(Z292,Z:Z)+COUNTIF($Z$3:$Z292,Z292)-1)</f>
        <v>0</v>
      </c>
      <c r="AB292" s="1211">
        <f t="shared" ca="1" si="54"/>
        <v>0</v>
      </c>
      <c r="AC292" s="136">
        <f ca="1">IF(AB292&lt;=0,0,RANK(AB292,AB:AB)+COUNTIF($AB$3:$AB292,AB292)-1)</f>
        <v>0</v>
      </c>
      <c r="AD292" s="136">
        <f t="shared" si="70"/>
        <v>99999</v>
      </c>
      <c r="AE292" s="136">
        <f>IF(AD292=99999,0,RANK(AD292,AD:AD,1)+COUNTIF($AD$3:$AD292,AD292)-1)</f>
        <v>0</v>
      </c>
    </row>
    <row r="293" spans="1:31">
      <c r="A293" s="141">
        <f>'銀行-TSS'!A293</f>
        <v>0</v>
      </c>
      <c r="B293" s="151">
        <f ca="1">VLOOKUP(A293,'銀行-TSS'!A:B,2,FALSE)</f>
        <v>0</v>
      </c>
      <c r="C293" s="151" t="e">
        <f ca="1">VLOOKUP(B293,bond!B:C,2,FALSE)</f>
        <v>#N/A</v>
      </c>
      <c r="D293" s="95" t="e">
        <f>VLOOKUP(A293,'銀行-TSS'!A:C,3,FALSE)</f>
        <v>#N/A</v>
      </c>
      <c r="E293" s="90" t="e">
        <f ca="1">VLOOKUP(A293,'銀行-TSS'!A:G,7,FALSE)</f>
        <v>#N/A</v>
      </c>
      <c r="F293" s="202" t="e">
        <f ca="1">VLOOKUP(A293,'銀行-TSS'!A:H,8,FALSE)</f>
        <v>#N/A</v>
      </c>
      <c r="G293" s="96" t="e">
        <f ca="1">VLOOKUP(A293,'銀行-TSS'!A:K,11,FALSE)</f>
        <v>#N/A</v>
      </c>
      <c r="H293" s="1209" t="e">
        <f ca="1">VLOOKUP(A293,'銀行-TSS'!A:M,13,FALSE)</f>
        <v>#N/A</v>
      </c>
      <c r="I293" s="1213" t="e">
        <f ca="1">VLOOKUP(A293,'銀行-TSS'!A:N,14,FALSE)</f>
        <v>#N/A</v>
      </c>
      <c r="J293" s="1213" t="e">
        <f ca="1">VLOOKUP(A293,'銀行-TSS'!A:O,15,FALSE)</f>
        <v>#N/A</v>
      </c>
      <c r="K293" s="136" t="e">
        <f ca="1">VLOOKUP(A293,'銀行-TSS'!A:V,22,FALSE)</f>
        <v>#N/A</v>
      </c>
      <c r="L293" s="136" t="e">
        <f ca="1">VLOOKUP(A293,'銀行-TSS'!A:AK,37,FALSE)</f>
        <v>#N/A</v>
      </c>
      <c r="M293" s="136" t="str">
        <f ca="1">VLOOKUP(A293,'銀行-TSS'!A:AN,40,FALSE)</f>
        <v/>
      </c>
      <c r="N293" s="1211" t="e">
        <f t="shared" ca="1" si="63"/>
        <v>#N/A</v>
      </c>
      <c r="O293" s="1211" t="e">
        <f t="shared" ca="1" si="64"/>
        <v>#N/A</v>
      </c>
      <c r="P293" s="1213" t="e">
        <f ca="1">IF(AND(換券投組!$D$17&gt;=O293,換券投組!$D$13=D293),I293+INT((換券投組!$D$17-O293)/N293)*J293,0)</f>
        <v>#N/A</v>
      </c>
      <c r="Q293" s="1211" t="e">
        <f t="shared" ca="1" si="65"/>
        <v>#N/A</v>
      </c>
      <c r="R293" s="1213">
        <f t="shared" si="66"/>
        <v>0</v>
      </c>
      <c r="S293" s="1213">
        <f t="shared" si="67"/>
        <v>0</v>
      </c>
      <c r="T293" s="136">
        <f t="shared" si="52"/>
        <v>0</v>
      </c>
      <c r="U293" s="861">
        <f t="shared" si="53"/>
        <v>0</v>
      </c>
      <c r="V293" s="136" t="e">
        <f ca="1">IF(OR(D293&lt;&gt;"USD",L293="無",M293&lt;&gt;"",K293="高資產",IFERROR(MATCH(B293,換券投組!K:K,0),"N")&lt;&gt;"N",IFERROR(MATCH(B293,換券投組!J:J,0),"N")&lt;&gt;"N"),FALSE,IF($V$1="All",TRUE,IF(K293=$V$1,TRUE,FALSE)))</f>
        <v>#N/A</v>
      </c>
      <c r="W293" s="136" t="e">
        <f ca="1">VLOOKUP(A293,'銀行-TSS'!A:AO,41,FALSE)</f>
        <v>#N/A</v>
      </c>
      <c r="X293" s="136" t="e">
        <f ca="1">VLOOKUP(A293,'銀行-TSS'!A:AP,42,FALSE)</f>
        <v>#N/A</v>
      </c>
      <c r="Y293" s="1223">
        <f t="shared" si="68"/>
        <v>0</v>
      </c>
      <c r="Z293" s="1211">
        <f t="shared" si="69"/>
        <v>0</v>
      </c>
      <c r="AA293" s="136">
        <f>IF(Z293&lt;=0,0,RANK(Z293,Z:Z)+COUNTIF($Z$3:$Z293,Z293)-1)</f>
        <v>0</v>
      </c>
      <c r="AB293" s="1211">
        <f t="shared" ca="1" si="54"/>
        <v>0</v>
      </c>
      <c r="AC293" s="136">
        <f ca="1">IF(AB293&lt;=0,0,RANK(AB293,AB:AB)+COUNTIF($AB$3:$AB293,AB293)-1)</f>
        <v>0</v>
      </c>
      <c r="AD293" s="136">
        <f t="shared" si="70"/>
        <v>99999</v>
      </c>
      <c r="AE293" s="136">
        <f>IF(AD293=99999,0,RANK(AD293,AD:AD,1)+COUNTIF($AD$3:$AD293,AD293)-1)</f>
        <v>0</v>
      </c>
    </row>
    <row r="294" spans="1:31">
      <c r="A294" s="141">
        <f>'銀行-TSS'!A294</f>
        <v>0</v>
      </c>
      <c r="B294" s="151">
        <f ca="1">VLOOKUP(A294,'銀行-TSS'!A:B,2,FALSE)</f>
        <v>0</v>
      </c>
      <c r="C294" s="151" t="e">
        <f ca="1">VLOOKUP(B294,bond!B:C,2,FALSE)</f>
        <v>#N/A</v>
      </c>
      <c r="D294" s="95" t="e">
        <f>VLOOKUP(A294,'銀行-TSS'!A:C,3,FALSE)</f>
        <v>#N/A</v>
      </c>
      <c r="E294" s="90" t="e">
        <f ca="1">VLOOKUP(A294,'銀行-TSS'!A:G,7,FALSE)</f>
        <v>#N/A</v>
      </c>
      <c r="F294" s="202" t="e">
        <f ca="1">VLOOKUP(A294,'銀行-TSS'!A:H,8,FALSE)</f>
        <v>#N/A</v>
      </c>
      <c r="G294" s="96" t="e">
        <f ca="1">VLOOKUP(A294,'銀行-TSS'!A:K,11,FALSE)</f>
        <v>#N/A</v>
      </c>
      <c r="H294" s="1209" t="e">
        <f ca="1">VLOOKUP(A294,'銀行-TSS'!A:M,13,FALSE)</f>
        <v>#N/A</v>
      </c>
      <c r="I294" s="1213" t="e">
        <f ca="1">VLOOKUP(A294,'銀行-TSS'!A:N,14,FALSE)</f>
        <v>#N/A</v>
      </c>
      <c r="J294" s="1213" t="e">
        <f ca="1">VLOOKUP(A294,'銀行-TSS'!A:O,15,FALSE)</f>
        <v>#N/A</v>
      </c>
      <c r="K294" s="136" t="e">
        <f ca="1">VLOOKUP(A294,'銀行-TSS'!A:V,22,FALSE)</f>
        <v>#N/A</v>
      </c>
      <c r="L294" s="136" t="e">
        <f ca="1">VLOOKUP(A294,'銀行-TSS'!A:AK,37,FALSE)</f>
        <v>#N/A</v>
      </c>
      <c r="M294" s="136" t="str">
        <f ca="1">VLOOKUP(A294,'銀行-TSS'!A:AN,40,FALSE)</f>
        <v/>
      </c>
      <c r="N294" s="1211" t="e">
        <f t="shared" ca="1" si="63"/>
        <v>#N/A</v>
      </c>
      <c r="O294" s="1211" t="e">
        <f t="shared" ca="1" si="64"/>
        <v>#N/A</v>
      </c>
      <c r="P294" s="1213" t="e">
        <f ca="1">IF(AND(換券投組!$D$17&gt;=O294,換券投組!$D$13=D294),I294+INT((換券投組!$D$17-O294)/N294)*J294,0)</f>
        <v>#N/A</v>
      </c>
      <c r="Q294" s="1211" t="e">
        <f t="shared" ca="1" si="65"/>
        <v>#N/A</v>
      </c>
      <c r="R294" s="1213">
        <f t="shared" si="66"/>
        <v>0</v>
      </c>
      <c r="S294" s="1213">
        <f t="shared" si="67"/>
        <v>0</v>
      </c>
      <c r="T294" s="136">
        <f t="shared" si="52"/>
        <v>0</v>
      </c>
      <c r="U294" s="861">
        <f t="shared" si="53"/>
        <v>0</v>
      </c>
      <c r="V294" s="136" t="e">
        <f ca="1">IF(OR(D294&lt;&gt;"USD",L294="無",M294&lt;&gt;"",K294="高資產",IFERROR(MATCH(B294,換券投組!K:K,0),"N")&lt;&gt;"N",IFERROR(MATCH(B294,換券投組!J:J,0),"N")&lt;&gt;"N"),FALSE,IF($V$1="All",TRUE,IF(K294=$V$1,TRUE,FALSE)))</f>
        <v>#N/A</v>
      </c>
      <c r="W294" s="136" t="e">
        <f ca="1">VLOOKUP(A294,'銀行-TSS'!A:AO,41,FALSE)</f>
        <v>#N/A</v>
      </c>
      <c r="X294" s="136" t="e">
        <f ca="1">VLOOKUP(A294,'銀行-TSS'!A:AP,42,FALSE)</f>
        <v>#N/A</v>
      </c>
      <c r="Y294" s="1223">
        <f t="shared" si="68"/>
        <v>0</v>
      </c>
      <c r="Z294" s="1211">
        <f t="shared" si="69"/>
        <v>0</v>
      </c>
      <c r="AA294" s="136">
        <f>IF(Z294&lt;=0,0,RANK(Z294,Z:Z)+COUNTIF($Z$3:$Z294,Z294)-1)</f>
        <v>0</v>
      </c>
      <c r="AB294" s="1211">
        <f t="shared" ca="1" si="54"/>
        <v>0</v>
      </c>
      <c r="AC294" s="136">
        <f ca="1">IF(AB294&lt;=0,0,RANK(AB294,AB:AB)+COUNTIF($AB$3:$AB294,AB294)-1)</f>
        <v>0</v>
      </c>
      <c r="AD294" s="136">
        <f t="shared" si="70"/>
        <v>99999</v>
      </c>
      <c r="AE294" s="136">
        <f>IF(AD294=99999,0,RANK(AD294,AD:AD,1)+COUNTIF($AD$3:$AD294,AD294)-1)</f>
        <v>0</v>
      </c>
    </row>
    <row r="295" spans="1:31">
      <c r="A295" s="141">
        <f>'銀行-TSS'!A295</f>
        <v>0</v>
      </c>
      <c r="B295" s="151">
        <f ca="1">VLOOKUP(A295,'銀行-TSS'!A:B,2,FALSE)</f>
        <v>0</v>
      </c>
      <c r="C295" s="151" t="e">
        <f ca="1">VLOOKUP(B295,bond!B:C,2,FALSE)</f>
        <v>#N/A</v>
      </c>
      <c r="D295" s="95" t="e">
        <f>VLOOKUP(A295,'銀行-TSS'!A:C,3,FALSE)</f>
        <v>#N/A</v>
      </c>
      <c r="E295" s="90" t="e">
        <f ca="1">VLOOKUP(A295,'銀行-TSS'!A:G,7,FALSE)</f>
        <v>#N/A</v>
      </c>
      <c r="F295" s="202" t="e">
        <f ca="1">VLOOKUP(A295,'銀行-TSS'!A:H,8,FALSE)</f>
        <v>#N/A</v>
      </c>
      <c r="G295" s="96" t="e">
        <f ca="1">VLOOKUP(A295,'銀行-TSS'!A:K,11,FALSE)</f>
        <v>#N/A</v>
      </c>
      <c r="H295" s="1209" t="e">
        <f ca="1">VLOOKUP(A295,'銀行-TSS'!A:M,13,FALSE)</f>
        <v>#N/A</v>
      </c>
      <c r="I295" s="1213" t="e">
        <f ca="1">VLOOKUP(A295,'銀行-TSS'!A:N,14,FALSE)</f>
        <v>#N/A</v>
      </c>
      <c r="J295" s="1213" t="e">
        <f ca="1">VLOOKUP(A295,'銀行-TSS'!A:O,15,FALSE)</f>
        <v>#N/A</v>
      </c>
      <c r="K295" s="136" t="e">
        <f ca="1">VLOOKUP(A295,'銀行-TSS'!A:V,22,FALSE)</f>
        <v>#N/A</v>
      </c>
      <c r="L295" s="136" t="e">
        <f ca="1">VLOOKUP(A295,'銀行-TSS'!A:AK,37,FALSE)</f>
        <v>#N/A</v>
      </c>
      <c r="M295" s="136" t="str">
        <f ca="1">VLOOKUP(A295,'銀行-TSS'!A:AN,40,FALSE)</f>
        <v/>
      </c>
      <c r="N295" s="1211" t="e">
        <f t="shared" ca="1" si="63"/>
        <v>#N/A</v>
      </c>
      <c r="O295" s="1211" t="e">
        <f t="shared" ca="1" si="64"/>
        <v>#N/A</v>
      </c>
      <c r="P295" s="1213" t="e">
        <f ca="1">IF(AND(換券投組!$D$17&gt;=O295,換券投組!$D$13=D295),I295+INT((換券投組!$D$17-O295)/N295)*J295,0)</f>
        <v>#N/A</v>
      </c>
      <c r="Q295" s="1211" t="e">
        <f t="shared" ca="1" si="65"/>
        <v>#N/A</v>
      </c>
      <c r="R295" s="1213">
        <f t="shared" si="66"/>
        <v>0</v>
      </c>
      <c r="S295" s="1213">
        <f t="shared" si="67"/>
        <v>0</v>
      </c>
      <c r="T295" s="136">
        <f t="shared" si="52"/>
        <v>0</v>
      </c>
      <c r="U295" s="861">
        <f t="shared" si="53"/>
        <v>0</v>
      </c>
      <c r="V295" s="136" t="e">
        <f ca="1">IF(OR(D295&lt;&gt;"USD",L295="無",M295&lt;&gt;"",K295="高資產",IFERROR(MATCH(B295,換券投組!K:K,0),"N")&lt;&gt;"N",IFERROR(MATCH(B295,換券投組!J:J,0),"N")&lt;&gt;"N"),FALSE,IF($V$1="All",TRUE,IF(K295=$V$1,TRUE,FALSE)))</f>
        <v>#N/A</v>
      </c>
      <c r="W295" s="136" t="e">
        <f ca="1">VLOOKUP(A295,'銀行-TSS'!A:AO,41,FALSE)</f>
        <v>#N/A</v>
      </c>
      <c r="X295" s="136" t="e">
        <f ca="1">VLOOKUP(A295,'銀行-TSS'!A:AP,42,FALSE)</f>
        <v>#N/A</v>
      </c>
      <c r="Y295" s="1223">
        <f t="shared" si="68"/>
        <v>0</v>
      </c>
      <c r="Z295" s="1211">
        <f t="shared" si="69"/>
        <v>0</v>
      </c>
      <c r="AA295" s="136">
        <f>IF(Z295&lt;=0,0,RANK(Z295,Z:Z)+COUNTIF($Z$3:$Z295,Z295)-1)</f>
        <v>0</v>
      </c>
      <c r="AB295" s="1211">
        <f t="shared" ca="1" si="54"/>
        <v>0</v>
      </c>
      <c r="AC295" s="136">
        <f ca="1">IF(AB295&lt;=0,0,RANK(AB295,AB:AB)+COUNTIF($AB$3:$AB295,AB295)-1)</f>
        <v>0</v>
      </c>
      <c r="AD295" s="136">
        <f t="shared" si="70"/>
        <v>99999</v>
      </c>
      <c r="AE295" s="136">
        <f>IF(AD295=99999,0,RANK(AD295,AD:AD,1)+COUNTIF($AD$3:$AD295,AD295)-1)</f>
        <v>0</v>
      </c>
    </row>
    <row r="296" spans="1:31">
      <c r="A296" s="141">
        <f>'銀行-TSS'!A296</f>
        <v>0</v>
      </c>
      <c r="B296" s="151">
        <f ca="1">VLOOKUP(A296,'銀行-TSS'!A:B,2,FALSE)</f>
        <v>0</v>
      </c>
      <c r="C296" s="151" t="e">
        <f ca="1">VLOOKUP(B296,bond!B:C,2,FALSE)</f>
        <v>#N/A</v>
      </c>
      <c r="D296" s="95" t="e">
        <f>VLOOKUP(A296,'銀行-TSS'!A:C,3,FALSE)</f>
        <v>#N/A</v>
      </c>
      <c r="E296" s="90" t="e">
        <f ca="1">VLOOKUP(A296,'銀行-TSS'!A:G,7,FALSE)</f>
        <v>#N/A</v>
      </c>
      <c r="F296" s="202" t="e">
        <f ca="1">VLOOKUP(A296,'銀行-TSS'!A:H,8,FALSE)</f>
        <v>#N/A</v>
      </c>
      <c r="G296" s="96" t="e">
        <f ca="1">VLOOKUP(A296,'銀行-TSS'!A:K,11,FALSE)</f>
        <v>#N/A</v>
      </c>
      <c r="H296" s="1209" t="e">
        <f ca="1">VLOOKUP(A296,'銀行-TSS'!A:M,13,FALSE)</f>
        <v>#N/A</v>
      </c>
      <c r="I296" s="1213" t="e">
        <f ca="1">VLOOKUP(A296,'銀行-TSS'!A:N,14,FALSE)</f>
        <v>#N/A</v>
      </c>
      <c r="J296" s="1213" t="e">
        <f ca="1">VLOOKUP(A296,'銀行-TSS'!A:O,15,FALSE)</f>
        <v>#N/A</v>
      </c>
      <c r="K296" s="136" t="e">
        <f ca="1">VLOOKUP(A296,'銀行-TSS'!A:V,22,FALSE)</f>
        <v>#N/A</v>
      </c>
      <c r="L296" s="136" t="e">
        <f ca="1">VLOOKUP(A296,'銀行-TSS'!A:AK,37,FALSE)</f>
        <v>#N/A</v>
      </c>
      <c r="M296" s="136" t="str">
        <f ca="1">VLOOKUP(A296,'銀行-TSS'!A:AN,40,FALSE)</f>
        <v/>
      </c>
      <c r="N296" s="1211" t="e">
        <f t="shared" ca="1" si="63"/>
        <v>#N/A</v>
      </c>
      <c r="O296" s="1211" t="e">
        <f t="shared" ca="1" si="64"/>
        <v>#N/A</v>
      </c>
      <c r="P296" s="1213" t="e">
        <f ca="1">IF(AND(換券投組!$D$17&gt;=O296,換券投組!$D$13=D296),I296+INT((換券投組!$D$17-O296)/N296)*J296,0)</f>
        <v>#N/A</v>
      </c>
      <c r="Q296" s="1211" t="e">
        <f t="shared" ca="1" si="65"/>
        <v>#N/A</v>
      </c>
      <c r="R296" s="1213">
        <f t="shared" si="66"/>
        <v>0</v>
      </c>
      <c r="S296" s="1213">
        <f t="shared" si="67"/>
        <v>0</v>
      </c>
      <c r="T296" s="136">
        <f t="shared" si="52"/>
        <v>0</v>
      </c>
      <c r="U296" s="861">
        <f t="shared" si="53"/>
        <v>0</v>
      </c>
      <c r="V296" s="136" t="e">
        <f ca="1">IF(OR(D296&lt;&gt;"USD",L296="無",M296&lt;&gt;"",K296="高資產",IFERROR(MATCH(B296,換券投組!K:K,0),"N")&lt;&gt;"N",IFERROR(MATCH(B296,換券投組!J:J,0),"N")&lt;&gt;"N"),FALSE,IF($V$1="All",TRUE,IF(K296=$V$1,TRUE,FALSE)))</f>
        <v>#N/A</v>
      </c>
      <c r="W296" s="136" t="e">
        <f ca="1">VLOOKUP(A296,'銀行-TSS'!A:AO,41,FALSE)</f>
        <v>#N/A</v>
      </c>
      <c r="X296" s="136" t="e">
        <f ca="1">VLOOKUP(A296,'銀行-TSS'!A:AP,42,FALSE)</f>
        <v>#N/A</v>
      </c>
      <c r="Y296" s="1223">
        <f t="shared" si="68"/>
        <v>0</v>
      </c>
      <c r="Z296" s="1211">
        <f t="shared" si="69"/>
        <v>0</v>
      </c>
      <c r="AA296" s="136">
        <f>IF(Z296&lt;=0,0,RANK(Z296,Z:Z)+COUNTIF($Z$3:$Z296,Z296)-1)</f>
        <v>0</v>
      </c>
      <c r="AB296" s="1211">
        <f t="shared" ca="1" si="54"/>
        <v>0</v>
      </c>
      <c r="AC296" s="136">
        <f ca="1">IF(AB296&lt;=0,0,RANK(AB296,AB:AB)+COUNTIF($AB$3:$AB296,AB296)-1)</f>
        <v>0</v>
      </c>
      <c r="AD296" s="136">
        <f t="shared" si="70"/>
        <v>99999</v>
      </c>
      <c r="AE296" s="136">
        <f>IF(AD296=99999,0,RANK(AD296,AD:AD,1)+COUNTIF($AD$3:$AD296,AD296)-1)</f>
        <v>0</v>
      </c>
    </row>
    <row r="297" spans="1:31">
      <c r="A297" s="141">
        <f>'銀行-TSS'!A297</f>
        <v>0</v>
      </c>
      <c r="B297" s="151">
        <f ca="1">VLOOKUP(A297,'銀行-TSS'!A:B,2,FALSE)</f>
        <v>0</v>
      </c>
      <c r="C297" s="151" t="e">
        <f ca="1">VLOOKUP(B297,bond!B:C,2,FALSE)</f>
        <v>#N/A</v>
      </c>
      <c r="D297" s="95" t="e">
        <f>VLOOKUP(A297,'銀行-TSS'!A:C,3,FALSE)</f>
        <v>#N/A</v>
      </c>
      <c r="E297" s="90" t="e">
        <f ca="1">VLOOKUP(A297,'銀行-TSS'!A:G,7,FALSE)</f>
        <v>#N/A</v>
      </c>
      <c r="F297" s="202" t="e">
        <f ca="1">VLOOKUP(A297,'銀行-TSS'!A:H,8,FALSE)</f>
        <v>#N/A</v>
      </c>
      <c r="G297" s="96" t="e">
        <f ca="1">VLOOKUP(A297,'銀行-TSS'!A:K,11,FALSE)</f>
        <v>#N/A</v>
      </c>
      <c r="H297" s="1209" t="e">
        <f ca="1">VLOOKUP(A297,'銀行-TSS'!A:M,13,FALSE)</f>
        <v>#N/A</v>
      </c>
      <c r="I297" s="1213" t="e">
        <f ca="1">VLOOKUP(A297,'銀行-TSS'!A:N,14,FALSE)</f>
        <v>#N/A</v>
      </c>
      <c r="J297" s="1213" t="e">
        <f ca="1">VLOOKUP(A297,'銀行-TSS'!A:O,15,FALSE)</f>
        <v>#N/A</v>
      </c>
      <c r="K297" s="136" t="e">
        <f ca="1">VLOOKUP(A297,'銀行-TSS'!A:V,22,FALSE)</f>
        <v>#N/A</v>
      </c>
      <c r="L297" s="136" t="e">
        <f ca="1">VLOOKUP(A297,'銀行-TSS'!A:AK,37,FALSE)</f>
        <v>#N/A</v>
      </c>
      <c r="M297" s="136" t="str">
        <f ca="1">VLOOKUP(A297,'銀行-TSS'!A:AN,40,FALSE)</f>
        <v/>
      </c>
      <c r="N297" s="1211" t="e">
        <f t="shared" ca="1" si="63"/>
        <v>#N/A</v>
      </c>
      <c r="O297" s="1211" t="e">
        <f t="shared" ca="1" si="64"/>
        <v>#N/A</v>
      </c>
      <c r="P297" s="1213" t="e">
        <f ca="1">IF(AND(換券投組!$D$17&gt;=O297,換券投組!$D$13=D297),I297+INT((換券投組!$D$17-O297)/N297)*J297,0)</f>
        <v>#N/A</v>
      </c>
      <c r="Q297" s="1211" t="e">
        <f t="shared" ca="1" si="65"/>
        <v>#N/A</v>
      </c>
      <c r="R297" s="1213">
        <f t="shared" si="66"/>
        <v>0</v>
      </c>
      <c r="S297" s="1213">
        <f t="shared" si="67"/>
        <v>0</v>
      </c>
      <c r="T297" s="136">
        <f t="shared" si="52"/>
        <v>0</v>
      </c>
      <c r="U297" s="861">
        <f t="shared" si="53"/>
        <v>0</v>
      </c>
      <c r="V297" s="136" t="e">
        <f ca="1">IF(OR(D297&lt;&gt;"USD",L297="無",M297&lt;&gt;"",K297="高資產",IFERROR(MATCH(B297,換券投組!K:K,0),"N")&lt;&gt;"N",IFERROR(MATCH(B297,換券投組!J:J,0),"N")&lt;&gt;"N"),FALSE,IF($V$1="All",TRUE,IF(K297=$V$1,TRUE,FALSE)))</f>
        <v>#N/A</v>
      </c>
      <c r="W297" s="136" t="e">
        <f ca="1">VLOOKUP(A297,'銀行-TSS'!A:AO,41,FALSE)</f>
        <v>#N/A</v>
      </c>
      <c r="X297" s="136" t="e">
        <f ca="1">VLOOKUP(A297,'銀行-TSS'!A:AP,42,FALSE)</f>
        <v>#N/A</v>
      </c>
      <c r="Y297" s="1223">
        <f t="shared" si="68"/>
        <v>0</v>
      </c>
      <c r="Z297" s="1211">
        <f t="shared" si="69"/>
        <v>0</v>
      </c>
      <c r="AA297" s="136">
        <f>IF(Z297&lt;=0,0,RANK(Z297,Z:Z)+COUNTIF($Z$3:$Z297,Z297)-1)</f>
        <v>0</v>
      </c>
      <c r="AB297" s="1211">
        <f t="shared" ca="1" si="54"/>
        <v>0</v>
      </c>
      <c r="AC297" s="136">
        <f ca="1">IF(AB297&lt;=0,0,RANK(AB297,AB:AB)+COUNTIF($AB$3:$AB297,AB297)-1)</f>
        <v>0</v>
      </c>
      <c r="AD297" s="136">
        <f t="shared" si="70"/>
        <v>99999</v>
      </c>
      <c r="AE297" s="136">
        <f>IF(AD297=99999,0,RANK(AD297,AD:AD,1)+COUNTIF($AD$3:$AD297,AD297)-1)</f>
        <v>0</v>
      </c>
    </row>
    <row r="298" spans="1:31">
      <c r="A298" s="141">
        <f>'銀行-TSS'!A298</f>
        <v>0</v>
      </c>
      <c r="B298" s="151">
        <f ca="1">VLOOKUP(A298,'銀行-TSS'!A:B,2,FALSE)</f>
        <v>0</v>
      </c>
      <c r="C298" s="151" t="e">
        <f ca="1">VLOOKUP(B298,bond!B:C,2,FALSE)</f>
        <v>#N/A</v>
      </c>
      <c r="D298" s="95" t="e">
        <f>VLOOKUP(A298,'銀行-TSS'!A:C,3,FALSE)</f>
        <v>#N/A</v>
      </c>
      <c r="E298" s="90" t="e">
        <f ca="1">VLOOKUP(A298,'銀行-TSS'!A:G,7,FALSE)</f>
        <v>#N/A</v>
      </c>
      <c r="F298" s="202" t="e">
        <f ca="1">VLOOKUP(A298,'銀行-TSS'!A:H,8,FALSE)</f>
        <v>#N/A</v>
      </c>
      <c r="G298" s="96" t="e">
        <f ca="1">VLOOKUP(A298,'銀行-TSS'!A:K,11,FALSE)</f>
        <v>#N/A</v>
      </c>
      <c r="H298" s="1209" t="e">
        <f ca="1">VLOOKUP(A298,'銀行-TSS'!A:M,13,FALSE)</f>
        <v>#N/A</v>
      </c>
      <c r="I298" s="1213" t="e">
        <f ca="1">VLOOKUP(A298,'銀行-TSS'!A:N,14,FALSE)</f>
        <v>#N/A</v>
      </c>
      <c r="J298" s="1213" t="e">
        <f ca="1">VLOOKUP(A298,'銀行-TSS'!A:O,15,FALSE)</f>
        <v>#N/A</v>
      </c>
      <c r="K298" s="136" t="e">
        <f ca="1">VLOOKUP(A298,'銀行-TSS'!A:V,22,FALSE)</f>
        <v>#N/A</v>
      </c>
      <c r="L298" s="136" t="e">
        <f ca="1">VLOOKUP(A298,'銀行-TSS'!A:AK,37,FALSE)</f>
        <v>#N/A</v>
      </c>
      <c r="M298" s="136" t="str">
        <f ca="1">VLOOKUP(A298,'銀行-TSS'!A:AN,40,FALSE)</f>
        <v/>
      </c>
      <c r="N298" s="1211" t="e">
        <f t="shared" ca="1" si="63"/>
        <v>#N/A</v>
      </c>
      <c r="O298" s="1211" t="e">
        <f t="shared" ca="1" si="64"/>
        <v>#N/A</v>
      </c>
      <c r="P298" s="1213" t="e">
        <f ca="1">IF(AND(換券投組!$D$17&gt;=O298,換券投組!$D$13=D298),I298+INT((換券投組!$D$17-O298)/N298)*J298,0)</f>
        <v>#N/A</v>
      </c>
      <c r="Q298" s="1211" t="e">
        <f t="shared" ca="1" si="65"/>
        <v>#N/A</v>
      </c>
      <c r="R298" s="1213">
        <f t="shared" si="66"/>
        <v>0</v>
      </c>
      <c r="S298" s="1213">
        <f t="shared" si="67"/>
        <v>0</v>
      </c>
      <c r="T298" s="136">
        <f t="shared" si="52"/>
        <v>0</v>
      </c>
      <c r="U298" s="861">
        <f t="shared" si="53"/>
        <v>0</v>
      </c>
      <c r="V298" s="136" t="e">
        <f ca="1">IF(OR(D298&lt;&gt;"USD",L298="無",M298&lt;&gt;"",K298="高資產",IFERROR(MATCH(B298,換券投組!K:K,0),"N")&lt;&gt;"N",IFERROR(MATCH(B298,換券投組!J:J,0),"N")&lt;&gt;"N"),FALSE,IF($V$1="All",TRUE,IF(K298=$V$1,TRUE,FALSE)))</f>
        <v>#N/A</v>
      </c>
      <c r="W298" s="136" t="e">
        <f ca="1">VLOOKUP(A298,'銀行-TSS'!A:AO,41,FALSE)</f>
        <v>#N/A</v>
      </c>
      <c r="X298" s="136" t="e">
        <f ca="1">VLOOKUP(A298,'銀行-TSS'!A:AP,42,FALSE)</f>
        <v>#N/A</v>
      </c>
      <c r="Y298" s="1223">
        <f t="shared" si="68"/>
        <v>0</v>
      </c>
      <c r="Z298" s="1211">
        <f t="shared" si="69"/>
        <v>0</v>
      </c>
      <c r="AA298" s="136">
        <f>IF(Z298&lt;=0,0,RANK(Z298,Z:Z)+COUNTIF($Z$3:$Z298,Z298)-1)</f>
        <v>0</v>
      </c>
      <c r="AB298" s="1211">
        <f t="shared" ca="1" si="54"/>
        <v>0</v>
      </c>
      <c r="AC298" s="136">
        <f ca="1">IF(AB298&lt;=0,0,RANK(AB298,AB:AB)+COUNTIF($AB$3:$AB298,AB298)-1)</f>
        <v>0</v>
      </c>
      <c r="AD298" s="136">
        <f t="shared" si="70"/>
        <v>99999</v>
      </c>
      <c r="AE298" s="136">
        <f>IF(AD298=99999,0,RANK(AD298,AD:AD,1)+COUNTIF($AD$3:$AD298,AD298)-1)</f>
        <v>0</v>
      </c>
    </row>
    <row r="299" spans="1:31">
      <c r="A299" s="141">
        <f>'銀行-TSS'!A299</f>
        <v>0</v>
      </c>
      <c r="B299" s="151">
        <f ca="1">VLOOKUP(A299,'銀行-TSS'!A:B,2,FALSE)</f>
        <v>0</v>
      </c>
      <c r="C299" s="151" t="e">
        <f ca="1">VLOOKUP(B299,bond!B:C,2,FALSE)</f>
        <v>#N/A</v>
      </c>
      <c r="D299" s="95" t="e">
        <f>VLOOKUP(A299,'銀行-TSS'!A:C,3,FALSE)</f>
        <v>#N/A</v>
      </c>
      <c r="E299" s="90" t="e">
        <f ca="1">VLOOKUP(A299,'銀行-TSS'!A:G,7,FALSE)</f>
        <v>#N/A</v>
      </c>
      <c r="F299" s="202" t="e">
        <f ca="1">VLOOKUP(A299,'銀行-TSS'!A:H,8,FALSE)</f>
        <v>#N/A</v>
      </c>
      <c r="G299" s="96" t="e">
        <f ca="1">VLOOKUP(A299,'銀行-TSS'!A:K,11,FALSE)</f>
        <v>#N/A</v>
      </c>
      <c r="H299" s="1209" t="e">
        <f ca="1">VLOOKUP(A299,'銀行-TSS'!A:M,13,FALSE)</f>
        <v>#N/A</v>
      </c>
      <c r="I299" s="1213" t="e">
        <f ca="1">VLOOKUP(A299,'銀行-TSS'!A:N,14,FALSE)</f>
        <v>#N/A</v>
      </c>
      <c r="J299" s="1213" t="e">
        <f ca="1">VLOOKUP(A299,'銀行-TSS'!A:O,15,FALSE)</f>
        <v>#N/A</v>
      </c>
      <c r="K299" s="136" t="e">
        <f ca="1">VLOOKUP(A299,'銀行-TSS'!A:V,22,FALSE)</f>
        <v>#N/A</v>
      </c>
      <c r="L299" s="136" t="e">
        <f ca="1">VLOOKUP(A299,'銀行-TSS'!A:AK,37,FALSE)</f>
        <v>#N/A</v>
      </c>
      <c r="M299" s="136" t="str">
        <f ca="1">VLOOKUP(A299,'銀行-TSS'!A:AN,40,FALSE)</f>
        <v/>
      </c>
      <c r="N299" s="1211" t="e">
        <f t="shared" ca="1" si="63"/>
        <v>#N/A</v>
      </c>
      <c r="O299" s="1211" t="e">
        <f t="shared" ca="1" si="64"/>
        <v>#N/A</v>
      </c>
      <c r="P299" s="1213" t="e">
        <f ca="1">IF(AND(換券投組!$D$17&gt;=O299,換券投組!$D$13=D299),I299+INT((換券投組!$D$17-O299)/N299)*J299,0)</f>
        <v>#N/A</v>
      </c>
      <c r="Q299" s="1211" t="e">
        <f t="shared" ca="1" si="65"/>
        <v>#N/A</v>
      </c>
      <c r="R299" s="1213">
        <f t="shared" si="66"/>
        <v>0</v>
      </c>
      <c r="S299" s="1213">
        <f t="shared" si="67"/>
        <v>0</v>
      </c>
      <c r="T299" s="136">
        <f t="shared" si="52"/>
        <v>0</v>
      </c>
      <c r="U299" s="861">
        <f t="shared" si="53"/>
        <v>0</v>
      </c>
      <c r="V299" s="136" t="e">
        <f ca="1">IF(OR(D299&lt;&gt;"USD",L299="無",M299&lt;&gt;"",K299="高資產",IFERROR(MATCH(B299,換券投組!K:K,0),"N")&lt;&gt;"N",IFERROR(MATCH(B299,換券投組!J:J,0),"N")&lt;&gt;"N"),FALSE,IF($V$1="All",TRUE,IF(K299=$V$1,TRUE,FALSE)))</f>
        <v>#N/A</v>
      </c>
      <c r="W299" s="136" t="e">
        <f ca="1">VLOOKUP(A299,'銀行-TSS'!A:AO,41,FALSE)</f>
        <v>#N/A</v>
      </c>
      <c r="X299" s="136" t="e">
        <f ca="1">VLOOKUP(A299,'銀行-TSS'!A:AP,42,FALSE)</f>
        <v>#N/A</v>
      </c>
      <c r="Y299" s="1223">
        <f t="shared" si="68"/>
        <v>0</v>
      </c>
      <c r="Z299" s="1211">
        <f t="shared" si="69"/>
        <v>0</v>
      </c>
      <c r="AA299" s="136">
        <f>IF(Z299&lt;=0,0,RANK(Z299,Z:Z)+COUNTIF($Z$3:$Z299,Z299)-1)</f>
        <v>0</v>
      </c>
      <c r="AB299" s="1211">
        <f t="shared" ca="1" si="54"/>
        <v>0</v>
      </c>
      <c r="AC299" s="136">
        <f ca="1">IF(AB299&lt;=0,0,RANK(AB299,AB:AB)+COUNTIF($AB$3:$AB299,AB299)-1)</f>
        <v>0</v>
      </c>
      <c r="AD299" s="136">
        <f t="shared" si="70"/>
        <v>99999</v>
      </c>
      <c r="AE299" s="136">
        <f>IF(AD299=99999,0,RANK(AD299,AD:AD,1)+COUNTIF($AD$3:$AD299,AD299)-1)</f>
        <v>0</v>
      </c>
    </row>
    <row r="300" spans="1:31">
      <c r="A300" s="141">
        <f>'銀行-TSS'!A300</f>
        <v>0</v>
      </c>
      <c r="B300" s="151">
        <f ca="1">VLOOKUP(A300,'銀行-TSS'!A:B,2,FALSE)</f>
        <v>0</v>
      </c>
      <c r="C300" s="151" t="e">
        <f ca="1">VLOOKUP(B300,bond!B:C,2,FALSE)</f>
        <v>#N/A</v>
      </c>
      <c r="D300" s="95" t="e">
        <f>VLOOKUP(A300,'銀行-TSS'!A:C,3,FALSE)</f>
        <v>#N/A</v>
      </c>
      <c r="E300" s="90" t="e">
        <f ca="1">VLOOKUP(A300,'銀行-TSS'!A:G,7,FALSE)</f>
        <v>#N/A</v>
      </c>
      <c r="F300" s="202" t="e">
        <f ca="1">VLOOKUP(A300,'銀行-TSS'!A:H,8,FALSE)</f>
        <v>#N/A</v>
      </c>
      <c r="G300" s="96" t="e">
        <f ca="1">VLOOKUP(A300,'銀行-TSS'!A:K,11,FALSE)</f>
        <v>#N/A</v>
      </c>
      <c r="H300" s="1209" t="e">
        <f ca="1">VLOOKUP(A300,'銀行-TSS'!A:M,13,FALSE)</f>
        <v>#N/A</v>
      </c>
      <c r="I300" s="1213" t="e">
        <f ca="1">VLOOKUP(A300,'銀行-TSS'!A:N,14,FALSE)</f>
        <v>#N/A</v>
      </c>
      <c r="J300" s="1213" t="e">
        <f ca="1">VLOOKUP(A300,'銀行-TSS'!A:O,15,FALSE)</f>
        <v>#N/A</v>
      </c>
      <c r="K300" s="136" t="e">
        <f ca="1">VLOOKUP(A300,'銀行-TSS'!A:V,22,FALSE)</f>
        <v>#N/A</v>
      </c>
      <c r="L300" s="136" t="e">
        <f ca="1">VLOOKUP(A300,'銀行-TSS'!A:AK,37,FALSE)</f>
        <v>#N/A</v>
      </c>
      <c r="M300" s="136" t="str">
        <f ca="1">VLOOKUP(A300,'銀行-TSS'!A:AN,40,FALSE)</f>
        <v/>
      </c>
      <c r="N300" s="1211" t="e">
        <f t="shared" ca="1" si="63"/>
        <v>#N/A</v>
      </c>
      <c r="O300" s="1211" t="e">
        <f t="shared" ca="1" si="64"/>
        <v>#N/A</v>
      </c>
      <c r="P300" s="1213" t="e">
        <f ca="1">IF(AND(換券投組!$D$17&gt;=O300,換券投組!$D$13=D300),I300+INT((換券投組!$D$17-O300)/N300)*J300,0)</f>
        <v>#N/A</v>
      </c>
      <c r="Q300" s="1211" t="e">
        <f t="shared" ca="1" si="65"/>
        <v>#N/A</v>
      </c>
      <c r="R300" s="1213">
        <f t="shared" si="66"/>
        <v>0</v>
      </c>
      <c r="S300" s="1213">
        <f t="shared" si="67"/>
        <v>0</v>
      </c>
      <c r="T300" s="136">
        <f t="shared" si="52"/>
        <v>0</v>
      </c>
      <c r="U300" s="861">
        <f t="shared" si="53"/>
        <v>0</v>
      </c>
      <c r="V300" s="136" t="e">
        <f ca="1">IF(OR(D300&lt;&gt;"USD",L300="無",M300&lt;&gt;"",K300="高資產",IFERROR(MATCH(B300,換券投組!K:K,0),"N")&lt;&gt;"N",IFERROR(MATCH(B300,換券投組!J:J,0),"N")&lt;&gt;"N"),FALSE,IF($V$1="All",TRUE,IF(K300=$V$1,TRUE,FALSE)))</f>
        <v>#N/A</v>
      </c>
      <c r="W300" s="136" t="e">
        <f ca="1">VLOOKUP(A300,'銀行-TSS'!A:AO,41,FALSE)</f>
        <v>#N/A</v>
      </c>
      <c r="X300" s="136" t="e">
        <f ca="1">VLOOKUP(A300,'銀行-TSS'!A:AP,42,FALSE)</f>
        <v>#N/A</v>
      </c>
      <c r="Y300" s="1223">
        <f t="shared" si="68"/>
        <v>0</v>
      </c>
      <c r="Z300" s="1211">
        <f t="shared" si="69"/>
        <v>0</v>
      </c>
      <c r="AA300" s="136">
        <f>IF(Z300&lt;=0,0,RANK(Z300,Z:Z)+COUNTIF($Z$3:$Z300,Z300)-1)</f>
        <v>0</v>
      </c>
      <c r="AB300" s="1211">
        <f t="shared" ca="1" si="54"/>
        <v>0</v>
      </c>
      <c r="AC300" s="136">
        <f ca="1">IF(AB300&lt;=0,0,RANK(AB300,AB:AB)+COUNTIF($AB$3:$AB300,AB300)-1)</f>
        <v>0</v>
      </c>
      <c r="AD300" s="136">
        <f t="shared" si="70"/>
        <v>99999</v>
      </c>
      <c r="AE300" s="136">
        <f>IF(AD300=99999,0,RANK(AD300,AD:AD,1)+COUNTIF($AD$3:$AD300,AD300)-1)</f>
        <v>0</v>
      </c>
    </row>
    <row r="301" spans="1:31">
      <c r="A301" s="141">
        <f>'銀行-TSS'!A301</f>
        <v>0</v>
      </c>
      <c r="B301" s="151">
        <f ca="1">VLOOKUP(A301,'銀行-TSS'!A:B,2,FALSE)</f>
        <v>0</v>
      </c>
      <c r="C301" s="151" t="e">
        <f ca="1">VLOOKUP(B301,bond!B:C,2,FALSE)</f>
        <v>#N/A</v>
      </c>
      <c r="D301" s="95" t="e">
        <f>VLOOKUP(A301,'銀行-TSS'!A:C,3,FALSE)</f>
        <v>#N/A</v>
      </c>
      <c r="E301" s="90" t="e">
        <f ca="1">VLOOKUP(A301,'銀行-TSS'!A:G,7,FALSE)</f>
        <v>#N/A</v>
      </c>
      <c r="F301" s="202" t="e">
        <f ca="1">VLOOKUP(A301,'銀行-TSS'!A:H,8,FALSE)</f>
        <v>#N/A</v>
      </c>
      <c r="G301" s="96" t="e">
        <f ca="1">VLOOKUP(A301,'銀行-TSS'!A:K,11,FALSE)</f>
        <v>#N/A</v>
      </c>
      <c r="H301" s="1209" t="e">
        <f ca="1">VLOOKUP(A301,'銀行-TSS'!A:M,13,FALSE)</f>
        <v>#N/A</v>
      </c>
      <c r="I301" s="1213" t="e">
        <f ca="1">VLOOKUP(A301,'銀行-TSS'!A:N,14,FALSE)</f>
        <v>#N/A</v>
      </c>
      <c r="J301" s="1213" t="e">
        <f ca="1">VLOOKUP(A301,'銀行-TSS'!A:O,15,FALSE)</f>
        <v>#N/A</v>
      </c>
      <c r="K301" s="136" t="e">
        <f ca="1">VLOOKUP(A301,'銀行-TSS'!A:V,22,FALSE)</f>
        <v>#N/A</v>
      </c>
      <c r="L301" s="136" t="e">
        <f ca="1">VLOOKUP(A301,'銀行-TSS'!A:AK,37,FALSE)</f>
        <v>#N/A</v>
      </c>
      <c r="M301" s="136" t="str">
        <f ca="1">VLOOKUP(A301,'銀行-TSS'!A:AN,40,FALSE)</f>
        <v/>
      </c>
      <c r="N301" s="1211" t="e">
        <f t="shared" ca="1" si="63"/>
        <v>#N/A</v>
      </c>
      <c r="O301" s="1211" t="e">
        <f t="shared" ca="1" si="64"/>
        <v>#N/A</v>
      </c>
      <c r="P301" s="1213" t="e">
        <f ca="1">IF(AND(換券投組!$D$17&gt;=O301,換券投組!$D$13=D301),I301+INT((換券投組!$D$17-O301)/N301)*J301,0)</f>
        <v>#N/A</v>
      </c>
      <c r="Q301" s="1211" t="e">
        <f t="shared" ca="1" si="65"/>
        <v>#N/A</v>
      </c>
      <c r="R301" s="1213">
        <f t="shared" si="66"/>
        <v>0</v>
      </c>
      <c r="S301" s="1213">
        <f t="shared" si="67"/>
        <v>0</v>
      </c>
      <c r="T301" s="136">
        <f t="shared" si="52"/>
        <v>0</v>
      </c>
      <c r="U301" s="861">
        <f t="shared" si="53"/>
        <v>0</v>
      </c>
      <c r="V301" s="136" t="e">
        <f ca="1">IF(OR(D301&lt;&gt;"USD",L301="無",M301&lt;&gt;"",K301="高資產",IFERROR(MATCH(B301,換券投組!K:K,0),"N")&lt;&gt;"N",IFERROR(MATCH(B301,換券投組!J:J,0),"N")&lt;&gt;"N"),FALSE,IF($V$1="All",TRUE,IF(K301=$V$1,TRUE,FALSE)))</f>
        <v>#N/A</v>
      </c>
      <c r="W301" s="136" t="e">
        <f ca="1">VLOOKUP(A301,'銀行-TSS'!A:AO,41,FALSE)</f>
        <v>#N/A</v>
      </c>
      <c r="X301" s="136" t="e">
        <f ca="1">VLOOKUP(A301,'銀行-TSS'!A:AP,42,FALSE)</f>
        <v>#N/A</v>
      </c>
      <c r="Y301" s="1223">
        <f t="shared" si="68"/>
        <v>0</v>
      </c>
      <c r="Z301" s="1211">
        <f t="shared" si="69"/>
        <v>0</v>
      </c>
      <c r="AA301" s="136">
        <f>IF(Z301&lt;=0,0,RANK(Z301,Z:Z)+COUNTIF($Z$3:$Z301,Z301)-1)</f>
        <v>0</v>
      </c>
      <c r="AB301" s="1211">
        <f t="shared" ca="1" si="54"/>
        <v>0</v>
      </c>
      <c r="AC301" s="136">
        <f ca="1">IF(AB301&lt;=0,0,RANK(AB301,AB:AB)+COUNTIF($AB$3:$AB301,AB301)-1)</f>
        <v>0</v>
      </c>
      <c r="AD301" s="136">
        <f t="shared" si="70"/>
        <v>99999</v>
      </c>
      <c r="AE301" s="136">
        <f>IF(AD301=99999,0,RANK(AD301,AD:AD,1)+COUNTIF($AD$3:$AD301,AD301)-1)</f>
        <v>0</v>
      </c>
    </row>
    <row r="302" spans="1:31">
      <c r="A302" s="141">
        <f>'銀行-TSS'!A302</f>
        <v>0</v>
      </c>
      <c r="B302" s="151">
        <f ca="1">VLOOKUP(A302,'銀行-TSS'!A:B,2,FALSE)</f>
        <v>0</v>
      </c>
      <c r="C302" s="151" t="e">
        <f ca="1">VLOOKUP(B302,bond!B:C,2,FALSE)</f>
        <v>#N/A</v>
      </c>
      <c r="D302" s="95" t="e">
        <f>VLOOKUP(A302,'銀行-TSS'!A:C,3,FALSE)</f>
        <v>#N/A</v>
      </c>
      <c r="E302" s="90" t="e">
        <f ca="1">VLOOKUP(A302,'銀行-TSS'!A:G,7,FALSE)</f>
        <v>#N/A</v>
      </c>
      <c r="F302" s="202" t="e">
        <f ca="1">VLOOKUP(A302,'銀行-TSS'!A:H,8,FALSE)</f>
        <v>#N/A</v>
      </c>
      <c r="G302" s="96" t="e">
        <f ca="1">VLOOKUP(A302,'銀行-TSS'!A:K,11,FALSE)</f>
        <v>#N/A</v>
      </c>
      <c r="H302" s="1209" t="e">
        <f ca="1">VLOOKUP(A302,'銀行-TSS'!A:M,13,FALSE)</f>
        <v>#N/A</v>
      </c>
      <c r="I302" s="1213" t="e">
        <f ca="1">VLOOKUP(A302,'銀行-TSS'!A:N,14,FALSE)</f>
        <v>#N/A</v>
      </c>
      <c r="J302" s="1213" t="e">
        <f ca="1">VLOOKUP(A302,'銀行-TSS'!A:O,15,FALSE)</f>
        <v>#N/A</v>
      </c>
      <c r="K302" s="136" t="e">
        <f ca="1">VLOOKUP(A302,'銀行-TSS'!A:V,22,FALSE)</f>
        <v>#N/A</v>
      </c>
      <c r="L302" s="136" t="e">
        <f ca="1">VLOOKUP(A302,'銀行-TSS'!A:AK,37,FALSE)</f>
        <v>#N/A</v>
      </c>
      <c r="M302" s="136" t="str">
        <f ca="1">VLOOKUP(A302,'銀行-TSS'!A:AN,40,FALSE)</f>
        <v/>
      </c>
      <c r="N302" s="1211" t="e">
        <f t="shared" ca="1" si="63"/>
        <v>#N/A</v>
      </c>
      <c r="O302" s="1211" t="e">
        <f t="shared" ca="1" si="64"/>
        <v>#N/A</v>
      </c>
      <c r="P302" s="1213" t="e">
        <f ca="1">IF(AND(換券投組!$D$17&gt;=O302,換券投組!$D$13=D302),I302+INT((換券投組!$D$17-O302)/N302)*J302,0)</f>
        <v>#N/A</v>
      </c>
      <c r="Q302" s="1211" t="e">
        <f t="shared" ca="1" si="65"/>
        <v>#N/A</v>
      </c>
      <c r="R302" s="1213">
        <f t="shared" si="66"/>
        <v>0</v>
      </c>
      <c r="S302" s="1213">
        <f t="shared" si="67"/>
        <v>0</v>
      </c>
      <c r="T302" s="136">
        <f t="shared" si="52"/>
        <v>0</v>
      </c>
      <c r="U302" s="861">
        <f t="shared" si="53"/>
        <v>0</v>
      </c>
      <c r="V302" s="136" t="e">
        <f ca="1">IF(OR(D302&lt;&gt;"USD",L302="無",M302&lt;&gt;"",K302="高資產",IFERROR(MATCH(B302,換券投組!K:K,0),"N")&lt;&gt;"N",IFERROR(MATCH(B302,換券投組!J:J,0),"N")&lt;&gt;"N"),FALSE,IF($V$1="All",TRUE,IF(K302=$V$1,TRUE,FALSE)))</f>
        <v>#N/A</v>
      </c>
      <c r="W302" s="136" t="e">
        <f ca="1">VLOOKUP(A302,'銀行-TSS'!A:AO,41,FALSE)</f>
        <v>#N/A</v>
      </c>
      <c r="X302" s="136" t="e">
        <f ca="1">VLOOKUP(A302,'銀行-TSS'!A:AP,42,FALSE)</f>
        <v>#N/A</v>
      </c>
      <c r="Y302" s="1223">
        <f t="shared" si="68"/>
        <v>0</v>
      </c>
      <c r="Z302" s="1211">
        <f t="shared" si="69"/>
        <v>0</v>
      </c>
      <c r="AA302" s="136">
        <f>IF(Z302&lt;=0,0,RANK(Z302,Z:Z)+COUNTIF($Z$3:$Z302,Z302)-1)</f>
        <v>0</v>
      </c>
      <c r="AB302" s="1211">
        <f t="shared" ca="1" si="54"/>
        <v>0</v>
      </c>
      <c r="AC302" s="136">
        <f ca="1">IF(AB302&lt;=0,0,RANK(AB302,AB:AB)+COUNTIF($AB$3:$AB302,AB302)-1)</f>
        <v>0</v>
      </c>
      <c r="AD302" s="136">
        <f t="shared" si="70"/>
        <v>99999</v>
      </c>
      <c r="AE302" s="136">
        <f>IF(AD302=99999,0,RANK(AD302,AD:AD,1)+COUNTIF($AD$3:$AD302,AD302)-1)</f>
        <v>0</v>
      </c>
    </row>
    <row r="303" spans="1:31">
      <c r="A303" s="141">
        <f>'銀行-TSS'!A303</f>
        <v>0</v>
      </c>
      <c r="B303" s="151">
        <f ca="1">VLOOKUP(A303,'銀行-TSS'!A:B,2,FALSE)</f>
        <v>0</v>
      </c>
      <c r="C303" s="151" t="e">
        <f ca="1">VLOOKUP(B303,bond!B:C,2,FALSE)</f>
        <v>#N/A</v>
      </c>
      <c r="D303" s="95" t="e">
        <f>VLOOKUP(A303,'銀行-TSS'!A:C,3,FALSE)</f>
        <v>#N/A</v>
      </c>
      <c r="E303" s="90" t="e">
        <f ca="1">VLOOKUP(A303,'銀行-TSS'!A:G,7,FALSE)</f>
        <v>#N/A</v>
      </c>
      <c r="F303" s="202" t="e">
        <f ca="1">VLOOKUP(A303,'銀行-TSS'!A:H,8,FALSE)</f>
        <v>#N/A</v>
      </c>
      <c r="G303" s="96" t="e">
        <f ca="1">VLOOKUP(A303,'銀行-TSS'!A:K,11,FALSE)</f>
        <v>#N/A</v>
      </c>
      <c r="H303" s="1209" t="e">
        <f ca="1">VLOOKUP(A303,'銀行-TSS'!A:M,13,FALSE)</f>
        <v>#N/A</v>
      </c>
      <c r="I303" s="1213" t="e">
        <f ca="1">VLOOKUP(A303,'銀行-TSS'!A:N,14,FALSE)</f>
        <v>#N/A</v>
      </c>
      <c r="J303" s="1213" t="e">
        <f ca="1">VLOOKUP(A303,'銀行-TSS'!A:O,15,FALSE)</f>
        <v>#N/A</v>
      </c>
      <c r="K303" s="136" t="e">
        <f ca="1">VLOOKUP(A303,'銀行-TSS'!A:V,22,FALSE)</f>
        <v>#N/A</v>
      </c>
      <c r="L303" s="136" t="e">
        <f ca="1">VLOOKUP(A303,'銀行-TSS'!A:AK,37,FALSE)</f>
        <v>#N/A</v>
      </c>
      <c r="M303" s="136" t="str">
        <f ca="1">VLOOKUP(A303,'銀行-TSS'!A:AN,40,FALSE)</f>
        <v/>
      </c>
      <c r="N303" s="1211" t="e">
        <f t="shared" ca="1" si="63"/>
        <v>#N/A</v>
      </c>
      <c r="O303" s="1211" t="e">
        <f t="shared" ca="1" si="64"/>
        <v>#N/A</v>
      </c>
      <c r="P303" s="1213" t="e">
        <f ca="1">IF(AND(換券投組!$D$17&gt;=O303,換券投組!$D$13=D303),I303+INT((換券投組!$D$17-O303)/N303)*J303,0)</f>
        <v>#N/A</v>
      </c>
      <c r="Q303" s="1211" t="e">
        <f t="shared" ca="1" si="65"/>
        <v>#N/A</v>
      </c>
      <c r="R303" s="1213">
        <f t="shared" si="66"/>
        <v>0</v>
      </c>
      <c r="S303" s="1213">
        <f t="shared" si="67"/>
        <v>0</v>
      </c>
      <c r="T303" s="136">
        <f t="shared" si="52"/>
        <v>0</v>
      </c>
      <c r="U303" s="861">
        <f t="shared" si="53"/>
        <v>0</v>
      </c>
      <c r="V303" s="136" t="e">
        <f ca="1">IF(OR(D303&lt;&gt;"USD",L303="無",M303&lt;&gt;"",K303="高資產",IFERROR(MATCH(B303,換券投組!K:K,0),"N")&lt;&gt;"N",IFERROR(MATCH(B303,換券投組!J:J,0),"N")&lt;&gt;"N"),FALSE,IF($V$1="All",TRUE,IF(K303=$V$1,TRUE,FALSE)))</f>
        <v>#N/A</v>
      </c>
      <c r="W303" s="136" t="e">
        <f ca="1">VLOOKUP(A303,'銀行-TSS'!A:AO,41,FALSE)</f>
        <v>#N/A</v>
      </c>
      <c r="X303" s="136" t="e">
        <f ca="1">VLOOKUP(A303,'銀行-TSS'!A:AP,42,FALSE)</f>
        <v>#N/A</v>
      </c>
      <c r="Y303" s="1223">
        <f t="shared" si="68"/>
        <v>0</v>
      </c>
      <c r="Z303" s="1211">
        <f t="shared" si="69"/>
        <v>0</v>
      </c>
      <c r="AA303" s="136">
        <f>IF(Z303&lt;=0,0,RANK(Z303,Z:Z)+COUNTIF($Z$3:$Z303,Z303)-1)</f>
        <v>0</v>
      </c>
      <c r="AB303" s="1211">
        <f t="shared" ca="1" si="54"/>
        <v>0</v>
      </c>
      <c r="AC303" s="136">
        <f ca="1">IF(AB303&lt;=0,0,RANK(AB303,AB:AB)+COUNTIF($AB$3:$AB303,AB303)-1)</f>
        <v>0</v>
      </c>
      <c r="AD303" s="136">
        <f t="shared" si="70"/>
        <v>99999</v>
      </c>
      <c r="AE303" s="136">
        <f>IF(AD303=99999,0,RANK(AD303,AD:AD,1)+COUNTIF($AD$3:$AD303,AD303)-1)</f>
        <v>0</v>
      </c>
    </row>
    <row r="304" spans="1:31">
      <c r="A304" s="141">
        <f>'銀行-TSS'!A304</f>
        <v>0</v>
      </c>
      <c r="B304" s="151">
        <f ca="1">VLOOKUP(A304,'銀行-TSS'!A:B,2,FALSE)</f>
        <v>0</v>
      </c>
      <c r="C304" s="151" t="e">
        <f ca="1">VLOOKUP(B304,bond!B:C,2,FALSE)</f>
        <v>#N/A</v>
      </c>
      <c r="D304" s="95" t="e">
        <f>VLOOKUP(A304,'銀行-TSS'!A:C,3,FALSE)</f>
        <v>#N/A</v>
      </c>
      <c r="E304" s="90" t="e">
        <f ca="1">VLOOKUP(A304,'銀行-TSS'!A:G,7,FALSE)</f>
        <v>#N/A</v>
      </c>
      <c r="F304" s="202" t="e">
        <f ca="1">VLOOKUP(A304,'銀行-TSS'!A:H,8,FALSE)</f>
        <v>#N/A</v>
      </c>
      <c r="G304" s="96" t="e">
        <f ca="1">VLOOKUP(A304,'銀行-TSS'!A:K,11,FALSE)</f>
        <v>#N/A</v>
      </c>
      <c r="H304" s="1209" t="e">
        <f ca="1">VLOOKUP(A304,'銀行-TSS'!A:M,13,FALSE)</f>
        <v>#N/A</v>
      </c>
      <c r="I304" s="1213" t="e">
        <f ca="1">VLOOKUP(A304,'銀行-TSS'!A:N,14,FALSE)</f>
        <v>#N/A</v>
      </c>
      <c r="J304" s="1213" t="e">
        <f ca="1">VLOOKUP(A304,'銀行-TSS'!A:O,15,FALSE)</f>
        <v>#N/A</v>
      </c>
      <c r="K304" s="136" t="e">
        <f ca="1">VLOOKUP(A304,'銀行-TSS'!A:V,22,FALSE)</f>
        <v>#N/A</v>
      </c>
      <c r="L304" s="136" t="e">
        <f ca="1">VLOOKUP(A304,'銀行-TSS'!A:AK,37,FALSE)</f>
        <v>#N/A</v>
      </c>
      <c r="M304" s="136" t="str">
        <f ca="1">VLOOKUP(A304,'銀行-TSS'!A:AN,40,FALSE)</f>
        <v/>
      </c>
      <c r="N304" s="1211" t="e">
        <f t="shared" ca="1" si="63"/>
        <v>#N/A</v>
      </c>
      <c r="O304" s="1211" t="e">
        <f t="shared" ca="1" si="64"/>
        <v>#N/A</v>
      </c>
      <c r="P304" s="1213" t="e">
        <f ca="1">IF(AND(換券投組!$D$17&gt;=O304,換券投組!$D$13=D304),I304+INT((換券投組!$D$17-O304)/N304)*J304,0)</f>
        <v>#N/A</v>
      </c>
      <c r="Q304" s="1211" t="e">
        <f t="shared" ca="1" si="65"/>
        <v>#N/A</v>
      </c>
      <c r="R304" s="1213">
        <f t="shared" si="66"/>
        <v>0</v>
      </c>
      <c r="S304" s="1213">
        <f t="shared" si="67"/>
        <v>0</v>
      </c>
      <c r="T304" s="136">
        <f t="shared" si="52"/>
        <v>0</v>
      </c>
      <c r="U304" s="861">
        <f t="shared" si="53"/>
        <v>0</v>
      </c>
      <c r="V304" s="136" t="e">
        <f ca="1">IF(OR(D304&lt;&gt;"USD",L304="無",M304&lt;&gt;"",K304="高資產",IFERROR(MATCH(B304,換券投組!K:K,0),"N")&lt;&gt;"N",IFERROR(MATCH(B304,換券投組!J:J,0),"N")&lt;&gt;"N"),FALSE,IF($V$1="All",TRUE,IF(K304=$V$1,TRUE,FALSE)))</f>
        <v>#N/A</v>
      </c>
      <c r="W304" s="136" t="e">
        <f ca="1">VLOOKUP(A304,'銀行-TSS'!A:AO,41,FALSE)</f>
        <v>#N/A</v>
      </c>
      <c r="X304" s="136" t="e">
        <f ca="1">VLOOKUP(A304,'銀行-TSS'!A:AP,42,FALSE)</f>
        <v>#N/A</v>
      </c>
      <c r="Y304" s="1223">
        <f t="shared" si="68"/>
        <v>0</v>
      </c>
      <c r="Z304" s="1211">
        <f t="shared" si="69"/>
        <v>0</v>
      </c>
      <c r="AA304" s="136">
        <f>IF(Z304&lt;=0,0,RANK(Z304,Z:Z)+COUNTIF($Z$3:$Z304,Z304)-1)</f>
        <v>0</v>
      </c>
      <c r="AB304" s="1211">
        <f t="shared" ca="1" si="54"/>
        <v>0</v>
      </c>
      <c r="AC304" s="136">
        <f ca="1">IF(AB304&lt;=0,0,RANK(AB304,AB:AB)+COUNTIF($AB$3:$AB304,AB304)-1)</f>
        <v>0</v>
      </c>
      <c r="AD304" s="136">
        <f t="shared" si="70"/>
        <v>99999</v>
      </c>
      <c r="AE304" s="136">
        <f>IF(AD304=99999,0,RANK(AD304,AD:AD,1)+COUNTIF($AD$3:$AD304,AD304)-1)</f>
        <v>0</v>
      </c>
    </row>
    <row r="305" spans="1:31">
      <c r="A305" s="141">
        <f>'銀行-TSS'!A305</f>
        <v>0</v>
      </c>
      <c r="B305" s="151">
        <f ca="1">VLOOKUP(A305,'銀行-TSS'!A:B,2,FALSE)</f>
        <v>0</v>
      </c>
      <c r="C305" s="151" t="e">
        <f ca="1">VLOOKUP(B305,bond!B:C,2,FALSE)</f>
        <v>#N/A</v>
      </c>
      <c r="D305" s="95" t="e">
        <f>VLOOKUP(A305,'銀行-TSS'!A:C,3,FALSE)</f>
        <v>#N/A</v>
      </c>
      <c r="E305" s="90" t="e">
        <f ca="1">VLOOKUP(A305,'銀行-TSS'!A:G,7,FALSE)</f>
        <v>#N/A</v>
      </c>
      <c r="F305" s="202" t="e">
        <f ca="1">VLOOKUP(A305,'銀行-TSS'!A:H,8,FALSE)</f>
        <v>#N/A</v>
      </c>
      <c r="G305" s="96" t="e">
        <f ca="1">VLOOKUP(A305,'銀行-TSS'!A:K,11,FALSE)</f>
        <v>#N/A</v>
      </c>
      <c r="H305" s="1209" t="e">
        <f ca="1">VLOOKUP(A305,'銀行-TSS'!A:M,13,FALSE)</f>
        <v>#N/A</v>
      </c>
      <c r="I305" s="1213" t="e">
        <f ca="1">VLOOKUP(A305,'銀行-TSS'!A:N,14,FALSE)</f>
        <v>#N/A</v>
      </c>
      <c r="J305" s="1213" t="e">
        <f ca="1">VLOOKUP(A305,'銀行-TSS'!A:O,15,FALSE)</f>
        <v>#N/A</v>
      </c>
      <c r="K305" s="136" t="e">
        <f ca="1">VLOOKUP(A305,'銀行-TSS'!A:V,22,FALSE)</f>
        <v>#N/A</v>
      </c>
      <c r="L305" s="136" t="e">
        <f ca="1">VLOOKUP(A305,'銀行-TSS'!A:AK,37,FALSE)</f>
        <v>#N/A</v>
      </c>
      <c r="M305" s="136" t="str">
        <f ca="1">VLOOKUP(A305,'銀行-TSS'!A:AN,40,FALSE)</f>
        <v/>
      </c>
      <c r="N305" s="1211" t="e">
        <f t="shared" ca="1" si="63"/>
        <v>#N/A</v>
      </c>
      <c r="O305" s="1211" t="e">
        <f t="shared" ca="1" si="64"/>
        <v>#N/A</v>
      </c>
      <c r="P305" s="1213" t="e">
        <f ca="1">IF(AND(換券投組!$D$17&gt;=O305,換券投組!$D$13=D305),I305+INT((換券投組!$D$17-O305)/N305)*J305,0)</f>
        <v>#N/A</v>
      </c>
      <c r="Q305" s="1211" t="e">
        <f t="shared" ca="1" si="65"/>
        <v>#N/A</v>
      </c>
      <c r="R305" s="1213">
        <f t="shared" si="66"/>
        <v>0</v>
      </c>
      <c r="S305" s="1213">
        <f t="shared" si="67"/>
        <v>0</v>
      </c>
      <c r="T305" s="136">
        <f t="shared" si="52"/>
        <v>0</v>
      </c>
      <c r="U305" s="861">
        <f t="shared" si="53"/>
        <v>0</v>
      </c>
      <c r="V305" s="136" t="e">
        <f ca="1">IF(OR(D305&lt;&gt;"USD",L305="無",M305&lt;&gt;"",K305="高資產",IFERROR(MATCH(B305,換券投組!K:K,0),"N")&lt;&gt;"N",IFERROR(MATCH(B305,換券投組!J:J,0),"N")&lt;&gt;"N"),FALSE,IF($V$1="All",TRUE,IF(K305=$V$1,TRUE,FALSE)))</f>
        <v>#N/A</v>
      </c>
      <c r="W305" s="136" t="e">
        <f ca="1">VLOOKUP(A305,'銀行-TSS'!A:AO,41,FALSE)</f>
        <v>#N/A</v>
      </c>
      <c r="X305" s="136" t="e">
        <f ca="1">VLOOKUP(A305,'銀行-TSS'!A:AP,42,FALSE)</f>
        <v>#N/A</v>
      </c>
      <c r="Y305" s="1223">
        <f t="shared" si="68"/>
        <v>0</v>
      </c>
      <c r="Z305" s="1211">
        <f t="shared" si="69"/>
        <v>0</v>
      </c>
      <c r="AA305" s="136">
        <f>IF(Z305&lt;=0,0,RANK(Z305,Z:Z)+COUNTIF($Z$3:$Z305,Z305)-1)</f>
        <v>0</v>
      </c>
      <c r="AB305" s="1211">
        <f t="shared" ca="1" si="54"/>
        <v>0</v>
      </c>
      <c r="AC305" s="136">
        <f ca="1">IF(AB305&lt;=0,0,RANK(AB305,AB:AB)+COUNTIF($AB$3:$AB305,AB305)-1)</f>
        <v>0</v>
      </c>
      <c r="AD305" s="136">
        <f t="shared" si="70"/>
        <v>99999</v>
      </c>
      <c r="AE305" s="136">
        <f>IF(AD305=99999,0,RANK(AD305,AD:AD,1)+COUNTIF($AD$3:$AD305,AD305)-1)</f>
        <v>0</v>
      </c>
    </row>
    <row r="306" spans="1:31">
      <c r="A306" s="141">
        <f>'銀行-TSS'!A306</f>
        <v>0</v>
      </c>
      <c r="B306" s="151">
        <f ca="1">VLOOKUP(A306,'銀行-TSS'!A:B,2,FALSE)</f>
        <v>0</v>
      </c>
      <c r="C306" s="151" t="e">
        <f ca="1">VLOOKUP(B306,bond!B:C,2,FALSE)</f>
        <v>#N/A</v>
      </c>
      <c r="D306" s="95" t="e">
        <f>VLOOKUP(A306,'銀行-TSS'!A:C,3,FALSE)</f>
        <v>#N/A</v>
      </c>
      <c r="E306" s="90" t="e">
        <f ca="1">VLOOKUP(A306,'銀行-TSS'!A:G,7,FALSE)</f>
        <v>#N/A</v>
      </c>
      <c r="F306" s="202" t="e">
        <f ca="1">VLOOKUP(A306,'銀行-TSS'!A:H,8,FALSE)</f>
        <v>#N/A</v>
      </c>
      <c r="G306" s="96" t="e">
        <f ca="1">VLOOKUP(A306,'銀行-TSS'!A:K,11,FALSE)</f>
        <v>#N/A</v>
      </c>
      <c r="H306" s="1209" t="e">
        <f ca="1">VLOOKUP(A306,'銀行-TSS'!A:M,13,FALSE)</f>
        <v>#N/A</v>
      </c>
      <c r="I306" s="1213" t="e">
        <f ca="1">VLOOKUP(A306,'銀行-TSS'!A:N,14,FALSE)</f>
        <v>#N/A</v>
      </c>
      <c r="J306" s="1213" t="e">
        <f ca="1">VLOOKUP(A306,'銀行-TSS'!A:O,15,FALSE)</f>
        <v>#N/A</v>
      </c>
      <c r="K306" s="136" t="e">
        <f ca="1">VLOOKUP(A306,'銀行-TSS'!A:V,22,FALSE)</f>
        <v>#N/A</v>
      </c>
      <c r="L306" s="136" t="e">
        <f ca="1">VLOOKUP(A306,'銀行-TSS'!A:AK,37,FALSE)</f>
        <v>#N/A</v>
      </c>
      <c r="M306" s="136" t="str">
        <f ca="1">VLOOKUP(A306,'銀行-TSS'!A:AN,40,FALSE)</f>
        <v/>
      </c>
      <c r="N306" s="1211" t="e">
        <f t="shared" ca="1" si="63"/>
        <v>#N/A</v>
      </c>
      <c r="O306" s="1211" t="e">
        <f t="shared" ca="1" si="64"/>
        <v>#N/A</v>
      </c>
      <c r="P306" s="1213" t="e">
        <f ca="1">IF(AND(換券投組!$D$17&gt;=O306,換券投組!$D$13=D306),I306+INT((換券投組!$D$17-O306)/N306)*J306,0)</f>
        <v>#N/A</v>
      </c>
      <c r="Q306" s="1211" t="e">
        <f t="shared" ca="1" si="65"/>
        <v>#N/A</v>
      </c>
      <c r="R306" s="1213">
        <f t="shared" si="66"/>
        <v>0</v>
      </c>
      <c r="S306" s="1213">
        <f t="shared" si="67"/>
        <v>0</v>
      </c>
      <c r="T306" s="136">
        <f t="shared" si="52"/>
        <v>0</v>
      </c>
      <c r="U306" s="861">
        <f t="shared" si="53"/>
        <v>0</v>
      </c>
      <c r="V306" s="136" t="e">
        <f ca="1">IF(OR(D306&lt;&gt;"USD",L306="無",M306&lt;&gt;"",K306="高資產",IFERROR(MATCH(B306,換券投組!K:K,0),"N")&lt;&gt;"N",IFERROR(MATCH(B306,換券投組!J:J,0),"N")&lt;&gt;"N"),FALSE,IF($V$1="All",TRUE,IF(K306=$V$1,TRUE,FALSE)))</f>
        <v>#N/A</v>
      </c>
      <c r="W306" s="136" t="e">
        <f ca="1">VLOOKUP(A306,'銀行-TSS'!A:AO,41,FALSE)</f>
        <v>#N/A</v>
      </c>
      <c r="X306" s="136" t="e">
        <f ca="1">VLOOKUP(A306,'銀行-TSS'!A:AP,42,FALSE)</f>
        <v>#N/A</v>
      </c>
      <c r="Y306" s="1223">
        <f t="shared" si="68"/>
        <v>0</v>
      </c>
      <c r="Z306" s="1211">
        <f t="shared" si="69"/>
        <v>0</v>
      </c>
      <c r="AA306" s="136">
        <f>IF(Z306&lt;=0,0,RANK(Z306,Z:Z)+COUNTIF($Z$3:$Z306,Z306)-1)</f>
        <v>0</v>
      </c>
      <c r="AB306" s="1211">
        <f t="shared" ca="1" si="54"/>
        <v>0</v>
      </c>
      <c r="AC306" s="136">
        <f ca="1">IF(AB306&lt;=0,0,RANK(AB306,AB:AB)+COUNTIF($AB$3:$AB306,AB306)-1)</f>
        <v>0</v>
      </c>
      <c r="AD306" s="136">
        <f t="shared" si="70"/>
        <v>99999</v>
      </c>
      <c r="AE306" s="136">
        <f>IF(AD306=99999,0,RANK(AD306,AD:AD,1)+COUNTIF($AD$3:$AD306,AD306)-1)</f>
        <v>0</v>
      </c>
    </row>
    <row r="307" spans="1:31">
      <c r="A307" s="141">
        <f>'銀行-TSS'!A307</f>
        <v>0</v>
      </c>
      <c r="B307" s="151">
        <f ca="1">VLOOKUP(A307,'銀行-TSS'!A:B,2,FALSE)</f>
        <v>0</v>
      </c>
      <c r="C307" s="151" t="e">
        <f ca="1">VLOOKUP(B307,bond!B:C,2,FALSE)</f>
        <v>#N/A</v>
      </c>
      <c r="D307" s="95" t="e">
        <f>VLOOKUP(A307,'銀行-TSS'!A:C,3,FALSE)</f>
        <v>#N/A</v>
      </c>
      <c r="E307" s="90" t="e">
        <f ca="1">VLOOKUP(A307,'銀行-TSS'!A:G,7,FALSE)</f>
        <v>#N/A</v>
      </c>
      <c r="F307" s="202" t="e">
        <f ca="1">VLOOKUP(A307,'銀行-TSS'!A:H,8,FALSE)</f>
        <v>#N/A</v>
      </c>
      <c r="G307" s="96" t="e">
        <f ca="1">VLOOKUP(A307,'銀行-TSS'!A:K,11,FALSE)</f>
        <v>#N/A</v>
      </c>
      <c r="H307" s="1209" t="e">
        <f ca="1">VLOOKUP(A307,'銀行-TSS'!A:M,13,FALSE)</f>
        <v>#N/A</v>
      </c>
      <c r="I307" s="1213" t="e">
        <f ca="1">VLOOKUP(A307,'銀行-TSS'!A:N,14,FALSE)</f>
        <v>#N/A</v>
      </c>
      <c r="J307" s="1213" t="e">
        <f ca="1">VLOOKUP(A307,'銀行-TSS'!A:O,15,FALSE)</f>
        <v>#N/A</v>
      </c>
      <c r="K307" s="136" t="e">
        <f ca="1">VLOOKUP(A307,'銀行-TSS'!A:V,22,FALSE)</f>
        <v>#N/A</v>
      </c>
      <c r="L307" s="136" t="e">
        <f ca="1">VLOOKUP(A307,'銀行-TSS'!A:AK,37,FALSE)</f>
        <v>#N/A</v>
      </c>
      <c r="M307" s="136" t="str">
        <f ca="1">VLOOKUP(A307,'銀行-TSS'!A:AN,40,FALSE)</f>
        <v/>
      </c>
      <c r="N307" s="1211" t="e">
        <f t="shared" ca="1" si="63"/>
        <v>#N/A</v>
      </c>
      <c r="O307" s="1211" t="e">
        <f t="shared" ca="1" si="64"/>
        <v>#N/A</v>
      </c>
      <c r="P307" s="1213" t="e">
        <f ca="1">IF(AND(換券投組!$D$17&gt;=O307,換券投組!$D$13=D307),I307+INT((換券投組!$D$17-O307)/N307)*J307,0)</f>
        <v>#N/A</v>
      </c>
      <c r="Q307" s="1211" t="e">
        <f t="shared" ca="1" si="65"/>
        <v>#N/A</v>
      </c>
      <c r="R307" s="1213">
        <f t="shared" si="66"/>
        <v>0</v>
      </c>
      <c r="S307" s="1213">
        <f t="shared" si="67"/>
        <v>0</v>
      </c>
      <c r="T307" s="136">
        <f t="shared" si="52"/>
        <v>0</v>
      </c>
      <c r="U307" s="861">
        <f t="shared" si="53"/>
        <v>0</v>
      </c>
      <c r="V307" s="136" t="e">
        <f ca="1">IF(OR(D307&lt;&gt;"USD",L307="無",M307&lt;&gt;"",K307="高資產",IFERROR(MATCH(B307,換券投組!K:K,0),"N")&lt;&gt;"N",IFERROR(MATCH(B307,換券投組!J:J,0),"N")&lt;&gt;"N"),FALSE,IF($V$1="All",TRUE,IF(K307=$V$1,TRUE,FALSE)))</f>
        <v>#N/A</v>
      </c>
      <c r="W307" s="136" t="e">
        <f ca="1">VLOOKUP(A307,'銀行-TSS'!A:AO,41,FALSE)</f>
        <v>#N/A</v>
      </c>
      <c r="X307" s="136" t="e">
        <f ca="1">VLOOKUP(A307,'銀行-TSS'!A:AP,42,FALSE)</f>
        <v>#N/A</v>
      </c>
      <c r="Y307" s="1223">
        <f t="shared" si="68"/>
        <v>0</v>
      </c>
      <c r="Z307" s="1211">
        <f t="shared" si="69"/>
        <v>0</v>
      </c>
      <c r="AA307" s="136">
        <f>IF(Z307&lt;=0,0,RANK(Z307,Z:Z)+COUNTIF($Z$3:$Z307,Z307)-1)</f>
        <v>0</v>
      </c>
      <c r="AB307" s="1211">
        <f t="shared" ca="1" si="54"/>
        <v>0</v>
      </c>
      <c r="AC307" s="136">
        <f ca="1">IF(AB307&lt;=0,0,RANK(AB307,AB:AB)+COUNTIF($AB$3:$AB307,AB307)-1)</f>
        <v>0</v>
      </c>
      <c r="AD307" s="136">
        <f t="shared" si="70"/>
        <v>99999</v>
      </c>
      <c r="AE307" s="136">
        <f>IF(AD307=99999,0,RANK(AD307,AD:AD,1)+COUNTIF($AD$3:$AD307,AD307)-1)</f>
        <v>0</v>
      </c>
    </row>
    <row r="308" spans="1:31">
      <c r="A308" s="141">
        <f>'銀行-TSS'!A308</f>
        <v>0</v>
      </c>
      <c r="B308" s="151">
        <f ca="1">VLOOKUP(A308,'銀行-TSS'!A:B,2,FALSE)</f>
        <v>0</v>
      </c>
      <c r="C308" s="151" t="e">
        <f ca="1">VLOOKUP(B308,bond!B:C,2,FALSE)</f>
        <v>#N/A</v>
      </c>
      <c r="D308" s="95" t="e">
        <f>VLOOKUP(A308,'銀行-TSS'!A:C,3,FALSE)</f>
        <v>#N/A</v>
      </c>
      <c r="E308" s="90" t="e">
        <f ca="1">VLOOKUP(A308,'銀行-TSS'!A:G,7,FALSE)</f>
        <v>#N/A</v>
      </c>
      <c r="F308" s="202" t="e">
        <f ca="1">VLOOKUP(A308,'銀行-TSS'!A:H,8,FALSE)</f>
        <v>#N/A</v>
      </c>
      <c r="G308" s="96" t="e">
        <f ca="1">VLOOKUP(A308,'銀行-TSS'!A:K,11,FALSE)</f>
        <v>#N/A</v>
      </c>
      <c r="H308" s="1209" t="e">
        <f ca="1">VLOOKUP(A308,'銀行-TSS'!A:M,13,FALSE)</f>
        <v>#N/A</v>
      </c>
      <c r="I308" s="1213" t="e">
        <f ca="1">VLOOKUP(A308,'銀行-TSS'!A:N,14,FALSE)</f>
        <v>#N/A</v>
      </c>
      <c r="J308" s="1213" t="e">
        <f ca="1">VLOOKUP(A308,'銀行-TSS'!A:O,15,FALSE)</f>
        <v>#N/A</v>
      </c>
      <c r="K308" s="136" t="e">
        <f ca="1">VLOOKUP(A308,'銀行-TSS'!A:V,22,FALSE)</f>
        <v>#N/A</v>
      </c>
      <c r="L308" s="136" t="e">
        <f ca="1">VLOOKUP(A308,'銀行-TSS'!A:AK,37,FALSE)</f>
        <v>#N/A</v>
      </c>
      <c r="M308" s="136" t="str">
        <f ca="1">VLOOKUP(A308,'銀行-TSS'!A:AN,40,FALSE)</f>
        <v/>
      </c>
      <c r="N308" s="1211" t="e">
        <f t="shared" ca="1" si="63"/>
        <v>#N/A</v>
      </c>
      <c r="O308" s="1211" t="e">
        <f t="shared" ca="1" si="64"/>
        <v>#N/A</v>
      </c>
      <c r="P308" s="1213" t="e">
        <f ca="1">IF(AND(換券投組!$D$17&gt;=O308,換券投組!$D$13=D308),I308+INT((換券投組!$D$17-O308)/N308)*J308,0)</f>
        <v>#N/A</v>
      </c>
      <c r="Q308" s="1211" t="e">
        <f t="shared" ca="1" si="65"/>
        <v>#N/A</v>
      </c>
      <c r="R308" s="1213">
        <f t="shared" si="66"/>
        <v>0</v>
      </c>
      <c r="S308" s="1213">
        <f t="shared" si="67"/>
        <v>0</v>
      </c>
      <c r="T308" s="136">
        <f t="shared" si="52"/>
        <v>0</v>
      </c>
      <c r="U308" s="861">
        <f t="shared" si="53"/>
        <v>0</v>
      </c>
      <c r="V308" s="136" t="e">
        <f ca="1">IF(OR(D308&lt;&gt;"USD",L308="無",M308&lt;&gt;"",K308="高資產",IFERROR(MATCH(B308,換券投組!K:K,0),"N")&lt;&gt;"N",IFERROR(MATCH(B308,換券投組!J:J,0),"N")&lt;&gt;"N"),FALSE,IF($V$1="All",TRUE,IF(K308=$V$1,TRUE,FALSE)))</f>
        <v>#N/A</v>
      </c>
      <c r="W308" s="136" t="e">
        <f ca="1">VLOOKUP(A308,'銀行-TSS'!A:AO,41,FALSE)</f>
        <v>#N/A</v>
      </c>
      <c r="X308" s="136" t="e">
        <f ca="1">VLOOKUP(A308,'銀行-TSS'!A:AP,42,FALSE)</f>
        <v>#N/A</v>
      </c>
      <c r="Y308" s="1223">
        <f t="shared" si="68"/>
        <v>0</v>
      </c>
      <c r="Z308" s="1211">
        <f t="shared" si="69"/>
        <v>0</v>
      </c>
      <c r="AA308" s="136">
        <f>IF(Z308&lt;=0,0,RANK(Z308,Z:Z)+COUNTIF($Z$3:$Z308,Z308)-1)</f>
        <v>0</v>
      </c>
      <c r="AB308" s="1211">
        <f t="shared" ca="1" si="54"/>
        <v>0</v>
      </c>
      <c r="AC308" s="136">
        <f ca="1">IF(AB308&lt;=0,0,RANK(AB308,AB:AB)+COUNTIF($AB$3:$AB308,AB308)-1)</f>
        <v>0</v>
      </c>
      <c r="AD308" s="136">
        <f t="shared" si="70"/>
        <v>99999</v>
      </c>
      <c r="AE308" s="136">
        <f>IF(AD308=99999,0,RANK(AD308,AD:AD,1)+COUNTIF($AD$3:$AD308,AD308)-1)</f>
        <v>0</v>
      </c>
    </row>
    <row r="309" spans="1:31">
      <c r="A309" s="141">
        <f>'銀行-TSS'!A309</f>
        <v>0</v>
      </c>
      <c r="B309" s="151">
        <f ca="1">VLOOKUP(A309,'銀行-TSS'!A:B,2,FALSE)</f>
        <v>0</v>
      </c>
      <c r="C309" s="151" t="e">
        <f ca="1">VLOOKUP(B309,bond!B:C,2,FALSE)</f>
        <v>#N/A</v>
      </c>
      <c r="D309" s="95" t="e">
        <f>VLOOKUP(A309,'銀行-TSS'!A:C,3,FALSE)</f>
        <v>#N/A</v>
      </c>
      <c r="E309" s="90" t="e">
        <f ca="1">VLOOKUP(A309,'銀行-TSS'!A:G,7,FALSE)</f>
        <v>#N/A</v>
      </c>
      <c r="F309" s="202" t="e">
        <f ca="1">VLOOKUP(A309,'銀行-TSS'!A:H,8,FALSE)</f>
        <v>#N/A</v>
      </c>
      <c r="G309" s="96" t="e">
        <f ca="1">VLOOKUP(A309,'銀行-TSS'!A:K,11,FALSE)</f>
        <v>#N/A</v>
      </c>
      <c r="H309" s="1209" t="e">
        <f ca="1">VLOOKUP(A309,'銀行-TSS'!A:M,13,FALSE)</f>
        <v>#N/A</v>
      </c>
      <c r="I309" s="1213" t="e">
        <f ca="1">VLOOKUP(A309,'銀行-TSS'!A:N,14,FALSE)</f>
        <v>#N/A</v>
      </c>
      <c r="J309" s="1213" t="e">
        <f ca="1">VLOOKUP(A309,'銀行-TSS'!A:O,15,FALSE)</f>
        <v>#N/A</v>
      </c>
      <c r="K309" s="136" t="e">
        <f ca="1">VLOOKUP(A309,'銀行-TSS'!A:V,22,FALSE)</f>
        <v>#N/A</v>
      </c>
      <c r="L309" s="136" t="e">
        <f ca="1">VLOOKUP(A309,'銀行-TSS'!A:AK,37,FALSE)</f>
        <v>#N/A</v>
      </c>
      <c r="M309" s="136" t="str">
        <f ca="1">VLOOKUP(A309,'銀行-TSS'!A:AN,40,FALSE)</f>
        <v/>
      </c>
      <c r="N309" s="1211" t="e">
        <f t="shared" ca="1" si="63"/>
        <v>#N/A</v>
      </c>
      <c r="O309" s="1211" t="e">
        <f t="shared" ca="1" si="64"/>
        <v>#N/A</v>
      </c>
      <c r="P309" s="1213" t="e">
        <f ca="1">IF(AND(換券投組!$D$17&gt;=O309,換券投組!$D$13=D309),I309+INT((換券投組!$D$17-O309)/N309)*J309,0)</f>
        <v>#N/A</v>
      </c>
      <c r="Q309" s="1211" t="e">
        <f t="shared" ca="1" si="65"/>
        <v>#N/A</v>
      </c>
      <c r="R309" s="1213">
        <f t="shared" si="66"/>
        <v>0</v>
      </c>
      <c r="S309" s="1213">
        <f t="shared" si="67"/>
        <v>0</v>
      </c>
      <c r="T309" s="136">
        <f t="shared" si="52"/>
        <v>0</v>
      </c>
      <c r="U309" s="861">
        <f t="shared" si="53"/>
        <v>0</v>
      </c>
      <c r="V309" s="136" t="e">
        <f ca="1">IF(OR(D309&lt;&gt;"USD",L309="無",M309&lt;&gt;"",K309="高資產",IFERROR(MATCH(B309,換券投組!K:K,0),"N")&lt;&gt;"N",IFERROR(MATCH(B309,換券投組!J:J,0),"N")&lt;&gt;"N"),FALSE,IF($V$1="All",TRUE,IF(K309=$V$1,TRUE,FALSE)))</f>
        <v>#N/A</v>
      </c>
      <c r="W309" s="136" t="e">
        <f ca="1">VLOOKUP(A309,'銀行-TSS'!A:AO,41,FALSE)</f>
        <v>#N/A</v>
      </c>
      <c r="X309" s="136" t="e">
        <f ca="1">VLOOKUP(A309,'銀行-TSS'!A:AP,42,FALSE)</f>
        <v>#N/A</v>
      </c>
      <c r="Y309" s="1223">
        <f t="shared" si="68"/>
        <v>0</v>
      </c>
      <c r="Z309" s="1211">
        <f t="shared" si="69"/>
        <v>0</v>
      </c>
      <c r="AA309" s="136">
        <f>IF(Z309&lt;=0,0,RANK(Z309,Z:Z)+COUNTIF($Z$3:$Z309,Z309)-1)</f>
        <v>0</v>
      </c>
      <c r="AB309" s="1211">
        <f t="shared" ca="1" si="54"/>
        <v>0</v>
      </c>
      <c r="AC309" s="136">
        <f ca="1">IF(AB309&lt;=0,0,RANK(AB309,AB:AB)+COUNTIF($AB$3:$AB309,AB309)-1)</f>
        <v>0</v>
      </c>
      <c r="AD309" s="136">
        <f t="shared" si="70"/>
        <v>99999</v>
      </c>
      <c r="AE309" s="136">
        <f>IF(AD309=99999,0,RANK(AD309,AD:AD,1)+COUNTIF($AD$3:$AD309,AD309)-1)</f>
        <v>0</v>
      </c>
    </row>
    <row r="310" spans="1:31">
      <c r="A310" s="141">
        <f>'銀行-TSS'!A310</f>
        <v>0</v>
      </c>
      <c r="B310" s="151">
        <f ca="1">VLOOKUP(A310,'銀行-TSS'!A:B,2,FALSE)</f>
        <v>0</v>
      </c>
      <c r="C310" s="151" t="e">
        <f ca="1">VLOOKUP(B310,bond!B:C,2,FALSE)</f>
        <v>#N/A</v>
      </c>
      <c r="D310" s="95" t="e">
        <f>VLOOKUP(A310,'銀行-TSS'!A:C,3,FALSE)</f>
        <v>#N/A</v>
      </c>
      <c r="E310" s="90" t="e">
        <f ca="1">VLOOKUP(A310,'銀行-TSS'!A:G,7,FALSE)</f>
        <v>#N/A</v>
      </c>
      <c r="F310" s="202" t="e">
        <f ca="1">VLOOKUP(A310,'銀行-TSS'!A:H,8,FALSE)</f>
        <v>#N/A</v>
      </c>
      <c r="G310" s="96" t="e">
        <f ca="1">VLOOKUP(A310,'銀行-TSS'!A:K,11,FALSE)</f>
        <v>#N/A</v>
      </c>
      <c r="H310" s="1209" t="e">
        <f ca="1">VLOOKUP(A310,'銀行-TSS'!A:M,13,FALSE)</f>
        <v>#N/A</v>
      </c>
      <c r="I310" s="1213" t="e">
        <f ca="1">VLOOKUP(A310,'銀行-TSS'!A:N,14,FALSE)</f>
        <v>#N/A</v>
      </c>
      <c r="J310" s="1213" t="e">
        <f ca="1">VLOOKUP(A310,'銀行-TSS'!A:O,15,FALSE)</f>
        <v>#N/A</v>
      </c>
      <c r="K310" s="136" t="e">
        <f ca="1">VLOOKUP(A310,'銀行-TSS'!A:V,22,FALSE)</f>
        <v>#N/A</v>
      </c>
      <c r="L310" s="136" t="e">
        <f ca="1">VLOOKUP(A310,'銀行-TSS'!A:AK,37,FALSE)</f>
        <v>#N/A</v>
      </c>
      <c r="M310" s="136" t="str">
        <f ca="1">VLOOKUP(A310,'銀行-TSS'!A:AN,40,FALSE)</f>
        <v/>
      </c>
      <c r="N310" s="1211" t="e">
        <f t="shared" ca="1" si="63"/>
        <v>#N/A</v>
      </c>
      <c r="O310" s="1211" t="e">
        <f t="shared" ca="1" si="64"/>
        <v>#N/A</v>
      </c>
      <c r="P310" s="1213" t="e">
        <f ca="1">IF(AND(換券投組!$D$17&gt;=O310,換券投組!$D$13=D310),I310+INT((換券投組!$D$17-O310)/N310)*J310,0)</f>
        <v>#N/A</v>
      </c>
      <c r="Q310" s="1211" t="e">
        <f t="shared" ca="1" si="65"/>
        <v>#N/A</v>
      </c>
      <c r="R310" s="1213">
        <f t="shared" si="66"/>
        <v>0</v>
      </c>
      <c r="S310" s="1213">
        <f t="shared" si="67"/>
        <v>0</v>
      </c>
      <c r="T310" s="136">
        <f t="shared" si="52"/>
        <v>0</v>
      </c>
      <c r="U310" s="861">
        <f t="shared" si="53"/>
        <v>0</v>
      </c>
      <c r="V310" s="136" t="e">
        <f ca="1">IF(OR(D310&lt;&gt;"USD",L310="無",M310&lt;&gt;"",K310="高資產",IFERROR(MATCH(B310,換券投組!K:K,0),"N")&lt;&gt;"N",IFERROR(MATCH(B310,換券投組!J:J,0),"N")&lt;&gt;"N"),FALSE,IF($V$1="All",TRUE,IF(K310=$V$1,TRUE,FALSE)))</f>
        <v>#N/A</v>
      </c>
      <c r="W310" s="136" t="e">
        <f ca="1">VLOOKUP(A310,'銀行-TSS'!A:AO,41,FALSE)</f>
        <v>#N/A</v>
      </c>
      <c r="X310" s="136" t="e">
        <f ca="1">VLOOKUP(A310,'銀行-TSS'!A:AP,42,FALSE)</f>
        <v>#N/A</v>
      </c>
      <c r="Y310" s="1223">
        <f t="shared" si="68"/>
        <v>0</v>
      </c>
      <c r="Z310" s="1211">
        <f t="shared" si="69"/>
        <v>0</v>
      </c>
      <c r="AA310" s="136">
        <f>IF(Z310&lt;=0,0,RANK(Z310,Z:Z)+COUNTIF($Z$3:$Z310,Z310)-1)</f>
        <v>0</v>
      </c>
      <c r="AB310" s="1211">
        <f t="shared" ca="1" si="54"/>
        <v>0</v>
      </c>
      <c r="AC310" s="136">
        <f ca="1">IF(AB310&lt;=0,0,RANK(AB310,AB:AB)+COUNTIF($AB$3:$AB310,AB310)-1)</f>
        <v>0</v>
      </c>
      <c r="AD310" s="136">
        <f t="shared" si="70"/>
        <v>99999</v>
      </c>
      <c r="AE310" s="136">
        <f>IF(AD310=99999,0,RANK(AD310,AD:AD,1)+COUNTIF($AD$3:$AD310,AD310)-1)</f>
        <v>0</v>
      </c>
    </row>
    <row r="311" spans="1:31">
      <c r="A311" s="141">
        <f>'銀行-TSS'!A311</f>
        <v>0</v>
      </c>
      <c r="B311" s="151">
        <f ca="1">VLOOKUP(A311,'銀行-TSS'!A:B,2,FALSE)</f>
        <v>0</v>
      </c>
      <c r="C311" s="151" t="e">
        <f ca="1">VLOOKUP(B311,bond!B:C,2,FALSE)</f>
        <v>#N/A</v>
      </c>
      <c r="D311" s="95" t="e">
        <f>VLOOKUP(A311,'銀行-TSS'!A:C,3,FALSE)</f>
        <v>#N/A</v>
      </c>
      <c r="E311" s="90" t="e">
        <f ca="1">VLOOKUP(A311,'銀行-TSS'!A:G,7,FALSE)</f>
        <v>#N/A</v>
      </c>
      <c r="F311" s="202" t="e">
        <f ca="1">VLOOKUP(A311,'銀行-TSS'!A:H,8,FALSE)</f>
        <v>#N/A</v>
      </c>
      <c r="G311" s="96" t="e">
        <f ca="1">VLOOKUP(A311,'銀行-TSS'!A:K,11,FALSE)</f>
        <v>#N/A</v>
      </c>
      <c r="H311" s="1209" t="e">
        <f ca="1">VLOOKUP(A311,'銀行-TSS'!A:M,13,FALSE)</f>
        <v>#N/A</v>
      </c>
      <c r="I311" s="1213" t="e">
        <f ca="1">VLOOKUP(A311,'銀行-TSS'!A:N,14,FALSE)</f>
        <v>#N/A</v>
      </c>
      <c r="J311" s="1213" t="e">
        <f ca="1">VLOOKUP(A311,'銀行-TSS'!A:O,15,FALSE)</f>
        <v>#N/A</v>
      </c>
      <c r="K311" s="136" t="e">
        <f ca="1">VLOOKUP(A311,'銀行-TSS'!A:V,22,FALSE)</f>
        <v>#N/A</v>
      </c>
      <c r="L311" s="136" t="e">
        <f ca="1">VLOOKUP(A311,'銀行-TSS'!A:AK,37,FALSE)</f>
        <v>#N/A</v>
      </c>
      <c r="M311" s="136" t="str">
        <f ca="1">VLOOKUP(A311,'銀行-TSS'!A:AN,40,FALSE)</f>
        <v/>
      </c>
      <c r="N311" s="1211" t="e">
        <f t="shared" ca="1" si="63"/>
        <v>#N/A</v>
      </c>
      <c r="O311" s="1211" t="e">
        <f t="shared" ca="1" si="64"/>
        <v>#N/A</v>
      </c>
      <c r="P311" s="1213" t="e">
        <f ca="1">IF(AND(換券投組!$D$17&gt;=O311,換券投組!$D$13=D311),I311+INT((換券投組!$D$17-O311)/N311)*J311,0)</f>
        <v>#N/A</v>
      </c>
      <c r="Q311" s="1211" t="e">
        <f t="shared" ca="1" si="65"/>
        <v>#N/A</v>
      </c>
      <c r="R311" s="1213">
        <f t="shared" si="66"/>
        <v>0</v>
      </c>
      <c r="S311" s="1213">
        <f t="shared" si="67"/>
        <v>0</v>
      </c>
      <c r="T311" s="136">
        <f t="shared" si="52"/>
        <v>0</v>
      </c>
      <c r="U311" s="861">
        <f t="shared" si="53"/>
        <v>0</v>
      </c>
      <c r="V311" s="136" t="e">
        <f ca="1">IF(OR(D311&lt;&gt;"USD",L311="無",M311&lt;&gt;"",K311="高資產",IFERROR(MATCH(B311,換券投組!K:K,0),"N")&lt;&gt;"N",IFERROR(MATCH(B311,換券投組!J:J,0),"N")&lt;&gt;"N"),FALSE,IF($V$1="All",TRUE,IF(K311=$V$1,TRUE,FALSE)))</f>
        <v>#N/A</v>
      </c>
      <c r="W311" s="136" t="e">
        <f ca="1">VLOOKUP(A311,'銀行-TSS'!A:AO,41,FALSE)</f>
        <v>#N/A</v>
      </c>
      <c r="X311" s="136" t="e">
        <f ca="1">VLOOKUP(A311,'銀行-TSS'!A:AP,42,FALSE)</f>
        <v>#N/A</v>
      </c>
      <c r="Y311" s="1223">
        <f t="shared" si="68"/>
        <v>0</v>
      </c>
      <c r="Z311" s="1211">
        <f t="shared" si="69"/>
        <v>0</v>
      </c>
      <c r="AA311" s="136">
        <f>IF(Z311&lt;=0,0,RANK(Z311,Z:Z)+COUNTIF($Z$3:$Z311,Z311)-1)</f>
        <v>0</v>
      </c>
      <c r="AB311" s="1211">
        <f t="shared" ca="1" si="54"/>
        <v>0</v>
      </c>
      <c r="AC311" s="136">
        <f ca="1">IF(AB311&lt;=0,0,RANK(AB311,AB:AB)+COUNTIF($AB$3:$AB311,AB311)-1)</f>
        <v>0</v>
      </c>
      <c r="AD311" s="136">
        <f t="shared" si="70"/>
        <v>99999</v>
      </c>
      <c r="AE311" s="136">
        <f>IF(AD311=99999,0,RANK(AD311,AD:AD,1)+COUNTIF($AD$3:$AD311,AD311)-1)</f>
        <v>0</v>
      </c>
    </row>
    <row r="312" spans="1:31">
      <c r="A312" s="141">
        <f>'銀行-TSS'!A312</f>
        <v>0</v>
      </c>
      <c r="B312" s="151">
        <f ca="1">VLOOKUP(A312,'銀行-TSS'!A:B,2,FALSE)</f>
        <v>0</v>
      </c>
      <c r="C312" s="151" t="e">
        <f ca="1">VLOOKUP(B312,bond!B:C,2,FALSE)</f>
        <v>#N/A</v>
      </c>
      <c r="D312" s="95" t="e">
        <f>VLOOKUP(A312,'銀行-TSS'!A:C,3,FALSE)</f>
        <v>#N/A</v>
      </c>
      <c r="E312" s="90" t="e">
        <f ca="1">VLOOKUP(A312,'銀行-TSS'!A:G,7,FALSE)</f>
        <v>#N/A</v>
      </c>
      <c r="F312" s="202" t="e">
        <f ca="1">VLOOKUP(A312,'銀行-TSS'!A:H,8,FALSE)</f>
        <v>#N/A</v>
      </c>
      <c r="G312" s="96" t="e">
        <f ca="1">VLOOKUP(A312,'銀行-TSS'!A:K,11,FALSE)</f>
        <v>#N/A</v>
      </c>
      <c r="H312" s="1209" t="e">
        <f ca="1">VLOOKUP(A312,'銀行-TSS'!A:M,13,FALSE)</f>
        <v>#N/A</v>
      </c>
      <c r="I312" s="1213" t="e">
        <f ca="1">VLOOKUP(A312,'銀行-TSS'!A:N,14,FALSE)</f>
        <v>#N/A</v>
      </c>
      <c r="J312" s="1213" t="e">
        <f ca="1">VLOOKUP(A312,'銀行-TSS'!A:O,15,FALSE)</f>
        <v>#N/A</v>
      </c>
      <c r="K312" s="136" t="e">
        <f ca="1">VLOOKUP(A312,'銀行-TSS'!A:V,22,FALSE)</f>
        <v>#N/A</v>
      </c>
      <c r="L312" s="136" t="e">
        <f ca="1">VLOOKUP(A312,'銀行-TSS'!A:AK,37,FALSE)</f>
        <v>#N/A</v>
      </c>
      <c r="M312" s="136" t="str">
        <f ca="1">VLOOKUP(A312,'銀行-TSS'!A:AN,40,FALSE)</f>
        <v/>
      </c>
      <c r="N312" s="1211" t="e">
        <f t="shared" ca="1" si="63"/>
        <v>#N/A</v>
      </c>
      <c r="O312" s="1211" t="e">
        <f t="shared" ca="1" si="64"/>
        <v>#N/A</v>
      </c>
      <c r="P312" s="1213" t="e">
        <f ca="1">IF(AND(換券投組!$D$17&gt;=O312,換券投組!$D$13=D312),I312+INT((換券投組!$D$17-O312)/N312)*J312,0)</f>
        <v>#N/A</v>
      </c>
      <c r="Q312" s="1211" t="e">
        <f t="shared" ca="1" si="65"/>
        <v>#N/A</v>
      </c>
      <c r="R312" s="1213">
        <f t="shared" si="66"/>
        <v>0</v>
      </c>
      <c r="S312" s="1213">
        <f t="shared" si="67"/>
        <v>0</v>
      </c>
      <c r="T312" s="136">
        <f t="shared" si="52"/>
        <v>0</v>
      </c>
      <c r="U312" s="861">
        <f t="shared" si="53"/>
        <v>0</v>
      </c>
      <c r="V312" s="136" t="e">
        <f ca="1">IF(OR(D312&lt;&gt;"USD",L312="無",M312&lt;&gt;"",K312="高資產",IFERROR(MATCH(B312,換券投組!K:K,0),"N")&lt;&gt;"N",IFERROR(MATCH(B312,換券投組!J:J,0),"N")&lt;&gt;"N"),FALSE,IF($V$1="All",TRUE,IF(K312=$V$1,TRUE,FALSE)))</f>
        <v>#N/A</v>
      </c>
      <c r="W312" s="136" t="e">
        <f ca="1">VLOOKUP(A312,'銀行-TSS'!A:AO,41,FALSE)</f>
        <v>#N/A</v>
      </c>
      <c r="X312" s="136" t="e">
        <f ca="1">VLOOKUP(A312,'銀行-TSS'!A:AP,42,FALSE)</f>
        <v>#N/A</v>
      </c>
      <c r="Y312" s="1223">
        <f t="shared" si="68"/>
        <v>0</v>
      </c>
      <c r="Z312" s="1211">
        <f t="shared" si="69"/>
        <v>0</v>
      </c>
      <c r="AA312" s="136">
        <f>IF(Z312&lt;=0,0,RANK(Z312,Z:Z)+COUNTIF($Z$3:$Z312,Z312)-1)</f>
        <v>0</v>
      </c>
      <c r="AB312" s="1211">
        <f t="shared" ca="1" si="54"/>
        <v>0</v>
      </c>
      <c r="AC312" s="136">
        <f ca="1">IF(AB312&lt;=0,0,RANK(AB312,AB:AB)+COUNTIF($AB$3:$AB312,AB312)-1)</f>
        <v>0</v>
      </c>
      <c r="AD312" s="136">
        <f t="shared" si="70"/>
        <v>99999</v>
      </c>
      <c r="AE312" s="136">
        <f>IF(AD312=99999,0,RANK(AD312,AD:AD,1)+COUNTIF($AD$3:$AD312,AD312)-1)</f>
        <v>0</v>
      </c>
    </row>
    <row r="313" spans="1:31">
      <c r="A313" s="141">
        <f>'銀行-TSS'!A313</f>
        <v>0</v>
      </c>
      <c r="B313" s="151">
        <f ca="1">VLOOKUP(A313,'銀行-TSS'!A:B,2,FALSE)</f>
        <v>0</v>
      </c>
      <c r="C313" s="151" t="e">
        <f ca="1">VLOOKUP(B313,bond!B:C,2,FALSE)</f>
        <v>#N/A</v>
      </c>
      <c r="D313" s="95" t="e">
        <f>VLOOKUP(A313,'銀行-TSS'!A:C,3,FALSE)</f>
        <v>#N/A</v>
      </c>
      <c r="E313" s="90" t="e">
        <f ca="1">VLOOKUP(A313,'銀行-TSS'!A:G,7,FALSE)</f>
        <v>#N/A</v>
      </c>
      <c r="F313" s="202" t="e">
        <f ca="1">VLOOKUP(A313,'銀行-TSS'!A:H,8,FALSE)</f>
        <v>#N/A</v>
      </c>
      <c r="G313" s="96" t="e">
        <f ca="1">VLOOKUP(A313,'銀行-TSS'!A:K,11,FALSE)</f>
        <v>#N/A</v>
      </c>
      <c r="H313" s="1209" t="e">
        <f ca="1">VLOOKUP(A313,'銀行-TSS'!A:M,13,FALSE)</f>
        <v>#N/A</v>
      </c>
      <c r="I313" s="1213" t="e">
        <f ca="1">VLOOKUP(A313,'銀行-TSS'!A:N,14,FALSE)</f>
        <v>#N/A</v>
      </c>
      <c r="J313" s="1213" t="e">
        <f ca="1">VLOOKUP(A313,'銀行-TSS'!A:O,15,FALSE)</f>
        <v>#N/A</v>
      </c>
      <c r="K313" s="136" t="e">
        <f ca="1">VLOOKUP(A313,'銀行-TSS'!A:V,22,FALSE)</f>
        <v>#N/A</v>
      </c>
      <c r="L313" s="136" t="e">
        <f ca="1">VLOOKUP(A313,'銀行-TSS'!A:AK,37,FALSE)</f>
        <v>#N/A</v>
      </c>
      <c r="M313" s="136" t="str">
        <f ca="1">VLOOKUP(A313,'銀行-TSS'!A:AN,40,FALSE)</f>
        <v/>
      </c>
      <c r="N313" s="1211" t="e">
        <f t="shared" ca="1" si="63"/>
        <v>#N/A</v>
      </c>
      <c r="O313" s="1211" t="e">
        <f t="shared" ca="1" si="64"/>
        <v>#N/A</v>
      </c>
      <c r="P313" s="1213" t="e">
        <f ca="1">IF(AND(換券投組!$D$17&gt;=O313,換券投組!$D$13=D313),I313+INT((換券投組!$D$17-O313)/N313)*J313,0)</f>
        <v>#N/A</v>
      </c>
      <c r="Q313" s="1211" t="e">
        <f t="shared" ca="1" si="65"/>
        <v>#N/A</v>
      </c>
      <c r="R313" s="1213">
        <f t="shared" si="66"/>
        <v>0</v>
      </c>
      <c r="S313" s="1213">
        <f t="shared" si="67"/>
        <v>0</v>
      </c>
      <c r="T313" s="136">
        <f t="shared" si="52"/>
        <v>0</v>
      </c>
      <c r="U313" s="861">
        <f t="shared" si="53"/>
        <v>0</v>
      </c>
      <c r="V313" s="136" t="e">
        <f ca="1">IF(OR(D313&lt;&gt;"USD",L313="無",M313&lt;&gt;"",K313="高資產",IFERROR(MATCH(B313,換券投組!K:K,0),"N")&lt;&gt;"N",IFERROR(MATCH(B313,換券投組!J:J,0),"N")&lt;&gt;"N"),FALSE,IF($V$1="All",TRUE,IF(K313=$V$1,TRUE,FALSE)))</f>
        <v>#N/A</v>
      </c>
      <c r="W313" s="136" t="e">
        <f ca="1">VLOOKUP(A313,'銀行-TSS'!A:AO,41,FALSE)</f>
        <v>#N/A</v>
      </c>
      <c r="X313" s="136" t="e">
        <f ca="1">VLOOKUP(A313,'銀行-TSS'!A:AP,42,FALSE)</f>
        <v>#N/A</v>
      </c>
      <c r="Y313" s="1223">
        <f t="shared" si="68"/>
        <v>0</v>
      </c>
      <c r="Z313" s="1211">
        <f t="shared" si="69"/>
        <v>0</v>
      </c>
      <c r="AA313" s="136">
        <f>IF(Z313&lt;=0,0,RANK(Z313,Z:Z)+COUNTIF($Z$3:$Z313,Z313)-1)</f>
        <v>0</v>
      </c>
      <c r="AB313" s="1211">
        <f t="shared" ca="1" si="54"/>
        <v>0</v>
      </c>
      <c r="AC313" s="136">
        <f ca="1">IF(AB313&lt;=0,0,RANK(AB313,AB:AB)+COUNTIF($AB$3:$AB313,AB313)-1)</f>
        <v>0</v>
      </c>
      <c r="AD313" s="136">
        <f t="shared" si="70"/>
        <v>99999</v>
      </c>
      <c r="AE313" s="136">
        <f>IF(AD313=99999,0,RANK(AD313,AD:AD,1)+COUNTIF($AD$3:$AD313,AD313)-1)</f>
        <v>0</v>
      </c>
    </row>
    <row r="314" spans="1:31">
      <c r="A314" s="141">
        <f>'銀行-TSS'!A314</f>
        <v>0</v>
      </c>
      <c r="B314" s="151">
        <f ca="1">VLOOKUP(A314,'銀行-TSS'!A:B,2,FALSE)</f>
        <v>0</v>
      </c>
      <c r="C314" s="151" t="e">
        <f ca="1">VLOOKUP(B314,bond!B:C,2,FALSE)</f>
        <v>#N/A</v>
      </c>
      <c r="D314" s="95" t="e">
        <f>VLOOKUP(A314,'銀行-TSS'!A:C,3,FALSE)</f>
        <v>#N/A</v>
      </c>
      <c r="E314" s="90" t="e">
        <f ca="1">VLOOKUP(A314,'銀行-TSS'!A:G,7,FALSE)</f>
        <v>#N/A</v>
      </c>
      <c r="F314" s="202" t="e">
        <f ca="1">VLOOKUP(A314,'銀行-TSS'!A:H,8,FALSE)</f>
        <v>#N/A</v>
      </c>
      <c r="G314" s="96" t="e">
        <f ca="1">VLOOKUP(A314,'銀行-TSS'!A:K,11,FALSE)</f>
        <v>#N/A</v>
      </c>
      <c r="H314" s="1209" t="e">
        <f ca="1">VLOOKUP(A314,'銀行-TSS'!A:M,13,FALSE)</f>
        <v>#N/A</v>
      </c>
      <c r="I314" s="1213" t="e">
        <f ca="1">VLOOKUP(A314,'銀行-TSS'!A:N,14,FALSE)</f>
        <v>#N/A</v>
      </c>
      <c r="J314" s="1213" t="e">
        <f ca="1">VLOOKUP(A314,'銀行-TSS'!A:O,15,FALSE)</f>
        <v>#N/A</v>
      </c>
      <c r="K314" s="136" t="e">
        <f ca="1">VLOOKUP(A314,'銀行-TSS'!A:V,22,FALSE)</f>
        <v>#N/A</v>
      </c>
      <c r="L314" s="136" t="e">
        <f ca="1">VLOOKUP(A314,'銀行-TSS'!A:AK,37,FALSE)</f>
        <v>#N/A</v>
      </c>
      <c r="M314" s="136" t="str">
        <f ca="1">VLOOKUP(A314,'銀行-TSS'!A:AN,40,FALSE)</f>
        <v/>
      </c>
      <c r="N314" s="1211" t="e">
        <f t="shared" ca="1" si="63"/>
        <v>#N/A</v>
      </c>
      <c r="O314" s="1211" t="e">
        <f t="shared" ca="1" si="64"/>
        <v>#N/A</v>
      </c>
      <c r="P314" s="1213" t="e">
        <f ca="1">IF(AND(換券投組!$D$17&gt;=O314,換券投組!$D$13=D314),I314+INT((換券投組!$D$17-O314)/N314)*J314,0)</f>
        <v>#N/A</v>
      </c>
      <c r="Q314" s="1211" t="e">
        <f t="shared" ca="1" si="65"/>
        <v>#N/A</v>
      </c>
      <c r="R314" s="1213">
        <f t="shared" si="66"/>
        <v>0</v>
      </c>
      <c r="S314" s="1213">
        <f t="shared" si="67"/>
        <v>0</v>
      </c>
      <c r="T314" s="136">
        <f t="shared" si="52"/>
        <v>0</v>
      </c>
      <c r="U314" s="861">
        <f t="shared" si="53"/>
        <v>0</v>
      </c>
      <c r="V314" s="136" t="e">
        <f ca="1">IF(OR(D314&lt;&gt;"USD",L314="無",M314&lt;&gt;"",K314="高資產",IFERROR(MATCH(B314,換券投組!K:K,0),"N")&lt;&gt;"N",IFERROR(MATCH(B314,換券投組!J:J,0),"N")&lt;&gt;"N"),FALSE,IF($V$1="All",TRUE,IF(K314=$V$1,TRUE,FALSE)))</f>
        <v>#N/A</v>
      </c>
      <c r="W314" s="136" t="e">
        <f ca="1">VLOOKUP(A314,'銀行-TSS'!A:AO,41,FALSE)</f>
        <v>#N/A</v>
      </c>
      <c r="X314" s="136" t="e">
        <f ca="1">VLOOKUP(A314,'銀行-TSS'!A:AP,42,FALSE)</f>
        <v>#N/A</v>
      </c>
      <c r="Y314" s="1223">
        <f t="shared" si="68"/>
        <v>0</v>
      </c>
      <c r="Z314" s="1211">
        <f t="shared" si="69"/>
        <v>0</v>
      </c>
      <c r="AA314" s="136">
        <f>IF(Z314&lt;=0,0,RANK(Z314,Z:Z)+COUNTIF($Z$3:$Z314,Z314)-1)</f>
        <v>0</v>
      </c>
      <c r="AB314" s="1211">
        <f t="shared" ca="1" si="54"/>
        <v>0</v>
      </c>
      <c r="AC314" s="136">
        <f ca="1">IF(AB314&lt;=0,0,RANK(AB314,AB:AB)+COUNTIF($AB$3:$AB314,AB314)-1)</f>
        <v>0</v>
      </c>
      <c r="AD314" s="136">
        <f t="shared" si="70"/>
        <v>99999</v>
      </c>
      <c r="AE314" s="136">
        <f>IF(AD314=99999,0,RANK(AD314,AD:AD,1)+COUNTIF($AD$3:$AD314,AD314)-1)</f>
        <v>0</v>
      </c>
    </row>
    <row r="315" spans="1:31">
      <c r="A315" s="141">
        <f>'銀行-TSS'!A315</f>
        <v>0</v>
      </c>
      <c r="B315" s="151">
        <f ca="1">VLOOKUP(A315,'銀行-TSS'!A:B,2,FALSE)</f>
        <v>0</v>
      </c>
      <c r="C315" s="151" t="e">
        <f ca="1">VLOOKUP(B315,bond!B:C,2,FALSE)</f>
        <v>#N/A</v>
      </c>
      <c r="D315" s="95" t="e">
        <f>VLOOKUP(A315,'銀行-TSS'!A:C,3,FALSE)</f>
        <v>#N/A</v>
      </c>
      <c r="E315" s="90" t="e">
        <f ca="1">VLOOKUP(A315,'銀行-TSS'!A:G,7,FALSE)</f>
        <v>#N/A</v>
      </c>
      <c r="F315" s="202" t="e">
        <f ca="1">VLOOKUP(A315,'銀行-TSS'!A:H,8,FALSE)</f>
        <v>#N/A</v>
      </c>
      <c r="G315" s="96" t="e">
        <f ca="1">VLOOKUP(A315,'銀行-TSS'!A:K,11,FALSE)</f>
        <v>#N/A</v>
      </c>
      <c r="H315" s="1209" t="e">
        <f ca="1">VLOOKUP(A315,'銀行-TSS'!A:M,13,FALSE)</f>
        <v>#N/A</v>
      </c>
      <c r="I315" s="1213" t="e">
        <f ca="1">VLOOKUP(A315,'銀行-TSS'!A:N,14,FALSE)</f>
        <v>#N/A</v>
      </c>
      <c r="J315" s="1213" t="e">
        <f ca="1">VLOOKUP(A315,'銀行-TSS'!A:O,15,FALSE)</f>
        <v>#N/A</v>
      </c>
      <c r="K315" s="136" t="e">
        <f ca="1">VLOOKUP(A315,'銀行-TSS'!A:V,22,FALSE)</f>
        <v>#N/A</v>
      </c>
      <c r="L315" s="136" t="e">
        <f ca="1">VLOOKUP(A315,'銀行-TSS'!A:AK,37,FALSE)</f>
        <v>#N/A</v>
      </c>
      <c r="M315" s="136" t="str">
        <f ca="1">VLOOKUP(A315,'銀行-TSS'!A:AN,40,FALSE)</f>
        <v/>
      </c>
      <c r="N315" s="1211" t="e">
        <f t="shared" ca="1" si="63"/>
        <v>#N/A</v>
      </c>
      <c r="O315" s="1211" t="e">
        <f t="shared" ca="1" si="64"/>
        <v>#N/A</v>
      </c>
      <c r="P315" s="1213" t="e">
        <f ca="1">IF(AND(換券投組!$D$17&gt;=O315,換券投組!$D$13=D315),I315+INT((換券投組!$D$17-O315)/N315)*J315,0)</f>
        <v>#N/A</v>
      </c>
      <c r="Q315" s="1211" t="e">
        <f t="shared" ca="1" si="65"/>
        <v>#N/A</v>
      </c>
      <c r="R315" s="1213">
        <f t="shared" si="66"/>
        <v>0</v>
      </c>
      <c r="S315" s="1213">
        <f t="shared" si="67"/>
        <v>0</v>
      </c>
      <c r="T315" s="136">
        <f t="shared" si="52"/>
        <v>0</v>
      </c>
      <c r="U315" s="861">
        <f t="shared" si="53"/>
        <v>0</v>
      </c>
      <c r="V315" s="136" t="e">
        <f ca="1">IF(OR(D315&lt;&gt;"USD",L315="無",M315&lt;&gt;"",K315="高資產",IFERROR(MATCH(B315,換券投組!K:K,0),"N")&lt;&gt;"N",IFERROR(MATCH(B315,換券投組!J:J,0),"N")&lt;&gt;"N"),FALSE,IF($V$1="All",TRUE,IF(K315=$V$1,TRUE,FALSE)))</f>
        <v>#N/A</v>
      </c>
      <c r="W315" s="136" t="e">
        <f ca="1">VLOOKUP(A315,'銀行-TSS'!A:AO,41,FALSE)</f>
        <v>#N/A</v>
      </c>
      <c r="X315" s="136" t="e">
        <f ca="1">VLOOKUP(A315,'銀行-TSS'!A:AP,42,FALSE)</f>
        <v>#N/A</v>
      </c>
      <c r="Y315" s="1223">
        <f t="shared" si="68"/>
        <v>0</v>
      </c>
      <c r="Z315" s="1211">
        <f t="shared" si="69"/>
        <v>0</v>
      </c>
      <c r="AA315" s="136">
        <f>IF(Z315&lt;=0,0,RANK(Z315,Z:Z)+COUNTIF($Z$3:$Z315,Z315)-1)</f>
        <v>0</v>
      </c>
      <c r="AB315" s="1211">
        <f t="shared" ca="1" si="54"/>
        <v>0</v>
      </c>
      <c r="AC315" s="136">
        <f ca="1">IF(AB315&lt;=0,0,RANK(AB315,AB:AB)+COUNTIF($AB$3:$AB315,AB315)-1)</f>
        <v>0</v>
      </c>
      <c r="AD315" s="136">
        <f t="shared" si="70"/>
        <v>99999</v>
      </c>
      <c r="AE315" s="136">
        <f>IF(AD315=99999,0,RANK(AD315,AD:AD,1)+COUNTIF($AD$3:$AD315,AD315)-1)</f>
        <v>0</v>
      </c>
    </row>
    <row r="316" spans="1:31">
      <c r="A316" s="141">
        <f>'銀行-TSS'!A316</f>
        <v>0</v>
      </c>
      <c r="B316" s="151">
        <f ca="1">VLOOKUP(A316,'銀行-TSS'!A:B,2,FALSE)</f>
        <v>0</v>
      </c>
      <c r="C316" s="151" t="e">
        <f ca="1">VLOOKUP(B316,bond!B:C,2,FALSE)</f>
        <v>#N/A</v>
      </c>
      <c r="D316" s="95" t="e">
        <f>VLOOKUP(A316,'銀行-TSS'!A:C,3,FALSE)</f>
        <v>#N/A</v>
      </c>
      <c r="E316" s="90" t="e">
        <f ca="1">VLOOKUP(A316,'銀行-TSS'!A:G,7,FALSE)</f>
        <v>#N/A</v>
      </c>
      <c r="F316" s="202" t="e">
        <f ca="1">VLOOKUP(A316,'銀行-TSS'!A:H,8,FALSE)</f>
        <v>#N/A</v>
      </c>
      <c r="G316" s="96" t="e">
        <f ca="1">VLOOKUP(A316,'銀行-TSS'!A:K,11,FALSE)</f>
        <v>#N/A</v>
      </c>
      <c r="H316" s="1209" t="e">
        <f ca="1">VLOOKUP(A316,'銀行-TSS'!A:M,13,FALSE)</f>
        <v>#N/A</v>
      </c>
      <c r="I316" s="1213" t="e">
        <f ca="1">VLOOKUP(A316,'銀行-TSS'!A:N,14,FALSE)</f>
        <v>#N/A</v>
      </c>
      <c r="J316" s="1213" t="e">
        <f ca="1">VLOOKUP(A316,'銀行-TSS'!A:O,15,FALSE)</f>
        <v>#N/A</v>
      </c>
      <c r="K316" s="136" t="e">
        <f ca="1">VLOOKUP(A316,'銀行-TSS'!A:V,22,FALSE)</f>
        <v>#N/A</v>
      </c>
      <c r="L316" s="136" t="e">
        <f ca="1">VLOOKUP(A316,'銀行-TSS'!A:AK,37,FALSE)</f>
        <v>#N/A</v>
      </c>
      <c r="M316" s="136" t="str">
        <f ca="1">VLOOKUP(A316,'銀行-TSS'!A:AN,40,FALSE)</f>
        <v/>
      </c>
      <c r="N316" s="1211" t="e">
        <f t="shared" ca="1" si="63"/>
        <v>#N/A</v>
      </c>
      <c r="O316" s="1211" t="e">
        <f t="shared" ca="1" si="64"/>
        <v>#N/A</v>
      </c>
      <c r="P316" s="1213" t="e">
        <f ca="1">IF(AND(換券投組!$D$17&gt;=O316,換券投組!$D$13=D316),I316+INT((換券投組!$D$17-O316)/N316)*J316,0)</f>
        <v>#N/A</v>
      </c>
      <c r="Q316" s="1211" t="e">
        <f t="shared" ca="1" si="65"/>
        <v>#N/A</v>
      </c>
      <c r="R316" s="1213">
        <f t="shared" si="66"/>
        <v>0</v>
      </c>
      <c r="S316" s="1213">
        <f t="shared" si="67"/>
        <v>0</v>
      </c>
      <c r="T316" s="136">
        <f t="shared" si="52"/>
        <v>0</v>
      </c>
      <c r="U316" s="861">
        <f t="shared" si="53"/>
        <v>0</v>
      </c>
      <c r="V316" s="136" t="e">
        <f ca="1">IF(OR(D316&lt;&gt;"USD",L316="無",M316&lt;&gt;"",K316="高資產",IFERROR(MATCH(B316,換券投組!K:K,0),"N")&lt;&gt;"N",IFERROR(MATCH(B316,換券投組!J:J,0),"N")&lt;&gt;"N"),FALSE,IF($V$1="All",TRUE,IF(K316=$V$1,TRUE,FALSE)))</f>
        <v>#N/A</v>
      </c>
      <c r="W316" s="136" t="e">
        <f ca="1">VLOOKUP(A316,'銀行-TSS'!A:AO,41,FALSE)</f>
        <v>#N/A</v>
      </c>
      <c r="X316" s="136" t="e">
        <f ca="1">VLOOKUP(A316,'銀行-TSS'!A:AP,42,FALSE)</f>
        <v>#N/A</v>
      </c>
      <c r="Y316" s="1223">
        <f t="shared" si="68"/>
        <v>0</v>
      </c>
      <c r="Z316" s="1211">
        <f t="shared" si="69"/>
        <v>0</v>
      </c>
      <c r="AA316" s="136">
        <f>IF(Z316&lt;=0,0,RANK(Z316,Z:Z)+COUNTIF($Z$3:$Z316,Z316)-1)</f>
        <v>0</v>
      </c>
      <c r="AB316" s="1211">
        <f t="shared" ca="1" si="54"/>
        <v>0</v>
      </c>
      <c r="AC316" s="136">
        <f ca="1">IF(AB316&lt;=0,0,RANK(AB316,AB:AB)+COUNTIF($AB$3:$AB316,AB316)-1)</f>
        <v>0</v>
      </c>
      <c r="AD316" s="136">
        <f t="shared" si="70"/>
        <v>99999</v>
      </c>
      <c r="AE316" s="136">
        <f>IF(AD316=99999,0,RANK(AD316,AD:AD,1)+COUNTIF($AD$3:$AD316,AD316)-1)</f>
        <v>0</v>
      </c>
    </row>
    <row r="317" spans="1:31">
      <c r="A317" s="141">
        <f>'銀行-TSS'!A317</f>
        <v>0</v>
      </c>
      <c r="B317" s="151">
        <f ca="1">VLOOKUP(A317,'銀行-TSS'!A:B,2,FALSE)</f>
        <v>0</v>
      </c>
      <c r="C317" s="151" t="e">
        <f ca="1">VLOOKUP(B317,bond!B:C,2,FALSE)</f>
        <v>#N/A</v>
      </c>
      <c r="D317" s="95" t="e">
        <f>VLOOKUP(A317,'銀行-TSS'!A:C,3,FALSE)</f>
        <v>#N/A</v>
      </c>
      <c r="E317" s="90" t="e">
        <f ca="1">VLOOKUP(A317,'銀行-TSS'!A:G,7,FALSE)</f>
        <v>#N/A</v>
      </c>
      <c r="F317" s="202" t="e">
        <f ca="1">VLOOKUP(A317,'銀行-TSS'!A:H,8,FALSE)</f>
        <v>#N/A</v>
      </c>
      <c r="G317" s="96" t="e">
        <f ca="1">VLOOKUP(A317,'銀行-TSS'!A:K,11,FALSE)</f>
        <v>#N/A</v>
      </c>
      <c r="H317" s="1209" t="e">
        <f ca="1">VLOOKUP(A317,'銀行-TSS'!A:M,13,FALSE)</f>
        <v>#N/A</v>
      </c>
      <c r="I317" s="1213" t="e">
        <f ca="1">VLOOKUP(A317,'銀行-TSS'!A:N,14,FALSE)</f>
        <v>#N/A</v>
      </c>
      <c r="J317" s="1213" t="e">
        <f ca="1">VLOOKUP(A317,'銀行-TSS'!A:O,15,FALSE)</f>
        <v>#N/A</v>
      </c>
      <c r="K317" s="136" t="e">
        <f ca="1">VLOOKUP(A317,'銀行-TSS'!A:V,22,FALSE)</f>
        <v>#N/A</v>
      </c>
      <c r="L317" s="136" t="e">
        <f ca="1">VLOOKUP(A317,'銀行-TSS'!A:AK,37,FALSE)</f>
        <v>#N/A</v>
      </c>
      <c r="M317" s="136" t="str">
        <f ca="1">VLOOKUP(A317,'銀行-TSS'!A:AN,40,FALSE)</f>
        <v/>
      </c>
      <c r="N317" s="1211" t="e">
        <f t="shared" ca="1" si="63"/>
        <v>#N/A</v>
      </c>
      <c r="O317" s="1211" t="e">
        <f t="shared" ca="1" si="64"/>
        <v>#N/A</v>
      </c>
      <c r="P317" s="1213" t="e">
        <f ca="1">IF(AND(換券投組!$D$17&gt;=O317,換券投組!$D$13=D317),I317+INT((換券投組!$D$17-O317)/N317)*J317,0)</f>
        <v>#N/A</v>
      </c>
      <c r="Q317" s="1211" t="e">
        <f t="shared" ca="1" si="65"/>
        <v>#N/A</v>
      </c>
      <c r="R317" s="1213">
        <f t="shared" si="66"/>
        <v>0</v>
      </c>
      <c r="S317" s="1213">
        <f t="shared" si="67"/>
        <v>0</v>
      </c>
      <c r="T317" s="136">
        <f t="shared" si="52"/>
        <v>0</v>
      </c>
      <c r="U317" s="861">
        <f t="shared" si="53"/>
        <v>0</v>
      </c>
      <c r="V317" s="136" t="e">
        <f ca="1">IF(OR(D317&lt;&gt;"USD",L317="無",M317&lt;&gt;"",K317="高資產",IFERROR(MATCH(B317,換券投組!K:K,0),"N")&lt;&gt;"N",IFERROR(MATCH(B317,換券投組!J:J,0),"N")&lt;&gt;"N"),FALSE,IF($V$1="All",TRUE,IF(K317=$V$1,TRUE,FALSE)))</f>
        <v>#N/A</v>
      </c>
      <c r="W317" s="136" t="e">
        <f ca="1">VLOOKUP(A317,'銀行-TSS'!A:AO,41,FALSE)</f>
        <v>#N/A</v>
      </c>
      <c r="X317" s="136" t="e">
        <f ca="1">VLOOKUP(A317,'銀行-TSS'!A:AP,42,FALSE)</f>
        <v>#N/A</v>
      </c>
      <c r="Y317" s="1223">
        <f t="shared" si="68"/>
        <v>0</v>
      </c>
      <c r="Z317" s="1211">
        <f t="shared" si="69"/>
        <v>0</v>
      </c>
      <c r="AA317" s="136">
        <f>IF(Z317&lt;=0,0,RANK(Z317,Z:Z)+COUNTIF($Z$3:$Z317,Z317)-1)</f>
        <v>0</v>
      </c>
      <c r="AB317" s="1211">
        <f t="shared" ca="1" si="54"/>
        <v>0</v>
      </c>
      <c r="AC317" s="136">
        <f ca="1">IF(AB317&lt;=0,0,RANK(AB317,AB:AB)+COUNTIF($AB$3:$AB317,AB317)-1)</f>
        <v>0</v>
      </c>
      <c r="AD317" s="136">
        <f t="shared" si="70"/>
        <v>99999</v>
      </c>
      <c r="AE317" s="136">
        <f>IF(AD317=99999,0,RANK(AD317,AD:AD,1)+COUNTIF($AD$3:$AD317,AD317)-1)</f>
        <v>0</v>
      </c>
    </row>
    <row r="318" spans="1:31">
      <c r="A318" s="141">
        <f>'銀行-TSS'!A318</f>
        <v>0</v>
      </c>
      <c r="B318" s="151">
        <f ca="1">VLOOKUP(A318,'銀行-TSS'!A:B,2,FALSE)</f>
        <v>0</v>
      </c>
      <c r="C318" s="151" t="e">
        <f ca="1">VLOOKUP(B318,bond!B:C,2,FALSE)</f>
        <v>#N/A</v>
      </c>
      <c r="D318" s="95" t="e">
        <f>VLOOKUP(A318,'銀行-TSS'!A:C,3,FALSE)</f>
        <v>#N/A</v>
      </c>
      <c r="E318" s="90" t="e">
        <f ca="1">VLOOKUP(A318,'銀行-TSS'!A:G,7,FALSE)</f>
        <v>#N/A</v>
      </c>
      <c r="F318" s="202" t="e">
        <f ca="1">VLOOKUP(A318,'銀行-TSS'!A:H,8,FALSE)</f>
        <v>#N/A</v>
      </c>
      <c r="G318" s="96" t="e">
        <f ca="1">VLOOKUP(A318,'銀行-TSS'!A:K,11,FALSE)</f>
        <v>#N/A</v>
      </c>
      <c r="H318" s="1209" t="e">
        <f ca="1">VLOOKUP(A318,'銀行-TSS'!A:M,13,FALSE)</f>
        <v>#N/A</v>
      </c>
      <c r="I318" s="1213" t="e">
        <f ca="1">VLOOKUP(A318,'銀行-TSS'!A:N,14,FALSE)</f>
        <v>#N/A</v>
      </c>
      <c r="J318" s="1213" t="e">
        <f ca="1">VLOOKUP(A318,'銀行-TSS'!A:O,15,FALSE)</f>
        <v>#N/A</v>
      </c>
      <c r="K318" s="136" t="e">
        <f ca="1">VLOOKUP(A318,'銀行-TSS'!A:V,22,FALSE)</f>
        <v>#N/A</v>
      </c>
      <c r="L318" s="136" t="e">
        <f ca="1">VLOOKUP(A318,'銀行-TSS'!A:AK,37,FALSE)</f>
        <v>#N/A</v>
      </c>
      <c r="M318" s="136" t="str">
        <f ca="1">VLOOKUP(A318,'銀行-TSS'!A:AN,40,FALSE)</f>
        <v/>
      </c>
      <c r="N318" s="1211" t="e">
        <f t="shared" ca="1" si="63"/>
        <v>#N/A</v>
      </c>
      <c r="O318" s="1211" t="e">
        <f t="shared" ca="1" si="64"/>
        <v>#N/A</v>
      </c>
      <c r="P318" s="1213" t="e">
        <f ca="1">IF(AND(換券投組!$D$17&gt;=O318,換券投組!$D$13=D318),I318+INT((換券投組!$D$17-O318)/N318)*J318,0)</f>
        <v>#N/A</v>
      </c>
      <c r="Q318" s="1211" t="e">
        <f t="shared" ca="1" si="65"/>
        <v>#N/A</v>
      </c>
      <c r="R318" s="1213">
        <f t="shared" si="66"/>
        <v>0</v>
      </c>
      <c r="S318" s="1213">
        <f t="shared" si="67"/>
        <v>0</v>
      </c>
      <c r="T318" s="136">
        <f t="shared" si="52"/>
        <v>0</v>
      </c>
      <c r="U318" s="861">
        <f t="shared" si="53"/>
        <v>0</v>
      </c>
      <c r="V318" s="136" t="e">
        <f ca="1">IF(OR(D318&lt;&gt;"USD",L318="無",M318&lt;&gt;"",K318="高資產",IFERROR(MATCH(B318,換券投組!K:K,0),"N")&lt;&gt;"N",IFERROR(MATCH(B318,換券投組!J:J,0),"N")&lt;&gt;"N"),FALSE,IF($V$1="All",TRUE,IF(K318=$V$1,TRUE,FALSE)))</f>
        <v>#N/A</v>
      </c>
      <c r="W318" s="136" t="e">
        <f ca="1">VLOOKUP(A318,'銀行-TSS'!A:AO,41,FALSE)</f>
        <v>#N/A</v>
      </c>
      <c r="X318" s="136" t="e">
        <f ca="1">VLOOKUP(A318,'銀行-TSS'!A:AP,42,FALSE)</f>
        <v>#N/A</v>
      </c>
      <c r="Y318" s="1223">
        <f t="shared" si="68"/>
        <v>0</v>
      </c>
      <c r="Z318" s="1211">
        <f t="shared" si="69"/>
        <v>0</v>
      </c>
      <c r="AA318" s="136">
        <f>IF(Z318&lt;=0,0,RANK(Z318,Z:Z)+COUNTIF($Z$3:$Z318,Z318)-1)</f>
        <v>0</v>
      </c>
      <c r="AB318" s="1211">
        <f t="shared" ca="1" si="54"/>
        <v>0</v>
      </c>
      <c r="AC318" s="136">
        <f ca="1">IF(AB318&lt;=0,0,RANK(AB318,AB:AB)+COUNTIF($AB$3:$AB318,AB318)-1)</f>
        <v>0</v>
      </c>
      <c r="AD318" s="136">
        <f t="shared" si="70"/>
        <v>99999</v>
      </c>
      <c r="AE318" s="136">
        <f>IF(AD318=99999,0,RANK(AD318,AD:AD,1)+COUNTIF($AD$3:$AD318,AD318)-1)</f>
        <v>0</v>
      </c>
    </row>
    <row r="319" spans="1:31">
      <c r="A319" s="141">
        <f>'銀行-TSS'!A319</f>
        <v>0</v>
      </c>
      <c r="B319" s="151">
        <f ca="1">VLOOKUP(A319,'銀行-TSS'!A:B,2,FALSE)</f>
        <v>0</v>
      </c>
      <c r="C319" s="151" t="e">
        <f ca="1">VLOOKUP(B319,bond!B:C,2,FALSE)</f>
        <v>#N/A</v>
      </c>
      <c r="D319" s="95" t="e">
        <f>VLOOKUP(A319,'銀行-TSS'!A:C,3,FALSE)</f>
        <v>#N/A</v>
      </c>
      <c r="E319" s="90" t="e">
        <f ca="1">VLOOKUP(A319,'銀行-TSS'!A:G,7,FALSE)</f>
        <v>#N/A</v>
      </c>
      <c r="F319" s="202" t="e">
        <f ca="1">VLOOKUP(A319,'銀行-TSS'!A:H,8,FALSE)</f>
        <v>#N/A</v>
      </c>
      <c r="G319" s="96" t="e">
        <f ca="1">VLOOKUP(A319,'銀行-TSS'!A:K,11,FALSE)</f>
        <v>#N/A</v>
      </c>
      <c r="H319" s="1209" t="e">
        <f ca="1">VLOOKUP(A319,'銀行-TSS'!A:M,13,FALSE)</f>
        <v>#N/A</v>
      </c>
      <c r="I319" s="1213" t="e">
        <f ca="1">VLOOKUP(A319,'銀行-TSS'!A:N,14,FALSE)</f>
        <v>#N/A</v>
      </c>
      <c r="J319" s="1213" t="e">
        <f ca="1">VLOOKUP(A319,'銀行-TSS'!A:O,15,FALSE)</f>
        <v>#N/A</v>
      </c>
      <c r="K319" s="136" t="e">
        <f ca="1">VLOOKUP(A319,'銀行-TSS'!A:V,22,FALSE)</f>
        <v>#N/A</v>
      </c>
      <c r="L319" s="136" t="e">
        <f ca="1">VLOOKUP(A319,'銀行-TSS'!A:AK,37,FALSE)</f>
        <v>#N/A</v>
      </c>
      <c r="M319" s="136" t="str">
        <f ca="1">VLOOKUP(A319,'銀行-TSS'!A:AN,40,FALSE)</f>
        <v/>
      </c>
      <c r="N319" s="1211" t="e">
        <f t="shared" ca="1" si="63"/>
        <v>#N/A</v>
      </c>
      <c r="O319" s="1211" t="e">
        <f t="shared" ca="1" si="64"/>
        <v>#N/A</v>
      </c>
      <c r="P319" s="1213" t="e">
        <f ca="1">IF(AND(換券投組!$D$17&gt;=O319,換券投組!$D$13=D319),I319+INT((換券投組!$D$17-O319)/N319)*J319,0)</f>
        <v>#N/A</v>
      </c>
      <c r="Q319" s="1211" t="e">
        <f t="shared" ca="1" si="65"/>
        <v>#N/A</v>
      </c>
      <c r="R319" s="1213">
        <f t="shared" si="66"/>
        <v>0</v>
      </c>
      <c r="S319" s="1213">
        <f t="shared" si="67"/>
        <v>0</v>
      </c>
      <c r="T319" s="136">
        <f t="shared" si="52"/>
        <v>0</v>
      </c>
      <c r="U319" s="861">
        <f t="shared" si="53"/>
        <v>0</v>
      </c>
      <c r="V319" s="136" t="e">
        <f ca="1">IF(OR(D319&lt;&gt;"USD",L319="無",M319&lt;&gt;"",K319="高資產",IFERROR(MATCH(B319,換券投組!K:K,0),"N")&lt;&gt;"N",IFERROR(MATCH(B319,換券投組!J:J,0),"N")&lt;&gt;"N"),FALSE,IF($V$1="All",TRUE,IF(K319=$V$1,TRUE,FALSE)))</f>
        <v>#N/A</v>
      </c>
      <c r="W319" s="136" t="e">
        <f ca="1">VLOOKUP(A319,'銀行-TSS'!A:AO,41,FALSE)</f>
        <v>#N/A</v>
      </c>
      <c r="X319" s="136" t="e">
        <f ca="1">VLOOKUP(A319,'銀行-TSS'!A:AP,42,FALSE)</f>
        <v>#N/A</v>
      </c>
      <c r="Y319" s="1223">
        <f t="shared" si="68"/>
        <v>0</v>
      </c>
      <c r="Z319" s="1211">
        <f t="shared" si="69"/>
        <v>0</v>
      </c>
      <c r="AA319" s="136">
        <f>IF(Z319&lt;=0,0,RANK(Z319,Z:Z)+COUNTIF($Z$3:$Z319,Z319)-1)</f>
        <v>0</v>
      </c>
      <c r="AB319" s="1211">
        <f t="shared" ca="1" si="54"/>
        <v>0</v>
      </c>
      <c r="AC319" s="136">
        <f ca="1">IF(AB319&lt;=0,0,RANK(AB319,AB:AB)+COUNTIF($AB$3:$AB319,AB319)-1)</f>
        <v>0</v>
      </c>
      <c r="AD319" s="136">
        <f t="shared" si="70"/>
        <v>99999</v>
      </c>
      <c r="AE319" s="136">
        <f>IF(AD319=99999,0,RANK(AD319,AD:AD,1)+COUNTIF($AD$3:$AD319,AD319)-1)</f>
        <v>0</v>
      </c>
    </row>
    <row r="320" spans="1:31">
      <c r="A320" s="141">
        <f>'銀行-TSS'!A320</f>
        <v>0</v>
      </c>
      <c r="B320" s="151">
        <f ca="1">VLOOKUP(A320,'銀行-TSS'!A:B,2,FALSE)</f>
        <v>0</v>
      </c>
      <c r="C320" s="151" t="e">
        <f ca="1">VLOOKUP(B320,bond!B:C,2,FALSE)</f>
        <v>#N/A</v>
      </c>
      <c r="D320" s="95" t="e">
        <f>VLOOKUP(A320,'銀行-TSS'!A:C,3,FALSE)</f>
        <v>#N/A</v>
      </c>
      <c r="E320" s="90" t="e">
        <f ca="1">VLOOKUP(A320,'銀行-TSS'!A:G,7,FALSE)</f>
        <v>#N/A</v>
      </c>
      <c r="F320" s="202" t="e">
        <f ca="1">VLOOKUP(A320,'銀行-TSS'!A:H,8,FALSE)</f>
        <v>#N/A</v>
      </c>
      <c r="G320" s="96" t="e">
        <f ca="1">VLOOKUP(A320,'銀行-TSS'!A:K,11,FALSE)</f>
        <v>#N/A</v>
      </c>
      <c r="H320" s="1209" t="e">
        <f ca="1">VLOOKUP(A320,'銀行-TSS'!A:M,13,FALSE)</f>
        <v>#N/A</v>
      </c>
      <c r="I320" s="1213" t="e">
        <f ca="1">VLOOKUP(A320,'銀行-TSS'!A:N,14,FALSE)</f>
        <v>#N/A</v>
      </c>
      <c r="J320" s="1213" t="e">
        <f ca="1">VLOOKUP(A320,'銀行-TSS'!A:O,15,FALSE)</f>
        <v>#N/A</v>
      </c>
      <c r="K320" s="136" t="e">
        <f ca="1">VLOOKUP(A320,'銀行-TSS'!A:V,22,FALSE)</f>
        <v>#N/A</v>
      </c>
      <c r="L320" s="136" t="e">
        <f ca="1">VLOOKUP(A320,'銀行-TSS'!A:AK,37,FALSE)</f>
        <v>#N/A</v>
      </c>
      <c r="M320" s="136" t="str">
        <f ca="1">VLOOKUP(A320,'銀行-TSS'!A:AN,40,FALSE)</f>
        <v/>
      </c>
      <c r="N320" s="1211" t="e">
        <f t="shared" ca="1" si="63"/>
        <v>#N/A</v>
      </c>
      <c r="O320" s="1211" t="e">
        <f t="shared" ca="1" si="64"/>
        <v>#N/A</v>
      </c>
      <c r="P320" s="1213" t="e">
        <f ca="1">IF(AND(換券投組!$D$17&gt;=O320,換券投組!$D$13=D320),I320+INT((換券投組!$D$17-O320)/N320)*J320,0)</f>
        <v>#N/A</v>
      </c>
      <c r="Q320" s="1211" t="e">
        <f t="shared" ca="1" si="65"/>
        <v>#N/A</v>
      </c>
      <c r="R320" s="1213">
        <f t="shared" si="66"/>
        <v>0</v>
      </c>
      <c r="S320" s="1213">
        <f t="shared" si="67"/>
        <v>0</v>
      </c>
      <c r="T320" s="136">
        <f t="shared" si="52"/>
        <v>0</v>
      </c>
      <c r="U320" s="861">
        <f t="shared" si="53"/>
        <v>0</v>
      </c>
      <c r="V320" s="136" t="e">
        <f ca="1">IF(OR(D320&lt;&gt;"USD",L320="無",M320&lt;&gt;"",K320="高資產",IFERROR(MATCH(B320,換券投組!K:K,0),"N")&lt;&gt;"N",IFERROR(MATCH(B320,換券投組!J:J,0),"N")&lt;&gt;"N"),FALSE,IF($V$1="All",TRUE,IF(K320=$V$1,TRUE,FALSE)))</f>
        <v>#N/A</v>
      </c>
      <c r="W320" s="136" t="e">
        <f ca="1">VLOOKUP(A320,'銀行-TSS'!A:AO,41,FALSE)</f>
        <v>#N/A</v>
      </c>
      <c r="X320" s="136" t="e">
        <f ca="1">VLOOKUP(A320,'銀行-TSS'!A:AP,42,FALSE)</f>
        <v>#N/A</v>
      </c>
      <c r="Y320" s="1223">
        <f t="shared" si="68"/>
        <v>0</v>
      </c>
      <c r="Z320" s="1211">
        <f t="shared" si="69"/>
        <v>0</v>
      </c>
      <c r="AA320" s="136">
        <f>IF(Z320&lt;=0,0,RANK(Z320,Z:Z)+COUNTIF($Z$3:$Z320,Z320)-1)</f>
        <v>0</v>
      </c>
      <c r="AB320" s="1211">
        <f t="shared" ca="1" si="54"/>
        <v>0</v>
      </c>
      <c r="AC320" s="136">
        <f ca="1">IF(AB320&lt;=0,0,RANK(AB320,AB:AB)+COUNTIF($AB$3:$AB320,AB320)-1)</f>
        <v>0</v>
      </c>
      <c r="AD320" s="136">
        <f t="shared" si="70"/>
        <v>99999</v>
      </c>
      <c r="AE320" s="136">
        <f>IF(AD320=99999,0,RANK(AD320,AD:AD,1)+COUNTIF($AD$3:$AD320,AD320)-1)</f>
        <v>0</v>
      </c>
    </row>
    <row r="321" spans="1:31">
      <c r="A321" s="141">
        <f>'銀行-TSS'!A321</f>
        <v>0</v>
      </c>
      <c r="B321" s="151">
        <f ca="1">VLOOKUP(A321,'銀行-TSS'!A:B,2,FALSE)</f>
        <v>0</v>
      </c>
      <c r="C321" s="151" t="e">
        <f ca="1">VLOOKUP(B321,bond!B:C,2,FALSE)</f>
        <v>#N/A</v>
      </c>
      <c r="D321" s="95" t="e">
        <f>VLOOKUP(A321,'銀行-TSS'!A:C,3,FALSE)</f>
        <v>#N/A</v>
      </c>
      <c r="E321" s="90" t="e">
        <f ca="1">VLOOKUP(A321,'銀行-TSS'!A:G,7,FALSE)</f>
        <v>#N/A</v>
      </c>
      <c r="F321" s="202" t="e">
        <f ca="1">VLOOKUP(A321,'銀行-TSS'!A:H,8,FALSE)</f>
        <v>#N/A</v>
      </c>
      <c r="G321" s="96" t="e">
        <f ca="1">VLOOKUP(A321,'銀行-TSS'!A:K,11,FALSE)</f>
        <v>#N/A</v>
      </c>
      <c r="H321" s="1209" t="e">
        <f ca="1">VLOOKUP(A321,'銀行-TSS'!A:M,13,FALSE)</f>
        <v>#N/A</v>
      </c>
      <c r="I321" s="1213" t="e">
        <f ca="1">VLOOKUP(A321,'銀行-TSS'!A:N,14,FALSE)</f>
        <v>#N/A</v>
      </c>
      <c r="J321" s="1213" t="e">
        <f ca="1">VLOOKUP(A321,'銀行-TSS'!A:O,15,FALSE)</f>
        <v>#N/A</v>
      </c>
      <c r="K321" s="136" t="e">
        <f ca="1">VLOOKUP(A321,'銀行-TSS'!A:V,22,FALSE)</f>
        <v>#N/A</v>
      </c>
      <c r="L321" s="136" t="e">
        <f ca="1">VLOOKUP(A321,'銀行-TSS'!A:AK,37,FALSE)</f>
        <v>#N/A</v>
      </c>
      <c r="M321" s="136" t="str">
        <f ca="1">VLOOKUP(A321,'銀行-TSS'!A:AN,40,FALSE)</f>
        <v/>
      </c>
      <c r="N321" s="1211" t="e">
        <f t="shared" ca="1" si="63"/>
        <v>#N/A</v>
      </c>
      <c r="O321" s="1211" t="e">
        <f t="shared" ca="1" si="64"/>
        <v>#N/A</v>
      </c>
      <c r="P321" s="1213" t="e">
        <f ca="1">IF(AND(換券投組!$D$17&gt;=O321,換券投組!$D$13=D321),I321+INT((換券投組!$D$17-O321)/N321)*J321,0)</f>
        <v>#N/A</v>
      </c>
      <c r="Q321" s="1211" t="e">
        <f t="shared" ca="1" si="65"/>
        <v>#N/A</v>
      </c>
      <c r="R321" s="1213">
        <f t="shared" si="66"/>
        <v>0</v>
      </c>
      <c r="S321" s="1213">
        <f t="shared" si="67"/>
        <v>0</v>
      </c>
      <c r="T321" s="136">
        <f t="shared" si="52"/>
        <v>0</v>
      </c>
      <c r="U321" s="861">
        <f t="shared" si="53"/>
        <v>0</v>
      </c>
      <c r="V321" s="136" t="e">
        <f ca="1">IF(OR(D321&lt;&gt;"USD",L321="無",M321&lt;&gt;"",K321="高資產",IFERROR(MATCH(B321,換券投組!K:K,0),"N")&lt;&gt;"N",IFERROR(MATCH(B321,換券投組!J:J,0),"N")&lt;&gt;"N"),FALSE,IF($V$1="All",TRUE,IF(K321=$V$1,TRUE,FALSE)))</f>
        <v>#N/A</v>
      </c>
      <c r="W321" s="136" t="e">
        <f ca="1">VLOOKUP(A321,'銀行-TSS'!A:AO,41,FALSE)</f>
        <v>#N/A</v>
      </c>
      <c r="X321" s="136" t="e">
        <f ca="1">VLOOKUP(A321,'銀行-TSS'!A:AP,42,FALSE)</f>
        <v>#N/A</v>
      </c>
      <c r="Y321" s="1223">
        <f t="shared" si="68"/>
        <v>0</v>
      </c>
      <c r="Z321" s="1211">
        <f t="shared" si="69"/>
        <v>0</v>
      </c>
      <c r="AA321" s="136">
        <f>IF(Z321&lt;=0,0,RANK(Z321,Z:Z)+COUNTIF($Z$3:$Z321,Z321)-1)</f>
        <v>0</v>
      </c>
      <c r="AB321" s="1211">
        <f t="shared" ca="1" si="54"/>
        <v>0</v>
      </c>
      <c r="AC321" s="136">
        <f ca="1">IF(AB321&lt;=0,0,RANK(AB321,AB:AB)+COUNTIF($AB$3:$AB321,AB321)-1)</f>
        <v>0</v>
      </c>
      <c r="AD321" s="136">
        <f t="shared" si="70"/>
        <v>99999</v>
      </c>
      <c r="AE321" s="136">
        <f>IF(AD321=99999,0,RANK(AD321,AD:AD,1)+COUNTIF($AD$3:$AD321,AD321)-1)</f>
        <v>0</v>
      </c>
    </row>
    <row r="322" spans="1:31">
      <c r="A322" s="141">
        <f>'銀行-TSS'!A322</f>
        <v>0</v>
      </c>
      <c r="B322" s="151">
        <f ca="1">VLOOKUP(A322,'銀行-TSS'!A:B,2,FALSE)</f>
        <v>0</v>
      </c>
      <c r="C322" s="151" t="e">
        <f ca="1">VLOOKUP(B322,bond!B:C,2,FALSE)</f>
        <v>#N/A</v>
      </c>
      <c r="D322" s="95" t="e">
        <f>VLOOKUP(A322,'銀行-TSS'!A:C,3,FALSE)</f>
        <v>#N/A</v>
      </c>
      <c r="E322" s="90" t="e">
        <f ca="1">VLOOKUP(A322,'銀行-TSS'!A:G,7,FALSE)</f>
        <v>#N/A</v>
      </c>
      <c r="F322" s="202" t="e">
        <f ca="1">VLOOKUP(A322,'銀行-TSS'!A:H,8,FALSE)</f>
        <v>#N/A</v>
      </c>
      <c r="G322" s="96" t="e">
        <f ca="1">VLOOKUP(A322,'銀行-TSS'!A:K,11,FALSE)</f>
        <v>#N/A</v>
      </c>
      <c r="H322" s="1209" t="e">
        <f ca="1">VLOOKUP(A322,'銀行-TSS'!A:M,13,FALSE)</f>
        <v>#N/A</v>
      </c>
      <c r="I322" s="1213" t="e">
        <f ca="1">VLOOKUP(A322,'銀行-TSS'!A:N,14,FALSE)</f>
        <v>#N/A</v>
      </c>
      <c r="J322" s="1213" t="e">
        <f ca="1">VLOOKUP(A322,'銀行-TSS'!A:O,15,FALSE)</f>
        <v>#N/A</v>
      </c>
      <c r="K322" s="136" t="e">
        <f ca="1">VLOOKUP(A322,'銀行-TSS'!A:V,22,FALSE)</f>
        <v>#N/A</v>
      </c>
      <c r="L322" s="136" t="e">
        <f ca="1">VLOOKUP(A322,'銀行-TSS'!A:AK,37,FALSE)</f>
        <v>#N/A</v>
      </c>
      <c r="M322" s="136" t="str">
        <f ca="1">VLOOKUP(A322,'銀行-TSS'!A:AN,40,FALSE)</f>
        <v/>
      </c>
      <c r="N322" s="1211" t="e">
        <f t="shared" ca="1" si="63"/>
        <v>#N/A</v>
      </c>
      <c r="O322" s="1211" t="e">
        <f t="shared" ca="1" si="64"/>
        <v>#N/A</v>
      </c>
      <c r="P322" s="1213" t="e">
        <f ca="1">IF(AND(換券投組!$D$17&gt;=O322,換券投組!$D$13=D322),I322+INT((換券投組!$D$17-O322)/N322)*J322,0)</f>
        <v>#N/A</v>
      </c>
      <c r="Q322" s="1211" t="e">
        <f t="shared" ca="1" si="65"/>
        <v>#N/A</v>
      </c>
      <c r="R322" s="1213">
        <f t="shared" si="66"/>
        <v>0</v>
      </c>
      <c r="S322" s="1213">
        <f t="shared" si="67"/>
        <v>0</v>
      </c>
      <c r="T322" s="136">
        <f t="shared" si="52"/>
        <v>0</v>
      </c>
      <c r="U322" s="861">
        <f t="shared" si="53"/>
        <v>0</v>
      </c>
      <c r="V322" s="136" t="e">
        <f ca="1">IF(OR(D322&lt;&gt;"USD",L322="無",M322&lt;&gt;"",K322="高資產",IFERROR(MATCH(B322,換券投組!K:K,0),"N")&lt;&gt;"N",IFERROR(MATCH(B322,換券投組!J:J,0),"N")&lt;&gt;"N"),FALSE,IF($V$1="All",TRUE,IF(K322=$V$1,TRUE,FALSE)))</f>
        <v>#N/A</v>
      </c>
      <c r="W322" s="136" t="e">
        <f ca="1">VLOOKUP(A322,'銀行-TSS'!A:AO,41,FALSE)</f>
        <v>#N/A</v>
      </c>
      <c r="X322" s="136" t="e">
        <f ca="1">VLOOKUP(A322,'銀行-TSS'!A:AP,42,FALSE)</f>
        <v>#N/A</v>
      </c>
      <c r="Y322" s="1223">
        <f t="shared" si="68"/>
        <v>0</v>
      </c>
      <c r="Z322" s="1211">
        <f t="shared" si="69"/>
        <v>0</v>
      </c>
      <c r="AA322" s="136">
        <f>IF(Z322&lt;=0,0,RANK(Z322,Z:Z)+COUNTIF($Z$3:$Z322,Z322)-1)</f>
        <v>0</v>
      </c>
      <c r="AB322" s="1211">
        <f t="shared" ca="1" si="54"/>
        <v>0</v>
      </c>
      <c r="AC322" s="136">
        <f ca="1">IF(AB322&lt;=0,0,RANK(AB322,AB:AB)+COUNTIF($AB$3:$AB322,AB322)-1)</f>
        <v>0</v>
      </c>
      <c r="AD322" s="136">
        <f t="shared" si="70"/>
        <v>99999</v>
      </c>
      <c r="AE322" s="136">
        <f>IF(AD322=99999,0,RANK(AD322,AD:AD,1)+COUNTIF($AD$3:$AD322,AD322)-1)</f>
        <v>0</v>
      </c>
    </row>
    <row r="323" spans="1:31">
      <c r="A323" s="141">
        <f>'銀行-TSS'!A323</f>
        <v>0</v>
      </c>
      <c r="B323" s="151">
        <f ca="1">VLOOKUP(A323,'銀行-TSS'!A:B,2,FALSE)</f>
        <v>0</v>
      </c>
      <c r="C323" s="151" t="e">
        <f ca="1">VLOOKUP(B323,bond!B:C,2,FALSE)</f>
        <v>#N/A</v>
      </c>
      <c r="D323" s="95" t="e">
        <f>VLOOKUP(A323,'銀行-TSS'!A:C,3,FALSE)</f>
        <v>#N/A</v>
      </c>
      <c r="E323" s="90" t="e">
        <f ca="1">VLOOKUP(A323,'銀行-TSS'!A:G,7,FALSE)</f>
        <v>#N/A</v>
      </c>
      <c r="F323" s="202" t="e">
        <f ca="1">VLOOKUP(A323,'銀行-TSS'!A:H,8,FALSE)</f>
        <v>#N/A</v>
      </c>
      <c r="G323" s="96" t="e">
        <f ca="1">VLOOKUP(A323,'銀行-TSS'!A:K,11,FALSE)</f>
        <v>#N/A</v>
      </c>
      <c r="H323" s="1209" t="e">
        <f ca="1">VLOOKUP(A323,'銀行-TSS'!A:M,13,FALSE)</f>
        <v>#N/A</v>
      </c>
      <c r="I323" s="1213" t="e">
        <f ca="1">VLOOKUP(A323,'銀行-TSS'!A:N,14,FALSE)</f>
        <v>#N/A</v>
      </c>
      <c r="J323" s="1213" t="e">
        <f ca="1">VLOOKUP(A323,'銀行-TSS'!A:O,15,FALSE)</f>
        <v>#N/A</v>
      </c>
      <c r="K323" s="136" t="e">
        <f ca="1">VLOOKUP(A323,'銀行-TSS'!A:V,22,FALSE)</f>
        <v>#N/A</v>
      </c>
      <c r="L323" s="136" t="e">
        <f ca="1">VLOOKUP(A323,'銀行-TSS'!A:AK,37,FALSE)</f>
        <v>#N/A</v>
      </c>
      <c r="M323" s="136" t="str">
        <f ca="1">VLOOKUP(A323,'銀行-TSS'!A:AN,40,FALSE)</f>
        <v/>
      </c>
      <c r="N323" s="1211" t="e">
        <f t="shared" ref="N323:N386" ca="1" si="71">G323*J323/100</f>
        <v>#N/A</v>
      </c>
      <c r="O323" s="1211" t="e">
        <f t="shared" ref="O323:O386" ca="1" si="72">G323*I323/100</f>
        <v>#N/A</v>
      </c>
      <c r="P323" s="1213" t="e">
        <f ca="1">IF(AND(換券投組!$D$17&gt;=O323,換券投組!$D$13=D323),I323+INT((換券投組!$D$17-O323)/N323)*J323,0)</f>
        <v>#N/A</v>
      </c>
      <c r="Q323" s="1211" t="e">
        <f t="shared" ref="Q323:Q386" ca="1" si="73">P323*F323</f>
        <v>#N/A</v>
      </c>
      <c r="R323" s="1213">
        <f t="shared" ref="R323:R386" si="74">IF(A323=0,0,IF(V323=FALSE,0,P323))</f>
        <v>0</v>
      </c>
      <c r="S323" s="1213">
        <f t="shared" ref="S323:S386" si="75">IF(A323=0,0,IF(V323=FALSE,0,Q323))</f>
        <v>0</v>
      </c>
      <c r="T323" s="136">
        <f t="shared" si="52"/>
        <v>0</v>
      </c>
      <c r="U323" s="861">
        <f t="shared" si="53"/>
        <v>0</v>
      </c>
      <c r="V323" s="136" t="e">
        <f ca="1">IF(OR(D323&lt;&gt;"USD",L323="無",M323&lt;&gt;"",K323="高資產",IFERROR(MATCH(B323,換券投組!K:K,0),"N")&lt;&gt;"N",IFERROR(MATCH(B323,換券投組!J:J,0),"N")&lt;&gt;"N"),FALSE,IF($V$1="All",TRUE,IF(K323=$V$1,TRUE,FALSE)))</f>
        <v>#N/A</v>
      </c>
      <c r="W323" s="136" t="e">
        <f ca="1">VLOOKUP(A323,'銀行-TSS'!A:AO,41,FALSE)</f>
        <v>#N/A</v>
      </c>
      <c r="X323" s="136" t="e">
        <f ca="1">VLOOKUP(A323,'銀行-TSS'!A:AP,42,FALSE)</f>
        <v>#N/A</v>
      </c>
      <c r="Y323" s="1223">
        <f t="shared" ref="Y323:Y386" si="76">IF(A323=0,0,IF(V323=FALSE,0,IFERROR(W323/100*P323*X323*1%,0)))</f>
        <v>0</v>
      </c>
      <c r="Z323" s="1211">
        <f t="shared" si="69"/>
        <v>0</v>
      </c>
      <c r="AA323" s="136">
        <f>IF(Z323&lt;=0,0,RANK(Z323,Z:Z)+COUNTIF($Z$3:$Z323,Z323)-1)</f>
        <v>0</v>
      </c>
      <c r="AB323" s="1211">
        <f t="shared" ca="1" si="54"/>
        <v>0</v>
      </c>
      <c r="AC323" s="136">
        <f ca="1">IF(AB323&lt;=0,0,RANK(AB323,AB:AB)+COUNTIF($AB$3:$AB323,AB323)-1)</f>
        <v>0</v>
      </c>
      <c r="AD323" s="136">
        <f t="shared" si="70"/>
        <v>99999</v>
      </c>
      <c r="AE323" s="136">
        <f>IF(AD323=99999,0,RANK(AD323,AD:AD,1)+COUNTIF($AD$3:$AD323,AD323)-1)</f>
        <v>0</v>
      </c>
    </row>
    <row r="324" spans="1:31">
      <c r="A324" s="141">
        <f>'銀行-TSS'!A324</f>
        <v>0</v>
      </c>
      <c r="B324" s="151">
        <f ca="1">VLOOKUP(A324,'銀行-TSS'!A:B,2,FALSE)</f>
        <v>0</v>
      </c>
      <c r="C324" s="151" t="e">
        <f ca="1">VLOOKUP(B324,bond!B:C,2,FALSE)</f>
        <v>#N/A</v>
      </c>
      <c r="D324" s="95" t="e">
        <f>VLOOKUP(A324,'銀行-TSS'!A:C,3,FALSE)</f>
        <v>#N/A</v>
      </c>
      <c r="E324" s="90" t="e">
        <f ca="1">VLOOKUP(A324,'銀行-TSS'!A:G,7,FALSE)</f>
        <v>#N/A</v>
      </c>
      <c r="F324" s="202" t="e">
        <f ca="1">VLOOKUP(A324,'銀行-TSS'!A:H,8,FALSE)</f>
        <v>#N/A</v>
      </c>
      <c r="G324" s="96" t="e">
        <f ca="1">VLOOKUP(A324,'銀行-TSS'!A:K,11,FALSE)</f>
        <v>#N/A</v>
      </c>
      <c r="H324" s="1209" t="e">
        <f ca="1">VLOOKUP(A324,'銀行-TSS'!A:M,13,FALSE)</f>
        <v>#N/A</v>
      </c>
      <c r="I324" s="1213" t="e">
        <f ca="1">VLOOKUP(A324,'銀行-TSS'!A:N,14,FALSE)</f>
        <v>#N/A</v>
      </c>
      <c r="J324" s="1213" t="e">
        <f ca="1">VLOOKUP(A324,'銀行-TSS'!A:O,15,FALSE)</f>
        <v>#N/A</v>
      </c>
      <c r="K324" s="136" t="e">
        <f ca="1">VLOOKUP(A324,'銀行-TSS'!A:V,22,FALSE)</f>
        <v>#N/A</v>
      </c>
      <c r="L324" s="136" t="e">
        <f ca="1">VLOOKUP(A324,'銀行-TSS'!A:AK,37,FALSE)</f>
        <v>#N/A</v>
      </c>
      <c r="M324" s="136" t="str">
        <f ca="1">VLOOKUP(A324,'銀行-TSS'!A:AN,40,FALSE)</f>
        <v/>
      </c>
      <c r="N324" s="1211" t="e">
        <f t="shared" ca="1" si="71"/>
        <v>#N/A</v>
      </c>
      <c r="O324" s="1211" t="e">
        <f t="shared" ca="1" si="72"/>
        <v>#N/A</v>
      </c>
      <c r="P324" s="1213" t="e">
        <f ca="1">IF(AND(換券投組!$D$17&gt;=O324,換券投組!$D$13=D324),I324+INT((換券投組!$D$17-O324)/N324)*J324,0)</f>
        <v>#N/A</v>
      </c>
      <c r="Q324" s="1211" t="e">
        <f t="shared" ca="1" si="73"/>
        <v>#N/A</v>
      </c>
      <c r="R324" s="1213">
        <f t="shared" si="74"/>
        <v>0</v>
      </c>
      <c r="S324" s="1213">
        <f t="shared" si="75"/>
        <v>0</v>
      </c>
      <c r="T324" s="136">
        <f t="shared" ref="T324:T387" si="77">IF(OR(R324=0,A324=0),0,IF(V324=TRUE,E324,0))</f>
        <v>0</v>
      </c>
      <c r="U324" s="861">
        <f t="shared" ref="U324:U387" si="78">IF(OR(R324=0,A324=0),0,IF(V324=TRUE,H324,0))</f>
        <v>0</v>
      </c>
      <c r="V324" s="136" t="e">
        <f ca="1">IF(OR(D324&lt;&gt;"USD",L324="無",M324&lt;&gt;"",K324="高資產",IFERROR(MATCH(B324,換券投組!K:K,0),"N")&lt;&gt;"N",IFERROR(MATCH(B324,換券投組!J:J,0),"N")&lt;&gt;"N"),FALSE,IF($V$1="All",TRUE,IF(K324=$V$1,TRUE,FALSE)))</f>
        <v>#N/A</v>
      </c>
      <c r="W324" s="136" t="e">
        <f ca="1">VLOOKUP(A324,'銀行-TSS'!A:AO,41,FALSE)</f>
        <v>#N/A</v>
      </c>
      <c r="X324" s="136" t="e">
        <f ca="1">VLOOKUP(A324,'銀行-TSS'!A:AP,42,FALSE)</f>
        <v>#N/A</v>
      </c>
      <c r="Y324" s="1223">
        <f t="shared" si="76"/>
        <v>0</v>
      </c>
      <c r="Z324" s="1211">
        <f t="shared" ref="Z324:Z387" si="79">IF(A324=0,0,IF(V324=FALSE,0,IF(OR(Q324&lt;$Y$1,E324&lt;5)=FALSE,(Q324-$Q$1)*MIN(3,E324)*(1-MIN(1/(2*E324),1))+IF((P324-$P$1)&lt;0,(P324-$P$1),((P324-$P$1)*MIN(1/(2*E324),1))),0)))</f>
        <v>0</v>
      </c>
      <c r="AA324" s="136">
        <f>IF(Z324&lt;=0,0,RANK(Z324,Z:Z)+COUNTIF($Z$3:$Z324,Z324)-1)</f>
        <v>0</v>
      </c>
      <c r="AB324" s="1211">
        <f t="shared" ref="AB324:AB387" ca="1" si="80">IF(A324=0,0,IF(V324=FALSE,0,Y324+IF((P324-$P$1)&lt;0,(P324-$P$1)*0.5,0)))-$AC$1</f>
        <v>0</v>
      </c>
      <c r="AC324" s="136">
        <f ca="1">IF(AB324&lt;=0,0,RANK(AB324,AB:AB)+COUNTIF($AB$3:$AB324,AB324)-1)</f>
        <v>0</v>
      </c>
      <c r="AD324" s="136">
        <f t="shared" ref="AD324:AD387" si="81">IF(A324=0,99999,IF(OR(V324=FALSE,AA324=0,AC324=0),99999,(AC324+AA324)/2))</f>
        <v>99999</v>
      </c>
      <c r="AE324" s="136">
        <f>IF(AD324=99999,0,RANK(AD324,AD:AD,1)+COUNTIF($AD$3:$AD324,AD324)-1)</f>
        <v>0</v>
      </c>
    </row>
    <row r="325" spans="1:31">
      <c r="A325" s="141">
        <f>'銀行-TSS'!A325</f>
        <v>0</v>
      </c>
      <c r="B325" s="151">
        <f ca="1">VLOOKUP(A325,'銀行-TSS'!A:B,2,FALSE)</f>
        <v>0</v>
      </c>
      <c r="C325" s="151" t="e">
        <f ca="1">VLOOKUP(B325,bond!B:C,2,FALSE)</f>
        <v>#N/A</v>
      </c>
      <c r="D325" s="95" t="e">
        <f>VLOOKUP(A325,'銀行-TSS'!A:C,3,FALSE)</f>
        <v>#N/A</v>
      </c>
      <c r="E325" s="90" t="e">
        <f ca="1">VLOOKUP(A325,'銀行-TSS'!A:G,7,FALSE)</f>
        <v>#N/A</v>
      </c>
      <c r="F325" s="202" t="e">
        <f ca="1">VLOOKUP(A325,'銀行-TSS'!A:H,8,FALSE)</f>
        <v>#N/A</v>
      </c>
      <c r="G325" s="96" t="e">
        <f ca="1">VLOOKUP(A325,'銀行-TSS'!A:K,11,FALSE)</f>
        <v>#N/A</v>
      </c>
      <c r="H325" s="1209" t="e">
        <f ca="1">VLOOKUP(A325,'銀行-TSS'!A:M,13,FALSE)</f>
        <v>#N/A</v>
      </c>
      <c r="I325" s="1213" t="e">
        <f ca="1">VLOOKUP(A325,'銀行-TSS'!A:N,14,FALSE)</f>
        <v>#N/A</v>
      </c>
      <c r="J325" s="1213" t="e">
        <f ca="1">VLOOKUP(A325,'銀行-TSS'!A:O,15,FALSE)</f>
        <v>#N/A</v>
      </c>
      <c r="K325" s="136" t="e">
        <f ca="1">VLOOKUP(A325,'銀行-TSS'!A:V,22,FALSE)</f>
        <v>#N/A</v>
      </c>
      <c r="L325" s="136" t="e">
        <f ca="1">VLOOKUP(A325,'銀行-TSS'!A:AK,37,FALSE)</f>
        <v>#N/A</v>
      </c>
      <c r="M325" s="136" t="str">
        <f ca="1">VLOOKUP(A325,'銀行-TSS'!A:AN,40,FALSE)</f>
        <v/>
      </c>
      <c r="N325" s="1211" t="e">
        <f t="shared" ca="1" si="71"/>
        <v>#N/A</v>
      </c>
      <c r="O325" s="1211" t="e">
        <f t="shared" ca="1" si="72"/>
        <v>#N/A</v>
      </c>
      <c r="P325" s="1213" t="e">
        <f ca="1">IF(AND(換券投組!$D$17&gt;=O325,換券投組!$D$13=D325),I325+INT((換券投組!$D$17-O325)/N325)*J325,0)</f>
        <v>#N/A</v>
      </c>
      <c r="Q325" s="1211" t="e">
        <f t="shared" ca="1" si="73"/>
        <v>#N/A</v>
      </c>
      <c r="R325" s="1213">
        <f t="shared" si="74"/>
        <v>0</v>
      </c>
      <c r="S325" s="1213">
        <f t="shared" si="75"/>
        <v>0</v>
      </c>
      <c r="T325" s="136">
        <f t="shared" si="77"/>
        <v>0</v>
      </c>
      <c r="U325" s="861">
        <f t="shared" si="78"/>
        <v>0</v>
      </c>
      <c r="V325" s="136" t="e">
        <f ca="1">IF(OR(D325&lt;&gt;"USD",L325="無",M325&lt;&gt;"",K325="高資產",IFERROR(MATCH(B325,換券投組!K:K,0),"N")&lt;&gt;"N",IFERROR(MATCH(B325,換券投組!J:J,0),"N")&lt;&gt;"N"),FALSE,IF($V$1="All",TRUE,IF(K325=$V$1,TRUE,FALSE)))</f>
        <v>#N/A</v>
      </c>
      <c r="W325" s="136" t="e">
        <f ca="1">VLOOKUP(A325,'銀行-TSS'!A:AO,41,FALSE)</f>
        <v>#N/A</v>
      </c>
      <c r="X325" s="136" t="e">
        <f ca="1">VLOOKUP(A325,'銀行-TSS'!A:AP,42,FALSE)</f>
        <v>#N/A</v>
      </c>
      <c r="Y325" s="1223">
        <f t="shared" si="76"/>
        <v>0</v>
      </c>
      <c r="Z325" s="1211">
        <f t="shared" si="79"/>
        <v>0</v>
      </c>
      <c r="AA325" s="136">
        <f>IF(Z325&lt;=0,0,RANK(Z325,Z:Z)+COUNTIF($Z$3:$Z325,Z325)-1)</f>
        <v>0</v>
      </c>
      <c r="AB325" s="1211">
        <f t="shared" ca="1" si="80"/>
        <v>0</v>
      </c>
      <c r="AC325" s="136">
        <f ca="1">IF(AB325&lt;=0,0,RANK(AB325,AB:AB)+COUNTIF($AB$3:$AB325,AB325)-1)</f>
        <v>0</v>
      </c>
      <c r="AD325" s="136">
        <f t="shared" si="81"/>
        <v>99999</v>
      </c>
      <c r="AE325" s="136">
        <f>IF(AD325=99999,0,RANK(AD325,AD:AD,1)+COUNTIF($AD$3:$AD325,AD325)-1)</f>
        <v>0</v>
      </c>
    </row>
    <row r="326" spans="1:31">
      <c r="A326" s="141">
        <f>'銀行-TSS'!A326</f>
        <v>0</v>
      </c>
      <c r="B326" s="151">
        <f ca="1">VLOOKUP(A326,'銀行-TSS'!A:B,2,FALSE)</f>
        <v>0</v>
      </c>
      <c r="C326" s="151" t="e">
        <f ca="1">VLOOKUP(B326,bond!B:C,2,FALSE)</f>
        <v>#N/A</v>
      </c>
      <c r="D326" s="95" t="e">
        <f>VLOOKUP(A326,'銀行-TSS'!A:C,3,FALSE)</f>
        <v>#N/A</v>
      </c>
      <c r="E326" s="90" t="e">
        <f ca="1">VLOOKUP(A326,'銀行-TSS'!A:G,7,FALSE)</f>
        <v>#N/A</v>
      </c>
      <c r="F326" s="202" t="e">
        <f ca="1">VLOOKUP(A326,'銀行-TSS'!A:H,8,FALSE)</f>
        <v>#N/A</v>
      </c>
      <c r="G326" s="96" t="e">
        <f ca="1">VLOOKUP(A326,'銀行-TSS'!A:K,11,FALSE)</f>
        <v>#N/A</v>
      </c>
      <c r="H326" s="1209" t="e">
        <f ca="1">VLOOKUP(A326,'銀行-TSS'!A:M,13,FALSE)</f>
        <v>#N/A</v>
      </c>
      <c r="I326" s="1213" t="e">
        <f ca="1">VLOOKUP(A326,'銀行-TSS'!A:N,14,FALSE)</f>
        <v>#N/A</v>
      </c>
      <c r="J326" s="1213" t="e">
        <f ca="1">VLOOKUP(A326,'銀行-TSS'!A:O,15,FALSE)</f>
        <v>#N/A</v>
      </c>
      <c r="K326" s="136" t="e">
        <f ca="1">VLOOKUP(A326,'銀行-TSS'!A:V,22,FALSE)</f>
        <v>#N/A</v>
      </c>
      <c r="L326" s="136" t="e">
        <f ca="1">VLOOKUP(A326,'銀行-TSS'!A:AK,37,FALSE)</f>
        <v>#N/A</v>
      </c>
      <c r="M326" s="136" t="str">
        <f ca="1">VLOOKUP(A326,'銀行-TSS'!A:AN,40,FALSE)</f>
        <v/>
      </c>
      <c r="N326" s="1211" t="e">
        <f t="shared" ca="1" si="71"/>
        <v>#N/A</v>
      </c>
      <c r="O326" s="1211" t="e">
        <f t="shared" ca="1" si="72"/>
        <v>#N/A</v>
      </c>
      <c r="P326" s="1213" t="e">
        <f ca="1">IF(AND(換券投組!$D$17&gt;=O326,換券投組!$D$13=D326),I326+INT((換券投組!$D$17-O326)/N326)*J326,0)</f>
        <v>#N/A</v>
      </c>
      <c r="Q326" s="1211" t="e">
        <f t="shared" ca="1" si="73"/>
        <v>#N/A</v>
      </c>
      <c r="R326" s="1213">
        <f t="shared" si="74"/>
        <v>0</v>
      </c>
      <c r="S326" s="1213">
        <f t="shared" si="75"/>
        <v>0</v>
      </c>
      <c r="T326" s="136">
        <f t="shared" si="77"/>
        <v>0</v>
      </c>
      <c r="U326" s="861">
        <f t="shared" si="78"/>
        <v>0</v>
      </c>
      <c r="V326" s="136" t="e">
        <f ca="1">IF(OR(D326&lt;&gt;"USD",L326="無",M326&lt;&gt;"",K326="高資產",IFERROR(MATCH(B326,換券投組!K:K,0),"N")&lt;&gt;"N",IFERROR(MATCH(B326,換券投組!J:J,0),"N")&lt;&gt;"N"),FALSE,IF($V$1="All",TRUE,IF(K326=$V$1,TRUE,FALSE)))</f>
        <v>#N/A</v>
      </c>
      <c r="W326" s="136" t="e">
        <f ca="1">VLOOKUP(A326,'銀行-TSS'!A:AO,41,FALSE)</f>
        <v>#N/A</v>
      </c>
      <c r="X326" s="136" t="e">
        <f ca="1">VLOOKUP(A326,'銀行-TSS'!A:AP,42,FALSE)</f>
        <v>#N/A</v>
      </c>
      <c r="Y326" s="1223">
        <f t="shared" si="76"/>
        <v>0</v>
      </c>
      <c r="Z326" s="1211">
        <f t="shared" si="79"/>
        <v>0</v>
      </c>
      <c r="AA326" s="136">
        <f>IF(Z326&lt;=0,0,RANK(Z326,Z:Z)+COUNTIF($Z$3:$Z326,Z326)-1)</f>
        <v>0</v>
      </c>
      <c r="AB326" s="1211">
        <f t="shared" ca="1" si="80"/>
        <v>0</v>
      </c>
      <c r="AC326" s="136">
        <f ca="1">IF(AB326&lt;=0,0,RANK(AB326,AB:AB)+COUNTIF($AB$3:$AB326,AB326)-1)</f>
        <v>0</v>
      </c>
      <c r="AD326" s="136">
        <f t="shared" si="81"/>
        <v>99999</v>
      </c>
      <c r="AE326" s="136">
        <f>IF(AD326=99999,0,RANK(AD326,AD:AD,1)+COUNTIF($AD$3:$AD326,AD326)-1)</f>
        <v>0</v>
      </c>
    </row>
    <row r="327" spans="1:31">
      <c r="A327" s="141">
        <f>'銀行-TSS'!A327</f>
        <v>0</v>
      </c>
      <c r="B327" s="151">
        <f ca="1">VLOOKUP(A327,'銀行-TSS'!A:B,2,FALSE)</f>
        <v>0</v>
      </c>
      <c r="C327" s="151" t="e">
        <f ca="1">VLOOKUP(B327,bond!B:C,2,FALSE)</f>
        <v>#N/A</v>
      </c>
      <c r="D327" s="95" t="e">
        <f>VLOOKUP(A327,'銀行-TSS'!A:C,3,FALSE)</f>
        <v>#N/A</v>
      </c>
      <c r="E327" s="90" t="e">
        <f ca="1">VLOOKUP(A327,'銀行-TSS'!A:G,7,FALSE)</f>
        <v>#N/A</v>
      </c>
      <c r="F327" s="202" t="e">
        <f ca="1">VLOOKUP(A327,'銀行-TSS'!A:H,8,FALSE)</f>
        <v>#N/A</v>
      </c>
      <c r="G327" s="96" t="e">
        <f ca="1">VLOOKUP(A327,'銀行-TSS'!A:K,11,FALSE)</f>
        <v>#N/A</v>
      </c>
      <c r="H327" s="1209" t="e">
        <f ca="1">VLOOKUP(A327,'銀行-TSS'!A:M,13,FALSE)</f>
        <v>#N/A</v>
      </c>
      <c r="I327" s="1213" t="e">
        <f ca="1">VLOOKUP(A327,'銀行-TSS'!A:N,14,FALSE)</f>
        <v>#N/A</v>
      </c>
      <c r="J327" s="1213" t="e">
        <f ca="1">VLOOKUP(A327,'銀行-TSS'!A:O,15,FALSE)</f>
        <v>#N/A</v>
      </c>
      <c r="K327" s="136" t="e">
        <f ca="1">VLOOKUP(A327,'銀行-TSS'!A:V,22,FALSE)</f>
        <v>#N/A</v>
      </c>
      <c r="L327" s="136" t="e">
        <f ca="1">VLOOKUP(A327,'銀行-TSS'!A:AK,37,FALSE)</f>
        <v>#N/A</v>
      </c>
      <c r="M327" s="136" t="str">
        <f ca="1">VLOOKUP(A327,'銀行-TSS'!A:AN,40,FALSE)</f>
        <v/>
      </c>
      <c r="N327" s="1211" t="e">
        <f t="shared" ca="1" si="71"/>
        <v>#N/A</v>
      </c>
      <c r="O327" s="1211" t="e">
        <f t="shared" ca="1" si="72"/>
        <v>#N/A</v>
      </c>
      <c r="P327" s="1213" t="e">
        <f ca="1">IF(AND(換券投組!$D$17&gt;=O327,換券投組!$D$13=D327),I327+INT((換券投組!$D$17-O327)/N327)*J327,0)</f>
        <v>#N/A</v>
      </c>
      <c r="Q327" s="1211" t="e">
        <f t="shared" ca="1" si="73"/>
        <v>#N/A</v>
      </c>
      <c r="R327" s="1213">
        <f t="shared" si="74"/>
        <v>0</v>
      </c>
      <c r="S327" s="1213">
        <f t="shared" si="75"/>
        <v>0</v>
      </c>
      <c r="T327" s="136">
        <f t="shared" si="77"/>
        <v>0</v>
      </c>
      <c r="U327" s="861">
        <f t="shared" si="78"/>
        <v>0</v>
      </c>
      <c r="V327" s="136" t="e">
        <f ca="1">IF(OR(D327&lt;&gt;"USD",L327="無",M327&lt;&gt;"",K327="高資產",IFERROR(MATCH(B327,換券投組!K:K,0),"N")&lt;&gt;"N",IFERROR(MATCH(B327,換券投組!J:J,0),"N")&lt;&gt;"N"),FALSE,IF($V$1="All",TRUE,IF(K327=$V$1,TRUE,FALSE)))</f>
        <v>#N/A</v>
      </c>
      <c r="W327" s="136" t="e">
        <f ca="1">VLOOKUP(A327,'銀行-TSS'!A:AO,41,FALSE)</f>
        <v>#N/A</v>
      </c>
      <c r="X327" s="136" t="e">
        <f ca="1">VLOOKUP(A327,'銀行-TSS'!A:AP,42,FALSE)</f>
        <v>#N/A</v>
      </c>
      <c r="Y327" s="1223">
        <f t="shared" si="76"/>
        <v>0</v>
      </c>
      <c r="Z327" s="1211">
        <f t="shared" si="79"/>
        <v>0</v>
      </c>
      <c r="AA327" s="136">
        <f>IF(Z327&lt;=0,0,RANK(Z327,Z:Z)+COUNTIF($Z$3:$Z327,Z327)-1)</f>
        <v>0</v>
      </c>
      <c r="AB327" s="1211">
        <f t="shared" ca="1" si="80"/>
        <v>0</v>
      </c>
      <c r="AC327" s="136">
        <f ca="1">IF(AB327&lt;=0,0,RANK(AB327,AB:AB)+COUNTIF($AB$3:$AB327,AB327)-1)</f>
        <v>0</v>
      </c>
      <c r="AD327" s="136">
        <f t="shared" si="81"/>
        <v>99999</v>
      </c>
      <c r="AE327" s="136">
        <f>IF(AD327=99999,0,RANK(AD327,AD:AD,1)+COUNTIF($AD$3:$AD327,AD327)-1)</f>
        <v>0</v>
      </c>
    </row>
    <row r="328" spans="1:31">
      <c r="A328" s="141">
        <f>'銀行-TSS'!A328</f>
        <v>0</v>
      </c>
      <c r="B328" s="151">
        <f ca="1">VLOOKUP(A328,'銀行-TSS'!A:B,2,FALSE)</f>
        <v>0</v>
      </c>
      <c r="C328" s="151" t="e">
        <f ca="1">VLOOKUP(B328,bond!B:C,2,FALSE)</f>
        <v>#N/A</v>
      </c>
      <c r="D328" s="95" t="e">
        <f>VLOOKUP(A328,'銀行-TSS'!A:C,3,FALSE)</f>
        <v>#N/A</v>
      </c>
      <c r="E328" s="90" t="e">
        <f ca="1">VLOOKUP(A328,'銀行-TSS'!A:G,7,FALSE)</f>
        <v>#N/A</v>
      </c>
      <c r="F328" s="202" t="e">
        <f ca="1">VLOOKUP(A328,'銀行-TSS'!A:H,8,FALSE)</f>
        <v>#N/A</v>
      </c>
      <c r="G328" s="96" t="e">
        <f ca="1">VLOOKUP(A328,'銀行-TSS'!A:K,11,FALSE)</f>
        <v>#N/A</v>
      </c>
      <c r="H328" s="1209" t="e">
        <f ca="1">VLOOKUP(A328,'銀行-TSS'!A:M,13,FALSE)</f>
        <v>#N/A</v>
      </c>
      <c r="I328" s="1213" t="e">
        <f ca="1">VLOOKUP(A328,'銀行-TSS'!A:N,14,FALSE)</f>
        <v>#N/A</v>
      </c>
      <c r="J328" s="1213" t="e">
        <f ca="1">VLOOKUP(A328,'銀行-TSS'!A:O,15,FALSE)</f>
        <v>#N/A</v>
      </c>
      <c r="K328" s="136" t="e">
        <f ca="1">VLOOKUP(A328,'銀行-TSS'!A:V,22,FALSE)</f>
        <v>#N/A</v>
      </c>
      <c r="L328" s="136" t="e">
        <f ca="1">VLOOKUP(A328,'銀行-TSS'!A:AK,37,FALSE)</f>
        <v>#N/A</v>
      </c>
      <c r="M328" s="136" t="str">
        <f ca="1">VLOOKUP(A328,'銀行-TSS'!A:AN,40,FALSE)</f>
        <v/>
      </c>
      <c r="N328" s="1211" t="e">
        <f t="shared" ca="1" si="71"/>
        <v>#N/A</v>
      </c>
      <c r="O328" s="1211" t="e">
        <f t="shared" ca="1" si="72"/>
        <v>#N/A</v>
      </c>
      <c r="P328" s="1213" t="e">
        <f ca="1">IF(AND(換券投組!$D$17&gt;=O328,換券投組!$D$13=D328),I328+INT((換券投組!$D$17-O328)/N328)*J328,0)</f>
        <v>#N/A</v>
      </c>
      <c r="Q328" s="1211" t="e">
        <f t="shared" ca="1" si="73"/>
        <v>#N/A</v>
      </c>
      <c r="R328" s="1213">
        <f t="shared" si="74"/>
        <v>0</v>
      </c>
      <c r="S328" s="1213">
        <f t="shared" si="75"/>
        <v>0</v>
      </c>
      <c r="T328" s="136">
        <f t="shared" si="77"/>
        <v>0</v>
      </c>
      <c r="U328" s="861">
        <f t="shared" si="78"/>
        <v>0</v>
      </c>
      <c r="V328" s="136" t="e">
        <f ca="1">IF(OR(D328&lt;&gt;"USD",L328="無",M328&lt;&gt;"",K328="高資產",IFERROR(MATCH(B328,換券投組!K:K,0),"N")&lt;&gt;"N",IFERROR(MATCH(B328,換券投組!J:J,0),"N")&lt;&gt;"N"),FALSE,IF($V$1="All",TRUE,IF(K328=$V$1,TRUE,FALSE)))</f>
        <v>#N/A</v>
      </c>
      <c r="W328" s="136" t="e">
        <f ca="1">VLOOKUP(A328,'銀行-TSS'!A:AO,41,FALSE)</f>
        <v>#N/A</v>
      </c>
      <c r="X328" s="136" t="e">
        <f ca="1">VLOOKUP(A328,'銀行-TSS'!A:AP,42,FALSE)</f>
        <v>#N/A</v>
      </c>
      <c r="Y328" s="1223">
        <f t="shared" si="76"/>
        <v>0</v>
      </c>
      <c r="Z328" s="1211">
        <f t="shared" si="79"/>
        <v>0</v>
      </c>
      <c r="AA328" s="136">
        <f>IF(Z328&lt;=0,0,RANK(Z328,Z:Z)+COUNTIF($Z$3:$Z328,Z328)-1)</f>
        <v>0</v>
      </c>
      <c r="AB328" s="1211">
        <f t="shared" ca="1" si="80"/>
        <v>0</v>
      </c>
      <c r="AC328" s="136">
        <f ca="1">IF(AB328&lt;=0,0,RANK(AB328,AB:AB)+COUNTIF($AB$3:$AB328,AB328)-1)</f>
        <v>0</v>
      </c>
      <c r="AD328" s="136">
        <f t="shared" si="81"/>
        <v>99999</v>
      </c>
      <c r="AE328" s="136">
        <f>IF(AD328=99999,0,RANK(AD328,AD:AD,1)+COUNTIF($AD$3:$AD328,AD328)-1)</f>
        <v>0</v>
      </c>
    </row>
    <row r="329" spans="1:31">
      <c r="A329" s="141">
        <f>'銀行-TSS'!A329</f>
        <v>0</v>
      </c>
      <c r="B329" s="151">
        <f ca="1">VLOOKUP(A329,'銀行-TSS'!A:B,2,FALSE)</f>
        <v>0</v>
      </c>
      <c r="C329" s="151" t="e">
        <f ca="1">VLOOKUP(B329,bond!B:C,2,FALSE)</f>
        <v>#N/A</v>
      </c>
      <c r="D329" s="95" t="e">
        <f>VLOOKUP(A329,'銀行-TSS'!A:C,3,FALSE)</f>
        <v>#N/A</v>
      </c>
      <c r="E329" s="90" t="e">
        <f ca="1">VLOOKUP(A329,'銀行-TSS'!A:G,7,FALSE)</f>
        <v>#N/A</v>
      </c>
      <c r="F329" s="202" t="e">
        <f ca="1">VLOOKUP(A329,'銀行-TSS'!A:H,8,FALSE)</f>
        <v>#N/A</v>
      </c>
      <c r="G329" s="96" t="e">
        <f ca="1">VLOOKUP(A329,'銀行-TSS'!A:K,11,FALSE)</f>
        <v>#N/A</v>
      </c>
      <c r="H329" s="1209" t="e">
        <f ca="1">VLOOKUP(A329,'銀行-TSS'!A:M,13,FALSE)</f>
        <v>#N/A</v>
      </c>
      <c r="I329" s="1213" t="e">
        <f ca="1">VLOOKUP(A329,'銀行-TSS'!A:N,14,FALSE)</f>
        <v>#N/A</v>
      </c>
      <c r="J329" s="1213" t="e">
        <f ca="1">VLOOKUP(A329,'銀行-TSS'!A:O,15,FALSE)</f>
        <v>#N/A</v>
      </c>
      <c r="K329" s="136" t="e">
        <f ca="1">VLOOKUP(A329,'銀行-TSS'!A:V,22,FALSE)</f>
        <v>#N/A</v>
      </c>
      <c r="L329" s="136" t="e">
        <f ca="1">VLOOKUP(A329,'銀行-TSS'!A:AK,37,FALSE)</f>
        <v>#N/A</v>
      </c>
      <c r="M329" s="136" t="str">
        <f ca="1">VLOOKUP(A329,'銀行-TSS'!A:AN,40,FALSE)</f>
        <v/>
      </c>
      <c r="N329" s="1211" t="e">
        <f t="shared" ca="1" si="71"/>
        <v>#N/A</v>
      </c>
      <c r="O329" s="1211" t="e">
        <f t="shared" ca="1" si="72"/>
        <v>#N/A</v>
      </c>
      <c r="P329" s="1213" t="e">
        <f ca="1">IF(AND(換券投組!$D$17&gt;=O329,換券投組!$D$13=D329),I329+INT((換券投組!$D$17-O329)/N329)*J329,0)</f>
        <v>#N/A</v>
      </c>
      <c r="Q329" s="1211" t="e">
        <f t="shared" ca="1" si="73"/>
        <v>#N/A</v>
      </c>
      <c r="R329" s="1213">
        <f t="shared" si="74"/>
        <v>0</v>
      </c>
      <c r="S329" s="1213">
        <f t="shared" si="75"/>
        <v>0</v>
      </c>
      <c r="T329" s="136">
        <f t="shared" si="77"/>
        <v>0</v>
      </c>
      <c r="U329" s="861">
        <f t="shared" si="78"/>
        <v>0</v>
      </c>
      <c r="V329" s="136" t="e">
        <f ca="1">IF(OR(D329&lt;&gt;"USD",L329="無",M329&lt;&gt;"",K329="高資產",IFERROR(MATCH(B329,換券投組!K:K,0),"N")&lt;&gt;"N",IFERROR(MATCH(B329,換券投組!J:J,0),"N")&lt;&gt;"N"),FALSE,IF($V$1="All",TRUE,IF(K329=$V$1,TRUE,FALSE)))</f>
        <v>#N/A</v>
      </c>
      <c r="W329" s="136" t="e">
        <f ca="1">VLOOKUP(A329,'銀行-TSS'!A:AO,41,FALSE)</f>
        <v>#N/A</v>
      </c>
      <c r="X329" s="136" t="e">
        <f ca="1">VLOOKUP(A329,'銀行-TSS'!A:AP,42,FALSE)</f>
        <v>#N/A</v>
      </c>
      <c r="Y329" s="1223">
        <f t="shared" si="76"/>
        <v>0</v>
      </c>
      <c r="Z329" s="1211">
        <f t="shared" si="79"/>
        <v>0</v>
      </c>
      <c r="AA329" s="136">
        <f>IF(Z329&lt;=0,0,RANK(Z329,Z:Z)+COUNTIF($Z$3:$Z329,Z329)-1)</f>
        <v>0</v>
      </c>
      <c r="AB329" s="1211">
        <f t="shared" ca="1" si="80"/>
        <v>0</v>
      </c>
      <c r="AC329" s="136">
        <f ca="1">IF(AB329&lt;=0,0,RANK(AB329,AB:AB)+COUNTIF($AB$3:$AB329,AB329)-1)</f>
        <v>0</v>
      </c>
      <c r="AD329" s="136">
        <f t="shared" si="81"/>
        <v>99999</v>
      </c>
      <c r="AE329" s="136">
        <f>IF(AD329=99999,0,RANK(AD329,AD:AD,1)+COUNTIF($AD$3:$AD329,AD329)-1)</f>
        <v>0</v>
      </c>
    </row>
    <row r="330" spans="1:31">
      <c r="A330" s="141">
        <f>'銀行-TSS'!A330</f>
        <v>0</v>
      </c>
      <c r="B330" s="151">
        <f ca="1">VLOOKUP(A330,'銀行-TSS'!A:B,2,FALSE)</f>
        <v>0</v>
      </c>
      <c r="C330" s="151" t="e">
        <f ca="1">VLOOKUP(B330,bond!B:C,2,FALSE)</f>
        <v>#N/A</v>
      </c>
      <c r="D330" s="95" t="e">
        <f>VLOOKUP(A330,'銀行-TSS'!A:C,3,FALSE)</f>
        <v>#N/A</v>
      </c>
      <c r="E330" s="90" t="e">
        <f ca="1">VLOOKUP(A330,'銀行-TSS'!A:G,7,FALSE)</f>
        <v>#N/A</v>
      </c>
      <c r="F330" s="202" t="e">
        <f ca="1">VLOOKUP(A330,'銀行-TSS'!A:H,8,FALSE)</f>
        <v>#N/A</v>
      </c>
      <c r="G330" s="96" t="e">
        <f ca="1">VLOOKUP(A330,'銀行-TSS'!A:K,11,FALSE)</f>
        <v>#N/A</v>
      </c>
      <c r="H330" s="1209" t="e">
        <f ca="1">VLOOKUP(A330,'銀行-TSS'!A:M,13,FALSE)</f>
        <v>#N/A</v>
      </c>
      <c r="I330" s="1213" t="e">
        <f ca="1">VLOOKUP(A330,'銀行-TSS'!A:N,14,FALSE)</f>
        <v>#N/A</v>
      </c>
      <c r="J330" s="1213" t="e">
        <f ca="1">VLOOKUP(A330,'銀行-TSS'!A:O,15,FALSE)</f>
        <v>#N/A</v>
      </c>
      <c r="K330" s="136" t="e">
        <f ca="1">VLOOKUP(A330,'銀行-TSS'!A:V,22,FALSE)</f>
        <v>#N/A</v>
      </c>
      <c r="L330" s="136" t="e">
        <f ca="1">VLOOKUP(A330,'銀行-TSS'!A:AK,37,FALSE)</f>
        <v>#N/A</v>
      </c>
      <c r="M330" s="136" t="str">
        <f ca="1">VLOOKUP(A330,'銀行-TSS'!A:AN,40,FALSE)</f>
        <v/>
      </c>
      <c r="N330" s="1211" t="e">
        <f t="shared" ca="1" si="71"/>
        <v>#N/A</v>
      </c>
      <c r="O330" s="1211" t="e">
        <f t="shared" ca="1" si="72"/>
        <v>#N/A</v>
      </c>
      <c r="P330" s="1213" t="e">
        <f ca="1">IF(AND(換券投組!$D$17&gt;=O330,換券投組!$D$13=D330),I330+INT((換券投組!$D$17-O330)/N330)*J330,0)</f>
        <v>#N/A</v>
      </c>
      <c r="Q330" s="1211" t="e">
        <f t="shared" ca="1" si="73"/>
        <v>#N/A</v>
      </c>
      <c r="R330" s="1213">
        <f t="shared" si="74"/>
        <v>0</v>
      </c>
      <c r="S330" s="1213">
        <f t="shared" si="75"/>
        <v>0</v>
      </c>
      <c r="T330" s="136">
        <f t="shared" si="77"/>
        <v>0</v>
      </c>
      <c r="U330" s="861">
        <f t="shared" si="78"/>
        <v>0</v>
      </c>
      <c r="V330" s="136" t="e">
        <f ca="1">IF(OR(D330&lt;&gt;"USD",L330="無",M330&lt;&gt;"",K330="高資產",IFERROR(MATCH(B330,換券投組!K:K,0),"N")&lt;&gt;"N",IFERROR(MATCH(B330,換券投組!J:J,0),"N")&lt;&gt;"N"),FALSE,IF($V$1="All",TRUE,IF(K330=$V$1,TRUE,FALSE)))</f>
        <v>#N/A</v>
      </c>
      <c r="W330" s="136" t="e">
        <f ca="1">VLOOKUP(A330,'銀行-TSS'!A:AO,41,FALSE)</f>
        <v>#N/A</v>
      </c>
      <c r="X330" s="136" t="e">
        <f ca="1">VLOOKUP(A330,'銀行-TSS'!A:AP,42,FALSE)</f>
        <v>#N/A</v>
      </c>
      <c r="Y330" s="1223">
        <f t="shared" si="76"/>
        <v>0</v>
      </c>
      <c r="Z330" s="1211">
        <f t="shared" si="79"/>
        <v>0</v>
      </c>
      <c r="AA330" s="136">
        <f>IF(Z330&lt;=0,0,RANK(Z330,Z:Z)+COUNTIF($Z$3:$Z330,Z330)-1)</f>
        <v>0</v>
      </c>
      <c r="AB330" s="1211">
        <f t="shared" ca="1" si="80"/>
        <v>0</v>
      </c>
      <c r="AC330" s="136">
        <f ca="1">IF(AB330&lt;=0,0,RANK(AB330,AB:AB)+COUNTIF($AB$3:$AB330,AB330)-1)</f>
        <v>0</v>
      </c>
      <c r="AD330" s="136">
        <f t="shared" si="81"/>
        <v>99999</v>
      </c>
      <c r="AE330" s="136">
        <f>IF(AD330=99999,0,RANK(AD330,AD:AD,1)+COUNTIF($AD$3:$AD330,AD330)-1)</f>
        <v>0</v>
      </c>
    </row>
    <row r="331" spans="1:31">
      <c r="A331" s="141">
        <f>'銀行-TSS'!A331</f>
        <v>0</v>
      </c>
      <c r="B331" s="151">
        <f ca="1">VLOOKUP(A331,'銀行-TSS'!A:B,2,FALSE)</f>
        <v>0</v>
      </c>
      <c r="C331" s="151" t="e">
        <f ca="1">VLOOKUP(B331,bond!B:C,2,FALSE)</f>
        <v>#N/A</v>
      </c>
      <c r="D331" s="95" t="e">
        <f>VLOOKUP(A331,'銀行-TSS'!A:C,3,FALSE)</f>
        <v>#N/A</v>
      </c>
      <c r="E331" s="90" t="e">
        <f ca="1">VLOOKUP(A331,'銀行-TSS'!A:G,7,FALSE)</f>
        <v>#N/A</v>
      </c>
      <c r="F331" s="202" t="e">
        <f ca="1">VLOOKUP(A331,'銀行-TSS'!A:H,8,FALSE)</f>
        <v>#N/A</v>
      </c>
      <c r="G331" s="96" t="e">
        <f ca="1">VLOOKUP(A331,'銀行-TSS'!A:K,11,FALSE)</f>
        <v>#N/A</v>
      </c>
      <c r="H331" s="1209" t="e">
        <f ca="1">VLOOKUP(A331,'銀行-TSS'!A:M,13,FALSE)</f>
        <v>#N/A</v>
      </c>
      <c r="I331" s="1213" t="e">
        <f ca="1">VLOOKUP(A331,'銀行-TSS'!A:N,14,FALSE)</f>
        <v>#N/A</v>
      </c>
      <c r="J331" s="1213" t="e">
        <f ca="1">VLOOKUP(A331,'銀行-TSS'!A:O,15,FALSE)</f>
        <v>#N/A</v>
      </c>
      <c r="K331" s="136" t="e">
        <f ca="1">VLOOKUP(A331,'銀行-TSS'!A:V,22,FALSE)</f>
        <v>#N/A</v>
      </c>
      <c r="L331" s="136" t="e">
        <f ca="1">VLOOKUP(A331,'銀行-TSS'!A:AK,37,FALSE)</f>
        <v>#N/A</v>
      </c>
      <c r="M331" s="136" t="str">
        <f ca="1">VLOOKUP(A331,'銀行-TSS'!A:AN,40,FALSE)</f>
        <v/>
      </c>
      <c r="N331" s="1211" t="e">
        <f t="shared" ca="1" si="71"/>
        <v>#N/A</v>
      </c>
      <c r="O331" s="1211" t="e">
        <f t="shared" ca="1" si="72"/>
        <v>#N/A</v>
      </c>
      <c r="P331" s="1213" t="e">
        <f ca="1">IF(AND(換券投組!$D$17&gt;=O331,換券投組!$D$13=D331),I331+INT((換券投組!$D$17-O331)/N331)*J331,0)</f>
        <v>#N/A</v>
      </c>
      <c r="Q331" s="1211" t="e">
        <f t="shared" ca="1" si="73"/>
        <v>#N/A</v>
      </c>
      <c r="R331" s="1213">
        <f t="shared" si="74"/>
        <v>0</v>
      </c>
      <c r="S331" s="1213">
        <f t="shared" si="75"/>
        <v>0</v>
      </c>
      <c r="T331" s="136">
        <f t="shared" si="77"/>
        <v>0</v>
      </c>
      <c r="U331" s="861">
        <f t="shared" si="78"/>
        <v>0</v>
      </c>
      <c r="V331" s="136" t="e">
        <f ca="1">IF(OR(D331&lt;&gt;"USD",L331="無",M331&lt;&gt;"",K331="高資產",IFERROR(MATCH(B331,換券投組!K:K,0),"N")&lt;&gt;"N",IFERROR(MATCH(B331,換券投組!J:J,0),"N")&lt;&gt;"N"),FALSE,IF($V$1="All",TRUE,IF(K331=$V$1,TRUE,FALSE)))</f>
        <v>#N/A</v>
      </c>
      <c r="W331" s="136" t="e">
        <f ca="1">VLOOKUP(A331,'銀行-TSS'!A:AO,41,FALSE)</f>
        <v>#N/A</v>
      </c>
      <c r="X331" s="136" t="e">
        <f ca="1">VLOOKUP(A331,'銀行-TSS'!A:AP,42,FALSE)</f>
        <v>#N/A</v>
      </c>
      <c r="Y331" s="1223">
        <f t="shared" si="76"/>
        <v>0</v>
      </c>
      <c r="Z331" s="1211">
        <f t="shared" si="79"/>
        <v>0</v>
      </c>
      <c r="AA331" s="136">
        <f>IF(Z331&lt;=0,0,RANK(Z331,Z:Z)+COUNTIF($Z$3:$Z331,Z331)-1)</f>
        <v>0</v>
      </c>
      <c r="AB331" s="1211">
        <f t="shared" ca="1" si="80"/>
        <v>0</v>
      </c>
      <c r="AC331" s="136">
        <f ca="1">IF(AB331&lt;=0,0,RANK(AB331,AB:AB)+COUNTIF($AB$3:$AB331,AB331)-1)</f>
        <v>0</v>
      </c>
      <c r="AD331" s="136">
        <f t="shared" si="81"/>
        <v>99999</v>
      </c>
      <c r="AE331" s="136">
        <f>IF(AD331=99999,0,RANK(AD331,AD:AD,1)+COUNTIF($AD$3:$AD331,AD331)-1)</f>
        <v>0</v>
      </c>
    </row>
    <row r="332" spans="1:31">
      <c r="A332" s="141">
        <f>'銀行-TSS'!A332</f>
        <v>0</v>
      </c>
      <c r="B332" s="151">
        <f ca="1">VLOOKUP(A332,'銀行-TSS'!A:B,2,FALSE)</f>
        <v>0</v>
      </c>
      <c r="C332" s="151" t="e">
        <f ca="1">VLOOKUP(B332,bond!B:C,2,FALSE)</f>
        <v>#N/A</v>
      </c>
      <c r="D332" s="95" t="e">
        <f>VLOOKUP(A332,'銀行-TSS'!A:C,3,FALSE)</f>
        <v>#N/A</v>
      </c>
      <c r="E332" s="90" t="e">
        <f ca="1">VLOOKUP(A332,'銀行-TSS'!A:G,7,FALSE)</f>
        <v>#N/A</v>
      </c>
      <c r="F332" s="202" t="e">
        <f ca="1">VLOOKUP(A332,'銀行-TSS'!A:H,8,FALSE)</f>
        <v>#N/A</v>
      </c>
      <c r="G332" s="96" t="e">
        <f ca="1">VLOOKUP(A332,'銀行-TSS'!A:K,11,FALSE)</f>
        <v>#N/A</v>
      </c>
      <c r="H332" s="1209" t="e">
        <f ca="1">VLOOKUP(A332,'銀行-TSS'!A:M,13,FALSE)</f>
        <v>#N/A</v>
      </c>
      <c r="I332" s="1213" t="e">
        <f ca="1">VLOOKUP(A332,'銀行-TSS'!A:N,14,FALSE)</f>
        <v>#N/A</v>
      </c>
      <c r="J332" s="1213" t="e">
        <f ca="1">VLOOKUP(A332,'銀行-TSS'!A:O,15,FALSE)</f>
        <v>#N/A</v>
      </c>
      <c r="K332" s="136" t="e">
        <f ca="1">VLOOKUP(A332,'銀行-TSS'!A:V,22,FALSE)</f>
        <v>#N/A</v>
      </c>
      <c r="L332" s="136" t="e">
        <f ca="1">VLOOKUP(A332,'銀行-TSS'!A:AK,37,FALSE)</f>
        <v>#N/A</v>
      </c>
      <c r="M332" s="136" t="str">
        <f ca="1">VLOOKUP(A332,'銀行-TSS'!A:AN,40,FALSE)</f>
        <v/>
      </c>
      <c r="N332" s="1211" t="e">
        <f t="shared" ca="1" si="71"/>
        <v>#N/A</v>
      </c>
      <c r="O332" s="1211" t="e">
        <f t="shared" ca="1" si="72"/>
        <v>#N/A</v>
      </c>
      <c r="P332" s="1213" t="e">
        <f ca="1">IF(AND(換券投組!$D$17&gt;=O332,換券投組!$D$13=D332),I332+INT((換券投組!$D$17-O332)/N332)*J332,0)</f>
        <v>#N/A</v>
      </c>
      <c r="Q332" s="1211" t="e">
        <f t="shared" ca="1" si="73"/>
        <v>#N/A</v>
      </c>
      <c r="R332" s="1213">
        <f t="shared" si="74"/>
        <v>0</v>
      </c>
      <c r="S332" s="1213">
        <f t="shared" si="75"/>
        <v>0</v>
      </c>
      <c r="T332" s="136">
        <f t="shared" si="77"/>
        <v>0</v>
      </c>
      <c r="U332" s="861">
        <f t="shared" si="78"/>
        <v>0</v>
      </c>
      <c r="V332" s="136" t="e">
        <f ca="1">IF(OR(D332&lt;&gt;"USD",L332="無",M332&lt;&gt;"",K332="高資產",IFERROR(MATCH(B332,換券投組!K:K,0),"N")&lt;&gt;"N",IFERROR(MATCH(B332,換券投組!J:J,0),"N")&lt;&gt;"N"),FALSE,IF($V$1="All",TRUE,IF(K332=$V$1,TRUE,FALSE)))</f>
        <v>#N/A</v>
      </c>
      <c r="W332" s="136" t="e">
        <f ca="1">VLOOKUP(A332,'銀行-TSS'!A:AO,41,FALSE)</f>
        <v>#N/A</v>
      </c>
      <c r="X332" s="136" t="e">
        <f ca="1">VLOOKUP(A332,'銀行-TSS'!A:AP,42,FALSE)</f>
        <v>#N/A</v>
      </c>
      <c r="Y332" s="1223">
        <f t="shared" si="76"/>
        <v>0</v>
      </c>
      <c r="Z332" s="1211">
        <f t="shared" si="79"/>
        <v>0</v>
      </c>
      <c r="AA332" s="136">
        <f>IF(Z332&lt;=0,0,RANK(Z332,Z:Z)+COUNTIF($Z$3:$Z332,Z332)-1)</f>
        <v>0</v>
      </c>
      <c r="AB332" s="1211">
        <f t="shared" ca="1" si="80"/>
        <v>0</v>
      </c>
      <c r="AC332" s="136">
        <f ca="1">IF(AB332&lt;=0,0,RANK(AB332,AB:AB)+COUNTIF($AB$3:$AB332,AB332)-1)</f>
        <v>0</v>
      </c>
      <c r="AD332" s="136">
        <f t="shared" si="81"/>
        <v>99999</v>
      </c>
      <c r="AE332" s="136">
        <f>IF(AD332=99999,0,RANK(AD332,AD:AD,1)+COUNTIF($AD$3:$AD332,AD332)-1)</f>
        <v>0</v>
      </c>
    </row>
    <row r="333" spans="1:31">
      <c r="A333" s="141">
        <f>'銀行-TSS'!A333</f>
        <v>0</v>
      </c>
      <c r="B333" s="151">
        <f ca="1">VLOOKUP(A333,'銀行-TSS'!A:B,2,FALSE)</f>
        <v>0</v>
      </c>
      <c r="C333" s="151" t="e">
        <f ca="1">VLOOKUP(B333,bond!B:C,2,FALSE)</f>
        <v>#N/A</v>
      </c>
      <c r="D333" s="95" t="e">
        <f>VLOOKUP(A333,'銀行-TSS'!A:C,3,FALSE)</f>
        <v>#N/A</v>
      </c>
      <c r="E333" s="90" t="e">
        <f ca="1">VLOOKUP(A333,'銀行-TSS'!A:G,7,FALSE)</f>
        <v>#N/A</v>
      </c>
      <c r="F333" s="202" t="e">
        <f ca="1">VLOOKUP(A333,'銀行-TSS'!A:H,8,FALSE)</f>
        <v>#N/A</v>
      </c>
      <c r="G333" s="96" t="e">
        <f ca="1">VLOOKUP(A333,'銀行-TSS'!A:K,11,FALSE)</f>
        <v>#N/A</v>
      </c>
      <c r="H333" s="1209" t="e">
        <f ca="1">VLOOKUP(A333,'銀行-TSS'!A:M,13,FALSE)</f>
        <v>#N/A</v>
      </c>
      <c r="I333" s="1213" t="e">
        <f ca="1">VLOOKUP(A333,'銀行-TSS'!A:N,14,FALSE)</f>
        <v>#N/A</v>
      </c>
      <c r="J333" s="1213" t="e">
        <f ca="1">VLOOKUP(A333,'銀行-TSS'!A:O,15,FALSE)</f>
        <v>#N/A</v>
      </c>
      <c r="K333" s="136" t="e">
        <f ca="1">VLOOKUP(A333,'銀行-TSS'!A:V,22,FALSE)</f>
        <v>#N/A</v>
      </c>
      <c r="L333" s="136" t="e">
        <f ca="1">VLOOKUP(A333,'銀行-TSS'!A:AK,37,FALSE)</f>
        <v>#N/A</v>
      </c>
      <c r="M333" s="136" t="str">
        <f ca="1">VLOOKUP(A333,'銀行-TSS'!A:AN,40,FALSE)</f>
        <v/>
      </c>
      <c r="N333" s="1211" t="e">
        <f t="shared" ca="1" si="71"/>
        <v>#N/A</v>
      </c>
      <c r="O333" s="1211" t="e">
        <f t="shared" ca="1" si="72"/>
        <v>#N/A</v>
      </c>
      <c r="P333" s="1213" t="e">
        <f ca="1">IF(AND(換券投組!$D$17&gt;=O333,換券投組!$D$13=D333),I333+INT((換券投組!$D$17-O333)/N333)*J333,0)</f>
        <v>#N/A</v>
      </c>
      <c r="Q333" s="1211" t="e">
        <f t="shared" ca="1" si="73"/>
        <v>#N/A</v>
      </c>
      <c r="R333" s="1213">
        <f t="shared" si="74"/>
        <v>0</v>
      </c>
      <c r="S333" s="1213">
        <f t="shared" si="75"/>
        <v>0</v>
      </c>
      <c r="T333" s="136">
        <f t="shared" si="77"/>
        <v>0</v>
      </c>
      <c r="U333" s="861">
        <f t="shared" si="78"/>
        <v>0</v>
      </c>
      <c r="V333" s="136" t="e">
        <f ca="1">IF(OR(D333&lt;&gt;"USD",L333="無",M333&lt;&gt;"",K333="高資產",IFERROR(MATCH(B333,換券投組!K:K,0),"N")&lt;&gt;"N",IFERROR(MATCH(B333,換券投組!J:J,0),"N")&lt;&gt;"N"),FALSE,IF($V$1="All",TRUE,IF(K333=$V$1,TRUE,FALSE)))</f>
        <v>#N/A</v>
      </c>
      <c r="W333" s="136" t="e">
        <f ca="1">VLOOKUP(A333,'銀行-TSS'!A:AO,41,FALSE)</f>
        <v>#N/A</v>
      </c>
      <c r="X333" s="136" t="e">
        <f ca="1">VLOOKUP(A333,'銀行-TSS'!A:AP,42,FALSE)</f>
        <v>#N/A</v>
      </c>
      <c r="Y333" s="1223">
        <f t="shared" si="76"/>
        <v>0</v>
      </c>
      <c r="Z333" s="1211">
        <f t="shared" si="79"/>
        <v>0</v>
      </c>
      <c r="AA333" s="136">
        <f>IF(Z333&lt;=0,0,RANK(Z333,Z:Z)+COUNTIF($Z$3:$Z333,Z333)-1)</f>
        <v>0</v>
      </c>
      <c r="AB333" s="1211">
        <f t="shared" ca="1" si="80"/>
        <v>0</v>
      </c>
      <c r="AC333" s="136">
        <f ca="1">IF(AB333&lt;=0,0,RANK(AB333,AB:AB)+COUNTIF($AB$3:$AB333,AB333)-1)</f>
        <v>0</v>
      </c>
      <c r="AD333" s="136">
        <f t="shared" si="81"/>
        <v>99999</v>
      </c>
      <c r="AE333" s="136">
        <f>IF(AD333=99999,0,RANK(AD333,AD:AD,1)+COUNTIF($AD$3:$AD333,AD333)-1)</f>
        <v>0</v>
      </c>
    </row>
    <row r="334" spans="1:31">
      <c r="A334" s="141">
        <f>'銀行-TSS'!A334</f>
        <v>0</v>
      </c>
      <c r="B334" s="151">
        <f ca="1">VLOOKUP(A334,'銀行-TSS'!A:B,2,FALSE)</f>
        <v>0</v>
      </c>
      <c r="C334" s="151" t="e">
        <f ca="1">VLOOKUP(B334,bond!B:C,2,FALSE)</f>
        <v>#N/A</v>
      </c>
      <c r="D334" s="95" t="e">
        <f>VLOOKUP(A334,'銀行-TSS'!A:C,3,FALSE)</f>
        <v>#N/A</v>
      </c>
      <c r="E334" s="90" t="e">
        <f ca="1">VLOOKUP(A334,'銀行-TSS'!A:G,7,FALSE)</f>
        <v>#N/A</v>
      </c>
      <c r="F334" s="202" t="e">
        <f ca="1">VLOOKUP(A334,'銀行-TSS'!A:H,8,FALSE)</f>
        <v>#N/A</v>
      </c>
      <c r="G334" s="96" t="e">
        <f ca="1">VLOOKUP(A334,'銀行-TSS'!A:K,11,FALSE)</f>
        <v>#N/A</v>
      </c>
      <c r="H334" s="1209" t="e">
        <f ca="1">VLOOKUP(A334,'銀行-TSS'!A:M,13,FALSE)</f>
        <v>#N/A</v>
      </c>
      <c r="I334" s="1213" t="e">
        <f ca="1">VLOOKUP(A334,'銀行-TSS'!A:N,14,FALSE)</f>
        <v>#N/A</v>
      </c>
      <c r="J334" s="1213" t="e">
        <f ca="1">VLOOKUP(A334,'銀行-TSS'!A:O,15,FALSE)</f>
        <v>#N/A</v>
      </c>
      <c r="K334" s="136" t="e">
        <f ca="1">VLOOKUP(A334,'銀行-TSS'!A:V,22,FALSE)</f>
        <v>#N/A</v>
      </c>
      <c r="L334" s="136" t="e">
        <f ca="1">VLOOKUP(A334,'銀行-TSS'!A:AK,37,FALSE)</f>
        <v>#N/A</v>
      </c>
      <c r="M334" s="136" t="str">
        <f ca="1">VLOOKUP(A334,'銀行-TSS'!A:AN,40,FALSE)</f>
        <v/>
      </c>
      <c r="N334" s="1211" t="e">
        <f t="shared" ca="1" si="71"/>
        <v>#N/A</v>
      </c>
      <c r="O334" s="1211" t="e">
        <f t="shared" ca="1" si="72"/>
        <v>#N/A</v>
      </c>
      <c r="P334" s="1213" t="e">
        <f ca="1">IF(AND(換券投組!$D$17&gt;=O334,換券投組!$D$13=D334),I334+INT((換券投組!$D$17-O334)/N334)*J334,0)</f>
        <v>#N/A</v>
      </c>
      <c r="Q334" s="1211" t="e">
        <f t="shared" ca="1" si="73"/>
        <v>#N/A</v>
      </c>
      <c r="R334" s="1213">
        <f t="shared" si="74"/>
        <v>0</v>
      </c>
      <c r="S334" s="1213">
        <f t="shared" si="75"/>
        <v>0</v>
      </c>
      <c r="T334" s="136">
        <f t="shared" si="77"/>
        <v>0</v>
      </c>
      <c r="U334" s="861">
        <f t="shared" si="78"/>
        <v>0</v>
      </c>
      <c r="V334" s="136" t="e">
        <f ca="1">IF(OR(D334&lt;&gt;"USD",L334="無",M334&lt;&gt;"",K334="高資產",IFERROR(MATCH(B334,換券投組!K:K,0),"N")&lt;&gt;"N",IFERROR(MATCH(B334,換券投組!J:J,0),"N")&lt;&gt;"N"),FALSE,IF($V$1="All",TRUE,IF(K334=$V$1,TRUE,FALSE)))</f>
        <v>#N/A</v>
      </c>
      <c r="W334" s="136" t="e">
        <f ca="1">VLOOKUP(A334,'銀行-TSS'!A:AO,41,FALSE)</f>
        <v>#N/A</v>
      </c>
      <c r="X334" s="136" t="e">
        <f ca="1">VLOOKUP(A334,'銀行-TSS'!A:AP,42,FALSE)</f>
        <v>#N/A</v>
      </c>
      <c r="Y334" s="1223">
        <f t="shared" si="76"/>
        <v>0</v>
      </c>
      <c r="Z334" s="1211">
        <f t="shared" si="79"/>
        <v>0</v>
      </c>
      <c r="AA334" s="136">
        <f>IF(Z334&lt;=0,0,RANK(Z334,Z:Z)+COUNTIF($Z$3:$Z334,Z334)-1)</f>
        <v>0</v>
      </c>
      <c r="AB334" s="1211">
        <f t="shared" ca="1" si="80"/>
        <v>0</v>
      </c>
      <c r="AC334" s="136">
        <f ca="1">IF(AB334&lt;=0,0,RANK(AB334,AB:AB)+COUNTIF($AB$3:$AB334,AB334)-1)</f>
        <v>0</v>
      </c>
      <c r="AD334" s="136">
        <f t="shared" si="81"/>
        <v>99999</v>
      </c>
      <c r="AE334" s="136">
        <f>IF(AD334=99999,0,RANK(AD334,AD:AD,1)+COUNTIF($AD$3:$AD334,AD334)-1)</f>
        <v>0</v>
      </c>
    </row>
    <row r="335" spans="1:31">
      <c r="A335" s="141">
        <f>'銀行-TSS'!A335</f>
        <v>0</v>
      </c>
      <c r="B335" s="151">
        <f ca="1">VLOOKUP(A335,'銀行-TSS'!A:B,2,FALSE)</f>
        <v>0</v>
      </c>
      <c r="C335" s="151" t="e">
        <f ca="1">VLOOKUP(B335,bond!B:C,2,FALSE)</f>
        <v>#N/A</v>
      </c>
      <c r="D335" s="95" t="e">
        <f>VLOOKUP(A335,'銀行-TSS'!A:C,3,FALSE)</f>
        <v>#N/A</v>
      </c>
      <c r="E335" s="90" t="e">
        <f ca="1">VLOOKUP(A335,'銀行-TSS'!A:G,7,FALSE)</f>
        <v>#N/A</v>
      </c>
      <c r="F335" s="202" t="e">
        <f ca="1">VLOOKUP(A335,'銀行-TSS'!A:H,8,FALSE)</f>
        <v>#N/A</v>
      </c>
      <c r="G335" s="96" t="e">
        <f ca="1">VLOOKUP(A335,'銀行-TSS'!A:K,11,FALSE)</f>
        <v>#N/A</v>
      </c>
      <c r="H335" s="1209" t="e">
        <f ca="1">VLOOKUP(A335,'銀行-TSS'!A:M,13,FALSE)</f>
        <v>#N/A</v>
      </c>
      <c r="I335" s="1213" t="e">
        <f ca="1">VLOOKUP(A335,'銀行-TSS'!A:N,14,FALSE)</f>
        <v>#N/A</v>
      </c>
      <c r="J335" s="1213" t="e">
        <f ca="1">VLOOKUP(A335,'銀行-TSS'!A:O,15,FALSE)</f>
        <v>#N/A</v>
      </c>
      <c r="K335" s="136" t="e">
        <f ca="1">VLOOKUP(A335,'銀行-TSS'!A:V,22,FALSE)</f>
        <v>#N/A</v>
      </c>
      <c r="L335" s="136" t="e">
        <f ca="1">VLOOKUP(A335,'銀行-TSS'!A:AK,37,FALSE)</f>
        <v>#N/A</v>
      </c>
      <c r="M335" s="136" t="str">
        <f ca="1">VLOOKUP(A335,'銀行-TSS'!A:AN,40,FALSE)</f>
        <v/>
      </c>
      <c r="N335" s="1211" t="e">
        <f t="shared" ca="1" si="71"/>
        <v>#N/A</v>
      </c>
      <c r="O335" s="1211" t="e">
        <f t="shared" ca="1" si="72"/>
        <v>#N/A</v>
      </c>
      <c r="P335" s="1213" t="e">
        <f ca="1">IF(AND(換券投組!$D$17&gt;=O335,換券投組!$D$13=D335),I335+INT((換券投組!$D$17-O335)/N335)*J335,0)</f>
        <v>#N/A</v>
      </c>
      <c r="Q335" s="1211" t="e">
        <f t="shared" ca="1" si="73"/>
        <v>#N/A</v>
      </c>
      <c r="R335" s="1213">
        <f t="shared" si="74"/>
        <v>0</v>
      </c>
      <c r="S335" s="1213">
        <f t="shared" si="75"/>
        <v>0</v>
      </c>
      <c r="T335" s="136">
        <f t="shared" si="77"/>
        <v>0</v>
      </c>
      <c r="U335" s="861">
        <f t="shared" si="78"/>
        <v>0</v>
      </c>
      <c r="V335" s="136" t="e">
        <f ca="1">IF(OR(D335&lt;&gt;"USD",L335="無",M335&lt;&gt;"",K335="高資產",IFERROR(MATCH(B335,換券投組!K:K,0),"N")&lt;&gt;"N",IFERROR(MATCH(B335,換券投組!J:J,0),"N")&lt;&gt;"N"),FALSE,IF($V$1="All",TRUE,IF(K335=$V$1,TRUE,FALSE)))</f>
        <v>#N/A</v>
      </c>
      <c r="W335" s="136" t="e">
        <f ca="1">VLOOKUP(A335,'銀行-TSS'!A:AO,41,FALSE)</f>
        <v>#N/A</v>
      </c>
      <c r="X335" s="136" t="e">
        <f ca="1">VLOOKUP(A335,'銀行-TSS'!A:AP,42,FALSE)</f>
        <v>#N/A</v>
      </c>
      <c r="Y335" s="1223">
        <f t="shared" si="76"/>
        <v>0</v>
      </c>
      <c r="Z335" s="1211">
        <f t="shared" si="79"/>
        <v>0</v>
      </c>
      <c r="AA335" s="136">
        <f>IF(Z335&lt;=0,0,RANK(Z335,Z:Z)+COUNTIF($Z$3:$Z335,Z335)-1)</f>
        <v>0</v>
      </c>
      <c r="AB335" s="1211">
        <f t="shared" ca="1" si="80"/>
        <v>0</v>
      </c>
      <c r="AC335" s="136">
        <f ca="1">IF(AB335&lt;=0,0,RANK(AB335,AB:AB)+COUNTIF($AB$3:$AB335,AB335)-1)</f>
        <v>0</v>
      </c>
      <c r="AD335" s="136">
        <f t="shared" si="81"/>
        <v>99999</v>
      </c>
      <c r="AE335" s="136">
        <f>IF(AD335=99999,0,RANK(AD335,AD:AD,1)+COUNTIF($AD$3:$AD335,AD335)-1)</f>
        <v>0</v>
      </c>
    </row>
    <row r="336" spans="1:31">
      <c r="A336" s="141">
        <f>'銀行-TSS'!A336</f>
        <v>0</v>
      </c>
      <c r="B336" s="151">
        <f ca="1">VLOOKUP(A336,'銀行-TSS'!A:B,2,FALSE)</f>
        <v>0</v>
      </c>
      <c r="C336" s="151" t="e">
        <f ca="1">VLOOKUP(B336,bond!B:C,2,FALSE)</f>
        <v>#N/A</v>
      </c>
      <c r="D336" s="95" t="e">
        <f>VLOOKUP(A336,'銀行-TSS'!A:C,3,FALSE)</f>
        <v>#N/A</v>
      </c>
      <c r="E336" s="90" t="e">
        <f ca="1">VLOOKUP(A336,'銀行-TSS'!A:G,7,FALSE)</f>
        <v>#N/A</v>
      </c>
      <c r="F336" s="202" t="e">
        <f ca="1">VLOOKUP(A336,'銀行-TSS'!A:H,8,FALSE)</f>
        <v>#N/A</v>
      </c>
      <c r="G336" s="96" t="e">
        <f ca="1">VLOOKUP(A336,'銀行-TSS'!A:K,11,FALSE)</f>
        <v>#N/A</v>
      </c>
      <c r="H336" s="1209" t="e">
        <f ca="1">VLOOKUP(A336,'銀行-TSS'!A:M,13,FALSE)</f>
        <v>#N/A</v>
      </c>
      <c r="I336" s="1213" t="e">
        <f ca="1">VLOOKUP(A336,'銀行-TSS'!A:N,14,FALSE)</f>
        <v>#N/A</v>
      </c>
      <c r="J336" s="1213" t="e">
        <f ca="1">VLOOKUP(A336,'銀行-TSS'!A:O,15,FALSE)</f>
        <v>#N/A</v>
      </c>
      <c r="K336" s="136" t="e">
        <f ca="1">VLOOKUP(A336,'銀行-TSS'!A:V,22,FALSE)</f>
        <v>#N/A</v>
      </c>
      <c r="L336" s="136" t="e">
        <f ca="1">VLOOKUP(A336,'銀行-TSS'!A:AK,37,FALSE)</f>
        <v>#N/A</v>
      </c>
      <c r="M336" s="136" t="str">
        <f ca="1">VLOOKUP(A336,'銀行-TSS'!A:AN,40,FALSE)</f>
        <v/>
      </c>
      <c r="N336" s="1211" t="e">
        <f t="shared" ca="1" si="71"/>
        <v>#N/A</v>
      </c>
      <c r="O336" s="1211" t="e">
        <f t="shared" ca="1" si="72"/>
        <v>#N/A</v>
      </c>
      <c r="P336" s="1213" t="e">
        <f ca="1">IF(AND(換券投組!$D$17&gt;=O336,換券投組!$D$13=D336),I336+INT((換券投組!$D$17-O336)/N336)*J336,0)</f>
        <v>#N/A</v>
      </c>
      <c r="Q336" s="1211" t="e">
        <f t="shared" ca="1" si="73"/>
        <v>#N/A</v>
      </c>
      <c r="R336" s="1213">
        <f t="shared" si="74"/>
        <v>0</v>
      </c>
      <c r="S336" s="1213">
        <f t="shared" si="75"/>
        <v>0</v>
      </c>
      <c r="T336" s="136">
        <f t="shared" si="77"/>
        <v>0</v>
      </c>
      <c r="U336" s="861">
        <f t="shared" si="78"/>
        <v>0</v>
      </c>
      <c r="V336" s="136" t="e">
        <f ca="1">IF(OR(D336&lt;&gt;"USD",L336="無",M336&lt;&gt;"",K336="高資產",IFERROR(MATCH(B336,換券投組!K:K,0),"N")&lt;&gt;"N",IFERROR(MATCH(B336,換券投組!J:J,0),"N")&lt;&gt;"N"),FALSE,IF($V$1="All",TRUE,IF(K336=$V$1,TRUE,FALSE)))</f>
        <v>#N/A</v>
      </c>
      <c r="W336" s="136" t="e">
        <f ca="1">VLOOKUP(A336,'銀行-TSS'!A:AO,41,FALSE)</f>
        <v>#N/A</v>
      </c>
      <c r="X336" s="136" t="e">
        <f ca="1">VLOOKUP(A336,'銀行-TSS'!A:AP,42,FALSE)</f>
        <v>#N/A</v>
      </c>
      <c r="Y336" s="1223">
        <f t="shared" si="76"/>
        <v>0</v>
      </c>
      <c r="Z336" s="1211">
        <f t="shared" si="79"/>
        <v>0</v>
      </c>
      <c r="AA336" s="136">
        <f>IF(Z336&lt;=0,0,RANK(Z336,Z:Z)+COUNTIF($Z$3:$Z336,Z336)-1)</f>
        <v>0</v>
      </c>
      <c r="AB336" s="1211">
        <f t="shared" ca="1" si="80"/>
        <v>0</v>
      </c>
      <c r="AC336" s="136">
        <f ca="1">IF(AB336&lt;=0,0,RANK(AB336,AB:AB)+COUNTIF($AB$3:$AB336,AB336)-1)</f>
        <v>0</v>
      </c>
      <c r="AD336" s="136">
        <f t="shared" si="81"/>
        <v>99999</v>
      </c>
      <c r="AE336" s="136">
        <f>IF(AD336=99999,0,RANK(AD336,AD:AD,1)+COUNTIF($AD$3:$AD336,AD336)-1)</f>
        <v>0</v>
      </c>
    </row>
    <row r="337" spans="1:31">
      <c r="A337" s="141">
        <f>'銀行-TSS'!A337</f>
        <v>0</v>
      </c>
      <c r="B337" s="151">
        <f ca="1">VLOOKUP(A337,'銀行-TSS'!A:B,2,FALSE)</f>
        <v>0</v>
      </c>
      <c r="C337" s="151" t="e">
        <f ca="1">VLOOKUP(B337,bond!B:C,2,FALSE)</f>
        <v>#N/A</v>
      </c>
      <c r="D337" s="95" t="e">
        <f>VLOOKUP(A337,'銀行-TSS'!A:C,3,FALSE)</f>
        <v>#N/A</v>
      </c>
      <c r="E337" s="90" t="e">
        <f ca="1">VLOOKUP(A337,'銀行-TSS'!A:G,7,FALSE)</f>
        <v>#N/A</v>
      </c>
      <c r="F337" s="202" t="e">
        <f ca="1">VLOOKUP(A337,'銀行-TSS'!A:H,8,FALSE)</f>
        <v>#N/A</v>
      </c>
      <c r="G337" s="96" t="e">
        <f ca="1">VLOOKUP(A337,'銀行-TSS'!A:K,11,FALSE)</f>
        <v>#N/A</v>
      </c>
      <c r="H337" s="1209" t="e">
        <f ca="1">VLOOKUP(A337,'銀行-TSS'!A:M,13,FALSE)</f>
        <v>#N/A</v>
      </c>
      <c r="I337" s="1213" t="e">
        <f ca="1">VLOOKUP(A337,'銀行-TSS'!A:N,14,FALSE)</f>
        <v>#N/A</v>
      </c>
      <c r="J337" s="1213" t="e">
        <f ca="1">VLOOKUP(A337,'銀行-TSS'!A:O,15,FALSE)</f>
        <v>#N/A</v>
      </c>
      <c r="K337" s="136" t="e">
        <f ca="1">VLOOKUP(A337,'銀行-TSS'!A:V,22,FALSE)</f>
        <v>#N/A</v>
      </c>
      <c r="L337" s="136" t="e">
        <f ca="1">VLOOKUP(A337,'銀行-TSS'!A:AK,37,FALSE)</f>
        <v>#N/A</v>
      </c>
      <c r="M337" s="136" t="str">
        <f ca="1">VLOOKUP(A337,'銀行-TSS'!A:AN,40,FALSE)</f>
        <v/>
      </c>
      <c r="N337" s="1211" t="e">
        <f t="shared" ca="1" si="71"/>
        <v>#N/A</v>
      </c>
      <c r="O337" s="1211" t="e">
        <f t="shared" ca="1" si="72"/>
        <v>#N/A</v>
      </c>
      <c r="P337" s="1213" t="e">
        <f ca="1">IF(AND(換券投組!$D$17&gt;=O337,換券投組!$D$13=D337),I337+INT((換券投組!$D$17-O337)/N337)*J337,0)</f>
        <v>#N/A</v>
      </c>
      <c r="Q337" s="1211" t="e">
        <f t="shared" ca="1" si="73"/>
        <v>#N/A</v>
      </c>
      <c r="R337" s="1213">
        <f t="shared" si="74"/>
        <v>0</v>
      </c>
      <c r="S337" s="1213">
        <f t="shared" si="75"/>
        <v>0</v>
      </c>
      <c r="T337" s="136">
        <f t="shared" si="77"/>
        <v>0</v>
      </c>
      <c r="U337" s="861">
        <f t="shared" si="78"/>
        <v>0</v>
      </c>
      <c r="V337" s="136" t="e">
        <f ca="1">IF(OR(D337&lt;&gt;"USD",L337="無",M337&lt;&gt;"",K337="高資產",IFERROR(MATCH(B337,換券投組!K:K,0),"N")&lt;&gt;"N",IFERROR(MATCH(B337,換券投組!J:J,0),"N")&lt;&gt;"N"),FALSE,IF($V$1="All",TRUE,IF(K337=$V$1,TRUE,FALSE)))</f>
        <v>#N/A</v>
      </c>
      <c r="W337" s="136" t="e">
        <f ca="1">VLOOKUP(A337,'銀行-TSS'!A:AO,41,FALSE)</f>
        <v>#N/A</v>
      </c>
      <c r="X337" s="136" t="e">
        <f ca="1">VLOOKUP(A337,'銀行-TSS'!A:AP,42,FALSE)</f>
        <v>#N/A</v>
      </c>
      <c r="Y337" s="1223">
        <f t="shared" si="76"/>
        <v>0</v>
      </c>
      <c r="Z337" s="1211">
        <f t="shared" si="79"/>
        <v>0</v>
      </c>
      <c r="AA337" s="136">
        <f>IF(Z337&lt;=0,0,RANK(Z337,Z:Z)+COUNTIF($Z$3:$Z337,Z337)-1)</f>
        <v>0</v>
      </c>
      <c r="AB337" s="1211">
        <f t="shared" ca="1" si="80"/>
        <v>0</v>
      </c>
      <c r="AC337" s="136">
        <f ca="1">IF(AB337&lt;=0,0,RANK(AB337,AB:AB)+COUNTIF($AB$3:$AB337,AB337)-1)</f>
        <v>0</v>
      </c>
      <c r="AD337" s="136">
        <f t="shared" si="81"/>
        <v>99999</v>
      </c>
      <c r="AE337" s="136">
        <f>IF(AD337=99999,0,RANK(AD337,AD:AD,1)+COUNTIF($AD$3:$AD337,AD337)-1)</f>
        <v>0</v>
      </c>
    </row>
    <row r="338" spans="1:31">
      <c r="A338" s="141">
        <f>'銀行-TSS'!A338</f>
        <v>0</v>
      </c>
      <c r="B338" s="151">
        <f ca="1">VLOOKUP(A338,'銀行-TSS'!A:B,2,FALSE)</f>
        <v>0</v>
      </c>
      <c r="C338" s="151" t="e">
        <f ca="1">VLOOKUP(B338,bond!B:C,2,FALSE)</f>
        <v>#N/A</v>
      </c>
      <c r="D338" s="95" t="e">
        <f>VLOOKUP(A338,'銀行-TSS'!A:C,3,FALSE)</f>
        <v>#N/A</v>
      </c>
      <c r="E338" s="90" t="e">
        <f ca="1">VLOOKUP(A338,'銀行-TSS'!A:G,7,FALSE)</f>
        <v>#N/A</v>
      </c>
      <c r="F338" s="202" t="e">
        <f ca="1">VLOOKUP(A338,'銀行-TSS'!A:H,8,FALSE)</f>
        <v>#N/A</v>
      </c>
      <c r="G338" s="96" t="e">
        <f ca="1">VLOOKUP(A338,'銀行-TSS'!A:K,11,FALSE)</f>
        <v>#N/A</v>
      </c>
      <c r="H338" s="1209" t="e">
        <f ca="1">VLOOKUP(A338,'銀行-TSS'!A:M,13,FALSE)</f>
        <v>#N/A</v>
      </c>
      <c r="I338" s="1213" t="e">
        <f ca="1">VLOOKUP(A338,'銀行-TSS'!A:N,14,FALSE)</f>
        <v>#N/A</v>
      </c>
      <c r="J338" s="1213" t="e">
        <f ca="1">VLOOKUP(A338,'銀行-TSS'!A:O,15,FALSE)</f>
        <v>#N/A</v>
      </c>
      <c r="K338" s="136" t="e">
        <f ca="1">VLOOKUP(A338,'銀行-TSS'!A:V,22,FALSE)</f>
        <v>#N/A</v>
      </c>
      <c r="L338" s="136" t="e">
        <f ca="1">VLOOKUP(A338,'銀行-TSS'!A:AK,37,FALSE)</f>
        <v>#N/A</v>
      </c>
      <c r="M338" s="136" t="str">
        <f ca="1">VLOOKUP(A338,'銀行-TSS'!A:AN,40,FALSE)</f>
        <v/>
      </c>
      <c r="N338" s="1211" t="e">
        <f t="shared" ca="1" si="71"/>
        <v>#N/A</v>
      </c>
      <c r="O338" s="1211" t="e">
        <f t="shared" ca="1" si="72"/>
        <v>#N/A</v>
      </c>
      <c r="P338" s="1213" t="e">
        <f ca="1">IF(AND(換券投組!$D$17&gt;=O338,換券投組!$D$13=D338),I338+INT((換券投組!$D$17-O338)/N338)*J338,0)</f>
        <v>#N/A</v>
      </c>
      <c r="Q338" s="1211" t="e">
        <f t="shared" ca="1" si="73"/>
        <v>#N/A</v>
      </c>
      <c r="R338" s="1213">
        <f t="shared" si="74"/>
        <v>0</v>
      </c>
      <c r="S338" s="1213">
        <f t="shared" si="75"/>
        <v>0</v>
      </c>
      <c r="T338" s="136">
        <f t="shared" si="77"/>
        <v>0</v>
      </c>
      <c r="U338" s="861">
        <f t="shared" si="78"/>
        <v>0</v>
      </c>
      <c r="V338" s="136" t="e">
        <f ca="1">IF(OR(D338&lt;&gt;"USD",L338="無",M338&lt;&gt;"",K338="高資產",IFERROR(MATCH(B338,換券投組!K:K,0),"N")&lt;&gt;"N",IFERROR(MATCH(B338,換券投組!J:J,0),"N")&lt;&gt;"N"),FALSE,IF($V$1="All",TRUE,IF(K338=$V$1,TRUE,FALSE)))</f>
        <v>#N/A</v>
      </c>
      <c r="W338" s="136" t="e">
        <f ca="1">VLOOKUP(A338,'銀行-TSS'!A:AO,41,FALSE)</f>
        <v>#N/A</v>
      </c>
      <c r="X338" s="136" t="e">
        <f ca="1">VLOOKUP(A338,'銀行-TSS'!A:AP,42,FALSE)</f>
        <v>#N/A</v>
      </c>
      <c r="Y338" s="1223">
        <f t="shared" si="76"/>
        <v>0</v>
      </c>
      <c r="Z338" s="1211">
        <f t="shared" si="79"/>
        <v>0</v>
      </c>
      <c r="AA338" s="136">
        <f>IF(Z338&lt;=0,0,RANK(Z338,Z:Z)+COUNTIF($Z$3:$Z338,Z338)-1)</f>
        <v>0</v>
      </c>
      <c r="AB338" s="1211">
        <f t="shared" ca="1" si="80"/>
        <v>0</v>
      </c>
      <c r="AC338" s="136">
        <f ca="1">IF(AB338&lt;=0,0,RANK(AB338,AB:AB)+COUNTIF($AB$3:$AB338,AB338)-1)</f>
        <v>0</v>
      </c>
      <c r="AD338" s="136">
        <f t="shared" si="81"/>
        <v>99999</v>
      </c>
      <c r="AE338" s="136">
        <f>IF(AD338=99999,0,RANK(AD338,AD:AD,1)+COUNTIF($AD$3:$AD338,AD338)-1)</f>
        <v>0</v>
      </c>
    </row>
    <row r="339" spans="1:31">
      <c r="A339" s="141">
        <f>'銀行-TSS'!A339</f>
        <v>0</v>
      </c>
      <c r="B339" s="151">
        <f ca="1">VLOOKUP(A339,'銀行-TSS'!A:B,2,FALSE)</f>
        <v>0</v>
      </c>
      <c r="C339" s="151" t="e">
        <f ca="1">VLOOKUP(B339,bond!B:C,2,FALSE)</f>
        <v>#N/A</v>
      </c>
      <c r="D339" s="95" t="e">
        <f>VLOOKUP(A339,'銀行-TSS'!A:C,3,FALSE)</f>
        <v>#N/A</v>
      </c>
      <c r="E339" s="90" t="e">
        <f ca="1">VLOOKUP(A339,'銀行-TSS'!A:G,7,FALSE)</f>
        <v>#N/A</v>
      </c>
      <c r="F339" s="202" t="e">
        <f ca="1">VLOOKUP(A339,'銀行-TSS'!A:H,8,FALSE)</f>
        <v>#N/A</v>
      </c>
      <c r="G339" s="96" t="e">
        <f ca="1">VLOOKUP(A339,'銀行-TSS'!A:K,11,FALSE)</f>
        <v>#N/A</v>
      </c>
      <c r="H339" s="1209" t="e">
        <f ca="1">VLOOKUP(A339,'銀行-TSS'!A:M,13,FALSE)</f>
        <v>#N/A</v>
      </c>
      <c r="I339" s="1213" t="e">
        <f ca="1">VLOOKUP(A339,'銀行-TSS'!A:N,14,FALSE)</f>
        <v>#N/A</v>
      </c>
      <c r="J339" s="1213" t="e">
        <f ca="1">VLOOKUP(A339,'銀行-TSS'!A:O,15,FALSE)</f>
        <v>#N/A</v>
      </c>
      <c r="K339" s="136" t="e">
        <f ca="1">VLOOKUP(A339,'銀行-TSS'!A:V,22,FALSE)</f>
        <v>#N/A</v>
      </c>
      <c r="L339" s="136" t="e">
        <f ca="1">VLOOKUP(A339,'銀行-TSS'!A:AK,37,FALSE)</f>
        <v>#N/A</v>
      </c>
      <c r="M339" s="136" t="str">
        <f ca="1">VLOOKUP(A339,'銀行-TSS'!A:AN,40,FALSE)</f>
        <v/>
      </c>
      <c r="N339" s="1211" t="e">
        <f t="shared" ca="1" si="71"/>
        <v>#N/A</v>
      </c>
      <c r="O339" s="1211" t="e">
        <f t="shared" ca="1" si="72"/>
        <v>#N/A</v>
      </c>
      <c r="P339" s="1213" t="e">
        <f ca="1">IF(AND(換券投組!$D$17&gt;=O339,換券投組!$D$13=D339),I339+INT((換券投組!$D$17-O339)/N339)*J339,0)</f>
        <v>#N/A</v>
      </c>
      <c r="Q339" s="1211" t="e">
        <f t="shared" ca="1" si="73"/>
        <v>#N/A</v>
      </c>
      <c r="R339" s="1213">
        <f t="shared" si="74"/>
        <v>0</v>
      </c>
      <c r="S339" s="1213">
        <f t="shared" si="75"/>
        <v>0</v>
      </c>
      <c r="T339" s="136">
        <f t="shared" si="77"/>
        <v>0</v>
      </c>
      <c r="U339" s="861">
        <f t="shared" si="78"/>
        <v>0</v>
      </c>
      <c r="V339" s="136" t="e">
        <f ca="1">IF(OR(D339&lt;&gt;"USD",L339="無",M339&lt;&gt;"",K339="高資產",IFERROR(MATCH(B339,換券投組!K:K,0),"N")&lt;&gt;"N",IFERROR(MATCH(B339,換券投組!J:J,0),"N")&lt;&gt;"N"),FALSE,IF($V$1="All",TRUE,IF(K339=$V$1,TRUE,FALSE)))</f>
        <v>#N/A</v>
      </c>
      <c r="W339" s="136" t="e">
        <f ca="1">VLOOKUP(A339,'銀行-TSS'!A:AO,41,FALSE)</f>
        <v>#N/A</v>
      </c>
      <c r="X339" s="136" t="e">
        <f ca="1">VLOOKUP(A339,'銀行-TSS'!A:AP,42,FALSE)</f>
        <v>#N/A</v>
      </c>
      <c r="Y339" s="1223">
        <f t="shared" si="76"/>
        <v>0</v>
      </c>
      <c r="Z339" s="1211">
        <f t="shared" si="79"/>
        <v>0</v>
      </c>
      <c r="AA339" s="136">
        <f>IF(Z339&lt;=0,0,RANK(Z339,Z:Z)+COUNTIF($Z$3:$Z339,Z339)-1)</f>
        <v>0</v>
      </c>
      <c r="AB339" s="1211">
        <f t="shared" ca="1" si="80"/>
        <v>0</v>
      </c>
      <c r="AC339" s="136">
        <f ca="1">IF(AB339&lt;=0,0,RANK(AB339,AB:AB)+COUNTIF($AB$3:$AB339,AB339)-1)</f>
        <v>0</v>
      </c>
      <c r="AD339" s="136">
        <f t="shared" si="81"/>
        <v>99999</v>
      </c>
      <c r="AE339" s="136">
        <f>IF(AD339=99999,0,RANK(AD339,AD:AD,1)+COUNTIF($AD$3:$AD339,AD339)-1)</f>
        <v>0</v>
      </c>
    </row>
    <row r="340" spans="1:31">
      <c r="A340" s="141">
        <f>'銀行-TSS'!A340</f>
        <v>0</v>
      </c>
      <c r="B340" s="151">
        <f ca="1">VLOOKUP(A340,'銀行-TSS'!A:B,2,FALSE)</f>
        <v>0</v>
      </c>
      <c r="C340" s="151" t="e">
        <f ca="1">VLOOKUP(B340,bond!B:C,2,FALSE)</f>
        <v>#N/A</v>
      </c>
      <c r="D340" s="95" t="e">
        <f>VLOOKUP(A340,'銀行-TSS'!A:C,3,FALSE)</f>
        <v>#N/A</v>
      </c>
      <c r="E340" s="90" t="e">
        <f ca="1">VLOOKUP(A340,'銀行-TSS'!A:G,7,FALSE)</f>
        <v>#N/A</v>
      </c>
      <c r="F340" s="202" t="e">
        <f ca="1">VLOOKUP(A340,'銀行-TSS'!A:H,8,FALSE)</f>
        <v>#N/A</v>
      </c>
      <c r="G340" s="96" t="e">
        <f ca="1">VLOOKUP(A340,'銀行-TSS'!A:K,11,FALSE)</f>
        <v>#N/A</v>
      </c>
      <c r="H340" s="1209" t="e">
        <f ca="1">VLOOKUP(A340,'銀行-TSS'!A:M,13,FALSE)</f>
        <v>#N/A</v>
      </c>
      <c r="I340" s="1213" t="e">
        <f ca="1">VLOOKUP(A340,'銀行-TSS'!A:N,14,FALSE)</f>
        <v>#N/A</v>
      </c>
      <c r="J340" s="1213" t="e">
        <f ca="1">VLOOKUP(A340,'銀行-TSS'!A:O,15,FALSE)</f>
        <v>#N/A</v>
      </c>
      <c r="K340" s="136" t="e">
        <f ca="1">VLOOKUP(A340,'銀行-TSS'!A:V,22,FALSE)</f>
        <v>#N/A</v>
      </c>
      <c r="L340" s="136" t="e">
        <f ca="1">VLOOKUP(A340,'銀行-TSS'!A:AK,37,FALSE)</f>
        <v>#N/A</v>
      </c>
      <c r="M340" s="136" t="str">
        <f ca="1">VLOOKUP(A340,'銀行-TSS'!A:AN,40,FALSE)</f>
        <v/>
      </c>
      <c r="N340" s="1211" t="e">
        <f t="shared" ca="1" si="71"/>
        <v>#N/A</v>
      </c>
      <c r="O340" s="1211" t="e">
        <f t="shared" ca="1" si="72"/>
        <v>#N/A</v>
      </c>
      <c r="P340" s="1213" t="e">
        <f ca="1">IF(AND(換券投組!$D$17&gt;=O340,換券投組!$D$13=D340),I340+INT((換券投組!$D$17-O340)/N340)*J340,0)</f>
        <v>#N/A</v>
      </c>
      <c r="Q340" s="1211" t="e">
        <f t="shared" ca="1" si="73"/>
        <v>#N/A</v>
      </c>
      <c r="R340" s="1213">
        <f t="shared" si="74"/>
        <v>0</v>
      </c>
      <c r="S340" s="1213">
        <f t="shared" si="75"/>
        <v>0</v>
      </c>
      <c r="T340" s="136">
        <f t="shared" si="77"/>
        <v>0</v>
      </c>
      <c r="U340" s="861">
        <f t="shared" si="78"/>
        <v>0</v>
      </c>
      <c r="V340" s="136" t="e">
        <f ca="1">IF(OR(D340&lt;&gt;"USD",L340="無",M340&lt;&gt;"",K340="高資產",IFERROR(MATCH(B340,換券投組!K:K,0),"N")&lt;&gt;"N",IFERROR(MATCH(B340,換券投組!J:J,0),"N")&lt;&gt;"N"),FALSE,IF($V$1="All",TRUE,IF(K340=$V$1,TRUE,FALSE)))</f>
        <v>#N/A</v>
      </c>
      <c r="W340" s="136" t="e">
        <f ca="1">VLOOKUP(A340,'銀行-TSS'!A:AO,41,FALSE)</f>
        <v>#N/A</v>
      </c>
      <c r="X340" s="136" t="e">
        <f ca="1">VLOOKUP(A340,'銀行-TSS'!A:AP,42,FALSE)</f>
        <v>#N/A</v>
      </c>
      <c r="Y340" s="1223">
        <f t="shared" si="76"/>
        <v>0</v>
      </c>
      <c r="Z340" s="1211">
        <f t="shared" si="79"/>
        <v>0</v>
      </c>
      <c r="AA340" s="136">
        <f>IF(Z340&lt;=0,0,RANK(Z340,Z:Z)+COUNTIF($Z$3:$Z340,Z340)-1)</f>
        <v>0</v>
      </c>
      <c r="AB340" s="1211">
        <f t="shared" ca="1" si="80"/>
        <v>0</v>
      </c>
      <c r="AC340" s="136">
        <f ca="1">IF(AB340&lt;=0,0,RANK(AB340,AB:AB)+COUNTIF($AB$3:$AB340,AB340)-1)</f>
        <v>0</v>
      </c>
      <c r="AD340" s="136">
        <f t="shared" si="81"/>
        <v>99999</v>
      </c>
      <c r="AE340" s="136">
        <f>IF(AD340=99999,0,RANK(AD340,AD:AD,1)+COUNTIF($AD$3:$AD340,AD340)-1)</f>
        <v>0</v>
      </c>
    </row>
    <row r="341" spans="1:31">
      <c r="A341" s="141">
        <f>'銀行-TSS'!A341</f>
        <v>0</v>
      </c>
      <c r="B341" s="151">
        <f ca="1">VLOOKUP(A341,'銀行-TSS'!A:B,2,FALSE)</f>
        <v>0</v>
      </c>
      <c r="C341" s="151" t="e">
        <f ca="1">VLOOKUP(B341,bond!B:C,2,FALSE)</f>
        <v>#N/A</v>
      </c>
      <c r="D341" s="95" t="e">
        <f>VLOOKUP(A341,'銀行-TSS'!A:C,3,FALSE)</f>
        <v>#N/A</v>
      </c>
      <c r="E341" s="90" t="e">
        <f ca="1">VLOOKUP(A341,'銀行-TSS'!A:G,7,FALSE)</f>
        <v>#N/A</v>
      </c>
      <c r="F341" s="202" t="e">
        <f ca="1">VLOOKUP(A341,'銀行-TSS'!A:H,8,FALSE)</f>
        <v>#N/A</v>
      </c>
      <c r="G341" s="96" t="e">
        <f ca="1">VLOOKUP(A341,'銀行-TSS'!A:K,11,FALSE)</f>
        <v>#N/A</v>
      </c>
      <c r="H341" s="1209" t="e">
        <f ca="1">VLOOKUP(A341,'銀行-TSS'!A:M,13,FALSE)</f>
        <v>#N/A</v>
      </c>
      <c r="I341" s="1213" t="e">
        <f ca="1">VLOOKUP(A341,'銀行-TSS'!A:N,14,FALSE)</f>
        <v>#N/A</v>
      </c>
      <c r="J341" s="1213" t="e">
        <f ca="1">VLOOKUP(A341,'銀行-TSS'!A:O,15,FALSE)</f>
        <v>#N/A</v>
      </c>
      <c r="K341" s="136" t="e">
        <f ca="1">VLOOKUP(A341,'銀行-TSS'!A:V,22,FALSE)</f>
        <v>#N/A</v>
      </c>
      <c r="L341" s="136" t="e">
        <f ca="1">VLOOKUP(A341,'銀行-TSS'!A:AK,37,FALSE)</f>
        <v>#N/A</v>
      </c>
      <c r="M341" s="136" t="str">
        <f ca="1">VLOOKUP(A341,'銀行-TSS'!A:AN,40,FALSE)</f>
        <v/>
      </c>
      <c r="N341" s="1211" t="e">
        <f t="shared" ca="1" si="71"/>
        <v>#N/A</v>
      </c>
      <c r="O341" s="1211" t="e">
        <f t="shared" ca="1" si="72"/>
        <v>#N/A</v>
      </c>
      <c r="P341" s="1213" t="e">
        <f ca="1">IF(AND(換券投組!$D$17&gt;=O341,換券投組!$D$13=D341),I341+INT((換券投組!$D$17-O341)/N341)*J341,0)</f>
        <v>#N/A</v>
      </c>
      <c r="Q341" s="1211" t="e">
        <f t="shared" ca="1" si="73"/>
        <v>#N/A</v>
      </c>
      <c r="R341" s="1213">
        <f t="shared" si="74"/>
        <v>0</v>
      </c>
      <c r="S341" s="1213">
        <f t="shared" si="75"/>
        <v>0</v>
      </c>
      <c r="T341" s="136">
        <f t="shared" si="77"/>
        <v>0</v>
      </c>
      <c r="U341" s="861">
        <f t="shared" si="78"/>
        <v>0</v>
      </c>
      <c r="V341" s="136" t="e">
        <f ca="1">IF(OR(D341&lt;&gt;"USD",L341="無",M341&lt;&gt;"",K341="高資產",IFERROR(MATCH(B341,換券投組!K:K,0),"N")&lt;&gt;"N",IFERROR(MATCH(B341,換券投組!J:J,0),"N")&lt;&gt;"N"),FALSE,IF($V$1="All",TRUE,IF(K341=$V$1,TRUE,FALSE)))</f>
        <v>#N/A</v>
      </c>
      <c r="W341" s="136" t="e">
        <f ca="1">VLOOKUP(A341,'銀行-TSS'!A:AO,41,FALSE)</f>
        <v>#N/A</v>
      </c>
      <c r="X341" s="136" t="e">
        <f ca="1">VLOOKUP(A341,'銀行-TSS'!A:AP,42,FALSE)</f>
        <v>#N/A</v>
      </c>
      <c r="Y341" s="1223">
        <f t="shared" si="76"/>
        <v>0</v>
      </c>
      <c r="Z341" s="1211">
        <f t="shared" si="79"/>
        <v>0</v>
      </c>
      <c r="AA341" s="136">
        <f>IF(Z341&lt;=0,0,RANK(Z341,Z:Z)+COUNTIF($Z$3:$Z341,Z341)-1)</f>
        <v>0</v>
      </c>
      <c r="AB341" s="1211">
        <f t="shared" ca="1" si="80"/>
        <v>0</v>
      </c>
      <c r="AC341" s="136">
        <f ca="1">IF(AB341&lt;=0,0,RANK(AB341,AB:AB)+COUNTIF($AB$3:$AB341,AB341)-1)</f>
        <v>0</v>
      </c>
      <c r="AD341" s="136">
        <f t="shared" si="81"/>
        <v>99999</v>
      </c>
      <c r="AE341" s="136">
        <f>IF(AD341=99999,0,RANK(AD341,AD:AD,1)+COUNTIF($AD$3:$AD341,AD341)-1)</f>
        <v>0</v>
      </c>
    </row>
    <row r="342" spans="1:31">
      <c r="A342" s="141">
        <f>'銀行-TSS'!A342</f>
        <v>0</v>
      </c>
      <c r="B342" s="151">
        <f ca="1">VLOOKUP(A342,'銀行-TSS'!A:B,2,FALSE)</f>
        <v>0</v>
      </c>
      <c r="C342" s="151" t="e">
        <f ca="1">VLOOKUP(B342,bond!B:C,2,FALSE)</f>
        <v>#N/A</v>
      </c>
      <c r="D342" s="95" t="e">
        <f>VLOOKUP(A342,'銀行-TSS'!A:C,3,FALSE)</f>
        <v>#N/A</v>
      </c>
      <c r="E342" s="90" t="e">
        <f ca="1">VLOOKUP(A342,'銀行-TSS'!A:G,7,FALSE)</f>
        <v>#N/A</v>
      </c>
      <c r="F342" s="202" t="e">
        <f ca="1">VLOOKUP(A342,'銀行-TSS'!A:H,8,FALSE)</f>
        <v>#N/A</v>
      </c>
      <c r="G342" s="96" t="e">
        <f ca="1">VLOOKUP(A342,'銀行-TSS'!A:K,11,FALSE)</f>
        <v>#N/A</v>
      </c>
      <c r="H342" s="1209" t="e">
        <f ca="1">VLOOKUP(A342,'銀行-TSS'!A:M,13,FALSE)</f>
        <v>#N/A</v>
      </c>
      <c r="I342" s="1213" t="e">
        <f ca="1">VLOOKUP(A342,'銀行-TSS'!A:N,14,FALSE)</f>
        <v>#N/A</v>
      </c>
      <c r="J342" s="1213" t="e">
        <f ca="1">VLOOKUP(A342,'銀行-TSS'!A:O,15,FALSE)</f>
        <v>#N/A</v>
      </c>
      <c r="K342" s="136" t="e">
        <f ca="1">VLOOKUP(A342,'銀行-TSS'!A:V,22,FALSE)</f>
        <v>#N/A</v>
      </c>
      <c r="L342" s="136" t="e">
        <f ca="1">VLOOKUP(A342,'銀行-TSS'!A:AK,37,FALSE)</f>
        <v>#N/A</v>
      </c>
      <c r="M342" s="136" t="str">
        <f ca="1">VLOOKUP(A342,'銀行-TSS'!A:AN,40,FALSE)</f>
        <v/>
      </c>
      <c r="N342" s="1211" t="e">
        <f t="shared" ca="1" si="71"/>
        <v>#N/A</v>
      </c>
      <c r="O342" s="1211" t="e">
        <f t="shared" ca="1" si="72"/>
        <v>#N/A</v>
      </c>
      <c r="P342" s="1213" t="e">
        <f ca="1">IF(AND(換券投組!$D$17&gt;=O342,換券投組!$D$13=D342),I342+INT((換券投組!$D$17-O342)/N342)*J342,0)</f>
        <v>#N/A</v>
      </c>
      <c r="Q342" s="1211" t="e">
        <f t="shared" ca="1" si="73"/>
        <v>#N/A</v>
      </c>
      <c r="R342" s="1213">
        <f t="shared" si="74"/>
        <v>0</v>
      </c>
      <c r="S342" s="1213">
        <f t="shared" si="75"/>
        <v>0</v>
      </c>
      <c r="T342" s="136">
        <f t="shared" si="77"/>
        <v>0</v>
      </c>
      <c r="U342" s="861">
        <f t="shared" si="78"/>
        <v>0</v>
      </c>
      <c r="V342" s="136" t="e">
        <f ca="1">IF(OR(D342&lt;&gt;"USD",L342="無",M342&lt;&gt;"",K342="高資產",IFERROR(MATCH(B342,換券投組!K:K,0),"N")&lt;&gt;"N",IFERROR(MATCH(B342,換券投組!J:J,0),"N")&lt;&gt;"N"),FALSE,IF($V$1="All",TRUE,IF(K342=$V$1,TRUE,FALSE)))</f>
        <v>#N/A</v>
      </c>
      <c r="W342" s="136" t="e">
        <f ca="1">VLOOKUP(A342,'銀行-TSS'!A:AO,41,FALSE)</f>
        <v>#N/A</v>
      </c>
      <c r="X342" s="136" t="e">
        <f ca="1">VLOOKUP(A342,'銀行-TSS'!A:AP,42,FALSE)</f>
        <v>#N/A</v>
      </c>
      <c r="Y342" s="1223">
        <f t="shared" si="76"/>
        <v>0</v>
      </c>
      <c r="Z342" s="1211">
        <f t="shared" si="79"/>
        <v>0</v>
      </c>
      <c r="AA342" s="136">
        <f>IF(Z342&lt;=0,0,RANK(Z342,Z:Z)+COUNTIF($Z$3:$Z342,Z342)-1)</f>
        <v>0</v>
      </c>
      <c r="AB342" s="1211">
        <f t="shared" ca="1" si="80"/>
        <v>0</v>
      </c>
      <c r="AC342" s="136">
        <f ca="1">IF(AB342&lt;=0,0,RANK(AB342,AB:AB)+COUNTIF($AB$3:$AB342,AB342)-1)</f>
        <v>0</v>
      </c>
      <c r="AD342" s="136">
        <f t="shared" si="81"/>
        <v>99999</v>
      </c>
      <c r="AE342" s="136">
        <f>IF(AD342=99999,0,RANK(AD342,AD:AD,1)+COUNTIF($AD$3:$AD342,AD342)-1)</f>
        <v>0</v>
      </c>
    </row>
    <row r="343" spans="1:31">
      <c r="A343" s="141">
        <f>'銀行-TSS'!A343</f>
        <v>0</v>
      </c>
      <c r="B343" s="151">
        <f ca="1">VLOOKUP(A343,'銀行-TSS'!A:B,2,FALSE)</f>
        <v>0</v>
      </c>
      <c r="C343" s="151" t="e">
        <f ca="1">VLOOKUP(B343,bond!B:C,2,FALSE)</f>
        <v>#N/A</v>
      </c>
      <c r="D343" s="95" t="e">
        <f>VLOOKUP(A343,'銀行-TSS'!A:C,3,FALSE)</f>
        <v>#N/A</v>
      </c>
      <c r="E343" s="90" t="e">
        <f ca="1">VLOOKUP(A343,'銀行-TSS'!A:G,7,FALSE)</f>
        <v>#N/A</v>
      </c>
      <c r="F343" s="202" t="e">
        <f ca="1">VLOOKUP(A343,'銀行-TSS'!A:H,8,FALSE)</f>
        <v>#N/A</v>
      </c>
      <c r="G343" s="96" t="e">
        <f ca="1">VLOOKUP(A343,'銀行-TSS'!A:K,11,FALSE)</f>
        <v>#N/A</v>
      </c>
      <c r="H343" s="1209" t="e">
        <f ca="1">VLOOKUP(A343,'銀行-TSS'!A:M,13,FALSE)</f>
        <v>#N/A</v>
      </c>
      <c r="I343" s="1213" t="e">
        <f ca="1">VLOOKUP(A343,'銀行-TSS'!A:N,14,FALSE)</f>
        <v>#N/A</v>
      </c>
      <c r="J343" s="1213" t="e">
        <f ca="1">VLOOKUP(A343,'銀行-TSS'!A:O,15,FALSE)</f>
        <v>#N/A</v>
      </c>
      <c r="K343" s="136" t="e">
        <f ca="1">VLOOKUP(A343,'銀行-TSS'!A:V,22,FALSE)</f>
        <v>#N/A</v>
      </c>
      <c r="L343" s="136" t="e">
        <f ca="1">VLOOKUP(A343,'銀行-TSS'!A:AK,37,FALSE)</f>
        <v>#N/A</v>
      </c>
      <c r="M343" s="136" t="str">
        <f ca="1">VLOOKUP(A343,'銀行-TSS'!A:AN,40,FALSE)</f>
        <v/>
      </c>
      <c r="N343" s="1211" t="e">
        <f t="shared" ca="1" si="71"/>
        <v>#N/A</v>
      </c>
      <c r="O343" s="1211" t="e">
        <f t="shared" ca="1" si="72"/>
        <v>#N/A</v>
      </c>
      <c r="P343" s="1213" t="e">
        <f ca="1">IF(AND(換券投組!$D$17&gt;=O343,換券投組!$D$13=D343),I343+INT((換券投組!$D$17-O343)/N343)*J343,0)</f>
        <v>#N/A</v>
      </c>
      <c r="Q343" s="1211" t="e">
        <f t="shared" ca="1" si="73"/>
        <v>#N/A</v>
      </c>
      <c r="R343" s="1213">
        <f t="shared" si="74"/>
        <v>0</v>
      </c>
      <c r="S343" s="1213">
        <f t="shared" si="75"/>
        <v>0</v>
      </c>
      <c r="T343" s="136">
        <f t="shared" si="77"/>
        <v>0</v>
      </c>
      <c r="U343" s="861">
        <f t="shared" si="78"/>
        <v>0</v>
      </c>
      <c r="V343" s="136" t="e">
        <f ca="1">IF(OR(D343&lt;&gt;"USD",L343="無",M343&lt;&gt;"",K343="高資產",IFERROR(MATCH(B343,換券投組!K:K,0),"N")&lt;&gt;"N",IFERROR(MATCH(B343,換券投組!J:J,0),"N")&lt;&gt;"N"),FALSE,IF($V$1="All",TRUE,IF(K343=$V$1,TRUE,FALSE)))</f>
        <v>#N/A</v>
      </c>
      <c r="W343" s="136" t="e">
        <f ca="1">VLOOKUP(A343,'銀行-TSS'!A:AO,41,FALSE)</f>
        <v>#N/A</v>
      </c>
      <c r="X343" s="136" t="e">
        <f ca="1">VLOOKUP(A343,'銀行-TSS'!A:AP,42,FALSE)</f>
        <v>#N/A</v>
      </c>
      <c r="Y343" s="1223">
        <f t="shared" si="76"/>
        <v>0</v>
      </c>
      <c r="Z343" s="1211">
        <f t="shared" si="79"/>
        <v>0</v>
      </c>
      <c r="AA343" s="136">
        <f>IF(Z343&lt;=0,0,RANK(Z343,Z:Z)+COUNTIF($Z$3:$Z343,Z343)-1)</f>
        <v>0</v>
      </c>
      <c r="AB343" s="1211">
        <f t="shared" ca="1" si="80"/>
        <v>0</v>
      </c>
      <c r="AC343" s="136">
        <f ca="1">IF(AB343&lt;=0,0,RANK(AB343,AB:AB)+COUNTIF($AB$3:$AB343,AB343)-1)</f>
        <v>0</v>
      </c>
      <c r="AD343" s="136">
        <f t="shared" si="81"/>
        <v>99999</v>
      </c>
      <c r="AE343" s="136">
        <f>IF(AD343=99999,0,RANK(AD343,AD:AD,1)+COUNTIF($AD$3:$AD343,AD343)-1)</f>
        <v>0</v>
      </c>
    </row>
    <row r="344" spans="1:31">
      <c r="A344" s="141">
        <f>'銀行-TSS'!A344</f>
        <v>0</v>
      </c>
      <c r="B344" s="151">
        <f ca="1">VLOOKUP(A344,'銀行-TSS'!A:B,2,FALSE)</f>
        <v>0</v>
      </c>
      <c r="C344" s="151" t="e">
        <f ca="1">VLOOKUP(B344,bond!B:C,2,FALSE)</f>
        <v>#N/A</v>
      </c>
      <c r="D344" s="95" t="e">
        <f>VLOOKUP(A344,'銀行-TSS'!A:C,3,FALSE)</f>
        <v>#N/A</v>
      </c>
      <c r="E344" s="90" t="e">
        <f ca="1">VLOOKUP(A344,'銀行-TSS'!A:G,7,FALSE)</f>
        <v>#N/A</v>
      </c>
      <c r="F344" s="202" t="e">
        <f ca="1">VLOOKUP(A344,'銀行-TSS'!A:H,8,FALSE)</f>
        <v>#N/A</v>
      </c>
      <c r="G344" s="96" t="e">
        <f ca="1">VLOOKUP(A344,'銀行-TSS'!A:K,11,FALSE)</f>
        <v>#N/A</v>
      </c>
      <c r="H344" s="1209" t="e">
        <f ca="1">VLOOKUP(A344,'銀行-TSS'!A:M,13,FALSE)</f>
        <v>#N/A</v>
      </c>
      <c r="I344" s="1213" t="e">
        <f ca="1">VLOOKUP(A344,'銀行-TSS'!A:N,14,FALSE)</f>
        <v>#N/A</v>
      </c>
      <c r="J344" s="1213" t="e">
        <f ca="1">VLOOKUP(A344,'銀行-TSS'!A:O,15,FALSE)</f>
        <v>#N/A</v>
      </c>
      <c r="K344" s="136" t="e">
        <f ca="1">VLOOKUP(A344,'銀行-TSS'!A:V,22,FALSE)</f>
        <v>#N/A</v>
      </c>
      <c r="L344" s="136" t="e">
        <f ca="1">VLOOKUP(A344,'銀行-TSS'!A:AK,37,FALSE)</f>
        <v>#N/A</v>
      </c>
      <c r="M344" s="136" t="str">
        <f ca="1">VLOOKUP(A344,'銀行-TSS'!A:AN,40,FALSE)</f>
        <v/>
      </c>
      <c r="N344" s="1211" t="e">
        <f t="shared" ca="1" si="71"/>
        <v>#N/A</v>
      </c>
      <c r="O344" s="1211" t="e">
        <f t="shared" ca="1" si="72"/>
        <v>#N/A</v>
      </c>
      <c r="P344" s="1213" t="e">
        <f ca="1">IF(AND(換券投組!$D$17&gt;=O344,換券投組!$D$13=D344),I344+INT((換券投組!$D$17-O344)/N344)*J344,0)</f>
        <v>#N/A</v>
      </c>
      <c r="Q344" s="1211" t="e">
        <f t="shared" ca="1" si="73"/>
        <v>#N/A</v>
      </c>
      <c r="R344" s="1213">
        <f t="shared" si="74"/>
        <v>0</v>
      </c>
      <c r="S344" s="1213">
        <f t="shared" si="75"/>
        <v>0</v>
      </c>
      <c r="T344" s="136">
        <f t="shared" si="77"/>
        <v>0</v>
      </c>
      <c r="U344" s="861">
        <f t="shared" si="78"/>
        <v>0</v>
      </c>
      <c r="V344" s="136" t="e">
        <f ca="1">IF(OR(D344&lt;&gt;"USD",L344="無",M344&lt;&gt;"",K344="高資產",IFERROR(MATCH(B344,換券投組!K:K,0),"N")&lt;&gt;"N",IFERROR(MATCH(B344,換券投組!J:J,0),"N")&lt;&gt;"N"),FALSE,IF($V$1="All",TRUE,IF(K344=$V$1,TRUE,FALSE)))</f>
        <v>#N/A</v>
      </c>
      <c r="W344" s="136" t="e">
        <f ca="1">VLOOKUP(A344,'銀行-TSS'!A:AO,41,FALSE)</f>
        <v>#N/A</v>
      </c>
      <c r="X344" s="136" t="e">
        <f ca="1">VLOOKUP(A344,'銀行-TSS'!A:AP,42,FALSE)</f>
        <v>#N/A</v>
      </c>
      <c r="Y344" s="1223">
        <f t="shared" si="76"/>
        <v>0</v>
      </c>
      <c r="Z344" s="1211">
        <f t="shared" si="79"/>
        <v>0</v>
      </c>
      <c r="AA344" s="136">
        <f>IF(Z344&lt;=0,0,RANK(Z344,Z:Z)+COUNTIF($Z$3:$Z344,Z344)-1)</f>
        <v>0</v>
      </c>
      <c r="AB344" s="1211">
        <f t="shared" ca="1" si="80"/>
        <v>0</v>
      </c>
      <c r="AC344" s="136">
        <f ca="1">IF(AB344&lt;=0,0,RANK(AB344,AB:AB)+COUNTIF($AB$3:$AB344,AB344)-1)</f>
        <v>0</v>
      </c>
      <c r="AD344" s="136">
        <f t="shared" si="81"/>
        <v>99999</v>
      </c>
      <c r="AE344" s="136">
        <f>IF(AD344=99999,0,RANK(AD344,AD:AD,1)+COUNTIF($AD$3:$AD344,AD344)-1)</f>
        <v>0</v>
      </c>
    </row>
    <row r="345" spans="1:31">
      <c r="A345" s="141">
        <f>'銀行-TSS'!A345</f>
        <v>0</v>
      </c>
      <c r="B345" s="151">
        <f ca="1">VLOOKUP(A345,'銀行-TSS'!A:B,2,FALSE)</f>
        <v>0</v>
      </c>
      <c r="C345" s="151" t="e">
        <f ca="1">VLOOKUP(B345,bond!B:C,2,FALSE)</f>
        <v>#N/A</v>
      </c>
      <c r="D345" s="95" t="e">
        <f>VLOOKUP(A345,'銀行-TSS'!A:C,3,FALSE)</f>
        <v>#N/A</v>
      </c>
      <c r="E345" s="90" t="e">
        <f ca="1">VLOOKUP(A345,'銀行-TSS'!A:G,7,FALSE)</f>
        <v>#N/A</v>
      </c>
      <c r="F345" s="202" t="e">
        <f ca="1">VLOOKUP(A345,'銀行-TSS'!A:H,8,FALSE)</f>
        <v>#N/A</v>
      </c>
      <c r="G345" s="96" t="e">
        <f ca="1">VLOOKUP(A345,'銀行-TSS'!A:K,11,FALSE)</f>
        <v>#N/A</v>
      </c>
      <c r="H345" s="1209" t="e">
        <f ca="1">VLOOKUP(A345,'銀行-TSS'!A:M,13,FALSE)</f>
        <v>#N/A</v>
      </c>
      <c r="I345" s="1213" t="e">
        <f ca="1">VLOOKUP(A345,'銀行-TSS'!A:N,14,FALSE)</f>
        <v>#N/A</v>
      </c>
      <c r="J345" s="1213" t="e">
        <f ca="1">VLOOKUP(A345,'銀行-TSS'!A:O,15,FALSE)</f>
        <v>#N/A</v>
      </c>
      <c r="K345" s="136" t="e">
        <f ca="1">VLOOKUP(A345,'銀行-TSS'!A:V,22,FALSE)</f>
        <v>#N/A</v>
      </c>
      <c r="L345" s="136" t="e">
        <f ca="1">VLOOKUP(A345,'銀行-TSS'!A:AK,37,FALSE)</f>
        <v>#N/A</v>
      </c>
      <c r="M345" s="136" t="str">
        <f ca="1">VLOOKUP(A345,'銀行-TSS'!A:AN,40,FALSE)</f>
        <v/>
      </c>
      <c r="N345" s="1211" t="e">
        <f t="shared" ca="1" si="71"/>
        <v>#N/A</v>
      </c>
      <c r="O345" s="1211" t="e">
        <f t="shared" ca="1" si="72"/>
        <v>#N/A</v>
      </c>
      <c r="P345" s="1213" t="e">
        <f ca="1">IF(AND(換券投組!$D$17&gt;=O345,換券投組!$D$13=D345),I345+INT((換券投組!$D$17-O345)/N345)*J345,0)</f>
        <v>#N/A</v>
      </c>
      <c r="Q345" s="1211" t="e">
        <f t="shared" ca="1" si="73"/>
        <v>#N/A</v>
      </c>
      <c r="R345" s="1213">
        <f t="shared" si="74"/>
        <v>0</v>
      </c>
      <c r="S345" s="1213">
        <f t="shared" si="75"/>
        <v>0</v>
      </c>
      <c r="T345" s="136">
        <f t="shared" si="77"/>
        <v>0</v>
      </c>
      <c r="U345" s="861">
        <f t="shared" si="78"/>
        <v>0</v>
      </c>
      <c r="V345" s="136" t="e">
        <f ca="1">IF(OR(D345&lt;&gt;"USD",L345="無",M345&lt;&gt;"",K345="高資產",IFERROR(MATCH(B345,換券投組!K:K,0),"N")&lt;&gt;"N",IFERROR(MATCH(B345,換券投組!J:J,0),"N")&lt;&gt;"N"),FALSE,IF($V$1="All",TRUE,IF(K345=$V$1,TRUE,FALSE)))</f>
        <v>#N/A</v>
      </c>
      <c r="W345" s="136" t="e">
        <f ca="1">VLOOKUP(A345,'銀行-TSS'!A:AO,41,FALSE)</f>
        <v>#N/A</v>
      </c>
      <c r="X345" s="136" t="e">
        <f ca="1">VLOOKUP(A345,'銀行-TSS'!A:AP,42,FALSE)</f>
        <v>#N/A</v>
      </c>
      <c r="Y345" s="1223">
        <f t="shared" si="76"/>
        <v>0</v>
      </c>
      <c r="Z345" s="1211">
        <f t="shared" si="79"/>
        <v>0</v>
      </c>
      <c r="AA345" s="136">
        <f>IF(Z345&lt;=0,0,RANK(Z345,Z:Z)+COUNTIF($Z$3:$Z345,Z345)-1)</f>
        <v>0</v>
      </c>
      <c r="AB345" s="1211">
        <f t="shared" ca="1" si="80"/>
        <v>0</v>
      </c>
      <c r="AC345" s="136">
        <f ca="1">IF(AB345&lt;=0,0,RANK(AB345,AB:AB)+COUNTIF($AB$3:$AB345,AB345)-1)</f>
        <v>0</v>
      </c>
      <c r="AD345" s="136">
        <f t="shared" si="81"/>
        <v>99999</v>
      </c>
      <c r="AE345" s="136">
        <f>IF(AD345=99999,0,RANK(AD345,AD:AD,1)+COUNTIF($AD$3:$AD345,AD345)-1)</f>
        <v>0</v>
      </c>
    </row>
    <row r="346" spans="1:31">
      <c r="A346" s="141">
        <f>'銀行-TSS'!A346</f>
        <v>0</v>
      </c>
      <c r="B346" s="151">
        <f ca="1">VLOOKUP(A346,'銀行-TSS'!A:B,2,FALSE)</f>
        <v>0</v>
      </c>
      <c r="C346" s="151" t="e">
        <f ca="1">VLOOKUP(B346,bond!B:C,2,FALSE)</f>
        <v>#N/A</v>
      </c>
      <c r="D346" s="95" t="e">
        <f>VLOOKUP(A346,'銀行-TSS'!A:C,3,FALSE)</f>
        <v>#N/A</v>
      </c>
      <c r="E346" s="90" t="e">
        <f ca="1">VLOOKUP(A346,'銀行-TSS'!A:G,7,FALSE)</f>
        <v>#N/A</v>
      </c>
      <c r="F346" s="202" t="e">
        <f ca="1">VLOOKUP(A346,'銀行-TSS'!A:H,8,FALSE)</f>
        <v>#N/A</v>
      </c>
      <c r="G346" s="96" t="e">
        <f ca="1">VLOOKUP(A346,'銀行-TSS'!A:K,11,FALSE)</f>
        <v>#N/A</v>
      </c>
      <c r="H346" s="1209" t="e">
        <f ca="1">VLOOKUP(A346,'銀行-TSS'!A:M,13,FALSE)</f>
        <v>#N/A</v>
      </c>
      <c r="I346" s="1213" t="e">
        <f ca="1">VLOOKUP(A346,'銀行-TSS'!A:N,14,FALSE)</f>
        <v>#N/A</v>
      </c>
      <c r="J346" s="1213" t="e">
        <f ca="1">VLOOKUP(A346,'銀行-TSS'!A:O,15,FALSE)</f>
        <v>#N/A</v>
      </c>
      <c r="K346" s="136" t="e">
        <f ca="1">VLOOKUP(A346,'銀行-TSS'!A:V,22,FALSE)</f>
        <v>#N/A</v>
      </c>
      <c r="L346" s="136" t="e">
        <f ca="1">VLOOKUP(A346,'銀行-TSS'!A:AK,37,FALSE)</f>
        <v>#N/A</v>
      </c>
      <c r="M346" s="136" t="str">
        <f ca="1">VLOOKUP(A346,'銀行-TSS'!A:AN,40,FALSE)</f>
        <v/>
      </c>
      <c r="N346" s="1211" t="e">
        <f t="shared" ca="1" si="71"/>
        <v>#N/A</v>
      </c>
      <c r="O346" s="1211" t="e">
        <f t="shared" ca="1" si="72"/>
        <v>#N/A</v>
      </c>
      <c r="P346" s="1213" t="e">
        <f ca="1">IF(AND(換券投組!$D$17&gt;=O346,換券投組!$D$13=D346),I346+INT((換券投組!$D$17-O346)/N346)*J346,0)</f>
        <v>#N/A</v>
      </c>
      <c r="Q346" s="1211" t="e">
        <f t="shared" ca="1" si="73"/>
        <v>#N/A</v>
      </c>
      <c r="R346" s="1213">
        <f t="shared" si="74"/>
        <v>0</v>
      </c>
      <c r="S346" s="1213">
        <f t="shared" si="75"/>
        <v>0</v>
      </c>
      <c r="T346" s="136">
        <f t="shared" si="77"/>
        <v>0</v>
      </c>
      <c r="U346" s="861">
        <f t="shared" si="78"/>
        <v>0</v>
      </c>
      <c r="V346" s="136" t="e">
        <f ca="1">IF(OR(D346&lt;&gt;"USD",L346="無",M346&lt;&gt;"",K346="高資產",IFERROR(MATCH(B346,換券投組!K:K,0),"N")&lt;&gt;"N",IFERROR(MATCH(B346,換券投組!J:J,0),"N")&lt;&gt;"N"),FALSE,IF($V$1="All",TRUE,IF(K346=$V$1,TRUE,FALSE)))</f>
        <v>#N/A</v>
      </c>
      <c r="W346" s="136" t="e">
        <f ca="1">VLOOKUP(A346,'銀行-TSS'!A:AO,41,FALSE)</f>
        <v>#N/A</v>
      </c>
      <c r="X346" s="136" t="e">
        <f ca="1">VLOOKUP(A346,'銀行-TSS'!A:AP,42,FALSE)</f>
        <v>#N/A</v>
      </c>
      <c r="Y346" s="1223">
        <f t="shared" si="76"/>
        <v>0</v>
      </c>
      <c r="Z346" s="1211">
        <f t="shared" si="79"/>
        <v>0</v>
      </c>
      <c r="AA346" s="136">
        <f>IF(Z346&lt;=0,0,RANK(Z346,Z:Z)+COUNTIF($Z$3:$Z346,Z346)-1)</f>
        <v>0</v>
      </c>
      <c r="AB346" s="1211">
        <f t="shared" ca="1" si="80"/>
        <v>0</v>
      </c>
      <c r="AC346" s="136">
        <f ca="1">IF(AB346&lt;=0,0,RANK(AB346,AB:AB)+COUNTIF($AB$3:$AB346,AB346)-1)</f>
        <v>0</v>
      </c>
      <c r="AD346" s="136">
        <f t="shared" si="81"/>
        <v>99999</v>
      </c>
      <c r="AE346" s="136">
        <f>IF(AD346=99999,0,RANK(AD346,AD:AD,1)+COUNTIF($AD$3:$AD346,AD346)-1)</f>
        <v>0</v>
      </c>
    </row>
    <row r="347" spans="1:31">
      <c r="A347" s="141">
        <f>'銀行-TSS'!A347</f>
        <v>0</v>
      </c>
      <c r="B347" s="151">
        <f ca="1">VLOOKUP(A347,'銀行-TSS'!A:B,2,FALSE)</f>
        <v>0</v>
      </c>
      <c r="C347" s="151" t="e">
        <f ca="1">VLOOKUP(B347,bond!B:C,2,FALSE)</f>
        <v>#N/A</v>
      </c>
      <c r="D347" s="95" t="e">
        <f>VLOOKUP(A347,'銀行-TSS'!A:C,3,FALSE)</f>
        <v>#N/A</v>
      </c>
      <c r="E347" s="90" t="e">
        <f ca="1">VLOOKUP(A347,'銀行-TSS'!A:G,7,FALSE)</f>
        <v>#N/A</v>
      </c>
      <c r="F347" s="202" t="e">
        <f ca="1">VLOOKUP(A347,'銀行-TSS'!A:H,8,FALSE)</f>
        <v>#N/A</v>
      </c>
      <c r="G347" s="96" t="e">
        <f ca="1">VLOOKUP(A347,'銀行-TSS'!A:K,11,FALSE)</f>
        <v>#N/A</v>
      </c>
      <c r="H347" s="1209" t="e">
        <f ca="1">VLOOKUP(A347,'銀行-TSS'!A:M,13,FALSE)</f>
        <v>#N/A</v>
      </c>
      <c r="I347" s="1213" t="e">
        <f ca="1">VLOOKUP(A347,'銀行-TSS'!A:N,14,FALSE)</f>
        <v>#N/A</v>
      </c>
      <c r="J347" s="1213" t="e">
        <f ca="1">VLOOKUP(A347,'銀行-TSS'!A:O,15,FALSE)</f>
        <v>#N/A</v>
      </c>
      <c r="K347" s="136" t="e">
        <f ca="1">VLOOKUP(A347,'銀行-TSS'!A:V,22,FALSE)</f>
        <v>#N/A</v>
      </c>
      <c r="L347" s="136" t="e">
        <f ca="1">VLOOKUP(A347,'銀行-TSS'!A:AK,37,FALSE)</f>
        <v>#N/A</v>
      </c>
      <c r="M347" s="136" t="str">
        <f ca="1">VLOOKUP(A347,'銀行-TSS'!A:AN,40,FALSE)</f>
        <v/>
      </c>
      <c r="N347" s="1211" t="e">
        <f t="shared" ca="1" si="71"/>
        <v>#N/A</v>
      </c>
      <c r="O347" s="1211" t="e">
        <f t="shared" ca="1" si="72"/>
        <v>#N/A</v>
      </c>
      <c r="P347" s="1213" t="e">
        <f ca="1">IF(AND(換券投組!$D$17&gt;=O347,換券投組!$D$13=D347),I347+INT((換券投組!$D$17-O347)/N347)*J347,0)</f>
        <v>#N/A</v>
      </c>
      <c r="Q347" s="1211" t="e">
        <f t="shared" ca="1" si="73"/>
        <v>#N/A</v>
      </c>
      <c r="R347" s="1213">
        <f t="shared" si="74"/>
        <v>0</v>
      </c>
      <c r="S347" s="1213">
        <f t="shared" si="75"/>
        <v>0</v>
      </c>
      <c r="T347" s="136">
        <f t="shared" si="77"/>
        <v>0</v>
      </c>
      <c r="U347" s="861">
        <f t="shared" si="78"/>
        <v>0</v>
      </c>
      <c r="V347" s="136" t="e">
        <f ca="1">IF(OR(D347&lt;&gt;"USD",L347="無",M347&lt;&gt;"",K347="高資產",IFERROR(MATCH(B347,換券投組!K:K,0),"N")&lt;&gt;"N",IFERROR(MATCH(B347,換券投組!J:J,0),"N")&lt;&gt;"N"),FALSE,IF($V$1="All",TRUE,IF(K347=$V$1,TRUE,FALSE)))</f>
        <v>#N/A</v>
      </c>
      <c r="W347" s="136" t="e">
        <f ca="1">VLOOKUP(A347,'銀行-TSS'!A:AO,41,FALSE)</f>
        <v>#N/A</v>
      </c>
      <c r="X347" s="136" t="e">
        <f ca="1">VLOOKUP(A347,'銀行-TSS'!A:AP,42,FALSE)</f>
        <v>#N/A</v>
      </c>
      <c r="Y347" s="1223">
        <f t="shared" si="76"/>
        <v>0</v>
      </c>
      <c r="Z347" s="1211">
        <f t="shared" si="79"/>
        <v>0</v>
      </c>
      <c r="AA347" s="136">
        <f>IF(Z347&lt;=0,0,RANK(Z347,Z:Z)+COUNTIF($Z$3:$Z347,Z347)-1)</f>
        <v>0</v>
      </c>
      <c r="AB347" s="1211">
        <f t="shared" ca="1" si="80"/>
        <v>0</v>
      </c>
      <c r="AC347" s="136">
        <f ca="1">IF(AB347&lt;=0,0,RANK(AB347,AB:AB)+COUNTIF($AB$3:$AB347,AB347)-1)</f>
        <v>0</v>
      </c>
      <c r="AD347" s="136">
        <f t="shared" si="81"/>
        <v>99999</v>
      </c>
      <c r="AE347" s="136">
        <f>IF(AD347=99999,0,RANK(AD347,AD:AD,1)+COUNTIF($AD$3:$AD347,AD347)-1)</f>
        <v>0</v>
      </c>
    </row>
    <row r="348" spans="1:31">
      <c r="A348" s="141">
        <f>'銀行-TSS'!A348</f>
        <v>0</v>
      </c>
      <c r="B348" s="151">
        <f ca="1">VLOOKUP(A348,'銀行-TSS'!A:B,2,FALSE)</f>
        <v>0</v>
      </c>
      <c r="C348" s="151" t="e">
        <f ca="1">VLOOKUP(B348,bond!B:C,2,FALSE)</f>
        <v>#N/A</v>
      </c>
      <c r="D348" s="95" t="e">
        <f>VLOOKUP(A348,'銀行-TSS'!A:C,3,FALSE)</f>
        <v>#N/A</v>
      </c>
      <c r="E348" s="90" t="e">
        <f ca="1">VLOOKUP(A348,'銀行-TSS'!A:G,7,FALSE)</f>
        <v>#N/A</v>
      </c>
      <c r="F348" s="202" t="e">
        <f ca="1">VLOOKUP(A348,'銀行-TSS'!A:H,8,FALSE)</f>
        <v>#N/A</v>
      </c>
      <c r="G348" s="96" t="e">
        <f ca="1">VLOOKUP(A348,'銀行-TSS'!A:K,11,FALSE)</f>
        <v>#N/A</v>
      </c>
      <c r="H348" s="1209" t="e">
        <f ca="1">VLOOKUP(A348,'銀行-TSS'!A:M,13,FALSE)</f>
        <v>#N/A</v>
      </c>
      <c r="I348" s="1213" t="e">
        <f ca="1">VLOOKUP(A348,'銀行-TSS'!A:N,14,FALSE)</f>
        <v>#N/A</v>
      </c>
      <c r="J348" s="1213" t="e">
        <f ca="1">VLOOKUP(A348,'銀行-TSS'!A:O,15,FALSE)</f>
        <v>#N/A</v>
      </c>
      <c r="K348" s="136" t="e">
        <f ca="1">VLOOKUP(A348,'銀行-TSS'!A:V,22,FALSE)</f>
        <v>#N/A</v>
      </c>
      <c r="L348" s="136" t="e">
        <f ca="1">VLOOKUP(A348,'銀行-TSS'!A:AK,37,FALSE)</f>
        <v>#N/A</v>
      </c>
      <c r="M348" s="136" t="str">
        <f ca="1">VLOOKUP(A348,'銀行-TSS'!A:AN,40,FALSE)</f>
        <v/>
      </c>
      <c r="N348" s="1211" t="e">
        <f t="shared" ca="1" si="71"/>
        <v>#N/A</v>
      </c>
      <c r="O348" s="1211" t="e">
        <f t="shared" ca="1" si="72"/>
        <v>#N/A</v>
      </c>
      <c r="P348" s="1213" t="e">
        <f ca="1">IF(AND(換券投組!$D$17&gt;=O348,換券投組!$D$13=D348),I348+INT((換券投組!$D$17-O348)/N348)*J348,0)</f>
        <v>#N/A</v>
      </c>
      <c r="Q348" s="1211" t="e">
        <f t="shared" ca="1" si="73"/>
        <v>#N/A</v>
      </c>
      <c r="R348" s="1213">
        <f t="shared" si="74"/>
        <v>0</v>
      </c>
      <c r="S348" s="1213">
        <f t="shared" si="75"/>
        <v>0</v>
      </c>
      <c r="T348" s="136">
        <f t="shared" si="77"/>
        <v>0</v>
      </c>
      <c r="U348" s="861">
        <f t="shared" si="78"/>
        <v>0</v>
      </c>
      <c r="V348" s="136" t="e">
        <f ca="1">IF(OR(D348&lt;&gt;"USD",L348="無",M348&lt;&gt;"",K348="高資產",IFERROR(MATCH(B348,換券投組!K:K,0),"N")&lt;&gt;"N",IFERROR(MATCH(B348,換券投組!J:J,0),"N")&lt;&gt;"N"),FALSE,IF($V$1="All",TRUE,IF(K348=$V$1,TRUE,FALSE)))</f>
        <v>#N/A</v>
      </c>
      <c r="W348" s="136" t="e">
        <f ca="1">VLOOKUP(A348,'銀行-TSS'!A:AO,41,FALSE)</f>
        <v>#N/A</v>
      </c>
      <c r="X348" s="136" t="e">
        <f ca="1">VLOOKUP(A348,'銀行-TSS'!A:AP,42,FALSE)</f>
        <v>#N/A</v>
      </c>
      <c r="Y348" s="1223">
        <f t="shared" si="76"/>
        <v>0</v>
      </c>
      <c r="Z348" s="1211">
        <f t="shared" si="79"/>
        <v>0</v>
      </c>
      <c r="AA348" s="136">
        <f>IF(Z348&lt;=0,0,RANK(Z348,Z:Z)+COUNTIF($Z$3:$Z348,Z348)-1)</f>
        <v>0</v>
      </c>
      <c r="AB348" s="1211">
        <f t="shared" ca="1" si="80"/>
        <v>0</v>
      </c>
      <c r="AC348" s="136">
        <f ca="1">IF(AB348&lt;=0,0,RANK(AB348,AB:AB)+COUNTIF($AB$3:$AB348,AB348)-1)</f>
        <v>0</v>
      </c>
      <c r="AD348" s="136">
        <f t="shared" si="81"/>
        <v>99999</v>
      </c>
      <c r="AE348" s="136">
        <f>IF(AD348=99999,0,RANK(AD348,AD:AD,1)+COUNTIF($AD$3:$AD348,AD348)-1)</f>
        <v>0</v>
      </c>
    </row>
    <row r="349" spans="1:31">
      <c r="A349" s="141">
        <f>'銀行-TSS'!A349</f>
        <v>0</v>
      </c>
      <c r="B349" s="151">
        <f ca="1">VLOOKUP(A349,'銀行-TSS'!A:B,2,FALSE)</f>
        <v>0</v>
      </c>
      <c r="C349" s="151" t="e">
        <f ca="1">VLOOKUP(B349,bond!B:C,2,FALSE)</f>
        <v>#N/A</v>
      </c>
      <c r="D349" s="95" t="e">
        <f>VLOOKUP(A349,'銀行-TSS'!A:C,3,FALSE)</f>
        <v>#N/A</v>
      </c>
      <c r="E349" s="90" t="e">
        <f ca="1">VLOOKUP(A349,'銀行-TSS'!A:G,7,FALSE)</f>
        <v>#N/A</v>
      </c>
      <c r="F349" s="202" t="e">
        <f ca="1">VLOOKUP(A349,'銀行-TSS'!A:H,8,FALSE)</f>
        <v>#N/A</v>
      </c>
      <c r="G349" s="96" t="e">
        <f ca="1">VLOOKUP(A349,'銀行-TSS'!A:K,11,FALSE)</f>
        <v>#N/A</v>
      </c>
      <c r="H349" s="1209" t="e">
        <f ca="1">VLOOKUP(A349,'銀行-TSS'!A:M,13,FALSE)</f>
        <v>#N/A</v>
      </c>
      <c r="I349" s="1213" t="e">
        <f ca="1">VLOOKUP(A349,'銀行-TSS'!A:N,14,FALSE)</f>
        <v>#N/A</v>
      </c>
      <c r="J349" s="1213" t="e">
        <f ca="1">VLOOKUP(A349,'銀行-TSS'!A:O,15,FALSE)</f>
        <v>#N/A</v>
      </c>
      <c r="K349" s="136" t="e">
        <f ca="1">VLOOKUP(A349,'銀行-TSS'!A:V,22,FALSE)</f>
        <v>#N/A</v>
      </c>
      <c r="L349" s="136" t="e">
        <f ca="1">VLOOKUP(A349,'銀行-TSS'!A:AK,37,FALSE)</f>
        <v>#N/A</v>
      </c>
      <c r="M349" s="136" t="str">
        <f ca="1">VLOOKUP(A349,'銀行-TSS'!A:AN,40,FALSE)</f>
        <v/>
      </c>
      <c r="N349" s="1211" t="e">
        <f t="shared" ca="1" si="71"/>
        <v>#N/A</v>
      </c>
      <c r="O349" s="1211" t="e">
        <f t="shared" ca="1" si="72"/>
        <v>#N/A</v>
      </c>
      <c r="P349" s="1213" t="e">
        <f ca="1">IF(AND(換券投組!$D$17&gt;=O349,換券投組!$D$13=D349),I349+INT((換券投組!$D$17-O349)/N349)*J349,0)</f>
        <v>#N/A</v>
      </c>
      <c r="Q349" s="1211" t="e">
        <f t="shared" ca="1" si="73"/>
        <v>#N/A</v>
      </c>
      <c r="R349" s="1213">
        <f t="shared" si="74"/>
        <v>0</v>
      </c>
      <c r="S349" s="1213">
        <f t="shared" si="75"/>
        <v>0</v>
      </c>
      <c r="T349" s="136">
        <f t="shared" si="77"/>
        <v>0</v>
      </c>
      <c r="U349" s="861">
        <f t="shared" si="78"/>
        <v>0</v>
      </c>
      <c r="V349" s="136" t="e">
        <f ca="1">IF(OR(D349&lt;&gt;"USD",L349="無",M349&lt;&gt;"",K349="高資產",IFERROR(MATCH(B349,換券投組!K:K,0),"N")&lt;&gt;"N",IFERROR(MATCH(B349,換券投組!J:J,0),"N")&lt;&gt;"N"),FALSE,IF($V$1="All",TRUE,IF(K349=$V$1,TRUE,FALSE)))</f>
        <v>#N/A</v>
      </c>
      <c r="W349" s="136" t="e">
        <f ca="1">VLOOKUP(A349,'銀行-TSS'!A:AO,41,FALSE)</f>
        <v>#N/A</v>
      </c>
      <c r="X349" s="136" t="e">
        <f ca="1">VLOOKUP(A349,'銀行-TSS'!A:AP,42,FALSE)</f>
        <v>#N/A</v>
      </c>
      <c r="Y349" s="1223">
        <f t="shared" si="76"/>
        <v>0</v>
      </c>
      <c r="Z349" s="1211">
        <f t="shared" si="79"/>
        <v>0</v>
      </c>
      <c r="AA349" s="136">
        <f>IF(Z349&lt;=0,0,RANK(Z349,Z:Z)+COUNTIF($Z$3:$Z349,Z349)-1)</f>
        <v>0</v>
      </c>
      <c r="AB349" s="1211">
        <f t="shared" ca="1" si="80"/>
        <v>0</v>
      </c>
      <c r="AC349" s="136">
        <f ca="1">IF(AB349&lt;=0,0,RANK(AB349,AB:AB)+COUNTIF($AB$3:$AB349,AB349)-1)</f>
        <v>0</v>
      </c>
      <c r="AD349" s="136">
        <f t="shared" si="81"/>
        <v>99999</v>
      </c>
      <c r="AE349" s="136">
        <f>IF(AD349=99999,0,RANK(AD349,AD:AD,1)+COUNTIF($AD$3:$AD349,AD349)-1)</f>
        <v>0</v>
      </c>
    </row>
    <row r="350" spans="1:31">
      <c r="A350" s="141">
        <f>'銀行-TSS'!A350</f>
        <v>0</v>
      </c>
      <c r="B350" s="151">
        <f ca="1">VLOOKUP(A350,'銀行-TSS'!A:B,2,FALSE)</f>
        <v>0</v>
      </c>
      <c r="C350" s="151" t="e">
        <f ca="1">VLOOKUP(B350,bond!B:C,2,FALSE)</f>
        <v>#N/A</v>
      </c>
      <c r="D350" s="95" t="e">
        <f>VLOOKUP(A350,'銀行-TSS'!A:C,3,FALSE)</f>
        <v>#N/A</v>
      </c>
      <c r="E350" s="90" t="e">
        <f ca="1">VLOOKUP(A350,'銀行-TSS'!A:G,7,FALSE)</f>
        <v>#N/A</v>
      </c>
      <c r="F350" s="202" t="e">
        <f ca="1">VLOOKUP(A350,'銀行-TSS'!A:H,8,FALSE)</f>
        <v>#N/A</v>
      </c>
      <c r="G350" s="96" t="e">
        <f ca="1">VLOOKUP(A350,'銀行-TSS'!A:K,11,FALSE)</f>
        <v>#N/A</v>
      </c>
      <c r="H350" s="1209" t="e">
        <f ca="1">VLOOKUP(A350,'銀行-TSS'!A:M,13,FALSE)</f>
        <v>#N/A</v>
      </c>
      <c r="I350" s="1213" t="e">
        <f ca="1">VLOOKUP(A350,'銀行-TSS'!A:N,14,FALSE)</f>
        <v>#N/A</v>
      </c>
      <c r="J350" s="1213" t="e">
        <f ca="1">VLOOKUP(A350,'銀行-TSS'!A:O,15,FALSE)</f>
        <v>#N/A</v>
      </c>
      <c r="K350" s="136" t="e">
        <f ca="1">VLOOKUP(A350,'銀行-TSS'!A:V,22,FALSE)</f>
        <v>#N/A</v>
      </c>
      <c r="L350" s="136" t="e">
        <f ca="1">VLOOKUP(A350,'銀行-TSS'!A:AK,37,FALSE)</f>
        <v>#N/A</v>
      </c>
      <c r="M350" s="136" t="str">
        <f ca="1">VLOOKUP(A350,'銀行-TSS'!A:AN,40,FALSE)</f>
        <v/>
      </c>
      <c r="N350" s="1211" t="e">
        <f t="shared" ca="1" si="71"/>
        <v>#N/A</v>
      </c>
      <c r="O350" s="1211" t="e">
        <f t="shared" ca="1" si="72"/>
        <v>#N/A</v>
      </c>
      <c r="P350" s="1213" t="e">
        <f ca="1">IF(AND(換券投組!$D$17&gt;=O350,換券投組!$D$13=D350),I350+INT((換券投組!$D$17-O350)/N350)*J350,0)</f>
        <v>#N/A</v>
      </c>
      <c r="Q350" s="1211" t="e">
        <f t="shared" ca="1" si="73"/>
        <v>#N/A</v>
      </c>
      <c r="R350" s="1213">
        <f t="shared" si="74"/>
        <v>0</v>
      </c>
      <c r="S350" s="1213">
        <f t="shared" si="75"/>
        <v>0</v>
      </c>
      <c r="T350" s="136">
        <f t="shared" si="77"/>
        <v>0</v>
      </c>
      <c r="U350" s="861">
        <f t="shared" si="78"/>
        <v>0</v>
      </c>
      <c r="V350" s="136" t="e">
        <f ca="1">IF(OR(D350&lt;&gt;"USD",L350="無",M350&lt;&gt;"",K350="高資產",IFERROR(MATCH(B350,換券投組!K:K,0),"N")&lt;&gt;"N",IFERROR(MATCH(B350,換券投組!J:J,0),"N")&lt;&gt;"N"),FALSE,IF($V$1="All",TRUE,IF(K350=$V$1,TRUE,FALSE)))</f>
        <v>#N/A</v>
      </c>
      <c r="W350" s="136" t="e">
        <f ca="1">VLOOKUP(A350,'銀行-TSS'!A:AO,41,FALSE)</f>
        <v>#N/A</v>
      </c>
      <c r="X350" s="136" t="e">
        <f ca="1">VLOOKUP(A350,'銀行-TSS'!A:AP,42,FALSE)</f>
        <v>#N/A</v>
      </c>
      <c r="Y350" s="1223">
        <f t="shared" si="76"/>
        <v>0</v>
      </c>
      <c r="Z350" s="1211">
        <f t="shared" si="79"/>
        <v>0</v>
      </c>
      <c r="AA350" s="136">
        <f>IF(Z350&lt;=0,0,RANK(Z350,Z:Z)+COUNTIF($Z$3:$Z350,Z350)-1)</f>
        <v>0</v>
      </c>
      <c r="AB350" s="1211">
        <f t="shared" ca="1" si="80"/>
        <v>0</v>
      </c>
      <c r="AC350" s="136">
        <f ca="1">IF(AB350&lt;=0,0,RANK(AB350,AB:AB)+COUNTIF($AB$3:$AB350,AB350)-1)</f>
        <v>0</v>
      </c>
      <c r="AD350" s="136">
        <f t="shared" si="81"/>
        <v>99999</v>
      </c>
      <c r="AE350" s="136">
        <f>IF(AD350=99999,0,RANK(AD350,AD:AD,1)+COUNTIF($AD$3:$AD350,AD350)-1)</f>
        <v>0</v>
      </c>
    </row>
    <row r="351" spans="1:31">
      <c r="A351" s="141">
        <f>'銀行-TSS'!A351</f>
        <v>0</v>
      </c>
      <c r="B351" s="151">
        <f ca="1">VLOOKUP(A351,'銀行-TSS'!A:B,2,FALSE)</f>
        <v>0</v>
      </c>
      <c r="C351" s="151" t="e">
        <f ca="1">VLOOKUP(B351,bond!B:C,2,FALSE)</f>
        <v>#N/A</v>
      </c>
      <c r="D351" s="95" t="e">
        <f>VLOOKUP(A351,'銀行-TSS'!A:C,3,FALSE)</f>
        <v>#N/A</v>
      </c>
      <c r="E351" s="90" t="e">
        <f ca="1">VLOOKUP(A351,'銀行-TSS'!A:G,7,FALSE)</f>
        <v>#N/A</v>
      </c>
      <c r="F351" s="202" t="e">
        <f ca="1">VLOOKUP(A351,'銀行-TSS'!A:H,8,FALSE)</f>
        <v>#N/A</v>
      </c>
      <c r="G351" s="96" t="e">
        <f ca="1">VLOOKUP(A351,'銀行-TSS'!A:K,11,FALSE)</f>
        <v>#N/A</v>
      </c>
      <c r="H351" s="1209" t="e">
        <f ca="1">VLOOKUP(A351,'銀行-TSS'!A:M,13,FALSE)</f>
        <v>#N/A</v>
      </c>
      <c r="I351" s="1213" t="e">
        <f ca="1">VLOOKUP(A351,'銀行-TSS'!A:N,14,FALSE)</f>
        <v>#N/A</v>
      </c>
      <c r="J351" s="1213" t="e">
        <f ca="1">VLOOKUP(A351,'銀行-TSS'!A:O,15,FALSE)</f>
        <v>#N/A</v>
      </c>
      <c r="K351" s="136" t="e">
        <f ca="1">VLOOKUP(A351,'銀行-TSS'!A:V,22,FALSE)</f>
        <v>#N/A</v>
      </c>
      <c r="L351" s="136" t="e">
        <f ca="1">VLOOKUP(A351,'銀行-TSS'!A:AK,37,FALSE)</f>
        <v>#N/A</v>
      </c>
      <c r="M351" s="136" t="str">
        <f ca="1">VLOOKUP(A351,'銀行-TSS'!A:AN,40,FALSE)</f>
        <v/>
      </c>
      <c r="N351" s="1211" t="e">
        <f t="shared" ca="1" si="71"/>
        <v>#N/A</v>
      </c>
      <c r="O351" s="1211" t="e">
        <f t="shared" ca="1" si="72"/>
        <v>#N/A</v>
      </c>
      <c r="P351" s="1213" t="e">
        <f ca="1">IF(AND(換券投組!$D$17&gt;=O351,換券投組!$D$13=D351),I351+INT((換券投組!$D$17-O351)/N351)*J351,0)</f>
        <v>#N/A</v>
      </c>
      <c r="Q351" s="1211" t="e">
        <f t="shared" ca="1" si="73"/>
        <v>#N/A</v>
      </c>
      <c r="R351" s="1213">
        <f t="shared" si="74"/>
        <v>0</v>
      </c>
      <c r="S351" s="1213">
        <f t="shared" si="75"/>
        <v>0</v>
      </c>
      <c r="T351" s="136">
        <f t="shared" si="77"/>
        <v>0</v>
      </c>
      <c r="U351" s="861">
        <f t="shared" si="78"/>
        <v>0</v>
      </c>
      <c r="V351" s="136" t="e">
        <f ca="1">IF(OR(D351&lt;&gt;"USD",L351="無",M351&lt;&gt;"",K351="高資產",IFERROR(MATCH(B351,換券投組!K:K,0),"N")&lt;&gt;"N",IFERROR(MATCH(B351,換券投組!J:J,0),"N")&lt;&gt;"N"),FALSE,IF($V$1="All",TRUE,IF(K351=$V$1,TRUE,FALSE)))</f>
        <v>#N/A</v>
      </c>
      <c r="W351" s="136" t="e">
        <f ca="1">VLOOKUP(A351,'銀行-TSS'!A:AO,41,FALSE)</f>
        <v>#N/A</v>
      </c>
      <c r="X351" s="136" t="e">
        <f ca="1">VLOOKUP(A351,'銀行-TSS'!A:AP,42,FALSE)</f>
        <v>#N/A</v>
      </c>
      <c r="Y351" s="1223">
        <f t="shared" si="76"/>
        <v>0</v>
      </c>
      <c r="Z351" s="1211">
        <f t="shared" si="79"/>
        <v>0</v>
      </c>
      <c r="AA351" s="136">
        <f>IF(Z351&lt;=0,0,RANK(Z351,Z:Z)+COUNTIF($Z$3:$Z351,Z351)-1)</f>
        <v>0</v>
      </c>
      <c r="AB351" s="1211">
        <f t="shared" ca="1" si="80"/>
        <v>0</v>
      </c>
      <c r="AC351" s="136">
        <f ca="1">IF(AB351&lt;=0,0,RANK(AB351,AB:AB)+COUNTIF($AB$3:$AB351,AB351)-1)</f>
        <v>0</v>
      </c>
      <c r="AD351" s="136">
        <f t="shared" si="81"/>
        <v>99999</v>
      </c>
      <c r="AE351" s="136">
        <f>IF(AD351=99999,0,RANK(AD351,AD:AD,1)+COUNTIF($AD$3:$AD351,AD351)-1)</f>
        <v>0</v>
      </c>
    </row>
    <row r="352" spans="1:31">
      <c r="A352" s="141">
        <f>'銀行-TSS'!A352</f>
        <v>0</v>
      </c>
      <c r="B352" s="151">
        <f ca="1">VLOOKUP(A352,'銀行-TSS'!A:B,2,FALSE)</f>
        <v>0</v>
      </c>
      <c r="C352" s="151" t="e">
        <f ca="1">VLOOKUP(B352,bond!B:C,2,FALSE)</f>
        <v>#N/A</v>
      </c>
      <c r="D352" s="95" t="e">
        <f>VLOOKUP(A352,'銀行-TSS'!A:C,3,FALSE)</f>
        <v>#N/A</v>
      </c>
      <c r="E352" s="90" t="e">
        <f ca="1">VLOOKUP(A352,'銀行-TSS'!A:G,7,FALSE)</f>
        <v>#N/A</v>
      </c>
      <c r="F352" s="202" t="e">
        <f ca="1">VLOOKUP(A352,'銀行-TSS'!A:H,8,FALSE)</f>
        <v>#N/A</v>
      </c>
      <c r="G352" s="96" t="e">
        <f ca="1">VLOOKUP(A352,'銀行-TSS'!A:K,11,FALSE)</f>
        <v>#N/A</v>
      </c>
      <c r="H352" s="1209" t="e">
        <f ca="1">VLOOKUP(A352,'銀行-TSS'!A:M,13,FALSE)</f>
        <v>#N/A</v>
      </c>
      <c r="I352" s="1213" t="e">
        <f ca="1">VLOOKUP(A352,'銀行-TSS'!A:N,14,FALSE)</f>
        <v>#N/A</v>
      </c>
      <c r="J352" s="1213" t="e">
        <f ca="1">VLOOKUP(A352,'銀行-TSS'!A:O,15,FALSE)</f>
        <v>#N/A</v>
      </c>
      <c r="K352" s="136" t="e">
        <f ca="1">VLOOKUP(A352,'銀行-TSS'!A:V,22,FALSE)</f>
        <v>#N/A</v>
      </c>
      <c r="L352" s="136" t="e">
        <f ca="1">VLOOKUP(A352,'銀行-TSS'!A:AK,37,FALSE)</f>
        <v>#N/A</v>
      </c>
      <c r="M352" s="136" t="str">
        <f ca="1">VLOOKUP(A352,'銀行-TSS'!A:AN,40,FALSE)</f>
        <v/>
      </c>
      <c r="N352" s="1211" t="e">
        <f t="shared" ca="1" si="71"/>
        <v>#N/A</v>
      </c>
      <c r="O352" s="1211" t="e">
        <f t="shared" ca="1" si="72"/>
        <v>#N/A</v>
      </c>
      <c r="P352" s="1213" t="e">
        <f ca="1">IF(AND(換券投組!$D$17&gt;=O352,換券投組!$D$13=D352),I352+INT((換券投組!$D$17-O352)/N352)*J352,0)</f>
        <v>#N/A</v>
      </c>
      <c r="Q352" s="1211" t="e">
        <f t="shared" ca="1" si="73"/>
        <v>#N/A</v>
      </c>
      <c r="R352" s="1213">
        <f t="shared" si="74"/>
        <v>0</v>
      </c>
      <c r="S352" s="1213">
        <f t="shared" si="75"/>
        <v>0</v>
      </c>
      <c r="T352" s="136">
        <f t="shared" si="77"/>
        <v>0</v>
      </c>
      <c r="U352" s="861">
        <f t="shared" si="78"/>
        <v>0</v>
      </c>
      <c r="V352" s="136" t="e">
        <f ca="1">IF(OR(D352&lt;&gt;"USD",L352="無",M352&lt;&gt;"",K352="高資產",IFERROR(MATCH(B352,換券投組!K:K,0),"N")&lt;&gt;"N",IFERROR(MATCH(B352,換券投組!J:J,0),"N")&lt;&gt;"N"),FALSE,IF($V$1="All",TRUE,IF(K352=$V$1,TRUE,FALSE)))</f>
        <v>#N/A</v>
      </c>
      <c r="W352" s="136" t="e">
        <f ca="1">VLOOKUP(A352,'銀行-TSS'!A:AO,41,FALSE)</f>
        <v>#N/A</v>
      </c>
      <c r="X352" s="136" t="e">
        <f ca="1">VLOOKUP(A352,'銀行-TSS'!A:AP,42,FALSE)</f>
        <v>#N/A</v>
      </c>
      <c r="Y352" s="1223">
        <f t="shared" si="76"/>
        <v>0</v>
      </c>
      <c r="Z352" s="1211">
        <f t="shared" si="79"/>
        <v>0</v>
      </c>
      <c r="AA352" s="136">
        <f>IF(Z352&lt;=0,0,RANK(Z352,Z:Z)+COUNTIF($Z$3:$Z352,Z352)-1)</f>
        <v>0</v>
      </c>
      <c r="AB352" s="1211">
        <f t="shared" ca="1" si="80"/>
        <v>0</v>
      </c>
      <c r="AC352" s="136">
        <f ca="1">IF(AB352&lt;=0,0,RANK(AB352,AB:AB)+COUNTIF($AB$3:$AB352,AB352)-1)</f>
        <v>0</v>
      </c>
      <c r="AD352" s="136">
        <f t="shared" si="81"/>
        <v>99999</v>
      </c>
      <c r="AE352" s="136">
        <f>IF(AD352=99999,0,RANK(AD352,AD:AD,1)+COUNTIF($AD$3:$AD352,AD352)-1)</f>
        <v>0</v>
      </c>
    </row>
    <row r="353" spans="1:31">
      <c r="A353" s="141">
        <f>'銀行-TSS'!A353</f>
        <v>0</v>
      </c>
      <c r="B353" s="151">
        <f ca="1">VLOOKUP(A353,'銀行-TSS'!A:B,2,FALSE)</f>
        <v>0</v>
      </c>
      <c r="C353" s="151" t="e">
        <f ca="1">VLOOKUP(B353,bond!B:C,2,FALSE)</f>
        <v>#N/A</v>
      </c>
      <c r="D353" s="95" t="e">
        <f>VLOOKUP(A353,'銀行-TSS'!A:C,3,FALSE)</f>
        <v>#N/A</v>
      </c>
      <c r="E353" s="90" t="e">
        <f ca="1">VLOOKUP(A353,'銀行-TSS'!A:G,7,FALSE)</f>
        <v>#N/A</v>
      </c>
      <c r="F353" s="202" t="e">
        <f ca="1">VLOOKUP(A353,'銀行-TSS'!A:H,8,FALSE)</f>
        <v>#N/A</v>
      </c>
      <c r="G353" s="96" t="e">
        <f ca="1">VLOOKUP(A353,'銀行-TSS'!A:K,11,FALSE)</f>
        <v>#N/A</v>
      </c>
      <c r="H353" s="1209" t="e">
        <f ca="1">VLOOKUP(A353,'銀行-TSS'!A:M,13,FALSE)</f>
        <v>#N/A</v>
      </c>
      <c r="I353" s="1213" t="e">
        <f ca="1">VLOOKUP(A353,'銀行-TSS'!A:N,14,FALSE)</f>
        <v>#N/A</v>
      </c>
      <c r="J353" s="1213" t="e">
        <f ca="1">VLOOKUP(A353,'銀行-TSS'!A:O,15,FALSE)</f>
        <v>#N/A</v>
      </c>
      <c r="K353" s="136" t="e">
        <f ca="1">VLOOKUP(A353,'銀行-TSS'!A:V,22,FALSE)</f>
        <v>#N/A</v>
      </c>
      <c r="L353" s="136" t="e">
        <f ca="1">VLOOKUP(A353,'銀行-TSS'!A:AK,37,FALSE)</f>
        <v>#N/A</v>
      </c>
      <c r="M353" s="136" t="str">
        <f ca="1">VLOOKUP(A353,'銀行-TSS'!A:AN,40,FALSE)</f>
        <v/>
      </c>
      <c r="N353" s="1211" t="e">
        <f t="shared" ca="1" si="71"/>
        <v>#N/A</v>
      </c>
      <c r="O353" s="1211" t="e">
        <f t="shared" ca="1" si="72"/>
        <v>#N/A</v>
      </c>
      <c r="P353" s="1213" t="e">
        <f ca="1">IF(AND(換券投組!$D$17&gt;=O353,換券投組!$D$13=D353),I353+INT((換券投組!$D$17-O353)/N353)*J353,0)</f>
        <v>#N/A</v>
      </c>
      <c r="Q353" s="1211" t="e">
        <f t="shared" ca="1" si="73"/>
        <v>#N/A</v>
      </c>
      <c r="R353" s="1213">
        <f t="shared" si="74"/>
        <v>0</v>
      </c>
      <c r="S353" s="1213">
        <f t="shared" si="75"/>
        <v>0</v>
      </c>
      <c r="T353" s="136">
        <f t="shared" si="77"/>
        <v>0</v>
      </c>
      <c r="U353" s="861">
        <f t="shared" si="78"/>
        <v>0</v>
      </c>
      <c r="V353" s="136" t="e">
        <f ca="1">IF(OR(D353&lt;&gt;"USD",L353="無",M353&lt;&gt;"",K353="高資產",IFERROR(MATCH(B353,換券投組!K:K,0),"N")&lt;&gt;"N",IFERROR(MATCH(B353,換券投組!J:J,0),"N")&lt;&gt;"N"),FALSE,IF($V$1="All",TRUE,IF(K353=$V$1,TRUE,FALSE)))</f>
        <v>#N/A</v>
      </c>
      <c r="W353" s="136" t="e">
        <f ca="1">VLOOKUP(A353,'銀行-TSS'!A:AO,41,FALSE)</f>
        <v>#N/A</v>
      </c>
      <c r="X353" s="136" t="e">
        <f ca="1">VLOOKUP(A353,'銀行-TSS'!A:AP,42,FALSE)</f>
        <v>#N/A</v>
      </c>
      <c r="Y353" s="1223">
        <f t="shared" si="76"/>
        <v>0</v>
      </c>
      <c r="Z353" s="1211">
        <f t="shared" si="79"/>
        <v>0</v>
      </c>
      <c r="AA353" s="136">
        <f>IF(Z353&lt;=0,0,RANK(Z353,Z:Z)+COUNTIF($Z$3:$Z353,Z353)-1)</f>
        <v>0</v>
      </c>
      <c r="AB353" s="1211">
        <f t="shared" ca="1" si="80"/>
        <v>0</v>
      </c>
      <c r="AC353" s="136">
        <f ca="1">IF(AB353&lt;=0,0,RANK(AB353,AB:AB)+COUNTIF($AB$3:$AB353,AB353)-1)</f>
        <v>0</v>
      </c>
      <c r="AD353" s="136">
        <f t="shared" si="81"/>
        <v>99999</v>
      </c>
      <c r="AE353" s="136">
        <f>IF(AD353=99999,0,RANK(AD353,AD:AD,1)+COUNTIF($AD$3:$AD353,AD353)-1)</f>
        <v>0</v>
      </c>
    </row>
    <row r="354" spans="1:31">
      <c r="A354" s="141">
        <f>'銀行-TSS'!A354</f>
        <v>0</v>
      </c>
      <c r="B354" s="151">
        <f ca="1">VLOOKUP(A354,'銀行-TSS'!A:B,2,FALSE)</f>
        <v>0</v>
      </c>
      <c r="C354" s="151" t="e">
        <f ca="1">VLOOKUP(B354,bond!B:C,2,FALSE)</f>
        <v>#N/A</v>
      </c>
      <c r="D354" s="95" t="e">
        <f>VLOOKUP(A354,'銀行-TSS'!A:C,3,FALSE)</f>
        <v>#N/A</v>
      </c>
      <c r="E354" s="90" t="e">
        <f ca="1">VLOOKUP(A354,'銀行-TSS'!A:G,7,FALSE)</f>
        <v>#N/A</v>
      </c>
      <c r="F354" s="202" t="e">
        <f ca="1">VLOOKUP(A354,'銀行-TSS'!A:H,8,FALSE)</f>
        <v>#N/A</v>
      </c>
      <c r="G354" s="96" t="e">
        <f ca="1">VLOOKUP(A354,'銀行-TSS'!A:K,11,FALSE)</f>
        <v>#N/A</v>
      </c>
      <c r="H354" s="1209" t="e">
        <f ca="1">VLOOKUP(A354,'銀行-TSS'!A:M,13,FALSE)</f>
        <v>#N/A</v>
      </c>
      <c r="I354" s="1213" t="e">
        <f ca="1">VLOOKUP(A354,'銀行-TSS'!A:N,14,FALSE)</f>
        <v>#N/A</v>
      </c>
      <c r="J354" s="1213" t="e">
        <f ca="1">VLOOKUP(A354,'銀行-TSS'!A:O,15,FALSE)</f>
        <v>#N/A</v>
      </c>
      <c r="K354" s="136" t="e">
        <f ca="1">VLOOKUP(A354,'銀行-TSS'!A:V,22,FALSE)</f>
        <v>#N/A</v>
      </c>
      <c r="L354" s="136" t="e">
        <f ca="1">VLOOKUP(A354,'銀行-TSS'!A:AK,37,FALSE)</f>
        <v>#N/A</v>
      </c>
      <c r="M354" s="136" t="str">
        <f ca="1">VLOOKUP(A354,'銀行-TSS'!A:AN,40,FALSE)</f>
        <v/>
      </c>
      <c r="N354" s="1211" t="e">
        <f t="shared" ca="1" si="71"/>
        <v>#N/A</v>
      </c>
      <c r="O354" s="1211" t="e">
        <f t="shared" ca="1" si="72"/>
        <v>#N/A</v>
      </c>
      <c r="P354" s="1213" t="e">
        <f ca="1">IF(AND(換券投組!$D$17&gt;=O354,換券投組!$D$13=D354),I354+INT((換券投組!$D$17-O354)/N354)*J354,0)</f>
        <v>#N/A</v>
      </c>
      <c r="Q354" s="1211" t="e">
        <f t="shared" ca="1" si="73"/>
        <v>#N/A</v>
      </c>
      <c r="R354" s="1213">
        <f t="shared" si="74"/>
        <v>0</v>
      </c>
      <c r="S354" s="1213">
        <f t="shared" si="75"/>
        <v>0</v>
      </c>
      <c r="T354" s="136">
        <f t="shared" si="77"/>
        <v>0</v>
      </c>
      <c r="U354" s="861">
        <f t="shared" si="78"/>
        <v>0</v>
      </c>
      <c r="V354" s="136" t="e">
        <f ca="1">IF(OR(D354&lt;&gt;"USD",L354="無",M354&lt;&gt;"",K354="高資產",IFERROR(MATCH(B354,換券投組!K:K,0),"N")&lt;&gt;"N",IFERROR(MATCH(B354,換券投組!J:J,0),"N")&lt;&gt;"N"),FALSE,IF($V$1="All",TRUE,IF(K354=$V$1,TRUE,FALSE)))</f>
        <v>#N/A</v>
      </c>
      <c r="W354" s="136" t="e">
        <f ca="1">VLOOKUP(A354,'銀行-TSS'!A:AO,41,FALSE)</f>
        <v>#N/A</v>
      </c>
      <c r="X354" s="136" t="e">
        <f ca="1">VLOOKUP(A354,'銀行-TSS'!A:AP,42,FALSE)</f>
        <v>#N/A</v>
      </c>
      <c r="Y354" s="1223">
        <f t="shared" si="76"/>
        <v>0</v>
      </c>
      <c r="Z354" s="1211">
        <f t="shared" si="79"/>
        <v>0</v>
      </c>
      <c r="AA354" s="136">
        <f>IF(Z354&lt;=0,0,RANK(Z354,Z:Z)+COUNTIF($Z$3:$Z354,Z354)-1)</f>
        <v>0</v>
      </c>
      <c r="AB354" s="1211">
        <f t="shared" ca="1" si="80"/>
        <v>0</v>
      </c>
      <c r="AC354" s="136">
        <f ca="1">IF(AB354&lt;=0,0,RANK(AB354,AB:AB)+COUNTIF($AB$3:$AB354,AB354)-1)</f>
        <v>0</v>
      </c>
      <c r="AD354" s="136">
        <f t="shared" si="81"/>
        <v>99999</v>
      </c>
      <c r="AE354" s="136">
        <f>IF(AD354=99999,0,RANK(AD354,AD:AD,1)+COUNTIF($AD$3:$AD354,AD354)-1)</f>
        <v>0</v>
      </c>
    </row>
    <row r="355" spans="1:31">
      <c r="A355" s="141">
        <f>'銀行-TSS'!A355</f>
        <v>0</v>
      </c>
      <c r="B355" s="151">
        <f ca="1">VLOOKUP(A355,'銀行-TSS'!A:B,2,FALSE)</f>
        <v>0</v>
      </c>
      <c r="C355" s="151" t="e">
        <f ca="1">VLOOKUP(B355,bond!B:C,2,FALSE)</f>
        <v>#N/A</v>
      </c>
      <c r="D355" s="95" t="e">
        <f>VLOOKUP(A355,'銀行-TSS'!A:C,3,FALSE)</f>
        <v>#N/A</v>
      </c>
      <c r="E355" s="90" t="e">
        <f ca="1">VLOOKUP(A355,'銀行-TSS'!A:G,7,FALSE)</f>
        <v>#N/A</v>
      </c>
      <c r="F355" s="202" t="e">
        <f ca="1">VLOOKUP(A355,'銀行-TSS'!A:H,8,FALSE)</f>
        <v>#N/A</v>
      </c>
      <c r="G355" s="96" t="e">
        <f ca="1">VLOOKUP(A355,'銀行-TSS'!A:K,11,FALSE)</f>
        <v>#N/A</v>
      </c>
      <c r="H355" s="1209" t="e">
        <f ca="1">VLOOKUP(A355,'銀行-TSS'!A:M,13,FALSE)</f>
        <v>#N/A</v>
      </c>
      <c r="I355" s="1213" t="e">
        <f ca="1">VLOOKUP(A355,'銀行-TSS'!A:N,14,FALSE)</f>
        <v>#N/A</v>
      </c>
      <c r="J355" s="1213" t="e">
        <f ca="1">VLOOKUP(A355,'銀行-TSS'!A:O,15,FALSE)</f>
        <v>#N/A</v>
      </c>
      <c r="K355" s="136" t="e">
        <f ca="1">VLOOKUP(A355,'銀行-TSS'!A:V,22,FALSE)</f>
        <v>#N/A</v>
      </c>
      <c r="L355" s="136" t="e">
        <f ca="1">VLOOKUP(A355,'銀行-TSS'!A:AK,37,FALSE)</f>
        <v>#N/A</v>
      </c>
      <c r="M355" s="136" t="str">
        <f ca="1">VLOOKUP(A355,'銀行-TSS'!A:AN,40,FALSE)</f>
        <v/>
      </c>
      <c r="N355" s="1211" t="e">
        <f t="shared" ca="1" si="71"/>
        <v>#N/A</v>
      </c>
      <c r="O355" s="1211" t="e">
        <f t="shared" ca="1" si="72"/>
        <v>#N/A</v>
      </c>
      <c r="P355" s="1213" t="e">
        <f ca="1">IF(AND(換券投組!$D$17&gt;=O355,換券投組!$D$13=D355),I355+INT((換券投組!$D$17-O355)/N355)*J355,0)</f>
        <v>#N/A</v>
      </c>
      <c r="Q355" s="1211" t="e">
        <f t="shared" ca="1" si="73"/>
        <v>#N/A</v>
      </c>
      <c r="R355" s="1213">
        <f t="shared" si="74"/>
        <v>0</v>
      </c>
      <c r="S355" s="1213">
        <f t="shared" si="75"/>
        <v>0</v>
      </c>
      <c r="T355" s="136">
        <f t="shared" si="77"/>
        <v>0</v>
      </c>
      <c r="U355" s="861">
        <f t="shared" si="78"/>
        <v>0</v>
      </c>
      <c r="V355" s="136" t="e">
        <f ca="1">IF(OR(D355&lt;&gt;"USD",L355="無",M355&lt;&gt;"",K355="高資產",IFERROR(MATCH(B355,換券投組!K:K,0),"N")&lt;&gt;"N",IFERROR(MATCH(B355,換券投組!J:J,0),"N")&lt;&gt;"N"),FALSE,IF($V$1="All",TRUE,IF(K355=$V$1,TRUE,FALSE)))</f>
        <v>#N/A</v>
      </c>
      <c r="W355" s="136" t="e">
        <f ca="1">VLOOKUP(A355,'銀行-TSS'!A:AO,41,FALSE)</f>
        <v>#N/A</v>
      </c>
      <c r="X355" s="136" t="e">
        <f ca="1">VLOOKUP(A355,'銀行-TSS'!A:AP,42,FALSE)</f>
        <v>#N/A</v>
      </c>
      <c r="Y355" s="1223">
        <f t="shared" si="76"/>
        <v>0</v>
      </c>
      <c r="Z355" s="1211">
        <f t="shared" si="79"/>
        <v>0</v>
      </c>
      <c r="AA355" s="136">
        <f>IF(Z355&lt;=0,0,RANK(Z355,Z:Z)+COUNTIF($Z$3:$Z355,Z355)-1)</f>
        <v>0</v>
      </c>
      <c r="AB355" s="1211">
        <f t="shared" ca="1" si="80"/>
        <v>0</v>
      </c>
      <c r="AC355" s="136">
        <f ca="1">IF(AB355&lt;=0,0,RANK(AB355,AB:AB)+COUNTIF($AB$3:$AB355,AB355)-1)</f>
        <v>0</v>
      </c>
      <c r="AD355" s="136">
        <f t="shared" si="81"/>
        <v>99999</v>
      </c>
      <c r="AE355" s="136">
        <f>IF(AD355=99999,0,RANK(AD355,AD:AD,1)+COUNTIF($AD$3:$AD355,AD355)-1)</f>
        <v>0</v>
      </c>
    </row>
    <row r="356" spans="1:31">
      <c r="A356" s="141">
        <f>'銀行-TSS'!A356</f>
        <v>0</v>
      </c>
      <c r="B356" s="151">
        <f ca="1">VLOOKUP(A356,'銀行-TSS'!A:B,2,FALSE)</f>
        <v>0</v>
      </c>
      <c r="C356" s="151" t="e">
        <f ca="1">VLOOKUP(B356,bond!B:C,2,FALSE)</f>
        <v>#N/A</v>
      </c>
      <c r="D356" s="95" t="e">
        <f>VLOOKUP(A356,'銀行-TSS'!A:C,3,FALSE)</f>
        <v>#N/A</v>
      </c>
      <c r="E356" s="90" t="e">
        <f ca="1">VLOOKUP(A356,'銀行-TSS'!A:G,7,FALSE)</f>
        <v>#N/A</v>
      </c>
      <c r="F356" s="202" t="e">
        <f ca="1">VLOOKUP(A356,'銀行-TSS'!A:H,8,FALSE)</f>
        <v>#N/A</v>
      </c>
      <c r="G356" s="96" t="e">
        <f ca="1">VLOOKUP(A356,'銀行-TSS'!A:K,11,FALSE)</f>
        <v>#N/A</v>
      </c>
      <c r="H356" s="1209" t="e">
        <f ca="1">VLOOKUP(A356,'銀行-TSS'!A:M,13,FALSE)</f>
        <v>#N/A</v>
      </c>
      <c r="I356" s="1213" t="e">
        <f ca="1">VLOOKUP(A356,'銀行-TSS'!A:N,14,FALSE)</f>
        <v>#N/A</v>
      </c>
      <c r="J356" s="1213" t="e">
        <f ca="1">VLOOKUP(A356,'銀行-TSS'!A:O,15,FALSE)</f>
        <v>#N/A</v>
      </c>
      <c r="K356" s="136" t="e">
        <f ca="1">VLOOKUP(A356,'銀行-TSS'!A:V,22,FALSE)</f>
        <v>#N/A</v>
      </c>
      <c r="L356" s="136" t="e">
        <f ca="1">VLOOKUP(A356,'銀行-TSS'!A:AK,37,FALSE)</f>
        <v>#N/A</v>
      </c>
      <c r="M356" s="136" t="str">
        <f ca="1">VLOOKUP(A356,'銀行-TSS'!A:AN,40,FALSE)</f>
        <v/>
      </c>
      <c r="N356" s="1211" t="e">
        <f t="shared" ca="1" si="71"/>
        <v>#N/A</v>
      </c>
      <c r="O356" s="1211" t="e">
        <f t="shared" ca="1" si="72"/>
        <v>#N/A</v>
      </c>
      <c r="P356" s="1213" t="e">
        <f ca="1">IF(AND(換券投組!$D$17&gt;=O356,換券投組!$D$13=D356),I356+INT((換券投組!$D$17-O356)/N356)*J356,0)</f>
        <v>#N/A</v>
      </c>
      <c r="Q356" s="1211" t="e">
        <f t="shared" ca="1" si="73"/>
        <v>#N/A</v>
      </c>
      <c r="R356" s="1213">
        <f t="shared" si="74"/>
        <v>0</v>
      </c>
      <c r="S356" s="1213">
        <f t="shared" si="75"/>
        <v>0</v>
      </c>
      <c r="T356" s="136">
        <f t="shared" si="77"/>
        <v>0</v>
      </c>
      <c r="U356" s="861">
        <f t="shared" si="78"/>
        <v>0</v>
      </c>
      <c r="V356" s="136" t="e">
        <f ca="1">IF(OR(D356&lt;&gt;"USD",L356="無",M356&lt;&gt;"",K356="高資產",IFERROR(MATCH(B356,換券投組!K:K,0),"N")&lt;&gt;"N",IFERROR(MATCH(B356,換券投組!J:J,0),"N")&lt;&gt;"N"),FALSE,IF($V$1="All",TRUE,IF(K356=$V$1,TRUE,FALSE)))</f>
        <v>#N/A</v>
      </c>
      <c r="W356" s="136" t="e">
        <f ca="1">VLOOKUP(A356,'銀行-TSS'!A:AO,41,FALSE)</f>
        <v>#N/A</v>
      </c>
      <c r="X356" s="136" t="e">
        <f ca="1">VLOOKUP(A356,'銀行-TSS'!A:AP,42,FALSE)</f>
        <v>#N/A</v>
      </c>
      <c r="Y356" s="1223">
        <f t="shared" si="76"/>
        <v>0</v>
      </c>
      <c r="Z356" s="1211">
        <f t="shared" si="79"/>
        <v>0</v>
      </c>
      <c r="AA356" s="136">
        <f>IF(Z356&lt;=0,0,RANK(Z356,Z:Z)+COUNTIF($Z$3:$Z356,Z356)-1)</f>
        <v>0</v>
      </c>
      <c r="AB356" s="1211">
        <f t="shared" ca="1" si="80"/>
        <v>0</v>
      </c>
      <c r="AC356" s="136">
        <f ca="1">IF(AB356&lt;=0,0,RANK(AB356,AB:AB)+COUNTIF($AB$3:$AB356,AB356)-1)</f>
        <v>0</v>
      </c>
      <c r="AD356" s="136">
        <f t="shared" si="81"/>
        <v>99999</v>
      </c>
      <c r="AE356" s="136">
        <f>IF(AD356=99999,0,RANK(AD356,AD:AD,1)+COUNTIF($AD$3:$AD356,AD356)-1)</f>
        <v>0</v>
      </c>
    </row>
    <row r="357" spans="1:31">
      <c r="A357" s="141">
        <f>'銀行-TSS'!A357</f>
        <v>0</v>
      </c>
      <c r="B357" s="151">
        <f ca="1">VLOOKUP(A357,'銀行-TSS'!A:B,2,FALSE)</f>
        <v>0</v>
      </c>
      <c r="C357" s="151" t="e">
        <f ca="1">VLOOKUP(B357,bond!B:C,2,FALSE)</f>
        <v>#N/A</v>
      </c>
      <c r="D357" s="95" t="e">
        <f>VLOOKUP(A357,'銀行-TSS'!A:C,3,FALSE)</f>
        <v>#N/A</v>
      </c>
      <c r="E357" s="90" t="e">
        <f ca="1">VLOOKUP(A357,'銀行-TSS'!A:G,7,FALSE)</f>
        <v>#N/A</v>
      </c>
      <c r="F357" s="202" t="e">
        <f ca="1">VLOOKUP(A357,'銀行-TSS'!A:H,8,FALSE)</f>
        <v>#N/A</v>
      </c>
      <c r="G357" s="96" t="e">
        <f ca="1">VLOOKUP(A357,'銀行-TSS'!A:K,11,FALSE)</f>
        <v>#N/A</v>
      </c>
      <c r="H357" s="1209" t="e">
        <f ca="1">VLOOKUP(A357,'銀行-TSS'!A:M,13,FALSE)</f>
        <v>#N/A</v>
      </c>
      <c r="I357" s="1213" t="e">
        <f ca="1">VLOOKUP(A357,'銀行-TSS'!A:N,14,FALSE)</f>
        <v>#N/A</v>
      </c>
      <c r="J357" s="1213" t="e">
        <f ca="1">VLOOKUP(A357,'銀行-TSS'!A:O,15,FALSE)</f>
        <v>#N/A</v>
      </c>
      <c r="K357" s="136" t="e">
        <f ca="1">VLOOKUP(A357,'銀行-TSS'!A:V,22,FALSE)</f>
        <v>#N/A</v>
      </c>
      <c r="L357" s="136" t="e">
        <f ca="1">VLOOKUP(A357,'銀行-TSS'!A:AK,37,FALSE)</f>
        <v>#N/A</v>
      </c>
      <c r="M357" s="136" t="str">
        <f ca="1">VLOOKUP(A357,'銀行-TSS'!A:AN,40,FALSE)</f>
        <v/>
      </c>
      <c r="N357" s="1211" t="e">
        <f t="shared" ca="1" si="71"/>
        <v>#N/A</v>
      </c>
      <c r="O357" s="1211" t="e">
        <f t="shared" ca="1" si="72"/>
        <v>#N/A</v>
      </c>
      <c r="P357" s="1213" t="e">
        <f ca="1">IF(AND(換券投組!$D$17&gt;=O357,換券投組!$D$13=D357),I357+INT((換券投組!$D$17-O357)/N357)*J357,0)</f>
        <v>#N/A</v>
      </c>
      <c r="Q357" s="1211" t="e">
        <f t="shared" ca="1" si="73"/>
        <v>#N/A</v>
      </c>
      <c r="R357" s="1213">
        <f t="shared" si="74"/>
        <v>0</v>
      </c>
      <c r="S357" s="1213">
        <f t="shared" si="75"/>
        <v>0</v>
      </c>
      <c r="T357" s="136">
        <f t="shared" si="77"/>
        <v>0</v>
      </c>
      <c r="U357" s="861">
        <f t="shared" si="78"/>
        <v>0</v>
      </c>
      <c r="V357" s="136" t="e">
        <f ca="1">IF(OR(D357&lt;&gt;"USD",L357="無",M357&lt;&gt;"",K357="高資產",IFERROR(MATCH(B357,換券投組!K:K,0),"N")&lt;&gt;"N",IFERROR(MATCH(B357,換券投組!J:J,0),"N")&lt;&gt;"N"),FALSE,IF($V$1="All",TRUE,IF(K357=$V$1,TRUE,FALSE)))</f>
        <v>#N/A</v>
      </c>
      <c r="W357" s="136" t="e">
        <f ca="1">VLOOKUP(A357,'銀行-TSS'!A:AO,41,FALSE)</f>
        <v>#N/A</v>
      </c>
      <c r="X357" s="136" t="e">
        <f ca="1">VLOOKUP(A357,'銀行-TSS'!A:AP,42,FALSE)</f>
        <v>#N/A</v>
      </c>
      <c r="Y357" s="1223">
        <f t="shared" si="76"/>
        <v>0</v>
      </c>
      <c r="Z357" s="1211">
        <f t="shared" si="79"/>
        <v>0</v>
      </c>
      <c r="AA357" s="136">
        <f>IF(Z357&lt;=0,0,RANK(Z357,Z:Z)+COUNTIF($Z$3:$Z357,Z357)-1)</f>
        <v>0</v>
      </c>
      <c r="AB357" s="1211">
        <f t="shared" ca="1" si="80"/>
        <v>0</v>
      </c>
      <c r="AC357" s="136">
        <f ca="1">IF(AB357&lt;=0,0,RANK(AB357,AB:AB)+COUNTIF($AB$3:$AB357,AB357)-1)</f>
        <v>0</v>
      </c>
      <c r="AD357" s="136">
        <f t="shared" si="81"/>
        <v>99999</v>
      </c>
      <c r="AE357" s="136">
        <f>IF(AD357=99999,0,RANK(AD357,AD:AD,1)+COUNTIF($AD$3:$AD357,AD357)-1)</f>
        <v>0</v>
      </c>
    </row>
    <row r="358" spans="1:31">
      <c r="A358" s="141">
        <f>'銀行-TSS'!A358</f>
        <v>0</v>
      </c>
      <c r="B358" s="151">
        <f ca="1">VLOOKUP(A358,'銀行-TSS'!A:B,2,FALSE)</f>
        <v>0</v>
      </c>
      <c r="C358" s="151" t="e">
        <f ca="1">VLOOKUP(B358,bond!B:C,2,FALSE)</f>
        <v>#N/A</v>
      </c>
      <c r="D358" s="95" t="e">
        <f>VLOOKUP(A358,'銀行-TSS'!A:C,3,FALSE)</f>
        <v>#N/A</v>
      </c>
      <c r="E358" s="90" t="e">
        <f ca="1">VLOOKUP(A358,'銀行-TSS'!A:G,7,FALSE)</f>
        <v>#N/A</v>
      </c>
      <c r="F358" s="202" t="e">
        <f ca="1">VLOOKUP(A358,'銀行-TSS'!A:H,8,FALSE)</f>
        <v>#N/A</v>
      </c>
      <c r="G358" s="96" t="e">
        <f ca="1">VLOOKUP(A358,'銀行-TSS'!A:K,11,FALSE)</f>
        <v>#N/A</v>
      </c>
      <c r="H358" s="1209" t="e">
        <f ca="1">VLOOKUP(A358,'銀行-TSS'!A:M,13,FALSE)</f>
        <v>#N/A</v>
      </c>
      <c r="I358" s="1213" t="e">
        <f ca="1">VLOOKUP(A358,'銀行-TSS'!A:N,14,FALSE)</f>
        <v>#N/A</v>
      </c>
      <c r="J358" s="1213" t="e">
        <f ca="1">VLOOKUP(A358,'銀行-TSS'!A:O,15,FALSE)</f>
        <v>#N/A</v>
      </c>
      <c r="K358" s="136" t="e">
        <f ca="1">VLOOKUP(A358,'銀行-TSS'!A:V,22,FALSE)</f>
        <v>#N/A</v>
      </c>
      <c r="L358" s="136" t="e">
        <f ca="1">VLOOKUP(A358,'銀行-TSS'!A:AK,37,FALSE)</f>
        <v>#N/A</v>
      </c>
      <c r="M358" s="136" t="str">
        <f ca="1">VLOOKUP(A358,'銀行-TSS'!A:AN,40,FALSE)</f>
        <v/>
      </c>
      <c r="N358" s="1211" t="e">
        <f t="shared" ca="1" si="71"/>
        <v>#N/A</v>
      </c>
      <c r="O358" s="1211" t="e">
        <f t="shared" ca="1" si="72"/>
        <v>#N/A</v>
      </c>
      <c r="P358" s="1213" t="e">
        <f ca="1">IF(AND(換券投組!$D$17&gt;=O358,換券投組!$D$13=D358),I358+INT((換券投組!$D$17-O358)/N358)*J358,0)</f>
        <v>#N/A</v>
      </c>
      <c r="Q358" s="1211" t="e">
        <f t="shared" ca="1" si="73"/>
        <v>#N/A</v>
      </c>
      <c r="R358" s="1213">
        <f t="shared" si="74"/>
        <v>0</v>
      </c>
      <c r="S358" s="1213">
        <f t="shared" si="75"/>
        <v>0</v>
      </c>
      <c r="T358" s="136">
        <f t="shared" si="77"/>
        <v>0</v>
      </c>
      <c r="U358" s="861">
        <f t="shared" si="78"/>
        <v>0</v>
      </c>
      <c r="V358" s="136" t="e">
        <f ca="1">IF(OR(D358&lt;&gt;"USD",L358="無",M358&lt;&gt;"",K358="高資產",IFERROR(MATCH(B358,換券投組!K:K,0),"N")&lt;&gt;"N",IFERROR(MATCH(B358,換券投組!J:J,0),"N")&lt;&gt;"N"),FALSE,IF($V$1="All",TRUE,IF(K358=$V$1,TRUE,FALSE)))</f>
        <v>#N/A</v>
      </c>
      <c r="W358" s="136" t="e">
        <f ca="1">VLOOKUP(A358,'銀行-TSS'!A:AO,41,FALSE)</f>
        <v>#N/A</v>
      </c>
      <c r="X358" s="136" t="e">
        <f ca="1">VLOOKUP(A358,'銀行-TSS'!A:AP,42,FALSE)</f>
        <v>#N/A</v>
      </c>
      <c r="Y358" s="1223">
        <f t="shared" si="76"/>
        <v>0</v>
      </c>
      <c r="Z358" s="1211">
        <f t="shared" si="79"/>
        <v>0</v>
      </c>
      <c r="AA358" s="136">
        <f>IF(Z358&lt;=0,0,RANK(Z358,Z:Z)+COUNTIF($Z$3:$Z358,Z358)-1)</f>
        <v>0</v>
      </c>
      <c r="AB358" s="1211">
        <f t="shared" ca="1" si="80"/>
        <v>0</v>
      </c>
      <c r="AC358" s="136">
        <f ca="1">IF(AB358&lt;=0,0,RANK(AB358,AB:AB)+COUNTIF($AB$3:$AB358,AB358)-1)</f>
        <v>0</v>
      </c>
      <c r="AD358" s="136">
        <f t="shared" si="81"/>
        <v>99999</v>
      </c>
      <c r="AE358" s="136">
        <f>IF(AD358=99999,0,RANK(AD358,AD:AD,1)+COUNTIF($AD$3:$AD358,AD358)-1)</f>
        <v>0</v>
      </c>
    </row>
    <row r="359" spans="1:31">
      <c r="A359" s="141">
        <f>'銀行-TSS'!A359</f>
        <v>0</v>
      </c>
      <c r="B359" s="151">
        <f ca="1">VLOOKUP(A359,'銀行-TSS'!A:B,2,FALSE)</f>
        <v>0</v>
      </c>
      <c r="C359" s="151" t="e">
        <f ca="1">VLOOKUP(B359,bond!B:C,2,FALSE)</f>
        <v>#N/A</v>
      </c>
      <c r="D359" s="95" t="e">
        <f>VLOOKUP(A359,'銀行-TSS'!A:C,3,FALSE)</f>
        <v>#N/A</v>
      </c>
      <c r="E359" s="90" t="e">
        <f ca="1">VLOOKUP(A359,'銀行-TSS'!A:G,7,FALSE)</f>
        <v>#N/A</v>
      </c>
      <c r="F359" s="202" t="e">
        <f ca="1">VLOOKUP(A359,'銀行-TSS'!A:H,8,FALSE)</f>
        <v>#N/A</v>
      </c>
      <c r="G359" s="96" t="e">
        <f ca="1">VLOOKUP(A359,'銀行-TSS'!A:K,11,FALSE)</f>
        <v>#N/A</v>
      </c>
      <c r="H359" s="1209" t="e">
        <f ca="1">VLOOKUP(A359,'銀行-TSS'!A:M,13,FALSE)</f>
        <v>#N/A</v>
      </c>
      <c r="I359" s="1213" t="e">
        <f ca="1">VLOOKUP(A359,'銀行-TSS'!A:N,14,FALSE)</f>
        <v>#N/A</v>
      </c>
      <c r="J359" s="1213" t="e">
        <f ca="1">VLOOKUP(A359,'銀行-TSS'!A:O,15,FALSE)</f>
        <v>#N/A</v>
      </c>
      <c r="K359" s="136" t="e">
        <f ca="1">VLOOKUP(A359,'銀行-TSS'!A:V,22,FALSE)</f>
        <v>#N/A</v>
      </c>
      <c r="L359" s="136" t="e">
        <f ca="1">VLOOKUP(A359,'銀行-TSS'!A:AK,37,FALSE)</f>
        <v>#N/A</v>
      </c>
      <c r="M359" s="136" t="str">
        <f ca="1">VLOOKUP(A359,'銀行-TSS'!A:AN,40,FALSE)</f>
        <v/>
      </c>
      <c r="N359" s="1211" t="e">
        <f t="shared" ca="1" si="71"/>
        <v>#N/A</v>
      </c>
      <c r="O359" s="1211" t="e">
        <f t="shared" ca="1" si="72"/>
        <v>#N/A</v>
      </c>
      <c r="P359" s="1213" t="e">
        <f ca="1">IF(AND(換券投組!$D$17&gt;=O359,換券投組!$D$13=D359),I359+INT((換券投組!$D$17-O359)/N359)*J359,0)</f>
        <v>#N/A</v>
      </c>
      <c r="Q359" s="1211" t="e">
        <f t="shared" ca="1" si="73"/>
        <v>#N/A</v>
      </c>
      <c r="R359" s="1213">
        <f t="shared" si="74"/>
        <v>0</v>
      </c>
      <c r="S359" s="1213">
        <f t="shared" si="75"/>
        <v>0</v>
      </c>
      <c r="T359" s="136">
        <f t="shared" si="77"/>
        <v>0</v>
      </c>
      <c r="U359" s="861">
        <f t="shared" si="78"/>
        <v>0</v>
      </c>
      <c r="V359" s="136" t="e">
        <f ca="1">IF(OR(D359&lt;&gt;"USD",L359="無",M359&lt;&gt;"",K359="高資產",IFERROR(MATCH(B359,換券投組!K:K,0),"N")&lt;&gt;"N",IFERROR(MATCH(B359,換券投組!J:J,0),"N")&lt;&gt;"N"),FALSE,IF($V$1="All",TRUE,IF(K359=$V$1,TRUE,FALSE)))</f>
        <v>#N/A</v>
      </c>
      <c r="W359" s="136" t="e">
        <f ca="1">VLOOKUP(A359,'銀行-TSS'!A:AO,41,FALSE)</f>
        <v>#N/A</v>
      </c>
      <c r="X359" s="136" t="e">
        <f ca="1">VLOOKUP(A359,'銀行-TSS'!A:AP,42,FALSE)</f>
        <v>#N/A</v>
      </c>
      <c r="Y359" s="1223">
        <f t="shared" si="76"/>
        <v>0</v>
      </c>
      <c r="Z359" s="1211">
        <f t="shared" si="79"/>
        <v>0</v>
      </c>
      <c r="AA359" s="136">
        <f>IF(Z359&lt;=0,0,RANK(Z359,Z:Z)+COUNTIF($Z$3:$Z359,Z359)-1)</f>
        <v>0</v>
      </c>
      <c r="AB359" s="1211">
        <f t="shared" ca="1" si="80"/>
        <v>0</v>
      </c>
      <c r="AC359" s="136">
        <f ca="1">IF(AB359&lt;=0,0,RANK(AB359,AB:AB)+COUNTIF($AB$3:$AB359,AB359)-1)</f>
        <v>0</v>
      </c>
      <c r="AD359" s="136">
        <f t="shared" si="81"/>
        <v>99999</v>
      </c>
      <c r="AE359" s="136">
        <f>IF(AD359=99999,0,RANK(AD359,AD:AD,1)+COUNTIF($AD$3:$AD359,AD359)-1)</f>
        <v>0</v>
      </c>
    </row>
    <row r="360" spans="1:31">
      <c r="A360" s="141">
        <f>'銀行-TSS'!A360</f>
        <v>0</v>
      </c>
      <c r="B360" s="151">
        <f ca="1">VLOOKUP(A360,'銀行-TSS'!A:B,2,FALSE)</f>
        <v>0</v>
      </c>
      <c r="C360" s="151" t="e">
        <f ca="1">VLOOKUP(B360,bond!B:C,2,FALSE)</f>
        <v>#N/A</v>
      </c>
      <c r="D360" s="95" t="e">
        <f>VLOOKUP(A360,'銀行-TSS'!A:C,3,FALSE)</f>
        <v>#N/A</v>
      </c>
      <c r="E360" s="90" t="e">
        <f ca="1">VLOOKUP(A360,'銀行-TSS'!A:G,7,FALSE)</f>
        <v>#N/A</v>
      </c>
      <c r="F360" s="202" t="e">
        <f ca="1">VLOOKUP(A360,'銀行-TSS'!A:H,8,FALSE)</f>
        <v>#N/A</v>
      </c>
      <c r="G360" s="96" t="e">
        <f ca="1">VLOOKUP(A360,'銀行-TSS'!A:K,11,FALSE)</f>
        <v>#N/A</v>
      </c>
      <c r="H360" s="1209" t="e">
        <f ca="1">VLOOKUP(A360,'銀行-TSS'!A:M,13,FALSE)</f>
        <v>#N/A</v>
      </c>
      <c r="I360" s="1213" t="e">
        <f ca="1">VLOOKUP(A360,'銀行-TSS'!A:N,14,FALSE)</f>
        <v>#N/A</v>
      </c>
      <c r="J360" s="1213" t="e">
        <f ca="1">VLOOKUP(A360,'銀行-TSS'!A:O,15,FALSE)</f>
        <v>#N/A</v>
      </c>
      <c r="K360" s="136" t="e">
        <f ca="1">VLOOKUP(A360,'銀行-TSS'!A:V,22,FALSE)</f>
        <v>#N/A</v>
      </c>
      <c r="L360" s="136" t="e">
        <f ca="1">VLOOKUP(A360,'銀行-TSS'!A:AK,37,FALSE)</f>
        <v>#N/A</v>
      </c>
      <c r="M360" s="136" t="str">
        <f ca="1">VLOOKUP(A360,'銀行-TSS'!A:AN,40,FALSE)</f>
        <v/>
      </c>
      <c r="N360" s="1211" t="e">
        <f t="shared" ca="1" si="71"/>
        <v>#N/A</v>
      </c>
      <c r="O360" s="1211" t="e">
        <f t="shared" ca="1" si="72"/>
        <v>#N/A</v>
      </c>
      <c r="P360" s="1213" t="e">
        <f ca="1">IF(AND(換券投組!$D$17&gt;=O360,換券投組!$D$13=D360),I360+INT((換券投組!$D$17-O360)/N360)*J360,0)</f>
        <v>#N/A</v>
      </c>
      <c r="Q360" s="1211" t="e">
        <f t="shared" ca="1" si="73"/>
        <v>#N/A</v>
      </c>
      <c r="R360" s="1213">
        <f t="shared" si="74"/>
        <v>0</v>
      </c>
      <c r="S360" s="1213">
        <f t="shared" si="75"/>
        <v>0</v>
      </c>
      <c r="T360" s="136">
        <f t="shared" si="77"/>
        <v>0</v>
      </c>
      <c r="U360" s="861">
        <f t="shared" si="78"/>
        <v>0</v>
      </c>
      <c r="V360" s="136" t="e">
        <f ca="1">IF(OR(D360&lt;&gt;"USD",L360="無",M360&lt;&gt;"",K360="高資產",IFERROR(MATCH(B360,換券投組!K:K,0),"N")&lt;&gt;"N",IFERROR(MATCH(B360,換券投組!J:J,0),"N")&lt;&gt;"N"),FALSE,IF($V$1="All",TRUE,IF(K360=$V$1,TRUE,FALSE)))</f>
        <v>#N/A</v>
      </c>
      <c r="W360" s="136" t="e">
        <f ca="1">VLOOKUP(A360,'銀行-TSS'!A:AO,41,FALSE)</f>
        <v>#N/A</v>
      </c>
      <c r="X360" s="136" t="e">
        <f ca="1">VLOOKUP(A360,'銀行-TSS'!A:AP,42,FALSE)</f>
        <v>#N/A</v>
      </c>
      <c r="Y360" s="1223">
        <f t="shared" si="76"/>
        <v>0</v>
      </c>
      <c r="Z360" s="1211">
        <f t="shared" si="79"/>
        <v>0</v>
      </c>
      <c r="AA360" s="136">
        <f>IF(Z360&lt;=0,0,RANK(Z360,Z:Z)+COUNTIF($Z$3:$Z360,Z360)-1)</f>
        <v>0</v>
      </c>
      <c r="AB360" s="1211">
        <f t="shared" ca="1" si="80"/>
        <v>0</v>
      </c>
      <c r="AC360" s="136">
        <f ca="1">IF(AB360&lt;=0,0,RANK(AB360,AB:AB)+COUNTIF($AB$3:$AB360,AB360)-1)</f>
        <v>0</v>
      </c>
      <c r="AD360" s="136">
        <f t="shared" si="81"/>
        <v>99999</v>
      </c>
      <c r="AE360" s="136">
        <f>IF(AD360=99999,0,RANK(AD360,AD:AD,1)+COUNTIF($AD$3:$AD360,AD360)-1)</f>
        <v>0</v>
      </c>
    </row>
    <row r="361" spans="1:31">
      <c r="A361" s="141">
        <f>'銀行-TSS'!A361</f>
        <v>0</v>
      </c>
      <c r="B361" s="151">
        <f ca="1">VLOOKUP(A361,'銀行-TSS'!A:B,2,FALSE)</f>
        <v>0</v>
      </c>
      <c r="C361" s="151" t="e">
        <f ca="1">VLOOKUP(B361,bond!B:C,2,FALSE)</f>
        <v>#N/A</v>
      </c>
      <c r="D361" s="95" t="e">
        <f>VLOOKUP(A361,'銀行-TSS'!A:C,3,FALSE)</f>
        <v>#N/A</v>
      </c>
      <c r="E361" s="90" t="e">
        <f ca="1">VLOOKUP(A361,'銀行-TSS'!A:G,7,FALSE)</f>
        <v>#N/A</v>
      </c>
      <c r="F361" s="202" t="e">
        <f ca="1">VLOOKUP(A361,'銀行-TSS'!A:H,8,FALSE)</f>
        <v>#N/A</v>
      </c>
      <c r="G361" s="96" t="e">
        <f ca="1">VLOOKUP(A361,'銀行-TSS'!A:K,11,FALSE)</f>
        <v>#N/A</v>
      </c>
      <c r="H361" s="1209" t="e">
        <f ca="1">VLOOKUP(A361,'銀行-TSS'!A:M,13,FALSE)</f>
        <v>#N/A</v>
      </c>
      <c r="I361" s="1213" t="e">
        <f ca="1">VLOOKUP(A361,'銀行-TSS'!A:N,14,FALSE)</f>
        <v>#N/A</v>
      </c>
      <c r="J361" s="1213" t="e">
        <f ca="1">VLOOKUP(A361,'銀行-TSS'!A:O,15,FALSE)</f>
        <v>#N/A</v>
      </c>
      <c r="K361" s="136" t="e">
        <f ca="1">VLOOKUP(A361,'銀行-TSS'!A:V,22,FALSE)</f>
        <v>#N/A</v>
      </c>
      <c r="L361" s="136" t="e">
        <f ca="1">VLOOKUP(A361,'銀行-TSS'!A:AK,37,FALSE)</f>
        <v>#N/A</v>
      </c>
      <c r="M361" s="136" t="str">
        <f ca="1">VLOOKUP(A361,'銀行-TSS'!A:AN,40,FALSE)</f>
        <v/>
      </c>
      <c r="N361" s="1211" t="e">
        <f t="shared" ca="1" si="71"/>
        <v>#N/A</v>
      </c>
      <c r="O361" s="1211" t="e">
        <f t="shared" ca="1" si="72"/>
        <v>#N/A</v>
      </c>
      <c r="P361" s="1213" t="e">
        <f ca="1">IF(AND(換券投組!$D$17&gt;=O361,換券投組!$D$13=D361),I361+INT((換券投組!$D$17-O361)/N361)*J361,0)</f>
        <v>#N/A</v>
      </c>
      <c r="Q361" s="1211" t="e">
        <f t="shared" ca="1" si="73"/>
        <v>#N/A</v>
      </c>
      <c r="R361" s="1213">
        <f t="shared" si="74"/>
        <v>0</v>
      </c>
      <c r="S361" s="1213">
        <f t="shared" si="75"/>
        <v>0</v>
      </c>
      <c r="T361" s="136">
        <f t="shared" si="77"/>
        <v>0</v>
      </c>
      <c r="U361" s="861">
        <f t="shared" si="78"/>
        <v>0</v>
      </c>
      <c r="V361" s="136" t="e">
        <f ca="1">IF(OR(D361&lt;&gt;"USD",L361="無",M361&lt;&gt;"",K361="高資產",IFERROR(MATCH(B361,換券投組!K:K,0),"N")&lt;&gt;"N",IFERROR(MATCH(B361,換券投組!J:J,0),"N")&lt;&gt;"N"),FALSE,IF($V$1="All",TRUE,IF(K361=$V$1,TRUE,FALSE)))</f>
        <v>#N/A</v>
      </c>
      <c r="W361" s="136" t="e">
        <f ca="1">VLOOKUP(A361,'銀行-TSS'!A:AO,41,FALSE)</f>
        <v>#N/A</v>
      </c>
      <c r="X361" s="136" t="e">
        <f ca="1">VLOOKUP(A361,'銀行-TSS'!A:AP,42,FALSE)</f>
        <v>#N/A</v>
      </c>
      <c r="Y361" s="1223">
        <f t="shared" si="76"/>
        <v>0</v>
      </c>
      <c r="Z361" s="1211">
        <f t="shared" si="79"/>
        <v>0</v>
      </c>
      <c r="AA361" s="136">
        <f>IF(Z361&lt;=0,0,RANK(Z361,Z:Z)+COUNTIF($Z$3:$Z361,Z361)-1)</f>
        <v>0</v>
      </c>
      <c r="AB361" s="1211">
        <f t="shared" ca="1" si="80"/>
        <v>0</v>
      </c>
      <c r="AC361" s="136">
        <f ca="1">IF(AB361&lt;=0,0,RANK(AB361,AB:AB)+COUNTIF($AB$3:$AB361,AB361)-1)</f>
        <v>0</v>
      </c>
      <c r="AD361" s="136">
        <f t="shared" si="81"/>
        <v>99999</v>
      </c>
      <c r="AE361" s="136">
        <f>IF(AD361=99999,0,RANK(AD361,AD:AD,1)+COUNTIF($AD$3:$AD361,AD361)-1)</f>
        <v>0</v>
      </c>
    </row>
    <row r="362" spans="1:31">
      <c r="A362" s="141">
        <f>'銀行-TSS'!A362</f>
        <v>0</v>
      </c>
      <c r="B362" s="151">
        <f ca="1">VLOOKUP(A362,'銀行-TSS'!A:B,2,FALSE)</f>
        <v>0</v>
      </c>
      <c r="C362" s="151" t="e">
        <f ca="1">VLOOKUP(B362,bond!B:C,2,FALSE)</f>
        <v>#N/A</v>
      </c>
      <c r="D362" s="95" t="e">
        <f>VLOOKUP(A362,'銀行-TSS'!A:C,3,FALSE)</f>
        <v>#N/A</v>
      </c>
      <c r="E362" s="90" t="e">
        <f ca="1">VLOOKUP(A362,'銀行-TSS'!A:G,7,FALSE)</f>
        <v>#N/A</v>
      </c>
      <c r="F362" s="202" t="e">
        <f ca="1">VLOOKUP(A362,'銀行-TSS'!A:H,8,FALSE)</f>
        <v>#N/A</v>
      </c>
      <c r="G362" s="96" t="e">
        <f ca="1">VLOOKUP(A362,'銀行-TSS'!A:K,11,FALSE)</f>
        <v>#N/A</v>
      </c>
      <c r="H362" s="1209" t="e">
        <f ca="1">VLOOKUP(A362,'銀行-TSS'!A:M,13,FALSE)</f>
        <v>#N/A</v>
      </c>
      <c r="I362" s="1213" t="e">
        <f ca="1">VLOOKUP(A362,'銀行-TSS'!A:N,14,FALSE)</f>
        <v>#N/A</v>
      </c>
      <c r="J362" s="1213" t="e">
        <f ca="1">VLOOKUP(A362,'銀行-TSS'!A:O,15,FALSE)</f>
        <v>#N/A</v>
      </c>
      <c r="K362" s="136" t="e">
        <f ca="1">VLOOKUP(A362,'銀行-TSS'!A:V,22,FALSE)</f>
        <v>#N/A</v>
      </c>
      <c r="L362" s="136" t="e">
        <f ca="1">VLOOKUP(A362,'銀行-TSS'!A:AK,37,FALSE)</f>
        <v>#N/A</v>
      </c>
      <c r="M362" s="136" t="str">
        <f ca="1">VLOOKUP(A362,'銀行-TSS'!A:AN,40,FALSE)</f>
        <v/>
      </c>
      <c r="N362" s="1211" t="e">
        <f t="shared" ca="1" si="71"/>
        <v>#N/A</v>
      </c>
      <c r="O362" s="1211" t="e">
        <f t="shared" ca="1" si="72"/>
        <v>#N/A</v>
      </c>
      <c r="P362" s="1213" t="e">
        <f ca="1">IF(AND(換券投組!$D$17&gt;=O362,換券投組!$D$13=D362),I362+INT((換券投組!$D$17-O362)/N362)*J362,0)</f>
        <v>#N/A</v>
      </c>
      <c r="Q362" s="1211" t="e">
        <f t="shared" ca="1" si="73"/>
        <v>#N/A</v>
      </c>
      <c r="R362" s="1213">
        <f t="shared" si="74"/>
        <v>0</v>
      </c>
      <c r="S362" s="1213">
        <f t="shared" si="75"/>
        <v>0</v>
      </c>
      <c r="T362" s="136">
        <f t="shared" si="77"/>
        <v>0</v>
      </c>
      <c r="U362" s="861">
        <f t="shared" si="78"/>
        <v>0</v>
      </c>
      <c r="V362" s="136" t="e">
        <f ca="1">IF(OR(D362&lt;&gt;"USD",L362="無",M362&lt;&gt;"",K362="高資產",IFERROR(MATCH(B362,換券投組!K:K,0),"N")&lt;&gt;"N",IFERROR(MATCH(B362,換券投組!J:J,0),"N")&lt;&gt;"N"),FALSE,IF($V$1="All",TRUE,IF(K362=$V$1,TRUE,FALSE)))</f>
        <v>#N/A</v>
      </c>
      <c r="W362" s="136" t="e">
        <f ca="1">VLOOKUP(A362,'銀行-TSS'!A:AO,41,FALSE)</f>
        <v>#N/A</v>
      </c>
      <c r="X362" s="136" t="e">
        <f ca="1">VLOOKUP(A362,'銀行-TSS'!A:AP,42,FALSE)</f>
        <v>#N/A</v>
      </c>
      <c r="Y362" s="1223">
        <f t="shared" si="76"/>
        <v>0</v>
      </c>
      <c r="Z362" s="1211">
        <f t="shared" si="79"/>
        <v>0</v>
      </c>
      <c r="AA362" s="136">
        <f>IF(Z362&lt;=0,0,RANK(Z362,Z:Z)+COUNTIF($Z$3:$Z362,Z362)-1)</f>
        <v>0</v>
      </c>
      <c r="AB362" s="1211">
        <f t="shared" ca="1" si="80"/>
        <v>0</v>
      </c>
      <c r="AC362" s="136">
        <f ca="1">IF(AB362&lt;=0,0,RANK(AB362,AB:AB)+COUNTIF($AB$3:$AB362,AB362)-1)</f>
        <v>0</v>
      </c>
      <c r="AD362" s="136">
        <f t="shared" si="81"/>
        <v>99999</v>
      </c>
      <c r="AE362" s="136">
        <f>IF(AD362=99999,0,RANK(AD362,AD:AD,1)+COUNTIF($AD$3:$AD362,AD362)-1)</f>
        <v>0</v>
      </c>
    </row>
    <row r="363" spans="1:31">
      <c r="A363" s="141">
        <f>'銀行-TSS'!A363</f>
        <v>0</v>
      </c>
      <c r="B363" s="151">
        <f ca="1">VLOOKUP(A363,'銀行-TSS'!A:B,2,FALSE)</f>
        <v>0</v>
      </c>
      <c r="C363" s="151" t="e">
        <f ca="1">VLOOKUP(B363,bond!B:C,2,FALSE)</f>
        <v>#N/A</v>
      </c>
      <c r="D363" s="95" t="e">
        <f>VLOOKUP(A363,'銀行-TSS'!A:C,3,FALSE)</f>
        <v>#N/A</v>
      </c>
      <c r="E363" s="90" t="e">
        <f ca="1">VLOOKUP(A363,'銀行-TSS'!A:G,7,FALSE)</f>
        <v>#N/A</v>
      </c>
      <c r="F363" s="202" t="e">
        <f ca="1">VLOOKUP(A363,'銀行-TSS'!A:H,8,FALSE)</f>
        <v>#N/A</v>
      </c>
      <c r="G363" s="96" t="e">
        <f ca="1">VLOOKUP(A363,'銀行-TSS'!A:K,11,FALSE)</f>
        <v>#N/A</v>
      </c>
      <c r="H363" s="1209" t="e">
        <f ca="1">VLOOKUP(A363,'銀行-TSS'!A:M,13,FALSE)</f>
        <v>#N/A</v>
      </c>
      <c r="I363" s="1213" t="e">
        <f ca="1">VLOOKUP(A363,'銀行-TSS'!A:N,14,FALSE)</f>
        <v>#N/A</v>
      </c>
      <c r="J363" s="1213" t="e">
        <f ca="1">VLOOKUP(A363,'銀行-TSS'!A:O,15,FALSE)</f>
        <v>#N/A</v>
      </c>
      <c r="K363" s="136" t="e">
        <f ca="1">VLOOKUP(A363,'銀行-TSS'!A:V,22,FALSE)</f>
        <v>#N/A</v>
      </c>
      <c r="L363" s="136" t="e">
        <f ca="1">VLOOKUP(A363,'銀行-TSS'!A:AK,37,FALSE)</f>
        <v>#N/A</v>
      </c>
      <c r="M363" s="136" t="str">
        <f ca="1">VLOOKUP(A363,'銀行-TSS'!A:AN,40,FALSE)</f>
        <v/>
      </c>
      <c r="N363" s="1211" t="e">
        <f t="shared" ca="1" si="71"/>
        <v>#N/A</v>
      </c>
      <c r="O363" s="1211" t="e">
        <f t="shared" ca="1" si="72"/>
        <v>#N/A</v>
      </c>
      <c r="P363" s="1213" t="e">
        <f ca="1">IF(AND(換券投組!$D$17&gt;=O363,換券投組!$D$13=D363),I363+INT((換券投組!$D$17-O363)/N363)*J363,0)</f>
        <v>#N/A</v>
      </c>
      <c r="Q363" s="1211" t="e">
        <f t="shared" ca="1" si="73"/>
        <v>#N/A</v>
      </c>
      <c r="R363" s="1213">
        <f t="shared" si="74"/>
        <v>0</v>
      </c>
      <c r="S363" s="1213">
        <f t="shared" si="75"/>
        <v>0</v>
      </c>
      <c r="T363" s="136">
        <f t="shared" si="77"/>
        <v>0</v>
      </c>
      <c r="U363" s="861">
        <f t="shared" si="78"/>
        <v>0</v>
      </c>
      <c r="V363" s="136" t="e">
        <f ca="1">IF(OR(D363&lt;&gt;"USD",L363="無",M363&lt;&gt;"",K363="高資產",IFERROR(MATCH(B363,換券投組!K:K,0),"N")&lt;&gt;"N",IFERROR(MATCH(B363,換券投組!J:J,0),"N")&lt;&gt;"N"),FALSE,IF($V$1="All",TRUE,IF(K363=$V$1,TRUE,FALSE)))</f>
        <v>#N/A</v>
      </c>
      <c r="W363" s="136" t="e">
        <f ca="1">VLOOKUP(A363,'銀行-TSS'!A:AO,41,FALSE)</f>
        <v>#N/A</v>
      </c>
      <c r="X363" s="136" t="e">
        <f ca="1">VLOOKUP(A363,'銀行-TSS'!A:AP,42,FALSE)</f>
        <v>#N/A</v>
      </c>
      <c r="Y363" s="1223">
        <f t="shared" si="76"/>
        <v>0</v>
      </c>
      <c r="Z363" s="1211">
        <f t="shared" si="79"/>
        <v>0</v>
      </c>
      <c r="AA363" s="136">
        <f>IF(Z363&lt;=0,0,RANK(Z363,Z:Z)+COUNTIF($Z$3:$Z363,Z363)-1)</f>
        <v>0</v>
      </c>
      <c r="AB363" s="1211">
        <f t="shared" ca="1" si="80"/>
        <v>0</v>
      </c>
      <c r="AC363" s="136">
        <f ca="1">IF(AB363&lt;=0,0,RANK(AB363,AB:AB)+COUNTIF($AB$3:$AB363,AB363)-1)</f>
        <v>0</v>
      </c>
      <c r="AD363" s="136">
        <f t="shared" si="81"/>
        <v>99999</v>
      </c>
      <c r="AE363" s="136">
        <f>IF(AD363=99999,0,RANK(AD363,AD:AD,1)+COUNTIF($AD$3:$AD363,AD363)-1)</f>
        <v>0</v>
      </c>
    </row>
    <row r="364" spans="1:31">
      <c r="A364" s="141">
        <f>'銀行-TSS'!A364</f>
        <v>0</v>
      </c>
      <c r="B364" s="151">
        <f ca="1">VLOOKUP(A364,'銀行-TSS'!A:B,2,FALSE)</f>
        <v>0</v>
      </c>
      <c r="C364" s="151" t="e">
        <f ca="1">VLOOKUP(B364,bond!B:C,2,FALSE)</f>
        <v>#N/A</v>
      </c>
      <c r="D364" s="95" t="e">
        <f>VLOOKUP(A364,'銀行-TSS'!A:C,3,FALSE)</f>
        <v>#N/A</v>
      </c>
      <c r="E364" s="90" t="e">
        <f ca="1">VLOOKUP(A364,'銀行-TSS'!A:G,7,FALSE)</f>
        <v>#N/A</v>
      </c>
      <c r="F364" s="202" t="e">
        <f ca="1">VLOOKUP(A364,'銀行-TSS'!A:H,8,FALSE)</f>
        <v>#N/A</v>
      </c>
      <c r="G364" s="96" t="e">
        <f ca="1">VLOOKUP(A364,'銀行-TSS'!A:K,11,FALSE)</f>
        <v>#N/A</v>
      </c>
      <c r="H364" s="1209" t="e">
        <f ca="1">VLOOKUP(A364,'銀行-TSS'!A:M,13,FALSE)</f>
        <v>#N/A</v>
      </c>
      <c r="I364" s="1213" t="e">
        <f ca="1">VLOOKUP(A364,'銀行-TSS'!A:N,14,FALSE)</f>
        <v>#N/A</v>
      </c>
      <c r="J364" s="1213" t="e">
        <f ca="1">VLOOKUP(A364,'銀行-TSS'!A:O,15,FALSE)</f>
        <v>#N/A</v>
      </c>
      <c r="K364" s="136" t="e">
        <f ca="1">VLOOKUP(A364,'銀行-TSS'!A:V,22,FALSE)</f>
        <v>#N/A</v>
      </c>
      <c r="L364" s="136" t="e">
        <f ca="1">VLOOKUP(A364,'銀行-TSS'!A:AK,37,FALSE)</f>
        <v>#N/A</v>
      </c>
      <c r="M364" s="136" t="str">
        <f ca="1">VLOOKUP(A364,'銀行-TSS'!A:AN,40,FALSE)</f>
        <v/>
      </c>
      <c r="N364" s="1211" t="e">
        <f t="shared" ca="1" si="71"/>
        <v>#N/A</v>
      </c>
      <c r="O364" s="1211" t="e">
        <f t="shared" ca="1" si="72"/>
        <v>#N/A</v>
      </c>
      <c r="P364" s="1213" t="e">
        <f ca="1">IF(AND(換券投組!$D$17&gt;=O364,換券投組!$D$13=D364),I364+INT((換券投組!$D$17-O364)/N364)*J364,0)</f>
        <v>#N/A</v>
      </c>
      <c r="Q364" s="1211" t="e">
        <f t="shared" ca="1" si="73"/>
        <v>#N/A</v>
      </c>
      <c r="R364" s="1213">
        <f t="shared" si="74"/>
        <v>0</v>
      </c>
      <c r="S364" s="1213">
        <f t="shared" si="75"/>
        <v>0</v>
      </c>
      <c r="T364" s="136">
        <f t="shared" si="77"/>
        <v>0</v>
      </c>
      <c r="U364" s="861">
        <f t="shared" si="78"/>
        <v>0</v>
      </c>
      <c r="V364" s="136" t="e">
        <f ca="1">IF(OR(D364&lt;&gt;"USD",L364="無",M364&lt;&gt;"",K364="高資產",IFERROR(MATCH(B364,換券投組!K:K,0),"N")&lt;&gt;"N",IFERROR(MATCH(B364,換券投組!J:J,0),"N")&lt;&gt;"N"),FALSE,IF($V$1="All",TRUE,IF(K364=$V$1,TRUE,FALSE)))</f>
        <v>#N/A</v>
      </c>
      <c r="W364" s="136" t="e">
        <f ca="1">VLOOKUP(A364,'銀行-TSS'!A:AO,41,FALSE)</f>
        <v>#N/A</v>
      </c>
      <c r="X364" s="136" t="e">
        <f ca="1">VLOOKUP(A364,'銀行-TSS'!A:AP,42,FALSE)</f>
        <v>#N/A</v>
      </c>
      <c r="Y364" s="1223">
        <f t="shared" si="76"/>
        <v>0</v>
      </c>
      <c r="Z364" s="1211">
        <f t="shared" si="79"/>
        <v>0</v>
      </c>
      <c r="AA364" s="136">
        <f>IF(Z364&lt;=0,0,RANK(Z364,Z:Z)+COUNTIF($Z$3:$Z364,Z364)-1)</f>
        <v>0</v>
      </c>
      <c r="AB364" s="1211">
        <f t="shared" ca="1" si="80"/>
        <v>0</v>
      </c>
      <c r="AC364" s="136">
        <f ca="1">IF(AB364&lt;=0,0,RANK(AB364,AB:AB)+COUNTIF($AB$3:$AB364,AB364)-1)</f>
        <v>0</v>
      </c>
      <c r="AD364" s="136">
        <f t="shared" si="81"/>
        <v>99999</v>
      </c>
      <c r="AE364" s="136">
        <f>IF(AD364=99999,0,RANK(AD364,AD:AD,1)+COUNTIF($AD$3:$AD364,AD364)-1)</f>
        <v>0</v>
      </c>
    </row>
    <row r="365" spans="1:31">
      <c r="A365" s="141">
        <f>'銀行-TSS'!A365</f>
        <v>0</v>
      </c>
      <c r="B365" s="151">
        <f ca="1">VLOOKUP(A365,'銀行-TSS'!A:B,2,FALSE)</f>
        <v>0</v>
      </c>
      <c r="C365" s="151" t="e">
        <f ca="1">VLOOKUP(B365,bond!B:C,2,FALSE)</f>
        <v>#N/A</v>
      </c>
      <c r="D365" s="95" t="e">
        <f>VLOOKUP(A365,'銀行-TSS'!A:C,3,FALSE)</f>
        <v>#N/A</v>
      </c>
      <c r="E365" s="90" t="e">
        <f ca="1">VLOOKUP(A365,'銀行-TSS'!A:G,7,FALSE)</f>
        <v>#N/A</v>
      </c>
      <c r="F365" s="202" t="e">
        <f ca="1">VLOOKUP(A365,'銀行-TSS'!A:H,8,FALSE)</f>
        <v>#N/A</v>
      </c>
      <c r="G365" s="96" t="e">
        <f ca="1">VLOOKUP(A365,'銀行-TSS'!A:K,11,FALSE)</f>
        <v>#N/A</v>
      </c>
      <c r="H365" s="1209" t="e">
        <f ca="1">VLOOKUP(A365,'銀行-TSS'!A:M,13,FALSE)</f>
        <v>#N/A</v>
      </c>
      <c r="I365" s="1213" t="e">
        <f ca="1">VLOOKUP(A365,'銀行-TSS'!A:N,14,FALSE)</f>
        <v>#N/A</v>
      </c>
      <c r="J365" s="1213" t="e">
        <f ca="1">VLOOKUP(A365,'銀行-TSS'!A:O,15,FALSE)</f>
        <v>#N/A</v>
      </c>
      <c r="K365" s="136" t="e">
        <f ca="1">VLOOKUP(A365,'銀行-TSS'!A:V,22,FALSE)</f>
        <v>#N/A</v>
      </c>
      <c r="L365" s="136" t="e">
        <f ca="1">VLOOKUP(A365,'銀行-TSS'!A:AK,37,FALSE)</f>
        <v>#N/A</v>
      </c>
      <c r="M365" s="136" t="str">
        <f ca="1">VLOOKUP(A365,'銀行-TSS'!A:AN,40,FALSE)</f>
        <v/>
      </c>
      <c r="N365" s="1211" t="e">
        <f t="shared" ca="1" si="71"/>
        <v>#N/A</v>
      </c>
      <c r="O365" s="1211" t="e">
        <f t="shared" ca="1" si="72"/>
        <v>#N/A</v>
      </c>
      <c r="P365" s="1213" t="e">
        <f ca="1">IF(AND(換券投組!$D$17&gt;=O365,換券投組!$D$13=D365),I365+INT((換券投組!$D$17-O365)/N365)*J365,0)</f>
        <v>#N/A</v>
      </c>
      <c r="Q365" s="1211" t="e">
        <f t="shared" ca="1" si="73"/>
        <v>#N/A</v>
      </c>
      <c r="R365" s="1213">
        <f t="shared" si="74"/>
        <v>0</v>
      </c>
      <c r="S365" s="1213">
        <f t="shared" si="75"/>
        <v>0</v>
      </c>
      <c r="T365" s="136">
        <f t="shared" si="77"/>
        <v>0</v>
      </c>
      <c r="U365" s="861">
        <f t="shared" si="78"/>
        <v>0</v>
      </c>
      <c r="V365" s="136" t="e">
        <f ca="1">IF(OR(D365&lt;&gt;"USD",L365="無",M365&lt;&gt;"",K365="高資產",IFERROR(MATCH(B365,換券投組!K:K,0),"N")&lt;&gt;"N",IFERROR(MATCH(B365,換券投組!J:J,0),"N")&lt;&gt;"N"),FALSE,IF($V$1="All",TRUE,IF(K365=$V$1,TRUE,FALSE)))</f>
        <v>#N/A</v>
      </c>
      <c r="W365" s="136" t="e">
        <f ca="1">VLOOKUP(A365,'銀行-TSS'!A:AO,41,FALSE)</f>
        <v>#N/A</v>
      </c>
      <c r="X365" s="136" t="e">
        <f ca="1">VLOOKUP(A365,'銀行-TSS'!A:AP,42,FALSE)</f>
        <v>#N/A</v>
      </c>
      <c r="Y365" s="1223">
        <f t="shared" si="76"/>
        <v>0</v>
      </c>
      <c r="Z365" s="1211">
        <f t="shared" si="79"/>
        <v>0</v>
      </c>
      <c r="AA365" s="136">
        <f>IF(Z365&lt;=0,0,RANK(Z365,Z:Z)+COUNTIF($Z$3:$Z365,Z365)-1)</f>
        <v>0</v>
      </c>
      <c r="AB365" s="1211">
        <f t="shared" ca="1" si="80"/>
        <v>0</v>
      </c>
      <c r="AC365" s="136">
        <f ca="1">IF(AB365&lt;=0,0,RANK(AB365,AB:AB)+COUNTIF($AB$3:$AB365,AB365)-1)</f>
        <v>0</v>
      </c>
      <c r="AD365" s="136">
        <f t="shared" si="81"/>
        <v>99999</v>
      </c>
      <c r="AE365" s="136">
        <f>IF(AD365=99999,0,RANK(AD365,AD:AD,1)+COUNTIF($AD$3:$AD365,AD365)-1)</f>
        <v>0</v>
      </c>
    </row>
    <row r="366" spans="1:31">
      <c r="A366" s="141">
        <f>'銀行-TSS'!A366</f>
        <v>0</v>
      </c>
      <c r="B366" s="151">
        <f ca="1">VLOOKUP(A366,'銀行-TSS'!A:B,2,FALSE)</f>
        <v>0</v>
      </c>
      <c r="C366" s="151" t="e">
        <f ca="1">VLOOKUP(B366,bond!B:C,2,FALSE)</f>
        <v>#N/A</v>
      </c>
      <c r="D366" s="95" t="e">
        <f>VLOOKUP(A366,'銀行-TSS'!A:C,3,FALSE)</f>
        <v>#N/A</v>
      </c>
      <c r="E366" s="90" t="e">
        <f ca="1">VLOOKUP(A366,'銀行-TSS'!A:G,7,FALSE)</f>
        <v>#N/A</v>
      </c>
      <c r="F366" s="202" t="e">
        <f ca="1">VLOOKUP(A366,'銀行-TSS'!A:H,8,FALSE)</f>
        <v>#N/A</v>
      </c>
      <c r="G366" s="96" t="e">
        <f ca="1">VLOOKUP(A366,'銀行-TSS'!A:K,11,FALSE)</f>
        <v>#N/A</v>
      </c>
      <c r="H366" s="1209" t="e">
        <f ca="1">VLOOKUP(A366,'銀行-TSS'!A:M,13,FALSE)</f>
        <v>#N/A</v>
      </c>
      <c r="I366" s="1213" t="e">
        <f ca="1">VLOOKUP(A366,'銀行-TSS'!A:N,14,FALSE)</f>
        <v>#N/A</v>
      </c>
      <c r="J366" s="1213" t="e">
        <f ca="1">VLOOKUP(A366,'銀行-TSS'!A:O,15,FALSE)</f>
        <v>#N/A</v>
      </c>
      <c r="K366" s="136" t="e">
        <f ca="1">VLOOKUP(A366,'銀行-TSS'!A:V,22,FALSE)</f>
        <v>#N/A</v>
      </c>
      <c r="L366" s="136" t="e">
        <f ca="1">VLOOKUP(A366,'銀行-TSS'!A:AK,37,FALSE)</f>
        <v>#N/A</v>
      </c>
      <c r="M366" s="136" t="str">
        <f ca="1">VLOOKUP(A366,'銀行-TSS'!A:AN,40,FALSE)</f>
        <v/>
      </c>
      <c r="N366" s="1211" t="e">
        <f t="shared" ca="1" si="71"/>
        <v>#N/A</v>
      </c>
      <c r="O366" s="1211" t="e">
        <f t="shared" ca="1" si="72"/>
        <v>#N/A</v>
      </c>
      <c r="P366" s="1213" t="e">
        <f ca="1">IF(AND(換券投組!$D$17&gt;=O366,換券投組!$D$13=D366),I366+INT((換券投組!$D$17-O366)/N366)*J366,0)</f>
        <v>#N/A</v>
      </c>
      <c r="Q366" s="1211" t="e">
        <f t="shared" ca="1" si="73"/>
        <v>#N/A</v>
      </c>
      <c r="R366" s="1213">
        <f t="shared" si="74"/>
        <v>0</v>
      </c>
      <c r="S366" s="1213">
        <f t="shared" si="75"/>
        <v>0</v>
      </c>
      <c r="T366" s="136">
        <f t="shared" si="77"/>
        <v>0</v>
      </c>
      <c r="U366" s="861">
        <f t="shared" si="78"/>
        <v>0</v>
      </c>
      <c r="V366" s="136" t="e">
        <f ca="1">IF(OR(D366&lt;&gt;"USD",L366="無",M366&lt;&gt;"",K366="高資產",IFERROR(MATCH(B366,換券投組!K:K,0),"N")&lt;&gt;"N",IFERROR(MATCH(B366,換券投組!J:J,0),"N")&lt;&gt;"N"),FALSE,IF($V$1="All",TRUE,IF(K366=$V$1,TRUE,FALSE)))</f>
        <v>#N/A</v>
      </c>
      <c r="W366" s="136" t="e">
        <f ca="1">VLOOKUP(A366,'銀行-TSS'!A:AO,41,FALSE)</f>
        <v>#N/A</v>
      </c>
      <c r="X366" s="136" t="e">
        <f ca="1">VLOOKUP(A366,'銀行-TSS'!A:AP,42,FALSE)</f>
        <v>#N/A</v>
      </c>
      <c r="Y366" s="1223">
        <f t="shared" si="76"/>
        <v>0</v>
      </c>
      <c r="Z366" s="1211">
        <f t="shared" si="79"/>
        <v>0</v>
      </c>
      <c r="AA366" s="136">
        <f>IF(Z366&lt;=0,0,RANK(Z366,Z:Z)+COUNTIF($Z$3:$Z366,Z366)-1)</f>
        <v>0</v>
      </c>
      <c r="AB366" s="1211">
        <f t="shared" ca="1" si="80"/>
        <v>0</v>
      </c>
      <c r="AC366" s="136">
        <f ca="1">IF(AB366&lt;=0,0,RANK(AB366,AB:AB)+COUNTIF($AB$3:$AB366,AB366)-1)</f>
        <v>0</v>
      </c>
      <c r="AD366" s="136">
        <f t="shared" si="81"/>
        <v>99999</v>
      </c>
      <c r="AE366" s="136">
        <f>IF(AD366=99999,0,RANK(AD366,AD:AD,1)+COUNTIF($AD$3:$AD366,AD366)-1)</f>
        <v>0</v>
      </c>
    </row>
    <row r="367" spans="1:31">
      <c r="A367" s="141">
        <f>'銀行-TSS'!A367</f>
        <v>0</v>
      </c>
      <c r="B367" s="151">
        <f ca="1">VLOOKUP(A367,'銀行-TSS'!A:B,2,FALSE)</f>
        <v>0</v>
      </c>
      <c r="C367" s="151" t="e">
        <f ca="1">VLOOKUP(B367,bond!B:C,2,FALSE)</f>
        <v>#N/A</v>
      </c>
      <c r="D367" s="95" t="e">
        <f>VLOOKUP(A367,'銀行-TSS'!A:C,3,FALSE)</f>
        <v>#N/A</v>
      </c>
      <c r="E367" s="90" t="e">
        <f ca="1">VLOOKUP(A367,'銀行-TSS'!A:G,7,FALSE)</f>
        <v>#N/A</v>
      </c>
      <c r="F367" s="202" t="e">
        <f ca="1">VLOOKUP(A367,'銀行-TSS'!A:H,8,FALSE)</f>
        <v>#N/A</v>
      </c>
      <c r="G367" s="96" t="e">
        <f ca="1">VLOOKUP(A367,'銀行-TSS'!A:K,11,FALSE)</f>
        <v>#N/A</v>
      </c>
      <c r="H367" s="1209" t="e">
        <f ca="1">VLOOKUP(A367,'銀行-TSS'!A:M,13,FALSE)</f>
        <v>#N/A</v>
      </c>
      <c r="I367" s="1213" t="e">
        <f ca="1">VLOOKUP(A367,'銀行-TSS'!A:N,14,FALSE)</f>
        <v>#N/A</v>
      </c>
      <c r="J367" s="1213" t="e">
        <f ca="1">VLOOKUP(A367,'銀行-TSS'!A:O,15,FALSE)</f>
        <v>#N/A</v>
      </c>
      <c r="K367" s="136" t="e">
        <f ca="1">VLOOKUP(A367,'銀行-TSS'!A:V,22,FALSE)</f>
        <v>#N/A</v>
      </c>
      <c r="L367" s="136" t="e">
        <f ca="1">VLOOKUP(A367,'銀行-TSS'!A:AK,37,FALSE)</f>
        <v>#N/A</v>
      </c>
      <c r="M367" s="136" t="str">
        <f ca="1">VLOOKUP(A367,'銀行-TSS'!A:AN,40,FALSE)</f>
        <v/>
      </c>
      <c r="N367" s="1211" t="e">
        <f t="shared" ca="1" si="71"/>
        <v>#N/A</v>
      </c>
      <c r="O367" s="1211" t="e">
        <f t="shared" ca="1" si="72"/>
        <v>#N/A</v>
      </c>
      <c r="P367" s="1213" t="e">
        <f ca="1">IF(AND(換券投組!$D$17&gt;=O367,換券投組!$D$13=D367),I367+INT((換券投組!$D$17-O367)/N367)*J367,0)</f>
        <v>#N/A</v>
      </c>
      <c r="Q367" s="1211" t="e">
        <f t="shared" ca="1" si="73"/>
        <v>#N/A</v>
      </c>
      <c r="R367" s="1213">
        <f t="shared" si="74"/>
        <v>0</v>
      </c>
      <c r="S367" s="1213">
        <f t="shared" si="75"/>
        <v>0</v>
      </c>
      <c r="T367" s="136">
        <f t="shared" si="77"/>
        <v>0</v>
      </c>
      <c r="U367" s="861">
        <f t="shared" si="78"/>
        <v>0</v>
      </c>
      <c r="V367" s="136" t="e">
        <f ca="1">IF(OR(D367&lt;&gt;"USD",L367="無",M367&lt;&gt;"",K367="高資產",IFERROR(MATCH(B367,換券投組!K:K,0),"N")&lt;&gt;"N",IFERROR(MATCH(B367,換券投組!J:J,0),"N")&lt;&gt;"N"),FALSE,IF($V$1="All",TRUE,IF(K367=$V$1,TRUE,FALSE)))</f>
        <v>#N/A</v>
      </c>
      <c r="W367" s="136" t="e">
        <f ca="1">VLOOKUP(A367,'銀行-TSS'!A:AO,41,FALSE)</f>
        <v>#N/A</v>
      </c>
      <c r="X367" s="136" t="e">
        <f ca="1">VLOOKUP(A367,'銀行-TSS'!A:AP,42,FALSE)</f>
        <v>#N/A</v>
      </c>
      <c r="Y367" s="1223">
        <f t="shared" si="76"/>
        <v>0</v>
      </c>
      <c r="Z367" s="1211">
        <f t="shared" si="79"/>
        <v>0</v>
      </c>
      <c r="AA367" s="136">
        <f>IF(Z367&lt;=0,0,RANK(Z367,Z:Z)+COUNTIF($Z$3:$Z367,Z367)-1)</f>
        <v>0</v>
      </c>
      <c r="AB367" s="1211">
        <f t="shared" ca="1" si="80"/>
        <v>0</v>
      </c>
      <c r="AC367" s="136">
        <f ca="1">IF(AB367&lt;=0,0,RANK(AB367,AB:AB)+COUNTIF($AB$3:$AB367,AB367)-1)</f>
        <v>0</v>
      </c>
      <c r="AD367" s="136">
        <f t="shared" si="81"/>
        <v>99999</v>
      </c>
      <c r="AE367" s="136">
        <f>IF(AD367=99999,0,RANK(AD367,AD:AD,1)+COUNTIF($AD$3:$AD367,AD367)-1)</f>
        <v>0</v>
      </c>
    </row>
    <row r="368" spans="1:31">
      <c r="A368" s="141">
        <f>'銀行-TSS'!A368</f>
        <v>0</v>
      </c>
      <c r="B368" s="151">
        <f ca="1">VLOOKUP(A368,'銀行-TSS'!A:B,2,FALSE)</f>
        <v>0</v>
      </c>
      <c r="C368" s="151" t="e">
        <f ca="1">VLOOKUP(B368,bond!B:C,2,FALSE)</f>
        <v>#N/A</v>
      </c>
      <c r="D368" s="95" t="e">
        <f>VLOOKUP(A368,'銀行-TSS'!A:C,3,FALSE)</f>
        <v>#N/A</v>
      </c>
      <c r="E368" s="90" t="e">
        <f ca="1">VLOOKUP(A368,'銀行-TSS'!A:G,7,FALSE)</f>
        <v>#N/A</v>
      </c>
      <c r="F368" s="202" t="e">
        <f ca="1">VLOOKUP(A368,'銀行-TSS'!A:H,8,FALSE)</f>
        <v>#N/A</v>
      </c>
      <c r="G368" s="96" t="e">
        <f ca="1">VLOOKUP(A368,'銀行-TSS'!A:K,11,FALSE)</f>
        <v>#N/A</v>
      </c>
      <c r="H368" s="1209" t="e">
        <f ca="1">VLOOKUP(A368,'銀行-TSS'!A:M,13,FALSE)</f>
        <v>#N/A</v>
      </c>
      <c r="I368" s="1213" t="e">
        <f ca="1">VLOOKUP(A368,'銀行-TSS'!A:N,14,FALSE)</f>
        <v>#N/A</v>
      </c>
      <c r="J368" s="1213" t="e">
        <f ca="1">VLOOKUP(A368,'銀行-TSS'!A:O,15,FALSE)</f>
        <v>#N/A</v>
      </c>
      <c r="K368" s="136" t="e">
        <f ca="1">VLOOKUP(A368,'銀行-TSS'!A:V,22,FALSE)</f>
        <v>#N/A</v>
      </c>
      <c r="L368" s="136" t="e">
        <f ca="1">VLOOKUP(A368,'銀行-TSS'!A:AK,37,FALSE)</f>
        <v>#N/A</v>
      </c>
      <c r="M368" s="136" t="str">
        <f ca="1">VLOOKUP(A368,'銀行-TSS'!A:AN,40,FALSE)</f>
        <v/>
      </c>
      <c r="N368" s="1211" t="e">
        <f t="shared" ca="1" si="71"/>
        <v>#N/A</v>
      </c>
      <c r="O368" s="1211" t="e">
        <f t="shared" ca="1" si="72"/>
        <v>#N/A</v>
      </c>
      <c r="P368" s="1213" t="e">
        <f ca="1">IF(AND(換券投組!$D$17&gt;=O368,換券投組!$D$13=D368),I368+INT((換券投組!$D$17-O368)/N368)*J368,0)</f>
        <v>#N/A</v>
      </c>
      <c r="Q368" s="1211" t="e">
        <f t="shared" ca="1" si="73"/>
        <v>#N/A</v>
      </c>
      <c r="R368" s="1213">
        <f t="shared" si="74"/>
        <v>0</v>
      </c>
      <c r="S368" s="1213">
        <f t="shared" si="75"/>
        <v>0</v>
      </c>
      <c r="T368" s="136">
        <f t="shared" si="77"/>
        <v>0</v>
      </c>
      <c r="U368" s="861">
        <f t="shared" si="78"/>
        <v>0</v>
      </c>
      <c r="V368" s="136" t="e">
        <f ca="1">IF(OR(D368&lt;&gt;"USD",L368="無",M368&lt;&gt;"",K368="高資產",IFERROR(MATCH(B368,換券投組!K:K,0),"N")&lt;&gt;"N",IFERROR(MATCH(B368,換券投組!J:J,0),"N")&lt;&gt;"N"),FALSE,IF($V$1="All",TRUE,IF(K368=$V$1,TRUE,FALSE)))</f>
        <v>#N/A</v>
      </c>
      <c r="W368" s="136" t="e">
        <f ca="1">VLOOKUP(A368,'銀行-TSS'!A:AO,41,FALSE)</f>
        <v>#N/A</v>
      </c>
      <c r="X368" s="136" t="e">
        <f ca="1">VLOOKUP(A368,'銀行-TSS'!A:AP,42,FALSE)</f>
        <v>#N/A</v>
      </c>
      <c r="Y368" s="1223">
        <f t="shared" si="76"/>
        <v>0</v>
      </c>
      <c r="Z368" s="1211">
        <f t="shared" si="79"/>
        <v>0</v>
      </c>
      <c r="AA368" s="136">
        <f>IF(Z368&lt;=0,0,RANK(Z368,Z:Z)+COUNTIF($Z$3:$Z368,Z368)-1)</f>
        <v>0</v>
      </c>
      <c r="AB368" s="1211">
        <f t="shared" ca="1" si="80"/>
        <v>0</v>
      </c>
      <c r="AC368" s="136">
        <f ca="1">IF(AB368&lt;=0,0,RANK(AB368,AB:AB)+COUNTIF($AB$3:$AB368,AB368)-1)</f>
        <v>0</v>
      </c>
      <c r="AD368" s="136">
        <f t="shared" si="81"/>
        <v>99999</v>
      </c>
      <c r="AE368" s="136">
        <f>IF(AD368=99999,0,RANK(AD368,AD:AD,1)+COUNTIF($AD$3:$AD368,AD368)-1)</f>
        <v>0</v>
      </c>
    </row>
    <row r="369" spans="1:31">
      <c r="A369" s="141">
        <f>'銀行-TSS'!A369</f>
        <v>0</v>
      </c>
      <c r="B369" s="151">
        <f ca="1">VLOOKUP(A369,'銀行-TSS'!A:B,2,FALSE)</f>
        <v>0</v>
      </c>
      <c r="C369" s="151" t="e">
        <f ca="1">VLOOKUP(B369,bond!B:C,2,FALSE)</f>
        <v>#N/A</v>
      </c>
      <c r="D369" s="95" t="e">
        <f>VLOOKUP(A369,'銀行-TSS'!A:C,3,FALSE)</f>
        <v>#N/A</v>
      </c>
      <c r="E369" s="90" t="e">
        <f ca="1">VLOOKUP(A369,'銀行-TSS'!A:G,7,FALSE)</f>
        <v>#N/A</v>
      </c>
      <c r="F369" s="202" t="e">
        <f ca="1">VLOOKUP(A369,'銀行-TSS'!A:H,8,FALSE)</f>
        <v>#N/A</v>
      </c>
      <c r="G369" s="96" t="e">
        <f ca="1">VLOOKUP(A369,'銀行-TSS'!A:K,11,FALSE)</f>
        <v>#N/A</v>
      </c>
      <c r="H369" s="1209" t="e">
        <f ca="1">VLOOKUP(A369,'銀行-TSS'!A:M,13,FALSE)</f>
        <v>#N/A</v>
      </c>
      <c r="I369" s="1213" t="e">
        <f ca="1">VLOOKUP(A369,'銀行-TSS'!A:N,14,FALSE)</f>
        <v>#N/A</v>
      </c>
      <c r="J369" s="1213" t="e">
        <f ca="1">VLOOKUP(A369,'銀行-TSS'!A:O,15,FALSE)</f>
        <v>#N/A</v>
      </c>
      <c r="K369" s="136" t="e">
        <f ca="1">VLOOKUP(A369,'銀行-TSS'!A:V,22,FALSE)</f>
        <v>#N/A</v>
      </c>
      <c r="L369" s="136" t="e">
        <f ca="1">VLOOKUP(A369,'銀行-TSS'!A:AK,37,FALSE)</f>
        <v>#N/A</v>
      </c>
      <c r="M369" s="136" t="str">
        <f ca="1">VLOOKUP(A369,'銀行-TSS'!A:AN,40,FALSE)</f>
        <v/>
      </c>
      <c r="N369" s="1211" t="e">
        <f t="shared" ca="1" si="71"/>
        <v>#N/A</v>
      </c>
      <c r="O369" s="1211" t="e">
        <f t="shared" ca="1" si="72"/>
        <v>#N/A</v>
      </c>
      <c r="P369" s="1213" t="e">
        <f ca="1">IF(AND(換券投組!$D$17&gt;=O369,換券投組!$D$13=D369),I369+INT((換券投組!$D$17-O369)/N369)*J369,0)</f>
        <v>#N/A</v>
      </c>
      <c r="Q369" s="1211" t="e">
        <f t="shared" ca="1" si="73"/>
        <v>#N/A</v>
      </c>
      <c r="R369" s="1213">
        <f t="shared" si="74"/>
        <v>0</v>
      </c>
      <c r="S369" s="1213">
        <f t="shared" si="75"/>
        <v>0</v>
      </c>
      <c r="T369" s="136">
        <f t="shared" si="77"/>
        <v>0</v>
      </c>
      <c r="U369" s="861">
        <f t="shared" si="78"/>
        <v>0</v>
      </c>
      <c r="V369" s="136" t="e">
        <f ca="1">IF(OR(D369&lt;&gt;"USD",L369="無",M369&lt;&gt;"",K369="高資產",IFERROR(MATCH(B369,換券投組!K:K,0),"N")&lt;&gt;"N",IFERROR(MATCH(B369,換券投組!J:J,0),"N")&lt;&gt;"N"),FALSE,IF($V$1="All",TRUE,IF(K369=$V$1,TRUE,FALSE)))</f>
        <v>#N/A</v>
      </c>
      <c r="W369" s="136" t="e">
        <f ca="1">VLOOKUP(A369,'銀行-TSS'!A:AO,41,FALSE)</f>
        <v>#N/A</v>
      </c>
      <c r="X369" s="136" t="e">
        <f ca="1">VLOOKUP(A369,'銀行-TSS'!A:AP,42,FALSE)</f>
        <v>#N/A</v>
      </c>
      <c r="Y369" s="1223">
        <f t="shared" si="76"/>
        <v>0</v>
      </c>
      <c r="Z369" s="1211">
        <f t="shared" si="79"/>
        <v>0</v>
      </c>
      <c r="AA369" s="136">
        <f>IF(Z369&lt;=0,0,RANK(Z369,Z:Z)+COUNTIF($Z$3:$Z369,Z369)-1)</f>
        <v>0</v>
      </c>
      <c r="AB369" s="1211">
        <f t="shared" ca="1" si="80"/>
        <v>0</v>
      </c>
      <c r="AC369" s="136">
        <f ca="1">IF(AB369&lt;=0,0,RANK(AB369,AB:AB)+COUNTIF($AB$3:$AB369,AB369)-1)</f>
        <v>0</v>
      </c>
      <c r="AD369" s="136">
        <f t="shared" si="81"/>
        <v>99999</v>
      </c>
      <c r="AE369" s="136">
        <f>IF(AD369=99999,0,RANK(AD369,AD:AD,1)+COUNTIF($AD$3:$AD369,AD369)-1)</f>
        <v>0</v>
      </c>
    </row>
    <row r="370" spans="1:31">
      <c r="A370" s="141">
        <f>'銀行-TSS'!A370</f>
        <v>0</v>
      </c>
      <c r="B370" s="151">
        <f ca="1">VLOOKUP(A370,'銀行-TSS'!A:B,2,FALSE)</f>
        <v>0</v>
      </c>
      <c r="C370" s="151" t="e">
        <f ca="1">VLOOKUP(B370,bond!B:C,2,FALSE)</f>
        <v>#N/A</v>
      </c>
      <c r="D370" s="95" t="e">
        <f>VLOOKUP(A370,'銀行-TSS'!A:C,3,FALSE)</f>
        <v>#N/A</v>
      </c>
      <c r="E370" s="90" t="e">
        <f ca="1">VLOOKUP(A370,'銀行-TSS'!A:G,7,FALSE)</f>
        <v>#N/A</v>
      </c>
      <c r="F370" s="202" t="e">
        <f ca="1">VLOOKUP(A370,'銀行-TSS'!A:H,8,FALSE)</f>
        <v>#N/A</v>
      </c>
      <c r="G370" s="96" t="e">
        <f ca="1">VLOOKUP(A370,'銀行-TSS'!A:K,11,FALSE)</f>
        <v>#N/A</v>
      </c>
      <c r="H370" s="1209" t="e">
        <f ca="1">VLOOKUP(A370,'銀行-TSS'!A:M,13,FALSE)</f>
        <v>#N/A</v>
      </c>
      <c r="I370" s="1213" t="e">
        <f ca="1">VLOOKUP(A370,'銀行-TSS'!A:N,14,FALSE)</f>
        <v>#N/A</v>
      </c>
      <c r="J370" s="1213" t="e">
        <f ca="1">VLOOKUP(A370,'銀行-TSS'!A:O,15,FALSE)</f>
        <v>#N/A</v>
      </c>
      <c r="K370" s="136" t="e">
        <f ca="1">VLOOKUP(A370,'銀行-TSS'!A:V,22,FALSE)</f>
        <v>#N/A</v>
      </c>
      <c r="L370" s="136" t="e">
        <f ca="1">VLOOKUP(A370,'銀行-TSS'!A:AK,37,FALSE)</f>
        <v>#N/A</v>
      </c>
      <c r="M370" s="136" t="str">
        <f ca="1">VLOOKUP(A370,'銀行-TSS'!A:AN,40,FALSE)</f>
        <v/>
      </c>
      <c r="N370" s="1211" t="e">
        <f t="shared" ca="1" si="71"/>
        <v>#N/A</v>
      </c>
      <c r="O370" s="1211" t="e">
        <f t="shared" ca="1" si="72"/>
        <v>#N/A</v>
      </c>
      <c r="P370" s="1213" t="e">
        <f ca="1">IF(AND(換券投組!$D$17&gt;=O370,換券投組!$D$13=D370),I370+INT((換券投組!$D$17-O370)/N370)*J370,0)</f>
        <v>#N/A</v>
      </c>
      <c r="Q370" s="1211" t="e">
        <f t="shared" ca="1" si="73"/>
        <v>#N/A</v>
      </c>
      <c r="R370" s="1213">
        <f t="shared" si="74"/>
        <v>0</v>
      </c>
      <c r="S370" s="1213">
        <f t="shared" si="75"/>
        <v>0</v>
      </c>
      <c r="T370" s="136">
        <f t="shared" si="77"/>
        <v>0</v>
      </c>
      <c r="U370" s="861">
        <f t="shared" si="78"/>
        <v>0</v>
      </c>
      <c r="V370" s="136" t="e">
        <f ca="1">IF(OR(D370&lt;&gt;"USD",L370="無",M370&lt;&gt;"",K370="高資產",IFERROR(MATCH(B370,換券投組!K:K,0),"N")&lt;&gt;"N",IFERROR(MATCH(B370,換券投組!J:J,0),"N")&lt;&gt;"N"),FALSE,IF($V$1="All",TRUE,IF(K370=$V$1,TRUE,FALSE)))</f>
        <v>#N/A</v>
      </c>
      <c r="W370" s="136" t="e">
        <f ca="1">VLOOKUP(A370,'銀行-TSS'!A:AO,41,FALSE)</f>
        <v>#N/A</v>
      </c>
      <c r="X370" s="136" t="e">
        <f ca="1">VLOOKUP(A370,'銀行-TSS'!A:AP,42,FALSE)</f>
        <v>#N/A</v>
      </c>
      <c r="Y370" s="1223">
        <f t="shared" si="76"/>
        <v>0</v>
      </c>
      <c r="Z370" s="1211">
        <f t="shared" si="79"/>
        <v>0</v>
      </c>
      <c r="AA370" s="136">
        <f>IF(Z370&lt;=0,0,RANK(Z370,Z:Z)+COUNTIF($Z$3:$Z370,Z370)-1)</f>
        <v>0</v>
      </c>
      <c r="AB370" s="1211">
        <f t="shared" ca="1" si="80"/>
        <v>0</v>
      </c>
      <c r="AC370" s="136">
        <f ca="1">IF(AB370&lt;=0,0,RANK(AB370,AB:AB)+COUNTIF($AB$3:$AB370,AB370)-1)</f>
        <v>0</v>
      </c>
      <c r="AD370" s="136">
        <f t="shared" si="81"/>
        <v>99999</v>
      </c>
      <c r="AE370" s="136">
        <f>IF(AD370=99999,0,RANK(AD370,AD:AD,1)+COUNTIF($AD$3:$AD370,AD370)-1)</f>
        <v>0</v>
      </c>
    </row>
    <row r="371" spans="1:31">
      <c r="A371" s="141">
        <f>'銀行-TSS'!A371</f>
        <v>0</v>
      </c>
      <c r="B371" s="151">
        <f ca="1">VLOOKUP(A371,'銀行-TSS'!A:B,2,FALSE)</f>
        <v>0</v>
      </c>
      <c r="C371" s="151" t="e">
        <f ca="1">VLOOKUP(B371,bond!B:C,2,FALSE)</f>
        <v>#N/A</v>
      </c>
      <c r="D371" s="95" t="e">
        <f>VLOOKUP(A371,'銀行-TSS'!A:C,3,FALSE)</f>
        <v>#N/A</v>
      </c>
      <c r="E371" s="90" t="e">
        <f ca="1">VLOOKUP(A371,'銀行-TSS'!A:G,7,FALSE)</f>
        <v>#N/A</v>
      </c>
      <c r="F371" s="202" t="e">
        <f ca="1">VLOOKUP(A371,'銀行-TSS'!A:H,8,FALSE)</f>
        <v>#N/A</v>
      </c>
      <c r="G371" s="96" t="e">
        <f ca="1">VLOOKUP(A371,'銀行-TSS'!A:K,11,FALSE)</f>
        <v>#N/A</v>
      </c>
      <c r="H371" s="1209" t="e">
        <f ca="1">VLOOKUP(A371,'銀行-TSS'!A:M,13,FALSE)</f>
        <v>#N/A</v>
      </c>
      <c r="I371" s="1213" t="e">
        <f ca="1">VLOOKUP(A371,'銀行-TSS'!A:N,14,FALSE)</f>
        <v>#N/A</v>
      </c>
      <c r="J371" s="1213" t="e">
        <f ca="1">VLOOKUP(A371,'銀行-TSS'!A:O,15,FALSE)</f>
        <v>#N/A</v>
      </c>
      <c r="K371" s="136" t="e">
        <f ca="1">VLOOKUP(A371,'銀行-TSS'!A:V,22,FALSE)</f>
        <v>#N/A</v>
      </c>
      <c r="L371" s="136" t="e">
        <f ca="1">VLOOKUP(A371,'銀行-TSS'!A:AK,37,FALSE)</f>
        <v>#N/A</v>
      </c>
      <c r="M371" s="136" t="str">
        <f ca="1">VLOOKUP(A371,'銀行-TSS'!A:AN,40,FALSE)</f>
        <v/>
      </c>
      <c r="N371" s="1211" t="e">
        <f t="shared" ca="1" si="71"/>
        <v>#N/A</v>
      </c>
      <c r="O371" s="1211" t="e">
        <f t="shared" ca="1" si="72"/>
        <v>#N/A</v>
      </c>
      <c r="P371" s="1213" t="e">
        <f ca="1">IF(AND(換券投組!$D$17&gt;=O371,換券投組!$D$13=D371),I371+INT((換券投組!$D$17-O371)/N371)*J371,0)</f>
        <v>#N/A</v>
      </c>
      <c r="Q371" s="1211" t="e">
        <f t="shared" ca="1" si="73"/>
        <v>#N/A</v>
      </c>
      <c r="R371" s="1213">
        <f t="shared" si="74"/>
        <v>0</v>
      </c>
      <c r="S371" s="1213">
        <f t="shared" si="75"/>
        <v>0</v>
      </c>
      <c r="T371" s="136">
        <f t="shared" si="77"/>
        <v>0</v>
      </c>
      <c r="U371" s="861">
        <f t="shared" si="78"/>
        <v>0</v>
      </c>
      <c r="V371" s="136" t="e">
        <f ca="1">IF(OR(D371&lt;&gt;"USD",L371="無",M371&lt;&gt;"",K371="高資產",IFERROR(MATCH(B371,換券投組!K:K,0),"N")&lt;&gt;"N",IFERROR(MATCH(B371,換券投組!J:J,0),"N")&lt;&gt;"N"),FALSE,IF($V$1="All",TRUE,IF(K371=$V$1,TRUE,FALSE)))</f>
        <v>#N/A</v>
      </c>
      <c r="W371" s="136" t="e">
        <f ca="1">VLOOKUP(A371,'銀行-TSS'!A:AO,41,FALSE)</f>
        <v>#N/A</v>
      </c>
      <c r="X371" s="136" t="e">
        <f ca="1">VLOOKUP(A371,'銀行-TSS'!A:AP,42,FALSE)</f>
        <v>#N/A</v>
      </c>
      <c r="Y371" s="1223">
        <f t="shared" si="76"/>
        <v>0</v>
      </c>
      <c r="Z371" s="1211">
        <f t="shared" si="79"/>
        <v>0</v>
      </c>
      <c r="AA371" s="136">
        <f>IF(Z371&lt;=0,0,RANK(Z371,Z:Z)+COUNTIF($Z$3:$Z371,Z371)-1)</f>
        <v>0</v>
      </c>
      <c r="AB371" s="1211">
        <f t="shared" ca="1" si="80"/>
        <v>0</v>
      </c>
      <c r="AC371" s="136">
        <f ca="1">IF(AB371&lt;=0,0,RANK(AB371,AB:AB)+COUNTIF($AB$3:$AB371,AB371)-1)</f>
        <v>0</v>
      </c>
      <c r="AD371" s="136">
        <f t="shared" si="81"/>
        <v>99999</v>
      </c>
      <c r="AE371" s="136">
        <f>IF(AD371=99999,0,RANK(AD371,AD:AD,1)+COUNTIF($AD$3:$AD371,AD371)-1)</f>
        <v>0</v>
      </c>
    </row>
    <row r="372" spans="1:31">
      <c r="A372" s="141">
        <f>'銀行-TSS'!A372</f>
        <v>0</v>
      </c>
      <c r="B372" s="151">
        <f ca="1">VLOOKUP(A372,'銀行-TSS'!A:B,2,FALSE)</f>
        <v>0</v>
      </c>
      <c r="C372" s="151" t="e">
        <f ca="1">VLOOKUP(B372,bond!B:C,2,FALSE)</f>
        <v>#N/A</v>
      </c>
      <c r="D372" s="95" t="e">
        <f>VLOOKUP(A372,'銀行-TSS'!A:C,3,FALSE)</f>
        <v>#N/A</v>
      </c>
      <c r="E372" s="90" t="e">
        <f ca="1">VLOOKUP(A372,'銀行-TSS'!A:G,7,FALSE)</f>
        <v>#N/A</v>
      </c>
      <c r="F372" s="202" t="e">
        <f ca="1">VLOOKUP(A372,'銀行-TSS'!A:H,8,FALSE)</f>
        <v>#N/A</v>
      </c>
      <c r="G372" s="96" t="e">
        <f ca="1">VLOOKUP(A372,'銀行-TSS'!A:K,11,FALSE)</f>
        <v>#N/A</v>
      </c>
      <c r="H372" s="1209" t="e">
        <f ca="1">VLOOKUP(A372,'銀行-TSS'!A:M,13,FALSE)</f>
        <v>#N/A</v>
      </c>
      <c r="I372" s="1213" t="e">
        <f ca="1">VLOOKUP(A372,'銀行-TSS'!A:N,14,FALSE)</f>
        <v>#N/A</v>
      </c>
      <c r="J372" s="1213" t="e">
        <f ca="1">VLOOKUP(A372,'銀行-TSS'!A:O,15,FALSE)</f>
        <v>#N/A</v>
      </c>
      <c r="K372" s="136" t="e">
        <f ca="1">VLOOKUP(A372,'銀行-TSS'!A:V,22,FALSE)</f>
        <v>#N/A</v>
      </c>
      <c r="L372" s="136" t="e">
        <f ca="1">VLOOKUP(A372,'銀行-TSS'!A:AK,37,FALSE)</f>
        <v>#N/A</v>
      </c>
      <c r="M372" s="136" t="str">
        <f ca="1">VLOOKUP(A372,'銀行-TSS'!A:AN,40,FALSE)</f>
        <v/>
      </c>
      <c r="N372" s="1211" t="e">
        <f t="shared" ca="1" si="71"/>
        <v>#N/A</v>
      </c>
      <c r="O372" s="1211" t="e">
        <f t="shared" ca="1" si="72"/>
        <v>#N/A</v>
      </c>
      <c r="P372" s="1213" t="e">
        <f ca="1">IF(AND(換券投組!$D$17&gt;=O372,換券投組!$D$13=D372),I372+INT((換券投組!$D$17-O372)/N372)*J372,0)</f>
        <v>#N/A</v>
      </c>
      <c r="Q372" s="1211" t="e">
        <f t="shared" ca="1" si="73"/>
        <v>#N/A</v>
      </c>
      <c r="R372" s="1213">
        <f t="shared" si="74"/>
        <v>0</v>
      </c>
      <c r="S372" s="1213">
        <f t="shared" si="75"/>
        <v>0</v>
      </c>
      <c r="T372" s="136">
        <f t="shared" si="77"/>
        <v>0</v>
      </c>
      <c r="U372" s="861">
        <f t="shared" si="78"/>
        <v>0</v>
      </c>
      <c r="V372" s="136" t="e">
        <f ca="1">IF(OR(D372&lt;&gt;"USD",L372="無",M372&lt;&gt;"",K372="高資產",IFERROR(MATCH(B372,換券投組!K:K,0),"N")&lt;&gt;"N",IFERROR(MATCH(B372,換券投組!J:J,0),"N")&lt;&gt;"N"),FALSE,IF($V$1="All",TRUE,IF(K372=$V$1,TRUE,FALSE)))</f>
        <v>#N/A</v>
      </c>
      <c r="W372" s="136" t="e">
        <f ca="1">VLOOKUP(A372,'銀行-TSS'!A:AO,41,FALSE)</f>
        <v>#N/A</v>
      </c>
      <c r="X372" s="136" t="e">
        <f ca="1">VLOOKUP(A372,'銀行-TSS'!A:AP,42,FALSE)</f>
        <v>#N/A</v>
      </c>
      <c r="Y372" s="1223">
        <f t="shared" si="76"/>
        <v>0</v>
      </c>
      <c r="Z372" s="1211">
        <f t="shared" si="79"/>
        <v>0</v>
      </c>
      <c r="AA372" s="136">
        <f>IF(Z372&lt;=0,0,RANK(Z372,Z:Z)+COUNTIF($Z$3:$Z372,Z372)-1)</f>
        <v>0</v>
      </c>
      <c r="AB372" s="1211">
        <f t="shared" ca="1" si="80"/>
        <v>0</v>
      </c>
      <c r="AC372" s="136">
        <f ca="1">IF(AB372&lt;=0,0,RANK(AB372,AB:AB)+COUNTIF($AB$3:$AB372,AB372)-1)</f>
        <v>0</v>
      </c>
      <c r="AD372" s="136">
        <f t="shared" si="81"/>
        <v>99999</v>
      </c>
      <c r="AE372" s="136">
        <f>IF(AD372=99999,0,RANK(AD372,AD:AD,1)+COUNTIF($AD$3:$AD372,AD372)-1)</f>
        <v>0</v>
      </c>
    </row>
    <row r="373" spans="1:31">
      <c r="A373" s="141">
        <f>'銀行-TSS'!A373</f>
        <v>0</v>
      </c>
      <c r="B373" s="151">
        <f ca="1">VLOOKUP(A373,'銀行-TSS'!A:B,2,FALSE)</f>
        <v>0</v>
      </c>
      <c r="C373" s="151" t="e">
        <f ca="1">VLOOKUP(B373,bond!B:C,2,FALSE)</f>
        <v>#N/A</v>
      </c>
      <c r="D373" s="95" t="e">
        <f>VLOOKUP(A373,'銀行-TSS'!A:C,3,FALSE)</f>
        <v>#N/A</v>
      </c>
      <c r="E373" s="90" t="e">
        <f ca="1">VLOOKUP(A373,'銀行-TSS'!A:G,7,FALSE)</f>
        <v>#N/A</v>
      </c>
      <c r="F373" s="202" t="e">
        <f ca="1">VLOOKUP(A373,'銀行-TSS'!A:H,8,FALSE)</f>
        <v>#N/A</v>
      </c>
      <c r="G373" s="96" t="e">
        <f ca="1">VLOOKUP(A373,'銀行-TSS'!A:K,11,FALSE)</f>
        <v>#N/A</v>
      </c>
      <c r="H373" s="1209" t="e">
        <f ca="1">VLOOKUP(A373,'銀行-TSS'!A:M,13,FALSE)</f>
        <v>#N/A</v>
      </c>
      <c r="I373" s="1213" t="e">
        <f ca="1">VLOOKUP(A373,'銀行-TSS'!A:N,14,FALSE)</f>
        <v>#N/A</v>
      </c>
      <c r="J373" s="1213" t="e">
        <f ca="1">VLOOKUP(A373,'銀行-TSS'!A:O,15,FALSE)</f>
        <v>#N/A</v>
      </c>
      <c r="K373" s="136" t="e">
        <f ca="1">VLOOKUP(A373,'銀行-TSS'!A:V,22,FALSE)</f>
        <v>#N/A</v>
      </c>
      <c r="L373" s="136" t="e">
        <f ca="1">VLOOKUP(A373,'銀行-TSS'!A:AK,37,FALSE)</f>
        <v>#N/A</v>
      </c>
      <c r="M373" s="136" t="str">
        <f ca="1">VLOOKUP(A373,'銀行-TSS'!A:AN,40,FALSE)</f>
        <v/>
      </c>
      <c r="N373" s="1211" t="e">
        <f t="shared" ca="1" si="71"/>
        <v>#N/A</v>
      </c>
      <c r="O373" s="1211" t="e">
        <f t="shared" ca="1" si="72"/>
        <v>#N/A</v>
      </c>
      <c r="P373" s="1213" t="e">
        <f ca="1">IF(AND(換券投組!$D$17&gt;=O373,換券投組!$D$13=D373),I373+INT((換券投組!$D$17-O373)/N373)*J373,0)</f>
        <v>#N/A</v>
      </c>
      <c r="Q373" s="1211" t="e">
        <f t="shared" ca="1" si="73"/>
        <v>#N/A</v>
      </c>
      <c r="R373" s="1213">
        <f t="shared" si="74"/>
        <v>0</v>
      </c>
      <c r="S373" s="1213">
        <f t="shared" si="75"/>
        <v>0</v>
      </c>
      <c r="T373" s="136">
        <f t="shared" si="77"/>
        <v>0</v>
      </c>
      <c r="U373" s="861">
        <f t="shared" si="78"/>
        <v>0</v>
      </c>
      <c r="V373" s="136" t="e">
        <f ca="1">IF(OR(D373&lt;&gt;"USD",L373="無",M373&lt;&gt;"",K373="高資產",IFERROR(MATCH(B373,換券投組!K:K,0),"N")&lt;&gt;"N",IFERROR(MATCH(B373,換券投組!J:J,0),"N")&lt;&gt;"N"),FALSE,IF($V$1="All",TRUE,IF(K373=$V$1,TRUE,FALSE)))</f>
        <v>#N/A</v>
      </c>
      <c r="W373" s="136" t="e">
        <f ca="1">VLOOKUP(A373,'銀行-TSS'!A:AO,41,FALSE)</f>
        <v>#N/A</v>
      </c>
      <c r="X373" s="136" t="e">
        <f ca="1">VLOOKUP(A373,'銀行-TSS'!A:AP,42,FALSE)</f>
        <v>#N/A</v>
      </c>
      <c r="Y373" s="1223">
        <f t="shared" si="76"/>
        <v>0</v>
      </c>
      <c r="Z373" s="1211">
        <f t="shared" si="79"/>
        <v>0</v>
      </c>
      <c r="AA373" s="136">
        <f>IF(Z373&lt;=0,0,RANK(Z373,Z:Z)+COUNTIF($Z$3:$Z373,Z373)-1)</f>
        <v>0</v>
      </c>
      <c r="AB373" s="1211">
        <f t="shared" ca="1" si="80"/>
        <v>0</v>
      </c>
      <c r="AC373" s="136">
        <f ca="1">IF(AB373&lt;=0,0,RANK(AB373,AB:AB)+COUNTIF($AB$3:$AB373,AB373)-1)</f>
        <v>0</v>
      </c>
      <c r="AD373" s="136">
        <f t="shared" si="81"/>
        <v>99999</v>
      </c>
      <c r="AE373" s="136">
        <f>IF(AD373=99999,0,RANK(AD373,AD:AD,1)+COUNTIF($AD$3:$AD373,AD373)-1)</f>
        <v>0</v>
      </c>
    </row>
    <row r="374" spans="1:31">
      <c r="A374" s="141">
        <f>'銀行-TSS'!A374</f>
        <v>0</v>
      </c>
      <c r="B374" s="151">
        <f ca="1">VLOOKUP(A374,'銀行-TSS'!A:B,2,FALSE)</f>
        <v>0</v>
      </c>
      <c r="C374" s="151" t="e">
        <f ca="1">VLOOKUP(B374,bond!B:C,2,FALSE)</f>
        <v>#N/A</v>
      </c>
      <c r="D374" s="95" t="e">
        <f>VLOOKUP(A374,'銀行-TSS'!A:C,3,FALSE)</f>
        <v>#N/A</v>
      </c>
      <c r="E374" s="90" t="e">
        <f ca="1">VLOOKUP(A374,'銀行-TSS'!A:G,7,FALSE)</f>
        <v>#N/A</v>
      </c>
      <c r="F374" s="202" t="e">
        <f ca="1">VLOOKUP(A374,'銀行-TSS'!A:H,8,FALSE)</f>
        <v>#N/A</v>
      </c>
      <c r="G374" s="96" t="e">
        <f ca="1">VLOOKUP(A374,'銀行-TSS'!A:K,11,FALSE)</f>
        <v>#N/A</v>
      </c>
      <c r="H374" s="1209" t="e">
        <f ca="1">VLOOKUP(A374,'銀行-TSS'!A:M,13,FALSE)</f>
        <v>#N/A</v>
      </c>
      <c r="I374" s="1213" t="e">
        <f ca="1">VLOOKUP(A374,'銀行-TSS'!A:N,14,FALSE)</f>
        <v>#N/A</v>
      </c>
      <c r="J374" s="1213" t="e">
        <f ca="1">VLOOKUP(A374,'銀行-TSS'!A:O,15,FALSE)</f>
        <v>#N/A</v>
      </c>
      <c r="K374" s="136" t="e">
        <f ca="1">VLOOKUP(A374,'銀行-TSS'!A:V,22,FALSE)</f>
        <v>#N/A</v>
      </c>
      <c r="L374" s="136" t="e">
        <f ca="1">VLOOKUP(A374,'銀行-TSS'!A:AK,37,FALSE)</f>
        <v>#N/A</v>
      </c>
      <c r="M374" s="136" t="str">
        <f ca="1">VLOOKUP(A374,'銀行-TSS'!A:AN,40,FALSE)</f>
        <v/>
      </c>
      <c r="N374" s="1211" t="e">
        <f t="shared" ca="1" si="71"/>
        <v>#N/A</v>
      </c>
      <c r="O374" s="1211" t="e">
        <f t="shared" ca="1" si="72"/>
        <v>#N/A</v>
      </c>
      <c r="P374" s="1213" t="e">
        <f ca="1">IF(AND(換券投組!$D$17&gt;=O374,換券投組!$D$13=D374),I374+INT((換券投組!$D$17-O374)/N374)*J374,0)</f>
        <v>#N/A</v>
      </c>
      <c r="Q374" s="1211" t="e">
        <f t="shared" ca="1" si="73"/>
        <v>#N/A</v>
      </c>
      <c r="R374" s="1213">
        <f t="shared" si="74"/>
        <v>0</v>
      </c>
      <c r="S374" s="1213">
        <f t="shared" si="75"/>
        <v>0</v>
      </c>
      <c r="T374" s="136">
        <f t="shared" si="77"/>
        <v>0</v>
      </c>
      <c r="U374" s="861">
        <f t="shared" si="78"/>
        <v>0</v>
      </c>
      <c r="V374" s="136" t="e">
        <f ca="1">IF(OR(D374&lt;&gt;"USD",L374="無",M374&lt;&gt;"",K374="高資產",IFERROR(MATCH(B374,換券投組!K:K,0),"N")&lt;&gt;"N",IFERROR(MATCH(B374,換券投組!J:J,0),"N")&lt;&gt;"N"),FALSE,IF($V$1="All",TRUE,IF(K374=$V$1,TRUE,FALSE)))</f>
        <v>#N/A</v>
      </c>
      <c r="W374" s="136" t="e">
        <f ca="1">VLOOKUP(A374,'銀行-TSS'!A:AO,41,FALSE)</f>
        <v>#N/A</v>
      </c>
      <c r="X374" s="136" t="e">
        <f ca="1">VLOOKUP(A374,'銀行-TSS'!A:AP,42,FALSE)</f>
        <v>#N/A</v>
      </c>
      <c r="Y374" s="1223">
        <f t="shared" si="76"/>
        <v>0</v>
      </c>
      <c r="Z374" s="1211">
        <f t="shared" si="79"/>
        <v>0</v>
      </c>
      <c r="AA374" s="136">
        <f>IF(Z374&lt;=0,0,RANK(Z374,Z:Z)+COUNTIF($Z$3:$Z374,Z374)-1)</f>
        <v>0</v>
      </c>
      <c r="AB374" s="1211">
        <f t="shared" ca="1" si="80"/>
        <v>0</v>
      </c>
      <c r="AC374" s="136">
        <f ca="1">IF(AB374&lt;=0,0,RANK(AB374,AB:AB)+COUNTIF($AB$3:$AB374,AB374)-1)</f>
        <v>0</v>
      </c>
      <c r="AD374" s="136">
        <f t="shared" si="81"/>
        <v>99999</v>
      </c>
      <c r="AE374" s="136">
        <f>IF(AD374=99999,0,RANK(AD374,AD:AD,1)+COUNTIF($AD$3:$AD374,AD374)-1)</f>
        <v>0</v>
      </c>
    </row>
    <row r="375" spans="1:31">
      <c r="A375" s="141">
        <f>'銀行-TSS'!A375</f>
        <v>0</v>
      </c>
      <c r="B375" s="151">
        <f ca="1">VLOOKUP(A375,'銀行-TSS'!A:B,2,FALSE)</f>
        <v>0</v>
      </c>
      <c r="C375" s="151" t="e">
        <f ca="1">VLOOKUP(B375,bond!B:C,2,FALSE)</f>
        <v>#N/A</v>
      </c>
      <c r="D375" s="95" t="e">
        <f>VLOOKUP(A375,'銀行-TSS'!A:C,3,FALSE)</f>
        <v>#N/A</v>
      </c>
      <c r="E375" s="90" t="e">
        <f ca="1">VLOOKUP(A375,'銀行-TSS'!A:G,7,FALSE)</f>
        <v>#N/A</v>
      </c>
      <c r="F375" s="202" t="e">
        <f ca="1">VLOOKUP(A375,'銀行-TSS'!A:H,8,FALSE)</f>
        <v>#N/A</v>
      </c>
      <c r="G375" s="96" t="e">
        <f ca="1">VLOOKUP(A375,'銀行-TSS'!A:K,11,FALSE)</f>
        <v>#N/A</v>
      </c>
      <c r="H375" s="1209" t="e">
        <f ca="1">VLOOKUP(A375,'銀行-TSS'!A:M,13,FALSE)</f>
        <v>#N/A</v>
      </c>
      <c r="I375" s="1213" t="e">
        <f ca="1">VLOOKUP(A375,'銀行-TSS'!A:N,14,FALSE)</f>
        <v>#N/A</v>
      </c>
      <c r="J375" s="1213" t="e">
        <f ca="1">VLOOKUP(A375,'銀行-TSS'!A:O,15,FALSE)</f>
        <v>#N/A</v>
      </c>
      <c r="K375" s="136" t="e">
        <f ca="1">VLOOKUP(A375,'銀行-TSS'!A:V,22,FALSE)</f>
        <v>#N/A</v>
      </c>
      <c r="L375" s="136" t="e">
        <f ca="1">VLOOKUP(A375,'銀行-TSS'!A:AK,37,FALSE)</f>
        <v>#N/A</v>
      </c>
      <c r="M375" s="136" t="str">
        <f ca="1">VLOOKUP(A375,'銀行-TSS'!A:AN,40,FALSE)</f>
        <v/>
      </c>
      <c r="N375" s="1211" t="e">
        <f t="shared" ca="1" si="71"/>
        <v>#N/A</v>
      </c>
      <c r="O375" s="1211" t="e">
        <f t="shared" ca="1" si="72"/>
        <v>#N/A</v>
      </c>
      <c r="P375" s="1213" t="e">
        <f ca="1">IF(AND(換券投組!$D$17&gt;=O375,換券投組!$D$13=D375),I375+INT((換券投組!$D$17-O375)/N375)*J375,0)</f>
        <v>#N/A</v>
      </c>
      <c r="Q375" s="1211" t="e">
        <f t="shared" ca="1" si="73"/>
        <v>#N/A</v>
      </c>
      <c r="R375" s="1213">
        <f t="shared" si="74"/>
        <v>0</v>
      </c>
      <c r="S375" s="1213">
        <f t="shared" si="75"/>
        <v>0</v>
      </c>
      <c r="T375" s="136">
        <f t="shared" si="77"/>
        <v>0</v>
      </c>
      <c r="U375" s="861">
        <f t="shared" si="78"/>
        <v>0</v>
      </c>
      <c r="V375" s="136" t="e">
        <f ca="1">IF(OR(D375&lt;&gt;"USD",L375="無",M375&lt;&gt;"",K375="高資產",IFERROR(MATCH(B375,換券投組!K:K,0),"N")&lt;&gt;"N",IFERROR(MATCH(B375,換券投組!J:J,0),"N")&lt;&gt;"N"),FALSE,IF($V$1="All",TRUE,IF(K375=$V$1,TRUE,FALSE)))</f>
        <v>#N/A</v>
      </c>
      <c r="W375" s="136" t="e">
        <f ca="1">VLOOKUP(A375,'銀行-TSS'!A:AO,41,FALSE)</f>
        <v>#N/A</v>
      </c>
      <c r="X375" s="136" t="e">
        <f ca="1">VLOOKUP(A375,'銀行-TSS'!A:AP,42,FALSE)</f>
        <v>#N/A</v>
      </c>
      <c r="Y375" s="1223">
        <f t="shared" si="76"/>
        <v>0</v>
      </c>
      <c r="Z375" s="1211">
        <f t="shared" si="79"/>
        <v>0</v>
      </c>
      <c r="AA375" s="136">
        <f>IF(Z375&lt;=0,0,RANK(Z375,Z:Z)+COUNTIF($Z$3:$Z375,Z375)-1)</f>
        <v>0</v>
      </c>
      <c r="AB375" s="1211">
        <f t="shared" ca="1" si="80"/>
        <v>0</v>
      </c>
      <c r="AC375" s="136">
        <f ca="1">IF(AB375&lt;=0,0,RANK(AB375,AB:AB)+COUNTIF($AB$3:$AB375,AB375)-1)</f>
        <v>0</v>
      </c>
      <c r="AD375" s="136">
        <f t="shared" si="81"/>
        <v>99999</v>
      </c>
      <c r="AE375" s="136">
        <f>IF(AD375=99999,0,RANK(AD375,AD:AD,1)+COUNTIF($AD$3:$AD375,AD375)-1)</f>
        <v>0</v>
      </c>
    </row>
    <row r="376" spans="1:31">
      <c r="A376" s="141">
        <f>'銀行-TSS'!A376</f>
        <v>0</v>
      </c>
      <c r="B376" s="151">
        <f ca="1">VLOOKUP(A376,'銀行-TSS'!A:B,2,FALSE)</f>
        <v>0</v>
      </c>
      <c r="C376" s="151" t="e">
        <f ca="1">VLOOKUP(B376,bond!B:C,2,FALSE)</f>
        <v>#N/A</v>
      </c>
      <c r="D376" s="95" t="e">
        <f>VLOOKUP(A376,'銀行-TSS'!A:C,3,FALSE)</f>
        <v>#N/A</v>
      </c>
      <c r="E376" s="90" t="e">
        <f ca="1">VLOOKUP(A376,'銀行-TSS'!A:G,7,FALSE)</f>
        <v>#N/A</v>
      </c>
      <c r="F376" s="202" t="e">
        <f ca="1">VLOOKUP(A376,'銀行-TSS'!A:H,8,FALSE)</f>
        <v>#N/A</v>
      </c>
      <c r="G376" s="96" t="e">
        <f ca="1">VLOOKUP(A376,'銀行-TSS'!A:K,11,FALSE)</f>
        <v>#N/A</v>
      </c>
      <c r="H376" s="1209" t="e">
        <f ca="1">VLOOKUP(A376,'銀行-TSS'!A:M,13,FALSE)</f>
        <v>#N/A</v>
      </c>
      <c r="I376" s="1213" t="e">
        <f ca="1">VLOOKUP(A376,'銀行-TSS'!A:N,14,FALSE)</f>
        <v>#N/A</v>
      </c>
      <c r="J376" s="1213" t="e">
        <f ca="1">VLOOKUP(A376,'銀行-TSS'!A:O,15,FALSE)</f>
        <v>#N/A</v>
      </c>
      <c r="K376" s="136" t="e">
        <f ca="1">VLOOKUP(A376,'銀行-TSS'!A:V,22,FALSE)</f>
        <v>#N/A</v>
      </c>
      <c r="L376" s="136" t="e">
        <f ca="1">VLOOKUP(A376,'銀行-TSS'!A:AK,37,FALSE)</f>
        <v>#N/A</v>
      </c>
      <c r="M376" s="136" t="str">
        <f ca="1">VLOOKUP(A376,'銀行-TSS'!A:AN,40,FALSE)</f>
        <v/>
      </c>
      <c r="N376" s="1211" t="e">
        <f t="shared" ca="1" si="71"/>
        <v>#N/A</v>
      </c>
      <c r="O376" s="1211" t="e">
        <f t="shared" ca="1" si="72"/>
        <v>#N/A</v>
      </c>
      <c r="P376" s="1213" t="e">
        <f ca="1">IF(AND(換券投組!$D$17&gt;=O376,換券投組!$D$13=D376),I376+INT((換券投組!$D$17-O376)/N376)*J376,0)</f>
        <v>#N/A</v>
      </c>
      <c r="Q376" s="1211" t="e">
        <f t="shared" ca="1" si="73"/>
        <v>#N/A</v>
      </c>
      <c r="R376" s="1213">
        <f t="shared" si="74"/>
        <v>0</v>
      </c>
      <c r="S376" s="1213">
        <f t="shared" si="75"/>
        <v>0</v>
      </c>
      <c r="T376" s="136">
        <f t="shared" si="77"/>
        <v>0</v>
      </c>
      <c r="U376" s="861">
        <f t="shared" si="78"/>
        <v>0</v>
      </c>
      <c r="V376" s="136" t="e">
        <f ca="1">IF(OR(D376&lt;&gt;"USD",L376="無",M376&lt;&gt;"",K376="高資產",IFERROR(MATCH(B376,換券投組!K:K,0),"N")&lt;&gt;"N",IFERROR(MATCH(B376,換券投組!J:J,0),"N")&lt;&gt;"N"),FALSE,IF($V$1="All",TRUE,IF(K376=$V$1,TRUE,FALSE)))</f>
        <v>#N/A</v>
      </c>
      <c r="W376" s="136" t="e">
        <f ca="1">VLOOKUP(A376,'銀行-TSS'!A:AO,41,FALSE)</f>
        <v>#N/A</v>
      </c>
      <c r="X376" s="136" t="e">
        <f ca="1">VLOOKUP(A376,'銀行-TSS'!A:AP,42,FALSE)</f>
        <v>#N/A</v>
      </c>
      <c r="Y376" s="1223">
        <f t="shared" si="76"/>
        <v>0</v>
      </c>
      <c r="Z376" s="1211">
        <f t="shared" si="79"/>
        <v>0</v>
      </c>
      <c r="AA376" s="136">
        <f>IF(Z376&lt;=0,0,RANK(Z376,Z:Z)+COUNTIF($Z$3:$Z376,Z376)-1)</f>
        <v>0</v>
      </c>
      <c r="AB376" s="1211">
        <f t="shared" ca="1" si="80"/>
        <v>0</v>
      </c>
      <c r="AC376" s="136">
        <f ca="1">IF(AB376&lt;=0,0,RANK(AB376,AB:AB)+COUNTIF($AB$3:$AB376,AB376)-1)</f>
        <v>0</v>
      </c>
      <c r="AD376" s="136">
        <f t="shared" si="81"/>
        <v>99999</v>
      </c>
      <c r="AE376" s="136">
        <f>IF(AD376=99999,0,RANK(AD376,AD:AD,1)+COUNTIF($AD$3:$AD376,AD376)-1)</f>
        <v>0</v>
      </c>
    </row>
    <row r="377" spans="1:31">
      <c r="A377" s="141">
        <f>'銀行-TSS'!A377</f>
        <v>0</v>
      </c>
      <c r="B377" s="151">
        <f ca="1">VLOOKUP(A377,'銀行-TSS'!A:B,2,FALSE)</f>
        <v>0</v>
      </c>
      <c r="C377" s="151" t="e">
        <f ca="1">VLOOKUP(B377,bond!B:C,2,FALSE)</f>
        <v>#N/A</v>
      </c>
      <c r="D377" s="95" t="e">
        <f>VLOOKUP(A377,'銀行-TSS'!A:C,3,FALSE)</f>
        <v>#N/A</v>
      </c>
      <c r="E377" s="90" t="e">
        <f ca="1">VLOOKUP(A377,'銀行-TSS'!A:G,7,FALSE)</f>
        <v>#N/A</v>
      </c>
      <c r="F377" s="202" t="e">
        <f ca="1">VLOOKUP(A377,'銀行-TSS'!A:H,8,FALSE)</f>
        <v>#N/A</v>
      </c>
      <c r="G377" s="96" t="e">
        <f ca="1">VLOOKUP(A377,'銀行-TSS'!A:K,11,FALSE)</f>
        <v>#N/A</v>
      </c>
      <c r="H377" s="1209" t="e">
        <f ca="1">VLOOKUP(A377,'銀行-TSS'!A:M,13,FALSE)</f>
        <v>#N/A</v>
      </c>
      <c r="I377" s="1213" t="e">
        <f ca="1">VLOOKUP(A377,'銀行-TSS'!A:N,14,FALSE)</f>
        <v>#N/A</v>
      </c>
      <c r="J377" s="1213" t="e">
        <f ca="1">VLOOKUP(A377,'銀行-TSS'!A:O,15,FALSE)</f>
        <v>#N/A</v>
      </c>
      <c r="K377" s="136" t="e">
        <f ca="1">VLOOKUP(A377,'銀行-TSS'!A:V,22,FALSE)</f>
        <v>#N/A</v>
      </c>
      <c r="L377" s="136" t="e">
        <f ca="1">VLOOKUP(A377,'銀行-TSS'!A:AK,37,FALSE)</f>
        <v>#N/A</v>
      </c>
      <c r="M377" s="136" t="str">
        <f ca="1">VLOOKUP(A377,'銀行-TSS'!A:AN,40,FALSE)</f>
        <v/>
      </c>
      <c r="N377" s="1211" t="e">
        <f t="shared" ca="1" si="71"/>
        <v>#N/A</v>
      </c>
      <c r="O377" s="1211" t="e">
        <f t="shared" ca="1" si="72"/>
        <v>#N/A</v>
      </c>
      <c r="P377" s="1213" t="e">
        <f ca="1">IF(AND(換券投組!$D$17&gt;=O377,換券投組!$D$13=D377),I377+INT((換券投組!$D$17-O377)/N377)*J377,0)</f>
        <v>#N/A</v>
      </c>
      <c r="Q377" s="1211" t="e">
        <f t="shared" ca="1" si="73"/>
        <v>#N/A</v>
      </c>
      <c r="R377" s="1213">
        <f t="shared" si="74"/>
        <v>0</v>
      </c>
      <c r="S377" s="1213">
        <f t="shared" si="75"/>
        <v>0</v>
      </c>
      <c r="T377" s="136">
        <f t="shared" si="77"/>
        <v>0</v>
      </c>
      <c r="U377" s="861">
        <f t="shared" si="78"/>
        <v>0</v>
      </c>
      <c r="V377" s="136" t="e">
        <f ca="1">IF(OR(D377&lt;&gt;"USD",L377="無",M377&lt;&gt;"",K377="高資產",IFERROR(MATCH(B377,換券投組!K:K,0),"N")&lt;&gt;"N",IFERROR(MATCH(B377,換券投組!J:J,0),"N")&lt;&gt;"N"),FALSE,IF($V$1="All",TRUE,IF(K377=$V$1,TRUE,FALSE)))</f>
        <v>#N/A</v>
      </c>
      <c r="W377" s="136" t="e">
        <f ca="1">VLOOKUP(A377,'銀行-TSS'!A:AO,41,FALSE)</f>
        <v>#N/A</v>
      </c>
      <c r="X377" s="136" t="e">
        <f ca="1">VLOOKUP(A377,'銀行-TSS'!A:AP,42,FALSE)</f>
        <v>#N/A</v>
      </c>
      <c r="Y377" s="1223">
        <f t="shared" si="76"/>
        <v>0</v>
      </c>
      <c r="Z377" s="1211">
        <f t="shared" si="79"/>
        <v>0</v>
      </c>
      <c r="AA377" s="136">
        <f>IF(Z377&lt;=0,0,RANK(Z377,Z:Z)+COUNTIF($Z$3:$Z377,Z377)-1)</f>
        <v>0</v>
      </c>
      <c r="AB377" s="1211">
        <f t="shared" ca="1" si="80"/>
        <v>0</v>
      </c>
      <c r="AC377" s="136">
        <f ca="1">IF(AB377&lt;=0,0,RANK(AB377,AB:AB)+COUNTIF($AB$3:$AB377,AB377)-1)</f>
        <v>0</v>
      </c>
      <c r="AD377" s="136">
        <f t="shared" si="81"/>
        <v>99999</v>
      </c>
      <c r="AE377" s="136">
        <f>IF(AD377=99999,0,RANK(AD377,AD:AD,1)+COUNTIF($AD$3:$AD377,AD377)-1)</f>
        <v>0</v>
      </c>
    </row>
    <row r="378" spans="1:31">
      <c r="A378" s="141">
        <f>'銀行-TSS'!A378</f>
        <v>0</v>
      </c>
      <c r="B378" s="151">
        <f ca="1">VLOOKUP(A378,'銀行-TSS'!A:B,2,FALSE)</f>
        <v>0</v>
      </c>
      <c r="C378" s="151" t="e">
        <f ca="1">VLOOKUP(B378,bond!B:C,2,FALSE)</f>
        <v>#N/A</v>
      </c>
      <c r="D378" s="95" t="e">
        <f>VLOOKUP(A378,'銀行-TSS'!A:C,3,FALSE)</f>
        <v>#N/A</v>
      </c>
      <c r="E378" s="90" t="e">
        <f ca="1">VLOOKUP(A378,'銀行-TSS'!A:G,7,FALSE)</f>
        <v>#N/A</v>
      </c>
      <c r="F378" s="202" t="e">
        <f ca="1">VLOOKUP(A378,'銀行-TSS'!A:H,8,FALSE)</f>
        <v>#N/A</v>
      </c>
      <c r="G378" s="96" t="e">
        <f ca="1">VLOOKUP(A378,'銀行-TSS'!A:K,11,FALSE)</f>
        <v>#N/A</v>
      </c>
      <c r="H378" s="1209" t="e">
        <f ca="1">VLOOKUP(A378,'銀行-TSS'!A:M,13,FALSE)</f>
        <v>#N/A</v>
      </c>
      <c r="I378" s="1213" t="e">
        <f ca="1">VLOOKUP(A378,'銀行-TSS'!A:N,14,FALSE)</f>
        <v>#N/A</v>
      </c>
      <c r="J378" s="1213" t="e">
        <f ca="1">VLOOKUP(A378,'銀行-TSS'!A:O,15,FALSE)</f>
        <v>#N/A</v>
      </c>
      <c r="K378" s="136" t="e">
        <f ca="1">VLOOKUP(A378,'銀行-TSS'!A:V,22,FALSE)</f>
        <v>#N/A</v>
      </c>
      <c r="L378" s="136" t="e">
        <f ca="1">VLOOKUP(A378,'銀行-TSS'!A:AK,37,FALSE)</f>
        <v>#N/A</v>
      </c>
      <c r="M378" s="136" t="str">
        <f ca="1">VLOOKUP(A378,'銀行-TSS'!A:AN,40,FALSE)</f>
        <v/>
      </c>
      <c r="N378" s="1211" t="e">
        <f t="shared" ca="1" si="71"/>
        <v>#N/A</v>
      </c>
      <c r="O378" s="1211" t="e">
        <f t="shared" ca="1" si="72"/>
        <v>#N/A</v>
      </c>
      <c r="P378" s="1213" t="e">
        <f ca="1">IF(AND(換券投組!$D$17&gt;=O378,換券投組!$D$13=D378),I378+INT((換券投組!$D$17-O378)/N378)*J378,0)</f>
        <v>#N/A</v>
      </c>
      <c r="Q378" s="1211" t="e">
        <f t="shared" ca="1" si="73"/>
        <v>#N/A</v>
      </c>
      <c r="R378" s="1213">
        <f t="shared" si="74"/>
        <v>0</v>
      </c>
      <c r="S378" s="1213">
        <f t="shared" si="75"/>
        <v>0</v>
      </c>
      <c r="T378" s="136">
        <f t="shared" si="77"/>
        <v>0</v>
      </c>
      <c r="U378" s="861">
        <f t="shared" si="78"/>
        <v>0</v>
      </c>
      <c r="V378" s="136" t="e">
        <f ca="1">IF(OR(D378&lt;&gt;"USD",L378="無",M378&lt;&gt;"",K378="高資產",IFERROR(MATCH(B378,換券投組!K:K,0),"N")&lt;&gt;"N",IFERROR(MATCH(B378,換券投組!J:J,0),"N")&lt;&gt;"N"),FALSE,IF($V$1="All",TRUE,IF(K378=$V$1,TRUE,FALSE)))</f>
        <v>#N/A</v>
      </c>
      <c r="W378" s="136" t="e">
        <f ca="1">VLOOKUP(A378,'銀行-TSS'!A:AO,41,FALSE)</f>
        <v>#N/A</v>
      </c>
      <c r="X378" s="136" t="e">
        <f ca="1">VLOOKUP(A378,'銀行-TSS'!A:AP,42,FALSE)</f>
        <v>#N/A</v>
      </c>
      <c r="Y378" s="1223">
        <f t="shared" si="76"/>
        <v>0</v>
      </c>
      <c r="Z378" s="1211">
        <f t="shared" si="79"/>
        <v>0</v>
      </c>
      <c r="AA378" s="136">
        <f>IF(Z378&lt;=0,0,RANK(Z378,Z:Z)+COUNTIF($Z$3:$Z378,Z378)-1)</f>
        <v>0</v>
      </c>
      <c r="AB378" s="1211">
        <f t="shared" ca="1" si="80"/>
        <v>0</v>
      </c>
      <c r="AC378" s="136">
        <f ca="1">IF(AB378&lt;=0,0,RANK(AB378,AB:AB)+COUNTIF($AB$3:$AB378,AB378)-1)</f>
        <v>0</v>
      </c>
      <c r="AD378" s="136">
        <f t="shared" si="81"/>
        <v>99999</v>
      </c>
      <c r="AE378" s="136">
        <f>IF(AD378=99999,0,RANK(AD378,AD:AD,1)+COUNTIF($AD$3:$AD378,AD378)-1)</f>
        <v>0</v>
      </c>
    </row>
    <row r="379" spans="1:31">
      <c r="A379" s="141">
        <f>'銀行-TSS'!A379</f>
        <v>0</v>
      </c>
      <c r="B379" s="151">
        <f ca="1">VLOOKUP(A379,'銀行-TSS'!A:B,2,FALSE)</f>
        <v>0</v>
      </c>
      <c r="C379" s="151" t="e">
        <f ca="1">VLOOKUP(B379,bond!B:C,2,FALSE)</f>
        <v>#N/A</v>
      </c>
      <c r="D379" s="95" t="e">
        <f>VLOOKUP(A379,'銀行-TSS'!A:C,3,FALSE)</f>
        <v>#N/A</v>
      </c>
      <c r="E379" s="90" t="e">
        <f ca="1">VLOOKUP(A379,'銀行-TSS'!A:G,7,FALSE)</f>
        <v>#N/A</v>
      </c>
      <c r="F379" s="202" t="e">
        <f ca="1">VLOOKUP(A379,'銀行-TSS'!A:H,8,FALSE)</f>
        <v>#N/A</v>
      </c>
      <c r="G379" s="96" t="e">
        <f ca="1">VLOOKUP(A379,'銀行-TSS'!A:K,11,FALSE)</f>
        <v>#N/A</v>
      </c>
      <c r="H379" s="1209" t="e">
        <f ca="1">VLOOKUP(A379,'銀行-TSS'!A:M,13,FALSE)</f>
        <v>#N/A</v>
      </c>
      <c r="I379" s="1213" t="e">
        <f ca="1">VLOOKUP(A379,'銀行-TSS'!A:N,14,FALSE)</f>
        <v>#N/A</v>
      </c>
      <c r="J379" s="1213" t="e">
        <f ca="1">VLOOKUP(A379,'銀行-TSS'!A:O,15,FALSE)</f>
        <v>#N/A</v>
      </c>
      <c r="K379" s="136" t="e">
        <f ca="1">VLOOKUP(A379,'銀行-TSS'!A:V,22,FALSE)</f>
        <v>#N/A</v>
      </c>
      <c r="L379" s="136" t="e">
        <f ca="1">VLOOKUP(A379,'銀行-TSS'!A:AK,37,FALSE)</f>
        <v>#N/A</v>
      </c>
      <c r="M379" s="136" t="str">
        <f ca="1">VLOOKUP(A379,'銀行-TSS'!A:AN,40,FALSE)</f>
        <v/>
      </c>
      <c r="N379" s="1211" t="e">
        <f t="shared" ca="1" si="71"/>
        <v>#N/A</v>
      </c>
      <c r="O379" s="1211" t="e">
        <f t="shared" ca="1" si="72"/>
        <v>#N/A</v>
      </c>
      <c r="P379" s="1213" t="e">
        <f ca="1">IF(AND(換券投組!$D$17&gt;=O379,換券投組!$D$13=D379),I379+INT((換券投組!$D$17-O379)/N379)*J379,0)</f>
        <v>#N/A</v>
      </c>
      <c r="Q379" s="1211" t="e">
        <f t="shared" ca="1" si="73"/>
        <v>#N/A</v>
      </c>
      <c r="R379" s="1213">
        <f t="shared" si="74"/>
        <v>0</v>
      </c>
      <c r="S379" s="1213">
        <f t="shared" si="75"/>
        <v>0</v>
      </c>
      <c r="T379" s="136">
        <f t="shared" si="77"/>
        <v>0</v>
      </c>
      <c r="U379" s="861">
        <f t="shared" si="78"/>
        <v>0</v>
      </c>
      <c r="V379" s="136" t="e">
        <f ca="1">IF(OR(D379&lt;&gt;"USD",L379="無",M379&lt;&gt;"",K379="高資產",IFERROR(MATCH(B379,換券投組!K:K,0),"N")&lt;&gt;"N",IFERROR(MATCH(B379,換券投組!J:J,0),"N")&lt;&gt;"N"),FALSE,IF($V$1="All",TRUE,IF(K379=$V$1,TRUE,FALSE)))</f>
        <v>#N/A</v>
      </c>
      <c r="W379" s="136" t="e">
        <f ca="1">VLOOKUP(A379,'銀行-TSS'!A:AO,41,FALSE)</f>
        <v>#N/A</v>
      </c>
      <c r="X379" s="136" t="e">
        <f ca="1">VLOOKUP(A379,'銀行-TSS'!A:AP,42,FALSE)</f>
        <v>#N/A</v>
      </c>
      <c r="Y379" s="1223">
        <f t="shared" si="76"/>
        <v>0</v>
      </c>
      <c r="Z379" s="1211">
        <f t="shared" si="79"/>
        <v>0</v>
      </c>
      <c r="AA379" s="136">
        <f>IF(Z379&lt;=0,0,RANK(Z379,Z:Z)+COUNTIF($Z$3:$Z379,Z379)-1)</f>
        <v>0</v>
      </c>
      <c r="AB379" s="1211">
        <f t="shared" ca="1" si="80"/>
        <v>0</v>
      </c>
      <c r="AC379" s="136">
        <f ca="1">IF(AB379&lt;=0,0,RANK(AB379,AB:AB)+COUNTIF($AB$3:$AB379,AB379)-1)</f>
        <v>0</v>
      </c>
      <c r="AD379" s="136">
        <f t="shared" si="81"/>
        <v>99999</v>
      </c>
      <c r="AE379" s="136">
        <f>IF(AD379=99999,0,RANK(AD379,AD:AD,1)+COUNTIF($AD$3:$AD379,AD379)-1)</f>
        <v>0</v>
      </c>
    </row>
    <row r="380" spans="1:31">
      <c r="A380" s="141">
        <f>'銀行-TSS'!A380</f>
        <v>0</v>
      </c>
      <c r="B380" s="151">
        <f ca="1">VLOOKUP(A380,'銀行-TSS'!A:B,2,FALSE)</f>
        <v>0</v>
      </c>
      <c r="C380" s="151" t="e">
        <f ca="1">VLOOKUP(B380,bond!B:C,2,FALSE)</f>
        <v>#N/A</v>
      </c>
      <c r="D380" s="95" t="e">
        <f>VLOOKUP(A380,'銀行-TSS'!A:C,3,FALSE)</f>
        <v>#N/A</v>
      </c>
      <c r="E380" s="90" t="e">
        <f ca="1">VLOOKUP(A380,'銀行-TSS'!A:G,7,FALSE)</f>
        <v>#N/A</v>
      </c>
      <c r="F380" s="202" t="e">
        <f ca="1">VLOOKUP(A380,'銀行-TSS'!A:H,8,FALSE)</f>
        <v>#N/A</v>
      </c>
      <c r="G380" s="96" t="e">
        <f ca="1">VLOOKUP(A380,'銀行-TSS'!A:K,11,FALSE)</f>
        <v>#N/A</v>
      </c>
      <c r="H380" s="1209" t="e">
        <f ca="1">VLOOKUP(A380,'銀行-TSS'!A:M,13,FALSE)</f>
        <v>#N/A</v>
      </c>
      <c r="I380" s="1213" t="e">
        <f ca="1">VLOOKUP(A380,'銀行-TSS'!A:N,14,FALSE)</f>
        <v>#N/A</v>
      </c>
      <c r="J380" s="1213" t="e">
        <f ca="1">VLOOKUP(A380,'銀行-TSS'!A:O,15,FALSE)</f>
        <v>#N/A</v>
      </c>
      <c r="K380" s="136" t="e">
        <f ca="1">VLOOKUP(A380,'銀行-TSS'!A:V,22,FALSE)</f>
        <v>#N/A</v>
      </c>
      <c r="L380" s="136" t="e">
        <f ca="1">VLOOKUP(A380,'銀行-TSS'!A:AK,37,FALSE)</f>
        <v>#N/A</v>
      </c>
      <c r="M380" s="136" t="str">
        <f ca="1">VLOOKUP(A380,'銀行-TSS'!A:AN,40,FALSE)</f>
        <v/>
      </c>
      <c r="N380" s="1211" t="e">
        <f t="shared" ca="1" si="71"/>
        <v>#N/A</v>
      </c>
      <c r="O380" s="1211" t="e">
        <f t="shared" ca="1" si="72"/>
        <v>#N/A</v>
      </c>
      <c r="P380" s="1213" t="e">
        <f ca="1">IF(AND(換券投組!$D$17&gt;=O380,換券投組!$D$13=D380),I380+INT((換券投組!$D$17-O380)/N380)*J380,0)</f>
        <v>#N/A</v>
      </c>
      <c r="Q380" s="1211" t="e">
        <f t="shared" ca="1" si="73"/>
        <v>#N/A</v>
      </c>
      <c r="R380" s="1213">
        <f t="shared" si="74"/>
        <v>0</v>
      </c>
      <c r="S380" s="1213">
        <f t="shared" si="75"/>
        <v>0</v>
      </c>
      <c r="T380" s="136">
        <f t="shared" si="77"/>
        <v>0</v>
      </c>
      <c r="U380" s="861">
        <f t="shared" si="78"/>
        <v>0</v>
      </c>
      <c r="V380" s="136" t="e">
        <f ca="1">IF(OR(D380&lt;&gt;"USD",L380="無",M380&lt;&gt;"",K380="高資產",IFERROR(MATCH(B380,換券投組!K:K,0),"N")&lt;&gt;"N",IFERROR(MATCH(B380,換券投組!J:J,0),"N")&lt;&gt;"N"),FALSE,IF($V$1="All",TRUE,IF(K380=$V$1,TRUE,FALSE)))</f>
        <v>#N/A</v>
      </c>
      <c r="W380" s="136" t="e">
        <f ca="1">VLOOKUP(A380,'銀行-TSS'!A:AO,41,FALSE)</f>
        <v>#N/A</v>
      </c>
      <c r="X380" s="136" t="e">
        <f ca="1">VLOOKUP(A380,'銀行-TSS'!A:AP,42,FALSE)</f>
        <v>#N/A</v>
      </c>
      <c r="Y380" s="1223">
        <f t="shared" si="76"/>
        <v>0</v>
      </c>
      <c r="Z380" s="1211">
        <f t="shared" si="79"/>
        <v>0</v>
      </c>
      <c r="AA380" s="136">
        <f>IF(Z380&lt;=0,0,RANK(Z380,Z:Z)+COUNTIF($Z$3:$Z380,Z380)-1)</f>
        <v>0</v>
      </c>
      <c r="AB380" s="1211">
        <f t="shared" ca="1" si="80"/>
        <v>0</v>
      </c>
      <c r="AC380" s="136">
        <f ca="1">IF(AB380&lt;=0,0,RANK(AB380,AB:AB)+COUNTIF($AB$3:$AB380,AB380)-1)</f>
        <v>0</v>
      </c>
      <c r="AD380" s="136">
        <f t="shared" si="81"/>
        <v>99999</v>
      </c>
      <c r="AE380" s="136">
        <f>IF(AD380=99999,0,RANK(AD380,AD:AD,1)+COUNTIF($AD$3:$AD380,AD380)-1)</f>
        <v>0</v>
      </c>
    </row>
    <row r="381" spans="1:31">
      <c r="A381" s="141">
        <f>'銀行-TSS'!A381</f>
        <v>0</v>
      </c>
      <c r="B381" s="151">
        <f ca="1">VLOOKUP(A381,'銀行-TSS'!A:B,2,FALSE)</f>
        <v>0</v>
      </c>
      <c r="C381" s="151" t="e">
        <f ca="1">VLOOKUP(B381,bond!B:C,2,FALSE)</f>
        <v>#N/A</v>
      </c>
      <c r="D381" s="95" t="e">
        <f>VLOOKUP(A381,'銀行-TSS'!A:C,3,FALSE)</f>
        <v>#N/A</v>
      </c>
      <c r="E381" s="90" t="e">
        <f ca="1">VLOOKUP(A381,'銀行-TSS'!A:G,7,FALSE)</f>
        <v>#N/A</v>
      </c>
      <c r="F381" s="202" t="e">
        <f ca="1">VLOOKUP(A381,'銀行-TSS'!A:H,8,FALSE)</f>
        <v>#N/A</v>
      </c>
      <c r="G381" s="96" t="e">
        <f ca="1">VLOOKUP(A381,'銀行-TSS'!A:K,11,FALSE)</f>
        <v>#N/A</v>
      </c>
      <c r="H381" s="1209" t="e">
        <f ca="1">VLOOKUP(A381,'銀行-TSS'!A:M,13,FALSE)</f>
        <v>#N/A</v>
      </c>
      <c r="I381" s="1213" t="e">
        <f ca="1">VLOOKUP(A381,'銀行-TSS'!A:N,14,FALSE)</f>
        <v>#N/A</v>
      </c>
      <c r="J381" s="1213" t="e">
        <f ca="1">VLOOKUP(A381,'銀行-TSS'!A:O,15,FALSE)</f>
        <v>#N/A</v>
      </c>
      <c r="K381" s="136" t="e">
        <f ca="1">VLOOKUP(A381,'銀行-TSS'!A:V,22,FALSE)</f>
        <v>#N/A</v>
      </c>
      <c r="L381" s="136" t="e">
        <f ca="1">VLOOKUP(A381,'銀行-TSS'!A:AK,37,FALSE)</f>
        <v>#N/A</v>
      </c>
      <c r="M381" s="136" t="str">
        <f ca="1">VLOOKUP(A381,'銀行-TSS'!A:AN,40,FALSE)</f>
        <v/>
      </c>
      <c r="N381" s="1211" t="e">
        <f t="shared" ca="1" si="71"/>
        <v>#N/A</v>
      </c>
      <c r="O381" s="1211" t="e">
        <f t="shared" ca="1" si="72"/>
        <v>#N/A</v>
      </c>
      <c r="P381" s="1213" t="e">
        <f ca="1">IF(AND(換券投組!$D$17&gt;=O381,換券投組!$D$13=D381),I381+INT((換券投組!$D$17-O381)/N381)*J381,0)</f>
        <v>#N/A</v>
      </c>
      <c r="Q381" s="1211" t="e">
        <f t="shared" ca="1" si="73"/>
        <v>#N/A</v>
      </c>
      <c r="R381" s="1213">
        <f t="shared" si="74"/>
        <v>0</v>
      </c>
      <c r="S381" s="1213">
        <f t="shared" si="75"/>
        <v>0</v>
      </c>
      <c r="T381" s="136">
        <f t="shared" si="77"/>
        <v>0</v>
      </c>
      <c r="U381" s="861">
        <f t="shared" si="78"/>
        <v>0</v>
      </c>
      <c r="V381" s="136" t="e">
        <f ca="1">IF(OR(D381&lt;&gt;"USD",L381="無",M381&lt;&gt;"",K381="高資產",IFERROR(MATCH(B381,換券投組!K:K,0),"N")&lt;&gt;"N",IFERROR(MATCH(B381,換券投組!J:J,0),"N")&lt;&gt;"N"),FALSE,IF($V$1="All",TRUE,IF(K381=$V$1,TRUE,FALSE)))</f>
        <v>#N/A</v>
      </c>
      <c r="W381" s="136" t="e">
        <f ca="1">VLOOKUP(A381,'銀行-TSS'!A:AO,41,FALSE)</f>
        <v>#N/A</v>
      </c>
      <c r="X381" s="136" t="e">
        <f ca="1">VLOOKUP(A381,'銀行-TSS'!A:AP,42,FALSE)</f>
        <v>#N/A</v>
      </c>
      <c r="Y381" s="1223">
        <f t="shared" si="76"/>
        <v>0</v>
      </c>
      <c r="Z381" s="1211">
        <f t="shared" si="79"/>
        <v>0</v>
      </c>
      <c r="AA381" s="136">
        <f>IF(Z381&lt;=0,0,RANK(Z381,Z:Z)+COUNTIF($Z$3:$Z381,Z381)-1)</f>
        <v>0</v>
      </c>
      <c r="AB381" s="1211">
        <f t="shared" ca="1" si="80"/>
        <v>0</v>
      </c>
      <c r="AC381" s="136">
        <f ca="1">IF(AB381&lt;=0,0,RANK(AB381,AB:AB)+COUNTIF($AB$3:$AB381,AB381)-1)</f>
        <v>0</v>
      </c>
      <c r="AD381" s="136">
        <f t="shared" si="81"/>
        <v>99999</v>
      </c>
      <c r="AE381" s="136">
        <f>IF(AD381=99999,0,RANK(AD381,AD:AD,1)+COUNTIF($AD$3:$AD381,AD381)-1)</f>
        <v>0</v>
      </c>
    </row>
    <row r="382" spans="1:31">
      <c r="A382" s="141">
        <f>'銀行-TSS'!A382</f>
        <v>0</v>
      </c>
      <c r="B382" s="151">
        <f ca="1">VLOOKUP(A382,'銀行-TSS'!A:B,2,FALSE)</f>
        <v>0</v>
      </c>
      <c r="C382" s="151" t="e">
        <f ca="1">VLOOKUP(B382,bond!B:C,2,FALSE)</f>
        <v>#N/A</v>
      </c>
      <c r="D382" s="95" t="e">
        <f>VLOOKUP(A382,'銀行-TSS'!A:C,3,FALSE)</f>
        <v>#N/A</v>
      </c>
      <c r="E382" s="90" t="e">
        <f ca="1">VLOOKUP(A382,'銀行-TSS'!A:G,7,FALSE)</f>
        <v>#N/A</v>
      </c>
      <c r="F382" s="202" t="e">
        <f ca="1">VLOOKUP(A382,'銀行-TSS'!A:H,8,FALSE)</f>
        <v>#N/A</v>
      </c>
      <c r="G382" s="96" t="e">
        <f ca="1">VLOOKUP(A382,'銀行-TSS'!A:K,11,FALSE)</f>
        <v>#N/A</v>
      </c>
      <c r="H382" s="1209" t="e">
        <f ca="1">VLOOKUP(A382,'銀行-TSS'!A:M,13,FALSE)</f>
        <v>#N/A</v>
      </c>
      <c r="I382" s="1213" t="e">
        <f ca="1">VLOOKUP(A382,'銀行-TSS'!A:N,14,FALSE)</f>
        <v>#N/A</v>
      </c>
      <c r="J382" s="1213" t="e">
        <f ca="1">VLOOKUP(A382,'銀行-TSS'!A:O,15,FALSE)</f>
        <v>#N/A</v>
      </c>
      <c r="K382" s="136" t="e">
        <f ca="1">VLOOKUP(A382,'銀行-TSS'!A:V,22,FALSE)</f>
        <v>#N/A</v>
      </c>
      <c r="L382" s="136" t="e">
        <f ca="1">VLOOKUP(A382,'銀行-TSS'!A:AK,37,FALSE)</f>
        <v>#N/A</v>
      </c>
      <c r="M382" s="136" t="str">
        <f ca="1">VLOOKUP(A382,'銀行-TSS'!A:AN,40,FALSE)</f>
        <v/>
      </c>
      <c r="N382" s="1211" t="e">
        <f t="shared" ca="1" si="71"/>
        <v>#N/A</v>
      </c>
      <c r="O382" s="1211" t="e">
        <f t="shared" ca="1" si="72"/>
        <v>#N/A</v>
      </c>
      <c r="P382" s="1213" t="e">
        <f ca="1">IF(AND(換券投組!$D$17&gt;=O382,換券投組!$D$13=D382),I382+INT((換券投組!$D$17-O382)/N382)*J382,0)</f>
        <v>#N/A</v>
      </c>
      <c r="Q382" s="1211" t="e">
        <f t="shared" ca="1" si="73"/>
        <v>#N/A</v>
      </c>
      <c r="R382" s="1213">
        <f t="shared" si="74"/>
        <v>0</v>
      </c>
      <c r="S382" s="1213">
        <f t="shared" si="75"/>
        <v>0</v>
      </c>
      <c r="T382" s="136">
        <f t="shared" si="77"/>
        <v>0</v>
      </c>
      <c r="U382" s="861">
        <f t="shared" si="78"/>
        <v>0</v>
      </c>
      <c r="V382" s="136" t="e">
        <f ca="1">IF(OR(D382&lt;&gt;"USD",L382="無",M382&lt;&gt;"",K382="高資產",IFERROR(MATCH(B382,換券投組!K:K,0),"N")&lt;&gt;"N",IFERROR(MATCH(B382,換券投組!J:J,0),"N")&lt;&gt;"N"),FALSE,IF($V$1="All",TRUE,IF(K382=$V$1,TRUE,FALSE)))</f>
        <v>#N/A</v>
      </c>
      <c r="W382" s="136" t="e">
        <f ca="1">VLOOKUP(A382,'銀行-TSS'!A:AO,41,FALSE)</f>
        <v>#N/A</v>
      </c>
      <c r="X382" s="136" t="e">
        <f ca="1">VLOOKUP(A382,'銀行-TSS'!A:AP,42,FALSE)</f>
        <v>#N/A</v>
      </c>
      <c r="Y382" s="1223">
        <f t="shared" si="76"/>
        <v>0</v>
      </c>
      <c r="Z382" s="1211">
        <f t="shared" si="79"/>
        <v>0</v>
      </c>
      <c r="AA382" s="136">
        <f>IF(Z382&lt;=0,0,RANK(Z382,Z:Z)+COUNTIF($Z$3:$Z382,Z382)-1)</f>
        <v>0</v>
      </c>
      <c r="AB382" s="1211">
        <f t="shared" ca="1" si="80"/>
        <v>0</v>
      </c>
      <c r="AC382" s="136">
        <f ca="1">IF(AB382&lt;=0,0,RANK(AB382,AB:AB)+COUNTIF($AB$3:$AB382,AB382)-1)</f>
        <v>0</v>
      </c>
      <c r="AD382" s="136">
        <f t="shared" si="81"/>
        <v>99999</v>
      </c>
      <c r="AE382" s="136">
        <f>IF(AD382=99999,0,RANK(AD382,AD:AD,1)+COUNTIF($AD$3:$AD382,AD382)-1)</f>
        <v>0</v>
      </c>
    </row>
    <row r="383" spans="1:31">
      <c r="A383" s="141">
        <f>'銀行-TSS'!A383</f>
        <v>0</v>
      </c>
      <c r="B383" s="151">
        <f ca="1">VLOOKUP(A383,'銀行-TSS'!A:B,2,FALSE)</f>
        <v>0</v>
      </c>
      <c r="C383" s="151" t="e">
        <f ca="1">VLOOKUP(B383,bond!B:C,2,FALSE)</f>
        <v>#N/A</v>
      </c>
      <c r="D383" s="95" t="e">
        <f>VLOOKUP(A383,'銀行-TSS'!A:C,3,FALSE)</f>
        <v>#N/A</v>
      </c>
      <c r="E383" s="90" t="e">
        <f ca="1">VLOOKUP(A383,'銀行-TSS'!A:G,7,FALSE)</f>
        <v>#N/A</v>
      </c>
      <c r="F383" s="202" t="e">
        <f ca="1">VLOOKUP(A383,'銀行-TSS'!A:H,8,FALSE)</f>
        <v>#N/A</v>
      </c>
      <c r="G383" s="96" t="e">
        <f ca="1">VLOOKUP(A383,'銀行-TSS'!A:K,11,FALSE)</f>
        <v>#N/A</v>
      </c>
      <c r="H383" s="1209" t="e">
        <f ca="1">VLOOKUP(A383,'銀行-TSS'!A:M,13,FALSE)</f>
        <v>#N/A</v>
      </c>
      <c r="I383" s="1213" t="e">
        <f ca="1">VLOOKUP(A383,'銀行-TSS'!A:N,14,FALSE)</f>
        <v>#N/A</v>
      </c>
      <c r="J383" s="1213" t="e">
        <f ca="1">VLOOKUP(A383,'銀行-TSS'!A:O,15,FALSE)</f>
        <v>#N/A</v>
      </c>
      <c r="K383" s="136" t="e">
        <f ca="1">VLOOKUP(A383,'銀行-TSS'!A:V,22,FALSE)</f>
        <v>#N/A</v>
      </c>
      <c r="L383" s="136" t="e">
        <f ca="1">VLOOKUP(A383,'銀行-TSS'!A:AK,37,FALSE)</f>
        <v>#N/A</v>
      </c>
      <c r="M383" s="136" t="str">
        <f ca="1">VLOOKUP(A383,'銀行-TSS'!A:AN,40,FALSE)</f>
        <v/>
      </c>
      <c r="N383" s="1211" t="e">
        <f t="shared" ca="1" si="71"/>
        <v>#N/A</v>
      </c>
      <c r="O383" s="1211" t="e">
        <f t="shared" ca="1" si="72"/>
        <v>#N/A</v>
      </c>
      <c r="P383" s="1213" t="e">
        <f ca="1">IF(AND(換券投組!$D$17&gt;=O383,換券投組!$D$13=D383),I383+INT((換券投組!$D$17-O383)/N383)*J383,0)</f>
        <v>#N/A</v>
      </c>
      <c r="Q383" s="1211" t="e">
        <f t="shared" ca="1" si="73"/>
        <v>#N/A</v>
      </c>
      <c r="R383" s="1213">
        <f t="shared" si="74"/>
        <v>0</v>
      </c>
      <c r="S383" s="1213">
        <f t="shared" si="75"/>
        <v>0</v>
      </c>
      <c r="T383" s="136">
        <f t="shared" si="77"/>
        <v>0</v>
      </c>
      <c r="U383" s="861">
        <f t="shared" si="78"/>
        <v>0</v>
      </c>
      <c r="V383" s="136" t="e">
        <f ca="1">IF(OR(D383&lt;&gt;"USD",L383="無",M383&lt;&gt;"",K383="高資產",IFERROR(MATCH(B383,換券投組!K:K,0),"N")&lt;&gt;"N",IFERROR(MATCH(B383,換券投組!J:J,0),"N")&lt;&gt;"N"),FALSE,IF($V$1="All",TRUE,IF(K383=$V$1,TRUE,FALSE)))</f>
        <v>#N/A</v>
      </c>
      <c r="W383" s="136" t="e">
        <f ca="1">VLOOKUP(A383,'銀行-TSS'!A:AO,41,FALSE)</f>
        <v>#N/A</v>
      </c>
      <c r="X383" s="136" t="e">
        <f ca="1">VLOOKUP(A383,'銀行-TSS'!A:AP,42,FALSE)</f>
        <v>#N/A</v>
      </c>
      <c r="Y383" s="1223">
        <f t="shared" si="76"/>
        <v>0</v>
      </c>
      <c r="Z383" s="1211">
        <f t="shared" si="79"/>
        <v>0</v>
      </c>
      <c r="AA383" s="136">
        <f>IF(Z383&lt;=0,0,RANK(Z383,Z:Z)+COUNTIF($Z$3:$Z383,Z383)-1)</f>
        <v>0</v>
      </c>
      <c r="AB383" s="1211">
        <f t="shared" ca="1" si="80"/>
        <v>0</v>
      </c>
      <c r="AC383" s="136">
        <f ca="1">IF(AB383&lt;=0,0,RANK(AB383,AB:AB)+COUNTIF($AB$3:$AB383,AB383)-1)</f>
        <v>0</v>
      </c>
      <c r="AD383" s="136">
        <f t="shared" si="81"/>
        <v>99999</v>
      </c>
      <c r="AE383" s="136">
        <f>IF(AD383=99999,0,RANK(AD383,AD:AD,1)+COUNTIF($AD$3:$AD383,AD383)-1)</f>
        <v>0</v>
      </c>
    </row>
    <row r="384" spans="1:31">
      <c r="A384" s="141">
        <f>'銀行-TSS'!A384</f>
        <v>0</v>
      </c>
      <c r="B384" s="151">
        <f ca="1">VLOOKUP(A384,'銀行-TSS'!A:B,2,FALSE)</f>
        <v>0</v>
      </c>
      <c r="C384" s="151" t="e">
        <f ca="1">VLOOKUP(B384,bond!B:C,2,FALSE)</f>
        <v>#N/A</v>
      </c>
      <c r="D384" s="95" t="e">
        <f>VLOOKUP(A384,'銀行-TSS'!A:C,3,FALSE)</f>
        <v>#N/A</v>
      </c>
      <c r="E384" s="90" t="e">
        <f ca="1">VLOOKUP(A384,'銀行-TSS'!A:G,7,FALSE)</f>
        <v>#N/A</v>
      </c>
      <c r="F384" s="202" t="e">
        <f ca="1">VLOOKUP(A384,'銀行-TSS'!A:H,8,FALSE)</f>
        <v>#N/A</v>
      </c>
      <c r="G384" s="96" t="e">
        <f ca="1">VLOOKUP(A384,'銀行-TSS'!A:K,11,FALSE)</f>
        <v>#N/A</v>
      </c>
      <c r="H384" s="1209" t="e">
        <f ca="1">VLOOKUP(A384,'銀行-TSS'!A:M,13,FALSE)</f>
        <v>#N/A</v>
      </c>
      <c r="I384" s="1213" t="e">
        <f ca="1">VLOOKUP(A384,'銀行-TSS'!A:N,14,FALSE)</f>
        <v>#N/A</v>
      </c>
      <c r="J384" s="1213" t="e">
        <f ca="1">VLOOKUP(A384,'銀行-TSS'!A:O,15,FALSE)</f>
        <v>#N/A</v>
      </c>
      <c r="K384" s="136" t="e">
        <f ca="1">VLOOKUP(A384,'銀行-TSS'!A:V,22,FALSE)</f>
        <v>#N/A</v>
      </c>
      <c r="L384" s="136" t="e">
        <f ca="1">VLOOKUP(A384,'銀行-TSS'!A:AK,37,FALSE)</f>
        <v>#N/A</v>
      </c>
      <c r="M384" s="136" t="str">
        <f ca="1">VLOOKUP(A384,'銀行-TSS'!A:AN,40,FALSE)</f>
        <v/>
      </c>
      <c r="N384" s="1211" t="e">
        <f t="shared" ca="1" si="71"/>
        <v>#N/A</v>
      </c>
      <c r="O384" s="1211" t="e">
        <f t="shared" ca="1" si="72"/>
        <v>#N/A</v>
      </c>
      <c r="P384" s="1213" t="e">
        <f ca="1">IF(AND(換券投組!$D$17&gt;=O384,換券投組!$D$13=D384),I384+INT((換券投組!$D$17-O384)/N384)*J384,0)</f>
        <v>#N/A</v>
      </c>
      <c r="Q384" s="1211" t="e">
        <f t="shared" ca="1" si="73"/>
        <v>#N/A</v>
      </c>
      <c r="R384" s="1213">
        <f t="shared" si="74"/>
        <v>0</v>
      </c>
      <c r="S384" s="1213">
        <f t="shared" si="75"/>
        <v>0</v>
      </c>
      <c r="T384" s="136">
        <f t="shared" si="77"/>
        <v>0</v>
      </c>
      <c r="U384" s="861">
        <f t="shared" si="78"/>
        <v>0</v>
      </c>
      <c r="V384" s="136" t="e">
        <f ca="1">IF(OR(D384&lt;&gt;"USD",L384="無",M384&lt;&gt;"",K384="高資產",IFERROR(MATCH(B384,換券投組!K:K,0),"N")&lt;&gt;"N",IFERROR(MATCH(B384,換券投組!J:J,0),"N")&lt;&gt;"N"),FALSE,IF($V$1="All",TRUE,IF(K384=$V$1,TRUE,FALSE)))</f>
        <v>#N/A</v>
      </c>
      <c r="W384" s="136" t="e">
        <f ca="1">VLOOKUP(A384,'銀行-TSS'!A:AO,41,FALSE)</f>
        <v>#N/A</v>
      </c>
      <c r="X384" s="136" t="e">
        <f ca="1">VLOOKUP(A384,'銀行-TSS'!A:AP,42,FALSE)</f>
        <v>#N/A</v>
      </c>
      <c r="Y384" s="1223">
        <f t="shared" si="76"/>
        <v>0</v>
      </c>
      <c r="Z384" s="1211">
        <f t="shared" si="79"/>
        <v>0</v>
      </c>
      <c r="AA384" s="136">
        <f>IF(Z384&lt;=0,0,RANK(Z384,Z:Z)+COUNTIF($Z$3:$Z384,Z384)-1)</f>
        <v>0</v>
      </c>
      <c r="AB384" s="1211">
        <f t="shared" ca="1" si="80"/>
        <v>0</v>
      </c>
      <c r="AC384" s="136">
        <f ca="1">IF(AB384&lt;=0,0,RANK(AB384,AB:AB)+COUNTIF($AB$3:$AB384,AB384)-1)</f>
        <v>0</v>
      </c>
      <c r="AD384" s="136">
        <f t="shared" si="81"/>
        <v>99999</v>
      </c>
      <c r="AE384" s="136">
        <f>IF(AD384=99999,0,RANK(AD384,AD:AD,1)+COUNTIF($AD$3:$AD384,AD384)-1)</f>
        <v>0</v>
      </c>
    </row>
    <row r="385" spans="1:31">
      <c r="A385" s="141">
        <f>'銀行-TSS'!A385</f>
        <v>0</v>
      </c>
      <c r="B385" s="151">
        <f ca="1">VLOOKUP(A385,'銀行-TSS'!A:B,2,FALSE)</f>
        <v>0</v>
      </c>
      <c r="C385" s="151" t="e">
        <f ca="1">VLOOKUP(B385,bond!B:C,2,FALSE)</f>
        <v>#N/A</v>
      </c>
      <c r="D385" s="95" t="e">
        <f>VLOOKUP(A385,'銀行-TSS'!A:C,3,FALSE)</f>
        <v>#N/A</v>
      </c>
      <c r="E385" s="90" t="e">
        <f ca="1">VLOOKUP(A385,'銀行-TSS'!A:G,7,FALSE)</f>
        <v>#N/A</v>
      </c>
      <c r="F385" s="202" t="e">
        <f ca="1">VLOOKUP(A385,'銀行-TSS'!A:H,8,FALSE)</f>
        <v>#N/A</v>
      </c>
      <c r="G385" s="96" t="e">
        <f ca="1">VLOOKUP(A385,'銀行-TSS'!A:K,11,FALSE)</f>
        <v>#N/A</v>
      </c>
      <c r="H385" s="1209" t="e">
        <f ca="1">VLOOKUP(A385,'銀行-TSS'!A:M,13,FALSE)</f>
        <v>#N/A</v>
      </c>
      <c r="I385" s="1213" t="e">
        <f ca="1">VLOOKUP(A385,'銀行-TSS'!A:N,14,FALSE)</f>
        <v>#N/A</v>
      </c>
      <c r="J385" s="1213" t="e">
        <f ca="1">VLOOKUP(A385,'銀行-TSS'!A:O,15,FALSE)</f>
        <v>#N/A</v>
      </c>
      <c r="K385" s="136" t="e">
        <f ca="1">VLOOKUP(A385,'銀行-TSS'!A:V,22,FALSE)</f>
        <v>#N/A</v>
      </c>
      <c r="L385" s="136" t="e">
        <f ca="1">VLOOKUP(A385,'銀行-TSS'!A:AK,37,FALSE)</f>
        <v>#N/A</v>
      </c>
      <c r="M385" s="136" t="str">
        <f ca="1">VLOOKUP(A385,'銀行-TSS'!A:AN,40,FALSE)</f>
        <v/>
      </c>
      <c r="N385" s="1211" t="e">
        <f t="shared" ca="1" si="71"/>
        <v>#N/A</v>
      </c>
      <c r="O385" s="1211" t="e">
        <f t="shared" ca="1" si="72"/>
        <v>#N/A</v>
      </c>
      <c r="P385" s="1213" t="e">
        <f ca="1">IF(AND(換券投組!$D$17&gt;=O385,換券投組!$D$13=D385),I385+INT((換券投組!$D$17-O385)/N385)*J385,0)</f>
        <v>#N/A</v>
      </c>
      <c r="Q385" s="1211" t="e">
        <f t="shared" ca="1" si="73"/>
        <v>#N/A</v>
      </c>
      <c r="R385" s="1213">
        <f t="shared" si="74"/>
        <v>0</v>
      </c>
      <c r="S385" s="1213">
        <f t="shared" si="75"/>
        <v>0</v>
      </c>
      <c r="T385" s="136">
        <f t="shared" si="77"/>
        <v>0</v>
      </c>
      <c r="U385" s="861">
        <f t="shared" si="78"/>
        <v>0</v>
      </c>
      <c r="V385" s="136" t="e">
        <f ca="1">IF(OR(D385&lt;&gt;"USD",L385="無",M385&lt;&gt;"",K385="高資產",IFERROR(MATCH(B385,換券投組!K:K,0),"N")&lt;&gt;"N",IFERROR(MATCH(B385,換券投組!J:J,0),"N")&lt;&gt;"N"),FALSE,IF($V$1="All",TRUE,IF(K385=$V$1,TRUE,FALSE)))</f>
        <v>#N/A</v>
      </c>
      <c r="W385" s="136" t="e">
        <f ca="1">VLOOKUP(A385,'銀行-TSS'!A:AO,41,FALSE)</f>
        <v>#N/A</v>
      </c>
      <c r="X385" s="136" t="e">
        <f ca="1">VLOOKUP(A385,'銀行-TSS'!A:AP,42,FALSE)</f>
        <v>#N/A</v>
      </c>
      <c r="Y385" s="1223">
        <f t="shared" si="76"/>
        <v>0</v>
      </c>
      <c r="Z385" s="1211">
        <f t="shared" si="79"/>
        <v>0</v>
      </c>
      <c r="AA385" s="136">
        <f>IF(Z385&lt;=0,0,RANK(Z385,Z:Z)+COUNTIF($Z$3:$Z385,Z385)-1)</f>
        <v>0</v>
      </c>
      <c r="AB385" s="1211">
        <f t="shared" ca="1" si="80"/>
        <v>0</v>
      </c>
      <c r="AC385" s="136">
        <f ca="1">IF(AB385&lt;=0,0,RANK(AB385,AB:AB)+COUNTIF($AB$3:$AB385,AB385)-1)</f>
        <v>0</v>
      </c>
      <c r="AD385" s="136">
        <f t="shared" si="81"/>
        <v>99999</v>
      </c>
      <c r="AE385" s="136">
        <f>IF(AD385=99999,0,RANK(AD385,AD:AD,1)+COUNTIF($AD$3:$AD385,AD385)-1)</f>
        <v>0</v>
      </c>
    </row>
    <row r="386" spans="1:31">
      <c r="A386" s="141">
        <f>'銀行-TSS'!A386</f>
        <v>0</v>
      </c>
      <c r="B386" s="151">
        <f ca="1">VLOOKUP(A386,'銀行-TSS'!A:B,2,FALSE)</f>
        <v>0</v>
      </c>
      <c r="C386" s="151" t="e">
        <f ca="1">VLOOKUP(B386,bond!B:C,2,FALSE)</f>
        <v>#N/A</v>
      </c>
      <c r="D386" s="95" t="e">
        <f>VLOOKUP(A386,'銀行-TSS'!A:C,3,FALSE)</f>
        <v>#N/A</v>
      </c>
      <c r="E386" s="90" t="e">
        <f ca="1">VLOOKUP(A386,'銀行-TSS'!A:G,7,FALSE)</f>
        <v>#N/A</v>
      </c>
      <c r="F386" s="202" t="e">
        <f ca="1">VLOOKUP(A386,'銀行-TSS'!A:H,8,FALSE)</f>
        <v>#N/A</v>
      </c>
      <c r="G386" s="96" t="e">
        <f ca="1">VLOOKUP(A386,'銀行-TSS'!A:K,11,FALSE)</f>
        <v>#N/A</v>
      </c>
      <c r="H386" s="1209" t="e">
        <f ca="1">VLOOKUP(A386,'銀行-TSS'!A:M,13,FALSE)</f>
        <v>#N/A</v>
      </c>
      <c r="I386" s="1213" t="e">
        <f ca="1">VLOOKUP(A386,'銀行-TSS'!A:N,14,FALSE)</f>
        <v>#N/A</v>
      </c>
      <c r="J386" s="1213" t="e">
        <f ca="1">VLOOKUP(A386,'銀行-TSS'!A:O,15,FALSE)</f>
        <v>#N/A</v>
      </c>
      <c r="K386" s="136" t="e">
        <f ca="1">VLOOKUP(A386,'銀行-TSS'!A:V,22,FALSE)</f>
        <v>#N/A</v>
      </c>
      <c r="L386" s="136" t="e">
        <f ca="1">VLOOKUP(A386,'銀行-TSS'!A:AK,37,FALSE)</f>
        <v>#N/A</v>
      </c>
      <c r="M386" s="136" t="str">
        <f ca="1">VLOOKUP(A386,'銀行-TSS'!A:AN,40,FALSE)</f>
        <v/>
      </c>
      <c r="N386" s="1211" t="e">
        <f t="shared" ca="1" si="71"/>
        <v>#N/A</v>
      </c>
      <c r="O386" s="1211" t="e">
        <f t="shared" ca="1" si="72"/>
        <v>#N/A</v>
      </c>
      <c r="P386" s="1213" t="e">
        <f ca="1">IF(AND(換券投組!$D$17&gt;=O386,換券投組!$D$13=D386),I386+INT((換券投組!$D$17-O386)/N386)*J386,0)</f>
        <v>#N/A</v>
      </c>
      <c r="Q386" s="1211" t="e">
        <f t="shared" ca="1" si="73"/>
        <v>#N/A</v>
      </c>
      <c r="R386" s="1213">
        <f t="shared" si="74"/>
        <v>0</v>
      </c>
      <c r="S386" s="1213">
        <f t="shared" si="75"/>
        <v>0</v>
      </c>
      <c r="T386" s="136">
        <f t="shared" si="77"/>
        <v>0</v>
      </c>
      <c r="U386" s="861">
        <f t="shared" si="78"/>
        <v>0</v>
      </c>
      <c r="V386" s="136" t="e">
        <f ca="1">IF(OR(D386&lt;&gt;"USD",L386="無",M386&lt;&gt;"",K386="高資產",IFERROR(MATCH(B386,換券投組!K:K,0),"N")&lt;&gt;"N",IFERROR(MATCH(B386,換券投組!J:J,0),"N")&lt;&gt;"N"),FALSE,IF($V$1="All",TRUE,IF(K386=$V$1,TRUE,FALSE)))</f>
        <v>#N/A</v>
      </c>
      <c r="W386" s="136" t="e">
        <f ca="1">VLOOKUP(A386,'銀行-TSS'!A:AO,41,FALSE)</f>
        <v>#N/A</v>
      </c>
      <c r="X386" s="136" t="e">
        <f ca="1">VLOOKUP(A386,'銀行-TSS'!A:AP,42,FALSE)</f>
        <v>#N/A</v>
      </c>
      <c r="Y386" s="1223">
        <f t="shared" si="76"/>
        <v>0</v>
      </c>
      <c r="Z386" s="1211">
        <f t="shared" si="79"/>
        <v>0</v>
      </c>
      <c r="AA386" s="136">
        <f>IF(Z386&lt;=0,0,RANK(Z386,Z:Z)+COUNTIF($Z$3:$Z386,Z386)-1)</f>
        <v>0</v>
      </c>
      <c r="AB386" s="1211">
        <f t="shared" ca="1" si="80"/>
        <v>0</v>
      </c>
      <c r="AC386" s="136">
        <f ca="1">IF(AB386&lt;=0,0,RANK(AB386,AB:AB)+COUNTIF($AB$3:$AB386,AB386)-1)</f>
        <v>0</v>
      </c>
      <c r="AD386" s="136">
        <f t="shared" si="81"/>
        <v>99999</v>
      </c>
      <c r="AE386" s="136">
        <f>IF(AD386=99999,0,RANK(AD386,AD:AD,1)+COUNTIF($AD$3:$AD386,AD386)-1)</f>
        <v>0</v>
      </c>
    </row>
    <row r="387" spans="1:31">
      <c r="A387" s="141">
        <f>'銀行-TSS'!A387</f>
        <v>0</v>
      </c>
      <c r="B387" s="151">
        <f ca="1">VLOOKUP(A387,'銀行-TSS'!A:B,2,FALSE)</f>
        <v>0</v>
      </c>
      <c r="C387" s="151" t="e">
        <f ca="1">VLOOKUP(B387,bond!B:C,2,FALSE)</f>
        <v>#N/A</v>
      </c>
      <c r="D387" s="95" t="e">
        <f>VLOOKUP(A387,'銀行-TSS'!A:C,3,FALSE)</f>
        <v>#N/A</v>
      </c>
      <c r="E387" s="90" t="e">
        <f ca="1">VLOOKUP(A387,'銀行-TSS'!A:G,7,FALSE)</f>
        <v>#N/A</v>
      </c>
      <c r="F387" s="202" t="e">
        <f ca="1">VLOOKUP(A387,'銀行-TSS'!A:H,8,FALSE)</f>
        <v>#N/A</v>
      </c>
      <c r="G387" s="96" t="e">
        <f ca="1">VLOOKUP(A387,'銀行-TSS'!A:K,11,FALSE)</f>
        <v>#N/A</v>
      </c>
      <c r="H387" s="1209" t="e">
        <f ca="1">VLOOKUP(A387,'銀行-TSS'!A:M,13,FALSE)</f>
        <v>#N/A</v>
      </c>
      <c r="I387" s="1213" t="e">
        <f ca="1">VLOOKUP(A387,'銀行-TSS'!A:N,14,FALSE)</f>
        <v>#N/A</v>
      </c>
      <c r="J387" s="1213" t="e">
        <f ca="1">VLOOKUP(A387,'銀行-TSS'!A:O,15,FALSE)</f>
        <v>#N/A</v>
      </c>
      <c r="K387" s="136" t="e">
        <f ca="1">VLOOKUP(A387,'銀行-TSS'!A:V,22,FALSE)</f>
        <v>#N/A</v>
      </c>
      <c r="L387" s="136" t="e">
        <f ca="1">VLOOKUP(A387,'銀行-TSS'!A:AK,37,FALSE)</f>
        <v>#N/A</v>
      </c>
      <c r="M387" s="136" t="str">
        <f ca="1">VLOOKUP(A387,'銀行-TSS'!A:AN,40,FALSE)</f>
        <v/>
      </c>
      <c r="N387" s="1211" t="e">
        <f t="shared" ref="N387:N450" ca="1" si="82">G387*J387/100</f>
        <v>#N/A</v>
      </c>
      <c r="O387" s="1211" t="e">
        <f t="shared" ref="O387:O450" ca="1" si="83">G387*I387/100</f>
        <v>#N/A</v>
      </c>
      <c r="P387" s="1213" t="e">
        <f ca="1">IF(AND(換券投組!$D$17&gt;=O387,換券投組!$D$13=D387),I387+INT((換券投組!$D$17-O387)/N387)*J387,0)</f>
        <v>#N/A</v>
      </c>
      <c r="Q387" s="1211" t="e">
        <f t="shared" ref="Q387:Q450" ca="1" si="84">P387*F387</f>
        <v>#N/A</v>
      </c>
      <c r="R387" s="1213">
        <f t="shared" ref="R387:R450" si="85">IF(A387=0,0,IF(V387=FALSE,0,P387))</f>
        <v>0</v>
      </c>
      <c r="S387" s="1213">
        <f t="shared" ref="S387:S450" si="86">IF(A387=0,0,IF(V387=FALSE,0,Q387))</f>
        <v>0</v>
      </c>
      <c r="T387" s="136">
        <f t="shared" si="77"/>
        <v>0</v>
      </c>
      <c r="U387" s="861">
        <f t="shared" si="78"/>
        <v>0</v>
      </c>
      <c r="V387" s="136" t="e">
        <f ca="1">IF(OR(D387&lt;&gt;"USD",L387="無",M387&lt;&gt;"",K387="高資產",IFERROR(MATCH(B387,換券投組!K:K,0),"N")&lt;&gt;"N",IFERROR(MATCH(B387,換券投組!J:J,0),"N")&lt;&gt;"N"),FALSE,IF($V$1="All",TRUE,IF(K387=$V$1,TRUE,FALSE)))</f>
        <v>#N/A</v>
      </c>
      <c r="W387" s="136" t="e">
        <f ca="1">VLOOKUP(A387,'銀行-TSS'!A:AO,41,FALSE)</f>
        <v>#N/A</v>
      </c>
      <c r="X387" s="136" t="e">
        <f ca="1">VLOOKUP(A387,'銀行-TSS'!A:AP,42,FALSE)</f>
        <v>#N/A</v>
      </c>
      <c r="Y387" s="1223">
        <f t="shared" ref="Y387:Y450" si="87">IF(A387=0,0,IF(V387=FALSE,0,IFERROR(W387/100*P387*X387*1%,0)))</f>
        <v>0</v>
      </c>
      <c r="Z387" s="1211">
        <f t="shared" si="79"/>
        <v>0</v>
      </c>
      <c r="AA387" s="136">
        <f>IF(Z387&lt;=0,0,RANK(Z387,Z:Z)+COUNTIF($Z$3:$Z387,Z387)-1)</f>
        <v>0</v>
      </c>
      <c r="AB387" s="1211">
        <f t="shared" ca="1" si="80"/>
        <v>0</v>
      </c>
      <c r="AC387" s="136">
        <f ca="1">IF(AB387&lt;=0,0,RANK(AB387,AB:AB)+COUNTIF($AB$3:$AB387,AB387)-1)</f>
        <v>0</v>
      </c>
      <c r="AD387" s="136">
        <f t="shared" si="81"/>
        <v>99999</v>
      </c>
      <c r="AE387" s="136">
        <f>IF(AD387=99999,0,RANK(AD387,AD:AD,1)+COUNTIF($AD$3:$AD387,AD387)-1)</f>
        <v>0</v>
      </c>
    </row>
    <row r="388" spans="1:31">
      <c r="A388" s="141">
        <f>'銀行-TSS'!A388</f>
        <v>0</v>
      </c>
      <c r="B388" s="151">
        <f ca="1">VLOOKUP(A388,'銀行-TSS'!A:B,2,FALSE)</f>
        <v>0</v>
      </c>
      <c r="C388" s="151" t="e">
        <f ca="1">VLOOKUP(B388,bond!B:C,2,FALSE)</f>
        <v>#N/A</v>
      </c>
      <c r="D388" s="95" t="e">
        <f>VLOOKUP(A388,'銀行-TSS'!A:C,3,FALSE)</f>
        <v>#N/A</v>
      </c>
      <c r="E388" s="90" t="e">
        <f ca="1">VLOOKUP(A388,'銀行-TSS'!A:G,7,FALSE)</f>
        <v>#N/A</v>
      </c>
      <c r="F388" s="202" t="e">
        <f ca="1">VLOOKUP(A388,'銀行-TSS'!A:H,8,FALSE)</f>
        <v>#N/A</v>
      </c>
      <c r="G388" s="96" t="e">
        <f ca="1">VLOOKUP(A388,'銀行-TSS'!A:K,11,FALSE)</f>
        <v>#N/A</v>
      </c>
      <c r="H388" s="1209" t="e">
        <f ca="1">VLOOKUP(A388,'銀行-TSS'!A:M,13,FALSE)</f>
        <v>#N/A</v>
      </c>
      <c r="I388" s="1213" t="e">
        <f ca="1">VLOOKUP(A388,'銀行-TSS'!A:N,14,FALSE)</f>
        <v>#N/A</v>
      </c>
      <c r="J388" s="1213" t="e">
        <f ca="1">VLOOKUP(A388,'銀行-TSS'!A:O,15,FALSE)</f>
        <v>#N/A</v>
      </c>
      <c r="K388" s="136" t="e">
        <f ca="1">VLOOKUP(A388,'銀行-TSS'!A:V,22,FALSE)</f>
        <v>#N/A</v>
      </c>
      <c r="L388" s="136" t="e">
        <f ca="1">VLOOKUP(A388,'銀行-TSS'!A:AK,37,FALSE)</f>
        <v>#N/A</v>
      </c>
      <c r="M388" s="136" t="str">
        <f ca="1">VLOOKUP(A388,'銀行-TSS'!A:AN,40,FALSE)</f>
        <v/>
      </c>
      <c r="N388" s="1211" t="e">
        <f t="shared" ca="1" si="82"/>
        <v>#N/A</v>
      </c>
      <c r="O388" s="1211" t="e">
        <f t="shared" ca="1" si="83"/>
        <v>#N/A</v>
      </c>
      <c r="P388" s="1213" t="e">
        <f ca="1">IF(AND(換券投組!$D$17&gt;=O388,換券投組!$D$13=D388),I388+INT((換券投組!$D$17-O388)/N388)*J388,0)</f>
        <v>#N/A</v>
      </c>
      <c r="Q388" s="1211" t="e">
        <f t="shared" ca="1" si="84"/>
        <v>#N/A</v>
      </c>
      <c r="R388" s="1213">
        <f t="shared" si="85"/>
        <v>0</v>
      </c>
      <c r="S388" s="1213">
        <f t="shared" si="86"/>
        <v>0</v>
      </c>
      <c r="T388" s="136">
        <f t="shared" ref="T388:T451" si="88">IF(OR(R388=0,A388=0),0,IF(V388=TRUE,E388,0))</f>
        <v>0</v>
      </c>
      <c r="U388" s="861">
        <f t="shared" ref="U388:U451" si="89">IF(OR(R388=0,A388=0),0,IF(V388=TRUE,H388,0))</f>
        <v>0</v>
      </c>
      <c r="V388" s="136" t="e">
        <f ca="1">IF(OR(D388&lt;&gt;"USD",L388="無",M388&lt;&gt;"",K388="高資產",IFERROR(MATCH(B388,換券投組!K:K,0),"N")&lt;&gt;"N",IFERROR(MATCH(B388,換券投組!J:J,0),"N")&lt;&gt;"N"),FALSE,IF($V$1="All",TRUE,IF(K388=$V$1,TRUE,FALSE)))</f>
        <v>#N/A</v>
      </c>
      <c r="W388" s="136" t="e">
        <f ca="1">VLOOKUP(A388,'銀行-TSS'!A:AO,41,FALSE)</f>
        <v>#N/A</v>
      </c>
      <c r="X388" s="136" t="e">
        <f ca="1">VLOOKUP(A388,'銀行-TSS'!A:AP,42,FALSE)</f>
        <v>#N/A</v>
      </c>
      <c r="Y388" s="1223">
        <f t="shared" si="87"/>
        <v>0</v>
      </c>
      <c r="Z388" s="1211">
        <f t="shared" ref="Z388:Z451" si="90">IF(A388=0,0,IF(V388=FALSE,0,IF(OR(Q388&lt;$Y$1,E388&lt;5)=FALSE,(Q388-$Q$1)*MIN(3,E388)*(1-MIN(1/(2*E388),1))+IF((P388-$P$1)&lt;0,(P388-$P$1),((P388-$P$1)*MIN(1/(2*E388),1))),0)))</f>
        <v>0</v>
      </c>
      <c r="AA388" s="136">
        <f>IF(Z388&lt;=0,0,RANK(Z388,Z:Z)+COUNTIF($Z$3:$Z388,Z388)-1)</f>
        <v>0</v>
      </c>
      <c r="AB388" s="1211">
        <f t="shared" ref="AB388:AB451" ca="1" si="91">IF(A388=0,0,IF(V388=FALSE,0,Y388+IF((P388-$P$1)&lt;0,(P388-$P$1)*0.5,0)))-$AC$1</f>
        <v>0</v>
      </c>
      <c r="AC388" s="136">
        <f ca="1">IF(AB388&lt;=0,0,RANK(AB388,AB:AB)+COUNTIF($AB$3:$AB388,AB388)-1)</f>
        <v>0</v>
      </c>
      <c r="AD388" s="136">
        <f t="shared" ref="AD388:AD451" si="92">IF(A388=0,99999,IF(OR(V388=FALSE,AA388=0,AC388=0),99999,(AC388+AA388)/2))</f>
        <v>99999</v>
      </c>
      <c r="AE388" s="136">
        <f>IF(AD388=99999,0,RANK(AD388,AD:AD,1)+COUNTIF($AD$3:$AD388,AD388)-1)</f>
        <v>0</v>
      </c>
    </row>
    <row r="389" spans="1:31">
      <c r="A389" s="141">
        <f>'銀行-TSS'!A389</f>
        <v>0</v>
      </c>
      <c r="B389" s="151">
        <f ca="1">VLOOKUP(A389,'銀行-TSS'!A:B,2,FALSE)</f>
        <v>0</v>
      </c>
      <c r="C389" s="151" t="e">
        <f ca="1">VLOOKUP(B389,bond!B:C,2,FALSE)</f>
        <v>#N/A</v>
      </c>
      <c r="D389" s="95" t="e">
        <f>VLOOKUP(A389,'銀行-TSS'!A:C,3,FALSE)</f>
        <v>#N/A</v>
      </c>
      <c r="E389" s="90" t="e">
        <f ca="1">VLOOKUP(A389,'銀行-TSS'!A:G,7,FALSE)</f>
        <v>#N/A</v>
      </c>
      <c r="F389" s="202" t="e">
        <f ca="1">VLOOKUP(A389,'銀行-TSS'!A:H,8,FALSE)</f>
        <v>#N/A</v>
      </c>
      <c r="G389" s="96" t="e">
        <f ca="1">VLOOKUP(A389,'銀行-TSS'!A:K,11,FALSE)</f>
        <v>#N/A</v>
      </c>
      <c r="H389" s="1209" t="e">
        <f ca="1">VLOOKUP(A389,'銀行-TSS'!A:M,13,FALSE)</f>
        <v>#N/A</v>
      </c>
      <c r="I389" s="1213" t="e">
        <f ca="1">VLOOKUP(A389,'銀行-TSS'!A:N,14,FALSE)</f>
        <v>#N/A</v>
      </c>
      <c r="J389" s="1213" t="e">
        <f ca="1">VLOOKUP(A389,'銀行-TSS'!A:O,15,FALSE)</f>
        <v>#N/A</v>
      </c>
      <c r="K389" s="136" t="e">
        <f ca="1">VLOOKUP(A389,'銀行-TSS'!A:V,22,FALSE)</f>
        <v>#N/A</v>
      </c>
      <c r="L389" s="136" t="e">
        <f ca="1">VLOOKUP(A389,'銀行-TSS'!A:AK,37,FALSE)</f>
        <v>#N/A</v>
      </c>
      <c r="M389" s="136" t="str">
        <f ca="1">VLOOKUP(A389,'銀行-TSS'!A:AN,40,FALSE)</f>
        <v/>
      </c>
      <c r="N389" s="1211" t="e">
        <f t="shared" ca="1" si="82"/>
        <v>#N/A</v>
      </c>
      <c r="O389" s="1211" t="e">
        <f t="shared" ca="1" si="83"/>
        <v>#N/A</v>
      </c>
      <c r="P389" s="1213" t="e">
        <f ca="1">IF(AND(換券投組!$D$17&gt;=O389,換券投組!$D$13=D389),I389+INT((換券投組!$D$17-O389)/N389)*J389,0)</f>
        <v>#N/A</v>
      </c>
      <c r="Q389" s="1211" t="e">
        <f t="shared" ca="1" si="84"/>
        <v>#N/A</v>
      </c>
      <c r="R389" s="1213">
        <f t="shared" si="85"/>
        <v>0</v>
      </c>
      <c r="S389" s="1213">
        <f t="shared" si="86"/>
        <v>0</v>
      </c>
      <c r="T389" s="136">
        <f t="shared" si="88"/>
        <v>0</v>
      </c>
      <c r="U389" s="861">
        <f t="shared" si="89"/>
        <v>0</v>
      </c>
      <c r="V389" s="136" t="e">
        <f ca="1">IF(OR(D389&lt;&gt;"USD",L389="無",M389&lt;&gt;"",K389="高資產",IFERROR(MATCH(B389,換券投組!K:K,0),"N")&lt;&gt;"N",IFERROR(MATCH(B389,換券投組!J:J,0),"N")&lt;&gt;"N"),FALSE,IF($V$1="All",TRUE,IF(K389=$V$1,TRUE,FALSE)))</f>
        <v>#N/A</v>
      </c>
      <c r="W389" s="136" t="e">
        <f ca="1">VLOOKUP(A389,'銀行-TSS'!A:AO,41,FALSE)</f>
        <v>#N/A</v>
      </c>
      <c r="X389" s="136" t="e">
        <f ca="1">VLOOKUP(A389,'銀行-TSS'!A:AP,42,FALSE)</f>
        <v>#N/A</v>
      </c>
      <c r="Y389" s="1223">
        <f t="shared" si="87"/>
        <v>0</v>
      </c>
      <c r="Z389" s="1211">
        <f t="shared" si="90"/>
        <v>0</v>
      </c>
      <c r="AA389" s="136">
        <f>IF(Z389&lt;=0,0,RANK(Z389,Z:Z)+COUNTIF($Z$3:$Z389,Z389)-1)</f>
        <v>0</v>
      </c>
      <c r="AB389" s="1211">
        <f t="shared" ca="1" si="91"/>
        <v>0</v>
      </c>
      <c r="AC389" s="136">
        <f ca="1">IF(AB389&lt;=0,0,RANK(AB389,AB:AB)+COUNTIF($AB$3:$AB389,AB389)-1)</f>
        <v>0</v>
      </c>
      <c r="AD389" s="136">
        <f t="shared" si="92"/>
        <v>99999</v>
      </c>
      <c r="AE389" s="136">
        <f>IF(AD389=99999,0,RANK(AD389,AD:AD,1)+COUNTIF($AD$3:$AD389,AD389)-1)</f>
        <v>0</v>
      </c>
    </row>
    <row r="390" spans="1:31">
      <c r="A390" s="141">
        <f>'銀行-TSS'!A390</f>
        <v>0</v>
      </c>
      <c r="B390" s="151">
        <f ca="1">VLOOKUP(A390,'銀行-TSS'!A:B,2,FALSE)</f>
        <v>0</v>
      </c>
      <c r="C390" s="151" t="e">
        <f ca="1">VLOOKUP(B390,bond!B:C,2,FALSE)</f>
        <v>#N/A</v>
      </c>
      <c r="D390" s="95" t="e">
        <f>VLOOKUP(A390,'銀行-TSS'!A:C,3,FALSE)</f>
        <v>#N/A</v>
      </c>
      <c r="E390" s="90" t="e">
        <f ca="1">VLOOKUP(A390,'銀行-TSS'!A:G,7,FALSE)</f>
        <v>#N/A</v>
      </c>
      <c r="F390" s="202" t="e">
        <f ca="1">VLOOKUP(A390,'銀行-TSS'!A:H,8,FALSE)</f>
        <v>#N/A</v>
      </c>
      <c r="G390" s="96" t="e">
        <f ca="1">VLOOKUP(A390,'銀行-TSS'!A:K,11,FALSE)</f>
        <v>#N/A</v>
      </c>
      <c r="H390" s="1209" t="e">
        <f ca="1">VLOOKUP(A390,'銀行-TSS'!A:M,13,FALSE)</f>
        <v>#N/A</v>
      </c>
      <c r="I390" s="1213" t="e">
        <f ca="1">VLOOKUP(A390,'銀行-TSS'!A:N,14,FALSE)</f>
        <v>#N/A</v>
      </c>
      <c r="J390" s="1213" t="e">
        <f ca="1">VLOOKUP(A390,'銀行-TSS'!A:O,15,FALSE)</f>
        <v>#N/A</v>
      </c>
      <c r="K390" s="136" t="e">
        <f ca="1">VLOOKUP(A390,'銀行-TSS'!A:V,22,FALSE)</f>
        <v>#N/A</v>
      </c>
      <c r="L390" s="136" t="e">
        <f ca="1">VLOOKUP(A390,'銀行-TSS'!A:AK,37,FALSE)</f>
        <v>#N/A</v>
      </c>
      <c r="M390" s="136" t="str">
        <f ca="1">VLOOKUP(A390,'銀行-TSS'!A:AN,40,FALSE)</f>
        <v/>
      </c>
      <c r="N390" s="1211" t="e">
        <f t="shared" ca="1" si="82"/>
        <v>#N/A</v>
      </c>
      <c r="O390" s="1211" t="e">
        <f t="shared" ca="1" si="83"/>
        <v>#N/A</v>
      </c>
      <c r="P390" s="1213" t="e">
        <f ca="1">IF(AND(換券投組!$D$17&gt;=O390,換券投組!$D$13=D390),I390+INT((換券投組!$D$17-O390)/N390)*J390,0)</f>
        <v>#N/A</v>
      </c>
      <c r="Q390" s="1211" t="e">
        <f t="shared" ca="1" si="84"/>
        <v>#N/A</v>
      </c>
      <c r="R390" s="1213">
        <f t="shared" si="85"/>
        <v>0</v>
      </c>
      <c r="S390" s="1213">
        <f t="shared" si="86"/>
        <v>0</v>
      </c>
      <c r="T390" s="136">
        <f t="shared" si="88"/>
        <v>0</v>
      </c>
      <c r="U390" s="861">
        <f t="shared" si="89"/>
        <v>0</v>
      </c>
      <c r="V390" s="136" t="e">
        <f ca="1">IF(OR(D390&lt;&gt;"USD",L390="無",M390&lt;&gt;"",K390="高資產",IFERROR(MATCH(B390,換券投組!K:K,0),"N")&lt;&gt;"N",IFERROR(MATCH(B390,換券投組!J:J,0),"N")&lt;&gt;"N"),FALSE,IF($V$1="All",TRUE,IF(K390=$V$1,TRUE,FALSE)))</f>
        <v>#N/A</v>
      </c>
      <c r="W390" s="136" t="e">
        <f ca="1">VLOOKUP(A390,'銀行-TSS'!A:AO,41,FALSE)</f>
        <v>#N/A</v>
      </c>
      <c r="X390" s="136" t="e">
        <f ca="1">VLOOKUP(A390,'銀行-TSS'!A:AP,42,FALSE)</f>
        <v>#N/A</v>
      </c>
      <c r="Y390" s="1223">
        <f t="shared" si="87"/>
        <v>0</v>
      </c>
      <c r="Z390" s="1211">
        <f t="shared" si="90"/>
        <v>0</v>
      </c>
      <c r="AA390" s="136">
        <f>IF(Z390&lt;=0,0,RANK(Z390,Z:Z)+COUNTIF($Z$3:$Z390,Z390)-1)</f>
        <v>0</v>
      </c>
      <c r="AB390" s="1211">
        <f t="shared" ca="1" si="91"/>
        <v>0</v>
      </c>
      <c r="AC390" s="136">
        <f ca="1">IF(AB390&lt;=0,0,RANK(AB390,AB:AB)+COUNTIF($AB$3:$AB390,AB390)-1)</f>
        <v>0</v>
      </c>
      <c r="AD390" s="136">
        <f t="shared" si="92"/>
        <v>99999</v>
      </c>
      <c r="AE390" s="136">
        <f>IF(AD390=99999,0,RANK(AD390,AD:AD,1)+COUNTIF($AD$3:$AD390,AD390)-1)</f>
        <v>0</v>
      </c>
    </row>
    <row r="391" spans="1:31">
      <c r="A391" s="141">
        <f>'銀行-TSS'!A391</f>
        <v>0</v>
      </c>
      <c r="B391" s="151">
        <f ca="1">VLOOKUP(A391,'銀行-TSS'!A:B,2,FALSE)</f>
        <v>0</v>
      </c>
      <c r="C391" s="151" t="e">
        <f ca="1">VLOOKUP(B391,bond!B:C,2,FALSE)</f>
        <v>#N/A</v>
      </c>
      <c r="D391" s="95" t="e">
        <f>VLOOKUP(A391,'銀行-TSS'!A:C,3,FALSE)</f>
        <v>#N/A</v>
      </c>
      <c r="E391" s="90" t="e">
        <f ca="1">VLOOKUP(A391,'銀行-TSS'!A:G,7,FALSE)</f>
        <v>#N/A</v>
      </c>
      <c r="F391" s="202" t="e">
        <f ca="1">VLOOKUP(A391,'銀行-TSS'!A:H,8,FALSE)</f>
        <v>#N/A</v>
      </c>
      <c r="G391" s="96" t="e">
        <f ca="1">VLOOKUP(A391,'銀行-TSS'!A:K,11,FALSE)</f>
        <v>#N/A</v>
      </c>
      <c r="H391" s="1209" t="e">
        <f ca="1">VLOOKUP(A391,'銀行-TSS'!A:M,13,FALSE)</f>
        <v>#N/A</v>
      </c>
      <c r="I391" s="1213" t="e">
        <f ca="1">VLOOKUP(A391,'銀行-TSS'!A:N,14,FALSE)</f>
        <v>#N/A</v>
      </c>
      <c r="J391" s="1213" t="e">
        <f ca="1">VLOOKUP(A391,'銀行-TSS'!A:O,15,FALSE)</f>
        <v>#N/A</v>
      </c>
      <c r="K391" s="136" t="e">
        <f ca="1">VLOOKUP(A391,'銀行-TSS'!A:V,22,FALSE)</f>
        <v>#N/A</v>
      </c>
      <c r="L391" s="136" t="e">
        <f ca="1">VLOOKUP(A391,'銀行-TSS'!A:AK,37,FALSE)</f>
        <v>#N/A</v>
      </c>
      <c r="M391" s="136" t="str">
        <f ca="1">VLOOKUP(A391,'銀行-TSS'!A:AN,40,FALSE)</f>
        <v/>
      </c>
      <c r="N391" s="1211" t="e">
        <f t="shared" ca="1" si="82"/>
        <v>#N/A</v>
      </c>
      <c r="O391" s="1211" t="e">
        <f t="shared" ca="1" si="83"/>
        <v>#N/A</v>
      </c>
      <c r="P391" s="1213" t="e">
        <f ca="1">IF(AND(換券投組!$D$17&gt;=O391,換券投組!$D$13=D391),I391+INT((換券投組!$D$17-O391)/N391)*J391,0)</f>
        <v>#N/A</v>
      </c>
      <c r="Q391" s="1211" t="e">
        <f t="shared" ca="1" si="84"/>
        <v>#N/A</v>
      </c>
      <c r="R391" s="1213">
        <f t="shared" si="85"/>
        <v>0</v>
      </c>
      <c r="S391" s="1213">
        <f t="shared" si="86"/>
        <v>0</v>
      </c>
      <c r="T391" s="136">
        <f t="shared" si="88"/>
        <v>0</v>
      </c>
      <c r="U391" s="861">
        <f t="shared" si="89"/>
        <v>0</v>
      </c>
      <c r="V391" s="136" t="e">
        <f ca="1">IF(OR(D391&lt;&gt;"USD",L391="無",M391&lt;&gt;"",K391="高資產",IFERROR(MATCH(B391,換券投組!K:K,0),"N")&lt;&gt;"N",IFERROR(MATCH(B391,換券投組!J:J,0),"N")&lt;&gt;"N"),FALSE,IF($V$1="All",TRUE,IF(K391=$V$1,TRUE,FALSE)))</f>
        <v>#N/A</v>
      </c>
      <c r="W391" s="136" t="e">
        <f ca="1">VLOOKUP(A391,'銀行-TSS'!A:AO,41,FALSE)</f>
        <v>#N/A</v>
      </c>
      <c r="X391" s="136" t="e">
        <f ca="1">VLOOKUP(A391,'銀行-TSS'!A:AP,42,FALSE)</f>
        <v>#N/A</v>
      </c>
      <c r="Y391" s="1223">
        <f t="shared" si="87"/>
        <v>0</v>
      </c>
      <c r="Z391" s="1211">
        <f t="shared" si="90"/>
        <v>0</v>
      </c>
      <c r="AA391" s="136">
        <f>IF(Z391&lt;=0,0,RANK(Z391,Z:Z)+COUNTIF($Z$3:$Z391,Z391)-1)</f>
        <v>0</v>
      </c>
      <c r="AB391" s="1211">
        <f t="shared" ca="1" si="91"/>
        <v>0</v>
      </c>
      <c r="AC391" s="136">
        <f ca="1">IF(AB391&lt;=0,0,RANK(AB391,AB:AB)+COUNTIF($AB$3:$AB391,AB391)-1)</f>
        <v>0</v>
      </c>
      <c r="AD391" s="136">
        <f t="shared" si="92"/>
        <v>99999</v>
      </c>
      <c r="AE391" s="136">
        <f>IF(AD391=99999,0,RANK(AD391,AD:AD,1)+COUNTIF($AD$3:$AD391,AD391)-1)</f>
        <v>0</v>
      </c>
    </row>
    <row r="392" spans="1:31">
      <c r="A392" s="141">
        <f>'銀行-TSS'!A392</f>
        <v>0</v>
      </c>
      <c r="B392" s="151">
        <f ca="1">VLOOKUP(A392,'銀行-TSS'!A:B,2,FALSE)</f>
        <v>0</v>
      </c>
      <c r="C392" s="151" t="e">
        <f ca="1">VLOOKUP(B392,bond!B:C,2,FALSE)</f>
        <v>#N/A</v>
      </c>
      <c r="D392" s="95" t="e">
        <f>VLOOKUP(A392,'銀行-TSS'!A:C,3,FALSE)</f>
        <v>#N/A</v>
      </c>
      <c r="E392" s="90" t="e">
        <f ca="1">VLOOKUP(A392,'銀行-TSS'!A:G,7,FALSE)</f>
        <v>#N/A</v>
      </c>
      <c r="F392" s="202" t="e">
        <f ca="1">VLOOKUP(A392,'銀行-TSS'!A:H,8,FALSE)</f>
        <v>#N/A</v>
      </c>
      <c r="G392" s="96" t="e">
        <f ca="1">VLOOKUP(A392,'銀行-TSS'!A:K,11,FALSE)</f>
        <v>#N/A</v>
      </c>
      <c r="H392" s="1209" t="e">
        <f ca="1">VLOOKUP(A392,'銀行-TSS'!A:M,13,FALSE)</f>
        <v>#N/A</v>
      </c>
      <c r="I392" s="1213" t="e">
        <f ca="1">VLOOKUP(A392,'銀行-TSS'!A:N,14,FALSE)</f>
        <v>#N/A</v>
      </c>
      <c r="J392" s="1213" t="e">
        <f ca="1">VLOOKUP(A392,'銀行-TSS'!A:O,15,FALSE)</f>
        <v>#N/A</v>
      </c>
      <c r="K392" s="136" t="e">
        <f ca="1">VLOOKUP(A392,'銀行-TSS'!A:V,22,FALSE)</f>
        <v>#N/A</v>
      </c>
      <c r="L392" s="136" t="e">
        <f ca="1">VLOOKUP(A392,'銀行-TSS'!A:AK,37,FALSE)</f>
        <v>#N/A</v>
      </c>
      <c r="M392" s="136" t="str">
        <f ca="1">VLOOKUP(A392,'銀行-TSS'!A:AN,40,FALSE)</f>
        <v/>
      </c>
      <c r="N392" s="1211" t="e">
        <f t="shared" ca="1" si="82"/>
        <v>#N/A</v>
      </c>
      <c r="O392" s="1211" t="e">
        <f t="shared" ca="1" si="83"/>
        <v>#N/A</v>
      </c>
      <c r="P392" s="1213" t="e">
        <f ca="1">IF(AND(換券投組!$D$17&gt;=O392,換券投組!$D$13=D392),I392+INT((換券投組!$D$17-O392)/N392)*J392,0)</f>
        <v>#N/A</v>
      </c>
      <c r="Q392" s="1211" t="e">
        <f t="shared" ca="1" si="84"/>
        <v>#N/A</v>
      </c>
      <c r="R392" s="1213">
        <f t="shared" si="85"/>
        <v>0</v>
      </c>
      <c r="S392" s="1213">
        <f t="shared" si="86"/>
        <v>0</v>
      </c>
      <c r="T392" s="136">
        <f t="shared" si="88"/>
        <v>0</v>
      </c>
      <c r="U392" s="861">
        <f t="shared" si="89"/>
        <v>0</v>
      </c>
      <c r="V392" s="136" t="e">
        <f ca="1">IF(OR(D392&lt;&gt;"USD",L392="無",M392&lt;&gt;"",K392="高資產",IFERROR(MATCH(B392,換券投組!K:K,0),"N")&lt;&gt;"N",IFERROR(MATCH(B392,換券投組!J:J,0),"N")&lt;&gt;"N"),FALSE,IF($V$1="All",TRUE,IF(K392=$V$1,TRUE,FALSE)))</f>
        <v>#N/A</v>
      </c>
      <c r="W392" s="136" t="e">
        <f ca="1">VLOOKUP(A392,'銀行-TSS'!A:AO,41,FALSE)</f>
        <v>#N/A</v>
      </c>
      <c r="X392" s="136" t="e">
        <f ca="1">VLOOKUP(A392,'銀行-TSS'!A:AP,42,FALSE)</f>
        <v>#N/A</v>
      </c>
      <c r="Y392" s="1223">
        <f t="shared" si="87"/>
        <v>0</v>
      </c>
      <c r="Z392" s="1211">
        <f t="shared" si="90"/>
        <v>0</v>
      </c>
      <c r="AA392" s="136">
        <f>IF(Z392&lt;=0,0,RANK(Z392,Z:Z)+COUNTIF($Z$3:$Z392,Z392)-1)</f>
        <v>0</v>
      </c>
      <c r="AB392" s="1211">
        <f t="shared" ca="1" si="91"/>
        <v>0</v>
      </c>
      <c r="AC392" s="136">
        <f ca="1">IF(AB392&lt;=0,0,RANK(AB392,AB:AB)+COUNTIF($AB$3:$AB392,AB392)-1)</f>
        <v>0</v>
      </c>
      <c r="AD392" s="136">
        <f t="shared" si="92"/>
        <v>99999</v>
      </c>
      <c r="AE392" s="136">
        <f>IF(AD392=99999,0,RANK(AD392,AD:AD,1)+COUNTIF($AD$3:$AD392,AD392)-1)</f>
        <v>0</v>
      </c>
    </row>
    <row r="393" spans="1:31">
      <c r="A393" s="141">
        <f>'銀行-TSS'!A393</f>
        <v>0</v>
      </c>
      <c r="B393" s="151">
        <f ca="1">VLOOKUP(A393,'銀行-TSS'!A:B,2,FALSE)</f>
        <v>0</v>
      </c>
      <c r="C393" s="151" t="e">
        <f ca="1">VLOOKUP(B393,bond!B:C,2,FALSE)</f>
        <v>#N/A</v>
      </c>
      <c r="D393" s="95" t="e">
        <f>VLOOKUP(A393,'銀行-TSS'!A:C,3,FALSE)</f>
        <v>#N/A</v>
      </c>
      <c r="E393" s="90" t="e">
        <f ca="1">VLOOKUP(A393,'銀行-TSS'!A:G,7,FALSE)</f>
        <v>#N/A</v>
      </c>
      <c r="F393" s="202" t="e">
        <f ca="1">VLOOKUP(A393,'銀行-TSS'!A:H,8,FALSE)</f>
        <v>#N/A</v>
      </c>
      <c r="G393" s="96" t="e">
        <f ca="1">VLOOKUP(A393,'銀行-TSS'!A:K,11,FALSE)</f>
        <v>#N/A</v>
      </c>
      <c r="H393" s="1209" t="e">
        <f ca="1">VLOOKUP(A393,'銀行-TSS'!A:M,13,FALSE)</f>
        <v>#N/A</v>
      </c>
      <c r="I393" s="1213" t="e">
        <f ca="1">VLOOKUP(A393,'銀行-TSS'!A:N,14,FALSE)</f>
        <v>#N/A</v>
      </c>
      <c r="J393" s="1213" t="e">
        <f ca="1">VLOOKUP(A393,'銀行-TSS'!A:O,15,FALSE)</f>
        <v>#N/A</v>
      </c>
      <c r="K393" s="136" t="e">
        <f ca="1">VLOOKUP(A393,'銀行-TSS'!A:V,22,FALSE)</f>
        <v>#N/A</v>
      </c>
      <c r="L393" s="136" t="e">
        <f ca="1">VLOOKUP(A393,'銀行-TSS'!A:AK,37,FALSE)</f>
        <v>#N/A</v>
      </c>
      <c r="M393" s="136" t="str">
        <f ca="1">VLOOKUP(A393,'銀行-TSS'!A:AN,40,FALSE)</f>
        <v/>
      </c>
      <c r="N393" s="1211" t="e">
        <f t="shared" ca="1" si="82"/>
        <v>#N/A</v>
      </c>
      <c r="O393" s="1211" t="e">
        <f t="shared" ca="1" si="83"/>
        <v>#N/A</v>
      </c>
      <c r="P393" s="1213" t="e">
        <f ca="1">IF(AND(換券投組!$D$17&gt;=O393,換券投組!$D$13=D393),I393+INT((換券投組!$D$17-O393)/N393)*J393,0)</f>
        <v>#N/A</v>
      </c>
      <c r="Q393" s="1211" t="e">
        <f t="shared" ca="1" si="84"/>
        <v>#N/A</v>
      </c>
      <c r="R393" s="1213">
        <f t="shared" si="85"/>
        <v>0</v>
      </c>
      <c r="S393" s="1213">
        <f t="shared" si="86"/>
        <v>0</v>
      </c>
      <c r="T393" s="136">
        <f t="shared" si="88"/>
        <v>0</v>
      </c>
      <c r="U393" s="861">
        <f t="shared" si="89"/>
        <v>0</v>
      </c>
      <c r="V393" s="136" t="e">
        <f ca="1">IF(OR(D393&lt;&gt;"USD",L393="無",M393&lt;&gt;"",K393="高資產",IFERROR(MATCH(B393,換券投組!K:K,0),"N")&lt;&gt;"N",IFERROR(MATCH(B393,換券投組!J:J,0),"N")&lt;&gt;"N"),FALSE,IF($V$1="All",TRUE,IF(K393=$V$1,TRUE,FALSE)))</f>
        <v>#N/A</v>
      </c>
      <c r="W393" s="136" t="e">
        <f ca="1">VLOOKUP(A393,'銀行-TSS'!A:AO,41,FALSE)</f>
        <v>#N/A</v>
      </c>
      <c r="X393" s="136" t="e">
        <f ca="1">VLOOKUP(A393,'銀行-TSS'!A:AP,42,FALSE)</f>
        <v>#N/A</v>
      </c>
      <c r="Y393" s="1223">
        <f t="shared" si="87"/>
        <v>0</v>
      </c>
      <c r="Z393" s="1211">
        <f t="shared" si="90"/>
        <v>0</v>
      </c>
      <c r="AA393" s="136">
        <f>IF(Z393&lt;=0,0,RANK(Z393,Z:Z)+COUNTIF($Z$3:$Z393,Z393)-1)</f>
        <v>0</v>
      </c>
      <c r="AB393" s="1211">
        <f t="shared" ca="1" si="91"/>
        <v>0</v>
      </c>
      <c r="AC393" s="136">
        <f ca="1">IF(AB393&lt;=0,0,RANK(AB393,AB:AB)+COUNTIF($AB$3:$AB393,AB393)-1)</f>
        <v>0</v>
      </c>
      <c r="AD393" s="136">
        <f t="shared" si="92"/>
        <v>99999</v>
      </c>
      <c r="AE393" s="136">
        <f>IF(AD393=99999,0,RANK(AD393,AD:AD,1)+COUNTIF($AD$3:$AD393,AD393)-1)</f>
        <v>0</v>
      </c>
    </row>
    <row r="394" spans="1:31">
      <c r="A394" s="141">
        <f>'銀行-TSS'!A394</f>
        <v>0</v>
      </c>
      <c r="B394" s="151">
        <f ca="1">VLOOKUP(A394,'銀行-TSS'!A:B,2,FALSE)</f>
        <v>0</v>
      </c>
      <c r="C394" s="151" t="e">
        <f ca="1">VLOOKUP(B394,bond!B:C,2,FALSE)</f>
        <v>#N/A</v>
      </c>
      <c r="D394" s="95" t="e">
        <f>VLOOKUP(A394,'銀行-TSS'!A:C,3,FALSE)</f>
        <v>#N/A</v>
      </c>
      <c r="E394" s="90" t="e">
        <f ca="1">VLOOKUP(A394,'銀行-TSS'!A:G,7,FALSE)</f>
        <v>#N/A</v>
      </c>
      <c r="F394" s="202" t="e">
        <f ca="1">VLOOKUP(A394,'銀行-TSS'!A:H,8,FALSE)</f>
        <v>#N/A</v>
      </c>
      <c r="G394" s="96" t="e">
        <f ca="1">VLOOKUP(A394,'銀行-TSS'!A:K,11,FALSE)</f>
        <v>#N/A</v>
      </c>
      <c r="H394" s="1209" t="e">
        <f ca="1">VLOOKUP(A394,'銀行-TSS'!A:M,13,FALSE)</f>
        <v>#N/A</v>
      </c>
      <c r="I394" s="1213" t="e">
        <f ca="1">VLOOKUP(A394,'銀行-TSS'!A:N,14,FALSE)</f>
        <v>#N/A</v>
      </c>
      <c r="J394" s="1213" t="e">
        <f ca="1">VLOOKUP(A394,'銀行-TSS'!A:O,15,FALSE)</f>
        <v>#N/A</v>
      </c>
      <c r="K394" s="136" t="e">
        <f ca="1">VLOOKUP(A394,'銀行-TSS'!A:V,22,FALSE)</f>
        <v>#N/A</v>
      </c>
      <c r="L394" s="136" t="e">
        <f ca="1">VLOOKUP(A394,'銀行-TSS'!A:AK,37,FALSE)</f>
        <v>#N/A</v>
      </c>
      <c r="M394" s="136" t="str">
        <f ca="1">VLOOKUP(A394,'銀行-TSS'!A:AN,40,FALSE)</f>
        <v/>
      </c>
      <c r="N394" s="1211" t="e">
        <f t="shared" ca="1" si="82"/>
        <v>#N/A</v>
      </c>
      <c r="O394" s="1211" t="e">
        <f t="shared" ca="1" si="83"/>
        <v>#N/A</v>
      </c>
      <c r="P394" s="1213" t="e">
        <f ca="1">IF(AND(換券投組!$D$17&gt;=O394,換券投組!$D$13=D394),I394+INT((換券投組!$D$17-O394)/N394)*J394,0)</f>
        <v>#N/A</v>
      </c>
      <c r="Q394" s="1211" t="e">
        <f t="shared" ca="1" si="84"/>
        <v>#N/A</v>
      </c>
      <c r="R394" s="1213">
        <f t="shared" si="85"/>
        <v>0</v>
      </c>
      <c r="S394" s="1213">
        <f t="shared" si="86"/>
        <v>0</v>
      </c>
      <c r="T394" s="136">
        <f t="shared" si="88"/>
        <v>0</v>
      </c>
      <c r="U394" s="861">
        <f t="shared" si="89"/>
        <v>0</v>
      </c>
      <c r="V394" s="136" t="e">
        <f ca="1">IF(OR(D394&lt;&gt;"USD",L394="無",M394&lt;&gt;"",K394="高資產",IFERROR(MATCH(B394,換券投組!K:K,0),"N")&lt;&gt;"N",IFERROR(MATCH(B394,換券投組!J:J,0),"N")&lt;&gt;"N"),FALSE,IF($V$1="All",TRUE,IF(K394=$V$1,TRUE,FALSE)))</f>
        <v>#N/A</v>
      </c>
      <c r="W394" s="136" t="e">
        <f ca="1">VLOOKUP(A394,'銀行-TSS'!A:AO,41,FALSE)</f>
        <v>#N/A</v>
      </c>
      <c r="X394" s="136" t="e">
        <f ca="1">VLOOKUP(A394,'銀行-TSS'!A:AP,42,FALSE)</f>
        <v>#N/A</v>
      </c>
      <c r="Y394" s="1223">
        <f t="shared" si="87"/>
        <v>0</v>
      </c>
      <c r="Z394" s="1211">
        <f t="shared" si="90"/>
        <v>0</v>
      </c>
      <c r="AA394" s="136">
        <f>IF(Z394&lt;=0,0,RANK(Z394,Z:Z)+COUNTIF($Z$3:$Z394,Z394)-1)</f>
        <v>0</v>
      </c>
      <c r="AB394" s="1211">
        <f t="shared" ca="1" si="91"/>
        <v>0</v>
      </c>
      <c r="AC394" s="136">
        <f ca="1">IF(AB394&lt;=0,0,RANK(AB394,AB:AB)+COUNTIF($AB$3:$AB394,AB394)-1)</f>
        <v>0</v>
      </c>
      <c r="AD394" s="136">
        <f t="shared" si="92"/>
        <v>99999</v>
      </c>
      <c r="AE394" s="136">
        <f>IF(AD394=99999,0,RANK(AD394,AD:AD,1)+COUNTIF($AD$3:$AD394,AD394)-1)</f>
        <v>0</v>
      </c>
    </row>
    <row r="395" spans="1:31">
      <c r="A395" s="141">
        <f>'銀行-TSS'!A395</f>
        <v>0</v>
      </c>
      <c r="B395" s="151">
        <f ca="1">VLOOKUP(A395,'銀行-TSS'!A:B,2,FALSE)</f>
        <v>0</v>
      </c>
      <c r="C395" s="151" t="e">
        <f ca="1">VLOOKUP(B395,bond!B:C,2,FALSE)</f>
        <v>#N/A</v>
      </c>
      <c r="D395" s="95" t="e">
        <f>VLOOKUP(A395,'銀行-TSS'!A:C,3,FALSE)</f>
        <v>#N/A</v>
      </c>
      <c r="E395" s="90" t="e">
        <f ca="1">VLOOKUP(A395,'銀行-TSS'!A:G,7,FALSE)</f>
        <v>#N/A</v>
      </c>
      <c r="F395" s="202" t="e">
        <f ca="1">VLOOKUP(A395,'銀行-TSS'!A:H,8,FALSE)</f>
        <v>#N/A</v>
      </c>
      <c r="G395" s="96" t="e">
        <f ca="1">VLOOKUP(A395,'銀行-TSS'!A:K,11,FALSE)</f>
        <v>#N/A</v>
      </c>
      <c r="H395" s="1209" t="e">
        <f ca="1">VLOOKUP(A395,'銀行-TSS'!A:M,13,FALSE)</f>
        <v>#N/A</v>
      </c>
      <c r="I395" s="1213" t="e">
        <f ca="1">VLOOKUP(A395,'銀行-TSS'!A:N,14,FALSE)</f>
        <v>#N/A</v>
      </c>
      <c r="J395" s="1213" t="e">
        <f ca="1">VLOOKUP(A395,'銀行-TSS'!A:O,15,FALSE)</f>
        <v>#N/A</v>
      </c>
      <c r="K395" s="136" t="e">
        <f ca="1">VLOOKUP(A395,'銀行-TSS'!A:V,22,FALSE)</f>
        <v>#N/A</v>
      </c>
      <c r="L395" s="136" t="e">
        <f ca="1">VLOOKUP(A395,'銀行-TSS'!A:AK,37,FALSE)</f>
        <v>#N/A</v>
      </c>
      <c r="M395" s="136" t="str">
        <f ca="1">VLOOKUP(A395,'銀行-TSS'!A:AN,40,FALSE)</f>
        <v/>
      </c>
      <c r="N395" s="1211" t="e">
        <f t="shared" ca="1" si="82"/>
        <v>#N/A</v>
      </c>
      <c r="O395" s="1211" t="e">
        <f t="shared" ca="1" si="83"/>
        <v>#N/A</v>
      </c>
      <c r="P395" s="1213" t="e">
        <f ca="1">IF(AND(換券投組!$D$17&gt;=O395,換券投組!$D$13=D395),I395+INT((換券投組!$D$17-O395)/N395)*J395,0)</f>
        <v>#N/A</v>
      </c>
      <c r="Q395" s="1211" t="e">
        <f t="shared" ca="1" si="84"/>
        <v>#N/A</v>
      </c>
      <c r="R395" s="1213">
        <f t="shared" si="85"/>
        <v>0</v>
      </c>
      <c r="S395" s="1213">
        <f t="shared" si="86"/>
        <v>0</v>
      </c>
      <c r="T395" s="136">
        <f t="shared" si="88"/>
        <v>0</v>
      </c>
      <c r="U395" s="861">
        <f t="shared" si="89"/>
        <v>0</v>
      </c>
      <c r="V395" s="136" t="e">
        <f ca="1">IF(OR(D395&lt;&gt;"USD",L395="無",M395&lt;&gt;"",K395="高資產",IFERROR(MATCH(B395,換券投組!K:K,0),"N")&lt;&gt;"N",IFERROR(MATCH(B395,換券投組!J:J,0),"N")&lt;&gt;"N"),FALSE,IF($V$1="All",TRUE,IF(K395=$V$1,TRUE,FALSE)))</f>
        <v>#N/A</v>
      </c>
      <c r="W395" s="136" t="e">
        <f ca="1">VLOOKUP(A395,'銀行-TSS'!A:AO,41,FALSE)</f>
        <v>#N/A</v>
      </c>
      <c r="X395" s="136" t="e">
        <f ca="1">VLOOKUP(A395,'銀行-TSS'!A:AP,42,FALSE)</f>
        <v>#N/A</v>
      </c>
      <c r="Y395" s="1223">
        <f t="shared" si="87"/>
        <v>0</v>
      </c>
      <c r="Z395" s="1211">
        <f t="shared" si="90"/>
        <v>0</v>
      </c>
      <c r="AA395" s="136">
        <f>IF(Z395&lt;=0,0,RANK(Z395,Z:Z)+COUNTIF($Z$3:$Z395,Z395)-1)</f>
        <v>0</v>
      </c>
      <c r="AB395" s="1211">
        <f t="shared" ca="1" si="91"/>
        <v>0</v>
      </c>
      <c r="AC395" s="136">
        <f ca="1">IF(AB395&lt;=0,0,RANK(AB395,AB:AB)+COUNTIF($AB$3:$AB395,AB395)-1)</f>
        <v>0</v>
      </c>
      <c r="AD395" s="136">
        <f t="shared" si="92"/>
        <v>99999</v>
      </c>
      <c r="AE395" s="136">
        <f>IF(AD395=99999,0,RANK(AD395,AD:AD,1)+COUNTIF($AD$3:$AD395,AD395)-1)</f>
        <v>0</v>
      </c>
    </row>
    <row r="396" spans="1:31">
      <c r="A396" s="141">
        <f>'銀行-TSS'!A396</f>
        <v>0</v>
      </c>
      <c r="B396" s="151">
        <f ca="1">VLOOKUP(A396,'銀行-TSS'!A:B,2,FALSE)</f>
        <v>0</v>
      </c>
      <c r="C396" s="151" t="e">
        <f ca="1">VLOOKUP(B396,bond!B:C,2,FALSE)</f>
        <v>#N/A</v>
      </c>
      <c r="D396" s="95" t="e">
        <f>VLOOKUP(A396,'銀行-TSS'!A:C,3,FALSE)</f>
        <v>#N/A</v>
      </c>
      <c r="E396" s="90" t="e">
        <f ca="1">VLOOKUP(A396,'銀行-TSS'!A:G,7,FALSE)</f>
        <v>#N/A</v>
      </c>
      <c r="F396" s="202" t="e">
        <f ca="1">VLOOKUP(A396,'銀行-TSS'!A:H,8,FALSE)</f>
        <v>#N/A</v>
      </c>
      <c r="G396" s="96" t="e">
        <f ca="1">VLOOKUP(A396,'銀行-TSS'!A:K,11,FALSE)</f>
        <v>#N/A</v>
      </c>
      <c r="H396" s="1209" t="e">
        <f ca="1">VLOOKUP(A396,'銀行-TSS'!A:M,13,FALSE)</f>
        <v>#N/A</v>
      </c>
      <c r="I396" s="1213" t="e">
        <f ca="1">VLOOKUP(A396,'銀行-TSS'!A:N,14,FALSE)</f>
        <v>#N/A</v>
      </c>
      <c r="J396" s="1213" t="e">
        <f ca="1">VLOOKUP(A396,'銀行-TSS'!A:O,15,FALSE)</f>
        <v>#N/A</v>
      </c>
      <c r="K396" s="136" t="e">
        <f ca="1">VLOOKUP(A396,'銀行-TSS'!A:V,22,FALSE)</f>
        <v>#N/A</v>
      </c>
      <c r="L396" s="136" t="e">
        <f ca="1">VLOOKUP(A396,'銀行-TSS'!A:AK,37,FALSE)</f>
        <v>#N/A</v>
      </c>
      <c r="M396" s="136" t="str">
        <f ca="1">VLOOKUP(A396,'銀行-TSS'!A:AN,40,FALSE)</f>
        <v/>
      </c>
      <c r="N396" s="1211" t="e">
        <f t="shared" ca="1" si="82"/>
        <v>#N/A</v>
      </c>
      <c r="O396" s="1211" t="e">
        <f t="shared" ca="1" si="83"/>
        <v>#N/A</v>
      </c>
      <c r="P396" s="1213" t="e">
        <f ca="1">IF(AND(換券投組!$D$17&gt;=O396,換券投組!$D$13=D396),I396+INT((換券投組!$D$17-O396)/N396)*J396,0)</f>
        <v>#N/A</v>
      </c>
      <c r="Q396" s="1211" t="e">
        <f t="shared" ca="1" si="84"/>
        <v>#N/A</v>
      </c>
      <c r="R396" s="1213">
        <f t="shared" si="85"/>
        <v>0</v>
      </c>
      <c r="S396" s="1213">
        <f t="shared" si="86"/>
        <v>0</v>
      </c>
      <c r="T396" s="136">
        <f t="shared" si="88"/>
        <v>0</v>
      </c>
      <c r="U396" s="861">
        <f t="shared" si="89"/>
        <v>0</v>
      </c>
      <c r="V396" s="136" t="e">
        <f ca="1">IF(OR(D396&lt;&gt;"USD",L396="無",M396&lt;&gt;"",K396="高資產",IFERROR(MATCH(B396,換券投組!K:K,0),"N")&lt;&gt;"N",IFERROR(MATCH(B396,換券投組!J:J,0),"N")&lt;&gt;"N"),FALSE,IF($V$1="All",TRUE,IF(K396=$V$1,TRUE,FALSE)))</f>
        <v>#N/A</v>
      </c>
      <c r="W396" s="136" t="e">
        <f ca="1">VLOOKUP(A396,'銀行-TSS'!A:AO,41,FALSE)</f>
        <v>#N/A</v>
      </c>
      <c r="X396" s="136" t="e">
        <f ca="1">VLOOKUP(A396,'銀行-TSS'!A:AP,42,FALSE)</f>
        <v>#N/A</v>
      </c>
      <c r="Y396" s="1223">
        <f t="shared" si="87"/>
        <v>0</v>
      </c>
      <c r="Z396" s="1211">
        <f t="shared" si="90"/>
        <v>0</v>
      </c>
      <c r="AA396" s="136">
        <f>IF(Z396&lt;=0,0,RANK(Z396,Z:Z)+COUNTIF($Z$3:$Z396,Z396)-1)</f>
        <v>0</v>
      </c>
      <c r="AB396" s="1211">
        <f t="shared" ca="1" si="91"/>
        <v>0</v>
      </c>
      <c r="AC396" s="136">
        <f ca="1">IF(AB396&lt;=0,0,RANK(AB396,AB:AB)+COUNTIF($AB$3:$AB396,AB396)-1)</f>
        <v>0</v>
      </c>
      <c r="AD396" s="136">
        <f t="shared" si="92"/>
        <v>99999</v>
      </c>
      <c r="AE396" s="136">
        <f>IF(AD396=99999,0,RANK(AD396,AD:AD,1)+COUNTIF($AD$3:$AD396,AD396)-1)</f>
        <v>0</v>
      </c>
    </row>
    <row r="397" spans="1:31">
      <c r="A397" s="141">
        <f>'銀行-TSS'!A397</f>
        <v>0</v>
      </c>
      <c r="B397" s="151">
        <f ca="1">VLOOKUP(A397,'銀行-TSS'!A:B,2,FALSE)</f>
        <v>0</v>
      </c>
      <c r="C397" s="151" t="e">
        <f ca="1">VLOOKUP(B397,bond!B:C,2,FALSE)</f>
        <v>#N/A</v>
      </c>
      <c r="D397" s="95" t="e">
        <f>VLOOKUP(A397,'銀行-TSS'!A:C,3,FALSE)</f>
        <v>#N/A</v>
      </c>
      <c r="E397" s="90" t="e">
        <f ca="1">VLOOKUP(A397,'銀行-TSS'!A:G,7,FALSE)</f>
        <v>#N/A</v>
      </c>
      <c r="F397" s="202" t="e">
        <f ca="1">VLOOKUP(A397,'銀行-TSS'!A:H,8,FALSE)</f>
        <v>#N/A</v>
      </c>
      <c r="G397" s="96" t="e">
        <f ca="1">VLOOKUP(A397,'銀行-TSS'!A:K,11,FALSE)</f>
        <v>#N/A</v>
      </c>
      <c r="H397" s="1209" t="e">
        <f ca="1">VLOOKUP(A397,'銀行-TSS'!A:M,13,FALSE)</f>
        <v>#N/A</v>
      </c>
      <c r="I397" s="1213" t="e">
        <f ca="1">VLOOKUP(A397,'銀行-TSS'!A:N,14,FALSE)</f>
        <v>#N/A</v>
      </c>
      <c r="J397" s="1213" t="e">
        <f ca="1">VLOOKUP(A397,'銀行-TSS'!A:O,15,FALSE)</f>
        <v>#N/A</v>
      </c>
      <c r="K397" s="136" t="e">
        <f ca="1">VLOOKUP(A397,'銀行-TSS'!A:V,22,FALSE)</f>
        <v>#N/A</v>
      </c>
      <c r="L397" s="136" t="e">
        <f ca="1">VLOOKUP(A397,'銀行-TSS'!A:AK,37,FALSE)</f>
        <v>#N/A</v>
      </c>
      <c r="M397" s="136" t="str">
        <f ca="1">VLOOKUP(A397,'銀行-TSS'!A:AN,40,FALSE)</f>
        <v/>
      </c>
      <c r="N397" s="1211" t="e">
        <f t="shared" ca="1" si="82"/>
        <v>#N/A</v>
      </c>
      <c r="O397" s="1211" t="e">
        <f t="shared" ca="1" si="83"/>
        <v>#N/A</v>
      </c>
      <c r="P397" s="1213" t="e">
        <f ca="1">IF(AND(換券投組!$D$17&gt;=O397,換券投組!$D$13=D397),I397+INT((換券投組!$D$17-O397)/N397)*J397,0)</f>
        <v>#N/A</v>
      </c>
      <c r="Q397" s="1211" t="e">
        <f t="shared" ca="1" si="84"/>
        <v>#N/A</v>
      </c>
      <c r="R397" s="1213">
        <f t="shared" si="85"/>
        <v>0</v>
      </c>
      <c r="S397" s="1213">
        <f t="shared" si="86"/>
        <v>0</v>
      </c>
      <c r="T397" s="136">
        <f t="shared" si="88"/>
        <v>0</v>
      </c>
      <c r="U397" s="861">
        <f t="shared" si="89"/>
        <v>0</v>
      </c>
      <c r="V397" s="136" t="e">
        <f ca="1">IF(OR(D397&lt;&gt;"USD",L397="無",M397&lt;&gt;"",K397="高資產",IFERROR(MATCH(B397,換券投組!K:K,0),"N")&lt;&gt;"N",IFERROR(MATCH(B397,換券投組!J:J,0),"N")&lt;&gt;"N"),FALSE,IF($V$1="All",TRUE,IF(K397=$V$1,TRUE,FALSE)))</f>
        <v>#N/A</v>
      </c>
      <c r="W397" s="136" t="e">
        <f ca="1">VLOOKUP(A397,'銀行-TSS'!A:AO,41,FALSE)</f>
        <v>#N/A</v>
      </c>
      <c r="X397" s="136" t="e">
        <f ca="1">VLOOKUP(A397,'銀行-TSS'!A:AP,42,FALSE)</f>
        <v>#N/A</v>
      </c>
      <c r="Y397" s="1223">
        <f t="shared" si="87"/>
        <v>0</v>
      </c>
      <c r="Z397" s="1211">
        <f t="shared" si="90"/>
        <v>0</v>
      </c>
      <c r="AA397" s="136">
        <f>IF(Z397&lt;=0,0,RANK(Z397,Z:Z)+COUNTIF($Z$3:$Z397,Z397)-1)</f>
        <v>0</v>
      </c>
      <c r="AB397" s="1211">
        <f t="shared" ca="1" si="91"/>
        <v>0</v>
      </c>
      <c r="AC397" s="136">
        <f ca="1">IF(AB397&lt;=0,0,RANK(AB397,AB:AB)+COUNTIF($AB$3:$AB397,AB397)-1)</f>
        <v>0</v>
      </c>
      <c r="AD397" s="136">
        <f t="shared" si="92"/>
        <v>99999</v>
      </c>
      <c r="AE397" s="136">
        <f>IF(AD397=99999,0,RANK(AD397,AD:AD,1)+COUNTIF($AD$3:$AD397,AD397)-1)</f>
        <v>0</v>
      </c>
    </row>
    <row r="398" spans="1:31">
      <c r="A398" s="141">
        <f>'銀行-TSS'!A398</f>
        <v>0</v>
      </c>
      <c r="B398" s="151">
        <f ca="1">VLOOKUP(A398,'銀行-TSS'!A:B,2,FALSE)</f>
        <v>0</v>
      </c>
      <c r="C398" s="151" t="e">
        <f ca="1">VLOOKUP(B398,bond!B:C,2,FALSE)</f>
        <v>#N/A</v>
      </c>
      <c r="D398" s="95" t="e">
        <f>VLOOKUP(A398,'銀行-TSS'!A:C,3,FALSE)</f>
        <v>#N/A</v>
      </c>
      <c r="E398" s="90" t="e">
        <f ca="1">VLOOKUP(A398,'銀行-TSS'!A:G,7,FALSE)</f>
        <v>#N/A</v>
      </c>
      <c r="F398" s="202" t="e">
        <f ca="1">VLOOKUP(A398,'銀行-TSS'!A:H,8,FALSE)</f>
        <v>#N/A</v>
      </c>
      <c r="G398" s="96" t="e">
        <f ca="1">VLOOKUP(A398,'銀行-TSS'!A:K,11,FALSE)</f>
        <v>#N/A</v>
      </c>
      <c r="H398" s="1209" t="e">
        <f ca="1">VLOOKUP(A398,'銀行-TSS'!A:M,13,FALSE)</f>
        <v>#N/A</v>
      </c>
      <c r="I398" s="1213" t="e">
        <f ca="1">VLOOKUP(A398,'銀行-TSS'!A:N,14,FALSE)</f>
        <v>#N/A</v>
      </c>
      <c r="J398" s="1213" t="e">
        <f ca="1">VLOOKUP(A398,'銀行-TSS'!A:O,15,FALSE)</f>
        <v>#N/A</v>
      </c>
      <c r="K398" s="136" t="e">
        <f ca="1">VLOOKUP(A398,'銀行-TSS'!A:V,22,FALSE)</f>
        <v>#N/A</v>
      </c>
      <c r="L398" s="136" t="e">
        <f ca="1">VLOOKUP(A398,'銀行-TSS'!A:AK,37,FALSE)</f>
        <v>#N/A</v>
      </c>
      <c r="M398" s="136" t="str">
        <f ca="1">VLOOKUP(A398,'銀行-TSS'!A:AN,40,FALSE)</f>
        <v/>
      </c>
      <c r="N398" s="1211" t="e">
        <f t="shared" ca="1" si="82"/>
        <v>#N/A</v>
      </c>
      <c r="O398" s="1211" t="e">
        <f t="shared" ca="1" si="83"/>
        <v>#N/A</v>
      </c>
      <c r="P398" s="1213" t="e">
        <f ca="1">IF(AND(換券投組!$D$17&gt;=O398,換券投組!$D$13=D398),I398+INT((換券投組!$D$17-O398)/N398)*J398,0)</f>
        <v>#N/A</v>
      </c>
      <c r="Q398" s="1211" t="e">
        <f t="shared" ca="1" si="84"/>
        <v>#N/A</v>
      </c>
      <c r="R398" s="1213">
        <f t="shared" si="85"/>
        <v>0</v>
      </c>
      <c r="S398" s="1213">
        <f t="shared" si="86"/>
        <v>0</v>
      </c>
      <c r="T398" s="136">
        <f t="shared" si="88"/>
        <v>0</v>
      </c>
      <c r="U398" s="861">
        <f t="shared" si="89"/>
        <v>0</v>
      </c>
      <c r="V398" s="136" t="e">
        <f ca="1">IF(OR(D398&lt;&gt;"USD",L398="無",M398&lt;&gt;"",K398="高資產",IFERROR(MATCH(B398,換券投組!K:K,0),"N")&lt;&gt;"N",IFERROR(MATCH(B398,換券投組!J:J,0),"N")&lt;&gt;"N"),FALSE,IF($V$1="All",TRUE,IF(K398=$V$1,TRUE,FALSE)))</f>
        <v>#N/A</v>
      </c>
      <c r="W398" s="136" t="e">
        <f ca="1">VLOOKUP(A398,'銀行-TSS'!A:AO,41,FALSE)</f>
        <v>#N/A</v>
      </c>
      <c r="X398" s="136" t="e">
        <f ca="1">VLOOKUP(A398,'銀行-TSS'!A:AP,42,FALSE)</f>
        <v>#N/A</v>
      </c>
      <c r="Y398" s="1223">
        <f t="shared" si="87"/>
        <v>0</v>
      </c>
      <c r="Z398" s="1211">
        <f t="shared" si="90"/>
        <v>0</v>
      </c>
      <c r="AA398" s="136">
        <f>IF(Z398&lt;=0,0,RANK(Z398,Z:Z)+COUNTIF($Z$3:$Z398,Z398)-1)</f>
        <v>0</v>
      </c>
      <c r="AB398" s="1211">
        <f t="shared" ca="1" si="91"/>
        <v>0</v>
      </c>
      <c r="AC398" s="136">
        <f ca="1">IF(AB398&lt;=0,0,RANK(AB398,AB:AB)+COUNTIF($AB$3:$AB398,AB398)-1)</f>
        <v>0</v>
      </c>
      <c r="AD398" s="136">
        <f t="shared" si="92"/>
        <v>99999</v>
      </c>
      <c r="AE398" s="136">
        <f>IF(AD398=99999,0,RANK(AD398,AD:AD,1)+COUNTIF($AD$3:$AD398,AD398)-1)</f>
        <v>0</v>
      </c>
    </row>
    <row r="399" spans="1:31">
      <c r="A399" s="141">
        <f>'銀行-TSS'!A399</f>
        <v>0</v>
      </c>
      <c r="B399" s="151">
        <f ca="1">VLOOKUP(A399,'銀行-TSS'!A:B,2,FALSE)</f>
        <v>0</v>
      </c>
      <c r="C399" s="151" t="e">
        <f ca="1">VLOOKUP(B399,bond!B:C,2,FALSE)</f>
        <v>#N/A</v>
      </c>
      <c r="D399" s="95" t="e">
        <f>VLOOKUP(A399,'銀行-TSS'!A:C,3,FALSE)</f>
        <v>#N/A</v>
      </c>
      <c r="E399" s="90" t="e">
        <f ca="1">VLOOKUP(A399,'銀行-TSS'!A:G,7,FALSE)</f>
        <v>#N/A</v>
      </c>
      <c r="F399" s="202" t="e">
        <f ca="1">VLOOKUP(A399,'銀行-TSS'!A:H,8,FALSE)</f>
        <v>#N/A</v>
      </c>
      <c r="G399" s="96" t="e">
        <f ca="1">VLOOKUP(A399,'銀行-TSS'!A:K,11,FALSE)</f>
        <v>#N/A</v>
      </c>
      <c r="H399" s="1209" t="e">
        <f ca="1">VLOOKUP(A399,'銀行-TSS'!A:M,13,FALSE)</f>
        <v>#N/A</v>
      </c>
      <c r="I399" s="1213" t="e">
        <f ca="1">VLOOKUP(A399,'銀行-TSS'!A:N,14,FALSE)</f>
        <v>#N/A</v>
      </c>
      <c r="J399" s="1213" t="e">
        <f ca="1">VLOOKUP(A399,'銀行-TSS'!A:O,15,FALSE)</f>
        <v>#N/A</v>
      </c>
      <c r="K399" s="136" t="e">
        <f ca="1">VLOOKUP(A399,'銀行-TSS'!A:V,22,FALSE)</f>
        <v>#N/A</v>
      </c>
      <c r="L399" s="136" t="e">
        <f ca="1">VLOOKUP(A399,'銀行-TSS'!A:AK,37,FALSE)</f>
        <v>#N/A</v>
      </c>
      <c r="M399" s="136" t="str">
        <f ca="1">VLOOKUP(A399,'銀行-TSS'!A:AN,40,FALSE)</f>
        <v/>
      </c>
      <c r="N399" s="1211" t="e">
        <f t="shared" ca="1" si="82"/>
        <v>#N/A</v>
      </c>
      <c r="O399" s="1211" t="e">
        <f t="shared" ca="1" si="83"/>
        <v>#N/A</v>
      </c>
      <c r="P399" s="1213" t="e">
        <f ca="1">IF(AND(換券投組!$D$17&gt;=O399,換券投組!$D$13=D399),I399+INT((換券投組!$D$17-O399)/N399)*J399,0)</f>
        <v>#N/A</v>
      </c>
      <c r="Q399" s="1211" t="e">
        <f t="shared" ca="1" si="84"/>
        <v>#N/A</v>
      </c>
      <c r="R399" s="1213">
        <f t="shared" si="85"/>
        <v>0</v>
      </c>
      <c r="S399" s="1213">
        <f t="shared" si="86"/>
        <v>0</v>
      </c>
      <c r="T399" s="136">
        <f t="shared" si="88"/>
        <v>0</v>
      </c>
      <c r="U399" s="861">
        <f t="shared" si="89"/>
        <v>0</v>
      </c>
      <c r="V399" s="136" t="e">
        <f ca="1">IF(OR(D399&lt;&gt;"USD",L399="無",M399&lt;&gt;"",K399="高資產",IFERROR(MATCH(B399,換券投組!K:K,0),"N")&lt;&gt;"N",IFERROR(MATCH(B399,換券投組!J:J,0),"N")&lt;&gt;"N"),FALSE,IF($V$1="All",TRUE,IF(K399=$V$1,TRUE,FALSE)))</f>
        <v>#N/A</v>
      </c>
      <c r="W399" s="136" t="e">
        <f ca="1">VLOOKUP(A399,'銀行-TSS'!A:AO,41,FALSE)</f>
        <v>#N/A</v>
      </c>
      <c r="X399" s="136" t="e">
        <f ca="1">VLOOKUP(A399,'銀行-TSS'!A:AP,42,FALSE)</f>
        <v>#N/A</v>
      </c>
      <c r="Y399" s="1223">
        <f t="shared" si="87"/>
        <v>0</v>
      </c>
      <c r="Z399" s="1211">
        <f t="shared" si="90"/>
        <v>0</v>
      </c>
      <c r="AA399" s="136">
        <f>IF(Z399&lt;=0,0,RANK(Z399,Z:Z)+COUNTIF($Z$3:$Z399,Z399)-1)</f>
        <v>0</v>
      </c>
      <c r="AB399" s="1211">
        <f t="shared" ca="1" si="91"/>
        <v>0</v>
      </c>
      <c r="AC399" s="136">
        <f ca="1">IF(AB399&lt;=0,0,RANK(AB399,AB:AB)+COUNTIF($AB$3:$AB399,AB399)-1)</f>
        <v>0</v>
      </c>
      <c r="AD399" s="136">
        <f t="shared" si="92"/>
        <v>99999</v>
      </c>
      <c r="AE399" s="136">
        <f>IF(AD399=99999,0,RANK(AD399,AD:AD,1)+COUNTIF($AD$3:$AD399,AD399)-1)</f>
        <v>0</v>
      </c>
    </row>
    <row r="400" spans="1:31">
      <c r="A400" s="141">
        <f>'銀行-TSS'!A400</f>
        <v>0</v>
      </c>
      <c r="B400" s="151">
        <f ca="1">VLOOKUP(A400,'銀行-TSS'!A:B,2,FALSE)</f>
        <v>0</v>
      </c>
      <c r="C400" s="151" t="e">
        <f ca="1">VLOOKUP(B400,bond!B:C,2,FALSE)</f>
        <v>#N/A</v>
      </c>
      <c r="D400" s="95" t="e">
        <f>VLOOKUP(A400,'銀行-TSS'!A:C,3,FALSE)</f>
        <v>#N/A</v>
      </c>
      <c r="E400" s="90" t="e">
        <f ca="1">VLOOKUP(A400,'銀行-TSS'!A:G,7,FALSE)</f>
        <v>#N/A</v>
      </c>
      <c r="F400" s="202" t="e">
        <f ca="1">VLOOKUP(A400,'銀行-TSS'!A:H,8,FALSE)</f>
        <v>#N/A</v>
      </c>
      <c r="G400" s="96" t="e">
        <f ca="1">VLOOKUP(A400,'銀行-TSS'!A:K,11,FALSE)</f>
        <v>#N/A</v>
      </c>
      <c r="H400" s="1209" t="e">
        <f ca="1">VLOOKUP(A400,'銀行-TSS'!A:M,13,FALSE)</f>
        <v>#N/A</v>
      </c>
      <c r="I400" s="1213" t="e">
        <f ca="1">VLOOKUP(A400,'銀行-TSS'!A:N,14,FALSE)</f>
        <v>#N/A</v>
      </c>
      <c r="J400" s="1213" t="e">
        <f ca="1">VLOOKUP(A400,'銀行-TSS'!A:O,15,FALSE)</f>
        <v>#N/A</v>
      </c>
      <c r="K400" s="136" t="e">
        <f ca="1">VLOOKUP(A400,'銀行-TSS'!A:V,22,FALSE)</f>
        <v>#N/A</v>
      </c>
      <c r="L400" s="136" t="e">
        <f ca="1">VLOOKUP(A400,'銀行-TSS'!A:AK,37,FALSE)</f>
        <v>#N/A</v>
      </c>
      <c r="M400" s="136" t="str">
        <f ca="1">VLOOKUP(A400,'銀行-TSS'!A:AN,40,FALSE)</f>
        <v/>
      </c>
      <c r="N400" s="1211" t="e">
        <f t="shared" ca="1" si="82"/>
        <v>#N/A</v>
      </c>
      <c r="O400" s="1211" t="e">
        <f t="shared" ca="1" si="83"/>
        <v>#N/A</v>
      </c>
      <c r="P400" s="1213" t="e">
        <f ca="1">IF(AND(換券投組!$D$17&gt;=O400,換券投組!$D$13=D400),I400+INT((換券投組!$D$17-O400)/N400)*J400,0)</f>
        <v>#N/A</v>
      </c>
      <c r="Q400" s="1211" t="e">
        <f t="shared" ca="1" si="84"/>
        <v>#N/A</v>
      </c>
      <c r="R400" s="1213">
        <f t="shared" si="85"/>
        <v>0</v>
      </c>
      <c r="S400" s="1213">
        <f t="shared" si="86"/>
        <v>0</v>
      </c>
      <c r="T400" s="136">
        <f t="shared" si="88"/>
        <v>0</v>
      </c>
      <c r="U400" s="861">
        <f t="shared" si="89"/>
        <v>0</v>
      </c>
      <c r="V400" s="136" t="e">
        <f ca="1">IF(OR(D400&lt;&gt;"USD",L400="無",M400&lt;&gt;"",K400="高資產",IFERROR(MATCH(B400,換券投組!K:K,0),"N")&lt;&gt;"N",IFERROR(MATCH(B400,換券投組!J:J,0),"N")&lt;&gt;"N"),FALSE,IF($V$1="All",TRUE,IF(K400=$V$1,TRUE,FALSE)))</f>
        <v>#N/A</v>
      </c>
      <c r="W400" s="136" t="e">
        <f ca="1">VLOOKUP(A400,'銀行-TSS'!A:AO,41,FALSE)</f>
        <v>#N/A</v>
      </c>
      <c r="X400" s="136" t="e">
        <f ca="1">VLOOKUP(A400,'銀行-TSS'!A:AP,42,FALSE)</f>
        <v>#N/A</v>
      </c>
      <c r="Y400" s="1223">
        <f t="shared" si="87"/>
        <v>0</v>
      </c>
      <c r="Z400" s="1211">
        <f t="shared" si="90"/>
        <v>0</v>
      </c>
      <c r="AA400" s="136">
        <f>IF(Z400&lt;=0,0,RANK(Z400,Z:Z)+COUNTIF($Z$3:$Z400,Z400)-1)</f>
        <v>0</v>
      </c>
      <c r="AB400" s="1211">
        <f t="shared" ca="1" si="91"/>
        <v>0</v>
      </c>
      <c r="AC400" s="136">
        <f ca="1">IF(AB400&lt;=0,0,RANK(AB400,AB:AB)+COUNTIF($AB$3:$AB400,AB400)-1)</f>
        <v>0</v>
      </c>
      <c r="AD400" s="136">
        <f t="shared" si="92"/>
        <v>99999</v>
      </c>
      <c r="AE400" s="136">
        <f>IF(AD400=99999,0,RANK(AD400,AD:AD,1)+COUNTIF($AD$3:$AD400,AD400)-1)</f>
        <v>0</v>
      </c>
    </row>
    <row r="401" spans="1:31">
      <c r="A401" s="141">
        <f>'銀行-TSS'!A401</f>
        <v>0</v>
      </c>
      <c r="B401" s="151">
        <f ca="1">VLOOKUP(A401,'銀行-TSS'!A:B,2,FALSE)</f>
        <v>0</v>
      </c>
      <c r="C401" s="151" t="e">
        <f ca="1">VLOOKUP(B401,bond!B:C,2,FALSE)</f>
        <v>#N/A</v>
      </c>
      <c r="D401" s="95" t="e">
        <f>VLOOKUP(A401,'銀行-TSS'!A:C,3,FALSE)</f>
        <v>#N/A</v>
      </c>
      <c r="E401" s="90" t="e">
        <f ca="1">VLOOKUP(A401,'銀行-TSS'!A:G,7,FALSE)</f>
        <v>#N/A</v>
      </c>
      <c r="F401" s="202" t="e">
        <f ca="1">VLOOKUP(A401,'銀行-TSS'!A:H,8,FALSE)</f>
        <v>#N/A</v>
      </c>
      <c r="G401" s="96" t="e">
        <f ca="1">VLOOKUP(A401,'銀行-TSS'!A:K,11,FALSE)</f>
        <v>#N/A</v>
      </c>
      <c r="H401" s="1209" t="e">
        <f ca="1">VLOOKUP(A401,'銀行-TSS'!A:M,13,FALSE)</f>
        <v>#N/A</v>
      </c>
      <c r="I401" s="1213" t="e">
        <f ca="1">VLOOKUP(A401,'銀行-TSS'!A:N,14,FALSE)</f>
        <v>#N/A</v>
      </c>
      <c r="J401" s="1213" t="e">
        <f ca="1">VLOOKUP(A401,'銀行-TSS'!A:O,15,FALSE)</f>
        <v>#N/A</v>
      </c>
      <c r="K401" s="136" t="e">
        <f ca="1">VLOOKUP(A401,'銀行-TSS'!A:V,22,FALSE)</f>
        <v>#N/A</v>
      </c>
      <c r="L401" s="136" t="e">
        <f ca="1">VLOOKUP(A401,'銀行-TSS'!A:AK,37,FALSE)</f>
        <v>#N/A</v>
      </c>
      <c r="M401" s="136" t="str">
        <f ca="1">VLOOKUP(A401,'銀行-TSS'!A:AN,40,FALSE)</f>
        <v/>
      </c>
      <c r="N401" s="1211" t="e">
        <f t="shared" ca="1" si="82"/>
        <v>#N/A</v>
      </c>
      <c r="O401" s="1211" t="e">
        <f t="shared" ca="1" si="83"/>
        <v>#N/A</v>
      </c>
      <c r="P401" s="1213" t="e">
        <f ca="1">IF(AND(換券投組!$D$17&gt;=O401,換券投組!$D$13=D401),I401+INT((換券投組!$D$17-O401)/N401)*J401,0)</f>
        <v>#N/A</v>
      </c>
      <c r="Q401" s="1211" t="e">
        <f t="shared" ca="1" si="84"/>
        <v>#N/A</v>
      </c>
      <c r="R401" s="1213">
        <f t="shared" si="85"/>
        <v>0</v>
      </c>
      <c r="S401" s="1213">
        <f t="shared" si="86"/>
        <v>0</v>
      </c>
      <c r="T401" s="136">
        <f t="shared" si="88"/>
        <v>0</v>
      </c>
      <c r="U401" s="861">
        <f t="shared" si="89"/>
        <v>0</v>
      </c>
      <c r="V401" s="136" t="e">
        <f ca="1">IF(OR(D401&lt;&gt;"USD",L401="無",M401&lt;&gt;"",K401="高資產",IFERROR(MATCH(B401,換券投組!K:K,0),"N")&lt;&gt;"N",IFERROR(MATCH(B401,換券投組!J:J,0),"N")&lt;&gt;"N"),FALSE,IF($V$1="All",TRUE,IF(K401=$V$1,TRUE,FALSE)))</f>
        <v>#N/A</v>
      </c>
      <c r="W401" s="136" t="e">
        <f ca="1">VLOOKUP(A401,'銀行-TSS'!A:AO,41,FALSE)</f>
        <v>#N/A</v>
      </c>
      <c r="X401" s="136" t="e">
        <f ca="1">VLOOKUP(A401,'銀行-TSS'!A:AP,42,FALSE)</f>
        <v>#N/A</v>
      </c>
      <c r="Y401" s="1223">
        <f t="shared" si="87"/>
        <v>0</v>
      </c>
      <c r="Z401" s="1211">
        <f t="shared" si="90"/>
        <v>0</v>
      </c>
      <c r="AA401" s="136">
        <f>IF(Z401&lt;=0,0,RANK(Z401,Z:Z)+COUNTIF($Z$3:$Z401,Z401)-1)</f>
        <v>0</v>
      </c>
      <c r="AB401" s="1211">
        <f t="shared" ca="1" si="91"/>
        <v>0</v>
      </c>
      <c r="AC401" s="136">
        <f ca="1">IF(AB401&lt;=0,0,RANK(AB401,AB:AB)+COUNTIF($AB$3:$AB401,AB401)-1)</f>
        <v>0</v>
      </c>
      <c r="AD401" s="136">
        <f t="shared" si="92"/>
        <v>99999</v>
      </c>
      <c r="AE401" s="136">
        <f>IF(AD401=99999,0,RANK(AD401,AD:AD,1)+COUNTIF($AD$3:$AD401,AD401)-1)</f>
        <v>0</v>
      </c>
    </row>
    <row r="402" spans="1:31">
      <c r="A402" s="141">
        <f>'銀行-TSS'!A402</f>
        <v>0</v>
      </c>
      <c r="B402" s="151">
        <f ca="1">VLOOKUP(A402,'銀行-TSS'!A:B,2,FALSE)</f>
        <v>0</v>
      </c>
      <c r="C402" s="151" t="e">
        <f ca="1">VLOOKUP(B402,bond!B:C,2,FALSE)</f>
        <v>#N/A</v>
      </c>
      <c r="D402" s="95" t="e">
        <f>VLOOKUP(A402,'銀行-TSS'!A:C,3,FALSE)</f>
        <v>#N/A</v>
      </c>
      <c r="E402" s="90" t="e">
        <f ca="1">VLOOKUP(A402,'銀行-TSS'!A:G,7,FALSE)</f>
        <v>#N/A</v>
      </c>
      <c r="F402" s="202" t="e">
        <f ca="1">VLOOKUP(A402,'銀行-TSS'!A:H,8,FALSE)</f>
        <v>#N/A</v>
      </c>
      <c r="G402" s="96" t="e">
        <f ca="1">VLOOKUP(A402,'銀行-TSS'!A:K,11,FALSE)</f>
        <v>#N/A</v>
      </c>
      <c r="H402" s="1209" t="e">
        <f ca="1">VLOOKUP(A402,'銀行-TSS'!A:M,13,FALSE)</f>
        <v>#N/A</v>
      </c>
      <c r="I402" s="1213" t="e">
        <f ca="1">VLOOKUP(A402,'銀行-TSS'!A:N,14,FALSE)</f>
        <v>#N/A</v>
      </c>
      <c r="J402" s="1213" t="e">
        <f ca="1">VLOOKUP(A402,'銀行-TSS'!A:O,15,FALSE)</f>
        <v>#N/A</v>
      </c>
      <c r="K402" s="136" t="e">
        <f ca="1">VLOOKUP(A402,'銀行-TSS'!A:V,22,FALSE)</f>
        <v>#N/A</v>
      </c>
      <c r="L402" s="136" t="e">
        <f ca="1">VLOOKUP(A402,'銀行-TSS'!A:AK,37,FALSE)</f>
        <v>#N/A</v>
      </c>
      <c r="M402" s="136" t="str">
        <f ca="1">VLOOKUP(A402,'銀行-TSS'!A:AN,40,FALSE)</f>
        <v/>
      </c>
      <c r="N402" s="1211" t="e">
        <f t="shared" ca="1" si="82"/>
        <v>#N/A</v>
      </c>
      <c r="O402" s="1211" t="e">
        <f t="shared" ca="1" si="83"/>
        <v>#N/A</v>
      </c>
      <c r="P402" s="1213" t="e">
        <f ca="1">IF(AND(換券投組!$D$17&gt;=O402,換券投組!$D$13=D402),I402+INT((換券投組!$D$17-O402)/N402)*J402,0)</f>
        <v>#N/A</v>
      </c>
      <c r="Q402" s="1211" t="e">
        <f t="shared" ca="1" si="84"/>
        <v>#N/A</v>
      </c>
      <c r="R402" s="1213">
        <f t="shared" si="85"/>
        <v>0</v>
      </c>
      <c r="S402" s="1213">
        <f t="shared" si="86"/>
        <v>0</v>
      </c>
      <c r="T402" s="136">
        <f t="shared" si="88"/>
        <v>0</v>
      </c>
      <c r="U402" s="861">
        <f t="shared" si="89"/>
        <v>0</v>
      </c>
      <c r="V402" s="136" t="e">
        <f ca="1">IF(OR(D402&lt;&gt;"USD",L402="無",M402&lt;&gt;"",K402="高資產",IFERROR(MATCH(B402,換券投組!K:K,0),"N")&lt;&gt;"N",IFERROR(MATCH(B402,換券投組!J:J,0),"N")&lt;&gt;"N"),FALSE,IF($V$1="All",TRUE,IF(K402=$V$1,TRUE,FALSE)))</f>
        <v>#N/A</v>
      </c>
      <c r="W402" s="136" t="e">
        <f ca="1">VLOOKUP(A402,'銀行-TSS'!A:AO,41,FALSE)</f>
        <v>#N/A</v>
      </c>
      <c r="X402" s="136" t="e">
        <f ca="1">VLOOKUP(A402,'銀行-TSS'!A:AP,42,FALSE)</f>
        <v>#N/A</v>
      </c>
      <c r="Y402" s="1223">
        <f t="shared" si="87"/>
        <v>0</v>
      </c>
      <c r="Z402" s="1211">
        <f t="shared" si="90"/>
        <v>0</v>
      </c>
      <c r="AA402" s="136">
        <f>IF(Z402&lt;=0,0,RANK(Z402,Z:Z)+COUNTIF($Z$3:$Z402,Z402)-1)</f>
        <v>0</v>
      </c>
      <c r="AB402" s="1211">
        <f t="shared" ca="1" si="91"/>
        <v>0</v>
      </c>
      <c r="AC402" s="136">
        <f ca="1">IF(AB402&lt;=0,0,RANK(AB402,AB:AB)+COUNTIF($AB$3:$AB402,AB402)-1)</f>
        <v>0</v>
      </c>
      <c r="AD402" s="136">
        <f t="shared" si="92"/>
        <v>99999</v>
      </c>
      <c r="AE402" s="136">
        <f>IF(AD402=99999,0,RANK(AD402,AD:AD,1)+COUNTIF($AD$3:$AD402,AD402)-1)</f>
        <v>0</v>
      </c>
    </row>
    <row r="403" spans="1:31">
      <c r="A403" s="141">
        <f>'銀行-TSS'!A403</f>
        <v>0</v>
      </c>
      <c r="B403" s="151">
        <f ca="1">VLOOKUP(A403,'銀行-TSS'!A:B,2,FALSE)</f>
        <v>0</v>
      </c>
      <c r="C403" s="151" t="e">
        <f ca="1">VLOOKUP(B403,bond!B:C,2,FALSE)</f>
        <v>#N/A</v>
      </c>
      <c r="D403" s="95" t="e">
        <f>VLOOKUP(A403,'銀行-TSS'!A:C,3,FALSE)</f>
        <v>#N/A</v>
      </c>
      <c r="E403" s="90" t="e">
        <f ca="1">VLOOKUP(A403,'銀行-TSS'!A:G,7,FALSE)</f>
        <v>#N/A</v>
      </c>
      <c r="F403" s="202" t="e">
        <f ca="1">VLOOKUP(A403,'銀行-TSS'!A:H,8,FALSE)</f>
        <v>#N/A</v>
      </c>
      <c r="G403" s="96" t="e">
        <f ca="1">VLOOKUP(A403,'銀行-TSS'!A:K,11,FALSE)</f>
        <v>#N/A</v>
      </c>
      <c r="H403" s="1209" t="e">
        <f ca="1">VLOOKUP(A403,'銀行-TSS'!A:M,13,FALSE)</f>
        <v>#N/A</v>
      </c>
      <c r="I403" s="1213" t="e">
        <f ca="1">VLOOKUP(A403,'銀行-TSS'!A:N,14,FALSE)</f>
        <v>#N/A</v>
      </c>
      <c r="J403" s="1213" t="e">
        <f ca="1">VLOOKUP(A403,'銀行-TSS'!A:O,15,FALSE)</f>
        <v>#N/A</v>
      </c>
      <c r="K403" s="136" t="e">
        <f ca="1">VLOOKUP(A403,'銀行-TSS'!A:V,22,FALSE)</f>
        <v>#N/A</v>
      </c>
      <c r="L403" s="136" t="e">
        <f ca="1">VLOOKUP(A403,'銀行-TSS'!A:AK,37,FALSE)</f>
        <v>#N/A</v>
      </c>
      <c r="M403" s="136" t="str">
        <f ca="1">VLOOKUP(A403,'銀行-TSS'!A:AN,40,FALSE)</f>
        <v/>
      </c>
      <c r="N403" s="1211" t="e">
        <f t="shared" ca="1" si="82"/>
        <v>#N/A</v>
      </c>
      <c r="O403" s="1211" t="e">
        <f t="shared" ca="1" si="83"/>
        <v>#N/A</v>
      </c>
      <c r="P403" s="1213" t="e">
        <f ca="1">IF(AND(換券投組!$D$17&gt;=O403,換券投組!$D$13=D403),I403+INT((換券投組!$D$17-O403)/N403)*J403,0)</f>
        <v>#N/A</v>
      </c>
      <c r="Q403" s="1211" t="e">
        <f t="shared" ca="1" si="84"/>
        <v>#N/A</v>
      </c>
      <c r="R403" s="1213">
        <f t="shared" si="85"/>
        <v>0</v>
      </c>
      <c r="S403" s="1213">
        <f t="shared" si="86"/>
        <v>0</v>
      </c>
      <c r="T403" s="136">
        <f t="shared" si="88"/>
        <v>0</v>
      </c>
      <c r="U403" s="861">
        <f t="shared" si="89"/>
        <v>0</v>
      </c>
      <c r="V403" s="136" t="e">
        <f ca="1">IF(OR(D403&lt;&gt;"USD",L403="無",M403&lt;&gt;"",K403="高資產",IFERROR(MATCH(B403,換券投組!K:K,0),"N")&lt;&gt;"N",IFERROR(MATCH(B403,換券投組!J:J,0),"N")&lt;&gt;"N"),FALSE,IF($V$1="All",TRUE,IF(K403=$V$1,TRUE,FALSE)))</f>
        <v>#N/A</v>
      </c>
      <c r="W403" s="136" t="e">
        <f ca="1">VLOOKUP(A403,'銀行-TSS'!A:AO,41,FALSE)</f>
        <v>#N/A</v>
      </c>
      <c r="X403" s="136" t="e">
        <f ca="1">VLOOKUP(A403,'銀行-TSS'!A:AP,42,FALSE)</f>
        <v>#N/A</v>
      </c>
      <c r="Y403" s="1223">
        <f t="shared" si="87"/>
        <v>0</v>
      </c>
      <c r="Z403" s="1211">
        <f t="shared" si="90"/>
        <v>0</v>
      </c>
      <c r="AA403" s="136">
        <f>IF(Z403&lt;=0,0,RANK(Z403,Z:Z)+COUNTIF($Z$3:$Z403,Z403)-1)</f>
        <v>0</v>
      </c>
      <c r="AB403" s="1211">
        <f t="shared" ca="1" si="91"/>
        <v>0</v>
      </c>
      <c r="AC403" s="136">
        <f ca="1">IF(AB403&lt;=0,0,RANK(AB403,AB:AB)+COUNTIF($AB$3:$AB403,AB403)-1)</f>
        <v>0</v>
      </c>
      <c r="AD403" s="136">
        <f t="shared" si="92"/>
        <v>99999</v>
      </c>
      <c r="AE403" s="136">
        <f>IF(AD403=99999,0,RANK(AD403,AD:AD,1)+COUNTIF($AD$3:$AD403,AD403)-1)</f>
        <v>0</v>
      </c>
    </row>
    <row r="404" spans="1:31">
      <c r="A404" s="141">
        <f>'銀行-TSS'!A404</f>
        <v>0</v>
      </c>
      <c r="B404" s="151">
        <f ca="1">VLOOKUP(A404,'銀行-TSS'!A:B,2,FALSE)</f>
        <v>0</v>
      </c>
      <c r="C404" s="151" t="e">
        <f ca="1">VLOOKUP(B404,bond!B:C,2,FALSE)</f>
        <v>#N/A</v>
      </c>
      <c r="D404" s="95" t="e">
        <f>VLOOKUP(A404,'銀行-TSS'!A:C,3,FALSE)</f>
        <v>#N/A</v>
      </c>
      <c r="E404" s="90" t="e">
        <f ca="1">VLOOKUP(A404,'銀行-TSS'!A:G,7,FALSE)</f>
        <v>#N/A</v>
      </c>
      <c r="F404" s="202" t="e">
        <f ca="1">VLOOKUP(A404,'銀行-TSS'!A:H,8,FALSE)</f>
        <v>#N/A</v>
      </c>
      <c r="G404" s="96" t="e">
        <f ca="1">VLOOKUP(A404,'銀行-TSS'!A:K,11,FALSE)</f>
        <v>#N/A</v>
      </c>
      <c r="H404" s="1209" t="e">
        <f ca="1">VLOOKUP(A404,'銀行-TSS'!A:M,13,FALSE)</f>
        <v>#N/A</v>
      </c>
      <c r="I404" s="1213" t="e">
        <f ca="1">VLOOKUP(A404,'銀行-TSS'!A:N,14,FALSE)</f>
        <v>#N/A</v>
      </c>
      <c r="J404" s="1213" t="e">
        <f ca="1">VLOOKUP(A404,'銀行-TSS'!A:O,15,FALSE)</f>
        <v>#N/A</v>
      </c>
      <c r="K404" s="136" t="e">
        <f ca="1">VLOOKUP(A404,'銀行-TSS'!A:V,22,FALSE)</f>
        <v>#N/A</v>
      </c>
      <c r="L404" s="136" t="e">
        <f ca="1">VLOOKUP(A404,'銀行-TSS'!A:AK,37,FALSE)</f>
        <v>#N/A</v>
      </c>
      <c r="M404" s="136" t="str">
        <f ca="1">VLOOKUP(A404,'銀行-TSS'!A:AN,40,FALSE)</f>
        <v/>
      </c>
      <c r="N404" s="1211" t="e">
        <f t="shared" ca="1" si="82"/>
        <v>#N/A</v>
      </c>
      <c r="O404" s="1211" t="e">
        <f t="shared" ca="1" si="83"/>
        <v>#N/A</v>
      </c>
      <c r="P404" s="1213" t="e">
        <f ca="1">IF(AND(換券投組!$D$17&gt;=O404,換券投組!$D$13=D404),I404+INT((換券投組!$D$17-O404)/N404)*J404,0)</f>
        <v>#N/A</v>
      </c>
      <c r="Q404" s="1211" t="e">
        <f t="shared" ca="1" si="84"/>
        <v>#N/A</v>
      </c>
      <c r="R404" s="1213">
        <f t="shared" si="85"/>
        <v>0</v>
      </c>
      <c r="S404" s="1213">
        <f t="shared" si="86"/>
        <v>0</v>
      </c>
      <c r="T404" s="136">
        <f t="shared" si="88"/>
        <v>0</v>
      </c>
      <c r="U404" s="861">
        <f t="shared" si="89"/>
        <v>0</v>
      </c>
      <c r="V404" s="136" t="e">
        <f ca="1">IF(OR(D404&lt;&gt;"USD",L404="無",M404&lt;&gt;"",K404="高資產",IFERROR(MATCH(B404,換券投組!K:K,0),"N")&lt;&gt;"N",IFERROR(MATCH(B404,換券投組!J:J,0),"N")&lt;&gt;"N"),FALSE,IF($V$1="All",TRUE,IF(K404=$V$1,TRUE,FALSE)))</f>
        <v>#N/A</v>
      </c>
      <c r="W404" s="136" t="e">
        <f ca="1">VLOOKUP(A404,'銀行-TSS'!A:AO,41,FALSE)</f>
        <v>#N/A</v>
      </c>
      <c r="X404" s="136" t="e">
        <f ca="1">VLOOKUP(A404,'銀行-TSS'!A:AP,42,FALSE)</f>
        <v>#N/A</v>
      </c>
      <c r="Y404" s="1223">
        <f t="shared" si="87"/>
        <v>0</v>
      </c>
      <c r="Z404" s="1211">
        <f t="shared" si="90"/>
        <v>0</v>
      </c>
      <c r="AA404" s="136">
        <f>IF(Z404&lt;=0,0,RANK(Z404,Z:Z)+COUNTIF($Z$3:$Z404,Z404)-1)</f>
        <v>0</v>
      </c>
      <c r="AB404" s="1211">
        <f t="shared" ca="1" si="91"/>
        <v>0</v>
      </c>
      <c r="AC404" s="136">
        <f ca="1">IF(AB404&lt;=0,0,RANK(AB404,AB:AB)+COUNTIF($AB$3:$AB404,AB404)-1)</f>
        <v>0</v>
      </c>
      <c r="AD404" s="136">
        <f t="shared" si="92"/>
        <v>99999</v>
      </c>
      <c r="AE404" s="136">
        <f>IF(AD404=99999,0,RANK(AD404,AD:AD,1)+COUNTIF($AD$3:$AD404,AD404)-1)</f>
        <v>0</v>
      </c>
    </row>
    <row r="405" spans="1:31">
      <c r="A405" s="141">
        <f>'銀行-TSS'!A405</f>
        <v>0</v>
      </c>
      <c r="B405" s="151">
        <f ca="1">VLOOKUP(A405,'銀行-TSS'!A:B,2,FALSE)</f>
        <v>0</v>
      </c>
      <c r="C405" s="151" t="e">
        <f ca="1">VLOOKUP(B405,bond!B:C,2,FALSE)</f>
        <v>#N/A</v>
      </c>
      <c r="D405" s="95" t="e">
        <f>VLOOKUP(A405,'銀行-TSS'!A:C,3,FALSE)</f>
        <v>#N/A</v>
      </c>
      <c r="E405" s="90" t="e">
        <f ca="1">VLOOKUP(A405,'銀行-TSS'!A:G,7,FALSE)</f>
        <v>#N/A</v>
      </c>
      <c r="F405" s="202" t="e">
        <f ca="1">VLOOKUP(A405,'銀行-TSS'!A:H,8,FALSE)</f>
        <v>#N/A</v>
      </c>
      <c r="G405" s="96" t="e">
        <f ca="1">VLOOKUP(A405,'銀行-TSS'!A:K,11,FALSE)</f>
        <v>#N/A</v>
      </c>
      <c r="H405" s="1209" t="e">
        <f ca="1">VLOOKUP(A405,'銀行-TSS'!A:M,13,FALSE)</f>
        <v>#N/A</v>
      </c>
      <c r="I405" s="1213" t="e">
        <f ca="1">VLOOKUP(A405,'銀行-TSS'!A:N,14,FALSE)</f>
        <v>#N/A</v>
      </c>
      <c r="J405" s="1213" t="e">
        <f ca="1">VLOOKUP(A405,'銀行-TSS'!A:O,15,FALSE)</f>
        <v>#N/A</v>
      </c>
      <c r="K405" s="136" t="e">
        <f ca="1">VLOOKUP(A405,'銀行-TSS'!A:V,22,FALSE)</f>
        <v>#N/A</v>
      </c>
      <c r="L405" s="136" t="e">
        <f ca="1">VLOOKUP(A405,'銀行-TSS'!A:AK,37,FALSE)</f>
        <v>#N/A</v>
      </c>
      <c r="M405" s="136" t="str">
        <f ca="1">VLOOKUP(A405,'銀行-TSS'!A:AN,40,FALSE)</f>
        <v/>
      </c>
      <c r="N405" s="1211" t="e">
        <f t="shared" ca="1" si="82"/>
        <v>#N/A</v>
      </c>
      <c r="O405" s="1211" t="e">
        <f t="shared" ca="1" si="83"/>
        <v>#N/A</v>
      </c>
      <c r="P405" s="1213" t="e">
        <f ca="1">IF(AND(換券投組!$D$17&gt;=O405,換券投組!$D$13=D405),I405+INT((換券投組!$D$17-O405)/N405)*J405,0)</f>
        <v>#N/A</v>
      </c>
      <c r="Q405" s="1211" t="e">
        <f t="shared" ca="1" si="84"/>
        <v>#N/A</v>
      </c>
      <c r="R405" s="1213">
        <f t="shared" si="85"/>
        <v>0</v>
      </c>
      <c r="S405" s="1213">
        <f t="shared" si="86"/>
        <v>0</v>
      </c>
      <c r="T405" s="136">
        <f t="shared" si="88"/>
        <v>0</v>
      </c>
      <c r="U405" s="861">
        <f t="shared" si="89"/>
        <v>0</v>
      </c>
      <c r="V405" s="136" t="e">
        <f ca="1">IF(OR(D405&lt;&gt;"USD",L405="無",M405&lt;&gt;"",K405="高資產",IFERROR(MATCH(B405,換券投組!K:K,0),"N")&lt;&gt;"N",IFERROR(MATCH(B405,換券投組!J:J,0),"N")&lt;&gt;"N"),FALSE,IF($V$1="All",TRUE,IF(K405=$V$1,TRUE,FALSE)))</f>
        <v>#N/A</v>
      </c>
      <c r="W405" s="136" t="e">
        <f ca="1">VLOOKUP(A405,'銀行-TSS'!A:AO,41,FALSE)</f>
        <v>#N/A</v>
      </c>
      <c r="X405" s="136" t="e">
        <f ca="1">VLOOKUP(A405,'銀行-TSS'!A:AP,42,FALSE)</f>
        <v>#N/A</v>
      </c>
      <c r="Y405" s="1223">
        <f t="shared" si="87"/>
        <v>0</v>
      </c>
      <c r="Z405" s="1211">
        <f t="shared" si="90"/>
        <v>0</v>
      </c>
      <c r="AA405" s="136">
        <f>IF(Z405&lt;=0,0,RANK(Z405,Z:Z)+COUNTIF($Z$3:$Z405,Z405)-1)</f>
        <v>0</v>
      </c>
      <c r="AB405" s="1211">
        <f t="shared" ca="1" si="91"/>
        <v>0</v>
      </c>
      <c r="AC405" s="136">
        <f ca="1">IF(AB405&lt;=0,0,RANK(AB405,AB:AB)+COUNTIF($AB$3:$AB405,AB405)-1)</f>
        <v>0</v>
      </c>
      <c r="AD405" s="136">
        <f t="shared" si="92"/>
        <v>99999</v>
      </c>
      <c r="AE405" s="136">
        <f>IF(AD405=99999,0,RANK(AD405,AD:AD,1)+COUNTIF($AD$3:$AD405,AD405)-1)</f>
        <v>0</v>
      </c>
    </row>
    <row r="406" spans="1:31">
      <c r="A406" s="141">
        <f>'銀行-TSS'!A406</f>
        <v>0</v>
      </c>
      <c r="B406" s="151">
        <f ca="1">VLOOKUP(A406,'銀行-TSS'!A:B,2,FALSE)</f>
        <v>0</v>
      </c>
      <c r="C406" s="151" t="e">
        <f ca="1">VLOOKUP(B406,bond!B:C,2,FALSE)</f>
        <v>#N/A</v>
      </c>
      <c r="D406" s="95" t="e">
        <f>VLOOKUP(A406,'銀行-TSS'!A:C,3,FALSE)</f>
        <v>#N/A</v>
      </c>
      <c r="E406" s="90" t="e">
        <f ca="1">VLOOKUP(A406,'銀行-TSS'!A:G,7,FALSE)</f>
        <v>#N/A</v>
      </c>
      <c r="F406" s="202" t="e">
        <f ca="1">VLOOKUP(A406,'銀行-TSS'!A:H,8,FALSE)</f>
        <v>#N/A</v>
      </c>
      <c r="G406" s="96" t="e">
        <f ca="1">VLOOKUP(A406,'銀行-TSS'!A:K,11,FALSE)</f>
        <v>#N/A</v>
      </c>
      <c r="H406" s="1209" t="e">
        <f ca="1">VLOOKUP(A406,'銀行-TSS'!A:M,13,FALSE)</f>
        <v>#N/A</v>
      </c>
      <c r="I406" s="1213" t="e">
        <f ca="1">VLOOKUP(A406,'銀行-TSS'!A:N,14,FALSE)</f>
        <v>#N/A</v>
      </c>
      <c r="J406" s="1213" t="e">
        <f ca="1">VLOOKUP(A406,'銀行-TSS'!A:O,15,FALSE)</f>
        <v>#N/A</v>
      </c>
      <c r="K406" s="136" t="e">
        <f ca="1">VLOOKUP(A406,'銀行-TSS'!A:V,22,FALSE)</f>
        <v>#N/A</v>
      </c>
      <c r="L406" s="136" t="e">
        <f ca="1">VLOOKUP(A406,'銀行-TSS'!A:AK,37,FALSE)</f>
        <v>#N/A</v>
      </c>
      <c r="M406" s="136" t="str">
        <f ca="1">VLOOKUP(A406,'銀行-TSS'!A:AN,40,FALSE)</f>
        <v/>
      </c>
      <c r="N406" s="1211" t="e">
        <f t="shared" ca="1" si="82"/>
        <v>#N/A</v>
      </c>
      <c r="O406" s="1211" t="e">
        <f t="shared" ca="1" si="83"/>
        <v>#N/A</v>
      </c>
      <c r="P406" s="1213" t="e">
        <f ca="1">IF(AND(換券投組!$D$17&gt;=O406,換券投組!$D$13=D406),I406+INT((換券投組!$D$17-O406)/N406)*J406,0)</f>
        <v>#N/A</v>
      </c>
      <c r="Q406" s="1211" t="e">
        <f t="shared" ca="1" si="84"/>
        <v>#N/A</v>
      </c>
      <c r="R406" s="1213">
        <f t="shared" si="85"/>
        <v>0</v>
      </c>
      <c r="S406" s="1213">
        <f t="shared" si="86"/>
        <v>0</v>
      </c>
      <c r="T406" s="136">
        <f t="shared" si="88"/>
        <v>0</v>
      </c>
      <c r="U406" s="861">
        <f t="shared" si="89"/>
        <v>0</v>
      </c>
      <c r="V406" s="136" t="e">
        <f ca="1">IF(OR(D406&lt;&gt;"USD",L406="無",M406&lt;&gt;"",K406="高資產",IFERROR(MATCH(B406,換券投組!K:K,0),"N")&lt;&gt;"N",IFERROR(MATCH(B406,換券投組!J:J,0),"N")&lt;&gt;"N"),FALSE,IF($V$1="All",TRUE,IF(K406=$V$1,TRUE,FALSE)))</f>
        <v>#N/A</v>
      </c>
      <c r="W406" s="136" t="e">
        <f ca="1">VLOOKUP(A406,'銀行-TSS'!A:AO,41,FALSE)</f>
        <v>#N/A</v>
      </c>
      <c r="X406" s="136" t="e">
        <f ca="1">VLOOKUP(A406,'銀行-TSS'!A:AP,42,FALSE)</f>
        <v>#N/A</v>
      </c>
      <c r="Y406" s="1223">
        <f t="shared" si="87"/>
        <v>0</v>
      </c>
      <c r="Z406" s="1211">
        <f t="shared" si="90"/>
        <v>0</v>
      </c>
      <c r="AA406" s="136">
        <f>IF(Z406&lt;=0,0,RANK(Z406,Z:Z)+COUNTIF($Z$3:$Z406,Z406)-1)</f>
        <v>0</v>
      </c>
      <c r="AB406" s="1211">
        <f t="shared" ca="1" si="91"/>
        <v>0</v>
      </c>
      <c r="AC406" s="136">
        <f ca="1">IF(AB406&lt;=0,0,RANK(AB406,AB:AB)+COUNTIF($AB$3:$AB406,AB406)-1)</f>
        <v>0</v>
      </c>
      <c r="AD406" s="136">
        <f t="shared" si="92"/>
        <v>99999</v>
      </c>
      <c r="AE406" s="136">
        <f>IF(AD406=99999,0,RANK(AD406,AD:AD,1)+COUNTIF($AD$3:$AD406,AD406)-1)</f>
        <v>0</v>
      </c>
    </row>
    <row r="407" spans="1:31">
      <c r="A407" s="141">
        <f>'銀行-TSS'!A407</f>
        <v>0</v>
      </c>
      <c r="B407" s="151">
        <f ca="1">VLOOKUP(A407,'銀行-TSS'!A:B,2,FALSE)</f>
        <v>0</v>
      </c>
      <c r="C407" s="151" t="e">
        <f ca="1">VLOOKUP(B407,bond!B:C,2,FALSE)</f>
        <v>#N/A</v>
      </c>
      <c r="D407" s="95" t="e">
        <f>VLOOKUP(A407,'銀行-TSS'!A:C,3,FALSE)</f>
        <v>#N/A</v>
      </c>
      <c r="E407" s="90" t="e">
        <f ca="1">VLOOKUP(A407,'銀行-TSS'!A:G,7,FALSE)</f>
        <v>#N/A</v>
      </c>
      <c r="F407" s="202" t="e">
        <f ca="1">VLOOKUP(A407,'銀行-TSS'!A:H,8,FALSE)</f>
        <v>#N/A</v>
      </c>
      <c r="G407" s="96" t="e">
        <f ca="1">VLOOKUP(A407,'銀行-TSS'!A:K,11,FALSE)</f>
        <v>#N/A</v>
      </c>
      <c r="H407" s="1209" t="e">
        <f ca="1">VLOOKUP(A407,'銀行-TSS'!A:M,13,FALSE)</f>
        <v>#N/A</v>
      </c>
      <c r="I407" s="1213" t="e">
        <f ca="1">VLOOKUP(A407,'銀行-TSS'!A:N,14,FALSE)</f>
        <v>#N/A</v>
      </c>
      <c r="J407" s="1213" t="e">
        <f ca="1">VLOOKUP(A407,'銀行-TSS'!A:O,15,FALSE)</f>
        <v>#N/A</v>
      </c>
      <c r="K407" s="136" t="e">
        <f ca="1">VLOOKUP(A407,'銀行-TSS'!A:V,22,FALSE)</f>
        <v>#N/A</v>
      </c>
      <c r="L407" s="136" t="e">
        <f ca="1">VLOOKUP(A407,'銀行-TSS'!A:AK,37,FALSE)</f>
        <v>#N/A</v>
      </c>
      <c r="M407" s="136" t="str">
        <f ca="1">VLOOKUP(A407,'銀行-TSS'!A:AN,40,FALSE)</f>
        <v/>
      </c>
      <c r="N407" s="1211" t="e">
        <f t="shared" ca="1" si="82"/>
        <v>#N/A</v>
      </c>
      <c r="O407" s="1211" t="e">
        <f t="shared" ca="1" si="83"/>
        <v>#N/A</v>
      </c>
      <c r="P407" s="1213" t="e">
        <f ca="1">IF(AND(換券投組!$D$17&gt;=O407,換券投組!$D$13=D407),I407+INT((換券投組!$D$17-O407)/N407)*J407,0)</f>
        <v>#N/A</v>
      </c>
      <c r="Q407" s="1211" t="e">
        <f t="shared" ca="1" si="84"/>
        <v>#N/A</v>
      </c>
      <c r="R407" s="1213">
        <f t="shared" si="85"/>
        <v>0</v>
      </c>
      <c r="S407" s="1213">
        <f t="shared" si="86"/>
        <v>0</v>
      </c>
      <c r="T407" s="136">
        <f t="shared" si="88"/>
        <v>0</v>
      </c>
      <c r="U407" s="861">
        <f t="shared" si="89"/>
        <v>0</v>
      </c>
      <c r="V407" s="136" t="e">
        <f ca="1">IF(OR(D407&lt;&gt;"USD",L407="無",M407&lt;&gt;"",K407="高資產",IFERROR(MATCH(B407,換券投組!K:K,0),"N")&lt;&gt;"N",IFERROR(MATCH(B407,換券投組!J:J,0),"N")&lt;&gt;"N"),FALSE,IF($V$1="All",TRUE,IF(K407=$V$1,TRUE,FALSE)))</f>
        <v>#N/A</v>
      </c>
      <c r="W407" s="136" t="e">
        <f ca="1">VLOOKUP(A407,'銀行-TSS'!A:AO,41,FALSE)</f>
        <v>#N/A</v>
      </c>
      <c r="X407" s="136" t="e">
        <f ca="1">VLOOKUP(A407,'銀行-TSS'!A:AP,42,FALSE)</f>
        <v>#N/A</v>
      </c>
      <c r="Y407" s="1223">
        <f t="shared" si="87"/>
        <v>0</v>
      </c>
      <c r="Z407" s="1211">
        <f t="shared" si="90"/>
        <v>0</v>
      </c>
      <c r="AA407" s="136">
        <f>IF(Z407&lt;=0,0,RANK(Z407,Z:Z)+COUNTIF($Z$3:$Z407,Z407)-1)</f>
        <v>0</v>
      </c>
      <c r="AB407" s="1211">
        <f t="shared" ca="1" si="91"/>
        <v>0</v>
      </c>
      <c r="AC407" s="136">
        <f ca="1">IF(AB407&lt;=0,0,RANK(AB407,AB:AB)+COUNTIF($AB$3:$AB407,AB407)-1)</f>
        <v>0</v>
      </c>
      <c r="AD407" s="136">
        <f t="shared" si="92"/>
        <v>99999</v>
      </c>
      <c r="AE407" s="136">
        <f>IF(AD407=99999,0,RANK(AD407,AD:AD,1)+COUNTIF($AD$3:$AD407,AD407)-1)</f>
        <v>0</v>
      </c>
    </row>
    <row r="408" spans="1:31">
      <c r="A408" s="141">
        <f>'銀行-TSS'!A408</f>
        <v>0</v>
      </c>
      <c r="B408" s="151">
        <f ca="1">VLOOKUP(A408,'銀行-TSS'!A:B,2,FALSE)</f>
        <v>0</v>
      </c>
      <c r="C408" s="151" t="e">
        <f ca="1">VLOOKUP(B408,bond!B:C,2,FALSE)</f>
        <v>#N/A</v>
      </c>
      <c r="D408" s="95" t="e">
        <f>VLOOKUP(A408,'銀行-TSS'!A:C,3,FALSE)</f>
        <v>#N/A</v>
      </c>
      <c r="E408" s="90" t="e">
        <f ca="1">VLOOKUP(A408,'銀行-TSS'!A:G,7,FALSE)</f>
        <v>#N/A</v>
      </c>
      <c r="F408" s="202" t="e">
        <f ca="1">VLOOKUP(A408,'銀行-TSS'!A:H,8,FALSE)</f>
        <v>#N/A</v>
      </c>
      <c r="G408" s="96" t="e">
        <f ca="1">VLOOKUP(A408,'銀行-TSS'!A:K,11,FALSE)</f>
        <v>#N/A</v>
      </c>
      <c r="H408" s="1209" t="e">
        <f ca="1">VLOOKUP(A408,'銀行-TSS'!A:M,13,FALSE)</f>
        <v>#N/A</v>
      </c>
      <c r="I408" s="1213" t="e">
        <f ca="1">VLOOKUP(A408,'銀行-TSS'!A:N,14,FALSE)</f>
        <v>#N/A</v>
      </c>
      <c r="J408" s="1213" t="e">
        <f ca="1">VLOOKUP(A408,'銀行-TSS'!A:O,15,FALSE)</f>
        <v>#N/A</v>
      </c>
      <c r="K408" s="136" t="e">
        <f ca="1">VLOOKUP(A408,'銀行-TSS'!A:V,22,FALSE)</f>
        <v>#N/A</v>
      </c>
      <c r="L408" s="136" t="e">
        <f ca="1">VLOOKUP(A408,'銀行-TSS'!A:AK,37,FALSE)</f>
        <v>#N/A</v>
      </c>
      <c r="M408" s="136" t="str">
        <f ca="1">VLOOKUP(A408,'銀行-TSS'!A:AN,40,FALSE)</f>
        <v/>
      </c>
      <c r="N408" s="1211" t="e">
        <f t="shared" ca="1" si="82"/>
        <v>#N/A</v>
      </c>
      <c r="O408" s="1211" t="e">
        <f t="shared" ca="1" si="83"/>
        <v>#N/A</v>
      </c>
      <c r="P408" s="1213" t="e">
        <f ca="1">IF(AND(換券投組!$D$17&gt;=O408,換券投組!$D$13=D408),I408+INT((換券投組!$D$17-O408)/N408)*J408,0)</f>
        <v>#N/A</v>
      </c>
      <c r="Q408" s="1211" t="e">
        <f t="shared" ca="1" si="84"/>
        <v>#N/A</v>
      </c>
      <c r="R408" s="1213">
        <f t="shared" si="85"/>
        <v>0</v>
      </c>
      <c r="S408" s="1213">
        <f t="shared" si="86"/>
        <v>0</v>
      </c>
      <c r="T408" s="136">
        <f t="shared" si="88"/>
        <v>0</v>
      </c>
      <c r="U408" s="861">
        <f t="shared" si="89"/>
        <v>0</v>
      </c>
      <c r="V408" s="136" t="e">
        <f ca="1">IF(OR(D408&lt;&gt;"USD",L408="無",M408&lt;&gt;"",K408="高資產",IFERROR(MATCH(B408,換券投組!K:K,0),"N")&lt;&gt;"N",IFERROR(MATCH(B408,換券投組!J:J,0),"N")&lt;&gt;"N"),FALSE,IF($V$1="All",TRUE,IF(K408=$V$1,TRUE,FALSE)))</f>
        <v>#N/A</v>
      </c>
      <c r="W408" s="136" t="e">
        <f ca="1">VLOOKUP(A408,'銀行-TSS'!A:AO,41,FALSE)</f>
        <v>#N/A</v>
      </c>
      <c r="X408" s="136" t="e">
        <f ca="1">VLOOKUP(A408,'銀行-TSS'!A:AP,42,FALSE)</f>
        <v>#N/A</v>
      </c>
      <c r="Y408" s="1223">
        <f t="shared" si="87"/>
        <v>0</v>
      </c>
      <c r="Z408" s="1211">
        <f t="shared" si="90"/>
        <v>0</v>
      </c>
      <c r="AA408" s="136">
        <f>IF(Z408&lt;=0,0,RANK(Z408,Z:Z)+COUNTIF($Z$3:$Z408,Z408)-1)</f>
        <v>0</v>
      </c>
      <c r="AB408" s="1211">
        <f t="shared" ca="1" si="91"/>
        <v>0</v>
      </c>
      <c r="AC408" s="136">
        <f ca="1">IF(AB408&lt;=0,0,RANK(AB408,AB:AB)+COUNTIF($AB$3:$AB408,AB408)-1)</f>
        <v>0</v>
      </c>
      <c r="AD408" s="136">
        <f t="shared" si="92"/>
        <v>99999</v>
      </c>
      <c r="AE408" s="136">
        <f>IF(AD408=99999,0,RANK(AD408,AD:AD,1)+COUNTIF($AD$3:$AD408,AD408)-1)</f>
        <v>0</v>
      </c>
    </row>
    <row r="409" spans="1:31">
      <c r="A409" s="141">
        <f>'銀行-TSS'!A409</f>
        <v>0</v>
      </c>
      <c r="B409" s="151">
        <f ca="1">VLOOKUP(A409,'銀行-TSS'!A:B,2,FALSE)</f>
        <v>0</v>
      </c>
      <c r="C409" s="151" t="e">
        <f ca="1">VLOOKUP(B409,bond!B:C,2,FALSE)</f>
        <v>#N/A</v>
      </c>
      <c r="D409" s="95" t="e">
        <f>VLOOKUP(A409,'銀行-TSS'!A:C,3,FALSE)</f>
        <v>#N/A</v>
      </c>
      <c r="E409" s="90" t="e">
        <f ca="1">VLOOKUP(A409,'銀行-TSS'!A:G,7,FALSE)</f>
        <v>#N/A</v>
      </c>
      <c r="F409" s="202" t="e">
        <f ca="1">VLOOKUP(A409,'銀行-TSS'!A:H,8,FALSE)</f>
        <v>#N/A</v>
      </c>
      <c r="G409" s="96" t="e">
        <f ca="1">VLOOKUP(A409,'銀行-TSS'!A:K,11,FALSE)</f>
        <v>#N/A</v>
      </c>
      <c r="H409" s="1209" t="e">
        <f ca="1">VLOOKUP(A409,'銀行-TSS'!A:M,13,FALSE)</f>
        <v>#N/A</v>
      </c>
      <c r="I409" s="1213" t="e">
        <f ca="1">VLOOKUP(A409,'銀行-TSS'!A:N,14,FALSE)</f>
        <v>#N/A</v>
      </c>
      <c r="J409" s="1213" t="e">
        <f ca="1">VLOOKUP(A409,'銀行-TSS'!A:O,15,FALSE)</f>
        <v>#N/A</v>
      </c>
      <c r="K409" s="136" t="e">
        <f ca="1">VLOOKUP(A409,'銀行-TSS'!A:V,22,FALSE)</f>
        <v>#N/A</v>
      </c>
      <c r="L409" s="136" t="e">
        <f ca="1">VLOOKUP(A409,'銀行-TSS'!A:AK,37,FALSE)</f>
        <v>#N/A</v>
      </c>
      <c r="M409" s="136" t="str">
        <f ca="1">VLOOKUP(A409,'銀行-TSS'!A:AN,40,FALSE)</f>
        <v/>
      </c>
      <c r="N409" s="1211" t="e">
        <f t="shared" ca="1" si="82"/>
        <v>#N/A</v>
      </c>
      <c r="O409" s="1211" t="e">
        <f t="shared" ca="1" si="83"/>
        <v>#N/A</v>
      </c>
      <c r="P409" s="1213" t="e">
        <f ca="1">IF(AND(換券投組!$D$17&gt;=O409,換券投組!$D$13=D409),I409+INT((換券投組!$D$17-O409)/N409)*J409,0)</f>
        <v>#N/A</v>
      </c>
      <c r="Q409" s="1211" t="e">
        <f t="shared" ca="1" si="84"/>
        <v>#N/A</v>
      </c>
      <c r="R409" s="1213">
        <f t="shared" si="85"/>
        <v>0</v>
      </c>
      <c r="S409" s="1213">
        <f t="shared" si="86"/>
        <v>0</v>
      </c>
      <c r="T409" s="136">
        <f t="shared" si="88"/>
        <v>0</v>
      </c>
      <c r="U409" s="861">
        <f t="shared" si="89"/>
        <v>0</v>
      </c>
      <c r="V409" s="136" t="e">
        <f ca="1">IF(OR(D409&lt;&gt;"USD",L409="無",M409&lt;&gt;"",K409="高資產",IFERROR(MATCH(B409,換券投組!K:K,0),"N")&lt;&gt;"N",IFERROR(MATCH(B409,換券投組!J:J,0),"N")&lt;&gt;"N"),FALSE,IF($V$1="All",TRUE,IF(K409=$V$1,TRUE,FALSE)))</f>
        <v>#N/A</v>
      </c>
      <c r="W409" s="136" t="e">
        <f ca="1">VLOOKUP(A409,'銀行-TSS'!A:AO,41,FALSE)</f>
        <v>#N/A</v>
      </c>
      <c r="X409" s="136" t="e">
        <f ca="1">VLOOKUP(A409,'銀行-TSS'!A:AP,42,FALSE)</f>
        <v>#N/A</v>
      </c>
      <c r="Y409" s="1223">
        <f t="shared" si="87"/>
        <v>0</v>
      </c>
      <c r="Z409" s="1211">
        <f t="shared" si="90"/>
        <v>0</v>
      </c>
      <c r="AA409" s="136">
        <f>IF(Z409&lt;=0,0,RANK(Z409,Z:Z)+COUNTIF($Z$3:$Z409,Z409)-1)</f>
        <v>0</v>
      </c>
      <c r="AB409" s="1211">
        <f t="shared" ca="1" si="91"/>
        <v>0</v>
      </c>
      <c r="AC409" s="136">
        <f ca="1">IF(AB409&lt;=0,0,RANK(AB409,AB:AB)+COUNTIF($AB$3:$AB409,AB409)-1)</f>
        <v>0</v>
      </c>
      <c r="AD409" s="136">
        <f t="shared" si="92"/>
        <v>99999</v>
      </c>
      <c r="AE409" s="136">
        <f>IF(AD409=99999,0,RANK(AD409,AD:AD,1)+COUNTIF($AD$3:$AD409,AD409)-1)</f>
        <v>0</v>
      </c>
    </row>
    <row r="410" spans="1:31">
      <c r="A410" s="141">
        <f>'銀行-TSS'!A410</f>
        <v>0</v>
      </c>
      <c r="B410" s="151">
        <f ca="1">VLOOKUP(A410,'銀行-TSS'!A:B,2,FALSE)</f>
        <v>0</v>
      </c>
      <c r="C410" s="151" t="e">
        <f ca="1">VLOOKUP(B410,bond!B:C,2,FALSE)</f>
        <v>#N/A</v>
      </c>
      <c r="D410" s="95" t="e">
        <f>VLOOKUP(A410,'銀行-TSS'!A:C,3,FALSE)</f>
        <v>#N/A</v>
      </c>
      <c r="E410" s="90" t="e">
        <f ca="1">VLOOKUP(A410,'銀行-TSS'!A:G,7,FALSE)</f>
        <v>#N/A</v>
      </c>
      <c r="F410" s="202" t="e">
        <f ca="1">VLOOKUP(A410,'銀行-TSS'!A:H,8,FALSE)</f>
        <v>#N/A</v>
      </c>
      <c r="G410" s="96" t="e">
        <f ca="1">VLOOKUP(A410,'銀行-TSS'!A:K,11,FALSE)</f>
        <v>#N/A</v>
      </c>
      <c r="H410" s="1209" t="e">
        <f ca="1">VLOOKUP(A410,'銀行-TSS'!A:M,13,FALSE)</f>
        <v>#N/A</v>
      </c>
      <c r="I410" s="1213" t="e">
        <f ca="1">VLOOKUP(A410,'銀行-TSS'!A:N,14,FALSE)</f>
        <v>#N/A</v>
      </c>
      <c r="J410" s="1213" t="e">
        <f ca="1">VLOOKUP(A410,'銀行-TSS'!A:O,15,FALSE)</f>
        <v>#N/A</v>
      </c>
      <c r="K410" s="136" t="e">
        <f ca="1">VLOOKUP(A410,'銀行-TSS'!A:V,22,FALSE)</f>
        <v>#N/A</v>
      </c>
      <c r="L410" s="136" t="e">
        <f ca="1">VLOOKUP(A410,'銀行-TSS'!A:AK,37,FALSE)</f>
        <v>#N/A</v>
      </c>
      <c r="M410" s="136" t="str">
        <f ca="1">VLOOKUP(A410,'銀行-TSS'!A:AN,40,FALSE)</f>
        <v/>
      </c>
      <c r="N410" s="1211" t="e">
        <f t="shared" ca="1" si="82"/>
        <v>#N/A</v>
      </c>
      <c r="O410" s="1211" t="e">
        <f t="shared" ca="1" si="83"/>
        <v>#N/A</v>
      </c>
      <c r="P410" s="1213" t="e">
        <f ca="1">IF(AND(換券投組!$D$17&gt;=O410,換券投組!$D$13=D410),I410+INT((換券投組!$D$17-O410)/N410)*J410,0)</f>
        <v>#N/A</v>
      </c>
      <c r="Q410" s="1211" t="e">
        <f t="shared" ca="1" si="84"/>
        <v>#N/A</v>
      </c>
      <c r="R410" s="1213">
        <f t="shared" si="85"/>
        <v>0</v>
      </c>
      <c r="S410" s="1213">
        <f t="shared" si="86"/>
        <v>0</v>
      </c>
      <c r="T410" s="136">
        <f t="shared" si="88"/>
        <v>0</v>
      </c>
      <c r="U410" s="861">
        <f t="shared" si="89"/>
        <v>0</v>
      </c>
      <c r="V410" s="136" t="e">
        <f ca="1">IF(OR(D410&lt;&gt;"USD",L410="無",M410&lt;&gt;"",K410="高資產",IFERROR(MATCH(B410,換券投組!K:K,0),"N")&lt;&gt;"N",IFERROR(MATCH(B410,換券投組!J:J,0),"N")&lt;&gt;"N"),FALSE,IF($V$1="All",TRUE,IF(K410=$V$1,TRUE,FALSE)))</f>
        <v>#N/A</v>
      </c>
      <c r="W410" s="136" t="e">
        <f ca="1">VLOOKUP(A410,'銀行-TSS'!A:AO,41,FALSE)</f>
        <v>#N/A</v>
      </c>
      <c r="X410" s="136" t="e">
        <f ca="1">VLOOKUP(A410,'銀行-TSS'!A:AP,42,FALSE)</f>
        <v>#N/A</v>
      </c>
      <c r="Y410" s="1223">
        <f t="shared" si="87"/>
        <v>0</v>
      </c>
      <c r="Z410" s="1211">
        <f t="shared" si="90"/>
        <v>0</v>
      </c>
      <c r="AA410" s="136">
        <f>IF(Z410&lt;=0,0,RANK(Z410,Z:Z)+COUNTIF($Z$3:$Z410,Z410)-1)</f>
        <v>0</v>
      </c>
      <c r="AB410" s="1211">
        <f t="shared" ca="1" si="91"/>
        <v>0</v>
      </c>
      <c r="AC410" s="136">
        <f ca="1">IF(AB410&lt;=0,0,RANK(AB410,AB:AB)+COUNTIF($AB$3:$AB410,AB410)-1)</f>
        <v>0</v>
      </c>
      <c r="AD410" s="136">
        <f t="shared" si="92"/>
        <v>99999</v>
      </c>
      <c r="AE410" s="136">
        <f>IF(AD410=99999,0,RANK(AD410,AD:AD,1)+COUNTIF($AD$3:$AD410,AD410)-1)</f>
        <v>0</v>
      </c>
    </row>
    <row r="411" spans="1:31">
      <c r="A411" s="141">
        <f>'銀行-TSS'!A411</f>
        <v>0</v>
      </c>
      <c r="B411" s="151">
        <f ca="1">VLOOKUP(A411,'銀行-TSS'!A:B,2,FALSE)</f>
        <v>0</v>
      </c>
      <c r="C411" s="151" t="e">
        <f ca="1">VLOOKUP(B411,bond!B:C,2,FALSE)</f>
        <v>#N/A</v>
      </c>
      <c r="D411" s="95" t="e">
        <f>VLOOKUP(A411,'銀行-TSS'!A:C,3,FALSE)</f>
        <v>#N/A</v>
      </c>
      <c r="E411" s="90" t="e">
        <f ca="1">VLOOKUP(A411,'銀行-TSS'!A:G,7,FALSE)</f>
        <v>#N/A</v>
      </c>
      <c r="F411" s="202" t="e">
        <f ca="1">VLOOKUP(A411,'銀行-TSS'!A:H,8,FALSE)</f>
        <v>#N/A</v>
      </c>
      <c r="G411" s="96" t="e">
        <f ca="1">VLOOKUP(A411,'銀行-TSS'!A:K,11,FALSE)</f>
        <v>#N/A</v>
      </c>
      <c r="H411" s="1209" t="e">
        <f ca="1">VLOOKUP(A411,'銀行-TSS'!A:M,13,FALSE)</f>
        <v>#N/A</v>
      </c>
      <c r="I411" s="1213" t="e">
        <f ca="1">VLOOKUP(A411,'銀行-TSS'!A:N,14,FALSE)</f>
        <v>#N/A</v>
      </c>
      <c r="J411" s="1213" t="e">
        <f ca="1">VLOOKUP(A411,'銀行-TSS'!A:O,15,FALSE)</f>
        <v>#N/A</v>
      </c>
      <c r="K411" s="136" t="e">
        <f ca="1">VLOOKUP(A411,'銀行-TSS'!A:V,22,FALSE)</f>
        <v>#N/A</v>
      </c>
      <c r="L411" s="136" t="e">
        <f ca="1">VLOOKUP(A411,'銀行-TSS'!A:AK,37,FALSE)</f>
        <v>#N/A</v>
      </c>
      <c r="M411" s="136" t="str">
        <f ca="1">VLOOKUP(A411,'銀行-TSS'!A:AN,40,FALSE)</f>
        <v/>
      </c>
      <c r="N411" s="1211" t="e">
        <f t="shared" ca="1" si="82"/>
        <v>#N/A</v>
      </c>
      <c r="O411" s="1211" t="e">
        <f t="shared" ca="1" si="83"/>
        <v>#N/A</v>
      </c>
      <c r="P411" s="1213" t="e">
        <f ca="1">IF(AND(換券投組!$D$17&gt;=O411,換券投組!$D$13=D411),I411+INT((換券投組!$D$17-O411)/N411)*J411,0)</f>
        <v>#N/A</v>
      </c>
      <c r="Q411" s="1211" t="e">
        <f t="shared" ca="1" si="84"/>
        <v>#N/A</v>
      </c>
      <c r="R411" s="1213">
        <f t="shared" si="85"/>
        <v>0</v>
      </c>
      <c r="S411" s="1213">
        <f t="shared" si="86"/>
        <v>0</v>
      </c>
      <c r="T411" s="136">
        <f t="shared" si="88"/>
        <v>0</v>
      </c>
      <c r="U411" s="861">
        <f t="shared" si="89"/>
        <v>0</v>
      </c>
      <c r="V411" s="136" t="e">
        <f ca="1">IF(OR(D411&lt;&gt;"USD",L411="無",M411&lt;&gt;"",K411="高資產",IFERROR(MATCH(B411,換券投組!K:K,0),"N")&lt;&gt;"N",IFERROR(MATCH(B411,換券投組!J:J,0),"N")&lt;&gt;"N"),FALSE,IF($V$1="All",TRUE,IF(K411=$V$1,TRUE,FALSE)))</f>
        <v>#N/A</v>
      </c>
      <c r="W411" s="136" t="e">
        <f ca="1">VLOOKUP(A411,'銀行-TSS'!A:AO,41,FALSE)</f>
        <v>#N/A</v>
      </c>
      <c r="X411" s="136" t="e">
        <f ca="1">VLOOKUP(A411,'銀行-TSS'!A:AP,42,FALSE)</f>
        <v>#N/A</v>
      </c>
      <c r="Y411" s="1223">
        <f t="shared" si="87"/>
        <v>0</v>
      </c>
      <c r="Z411" s="1211">
        <f t="shared" si="90"/>
        <v>0</v>
      </c>
      <c r="AA411" s="136">
        <f>IF(Z411&lt;=0,0,RANK(Z411,Z:Z)+COUNTIF($Z$3:$Z411,Z411)-1)</f>
        <v>0</v>
      </c>
      <c r="AB411" s="1211">
        <f t="shared" ca="1" si="91"/>
        <v>0</v>
      </c>
      <c r="AC411" s="136">
        <f ca="1">IF(AB411&lt;=0,0,RANK(AB411,AB:AB)+COUNTIF($AB$3:$AB411,AB411)-1)</f>
        <v>0</v>
      </c>
      <c r="AD411" s="136">
        <f t="shared" si="92"/>
        <v>99999</v>
      </c>
      <c r="AE411" s="136">
        <f>IF(AD411=99999,0,RANK(AD411,AD:AD,1)+COUNTIF($AD$3:$AD411,AD411)-1)</f>
        <v>0</v>
      </c>
    </row>
    <row r="412" spans="1:31">
      <c r="A412" s="141">
        <f>'銀行-TSS'!A412</f>
        <v>0</v>
      </c>
      <c r="B412" s="151">
        <f ca="1">VLOOKUP(A412,'銀行-TSS'!A:B,2,FALSE)</f>
        <v>0</v>
      </c>
      <c r="C412" s="151" t="e">
        <f ca="1">VLOOKUP(B412,bond!B:C,2,FALSE)</f>
        <v>#N/A</v>
      </c>
      <c r="D412" s="95" t="e">
        <f>VLOOKUP(A412,'銀行-TSS'!A:C,3,FALSE)</f>
        <v>#N/A</v>
      </c>
      <c r="E412" s="90" t="e">
        <f ca="1">VLOOKUP(A412,'銀行-TSS'!A:G,7,FALSE)</f>
        <v>#N/A</v>
      </c>
      <c r="F412" s="202" t="e">
        <f ca="1">VLOOKUP(A412,'銀行-TSS'!A:H,8,FALSE)</f>
        <v>#N/A</v>
      </c>
      <c r="G412" s="96" t="e">
        <f ca="1">VLOOKUP(A412,'銀行-TSS'!A:K,11,FALSE)</f>
        <v>#N/A</v>
      </c>
      <c r="H412" s="1209" t="e">
        <f ca="1">VLOOKUP(A412,'銀行-TSS'!A:M,13,FALSE)</f>
        <v>#N/A</v>
      </c>
      <c r="I412" s="1213" t="e">
        <f ca="1">VLOOKUP(A412,'銀行-TSS'!A:N,14,FALSE)</f>
        <v>#N/A</v>
      </c>
      <c r="J412" s="1213" t="e">
        <f ca="1">VLOOKUP(A412,'銀行-TSS'!A:O,15,FALSE)</f>
        <v>#N/A</v>
      </c>
      <c r="K412" s="136" t="e">
        <f ca="1">VLOOKUP(A412,'銀行-TSS'!A:V,22,FALSE)</f>
        <v>#N/A</v>
      </c>
      <c r="L412" s="136" t="e">
        <f ca="1">VLOOKUP(A412,'銀行-TSS'!A:AK,37,FALSE)</f>
        <v>#N/A</v>
      </c>
      <c r="M412" s="136" t="str">
        <f ca="1">VLOOKUP(A412,'銀行-TSS'!A:AN,40,FALSE)</f>
        <v/>
      </c>
      <c r="N412" s="1211" t="e">
        <f t="shared" ca="1" si="82"/>
        <v>#N/A</v>
      </c>
      <c r="O412" s="1211" t="e">
        <f t="shared" ca="1" si="83"/>
        <v>#N/A</v>
      </c>
      <c r="P412" s="1213" t="e">
        <f ca="1">IF(AND(換券投組!$D$17&gt;=O412,換券投組!$D$13=D412),I412+INT((換券投組!$D$17-O412)/N412)*J412,0)</f>
        <v>#N/A</v>
      </c>
      <c r="Q412" s="1211" t="e">
        <f t="shared" ca="1" si="84"/>
        <v>#N/A</v>
      </c>
      <c r="R412" s="1213">
        <f t="shared" si="85"/>
        <v>0</v>
      </c>
      <c r="S412" s="1213">
        <f t="shared" si="86"/>
        <v>0</v>
      </c>
      <c r="T412" s="136">
        <f t="shared" si="88"/>
        <v>0</v>
      </c>
      <c r="U412" s="861">
        <f t="shared" si="89"/>
        <v>0</v>
      </c>
      <c r="V412" s="136" t="e">
        <f ca="1">IF(OR(D412&lt;&gt;"USD",L412="無",M412&lt;&gt;"",K412="高資產",IFERROR(MATCH(B412,換券投組!K:K,0),"N")&lt;&gt;"N",IFERROR(MATCH(B412,換券投組!J:J,0),"N")&lt;&gt;"N"),FALSE,IF($V$1="All",TRUE,IF(K412=$V$1,TRUE,FALSE)))</f>
        <v>#N/A</v>
      </c>
      <c r="W412" s="136" t="e">
        <f ca="1">VLOOKUP(A412,'銀行-TSS'!A:AO,41,FALSE)</f>
        <v>#N/A</v>
      </c>
      <c r="X412" s="136" t="e">
        <f ca="1">VLOOKUP(A412,'銀行-TSS'!A:AP,42,FALSE)</f>
        <v>#N/A</v>
      </c>
      <c r="Y412" s="1223">
        <f t="shared" si="87"/>
        <v>0</v>
      </c>
      <c r="Z412" s="1211">
        <f t="shared" si="90"/>
        <v>0</v>
      </c>
      <c r="AA412" s="136">
        <f>IF(Z412&lt;=0,0,RANK(Z412,Z:Z)+COUNTIF($Z$3:$Z412,Z412)-1)</f>
        <v>0</v>
      </c>
      <c r="AB412" s="1211">
        <f t="shared" ca="1" si="91"/>
        <v>0</v>
      </c>
      <c r="AC412" s="136">
        <f ca="1">IF(AB412&lt;=0,0,RANK(AB412,AB:AB)+COUNTIF($AB$3:$AB412,AB412)-1)</f>
        <v>0</v>
      </c>
      <c r="AD412" s="136">
        <f t="shared" si="92"/>
        <v>99999</v>
      </c>
      <c r="AE412" s="136">
        <f>IF(AD412=99999,0,RANK(AD412,AD:AD,1)+COUNTIF($AD$3:$AD412,AD412)-1)</f>
        <v>0</v>
      </c>
    </row>
    <row r="413" spans="1:31">
      <c r="A413" s="141">
        <f>'銀行-TSS'!A413</f>
        <v>0</v>
      </c>
      <c r="B413" s="151">
        <f ca="1">VLOOKUP(A413,'銀行-TSS'!A:B,2,FALSE)</f>
        <v>0</v>
      </c>
      <c r="C413" s="151" t="e">
        <f ca="1">VLOOKUP(B413,bond!B:C,2,FALSE)</f>
        <v>#N/A</v>
      </c>
      <c r="D413" s="95" t="e">
        <f>VLOOKUP(A413,'銀行-TSS'!A:C,3,FALSE)</f>
        <v>#N/A</v>
      </c>
      <c r="E413" s="90" t="e">
        <f ca="1">VLOOKUP(A413,'銀行-TSS'!A:G,7,FALSE)</f>
        <v>#N/A</v>
      </c>
      <c r="F413" s="202" t="e">
        <f ca="1">VLOOKUP(A413,'銀行-TSS'!A:H,8,FALSE)</f>
        <v>#N/A</v>
      </c>
      <c r="G413" s="96" t="e">
        <f ca="1">VLOOKUP(A413,'銀行-TSS'!A:K,11,FALSE)</f>
        <v>#N/A</v>
      </c>
      <c r="H413" s="1209" t="e">
        <f ca="1">VLOOKUP(A413,'銀行-TSS'!A:M,13,FALSE)</f>
        <v>#N/A</v>
      </c>
      <c r="I413" s="1213" t="e">
        <f ca="1">VLOOKUP(A413,'銀行-TSS'!A:N,14,FALSE)</f>
        <v>#N/A</v>
      </c>
      <c r="J413" s="1213" t="e">
        <f ca="1">VLOOKUP(A413,'銀行-TSS'!A:O,15,FALSE)</f>
        <v>#N/A</v>
      </c>
      <c r="K413" s="136" t="e">
        <f ca="1">VLOOKUP(A413,'銀行-TSS'!A:V,22,FALSE)</f>
        <v>#N/A</v>
      </c>
      <c r="L413" s="136" t="e">
        <f ca="1">VLOOKUP(A413,'銀行-TSS'!A:AK,37,FALSE)</f>
        <v>#N/A</v>
      </c>
      <c r="M413" s="136" t="str">
        <f ca="1">VLOOKUP(A413,'銀行-TSS'!A:AN,40,FALSE)</f>
        <v/>
      </c>
      <c r="N413" s="1211" t="e">
        <f t="shared" ca="1" si="82"/>
        <v>#N/A</v>
      </c>
      <c r="O413" s="1211" t="e">
        <f t="shared" ca="1" si="83"/>
        <v>#N/A</v>
      </c>
      <c r="P413" s="1213" t="e">
        <f ca="1">IF(AND(換券投組!$D$17&gt;=O413,換券投組!$D$13=D413),I413+INT((換券投組!$D$17-O413)/N413)*J413,0)</f>
        <v>#N/A</v>
      </c>
      <c r="Q413" s="1211" t="e">
        <f t="shared" ca="1" si="84"/>
        <v>#N/A</v>
      </c>
      <c r="R413" s="1213">
        <f t="shared" si="85"/>
        <v>0</v>
      </c>
      <c r="S413" s="1213">
        <f t="shared" si="86"/>
        <v>0</v>
      </c>
      <c r="T413" s="136">
        <f t="shared" si="88"/>
        <v>0</v>
      </c>
      <c r="U413" s="861">
        <f t="shared" si="89"/>
        <v>0</v>
      </c>
      <c r="V413" s="136" t="e">
        <f ca="1">IF(OR(D413&lt;&gt;"USD",L413="無",M413&lt;&gt;"",K413="高資產",IFERROR(MATCH(B413,換券投組!K:K,0),"N")&lt;&gt;"N",IFERROR(MATCH(B413,換券投組!J:J,0),"N")&lt;&gt;"N"),FALSE,IF($V$1="All",TRUE,IF(K413=$V$1,TRUE,FALSE)))</f>
        <v>#N/A</v>
      </c>
      <c r="W413" s="136" t="e">
        <f ca="1">VLOOKUP(A413,'銀行-TSS'!A:AO,41,FALSE)</f>
        <v>#N/A</v>
      </c>
      <c r="X413" s="136" t="e">
        <f ca="1">VLOOKUP(A413,'銀行-TSS'!A:AP,42,FALSE)</f>
        <v>#N/A</v>
      </c>
      <c r="Y413" s="1223">
        <f t="shared" si="87"/>
        <v>0</v>
      </c>
      <c r="Z413" s="1211">
        <f t="shared" si="90"/>
        <v>0</v>
      </c>
      <c r="AA413" s="136">
        <f>IF(Z413&lt;=0,0,RANK(Z413,Z:Z)+COUNTIF($Z$3:$Z413,Z413)-1)</f>
        <v>0</v>
      </c>
      <c r="AB413" s="1211">
        <f t="shared" ca="1" si="91"/>
        <v>0</v>
      </c>
      <c r="AC413" s="136">
        <f ca="1">IF(AB413&lt;=0,0,RANK(AB413,AB:AB)+COUNTIF($AB$3:$AB413,AB413)-1)</f>
        <v>0</v>
      </c>
      <c r="AD413" s="136">
        <f t="shared" si="92"/>
        <v>99999</v>
      </c>
      <c r="AE413" s="136">
        <f>IF(AD413=99999,0,RANK(AD413,AD:AD,1)+COUNTIF($AD$3:$AD413,AD413)-1)</f>
        <v>0</v>
      </c>
    </row>
    <row r="414" spans="1:31">
      <c r="A414" s="141">
        <f>'銀行-TSS'!A414</f>
        <v>0</v>
      </c>
      <c r="B414" s="151">
        <f ca="1">VLOOKUP(A414,'銀行-TSS'!A:B,2,FALSE)</f>
        <v>0</v>
      </c>
      <c r="C414" s="151" t="e">
        <f ca="1">VLOOKUP(B414,bond!B:C,2,FALSE)</f>
        <v>#N/A</v>
      </c>
      <c r="D414" s="95" t="e">
        <f>VLOOKUP(A414,'銀行-TSS'!A:C,3,FALSE)</f>
        <v>#N/A</v>
      </c>
      <c r="E414" s="90" t="e">
        <f ca="1">VLOOKUP(A414,'銀行-TSS'!A:G,7,FALSE)</f>
        <v>#N/A</v>
      </c>
      <c r="F414" s="202" t="e">
        <f ca="1">VLOOKUP(A414,'銀行-TSS'!A:H,8,FALSE)</f>
        <v>#N/A</v>
      </c>
      <c r="G414" s="96" t="e">
        <f ca="1">VLOOKUP(A414,'銀行-TSS'!A:K,11,FALSE)</f>
        <v>#N/A</v>
      </c>
      <c r="H414" s="1209" t="e">
        <f ca="1">VLOOKUP(A414,'銀行-TSS'!A:M,13,FALSE)</f>
        <v>#N/A</v>
      </c>
      <c r="I414" s="1213" t="e">
        <f ca="1">VLOOKUP(A414,'銀行-TSS'!A:N,14,FALSE)</f>
        <v>#N/A</v>
      </c>
      <c r="J414" s="1213" t="e">
        <f ca="1">VLOOKUP(A414,'銀行-TSS'!A:O,15,FALSE)</f>
        <v>#N/A</v>
      </c>
      <c r="K414" s="136" t="e">
        <f ca="1">VLOOKUP(A414,'銀行-TSS'!A:V,22,FALSE)</f>
        <v>#N/A</v>
      </c>
      <c r="L414" s="136" t="e">
        <f ca="1">VLOOKUP(A414,'銀行-TSS'!A:AK,37,FALSE)</f>
        <v>#N/A</v>
      </c>
      <c r="M414" s="136" t="str">
        <f ca="1">VLOOKUP(A414,'銀行-TSS'!A:AN,40,FALSE)</f>
        <v/>
      </c>
      <c r="N414" s="1211" t="e">
        <f t="shared" ca="1" si="82"/>
        <v>#N/A</v>
      </c>
      <c r="O414" s="1211" t="e">
        <f t="shared" ca="1" si="83"/>
        <v>#N/A</v>
      </c>
      <c r="P414" s="1213" t="e">
        <f ca="1">IF(AND(換券投組!$D$17&gt;=O414,換券投組!$D$13=D414),I414+INT((換券投組!$D$17-O414)/N414)*J414,0)</f>
        <v>#N/A</v>
      </c>
      <c r="Q414" s="1211" t="e">
        <f t="shared" ca="1" si="84"/>
        <v>#N/A</v>
      </c>
      <c r="R414" s="1213">
        <f t="shared" si="85"/>
        <v>0</v>
      </c>
      <c r="S414" s="1213">
        <f t="shared" si="86"/>
        <v>0</v>
      </c>
      <c r="T414" s="136">
        <f t="shared" si="88"/>
        <v>0</v>
      </c>
      <c r="U414" s="861">
        <f t="shared" si="89"/>
        <v>0</v>
      </c>
      <c r="V414" s="136" t="e">
        <f ca="1">IF(OR(D414&lt;&gt;"USD",L414="無",M414&lt;&gt;"",K414="高資產",IFERROR(MATCH(B414,換券投組!K:K,0),"N")&lt;&gt;"N",IFERROR(MATCH(B414,換券投組!J:J,0),"N")&lt;&gt;"N"),FALSE,IF($V$1="All",TRUE,IF(K414=$V$1,TRUE,FALSE)))</f>
        <v>#N/A</v>
      </c>
      <c r="W414" s="136" t="e">
        <f ca="1">VLOOKUP(A414,'銀行-TSS'!A:AO,41,FALSE)</f>
        <v>#N/A</v>
      </c>
      <c r="X414" s="136" t="e">
        <f ca="1">VLOOKUP(A414,'銀行-TSS'!A:AP,42,FALSE)</f>
        <v>#N/A</v>
      </c>
      <c r="Y414" s="1223">
        <f t="shared" si="87"/>
        <v>0</v>
      </c>
      <c r="Z414" s="1211">
        <f t="shared" si="90"/>
        <v>0</v>
      </c>
      <c r="AA414" s="136">
        <f>IF(Z414&lt;=0,0,RANK(Z414,Z:Z)+COUNTIF($Z$3:$Z414,Z414)-1)</f>
        <v>0</v>
      </c>
      <c r="AB414" s="1211">
        <f t="shared" ca="1" si="91"/>
        <v>0</v>
      </c>
      <c r="AC414" s="136">
        <f ca="1">IF(AB414&lt;=0,0,RANK(AB414,AB:AB)+COUNTIF($AB$3:$AB414,AB414)-1)</f>
        <v>0</v>
      </c>
      <c r="AD414" s="136">
        <f t="shared" si="92"/>
        <v>99999</v>
      </c>
      <c r="AE414" s="136">
        <f>IF(AD414=99999,0,RANK(AD414,AD:AD,1)+COUNTIF($AD$3:$AD414,AD414)-1)</f>
        <v>0</v>
      </c>
    </row>
    <row r="415" spans="1:31">
      <c r="A415" s="141">
        <f>'銀行-TSS'!A415</f>
        <v>0</v>
      </c>
      <c r="B415" s="151">
        <f ca="1">VLOOKUP(A415,'銀行-TSS'!A:B,2,FALSE)</f>
        <v>0</v>
      </c>
      <c r="C415" s="151" t="e">
        <f ca="1">VLOOKUP(B415,bond!B:C,2,FALSE)</f>
        <v>#N/A</v>
      </c>
      <c r="D415" s="95" t="e">
        <f>VLOOKUP(A415,'銀行-TSS'!A:C,3,FALSE)</f>
        <v>#N/A</v>
      </c>
      <c r="E415" s="90" t="e">
        <f ca="1">VLOOKUP(A415,'銀行-TSS'!A:G,7,FALSE)</f>
        <v>#N/A</v>
      </c>
      <c r="F415" s="202" t="e">
        <f ca="1">VLOOKUP(A415,'銀行-TSS'!A:H,8,FALSE)</f>
        <v>#N/A</v>
      </c>
      <c r="G415" s="96" t="e">
        <f ca="1">VLOOKUP(A415,'銀行-TSS'!A:K,11,FALSE)</f>
        <v>#N/A</v>
      </c>
      <c r="H415" s="1209" t="e">
        <f ca="1">VLOOKUP(A415,'銀行-TSS'!A:M,13,FALSE)</f>
        <v>#N/A</v>
      </c>
      <c r="I415" s="1213" t="e">
        <f ca="1">VLOOKUP(A415,'銀行-TSS'!A:N,14,FALSE)</f>
        <v>#N/A</v>
      </c>
      <c r="J415" s="1213" t="e">
        <f ca="1">VLOOKUP(A415,'銀行-TSS'!A:O,15,FALSE)</f>
        <v>#N/A</v>
      </c>
      <c r="K415" s="136" t="e">
        <f ca="1">VLOOKUP(A415,'銀行-TSS'!A:V,22,FALSE)</f>
        <v>#N/A</v>
      </c>
      <c r="L415" s="136" t="e">
        <f ca="1">VLOOKUP(A415,'銀行-TSS'!A:AK,37,FALSE)</f>
        <v>#N/A</v>
      </c>
      <c r="M415" s="136" t="str">
        <f ca="1">VLOOKUP(A415,'銀行-TSS'!A:AN,40,FALSE)</f>
        <v/>
      </c>
      <c r="N415" s="1211" t="e">
        <f t="shared" ca="1" si="82"/>
        <v>#N/A</v>
      </c>
      <c r="O415" s="1211" t="e">
        <f t="shared" ca="1" si="83"/>
        <v>#N/A</v>
      </c>
      <c r="P415" s="1213" t="e">
        <f ca="1">IF(AND(換券投組!$D$17&gt;=O415,換券投組!$D$13=D415),I415+INT((換券投組!$D$17-O415)/N415)*J415,0)</f>
        <v>#N/A</v>
      </c>
      <c r="Q415" s="1211" t="e">
        <f t="shared" ca="1" si="84"/>
        <v>#N/A</v>
      </c>
      <c r="R415" s="1213">
        <f t="shared" si="85"/>
        <v>0</v>
      </c>
      <c r="S415" s="1213">
        <f t="shared" si="86"/>
        <v>0</v>
      </c>
      <c r="T415" s="136">
        <f t="shared" si="88"/>
        <v>0</v>
      </c>
      <c r="U415" s="861">
        <f t="shared" si="89"/>
        <v>0</v>
      </c>
      <c r="V415" s="136" t="e">
        <f ca="1">IF(OR(D415&lt;&gt;"USD",L415="無",M415&lt;&gt;"",K415="高資產",IFERROR(MATCH(B415,換券投組!K:K,0),"N")&lt;&gt;"N",IFERROR(MATCH(B415,換券投組!J:J,0),"N")&lt;&gt;"N"),FALSE,IF($V$1="All",TRUE,IF(K415=$V$1,TRUE,FALSE)))</f>
        <v>#N/A</v>
      </c>
      <c r="W415" s="136" t="e">
        <f ca="1">VLOOKUP(A415,'銀行-TSS'!A:AO,41,FALSE)</f>
        <v>#N/A</v>
      </c>
      <c r="X415" s="136" t="e">
        <f ca="1">VLOOKUP(A415,'銀行-TSS'!A:AP,42,FALSE)</f>
        <v>#N/A</v>
      </c>
      <c r="Y415" s="1223">
        <f t="shared" si="87"/>
        <v>0</v>
      </c>
      <c r="Z415" s="1211">
        <f t="shared" si="90"/>
        <v>0</v>
      </c>
      <c r="AA415" s="136">
        <f>IF(Z415&lt;=0,0,RANK(Z415,Z:Z)+COUNTIF($Z$3:$Z415,Z415)-1)</f>
        <v>0</v>
      </c>
      <c r="AB415" s="1211">
        <f t="shared" ca="1" si="91"/>
        <v>0</v>
      </c>
      <c r="AC415" s="136">
        <f ca="1">IF(AB415&lt;=0,0,RANK(AB415,AB:AB)+COUNTIF($AB$3:$AB415,AB415)-1)</f>
        <v>0</v>
      </c>
      <c r="AD415" s="136">
        <f t="shared" si="92"/>
        <v>99999</v>
      </c>
      <c r="AE415" s="136">
        <f>IF(AD415=99999,0,RANK(AD415,AD:AD,1)+COUNTIF($AD$3:$AD415,AD415)-1)</f>
        <v>0</v>
      </c>
    </row>
    <row r="416" spans="1:31">
      <c r="A416" s="141">
        <f>'銀行-TSS'!A416</f>
        <v>0</v>
      </c>
      <c r="B416" s="151">
        <f ca="1">VLOOKUP(A416,'銀行-TSS'!A:B,2,FALSE)</f>
        <v>0</v>
      </c>
      <c r="C416" s="151" t="e">
        <f ca="1">VLOOKUP(B416,bond!B:C,2,FALSE)</f>
        <v>#N/A</v>
      </c>
      <c r="D416" s="95" t="e">
        <f>VLOOKUP(A416,'銀行-TSS'!A:C,3,FALSE)</f>
        <v>#N/A</v>
      </c>
      <c r="E416" s="90" t="e">
        <f ca="1">VLOOKUP(A416,'銀行-TSS'!A:G,7,FALSE)</f>
        <v>#N/A</v>
      </c>
      <c r="F416" s="202" t="e">
        <f ca="1">VLOOKUP(A416,'銀行-TSS'!A:H,8,FALSE)</f>
        <v>#N/A</v>
      </c>
      <c r="G416" s="96" t="e">
        <f ca="1">VLOOKUP(A416,'銀行-TSS'!A:K,11,FALSE)</f>
        <v>#N/A</v>
      </c>
      <c r="H416" s="1209" t="e">
        <f ca="1">VLOOKUP(A416,'銀行-TSS'!A:M,13,FALSE)</f>
        <v>#N/A</v>
      </c>
      <c r="I416" s="1213" t="e">
        <f ca="1">VLOOKUP(A416,'銀行-TSS'!A:N,14,FALSE)</f>
        <v>#N/A</v>
      </c>
      <c r="J416" s="1213" t="e">
        <f ca="1">VLOOKUP(A416,'銀行-TSS'!A:O,15,FALSE)</f>
        <v>#N/A</v>
      </c>
      <c r="K416" s="136" t="e">
        <f ca="1">VLOOKUP(A416,'銀行-TSS'!A:V,22,FALSE)</f>
        <v>#N/A</v>
      </c>
      <c r="L416" s="136" t="e">
        <f ca="1">VLOOKUP(A416,'銀行-TSS'!A:AK,37,FALSE)</f>
        <v>#N/A</v>
      </c>
      <c r="M416" s="136" t="str">
        <f ca="1">VLOOKUP(A416,'銀行-TSS'!A:AN,40,FALSE)</f>
        <v/>
      </c>
      <c r="N416" s="1211" t="e">
        <f t="shared" ca="1" si="82"/>
        <v>#N/A</v>
      </c>
      <c r="O416" s="1211" t="e">
        <f t="shared" ca="1" si="83"/>
        <v>#N/A</v>
      </c>
      <c r="P416" s="1213" t="e">
        <f ca="1">IF(AND(換券投組!$D$17&gt;=O416,換券投組!$D$13=D416),I416+INT((換券投組!$D$17-O416)/N416)*J416,0)</f>
        <v>#N/A</v>
      </c>
      <c r="Q416" s="1211" t="e">
        <f t="shared" ca="1" si="84"/>
        <v>#N/A</v>
      </c>
      <c r="R416" s="1213">
        <f t="shared" si="85"/>
        <v>0</v>
      </c>
      <c r="S416" s="1213">
        <f t="shared" si="86"/>
        <v>0</v>
      </c>
      <c r="T416" s="136">
        <f t="shared" si="88"/>
        <v>0</v>
      </c>
      <c r="U416" s="861">
        <f t="shared" si="89"/>
        <v>0</v>
      </c>
      <c r="V416" s="136" t="e">
        <f ca="1">IF(OR(D416&lt;&gt;"USD",L416="無",M416&lt;&gt;"",K416="高資產",IFERROR(MATCH(B416,換券投組!K:K,0),"N")&lt;&gt;"N",IFERROR(MATCH(B416,換券投組!J:J,0),"N")&lt;&gt;"N"),FALSE,IF($V$1="All",TRUE,IF(K416=$V$1,TRUE,FALSE)))</f>
        <v>#N/A</v>
      </c>
      <c r="W416" s="136" t="e">
        <f ca="1">VLOOKUP(A416,'銀行-TSS'!A:AO,41,FALSE)</f>
        <v>#N/A</v>
      </c>
      <c r="X416" s="136" t="e">
        <f ca="1">VLOOKUP(A416,'銀行-TSS'!A:AP,42,FALSE)</f>
        <v>#N/A</v>
      </c>
      <c r="Y416" s="1223">
        <f t="shared" si="87"/>
        <v>0</v>
      </c>
      <c r="Z416" s="1211">
        <f t="shared" si="90"/>
        <v>0</v>
      </c>
      <c r="AA416" s="136">
        <f>IF(Z416&lt;=0,0,RANK(Z416,Z:Z)+COUNTIF($Z$3:$Z416,Z416)-1)</f>
        <v>0</v>
      </c>
      <c r="AB416" s="1211">
        <f t="shared" ca="1" si="91"/>
        <v>0</v>
      </c>
      <c r="AC416" s="136">
        <f ca="1">IF(AB416&lt;=0,0,RANK(AB416,AB:AB)+COUNTIF($AB$3:$AB416,AB416)-1)</f>
        <v>0</v>
      </c>
      <c r="AD416" s="136">
        <f t="shared" si="92"/>
        <v>99999</v>
      </c>
      <c r="AE416" s="136">
        <f>IF(AD416=99999,0,RANK(AD416,AD:AD,1)+COUNTIF($AD$3:$AD416,AD416)-1)</f>
        <v>0</v>
      </c>
    </row>
    <row r="417" spans="1:31">
      <c r="A417" s="141">
        <f>'銀行-TSS'!A417</f>
        <v>0</v>
      </c>
      <c r="B417" s="151">
        <f ca="1">VLOOKUP(A417,'銀行-TSS'!A:B,2,FALSE)</f>
        <v>0</v>
      </c>
      <c r="C417" s="151" t="e">
        <f ca="1">VLOOKUP(B417,bond!B:C,2,FALSE)</f>
        <v>#N/A</v>
      </c>
      <c r="D417" s="95" t="e">
        <f>VLOOKUP(A417,'銀行-TSS'!A:C,3,FALSE)</f>
        <v>#N/A</v>
      </c>
      <c r="E417" s="90" t="e">
        <f ca="1">VLOOKUP(A417,'銀行-TSS'!A:G,7,FALSE)</f>
        <v>#N/A</v>
      </c>
      <c r="F417" s="202" t="e">
        <f ca="1">VLOOKUP(A417,'銀行-TSS'!A:H,8,FALSE)</f>
        <v>#N/A</v>
      </c>
      <c r="G417" s="96" t="e">
        <f ca="1">VLOOKUP(A417,'銀行-TSS'!A:K,11,FALSE)</f>
        <v>#N/A</v>
      </c>
      <c r="H417" s="1209" t="e">
        <f ca="1">VLOOKUP(A417,'銀行-TSS'!A:M,13,FALSE)</f>
        <v>#N/A</v>
      </c>
      <c r="I417" s="1213" t="e">
        <f ca="1">VLOOKUP(A417,'銀行-TSS'!A:N,14,FALSE)</f>
        <v>#N/A</v>
      </c>
      <c r="J417" s="1213" t="e">
        <f ca="1">VLOOKUP(A417,'銀行-TSS'!A:O,15,FALSE)</f>
        <v>#N/A</v>
      </c>
      <c r="K417" s="136" t="e">
        <f ca="1">VLOOKUP(A417,'銀行-TSS'!A:V,22,FALSE)</f>
        <v>#N/A</v>
      </c>
      <c r="L417" s="136" t="e">
        <f ca="1">VLOOKUP(A417,'銀行-TSS'!A:AK,37,FALSE)</f>
        <v>#N/A</v>
      </c>
      <c r="M417" s="136" t="str">
        <f ca="1">VLOOKUP(A417,'銀行-TSS'!A:AN,40,FALSE)</f>
        <v/>
      </c>
      <c r="N417" s="1211" t="e">
        <f t="shared" ca="1" si="82"/>
        <v>#N/A</v>
      </c>
      <c r="O417" s="1211" t="e">
        <f t="shared" ca="1" si="83"/>
        <v>#N/A</v>
      </c>
      <c r="P417" s="1213" t="e">
        <f ca="1">IF(AND(換券投組!$D$17&gt;=O417,換券投組!$D$13=D417),I417+INT((換券投組!$D$17-O417)/N417)*J417,0)</f>
        <v>#N/A</v>
      </c>
      <c r="Q417" s="1211" t="e">
        <f t="shared" ca="1" si="84"/>
        <v>#N/A</v>
      </c>
      <c r="R417" s="1213">
        <f t="shared" si="85"/>
        <v>0</v>
      </c>
      <c r="S417" s="1213">
        <f t="shared" si="86"/>
        <v>0</v>
      </c>
      <c r="T417" s="136">
        <f t="shared" si="88"/>
        <v>0</v>
      </c>
      <c r="U417" s="861">
        <f t="shared" si="89"/>
        <v>0</v>
      </c>
      <c r="V417" s="136" t="e">
        <f ca="1">IF(OR(D417&lt;&gt;"USD",L417="無",M417&lt;&gt;"",K417="高資產",IFERROR(MATCH(B417,換券投組!K:K,0),"N")&lt;&gt;"N",IFERROR(MATCH(B417,換券投組!J:J,0),"N")&lt;&gt;"N"),FALSE,IF($V$1="All",TRUE,IF(K417=$V$1,TRUE,FALSE)))</f>
        <v>#N/A</v>
      </c>
      <c r="W417" s="136" t="e">
        <f ca="1">VLOOKUP(A417,'銀行-TSS'!A:AO,41,FALSE)</f>
        <v>#N/A</v>
      </c>
      <c r="X417" s="136" t="e">
        <f ca="1">VLOOKUP(A417,'銀行-TSS'!A:AP,42,FALSE)</f>
        <v>#N/A</v>
      </c>
      <c r="Y417" s="1223">
        <f t="shared" si="87"/>
        <v>0</v>
      </c>
      <c r="Z417" s="1211">
        <f t="shared" si="90"/>
        <v>0</v>
      </c>
      <c r="AA417" s="136">
        <f>IF(Z417&lt;=0,0,RANK(Z417,Z:Z)+COUNTIF($Z$3:$Z417,Z417)-1)</f>
        <v>0</v>
      </c>
      <c r="AB417" s="1211">
        <f t="shared" ca="1" si="91"/>
        <v>0</v>
      </c>
      <c r="AC417" s="136">
        <f ca="1">IF(AB417&lt;=0,0,RANK(AB417,AB:AB)+COUNTIF($AB$3:$AB417,AB417)-1)</f>
        <v>0</v>
      </c>
      <c r="AD417" s="136">
        <f t="shared" si="92"/>
        <v>99999</v>
      </c>
      <c r="AE417" s="136">
        <f>IF(AD417=99999,0,RANK(AD417,AD:AD,1)+COUNTIF($AD$3:$AD417,AD417)-1)</f>
        <v>0</v>
      </c>
    </row>
    <row r="418" spans="1:31">
      <c r="A418" s="141">
        <f>'銀行-TSS'!A418</f>
        <v>0</v>
      </c>
      <c r="B418" s="151">
        <f ca="1">VLOOKUP(A418,'銀行-TSS'!A:B,2,FALSE)</f>
        <v>0</v>
      </c>
      <c r="C418" s="151" t="e">
        <f ca="1">VLOOKUP(B418,bond!B:C,2,FALSE)</f>
        <v>#N/A</v>
      </c>
      <c r="D418" s="95" t="e">
        <f>VLOOKUP(A418,'銀行-TSS'!A:C,3,FALSE)</f>
        <v>#N/A</v>
      </c>
      <c r="E418" s="90" t="e">
        <f ca="1">VLOOKUP(A418,'銀行-TSS'!A:G,7,FALSE)</f>
        <v>#N/A</v>
      </c>
      <c r="F418" s="202" t="e">
        <f ca="1">VLOOKUP(A418,'銀行-TSS'!A:H,8,FALSE)</f>
        <v>#N/A</v>
      </c>
      <c r="G418" s="96" t="e">
        <f ca="1">VLOOKUP(A418,'銀行-TSS'!A:K,11,FALSE)</f>
        <v>#N/A</v>
      </c>
      <c r="H418" s="1209" t="e">
        <f ca="1">VLOOKUP(A418,'銀行-TSS'!A:M,13,FALSE)</f>
        <v>#N/A</v>
      </c>
      <c r="I418" s="1213" t="e">
        <f ca="1">VLOOKUP(A418,'銀行-TSS'!A:N,14,FALSE)</f>
        <v>#N/A</v>
      </c>
      <c r="J418" s="1213" t="e">
        <f ca="1">VLOOKUP(A418,'銀行-TSS'!A:O,15,FALSE)</f>
        <v>#N/A</v>
      </c>
      <c r="K418" s="136" t="e">
        <f ca="1">VLOOKUP(A418,'銀行-TSS'!A:V,22,FALSE)</f>
        <v>#N/A</v>
      </c>
      <c r="L418" s="136" t="e">
        <f ca="1">VLOOKUP(A418,'銀行-TSS'!A:AK,37,FALSE)</f>
        <v>#N/A</v>
      </c>
      <c r="M418" s="136" t="str">
        <f ca="1">VLOOKUP(A418,'銀行-TSS'!A:AN,40,FALSE)</f>
        <v/>
      </c>
      <c r="N418" s="1211" t="e">
        <f t="shared" ca="1" si="82"/>
        <v>#N/A</v>
      </c>
      <c r="O418" s="1211" t="e">
        <f t="shared" ca="1" si="83"/>
        <v>#N/A</v>
      </c>
      <c r="P418" s="1213" t="e">
        <f ca="1">IF(AND(換券投組!$D$17&gt;=O418,換券投組!$D$13=D418),I418+INT((換券投組!$D$17-O418)/N418)*J418,0)</f>
        <v>#N/A</v>
      </c>
      <c r="Q418" s="1211" t="e">
        <f t="shared" ca="1" si="84"/>
        <v>#N/A</v>
      </c>
      <c r="R418" s="1213">
        <f t="shared" si="85"/>
        <v>0</v>
      </c>
      <c r="S418" s="1213">
        <f t="shared" si="86"/>
        <v>0</v>
      </c>
      <c r="T418" s="136">
        <f t="shared" si="88"/>
        <v>0</v>
      </c>
      <c r="U418" s="861">
        <f t="shared" si="89"/>
        <v>0</v>
      </c>
      <c r="V418" s="136" t="e">
        <f ca="1">IF(OR(D418&lt;&gt;"USD",L418="無",M418&lt;&gt;"",K418="高資產",IFERROR(MATCH(B418,換券投組!K:K,0),"N")&lt;&gt;"N",IFERROR(MATCH(B418,換券投組!J:J,0),"N")&lt;&gt;"N"),FALSE,IF($V$1="All",TRUE,IF(K418=$V$1,TRUE,FALSE)))</f>
        <v>#N/A</v>
      </c>
      <c r="W418" s="136" t="e">
        <f ca="1">VLOOKUP(A418,'銀行-TSS'!A:AO,41,FALSE)</f>
        <v>#N/A</v>
      </c>
      <c r="X418" s="136" t="e">
        <f ca="1">VLOOKUP(A418,'銀行-TSS'!A:AP,42,FALSE)</f>
        <v>#N/A</v>
      </c>
      <c r="Y418" s="1223">
        <f t="shared" si="87"/>
        <v>0</v>
      </c>
      <c r="Z418" s="1211">
        <f t="shared" si="90"/>
        <v>0</v>
      </c>
      <c r="AA418" s="136">
        <f>IF(Z418&lt;=0,0,RANK(Z418,Z:Z)+COUNTIF($Z$3:$Z418,Z418)-1)</f>
        <v>0</v>
      </c>
      <c r="AB418" s="1211">
        <f t="shared" ca="1" si="91"/>
        <v>0</v>
      </c>
      <c r="AC418" s="136">
        <f ca="1">IF(AB418&lt;=0,0,RANK(AB418,AB:AB)+COUNTIF($AB$3:$AB418,AB418)-1)</f>
        <v>0</v>
      </c>
      <c r="AD418" s="136">
        <f t="shared" si="92"/>
        <v>99999</v>
      </c>
      <c r="AE418" s="136">
        <f>IF(AD418=99999,0,RANK(AD418,AD:AD,1)+COUNTIF($AD$3:$AD418,AD418)-1)</f>
        <v>0</v>
      </c>
    </row>
    <row r="419" spans="1:31">
      <c r="A419" s="141">
        <f>'銀行-TSS'!A419</f>
        <v>0</v>
      </c>
      <c r="B419" s="151">
        <f ca="1">VLOOKUP(A419,'銀行-TSS'!A:B,2,FALSE)</f>
        <v>0</v>
      </c>
      <c r="C419" s="151" t="e">
        <f ca="1">VLOOKUP(B419,bond!B:C,2,FALSE)</f>
        <v>#N/A</v>
      </c>
      <c r="D419" s="95" t="e">
        <f>VLOOKUP(A419,'銀行-TSS'!A:C,3,FALSE)</f>
        <v>#N/A</v>
      </c>
      <c r="E419" s="90" t="e">
        <f ca="1">VLOOKUP(A419,'銀行-TSS'!A:G,7,FALSE)</f>
        <v>#N/A</v>
      </c>
      <c r="F419" s="202" t="e">
        <f ca="1">VLOOKUP(A419,'銀行-TSS'!A:H,8,FALSE)</f>
        <v>#N/A</v>
      </c>
      <c r="G419" s="96" t="e">
        <f ca="1">VLOOKUP(A419,'銀行-TSS'!A:K,11,FALSE)</f>
        <v>#N/A</v>
      </c>
      <c r="H419" s="1209" t="e">
        <f ca="1">VLOOKUP(A419,'銀行-TSS'!A:M,13,FALSE)</f>
        <v>#N/A</v>
      </c>
      <c r="I419" s="1213" t="e">
        <f ca="1">VLOOKUP(A419,'銀行-TSS'!A:N,14,FALSE)</f>
        <v>#N/A</v>
      </c>
      <c r="J419" s="1213" t="e">
        <f ca="1">VLOOKUP(A419,'銀行-TSS'!A:O,15,FALSE)</f>
        <v>#N/A</v>
      </c>
      <c r="K419" s="136" t="e">
        <f ca="1">VLOOKUP(A419,'銀行-TSS'!A:V,22,FALSE)</f>
        <v>#N/A</v>
      </c>
      <c r="L419" s="136" t="e">
        <f ca="1">VLOOKUP(A419,'銀行-TSS'!A:AK,37,FALSE)</f>
        <v>#N/A</v>
      </c>
      <c r="M419" s="136" t="str">
        <f ca="1">VLOOKUP(A419,'銀行-TSS'!A:AN,40,FALSE)</f>
        <v/>
      </c>
      <c r="N419" s="1211" t="e">
        <f t="shared" ca="1" si="82"/>
        <v>#N/A</v>
      </c>
      <c r="O419" s="1211" t="e">
        <f t="shared" ca="1" si="83"/>
        <v>#N/A</v>
      </c>
      <c r="P419" s="1213" t="e">
        <f ca="1">IF(AND(換券投組!$D$17&gt;=O419,換券投組!$D$13=D419),I419+INT((換券投組!$D$17-O419)/N419)*J419,0)</f>
        <v>#N/A</v>
      </c>
      <c r="Q419" s="1211" t="e">
        <f t="shared" ca="1" si="84"/>
        <v>#N/A</v>
      </c>
      <c r="R419" s="1213">
        <f t="shared" si="85"/>
        <v>0</v>
      </c>
      <c r="S419" s="1213">
        <f t="shared" si="86"/>
        <v>0</v>
      </c>
      <c r="T419" s="136">
        <f t="shared" si="88"/>
        <v>0</v>
      </c>
      <c r="U419" s="861">
        <f t="shared" si="89"/>
        <v>0</v>
      </c>
      <c r="V419" s="136" t="e">
        <f ca="1">IF(OR(D419&lt;&gt;"USD",L419="無",M419&lt;&gt;"",K419="高資產",IFERROR(MATCH(B419,換券投組!K:K,0),"N")&lt;&gt;"N",IFERROR(MATCH(B419,換券投組!J:J,0),"N")&lt;&gt;"N"),FALSE,IF($V$1="All",TRUE,IF(K419=$V$1,TRUE,FALSE)))</f>
        <v>#N/A</v>
      </c>
      <c r="W419" s="136" t="e">
        <f ca="1">VLOOKUP(A419,'銀行-TSS'!A:AO,41,FALSE)</f>
        <v>#N/A</v>
      </c>
      <c r="X419" s="136" t="e">
        <f ca="1">VLOOKUP(A419,'銀行-TSS'!A:AP,42,FALSE)</f>
        <v>#N/A</v>
      </c>
      <c r="Y419" s="1223">
        <f t="shared" si="87"/>
        <v>0</v>
      </c>
      <c r="Z419" s="1211">
        <f t="shared" si="90"/>
        <v>0</v>
      </c>
      <c r="AA419" s="136">
        <f>IF(Z419&lt;=0,0,RANK(Z419,Z:Z)+COUNTIF($Z$3:$Z419,Z419)-1)</f>
        <v>0</v>
      </c>
      <c r="AB419" s="1211">
        <f t="shared" ca="1" si="91"/>
        <v>0</v>
      </c>
      <c r="AC419" s="136">
        <f ca="1">IF(AB419&lt;=0,0,RANK(AB419,AB:AB)+COUNTIF($AB$3:$AB419,AB419)-1)</f>
        <v>0</v>
      </c>
      <c r="AD419" s="136">
        <f t="shared" si="92"/>
        <v>99999</v>
      </c>
      <c r="AE419" s="136">
        <f>IF(AD419=99999,0,RANK(AD419,AD:AD,1)+COUNTIF($AD$3:$AD419,AD419)-1)</f>
        <v>0</v>
      </c>
    </row>
    <row r="420" spans="1:31">
      <c r="A420" s="141">
        <f>'銀行-TSS'!A420</f>
        <v>0</v>
      </c>
      <c r="B420" s="151">
        <f ca="1">VLOOKUP(A420,'銀行-TSS'!A:B,2,FALSE)</f>
        <v>0</v>
      </c>
      <c r="C420" s="151" t="e">
        <f ca="1">VLOOKUP(B420,bond!B:C,2,FALSE)</f>
        <v>#N/A</v>
      </c>
      <c r="D420" s="95" t="e">
        <f>VLOOKUP(A420,'銀行-TSS'!A:C,3,FALSE)</f>
        <v>#N/A</v>
      </c>
      <c r="E420" s="90" t="e">
        <f ca="1">VLOOKUP(A420,'銀行-TSS'!A:G,7,FALSE)</f>
        <v>#N/A</v>
      </c>
      <c r="F420" s="202" t="e">
        <f ca="1">VLOOKUP(A420,'銀行-TSS'!A:H,8,FALSE)</f>
        <v>#N/A</v>
      </c>
      <c r="G420" s="96" t="e">
        <f ca="1">VLOOKUP(A420,'銀行-TSS'!A:K,11,FALSE)</f>
        <v>#N/A</v>
      </c>
      <c r="H420" s="1209" t="e">
        <f ca="1">VLOOKUP(A420,'銀行-TSS'!A:M,13,FALSE)</f>
        <v>#N/A</v>
      </c>
      <c r="I420" s="1213" t="e">
        <f ca="1">VLOOKUP(A420,'銀行-TSS'!A:N,14,FALSE)</f>
        <v>#N/A</v>
      </c>
      <c r="J420" s="1213" t="e">
        <f ca="1">VLOOKUP(A420,'銀行-TSS'!A:O,15,FALSE)</f>
        <v>#N/A</v>
      </c>
      <c r="K420" s="136" t="e">
        <f ca="1">VLOOKUP(A420,'銀行-TSS'!A:V,22,FALSE)</f>
        <v>#N/A</v>
      </c>
      <c r="L420" s="136" t="e">
        <f ca="1">VLOOKUP(A420,'銀行-TSS'!A:AK,37,FALSE)</f>
        <v>#N/A</v>
      </c>
      <c r="M420" s="136" t="str">
        <f ca="1">VLOOKUP(A420,'銀行-TSS'!A:AN,40,FALSE)</f>
        <v/>
      </c>
      <c r="N420" s="1211" t="e">
        <f t="shared" ca="1" si="82"/>
        <v>#N/A</v>
      </c>
      <c r="O420" s="1211" t="e">
        <f t="shared" ca="1" si="83"/>
        <v>#N/A</v>
      </c>
      <c r="P420" s="1213" t="e">
        <f ca="1">IF(AND(換券投組!$D$17&gt;=O420,換券投組!$D$13=D420),I420+INT((換券投組!$D$17-O420)/N420)*J420,0)</f>
        <v>#N/A</v>
      </c>
      <c r="Q420" s="1211" t="e">
        <f t="shared" ca="1" si="84"/>
        <v>#N/A</v>
      </c>
      <c r="R420" s="1213">
        <f t="shared" si="85"/>
        <v>0</v>
      </c>
      <c r="S420" s="1213">
        <f t="shared" si="86"/>
        <v>0</v>
      </c>
      <c r="T420" s="136">
        <f t="shared" si="88"/>
        <v>0</v>
      </c>
      <c r="U420" s="861">
        <f t="shared" si="89"/>
        <v>0</v>
      </c>
      <c r="V420" s="136" t="e">
        <f ca="1">IF(OR(D420&lt;&gt;"USD",L420="無",M420&lt;&gt;"",K420="高資產",IFERROR(MATCH(B420,換券投組!K:K,0),"N")&lt;&gt;"N",IFERROR(MATCH(B420,換券投組!J:J,0),"N")&lt;&gt;"N"),FALSE,IF($V$1="All",TRUE,IF(K420=$V$1,TRUE,FALSE)))</f>
        <v>#N/A</v>
      </c>
      <c r="W420" s="136" t="e">
        <f ca="1">VLOOKUP(A420,'銀行-TSS'!A:AO,41,FALSE)</f>
        <v>#N/A</v>
      </c>
      <c r="X420" s="136" t="e">
        <f ca="1">VLOOKUP(A420,'銀行-TSS'!A:AP,42,FALSE)</f>
        <v>#N/A</v>
      </c>
      <c r="Y420" s="1223">
        <f t="shared" si="87"/>
        <v>0</v>
      </c>
      <c r="Z420" s="1211">
        <f t="shared" si="90"/>
        <v>0</v>
      </c>
      <c r="AA420" s="136">
        <f>IF(Z420&lt;=0,0,RANK(Z420,Z:Z)+COUNTIF($Z$3:$Z420,Z420)-1)</f>
        <v>0</v>
      </c>
      <c r="AB420" s="1211">
        <f t="shared" ca="1" si="91"/>
        <v>0</v>
      </c>
      <c r="AC420" s="136">
        <f ca="1">IF(AB420&lt;=0,0,RANK(AB420,AB:AB)+COUNTIF($AB$3:$AB420,AB420)-1)</f>
        <v>0</v>
      </c>
      <c r="AD420" s="136">
        <f t="shared" si="92"/>
        <v>99999</v>
      </c>
      <c r="AE420" s="136">
        <f>IF(AD420=99999,0,RANK(AD420,AD:AD,1)+COUNTIF($AD$3:$AD420,AD420)-1)</f>
        <v>0</v>
      </c>
    </row>
    <row r="421" spans="1:31">
      <c r="A421" s="141">
        <f>'銀行-TSS'!A421</f>
        <v>0</v>
      </c>
      <c r="B421" s="151">
        <f ca="1">VLOOKUP(A421,'銀行-TSS'!A:B,2,FALSE)</f>
        <v>0</v>
      </c>
      <c r="C421" s="151" t="e">
        <f ca="1">VLOOKUP(B421,bond!B:C,2,FALSE)</f>
        <v>#N/A</v>
      </c>
      <c r="D421" s="95" t="e">
        <f>VLOOKUP(A421,'銀行-TSS'!A:C,3,FALSE)</f>
        <v>#N/A</v>
      </c>
      <c r="E421" s="90" t="e">
        <f ca="1">VLOOKUP(A421,'銀行-TSS'!A:G,7,FALSE)</f>
        <v>#N/A</v>
      </c>
      <c r="F421" s="202" t="e">
        <f ca="1">VLOOKUP(A421,'銀行-TSS'!A:H,8,FALSE)</f>
        <v>#N/A</v>
      </c>
      <c r="G421" s="96" t="e">
        <f ca="1">VLOOKUP(A421,'銀行-TSS'!A:K,11,FALSE)</f>
        <v>#N/A</v>
      </c>
      <c r="H421" s="1209" t="e">
        <f ca="1">VLOOKUP(A421,'銀行-TSS'!A:M,13,FALSE)</f>
        <v>#N/A</v>
      </c>
      <c r="I421" s="1213" t="e">
        <f ca="1">VLOOKUP(A421,'銀行-TSS'!A:N,14,FALSE)</f>
        <v>#N/A</v>
      </c>
      <c r="J421" s="1213" t="e">
        <f ca="1">VLOOKUP(A421,'銀行-TSS'!A:O,15,FALSE)</f>
        <v>#N/A</v>
      </c>
      <c r="K421" s="136" t="e">
        <f ca="1">VLOOKUP(A421,'銀行-TSS'!A:V,22,FALSE)</f>
        <v>#N/A</v>
      </c>
      <c r="L421" s="136" t="e">
        <f ca="1">VLOOKUP(A421,'銀行-TSS'!A:AK,37,FALSE)</f>
        <v>#N/A</v>
      </c>
      <c r="M421" s="136" t="str">
        <f ca="1">VLOOKUP(A421,'銀行-TSS'!A:AN,40,FALSE)</f>
        <v/>
      </c>
      <c r="N421" s="1211" t="e">
        <f t="shared" ca="1" si="82"/>
        <v>#N/A</v>
      </c>
      <c r="O421" s="1211" t="e">
        <f t="shared" ca="1" si="83"/>
        <v>#N/A</v>
      </c>
      <c r="P421" s="1213" t="e">
        <f ca="1">IF(AND(換券投組!$D$17&gt;=O421,換券投組!$D$13=D421),I421+INT((換券投組!$D$17-O421)/N421)*J421,0)</f>
        <v>#N/A</v>
      </c>
      <c r="Q421" s="1211" t="e">
        <f t="shared" ca="1" si="84"/>
        <v>#N/A</v>
      </c>
      <c r="R421" s="1213">
        <f t="shared" si="85"/>
        <v>0</v>
      </c>
      <c r="S421" s="1213">
        <f t="shared" si="86"/>
        <v>0</v>
      </c>
      <c r="T421" s="136">
        <f t="shared" si="88"/>
        <v>0</v>
      </c>
      <c r="U421" s="861">
        <f t="shared" si="89"/>
        <v>0</v>
      </c>
      <c r="V421" s="136" t="e">
        <f ca="1">IF(OR(D421&lt;&gt;"USD",L421="無",M421&lt;&gt;"",K421="高資產",IFERROR(MATCH(B421,換券投組!K:K,0),"N")&lt;&gt;"N",IFERROR(MATCH(B421,換券投組!J:J,0),"N")&lt;&gt;"N"),FALSE,IF($V$1="All",TRUE,IF(K421=$V$1,TRUE,FALSE)))</f>
        <v>#N/A</v>
      </c>
      <c r="W421" s="136" t="e">
        <f ca="1">VLOOKUP(A421,'銀行-TSS'!A:AO,41,FALSE)</f>
        <v>#N/A</v>
      </c>
      <c r="X421" s="136" t="e">
        <f ca="1">VLOOKUP(A421,'銀行-TSS'!A:AP,42,FALSE)</f>
        <v>#N/A</v>
      </c>
      <c r="Y421" s="1223">
        <f t="shared" si="87"/>
        <v>0</v>
      </c>
      <c r="Z421" s="1211">
        <f t="shared" si="90"/>
        <v>0</v>
      </c>
      <c r="AA421" s="136">
        <f>IF(Z421&lt;=0,0,RANK(Z421,Z:Z)+COUNTIF($Z$3:$Z421,Z421)-1)</f>
        <v>0</v>
      </c>
      <c r="AB421" s="1211">
        <f t="shared" ca="1" si="91"/>
        <v>0</v>
      </c>
      <c r="AC421" s="136">
        <f ca="1">IF(AB421&lt;=0,0,RANK(AB421,AB:AB)+COUNTIF($AB$3:$AB421,AB421)-1)</f>
        <v>0</v>
      </c>
      <c r="AD421" s="136">
        <f t="shared" si="92"/>
        <v>99999</v>
      </c>
      <c r="AE421" s="136">
        <f>IF(AD421=99999,0,RANK(AD421,AD:AD,1)+COUNTIF($AD$3:$AD421,AD421)-1)</f>
        <v>0</v>
      </c>
    </row>
    <row r="422" spans="1:31">
      <c r="A422" s="141">
        <f>'銀行-TSS'!A422</f>
        <v>0</v>
      </c>
      <c r="B422" s="151">
        <f ca="1">VLOOKUP(A422,'銀行-TSS'!A:B,2,FALSE)</f>
        <v>0</v>
      </c>
      <c r="C422" s="151" t="e">
        <f ca="1">VLOOKUP(B422,bond!B:C,2,FALSE)</f>
        <v>#N/A</v>
      </c>
      <c r="D422" s="95" t="e">
        <f>VLOOKUP(A422,'銀行-TSS'!A:C,3,FALSE)</f>
        <v>#N/A</v>
      </c>
      <c r="E422" s="90" t="e">
        <f ca="1">VLOOKUP(A422,'銀行-TSS'!A:G,7,FALSE)</f>
        <v>#N/A</v>
      </c>
      <c r="F422" s="202" t="e">
        <f ca="1">VLOOKUP(A422,'銀行-TSS'!A:H,8,FALSE)</f>
        <v>#N/A</v>
      </c>
      <c r="G422" s="96" t="e">
        <f ca="1">VLOOKUP(A422,'銀行-TSS'!A:K,11,FALSE)</f>
        <v>#N/A</v>
      </c>
      <c r="H422" s="1209" t="e">
        <f ca="1">VLOOKUP(A422,'銀行-TSS'!A:M,13,FALSE)</f>
        <v>#N/A</v>
      </c>
      <c r="I422" s="1213" t="e">
        <f ca="1">VLOOKUP(A422,'銀行-TSS'!A:N,14,FALSE)</f>
        <v>#N/A</v>
      </c>
      <c r="J422" s="1213" t="e">
        <f ca="1">VLOOKUP(A422,'銀行-TSS'!A:O,15,FALSE)</f>
        <v>#N/A</v>
      </c>
      <c r="K422" s="136" t="e">
        <f ca="1">VLOOKUP(A422,'銀行-TSS'!A:V,22,FALSE)</f>
        <v>#N/A</v>
      </c>
      <c r="L422" s="136" t="e">
        <f ca="1">VLOOKUP(A422,'銀行-TSS'!A:AK,37,FALSE)</f>
        <v>#N/A</v>
      </c>
      <c r="M422" s="136" t="str">
        <f ca="1">VLOOKUP(A422,'銀行-TSS'!A:AN,40,FALSE)</f>
        <v/>
      </c>
      <c r="N422" s="1211" t="e">
        <f t="shared" ca="1" si="82"/>
        <v>#N/A</v>
      </c>
      <c r="O422" s="1211" t="e">
        <f t="shared" ca="1" si="83"/>
        <v>#N/A</v>
      </c>
      <c r="P422" s="1213" t="e">
        <f ca="1">IF(AND(換券投組!$D$17&gt;=O422,換券投組!$D$13=D422),I422+INT((換券投組!$D$17-O422)/N422)*J422,0)</f>
        <v>#N/A</v>
      </c>
      <c r="Q422" s="1211" t="e">
        <f t="shared" ca="1" si="84"/>
        <v>#N/A</v>
      </c>
      <c r="R422" s="1213">
        <f t="shared" si="85"/>
        <v>0</v>
      </c>
      <c r="S422" s="1213">
        <f t="shared" si="86"/>
        <v>0</v>
      </c>
      <c r="T422" s="136">
        <f t="shared" si="88"/>
        <v>0</v>
      </c>
      <c r="U422" s="861">
        <f t="shared" si="89"/>
        <v>0</v>
      </c>
      <c r="V422" s="136" t="e">
        <f ca="1">IF(OR(D422&lt;&gt;"USD",L422="無",M422&lt;&gt;"",K422="高資產",IFERROR(MATCH(B422,換券投組!K:K,0),"N")&lt;&gt;"N",IFERROR(MATCH(B422,換券投組!J:J,0),"N")&lt;&gt;"N"),FALSE,IF($V$1="All",TRUE,IF(K422=$V$1,TRUE,FALSE)))</f>
        <v>#N/A</v>
      </c>
      <c r="W422" s="136" t="e">
        <f ca="1">VLOOKUP(A422,'銀行-TSS'!A:AO,41,FALSE)</f>
        <v>#N/A</v>
      </c>
      <c r="X422" s="136" t="e">
        <f ca="1">VLOOKUP(A422,'銀行-TSS'!A:AP,42,FALSE)</f>
        <v>#N/A</v>
      </c>
      <c r="Y422" s="1223">
        <f t="shared" si="87"/>
        <v>0</v>
      </c>
      <c r="Z422" s="1211">
        <f t="shared" si="90"/>
        <v>0</v>
      </c>
      <c r="AA422" s="136">
        <f>IF(Z422&lt;=0,0,RANK(Z422,Z:Z)+COUNTIF($Z$3:$Z422,Z422)-1)</f>
        <v>0</v>
      </c>
      <c r="AB422" s="1211">
        <f t="shared" ca="1" si="91"/>
        <v>0</v>
      </c>
      <c r="AC422" s="136">
        <f ca="1">IF(AB422&lt;=0,0,RANK(AB422,AB:AB)+COUNTIF($AB$3:$AB422,AB422)-1)</f>
        <v>0</v>
      </c>
      <c r="AD422" s="136">
        <f t="shared" si="92"/>
        <v>99999</v>
      </c>
      <c r="AE422" s="136">
        <f>IF(AD422=99999,0,RANK(AD422,AD:AD,1)+COUNTIF($AD$3:$AD422,AD422)-1)</f>
        <v>0</v>
      </c>
    </row>
    <row r="423" spans="1:31">
      <c r="A423" s="141">
        <f>'銀行-TSS'!A423</f>
        <v>0</v>
      </c>
      <c r="B423" s="151">
        <f ca="1">VLOOKUP(A423,'銀行-TSS'!A:B,2,FALSE)</f>
        <v>0</v>
      </c>
      <c r="C423" s="151" t="e">
        <f ca="1">VLOOKUP(B423,bond!B:C,2,FALSE)</f>
        <v>#N/A</v>
      </c>
      <c r="D423" s="95" t="e">
        <f>VLOOKUP(A423,'銀行-TSS'!A:C,3,FALSE)</f>
        <v>#N/A</v>
      </c>
      <c r="E423" s="90" t="e">
        <f ca="1">VLOOKUP(A423,'銀行-TSS'!A:G,7,FALSE)</f>
        <v>#N/A</v>
      </c>
      <c r="F423" s="202" t="e">
        <f ca="1">VLOOKUP(A423,'銀行-TSS'!A:H,8,FALSE)</f>
        <v>#N/A</v>
      </c>
      <c r="G423" s="96" t="e">
        <f ca="1">VLOOKUP(A423,'銀行-TSS'!A:K,11,FALSE)</f>
        <v>#N/A</v>
      </c>
      <c r="H423" s="1209" t="e">
        <f ca="1">VLOOKUP(A423,'銀行-TSS'!A:M,13,FALSE)</f>
        <v>#N/A</v>
      </c>
      <c r="I423" s="1213" t="e">
        <f ca="1">VLOOKUP(A423,'銀行-TSS'!A:N,14,FALSE)</f>
        <v>#N/A</v>
      </c>
      <c r="J423" s="1213" t="e">
        <f ca="1">VLOOKUP(A423,'銀行-TSS'!A:O,15,FALSE)</f>
        <v>#N/A</v>
      </c>
      <c r="K423" s="136" t="e">
        <f ca="1">VLOOKUP(A423,'銀行-TSS'!A:V,22,FALSE)</f>
        <v>#N/A</v>
      </c>
      <c r="L423" s="136" t="e">
        <f ca="1">VLOOKUP(A423,'銀行-TSS'!A:AK,37,FALSE)</f>
        <v>#N/A</v>
      </c>
      <c r="M423" s="136" t="str">
        <f ca="1">VLOOKUP(A423,'銀行-TSS'!A:AN,40,FALSE)</f>
        <v/>
      </c>
      <c r="N423" s="1211" t="e">
        <f t="shared" ca="1" si="82"/>
        <v>#N/A</v>
      </c>
      <c r="O423" s="1211" t="e">
        <f t="shared" ca="1" si="83"/>
        <v>#N/A</v>
      </c>
      <c r="P423" s="1213" t="e">
        <f ca="1">IF(AND(換券投組!$D$17&gt;=O423,換券投組!$D$13=D423),I423+INT((換券投組!$D$17-O423)/N423)*J423,0)</f>
        <v>#N/A</v>
      </c>
      <c r="Q423" s="1211" t="e">
        <f t="shared" ca="1" si="84"/>
        <v>#N/A</v>
      </c>
      <c r="R423" s="1213">
        <f t="shared" si="85"/>
        <v>0</v>
      </c>
      <c r="S423" s="1213">
        <f t="shared" si="86"/>
        <v>0</v>
      </c>
      <c r="T423" s="136">
        <f t="shared" si="88"/>
        <v>0</v>
      </c>
      <c r="U423" s="861">
        <f t="shared" si="89"/>
        <v>0</v>
      </c>
      <c r="V423" s="136" t="e">
        <f ca="1">IF(OR(D423&lt;&gt;"USD",L423="無",M423&lt;&gt;"",K423="高資產",IFERROR(MATCH(B423,換券投組!K:K,0),"N")&lt;&gt;"N",IFERROR(MATCH(B423,換券投組!J:J,0),"N")&lt;&gt;"N"),FALSE,IF($V$1="All",TRUE,IF(K423=$V$1,TRUE,FALSE)))</f>
        <v>#N/A</v>
      </c>
      <c r="W423" s="136" t="e">
        <f ca="1">VLOOKUP(A423,'銀行-TSS'!A:AO,41,FALSE)</f>
        <v>#N/A</v>
      </c>
      <c r="X423" s="136" t="e">
        <f ca="1">VLOOKUP(A423,'銀行-TSS'!A:AP,42,FALSE)</f>
        <v>#N/A</v>
      </c>
      <c r="Y423" s="1223">
        <f t="shared" si="87"/>
        <v>0</v>
      </c>
      <c r="Z423" s="1211">
        <f t="shared" si="90"/>
        <v>0</v>
      </c>
      <c r="AA423" s="136">
        <f>IF(Z423&lt;=0,0,RANK(Z423,Z:Z)+COUNTIF($Z$3:$Z423,Z423)-1)</f>
        <v>0</v>
      </c>
      <c r="AB423" s="1211">
        <f t="shared" ca="1" si="91"/>
        <v>0</v>
      </c>
      <c r="AC423" s="136">
        <f ca="1">IF(AB423&lt;=0,0,RANK(AB423,AB:AB)+COUNTIF($AB$3:$AB423,AB423)-1)</f>
        <v>0</v>
      </c>
      <c r="AD423" s="136">
        <f t="shared" si="92"/>
        <v>99999</v>
      </c>
      <c r="AE423" s="136">
        <f>IF(AD423=99999,0,RANK(AD423,AD:AD,1)+COUNTIF($AD$3:$AD423,AD423)-1)</f>
        <v>0</v>
      </c>
    </row>
    <row r="424" spans="1:31">
      <c r="A424" s="141">
        <f>'銀行-TSS'!A424</f>
        <v>0</v>
      </c>
      <c r="B424" s="151">
        <f ca="1">VLOOKUP(A424,'銀行-TSS'!A:B,2,FALSE)</f>
        <v>0</v>
      </c>
      <c r="C424" s="151" t="e">
        <f ca="1">VLOOKUP(B424,bond!B:C,2,FALSE)</f>
        <v>#N/A</v>
      </c>
      <c r="D424" s="95" t="e">
        <f>VLOOKUP(A424,'銀行-TSS'!A:C,3,FALSE)</f>
        <v>#N/A</v>
      </c>
      <c r="E424" s="90" t="e">
        <f ca="1">VLOOKUP(A424,'銀行-TSS'!A:G,7,FALSE)</f>
        <v>#N/A</v>
      </c>
      <c r="F424" s="202" t="e">
        <f ca="1">VLOOKUP(A424,'銀行-TSS'!A:H,8,FALSE)</f>
        <v>#N/A</v>
      </c>
      <c r="G424" s="96" t="e">
        <f ca="1">VLOOKUP(A424,'銀行-TSS'!A:K,11,FALSE)</f>
        <v>#N/A</v>
      </c>
      <c r="H424" s="1209" t="e">
        <f ca="1">VLOOKUP(A424,'銀行-TSS'!A:M,13,FALSE)</f>
        <v>#N/A</v>
      </c>
      <c r="I424" s="1213" t="e">
        <f ca="1">VLOOKUP(A424,'銀行-TSS'!A:N,14,FALSE)</f>
        <v>#N/A</v>
      </c>
      <c r="J424" s="1213" t="e">
        <f ca="1">VLOOKUP(A424,'銀行-TSS'!A:O,15,FALSE)</f>
        <v>#N/A</v>
      </c>
      <c r="K424" s="136" t="e">
        <f ca="1">VLOOKUP(A424,'銀行-TSS'!A:V,22,FALSE)</f>
        <v>#N/A</v>
      </c>
      <c r="L424" s="136" t="e">
        <f ca="1">VLOOKUP(A424,'銀行-TSS'!A:AK,37,FALSE)</f>
        <v>#N/A</v>
      </c>
      <c r="M424" s="136" t="str">
        <f ca="1">VLOOKUP(A424,'銀行-TSS'!A:AN,40,FALSE)</f>
        <v/>
      </c>
      <c r="N424" s="1211" t="e">
        <f t="shared" ca="1" si="82"/>
        <v>#N/A</v>
      </c>
      <c r="O424" s="1211" t="e">
        <f t="shared" ca="1" si="83"/>
        <v>#N/A</v>
      </c>
      <c r="P424" s="1213" t="e">
        <f ca="1">IF(AND(換券投組!$D$17&gt;=O424,換券投組!$D$13=D424),I424+INT((換券投組!$D$17-O424)/N424)*J424,0)</f>
        <v>#N/A</v>
      </c>
      <c r="Q424" s="1211" t="e">
        <f t="shared" ca="1" si="84"/>
        <v>#N/A</v>
      </c>
      <c r="R424" s="1213">
        <f t="shared" si="85"/>
        <v>0</v>
      </c>
      <c r="S424" s="1213">
        <f t="shared" si="86"/>
        <v>0</v>
      </c>
      <c r="T424" s="136">
        <f t="shared" si="88"/>
        <v>0</v>
      </c>
      <c r="U424" s="861">
        <f t="shared" si="89"/>
        <v>0</v>
      </c>
      <c r="V424" s="136" t="e">
        <f ca="1">IF(OR(D424&lt;&gt;"USD",L424="無",M424&lt;&gt;"",K424="高資產",IFERROR(MATCH(B424,換券投組!K:K,0),"N")&lt;&gt;"N",IFERROR(MATCH(B424,換券投組!J:J,0),"N")&lt;&gt;"N"),FALSE,IF($V$1="All",TRUE,IF(K424=$V$1,TRUE,FALSE)))</f>
        <v>#N/A</v>
      </c>
      <c r="W424" s="136" t="e">
        <f ca="1">VLOOKUP(A424,'銀行-TSS'!A:AO,41,FALSE)</f>
        <v>#N/A</v>
      </c>
      <c r="X424" s="136" t="e">
        <f ca="1">VLOOKUP(A424,'銀行-TSS'!A:AP,42,FALSE)</f>
        <v>#N/A</v>
      </c>
      <c r="Y424" s="1223">
        <f t="shared" si="87"/>
        <v>0</v>
      </c>
      <c r="Z424" s="1211">
        <f t="shared" si="90"/>
        <v>0</v>
      </c>
      <c r="AA424" s="136">
        <f>IF(Z424&lt;=0,0,RANK(Z424,Z:Z)+COUNTIF($Z$3:$Z424,Z424)-1)</f>
        <v>0</v>
      </c>
      <c r="AB424" s="1211">
        <f t="shared" ca="1" si="91"/>
        <v>0</v>
      </c>
      <c r="AC424" s="136">
        <f ca="1">IF(AB424&lt;=0,0,RANK(AB424,AB:AB)+COUNTIF($AB$3:$AB424,AB424)-1)</f>
        <v>0</v>
      </c>
      <c r="AD424" s="136">
        <f t="shared" si="92"/>
        <v>99999</v>
      </c>
      <c r="AE424" s="136">
        <f>IF(AD424=99999,0,RANK(AD424,AD:AD,1)+COUNTIF($AD$3:$AD424,AD424)-1)</f>
        <v>0</v>
      </c>
    </row>
    <row r="425" spans="1:31">
      <c r="A425" s="141">
        <f>'銀行-TSS'!A425</f>
        <v>0</v>
      </c>
      <c r="B425" s="151">
        <f ca="1">VLOOKUP(A425,'銀行-TSS'!A:B,2,FALSE)</f>
        <v>0</v>
      </c>
      <c r="C425" s="151" t="e">
        <f ca="1">VLOOKUP(B425,bond!B:C,2,FALSE)</f>
        <v>#N/A</v>
      </c>
      <c r="D425" s="95" t="e">
        <f>VLOOKUP(A425,'銀行-TSS'!A:C,3,FALSE)</f>
        <v>#N/A</v>
      </c>
      <c r="E425" s="90" t="e">
        <f ca="1">VLOOKUP(A425,'銀行-TSS'!A:G,7,FALSE)</f>
        <v>#N/A</v>
      </c>
      <c r="F425" s="202" t="e">
        <f ca="1">VLOOKUP(A425,'銀行-TSS'!A:H,8,FALSE)</f>
        <v>#N/A</v>
      </c>
      <c r="G425" s="96" t="e">
        <f ca="1">VLOOKUP(A425,'銀行-TSS'!A:K,11,FALSE)</f>
        <v>#N/A</v>
      </c>
      <c r="H425" s="1209" t="e">
        <f ca="1">VLOOKUP(A425,'銀行-TSS'!A:M,13,FALSE)</f>
        <v>#N/A</v>
      </c>
      <c r="I425" s="1213" t="e">
        <f ca="1">VLOOKUP(A425,'銀行-TSS'!A:N,14,FALSE)</f>
        <v>#N/A</v>
      </c>
      <c r="J425" s="1213" t="e">
        <f ca="1">VLOOKUP(A425,'銀行-TSS'!A:O,15,FALSE)</f>
        <v>#N/A</v>
      </c>
      <c r="K425" s="136" t="e">
        <f ca="1">VLOOKUP(A425,'銀行-TSS'!A:V,22,FALSE)</f>
        <v>#N/A</v>
      </c>
      <c r="L425" s="136" t="e">
        <f ca="1">VLOOKUP(A425,'銀行-TSS'!A:AK,37,FALSE)</f>
        <v>#N/A</v>
      </c>
      <c r="M425" s="136" t="str">
        <f ca="1">VLOOKUP(A425,'銀行-TSS'!A:AN,40,FALSE)</f>
        <v/>
      </c>
      <c r="N425" s="1211" t="e">
        <f t="shared" ca="1" si="82"/>
        <v>#N/A</v>
      </c>
      <c r="O425" s="1211" t="e">
        <f t="shared" ca="1" si="83"/>
        <v>#N/A</v>
      </c>
      <c r="P425" s="1213" t="e">
        <f ca="1">IF(AND(換券投組!$D$17&gt;=O425,換券投組!$D$13=D425),I425+INT((換券投組!$D$17-O425)/N425)*J425,0)</f>
        <v>#N/A</v>
      </c>
      <c r="Q425" s="1211" t="e">
        <f t="shared" ca="1" si="84"/>
        <v>#N/A</v>
      </c>
      <c r="R425" s="1213">
        <f t="shared" si="85"/>
        <v>0</v>
      </c>
      <c r="S425" s="1213">
        <f t="shared" si="86"/>
        <v>0</v>
      </c>
      <c r="T425" s="136">
        <f t="shared" si="88"/>
        <v>0</v>
      </c>
      <c r="U425" s="861">
        <f t="shared" si="89"/>
        <v>0</v>
      </c>
      <c r="V425" s="136" t="e">
        <f ca="1">IF(OR(D425&lt;&gt;"USD",L425="無",M425&lt;&gt;"",K425="高資產",IFERROR(MATCH(B425,換券投組!K:K,0),"N")&lt;&gt;"N",IFERROR(MATCH(B425,換券投組!J:J,0),"N")&lt;&gt;"N"),FALSE,IF($V$1="All",TRUE,IF(K425=$V$1,TRUE,FALSE)))</f>
        <v>#N/A</v>
      </c>
      <c r="W425" s="136" t="e">
        <f ca="1">VLOOKUP(A425,'銀行-TSS'!A:AO,41,FALSE)</f>
        <v>#N/A</v>
      </c>
      <c r="X425" s="136" t="e">
        <f ca="1">VLOOKUP(A425,'銀行-TSS'!A:AP,42,FALSE)</f>
        <v>#N/A</v>
      </c>
      <c r="Y425" s="1223">
        <f t="shared" si="87"/>
        <v>0</v>
      </c>
      <c r="Z425" s="1211">
        <f t="shared" si="90"/>
        <v>0</v>
      </c>
      <c r="AA425" s="136">
        <f>IF(Z425&lt;=0,0,RANK(Z425,Z:Z)+COUNTIF($Z$3:$Z425,Z425)-1)</f>
        <v>0</v>
      </c>
      <c r="AB425" s="1211">
        <f t="shared" ca="1" si="91"/>
        <v>0</v>
      </c>
      <c r="AC425" s="136">
        <f ca="1">IF(AB425&lt;=0,0,RANK(AB425,AB:AB)+COUNTIF($AB$3:$AB425,AB425)-1)</f>
        <v>0</v>
      </c>
      <c r="AD425" s="136">
        <f t="shared" si="92"/>
        <v>99999</v>
      </c>
      <c r="AE425" s="136">
        <f>IF(AD425=99999,0,RANK(AD425,AD:AD,1)+COUNTIF($AD$3:$AD425,AD425)-1)</f>
        <v>0</v>
      </c>
    </row>
    <row r="426" spans="1:31">
      <c r="A426" s="141">
        <f>'銀行-TSS'!A426</f>
        <v>0</v>
      </c>
      <c r="B426" s="151">
        <f ca="1">VLOOKUP(A426,'銀行-TSS'!A:B,2,FALSE)</f>
        <v>0</v>
      </c>
      <c r="C426" s="151" t="e">
        <f ca="1">VLOOKUP(B426,bond!B:C,2,FALSE)</f>
        <v>#N/A</v>
      </c>
      <c r="D426" s="95" t="e">
        <f>VLOOKUP(A426,'銀行-TSS'!A:C,3,FALSE)</f>
        <v>#N/A</v>
      </c>
      <c r="E426" s="90" t="e">
        <f ca="1">VLOOKUP(A426,'銀行-TSS'!A:G,7,FALSE)</f>
        <v>#N/A</v>
      </c>
      <c r="F426" s="202" t="e">
        <f ca="1">VLOOKUP(A426,'銀行-TSS'!A:H,8,FALSE)</f>
        <v>#N/A</v>
      </c>
      <c r="G426" s="96" t="e">
        <f ca="1">VLOOKUP(A426,'銀行-TSS'!A:K,11,FALSE)</f>
        <v>#N/A</v>
      </c>
      <c r="H426" s="1209" t="e">
        <f ca="1">VLOOKUP(A426,'銀行-TSS'!A:M,13,FALSE)</f>
        <v>#N/A</v>
      </c>
      <c r="I426" s="1213" t="e">
        <f ca="1">VLOOKUP(A426,'銀行-TSS'!A:N,14,FALSE)</f>
        <v>#N/A</v>
      </c>
      <c r="J426" s="1213" t="e">
        <f ca="1">VLOOKUP(A426,'銀行-TSS'!A:O,15,FALSE)</f>
        <v>#N/A</v>
      </c>
      <c r="K426" s="136" t="e">
        <f ca="1">VLOOKUP(A426,'銀行-TSS'!A:V,22,FALSE)</f>
        <v>#N/A</v>
      </c>
      <c r="L426" s="136" t="e">
        <f ca="1">VLOOKUP(A426,'銀行-TSS'!A:AK,37,FALSE)</f>
        <v>#N/A</v>
      </c>
      <c r="M426" s="136" t="str">
        <f ca="1">VLOOKUP(A426,'銀行-TSS'!A:AN,40,FALSE)</f>
        <v/>
      </c>
      <c r="N426" s="1211" t="e">
        <f t="shared" ca="1" si="82"/>
        <v>#N/A</v>
      </c>
      <c r="O426" s="1211" t="e">
        <f t="shared" ca="1" si="83"/>
        <v>#N/A</v>
      </c>
      <c r="P426" s="1213" t="e">
        <f ca="1">IF(AND(換券投組!$D$17&gt;=O426,換券投組!$D$13=D426),I426+INT((換券投組!$D$17-O426)/N426)*J426,0)</f>
        <v>#N/A</v>
      </c>
      <c r="Q426" s="1211" t="e">
        <f t="shared" ca="1" si="84"/>
        <v>#N/A</v>
      </c>
      <c r="R426" s="1213">
        <f t="shared" si="85"/>
        <v>0</v>
      </c>
      <c r="S426" s="1213">
        <f t="shared" si="86"/>
        <v>0</v>
      </c>
      <c r="T426" s="136">
        <f t="shared" si="88"/>
        <v>0</v>
      </c>
      <c r="U426" s="861">
        <f t="shared" si="89"/>
        <v>0</v>
      </c>
      <c r="V426" s="136" t="e">
        <f ca="1">IF(OR(D426&lt;&gt;"USD",L426="無",M426&lt;&gt;"",K426="高資產",IFERROR(MATCH(B426,換券投組!K:K,0),"N")&lt;&gt;"N",IFERROR(MATCH(B426,換券投組!J:J,0),"N")&lt;&gt;"N"),FALSE,IF($V$1="All",TRUE,IF(K426=$V$1,TRUE,FALSE)))</f>
        <v>#N/A</v>
      </c>
      <c r="W426" s="136" t="e">
        <f ca="1">VLOOKUP(A426,'銀行-TSS'!A:AO,41,FALSE)</f>
        <v>#N/A</v>
      </c>
      <c r="X426" s="136" t="e">
        <f ca="1">VLOOKUP(A426,'銀行-TSS'!A:AP,42,FALSE)</f>
        <v>#N/A</v>
      </c>
      <c r="Y426" s="1223">
        <f t="shared" si="87"/>
        <v>0</v>
      </c>
      <c r="Z426" s="1211">
        <f t="shared" si="90"/>
        <v>0</v>
      </c>
      <c r="AA426" s="136">
        <f>IF(Z426&lt;=0,0,RANK(Z426,Z:Z)+COUNTIF($Z$3:$Z426,Z426)-1)</f>
        <v>0</v>
      </c>
      <c r="AB426" s="1211">
        <f t="shared" ca="1" si="91"/>
        <v>0</v>
      </c>
      <c r="AC426" s="136">
        <f ca="1">IF(AB426&lt;=0,0,RANK(AB426,AB:AB)+COUNTIF($AB$3:$AB426,AB426)-1)</f>
        <v>0</v>
      </c>
      <c r="AD426" s="136">
        <f t="shared" si="92"/>
        <v>99999</v>
      </c>
      <c r="AE426" s="136">
        <f>IF(AD426=99999,0,RANK(AD426,AD:AD,1)+COUNTIF($AD$3:$AD426,AD426)-1)</f>
        <v>0</v>
      </c>
    </row>
    <row r="427" spans="1:31">
      <c r="A427" s="141">
        <f>'銀行-TSS'!A427</f>
        <v>0</v>
      </c>
      <c r="B427" s="151">
        <f ca="1">VLOOKUP(A427,'銀行-TSS'!A:B,2,FALSE)</f>
        <v>0</v>
      </c>
      <c r="C427" s="151" t="e">
        <f ca="1">VLOOKUP(B427,bond!B:C,2,FALSE)</f>
        <v>#N/A</v>
      </c>
      <c r="D427" s="95" t="e">
        <f>VLOOKUP(A427,'銀行-TSS'!A:C,3,FALSE)</f>
        <v>#N/A</v>
      </c>
      <c r="E427" s="90" t="e">
        <f ca="1">VLOOKUP(A427,'銀行-TSS'!A:G,7,FALSE)</f>
        <v>#N/A</v>
      </c>
      <c r="F427" s="202" t="e">
        <f ca="1">VLOOKUP(A427,'銀行-TSS'!A:H,8,FALSE)</f>
        <v>#N/A</v>
      </c>
      <c r="G427" s="96" t="e">
        <f ca="1">VLOOKUP(A427,'銀行-TSS'!A:K,11,FALSE)</f>
        <v>#N/A</v>
      </c>
      <c r="H427" s="1209" t="e">
        <f ca="1">VLOOKUP(A427,'銀行-TSS'!A:M,13,FALSE)</f>
        <v>#N/A</v>
      </c>
      <c r="I427" s="1213" t="e">
        <f ca="1">VLOOKUP(A427,'銀行-TSS'!A:N,14,FALSE)</f>
        <v>#N/A</v>
      </c>
      <c r="J427" s="1213" t="e">
        <f ca="1">VLOOKUP(A427,'銀行-TSS'!A:O,15,FALSE)</f>
        <v>#N/A</v>
      </c>
      <c r="K427" s="136" t="e">
        <f ca="1">VLOOKUP(A427,'銀行-TSS'!A:V,22,FALSE)</f>
        <v>#N/A</v>
      </c>
      <c r="L427" s="136" t="e">
        <f ca="1">VLOOKUP(A427,'銀行-TSS'!A:AK,37,FALSE)</f>
        <v>#N/A</v>
      </c>
      <c r="M427" s="136" t="str">
        <f ca="1">VLOOKUP(A427,'銀行-TSS'!A:AN,40,FALSE)</f>
        <v/>
      </c>
      <c r="N427" s="1211" t="e">
        <f t="shared" ca="1" si="82"/>
        <v>#N/A</v>
      </c>
      <c r="O427" s="1211" t="e">
        <f t="shared" ca="1" si="83"/>
        <v>#N/A</v>
      </c>
      <c r="P427" s="1213" t="e">
        <f ca="1">IF(AND(換券投組!$D$17&gt;=O427,換券投組!$D$13=D427),I427+INT((換券投組!$D$17-O427)/N427)*J427,0)</f>
        <v>#N/A</v>
      </c>
      <c r="Q427" s="1211" t="e">
        <f t="shared" ca="1" si="84"/>
        <v>#N/A</v>
      </c>
      <c r="R427" s="1213">
        <f t="shared" si="85"/>
        <v>0</v>
      </c>
      <c r="S427" s="1213">
        <f t="shared" si="86"/>
        <v>0</v>
      </c>
      <c r="T427" s="136">
        <f t="shared" si="88"/>
        <v>0</v>
      </c>
      <c r="U427" s="861">
        <f t="shared" si="89"/>
        <v>0</v>
      </c>
      <c r="V427" s="136" t="e">
        <f ca="1">IF(OR(D427&lt;&gt;"USD",L427="無",M427&lt;&gt;"",K427="高資產",IFERROR(MATCH(B427,換券投組!K:K,0),"N")&lt;&gt;"N",IFERROR(MATCH(B427,換券投組!J:J,0),"N")&lt;&gt;"N"),FALSE,IF($V$1="All",TRUE,IF(K427=$V$1,TRUE,FALSE)))</f>
        <v>#N/A</v>
      </c>
      <c r="W427" s="136" t="e">
        <f ca="1">VLOOKUP(A427,'銀行-TSS'!A:AO,41,FALSE)</f>
        <v>#N/A</v>
      </c>
      <c r="X427" s="136" t="e">
        <f ca="1">VLOOKUP(A427,'銀行-TSS'!A:AP,42,FALSE)</f>
        <v>#N/A</v>
      </c>
      <c r="Y427" s="1223">
        <f t="shared" si="87"/>
        <v>0</v>
      </c>
      <c r="Z427" s="1211">
        <f t="shared" si="90"/>
        <v>0</v>
      </c>
      <c r="AA427" s="136">
        <f>IF(Z427&lt;=0,0,RANK(Z427,Z:Z)+COUNTIF($Z$3:$Z427,Z427)-1)</f>
        <v>0</v>
      </c>
      <c r="AB427" s="1211">
        <f t="shared" ca="1" si="91"/>
        <v>0</v>
      </c>
      <c r="AC427" s="136">
        <f ca="1">IF(AB427&lt;=0,0,RANK(AB427,AB:AB)+COUNTIF($AB$3:$AB427,AB427)-1)</f>
        <v>0</v>
      </c>
      <c r="AD427" s="136">
        <f t="shared" si="92"/>
        <v>99999</v>
      </c>
      <c r="AE427" s="136">
        <f>IF(AD427=99999,0,RANK(AD427,AD:AD,1)+COUNTIF($AD$3:$AD427,AD427)-1)</f>
        <v>0</v>
      </c>
    </row>
    <row r="428" spans="1:31">
      <c r="A428" s="141">
        <f>'銀行-TSS'!A428</f>
        <v>0</v>
      </c>
      <c r="B428" s="151">
        <f ca="1">VLOOKUP(A428,'銀行-TSS'!A:B,2,FALSE)</f>
        <v>0</v>
      </c>
      <c r="C428" s="151" t="e">
        <f ca="1">VLOOKUP(B428,bond!B:C,2,FALSE)</f>
        <v>#N/A</v>
      </c>
      <c r="D428" s="95" t="e">
        <f>VLOOKUP(A428,'銀行-TSS'!A:C,3,FALSE)</f>
        <v>#N/A</v>
      </c>
      <c r="E428" s="90" t="e">
        <f ca="1">VLOOKUP(A428,'銀行-TSS'!A:G,7,FALSE)</f>
        <v>#N/A</v>
      </c>
      <c r="F428" s="202" t="e">
        <f ca="1">VLOOKUP(A428,'銀行-TSS'!A:H,8,FALSE)</f>
        <v>#N/A</v>
      </c>
      <c r="G428" s="96" t="e">
        <f ca="1">VLOOKUP(A428,'銀行-TSS'!A:K,11,FALSE)</f>
        <v>#N/A</v>
      </c>
      <c r="H428" s="1209" t="e">
        <f ca="1">VLOOKUP(A428,'銀行-TSS'!A:M,13,FALSE)</f>
        <v>#N/A</v>
      </c>
      <c r="I428" s="1213" t="e">
        <f ca="1">VLOOKUP(A428,'銀行-TSS'!A:N,14,FALSE)</f>
        <v>#N/A</v>
      </c>
      <c r="J428" s="1213" t="e">
        <f ca="1">VLOOKUP(A428,'銀行-TSS'!A:O,15,FALSE)</f>
        <v>#N/A</v>
      </c>
      <c r="K428" s="136" t="e">
        <f ca="1">VLOOKUP(A428,'銀行-TSS'!A:V,22,FALSE)</f>
        <v>#N/A</v>
      </c>
      <c r="L428" s="136" t="e">
        <f ca="1">VLOOKUP(A428,'銀行-TSS'!A:AK,37,FALSE)</f>
        <v>#N/A</v>
      </c>
      <c r="M428" s="136" t="str">
        <f ca="1">VLOOKUP(A428,'銀行-TSS'!A:AN,40,FALSE)</f>
        <v/>
      </c>
      <c r="N428" s="1211" t="e">
        <f t="shared" ca="1" si="82"/>
        <v>#N/A</v>
      </c>
      <c r="O428" s="1211" t="e">
        <f t="shared" ca="1" si="83"/>
        <v>#N/A</v>
      </c>
      <c r="P428" s="1213" t="e">
        <f ca="1">IF(AND(換券投組!$D$17&gt;=O428,換券投組!$D$13=D428),I428+INT((換券投組!$D$17-O428)/N428)*J428,0)</f>
        <v>#N/A</v>
      </c>
      <c r="Q428" s="1211" t="e">
        <f t="shared" ca="1" si="84"/>
        <v>#N/A</v>
      </c>
      <c r="R428" s="1213">
        <f t="shared" si="85"/>
        <v>0</v>
      </c>
      <c r="S428" s="1213">
        <f t="shared" si="86"/>
        <v>0</v>
      </c>
      <c r="T428" s="136">
        <f t="shared" si="88"/>
        <v>0</v>
      </c>
      <c r="U428" s="861">
        <f t="shared" si="89"/>
        <v>0</v>
      </c>
      <c r="V428" s="136" t="e">
        <f ca="1">IF(OR(D428&lt;&gt;"USD",L428="無",M428&lt;&gt;"",K428="高資產",IFERROR(MATCH(B428,換券投組!K:K,0),"N")&lt;&gt;"N",IFERROR(MATCH(B428,換券投組!J:J,0),"N")&lt;&gt;"N"),FALSE,IF($V$1="All",TRUE,IF(K428=$V$1,TRUE,FALSE)))</f>
        <v>#N/A</v>
      </c>
      <c r="W428" s="136" t="e">
        <f ca="1">VLOOKUP(A428,'銀行-TSS'!A:AO,41,FALSE)</f>
        <v>#N/A</v>
      </c>
      <c r="X428" s="136" t="e">
        <f ca="1">VLOOKUP(A428,'銀行-TSS'!A:AP,42,FALSE)</f>
        <v>#N/A</v>
      </c>
      <c r="Y428" s="1223">
        <f t="shared" si="87"/>
        <v>0</v>
      </c>
      <c r="Z428" s="1211">
        <f t="shared" si="90"/>
        <v>0</v>
      </c>
      <c r="AA428" s="136">
        <f>IF(Z428&lt;=0,0,RANK(Z428,Z:Z)+COUNTIF($Z$3:$Z428,Z428)-1)</f>
        <v>0</v>
      </c>
      <c r="AB428" s="1211">
        <f t="shared" ca="1" si="91"/>
        <v>0</v>
      </c>
      <c r="AC428" s="136">
        <f ca="1">IF(AB428&lt;=0,0,RANK(AB428,AB:AB)+COUNTIF($AB$3:$AB428,AB428)-1)</f>
        <v>0</v>
      </c>
      <c r="AD428" s="136">
        <f t="shared" si="92"/>
        <v>99999</v>
      </c>
      <c r="AE428" s="136">
        <f>IF(AD428=99999,0,RANK(AD428,AD:AD,1)+COUNTIF($AD$3:$AD428,AD428)-1)</f>
        <v>0</v>
      </c>
    </row>
    <row r="429" spans="1:31">
      <c r="A429" s="141">
        <f>'銀行-TSS'!A429</f>
        <v>0</v>
      </c>
      <c r="B429" s="151">
        <f ca="1">VLOOKUP(A429,'銀行-TSS'!A:B,2,FALSE)</f>
        <v>0</v>
      </c>
      <c r="C429" s="151" t="e">
        <f ca="1">VLOOKUP(B429,bond!B:C,2,FALSE)</f>
        <v>#N/A</v>
      </c>
      <c r="D429" s="95" t="e">
        <f>VLOOKUP(A429,'銀行-TSS'!A:C,3,FALSE)</f>
        <v>#N/A</v>
      </c>
      <c r="E429" s="90" t="e">
        <f ca="1">VLOOKUP(A429,'銀行-TSS'!A:G,7,FALSE)</f>
        <v>#N/A</v>
      </c>
      <c r="F429" s="202" t="e">
        <f ca="1">VLOOKUP(A429,'銀行-TSS'!A:H,8,FALSE)</f>
        <v>#N/A</v>
      </c>
      <c r="G429" s="96" t="e">
        <f ca="1">VLOOKUP(A429,'銀行-TSS'!A:K,11,FALSE)</f>
        <v>#N/A</v>
      </c>
      <c r="H429" s="1209" t="e">
        <f ca="1">VLOOKUP(A429,'銀行-TSS'!A:M,13,FALSE)</f>
        <v>#N/A</v>
      </c>
      <c r="I429" s="1213" t="e">
        <f ca="1">VLOOKUP(A429,'銀行-TSS'!A:N,14,FALSE)</f>
        <v>#N/A</v>
      </c>
      <c r="J429" s="1213" t="e">
        <f ca="1">VLOOKUP(A429,'銀行-TSS'!A:O,15,FALSE)</f>
        <v>#N/A</v>
      </c>
      <c r="K429" s="136" t="e">
        <f ca="1">VLOOKUP(A429,'銀行-TSS'!A:V,22,FALSE)</f>
        <v>#N/A</v>
      </c>
      <c r="L429" s="136" t="e">
        <f ca="1">VLOOKUP(A429,'銀行-TSS'!A:AK,37,FALSE)</f>
        <v>#N/A</v>
      </c>
      <c r="M429" s="136" t="str">
        <f ca="1">VLOOKUP(A429,'銀行-TSS'!A:AN,40,FALSE)</f>
        <v/>
      </c>
      <c r="N429" s="1211" t="e">
        <f t="shared" ca="1" si="82"/>
        <v>#N/A</v>
      </c>
      <c r="O429" s="1211" t="e">
        <f t="shared" ca="1" si="83"/>
        <v>#N/A</v>
      </c>
      <c r="P429" s="1213" t="e">
        <f ca="1">IF(AND(換券投組!$D$17&gt;=O429,換券投組!$D$13=D429),I429+INT((換券投組!$D$17-O429)/N429)*J429,0)</f>
        <v>#N/A</v>
      </c>
      <c r="Q429" s="1211" t="e">
        <f t="shared" ca="1" si="84"/>
        <v>#N/A</v>
      </c>
      <c r="R429" s="1213">
        <f t="shared" si="85"/>
        <v>0</v>
      </c>
      <c r="S429" s="1213">
        <f t="shared" si="86"/>
        <v>0</v>
      </c>
      <c r="T429" s="136">
        <f t="shared" si="88"/>
        <v>0</v>
      </c>
      <c r="U429" s="861">
        <f t="shared" si="89"/>
        <v>0</v>
      </c>
      <c r="V429" s="136" t="e">
        <f ca="1">IF(OR(D429&lt;&gt;"USD",L429="無",M429&lt;&gt;"",K429="高資產",IFERROR(MATCH(B429,換券投組!K:K,0),"N")&lt;&gt;"N",IFERROR(MATCH(B429,換券投組!J:J,0),"N")&lt;&gt;"N"),FALSE,IF($V$1="All",TRUE,IF(K429=$V$1,TRUE,FALSE)))</f>
        <v>#N/A</v>
      </c>
      <c r="W429" s="136" t="e">
        <f ca="1">VLOOKUP(A429,'銀行-TSS'!A:AO,41,FALSE)</f>
        <v>#N/A</v>
      </c>
      <c r="X429" s="136" t="e">
        <f ca="1">VLOOKUP(A429,'銀行-TSS'!A:AP,42,FALSE)</f>
        <v>#N/A</v>
      </c>
      <c r="Y429" s="1223">
        <f t="shared" si="87"/>
        <v>0</v>
      </c>
      <c r="Z429" s="1211">
        <f t="shared" si="90"/>
        <v>0</v>
      </c>
      <c r="AA429" s="136">
        <f>IF(Z429&lt;=0,0,RANK(Z429,Z:Z)+COUNTIF($Z$3:$Z429,Z429)-1)</f>
        <v>0</v>
      </c>
      <c r="AB429" s="1211">
        <f t="shared" ca="1" si="91"/>
        <v>0</v>
      </c>
      <c r="AC429" s="136">
        <f ca="1">IF(AB429&lt;=0,0,RANK(AB429,AB:AB)+COUNTIF($AB$3:$AB429,AB429)-1)</f>
        <v>0</v>
      </c>
      <c r="AD429" s="136">
        <f t="shared" si="92"/>
        <v>99999</v>
      </c>
      <c r="AE429" s="136">
        <f>IF(AD429=99999,0,RANK(AD429,AD:AD,1)+COUNTIF($AD$3:$AD429,AD429)-1)</f>
        <v>0</v>
      </c>
    </row>
    <row r="430" spans="1:31">
      <c r="A430" s="141">
        <f>'銀行-TSS'!A430</f>
        <v>0</v>
      </c>
      <c r="B430" s="151">
        <f ca="1">VLOOKUP(A430,'銀行-TSS'!A:B,2,FALSE)</f>
        <v>0</v>
      </c>
      <c r="C430" s="151" t="e">
        <f ca="1">VLOOKUP(B430,bond!B:C,2,FALSE)</f>
        <v>#N/A</v>
      </c>
      <c r="D430" s="95" t="e">
        <f>VLOOKUP(A430,'銀行-TSS'!A:C,3,FALSE)</f>
        <v>#N/A</v>
      </c>
      <c r="E430" s="90" t="e">
        <f ca="1">VLOOKUP(A430,'銀行-TSS'!A:G,7,FALSE)</f>
        <v>#N/A</v>
      </c>
      <c r="F430" s="202" t="e">
        <f ca="1">VLOOKUP(A430,'銀行-TSS'!A:H,8,FALSE)</f>
        <v>#N/A</v>
      </c>
      <c r="G430" s="96" t="e">
        <f ca="1">VLOOKUP(A430,'銀行-TSS'!A:K,11,FALSE)</f>
        <v>#N/A</v>
      </c>
      <c r="H430" s="1209" t="e">
        <f ca="1">VLOOKUP(A430,'銀行-TSS'!A:M,13,FALSE)</f>
        <v>#N/A</v>
      </c>
      <c r="I430" s="1213" t="e">
        <f ca="1">VLOOKUP(A430,'銀行-TSS'!A:N,14,FALSE)</f>
        <v>#N/A</v>
      </c>
      <c r="J430" s="1213" t="e">
        <f ca="1">VLOOKUP(A430,'銀行-TSS'!A:O,15,FALSE)</f>
        <v>#N/A</v>
      </c>
      <c r="K430" s="136" t="e">
        <f ca="1">VLOOKUP(A430,'銀行-TSS'!A:V,22,FALSE)</f>
        <v>#N/A</v>
      </c>
      <c r="L430" s="136" t="e">
        <f ca="1">VLOOKUP(A430,'銀行-TSS'!A:AK,37,FALSE)</f>
        <v>#N/A</v>
      </c>
      <c r="M430" s="136" t="str">
        <f ca="1">VLOOKUP(A430,'銀行-TSS'!A:AN,40,FALSE)</f>
        <v/>
      </c>
      <c r="N430" s="1211" t="e">
        <f t="shared" ca="1" si="82"/>
        <v>#N/A</v>
      </c>
      <c r="O430" s="1211" t="e">
        <f t="shared" ca="1" si="83"/>
        <v>#N/A</v>
      </c>
      <c r="P430" s="1213" t="e">
        <f ca="1">IF(AND(換券投組!$D$17&gt;=O430,換券投組!$D$13=D430),I430+INT((換券投組!$D$17-O430)/N430)*J430,0)</f>
        <v>#N/A</v>
      </c>
      <c r="Q430" s="1211" t="e">
        <f t="shared" ca="1" si="84"/>
        <v>#N/A</v>
      </c>
      <c r="R430" s="1213">
        <f t="shared" si="85"/>
        <v>0</v>
      </c>
      <c r="S430" s="1213">
        <f t="shared" si="86"/>
        <v>0</v>
      </c>
      <c r="T430" s="136">
        <f t="shared" si="88"/>
        <v>0</v>
      </c>
      <c r="U430" s="861">
        <f t="shared" si="89"/>
        <v>0</v>
      </c>
      <c r="V430" s="136" t="e">
        <f ca="1">IF(OR(D430&lt;&gt;"USD",L430="無",M430&lt;&gt;"",K430="高資產",IFERROR(MATCH(B430,換券投組!K:K,0),"N")&lt;&gt;"N",IFERROR(MATCH(B430,換券投組!J:J,0),"N")&lt;&gt;"N"),FALSE,IF($V$1="All",TRUE,IF(K430=$V$1,TRUE,FALSE)))</f>
        <v>#N/A</v>
      </c>
      <c r="W430" s="136" t="e">
        <f ca="1">VLOOKUP(A430,'銀行-TSS'!A:AO,41,FALSE)</f>
        <v>#N/A</v>
      </c>
      <c r="X430" s="136" t="e">
        <f ca="1">VLOOKUP(A430,'銀行-TSS'!A:AP,42,FALSE)</f>
        <v>#N/A</v>
      </c>
      <c r="Y430" s="1223">
        <f t="shared" si="87"/>
        <v>0</v>
      </c>
      <c r="Z430" s="1211">
        <f t="shared" si="90"/>
        <v>0</v>
      </c>
      <c r="AA430" s="136">
        <f>IF(Z430&lt;=0,0,RANK(Z430,Z:Z)+COUNTIF($Z$3:$Z430,Z430)-1)</f>
        <v>0</v>
      </c>
      <c r="AB430" s="1211">
        <f t="shared" ca="1" si="91"/>
        <v>0</v>
      </c>
      <c r="AC430" s="136">
        <f ca="1">IF(AB430&lt;=0,0,RANK(AB430,AB:AB)+COUNTIF($AB$3:$AB430,AB430)-1)</f>
        <v>0</v>
      </c>
      <c r="AD430" s="136">
        <f t="shared" si="92"/>
        <v>99999</v>
      </c>
      <c r="AE430" s="136">
        <f>IF(AD430=99999,0,RANK(AD430,AD:AD,1)+COUNTIF($AD$3:$AD430,AD430)-1)</f>
        <v>0</v>
      </c>
    </row>
    <row r="431" spans="1:31">
      <c r="A431" s="141">
        <f>'銀行-TSS'!A431</f>
        <v>0</v>
      </c>
      <c r="B431" s="151">
        <f ca="1">VLOOKUP(A431,'銀行-TSS'!A:B,2,FALSE)</f>
        <v>0</v>
      </c>
      <c r="C431" s="151" t="e">
        <f ca="1">VLOOKUP(B431,bond!B:C,2,FALSE)</f>
        <v>#N/A</v>
      </c>
      <c r="D431" s="95" t="e">
        <f>VLOOKUP(A431,'銀行-TSS'!A:C,3,FALSE)</f>
        <v>#N/A</v>
      </c>
      <c r="E431" s="90" t="e">
        <f ca="1">VLOOKUP(A431,'銀行-TSS'!A:G,7,FALSE)</f>
        <v>#N/A</v>
      </c>
      <c r="F431" s="202" t="e">
        <f ca="1">VLOOKUP(A431,'銀行-TSS'!A:H,8,FALSE)</f>
        <v>#N/A</v>
      </c>
      <c r="G431" s="96" t="e">
        <f ca="1">VLOOKUP(A431,'銀行-TSS'!A:K,11,FALSE)</f>
        <v>#N/A</v>
      </c>
      <c r="H431" s="1209" t="e">
        <f ca="1">VLOOKUP(A431,'銀行-TSS'!A:M,13,FALSE)</f>
        <v>#N/A</v>
      </c>
      <c r="I431" s="1213" t="e">
        <f ca="1">VLOOKUP(A431,'銀行-TSS'!A:N,14,FALSE)</f>
        <v>#N/A</v>
      </c>
      <c r="J431" s="1213" t="e">
        <f ca="1">VLOOKUP(A431,'銀行-TSS'!A:O,15,FALSE)</f>
        <v>#N/A</v>
      </c>
      <c r="K431" s="136" t="e">
        <f ca="1">VLOOKUP(A431,'銀行-TSS'!A:V,22,FALSE)</f>
        <v>#N/A</v>
      </c>
      <c r="L431" s="136" t="e">
        <f ca="1">VLOOKUP(A431,'銀行-TSS'!A:AK,37,FALSE)</f>
        <v>#N/A</v>
      </c>
      <c r="M431" s="136" t="str">
        <f ca="1">VLOOKUP(A431,'銀行-TSS'!A:AN,40,FALSE)</f>
        <v/>
      </c>
      <c r="N431" s="1211" t="e">
        <f t="shared" ca="1" si="82"/>
        <v>#N/A</v>
      </c>
      <c r="O431" s="1211" t="e">
        <f t="shared" ca="1" si="83"/>
        <v>#N/A</v>
      </c>
      <c r="P431" s="1213" t="e">
        <f ca="1">IF(AND(換券投組!$D$17&gt;=O431,換券投組!$D$13=D431),I431+INT((換券投組!$D$17-O431)/N431)*J431,0)</f>
        <v>#N/A</v>
      </c>
      <c r="Q431" s="1211" t="e">
        <f t="shared" ca="1" si="84"/>
        <v>#N/A</v>
      </c>
      <c r="R431" s="1213">
        <f t="shared" si="85"/>
        <v>0</v>
      </c>
      <c r="S431" s="1213">
        <f t="shared" si="86"/>
        <v>0</v>
      </c>
      <c r="T431" s="136">
        <f t="shared" si="88"/>
        <v>0</v>
      </c>
      <c r="U431" s="861">
        <f t="shared" si="89"/>
        <v>0</v>
      </c>
      <c r="V431" s="136" t="e">
        <f ca="1">IF(OR(D431&lt;&gt;"USD",L431="無",M431&lt;&gt;"",K431="高資產",IFERROR(MATCH(B431,換券投組!K:K,0),"N")&lt;&gt;"N",IFERROR(MATCH(B431,換券投組!J:J,0),"N")&lt;&gt;"N"),FALSE,IF($V$1="All",TRUE,IF(K431=$V$1,TRUE,FALSE)))</f>
        <v>#N/A</v>
      </c>
      <c r="W431" s="136" t="e">
        <f ca="1">VLOOKUP(A431,'銀行-TSS'!A:AO,41,FALSE)</f>
        <v>#N/A</v>
      </c>
      <c r="X431" s="136" t="e">
        <f ca="1">VLOOKUP(A431,'銀行-TSS'!A:AP,42,FALSE)</f>
        <v>#N/A</v>
      </c>
      <c r="Y431" s="1223">
        <f t="shared" si="87"/>
        <v>0</v>
      </c>
      <c r="Z431" s="1211">
        <f t="shared" si="90"/>
        <v>0</v>
      </c>
      <c r="AA431" s="136">
        <f>IF(Z431&lt;=0,0,RANK(Z431,Z:Z)+COUNTIF($Z$3:$Z431,Z431)-1)</f>
        <v>0</v>
      </c>
      <c r="AB431" s="1211">
        <f t="shared" ca="1" si="91"/>
        <v>0</v>
      </c>
      <c r="AC431" s="136">
        <f ca="1">IF(AB431&lt;=0,0,RANK(AB431,AB:AB)+COUNTIF($AB$3:$AB431,AB431)-1)</f>
        <v>0</v>
      </c>
      <c r="AD431" s="136">
        <f t="shared" si="92"/>
        <v>99999</v>
      </c>
      <c r="AE431" s="136">
        <f>IF(AD431=99999,0,RANK(AD431,AD:AD,1)+COUNTIF($AD$3:$AD431,AD431)-1)</f>
        <v>0</v>
      </c>
    </row>
    <row r="432" spans="1:31">
      <c r="A432" s="141">
        <f>'銀行-TSS'!A432</f>
        <v>0</v>
      </c>
      <c r="B432" s="151">
        <f ca="1">VLOOKUP(A432,'銀行-TSS'!A:B,2,FALSE)</f>
        <v>0</v>
      </c>
      <c r="C432" s="151" t="e">
        <f ca="1">VLOOKUP(B432,bond!B:C,2,FALSE)</f>
        <v>#N/A</v>
      </c>
      <c r="D432" s="95" t="e">
        <f>VLOOKUP(A432,'銀行-TSS'!A:C,3,FALSE)</f>
        <v>#N/A</v>
      </c>
      <c r="E432" s="90" t="e">
        <f ca="1">VLOOKUP(A432,'銀行-TSS'!A:G,7,FALSE)</f>
        <v>#N/A</v>
      </c>
      <c r="F432" s="202" t="e">
        <f ca="1">VLOOKUP(A432,'銀行-TSS'!A:H,8,FALSE)</f>
        <v>#N/A</v>
      </c>
      <c r="G432" s="96" t="e">
        <f ca="1">VLOOKUP(A432,'銀行-TSS'!A:K,11,FALSE)</f>
        <v>#N/A</v>
      </c>
      <c r="H432" s="1209" t="e">
        <f ca="1">VLOOKUP(A432,'銀行-TSS'!A:M,13,FALSE)</f>
        <v>#N/A</v>
      </c>
      <c r="I432" s="1213" t="e">
        <f ca="1">VLOOKUP(A432,'銀行-TSS'!A:N,14,FALSE)</f>
        <v>#N/A</v>
      </c>
      <c r="J432" s="1213" t="e">
        <f ca="1">VLOOKUP(A432,'銀行-TSS'!A:O,15,FALSE)</f>
        <v>#N/A</v>
      </c>
      <c r="K432" s="136" t="e">
        <f ca="1">VLOOKUP(A432,'銀行-TSS'!A:V,22,FALSE)</f>
        <v>#N/A</v>
      </c>
      <c r="L432" s="136" t="e">
        <f ca="1">VLOOKUP(A432,'銀行-TSS'!A:AK,37,FALSE)</f>
        <v>#N/A</v>
      </c>
      <c r="M432" s="136" t="str">
        <f ca="1">VLOOKUP(A432,'銀行-TSS'!A:AN,40,FALSE)</f>
        <v/>
      </c>
      <c r="N432" s="1211" t="e">
        <f t="shared" ca="1" si="82"/>
        <v>#N/A</v>
      </c>
      <c r="O432" s="1211" t="e">
        <f t="shared" ca="1" si="83"/>
        <v>#N/A</v>
      </c>
      <c r="P432" s="1213" t="e">
        <f ca="1">IF(AND(換券投組!$D$17&gt;=O432,換券投組!$D$13=D432),I432+INT((換券投組!$D$17-O432)/N432)*J432,0)</f>
        <v>#N/A</v>
      </c>
      <c r="Q432" s="1211" t="e">
        <f t="shared" ca="1" si="84"/>
        <v>#N/A</v>
      </c>
      <c r="R432" s="1213">
        <f t="shared" si="85"/>
        <v>0</v>
      </c>
      <c r="S432" s="1213">
        <f t="shared" si="86"/>
        <v>0</v>
      </c>
      <c r="T432" s="136">
        <f t="shared" si="88"/>
        <v>0</v>
      </c>
      <c r="U432" s="861">
        <f t="shared" si="89"/>
        <v>0</v>
      </c>
      <c r="V432" s="136" t="e">
        <f ca="1">IF(OR(D432&lt;&gt;"USD",L432="無",M432&lt;&gt;"",K432="高資產",IFERROR(MATCH(B432,換券投組!K:K,0),"N")&lt;&gt;"N",IFERROR(MATCH(B432,換券投組!J:J,0),"N")&lt;&gt;"N"),FALSE,IF($V$1="All",TRUE,IF(K432=$V$1,TRUE,FALSE)))</f>
        <v>#N/A</v>
      </c>
      <c r="W432" s="136" t="e">
        <f ca="1">VLOOKUP(A432,'銀行-TSS'!A:AO,41,FALSE)</f>
        <v>#N/A</v>
      </c>
      <c r="X432" s="136" t="e">
        <f ca="1">VLOOKUP(A432,'銀行-TSS'!A:AP,42,FALSE)</f>
        <v>#N/A</v>
      </c>
      <c r="Y432" s="1223">
        <f t="shared" si="87"/>
        <v>0</v>
      </c>
      <c r="Z432" s="1211">
        <f t="shared" si="90"/>
        <v>0</v>
      </c>
      <c r="AA432" s="136">
        <f>IF(Z432&lt;=0,0,RANK(Z432,Z:Z)+COUNTIF($Z$3:$Z432,Z432)-1)</f>
        <v>0</v>
      </c>
      <c r="AB432" s="1211">
        <f t="shared" ca="1" si="91"/>
        <v>0</v>
      </c>
      <c r="AC432" s="136">
        <f ca="1">IF(AB432&lt;=0,0,RANK(AB432,AB:AB)+COUNTIF($AB$3:$AB432,AB432)-1)</f>
        <v>0</v>
      </c>
      <c r="AD432" s="136">
        <f t="shared" si="92"/>
        <v>99999</v>
      </c>
      <c r="AE432" s="136">
        <f>IF(AD432=99999,0,RANK(AD432,AD:AD,1)+COUNTIF($AD$3:$AD432,AD432)-1)</f>
        <v>0</v>
      </c>
    </row>
    <row r="433" spans="1:31">
      <c r="A433" s="141">
        <f>'銀行-TSS'!A433</f>
        <v>0</v>
      </c>
      <c r="B433" s="151">
        <f ca="1">VLOOKUP(A433,'銀行-TSS'!A:B,2,FALSE)</f>
        <v>0</v>
      </c>
      <c r="C433" s="151" t="e">
        <f ca="1">VLOOKUP(B433,bond!B:C,2,FALSE)</f>
        <v>#N/A</v>
      </c>
      <c r="D433" s="95" t="e">
        <f>VLOOKUP(A433,'銀行-TSS'!A:C,3,FALSE)</f>
        <v>#N/A</v>
      </c>
      <c r="E433" s="90" t="e">
        <f ca="1">VLOOKUP(A433,'銀行-TSS'!A:G,7,FALSE)</f>
        <v>#N/A</v>
      </c>
      <c r="F433" s="202" t="e">
        <f ca="1">VLOOKUP(A433,'銀行-TSS'!A:H,8,FALSE)</f>
        <v>#N/A</v>
      </c>
      <c r="G433" s="96" t="e">
        <f ca="1">VLOOKUP(A433,'銀行-TSS'!A:K,11,FALSE)</f>
        <v>#N/A</v>
      </c>
      <c r="H433" s="1209" t="e">
        <f ca="1">VLOOKUP(A433,'銀行-TSS'!A:M,13,FALSE)</f>
        <v>#N/A</v>
      </c>
      <c r="I433" s="1213" t="e">
        <f ca="1">VLOOKUP(A433,'銀行-TSS'!A:N,14,FALSE)</f>
        <v>#N/A</v>
      </c>
      <c r="J433" s="1213" t="e">
        <f ca="1">VLOOKUP(A433,'銀行-TSS'!A:O,15,FALSE)</f>
        <v>#N/A</v>
      </c>
      <c r="K433" s="136" t="e">
        <f ca="1">VLOOKUP(A433,'銀行-TSS'!A:V,22,FALSE)</f>
        <v>#N/A</v>
      </c>
      <c r="L433" s="136" t="e">
        <f ca="1">VLOOKUP(A433,'銀行-TSS'!A:AK,37,FALSE)</f>
        <v>#N/A</v>
      </c>
      <c r="M433" s="136" t="str">
        <f ca="1">VLOOKUP(A433,'銀行-TSS'!A:AN,40,FALSE)</f>
        <v/>
      </c>
      <c r="N433" s="1211" t="e">
        <f t="shared" ca="1" si="82"/>
        <v>#N/A</v>
      </c>
      <c r="O433" s="1211" t="e">
        <f t="shared" ca="1" si="83"/>
        <v>#N/A</v>
      </c>
      <c r="P433" s="1213" t="e">
        <f ca="1">IF(AND(換券投組!$D$17&gt;=O433,換券投組!$D$13=D433),I433+INT((換券投組!$D$17-O433)/N433)*J433,0)</f>
        <v>#N/A</v>
      </c>
      <c r="Q433" s="1211" t="e">
        <f t="shared" ca="1" si="84"/>
        <v>#N/A</v>
      </c>
      <c r="R433" s="1213">
        <f t="shared" si="85"/>
        <v>0</v>
      </c>
      <c r="S433" s="1213">
        <f t="shared" si="86"/>
        <v>0</v>
      </c>
      <c r="T433" s="136">
        <f t="shared" si="88"/>
        <v>0</v>
      </c>
      <c r="U433" s="861">
        <f t="shared" si="89"/>
        <v>0</v>
      </c>
      <c r="V433" s="136" t="e">
        <f ca="1">IF(OR(D433&lt;&gt;"USD",L433="無",M433&lt;&gt;"",K433="高資產",IFERROR(MATCH(B433,換券投組!K:K,0),"N")&lt;&gt;"N",IFERROR(MATCH(B433,換券投組!J:J,0),"N")&lt;&gt;"N"),FALSE,IF($V$1="All",TRUE,IF(K433=$V$1,TRUE,FALSE)))</f>
        <v>#N/A</v>
      </c>
      <c r="W433" s="136" t="e">
        <f ca="1">VLOOKUP(A433,'銀行-TSS'!A:AO,41,FALSE)</f>
        <v>#N/A</v>
      </c>
      <c r="X433" s="136" t="e">
        <f ca="1">VLOOKUP(A433,'銀行-TSS'!A:AP,42,FALSE)</f>
        <v>#N/A</v>
      </c>
      <c r="Y433" s="1223">
        <f t="shared" si="87"/>
        <v>0</v>
      </c>
      <c r="Z433" s="1211">
        <f t="shared" si="90"/>
        <v>0</v>
      </c>
      <c r="AA433" s="136">
        <f>IF(Z433&lt;=0,0,RANK(Z433,Z:Z)+COUNTIF($Z$3:$Z433,Z433)-1)</f>
        <v>0</v>
      </c>
      <c r="AB433" s="1211">
        <f t="shared" ca="1" si="91"/>
        <v>0</v>
      </c>
      <c r="AC433" s="136">
        <f ca="1">IF(AB433&lt;=0,0,RANK(AB433,AB:AB)+COUNTIF($AB$3:$AB433,AB433)-1)</f>
        <v>0</v>
      </c>
      <c r="AD433" s="136">
        <f t="shared" si="92"/>
        <v>99999</v>
      </c>
      <c r="AE433" s="136">
        <f>IF(AD433=99999,0,RANK(AD433,AD:AD,1)+COUNTIF($AD$3:$AD433,AD433)-1)</f>
        <v>0</v>
      </c>
    </row>
    <row r="434" spans="1:31">
      <c r="A434" s="141">
        <f>'銀行-TSS'!A434</f>
        <v>0</v>
      </c>
      <c r="B434" s="151">
        <f ca="1">VLOOKUP(A434,'銀行-TSS'!A:B,2,FALSE)</f>
        <v>0</v>
      </c>
      <c r="C434" s="151" t="e">
        <f ca="1">VLOOKUP(B434,bond!B:C,2,FALSE)</f>
        <v>#N/A</v>
      </c>
      <c r="D434" s="95" t="e">
        <f>VLOOKUP(A434,'銀行-TSS'!A:C,3,FALSE)</f>
        <v>#N/A</v>
      </c>
      <c r="E434" s="90" t="e">
        <f ca="1">VLOOKUP(A434,'銀行-TSS'!A:G,7,FALSE)</f>
        <v>#N/A</v>
      </c>
      <c r="F434" s="202" t="e">
        <f ca="1">VLOOKUP(A434,'銀行-TSS'!A:H,8,FALSE)</f>
        <v>#N/A</v>
      </c>
      <c r="G434" s="96" t="e">
        <f ca="1">VLOOKUP(A434,'銀行-TSS'!A:K,11,FALSE)</f>
        <v>#N/A</v>
      </c>
      <c r="H434" s="1209" t="e">
        <f ca="1">VLOOKUP(A434,'銀行-TSS'!A:M,13,FALSE)</f>
        <v>#N/A</v>
      </c>
      <c r="I434" s="1213" t="e">
        <f ca="1">VLOOKUP(A434,'銀行-TSS'!A:N,14,FALSE)</f>
        <v>#N/A</v>
      </c>
      <c r="J434" s="1213" t="e">
        <f ca="1">VLOOKUP(A434,'銀行-TSS'!A:O,15,FALSE)</f>
        <v>#N/A</v>
      </c>
      <c r="K434" s="136" t="e">
        <f ca="1">VLOOKUP(A434,'銀行-TSS'!A:V,22,FALSE)</f>
        <v>#N/A</v>
      </c>
      <c r="L434" s="136" t="e">
        <f ca="1">VLOOKUP(A434,'銀行-TSS'!A:AK,37,FALSE)</f>
        <v>#N/A</v>
      </c>
      <c r="M434" s="136" t="str">
        <f ca="1">VLOOKUP(A434,'銀行-TSS'!A:AN,40,FALSE)</f>
        <v/>
      </c>
      <c r="N434" s="1211" t="e">
        <f t="shared" ca="1" si="82"/>
        <v>#N/A</v>
      </c>
      <c r="O434" s="1211" t="e">
        <f t="shared" ca="1" si="83"/>
        <v>#N/A</v>
      </c>
      <c r="P434" s="1213" t="e">
        <f ca="1">IF(AND(換券投組!$D$17&gt;=O434,換券投組!$D$13=D434),I434+INT((換券投組!$D$17-O434)/N434)*J434,0)</f>
        <v>#N/A</v>
      </c>
      <c r="Q434" s="1211" t="e">
        <f t="shared" ca="1" si="84"/>
        <v>#N/A</v>
      </c>
      <c r="R434" s="1213">
        <f t="shared" si="85"/>
        <v>0</v>
      </c>
      <c r="S434" s="1213">
        <f t="shared" si="86"/>
        <v>0</v>
      </c>
      <c r="T434" s="136">
        <f t="shared" si="88"/>
        <v>0</v>
      </c>
      <c r="U434" s="861">
        <f t="shared" si="89"/>
        <v>0</v>
      </c>
      <c r="V434" s="136" t="e">
        <f ca="1">IF(OR(D434&lt;&gt;"USD",L434="無",M434&lt;&gt;"",K434="高資產",IFERROR(MATCH(B434,換券投組!K:K,0),"N")&lt;&gt;"N",IFERROR(MATCH(B434,換券投組!J:J,0),"N")&lt;&gt;"N"),FALSE,IF($V$1="All",TRUE,IF(K434=$V$1,TRUE,FALSE)))</f>
        <v>#N/A</v>
      </c>
      <c r="W434" s="136" t="e">
        <f ca="1">VLOOKUP(A434,'銀行-TSS'!A:AO,41,FALSE)</f>
        <v>#N/A</v>
      </c>
      <c r="X434" s="136" t="e">
        <f ca="1">VLOOKUP(A434,'銀行-TSS'!A:AP,42,FALSE)</f>
        <v>#N/A</v>
      </c>
      <c r="Y434" s="1223">
        <f t="shared" si="87"/>
        <v>0</v>
      </c>
      <c r="Z434" s="1211">
        <f t="shared" si="90"/>
        <v>0</v>
      </c>
      <c r="AA434" s="136">
        <f>IF(Z434&lt;=0,0,RANK(Z434,Z:Z)+COUNTIF($Z$3:$Z434,Z434)-1)</f>
        <v>0</v>
      </c>
      <c r="AB434" s="1211">
        <f t="shared" ca="1" si="91"/>
        <v>0</v>
      </c>
      <c r="AC434" s="136">
        <f ca="1">IF(AB434&lt;=0,0,RANK(AB434,AB:AB)+COUNTIF($AB$3:$AB434,AB434)-1)</f>
        <v>0</v>
      </c>
      <c r="AD434" s="136">
        <f t="shared" si="92"/>
        <v>99999</v>
      </c>
      <c r="AE434" s="136">
        <f>IF(AD434=99999,0,RANK(AD434,AD:AD,1)+COUNTIF($AD$3:$AD434,AD434)-1)</f>
        <v>0</v>
      </c>
    </row>
    <row r="435" spans="1:31">
      <c r="A435" s="141">
        <f>'銀行-TSS'!A435</f>
        <v>0</v>
      </c>
      <c r="B435" s="151">
        <f ca="1">VLOOKUP(A435,'銀行-TSS'!A:B,2,FALSE)</f>
        <v>0</v>
      </c>
      <c r="C435" s="151" t="e">
        <f ca="1">VLOOKUP(B435,bond!B:C,2,FALSE)</f>
        <v>#N/A</v>
      </c>
      <c r="D435" s="95" t="e">
        <f>VLOOKUP(A435,'銀行-TSS'!A:C,3,FALSE)</f>
        <v>#N/A</v>
      </c>
      <c r="E435" s="90" t="e">
        <f ca="1">VLOOKUP(A435,'銀行-TSS'!A:G,7,FALSE)</f>
        <v>#N/A</v>
      </c>
      <c r="F435" s="202" t="e">
        <f ca="1">VLOOKUP(A435,'銀行-TSS'!A:H,8,FALSE)</f>
        <v>#N/A</v>
      </c>
      <c r="G435" s="96" t="e">
        <f ca="1">VLOOKUP(A435,'銀行-TSS'!A:K,11,FALSE)</f>
        <v>#N/A</v>
      </c>
      <c r="H435" s="1209" t="e">
        <f ca="1">VLOOKUP(A435,'銀行-TSS'!A:M,13,FALSE)</f>
        <v>#N/A</v>
      </c>
      <c r="I435" s="1213" t="e">
        <f ca="1">VLOOKUP(A435,'銀行-TSS'!A:N,14,FALSE)</f>
        <v>#N/A</v>
      </c>
      <c r="J435" s="1213" t="e">
        <f ca="1">VLOOKUP(A435,'銀行-TSS'!A:O,15,FALSE)</f>
        <v>#N/A</v>
      </c>
      <c r="K435" s="136" t="e">
        <f ca="1">VLOOKUP(A435,'銀行-TSS'!A:V,22,FALSE)</f>
        <v>#N/A</v>
      </c>
      <c r="L435" s="136" t="e">
        <f ca="1">VLOOKUP(A435,'銀行-TSS'!A:AK,37,FALSE)</f>
        <v>#N/A</v>
      </c>
      <c r="M435" s="136" t="str">
        <f ca="1">VLOOKUP(A435,'銀行-TSS'!A:AN,40,FALSE)</f>
        <v/>
      </c>
      <c r="N435" s="1211" t="e">
        <f t="shared" ca="1" si="82"/>
        <v>#N/A</v>
      </c>
      <c r="O435" s="1211" t="e">
        <f t="shared" ca="1" si="83"/>
        <v>#N/A</v>
      </c>
      <c r="P435" s="1213" t="e">
        <f ca="1">IF(AND(換券投組!$D$17&gt;=O435,換券投組!$D$13=D435),I435+INT((換券投組!$D$17-O435)/N435)*J435,0)</f>
        <v>#N/A</v>
      </c>
      <c r="Q435" s="1211" t="e">
        <f t="shared" ca="1" si="84"/>
        <v>#N/A</v>
      </c>
      <c r="R435" s="1213">
        <f t="shared" si="85"/>
        <v>0</v>
      </c>
      <c r="S435" s="1213">
        <f t="shared" si="86"/>
        <v>0</v>
      </c>
      <c r="T435" s="136">
        <f t="shared" si="88"/>
        <v>0</v>
      </c>
      <c r="U435" s="861">
        <f t="shared" si="89"/>
        <v>0</v>
      </c>
      <c r="V435" s="136" t="e">
        <f ca="1">IF(OR(D435&lt;&gt;"USD",L435="無",M435&lt;&gt;"",K435="高資產",IFERROR(MATCH(B435,換券投組!K:K,0),"N")&lt;&gt;"N",IFERROR(MATCH(B435,換券投組!J:J,0),"N")&lt;&gt;"N"),FALSE,IF($V$1="All",TRUE,IF(K435=$V$1,TRUE,FALSE)))</f>
        <v>#N/A</v>
      </c>
      <c r="W435" s="136" t="e">
        <f ca="1">VLOOKUP(A435,'銀行-TSS'!A:AO,41,FALSE)</f>
        <v>#N/A</v>
      </c>
      <c r="X435" s="136" t="e">
        <f ca="1">VLOOKUP(A435,'銀行-TSS'!A:AP,42,FALSE)</f>
        <v>#N/A</v>
      </c>
      <c r="Y435" s="1223">
        <f t="shared" si="87"/>
        <v>0</v>
      </c>
      <c r="Z435" s="1211">
        <f t="shared" si="90"/>
        <v>0</v>
      </c>
      <c r="AA435" s="136">
        <f>IF(Z435&lt;=0,0,RANK(Z435,Z:Z)+COUNTIF($Z$3:$Z435,Z435)-1)</f>
        <v>0</v>
      </c>
      <c r="AB435" s="1211">
        <f t="shared" ca="1" si="91"/>
        <v>0</v>
      </c>
      <c r="AC435" s="136">
        <f ca="1">IF(AB435&lt;=0,0,RANK(AB435,AB:AB)+COUNTIF($AB$3:$AB435,AB435)-1)</f>
        <v>0</v>
      </c>
      <c r="AD435" s="136">
        <f t="shared" si="92"/>
        <v>99999</v>
      </c>
      <c r="AE435" s="136">
        <f>IF(AD435=99999,0,RANK(AD435,AD:AD,1)+COUNTIF($AD$3:$AD435,AD435)-1)</f>
        <v>0</v>
      </c>
    </row>
    <row r="436" spans="1:31">
      <c r="A436" s="141">
        <f>'銀行-TSS'!A436</f>
        <v>0</v>
      </c>
      <c r="B436" s="151">
        <f ca="1">VLOOKUP(A436,'銀行-TSS'!A:B,2,FALSE)</f>
        <v>0</v>
      </c>
      <c r="C436" s="151" t="e">
        <f ca="1">VLOOKUP(B436,bond!B:C,2,FALSE)</f>
        <v>#N/A</v>
      </c>
      <c r="D436" s="95" t="e">
        <f>VLOOKUP(A436,'銀行-TSS'!A:C,3,FALSE)</f>
        <v>#N/A</v>
      </c>
      <c r="E436" s="90" t="e">
        <f ca="1">VLOOKUP(A436,'銀行-TSS'!A:G,7,FALSE)</f>
        <v>#N/A</v>
      </c>
      <c r="F436" s="202" t="e">
        <f ca="1">VLOOKUP(A436,'銀行-TSS'!A:H,8,FALSE)</f>
        <v>#N/A</v>
      </c>
      <c r="G436" s="96" t="e">
        <f ca="1">VLOOKUP(A436,'銀行-TSS'!A:K,11,FALSE)</f>
        <v>#N/A</v>
      </c>
      <c r="H436" s="1209" t="e">
        <f ca="1">VLOOKUP(A436,'銀行-TSS'!A:M,13,FALSE)</f>
        <v>#N/A</v>
      </c>
      <c r="I436" s="1213" t="e">
        <f ca="1">VLOOKUP(A436,'銀行-TSS'!A:N,14,FALSE)</f>
        <v>#N/A</v>
      </c>
      <c r="J436" s="1213" t="e">
        <f ca="1">VLOOKUP(A436,'銀行-TSS'!A:O,15,FALSE)</f>
        <v>#N/A</v>
      </c>
      <c r="K436" s="136" t="e">
        <f ca="1">VLOOKUP(A436,'銀行-TSS'!A:V,22,FALSE)</f>
        <v>#N/A</v>
      </c>
      <c r="L436" s="136" t="e">
        <f ca="1">VLOOKUP(A436,'銀行-TSS'!A:AK,37,FALSE)</f>
        <v>#N/A</v>
      </c>
      <c r="M436" s="136" t="str">
        <f ca="1">VLOOKUP(A436,'銀行-TSS'!A:AN,40,FALSE)</f>
        <v/>
      </c>
      <c r="N436" s="1211" t="e">
        <f t="shared" ca="1" si="82"/>
        <v>#N/A</v>
      </c>
      <c r="O436" s="1211" t="e">
        <f t="shared" ca="1" si="83"/>
        <v>#N/A</v>
      </c>
      <c r="P436" s="1213" t="e">
        <f ca="1">IF(AND(換券投組!$D$17&gt;=O436,換券投組!$D$13=D436),I436+INT((換券投組!$D$17-O436)/N436)*J436,0)</f>
        <v>#N/A</v>
      </c>
      <c r="Q436" s="1211" t="e">
        <f t="shared" ca="1" si="84"/>
        <v>#N/A</v>
      </c>
      <c r="R436" s="1213">
        <f t="shared" si="85"/>
        <v>0</v>
      </c>
      <c r="S436" s="1213">
        <f t="shared" si="86"/>
        <v>0</v>
      </c>
      <c r="T436" s="136">
        <f t="shared" si="88"/>
        <v>0</v>
      </c>
      <c r="U436" s="861">
        <f t="shared" si="89"/>
        <v>0</v>
      </c>
      <c r="V436" s="136" t="e">
        <f ca="1">IF(OR(D436&lt;&gt;"USD",L436="無",M436&lt;&gt;"",K436="高資產",IFERROR(MATCH(B436,換券投組!K:K,0),"N")&lt;&gt;"N",IFERROR(MATCH(B436,換券投組!J:J,0),"N")&lt;&gt;"N"),FALSE,IF($V$1="All",TRUE,IF(K436=$V$1,TRUE,FALSE)))</f>
        <v>#N/A</v>
      </c>
      <c r="W436" s="136" t="e">
        <f ca="1">VLOOKUP(A436,'銀行-TSS'!A:AO,41,FALSE)</f>
        <v>#N/A</v>
      </c>
      <c r="X436" s="136" t="e">
        <f ca="1">VLOOKUP(A436,'銀行-TSS'!A:AP,42,FALSE)</f>
        <v>#N/A</v>
      </c>
      <c r="Y436" s="1223">
        <f t="shared" si="87"/>
        <v>0</v>
      </c>
      <c r="Z436" s="1211">
        <f t="shared" si="90"/>
        <v>0</v>
      </c>
      <c r="AA436" s="136">
        <f>IF(Z436&lt;=0,0,RANK(Z436,Z:Z)+COUNTIF($Z$3:$Z436,Z436)-1)</f>
        <v>0</v>
      </c>
      <c r="AB436" s="1211">
        <f t="shared" ca="1" si="91"/>
        <v>0</v>
      </c>
      <c r="AC436" s="136">
        <f ca="1">IF(AB436&lt;=0,0,RANK(AB436,AB:AB)+COUNTIF($AB$3:$AB436,AB436)-1)</f>
        <v>0</v>
      </c>
      <c r="AD436" s="136">
        <f t="shared" si="92"/>
        <v>99999</v>
      </c>
      <c r="AE436" s="136">
        <f>IF(AD436=99999,0,RANK(AD436,AD:AD,1)+COUNTIF($AD$3:$AD436,AD436)-1)</f>
        <v>0</v>
      </c>
    </row>
    <row r="437" spans="1:31">
      <c r="A437" s="141">
        <f>'銀行-TSS'!A437</f>
        <v>0</v>
      </c>
      <c r="B437" s="151">
        <f ca="1">VLOOKUP(A437,'銀行-TSS'!A:B,2,FALSE)</f>
        <v>0</v>
      </c>
      <c r="C437" s="151" t="e">
        <f ca="1">VLOOKUP(B437,bond!B:C,2,FALSE)</f>
        <v>#N/A</v>
      </c>
      <c r="D437" s="95" t="e">
        <f>VLOOKUP(A437,'銀行-TSS'!A:C,3,FALSE)</f>
        <v>#N/A</v>
      </c>
      <c r="E437" s="90" t="e">
        <f ca="1">VLOOKUP(A437,'銀行-TSS'!A:G,7,FALSE)</f>
        <v>#N/A</v>
      </c>
      <c r="F437" s="202" t="e">
        <f ca="1">VLOOKUP(A437,'銀行-TSS'!A:H,8,FALSE)</f>
        <v>#N/A</v>
      </c>
      <c r="G437" s="96" t="e">
        <f ca="1">VLOOKUP(A437,'銀行-TSS'!A:K,11,FALSE)</f>
        <v>#N/A</v>
      </c>
      <c r="H437" s="1209" t="e">
        <f ca="1">VLOOKUP(A437,'銀行-TSS'!A:M,13,FALSE)</f>
        <v>#N/A</v>
      </c>
      <c r="I437" s="1213" t="e">
        <f ca="1">VLOOKUP(A437,'銀行-TSS'!A:N,14,FALSE)</f>
        <v>#N/A</v>
      </c>
      <c r="J437" s="1213" t="e">
        <f ca="1">VLOOKUP(A437,'銀行-TSS'!A:O,15,FALSE)</f>
        <v>#N/A</v>
      </c>
      <c r="K437" s="136" t="e">
        <f ca="1">VLOOKUP(A437,'銀行-TSS'!A:V,22,FALSE)</f>
        <v>#N/A</v>
      </c>
      <c r="L437" s="136" t="e">
        <f ca="1">VLOOKUP(A437,'銀行-TSS'!A:AK,37,FALSE)</f>
        <v>#N/A</v>
      </c>
      <c r="M437" s="136" t="str">
        <f ca="1">VLOOKUP(A437,'銀行-TSS'!A:AN,40,FALSE)</f>
        <v/>
      </c>
      <c r="N437" s="1211" t="e">
        <f t="shared" ca="1" si="82"/>
        <v>#N/A</v>
      </c>
      <c r="O437" s="1211" t="e">
        <f t="shared" ca="1" si="83"/>
        <v>#N/A</v>
      </c>
      <c r="P437" s="1213" t="e">
        <f ca="1">IF(AND(換券投組!$D$17&gt;=O437,換券投組!$D$13=D437),I437+INT((換券投組!$D$17-O437)/N437)*J437,0)</f>
        <v>#N/A</v>
      </c>
      <c r="Q437" s="1211" t="e">
        <f t="shared" ca="1" si="84"/>
        <v>#N/A</v>
      </c>
      <c r="R437" s="1213">
        <f t="shared" si="85"/>
        <v>0</v>
      </c>
      <c r="S437" s="1213">
        <f t="shared" si="86"/>
        <v>0</v>
      </c>
      <c r="T437" s="136">
        <f t="shared" si="88"/>
        <v>0</v>
      </c>
      <c r="U437" s="861">
        <f t="shared" si="89"/>
        <v>0</v>
      </c>
      <c r="V437" s="136" t="e">
        <f ca="1">IF(OR(D437&lt;&gt;"USD",L437="無",M437&lt;&gt;"",K437="高資產",IFERROR(MATCH(B437,換券投組!K:K,0),"N")&lt;&gt;"N",IFERROR(MATCH(B437,換券投組!J:J,0),"N")&lt;&gt;"N"),FALSE,IF($V$1="All",TRUE,IF(K437=$V$1,TRUE,FALSE)))</f>
        <v>#N/A</v>
      </c>
      <c r="W437" s="136" t="e">
        <f ca="1">VLOOKUP(A437,'銀行-TSS'!A:AO,41,FALSE)</f>
        <v>#N/A</v>
      </c>
      <c r="X437" s="136" t="e">
        <f ca="1">VLOOKUP(A437,'銀行-TSS'!A:AP,42,FALSE)</f>
        <v>#N/A</v>
      </c>
      <c r="Y437" s="1223">
        <f t="shared" si="87"/>
        <v>0</v>
      </c>
      <c r="Z437" s="1211">
        <f t="shared" si="90"/>
        <v>0</v>
      </c>
      <c r="AA437" s="136">
        <f>IF(Z437&lt;=0,0,RANK(Z437,Z:Z)+COUNTIF($Z$3:$Z437,Z437)-1)</f>
        <v>0</v>
      </c>
      <c r="AB437" s="1211">
        <f t="shared" ca="1" si="91"/>
        <v>0</v>
      </c>
      <c r="AC437" s="136">
        <f ca="1">IF(AB437&lt;=0,0,RANK(AB437,AB:AB)+COUNTIF($AB$3:$AB437,AB437)-1)</f>
        <v>0</v>
      </c>
      <c r="AD437" s="136">
        <f t="shared" si="92"/>
        <v>99999</v>
      </c>
      <c r="AE437" s="136">
        <f>IF(AD437=99999,0,RANK(AD437,AD:AD,1)+COUNTIF($AD$3:$AD437,AD437)-1)</f>
        <v>0</v>
      </c>
    </row>
    <row r="438" spans="1:31">
      <c r="A438" s="141">
        <f>'銀行-TSS'!A438</f>
        <v>0</v>
      </c>
      <c r="B438" s="151">
        <f ca="1">VLOOKUP(A438,'銀行-TSS'!A:B,2,FALSE)</f>
        <v>0</v>
      </c>
      <c r="C438" s="151" t="e">
        <f ca="1">VLOOKUP(B438,bond!B:C,2,FALSE)</f>
        <v>#N/A</v>
      </c>
      <c r="D438" s="95" t="e">
        <f>VLOOKUP(A438,'銀行-TSS'!A:C,3,FALSE)</f>
        <v>#N/A</v>
      </c>
      <c r="E438" s="90" t="e">
        <f ca="1">VLOOKUP(A438,'銀行-TSS'!A:G,7,FALSE)</f>
        <v>#N/A</v>
      </c>
      <c r="F438" s="202" t="e">
        <f ca="1">VLOOKUP(A438,'銀行-TSS'!A:H,8,FALSE)</f>
        <v>#N/A</v>
      </c>
      <c r="G438" s="96" t="e">
        <f ca="1">VLOOKUP(A438,'銀行-TSS'!A:K,11,FALSE)</f>
        <v>#N/A</v>
      </c>
      <c r="H438" s="1209" t="e">
        <f ca="1">VLOOKUP(A438,'銀行-TSS'!A:M,13,FALSE)</f>
        <v>#N/A</v>
      </c>
      <c r="I438" s="1213" t="e">
        <f ca="1">VLOOKUP(A438,'銀行-TSS'!A:N,14,FALSE)</f>
        <v>#N/A</v>
      </c>
      <c r="J438" s="1213" t="e">
        <f ca="1">VLOOKUP(A438,'銀行-TSS'!A:O,15,FALSE)</f>
        <v>#N/A</v>
      </c>
      <c r="K438" s="136" t="e">
        <f ca="1">VLOOKUP(A438,'銀行-TSS'!A:V,22,FALSE)</f>
        <v>#N/A</v>
      </c>
      <c r="L438" s="136" t="e">
        <f ca="1">VLOOKUP(A438,'銀行-TSS'!A:AK,37,FALSE)</f>
        <v>#N/A</v>
      </c>
      <c r="M438" s="136" t="str">
        <f ca="1">VLOOKUP(A438,'銀行-TSS'!A:AN,40,FALSE)</f>
        <v/>
      </c>
      <c r="N438" s="1211" t="e">
        <f t="shared" ca="1" si="82"/>
        <v>#N/A</v>
      </c>
      <c r="O438" s="1211" t="e">
        <f t="shared" ca="1" si="83"/>
        <v>#N/A</v>
      </c>
      <c r="P438" s="1213" t="e">
        <f ca="1">IF(AND(換券投組!$D$17&gt;=O438,換券投組!$D$13=D438),I438+INT((換券投組!$D$17-O438)/N438)*J438,0)</f>
        <v>#N/A</v>
      </c>
      <c r="Q438" s="1211" t="e">
        <f t="shared" ca="1" si="84"/>
        <v>#N/A</v>
      </c>
      <c r="R438" s="1213">
        <f t="shared" si="85"/>
        <v>0</v>
      </c>
      <c r="S438" s="1213">
        <f t="shared" si="86"/>
        <v>0</v>
      </c>
      <c r="T438" s="136">
        <f t="shared" si="88"/>
        <v>0</v>
      </c>
      <c r="U438" s="861">
        <f t="shared" si="89"/>
        <v>0</v>
      </c>
      <c r="V438" s="136" t="e">
        <f ca="1">IF(OR(D438&lt;&gt;"USD",L438="無",M438&lt;&gt;"",K438="高資產",IFERROR(MATCH(B438,換券投組!K:K,0),"N")&lt;&gt;"N",IFERROR(MATCH(B438,換券投組!J:J,0),"N")&lt;&gt;"N"),FALSE,IF($V$1="All",TRUE,IF(K438=$V$1,TRUE,FALSE)))</f>
        <v>#N/A</v>
      </c>
      <c r="W438" s="136" t="e">
        <f ca="1">VLOOKUP(A438,'銀行-TSS'!A:AO,41,FALSE)</f>
        <v>#N/A</v>
      </c>
      <c r="X438" s="136" t="e">
        <f ca="1">VLOOKUP(A438,'銀行-TSS'!A:AP,42,FALSE)</f>
        <v>#N/A</v>
      </c>
      <c r="Y438" s="1223">
        <f t="shared" si="87"/>
        <v>0</v>
      </c>
      <c r="Z438" s="1211">
        <f t="shared" si="90"/>
        <v>0</v>
      </c>
      <c r="AA438" s="136">
        <f>IF(Z438&lt;=0,0,RANK(Z438,Z:Z)+COUNTIF($Z$3:$Z438,Z438)-1)</f>
        <v>0</v>
      </c>
      <c r="AB438" s="1211">
        <f t="shared" ca="1" si="91"/>
        <v>0</v>
      </c>
      <c r="AC438" s="136">
        <f ca="1">IF(AB438&lt;=0,0,RANK(AB438,AB:AB)+COUNTIF($AB$3:$AB438,AB438)-1)</f>
        <v>0</v>
      </c>
      <c r="AD438" s="136">
        <f t="shared" si="92"/>
        <v>99999</v>
      </c>
      <c r="AE438" s="136">
        <f>IF(AD438=99999,0,RANK(AD438,AD:AD,1)+COUNTIF($AD$3:$AD438,AD438)-1)</f>
        <v>0</v>
      </c>
    </row>
    <row r="439" spans="1:31">
      <c r="A439" s="141">
        <f>'銀行-TSS'!A439</f>
        <v>0</v>
      </c>
      <c r="B439" s="151">
        <f ca="1">VLOOKUP(A439,'銀行-TSS'!A:B,2,FALSE)</f>
        <v>0</v>
      </c>
      <c r="C439" s="151" t="e">
        <f ca="1">VLOOKUP(B439,bond!B:C,2,FALSE)</f>
        <v>#N/A</v>
      </c>
      <c r="D439" s="95" t="e">
        <f>VLOOKUP(A439,'銀行-TSS'!A:C,3,FALSE)</f>
        <v>#N/A</v>
      </c>
      <c r="E439" s="90" t="e">
        <f ca="1">VLOOKUP(A439,'銀行-TSS'!A:G,7,FALSE)</f>
        <v>#N/A</v>
      </c>
      <c r="F439" s="202" t="e">
        <f ca="1">VLOOKUP(A439,'銀行-TSS'!A:H,8,FALSE)</f>
        <v>#N/A</v>
      </c>
      <c r="G439" s="96" t="e">
        <f ca="1">VLOOKUP(A439,'銀行-TSS'!A:K,11,FALSE)</f>
        <v>#N/A</v>
      </c>
      <c r="H439" s="1209" t="e">
        <f ca="1">VLOOKUP(A439,'銀行-TSS'!A:M,13,FALSE)</f>
        <v>#N/A</v>
      </c>
      <c r="I439" s="1213" t="e">
        <f ca="1">VLOOKUP(A439,'銀行-TSS'!A:N,14,FALSE)</f>
        <v>#N/A</v>
      </c>
      <c r="J439" s="1213" t="e">
        <f ca="1">VLOOKUP(A439,'銀行-TSS'!A:O,15,FALSE)</f>
        <v>#N/A</v>
      </c>
      <c r="K439" s="136" t="e">
        <f ca="1">VLOOKUP(A439,'銀行-TSS'!A:V,22,FALSE)</f>
        <v>#N/A</v>
      </c>
      <c r="L439" s="136" t="e">
        <f ca="1">VLOOKUP(A439,'銀行-TSS'!A:AK,37,FALSE)</f>
        <v>#N/A</v>
      </c>
      <c r="M439" s="136" t="str">
        <f ca="1">VLOOKUP(A439,'銀行-TSS'!A:AN,40,FALSE)</f>
        <v/>
      </c>
      <c r="N439" s="1211" t="e">
        <f t="shared" ca="1" si="82"/>
        <v>#N/A</v>
      </c>
      <c r="O439" s="1211" t="e">
        <f t="shared" ca="1" si="83"/>
        <v>#N/A</v>
      </c>
      <c r="P439" s="1213" t="e">
        <f ca="1">IF(AND(換券投組!$D$17&gt;=O439,換券投組!$D$13=D439),I439+INT((換券投組!$D$17-O439)/N439)*J439,0)</f>
        <v>#N/A</v>
      </c>
      <c r="Q439" s="1211" t="e">
        <f t="shared" ca="1" si="84"/>
        <v>#N/A</v>
      </c>
      <c r="R439" s="1213">
        <f t="shared" si="85"/>
        <v>0</v>
      </c>
      <c r="S439" s="1213">
        <f t="shared" si="86"/>
        <v>0</v>
      </c>
      <c r="T439" s="136">
        <f t="shared" si="88"/>
        <v>0</v>
      </c>
      <c r="U439" s="861">
        <f t="shared" si="89"/>
        <v>0</v>
      </c>
      <c r="V439" s="136" t="e">
        <f ca="1">IF(OR(D439&lt;&gt;"USD",L439="無",M439&lt;&gt;"",K439="高資產",IFERROR(MATCH(B439,換券投組!K:K,0),"N")&lt;&gt;"N",IFERROR(MATCH(B439,換券投組!J:J,0),"N")&lt;&gt;"N"),FALSE,IF($V$1="All",TRUE,IF(K439=$V$1,TRUE,FALSE)))</f>
        <v>#N/A</v>
      </c>
      <c r="W439" s="136" t="e">
        <f ca="1">VLOOKUP(A439,'銀行-TSS'!A:AO,41,FALSE)</f>
        <v>#N/A</v>
      </c>
      <c r="X439" s="136" t="e">
        <f ca="1">VLOOKUP(A439,'銀行-TSS'!A:AP,42,FALSE)</f>
        <v>#N/A</v>
      </c>
      <c r="Y439" s="1223">
        <f t="shared" si="87"/>
        <v>0</v>
      </c>
      <c r="Z439" s="1211">
        <f t="shared" si="90"/>
        <v>0</v>
      </c>
      <c r="AA439" s="136">
        <f>IF(Z439&lt;=0,0,RANK(Z439,Z:Z)+COUNTIF($Z$3:$Z439,Z439)-1)</f>
        <v>0</v>
      </c>
      <c r="AB439" s="1211">
        <f t="shared" ca="1" si="91"/>
        <v>0</v>
      </c>
      <c r="AC439" s="136">
        <f ca="1">IF(AB439&lt;=0,0,RANK(AB439,AB:AB)+COUNTIF($AB$3:$AB439,AB439)-1)</f>
        <v>0</v>
      </c>
      <c r="AD439" s="136">
        <f t="shared" si="92"/>
        <v>99999</v>
      </c>
      <c r="AE439" s="136">
        <f>IF(AD439=99999,0,RANK(AD439,AD:AD,1)+COUNTIF($AD$3:$AD439,AD439)-1)</f>
        <v>0</v>
      </c>
    </row>
    <row r="440" spans="1:31">
      <c r="A440" s="141">
        <f>'銀行-TSS'!A440</f>
        <v>0</v>
      </c>
      <c r="B440" s="151">
        <f ca="1">VLOOKUP(A440,'銀行-TSS'!A:B,2,FALSE)</f>
        <v>0</v>
      </c>
      <c r="C440" s="151" t="e">
        <f ca="1">VLOOKUP(B440,bond!B:C,2,FALSE)</f>
        <v>#N/A</v>
      </c>
      <c r="D440" s="95" t="e">
        <f>VLOOKUP(A440,'銀行-TSS'!A:C,3,FALSE)</f>
        <v>#N/A</v>
      </c>
      <c r="E440" s="90" t="e">
        <f ca="1">VLOOKUP(A440,'銀行-TSS'!A:G,7,FALSE)</f>
        <v>#N/A</v>
      </c>
      <c r="F440" s="202" t="e">
        <f ca="1">VLOOKUP(A440,'銀行-TSS'!A:H,8,FALSE)</f>
        <v>#N/A</v>
      </c>
      <c r="G440" s="96" t="e">
        <f ca="1">VLOOKUP(A440,'銀行-TSS'!A:K,11,FALSE)</f>
        <v>#N/A</v>
      </c>
      <c r="H440" s="1209" t="e">
        <f ca="1">VLOOKUP(A440,'銀行-TSS'!A:M,13,FALSE)</f>
        <v>#N/A</v>
      </c>
      <c r="I440" s="1213" t="e">
        <f ca="1">VLOOKUP(A440,'銀行-TSS'!A:N,14,FALSE)</f>
        <v>#N/A</v>
      </c>
      <c r="J440" s="1213" t="e">
        <f ca="1">VLOOKUP(A440,'銀行-TSS'!A:O,15,FALSE)</f>
        <v>#N/A</v>
      </c>
      <c r="K440" s="136" t="e">
        <f ca="1">VLOOKUP(A440,'銀行-TSS'!A:V,22,FALSE)</f>
        <v>#N/A</v>
      </c>
      <c r="L440" s="136" t="e">
        <f ca="1">VLOOKUP(A440,'銀行-TSS'!A:AK,37,FALSE)</f>
        <v>#N/A</v>
      </c>
      <c r="M440" s="136" t="str">
        <f ca="1">VLOOKUP(A440,'銀行-TSS'!A:AN,40,FALSE)</f>
        <v/>
      </c>
      <c r="N440" s="1211" t="e">
        <f t="shared" ca="1" si="82"/>
        <v>#N/A</v>
      </c>
      <c r="O440" s="1211" t="e">
        <f t="shared" ca="1" si="83"/>
        <v>#N/A</v>
      </c>
      <c r="P440" s="1213" t="e">
        <f ca="1">IF(AND(換券投組!$D$17&gt;=O440,換券投組!$D$13=D440),I440+INT((換券投組!$D$17-O440)/N440)*J440,0)</f>
        <v>#N/A</v>
      </c>
      <c r="Q440" s="1211" t="e">
        <f t="shared" ca="1" si="84"/>
        <v>#N/A</v>
      </c>
      <c r="R440" s="1213">
        <f t="shared" si="85"/>
        <v>0</v>
      </c>
      <c r="S440" s="1213">
        <f t="shared" si="86"/>
        <v>0</v>
      </c>
      <c r="T440" s="136">
        <f t="shared" si="88"/>
        <v>0</v>
      </c>
      <c r="U440" s="861">
        <f t="shared" si="89"/>
        <v>0</v>
      </c>
      <c r="V440" s="136" t="e">
        <f ca="1">IF(OR(D440&lt;&gt;"USD",L440="無",M440&lt;&gt;"",K440="高資產",IFERROR(MATCH(B440,換券投組!K:K,0),"N")&lt;&gt;"N",IFERROR(MATCH(B440,換券投組!J:J,0),"N")&lt;&gt;"N"),FALSE,IF($V$1="All",TRUE,IF(K440=$V$1,TRUE,FALSE)))</f>
        <v>#N/A</v>
      </c>
      <c r="W440" s="136" t="e">
        <f ca="1">VLOOKUP(A440,'銀行-TSS'!A:AO,41,FALSE)</f>
        <v>#N/A</v>
      </c>
      <c r="X440" s="136" t="e">
        <f ca="1">VLOOKUP(A440,'銀行-TSS'!A:AP,42,FALSE)</f>
        <v>#N/A</v>
      </c>
      <c r="Y440" s="1223">
        <f t="shared" si="87"/>
        <v>0</v>
      </c>
      <c r="Z440" s="1211">
        <f t="shared" si="90"/>
        <v>0</v>
      </c>
      <c r="AA440" s="136">
        <f>IF(Z440&lt;=0,0,RANK(Z440,Z:Z)+COUNTIF($Z$3:$Z440,Z440)-1)</f>
        <v>0</v>
      </c>
      <c r="AB440" s="1211">
        <f t="shared" ca="1" si="91"/>
        <v>0</v>
      </c>
      <c r="AC440" s="136">
        <f ca="1">IF(AB440&lt;=0,0,RANK(AB440,AB:AB)+COUNTIF($AB$3:$AB440,AB440)-1)</f>
        <v>0</v>
      </c>
      <c r="AD440" s="136">
        <f t="shared" si="92"/>
        <v>99999</v>
      </c>
      <c r="AE440" s="136">
        <f>IF(AD440=99999,0,RANK(AD440,AD:AD,1)+COUNTIF($AD$3:$AD440,AD440)-1)</f>
        <v>0</v>
      </c>
    </row>
    <row r="441" spans="1:31">
      <c r="A441" s="141">
        <f>'銀行-TSS'!A441</f>
        <v>0</v>
      </c>
      <c r="B441" s="151">
        <f ca="1">VLOOKUP(A441,'銀行-TSS'!A:B,2,FALSE)</f>
        <v>0</v>
      </c>
      <c r="C441" s="151" t="e">
        <f ca="1">VLOOKUP(B441,bond!B:C,2,FALSE)</f>
        <v>#N/A</v>
      </c>
      <c r="D441" s="95" t="e">
        <f>VLOOKUP(A441,'銀行-TSS'!A:C,3,FALSE)</f>
        <v>#N/A</v>
      </c>
      <c r="E441" s="90" t="e">
        <f ca="1">VLOOKUP(A441,'銀行-TSS'!A:G,7,FALSE)</f>
        <v>#N/A</v>
      </c>
      <c r="F441" s="202" t="e">
        <f ca="1">VLOOKUP(A441,'銀行-TSS'!A:H,8,FALSE)</f>
        <v>#N/A</v>
      </c>
      <c r="G441" s="96" t="e">
        <f ca="1">VLOOKUP(A441,'銀行-TSS'!A:K,11,FALSE)</f>
        <v>#N/A</v>
      </c>
      <c r="H441" s="1209" t="e">
        <f ca="1">VLOOKUP(A441,'銀行-TSS'!A:M,13,FALSE)</f>
        <v>#N/A</v>
      </c>
      <c r="I441" s="1213" t="e">
        <f ca="1">VLOOKUP(A441,'銀行-TSS'!A:N,14,FALSE)</f>
        <v>#N/A</v>
      </c>
      <c r="J441" s="1213" t="e">
        <f ca="1">VLOOKUP(A441,'銀行-TSS'!A:O,15,FALSE)</f>
        <v>#N/A</v>
      </c>
      <c r="K441" s="136" t="e">
        <f ca="1">VLOOKUP(A441,'銀行-TSS'!A:V,22,FALSE)</f>
        <v>#N/A</v>
      </c>
      <c r="L441" s="136" t="e">
        <f ca="1">VLOOKUP(A441,'銀行-TSS'!A:AK,37,FALSE)</f>
        <v>#N/A</v>
      </c>
      <c r="M441" s="136" t="str">
        <f ca="1">VLOOKUP(A441,'銀行-TSS'!A:AN,40,FALSE)</f>
        <v/>
      </c>
      <c r="N441" s="1211" t="e">
        <f t="shared" ca="1" si="82"/>
        <v>#N/A</v>
      </c>
      <c r="O441" s="1211" t="e">
        <f t="shared" ca="1" si="83"/>
        <v>#N/A</v>
      </c>
      <c r="P441" s="1213" t="e">
        <f ca="1">IF(AND(換券投組!$D$17&gt;=O441,換券投組!$D$13=D441),I441+INT((換券投組!$D$17-O441)/N441)*J441,0)</f>
        <v>#N/A</v>
      </c>
      <c r="Q441" s="1211" t="e">
        <f t="shared" ca="1" si="84"/>
        <v>#N/A</v>
      </c>
      <c r="R441" s="1213">
        <f t="shared" si="85"/>
        <v>0</v>
      </c>
      <c r="S441" s="1213">
        <f t="shared" si="86"/>
        <v>0</v>
      </c>
      <c r="T441" s="136">
        <f t="shared" si="88"/>
        <v>0</v>
      </c>
      <c r="U441" s="861">
        <f t="shared" si="89"/>
        <v>0</v>
      </c>
      <c r="V441" s="136" t="e">
        <f ca="1">IF(OR(D441&lt;&gt;"USD",L441="無",M441&lt;&gt;"",K441="高資產",IFERROR(MATCH(B441,換券投組!K:K,0),"N")&lt;&gt;"N",IFERROR(MATCH(B441,換券投組!J:J,0),"N")&lt;&gt;"N"),FALSE,IF($V$1="All",TRUE,IF(K441=$V$1,TRUE,FALSE)))</f>
        <v>#N/A</v>
      </c>
      <c r="W441" s="136" t="e">
        <f ca="1">VLOOKUP(A441,'銀行-TSS'!A:AO,41,FALSE)</f>
        <v>#N/A</v>
      </c>
      <c r="X441" s="136" t="e">
        <f ca="1">VLOOKUP(A441,'銀行-TSS'!A:AP,42,FALSE)</f>
        <v>#N/A</v>
      </c>
      <c r="Y441" s="1223">
        <f t="shared" si="87"/>
        <v>0</v>
      </c>
      <c r="Z441" s="1211">
        <f t="shared" si="90"/>
        <v>0</v>
      </c>
      <c r="AA441" s="136">
        <f>IF(Z441&lt;=0,0,RANK(Z441,Z:Z)+COUNTIF($Z$3:$Z441,Z441)-1)</f>
        <v>0</v>
      </c>
      <c r="AB441" s="1211">
        <f t="shared" ca="1" si="91"/>
        <v>0</v>
      </c>
      <c r="AC441" s="136">
        <f ca="1">IF(AB441&lt;=0,0,RANK(AB441,AB:AB)+COUNTIF($AB$3:$AB441,AB441)-1)</f>
        <v>0</v>
      </c>
      <c r="AD441" s="136">
        <f t="shared" si="92"/>
        <v>99999</v>
      </c>
      <c r="AE441" s="136">
        <f>IF(AD441=99999,0,RANK(AD441,AD:AD,1)+COUNTIF($AD$3:$AD441,AD441)-1)</f>
        <v>0</v>
      </c>
    </row>
    <row r="442" spans="1:31">
      <c r="A442" s="141">
        <f>'銀行-TSS'!A442</f>
        <v>0</v>
      </c>
      <c r="B442" s="151">
        <f ca="1">VLOOKUP(A442,'銀行-TSS'!A:B,2,FALSE)</f>
        <v>0</v>
      </c>
      <c r="C442" s="151" t="e">
        <f ca="1">VLOOKUP(B442,bond!B:C,2,FALSE)</f>
        <v>#N/A</v>
      </c>
      <c r="D442" s="95" t="e">
        <f>VLOOKUP(A442,'銀行-TSS'!A:C,3,FALSE)</f>
        <v>#N/A</v>
      </c>
      <c r="E442" s="90" t="e">
        <f ca="1">VLOOKUP(A442,'銀行-TSS'!A:G,7,FALSE)</f>
        <v>#N/A</v>
      </c>
      <c r="F442" s="202" t="e">
        <f ca="1">VLOOKUP(A442,'銀行-TSS'!A:H,8,FALSE)</f>
        <v>#N/A</v>
      </c>
      <c r="G442" s="96" t="e">
        <f ca="1">VLOOKUP(A442,'銀行-TSS'!A:K,11,FALSE)</f>
        <v>#N/A</v>
      </c>
      <c r="H442" s="1209" t="e">
        <f ca="1">VLOOKUP(A442,'銀行-TSS'!A:M,13,FALSE)</f>
        <v>#N/A</v>
      </c>
      <c r="I442" s="1213" t="e">
        <f ca="1">VLOOKUP(A442,'銀行-TSS'!A:N,14,FALSE)</f>
        <v>#N/A</v>
      </c>
      <c r="J442" s="1213" t="e">
        <f ca="1">VLOOKUP(A442,'銀行-TSS'!A:O,15,FALSE)</f>
        <v>#N/A</v>
      </c>
      <c r="K442" s="136" t="e">
        <f ca="1">VLOOKUP(A442,'銀行-TSS'!A:V,22,FALSE)</f>
        <v>#N/A</v>
      </c>
      <c r="L442" s="136" t="e">
        <f ca="1">VLOOKUP(A442,'銀行-TSS'!A:AK,37,FALSE)</f>
        <v>#N/A</v>
      </c>
      <c r="M442" s="136" t="str">
        <f ca="1">VLOOKUP(A442,'銀行-TSS'!A:AN,40,FALSE)</f>
        <v/>
      </c>
      <c r="N442" s="1211" t="e">
        <f t="shared" ca="1" si="82"/>
        <v>#N/A</v>
      </c>
      <c r="O442" s="1211" t="e">
        <f t="shared" ca="1" si="83"/>
        <v>#N/A</v>
      </c>
      <c r="P442" s="1213" t="e">
        <f ca="1">IF(AND(換券投組!$D$17&gt;=O442,換券投組!$D$13=D442),I442+INT((換券投組!$D$17-O442)/N442)*J442,0)</f>
        <v>#N/A</v>
      </c>
      <c r="Q442" s="1211" t="e">
        <f t="shared" ca="1" si="84"/>
        <v>#N/A</v>
      </c>
      <c r="R442" s="1213">
        <f t="shared" si="85"/>
        <v>0</v>
      </c>
      <c r="S442" s="1213">
        <f t="shared" si="86"/>
        <v>0</v>
      </c>
      <c r="T442" s="136">
        <f t="shared" si="88"/>
        <v>0</v>
      </c>
      <c r="U442" s="861">
        <f t="shared" si="89"/>
        <v>0</v>
      </c>
      <c r="V442" s="136" t="e">
        <f ca="1">IF(OR(D442&lt;&gt;"USD",L442="無",M442&lt;&gt;"",K442="高資產",IFERROR(MATCH(B442,換券投組!K:K,0),"N")&lt;&gt;"N",IFERROR(MATCH(B442,換券投組!J:J,0),"N")&lt;&gt;"N"),FALSE,IF($V$1="All",TRUE,IF(K442=$V$1,TRUE,FALSE)))</f>
        <v>#N/A</v>
      </c>
      <c r="W442" s="136" t="e">
        <f ca="1">VLOOKUP(A442,'銀行-TSS'!A:AO,41,FALSE)</f>
        <v>#N/A</v>
      </c>
      <c r="X442" s="136" t="e">
        <f ca="1">VLOOKUP(A442,'銀行-TSS'!A:AP,42,FALSE)</f>
        <v>#N/A</v>
      </c>
      <c r="Y442" s="1223">
        <f t="shared" si="87"/>
        <v>0</v>
      </c>
      <c r="Z442" s="1211">
        <f t="shared" si="90"/>
        <v>0</v>
      </c>
      <c r="AA442" s="136">
        <f>IF(Z442&lt;=0,0,RANK(Z442,Z:Z)+COUNTIF($Z$3:$Z442,Z442)-1)</f>
        <v>0</v>
      </c>
      <c r="AB442" s="1211">
        <f t="shared" ca="1" si="91"/>
        <v>0</v>
      </c>
      <c r="AC442" s="136">
        <f ca="1">IF(AB442&lt;=0,0,RANK(AB442,AB:AB)+COUNTIF($AB$3:$AB442,AB442)-1)</f>
        <v>0</v>
      </c>
      <c r="AD442" s="136">
        <f t="shared" si="92"/>
        <v>99999</v>
      </c>
      <c r="AE442" s="136">
        <f>IF(AD442=99999,0,RANK(AD442,AD:AD,1)+COUNTIF($AD$3:$AD442,AD442)-1)</f>
        <v>0</v>
      </c>
    </row>
    <row r="443" spans="1:31">
      <c r="A443" s="141">
        <f>'銀行-TSS'!A443</f>
        <v>0</v>
      </c>
      <c r="B443" s="151">
        <f ca="1">VLOOKUP(A443,'銀行-TSS'!A:B,2,FALSE)</f>
        <v>0</v>
      </c>
      <c r="C443" s="151" t="e">
        <f ca="1">VLOOKUP(B443,bond!B:C,2,FALSE)</f>
        <v>#N/A</v>
      </c>
      <c r="D443" s="95" t="e">
        <f>VLOOKUP(A443,'銀行-TSS'!A:C,3,FALSE)</f>
        <v>#N/A</v>
      </c>
      <c r="E443" s="90" t="e">
        <f ca="1">VLOOKUP(A443,'銀行-TSS'!A:G,7,FALSE)</f>
        <v>#N/A</v>
      </c>
      <c r="F443" s="202" t="e">
        <f ca="1">VLOOKUP(A443,'銀行-TSS'!A:H,8,FALSE)</f>
        <v>#N/A</v>
      </c>
      <c r="G443" s="96" t="e">
        <f ca="1">VLOOKUP(A443,'銀行-TSS'!A:K,11,FALSE)</f>
        <v>#N/A</v>
      </c>
      <c r="H443" s="1209" t="e">
        <f ca="1">VLOOKUP(A443,'銀行-TSS'!A:M,13,FALSE)</f>
        <v>#N/A</v>
      </c>
      <c r="I443" s="1213" t="e">
        <f ca="1">VLOOKUP(A443,'銀行-TSS'!A:N,14,FALSE)</f>
        <v>#N/A</v>
      </c>
      <c r="J443" s="1213" t="e">
        <f ca="1">VLOOKUP(A443,'銀行-TSS'!A:O,15,FALSE)</f>
        <v>#N/A</v>
      </c>
      <c r="K443" s="136" t="e">
        <f ca="1">VLOOKUP(A443,'銀行-TSS'!A:V,22,FALSE)</f>
        <v>#N/A</v>
      </c>
      <c r="L443" s="136" t="e">
        <f ca="1">VLOOKUP(A443,'銀行-TSS'!A:AK,37,FALSE)</f>
        <v>#N/A</v>
      </c>
      <c r="M443" s="136" t="str">
        <f ca="1">VLOOKUP(A443,'銀行-TSS'!A:AN,40,FALSE)</f>
        <v/>
      </c>
      <c r="N443" s="1211" t="e">
        <f t="shared" ca="1" si="82"/>
        <v>#N/A</v>
      </c>
      <c r="O443" s="1211" t="e">
        <f t="shared" ca="1" si="83"/>
        <v>#N/A</v>
      </c>
      <c r="P443" s="1213" t="e">
        <f ca="1">IF(AND(換券投組!$D$17&gt;=O443,換券投組!$D$13=D443),I443+INT((換券投組!$D$17-O443)/N443)*J443,0)</f>
        <v>#N/A</v>
      </c>
      <c r="Q443" s="1211" t="e">
        <f t="shared" ca="1" si="84"/>
        <v>#N/A</v>
      </c>
      <c r="R443" s="1213">
        <f t="shared" si="85"/>
        <v>0</v>
      </c>
      <c r="S443" s="1213">
        <f t="shared" si="86"/>
        <v>0</v>
      </c>
      <c r="T443" s="136">
        <f t="shared" si="88"/>
        <v>0</v>
      </c>
      <c r="U443" s="861">
        <f t="shared" si="89"/>
        <v>0</v>
      </c>
      <c r="V443" s="136" t="e">
        <f ca="1">IF(OR(D443&lt;&gt;"USD",L443="無",M443&lt;&gt;"",K443="高資產",IFERROR(MATCH(B443,換券投組!K:K,0),"N")&lt;&gt;"N",IFERROR(MATCH(B443,換券投組!J:J,0),"N")&lt;&gt;"N"),FALSE,IF($V$1="All",TRUE,IF(K443=$V$1,TRUE,FALSE)))</f>
        <v>#N/A</v>
      </c>
      <c r="W443" s="136" t="e">
        <f ca="1">VLOOKUP(A443,'銀行-TSS'!A:AO,41,FALSE)</f>
        <v>#N/A</v>
      </c>
      <c r="X443" s="136" t="e">
        <f ca="1">VLOOKUP(A443,'銀行-TSS'!A:AP,42,FALSE)</f>
        <v>#N/A</v>
      </c>
      <c r="Y443" s="1223">
        <f t="shared" si="87"/>
        <v>0</v>
      </c>
      <c r="Z443" s="1211">
        <f t="shared" si="90"/>
        <v>0</v>
      </c>
      <c r="AA443" s="136">
        <f>IF(Z443&lt;=0,0,RANK(Z443,Z:Z)+COUNTIF($Z$3:$Z443,Z443)-1)</f>
        <v>0</v>
      </c>
      <c r="AB443" s="1211">
        <f t="shared" ca="1" si="91"/>
        <v>0</v>
      </c>
      <c r="AC443" s="136">
        <f ca="1">IF(AB443&lt;=0,0,RANK(AB443,AB:AB)+COUNTIF($AB$3:$AB443,AB443)-1)</f>
        <v>0</v>
      </c>
      <c r="AD443" s="136">
        <f t="shared" si="92"/>
        <v>99999</v>
      </c>
      <c r="AE443" s="136">
        <f>IF(AD443=99999,0,RANK(AD443,AD:AD,1)+COUNTIF($AD$3:$AD443,AD443)-1)</f>
        <v>0</v>
      </c>
    </row>
    <row r="444" spans="1:31">
      <c r="A444" s="141">
        <f>'銀行-TSS'!A444</f>
        <v>0</v>
      </c>
      <c r="B444" s="151">
        <f ca="1">VLOOKUP(A444,'銀行-TSS'!A:B,2,FALSE)</f>
        <v>0</v>
      </c>
      <c r="C444" s="151" t="e">
        <f ca="1">VLOOKUP(B444,bond!B:C,2,FALSE)</f>
        <v>#N/A</v>
      </c>
      <c r="D444" s="95" t="e">
        <f>VLOOKUP(A444,'銀行-TSS'!A:C,3,FALSE)</f>
        <v>#N/A</v>
      </c>
      <c r="E444" s="90" t="e">
        <f ca="1">VLOOKUP(A444,'銀行-TSS'!A:G,7,FALSE)</f>
        <v>#N/A</v>
      </c>
      <c r="F444" s="202" t="e">
        <f ca="1">VLOOKUP(A444,'銀行-TSS'!A:H,8,FALSE)</f>
        <v>#N/A</v>
      </c>
      <c r="G444" s="96" t="e">
        <f ca="1">VLOOKUP(A444,'銀行-TSS'!A:K,11,FALSE)</f>
        <v>#N/A</v>
      </c>
      <c r="H444" s="1209" t="e">
        <f ca="1">VLOOKUP(A444,'銀行-TSS'!A:M,13,FALSE)</f>
        <v>#N/A</v>
      </c>
      <c r="I444" s="1213" t="e">
        <f ca="1">VLOOKUP(A444,'銀行-TSS'!A:N,14,FALSE)</f>
        <v>#N/A</v>
      </c>
      <c r="J444" s="1213" t="e">
        <f ca="1">VLOOKUP(A444,'銀行-TSS'!A:O,15,FALSE)</f>
        <v>#N/A</v>
      </c>
      <c r="K444" s="136" t="e">
        <f ca="1">VLOOKUP(A444,'銀行-TSS'!A:V,22,FALSE)</f>
        <v>#N/A</v>
      </c>
      <c r="L444" s="136" t="e">
        <f ca="1">VLOOKUP(A444,'銀行-TSS'!A:AK,37,FALSE)</f>
        <v>#N/A</v>
      </c>
      <c r="M444" s="136" t="str">
        <f ca="1">VLOOKUP(A444,'銀行-TSS'!A:AN,40,FALSE)</f>
        <v/>
      </c>
      <c r="N444" s="1211" t="e">
        <f t="shared" ca="1" si="82"/>
        <v>#N/A</v>
      </c>
      <c r="O444" s="1211" t="e">
        <f t="shared" ca="1" si="83"/>
        <v>#N/A</v>
      </c>
      <c r="P444" s="1213" t="e">
        <f ca="1">IF(AND(換券投組!$D$17&gt;=O444,換券投組!$D$13=D444),I444+INT((換券投組!$D$17-O444)/N444)*J444,0)</f>
        <v>#N/A</v>
      </c>
      <c r="Q444" s="1211" t="e">
        <f t="shared" ca="1" si="84"/>
        <v>#N/A</v>
      </c>
      <c r="R444" s="1213">
        <f t="shared" si="85"/>
        <v>0</v>
      </c>
      <c r="S444" s="1213">
        <f t="shared" si="86"/>
        <v>0</v>
      </c>
      <c r="T444" s="136">
        <f t="shared" si="88"/>
        <v>0</v>
      </c>
      <c r="U444" s="861">
        <f t="shared" si="89"/>
        <v>0</v>
      </c>
      <c r="V444" s="136" t="e">
        <f ca="1">IF(OR(D444&lt;&gt;"USD",L444="無",M444&lt;&gt;"",K444="高資產",IFERROR(MATCH(B444,換券投組!K:K,0),"N")&lt;&gt;"N",IFERROR(MATCH(B444,換券投組!J:J,0),"N")&lt;&gt;"N"),FALSE,IF($V$1="All",TRUE,IF(K444=$V$1,TRUE,FALSE)))</f>
        <v>#N/A</v>
      </c>
      <c r="W444" s="136" t="e">
        <f ca="1">VLOOKUP(A444,'銀行-TSS'!A:AO,41,FALSE)</f>
        <v>#N/A</v>
      </c>
      <c r="X444" s="136" t="e">
        <f ca="1">VLOOKUP(A444,'銀行-TSS'!A:AP,42,FALSE)</f>
        <v>#N/A</v>
      </c>
      <c r="Y444" s="1223">
        <f t="shared" si="87"/>
        <v>0</v>
      </c>
      <c r="Z444" s="1211">
        <f t="shared" si="90"/>
        <v>0</v>
      </c>
      <c r="AA444" s="136">
        <f>IF(Z444&lt;=0,0,RANK(Z444,Z:Z)+COUNTIF($Z$3:$Z444,Z444)-1)</f>
        <v>0</v>
      </c>
      <c r="AB444" s="1211">
        <f t="shared" ca="1" si="91"/>
        <v>0</v>
      </c>
      <c r="AC444" s="136">
        <f ca="1">IF(AB444&lt;=0,0,RANK(AB444,AB:AB)+COUNTIF($AB$3:$AB444,AB444)-1)</f>
        <v>0</v>
      </c>
      <c r="AD444" s="136">
        <f t="shared" si="92"/>
        <v>99999</v>
      </c>
      <c r="AE444" s="136">
        <f>IF(AD444=99999,0,RANK(AD444,AD:AD,1)+COUNTIF($AD$3:$AD444,AD444)-1)</f>
        <v>0</v>
      </c>
    </row>
    <row r="445" spans="1:31">
      <c r="A445" s="141">
        <f>'銀行-TSS'!A445</f>
        <v>0</v>
      </c>
      <c r="B445" s="151">
        <f ca="1">VLOOKUP(A445,'銀行-TSS'!A:B,2,FALSE)</f>
        <v>0</v>
      </c>
      <c r="C445" s="151" t="e">
        <f ca="1">VLOOKUP(B445,bond!B:C,2,FALSE)</f>
        <v>#N/A</v>
      </c>
      <c r="D445" s="95" t="e">
        <f>VLOOKUP(A445,'銀行-TSS'!A:C,3,FALSE)</f>
        <v>#N/A</v>
      </c>
      <c r="E445" s="90" t="e">
        <f ca="1">VLOOKUP(A445,'銀行-TSS'!A:G,7,FALSE)</f>
        <v>#N/A</v>
      </c>
      <c r="F445" s="202" t="e">
        <f ca="1">VLOOKUP(A445,'銀行-TSS'!A:H,8,FALSE)</f>
        <v>#N/A</v>
      </c>
      <c r="G445" s="96" t="e">
        <f ca="1">VLOOKUP(A445,'銀行-TSS'!A:K,11,FALSE)</f>
        <v>#N/A</v>
      </c>
      <c r="H445" s="1209" t="e">
        <f ca="1">VLOOKUP(A445,'銀行-TSS'!A:M,13,FALSE)</f>
        <v>#N/A</v>
      </c>
      <c r="I445" s="1213" t="e">
        <f ca="1">VLOOKUP(A445,'銀行-TSS'!A:N,14,FALSE)</f>
        <v>#N/A</v>
      </c>
      <c r="J445" s="1213" t="e">
        <f ca="1">VLOOKUP(A445,'銀行-TSS'!A:O,15,FALSE)</f>
        <v>#N/A</v>
      </c>
      <c r="K445" s="136" t="e">
        <f ca="1">VLOOKUP(A445,'銀行-TSS'!A:V,22,FALSE)</f>
        <v>#N/A</v>
      </c>
      <c r="L445" s="136" t="e">
        <f ca="1">VLOOKUP(A445,'銀行-TSS'!A:AK,37,FALSE)</f>
        <v>#N/A</v>
      </c>
      <c r="M445" s="136" t="str">
        <f ca="1">VLOOKUP(A445,'銀行-TSS'!A:AN,40,FALSE)</f>
        <v/>
      </c>
      <c r="N445" s="1211" t="e">
        <f t="shared" ca="1" si="82"/>
        <v>#N/A</v>
      </c>
      <c r="O445" s="1211" t="e">
        <f t="shared" ca="1" si="83"/>
        <v>#N/A</v>
      </c>
      <c r="P445" s="1213" t="e">
        <f ca="1">IF(AND(換券投組!$D$17&gt;=O445,換券投組!$D$13=D445),I445+INT((換券投組!$D$17-O445)/N445)*J445,0)</f>
        <v>#N/A</v>
      </c>
      <c r="Q445" s="1211" t="e">
        <f t="shared" ca="1" si="84"/>
        <v>#N/A</v>
      </c>
      <c r="R445" s="1213">
        <f t="shared" si="85"/>
        <v>0</v>
      </c>
      <c r="S445" s="1213">
        <f t="shared" si="86"/>
        <v>0</v>
      </c>
      <c r="T445" s="136">
        <f t="shared" si="88"/>
        <v>0</v>
      </c>
      <c r="U445" s="861">
        <f t="shared" si="89"/>
        <v>0</v>
      </c>
      <c r="V445" s="136" t="e">
        <f ca="1">IF(OR(D445&lt;&gt;"USD",L445="無",M445&lt;&gt;"",K445="高資產",IFERROR(MATCH(B445,換券投組!K:K,0),"N")&lt;&gt;"N",IFERROR(MATCH(B445,換券投組!J:J,0),"N")&lt;&gt;"N"),FALSE,IF($V$1="All",TRUE,IF(K445=$V$1,TRUE,FALSE)))</f>
        <v>#N/A</v>
      </c>
      <c r="W445" s="136" t="e">
        <f ca="1">VLOOKUP(A445,'銀行-TSS'!A:AO,41,FALSE)</f>
        <v>#N/A</v>
      </c>
      <c r="X445" s="136" t="e">
        <f ca="1">VLOOKUP(A445,'銀行-TSS'!A:AP,42,FALSE)</f>
        <v>#N/A</v>
      </c>
      <c r="Y445" s="1223">
        <f t="shared" si="87"/>
        <v>0</v>
      </c>
      <c r="Z445" s="1211">
        <f t="shared" si="90"/>
        <v>0</v>
      </c>
      <c r="AA445" s="136">
        <f>IF(Z445&lt;=0,0,RANK(Z445,Z:Z)+COUNTIF($Z$3:$Z445,Z445)-1)</f>
        <v>0</v>
      </c>
      <c r="AB445" s="1211">
        <f t="shared" ca="1" si="91"/>
        <v>0</v>
      </c>
      <c r="AC445" s="136">
        <f ca="1">IF(AB445&lt;=0,0,RANK(AB445,AB:AB)+COUNTIF($AB$3:$AB445,AB445)-1)</f>
        <v>0</v>
      </c>
      <c r="AD445" s="136">
        <f t="shared" si="92"/>
        <v>99999</v>
      </c>
      <c r="AE445" s="136">
        <f>IF(AD445=99999,0,RANK(AD445,AD:AD,1)+COUNTIF($AD$3:$AD445,AD445)-1)</f>
        <v>0</v>
      </c>
    </row>
    <row r="446" spans="1:31">
      <c r="A446" s="141">
        <f>'銀行-TSS'!A446</f>
        <v>0</v>
      </c>
      <c r="B446" s="151">
        <f ca="1">VLOOKUP(A446,'銀行-TSS'!A:B,2,FALSE)</f>
        <v>0</v>
      </c>
      <c r="C446" s="151" t="e">
        <f ca="1">VLOOKUP(B446,bond!B:C,2,FALSE)</f>
        <v>#N/A</v>
      </c>
      <c r="D446" s="95" t="e">
        <f>VLOOKUP(A446,'銀行-TSS'!A:C,3,FALSE)</f>
        <v>#N/A</v>
      </c>
      <c r="E446" s="90" t="e">
        <f ca="1">VLOOKUP(A446,'銀行-TSS'!A:G,7,FALSE)</f>
        <v>#N/A</v>
      </c>
      <c r="F446" s="202" t="e">
        <f ca="1">VLOOKUP(A446,'銀行-TSS'!A:H,8,FALSE)</f>
        <v>#N/A</v>
      </c>
      <c r="G446" s="96" t="e">
        <f ca="1">VLOOKUP(A446,'銀行-TSS'!A:K,11,FALSE)</f>
        <v>#N/A</v>
      </c>
      <c r="H446" s="1209" t="e">
        <f ca="1">VLOOKUP(A446,'銀行-TSS'!A:M,13,FALSE)</f>
        <v>#N/A</v>
      </c>
      <c r="I446" s="1213" t="e">
        <f ca="1">VLOOKUP(A446,'銀行-TSS'!A:N,14,FALSE)</f>
        <v>#N/A</v>
      </c>
      <c r="J446" s="1213" t="e">
        <f ca="1">VLOOKUP(A446,'銀行-TSS'!A:O,15,FALSE)</f>
        <v>#N/A</v>
      </c>
      <c r="K446" s="136" t="e">
        <f ca="1">VLOOKUP(A446,'銀行-TSS'!A:V,22,FALSE)</f>
        <v>#N/A</v>
      </c>
      <c r="L446" s="136" t="e">
        <f ca="1">VLOOKUP(A446,'銀行-TSS'!A:AK,37,FALSE)</f>
        <v>#N/A</v>
      </c>
      <c r="M446" s="136" t="str">
        <f ca="1">VLOOKUP(A446,'銀行-TSS'!A:AN,40,FALSE)</f>
        <v/>
      </c>
      <c r="N446" s="1211" t="e">
        <f t="shared" ca="1" si="82"/>
        <v>#N/A</v>
      </c>
      <c r="O446" s="1211" t="e">
        <f t="shared" ca="1" si="83"/>
        <v>#N/A</v>
      </c>
      <c r="P446" s="1213" t="e">
        <f ca="1">IF(AND(換券投組!$D$17&gt;=O446,換券投組!$D$13=D446),I446+INT((換券投組!$D$17-O446)/N446)*J446,0)</f>
        <v>#N/A</v>
      </c>
      <c r="Q446" s="1211" t="e">
        <f t="shared" ca="1" si="84"/>
        <v>#N/A</v>
      </c>
      <c r="R446" s="1213">
        <f t="shared" si="85"/>
        <v>0</v>
      </c>
      <c r="S446" s="1213">
        <f t="shared" si="86"/>
        <v>0</v>
      </c>
      <c r="T446" s="136">
        <f t="shared" si="88"/>
        <v>0</v>
      </c>
      <c r="U446" s="861">
        <f t="shared" si="89"/>
        <v>0</v>
      </c>
      <c r="V446" s="136" t="e">
        <f ca="1">IF(OR(D446&lt;&gt;"USD",L446="無",M446&lt;&gt;"",K446="高資產",IFERROR(MATCH(B446,換券投組!K:K,0),"N")&lt;&gt;"N",IFERROR(MATCH(B446,換券投組!J:J,0),"N")&lt;&gt;"N"),FALSE,IF($V$1="All",TRUE,IF(K446=$V$1,TRUE,FALSE)))</f>
        <v>#N/A</v>
      </c>
      <c r="W446" s="136" t="e">
        <f ca="1">VLOOKUP(A446,'銀行-TSS'!A:AO,41,FALSE)</f>
        <v>#N/A</v>
      </c>
      <c r="X446" s="136" t="e">
        <f ca="1">VLOOKUP(A446,'銀行-TSS'!A:AP,42,FALSE)</f>
        <v>#N/A</v>
      </c>
      <c r="Y446" s="1223">
        <f t="shared" si="87"/>
        <v>0</v>
      </c>
      <c r="Z446" s="1211">
        <f t="shared" si="90"/>
        <v>0</v>
      </c>
      <c r="AA446" s="136">
        <f>IF(Z446&lt;=0,0,RANK(Z446,Z:Z)+COUNTIF($Z$3:$Z446,Z446)-1)</f>
        <v>0</v>
      </c>
      <c r="AB446" s="1211">
        <f t="shared" ca="1" si="91"/>
        <v>0</v>
      </c>
      <c r="AC446" s="136">
        <f ca="1">IF(AB446&lt;=0,0,RANK(AB446,AB:AB)+COUNTIF($AB$3:$AB446,AB446)-1)</f>
        <v>0</v>
      </c>
      <c r="AD446" s="136">
        <f t="shared" si="92"/>
        <v>99999</v>
      </c>
      <c r="AE446" s="136">
        <f>IF(AD446=99999,0,RANK(AD446,AD:AD,1)+COUNTIF($AD$3:$AD446,AD446)-1)</f>
        <v>0</v>
      </c>
    </row>
    <row r="447" spans="1:31">
      <c r="A447" s="141">
        <f>'銀行-TSS'!A447</f>
        <v>0</v>
      </c>
      <c r="B447" s="151">
        <f ca="1">VLOOKUP(A447,'銀行-TSS'!A:B,2,FALSE)</f>
        <v>0</v>
      </c>
      <c r="C447" s="151" t="e">
        <f ca="1">VLOOKUP(B447,bond!B:C,2,FALSE)</f>
        <v>#N/A</v>
      </c>
      <c r="D447" s="95" t="e">
        <f>VLOOKUP(A447,'銀行-TSS'!A:C,3,FALSE)</f>
        <v>#N/A</v>
      </c>
      <c r="E447" s="90" t="e">
        <f ca="1">VLOOKUP(A447,'銀行-TSS'!A:G,7,FALSE)</f>
        <v>#N/A</v>
      </c>
      <c r="F447" s="202" t="e">
        <f ca="1">VLOOKUP(A447,'銀行-TSS'!A:H,8,FALSE)</f>
        <v>#N/A</v>
      </c>
      <c r="G447" s="96" t="e">
        <f ca="1">VLOOKUP(A447,'銀行-TSS'!A:K,11,FALSE)</f>
        <v>#N/A</v>
      </c>
      <c r="H447" s="1209" t="e">
        <f ca="1">VLOOKUP(A447,'銀行-TSS'!A:M,13,FALSE)</f>
        <v>#N/A</v>
      </c>
      <c r="I447" s="1213" t="e">
        <f ca="1">VLOOKUP(A447,'銀行-TSS'!A:N,14,FALSE)</f>
        <v>#N/A</v>
      </c>
      <c r="J447" s="1213" t="e">
        <f ca="1">VLOOKUP(A447,'銀行-TSS'!A:O,15,FALSE)</f>
        <v>#N/A</v>
      </c>
      <c r="K447" s="136" t="e">
        <f ca="1">VLOOKUP(A447,'銀行-TSS'!A:V,22,FALSE)</f>
        <v>#N/A</v>
      </c>
      <c r="L447" s="136" t="e">
        <f ca="1">VLOOKUP(A447,'銀行-TSS'!A:AK,37,FALSE)</f>
        <v>#N/A</v>
      </c>
      <c r="M447" s="136" t="str">
        <f ca="1">VLOOKUP(A447,'銀行-TSS'!A:AN,40,FALSE)</f>
        <v/>
      </c>
      <c r="N447" s="1211" t="e">
        <f t="shared" ca="1" si="82"/>
        <v>#N/A</v>
      </c>
      <c r="O447" s="1211" t="e">
        <f t="shared" ca="1" si="83"/>
        <v>#N/A</v>
      </c>
      <c r="P447" s="1213" t="e">
        <f ca="1">IF(AND(換券投組!$D$17&gt;=O447,換券投組!$D$13=D447),I447+INT((換券投組!$D$17-O447)/N447)*J447,0)</f>
        <v>#N/A</v>
      </c>
      <c r="Q447" s="1211" t="e">
        <f t="shared" ca="1" si="84"/>
        <v>#N/A</v>
      </c>
      <c r="R447" s="1213">
        <f t="shared" si="85"/>
        <v>0</v>
      </c>
      <c r="S447" s="1213">
        <f t="shared" si="86"/>
        <v>0</v>
      </c>
      <c r="T447" s="136">
        <f t="shared" si="88"/>
        <v>0</v>
      </c>
      <c r="U447" s="861">
        <f t="shared" si="89"/>
        <v>0</v>
      </c>
      <c r="V447" s="136" t="e">
        <f ca="1">IF(OR(D447&lt;&gt;"USD",L447="無",M447&lt;&gt;"",K447="高資產",IFERROR(MATCH(B447,換券投組!K:K,0),"N")&lt;&gt;"N",IFERROR(MATCH(B447,換券投組!J:J,0),"N")&lt;&gt;"N"),FALSE,IF($V$1="All",TRUE,IF(K447=$V$1,TRUE,FALSE)))</f>
        <v>#N/A</v>
      </c>
      <c r="W447" s="136" t="e">
        <f ca="1">VLOOKUP(A447,'銀行-TSS'!A:AO,41,FALSE)</f>
        <v>#N/A</v>
      </c>
      <c r="X447" s="136" t="e">
        <f ca="1">VLOOKUP(A447,'銀行-TSS'!A:AP,42,FALSE)</f>
        <v>#N/A</v>
      </c>
      <c r="Y447" s="1223">
        <f t="shared" si="87"/>
        <v>0</v>
      </c>
      <c r="Z447" s="1211">
        <f t="shared" si="90"/>
        <v>0</v>
      </c>
      <c r="AA447" s="136">
        <f>IF(Z447&lt;=0,0,RANK(Z447,Z:Z)+COUNTIF($Z$3:$Z447,Z447)-1)</f>
        <v>0</v>
      </c>
      <c r="AB447" s="1211">
        <f t="shared" ca="1" si="91"/>
        <v>0</v>
      </c>
      <c r="AC447" s="136">
        <f ca="1">IF(AB447&lt;=0,0,RANK(AB447,AB:AB)+COUNTIF($AB$3:$AB447,AB447)-1)</f>
        <v>0</v>
      </c>
      <c r="AD447" s="136">
        <f t="shared" si="92"/>
        <v>99999</v>
      </c>
      <c r="AE447" s="136">
        <f>IF(AD447=99999,0,RANK(AD447,AD:AD,1)+COUNTIF($AD$3:$AD447,AD447)-1)</f>
        <v>0</v>
      </c>
    </row>
    <row r="448" spans="1:31">
      <c r="A448" s="141">
        <f>'銀行-TSS'!A448</f>
        <v>0</v>
      </c>
      <c r="B448" s="151">
        <f ca="1">VLOOKUP(A448,'銀行-TSS'!A:B,2,FALSE)</f>
        <v>0</v>
      </c>
      <c r="C448" s="151" t="e">
        <f ca="1">VLOOKUP(B448,bond!B:C,2,FALSE)</f>
        <v>#N/A</v>
      </c>
      <c r="D448" s="95" t="e">
        <f>VLOOKUP(A448,'銀行-TSS'!A:C,3,FALSE)</f>
        <v>#N/A</v>
      </c>
      <c r="E448" s="90" t="e">
        <f ca="1">VLOOKUP(A448,'銀行-TSS'!A:G,7,FALSE)</f>
        <v>#N/A</v>
      </c>
      <c r="F448" s="202" t="e">
        <f ca="1">VLOOKUP(A448,'銀行-TSS'!A:H,8,FALSE)</f>
        <v>#N/A</v>
      </c>
      <c r="G448" s="96" t="e">
        <f ca="1">VLOOKUP(A448,'銀行-TSS'!A:K,11,FALSE)</f>
        <v>#N/A</v>
      </c>
      <c r="H448" s="1209" t="e">
        <f ca="1">VLOOKUP(A448,'銀行-TSS'!A:M,13,FALSE)</f>
        <v>#N/A</v>
      </c>
      <c r="I448" s="1213" t="e">
        <f ca="1">VLOOKUP(A448,'銀行-TSS'!A:N,14,FALSE)</f>
        <v>#N/A</v>
      </c>
      <c r="J448" s="1213" t="e">
        <f ca="1">VLOOKUP(A448,'銀行-TSS'!A:O,15,FALSE)</f>
        <v>#N/A</v>
      </c>
      <c r="K448" s="136" t="e">
        <f ca="1">VLOOKUP(A448,'銀行-TSS'!A:V,22,FALSE)</f>
        <v>#N/A</v>
      </c>
      <c r="L448" s="136" t="e">
        <f ca="1">VLOOKUP(A448,'銀行-TSS'!A:AK,37,FALSE)</f>
        <v>#N/A</v>
      </c>
      <c r="M448" s="136" t="str">
        <f ca="1">VLOOKUP(A448,'銀行-TSS'!A:AN,40,FALSE)</f>
        <v/>
      </c>
      <c r="N448" s="1211" t="e">
        <f t="shared" ca="1" si="82"/>
        <v>#N/A</v>
      </c>
      <c r="O448" s="1211" t="e">
        <f t="shared" ca="1" si="83"/>
        <v>#N/A</v>
      </c>
      <c r="P448" s="1213" t="e">
        <f ca="1">IF(AND(換券投組!$D$17&gt;=O448,換券投組!$D$13=D448),I448+INT((換券投組!$D$17-O448)/N448)*J448,0)</f>
        <v>#N/A</v>
      </c>
      <c r="Q448" s="1211" t="e">
        <f t="shared" ca="1" si="84"/>
        <v>#N/A</v>
      </c>
      <c r="R448" s="1213">
        <f t="shared" si="85"/>
        <v>0</v>
      </c>
      <c r="S448" s="1213">
        <f t="shared" si="86"/>
        <v>0</v>
      </c>
      <c r="T448" s="136">
        <f t="shared" si="88"/>
        <v>0</v>
      </c>
      <c r="U448" s="861">
        <f t="shared" si="89"/>
        <v>0</v>
      </c>
      <c r="V448" s="136" t="e">
        <f ca="1">IF(OR(D448&lt;&gt;"USD",L448="無",M448&lt;&gt;"",K448="高資產",IFERROR(MATCH(B448,換券投組!K:K,0),"N")&lt;&gt;"N",IFERROR(MATCH(B448,換券投組!J:J,0),"N")&lt;&gt;"N"),FALSE,IF($V$1="All",TRUE,IF(K448=$V$1,TRUE,FALSE)))</f>
        <v>#N/A</v>
      </c>
      <c r="W448" s="136" t="e">
        <f ca="1">VLOOKUP(A448,'銀行-TSS'!A:AO,41,FALSE)</f>
        <v>#N/A</v>
      </c>
      <c r="X448" s="136" t="e">
        <f ca="1">VLOOKUP(A448,'銀行-TSS'!A:AP,42,FALSE)</f>
        <v>#N/A</v>
      </c>
      <c r="Y448" s="1223">
        <f t="shared" si="87"/>
        <v>0</v>
      </c>
      <c r="Z448" s="1211">
        <f t="shared" si="90"/>
        <v>0</v>
      </c>
      <c r="AA448" s="136">
        <f>IF(Z448&lt;=0,0,RANK(Z448,Z:Z)+COUNTIF($Z$3:$Z448,Z448)-1)</f>
        <v>0</v>
      </c>
      <c r="AB448" s="1211">
        <f t="shared" ca="1" si="91"/>
        <v>0</v>
      </c>
      <c r="AC448" s="136">
        <f ca="1">IF(AB448&lt;=0,0,RANK(AB448,AB:AB)+COUNTIF($AB$3:$AB448,AB448)-1)</f>
        <v>0</v>
      </c>
      <c r="AD448" s="136">
        <f t="shared" si="92"/>
        <v>99999</v>
      </c>
      <c r="AE448" s="136">
        <f>IF(AD448=99999,0,RANK(AD448,AD:AD,1)+COUNTIF($AD$3:$AD448,AD448)-1)</f>
        <v>0</v>
      </c>
    </row>
    <row r="449" spans="1:31">
      <c r="A449" s="141">
        <f>'銀行-TSS'!A449</f>
        <v>0</v>
      </c>
      <c r="B449" s="151">
        <f ca="1">VLOOKUP(A449,'銀行-TSS'!A:B,2,FALSE)</f>
        <v>0</v>
      </c>
      <c r="C449" s="151" t="e">
        <f ca="1">VLOOKUP(B449,bond!B:C,2,FALSE)</f>
        <v>#N/A</v>
      </c>
      <c r="D449" s="95" t="e">
        <f>VLOOKUP(A449,'銀行-TSS'!A:C,3,FALSE)</f>
        <v>#N/A</v>
      </c>
      <c r="E449" s="90" t="e">
        <f ca="1">VLOOKUP(A449,'銀行-TSS'!A:G,7,FALSE)</f>
        <v>#N/A</v>
      </c>
      <c r="F449" s="202" t="e">
        <f ca="1">VLOOKUP(A449,'銀行-TSS'!A:H,8,FALSE)</f>
        <v>#N/A</v>
      </c>
      <c r="G449" s="96" t="e">
        <f ca="1">VLOOKUP(A449,'銀行-TSS'!A:K,11,FALSE)</f>
        <v>#N/A</v>
      </c>
      <c r="H449" s="1209" t="e">
        <f ca="1">VLOOKUP(A449,'銀行-TSS'!A:M,13,FALSE)</f>
        <v>#N/A</v>
      </c>
      <c r="I449" s="1213" t="e">
        <f ca="1">VLOOKUP(A449,'銀行-TSS'!A:N,14,FALSE)</f>
        <v>#N/A</v>
      </c>
      <c r="J449" s="1213" t="e">
        <f ca="1">VLOOKUP(A449,'銀行-TSS'!A:O,15,FALSE)</f>
        <v>#N/A</v>
      </c>
      <c r="K449" s="136" t="e">
        <f ca="1">VLOOKUP(A449,'銀行-TSS'!A:V,22,FALSE)</f>
        <v>#N/A</v>
      </c>
      <c r="L449" s="136" t="e">
        <f ca="1">VLOOKUP(A449,'銀行-TSS'!A:AK,37,FALSE)</f>
        <v>#N/A</v>
      </c>
      <c r="M449" s="136" t="str">
        <f ca="1">VLOOKUP(A449,'銀行-TSS'!A:AN,40,FALSE)</f>
        <v/>
      </c>
      <c r="N449" s="1211" t="e">
        <f t="shared" ca="1" si="82"/>
        <v>#N/A</v>
      </c>
      <c r="O449" s="1211" t="e">
        <f t="shared" ca="1" si="83"/>
        <v>#N/A</v>
      </c>
      <c r="P449" s="1213" t="e">
        <f ca="1">IF(AND(換券投組!$D$17&gt;=O449,換券投組!$D$13=D449),I449+INT((換券投組!$D$17-O449)/N449)*J449,0)</f>
        <v>#N/A</v>
      </c>
      <c r="Q449" s="1211" t="e">
        <f t="shared" ca="1" si="84"/>
        <v>#N/A</v>
      </c>
      <c r="R449" s="1213">
        <f t="shared" si="85"/>
        <v>0</v>
      </c>
      <c r="S449" s="1213">
        <f t="shared" si="86"/>
        <v>0</v>
      </c>
      <c r="T449" s="136">
        <f t="shared" si="88"/>
        <v>0</v>
      </c>
      <c r="U449" s="861">
        <f t="shared" si="89"/>
        <v>0</v>
      </c>
      <c r="V449" s="136" t="e">
        <f ca="1">IF(OR(D449&lt;&gt;"USD",L449="無",M449&lt;&gt;"",K449="高資產",IFERROR(MATCH(B449,換券投組!K:K,0),"N")&lt;&gt;"N",IFERROR(MATCH(B449,換券投組!J:J,0),"N")&lt;&gt;"N"),FALSE,IF($V$1="All",TRUE,IF(K449=$V$1,TRUE,FALSE)))</f>
        <v>#N/A</v>
      </c>
      <c r="W449" s="136" t="e">
        <f ca="1">VLOOKUP(A449,'銀行-TSS'!A:AO,41,FALSE)</f>
        <v>#N/A</v>
      </c>
      <c r="X449" s="136" t="e">
        <f ca="1">VLOOKUP(A449,'銀行-TSS'!A:AP,42,FALSE)</f>
        <v>#N/A</v>
      </c>
      <c r="Y449" s="1223">
        <f t="shared" si="87"/>
        <v>0</v>
      </c>
      <c r="Z449" s="1211">
        <f t="shared" si="90"/>
        <v>0</v>
      </c>
      <c r="AA449" s="136">
        <f>IF(Z449&lt;=0,0,RANK(Z449,Z:Z)+COUNTIF($Z$3:$Z449,Z449)-1)</f>
        <v>0</v>
      </c>
      <c r="AB449" s="1211">
        <f t="shared" ca="1" si="91"/>
        <v>0</v>
      </c>
      <c r="AC449" s="136">
        <f ca="1">IF(AB449&lt;=0,0,RANK(AB449,AB:AB)+COUNTIF($AB$3:$AB449,AB449)-1)</f>
        <v>0</v>
      </c>
      <c r="AD449" s="136">
        <f t="shared" si="92"/>
        <v>99999</v>
      </c>
      <c r="AE449" s="136">
        <f>IF(AD449=99999,0,RANK(AD449,AD:AD,1)+COUNTIF($AD$3:$AD449,AD449)-1)</f>
        <v>0</v>
      </c>
    </row>
    <row r="450" spans="1:31">
      <c r="A450" s="141">
        <f>'銀行-TSS'!A450</f>
        <v>0</v>
      </c>
      <c r="B450" s="151">
        <f ca="1">VLOOKUP(A450,'銀行-TSS'!A:B,2,FALSE)</f>
        <v>0</v>
      </c>
      <c r="C450" s="151" t="e">
        <f ca="1">VLOOKUP(B450,bond!B:C,2,FALSE)</f>
        <v>#N/A</v>
      </c>
      <c r="D450" s="95" t="e">
        <f>VLOOKUP(A450,'銀行-TSS'!A:C,3,FALSE)</f>
        <v>#N/A</v>
      </c>
      <c r="E450" s="90" t="e">
        <f ca="1">VLOOKUP(A450,'銀行-TSS'!A:G,7,FALSE)</f>
        <v>#N/A</v>
      </c>
      <c r="F450" s="202" t="e">
        <f ca="1">VLOOKUP(A450,'銀行-TSS'!A:H,8,FALSE)</f>
        <v>#N/A</v>
      </c>
      <c r="G450" s="96" t="e">
        <f ca="1">VLOOKUP(A450,'銀行-TSS'!A:K,11,FALSE)</f>
        <v>#N/A</v>
      </c>
      <c r="H450" s="1209" t="e">
        <f ca="1">VLOOKUP(A450,'銀行-TSS'!A:M,13,FALSE)</f>
        <v>#N/A</v>
      </c>
      <c r="I450" s="1213" t="e">
        <f ca="1">VLOOKUP(A450,'銀行-TSS'!A:N,14,FALSE)</f>
        <v>#N/A</v>
      </c>
      <c r="J450" s="1213" t="e">
        <f ca="1">VLOOKUP(A450,'銀行-TSS'!A:O,15,FALSE)</f>
        <v>#N/A</v>
      </c>
      <c r="K450" s="136" t="e">
        <f ca="1">VLOOKUP(A450,'銀行-TSS'!A:V,22,FALSE)</f>
        <v>#N/A</v>
      </c>
      <c r="L450" s="136" t="e">
        <f ca="1">VLOOKUP(A450,'銀行-TSS'!A:AK,37,FALSE)</f>
        <v>#N/A</v>
      </c>
      <c r="M450" s="136" t="str">
        <f ca="1">VLOOKUP(A450,'銀行-TSS'!A:AN,40,FALSE)</f>
        <v/>
      </c>
      <c r="N450" s="1211" t="e">
        <f t="shared" ca="1" si="82"/>
        <v>#N/A</v>
      </c>
      <c r="O450" s="1211" t="e">
        <f t="shared" ca="1" si="83"/>
        <v>#N/A</v>
      </c>
      <c r="P450" s="1213" t="e">
        <f ca="1">IF(AND(換券投組!$D$17&gt;=O450,換券投組!$D$13=D450),I450+INT((換券投組!$D$17-O450)/N450)*J450,0)</f>
        <v>#N/A</v>
      </c>
      <c r="Q450" s="1211" t="e">
        <f t="shared" ca="1" si="84"/>
        <v>#N/A</v>
      </c>
      <c r="R450" s="1213">
        <f t="shared" si="85"/>
        <v>0</v>
      </c>
      <c r="S450" s="1213">
        <f t="shared" si="86"/>
        <v>0</v>
      </c>
      <c r="T450" s="136">
        <f t="shared" si="88"/>
        <v>0</v>
      </c>
      <c r="U450" s="861">
        <f t="shared" si="89"/>
        <v>0</v>
      </c>
      <c r="V450" s="136" t="e">
        <f ca="1">IF(OR(D450&lt;&gt;"USD",L450="無",M450&lt;&gt;"",K450="高資產",IFERROR(MATCH(B450,換券投組!K:K,0),"N")&lt;&gt;"N",IFERROR(MATCH(B450,換券投組!J:J,0),"N")&lt;&gt;"N"),FALSE,IF($V$1="All",TRUE,IF(K450=$V$1,TRUE,FALSE)))</f>
        <v>#N/A</v>
      </c>
      <c r="W450" s="136" t="e">
        <f ca="1">VLOOKUP(A450,'銀行-TSS'!A:AO,41,FALSE)</f>
        <v>#N/A</v>
      </c>
      <c r="X450" s="136" t="e">
        <f ca="1">VLOOKUP(A450,'銀行-TSS'!A:AP,42,FALSE)</f>
        <v>#N/A</v>
      </c>
      <c r="Y450" s="1223">
        <f t="shared" si="87"/>
        <v>0</v>
      </c>
      <c r="Z450" s="1211">
        <f t="shared" si="90"/>
        <v>0</v>
      </c>
      <c r="AA450" s="136">
        <f>IF(Z450&lt;=0,0,RANK(Z450,Z:Z)+COUNTIF($Z$3:$Z450,Z450)-1)</f>
        <v>0</v>
      </c>
      <c r="AB450" s="1211">
        <f t="shared" ca="1" si="91"/>
        <v>0</v>
      </c>
      <c r="AC450" s="136">
        <f ca="1">IF(AB450&lt;=0,0,RANK(AB450,AB:AB)+COUNTIF($AB$3:$AB450,AB450)-1)</f>
        <v>0</v>
      </c>
      <c r="AD450" s="136">
        <f t="shared" si="92"/>
        <v>99999</v>
      </c>
      <c r="AE450" s="136">
        <f>IF(AD450=99999,0,RANK(AD450,AD:AD,1)+COUNTIF($AD$3:$AD450,AD450)-1)</f>
        <v>0</v>
      </c>
    </row>
    <row r="451" spans="1:31">
      <c r="A451" s="141">
        <f>'銀行-TSS'!A451</f>
        <v>0</v>
      </c>
      <c r="B451" s="151">
        <f ca="1">VLOOKUP(A451,'銀行-TSS'!A:B,2,FALSE)</f>
        <v>0</v>
      </c>
      <c r="C451" s="151" t="e">
        <f ca="1">VLOOKUP(B451,bond!B:C,2,FALSE)</f>
        <v>#N/A</v>
      </c>
      <c r="D451" s="95" t="e">
        <f>VLOOKUP(A451,'銀行-TSS'!A:C,3,FALSE)</f>
        <v>#N/A</v>
      </c>
      <c r="E451" s="90" t="e">
        <f ca="1">VLOOKUP(A451,'銀行-TSS'!A:G,7,FALSE)</f>
        <v>#N/A</v>
      </c>
      <c r="F451" s="202" t="e">
        <f ca="1">VLOOKUP(A451,'銀行-TSS'!A:H,8,FALSE)</f>
        <v>#N/A</v>
      </c>
      <c r="G451" s="96" t="e">
        <f ca="1">VLOOKUP(A451,'銀行-TSS'!A:K,11,FALSE)</f>
        <v>#N/A</v>
      </c>
      <c r="H451" s="1209" t="e">
        <f ca="1">VLOOKUP(A451,'銀行-TSS'!A:M,13,FALSE)</f>
        <v>#N/A</v>
      </c>
      <c r="I451" s="1213" t="e">
        <f ca="1">VLOOKUP(A451,'銀行-TSS'!A:N,14,FALSE)</f>
        <v>#N/A</v>
      </c>
      <c r="J451" s="1213" t="e">
        <f ca="1">VLOOKUP(A451,'銀行-TSS'!A:O,15,FALSE)</f>
        <v>#N/A</v>
      </c>
      <c r="K451" s="136" t="e">
        <f ca="1">VLOOKUP(A451,'銀行-TSS'!A:V,22,FALSE)</f>
        <v>#N/A</v>
      </c>
      <c r="L451" s="136" t="e">
        <f ca="1">VLOOKUP(A451,'銀行-TSS'!A:AK,37,FALSE)</f>
        <v>#N/A</v>
      </c>
      <c r="M451" s="136" t="str">
        <f ca="1">VLOOKUP(A451,'銀行-TSS'!A:AN,40,FALSE)</f>
        <v/>
      </c>
      <c r="N451" s="1211" t="e">
        <f t="shared" ref="N451:N514" ca="1" si="93">G451*J451/100</f>
        <v>#N/A</v>
      </c>
      <c r="O451" s="1211" t="e">
        <f t="shared" ref="O451:O514" ca="1" si="94">G451*I451/100</f>
        <v>#N/A</v>
      </c>
      <c r="P451" s="1213" t="e">
        <f ca="1">IF(AND(換券投組!$D$17&gt;=O451,換券投組!$D$13=D451),I451+INT((換券投組!$D$17-O451)/N451)*J451,0)</f>
        <v>#N/A</v>
      </c>
      <c r="Q451" s="1211" t="e">
        <f t="shared" ref="Q451:Q514" ca="1" si="95">P451*F451</f>
        <v>#N/A</v>
      </c>
      <c r="R451" s="1213">
        <f t="shared" ref="R451:R514" si="96">IF(A451=0,0,IF(V451=FALSE,0,P451))</f>
        <v>0</v>
      </c>
      <c r="S451" s="1213">
        <f t="shared" ref="S451:S514" si="97">IF(A451=0,0,IF(V451=FALSE,0,Q451))</f>
        <v>0</v>
      </c>
      <c r="T451" s="136">
        <f t="shared" si="88"/>
        <v>0</v>
      </c>
      <c r="U451" s="861">
        <f t="shared" si="89"/>
        <v>0</v>
      </c>
      <c r="V451" s="136" t="e">
        <f ca="1">IF(OR(D451&lt;&gt;"USD",L451="無",M451&lt;&gt;"",K451="高資產",IFERROR(MATCH(B451,換券投組!K:K,0),"N")&lt;&gt;"N",IFERROR(MATCH(B451,換券投組!J:J,0),"N")&lt;&gt;"N"),FALSE,IF($V$1="All",TRUE,IF(K451=$V$1,TRUE,FALSE)))</f>
        <v>#N/A</v>
      </c>
      <c r="W451" s="136" t="e">
        <f ca="1">VLOOKUP(A451,'銀行-TSS'!A:AO,41,FALSE)</f>
        <v>#N/A</v>
      </c>
      <c r="X451" s="136" t="e">
        <f ca="1">VLOOKUP(A451,'銀行-TSS'!A:AP,42,FALSE)</f>
        <v>#N/A</v>
      </c>
      <c r="Y451" s="1223">
        <f t="shared" ref="Y451:Y514" si="98">IF(A451=0,0,IF(V451=FALSE,0,IFERROR(W451/100*P451*X451*1%,0)))</f>
        <v>0</v>
      </c>
      <c r="Z451" s="1211">
        <f t="shared" si="90"/>
        <v>0</v>
      </c>
      <c r="AA451" s="136">
        <f>IF(Z451&lt;=0,0,RANK(Z451,Z:Z)+COUNTIF($Z$3:$Z451,Z451)-1)</f>
        <v>0</v>
      </c>
      <c r="AB451" s="1211">
        <f t="shared" ca="1" si="91"/>
        <v>0</v>
      </c>
      <c r="AC451" s="136">
        <f ca="1">IF(AB451&lt;=0,0,RANK(AB451,AB:AB)+COUNTIF($AB$3:$AB451,AB451)-1)</f>
        <v>0</v>
      </c>
      <c r="AD451" s="136">
        <f t="shared" si="92"/>
        <v>99999</v>
      </c>
      <c r="AE451" s="136">
        <f>IF(AD451=99999,0,RANK(AD451,AD:AD,1)+COUNTIF($AD$3:$AD451,AD451)-1)</f>
        <v>0</v>
      </c>
    </row>
    <row r="452" spans="1:31">
      <c r="A452" s="141">
        <f>'銀行-TSS'!A452</f>
        <v>0</v>
      </c>
      <c r="B452" s="151">
        <f ca="1">VLOOKUP(A452,'銀行-TSS'!A:B,2,FALSE)</f>
        <v>0</v>
      </c>
      <c r="C452" s="151" t="e">
        <f ca="1">VLOOKUP(B452,bond!B:C,2,FALSE)</f>
        <v>#N/A</v>
      </c>
      <c r="D452" s="95" t="e">
        <f>VLOOKUP(A452,'銀行-TSS'!A:C,3,FALSE)</f>
        <v>#N/A</v>
      </c>
      <c r="E452" s="90" t="e">
        <f ca="1">VLOOKUP(A452,'銀行-TSS'!A:G,7,FALSE)</f>
        <v>#N/A</v>
      </c>
      <c r="F452" s="202" t="e">
        <f ca="1">VLOOKUP(A452,'銀行-TSS'!A:H,8,FALSE)</f>
        <v>#N/A</v>
      </c>
      <c r="G452" s="96" t="e">
        <f ca="1">VLOOKUP(A452,'銀行-TSS'!A:K,11,FALSE)</f>
        <v>#N/A</v>
      </c>
      <c r="H452" s="1209" t="e">
        <f ca="1">VLOOKUP(A452,'銀行-TSS'!A:M,13,FALSE)</f>
        <v>#N/A</v>
      </c>
      <c r="I452" s="1213" t="e">
        <f ca="1">VLOOKUP(A452,'銀行-TSS'!A:N,14,FALSE)</f>
        <v>#N/A</v>
      </c>
      <c r="J452" s="1213" t="e">
        <f ca="1">VLOOKUP(A452,'銀行-TSS'!A:O,15,FALSE)</f>
        <v>#N/A</v>
      </c>
      <c r="K452" s="136" t="e">
        <f ca="1">VLOOKUP(A452,'銀行-TSS'!A:V,22,FALSE)</f>
        <v>#N/A</v>
      </c>
      <c r="L452" s="136" t="e">
        <f ca="1">VLOOKUP(A452,'銀行-TSS'!A:AK,37,FALSE)</f>
        <v>#N/A</v>
      </c>
      <c r="M452" s="136" t="str">
        <f ca="1">VLOOKUP(A452,'銀行-TSS'!A:AN,40,FALSE)</f>
        <v/>
      </c>
      <c r="N452" s="1211" t="e">
        <f t="shared" ca="1" si="93"/>
        <v>#N/A</v>
      </c>
      <c r="O452" s="1211" t="e">
        <f t="shared" ca="1" si="94"/>
        <v>#N/A</v>
      </c>
      <c r="P452" s="1213" t="e">
        <f ca="1">IF(AND(換券投組!$D$17&gt;=O452,換券投組!$D$13=D452),I452+INT((換券投組!$D$17-O452)/N452)*J452,0)</f>
        <v>#N/A</v>
      </c>
      <c r="Q452" s="1211" t="e">
        <f t="shared" ca="1" si="95"/>
        <v>#N/A</v>
      </c>
      <c r="R452" s="1213">
        <f t="shared" si="96"/>
        <v>0</v>
      </c>
      <c r="S452" s="1213">
        <f t="shared" si="97"/>
        <v>0</v>
      </c>
      <c r="T452" s="136">
        <f t="shared" ref="T452:T515" si="99">IF(OR(R452=0,A452=0),0,IF(V452=TRUE,E452,0))</f>
        <v>0</v>
      </c>
      <c r="U452" s="861">
        <f t="shared" ref="U452:U515" si="100">IF(OR(R452=0,A452=0),0,IF(V452=TRUE,H452,0))</f>
        <v>0</v>
      </c>
      <c r="V452" s="136" t="e">
        <f ca="1">IF(OR(D452&lt;&gt;"USD",L452="無",M452&lt;&gt;"",K452="高資產",IFERROR(MATCH(B452,換券投組!K:K,0),"N")&lt;&gt;"N",IFERROR(MATCH(B452,換券投組!J:J,0),"N")&lt;&gt;"N"),FALSE,IF($V$1="All",TRUE,IF(K452=$V$1,TRUE,FALSE)))</f>
        <v>#N/A</v>
      </c>
      <c r="W452" s="136" t="e">
        <f ca="1">VLOOKUP(A452,'銀行-TSS'!A:AO,41,FALSE)</f>
        <v>#N/A</v>
      </c>
      <c r="X452" s="136" t="e">
        <f ca="1">VLOOKUP(A452,'銀行-TSS'!A:AP,42,FALSE)</f>
        <v>#N/A</v>
      </c>
      <c r="Y452" s="1223">
        <f t="shared" si="98"/>
        <v>0</v>
      </c>
      <c r="Z452" s="1211">
        <f t="shared" ref="Z452:Z515" si="101">IF(A452=0,0,IF(V452=FALSE,0,IF(OR(Q452&lt;$Y$1,E452&lt;5)=FALSE,(Q452-$Q$1)*MIN(3,E452)*(1-MIN(1/(2*E452),1))+IF((P452-$P$1)&lt;0,(P452-$P$1),((P452-$P$1)*MIN(1/(2*E452),1))),0)))</f>
        <v>0</v>
      </c>
      <c r="AA452" s="136">
        <f>IF(Z452&lt;=0,0,RANK(Z452,Z:Z)+COUNTIF($Z$3:$Z452,Z452)-1)</f>
        <v>0</v>
      </c>
      <c r="AB452" s="1211">
        <f t="shared" ref="AB452:AB515" ca="1" si="102">IF(A452=0,0,IF(V452=FALSE,0,Y452+IF((P452-$P$1)&lt;0,(P452-$P$1)*0.5,0)))-$AC$1</f>
        <v>0</v>
      </c>
      <c r="AC452" s="136">
        <f ca="1">IF(AB452&lt;=0,0,RANK(AB452,AB:AB)+COUNTIF($AB$3:$AB452,AB452)-1)</f>
        <v>0</v>
      </c>
      <c r="AD452" s="136">
        <f t="shared" ref="AD452:AD515" si="103">IF(A452=0,99999,IF(OR(V452=FALSE,AA452=0,AC452=0),99999,(AC452+AA452)/2))</f>
        <v>99999</v>
      </c>
      <c r="AE452" s="136">
        <f>IF(AD452=99999,0,RANK(AD452,AD:AD,1)+COUNTIF($AD$3:$AD452,AD452)-1)</f>
        <v>0</v>
      </c>
    </row>
    <row r="453" spans="1:31">
      <c r="A453" s="141">
        <f>'銀行-TSS'!A453</f>
        <v>0</v>
      </c>
      <c r="B453" s="151">
        <f ca="1">VLOOKUP(A453,'銀行-TSS'!A:B,2,FALSE)</f>
        <v>0</v>
      </c>
      <c r="C453" s="151" t="e">
        <f ca="1">VLOOKUP(B453,bond!B:C,2,FALSE)</f>
        <v>#N/A</v>
      </c>
      <c r="D453" s="95" t="e">
        <f>VLOOKUP(A453,'銀行-TSS'!A:C,3,FALSE)</f>
        <v>#N/A</v>
      </c>
      <c r="E453" s="90" t="e">
        <f ca="1">VLOOKUP(A453,'銀行-TSS'!A:G,7,FALSE)</f>
        <v>#N/A</v>
      </c>
      <c r="F453" s="202" t="e">
        <f ca="1">VLOOKUP(A453,'銀行-TSS'!A:H,8,FALSE)</f>
        <v>#N/A</v>
      </c>
      <c r="G453" s="96" t="e">
        <f ca="1">VLOOKUP(A453,'銀行-TSS'!A:K,11,FALSE)</f>
        <v>#N/A</v>
      </c>
      <c r="H453" s="1209" t="e">
        <f ca="1">VLOOKUP(A453,'銀行-TSS'!A:M,13,FALSE)</f>
        <v>#N/A</v>
      </c>
      <c r="I453" s="1213" t="e">
        <f ca="1">VLOOKUP(A453,'銀行-TSS'!A:N,14,FALSE)</f>
        <v>#N/A</v>
      </c>
      <c r="J453" s="1213" t="e">
        <f ca="1">VLOOKUP(A453,'銀行-TSS'!A:O,15,FALSE)</f>
        <v>#N/A</v>
      </c>
      <c r="K453" s="136" t="e">
        <f ca="1">VLOOKUP(A453,'銀行-TSS'!A:V,22,FALSE)</f>
        <v>#N/A</v>
      </c>
      <c r="L453" s="136" t="e">
        <f ca="1">VLOOKUP(A453,'銀行-TSS'!A:AK,37,FALSE)</f>
        <v>#N/A</v>
      </c>
      <c r="M453" s="136" t="str">
        <f ca="1">VLOOKUP(A453,'銀行-TSS'!A:AN,40,FALSE)</f>
        <v/>
      </c>
      <c r="N453" s="1211" t="e">
        <f t="shared" ca="1" si="93"/>
        <v>#N/A</v>
      </c>
      <c r="O453" s="1211" t="e">
        <f t="shared" ca="1" si="94"/>
        <v>#N/A</v>
      </c>
      <c r="P453" s="1213" t="e">
        <f ca="1">IF(AND(換券投組!$D$17&gt;=O453,換券投組!$D$13=D453),I453+INT((換券投組!$D$17-O453)/N453)*J453,0)</f>
        <v>#N/A</v>
      </c>
      <c r="Q453" s="1211" t="e">
        <f t="shared" ca="1" si="95"/>
        <v>#N/A</v>
      </c>
      <c r="R453" s="1213">
        <f t="shared" si="96"/>
        <v>0</v>
      </c>
      <c r="S453" s="1213">
        <f t="shared" si="97"/>
        <v>0</v>
      </c>
      <c r="T453" s="136">
        <f t="shared" si="99"/>
        <v>0</v>
      </c>
      <c r="U453" s="861">
        <f t="shared" si="100"/>
        <v>0</v>
      </c>
      <c r="V453" s="136" t="e">
        <f ca="1">IF(OR(D453&lt;&gt;"USD",L453="無",M453&lt;&gt;"",K453="高資產",IFERROR(MATCH(B453,換券投組!K:K,0),"N")&lt;&gt;"N",IFERROR(MATCH(B453,換券投組!J:J,0),"N")&lt;&gt;"N"),FALSE,IF($V$1="All",TRUE,IF(K453=$V$1,TRUE,FALSE)))</f>
        <v>#N/A</v>
      </c>
      <c r="W453" s="136" t="e">
        <f ca="1">VLOOKUP(A453,'銀行-TSS'!A:AO,41,FALSE)</f>
        <v>#N/A</v>
      </c>
      <c r="X453" s="136" t="e">
        <f ca="1">VLOOKUP(A453,'銀行-TSS'!A:AP,42,FALSE)</f>
        <v>#N/A</v>
      </c>
      <c r="Y453" s="1223">
        <f t="shared" si="98"/>
        <v>0</v>
      </c>
      <c r="Z453" s="1211">
        <f t="shared" si="101"/>
        <v>0</v>
      </c>
      <c r="AA453" s="136">
        <f>IF(Z453&lt;=0,0,RANK(Z453,Z:Z)+COUNTIF($Z$3:$Z453,Z453)-1)</f>
        <v>0</v>
      </c>
      <c r="AB453" s="1211">
        <f t="shared" ca="1" si="102"/>
        <v>0</v>
      </c>
      <c r="AC453" s="136">
        <f ca="1">IF(AB453&lt;=0,0,RANK(AB453,AB:AB)+COUNTIF($AB$3:$AB453,AB453)-1)</f>
        <v>0</v>
      </c>
      <c r="AD453" s="136">
        <f t="shared" si="103"/>
        <v>99999</v>
      </c>
      <c r="AE453" s="136">
        <f>IF(AD453=99999,0,RANK(AD453,AD:AD,1)+COUNTIF($AD$3:$AD453,AD453)-1)</f>
        <v>0</v>
      </c>
    </row>
    <row r="454" spans="1:31">
      <c r="A454" s="141">
        <f>'銀行-TSS'!A454</f>
        <v>0</v>
      </c>
      <c r="B454" s="151">
        <f ca="1">VLOOKUP(A454,'銀行-TSS'!A:B,2,FALSE)</f>
        <v>0</v>
      </c>
      <c r="C454" s="151" t="e">
        <f ca="1">VLOOKUP(B454,bond!B:C,2,FALSE)</f>
        <v>#N/A</v>
      </c>
      <c r="D454" s="95" t="e">
        <f>VLOOKUP(A454,'銀行-TSS'!A:C,3,FALSE)</f>
        <v>#N/A</v>
      </c>
      <c r="E454" s="90" t="e">
        <f ca="1">VLOOKUP(A454,'銀行-TSS'!A:G,7,FALSE)</f>
        <v>#N/A</v>
      </c>
      <c r="F454" s="202" t="e">
        <f ca="1">VLOOKUP(A454,'銀行-TSS'!A:H,8,FALSE)</f>
        <v>#N/A</v>
      </c>
      <c r="G454" s="96" t="e">
        <f ca="1">VLOOKUP(A454,'銀行-TSS'!A:K,11,FALSE)</f>
        <v>#N/A</v>
      </c>
      <c r="H454" s="1209" t="e">
        <f ca="1">VLOOKUP(A454,'銀行-TSS'!A:M,13,FALSE)</f>
        <v>#N/A</v>
      </c>
      <c r="I454" s="1213" t="e">
        <f ca="1">VLOOKUP(A454,'銀行-TSS'!A:N,14,FALSE)</f>
        <v>#N/A</v>
      </c>
      <c r="J454" s="1213" t="e">
        <f ca="1">VLOOKUP(A454,'銀行-TSS'!A:O,15,FALSE)</f>
        <v>#N/A</v>
      </c>
      <c r="K454" s="136" t="e">
        <f ca="1">VLOOKUP(A454,'銀行-TSS'!A:V,22,FALSE)</f>
        <v>#N/A</v>
      </c>
      <c r="L454" s="136" t="e">
        <f ca="1">VLOOKUP(A454,'銀行-TSS'!A:AK,37,FALSE)</f>
        <v>#N/A</v>
      </c>
      <c r="M454" s="136" t="str">
        <f ca="1">VLOOKUP(A454,'銀行-TSS'!A:AN,40,FALSE)</f>
        <v/>
      </c>
      <c r="N454" s="1211" t="e">
        <f t="shared" ca="1" si="93"/>
        <v>#N/A</v>
      </c>
      <c r="O454" s="1211" t="e">
        <f t="shared" ca="1" si="94"/>
        <v>#N/A</v>
      </c>
      <c r="P454" s="1213" t="e">
        <f ca="1">IF(AND(換券投組!$D$17&gt;=O454,換券投組!$D$13=D454),I454+INT((換券投組!$D$17-O454)/N454)*J454,0)</f>
        <v>#N/A</v>
      </c>
      <c r="Q454" s="1211" t="e">
        <f t="shared" ca="1" si="95"/>
        <v>#N/A</v>
      </c>
      <c r="R454" s="1213">
        <f t="shared" si="96"/>
        <v>0</v>
      </c>
      <c r="S454" s="1213">
        <f t="shared" si="97"/>
        <v>0</v>
      </c>
      <c r="T454" s="136">
        <f t="shared" si="99"/>
        <v>0</v>
      </c>
      <c r="U454" s="861">
        <f t="shared" si="100"/>
        <v>0</v>
      </c>
      <c r="V454" s="136" t="e">
        <f ca="1">IF(OR(D454&lt;&gt;"USD",L454="無",M454&lt;&gt;"",K454="高資產",IFERROR(MATCH(B454,換券投組!K:K,0),"N")&lt;&gt;"N",IFERROR(MATCH(B454,換券投組!J:J,0),"N")&lt;&gt;"N"),FALSE,IF($V$1="All",TRUE,IF(K454=$V$1,TRUE,FALSE)))</f>
        <v>#N/A</v>
      </c>
      <c r="W454" s="136" t="e">
        <f ca="1">VLOOKUP(A454,'銀行-TSS'!A:AO,41,FALSE)</f>
        <v>#N/A</v>
      </c>
      <c r="X454" s="136" t="e">
        <f ca="1">VLOOKUP(A454,'銀行-TSS'!A:AP,42,FALSE)</f>
        <v>#N/A</v>
      </c>
      <c r="Y454" s="1223">
        <f t="shared" si="98"/>
        <v>0</v>
      </c>
      <c r="Z454" s="1211">
        <f t="shared" si="101"/>
        <v>0</v>
      </c>
      <c r="AA454" s="136">
        <f>IF(Z454&lt;=0,0,RANK(Z454,Z:Z)+COUNTIF($Z$3:$Z454,Z454)-1)</f>
        <v>0</v>
      </c>
      <c r="AB454" s="1211">
        <f t="shared" ca="1" si="102"/>
        <v>0</v>
      </c>
      <c r="AC454" s="136">
        <f ca="1">IF(AB454&lt;=0,0,RANK(AB454,AB:AB)+COUNTIF($AB$3:$AB454,AB454)-1)</f>
        <v>0</v>
      </c>
      <c r="AD454" s="136">
        <f t="shared" si="103"/>
        <v>99999</v>
      </c>
      <c r="AE454" s="136">
        <f>IF(AD454=99999,0,RANK(AD454,AD:AD,1)+COUNTIF($AD$3:$AD454,AD454)-1)</f>
        <v>0</v>
      </c>
    </row>
    <row r="455" spans="1:31">
      <c r="A455" s="141">
        <f>'銀行-TSS'!A455</f>
        <v>0</v>
      </c>
      <c r="B455" s="151">
        <f ca="1">VLOOKUP(A455,'銀行-TSS'!A:B,2,FALSE)</f>
        <v>0</v>
      </c>
      <c r="C455" s="151" t="e">
        <f ca="1">VLOOKUP(B455,bond!B:C,2,FALSE)</f>
        <v>#N/A</v>
      </c>
      <c r="D455" s="95" t="e">
        <f>VLOOKUP(A455,'銀行-TSS'!A:C,3,FALSE)</f>
        <v>#N/A</v>
      </c>
      <c r="E455" s="90" t="e">
        <f ca="1">VLOOKUP(A455,'銀行-TSS'!A:G,7,FALSE)</f>
        <v>#N/A</v>
      </c>
      <c r="F455" s="202" t="e">
        <f ca="1">VLOOKUP(A455,'銀行-TSS'!A:H,8,FALSE)</f>
        <v>#N/A</v>
      </c>
      <c r="G455" s="96" t="e">
        <f ca="1">VLOOKUP(A455,'銀行-TSS'!A:K,11,FALSE)</f>
        <v>#N/A</v>
      </c>
      <c r="H455" s="1209" t="e">
        <f ca="1">VLOOKUP(A455,'銀行-TSS'!A:M,13,FALSE)</f>
        <v>#N/A</v>
      </c>
      <c r="I455" s="1213" t="e">
        <f ca="1">VLOOKUP(A455,'銀行-TSS'!A:N,14,FALSE)</f>
        <v>#N/A</v>
      </c>
      <c r="J455" s="1213" t="e">
        <f ca="1">VLOOKUP(A455,'銀行-TSS'!A:O,15,FALSE)</f>
        <v>#N/A</v>
      </c>
      <c r="K455" s="136" t="e">
        <f ca="1">VLOOKUP(A455,'銀行-TSS'!A:V,22,FALSE)</f>
        <v>#N/A</v>
      </c>
      <c r="L455" s="136" t="e">
        <f ca="1">VLOOKUP(A455,'銀行-TSS'!A:AK,37,FALSE)</f>
        <v>#N/A</v>
      </c>
      <c r="M455" s="136" t="str">
        <f ca="1">VLOOKUP(A455,'銀行-TSS'!A:AN,40,FALSE)</f>
        <v/>
      </c>
      <c r="N455" s="1211" t="e">
        <f t="shared" ca="1" si="93"/>
        <v>#N/A</v>
      </c>
      <c r="O455" s="1211" t="e">
        <f t="shared" ca="1" si="94"/>
        <v>#N/A</v>
      </c>
      <c r="P455" s="1213" t="e">
        <f ca="1">IF(AND(換券投組!$D$17&gt;=O455,換券投組!$D$13=D455),I455+INT((換券投組!$D$17-O455)/N455)*J455,0)</f>
        <v>#N/A</v>
      </c>
      <c r="Q455" s="1211" t="e">
        <f t="shared" ca="1" si="95"/>
        <v>#N/A</v>
      </c>
      <c r="R455" s="1213">
        <f t="shared" si="96"/>
        <v>0</v>
      </c>
      <c r="S455" s="1213">
        <f t="shared" si="97"/>
        <v>0</v>
      </c>
      <c r="T455" s="136">
        <f t="shared" si="99"/>
        <v>0</v>
      </c>
      <c r="U455" s="861">
        <f t="shared" si="100"/>
        <v>0</v>
      </c>
      <c r="V455" s="136" t="e">
        <f ca="1">IF(OR(D455&lt;&gt;"USD",L455="無",M455&lt;&gt;"",K455="高資產",IFERROR(MATCH(B455,換券投組!K:K,0),"N")&lt;&gt;"N",IFERROR(MATCH(B455,換券投組!J:J,0),"N")&lt;&gt;"N"),FALSE,IF($V$1="All",TRUE,IF(K455=$V$1,TRUE,FALSE)))</f>
        <v>#N/A</v>
      </c>
      <c r="W455" s="136" t="e">
        <f ca="1">VLOOKUP(A455,'銀行-TSS'!A:AO,41,FALSE)</f>
        <v>#N/A</v>
      </c>
      <c r="X455" s="136" t="e">
        <f ca="1">VLOOKUP(A455,'銀行-TSS'!A:AP,42,FALSE)</f>
        <v>#N/A</v>
      </c>
      <c r="Y455" s="1223">
        <f t="shared" si="98"/>
        <v>0</v>
      </c>
      <c r="Z455" s="1211">
        <f t="shared" si="101"/>
        <v>0</v>
      </c>
      <c r="AA455" s="136">
        <f>IF(Z455&lt;=0,0,RANK(Z455,Z:Z)+COUNTIF($Z$3:$Z455,Z455)-1)</f>
        <v>0</v>
      </c>
      <c r="AB455" s="1211">
        <f t="shared" ca="1" si="102"/>
        <v>0</v>
      </c>
      <c r="AC455" s="136">
        <f ca="1">IF(AB455&lt;=0,0,RANK(AB455,AB:AB)+COUNTIF($AB$3:$AB455,AB455)-1)</f>
        <v>0</v>
      </c>
      <c r="AD455" s="136">
        <f t="shared" si="103"/>
        <v>99999</v>
      </c>
      <c r="AE455" s="136">
        <f>IF(AD455=99999,0,RANK(AD455,AD:AD,1)+COUNTIF($AD$3:$AD455,AD455)-1)</f>
        <v>0</v>
      </c>
    </row>
    <row r="456" spans="1:31">
      <c r="A456" s="141">
        <f>'銀行-TSS'!A456</f>
        <v>0</v>
      </c>
      <c r="B456" s="151">
        <f ca="1">VLOOKUP(A456,'銀行-TSS'!A:B,2,FALSE)</f>
        <v>0</v>
      </c>
      <c r="C456" s="151" t="e">
        <f ca="1">VLOOKUP(B456,bond!B:C,2,FALSE)</f>
        <v>#N/A</v>
      </c>
      <c r="D456" s="95" t="e">
        <f>VLOOKUP(A456,'銀行-TSS'!A:C,3,FALSE)</f>
        <v>#N/A</v>
      </c>
      <c r="E456" s="90" t="e">
        <f ca="1">VLOOKUP(A456,'銀行-TSS'!A:G,7,FALSE)</f>
        <v>#N/A</v>
      </c>
      <c r="F456" s="202" t="e">
        <f ca="1">VLOOKUP(A456,'銀行-TSS'!A:H,8,FALSE)</f>
        <v>#N/A</v>
      </c>
      <c r="G456" s="96" t="e">
        <f ca="1">VLOOKUP(A456,'銀行-TSS'!A:K,11,FALSE)</f>
        <v>#N/A</v>
      </c>
      <c r="H456" s="1209" t="e">
        <f ca="1">VLOOKUP(A456,'銀行-TSS'!A:M,13,FALSE)</f>
        <v>#N/A</v>
      </c>
      <c r="I456" s="1213" t="e">
        <f ca="1">VLOOKUP(A456,'銀行-TSS'!A:N,14,FALSE)</f>
        <v>#N/A</v>
      </c>
      <c r="J456" s="1213" t="e">
        <f ca="1">VLOOKUP(A456,'銀行-TSS'!A:O,15,FALSE)</f>
        <v>#N/A</v>
      </c>
      <c r="K456" s="136" t="e">
        <f ca="1">VLOOKUP(A456,'銀行-TSS'!A:V,22,FALSE)</f>
        <v>#N/A</v>
      </c>
      <c r="L456" s="136" t="e">
        <f ca="1">VLOOKUP(A456,'銀行-TSS'!A:AK,37,FALSE)</f>
        <v>#N/A</v>
      </c>
      <c r="M456" s="136" t="str">
        <f ca="1">VLOOKUP(A456,'銀行-TSS'!A:AN,40,FALSE)</f>
        <v/>
      </c>
      <c r="N456" s="1211" t="e">
        <f t="shared" ca="1" si="93"/>
        <v>#N/A</v>
      </c>
      <c r="O456" s="1211" t="e">
        <f t="shared" ca="1" si="94"/>
        <v>#N/A</v>
      </c>
      <c r="P456" s="1213" t="e">
        <f ca="1">IF(AND(換券投組!$D$17&gt;=O456,換券投組!$D$13=D456),I456+INT((換券投組!$D$17-O456)/N456)*J456,0)</f>
        <v>#N/A</v>
      </c>
      <c r="Q456" s="1211" t="e">
        <f t="shared" ca="1" si="95"/>
        <v>#N/A</v>
      </c>
      <c r="R456" s="1213">
        <f t="shared" si="96"/>
        <v>0</v>
      </c>
      <c r="S456" s="1213">
        <f t="shared" si="97"/>
        <v>0</v>
      </c>
      <c r="T456" s="136">
        <f t="shared" si="99"/>
        <v>0</v>
      </c>
      <c r="U456" s="861">
        <f t="shared" si="100"/>
        <v>0</v>
      </c>
      <c r="V456" s="136" t="e">
        <f ca="1">IF(OR(D456&lt;&gt;"USD",L456="無",M456&lt;&gt;"",K456="高資產",IFERROR(MATCH(B456,換券投組!K:K,0),"N")&lt;&gt;"N",IFERROR(MATCH(B456,換券投組!J:J,0),"N")&lt;&gt;"N"),FALSE,IF($V$1="All",TRUE,IF(K456=$V$1,TRUE,FALSE)))</f>
        <v>#N/A</v>
      </c>
      <c r="W456" s="136" t="e">
        <f ca="1">VLOOKUP(A456,'銀行-TSS'!A:AO,41,FALSE)</f>
        <v>#N/A</v>
      </c>
      <c r="X456" s="136" t="e">
        <f ca="1">VLOOKUP(A456,'銀行-TSS'!A:AP,42,FALSE)</f>
        <v>#N/A</v>
      </c>
      <c r="Y456" s="1223">
        <f t="shared" si="98"/>
        <v>0</v>
      </c>
      <c r="Z456" s="1211">
        <f t="shared" si="101"/>
        <v>0</v>
      </c>
      <c r="AA456" s="136">
        <f>IF(Z456&lt;=0,0,RANK(Z456,Z:Z)+COUNTIF($Z$3:$Z456,Z456)-1)</f>
        <v>0</v>
      </c>
      <c r="AB456" s="1211">
        <f t="shared" ca="1" si="102"/>
        <v>0</v>
      </c>
      <c r="AC456" s="136">
        <f ca="1">IF(AB456&lt;=0,0,RANK(AB456,AB:AB)+COUNTIF($AB$3:$AB456,AB456)-1)</f>
        <v>0</v>
      </c>
      <c r="AD456" s="136">
        <f t="shared" si="103"/>
        <v>99999</v>
      </c>
      <c r="AE456" s="136">
        <f>IF(AD456=99999,0,RANK(AD456,AD:AD,1)+COUNTIF($AD$3:$AD456,AD456)-1)</f>
        <v>0</v>
      </c>
    </row>
    <row r="457" spans="1:31">
      <c r="A457" s="141">
        <f>'銀行-TSS'!A457</f>
        <v>0</v>
      </c>
      <c r="B457" s="151">
        <f ca="1">VLOOKUP(A457,'銀行-TSS'!A:B,2,FALSE)</f>
        <v>0</v>
      </c>
      <c r="C457" s="151" t="e">
        <f ca="1">VLOOKUP(B457,bond!B:C,2,FALSE)</f>
        <v>#N/A</v>
      </c>
      <c r="D457" s="95" t="e">
        <f>VLOOKUP(A457,'銀行-TSS'!A:C,3,FALSE)</f>
        <v>#N/A</v>
      </c>
      <c r="E457" s="90" t="e">
        <f ca="1">VLOOKUP(A457,'銀行-TSS'!A:G,7,FALSE)</f>
        <v>#N/A</v>
      </c>
      <c r="F457" s="202" t="e">
        <f ca="1">VLOOKUP(A457,'銀行-TSS'!A:H,8,FALSE)</f>
        <v>#N/A</v>
      </c>
      <c r="G457" s="96" t="e">
        <f ca="1">VLOOKUP(A457,'銀行-TSS'!A:K,11,FALSE)</f>
        <v>#N/A</v>
      </c>
      <c r="H457" s="1209" t="e">
        <f ca="1">VLOOKUP(A457,'銀行-TSS'!A:M,13,FALSE)</f>
        <v>#N/A</v>
      </c>
      <c r="I457" s="1213" t="e">
        <f ca="1">VLOOKUP(A457,'銀行-TSS'!A:N,14,FALSE)</f>
        <v>#N/A</v>
      </c>
      <c r="J457" s="1213" t="e">
        <f ca="1">VLOOKUP(A457,'銀行-TSS'!A:O,15,FALSE)</f>
        <v>#N/A</v>
      </c>
      <c r="K457" s="136" t="e">
        <f ca="1">VLOOKUP(A457,'銀行-TSS'!A:V,22,FALSE)</f>
        <v>#N/A</v>
      </c>
      <c r="L457" s="136" t="e">
        <f ca="1">VLOOKUP(A457,'銀行-TSS'!A:AK,37,FALSE)</f>
        <v>#N/A</v>
      </c>
      <c r="M457" s="136" t="str">
        <f ca="1">VLOOKUP(A457,'銀行-TSS'!A:AN,40,FALSE)</f>
        <v/>
      </c>
      <c r="N457" s="1211" t="e">
        <f t="shared" ca="1" si="93"/>
        <v>#N/A</v>
      </c>
      <c r="O457" s="1211" t="e">
        <f t="shared" ca="1" si="94"/>
        <v>#N/A</v>
      </c>
      <c r="P457" s="1213" t="e">
        <f ca="1">IF(AND(換券投組!$D$17&gt;=O457,換券投組!$D$13=D457),I457+INT((換券投組!$D$17-O457)/N457)*J457,0)</f>
        <v>#N/A</v>
      </c>
      <c r="Q457" s="1211" t="e">
        <f t="shared" ca="1" si="95"/>
        <v>#N/A</v>
      </c>
      <c r="R457" s="1213">
        <f t="shared" si="96"/>
        <v>0</v>
      </c>
      <c r="S457" s="1213">
        <f t="shared" si="97"/>
        <v>0</v>
      </c>
      <c r="T457" s="136">
        <f t="shared" si="99"/>
        <v>0</v>
      </c>
      <c r="U457" s="861">
        <f t="shared" si="100"/>
        <v>0</v>
      </c>
      <c r="V457" s="136" t="e">
        <f ca="1">IF(OR(D457&lt;&gt;"USD",L457="無",M457&lt;&gt;"",K457="高資產",IFERROR(MATCH(B457,換券投組!K:K,0),"N")&lt;&gt;"N",IFERROR(MATCH(B457,換券投組!J:J,0),"N")&lt;&gt;"N"),FALSE,IF($V$1="All",TRUE,IF(K457=$V$1,TRUE,FALSE)))</f>
        <v>#N/A</v>
      </c>
      <c r="W457" s="136" t="e">
        <f ca="1">VLOOKUP(A457,'銀行-TSS'!A:AO,41,FALSE)</f>
        <v>#N/A</v>
      </c>
      <c r="X457" s="136" t="e">
        <f ca="1">VLOOKUP(A457,'銀行-TSS'!A:AP,42,FALSE)</f>
        <v>#N/A</v>
      </c>
      <c r="Y457" s="1223">
        <f t="shared" si="98"/>
        <v>0</v>
      </c>
      <c r="Z457" s="1211">
        <f t="shared" si="101"/>
        <v>0</v>
      </c>
      <c r="AA457" s="136">
        <f>IF(Z457&lt;=0,0,RANK(Z457,Z:Z)+COUNTIF($Z$3:$Z457,Z457)-1)</f>
        <v>0</v>
      </c>
      <c r="AB457" s="1211">
        <f t="shared" ca="1" si="102"/>
        <v>0</v>
      </c>
      <c r="AC457" s="136">
        <f ca="1">IF(AB457&lt;=0,0,RANK(AB457,AB:AB)+COUNTIF($AB$3:$AB457,AB457)-1)</f>
        <v>0</v>
      </c>
      <c r="AD457" s="136">
        <f t="shared" si="103"/>
        <v>99999</v>
      </c>
      <c r="AE457" s="136">
        <f>IF(AD457=99999,0,RANK(AD457,AD:AD,1)+COUNTIF($AD$3:$AD457,AD457)-1)</f>
        <v>0</v>
      </c>
    </row>
    <row r="458" spans="1:31">
      <c r="A458" s="141">
        <f>'銀行-TSS'!A458</f>
        <v>0</v>
      </c>
      <c r="B458" s="151">
        <f ca="1">VLOOKUP(A458,'銀行-TSS'!A:B,2,FALSE)</f>
        <v>0</v>
      </c>
      <c r="C458" s="151" t="e">
        <f ca="1">VLOOKUP(B458,bond!B:C,2,FALSE)</f>
        <v>#N/A</v>
      </c>
      <c r="D458" s="95" t="e">
        <f>VLOOKUP(A458,'銀行-TSS'!A:C,3,FALSE)</f>
        <v>#N/A</v>
      </c>
      <c r="E458" s="90" t="e">
        <f ca="1">VLOOKUP(A458,'銀行-TSS'!A:G,7,FALSE)</f>
        <v>#N/A</v>
      </c>
      <c r="F458" s="202" t="e">
        <f ca="1">VLOOKUP(A458,'銀行-TSS'!A:H,8,FALSE)</f>
        <v>#N/A</v>
      </c>
      <c r="G458" s="96" t="e">
        <f ca="1">VLOOKUP(A458,'銀行-TSS'!A:K,11,FALSE)</f>
        <v>#N/A</v>
      </c>
      <c r="H458" s="1209" t="e">
        <f ca="1">VLOOKUP(A458,'銀行-TSS'!A:M,13,FALSE)</f>
        <v>#N/A</v>
      </c>
      <c r="I458" s="1213" t="e">
        <f ca="1">VLOOKUP(A458,'銀行-TSS'!A:N,14,FALSE)</f>
        <v>#N/A</v>
      </c>
      <c r="J458" s="1213" t="e">
        <f ca="1">VLOOKUP(A458,'銀行-TSS'!A:O,15,FALSE)</f>
        <v>#N/A</v>
      </c>
      <c r="K458" s="136" t="e">
        <f ca="1">VLOOKUP(A458,'銀行-TSS'!A:V,22,FALSE)</f>
        <v>#N/A</v>
      </c>
      <c r="L458" s="136" t="e">
        <f ca="1">VLOOKUP(A458,'銀行-TSS'!A:AK,37,FALSE)</f>
        <v>#N/A</v>
      </c>
      <c r="M458" s="136" t="str">
        <f ca="1">VLOOKUP(A458,'銀行-TSS'!A:AN,40,FALSE)</f>
        <v/>
      </c>
      <c r="N458" s="1211" t="e">
        <f t="shared" ca="1" si="93"/>
        <v>#N/A</v>
      </c>
      <c r="O458" s="1211" t="e">
        <f t="shared" ca="1" si="94"/>
        <v>#N/A</v>
      </c>
      <c r="P458" s="1213" t="e">
        <f ca="1">IF(AND(換券投組!$D$17&gt;=O458,換券投組!$D$13=D458),I458+INT((換券投組!$D$17-O458)/N458)*J458,0)</f>
        <v>#N/A</v>
      </c>
      <c r="Q458" s="1211" t="e">
        <f t="shared" ca="1" si="95"/>
        <v>#N/A</v>
      </c>
      <c r="R458" s="1213">
        <f t="shared" si="96"/>
        <v>0</v>
      </c>
      <c r="S458" s="1213">
        <f t="shared" si="97"/>
        <v>0</v>
      </c>
      <c r="T458" s="136">
        <f t="shared" si="99"/>
        <v>0</v>
      </c>
      <c r="U458" s="861">
        <f t="shared" si="100"/>
        <v>0</v>
      </c>
      <c r="V458" s="136" t="e">
        <f ca="1">IF(OR(D458&lt;&gt;"USD",L458="無",M458&lt;&gt;"",K458="高資產",IFERROR(MATCH(B458,換券投組!K:K,0),"N")&lt;&gt;"N",IFERROR(MATCH(B458,換券投組!J:J,0),"N")&lt;&gt;"N"),FALSE,IF($V$1="All",TRUE,IF(K458=$V$1,TRUE,FALSE)))</f>
        <v>#N/A</v>
      </c>
      <c r="W458" s="136" t="e">
        <f ca="1">VLOOKUP(A458,'銀行-TSS'!A:AO,41,FALSE)</f>
        <v>#N/A</v>
      </c>
      <c r="X458" s="136" t="e">
        <f ca="1">VLOOKUP(A458,'銀行-TSS'!A:AP,42,FALSE)</f>
        <v>#N/A</v>
      </c>
      <c r="Y458" s="1223">
        <f t="shared" si="98"/>
        <v>0</v>
      </c>
      <c r="Z458" s="1211">
        <f t="shared" si="101"/>
        <v>0</v>
      </c>
      <c r="AA458" s="136">
        <f>IF(Z458&lt;=0,0,RANK(Z458,Z:Z)+COUNTIF($Z$3:$Z458,Z458)-1)</f>
        <v>0</v>
      </c>
      <c r="AB458" s="1211">
        <f t="shared" ca="1" si="102"/>
        <v>0</v>
      </c>
      <c r="AC458" s="136">
        <f ca="1">IF(AB458&lt;=0,0,RANK(AB458,AB:AB)+COUNTIF($AB$3:$AB458,AB458)-1)</f>
        <v>0</v>
      </c>
      <c r="AD458" s="136">
        <f t="shared" si="103"/>
        <v>99999</v>
      </c>
      <c r="AE458" s="136">
        <f>IF(AD458=99999,0,RANK(AD458,AD:AD,1)+COUNTIF($AD$3:$AD458,AD458)-1)</f>
        <v>0</v>
      </c>
    </row>
    <row r="459" spans="1:31">
      <c r="A459" s="141">
        <f>'銀行-TSS'!A459</f>
        <v>0</v>
      </c>
      <c r="B459" s="151">
        <f ca="1">VLOOKUP(A459,'銀行-TSS'!A:B,2,FALSE)</f>
        <v>0</v>
      </c>
      <c r="C459" s="151" t="e">
        <f ca="1">VLOOKUP(B459,bond!B:C,2,FALSE)</f>
        <v>#N/A</v>
      </c>
      <c r="D459" s="95" t="e">
        <f>VLOOKUP(A459,'銀行-TSS'!A:C,3,FALSE)</f>
        <v>#N/A</v>
      </c>
      <c r="E459" s="90" t="e">
        <f ca="1">VLOOKUP(A459,'銀行-TSS'!A:G,7,FALSE)</f>
        <v>#N/A</v>
      </c>
      <c r="F459" s="202" t="e">
        <f ca="1">VLOOKUP(A459,'銀行-TSS'!A:H,8,FALSE)</f>
        <v>#N/A</v>
      </c>
      <c r="G459" s="96" t="e">
        <f ca="1">VLOOKUP(A459,'銀行-TSS'!A:K,11,FALSE)</f>
        <v>#N/A</v>
      </c>
      <c r="H459" s="1209" t="e">
        <f ca="1">VLOOKUP(A459,'銀行-TSS'!A:M,13,FALSE)</f>
        <v>#N/A</v>
      </c>
      <c r="I459" s="1213" t="e">
        <f ca="1">VLOOKUP(A459,'銀行-TSS'!A:N,14,FALSE)</f>
        <v>#N/A</v>
      </c>
      <c r="J459" s="1213" t="e">
        <f ca="1">VLOOKUP(A459,'銀行-TSS'!A:O,15,FALSE)</f>
        <v>#N/A</v>
      </c>
      <c r="K459" s="136" t="e">
        <f ca="1">VLOOKUP(A459,'銀行-TSS'!A:V,22,FALSE)</f>
        <v>#N/A</v>
      </c>
      <c r="L459" s="136" t="e">
        <f ca="1">VLOOKUP(A459,'銀行-TSS'!A:AK,37,FALSE)</f>
        <v>#N/A</v>
      </c>
      <c r="M459" s="136" t="str">
        <f ca="1">VLOOKUP(A459,'銀行-TSS'!A:AN,40,FALSE)</f>
        <v/>
      </c>
      <c r="N459" s="1211" t="e">
        <f t="shared" ca="1" si="93"/>
        <v>#N/A</v>
      </c>
      <c r="O459" s="1211" t="e">
        <f t="shared" ca="1" si="94"/>
        <v>#N/A</v>
      </c>
      <c r="P459" s="1213" t="e">
        <f ca="1">IF(AND(換券投組!$D$17&gt;=O459,換券投組!$D$13=D459),I459+INT((換券投組!$D$17-O459)/N459)*J459,0)</f>
        <v>#N/A</v>
      </c>
      <c r="Q459" s="1211" t="e">
        <f t="shared" ca="1" si="95"/>
        <v>#N/A</v>
      </c>
      <c r="R459" s="1213">
        <f t="shared" si="96"/>
        <v>0</v>
      </c>
      <c r="S459" s="1213">
        <f t="shared" si="97"/>
        <v>0</v>
      </c>
      <c r="T459" s="136">
        <f t="shared" si="99"/>
        <v>0</v>
      </c>
      <c r="U459" s="861">
        <f t="shared" si="100"/>
        <v>0</v>
      </c>
      <c r="V459" s="136" t="e">
        <f ca="1">IF(OR(D459&lt;&gt;"USD",L459="無",M459&lt;&gt;"",K459="高資產",IFERROR(MATCH(B459,換券投組!K:K,0),"N")&lt;&gt;"N",IFERROR(MATCH(B459,換券投組!J:J,0),"N")&lt;&gt;"N"),FALSE,IF($V$1="All",TRUE,IF(K459=$V$1,TRUE,FALSE)))</f>
        <v>#N/A</v>
      </c>
      <c r="W459" s="136" t="e">
        <f ca="1">VLOOKUP(A459,'銀行-TSS'!A:AO,41,FALSE)</f>
        <v>#N/A</v>
      </c>
      <c r="X459" s="136" t="e">
        <f ca="1">VLOOKUP(A459,'銀行-TSS'!A:AP,42,FALSE)</f>
        <v>#N/A</v>
      </c>
      <c r="Y459" s="1223">
        <f t="shared" si="98"/>
        <v>0</v>
      </c>
      <c r="Z459" s="1211">
        <f t="shared" si="101"/>
        <v>0</v>
      </c>
      <c r="AA459" s="136">
        <f>IF(Z459&lt;=0,0,RANK(Z459,Z:Z)+COUNTIF($Z$3:$Z459,Z459)-1)</f>
        <v>0</v>
      </c>
      <c r="AB459" s="1211">
        <f t="shared" ca="1" si="102"/>
        <v>0</v>
      </c>
      <c r="AC459" s="136">
        <f ca="1">IF(AB459&lt;=0,0,RANK(AB459,AB:AB)+COUNTIF($AB$3:$AB459,AB459)-1)</f>
        <v>0</v>
      </c>
      <c r="AD459" s="136">
        <f t="shared" si="103"/>
        <v>99999</v>
      </c>
      <c r="AE459" s="136">
        <f>IF(AD459=99999,0,RANK(AD459,AD:AD,1)+COUNTIF($AD$3:$AD459,AD459)-1)</f>
        <v>0</v>
      </c>
    </row>
    <row r="460" spans="1:31">
      <c r="A460" s="141">
        <f>'銀行-TSS'!A460</f>
        <v>0</v>
      </c>
      <c r="B460" s="151">
        <f ca="1">VLOOKUP(A460,'銀行-TSS'!A:B,2,FALSE)</f>
        <v>0</v>
      </c>
      <c r="C460" s="151" t="e">
        <f ca="1">VLOOKUP(B460,bond!B:C,2,FALSE)</f>
        <v>#N/A</v>
      </c>
      <c r="D460" s="95" t="e">
        <f>VLOOKUP(A460,'銀行-TSS'!A:C,3,FALSE)</f>
        <v>#N/A</v>
      </c>
      <c r="E460" s="90" t="e">
        <f ca="1">VLOOKUP(A460,'銀行-TSS'!A:G,7,FALSE)</f>
        <v>#N/A</v>
      </c>
      <c r="F460" s="202" t="e">
        <f ca="1">VLOOKUP(A460,'銀行-TSS'!A:H,8,FALSE)</f>
        <v>#N/A</v>
      </c>
      <c r="G460" s="96" t="e">
        <f ca="1">VLOOKUP(A460,'銀行-TSS'!A:K,11,FALSE)</f>
        <v>#N/A</v>
      </c>
      <c r="H460" s="1209" t="e">
        <f ca="1">VLOOKUP(A460,'銀行-TSS'!A:M,13,FALSE)</f>
        <v>#N/A</v>
      </c>
      <c r="I460" s="1213" t="e">
        <f ca="1">VLOOKUP(A460,'銀行-TSS'!A:N,14,FALSE)</f>
        <v>#N/A</v>
      </c>
      <c r="J460" s="1213" t="e">
        <f ca="1">VLOOKUP(A460,'銀行-TSS'!A:O,15,FALSE)</f>
        <v>#N/A</v>
      </c>
      <c r="K460" s="136" t="e">
        <f ca="1">VLOOKUP(A460,'銀行-TSS'!A:V,22,FALSE)</f>
        <v>#N/A</v>
      </c>
      <c r="L460" s="136" t="e">
        <f ca="1">VLOOKUP(A460,'銀行-TSS'!A:AK,37,FALSE)</f>
        <v>#N/A</v>
      </c>
      <c r="M460" s="136" t="str">
        <f ca="1">VLOOKUP(A460,'銀行-TSS'!A:AN,40,FALSE)</f>
        <v/>
      </c>
      <c r="N460" s="1211" t="e">
        <f t="shared" ca="1" si="93"/>
        <v>#N/A</v>
      </c>
      <c r="O460" s="1211" t="e">
        <f t="shared" ca="1" si="94"/>
        <v>#N/A</v>
      </c>
      <c r="P460" s="1213" t="e">
        <f ca="1">IF(AND(換券投組!$D$17&gt;=O460,換券投組!$D$13=D460),I460+INT((換券投組!$D$17-O460)/N460)*J460,0)</f>
        <v>#N/A</v>
      </c>
      <c r="Q460" s="1211" t="e">
        <f t="shared" ca="1" si="95"/>
        <v>#N/A</v>
      </c>
      <c r="R460" s="1213">
        <f t="shared" si="96"/>
        <v>0</v>
      </c>
      <c r="S460" s="1213">
        <f t="shared" si="97"/>
        <v>0</v>
      </c>
      <c r="T460" s="136">
        <f t="shared" si="99"/>
        <v>0</v>
      </c>
      <c r="U460" s="861">
        <f t="shared" si="100"/>
        <v>0</v>
      </c>
      <c r="V460" s="136" t="e">
        <f ca="1">IF(OR(D460&lt;&gt;"USD",L460="無",M460&lt;&gt;"",K460="高資產",IFERROR(MATCH(B460,換券投組!K:K,0),"N")&lt;&gt;"N",IFERROR(MATCH(B460,換券投組!J:J,0),"N")&lt;&gt;"N"),FALSE,IF($V$1="All",TRUE,IF(K460=$V$1,TRUE,FALSE)))</f>
        <v>#N/A</v>
      </c>
      <c r="W460" s="136" t="e">
        <f ca="1">VLOOKUP(A460,'銀行-TSS'!A:AO,41,FALSE)</f>
        <v>#N/A</v>
      </c>
      <c r="X460" s="136" t="e">
        <f ca="1">VLOOKUP(A460,'銀行-TSS'!A:AP,42,FALSE)</f>
        <v>#N/A</v>
      </c>
      <c r="Y460" s="1223">
        <f t="shared" si="98"/>
        <v>0</v>
      </c>
      <c r="Z460" s="1211">
        <f t="shared" si="101"/>
        <v>0</v>
      </c>
      <c r="AA460" s="136">
        <f>IF(Z460&lt;=0,0,RANK(Z460,Z:Z)+COUNTIF($Z$3:$Z460,Z460)-1)</f>
        <v>0</v>
      </c>
      <c r="AB460" s="1211">
        <f t="shared" ca="1" si="102"/>
        <v>0</v>
      </c>
      <c r="AC460" s="136">
        <f ca="1">IF(AB460&lt;=0,0,RANK(AB460,AB:AB)+COUNTIF($AB$3:$AB460,AB460)-1)</f>
        <v>0</v>
      </c>
      <c r="AD460" s="136">
        <f t="shared" si="103"/>
        <v>99999</v>
      </c>
      <c r="AE460" s="136">
        <f>IF(AD460=99999,0,RANK(AD460,AD:AD,1)+COUNTIF($AD$3:$AD460,AD460)-1)</f>
        <v>0</v>
      </c>
    </row>
    <row r="461" spans="1:31">
      <c r="A461" s="141">
        <f>'銀行-TSS'!A461</f>
        <v>0</v>
      </c>
      <c r="B461" s="151">
        <f ca="1">VLOOKUP(A461,'銀行-TSS'!A:B,2,FALSE)</f>
        <v>0</v>
      </c>
      <c r="C461" s="151" t="e">
        <f ca="1">VLOOKUP(B461,bond!B:C,2,FALSE)</f>
        <v>#N/A</v>
      </c>
      <c r="D461" s="95" t="e">
        <f>VLOOKUP(A461,'銀行-TSS'!A:C,3,FALSE)</f>
        <v>#N/A</v>
      </c>
      <c r="E461" s="90" t="e">
        <f ca="1">VLOOKUP(A461,'銀行-TSS'!A:G,7,FALSE)</f>
        <v>#N/A</v>
      </c>
      <c r="F461" s="202" t="e">
        <f ca="1">VLOOKUP(A461,'銀行-TSS'!A:H,8,FALSE)</f>
        <v>#N/A</v>
      </c>
      <c r="G461" s="96" t="e">
        <f ca="1">VLOOKUP(A461,'銀行-TSS'!A:K,11,FALSE)</f>
        <v>#N/A</v>
      </c>
      <c r="H461" s="1209" t="e">
        <f ca="1">VLOOKUP(A461,'銀行-TSS'!A:M,13,FALSE)</f>
        <v>#N/A</v>
      </c>
      <c r="I461" s="1213" t="e">
        <f ca="1">VLOOKUP(A461,'銀行-TSS'!A:N,14,FALSE)</f>
        <v>#N/A</v>
      </c>
      <c r="J461" s="1213" t="e">
        <f ca="1">VLOOKUP(A461,'銀行-TSS'!A:O,15,FALSE)</f>
        <v>#N/A</v>
      </c>
      <c r="K461" s="136" t="e">
        <f ca="1">VLOOKUP(A461,'銀行-TSS'!A:V,22,FALSE)</f>
        <v>#N/A</v>
      </c>
      <c r="L461" s="136" t="e">
        <f ca="1">VLOOKUP(A461,'銀行-TSS'!A:AK,37,FALSE)</f>
        <v>#N/A</v>
      </c>
      <c r="M461" s="136" t="str">
        <f ca="1">VLOOKUP(A461,'銀行-TSS'!A:AN,40,FALSE)</f>
        <v/>
      </c>
      <c r="N461" s="1211" t="e">
        <f t="shared" ca="1" si="93"/>
        <v>#N/A</v>
      </c>
      <c r="O461" s="1211" t="e">
        <f t="shared" ca="1" si="94"/>
        <v>#N/A</v>
      </c>
      <c r="P461" s="1213" t="e">
        <f ca="1">IF(AND(換券投組!$D$17&gt;=O461,換券投組!$D$13=D461),I461+INT((換券投組!$D$17-O461)/N461)*J461,0)</f>
        <v>#N/A</v>
      </c>
      <c r="Q461" s="1211" t="e">
        <f t="shared" ca="1" si="95"/>
        <v>#N/A</v>
      </c>
      <c r="R461" s="1213">
        <f t="shared" si="96"/>
        <v>0</v>
      </c>
      <c r="S461" s="1213">
        <f t="shared" si="97"/>
        <v>0</v>
      </c>
      <c r="T461" s="136">
        <f t="shared" si="99"/>
        <v>0</v>
      </c>
      <c r="U461" s="861">
        <f t="shared" si="100"/>
        <v>0</v>
      </c>
      <c r="V461" s="136" t="e">
        <f ca="1">IF(OR(D461&lt;&gt;"USD",L461="無",M461&lt;&gt;"",K461="高資產",IFERROR(MATCH(B461,換券投組!K:K,0),"N")&lt;&gt;"N",IFERROR(MATCH(B461,換券投組!J:J,0),"N")&lt;&gt;"N"),FALSE,IF($V$1="All",TRUE,IF(K461=$V$1,TRUE,FALSE)))</f>
        <v>#N/A</v>
      </c>
      <c r="W461" s="136" t="e">
        <f ca="1">VLOOKUP(A461,'銀行-TSS'!A:AO,41,FALSE)</f>
        <v>#N/A</v>
      </c>
      <c r="X461" s="136" t="e">
        <f ca="1">VLOOKUP(A461,'銀行-TSS'!A:AP,42,FALSE)</f>
        <v>#N/A</v>
      </c>
      <c r="Y461" s="1223">
        <f t="shared" si="98"/>
        <v>0</v>
      </c>
      <c r="Z461" s="1211">
        <f t="shared" si="101"/>
        <v>0</v>
      </c>
      <c r="AA461" s="136">
        <f>IF(Z461&lt;=0,0,RANK(Z461,Z:Z)+COUNTIF($Z$3:$Z461,Z461)-1)</f>
        <v>0</v>
      </c>
      <c r="AB461" s="1211">
        <f t="shared" ca="1" si="102"/>
        <v>0</v>
      </c>
      <c r="AC461" s="136">
        <f ca="1">IF(AB461&lt;=0,0,RANK(AB461,AB:AB)+COUNTIF($AB$3:$AB461,AB461)-1)</f>
        <v>0</v>
      </c>
      <c r="AD461" s="136">
        <f t="shared" si="103"/>
        <v>99999</v>
      </c>
      <c r="AE461" s="136">
        <f>IF(AD461=99999,0,RANK(AD461,AD:AD,1)+COUNTIF($AD$3:$AD461,AD461)-1)</f>
        <v>0</v>
      </c>
    </row>
    <row r="462" spans="1:31">
      <c r="A462" s="141">
        <f>'銀行-TSS'!A462</f>
        <v>0</v>
      </c>
      <c r="B462" s="151">
        <f ca="1">VLOOKUP(A462,'銀行-TSS'!A:B,2,FALSE)</f>
        <v>0</v>
      </c>
      <c r="C462" s="151" t="e">
        <f ca="1">VLOOKUP(B462,bond!B:C,2,FALSE)</f>
        <v>#N/A</v>
      </c>
      <c r="D462" s="95" t="e">
        <f>VLOOKUP(A462,'銀行-TSS'!A:C,3,FALSE)</f>
        <v>#N/A</v>
      </c>
      <c r="E462" s="90" t="e">
        <f ca="1">VLOOKUP(A462,'銀行-TSS'!A:G,7,FALSE)</f>
        <v>#N/A</v>
      </c>
      <c r="F462" s="202" t="e">
        <f ca="1">VLOOKUP(A462,'銀行-TSS'!A:H,8,FALSE)</f>
        <v>#N/A</v>
      </c>
      <c r="G462" s="96" t="e">
        <f ca="1">VLOOKUP(A462,'銀行-TSS'!A:K,11,FALSE)</f>
        <v>#N/A</v>
      </c>
      <c r="H462" s="1209" t="e">
        <f ca="1">VLOOKUP(A462,'銀行-TSS'!A:M,13,FALSE)</f>
        <v>#N/A</v>
      </c>
      <c r="I462" s="1213" t="e">
        <f ca="1">VLOOKUP(A462,'銀行-TSS'!A:N,14,FALSE)</f>
        <v>#N/A</v>
      </c>
      <c r="J462" s="1213" t="e">
        <f ca="1">VLOOKUP(A462,'銀行-TSS'!A:O,15,FALSE)</f>
        <v>#N/A</v>
      </c>
      <c r="K462" s="136" t="e">
        <f ca="1">VLOOKUP(A462,'銀行-TSS'!A:V,22,FALSE)</f>
        <v>#N/A</v>
      </c>
      <c r="L462" s="136" t="e">
        <f ca="1">VLOOKUP(A462,'銀行-TSS'!A:AK,37,FALSE)</f>
        <v>#N/A</v>
      </c>
      <c r="M462" s="136" t="str">
        <f ca="1">VLOOKUP(A462,'銀行-TSS'!A:AN,40,FALSE)</f>
        <v/>
      </c>
      <c r="N462" s="1211" t="e">
        <f t="shared" ca="1" si="93"/>
        <v>#N/A</v>
      </c>
      <c r="O462" s="1211" t="e">
        <f t="shared" ca="1" si="94"/>
        <v>#N/A</v>
      </c>
      <c r="P462" s="1213" t="e">
        <f ca="1">IF(AND(換券投組!$D$17&gt;=O462,換券投組!$D$13=D462),I462+INT((換券投組!$D$17-O462)/N462)*J462,0)</f>
        <v>#N/A</v>
      </c>
      <c r="Q462" s="1211" t="e">
        <f t="shared" ca="1" si="95"/>
        <v>#N/A</v>
      </c>
      <c r="R462" s="1213">
        <f t="shared" si="96"/>
        <v>0</v>
      </c>
      <c r="S462" s="1213">
        <f t="shared" si="97"/>
        <v>0</v>
      </c>
      <c r="T462" s="136">
        <f t="shared" si="99"/>
        <v>0</v>
      </c>
      <c r="U462" s="861">
        <f t="shared" si="100"/>
        <v>0</v>
      </c>
      <c r="V462" s="136" t="e">
        <f ca="1">IF(OR(D462&lt;&gt;"USD",L462="無",M462&lt;&gt;"",K462="高資產",IFERROR(MATCH(B462,換券投組!K:K,0),"N")&lt;&gt;"N",IFERROR(MATCH(B462,換券投組!J:J,0),"N")&lt;&gt;"N"),FALSE,IF($V$1="All",TRUE,IF(K462=$V$1,TRUE,FALSE)))</f>
        <v>#N/A</v>
      </c>
      <c r="W462" s="136" t="e">
        <f ca="1">VLOOKUP(A462,'銀行-TSS'!A:AO,41,FALSE)</f>
        <v>#N/A</v>
      </c>
      <c r="X462" s="136" t="e">
        <f ca="1">VLOOKUP(A462,'銀行-TSS'!A:AP,42,FALSE)</f>
        <v>#N/A</v>
      </c>
      <c r="Y462" s="1223">
        <f t="shared" si="98"/>
        <v>0</v>
      </c>
      <c r="Z462" s="1211">
        <f t="shared" si="101"/>
        <v>0</v>
      </c>
      <c r="AA462" s="136">
        <f>IF(Z462&lt;=0,0,RANK(Z462,Z:Z)+COUNTIF($Z$3:$Z462,Z462)-1)</f>
        <v>0</v>
      </c>
      <c r="AB462" s="1211">
        <f t="shared" ca="1" si="102"/>
        <v>0</v>
      </c>
      <c r="AC462" s="136">
        <f ca="1">IF(AB462&lt;=0,0,RANK(AB462,AB:AB)+COUNTIF($AB$3:$AB462,AB462)-1)</f>
        <v>0</v>
      </c>
      <c r="AD462" s="136">
        <f t="shared" si="103"/>
        <v>99999</v>
      </c>
      <c r="AE462" s="136">
        <f>IF(AD462=99999,0,RANK(AD462,AD:AD,1)+COUNTIF($AD$3:$AD462,AD462)-1)</f>
        <v>0</v>
      </c>
    </row>
    <row r="463" spans="1:31">
      <c r="A463" s="141">
        <f>'銀行-TSS'!A463</f>
        <v>0</v>
      </c>
      <c r="B463" s="151">
        <f ca="1">VLOOKUP(A463,'銀行-TSS'!A:B,2,FALSE)</f>
        <v>0</v>
      </c>
      <c r="C463" s="151" t="e">
        <f ca="1">VLOOKUP(B463,bond!B:C,2,FALSE)</f>
        <v>#N/A</v>
      </c>
      <c r="D463" s="95" t="e">
        <f>VLOOKUP(A463,'銀行-TSS'!A:C,3,FALSE)</f>
        <v>#N/A</v>
      </c>
      <c r="E463" s="90" t="e">
        <f ca="1">VLOOKUP(A463,'銀行-TSS'!A:G,7,FALSE)</f>
        <v>#N/A</v>
      </c>
      <c r="F463" s="202" t="e">
        <f ca="1">VLOOKUP(A463,'銀行-TSS'!A:H,8,FALSE)</f>
        <v>#N/A</v>
      </c>
      <c r="G463" s="96" t="e">
        <f ca="1">VLOOKUP(A463,'銀行-TSS'!A:K,11,FALSE)</f>
        <v>#N/A</v>
      </c>
      <c r="H463" s="1209" t="e">
        <f ca="1">VLOOKUP(A463,'銀行-TSS'!A:M,13,FALSE)</f>
        <v>#N/A</v>
      </c>
      <c r="I463" s="1213" t="e">
        <f ca="1">VLOOKUP(A463,'銀行-TSS'!A:N,14,FALSE)</f>
        <v>#N/A</v>
      </c>
      <c r="J463" s="1213" t="e">
        <f ca="1">VLOOKUP(A463,'銀行-TSS'!A:O,15,FALSE)</f>
        <v>#N/A</v>
      </c>
      <c r="K463" s="136" t="e">
        <f ca="1">VLOOKUP(A463,'銀行-TSS'!A:V,22,FALSE)</f>
        <v>#N/A</v>
      </c>
      <c r="L463" s="136" t="e">
        <f ca="1">VLOOKUP(A463,'銀行-TSS'!A:AK,37,FALSE)</f>
        <v>#N/A</v>
      </c>
      <c r="M463" s="136" t="str">
        <f ca="1">VLOOKUP(A463,'銀行-TSS'!A:AN,40,FALSE)</f>
        <v/>
      </c>
      <c r="N463" s="1211" t="e">
        <f t="shared" ca="1" si="93"/>
        <v>#N/A</v>
      </c>
      <c r="O463" s="1211" t="e">
        <f t="shared" ca="1" si="94"/>
        <v>#N/A</v>
      </c>
      <c r="P463" s="1213" t="e">
        <f ca="1">IF(AND(換券投組!$D$17&gt;=O463,換券投組!$D$13=D463),I463+INT((換券投組!$D$17-O463)/N463)*J463,0)</f>
        <v>#N/A</v>
      </c>
      <c r="Q463" s="1211" t="e">
        <f t="shared" ca="1" si="95"/>
        <v>#N/A</v>
      </c>
      <c r="R463" s="1213">
        <f t="shared" si="96"/>
        <v>0</v>
      </c>
      <c r="S463" s="1213">
        <f t="shared" si="97"/>
        <v>0</v>
      </c>
      <c r="T463" s="136">
        <f t="shared" si="99"/>
        <v>0</v>
      </c>
      <c r="U463" s="861">
        <f t="shared" si="100"/>
        <v>0</v>
      </c>
      <c r="V463" s="136" t="e">
        <f ca="1">IF(OR(D463&lt;&gt;"USD",L463="無",M463&lt;&gt;"",K463="高資產",IFERROR(MATCH(B463,換券投組!K:K,0),"N")&lt;&gt;"N",IFERROR(MATCH(B463,換券投組!J:J,0),"N")&lt;&gt;"N"),FALSE,IF($V$1="All",TRUE,IF(K463=$V$1,TRUE,FALSE)))</f>
        <v>#N/A</v>
      </c>
      <c r="W463" s="136" t="e">
        <f ca="1">VLOOKUP(A463,'銀行-TSS'!A:AO,41,FALSE)</f>
        <v>#N/A</v>
      </c>
      <c r="X463" s="136" t="e">
        <f ca="1">VLOOKUP(A463,'銀行-TSS'!A:AP,42,FALSE)</f>
        <v>#N/A</v>
      </c>
      <c r="Y463" s="1223">
        <f t="shared" si="98"/>
        <v>0</v>
      </c>
      <c r="Z463" s="1211">
        <f t="shared" si="101"/>
        <v>0</v>
      </c>
      <c r="AA463" s="136">
        <f>IF(Z463&lt;=0,0,RANK(Z463,Z:Z)+COUNTIF($Z$3:$Z463,Z463)-1)</f>
        <v>0</v>
      </c>
      <c r="AB463" s="1211">
        <f t="shared" ca="1" si="102"/>
        <v>0</v>
      </c>
      <c r="AC463" s="136">
        <f ca="1">IF(AB463&lt;=0,0,RANK(AB463,AB:AB)+COUNTIF($AB$3:$AB463,AB463)-1)</f>
        <v>0</v>
      </c>
      <c r="AD463" s="136">
        <f t="shared" si="103"/>
        <v>99999</v>
      </c>
      <c r="AE463" s="136">
        <f>IF(AD463=99999,0,RANK(AD463,AD:AD,1)+COUNTIF($AD$3:$AD463,AD463)-1)</f>
        <v>0</v>
      </c>
    </row>
    <row r="464" spans="1:31">
      <c r="A464" s="141">
        <f>'銀行-TSS'!A464</f>
        <v>0</v>
      </c>
      <c r="B464" s="151">
        <f ca="1">VLOOKUP(A464,'銀行-TSS'!A:B,2,FALSE)</f>
        <v>0</v>
      </c>
      <c r="C464" s="151" t="e">
        <f ca="1">VLOOKUP(B464,bond!B:C,2,FALSE)</f>
        <v>#N/A</v>
      </c>
      <c r="D464" s="95" t="e">
        <f>VLOOKUP(A464,'銀行-TSS'!A:C,3,FALSE)</f>
        <v>#N/A</v>
      </c>
      <c r="E464" s="90" t="e">
        <f ca="1">VLOOKUP(A464,'銀行-TSS'!A:G,7,FALSE)</f>
        <v>#N/A</v>
      </c>
      <c r="F464" s="202" t="e">
        <f ca="1">VLOOKUP(A464,'銀行-TSS'!A:H,8,FALSE)</f>
        <v>#N/A</v>
      </c>
      <c r="G464" s="96" t="e">
        <f ca="1">VLOOKUP(A464,'銀行-TSS'!A:K,11,FALSE)</f>
        <v>#N/A</v>
      </c>
      <c r="H464" s="1209" t="e">
        <f ca="1">VLOOKUP(A464,'銀行-TSS'!A:M,13,FALSE)</f>
        <v>#N/A</v>
      </c>
      <c r="I464" s="1213" t="e">
        <f ca="1">VLOOKUP(A464,'銀行-TSS'!A:N,14,FALSE)</f>
        <v>#N/A</v>
      </c>
      <c r="J464" s="1213" t="e">
        <f ca="1">VLOOKUP(A464,'銀行-TSS'!A:O,15,FALSE)</f>
        <v>#N/A</v>
      </c>
      <c r="K464" s="136" t="e">
        <f ca="1">VLOOKUP(A464,'銀行-TSS'!A:V,22,FALSE)</f>
        <v>#N/A</v>
      </c>
      <c r="L464" s="136" t="e">
        <f ca="1">VLOOKUP(A464,'銀行-TSS'!A:AK,37,FALSE)</f>
        <v>#N/A</v>
      </c>
      <c r="M464" s="136" t="str">
        <f ca="1">VLOOKUP(A464,'銀行-TSS'!A:AN,40,FALSE)</f>
        <v/>
      </c>
      <c r="N464" s="1211" t="e">
        <f t="shared" ca="1" si="93"/>
        <v>#N/A</v>
      </c>
      <c r="O464" s="1211" t="e">
        <f t="shared" ca="1" si="94"/>
        <v>#N/A</v>
      </c>
      <c r="P464" s="1213" t="e">
        <f ca="1">IF(AND(換券投組!$D$17&gt;=O464,換券投組!$D$13=D464),I464+INT((換券投組!$D$17-O464)/N464)*J464,0)</f>
        <v>#N/A</v>
      </c>
      <c r="Q464" s="1211" t="e">
        <f t="shared" ca="1" si="95"/>
        <v>#N/A</v>
      </c>
      <c r="R464" s="1213">
        <f t="shared" si="96"/>
        <v>0</v>
      </c>
      <c r="S464" s="1213">
        <f t="shared" si="97"/>
        <v>0</v>
      </c>
      <c r="T464" s="136">
        <f t="shared" si="99"/>
        <v>0</v>
      </c>
      <c r="U464" s="861">
        <f t="shared" si="100"/>
        <v>0</v>
      </c>
      <c r="V464" s="136" t="e">
        <f ca="1">IF(OR(D464&lt;&gt;"USD",L464="無",M464&lt;&gt;"",K464="高資產",IFERROR(MATCH(B464,換券投組!K:K,0),"N")&lt;&gt;"N",IFERROR(MATCH(B464,換券投組!J:J,0),"N")&lt;&gt;"N"),FALSE,IF($V$1="All",TRUE,IF(K464=$V$1,TRUE,FALSE)))</f>
        <v>#N/A</v>
      </c>
      <c r="W464" s="136" t="e">
        <f ca="1">VLOOKUP(A464,'銀行-TSS'!A:AO,41,FALSE)</f>
        <v>#N/A</v>
      </c>
      <c r="X464" s="136" t="e">
        <f ca="1">VLOOKUP(A464,'銀行-TSS'!A:AP,42,FALSE)</f>
        <v>#N/A</v>
      </c>
      <c r="Y464" s="1223">
        <f t="shared" si="98"/>
        <v>0</v>
      </c>
      <c r="Z464" s="1211">
        <f t="shared" si="101"/>
        <v>0</v>
      </c>
      <c r="AA464" s="136">
        <f>IF(Z464&lt;=0,0,RANK(Z464,Z:Z)+COUNTIF($Z$3:$Z464,Z464)-1)</f>
        <v>0</v>
      </c>
      <c r="AB464" s="1211">
        <f t="shared" ca="1" si="102"/>
        <v>0</v>
      </c>
      <c r="AC464" s="136">
        <f ca="1">IF(AB464&lt;=0,0,RANK(AB464,AB:AB)+COUNTIF($AB$3:$AB464,AB464)-1)</f>
        <v>0</v>
      </c>
      <c r="AD464" s="136">
        <f t="shared" si="103"/>
        <v>99999</v>
      </c>
      <c r="AE464" s="136">
        <f>IF(AD464=99999,0,RANK(AD464,AD:AD,1)+COUNTIF($AD$3:$AD464,AD464)-1)</f>
        <v>0</v>
      </c>
    </row>
    <row r="465" spans="1:31">
      <c r="A465" s="141">
        <f>'銀行-TSS'!A465</f>
        <v>0</v>
      </c>
      <c r="B465" s="151">
        <f ca="1">VLOOKUP(A465,'銀行-TSS'!A:B,2,FALSE)</f>
        <v>0</v>
      </c>
      <c r="C465" s="151" t="e">
        <f ca="1">VLOOKUP(B465,bond!B:C,2,FALSE)</f>
        <v>#N/A</v>
      </c>
      <c r="D465" s="95" t="e">
        <f>VLOOKUP(A465,'銀行-TSS'!A:C,3,FALSE)</f>
        <v>#N/A</v>
      </c>
      <c r="E465" s="90" t="e">
        <f ca="1">VLOOKUP(A465,'銀行-TSS'!A:G,7,FALSE)</f>
        <v>#N/A</v>
      </c>
      <c r="F465" s="202" t="e">
        <f ca="1">VLOOKUP(A465,'銀行-TSS'!A:H,8,FALSE)</f>
        <v>#N/A</v>
      </c>
      <c r="G465" s="96" t="e">
        <f ca="1">VLOOKUP(A465,'銀行-TSS'!A:K,11,FALSE)</f>
        <v>#N/A</v>
      </c>
      <c r="H465" s="1209" t="e">
        <f ca="1">VLOOKUP(A465,'銀行-TSS'!A:M,13,FALSE)</f>
        <v>#N/A</v>
      </c>
      <c r="I465" s="1213" t="e">
        <f ca="1">VLOOKUP(A465,'銀行-TSS'!A:N,14,FALSE)</f>
        <v>#N/A</v>
      </c>
      <c r="J465" s="1213" t="e">
        <f ca="1">VLOOKUP(A465,'銀行-TSS'!A:O,15,FALSE)</f>
        <v>#N/A</v>
      </c>
      <c r="K465" s="136" t="e">
        <f ca="1">VLOOKUP(A465,'銀行-TSS'!A:V,22,FALSE)</f>
        <v>#N/A</v>
      </c>
      <c r="L465" s="136" t="e">
        <f ca="1">VLOOKUP(A465,'銀行-TSS'!A:AK,37,FALSE)</f>
        <v>#N/A</v>
      </c>
      <c r="M465" s="136" t="str">
        <f ca="1">VLOOKUP(A465,'銀行-TSS'!A:AN,40,FALSE)</f>
        <v/>
      </c>
      <c r="N465" s="1211" t="e">
        <f t="shared" ca="1" si="93"/>
        <v>#N/A</v>
      </c>
      <c r="O465" s="1211" t="e">
        <f t="shared" ca="1" si="94"/>
        <v>#N/A</v>
      </c>
      <c r="P465" s="1213" t="e">
        <f ca="1">IF(AND(換券投組!$D$17&gt;=O465,換券投組!$D$13=D465),I465+INT((換券投組!$D$17-O465)/N465)*J465,0)</f>
        <v>#N/A</v>
      </c>
      <c r="Q465" s="1211" t="e">
        <f t="shared" ca="1" si="95"/>
        <v>#N/A</v>
      </c>
      <c r="R465" s="1213">
        <f t="shared" si="96"/>
        <v>0</v>
      </c>
      <c r="S465" s="1213">
        <f t="shared" si="97"/>
        <v>0</v>
      </c>
      <c r="T465" s="136">
        <f t="shared" si="99"/>
        <v>0</v>
      </c>
      <c r="U465" s="861">
        <f t="shared" si="100"/>
        <v>0</v>
      </c>
      <c r="V465" s="136" t="e">
        <f ca="1">IF(OR(D465&lt;&gt;"USD",L465="無",M465&lt;&gt;"",K465="高資產",IFERROR(MATCH(B465,換券投組!K:K,0),"N")&lt;&gt;"N",IFERROR(MATCH(B465,換券投組!J:J,0),"N")&lt;&gt;"N"),FALSE,IF($V$1="All",TRUE,IF(K465=$V$1,TRUE,FALSE)))</f>
        <v>#N/A</v>
      </c>
      <c r="W465" s="136" t="e">
        <f ca="1">VLOOKUP(A465,'銀行-TSS'!A:AO,41,FALSE)</f>
        <v>#N/A</v>
      </c>
      <c r="X465" s="136" t="e">
        <f ca="1">VLOOKUP(A465,'銀行-TSS'!A:AP,42,FALSE)</f>
        <v>#N/A</v>
      </c>
      <c r="Y465" s="1223">
        <f t="shared" si="98"/>
        <v>0</v>
      </c>
      <c r="Z465" s="1211">
        <f t="shared" si="101"/>
        <v>0</v>
      </c>
      <c r="AA465" s="136">
        <f>IF(Z465&lt;=0,0,RANK(Z465,Z:Z)+COUNTIF($Z$3:$Z465,Z465)-1)</f>
        <v>0</v>
      </c>
      <c r="AB465" s="1211">
        <f t="shared" ca="1" si="102"/>
        <v>0</v>
      </c>
      <c r="AC465" s="136">
        <f ca="1">IF(AB465&lt;=0,0,RANK(AB465,AB:AB)+COUNTIF($AB$3:$AB465,AB465)-1)</f>
        <v>0</v>
      </c>
      <c r="AD465" s="136">
        <f t="shared" si="103"/>
        <v>99999</v>
      </c>
      <c r="AE465" s="136">
        <f>IF(AD465=99999,0,RANK(AD465,AD:AD,1)+COUNTIF($AD$3:$AD465,AD465)-1)</f>
        <v>0</v>
      </c>
    </row>
    <row r="466" spans="1:31">
      <c r="A466" s="141">
        <f>'銀行-TSS'!A466</f>
        <v>0</v>
      </c>
      <c r="B466" s="151">
        <f ca="1">VLOOKUP(A466,'銀行-TSS'!A:B,2,FALSE)</f>
        <v>0</v>
      </c>
      <c r="C466" s="151" t="e">
        <f ca="1">VLOOKUP(B466,bond!B:C,2,FALSE)</f>
        <v>#N/A</v>
      </c>
      <c r="D466" s="95" t="e">
        <f>VLOOKUP(A466,'銀行-TSS'!A:C,3,FALSE)</f>
        <v>#N/A</v>
      </c>
      <c r="E466" s="90" t="e">
        <f ca="1">VLOOKUP(A466,'銀行-TSS'!A:G,7,FALSE)</f>
        <v>#N/A</v>
      </c>
      <c r="F466" s="202" t="e">
        <f ca="1">VLOOKUP(A466,'銀行-TSS'!A:H,8,FALSE)</f>
        <v>#N/A</v>
      </c>
      <c r="G466" s="96" t="e">
        <f ca="1">VLOOKUP(A466,'銀行-TSS'!A:K,11,FALSE)</f>
        <v>#N/A</v>
      </c>
      <c r="H466" s="1209" t="e">
        <f ca="1">VLOOKUP(A466,'銀行-TSS'!A:M,13,FALSE)</f>
        <v>#N/A</v>
      </c>
      <c r="I466" s="1213" t="e">
        <f ca="1">VLOOKUP(A466,'銀行-TSS'!A:N,14,FALSE)</f>
        <v>#N/A</v>
      </c>
      <c r="J466" s="1213" t="e">
        <f ca="1">VLOOKUP(A466,'銀行-TSS'!A:O,15,FALSE)</f>
        <v>#N/A</v>
      </c>
      <c r="K466" s="136" t="e">
        <f ca="1">VLOOKUP(A466,'銀行-TSS'!A:V,22,FALSE)</f>
        <v>#N/A</v>
      </c>
      <c r="L466" s="136" t="e">
        <f ca="1">VLOOKUP(A466,'銀行-TSS'!A:AK,37,FALSE)</f>
        <v>#N/A</v>
      </c>
      <c r="M466" s="136" t="str">
        <f ca="1">VLOOKUP(A466,'銀行-TSS'!A:AN,40,FALSE)</f>
        <v/>
      </c>
      <c r="N466" s="1211" t="e">
        <f t="shared" ca="1" si="93"/>
        <v>#N/A</v>
      </c>
      <c r="O466" s="1211" t="e">
        <f t="shared" ca="1" si="94"/>
        <v>#N/A</v>
      </c>
      <c r="P466" s="1213" t="e">
        <f ca="1">IF(AND(換券投組!$D$17&gt;=O466,換券投組!$D$13=D466),I466+INT((換券投組!$D$17-O466)/N466)*J466,0)</f>
        <v>#N/A</v>
      </c>
      <c r="Q466" s="1211" t="e">
        <f t="shared" ca="1" si="95"/>
        <v>#N/A</v>
      </c>
      <c r="R466" s="1213">
        <f t="shared" si="96"/>
        <v>0</v>
      </c>
      <c r="S466" s="1213">
        <f t="shared" si="97"/>
        <v>0</v>
      </c>
      <c r="T466" s="136">
        <f t="shared" si="99"/>
        <v>0</v>
      </c>
      <c r="U466" s="861">
        <f t="shared" si="100"/>
        <v>0</v>
      </c>
      <c r="V466" s="136" t="e">
        <f ca="1">IF(OR(D466&lt;&gt;"USD",L466="無",M466&lt;&gt;"",K466="高資產",IFERROR(MATCH(B466,換券投組!K:K,0),"N")&lt;&gt;"N",IFERROR(MATCH(B466,換券投組!J:J,0),"N")&lt;&gt;"N"),FALSE,IF($V$1="All",TRUE,IF(K466=$V$1,TRUE,FALSE)))</f>
        <v>#N/A</v>
      </c>
      <c r="W466" s="136" t="e">
        <f ca="1">VLOOKUP(A466,'銀行-TSS'!A:AO,41,FALSE)</f>
        <v>#N/A</v>
      </c>
      <c r="X466" s="136" t="e">
        <f ca="1">VLOOKUP(A466,'銀行-TSS'!A:AP,42,FALSE)</f>
        <v>#N/A</v>
      </c>
      <c r="Y466" s="1223">
        <f t="shared" si="98"/>
        <v>0</v>
      </c>
      <c r="Z466" s="1211">
        <f t="shared" si="101"/>
        <v>0</v>
      </c>
      <c r="AA466" s="136">
        <f>IF(Z466&lt;=0,0,RANK(Z466,Z:Z)+COUNTIF($Z$3:$Z466,Z466)-1)</f>
        <v>0</v>
      </c>
      <c r="AB466" s="1211">
        <f t="shared" ca="1" si="102"/>
        <v>0</v>
      </c>
      <c r="AC466" s="136">
        <f ca="1">IF(AB466&lt;=0,0,RANK(AB466,AB:AB)+COUNTIF($AB$3:$AB466,AB466)-1)</f>
        <v>0</v>
      </c>
      <c r="AD466" s="136">
        <f t="shared" si="103"/>
        <v>99999</v>
      </c>
      <c r="AE466" s="136">
        <f>IF(AD466=99999,0,RANK(AD466,AD:AD,1)+COUNTIF($AD$3:$AD466,AD466)-1)</f>
        <v>0</v>
      </c>
    </row>
    <row r="467" spans="1:31">
      <c r="A467" s="141">
        <f>'銀行-TSS'!A467</f>
        <v>0</v>
      </c>
      <c r="B467" s="151">
        <f ca="1">VLOOKUP(A467,'銀行-TSS'!A:B,2,FALSE)</f>
        <v>0</v>
      </c>
      <c r="C467" s="151" t="e">
        <f ca="1">VLOOKUP(B467,bond!B:C,2,FALSE)</f>
        <v>#N/A</v>
      </c>
      <c r="D467" s="95" t="e">
        <f>VLOOKUP(A467,'銀行-TSS'!A:C,3,FALSE)</f>
        <v>#N/A</v>
      </c>
      <c r="E467" s="90" t="e">
        <f ca="1">VLOOKUP(A467,'銀行-TSS'!A:G,7,FALSE)</f>
        <v>#N/A</v>
      </c>
      <c r="F467" s="202" t="e">
        <f ca="1">VLOOKUP(A467,'銀行-TSS'!A:H,8,FALSE)</f>
        <v>#N/A</v>
      </c>
      <c r="G467" s="96" t="e">
        <f ca="1">VLOOKUP(A467,'銀行-TSS'!A:K,11,FALSE)</f>
        <v>#N/A</v>
      </c>
      <c r="H467" s="1209" t="e">
        <f ca="1">VLOOKUP(A467,'銀行-TSS'!A:M,13,FALSE)</f>
        <v>#N/A</v>
      </c>
      <c r="I467" s="1213" t="e">
        <f ca="1">VLOOKUP(A467,'銀行-TSS'!A:N,14,FALSE)</f>
        <v>#N/A</v>
      </c>
      <c r="J467" s="1213" t="e">
        <f ca="1">VLOOKUP(A467,'銀行-TSS'!A:O,15,FALSE)</f>
        <v>#N/A</v>
      </c>
      <c r="K467" s="136" t="e">
        <f ca="1">VLOOKUP(A467,'銀行-TSS'!A:V,22,FALSE)</f>
        <v>#N/A</v>
      </c>
      <c r="L467" s="136" t="e">
        <f ca="1">VLOOKUP(A467,'銀行-TSS'!A:AK,37,FALSE)</f>
        <v>#N/A</v>
      </c>
      <c r="M467" s="136" t="str">
        <f ca="1">VLOOKUP(A467,'銀行-TSS'!A:AN,40,FALSE)</f>
        <v/>
      </c>
      <c r="N467" s="1211" t="e">
        <f t="shared" ca="1" si="93"/>
        <v>#N/A</v>
      </c>
      <c r="O467" s="1211" t="e">
        <f t="shared" ca="1" si="94"/>
        <v>#N/A</v>
      </c>
      <c r="P467" s="1213" t="e">
        <f ca="1">IF(AND(換券投組!$D$17&gt;=O467,換券投組!$D$13=D467),I467+INT((換券投組!$D$17-O467)/N467)*J467,0)</f>
        <v>#N/A</v>
      </c>
      <c r="Q467" s="1211" t="e">
        <f t="shared" ca="1" si="95"/>
        <v>#N/A</v>
      </c>
      <c r="R467" s="1213">
        <f t="shared" si="96"/>
        <v>0</v>
      </c>
      <c r="S467" s="1213">
        <f t="shared" si="97"/>
        <v>0</v>
      </c>
      <c r="T467" s="136">
        <f t="shared" si="99"/>
        <v>0</v>
      </c>
      <c r="U467" s="861">
        <f t="shared" si="100"/>
        <v>0</v>
      </c>
      <c r="V467" s="136" t="e">
        <f ca="1">IF(OR(D467&lt;&gt;"USD",L467="無",M467&lt;&gt;"",K467="高資產",IFERROR(MATCH(B467,換券投組!K:K,0),"N")&lt;&gt;"N",IFERROR(MATCH(B467,換券投組!J:J,0),"N")&lt;&gt;"N"),FALSE,IF($V$1="All",TRUE,IF(K467=$V$1,TRUE,FALSE)))</f>
        <v>#N/A</v>
      </c>
      <c r="W467" s="136" t="e">
        <f ca="1">VLOOKUP(A467,'銀行-TSS'!A:AO,41,FALSE)</f>
        <v>#N/A</v>
      </c>
      <c r="X467" s="136" t="e">
        <f ca="1">VLOOKUP(A467,'銀行-TSS'!A:AP,42,FALSE)</f>
        <v>#N/A</v>
      </c>
      <c r="Y467" s="1223">
        <f t="shared" si="98"/>
        <v>0</v>
      </c>
      <c r="Z467" s="1211">
        <f t="shared" si="101"/>
        <v>0</v>
      </c>
      <c r="AA467" s="136">
        <f>IF(Z467&lt;=0,0,RANK(Z467,Z:Z)+COUNTIF($Z$3:$Z467,Z467)-1)</f>
        <v>0</v>
      </c>
      <c r="AB467" s="1211">
        <f t="shared" ca="1" si="102"/>
        <v>0</v>
      </c>
      <c r="AC467" s="136">
        <f ca="1">IF(AB467&lt;=0,0,RANK(AB467,AB:AB)+COUNTIF($AB$3:$AB467,AB467)-1)</f>
        <v>0</v>
      </c>
      <c r="AD467" s="136">
        <f t="shared" si="103"/>
        <v>99999</v>
      </c>
      <c r="AE467" s="136">
        <f>IF(AD467=99999,0,RANK(AD467,AD:AD,1)+COUNTIF($AD$3:$AD467,AD467)-1)</f>
        <v>0</v>
      </c>
    </row>
    <row r="468" spans="1:31">
      <c r="A468" s="141">
        <f>'銀行-TSS'!A468</f>
        <v>0</v>
      </c>
      <c r="B468" s="151">
        <f ca="1">VLOOKUP(A468,'銀行-TSS'!A:B,2,FALSE)</f>
        <v>0</v>
      </c>
      <c r="C468" s="151" t="e">
        <f ca="1">VLOOKUP(B468,bond!B:C,2,FALSE)</f>
        <v>#N/A</v>
      </c>
      <c r="D468" s="95" t="e">
        <f>VLOOKUP(A468,'銀行-TSS'!A:C,3,FALSE)</f>
        <v>#N/A</v>
      </c>
      <c r="E468" s="90" t="e">
        <f ca="1">VLOOKUP(A468,'銀行-TSS'!A:G,7,FALSE)</f>
        <v>#N/A</v>
      </c>
      <c r="F468" s="202" t="e">
        <f ca="1">VLOOKUP(A468,'銀行-TSS'!A:H,8,FALSE)</f>
        <v>#N/A</v>
      </c>
      <c r="G468" s="96" t="e">
        <f ca="1">VLOOKUP(A468,'銀行-TSS'!A:K,11,FALSE)</f>
        <v>#N/A</v>
      </c>
      <c r="H468" s="1209" t="e">
        <f ca="1">VLOOKUP(A468,'銀行-TSS'!A:M,13,FALSE)</f>
        <v>#N/A</v>
      </c>
      <c r="I468" s="1213" t="e">
        <f ca="1">VLOOKUP(A468,'銀行-TSS'!A:N,14,FALSE)</f>
        <v>#N/A</v>
      </c>
      <c r="J468" s="1213" t="e">
        <f ca="1">VLOOKUP(A468,'銀行-TSS'!A:O,15,FALSE)</f>
        <v>#N/A</v>
      </c>
      <c r="K468" s="136" t="e">
        <f ca="1">VLOOKUP(A468,'銀行-TSS'!A:V,22,FALSE)</f>
        <v>#N/A</v>
      </c>
      <c r="L468" s="136" t="e">
        <f ca="1">VLOOKUP(A468,'銀行-TSS'!A:AK,37,FALSE)</f>
        <v>#N/A</v>
      </c>
      <c r="M468" s="136" t="str">
        <f ca="1">VLOOKUP(A468,'銀行-TSS'!A:AN,40,FALSE)</f>
        <v/>
      </c>
      <c r="N468" s="1211" t="e">
        <f t="shared" ca="1" si="93"/>
        <v>#N/A</v>
      </c>
      <c r="O468" s="1211" t="e">
        <f t="shared" ca="1" si="94"/>
        <v>#N/A</v>
      </c>
      <c r="P468" s="1213" t="e">
        <f ca="1">IF(AND(換券投組!$D$17&gt;=O468,換券投組!$D$13=D468),I468+INT((換券投組!$D$17-O468)/N468)*J468,0)</f>
        <v>#N/A</v>
      </c>
      <c r="Q468" s="1211" t="e">
        <f t="shared" ca="1" si="95"/>
        <v>#N/A</v>
      </c>
      <c r="R468" s="1213">
        <f t="shared" si="96"/>
        <v>0</v>
      </c>
      <c r="S468" s="1213">
        <f t="shared" si="97"/>
        <v>0</v>
      </c>
      <c r="T468" s="136">
        <f t="shared" si="99"/>
        <v>0</v>
      </c>
      <c r="U468" s="861">
        <f t="shared" si="100"/>
        <v>0</v>
      </c>
      <c r="V468" s="136" t="e">
        <f ca="1">IF(OR(D468&lt;&gt;"USD",L468="無",M468&lt;&gt;"",K468="高資產",IFERROR(MATCH(B468,換券投組!K:K,0),"N")&lt;&gt;"N",IFERROR(MATCH(B468,換券投組!J:J,0),"N")&lt;&gt;"N"),FALSE,IF($V$1="All",TRUE,IF(K468=$V$1,TRUE,FALSE)))</f>
        <v>#N/A</v>
      </c>
      <c r="W468" s="136" t="e">
        <f ca="1">VLOOKUP(A468,'銀行-TSS'!A:AO,41,FALSE)</f>
        <v>#N/A</v>
      </c>
      <c r="X468" s="136" t="e">
        <f ca="1">VLOOKUP(A468,'銀行-TSS'!A:AP,42,FALSE)</f>
        <v>#N/A</v>
      </c>
      <c r="Y468" s="1223">
        <f t="shared" si="98"/>
        <v>0</v>
      </c>
      <c r="Z468" s="1211">
        <f t="shared" si="101"/>
        <v>0</v>
      </c>
      <c r="AA468" s="136">
        <f>IF(Z468&lt;=0,0,RANK(Z468,Z:Z)+COUNTIF($Z$3:$Z468,Z468)-1)</f>
        <v>0</v>
      </c>
      <c r="AB468" s="1211">
        <f t="shared" ca="1" si="102"/>
        <v>0</v>
      </c>
      <c r="AC468" s="136">
        <f ca="1">IF(AB468&lt;=0,0,RANK(AB468,AB:AB)+COUNTIF($AB$3:$AB468,AB468)-1)</f>
        <v>0</v>
      </c>
      <c r="AD468" s="136">
        <f t="shared" si="103"/>
        <v>99999</v>
      </c>
      <c r="AE468" s="136">
        <f>IF(AD468=99999,0,RANK(AD468,AD:AD,1)+COUNTIF($AD$3:$AD468,AD468)-1)</f>
        <v>0</v>
      </c>
    </row>
    <row r="469" spans="1:31">
      <c r="A469" s="141">
        <f>'銀行-TSS'!A469</f>
        <v>0</v>
      </c>
      <c r="B469" s="151">
        <f ca="1">VLOOKUP(A469,'銀行-TSS'!A:B,2,FALSE)</f>
        <v>0</v>
      </c>
      <c r="C469" s="151" t="e">
        <f ca="1">VLOOKUP(B469,bond!B:C,2,FALSE)</f>
        <v>#N/A</v>
      </c>
      <c r="D469" s="95" t="e">
        <f>VLOOKUP(A469,'銀行-TSS'!A:C,3,FALSE)</f>
        <v>#N/A</v>
      </c>
      <c r="E469" s="90" t="e">
        <f ca="1">VLOOKUP(A469,'銀行-TSS'!A:G,7,FALSE)</f>
        <v>#N/A</v>
      </c>
      <c r="F469" s="202" t="e">
        <f ca="1">VLOOKUP(A469,'銀行-TSS'!A:H,8,FALSE)</f>
        <v>#N/A</v>
      </c>
      <c r="G469" s="96" t="e">
        <f ca="1">VLOOKUP(A469,'銀行-TSS'!A:K,11,FALSE)</f>
        <v>#N/A</v>
      </c>
      <c r="H469" s="1209" t="e">
        <f ca="1">VLOOKUP(A469,'銀行-TSS'!A:M,13,FALSE)</f>
        <v>#N/A</v>
      </c>
      <c r="I469" s="1213" t="e">
        <f ca="1">VLOOKUP(A469,'銀行-TSS'!A:N,14,FALSE)</f>
        <v>#N/A</v>
      </c>
      <c r="J469" s="1213" t="e">
        <f ca="1">VLOOKUP(A469,'銀行-TSS'!A:O,15,FALSE)</f>
        <v>#N/A</v>
      </c>
      <c r="K469" s="136" t="e">
        <f ca="1">VLOOKUP(A469,'銀行-TSS'!A:V,22,FALSE)</f>
        <v>#N/A</v>
      </c>
      <c r="L469" s="136" t="e">
        <f ca="1">VLOOKUP(A469,'銀行-TSS'!A:AK,37,FALSE)</f>
        <v>#N/A</v>
      </c>
      <c r="M469" s="136" t="str">
        <f ca="1">VLOOKUP(A469,'銀行-TSS'!A:AN,40,FALSE)</f>
        <v/>
      </c>
      <c r="N469" s="1211" t="e">
        <f t="shared" ca="1" si="93"/>
        <v>#N/A</v>
      </c>
      <c r="O469" s="1211" t="e">
        <f t="shared" ca="1" si="94"/>
        <v>#N/A</v>
      </c>
      <c r="P469" s="1213" t="e">
        <f ca="1">IF(AND(換券投組!$D$17&gt;=O469,換券投組!$D$13=D469),I469+INT((換券投組!$D$17-O469)/N469)*J469,0)</f>
        <v>#N/A</v>
      </c>
      <c r="Q469" s="1211" t="e">
        <f t="shared" ca="1" si="95"/>
        <v>#N/A</v>
      </c>
      <c r="R469" s="1213">
        <f t="shared" si="96"/>
        <v>0</v>
      </c>
      <c r="S469" s="1213">
        <f t="shared" si="97"/>
        <v>0</v>
      </c>
      <c r="T469" s="136">
        <f t="shared" si="99"/>
        <v>0</v>
      </c>
      <c r="U469" s="861">
        <f t="shared" si="100"/>
        <v>0</v>
      </c>
      <c r="V469" s="136" t="e">
        <f ca="1">IF(OR(D469&lt;&gt;"USD",L469="無",M469&lt;&gt;"",K469="高資產",IFERROR(MATCH(B469,換券投組!K:K,0),"N")&lt;&gt;"N",IFERROR(MATCH(B469,換券投組!J:J,0),"N")&lt;&gt;"N"),FALSE,IF($V$1="All",TRUE,IF(K469=$V$1,TRUE,FALSE)))</f>
        <v>#N/A</v>
      </c>
      <c r="W469" s="136" t="e">
        <f ca="1">VLOOKUP(A469,'銀行-TSS'!A:AO,41,FALSE)</f>
        <v>#N/A</v>
      </c>
      <c r="X469" s="136" t="e">
        <f ca="1">VLOOKUP(A469,'銀行-TSS'!A:AP,42,FALSE)</f>
        <v>#N/A</v>
      </c>
      <c r="Y469" s="1223">
        <f t="shared" si="98"/>
        <v>0</v>
      </c>
      <c r="Z469" s="1211">
        <f t="shared" si="101"/>
        <v>0</v>
      </c>
      <c r="AA469" s="136">
        <f>IF(Z469&lt;=0,0,RANK(Z469,Z:Z)+COUNTIF($Z$3:$Z469,Z469)-1)</f>
        <v>0</v>
      </c>
      <c r="AB469" s="1211">
        <f t="shared" ca="1" si="102"/>
        <v>0</v>
      </c>
      <c r="AC469" s="136">
        <f ca="1">IF(AB469&lt;=0,0,RANK(AB469,AB:AB)+COUNTIF($AB$3:$AB469,AB469)-1)</f>
        <v>0</v>
      </c>
      <c r="AD469" s="136">
        <f t="shared" si="103"/>
        <v>99999</v>
      </c>
      <c r="AE469" s="136">
        <f>IF(AD469=99999,0,RANK(AD469,AD:AD,1)+COUNTIF($AD$3:$AD469,AD469)-1)</f>
        <v>0</v>
      </c>
    </row>
    <row r="470" spans="1:31">
      <c r="A470" s="141">
        <f>'銀行-TSS'!A470</f>
        <v>0</v>
      </c>
      <c r="B470" s="151">
        <f ca="1">VLOOKUP(A470,'銀行-TSS'!A:B,2,FALSE)</f>
        <v>0</v>
      </c>
      <c r="C470" s="151" t="e">
        <f ca="1">VLOOKUP(B470,bond!B:C,2,FALSE)</f>
        <v>#N/A</v>
      </c>
      <c r="D470" s="95" t="e">
        <f>VLOOKUP(A470,'銀行-TSS'!A:C,3,FALSE)</f>
        <v>#N/A</v>
      </c>
      <c r="E470" s="90" t="e">
        <f ca="1">VLOOKUP(A470,'銀行-TSS'!A:G,7,FALSE)</f>
        <v>#N/A</v>
      </c>
      <c r="F470" s="202" t="e">
        <f ca="1">VLOOKUP(A470,'銀行-TSS'!A:H,8,FALSE)</f>
        <v>#N/A</v>
      </c>
      <c r="G470" s="96" t="e">
        <f ca="1">VLOOKUP(A470,'銀行-TSS'!A:K,11,FALSE)</f>
        <v>#N/A</v>
      </c>
      <c r="H470" s="1209" t="e">
        <f ca="1">VLOOKUP(A470,'銀行-TSS'!A:M,13,FALSE)</f>
        <v>#N/A</v>
      </c>
      <c r="I470" s="1213" t="e">
        <f ca="1">VLOOKUP(A470,'銀行-TSS'!A:N,14,FALSE)</f>
        <v>#N/A</v>
      </c>
      <c r="J470" s="1213" t="e">
        <f ca="1">VLOOKUP(A470,'銀行-TSS'!A:O,15,FALSE)</f>
        <v>#N/A</v>
      </c>
      <c r="K470" s="136" t="e">
        <f ca="1">VLOOKUP(A470,'銀行-TSS'!A:V,22,FALSE)</f>
        <v>#N/A</v>
      </c>
      <c r="L470" s="136" t="e">
        <f ca="1">VLOOKUP(A470,'銀行-TSS'!A:AK,37,FALSE)</f>
        <v>#N/A</v>
      </c>
      <c r="M470" s="136" t="str">
        <f ca="1">VLOOKUP(A470,'銀行-TSS'!A:AN,40,FALSE)</f>
        <v/>
      </c>
      <c r="N470" s="1211" t="e">
        <f t="shared" ca="1" si="93"/>
        <v>#N/A</v>
      </c>
      <c r="O470" s="1211" t="e">
        <f t="shared" ca="1" si="94"/>
        <v>#N/A</v>
      </c>
      <c r="P470" s="1213" t="e">
        <f ca="1">IF(AND(換券投組!$D$17&gt;=O470,換券投組!$D$13=D470),I470+INT((換券投組!$D$17-O470)/N470)*J470,0)</f>
        <v>#N/A</v>
      </c>
      <c r="Q470" s="1211" t="e">
        <f t="shared" ca="1" si="95"/>
        <v>#N/A</v>
      </c>
      <c r="R470" s="1213">
        <f t="shared" si="96"/>
        <v>0</v>
      </c>
      <c r="S470" s="1213">
        <f t="shared" si="97"/>
        <v>0</v>
      </c>
      <c r="T470" s="136">
        <f t="shared" si="99"/>
        <v>0</v>
      </c>
      <c r="U470" s="861">
        <f t="shared" si="100"/>
        <v>0</v>
      </c>
      <c r="V470" s="136" t="e">
        <f ca="1">IF(OR(D470&lt;&gt;"USD",L470="無",M470&lt;&gt;"",K470="高資產",IFERROR(MATCH(B470,換券投組!K:K,0),"N")&lt;&gt;"N",IFERROR(MATCH(B470,換券投組!J:J,0),"N")&lt;&gt;"N"),FALSE,IF($V$1="All",TRUE,IF(K470=$V$1,TRUE,FALSE)))</f>
        <v>#N/A</v>
      </c>
      <c r="W470" s="136" t="e">
        <f ca="1">VLOOKUP(A470,'銀行-TSS'!A:AO,41,FALSE)</f>
        <v>#N/A</v>
      </c>
      <c r="X470" s="136" t="e">
        <f ca="1">VLOOKUP(A470,'銀行-TSS'!A:AP,42,FALSE)</f>
        <v>#N/A</v>
      </c>
      <c r="Y470" s="1223">
        <f t="shared" si="98"/>
        <v>0</v>
      </c>
      <c r="Z470" s="1211">
        <f t="shared" si="101"/>
        <v>0</v>
      </c>
      <c r="AA470" s="136">
        <f>IF(Z470&lt;=0,0,RANK(Z470,Z:Z)+COUNTIF($Z$3:$Z470,Z470)-1)</f>
        <v>0</v>
      </c>
      <c r="AB470" s="1211">
        <f t="shared" ca="1" si="102"/>
        <v>0</v>
      </c>
      <c r="AC470" s="136">
        <f ca="1">IF(AB470&lt;=0,0,RANK(AB470,AB:AB)+COUNTIF($AB$3:$AB470,AB470)-1)</f>
        <v>0</v>
      </c>
      <c r="AD470" s="136">
        <f t="shared" si="103"/>
        <v>99999</v>
      </c>
      <c r="AE470" s="136">
        <f>IF(AD470=99999,0,RANK(AD470,AD:AD,1)+COUNTIF($AD$3:$AD470,AD470)-1)</f>
        <v>0</v>
      </c>
    </row>
    <row r="471" spans="1:31">
      <c r="A471" s="141">
        <f>'銀行-TSS'!A471</f>
        <v>0</v>
      </c>
      <c r="B471" s="151">
        <f ca="1">VLOOKUP(A471,'銀行-TSS'!A:B,2,FALSE)</f>
        <v>0</v>
      </c>
      <c r="C471" s="151" t="e">
        <f ca="1">VLOOKUP(B471,bond!B:C,2,FALSE)</f>
        <v>#N/A</v>
      </c>
      <c r="D471" s="95" t="e">
        <f>VLOOKUP(A471,'銀行-TSS'!A:C,3,FALSE)</f>
        <v>#N/A</v>
      </c>
      <c r="E471" s="90" t="e">
        <f ca="1">VLOOKUP(A471,'銀行-TSS'!A:G,7,FALSE)</f>
        <v>#N/A</v>
      </c>
      <c r="F471" s="202" t="e">
        <f ca="1">VLOOKUP(A471,'銀行-TSS'!A:H,8,FALSE)</f>
        <v>#N/A</v>
      </c>
      <c r="G471" s="96" t="e">
        <f ca="1">VLOOKUP(A471,'銀行-TSS'!A:K,11,FALSE)</f>
        <v>#N/A</v>
      </c>
      <c r="H471" s="1209" t="e">
        <f ca="1">VLOOKUP(A471,'銀行-TSS'!A:M,13,FALSE)</f>
        <v>#N/A</v>
      </c>
      <c r="I471" s="1213" t="e">
        <f ca="1">VLOOKUP(A471,'銀行-TSS'!A:N,14,FALSE)</f>
        <v>#N/A</v>
      </c>
      <c r="J471" s="1213" t="e">
        <f ca="1">VLOOKUP(A471,'銀行-TSS'!A:O,15,FALSE)</f>
        <v>#N/A</v>
      </c>
      <c r="K471" s="136" t="e">
        <f ca="1">VLOOKUP(A471,'銀行-TSS'!A:V,22,FALSE)</f>
        <v>#N/A</v>
      </c>
      <c r="L471" s="136" t="e">
        <f ca="1">VLOOKUP(A471,'銀行-TSS'!A:AK,37,FALSE)</f>
        <v>#N/A</v>
      </c>
      <c r="M471" s="136" t="str">
        <f ca="1">VLOOKUP(A471,'銀行-TSS'!A:AN,40,FALSE)</f>
        <v/>
      </c>
      <c r="N471" s="1211" t="e">
        <f t="shared" ca="1" si="93"/>
        <v>#N/A</v>
      </c>
      <c r="O471" s="1211" t="e">
        <f t="shared" ca="1" si="94"/>
        <v>#N/A</v>
      </c>
      <c r="P471" s="1213" t="e">
        <f ca="1">IF(AND(換券投組!$D$17&gt;=O471,換券投組!$D$13=D471),I471+INT((換券投組!$D$17-O471)/N471)*J471,0)</f>
        <v>#N/A</v>
      </c>
      <c r="Q471" s="1211" t="e">
        <f t="shared" ca="1" si="95"/>
        <v>#N/A</v>
      </c>
      <c r="R471" s="1213">
        <f t="shared" si="96"/>
        <v>0</v>
      </c>
      <c r="S471" s="1213">
        <f t="shared" si="97"/>
        <v>0</v>
      </c>
      <c r="T471" s="136">
        <f t="shared" si="99"/>
        <v>0</v>
      </c>
      <c r="U471" s="861">
        <f t="shared" si="100"/>
        <v>0</v>
      </c>
      <c r="V471" s="136" t="e">
        <f ca="1">IF(OR(D471&lt;&gt;"USD",L471="無",M471&lt;&gt;"",K471="高資產",IFERROR(MATCH(B471,換券投組!K:K,0),"N")&lt;&gt;"N",IFERROR(MATCH(B471,換券投組!J:J,0),"N")&lt;&gt;"N"),FALSE,IF($V$1="All",TRUE,IF(K471=$V$1,TRUE,FALSE)))</f>
        <v>#N/A</v>
      </c>
      <c r="W471" s="136" t="e">
        <f ca="1">VLOOKUP(A471,'銀行-TSS'!A:AO,41,FALSE)</f>
        <v>#N/A</v>
      </c>
      <c r="X471" s="136" t="e">
        <f ca="1">VLOOKUP(A471,'銀行-TSS'!A:AP,42,FALSE)</f>
        <v>#N/A</v>
      </c>
      <c r="Y471" s="1223">
        <f t="shared" si="98"/>
        <v>0</v>
      </c>
      <c r="Z471" s="1211">
        <f t="shared" si="101"/>
        <v>0</v>
      </c>
      <c r="AA471" s="136">
        <f>IF(Z471&lt;=0,0,RANK(Z471,Z:Z)+COUNTIF($Z$3:$Z471,Z471)-1)</f>
        <v>0</v>
      </c>
      <c r="AB471" s="1211">
        <f t="shared" ca="1" si="102"/>
        <v>0</v>
      </c>
      <c r="AC471" s="136">
        <f ca="1">IF(AB471&lt;=0,0,RANK(AB471,AB:AB)+COUNTIF($AB$3:$AB471,AB471)-1)</f>
        <v>0</v>
      </c>
      <c r="AD471" s="136">
        <f t="shared" si="103"/>
        <v>99999</v>
      </c>
      <c r="AE471" s="136">
        <f>IF(AD471=99999,0,RANK(AD471,AD:AD,1)+COUNTIF($AD$3:$AD471,AD471)-1)</f>
        <v>0</v>
      </c>
    </row>
    <row r="472" spans="1:31">
      <c r="A472" s="141">
        <f>'銀行-TSS'!A472</f>
        <v>0</v>
      </c>
      <c r="B472" s="151">
        <f ca="1">VLOOKUP(A472,'銀行-TSS'!A:B,2,FALSE)</f>
        <v>0</v>
      </c>
      <c r="C472" s="151" t="e">
        <f ca="1">VLOOKUP(B472,bond!B:C,2,FALSE)</f>
        <v>#N/A</v>
      </c>
      <c r="D472" s="95" t="e">
        <f>VLOOKUP(A472,'銀行-TSS'!A:C,3,FALSE)</f>
        <v>#N/A</v>
      </c>
      <c r="E472" s="90" t="e">
        <f ca="1">VLOOKUP(A472,'銀行-TSS'!A:G,7,FALSE)</f>
        <v>#N/A</v>
      </c>
      <c r="F472" s="202" t="e">
        <f ca="1">VLOOKUP(A472,'銀行-TSS'!A:H,8,FALSE)</f>
        <v>#N/A</v>
      </c>
      <c r="G472" s="96" t="e">
        <f ca="1">VLOOKUP(A472,'銀行-TSS'!A:K,11,FALSE)</f>
        <v>#N/A</v>
      </c>
      <c r="H472" s="1209" t="e">
        <f ca="1">VLOOKUP(A472,'銀行-TSS'!A:M,13,FALSE)</f>
        <v>#N/A</v>
      </c>
      <c r="I472" s="1213" t="e">
        <f ca="1">VLOOKUP(A472,'銀行-TSS'!A:N,14,FALSE)</f>
        <v>#N/A</v>
      </c>
      <c r="J472" s="1213" t="e">
        <f ca="1">VLOOKUP(A472,'銀行-TSS'!A:O,15,FALSE)</f>
        <v>#N/A</v>
      </c>
      <c r="K472" s="136" t="e">
        <f ca="1">VLOOKUP(A472,'銀行-TSS'!A:V,22,FALSE)</f>
        <v>#N/A</v>
      </c>
      <c r="L472" s="136" t="e">
        <f ca="1">VLOOKUP(A472,'銀行-TSS'!A:AK,37,FALSE)</f>
        <v>#N/A</v>
      </c>
      <c r="M472" s="136" t="str">
        <f ca="1">VLOOKUP(A472,'銀行-TSS'!A:AN,40,FALSE)</f>
        <v/>
      </c>
      <c r="N472" s="1211" t="e">
        <f t="shared" ca="1" si="93"/>
        <v>#N/A</v>
      </c>
      <c r="O472" s="1211" t="e">
        <f t="shared" ca="1" si="94"/>
        <v>#N/A</v>
      </c>
      <c r="P472" s="1213" t="e">
        <f ca="1">IF(AND(換券投組!$D$17&gt;=O472,換券投組!$D$13=D472),I472+INT((換券投組!$D$17-O472)/N472)*J472,0)</f>
        <v>#N/A</v>
      </c>
      <c r="Q472" s="1211" t="e">
        <f t="shared" ca="1" si="95"/>
        <v>#N/A</v>
      </c>
      <c r="R472" s="1213">
        <f t="shared" si="96"/>
        <v>0</v>
      </c>
      <c r="S472" s="1213">
        <f t="shared" si="97"/>
        <v>0</v>
      </c>
      <c r="T472" s="136">
        <f t="shared" si="99"/>
        <v>0</v>
      </c>
      <c r="U472" s="861">
        <f t="shared" si="100"/>
        <v>0</v>
      </c>
      <c r="V472" s="136" t="e">
        <f ca="1">IF(OR(D472&lt;&gt;"USD",L472="無",M472&lt;&gt;"",K472="高資產",IFERROR(MATCH(B472,換券投組!K:K,0),"N")&lt;&gt;"N",IFERROR(MATCH(B472,換券投組!J:J,0),"N")&lt;&gt;"N"),FALSE,IF($V$1="All",TRUE,IF(K472=$V$1,TRUE,FALSE)))</f>
        <v>#N/A</v>
      </c>
      <c r="W472" s="136" t="e">
        <f ca="1">VLOOKUP(A472,'銀行-TSS'!A:AO,41,FALSE)</f>
        <v>#N/A</v>
      </c>
      <c r="X472" s="136" t="e">
        <f ca="1">VLOOKUP(A472,'銀行-TSS'!A:AP,42,FALSE)</f>
        <v>#N/A</v>
      </c>
      <c r="Y472" s="1223">
        <f t="shared" si="98"/>
        <v>0</v>
      </c>
      <c r="Z472" s="1211">
        <f t="shared" si="101"/>
        <v>0</v>
      </c>
      <c r="AA472" s="136">
        <f>IF(Z472&lt;=0,0,RANK(Z472,Z:Z)+COUNTIF($Z$3:$Z472,Z472)-1)</f>
        <v>0</v>
      </c>
      <c r="AB472" s="1211">
        <f t="shared" ca="1" si="102"/>
        <v>0</v>
      </c>
      <c r="AC472" s="136">
        <f ca="1">IF(AB472&lt;=0,0,RANK(AB472,AB:AB)+COUNTIF($AB$3:$AB472,AB472)-1)</f>
        <v>0</v>
      </c>
      <c r="AD472" s="136">
        <f t="shared" si="103"/>
        <v>99999</v>
      </c>
      <c r="AE472" s="136">
        <f>IF(AD472=99999,0,RANK(AD472,AD:AD,1)+COUNTIF($AD$3:$AD472,AD472)-1)</f>
        <v>0</v>
      </c>
    </row>
    <row r="473" spans="1:31">
      <c r="A473" s="141">
        <f>'銀行-TSS'!A473</f>
        <v>0</v>
      </c>
      <c r="B473" s="151">
        <f ca="1">VLOOKUP(A473,'銀行-TSS'!A:B,2,FALSE)</f>
        <v>0</v>
      </c>
      <c r="C473" s="151" t="e">
        <f ca="1">VLOOKUP(B473,bond!B:C,2,FALSE)</f>
        <v>#N/A</v>
      </c>
      <c r="D473" s="95" t="e">
        <f>VLOOKUP(A473,'銀行-TSS'!A:C,3,FALSE)</f>
        <v>#N/A</v>
      </c>
      <c r="E473" s="90" t="e">
        <f ca="1">VLOOKUP(A473,'銀行-TSS'!A:G,7,FALSE)</f>
        <v>#N/A</v>
      </c>
      <c r="F473" s="202" t="e">
        <f ca="1">VLOOKUP(A473,'銀行-TSS'!A:H,8,FALSE)</f>
        <v>#N/A</v>
      </c>
      <c r="G473" s="96" t="e">
        <f ca="1">VLOOKUP(A473,'銀行-TSS'!A:K,11,FALSE)</f>
        <v>#N/A</v>
      </c>
      <c r="H473" s="1209" t="e">
        <f ca="1">VLOOKUP(A473,'銀行-TSS'!A:M,13,FALSE)</f>
        <v>#N/A</v>
      </c>
      <c r="I473" s="1213" t="e">
        <f ca="1">VLOOKUP(A473,'銀行-TSS'!A:N,14,FALSE)</f>
        <v>#N/A</v>
      </c>
      <c r="J473" s="1213" t="e">
        <f ca="1">VLOOKUP(A473,'銀行-TSS'!A:O,15,FALSE)</f>
        <v>#N/A</v>
      </c>
      <c r="K473" s="136" t="e">
        <f ca="1">VLOOKUP(A473,'銀行-TSS'!A:V,22,FALSE)</f>
        <v>#N/A</v>
      </c>
      <c r="L473" s="136" t="e">
        <f ca="1">VLOOKUP(A473,'銀行-TSS'!A:AK,37,FALSE)</f>
        <v>#N/A</v>
      </c>
      <c r="M473" s="136" t="str">
        <f ca="1">VLOOKUP(A473,'銀行-TSS'!A:AN,40,FALSE)</f>
        <v/>
      </c>
      <c r="N473" s="1211" t="e">
        <f t="shared" ca="1" si="93"/>
        <v>#N/A</v>
      </c>
      <c r="O473" s="1211" t="e">
        <f t="shared" ca="1" si="94"/>
        <v>#N/A</v>
      </c>
      <c r="P473" s="1213" t="e">
        <f ca="1">IF(AND(換券投組!$D$17&gt;=O473,換券投組!$D$13=D473),I473+INT((換券投組!$D$17-O473)/N473)*J473,0)</f>
        <v>#N/A</v>
      </c>
      <c r="Q473" s="1211" t="e">
        <f t="shared" ca="1" si="95"/>
        <v>#N/A</v>
      </c>
      <c r="R473" s="1213">
        <f t="shared" si="96"/>
        <v>0</v>
      </c>
      <c r="S473" s="1213">
        <f t="shared" si="97"/>
        <v>0</v>
      </c>
      <c r="T473" s="136">
        <f t="shared" si="99"/>
        <v>0</v>
      </c>
      <c r="U473" s="861">
        <f t="shared" si="100"/>
        <v>0</v>
      </c>
      <c r="V473" s="136" t="e">
        <f ca="1">IF(OR(D473&lt;&gt;"USD",L473="無",M473&lt;&gt;"",K473="高資產",IFERROR(MATCH(B473,換券投組!K:K,0),"N")&lt;&gt;"N",IFERROR(MATCH(B473,換券投組!J:J,0),"N")&lt;&gt;"N"),FALSE,IF($V$1="All",TRUE,IF(K473=$V$1,TRUE,FALSE)))</f>
        <v>#N/A</v>
      </c>
      <c r="W473" s="136" t="e">
        <f ca="1">VLOOKUP(A473,'銀行-TSS'!A:AO,41,FALSE)</f>
        <v>#N/A</v>
      </c>
      <c r="X473" s="136" t="e">
        <f ca="1">VLOOKUP(A473,'銀行-TSS'!A:AP,42,FALSE)</f>
        <v>#N/A</v>
      </c>
      <c r="Y473" s="1223">
        <f t="shared" si="98"/>
        <v>0</v>
      </c>
      <c r="Z473" s="1211">
        <f t="shared" si="101"/>
        <v>0</v>
      </c>
      <c r="AA473" s="136">
        <f>IF(Z473&lt;=0,0,RANK(Z473,Z:Z)+COUNTIF($Z$3:$Z473,Z473)-1)</f>
        <v>0</v>
      </c>
      <c r="AB473" s="1211">
        <f t="shared" ca="1" si="102"/>
        <v>0</v>
      </c>
      <c r="AC473" s="136">
        <f ca="1">IF(AB473&lt;=0,0,RANK(AB473,AB:AB)+COUNTIF($AB$3:$AB473,AB473)-1)</f>
        <v>0</v>
      </c>
      <c r="AD473" s="136">
        <f t="shared" si="103"/>
        <v>99999</v>
      </c>
      <c r="AE473" s="136">
        <f>IF(AD473=99999,0,RANK(AD473,AD:AD,1)+COUNTIF($AD$3:$AD473,AD473)-1)</f>
        <v>0</v>
      </c>
    </row>
    <row r="474" spans="1:31">
      <c r="A474" s="141">
        <f>'銀行-TSS'!A474</f>
        <v>0</v>
      </c>
      <c r="B474" s="151">
        <f ca="1">VLOOKUP(A474,'銀行-TSS'!A:B,2,FALSE)</f>
        <v>0</v>
      </c>
      <c r="C474" s="151" t="e">
        <f ca="1">VLOOKUP(B474,bond!B:C,2,FALSE)</f>
        <v>#N/A</v>
      </c>
      <c r="D474" s="95" t="e">
        <f>VLOOKUP(A474,'銀行-TSS'!A:C,3,FALSE)</f>
        <v>#N/A</v>
      </c>
      <c r="E474" s="90" t="e">
        <f ca="1">VLOOKUP(A474,'銀行-TSS'!A:G,7,FALSE)</f>
        <v>#N/A</v>
      </c>
      <c r="F474" s="202" t="e">
        <f ca="1">VLOOKUP(A474,'銀行-TSS'!A:H,8,FALSE)</f>
        <v>#N/A</v>
      </c>
      <c r="G474" s="96" t="e">
        <f ca="1">VLOOKUP(A474,'銀行-TSS'!A:K,11,FALSE)</f>
        <v>#N/A</v>
      </c>
      <c r="H474" s="1209" t="e">
        <f ca="1">VLOOKUP(A474,'銀行-TSS'!A:M,13,FALSE)</f>
        <v>#N/A</v>
      </c>
      <c r="I474" s="1213" t="e">
        <f ca="1">VLOOKUP(A474,'銀行-TSS'!A:N,14,FALSE)</f>
        <v>#N/A</v>
      </c>
      <c r="J474" s="1213" t="e">
        <f ca="1">VLOOKUP(A474,'銀行-TSS'!A:O,15,FALSE)</f>
        <v>#N/A</v>
      </c>
      <c r="K474" s="136" t="e">
        <f ca="1">VLOOKUP(A474,'銀行-TSS'!A:V,22,FALSE)</f>
        <v>#N/A</v>
      </c>
      <c r="L474" s="136" t="e">
        <f ca="1">VLOOKUP(A474,'銀行-TSS'!A:AK,37,FALSE)</f>
        <v>#N/A</v>
      </c>
      <c r="M474" s="136" t="str">
        <f ca="1">VLOOKUP(A474,'銀行-TSS'!A:AN,40,FALSE)</f>
        <v/>
      </c>
      <c r="N474" s="1211" t="e">
        <f t="shared" ca="1" si="93"/>
        <v>#N/A</v>
      </c>
      <c r="O474" s="1211" t="e">
        <f t="shared" ca="1" si="94"/>
        <v>#N/A</v>
      </c>
      <c r="P474" s="1213" t="e">
        <f ca="1">IF(AND(換券投組!$D$17&gt;=O474,換券投組!$D$13=D474),I474+INT((換券投組!$D$17-O474)/N474)*J474,0)</f>
        <v>#N/A</v>
      </c>
      <c r="Q474" s="1211" t="e">
        <f t="shared" ca="1" si="95"/>
        <v>#N/A</v>
      </c>
      <c r="R474" s="1213">
        <f t="shared" si="96"/>
        <v>0</v>
      </c>
      <c r="S474" s="1213">
        <f t="shared" si="97"/>
        <v>0</v>
      </c>
      <c r="T474" s="136">
        <f t="shared" si="99"/>
        <v>0</v>
      </c>
      <c r="U474" s="861">
        <f t="shared" si="100"/>
        <v>0</v>
      </c>
      <c r="V474" s="136" t="e">
        <f ca="1">IF(OR(D474&lt;&gt;"USD",L474="無",M474&lt;&gt;"",K474="高資產",IFERROR(MATCH(B474,換券投組!K:K,0),"N")&lt;&gt;"N",IFERROR(MATCH(B474,換券投組!J:J,0),"N")&lt;&gt;"N"),FALSE,IF($V$1="All",TRUE,IF(K474=$V$1,TRUE,FALSE)))</f>
        <v>#N/A</v>
      </c>
      <c r="W474" s="136" t="e">
        <f ca="1">VLOOKUP(A474,'銀行-TSS'!A:AO,41,FALSE)</f>
        <v>#N/A</v>
      </c>
      <c r="X474" s="136" t="e">
        <f ca="1">VLOOKUP(A474,'銀行-TSS'!A:AP,42,FALSE)</f>
        <v>#N/A</v>
      </c>
      <c r="Y474" s="1223">
        <f t="shared" si="98"/>
        <v>0</v>
      </c>
      <c r="Z474" s="1211">
        <f t="shared" si="101"/>
        <v>0</v>
      </c>
      <c r="AA474" s="136">
        <f>IF(Z474&lt;=0,0,RANK(Z474,Z:Z)+COUNTIF($Z$3:$Z474,Z474)-1)</f>
        <v>0</v>
      </c>
      <c r="AB474" s="1211">
        <f t="shared" ca="1" si="102"/>
        <v>0</v>
      </c>
      <c r="AC474" s="136">
        <f ca="1">IF(AB474&lt;=0,0,RANK(AB474,AB:AB)+COUNTIF($AB$3:$AB474,AB474)-1)</f>
        <v>0</v>
      </c>
      <c r="AD474" s="136">
        <f t="shared" si="103"/>
        <v>99999</v>
      </c>
      <c r="AE474" s="136">
        <f>IF(AD474=99999,0,RANK(AD474,AD:AD,1)+COUNTIF($AD$3:$AD474,AD474)-1)</f>
        <v>0</v>
      </c>
    </row>
    <row r="475" spans="1:31">
      <c r="A475" s="141">
        <f>'銀行-TSS'!A475</f>
        <v>0</v>
      </c>
      <c r="B475" s="151">
        <f ca="1">VLOOKUP(A475,'銀行-TSS'!A:B,2,FALSE)</f>
        <v>0</v>
      </c>
      <c r="C475" s="151" t="e">
        <f ca="1">VLOOKUP(B475,bond!B:C,2,FALSE)</f>
        <v>#N/A</v>
      </c>
      <c r="D475" s="95" t="e">
        <f>VLOOKUP(A475,'銀行-TSS'!A:C,3,FALSE)</f>
        <v>#N/A</v>
      </c>
      <c r="E475" s="90" t="e">
        <f ca="1">VLOOKUP(A475,'銀行-TSS'!A:G,7,FALSE)</f>
        <v>#N/A</v>
      </c>
      <c r="F475" s="202" t="e">
        <f ca="1">VLOOKUP(A475,'銀行-TSS'!A:H,8,FALSE)</f>
        <v>#N/A</v>
      </c>
      <c r="G475" s="96" t="e">
        <f ca="1">VLOOKUP(A475,'銀行-TSS'!A:K,11,FALSE)</f>
        <v>#N/A</v>
      </c>
      <c r="H475" s="1209" t="e">
        <f ca="1">VLOOKUP(A475,'銀行-TSS'!A:M,13,FALSE)</f>
        <v>#N/A</v>
      </c>
      <c r="I475" s="1213" t="e">
        <f ca="1">VLOOKUP(A475,'銀行-TSS'!A:N,14,FALSE)</f>
        <v>#N/A</v>
      </c>
      <c r="J475" s="1213" t="e">
        <f ca="1">VLOOKUP(A475,'銀行-TSS'!A:O,15,FALSE)</f>
        <v>#N/A</v>
      </c>
      <c r="K475" s="136" t="e">
        <f ca="1">VLOOKUP(A475,'銀行-TSS'!A:V,22,FALSE)</f>
        <v>#N/A</v>
      </c>
      <c r="L475" s="136" t="e">
        <f ca="1">VLOOKUP(A475,'銀行-TSS'!A:AK,37,FALSE)</f>
        <v>#N/A</v>
      </c>
      <c r="M475" s="136" t="str">
        <f ca="1">VLOOKUP(A475,'銀行-TSS'!A:AN,40,FALSE)</f>
        <v/>
      </c>
      <c r="N475" s="1211" t="e">
        <f t="shared" ca="1" si="93"/>
        <v>#N/A</v>
      </c>
      <c r="O475" s="1211" t="e">
        <f t="shared" ca="1" si="94"/>
        <v>#N/A</v>
      </c>
      <c r="P475" s="1213" t="e">
        <f ca="1">IF(AND(換券投組!$D$17&gt;=O475,換券投組!$D$13=D475),I475+INT((換券投組!$D$17-O475)/N475)*J475,0)</f>
        <v>#N/A</v>
      </c>
      <c r="Q475" s="1211" t="e">
        <f t="shared" ca="1" si="95"/>
        <v>#N/A</v>
      </c>
      <c r="R475" s="1213">
        <f t="shared" si="96"/>
        <v>0</v>
      </c>
      <c r="S475" s="1213">
        <f t="shared" si="97"/>
        <v>0</v>
      </c>
      <c r="T475" s="136">
        <f t="shared" si="99"/>
        <v>0</v>
      </c>
      <c r="U475" s="861">
        <f t="shared" si="100"/>
        <v>0</v>
      </c>
      <c r="V475" s="136" t="e">
        <f ca="1">IF(OR(D475&lt;&gt;"USD",L475="無",M475&lt;&gt;"",K475="高資產",IFERROR(MATCH(B475,換券投組!K:K,0),"N")&lt;&gt;"N",IFERROR(MATCH(B475,換券投組!J:J,0),"N")&lt;&gt;"N"),FALSE,IF($V$1="All",TRUE,IF(K475=$V$1,TRUE,FALSE)))</f>
        <v>#N/A</v>
      </c>
      <c r="W475" s="136" t="e">
        <f ca="1">VLOOKUP(A475,'銀行-TSS'!A:AO,41,FALSE)</f>
        <v>#N/A</v>
      </c>
      <c r="X475" s="136" t="e">
        <f ca="1">VLOOKUP(A475,'銀行-TSS'!A:AP,42,FALSE)</f>
        <v>#N/A</v>
      </c>
      <c r="Y475" s="1223">
        <f t="shared" si="98"/>
        <v>0</v>
      </c>
      <c r="Z475" s="1211">
        <f t="shared" si="101"/>
        <v>0</v>
      </c>
      <c r="AA475" s="136">
        <f>IF(Z475&lt;=0,0,RANK(Z475,Z:Z)+COUNTIF($Z$3:$Z475,Z475)-1)</f>
        <v>0</v>
      </c>
      <c r="AB475" s="1211">
        <f t="shared" ca="1" si="102"/>
        <v>0</v>
      </c>
      <c r="AC475" s="136">
        <f ca="1">IF(AB475&lt;=0,0,RANK(AB475,AB:AB)+COUNTIF($AB$3:$AB475,AB475)-1)</f>
        <v>0</v>
      </c>
      <c r="AD475" s="136">
        <f t="shared" si="103"/>
        <v>99999</v>
      </c>
      <c r="AE475" s="136">
        <f>IF(AD475=99999,0,RANK(AD475,AD:AD,1)+COUNTIF($AD$3:$AD475,AD475)-1)</f>
        <v>0</v>
      </c>
    </row>
    <row r="476" spans="1:31">
      <c r="A476" s="141">
        <f>'銀行-TSS'!A476</f>
        <v>0</v>
      </c>
      <c r="B476" s="151">
        <f ca="1">VLOOKUP(A476,'銀行-TSS'!A:B,2,FALSE)</f>
        <v>0</v>
      </c>
      <c r="C476" s="151" t="e">
        <f ca="1">VLOOKUP(B476,bond!B:C,2,FALSE)</f>
        <v>#N/A</v>
      </c>
      <c r="D476" s="95" t="e">
        <f>VLOOKUP(A476,'銀行-TSS'!A:C,3,FALSE)</f>
        <v>#N/A</v>
      </c>
      <c r="E476" s="90" t="e">
        <f ca="1">VLOOKUP(A476,'銀行-TSS'!A:G,7,FALSE)</f>
        <v>#N/A</v>
      </c>
      <c r="F476" s="202" t="e">
        <f ca="1">VLOOKUP(A476,'銀行-TSS'!A:H,8,FALSE)</f>
        <v>#N/A</v>
      </c>
      <c r="G476" s="96" t="e">
        <f ca="1">VLOOKUP(A476,'銀行-TSS'!A:K,11,FALSE)</f>
        <v>#N/A</v>
      </c>
      <c r="H476" s="1209" t="e">
        <f ca="1">VLOOKUP(A476,'銀行-TSS'!A:M,13,FALSE)</f>
        <v>#N/A</v>
      </c>
      <c r="I476" s="1213" t="e">
        <f ca="1">VLOOKUP(A476,'銀行-TSS'!A:N,14,FALSE)</f>
        <v>#N/A</v>
      </c>
      <c r="J476" s="1213" t="e">
        <f ca="1">VLOOKUP(A476,'銀行-TSS'!A:O,15,FALSE)</f>
        <v>#N/A</v>
      </c>
      <c r="K476" s="136" t="e">
        <f ca="1">VLOOKUP(A476,'銀行-TSS'!A:V,22,FALSE)</f>
        <v>#N/A</v>
      </c>
      <c r="L476" s="136" t="e">
        <f ca="1">VLOOKUP(A476,'銀行-TSS'!A:AK,37,FALSE)</f>
        <v>#N/A</v>
      </c>
      <c r="M476" s="136" t="str">
        <f ca="1">VLOOKUP(A476,'銀行-TSS'!A:AN,40,FALSE)</f>
        <v/>
      </c>
      <c r="N476" s="1211" t="e">
        <f t="shared" ca="1" si="93"/>
        <v>#N/A</v>
      </c>
      <c r="O476" s="1211" t="e">
        <f t="shared" ca="1" si="94"/>
        <v>#N/A</v>
      </c>
      <c r="P476" s="1213" t="e">
        <f ca="1">IF(AND(換券投組!$D$17&gt;=O476,換券投組!$D$13=D476),I476+INT((換券投組!$D$17-O476)/N476)*J476,0)</f>
        <v>#N/A</v>
      </c>
      <c r="Q476" s="1211" t="e">
        <f t="shared" ca="1" si="95"/>
        <v>#N/A</v>
      </c>
      <c r="R476" s="1213">
        <f t="shared" si="96"/>
        <v>0</v>
      </c>
      <c r="S476" s="1213">
        <f t="shared" si="97"/>
        <v>0</v>
      </c>
      <c r="T476" s="136">
        <f t="shared" si="99"/>
        <v>0</v>
      </c>
      <c r="U476" s="861">
        <f t="shared" si="100"/>
        <v>0</v>
      </c>
      <c r="V476" s="136" t="e">
        <f ca="1">IF(OR(D476&lt;&gt;"USD",L476="無",M476&lt;&gt;"",K476="高資產",IFERROR(MATCH(B476,換券投組!K:K,0),"N")&lt;&gt;"N",IFERROR(MATCH(B476,換券投組!J:J,0),"N")&lt;&gt;"N"),FALSE,IF($V$1="All",TRUE,IF(K476=$V$1,TRUE,FALSE)))</f>
        <v>#N/A</v>
      </c>
      <c r="W476" s="136" t="e">
        <f ca="1">VLOOKUP(A476,'銀行-TSS'!A:AO,41,FALSE)</f>
        <v>#N/A</v>
      </c>
      <c r="X476" s="136" t="e">
        <f ca="1">VLOOKUP(A476,'銀行-TSS'!A:AP,42,FALSE)</f>
        <v>#N/A</v>
      </c>
      <c r="Y476" s="1223">
        <f t="shared" si="98"/>
        <v>0</v>
      </c>
      <c r="Z476" s="1211">
        <f t="shared" si="101"/>
        <v>0</v>
      </c>
      <c r="AA476" s="136">
        <f>IF(Z476&lt;=0,0,RANK(Z476,Z:Z)+COUNTIF($Z$3:$Z476,Z476)-1)</f>
        <v>0</v>
      </c>
      <c r="AB476" s="1211">
        <f t="shared" ca="1" si="102"/>
        <v>0</v>
      </c>
      <c r="AC476" s="136">
        <f ca="1">IF(AB476&lt;=0,0,RANK(AB476,AB:AB)+COUNTIF($AB$3:$AB476,AB476)-1)</f>
        <v>0</v>
      </c>
      <c r="AD476" s="136">
        <f t="shared" si="103"/>
        <v>99999</v>
      </c>
      <c r="AE476" s="136">
        <f>IF(AD476=99999,0,RANK(AD476,AD:AD,1)+COUNTIF($AD$3:$AD476,AD476)-1)</f>
        <v>0</v>
      </c>
    </row>
    <row r="477" spans="1:31">
      <c r="A477" s="141">
        <f>'銀行-TSS'!A477</f>
        <v>0</v>
      </c>
      <c r="B477" s="151">
        <f ca="1">VLOOKUP(A477,'銀行-TSS'!A:B,2,FALSE)</f>
        <v>0</v>
      </c>
      <c r="C477" s="151" t="e">
        <f ca="1">VLOOKUP(B477,bond!B:C,2,FALSE)</f>
        <v>#N/A</v>
      </c>
      <c r="D477" s="95" t="e">
        <f>VLOOKUP(A477,'銀行-TSS'!A:C,3,FALSE)</f>
        <v>#N/A</v>
      </c>
      <c r="E477" s="90" t="e">
        <f ca="1">VLOOKUP(A477,'銀行-TSS'!A:G,7,FALSE)</f>
        <v>#N/A</v>
      </c>
      <c r="F477" s="202" t="e">
        <f ca="1">VLOOKUP(A477,'銀行-TSS'!A:H,8,FALSE)</f>
        <v>#N/A</v>
      </c>
      <c r="G477" s="96" t="e">
        <f ca="1">VLOOKUP(A477,'銀行-TSS'!A:K,11,FALSE)</f>
        <v>#N/A</v>
      </c>
      <c r="H477" s="1209" t="e">
        <f ca="1">VLOOKUP(A477,'銀行-TSS'!A:M,13,FALSE)</f>
        <v>#N/A</v>
      </c>
      <c r="I477" s="1213" t="e">
        <f ca="1">VLOOKUP(A477,'銀行-TSS'!A:N,14,FALSE)</f>
        <v>#N/A</v>
      </c>
      <c r="J477" s="1213" t="e">
        <f ca="1">VLOOKUP(A477,'銀行-TSS'!A:O,15,FALSE)</f>
        <v>#N/A</v>
      </c>
      <c r="K477" s="136" t="e">
        <f ca="1">VLOOKUP(A477,'銀行-TSS'!A:V,22,FALSE)</f>
        <v>#N/A</v>
      </c>
      <c r="L477" s="136" t="e">
        <f ca="1">VLOOKUP(A477,'銀行-TSS'!A:AK,37,FALSE)</f>
        <v>#N/A</v>
      </c>
      <c r="M477" s="136" t="str">
        <f ca="1">VLOOKUP(A477,'銀行-TSS'!A:AN,40,FALSE)</f>
        <v/>
      </c>
      <c r="N477" s="1211" t="e">
        <f t="shared" ca="1" si="93"/>
        <v>#N/A</v>
      </c>
      <c r="O477" s="1211" t="e">
        <f t="shared" ca="1" si="94"/>
        <v>#N/A</v>
      </c>
      <c r="P477" s="1213" t="e">
        <f ca="1">IF(AND(換券投組!$D$17&gt;=O477,換券投組!$D$13=D477),I477+INT((換券投組!$D$17-O477)/N477)*J477,0)</f>
        <v>#N/A</v>
      </c>
      <c r="Q477" s="1211" t="e">
        <f t="shared" ca="1" si="95"/>
        <v>#N/A</v>
      </c>
      <c r="R477" s="1213">
        <f t="shared" si="96"/>
        <v>0</v>
      </c>
      <c r="S477" s="1213">
        <f t="shared" si="97"/>
        <v>0</v>
      </c>
      <c r="T477" s="136">
        <f t="shared" si="99"/>
        <v>0</v>
      </c>
      <c r="U477" s="861">
        <f t="shared" si="100"/>
        <v>0</v>
      </c>
      <c r="V477" s="136" t="e">
        <f ca="1">IF(OR(D477&lt;&gt;"USD",L477="無",M477&lt;&gt;"",K477="高資產",IFERROR(MATCH(B477,換券投組!K:K,0),"N")&lt;&gt;"N",IFERROR(MATCH(B477,換券投組!J:J,0),"N")&lt;&gt;"N"),FALSE,IF($V$1="All",TRUE,IF(K477=$V$1,TRUE,FALSE)))</f>
        <v>#N/A</v>
      </c>
      <c r="W477" s="136" t="e">
        <f ca="1">VLOOKUP(A477,'銀行-TSS'!A:AO,41,FALSE)</f>
        <v>#N/A</v>
      </c>
      <c r="X477" s="136" t="e">
        <f ca="1">VLOOKUP(A477,'銀行-TSS'!A:AP,42,FALSE)</f>
        <v>#N/A</v>
      </c>
      <c r="Y477" s="1223">
        <f t="shared" si="98"/>
        <v>0</v>
      </c>
      <c r="Z477" s="1211">
        <f t="shared" si="101"/>
        <v>0</v>
      </c>
      <c r="AA477" s="136">
        <f>IF(Z477&lt;=0,0,RANK(Z477,Z:Z)+COUNTIF($Z$3:$Z477,Z477)-1)</f>
        <v>0</v>
      </c>
      <c r="AB477" s="1211">
        <f t="shared" ca="1" si="102"/>
        <v>0</v>
      </c>
      <c r="AC477" s="136">
        <f ca="1">IF(AB477&lt;=0,0,RANK(AB477,AB:AB)+COUNTIF($AB$3:$AB477,AB477)-1)</f>
        <v>0</v>
      </c>
      <c r="AD477" s="136">
        <f t="shared" si="103"/>
        <v>99999</v>
      </c>
      <c r="AE477" s="136">
        <f>IF(AD477=99999,0,RANK(AD477,AD:AD,1)+COUNTIF($AD$3:$AD477,AD477)-1)</f>
        <v>0</v>
      </c>
    </row>
    <row r="478" spans="1:31">
      <c r="A478" s="141">
        <f>'銀行-TSS'!A478</f>
        <v>0</v>
      </c>
      <c r="B478" s="151">
        <f ca="1">VLOOKUP(A478,'銀行-TSS'!A:B,2,FALSE)</f>
        <v>0</v>
      </c>
      <c r="C478" s="151" t="e">
        <f ca="1">VLOOKUP(B478,bond!B:C,2,FALSE)</f>
        <v>#N/A</v>
      </c>
      <c r="D478" s="95" t="e">
        <f>VLOOKUP(A478,'銀行-TSS'!A:C,3,FALSE)</f>
        <v>#N/A</v>
      </c>
      <c r="E478" s="90" t="e">
        <f ca="1">VLOOKUP(A478,'銀行-TSS'!A:G,7,FALSE)</f>
        <v>#N/A</v>
      </c>
      <c r="F478" s="202" t="e">
        <f ca="1">VLOOKUP(A478,'銀行-TSS'!A:H,8,FALSE)</f>
        <v>#N/A</v>
      </c>
      <c r="G478" s="96" t="e">
        <f ca="1">VLOOKUP(A478,'銀行-TSS'!A:K,11,FALSE)</f>
        <v>#N/A</v>
      </c>
      <c r="H478" s="1209" t="e">
        <f ca="1">VLOOKUP(A478,'銀行-TSS'!A:M,13,FALSE)</f>
        <v>#N/A</v>
      </c>
      <c r="I478" s="1213" t="e">
        <f ca="1">VLOOKUP(A478,'銀行-TSS'!A:N,14,FALSE)</f>
        <v>#N/A</v>
      </c>
      <c r="J478" s="1213" t="e">
        <f ca="1">VLOOKUP(A478,'銀行-TSS'!A:O,15,FALSE)</f>
        <v>#N/A</v>
      </c>
      <c r="K478" s="136" t="e">
        <f ca="1">VLOOKUP(A478,'銀行-TSS'!A:V,22,FALSE)</f>
        <v>#N/A</v>
      </c>
      <c r="L478" s="136" t="e">
        <f ca="1">VLOOKUP(A478,'銀行-TSS'!A:AK,37,FALSE)</f>
        <v>#N/A</v>
      </c>
      <c r="M478" s="136" t="str">
        <f ca="1">VLOOKUP(A478,'銀行-TSS'!A:AN,40,FALSE)</f>
        <v/>
      </c>
      <c r="N478" s="1211" t="e">
        <f t="shared" ca="1" si="93"/>
        <v>#N/A</v>
      </c>
      <c r="O478" s="1211" t="e">
        <f t="shared" ca="1" si="94"/>
        <v>#N/A</v>
      </c>
      <c r="P478" s="1213" t="e">
        <f ca="1">IF(AND(換券投組!$D$17&gt;=O478,換券投組!$D$13=D478),I478+INT((換券投組!$D$17-O478)/N478)*J478,0)</f>
        <v>#N/A</v>
      </c>
      <c r="Q478" s="1211" t="e">
        <f t="shared" ca="1" si="95"/>
        <v>#N/A</v>
      </c>
      <c r="R478" s="1213">
        <f t="shared" si="96"/>
        <v>0</v>
      </c>
      <c r="S478" s="1213">
        <f t="shared" si="97"/>
        <v>0</v>
      </c>
      <c r="T478" s="136">
        <f t="shared" si="99"/>
        <v>0</v>
      </c>
      <c r="U478" s="861">
        <f t="shared" si="100"/>
        <v>0</v>
      </c>
      <c r="V478" s="136" t="e">
        <f ca="1">IF(OR(D478&lt;&gt;"USD",L478="無",M478&lt;&gt;"",K478="高資產",IFERROR(MATCH(B478,換券投組!K:K,0),"N")&lt;&gt;"N",IFERROR(MATCH(B478,換券投組!J:J,0),"N")&lt;&gt;"N"),FALSE,IF($V$1="All",TRUE,IF(K478=$V$1,TRUE,FALSE)))</f>
        <v>#N/A</v>
      </c>
      <c r="W478" s="136" t="e">
        <f ca="1">VLOOKUP(A478,'銀行-TSS'!A:AO,41,FALSE)</f>
        <v>#N/A</v>
      </c>
      <c r="X478" s="136" t="e">
        <f ca="1">VLOOKUP(A478,'銀行-TSS'!A:AP,42,FALSE)</f>
        <v>#N/A</v>
      </c>
      <c r="Y478" s="1223">
        <f t="shared" si="98"/>
        <v>0</v>
      </c>
      <c r="Z478" s="1211">
        <f t="shared" si="101"/>
        <v>0</v>
      </c>
      <c r="AA478" s="136">
        <f>IF(Z478&lt;=0,0,RANK(Z478,Z:Z)+COUNTIF($Z$3:$Z478,Z478)-1)</f>
        <v>0</v>
      </c>
      <c r="AB478" s="1211">
        <f t="shared" ca="1" si="102"/>
        <v>0</v>
      </c>
      <c r="AC478" s="136">
        <f ca="1">IF(AB478&lt;=0,0,RANK(AB478,AB:AB)+COUNTIF($AB$3:$AB478,AB478)-1)</f>
        <v>0</v>
      </c>
      <c r="AD478" s="136">
        <f t="shared" si="103"/>
        <v>99999</v>
      </c>
      <c r="AE478" s="136">
        <f>IF(AD478=99999,0,RANK(AD478,AD:AD,1)+COUNTIF($AD$3:$AD478,AD478)-1)</f>
        <v>0</v>
      </c>
    </row>
    <row r="479" spans="1:31">
      <c r="A479" s="141">
        <f>'銀行-TSS'!A479</f>
        <v>0</v>
      </c>
      <c r="B479" s="151">
        <f ca="1">VLOOKUP(A479,'銀行-TSS'!A:B,2,FALSE)</f>
        <v>0</v>
      </c>
      <c r="C479" s="151" t="e">
        <f ca="1">VLOOKUP(B479,bond!B:C,2,FALSE)</f>
        <v>#N/A</v>
      </c>
      <c r="D479" s="95" t="e">
        <f>VLOOKUP(A479,'銀行-TSS'!A:C,3,FALSE)</f>
        <v>#N/A</v>
      </c>
      <c r="E479" s="90" t="e">
        <f ca="1">VLOOKUP(A479,'銀行-TSS'!A:G,7,FALSE)</f>
        <v>#N/A</v>
      </c>
      <c r="F479" s="202" t="e">
        <f ca="1">VLOOKUP(A479,'銀行-TSS'!A:H,8,FALSE)</f>
        <v>#N/A</v>
      </c>
      <c r="G479" s="96" t="e">
        <f ca="1">VLOOKUP(A479,'銀行-TSS'!A:K,11,FALSE)</f>
        <v>#N/A</v>
      </c>
      <c r="H479" s="1209" t="e">
        <f ca="1">VLOOKUP(A479,'銀行-TSS'!A:M,13,FALSE)</f>
        <v>#N/A</v>
      </c>
      <c r="I479" s="1213" t="e">
        <f ca="1">VLOOKUP(A479,'銀行-TSS'!A:N,14,FALSE)</f>
        <v>#N/A</v>
      </c>
      <c r="J479" s="1213" t="e">
        <f ca="1">VLOOKUP(A479,'銀行-TSS'!A:O,15,FALSE)</f>
        <v>#N/A</v>
      </c>
      <c r="K479" s="136" t="e">
        <f ca="1">VLOOKUP(A479,'銀行-TSS'!A:V,22,FALSE)</f>
        <v>#N/A</v>
      </c>
      <c r="L479" s="136" t="e">
        <f ca="1">VLOOKUP(A479,'銀行-TSS'!A:AK,37,FALSE)</f>
        <v>#N/A</v>
      </c>
      <c r="M479" s="136" t="str">
        <f ca="1">VLOOKUP(A479,'銀行-TSS'!A:AN,40,FALSE)</f>
        <v/>
      </c>
      <c r="N479" s="1211" t="e">
        <f t="shared" ca="1" si="93"/>
        <v>#N/A</v>
      </c>
      <c r="O479" s="1211" t="e">
        <f t="shared" ca="1" si="94"/>
        <v>#N/A</v>
      </c>
      <c r="P479" s="1213" t="e">
        <f ca="1">IF(AND(換券投組!$D$17&gt;=O479,換券投組!$D$13=D479),I479+INT((換券投組!$D$17-O479)/N479)*J479,0)</f>
        <v>#N/A</v>
      </c>
      <c r="Q479" s="1211" t="e">
        <f t="shared" ca="1" si="95"/>
        <v>#N/A</v>
      </c>
      <c r="R479" s="1213">
        <f t="shared" si="96"/>
        <v>0</v>
      </c>
      <c r="S479" s="1213">
        <f t="shared" si="97"/>
        <v>0</v>
      </c>
      <c r="T479" s="136">
        <f t="shared" si="99"/>
        <v>0</v>
      </c>
      <c r="U479" s="861">
        <f t="shared" si="100"/>
        <v>0</v>
      </c>
      <c r="V479" s="136" t="e">
        <f ca="1">IF(OR(D479&lt;&gt;"USD",L479="無",M479&lt;&gt;"",K479="高資產",IFERROR(MATCH(B479,換券投組!K:K,0),"N")&lt;&gt;"N",IFERROR(MATCH(B479,換券投組!J:J,0),"N")&lt;&gt;"N"),FALSE,IF($V$1="All",TRUE,IF(K479=$V$1,TRUE,FALSE)))</f>
        <v>#N/A</v>
      </c>
      <c r="W479" s="136" t="e">
        <f ca="1">VLOOKUP(A479,'銀行-TSS'!A:AO,41,FALSE)</f>
        <v>#N/A</v>
      </c>
      <c r="X479" s="136" t="e">
        <f ca="1">VLOOKUP(A479,'銀行-TSS'!A:AP,42,FALSE)</f>
        <v>#N/A</v>
      </c>
      <c r="Y479" s="1223">
        <f t="shared" si="98"/>
        <v>0</v>
      </c>
      <c r="Z479" s="1211">
        <f t="shared" si="101"/>
        <v>0</v>
      </c>
      <c r="AA479" s="136">
        <f>IF(Z479&lt;=0,0,RANK(Z479,Z:Z)+COUNTIF($Z$3:$Z479,Z479)-1)</f>
        <v>0</v>
      </c>
      <c r="AB479" s="1211">
        <f t="shared" ca="1" si="102"/>
        <v>0</v>
      </c>
      <c r="AC479" s="136">
        <f ca="1">IF(AB479&lt;=0,0,RANK(AB479,AB:AB)+COUNTIF($AB$3:$AB479,AB479)-1)</f>
        <v>0</v>
      </c>
      <c r="AD479" s="136">
        <f t="shared" si="103"/>
        <v>99999</v>
      </c>
      <c r="AE479" s="136">
        <f>IF(AD479=99999,0,RANK(AD479,AD:AD,1)+COUNTIF($AD$3:$AD479,AD479)-1)</f>
        <v>0</v>
      </c>
    </row>
    <row r="480" spans="1:31">
      <c r="A480" s="141">
        <f>'銀行-TSS'!A480</f>
        <v>0</v>
      </c>
      <c r="B480" s="151">
        <f ca="1">VLOOKUP(A480,'銀行-TSS'!A:B,2,FALSE)</f>
        <v>0</v>
      </c>
      <c r="C480" s="151" t="e">
        <f ca="1">VLOOKUP(B480,bond!B:C,2,FALSE)</f>
        <v>#N/A</v>
      </c>
      <c r="D480" s="95" t="e">
        <f>VLOOKUP(A480,'銀行-TSS'!A:C,3,FALSE)</f>
        <v>#N/A</v>
      </c>
      <c r="E480" s="90" t="e">
        <f ca="1">VLOOKUP(A480,'銀行-TSS'!A:G,7,FALSE)</f>
        <v>#N/A</v>
      </c>
      <c r="F480" s="202" t="e">
        <f ca="1">VLOOKUP(A480,'銀行-TSS'!A:H,8,FALSE)</f>
        <v>#N/A</v>
      </c>
      <c r="G480" s="96" t="e">
        <f ca="1">VLOOKUP(A480,'銀行-TSS'!A:K,11,FALSE)</f>
        <v>#N/A</v>
      </c>
      <c r="H480" s="1209" t="e">
        <f ca="1">VLOOKUP(A480,'銀行-TSS'!A:M,13,FALSE)</f>
        <v>#N/A</v>
      </c>
      <c r="I480" s="1213" t="e">
        <f ca="1">VLOOKUP(A480,'銀行-TSS'!A:N,14,FALSE)</f>
        <v>#N/A</v>
      </c>
      <c r="J480" s="1213" t="e">
        <f ca="1">VLOOKUP(A480,'銀行-TSS'!A:O,15,FALSE)</f>
        <v>#N/A</v>
      </c>
      <c r="K480" s="136" t="e">
        <f ca="1">VLOOKUP(A480,'銀行-TSS'!A:V,22,FALSE)</f>
        <v>#N/A</v>
      </c>
      <c r="L480" s="136" t="e">
        <f ca="1">VLOOKUP(A480,'銀行-TSS'!A:AK,37,FALSE)</f>
        <v>#N/A</v>
      </c>
      <c r="M480" s="136" t="str">
        <f ca="1">VLOOKUP(A480,'銀行-TSS'!A:AN,40,FALSE)</f>
        <v/>
      </c>
      <c r="N480" s="1211" t="e">
        <f t="shared" ca="1" si="93"/>
        <v>#N/A</v>
      </c>
      <c r="O480" s="1211" t="e">
        <f t="shared" ca="1" si="94"/>
        <v>#N/A</v>
      </c>
      <c r="P480" s="1213" t="e">
        <f ca="1">IF(AND(換券投組!$D$17&gt;=O480,換券投組!$D$13=D480),I480+INT((換券投組!$D$17-O480)/N480)*J480,0)</f>
        <v>#N/A</v>
      </c>
      <c r="Q480" s="1211" t="e">
        <f t="shared" ca="1" si="95"/>
        <v>#N/A</v>
      </c>
      <c r="R480" s="1213">
        <f t="shared" si="96"/>
        <v>0</v>
      </c>
      <c r="S480" s="1213">
        <f t="shared" si="97"/>
        <v>0</v>
      </c>
      <c r="T480" s="136">
        <f t="shared" si="99"/>
        <v>0</v>
      </c>
      <c r="U480" s="861">
        <f t="shared" si="100"/>
        <v>0</v>
      </c>
      <c r="V480" s="136" t="e">
        <f ca="1">IF(OR(D480&lt;&gt;"USD",L480="無",M480&lt;&gt;"",K480="高資產",IFERROR(MATCH(B480,換券投組!K:K,0),"N")&lt;&gt;"N",IFERROR(MATCH(B480,換券投組!J:J,0),"N")&lt;&gt;"N"),FALSE,IF($V$1="All",TRUE,IF(K480=$V$1,TRUE,FALSE)))</f>
        <v>#N/A</v>
      </c>
      <c r="W480" s="136" t="e">
        <f ca="1">VLOOKUP(A480,'銀行-TSS'!A:AO,41,FALSE)</f>
        <v>#N/A</v>
      </c>
      <c r="X480" s="136" t="e">
        <f ca="1">VLOOKUP(A480,'銀行-TSS'!A:AP,42,FALSE)</f>
        <v>#N/A</v>
      </c>
      <c r="Y480" s="1223">
        <f t="shared" si="98"/>
        <v>0</v>
      </c>
      <c r="Z480" s="1211">
        <f t="shared" si="101"/>
        <v>0</v>
      </c>
      <c r="AA480" s="136">
        <f>IF(Z480&lt;=0,0,RANK(Z480,Z:Z)+COUNTIF($Z$3:$Z480,Z480)-1)</f>
        <v>0</v>
      </c>
      <c r="AB480" s="1211">
        <f t="shared" ca="1" si="102"/>
        <v>0</v>
      </c>
      <c r="AC480" s="136">
        <f ca="1">IF(AB480&lt;=0,0,RANK(AB480,AB:AB)+COUNTIF($AB$3:$AB480,AB480)-1)</f>
        <v>0</v>
      </c>
      <c r="AD480" s="136">
        <f t="shared" si="103"/>
        <v>99999</v>
      </c>
      <c r="AE480" s="136">
        <f>IF(AD480=99999,0,RANK(AD480,AD:AD,1)+COUNTIF($AD$3:$AD480,AD480)-1)</f>
        <v>0</v>
      </c>
    </row>
    <row r="481" spans="1:31">
      <c r="A481" s="141">
        <f>'銀行-TSS'!A481</f>
        <v>0</v>
      </c>
      <c r="B481" s="151">
        <f ca="1">VLOOKUP(A481,'銀行-TSS'!A:B,2,FALSE)</f>
        <v>0</v>
      </c>
      <c r="C481" s="151" t="e">
        <f ca="1">VLOOKUP(B481,bond!B:C,2,FALSE)</f>
        <v>#N/A</v>
      </c>
      <c r="D481" s="95" t="e">
        <f>VLOOKUP(A481,'銀行-TSS'!A:C,3,FALSE)</f>
        <v>#N/A</v>
      </c>
      <c r="E481" s="90" t="e">
        <f ca="1">VLOOKUP(A481,'銀行-TSS'!A:G,7,FALSE)</f>
        <v>#N/A</v>
      </c>
      <c r="F481" s="202" t="e">
        <f ca="1">VLOOKUP(A481,'銀行-TSS'!A:H,8,FALSE)</f>
        <v>#N/A</v>
      </c>
      <c r="G481" s="96" t="e">
        <f ca="1">VLOOKUP(A481,'銀行-TSS'!A:K,11,FALSE)</f>
        <v>#N/A</v>
      </c>
      <c r="H481" s="1209" t="e">
        <f ca="1">VLOOKUP(A481,'銀行-TSS'!A:M,13,FALSE)</f>
        <v>#N/A</v>
      </c>
      <c r="I481" s="1213" t="e">
        <f ca="1">VLOOKUP(A481,'銀行-TSS'!A:N,14,FALSE)</f>
        <v>#N/A</v>
      </c>
      <c r="J481" s="1213" t="e">
        <f ca="1">VLOOKUP(A481,'銀行-TSS'!A:O,15,FALSE)</f>
        <v>#N/A</v>
      </c>
      <c r="K481" s="136" t="e">
        <f ca="1">VLOOKUP(A481,'銀行-TSS'!A:V,22,FALSE)</f>
        <v>#N/A</v>
      </c>
      <c r="L481" s="136" t="e">
        <f ca="1">VLOOKUP(A481,'銀行-TSS'!A:AK,37,FALSE)</f>
        <v>#N/A</v>
      </c>
      <c r="M481" s="136" t="str">
        <f ca="1">VLOOKUP(A481,'銀行-TSS'!A:AN,40,FALSE)</f>
        <v/>
      </c>
      <c r="N481" s="1211" t="e">
        <f t="shared" ca="1" si="93"/>
        <v>#N/A</v>
      </c>
      <c r="O481" s="1211" t="e">
        <f t="shared" ca="1" si="94"/>
        <v>#N/A</v>
      </c>
      <c r="P481" s="1213" t="e">
        <f ca="1">IF(AND(換券投組!$D$17&gt;=O481,換券投組!$D$13=D481),I481+INT((換券投組!$D$17-O481)/N481)*J481,0)</f>
        <v>#N/A</v>
      </c>
      <c r="Q481" s="1211" t="e">
        <f t="shared" ca="1" si="95"/>
        <v>#N/A</v>
      </c>
      <c r="R481" s="1213">
        <f t="shared" si="96"/>
        <v>0</v>
      </c>
      <c r="S481" s="1213">
        <f t="shared" si="97"/>
        <v>0</v>
      </c>
      <c r="T481" s="136">
        <f t="shared" si="99"/>
        <v>0</v>
      </c>
      <c r="U481" s="861">
        <f t="shared" si="100"/>
        <v>0</v>
      </c>
      <c r="V481" s="136" t="e">
        <f ca="1">IF(OR(D481&lt;&gt;"USD",L481="無",M481&lt;&gt;"",K481="高資產",IFERROR(MATCH(B481,換券投組!K:K,0),"N")&lt;&gt;"N",IFERROR(MATCH(B481,換券投組!J:J,0),"N")&lt;&gt;"N"),FALSE,IF($V$1="All",TRUE,IF(K481=$V$1,TRUE,FALSE)))</f>
        <v>#N/A</v>
      </c>
      <c r="W481" s="136" t="e">
        <f ca="1">VLOOKUP(A481,'銀行-TSS'!A:AO,41,FALSE)</f>
        <v>#N/A</v>
      </c>
      <c r="X481" s="136" t="e">
        <f ca="1">VLOOKUP(A481,'銀行-TSS'!A:AP,42,FALSE)</f>
        <v>#N/A</v>
      </c>
      <c r="Y481" s="1223">
        <f t="shared" si="98"/>
        <v>0</v>
      </c>
      <c r="Z481" s="1211">
        <f t="shared" si="101"/>
        <v>0</v>
      </c>
      <c r="AA481" s="136">
        <f>IF(Z481&lt;=0,0,RANK(Z481,Z:Z)+COUNTIF($Z$3:$Z481,Z481)-1)</f>
        <v>0</v>
      </c>
      <c r="AB481" s="1211">
        <f t="shared" ca="1" si="102"/>
        <v>0</v>
      </c>
      <c r="AC481" s="136">
        <f ca="1">IF(AB481&lt;=0,0,RANK(AB481,AB:AB)+COUNTIF($AB$3:$AB481,AB481)-1)</f>
        <v>0</v>
      </c>
      <c r="AD481" s="136">
        <f t="shared" si="103"/>
        <v>99999</v>
      </c>
      <c r="AE481" s="136">
        <f>IF(AD481=99999,0,RANK(AD481,AD:AD,1)+COUNTIF($AD$3:$AD481,AD481)-1)</f>
        <v>0</v>
      </c>
    </row>
    <row r="482" spans="1:31">
      <c r="A482" s="141">
        <f>'銀行-TSS'!A482</f>
        <v>0</v>
      </c>
      <c r="B482" s="151">
        <f ca="1">VLOOKUP(A482,'銀行-TSS'!A:B,2,FALSE)</f>
        <v>0</v>
      </c>
      <c r="C482" s="151" t="e">
        <f ca="1">VLOOKUP(B482,bond!B:C,2,FALSE)</f>
        <v>#N/A</v>
      </c>
      <c r="D482" s="95" t="e">
        <f>VLOOKUP(A482,'銀行-TSS'!A:C,3,FALSE)</f>
        <v>#N/A</v>
      </c>
      <c r="E482" s="90" t="e">
        <f ca="1">VLOOKUP(A482,'銀行-TSS'!A:G,7,FALSE)</f>
        <v>#N/A</v>
      </c>
      <c r="F482" s="202" t="e">
        <f ca="1">VLOOKUP(A482,'銀行-TSS'!A:H,8,FALSE)</f>
        <v>#N/A</v>
      </c>
      <c r="G482" s="96" t="e">
        <f ca="1">VLOOKUP(A482,'銀行-TSS'!A:K,11,FALSE)</f>
        <v>#N/A</v>
      </c>
      <c r="H482" s="1209" t="e">
        <f ca="1">VLOOKUP(A482,'銀行-TSS'!A:M,13,FALSE)</f>
        <v>#N/A</v>
      </c>
      <c r="I482" s="1213" t="e">
        <f ca="1">VLOOKUP(A482,'銀行-TSS'!A:N,14,FALSE)</f>
        <v>#N/A</v>
      </c>
      <c r="J482" s="1213" t="e">
        <f ca="1">VLOOKUP(A482,'銀行-TSS'!A:O,15,FALSE)</f>
        <v>#N/A</v>
      </c>
      <c r="K482" s="136" t="e">
        <f ca="1">VLOOKUP(A482,'銀行-TSS'!A:V,22,FALSE)</f>
        <v>#N/A</v>
      </c>
      <c r="L482" s="136" t="e">
        <f ca="1">VLOOKUP(A482,'銀行-TSS'!A:AK,37,FALSE)</f>
        <v>#N/A</v>
      </c>
      <c r="M482" s="136" t="str">
        <f ca="1">VLOOKUP(A482,'銀行-TSS'!A:AN,40,FALSE)</f>
        <v/>
      </c>
      <c r="N482" s="1211" t="e">
        <f t="shared" ca="1" si="93"/>
        <v>#N/A</v>
      </c>
      <c r="O482" s="1211" t="e">
        <f t="shared" ca="1" si="94"/>
        <v>#N/A</v>
      </c>
      <c r="P482" s="1213" t="e">
        <f ca="1">IF(AND(換券投組!$D$17&gt;=O482,換券投組!$D$13=D482),I482+INT((換券投組!$D$17-O482)/N482)*J482,0)</f>
        <v>#N/A</v>
      </c>
      <c r="Q482" s="1211" t="e">
        <f t="shared" ca="1" si="95"/>
        <v>#N/A</v>
      </c>
      <c r="R482" s="1213">
        <f t="shared" si="96"/>
        <v>0</v>
      </c>
      <c r="S482" s="1213">
        <f t="shared" si="97"/>
        <v>0</v>
      </c>
      <c r="T482" s="136">
        <f t="shared" si="99"/>
        <v>0</v>
      </c>
      <c r="U482" s="861">
        <f t="shared" si="100"/>
        <v>0</v>
      </c>
      <c r="V482" s="136" t="e">
        <f ca="1">IF(OR(D482&lt;&gt;"USD",L482="無",M482&lt;&gt;"",K482="高資產",IFERROR(MATCH(B482,換券投組!K:K,0),"N")&lt;&gt;"N",IFERROR(MATCH(B482,換券投組!J:J,0),"N")&lt;&gt;"N"),FALSE,IF($V$1="All",TRUE,IF(K482=$V$1,TRUE,FALSE)))</f>
        <v>#N/A</v>
      </c>
      <c r="W482" s="136" t="e">
        <f ca="1">VLOOKUP(A482,'銀行-TSS'!A:AO,41,FALSE)</f>
        <v>#N/A</v>
      </c>
      <c r="X482" s="136" t="e">
        <f ca="1">VLOOKUP(A482,'銀行-TSS'!A:AP,42,FALSE)</f>
        <v>#N/A</v>
      </c>
      <c r="Y482" s="1223">
        <f t="shared" si="98"/>
        <v>0</v>
      </c>
      <c r="Z482" s="1211">
        <f t="shared" si="101"/>
        <v>0</v>
      </c>
      <c r="AA482" s="136">
        <f>IF(Z482&lt;=0,0,RANK(Z482,Z:Z)+COUNTIF($Z$3:$Z482,Z482)-1)</f>
        <v>0</v>
      </c>
      <c r="AB482" s="1211">
        <f t="shared" ca="1" si="102"/>
        <v>0</v>
      </c>
      <c r="AC482" s="136">
        <f ca="1">IF(AB482&lt;=0,0,RANK(AB482,AB:AB)+COUNTIF($AB$3:$AB482,AB482)-1)</f>
        <v>0</v>
      </c>
      <c r="AD482" s="136">
        <f t="shared" si="103"/>
        <v>99999</v>
      </c>
      <c r="AE482" s="136">
        <f>IF(AD482=99999,0,RANK(AD482,AD:AD,1)+COUNTIF($AD$3:$AD482,AD482)-1)</f>
        <v>0</v>
      </c>
    </row>
    <row r="483" spans="1:31">
      <c r="A483" s="141">
        <f>'銀行-TSS'!A483</f>
        <v>0</v>
      </c>
      <c r="B483" s="151">
        <f ca="1">VLOOKUP(A483,'銀行-TSS'!A:B,2,FALSE)</f>
        <v>0</v>
      </c>
      <c r="C483" s="151" t="e">
        <f ca="1">VLOOKUP(B483,bond!B:C,2,FALSE)</f>
        <v>#N/A</v>
      </c>
      <c r="D483" s="95" t="e">
        <f>VLOOKUP(A483,'銀行-TSS'!A:C,3,FALSE)</f>
        <v>#N/A</v>
      </c>
      <c r="E483" s="90" t="e">
        <f ca="1">VLOOKUP(A483,'銀行-TSS'!A:G,7,FALSE)</f>
        <v>#N/A</v>
      </c>
      <c r="F483" s="202" t="e">
        <f ca="1">VLOOKUP(A483,'銀行-TSS'!A:H,8,FALSE)</f>
        <v>#N/A</v>
      </c>
      <c r="G483" s="96" t="e">
        <f ca="1">VLOOKUP(A483,'銀行-TSS'!A:K,11,FALSE)</f>
        <v>#N/A</v>
      </c>
      <c r="H483" s="1209" t="e">
        <f ca="1">VLOOKUP(A483,'銀行-TSS'!A:M,13,FALSE)</f>
        <v>#N/A</v>
      </c>
      <c r="I483" s="1213" t="e">
        <f ca="1">VLOOKUP(A483,'銀行-TSS'!A:N,14,FALSE)</f>
        <v>#N/A</v>
      </c>
      <c r="J483" s="1213" t="e">
        <f ca="1">VLOOKUP(A483,'銀行-TSS'!A:O,15,FALSE)</f>
        <v>#N/A</v>
      </c>
      <c r="K483" s="136" t="e">
        <f ca="1">VLOOKUP(A483,'銀行-TSS'!A:V,22,FALSE)</f>
        <v>#N/A</v>
      </c>
      <c r="L483" s="136" t="e">
        <f ca="1">VLOOKUP(A483,'銀行-TSS'!A:AK,37,FALSE)</f>
        <v>#N/A</v>
      </c>
      <c r="M483" s="136" t="str">
        <f ca="1">VLOOKUP(A483,'銀行-TSS'!A:AN,40,FALSE)</f>
        <v/>
      </c>
      <c r="N483" s="1211" t="e">
        <f t="shared" ca="1" si="93"/>
        <v>#N/A</v>
      </c>
      <c r="O483" s="1211" t="e">
        <f t="shared" ca="1" si="94"/>
        <v>#N/A</v>
      </c>
      <c r="P483" s="1213" t="e">
        <f ca="1">IF(AND(換券投組!$D$17&gt;=O483,換券投組!$D$13=D483),I483+INT((換券投組!$D$17-O483)/N483)*J483,0)</f>
        <v>#N/A</v>
      </c>
      <c r="Q483" s="1211" t="e">
        <f t="shared" ca="1" si="95"/>
        <v>#N/A</v>
      </c>
      <c r="R483" s="1213">
        <f t="shared" si="96"/>
        <v>0</v>
      </c>
      <c r="S483" s="1213">
        <f t="shared" si="97"/>
        <v>0</v>
      </c>
      <c r="T483" s="136">
        <f t="shared" si="99"/>
        <v>0</v>
      </c>
      <c r="U483" s="861">
        <f t="shared" si="100"/>
        <v>0</v>
      </c>
      <c r="V483" s="136" t="e">
        <f ca="1">IF(OR(D483&lt;&gt;"USD",L483="無",M483&lt;&gt;"",K483="高資產",IFERROR(MATCH(B483,換券投組!K:K,0),"N")&lt;&gt;"N",IFERROR(MATCH(B483,換券投組!J:J,0),"N")&lt;&gt;"N"),FALSE,IF($V$1="All",TRUE,IF(K483=$V$1,TRUE,FALSE)))</f>
        <v>#N/A</v>
      </c>
      <c r="W483" s="136" t="e">
        <f ca="1">VLOOKUP(A483,'銀行-TSS'!A:AO,41,FALSE)</f>
        <v>#N/A</v>
      </c>
      <c r="X483" s="136" t="e">
        <f ca="1">VLOOKUP(A483,'銀行-TSS'!A:AP,42,FALSE)</f>
        <v>#N/A</v>
      </c>
      <c r="Y483" s="1223">
        <f t="shared" si="98"/>
        <v>0</v>
      </c>
      <c r="Z483" s="1211">
        <f t="shared" si="101"/>
        <v>0</v>
      </c>
      <c r="AA483" s="136">
        <f>IF(Z483&lt;=0,0,RANK(Z483,Z:Z)+COUNTIF($Z$3:$Z483,Z483)-1)</f>
        <v>0</v>
      </c>
      <c r="AB483" s="1211">
        <f t="shared" ca="1" si="102"/>
        <v>0</v>
      </c>
      <c r="AC483" s="136">
        <f ca="1">IF(AB483&lt;=0,0,RANK(AB483,AB:AB)+COUNTIF($AB$3:$AB483,AB483)-1)</f>
        <v>0</v>
      </c>
      <c r="AD483" s="136">
        <f t="shared" si="103"/>
        <v>99999</v>
      </c>
      <c r="AE483" s="136">
        <f>IF(AD483=99999,0,RANK(AD483,AD:AD,1)+COUNTIF($AD$3:$AD483,AD483)-1)</f>
        <v>0</v>
      </c>
    </row>
    <row r="484" spans="1:31">
      <c r="A484" s="141">
        <f>'銀行-TSS'!A484</f>
        <v>0</v>
      </c>
      <c r="B484" s="151">
        <f ca="1">VLOOKUP(A484,'銀行-TSS'!A:B,2,FALSE)</f>
        <v>0</v>
      </c>
      <c r="C484" s="151" t="e">
        <f ca="1">VLOOKUP(B484,bond!B:C,2,FALSE)</f>
        <v>#N/A</v>
      </c>
      <c r="D484" s="95" t="e">
        <f>VLOOKUP(A484,'銀行-TSS'!A:C,3,FALSE)</f>
        <v>#N/A</v>
      </c>
      <c r="E484" s="90" t="e">
        <f ca="1">VLOOKUP(A484,'銀行-TSS'!A:G,7,FALSE)</f>
        <v>#N/A</v>
      </c>
      <c r="F484" s="202" t="e">
        <f ca="1">VLOOKUP(A484,'銀行-TSS'!A:H,8,FALSE)</f>
        <v>#N/A</v>
      </c>
      <c r="G484" s="96" t="e">
        <f ca="1">VLOOKUP(A484,'銀行-TSS'!A:K,11,FALSE)</f>
        <v>#N/A</v>
      </c>
      <c r="H484" s="1209" t="e">
        <f ca="1">VLOOKUP(A484,'銀行-TSS'!A:M,13,FALSE)</f>
        <v>#N/A</v>
      </c>
      <c r="I484" s="1213" t="e">
        <f ca="1">VLOOKUP(A484,'銀行-TSS'!A:N,14,FALSE)</f>
        <v>#N/A</v>
      </c>
      <c r="J484" s="1213" t="e">
        <f ca="1">VLOOKUP(A484,'銀行-TSS'!A:O,15,FALSE)</f>
        <v>#N/A</v>
      </c>
      <c r="K484" s="136" t="e">
        <f ca="1">VLOOKUP(A484,'銀行-TSS'!A:V,22,FALSE)</f>
        <v>#N/A</v>
      </c>
      <c r="L484" s="136" t="e">
        <f ca="1">VLOOKUP(A484,'銀行-TSS'!A:AK,37,FALSE)</f>
        <v>#N/A</v>
      </c>
      <c r="M484" s="136" t="str">
        <f ca="1">VLOOKUP(A484,'銀行-TSS'!A:AN,40,FALSE)</f>
        <v/>
      </c>
      <c r="N484" s="1211" t="e">
        <f t="shared" ca="1" si="93"/>
        <v>#N/A</v>
      </c>
      <c r="O484" s="1211" t="e">
        <f t="shared" ca="1" si="94"/>
        <v>#N/A</v>
      </c>
      <c r="P484" s="1213" t="e">
        <f ca="1">IF(AND(換券投組!$D$17&gt;=O484,換券投組!$D$13=D484),I484+INT((換券投組!$D$17-O484)/N484)*J484,0)</f>
        <v>#N/A</v>
      </c>
      <c r="Q484" s="1211" t="e">
        <f t="shared" ca="1" si="95"/>
        <v>#N/A</v>
      </c>
      <c r="R484" s="1213">
        <f t="shared" si="96"/>
        <v>0</v>
      </c>
      <c r="S484" s="1213">
        <f t="shared" si="97"/>
        <v>0</v>
      </c>
      <c r="T484" s="136">
        <f t="shared" si="99"/>
        <v>0</v>
      </c>
      <c r="U484" s="861">
        <f t="shared" si="100"/>
        <v>0</v>
      </c>
      <c r="V484" s="136" t="e">
        <f ca="1">IF(OR(D484&lt;&gt;"USD",L484="無",M484&lt;&gt;"",K484="高資產",IFERROR(MATCH(B484,換券投組!K:K,0),"N")&lt;&gt;"N",IFERROR(MATCH(B484,換券投組!J:J,0),"N")&lt;&gt;"N"),FALSE,IF($V$1="All",TRUE,IF(K484=$V$1,TRUE,FALSE)))</f>
        <v>#N/A</v>
      </c>
      <c r="W484" s="136" t="e">
        <f ca="1">VLOOKUP(A484,'銀行-TSS'!A:AO,41,FALSE)</f>
        <v>#N/A</v>
      </c>
      <c r="X484" s="136" t="e">
        <f ca="1">VLOOKUP(A484,'銀行-TSS'!A:AP,42,FALSE)</f>
        <v>#N/A</v>
      </c>
      <c r="Y484" s="1223">
        <f t="shared" si="98"/>
        <v>0</v>
      </c>
      <c r="Z484" s="1211">
        <f t="shared" si="101"/>
        <v>0</v>
      </c>
      <c r="AA484" s="136">
        <f>IF(Z484&lt;=0,0,RANK(Z484,Z:Z)+COUNTIF($Z$3:$Z484,Z484)-1)</f>
        <v>0</v>
      </c>
      <c r="AB484" s="1211">
        <f t="shared" ca="1" si="102"/>
        <v>0</v>
      </c>
      <c r="AC484" s="136">
        <f ca="1">IF(AB484&lt;=0,0,RANK(AB484,AB:AB)+COUNTIF($AB$3:$AB484,AB484)-1)</f>
        <v>0</v>
      </c>
      <c r="AD484" s="136">
        <f t="shared" si="103"/>
        <v>99999</v>
      </c>
      <c r="AE484" s="136">
        <f>IF(AD484=99999,0,RANK(AD484,AD:AD,1)+COUNTIF($AD$3:$AD484,AD484)-1)</f>
        <v>0</v>
      </c>
    </row>
    <row r="485" spans="1:31">
      <c r="A485" s="141">
        <f>'銀行-TSS'!A485</f>
        <v>0</v>
      </c>
      <c r="B485" s="151">
        <f ca="1">VLOOKUP(A485,'銀行-TSS'!A:B,2,FALSE)</f>
        <v>0</v>
      </c>
      <c r="C485" s="151" t="e">
        <f ca="1">VLOOKUP(B485,bond!B:C,2,FALSE)</f>
        <v>#N/A</v>
      </c>
      <c r="D485" s="95" t="e">
        <f>VLOOKUP(A485,'銀行-TSS'!A:C,3,FALSE)</f>
        <v>#N/A</v>
      </c>
      <c r="E485" s="90" t="e">
        <f ca="1">VLOOKUP(A485,'銀行-TSS'!A:G,7,FALSE)</f>
        <v>#N/A</v>
      </c>
      <c r="F485" s="202" t="e">
        <f ca="1">VLOOKUP(A485,'銀行-TSS'!A:H,8,FALSE)</f>
        <v>#N/A</v>
      </c>
      <c r="G485" s="96" t="e">
        <f ca="1">VLOOKUP(A485,'銀行-TSS'!A:K,11,FALSE)</f>
        <v>#N/A</v>
      </c>
      <c r="H485" s="1209" t="e">
        <f ca="1">VLOOKUP(A485,'銀行-TSS'!A:M,13,FALSE)</f>
        <v>#N/A</v>
      </c>
      <c r="I485" s="1213" t="e">
        <f ca="1">VLOOKUP(A485,'銀行-TSS'!A:N,14,FALSE)</f>
        <v>#N/A</v>
      </c>
      <c r="J485" s="1213" t="e">
        <f ca="1">VLOOKUP(A485,'銀行-TSS'!A:O,15,FALSE)</f>
        <v>#N/A</v>
      </c>
      <c r="K485" s="136" t="e">
        <f ca="1">VLOOKUP(A485,'銀行-TSS'!A:V,22,FALSE)</f>
        <v>#N/A</v>
      </c>
      <c r="L485" s="136" t="e">
        <f ca="1">VLOOKUP(A485,'銀行-TSS'!A:AK,37,FALSE)</f>
        <v>#N/A</v>
      </c>
      <c r="M485" s="136" t="str">
        <f ca="1">VLOOKUP(A485,'銀行-TSS'!A:AN,40,FALSE)</f>
        <v/>
      </c>
      <c r="N485" s="1211" t="e">
        <f t="shared" ca="1" si="93"/>
        <v>#N/A</v>
      </c>
      <c r="O485" s="1211" t="e">
        <f t="shared" ca="1" si="94"/>
        <v>#N/A</v>
      </c>
      <c r="P485" s="1213" t="e">
        <f ca="1">IF(AND(換券投組!$D$17&gt;=O485,換券投組!$D$13=D485),I485+INT((換券投組!$D$17-O485)/N485)*J485,0)</f>
        <v>#N/A</v>
      </c>
      <c r="Q485" s="1211" t="e">
        <f t="shared" ca="1" si="95"/>
        <v>#N/A</v>
      </c>
      <c r="R485" s="1213">
        <f t="shared" si="96"/>
        <v>0</v>
      </c>
      <c r="S485" s="1213">
        <f t="shared" si="97"/>
        <v>0</v>
      </c>
      <c r="T485" s="136">
        <f t="shared" si="99"/>
        <v>0</v>
      </c>
      <c r="U485" s="861">
        <f t="shared" si="100"/>
        <v>0</v>
      </c>
      <c r="V485" s="136" t="e">
        <f ca="1">IF(OR(D485&lt;&gt;"USD",L485="無",M485&lt;&gt;"",K485="高資產",IFERROR(MATCH(B485,換券投組!K:K,0),"N")&lt;&gt;"N",IFERROR(MATCH(B485,換券投組!J:J,0),"N")&lt;&gt;"N"),FALSE,IF($V$1="All",TRUE,IF(K485=$V$1,TRUE,FALSE)))</f>
        <v>#N/A</v>
      </c>
      <c r="W485" s="136" t="e">
        <f ca="1">VLOOKUP(A485,'銀行-TSS'!A:AO,41,FALSE)</f>
        <v>#N/A</v>
      </c>
      <c r="X485" s="136" t="e">
        <f ca="1">VLOOKUP(A485,'銀行-TSS'!A:AP,42,FALSE)</f>
        <v>#N/A</v>
      </c>
      <c r="Y485" s="1223">
        <f t="shared" si="98"/>
        <v>0</v>
      </c>
      <c r="Z485" s="1211">
        <f t="shared" si="101"/>
        <v>0</v>
      </c>
      <c r="AA485" s="136">
        <f>IF(Z485&lt;=0,0,RANK(Z485,Z:Z)+COUNTIF($Z$3:$Z485,Z485)-1)</f>
        <v>0</v>
      </c>
      <c r="AB485" s="1211">
        <f t="shared" ca="1" si="102"/>
        <v>0</v>
      </c>
      <c r="AC485" s="136">
        <f ca="1">IF(AB485&lt;=0,0,RANK(AB485,AB:AB)+COUNTIF($AB$3:$AB485,AB485)-1)</f>
        <v>0</v>
      </c>
      <c r="AD485" s="136">
        <f t="shared" si="103"/>
        <v>99999</v>
      </c>
      <c r="AE485" s="136">
        <f>IF(AD485=99999,0,RANK(AD485,AD:AD,1)+COUNTIF($AD$3:$AD485,AD485)-1)</f>
        <v>0</v>
      </c>
    </row>
    <row r="486" spans="1:31">
      <c r="A486" s="141">
        <f>'銀行-TSS'!A486</f>
        <v>0</v>
      </c>
      <c r="B486" s="151">
        <f ca="1">VLOOKUP(A486,'銀行-TSS'!A:B,2,FALSE)</f>
        <v>0</v>
      </c>
      <c r="C486" s="151" t="e">
        <f ca="1">VLOOKUP(B486,bond!B:C,2,FALSE)</f>
        <v>#N/A</v>
      </c>
      <c r="D486" s="95" t="e">
        <f>VLOOKUP(A486,'銀行-TSS'!A:C,3,FALSE)</f>
        <v>#N/A</v>
      </c>
      <c r="E486" s="90" t="e">
        <f ca="1">VLOOKUP(A486,'銀行-TSS'!A:G,7,FALSE)</f>
        <v>#N/A</v>
      </c>
      <c r="F486" s="202" t="e">
        <f ca="1">VLOOKUP(A486,'銀行-TSS'!A:H,8,FALSE)</f>
        <v>#N/A</v>
      </c>
      <c r="G486" s="96" t="e">
        <f ca="1">VLOOKUP(A486,'銀行-TSS'!A:K,11,FALSE)</f>
        <v>#N/A</v>
      </c>
      <c r="H486" s="1209" t="e">
        <f ca="1">VLOOKUP(A486,'銀行-TSS'!A:M,13,FALSE)</f>
        <v>#N/A</v>
      </c>
      <c r="I486" s="1213" t="e">
        <f ca="1">VLOOKUP(A486,'銀行-TSS'!A:N,14,FALSE)</f>
        <v>#N/A</v>
      </c>
      <c r="J486" s="1213" t="e">
        <f ca="1">VLOOKUP(A486,'銀行-TSS'!A:O,15,FALSE)</f>
        <v>#N/A</v>
      </c>
      <c r="K486" s="136" t="e">
        <f ca="1">VLOOKUP(A486,'銀行-TSS'!A:V,22,FALSE)</f>
        <v>#N/A</v>
      </c>
      <c r="L486" s="136" t="e">
        <f ca="1">VLOOKUP(A486,'銀行-TSS'!A:AK,37,FALSE)</f>
        <v>#N/A</v>
      </c>
      <c r="M486" s="136" t="str">
        <f ca="1">VLOOKUP(A486,'銀行-TSS'!A:AN,40,FALSE)</f>
        <v/>
      </c>
      <c r="N486" s="1211" t="e">
        <f t="shared" ca="1" si="93"/>
        <v>#N/A</v>
      </c>
      <c r="O486" s="1211" t="e">
        <f t="shared" ca="1" si="94"/>
        <v>#N/A</v>
      </c>
      <c r="P486" s="1213" t="e">
        <f ca="1">IF(AND(換券投組!$D$17&gt;=O486,換券投組!$D$13=D486),I486+INT((換券投組!$D$17-O486)/N486)*J486,0)</f>
        <v>#N/A</v>
      </c>
      <c r="Q486" s="1211" t="e">
        <f t="shared" ca="1" si="95"/>
        <v>#N/A</v>
      </c>
      <c r="R486" s="1213">
        <f t="shared" si="96"/>
        <v>0</v>
      </c>
      <c r="S486" s="1213">
        <f t="shared" si="97"/>
        <v>0</v>
      </c>
      <c r="T486" s="136">
        <f t="shared" si="99"/>
        <v>0</v>
      </c>
      <c r="U486" s="861">
        <f t="shared" si="100"/>
        <v>0</v>
      </c>
      <c r="V486" s="136" t="e">
        <f ca="1">IF(OR(D486&lt;&gt;"USD",L486="無",M486&lt;&gt;"",K486="高資產",IFERROR(MATCH(B486,換券投組!K:K,0),"N")&lt;&gt;"N",IFERROR(MATCH(B486,換券投組!J:J,0),"N")&lt;&gt;"N"),FALSE,IF($V$1="All",TRUE,IF(K486=$V$1,TRUE,FALSE)))</f>
        <v>#N/A</v>
      </c>
      <c r="W486" s="136" t="e">
        <f ca="1">VLOOKUP(A486,'銀行-TSS'!A:AO,41,FALSE)</f>
        <v>#N/A</v>
      </c>
      <c r="X486" s="136" t="e">
        <f ca="1">VLOOKUP(A486,'銀行-TSS'!A:AP,42,FALSE)</f>
        <v>#N/A</v>
      </c>
      <c r="Y486" s="1223">
        <f t="shared" si="98"/>
        <v>0</v>
      </c>
      <c r="Z486" s="1211">
        <f t="shared" si="101"/>
        <v>0</v>
      </c>
      <c r="AA486" s="136">
        <f>IF(Z486&lt;=0,0,RANK(Z486,Z:Z)+COUNTIF($Z$3:$Z486,Z486)-1)</f>
        <v>0</v>
      </c>
      <c r="AB486" s="1211">
        <f t="shared" ca="1" si="102"/>
        <v>0</v>
      </c>
      <c r="AC486" s="136">
        <f ca="1">IF(AB486&lt;=0,0,RANK(AB486,AB:AB)+COUNTIF($AB$3:$AB486,AB486)-1)</f>
        <v>0</v>
      </c>
      <c r="AD486" s="136">
        <f t="shared" si="103"/>
        <v>99999</v>
      </c>
      <c r="AE486" s="136">
        <f>IF(AD486=99999,0,RANK(AD486,AD:AD,1)+COUNTIF($AD$3:$AD486,AD486)-1)</f>
        <v>0</v>
      </c>
    </row>
    <row r="487" spans="1:31">
      <c r="A487" s="141">
        <f>'銀行-TSS'!A487</f>
        <v>0</v>
      </c>
      <c r="B487" s="151">
        <f ca="1">VLOOKUP(A487,'銀行-TSS'!A:B,2,FALSE)</f>
        <v>0</v>
      </c>
      <c r="C487" s="151" t="e">
        <f ca="1">VLOOKUP(B487,bond!B:C,2,FALSE)</f>
        <v>#N/A</v>
      </c>
      <c r="D487" s="95" t="e">
        <f>VLOOKUP(A487,'銀行-TSS'!A:C,3,FALSE)</f>
        <v>#N/A</v>
      </c>
      <c r="E487" s="90" t="e">
        <f ca="1">VLOOKUP(A487,'銀行-TSS'!A:G,7,FALSE)</f>
        <v>#N/A</v>
      </c>
      <c r="F487" s="202" t="e">
        <f ca="1">VLOOKUP(A487,'銀行-TSS'!A:H,8,FALSE)</f>
        <v>#N/A</v>
      </c>
      <c r="G487" s="96" t="e">
        <f ca="1">VLOOKUP(A487,'銀行-TSS'!A:K,11,FALSE)</f>
        <v>#N/A</v>
      </c>
      <c r="H487" s="1209" t="e">
        <f ca="1">VLOOKUP(A487,'銀行-TSS'!A:M,13,FALSE)</f>
        <v>#N/A</v>
      </c>
      <c r="I487" s="1213" t="e">
        <f ca="1">VLOOKUP(A487,'銀行-TSS'!A:N,14,FALSE)</f>
        <v>#N/A</v>
      </c>
      <c r="J487" s="1213" t="e">
        <f ca="1">VLOOKUP(A487,'銀行-TSS'!A:O,15,FALSE)</f>
        <v>#N/A</v>
      </c>
      <c r="K487" s="136" t="e">
        <f ca="1">VLOOKUP(A487,'銀行-TSS'!A:V,22,FALSE)</f>
        <v>#N/A</v>
      </c>
      <c r="L487" s="136" t="e">
        <f ca="1">VLOOKUP(A487,'銀行-TSS'!A:AK,37,FALSE)</f>
        <v>#N/A</v>
      </c>
      <c r="M487" s="136" t="str">
        <f ca="1">VLOOKUP(A487,'銀行-TSS'!A:AN,40,FALSE)</f>
        <v/>
      </c>
      <c r="N487" s="1211" t="e">
        <f t="shared" ca="1" si="93"/>
        <v>#N/A</v>
      </c>
      <c r="O487" s="1211" t="e">
        <f t="shared" ca="1" si="94"/>
        <v>#N/A</v>
      </c>
      <c r="P487" s="1213" t="e">
        <f ca="1">IF(AND(換券投組!$D$17&gt;=O487,換券投組!$D$13=D487),I487+INT((換券投組!$D$17-O487)/N487)*J487,0)</f>
        <v>#N/A</v>
      </c>
      <c r="Q487" s="1211" t="e">
        <f t="shared" ca="1" si="95"/>
        <v>#N/A</v>
      </c>
      <c r="R487" s="1213">
        <f t="shared" si="96"/>
        <v>0</v>
      </c>
      <c r="S487" s="1213">
        <f t="shared" si="97"/>
        <v>0</v>
      </c>
      <c r="T487" s="136">
        <f t="shared" si="99"/>
        <v>0</v>
      </c>
      <c r="U487" s="861">
        <f t="shared" si="100"/>
        <v>0</v>
      </c>
      <c r="V487" s="136" t="e">
        <f ca="1">IF(OR(D487&lt;&gt;"USD",L487="無",M487&lt;&gt;"",K487="高資產",IFERROR(MATCH(B487,換券投組!K:K,0),"N")&lt;&gt;"N",IFERROR(MATCH(B487,換券投組!J:J,0),"N")&lt;&gt;"N"),FALSE,IF($V$1="All",TRUE,IF(K487=$V$1,TRUE,FALSE)))</f>
        <v>#N/A</v>
      </c>
      <c r="W487" s="136" t="e">
        <f ca="1">VLOOKUP(A487,'銀行-TSS'!A:AO,41,FALSE)</f>
        <v>#N/A</v>
      </c>
      <c r="X487" s="136" t="e">
        <f ca="1">VLOOKUP(A487,'銀行-TSS'!A:AP,42,FALSE)</f>
        <v>#N/A</v>
      </c>
      <c r="Y487" s="1223">
        <f t="shared" si="98"/>
        <v>0</v>
      </c>
      <c r="Z487" s="1211">
        <f t="shared" si="101"/>
        <v>0</v>
      </c>
      <c r="AA487" s="136">
        <f>IF(Z487&lt;=0,0,RANK(Z487,Z:Z)+COUNTIF($Z$3:$Z487,Z487)-1)</f>
        <v>0</v>
      </c>
      <c r="AB487" s="1211">
        <f t="shared" ca="1" si="102"/>
        <v>0</v>
      </c>
      <c r="AC487" s="136">
        <f ca="1">IF(AB487&lt;=0,0,RANK(AB487,AB:AB)+COUNTIF($AB$3:$AB487,AB487)-1)</f>
        <v>0</v>
      </c>
      <c r="AD487" s="136">
        <f t="shared" si="103"/>
        <v>99999</v>
      </c>
      <c r="AE487" s="136">
        <f>IF(AD487=99999,0,RANK(AD487,AD:AD,1)+COUNTIF($AD$3:$AD487,AD487)-1)</f>
        <v>0</v>
      </c>
    </row>
    <row r="488" spans="1:31">
      <c r="A488" s="141">
        <f>'銀行-TSS'!A488</f>
        <v>0</v>
      </c>
      <c r="B488" s="151">
        <f ca="1">VLOOKUP(A488,'銀行-TSS'!A:B,2,FALSE)</f>
        <v>0</v>
      </c>
      <c r="C488" s="151" t="e">
        <f ca="1">VLOOKUP(B488,bond!B:C,2,FALSE)</f>
        <v>#N/A</v>
      </c>
      <c r="D488" s="95" t="e">
        <f>VLOOKUP(A488,'銀行-TSS'!A:C,3,FALSE)</f>
        <v>#N/A</v>
      </c>
      <c r="E488" s="90" t="e">
        <f ca="1">VLOOKUP(A488,'銀行-TSS'!A:G,7,FALSE)</f>
        <v>#N/A</v>
      </c>
      <c r="F488" s="202" t="e">
        <f ca="1">VLOOKUP(A488,'銀行-TSS'!A:H,8,FALSE)</f>
        <v>#N/A</v>
      </c>
      <c r="G488" s="96" t="e">
        <f ca="1">VLOOKUP(A488,'銀行-TSS'!A:K,11,FALSE)</f>
        <v>#N/A</v>
      </c>
      <c r="H488" s="1209" t="e">
        <f ca="1">VLOOKUP(A488,'銀行-TSS'!A:M,13,FALSE)</f>
        <v>#N/A</v>
      </c>
      <c r="I488" s="1213" t="e">
        <f ca="1">VLOOKUP(A488,'銀行-TSS'!A:N,14,FALSE)</f>
        <v>#N/A</v>
      </c>
      <c r="J488" s="1213" t="e">
        <f ca="1">VLOOKUP(A488,'銀行-TSS'!A:O,15,FALSE)</f>
        <v>#N/A</v>
      </c>
      <c r="K488" s="136" t="e">
        <f ca="1">VLOOKUP(A488,'銀行-TSS'!A:V,22,FALSE)</f>
        <v>#N/A</v>
      </c>
      <c r="L488" s="136" t="e">
        <f ca="1">VLOOKUP(A488,'銀行-TSS'!A:AK,37,FALSE)</f>
        <v>#N/A</v>
      </c>
      <c r="M488" s="136" t="str">
        <f ca="1">VLOOKUP(A488,'銀行-TSS'!A:AN,40,FALSE)</f>
        <v/>
      </c>
      <c r="N488" s="1211" t="e">
        <f t="shared" ca="1" si="93"/>
        <v>#N/A</v>
      </c>
      <c r="O488" s="1211" t="e">
        <f t="shared" ca="1" si="94"/>
        <v>#N/A</v>
      </c>
      <c r="P488" s="1213" t="e">
        <f ca="1">IF(AND(換券投組!$D$17&gt;=O488,換券投組!$D$13=D488),I488+INT((換券投組!$D$17-O488)/N488)*J488,0)</f>
        <v>#N/A</v>
      </c>
      <c r="Q488" s="1211" t="e">
        <f t="shared" ca="1" si="95"/>
        <v>#N/A</v>
      </c>
      <c r="R488" s="1213">
        <f t="shared" si="96"/>
        <v>0</v>
      </c>
      <c r="S488" s="1213">
        <f t="shared" si="97"/>
        <v>0</v>
      </c>
      <c r="T488" s="136">
        <f t="shared" si="99"/>
        <v>0</v>
      </c>
      <c r="U488" s="861">
        <f t="shared" si="100"/>
        <v>0</v>
      </c>
      <c r="V488" s="136" t="e">
        <f ca="1">IF(OR(D488&lt;&gt;"USD",L488="無",M488&lt;&gt;"",K488="高資產",IFERROR(MATCH(B488,換券投組!K:K,0),"N")&lt;&gt;"N",IFERROR(MATCH(B488,換券投組!J:J,0),"N")&lt;&gt;"N"),FALSE,IF($V$1="All",TRUE,IF(K488=$V$1,TRUE,FALSE)))</f>
        <v>#N/A</v>
      </c>
      <c r="W488" s="136" t="e">
        <f ca="1">VLOOKUP(A488,'銀行-TSS'!A:AO,41,FALSE)</f>
        <v>#N/A</v>
      </c>
      <c r="X488" s="136" t="e">
        <f ca="1">VLOOKUP(A488,'銀行-TSS'!A:AP,42,FALSE)</f>
        <v>#N/A</v>
      </c>
      <c r="Y488" s="1223">
        <f t="shared" si="98"/>
        <v>0</v>
      </c>
      <c r="Z488" s="1211">
        <f t="shared" si="101"/>
        <v>0</v>
      </c>
      <c r="AA488" s="136">
        <f>IF(Z488&lt;=0,0,RANK(Z488,Z:Z)+COUNTIF($Z$3:$Z488,Z488)-1)</f>
        <v>0</v>
      </c>
      <c r="AB488" s="1211">
        <f t="shared" ca="1" si="102"/>
        <v>0</v>
      </c>
      <c r="AC488" s="136">
        <f ca="1">IF(AB488&lt;=0,0,RANK(AB488,AB:AB)+COUNTIF($AB$3:$AB488,AB488)-1)</f>
        <v>0</v>
      </c>
      <c r="AD488" s="136">
        <f t="shared" si="103"/>
        <v>99999</v>
      </c>
      <c r="AE488" s="136">
        <f>IF(AD488=99999,0,RANK(AD488,AD:AD,1)+COUNTIF($AD$3:$AD488,AD488)-1)</f>
        <v>0</v>
      </c>
    </row>
    <row r="489" spans="1:31">
      <c r="A489" s="141">
        <f>'銀行-TSS'!A489</f>
        <v>0</v>
      </c>
      <c r="B489" s="151">
        <f ca="1">VLOOKUP(A489,'銀行-TSS'!A:B,2,FALSE)</f>
        <v>0</v>
      </c>
      <c r="C489" s="151" t="e">
        <f ca="1">VLOOKUP(B489,bond!B:C,2,FALSE)</f>
        <v>#N/A</v>
      </c>
      <c r="D489" s="95" t="e">
        <f>VLOOKUP(A489,'銀行-TSS'!A:C,3,FALSE)</f>
        <v>#N/A</v>
      </c>
      <c r="E489" s="90" t="e">
        <f ca="1">VLOOKUP(A489,'銀行-TSS'!A:G,7,FALSE)</f>
        <v>#N/A</v>
      </c>
      <c r="F489" s="202" t="e">
        <f ca="1">VLOOKUP(A489,'銀行-TSS'!A:H,8,FALSE)</f>
        <v>#N/A</v>
      </c>
      <c r="G489" s="96" t="e">
        <f ca="1">VLOOKUP(A489,'銀行-TSS'!A:K,11,FALSE)</f>
        <v>#N/A</v>
      </c>
      <c r="H489" s="1209" t="e">
        <f ca="1">VLOOKUP(A489,'銀行-TSS'!A:M,13,FALSE)</f>
        <v>#N/A</v>
      </c>
      <c r="I489" s="1213" t="e">
        <f ca="1">VLOOKUP(A489,'銀行-TSS'!A:N,14,FALSE)</f>
        <v>#N/A</v>
      </c>
      <c r="J489" s="1213" t="e">
        <f ca="1">VLOOKUP(A489,'銀行-TSS'!A:O,15,FALSE)</f>
        <v>#N/A</v>
      </c>
      <c r="K489" s="136" t="e">
        <f ca="1">VLOOKUP(A489,'銀行-TSS'!A:V,22,FALSE)</f>
        <v>#N/A</v>
      </c>
      <c r="L489" s="136" t="e">
        <f ca="1">VLOOKUP(A489,'銀行-TSS'!A:AK,37,FALSE)</f>
        <v>#N/A</v>
      </c>
      <c r="M489" s="136" t="str">
        <f ca="1">VLOOKUP(A489,'銀行-TSS'!A:AN,40,FALSE)</f>
        <v/>
      </c>
      <c r="N489" s="1211" t="e">
        <f t="shared" ca="1" si="93"/>
        <v>#N/A</v>
      </c>
      <c r="O489" s="1211" t="e">
        <f t="shared" ca="1" si="94"/>
        <v>#N/A</v>
      </c>
      <c r="P489" s="1213" t="e">
        <f ca="1">IF(AND(換券投組!$D$17&gt;=O489,換券投組!$D$13=D489),I489+INT((換券投組!$D$17-O489)/N489)*J489,0)</f>
        <v>#N/A</v>
      </c>
      <c r="Q489" s="1211" t="e">
        <f t="shared" ca="1" si="95"/>
        <v>#N/A</v>
      </c>
      <c r="R489" s="1213">
        <f t="shared" si="96"/>
        <v>0</v>
      </c>
      <c r="S489" s="1213">
        <f t="shared" si="97"/>
        <v>0</v>
      </c>
      <c r="T489" s="136">
        <f t="shared" si="99"/>
        <v>0</v>
      </c>
      <c r="U489" s="861">
        <f t="shared" si="100"/>
        <v>0</v>
      </c>
      <c r="V489" s="136" t="e">
        <f ca="1">IF(OR(D489&lt;&gt;"USD",L489="無",M489&lt;&gt;"",K489="高資產",IFERROR(MATCH(B489,換券投組!K:K,0),"N")&lt;&gt;"N",IFERROR(MATCH(B489,換券投組!J:J,0),"N")&lt;&gt;"N"),FALSE,IF($V$1="All",TRUE,IF(K489=$V$1,TRUE,FALSE)))</f>
        <v>#N/A</v>
      </c>
      <c r="W489" s="136" t="e">
        <f ca="1">VLOOKUP(A489,'銀行-TSS'!A:AO,41,FALSE)</f>
        <v>#N/A</v>
      </c>
      <c r="X489" s="136" t="e">
        <f ca="1">VLOOKUP(A489,'銀行-TSS'!A:AP,42,FALSE)</f>
        <v>#N/A</v>
      </c>
      <c r="Y489" s="1223">
        <f t="shared" si="98"/>
        <v>0</v>
      </c>
      <c r="Z489" s="1211">
        <f t="shared" si="101"/>
        <v>0</v>
      </c>
      <c r="AA489" s="136">
        <f>IF(Z489&lt;=0,0,RANK(Z489,Z:Z)+COUNTIF($Z$3:$Z489,Z489)-1)</f>
        <v>0</v>
      </c>
      <c r="AB489" s="1211">
        <f t="shared" ca="1" si="102"/>
        <v>0</v>
      </c>
      <c r="AC489" s="136">
        <f ca="1">IF(AB489&lt;=0,0,RANK(AB489,AB:AB)+COUNTIF($AB$3:$AB489,AB489)-1)</f>
        <v>0</v>
      </c>
      <c r="AD489" s="136">
        <f t="shared" si="103"/>
        <v>99999</v>
      </c>
      <c r="AE489" s="136">
        <f>IF(AD489=99999,0,RANK(AD489,AD:AD,1)+COUNTIF($AD$3:$AD489,AD489)-1)</f>
        <v>0</v>
      </c>
    </row>
    <row r="490" spans="1:31">
      <c r="A490" s="141">
        <f>'銀行-TSS'!A490</f>
        <v>0</v>
      </c>
      <c r="B490" s="151">
        <f ca="1">VLOOKUP(A490,'銀行-TSS'!A:B,2,FALSE)</f>
        <v>0</v>
      </c>
      <c r="C490" s="151" t="e">
        <f ca="1">VLOOKUP(B490,bond!B:C,2,FALSE)</f>
        <v>#N/A</v>
      </c>
      <c r="D490" s="95" t="e">
        <f>VLOOKUP(A490,'銀行-TSS'!A:C,3,FALSE)</f>
        <v>#N/A</v>
      </c>
      <c r="E490" s="90" t="e">
        <f ca="1">VLOOKUP(A490,'銀行-TSS'!A:G,7,FALSE)</f>
        <v>#N/A</v>
      </c>
      <c r="F490" s="202" t="e">
        <f ca="1">VLOOKUP(A490,'銀行-TSS'!A:H,8,FALSE)</f>
        <v>#N/A</v>
      </c>
      <c r="G490" s="96" t="e">
        <f ca="1">VLOOKUP(A490,'銀行-TSS'!A:K,11,FALSE)</f>
        <v>#N/A</v>
      </c>
      <c r="H490" s="1209" t="e">
        <f ca="1">VLOOKUP(A490,'銀行-TSS'!A:M,13,FALSE)</f>
        <v>#N/A</v>
      </c>
      <c r="I490" s="1213" t="e">
        <f ca="1">VLOOKUP(A490,'銀行-TSS'!A:N,14,FALSE)</f>
        <v>#N/A</v>
      </c>
      <c r="J490" s="1213" t="e">
        <f ca="1">VLOOKUP(A490,'銀行-TSS'!A:O,15,FALSE)</f>
        <v>#N/A</v>
      </c>
      <c r="K490" s="136" t="e">
        <f ca="1">VLOOKUP(A490,'銀行-TSS'!A:V,22,FALSE)</f>
        <v>#N/A</v>
      </c>
      <c r="L490" s="136" t="e">
        <f ca="1">VLOOKUP(A490,'銀行-TSS'!A:AK,37,FALSE)</f>
        <v>#N/A</v>
      </c>
      <c r="M490" s="136" t="str">
        <f ca="1">VLOOKUP(A490,'銀行-TSS'!A:AN,40,FALSE)</f>
        <v/>
      </c>
      <c r="N490" s="1211" t="e">
        <f t="shared" ca="1" si="93"/>
        <v>#N/A</v>
      </c>
      <c r="O490" s="1211" t="e">
        <f t="shared" ca="1" si="94"/>
        <v>#N/A</v>
      </c>
      <c r="P490" s="1213" t="e">
        <f ca="1">IF(AND(換券投組!$D$17&gt;=O490,換券投組!$D$13=D490),I490+INT((換券投組!$D$17-O490)/N490)*J490,0)</f>
        <v>#N/A</v>
      </c>
      <c r="Q490" s="1211" t="e">
        <f t="shared" ca="1" si="95"/>
        <v>#N/A</v>
      </c>
      <c r="R490" s="1213">
        <f t="shared" si="96"/>
        <v>0</v>
      </c>
      <c r="S490" s="1213">
        <f t="shared" si="97"/>
        <v>0</v>
      </c>
      <c r="T490" s="136">
        <f t="shared" si="99"/>
        <v>0</v>
      </c>
      <c r="U490" s="861">
        <f t="shared" si="100"/>
        <v>0</v>
      </c>
      <c r="V490" s="136" t="e">
        <f ca="1">IF(OR(D490&lt;&gt;"USD",L490="無",M490&lt;&gt;"",K490="高資產",IFERROR(MATCH(B490,換券投組!K:K,0),"N")&lt;&gt;"N",IFERROR(MATCH(B490,換券投組!J:J,0),"N")&lt;&gt;"N"),FALSE,IF($V$1="All",TRUE,IF(K490=$V$1,TRUE,FALSE)))</f>
        <v>#N/A</v>
      </c>
      <c r="W490" s="136" t="e">
        <f ca="1">VLOOKUP(A490,'銀行-TSS'!A:AO,41,FALSE)</f>
        <v>#N/A</v>
      </c>
      <c r="X490" s="136" t="e">
        <f ca="1">VLOOKUP(A490,'銀行-TSS'!A:AP,42,FALSE)</f>
        <v>#N/A</v>
      </c>
      <c r="Y490" s="1223">
        <f t="shared" si="98"/>
        <v>0</v>
      </c>
      <c r="Z490" s="1211">
        <f t="shared" si="101"/>
        <v>0</v>
      </c>
      <c r="AA490" s="136">
        <f>IF(Z490&lt;=0,0,RANK(Z490,Z:Z)+COUNTIF($Z$3:$Z490,Z490)-1)</f>
        <v>0</v>
      </c>
      <c r="AB490" s="1211">
        <f t="shared" ca="1" si="102"/>
        <v>0</v>
      </c>
      <c r="AC490" s="136">
        <f ca="1">IF(AB490&lt;=0,0,RANK(AB490,AB:AB)+COUNTIF($AB$3:$AB490,AB490)-1)</f>
        <v>0</v>
      </c>
      <c r="AD490" s="136">
        <f t="shared" si="103"/>
        <v>99999</v>
      </c>
      <c r="AE490" s="136">
        <f>IF(AD490=99999,0,RANK(AD490,AD:AD,1)+COUNTIF($AD$3:$AD490,AD490)-1)</f>
        <v>0</v>
      </c>
    </row>
    <row r="491" spans="1:31">
      <c r="A491" s="141">
        <f>'銀行-TSS'!A491</f>
        <v>0</v>
      </c>
      <c r="B491" s="151">
        <f ca="1">VLOOKUP(A491,'銀行-TSS'!A:B,2,FALSE)</f>
        <v>0</v>
      </c>
      <c r="C491" s="151" t="e">
        <f ca="1">VLOOKUP(B491,bond!B:C,2,FALSE)</f>
        <v>#N/A</v>
      </c>
      <c r="D491" s="95" t="e">
        <f>VLOOKUP(A491,'銀行-TSS'!A:C,3,FALSE)</f>
        <v>#N/A</v>
      </c>
      <c r="E491" s="90" t="e">
        <f ca="1">VLOOKUP(A491,'銀行-TSS'!A:G,7,FALSE)</f>
        <v>#N/A</v>
      </c>
      <c r="F491" s="202" t="e">
        <f ca="1">VLOOKUP(A491,'銀行-TSS'!A:H,8,FALSE)</f>
        <v>#N/A</v>
      </c>
      <c r="G491" s="96" t="e">
        <f ca="1">VLOOKUP(A491,'銀行-TSS'!A:K,11,FALSE)</f>
        <v>#N/A</v>
      </c>
      <c r="H491" s="1209" t="e">
        <f ca="1">VLOOKUP(A491,'銀行-TSS'!A:M,13,FALSE)</f>
        <v>#N/A</v>
      </c>
      <c r="I491" s="1213" t="e">
        <f ca="1">VLOOKUP(A491,'銀行-TSS'!A:N,14,FALSE)</f>
        <v>#N/A</v>
      </c>
      <c r="J491" s="1213" t="e">
        <f ca="1">VLOOKUP(A491,'銀行-TSS'!A:O,15,FALSE)</f>
        <v>#N/A</v>
      </c>
      <c r="K491" s="136" t="e">
        <f ca="1">VLOOKUP(A491,'銀行-TSS'!A:V,22,FALSE)</f>
        <v>#N/A</v>
      </c>
      <c r="L491" s="136" t="e">
        <f ca="1">VLOOKUP(A491,'銀行-TSS'!A:AK,37,FALSE)</f>
        <v>#N/A</v>
      </c>
      <c r="M491" s="136" t="str">
        <f ca="1">VLOOKUP(A491,'銀行-TSS'!A:AN,40,FALSE)</f>
        <v/>
      </c>
      <c r="N491" s="1211" t="e">
        <f t="shared" ca="1" si="93"/>
        <v>#N/A</v>
      </c>
      <c r="O491" s="1211" t="e">
        <f t="shared" ca="1" si="94"/>
        <v>#N/A</v>
      </c>
      <c r="P491" s="1213" t="e">
        <f ca="1">IF(AND(換券投組!$D$17&gt;=O491,換券投組!$D$13=D491),I491+INT((換券投組!$D$17-O491)/N491)*J491,0)</f>
        <v>#N/A</v>
      </c>
      <c r="Q491" s="1211" t="e">
        <f t="shared" ca="1" si="95"/>
        <v>#N/A</v>
      </c>
      <c r="R491" s="1213">
        <f t="shared" si="96"/>
        <v>0</v>
      </c>
      <c r="S491" s="1213">
        <f t="shared" si="97"/>
        <v>0</v>
      </c>
      <c r="T491" s="136">
        <f t="shared" si="99"/>
        <v>0</v>
      </c>
      <c r="U491" s="861">
        <f t="shared" si="100"/>
        <v>0</v>
      </c>
      <c r="V491" s="136" t="e">
        <f ca="1">IF(OR(D491&lt;&gt;"USD",L491="無",M491&lt;&gt;"",K491="高資產",IFERROR(MATCH(B491,換券投組!K:K,0),"N")&lt;&gt;"N",IFERROR(MATCH(B491,換券投組!J:J,0),"N")&lt;&gt;"N"),FALSE,IF($V$1="All",TRUE,IF(K491=$V$1,TRUE,FALSE)))</f>
        <v>#N/A</v>
      </c>
      <c r="W491" s="136" t="e">
        <f ca="1">VLOOKUP(A491,'銀行-TSS'!A:AO,41,FALSE)</f>
        <v>#N/A</v>
      </c>
      <c r="X491" s="136" t="e">
        <f ca="1">VLOOKUP(A491,'銀行-TSS'!A:AP,42,FALSE)</f>
        <v>#N/A</v>
      </c>
      <c r="Y491" s="1223">
        <f t="shared" si="98"/>
        <v>0</v>
      </c>
      <c r="Z491" s="1211">
        <f t="shared" si="101"/>
        <v>0</v>
      </c>
      <c r="AA491" s="136">
        <f>IF(Z491&lt;=0,0,RANK(Z491,Z:Z)+COUNTIF($Z$3:$Z491,Z491)-1)</f>
        <v>0</v>
      </c>
      <c r="AB491" s="1211">
        <f t="shared" ca="1" si="102"/>
        <v>0</v>
      </c>
      <c r="AC491" s="136">
        <f ca="1">IF(AB491&lt;=0,0,RANK(AB491,AB:AB)+COUNTIF($AB$3:$AB491,AB491)-1)</f>
        <v>0</v>
      </c>
      <c r="AD491" s="136">
        <f t="shared" si="103"/>
        <v>99999</v>
      </c>
      <c r="AE491" s="136">
        <f>IF(AD491=99999,0,RANK(AD491,AD:AD,1)+COUNTIF($AD$3:$AD491,AD491)-1)</f>
        <v>0</v>
      </c>
    </row>
    <row r="492" spans="1:31">
      <c r="A492" s="141">
        <f>'銀行-TSS'!A492</f>
        <v>0</v>
      </c>
      <c r="B492" s="151">
        <f ca="1">VLOOKUP(A492,'銀行-TSS'!A:B,2,FALSE)</f>
        <v>0</v>
      </c>
      <c r="C492" s="151" t="e">
        <f ca="1">VLOOKUP(B492,bond!B:C,2,FALSE)</f>
        <v>#N/A</v>
      </c>
      <c r="D492" s="95" t="e">
        <f>VLOOKUP(A492,'銀行-TSS'!A:C,3,FALSE)</f>
        <v>#N/A</v>
      </c>
      <c r="E492" s="90" t="e">
        <f ca="1">VLOOKUP(A492,'銀行-TSS'!A:G,7,FALSE)</f>
        <v>#N/A</v>
      </c>
      <c r="F492" s="202" t="e">
        <f ca="1">VLOOKUP(A492,'銀行-TSS'!A:H,8,FALSE)</f>
        <v>#N/A</v>
      </c>
      <c r="G492" s="96" t="e">
        <f ca="1">VLOOKUP(A492,'銀行-TSS'!A:K,11,FALSE)</f>
        <v>#N/A</v>
      </c>
      <c r="H492" s="1209" t="e">
        <f ca="1">VLOOKUP(A492,'銀行-TSS'!A:M,13,FALSE)</f>
        <v>#N/A</v>
      </c>
      <c r="I492" s="1213" t="e">
        <f ca="1">VLOOKUP(A492,'銀行-TSS'!A:N,14,FALSE)</f>
        <v>#N/A</v>
      </c>
      <c r="J492" s="1213" t="e">
        <f ca="1">VLOOKUP(A492,'銀行-TSS'!A:O,15,FALSE)</f>
        <v>#N/A</v>
      </c>
      <c r="K492" s="136" t="e">
        <f ca="1">VLOOKUP(A492,'銀行-TSS'!A:V,22,FALSE)</f>
        <v>#N/A</v>
      </c>
      <c r="L492" s="136" t="e">
        <f ca="1">VLOOKUP(A492,'銀行-TSS'!A:AK,37,FALSE)</f>
        <v>#N/A</v>
      </c>
      <c r="M492" s="136" t="str">
        <f ca="1">VLOOKUP(A492,'銀行-TSS'!A:AN,40,FALSE)</f>
        <v/>
      </c>
      <c r="N492" s="1211" t="e">
        <f t="shared" ca="1" si="93"/>
        <v>#N/A</v>
      </c>
      <c r="O492" s="1211" t="e">
        <f t="shared" ca="1" si="94"/>
        <v>#N/A</v>
      </c>
      <c r="P492" s="1213" t="e">
        <f ca="1">IF(AND(換券投組!$D$17&gt;=O492,換券投組!$D$13=D492),I492+INT((換券投組!$D$17-O492)/N492)*J492,0)</f>
        <v>#N/A</v>
      </c>
      <c r="Q492" s="1211" t="e">
        <f t="shared" ca="1" si="95"/>
        <v>#N/A</v>
      </c>
      <c r="R492" s="1213">
        <f t="shared" si="96"/>
        <v>0</v>
      </c>
      <c r="S492" s="1213">
        <f t="shared" si="97"/>
        <v>0</v>
      </c>
      <c r="T492" s="136">
        <f t="shared" si="99"/>
        <v>0</v>
      </c>
      <c r="U492" s="861">
        <f t="shared" si="100"/>
        <v>0</v>
      </c>
      <c r="V492" s="136" t="e">
        <f ca="1">IF(OR(D492&lt;&gt;"USD",L492="無",M492&lt;&gt;"",K492="高資產",IFERROR(MATCH(B492,換券投組!K:K,0),"N")&lt;&gt;"N",IFERROR(MATCH(B492,換券投組!J:J,0),"N")&lt;&gt;"N"),FALSE,IF($V$1="All",TRUE,IF(K492=$V$1,TRUE,FALSE)))</f>
        <v>#N/A</v>
      </c>
      <c r="W492" s="136" t="e">
        <f ca="1">VLOOKUP(A492,'銀行-TSS'!A:AO,41,FALSE)</f>
        <v>#N/A</v>
      </c>
      <c r="X492" s="136" t="e">
        <f ca="1">VLOOKUP(A492,'銀行-TSS'!A:AP,42,FALSE)</f>
        <v>#N/A</v>
      </c>
      <c r="Y492" s="1223">
        <f t="shared" si="98"/>
        <v>0</v>
      </c>
      <c r="Z492" s="1211">
        <f t="shared" si="101"/>
        <v>0</v>
      </c>
      <c r="AA492" s="136">
        <f>IF(Z492&lt;=0,0,RANK(Z492,Z:Z)+COUNTIF($Z$3:$Z492,Z492)-1)</f>
        <v>0</v>
      </c>
      <c r="AB492" s="1211">
        <f t="shared" ca="1" si="102"/>
        <v>0</v>
      </c>
      <c r="AC492" s="136">
        <f ca="1">IF(AB492&lt;=0,0,RANK(AB492,AB:AB)+COUNTIF($AB$3:$AB492,AB492)-1)</f>
        <v>0</v>
      </c>
      <c r="AD492" s="136">
        <f t="shared" si="103"/>
        <v>99999</v>
      </c>
      <c r="AE492" s="136">
        <f>IF(AD492=99999,0,RANK(AD492,AD:AD,1)+COUNTIF($AD$3:$AD492,AD492)-1)</f>
        <v>0</v>
      </c>
    </row>
    <row r="493" spans="1:31">
      <c r="A493" s="141">
        <f>'銀行-TSS'!A493</f>
        <v>0</v>
      </c>
      <c r="B493" s="151">
        <f ca="1">VLOOKUP(A493,'銀行-TSS'!A:B,2,FALSE)</f>
        <v>0</v>
      </c>
      <c r="C493" s="151" t="e">
        <f ca="1">VLOOKUP(B493,bond!B:C,2,FALSE)</f>
        <v>#N/A</v>
      </c>
      <c r="D493" s="95" t="e">
        <f>VLOOKUP(A493,'銀行-TSS'!A:C,3,FALSE)</f>
        <v>#N/A</v>
      </c>
      <c r="E493" s="90" t="e">
        <f ca="1">VLOOKUP(A493,'銀行-TSS'!A:G,7,FALSE)</f>
        <v>#N/A</v>
      </c>
      <c r="F493" s="202" t="e">
        <f ca="1">VLOOKUP(A493,'銀行-TSS'!A:H,8,FALSE)</f>
        <v>#N/A</v>
      </c>
      <c r="G493" s="96" t="e">
        <f ca="1">VLOOKUP(A493,'銀行-TSS'!A:K,11,FALSE)</f>
        <v>#N/A</v>
      </c>
      <c r="H493" s="1209" t="e">
        <f ca="1">VLOOKUP(A493,'銀行-TSS'!A:M,13,FALSE)</f>
        <v>#N/A</v>
      </c>
      <c r="I493" s="1213" t="e">
        <f ca="1">VLOOKUP(A493,'銀行-TSS'!A:N,14,FALSE)</f>
        <v>#N/A</v>
      </c>
      <c r="J493" s="1213" t="e">
        <f ca="1">VLOOKUP(A493,'銀行-TSS'!A:O,15,FALSE)</f>
        <v>#N/A</v>
      </c>
      <c r="K493" s="136" t="e">
        <f ca="1">VLOOKUP(A493,'銀行-TSS'!A:V,22,FALSE)</f>
        <v>#N/A</v>
      </c>
      <c r="L493" s="136" t="e">
        <f ca="1">VLOOKUP(A493,'銀行-TSS'!A:AK,37,FALSE)</f>
        <v>#N/A</v>
      </c>
      <c r="M493" s="136" t="str">
        <f ca="1">VLOOKUP(A493,'銀行-TSS'!A:AN,40,FALSE)</f>
        <v/>
      </c>
      <c r="N493" s="1211" t="e">
        <f t="shared" ca="1" si="93"/>
        <v>#N/A</v>
      </c>
      <c r="O493" s="1211" t="e">
        <f t="shared" ca="1" si="94"/>
        <v>#N/A</v>
      </c>
      <c r="P493" s="1213" t="e">
        <f ca="1">IF(AND(換券投組!$D$17&gt;=O493,換券投組!$D$13=D493),I493+INT((換券投組!$D$17-O493)/N493)*J493,0)</f>
        <v>#N/A</v>
      </c>
      <c r="Q493" s="1211" t="e">
        <f t="shared" ca="1" si="95"/>
        <v>#N/A</v>
      </c>
      <c r="R493" s="1213">
        <f t="shared" si="96"/>
        <v>0</v>
      </c>
      <c r="S493" s="1213">
        <f t="shared" si="97"/>
        <v>0</v>
      </c>
      <c r="T493" s="136">
        <f t="shared" si="99"/>
        <v>0</v>
      </c>
      <c r="U493" s="861">
        <f t="shared" si="100"/>
        <v>0</v>
      </c>
      <c r="V493" s="136" t="e">
        <f ca="1">IF(OR(D493&lt;&gt;"USD",L493="無",M493&lt;&gt;"",K493="高資產",IFERROR(MATCH(B493,換券投組!K:K,0),"N")&lt;&gt;"N",IFERROR(MATCH(B493,換券投組!J:J,0),"N")&lt;&gt;"N"),FALSE,IF($V$1="All",TRUE,IF(K493=$V$1,TRUE,FALSE)))</f>
        <v>#N/A</v>
      </c>
      <c r="W493" s="136" t="e">
        <f ca="1">VLOOKUP(A493,'銀行-TSS'!A:AO,41,FALSE)</f>
        <v>#N/A</v>
      </c>
      <c r="X493" s="136" t="e">
        <f ca="1">VLOOKUP(A493,'銀行-TSS'!A:AP,42,FALSE)</f>
        <v>#N/A</v>
      </c>
      <c r="Y493" s="1223">
        <f t="shared" si="98"/>
        <v>0</v>
      </c>
      <c r="Z493" s="1211">
        <f t="shared" si="101"/>
        <v>0</v>
      </c>
      <c r="AA493" s="136">
        <f>IF(Z493&lt;=0,0,RANK(Z493,Z:Z)+COUNTIF($Z$3:$Z493,Z493)-1)</f>
        <v>0</v>
      </c>
      <c r="AB493" s="1211">
        <f t="shared" ca="1" si="102"/>
        <v>0</v>
      </c>
      <c r="AC493" s="136">
        <f ca="1">IF(AB493&lt;=0,0,RANK(AB493,AB:AB)+COUNTIF($AB$3:$AB493,AB493)-1)</f>
        <v>0</v>
      </c>
      <c r="AD493" s="136">
        <f t="shared" si="103"/>
        <v>99999</v>
      </c>
      <c r="AE493" s="136">
        <f>IF(AD493=99999,0,RANK(AD493,AD:AD,1)+COUNTIF($AD$3:$AD493,AD493)-1)</f>
        <v>0</v>
      </c>
    </row>
    <row r="494" spans="1:31">
      <c r="A494" s="141">
        <f>'銀行-TSS'!A494</f>
        <v>0</v>
      </c>
      <c r="B494" s="151">
        <f ca="1">VLOOKUP(A494,'銀行-TSS'!A:B,2,FALSE)</f>
        <v>0</v>
      </c>
      <c r="C494" s="151" t="e">
        <f ca="1">VLOOKUP(B494,bond!B:C,2,FALSE)</f>
        <v>#N/A</v>
      </c>
      <c r="D494" s="95" t="e">
        <f>VLOOKUP(A494,'銀行-TSS'!A:C,3,FALSE)</f>
        <v>#N/A</v>
      </c>
      <c r="E494" s="90" t="e">
        <f ca="1">VLOOKUP(A494,'銀行-TSS'!A:G,7,FALSE)</f>
        <v>#N/A</v>
      </c>
      <c r="F494" s="202" t="e">
        <f ca="1">VLOOKUP(A494,'銀行-TSS'!A:H,8,FALSE)</f>
        <v>#N/A</v>
      </c>
      <c r="G494" s="96" t="e">
        <f ca="1">VLOOKUP(A494,'銀行-TSS'!A:K,11,FALSE)</f>
        <v>#N/A</v>
      </c>
      <c r="H494" s="1209" t="e">
        <f ca="1">VLOOKUP(A494,'銀行-TSS'!A:M,13,FALSE)</f>
        <v>#N/A</v>
      </c>
      <c r="I494" s="1213" t="e">
        <f ca="1">VLOOKUP(A494,'銀行-TSS'!A:N,14,FALSE)</f>
        <v>#N/A</v>
      </c>
      <c r="J494" s="1213" t="e">
        <f ca="1">VLOOKUP(A494,'銀行-TSS'!A:O,15,FALSE)</f>
        <v>#N/A</v>
      </c>
      <c r="K494" s="136" t="e">
        <f ca="1">VLOOKUP(A494,'銀行-TSS'!A:V,22,FALSE)</f>
        <v>#N/A</v>
      </c>
      <c r="L494" s="136" t="e">
        <f ca="1">VLOOKUP(A494,'銀行-TSS'!A:AK,37,FALSE)</f>
        <v>#N/A</v>
      </c>
      <c r="M494" s="136" t="str">
        <f ca="1">VLOOKUP(A494,'銀行-TSS'!A:AN,40,FALSE)</f>
        <v/>
      </c>
      <c r="N494" s="1211" t="e">
        <f t="shared" ca="1" si="93"/>
        <v>#N/A</v>
      </c>
      <c r="O494" s="1211" t="e">
        <f t="shared" ca="1" si="94"/>
        <v>#N/A</v>
      </c>
      <c r="P494" s="1213" t="e">
        <f ca="1">IF(AND(換券投組!$D$17&gt;=O494,換券投組!$D$13=D494),I494+INT((換券投組!$D$17-O494)/N494)*J494,0)</f>
        <v>#N/A</v>
      </c>
      <c r="Q494" s="1211" t="e">
        <f t="shared" ca="1" si="95"/>
        <v>#N/A</v>
      </c>
      <c r="R494" s="1213">
        <f t="shared" si="96"/>
        <v>0</v>
      </c>
      <c r="S494" s="1213">
        <f t="shared" si="97"/>
        <v>0</v>
      </c>
      <c r="T494" s="136">
        <f t="shared" si="99"/>
        <v>0</v>
      </c>
      <c r="U494" s="861">
        <f t="shared" si="100"/>
        <v>0</v>
      </c>
      <c r="V494" s="136" t="e">
        <f ca="1">IF(OR(D494&lt;&gt;"USD",L494="無",M494&lt;&gt;"",K494="高資產",IFERROR(MATCH(B494,換券投組!K:K,0),"N")&lt;&gt;"N",IFERROR(MATCH(B494,換券投組!J:J,0),"N")&lt;&gt;"N"),FALSE,IF($V$1="All",TRUE,IF(K494=$V$1,TRUE,FALSE)))</f>
        <v>#N/A</v>
      </c>
      <c r="W494" s="136" t="e">
        <f ca="1">VLOOKUP(A494,'銀行-TSS'!A:AO,41,FALSE)</f>
        <v>#N/A</v>
      </c>
      <c r="X494" s="136" t="e">
        <f ca="1">VLOOKUP(A494,'銀行-TSS'!A:AP,42,FALSE)</f>
        <v>#N/A</v>
      </c>
      <c r="Y494" s="1223">
        <f t="shared" si="98"/>
        <v>0</v>
      </c>
      <c r="Z494" s="1211">
        <f t="shared" si="101"/>
        <v>0</v>
      </c>
      <c r="AA494" s="136">
        <f>IF(Z494&lt;=0,0,RANK(Z494,Z:Z)+COUNTIF($Z$3:$Z494,Z494)-1)</f>
        <v>0</v>
      </c>
      <c r="AB494" s="1211">
        <f t="shared" ca="1" si="102"/>
        <v>0</v>
      </c>
      <c r="AC494" s="136">
        <f ca="1">IF(AB494&lt;=0,0,RANK(AB494,AB:AB)+COUNTIF($AB$3:$AB494,AB494)-1)</f>
        <v>0</v>
      </c>
      <c r="AD494" s="136">
        <f t="shared" si="103"/>
        <v>99999</v>
      </c>
      <c r="AE494" s="136">
        <f>IF(AD494=99999,0,RANK(AD494,AD:AD,1)+COUNTIF($AD$3:$AD494,AD494)-1)</f>
        <v>0</v>
      </c>
    </row>
    <row r="495" spans="1:31">
      <c r="A495" s="141">
        <f>'銀行-TSS'!A495</f>
        <v>0</v>
      </c>
      <c r="B495" s="151">
        <f ca="1">VLOOKUP(A495,'銀行-TSS'!A:B,2,FALSE)</f>
        <v>0</v>
      </c>
      <c r="C495" s="151" t="e">
        <f ca="1">VLOOKUP(B495,bond!B:C,2,FALSE)</f>
        <v>#N/A</v>
      </c>
      <c r="D495" s="95" t="e">
        <f>VLOOKUP(A495,'銀行-TSS'!A:C,3,FALSE)</f>
        <v>#N/A</v>
      </c>
      <c r="E495" s="90" t="e">
        <f ca="1">VLOOKUP(A495,'銀行-TSS'!A:G,7,FALSE)</f>
        <v>#N/A</v>
      </c>
      <c r="F495" s="202" t="e">
        <f ca="1">VLOOKUP(A495,'銀行-TSS'!A:H,8,FALSE)</f>
        <v>#N/A</v>
      </c>
      <c r="G495" s="96" t="e">
        <f ca="1">VLOOKUP(A495,'銀行-TSS'!A:K,11,FALSE)</f>
        <v>#N/A</v>
      </c>
      <c r="H495" s="1209" t="e">
        <f ca="1">VLOOKUP(A495,'銀行-TSS'!A:M,13,FALSE)</f>
        <v>#N/A</v>
      </c>
      <c r="I495" s="1213" t="e">
        <f ca="1">VLOOKUP(A495,'銀行-TSS'!A:N,14,FALSE)</f>
        <v>#N/A</v>
      </c>
      <c r="J495" s="1213" t="e">
        <f ca="1">VLOOKUP(A495,'銀行-TSS'!A:O,15,FALSE)</f>
        <v>#N/A</v>
      </c>
      <c r="K495" s="136" t="e">
        <f ca="1">VLOOKUP(A495,'銀行-TSS'!A:V,22,FALSE)</f>
        <v>#N/A</v>
      </c>
      <c r="L495" s="136" t="e">
        <f ca="1">VLOOKUP(A495,'銀行-TSS'!A:AK,37,FALSE)</f>
        <v>#N/A</v>
      </c>
      <c r="M495" s="136" t="str">
        <f ca="1">VLOOKUP(A495,'銀行-TSS'!A:AN,40,FALSE)</f>
        <v/>
      </c>
      <c r="N495" s="1211" t="e">
        <f t="shared" ca="1" si="93"/>
        <v>#N/A</v>
      </c>
      <c r="O495" s="1211" t="e">
        <f t="shared" ca="1" si="94"/>
        <v>#N/A</v>
      </c>
      <c r="P495" s="1213" t="e">
        <f ca="1">IF(AND(換券投組!$D$17&gt;=O495,換券投組!$D$13=D495),I495+INT((換券投組!$D$17-O495)/N495)*J495,0)</f>
        <v>#N/A</v>
      </c>
      <c r="Q495" s="1211" t="e">
        <f t="shared" ca="1" si="95"/>
        <v>#N/A</v>
      </c>
      <c r="R495" s="1213">
        <f t="shared" si="96"/>
        <v>0</v>
      </c>
      <c r="S495" s="1213">
        <f t="shared" si="97"/>
        <v>0</v>
      </c>
      <c r="T495" s="136">
        <f t="shared" si="99"/>
        <v>0</v>
      </c>
      <c r="U495" s="861">
        <f t="shared" si="100"/>
        <v>0</v>
      </c>
      <c r="V495" s="136" t="e">
        <f ca="1">IF(OR(D495&lt;&gt;"USD",L495="無",M495&lt;&gt;"",K495="高資產",IFERROR(MATCH(B495,換券投組!K:K,0),"N")&lt;&gt;"N",IFERROR(MATCH(B495,換券投組!J:J,0),"N")&lt;&gt;"N"),FALSE,IF($V$1="All",TRUE,IF(K495=$V$1,TRUE,FALSE)))</f>
        <v>#N/A</v>
      </c>
      <c r="W495" s="136" t="e">
        <f ca="1">VLOOKUP(A495,'銀行-TSS'!A:AO,41,FALSE)</f>
        <v>#N/A</v>
      </c>
      <c r="X495" s="136" t="e">
        <f ca="1">VLOOKUP(A495,'銀行-TSS'!A:AP,42,FALSE)</f>
        <v>#N/A</v>
      </c>
      <c r="Y495" s="1223">
        <f t="shared" si="98"/>
        <v>0</v>
      </c>
      <c r="Z495" s="1211">
        <f t="shared" si="101"/>
        <v>0</v>
      </c>
      <c r="AA495" s="136">
        <f>IF(Z495&lt;=0,0,RANK(Z495,Z:Z)+COUNTIF($Z$3:$Z495,Z495)-1)</f>
        <v>0</v>
      </c>
      <c r="AB495" s="1211">
        <f t="shared" ca="1" si="102"/>
        <v>0</v>
      </c>
      <c r="AC495" s="136">
        <f ca="1">IF(AB495&lt;=0,0,RANK(AB495,AB:AB)+COUNTIF($AB$3:$AB495,AB495)-1)</f>
        <v>0</v>
      </c>
      <c r="AD495" s="136">
        <f t="shared" si="103"/>
        <v>99999</v>
      </c>
      <c r="AE495" s="136">
        <f>IF(AD495=99999,0,RANK(AD495,AD:AD,1)+COUNTIF($AD$3:$AD495,AD495)-1)</f>
        <v>0</v>
      </c>
    </row>
    <row r="496" spans="1:31">
      <c r="A496" s="141">
        <f>'銀行-TSS'!A496</f>
        <v>0</v>
      </c>
      <c r="B496" s="151">
        <f ca="1">VLOOKUP(A496,'銀行-TSS'!A:B,2,FALSE)</f>
        <v>0</v>
      </c>
      <c r="C496" s="151" t="e">
        <f ca="1">VLOOKUP(B496,bond!B:C,2,FALSE)</f>
        <v>#N/A</v>
      </c>
      <c r="D496" s="95" t="e">
        <f>VLOOKUP(A496,'銀行-TSS'!A:C,3,FALSE)</f>
        <v>#N/A</v>
      </c>
      <c r="E496" s="90" t="e">
        <f ca="1">VLOOKUP(A496,'銀行-TSS'!A:G,7,FALSE)</f>
        <v>#N/A</v>
      </c>
      <c r="F496" s="202" t="e">
        <f ca="1">VLOOKUP(A496,'銀行-TSS'!A:H,8,FALSE)</f>
        <v>#N/A</v>
      </c>
      <c r="G496" s="96" t="e">
        <f ca="1">VLOOKUP(A496,'銀行-TSS'!A:K,11,FALSE)</f>
        <v>#N/A</v>
      </c>
      <c r="H496" s="1209" t="e">
        <f ca="1">VLOOKUP(A496,'銀行-TSS'!A:M,13,FALSE)</f>
        <v>#N/A</v>
      </c>
      <c r="I496" s="1213" t="e">
        <f ca="1">VLOOKUP(A496,'銀行-TSS'!A:N,14,FALSE)</f>
        <v>#N/A</v>
      </c>
      <c r="J496" s="1213" t="e">
        <f ca="1">VLOOKUP(A496,'銀行-TSS'!A:O,15,FALSE)</f>
        <v>#N/A</v>
      </c>
      <c r="K496" s="136" t="e">
        <f ca="1">VLOOKUP(A496,'銀行-TSS'!A:V,22,FALSE)</f>
        <v>#N/A</v>
      </c>
      <c r="L496" s="136" t="e">
        <f ca="1">VLOOKUP(A496,'銀行-TSS'!A:AK,37,FALSE)</f>
        <v>#N/A</v>
      </c>
      <c r="M496" s="136" t="str">
        <f ca="1">VLOOKUP(A496,'銀行-TSS'!A:AN,40,FALSE)</f>
        <v/>
      </c>
      <c r="N496" s="1211" t="e">
        <f t="shared" ca="1" si="93"/>
        <v>#N/A</v>
      </c>
      <c r="O496" s="1211" t="e">
        <f t="shared" ca="1" si="94"/>
        <v>#N/A</v>
      </c>
      <c r="P496" s="1213" t="e">
        <f ca="1">IF(AND(換券投組!$D$17&gt;=O496,換券投組!$D$13=D496),I496+INT((換券投組!$D$17-O496)/N496)*J496,0)</f>
        <v>#N/A</v>
      </c>
      <c r="Q496" s="1211" t="e">
        <f t="shared" ca="1" si="95"/>
        <v>#N/A</v>
      </c>
      <c r="R496" s="1213">
        <f t="shared" si="96"/>
        <v>0</v>
      </c>
      <c r="S496" s="1213">
        <f t="shared" si="97"/>
        <v>0</v>
      </c>
      <c r="T496" s="136">
        <f t="shared" si="99"/>
        <v>0</v>
      </c>
      <c r="U496" s="861">
        <f t="shared" si="100"/>
        <v>0</v>
      </c>
      <c r="V496" s="136" t="e">
        <f ca="1">IF(OR(D496&lt;&gt;"USD",L496="無",M496&lt;&gt;"",K496="高資產",IFERROR(MATCH(B496,換券投組!K:K,0),"N")&lt;&gt;"N",IFERROR(MATCH(B496,換券投組!J:J,0),"N")&lt;&gt;"N"),FALSE,IF($V$1="All",TRUE,IF(K496=$V$1,TRUE,FALSE)))</f>
        <v>#N/A</v>
      </c>
      <c r="W496" s="136" t="e">
        <f ca="1">VLOOKUP(A496,'銀行-TSS'!A:AO,41,FALSE)</f>
        <v>#N/A</v>
      </c>
      <c r="X496" s="136" t="e">
        <f ca="1">VLOOKUP(A496,'銀行-TSS'!A:AP,42,FALSE)</f>
        <v>#N/A</v>
      </c>
      <c r="Y496" s="1223">
        <f t="shared" si="98"/>
        <v>0</v>
      </c>
      <c r="Z496" s="1211">
        <f t="shared" si="101"/>
        <v>0</v>
      </c>
      <c r="AA496" s="136">
        <f>IF(Z496&lt;=0,0,RANK(Z496,Z:Z)+COUNTIF($Z$3:$Z496,Z496)-1)</f>
        <v>0</v>
      </c>
      <c r="AB496" s="1211">
        <f t="shared" ca="1" si="102"/>
        <v>0</v>
      </c>
      <c r="AC496" s="136">
        <f ca="1">IF(AB496&lt;=0,0,RANK(AB496,AB:AB)+COUNTIF($AB$3:$AB496,AB496)-1)</f>
        <v>0</v>
      </c>
      <c r="AD496" s="136">
        <f t="shared" si="103"/>
        <v>99999</v>
      </c>
      <c r="AE496" s="136">
        <f>IF(AD496=99999,0,RANK(AD496,AD:AD,1)+COUNTIF($AD$3:$AD496,AD496)-1)</f>
        <v>0</v>
      </c>
    </row>
    <row r="497" spans="1:31">
      <c r="A497" s="141">
        <f>'銀行-TSS'!A497</f>
        <v>0</v>
      </c>
      <c r="B497" s="151">
        <f ca="1">VLOOKUP(A497,'銀行-TSS'!A:B,2,FALSE)</f>
        <v>0</v>
      </c>
      <c r="C497" s="151" t="e">
        <f ca="1">VLOOKUP(B497,bond!B:C,2,FALSE)</f>
        <v>#N/A</v>
      </c>
      <c r="D497" s="95" t="e">
        <f>VLOOKUP(A497,'銀行-TSS'!A:C,3,FALSE)</f>
        <v>#N/A</v>
      </c>
      <c r="E497" s="90" t="e">
        <f ca="1">VLOOKUP(A497,'銀行-TSS'!A:G,7,FALSE)</f>
        <v>#N/A</v>
      </c>
      <c r="F497" s="202" t="e">
        <f ca="1">VLOOKUP(A497,'銀行-TSS'!A:H,8,FALSE)</f>
        <v>#N/A</v>
      </c>
      <c r="G497" s="96" t="e">
        <f ca="1">VLOOKUP(A497,'銀行-TSS'!A:K,11,FALSE)</f>
        <v>#N/A</v>
      </c>
      <c r="H497" s="1209" t="e">
        <f ca="1">VLOOKUP(A497,'銀行-TSS'!A:M,13,FALSE)</f>
        <v>#N/A</v>
      </c>
      <c r="I497" s="1213" t="e">
        <f ca="1">VLOOKUP(A497,'銀行-TSS'!A:N,14,FALSE)</f>
        <v>#N/A</v>
      </c>
      <c r="J497" s="1213" t="e">
        <f ca="1">VLOOKUP(A497,'銀行-TSS'!A:O,15,FALSE)</f>
        <v>#N/A</v>
      </c>
      <c r="K497" s="136" t="e">
        <f ca="1">VLOOKUP(A497,'銀行-TSS'!A:V,22,FALSE)</f>
        <v>#N/A</v>
      </c>
      <c r="L497" s="136" t="e">
        <f ca="1">VLOOKUP(A497,'銀行-TSS'!A:AK,37,FALSE)</f>
        <v>#N/A</v>
      </c>
      <c r="M497" s="136" t="str">
        <f ca="1">VLOOKUP(A497,'銀行-TSS'!A:AN,40,FALSE)</f>
        <v/>
      </c>
      <c r="N497" s="1211" t="e">
        <f t="shared" ca="1" si="93"/>
        <v>#N/A</v>
      </c>
      <c r="O497" s="1211" t="e">
        <f t="shared" ca="1" si="94"/>
        <v>#N/A</v>
      </c>
      <c r="P497" s="1213" t="e">
        <f ca="1">IF(AND(換券投組!$D$17&gt;=O497,換券投組!$D$13=D497),I497+INT((換券投組!$D$17-O497)/N497)*J497,0)</f>
        <v>#N/A</v>
      </c>
      <c r="Q497" s="1211" t="e">
        <f t="shared" ca="1" si="95"/>
        <v>#N/A</v>
      </c>
      <c r="R497" s="1213">
        <f t="shared" si="96"/>
        <v>0</v>
      </c>
      <c r="S497" s="1213">
        <f t="shared" si="97"/>
        <v>0</v>
      </c>
      <c r="T497" s="136">
        <f t="shared" si="99"/>
        <v>0</v>
      </c>
      <c r="U497" s="861">
        <f t="shared" si="100"/>
        <v>0</v>
      </c>
      <c r="V497" s="136" t="e">
        <f ca="1">IF(OR(D497&lt;&gt;"USD",L497="無",M497&lt;&gt;"",K497="高資產",IFERROR(MATCH(B497,換券投組!K:K,0),"N")&lt;&gt;"N",IFERROR(MATCH(B497,換券投組!J:J,0),"N")&lt;&gt;"N"),FALSE,IF($V$1="All",TRUE,IF(K497=$V$1,TRUE,FALSE)))</f>
        <v>#N/A</v>
      </c>
      <c r="W497" s="136" t="e">
        <f ca="1">VLOOKUP(A497,'銀行-TSS'!A:AO,41,FALSE)</f>
        <v>#N/A</v>
      </c>
      <c r="X497" s="136" t="e">
        <f ca="1">VLOOKUP(A497,'銀行-TSS'!A:AP,42,FALSE)</f>
        <v>#N/A</v>
      </c>
      <c r="Y497" s="1223">
        <f t="shared" si="98"/>
        <v>0</v>
      </c>
      <c r="Z497" s="1211">
        <f t="shared" si="101"/>
        <v>0</v>
      </c>
      <c r="AA497" s="136">
        <f>IF(Z497&lt;=0,0,RANK(Z497,Z:Z)+COUNTIF($Z$3:$Z497,Z497)-1)</f>
        <v>0</v>
      </c>
      <c r="AB497" s="1211">
        <f t="shared" ca="1" si="102"/>
        <v>0</v>
      </c>
      <c r="AC497" s="136">
        <f ca="1">IF(AB497&lt;=0,0,RANK(AB497,AB:AB)+COUNTIF($AB$3:$AB497,AB497)-1)</f>
        <v>0</v>
      </c>
      <c r="AD497" s="136">
        <f t="shared" si="103"/>
        <v>99999</v>
      </c>
      <c r="AE497" s="136">
        <f>IF(AD497=99999,0,RANK(AD497,AD:AD,1)+COUNTIF($AD$3:$AD497,AD497)-1)</f>
        <v>0</v>
      </c>
    </row>
    <row r="498" spans="1:31">
      <c r="A498" s="141">
        <f>'銀行-TSS'!A498</f>
        <v>0</v>
      </c>
      <c r="B498" s="151">
        <f ca="1">VLOOKUP(A498,'銀行-TSS'!A:B,2,FALSE)</f>
        <v>0</v>
      </c>
      <c r="C498" s="151" t="e">
        <f ca="1">VLOOKUP(B498,bond!B:C,2,FALSE)</f>
        <v>#N/A</v>
      </c>
      <c r="D498" s="95" t="e">
        <f>VLOOKUP(A498,'銀行-TSS'!A:C,3,FALSE)</f>
        <v>#N/A</v>
      </c>
      <c r="E498" s="90" t="e">
        <f ca="1">VLOOKUP(A498,'銀行-TSS'!A:G,7,FALSE)</f>
        <v>#N/A</v>
      </c>
      <c r="F498" s="202" t="e">
        <f ca="1">VLOOKUP(A498,'銀行-TSS'!A:H,8,FALSE)</f>
        <v>#N/A</v>
      </c>
      <c r="G498" s="96" t="e">
        <f ca="1">VLOOKUP(A498,'銀行-TSS'!A:K,11,FALSE)</f>
        <v>#N/A</v>
      </c>
      <c r="H498" s="1209" t="e">
        <f ca="1">VLOOKUP(A498,'銀行-TSS'!A:M,13,FALSE)</f>
        <v>#N/A</v>
      </c>
      <c r="I498" s="1213" t="e">
        <f ca="1">VLOOKUP(A498,'銀行-TSS'!A:N,14,FALSE)</f>
        <v>#N/A</v>
      </c>
      <c r="J498" s="1213" t="e">
        <f ca="1">VLOOKUP(A498,'銀行-TSS'!A:O,15,FALSE)</f>
        <v>#N/A</v>
      </c>
      <c r="K498" s="136" t="e">
        <f ca="1">VLOOKUP(A498,'銀行-TSS'!A:V,22,FALSE)</f>
        <v>#N/A</v>
      </c>
      <c r="L498" s="136" t="e">
        <f ca="1">VLOOKUP(A498,'銀行-TSS'!A:AK,37,FALSE)</f>
        <v>#N/A</v>
      </c>
      <c r="M498" s="136" t="str">
        <f ca="1">VLOOKUP(A498,'銀行-TSS'!A:AN,40,FALSE)</f>
        <v/>
      </c>
      <c r="N498" s="1211" t="e">
        <f t="shared" ca="1" si="93"/>
        <v>#N/A</v>
      </c>
      <c r="O498" s="1211" t="e">
        <f t="shared" ca="1" si="94"/>
        <v>#N/A</v>
      </c>
      <c r="P498" s="1213" t="e">
        <f ca="1">IF(AND(換券投組!$D$17&gt;=O498,換券投組!$D$13=D498),I498+INT((換券投組!$D$17-O498)/N498)*J498,0)</f>
        <v>#N/A</v>
      </c>
      <c r="Q498" s="1211" t="e">
        <f t="shared" ca="1" si="95"/>
        <v>#N/A</v>
      </c>
      <c r="R498" s="1213">
        <f t="shared" si="96"/>
        <v>0</v>
      </c>
      <c r="S498" s="1213">
        <f t="shared" si="97"/>
        <v>0</v>
      </c>
      <c r="T498" s="136">
        <f t="shared" si="99"/>
        <v>0</v>
      </c>
      <c r="U498" s="861">
        <f t="shared" si="100"/>
        <v>0</v>
      </c>
      <c r="V498" s="136" t="e">
        <f ca="1">IF(OR(D498&lt;&gt;"USD",L498="無",M498&lt;&gt;"",K498="高資產",IFERROR(MATCH(B498,換券投組!K:K,0),"N")&lt;&gt;"N",IFERROR(MATCH(B498,換券投組!J:J,0),"N")&lt;&gt;"N"),FALSE,IF($V$1="All",TRUE,IF(K498=$V$1,TRUE,FALSE)))</f>
        <v>#N/A</v>
      </c>
      <c r="W498" s="136" t="e">
        <f ca="1">VLOOKUP(A498,'銀行-TSS'!A:AO,41,FALSE)</f>
        <v>#N/A</v>
      </c>
      <c r="X498" s="136" t="e">
        <f ca="1">VLOOKUP(A498,'銀行-TSS'!A:AP,42,FALSE)</f>
        <v>#N/A</v>
      </c>
      <c r="Y498" s="1223">
        <f t="shared" si="98"/>
        <v>0</v>
      </c>
      <c r="Z498" s="1211">
        <f t="shared" si="101"/>
        <v>0</v>
      </c>
      <c r="AA498" s="136">
        <f>IF(Z498&lt;=0,0,RANK(Z498,Z:Z)+COUNTIF($Z$3:$Z498,Z498)-1)</f>
        <v>0</v>
      </c>
      <c r="AB498" s="1211">
        <f t="shared" ca="1" si="102"/>
        <v>0</v>
      </c>
      <c r="AC498" s="136">
        <f ca="1">IF(AB498&lt;=0,0,RANK(AB498,AB:AB)+COUNTIF($AB$3:$AB498,AB498)-1)</f>
        <v>0</v>
      </c>
      <c r="AD498" s="136">
        <f t="shared" si="103"/>
        <v>99999</v>
      </c>
      <c r="AE498" s="136">
        <f>IF(AD498=99999,0,RANK(AD498,AD:AD,1)+COUNTIF($AD$3:$AD498,AD498)-1)</f>
        <v>0</v>
      </c>
    </row>
    <row r="499" spans="1:31">
      <c r="A499" s="141">
        <f>'銀行-TSS'!A499</f>
        <v>0</v>
      </c>
      <c r="B499" s="151">
        <f ca="1">VLOOKUP(A499,'銀行-TSS'!A:B,2,FALSE)</f>
        <v>0</v>
      </c>
      <c r="C499" s="151" t="e">
        <f ca="1">VLOOKUP(B499,bond!B:C,2,FALSE)</f>
        <v>#N/A</v>
      </c>
      <c r="D499" s="95" t="e">
        <f>VLOOKUP(A499,'銀行-TSS'!A:C,3,FALSE)</f>
        <v>#N/A</v>
      </c>
      <c r="E499" s="90" t="e">
        <f ca="1">VLOOKUP(A499,'銀行-TSS'!A:G,7,FALSE)</f>
        <v>#N/A</v>
      </c>
      <c r="F499" s="202" t="e">
        <f ca="1">VLOOKUP(A499,'銀行-TSS'!A:H,8,FALSE)</f>
        <v>#N/A</v>
      </c>
      <c r="G499" s="96" t="e">
        <f ca="1">VLOOKUP(A499,'銀行-TSS'!A:K,11,FALSE)</f>
        <v>#N/A</v>
      </c>
      <c r="H499" s="1209" t="e">
        <f ca="1">VLOOKUP(A499,'銀行-TSS'!A:M,13,FALSE)</f>
        <v>#N/A</v>
      </c>
      <c r="I499" s="1213" t="e">
        <f ca="1">VLOOKUP(A499,'銀行-TSS'!A:N,14,FALSE)</f>
        <v>#N/A</v>
      </c>
      <c r="J499" s="1213" t="e">
        <f ca="1">VLOOKUP(A499,'銀行-TSS'!A:O,15,FALSE)</f>
        <v>#N/A</v>
      </c>
      <c r="K499" s="136" t="e">
        <f ca="1">VLOOKUP(A499,'銀行-TSS'!A:V,22,FALSE)</f>
        <v>#N/A</v>
      </c>
      <c r="L499" s="136" t="e">
        <f ca="1">VLOOKUP(A499,'銀行-TSS'!A:AK,37,FALSE)</f>
        <v>#N/A</v>
      </c>
      <c r="M499" s="136" t="str">
        <f ca="1">VLOOKUP(A499,'銀行-TSS'!A:AN,40,FALSE)</f>
        <v/>
      </c>
      <c r="N499" s="1211" t="e">
        <f t="shared" ca="1" si="93"/>
        <v>#N/A</v>
      </c>
      <c r="O499" s="1211" t="e">
        <f t="shared" ca="1" si="94"/>
        <v>#N/A</v>
      </c>
      <c r="P499" s="1213" t="e">
        <f ca="1">IF(AND(換券投組!$D$17&gt;=O499,換券投組!$D$13=D499),I499+INT((換券投組!$D$17-O499)/N499)*J499,0)</f>
        <v>#N/A</v>
      </c>
      <c r="Q499" s="1211" t="e">
        <f t="shared" ca="1" si="95"/>
        <v>#N/A</v>
      </c>
      <c r="R499" s="1213">
        <f t="shared" si="96"/>
        <v>0</v>
      </c>
      <c r="S499" s="1213">
        <f t="shared" si="97"/>
        <v>0</v>
      </c>
      <c r="T499" s="136">
        <f t="shared" si="99"/>
        <v>0</v>
      </c>
      <c r="U499" s="861">
        <f t="shared" si="100"/>
        <v>0</v>
      </c>
      <c r="V499" s="136" t="e">
        <f ca="1">IF(OR(D499&lt;&gt;"USD",L499="無",M499&lt;&gt;"",K499="高資產",IFERROR(MATCH(B499,換券投組!K:K,0),"N")&lt;&gt;"N",IFERROR(MATCH(B499,換券投組!J:J,0),"N")&lt;&gt;"N"),FALSE,IF($V$1="All",TRUE,IF(K499=$V$1,TRUE,FALSE)))</f>
        <v>#N/A</v>
      </c>
      <c r="W499" s="136" t="e">
        <f ca="1">VLOOKUP(A499,'銀行-TSS'!A:AO,41,FALSE)</f>
        <v>#N/A</v>
      </c>
      <c r="X499" s="136" t="e">
        <f ca="1">VLOOKUP(A499,'銀行-TSS'!A:AP,42,FALSE)</f>
        <v>#N/A</v>
      </c>
      <c r="Y499" s="1223">
        <f t="shared" si="98"/>
        <v>0</v>
      </c>
      <c r="Z499" s="1211">
        <f t="shared" si="101"/>
        <v>0</v>
      </c>
      <c r="AA499" s="136">
        <f>IF(Z499&lt;=0,0,RANK(Z499,Z:Z)+COUNTIF($Z$3:$Z499,Z499)-1)</f>
        <v>0</v>
      </c>
      <c r="AB499" s="1211">
        <f t="shared" ca="1" si="102"/>
        <v>0</v>
      </c>
      <c r="AC499" s="136">
        <f ca="1">IF(AB499&lt;=0,0,RANK(AB499,AB:AB)+COUNTIF($AB$3:$AB499,AB499)-1)</f>
        <v>0</v>
      </c>
      <c r="AD499" s="136">
        <f t="shared" si="103"/>
        <v>99999</v>
      </c>
      <c r="AE499" s="136">
        <f>IF(AD499=99999,0,RANK(AD499,AD:AD,1)+COUNTIF($AD$3:$AD499,AD499)-1)</f>
        <v>0</v>
      </c>
    </row>
    <row r="500" spans="1:31">
      <c r="A500" s="141">
        <f>'銀行-TSS'!A500</f>
        <v>0</v>
      </c>
      <c r="B500" s="151">
        <f ca="1">VLOOKUP(A500,'銀行-TSS'!A:B,2,FALSE)</f>
        <v>0</v>
      </c>
      <c r="C500" s="151" t="e">
        <f ca="1">VLOOKUP(B500,bond!B:C,2,FALSE)</f>
        <v>#N/A</v>
      </c>
      <c r="D500" s="95" t="e">
        <f>VLOOKUP(A500,'銀行-TSS'!A:C,3,FALSE)</f>
        <v>#N/A</v>
      </c>
      <c r="E500" s="90" t="e">
        <f ca="1">VLOOKUP(A500,'銀行-TSS'!A:G,7,FALSE)</f>
        <v>#N/A</v>
      </c>
      <c r="F500" s="202" t="e">
        <f ca="1">VLOOKUP(A500,'銀行-TSS'!A:H,8,FALSE)</f>
        <v>#N/A</v>
      </c>
      <c r="G500" s="96" t="e">
        <f ca="1">VLOOKUP(A500,'銀行-TSS'!A:K,11,FALSE)</f>
        <v>#N/A</v>
      </c>
      <c r="H500" s="1209" t="e">
        <f ca="1">VLOOKUP(A500,'銀行-TSS'!A:M,13,FALSE)</f>
        <v>#N/A</v>
      </c>
      <c r="I500" s="1213" t="e">
        <f ca="1">VLOOKUP(A500,'銀行-TSS'!A:N,14,FALSE)</f>
        <v>#N/A</v>
      </c>
      <c r="J500" s="1213" t="e">
        <f ca="1">VLOOKUP(A500,'銀行-TSS'!A:O,15,FALSE)</f>
        <v>#N/A</v>
      </c>
      <c r="K500" s="136" t="e">
        <f ca="1">VLOOKUP(A500,'銀行-TSS'!A:V,22,FALSE)</f>
        <v>#N/A</v>
      </c>
      <c r="L500" s="136" t="e">
        <f ca="1">VLOOKUP(A500,'銀行-TSS'!A:AK,37,FALSE)</f>
        <v>#N/A</v>
      </c>
      <c r="M500" s="136" t="str">
        <f ca="1">VLOOKUP(A500,'銀行-TSS'!A:AN,40,FALSE)</f>
        <v/>
      </c>
      <c r="N500" s="1211" t="e">
        <f t="shared" ca="1" si="93"/>
        <v>#N/A</v>
      </c>
      <c r="O500" s="1211" t="e">
        <f t="shared" ca="1" si="94"/>
        <v>#N/A</v>
      </c>
      <c r="P500" s="1213" t="e">
        <f ca="1">IF(AND(換券投組!$D$17&gt;=O500,換券投組!$D$13=D500),I500+INT((換券投組!$D$17-O500)/N500)*J500,0)</f>
        <v>#N/A</v>
      </c>
      <c r="Q500" s="1211" t="e">
        <f t="shared" ca="1" si="95"/>
        <v>#N/A</v>
      </c>
      <c r="R500" s="1213">
        <f t="shared" si="96"/>
        <v>0</v>
      </c>
      <c r="S500" s="1213">
        <f t="shared" si="97"/>
        <v>0</v>
      </c>
      <c r="T500" s="136">
        <f t="shared" si="99"/>
        <v>0</v>
      </c>
      <c r="U500" s="861">
        <f t="shared" si="100"/>
        <v>0</v>
      </c>
      <c r="V500" s="136" t="e">
        <f ca="1">IF(OR(D500&lt;&gt;"USD",L500="無",M500&lt;&gt;"",K500="高資產",IFERROR(MATCH(B500,換券投組!K:K,0),"N")&lt;&gt;"N",IFERROR(MATCH(B500,換券投組!J:J,0),"N")&lt;&gt;"N"),FALSE,IF($V$1="All",TRUE,IF(K500=$V$1,TRUE,FALSE)))</f>
        <v>#N/A</v>
      </c>
      <c r="W500" s="136" t="e">
        <f ca="1">VLOOKUP(A500,'銀行-TSS'!A:AO,41,FALSE)</f>
        <v>#N/A</v>
      </c>
      <c r="X500" s="136" t="e">
        <f ca="1">VLOOKUP(A500,'銀行-TSS'!A:AP,42,FALSE)</f>
        <v>#N/A</v>
      </c>
      <c r="Y500" s="1223">
        <f t="shared" si="98"/>
        <v>0</v>
      </c>
      <c r="Z500" s="1211">
        <f t="shared" si="101"/>
        <v>0</v>
      </c>
      <c r="AA500" s="136">
        <f>IF(Z500&lt;=0,0,RANK(Z500,Z:Z)+COUNTIF($Z$3:$Z500,Z500)-1)</f>
        <v>0</v>
      </c>
      <c r="AB500" s="1211">
        <f t="shared" ca="1" si="102"/>
        <v>0</v>
      </c>
      <c r="AC500" s="136">
        <f ca="1">IF(AB500&lt;=0,0,RANK(AB500,AB:AB)+COUNTIF($AB$3:$AB500,AB500)-1)</f>
        <v>0</v>
      </c>
      <c r="AD500" s="136">
        <f t="shared" si="103"/>
        <v>99999</v>
      </c>
      <c r="AE500" s="136">
        <f>IF(AD500=99999,0,RANK(AD500,AD:AD,1)+COUNTIF($AD$3:$AD500,AD500)-1)</f>
        <v>0</v>
      </c>
    </row>
    <row r="501" spans="1:31">
      <c r="A501" s="141">
        <f>'銀行-TSS'!A501</f>
        <v>0</v>
      </c>
      <c r="B501" s="151">
        <f ca="1">VLOOKUP(A501,'銀行-TSS'!A:B,2,FALSE)</f>
        <v>0</v>
      </c>
      <c r="C501" s="151" t="e">
        <f ca="1">VLOOKUP(B501,bond!B:C,2,FALSE)</f>
        <v>#N/A</v>
      </c>
      <c r="D501" s="95" t="e">
        <f>VLOOKUP(A501,'銀行-TSS'!A:C,3,FALSE)</f>
        <v>#N/A</v>
      </c>
      <c r="E501" s="90" t="e">
        <f ca="1">VLOOKUP(A501,'銀行-TSS'!A:G,7,FALSE)</f>
        <v>#N/A</v>
      </c>
      <c r="F501" s="202" t="e">
        <f ca="1">VLOOKUP(A501,'銀行-TSS'!A:H,8,FALSE)</f>
        <v>#N/A</v>
      </c>
      <c r="G501" s="96" t="e">
        <f ca="1">VLOOKUP(A501,'銀行-TSS'!A:K,11,FALSE)</f>
        <v>#N/A</v>
      </c>
      <c r="H501" s="1209" t="e">
        <f ca="1">VLOOKUP(A501,'銀行-TSS'!A:M,13,FALSE)</f>
        <v>#N/A</v>
      </c>
      <c r="I501" s="1213" t="e">
        <f ca="1">VLOOKUP(A501,'銀行-TSS'!A:N,14,FALSE)</f>
        <v>#N/A</v>
      </c>
      <c r="J501" s="1213" t="e">
        <f ca="1">VLOOKUP(A501,'銀行-TSS'!A:O,15,FALSE)</f>
        <v>#N/A</v>
      </c>
      <c r="K501" s="136" t="e">
        <f ca="1">VLOOKUP(A501,'銀行-TSS'!A:V,22,FALSE)</f>
        <v>#N/A</v>
      </c>
      <c r="L501" s="136" t="e">
        <f ca="1">VLOOKUP(A501,'銀行-TSS'!A:AK,37,FALSE)</f>
        <v>#N/A</v>
      </c>
      <c r="M501" s="136" t="str">
        <f ca="1">VLOOKUP(A501,'銀行-TSS'!A:AN,40,FALSE)</f>
        <v/>
      </c>
      <c r="N501" s="1211" t="e">
        <f t="shared" ca="1" si="93"/>
        <v>#N/A</v>
      </c>
      <c r="O501" s="1211" t="e">
        <f t="shared" ca="1" si="94"/>
        <v>#N/A</v>
      </c>
      <c r="P501" s="1213" t="e">
        <f ca="1">IF(AND(換券投組!$D$17&gt;=O501,換券投組!$D$13=D501),I501+INT((換券投組!$D$17-O501)/N501)*J501,0)</f>
        <v>#N/A</v>
      </c>
      <c r="Q501" s="1211" t="e">
        <f t="shared" ca="1" si="95"/>
        <v>#N/A</v>
      </c>
      <c r="R501" s="1213">
        <f t="shared" si="96"/>
        <v>0</v>
      </c>
      <c r="S501" s="1213">
        <f t="shared" si="97"/>
        <v>0</v>
      </c>
      <c r="T501" s="136">
        <f t="shared" si="99"/>
        <v>0</v>
      </c>
      <c r="U501" s="861">
        <f t="shared" si="100"/>
        <v>0</v>
      </c>
      <c r="V501" s="136" t="e">
        <f ca="1">IF(OR(D501&lt;&gt;"USD",L501="無",M501&lt;&gt;"",K501="高資產",IFERROR(MATCH(B501,換券投組!K:K,0),"N")&lt;&gt;"N",IFERROR(MATCH(B501,換券投組!J:J,0),"N")&lt;&gt;"N"),FALSE,IF($V$1="All",TRUE,IF(K501=$V$1,TRUE,FALSE)))</f>
        <v>#N/A</v>
      </c>
      <c r="W501" s="136" t="e">
        <f ca="1">VLOOKUP(A501,'銀行-TSS'!A:AO,41,FALSE)</f>
        <v>#N/A</v>
      </c>
      <c r="X501" s="136" t="e">
        <f ca="1">VLOOKUP(A501,'銀行-TSS'!A:AP,42,FALSE)</f>
        <v>#N/A</v>
      </c>
      <c r="Y501" s="1223">
        <f t="shared" si="98"/>
        <v>0</v>
      </c>
      <c r="Z501" s="1211">
        <f t="shared" si="101"/>
        <v>0</v>
      </c>
      <c r="AA501" s="136">
        <f>IF(Z501&lt;=0,0,RANK(Z501,Z:Z)+COUNTIF($Z$3:$Z501,Z501)-1)</f>
        <v>0</v>
      </c>
      <c r="AB501" s="1211">
        <f t="shared" ca="1" si="102"/>
        <v>0</v>
      </c>
      <c r="AC501" s="136">
        <f ca="1">IF(AB501&lt;=0,0,RANK(AB501,AB:AB)+COUNTIF($AB$3:$AB501,AB501)-1)</f>
        <v>0</v>
      </c>
      <c r="AD501" s="136">
        <f t="shared" si="103"/>
        <v>99999</v>
      </c>
      <c r="AE501" s="136">
        <f>IF(AD501=99999,0,RANK(AD501,AD:AD,1)+COUNTIF($AD$3:$AD501,AD501)-1)</f>
        <v>0</v>
      </c>
    </row>
    <row r="502" spans="1:31">
      <c r="A502" s="141">
        <f>'銀行-TSS'!A502</f>
        <v>0</v>
      </c>
      <c r="B502" s="151">
        <f ca="1">VLOOKUP(A502,'銀行-TSS'!A:B,2,FALSE)</f>
        <v>0</v>
      </c>
      <c r="C502" s="151" t="e">
        <f ca="1">VLOOKUP(B502,bond!B:C,2,FALSE)</f>
        <v>#N/A</v>
      </c>
      <c r="D502" s="95" t="e">
        <f>VLOOKUP(A502,'銀行-TSS'!A:C,3,FALSE)</f>
        <v>#N/A</v>
      </c>
      <c r="E502" s="90" t="e">
        <f ca="1">VLOOKUP(A502,'銀行-TSS'!A:G,7,FALSE)</f>
        <v>#N/A</v>
      </c>
      <c r="F502" s="202" t="e">
        <f ca="1">VLOOKUP(A502,'銀行-TSS'!A:H,8,FALSE)</f>
        <v>#N/A</v>
      </c>
      <c r="G502" s="96" t="e">
        <f ca="1">VLOOKUP(A502,'銀行-TSS'!A:K,11,FALSE)</f>
        <v>#N/A</v>
      </c>
      <c r="H502" s="1209" t="e">
        <f ca="1">VLOOKUP(A502,'銀行-TSS'!A:M,13,FALSE)</f>
        <v>#N/A</v>
      </c>
      <c r="I502" s="1213" t="e">
        <f ca="1">VLOOKUP(A502,'銀行-TSS'!A:N,14,FALSE)</f>
        <v>#N/A</v>
      </c>
      <c r="J502" s="1213" t="e">
        <f ca="1">VLOOKUP(A502,'銀行-TSS'!A:O,15,FALSE)</f>
        <v>#N/A</v>
      </c>
      <c r="K502" s="136" t="e">
        <f ca="1">VLOOKUP(A502,'銀行-TSS'!A:V,22,FALSE)</f>
        <v>#N/A</v>
      </c>
      <c r="L502" s="136" t="e">
        <f ca="1">VLOOKUP(A502,'銀行-TSS'!A:AK,37,FALSE)</f>
        <v>#N/A</v>
      </c>
      <c r="M502" s="136" t="str">
        <f ca="1">VLOOKUP(A502,'銀行-TSS'!A:AN,40,FALSE)</f>
        <v/>
      </c>
      <c r="N502" s="1211" t="e">
        <f t="shared" ca="1" si="93"/>
        <v>#N/A</v>
      </c>
      <c r="O502" s="1211" t="e">
        <f t="shared" ca="1" si="94"/>
        <v>#N/A</v>
      </c>
      <c r="P502" s="1213" t="e">
        <f ca="1">IF(AND(換券投組!$D$17&gt;=O502,換券投組!$D$13=D502),I502+INT((換券投組!$D$17-O502)/N502)*J502,0)</f>
        <v>#N/A</v>
      </c>
      <c r="Q502" s="1211" t="e">
        <f t="shared" ca="1" si="95"/>
        <v>#N/A</v>
      </c>
      <c r="R502" s="1213">
        <f t="shared" si="96"/>
        <v>0</v>
      </c>
      <c r="S502" s="1213">
        <f t="shared" si="97"/>
        <v>0</v>
      </c>
      <c r="T502" s="136">
        <f t="shared" si="99"/>
        <v>0</v>
      </c>
      <c r="U502" s="861">
        <f t="shared" si="100"/>
        <v>0</v>
      </c>
      <c r="V502" s="136" t="e">
        <f ca="1">IF(OR(D502&lt;&gt;"USD",L502="無",M502&lt;&gt;"",K502="高資產",IFERROR(MATCH(B502,換券投組!K:K,0),"N")&lt;&gt;"N",IFERROR(MATCH(B502,換券投組!J:J,0),"N")&lt;&gt;"N"),FALSE,IF($V$1="All",TRUE,IF(K502=$V$1,TRUE,FALSE)))</f>
        <v>#N/A</v>
      </c>
      <c r="W502" s="136" t="e">
        <f ca="1">VLOOKUP(A502,'銀行-TSS'!A:AO,41,FALSE)</f>
        <v>#N/A</v>
      </c>
      <c r="X502" s="136" t="e">
        <f ca="1">VLOOKUP(A502,'銀行-TSS'!A:AP,42,FALSE)</f>
        <v>#N/A</v>
      </c>
      <c r="Y502" s="1223">
        <f t="shared" si="98"/>
        <v>0</v>
      </c>
      <c r="Z502" s="1211">
        <f t="shared" si="101"/>
        <v>0</v>
      </c>
      <c r="AA502" s="136">
        <f>IF(Z502&lt;=0,0,RANK(Z502,Z:Z)+COUNTIF($Z$3:$Z502,Z502)-1)</f>
        <v>0</v>
      </c>
      <c r="AB502" s="1211">
        <f t="shared" ca="1" si="102"/>
        <v>0</v>
      </c>
      <c r="AC502" s="136">
        <f ca="1">IF(AB502&lt;=0,0,RANK(AB502,AB:AB)+COUNTIF($AB$3:$AB502,AB502)-1)</f>
        <v>0</v>
      </c>
      <c r="AD502" s="136">
        <f t="shared" si="103"/>
        <v>99999</v>
      </c>
      <c r="AE502" s="136">
        <f>IF(AD502=99999,0,RANK(AD502,AD:AD,1)+COUNTIF($AD$3:$AD502,AD502)-1)</f>
        <v>0</v>
      </c>
    </row>
    <row r="503" spans="1:31">
      <c r="A503" s="141">
        <f>'銀行-TSS'!A503</f>
        <v>0</v>
      </c>
      <c r="B503" s="151">
        <f ca="1">VLOOKUP(A503,'銀行-TSS'!A:B,2,FALSE)</f>
        <v>0</v>
      </c>
      <c r="C503" s="151" t="e">
        <f ca="1">VLOOKUP(B503,bond!B:C,2,FALSE)</f>
        <v>#N/A</v>
      </c>
      <c r="D503" s="95" t="e">
        <f>VLOOKUP(A503,'銀行-TSS'!A:C,3,FALSE)</f>
        <v>#N/A</v>
      </c>
      <c r="E503" s="90" t="e">
        <f ca="1">VLOOKUP(A503,'銀行-TSS'!A:G,7,FALSE)</f>
        <v>#N/A</v>
      </c>
      <c r="F503" s="202" t="e">
        <f ca="1">VLOOKUP(A503,'銀行-TSS'!A:H,8,FALSE)</f>
        <v>#N/A</v>
      </c>
      <c r="G503" s="96" t="e">
        <f ca="1">VLOOKUP(A503,'銀行-TSS'!A:K,11,FALSE)</f>
        <v>#N/A</v>
      </c>
      <c r="H503" s="1209" t="e">
        <f ca="1">VLOOKUP(A503,'銀行-TSS'!A:M,13,FALSE)</f>
        <v>#N/A</v>
      </c>
      <c r="I503" s="1213" t="e">
        <f ca="1">VLOOKUP(A503,'銀行-TSS'!A:N,14,FALSE)</f>
        <v>#N/A</v>
      </c>
      <c r="J503" s="1213" t="e">
        <f ca="1">VLOOKUP(A503,'銀行-TSS'!A:O,15,FALSE)</f>
        <v>#N/A</v>
      </c>
      <c r="K503" s="136" t="e">
        <f ca="1">VLOOKUP(A503,'銀行-TSS'!A:V,22,FALSE)</f>
        <v>#N/A</v>
      </c>
      <c r="L503" s="136" t="e">
        <f ca="1">VLOOKUP(A503,'銀行-TSS'!A:AK,37,FALSE)</f>
        <v>#N/A</v>
      </c>
      <c r="M503" s="136" t="str">
        <f ca="1">VLOOKUP(A503,'銀行-TSS'!A:AN,40,FALSE)</f>
        <v/>
      </c>
      <c r="N503" s="1211" t="e">
        <f t="shared" ca="1" si="93"/>
        <v>#N/A</v>
      </c>
      <c r="O503" s="1211" t="e">
        <f t="shared" ca="1" si="94"/>
        <v>#N/A</v>
      </c>
      <c r="P503" s="1213" t="e">
        <f ca="1">IF(AND(換券投組!$D$17&gt;=O503,換券投組!$D$13=D503),I503+INT((換券投組!$D$17-O503)/N503)*J503,0)</f>
        <v>#N/A</v>
      </c>
      <c r="Q503" s="1211" t="e">
        <f t="shared" ca="1" si="95"/>
        <v>#N/A</v>
      </c>
      <c r="R503" s="1213">
        <f t="shared" si="96"/>
        <v>0</v>
      </c>
      <c r="S503" s="1213">
        <f t="shared" si="97"/>
        <v>0</v>
      </c>
      <c r="T503" s="136">
        <f t="shared" si="99"/>
        <v>0</v>
      </c>
      <c r="U503" s="861">
        <f t="shared" si="100"/>
        <v>0</v>
      </c>
      <c r="V503" s="136" t="e">
        <f ca="1">IF(OR(D503&lt;&gt;"USD",L503="無",M503&lt;&gt;"",K503="高資產",IFERROR(MATCH(B503,換券投組!K:K,0),"N")&lt;&gt;"N",IFERROR(MATCH(B503,換券投組!J:J,0),"N")&lt;&gt;"N"),FALSE,IF($V$1="All",TRUE,IF(K503=$V$1,TRUE,FALSE)))</f>
        <v>#N/A</v>
      </c>
      <c r="W503" s="136" t="e">
        <f ca="1">VLOOKUP(A503,'銀行-TSS'!A:AO,41,FALSE)</f>
        <v>#N/A</v>
      </c>
      <c r="X503" s="136" t="e">
        <f ca="1">VLOOKUP(A503,'銀行-TSS'!A:AP,42,FALSE)</f>
        <v>#N/A</v>
      </c>
      <c r="Y503" s="1223">
        <f t="shared" si="98"/>
        <v>0</v>
      </c>
      <c r="Z503" s="1211">
        <f t="shared" si="101"/>
        <v>0</v>
      </c>
      <c r="AA503" s="136">
        <f>IF(Z503&lt;=0,0,RANK(Z503,Z:Z)+COUNTIF($Z$3:$Z503,Z503)-1)</f>
        <v>0</v>
      </c>
      <c r="AB503" s="1211">
        <f t="shared" ca="1" si="102"/>
        <v>0</v>
      </c>
      <c r="AC503" s="136">
        <f ca="1">IF(AB503&lt;=0,0,RANK(AB503,AB:AB)+COUNTIF($AB$3:$AB503,AB503)-1)</f>
        <v>0</v>
      </c>
      <c r="AD503" s="136">
        <f t="shared" si="103"/>
        <v>99999</v>
      </c>
      <c r="AE503" s="136">
        <f>IF(AD503=99999,0,RANK(AD503,AD:AD,1)+COUNTIF($AD$3:$AD503,AD503)-1)</f>
        <v>0</v>
      </c>
    </row>
    <row r="504" spans="1:31">
      <c r="A504" s="141">
        <f>'銀行-TSS'!A504</f>
        <v>0</v>
      </c>
      <c r="B504" s="151">
        <f ca="1">VLOOKUP(A504,'銀行-TSS'!A:B,2,FALSE)</f>
        <v>0</v>
      </c>
      <c r="C504" s="151" t="e">
        <f ca="1">VLOOKUP(B504,bond!B:C,2,FALSE)</f>
        <v>#N/A</v>
      </c>
      <c r="D504" s="95" t="e">
        <f>VLOOKUP(A504,'銀行-TSS'!A:C,3,FALSE)</f>
        <v>#N/A</v>
      </c>
      <c r="E504" s="90" t="e">
        <f ca="1">VLOOKUP(A504,'銀行-TSS'!A:G,7,FALSE)</f>
        <v>#N/A</v>
      </c>
      <c r="F504" s="202" t="e">
        <f ca="1">VLOOKUP(A504,'銀行-TSS'!A:H,8,FALSE)</f>
        <v>#N/A</v>
      </c>
      <c r="G504" s="96" t="e">
        <f ca="1">VLOOKUP(A504,'銀行-TSS'!A:K,11,FALSE)</f>
        <v>#N/A</v>
      </c>
      <c r="H504" s="1209" t="e">
        <f ca="1">VLOOKUP(A504,'銀行-TSS'!A:M,13,FALSE)</f>
        <v>#N/A</v>
      </c>
      <c r="I504" s="1213" t="e">
        <f ca="1">VLOOKUP(A504,'銀行-TSS'!A:N,14,FALSE)</f>
        <v>#N/A</v>
      </c>
      <c r="J504" s="1213" t="e">
        <f ca="1">VLOOKUP(A504,'銀行-TSS'!A:O,15,FALSE)</f>
        <v>#N/A</v>
      </c>
      <c r="K504" s="136" t="e">
        <f ca="1">VLOOKUP(A504,'銀行-TSS'!A:V,22,FALSE)</f>
        <v>#N/A</v>
      </c>
      <c r="L504" s="136" t="e">
        <f ca="1">VLOOKUP(A504,'銀行-TSS'!A:AK,37,FALSE)</f>
        <v>#N/A</v>
      </c>
      <c r="M504" s="136" t="str">
        <f ca="1">VLOOKUP(A504,'銀行-TSS'!A:AN,40,FALSE)</f>
        <v/>
      </c>
      <c r="N504" s="1211" t="e">
        <f t="shared" ca="1" si="93"/>
        <v>#N/A</v>
      </c>
      <c r="O504" s="1211" t="e">
        <f t="shared" ca="1" si="94"/>
        <v>#N/A</v>
      </c>
      <c r="P504" s="1213" t="e">
        <f ca="1">IF(AND(換券投組!$D$17&gt;=O504,換券投組!$D$13=D504),I504+INT((換券投組!$D$17-O504)/N504)*J504,0)</f>
        <v>#N/A</v>
      </c>
      <c r="Q504" s="1211" t="e">
        <f t="shared" ca="1" si="95"/>
        <v>#N/A</v>
      </c>
      <c r="R504" s="1213">
        <f t="shared" si="96"/>
        <v>0</v>
      </c>
      <c r="S504" s="1213">
        <f t="shared" si="97"/>
        <v>0</v>
      </c>
      <c r="T504" s="136">
        <f t="shared" si="99"/>
        <v>0</v>
      </c>
      <c r="U504" s="861">
        <f t="shared" si="100"/>
        <v>0</v>
      </c>
      <c r="V504" s="136" t="e">
        <f ca="1">IF(OR(D504&lt;&gt;"USD",L504="無",M504&lt;&gt;"",K504="高資產",IFERROR(MATCH(B504,換券投組!K:K,0),"N")&lt;&gt;"N",IFERROR(MATCH(B504,換券投組!J:J,0),"N")&lt;&gt;"N"),FALSE,IF($V$1="All",TRUE,IF(K504=$V$1,TRUE,FALSE)))</f>
        <v>#N/A</v>
      </c>
      <c r="W504" s="136" t="e">
        <f ca="1">VLOOKUP(A504,'銀行-TSS'!A:AO,41,FALSE)</f>
        <v>#N/A</v>
      </c>
      <c r="X504" s="136" t="e">
        <f ca="1">VLOOKUP(A504,'銀行-TSS'!A:AP,42,FALSE)</f>
        <v>#N/A</v>
      </c>
      <c r="Y504" s="1223">
        <f t="shared" si="98"/>
        <v>0</v>
      </c>
      <c r="Z504" s="1211">
        <f t="shared" si="101"/>
        <v>0</v>
      </c>
      <c r="AA504" s="136">
        <f>IF(Z504&lt;=0,0,RANK(Z504,Z:Z)+COUNTIF($Z$3:$Z504,Z504)-1)</f>
        <v>0</v>
      </c>
      <c r="AB504" s="1211">
        <f t="shared" ca="1" si="102"/>
        <v>0</v>
      </c>
      <c r="AC504" s="136">
        <f ca="1">IF(AB504&lt;=0,0,RANK(AB504,AB:AB)+COUNTIF($AB$3:$AB504,AB504)-1)</f>
        <v>0</v>
      </c>
      <c r="AD504" s="136">
        <f t="shared" si="103"/>
        <v>99999</v>
      </c>
      <c r="AE504" s="136">
        <f>IF(AD504=99999,0,RANK(AD504,AD:AD,1)+COUNTIF($AD$3:$AD504,AD504)-1)</f>
        <v>0</v>
      </c>
    </row>
    <row r="505" spans="1:31">
      <c r="A505" s="141">
        <f>'銀行-TSS'!A505</f>
        <v>0</v>
      </c>
      <c r="B505" s="151">
        <f ca="1">VLOOKUP(A505,'銀行-TSS'!A:B,2,FALSE)</f>
        <v>0</v>
      </c>
      <c r="C505" s="151" t="e">
        <f ca="1">VLOOKUP(B505,bond!B:C,2,FALSE)</f>
        <v>#N/A</v>
      </c>
      <c r="D505" s="95" t="e">
        <f>VLOOKUP(A505,'銀行-TSS'!A:C,3,FALSE)</f>
        <v>#N/A</v>
      </c>
      <c r="E505" s="90" t="e">
        <f ca="1">VLOOKUP(A505,'銀行-TSS'!A:G,7,FALSE)</f>
        <v>#N/A</v>
      </c>
      <c r="F505" s="202" t="e">
        <f ca="1">VLOOKUP(A505,'銀行-TSS'!A:H,8,FALSE)</f>
        <v>#N/A</v>
      </c>
      <c r="G505" s="96" t="e">
        <f ca="1">VLOOKUP(A505,'銀行-TSS'!A:K,11,FALSE)</f>
        <v>#N/A</v>
      </c>
      <c r="H505" s="1209" t="e">
        <f ca="1">VLOOKUP(A505,'銀行-TSS'!A:M,13,FALSE)</f>
        <v>#N/A</v>
      </c>
      <c r="I505" s="1213" t="e">
        <f ca="1">VLOOKUP(A505,'銀行-TSS'!A:N,14,FALSE)</f>
        <v>#N/A</v>
      </c>
      <c r="J505" s="1213" t="e">
        <f ca="1">VLOOKUP(A505,'銀行-TSS'!A:O,15,FALSE)</f>
        <v>#N/A</v>
      </c>
      <c r="K505" s="136" t="e">
        <f ca="1">VLOOKUP(A505,'銀行-TSS'!A:V,22,FALSE)</f>
        <v>#N/A</v>
      </c>
      <c r="L505" s="136" t="e">
        <f ca="1">VLOOKUP(A505,'銀行-TSS'!A:AK,37,FALSE)</f>
        <v>#N/A</v>
      </c>
      <c r="M505" s="136" t="str">
        <f ca="1">VLOOKUP(A505,'銀行-TSS'!A:AN,40,FALSE)</f>
        <v/>
      </c>
      <c r="N505" s="1211" t="e">
        <f t="shared" ca="1" si="93"/>
        <v>#N/A</v>
      </c>
      <c r="O505" s="1211" t="e">
        <f t="shared" ca="1" si="94"/>
        <v>#N/A</v>
      </c>
      <c r="P505" s="1213" t="e">
        <f ca="1">IF(AND(換券投組!$D$17&gt;=O505,換券投組!$D$13=D505),I505+INT((換券投組!$D$17-O505)/N505)*J505,0)</f>
        <v>#N/A</v>
      </c>
      <c r="Q505" s="1211" t="e">
        <f t="shared" ca="1" si="95"/>
        <v>#N/A</v>
      </c>
      <c r="R505" s="1213">
        <f t="shared" si="96"/>
        <v>0</v>
      </c>
      <c r="S505" s="1213">
        <f t="shared" si="97"/>
        <v>0</v>
      </c>
      <c r="T505" s="136">
        <f t="shared" si="99"/>
        <v>0</v>
      </c>
      <c r="U505" s="861">
        <f t="shared" si="100"/>
        <v>0</v>
      </c>
      <c r="V505" s="136" t="e">
        <f ca="1">IF(OR(D505&lt;&gt;"USD",L505="無",M505&lt;&gt;"",K505="高資產",IFERROR(MATCH(B505,換券投組!K:K,0),"N")&lt;&gt;"N",IFERROR(MATCH(B505,換券投組!J:J,0),"N")&lt;&gt;"N"),FALSE,IF($V$1="All",TRUE,IF(K505=$V$1,TRUE,FALSE)))</f>
        <v>#N/A</v>
      </c>
      <c r="W505" s="136" t="e">
        <f ca="1">VLOOKUP(A505,'銀行-TSS'!A:AO,41,FALSE)</f>
        <v>#N/A</v>
      </c>
      <c r="X505" s="136" t="e">
        <f ca="1">VLOOKUP(A505,'銀行-TSS'!A:AP,42,FALSE)</f>
        <v>#N/A</v>
      </c>
      <c r="Y505" s="1223">
        <f t="shared" si="98"/>
        <v>0</v>
      </c>
      <c r="Z505" s="1211">
        <f t="shared" si="101"/>
        <v>0</v>
      </c>
      <c r="AA505" s="136">
        <f>IF(Z505&lt;=0,0,RANK(Z505,Z:Z)+COUNTIF($Z$3:$Z505,Z505)-1)</f>
        <v>0</v>
      </c>
      <c r="AB505" s="1211">
        <f t="shared" ca="1" si="102"/>
        <v>0</v>
      </c>
      <c r="AC505" s="136">
        <f ca="1">IF(AB505&lt;=0,0,RANK(AB505,AB:AB)+COUNTIF($AB$3:$AB505,AB505)-1)</f>
        <v>0</v>
      </c>
      <c r="AD505" s="136">
        <f t="shared" si="103"/>
        <v>99999</v>
      </c>
      <c r="AE505" s="136">
        <f>IF(AD505=99999,0,RANK(AD505,AD:AD,1)+COUNTIF($AD$3:$AD505,AD505)-1)</f>
        <v>0</v>
      </c>
    </row>
    <row r="506" spans="1:31">
      <c r="A506" s="141">
        <f>'銀行-TSS'!A506</f>
        <v>0</v>
      </c>
      <c r="B506" s="151">
        <f ca="1">VLOOKUP(A506,'銀行-TSS'!A:B,2,FALSE)</f>
        <v>0</v>
      </c>
      <c r="C506" s="151" t="e">
        <f ca="1">VLOOKUP(B506,bond!B:C,2,FALSE)</f>
        <v>#N/A</v>
      </c>
      <c r="D506" s="95" t="e">
        <f>VLOOKUP(A506,'銀行-TSS'!A:C,3,FALSE)</f>
        <v>#N/A</v>
      </c>
      <c r="E506" s="90" t="e">
        <f ca="1">VLOOKUP(A506,'銀行-TSS'!A:G,7,FALSE)</f>
        <v>#N/A</v>
      </c>
      <c r="F506" s="202" t="e">
        <f ca="1">VLOOKUP(A506,'銀行-TSS'!A:H,8,FALSE)</f>
        <v>#N/A</v>
      </c>
      <c r="G506" s="96" t="e">
        <f ca="1">VLOOKUP(A506,'銀行-TSS'!A:K,11,FALSE)</f>
        <v>#N/A</v>
      </c>
      <c r="H506" s="1209" t="e">
        <f ca="1">VLOOKUP(A506,'銀行-TSS'!A:M,13,FALSE)</f>
        <v>#N/A</v>
      </c>
      <c r="I506" s="1213" t="e">
        <f ca="1">VLOOKUP(A506,'銀行-TSS'!A:N,14,FALSE)</f>
        <v>#N/A</v>
      </c>
      <c r="J506" s="1213" t="e">
        <f ca="1">VLOOKUP(A506,'銀行-TSS'!A:O,15,FALSE)</f>
        <v>#N/A</v>
      </c>
      <c r="K506" s="136" t="e">
        <f ca="1">VLOOKUP(A506,'銀行-TSS'!A:V,22,FALSE)</f>
        <v>#N/A</v>
      </c>
      <c r="L506" s="136" t="e">
        <f ca="1">VLOOKUP(A506,'銀行-TSS'!A:AK,37,FALSE)</f>
        <v>#N/A</v>
      </c>
      <c r="M506" s="136" t="str">
        <f ca="1">VLOOKUP(A506,'銀行-TSS'!A:AN,40,FALSE)</f>
        <v/>
      </c>
      <c r="N506" s="1211" t="e">
        <f t="shared" ca="1" si="93"/>
        <v>#N/A</v>
      </c>
      <c r="O506" s="1211" t="e">
        <f t="shared" ca="1" si="94"/>
        <v>#N/A</v>
      </c>
      <c r="P506" s="1213" t="e">
        <f ca="1">IF(AND(換券投組!$D$17&gt;=O506,換券投組!$D$13=D506),I506+INT((換券投組!$D$17-O506)/N506)*J506,0)</f>
        <v>#N/A</v>
      </c>
      <c r="Q506" s="1211" t="e">
        <f t="shared" ca="1" si="95"/>
        <v>#N/A</v>
      </c>
      <c r="R506" s="1213">
        <f t="shared" si="96"/>
        <v>0</v>
      </c>
      <c r="S506" s="1213">
        <f t="shared" si="97"/>
        <v>0</v>
      </c>
      <c r="T506" s="136">
        <f t="shared" si="99"/>
        <v>0</v>
      </c>
      <c r="U506" s="861">
        <f t="shared" si="100"/>
        <v>0</v>
      </c>
      <c r="V506" s="136" t="e">
        <f ca="1">IF(OR(D506&lt;&gt;"USD",L506="無",M506&lt;&gt;"",K506="高資產",IFERROR(MATCH(B506,換券投組!K:K,0),"N")&lt;&gt;"N",IFERROR(MATCH(B506,換券投組!J:J,0),"N")&lt;&gt;"N"),FALSE,IF($V$1="All",TRUE,IF(K506=$V$1,TRUE,FALSE)))</f>
        <v>#N/A</v>
      </c>
      <c r="W506" s="136" t="e">
        <f ca="1">VLOOKUP(A506,'銀行-TSS'!A:AO,41,FALSE)</f>
        <v>#N/A</v>
      </c>
      <c r="X506" s="136" t="e">
        <f ca="1">VLOOKUP(A506,'銀行-TSS'!A:AP,42,FALSE)</f>
        <v>#N/A</v>
      </c>
      <c r="Y506" s="1223">
        <f t="shared" si="98"/>
        <v>0</v>
      </c>
      <c r="Z506" s="1211">
        <f t="shared" si="101"/>
        <v>0</v>
      </c>
      <c r="AA506" s="136">
        <f>IF(Z506&lt;=0,0,RANK(Z506,Z:Z)+COUNTIF($Z$3:$Z506,Z506)-1)</f>
        <v>0</v>
      </c>
      <c r="AB506" s="1211">
        <f t="shared" ca="1" si="102"/>
        <v>0</v>
      </c>
      <c r="AC506" s="136">
        <f ca="1">IF(AB506&lt;=0,0,RANK(AB506,AB:AB)+COUNTIF($AB$3:$AB506,AB506)-1)</f>
        <v>0</v>
      </c>
      <c r="AD506" s="136">
        <f t="shared" si="103"/>
        <v>99999</v>
      </c>
      <c r="AE506" s="136">
        <f>IF(AD506=99999,0,RANK(AD506,AD:AD,1)+COUNTIF($AD$3:$AD506,AD506)-1)</f>
        <v>0</v>
      </c>
    </row>
    <row r="507" spans="1:31">
      <c r="A507" s="141">
        <f>'銀行-TSS'!A507</f>
        <v>0</v>
      </c>
      <c r="B507" s="151">
        <f ca="1">VLOOKUP(A507,'銀行-TSS'!A:B,2,FALSE)</f>
        <v>0</v>
      </c>
      <c r="C507" s="151" t="e">
        <f ca="1">VLOOKUP(B507,bond!B:C,2,FALSE)</f>
        <v>#N/A</v>
      </c>
      <c r="D507" s="95" t="e">
        <f>VLOOKUP(A507,'銀行-TSS'!A:C,3,FALSE)</f>
        <v>#N/A</v>
      </c>
      <c r="E507" s="90" t="e">
        <f ca="1">VLOOKUP(A507,'銀行-TSS'!A:G,7,FALSE)</f>
        <v>#N/A</v>
      </c>
      <c r="F507" s="202" t="e">
        <f ca="1">VLOOKUP(A507,'銀行-TSS'!A:H,8,FALSE)</f>
        <v>#N/A</v>
      </c>
      <c r="G507" s="96" t="e">
        <f ca="1">VLOOKUP(A507,'銀行-TSS'!A:K,11,FALSE)</f>
        <v>#N/A</v>
      </c>
      <c r="H507" s="1209" t="e">
        <f ca="1">VLOOKUP(A507,'銀行-TSS'!A:M,13,FALSE)</f>
        <v>#N/A</v>
      </c>
      <c r="I507" s="1213" t="e">
        <f ca="1">VLOOKUP(A507,'銀行-TSS'!A:N,14,FALSE)</f>
        <v>#N/A</v>
      </c>
      <c r="J507" s="1213" t="e">
        <f ca="1">VLOOKUP(A507,'銀行-TSS'!A:O,15,FALSE)</f>
        <v>#N/A</v>
      </c>
      <c r="K507" s="136" t="e">
        <f ca="1">VLOOKUP(A507,'銀行-TSS'!A:V,22,FALSE)</f>
        <v>#N/A</v>
      </c>
      <c r="L507" s="136" t="e">
        <f ca="1">VLOOKUP(A507,'銀行-TSS'!A:AK,37,FALSE)</f>
        <v>#N/A</v>
      </c>
      <c r="M507" s="136" t="str">
        <f ca="1">VLOOKUP(A507,'銀行-TSS'!A:AN,40,FALSE)</f>
        <v/>
      </c>
      <c r="N507" s="1211" t="e">
        <f t="shared" ca="1" si="93"/>
        <v>#N/A</v>
      </c>
      <c r="O507" s="1211" t="e">
        <f t="shared" ca="1" si="94"/>
        <v>#N/A</v>
      </c>
      <c r="P507" s="1213" t="e">
        <f ca="1">IF(AND(換券投組!$D$17&gt;=O507,換券投組!$D$13=D507),I507+INT((換券投組!$D$17-O507)/N507)*J507,0)</f>
        <v>#N/A</v>
      </c>
      <c r="Q507" s="1211" t="e">
        <f t="shared" ca="1" si="95"/>
        <v>#N/A</v>
      </c>
      <c r="R507" s="1213">
        <f t="shared" si="96"/>
        <v>0</v>
      </c>
      <c r="S507" s="1213">
        <f t="shared" si="97"/>
        <v>0</v>
      </c>
      <c r="T507" s="136">
        <f t="shared" si="99"/>
        <v>0</v>
      </c>
      <c r="U507" s="861">
        <f t="shared" si="100"/>
        <v>0</v>
      </c>
      <c r="V507" s="136" t="e">
        <f ca="1">IF(OR(D507&lt;&gt;"USD",L507="無",M507&lt;&gt;"",K507="高資產",IFERROR(MATCH(B507,換券投組!K:K,0),"N")&lt;&gt;"N",IFERROR(MATCH(B507,換券投組!J:J,0),"N")&lt;&gt;"N"),FALSE,IF($V$1="All",TRUE,IF(K507=$V$1,TRUE,FALSE)))</f>
        <v>#N/A</v>
      </c>
      <c r="W507" s="136" t="e">
        <f ca="1">VLOOKUP(A507,'銀行-TSS'!A:AO,41,FALSE)</f>
        <v>#N/A</v>
      </c>
      <c r="X507" s="136" t="e">
        <f ca="1">VLOOKUP(A507,'銀行-TSS'!A:AP,42,FALSE)</f>
        <v>#N/A</v>
      </c>
      <c r="Y507" s="1223">
        <f t="shared" si="98"/>
        <v>0</v>
      </c>
      <c r="Z507" s="1211">
        <f t="shared" si="101"/>
        <v>0</v>
      </c>
      <c r="AA507" s="136">
        <f>IF(Z507&lt;=0,0,RANK(Z507,Z:Z)+COUNTIF($Z$3:$Z507,Z507)-1)</f>
        <v>0</v>
      </c>
      <c r="AB507" s="1211">
        <f t="shared" ca="1" si="102"/>
        <v>0</v>
      </c>
      <c r="AC507" s="136">
        <f ca="1">IF(AB507&lt;=0,0,RANK(AB507,AB:AB)+COUNTIF($AB$3:$AB507,AB507)-1)</f>
        <v>0</v>
      </c>
      <c r="AD507" s="136">
        <f t="shared" si="103"/>
        <v>99999</v>
      </c>
      <c r="AE507" s="136">
        <f>IF(AD507=99999,0,RANK(AD507,AD:AD,1)+COUNTIF($AD$3:$AD507,AD507)-1)</f>
        <v>0</v>
      </c>
    </row>
    <row r="508" spans="1:31">
      <c r="A508" s="141">
        <f>'銀行-TSS'!A508</f>
        <v>0</v>
      </c>
      <c r="B508" s="151">
        <f ca="1">VLOOKUP(A508,'銀行-TSS'!A:B,2,FALSE)</f>
        <v>0</v>
      </c>
      <c r="C508" s="151" t="e">
        <f ca="1">VLOOKUP(B508,bond!B:C,2,FALSE)</f>
        <v>#N/A</v>
      </c>
      <c r="D508" s="95" t="e">
        <f>VLOOKUP(A508,'銀行-TSS'!A:C,3,FALSE)</f>
        <v>#N/A</v>
      </c>
      <c r="E508" s="90" t="e">
        <f ca="1">VLOOKUP(A508,'銀行-TSS'!A:G,7,FALSE)</f>
        <v>#N/A</v>
      </c>
      <c r="F508" s="202" t="e">
        <f ca="1">VLOOKUP(A508,'銀行-TSS'!A:H,8,FALSE)</f>
        <v>#N/A</v>
      </c>
      <c r="G508" s="96" t="e">
        <f ca="1">VLOOKUP(A508,'銀行-TSS'!A:K,11,FALSE)</f>
        <v>#N/A</v>
      </c>
      <c r="H508" s="1209" t="e">
        <f ca="1">VLOOKUP(A508,'銀行-TSS'!A:M,13,FALSE)</f>
        <v>#N/A</v>
      </c>
      <c r="I508" s="1213" t="e">
        <f ca="1">VLOOKUP(A508,'銀行-TSS'!A:N,14,FALSE)</f>
        <v>#N/A</v>
      </c>
      <c r="J508" s="1213" t="e">
        <f ca="1">VLOOKUP(A508,'銀行-TSS'!A:O,15,FALSE)</f>
        <v>#N/A</v>
      </c>
      <c r="K508" s="136" t="e">
        <f ca="1">VLOOKUP(A508,'銀行-TSS'!A:V,22,FALSE)</f>
        <v>#N/A</v>
      </c>
      <c r="L508" s="136" t="e">
        <f ca="1">VLOOKUP(A508,'銀行-TSS'!A:AK,37,FALSE)</f>
        <v>#N/A</v>
      </c>
      <c r="M508" s="136" t="str">
        <f ca="1">VLOOKUP(A508,'銀行-TSS'!A:AN,40,FALSE)</f>
        <v/>
      </c>
      <c r="N508" s="1211" t="e">
        <f t="shared" ca="1" si="93"/>
        <v>#N/A</v>
      </c>
      <c r="O508" s="1211" t="e">
        <f t="shared" ca="1" si="94"/>
        <v>#N/A</v>
      </c>
      <c r="P508" s="1213" t="e">
        <f ca="1">IF(AND(換券投組!$D$17&gt;=O508,換券投組!$D$13=D508),I508+INT((換券投組!$D$17-O508)/N508)*J508,0)</f>
        <v>#N/A</v>
      </c>
      <c r="Q508" s="1211" t="e">
        <f t="shared" ca="1" si="95"/>
        <v>#N/A</v>
      </c>
      <c r="R508" s="1213">
        <f t="shared" si="96"/>
        <v>0</v>
      </c>
      <c r="S508" s="1213">
        <f t="shared" si="97"/>
        <v>0</v>
      </c>
      <c r="T508" s="136">
        <f t="shared" si="99"/>
        <v>0</v>
      </c>
      <c r="U508" s="861">
        <f t="shared" si="100"/>
        <v>0</v>
      </c>
      <c r="V508" s="136" t="e">
        <f ca="1">IF(OR(D508&lt;&gt;"USD",L508="無",M508&lt;&gt;"",K508="高資產",IFERROR(MATCH(B508,換券投組!K:K,0),"N")&lt;&gt;"N",IFERROR(MATCH(B508,換券投組!J:J,0),"N")&lt;&gt;"N"),FALSE,IF($V$1="All",TRUE,IF(K508=$V$1,TRUE,FALSE)))</f>
        <v>#N/A</v>
      </c>
      <c r="W508" s="136" t="e">
        <f ca="1">VLOOKUP(A508,'銀行-TSS'!A:AO,41,FALSE)</f>
        <v>#N/A</v>
      </c>
      <c r="X508" s="136" t="e">
        <f ca="1">VLOOKUP(A508,'銀行-TSS'!A:AP,42,FALSE)</f>
        <v>#N/A</v>
      </c>
      <c r="Y508" s="1223">
        <f t="shared" si="98"/>
        <v>0</v>
      </c>
      <c r="Z508" s="1211">
        <f t="shared" si="101"/>
        <v>0</v>
      </c>
      <c r="AA508" s="136">
        <f>IF(Z508&lt;=0,0,RANK(Z508,Z:Z)+COUNTIF($Z$3:$Z508,Z508)-1)</f>
        <v>0</v>
      </c>
      <c r="AB508" s="1211">
        <f t="shared" ca="1" si="102"/>
        <v>0</v>
      </c>
      <c r="AC508" s="136">
        <f ca="1">IF(AB508&lt;=0,0,RANK(AB508,AB:AB)+COUNTIF($AB$3:$AB508,AB508)-1)</f>
        <v>0</v>
      </c>
      <c r="AD508" s="136">
        <f t="shared" si="103"/>
        <v>99999</v>
      </c>
      <c r="AE508" s="136">
        <f>IF(AD508=99999,0,RANK(AD508,AD:AD,1)+COUNTIF($AD$3:$AD508,AD508)-1)</f>
        <v>0</v>
      </c>
    </row>
    <row r="509" spans="1:31">
      <c r="A509" s="141">
        <f>'銀行-TSS'!A509</f>
        <v>0</v>
      </c>
      <c r="B509" s="151">
        <f ca="1">VLOOKUP(A509,'銀行-TSS'!A:B,2,FALSE)</f>
        <v>0</v>
      </c>
      <c r="C509" s="151" t="e">
        <f ca="1">VLOOKUP(B509,bond!B:C,2,FALSE)</f>
        <v>#N/A</v>
      </c>
      <c r="D509" s="95" t="e">
        <f>VLOOKUP(A509,'銀行-TSS'!A:C,3,FALSE)</f>
        <v>#N/A</v>
      </c>
      <c r="E509" s="90" t="e">
        <f ca="1">VLOOKUP(A509,'銀行-TSS'!A:G,7,FALSE)</f>
        <v>#N/A</v>
      </c>
      <c r="F509" s="202" t="e">
        <f ca="1">VLOOKUP(A509,'銀行-TSS'!A:H,8,FALSE)</f>
        <v>#N/A</v>
      </c>
      <c r="G509" s="96" t="e">
        <f ca="1">VLOOKUP(A509,'銀行-TSS'!A:K,11,FALSE)</f>
        <v>#N/A</v>
      </c>
      <c r="H509" s="1209" t="e">
        <f ca="1">VLOOKUP(A509,'銀行-TSS'!A:M,13,FALSE)</f>
        <v>#N/A</v>
      </c>
      <c r="I509" s="1213" t="e">
        <f ca="1">VLOOKUP(A509,'銀行-TSS'!A:N,14,FALSE)</f>
        <v>#N/A</v>
      </c>
      <c r="J509" s="1213" t="e">
        <f ca="1">VLOOKUP(A509,'銀行-TSS'!A:O,15,FALSE)</f>
        <v>#N/A</v>
      </c>
      <c r="K509" s="136" t="e">
        <f ca="1">VLOOKUP(A509,'銀行-TSS'!A:V,22,FALSE)</f>
        <v>#N/A</v>
      </c>
      <c r="L509" s="136" t="e">
        <f ca="1">VLOOKUP(A509,'銀行-TSS'!A:AK,37,FALSE)</f>
        <v>#N/A</v>
      </c>
      <c r="M509" s="136" t="str">
        <f ca="1">VLOOKUP(A509,'銀行-TSS'!A:AN,40,FALSE)</f>
        <v/>
      </c>
      <c r="N509" s="1211" t="e">
        <f t="shared" ca="1" si="93"/>
        <v>#N/A</v>
      </c>
      <c r="O509" s="1211" t="e">
        <f t="shared" ca="1" si="94"/>
        <v>#N/A</v>
      </c>
      <c r="P509" s="1213" t="e">
        <f ca="1">IF(AND(換券投組!$D$17&gt;=O509,換券投組!$D$13=D509),I509+INT((換券投組!$D$17-O509)/N509)*J509,0)</f>
        <v>#N/A</v>
      </c>
      <c r="Q509" s="1211" t="e">
        <f t="shared" ca="1" si="95"/>
        <v>#N/A</v>
      </c>
      <c r="R509" s="1213">
        <f t="shared" si="96"/>
        <v>0</v>
      </c>
      <c r="S509" s="1213">
        <f t="shared" si="97"/>
        <v>0</v>
      </c>
      <c r="T509" s="136">
        <f t="shared" si="99"/>
        <v>0</v>
      </c>
      <c r="U509" s="861">
        <f t="shared" si="100"/>
        <v>0</v>
      </c>
      <c r="V509" s="136" t="e">
        <f ca="1">IF(OR(D509&lt;&gt;"USD",L509="無",M509&lt;&gt;"",K509="高資產",IFERROR(MATCH(B509,換券投組!K:K,0),"N")&lt;&gt;"N",IFERROR(MATCH(B509,換券投組!J:J,0),"N")&lt;&gt;"N"),FALSE,IF($V$1="All",TRUE,IF(K509=$V$1,TRUE,FALSE)))</f>
        <v>#N/A</v>
      </c>
      <c r="W509" s="136" t="e">
        <f ca="1">VLOOKUP(A509,'銀行-TSS'!A:AO,41,FALSE)</f>
        <v>#N/A</v>
      </c>
      <c r="X509" s="136" t="e">
        <f ca="1">VLOOKUP(A509,'銀行-TSS'!A:AP,42,FALSE)</f>
        <v>#N/A</v>
      </c>
      <c r="Y509" s="1223">
        <f t="shared" si="98"/>
        <v>0</v>
      </c>
      <c r="Z509" s="1211">
        <f t="shared" si="101"/>
        <v>0</v>
      </c>
      <c r="AA509" s="136">
        <f>IF(Z509&lt;=0,0,RANK(Z509,Z:Z)+COUNTIF($Z$3:$Z509,Z509)-1)</f>
        <v>0</v>
      </c>
      <c r="AB509" s="1211">
        <f t="shared" ca="1" si="102"/>
        <v>0</v>
      </c>
      <c r="AC509" s="136">
        <f ca="1">IF(AB509&lt;=0,0,RANK(AB509,AB:AB)+COUNTIF($AB$3:$AB509,AB509)-1)</f>
        <v>0</v>
      </c>
      <c r="AD509" s="136">
        <f t="shared" si="103"/>
        <v>99999</v>
      </c>
      <c r="AE509" s="136">
        <f>IF(AD509=99999,0,RANK(AD509,AD:AD,1)+COUNTIF($AD$3:$AD509,AD509)-1)</f>
        <v>0</v>
      </c>
    </row>
    <row r="510" spans="1:31">
      <c r="A510" s="141">
        <f>'銀行-TSS'!A510</f>
        <v>0</v>
      </c>
      <c r="B510" s="151">
        <f ca="1">VLOOKUP(A510,'銀行-TSS'!A:B,2,FALSE)</f>
        <v>0</v>
      </c>
      <c r="C510" s="151" t="e">
        <f ca="1">VLOOKUP(B510,bond!B:C,2,FALSE)</f>
        <v>#N/A</v>
      </c>
      <c r="D510" s="95" t="e">
        <f>VLOOKUP(A510,'銀行-TSS'!A:C,3,FALSE)</f>
        <v>#N/A</v>
      </c>
      <c r="E510" s="90" t="e">
        <f ca="1">VLOOKUP(A510,'銀行-TSS'!A:G,7,FALSE)</f>
        <v>#N/A</v>
      </c>
      <c r="F510" s="202" t="e">
        <f ca="1">VLOOKUP(A510,'銀行-TSS'!A:H,8,FALSE)</f>
        <v>#N/A</v>
      </c>
      <c r="G510" s="96" t="e">
        <f ca="1">VLOOKUP(A510,'銀行-TSS'!A:K,11,FALSE)</f>
        <v>#N/A</v>
      </c>
      <c r="H510" s="1209" t="e">
        <f ca="1">VLOOKUP(A510,'銀行-TSS'!A:M,13,FALSE)</f>
        <v>#N/A</v>
      </c>
      <c r="I510" s="1213" t="e">
        <f ca="1">VLOOKUP(A510,'銀行-TSS'!A:N,14,FALSE)</f>
        <v>#N/A</v>
      </c>
      <c r="J510" s="1213" t="e">
        <f ca="1">VLOOKUP(A510,'銀行-TSS'!A:O,15,FALSE)</f>
        <v>#N/A</v>
      </c>
      <c r="K510" s="136" t="e">
        <f ca="1">VLOOKUP(A510,'銀行-TSS'!A:V,22,FALSE)</f>
        <v>#N/A</v>
      </c>
      <c r="L510" s="136" t="e">
        <f ca="1">VLOOKUP(A510,'銀行-TSS'!A:AK,37,FALSE)</f>
        <v>#N/A</v>
      </c>
      <c r="M510" s="136" t="str">
        <f ca="1">VLOOKUP(A510,'銀行-TSS'!A:AN,40,FALSE)</f>
        <v/>
      </c>
      <c r="N510" s="1211" t="e">
        <f t="shared" ca="1" si="93"/>
        <v>#N/A</v>
      </c>
      <c r="O510" s="1211" t="e">
        <f t="shared" ca="1" si="94"/>
        <v>#N/A</v>
      </c>
      <c r="P510" s="1213" t="e">
        <f ca="1">IF(AND(換券投組!$D$17&gt;=O510,換券投組!$D$13=D510),I510+INT((換券投組!$D$17-O510)/N510)*J510,0)</f>
        <v>#N/A</v>
      </c>
      <c r="Q510" s="1211" t="e">
        <f t="shared" ca="1" si="95"/>
        <v>#N/A</v>
      </c>
      <c r="R510" s="1213">
        <f t="shared" si="96"/>
        <v>0</v>
      </c>
      <c r="S510" s="1213">
        <f t="shared" si="97"/>
        <v>0</v>
      </c>
      <c r="T510" s="136">
        <f t="shared" si="99"/>
        <v>0</v>
      </c>
      <c r="U510" s="861">
        <f t="shared" si="100"/>
        <v>0</v>
      </c>
      <c r="V510" s="136" t="e">
        <f ca="1">IF(OR(D510&lt;&gt;"USD",L510="無",M510&lt;&gt;"",K510="高資產",IFERROR(MATCH(B510,換券投組!K:K,0),"N")&lt;&gt;"N",IFERROR(MATCH(B510,換券投組!J:J,0),"N")&lt;&gt;"N"),FALSE,IF($V$1="All",TRUE,IF(K510=$V$1,TRUE,FALSE)))</f>
        <v>#N/A</v>
      </c>
      <c r="W510" s="136" t="e">
        <f ca="1">VLOOKUP(A510,'銀行-TSS'!A:AO,41,FALSE)</f>
        <v>#N/A</v>
      </c>
      <c r="X510" s="136" t="e">
        <f ca="1">VLOOKUP(A510,'銀行-TSS'!A:AP,42,FALSE)</f>
        <v>#N/A</v>
      </c>
      <c r="Y510" s="1223">
        <f t="shared" si="98"/>
        <v>0</v>
      </c>
      <c r="Z510" s="1211">
        <f t="shared" si="101"/>
        <v>0</v>
      </c>
      <c r="AA510" s="136">
        <f>IF(Z510&lt;=0,0,RANK(Z510,Z:Z)+COUNTIF($Z$3:$Z510,Z510)-1)</f>
        <v>0</v>
      </c>
      <c r="AB510" s="1211">
        <f t="shared" ca="1" si="102"/>
        <v>0</v>
      </c>
      <c r="AC510" s="136">
        <f ca="1">IF(AB510&lt;=0,0,RANK(AB510,AB:AB)+COUNTIF($AB$3:$AB510,AB510)-1)</f>
        <v>0</v>
      </c>
      <c r="AD510" s="136">
        <f t="shared" si="103"/>
        <v>99999</v>
      </c>
      <c r="AE510" s="136">
        <f>IF(AD510=99999,0,RANK(AD510,AD:AD,1)+COUNTIF($AD$3:$AD510,AD510)-1)</f>
        <v>0</v>
      </c>
    </row>
    <row r="511" spans="1:31">
      <c r="A511" s="141">
        <f>'銀行-TSS'!A511</f>
        <v>0</v>
      </c>
      <c r="B511" s="151">
        <f ca="1">VLOOKUP(A511,'銀行-TSS'!A:B,2,FALSE)</f>
        <v>0</v>
      </c>
      <c r="C511" s="151" t="e">
        <f ca="1">VLOOKUP(B511,bond!B:C,2,FALSE)</f>
        <v>#N/A</v>
      </c>
      <c r="D511" s="95" t="e">
        <f>VLOOKUP(A511,'銀行-TSS'!A:C,3,FALSE)</f>
        <v>#N/A</v>
      </c>
      <c r="E511" s="90" t="e">
        <f ca="1">VLOOKUP(A511,'銀行-TSS'!A:G,7,FALSE)</f>
        <v>#N/A</v>
      </c>
      <c r="F511" s="202" t="e">
        <f ca="1">VLOOKUP(A511,'銀行-TSS'!A:H,8,FALSE)</f>
        <v>#N/A</v>
      </c>
      <c r="G511" s="96" t="e">
        <f ca="1">VLOOKUP(A511,'銀行-TSS'!A:K,11,FALSE)</f>
        <v>#N/A</v>
      </c>
      <c r="H511" s="1209" t="e">
        <f ca="1">VLOOKUP(A511,'銀行-TSS'!A:M,13,FALSE)</f>
        <v>#N/A</v>
      </c>
      <c r="I511" s="1213" t="e">
        <f ca="1">VLOOKUP(A511,'銀行-TSS'!A:N,14,FALSE)</f>
        <v>#N/A</v>
      </c>
      <c r="J511" s="1213" t="e">
        <f ca="1">VLOOKUP(A511,'銀行-TSS'!A:O,15,FALSE)</f>
        <v>#N/A</v>
      </c>
      <c r="K511" s="136" t="e">
        <f ca="1">VLOOKUP(A511,'銀行-TSS'!A:V,22,FALSE)</f>
        <v>#N/A</v>
      </c>
      <c r="L511" s="136" t="e">
        <f ca="1">VLOOKUP(A511,'銀行-TSS'!A:AK,37,FALSE)</f>
        <v>#N/A</v>
      </c>
      <c r="M511" s="136" t="str">
        <f ca="1">VLOOKUP(A511,'銀行-TSS'!A:AN,40,FALSE)</f>
        <v/>
      </c>
      <c r="N511" s="1211" t="e">
        <f t="shared" ca="1" si="93"/>
        <v>#N/A</v>
      </c>
      <c r="O511" s="1211" t="e">
        <f t="shared" ca="1" si="94"/>
        <v>#N/A</v>
      </c>
      <c r="P511" s="1213" t="e">
        <f ca="1">IF(AND(換券投組!$D$17&gt;=O511,換券投組!$D$13=D511),I511+INT((換券投組!$D$17-O511)/N511)*J511,0)</f>
        <v>#N/A</v>
      </c>
      <c r="Q511" s="1211" t="e">
        <f t="shared" ca="1" si="95"/>
        <v>#N/A</v>
      </c>
      <c r="R511" s="1213">
        <f t="shared" si="96"/>
        <v>0</v>
      </c>
      <c r="S511" s="1213">
        <f t="shared" si="97"/>
        <v>0</v>
      </c>
      <c r="T511" s="136">
        <f t="shared" si="99"/>
        <v>0</v>
      </c>
      <c r="U511" s="861">
        <f t="shared" si="100"/>
        <v>0</v>
      </c>
      <c r="V511" s="136" t="e">
        <f ca="1">IF(OR(D511&lt;&gt;"USD",L511="無",M511&lt;&gt;"",K511="高資產",IFERROR(MATCH(B511,換券投組!K:K,0),"N")&lt;&gt;"N",IFERROR(MATCH(B511,換券投組!J:J,0),"N")&lt;&gt;"N"),FALSE,IF($V$1="All",TRUE,IF(K511=$V$1,TRUE,FALSE)))</f>
        <v>#N/A</v>
      </c>
      <c r="W511" s="136" t="e">
        <f ca="1">VLOOKUP(A511,'銀行-TSS'!A:AO,41,FALSE)</f>
        <v>#N/A</v>
      </c>
      <c r="X511" s="136" t="e">
        <f ca="1">VLOOKUP(A511,'銀行-TSS'!A:AP,42,FALSE)</f>
        <v>#N/A</v>
      </c>
      <c r="Y511" s="1223">
        <f t="shared" si="98"/>
        <v>0</v>
      </c>
      <c r="Z511" s="1211">
        <f t="shared" si="101"/>
        <v>0</v>
      </c>
      <c r="AA511" s="136">
        <f>IF(Z511&lt;=0,0,RANK(Z511,Z:Z)+COUNTIF($Z$3:$Z511,Z511)-1)</f>
        <v>0</v>
      </c>
      <c r="AB511" s="1211">
        <f t="shared" ca="1" si="102"/>
        <v>0</v>
      </c>
      <c r="AC511" s="136">
        <f ca="1">IF(AB511&lt;=0,0,RANK(AB511,AB:AB)+COUNTIF($AB$3:$AB511,AB511)-1)</f>
        <v>0</v>
      </c>
      <c r="AD511" s="136">
        <f t="shared" si="103"/>
        <v>99999</v>
      </c>
      <c r="AE511" s="136">
        <f>IF(AD511=99999,0,RANK(AD511,AD:AD,1)+COUNTIF($AD$3:$AD511,AD511)-1)</f>
        <v>0</v>
      </c>
    </row>
    <row r="512" spans="1:31">
      <c r="A512" s="141">
        <f>'銀行-TSS'!A512</f>
        <v>0</v>
      </c>
      <c r="B512" s="151">
        <f ca="1">VLOOKUP(A512,'銀行-TSS'!A:B,2,FALSE)</f>
        <v>0</v>
      </c>
      <c r="C512" s="151" t="e">
        <f ca="1">VLOOKUP(B512,bond!B:C,2,FALSE)</f>
        <v>#N/A</v>
      </c>
      <c r="D512" s="95" t="e">
        <f>VLOOKUP(A512,'銀行-TSS'!A:C,3,FALSE)</f>
        <v>#N/A</v>
      </c>
      <c r="E512" s="90" t="e">
        <f ca="1">VLOOKUP(A512,'銀行-TSS'!A:G,7,FALSE)</f>
        <v>#N/A</v>
      </c>
      <c r="F512" s="202" t="e">
        <f ca="1">VLOOKUP(A512,'銀行-TSS'!A:H,8,FALSE)</f>
        <v>#N/A</v>
      </c>
      <c r="G512" s="96" t="e">
        <f ca="1">VLOOKUP(A512,'銀行-TSS'!A:K,11,FALSE)</f>
        <v>#N/A</v>
      </c>
      <c r="H512" s="1209" t="e">
        <f ca="1">VLOOKUP(A512,'銀行-TSS'!A:M,13,FALSE)</f>
        <v>#N/A</v>
      </c>
      <c r="I512" s="1213" t="e">
        <f ca="1">VLOOKUP(A512,'銀行-TSS'!A:N,14,FALSE)</f>
        <v>#N/A</v>
      </c>
      <c r="J512" s="1213" t="e">
        <f ca="1">VLOOKUP(A512,'銀行-TSS'!A:O,15,FALSE)</f>
        <v>#N/A</v>
      </c>
      <c r="K512" s="136" t="e">
        <f ca="1">VLOOKUP(A512,'銀行-TSS'!A:V,22,FALSE)</f>
        <v>#N/A</v>
      </c>
      <c r="L512" s="136" t="e">
        <f ca="1">VLOOKUP(A512,'銀行-TSS'!A:AK,37,FALSE)</f>
        <v>#N/A</v>
      </c>
      <c r="M512" s="136" t="str">
        <f ca="1">VLOOKUP(A512,'銀行-TSS'!A:AN,40,FALSE)</f>
        <v/>
      </c>
      <c r="N512" s="1211" t="e">
        <f t="shared" ca="1" si="93"/>
        <v>#N/A</v>
      </c>
      <c r="O512" s="1211" t="e">
        <f t="shared" ca="1" si="94"/>
        <v>#N/A</v>
      </c>
      <c r="P512" s="1213" t="e">
        <f ca="1">IF(AND(換券投組!$D$17&gt;=O512,換券投組!$D$13=D512),I512+INT((換券投組!$D$17-O512)/N512)*J512,0)</f>
        <v>#N/A</v>
      </c>
      <c r="Q512" s="1211" t="e">
        <f t="shared" ca="1" si="95"/>
        <v>#N/A</v>
      </c>
      <c r="R512" s="1213">
        <f t="shared" si="96"/>
        <v>0</v>
      </c>
      <c r="S512" s="1213">
        <f t="shared" si="97"/>
        <v>0</v>
      </c>
      <c r="T512" s="136">
        <f t="shared" si="99"/>
        <v>0</v>
      </c>
      <c r="U512" s="861">
        <f t="shared" si="100"/>
        <v>0</v>
      </c>
      <c r="V512" s="136" t="e">
        <f ca="1">IF(OR(D512&lt;&gt;"USD",L512="無",M512&lt;&gt;"",K512="高資產",IFERROR(MATCH(B512,換券投組!K:K,0),"N")&lt;&gt;"N",IFERROR(MATCH(B512,換券投組!J:J,0),"N")&lt;&gt;"N"),FALSE,IF($V$1="All",TRUE,IF(K512=$V$1,TRUE,FALSE)))</f>
        <v>#N/A</v>
      </c>
      <c r="W512" s="136" t="e">
        <f ca="1">VLOOKUP(A512,'銀行-TSS'!A:AO,41,FALSE)</f>
        <v>#N/A</v>
      </c>
      <c r="X512" s="136" t="e">
        <f ca="1">VLOOKUP(A512,'銀行-TSS'!A:AP,42,FALSE)</f>
        <v>#N/A</v>
      </c>
      <c r="Y512" s="1223">
        <f t="shared" si="98"/>
        <v>0</v>
      </c>
      <c r="Z512" s="1211">
        <f t="shared" si="101"/>
        <v>0</v>
      </c>
      <c r="AA512" s="136">
        <f>IF(Z512&lt;=0,0,RANK(Z512,Z:Z)+COUNTIF($Z$3:$Z512,Z512)-1)</f>
        <v>0</v>
      </c>
      <c r="AB512" s="1211">
        <f t="shared" ca="1" si="102"/>
        <v>0</v>
      </c>
      <c r="AC512" s="136">
        <f ca="1">IF(AB512&lt;=0,0,RANK(AB512,AB:AB)+COUNTIF($AB$3:$AB512,AB512)-1)</f>
        <v>0</v>
      </c>
      <c r="AD512" s="136">
        <f t="shared" si="103"/>
        <v>99999</v>
      </c>
      <c r="AE512" s="136">
        <f>IF(AD512=99999,0,RANK(AD512,AD:AD,1)+COUNTIF($AD$3:$AD512,AD512)-1)</f>
        <v>0</v>
      </c>
    </row>
    <row r="513" spans="1:31">
      <c r="A513" s="141">
        <f>'銀行-TSS'!A513</f>
        <v>0</v>
      </c>
      <c r="B513" s="151">
        <f ca="1">VLOOKUP(A513,'銀行-TSS'!A:B,2,FALSE)</f>
        <v>0</v>
      </c>
      <c r="C513" s="151" t="e">
        <f ca="1">VLOOKUP(B513,bond!B:C,2,FALSE)</f>
        <v>#N/A</v>
      </c>
      <c r="D513" s="95" t="e">
        <f>VLOOKUP(A513,'銀行-TSS'!A:C,3,FALSE)</f>
        <v>#N/A</v>
      </c>
      <c r="E513" s="90" t="e">
        <f ca="1">VLOOKUP(A513,'銀行-TSS'!A:G,7,FALSE)</f>
        <v>#N/A</v>
      </c>
      <c r="F513" s="202" t="e">
        <f ca="1">VLOOKUP(A513,'銀行-TSS'!A:H,8,FALSE)</f>
        <v>#N/A</v>
      </c>
      <c r="G513" s="96" t="e">
        <f ca="1">VLOOKUP(A513,'銀行-TSS'!A:K,11,FALSE)</f>
        <v>#N/A</v>
      </c>
      <c r="H513" s="1209" t="e">
        <f ca="1">VLOOKUP(A513,'銀行-TSS'!A:M,13,FALSE)</f>
        <v>#N/A</v>
      </c>
      <c r="I513" s="1213" t="e">
        <f ca="1">VLOOKUP(A513,'銀行-TSS'!A:N,14,FALSE)</f>
        <v>#N/A</v>
      </c>
      <c r="J513" s="1213" t="e">
        <f ca="1">VLOOKUP(A513,'銀行-TSS'!A:O,15,FALSE)</f>
        <v>#N/A</v>
      </c>
      <c r="K513" s="136" t="e">
        <f ca="1">VLOOKUP(A513,'銀行-TSS'!A:V,22,FALSE)</f>
        <v>#N/A</v>
      </c>
      <c r="L513" s="136" t="e">
        <f ca="1">VLOOKUP(A513,'銀行-TSS'!A:AK,37,FALSE)</f>
        <v>#N/A</v>
      </c>
      <c r="M513" s="136" t="str">
        <f ca="1">VLOOKUP(A513,'銀行-TSS'!A:AN,40,FALSE)</f>
        <v/>
      </c>
      <c r="N513" s="1211" t="e">
        <f t="shared" ca="1" si="93"/>
        <v>#N/A</v>
      </c>
      <c r="O513" s="1211" t="e">
        <f t="shared" ca="1" si="94"/>
        <v>#N/A</v>
      </c>
      <c r="P513" s="1213" t="e">
        <f ca="1">IF(AND(換券投組!$D$17&gt;=O513,換券投組!$D$13=D513),I513+INT((換券投組!$D$17-O513)/N513)*J513,0)</f>
        <v>#N/A</v>
      </c>
      <c r="Q513" s="1211" t="e">
        <f t="shared" ca="1" si="95"/>
        <v>#N/A</v>
      </c>
      <c r="R513" s="1213">
        <f t="shared" si="96"/>
        <v>0</v>
      </c>
      <c r="S513" s="1213">
        <f t="shared" si="97"/>
        <v>0</v>
      </c>
      <c r="T513" s="136">
        <f t="shared" si="99"/>
        <v>0</v>
      </c>
      <c r="U513" s="861">
        <f t="shared" si="100"/>
        <v>0</v>
      </c>
      <c r="V513" s="136" t="e">
        <f ca="1">IF(OR(D513&lt;&gt;"USD",L513="無",M513&lt;&gt;"",K513="高資產",IFERROR(MATCH(B513,換券投組!K:K,0),"N")&lt;&gt;"N",IFERROR(MATCH(B513,換券投組!J:J,0),"N")&lt;&gt;"N"),FALSE,IF($V$1="All",TRUE,IF(K513=$V$1,TRUE,FALSE)))</f>
        <v>#N/A</v>
      </c>
      <c r="W513" s="136" t="e">
        <f ca="1">VLOOKUP(A513,'銀行-TSS'!A:AO,41,FALSE)</f>
        <v>#N/A</v>
      </c>
      <c r="X513" s="136" t="e">
        <f ca="1">VLOOKUP(A513,'銀行-TSS'!A:AP,42,FALSE)</f>
        <v>#N/A</v>
      </c>
      <c r="Y513" s="1223">
        <f t="shared" si="98"/>
        <v>0</v>
      </c>
      <c r="Z513" s="1211">
        <f t="shared" si="101"/>
        <v>0</v>
      </c>
      <c r="AA513" s="136">
        <f>IF(Z513&lt;=0,0,RANK(Z513,Z:Z)+COUNTIF($Z$3:$Z513,Z513)-1)</f>
        <v>0</v>
      </c>
      <c r="AB513" s="1211">
        <f t="shared" ca="1" si="102"/>
        <v>0</v>
      </c>
      <c r="AC513" s="136">
        <f ca="1">IF(AB513&lt;=0,0,RANK(AB513,AB:AB)+COUNTIF($AB$3:$AB513,AB513)-1)</f>
        <v>0</v>
      </c>
      <c r="AD513" s="136">
        <f t="shared" si="103"/>
        <v>99999</v>
      </c>
      <c r="AE513" s="136">
        <f>IF(AD513=99999,0,RANK(AD513,AD:AD,1)+COUNTIF($AD$3:$AD513,AD513)-1)</f>
        <v>0</v>
      </c>
    </row>
    <row r="514" spans="1:31">
      <c r="A514" s="141">
        <f>'銀行-TSS'!A514</f>
        <v>0</v>
      </c>
      <c r="B514" s="151">
        <f ca="1">VLOOKUP(A514,'銀行-TSS'!A:B,2,FALSE)</f>
        <v>0</v>
      </c>
      <c r="C514" s="151" t="e">
        <f ca="1">VLOOKUP(B514,bond!B:C,2,FALSE)</f>
        <v>#N/A</v>
      </c>
      <c r="D514" s="95" t="e">
        <f>VLOOKUP(A514,'銀行-TSS'!A:C,3,FALSE)</f>
        <v>#N/A</v>
      </c>
      <c r="E514" s="90" t="e">
        <f ca="1">VLOOKUP(A514,'銀行-TSS'!A:G,7,FALSE)</f>
        <v>#N/A</v>
      </c>
      <c r="F514" s="202" t="e">
        <f ca="1">VLOOKUP(A514,'銀行-TSS'!A:H,8,FALSE)</f>
        <v>#N/A</v>
      </c>
      <c r="G514" s="96" t="e">
        <f ca="1">VLOOKUP(A514,'銀行-TSS'!A:K,11,FALSE)</f>
        <v>#N/A</v>
      </c>
      <c r="H514" s="1209" t="e">
        <f ca="1">VLOOKUP(A514,'銀行-TSS'!A:M,13,FALSE)</f>
        <v>#N/A</v>
      </c>
      <c r="I514" s="1213" t="e">
        <f ca="1">VLOOKUP(A514,'銀行-TSS'!A:N,14,FALSE)</f>
        <v>#N/A</v>
      </c>
      <c r="J514" s="1213" t="e">
        <f ca="1">VLOOKUP(A514,'銀行-TSS'!A:O,15,FALSE)</f>
        <v>#N/A</v>
      </c>
      <c r="K514" s="136" t="e">
        <f ca="1">VLOOKUP(A514,'銀行-TSS'!A:V,22,FALSE)</f>
        <v>#N/A</v>
      </c>
      <c r="L514" s="136" t="e">
        <f ca="1">VLOOKUP(A514,'銀行-TSS'!A:AK,37,FALSE)</f>
        <v>#N/A</v>
      </c>
      <c r="M514" s="136" t="str">
        <f ca="1">VLOOKUP(A514,'銀行-TSS'!A:AN,40,FALSE)</f>
        <v/>
      </c>
      <c r="N514" s="1211" t="e">
        <f t="shared" ca="1" si="93"/>
        <v>#N/A</v>
      </c>
      <c r="O514" s="1211" t="e">
        <f t="shared" ca="1" si="94"/>
        <v>#N/A</v>
      </c>
      <c r="P514" s="1213" t="e">
        <f ca="1">IF(AND(換券投組!$D$17&gt;=O514,換券投組!$D$13=D514),I514+INT((換券投組!$D$17-O514)/N514)*J514,0)</f>
        <v>#N/A</v>
      </c>
      <c r="Q514" s="1211" t="e">
        <f t="shared" ca="1" si="95"/>
        <v>#N/A</v>
      </c>
      <c r="R514" s="1213">
        <f t="shared" si="96"/>
        <v>0</v>
      </c>
      <c r="S514" s="1213">
        <f t="shared" si="97"/>
        <v>0</v>
      </c>
      <c r="T514" s="136">
        <f t="shared" si="99"/>
        <v>0</v>
      </c>
      <c r="U514" s="861">
        <f t="shared" si="100"/>
        <v>0</v>
      </c>
      <c r="V514" s="136" t="e">
        <f ca="1">IF(OR(D514&lt;&gt;"USD",L514="無",M514&lt;&gt;"",K514="高資產",IFERROR(MATCH(B514,換券投組!K:K,0),"N")&lt;&gt;"N",IFERROR(MATCH(B514,換券投組!J:J,0),"N")&lt;&gt;"N"),FALSE,IF($V$1="All",TRUE,IF(K514=$V$1,TRUE,FALSE)))</f>
        <v>#N/A</v>
      </c>
      <c r="W514" s="136" t="e">
        <f ca="1">VLOOKUP(A514,'銀行-TSS'!A:AO,41,FALSE)</f>
        <v>#N/A</v>
      </c>
      <c r="X514" s="136" t="e">
        <f ca="1">VLOOKUP(A514,'銀行-TSS'!A:AP,42,FALSE)</f>
        <v>#N/A</v>
      </c>
      <c r="Y514" s="1223">
        <f t="shared" si="98"/>
        <v>0</v>
      </c>
      <c r="Z514" s="1211">
        <f t="shared" si="101"/>
        <v>0</v>
      </c>
      <c r="AA514" s="136">
        <f>IF(Z514&lt;=0,0,RANK(Z514,Z:Z)+COUNTIF($Z$3:$Z514,Z514)-1)</f>
        <v>0</v>
      </c>
      <c r="AB514" s="1211">
        <f t="shared" ca="1" si="102"/>
        <v>0</v>
      </c>
      <c r="AC514" s="136">
        <f ca="1">IF(AB514&lt;=0,0,RANK(AB514,AB:AB)+COUNTIF($AB$3:$AB514,AB514)-1)</f>
        <v>0</v>
      </c>
      <c r="AD514" s="136">
        <f t="shared" si="103"/>
        <v>99999</v>
      </c>
      <c r="AE514" s="136">
        <f>IF(AD514=99999,0,RANK(AD514,AD:AD,1)+COUNTIF($AD$3:$AD514,AD514)-1)</f>
        <v>0</v>
      </c>
    </row>
    <row r="515" spans="1:31">
      <c r="A515" s="141">
        <f>'銀行-TSS'!A515</f>
        <v>0</v>
      </c>
      <c r="B515" s="151">
        <f ca="1">VLOOKUP(A515,'銀行-TSS'!A:B,2,FALSE)</f>
        <v>0</v>
      </c>
      <c r="C515" s="151" t="e">
        <f ca="1">VLOOKUP(B515,bond!B:C,2,FALSE)</f>
        <v>#N/A</v>
      </c>
      <c r="D515" s="95" t="e">
        <f>VLOOKUP(A515,'銀行-TSS'!A:C,3,FALSE)</f>
        <v>#N/A</v>
      </c>
      <c r="E515" s="90" t="e">
        <f ca="1">VLOOKUP(A515,'銀行-TSS'!A:G,7,FALSE)</f>
        <v>#N/A</v>
      </c>
      <c r="F515" s="202" t="e">
        <f ca="1">VLOOKUP(A515,'銀行-TSS'!A:H,8,FALSE)</f>
        <v>#N/A</v>
      </c>
      <c r="G515" s="96" t="e">
        <f ca="1">VLOOKUP(A515,'銀行-TSS'!A:K,11,FALSE)</f>
        <v>#N/A</v>
      </c>
      <c r="H515" s="1209" t="e">
        <f ca="1">VLOOKUP(A515,'銀行-TSS'!A:M,13,FALSE)</f>
        <v>#N/A</v>
      </c>
      <c r="I515" s="1213" t="e">
        <f ca="1">VLOOKUP(A515,'銀行-TSS'!A:N,14,FALSE)</f>
        <v>#N/A</v>
      </c>
      <c r="J515" s="1213" t="e">
        <f ca="1">VLOOKUP(A515,'銀行-TSS'!A:O,15,FALSE)</f>
        <v>#N/A</v>
      </c>
      <c r="K515" s="136" t="e">
        <f ca="1">VLOOKUP(A515,'銀行-TSS'!A:V,22,FALSE)</f>
        <v>#N/A</v>
      </c>
      <c r="L515" s="136" t="e">
        <f ca="1">VLOOKUP(A515,'銀行-TSS'!A:AK,37,FALSE)</f>
        <v>#N/A</v>
      </c>
      <c r="M515" s="136" t="str">
        <f ca="1">VLOOKUP(A515,'銀行-TSS'!A:AN,40,FALSE)</f>
        <v/>
      </c>
      <c r="N515" s="1211" t="e">
        <f t="shared" ref="N515:N578" ca="1" si="104">G515*J515/100</f>
        <v>#N/A</v>
      </c>
      <c r="O515" s="1211" t="e">
        <f t="shared" ref="O515:O578" ca="1" si="105">G515*I515/100</f>
        <v>#N/A</v>
      </c>
      <c r="P515" s="1213" t="e">
        <f ca="1">IF(AND(換券投組!$D$17&gt;=O515,換券投組!$D$13=D515),I515+INT((換券投組!$D$17-O515)/N515)*J515,0)</f>
        <v>#N/A</v>
      </c>
      <c r="Q515" s="1211" t="e">
        <f t="shared" ref="Q515:Q578" ca="1" si="106">P515*F515</f>
        <v>#N/A</v>
      </c>
      <c r="R515" s="1213">
        <f t="shared" ref="R515:R578" si="107">IF(A515=0,0,IF(V515=FALSE,0,P515))</f>
        <v>0</v>
      </c>
      <c r="S515" s="1213">
        <f t="shared" ref="S515:S578" si="108">IF(A515=0,0,IF(V515=FALSE,0,Q515))</f>
        <v>0</v>
      </c>
      <c r="T515" s="136">
        <f t="shared" si="99"/>
        <v>0</v>
      </c>
      <c r="U515" s="861">
        <f t="shared" si="100"/>
        <v>0</v>
      </c>
      <c r="V515" s="136" t="e">
        <f ca="1">IF(OR(D515&lt;&gt;"USD",L515="無",M515&lt;&gt;"",K515="高資產",IFERROR(MATCH(B515,換券投組!K:K,0),"N")&lt;&gt;"N",IFERROR(MATCH(B515,換券投組!J:J,0),"N")&lt;&gt;"N"),FALSE,IF($V$1="All",TRUE,IF(K515=$V$1,TRUE,FALSE)))</f>
        <v>#N/A</v>
      </c>
      <c r="W515" s="136" t="e">
        <f ca="1">VLOOKUP(A515,'銀行-TSS'!A:AO,41,FALSE)</f>
        <v>#N/A</v>
      </c>
      <c r="X515" s="136" t="e">
        <f ca="1">VLOOKUP(A515,'銀行-TSS'!A:AP,42,FALSE)</f>
        <v>#N/A</v>
      </c>
      <c r="Y515" s="1223">
        <f t="shared" ref="Y515:Y578" si="109">IF(A515=0,0,IF(V515=FALSE,0,IFERROR(W515/100*P515*X515*1%,0)))</f>
        <v>0</v>
      </c>
      <c r="Z515" s="1211">
        <f t="shared" si="101"/>
        <v>0</v>
      </c>
      <c r="AA515" s="136">
        <f>IF(Z515&lt;=0,0,RANK(Z515,Z:Z)+COUNTIF($Z$3:$Z515,Z515)-1)</f>
        <v>0</v>
      </c>
      <c r="AB515" s="1211">
        <f t="shared" ca="1" si="102"/>
        <v>0</v>
      </c>
      <c r="AC515" s="136">
        <f ca="1">IF(AB515&lt;=0,0,RANK(AB515,AB:AB)+COUNTIF($AB$3:$AB515,AB515)-1)</f>
        <v>0</v>
      </c>
      <c r="AD515" s="136">
        <f t="shared" si="103"/>
        <v>99999</v>
      </c>
      <c r="AE515" s="136">
        <f>IF(AD515=99999,0,RANK(AD515,AD:AD,1)+COUNTIF($AD$3:$AD515,AD515)-1)</f>
        <v>0</v>
      </c>
    </row>
    <row r="516" spans="1:31">
      <c r="A516" s="141">
        <f>'銀行-TSS'!A516</f>
        <v>0</v>
      </c>
      <c r="B516" s="151">
        <f ca="1">VLOOKUP(A516,'銀行-TSS'!A:B,2,FALSE)</f>
        <v>0</v>
      </c>
      <c r="C516" s="151" t="e">
        <f ca="1">VLOOKUP(B516,bond!B:C,2,FALSE)</f>
        <v>#N/A</v>
      </c>
      <c r="D516" s="95" t="e">
        <f>VLOOKUP(A516,'銀行-TSS'!A:C,3,FALSE)</f>
        <v>#N/A</v>
      </c>
      <c r="E516" s="90" t="e">
        <f ca="1">VLOOKUP(A516,'銀行-TSS'!A:G,7,FALSE)</f>
        <v>#N/A</v>
      </c>
      <c r="F516" s="202" t="e">
        <f ca="1">VLOOKUP(A516,'銀行-TSS'!A:H,8,FALSE)</f>
        <v>#N/A</v>
      </c>
      <c r="G516" s="96" t="e">
        <f ca="1">VLOOKUP(A516,'銀行-TSS'!A:K,11,FALSE)</f>
        <v>#N/A</v>
      </c>
      <c r="H516" s="1209" t="e">
        <f ca="1">VLOOKUP(A516,'銀行-TSS'!A:M,13,FALSE)</f>
        <v>#N/A</v>
      </c>
      <c r="I516" s="1213" t="e">
        <f ca="1">VLOOKUP(A516,'銀行-TSS'!A:N,14,FALSE)</f>
        <v>#N/A</v>
      </c>
      <c r="J516" s="1213" t="e">
        <f ca="1">VLOOKUP(A516,'銀行-TSS'!A:O,15,FALSE)</f>
        <v>#N/A</v>
      </c>
      <c r="K516" s="136" t="e">
        <f ca="1">VLOOKUP(A516,'銀行-TSS'!A:V,22,FALSE)</f>
        <v>#N/A</v>
      </c>
      <c r="L516" s="136" t="e">
        <f ca="1">VLOOKUP(A516,'銀行-TSS'!A:AK,37,FALSE)</f>
        <v>#N/A</v>
      </c>
      <c r="M516" s="136" t="str">
        <f ca="1">VLOOKUP(A516,'銀行-TSS'!A:AN,40,FALSE)</f>
        <v/>
      </c>
      <c r="N516" s="1211" t="e">
        <f t="shared" ca="1" si="104"/>
        <v>#N/A</v>
      </c>
      <c r="O516" s="1211" t="e">
        <f t="shared" ca="1" si="105"/>
        <v>#N/A</v>
      </c>
      <c r="P516" s="1213" t="e">
        <f ca="1">IF(AND(換券投組!$D$17&gt;=O516,換券投組!$D$13=D516),I516+INT((換券投組!$D$17-O516)/N516)*J516,0)</f>
        <v>#N/A</v>
      </c>
      <c r="Q516" s="1211" t="e">
        <f t="shared" ca="1" si="106"/>
        <v>#N/A</v>
      </c>
      <c r="R516" s="1213">
        <f t="shared" si="107"/>
        <v>0</v>
      </c>
      <c r="S516" s="1213">
        <f t="shared" si="108"/>
        <v>0</v>
      </c>
      <c r="T516" s="136">
        <f t="shared" ref="T516:T579" si="110">IF(OR(R516=0,A516=0),0,IF(V516=TRUE,E516,0))</f>
        <v>0</v>
      </c>
      <c r="U516" s="861">
        <f t="shared" ref="U516:U579" si="111">IF(OR(R516=0,A516=0),0,IF(V516=TRUE,H516,0))</f>
        <v>0</v>
      </c>
      <c r="V516" s="136" t="e">
        <f ca="1">IF(OR(D516&lt;&gt;"USD",L516="無",M516&lt;&gt;"",K516="高資產",IFERROR(MATCH(B516,換券投組!K:K,0),"N")&lt;&gt;"N",IFERROR(MATCH(B516,換券投組!J:J,0),"N")&lt;&gt;"N"),FALSE,IF($V$1="All",TRUE,IF(K516=$V$1,TRUE,FALSE)))</f>
        <v>#N/A</v>
      </c>
      <c r="W516" s="136" t="e">
        <f ca="1">VLOOKUP(A516,'銀行-TSS'!A:AO,41,FALSE)</f>
        <v>#N/A</v>
      </c>
      <c r="X516" s="136" t="e">
        <f ca="1">VLOOKUP(A516,'銀行-TSS'!A:AP,42,FALSE)</f>
        <v>#N/A</v>
      </c>
      <c r="Y516" s="1223">
        <f t="shared" si="109"/>
        <v>0</v>
      </c>
      <c r="Z516" s="1211">
        <f t="shared" ref="Z516:Z579" si="112">IF(A516=0,0,IF(V516=FALSE,0,IF(OR(Q516&lt;$Y$1,E516&lt;5)=FALSE,(Q516-$Q$1)*MIN(3,E516)*(1-MIN(1/(2*E516),1))+IF((P516-$P$1)&lt;0,(P516-$P$1),((P516-$P$1)*MIN(1/(2*E516),1))),0)))</f>
        <v>0</v>
      </c>
      <c r="AA516" s="136">
        <f>IF(Z516&lt;=0,0,RANK(Z516,Z:Z)+COUNTIF($Z$3:$Z516,Z516)-1)</f>
        <v>0</v>
      </c>
      <c r="AB516" s="1211">
        <f t="shared" ref="AB516:AB579" ca="1" si="113">IF(A516=0,0,IF(V516=FALSE,0,Y516+IF((P516-$P$1)&lt;0,(P516-$P$1)*0.5,0)))-$AC$1</f>
        <v>0</v>
      </c>
      <c r="AC516" s="136">
        <f ca="1">IF(AB516&lt;=0,0,RANK(AB516,AB:AB)+COUNTIF($AB$3:$AB516,AB516)-1)</f>
        <v>0</v>
      </c>
      <c r="AD516" s="136">
        <f t="shared" ref="AD516:AD579" si="114">IF(A516=0,99999,IF(OR(V516=FALSE,AA516=0,AC516=0),99999,(AC516+AA516)/2))</f>
        <v>99999</v>
      </c>
      <c r="AE516" s="136">
        <f>IF(AD516=99999,0,RANK(AD516,AD:AD,1)+COUNTIF($AD$3:$AD516,AD516)-1)</f>
        <v>0</v>
      </c>
    </row>
    <row r="517" spans="1:31">
      <c r="A517" s="141">
        <f>'銀行-TSS'!A517</f>
        <v>0</v>
      </c>
      <c r="B517" s="151">
        <f ca="1">VLOOKUP(A517,'銀行-TSS'!A:B,2,FALSE)</f>
        <v>0</v>
      </c>
      <c r="C517" s="151" t="e">
        <f ca="1">VLOOKUP(B517,bond!B:C,2,FALSE)</f>
        <v>#N/A</v>
      </c>
      <c r="D517" s="95" t="e">
        <f>VLOOKUP(A517,'銀行-TSS'!A:C,3,FALSE)</f>
        <v>#N/A</v>
      </c>
      <c r="E517" s="90" t="e">
        <f ca="1">VLOOKUP(A517,'銀行-TSS'!A:G,7,FALSE)</f>
        <v>#N/A</v>
      </c>
      <c r="F517" s="202" t="e">
        <f ca="1">VLOOKUP(A517,'銀行-TSS'!A:H,8,FALSE)</f>
        <v>#N/A</v>
      </c>
      <c r="G517" s="96" t="e">
        <f ca="1">VLOOKUP(A517,'銀行-TSS'!A:K,11,FALSE)</f>
        <v>#N/A</v>
      </c>
      <c r="H517" s="1209" t="e">
        <f ca="1">VLOOKUP(A517,'銀行-TSS'!A:M,13,FALSE)</f>
        <v>#N/A</v>
      </c>
      <c r="I517" s="1213" t="e">
        <f ca="1">VLOOKUP(A517,'銀行-TSS'!A:N,14,FALSE)</f>
        <v>#N/A</v>
      </c>
      <c r="J517" s="1213" t="e">
        <f ca="1">VLOOKUP(A517,'銀行-TSS'!A:O,15,FALSE)</f>
        <v>#N/A</v>
      </c>
      <c r="K517" s="136" t="e">
        <f ca="1">VLOOKUP(A517,'銀行-TSS'!A:V,22,FALSE)</f>
        <v>#N/A</v>
      </c>
      <c r="L517" s="136" t="e">
        <f ca="1">VLOOKUP(A517,'銀行-TSS'!A:AK,37,FALSE)</f>
        <v>#N/A</v>
      </c>
      <c r="M517" s="136" t="str">
        <f ca="1">VLOOKUP(A517,'銀行-TSS'!A:AN,40,FALSE)</f>
        <v/>
      </c>
      <c r="N517" s="1211" t="e">
        <f t="shared" ca="1" si="104"/>
        <v>#N/A</v>
      </c>
      <c r="O517" s="1211" t="e">
        <f t="shared" ca="1" si="105"/>
        <v>#N/A</v>
      </c>
      <c r="P517" s="1213" t="e">
        <f ca="1">IF(AND(換券投組!$D$17&gt;=O517,換券投組!$D$13=D517),I517+INT((換券投組!$D$17-O517)/N517)*J517,0)</f>
        <v>#N/A</v>
      </c>
      <c r="Q517" s="1211" t="e">
        <f t="shared" ca="1" si="106"/>
        <v>#N/A</v>
      </c>
      <c r="R517" s="1213">
        <f t="shared" si="107"/>
        <v>0</v>
      </c>
      <c r="S517" s="1213">
        <f t="shared" si="108"/>
        <v>0</v>
      </c>
      <c r="T517" s="136">
        <f t="shared" si="110"/>
        <v>0</v>
      </c>
      <c r="U517" s="861">
        <f t="shared" si="111"/>
        <v>0</v>
      </c>
      <c r="V517" s="136" t="e">
        <f ca="1">IF(OR(D517&lt;&gt;"USD",L517="無",M517&lt;&gt;"",K517="高資產",IFERROR(MATCH(B517,換券投組!K:K,0),"N")&lt;&gt;"N",IFERROR(MATCH(B517,換券投組!J:J,0),"N")&lt;&gt;"N"),FALSE,IF($V$1="All",TRUE,IF(K517=$V$1,TRUE,FALSE)))</f>
        <v>#N/A</v>
      </c>
      <c r="W517" s="136" t="e">
        <f ca="1">VLOOKUP(A517,'銀行-TSS'!A:AO,41,FALSE)</f>
        <v>#N/A</v>
      </c>
      <c r="X517" s="136" t="e">
        <f ca="1">VLOOKUP(A517,'銀行-TSS'!A:AP,42,FALSE)</f>
        <v>#N/A</v>
      </c>
      <c r="Y517" s="1223">
        <f t="shared" si="109"/>
        <v>0</v>
      </c>
      <c r="Z517" s="1211">
        <f t="shared" si="112"/>
        <v>0</v>
      </c>
      <c r="AA517" s="136">
        <f>IF(Z517&lt;=0,0,RANK(Z517,Z:Z)+COUNTIF($Z$3:$Z517,Z517)-1)</f>
        <v>0</v>
      </c>
      <c r="AB517" s="1211">
        <f t="shared" ca="1" si="113"/>
        <v>0</v>
      </c>
      <c r="AC517" s="136">
        <f ca="1">IF(AB517&lt;=0,0,RANK(AB517,AB:AB)+COUNTIF($AB$3:$AB517,AB517)-1)</f>
        <v>0</v>
      </c>
      <c r="AD517" s="136">
        <f t="shared" si="114"/>
        <v>99999</v>
      </c>
      <c r="AE517" s="136">
        <f>IF(AD517=99999,0,RANK(AD517,AD:AD,1)+COUNTIF($AD$3:$AD517,AD517)-1)</f>
        <v>0</v>
      </c>
    </row>
    <row r="518" spans="1:31">
      <c r="A518" s="141">
        <f>'銀行-TSS'!A518</f>
        <v>0</v>
      </c>
      <c r="B518" s="151">
        <f ca="1">VLOOKUP(A518,'銀行-TSS'!A:B,2,FALSE)</f>
        <v>0</v>
      </c>
      <c r="C518" s="151" t="e">
        <f ca="1">VLOOKUP(B518,bond!B:C,2,FALSE)</f>
        <v>#N/A</v>
      </c>
      <c r="D518" s="95" t="e">
        <f>VLOOKUP(A518,'銀行-TSS'!A:C,3,FALSE)</f>
        <v>#N/A</v>
      </c>
      <c r="E518" s="90" t="e">
        <f ca="1">VLOOKUP(A518,'銀行-TSS'!A:G,7,FALSE)</f>
        <v>#N/A</v>
      </c>
      <c r="F518" s="202" t="e">
        <f ca="1">VLOOKUP(A518,'銀行-TSS'!A:H,8,FALSE)</f>
        <v>#N/A</v>
      </c>
      <c r="G518" s="96" t="e">
        <f ca="1">VLOOKUP(A518,'銀行-TSS'!A:K,11,FALSE)</f>
        <v>#N/A</v>
      </c>
      <c r="H518" s="1209" t="e">
        <f ca="1">VLOOKUP(A518,'銀行-TSS'!A:M,13,FALSE)</f>
        <v>#N/A</v>
      </c>
      <c r="I518" s="1213" t="e">
        <f ca="1">VLOOKUP(A518,'銀行-TSS'!A:N,14,FALSE)</f>
        <v>#N/A</v>
      </c>
      <c r="J518" s="1213" t="e">
        <f ca="1">VLOOKUP(A518,'銀行-TSS'!A:O,15,FALSE)</f>
        <v>#N/A</v>
      </c>
      <c r="K518" s="136" t="e">
        <f ca="1">VLOOKUP(A518,'銀行-TSS'!A:V,22,FALSE)</f>
        <v>#N/A</v>
      </c>
      <c r="L518" s="136" t="e">
        <f ca="1">VLOOKUP(A518,'銀行-TSS'!A:AK,37,FALSE)</f>
        <v>#N/A</v>
      </c>
      <c r="M518" s="136" t="str">
        <f ca="1">VLOOKUP(A518,'銀行-TSS'!A:AN,40,FALSE)</f>
        <v/>
      </c>
      <c r="N518" s="1211" t="e">
        <f t="shared" ca="1" si="104"/>
        <v>#N/A</v>
      </c>
      <c r="O518" s="1211" t="e">
        <f t="shared" ca="1" si="105"/>
        <v>#N/A</v>
      </c>
      <c r="P518" s="1213" t="e">
        <f ca="1">IF(AND(換券投組!$D$17&gt;=O518,換券投組!$D$13=D518),I518+INT((換券投組!$D$17-O518)/N518)*J518,0)</f>
        <v>#N/A</v>
      </c>
      <c r="Q518" s="1211" t="e">
        <f t="shared" ca="1" si="106"/>
        <v>#N/A</v>
      </c>
      <c r="R518" s="1213">
        <f t="shared" si="107"/>
        <v>0</v>
      </c>
      <c r="S518" s="1213">
        <f t="shared" si="108"/>
        <v>0</v>
      </c>
      <c r="T518" s="136">
        <f t="shared" si="110"/>
        <v>0</v>
      </c>
      <c r="U518" s="861">
        <f t="shared" si="111"/>
        <v>0</v>
      </c>
      <c r="V518" s="136" t="e">
        <f ca="1">IF(OR(D518&lt;&gt;"USD",L518="無",M518&lt;&gt;"",K518="高資產",IFERROR(MATCH(B518,換券投組!K:K,0),"N")&lt;&gt;"N",IFERROR(MATCH(B518,換券投組!J:J,0),"N")&lt;&gt;"N"),FALSE,IF($V$1="All",TRUE,IF(K518=$V$1,TRUE,FALSE)))</f>
        <v>#N/A</v>
      </c>
      <c r="W518" s="136" t="e">
        <f ca="1">VLOOKUP(A518,'銀行-TSS'!A:AO,41,FALSE)</f>
        <v>#N/A</v>
      </c>
      <c r="X518" s="136" t="e">
        <f ca="1">VLOOKUP(A518,'銀行-TSS'!A:AP,42,FALSE)</f>
        <v>#N/A</v>
      </c>
      <c r="Y518" s="1223">
        <f t="shared" si="109"/>
        <v>0</v>
      </c>
      <c r="Z518" s="1211">
        <f t="shared" si="112"/>
        <v>0</v>
      </c>
      <c r="AA518" s="136">
        <f>IF(Z518&lt;=0,0,RANK(Z518,Z:Z)+COUNTIF($Z$3:$Z518,Z518)-1)</f>
        <v>0</v>
      </c>
      <c r="AB518" s="1211">
        <f t="shared" ca="1" si="113"/>
        <v>0</v>
      </c>
      <c r="AC518" s="136">
        <f ca="1">IF(AB518&lt;=0,0,RANK(AB518,AB:AB)+COUNTIF($AB$3:$AB518,AB518)-1)</f>
        <v>0</v>
      </c>
      <c r="AD518" s="136">
        <f t="shared" si="114"/>
        <v>99999</v>
      </c>
      <c r="AE518" s="136">
        <f>IF(AD518=99999,0,RANK(AD518,AD:AD,1)+COUNTIF($AD$3:$AD518,AD518)-1)</f>
        <v>0</v>
      </c>
    </row>
    <row r="519" spans="1:31">
      <c r="A519" s="141">
        <f>'銀行-TSS'!A519</f>
        <v>0</v>
      </c>
      <c r="B519" s="151">
        <f ca="1">VLOOKUP(A519,'銀行-TSS'!A:B,2,FALSE)</f>
        <v>0</v>
      </c>
      <c r="C519" s="151" t="e">
        <f ca="1">VLOOKUP(B519,bond!B:C,2,FALSE)</f>
        <v>#N/A</v>
      </c>
      <c r="D519" s="95" t="e">
        <f>VLOOKUP(A519,'銀行-TSS'!A:C,3,FALSE)</f>
        <v>#N/A</v>
      </c>
      <c r="E519" s="90" t="e">
        <f ca="1">VLOOKUP(A519,'銀行-TSS'!A:G,7,FALSE)</f>
        <v>#N/A</v>
      </c>
      <c r="F519" s="202" t="e">
        <f ca="1">VLOOKUP(A519,'銀行-TSS'!A:H,8,FALSE)</f>
        <v>#N/A</v>
      </c>
      <c r="G519" s="96" t="e">
        <f ca="1">VLOOKUP(A519,'銀行-TSS'!A:K,11,FALSE)</f>
        <v>#N/A</v>
      </c>
      <c r="H519" s="1209" t="e">
        <f ca="1">VLOOKUP(A519,'銀行-TSS'!A:M,13,FALSE)</f>
        <v>#N/A</v>
      </c>
      <c r="I519" s="1213" t="e">
        <f ca="1">VLOOKUP(A519,'銀行-TSS'!A:N,14,FALSE)</f>
        <v>#N/A</v>
      </c>
      <c r="J519" s="1213" t="e">
        <f ca="1">VLOOKUP(A519,'銀行-TSS'!A:O,15,FALSE)</f>
        <v>#N/A</v>
      </c>
      <c r="K519" s="136" t="e">
        <f ca="1">VLOOKUP(A519,'銀行-TSS'!A:V,22,FALSE)</f>
        <v>#N/A</v>
      </c>
      <c r="L519" s="136" t="e">
        <f ca="1">VLOOKUP(A519,'銀行-TSS'!A:AK,37,FALSE)</f>
        <v>#N/A</v>
      </c>
      <c r="M519" s="136" t="str">
        <f ca="1">VLOOKUP(A519,'銀行-TSS'!A:AN,40,FALSE)</f>
        <v/>
      </c>
      <c r="N519" s="1211" t="e">
        <f t="shared" ca="1" si="104"/>
        <v>#N/A</v>
      </c>
      <c r="O519" s="1211" t="e">
        <f t="shared" ca="1" si="105"/>
        <v>#N/A</v>
      </c>
      <c r="P519" s="1213" t="e">
        <f ca="1">IF(AND(換券投組!$D$17&gt;=O519,換券投組!$D$13=D519),I519+INT((換券投組!$D$17-O519)/N519)*J519,0)</f>
        <v>#N/A</v>
      </c>
      <c r="Q519" s="1211" t="e">
        <f t="shared" ca="1" si="106"/>
        <v>#N/A</v>
      </c>
      <c r="R519" s="1213">
        <f t="shared" si="107"/>
        <v>0</v>
      </c>
      <c r="S519" s="1213">
        <f t="shared" si="108"/>
        <v>0</v>
      </c>
      <c r="T519" s="136">
        <f t="shared" si="110"/>
        <v>0</v>
      </c>
      <c r="U519" s="861">
        <f t="shared" si="111"/>
        <v>0</v>
      </c>
      <c r="V519" s="136" t="e">
        <f ca="1">IF(OR(D519&lt;&gt;"USD",L519="無",M519&lt;&gt;"",K519="高資產",IFERROR(MATCH(B519,換券投組!K:K,0),"N")&lt;&gt;"N",IFERROR(MATCH(B519,換券投組!J:J,0),"N")&lt;&gt;"N"),FALSE,IF($V$1="All",TRUE,IF(K519=$V$1,TRUE,FALSE)))</f>
        <v>#N/A</v>
      </c>
      <c r="W519" s="136" t="e">
        <f ca="1">VLOOKUP(A519,'銀行-TSS'!A:AO,41,FALSE)</f>
        <v>#N/A</v>
      </c>
      <c r="X519" s="136" t="e">
        <f ca="1">VLOOKUP(A519,'銀行-TSS'!A:AP,42,FALSE)</f>
        <v>#N/A</v>
      </c>
      <c r="Y519" s="1223">
        <f t="shared" si="109"/>
        <v>0</v>
      </c>
      <c r="Z519" s="1211">
        <f t="shared" si="112"/>
        <v>0</v>
      </c>
      <c r="AA519" s="136">
        <f>IF(Z519&lt;=0,0,RANK(Z519,Z:Z)+COUNTIF($Z$3:$Z519,Z519)-1)</f>
        <v>0</v>
      </c>
      <c r="AB519" s="1211">
        <f t="shared" ca="1" si="113"/>
        <v>0</v>
      </c>
      <c r="AC519" s="136">
        <f ca="1">IF(AB519&lt;=0,0,RANK(AB519,AB:AB)+COUNTIF($AB$3:$AB519,AB519)-1)</f>
        <v>0</v>
      </c>
      <c r="AD519" s="136">
        <f t="shared" si="114"/>
        <v>99999</v>
      </c>
      <c r="AE519" s="136">
        <f>IF(AD519=99999,0,RANK(AD519,AD:AD,1)+COUNTIF($AD$3:$AD519,AD519)-1)</f>
        <v>0</v>
      </c>
    </row>
    <row r="520" spans="1:31">
      <c r="A520" s="141">
        <f>'銀行-TSS'!A520</f>
        <v>0</v>
      </c>
      <c r="B520" s="151">
        <f ca="1">VLOOKUP(A520,'銀行-TSS'!A:B,2,FALSE)</f>
        <v>0</v>
      </c>
      <c r="C520" s="151" t="e">
        <f ca="1">VLOOKUP(B520,bond!B:C,2,FALSE)</f>
        <v>#N/A</v>
      </c>
      <c r="D520" s="95" t="e">
        <f>VLOOKUP(A520,'銀行-TSS'!A:C,3,FALSE)</f>
        <v>#N/A</v>
      </c>
      <c r="E520" s="90" t="e">
        <f ca="1">VLOOKUP(A520,'銀行-TSS'!A:G,7,FALSE)</f>
        <v>#N/A</v>
      </c>
      <c r="F520" s="202" t="e">
        <f ca="1">VLOOKUP(A520,'銀行-TSS'!A:H,8,FALSE)</f>
        <v>#N/A</v>
      </c>
      <c r="G520" s="96" t="e">
        <f ca="1">VLOOKUP(A520,'銀行-TSS'!A:K,11,FALSE)</f>
        <v>#N/A</v>
      </c>
      <c r="H520" s="1209" t="e">
        <f ca="1">VLOOKUP(A520,'銀行-TSS'!A:M,13,FALSE)</f>
        <v>#N/A</v>
      </c>
      <c r="I520" s="1213" t="e">
        <f ca="1">VLOOKUP(A520,'銀行-TSS'!A:N,14,FALSE)</f>
        <v>#N/A</v>
      </c>
      <c r="J520" s="1213" t="e">
        <f ca="1">VLOOKUP(A520,'銀行-TSS'!A:O,15,FALSE)</f>
        <v>#N/A</v>
      </c>
      <c r="K520" s="136" t="e">
        <f ca="1">VLOOKUP(A520,'銀行-TSS'!A:V,22,FALSE)</f>
        <v>#N/A</v>
      </c>
      <c r="L520" s="136" t="e">
        <f ca="1">VLOOKUP(A520,'銀行-TSS'!A:AK,37,FALSE)</f>
        <v>#N/A</v>
      </c>
      <c r="M520" s="136" t="str">
        <f ca="1">VLOOKUP(A520,'銀行-TSS'!A:AN,40,FALSE)</f>
        <v/>
      </c>
      <c r="N520" s="1211" t="e">
        <f t="shared" ca="1" si="104"/>
        <v>#N/A</v>
      </c>
      <c r="O520" s="1211" t="e">
        <f t="shared" ca="1" si="105"/>
        <v>#N/A</v>
      </c>
      <c r="P520" s="1213" t="e">
        <f ca="1">IF(AND(換券投組!$D$17&gt;=O520,換券投組!$D$13=D520),I520+INT((換券投組!$D$17-O520)/N520)*J520,0)</f>
        <v>#N/A</v>
      </c>
      <c r="Q520" s="1211" t="e">
        <f t="shared" ca="1" si="106"/>
        <v>#N/A</v>
      </c>
      <c r="R520" s="1213">
        <f t="shared" si="107"/>
        <v>0</v>
      </c>
      <c r="S520" s="1213">
        <f t="shared" si="108"/>
        <v>0</v>
      </c>
      <c r="T520" s="136">
        <f t="shared" si="110"/>
        <v>0</v>
      </c>
      <c r="U520" s="861">
        <f t="shared" si="111"/>
        <v>0</v>
      </c>
      <c r="V520" s="136" t="e">
        <f ca="1">IF(OR(D520&lt;&gt;"USD",L520="無",M520&lt;&gt;"",K520="高資產",IFERROR(MATCH(B520,換券投組!K:K,0),"N")&lt;&gt;"N",IFERROR(MATCH(B520,換券投組!J:J,0),"N")&lt;&gt;"N"),FALSE,IF($V$1="All",TRUE,IF(K520=$V$1,TRUE,FALSE)))</f>
        <v>#N/A</v>
      </c>
      <c r="W520" s="136" t="e">
        <f ca="1">VLOOKUP(A520,'銀行-TSS'!A:AO,41,FALSE)</f>
        <v>#N/A</v>
      </c>
      <c r="X520" s="136" t="e">
        <f ca="1">VLOOKUP(A520,'銀行-TSS'!A:AP,42,FALSE)</f>
        <v>#N/A</v>
      </c>
      <c r="Y520" s="1223">
        <f t="shared" si="109"/>
        <v>0</v>
      </c>
      <c r="Z520" s="1211">
        <f t="shared" si="112"/>
        <v>0</v>
      </c>
      <c r="AA520" s="136">
        <f>IF(Z520&lt;=0,0,RANK(Z520,Z:Z)+COUNTIF($Z$3:$Z520,Z520)-1)</f>
        <v>0</v>
      </c>
      <c r="AB520" s="1211">
        <f t="shared" ca="1" si="113"/>
        <v>0</v>
      </c>
      <c r="AC520" s="136">
        <f ca="1">IF(AB520&lt;=0,0,RANK(AB520,AB:AB)+COUNTIF($AB$3:$AB520,AB520)-1)</f>
        <v>0</v>
      </c>
      <c r="AD520" s="136">
        <f t="shared" si="114"/>
        <v>99999</v>
      </c>
      <c r="AE520" s="136">
        <f>IF(AD520=99999,0,RANK(AD520,AD:AD,1)+COUNTIF($AD$3:$AD520,AD520)-1)</f>
        <v>0</v>
      </c>
    </row>
    <row r="521" spans="1:31">
      <c r="A521" s="141">
        <f>'銀行-TSS'!A521</f>
        <v>0</v>
      </c>
      <c r="B521" s="151">
        <f ca="1">VLOOKUP(A521,'銀行-TSS'!A:B,2,FALSE)</f>
        <v>0</v>
      </c>
      <c r="C521" s="151" t="e">
        <f ca="1">VLOOKUP(B521,bond!B:C,2,FALSE)</f>
        <v>#N/A</v>
      </c>
      <c r="D521" s="95" t="e">
        <f>VLOOKUP(A521,'銀行-TSS'!A:C,3,FALSE)</f>
        <v>#N/A</v>
      </c>
      <c r="E521" s="90" t="e">
        <f ca="1">VLOOKUP(A521,'銀行-TSS'!A:G,7,FALSE)</f>
        <v>#N/A</v>
      </c>
      <c r="F521" s="202" t="e">
        <f ca="1">VLOOKUP(A521,'銀行-TSS'!A:H,8,FALSE)</f>
        <v>#N/A</v>
      </c>
      <c r="G521" s="96" t="e">
        <f ca="1">VLOOKUP(A521,'銀行-TSS'!A:K,11,FALSE)</f>
        <v>#N/A</v>
      </c>
      <c r="H521" s="1209" t="e">
        <f ca="1">VLOOKUP(A521,'銀行-TSS'!A:M,13,FALSE)</f>
        <v>#N/A</v>
      </c>
      <c r="I521" s="1213" t="e">
        <f ca="1">VLOOKUP(A521,'銀行-TSS'!A:N,14,FALSE)</f>
        <v>#N/A</v>
      </c>
      <c r="J521" s="1213" t="e">
        <f ca="1">VLOOKUP(A521,'銀行-TSS'!A:O,15,FALSE)</f>
        <v>#N/A</v>
      </c>
      <c r="K521" s="136" t="e">
        <f ca="1">VLOOKUP(A521,'銀行-TSS'!A:V,22,FALSE)</f>
        <v>#N/A</v>
      </c>
      <c r="L521" s="136" t="e">
        <f ca="1">VLOOKUP(A521,'銀行-TSS'!A:AK,37,FALSE)</f>
        <v>#N/A</v>
      </c>
      <c r="M521" s="136" t="str">
        <f ca="1">VLOOKUP(A521,'銀行-TSS'!A:AN,40,FALSE)</f>
        <v/>
      </c>
      <c r="N521" s="1211" t="e">
        <f t="shared" ca="1" si="104"/>
        <v>#N/A</v>
      </c>
      <c r="O521" s="1211" t="e">
        <f t="shared" ca="1" si="105"/>
        <v>#N/A</v>
      </c>
      <c r="P521" s="1213" t="e">
        <f ca="1">IF(AND(換券投組!$D$17&gt;=O521,換券投組!$D$13=D521),I521+INT((換券投組!$D$17-O521)/N521)*J521,0)</f>
        <v>#N/A</v>
      </c>
      <c r="Q521" s="1211" t="e">
        <f t="shared" ca="1" si="106"/>
        <v>#N/A</v>
      </c>
      <c r="R521" s="1213">
        <f t="shared" si="107"/>
        <v>0</v>
      </c>
      <c r="S521" s="1213">
        <f t="shared" si="108"/>
        <v>0</v>
      </c>
      <c r="T521" s="136">
        <f t="shared" si="110"/>
        <v>0</v>
      </c>
      <c r="U521" s="861">
        <f t="shared" si="111"/>
        <v>0</v>
      </c>
      <c r="V521" s="136" t="e">
        <f ca="1">IF(OR(D521&lt;&gt;"USD",L521="無",M521&lt;&gt;"",K521="高資產",IFERROR(MATCH(B521,換券投組!K:K,0),"N")&lt;&gt;"N",IFERROR(MATCH(B521,換券投組!J:J,0),"N")&lt;&gt;"N"),FALSE,IF($V$1="All",TRUE,IF(K521=$V$1,TRUE,FALSE)))</f>
        <v>#N/A</v>
      </c>
      <c r="W521" s="136" t="e">
        <f ca="1">VLOOKUP(A521,'銀行-TSS'!A:AO,41,FALSE)</f>
        <v>#N/A</v>
      </c>
      <c r="X521" s="136" t="e">
        <f ca="1">VLOOKUP(A521,'銀行-TSS'!A:AP,42,FALSE)</f>
        <v>#N/A</v>
      </c>
      <c r="Y521" s="1223">
        <f t="shared" si="109"/>
        <v>0</v>
      </c>
      <c r="Z521" s="1211">
        <f t="shared" si="112"/>
        <v>0</v>
      </c>
      <c r="AA521" s="136">
        <f>IF(Z521&lt;=0,0,RANK(Z521,Z:Z)+COUNTIF($Z$3:$Z521,Z521)-1)</f>
        <v>0</v>
      </c>
      <c r="AB521" s="1211">
        <f t="shared" ca="1" si="113"/>
        <v>0</v>
      </c>
      <c r="AC521" s="136">
        <f ca="1">IF(AB521&lt;=0,0,RANK(AB521,AB:AB)+COUNTIF($AB$3:$AB521,AB521)-1)</f>
        <v>0</v>
      </c>
      <c r="AD521" s="136">
        <f t="shared" si="114"/>
        <v>99999</v>
      </c>
      <c r="AE521" s="136">
        <f>IF(AD521=99999,0,RANK(AD521,AD:AD,1)+COUNTIF($AD$3:$AD521,AD521)-1)</f>
        <v>0</v>
      </c>
    </row>
    <row r="522" spans="1:31">
      <c r="A522" s="141">
        <f>'銀行-TSS'!A522</f>
        <v>0</v>
      </c>
      <c r="B522" s="151">
        <f ca="1">VLOOKUP(A522,'銀行-TSS'!A:B,2,FALSE)</f>
        <v>0</v>
      </c>
      <c r="C522" s="151" t="e">
        <f ca="1">VLOOKUP(B522,bond!B:C,2,FALSE)</f>
        <v>#N/A</v>
      </c>
      <c r="D522" s="95" t="e">
        <f>VLOOKUP(A522,'銀行-TSS'!A:C,3,FALSE)</f>
        <v>#N/A</v>
      </c>
      <c r="E522" s="90" t="e">
        <f ca="1">VLOOKUP(A522,'銀行-TSS'!A:G,7,FALSE)</f>
        <v>#N/A</v>
      </c>
      <c r="F522" s="202" t="e">
        <f ca="1">VLOOKUP(A522,'銀行-TSS'!A:H,8,FALSE)</f>
        <v>#N/A</v>
      </c>
      <c r="G522" s="96" t="e">
        <f ca="1">VLOOKUP(A522,'銀行-TSS'!A:K,11,FALSE)</f>
        <v>#N/A</v>
      </c>
      <c r="H522" s="1209" t="e">
        <f ca="1">VLOOKUP(A522,'銀行-TSS'!A:M,13,FALSE)</f>
        <v>#N/A</v>
      </c>
      <c r="I522" s="1213" t="e">
        <f ca="1">VLOOKUP(A522,'銀行-TSS'!A:N,14,FALSE)</f>
        <v>#N/A</v>
      </c>
      <c r="J522" s="1213" t="e">
        <f ca="1">VLOOKUP(A522,'銀行-TSS'!A:O,15,FALSE)</f>
        <v>#N/A</v>
      </c>
      <c r="K522" s="136" t="e">
        <f ca="1">VLOOKUP(A522,'銀行-TSS'!A:V,22,FALSE)</f>
        <v>#N/A</v>
      </c>
      <c r="L522" s="136" t="e">
        <f ca="1">VLOOKUP(A522,'銀行-TSS'!A:AK,37,FALSE)</f>
        <v>#N/A</v>
      </c>
      <c r="M522" s="136" t="str">
        <f ca="1">VLOOKUP(A522,'銀行-TSS'!A:AN,40,FALSE)</f>
        <v/>
      </c>
      <c r="N522" s="1211" t="e">
        <f t="shared" ca="1" si="104"/>
        <v>#N/A</v>
      </c>
      <c r="O522" s="1211" t="e">
        <f t="shared" ca="1" si="105"/>
        <v>#N/A</v>
      </c>
      <c r="P522" s="1213" t="e">
        <f ca="1">IF(AND(換券投組!$D$17&gt;=O522,換券投組!$D$13=D522),I522+INT((換券投組!$D$17-O522)/N522)*J522,0)</f>
        <v>#N/A</v>
      </c>
      <c r="Q522" s="1211" t="e">
        <f t="shared" ca="1" si="106"/>
        <v>#N/A</v>
      </c>
      <c r="R522" s="1213">
        <f t="shared" si="107"/>
        <v>0</v>
      </c>
      <c r="S522" s="1213">
        <f t="shared" si="108"/>
        <v>0</v>
      </c>
      <c r="T522" s="136">
        <f t="shared" si="110"/>
        <v>0</v>
      </c>
      <c r="U522" s="861">
        <f t="shared" si="111"/>
        <v>0</v>
      </c>
      <c r="V522" s="136" t="e">
        <f ca="1">IF(OR(D522&lt;&gt;"USD",L522="無",M522&lt;&gt;"",K522="高資產",IFERROR(MATCH(B522,換券投組!K:K,0),"N")&lt;&gt;"N",IFERROR(MATCH(B522,換券投組!J:J,0),"N")&lt;&gt;"N"),FALSE,IF($V$1="All",TRUE,IF(K522=$V$1,TRUE,FALSE)))</f>
        <v>#N/A</v>
      </c>
      <c r="W522" s="136" t="e">
        <f ca="1">VLOOKUP(A522,'銀行-TSS'!A:AO,41,FALSE)</f>
        <v>#N/A</v>
      </c>
      <c r="X522" s="136" t="e">
        <f ca="1">VLOOKUP(A522,'銀行-TSS'!A:AP,42,FALSE)</f>
        <v>#N/A</v>
      </c>
      <c r="Y522" s="1223">
        <f t="shared" si="109"/>
        <v>0</v>
      </c>
      <c r="Z522" s="1211">
        <f t="shared" si="112"/>
        <v>0</v>
      </c>
      <c r="AA522" s="136">
        <f>IF(Z522&lt;=0,0,RANK(Z522,Z:Z)+COUNTIF($Z$3:$Z522,Z522)-1)</f>
        <v>0</v>
      </c>
      <c r="AB522" s="1211">
        <f t="shared" ca="1" si="113"/>
        <v>0</v>
      </c>
      <c r="AC522" s="136">
        <f ca="1">IF(AB522&lt;=0,0,RANK(AB522,AB:AB)+COUNTIF($AB$3:$AB522,AB522)-1)</f>
        <v>0</v>
      </c>
      <c r="AD522" s="136">
        <f t="shared" si="114"/>
        <v>99999</v>
      </c>
      <c r="AE522" s="136">
        <f>IF(AD522=99999,0,RANK(AD522,AD:AD,1)+COUNTIF($AD$3:$AD522,AD522)-1)</f>
        <v>0</v>
      </c>
    </row>
    <row r="523" spans="1:31">
      <c r="A523" s="141">
        <f>'銀行-TSS'!A523</f>
        <v>0</v>
      </c>
      <c r="B523" s="151">
        <f ca="1">VLOOKUP(A523,'銀行-TSS'!A:B,2,FALSE)</f>
        <v>0</v>
      </c>
      <c r="C523" s="151" t="e">
        <f ca="1">VLOOKUP(B523,bond!B:C,2,FALSE)</f>
        <v>#N/A</v>
      </c>
      <c r="D523" s="95" t="e">
        <f>VLOOKUP(A523,'銀行-TSS'!A:C,3,FALSE)</f>
        <v>#N/A</v>
      </c>
      <c r="E523" s="90" t="e">
        <f ca="1">VLOOKUP(A523,'銀行-TSS'!A:G,7,FALSE)</f>
        <v>#N/A</v>
      </c>
      <c r="F523" s="202" t="e">
        <f ca="1">VLOOKUP(A523,'銀行-TSS'!A:H,8,FALSE)</f>
        <v>#N/A</v>
      </c>
      <c r="G523" s="96" t="e">
        <f ca="1">VLOOKUP(A523,'銀行-TSS'!A:K,11,FALSE)</f>
        <v>#N/A</v>
      </c>
      <c r="H523" s="1209" t="e">
        <f ca="1">VLOOKUP(A523,'銀行-TSS'!A:M,13,FALSE)</f>
        <v>#N/A</v>
      </c>
      <c r="I523" s="1213" t="e">
        <f ca="1">VLOOKUP(A523,'銀行-TSS'!A:N,14,FALSE)</f>
        <v>#N/A</v>
      </c>
      <c r="J523" s="1213" t="e">
        <f ca="1">VLOOKUP(A523,'銀行-TSS'!A:O,15,FALSE)</f>
        <v>#N/A</v>
      </c>
      <c r="K523" s="136" t="e">
        <f ca="1">VLOOKUP(A523,'銀行-TSS'!A:V,22,FALSE)</f>
        <v>#N/A</v>
      </c>
      <c r="L523" s="136" t="e">
        <f ca="1">VLOOKUP(A523,'銀行-TSS'!A:AK,37,FALSE)</f>
        <v>#N/A</v>
      </c>
      <c r="M523" s="136" t="str">
        <f ca="1">VLOOKUP(A523,'銀行-TSS'!A:AN,40,FALSE)</f>
        <v/>
      </c>
      <c r="N523" s="1211" t="e">
        <f t="shared" ca="1" si="104"/>
        <v>#N/A</v>
      </c>
      <c r="O523" s="1211" t="e">
        <f t="shared" ca="1" si="105"/>
        <v>#N/A</v>
      </c>
      <c r="P523" s="1213" t="e">
        <f ca="1">IF(AND(換券投組!$D$17&gt;=O523,換券投組!$D$13=D523),I523+INT((換券投組!$D$17-O523)/N523)*J523,0)</f>
        <v>#N/A</v>
      </c>
      <c r="Q523" s="1211" t="e">
        <f t="shared" ca="1" si="106"/>
        <v>#N/A</v>
      </c>
      <c r="R523" s="1213">
        <f t="shared" si="107"/>
        <v>0</v>
      </c>
      <c r="S523" s="1213">
        <f t="shared" si="108"/>
        <v>0</v>
      </c>
      <c r="T523" s="136">
        <f t="shared" si="110"/>
        <v>0</v>
      </c>
      <c r="U523" s="861">
        <f t="shared" si="111"/>
        <v>0</v>
      </c>
      <c r="V523" s="136" t="e">
        <f ca="1">IF(OR(D523&lt;&gt;"USD",L523="無",M523&lt;&gt;"",K523="高資產",IFERROR(MATCH(B523,換券投組!K:K,0),"N")&lt;&gt;"N",IFERROR(MATCH(B523,換券投組!J:J,0),"N")&lt;&gt;"N"),FALSE,IF($V$1="All",TRUE,IF(K523=$V$1,TRUE,FALSE)))</f>
        <v>#N/A</v>
      </c>
      <c r="W523" s="136" t="e">
        <f ca="1">VLOOKUP(A523,'銀行-TSS'!A:AO,41,FALSE)</f>
        <v>#N/A</v>
      </c>
      <c r="X523" s="136" t="e">
        <f ca="1">VLOOKUP(A523,'銀行-TSS'!A:AP,42,FALSE)</f>
        <v>#N/A</v>
      </c>
      <c r="Y523" s="1223">
        <f t="shared" si="109"/>
        <v>0</v>
      </c>
      <c r="Z523" s="1211">
        <f t="shared" si="112"/>
        <v>0</v>
      </c>
      <c r="AA523" s="136">
        <f>IF(Z523&lt;=0,0,RANK(Z523,Z:Z)+COUNTIF($Z$3:$Z523,Z523)-1)</f>
        <v>0</v>
      </c>
      <c r="AB523" s="1211">
        <f t="shared" ca="1" si="113"/>
        <v>0</v>
      </c>
      <c r="AC523" s="136">
        <f ca="1">IF(AB523&lt;=0,0,RANK(AB523,AB:AB)+COUNTIF($AB$3:$AB523,AB523)-1)</f>
        <v>0</v>
      </c>
      <c r="AD523" s="136">
        <f t="shared" si="114"/>
        <v>99999</v>
      </c>
      <c r="AE523" s="136">
        <f>IF(AD523=99999,0,RANK(AD523,AD:AD,1)+COUNTIF($AD$3:$AD523,AD523)-1)</f>
        <v>0</v>
      </c>
    </row>
    <row r="524" spans="1:31">
      <c r="A524" s="141">
        <f>'銀行-TSS'!A524</f>
        <v>0</v>
      </c>
      <c r="B524" s="151">
        <f ca="1">VLOOKUP(A524,'銀行-TSS'!A:B,2,FALSE)</f>
        <v>0</v>
      </c>
      <c r="C524" s="151" t="e">
        <f ca="1">VLOOKUP(B524,bond!B:C,2,FALSE)</f>
        <v>#N/A</v>
      </c>
      <c r="D524" s="95" t="e">
        <f>VLOOKUP(A524,'銀行-TSS'!A:C,3,FALSE)</f>
        <v>#N/A</v>
      </c>
      <c r="E524" s="90" t="e">
        <f ca="1">VLOOKUP(A524,'銀行-TSS'!A:G,7,FALSE)</f>
        <v>#N/A</v>
      </c>
      <c r="F524" s="202" t="e">
        <f ca="1">VLOOKUP(A524,'銀行-TSS'!A:H,8,FALSE)</f>
        <v>#N/A</v>
      </c>
      <c r="G524" s="96" t="e">
        <f ca="1">VLOOKUP(A524,'銀行-TSS'!A:K,11,FALSE)</f>
        <v>#N/A</v>
      </c>
      <c r="H524" s="1209" t="e">
        <f ca="1">VLOOKUP(A524,'銀行-TSS'!A:M,13,FALSE)</f>
        <v>#N/A</v>
      </c>
      <c r="I524" s="1213" t="e">
        <f ca="1">VLOOKUP(A524,'銀行-TSS'!A:N,14,FALSE)</f>
        <v>#N/A</v>
      </c>
      <c r="J524" s="1213" t="e">
        <f ca="1">VLOOKUP(A524,'銀行-TSS'!A:O,15,FALSE)</f>
        <v>#N/A</v>
      </c>
      <c r="K524" s="136" t="e">
        <f ca="1">VLOOKUP(A524,'銀行-TSS'!A:V,22,FALSE)</f>
        <v>#N/A</v>
      </c>
      <c r="L524" s="136" t="e">
        <f ca="1">VLOOKUP(A524,'銀行-TSS'!A:AK,37,FALSE)</f>
        <v>#N/A</v>
      </c>
      <c r="M524" s="136" t="str">
        <f ca="1">VLOOKUP(A524,'銀行-TSS'!A:AN,40,FALSE)</f>
        <v/>
      </c>
      <c r="N524" s="1211" t="e">
        <f t="shared" ca="1" si="104"/>
        <v>#N/A</v>
      </c>
      <c r="O524" s="1211" t="e">
        <f t="shared" ca="1" si="105"/>
        <v>#N/A</v>
      </c>
      <c r="P524" s="1213" t="e">
        <f ca="1">IF(AND(換券投組!$D$17&gt;=O524,換券投組!$D$13=D524),I524+INT((換券投組!$D$17-O524)/N524)*J524,0)</f>
        <v>#N/A</v>
      </c>
      <c r="Q524" s="1211" t="e">
        <f t="shared" ca="1" si="106"/>
        <v>#N/A</v>
      </c>
      <c r="R524" s="1213">
        <f t="shared" si="107"/>
        <v>0</v>
      </c>
      <c r="S524" s="1213">
        <f t="shared" si="108"/>
        <v>0</v>
      </c>
      <c r="T524" s="136">
        <f t="shared" si="110"/>
        <v>0</v>
      </c>
      <c r="U524" s="861">
        <f t="shared" si="111"/>
        <v>0</v>
      </c>
      <c r="V524" s="136" t="e">
        <f ca="1">IF(OR(D524&lt;&gt;"USD",L524="無",M524&lt;&gt;"",K524="高資產",IFERROR(MATCH(B524,換券投組!K:K,0),"N")&lt;&gt;"N",IFERROR(MATCH(B524,換券投組!J:J,0),"N")&lt;&gt;"N"),FALSE,IF($V$1="All",TRUE,IF(K524=$V$1,TRUE,FALSE)))</f>
        <v>#N/A</v>
      </c>
      <c r="W524" s="136" t="e">
        <f ca="1">VLOOKUP(A524,'銀行-TSS'!A:AO,41,FALSE)</f>
        <v>#N/A</v>
      </c>
      <c r="X524" s="136" t="e">
        <f ca="1">VLOOKUP(A524,'銀行-TSS'!A:AP,42,FALSE)</f>
        <v>#N/A</v>
      </c>
      <c r="Y524" s="1223">
        <f t="shared" si="109"/>
        <v>0</v>
      </c>
      <c r="Z524" s="1211">
        <f t="shared" si="112"/>
        <v>0</v>
      </c>
      <c r="AA524" s="136">
        <f>IF(Z524&lt;=0,0,RANK(Z524,Z:Z)+COUNTIF($Z$3:$Z524,Z524)-1)</f>
        <v>0</v>
      </c>
      <c r="AB524" s="1211">
        <f t="shared" ca="1" si="113"/>
        <v>0</v>
      </c>
      <c r="AC524" s="136">
        <f ca="1">IF(AB524&lt;=0,0,RANK(AB524,AB:AB)+COUNTIF($AB$3:$AB524,AB524)-1)</f>
        <v>0</v>
      </c>
      <c r="AD524" s="136">
        <f t="shared" si="114"/>
        <v>99999</v>
      </c>
      <c r="AE524" s="136">
        <f>IF(AD524=99999,0,RANK(AD524,AD:AD,1)+COUNTIF($AD$3:$AD524,AD524)-1)</f>
        <v>0</v>
      </c>
    </row>
    <row r="525" spans="1:31">
      <c r="A525" s="141">
        <f>'銀行-TSS'!A525</f>
        <v>0</v>
      </c>
      <c r="B525" s="151">
        <f ca="1">VLOOKUP(A525,'銀行-TSS'!A:B,2,FALSE)</f>
        <v>0</v>
      </c>
      <c r="C525" s="151" t="e">
        <f ca="1">VLOOKUP(B525,bond!B:C,2,FALSE)</f>
        <v>#N/A</v>
      </c>
      <c r="D525" s="95" t="e">
        <f>VLOOKUP(A525,'銀行-TSS'!A:C,3,FALSE)</f>
        <v>#N/A</v>
      </c>
      <c r="E525" s="90" t="e">
        <f ca="1">VLOOKUP(A525,'銀行-TSS'!A:G,7,FALSE)</f>
        <v>#N/A</v>
      </c>
      <c r="F525" s="202" t="e">
        <f ca="1">VLOOKUP(A525,'銀行-TSS'!A:H,8,FALSE)</f>
        <v>#N/A</v>
      </c>
      <c r="G525" s="96" t="e">
        <f ca="1">VLOOKUP(A525,'銀行-TSS'!A:K,11,FALSE)</f>
        <v>#N/A</v>
      </c>
      <c r="H525" s="1209" t="e">
        <f ca="1">VLOOKUP(A525,'銀行-TSS'!A:M,13,FALSE)</f>
        <v>#N/A</v>
      </c>
      <c r="I525" s="1213" t="e">
        <f ca="1">VLOOKUP(A525,'銀行-TSS'!A:N,14,FALSE)</f>
        <v>#N/A</v>
      </c>
      <c r="J525" s="1213" t="e">
        <f ca="1">VLOOKUP(A525,'銀行-TSS'!A:O,15,FALSE)</f>
        <v>#N/A</v>
      </c>
      <c r="K525" s="136" t="e">
        <f ca="1">VLOOKUP(A525,'銀行-TSS'!A:V,22,FALSE)</f>
        <v>#N/A</v>
      </c>
      <c r="L525" s="136" t="e">
        <f ca="1">VLOOKUP(A525,'銀行-TSS'!A:AK,37,FALSE)</f>
        <v>#N/A</v>
      </c>
      <c r="M525" s="136" t="str">
        <f ca="1">VLOOKUP(A525,'銀行-TSS'!A:AN,40,FALSE)</f>
        <v/>
      </c>
      <c r="N525" s="1211" t="e">
        <f t="shared" ca="1" si="104"/>
        <v>#N/A</v>
      </c>
      <c r="O525" s="1211" t="e">
        <f t="shared" ca="1" si="105"/>
        <v>#N/A</v>
      </c>
      <c r="P525" s="1213" t="e">
        <f ca="1">IF(AND(換券投組!$D$17&gt;=O525,換券投組!$D$13=D525),I525+INT((換券投組!$D$17-O525)/N525)*J525,0)</f>
        <v>#N/A</v>
      </c>
      <c r="Q525" s="1211" t="e">
        <f t="shared" ca="1" si="106"/>
        <v>#N/A</v>
      </c>
      <c r="R525" s="1213">
        <f t="shared" si="107"/>
        <v>0</v>
      </c>
      <c r="S525" s="1213">
        <f t="shared" si="108"/>
        <v>0</v>
      </c>
      <c r="T525" s="136">
        <f t="shared" si="110"/>
        <v>0</v>
      </c>
      <c r="U525" s="861">
        <f t="shared" si="111"/>
        <v>0</v>
      </c>
      <c r="V525" s="136" t="e">
        <f ca="1">IF(OR(D525&lt;&gt;"USD",L525="無",M525&lt;&gt;"",K525="高資產",IFERROR(MATCH(B525,換券投組!K:K,0),"N")&lt;&gt;"N",IFERROR(MATCH(B525,換券投組!J:J,0),"N")&lt;&gt;"N"),FALSE,IF($V$1="All",TRUE,IF(K525=$V$1,TRUE,FALSE)))</f>
        <v>#N/A</v>
      </c>
      <c r="W525" s="136" t="e">
        <f ca="1">VLOOKUP(A525,'銀行-TSS'!A:AO,41,FALSE)</f>
        <v>#N/A</v>
      </c>
      <c r="X525" s="136" t="e">
        <f ca="1">VLOOKUP(A525,'銀行-TSS'!A:AP,42,FALSE)</f>
        <v>#N/A</v>
      </c>
      <c r="Y525" s="1223">
        <f t="shared" si="109"/>
        <v>0</v>
      </c>
      <c r="Z525" s="1211">
        <f t="shared" si="112"/>
        <v>0</v>
      </c>
      <c r="AA525" s="136">
        <f>IF(Z525&lt;=0,0,RANK(Z525,Z:Z)+COUNTIF($Z$3:$Z525,Z525)-1)</f>
        <v>0</v>
      </c>
      <c r="AB525" s="1211">
        <f t="shared" ca="1" si="113"/>
        <v>0</v>
      </c>
      <c r="AC525" s="136">
        <f ca="1">IF(AB525&lt;=0,0,RANK(AB525,AB:AB)+COUNTIF($AB$3:$AB525,AB525)-1)</f>
        <v>0</v>
      </c>
      <c r="AD525" s="136">
        <f t="shared" si="114"/>
        <v>99999</v>
      </c>
      <c r="AE525" s="136">
        <f>IF(AD525=99999,0,RANK(AD525,AD:AD,1)+COUNTIF($AD$3:$AD525,AD525)-1)</f>
        <v>0</v>
      </c>
    </row>
    <row r="526" spans="1:31">
      <c r="A526" s="141">
        <f>'銀行-TSS'!A526</f>
        <v>0</v>
      </c>
      <c r="B526" s="151">
        <f ca="1">VLOOKUP(A526,'銀行-TSS'!A:B,2,FALSE)</f>
        <v>0</v>
      </c>
      <c r="C526" s="151" t="e">
        <f ca="1">VLOOKUP(B526,bond!B:C,2,FALSE)</f>
        <v>#N/A</v>
      </c>
      <c r="D526" s="95" t="e">
        <f>VLOOKUP(A526,'銀行-TSS'!A:C,3,FALSE)</f>
        <v>#N/A</v>
      </c>
      <c r="E526" s="90" t="e">
        <f ca="1">VLOOKUP(A526,'銀行-TSS'!A:G,7,FALSE)</f>
        <v>#N/A</v>
      </c>
      <c r="F526" s="202" t="e">
        <f ca="1">VLOOKUP(A526,'銀行-TSS'!A:H,8,FALSE)</f>
        <v>#N/A</v>
      </c>
      <c r="G526" s="96" t="e">
        <f ca="1">VLOOKUP(A526,'銀行-TSS'!A:K,11,FALSE)</f>
        <v>#N/A</v>
      </c>
      <c r="H526" s="1209" t="e">
        <f ca="1">VLOOKUP(A526,'銀行-TSS'!A:M,13,FALSE)</f>
        <v>#N/A</v>
      </c>
      <c r="I526" s="1213" t="e">
        <f ca="1">VLOOKUP(A526,'銀行-TSS'!A:N,14,FALSE)</f>
        <v>#N/A</v>
      </c>
      <c r="J526" s="1213" t="e">
        <f ca="1">VLOOKUP(A526,'銀行-TSS'!A:O,15,FALSE)</f>
        <v>#N/A</v>
      </c>
      <c r="K526" s="136" t="e">
        <f ca="1">VLOOKUP(A526,'銀行-TSS'!A:V,22,FALSE)</f>
        <v>#N/A</v>
      </c>
      <c r="L526" s="136" t="e">
        <f ca="1">VLOOKUP(A526,'銀行-TSS'!A:AK,37,FALSE)</f>
        <v>#N/A</v>
      </c>
      <c r="M526" s="136" t="str">
        <f ca="1">VLOOKUP(A526,'銀行-TSS'!A:AN,40,FALSE)</f>
        <v/>
      </c>
      <c r="N526" s="1211" t="e">
        <f t="shared" ca="1" si="104"/>
        <v>#N/A</v>
      </c>
      <c r="O526" s="1211" t="e">
        <f t="shared" ca="1" si="105"/>
        <v>#N/A</v>
      </c>
      <c r="P526" s="1213" t="e">
        <f ca="1">IF(AND(換券投組!$D$17&gt;=O526,換券投組!$D$13=D526),I526+INT((換券投組!$D$17-O526)/N526)*J526,0)</f>
        <v>#N/A</v>
      </c>
      <c r="Q526" s="1211" t="e">
        <f t="shared" ca="1" si="106"/>
        <v>#N/A</v>
      </c>
      <c r="R526" s="1213">
        <f t="shared" si="107"/>
        <v>0</v>
      </c>
      <c r="S526" s="1213">
        <f t="shared" si="108"/>
        <v>0</v>
      </c>
      <c r="T526" s="136">
        <f t="shared" si="110"/>
        <v>0</v>
      </c>
      <c r="U526" s="861">
        <f t="shared" si="111"/>
        <v>0</v>
      </c>
      <c r="V526" s="136" t="e">
        <f ca="1">IF(OR(D526&lt;&gt;"USD",L526="無",M526&lt;&gt;"",K526="高資產",IFERROR(MATCH(B526,換券投組!K:K,0),"N")&lt;&gt;"N",IFERROR(MATCH(B526,換券投組!J:J,0),"N")&lt;&gt;"N"),FALSE,IF($V$1="All",TRUE,IF(K526=$V$1,TRUE,FALSE)))</f>
        <v>#N/A</v>
      </c>
      <c r="W526" s="136" t="e">
        <f ca="1">VLOOKUP(A526,'銀行-TSS'!A:AO,41,FALSE)</f>
        <v>#N/A</v>
      </c>
      <c r="X526" s="136" t="e">
        <f ca="1">VLOOKUP(A526,'銀行-TSS'!A:AP,42,FALSE)</f>
        <v>#N/A</v>
      </c>
      <c r="Y526" s="1223">
        <f t="shared" si="109"/>
        <v>0</v>
      </c>
      <c r="Z526" s="1211">
        <f t="shared" si="112"/>
        <v>0</v>
      </c>
      <c r="AA526" s="136">
        <f>IF(Z526&lt;=0,0,RANK(Z526,Z:Z)+COUNTIF($Z$3:$Z526,Z526)-1)</f>
        <v>0</v>
      </c>
      <c r="AB526" s="1211">
        <f t="shared" ca="1" si="113"/>
        <v>0</v>
      </c>
      <c r="AC526" s="136">
        <f ca="1">IF(AB526&lt;=0,0,RANK(AB526,AB:AB)+COUNTIF($AB$3:$AB526,AB526)-1)</f>
        <v>0</v>
      </c>
      <c r="AD526" s="136">
        <f t="shared" si="114"/>
        <v>99999</v>
      </c>
      <c r="AE526" s="136">
        <f>IF(AD526=99999,0,RANK(AD526,AD:AD,1)+COUNTIF($AD$3:$AD526,AD526)-1)</f>
        <v>0</v>
      </c>
    </row>
    <row r="527" spans="1:31">
      <c r="A527" s="141">
        <f>'銀行-TSS'!A527</f>
        <v>0</v>
      </c>
      <c r="B527" s="151">
        <f ca="1">VLOOKUP(A527,'銀行-TSS'!A:B,2,FALSE)</f>
        <v>0</v>
      </c>
      <c r="C527" s="151" t="e">
        <f ca="1">VLOOKUP(B527,bond!B:C,2,FALSE)</f>
        <v>#N/A</v>
      </c>
      <c r="D527" s="95" t="e">
        <f>VLOOKUP(A527,'銀行-TSS'!A:C,3,FALSE)</f>
        <v>#N/A</v>
      </c>
      <c r="E527" s="90" t="e">
        <f ca="1">VLOOKUP(A527,'銀行-TSS'!A:G,7,FALSE)</f>
        <v>#N/A</v>
      </c>
      <c r="F527" s="202" t="e">
        <f ca="1">VLOOKUP(A527,'銀行-TSS'!A:H,8,FALSE)</f>
        <v>#N/A</v>
      </c>
      <c r="G527" s="96" t="e">
        <f ca="1">VLOOKUP(A527,'銀行-TSS'!A:K,11,FALSE)</f>
        <v>#N/A</v>
      </c>
      <c r="H527" s="1209" t="e">
        <f ca="1">VLOOKUP(A527,'銀行-TSS'!A:M,13,FALSE)</f>
        <v>#N/A</v>
      </c>
      <c r="I527" s="1213" t="e">
        <f ca="1">VLOOKUP(A527,'銀行-TSS'!A:N,14,FALSE)</f>
        <v>#N/A</v>
      </c>
      <c r="J527" s="1213" t="e">
        <f ca="1">VLOOKUP(A527,'銀行-TSS'!A:O,15,FALSE)</f>
        <v>#N/A</v>
      </c>
      <c r="K527" s="136" t="e">
        <f ca="1">VLOOKUP(A527,'銀行-TSS'!A:V,22,FALSE)</f>
        <v>#N/A</v>
      </c>
      <c r="L527" s="136" t="e">
        <f ca="1">VLOOKUP(A527,'銀行-TSS'!A:AK,37,FALSE)</f>
        <v>#N/A</v>
      </c>
      <c r="M527" s="136" t="str">
        <f ca="1">VLOOKUP(A527,'銀行-TSS'!A:AN,40,FALSE)</f>
        <v/>
      </c>
      <c r="N527" s="1211" t="e">
        <f t="shared" ca="1" si="104"/>
        <v>#N/A</v>
      </c>
      <c r="O527" s="1211" t="e">
        <f t="shared" ca="1" si="105"/>
        <v>#N/A</v>
      </c>
      <c r="P527" s="1213" t="e">
        <f ca="1">IF(AND(換券投組!$D$17&gt;=O527,換券投組!$D$13=D527),I527+INT((換券投組!$D$17-O527)/N527)*J527,0)</f>
        <v>#N/A</v>
      </c>
      <c r="Q527" s="1211" t="e">
        <f t="shared" ca="1" si="106"/>
        <v>#N/A</v>
      </c>
      <c r="R527" s="1213">
        <f t="shared" si="107"/>
        <v>0</v>
      </c>
      <c r="S527" s="1213">
        <f t="shared" si="108"/>
        <v>0</v>
      </c>
      <c r="T527" s="136">
        <f t="shared" si="110"/>
        <v>0</v>
      </c>
      <c r="U527" s="861">
        <f t="shared" si="111"/>
        <v>0</v>
      </c>
      <c r="V527" s="136" t="e">
        <f ca="1">IF(OR(D527&lt;&gt;"USD",L527="無",M527&lt;&gt;"",K527="高資產",IFERROR(MATCH(B527,換券投組!K:K,0),"N")&lt;&gt;"N",IFERROR(MATCH(B527,換券投組!J:J,0),"N")&lt;&gt;"N"),FALSE,IF($V$1="All",TRUE,IF(K527=$V$1,TRUE,FALSE)))</f>
        <v>#N/A</v>
      </c>
      <c r="W527" s="136" t="e">
        <f ca="1">VLOOKUP(A527,'銀行-TSS'!A:AO,41,FALSE)</f>
        <v>#N/A</v>
      </c>
      <c r="X527" s="136" t="e">
        <f ca="1">VLOOKUP(A527,'銀行-TSS'!A:AP,42,FALSE)</f>
        <v>#N/A</v>
      </c>
      <c r="Y527" s="1223">
        <f t="shared" si="109"/>
        <v>0</v>
      </c>
      <c r="Z527" s="1211">
        <f t="shared" si="112"/>
        <v>0</v>
      </c>
      <c r="AA527" s="136">
        <f>IF(Z527&lt;=0,0,RANK(Z527,Z:Z)+COUNTIF($Z$3:$Z527,Z527)-1)</f>
        <v>0</v>
      </c>
      <c r="AB527" s="1211">
        <f t="shared" ca="1" si="113"/>
        <v>0</v>
      </c>
      <c r="AC527" s="136">
        <f ca="1">IF(AB527&lt;=0,0,RANK(AB527,AB:AB)+COUNTIF($AB$3:$AB527,AB527)-1)</f>
        <v>0</v>
      </c>
      <c r="AD527" s="136">
        <f t="shared" si="114"/>
        <v>99999</v>
      </c>
      <c r="AE527" s="136">
        <f>IF(AD527=99999,0,RANK(AD527,AD:AD,1)+COUNTIF($AD$3:$AD527,AD527)-1)</f>
        <v>0</v>
      </c>
    </row>
    <row r="528" spans="1:31">
      <c r="A528" s="141">
        <f>'銀行-TSS'!A528</f>
        <v>0</v>
      </c>
      <c r="B528" s="151">
        <f ca="1">VLOOKUP(A528,'銀行-TSS'!A:B,2,FALSE)</f>
        <v>0</v>
      </c>
      <c r="C528" s="151" t="e">
        <f ca="1">VLOOKUP(B528,bond!B:C,2,FALSE)</f>
        <v>#N/A</v>
      </c>
      <c r="D528" s="95" t="e">
        <f>VLOOKUP(A528,'銀行-TSS'!A:C,3,FALSE)</f>
        <v>#N/A</v>
      </c>
      <c r="E528" s="90" t="e">
        <f ca="1">VLOOKUP(A528,'銀行-TSS'!A:G,7,FALSE)</f>
        <v>#N/A</v>
      </c>
      <c r="F528" s="202" t="e">
        <f ca="1">VLOOKUP(A528,'銀行-TSS'!A:H,8,FALSE)</f>
        <v>#N/A</v>
      </c>
      <c r="G528" s="96" t="e">
        <f ca="1">VLOOKUP(A528,'銀行-TSS'!A:K,11,FALSE)</f>
        <v>#N/A</v>
      </c>
      <c r="H528" s="1209" t="e">
        <f ca="1">VLOOKUP(A528,'銀行-TSS'!A:M,13,FALSE)</f>
        <v>#N/A</v>
      </c>
      <c r="I528" s="1213" t="e">
        <f ca="1">VLOOKUP(A528,'銀行-TSS'!A:N,14,FALSE)</f>
        <v>#N/A</v>
      </c>
      <c r="J528" s="1213" t="e">
        <f ca="1">VLOOKUP(A528,'銀行-TSS'!A:O,15,FALSE)</f>
        <v>#N/A</v>
      </c>
      <c r="K528" s="136" t="e">
        <f ca="1">VLOOKUP(A528,'銀行-TSS'!A:V,22,FALSE)</f>
        <v>#N/A</v>
      </c>
      <c r="L528" s="136" t="e">
        <f ca="1">VLOOKUP(A528,'銀行-TSS'!A:AK,37,FALSE)</f>
        <v>#N/A</v>
      </c>
      <c r="M528" s="136" t="str">
        <f ca="1">VLOOKUP(A528,'銀行-TSS'!A:AN,40,FALSE)</f>
        <v/>
      </c>
      <c r="N528" s="1211" t="e">
        <f t="shared" ca="1" si="104"/>
        <v>#N/A</v>
      </c>
      <c r="O528" s="1211" t="e">
        <f t="shared" ca="1" si="105"/>
        <v>#N/A</v>
      </c>
      <c r="P528" s="1213" t="e">
        <f ca="1">IF(AND(換券投組!$D$17&gt;=O528,換券投組!$D$13=D528),I528+INT((換券投組!$D$17-O528)/N528)*J528,0)</f>
        <v>#N/A</v>
      </c>
      <c r="Q528" s="1211" t="e">
        <f t="shared" ca="1" si="106"/>
        <v>#N/A</v>
      </c>
      <c r="R528" s="1213">
        <f t="shared" si="107"/>
        <v>0</v>
      </c>
      <c r="S528" s="1213">
        <f t="shared" si="108"/>
        <v>0</v>
      </c>
      <c r="T528" s="136">
        <f t="shared" si="110"/>
        <v>0</v>
      </c>
      <c r="U528" s="861">
        <f t="shared" si="111"/>
        <v>0</v>
      </c>
      <c r="V528" s="136" t="e">
        <f ca="1">IF(OR(D528&lt;&gt;"USD",L528="無",M528&lt;&gt;"",K528="高資產",IFERROR(MATCH(B528,換券投組!K:K,0),"N")&lt;&gt;"N",IFERROR(MATCH(B528,換券投組!J:J,0),"N")&lt;&gt;"N"),FALSE,IF($V$1="All",TRUE,IF(K528=$V$1,TRUE,FALSE)))</f>
        <v>#N/A</v>
      </c>
      <c r="W528" s="136" t="e">
        <f ca="1">VLOOKUP(A528,'銀行-TSS'!A:AO,41,FALSE)</f>
        <v>#N/A</v>
      </c>
      <c r="X528" s="136" t="e">
        <f ca="1">VLOOKUP(A528,'銀行-TSS'!A:AP,42,FALSE)</f>
        <v>#N/A</v>
      </c>
      <c r="Y528" s="1223">
        <f t="shared" si="109"/>
        <v>0</v>
      </c>
      <c r="Z528" s="1211">
        <f t="shared" si="112"/>
        <v>0</v>
      </c>
      <c r="AA528" s="136">
        <f>IF(Z528&lt;=0,0,RANK(Z528,Z:Z)+COUNTIF($Z$3:$Z528,Z528)-1)</f>
        <v>0</v>
      </c>
      <c r="AB528" s="1211">
        <f t="shared" ca="1" si="113"/>
        <v>0</v>
      </c>
      <c r="AC528" s="136">
        <f ca="1">IF(AB528&lt;=0,0,RANK(AB528,AB:AB)+COUNTIF($AB$3:$AB528,AB528)-1)</f>
        <v>0</v>
      </c>
      <c r="AD528" s="136">
        <f t="shared" si="114"/>
        <v>99999</v>
      </c>
      <c r="AE528" s="136">
        <f>IF(AD528=99999,0,RANK(AD528,AD:AD,1)+COUNTIF($AD$3:$AD528,AD528)-1)</f>
        <v>0</v>
      </c>
    </row>
    <row r="529" spans="1:31">
      <c r="A529" s="141">
        <f>'銀行-TSS'!A529</f>
        <v>0</v>
      </c>
      <c r="B529" s="151">
        <f ca="1">VLOOKUP(A529,'銀行-TSS'!A:B,2,FALSE)</f>
        <v>0</v>
      </c>
      <c r="C529" s="151" t="e">
        <f ca="1">VLOOKUP(B529,bond!B:C,2,FALSE)</f>
        <v>#N/A</v>
      </c>
      <c r="D529" s="95" t="e">
        <f>VLOOKUP(A529,'銀行-TSS'!A:C,3,FALSE)</f>
        <v>#N/A</v>
      </c>
      <c r="E529" s="90" t="e">
        <f ca="1">VLOOKUP(A529,'銀行-TSS'!A:G,7,FALSE)</f>
        <v>#N/A</v>
      </c>
      <c r="F529" s="202" t="e">
        <f ca="1">VLOOKUP(A529,'銀行-TSS'!A:H,8,FALSE)</f>
        <v>#N/A</v>
      </c>
      <c r="G529" s="96" t="e">
        <f ca="1">VLOOKUP(A529,'銀行-TSS'!A:K,11,FALSE)</f>
        <v>#N/A</v>
      </c>
      <c r="H529" s="1209" t="e">
        <f ca="1">VLOOKUP(A529,'銀行-TSS'!A:M,13,FALSE)</f>
        <v>#N/A</v>
      </c>
      <c r="I529" s="1213" t="e">
        <f ca="1">VLOOKUP(A529,'銀行-TSS'!A:N,14,FALSE)</f>
        <v>#N/A</v>
      </c>
      <c r="J529" s="1213" t="e">
        <f ca="1">VLOOKUP(A529,'銀行-TSS'!A:O,15,FALSE)</f>
        <v>#N/A</v>
      </c>
      <c r="K529" s="136" t="e">
        <f ca="1">VLOOKUP(A529,'銀行-TSS'!A:V,22,FALSE)</f>
        <v>#N/A</v>
      </c>
      <c r="L529" s="136" t="e">
        <f ca="1">VLOOKUP(A529,'銀行-TSS'!A:AK,37,FALSE)</f>
        <v>#N/A</v>
      </c>
      <c r="M529" s="136" t="str">
        <f ca="1">VLOOKUP(A529,'銀行-TSS'!A:AN,40,FALSE)</f>
        <v/>
      </c>
      <c r="N529" s="1211" t="e">
        <f t="shared" ca="1" si="104"/>
        <v>#N/A</v>
      </c>
      <c r="O529" s="1211" t="e">
        <f t="shared" ca="1" si="105"/>
        <v>#N/A</v>
      </c>
      <c r="P529" s="1213" t="e">
        <f ca="1">IF(AND(換券投組!$D$17&gt;=O529,換券投組!$D$13=D529),I529+INT((換券投組!$D$17-O529)/N529)*J529,0)</f>
        <v>#N/A</v>
      </c>
      <c r="Q529" s="1211" t="e">
        <f t="shared" ca="1" si="106"/>
        <v>#N/A</v>
      </c>
      <c r="R529" s="1213">
        <f t="shared" si="107"/>
        <v>0</v>
      </c>
      <c r="S529" s="1213">
        <f t="shared" si="108"/>
        <v>0</v>
      </c>
      <c r="T529" s="136">
        <f t="shared" si="110"/>
        <v>0</v>
      </c>
      <c r="U529" s="861">
        <f t="shared" si="111"/>
        <v>0</v>
      </c>
      <c r="V529" s="136" t="e">
        <f ca="1">IF(OR(D529&lt;&gt;"USD",L529="無",M529&lt;&gt;"",K529="高資產",IFERROR(MATCH(B529,換券投組!K:K,0),"N")&lt;&gt;"N",IFERROR(MATCH(B529,換券投組!J:J,0),"N")&lt;&gt;"N"),FALSE,IF($V$1="All",TRUE,IF(K529=$V$1,TRUE,FALSE)))</f>
        <v>#N/A</v>
      </c>
      <c r="W529" s="136" t="e">
        <f ca="1">VLOOKUP(A529,'銀行-TSS'!A:AO,41,FALSE)</f>
        <v>#N/A</v>
      </c>
      <c r="X529" s="136" t="e">
        <f ca="1">VLOOKUP(A529,'銀行-TSS'!A:AP,42,FALSE)</f>
        <v>#N/A</v>
      </c>
      <c r="Y529" s="1223">
        <f t="shared" si="109"/>
        <v>0</v>
      </c>
      <c r="Z529" s="1211">
        <f t="shared" si="112"/>
        <v>0</v>
      </c>
      <c r="AA529" s="136">
        <f>IF(Z529&lt;=0,0,RANK(Z529,Z:Z)+COUNTIF($Z$3:$Z529,Z529)-1)</f>
        <v>0</v>
      </c>
      <c r="AB529" s="1211">
        <f t="shared" ca="1" si="113"/>
        <v>0</v>
      </c>
      <c r="AC529" s="136">
        <f ca="1">IF(AB529&lt;=0,0,RANK(AB529,AB:AB)+COUNTIF($AB$3:$AB529,AB529)-1)</f>
        <v>0</v>
      </c>
      <c r="AD529" s="136">
        <f t="shared" si="114"/>
        <v>99999</v>
      </c>
      <c r="AE529" s="136">
        <f>IF(AD529=99999,0,RANK(AD529,AD:AD,1)+COUNTIF($AD$3:$AD529,AD529)-1)</f>
        <v>0</v>
      </c>
    </row>
    <row r="530" spans="1:31">
      <c r="A530" s="141">
        <f>'銀行-TSS'!A530</f>
        <v>0</v>
      </c>
      <c r="B530" s="151">
        <f ca="1">VLOOKUP(A530,'銀行-TSS'!A:B,2,FALSE)</f>
        <v>0</v>
      </c>
      <c r="C530" s="151" t="e">
        <f ca="1">VLOOKUP(B530,bond!B:C,2,FALSE)</f>
        <v>#N/A</v>
      </c>
      <c r="D530" s="95" t="e">
        <f>VLOOKUP(A530,'銀行-TSS'!A:C,3,FALSE)</f>
        <v>#N/A</v>
      </c>
      <c r="E530" s="90" t="e">
        <f ca="1">VLOOKUP(A530,'銀行-TSS'!A:G,7,FALSE)</f>
        <v>#N/A</v>
      </c>
      <c r="F530" s="202" t="e">
        <f ca="1">VLOOKUP(A530,'銀行-TSS'!A:H,8,FALSE)</f>
        <v>#N/A</v>
      </c>
      <c r="G530" s="96" t="e">
        <f ca="1">VLOOKUP(A530,'銀行-TSS'!A:K,11,FALSE)</f>
        <v>#N/A</v>
      </c>
      <c r="H530" s="1209" t="e">
        <f ca="1">VLOOKUP(A530,'銀行-TSS'!A:M,13,FALSE)</f>
        <v>#N/A</v>
      </c>
      <c r="I530" s="1213" t="e">
        <f ca="1">VLOOKUP(A530,'銀行-TSS'!A:N,14,FALSE)</f>
        <v>#N/A</v>
      </c>
      <c r="J530" s="1213" t="e">
        <f ca="1">VLOOKUP(A530,'銀行-TSS'!A:O,15,FALSE)</f>
        <v>#N/A</v>
      </c>
      <c r="K530" s="136" t="e">
        <f ca="1">VLOOKUP(A530,'銀行-TSS'!A:V,22,FALSE)</f>
        <v>#N/A</v>
      </c>
      <c r="L530" s="136" t="e">
        <f ca="1">VLOOKUP(A530,'銀行-TSS'!A:AK,37,FALSE)</f>
        <v>#N/A</v>
      </c>
      <c r="M530" s="136" t="str">
        <f ca="1">VLOOKUP(A530,'銀行-TSS'!A:AN,40,FALSE)</f>
        <v/>
      </c>
      <c r="N530" s="1211" t="e">
        <f t="shared" ca="1" si="104"/>
        <v>#N/A</v>
      </c>
      <c r="O530" s="1211" t="e">
        <f t="shared" ca="1" si="105"/>
        <v>#N/A</v>
      </c>
      <c r="P530" s="1213" t="e">
        <f ca="1">IF(AND(換券投組!$D$17&gt;=O530,換券投組!$D$13=D530),I530+INT((換券投組!$D$17-O530)/N530)*J530,0)</f>
        <v>#N/A</v>
      </c>
      <c r="Q530" s="1211" t="e">
        <f t="shared" ca="1" si="106"/>
        <v>#N/A</v>
      </c>
      <c r="R530" s="1213">
        <f t="shared" si="107"/>
        <v>0</v>
      </c>
      <c r="S530" s="1213">
        <f t="shared" si="108"/>
        <v>0</v>
      </c>
      <c r="T530" s="136">
        <f t="shared" si="110"/>
        <v>0</v>
      </c>
      <c r="U530" s="861">
        <f t="shared" si="111"/>
        <v>0</v>
      </c>
      <c r="V530" s="136" t="e">
        <f ca="1">IF(OR(D530&lt;&gt;"USD",L530="無",M530&lt;&gt;"",K530="高資產",IFERROR(MATCH(B530,換券投組!K:K,0),"N")&lt;&gt;"N",IFERROR(MATCH(B530,換券投組!J:J,0),"N")&lt;&gt;"N"),FALSE,IF($V$1="All",TRUE,IF(K530=$V$1,TRUE,FALSE)))</f>
        <v>#N/A</v>
      </c>
      <c r="W530" s="136" t="e">
        <f ca="1">VLOOKUP(A530,'銀行-TSS'!A:AO,41,FALSE)</f>
        <v>#N/A</v>
      </c>
      <c r="X530" s="136" t="e">
        <f ca="1">VLOOKUP(A530,'銀行-TSS'!A:AP,42,FALSE)</f>
        <v>#N/A</v>
      </c>
      <c r="Y530" s="1223">
        <f t="shared" si="109"/>
        <v>0</v>
      </c>
      <c r="Z530" s="1211">
        <f t="shared" si="112"/>
        <v>0</v>
      </c>
      <c r="AA530" s="136">
        <f>IF(Z530&lt;=0,0,RANK(Z530,Z:Z)+COUNTIF($Z$3:$Z530,Z530)-1)</f>
        <v>0</v>
      </c>
      <c r="AB530" s="1211">
        <f t="shared" ca="1" si="113"/>
        <v>0</v>
      </c>
      <c r="AC530" s="136">
        <f ca="1">IF(AB530&lt;=0,0,RANK(AB530,AB:AB)+COUNTIF($AB$3:$AB530,AB530)-1)</f>
        <v>0</v>
      </c>
      <c r="AD530" s="136">
        <f t="shared" si="114"/>
        <v>99999</v>
      </c>
      <c r="AE530" s="136">
        <f>IF(AD530=99999,0,RANK(AD530,AD:AD,1)+COUNTIF($AD$3:$AD530,AD530)-1)</f>
        <v>0</v>
      </c>
    </row>
    <row r="531" spans="1:31">
      <c r="A531" s="141">
        <f>'銀行-TSS'!A531</f>
        <v>0</v>
      </c>
      <c r="B531" s="151">
        <f ca="1">VLOOKUP(A531,'銀行-TSS'!A:B,2,FALSE)</f>
        <v>0</v>
      </c>
      <c r="C531" s="151" t="e">
        <f ca="1">VLOOKUP(B531,bond!B:C,2,FALSE)</f>
        <v>#N/A</v>
      </c>
      <c r="D531" s="95" t="e">
        <f>VLOOKUP(A531,'銀行-TSS'!A:C,3,FALSE)</f>
        <v>#N/A</v>
      </c>
      <c r="E531" s="90" t="e">
        <f ca="1">VLOOKUP(A531,'銀行-TSS'!A:G,7,FALSE)</f>
        <v>#N/A</v>
      </c>
      <c r="F531" s="202" t="e">
        <f ca="1">VLOOKUP(A531,'銀行-TSS'!A:H,8,FALSE)</f>
        <v>#N/A</v>
      </c>
      <c r="G531" s="96" t="e">
        <f ca="1">VLOOKUP(A531,'銀行-TSS'!A:K,11,FALSE)</f>
        <v>#N/A</v>
      </c>
      <c r="H531" s="1209" t="e">
        <f ca="1">VLOOKUP(A531,'銀行-TSS'!A:M,13,FALSE)</f>
        <v>#N/A</v>
      </c>
      <c r="I531" s="1213" t="e">
        <f ca="1">VLOOKUP(A531,'銀行-TSS'!A:N,14,FALSE)</f>
        <v>#N/A</v>
      </c>
      <c r="J531" s="1213" t="e">
        <f ca="1">VLOOKUP(A531,'銀行-TSS'!A:O,15,FALSE)</f>
        <v>#N/A</v>
      </c>
      <c r="K531" s="136" t="e">
        <f ca="1">VLOOKUP(A531,'銀行-TSS'!A:V,22,FALSE)</f>
        <v>#N/A</v>
      </c>
      <c r="L531" s="136" t="e">
        <f ca="1">VLOOKUP(A531,'銀行-TSS'!A:AK,37,FALSE)</f>
        <v>#N/A</v>
      </c>
      <c r="M531" s="136" t="str">
        <f ca="1">VLOOKUP(A531,'銀行-TSS'!A:AN,40,FALSE)</f>
        <v/>
      </c>
      <c r="N531" s="1211" t="e">
        <f t="shared" ca="1" si="104"/>
        <v>#N/A</v>
      </c>
      <c r="O531" s="1211" t="e">
        <f t="shared" ca="1" si="105"/>
        <v>#N/A</v>
      </c>
      <c r="P531" s="1213" t="e">
        <f ca="1">IF(AND(換券投組!$D$17&gt;=O531,換券投組!$D$13=D531),I531+INT((換券投組!$D$17-O531)/N531)*J531,0)</f>
        <v>#N/A</v>
      </c>
      <c r="Q531" s="1211" t="e">
        <f t="shared" ca="1" si="106"/>
        <v>#N/A</v>
      </c>
      <c r="R531" s="1213">
        <f t="shared" si="107"/>
        <v>0</v>
      </c>
      <c r="S531" s="1213">
        <f t="shared" si="108"/>
        <v>0</v>
      </c>
      <c r="T531" s="136">
        <f t="shared" si="110"/>
        <v>0</v>
      </c>
      <c r="U531" s="861">
        <f t="shared" si="111"/>
        <v>0</v>
      </c>
      <c r="V531" s="136" t="e">
        <f ca="1">IF(OR(D531&lt;&gt;"USD",L531="無",M531&lt;&gt;"",K531="高資產",IFERROR(MATCH(B531,換券投組!K:K,0),"N")&lt;&gt;"N",IFERROR(MATCH(B531,換券投組!J:J,0),"N")&lt;&gt;"N"),FALSE,IF($V$1="All",TRUE,IF(K531=$V$1,TRUE,FALSE)))</f>
        <v>#N/A</v>
      </c>
      <c r="W531" s="136" t="e">
        <f ca="1">VLOOKUP(A531,'銀行-TSS'!A:AO,41,FALSE)</f>
        <v>#N/A</v>
      </c>
      <c r="X531" s="136" t="e">
        <f ca="1">VLOOKUP(A531,'銀行-TSS'!A:AP,42,FALSE)</f>
        <v>#N/A</v>
      </c>
      <c r="Y531" s="1223">
        <f t="shared" si="109"/>
        <v>0</v>
      </c>
      <c r="Z531" s="1211">
        <f t="shared" si="112"/>
        <v>0</v>
      </c>
      <c r="AA531" s="136">
        <f>IF(Z531&lt;=0,0,RANK(Z531,Z:Z)+COUNTIF($Z$3:$Z531,Z531)-1)</f>
        <v>0</v>
      </c>
      <c r="AB531" s="1211">
        <f t="shared" ca="1" si="113"/>
        <v>0</v>
      </c>
      <c r="AC531" s="136">
        <f ca="1">IF(AB531&lt;=0,0,RANK(AB531,AB:AB)+COUNTIF($AB$3:$AB531,AB531)-1)</f>
        <v>0</v>
      </c>
      <c r="AD531" s="136">
        <f t="shared" si="114"/>
        <v>99999</v>
      </c>
      <c r="AE531" s="136">
        <f>IF(AD531=99999,0,RANK(AD531,AD:AD,1)+COUNTIF($AD$3:$AD531,AD531)-1)</f>
        <v>0</v>
      </c>
    </row>
    <row r="532" spans="1:31">
      <c r="A532" s="141">
        <f>'銀行-TSS'!A532</f>
        <v>0</v>
      </c>
      <c r="B532" s="151">
        <f ca="1">VLOOKUP(A532,'銀行-TSS'!A:B,2,FALSE)</f>
        <v>0</v>
      </c>
      <c r="C532" s="151" t="e">
        <f ca="1">VLOOKUP(B532,bond!B:C,2,FALSE)</f>
        <v>#N/A</v>
      </c>
      <c r="D532" s="95" t="e">
        <f>VLOOKUP(A532,'銀行-TSS'!A:C,3,FALSE)</f>
        <v>#N/A</v>
      </c>
      <c r="E532" s="90" t="e">
        <f ca="1">VLOOKUP(A532,'銀行-TSS'!A:G,7,FALSE)</f>
        <v>#N/A</v>
      </c>
      <c r="F532" s="202" t="e">
        <f ca="1">VLOOKUP(A532,'銀行-TSS'!A:H,8,FALSE)</f>
        <v>#N/A</v>
      </c>
      <c r="G532" s="96" t="e">
        <f ca="1">VLOOKUP(A532,'銀行-TSS'!A:K,11,FALSE)</f>
        <v>#N/A</v>
      </c>
      <c r="H532" s="1209" t="e">
        <f ca="1">VLOOKUP(A532,'銀行-TSS'!A:M,13,FALSE)</f>
        <v>#N/A</v>
      </c>
      <c r="I532" s="1213" t="e">
        <f ca="1">VLOOKUP(A532,'銀行-TSS'!A:N,14,FALSE)</f>
        <v>#N/A</v>
      </c>
      <c r="J532" s="1213" t="e">
        <f ca="1">VLOOKUP(A532,'銀行-TSS'!A:O,15,FALSE)</f>
        <v>#N/A</v>
      </c>
      <c r="K532" s="136" t="e">
        <f ca="1">VLOOKUP(A532,'銀行-TSS'!A:V,22,FALSE)</f>
        <v>#N/A</v>
      </c>
      <c r="L532" s="136" t="e">
        <f ca="1">VLOOKUP(A532,'銀行-TSS'!A:AK,37,FALSE)</f>
        <v>#N/A</v>
      </c>
      <c r="M532" s="136" t="str">
        <f ca="1">VLOOKUP(A532,'銀行-TSS'!A:AN,40,FALSE)</f>
        <v/>
      </c>
      <c r="N532" s="1211" t="e">
        <f t="shared" ca="1" si="104"/>
        <v>#N/A</v>
      </c>
      <c r="O532" s="1211" t="e">
        <f t="shared" ca="1" si="105"/>
        <v>#N/A</v>
      </c>
      <c r="P532" s="1213" t="e">
        <f ca="1">IF(AND(換券投組!$D$17&gt;=O532,換券投組!$D$13=D532),I532+INT((換券投組!$D$17-O532)/N532)*J532,0)</f>
        <v>#N/A</v>
      </c>
      <c r="Q532" s="1211" t="e">
        <f t="shared" ca="1" si="106"/>
        <v>#N/A</v>
      </c>
      <c r="R532" s="1213">
        <f t="shared" si="107"/>
        <v>0</v>
      </c>
      <c r="S532" s="1213">
        <f t="shared" si="108"/>
        <v>0</v>
      </c>
      <c r="T532" s="136">
        <f t="shared" si="110"/>
        <v>0</v>
      </c>
      <c r="U532" s="861">
        <f t="shared" si="111"/>
        <v>0</v>
      </c>
      <c r="V532" s="136" t="e">
        <f ca="1">IF(OR(D532&lt;&gt;"USD",L532="無",M532&lt;&gt;"",K532="高資產",IFERROR(MATCH(B532,換券投組!K:K,0),"N")&lt;&gt;"N",IFERROR(MATCH(B532,換券投組!J:J,0),"N")&lt;&gt;"N"),FALSE,IF($V$1="All",TRUE,IF(K532=$V$1,TRUE,FALSE)))</f>
        <v>#N/A</v>
      </c>
      <c r="W532" s="136" t="e">
        <f ca="1">VLOOKUP(A532,'銀行-TSS'!A:AO,41,FALSE)</f>
        <v>#N/A</v>
      </c>
      <c r="X532" s="136" t="e">
        <f ca="1">VLOOKUP(A532,'銀行-TSS'!A:AP,42,FALSE)</f>
        <v>#N/A</v>
      </c>
      <c r="Y532" s="1223">
        <f t="shared" si="109"/>
        <v>0</v>
      </c>
      <c r="Z532" s="1211">
        <f t="shared" si="112"/>
        <v>0</v>
      </c>
      <c r="AA532" s="136">
        <f>IF(Z532&lt;=0,0,RANK(Z532,Z:Z)+COUNTIF($Z$3:$Z532,Z532)-1)</f>
        <v>0</v>
      </c>
      <c r="AB532" s="1211">
        <f t="shared" ca="1" si="113"/>
        <v>0</v>
      </c>
      <c r="AC532" s="136">
        <f ca="1">IF(AB532&lt;=0,0,RANK(AB532,AB:AB)+COUNTIF($AB$3:$AB532,AB532)-1)</f>
        <v>0</v>
      </c>
      <c r="AD532" s="136">
        <f t="shared" si="114"/>
        <v>99999</v>
      </c>
      <c r="AE532" s="136">
        <f>IF(AD532=99999,0,RANK(AD532,AD:AD,1)+COUNTIF($AD$3:$AD532,AD532)-1)</f>
        <v>0</v>
      </c>
    </row>
    <row r="533" spans="1:31">
      <c r="A533" s="141">
        <f>'銀行-TSS'!A533</f>
        <v>0</v>
      </c>
      <c r="B533" s="151">
        <f ca="1">VLOOKUP(A533,'銀行-TSS'!A:B,2,FALSE)</f>
        <v>0</v>
      </c>
      <c r="C533" s="151" t="e">
        <f ca="1">VLOOKUP(B533,bond!B:C,2,FALSE)</f>
        <v>#N/A</v>
      </c>
      <c r="D533" s="95" t="e">
        <f>VLOOKUP(A533,'銀行-TSS'!A:C,3,FALSE)</f>
        <v>#N/A</v>
      </c>
      <c r="E533" s="90" t="e">
        <f ca="1">VLOOKUP(A533,'銀行-TSS'!A:G,7,FALSE)</f>
        <v>#N/A</v>
      </c>
      <c r="F533" s="202" t="e">
        <f ca="1">VLOOKUP(A533,'銀行-TSS'!A:H,8,FALSE)</f>
        <v>#N/A</v>
      </c>
      <c r="G533" s="96" t="e">
        <f ca="1">VLOOKUP(A533,'銀行-TSS'!A:K,11,FALSE)</f>
        <v>#N/A</v>
      </c>
      <c r="H533" s="1209" t="e">
        <f ca="1">VLOOKUP(A533,'銀行-TSS'!A:M,13,FALSE)</f>
        <v>#N/A</v>
      </c>
      <c r="I533" s="1213" t="e">
        <f ca="1">VLOOKUP(A533,'銀行-TSS'!A:N,14,FALSE)</f>
        <v>#N/A</v>
      </c>
      <c r="J533" s="1213" t="e">
        <f ca="1">VLOOKUP(A533,'銀行-TSS'!A:O,15,FALSE)</f>
        <v>#N/A</v>
      </c>
      <c r="K533" s="136" t="e">
        <f ca="1">VLOOKUP(A533,'銀行-TSS'!A:V,22,FALSE)</f>
        <v>#N/A</v>
      </c>
      <c r="L533" s="136" t="e">
        <f ca="1">VLOOKUP(A533,'銀行-TSS'!A:AK,37,FALSE)</f>
        <v>#N/A</v>
      </c>
      <c r="M533" s="136" t="str">
        <f ca="1">VLOOKUP(A533,'銀行-TSS'!A:AN,40,FALSE)</f>
        <v/>
      </c>
      <c r="N533" s="1211" t="e">
        <f t="shared" ca="1" si="104"/>
        <v>#N/A</v>
      </c>
      <c r="O533" s="1211" t="e">
        <f t="shared" ca="1" si="105"/>
        <v>#N/A</v>
      </c>
      <c r="P533" s="1213" t="e">
        <f ca="1">IF(AND(換券投組!$D$17&gt;=O533,換券投組!$D$13=D533),I533+INT((換券投組!$D$17-O533)/N533)*J533,0)</f>
        <v>#N/A</v>
      </c>
      <c r="Q533" s="1211" t="e">
        <f t="shared" ca="1" si="106"/>
        <v>#N/A</v>
      </c>
      <c r="R533" s="1213">
        <f t="shared" si="107"/>
        <v>0</v>
      </c>
      <c r="S533" s="1213">
        <f t="shared" si="108"/>
        <v>0</v>
      </c>
      <c r="T533" s="136">
        <f t="shared" si="110"/>
        <v>0</v>
      </c>
      <c r="U533" s="861">
        <f t="shared" si="111"/>
        <v>0</v>
      </c>
      <c r="V533" s="136" t="e">
        <f ca="1">IF(OR(D533&lt;&gt;"USD",L533="無",M533&lt;&gt;"",K533="高資產",IFERROR(MATCH(B533,換券投組!K:K,0),"N")&lt;&gt;"N",IFERROR(MATCH(B533,換券投組!J:J,0),"N")&lt;&gt;"N"),FALSE,IF($V$1="All",TRUE,IF(K533=$V$1,TRUE,FALSE)))</f>
        <v>#N/A</v>
      </c>
      <c r="W533" s="136" t="e">
        <f ca="1">VLOOKUP(A533,'銀行-TSS'!A:AO,41,FALSE)</f>
        <v>#N/A</v>
      </c>
      <c r="X533" s="136" t="e">
        <f ca="1">VLOOKUP(A533,'銀行-TSS'!A:AP,42,FALSE)</f>
        <v>#N/A</v>
      </c>
      <c r="Y533" s="1223">
        <f t="shared" si="109"/>
        <v>0</v>
      </c>
      <c r="Z533" s="1211">
        <f t="shared" si="112"/>
        <v>0</v>
      </c>
      <c r="AA533" s="136">
        <f>IF(Z533&lt;=0,0,RANK(Z533,Z:Z)+COUNTIF($Z$3:$Z533,Z533)-1)</f>
        <v>0</v>
      </c>
      <c r="AB533" s="1211">
        <f t="shared" ca="1" si="113"/>
        <v>0</v>
      </c>
      <c r="AC533" s="136">
        <f ca="1">IF(AB533&lt;=0,0,RANK(AB533,AB:AB)+COUNTIF($AB$3:$AB533,AB533)-1)</f>
        <v>0</v>
      </c>
      <c r="AD533" s="136">
        <f t="shared" si="114"/>
        <v>99999</v>
      </c>
      <c r="AE533" s="136">
        <f>IF(AD533=99999,0,RANK(AD533,AD:AD,1)+COUNTIF($AD$3:$AD533,AD533)-1)</f>
        <v>0</v>
      </c>
    </row>
    <row r="534" spans="1:31">
      <c r="A534" s="141">
        <f>'銀行-TSS'!A534</f>
        <v>0</v>
      </c>
      <c r="B534" s="151">
        <f ca="1">VLOOKUP(A534,'銀行-TSS'!A:B,2,FALSE)</f>
        <v>0</v>
      </c>
      <c r="C534" s="151" t="e">
        <f ca="1">VLOOKUP(B534,bond!B:C,2,FALSE)</f>
        <v>#N/A</v>
      </c>
      <c r="D534" s="95" t="e">
        <f>VLOOKUP(A534,'銀行-TSS'!A:C,3,FALSE)</f>
        <v>#N/A</v>
      </c>
      <c r="E534" s="90" t="e">
        <f ca="1">VLOOKUP(A534,'銀行-TSS'!A:G,7,FALSE)</f>
        <v>#N/A</v>
      </c>
      <c r="F534" s="202" t="e">
        <f ca="1">VLOOKUP(A534,'銀行-TSS'!A:H,8,FALSE)</f>
        <v>#N/A</v>
      </c>
      <c r="G534" s="96" t="e">
        <f ca="1">VLOOKUP(A534,'銀行-TSS'!A:K,11,FALSE)</f>
        <v>#N/A</v>
      </c>
      <c r="H534" s="1209" t="e">
        <f ca="1">VLOOKUP(A534,'銀行-TSS'!A:M,13,FALSE)</f>
        <v>#N/A</v>
      </c>
      <c r="I534" s="1213" t="e">
        <f ca="1">VLOOKUP(A534,'銀行-TSS'!A:N,14,FALSE)</f>
        <v>#N/A</v>
      </c>
      <c r="J534" s="1213" t="e">
        <f ca="1">VLOOKUP(A534,'銀行-TSS'!A:O,15,FALSE)</f>
        <v>#N/A</v>
      </c>
      <c r="K534" s="136" t="e">
        <f ca="1">VLOOKUP(A534,'銀行-TSS'!A:V,22,FALSE)</f>
        <v>#N/A</v>
      </c>
      <c r="L534" s="136" t="e">
        <f ca="1">VLOOKUP(A534,'銀行-TSS'!A:AK,37,FALSE)</f>
        <v>#N/A</v>
      </c>
      <c r="M534" s="136" t="str">
        <f ca="1">VLOOKUP(A534,'銀行-TSS'!A:AN,40,FALSE)</f>
        <v/>
      </c>
      <c r="N534" s="1211" t="e">
        <f t="shared" ca="1" si="104"/>
        <v>#N/A</v>
      </c>
      <c r="O534" s="1211" t="e">
        <f t="shared" ca="1" si="105"/>
        <v>#N/A</v>
      </c>
      <c r="P534" s="1213" t="e">
        <f ca="1">IF(AND(換券投組!$D$17&gt;=O534,換券投組!$D$13=D534),I534+INT((換券投組!$D$17-O534)/N534)*J534,0)</f>
        <v>#N/A</v>
      </c>
      <c r="Q534" s="1211" t="e">
        <f t="shared" ca="1" si="106"/>
        <v>#N/A</v>
      </c>
      <c r="R534" s="1213">
        <f t="shared" si="107"/>
        <v>0</v>
      </c>
      <c r="S534" s="1213">
        <f t="shared" si="108"/>
        <v>0</v>
      </c>
      <c r="T534" s="136">
        <f t="shared" si="110"/>
        <v>0</v>
      </c>
      <c r="U534" s="861">
        <f t="shared" si="111"/>
        <v>0</v>
      </c>
      <c r="V534" s="136" t="e">
        <f ca="1">IF(OR(D534&lt;&gt;"USD",L534="無",M534&lt;&gt;"",K534="高資產",IFERROR(MATCH(B534,換券投組!K:K,0),"N")&lt;&gt;"N",IFERROR(MATCH(B534,換券投組!J:J,0),"N")&lt;&gt;"N"),FALSE,IF($V$1="All",TRUE,IF(K534=$V$1,TRUE,FALSE)))</f>
        <v>#N/A</v>
      </c>
      <c r="W534" s="136" t="e">
        <f ca="1">VLOOKUP(A534,'銀行-TSS'!A:AO,41,FALSE)</f>
        <v>#N/A</v>
      </c>
      <c r="X534" s="136" t="e">
        <f ca="1">VLOOKUP(A534,'銀行-TSS'!A:AP,42,FALSE)</f>
        <v>#N/A</v>
      </c>
      <c r="Y534" s="1223">
        <f t="shared" si="109"/>
        <v>0</v>
      </c>
      <c r="Z534" s="1211">
        <f t="shared" si="112"/>
        <v>0</v>
      </c>
      <c r="AA534" s="136">
        <f>IF(Z534&lt;=0,0,RANK(Z534,Z:Z)+COUNTIF($Z$3:$Z534,Z534)-1)</f>
        <v>0</v>
      </c>
      <c r="AB534" s="1211">
        <f t="shared" ca="1" si="113"/>
        <v>0</v>
      </c>
      <c r="AC534" s="136">
        <f ca="1">IF(AB534&lt;=0,0,RANK(AB534,AB:AB)+COUNTIF($AB$3:$AB534,AB534)-1)</f>
        <v>0</v>
      </c>
      <c r="AD534" s="136">
        <f t="shared" si="114"/>
        <v>99999</v>
      </c>
      <c r="AE534" s="136">
        <f>IF(AD534=99999,0,RANK(AD534,AD:AD,1)+COUNTIF($AD$3:$AD534,AD534)-1)</f>
        <v>0</v>
      </c>
    </row>
    <row r="535" spans="1:31">
      <c r="A535" s="141">
        <f>'銀行-TSS'!A535</f>
        <v>0</v>
      </c>
      <c r="B535" s="151">
        <f ca="1">VLOOKUP(A535,'銀行-TSS'!A:B,2,FALSE)</f>
        <v>0</v>
      </c>
      <c r="C535" s="151" t="e">
        <f ca="1">VLOOKUP(B535,bond!B:C,2,FALSE)</f>
        <v>#N/A</v>
      </c>
      <c r="D535" s="95" t="e">
        <f>VLOOKUP(A535,'銀行-TSS'!A:C,3,FALSE)</f>
        <v>#N/A</v>
      </c>
      <c r="E535" s="90" t="e">
        <f ca="1">VLOOKUP(A535,'銀行-TSS'!A:G,7,FALSE)</f>
        <v>#N/A</v>
      </c>
      <c r="F535" s="202" t="e">
        <f ca="1">VLOOKUP(A535,'銀行-TSS'!A:H,8,FALSE)</f>
        <v>#N/A</v>
      </c>
      <c r="G535" s="96" t="e">
        <f ca="1">VLOOKUP(A535,'銀行-TSS'!A:K,11,FALSE)</f>
        <v>#N/A</v>
      </c>
      <c r="H535" s="1209" t="e">
        <f ca="1">VLOOKUP(A535,'銀行-TSS'!A:M,13,FALSE)</f>
        <v>#N/A</v>
      </c>
      <c r="I535" s="1213" t="e">
        <f ca="1">VLOOKUP(A535,'銀行-TSS'!A:N,14,FALSE)</f>
        <v>#N/A</v>
      </c>
      <c r="J535" s="1213" t="e">
        <f ca="1">VLOOKUP(A535,'銀行-TSS'!A:O,15,FALSE)</f>
        <v>#N/A</v>
      </c>
      <c r="K535" s="136" t="e">
        <f ca="1">VLOOKUP(A535,'銀行-TSS'!A:V,22,FALSE)</f>
        <v>#N/A</v>
      </c>
      <c r="L535" s="136" t="e">
        <f ca="1">VLOOKUP(A535,'銀行-TSS'!A:AK,37,FALSE)</f>
        <v>#N/A</v>
      </c>
      <c r="M535" s="136" t="str">
        <f ca="1">VLOOKUP(A535,'銀行-TSS'!A:AN,40,FALSE)</f>
        <v/>
      </c>
      <c r="N535" s="1211" t="e">
        <f t="shared" ca="1" si="104"/>
        <v>#N/A</v>
      </c>
      <c r="O535" s="1211" t="e">
        <f t="shared" ca="1" si="105"/>
        <v>#N/A</v>
      </c>
      <c r="P535" s="1213" t="e">
        <f ca="1">IF(AND(換券投組!$D$17&gt;=O535,換券投組!$D$13=D535),I535+INT((換券投組!$D$17-O535)/N535)*J535,0)</f>
        <v>#N/A</v>
      </c>
      <c r="Q535" s="1211" t="e">
        <f t="shared" ca="1" si="106"/>
        <v>#N/A</v>
      </c>
      <c r="R535" s="1213">
        <f t="shared" si="107"/>
        <v>0</v>
      </c>
      <c r="S535" s="1213">
        <f t="shared" si="108"/>
        <v>0</v>
      </c>
      <c r="T535" s="136">
        <f t="shared" si="110"/>
        <v>0</v>
      </c>
      <c r="U535" s="861">
        <f t="shared" si="111"/>
        <v>0</v>
      </c>
      <c r="V535" s="136" t="e">
        <f ca="1">IF(OR(D535&lt;&gt;"USD",L535="無",M535&lt;&gt;"",K535="高資產",IFERROR(MATCH(B535,換券投組!K:K,0),"N")&lt;&gt;"N",IFERROR(MATCH(B535,換券投組!J:J,0),"N")&lt;&gt;"N"),FALSE,IF($V$1="All",TRUE,IF(K535=$V$1,TRUE,FALSE)))</f>
        <v>#N/A</v>
      </c>
      <c r="W535" s="136" t="e">
        <f ca="1">VLOOKUP(A535,'銀行-TSS'!A:AO,41,FALSE)</f>
        <v>#N/A</v>
      </c>
      <c r="X535" s="136" t="e">
        <f ca="1">VLOOKUP(A535,'銀行-TSS'!A:AP,42,FALSE)</f>
        <v>#N/A</v>
      </c>
      <c r="Y535" s="1223">
        <f t="shared" si="109"/>
        <v>0</v>
      </c>
      <c r="Z535" s="1211">
        <f t="shared" si="112"/>
        <v>0</v>
      </c>
      <c r="AA535" s="136">
        <f>IF(Z535&lt;=0,0,RANK(Z535,Z:Z)+COUNTIF($Z$3:$Z535,Z535)-1)</f>
        <v>0</v>
      </c>
      <c r="AB535" s="1211">
        <f t="shared" ca="1" si="113"/>
        <v>0</v>
      </c>
      <c r="AC535" s="136">
        <f ca="1">IF(AB535&lt;=0,0,RANK(AB535,AB:AB)+COUNTIF($AB$3:$AB535,AB535)-1)</f>
        <v>0</v>
      </c>
      <c r="AD535" s="136">
        <f t="shared" si="114"/>
        <v>99999</v>
      </c>
      <c r="AE535" s="136">
        <f>IF(AD535=99999,0,RANK(AD535,AD:AD,1)+COUNTIF($AD$3:$AD535,AD535)-1)</f>
        <v>0</v>
      </c>
    </row>
    <row r="536" spans="1:31">
      <c r="A536" s="141">
        <f>'銀行-TSS'!A536</f>
        <v>0</v>
      </c>
      <c r="B536" s="151">
        <f ca="1">VLOOKUP(A536,'銀行-TSS'!A:B,2,FALSE)</f>
        <v>0</v>
      </c>
      <c r="C536" s="151" t="e">
        <f ca="1">VLOOKUP(B536,bond!B:C,2,FALSE)</f>
        <v>#N/A</v>
      </c>
      <c r="D536" s="95" t="e">
        <f>VLOOKUP(A536,'銀行-TSS'!A:C,3,FALSE)</f>
        <v>#N/A</v>
      </c>
      <c r="E536" s="90" t="e">
        <f ca="1">VLOOKUP(A536,'銀行-TSS'!A:G,7,FALSE)</f>
        <v>#N/A</v>
      </c>
      <c r="F536" s="202" t="e">
        <f ca="1">VLOOKUP(A536,'銀行-TSS'!A:H,8,FALSE)</f>
        <v>#N/A</v>
      </c>
      <c r="G536" s="96" t="e">
        <f ca="1">VLOOKUP(A536,'銀行-TSS'!A:K,11,FALSE)</f>
        <v>#N/A</v>
      </c>
      <c r="H536" s="1209" t="e">
        <f ca="1">VLOOKUP(A536,'銀行-TSS'!A:M,13,FALSE)</f>
        <v>#N/A</v>
      </c>
      <c r="I536" s="1213" t="e">
        <f ca="1">VLOOKUP(A536,'銀行-TSS'!A:N,14,FALSE)</f>
        <v>#N/A</v>
      </c>
      <c r="J536" s="1213" t="e">
        <f ca="1">VLOOKUP(A536,'銀行-TSS'!A:O,15,FALSE)</f>
        <v>#N/A</v>
      </c>
      <c r="K536" s="136" t="e">
        <f ca="1">VLOOKUP(A536,'銀行-TSS'!A:V,22,FALSE)</f>
        <v>#N/A</v>
      </c>
      <c r="L536" s="136" t="e">
        <f ca="1">VLOOKUP(A536,'銀行-TSS'!A:AK,37,FALSE)</f>
        <v>#N/A</v>
      </c>
      <c r="M536" s="136" t="str">
        <f ca="1">VLOOKUP(A536,'銀行-TSS'!A:AN,40,FALSE)</f>
        <v/>
      </c>
      <c r="N536" s="1211" t="e">
        <f t="shared" ca="1" si="104"/>
        <v>#N/A</v>
      </c>
      <c r="O536" s="1211" t="e">
        <f t="shared" ca="1" si="105"/>
        <v>#N/A</v>
      </c>
      <c r="P536" s="1213" t="e">
        <f ca="1">IF(AND(換券投組!$D$17&gt;=O536,換券投組!$D$13=D536),I536+INT((換券投組!$D$17-O536)/N536)*J536,0)</f>
        <v>#N/A</v>
      </c>
      <c r="Q536" s="1211" t="e">
        <f t="shared" ca="1" si="106"/>
        <v>#N/A</v>
      </c>
      <c r="R536" s="1213">
        <f t="shared" si="107"/>
        <v>0</v>
      </c>
      <c r="S536" s="1213">
        <f t="shared" si="108"/>
        <v>0</v>
      </c>
      <c r="T536" s="136">
        <f t="shared" si="110"/>
        <v>0</v>
      </c>
      <c r="U536" s="861">
        <f t="shared" si="111"/>
        <v>0</v>
      </c>
      <c r="V536" s="136" t="e">
        <f ca="1">IF(OR(D536&lt;&gt;"USD",L536="無",M536&lt;&gt;"",K536="高資產",IFERROR(MATCH(B536,換券投組!K:K,0),"N")&lt;&gt;"N",IFERROR(MATCH(B536,換券投組!J:J,0),"N")&lt;&gt;"N"),FALSE,IF($V$1="All",TRUE,IF(K536=$V$1,TRUE,FALSE)))</f>
        <v>#N/A</v>
      </c>
      <c r="W536" s="136" t="e">
        <f ca="1">VLOOKUP(A536,'銀行-TSS'!A:AO,41,FALSE)</f>
        <v>#N/A</v>
      </c>
      <c r="X536" s="136" t="e">
        <f ca="1">VLOOKUP(A536,'銀行-TSS'!A:AP,42,FALSE)</f>
        <v>#N/A</v>
      </c>
      <c r="Y536" s="1223">
        <f t="shared" si="109"/>
        <v>0</v>
      </c>
      <c r="Z536" s="1211">
        <f t="shared" si="112"/>
        <v>0</v>
      </c>
      <c r="AA536" s="136">
        <f>IF(Z536&lt;=0,0,RANK(Z536,Z:Z)+COUNTIF($Z$3:$Z536,Z536)-1)</f>
        <v>0</v>
      </c>
      <c r="AB536" s="1211">
        <f t="shared" ca="1" si="113"/>
        <v>0</v>
      </c>
      <c r="AC536" s="136">
        <f ca="1">IF(AB536&lt;=0,0,RANK(AB536,AB:AB)+COUNTIF($AB$3:$AB536,AB536)-1)</f>
        <v>0</v>
      </c>
      <c r="AD536" s="136">
        <f t="shared" si="114"/>
        <v>99999</v>
      </c>
      <c r="AE536" s="136">
        <f>IF(AD536=99999,0,RANK(AD536,AD:AD,1)+COUNTIF($AD$3:$AD536,AD536)-1)</f>
        <v>0</v>
      </c>
    </row>
    <row r="537" spans="1:31">
      <c r="A537" s="141">
        <f>'銀行-TSS'!A537</f>
        <v>0</v>
      </c>
      <c r="B537" s="151">
        <f ca="1">VLOOKUP(A537,'銀行-TSS'!A:B,2,FALSE)</f>
        <v>0</v>
      </c>
      <c r="C537" s="151" t="e">
        <f ca="1">VLOOKUP(B537,bond!B:C,2,FALSE)</f>
        <v>#N/A</v>
      </c>
      <c r="D537" s="95" t="e">
        <f>VLOOKUP(A537,'銀行-TSS'!A:C,3,FALSE)</f>
        <v>#N/A</v>
      </c>
      <c r="E537" s="90" t="e">
        <f ca="1">VLOOKUP(A537,'銀行-TSS'!A:G,7,FALSE)</f>
        <v>#N/A</v>
      </c>
      <c r="F537" s="202" t="e">
        <f ca="1">VLOOKUP(A537,'銀行-TSS'!A:H,8,FALSE)</f>
        <v>#N/A</v>
      </c>
      <c r="G537" s="96" t="e">
        <f ca="1">VLOOKUP(A537,'銀行-TSS'!A:K,11,FALSE)</f>
        <v>#N/A</v>
      </c>
      <c r="H537" s="1209" t="e">
        <f ca="1">VLOOKUP(A537,'銀行-TSS'!A:M,13,FALSE)</f>
        <v>#N/A</v>
      </c>
      <c r="I537" s="1213" t="e">
        <f ca="1">VLOOKUP(A537,'銀行-TSS'!A:N,14,FALSE)</f>
        <v>#N/A</v>
      </c>
      <c r="J537" s="1213" t="e">
        <f ca="1">VLOOKUP(A537,'銀行-TSS'!A:O,15,FALSE)</f>
        <v>#N/A</v>
      </c>
      <c r="K537" s="136" t="e">
        <f ca="1">VLOOKUP(A537,'銀行-TSS'!A:V,22,FALSE)</f>
        <v>#N/A</v>
      </c>
      <c r="L537" s="136" t="e">
        <f ca="1">VLOOKUP(A537,'銀行-TSS'!A:AK,37,FALSE)</f>
        <v>#N/A</v>
      </c>
      <c r="M537" s="136" t="str">
        <f ca="1">VLOOKUP(A537,'銀行-TSS'!A:AN,40,FALSE)</f>
        <v/>
      </c>
      <c r="N537" s="1211" t="e">
        <f t="shared" ca="1" si="104"/>
        <v>#N/A</v>
      </c>
      <c r="O537" s="1211" t="e">
        <f t="shared" ca="1" si="105"/>
        <v>#N/A</v>
      </c>
      <c r="P537" s="1213" t="e">
        <f ca="1">IF(AND(換券投組!$D$17&gt;=O537,換券投組!$D$13=D537),I537+INT((換券投組!$D$17-O537)/N537)*J537,0)</f>
        <v>#N/A</v>
      </c>
      <c r="Q537" s="1211" t="e">
        <f t="shared" ca="1" si="106"/>
        <v>#N/A</v>
      </c>
      <c r="R537" s="1213">
        <f t="shared" si="107"/>
        <v>0</v>
      </c>
      <c r="S537" s="1213">
        <f t="shared" si="108"/>
        <v>0</v>
      </c>
      <c r="T537" s="136">
        <f t="shared" si="110"/>
        <v>0</v>
      </c>
      <c r="U537" s="861">
        <f t="shared" si="111"/>
        <v>0</v>
      </c>
      <c r="V537" s="136" t="e">
        <f ca="1">IF(OR(D537&lt;&gt;"USD",L537="無",M537&lt;&gt;"",K537="高資產",IFERROR(MATCH(B537,換券投組!K:K,0),"N")&lt;&gt;"N",IFERROR(MATCH(B537,換券投組!J:J,0),"N")&lt;&gt;"N"),FALSE,IF($V$1="All",TRUE,IF(K537=$V$1,TRUE,FALSE)))</f>
        <v>#N/A</v>
      </c>
      <c r="W537" s="136" t="e">
        <f ca="1">VLOOKUP(A537,'銀行-TSS'!A:AO,41,FALSE)</f>
        <v>#N/A</v>
      </c>
      <c r="X537" s="136" t="e">
        <f ca="1">VLOOKUP(A537,'銀行-TSS'!A:AP,42,FALSE)</f>
        <v>#N/A</v>
      </c>
      <c r="Y537" s="1223">
        <f t="shared" si="109"/>
        <v>0</v>
      </c>
      <c r="Z537" s="1211">
        <f t="shared" si="112"/>
        <v>0</v>
      </c>
      <c r="AA537" s="136">
        <f>IF(Z537&lt;=0,0,RANK(Z537,Z:Z)+COUNTIF($Z$3:$Z537,Z537)-1)</f>
        <v>0</v>
      </c>
      <c r="AB537" s="1211">
        <f t="shared" ca="1" si="113"/>
        <v>0</v>
      </c>
      <c r="AC537" s="136">
        <f ca="1">IF(AB537&lt;=0,0,RANK(AB537,AB:AB)+COUNTIF($AB$3:$AB537,AB537)-1)</f>
        <v>0</v>
      </c>
      <c r="AD537" s="136">
        <f t="shared" si="114"/>
        <v>99999</v>
      </c>
      <c r="AE537" s="136">
        <f>IF(AD537=99999,0,RANK(AD537,AD:AD,1)+COUNTIF($AD$3:$AD537,AD537)-1)</f>
        <v>0</v>
      </c>
    </row>
    <row r="538" spans="1:31">
      <c r="A538" s="141">
        <f>'銀行-TSS'!A538</f>
        <v>0</v>
      </c>
      <c r="B538" s="151">
        <f ca="1">VLOOKUP(A538,'銀行-TSS'!A:B,2,FALSE)</f>
        <v>0</v>
      </c>
      <c r="C538" s="151" t="e">
        <f ca="1">VLOOKUP(B538,bond!B:C,2,FALSE)</f>
        <v>#N/A</v>
      </c>
      <c r="D538" s="95" t="e">
        <f>VLOOKUP(A538,'銀行-TSS'!A:C,3,FALSE)</f>
        <v>#N/A</v>
      </c>
      <c r="E538" s="90" t="e">
        <f ca="1">VLOOKUP(A538,'銀行-TSS'!A:G,7,FALSE)</f>
        <v>#N/A</v>
      </c>
      <c r="F538" s="202" t="e">
        <f ca="1">VLOOKUP(A538,'銀行-TSS'!A:H,8,FALSE)</f>
        <v>#N/A</v>
      </c>
      <c r="G538" s="96" t="e">
        <f ca="1">VLOOKUP(A538,'銀行-TSS'!A:K,11,FALSE)</f>
        <v>#N/A</v>
      </c>
      <c r="H538" s="1209" t="e">
        <f ca="1">VLOOKUP(A538,'銀行-TSS'!A:M,13,FALSE)</f>
        <v>#N/A</v>
      </c>
      <c r="I538" s="1213" t="e">
        <f ca="1">VLOOKUP(A538,'銀行-TSS'!A:N,14,FALSE)</f>
        <v>#N/A</v>
      </c>
      <c r="J538" s="1213" t="e">
        <f ca="1">VLOOKUP(A538,'銀行-TSS'!A:O,15,FALSE)</f>
        <v>#N/A</v>
      </c>
      <c r="K538" s="136" t="e">
        <f ca="1">VLOOKUP(A538,'銀行-TSS'!A:V,22,FALSE)</f>
        <v>#N/A</v>
      </c>
      <c r="L538" s="136" t="e">
        <f ca="1">VLOOKUP(A538,'銀行-TSS'!A:AK,37,FALSE)</f>
        <v>#N/A</v>
      </c>
      <c r="M538" s="136" t="str">
        <f ca="1">VLOOKUP(A538,'銀行-TSS'!A:AN,40,FALSE)</f>
        <v/>
      </c>
      <c r="N538" s="1211" t="e">
        <f t="shared" ca="1" si="104"/>
        <v>#N/A</v>
      </c>
      <c r="O538" s="1211" t="e">
        <f t="shared" ca="1" si="105"/>
        <v>#N/A</v>
      </c>
      <c r="P538" s="1213" t="e">
        <f ca="1">IF(AND(換券投組!$D$17&gt;=O538,換券投組!$D$13=D538),I538+INT((換券投組!$D$17-O538)/N538)*J538,0)</f>
        <v>#N/A</v>
      </c>
      <c r="Q538" s="1211" t="e">
        <f t="shared" ca="1" si="106"/>
        <v>#N/A</v>
      </c>
      <c r="R538" s="1213">
        <f t="shared" si="107"/>
        <v>0</v>
      </c>
      <c r="S538" s="1213">
        <f t="shared" si="108"/>
        <v>0</v>
      </c>
      <c r="T538" s="136">
        <f t="shared" si="110"/>
        <v>0</v>
      </c>
      <c r="U538" s="861">
        <f t="shared" si="111"/>
        <v>0</v>
      </c>
      <c r="V538" s="136" t="e">
        <f ca="1">IF(OR(D538&lt;&gt;"USD",L538="無",M538&lt;&gt;"",K538="高資產",IFERROR(MATCH(B538,換券投組!K:K,0),"N")&lt;&gt;"N",IFERROR(MATCH(B538,換券投組!J:J,0),"N")&lt;&gt;"N"),FALSE,IF($V$1="All",TRUE,IF(K538=$V$1,TRUE,FALSE)))</f>
        <v>#N/A</v>
      </c>
      <c r="W538" s="136" t="e">
        <f ca="1">VLOOKUP(A538,'銀行-TSS'!A:AO,41,FALSE)</f>
        <v>#N/A</v>
      </c>
      <c r="X538" s="136" t="e">
        <f ca="1">VLOOKUP(A538,'銀行-TSS'!A:AP,42,FALSE)</f>
        <v>#N/A</v>
      </c>
      <c r="Y538" s="1223">
        <f t="shared" si="109"/>
        <v>0</v>
      </c>
      <c r="Z538" s="1211">
        <f t="shared" si="112"/>
        <v>0</v>
      </c>
      <c r="AA538" s="136">
        <f>IF(Z538&lt;=0,0,RANK(Z538,Z:Z)+COUNTIF($Z$3:$Z538,Z538)-1)</f>
        <v>0</v>
      </c>
      <c r="AB538" s="1211">
        <f t="shared" ca="1" si="113"/>
        <v>0</v>
      </c>
      <c r="AC538" s="136">
        <f ca="1">IF(AB538&lt;=0,0,RANK(AB538,AB:AB)+COUNTIF($AB$3:$AB538,AB538)-1)</f>
        <v>0</v>
      </c>
      <c r="AD538" s="136">
        <f t="shared" si="114"/>
        <v>99999</v>
      </c>
      <c r="AE538" s="136">
        <f>IF(AD538=99999,0,RANK(AD538,AD:AD,1)+COUNTIF($AD$3:$AD538,AD538)-1)</f>
        <v>0</v>
      </c>
    </row>
    <row r="539" spans="1:31">
      <c r="A539" s="141">
        <f>'銀行-TSS'!A539</f>
        <v>0</v>
      </c>
      <c r="B539" s="151">
        <f ca="1">VLOOKUP(A539,'銀行-TSS'!A:B,2,FALSE)</f>
        <v>0</v>
      </c>
      <c r="C539" s="151" t="e">
        <f ca="1">VLOOKUP(B539,bond!B:C,2,FALSE)</f>
        <v>#N/A</v>
      </c>
      <c r="D539" s="95" t="e">
        <f>VLOOKUP(A539,'銀行-TSS'!A:C,3,FALSE)</f>
        <v>#N/A</v>
      </c>
      <c r="E539" s="90" t="e">
        <f ca="1">VLOOKUP(A539,'銀行-TSS'!A:G,7,FALSE)</f>
        <v>#N/A</v>
      </c>
      <c r="F539" s="202" t="e">
        <f ca="1">VLOOKUP(A539,'銀行-TSS'!A:H,8,FALSE)</f>
        <v>#N/A</v>
      </c>
      <c r="G539" s="96" t="e">
        <f ca="1">VLOOKUP(A539,'銀行-TSS'!A:K,11,FALSE)</f>
        <v>#N/A</v>
      </c>
      <c r="H539" s="1209" t="e">
        <f ca="1">VLOOKUP(A539,'銀行-TSS'!A:M,13,FALSE)</f>
        <v>#N/A</v>
      </c>
      <c r="I539" s="1213" t="e">
        <f ca="1">VLOOKUP(A539,'銀行-TSS'!A:N,14,FALSE)</f>
        <v>#N/A</v>
      </c>
      <c r="J539" s="1213" t="e">
        <f ca="1">VLOOKUP(A539,'銀行-TSS'!A:O,15,FALSE)</f>
        <v>#N/A</v>
      </c>
      <c r="K539" s="136" t="e">
        <f ca="1">VLOOKUP(A539,'銀行-TSS'!A:V,22,FALSE)</f>
        <v>#N/A</v>
      </c>
      <c r="L539" s="136" t="e">
        <f ca="1">VLOOKUP(A539,'銀行-TSS'!A:AK,37,FALSE)</f>
        <v>#N/A</v>
      </c>
      <c r="M539" s="136" t="str">
        <f ca="1">VLOOKUP(A539,'銀行-TSS'!A:AN,40,FALSE)</f>
        <v/>
      </c>
      <c r="N539" s="1211" t="e">
        <f t="shared" ca="1" si="104"/>
        <v>#N/A</v>
      </c>
      <c r="O539" s="1211" t="e">
        <f t="shared" ca="1" si="105"/>
        <v>#N/A</v>
      </c>
      <c r="P539" s="1213" t="e">
        <f ca="1">IF(AND(換券投組!$D$17&gt;=O539,換券投組!$D$13=D539),I539+INT((換券投組!$D$17-O539)/N539)*J539,0)</f>
        <v>#N/A</v>
      </c>
      <c r="Q539" s="1211" t="e">
        <f t="shared" ca="1" si="106"/>
        <v>#N/A</v>
      </c>
      <c r="R539" s="1213">
        <f t="shared" si="107"/>
        <v>0</v>
      </c>
      <c r="S539" s="1213">
        <f t="shared" si="108"/>
        <v>0</v>
      </c>
      <c r="T539" s="136">
        <f t="shared" si="110"/>
        <v>0</v>
      </c>
      <c r="U539" s="861">
        <f t="shared" si="111"/>
        <v>0</v>
      </c>
      <c r="V539" s="136" t="e">
        <f ca="1">IF(OR(D539&lt;&gt;"USD",L539="無",M539&lt;&gt;"",K539="高資產",IFERROR(MATCH(B539,換券投組!K:K,0),"N")&lt;&gt;"N",IFERROR(MATCH(B539,換券投組!J:J,0),"N")&lt;&gt;"N"),FALSE,IF($V$1="All",TRUE,IF(K539=$V$1,TRUE,FALSE)))</f>
        <v>#N/A</v>
      </c>
      <c r="W539" s="136" t="e">
        <f ca="1">VLOOKUP(A539,'銀行-TSS'!A:AO,41,FALSE)</f>
        <v>#N/A</v>
      </c>
      <c r="X539" s="136" t="e">
        <f ca="1">VLOOKUP(A539,'銀行-TSS'!A:AP,42,FALSE)</f>
        <v>#N/A</v>
      </c>
      <c r="Y539" s="1223">
        <f t="shared" si="109"/>
        <v>0</v>
      </c>
      <c r="Z539" s="1211">
        <f t="shared" si="112"/>
        <v>0</v>
      </c>
      <c r="AA539" s="136">
        <f>IF(Z539&lt;=0,0,RANK(Z539,Z:Z)+COUNTIF($Z$3:$Z539,Z539)-1)</f>
        <v>0</v>
      </c>
      <c r="AB539" s="1211">
        <f t="shared" ca="1" si="113"/>
        <v>0</v>
      </c>
      <c r="AC539" s="136">
        <f ca="1">IF(AB539&lt;=0,0,RANK(AB539,AB:AB)+COUNTIF($AB$3:$AB539,AB539)-1)</f>
        <v>0</v>
      </c>
      <c r="AD539" s="136">
        <f t="shared" si="114"/>
        <v>99999</v>
      </c>
      <c r="AE539" s="136">
        <f>IF(AD539=99999,0,RANK(AD539,AD:AD,1)+COUNTIF($AD$3:$AD539,AD539)-1)</f>
        <v>0</v>
      </c>
    </row>
    <row r="540" spans="1:31">
      <c r="A540" s="141">
        <f>'銀行-TSS'!A540</f>
        <v>0</v>
      </c>
      <c r="B540" s="151">
        <f ca="1">VLOOKUP(A540,'銀行-TSS'!A:B,2,FALSE)</f>
        <v>0</v>
      </c>
      <c r="C540" s="151" t="e">
        <f ca="1">VLOOKUP(B540,bond!B:C,2,FALSE)</f>
        <v>#N/A</v>
      </c>
      <c r="D540" s="95" t="e">
        <f>VLOOKUP(A540,'銀行-TSS'!A:C,3,FALSE)</f>
        <v>#N/A</v>
      </c>
      <c r="E540" s="90" t="e">
        <f ca="1">VLOOKUP(A540,'銀行-TSS'!A:G,7,FALSE)</f>
        <v>#N/A</v>
      </c>
      <c r="F540" s="202" t="e">
        <f ca="1">VLOOKUP(A540,'銀行-TSS'!A:H,8,FALSE)</f>
        <v>#N/A</v>
      </c>
      <c r="G540" s="96" t="e">
        <f ca="1">VLOOKUP(A540,'銀行-TSS'!A:K,11,FALSE)</f>
        <v>#N/A</v>
      </c>
      <c r="H540" s="1209" t="e">
        <f ca="1">VLOOKUP(A540,'銀行-TSS'!A:M,13,FALSE)</f>
        <v>#N/A</v>
      </c>
      <c r="I540" s="1213" t="e">
        <f ca="1">VLOOKUP(A540,'銀行-TSS'!A:N,14,FALSE)</f>
        <v>#N/A</v>
      </c>
      <c r="J540" s="1213" t="e">
        <f ca="1">VLOOKUP(A540,'銀行-TSS'!A:O,15,FALSE)</f>
        <v>#N/A</v>
      </c>
      <c r="K540" s="136" t="e">
        <f ca="1">VLOOKUP(A540,'銀行-TSS'!A:V,22,FALSE)</f>
        <v>#N/A</v>
      </c>
      <c r="L540" s="136" t="e">
        <f ca="1">VLOOKUP(A540,'銀行-TSS'!A:AK,37,FALSE)</f>
        <v>#N/A</v>
      </c>
      <c r="M540" s="136" t="str">
        <f ca="1">VLOOKUP(A540,'銀行-TSS'!A:AN,40,FALSE)</f>
        <v/>
      </c>
      <c r="N540" s="1211" t="e">
        <f t="shared" ca="1" si="104"/>
        <v>#N/A</v>
      </c>
      <c r="O540" s="1211" t="e">
        <f t="shared" ca="1" si="105"/>
        <v>#N/A</v>
      </c>
      <c r="P540" s="1213" t="e">
        <f ca="1">IF(AND(換券投組!$D$17&gt;=O540,換券投組!$D$13=D540),I540+INT((換券投組!$D$17-O540)/N540)*J540,0)</f>
        <v>#N/A</v>
      </c>
      <c r="Q540" s="1211" t="e">
        <f t="shared" ca="1" si="106"/>
        <v>#N/A</v>
      </c>
      <c r="R540" s="1213">
        <f t="shared" si="107"/>
        <v>0</v>
      </c>
      <c r="S540" s="1213">
        <f t="shared" si="108"/>
        <v>0</v>
      </c>
      <c r="T540" s="136">
        <f t="shared" si="110"/>
        <v>0</v>
      </c>
      <c r="U540" s="861">
        <f t="shared" si="111"/>
        <v>0</v>
      </c>
      <c r="V540" s="136" t="e">
        <f ca="1">IF(OR(D540&lt;&gt;"USD",L540="無",M540&lt;&gt;"",K540="高資產",IFERROR(MATCH(B540,換券投組!K:K,0),"N")&lt;&gt;"N",IFERROR(MATCH(B540,換券投組!J:J,0),"N")&lt;&gt;"N"),FALSE,IF($V$1="All",TRUE,IF(K540=$V$1,TRUE,FALSE)))</f>
        <v>#N/A</v>
      </c>
      <c r="W540" s="136" t="e">
        <f ca="1">VLOOKUP(A540,'銀行-TSS'!A:AO,41,FALSE)</f>
        <v>#N/A</v>
      </c>
      <c r="X540" s="136" t="e">
        <f ca="1">VLOOKUP(A540,'銀行-TSS'!A:AP,42,FALSE)</f>
        <v>#N/A</v>
      </c>
      <c r="Y540" s="1223">
        <f t="shared" si="109"/>
        <v>0</v>
      </c>
      <c r="Z540" s="1211">
        <f t="shared" si="112"/>
        <v>0</v>
      </c>
      <c r="AA540" s="136">
        <f>IF(Z540&lt;=0,0,RANK(Z540,Z:Z)+COUNTIF($Z$3:$Z540,Z540)-1)</f>
        <v>0</v>
      </c>
      <c r="AB540" s="1211">
        <f t="shared" ca="1" si="113"/>
        <v>0</v>
      </c>
      <c r="AC540" s="136">
        <f ca="1">IF(AB540&lt;=0,0,RANK(AB540,AB:AB)+COUNTIF($AB$3:$AB540,AB540)-1)</f>
        <v>0</v>
      </c>
      <c r="AD540" s="136">
        <f t="shared" si="114"/>
        <v>99999</v>
      </c>
      <c r="AE540" s="136">
        <f>IF(AD540=99999,0,RANK(AD540,AD:AD,1)+COUNTIF($AD$3:$AD540,AD540)-1)</f>
        <v>0</v>
      </c>
    </row>
    <row r="541" spans="1:31">
      <c r="A541" s="141">
        <f>'銀行-TSS'!A541</f>
        <v>0</v>
      </c>
      <c r="B541" s="151">
        <f ca="1">VLOOKUP(A541,'銀行-TSS'!A:B,2,FALSE)</f>
        <v>0</v>
      </c>
      <c r="C541" s="151" t="e">
        <f ca="1">VLOOKUP(B541,bond!B:C,2,FALSE)</f>
        <v>#N/A</v>
      </c>
      <c r="D541" s="95" t="e">
        <f>VLOOKUP(A541,'銀行-TSS'!A:C,3,FALSE)</f>
        <v>#N/A</v>
      </c>
      <c r="E541" s="90" t="e">
        <f ca="1">VLOOKUP(A541,'銀行-TSS'!A:G,7,FALSE)</f>
        <v>#N/A</v>
      </c>
      <c r="F541" s="202" t="e">
        <f ca="1">VLOOKUP(A541,'銀行-TSS'!A:H,8,FALSE)</f>
        <v>#N/A</v>
      </c>
      <c r="G541" s="96" t="e">
        <f ca="1">VLOOKUP(A541,'銀行-TSS'!A:K,11,FALSE)</f>
        <v>#N/A</v>
      </c>
      <c r="H541" s="1209" t="e">
        <f ca="1">VLOOKUP(A541,'銀行-TSS'!A:M,13,FALSE)</f>
        <v>#N/A</v>
      </c>
      <c r="I541" s="1213" t="e">
        <f ca="1">VLOOKUP(A541,'銀行-TSS'!A:N,14,FALSE)</f>
        <v>#N/A</v>
      </c>
      <c r="J541" s="1213" t="e">
        <f ca="1">VLOOKUP(A541,'銀行-TSS'!A:O,15,FALSE)</f>
        <v>#N/A</v>
      </c>
      <c r="K541" s="136" t="e">
        <f ca="1">VLOOKUP(A541,'銀行-TSS'!A:V,22,FALSE)</f>
        <v>#N/A</v>
      </c>
      <c r="L541" s="136" t="e">
        <f ca="1">VLOOKUP(A541,'銀行-TSS'!A:AK,37,FALSE)</f>
        <v>#N/A</v>
      </c>
      <c r="M541" s="136" t="str">
        <f ca="1">VLOOKUP(A541,'銀行-TSS'!A:AN,40,FALSE)</f>
        <v/>
      </c>
      <c r="N541" s="1211" t="e">
        <f t="shared" ca="1" si="104"/>
        <v>#N/A</v>
      </c>
      <c r="O541" s="1211" t="e">
        <f t="shared" ca="1" si="105"/>
        <v>#N/A</v>
      </c>
      <c r="P541" s="1213" t="e">
        <f ca="1">IF(AND(換券投組!$D$17&gt;=O541,換券投組!$D$13=D541),I541+INT((換券投組!$D$17-O541)/N541)*J541,0)</f>
        <v>#N/A</v>
      </c>
      <c r="Q541" s="1211" t="e">
        <f t="shared" ca="1" si="106"/>
        <v>#N/A</v>
      </c>
      <c r="R541" s="1213">
        <f t="shared" si="107"/>
        <v>0</v>
      </c>
      <c r="S541" s="1213">
        <f t="shared" si="108"/>
        <v>0</v>
      </c>
      <c r="T541" s="136">
        <f t="shared" si="110"/>
        <v>0</v>
      </c>
      <c r="U541" s="861">
        <f t="shared" si="111"/>
        <v>0</v>
      </c>
      <c r="V541" s="136" t="e">
        <f ca="1">IF(OR(D541&lt;&gt;"USD",L541="無",M541&lt;&gt;"",K541="高資產",IFERROR(MATCH(B541,換券投組!K:K,0),"N")&lt;&gt;"N",IFERROR(MATCH(B541,換券投組!J:J,0),"N")&lt;&gt;"N"),FALSE,IF($V$1="All",TRUE,IF(K541=$V$1,TRUE,FALSE)))</f>
        <v>#N/A</v>
      </c>
      <c r="W541" s="136" t="e">
        <f ca="1">VLOOKUP(A541,'銀行-TSS'!A:AO,41,FALSE)</f>
        <v>#N/A</v>
      </c>
      <c r="X541" s="136" t="e">
        <f ca="1">VLOOKUP(A541,'銀行-TSS'!A:AP,42,FALSE)</f>
        <v>#N/A</v>
      </c>
      <c r="Y541" s="1223">
        <f t="shared" si="109"/>
        <v>0</v>
      </c>
      <c r="Z541" s="1211">
        <f t="shared" si="112"/>
        <v>0</v>
      </c>
      <c r="AA541" s="136">
        <f>IF(Z541&lt;=0,0,RANK(Z541,Z:Z)+COUNTIF($Z$3:$Z541,Z541)-1)</f>
        <v>0</v>
      </c>
      <c r="AB541" s="1211">
        <f t="shared" ca="1" si="113"/>
        <v>0</v>
      </c>
      <c r="AC541" s="136">
        <f ca="1">IF(AB541&lt;=0,0,RANK(AB541,AB:AB)+COUNTIF($AB$3:$AB541,AB541)-1)</f>
        <v>0</v>
      </c>
      <c r="AD541" s="136">
        <f t="shared" si="114"/>
        <v>99999</v>
      </c>
      <c r="AE541" s="136">
        <f>IF(AD541=99999,0,RANK(AD541,AD:AD,1)+COUNTIF($AD$3:$AD541,AD541)-1)</f>
        <v>0</v>
      </c>
    </row>
    <row r="542" spans="1:31">
      <c r="A542" s="141">
        <f>'銀行-TSS'!A542</f>
        <v>0</v>
      </c>
      <c r="B542" s="151">
        <f ca="1">VLOOKUP(A542,'銀行-TSS'!A:B,2,FALSE)</f>
        <v>0</v>
      </c>
      <c r="C542" s="151" t="e">
        <f ca="1">VLOOKUP(B542,bond!B:C,2,FALSE)</f>
        <v>#N/A</v>
      </c>
      <c r="D542" s="95" t="e">
        <f>VLOOKUP(A542,'銀行-TSS'!A:C,3,FALSE)</f>
        <v>#N/A</v>
      </c>
      <c r="E542" s="90" t="e">
        <f ca="1">VLOOKUP(A542,'銀行-TSS'!A:G,7,FALSE)</f>
        <v>#N/A</v>
      </c>
      <c r="F542" s="202" t="e">
        <f ca="1">VLOOKUP(A542,'銀行-TSS'!A:H,8,FALSE)</f>
        <v>#N/A</v>
      </c>
      <c r="G542" s="96" t="e">
        <f ca="1">VLOOKUP(A542,'銀行-TSS'!A:K,11,FALSE)</f>
        <v>#N/A</v>
      </c>
      <c r="H542" s="1209" t="e">
        <f ca="1">VLOOKUP(A542,'銀行-TSS'!A:M,13,FALSE)</f>
        <v>#N/A</v>
      </c>
      <c r="I542" s="1213" t="e">
        <f ca="1">VLOOKUP(A542,'銀行-TSS'!A:N,14,FALSE)</f>
        <v>#N/A</v>
      </c>
      <c r="J542" s="1213" t="e">
        <f ca="1">VLOOKUP(A542,'銀行-TSS'!A:O,15,FALSE)</f>
        <v>#N/A</v>
      </c>
      <c r="K542" s="136" t="e">
        <f ca="1">VLOOKUP(A542,'銀行-TSS'!A:V,22,FALSE)</f>
        <v>#N/A</v>
      </c>
      <c r="L542" s="136" t="e">
        <f ca="1">VLOOKUP(A542,'銀行-TSS'!A:AK,37,FALSE)</f>
        <v>#N/A</v>
      </c>
      <c r="M542" s="136" t="str">
        <f ca="1">VLOOKUP(A542,'銀行-TSS'!A:AN,40,FALSE)</f>
        <v/>
      </c>
      <c r="N542" s="1211" t="e">
        <f t="shared" ca="1" si="104"/>
        <v>#N/A</v>
      </c>
      <c r="O542" s="1211" t="e">
        <f t="shared" ca="1" si="105"/>
        <v>#N/A</v>
      </c>
      <c r="P542" s="1213" t="e">
        <f ca="1">IF(AND(換券投組!$D$17&gt;=O542,換券投組!$D$13=D542),I542+INT((換券投組!$D$17-O542)/N542)*J542,0)</f>
        <v>#N/A</v>
      </c>
      <c r="Q542" s="1211" t="e">
        <f t="shared" ca="1" si="106"/>
        <v>#N/A</v>
      </c>
      <c r="R542" s="1213">
        <f t="shared" si="107"/>
        <v>0</v>
      </c>
      <c r="S542" s="1213">
        <f t="shared" si="108"/>
        <v>0</v>
      </c>
      <c r="T542" s="136">
        <f t="shared" si="110"/>
        <v>0</v>
      </c>
      <c r="U542" s="861">
        <f t="shared" si="111"/>
        <v>0</v>
      </c>
      <c r="V542" s="136" t="e">
        <f ca="1">IF(OR(D542&lt;&gt;"USD",L542="無",M542&lt;&gt;"",K542="高資產",IFERROR(MATCH(B542,換券投組!K:K,0),"N")&lt;&gt;"N",IFERROR(MATCH(B542,換券投組!J:J,0),"N")&lt;&gt;"N"),FALSE,IF($V$1="All",TRUE,IF(K542=$V$1,TRUE,FALSE)))</f>
        <v>#N/A</v>
      </c>
      <c r="W542" s="136" t="e">
        <f ca="1">VLOOKUP(A542,'銀行-TSS'!A:AO,41,FALSE)</f>
        <v>#N/A</v>
      </c>
      <c r="X542" s="136" t="e">
        <f ca="1">VLOOKUP(A542,'銀行-TSS'!A:AP,42,FALSE)</f>
        <v>#N/A</v>
      </c>
      <c r="Y542" s="1223">
        <f t="shared" si="109"/>
        <v>0</v>
      </c>
      <c r="Z542" s="1211">
        <f t="shared" si="112"/>
        <v>0</v>
      </c>
      <c r="AA542" s="136">
        <f>IF(Z542&lt;=0,0,RANK(Z542,Z:Z)+COUNTIF($Z$3:$Z542,Z542)-1)</f>
        <v>0</v>
      </c>
      <c r="AB542" s="1211">
        <f t="shared" ca="1" si="113"/>
        <v>0</v>
      </c>
      <c r="AC542" s="136">
        <f ca="1">IF(AB542&lt;=0,0,RANK(AB542,AB:AB)+COUNTIF($AB$3:$AB542,AB542)-1)</f>
        <v>0</v>
      </c>
      <c r="AD542" s="136">
        <f t="shared" si="114"/>
        <v>99999</v>
      </c>
      <c r="AE542" s="136">
        <f>IF(AD542=99999,0,RANK(AD542,AD:AD,1)+COUNTIF($AD$3:$AD542,AD542)-1)</f>
        <v>0</v>
      </c>
    </row>
    <row r="543" spans="1:31">
      <c r="A543" s="141">
        <f>'銀行-TSS'!A543</f>
        <v>0</v>
      </c>
      <c r="B543" s="151">
        <f ca="1">VLOOKUP(A543,'銀行-TSS'!A:B,2,FALSE)</f>
        <v>0</v>
      </c>
      <c r="C543" s="151" t="e">
        <f ca="1">VLOOKUP(B543,bond!B:C,2,FALSE)</f>
        <v>#N/A</v>
      </c>
      <c r="D543" s="95" t="e">
        <f>VLOOKUP(A543,'銀行-TSS'!A:C,3,FALSE)</f>
        <v>#N/A</v>
      </c>
      <c r="E543" s="90" t="e">
        <f ca="1">VLOOKUP(A543,'銀行-TSS'!A:G,7,FALSE)</f>
        <v>#N/A</v>
      </c>
      <c r="F543" s="202" t="e">
        <f ca="1">VLOOKUP(A543,'銀行-TSS'!A:H,8,FALSE)</f>
        <v>#N/A</v>
      </c>
      <c r="G543" s="96" t="e">
        <f ca="1">VLOOKUP(A543,'銀行-TSS'!A:K,11,FALSE)</f>
        <v>#N/A</v>
      </c>
      <c r="H543" s="1209" t="e">
        <f ca="1">VLOOKUP(A543,'銀行-TSS'!A:M,13,FALSE)</f>
        <v>#N/A</v>
      </c>
      <c r="I543" s="1213" t="e">
        <f ca="1">VLOOKUP(A543,'銀行-TSS'!A:N,14,FALSE)</f>
        <v>#N/A</v>
      </c>
      <c r="J543" s="1213" t="e">
        <f ca="1">VLOOKUP(A543,'銀行-TSS'!A:O,15,FALSE)</f>
        <v>#N/A</v>
      </c>
      <c r="K543" s="136" t="e">
        <f ca="1">VLOOKUP(A543,'銀行-TSS'!A:V,22,FALSE)</f>
        <v>#N/A</v>
      </c>
      <c r="L543" s="136" t="e">
        <f ca="1">VLOOKUP(A543,'銀行-TSS'!A:AK,37,FALSE)</f>
        <v>#N/A</v>
      </c>
      <c r="M543" s="136" t="str">
        <f ca="1">VLOOKUP(A543,'銀行-TSS'!A:AN,40,FALSE)</f>
        <v/>
      </c>
      <c r="N543" s="1211" t="e">
        <f t="shared" ca="1" si="104"/>
        <v>#N/A</v>
      </c>
      <c r="O543" s="1211" t="e">
        <f t="shared" ca="1" si="105"/>
        <v>#N/A</v>
      </c>
      <c r="P543" s="1213" t="e">
        <f ca="1">IF(AND(換券投組!$D$17&gt;=O543,換券投組!$D$13=D543),I543+INT((換券投組!$D$17-O543)/N543)*J543,0)</f>
        <v>#N/A</v>
      </c>
      <c r="Q543" s="1211" t="e">
        <f t="shared" ca="1" si="106"/>
        <v>#N/A</v>
      </c>
      <c r="R543" s="1213">
        <f t="shared" si="107"/>
        <v>0</v>
      </c>
      <c r="S543" s="1213">
        <f t="shared" si="108"/>
        <v>0</v>
      </c>
      <c r="T543" s="136">
        <f t="shared" si="110"/>
        <v>0</v>
      </c>
      <c r="U543" s="861">
        <f t="shared" si="111"/>
        <v>0</v>
      </c>
      <c r="V543" s="136" t="e">
        <f ca="1">IF(OR(D543&lt;&gt;"USD",L543="無",M543&lt;&gt;"",K543="高資產",IFERROR(MATCH(B543,換券投組!K:K,0),"N")&lt;&gt;"N",IFERROR(MATCH(B543,換券投組!J:J,0),"N")&lt;&gt;"N"),FALSE,IF($V$1="All",TRUE,IF(K543=$V$1,TRUE,FALSE)))</f>
        <v>#N/A</v>
      </c>
      <c r="W543" s="136" t="e">
        <f ca="1">VLOOKUP(A543,'銀行-TSS'!A:AO,41,FALSE)</f>
        <v>#N/A</v>
      </c>
      <c r="X543" s="136" t="e">
        <f ca="1">VLOOKUP(A543,'銀行-TSS'!A:AP,42,FALSE)</f>
        <v>#N/A</v>
      </c>
      <c r="Y543" s="1223">
        <f t="shared" si="109"/>
        <v>0</v>
      </c>
      <c r="Z543" s="1211">
        <f t="shared" si="112"/>
        <v>0</v>
      </c>
      <c r="AA543" s="136">
        <f>IF(Z543&lt;=0,0,RANK(Z543,Z:Z)+COUNTIF($Z$3:$Z543,Z543)-1)</f>
        <v>0</v>
      </c>
      <c r="AB543" s="1211">
        <f t="shared" ca="1" si="113"/>
        <v>0</v>
      </c>
      <c r="AC543" s="136">
        <f ca="1">IF(AB543&lt;=0,0,RANK(AB543,AB:AB)+COUNTIF($AB$3:$AB543,AB543)-1)</f>
        <v>0</v>
      </c>
      <c r="AD543" s="136">
        <f t="shared" si="114"/>
        <v>99999</v>
      </c>
      <c r="AE543" s="136">
        <f>IF(AD543=99999,0,RANK(AD543,AD:AD,1)+COUNTIF($AD$3:$AD543,AD543)-1)</f>
        <v>0</v>
      </c>
    </row>
    <row r="544" spans="1:31">
      <c r="A544" s="141">
        <f>'銀行-TSS'!A544</f>
        <v>0</v>
      </c>
      <c r="B544" s="151">
        <f ca="1">VLOOKUP(A544,'銀行-TSS'!A:B,2,FALSE)</f>
        <v>0</v>
      </c>
      <c r="C544" s="151" t="e">
        <f ca="1">VLOOKUP(B544,bond!B:C,2,FALSE)</f>
        <v>#N/A</v>
      </c>
      <c r="D544" s="95" t="e">
        <f>VLOOKUP(A544,'銀行-TSS'!A:C,3,FALSE)</f>
        <v>#N/A</v>
      </c>
      <c r="E544" s="90" t="e">
        <f ca="1">VLOOKUP(A544,'銀行-TSS'!A:G,7,FALSE)</f>
        <v>#N/A</v>
      </c>
      <c r="F544" s="202" t="e">
        <f ca="1">VLOOKUP(A544,'銀行-TSS'!A:H,8,FALSE)</f>
        <v>#N/A</v>
      </c>
      <c r="G544" s="96" t="e">
        <f ca="1">VLOOKUP(A544,'銀行-TSS'!A:K,11,FALSE)</f>
        <v>#N/A</v>
      </c>
      <c r="H544" s="1209" t="e">
        <f ca="1">VLOOKUP(A544,'銀行-TSS'!A:M,13,FALSE)</f>
        <v>#N/A</v>
      </c>
      <c r="I544" s="1213" t="e">
        <f ca="1">VLOOKUP(A544,'銀行-TSS'!A:N,14,FALSE)</f>
        <v>#N/A</v>
      </c>
      <c r="J544" s="1213" t="e">
        <f ca="1">VLOOKUP(A544,'銀行-TSS'!A:O,15,FALSE)</f>
        <v>#N/A</v>
      </c>
      <c r="K544" s="136" t="e">
        <f ca="1">VLOOKUP(A544,'銀行-TSS'!A:V,22,FALSE)</f>
        <v>#N/A</v>
      </c>
      <c r="L544" s="136" t="e">
        <f ca="1">VLOOKUP(A544,'銀行-TSS'!A:AK,37,FALSE)</f>
        <v>#N/A</v>
      </c>
      <c r="M544" s="136" t="str">
        <f ca="1">VLOOKUP(A544,'銀行-TSS'!A:AN,40,FALSE)</f>
        <v/>
      </c>
      <c r="N544" s="1211" t="e">
        <f t="shared" ca="1" si="104"/>
        <v>#N/A</v>
      </c>
      <c r="O544" s="1211" t="e">
        <f t="shared" ca="1" si="105"/>
        <v>#N/A</v>
      </c>
      <c r="P544" s="1213" t="e">
        <f ca="1">IF(AND(換券投組!$D$17&gt;=O544,換券投組!$D$13=D544),I544+INT((換券投組!$D$17-O544)/N544)*J544,0)</f>
        <v>#N/A</v>
      </c>
      <c r="Q544" s="1211" t="e">
        <f t="shared" ca="1" si="106"/>
        <v>#N/A</v>
      </c>
      <c r="R544" s="1213">
        <f t="shared" si="107"/>
        <v>0</v>
      </c>
      <c r="S544" s="1213">
        <f t="shared" si="108"/>
        <v>0</v>
      </c>
      <c r="T544" s="136">
        <f t="shared" si="110"/>
        <v>0</v>
      </c>
      <c r="U544" s="861">
        <f t="shared" si="111"/>
        <v>0</v>
      </c>
      <c r="V544" s="136" t="e">
        <f ca="1">IF(OR(D544&lt;&gt;"USD",L544="無",M544&lt;&gt;"",K544="高資產",IFERROR(MATCH(B544,換券投組!K:K,0),"N")&lt;&gt;"N",IFERROR(MATCH(B544,換券投組!J:J,0),"N")&lt;&gt;"N"),FALSE,IF($V$1="All",TRUE,IF(K544=$V$1,TRUE,FALSE)))</f>
        <v>#N/A</v>
      </c>
      <c r="W544" s="136" t="e">
        <f ca="1">VLOOKUP(A544,'銀行-TSS'!A:AO,41,FALSE)</f>
        <v>#N/A</v>
      </c>
      <c r="X544" s="136" t="e">
        <f ca="1">VLOOKUP(A544,'銀行-TSS'!A:AP,42,FALSE)</f>
        <v>#N/A</v>
      </c>
      <c r="Y544" s="1223">
        <f t="shared" si="109"/>
        <v>0</v>
      </c>
      <c r="Z544" s="1211">
        <f t="shared" si="112"/>
        <v>0</v>
      </c>
      <c r="AA544" s="136">
        <f>IF(Z544&lt;=0,0,RANK(Z544,Z:Z)+COUNTIF($Z$3:$Z544,Z544)-1)</f>
        <v>0</v>
      </c>
      <c r="AB544" s="1211">
        <f t="shared" ca="1" si="113"/>
        <v>0</v>
      </c>
      <c r="AC544" s="136">
        <f ca="1">IF(AB544&lt;=0,0,RANK(AB544,AB:AB)+COUNTIF($AB$3:$AB544,AB544)-1)</f>
        <v>0</v>
      </c>
      <c r="AD544" s="136">
        <f t="shared" si="114"/>
        <v>99999</v>
      </c>
      <c r="AE544" s="136">
        <f>IF(AD544=99999,0,RANK(AD544,AD:AD,1)+COUNTIF($AD$3:$AD544,AD544)-1)</f>
        <v>0</v>
      </c>
    </row>
    <row r="545" spans="1:31">
      <c r="A545" s="141">
        <f>'銀行-TSS'!A545</f>
        <v>0</v>
      </c>
      <c r="B545" s="151">
        <f ca="1">VLOOKUP(A545,'銀行-TSS'!A:B,2,FALSE)</f>
        <v>0</v>
      </c>
      <c r="C545" s="151" t="e">
        <f ca="1">VLOOKUP(B545,bond!B:C,2,FALSE)</f>
        <v>#N/A</v>
      </c>
      <c r="D545" s="95" t="e">
        <f>VLOOKUP(A545,'銀行-TSS'!A:C,3,FALSE)</f>
        <v>#N/A</v>
      </c>
      <c r="E545" s="90" t="e">
        <f ca="1">VLOOKUP(A545,'銀行-TSS'!A:G,7,FALSE)</f>
        <v>#N/A</v>
      </c>
      <c r="F545" s="202" t="e">
        <f ca="1">VLOOKUP(A545,'銀行-TSS'!A:H,8,FALSE)</f>
        <v>#N/A</v>
      </c>
      <c r="G545" s="96" t="e">
        <f ca="1">VLOOKUP(A545,'銀行-TSS'!A:K,11,FALSE)</f>
        <v>#N/A</v>
      </c>
      <c r="H545" s="1209" t="e">
        <f ca="1">VLOOKUP(A545,'銀行-TSS'!A:M,13,FALSE)</f>
        <v>#N/A</v>
      </c>
      <c r="I545" s="1213" t="e">
        <f ca="1">VLOOKUP(A545,'銀行-TSS'!A:N,14,FALSE)</f>
        <v>#N/A</v>
      </c>
      <c r="J545" s="1213" t="e">
        <f ca="1">VLOOKUP(A545,'銀行-TSS'!A:O,15,FALSE)</f>
        <v>#N/A</v>
      </c>
      <c r="K545" s="136" t="e">
        <f ca="1">VLOOKUP(A545,'銀行-TSS'!A:V,22,FALSE)</f>
        <v>#N/A</v>
      </c>
      <c r="L545" s="136" t="e">
        <f ca="1">VLOOKUP(A545,'銀行-TSS'!A:AK,37,FALSE)</f>
        <v>#N/A</v>
      </c>
      <c r="M545" s="136" t="str">
        <f ca="1">VLOOKUP(A545,'銀行-TSS'!A:AN,40,FALSE)</f>
        <v/>
      </c>
      <c r="N545" s="1211" t="e">
        <f t="shared" ca="1" si="104"/>
        <v>#N/A</v>
      </c>
      <c r="O545" s="1211" t="e">
        <f t="shared" ca="1" si="105"/>
        <v>#N/A</v>
      </c>
      <c r="P545" s="1213" t="e">
        <f ca="1">IF(AND(換券投組!$D$17&gt;=O545,換券投組!$D$13=D545),I545+INT((換券投組!$D$17-O545)/N545)*J545,0)</f>
        <v>#N/A</v>
      </c>
      <c r="Q545" s="1211" t="e">
        <f t="shared" ca="1" si="106"/>
        <v>#N/A</v>
      </c>
      <c r="R545" s="1213">
        <f t="shared" si="107"/>
        <v>0</v>
      </c>
      <c r="S545" s="1213">
        <f t="shared" si="108"/>
        <v>0</v>
      </c>
      <c r="T545" s="136">
        <f t="shared" si="110"/>
        <v>0</v>
      </c>
      <c r="U545" s="861">
        <f t="shared" si="111"/>
        <v>0</v>
      </c>
      <c r="V545" s="136" t="e">
        <f ca="1">IF(OR(D545&lt;&gt;"USD",L545="無",M545&lt;&gt;"",K545="高資產",IFERROR(MATCH(B545,換券投組!K:K,0),"N")&lt;&gt;"N",IFERROR(MATCH(B545,換券投組!J:J,0),"N")&lt;&gt;"N"),FALSE,IF($V$1="All",TRUE,IF(K545=$V$1,TRUE,FALSE)))</f>
        <v>#N/A</v>
      </c>
      <c r="W545" s="136" t="e">
        <f ca="1">VLOOKUP(A545,'銀行-TSS'!A:AO,41,FALSE)</f>
        <v>#N/A</v>
      </c>
      <c r="X545" s="136" t="e">
        <f ca="1">VLOOKUP(A545,'銀行-TSS'!A:AP,42,FALSE)</f>
        <v>#N/A</v>
      </c>
      <c r="Y545" s="1223">
        <f t="shared" si="109"/>
        <v>0</v>
      </c>
      <c r="Z545" s="1211">
        <f t="shared" si="112"/>
        <v>0</v>
      </c>
      <c r="AA545" s="136">
        <f>IF(Z545&lt;=0,0,RANK(Z545,Z:Z)+COUNTIF($Z$3:$Z545,Z545)-1)</f>
        <v>0</v>
      </c>
      <c r="AB545" s="1211">
        <f t="shared" ca="1" si="113"/>
        <v>0</v>
      </c>
      <c r="AC545" s="136">
        <f ca="1">IF(AB545&lt;=0,0,RANK(AB545,AB:AB)+COUNTIF($AB$3:$AB545,AB545)-1)</f>
        <v>0</v>
      </c>
      <c r="AD545" s="136">
        <f t="shared" si="114"/>
        <v>99999</v>
      </c>
      <c r="AE545" s="136">
        <f>IF(AD545=99999,0,RANK(AD545,AD:AD,1)+COUNTIF($AD$3:$AD545,AD545)-1)</f>
        <v>0</v>
      </c>
    </row>
    <row r="546" spans="1:31">
      <c r="A546" s="141">
        <f>'銀行-TSS'!A546</f>
        <v>0</v>
      </c>
      <c r="B546" s="151">
        <f ca="1">VLOOKUP(A546,'銀行-TSS'!A:B,2,FALSE)</f>
        <v>0</v>
      </c>
      <c r="C546" s="151" t="e">
        <f ca="1">VLOOKUP(B546,bond!B:C,2,FALSE)</f>
        <v>#N/A</v>
      </c>
      <c r="D546" s="95" t="e">
        <f>VLOOKUP(A546,'銀行-TSS'!A:C,3,FALSE)</f>
        <v>#N/A</v>
      </c>
      <c r="E546" s="90" t="e">
        <f ca="1">VLOOKUP(A546,'銀行-TSS'!A:G,7,FALSE)</f>
        <v>#N/A</v>
      </c>
      <c r="F546" s="202" t="e">
        <f ca="1">VLOOKUP(A546,'銀行-TSS'!A:H,8,FALSE)</f>
        <v>#N/A</v>
      </c>
      <c r="G546" s="96" t="e">
        <f ca="1">VLOOKUP(A546,'銀行-TSS'!A:K,11,FALSE)</f>
        <v>#N/A</v>
      </c>
      <c r="H546" s="1209" t="e">
        <f ca="1">VLOOKUP(A546,'銀行-TSS'!A:M,13,FALSE)</f>
        <v>#N/A</v>
      </c>
      <c r="I546" s="1213" t="e">
        <f ca="1">VLOOKUP(A546,'銀行-TSS'!A:N,14,FALSE)</f>
        <v>#N/A</v>
      </c>
      <c r="J546" s="1213" t="e">
        <f ca="1">VLOOKUP(A546,'銀行-TSS'!A:O,15,FALSE)</f>
        <v>#N/A</v>
      </c>
      <c r="K546" s="136" t="e">
        <f ca="1">VLOOKUP(A546,'銀行-TSS'!A:V,22,FALSE)</f>
        <v>#N/A</v>
      </c>
      <c r="L546" s="136" t="e">
        <f ca="1">VLOOKUP(A546,'銀行-TSS'!A:AK,37,FALSE)</f>
        <v>#N/A</v>
      </c>
      <c r="M546" s="136" t="str">
        <f ca="1">VLOOKUP(A546,'銀行-TSS'!A:AN,40,FALSE)</f>
        <v/>
      </c>
      <c r="N546" s="1211" t="e">
        <f t="shared" ca="1" si="104"/>
        <v>#N/A</v>
      </c>
      <c r="O546" s="1211" t="e">
        <f t="shared" ca="1" si="105"/>
        <v>#N/A</v>
      </c>
      <c r="P546" s="1213" t="e">
        <f ca="1">IF(AND(換券投組!$D$17&gt;=O546,換券投組!$D$13=D546),I546+INT((換券投組!$D$17-O546)/N546)*J546,0)</f>
        <v>#N/A</v>
      </c>
      <c r="Q546" s="1211" t="e">
        <f t="shared" ca="1" si="106"/>
        <v>#N/A</v>
      </c>
      <c r="R546" s="1213">
        <f t="shared" si="107"/>
        <v>0</v>
      </c>
      <c r="S546" s="1213">
        <f t="shared" si="108"/>
        <v>0</v>
      </c>
      <c r="T546" s="136">
        <f t="shared" si="110"/>
        <v>0</v>
      </c>
      <c r="U546" s="861">
        <f t="shared" si="111"/>
        <v>0</v>
      </c>
      <c r="V546" s="136" t="e">
        <f ca="1">IF(OR(D546&lt;&gt;"USD",L546="無",M546&lt;&gt;"",K546="高資產",IFERROR(MATCH(B546,換券投組!K:K,0),"N")&lt;&gt;"N",IFERROR(MATCH(B546,換券投組!J:J,0),"N")&lt;&gt;"N"),FALSE,IF($V$1="All",TRUE,IF(K546=$V$1,TRUE,FALSE)))</f>
        <v>#N/A</v>
      </c>
      <c r="W546" s="136" t="e">
        <f ca="1">VLOOKUP(A546,'銀行-TSS'!A:AO,41,FALSE)</f>
        <v>#N/A</v>
      </c>
      <c r="X546" s="136" t="e">
        <f ca="1">VLOOKUP(A546,'銀行-TSS'!A:AP,42,FALSE)</f>
        <v>#N/A</v>
      </c>
      <c r="Y546" s="1223">
        <f t="shared" si="109"/>
        <v>0</v>
      </c>
      <c r="Z546" s="1211">
        <f t="shared" si="112"/>
        <v>0</v>
      </c>
      <c r="AA546" s="136">
        <f>IF(Z546&lt;=0,0,RANK(Z546,Z:Z)+COUNTIF($Z$3:$Z546,Z546)-1)</f>
        <v>0</v>
      </c>
      <c r="AB546" s="1211">
        <f t="shared" ca="1" si="113"/>
        <v>0</v>
      </c>
      <c r="AC546" s="136">
        <f ca="1">IF(AB546&lt;=0,0,RANK(AB546,AB:AB)+COUNTIF($AB$3:$AB546,AB546)-1)</f>
        <v>0</v>
      </c>
      <c r="AD546" s="136">
        <f t="shared" si="114"/>
        <v>99999</v>
      </c>
      <c r="AE546" s="136">
        <f>IF(AD546=99999,0,RANK(AD546,AD:AD,1)+COUNTIF($AD$3:$AD546,AD546)-1)</f>
        <v>0</v>
      </c>
    </row>
    <row r="547" spans="1:31">
      <c r="A547" s="141">
        <f>'銀行-TSS'!A547</f>
        <v>0</v>
      </c>
      <c r="B547" s="151">
        <f ca="1">VLOOKUP(A547,'銀行-TSS'!A:B,2,FALSE)</f>
        <v>0</v>
      </c>
      <c r="C547" s="151" t="e">
        <f ca="1">VLOOKUP(B547,bond!B:C,2,FALSE)</f>
        <v>#N/A</v>
      </c>
      <c r="D547" s="95" t="e">
        <f>VLOOKUP(A547,'銀行-TSS'!A:C,3,FALSE)</f>
        <v>#N/A</v>
      </c>
      <c r="E547" s="90" t="e">
        <f ca="1">VLOOKUP(A547,'銀行-TSS'!A:G,7,FALSE)</f>
        <v>#N/A</v>
      </c>
      <c r="F547" s="202" t="e">
        <f ca="1">VLOOKUP(A547,'銀行-TSS'!A:H,8,FALSE)</f>
        <v>#N/A</v>
      </c>
      <c r="G547" s="96" t="e">
        <f ca="1">VLOOKUP(A547,'銀行-TSS'!A:K,11,FALSE)</f>
        <v>#N/A</v>
      </c>
      <c r="H547" s="1209" t="e">
        <f ca="1">VLOOKUP(A547,'銀行-TSS'!A:M,13,FALSE)</f>
        <v>#N/A</v>
      </c>
      <c r="I547" s="1213" t="e">
        <f ca="1">VLOOKUP(A547,'銀行-TSS'!A:N,14,FALSE)</f>
        <v>#N/A</v>
      </c>
      <c r="J547" s="1213" t="e">
        <f ca="1">VLOOKUP(A547,'銀行-TSS'!A:O,15,FALSE)</f>
        <v>#N/A</v>
      </c>
      <c r="K547" s="136" t="e">
        <f ca="1">VLOOKUP(A547,'銀行-TSS'!A:V,22,FALSE)</f>
        <v>#N/A</v>
      </c>
      <c r="L547" s="136" t="e">
        <f ca="1">VLOOKUP(A547,'銀行-TSS'!A:AK,37,FALSE)</f>
        <v>#N/A</v>
      </c>
      <c r="M547" s="136" t="str">
        <f ca="1">VLOOKUP(A547,'銀行-TSS'!A:AN,40,FALSE)</f>
        <v/>
      </c>
      <c r="N547" s="1211" t="e">
        <f t="shared" ca="1" si="104"/>
        <v>#N/A</v>
      </c>
      <c r="O547" s="1211" t="e">
        <f t="shared" ca="1" si="105"/>
        <v>#N/A</v>
      </c>
      <c r="P547" s="1213" t="e">
        <f ca="1">IF(AND(換券投組!$D$17&gt;=O547,換券投組!$D$13=D547),I547+INT((換券投組!$D$17-O547)/N547)*J547,0)</f>
        <v>#N/A</v>
      </c>
      <c r="Q547" s="1211" t="e">
        <f t="shared" ca="1" si="106"/>
        <v>#N/A</v>
      </c>
      <c r="R547" s="1213">
        <f t="shared" si="107"/>
        <v>0</v>
      </c>
      <c r="S547" s="1213">
        <f t="shared" si="108"/>
        <v>0</v>
      </c>
      <c r="T547" s="136">
        <f t="shared" si="110"/>
        <v>0</v>
      </c>
      <c r="U547" s="861">
        <f t="shared" si="111"/>
        <v>0</v>
      </c>
      <c r="V547" s="136" t="e">
        <f ca="1">IF(OR(D547&lt;&gt;"USD",L547="無",M547&lt;&gt;"",K547="高資產",IFERROR(MATCH(B547,換券投組!K:K,0),"N")&lt;&gt;"N",IFERROR(MATCH(B547,換券投組!J:J,0),"N")&lt;&gt;"N"),FALSE,IF($V$1="All",TRUE,IF(K547=$V$1,TRUE,FALSE)))</f>
        <v>#N/A</v>
      </c>
      <c r="W547" s="136" t="e">
        <f ca="1">VLOOKUP(A547,'銀行-TSS'!A:AO,41,FALSE)</f>
        <v>#N/A</v>
      </c>
      <c r="X547" s="136" t="e">
        <f ca="1">VLOOKUP(A547,'銀行-TSS'!A:AP,42,FALSE)</f>
        <v>#N/A</v>
      </c>
      <c r="Y547" s="1223">
        <f t="shared" si="109"/>
        <v>0</v>
      </c>
      <c r="Z547" s="1211">
        <f t="shared" si="112"/>
        <v>0</v>
      </c>
      <c r="AA547" s="136">
        <f>IF(Z547&lt;=0,0,RANK(Z547,Z:Z)+COUNTIF($Z$3:$Z547,Z547)-1)</f>
        <v>0</v>
      </c>
      <c r="AB547" s="1211">
        <f t="shared" ca="1" si="113"/>
        <v>0</v>
      </c>
      <c r="AC547" s="136">
        <f ca="1">IF(AB547&lt;=0,0,RANK(AB547,AB:AB)+COUNTIF($AB$3:$AB547,AB547)-1)</f>
        <v>0</v>
      </c>
      <c r="AD547" s="136">
        <f t="shared" si="114"/>
        <v>99999</v>
      </c>
      <c r="AE547" s="136">
        <f>IF(AD547=99999,0,RANK(AD547,AD:AD,1)+COUNTIF($AD$3:$AD547,AD547)-1)</f>
        <v>0</v>
      </c>
    </row>
    <row r="548" spans="1:31">
      <c r="A548" s="141">
        <f>'銀行-TSS'!A548</f>
        <v>0</v>
      </c>
      <c r="B548" s="151">
        <f ca="1">VLOOKUP(A548,'銀行-TSS'!A:B,2,FALSE)</f>
        <v>0</v>
      </c>
      <c r="C548" s="151" t="e">
        <f ca="1">VLOOKUP(B548,bond!B:C,2,FALSE)</f>
        <v>#N/A</v>
      </c>
      <c r="D548" s="95" t="e">
        <f>VLOOKUP(A548,'銀行-TSS'!A:C,3,FALSE)</f>
        <v>#N/A</v>
      </c>
      <c r="E548" s="90" t="e">
        <f ca="1">VLOOKUP(A548,'銀行-TSS'!A:G,7,FALSE)</f>
        <v>#N/A</v>
      </c>
      <c r="F548" s="202" t="e">
        <f ca="1">VLOOKUP(A548,'銀行-TSS'!A:H,8,FALSE)</f>
        <v>#N/A</v>
      </c>
      <c r="G548" s="96" t="e">
        <f ca="1">VLOOKUP(A548,'銀行-TSS'!A:K,11,FALSE)</f>
        <v>#N/A</v>
      </c>
      <c r="H548" s="1209" t="e">
        <f ca="1">VLOOKUP(A548,'銀行-TSS'!A:M,13,FALSE)</f>
        <v>#N/A</v>
      </c>
      <c r="I548" s="1213" t="e">
        <f ca="1">VLOOKUP(A548,'銀行-TSS'!A:N,14,FALSE)</f>
        <v>#N/A</v>
      </c>
      <c r="J548" s="1213" t="e">
        <f ca="1">VLOOKUP(A548,'銀行-TSS'!A:O,15,FALSE)</f>
        <v>#N/A</v>
      </c>
      <c r="K548" s="136" t="e">
        <f ca="1">VLOOKUP(A548,'銀行-TSS'!A:V,22,FALSE)</f>
        <v>#N/A</v>
      </c>
      <c r="L548" s="136" t="e">
        <f ca="1">VLOOKUP(A548,'銀行-TSS'!A:AK,37,FALSE)</f>
        <v>#N/A</v>
      </c>
      <c r="M548" s="136" t="str">
        <f ca="1">VLOOKUP(A548,'銀行-TSS'!A:AN,40,FALSE)</f>
        <v/>
      </c>
      <c r="N548" s="1211" t="e">
        <f t="shared" ca="1" si="104"/>
        <v>#N/A</v>
      </c>
      <c r="O548" s="1211" t="e">
        <f t="shared" ca="1" si="105"/>
        <v>#N/A</v>
      </c>
      <c r="P548" s="1213" t="e">
        <f ca="1">IF(AND(換券投組!$D$17&gt;=O548,換券投組!$D$13=D548),I548+INT((換券投組!$D$17-O548)/N548)*J548,0)</f>
        <v>#N/A</v>
      </c>
      <c r="Q548" s="1211" t="e">
        <f t="shared" ca="1" si="106"/>
        <v>#N/A</v>
      </c>
      <c r="R548" s="1213">
        <f t="shared" si="107"/>
        <v>0</v>
      </c>
      <c r="S548" s="1213">
        <f t="shared" si="108"/>
        <v>0</v>
      </c>
      <c r="T548" s="136">
        <f t="shared" si="110"/>
        <v>0</v>
      </c>
      <c r="U548" s="861">
        <f t="shared" si="111"/>
        <v>0</v>
      </c>
      <c r="V548" s="136" t="e">
        <f ca="1">IF(OR(D548&lt;&gt;"USD",L548="無",M548&lt;&gt;"",K548="高資產",IFERROR(MATCH(B548,換券投組!K:K,0),"N")&lt;&gt;"N",IFERROR(MATCH(B548,換券投組!J:J,0),"N")&lt;&gt;"N"),FALSE,IF($V$1="All",TRUE,IF(K548=$V$1,TRUE,FALSE)))</f>
        <v>#N/A</v>
      </c>
      <c r="W548" s="136" t="e">
        <f ca="1">VLOOKUP(A548,'銀行-TSS'!A:AO,41,FALSE)</f>
        <v>#N/A</v>
      </c>
      <c r="X548" s="136" t="e">
        <f ca="1">VLOOKUP(A548,'銀行-TSS'!A:AP,42,FALSE)</f>
        <v>#N/A</v>
      </c>
      <c r="Y548" s="1223">
        <f t="shared" si="109"/>
        <v>0</v>
      </c>
      <c r="Z548" s="1211">
        <f t="shared" si="112"/>
        <v>0</v>
      </c>
      <c r="AA548" s="136">
        <f>IF(Z548&lt;=0,0,RANK(Z548,Z:Z)+COUNTIF($Z$3:$Z548,Z548)-1)</f>
        <v>0</v>
      </c>
      <c r="AB548" s="1211">
        <f t="shared" ca="1" si="113"/>
        <v>0</v>
      </c>
      <c r="AC548" s="136">
        <f ca="1">IF(AB548&lt;=0,0,RANK(AB548,AB:AB)+COUNTIF($AB$3:$AB548,AB548)-1)</f>
        <v>0</v>
      </c>
      <c r="AD548" s="136">
        <f t="shared" si="114"/>
        <v>99999</v>
      </c>
      <c r="AE548" s="136">
        <f>IF(AD548=99999,0,RANK(AD548,AD:AD,1)+COUNTIF($AD$3:$AD548,AD548)-1)</f>
        <v>0</v>
      </c>
    </row>
    <row r="549" spans="1:31">
      <c r="A549" s="141">
        <f>'銀行-TSS'!A549</f>
        <v>0</v>
      </c>
      <c r="B549" s="151">
        <f ca="1">VLOOKUP(A549,'銀行-TSS'!A:B,2,FALSE)</f>
        <v>0</v>
      </c>
      <c r="C549" s="151" t="e">
        <f ca="1">VLOOKUP(B549,bond!B:C,2,FALSE)</f>
        <v>#N/A</v>
      </c>
      <c r="D549" s="95" t="e">
        <f>VLOOKUP(A549,'銀行-TSS'!A:C,3,FALSE)</f>
        <v>#N/A</v>
      </c>
      <c r="E549" s="90" t="e">
        <f ca="1">VLOOKUP(A549,'銀行-TSS'!A:G,7,FALSE)</f>
        <v>#N/A</v>
      </c>
      <c r="F549" s="202" t="e">
        <f ca="1">VLOOKUP(A549,'銀行-TSS'!A:H,8,FALSE)</f>
        <v>#N/A</v>
      </c>
      <c r="G549" s="96" t="e">
        <f ca="1">VLOOKUP(A549,'銀行-TSS'!A:K,11,FALSE)</f>
        <v>#N/A</v>
      </c>
      <c r="H549" s="1209" t="e">
        <f ca="1">VLOOKUP(A549,'銀行-TSS'!A:M,13,FALSE)</f>
        <v>#N/A</v>
      </c>
      <c r="I549" s="1213" t="e">
        <f ca="1">VLOOKUP(A549,'銀行-TSS'!A:N,14,FALSE)</f>
        <v>#N/A</v>
      </c>
      <c r="J549" s="1213" t="e">
        <f ca="1">VLOOKUP(A549,'銀行-TSS'!A:O,15,FALSE)</f>
        <v>#N/A</v>
      </c>
      <c r="K549" s="136" t="e">
        <f ca="1">VLOOKUP(A549,'銀行-TSS'!A:V,22,FALSE)</f>
        <v>#N/A</v>
      </c>
      <c r="L549" s="136" t="e">
        <f ca="1">VLOOKUP(A549,'銀行-TSS'!A:AK,37,FALSE)</f>
        <v>#N/A</v>
      </c>
      <c r="M549" s="136" t="str">
        <f ca="1">VLOOKUP(A549,'銀行-TSS'!A:AN,40,FALSE)</f>
        <v/>
      </c>
      <c r="N549" s="1211" t="e">
        <f t="shared" ca="1" si="104"/>
        <v>#N/A</v>
      </c>
      <c r="O549" s="1211" t="e">
        <f t="shared" ca="1" si="105"/>
        <v>#N/A</v>
      </c>
      <c r="P549" s="1213" t="e">
        <f ca="1">IF(AND(換券投組!$D$17&gt;=O549,換券投組!$D$13=D549),I549+INT((換券投組!$D$17-O549)/N549)*J549,0)</f>
        <v>#N/A</v>
      </c>
      <c r="Q549" s="1211" t="e">
        <f t="shared" ca="1" si="106"/>
        <v>#N/A</v>
      </c>
      <c r="R549" s="1213">
        <f t="shared" si="107"/>
        <v>0</v>
      </c>
      <c r="S549" s="1213">
        <f t="shared" si="108"/>
        <v>0</v>
      </c>
      <c r="T549" s="136">
        <f t="shared" si="110"/>
        <v>0</v>
      </c>
      <c r="U549" s="861">
        <f t="shared" si="111"/>
        <v>0</v>
      </c>
      <c r="V549" s="136" t="e">
        <f ca="1">IF(OR(D549&lt;&gt;"USD",L549="無",M549&lt;&gt;"",K549="高資產",IFERROR(MATCH(B549,換券投組!K:K,0),"N")&lt;&gt;"N",IFERROR(MATCH(B549,換券投組!J:J,0),"N")&lt;&gt;"N"),FALSE,IF($V$1="All",TRUE,IF(K549=$V$1,TRUE,FALSE)))</f>
        <v>#N/A</v>
      </c>
      <c r="W549" s="136" t="e">
        <f ca="1">VLOOKUP(A549,'銀行-TSS'!A:AO,41,FALSE)</f>
        <v>#N/A</v>
      </c>
      <c r="X549" s="136" t="e">
        <f ca="1">VLOOKUP(A549,'銀行-TSS'!A:AP,42,FALSE)</f>
        <v>#N/A</v>
      </c>
      <c r="Y549" s="1223">
        <f t="shared" si="109"/>
        <v>0</v>
      </c>
      <c r="Z549" s="1211">
        <f t="shared" si="112"/>
        <v>0</v>
      </c>
      <c r="AA549" s="136">
        <f>IF(Z549&lt;=0,0,RANK(Z549,Z:Z)+COUNTIF($Z$3:$Z549,Z549)-1)</f>
        <v>0</v>
      </c>
      <c r="AB549" s="1211">
        <f t="shared" ca="1" si="113"/>
        <v>0</v>
      </c>
      <c r="AC549" s="136">
        <f ca="1">IF(AB549&lt;=0,0,RANK(AB549,AB:AB)+COUNTIF($AB$3:$AB549,AB549)-1)</f>
        <v>0</v>
      </c>
      <c r="AD549" s="136">
        <f t="shared" si="114"/>
        <v>99999</v>
      </c>
      <c r="AE549" s="136">
        <f>IF(AD549=99999,0,RANK(AD549,AD:AD,1)+COUNTIF($AD$3:$AD549,AD549)-1)</f>
        <v>0</v>
      </c>
    </row>
    <row r="550" spans="1:31">
      <c r="A550" s="141">
        <f>'銀行-TSS'!A550</f>
        <v>0</v>
      </c>
      <c r="B550" s="151">
        <f ca="1">VLOOKUP(A550,'銀行-TSS'!A:B,2,FALSE)</f>
        <v>0</v>
      </c>
      <c r="C550" s="151" t="e">
        <f ca="1">VLOOKUP(B550,bond!B:C,2,FALSE)</f>
        <v>#N/A</v>
      </c>
      <c r="D550" s="95" t="e">
        <f>VLOOKUP(A550,'銀行-TSS'!A:C,3,FALSE)</f>
        <v>#N/A</v>
      </c>
      <c r="E550" s="90" t="e">
        <f ca="1">VLOOKUP(A550,'銀行-TSS'!A:G,7,FALSE)</f>
        <v>#N/A</v>
      </c>
      <c r="F550" s="202" t="e">
        <f ca="1">VLOOKUP(A550,'銀行-TSS'!A:H,8,FALSE)</f>
        <v>#N/A</v>
      </c>
      <c r="G550" s="96" t="e">
        <f ca="1">VLOOKUP(A550,'銀行-TSS'!A:K,11,FALSE)</f>
        <v>#N/A</v>
      </c>
      <c r="H550" s="1209" t="e">
        <f ca="1">VLOOKUP(A550,'銀行-TSS'!A:M,13,FALSE)</f>
        <v>#N/A</v>
      </c>
      <c r="I550" s="1213" t="e">
        <f ca="1">VLOOKUP(A550,'銀行-TSS'!A:N,14,FALSE)</f>
        <v>#N/A</v>
      </c>
      <c r="J550" s="1213" t="e">
        <f ca="1">VLOOKUP(A550,'銀行-TSS'!A:O,15,FALSE)</f>
        <v>#N/A</v>
      </c>
      <c r="K550" s="136" t="e">
        <f ca="1">VLOOKUP(A550,'銀行-TSS'!A:V,22,FALSE)</f>
        <v>#N/A</v>
      </c>
      <c r="L550" s="136" t="e">
        <f ca="1">VLOOKUP(A550,'銀行-TSS'!A:AK,37,FALSE)</f>
        <v>#N/A</v>
      </c>
      <c r="M550" s="136" t="str">
        <f ca="1">VLOOKUP(A550,'銀行-TSS'!A:AN,40,FALSE)</f>
        <v/>
      </c>
      <c r="N550" s="1211" t="e">
        <f t="shared" ca="1" si="104"/>
        <v>#N/A</v>
      </c>
      <c r="O550" s="1211" t="e">
        <f t="shared" ca="1" si="105"/>
        <v>#N/A</v>
      </c>
      <c r="P550" s="1213" t="e">
        <f ca="1">IF(AND(換券投組!$D$17&gt;=O550,換券投組!$D$13=D550),I550+INT((換券投組!$D$17-O550)/N550)*J550,0)</f>
        <v>#N/A</v>
      </c>
      <c r="Q550" s="1211" t="e">
        <f t="shared" ca="1" si="106"/>
        <v>#N/A</v>
      </c>
      <c r="R550" s="1213">
        <f t="shared" si="107"/>
        <v>0</v>
      </c>
      <c r="S550" s="1213">
        <f t="shared" si="108"/>
        <v>0</v>
      </c>
      <c r="T550" s="136">
        <f t="shared" si="110"/>
        <v>0</v>
      </c>
      <c r="U550" s="861">
        <f t="shared" si="111"/>
        <v>0</v>
      </c>
      <c r="V550" s="136" t="e">
        <f ca="1">IF(OR(D550&lt;&gt;"USD",L550="無",M550&lt;&gt;"",K550="高資產",IFERROR(MATCH(B550,換券投組!K:K,0),"N")&lt;&gt;"N",IFERROR(MATCH(B550,換券投組!J:J,0),"N")&lt;&gt;"N"),FALSE,IF($V$1="All",TRUE,IF(K550=$V$1,TRUE,FALSE)))</f>
        <v>#N/A</v>
      </c>
      <c r="W550" s="136" t="e">
        <f ca="1">VLOOKUP(A550,'銀行-TSS'!A:AO,41,FALSE)</f>
        <v>#N/A</v>
      </c>
      <c r="X550" s="136" t="e">
        <f ca="1">VLOOKUP(A550,'銀行-TSS'!A:AP,42,FALSE)</f>
        <v>#N/A</v>
      </c>
      <c r="Y550" s="1223">
        <f t="shared" si="109"/>
        <v>0</v>
      </c>
      <c r="Z550" s="1211">
        <f t="shared" si="112"/>
        <v>0</v>
      </c>
      <c r="AA550" s="136">
        <f>IF(Z550&lt;=0,0,RANK(Z550,Z:Z)+COUNTIF($Z$3:$Z550,Z550)-1)</f>
        <v>0</v>
      </c>
      <c r="AB550" s="1211">
        <f t="shared" ca="1" si="113"/>
        <v>0</v>
      </c>
      <c r="AC550" s="136">
        <f ca="1">IF(AB550&lt;=0,0,RANK(AB550,AB:AB)+COUNTIF($AB$3:$AB550,AB550)-1)</f>
        <v>0</v>
      </c>
      <c r="AD550" s="136">
        <f t="shared" si="114"/>
        <v>99999</v>
      </c>
      <c r="AE550" s="136">
        <f>IF(AD550=99999,0,RANK(AD550,AD:AD,1)+COUNTIF($AD$3:$AD550,AD550)-1)</f>
        <v>0</v>
      </c>
    </row>
    <row r="551" spans="1:31">
      <c r="A551" s="141">
        <f>'銀行-TSS'!A551</f>
        <v>0</v>
      </c>
      <c r="B551" s="151">
        <f ca="1">VLOOKUP(A551,'銀行-TSS'!A:B,2,FALSE)</f>
        <v>0</v>
      </c>
      <c r="C551" s="151" t="e">
        <f ca="1">VLOOKUP(B551,bond!B:C,2,FALSE)</f>
        <v>#N/A</v>
      </c>
      <c r="D551" s="95" t="e">
        <f>VLOOKUP(A551,'銀行-TSS'!A:C,3,FALSE)</f>
        <v>#N/A</v>
      </c>
      <c r="E551" s="90" t="e">
        <f ca="1">VLOOKUP(A551,'銀行-TSS'!A:G,7,FALSE)</f>
        <v>#N/A</v>
      </c>
      <c r="F551" s="202" t="e">
        <f ca="1">VLOOKUP(A551,'銀行-TSS'!A:H,8,FALSE)</f>
        <v>#N/A</v>
      </c>
      <c r="G551" s="96" t="e">
        <f ca="1">VLOOKUP(A551,'銀行-TSS'!A:K,11,FALSE)</f>
        <v>#N/A</v>
      </c>
      <c r="H551" s="1209" t="e">
        <f ca="1">VLOOKUP(A551,'銀行-TSS'!A:M,13,FALSE)</f>
        <v>#N/A</v>
      </c>
      <c r="I551" s="1213" t="e">
        <f ca="1">VLOOKUP(A551,'銀行-TSS'!A:N,14,FALSE)</f>
        <v>#N/A</v>
      </c>
      <c r="J551" s="1213" t="e">
        <f ca="1">VLOOKUP(A551,'銀行-TSS'!A:O,15,FALSE)</f>
        <v>#N/A</v>
      </c>
      <c r="K551" s="136" t="e">
        <f ca="1">VLOOKUP(A551,'銀行-TSS'!A:V,22,FALSE)</f>
        <v>#N/A</v>
      </c>
      <c r="L551" s="136" t="e">
        <f ca="1">VLOOKUP(A551,'銀行-TSS'!A:AK,37,FALSE)</f>
        <v>#N/A</v>
      </c>
      <c r="M551" s="136" t="str">
        <f ca="1">VLOOKUP(A551,'銀行-TSS'!A:AN,40,FALSE)</f>
        <v/>
      </c>
      <c r="N551" s="1211" t="e">
        <f t="shared" ca="1" si="104"/>
        <v>#N/A</v>
      </c>
      <c r="O551" s="1211" t="e">
        <f t="shared" ca="1" si="105"/>
        <v>#N/A</v>
      </c>
      <c r="P551" s="1213" t="e">
        <f ca="1">IF(AND(換券投組!$D$17&gt;=O551,換券投組!$D$13=D551),I551+INT((換券投組!$D$17-O551)/N551)*J551,0)</f>
        <v>#N/A</v>
      </c>
      <c r="Q551" s="1211" t="e">
        <f t="shared" ca="1" si="106"/>
        <v>#N/A</v>
      </c>
      <c r="R551" s="1213">
        <f t="shared" si="107"/>
        <v>0</v>
      </c>
      <c r="S551" s="1213">
        <f t="shared" si="108"/>
        <v>0</v>
      </c>
      <c r="T551" s="136">
        <f t="shared" si="110"/>
        <v>0</v>
      </c>
      <c r="U551" s="861">
        <f t="shared" si="111"/>
        <v>0</v>
      </c>
      <c r="V551" s="136" t="e">
        <f ca="1">IF(OR(D551&lt;&gt;"USD",L551="無",M551&lt;&gt;"",K551="高資產",IFERROR(MATCH(B551,換券投組!K:K,0),"N")&lt;&gt;"N",IFERROR(MATCH(B551,換券投組!J:J,0),"N")&lt;&gt;"N"),FALSE,IF($V$1="All",TRUE,IF(K551=$V$1,TRUE,FALSE)))</f>
        <v>#N/A</v>
      </c>
      <c r="W551" s="136" t="e">
        <f ca="1">VLOOKUP(A551,'銀行-TSS'!A:AO,41,FALSE)</f>
        <v>#N/A</v>
      </c>
      <c r="X551" s="136" t="e">
        <f ca="1">VLOOKUP(A551,'銀行-TSS'!A:AP,42,FALSE)</f>
        <v>#N/A</v>
      </c>
      <c r="Y551" s="1223">
        <f t="shared" si="109"/>
        <v>0</v>
      </c>
      <c r="Z551" s="1211">
        <f t="shared" si="112"/>
        <v>0</v>
      </c>
      <c r="AA551" s="136">
        <f>IF(Z551&lt;=0,0,RANK(Z551,Z:Z)+COUNTIF($Z$3:$Z551,Z551)-1)</f>
        <v>0</v>
      </c>
      <c r="AB551" s="1211">
        <f t="shared" ca="1" si="113"/>
        <v>0</v>
      </c>
      <c r="AC551" s="136">
        <f ca="1">IF(AB551&lt;=0,0,RANK(AB551,AB:AB)+COUNTIF($AB$3:$AB551,AB551)-1)</f>
        <v>0</v>
      </c>
      <c r="AD551" s="136">
        <f t="shared" si="114"/>
        <v>99999</v>
      </c>
      <c r="AE551" s="136">
        <f>IF(AD551=99999,0,RANK(AD551,AD:AD,1)+COUNTIF($AD$3:$AD551,AD551)-1)</f>
        <v>0</v>
      </c>
    </row>
    <row r="552" spans="1:31">
      <c r="A552" s="141">
        <f>'銀行-TSS'!A552</f>
        <v>0</v>
      </c>
      <c r="B552" s="151">
        <f ca="1">VLOOKUP(A552,'銀行-TSS'!A:B,2,FALSE)</f>
        <v>0</v>
      </c>
      <c r="C552" s="151" t="e">
        <f ca="1">VLOOKUP(B552,bond!B:C,2,FALSE)</f>
        <v>#N/A</v>
      </c>
      <c r="D552" s="95" t="e">
        <f>VLOOKUP(A552,'銀行-TSS'!A:C,3,FALSE)</f>
        <v>#N/A</v>
      </c>
      <c r="E552" s="90" t="e">
        <f ca="1">VLOOKUP(A552,'銀行-TSS'!A:G,7,FALSE)</f>
        <v>#N/A</v>
      </c>
      <c r="F552" s="202" t="e">
        <f ca="1">VLOOKUP(A552,'銀行-TSS'!A:H,8,FALSE)</f>
        <v>#N/A</v>
      </c>
      <c r="G552" s="96" t="e">
        <f ca="1">VLOOKUP(A552,'銀行-TSS'!A:K,11,FALSE)</f>
        <v>#N/A</v>
      </c>
      <c r="H552" s="1209" t="e">
        <f ca="1">VLOOKUP(A552,'銀行-TSS'!A:M,13,FALSE)</f>
        <v>#N/A</v>
      </c>
      <c r="I552" s="1213" t="e">
        <f ca="1">VLOOKUP(A552,'銀行-TSS'!A:N,14,FALSE)</f>
        <v>#N/A</v>
      </c>
      <c r="J552" s="1213" t="e">
        <f ca="1">VLOOKUP(A552,'銀行-TSS'!A:O,15,FALSE)</f>
        <v>#N/A</v>
      </c>
      <c r="K552" s="136" t="e">
        <f ca="1">VLOOKUP(A552,'銀行-TSS'!A:V,22,FALSE)</f>
        <v>#N/A</v>
      </c>
      <c r="L552" s="136" t="e">
        <f ca="1">VLOOKUP(A552,'銀行-TSS'!A:AK,37,FALSE)</f>
        <v>#N/A</v>
      </c>
      <c r="M552" s="136" t="str">
        <f ca="1">VLOOKUP(A552,'銀行-TSS'!A:AN,40,FALSE)</f>
        <v/>
      </c>
      <c r="N552" s="1211" t="e">
        <f t="shared" ca="1" si="104"/>
        <v>#N/A</v>
      </c>
      <c r="O552" s="1211" t="e">
        <f t="shared" ca="1" si="105"/>
        <v>#N/A</v>
      </c>
      <c r="P552" s="1213" t="e">
        <f ca="1">IF(AND(換券投組!$D$17&gt;=O552,換券投組!$D$13=D552),I552+INT((換券投組!$D$17-O552)/N552)*J552,0)</f>
        <v>#N/A</v>
      </c>
      <c r="Q552" s="1211" t="e">
        <f t="shared" ca="1" si="106"/>
        <v>#N/A</v>
      </c>
      <c r="R552" s="1213">
        <f t="shared" si="107"/>
        <v>0</v>
      </c>
      <c r="S552" s="1213">
        <f t="shared" si="108"/>
        <v>0</v>
      </c>
      <c r="T552" s="136">
        <f t="shared" si="110"/>
        <v>0</v>
      </c>
      <c r="U552" s="861">
        <f t="shared" si="111"/>
        <v>0</v>
      </c>
      <c r="V552" s="136" t="e">
        <f ca="1">IF(OR(D552&lt;&gt;"USD",L552="無",M552&lt;&gt;"",K552="高資產",IFERROR(MATCH(B552,換券投組!K:K,0),"N")&lt;&gt;"N",IFERROR(MATCH(B552,換券投組!J:J,0),"N")&lt;&gt;"N"),FALSE,IF($V$1="All",TRUE,IF(K552=$V$1,TRUE,FALSE)))</f>
        <v>#N/A</v>
      </c>
      <c r="W552" s="136" t="e">
        <f ca="1">VLOOKUP(A552,'銀行-TSS'!A:AO,41,FALSE)</f>
        <v>#N/A</v>
      </c>
      <c r="X552" s="136" t="e">
        <f ca="1">VLOOKUP(A552,'銀行-TSS'!A:AP,42,FALSE)</f>
        <v>#N/A</v>
      </c>
      <c r="Y552" s="1223">
        <f t="shared" si="109"/>
        <v>0</v>
      </c>
      <c r="Z552" s="1211">
        <f t="shared" si="112"/>
        <v>0</v>
      </c>
      <c r="AA552" s="136">
        <f>IF(Z552&lt;=0,0,RANK(Z552,Z:Z)+COUNTIF($Z$3:$Z552,Z552)-1)</f>
        <v>0</v>
      </c>
      <c r="AB552" s="1211">
        <f t="shared" ca="1" si="113"/>
        <v>0</v>
      </c>
      <c r="AC552" s="136">
        <f ca="1">IF(AB552&lt;=0,0,RANK(AB552,AB:AB)+COUNTIF($AB$3:$AB552,AB552)-1)</f>
        <v>0</v>
      </c>
      <c r="AD552" s="136">
        <f t="shared" si="114"/>
        <v>99999</v>
      </c>
      <c r="AE552" s="136">
        <f>IF(AD552=99999,0,RANK(AD552,AD:AD,1)+COUNTIF($AD$3:$AD552,AD552)-1)</f>
        <v>0</v>
      </c>
    </row>
    <row r="553" spans="1:31">
      <c r="A553" s="141">
        <f>'銀行-TSS'!A553</f>
        <v>0</v>
      </c>
      <c r="B553" s="151">
        <f ca="1">VLOOKUP(A553,'銀行-TSS'!A:B,2,FALSE)</f>
        <v>0</v>
      </c>
      <c r="C553" s="151" t="e">
        <f ca="1">VLOOKUP(B553,bond!B:C,2,FALSE)</f>
        <v>#N/A</v>
      </c>
      <c r="D553" s="95" t="e">
        <f>VLOOKUP(A553,'銀行-TSS'!A:C,3,FALSE)</f>
        <v>#N/A</v>
      </c>
      <c r="E553" s="90" t="e">
        <f ca="1">VLOOKUP(A553,'銀行-TSS'!A:G,7,FALSE)</f>
        <v>#N/A</v>
      </c>
      <c r="F553" s="202" t="e">
        <f ca="1">VLOOKUP(A553,'銀行-TSS'!A:H,8,FALSE)</f>
        <v>#N/A</v>
      </c>
      <c r="G553" s="96" t="e">
        <f ca="1">VLOOKUP(A553,'銀行-TSS'!A:K,11,FALSE)</f>
        <v>#N/A</v>
      </c>
      <c r="H553" s="1209" t="e">
        <f ca="1">VLOOKUP(A553,'銀行-TSS'!A:M,13,FALSE)</f>
        <v>#N/A</v>
      </c>
      <c r="I553" s="1213" t="e">
        <f ca="1">VLOOKUP(A553,'銀行-TSS'!A:N,14,FALSE)</f>
        <v>#N/A</v>
      </c>
      <c r="J553" s="1213" t="e">
        <f ca="1">VLOOKUP(A553,'銀行-TSS'!A:O,15,FALSE)</f>
        <v>#N/A</v>
      </c>
      <c r="K553" s="136" t="e">
        <f ca="1">VLOOKUP(A553,'銀行-TSS'!A:V,22,FALSE)</f>
        <v>#N/A</v>
      </c>
      <c r="L553" s="136" t="e">
        <f ca="1">VLOOKUP(A553,'銀行-TSS'!A:AK,37,FALSE)</f>
        <v>#N/A</v>
      </c>
      <c r="M553" s="136" t="str">
        <f ca="1">VLOOKUP(A553,'銀行-TSS'!A:AN,40,FALSE)</f>
        <v/>
      </c>
      <c r="N553" s="1211" t="e">
        <f t="shared" ca="1" si="104"/>
        <v>#N/A</v>
      </c>
      <c r="O553" s="1211" t="e">
        <f t="shared" ca="1" si="105"/>
        <v>#N/A</v>
      </c>
      <c r="P553" s="1213" t="e">
        <f ca="1">IF(AND(換券投組!$D$17&gt;=O553,換券投組!$D$13=D553),I553+INT((換券投組!$D$17-O553)/N553)*J553,0)</f>
        <v>#N/A</v>
      </c>
      <c r="Q553" s="1211" t="e">
        <f t="shared" ca="1" si="106"/>
        <v>#N/A</v>
      </c>
      <c r="R553" s="1213">
        <f t="shared" si="107"/>
        <v>0</v>
      </c>
      <c r="S553" s="1213">
        <f t="shared" si="108"/>
        <v>0</v>
      </c>
      <c r="T553" s="136">
        <f t="shared" si="110"/>
        <v>0</v>
      </c>
      <c r="U553" s="861">
        <f t="shared" si="111"/>
        <v>0</v>
      </c>
      <c r="V553" s="136" t="e">
        <f ca="1">IF(OR(D553&lt;&gt;"USD",L553="無",M553&lt;&gt;"",K553="高資產",IFERROR(MATCH(B553,換券投組!K:K,0),"N")&lt;&gt;"N",IFERROR(MATCH(B553,換券投組!J:J,0),"N")&lt;&gt;"N"),FALSE,IF($V$1="All",TRUE,IF(K553=$V$1,TRUE,FALSE)))</f>
        <v>#N/A</v>
      </c>
      <c r="W553" s="136" t="e">
        <f ca="1">VLOOKUP(A553,'銀行-TSS'!A:AO,41,FALSE)</f>
        <v>#N/A</v>
      </c>
      <c r="X553" s="136" t="e">
        <f ca="1">VLOOKUP(A553,'銀行-TSS'!A:AP,42,FALSE)</f>
        <v>#N/A</v>
      </c>
      <c r="Y553" s="1223">
        <f t="shared" si="109"/>
        <v>0</v>
      </c>
      <c r="Z553" s="1211">
        <f t="shared" si="112"/>
        <v>0</v>
      </c>
      <c r="AA553" s="136">
        <f>IF(Z553&lt;=0,0,RANK(Z553,Z:Z)+COUNTIF($Z$3:$Z553,Z553)-1)</f>
        <v>0</v>
      </c>
      <c r="AB553" s="1211">
        <f t="shared" ca="1" si="113"/>
        <v>0</v>
      </c>
      <c r="AC553" s="136">
        <f ca="1">IF(AB553&lt;=0,0,RANK(AB553,AB:AB)+COUNTIF($AB$3:$AB553,AB553)-1)</f>
        <v>0</v>
      </c>
      <c r="AD553" s="136">
        <f t="shared" si="114"/>
        <v>99999</v>
      </c>
      <c r="AE553" s="136">
        <f>IF(AD553=99999,0,RANK(AD553,AD:AD,1)+COUNTIF($AD$3:$AD553,AD553)-1)</f>
        <v>0</v>
      </c>
    </row>
    <row r="554" spans="1:31">
      <c r="A554" s="141">
        <f>'銀行-TSS'!A554</f>
        <v>0</v>
      </c>
      <c r="B554" s="151">
        <f ca="1">VLOOKUP(A554,'銀行-TSS'!A:B,2,FALSE)</f>
        <v>0</v>
      </c>
      <c r="C554" s="151" t="e">
        <f ca="1">VLOOKUP(B554,bond!B:C,2,FALSE)</f>
        <v>#N/A</v>
      </c>
      <c r="D554" s="95" t="e">
        <f>VLOOKUP(A554,'銀行-TSS'!A:C,3,FALSE)</f>
        <v>#N/A</v>
      </c>
      <c r="E554" s="90" t="e">
        <f ca="1">VLOOKUP(A554,'銀行-TSS'!A:G,7,FALSE)</f>
        <v>#N/A</v>
      </c>
      <c r="F554" s="202" t="e">
        <f ca="1">VLOOKUP(A554,'銀行-TSS'!A:H,8,FALSE)</f>
        <v>#N/A</v>
      </c>
      <c r="G554" s="96" t="e">
        <f ca="1">VLOOKUP(A554,'銀行-TSS'!A:K,11,FALSE)</f>
        <v>#N/A</v>
      </c>
      <c r="H554" s="1209" t="e">
        <f ca="1">VLOOKUP(A554,'銀行-TSS'!A:M,13,FALSE)</f>
        <v>#N/A</v>
      </c>
      <c r="I554" s="1213" t="e">
        <f ca="1">VLOOKUP(A554,'銀行-TSS'!A:N,14,FALSE)</f>
        <v>#N/A</v>
      </c>
      <c r="J554" s="1213" t="e">
        <f ca="1">VLOOKUP(A554,'銀行-TSS'!A:O,15,FALSE)</f>
        <v>#N/A</v>
      </c>
      <c r="K554" s="136" t="e">
        <f ca="1">VLOOKUP(A554,'銀行-TSS'!A:V,22,FALSE)</f>
        <v>#N/A</v>
      </c>
      <c r="L554" s="136" t="e">
        <f ca="1">VLOOKUP(A554,'銀行-TSS'!A:AK,37,FALSE)</f>
        <v>#N/A</v>
      </c>
      <c r="M554" s="136" t="str">
        <f ca="1">VLOOKUP(A554,'銀行-TSS'!A:AN,40,FALSE)</f>
        <v/>
      </c>
      <c r="N554" s="1211" t="e">
        <f t="shared" ca="1" si="104"/>
        <v>#N/A</v>
      </c>
      <c r="O554" s="1211" t="e">
        <f t="shared" ca="1" si="105"/>
        <v>#N/A</v>
      </c>
      <c r="P554" s="1213" t="e">
        <f ca="1">IF(AND(換券投組!$D$17&gt;=O554,換券投組!$D$13=D554),I554+INT((換券投組!$D$17-O554)/N554)*J554,0)</f>
        <v>#N/A</v>
      </c>
      <c r="Q554" s="1211" t="e">
        <f t="shared" ca="1" si="106"/>
        <v>#N/A</v>
      </c>
      <c r="R554" s="1213">
        <f t="shared" si="107"/>
        <v>0</v>
      </c>
      <c r="S554" s="1213">
        <f t="shared" si="108"/>
        <v>0</v>
      </c>
      <c r="T554" s="136">
        <f t="shared" si="110"/>
        <v>0</v>
      </c>
      <c r="U554" s="861">
        <f t="shared" si="111"/>
        <v>0</v>
      </c>
      <c r="V554" s="136" t="e">
        <f ca="1">IF(OR(D554&lt;&gt;"USD",L554="無",M554&lt;&gt;"",K554="高資產",IFERROR(MATCH(B554,換券投組!K:K,0),"N")&lt;&gt;"N",IFERROR(MATCH(B554,換券投組!J:J,0),"N")&lt;&gt;"N"),FALSE,IF($V$1="All",TRUE,IF(K554=$V$1,TRUE,FALSE)))</f>
        <v>#N/A</v>
      </c>
      <c r="W554" s="136" t="e">
        <f ca="1">VLOOKUP(A554,'銀行-TSS'!A:AO,41,FALSE)</f>
        <v>#N/A</v>
      </c>
      <c r="X554" s="136" t="e">
        <f ca="1">VLOOKUP(A554,'銀行-TSS'!A:AP,42,FALSE)</f>
        <v>#N/A</v>
      </c>
      <c r="Y554" s="1223">
        <f t="shared" si="109"/>
        <v>0</v>
      </c>
      <c r="Z554" s="1211">
        <f t="shared" si="112"/>
        <v>0</v>
      </c>
      <c r="AA554" s="136">
        <f>IF(Z554&lt;=0,0,RANK(Z554,Z:Z)+COUNTIF($Z$3:$Z554,Z554)-1)</f>
        <v>0</v>
      </c>
      <c r="AB554" s="1211">
        <f t="shared" ca="1" si="113"/>
        <v>0</v>
      </c>
      <c r="AC554" s="136">
        <f ca="1">IF(AB554&lt;=0,0,RANK(AB554,AB:AB)+COUNTIF($AB$3:$AB554,AB554)-1)</f>
        <v>0</v>
      </c>
      <c r="AD554" s="136">
        <f t="shared" si="114"/>
        <v>99999</v>
      </c>
      <c r="AE554" s="136">
        <f>IF(AD554=99999,0,RANK(AD554,AD:AD,1)+COUNTIF($AD$3:$AD554,AD554)-1)</f>
        <v>0</v>
      </c>
    </row>
    <row r="555" spans="1:31">
      <c r="A555" s="141">
        <f>'銀行-TSS'!A555</f>
        <v>0</v>
      </c>
      <c r="B555" s="151">
        <f ca="1">VLOOKUP(A555,'銀行-TSS'!A:B,2,FALSE)</f>
        <v>0</v>
      </c>
      <c r="C555" s="151" t="e">
        <f ca="1">VLOOKUP(B555,bond!B:C,2,FALSE)</f>
        <v>#N/A</v>
      </c>
      <c r="D555" s="95" t="e">
        <f>VLOOKUP(A555,'銀行-TSS'!A:C,3,FALSE)</f>
        <v>#N/A</v>
      </c>
      <c r="E555" s="90" t="e">
        <f ca="1">VLOOKUP(A555,'銀行-TSS'!A:G,7,FALSE)</f>
        <v>#N/A</v>
      </c>
      <c r="F555" s="202" t="e">
        <f ca="1">VLOOKUP(A555,'銀行-TSS'!A:H,8,FALSE)</f>
        <v>#N/A</v>
      </c>
      <c r="G555" s="96" t="e">
        <f ca="1">VLOOKUP(A555,'銀行-TSS'!A:K,11,FALSE)</f>
        <v>#N/A</v>
      </c>
      <c r="H555" s="1209" t="e">
        <f ca="1">VLOOKUP(A555,'銀行-TSS'!A:M,13,FALSE)</f>
        <v>#N/A</v>
      </c>
      <c r="I555" s="1213" t="e">
        <f ca="1">VLOOKUP(A555,'銀行-TSS'!A:N,14,FALSE)</f>
        <v>#N/A</v>
      </c>
      <c r="J555" s="1213" t="e">
        <f ca="1">VLOOKUP(A555,'銀行-TSS'!A:O,15,FALSE)</f>
        <v>#N/A</v>
      </c>
      <c r="K555" s="136" t="e">
        <f ca="1">VLOOKUP(A555,'銀行-TSS'!A:V,22,FALSE)</f>
        <v>#N/A</v>
      </c>
      <c r="L555" s="136" t="e">
        <f ca="1">VLOOKUP(A555,'銀行-TSS'!A:AK,37,FALSE)</f>
        <v>#N/A</v>
      </c>
      <c r="M555" s="136" t="str">
        <f ca="1">VLOOKUP(A555,'銀行-TSS'!A:AN,40,FALSE)</f>
        <v/>
      </c>
      <c r="N555" s="1211" t="e">
        <f t="shared" ca="1" si="104"/>
        <v>#N/A</v>
      </c>
      <c r="O555" s="1211" t="e">
        <f t="shared" ca="1" si="105"/>
        <v>#N/A</v>
      </c>
      <c r="P555" s="1213" t="e">
        <f ca="1">IF(AND(換券投組!$D$17&gt;=O555,換券投組!$D$13=D555),I555+INT((換券投組!$D$17-O555)/N555)*J555,0)</f>
        <v>#N/A</v>
      </c>
      <c r="Q555" s="1211" t="e">
        <f t="shared" ca="1" si="106"/>
        <v>#N/A</v>
      </c>
      <c r="R555" s="1213">
        <f t="shared" si="107"/>
        <v>0</v>
      </c>
      <c r="S555" s="1213">
        <f t="shared" si="108"/>
        <v>0</v>
      </c>
      <c r="T555" s="136">
        <f t="shared" si="110"/>
        <v>0</v>
      </c>
      <c r="U555" s="861">
        <f t="shared" si="111"/>
        <v>0</v>
      </c>
      <c r="V555" s="136" t="e">
        <f ca="1">IF(OR(D555&lt;&gt;"USD",L555="無",M555&lt;&gt;"",K555="高資產",IFERROR(MATCH(B555,換券投組!K:K,0),"N")&lt;&gt;"N",IFERROR(MATCH(B555,換券投組!J:J,0),"N")&lt;&gt;"N"),FALSE,IF($V$1="All",TRUE,IF(K555=$V$1,TRUE,FALSE)))</f>
        <v>#N/A</v>
      </c>
      <c r="W555" s="136" t="e">
        <f ca="1">VLOOKUP(A555,'銀行-TSS'!A:AO,41,FALSE)</f>
        <v>#N/A</v>
      </c>
      <c r="X555" s="136" t="e">
        <f ca="1">VLOOKUP(A555,'銀行-TSS'!A:AP,42,FALSE)</f>
        <v>#N/A</v>
      </c>
      <c r="Y555" s="1223">
        <f t="shared" si="109"/>
        <v>0</v>
      </c>
      <c r="Z555" s="1211">
        <f t="shared" si="112"/>
        <v>0</v>
      </c>
      <c r="AA555" s="136">
        <f>IF(Z555&lt;=0,0,RANK(Z555,Z:Z)+COUNTIF($Z$3:$Z555,Z555)-1)</f>
        <v>0</v>
      </c>
      <c r="AB555" s="1211">
        <f t="shared" ca="1" si="113"/>
        <v>0</v>
      </c>
      <c r="AC555" s="136">
        <f ca="1">IF(AB555&lt;=0,0,RANK(AB555,AB:AB)+COUNTIF($AB$3:$AB555,AB555)-1)</f>
        <v>0</v>
      </c>
      <c r="AD555" s="136">
        <f t="shared" si="114"/>
        <v>99999</v>
      </c>
      <c r="AE555" s="136">
        <f>IF(AD555=99999,0,RANK(AD555,AD:AD,1)+COUNTIF($AD$3:$AD555,AD555)-1)</f>
        <v>0</v>
      </c>
    </row>
    <row r="556" spans="1:31">
      <c r="A556" s="141">
        <f>'銀行-TSS'!A556</f>
        <v>0</v>
      </c>
      <c r="B556" s="151">
        <f ca="1">VLOOKUP(A556,'銀行-TSS'!A:B,2,FALSE)</f>
        <v>0</v>
      </c>
      <c r="C556" s="151" t="e">
        <f ca="1">VLOOKUP(B556,bond!B:C,2,FALSE)</f>
        <v>#N/A</v>
      </c>
      <c r="D556" s="95" t="e">
        <f>VLOOKUP(A556,'銀行-TSS'!A:C,3,FALSE)</f>
        <v>#N/A</v>
      </c>
      <c r="E556" s="90" t="e">
        <f ca="1">VLOOKUP(A556,'銀行-TSS'!A:G,7,FALSE)</f>
        <v>#N/A</v>
      </c>
      <c r="F556" s="202" t="e">
        <f ca="1">VLOOKUP(A556,'銀行-TSS'!A:H,8,FALSE)</f>
        <v>#N/A</v>
      </c>
      <c r="G556" s="96" t="e">
        <f ca="1">VLOOKUP(A556,'銀行-TSS'!A:K,11,FALSE)</f>
        <v>#N/A</v>
      </c>
      <c r="H556" s="1209" t="e">
        <f ca="1">VLOOKUP(A556,'銀行-TSS'!A:M,13,FALSE)</f>
        <v>#N/A</v>
      </c>
      <c r="I556" s="1213" t="e">
        <f ca="1">VLOOKUP(A556,'銀行-TSS'!A:N,14,FALSE)</f>
        <v>#N/A</v>
      </c>
      <c r="J556" s="1213" t="e">
        <f ca="1">VLOOKUP(A556,'銀行-TSS'!A:O,15,FALSE)</f>
        <v>#N/A</v>
      </c>
      <c r="K556" s="136" t="e">
        <f ca="1">VLOOKUP(A556,'銀行-TSS'!A:V,22,FALSE)</f>
        <v>#N/A</v>
      </c>
      <c r="L556" s="136" t="e">
        <f ca="1">VLOOKUP(A556,'銀行-TSS'!A:AK,37,FALSE)</f>
        <v>#N/A</v>
      </c>
      <c r="M556" s="136" t="str">
        <f ca="1">VLOOKUP(A556,'銀行-TSS'!A:AN,40,FALSE)</f>
        <v/>
      </c>
      <c r="N556" s="1211" t="e">
        <f t="shared" ca="1" si="104"/>
        <v>#N/A</v>
      </c>
      <c r="O556" s="1211" t="e">
        <f t="shared" ca="1" si="105"/>
        <v>#N/A</v>
      </c>
      <c r="P556" s="1213" t="e">
        <f ca="1">IF(AND(換券投組!$D$17&gt;=O556,換券投組!$D$13=D556),I556+INT((換券投組!$D$17-O556)/N556)*J556,0)</f>
        <v>#N/A</v>
      </c>
      <c r="Q556" s="1211" t="e">
        <f t="shared" ca="1" si="106"/>
        <v>#N/A</v>
      </c>
      <c r="R556" s="1213">
        <f t="shared" si="107"/>
        <v>0</v>
      </c>
      <c r="S556" s="1213">
        <f t="shared" si="108"/>
        <v>0</v>
      </c>
      <c r="T556" s="136">
        <f t="shared" si="110"/>
        <v>0</v>
      </c>
      <c r="U556" s="861">
        <f t="shared" si="111"/>
        <v>0</v>
      </c>
      <c r="V556" s="136" t="e">
        <f ca="1">IF(OR(D556&lt;&gt;"USD",L556="無",M556&lt;&gt;"",K556="高資產",IFERROR(MATCH(B556,換券投組!K:K,0),"N")&lt;&gt;"N",IFERROR(MATCH(B556,換券投組!J:J,0),"N")&lt;&gt;"N"),FALSE,IF($V$1="All",TRUE,IF(K556=$V$1,TRUE,FALSE)))</f>
        <v>#N/A</v>
      </c>
      <c r="W556" s="136" t="e">
        <f ca="1">VLOOKUP(A556,'銀行-TSS'!A:AO,41,FALSE)</f>
        <v>#N/A</v>
      </c>
      <c r="X556" s="136" t="e">
        <f ca="1">VLOOKUP(A556,'銀行-TSS'!A:AP,42,FALSE)</f>
        <v>#N/A</v>
      </c>
      <c r="Y556" s="1223">
        <f t="shared" si="109"/>
        <v>0</v>
      </c>
      <c r="Z556" s="1211">
        <f t="shared" si="112"/>
        <v>0</v>
      </c>
      <c r="AA556" s="136">
        <f>IF(Z556&lt;=0,0,RANK(Z556,Z:Z)+COUNTIF($Z$3:$Z556,Z556)-1)</f>
        <v>0</v>
      </c>
      <c r="AB556" s="1211">
        <f t="shared" ca="1" si="113"/>
        <v>0</v>
      </c>
      <c r="AC556" s="136">
        <f ca="1">IF(AB556&lt;=0,0,RANK(AB556,AB:AB)+COUNTIF($AB$3:$AB556,AB556)-1)</f>
        <v>0</v>
      </c>
      <c r="AD556" s="136">
        <f t="shared" si="114"/>
        <v>99999</v>
      </c>
      <c r="AE556" s="136">
        <f>IF(AD556=99999,0,RANK(AD556,AD:AD,1)+COUNTIF($AD$3:$AD556,AD556)-1)</f>
        <v>0</v>
      </c>
    </row>
    <row r="557" spans="1:31">
      <c r="A557" s="141">
        <f>'銀行-TSS'!A557</f>
        <v>0</v>
      </c>
      <c r="B557" s="151">
        <f ca="1">VLOOKUP(A557,'銀行-TSS'!A:B,2,FALSE)</f>
        <v>0</v>
      </c>
      <c r="C557" s="151" t="e">
        <f ca="1">VLOOKUP(B557,bond!B:C,2,FALSE)</f>
        <v>#N/A</v>
      </c>
      <c r="D557" s="95" t="e">
        <f>VLOOKUP(A557,'銀行-TSS'!A:C,3,FALSE)</f>
        <v>#N/A</v>
      </c>
      <c r="E557" s="90" t="e">
        <f ca="1">VLOOKUP(A557,'銀行-TSS'!A:G,7,FALSE)</f>
        <v>#N/A</v>
      </c>
      <c r="F557" s="202" t="e">
        <f ca="1">VLOOKUP(A557,'銀行-TSS'!A:H,8,FALSE)</f>
        <v>#N/A</v>
      </c>
      <c r="G557" s="96" t="e">
        <f ca="1">VLOOKUP(A557,'銀行-TSS'!A:K,11,FALSE)</f>
        <v>#N/A</v>
      </c>
      <c r="H557" s="1209" t="e">
        <f ca="1">VLOOKUP(A557,'銀行-TSS'!A:M,13,FALSE)</f>
        <v>#N/A</v>
      </c>
      <c r="I557" s="1213" t="e">
        <f ca="1">VLOOKUP(A557,'銀行-TSS'!A:N,14,FALSE)</f>
        <v>#N/A</v>
      </c>
      <c r="J557" s="1213" t="e">
        <f ca="1">VLOOKUP(A557,'銀行-TSS'!A:O,15,FALSE)</f>
        <v>#N/A</v>
      </c>
      <c r="K557" s="136" t="e">
        <f ca="1">VLOOKUP(A557,'銀行-TSS'!A:V,22,FALSE)</f>
        <v>#N/A</v>
      </c>
      <c r="L557" s="136" t="e">
        <f ca="1">VLOOKUP(A557,'銀行-TSS'!A:AK,37,FALSE)</f>
        <v>#N/A</v>
      </c>
      <c r="M557" s="136" t="str">
        <f ca="1">VLOOKUP(A557,'銀行-TSS'!A:AN,40,FALSE)</f>
        <v/>
      </c>
      <c r="N557" s="1211" t="e">
        <f t="shared" ca="1" si="104"/>
        <v>#N/A</v>
      </c>
      <c r="O557" s="1211" t="e">
        <f t="shared" ca="1" si="105"/>
        <v>#N/A</v>
      </c>
      <c r="P557" s="1213" t="e">
        <f ca="1">IF(AND(換券投組!$D$17&gt;=O557,換券投組!$D$13=D557),I557+INT((換券投組!$D$17-O557)/N557)*J557,0)</f>
        <v>#N/A</v>
      </c>
      <c r="Q557" s="1211" t="e">
        <f t="shared" ca="1" si="106"/>
        <v>#N/A</v>
      </c>
      <c r="R557" s="1213">
        <f t="shared" si="107"/>
        <v>0</v>
      </c>
      <c r="S557" s="1213">
        <f t="shared" si="108"/>
        <v>0</v>
      </c>
      <c r="T557" s="136">
        <f t="shared" si="110"/>
        <v>0</v>
      </c>
      <c r="U557" s="861">
        <f t="shared" si="111"/>
        <v>0</v>
      </c>
      <c r="V557" s="136" t="e">
        <f ca="1">IF(OR(D557&lt;&gt;"USD",L557="無",M557&lt;&gt;"",K557="高資產",IFERROR(MATCH(B557,換券投組!K:K,0),"N")&lt;&gt;"N",IFERROR(MATCH(B557,換券投組!J:J,0),"N")&lt;&gt;"N"),FALSE,IF($V$1="All",TRUE,IF(K557=$V$1,TRUE,FALSE)))</f>
        <v>#N/A</v>
      </c>
      <c r="W557" s="136" t="e">
        <f ca="1">VLOOKUP(A557,'銀行-TSS'!A:AO,41,FALSE)</f>
        <v>#N/A</v>
      </c>
      <c r="X557" s="136" t="e">
        <f ca="1">VLOOKUP(A557,'銀行-TSS'!A:AP,42,FALSE)</f>
        <v>#N/A</v>
      </c>
      <c r="Y557" s="1223">
        <f t="shared" si="109"/>
        <v>0</v>
      </c>
      <c r="Z557" s="1211">
        <f t="shared" si="112"/>
        <v>0</v>
      </c>
      <c r="AA557" s="136">
        <f>IF(Z557&lt;=0,0,RANK(Z557,Z:Z)+COUNTIF($Z$3:$Z557,Z557)-1)</f>
        <v>0</v>
      </c>
      <c r="AB557" s="1211">
        <f t="shared" ca="1" si="113"/>
        <v>0</v>
      </c>
      <c r="AC557" s="136">
        <f ca="1">IF(AB557&lt;=0,0,RANK(AB557,AB:AB)+COUNTIF($AB$3:$AB557,AB557)-1)</f>
        <v>0</v>
      </c>
      <c r="AD557" s="136">
        <f t="shared" si="114"/>
        <v>99999</v>
      </c>
      <c r="AE557" s="136">
        <f>IF(AD557=99999,0,RANK(AD557,AD:AD,1)+COUNTIF($AD$3:$AD557,AD557)-1)</f>
        <v>0</v>
      </c>
    </row>
    <row r="558" spans="1:31">
      <c r="A558" s="141">
        <f>'銀行-TSS'!A558</f>
        <v>0</v>
      </c>
      <c r="B558" s="151">
        <f ca="1">VLOOKUP(A558,'銀行-TSS'!A:B,2,FALSE)</f>
        <v>0</v>
      </c>
      <c r="C558" s="151" t="e">
        <f ca="1">VLOOKUP(B558,bond!B:C,2,FALSE)</f>
        <v>#N/A</v>
      </c>
      <c r="D558" s="95" t="e">
        <f>VLOOKUP(A558,'銀行-TSS'!A:C,3,FALSE)</f>
        <v>#N/A</v>
      </c>
      <c r="E558" s="90" t="e">
        <f ca="1">VLOOKUP(A558,'銀行-TSS'!A:G,7,FALSE)</f>
        <v>#N/A</v>
      </c>
      <c r="F558" s="202" t="e">
        <f ca="1">VLOOKUP(A558,'銀行-TSS'!A:H,8,FALSE)</f>
        <v>#N/A</v>
      </c>
      <c r="G558" s="96" t="e">
        <f ca="1">VLOOKUP(A558,'銀行-TSS'!A:K,11,FALSE)</f>
        <v>#N/A</v>
      </c>
      <c r="H558" s="1209" t="e">
        <f ca="1">VLOOKUP(A558,'銀行-TSS'!A:M,13,FALSE)</f>
        <v>#N/A</v>
      </c>
      <c r="I558" s="1213" t="e">
        <f ca="1">VLOOKUP(A558,'銀行-TSS'!A:N,14,FALSE)</f>
        <v>#N/A</v>
      </c>
      <c r="J558" s="1213" t="e">
        <f ca="1">VLOOKUP(A558,'銀行-TSS'!A:O,15,FALSE)</f>
        <v>#N/A</v>
      </c>
      <c r="K558" s="136" t="e">
        <f ca="1">VLOOKUP(A558,'銀行-TSS'!A:V,22,FALSE)</f>
        <v>#N/A</v>
      </c>
      <c r="L558" s="136" t="e">
        <f ca="1">VLOOKUP(A558,'銀行-TSS'!A:AK,37,FALSE)</f>
        <v>#N/A</v>
      </c>
      <c r="M558" s="136" t="str">
        <f ca="1">VLOOKUP(A558,'銀行-TSS'!A:AN,40,FALSE)</f>
        <v/>
      </c>
      <c r="N558" s="1211" t="e">
        <f t="shared" ca="1" si="104"/>
        <v>#N/A</v>
      </c>
      <c r="O558" s="1211" t="e">
        <f t="shared" ca="1" si="105"/>
        <v>#N/A</v>
      </c>
      <c r="P558" s="1213" t="e">
        <f ca="1">IF(AND(換券投組!$D$17&gt;=O558,換券投組!$D$13=D558),I558+INT((換券投組!$D$17-O558)/N558)*J558,0)</f>
        <v>#N/A</v>
      </c>
      <c r="Q558" s="1211" t="e">
        <f t="shared" ca="1" si="106"/>
        <v>#N/A</v>
      </c>
      <c r="R558" s="1213">
        <f t="shared" si="107"/>
        <v>0</v>
      </c>
      <c r="S558" s="1213">
        <f t="shared" si="108"/>
        <v>0</v>
      </c>
      <c r="T558" s="136">
        <f t="shared" si="110"/>
        <v>0</v>
      </c>
      <c r="U558" s="861">
        <f t="shared" si="111"/>
        <v>0</v>
      </c>
      <c r="V558" s="136" t="e">
        <f ca="1">IF(OR(D558&lt;&gt;"USD",L558="無",M558&lt;&gt;"",K558="高資產",IFERROR(MATCH(B558,換券投組!K:K,0),"N")&lt;&gt;"N",IFERROR(MATCH(B558,換券投組!J:J,0),"N")&lt;&gt;"N"),FALSE,IF($V$1="All",TRUE,IF(K558=$V$1,TRUE,FALSE)))</f>
        <v>#N/A</v>
      </c>
      <c r="W558" s="136" t="e">
        <f ca="1">VLOOKUP(A558,'銀行-TSS'!A:AO,41,FALSE)</f>
        <v>#N/A</v>
      </c>
      <c r="X558" s="136" t="e">
        <f ca="1">VLOOKUP(A558,'銀行-TSS'!A:AP,42,FALSE)</f>
        <v>#N/A</v>
      </c>
      <c r="Y558" s="1223">
        <f t="shared" si="109"/>
        <v>0</v>
      </c>
      <c r="Z558" s="1211">
        <f t="shared" si="112"/>
        <v>0</v>
      </c>
      <c r="AA558" s="136">
        <f>IF(Z558&lt;=0,0,RANK(Z558,Z:Z)+COUNTIF($Z$3:$Z558,Z558)-1)</f>
        <v>0</v>
      </c>
      <c r="AB558" s="1211">
        <f t="shared" ca="1" si="113"/>
        <v>0</v>
      </c>
      <c r="AC558" s="136">
        <f ca="1">IF(AB558&lt;=0,0,RANK(AB558,AB:AB)+COUNTIF($AB$3:$AB558,AB558)-1)</f>
        <v>0</v>
      </c>
      <c r="AD558" s="136">
        <f t="shared" si="114"/>
        <v>99999</v>
      </c>
      <c r="AE558" s="136">
        <f>IF(AD558=99999,0,RANK(AD558,AD:AD,1)+COUNTIF($AD$3:$AD558,AD558)-1)</f>
        <v>0</v>
      </c>
    </row>
    <row r="559" spans="1:31">
      <c r="A559" s="141">
        <f>'銀行-TSS'!A559</f>
        <v>0</v>
      </c>
      <c r="B559" s="151">
        <f ca="1">VLOOKUP(A559,'銀行-TSS'!A:B,2,FALSE)</f>
        <v>0</v>
      </c>
      <c r="C559" s="151" t="e">
        <f ca="1">VLOOKUP(B559,bond!B:C,2,FALSE)</f>
        <v>#N/A</v>
      </c>
      <c r="D559" s="95" t="e">
        <f>VLOOKUP(A559,'銀行-TSS'!A:C,3,FALSE)</f>
        <v>#N/A</v>
      </c>
      <c r="E559" s="90" t="e">
        <f ca="1">VLOOKUP(A559,'銀行-TSS'!A:G,7,FALSE)</f>
        <v>#N/A</v>
      </c>
      <c r="F559" s="202" t="e">
        <f ca="1">VLOOKUP(A559,'銀行-TSS'!A:H,8,FALSE)</f>
        <v>#N/A</v>
      </c>
      <c r="G559" s="96" t="e">
        <f ca="1">VLOOKUP(A559,'銀行-TSS'!A:K,11,FALSE)</f>
        <v>#N/A</v>
      </c>
      <c r="H559" s="1209" t="e">
        <f ca="1">VLOOKUP(A559,'銀行-TSS'!A:M,13,FALSE)</f>
        <v>#N/A</v>
      </c>
      <c r="I559" s="1213" t="e">
        <f ca="1">VLOOKUP(A559,'銀行-TSS'!A:N,14,FALSE)</f>
        <v>#N/A</v>
      </c>
      <c r="J559" s="1213" t="e">
        <f ca="1">VLOOKUP(A559,'銀行-TSS'!A:O,15,FALSE)</f>
        <v>#N/A</v>
      </c>
      <c r="K559" s="136" t="e">
        <f ca="1">VLOOKUP(A559,'銀行-TSS'!A:V,22,FALSE)</f>
        <v>#N/A</v>
      </c>
      <c r="L559" s="136" t="e">
        <f ca="1">VLOOKUP(A559,'銀行-TSS'!A:AK,37,FALSE)</f>
        <v>#N/A</v>
      </c>
      <c r="M559" s="136" t="str">
        <f ca="1">VLOOKUP(A559,'銀行-TSS'!A:AN,40,FALSE)</f>
        <v/>
      </c>
      <c r="N559" s="1211" t="e">
        <f t="shared" ca="1" si="104"/>
        <v>#N/A</v>
      </c>
      <c r="O559" s="1211" t="e">
        <f t="shared" ca="1" si="105"/>
        <v>#N/A</v>
      </c>
      <c r="P559" s="1213" t="e">
        <f ca="1">IF(AND(換券投組!$D$17&gt;=O559,換券投組!$D$13=D559),I559+INT((換券投組!$D$17-O559)/N559)*J559,0)</f>
        <v>#N/A</v>
      </c>
      <c r="Q559" s="1211" t="e">
        <f t="shared" ca="1" si="106"/>
        <v>#N/A</v>
      </c>
      <c r="R559" s="1213">
        <f t="shared" si="107"/>
        <v>0</v>
      </c>
      <c r="S559" s="1213">
        <f t="shared" si="108"/>
        <v>0</v>
      </c>
      <c r="T559" s="136">
        <f t="shared" si="110"/>
        <v>0</v>
      </c>
      <c r="U559" s="861">
        <f t="shared" si="111"/>
        <v>0</v>
      </c>
      <c r="V559" s="136" t="e">
        <f ca="1">IF(OR(D559&lt;&gt;"USD",L559="無",M559&lt;&gt;"",K559="高資產",IFERROR(MATCH(B559,換券投組!K:K,0),"N")&lt;&gt;"N",IFERROR(MATCH(B559,換券投組!J:J,0),"N")&lt;&gt;"N"),FALSE,IF($V$1="All",TRUE,IF(K559=$V$1,TRUE,FALSE)))</f>
        <v>#N/A</v>
      </c>
      <c r="W559" s="136" t="e">
        <f ca="1">VLOOKUP(A559,'銀行-TSS'!A:AO,41,FALSE)</f>
        <v>#N/A</v>
      </c>
      <c r="X559" s="136" t="e">
        <f ca="1">VLOOKUP(A559,'銀行-TSS'!A:AP,42,FALSE)</f>
        <v>#N/A</v>
      </c>
      <c r="Y559" s="1223">
        <f t="shared" si="109"/>
        <v>0</v>
      </c>
      <c r="Z559" s="1211">
        <f t="shared" si="112"/>
        <v>0</v>
      </c>
      <c r="AA559" s="136">
        <f>IF(Z559&lt;=0,0,RANK(Z559,Z:Z)+COUNTIF($Z$3:$Z559,Z559)-1)</f>
        <v>0</v>
      </c>
      <c r="AB559" s="1211">
        <f t="shared" ca="1" si="113"/>
        <v>0</v>
      </c>
      <c r="AC559" s="136">
        <f ca="1">IF(AB559&lt;=0,0,RANK(AB559,AB:AB)+COUNTIF($AB$3:$AB559,AB559)-1)</f>
        <v>0</v>
      </c>
      <c r="AD559" s="136">
        <f t="shared" si="114"/>
        <v>99999</v>
      </c>
      <c r="AE559" s="136">
        <f>IF(AD559=99999,0,RANK(AD559,AD:AD,1)+COUNTIF($AD$3:$AD559,AD559)-1)</f>
        <v>0</v>
      </c>
    </row>
    <row r="560" spans="1:31">
      <c r="A560" s="141">
        <f>'銀行-TSS'!A560</f>
        <v>0</v>
      </c>
      <c r="B560" s="151">
        <f ca="1">VLOOKUP(A560,'銀行-TSS'!A:B,2,FALSE)</f>
        <v>0</v>
      </c>
      <c r="C560" s="151" t="e">
        <f ca="1">VLOOKUP(B560,bond!B:C,2,FALSE)</f>
        <v>#N/A</v>
      </c>
      <c r="D560" s="95" t="e">
        <f>VLOOKUP(A560,'銀行-TSS'!A:C,3,FALSE)</f>
        <v>#N/A</v>
      </c>
      <c r="E560" s="90" t="e">
        <f ca="1">VLOOKUP(A560,'銀行-TSS'!A:G,7,FALSE)</f>
        <v>#N/A</v>
      </c>
      <c r="F560" s="202" t="e">
        <f ca="1">VLOOKUP(A560,'銀行-TSS'!A:H,8,FALSE)</f>
        <v>#N/A</v>
      </c>
      <c r="G560" s="96" t="e">
        <f ca="1">VLOOKUP(A560,'銀行-TSS'!A:K,11,FALSE)</f>
        <v>#N/A</v>
      </c>
      <c r="H560" s="1209" t="e">
        <f ca="1">VLOOKUP(A560,'銀行-TSS'!A:M,13,FALSE)</f>
        <v>#N/A</v>
      </c>
      <c r="I560" s="1213" t="e">
        <f ca="1">VLOOKUP(A560,'銀行-TSS'!A:N,14,FALSE)</f>
        <v>#N/A</v>
      </c>
      <c r="J560" s="1213" t="e">
        <f ca="1">VLOOKUP(A560,'銀行-TSS'!A:O,15,FALSE)</f>
        <v>#N/A</v>
      </c>
      <c r="K560" s="136" t="e">
        <f ca="1">VLOOKUP(A560,'銀行-TSS'!A:V,22,FALSE)</f>
        <v>#N/A</v>
      </c>
      <c r="L560" s="136" t="e">
        <f ca="1">VLOOKUP(A560,'銀行-TSS'!A:AK,37,FALSE)</f>
        <v>#N/A</v>
      </c>
      <c r="M560" s="136" t="str">
        <f ca="1">VLOOKUP(A560,'銀行-TSS'!A:AN,40,FALSE)</f>
        <v/>
      </c>
      <c r="N560" s="1211" t="e">
        <f t="shared" ca="1" si="104"/>
        <v>#N/A</v>
      </c>
      <c r="O560" s="1211" t="e">
        <f t="shared" ca="1" si="105"/>
        <v>#N/A</v>
      </c>
      <c r="P560" s="1213" t="e">
        <f ca="1">IF(AND(換券投組!$D$17&gt;=O560,換券投組!$D$13=D560),I560+INT((換券投組!$D$17-O560)/N560)*J560,0)</f>
        <v>#N/A</v>
      </c>
      <c r="Q560" s="1211" t="e">
        <f t="shared" ca="1" si="106"/>
        <v>#N/A</v>
      </c>
      <c r="R560" s="1213">
        <f t="shared" si="107"/>
        <v>0</v>
      </c>
      <c r="S560" s="1213">
        <f t="shared" si="108"/>
        <v>0</v>
      </c>
      <c r="T560" s="136">
        <f t="shared" si="110"/>
        <v>0</v>
      </c>
      <c r="U560" s="861">
        <f t="shared" si="111"/>
        <v>0</v>
      </c>
      <c r="V560" s="136" t="e">
        <f ca="1">IF(OR(D560&lt;&gt;"USD",L560="無",M560&lt;&gt;"",K560="高資產",IFERROR(MATCH(B560,換券投組!K:K,0),"N")&lt;&gt;"N",IFERROR(MATCH(B560,換券投組!J:J,0),"N")&lt;&gt;"N"),FALSE,IF($V$1="All",TRUE,IF(K560=$V$1,TRUE,FALSE)))</f>
        <v>#N/A</v>
      </c>
      <c r="W560" s="136" t="e">
        <f ca="1">VLOOKUP(A560,'銀行-TSS'!A:AO,41,FALSE)</f>
        <v>#N/A</v>
      </c>
      <c r="X560" s="136" t="e">
        <f ca="1">VLOOKUP(A560,'銀行-TSS'!A:AP,42,FALSE)</f>
        <v>#N/A</v>
      </c>
      <c r="Y560" s="1223">
        <f t="shared" si="109"/>
        <v>0</v>
      </c>
      <c r="Z560" s="1211">
        <f t="shared" si="112"/>
        <v>0</v>
      </c>
      <c r="AA560" s="136">
        <f>IF(Z560&lt;=0,0,RANK(Z560,Z:Z)+COUNTIF($Z$3:$Z560,Z560)-1)</f>
        <v>0</v>
      </c>
      <c r="AB560" s="1211">
        <f t="shared" ca="1" si="113"/>
        <v>0</v>
      </c>
      <c r="AC560" s="136">
        <f ca="1">IF(AB560&lt;=0,0,RANK(AB560,AB:AB)+COUNTIF($AB$3:$AB560,AB560)-1)</f>
        <v>0</v>
      </c>
      <c r="AD560" s="136">
        <f t="shared" si="114"/>
        <v>99999</v>
      </c>
      <c r="AE560" s="136">
        <f>IF(AD560=99999,0,RANK(AD560,AD:AD,1)+COUNTIF($AD$3:$AD560,AD560)-1)</f>
        <v>0</v>
      </c>
    </row>
    <row r="561" spans="1:31">
      <c r="A561" s="141">
        <f>'銀行-TSS'!A561</f>
        <v>0</v>
      </c>
      <c r="B561" s="151">
        <f ca="1">VLOOKUP(A561,'銀行-TSS'!A:B,2,FALSE)</f>
        <v>0</v>
      </c>
      <c r="C561" s="151" t="e">
        <f ca="1">VLOOKUP(B561,bond!B:C,2,FALSE)</f>
        <v>#N/A</v>
      </c>
      <c r="D561" s="95" t="e">
        <f>VLOOKUP(A561,'銀行-TSS'!A:C,3,FALSE)</f>
        <v>#N/A</v>
      </c>
      <c r="E561" s="90" t="e">
        <f ca="1">VLOOKUP(A561,'銀行-TSS'!A:G,7,FALSE)</f>
        <v>#N/A</v>
      </c>
      <c r="F561" s="202" t="e">
        <f ca="1">VLOOKUP(A561,'銀行-TSS'!A:H,8,FALSE)</f>
        <v>#N/A</v>
      </c>
      <c r="G561" s="96" t="e">
        <f ca="1">VLOOKUP(A561,'銀行-TSS'!A:K,11,FALSE)</f>
        <v>#N/A</v>
      </c>
      <c r="H561" s="1209" t="e">
        <f ca="1">VLOOKUP(A561,'銀行-TSS'!A:M,13,FALSE)</f>
        <v>#N/A</v>
      </c>
      <c r="I561" s="1213" t="e">
        <f ca="1">VLOOKUP(A561,'銀行-TSS'!A:N,14,FALSE)</f>
        <v>#N/A</v>
      </c>
      <c r="J561" s="1213" t="e">
        <f ca="1">VLOOKUP(A561,'銀行-TSS'!A:O,15,FALSE)</f>
        <v>#N/A</v>
      </c>
      <c r="K561" s="136" t="e">
        <f ca="1">VLOOKUP(A561,'銀行-TSS'!A:V,22,FALSE)</f>
        <v>#N/A</v>
      </c>
      <c r="L561" s="136" t="e">
        <f ca="1">VLOOKUP(A561,'銀行-TSS'!A:AK,37,FALSE)</f>
        <v>#N/A</v>
      </c>
      <c r="M561" s="136" t="str">
        <f ca="1">VLOOKUP(A561,'銀行-TSS'!A:AN,40,FALSE)</f>
        <v/>
      </c>
      <c r="N561" s="1211" t="e">
        <f t="shared" ca="1" si="104"/>
        <v>#N/A</v>
      </c>
      <c r="O561" s="1211" t="e">
        <f t="shared" ca="1" si="105"/>
        <v>#N/A</v>
      </c>
      <c r="P561" s="1213" t="e">
        <f ca="1">IF(AND(換券投組!$D$17&gt;=O561,換券投組!$D$13=D561),I561+INT((換券投組!$D$17-O561)/N561)*J561,0)</f>
        <v>#N/A</v>
      </c>
      <c r="Q561" s="1211" t="e">
        <f t="shared" ca="1" si="106"/>
        <v>#N/A</v>
      </c>
      <c r="R561" s="1213">
        <f t="shared" si="107"/>
        <v>0</v>
      </c>
      <c r="S561" s="1213">
        <f t="shared" si="108"/>
        <v>0</v>
      </c>
      <c r="T561" s="136">
        <f t="shared" si="110"/>
        <v>0</v>
      </c>
      <c r="U561" s="861">
        <f t="shared" si="111"/>
        <v>0</v>
      </c>
      <c r="V561" s="136" t="e">
        <f ca="1">IF(OR(D561&lt;&gt;"USD",L561="無",M561&lt;&gt;"",K561="高資產",IFERROR(MATCH(B561,換券投組!K:K,0),"N")&lt;&gt;"N",IFERROR(MATCH(B561,換券投組!J:J,0),"N")&lt;&gt;"N"),FALSE,IF($V$1="All",TRUE,IF(K561=$V$1,TRUE,FALSE)))</f>
        <v>#N/A</v>
      </c>
      <c r="W561" s="136" t="e">
        <f ca="1">VLOOKUP(A561,'銀行-TSS'!A:AO,41,FALSE)</f>
        <v>#N/A</v>
      </c>
      <c r="X561" s="136" t="e">
        <f ca="1">VLOOKUP(A561,'銀行-TSS'!A:AP,42,FALSE)</f>
        <v>#N/A</v>
      </c>
      <c r="Y561" s="1223">
        <f t="shared" si="109"/>
        <v>0</v>
      </c>
      <c r="Z561" s="1211">
        <f t="shared" si="112"/>
        <v>0</v>
      </c>
      <c r="AA561" s="136">
        <f>IF(Z561&lt;=0,0,RANK(Z561,Z:Z)+COUNTIF($Z$3:$Z561,Z561)-1)</f>
        <v>0</v>
      </c>
      <c r="AB561" s="1211">
        <f t="shared" ca="1" si="113"/>
        <v>0</v>
      </c>
      <c r="AC561" s="136">
        <f ca="1">IF(AB561&lt;=0,0,RANK(AB561,AB:AB)+COUNTIF($AB$3:$AB561,AB561)-1)</f>
        <v>0</v>
      </c>
      <c r="AD561" s="136">
        <f t="shared" si="114"/>
        <v>99999</v>
      </c>
      <c r="AE561" s="136">
        <f>IF(AD561=99999,0,RANK(AD561,AD:AD,1)+COUNTIF($AD$3:$AD561,AD561)-1)</f>
        <v>0</v>
      </c>
    </row>
    <row r="562" spans="1:31">
      <c r="A562" s="141">
        <f>'銀行-TSS'!A562</f>
        <v>0</v>
      </c>
      <c r="B562" s="151">
        <f ca="1">VLOOKUP(A562,'銀行-TSS'!A:B,2,FALSE)</f>
        <v>0</v>
      </c>
      <c r="C562" s="151" t="e">
        <f ca="1">VLOOKUP(B562,bond!B:C,2,FALSE)</f>
        <v>#N/A</v>
      </c>
      <c r="D562" s="95" t="e">
        <f>VLOOKUP(A562,'銀行-TSS'!A:C,3,FALSE)</f>
        <v>#N/A</v>
      </c>
      <c r="E562" s="90" t="e">
        <f ca="1">VLOOKUP(A562,'銀行-TSS'!A:G,7,FALSE)</f>
        <v>#N/A</v>
      </c>
      <c r="F562" s="202" t="e">
        <f ca="1">VLOOKUP(A562,'銀行-TSS'!A:H,8,FALSE)</f>
        <v>#N/A</v>
      </c>
      <c r="G562" s="96" t="e">
        <f ca="1">VLOOKUP(A562,'銀行-TSS'!A:K,11,FALSE)</f>
        <v>#N/A</v>
      </c>
      <c r="H562" s="1209" t="e">
        <f ca="1">VLOOKUP(A562,'銀行-TSS'!A:M,13,FALSE)</f>
        <v>#N/A</v>
      </c>
      <c r="I562" s="1213" t="e">
        <f ca="1">VLOOKUP(A562,'銀行-TSS'!A:N,14,FALSE)</f>
        <v>#N/A</v>
      </c>
      <c r="J562" s="1213" t="e">
        <f ca="1">VLOOKUP(A562,'銀行-TSS'!A:O,15,FALSE)</f>
        <v>#N/A</v>
      </c>
      <c r="K562" s="136" t="e">
        <f ca="1">VLOOKUP(A562,'銀行-TSS'!A:V,22,FALSE)</f>
        <v>#N/A</v>
      </c>
      <c r="L562" s="136" t="e">
        <f ca="1">VLOOKUP(A562,'銀行-TSS'!A:AK,37,FALSE)</f>
        <v>#N/A</v>
      </c>
      <c r="M562" s="136" t="str">
        <f ca="1">VLOOKUP(A562,'銀行-TSS'!A:AN,40,FALSE)</f>
        <v/>
      </c>
      <c r="N562" s="1211" t="e">
        <f t="shared" ca="1" si="104"/>
        <v>#N/A</v>
      </c>
      <c r="O562" s="1211" t="e">
        <f t="shared" ca="1" si="105"/>
        <v>#N/A</v>
      </c>
      <c r="P562" s="1213" t="e">
        <f ca="1">IF(AND(換券投組!$D$17&gt;=O562,換券投組!$D$13=D562),I562+INT((換券投組!$D$17-O562)/N562)*J562,0)</f>
        <v>#N/A</v>
      </c>
      <c r="Q562" s="1211" t="e">
        <f t="shared" ca="1" si="106"/>
        <v>#N/A</v>
      </c>
      <c r="R562" s="1213">
        <f t="shared" si="107"/>
        <v>0</v>
      </c>
      <c r="S562" s="1213">
        <f t="shared" si="108"/>
        <v>0</v>
      </c>
      <c r="T562" s="136">
        <f t="shared" si="110"/>
        <v>0</v>
      </c>
      <c r="U562" s="861">
        <f t="shared" si="111"/>
        <v>0</v>
      </c>
      <c r="V562" s="136" t="e">
        <f ca="1">IF(OR(D562&lt;&gt;"USD",L562="無",M562&lt;&gt;"",K562="高資產",IFERROR(MATCH(B562,換券投組!K:K,0),"N")&lt;&gt;"N",IFERROR(MATCH(B562,換券投組!J:J,0),"N")&lt;&gt;"N"),FALSE,IF($V$1="All",TRUE,IF(K562=$V$1,TRUE,FALSE)))</f>
        <v>#N/A</v>
      </c>
      <c r="W562" s="136" t="e">
        <f ca="1">VLOOKUP(A562,'銀行-TSS'!A:AO,41,FALSE)</f>
        <v>#N/A</v>
      </c>
      <c r="X562" s="136" t="e">
        <f ca="1">VLOOKUP(A562,'銀行-TSS'!A:AP,42,FALSE)</f>
        <v>#N/A</v>
      </c>
      <c r="Y562" s="1223">
        <f t="shared" si="109"/>
        <v>0</v>
      </c>
      <c r="Z562" s="1211">
        <f t="shared" si="112"/>
        <v>0</v>
      </c>
      <c r="AA562" s="136">
        <f>IF(Z562&lt;=0,0,RANK(Z562,Z:Z)+COUNTIF($Z$3:$Z562,Z562)-1)</f>
        <v>0</v>
      </c>
      <c r="AB562" s="1211">
        <f t="shared" ca="1" si="113"/>
        <v>0</v>
      </c>
      <c r="AC562" s="136">
        <f ca="1">IF(AB562&lt;=0,0,RANK(AB562,AB:AB)+COUNTIF($AB$3:$AB562,AB562)-1)</f>
        <v>0</v>
      </c>
      <c r="AD562" s="136">
        <f t="shared" si="114"/>
        <v>99999</v>
      </c>
      <c r="AE562" s="136">
        <f>IF(AD562=99999,0,RANK(AD562,AD:AD,1)+COUNTIF($AD$3:$AD562,AD562)-1)</f>
        <v>0</v>
      </c>
    </row>
    <row r="563" spans="1:31">
      <c r="A563" s="141">
        <f>'銀行-TSS'!A563</f>
        <v>0</v>
      </c>
      <c r="B563" s="151">
        <f ca="1">VLOOKUP(A563,'銀行-TSS'!A:B,2,FALSE)</f>
        <v>0</v>
      </c>
      <c r="C563" s="151" t="e">
        <f ca="1">VLOOKUP(B563,bond!B:C,2,FALSE)</f>
        <v>#N/A</v>
      </c>
      <c r="D563" s="95" t="e">
        <f>VLOOKUP(A563,'銀行-TSS'!A:C,3,FALSE)</f>
        <v>#N/A</v>
      </c>
      <c r="E563" s="90" t="e">
        <f ca="1">VLOOKUP(A563,'銀行-TSS'!A:G,7,FALSE)</f>
        <v>#N/A</v>
      </c>
      <c r="F563" s="202" t="e">
        <f ca="1">VLOOKUP(A563,'銀行-TSS'!A:H,8,FALSE)</f>
        <v>#N/A</v>
      </c>
      <c r="G563" s="96" t="e">
        <f ca="1">VLOOKUP(A563,'銀行-TSS'!A:K,11,FALSE)</f>
        <v>#N/A</v>
      </c>
      <c r="H563" s="1209" t="e">
        <f ca="1">VLOOKUP(A563,'銀行-TSS'!A:M,13,FALSE)</f>
        <v>#N/A</v>
      </c>
      <c r="I563" s="1213" t="e">
        <f ca="1">VLOOKUP(A563,'銀行-TSS'!A:N,14,FALSE)</f>
        <v>#N/A</v>
      </c>
      <c r="J563" s="1213" t="e">
        <f ca="1">VLOOKUP(A563,'銀行-TSS'!A:O,15,FALSE)</f>
        <v>#N/A</v>
      </c>
      <c r="K563" s="136" t="e">
        <f ca="1">VLOOKUP(A563,'銀行-TSS'!A:V,22,FALSE)</f>
        <v>#N/A</v>
      </c>
      <c r="L563" s="136" t="e">
        <f ca="1">VLOOKUP(A563,'銀行-TSS'!A:AK,37,FALSE)</f>
        <v>#N/A</v>
      </c>
      <c r="M563" s="136" t="str">
        <f ca="1">VLOOKUP(A563,'銀行-TSS'!A:AN,40,FALSE)</f>
        <v/>
      </c>
      <c r="N563" s="1211" t="e">
        <f t="shared" ca="1" si="104"/>
        <v>#N/A</v>
      </c>
      <c r="O563" s="1211" t="e">
        <f t="shared" ca="1" si="105"/>
        <v>#N/A</v>
      </c>
      <c r="P563" s="1213" t="e">
        <f ca="1">IF(AND(換券投組!$D$17&gt;=O563,換券投組!$D$13=D563),I563+INT((換券投組!$D$17-O563)/N563)*J563,0)</f>
        <v>#N/A</v>
      </c>
      <c r="Q563" s="1211" t="e">
        <f t="shared" ca="1" si="106"/>
        <v>#N/A</v>
      </c>
      <c r="R563" s="1213">
        <f t="shared" si="107"/>
        <v>0</v>
      </c>
      <c r="S563" s="1213">
        <f t="shared" si="108"/>
        <v>0</v>
      </c>
      <c r="T563" s="136">
        <f t="shared" si="110"/>
        <v>0</v>
      </c>
      <c r="U563" s="861">
        <f t="shared" si="111"/>
        <v>0</v>
      </c>
      <c r="V563" s="136" t="e">
        <f ca="1">IF(OR(D563&lt;&gt;"USD",L563="無",M563&lt;&gt;"",K563="高資產",IFERROR(MATCH(B563,換券投組!K:K,0),"N")&lt;&gt;"N",IFERROR(MATCH(B563,換券投組!J:J,0),"N")&lt;&gt;"N"),FALSE,IF($V$1="All",TRUE,IF(K563=$V$1,TRUE,FALSE)))</f>
        <v>#N/A</v>
      </c>
      <c r="W563" s="136" t="e">
        <f ca="1">VLOOKUP(A563,'銀行-TSS'!A:AO,41,FALSE)</f>
        <v>#N/A</v>
      </c>
      <c r="X563" s="136" t="e">
        <f ca="1">VLOOKUP(A563,'銀行-TSS'!A:AP,42,FALSE)</f>
        <v>#N/A</v>
      </c>
      <c r="Y563" s="1223">
        <f t="shared" si="109"/>
        <v>0</v>
      </c>
      <c r="Z563" s="1211">
        <f t="shared" si="112"/>
        <v>0</v>
      </c>
      <c r="AA563" s="136">
        <f>IF(Z563&lt;=0,0,RANK(Z563,Z:Z)+COUNTIF($Z$3:$Z563,Z563)-1)</f>
        <v>0</v>
      </c>
      <c r="AB563" s="1211">
        <f t="shared" ca="1" si="113"/>
        <v>0</v>
      </c>
      <c r="AC563" s="136">
        <f ca="1">IF(AB563&lt;=0,0,RANK(AB563,AB:AB)+COUNTIF($AB$3:$AB563,AB563)-1)</f>
        <v>0</v>
      </c>
      <c r="AD563" s="136">
        <f t="shared" si="114"/>
        <v>99999</v>
      </c>
      <c r="AE563" s="136">
        <f>IF(AD563=99999,0,RANK(AD563,AD:AD,1)+COUNTIF($AD$3:$AD563,AD563)-1)</f>
        <v>0</v>
      </c>
    </row>
    <row r="564" spans="1:31">
      <c r="A564" s="141">
        <f>'銀行-TSS'!A564</f>
        <v>0</v>
      </c>
      <c r="B564" s="151">
        <f ca="1">VLOOKUP(A564,'銀行-TSS'!A:B,2,FALSE)</f>
        <v>0</v>
      </c>
      <c r="C564" s="151" t="e">
        <f ca="1">VLOOKUP(B564,bond!B:C,2,FALSE)</f>
        <v>#N/A</v>
      </c>
      <c r="D564" s="95" t="e">
        <f>VLOOKUP(A564,'銀行-TSS'!A:C,3,FALSE)</f>
        <v>#N/A</v>
      </c>
      <c r="E564" s="90" t="e">
        <f ca="1">VLOOKUP(A564,'銀行-TSS'!A:G,7,FALSE)</f>
        <v>#N/A</v>
      </c>
      <c r="F564" s="202" t="e">
        <f ca="1">VLOOKUP(A564,'銀行-TSS'!A:H,8,FALSE)</f>
        <v>#N/A</v>
      </c>
      <c r="G564" s="96" t="e">
        <f ca="1">VLOOKUP(A564,'銀行-TSS'!A:K,11,FALSE)</f>
        <v>#N/A</v>
      </c>
      <c r="H564" s="1209" t="e">
        <f ca="1">VLOOKUP(A564,'銀行-TSS'!A:M,13,FALSE)</f>
        <v>#N/A</v>
      </c>
      <c r="I564" s="1213" t="e">
        <f ca="1">VLOOKUP(A564,'銀行-TSS'!A:N,14,FALSE)</f>
        <v>#N/A</v>
      </c>
      <c r="J564" s="1213" t="e">
        <f ca="1">VLOOKUP(A564,'銀行-TSS'!A:O,15,FALSE)</f>
        <v>#N/A</v>
      </c>
      <c r="K564" s="136" t="e">
        <f ca="1">VLOOKUP(A564,'銀行-TSS'!A:V,22,FALSE)</f>
        <v>#N/A</v>
      </c>
      <c r="L564" s="136" t="e">
        <f ca="1">VLOOKUP(A564,'銀行-TSS'!A:AK,37,FALSE)</f>
        <v>#N/A</v>
      </c>
      <c r="M564" s="136" t="str">
        <f ca="1">VLOOKUP(A564,'銀行-TSS'!A:AN,40,FALSE)</f>
        <v/>
      </c>
      <c r="N564" s="1211" t="e">
        <f t="shared" ca="1" si="104"/>
        <v>#N/A</v>
      </c>
      <c r="O564" s="1211" t="e">
        <f t="shared" ca="1" si="105"/>
        <v>#N/A</v>
      </c>
      <c r="P564" s="1213" t="e">
        <f ca="1">IF(AND(換券投組!$D$17&gt;=O564,換券投組!$D$13=D564),I564+INT((換券投組!$D$17-O564)/N564)*J564,0)</f>
        <v>#N/A</v>
      </c>
      <c r="Q564" s="1211" t="e">
        <f t="shared" ca="1" si="106"/>
        <v>#N/A</v>
      </c>
      <c r="R564" s="1213">
        <f t="shared" si="107"/>
        <v>0</v>
      </c>
      <c r="S564" s="1213">
        <f t="shared" si="108"/>
        <v>0</v>
      </c>
      <c r="T564" s="136">
        <f t="shared" si="110"/>
        <v>0</v>
      </c>
      <c r="U564" s="861">
        <f t="shared" si="111"/>
        <v>0</v>
      </c>
      <c r="V564" s="136" t="e">
        <f ca="1">IF(OR(D564&lt;&gt;"USD",L564="無",M564&lt;&gt;"",K564="高資產",IFERROR(MATCH(B564,換券投組!K:K,0),"N")&lt;&gt;"N",IFERROR(MATCH(B564,換券投組!J:J,0),"N")&lt;&gt;"N"),FALSE,IF($V$1="All",TRUE,IF(K564=$V$1,TRUE,FALSE)))</f>
        <v>#N/A</v>
      </c>
      <c r="W564" s="136" t="e">
        <f ca="1">VLOOKUP(A564,'銀行-TSS'!A:AO,41,FALSE)</f>
        <v>#N/A</v>
      </c>
      <c r="X564" s="136" t="e">
        <f ca="1">VLOOKUP(A564,'銀行-TSS'!A:AP,42,FALSE)</f>
        <v>#N/A</v>
      </c>
      <c r="Y564" s="1223">
        <f t="shared" si="109"/>
        <v>0</v>
      </c>
      <c r="Z564" s="1211">
        <f t="shared" si="112"/>
        <v>0</v>
      </c>
      <c r="AA564" s="136">
        <f>IF(Z564&lt;=0,0,RANK(Z564,Z:Z)+COUNTIF($Z$3:$Z564,Z564)-1)</f>
        <v>0</v>
      </c>
      <c r="AB564" s="1211">
        <f t="shared" ca="1" si="113"/>
        <v>0</v>
      </c>
      <c r="AC564" s="136">
        <f ca="1">IF(AB564&lt;=0,0,RANK(AB564,AB:AB)+COUNTIF($AB$3:$AB564,AB564)-1)</f>
        <v>0</v>
      </c>
      <c r="AD564" s="136">
        <f t="shared" si="114"/>
        <v>99999</v>
      </c>
      <c r="AE564" s="136">
        <f>IF(AD564=99999,0,RANK(AD564,AD:AD,1)+COUNTIF($AD$3:$AD564,AD564)-1)</f>
        <v>0</v>
      </c>
    </row>
    <row r="565" spans="1:31">
      <c r="A565" s="141">
        <f>'銀行-TSS'!A565</f>
        <v>0</v>
      </c>
      <c r="B565" s="151">
        <f ca="1">VLOOKUP(A565,'銀行-TSS'!A:B,2,FALSE)</f>
        <v>0</v>
      </c>
      <c r="C565" s="151" t="e">
        <f ca="1">VLOOKUP(B565,bond!B:C,2,FALSE)</f>
        <v>#N/A</v>
      </c>
      <c r="D565" s="95" t="e">
        <f>VLOOKUP(A565,'銀行-TSS'!A:C,3,FALSE)</f>
        <v>#N/A</v>
      </c>
      <c r="E565" s="90" t="e">
        <f ca="1">VLOOKUP(A565,'銀行-TSS'!A:G,7,FALSE)</f>
        <v>#N/A</v>
      </c>
      <c r="F565" s="202" t="e">
        <f ca="1">VLOOKUP(A565,'銀行-TSS'!A:H,8,FALSE)</f>
        <v>#N/A</v>
      </c>
      <c r="G565" s="96" t="e">
        <f ca="1">VLOOKUP(A565,'銀行-TSS'!A:K,11,FALSE)</f>
        <v>#N/A</v>
      </c>
      <c r="H565" s="1209" t="e">
        <f ca="1">VLOOKUP(A565,'銀行-TSS'!A:M,13,FALSE)</f>
        <v>#N/A</v>
      </c>
      <c r="I565" s="1213" t="e">
        <f ca="1">VLOOKUP(A565,'銀行-TSS'!A:N,14,FALSE)</f>
        <v>#N/A</v>
      </c>
      <c r="J565" s="1213" t="e">
        <f ca="1">VLOOKUP(A565,'銀行-TSS'!A:O,15,FALSE)</f>
        <v>#N/A</v>
      </c>
      <c r="K565" s="136" t="e">
        <f ca="1">VLOOKUP(A565,'銀行-TSS'!A:V,22,FALSE)</f>
        <v>#N/A</v>
      </c>
      <c r="L565" s="136" t="e">
        <f ca="1">VLOOKUP(A565,'銀行-TSS'!A:AK,37,FALSE)</f>
        <v>#N/A</v>
      </c>
      <c r="M565" s="136" t="str">
        <f ca="1">VLOOKUP(A565,'銀行-TSS'!A:AN,40,FALSE)</f>
        <v/>
      </c>
      <c r="N565" s="1211" t="e">
        <f t="shared" ca="1" si="104"/>
        <v>#N/A</v>
      </c>
      <c r="O565" s="1211" t="e">
        <f t="shared" ca="1" si="105"/>
        <v>#N/A</v>
      </c>
      <c r="P565" s="1213" t="e">
        <f ca="1">IF(AND(換券投組!$D$17&gt;=O565,換券投組!$D$13=D565),I565+INT((換券投組!$D$17-O565)/N565)*J565,0)</f>
        <v>#N/A</v>
      </c>
      <c r="Q565" s="1211" t="e">
        <f t="shared" ca="1" si="106"/>
        <v>#N/A</v>
      </c>
      <c r="R565" s="1213">
        <f t="shared" si="107"/>
        <v>0</v>
      </c>
      <c r="S565" s="1213">
        <f t="shared" si="108"/>
        <v>0</v>
      </c>
      <c r="T565" s="136">
        <f t="shared" si="110"/>
        <v>0</v>
      </c>
      <c r="U565" s="861">
        <f t="shared" si="111"/>
        <v>0</v>
      </c>
      <c r="V565" s="136" t="e">
        <f ca="1">IF(OR(D565&lt;&gt;"USD",L565="無",M565&lt;&gt;"",K565="高資產",IFERROR(MATCH(B565,換券投組!K:K,0),"N")&lt;&gt;"N",IFERROR(MATCH(B565,換券投組!J:J,0),"N")&lt;&gt;"N"),FALSE,IF($V$1="All",TRUE,IF(K565=$V$1,TRUE,FALSE)))</f>
        <v>#N/A</v>
      </c>
      <c r="W565" s="136" t="e">
        <f ca="1">VLOOKUP(A565,'銀行-TSS'!A:AO,41,FALSE)</f>
        <v>#N/A</v>
      </c>
      <c r="X565" s="136" t="e">
        <f ca="1">VLOOKUP(A565,'銀行-TSS'!A:AP,42,FALSE)</f>
        <v>#N/A</v>
      </c>
      <c r="Y565" s="1223">
        <f t="shared" si="109"/>
        <v>0</v>
      </c>
      <c r="Z565" s="1211">
        <f t="shared" si="112"/>
        <v>0</v>
      </c>
      <c r="AA565" s="136">
        <f>IF(Z565&lt;=0,0,RANK(Z565,Z:Z)+COUNTIF($Z$3:$Z565,Z565)-1)</f>
        <v>0</v>
      </c>
      <c r="AB565" s="1211">
        <f t="shared" ca="1" si="113"/>
        <v>0</v>
      </c>
      <c r="AC565" s="136">
        <f ca="1">IF(AB565&lt;=0,0,RANK(AB565,AB:AB)+COUNTIF($AB$3:$AB565,AB565)-1)</f>
        <v>0</v>
      </c>
      <c r="AD565" s="136">
        <f t="shared" si="114"/>
        <v>99999</v>
      </c>
      <c r="AE565" s="136">
        <f>IF(AD565=99999,0,RANK(AD565,AD:AD,1)+COUNTIF($AD$3:$AD565,AD565)-1)</f>
        <v>0</v>
      </c>
    </row>
    <row r="566" spans="1:31">
      <c r="A566" s="141">
        <f>'銀行-TSS'!A566</f>
        <v>0</v>
      </c>
      <c r="B566" s="151">
        <f ca="1">VLOOKUP(A566,'銀行-TSS'!A:B,2,FALSE)</f>
        <v>0</v>
      </c>
      <c r="C566" s="151" t="e">
        <f ca="1">VLOOKUP(B566,bond!B:C,2,FALSE)</f>
        <v>#N/A</v>
      </c>
      <c r="D566" s="95" t="e">
        <f>VLOOKUP(A566,'銀行-TSS'!A:C,3,FALSE)</f>
        <v>#N/A</v>
      </c>
      <c r="E566" s="90" t="e">
        <f ca="1">VLOOKUP(A566,'銀行-TSS'!A:G,7,FALSE)</f>
        <v>#N/A</v>
      </c>
      <c r="F566" s="202" t="e">
        <f ca="1">VLOOKUP(A566,'銀行-TSS'!A:H,8,FALSE)</f>
        <v>#N/A</v>
      </c>
      <c r="G566" s="96" t="e">
        <f ca="1">VLOOKUP(A566,'銀行-TSS'!A:K,11,FALSE)</f>
        <v>#N/A</v>
      </c>
      <c r="H566" s="1209" t="e">
        <f ca="1">VLOOKUP(A566,'銀行-TSS'!A:M,13,FALSE)</f>
        <v>#N/A</v>
      </c>
      <c r="I566" s="1213" t="e">
        <f ca="1">VLOOKUP(A566,'銀行-TSS'!A:N,14,FALSE)</f>
        <v>#N/A</v>
      </c>
      <c r="J566" s="1213" t="e">
        <f ca="1">VLOOKUP(A566,'銀行-TSS'!A:O,15,FALSE)</f>
        <v>#N/A</v>
      </c>
      <c r="K566" s="136" t="e">
        <f ca="1">VLOOKUP(A566,'銀行-TSS'!A:V,22,FALSE)</f>
        <v>#N/A</v>
      </c>
      <c r="L566" s="136" t="e">
        <f ca="1">VLOOKUP(A566,'銀行-TSS'!A:AK,37,FALSE)</f>
        <v>#N/A</v>
      </c>
      <c r="M566" s="136" t="str">
        <f ca="1">VLOOKUP(A566,'銀行-TSS'!A:AN,40,FALSE)</f>
        <v/>
      </c>
      <c r="N566" s="1211" t="e">
        <f t="shared" ca="1" si="104"/>
        <v>#N/A</v>
      </c>
      <c r="O566" s="1211" t="e">
        <f t="shared" ca="1" si="105"/>
        <v>#N/A</v>
      </c>
      <c r="P566" s="1213" t="e">
        <f ca="1">IF(AND(換券投組!$D$17&gt;=O566,換券投組!$D$13=D566),I566+INT((換券投組!$D$17-O566)/N566)*J566,0)</f>
        <v>#N/A</v>
      </c>
      <c r="Q566" s="1211" t="e">
        <f t="shared" ca="1" si="106"/>
        <v>#N/A</v>
      </c>
      <c r="R566" s="1213">
        <f t="shared" si="107"/>
        <v>0</v>
      </c>
      <c r="S566" s="1213">
        <f t="shared" si="108"/>
        <v>0</v>
      </c>
      <c r="T566" s="136">
        <f t="shared" si="110"/>
        <v>0</v>
      </c>
      <c r="U566" s="861">
        <f t="shared" si="111"/>
        <v>0</v>
      </c>
      <c r="V566" s="136" t="e">
        <f ca="1">IF(OR(D566&lt;&gt;"USD",L566="無",M566&lt;&gt;"",K566="高資產",IFERROR(MATCH(B566,換券投組!K:K,0),"N")&lt;&gt;"N",IFERROR(MATCH(B566,換券投組!J:J,0),"N")&lt;&gt;"N"),FALSE,IF($V$1="All",TRUE,IF(K566=$V$1,TRUE,FALSE)))</f>
        <v>#N/A</v>
      </c>
      <c r="W566" s="136" t="e">
        <f ca="1">VLOOKUP(A566,'銀行-TSS'!A:AO,41,FALSE)</f>
        <v>#N/A</v>
      </c>
      <c r="X566" s="136" t="e">
        <f ca="1">VLOOKUP(A566,'銀行-TSS'!A:AP,42,FALSE)</f>
        <v>#N/A</v>
      </c>
      <c r="Y566" s="1223">
        <f t="shared" si="109"/>
        <v>0</v>
      </c>
      <c r="Z566" s="1211">
        <f t="shared" si="112"/>
        <v>0</v>
      </c>
      <c r="AA566" s="136">
        <f>IF(Z566&lt;=0,0,RANK(Z566,Z:Z)+COUNTIF($Z$3:$Z566,Z566)-1)</f>
        <v>0</v>
      </c>
      <c r="AB566" s="1211">
        <f t="shared" ca="1" si="113"/>
        <v>0</v>
      </c>
      <c r="AC566" s="136">
        <f ca="1">IF(AB566&lt;=0,0,RANK(AB566,AB:AB)+COUNTIF($AB$3:$AB566,AB566)-1)</f>
        <v>0</v>
      </c>
      <c r="AD566" s="136">
        <f t="shared" si="114"/>
        <v>99999</v>
      </c>
      <c r="AE566" s="136">
        <f>IF(AD566=99999,0,RANK(AD566,AD:AD,1)+COUNTIF($AD$3:$AD566,AD566)-1)</f>
        <v>0</v>
      </c>
    </row>
    <row r="567" spans="1:31">
      <c r="A567" s="141">
        <f>'銀行-TSS'!A567</f>
        <v>0</v>
      </c>
      <c r="B567" s="151">
        <f ca="1">VLOOKUP(A567,'銀行-TSS'!A:B,2,FALSE)</f>
        <v>0</v>
      </c>
      <c r="C567" s="151" t="e">
        <f ca="1">VLOOKUP(B567,bond!B:C,2,FALSE)</f>
        <v>#N/A</v>
      </c>
      <c r="D567" s="95" t="e">
        <f>VLOOKUP(A567,'銀行-TSS'!A:C,3,FALSE)</f>
        <v>#N/A</v>
      </c>
      <c r="E567" s="90" t="e">
        <f ca="1">VLOOKUP(A567,'銀行-TSS'!A:G,7,FALSE)</f>
        <v>#N/A</v>
      </c>
      <c r="F567" s="202" t="e">
        <f ca="1">VLOOKUP(A567,'銀行-TSS'!A:H,8,FALSE)</f>
        <v>#N/A</v>
      </c>
      <c r="G567" s="96" t="e">
        <f ca="1">VLOOKUP(A567,'銀行-TSS'!A:K,11,FALSE)</f>
        <v>#N/A</v>
      </c>
      <c r="H567" s="1209" t="e">
        <f ca="1">VLOOKUP(A567,'銀行-TSS'!A:M,13,FALSE)</f>
        <v>#N/A</v>
      </c>
      <c r="I567" s="1213" t="e">
        <f ca="1">VLOOKUP(A567,'銀行-TSS'!A:N,14,FALSE)</f>
        <v>#N/A</v>
      </c>
      <c r="J567" s="1213" t="e">
        <f ca="1">VLOOKUP(A567,'銀行-TSS'!A:O,15,FALSE)</f>
        <v>#N/A</v>
      </c>
      <c r="K567" s="136" t="e">
        <f ca="1">VLOOKUP(A567,'銀行-TSS'!A:V,22,FALSE)</f>
        <v>#N/A</v>
      </c>
      <c r="L567" s="136" t="e">
        <f ca="1">VLOOKUP(A567,'銀行-TSS'!A:AK,37,FALSE)</f>
        <v>#N/A</v>
      </c>
      <c r="M567" s="136" t="str">
        <f ca="1">VLOOKUP(A567,'銀行-TSS'!A:AN,40,FALSE)</f>
        <v/>
      </c>
      <c r="N567" s="1211" t="e">
        <f t="shared" ca="1" si="104"/>
        <v>#N/A</v>
      </c>
      <c r="O567" s="1211" t="e">
        <f t="shared" ca="1" si="105"/>
        <v>#N/A</v>
      </c>
      <c r="P567" s="1213" t="e">
        <f ca="1">IF(AND(換券投組!$D$17&gt;=O567,換券投組!$D$13=D567),I567+INT((換券投組!$D$17-O567)/N567)*J567,0)</f>
        <v>#N/A</v>
      </c>
      <c r="Q567" s="1211" t="e">
        <f t="shared" ca="1" si="106"/>
        <v>#N/A</v>
      </c>
      <c r="R567" s="1213">
        <f t="shared" si="107"/>
        <v>0</v>
      </c>
      <c r="S567" s="1213">
        <f t="shared" si="108"/>
        <v>0</v>
      </c>
      <c r="T567" s="136">
        <f t="shared" si="110"/>
        <v>0</v>
      </c>
      <c r="U567" s="861">
        <f t="shared" si="111"/>
        <v>0</v>
      </c>
      <c r="V567" s="136" t="e">
        <f ca="1">IF(OR(D567&lt;&gt;"USD",L567="無",M567&lt;&gt;"",K567="高資產",IFERROR(MATCH(B567,換券投組!K:K,0),"N")&lt;&gt;"N",IFERROR(MATCH(B567,換券投組!J:J,0),"N")&lt;&gt;"N"),FALSE,IF($V$1="All",TRUE,IF(K567=$V$1,TRUE,FALSE)))</f>
        <v>#N/A</v>
      </c>
      <c r="W567" s="136" t="e">
        <f ca="1">VLOOKUP(A567,'銀行-TSS'!A:AO,41,FALSE)</f>
        <v>#N/A</v>
      </c>
      <c r="X567" s="136" t="e">
        <f ca="1">VLOOKUP(A567,'銀行-TSS'!A:AP,42,FALSE)</f>
        <v>#N/A</v>
      </c>
      <c r="Y567" s="1223">
        <f t="shared" si="109"/>
        <v>0</v>
      </c>
      <c r="Z567" s="1211">
        <f t="shared" si="112"/>
        <v>0</v>
      </c>
      <c r="AA567" s="136">
        <f>IF(Z567&lt;=0,0,RANK(Z567,Z:Z)+COUNTIF($Z$3:$Z567,Z567)-1)</f>
        <v>0</v>
      </c>
      <c r="AB567" s="1211">
        <f t="shared" ca="1" si="113"/>
        <v>0</v>
      </c>
      <c r="AC567" s="136">
        <f ca="1">IF(AB567&lt;=0,0,RANK(AB567,AB:AB)+COUNTIF($AB$3:$AB567,AB567)-1)</f>
        <v>0</v>
      </c>
      <c r="AD567" s="136">
        <f t="shared" si="114"/>
        <v>99999</v>
      </c>
      <c r="AE567" s="136">
        <f>IF(AD567=99999,0,RANK(AD567,AD:AD,1)+COUNTIF($AD$3:$AD567,AD567)-1)</f>
        <v>0</v>
      </c>
    </row>
    <row r="568" spans="1:31">
      <c r="A568" s="141">
        <f>'銀行-TSS'!A568</f>
        <v>0</v>
      </c>
      <c r="B568" s="151">
        <f ca="1">VLOOKUP(A568,'銀行-TSS'!A:B,2,FALSE)</f>
        <v>0</v>
      </c>
      <c r="C568" s="151" t="e">
        <f ca="1">VLOOKUP(B568,bond!B:C,2,FALSE)</f>
        <v>#N/A</v>
      </c>
      <c r="D568" s="95" t="e">
        <f>VLOOKUP(A568,'銀行-TSS'!A:C,3,FALSE)</f>
        <v>#N/A</v>
      </c>
      <c r="E568" s="90" t="e">
        <f ca="1">VLOOKUP(A568,'銀行-TSS'!A:G,7,FALSE)</f>
        <v>#N/A</v>
      </c>
      <c r="F568" s="202" t="e">
        <f ca="1">VLOOKUP(A568,'銀行-TSS'!A:H,8,FALSE)</f>
        <v>#N/A</v>
      </c>
      <c r="G568" s="96" t="e">
        <f ca="1">VLOOKUP(A568,'銀行-TSS'!A:K,11,FALSE)</f>
        <v>#N/A</v>
      </c>
      <c r="H568" s="1209" t="e">
        <f ca="1">VLOOKUP(A568,'銀行-TSS'!A:M,13,FALSE)</f>
        <v>#N/A</v>
      </c>
      <c r="I568" s="1213" t="e">
        <f ca="1">VLOOKUP(A568,'銀行-TSS'!A:N,14,FALSE)</f>
        <v>#N/A</v>
      </c>
      <c r="J568" s="1213" t="e">
        <f ca="1">VLOOKUP(A568,'銀行-TSS'!A:O,15,FALSE)</f>
        <v>#N/A</v>
      </c>
      <c r="K568" s="136" t="e">
        <f ca="1">VLOOKUP(A568,'銀行-TSS'!A:V,22,FALSE)</f>
        <v>#N/A</v>
      </c>
      <c r="L568" s="136" t="e">
        <f ca="1">VLOOKUP(A568,'銀行-TSS'!A:AK,37,FALSE)</f>
        <v>#N/A</v>
      </c>
      <c r="M568" s="136" t="str">
        <f ca="1">VLOOKUP(A568,'銀行-TSS'!A:AN,40,FALSE)</f>
        <v/>
      </c>
      <c r="N568" s="1211" t="e">
        <f t="shared" ca="1" si="104"/>
        <v>#N/A</v>
      </c>
      <c r="O568" s="1211" t="e">
        <f t="shared" ca="1" si="105"/>
        <v>#N/A</v>
      </c>
      <c r="P568" s="1213" t="e">
        <f ca="1">IF(AND(換券投組!$D$17&gt;=O568,換券投組!$D$13=D568),I568+INT((換券投組!$D$17-O568)/N568)*J568,0)</f>
        <v>#N/A</v>
      </c>
      <c r="Q568" s="1211" t="e">
        <f t="shared" ca="1" si="106"/>
        <v>#N/A</v>
      </c>
      <c r="R568" s="1213">
        <f t="shared" si="107"/>
        <v>0</v>
      </c>
      <c r="S568" s="1213">
        <f t="shared" si="108"/>
        <v>0</v>
      </c>
      <c r="T568" s="136">
        <f t="shared" si="110"/>
        <v>0</v>
      </c>
      <c r="U568" s="861">
        <f t="shared" si="111"/>
        <v>0</v>
      </c>
      <c r="V568" s="136" t="e">
        <f ca="1">IF(OR(D568&lt;&gt;"USD",L568="無",M568&lt;&gt;"",K568="高資產",IFERROR(MATCH(B568,換券投組!K:K,0),"N")&lt;&gt;"N",IFERROR(MATCH(B568,換券投組!J:J,0),"N")&lt;&gt;"N"),FALSE,IF($V$1="All",TRUE,IF(K568=$V$1,TRUE,FALSE)))</f>
        <v>#N/A</v>
      </c>
      <c r="W568" s="136" t="e">
        <f ca="1">VLOOKUP(A568,'銀行-TSS'!A:AO,41,FALSE)</f>
        <v>#N/A</v>
      </c>
      <c r="X568" s="136" t="e">
        <f ca="1">VLOOKUP(A568,'銀行-TSS'!A:AP,42,FALSE)</f>
        <v>#N/A</v>
      </c>
      <c r="Y568" s="1223">
        <f t="shared" si="109"/>
        <v>0</v>
      </c>
      <c r="Z568" s="1211">
        <f t="shared" si="112"/>
        <v>0</v>
      </c>
      <c r="AA568" s="136">
        <f>IF(Z568&lt;=0,0,RANK(Z568,Z:Z)+COUNTIF($Z$3:$Z568,Z568)-1)</f>
        <v>0</v>
      </c>
      <c r="AB568" s="1211">
        <f t="shared" ca="1" si="113"/>
        <v>0</v>
      </c>
      <c r="AC568" s="136">
        <f ca="1">IF(AB568&lt;=0,0,RANK(AB568,AB:AB)+COUNTIF($AB$3:$AB568,AB568)-1)</f>
        <v>0</v>
      </c>
      <c r="AD568" s="136">
        <f t="shared" si="114"/>
        <v>99999</v>
      </c>
      <c r="AE568" s="136">
        <f>IF(AD568=99999,0,RANK(AD568,AD:AD,1)+COUNTIF($AD$3:$AD568,AD568)-1)</f>
        <v>0</v>
      </c>
    </row>
    <row r="569" spans="1:31">
      <c r="A569" s="141">
        <f>'銀行-TSS'!A569</f>
        <v>0</v>
      </c>
      <c r="B569" s="151">
        <f ca="1">VLOOKUP(A569,'銀行-TSS'!A:B,2,FALSE)</f>
        <v>0</v>
      </c>
      <c r="C569" s="151" t="e">
        <f ca="1">VLOOKUP(B569,bond!B:C,2,FALSE)</f>
        <v>#N/A</v>
      </c>
      <c r="D569" s="95" t="e">
        <f>VLOOKUP(A569,'銀行-TSS'!A:C,3,FALSE)</f>
        <v>#N/A</v>
      </c>
      <c r="E569" s="90" t="e">
        <f ca="1">VLOOKUP(A569,'銀行-TSS'!A:G,7,FALSE)</f>
        <v>#N/A</v>
      </c>
      <c r="F569" s="202" t="e">
        <f ca="1">VLOOKUP(A569,'銀行-TSS'!A:H,8,FALSE)</f>
        <v>#N/A</v>
      </c>
      <c r="G569" s="96" t="e">
        <f ca="1">VLOOKUP(A569,'銀行-TSS'!A:K,11,FALSE)</f>
        <v>#N/A</v>
      </c>
      <c r="H569" s="1209" t="e">
        <f ca="1">VLOOKUP(A569,'銀行-TSS'!A:M,13,FALSE)</f>
        <v>#N/A</v>
      </c>
      <c r="I569" s="1213" t="e">
        <f ca="1">VLOOKUP(A569,'銀行-TSS'!A:N,14,FALSE)</f>
        <v>#N/A</v>
      </c>
      <c r="J569" s="1213" t="e">
        <f ca="1">VLOOKUP(A569,'銀行-TSS'!A:O,15,FALSE)</f>
        <v>#N/A</v>
      </c>
      <c r="K569" s="136" t="e">
        <f ca="1">VLOOKUP(A569,'銀行-TSS'!A:V,22,FALSE)</f>
        <v>#N/A</v>
      </c>
      <c r="L569" s="136" t="e">
        <f ca="1">VLOOKUP(A569,'銀行-TSS'!A:AK,37,FALSE)</f>
        <v>#N/A</v>
      </c>
      <c r="M569" s="136" t="str">
        <f ca="1">VLOOKUP(A569,'銀行-TSS'!A:AN,40,FALSE)</f>
        <v/>
      </c>
      <c r="N569" s="1211" t="e">
        <f t="shared" ca="1" si="104"/>
        <v>#N/A</v>
      </c>
      <c r="O569" s="1211" t="e">
        <f t="shared" ca="1" si="105"/>
        <v>#N/A</v>
      </c>
      <c r="P569" s="1213" t="e">
        <f ca="1">IF(AND(換券投組!$D$17&gt;=O569,換券投組!$D$13=D569),I569+INT((換券投組!$D$17-O569)/N569)*J569,0)</f>
        <v>#N/A</v>
      </c>
      <c r="Q569" s="1211" t="e">
        <f t="shared" ca="1" si="106"/>
        <v>#N/A</v>
      </c>
      <c r="R569" s="1213">
        <f t="shared" si="107"/>
        <v>0</v>
      </c>
      <c r="S569" s="1213">
        <f t="shared" si="108"/>
        <v>0</v>
      </c>
      <c r="T569" s="136">
        <f t="shared" si="110"/>
        <v>0</v>
      </c>
      <c r="U569" s="861">
        <f t="shared" si="111"/>
        <v>0</v>
      </c>
      <c r="V569" s="136" t="e">
        <f ca="1">IF(OR(D569&lt;&gt;"USD",L569="無",M569&lt;&gt;"",K569="高資產",IFERROR(MATCH(B569,換券投組!K:K,0),"N")&lt;&gt;"N",IFERROR(MATCH(B569,換券投組!J:J,0),"N")&lt;&gt;"N"),FALSE,IF($V$1="All",TRUE,IF(K569=$V$1,TRUE,FALSE)))</f>
        <v>#N/A</v>
      </c>
      <c r="W569" s="136" t="e">
        <f ca="1">VLOOKUP(A569,'銀行-TSS'!A:AO,41,FALSE)</f>
        <v>#N/A</v>
      </c>
      <c r="X569" s="136" t="e">
        <f ca="1">VLOOKUP(A569,'銀行-TSS'!A:AP,42,FALSE)</f>
        <v>#N/A</v>
      </c>
      <c r="Y569" s="1223">
        <f t="shared" si="109"/>
        <v>0</v>
      </c>
      <c r="Z569" s="1211">
        <f t="shared" si="112"/>
        <v>0</v>
      </c>
      <c r="AA569" s="136">
        <f>IF(Z569&lt;=0,0,RANK(Z569,Z:Z)+COUNTIF($Z$3:$Z569,Z569)-1)</f>
        <v>0</v>
      </c>
      <c r="AB569" s="1211">
        <f t="shared" ca="1" si="113"/>
        <v>0</v>
      </c>
      <c r="AC569" s="136">
        <f ca="1">IF(AB569&lt;=0,0,RANK(AB569,AB:AB)+COUNTIF($AB$3:$AB569,AB569)-1)</f>
        <v>0</v>
      </c>
      <c r="AD569" s="136">
        <f t="shared" si="114"/>
        <v>99999</v>
      </c>
      <c r="AE569" s="136">
        <f>IF(AD569=99999,0,RANK(AD569,AD:AD,1)+COUNTIF($AD$3:$AD569,AD569)-1)</f>
        <v>0</v>
      </c>
    </row>
    <row r="570" spans="1:31">
      <c r="A570" s="141">
        <f>'銀行-TSS'!A570</f>
        <v>0</v>
      </c>
      <c r="B570" s="151">
        <f ca="1">VLOOKUP(A570,'銀行-TSS'!A:B,2,FALSE)</f>
        <v>0</v>
      </c>
      <c r="C570" s="151" t="e">
        <f ca="1">VLOOKUP(B570,bond!B:C,2,FALSE)</f>
        <v>#N/A</v>
      </c>
      <c r="D570" s="95" t="e">
        <f>VLOOKUP(A570,'銀行-TSS'!A:C,3,FALSE)</f>
        <v>#N/A</v>
      </c>
      <c r="E570" s="90" t="e">
        <f ca="1">VLOOKUP(A570,'銀行-TSS'!A:G,7,FALSE)</f>
        <v>#N/A</v>
      </c>
      <c r="F570" s="202" t="e">
        <f ca="1">VLOOKUP(A570,'銀行-TSS'!A:H,8,FALSE)</f>
        <v>#N/A</v>
      </c>
      <c r="G570" s="96" t="e">
        <f ca="1">VLOOKUP(A570,'銀行-TSS'!A:K,11,FALSE)</f>
        <v>#N/A</v>
      </c>
      <c r="H570" s="1209" t="e">
        <f ca="1">VLOOKUP(A570,'銀行-TSS'!A:M,13,FALSE)</f>
        <v>#N/A</v>
      </c>
      <c r="I570" s="1213" t="e">
        <f ca="1">VLOOKUP(A570,'銀行-TSS'!A:N,14,FALSE)</f>
        <v>#N/A</v>
      </c>
      <c r="J570" s="1213" t="e">
        <f ca="1">VLOOKUP(A570,'銀行-TSS'!A:O,15,FALSE)</f>
        <v>#N/A</v>
      </c>
      <c r="K570" s="136" t="e">
        <f ca="1">VLOOKUP(A570,'銀行-TSS'!A:V,22,FALSE)</f>
        <v>#N/A</v>
      </c>
      <c r="L570" s="136" t="e">
        <f ca="1">VLOOKUP(A570,'銀行-TSS'!A:AK,37,FALSE)</f>
        <v>#N/A</v>
      </c>
      <c r="M570" s="136" t="str">
        <f ca="1">VLOOKUP(A570,'銀行-TSS'!A:AN,40,FALSE)</f>
        <v/>
      </c>
      <c r="N570" s="1211" t="e">
        <f t="shared" ca="1" si="104"/>
        <v>#N/A</v>
      </c>
      <c r="O570" s="1211" t="e">
        <f t="shared" ca="1" si="105"/>
        <v>#N/A</v>
      </c>
      <c r="P570" s="1213" t="e">
        <f ca="1">IF(AND(換券投組!$D$17&gt;=O570,換券投組!$D$13=D570),I570+INT((換券投組!$D$17-O570)/N570)*J570,0)</f>
        <v>#N/A</v>
      </c>
      <c r="Q570" s="1211" t="e">
        <f t="shared" ca="1" si="106"/>
        <v>#N/A</v>
      </c>
      <c r="R570" s="1213">
        <f t="shared" si="107"/>
        <v>0</v>
      </c>
      <c r="S570" s="1213">
        <f t="shared" si="108"/>
        <v>0</v>
      </c>
      <c r="T570" s="136">
        <f t="shared" si="110"/>
        <v>0</v>
      </c>
      <c r="U570" s="861">
        <f t="shared" si="111"/>
        <v>0</v>
      </c>
      <c r="V570" s="136" t="e">
        <f ca="1">IF(OR(D570&lt;&gt;"USD",L570="無",M570&lt;&gt;"",K570="高資產",IFERROR(MATCH(B570,換券投組!K:K,0),"N")&lt;&gt;"N",IFERROR(MATCH(B570,換券投組!J:J,0),"N")&lt;&gt;"N"),FALSE,IF($V$1="All",TRUE,IF(K570=$V$1,TRUE,FALSE)))</f>
        <v>#N/A</v>
      </c>
      <c r="W570" s="136" t="e">
        <f ca="1">VLOOKUP(A570,'銀行-TSS'!A:AO,41,FALSE)</f>
        <v>#N/A</v>
      </c>
      <c r="X570" s="136" t="e">
        <f ca="1">VLOOKUP(A570,'銀行-TSS'!A:AP,42,FALSE)</f>
        <v>#N/A</v>
      </c>
      <c r="Y570" s="1223">
        <f t="shared" si="109"/>
        <v>0</v>
      </c>
      <c r="Z570" s="1211">
        <f t="shared" si="112"/>
        <v>0</v>
      </c>
      <c r="AA570" s="136">
        <f>IF(Z570&lt;=0,0,RANK(Z570,Z:Z)+COUNTIF($Z$3:$Z570,Z570)-1)</f>
        <v>0</v>
      </c>
      <c r="AB570" s="1211">
        <f t="shared" ca="1" si="113"/>
        <v>0</v>
      </c>
      <c r="AC570" s="136">
        <f ca="1">IF(AB570&lt;=0,0,RANK(AB570,AB:AB)+COUNTIF($AB$3:$AB570,AB570)-1)</f>
        <v>0</v>
      </c>
      <c r="AD570" s="136">
        <f t="shared" si="114"/>
        <v>99999</v>
      </c>
      <c r="AE570" s="136">
        <f>IF(AD570=99999,0,RANK(AD570,AD:AD,1)+COUNTIF($AD$3:$AD570,AD570)-1)</f>
        <v>0</v>
      </c>
    </row>
    <row r="571" spans="1:31">
      <c r="A571" s="141">
        <f>'銀行-TSS'!A571</f>
        <v>0</v>
      </c>
      <c r="B571" s="151">
        <f ca="1">VLOOKUP(A571,'銀行-TSS'!A:B,2,FALSE)</f>
        <v>0</v>
      </c>
      <c r="C571" s="151" t="e">
        <f ca="1">VLOOKUP(B571,bond!B:C,2,FALSE)</f>
        <v>#N/A</v>
      </c>
      <c r="D571" s="95" t="e">
        <f>VLOOKUP(A571,'銀行-TSS'!A:C,3,FALSE)</f>
        <v>#N/A</v>
      </c>
      <c r="E571" s="90" t="e">
        <f ca="1">VLOOKUP(A571,'銀行-TSS'!A:G,7,FALSE)</f>
        <v>#N/A</v>
      </c>
      <c r="F571" s="202" t="e">
        <f ca="1">VLOOKUP(A571,'銀行-TSS'!A:H,8,FALSE)</f>
        <v>#N/A</v>
      </c>
      <c r="G571" s="96" t="e">
        <f ca="1">VLOOKUP(A571,'銀行-TSS'!A:K,11,FALSE)</f>
        <v>#N/A</v>
      </c>
      <c r="H571" s="1209" t="e">
        <f ca="1">VLOOKUP(A571,'銀行-TSS'!A:M,13,FALSE)</f>
        <v>#N/A</v>
      </c>
      <c r="I571" s="1213" t="e">
        <f ca="1">VLOOKUP(A571,'銀行-TSS'!A:N,14,FALSE)</f>
        <v>#N/A</v>
      </c>
      <c r="J571" s="1213" t="e">
        <f ca="1">VLOOKUP(A571,'銀行-TSS'!A:O,15,FALSE)</f>
        <v>#N/A</v>
      </c>
      <c r="K571" s="136" t="e">
        <f ca="1">VLOOKUP(A571,'銀行-TSS'!A:V,22,FALSE)</f>
        <v>#N/A</v>
      </c>
      <c r="L571" s="136" t="e">
        <f ca="1">VLOOKUP(A571,'銀行-TSS'!A:AK,37,FALSE)</f>
        <v>#N/A</v>
      </c>
      <c r="M571" s="136" t="str">
        <f ca="1">VLOOKUP(A571,'銀行-TSS'!A:AN,40,FALSE)</f>
        <v/>
      </c>
      <c r="N571" s="1211" t="e">
        <f t="shared" ca="1" si="104"/>
        <v>#N/A</v>
      </c>
      <c r="O571" s="1211" t="e">
        <f t="shared" ca="1" si="105"/>
        <v>#N/A</v>
      </c>
      <c r="P571" s="1213" t="e">
        <f ca="1">IF(AND(換券投組!$D$17&gt;=O571,換券投組!$D$13=D571),I571+INT((換券投組!$D$17-O571)/N571)*J571,0)</f>
        <v>#N/A</v>
      </c>
      <c r="Q571" s="1211" t="e">
        <f t="shared" ca="1" si="106"/>
        <v>#N/A</v>
      </c>
      <c r="R571" s="1213">
        <f t="shared" si="107"/>
        <v>0</v>
      </c>
      <c r="S571" s="1213">
        <f t="shared" si="108"/>
        <v>0</v>
      </c>
      <c r="T571" s="136">
        <f t="shared" si="110"/>
        <v>0</v>
      </c>
      <c r="U571" s="861">
        <f t="shared" si="111"/>
        <v>0</v>
      </c>
      <c r="V571" s="136" t="e">
        <f ca="1">IF(OR(D571&lt;&gt;"USD",L571="無",M571&lt;&gt;"",K571="高資產",IFERROR(MATCH(B571,換券投組!K:K,0),"N")&lt;&gt;"N",IFERROR(MATCH(B571,換券投組!J:J,0),"N")&lt;&gt;"N"),FALSE,IF($V$1="All",TRUE,IF(K571=$V$1,TRUE,FALSE)))</f>
        <v>#N/A</v>
      </c>
      <c r="W571" s="136" t="e">
        <f ca="1">VLOOKUP(A571,'銀行-TSS'!A:AO,41,FALSE)</f>
        <v>#N/A</v>
      </c>
      <c r="X571" s="136" t="e">
        <f ca="1">VLOOKUP(A571,'銀行-TSS'!A:AP,42,FALSE)</f>
        <v>#N/A</v>
      </c>
      <c r="Y571" s="1223">
        <f t="shared" si="109"/>
        <v>0</v>
      </c>
      <c r="Z571" s="1211">
        <f t="shared" si="112"/>
        <v>0</v>
      </c>
      <c r="AA571" s="136">
        <f>IF(Z571&lt;=0,0,RANK(Z571,Z:Z)+COUNTIF($Z$3:$Z571,Z571)-1)</f>
        <v>0</v>
      </c>
      <c r="AB571" s="1211">
        <f t="shared" ca="1" si="113"/>
        <v>0</v>
      </c>
      <c r="AC571" s="136">
        <f ca="1">IF(AB571&lt;=0,0,RANK(AB571,AB:AB)+COUNTIF($AB$3:$AB571,AB571)-1)</f>
        <v>0</v>
      </c>
      <c r="AD571" s="136">
        <f t="shared" si="114"/>
        <v>99999</v>
      </c>
      <c r="AE571" s="136">
        <f>IF(AD571=99999,0,RANK(AD571,AD:AD,1)+COUNTIF($AD$3:$AD571,AD571)-1)</f>
        <v>0</v>
      </c>
    </row>
    <row r="572" spans="1:31">
      <c r="A572" s="141">
        <f>'銀行-TSS'!A572</f>
        <v>0</v>
      </c>
      <c r="B572" s="151">
        <f ca="1">VLOOKUP(A572,'銀行-TSS'!A:B,2,FALSE)</f>
        <v>0</v>
      </c>
      <c r="C572" s="151" t="e">
        <f ca="1">VLOOKUP(B572,bond!B:C,2,FALSE)</f>
        <v>#N/A</v>
      </c>
      <c r="D572" s="95" t="e">
        <f>VLOOKUP(A572,'銀行-TSS'!A:C,3,FALSE)</f>
        <v>#N/A</v>
      </c>
      <c r="E572" s="90" t="e">
        <f ca="1">VLOOKUP(A572,'銀行-TSS'!A:G,7,FALSE)</f>
        <v>#N/A</v>
      </c>
      <c r="F572" s="202" t="e">
        <f ca="1">VLOOKUP(A572,'銀行-TSS'!A:H,8,FALSE)</f>
        <v>#N/A</v>
      </c>
      <c r="G572" s="96" t="e">
        <f ca="1">VLOOKUP(A572,'銀行-TSS'!A:K,11,FALSE)</f>
        <v>#N/A</v>
      </c>
      <c r="H572" s="1209" t="e">
        <f ca="1">VLOOKUP(A572,'銀行-TSS'!A:M,13,FALSE)</f>
        <v>#N/A</v>
      </c>
      <c r="I572" s="1213" t="e">
        <f ca="1">VLOOKUP(A572,'銀行-TSS'!A:N,14,FALSE)</f>
        <v>#N/A</v>
      </c>
      <c r="J572" s="1213" t="e">
        <f ca="1">VLOOKUP(A572,'銀行-TSS'!A:O,15,FALSE)</f>
        <v>#N/A</v>
      </c>
      <c r="K572" s="136" t="e">
        <f ca="1">VLOOKUP(A572,'銀行-TSS'!A:V,22,FALSE)</f>
        <v>#N/A</v>
      </c>
      <c r="L572" s="136" t="e">
        <f ca="1">VLOOKUP(A572,'銀行-TSS'!A:AK,37,FALSE)</f>
        <v>#N/A</v>
      </c>
      <c r="M572" s="136" t="str">
        <f ca="1">VLOOKUP(A572,'銀行-TSS'!A:AN,40,FALSE)</f>
        <v/>
      </c>
      <c r="N572" s="1211" t="e">
        <f t="shared" ca="1" si="104"/>
        <v>#N/A</v>
      </c>
      <c r="O572" s="1211" t="e">
        <f t="shared" ca="1" si="105"/>
        <v>#N/A</v>
      </c>
      <c r="P572" s="1213" t="e">
        <f ca="1">IF(AND(換券投組!$D$17&gt;=O572,換券投組!$D$13=D572),I572+INT((換券投組!$D$17-O572)/N572)*J572,0)</f>
        <v>#N/A</v>
      </c>
      <c r="Q572" s="1211" t="e">
        <f t="shared" ca="1" si="106"/>
        <v>#N/A</v>
      </c>
      <c r="R572" s="1213">
        <f t="shared" si="107"/>
        <v>0</v>
      </c>
      <c r="S572" s="1213">
        <f t="shared" si="108"/>
        <v>0</v>
      </c>
      <c r="T572" s="136">
        <f t="shared" si="110"/>
        <v>0</v>
      </c>
      <c r="U572" s="861">
        <f t="shared" si="111"/>
        <v>0</v>
      </c>
      <c r="V572" s="136" t="e">
        <f ca="1">IF(OR(D572&lt;&gt;"USD",L572="無",M572&lt;&gt;"",K572="高資產",IFERROR(MATCH(B572,換券投組!K:K,0),"N")&lt;&gt;"N",IFERROR(MATCH(B572,換券投組!J:J,0),"N")&lt;&gt;"N"),FALSE,IF($V$1="All",TRUE,IF(K572=$V$1,TRUE,FALSE)))</f>
        <v>#N/A</v>
      </c>
      <c r="W572" s="136" t="e">
        <f ca="1">VLOOKUP(A572,'銀行-TSS'!A:AO,41,FALSE)</f>
        <v>#N/A</v>
      </c>
      <c r="X572" s="136" t="e">
        <f ca="1">VLOOKUP(A572,'銀行-TSS'!A:AP,42,FALSE)</f>
        <v>#N/A</v>
      </c>
      <c r="Y572" s="1223">
        <f t="shared" si="109"/>
        <v>0</v>
      </c>
      <c r="Z572" s="1211">
        <f t="shared" si="112"/>
        <v>0</v>
      </c>
      <c r="AA572" s="136">
        <f>IF(Z572&lt;=0,0,RANK(Z572,Z:Z)+COUNTIF($Z$3:$Z572,Z572)-1)</f>
        <v>0</v>
      </c>
      <c r="AB572" s="1211">
        <f t="shared" ca="1" si="113"/>
        <v>0</v>
      </c>
      <c r="AC572" s="136">
        <f ca="1">IF(AB572&lt;=0,0,RANK(AB572,AB:AB)+COUNTIF($AB$3:$AB572,AB572)-1)</f>
        <v>0</v>
      </c>
      <c r="AD572" s="136">
        <f t="shared" si="114"/>
        <v>99999</v>
      </c>
      <c r="AE572" s="136">
        <f>IF(AD572=99999,0,RANK(AD572,AD:AD,1)+COUNTIF($AD$3:$AD572,AD572)-1)</f>
        <v>0</v>
      </c>
    </row>
    <row r="573" spans="1:31">
      <c r="A573" s="141">
        <f>'銀行-TSS'!A573</f>
        <v>0</v>
      </c>
      <c r="B573" s="151">
        <f ca="1">VLOOKUP(A573,'銀行-TSS'!A:B,2,FALSE)</f>
        <v>0</v>
      </c>
      <c r="C573" s="151" t="e">
        <f ca="1">VLOOKUP(B573,bond!B:C,2,FALSE)</f>
        <v>#N/A</v>
      </c>
      <c r="D573" s="95" t="e">
        <f>VLOOKUP(A573,'銀行-TSS'!A:C,3,FALSE)</f>
        <v>#N/A</v>
      </c>
      <c r="E573" s="90" t="e">
        <f ca="1">VLOOKUP(A573,'銀行-TSS'!A:G,7,FALSE)</f>
        <v>#N/A</v>
      </c>
      <c r="F573" s="202" t="e">
        <f ca="1">VLOOKUP(A573,'銀行-TSS'!A:H,8,FALSE)</f>
        <v>#N/A</v>
      </c>
      <c r="G573" s="96" t="e">
        <f ca="1">VLOOKUP(A573,'銀行-TSS'!A:K,11,FALSE)</f>
        <v>#N/A</v>
      </c>
      <c r="H573" s="1209" t="e">
        <f ca="1">VLOOKUP(A573,'銀行-TSS'!A:M,13,FALSE)</f>
        <v>#N/A</v>
      </c>
      <c r="I573" s="1213" t="e">
        <f ca="1">VLOOKUP(A573,'銀行-TSS'!A:N,14,FALSE)</f>
        <v>#N/A</v>
      </c>
      <c r="J573" s="1213" t="e">
        <f ca="1">VLOOKUP(A573,'銀行-TSS'!A:O,15,FALSE)</f>
        <v>#N/A</v>
      </c>
      <c r="K573" s="136" t="e">
        <f ca="1">VLOOKUP(A573,'銀行-TSS'!A:V,22,FALSE)</f>
        <v>#N/A</v>
      </c>
      <c r="L573" s="136" t="e">
        <f ca="1">VLOOKUP(A573,'銀行-TSS'!A:AK,37,FALSE)</f>
        <v>#N/A</v>
      </c>
      <c r="M573" s="136" t="str">
        <f ca="1">VLOOKUP(A573,'銀行-TSS'!A:AN,40,FALSE)</f>
        <v/>
      </c>
      <c r="N573" s="1211" t="e">
        <f t="shared" ca="1" si="104"/>
        <v>#N/A</v>
      </c>
      <c r="O573" s="1211" t="e">
        <f t="shared" ca="1" si="105"/>
        <v>#N/A</v>
      </c>
      <c r="P573" s="1213" t="e">
        <f ca="1">IF(AND(換券投組!$D$17&gt;=O573,換券投組!$D$13=D573),I573+INT((換券投組!$D$17-O573)/N573)*J573,0)</f>
        <v>#N/A</v>
      </c>
      <c r="Q573" s="1211" t="e">
        <f t="shared" ca="1" si="106"/>
        <v>#N/A</v>
      </c>
      <c r="R573" s="1213">
        <f t="shared" si="107"/>
        <v>0</v>
      </c>
      <c r="S573" s="1213">
        <f t="shared" si="108"/>
        <v>0</v>
      </c>
      <c r="T573" s="136">
        <f t="shared" si="110"/>
        <v>0</v>
      </c>
      <c r="U573" s="861">
        <f t="shared" si="111"/>
        <v>0</v>
      </c>
      <c r="V573" s="136" t="e">
        <f ca="1">IF(OR(D573&lt;&gt;"USD",L573="無",M573&lt;&gt;"",K573="高資產",IFERROR(MATCH(B573,換券投組!K:K,0),"N")&lt;&gt;"N",IFERROR(MATCH(B573,換券投組!J:J,0),"N")&lt;&gt;"N"),FALSE,IF($V$1="All",TRUE,IF(K573=$V$1,TRUE,FALSE)))</f>
        <v>#N/A</v>
      </c>
      <c r="W573" s="136" t="e">
        <f ca="1">VLOOKUP(A573,'銀行-TSS'!A:AO,41,FALSE)</f>
        <v>#N/A</v>
      </c>
      <c r="X573" s="136" t="e">
        <f ca="1">VLOOKUP(A573,'銀行-TSS'!A:AP,42,FALSE)</f>
        <v>#N/A</v>
      </c>
      <c r="Y573" s="1223">
        <f t="shared" si="109"/>
        <v>0</v>
      </c>
      <c r="Z573" s="1211">
        <f t="shared" si="112"/>
        <v>0</v>
      </c>
      <c r="AA573" s="136">
        <f>IF(Z573&lt;=0,0,RANK(Z573,Z:Z)+COUNTIF($Z$3:$Z573,Z573)-1)</f>
        <v>0</v>
      </c>
      <c r="AB573" s="1211">
        <f t="shared" ca="1" si="113"/>
        <v>0</v>
      </c>
      <c r="AC573" s="136">
        <f ca="1">IF(AB573&lt;=0,0,RANK(AB573,AB:AB)+COUNTIF($AB$3:$AB573,AB573)-1)</f>
        <v>0</v>
      </c>
      <c r="AD573" s="136">
        <f t="shared" si="114"/>
        <v>99999</v>
      </c>
      <c r="AE573" s="136">
        <f>IF(AD573=99999,0,RANK(AD573,AD:AD,1)+COUNTIF($AD$3:$AD573,AD573)-1)</f>
        <v>0</v>
      </c>
    </row>
    <row r="574" spans="1:31">
      <c r="A574" s="141">
        <f>'銀行-TSS'!A574</f>
        <v>0</v>
      </c>
      <c r="B574" s="151">
        <f ca="1">VLOOKUP(A574,'銀行-TSS'!A:B,2,FALSE)</f>
        <v>0</v>
      </c>
      <c r="C574" s="151" t="e">
        <f ca="1">VLOOKUP(B574,bond!B:C,2,FALSE)</f>
        <v>#N/A</v>
      </c>
      <c r="D574" s="95" t="e">
        <f>VLOOKUP(A574,'銀行-TSS'!A:C,3,FALSE)</f>
        <v>#N/A</v>
      </c>
      <c r="E574" s="90" t="e">
        <f ca="1">VLOOKUP(A574,'銀行-TSS'!A:G,7,FALSE)</f>
        <v>#N/A</v>
      </c>
      <c r="F574" s="202" t="e">
        <f ca="1">VLOOKUP(A574,'銀行-TSS'!A:H,8,FALSE)</f>
        <v>#N/A</v>
      </c>
      <c r="G574" s="96" t="e">
        <f ca="1">VLOOKUP(A574,'銀行-TSS'!A:K,11,FALSE)</f>
        <v>#N/A</v>
      </c>
      <c r="H574" s="1209" t="e">
        <f ca="1">VLOOKUP(A574,'銀行-TSS'!A:M,13,FALSE)</f>
        <v>#N/A</v>
      </c>
      <c r="I574" s="1213" t="e">
        <f ca="1">VLOOKUP(A574,'銀行-TSS'!A:N,14,FALSE)</f>
        <v>#N/A</v>
      </c>
      <c r="J574" s="1213" t="e">
        <f ca="1">VLOOKUP(A574,'銀行-TSS'!A:O,15,FALSE)</f>
        <v>#N/A</v>
      </c>
      <c r="K574" s="136" t="e">
        <f ca="1">VLOOKUP(A574,'銀行-TSS'!A:V,22,FALSE)</f>
        <v>#N/A</v>
      </c>
      <c r="L574" s="136" t="e">
        <f ca="1">VLOOKUP(A574,'銀行-TSS'!A:AK,37,FALSE)</f>
        <v>#N/A</v>
      </c>
      <c r="M574" s="136" t="str">
        <f ca="1">VLOOKUP(A574,'銀行-TSS'!A:AN,40,FALSE)</f>
        <v/>
      </c>
      <c r="N574" s="1211" t="e">
        <f t="shared" ca="1" si="104"/>
        <v>#N/A</v>
      </c>
      <c r="O574" s="1211" t="e">
        <f t="shared" ca="1" si="105"/>
        <v>#N/A</v>
      </c>
      <c r="P574" s="1213" t="e">
        <f ca="1">IF(AND(換券投組!$D$17&gt;=O574,換券投組!$D$13=D574),I574+INT((換券投組!$D$17-O574)/N574)*J574,0)</f>
        <v>#N/A</v>
      </c>
      <c r="Q574" s="1211" t="e">
        <f t="shared" ca="1" si="106"/>
        <v>#N/A</v>
      </c>
      <c r="R574" s="1213">
        <f t="shared" si="107"/>
        <v>0</v>
      </c>
      <c r="S574" s="1213">
        <f t="shared" si="108"/>
        <v>0</v>
      </c>
      <c r="T574" s="136">
        <f t="shared" si="110"/>
        <v>0</v>
      </c>
      <c r="U574" s="861">
        <f t="shared" si="111"/>
        <v>0</v>
      </c>
      <c r="V574" s="136" t="e">
        <f ca="1">IF(OR(D574&lt;&gt;"USD",L574="無",M574&lt;&gt;"",K574="高資產",IFERROR(MATCH(B574,換券投組!K:K,0),"N")&lt;&gt;"N",IFERROR(MATCH(B574,換券投組!J:J,0),"N")&lt;&gt;"N"),FALSE,IF($V$1="All",TRUE,IF(K574=$V$1,TRUE,FALSE)))</f>
        <v>#N/A</v>
      </c>
      <c r="W574" s="136" t="e">
        <f ca="1">VLOOKUP(A574,'銀行-TSS'!A:AO,41,FALSE)</f>
        <v>#N/A</v>
      </c>
      <c r="X574" s="136" t="e">
        <f ca="1">VLOOKUP(A574,'銀行-TSS'!A:AP,42,FALSE)</f>
        <v>#N/A</v>
      </c>
      <c r="Y574" s="1223">
        <f t="shared" si="109"/>
        <v>0</v>
      </c>
      <c r="Z574" s="1211">
        <f t="shared" si="112"/>
        <v>0</v>
      </c>
      <c r="AA574" s="136">
        <f>IF(Z574&lt;=0,0,RANK(Z574,Z:Z)+COUNTIF($Z$3:$Z574,Z574)-1)</f>
        <v>0</v>
      </c>
      <c r="AB574" s="1211">
        <f t="shared" ca="1" si="113"/>
        <v>0</v>
      </c>
      <c r="AC574" s="136">
        <f ca="1">IF(AB574&lt;=0,0,RANK(AB574,AB:AB)+COUNTIF($AB$3:$AB574,AB574)-1)</f>
        <v>0</v>
      </c>
      <c r="AD574" s="136">
        <f t="shared" si="114"/>
        <v>99999</v>
      </c>
      <c r="AE574" s="136">
        <f>IF(AD574=99999,0,RANK(AD574,AD:AD,1)+COUNTIF($AD$3:$AD574,AD574)-1)</f>
        <v>0</v>
      </c>
    </row>
    <row r="575" spans="1:31">
      <c r="A575" s="141">
        <f>'銀行-TSS'!A575</f>
        <v>0</v>
      </c>
      <c r="B575" s="151">
        <f ca="1">VLOOKUP(A575,'銀行-TSS'!A:B,2,FALSE)</f>
        <v>0</v>
      </c>
      <c r="C575" s="151" t="e">
        <f ca="1">VLOOKUP(B575,bond!B:C,2,FALSE)</f>
        <v>#N/A</v>
      </c>
      <c r="D575" s="95" t="e">
        <f>VLOOKUP(A575,'銀行-TSS'!A:C,3,FALSE)</f>
        <v>#N/A</v>
      </c>
      <c r="E575" s="90" t="e">
        <f ca="1">VLOOKUP(A575,'銀行-TSS'!A:G,7,FALSE)</f>
        <v>#N/A</v>
      </c>
      <c r="F575" s="202" t="e">
        <f ca="1">VLOOKUP(A575,'銀行-TSS'!A:H,8,FALSE)</f>
        <v>#N/A</v>
      </c>
      <c r="G575" s="96" t="e">
        <f ca="1">VLOOKUP(A575,'銀行-TSS'!A:K,11,FALSE)</f>
        <v>#N/A</v>
      </c>
      <c r="H575" s="1209" t="e">
        <f ca="1">VLOOKUP(A575,'銀行-TSS'!A:M,13,FALSE)</f>
        <v>#N/A</v>
      </c>
      <c r="I575" s="1213" t="e">
        <f ca="1">VLOOKUP(A575,'銀行-TSS'!A:N,14,FALSE)</f>
        <v>#N/A</v>
      </c>
      <c r="J575" s="1213" t="e">
        <f ca="1">VLOOKUP(A575,'銀行-TSS'!A:O,15,FALSE)</f>
        <v>#N/A</v>
      </c>
      <c r="K575" s="136" t="e">
        <f ca="1">VLOOKUP(A575,'銀行-TSS'!A:V,22,FALSE)</f>
        <v>#N/A</v>
      </c>
      <c r="L575" s="136" t="e">
        <f ca="1">VLOOKUP(A575,'銀行-TSS'!A:AK,37,FALSE)</f>
        <v>#N/A</v>
      </c>
      <c r="M575" s="136" t="str">
        <f ca="1">VLOOKUP(A575,'銀行-TSS'!A:AN,40,FALSE)</f>
        <v/>
      </c>
      <c r="N575" s="1211" t="e">
        <f t="shared" ca="1" si="104"/>
        <v>#N/A</v>
      </c>
      <c r="O575" s="1211" t="e">
        <f t="shared" ca="1" si="105"/>
        <v>#N/A</v>
      </c>
      <c r="P575" s="1213" t="e">
        <f ca="1">IF(AND(換券投組!$D$17&gt;=O575,換券投組!$D$13=D575),I575+INT((換券投組!$D$17-O575)/N575)*J575,0)</f>
        <v>#N/A</v>
      </c>
      <c r="Q575" s="1211" t="e">
        <f t="shared" ca="1" si="106"/>
        <v>#N/A</v>
      </c>
      <c r="R575" s="1213">
        <f t="shared" si="107"/>
        <v>0</v>
      </c>
      <c r="S575" s="1213">
        <f t="shared" si="108"/>
        <v>0</v>
      </c>
      <c r="T575" s="136">
        <f t="shared" si="110"/>
        <v>0</v>
      </c>
      <c r="U575" s="861">
        <f t="shared" si="111"/>
        <v>0</v>
      </c>
      <c r="V575" s="136" t="e">
        <f ca="1">IF(OR(D575&lt;&gt;"USD",L575="無",M575&lt;&gt;"",K575="高資產",IFERROR(MATCH(B575,換券投組!K:K,0),"N")&lt;&gt;"N",IFERROR(MATCH(B575,換券投組!J:J,0),"N")&lt;&gt;"N"),FALSE,IF($V$1="All",TRUE,IF(K575=$V$1,TRUE,FALSE)))</f>
        <v>#N/A</v>
      </c>
      <c r="W575" s="136" t="e">
        <f ca="1">VLOOKUP(A575,'銀行-TSS'!A:AO,41,FALSE)</f>
        <v>#N/A</v>
      </c>
      <c r="X575" s="136" t="e">
        <f ca="1">VLOOKUP(A575,'銀行-TSS'!A:AP,42,FALSE)</f>
        <v>#N/A</v>
      </c>
      <c r="Y575" s="1223">
        <f t="shared" si="109"/>
        <v>0</v>
      </c>
      <c r="Z575" s="1211">
        <f t="shared" si="112"/>
        <v>0</v>
      </c>
      <c r="AA575" s="136">
        <f>IF(Z575&lt;=0,0,RANK(Z575,Z:Z)+COUNTIF($Z$3:$Z575,Z575)-1)</f>
        <v>0</v>
      </c>
      <c r="AB575" s="1211">
        <f t="shared" ca="1" si="113"/>
        <v>0</v>
      </c>
      <c r="AC575" s="136">
        <f ca="1">IF(AB575&lt;=0,0,RANK(AB575,AB:AB)+COUNTIF($AB$3:$AB575,AB575)-1)</f>
        <v>0</v>
      </c>
      <c r="AD575" s="136">
        <f t="shared" si="114"/>
        <v>99999</v>
      </c>
      <c r="AE575" s="136">
        <f>IF(AD575=99999,0,RANK(AD575,AD:AD,1)+COUNTIF($AD$3:$AD575,AD575)-1)</f>
        <v>0</v>
      </c>
    </row>
    <row r="576" spans="1:31">
      <c r="A576" s="141">
        <f>'銀行-TSS'!A576</f>
        <v>0</v>
      </c>
      <c r="B576" s="151">
        <f ca="1">VLOOKUP(A576,'銀行-TSS'!A:B,2,FALSE)</f>
        <v>0</v>
      </c>
      <c r="C576" s="151" t="e">
        <f ca="1">VLOOKUP(B576,bond!B:C,2,FALSE)</f>
        <v>#N/A</v>
      </c>
      <c r="D576" s="95" t="e">
        <f>VLOOKUP(A576,'銀行-TSS'!A:C,3,FALSE)</f>
        <v>#N/A</v>
      </c>
      <c r="E576" s="90" t="e">
        <f ca="1">VLOOKUP(A576,'銀行-TSS'!A:G,7,FALSE)</f>
        <v>#N/A</v>
      </c>
      <c r="F576" s="202" t="e">
        <f ca="1">VLOOKUP(A576,'銀行-TSS'!A:H,8,FALSE)</f>
        <v>#N/A</v>
      </c>
      <c r="G576" s="96" t="e">
        <f ca="1">VLOOKUP(A576,'銀行-TSS'!A:K,11,FALSE)</f>
        <v>#N/A</v>
      </c>
      <c r="H576" s="1209" t="e">
        <f ca="1">VLOOKUP(A576,'銀行-TSS'!A:M,13,FALSE)</f>
        <v>#N/A</v>
      </c>
      <c r="I576" s="1213" t="e">
        <f ca="1">VLOOKUP(A576,'銀行-TSS'!A:N,14,FALSE)</f>
        <v>#N/A</v>
      </c>
      <c r="J576" s="1213" t="e">
        <f ca="1">VLOOKUP(A576,'銀行-TSS'!A:O,15,FALSE)</f>
        <v>#N/A</v>
      </c>
      <c r="K576" s="136" t="e">
        <f ca="1">VLOOKUP(A576,'銀行-TSS'!A:V,22,FALSE)</f>
        <v>#N/A</v>
      </c>
      <c r="L576" s="136" t="e">
        <f ca="1">VLOOKUP(A576,'銀行-TSS'!A:AK,37,FALSE)</f>
        <v>#N/A</v>
      </c>
      <c r="M576" s="136" t="str">
        <f ca="1">VLOOKUP(A576,'銀行-TSS'!A:AN,40,FALSE)</f>
        <v/>
      </c>
      <c r="N576" s="1211" t="e">
        <f t="shared" ca="1" si="104"/>
        <v>#N/A</v>
      </c>
      <c r="O576" s="1211" t="e">
        <f t="shared" ca="1" si="105"/>
        <v>#N/A</v>
      </c>
      <c r="P576" s="1213" t="e">
        <f ca="1">IF(AND(換券投組!$D$17&gt;=O576,換券投組!$D$13=D576),I576+INT((換券投組!$D$17-O576)/N576)*J576,0)</f>
        <v>#N/A</v>
      </c>
      <c r="Q576" s="1211" t="e">
        <f t="shared" ca="1" si="106"/>
        <v>#N/A</v>
      </c>
      <c r="R576" s="1213">
        <f t="shared" si="107"/>
        <v>0</v>
      </c>
      <c r="S576" s="1213">
        <f t="shared" si="108"/>
        <v>0</v>
      </c>
      <c r="T576" s="136">
        <f t="shared" si="110"/>
        <v>0</v>
      </c>
      <c r="U576" s="861">
        <f t="shared" si="111"/>
        <v>0</v>
      </c>
      <c r="V576" s="136" t="e">
        <f ca="1">IF(OR(D576&lt;&gt;"USD",L576="無",M576&lt;&gt;"",K576="高資產",IFERROR(MATCH(B576,換券投組!K:K,0),"N")&lt;&gt;"N",IFERROR(MATCH(B576,換券投組!J:J,0),"N")&lt;&gt;"N"),FALSE,IF($V$1="All",TRUE,IF(K576=$V$1,TRUE,FALSE)))</f>
        <v>#N/A</v>
      </c>
      <c r="W576" s="136" t="e">
        <f ca="1">VLOOKUP(A576,'銀行-TSS'!A:AO,41,FALSE)</f>
        <v>#N/A</v>
      </c>
      <c r="X576" s="136" t="e">
        <f ca="1">VLOOKUP(A576,'銀行-TSS'!A:AP,42,FALSE)</f>
        <v>#N/A</v>
      </c>
      <c r="Y576" s="1223">
        <f t="shared" si="109"/>
        <v>0</v>
      </c>
      <c r="Z576" s="1211">
        <f t="shared" si="112"/>
        <v>0</v>
      </c>
      <c r="AA576" s="136">
        <f>IF(Z576&lt;=0,0,RANK(Z576,Z:Z)+COUNTIF($Z$3:$Z576,Z576)-1)</f>
        <v>0</v>
      </c>
      <c r="AB576" s="1211">
        <f t="shared" ca="1" si="113"/>
        <v>0</v>
      </c>
      <c r="AC576" s="136">
        <f ca="1">IF(AB576&lt;=0,0,RANK(AB576,AB:AB)+COUNTIF($AB$3:$AB576,AB576)-1)</f>
        <v>0</v>
      </c>
      <c r="AD576" s="136">
        <f t="shared" si="114"/>
        <v>99999</v>
      </c>
      <c r="AE576" s="136">
        <f>IF(AD576=99999,0,RANK(AD576,AD:AD,1)+COUNTIF($AD$3:$AD576,AD576)-1)</f>
        <v>0</v>
      </c>
    </row>
    <row r="577" spans="1:31">
      <c r="A577" s="141">
        <f>'銀行-TSS'!A577</f>
        <v>0</v>
      </c>
      <c r="B577" s="151">
        <f ca="1">VLOOKUP(A577,'銀行-TSS'!A:B,2,FALSE)</f>
        <v>0</v>
      </c>
      <c r="C577" s="151" t="e">
        <f ca="1">VLOOKUP(B577,bond!B:C,2,FALSE)</f>
        <v>#N/A</v>
      </c>
      <c r="D577" s="95" t="e">
        <f>VLOOKUP(A577,'銀行-TSS'!A:C,3,FALSE)</f>
        <v>#N/A</v>
      </c>
      <c r="E577" s="90" t="e">
        <f ca="1">VLOOKUP(A577,'銀行-TSS'!A:G,7,FALSE)</f>
        <v>#N/A</v>
      </c>
      <c r="F577" s="202" t="e">
        <f ca="1">VLOOKUP(A577,'銀行-TSS'!A:H,8,FALSE)</f>
        <v>#N/A</v>
      </c>
      <c r="G577" s="96" t="e">
        <f ca="1">VLOOKUP(A577,'銀行-TSS'!A:K,11,FALSE)</f>
        <v>#N/A</v>
      </c>
      <c r="H577" s="1209" t="e">
        <f ca="1">VLOOKUP(A577,'銀行-TSS'!A:M,13,FALSE)</f>
        <v>#N/A</v>
      </c>
      <c r="I577" s="1213" t="e">
        <f ca="1">VLOOKUP(A577,'銀行-TSS'!A:N,14,FALSE)</f>
        <v>#N/A</v>
      </c>
      <c r="J577" s="1213" t="e">
        <f ca="1">VLOOKUP(A577,'銀行-TSS'!A:O,15,FALSE)</f>
        <v>#N/A</v>
      </c>
      <c r="K577" s="136" t="e">
        <f ca="1">VLOOKUP(A577,'銀行-TSS'!A:V,22,FALSE)</f>
        <v>#N/A</v>
      </c>
      <c r="L577" s="136" t="e">
        <f ca="1">VLOOKUP(A577,'銀行-TSS'!A:AK,37,FALSE)</f>
        <v>#N/A</v>
      </c>
      <c r="M577" s="136" t="str">
        <f ca="1">VLOOKUP(A577,'銀行-TSS'!A:AN,40,FALSE)</f>
        <v/>
      </c>
      <c r="N577" s="1211" t="e">
        <f t="shared" ca="1" si="104"/>
        <v>#N/A</v>
      </c>
      <c r="O577" s="1211" t="e">
        <f t="shared" ca="1" si="105"/>
        <v>#N/A</v>
      </c>
      <c r="P577" s="1213" t="e">
        <f ca="1">IF(AND(換券投組!$D$17&gt;=O577,換券投組!$D$13=D577),I577+INT((換券投組!$D$17-O577)/N577)*J577,0)</f>
        <v>#N/A</v>
      </c>
      <c r="Q577" s="1211" t="e">
        <f t="shared" ca="1" si="106"/>
        <v>#N/A</v>
      </c>
      <c r="R577" s="1213">
        <f t="shared" si="107"/>
        <v>0</v>
      </c>
      <c r="S577" s="1213">
        <f t="shared" si="108"/>
        <v>0</v>
      </c>
      <c r="T577" s="136">
        <f t="shared" si="110"/>
        <v>0</v>
      </c>
      <c r="U577" s="861">
        <f t="shared" si="111"/>
        <v>0</v>
      </c>
      <c r="V577" s="136" t="e">
        <f ca="1">IF(OR(D577&lt;&gt;"USD",L577="無",M577&lt;&gt;"",K577="高資產",IFERROR(MATCH(B577,換券投組!K:K,0),"N")&lt;&gt;"N",IFERROR(MATCH(B577,換券投組!J:J,0),"N")&lt;&gt;"N"),FALSE,IF($V$1="All",TRUE,IF(K577=$V$1,TRUE,FALSE)))</f>
        <v>#N/A</v>
      </c>
      <c r="W577" s="136" t="e">
        <f ca="1">VLOOKUP(A577,'銀行-TSS'!A:AO,41,FALSE)</f>
        <v>#N/A</v>
      </c>
      <c r="X577" s="136" t="e">
        <f ca="1">VLOOKUP(A577,'銀行-TSS'!A:AP,42,FALSE)</f>
        <v>#N/A</v>
      </c>
      <c r="Y577" s="1223">
        <f t="shared" si="109"/>
        <v>0</v>
      </c>
      <c r="Z577" s="1211">
        <f t="shared" si="112"/>
        <v>0</v>
      </c>
      <c r="AA577" s="136">
        <f>IF(Z577&lt;=0,0,RANK(Z577,Z:Z)+COUNTIF($Z$3:$Z577,Z577)-1)</f>
        <v>0</v>
      </c>
      <c r="AB577" s="1211">
        <f t="shared" ca="1" si="113"/>
        <v>0</v>
      </c>
      <c r="AC577" s="136">
        <f ca="1">IF(AB577&lt;=0,0,RANK(AB577,AB:AB)+COUNTIF($AB$3:$AB577,AB577)-1)</f>
        <v>0</v>
      </c>
      <c r="AD577" s="136">
        <f t="shared" si="114"/>
        <v>99999</v>
      </c>
      <c r="AE577" s="136">
        <f>IF(AD577=99999,0,RANK(AD577,AD:AD,1)+COUNTIF($AD$3:$AD577,AD577)-1)</f>
        <v>0</v>
      </c>
    </row>
    <row r="578" spans="1:31">
      <c r="A578" s="141">
        <f>'銀行-TSS'!A578</f>
        <v>0</v>
      </c>
      <c r="B578" s="151">
        <f ca="1">VLOOKUP(A578,'銀行-TSS'!A:B,2,FALSE)</f>
        <v>0</v>
      </c>
      <c r="C578" s="151" t="e">
        <f ca="1">VLOOKUP(B578,bond!B:C,2,FALSE)</f>
        <v>#N/A</v>
      </c>
      <c r="D578" s="95" t="e">
        <f>VLOOKUP(A578,'銀行-TSS'!A:C,3,FALSE)</f>
        <v>#N/A</v>
      </c>
      <c r="E578" s="90" t="e">
        <f ca="1">VLOOKUP(A578,'銀行-TSS'!A:G,7,FALSE)</f>
        <v>#N/A</v>
      </c>
      <c r="F578" s="202" t="e">
        <f ca="1">VLOOKUP(A578,'銀行-TSS'!A:H,8,FALSE)</f>
        <v>#N/A</v>
      </c>
      <c r="G578" s="96" t="e">
        <f ca="1">VLOOKUP(A578,'銀行-TSS'!A:K,11,FALSE)</f>
        <v>#N/A</v>
      </c>
      <c r="H578" s="1209" t="e">
        <f ca="1">VLOOKUP(A578,'銀行-TSS'!A:M,13,FALSE)</f>
        <v>#N/A</v>
      </c>
      <c r="I578" s="1213" t="e">
        <f ca="1">VLOOKUP(A578,'銀行-TSS'!A:N,14,FALSE)</f>
        <v>#N/A</v>
      </c>
      <c r="J578" s="1213" t="e">
        <f ca="1">VLOOKUP(A578,'銀行-TSS'!A:O,15,FALSE)</f>
        <v>#N/A</v>
      </c>
      <c r="K578" s="136" t="e">
        <f ca="1">VLOOKUP(A578,'銀行-TSS'!A:V,22,FALSE)</f>
        <v>#N/A</v>
      </c>
      <c r="L578" s="136" t="e">
        <f ca="1">VLOOKUP(A578,'銀行-TSS'!A:AK,37,FALSE)</f>
        <v>#N/A</v>
      </c>
      <c r="M578" s="136" t="str">
        <f ca="1">VLOOKUP(A578,'銀行-TSS'!A:AN,40,FALSE)</f>
        <v/>
      </c>
      <c r="N578" s="1211" t="e">
        <f t="shared" ca="1" si="104"/>
        <v>#N/A</v>
      </c>
      <c r="O578" s="1211" t="e">
        <f t="shared" ca="1" si="105"/>
        <v>#N/A</v>
      </c>
      <c r="P578" s="1213" t="e">
        <f ca="1">IF(AND(換券投組!$D$17&gt;=O578,換券投組!$D$13=D578),I578+INT((換券投組!$D$17-O578)/N578)*J578,0)</f>
        <v>#N/A</v>
      </c>
      <c r="Q578" s="1211" t="e">
        <f t="shared" ca="1" si="106"/>
        <v>#N/A</v>
      </c>
      <c r="R578" s="1213">
        <f t="shared" si="107"/>
        <v>0</v>
      </c>
      <c r="S578" s="1213">
        <f t="shared" si="108"/>
        <v>0</v>
      </c>
      <c r="T578" s="136">
        <f t="shared" si="110"/>
        <v>0</v>
      </c>
      <c r="U578" s="861">
        <f t="shared" si="111"/>
        <v>0</v>
      </c>
      <c r="V578" s="136" t="e">
        <f ca="1">IF(OR(D578&lt;&gt;"USD",L578="無",M578&lt;&gt;"",K578="高資產",IFERROR(MATCH(B578,換券投組!K:K,0),"N")&lt;&gt;"N",IFERROR(MATCH(B578,換券投組!J:J,0),"N")&lt;&gt;"N"),FALSE,IF($V$1="All",TRUE,IF(K578=$V$1,TRUE,FALSE)))</f>
        <v>#N/A</v>
      </c>
      <c r="W578" s="136" t="e">
        <f ca="1">VLOOKUP(A578,'銀行-TSS'!A:AO,41,FALSE)</f>
        <v>#N/A</v>
      </c>
      <c r="X578" s="136" t="e">
        <f ca="1">VLOOKUP(A578,'銀行-TSS'!A:AP,42,FALSE)</f>
        <v>#N/A</v>
      </c>
      <c r="Y578" s="1223">
        <f t="shared" si="109"/>
        <v>0</v>
      </c>
      <c r="Z578" s="1211">
        <f t="shared" si="112"/>
        <v>0</v>
      </c>
      <c r="AA578" s="136">
        <f>IF(Z578&lt;=0,0,RANK(Z578,Z:Z)+COUNTIF($Z$3:$Z578,Z578)-1)</f>
        <v>0</v>
      </c>
      <c r="AB578" s="1211">
        <f t="shared" ca="1" si="113"/>
        <v>0</v>
      </c>
      <c r="AC578" s="136">
        <f ca="1">IF(AB578&lt;=0,0,RANK(AB578,AB:AB)+COUNTIF($AB$3:$AB578,AB578)-1)</f>
        <v>0</v>
      </c>
      <c r="AD578" s="136">
        <f t="shared" si="114"/>
        <v>99999</v>
      </c>
      <c r="AE578" s="136">
        <f>IF(AD578=99999,0,RANK(AD578,AD:AD,1)+COUNTIF($AD$3:$AD578,AD578)-1)</f>
        <v>0</v>
      </c>
    </row>
    <row r="579" spans="1:31">
      <c r="A579" s="141">
        <f>'銀行-TSS'!A579</f>
        <v>0</v>
      </c>
      <c r="B579" s="151">
        <f ca="1">VLOOKUP(A579,'銀行-TSS'!A:B,2,FALSE)</f>
        <v>0</v>
      </c>
      <c r="C579" s="151" t="e">
        <f ca="1">VLOOKUP(B579,bond!B:C,2,FALSE)</f>
        <v>#N/A</v>
      </c>
      <c r="D579" s="95" t="e">
        <f>VLOOKUP(A579,'銀行-TSS'!A:C,3,FALSE)</f>
        <v>#N/A</v>
      </c>
      <c r="E579" s="90" t="e">
        <f ca="1">VLOOKUP(A579,'銀行-TSS'!A:G,7,FALSE)</f>
        <v>#N/A</v>
      </c>
      <c r="F579" s="202" t="e">
        <f ca="1">VLOOKUP(A579,'銀行-TSS'!A:H,8,FALSE)</f>
        <v>#N/A</v>
      </c>
      <c r="G579" s="96" t="e">
        <f ca="1">VLOOKUP(A579,'銀行-TSS'!A:K,11,FALSE)</f>
        <v>#N/A</v>
      </c>
      <c r="H579" s="1209" t="e">
        <f ca="1">VLOOKUP(A579,'銀行-TSS'!A:M,13,FALSE)</f>
        <v>#N/A</v>
      </c>
      <c r="I579" s="1213" t="e">
        <f ca="1">VLOOKUP(A579,'銀行-TSS'!A:N,14,FALSE)</f>
        <v>#N/A</v>
      </c>
      <c r="J579" s="1213" t="e">
        <f ca="1">VLOOKUP(A579,'銀行-TSS'!A:O,15,FALSE)</f>
        <v>#N/A</v>
      </c>
      <c r="K579" s="136" t="e">
        <f ca="1">VLOOKUP(A579,'銀行-TSS'!A:V,22,FALSE)</f>
        <v>#N/A</v>
      </c>
      <c r="L579" s="136" t="e">
        <f ca="1">VLOOKUP(A579,'銀行-TSS'!A:AK,37,FALSE)</f>
        <v>#N/A</v>
      </c>
      <c r="M579" s="136" t="str">
        <f ca="1">VLOOKUP(A579,'銀行-TSS'!A:AN,40,FALSE)</f>
        <v/>
      </c>
      <c r="N579" s="1211" t="e">
        <f t="shared" ref="N579:N588" ca="1" si="115">G579*J579/100</f>
        <v>#N/A</v>
      </c>
      <c r="O579" s="1211" t="e">
        <f t="shared" ref="O579:O588" ca="1" si="116">G579*I579/100</f>
        <v>#N/A</v>
      </c>
      <c r="P579" s="1213" t="e">
        <f ca="1">IF(AND(換券投組!$D$17&gt;=O579,換券投組!$D$13=D579),I579+INT((換券投組!$D$17-O579)/N579)*J579,0)</f>
        <v>#N/A</v>
      </c>
      <c r="Q579" s="1211" t="e">
        <f t="shared" ref="Q579:Q588" ca="1" si="117">P579*F579</f>
        <v>#N/A</v>
      </c>
      <c r="R579" s="1213">
        <f t="shared" ref="R579:R588" si="118">IF(A579=0,0,IF(V579=FALSE,0,P579))</f>
        <v>0</v>
      </c>
      <c r="S579" s="1213">
        <f t="shared" ref="S579:S588" si="119">IF(A579=0,0,IF(V579=FALSE,0,Q579))</f>
        <v>0</v>
      </c>
      <c r="T579" s="136">
        <f t="shared" si="110"/>
        <v>0</v>
      </c>
      <c r="U579" s="861">
        <f t="shared" si="111"/>
        <v>0</v>
      </c>
      <c r="V579" s="136" t="e">
        <f ca="1">IF(OR(D579&lt;&gt;"USD",L579="無",M579&lt;&gt;"",K579="高資產",IFERROR(MATCH(B579,換券投組!K:K,0),"N")&lt;&gt;"N",IFERROR(MATCH(B579,換券投組!J:J,0),"N")&lt;&gt;"N"),FALSE,IF($V$1="All",TRUE,IF(K579=$V$1,TRUE,FALSE)))</f>
        <v>#N/A</v>
      </c>
      <c r="W579" s="136" t="e">
        <f ca="1">VLOOKUP(A579,'銀行-TSS'!A:AO,41,FALSE)</f>
        <v>#N/A</v>
      </c>
      <c r="X579" s="136" t="e">
        <f ca="1">VLOOKUP(A579,'銀行-TSS'!A:AP,42,FALSE)</f>
        <v>#N/A</v>
      </c>
      <c r="Y579" s="1223">
        <f t="shared" ref="Y579:Y588" si="120">IF(A579=0,0,IF(V579=FALSE,0,IFERROR(W579/100*P579*X579*1%,0)))</f>
        <v>0</v>
      </c>
      <c r="Z579" s="1211">
        <f t="shared" si="112"/>
        <v>0</v>
      </c>
      <c r="AA579" s="136">
        <f>IF(Z579&lt;=0,0,RANK(Z579,Z:Z)+COUNTIF($Z$3:$Z579,Z579)-1)</f>
        <v>0</v>
      </c>
      <c r="AB579" s="1211">
        <f t="shared" ca="1" si="113"/>
        <v>0</v>
      </c>
      <c r="AC579" s="136">
        <f ca="1">IF(AB579&lt;=0,0,RANK(AB579,AB:AB)+COUNTIF($AB$3:$AB579,AB579)-1)</f>
        <v>0</v>
      </c>
      <c r="AD579" s="136">
        <f t="shared" si="114"/>
        <v>99999</v>
      </c>
      <c r="AE579" s="136">
        <f>IF(AD579=99999,0,RANK(AD579,AD:AD,1)+COUNTIF($AD$3:$AD579,AD579)-1)</f>
        <v>0</v>
      </c>
    </row>
    <row r="580" spans="1:31">
      <c r="A580" s="141">
        <f>'銀行-TSS'!A580</f>
        <v>0</v>
      </c>
      <c r="B580" s="151">
        <f ca="1">VLOOKUP(A580,'銀行-TSS'!A:B,2,FALSE)</f>
        <v>0</v>
      </c>
      <c r="C580" s="151" t="e">
        <f ca="1">VLOOKUP(B580,bond!B:C,2,FALSE)</f>
        <v>#N/A</v>
      </c>
      <c r="D580" s="95" t="e">
        <f>VLOOKUP(A580,'銀行-TSS'!A:C,3,FALSE)</f>
        <v>#N/A</v>
      </c>
      <c r="E580" s="90" t="e">
        <f ca="1">VLOOKUP(A580,'銀行-TSS'!A:G,7,FALSE)</f>
        <v>#N/A</v>
      </c>
      <c r="F580" s="202" t="e">
        <f ca="1">VLOOKUP(A580,'銀行-TSS'!A:H,8,FALSE)</f>
        <v>#N/A</v>
      </c>
      <c r="G580" s="96" t="e">
        <f ca="1">VLOOKUP(A580,'銀行-TSS'!A:K,11,FALSE)</f>
        <v>#N/A</v>
      </c>
      <c r="H580" s="1209" t="e">
        <f ca="1">VLOOKUP(A580,'銀行-TSS'!A:M,13,FALSE)</f>
        <v>#N/A</v>
      </c>
      <c r="I580" s="1213" t="e">
        <f ca="1">VLOOKUP(A580,'銀行-TSS'!A:N,14,FALSE)</f>
        <v>#N/A</v>
      </c>
      <c r="J580" s="1213" t="e">
        <f ca="1">VLOOKUP(A580,'銀行-TSS'!A:O,15,FALSE)</f>
        <v>#N/A</v>
      </c>
      <c r="K580" s="136" t="e">
        <f ca="1">VLOOKUP(A580,'銀行-TSS'!A:V,22,FALSE)</f>
        <v>#N/A</v>
      </c>
      <c r="L580" s="136" t="e">
        <f ca="1">VLOOKUP(A580,'銀行-TSS'!A:AK,37,FALSE)</f>
        <v>#N/A</v>
      </c>
      <c r="M580" s="136" t="str">
        <f ca="1">VLOOKUP(A580,'銀行-TSS'!A:AN,40,FALSE)</f>
        <v/>
      </c>
      <c r="N580" s="1211" t="e">
        <f t="shared" ca="1" si="115"/>
        <v>#N/A</v>
      </c>
      <c r="O580" s="1211" t="e">
        <f t="shared" ca="1" si="116"/>
        <v>#N/A</v>
      </c>
      <c r="P580" s="1213" t="e">
        <f ca="1">IF(AND(換券投組!$D$17&gt;=O580,換券投組!$D$13=D580),I580+INT((換券投組!$D$17-O580)/N580)*J580,0)</f>
        <v>#N/A</v>
      </c>
      <c r="Q580" s="1211" t="e">
        <f t="shared" ca="1" si="117"/>
        <v>#N/A</v>
      </c>
      <c r="R580" s="1213">
        <f t="shared" si="118"/>
        <v>0</v>
      </c>
      <c r="S580" s="1213">
        <f t="shared" si="119"/>
        <v>0</v>
      </c>
      <c r="T580" s="136">
        <f t="shared" ref="T580:T588" si="121">IF(OR(R580=0,A580=0),0,IF(V580=TRUE,E580,0))</f>
        <v>0</v>
      </c>
      <c r="U580" s="861">
        <f t="shared" ref="U580:U588" si="122">IF(OR(R580=0,A580=0),0,IF(V580=TRUE,H580,0))</f>
        <v>0</v>
      </c>
      <c r="V580" s="136" t="e">
        <f ca="1">IF(OR(D580&lt;&gt;"USD",L580="無",M580&lt;&gt;"",K580="高資產",IFERROR(MATCH(B580,換券投組!K:K,0),"N")&lt;&gt;"N",IFERROR(MATCH(B580,換券投組!J:J,0),"N")&lt;&gt;"N"),FALSE,IF($V$1="All",TRUE,IF(K580=$V$1,TRUE,FALSE)))</f>
        <v>#N/A</v>
      </c>
      <c r="W580" s="136" t="e">
        <f ca="1">VLOOKUP(A580,'銀行-TSS'!A:AO,41,FALSE)</f>
        <v>#N/A</v>
      </c>
      <c r="X580" s="136" t="e">
        <f ca="1">VLOOKUP(A580,'銀行-TSS'!A:AP,42,FALSE)</f>
        <v>#N/A</v>
      </c>
      <c r="Y580" s="1223">
        <f t="shared" si="120"/>
        <v>0</v>
      </c>
      <c r="Z580" s="1211">
        <f t="shared" ref="Z580:Z588" si="123">IF(A580=0,0,IF(V580=FALSE,0,IF(OR(Q580&lt;$Y$1,E580&lt;5)=FALSE,(Q580-$Q$1)*MIN(3,E580)*(1-MIN(1/(2*E580),1))+IF((P580-$P$1)&lt;0,(P580-$P$1),((P580-$P$1)*MIN(1/(2*E580),1))),0)))</f>
        <v>0</v>
      </c>
      <c r="AA580" s="136">
        <f>IF(Z580&lt;=0,0,RANK(Z580,Z:Z)+COUNTIF($Z$3:$Z580,Z580)-1)</f>
        <v>0</v>
      </c>
      <c r="AB580" s="1211">
        <f t="shared" ref="AB580:AB588" ca="1" si="124">IF(A580=0,0,IF(V580=FALSE,0,Y580+IF((P580-$P$1)&lt;0,(P580-$P$1)*0.5,0)))-$AC$1</f>
        <v>0</v>
      </c>
      <c r="AC580" s="136">
        <f ca="1">IF(AB580&lt;=0,0,RANK(AB580,AB:AB)+COUNTIF($AB$3:$AB580,AB580)-1)</f>
        <v>0</v>
      </c>
      <c r="AD580" s="136">
        <f t="shared" ref="AD580:AD588" si="125">IF(A580=0,99999,IF(OR(V580=FALSE,AA580=0,AC580=0),99999,(AC580+AA580)/2))</f>
        <v>99999</v>
      </c>
      <c r="AE580" s="136">
        <f>IF(AD580=99999,0,RANK(AD580,AD:AD,1)+COUNTIF($AD$3:$AD580,AD580)-1)</f>
        <v>0</v>
      </c>
    </row>
    <row r="581" spans="1:31">
      <c r="A581" s="141">
        <f>'銀行-TSS'!A581</f>
        <v>0</v>
      </c>
      <c r="B581" s="151">
        <f ca="1">VLOOKUP(A581,'銀行-TSS'!A:B,2,FALSE)</f>
        <v>0</v>
      </c>
      <c r="C581" s="151" t="e">
        <f ca="1">VLOOKUP(B581,bond!B:C,2,FALSE)</f>
        <v>#N/A</v>
      </c>
      <c r="D581" s="95" t="e">
        <f>VLOOKUP(A581,'銀行-TSS'!A:C,3,FALSE)</f>
        <v>#N/A</v>
      </c>
      <c r="E581" s="90" t="e">
        <f ca="1">VLOOKUP(A581,'銀行-TSS'!A:G,7,FALSE)</f>
        <v>#N/A</v>
      </c>
      <c r="F581" s="202" t="e">
        <f ca="1">VLOOKUP(A581,'銀行-TSS'!A:H,8,FALSE)</f>
        <v>#N/A</v>
      </c>
      <c r="G581" s="96" t="e">
        <f ca="1">VLOOKUP(A581,'銀行-TSS'!A:K,11,FALSE)</f>
        <v>#N/A</v>
      </c>
      <c r="H581" s="1209" t="e">
        <f ca="1">VLOOKUP(A581,'銀行-TSS'!A:M,13,FALSE)</f>
        <v>#N/A</v>
      </c>
      <c r="I581" s="1213" t="e">
        <f ca="1">VLOOKUP(A581,'銀行-TSS'!A:N,14,FALSE)</f>
        <v>#N/A</v>
      </c>
      <c r="J581" s="1213" t="e">
        <f ca="1">VLOOKUP(A581,'銀行-TSS'!A:O,15,FALSE)</f>
        <v>#N/A</v>
      </c>
      <c r="K581" s="136" t="e">
        <f ca="1">VLOOKUP(A581,'銀行-TSS'!A:V,22,FALSE)</f>
        <v>#N/A</v>
      </c>
      <c r="L581" s="136" t="e">
        <f ca="1">VLOOKUP(A581,'銀行-TSS'!A:AK,37,FALSE)</f>
        <v>#N/A</v>
      </c>
      <c r="M581" s="136" t="str">
        <f ca="1">VLOOKUP(A581,'銀行-TSS'!A:AN,40,FALSE)</f>
        <v/>
      </c>
      <c r="N581" s="1211" t="e">
        <f t="shared" ca="1" si="115"/>
        <v>#N/A</v>
      </c>
      <c r="O581" s="1211" t="e">
        <f t="shared" ca="1" si="116"/>
        <v>#N/A</v>
      </c>
      <c r="P581" s="1213" t="e">
        <f ca="1">IF(AND(換券投組!$D$17&gt;=O581,換券投組!$D$13=D581),I581+INT((換券投組!$D$17-O581)/N581)*J581,0)</f>
        <v>#N/A</v>
      </c>
      <c r="Q581" s="1211" t="e">
        <f t="shared" ca="1" si="117"/>
        <v>#N/A</v>
      </c>
      <c r="R581" s="1213">
        <f t="shared" si="118"/>
        <v>0</v>
      </c>
      <c r="S581" s="1213">
        <f t="shared" si="119"/>
        <v>0</v>
      </c>
      <c r="T581" s="136">
        <f t="shared" si="121"/>
        <v>0</v>
      </c>
      <c r="U581" s="861">
        <f t="shared" si="122"/>
        <v>0</v>
      </c>
      <c r="V581" s="136" t="e">
        <f ca="1">IF(OR(D581&lt;&gt;"USD",L581="無",M581&lt;&gt;"",K581="高資產",IFERROR(MATCH(B581,換券投組!K:K,0),"N")&lt;&gt;"N",IFERROR(MATCH(B581,換券投組!J:J,0),"N")&lt;&gt;"N"),FALSE,IF($V$1="All",TRUE,IF(K581=$V$1,TRUE,FALSE)))</f>
        <v>#N/A</v>
      </c>
      <c r="W581" s="136" t="e">
        <f ca="1">VLOOKUP(A581,'銀行-TSS'!A:AO,41,FALSE)</f>
        <v>#N/A</v>
      </c>
      <c r="X581" s="136" t="e">
        <f ca="1">VLOOKUP(A581,'銀行-TSS'!A:AP,42,FALSE)</f>
        <v>#N/A</v>
      </c>
      <c r="Y581" s="1223">
        <f t="shared" si="120"/>
        <v>0</v>
      </c>
      <c r="Z581" s="1211">
        <f t="shared" si="123"/>
        <v>0</v>
      </c>
      <c r="AA581" s="136">
        <f>IF(Z581&lt;=0,0,RANK(Z581,Z:Z)+COUNTIF($Z$3:$Z581,Z581)-1)</f>
        <v>0</v>
      </c>
      <c r="AB581" s="1211">
        <f t="shared" ca="1" si="124"/>
        <v>0</v>
      </c>
      <c r="AC581" s="136">
        <f ca="1">IF(AB581&lt;=0,0,RANK(AB581,AB:AB)+COUNTIF($AB$3:$AB581,AB581)-1)</f>
        <v>0</v>
      </c>
      <c r="AD581" s="136">
        <f t="shared" si="125"/>
        <v>99999</v>
      </c>
      <c r="AE581" s="136">
        <f>IF(AD581=99999,0,RANK(AD581,AD:AD,1)+COUNTIF($AD$3:$AD581,AD581)-1)</f>
        <v>0</v>
      </c>
    </row>
    <row r="582" spans="1:31">
      <c r="A582" s="141">
        <f>'銀行-TSS'!A582</f>
        <v>0</v>
      </c>
      <c r="B582" s="151">
        <f ca="1">VLOOKUP(A582,'銀行-TSS'!A:B,2,FALSE)</f>
        <v>0</v>
      </c>
      <c r="C582" s="151" t="e">
        <f ca="1">VLOOKUP(B582,bond!B:C,2,FALSE)</f>
        <v>#N/A</v>
      </c>
      <c r="D582" s="95" t="e">
        <f>VLOOKUP(A582,'銀行-TSS'!A:C,3,FALSE)</f>
        <v>#N/A</v>
      </c>
      <c r="E582" s="90" t="e">
        <f ca="1">VLOOKUP(A582,'銀行-TSS'!A:G,7,FALSE)</f>
        <v>#N/A</v>
      </c>
      <c r="F582" s="202" t="e">
        <f ca="1">VLOOKUP(A582,'銀行-TSS'!A:H,8,FALSE)</f>
        <v>#N/A</v>
      </c>
      <c r="G582" s="96" t="e">
        <f ca="1">VLOOKUP(A582,'銀行-TSS'!A:K,11,FALSE)</f>
        <v>#N/A</v>
      </c>
      <c r="H582" s="1209" t="e">
        <f ca="1">VLOOKUP(A582,'銀行-TSS'!A:M,13,FALSE)</f>
        <v>#N/A</v>
      </c>
      <c r="I582" s="1213" t="e">
        <f ca="1">VLOOKUP(A582,'銀行-TSS'!A:N,14,FALSE)</f>
        <v>#N/A</v>
      </c>
      <c r="J582" s="1213" t="e">
        <f ca="1">VLOOKUP(A582,'銀行-TSS'!A:O,15,FALSE)</f>
        <v>#N/A</v>
      </c>
      <c r="K582" s="136" t="e">
        <f ca="1">VLOOKUP(A582,'銀行-TSS'!A:V,22,FALSE)</f>
        <v>#N/A</v>
      </c>
      <c r="L582" s="136" t="e">
        <f ca="1">VLOOKUP(A582,'銀行-TSS'!A:AK,37,FALSE)</f>
        <v>#N/A</v>
      </c>
      <c r="M582" s="136" t="str">
        <f ca="1">VLOOKUP(A582,'銀行-TSS'!A:AN,40,FALSE)</f>
        <v/>
      </c>
      <c r="N582" s="1211" t="e">
        <f t="shared" ca="1" si="115"/>
        <v>#N/A</v>
      </c>
      <c r="O582" s="1211" t="e">
        <f t="shared" ca="1" si="116"/>
        <v>#N/A</v>
      </c>
      <c r="P582" s="1213" t="e">
        <f ca="1">IF(AND(換券投組!$D$17&gt;=O582,換券投組!$D$13=D582),I582+INT((換券投組!$D$17-O582)/N582)*J582,0)</f>
        <v>#N/A</v>
      </c>
      <c r="Q582" s="1211" t="e">
        <f t="shared" ca="1" si="117"/>
        <v>#N/A</v>
      </c>
      <c r="R582" s="1213">
        <f t="shared" si="118"/>
        <v>0</v>
      </c>
      <c r="S582" s="1213">
        <f t="shared" si="119"/>
        <v>0</v>
      </c>
      <c r="T582" s="136">
        <f t="shared" si="121"/>
        <v>0</v>
      </c>
      <c r="U582" s="861">
        <f t="shared" si="122"/>
        <v>0</v>
      </c>
      <c r="V582" s="136" t="e">
        <f ca="1">IF(OR(D582&lt;&gt;"USD",L582="無",M582&lt;&gt;"",K582="高資產",IFERROR(MATCH(B582,換券投組!K:K,0),"N")&lt;&gt;"N",IFERROR(MATCH(B582,換券投組!J:J,0),"N")&lt;&gt;"N"),FALSE,IF($V$1="All",TRUE,IF(K582=$V$1,TRUE,FALSE)))</f>
        <v>#N/A</v>
      </c>
      <c r="W582" s="136" t="e">
        <f ca="1">VLOOKUP(A582,'銀行-TSS'!A:AO,41,FALSE)</f>
        <v>#N/A</v>
      </c>
      <c r="X582" s="136" t="e">
        <f ca="1">VLOOKUP(A582,'銀行-TSS'!A:AP,42,FALSE)</f>
        <v>#N/A</v>
      </c>
      <c r="Y582" s="1223">
        <f t="shared" si="120"/>
        <v>0</v>
      </c>
      <c r="Z582" s="1211">
        <f t="shared" si="123"/>
        <v>0</v>
      </c>
      <c r="AA582" s="136">
        <f>IF(Z582&lt;=0,0,RANK(Z582,Z:Z)+COUNTIF($Z$3:$Z582,Z582)-1)</f>
        <v>0</v>
      </c>
      <c r="AB582" s="1211">
        <f t="shared" ca="1" si="124"/>
        <v>0</v>
      </c>
      <c r="AC582" s="136">
        <f ca="1">IF(AB582&lt;=0,0,RANK(AB582,AB:AB)+COUNTIF($AB$3:$AB582,AB582)-1)</f>
        <v>0</v>
      </c>
      <c r="AD582" s="136">
        <f t="shared" si="125"/>
        <v>99999</v>
      </c>
      <c r="AE582" s="136">
        <f>IF(AD582=99999,0,RANK(AD582,AD:AD,1)+COUNTIF($AD$3:$AD582,AD582)-1)</f>
        <v>0</v>
      </c>
    </row>
    <row r="583" spans="1:31">
      <c r="A583" s="141">
        <f>'銀行-TSS'!A583</f>
        <v>0</v>
      </c>
      <c r="B583" s="151">
        <f ca="1">VLOOKUP(A583,'銀行-TSS'!A:B,2,FALSE)</f>
        <v>0</v>
      </c>
      <c r="C583" s="151" t="e">
        <f ca="1">VLOOKUP(B583,bond!B:C,2,FALSE)</f>
        <v>#N/A</v>
      </c>
      <c r="D583" s="95" t="e">
        <f>VLOOKUP(A583,'銀行-TSS'!A:C,3,FALSE)</f>
        <v>#N/A</v>
      </c>
      <c r="E583" s="90" t="e">
        <f ca="1">VLOOKUP(A583,'銀行-TSS'!A:G,7,FALSE)</f>
        <v>#N/A</v>
      </c>
      <c r="F583" s="202" t="e">
        <f ca="1">VLOOKUP(A583,'銀行-TSS'!A:H,8,FALSE)</f>
        <v>#N/A</v>
      </c>
      <c r="G583" s="96" t="e">
        <f ca="1">VLOOKUP(A583,'銀行-TSS'!A:K,11,FALSE)</f>
        <v>#N/A</v>
      </c>
      <c r="H583" s="1209" t="e">
        <f ca="1">VLOOKUP(A583,'銀行-TSS'!A:M,13,FALSE)</f>
        <v>#N/A</v>
      </c>
      <c r="I583" s="1213" t="e">
        <f ca="1">VLOOKUP(A583,'銀行-TSS'!A:N,14,FALSE)</f>
        <v>#N/A</v>
      </c>
      <c r="J583" s="1213" t="e">
        <f ca="1">VLOOKUP(A583,'銀行-TSS'!A:O,15,FALSE)</f>
        <v>#N/A</v>
      </c>
      <c r="K583" s="136" t="e">
        <f ca="1">VLOOKUP(A583,'銀行-TSS'!A:V,22,FALSE)</f>
        <v>#N/A</v>
      </c>
      <c r="L583" s="136" t="e">
        <f ca="1">VLOOKUP(A583,'銀行-TSS'!A:AK,37,FALSE)</f>
        <v>#N/A</v>
      </c>
      <c r="M583" s="136" t="str">
        <f ca="1">VLOOKUP(A583,'銀行-TSS'!A:AN,40,FALSE)</f>
        <v/>
      </c>
      <c r="N583" s="1211" t="e">
        <f t="shared" ca="1" si="115"/>
        <v>#N/A</v>
      </c>
      <c r="O583" s="1211" t="e">
        <f t="shared" ca="1" si="116"/>
        <v>#N/A</v>
      </c>
      <c r="P583" s="1213" t="e">
        <f ca="1">IF(AND(換券投組!$D$17&gt;=O583,換券投組!$D$13=D583),I583+INT((換券投組!$D$17-O583)/N583)*J583,0)</f>
        <v>#N/A</v>
      </c>
      <c r="Q583" s="1211" t="e">
        <f t="shared" ca="1" si="117"/>
        <v>#N/A</v>
      </c>
      <c r="R583" s="1213">
        <f t="shared" si="118"/>
        <v>0</v>
      </c>
      <c r="S583" s="1213">
        <f t="shared" si="119"/>
        <v>0</v>
      </c>
      <c r="T583" s="136">
        <f t="shared" si="121"/>
        <v>0</v>
      </c>
      <c r="U583" s="861">
        <f t="shared" si="122"/>
        <v>0</v>
      </c>
      <c r="V583" s="136" t="e">
        <f ca="1">IF(OR(D583&lt;&gt;"USD",L583="無",M583&lt;&gt;"",K583="高資產",IFERROR(MATCH(B583,換券投組!K:K,0),"N")&lt;&gt;"N",IFERROR(MATCH(B583,換券投組!J:J,0),"N")&lt;&gt;"N"),FALSE,IF($V$1="All",TRUE,IF(K583=$V$1,TRUE,FALSE)))</f>
        <v>#N/A</v>
      </c>
      <c r="W583" s="136" t="e">
        <f ca="1">VLOOKUP(A583,'銀行-TSS'!A:AO,41,FALSE)</f>
        <v>#N/A</v>
      </c>
      <c r="X583" s="136" t="e">
        <f ca="1">VLOOKUP(A583,'銀行-TSS'!A:AP,42,FALSE)</f>
        <v>#N/A</v>
      </c>
      <c r="Y583" s="1223">
        <f t="shared" si="120"/>
        <v>0</v>
      </c>
      <c r="Z583" s="1211">
        <f t="shared" si="123"/>
        <v>0</v>
      </c>
      <c r="AA583" s="136">
        <f>IF(Z583&lt;=0,0,RANK(Z583,Z:Z)+COUNTIF($Z$3:$Z583,Z583)-1)</f>
        <v>0</v>
      </c>
      <c r="AB583" s="1211">
        <f t="shared" ca="1" si="124"/>
        <v>0</v>
      </c>
      <c r="AC583" s="136">
        <f ca="1">IF(AB583&lt;=0,0,RANK(AB583,AB:AB)+COUNTIF($AB$3:$AB583,AB583)-1)</f>
        <v>0</v>
      </c>
      <c r="AD583" s="136">
        <f t="shared" si="125"/>
        <v>99999</v>
      </c>
      <c r="AE583" s="136">
        <f>IF(AD583=99999,0,RANK(AD583,AD:AD,1)+COUNTIF($AD$3:$AD583,AD583)-1)</f>
        <v>0</v>
      </c>
    </row>
    <row r="584" spans="1:31">
      <c r="A584" s="141">
        <f>'銀行-TSS'!A584</f>
        <v>0</v>
      </c>
      <c r="B584" s="151">
        <f ca="1">VLOOKUP(A584,'銀行-TSS'!A:B,2,FALSE)</f>
        <v>0</v>
      </c>
      <c r="C584" s="151" t="e">
        <f ca="1">VLOOKUP(B584,bond!B:C,2,FALSE)</f>
        <v>#N/A</v>
      </c>
      <c r="D584" s="95" t="e">
        <f>VLOOKUP(A584,'銀行-TSS'!A:C,3,FALSE)</f>
        <v>#N/A</v>
      </c>
      <c r="E584" s="90" t="e">
        <f ca="1">VLOOKUP(A584,'銀行-TSS'!A:G,7,FALSE)</f>
        <v>#N/A</v>
      </c>
      <c r="F584" s="202" t="e">
        <f ca="1">VLOOKUP(A584,'銀行-TSS'!A:H,8,FALSE)</f>
        <v>#N/A</v>
      </c>
      <c r="G584" s="96" t="e">
        <f ca="1">VLOOKUP(A584,'銀行-TSS'!A:K,11,FALSE)</f>
        <v>#N/A</v>
      </c>
      <c r="H584" s="1209" t="e">
        <f ca="1">VLOOKUP(A584,'銀行-TSS'!A:M,13,FALSE)</f>
        <v>#N/A</v>
      </c>
      <c r="I584" s="1213" t="e">
        <f ca="1">VLOOKUP(A584,'銀行-TSS'!A:N,14,FALSE)</f>
        <v>#N/A</v>
      </c>
      <c r="J584" s="1213" t="e">
        <f ca="1">VLOOKUP(A584,'銀行-TSS'!A:O,15,FALSE)</f>
        <v>#N/A</v>
      </c>
      <c r="K584" s="136" t="e">
        <f ca="1">VLOOKUP(A584,'銀行-TSS'!A:V,22,FALSE)</f>
        <v>#N/A</v>
      </c>
      <c r="L584" s="136" t="e">
        <f ca="1">VLOOKUP(A584,'銀行-TSS'!A:AK,37,FALSE)</f>
        <v>#N/A</v>
      </c>
      <c r="M584" s="136" t="str">
        <f ca="1">VLOOKUP(A584,'銀行-TSS'!A:AN,40,FALSE)</f>
        <v/>
      </c>
      <c r="N584" s="1211" t="e">
        <f t="shared" ca="1" si="115"/>
        <v>#N/A</v>
      </c>
      <c r="O584" s="1211" t="e">
        <f t="shared" ca="1" si="116"/>
        <v>#N/A</v>
      </c>
      <c r="P584" s="1213" t="e">
        <f ca="1">IF(AND(換券投組!$D$17&gt;=O584,換券投組!$D$13=D584),I584+INT((換券投組!$D$17-O584)/N584)*J584,0)</f>
        <v>#N/A</v>
      </c>
      <c r="Q584" s="1211" t="e">
        <f t="shared" ca="1" si="117"/>
        <v>#N/A</v>
      </c>
      <c r="R584" s="1213">
        <f t="shared" si="118"/>
        <v>0</v>
      </c>
      <c r="S584" s="1213">
        <f t="shared" si="119"/>
        <v>0</v>
      </c>
      <c r="T584" s="136">
        <f t="shared" si="121"/>
        <v>0</v>
      </c>
      <c r="U584" s="861">
        <f t="shared" si="122"/>
        <v>0</v>
      </c>
      <c r="V584" s="136" t="e">
        <f ca="1">IF(OR(D584&lt;&gt;"USD",L584="無",M584&lt;&gt;"",K584="高資產",IFERROR(MATCH(B584,換券投組!K:K,0),"N")&lt;&gt;"N",IFERROR(MATCH(B584,換券投組!J:J,0),"N")&lt;&gt;"N"),FALSE,IF($V$1="All",TRUE,IF(K584=$V$1,TRUE,FALSE)))</f>
        <v>#N/A</v>
      </c>
      <c r="W584" s="136" t="e">
        <f ca="1">VLOOKUP(A584,'銀行-TSS'!A:AO,41,FALSE)</f>
        <v>#N/A</v>
      </c>
      <c r="X584" s="136" t="e">
        <f ca="1">VLOOKUP(A584,'銀行-TSS'!A:AP,42,FALSE)</f>
        <v>#N/A</v>
      </c>
      <c r="Y584" s="1223">
        <f t="shared" si="120"/>
        <v>0</v>
      </c>
      <c r="Z584" s="1211">
        <f t="shared" si="123"/>
        <v>0</v>
      </c>
      <c r="AA584" s="136">
        <f>IF(Z584&lt;=0,0,RANK(Z584,Z:Z)+COUNTIF($Z$3:$Z584,Z584)-1)</f>
        <v>0</v>
      </c>
      <c r="AB584" s="1211">
        <f t="shared" ca="1" si="124"/>
        <v>0</v>
      </c>
      <c r="AC584" s="136">
        <f ca="1">IF(AB584&lt;=0,0,RANK(AB584,AB:AB)+COUNTIF($AB$3:$AB584,AB584)-1)</f>
        <v>0</v>
      </c>
      <c r="AD584" s="136">
        <f t="shared" si="125"/>
        <v>99999</v>
      </c>
      <c r="AE584" s="136">
        <f>IF(AD584=99999,0,RANK(AD584,AD:AD,1)+COUNTIF($AD$3:$AD584,AD584)-1)</f>
        <v>0</v>
      </c>
    </row>
    <row r="585" spans="1:31">
      <c r="A585" s="141">
        <f>'銀行-TSS'!A585</f>
        <v>0</v>
      </c>
      <c r="B585" s="151">
        <f ca="1">VLOOKUP(A585,'銀行-TSS'!A:B,2,FALSE)</f>
        <v>0</v>
      </c>
      <c r="C585" s="151" t="e">
        <f ca="1">VLOOKUP(B585,bond!B:C,2,FALSE)</f>
        <v>#N/A</v>
      </c>
      <c r="D585" s="95" t="e">
        <f>VLOOKUP(A585,'銀行-TSS'!A:C,3,FALSE)</f>
        <v>#N/A</v>
      </c>
      <c r="E585" s="90" t="e">
        <f ca="1">VLOOKUP(A585,'銀行-TSS'!A:G,7,FALSE)</f>
        <v>#N/A</v>
      </c>
      <c r="F585" s="202" t="e">
        <f ca="1">VLOOKUP(A585,'銀行-TSS'!A:H,8,FALSE)</f>
        <v>#N/A</v>
      </c>
      <c r="G585" s="96" t="e">
        <f ca="1">VLOOKUP(A585,'銀行-TSS'!A:K,11,FALSE)</f>
        <v>#N/A</v>
      </c>
      <c r="H585" s="1209" t="e">
        <f ca="1">VLOOKUP(A585,'銀行-TSS'!A:M,13,FALSE)</f>
        <v>#N/A</v>
      </c>
      <c r="I585" s="1213" t="e">
        <f ca="1">VLOOKUP(A585,'銀行-TSS'!A:N,14,FALSE)</f>
        <v>#N/A</v>
      </c>
      <c r="J585" s="1213" t="e">
        <f ca="1">VLOOKUP(A585,'銀行-TSS'!A:O,15,FALSE)</f>
        <v>#N/A</v>
      </c>
      <c r="K585" s="136" t="e">
        <f ca="1">VLOOKUP(A585,'銀行-TSS'!A:V,22,FALSE)</f>
        <v>#N/A</v>
      </c>
      <c r="L585" s="136" t="e">
        <f ca="1">VLOOKUP(A585,'銀行-TSS'!A:AK,37,FALSE)</f>
        <v>#N/A</v>
      </c>
      <c r="M585" s="136" t="str">
        <f ca="1">VLOOKUP(A585,'銀行-TSS'!A:AN,40,FALSE)</f>
        <v/>
      </c>
      <c r="N585" s="1211" t="e">
        <f t="shared" ca="1" si="115"/>
        <v>#N/A</v>
      </c>
      <c r="O585" s="1211" t="e">
        <f t="shared" ca="1" si="116"/>
        <v>#N/A</v>
      </c>
      <c r="P585" s="1213" t="e">
        <f ca="1">IF(AND(換券投組!$D$17&gt;=O585,換券投組!$D$13=D585),I585+INT((換券投組!$D$17-O585)/N585)*J585,0)</f>
        <v>#N/A</v>
      </c>
      <c r="Q585" s="1211" t="e">
        <f t="shared" ca="1" si="117"/>
        <v>#N/A</v>
      </c>
      <c r="R585" s="1213">
        <f t="shared" si="118"/>
        <v>0</v>
      </c>
      <c r="S585" s="1213">
        <f t="shared" si="119"/>
        <v>0</v>
      </c>
      <c r="T585" s="136">
        <f t="shared" si="121"/>
        <v>0</v>
      </c>
      <c r="U585" s="861">
        <f t="shared" si="122"/>
        <v>0</v>
      </c>
      <c r="V585" s="136" t="e">
        <f ca="1">IF(OR(D585&lt;&gt;"USD",L585="無",M585&lt;&gt;"",K585="高資產",IFERROR(MATCH(B585,換券投組!K:K,0),"N")&lt;&gt;"N",IFERROR(MATCH(B585,換券投組!J:J,0),"N")&lt;&gt;"N"),FALSE,IF($V$1="All",TRUE,IF(K585=$V$1,TRUE,FALSE)))</f>
        <v>#N/A</v>
      </c>
      <c r="W585" s="136" t="e">
        <f ca="1">VLOOKUP(A585,'銀行-TSS'!A:AO,41,FALSE)</f>
        <v>#N/A</v>
      </c>
      <c r="X585" s="136" t="e">
        <f ca="1">VLOOKUP(A585,'銀行-TSS'!A:AP,42,FALSE)</f>
        <v>#N/A</v>
      </c>
      <c r="Y585" s="1223">
        <f t="shared" si="120"/>
        <v>0</v>
      </c>
      <c r="Z585" s="1211">
        <f t="shared" si="123"/>
        <v>0</v>
      </c>
      <c r="AA585" s="136">
        <f>IF(Z585&lt;=0,0,RANK(Z585,Z:Z)+COUNTIF($Z$3:$Z585,Z585)-1)</f>
        <v>0</v>
      </c>
      <c r="AB585" s="1211">
        <f t="shared" ca="1" si="124"/>
        <v>0</v>
      </c>
      <c r="AC585" s="136">
        <f ca="1">IF(AB585&lt;=0,0,RANK(AB585,AB:AB)+COUNTIF($AB$3:$AB585,AB585)-1)</f>
        <v>0</v>
      </c>
      <c r="AD585" s="136">
        <f t="shared" si="125"/>
        <v>99999</v>
      </c>
      <c r="AE585" s="136">
        <f>IF(AD585=99999,0,RANK(AD585,AD:AD,1)+COUNTIF($AD$3:$AD585,AD585)-1)</f>
        <v>0</v>
      </c>
    </row>
    <row r="586" spans="1:31">
      <c r="A586" s="141">
        <f>'銀行-TSS'!A586</f>
        <v>0</v>
      </c>
      <c r="B586" s="151">
        <f ca="1">VLOOKUP(A586,'銀行-TSS'!A:B,2,FALSE)</f>
        <v>0</v>
      </c>
      <c r="C586" s="151" t="e">
        <f ca="1">VLOOKUP(B586,bond!B:C,2,FALSE)</f>
        <v>#N/A</v>
      </c>
      <c r="D586" s="95" t="e">
        <f>VLOOKUP(A586,'銀行-TSS'!A:C,3,FALSE)</f>
        <v>#N/A</v>
      </c>
      <c r="E586" s="90" t="e">
        <f ca="1">VLOOKUP(A586,'銀行-TSS'!A:G,7,FALSE)</f>
        <v>#N/A</v>
      </c>
      <c r="F586" s="202" t="e">
        <f ca="1">VLOOKUP(A586,'銀行-TSS'!A:H,8,FALSE)</f>
        <v>#N/A</v>
      </c>
      <c r="G586" s="96" t="e">
        <f ca="1">VLOOKUP(A586,'銀行-TSS'!A:K,11,FALSE)</f>
        <v>#N/A</v>
      </c>
      <c r="H586" s="1209" t="e">
        <f ca="1">VLOOKUP(A586,'銀行-TSS'!A:M,13,FALSE)</f>
        <v>#N/A</v>
      </c>
      <c r="I586" s="1213" t="e">
        <f ca="1">VLOOKUP(A586,'銀行-TSS'!A:N,14,FALSE)</f>
        <v>#N/A</v>
      </c>
      <c r="J586" s="1213" t="e">
        <f ca="1">VLOOKUP(A586,'銀行-TSS'!A:O,15,FALSE)</f>
        <v>#N/A</v>
      </c>
      <c r="K586" s="136" t="e">
        <f ca="1">VLOOKUP(A586,'銀行-TSS'!A:V,22,FALSE)</f>
        <v>#N/A</v>
      </c>
      <c r="L586" s="136" t="e">
        <f ca="1">VLOOKUP(A586,'銀行-TSS'!A:AK,37,FALSE)</f>
        <v>#N/A</v>
      </c>
      <c r="M586" s="136" t="str">
        <f ca="1">VLOOKUP(A586,'銀行-TSS'!A:AN,40,FALSE)</f>
        <v/>
      </c>
      <c r="N586" s="1211" t="e">
        <f t="shared" ca="1" si="115"/>
        <v>#N/A</v>
      </c>
      <c r="O586" s="1211" t="e">
        <f t="shared" ca="1" si="116"/>
        <v>#N/A</v>
      </c>
      <c r="P586" s="1213" t="e">
        <f ca="1">IF(AND(換券投組!$D$17&gt;=O586,換券投組!$D$13=D586),I586+INT((換券投組!$D$17-O586)/N586)*J586,0)</f>
        <v>#N/A</v>
      </c>
      <c r="Q586" s="1211" t="e">
        <f t="shared" ca="1" si="117"/>
        <v>#N/A</v>
      </c>
      <c r="R586" s="1213">
        <f t="shared" si="118"/>
        <v>0</v>
      </c>
      <c r="S586" s="1213">
        <f t="shared" si="119"/>
        <v>0</v>
      </c>
      <c r="T586" s="136">
        <f t="shared" si="121"/>
        <v>0</v>
      </c>
      <c r="U586" s="861">
        <f t="shared" si="122"/>
        <v>0</v>
      </c>
      <c r="V586" s="136" t="e">
        <f ca="1">IF(OR(D586&lt;&gt;"USD",L586="無",M586&lt;&gt;"",K586="高資產",IFERROR(MATCH(B586,換券投組!K:K,0),"N")&lt;&gt;"N",IFERROR(MATCH(B586,換券投組!J:J,0),"N")&lt;&gt;"N"),FALSE,IF($V$1="All",TRUE,IF(K586=$V$1,TRUE,FALSE)))</f>
        <v>#N/A</v>
      </c>
      <c r="W586" s="136" t="e">
        <f ca="1">VLOOKUP(A586,'銀行-TSS'!A:AO,41,FALSE)</f>
        <v>#N/A</v>
      </c>
      <c r="X586" s="136" t="e">
        <f ca="1">VLOOKUP(A586,'銀行-TSS'!A:AP,42,FALSE)</f>
        <v>#N/A</v>
      </c>
      <c r="Y586" s="1223">
        <f t="shared" si="120"/>
        <v>0</v>
      </c>
      <c r="Z586" s="1211">
        <f t="shared" si="123"/>
        <v>0</v>
      </c>
      <c r="AA586" s="136">
        <f>IF(Z586&lt;=0,0,RANK(Z586,Z:Z)+COUNTIF($Z$3:$Z586,Z586)-1)</f>
        <v>0</v>
      </c>
      <c r="AB586" s="1211">
        <f t="shared" ca="1" si="124"/>
        <v>0</v>
      </c>
      <c r="AC586" s="136">
        <f ca="1">IF(AB586&lt;=0,0,RANK(AB586,AB:AB)+COUNTIF($AB$3:$AB586,AB586)-1)</f>
        <v>0</v>
      </c>
      <c r="AD586" s="136">
        <f t="shared" si="125"/>
        <v>99999</v>
      </c>
      <c r="AE586" s="136">
        <f>IF(AD586=99999,0,RANK(AD586,AD:AD,1)+COUNTIF($AD$3:$AD586,AD586)-1)</f>
        <v>0</v>
      </c>
    </row>
    <row r="587" spans="1:31">
      <c r="A587" s="141">
        <f>'銀行-TSS'!A587</f>
        <v>0</v>
      </c>
      <c r="B587" s="151">
        <f ca="1">VLOOKUP(A587,'銀行-TSS'!A:B,2,FALSE)</f>
        <v>0</v>
      </c>
      <c r="C587" s="151" t="e">
        <f ca="1">VLOOKUP(B587,bond!B:C,2,FALSE)</f>
        <v>#N/A</v>
      </c>
      <c r="D587" s="95" t="e">
        <f>VLOOKUP(A587,'銀行-TSS'!A:C,3,FALSE)</f>
        <v>#N/A</v>
      </c>
      <c r="E587" s="90" t="e">
        <f ca="1">VLOOKUP(A587,'銀行-TSS'!A:G,7,FALSE)</f>
        <v>#N/A</v>
      </c>
      <c r="F587" s="202" t="e">
        <f ca="1">VLOOKUP(A587,'銀行-TSS'!A:H,8,FALSE)</f>
        <v>#N/A</v>
      </c>
      <c r="G587" s="96" t="e">
        <f ca="1">VLOOKUP(A587,'銀行-TSS'!A:K,11,FALSE)</f>
        <v>#N/A</v>
      </c>
      <c r="H587" s="1209" t="e">
        <f ca="1">VLOOKUP(A587,'銀行-TSS'!A:M,13,FALSE)</f>
        <v>#N/A</v>
      </c>
      <c r="I587" s="1213" t="e">
        <f ca="1">VLOOKUP(A587,'銀行-TSS'!A:N,14,FALSE)</f>
        <v>#N/A</v>
      </c>
      <c r="J587" s="1213" t="e">
        <f ca="1">VLOOKUP(A587,'銀行-TSS'!A:O,15,FALSE)</f>
        <v>#N/A</v>
      </c>
      <c r="K587" s="136" t="e">
        <f ca="1">VLOOKUP(A587,'銀行-TSS'!A:V,22,FALSE)</f>
        <v>#N/A</v>
      </c>
      <c r="L587" s="136" t="e">
        <f ca="1">VLOOKUP(A587,'銀行-TSS'!A:AK,37,FALSE)</f>
        <v>#N/A</v>
      </c>
      <c r="M587" s="136" t="str">
        <f ca="1">VLOOKUP(A587,'銀行-TSS'!A:AN,40,FALSE)</f>
        <v/>
      </c>
      <c r="N587" s="1211" t="e">
        <f t="shared" ca="1" si="115"/>
        <v>#N/A</v>
      </c>
      <c r="O587" s="1211" t="e">
        <f t="shared" ca="1" si="116"/>
        <v>#N/A</v>
      </c>
      <c r="P587" s="1213" t="e">
        <f ca="1">IF(AND(換券投組!$D$17&gt;=O587,換券投組!$D$13=D587),I587+INT((換券投組!$D$17-O587)/N587)*J587,0)</f>
        <v>#N/A</v>
      </c>
      <c r="Q587" s="1211" t="e">
        <f t="shared" ca="1" si="117"/>
        <v>#N/A</v>
      </c>
      <c r="R587" s="1213">
        <f t="shared" si="118"/>
        <v>0</v>
      </c>
      <c r="S587" s="1213">
        <f t="shared" si="119"/>
        <v>0</v>
      </c>
      <c r="T587" s="136">
        <f t="shared" si="121"/>
        <v>0</v>
      </c>
      <c r="U587" s="861">
        <f t="shared" si="122"/>
        <v>0</v>
      </c>
      <c r="V587" s="136" t="e">
        <f ca="1">IF(OR(D587&lt;&gt;"USD",L587="無",M587&lt;&gt;"",K587="高資產",IFERROR(MATCH(B587,換券投組!K:K,0),"N")&lt;&gt;"N",IFERROR(MATCH(B587,換券投組!J:J,0),"N")&lt;&gt;"N"),FALSE,IF($V$1="All",TRUE,IF(K587=$V$1,TRUE,FALSE)))</f>
        <v>#N/A</v>
      </c>
      <c r="W587" s="136" t="e">
        <f ca="1">VLOOKUP(A587,'銀行-TSS'!A:AO,41,FALSE)</f>
        <v>#N/A</v>
      </c>
      <c r="X587" s="136" t="e">
        <f ca="1">VLOOKUP(A587,'銀行-TSS'!A:AP,42,FALSE)</f>
        <v>#N/A</v>
      </c>
      <c r="Y587" s="1223">
        <f t="shared" si="120"/>
        <v>0</v>
      </c>
      <c r="Z587" s="1211">
        <f t="shared" si="123"/>
        <v>0</v>
      </c>
      <c r="AA587" s="136">
        <f>IF(Z587&lt;=0,0,RANK(Z587,Z:Z)+COUNTIF($Z$3:$Z587,Z587)-1)</f>
        <v>0</v>
      </c>
      <c r="AB587" s="1211">
        <f t="shared" ca="1" si="124"/>
        <v>0</v>
      </c>
      <c r="AC587" s="136">
        <f ca="1">IF(AB587&lt;=0,0,RANK(AB587,AB:AB)+COUNTIF($AB$3:$AB587,AB587)-1)</f>
        <v>0</v>
      </c>
      <c r="AD587" s="136">
        <f t="shared" si="125"/>
        <v>99999</v>
      </c>
      <c r="AE587" s="136">
        <f>IF(AD587=99999,0,RANK(AD587,AD:AD,1)+COUNTIF($AD$3:$AD587,AD587)-1)</f>
        <v>0</v>
      </c>
    </row>
    <row r="588" spans="1:31">
      <c r="A588" s="141">
        <f>'銀行-TSS'!A588</f>
        <v>0</v>
      </c>
      <c r="B588" s="151">
        <f ca="1">VLOOKUP(A588,'銀行-TSS'!A:B,2,FALSE)</f>
        <v>0</v>
      </c>
      <c r="C588" s="151" t="e">
        <f ca="1">VLOOKUP(B588,bond!B:C,2,FALSE)</f>
        <v>#N/A</v>
      </c>
      <c r="D588" s="95" t="e">
        <f>VLOOKUP(A588,'銀行-TSS'!A:C,3,FALSE)</f>
        <v>#N/A</v>
      </c>
      <c r="E588" s="90" t="e">
        <f ca="1">VLOOKUP(A588,'銀行-TSS'!A:G,7,FALSE)</f>
        <v>#N/A</v>
      </c>
      <c r="F588" s="202" t="e">
        <f ca="1">VLOOKUP(A588,'銀行-TSS'!A:H,8,FALSE)</f>
        <v>#N/A</v>
      </c>
      <c r="G588" s="96" t="e">
        <f ca="1">VLOOKUP(A588,'銀行-TSS'!A:K,11,FALSE)</f>
        <v>#N/A</v>
      </c>
      <c r="H588" s="1209" t="e">
        <f ca="1">VLOOKUP(A588,'銀行-TSS'!A:M,13,FALSE)</f>
        <v>#N/A</v>
      </c>
      <c r="I588" s="1213" t="e">
        <f ca="1">VLOOKUP(A588,'銀行-TSS'!A:N,14,FALSE)</f>
        <v>#N/A</v>
      </c>
      <c r="J588" s="1213" t="e">
        <f ca="1">VLOOKUP(A588,'銀行-TSS'!A:O,15,FALSE)</f>
        <v>#N/A</v>
      </c>
      <c r="K588" s="136" t="e">
        <f ca="1">VLOOKUP(A588,'銀行-TSS'!A:V,22,FALSE)</f>
        <v>#N/A</v>
      </c>
      <c r="L588" s="136" t="e">
        <f ca="1">VLOOKUP(A588,'銀行-TSS'!A:AK,37,FALSE)</f>
        <v>#N/A</v>
      </c>
      <c r="M588" s="136" t="str">
        <f ca="1">VLOOKUP(A588,'銀行-TSS'!A:AN,40,FALSE)</f>
        <v/>
      </c>
      <c r="N588" s="1211" t="e">
        <f t="shared" ca="1" si="115"/>
        <v>#N/A</v>
      </c>
      <c r="O588" s="1211" t="e">
        <f t="shared" ca="1" si="116"/>
        <v>#N/A</v>
      </c>
      <c r="P588" s="1213" t="e">
        <f ca="1">IF(AND(換券投組!$D$17&gt;=O588,換券投組!$D$13=D588),I588+INT((換券投組!$D$17-O588)/N588)*J588,0)</f>
        <v>#N/A</v>
      </c>
      <c r="Q588" s="1211" t="e">
        <f t="shared" ca="1" si="117"/>
        <v>#N/A</v>
      </c>
      <c r="R588" s="1213">
        <f t="shared" si="118"/>
        <v>0</v>
      </c>
      <c r="S588" s="1213">
        <f t="shared" si="119"/>
        <v>0</v>
      </c>
      <c r="T588" s="136">
        <f t="shared" si="121"/>
        <v>0</v>
      </c>
      <c r="U588" s="861">
        <f t="shared" si="122"/>
        <v>0</v>
      </c>
      <c r="V588" s="136" t="e">
        <f ca="1">IF(OR(D588&lt;&gt;"USD",L588="無",M588&lt;&gt;"",K588="高資產",IFERROR(MATCH(B588,換券投組!K:K,0),"N")&lt;&gt;"N",IFERROR(MATCH(B588,換券投組!J:J,0),"N")&lt;&gt;"N"),FALSE,IF($V$1="All",TRUE,IF(K588=$V$1,TRUE,FALSE)))</f>
        <v>#N/A</v>
      </c>
      <c r="W588" s="136" t="e">
        <f ca="1">VLOOKUP(A588,'銀行-TSS'!A:AO,41,FALSE)</f>
        <v>#N/A</v>
      </c>
      <c r="X588" s="136" t="e">
        <f ca="1">VLOOKUP(A588,'銀行-TSS'!A:AP,42,FALSE)</f>
        <v>#N/A</v>
      </c>
      <c r="Y588" s="1223">
        <f t="shared" si="120"/>
        <v>0</v>
      </c>
      <c r="Z588" s="1211">
        <f t="shared" si="123"/>
        <v>0</v>
      </c>
      <c r="AA588" s="136">
        <f>IF(Z588&lt;=0,0,RANK(Z588,Z:Z)+COUNTIF($Z$3:$Z588,Z588)-1)</f>
        <v>0</v>
      </c>
      <c r="AB588" s="1211">
        <f t="shared" ca="1" si="124"/>
        <v>0</v>
      </c>
      <c r="AC588" s="136">
        <f ca="1">IF(AB588&lt;=0,0,RANK(AB588,AB:AB)+COUNTIF($AB$3:$AB588,AB588)-1)</f>
        <v>0</v>
      </c>
      <c r="AD588" s="136">
        <f t="shared" si="125"/>
        <v>99999</v>
      </c>
      <c r="AE588" s="136">
        <f>IF(AD588=99999,0,RANK(AD588,AD:AD,1)+COUNTIF($AD$3:$AD588,AD588)-1)</f>
        <v>0</v>
      </c>
    </row>
  </sheetData>
  <autoFilter ref="A2:AE588" xr:uid="{00000000-0009-0000-0000-000021000000}"/>
  <phoneticPr fontId="53" type="noConversion"/>
  <conditionalFormatting sqref="B2">
    <cfRule type="duplicateValues" dxfId="9" priority="13"/>
  </conditionalFormatting>
  <conditionalFormatting sqref="B3:B588">
    <cfRule type="duplicateValues" dxfId="8" priority="4"/>
  </conditionalFormatting>
  <conditionalFormatting sqref="B589:C1048576">
    <cfRule type="duplicateValues" dxfId="7" priority="14"/>
  </conditionalFormatting>
  <conditionalFormatting sqref="E2">
    <cfRule type="duplicateValues" dxfId="6" priority="576"/>
  </conditionalFormatting>
  <conditionalFormatting sqref="G2">
    <cfRule type="duplicateValues" dxfId="5" priority="9"/>
  </conditionalFormatting>
  <conditionalFormatting sqref="H2">
    <cfRule type="duplicateValues" dxfId="4" priority="3"/>
  </conditionalFormatting>
  <conditionalFormatting sqref="I1 B1:C1 F1">
    <cfRule type="duplicateValues" dxfId="3" priority="577"/>
  </conditionalFormatting>
  <conditionalFormatting sqref="I2:M2">
    <cfRule type="duplicateValues" dxfId="2" priority="578"/>
  </conditionalFormatting>
  <conditionalFormatting sqref="C3:C588">
    <cfRule type="duplicateValues" dxfId="1" priority="2"/>
  </conditionalFormatting>
  <conditionalFormatting sqref="C2">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13</vt:i4>
      </vt:variant>
      <vt:variant>
        <vt:lpstr>具名範圍</vt:lpstr>
      </vt:variant>
      <vt:variant>
        <vt:i4>13</vt:i4>
      </vt:variant>
    </vt:vector>
  </HeadingPairs>
  <TitlesOfParts>
    <vt:vector size="26" baseType="lpstr">
      <vt:lpstr>主畫面</vt:lpstr>
      <vt:lpstr>投資商品現金流試算表</vt:lpstr>
      <vt:lpstr>自由選</vt:lpstr>
      <vt:lpstr>篩選吧</vt:lpstr>
      <vt:lpstr>庫存管理</vt:lpstr>
      <vt:lpstr>2_Check_code</vt:lpstr>
      <vt:lpstr>bond</vt:lpstr>
      <vt:lpstr>1_重設數據</vt:lpstr>
      <vt:lpstr>3_是否下架</vt:lpstr>
      <vt:lpstr>5_非固定類型(手動)</vt:lpstr>
      <vt:lpstr>6_休假日</vt:lpstr>
      <vt:lpstr>7_發行日例外</vt:lpstr>
      <vt:lpstr>Bond_DES</vt:lpstr>
      <vt:lpstr>MF</vt:lpstr>
      <vt:lpstr>MF_Pro</vt:lpstr>
      <vt:lpstr>主畫面!Print_Area</vt:lpstr>
      <vt:lpstr>自由選!Print_Area</vt:lpstr>
      <vt:lpstr>庫存管理!Print_Area</vt:lpstr>
      <vt:lpstr>'庫存管理(Pro)'!Print_Area</vt:lpstr>
      <vt:lpstr>庫存管理_中繼頁!Print_Area</vt:lpstr>
      <vt:lpstr>庫存管理_列印!Print_Area</vt:lpstr>
      <vt:lpstr>投資商品現金流試算表!Print_Titles</vt:lpstr>
      <vt:lpstr>篩選吧!Print_Titles</vt:lpstr>
      <vt:lpstr>'Tssco-bond portfolio(2)'!全美</vt:lpstr>
      <vt:lpstr>全美</vt:lpstr>
      <vt:lpstr>開關</vt:lpstr>
    </vt:vector>
  </TitlesOfParts>
  <Company>FCB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i99277</dc:creator>
  <cp:lastModifiedBy>Niki</cp:lastModifiedBy>
  <cp:lastPrinted>2024-06-29T12:00:54Z</cp:lastPrinted>
  <dcterms:created xsi:type="dcterms:W3CDTF">2014-05-07T03:47:20Z</dcterms:created>
  <dcterms:modified xsi:type="dcterms:W3CDTF">2024-07-01T01:27:06Z</dcterms:modified>
</cp:coreProperties>
</file>